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설정" sheetId="2" state="visible" r:id="rId2"/>
    <sheet xmlns:r="http://schemas.openxmlformats.org/officeDocument/2006/relationships" name="헤더설정" sheetId="3" state="visible" r:id="rId3"/>
    <sheet xmlns:r="http://schemas.openxmlformats.org/officeDocument/2006/relationships" name="입력옵션" sheetId="4" state="visible" r:id="rId4"/>
    <sheet xmlns:r="http://schemas.openxmlformats.org/officeDocument/2006/relationships" name="자가진단" sheetId="5" state="visible" r:id="rId5"/>
    <sheet xmlns:r="http://schemas.openxmlformats.org/officeDocument/2006/relationships" name="대시보드" sheetId="6" state="visible" r:id="rId6"/>
    <sheet xmlns:r="http://schemas.openxmlformats.org/officeDocument/2006/relationships" name="IFRS17_사업비" sheetId="7" state="visible" r:id="rId7"/>
    <sheet xmlns:r="http://schemas.openxmlformats.org/officeDocument/2006/relationships" name="리포트" sheetId="8" state="visible" r:id="rId8"/>
    <sheet xmlns:r="http://schemas.openxmlformats.org/officeDocument/2006/relationships" name="주의대상" sheetId="9" state="visible" r:id="rId9"/>
    <sheet xmlns:r="http://schemas.openxmlformats.org/officeDocument/2006/relationships" name="원인분석" sheetId="10" state="visible" r:id="rId10"/>
    <sheet xmlns:r="http://schemas.openxmlformats.org/officeDocument/2006/relationships" name="변동분석" sheetId="11" state="visible" r:id="rId11"/>
    <sheet xmlns:r="http://schemas.openxmlformats.org/officeDocument/2006/relationships" name="계정변동" sheetId="12" state="visible" r:id="rId12"/>
    <sheet xmlns:r="http://schemas.openxmlformats.org/officeDocument/2006/relationships" name="월별집계" sheetId="13" state="visible" r:id="rId13"/>
    <sheet xmlns:r="http://schemas.openxmlformats.org/officeDocument/2006/relationships" name="차트데이터" sheetId="14" state="visible" r:id="rId14"/>
    <sheet xmlns:r="http://schemas.openxmlformats.org/officeDocument/2006/relationships" name="코멘트" sheetId="15" state="visible" r:id="rId15"/>
    <sheet xmlns:r="http://schemas.openxmlformats.org/officeDocument/2006/relationships" name="키워드사전" sheetId="16" state="visible" r:id="rId16"/>
    <sheet xmlns:r="http://schemas.openxmlformats.org/officeDocument/2006/relationships" name="예산판_원본" sheetId="17" state="visible" r:id="rId17"/>
    <sheet xmlns:r="http://schemas.openxmlformats.org/officeDocument/2006/relationships" name="TB_원본" sheetId="18" state="visible" r:id="rId18"/>
    <sheet xmlns:r="http://schemas.openxmlformats.org/officeDocument/2006/relationships" name="전표_원본" sheetId="19" state="visible" r:id="rId19"/>
    <sheet xmlns:r="http://schemas.openxmlformats.org/officeDocument/2006/relationships" name="BS_원본" sheetId="20" state="visible" r:id="rId20"/>
    <sheet xmlns:r="http://schemas.openxmlformats.org/officeDocument/2006/relationships" name="PL_원본" sheetId="21" state="visible" r:id="rId21"/>
    <sheet xmlns:r="http://schemas.openxmlformats.org/officeDocument/2006/relationships" name="부채변동표" sheetId="22" state="visible" r:id="rId22"/>
    <sheet xmlns:r="http://schemas.openxmlformats.org/officeDocument/2006/relationships" name="예정사업비" sheetId="23" state="visible" r:id="rId23"/>
    <sheet xmlns:r="http://schemas.openxmlformats.org/officeDocument/2006/relationships" name="계정대체기준" sheetId="24" state="visible" r:id="rId24"/>
    <sheet xmlns:r="http://schemas.openxmlformats.org/officeDocument/2006/relationships" name="계정매핑" sheetId="25" state="visible" r:id="rId25"/>
    <sheet xmlns:r="http://schemas.openxmlformats.org/officeDocument/2006/relationships" name="부서매핑" sheetId="26" state="visible" r:id="rId26"/>
    <sheet xmlns:r="http://schemas.openxmlformats.org/officeDocument/2006/relationships" name="대시보드데이터" sheetId="27" state="hidden" r:id="rId27"/>
  </sheets>
  <definedNames>
    <definedName name="_xlnm.Print_Area" localSheetId="7">'리포트'!$A$1:$H$46</definedName>
    <definedName name="_xlnm._FilterDatabase" localSheetId="10" hidden="1">'변동분석'!$A$6:$AZ$119</definedName>
    <definedName name="_xlnm._FilterDatabase" localSheetId="18" hidden="1">'전표_원본'!$A$4:$AH$4</definedName>
    <definedName name="_xlnm._FilterDatabase" localSheetId="19" hidden="1">'BS_원본'!$A$4:$K$4</definedName>
    <definedName name="_xlnm._FilterDatabase" localSheetId="20" hidden="1">'PL_원본'!$A$4:$M$4</definedName>
    <definedName name="_xlnm._FilterDatabase" localSheetId="21" hidden="1">'부채변동표'!$A$4:$P$4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#,##0;&quot;△&quot;#,##0;&quot;-&quot;"/>
    <numFmt numFmtId="165" formatCode="0%;&quot;△&quot;0%;&quot;-&quot;"/>
    <numFmt numFmtId="166" formatCode="0.0"/>
    <numFmt numFmtId="167" formatCode="0.000000"/>
    <numFmt numFmtId="168" formatCode="yyyy-mm-dd"/>
    <numFmt numFmtId="169" formatCode="#,##0.0;&quot;△&quot;#,##0.0;&quot;-&quot;"/>
    <numFmt numFmtId="170" formatCode="+0%;-0%;0%"/>
    <numFmt numFmtId="171" formatCode="0.000"/>
    <numFmt numFmtId="172" formatCode="+#,##0.0;-#,##0.0;0"/>
    <numFmt numFmtId="173" formatCode="m/d"/>
    <numFmt numFmtId="174" formatCode="0&quot;건&quot;"/>
    <numFmt numFmtId="175" formatCode="0.0%;&quot;△&quot;0.0%;&quot;-&quot;"/>
    <numFmt numFmtId="176" formatCode="+#,##0.0;-#,##0.0;&quot;-&quot;"/>
    <numFmt numFmtId="177" formatCode="+#,##0;-#,##0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color rgb="007F7F7F"/>
      <sz val="9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7F7F7F"/>
      <sz val="10"/>
    </font>
    <font>
      <name val="맑은 고딕"/>
      <color rgb="00000000"/>
      <sz val="10"/>
    </font>
    <font>
      <name val="맑은 고딕"/>
      <color rgb="000000FF"/>
      <sz val="10"/>
    </font>
    <font>
      <name val="맑은 고딕"/>
      <color rgb="00008000"/>
      <sz val="10"/>
    </font>
    <font>
      <name val="맑은 고딕"/>
      <color rgb="00008000"/>
      <sz val="9"/>
    </font>
    <font>
      <name val="맑은 고딕"/>
      <b val="1"/>
      <color rgb="000000FF"/>
      <sz val="10"/>
    </font>
    <font>
      <name val="맑은 고딕"/>
      <b val="1"/>
      <color rgb="00008000"/>
      <sz val="13"/>
    </font>
    <font>
      <name val="맑은 고딕"/>
      <b val="1"/>
      <color rgb="00008000"/>
      <sz val="10"/>
    </font>
    <font>
      <name val="맑은 고딕"/>
      <b val="1"/>
      <color rgb="00000000"/>
      <sz val="16"/>
    </font>
    <font>
      <name val="맑은 고딕"/>
      <b val="1"/>
      <color rgb="00008000"/>
      <sz val="14"/>
    </font>
    <font>
      <name val="맑은 고딕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EAF3E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7" fillId="0" borderId="0" pivotButton="0" quotePrefix="0" xfId="0"/>
    <xf numFmtId="0" fontId="5" fillId="3" borderId="1" pivotButton="0" quotePrefix="0" xfId="0"/>
    <xf numFmtId="0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3" fontId="8" fillId="0" borderId="1" pivotButton="0" quotePrefix="0" xfId="0"/>
    <xf numFmtId="1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8" fillId="4" borderId="1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16" fillId="0" borderId="0" pivotButton="0" quotePrefix="0" xfId="0"/>
    <xf numFmtId="0" fontId="9" fillId="0" borderId="1" pivotButton="0" quotePrefix="0" xfId="0"/>
    <xf numFmtId="0" fontId="14" fillId="0" borderId="0" pivotButton="0" quotePrefix="0" xfId="0"/>
    <xf numFmtId="0" fontId="2" fillId="6" borderId="0" applyAlignment="1" pivotButton="0" quotePrefix="0" xfId="0">
      <alignment horizontal="center"/>
    </xf>
    <xf numFmtId="3" fontId="15" fillId="6" borderId="0" applyAlignment="1" pivotButton="0" quotePrefix="0" xfId="0">
      <alignment horizontal="center"/>
    </xf>
    <xf numFmtId="174" fontId="1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/>
    </xf>
    <xf numFmtId="169" fontId="9" fillId="0" borderId="1" pivotButton="0" quotePrefix="0" xfId="0"/>
    <xf numFmtId="170" fontId="9" fillId="0" borderId="1" pivotButton="0" quotePrefix="0" xfId="0"/>
    <xf numFmtId="0" fontId="13" fillId="7" borderId="0" applyAlignment="1" pivotButton="0" quotePrefix="0" xfId="0">
      <alignment vertical="top" wrapText="1"/>
    </xf>
    <xf numFmtId="0" fontId="1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169" fontId="7" fillId="0" borderId="1" pivotButton="0" quotePrefix="0" xfId="0"/>
    <xf numFmtId="171" fontId="7" fillId="0" borderId="1" pivotButton="0" quotePrefix="0" xfId="0"/>
    <xf numFmtId="175" fontId="7" fillId="0" borderId="1" pivotButton="0" quotePrefix="0" xfId="0"/>
    <xf numFmtId="0" fontId="5" fillId="6" borderId="1" pivotButton="0" quotePrefix="0" xfId="0"/>
    <xf numFmtId="169" fontId="5" fillId="6" borderId="1" pivotButton="0" quotePrefix="0" xfId="0"/>
    <xf numFmtId="175" fontId="5" fillId="6" borderId="1" pivotButton="0" quotePrefix="0" xfId="0"/>
    <xf numFmtId="176" fontId="5" fillId="0" borderId="1" pivotButton="0" quotePrefix="0" xfId="0"/>
    <xf numFmtId="176" fontId="7" fillId="0" borderId="1" pivotButton="0" quotePrefix="0" xfId="0"/>
    <xf numFmtId="176" fontId="5" fillId="6" borderId="1" pivotButton="0" quotePrefix="0" xfId="0"/>
    <xf numFmtId="0" fontId="7" fillId="6" borderId="1" pivotButton="0" quotePrefix="0" xfId="0"/>
    <xf numFmtId="0" fontId="5" fillId="6" borderId="1" applyAlignment="1" pivotButton="0" quotePrefix="0" xfId="0">
      <alignment horizontal="center" vertical="center"/>
    </xf>
    <xf numFmtId="164" fontId="13" fillId="6" borderId="1" pivotButton="0" quotePrefix="0" xfId="0"/>
    <xf numFmtId="164" fontId="9" fillId="0" borderId="1" pivotButton="0" quotePrefix="0" xfId="0"/>
    <xf numFmtId="177" fontId="5" fillId="3" borderId="1" pivotButton="0" quotePrefix="0" xfId="0"/>
    <xf numFmtId="168" fontId="9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169" fontId="15" fillId="6" borderId="1" applyAlignment="1" pivotButton="0" quotePrefix="0" xfId="0">
      <alignment horizontal="center" vertical="center"/>
    </xf>
    <xf numFmtId="170" fontId="15" fillId="6" borderId="1" applyAlignment="1" pivotButton="0" quotePrefix="0" xfId="0">
      <alignment horizontal="center" vertical="center"/>
    </xf>
    <xf numFmtId="174" fontId="15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165" fontId="9" fillId="0" borderId="1" pivotButton="0" quotePrefix="0" xfId="0"/>
    <xf numFmtId="166" fontId="9" fillId="0" borderId="1" applyAlignment="1" pivotButton="0" quotePrefix="0" xfId="0">
      <alignment horizontal="center" vertical="center"/>
    </xf>
    <xf numFmtId="166" fontId="9" fillId="0" borderId="1" pivotButton="0" quotePrefix="0" xfId="0"/>
    <xf numFmtId="0" fontId="12" fillId="0" borderId="0" pivotButton="0" quotePrefix="0" xfId="0"/>
    <xf numFmtId="0" fontId="9" fillId="0" borderId="0" pivotButton="0" quotePrefix="0" xfId="0"/>
    <xf numFmtId="0" fontId="6" fillId="6" borderId="1" pivotButton="0" quotePrefix="0" xfId="0"/>
    <xf numFmtId="0" fontId="9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169" fontId="13" fillId="0" borderId="1" pivotButton="0" quotePrefix="0" xfId="0"/>
    <xf numFmtId="172" fontId="5" fillId="0" borderId="1" pivotButton="0" quotePrefix="0" xfId="0"/>
    <xf numFmtId="170" fontId="5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3" fillId="7" borderId="0" applyAlignment="1" pivotButton="0" quotePrefix="0" xfId="0">
      <alignment vertical="top" wrapText="1"/>
    </xf>
    <xf numFmtId="165" fontId="7" fillId="0" borderId="1" pivotButton="0" quotePrefix="0" xfId="0"/>
    <xf numFmtId="0" fontId="7" fillId="0" borderId="1" applyAlignment="1" pivotButton="0" quotePrefix="0" xfId="0">
      <alignment vertical="center" wrapText="1"/>
    </xf>
    <xf numFmtId="173" fontId="9" fillId="0" borderId="1" pivotButton="0" quotePrefix="0" xfId="0"/>
    <xf numFmtId="172" fontId="7" fillId="0" borderId="1" pivotButton="0" quotePrefix="0" xfId="0"/>
    <xf numFmtId="1" fontId="7" fillId="0" borderId="1" pivotButton="0" quotePrefix="0" xfId="0"/>
    <xf numFmtId="0" fontId="5" fillId="0" borderId="0" pivotButton="0" quotePrefix="0" xfId="0"/>
    <xf numFmtId="49" fontId="8" fillId="0" borderId="1" applyAlignment="1" pivotButton="0" quotePrefix="0" xfId="0">
      <alignment horizontal="center" vertical="center"/>
    </xf>
    <xf numFmtId="170" fontId="7" fillId="0" borderId="1" pivotButton="0" quotePrefix="0" xfId="0"/>
    <xf numFmtId="1" fontId="9" fillId="0" borderId="1" pivotButton="0" quotePrefix="0" xfId="0"/>
    <xf numFmtId="166" fontId="7" fillId="0" borderId="1" pivotButton="0" quotePrefix="0" xfId="0"/>
    <xf numFmtId="170" fontId="5" fillId="6" borderId="1" pivotButton="0" quotePrefix="0" xfId="0"/>
    <xf numFmtId="0" fontId="5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1" fontId="6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165" fontId="5" fillId="6" borderId="1" pivotButton="0" quotePrefix="0" xfId="0"/>
    <xf numFmtId="168" fontId="8" fillId="0" borderId="1" pivotButton="0" quotePrefix="0" xfId="0"/>
    <xf numFmtId="0" fontId="6" fillId="0" borderId="0" pivotButton="0" quotePrefix="0" xfId="0"/>
    <xf numFmtId="0" fontId="11" fillId="0" borderId="1" pivotButton="0" quotePrefix="0" xfId="0"/>
    <xf numFmtId="0" fontId="8" fillId="0" borderId="0" pivotButton="0" quotePrefix="0" xfId="0"/>
    <xf numFmtId="3" fontId="8" fillId="0" borderId="0" pivotButton="0" quotePrefix="0" xfId="0"/>
    <xf numFmtId="169" fontId="9" fillId="0" borderId="0" pivotButton="0" quotePrefix="0" xfId="0"/>
    <xf numFmtId="168" fontId="8" fillId="0" borderId="0" pivotButton="0" quotePrefix="0" xfId="0"/>
    <xf numFmtId="165" fontId="9" fillId="0" borderId="0" pivotButton="0" quotePrefix="0" xfId="0"/>
    <xf numFmtId="164" fontId="9" fillId="0" borderId="0" pivotButton="0" quotePrefix="0" xfId="0"/>
    <xf numFmtId="1" fontId="8" fillId="0" borderId="1" applyAlignment="1" pivotButton="0" quotePrefix="0" xfId="0">
      <alignment horizontal="center" vertical="center"/>
    </xf>
    <xf numFmtId="165" fontId="8" fillId="4" borderId="1" pivotButton="0" quotePrefix="0" xfId="0"/>
    <xf numFmtId="165" fontId="8" fillId="0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dxfs count="11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C3E9"/>
        </patternFill>
      </fill>
    </dxf>
    <dxf>
      <fill>
        <patternFill patternType="solid">
          <fgColor rgb="00E3EBF7"/>
        </patternFill>
      </fill>
    </dxf>
    <dxf>
      <font>
        <b val="1"/>
        <color rgb="00C00000"/>
      </font>
    </dxf>
    <dxf>
      <font>
        <b val="1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사업비 (당해 vs 전년)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'차트데이터'!B4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'차트데이터'!$A$5:$A$16</f>
            </numRef>
          </cat>
          <val>
            <numRef>
              <f>'차트데이터'!$B$5:$B$16</f>
            </numRef>
          </val>
        </ser>
        <ser>
          <idx val="1"/>
          <order val="1"/>
          <tx>
            <strRef>
              <f>'차트데이터'!C4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'차트데이터'!$A$5:$A$16</f>
            </numRef>
          </cat>
          <val>
            <numRef>
              <f>'차트데이터'!$C$5:$C$16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부서별 분기 한도 vs 분기말 예상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'차트데이터'!C19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'차트데이터'!$B$20:$B$29</f>
            </numRef>
          </cat>
          <val>
            <numRef>
              <f>'차트데이터'!$C$20:$C$29</f>
            </numRef>
          </val>
        </ser>
        <ser>
          <idx val="1"/>
          <order val="1"/>
          <tx>
            <strRef>
              <f>'차트데이터'!E19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'차트데이터'!$B$20:$B$29</f>
            </numRef>
          </cat>
          <val>
            <numRef>
              <f>'차트데이터'!$E$20:$E$29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계정별 당월 vs 전년동월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'차트데이터'!C37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'차트데이터'!$B$38:$B$56</f>
            </numRef>
          </cat>
          <val>
            <numRef>
              <f>'차트데이터'!$C$38:$C$56</f>
            </numRef>
          </val>
        </ser>
        <ser>
          <idx val="1"/>
          <order val="1"/>
          <tx>
            <strRef>
              <f>'차트데이터'!D37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'차트데이터'!$B$38:$B$56</f>
            </numRef>
          </cat>
          <val>
            <numRef>
              <f>'차트데이터'!$D$38:$D$56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분기 한도 판정 분포 (부서×계정)</a:t>
            </a:r>
          </a:p>
        </rich>
      </tx>
    </title>
    <plotArea>
      <doughnutChart>
        <varyColors val="1"/>
        <ser>
          <idx val="0"/>
          <order val="0"/>
          <tx>
            <strRef>
              <f>'차트데이터'!B30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'차트데이터'!$A$31:$A$35</f>
            </numRef>
          </cat>
          <val>
            <numRef>
              <f>'차트데이터'!$B$31:$B$35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재무상태 추이 (최근 12개월)</a:t>
            </a:r>
          </a:p>
        </rich>
      </tx>
    </title>
    <plotArea>
      <lineChart>
        <grouping val="standard"/>
        <ser>
          <idx val="0"/>
          <order val="0"/>
          <tx>
            <strRef>
              <f>'차트데이터'!C60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'차트데이터'!$B$61:$B$72</f>
            </numRef>
          </cat>
          <val>
            <numRef>
              <f>'차트데이터'!$C$61:$C$72</f>
            </numRef>
          </val>
        </ser>
        <ser>
          <idx val="1"/>
          <order val="1"/>
          <tx>
            <strRef>
              <f>'차트데이터'!D60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'차트데이터'!$B$61:$B$72</f>
            </numRef>
          </cat>
          <val>
            <numRef>
              <f>'차트데이터'!$D$61:$D$72</f>
            </numRef>
          </val>
        </ser>
        <ser>
          <idx val="2"/>
          <order val="2"/>
          <tx>
            <strRef>
              <f>'차트데이터'!E60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'차트데이터'!$B$61:$B$72</f>
            </numRef>
          </cat>
          <val>
            <numRef>
              <f>'차트데이터'!$E$61:$E$72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당기순이익 (당해 vs 전년)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'차트데이터'!B75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'차트데이터'!$A$76:$A$87</f>
            </numRef>
          </cat>
          <val>
            <numRef>
              <f>'차트데이터'!$B$76:$B$87</f>
            </numRef>
          </val>
        </ser>
        <ser>
          <idx val="1"/>
          <order val="1"/>
          <tx>
            <strRef>
              <f>'차트데이터'!C75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'차트데이터'!$A$76:$A$87</f>
            </numRef>
          </cat>
          <val>
            <numRef>
              <f>'차트데이터'!$C$76:$C$87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GMM CSM 변동 요인 (당월)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'IFRS17_사업비'!E45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'IFRS17_사업비'!$B$46:$B$55</f>
            </numRef>
          </cat>
          <val>
            <numRef>
              <f>'IFRS17_사업비'!$E$46:$E$55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사업비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'리포트'!L29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'리포트'!$K$30:$K$41</f>
            </numRef>
          </cat>
          <val>
            <numRef>
              <f>'리포트'!$L$30:$L$41</f>
            </numRef>
          </val>
        </ser>
        <ser>
          <idx val="1"/>
          <order val="1"/>
          <tx>
            <strRef>
              <f>'리포트'!M29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'리포트'!$K$30:$K$41</f>
            </numRef>
          </cat>
          <val>
            <numRef>
              <f>'리포트'!$M$30:$M$41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5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55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5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22</row>
      <rowOff>0</rowOff>
    </from>
    <ext cx="55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5580000" cy="259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41</row>
      <rowOff>0</rowOff>
    </from>
    <ext cx="5580000" cy="259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78</row>
      <rowOff>0</rowOff>
    </from>
    <ext cx="111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28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62" customWidth="1" min="3" max="3"/>
  </cols>
  <sheetData>
    <row r="1">
      <c r="A1" s="1" t="inlineStr">
        <is>
          <t>TRACE 사업비 원인추적기 v0.5 (프로토타입)</t>
        </is>
      </c>
    </row>
    <row r="2">
      <c r="A2" s="2" t="inlineStr">
        <is>
          <t>Excel 2016 호환 · 계산은 수식, 자동화는 VBA(modTrace.bas) · 예시 데이터는 가상 수치 (원본 단위: 원, 보고 단위: 백만원)</t>
        </is>
      </c>
    </row>
    <row r="4">
      <c r="A4" s="3" t="inlineStr">
        <is>
          <t>이름의 뜻</t>
        </is>
      </c>
    </row>
    <row r="5" ht="20" customHeight="1">
      <c r="A5" s="4" t="inlineStr">
        <is>
          <t>글자</t>
        </is>
      </c>
      <c r="B5" s="4" t="inlineStr">
        <is>
          <t>뜻</t>
        </is>
      </c>
      <c r="C5" s="4" t="inlineStr">
        <is>
          <t>도구에서 하는 일 (시트)</t>
        </is>
      </c>
    </row>
    <row r="6">
      <c r="A6" s="5" t="inlineStr">
        <is>
          <t>T</t>
        </is>
      </c>
      <c r="B6" s="6" t="inlineStr">
        <is>
          <t>Trend 추이</t>
        </is>
      </c>
      <c r="C6" s="7" t="inlineStr">
        <is>
          <t>전월·전분기·전년동월 대비 변동 (변동분석 · 월별집계 · 계정변동)</t>
        </is>
      </c>
    </row>
    <row r="7">
      <c r="A7" s="5" t="inlineStr">
        <is>
          <t>R</t>
        </is>
      </c>
      <c r="B7" s="6" t="inlineStr">
        <is>
          <t>Risk 예산 위험</t>
        </is>
      </c>
      <c r="C7" s="7" t="inlineStr">
        <is>
          <t>부서 × 계정 × 분기 한도 점검(변동분석 AJ~AO열)과 연간 전망(P~Y열)</t>
        </is>
      </c>
    </row>
    <row r="8">
      <c r="A8" s="5" t="inlineStr">
        <is>
          <t>A</t>
        </is>
      </c>
      <c r="B8" s="6" t="inlineStr">
        <is>
          <t>Anomaly 이상치</t>
        </is>
      </c>
      <c r="C8" s="7" t="inlineStr">
        <is>
          <t>평소 변동폭을 벗어난 항목을 점수로 골라냄 (주의대상)</t>
        </is>
      </c>
    </row>
    <row r="9">
      <c r="A9" s="5" t="inlineStr">
        <is>
          <t>C</t>
        </is>
      </c>
      <c r="B9" s="6" t="inlineStr">
        <is>
          <t>Cause 원인</t>
        </is>
      </c>
      <c r="C9" s="7" t="inlineStr">
        <is>
          <t>증가분을 거래처·전표로 쪼개 원인 후보와 근거 전표 제시 (원인분석 · 키워드사전)</t>
        </is>
      </c>
    </row>
    <row r="10">
      <c r="A10" s="5" t="inlineStr">
        <is>
          <t>E</t>
        </is>
      </c>
      <c r="B10" s="6" t="inlineStr">
        <is>
          <t>Expense 사업비</t>
        </is>
      </c>
      <c r="C10" s="7" t="inlineStr">
        <is>
          <t>분석 대상: 사업비 계정 (계정매핑에서 사업비 여부 Y)</t>
        </is>
      </c>
    </row>
    <row r="12">
      <c r="A12" s="3" t="inlineStr">
        <is>
          <t>흐름 단계와 시트</t>
        </is>
      </c>
    </row>
    <row r="13" ht="20" customHeight="1">
      <c r="A13" s="4" t="inlineStr">
        <is>
          <t>단계</t>
        </is>
      </c>
      <c r="B13" s="4" t="inlineStr">
        <is>
          <t>하는 일</t>
        </is>
      </c>
      <c r="C13" s="4" t="inlineStr">
        <is>
          <t>시트</t>
        </is>
      </c>
    </row>
    <row r="14">
      <c r="A14" s="6" t="inlineStr">
        <is>
          <t>① 자료 넣기</t>
        </is>
      </c>
      <c r="B14" s="8" t="inlineStr">
        <is>
          <t>SAP 예산판·TB·전표·BS·PL을 원본 시트 A열부터 붙여넣기</t>
        </is>
      </c>
      <c r="C14" s="7" t="inlineStr">
        <is>
          <t>예산판_원본 · TB_원본 · 전표_원본 · BS_원본 · PL_원본</t>
        </is>
      </c>
    </row>
    <row r="15">
      <c r="A15" s="6" t="inlineStr">
        <is>
          <t>② 불러오기·대사</t>
        </is>
      </c>
      <c r="B15" s="8" t="inlineStr">
        <is>
          <t>매핑 적용, 전표 = TB = 예산판 실적 대사, 데이터 점검</t>
        </is>
      </c>
      <c r="C15" s="7" t="inlineStr">
        <is>
          <t>자가진단 · 계정변동</t>
        </is>
      </c>
    </row>
    <row r="16">
      <c r="A16" s="6" t="inlineStr">
        <is>
          <t>③ 변동 분석</t>
        </is>
      </c>
      <c r="B16" s="8" t="inlineStr">
        <is>
          <t>전월·전분기·전년동월 대비 증감 (부서 × 계정)</t>
        </is>
      </c>
      <c r="C16" s="7" t="inlineStr">
        <is>
          <t>변동분석 F~O열 · 월별집계 · 계정변동</t>
        </is>
      </c>
    </row>
    <row r="17">
      <c r="A17" s="6" t="inlineStr">
        <is>
          <t>④ 예산 점검</t>
        </is>
      </c>
      <c r="B17" s="8" t="inlineStr">
        <is>
          <t>분기 한도(배정+조정) 대비 분기 실적·분기말 예상 → 여유/주의/초과 예상/한도 초과, 연간 전망은 참고</t>
        </is>
      </c>
      <c r="C17" s="7" t="inlineStr">
        <is>
          <t>변동분석 AJ~AO열 · P~Y열</t>
        </is>
      </c>
    </row>
    <row r="18">
      <c r="A18" s="6" t="inlineStr">
        <is>
          <t>⑤ 주의 대상</t>
        </is>
      </c>
      <c r="B18" s="8" t="inlineStr">
        <is>
          <t>증가액·증가율·이상치·예산 점수 합산 → TOP 10</t>
        </is>
      </c>
      <c r="C18" s="7" t="inlineStr">
        <is>
          <t>주의대상 · 변동분석 AA열 이후</t>
        </is>
      </c>
    </row>
    <row r="19">
      <c r="A19" s="6" t="inlineStr">
        <is>
          <t>⑥ 원인 추정</t>
        </is>
      </c>
      <c r="B19" s="8" t="inlineStr">
        <is>
          <t>선택 항목을 거래처·전표로 분해, 8가지 패턴 판정, 근거 전표</t>
        </is>
      </c>
      <c r="C19" s="7" t="inlineStr">
        <is>
          <t>원인분석 · 키워드사전</t>
        </is>
      </c>
    </row>
    <row r="20">
      <c r="A20" s="6" t="inlineStr">
        <is>
          <t>⑦ 보고·확인</t>
        </is>
      </c>
      <c r="B20" s="8" t="inlineStr">
        <is>
          <t>보고서·대시보드, 확인된 원인을 코멘트로 누적</t>
        </is>
      </c>
      <c r="C20" s="7" t="inlineStr">
        <is>
          <t>리포트 · 대시보드 · 차트데이터 · 코멘트 · TRACE_대시보드.html</t>
        </is>
      </c>
    </row>
    <row r="21">
      <c r="A21" s="6" t="inlineStr">
        <is>
          <t>⑧ IFRS 17 연결</t>
        </is>
      </c>
      <c r="B21" s="8" t="inlineStr">
        <is>
          <t>계정대체(직접대체 → 재산관리비 → 부서별 비율) → 상품·포트폴리오 → 예정 대비 경험차이 → CSM(GMM)·당기손익, 계리 변동표와 대사</t>
        </is>
      </c>
      <c r="C21" s="7" t="inlineStr">
        <is>
          <t>IFRS17_사업비 · 계정대체기준 · 계정매핑 · 예정사업비 · 부채변동표</t>
        </is>
      </c>
    </row>
    <row r="23">
      <c r="A23" s="3" t="inlineStr">
        <is>
          <t>매월 사용 순서</t>
        </is>
      </c>
    </row>
    <row r="24">
      <c r="A24" s="9" t="inlineStr">
        <is>
          <t>1. 설정 시트에서 기준연도·기준월 변경</t>
        </is>
      </c>
    </row>
    <row r="25">
      <c r="A25" s="9" t="inlineStr">
        <is>
          <t>2. [예산판·TB·전표·BS·PL 불러오기] 버튼으로 SAP에서 내려받은 파일 선택 (매크로 없이: 원본 시트 A열부터 붙여넣고 보조수식 끌어 채우기)</t>
        </is>
      </c>
    </row>
    <row r="26">
      <c r="A26" s="9" t="inlineStr">
        <is>
          <t>3. 자가진단이 '전체 정상'인지 확인</t>
        </is>
      </c>
    </row>
    <row r="27">
      <c r="A27" s="9" t="inlineStr">
        <is>
          <t>4. 주의대상 TOP 10 확인 → 원인분석 시트 C5에 순위 입력 (비교 기준은 C6) → 원인 후보와 근거 전표 확인</t>
        </is>
      </c>
    </row>
    <row r="28">
      <c r="A28" s="9" t="inlineStr">
        <is>
          <t>5. 담당 부서 확인 결과를 코멘트 시트에 입력 → 주의대상·리포트에 표시</t>
        </is>
      </c>
    </row>
    <row r="29">
      <c r="A29" s="9" t="inlineStr">
        <is>
          <t>6. 새로 알게 된 적요 표현은 키워드사전에 추가 → 다음 달 원인 추정에 반영</t>
        </is>
      </c>
    </row>
    <row r="30">
      <c r="A30" s="9" t="inlineStr">
        <is>
          <t>7. [예정사업비·부채변동표 불러오기] (분기·월 결산 후) → IFRS17_사업비 시트에서 CSM·손익 영향과 근거 전표 확인</t>
        </is>
      </c>
    </row>
    <row r="31">
      <c r="A31" s="9" t="inlineStr">
        <is>
          <t>8. [대시보드 내보내기] 버튼 → 같은 폴더에 data.js 생성 → TRACE_대시보드.html을 열면 최신 결과 표시</t>
        </is>
      </c>
    </row>
    <row r="33">
      <c r="A33" s="3" t="inlineStr">
        <is>
          <t>매크로 설치 (1회)</t>
        </is>
      </c>
    </row>
    <row r="34">
      <c r="A34" s="9" t="inlineStr">
        <is>
          <t>1. Alt+F11 → [파일] → [파일 가져오기] → modTrace.bas</t>
        </is>
      </c>
    </row>
    <row r="35">
      <c r="A35" s="9" t="inlineStr">
        <is>
          <t>2. Alt+F8 → SetupButtons 실행 → 설정 시트 오른쪽에 버튼 10개 생성</t>
        </is>
      </c>
    </row>
    <row r="36">
      <c r="A36" s="9" t="inlineStr">
        <is>
          <t>3. [다른 이름으로 저장] → 'Excel 매크로 사용 통합 문서 (*.xlsm)'</t>
        </is>
      </c>
    </row>
    <row r="37">
      <c r="A37" s="9" t="inlineStr">
        <is>
          <t>4. TRACE_대시보드.html을 이 엑셀 파일과 같은 폴더에 둡니다</t>
        </is>
      </c>
    </row>
    <row r="39">
      <c r="A39" s="3" t="inlineStr">
        <is>
          <t>입력 양식 바꾸는 법 (실제 SAP 양식이 정해졌을 때)</t>
        </is>
      </c>
    </row>
    <row r="40">
      <c r="A40" s="9" t="inlineStr">
        <is>
          <t>1. 열 이름·순서가 다름 → 헤더설정 시트의 '찾을 헤더 이름'을 실제 머리글로 고치고 [OO 불러오기] 버튼 사용 (열 순서는 상관없음)</t>
        </is>
      </c>
    </row>
    <row r="41">
      <c r="A41" s="9" t="inlineStr">
        <is>
          <t>2. 같은 열을 부르는 이름이 여러 개 → '대체 이름'에 쉼표로 추가 (예: 금액, DMBTR, 현지통화금액)</t>
        </is>
      </c>
    </row>
    <row r="42">
      <c r="A42" s="9" t="inlineStr">
        <is>
          <t>3. 전표가 차대구분(S/H) + 양수 금액 형식 → 입력옵션 시트에서 '전표 금액 방식'을 '차대구분+양수금액'으로</t>
        </is>
      </c>
    </row>
    <row r="43">
      <c r="A43" s="9" t="inlineStr">
        <is>
          <t>4. BS·PL 항목코드가 회사 코드 → 입력옵션 시트의 항목 매핑에 실제 항목코드(또는 항목명) 입력</t>
        </is>
      </c>
    </row>
    <row r="44">
      <c r="A44" s="9" t="inlineStr">
        <is>
          <t>5. 계정·부서 체계가 다름 → 계정매핑(사업비 여부, IFRS17 대체구분·직접대체 계정·공통비 성격)·부서매핑(코스트센터 → 부서)·계정대체기준(재산관리비 비율, 부서별 비율) 수정</t>
        </is>
      </c>
    </row>
    <row r="45">
      <c r="A45" s="9" t="inlineStr">
        <is>
          <t>6. 선택 열이 없음 → 비워둬도 됩니다. 빠지는 기능은 헤더설정 '없을 때' 칸에 적혀 있습니다</t>
        </is>
      </c>
    </row>
    <row r="46">
      <c r="A46" s="9" t="inlineStr">
        <is>
          <t>7. BS·PL을 감독원 양식(항목이 행, 금액이 열)으로 받음 → 입력옵션 'BS·PL 양식 형태'를 '감독원 (가로)'로, 당기·전기·누계 열 이름 지정 (기준월 한 달씩 합쳐짐)</t>
        </is>
      </c>
    </row>
    <row r="47">
      <c r="A47" s="9" t="inlineStr">
        <is>
          <t>8. 감독원 양식의 항목코드·변동요인코드 → 입력옵션의 항목 매핑·변동요인 매핑에 실제 코드 입력 (예시 감독원 양식 코드가 기본값)</t>
        </is>
      </c>
    </row>
    <row r="48">
      <c r="A48" s="9" t="inlineStr">
        <is>
          <t>9. 표준에 없는 새 열을 분석에 쓰고 싶음 → 외부망에서 버전업이 필요합니다 (src/build_trace.py 수정)</t>
        </is>
      </c>
    </row>
    <row r="49">
      <c r="A49" s="9" t="inlineStr">
        <is>
          <t>매크로 없이 쓸 때는 원본 시트 4행 머리글 순서대로 열을 맞춰 붙여넣으면 됩니다.</t>
        </is>
      </c>
    </row>
    <row r="51">
      <c r="A51" s="3" t="inlineStr">
        <is>
          <t>원본 데이터 기준</t>
        </is>
      </c>
    </row>
    <row r="52">
      <c r="A52" s="9" t="inlineStr">
        <is>
          <t>예산판: 부서 × G/L × 분기 한 행 (배정·조정·실적·잔여). 화면이 분기를 옆으로 펼치는 형태면 알려주세요. 양식을 맞추겠습니다.</t>
        </is>
      </c>
    </row>
    <row r="53">
      <c r="A53" s="9" t="inlineStr">
        <is>
          <t>TB: G/L × 월 한 행 (당기차변·당기대변·기말잔액). 당해와 전년을 함께 넣어야 전년동월 비교가 됩니다.</t>
        </is>
      </c>
    </row>
    <row r="54">
      <c r="A54" s="9" t="inlineStr">
        <is>
          <t>전표: 사업비 계정 전표 라인 (최근 24개월 권장). 적요·거래처가 있어야 원인 추정이 됩니다.</t>
        </is>
      </c>
    </row>
    <row r="55">
      <c r="A55" s="9" t="inlineStr">
        <is>
          <t>BS: 기간 × 항목 한 행 (기말잔액). PL: 기간 × 항목 한 행 (당월·누계, 비용은 양수). 항목코드는 BS A000/L000/E000, PL P100~P600 기준이며 실제 양식에 맞춰 바꿀 수 있습니다.</t>
        </is>
      </c>
    </row>
    <row r="56">
      <c r="A56" s="9" t="inlineStr">
        <is>
          <t>거래처명이 '('로 시작하면 내부 거래(법인카드·내부대체 등)로 보고 신규 거래처 판정에서 뺍니다.</t>
        </is>
      </c>
    </row>
    <row r="58">
      <c r="A58" s="3" t="inlineStr">
        <is>
          <t>셀 색상</t>
        </is>
      </c>
    </row>
    <row r="59">
      <c r="A59" s="9" t="inlineStr">
        <is>
          <t>파란 글씨 = 입력값 · 검정 = 수식 · 초록 = 다른 시트 참조 수식 · 노란 배경 = 바꾸는 설정 · 회색 머리글 = 보조수식(수정 금지)</t>
        </is>
      </c>
    </row>
    <row r="61">
      <c r="A61" s="3" t="inlineStr">
        <is>
          <t>한계와 전제</t>
        </is>
      </c>
    </row>
    <row r="62">
      <c r="A62" s="9" t="inlineStr">
        <is>
          <t>원인분석은 한 번에 한 항목씩 계산합니다. TOP 10 전체 원인을 리포트에 자동으로 채우는 기능은 VBA로 추가 예정입니다.</t>
        </is>
      </c>
    </row>
    <row r="63">
      <c r="A63" s="9" t="inlineStr">
        <is>
          <t>변동분석의 부서·계정 목록은 고정입니다. 새 조합이 생기면 자가진단이 알려주며, 행을 직접 추가해야 합니다 (VBA 버전에서 자동).</t>
        </is>
      </c>
    </row>
    <row r="64">
      <c r="A64" s="9" t="inlineStr">
        <is>
          <t>원인 후보는 규칙 기반 가설입니다. 반드시 근거 전표와 담당 부서 확인으로 확정하세요.</t>
        </is>
      </c>
    </row>
    <row r="65">
      <c r="A65" s="9" t="inlineStr">
        <is>
          <t>IFRS 17 연결은 계정대체 규칙과 포트폴리오 비율로 전표를 나눈 추정입니다. 계리 변동표(경험조정-취득현금흐름)와 대사해 확인하세요. 측정모형별 처리는 회사 회계정책을 따릅니다.</t>
        </is>
      </c>
    </row>
    <row r="66">
      <c r="A66" s="9" t="inlineStr">
        <is>
          <t>포트폴리오: GMM(보장성·저축성)과 VFA(변액)는 신계약비 차이가 CSM을 조정하고 유지·수금비 차이는 당기손익, PAA(단체)는 손익 영향만 봅니다. 변액은 특별계정 구분계리 대상이지만 손익에 영향을 주므로 분석에 포함합니다.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62" customWidth="1" min="4" max="4"/>
    <col width="3" customWidth="1" min="5" max="5"/>
    <col width="9" customWidth="1" min="6" max="6"/>
    <col width="12" customWidth="1" min="7" max="7"/>
  </cols>
  <sheetData>
    <row r="1">
      <c r="A1" s="1" t="inlineStr">
        <is>
          <t>TRACE · 설정</t>
        </is>
      </c>
    </row>
    <row r="2">
      <c r="A2" s="2" t="inlineStr">
        <is>
          <t>노란 칸만 바꾸세요</t>
        </is>
      </c>
    </row>
    <row r="4" ht="20" customHeight="1">
      <c r="B4" s="4" t="inlineStr">
        <is>
          <t>항목</t>
        </is>
      </c>
      <c r="C4" s="4" t="inlineStr">
        <is>
          <t>값</t>
        </is>
      </c>
      <c r="D4" s="4" t="inlineStr">
        <is>
          <t>설명</t>
        </is>
      </c>
      <c r="F4" s="4" t="inlineStr">
        <is>
          <t>단위</t>
        </is>
      </c>
      <c r="G4" s="4" t="inlineStr">
        <is>
          <t>원 환산</t>
        </is>
      </c>
    </row>
    <row r="5">
      <c r="B5" s="10" t="inlineStr">
        <is>
          <t>회사명</t>
        </is>
      </c>
      <c r="C5" s="11" t="inlineStr">
        <is>
          <t>예시보험㈜</t>
        </is>
      </c>
      <c r="D5" s="7" t="inlineStr"/>
      <c r="F5" s="12" t="inlineStr">
        <is>
          <t>원</t>
        </is>
      </c>
      <c r="G5" s="13" t="n">
        <v>1</v>
      </c>
    </row>
    <row r="6">
      <c r="B6" s="10" t="inlineStr">
        <is>
          <t>기준연도</t>
        </is>
      </c>
      <c r="C6" s="14" t="n">
        <v>2026</v>
      </c>
      <c r="D6" s="7" t="inlineStr"/>
      <c r="F6" s="12" t="inlineStr">
        <is>
          <t>천원</t>
        </is>
      </c>
      <c r="G6" s="13" t="n">
        <v>1000</v>
      </c>
    </row>
    <row r="7">
      <c r="B7" s="10" t="inlineStr">
        <is>
          <t>기준월</t>
        </is>
      </c>
      <c r="C7" s="14" t="n">
        <v>9</v>
      </c>
      <c r="D7" s="7" t="inlineStr">
        <is>
          <t>1~12</t>
        </is>
      </c>
      <c r="F7" s="12" t="inlineStr">
        <is>
          <t>백만원</t>
        </is>
      </c>
      <c r="G7" s="13" t="n">
        <v>1000000</v>
      </c>
    </row>
    <row r="8">
      <c r="B8" s="10" t="inlineStr">
        <is>
          <t>원본 금액단위</t>
        </is>
      </c>
      <c r="C8" s="11" t="inlineStr">
        <is>
          <t>원</t>
        </is>
      </c>
      <c r="D8" s="7" t="inlineStr">
        <is>
          <t>예산판·TB·전표 공통</t>
        </is>
      </c>
    </row>
    <row r="9">
      <c r="B9" s="10" t="inlineStr">
        <is>
          <t>보고 단위</t>
        </is>
      </c>
      <c r="C9" s="11" t="inlineStr">
        <is>
          <t>백만원</t>
        </is>
      </c>
      <c r="D9" s="7" t="inlineStr">
        <is>
          <t>모든 분석 표시 단위</t>
        </is>
      </c>
    </row>
    <row r="10">
      <c r="B10" s="10" t="inlineStr">
        <is>
          <t>증감 기준금액 (보고단위)</t>
        </is>
      </c>
      <c r="C10" s="15" t="n">
        <v>10</v>
      </c>
      <c r="D10" s="7" t="inlineStr">
        <is>
          <t>이 금액 미만의 작은 증감은 주의 점수를 30%로 낮춤 · 증가액 점수 만점 = 5배</t>
        </is>
      </c>
    </row>
    <row r="11">
      <c r="B11" s="10" t="inlineStr">
        <is>
          <t>예산 '주의' 기준 (예상 소진율)</t>
        </is>
      </c>
      <c r="C11" s="16" t="n">
        <v>0.9</v>
      </c>
      <c r="D11" s="7" t="inlineStr">
        <is>
          <t>예상 연간 실적 ÷ 가용예산이 이 값 초과면 주의</t>
        </is>
      </c>
    </row>
    <row r="12">
      <c r="B12" s="10" t="inlineStr">
        <is>
          <t>예산 '부족 예상' 기준</t>
        </is>
      </c>
      <c r="C12" s="16" t="n">
        <v>1</v>
      </c>
      <c r="D12" s="7" t="inlineStr">
        <is>
          <t>이 값 초과면 부족 예상</t>
        </is>
      </c>
    </row>
    <row r="13">
      <c r="B13" s="10" t="inlineStr">
        <is>
          <t>이상치 기준 (z)</t>
        </is>
      </c>
      <c r="C13" s="17" t="n">
        <v>2</v>
      </c>
      <c r="D13" s="7" t="inlineStr">
        <is>
          <t>직전 12개월 평균 대비 표준편차 배수</t>
        </is>
      </c>
    </row>
    <row r="14">
      <c r="B14" s="10" t="inlineStr">
        <is>
          <t>원인: 단건 비중</t>
        </is>
      </c>
      <c r="C14" s="16" t="n">
        <v>0.5</v>
      </c>
      <c r="D14" s="7" t="inlineStr">
        <is>
          <t>전표 1건이 증가분의 이 비율 이상이고, 그 거래처 평소 월평균의 3배 이상이면 '일회성 대형' (내부 거래처 제외)</t>
        </is>
      </c>
    </row>
    <row r="15">
      <c r="B15" s="10" t="inlineStr">
        <is>
          <t>원인: 신규 거래처 비중</t>
        </is>
      </c>
      <c r="C15" s="16" t="n">
        <v>0.3</v>
      </c>
      <c r="D15" s="7" t="inlineStr">
        <is>
          <t>최근 12개월 거래 없던 거래처의 증가분 비중</t>
        </is>
      </c>
    </row>
    <row r="16">
      <c r="B16" s="10" t="inlineStr">
        <is>
          <t>원인: SA 대체 비중</t>
        </is>
      </c>
      <c r="C16" s="16" t="n">
        <v>0.3</v>
      </c>
      <c r="D16" s="7" t="inlineStr">
        <is>
          <t>수기 대체전표(SA) 순증의 증가분 비중</t>
        </is>
      </c>
    </row>
    <row r="17">
      <c r="B17" s="10" t="inlineStr">
        <is>
          <t>원인: 키워드 비중</t>
        </is>
      </c>
      <c r="C17" s="16" t="n">
        <v>0.3</v>
      </c>
      <c r="D17" s="7" t="inlineStr">
        <is>
          <t>키워드사전 해당 전표의 증가분 비중</t>
        </is>
      </c>
    </row>
    <row r="18">
      <c r="B18" s="10" t="inlineStr">
        <is>
          <t>원인: 단가 상승률</t>
        </is>
      </c>
      <c r="C18" s="16" t="n">
        <v>0.05</v>
      </c>
      <c r="D18" s="7" t="inlineStr">
        <is>
          <t>같은 건수에서 이 비율 이상, 50% 이하로 오르면 '단가 인상'</t>
        </is>
      </c>
    </row>
    <row r="19">
      <c r="B19" s="10" t="inlineStr">
        <is>
          <t>고갈 추세 기울기</t>
        </is>
      </c>
      <c r="C19" s="11" t="inlineStr">
        <is>
          <t>연내누적</t>
        </is>
      </c>
      <c r="D19" s="7" t="inlineStr">
        <is>
          <t>연내누적(연초~기준월 누계에 맞춘 직선) / 최근월(당월 사용액) / 최근분기(최근 3개월 평균) / 전년추세(작년 같은 남은 기간의 월평균)</t>
        </is>
      </c>
    </row>
    <row r="20">
      <c r="B20" s="10" t="inlineStr">
        <is>
          <t>(계산) 기준 기간번호</t>
        </is>
      </c>
      <c r="C20" s="18">
        <f>C6*12+C7</f>
        <v/>
      </c>
      <c r="D20" s="7" t="inlineStr">
        <is>
          <t>연도×12+월. 기간 비교에 사용</t>
        </is>
      </c>
    </row>
    <row r="21">
      <c r="B21" s="10" t="inlineStr">
        <is>
          <t>(계산) 기준 분기</t>
        </is>
      </c>
      <c r="C21" s="18">
        <f>ROUNDUP(C7/3,0)</f>
        <v/>
      </c>
      <c r="D21" s="7" t="inlineStr"/>
    </row>
    <row r="22">
      <c r="B22" s="10" t="inlineStr">
        <is>
          <t>(계산) 분기 시작 기간번호</t>
        </is>
      </c>
      <c r="C22" s="18">
        <f>C6*12+(C21-1)*3+1</f>
        <v/>
      </c>
      <c r="D22" s="7" t="inlineStr"/>
    </row>
    <row r="23">
      <c r="B23" s="10" t="inlineStr">
        <is>
          <t>(계산) 금액 환산계수</t>
        </is>
      </c>
      <c r="C23" s="19">
        <f>INDEX($G$5:$G$7,MATCH(C8,$F$5:$F$7,0))/INDEX($G$5:$G$7,MATCH(C9,$F$5:$F$7,0))</f>
        <v/>
      </c>
      <c r="D23" s="7" t="inlineStr">
        <is>
          <t>원본 금액 × 계수 = 보고단위</t>
        </is>
      </c>
    </row>
  </sheetData>
  <dataValidations count="3">
    <dataValidation sqref="C8:C9" showDropDown="0" showInputMessage="0" showErrorMessage="0" allowBlank="0" type="list">
      <formula1>=$F$5:$F$7</formula1>
    </dataValidation>
    <dataValidation sqref="C7" showDropDown="0" showInputMessage="0" showErrorMessage="0" allowBlank="0" type="whole" operator="between">
      <formula1>1</formula1>
      <formula2>12</formula2>
    </dataValidation>
    <dataValidation sqref="C19" showDropDown="0" showInputMessage="0" showErrorMessage="0" allowBlank="0" type="list">
      <formula1>"연내누적,최근월,최근분기,전년추세"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F9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38" customWidth="1" min="4" max="4"/>
    <col width="8" customWidth="1" min="5" max="5"/>
    <col width="52" customWidth="1" min="6" max="6"/>
  </cols>
  <sheetData>
    <row r="1">
      <c r="A1" s="1" t="inlineStr">
        <is>
          <t>TRACE · 헤더설정 (불러오기가 찾는 열 이름)</t>
        </is>
      </c>
    </row>
    <row r="2">
      <c r="A2" s="2" t="inlineStr">
        <is>
          <t>노란 칸만 고치세요 · SAP 화면에서 내려받은 파일의 머리글과 똑같이 적으면 그 열을 찾아 표준 위치에 넣습니다</t>
        </is>
      </c>
    </row>
    <row r="3">
      <c r="B3" s="2" t="inlineStr">
        <is>
          <t>찾는 순서: ① '찾을 헤더 이름' → ② '대체 이름'(쉼표로 여러 개) 중 먼저 맞는 열. 띄어쓰기·대소문자·줄바꿈은 무시합니다.</t>
        </is>
      </c>
    </row>
    <row r="4">
      <c r="B4" s="2" t="inlineStr">
        <is>
          <t>필수 열을 찾지 못하면 불러오기를 멈추고 어떤 열이 없는지 알려줍니다. 선택 열은 없으면 빈칸으로 두고 '없을 때'에 적힌 기능만 빠집니다.</t>
        </is>
      </c>
    </row>
    <row r="5">
      <c r="B5" s="2" t="inlineStr">
        <is>
          <t>수식은 표준 열 기준이라 이 표를 고쳐도 다른 시트는 건드릴 필요가 없습니다.</t>
        </is>
      </c>
    </row>
    <row r="7">
      <c r="B7" s="3" t="inlineStr">
        <is>
          <t>예산판_원본  (빈 행 판정 열: 부서코드)</t>
        </is>
      </c>
    </row>
    <row r="8" ht="20" customHeight="1">
      <c r="B8" s="4" t="inlineStr">
        <is>
          <t>표준 열 (원본 시트)</t>
        </is>
      </c>
      <c r="C8" s="4" t="inlineStr">
        <is>
          <t>찾을 헤더 이름</t>
        </is>
      </c>
      <c r="D8" s="4" t="inlineStr">
        <is>
          <t>대체 이름 (쉼표로 구분)</t>
        </is>
      </c>
      <c r="E8" s="4" t="inlineStr">
        <is>
          <t>필수</t>
        </is>
      </c>
      <c r="F8" s="4" t="inlineStr">
        <is>
          <t>없을 때</t>
        </is>
      </c>
    </row>
    <row r="9">
      <c r="B9" s="10" t="inlineStr">
        <is>
          <t>A열 회계연도</t>
        </is>
      </c>
      <c r="C9" s="20" t="inlineStr">
        <is>
          <t>회계연도</t>
        </is>
      </c>
      <c r="D9" s="21" t="inlineStr">
        <is>
          <t>연도,년도,GJAHR</t>
        </is>
      </c>
      <c r="E9" s="22" t="inlineStr">
        <is>
          <t>필수</t>
        </is>
      </c>
      <c r="F9" s="7" t="inlineStr"/>
    </row>
    <row r="10">
      <c r="B10" s="10" t="inlineStr">
        <is>
          <t>B열 부서코드</t>
        </is>
      </c>
      <c r="C10" s="20" t="inlineStr">
        <is>
          <t>부서코드</t>
        </is>
      </c>
      <c r="D10" s="21" t="inlineStr">
        <is>
          <t>부서,팀코드,조직코드</t>
        </is>
      </c>
      <c r="E10" s="22" t="inlineStr">
        <is>
          <t>필수</t>
        </is>
      </c>
      <c r="F10" s="7" t="inlineStr"/>
    </row>
    <row r="11">
      <c r="B11" s="10" t="inlineStr">
        <is>
          <t>C열 부서명</t>
        </is>
      </c>
      <c r="C11" s="20" t="inlineStr">
        <is>
          <t>부서명</t>
        </is>
      </c>
      <c r="D11" s="21" t="inlineStr">
        <is>
          <t>팀명,조직명</t>
        </is>
      </c>
      <c r="E11" s="23" t="inlineStr">
        <is>
          <t>선택</t>
        </is>
      </c>
      <c r="F11" s="7" t="inlineStr">
        <is>
          <t>부서매핑의 부서명 사용</t>
        </is>
      </c>
    </row>
    <row r="12">
      <c r="B12" s="10" t="inlineStr">
        <is>
          <t>D열 G/L계정</t>
        </is>
      </c>
      <c r="C12" s="20" t="inlineStr">
        <is>
          <t>G/L계정</t>
        </is>
      </c>
      <c r="D12" s="21" t="inlineStr">
        <is>
          <t>계정,계정코드,예산계정,G/L,RACCT,HKONT</t>
        </is>
      </c>
      <c r="E12" s="22" t="inlineStr">
        <is>
          <t>필수</t>
        </is>
      </c>
      <c r="F12" s="7" t="inlineStr"/>
    </row>
    <row r="13">
      <c r="B13" s="10" t="inlineStr">
        <is>
          <t>E열 계정명</t>
        </is>
      </c>
      <c r="C13" s="20" t="inlineStr">
        <is>
          <t>계정명</t>
        </is>
      </c>
      <c r="D13" s="21" t="inlineStr">
        <is>
          <t>계정과목명,TXT50</t>
        </is>
      </c>
      <c r="E13" s="23" t="inlineStr">
        <is>
          <t>선택</t>
        </is>
      </c>
      <c r="F13" s="7" t="inlineStr">
        <is>
          <t>계정매핑의 계정명 사용</t>
        </is>
      </c>
    </row>
    <row r="14">
      <c r="B14" s="10" t="inlineStr">
        <is>
          <t>F열 분기</t>
        </is>
      </c>
      <c r="C14" s="20" t="inlineStr">
        <is>
          <t>분기</t>
        </is>
      </c>
      <c r="D14" s="21" t="inlineStr">
        <is>
          <t>분기구분,QTR</t>
        </is>
      </c>
      <c r="E14" s="22" t="inlineStr">
        <is>
          <t>필수</t>
        </is>
      </c>
      <c r="F14" s="7" t="inlineStr">
        <is>
          <t>1~4, Q1, 1분기 모두 가능</t>
        </is>
      </c>
    </row>
    <row r="15">
      <c r="B15" s="10" t="inlineStr">
        <is>
          <t>G열 배정</t>
        </is>
      </c>
      <c r="C15" s="20" t="inlineStr">
        <is>
          <t>배정</t>
        </is>
      </c>
      <c r="D15" s="21" t="inlineStr">
        <is>
          <t>배정액,배정예산,예산</t>
        </is>
      </c>
      <c r="E15" s="22" t="inlineStr">
        <is>
          <t>필수</t>
        </is>
      </c>
      <c r="F15" s="7" t="inlineStr"/>
    </row>
    <row r="16">
      <c r="B16" s="10" t="inlineStr">
        <is>
          <t>H열 조정</t>
        </is>
      </c>
      <c r="C16" s="20" t="inlineStr">
        <is>
          <t>조정</t>
        </is>
      </c>
      <c r="D16" s="21" t="inlineStr">
        <is>
          <t>조정액,전용</t>
        </is>
      </c>
      <c r="E16" s="23" t="inlineStr">
        <is>
          <t>선택</t>
        </is>
      </c>
      <c r="F16" s="7" t="inlineStr">
        <is>
          <t>0으로 처리</t>
        </is>
      </c>
    </row>
    <row r="17">
      <c r="B17" s="10" t="inlineStr">
        <is>
          <t>I열 실적</t>
        </is>
      </c>
      <c r="C17" s="20" t="inlineStr">
        <is>
          <t>실적</t>
        </is>
      </c>
      <c r="D17" s="21" t="inlineStr">
        <is>
          <t>집행,집행액,실적액</t>
        </is>
      </c>
      <c r="E17" s="23" t="inlineStr">
        <is>
          <t>선택</t>
        </is>
      </c>
      <c r="F17" s="7" t="inlineStr">
        <is>
          <t>예산판↔전표 대사 불가</t>
        </is>
      </c>
    </row>
    <row r="18">
      <c r="B18" s="10" t="inlineStr">
        <is>
          <t>J열 잔여</t>
        </is>
      </c>
      <c r="C18" s="20" t="inlineStr">
        <is>
          <t>잔여</t>
        </is>
      </c>
      <c r="D18" s="21" t="inlineStr">
        <is>
          <t>잔액,잔여예산</t>
        </is>
      </c>
      <c r="E18" s="23" t="inlineStr">
        <is>
          <t>선택</t>
        </is>
      </c>
      <c r="F18" s="7" t="inlineStr">
        <is>
          <t>참고용</t>
        </is>
      </c>
    </row>
    <row r="21">
      <c r="B21" s="3" t="inlineStr">
        <is>
          <t>TB_원본  (빈 행 판정 열: G/L계정)</t>
        </is>
      </c>
    </row>
    <row r="22" ht="20" customHeight="1">
      <c r="B22" s="4" t="inlineStr">
        <is>
          <t>표준 열 (원본 시트)</t>
        </is>
      </c>
      <c r="C22" s="4" t="inlineStr">
        <is>
          <t>찾을 헤더 이름</t>
        </is>
      </c>
      <c r="D22" s="4" t="inlineStr">
        <is>
          <t>대체 이름 (쉼표로 구분)</t>
        </is>
      </c>
      <c r="E22" s="4" t="inlineStr">
        <is>
          <t>필수</t>
        </is>
      </c>
      <c r="F22" s="4" t="inlineStr">
        <is>
          <t>없을 때</t>
        </is>
      </c>
    </row>
    <row r="23">
      <c r="B23" s="10" t="inlineStr">
        <is>
          <t>A열 회계연도</t>
        </is>
      </c>
      <c r="C23" s="20" t="inlineStr">
        <is>
          <t>회계연도</t>
        </is>
      </c>
      <c r="D23" s="21" t="inlineStr">
        <is>
          <t>연도,GJAHR,RYEAR</t>
        </is>
      </c>
      <c r="E23" s="22" t="inlineStr">
        <is>
          <t>필수</t>
        </is>
      </c>
      <c r="F23" s="7" t="inlineStr"/>
    </row>
    <row r="24">
      <c r="B24" s="10" t="inlineStr">
        <is>
          <t>B열 기간</t>
        </is>
      </c>
      <c r="C24" s="20" t="inlineStr">
        <is>
          <t>기간</t>
        </is>
      </c>
      <c r="D24" s="21" t="inlineStr">
        <is>
          <t>월,회계기간,POPER</t>
        </is>
      </c>
      <c r="E24" s="22" t="inlineStr">
        <is>
          <t>필수</t>
        </is>
      </c>
      <c r="F24" s="7" t="inlineStr">
        <is>
          <t>1~12 또는 001~012</t>
        </is>
      </c>
    </row>
    <row r="25">
      <c r="B25" s="10" t="inlineStr">
        <is>
          <t>C열 G/L계정</t>
        </is>
      </c>
      <c r="C25" s="20" t="inlineStr">
        <is>
          <t>G/L계정</t>
        </is>
      </c>
      <c r="D25" s="21" t="inlineStr">
        <is>
          <t>계정,계정코드,G/L,RACCT</t>
        </is>
      </c>
      <c r="E25" s="22" t="inlineStr">
        <is>
          <t>필수</t>
        </is>
      </c>
      <c r="F25" s="7" t="inlineStr"/>
    </row>
    <row r="26">
      <c r="B26" s="10" t="inlineStr">
        <is>
          <t>D열 계정명</t>
        </is>
      </c>
      <c r="C26" s="20" t="inlineStr">
        <is>
          <t>계정명</t>
        </is>
      </c>
      <c r="D26" s="21" t="inlineStr">
        <is>
          <t>계정과목명,TXT50</t>
        </is>
      </c>
      <c r="E26" s="23" t="inlineStr">
        <is>
          <t>선택</t>
        </is>
      </c>
      <c r="F26" s="7" t="inlineStr"/>
    </row>
    <row r="27">
      <c r="B27" s="10" t="inlineStr">
        <is>
          <t>E열 당기차변</t>
        </is>
      </c>
      <c r="C27" s="20" t="inlineStr">
        <is>
          <t>당기차변</t>
        </is>
      </c>
      <c r="D27" s="21" t="inlineStr">
        <is>
          <t>차변,당월차변,차변금액</t>
        </is>
      </c>
      <c r="E27" s="22" t="inlineStr">
        <is>
          <t>필수</t>
        </is>
      </c>
      <c r="F27" s="7" t="inlineStr"/>
    </row>
    <row r="28">
      <c r="B28" s="10" t="inlineStr">
        <is>
          <t>F열 당기대변</t>
        </is>
      </c>
      <c r="C28" s="20" t="inlineStr">
        <is>
          <t>당기대변</t>
        </is>
      </c>
      <c r="D28" s="21" t="inlineStr">
        <is>
          <t>대변,당월대변,대변금액</t>
        </is>
      </c>
      <c r="E28" s="22" t="inlineStr">
        <is>
          <t>필수</t>
        </is>
      </c>
      <c r="F28" s="7" t="inlineStr"/>
    </row>
    <row r="29">
      <c r="B29" s="10" t="inlineStr">
        <is>
          <t>G열 기말잔액</t>
        </is>
      </c>
      <c r="C29" s="20" t="inlineStr">
        <is>
          <t>기말잔액</t>
        </is>
      </c>
      <c r="D29" s="21" t="inlineStr">
        <is>
          <t>잔액,기말</t>
        </is>
      </c>
      <c r="E29" s="23" t="inlineStr">
        <is>
          <t>선택</t>
        </is>
      </c>
      <c r="F29" s="7" t="inlineStr">
        <is>
          <t>참고용</t>
        </is>
      </c>
    </row>
    <row r="32">
      <c r="B32" s="3" t="inlineStr">
        <is>
          <t>전표_원본  (빈 행 판정 열: G/L계정)</t>
        </is>
      </c>
    </row>
    <row r="33" ht="20" customHeight="1">
      <c r="B33" s="4" t="inlineStr">
        <is>
          <t>표준 열 (원본 시트)</t>
        </is>
      </c>
      <c r="C33" s="4" t="inlineStr">
        <is>
          <t>찾을 헤더 이름</t>
        </is>
      </c>
      <c r="D33" s="4" t="inlineStr">
        <is>
          <t>대체 이름 (쉼표로 구분)</t>
        </is>
      </c>
      <c r="E33" s="4" t="inlineStr">
        <is>
          <t>필수</t>
        </is>
      </c>
      <c r="F33" s="4" t="inlineStr">
        <is>
          <t>없을 때</t>
        </is>
      </c>
    </row>
    <row r="34">
      <c r="B34" s="10" t="inlineStr">
        <is>
          <t>A열 회계연도</t>
        </is>
      </c>
      <c r="C34" s="20" t="inlineStr">
        <is>
          <t>회계연도</t>
        </is>
      </c>
      <c r="D34" s="21" t="inlineStr">
        <is>
          <t>연도,GJAHR</t>
        </is>
      </c>
      <c r="E34" s="22" t="inlineStr">
        <is>
          <t>필수</t>
        </is>
      </c>
      <c r="F34" s="7" t="inlineStr"/>
    </row>
    <row r="35">
      <c r="B35" s="10" t="inlineStr">
        <is>
          <t>B열 기간</t>
        </is>
      </c>
      <c r="C35" s="20" t="inlineStr">
        <is>
          <t>기간</t>
        </is>
      </c>
      <c r="D35" s="21" t="inlineStr">
        <is>
          <t>월,회계기간,POPER</t>
        </is>
      </c>
      <c r="E35" s="22" t="inlineStr">
        <is>
          <t>필수</t>
        </is>
      </c>
      <c r="F35" s="7" t="inlineStr"/>
    </row>
    <row r="36">
      <c r="B36" s="10" t="inlineStr">
        <is>
          <t>C열 전표번호</t>
        </is>
      </c>
      <c r="C36" s="20" t="inlineStr">
        <is>
          <t>전표번호</t>
        </is>
      </c>
      <c r="D36" s="21" t="inlineStr">
        <is>
          <t>BELNR,문서번호</t>
        </is>
      </c>
      <c r="E36" s="23" t="inlineStr">
        <is>
          <t>선택</t>
        </is>
      </c>
      <c r="F36" s="7" t="inlineStr">
        <is>
          <t>근거 전표에 번호 없이 표시</t>
        </is>
      </c>
    </row>
    <row r="37">
      <c r="B37" s="10" t="inlineStr">
        <is>
          <t>D열 전기일</t>
        </is>
      </c>
      <c r="C37" s="20" t="inlineStr">
        <is>
          <t>전기일</t>
        </is>
      </c>
      <c r="D37" s="21" t="inlineStr">
        <is>
          <t>전기일자,일자,BUDAT</t>
        </is>
      </c>
      <c r="E37" s="23" t="inlineStr">
        <is>
          <t>선택</t>
        </is>
      </c>
      <c r="F37" s="7" t="inlineStr"/>
    </row>
    <row r="38">
      <c r="B38" s="10" t="inlineStr">
        <is>
          <t>E열 전표유형</t>
        </is>
      </c>
      <c r="C38" s="20" t="inlineStr">
        <is>
          <t>전표유형</t>
        </is>
      </c>
      <c r="D38" s="21" t="inlineStr">
        <is>
          <t>문서유형,BLART</t>
        </is>
      </c>
      <c r="E38" s="23" t="inlineStr">
        <is>
          <t>선택</t>
        </is>
      </c>
      <c r="F38" s="7" t="inlineStr">
        <is>
          <t>'재분류' 패턴 판정 불가</t>
        </is>
      </c>
    </row>
    <row r="39">
      <c r="B39" s="10" t="inlineStr">
        <is>
          <t>F열 G/L계정</t>
        </is>
      </c>
      <c r="C39" s="20" t="inlineStr">
        <is>
          <t>G/L계정</t>
        </is>
      </c>
      <c r="D39" s="21" t="inlineStr">
        <is>
          <t>계정,계정코드,HKONT,RACCT</t>
        </is>
      </c>
      <c r="E39" s="22" t="inlineStr">
        <is>
          <t>필수</t>
        </is>
      </c>
      <c r="F39" s="7" t="inlineStr"/>
    </row>
    <row r="40">
      <c r="B40" s="10" t="inlineStr">
        <is>
          <t>G열 코스트센터</t>
        </is>
      </c>
      <c r="C40" s="20" t="inlineStr">
        <is>
          <t>코스트센터</t>
        </is>
      </c>
      <c r="D40" s="21" t="inlineStr">
        <is>
          <t>비용센터,KOSTL,CC</t>
        </is>
      </c>
      <c r="E40" s="22" t="inlineStr">
        <is>
          <t>필수</t>
        </is>
      </c>
      <c r="F40" s="7" t="inlineStr"/>
    </row>
    <row r="41">
      <c r="B41" s="10" t="inlineStr">
        <is>
          <t>H열 금액</t>
        </is>
      </c>
      <c r="C41" s="20" t="inlineStr">
        <is>
          <t>금액</t>
        </is>
      </c>
      <c r="D41" s="21" t="inlineStr">
        <is>
          <t>금액(원),현지통화금액,DMBTR,HSL</t>
        </is>
      </c>
      <c r="E41" s="22" t="inlineStr">
        <is>
          <t>필수</t>
        </is>
      </c>
      <c r="F41" s="7" t="inlineStr">
        <is>
          <t>차대구분 방식이면 양수 금액</t>
        </is>
      </c>
    </row>
    <row r="42">
      <c r="B42" s="10" t="inlineStr">
        <is>
          <t>I열 적요</t>
        </is>
      </c>
      <c r="C42" s="20" t="inlineStr">
        <is>
          <t>적요</t>
        </is>
      </c>
      <c r="D42" s="21" t="inlineStr">
        <is>
          <t>텍스트,내역,SGTXT</t>
        </is>
      </c>
      <c r="E42" s="23" t="inlineStr">
        <is>
          <t>선택</t>
        </is>
      </c>
      <c r="F42" s="7" t="inlineStr">
        <is>
          <t>'적요 키워드' 패턴 판정 불가</t>
        </is>
      </c>
    </row>
    <row r="43">
      <c r="B43" s="10" t="inlineStr">
        <is>
          <t>J열 거래처코드</t>
        </is>
      </c>
      <c r="C43" s="20" t="inlineStr">
        <is>
          <t>거래처코드</t>
        </is>
      </c>
      <c r="D43" s="21" t="inlineStr">
        <is>
          <t>거래처,공급업체,LIFNR</t>
        </is>
      </c>
      <c r="E43" s="23" t="inlineStr">
        <is>
          <t>선택</t>
        </is>
      </c>
      <c r="F43" s="7" t="inlineStr"/>
    </row>
    <row r="44">
      <c r="B44" s="10" t="inlineStr">
        <is>
          <t>K열 거래처명</t>
        </is>
      </c>
      <c r="C44" s="20" t="inlineStr">
        <is>
          <t>거래처명</t>
        </is>
      </c>
      <c r="D44" s="21" t="inlineStr">
        <is>
          <t>거래처명칭,공급업체명,NAME1</t>
        </is>
      </c>
      <c r="E44" s="23" t="inlineStr">
        <is>
          <t>선택</t>
        </is>
      </c>
      <c r="F44" s="7" t="inlineStr">
        <is>
          <t>거래처코드로 대신 표시 (둘 다 없으면 거래처 분석 불가)</t>
        </is>
      </c>
    </row>
    <row r="47">
      <c r="B47" s="3" t="inlineStr">
        <is>
          <t>BS_원본  (빈 행 판정 열: 항목코드)</t>
        </is>
      </c>
    </row>
    <row r="48" ht="20" customHeight="1">
      <c r="B48" s="4" t="inlineStr">
        <is>
          <t>표준 열 (원본 시트)</t>
        </is>
      </c>
      <c r="C48" s="4" t="inlineStr">
        <is>
          <t>찾을 헤더 이름</t>
        </is>
      </c>
      <c r="D48" s="4" t="inlineStr">
        <is>
          <t>대체 이름 (쉼표로 구분)</t>
        </is>
      </c>
      <c r="E48" s="4" t="inlineStr">
        <is>
          <t>필수</t>
        </is>
      </c>
      <c r="F48" s="4" t="inlineStr">
        <is>
          <t>없을 때</t>
        </is>
      </c>
    </row>
    <row r="49">
      <c r="B49" s="10" t="inlineStr">
        <is>
          <t>A열 회계연도</t>
        </is>
      </c>
      <c r="C49" s="20" t="inlineStr">
        <is>
          <t>회계연도</t>
        </is>
      </c>
      <c r="D49" s="21" t="inlineStr">
        <is>
          <t>연도,GJAHR</t>
        </is>
      </c>
      <c r="E49" s="22" t="inlineStr">
        <is>
          <t>필수</t>
        </is>
      </c>
      <c r="F49" s="7" t="inlineStr"/>
    </row>
    <row r="50">
      <c r="B50" s="10" t="inlineStr">
        <is>
          <t>B열 기간</t>
        </is>
      </c>
      <c r="C50" s="20" t="inlineStr">
        <is>
          <t>기간</t>
        </is>
      </c>
      <c r="D50" s="21" t="inlineStr">
        <is>
          <t>월,회계기간</t>
        </is>
      </c>
      <c r="E50" s="22" t="inlineStr">
        <is>
          <t>필수</t>
        </is>
      </c>
      <c r="F50" s="7" t="inlineStr"/>
    </row>
    <row r="51">
      <c r="B51" s="10" t="inlineStr">
        <is>
          <t>C열 항목코드</t>
        </is>
      </c>
      <c r="C51" s="20" t="inlineStr">
        <is>
          <t>항목코드</t>
        </is>
      </c>
      <c r="D51" s="21" t="inlineStr">
        <is>
          <t>코드,계정코드</t>
        </is>
      </c>
      <c r="E51" s="22" t="inlineStr">
        <is>
          <t>필수</t>
        </is>
      </c>
      <c r="F51" s="7" t="inlineStr">
        <is>
          <t>없으면 항목명으로 매핑</t>
        </is>
      </c>
    </row>
    <row r="52">
      <c r="B52" s="10" t="inlineStr">
        <is>
          <t>D열 항목명</t>
        </is>
      </c>
      <c r="C52" s="20" t="inlineStr">
        <is>
          <t>항목명</t>
        </is>
      </c>
      <c r="D52" s="21" t="inlineStr">
        <is>
          <t>항목,계정명,과목</t>
        </is>
      </c>
      <c r="E52" s="23" t="inlineStr">
        <is>
          <t>선택</t>
        </is>
      </c>
      <c r="F52" s="7" t="inlineStr"/>
    </row>
    <row r="53">
      <c r="B53" s="10" t="inlineStr">
        <is>
          <t>E열 구분</t>
        </is>
      </c>
      <c r="C53" s="20" t="inlineStr">
        <is>
          <t>구분</t>
        </is>
      </c>
      <c r="D53" s="21" t="inlineStr"/>
      <c r="E53" s="23" t="inlineStr">
        <is>
          <t>선택</t>
        </is>
      </c>
      <c r="F53" s="7" t="inlineStr"/>
    </row>
    <row r="54">
      <c r="B54" s="10" t="inlineStr">
        <is>
          <t>F열 레벨</t>
        </is>
      </c>
      <c r="C54" s="20" t="inlineStr">
        <is>
          <t>레벨</t>
        </is>
      </c>
      <c r="D54" s="21" t="inlineStr">
        <is>
          <t>수준,LEVEL</t>
        </is>
      </c>
      <c r="E54" s="23" t="inlineStr">
        <is>
          <t>선택</t>
        </is>
      </c>
      <c r="F54" s="7" t="inlineStr"/>
    </row>
    <row r="55">
      <c r="B55" s="10" t="inlineStr">
        <is>
          <t>G열 기말잔액</t>
        </is>
      </c>
      <c r="C55" s="20" t="inlineStr">
        <is>
          <t>기말잔액</t>
        </is>
      </c>
      <c r="D55" s="21" t="inlineStr">
        <is>
          <t>당월말,잔액,금액</t>
        </is>
      </c>
      <c r="E55" s="22" t="inlineStr">
        <is>
          <t>필수</t>
        </is>
      </c>
      <c r="F55" s="7" t="inlineStr"/>
    </row>
    <row r="58">
      <c r="B58" s="3" t="inlineStr">
        <is>
          <t>PL_원본  (빈 행 판정 열: 항목코드)</t>
        </is>
      </c>
    </row>
    <row r="59" ht="20" customHeight="1">
      <c r="B59" s="4" t="inlineStr">
        <is>
          <t>표준 열 (원본 시트)</t>
        </is>
      </c>
      <c r="C59" s="4" t="inlineStr">
        <is>
          <t>찾을 헤더 이름</t>
        </is>
      </c>
      <c r="D59" s="4" t="inlineStr">
        <is>
          <t>대체 이름 (쉼표로 구분)</t>
        </is>
      </c>
      <c r="E59" s="4" t="inlineStr">
        <is>
          <t>필수</t>
        </is>
      </c>
      <c r="F59" s="4" t="inlineStr">
        <is>
          <t>없을 때</t>
        </is>
      </c>
    </row>
    <row r="60">
      <c r="B60" s="10" t="inlineStr">
        <is>
          <t>A열 회계연도</t>
        </is>
      </c>
      <c r="C60" s="20" t="inlineStr">
        <is>
          <t>회계연도</t>
        </is>
      </c>
      <c r="D60" s="21" t="inlineStr">
        <is>
          <t>연도,GJAHR</t>
        </is>
      </c>
      <c r="E60" s="22" t="inlineStr">
        <is>
          <t>필수</t>
        </is>
      </c>
      <c r="F60" s="7" t="inlineStr"/>
    </row>
    <row r="61">
      <c r="B61" s="10" t="inlineStr">
        <is>
          <t>B열 기간</t>
        </is>
      </c>
      <c r="C61" s="20" t="inlineStr">
        <is>
          <t>기간</t>
        </is>
      </c>
      <c r="D61" s="21" t="inlineStr">
        <is>
          <t>월,회계기간</t>
        </is>
      </c>
      <c r="E61" s="22" t="inlineStr">
        <is>
          <t>필수</t>
        </is>
      </c>
      <c r="F61" s="7" t="inlineStr"/>
    </row>
    <row r="62">
      <c r="B62" s="10" t="inlineStr">
        <is>
          <t>C열 항목코드</t>
        </is>
      </c>
      <c r="C62" s="20" t="inlineStr">
        <is>
          <t>항목코드</t>
        </is>
      </c>
      <c r="D62" s="21" t="inlineStr">
        <is>
          <t>코드,계정코드</t>
        </is>
      </c>
      <c r="E62" s="22" t="inlineStr">
        <is>
          <t>필수</t>
        </is>
      </c>
      <c r="F62" s="7" t="inlineStr">
        <is>
          <t>없으면 항목명으로 매핑</t>
        </is>
      </c>
    </row>
    <row r="63">
      <c r="B63" s="10" t="inlineStr">
        <is>
          <t>D열 항목명</t>
        </is>
      </c>
      <c r="C63" s="20" t="inlineStr">
        <is>
          <t>항목명</t>
        </is>
      </c>
      <c r="D63" s="21" t="inlineStr">
        <is>
          <t>항목,계정명,과목</t>
        </is>
      </c>
      <c r="E63" s="23" t="inlineStr">
        <is>
          <t>선택</t>
        </is>
      </c>
      <c r="F63" s="7" t="inlineStr"/>
    </row>
    <row r="64">
      <c r="B64" s="10" t="inlineStr">
        <is>
          <t>E열 구분</t>
        </is>
      </c>
      <c r="C64" s="20" t="inlineStr">
        <is>
          <t>구분</t>
        </is>
      </c>
      <c r="D64" s="21" t="inlineStr"/>
      <c r="E64" s="23" t="inlineStr">
        <is>
          <t>선택</t>
        </is>
      </c>
      <c r="F64" s="7" t="inlineStr"/>
    </row>
    <row r="65">
      <c r="B65" s="10" t="inlineStr">
        <is>
          <t>F열 레벨</t>
        </is>
      </c>
      <c r="C65" s="20" t="inlineStr">
        <is>
          <t>레벨</t>
        </is>
      </c>
      <c r="D65" s="21" t="inlineStr">
        <is>
          <t>수준,LEVEL</t>
        </is>
      </c>
      <c r="E65" s="23" t="inlineStr">
        <is>
          <t>선택</t>
        </is>
      </c>
      <c r="F65" s="7" t="inlineStr"/>
    </row>
    <row r="66">
      <c r="B66" s="10" t="inlineStr">
        <is>
          <t>G열 당월금액</t>
        </is>
      </c>
      <c r="C66" s="20" t="inlineStr">
        <is>
          <t>당월금액</t>
        </is>
      </c>
      <c r="D66" s="21" t="inlineStr">
        <is>
          <t>당월,금액</t>
        </is>
      </c>
      <c r="E66" s="22" t="inlineStr">
        <is>
          <t>필수</t>
        </is>
      </c>
      <c r="F66" s="7" t="inlineStr"/>
    </row>
    <row r="67">
      <c r="B67" s="10" t="inlineStr">
        <is>
          <t>H열 누계금액</t>
        </is>
      </c>
      <c r="C67" s="20" t="inlineStr">
        <is>
          <t>누계금액</t>
        </is>
      </c>
      <c r="D67" s="21" t="inlineStr">
        <is>
          <t>누계,누적</t>
        </is>
      </c>
      <c r="E67" s="23" t="inlineStr">
        <is>
          <t>권장</t>
        </is>
      </c>
      <c r="F67" s="7" t="inlineStr">
        <is>
          <t>당기순이익 누계 KPI가 0으로 표시</t>
        </is>
      </c>
    </row>
    <row r="70">
      <c r="B70" s="3" t="inlineStr">
        <is>
          <t>예정사업비  (빈 행 판정 열: 포트폴리오)</t>
        </is>
      </c>
    </row>
    <row r="71" ht="20" customHeight="1">
      <c r="B71" s="4" t="inlineStr">
        <is>
          <t>표준 열 (원본 시트)</t>
        </is>
      </c>
      <c r="C71" s="4" t="inlineStr">
        <is>
          <t>찾을 헤더 이름</t>
        </is>
      </c>
      <c r="D71" s="4" t="inlineStr">
        <is>
          <t>대체 이름 (쉼표로 구분)</t>
        </is>
      </c>
      <c r="E71" s="4" t="inlineStr">
        <is>
          <t>필수</t>
        </is>
      </c>
      <c r="F71" s="4" t="inlineStr">
        <is>
          <t>없을 때</t>
        </is>
      </c>
    </row>
    <row r="72">
      <c r="B72" s="10" t="inlineStr">
        <is>
          <t>A열 회계연도</t>
        </is>
      </c>
      <c r="C72" s="20" t="inlineStr">
        <is>
          <t>회계연도</t>
        </is>
      </c>
      <c r="D72" s="21" t="inlineStr">
        <is>
          <t>연도</t>
        </is>
      </c>
      <c r="E72" s="22" t="inlineStr">
        <is>
          <t>필수</t>
        </is>
      </c>
      <c r="F72" s="7" t="inlineStr"/>
    </row>
    <row r="73">
      <c r="B73" s="10" t="inlineStr">
        <is>
          <t>B열 기간</t>
        </is>
      </c>
      <c r="C73" s="20" t="inlineStr">
        <is>
          <t>기간</t>
        </is>
      </c>
      <c r="D73" s="21" t="inlineStr">
        <is>
          <t>월,회계기간</t>
        </is>
      </c>
      <c r="E73" s="22" t="inlineStr">
        <is>
          <t>필수</t>
        </is>
      </c>
      <c r="F73" s="7" t="inlineStr"/>
    </row>
    <row r="74">
      <c r="B74" s="10" t="inlineStr">
        <is>
          <t>C열 포트폴리오</t>
        </is>
      </c>
      <c r="C74" s="20" t="inlineStr">
        <is>
          <t>포트폴리오</t>
        </is>
      </c>
      <c r="D74" s="21" t="inlineStr">
        <is>
          <t>포트폴리오코드,PF</t>
        </is>
      </c>
      <c r="E74" s="22" t="inlineStr">
        <is>
          <t>필수</t>
        </is>
      </c>
      <c r="F74" s="7" t="inlineStr"/>
    </row>
    <row r="75">
      <c r="B75" s="10" t="inlineStr">
        <is>
          <t>D열 포트폴리오명</t>
        </is>
      </c>
      <c r="C75" s="20" t="inlineStr">
        <is>
          <t>포트폴리오명</t>
        </is>
      </c>
      <c r="D75" s="21" t="inlineStr"/>
      <c r="E75" s="23" t="inlineStr">
        <is>
          <t>선택</t>
        </is>
      </c>
      <c r="F75" s="7" t="inlineStr"/>
    </row>
    <row r="76">
      <c r="B76" s="10" t="inlineStr">
        <is>
          <t>E열 신계약비</t>
        </is>
      </c>
      <c r="C76" s="20" t="inlineStr">
        <is>
          <t>신계약비</t>
        </is>
      </c>
      <c r="D76" s="21" t="inlineStr">
        <is>
          <t>예정신계약비</t>
        </is>
      </c>
      <c r="E76" s="22" t="inlineStr">
        <is>
          <t>필수</t>
        </is>
      </c>
      <c r="F76" s="7" t="inlineStr"/>
    </row>
    <row r="77">
      <c r="B77" s="10" t="inlineStr">
        <is>
          <t>F열 유지비</t>
        </is>
      </c>
      <c r="C77" s="20" t="inlineStr">
        <is>
          <t>유지비</t>
        </is>
      </c>
      <c r="D77" s="21" t="inlineStr">
        <is>
          <t>예정유지비</t>
        </is>
      </c>
      <c r="E77" s="22" t="inlineStr">
        <is>
          <t>필수</t>
        </is>
      </c>
      <c r="F77" s="7" t="inlineStr"/>
    </row>
    <row r="78">
      <c r="B78" s="10" t="inlineStr">
        <is>
          <t>G열 수금비</t>
        </is>
      </c>
      <c r="C78" s="20" t="inlineStr">
        <is>
          <t>수금비</t>
        </is>
      </c>
      <c r="D78" s="21" t="inlineStr">
        <is>
          <t>예정수금비</t>
        </is>
      </c>
      <c r="E78" s="22" t="inlineStr">
        <is>
          <t>필수</t>
        </is>
      </c>
      <c r="F78" s="7" t="inlineStr"/>
    </row>
    <row r="81">
      <c r="B81" s="3" t="inlineStr">
        <is>
          <t>부채변동표  (빈 행 판정 열: 포트폴리오)</t>
        </is>
      </c>
    </row>
    <row r="82" ht="20" customHeight="1">
      <c r="B82" s="4" t="inlineStr">
        <is>
          <t>표준 열 (원본 시트)</t>
        </is>
      </c>
      <c r="C82" s="4" t="inlineStr">
        <is>
          <t>찾을 헤더 이름</t>
        </is>
      </c>
      <c r="D82" s="4" t="inlineStr">
        <is>
          <t>대체 이름 (쉼표로 구분)</t>
        </is>
      </c>
      <c r="E82" s="4" t="inlineStr">
        <is>
          <t>필수</t>
        </is>
      </c>
      <c r="F82" s="4" t="inlineStr">
        <is>
          <t>없을 때</t>
        </is>
      </c>
    </row>
    <row r="83">
      <c r="B83" s="10" t="inlineStr">
        <is>
          <t>A열 회계연도</t>
        </is>
      </c>
      <c r="C83" s="20" t="inlineStr">
        <is>
          <t>회계연도</t>
        </is>
      </c>
      <c r="D83" s="21" t="inlineStr">
        <is>
          <t>연도</t>
        </is>
      </c>
      <c r="E83" s="23" t="inlineStr">
        <is>
          <t>선택</t>
        </is>
      </c>
      <c r="F83" s="7" t="inlineStr">
        <is>
          <t>설정의 기준연도로 채우고 그 달 자료만 교체</t>
        </is>
      </c>
    </row>
    <row r="84">
      <c r="B84" s="10" t="inlineStr">
        <is>
          <t>B열 기간</t>
        </is>
      </c>
      <c r="C84" s="20" t="inlineStr">
        <is>
          <t>기간</t>
        </is>
      </c>
      <c r="D84" s="21" t="inlineStr">
        <is>
          <t>월,회계기간</t>
        </is>
      </c>
      <c r="E84" s="23" t="inlineStr">
        <is>
          <t>선택</t>
        </is>
      </c>
      <c r="F84" s="7" t="inlineStr">
        <is>
          <t>설정의 기준월로 채움</t>
        </is>
      </c>
    </row>
    <row r="85">
      <c r="B85" s="10" t="inlineStr">
        <is>
          <t>C열 포트폴리오</t>
        </is>
      </c>
      <c r="C85" s="20" t="inlineStr">
        <is>
          <t>포트폴리오</t>
        </is>
      </c>
      <c r="D85" s="21" t="inlineStr">
        <is>
          <t>포트폴리오코드,PF</t>
        </is>
      </c>
      <c r="E85" s="22" t="inlineStr">
        <is>
          <t>필수</t>
        </is>
      </c>
      <c r="F85" s="7" t="inlineStr"/>
    </row>
    <row r="86">
      <c r="B86" s="10" t="inlineStr">
        <is>
          <t>D열 포트폴리오명</t>
        </is>
      </c>
      <c r="C86" s="20" t="inlineStr">
        <is>
          <t>포트폴리오명</t>
        </is>
      </c>
      <c r="D86" s="21" t="inlineStr"/>
      <c r="E86" s="23" t="inlineStr">
        <is>
          <t>선택</t>
        </is>
      </c>
      <c r="F86" s="7" t="inlineStr"/>
    </row>
    <row r="87">
      <c r="B87" s="10" t="inlineStr">
        <is>
          <t>E열 측정모형</t>
        </is>
      </c>
      <c r="C87" s="20" t="inlineStr">
        <is>
          <t>측정모형</t>
        </is>
      </c>
      <c r="D87" s="21" t="inlineStr">
        <is>
          <t>모형,측정방법</t>
        </is>
      </c>
      <c r="E87" s="22" t="inlineStr">
        <is>
          <t>필수</t>
        </is>
      </c>
      <c r="F87" s="7" t="inlineStr">
        <is>
          <t>GMM·PAA·VFA</t>
        </is>
      </c>
    </row>
    <row r="88">
      <c r="B88" s="10" t="inlineStr">
        <is>
          <t>F열 변동요인코드</t>
        </is>
      </c>
      <c r="C88" s="20" t="inlineStr">
        <is>
          <t>변동요인코드</t>
        </is>
      </c>
      <c r="D88" s="21" t="inlineStr">
        <is>
          <t>요인코드,코드</t>
        </is>
      </c>
      <c r="E88" s="22" t="inlineStr">
        <is>
          <t>필수</t>
        </is>
      </c>
      <c r="F88" s="7" t="inlineStr">
        <is>
          <t>없으면 변동요인명으로 매핑</t>
        </is>
      </c>
    </row>
    <row r="89">
      <c r="B89" s="10" t="inlineStr">
        <is>
          <t>G열 변동요인</t>
        </is>
      </c>
      <c r="C89" s="20" t="inlineStr">
        <is>
          <t>변동요인</t>
        </is>
      </c>
      <c r="D89" s="21" t="inlineStr">
        <is>
          <t>요인,항목,변동내역</t>
        </is>
      </c>
      <c r="E89" s="23" t="inlineStr">
        <is>
          <t>선택</t>
        </is>
      </c>
      <c r="F89" s="7" t="inlineStr"/>
    </row>
    <row r="90">
      <c r="B90" s="10" t="inlineStr">
        <is>
          <t>H열 BEL</t>
        </is>
      </c>
      <c r="C90" s="20" t="inlineStr">
        <is>
          <t>BEL</t>
        </is>
      </c>
      <c r="D90" s="21" t="inlineStr">
        <is>
          <t>최선추정부채,최선추정</t>
        </is>
      </c>
      <c r="E90" s="22" t="inlineStr">
        <is>
          <t>필수</t>
        </is>
      </c>
      <c r="F90" s="7" t="inlineStr"/>
    </row>
    <row r="91">
      <c r="B91" s="10" t="inlineStr">
        <is>
          <t>I열 RA</t>
        </is>
      </c>
      <c r="C91" s="20" t="inlineStr">
        <is>
          <t>RA</t>
        </is>
      </c>
      <c r="D91" s="21" t="inlineStr">
        <is>
          <t>위험조정</t>
        </is>
      </c>
      <c r="E91" s="22" t="inlineStr">
        <is>
          <t>필수</t>
        </is>
      </c>
      <c r="F91" s="7" t="inlineStr"/>
    </row>
    <row r="92">
      <c r="B92" s="10" t="inlineStr">
        <is>
          <t>J열 CSM</t>
        </is>
      </c>
      <c r="C92" s="20" t="inlineStr">
        <is>
          <t>CSM</t>
        </is>
      </c>
      <c r="D92" s="21" t="inlineStr">
        <is>
          <t>보험계약마진,계약서비스마진</t>
        </is>
      </c>
      <c r="E92" s="22" t="inlineStr">
        <is>
          <t>필수</t>
        </is>
      </c>
      <c r="F92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8" customWidth="1" min="3" max="3"/>
    <col width="52" customWidth="1" min="4" max="4"/>
    <col width="14" customWidth="1" min="5" max="5"/>
    <col width="24" customWidth="1" min="6" max="6"/>
  </cols>
  <sheetData>
    <row r="1">
      <c r="A1" s="1" t="inlineStr">
        <is>
          <t>TRACE · 입력옵션</t>
        </is>
      </c>
    </row>
    <row r="2">
      <c r="A2" s="2" t="inlineStr">
        <is>
          <t>노란 칸만 고치세요 · 불러오기 규칙과 BS·PL 항목 매핑</t>
        </is>
      </c>
    </row>
    <row r="4">
      <c r="A4" s="3" t="inlineStr">
        <is>
          <t>불러오기 규칙</t>
        </is>
      </c>
    </row>
    <row r="5">
      <c r="B5" s="10" t="inlineStr">
        <is>
          <t>제외할 행 키워드</t>
        </is>
      </c>
      <c r="C5" s="11" t="inlineStr">
        <is>
          <t>합계,소계,총계,Total</t>
        </is>
      </c>
      <c r="D5" s="7" t="inlineStr">
        <is>
          <t>빈 행 판정 열에 이 단어가 있으면 불러오지 않음 (쉼표로 구분)</t>
        </is>
      </c>
    </row>
    <row r="6">
      <c r="B6" s="10" t="inlineStr">
        <is>
          <t>머리글 찾는 범위 (행)</t>
        </is>
      </c>
      <c r="C6" s="11" t="n">
        <v>20</v>
      </c>
      <c r="D6" s="7" t="inlineStr">
        <is>
          <t>파일 위쪽 이 행 수 안에서 헤더 이름이 가장 많이 맞는 행을 머리글로 사용</t>
        </is>
      </c>
    </row>
    <row r="8">
      <c r="B8" s="10" t="inlineStr">
        <is>
          <t>전표 금액 방식</t>
        </is>
      </c>
      <c r="C8" s="11" t="inlineStr">
        <is>
          <t>부호 있는 금액</t>
        </is>
      </c>
      <c r="D8" s="7" t="inlineStr">
        <is>
          <t>'부호 있는 금액' 또는 '차대구분+양수금액' (SAP 차대구분 S/H)</t>
        </is>
      </c>
    </row>
    <row r="9">
      <c r="B9" s="10" t="inlineStr">
        <is>
          <t>차대구분 헤더 이름</t>
        </is>
      </c>
      <c r="C9" s="11" t="inlineStr">
        <is>
          <t>차대구분</t>
        </is>
      </c>
      <c r="D9" s="7" t="inlineStr">
        <is>
          <t>차대구분+양수금액 방식일 때 찾을 열 이름 (예: SHKZG)</t>
        </is>
      </c>
    </row>
    <row r="10">
      <c r="B10" s="10" t="inlineStr">
        <is>
          <t>차변 표시 값</t>
        </is>
      </c>
      <c r="C10" s="11" t="inlineStr">
        <is>
          <t>S</t>
        </is>
      </c>
      <c r="D10" s="7" t="inlineStr"/>
    </row>
    <row r="11">
      <c r="B11" s="10" t="inlineStr">
        <is>
          <t>대변 표시 값</t>
        </is>
      </c>
      <c r="C11" s="11" t="inlineStr">
        <is>
          <t>H</t>
        </is>
      </c>
      <c r="D11" s="7" t="inlineStr">
        <is>
          <t>이 값인 행은 금액에 −를 붙여 불러옴</t>
        </is>
      </c>
    </row>
    <row r="13">
      <c r="B13" s="10" t="inlineStr">
        <is>
          <t>BS·PL 양식 형태</t>
        </is>
      </c>
      <c r="C13" s="11" t="inlineStr">
        <is>
          <t>세로 (기간×항목)</t>
        </is>
      </c>
      <c r="D13" s="7" t="inlineStr">
        <is>
          <t>'감독원 (가로)'이면 항목이 행, 금액이 열인 양식을 기준월 한 달씩 불러와 기존 자료에 합침</t>
        </is>
      </c>
    </row>
    <row r="14">
      <c r="B14" s="10" t="inlineStr">
        <is>
          <t>가로: 당기 금액 헤더</t>
        </is>
      </c>
      <c r="C14" s="11" t="inlineStr">
        <is>
          <t>당기</t>
        </is>
      </c>
      <c r="D14" s="7" t="inlineStr">
        <is>
          <t>BS 기말잔액 · PL 당월 금액 열 이름 (쉼표로 대체 이름)</t>
        </is>
      </c>
    </row>
    <row r="15">
      <c r="B15" s="10" t="inlineStr">
        <is>
          <t>가로: 전기 금액 헤더</t>
        </is>
      </c>
      <c r="C15" s="11" t="inlineStr">
        <is>
          <t>전기</t>
        </is>
      </c>
      <c r="D15" s="7" t="inlineStr">
        <is>
          <t>BS 비교 열 (없으면 비워둠)</t>
        </is>
      </c>
    </row>
    <row r="16">
      <c r="B16" s="10" t="inlineStr">
        <is>
          <t>가로: PL 누계 헤더</t>
        </is>
      </c>
      <c r="C16" s="11" t="inlineStr">
        <is>
          <t>당기누계</t>
        </is>
      </c>
      <c r="D16" s="7" t="inlineStr">
        <is>
          <t>PL 누계 금액 열</t>
        </is>
      </c>
    </row>
    <row r="17">
      <c r="B17" s="10" t="inlineStr">
        <is>
          <t>가로: 전기 열의 기간</t>
        </is>
      </c>
      <c r="C17" s="11" t="inlineStr">
        <is>
          <t>전년말</t>
        </is>
      </c>
      <c r="D17" s="7" t="inlineStr">
        <is>
          <t>'전년말'(전년 12월) 또는 '전년동월'</t>
        </is>
      </c>
    </row>
    <row r="20">
      <c r="A20" s="3" t="inlineStr">
        <is>
          <t>BS·PL 항목 매핑 — 회사 재무제표의 항목코드(없으면 항목명)를 표준 코드에 연결. 차트·KPI·검산은 표준 코드만 사용</t>
        </is>
      </c>
    </row>
    <row r="21" ht="20" customHeight="1">
      <c r="B21" s="4" t="inlineStr">
        <is>
          <t>구분</t>
        </is>
      </c>
      <c r="C21" s="4" t="inlineStr">
        <is>
          <t>표준 코드</t>
        </is>
      </c>
      <c r="D21" s="4" t="inlineStr">
        <is>
          <t>표준 항목명</t>
        </is>
      </c>
      <c r="E21" s="4" t="inlineStr">
        <is>
          <t>실제 항목코드</t>
        </is>
      </c>
      <c r="F21" s="4" t="inlineStr">
        <is>
          <t>실제 항목명</t>
        </is>
      </c>
    </row>
    <row r="22">
      <c r="B22" s="22" t="inlineStr">
        <is>
          <t>BS</t>
        </is>
      </c>
      <c r="C22" s="22" t="inlineStr">
        <is>
          <t>A000</t>
        </is>
      </c>
      <c r="D22" s="8" t="inlineStr">
        <is>
          <t>자산총계</t>
        </is>
      </c>
      <c r="E22" s="24" t="inlineStr">
        <is>
          <t>10000</t>
        </is>
      </c>
      <c r="F22" s="21" t="inlineStr">
        <is>
          <t>자산총계</t>
        </is>
      </c>
    </row>
    <row r="23">
      <c r="B23" s="22" t="inlineStr">
        <is>
          <t>BS</t>
        </is>
      </c>
      <c r="C23" s="22" t="inlineStr">
        <is>
          <t>A100</t>
        </is>
      </c>
      <c r="D23" s="8" t="inlineStr">
        <is>
          <t>운용자산</t>
        </is>
      </c>
      <c r="E23" s="24" t="inlineStr">
        <is>
          <t>11000</t>
        </is>
      </c>
      <c r="F23" s="21" t="inlineStr">
        <is>
          <t>운용자산</t>
        </is>
      </c>
    </row>
    <row r="24">
      <c r="B24" s="22" t="inlineStr">
        <is>
          <t>BS</t>
        </is>
      </c>
      <c r="C24" s="22" t="inlineStr">
        <is>
          <t>A110</t>
        </is>
      </c>
      <c r="D24" s="8" t="inlineStr">
        <is>
          <t>현금및예치금</t>
        </is>
      </c>
      <c r="E24" s="24" t="inlineStr">
        <is>
          <t>11100</t>
        </is>
      </c>
      <c r="F24" s="21" t="inlineStr">
        <is>
          <t>현금및예치금</t>
        </is>
      </c>
    </row>
    <row r="25">
      <c r="B25" s="22" t="inlineStr">
        <is>
          <t>BS</t>
        </is>
      </c>
      <c r="C25" s="22" t="inlineStr">
        <is>
          <t>A120</t>
        </is>
      </c>
      <c r="D25" s="8" t="inlineStr">
        <is>
          <t>유가증권</t>
        </is>
      </c>
      <c r="E25" s="24" t="inlineStr">
        <is>
          <t>11200</t>
        </is>
      </c>
      <c r="F25" s="21" t="inlineStr">
        <is>
          <t>유가증권</t>
        </is>
      </c>
    </row>
    <row r="26">
      <c r="B26" s="22" t="inlineStr">
        <is>
          <t>BS</t>
        </is>
      </c>
      <c r="C26" s="22" t="inlineStr">
        <is>
          <t>A130</t>
        </is>
      </c>
      <c r="D26" s="8" t="inlineStr">
        <is>
          <t>대출채권</t>
        </is>
      </c>
      <c r="E26" s="24" t="inlineStr">
        <is>
          <t>11300</t>
        </is>
      </c>
      <c r="F26" s="21" t="inlineStr">
        <is>
          <t>대출채권</t>
        </is>
      </c>
    </row>
    <row r="27">
      <c r="B27" s="22" t="inlineStr">
        <is>
          <t>BS</t>
        </is>
      </c>
      <c r="C27" s="22" t="inlineStr">
        <is>
          <t>A140</t>
        </is>
      </c>
      <c r="D27" s="8" t="inlineStr">
        <is>
          <t>투자부동산</t>
        </is>
      </c>
      <c r="E27" s="24" t="inlineStr">
        <is>
          <t>11400</t>
        </is>
      </c>
      <c r="F27" s="21" t="inlineStr">
        <is>
          <t>투자부동산</t>
        </is>
      </c>
    </row>
    <row r="28">
      <c r="B28" s="22" t="inlineStr">
        <is>
          <t>BS</t>
        </is>
      </c>
      <c r="C28" s="22" t="inlineStr">
        <is>
          <t>A200</t>
        </is>
      </c>
      <c r="D28" s="8" t="inlineStr">
        <is>
          <t>보험계약자산</t>
        </is>
      </c>
      <c r="E28" s="24" t="inlineStr">
        <is>
          <t>12000</t>
        </is>
      </c>
      <c r="F28" s="21" t="inlineStr">
        <is>
          <t>보험계약자산</t>
        </is>
      </c>
    </row>
    <row r="29">
      <c r="B29" s="22" t="inlineStr">
        <is>
          <t>BS</t>
        </is>
      </c>
      <c r="C29" s="22" t="inlineStr">
        <is>
          <t>A300</t>
        </is>
      </c>
      <c r="D29" s="8" t="inlineStr">
        <is>
          <t>재보험계약자산</t>
        </is>
      </c>
      <c r="E29" s="24" t="inlineStr">
        <is>
          <t>13000</t>
        </is>
      </c>
      <c r="F29" s="21" t="inlineStr">
        <is>
          <t>재보험계약자산</t>
        </is>
      </c>
    </row>
    <row r="30">
      <c r="B30" s="22" t="inlineStr">
        <is>
          <t>BS</t>
        </is>
      </c>
      <c r="C30" s="22" t="inlineStr">
        <is>
          <t>A900</t>
        </is>
      </c>
      <c r="D30" s="8" t="inlineStr">
        <is>
          <t>기타자산</t>
        </is>
      </c>
      <c r="E30" s="24" t="inlineStr">
        <is>
          <t>19000</t>
        </is>
      </c>
      <c r="F30" s="21" t="inlineStr">
        <is>
          <t>기타자산</t>
        </is>
      </c>
    </row>
    <row r="31">
      <c r="B31" s="22" t="inlineStr">
        <is>
          <t>BS</t>
        </is>
      </c>
      <c r="C31" s="22" t="inlineStr">
        <is>
          <t>L000</t>
        </is>
      </c>
      <c r="D31" s="8" t="inlineStr">
        <is>
          <t>부채총계</t>
        </is>
      </c>
      <c r="E31" s="24" t="inlineStr">
        <is>
          <t>20000</t>
        </is>
      </c>
      <c r="F31" s="21" t="inlineStr">
        <is>
          <t>부채총계</t>
        </is>
      </c>
    </row>
    <row r="32">
      <c r="B32" s="22" t="inlineStr">
        <is>
          <t>BS</t>
        </is>
      </c>
      <c r="C32" s="22" t="inlineStr">
        <is>
          <t>L100</t>
        </is>
      </c>
      <c r="D32" s="8" t="inlineStr">
        <is>
          <t>보험계약부채</t>
        </is>
      </c>
      <c r="E32" s="24" t="inlineStr">
        <is>
          <t>21000</t>
        </is>
      </c>
      <c r="F32" s="21" t="inlineStr">
        <is>
          <t>보험계약부채</t>
        </is>
      </c>
    </row>
    <row r="33">
      <c r="B33" s="22" t="inlineStr">
        <is>
          <t>BS</t>
        </is>
      </c>
      <c r="C33" s="22" t="inlineStr">
        <is>
          <t>L110</t>
        </is>
      </c>
      <c r="D33" s="8" t="inlineStr">
        <is>
          <t>최선추정부채(BEL)</t>
        </is>
      </c>
      <c r="E33" s="24" t="inlineStr">
        <is>
          <t>21100</t>
        </is>
      </c>
      <c r="F33" s="21" t="inlineStr">
        <is>
          <t>최선추정부채(BEL)</t>
        </is>
      </c>
    </row>
    <row r="34">
      <c r="B34" s="22" t="inlineStr">
        <is>
          <t>BS</t>
        </is>
      </c>
      <c r="C34" s="22" t="inlineStr">
        <is>
          <t>L120</t>
        </is>
      </c>
      <c r="D34" s="8" t="inlineStr">
        <is>
          <t>위험조정(RA)</t>
        </is>
      </c>
      <c r="E34" s="24" t="inlineStr">
        <is>
          <t>21200</t>
        </is>
      </c>
      <c r="F34" s="21" t="inlineStr">
        <is>
          <t>위험조정(RA)</t>
        </is>
      </c>
    </row>
    <row r="35">
      <c r="B35" s="22" t="inlineStr">
        <is>
          <t>BS</t>
        </is>
      </c>
      <c r="C35" s="22" t="inlineStr">
        <is>
          <t>L130</t>
        </is>
      </c>
      <c r="D35" s="8" t="inlineStr">
        <is>
          <t>보험계약마진(CSM)</t>
        </is>
      </c>
      <c r="E35" s="24" t="inlineStr">
        <is>
          <t>21300</t>
        </is>
      </c>
      <c r="F35" s="21" t="inlineStr">
        <is>
          <t>보험계약마진(CSM)</t>
        </is>
      </c>
    </row>
    <row r="36">
      <c r="B36" s="22" t="inlineStr">
        <is>
          <t>BS</t>
        </is>
      </c>
      <c r="C36" s="22" t="inlineStr">
        <is>
          <t>L200</t>
        </is>
      </c>
      <c r="D36" s="8" t="inlineStr">
        <is>
          <t>재보험계약부채</t>
        </is>
      </c>
      <c r="E36" s="24" t="inlineStr">
        <is>
          <t>22000</t>
        </is>
      </c>
      <c r="F36" s="21" t="inlineStr">
        <is>
          <t>재보험계약부채</t>
        </is>
      </c>
    </row>
    <row r="37">
      <c r="B37" s="22" t="inlineStr">
        <is>
          <t>BS</t>
        </is>
      </c>
      <c r="C37" s="22" t="inlineStr">
        <is>
          <t>L900</t>
        </is>
      </c>
      <c r="D37" s="8" t="inlineStr">
        <is>
          <t>기타부채</t>
        </is>
      </c>
      <c r="E37" s="24" t="inlineStr">
        <is>
          <t>29000</t>
        </is>
      </c>
      <c r="F37" s="21" t="inlineStr">
        <is>
          <t>기타부채</t>
        </is>
      </c>
    </row>
    <row r="38">
      <c r="B38" s="22" t="inlineStr">
        <is>
          <t>BS</t>
        </is>
      </c>
      <c r="C38" s="22" t="inlineStr">
        <is>
          <t>E000</t>
        </is>
      </c>
      <c r="D38" s="8" t="inlineStr">
        <is>
          <t>자본총계</t>
        </is>
      </c>
      <c r="E38" s="24" t="inlineStr">
        <is>
          <t>30000</t>
        </is>
      </c>
      <c r="F38" s="21" t="inlineStr">
        <is>
          <t>자본총계</t>
        </is>
      </c>
    </row>
    <row r="39">
      <c r="B39" s="22" t="inlineStr">
        <is>
          <t>BS</t>
        </is>
      </c>
      <c r="C39" s="22" t="inlineStr">
        <is>
          <t>E100</t>
        </is>
      </c>
      <c r="D39" s="8" t="inlineStr">
        <is>
          <t>자본금</t>
        </is>
      </c>
      <c r="E39" s="24" t="inlineStr">
        <is>
          <t>31000</t>
        </is>
      </c>
      <c r="F39" s="21" t="inlineStr">
        <is>
          <t>자본금</t>
        </is>
      </c>
    </row>
    <row r="40">
      <c r="B40" s="22" t="inlineStr">
        <is>
          <t>BS</t>
        </is>
      </c>
      <c r="C40" s="22" t="inlineStr">
        <is>
          <t>E200</t>
        </is>
      </c>
      <c r="D40" s="8" t="inlineStr">
        <is>
          <t>이익잉여금</t>
        </is>
      </c>
      <c r="E40" s="24" t="inlineStr">
        <is>
          <t>32000</t>
        </is>
      </c>
      <c r="F40" s="21" t="inlineStr">
        <is>
          <t>이익잉여금</t>
        </is>
      </c>
    </row>
    <row r="41">
      <c r="B41" s="22" t="inlineStr">
        <is>
          <t>BS</t>
        </is>
      </c>
      <c r="C41" s="22" t="inlineStr">
        <is>
          <t>E300</t>
        </is>
      </c>
      <c r="D41" s="8" t="inlineStr">
        <is>
          <t>기타포괄손익누계액</t>
        </is>
      </c>
      <c r="E41" s="24" t="inlineStr">
        <is>
          <t>33000</t>
        </is>
      </c>
      <c r="F41" s="21" t="inlineStr">
        <is>
          <t>기타포괄손익누계액</t>
        </is>
      </c>
    </row>
    <row r="42">
      <c r="B42" s="22" t="inlineStr">
        <is>
          <t>PL</t>
        </is>
      </c>
      <c r="C42" s="22" t="inlineStr">
        <is>
          <t>P100</t>
        </is>
      </c>
      <c r="D42" s="8" t="inlineStr">
        <is>
          <t>보험손익</t>
        </is>
      </c>
      <c r="E42" s="24" t="inlineStr">
        <is>
          <t>40000</t>
        </is>
      </c>
      <c r="F42" s="21" t="inlineStr">
        <is>
          <t>보험손익</t>
        </is>
      </c>
    </row>
    <row r="43">
      <c r="B43" s="22" t="inlineStr">
        <is>
          <t>PL</t>
        </is>
      </c>
      <c r="C43" s="22" t="inlineStr">
        <is>
          <t>P110</t>
        </is>
      </c>
      <c r="D43" s="8" t="inlineStr">
        <is>
          <t>보험수익</t>
        </is>
      </c>
      <c r="E43" s="24" t="inlineStr">
        <is>
          <t>41000</t>
        </is>
      </c>
      <c r="F43" s="21" t="inlineStr">
        <is>
          <t>보험수익</t>
        </is>
      </c>
    </row>
    <row r="44">
      <c r="B44" s="22" t="inlineStr">
        <is>
          <t>PL</t>
        </is>
      </c>
      <c r="C44" s="22" t="inlineStr">
        <is>
          <t>P120</t>
        </is>
      </c>
      <c r="D44" s="8" t="inlineStr">
        <is>
          <t>보험서비스비용</t>
        </is>
      </c>
      <c r="E44" s="24" t="inlineStr">
        <is>
          <t>42000</t>
        </is>
      </c>
      <c r="F44" s="21" t="inlineStr">
        <is>
          <t>보험서비스비용</t>
        </is>
      </c>
    </row>
    <row r="45">
      <c r="B45" s="22" t="inlineStr">
        <is>
          <t>PL</t>
        </is>
      </c>
      <c r="C45" s="22" t="inlineStr">
        <is>
          <t>P130</t>
        </is>
      </c>
      <c r="D45" s="8" t="inlineStr">
        <is>
          <t>재보험손익</t>
        </is>
      </c>
      <c r="E45" s="24" t="inlineStr">
        <is>
          <t>43000</t>
        </is>
      </c>
      <c r="F45" s="21" t="inlineStr">
        <is>
          <t>재보험손익</t>
        </is>
      </c>
    </row>
    <row r="46">
      <c r="B46" s="22" t="inlineStr">
        <is>
          <t>PL</t>
        </is>
      </c>
      <c r="C46" s="22" t="inlineStr">
        <is>
          <t>P200</t>
        </is>
      </c>
      <c r="D46" s="8" t="inlineStr">
        <is>
          <t>투자손익</t>
        </is>
      </c>
      <c r="E46" s="24" t="inlineStr">
        <is>
          <t>50000</t>
        </is>
      </c>
      <c r="F46" s="21" t="inlineStr">
        <is>
          <t>투자손익</t>
        </is>
      </c>
    </row>
    <row r="47">
      <c r="B47" s="22" t="inlineStr">
        <is>
          <t>PL</t>
        </is>
      </c>
      <c r="C47" s="22" t="inlineStr">
        <is>
          <t>P210</t>
        </is>
      </c>
      <c r="D47" s="8" t="inlineStr">
        <is>
          <t>투자수익</t>
        </is>
      </c>
      <c r="E47" s="24" t="inlineStr">
        <is>
          <t>51000</t>
        </is>
      </c>
      <c r="F47" s="21" t="inlineStr">
        <is>
          <t>투자수익</t>
        </is>
      </c>
    </row>
    <row r="48">
      <c r="B48" s="22" t="inlineStr">
        <is>
          <t>PL</t>
        </is>
      </c>
      <c r="C48" s="22" t="inlineStr">
        <is>
          <t>P220</t>
        </is>
      </c>
      <c r="D48" s="8" t="inlineStr">
        <is>
          <t>보험금융비용</t>
        </is>
      </c>
      <c r="E48" s="24" t="inlineStr">
        <is>
          <t>52000</t>
        </is>
      </c>
      <c r="F48" s="21" t="inlineStr">
        <is>
          <t>보험금융비용</t>
        </is>
      </c>
    </row>
    <row r="49">
      <c r="B49" s="22" t="inlineStr">
        <is>
          <t>PL</t>
        </is>
      </c>
      <c r="C49" s="22" t="inlineStr">
        <is>
          <t>P230</t>
        </is>
      </c>
      <c r="D49" s="8" t="inlineStr">
        <is>
          <t>재산관리비</t>
        </is>
      </c>
      <c r="E49" s="24" t="inlineStr">
        <is>
          <t>53000</t>
        </is>
      </c>
      <c r="F49" s="21" t="inlineStr">
        <is>
          <t>재산관리비</t>
        </is>
      </c>
    </row>
    <row r="50">
      <c r="B50" s="22" t="inlineStr">
        <is>
          <t>PL</t>
        </is>
      </c>
      <c r="C50" s="22" t="inlineStr">
        <is>
          <t>P300</t>
        </is>
      </c>
      <c r="D50" s="8" t="inlineStr">
        <is>
          <t>기타사업비용 (사업비)</t>
        </is>
      </c>
      <c r="E50" s="24" t="inlineStr">
        <is>
          <t>60000</t>
        </is>
      </c>
      <c r="F50" s="21" t="inlineStr">
        <is>
          <t>기타사업비용 (사업비)</t>
        </is>
      </c>
    </row>
    <row r="51">
      <c r="B51" s="22" t="inlineStr">
        <is>
          <t>PL</t>
        </is>
      </c>
      <c r="C51" s="22" t="inlineStr">
        <is>
          <t>P400</t>
        </is>
      </c>
      <c r="D51" s="8" t="inlineStr">
        <is>
          <t>법인세차감전이익</t>
        </is>
      </c>
      <c r="E51" s="24" t="inlineStr">
        <is>
          <t>70000</t>
        </is>
      </c>
      <c r="F51" s="21" t="inlineStr">
        <is>
          <t>법인세차감전이익</t>
        </is>
      </c>
    </row>
    <row r="52">
      <c r="B52" s="22" t="inlineStr">
        <is>
          <t>PL</t>
        </is>
      </c>
      <c r="C52" s="22" t="inlineStr">
        <is>
          <t>P500</t>
        </is>
      </c>
      <c r="D52" s="8" t="inlineStr">
        <is>
          <t>법인세비용</t>
        </is>
      </c>
      <c r="E52" s="24" t="inlineStr">
        <is>
          <t>80000</t>
        </is>
      </c>
      <c r="F52" s="21" t="inlineStr">
        <is>
          <t>법인세비용</t>
        </is>
      </c>
    </row>
    <row r="53">
      <c r="B53" s="22" t="inlineStr">
        <is>
          <t>PL</t>
        </is>
      </c>
      <c r="C53" s="22" t="inlineStr">
        <is>
          <t>P600</t>
        </is>
      </c>
      <c r="D53" s="8" t="inlineStr">
        <is>
          <t>당기순이익</t>
        </is>
      </c>
      <c r="E53" s="24" t="inlineStr">
        <is>
          <t>90000</t>
        </is>
      </c>
      <c r="F53" s="21" t="inlineStr">
        <is>
          <t>당기순이익</t>
        </is>
      </c>
    </row>
    <row r="56">
      <c r="A56" s="3" t="inlineStr">
        <is>
          <t>부채변동표 변동요인 매핑 — 감독원 양식의 요인코드(없으면 요인명)를 TRACE 요인코드에 연결</t>
        </is>
      </c>
    </row>
    <row r="57" ht="20" customHeight="1">
      <c r="B57" s="4" t="inlineStr">
        <is>
          <t>구분</t>
        </is>
      </c>
      <c r="C57" s="4" t="inlineStr">
        <is>
          <t>TRACE 요인코드</t>
        </is>
      </c>
      <c r="D57" s="4" t="inlineStr">
        <is>
          <t>TRACE 요인명</t>
        </is>
      </c>
      <c r="E57" s="4" t="inlineStr">
        <is>
          <t>실제 요인코드</t>
        </is>
      </c>
      <c r="F57" s="4" t="inlineStr">
        <is>
          <t>실제 요인명</t>
        </is>
      </c>
    </row>
    <row r="58">
      <c r="B58" s="22" t="inlineStr">
        <is>
          <t>변동표</t>
        </is>
      </c>
      <c r="C58" s="22" t="inlineStr">
        <is>
          <t>F00</t>
        </is>
      </c>
      <c r="D58" s="8" t="inlineStr">
        <is>
          <t>기초잔액</t>
        </is>
      </c>
      <c r="E58" s="24" t="inlineStr">
        <is>
          <t>B00</t>
        </is>
      </c>
      <c r="F58" s="21" t="inlineStr">
        <is>
          <t>기초</t>
        </is>
      </c>
    </row>
    <row r="59">
      <c r="B59" s="22" t="inlineStr">
        <is>
          <t>변동표</t>
        </is>
      </c>
      <c r="C59" s="22" t="inlineStr">
        <is>
          <t>F10</t>
        </is>
      </c>
      <c r="D59" s="8" t="inlineStr">
        <is>
          <t>신계약 효과</t>
        </is>
      </c>
      <c r="E59" s="24" t="inlineStr">
        <is>
          <t>B10</t>
        </is>
      </c>
      <c r="F59" s="21" t="inlineStr">
        <is>
          <t>신계약</t>
        </is>
      </c>
    </row>
    <row r="60">
      <c r="B60" s="22" t="inlineStr">
        <is>
          <t>변동표</t>
        </is>
      </c>
      <c r="C60" s="22" t="inlineStr">
        <is>
          <t>F21</t>
        </is>
      </c>
      <c r="D60" s="8" t="inlineStr">
        <is>
          <t>가정변경-사업비</t>
        </is>
      </c>
      <c r="E60" s="24" t="inlineStr">
        <is>
          <t>B21</t>
        </is>
      </c>
      <c r="F60" s="21" t="inlineStr">
        <is>
          <t>추정변경(사업비)</t>
        </is>
      </c>
    </row>
    <row r="61">
      <c r="B61" s="22" t="inlineStr">
        <is>
          <t>변동표</t>
        </is>
      </c>
      <c r="C61" s="22" t="inlineStr">
        <is>
          <t>F22</t>
        </is>
      </c>
      <c r="D61" s="8" t="inlineStr">
        <is>
          <t>가정변경-기타</t>
        </is>
      </c>
      <c r="E61" s="24" t="inlineStr">
        <is>
          <t>B22</t>
        </is>
      </c>
      <c r="F61" s="21" t="inlineStr">
        <is>
          <t>추정변경(기타)</t>
        </is>
      </c>
    </row>
    <row r="62">
      <c r="B62" s="22" t="inlineStr">
        <is>
          <t>변동표</t>
        </is>
      </c>
      <c r="C62" s="22" t="inlineStr">
        <is>
          <t>F31</t>
        </is>
      </c>
      <c r="D62" s="8" t="inlineStr">
        <is>
          <t>경험조정-취득현금흐름</t>
        </is>
      </c>
      <c r="E62" s="24" t="inlineStr">
        <is>
          <t>B31</t>
        </is>
      </c>
      <c r="F62" s="21" t="inlineStr">
        <is>
          <t>경험조정(보험취득현금흐름)</t>
        </is>
      </c>
    </row>
    <row r="63">
      <c r="B63" s="22" t="inlineStr">
        <is>
          <t>변동표</t>
        </is>
      </c>
      <c r="C63" s="22" t="inlineStr">
        <is>
          <t>F32</t>
        </is>
      </c>
      <c r="D63" s="8" t="inlineStr">
        <is>
          <t>경험조정-보험료 등</t>
        </is>
      </c>
      <c r="E63" s="24" t="inlineStr">
        <is>
          <t>B32</t>
        </is>
      </c>
      <c r="F63" s="21" t="inlineStr">
        <is>
          <t>경험조정(기타)</t>
        </is>
      </c>
    </row>
    <row r="64">
      <c r="B64" s="22" t="inlineStr">
        <is>
          <t>변동표</t>
        </is>
      </c>
      <c r="C64" s="22" t="inlineStr">
        <is>
          <t>F40</t>
        </is>
      </c>
      <c r="D64" s="8" t="inlineStr">
        <is>
          <t>보험금융비용(이자부리)</t>
        </is>
      </c>
      <c r="E64" s="24" t="inlineStr">
        <is>
          <t>B40</t>
        </is>
      </c>
      <c r="F64" s="21" t="inlineStr">
        <is>
          <t>보험금융비용</t>
        </is>
      </c>
    </row>
    <row r="65">
      <c r="B65" s="22" t="inlineStr">
        <is>
          <t>변동표</t>
        </is>
      </c>
      <c r="C65" s="22" t="inlineStr">
        <is>
          <t>F51</t>
        </is>
      </c>
      <c r="D65" s="8" t="inlineStr">
        <is>
          <t>CSM 상각</t>
        </is>
      </c>
      <c r="E65" s="24" t="inlineStr">
        <is>
          <t>B51</t>
        </is>
      </c>
      <c r="F65" s="21" t="inlineStr">
        <is>
          <t>보험계약마진 상각</t>
        </is>
      </c>
    </row>
    <row r="66">
      <c r="B66" s="22" t="inlineStr">
        <is>
          <t>변동표</t>
        </is>
      </c>
      <c r="C66" s="22" t="inlineStr">
        <is>
          <t>F52</t>
        </is>
      </c>
      <c r="D66" s="8" t="inlineStr">
        <is>
          <t>RA 해제</t>
        </is>
      </c>
      <c r="E66" s="24" t="inlineStr">
        <is>
          <t>B52</t>
        </is>
      </c>
      <c r="F66" s="21" t="inlineStr">
        <is>
          <t>위험조정 변동(당기)</t>
        </is>
      </c>
    </row>
    <row r="67">
      <c r="B67" s="22" t="inlineStr">
        <is>
          <t>변동표</t>
        </is>
      </c>
      <c r="C67" s="22" t="inlineStr">
        <is>
          <t>F60</t>
        </is>
      </c>
      <c r="D67" s="8" t="inlineStr">
        <is>
          <t>현금흐름 및 기타</t>
        </is>
      </c>
      <c r="E67" s="24" t="inlineStr">
        <is>
          <t>B60</t>
        </is>
      </c>
      <c r="F67" s="21" t="inlineStr">
        <is>
          <t>현금흐름 및 기타</t>
        </is>
      </c>
    </row>
    <row r="68">
      <c r="B68" s="22" t="inlineStr">
        <is>
          <t>변동표</t>
        </is>
      </c>
      <c r="C68" s="22" t="inlineStr">
        <is>
          <t>F99</t>
        </is>
      </c>
      <c r="D68" s="8" t="inlineStr">
        <is>
          <t>기말잔액</t>
        </is>
      </c>
      <c r="E68" s="24" t="inlineStr">
        <is>
          <t>B99</t>
        </is>
      </c>
      <c r="F68" s="21" t="inlineStr">
        <is>
          <t>기말</t>
        </is>
      </c>
    </row>
  </sheetData>
  <dataValidations count="3">
    <dataValidation sqref="C8" showDropDown="0" showInputMessage="0" showErrorMessage="0" allowBlank="0" type="list">
      <formula1>"부호 있는 금액,차대구분+양수금액"</formula1>
    </dataValidation>
    <dataValidation sqref="C13" showDropDown="0" showInputMessage="0" showErrorMessage="0" allowBlank="0" type="list">
      <formula1>"세로 (기간×항목),감독원 (가로)"</formula1>
    </dataValidation>
    <dataValidation sqref="C17" showDropDown="0" showInputMessage="0" showErrorMessage="0" allowBlank="0" type="list">
      <formula1>"전년말,전년동월"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0" customWidth="1" min="4" max="4"/>
    <col width="60" customWidth="1" min="5" max="5"/>
  </cols>
  <sheetData>
    <row r="1">
      <c r="A1" s="1" t="inlineStr">
        <is>
          <t>TRACE · 자가진단</t>
        </is>
      </c>
    </row>
    <row r="2">
      <c r="A2" s="2" t="inlineStr">
        <is>
          <t>외부망으로 오류를 알릴 때는 [점검 항목]과 [상태]만 전달하세요</t>
        </is>
      </c>
    </row>
    <row r="4">
      <c r="A4" s="25" t="inlineStr">
        <is>
          <t>종합</t>
        </is>
      </c>
      <c r="B4" s="25">
        <f>IF(COUNTIF(D7:D39,"확인필요")=0,"전체 정상"&amp;IF(COUNTIF(D7:D39,"참고")&gt;0," (참고 "&amp;COUNTIF(D7:D39,"참고")&amp;"건)",""),"확인필요 "&amp;COUNTIF(D7:D39,"확인필요")&amp;"건")</f>
        <v/>
      </c>
    </row>
    <row r="6" ht="20" customHeight="1">
      <c r="A6" s="4" t="inlineStr">
        <is>
          <t>No</t>
        </is>
      </c>
      <c r="B6" s="4" t="inlineStr">
        <is>
          <t>점검 항목</t>
        </is>
      </c>
      <c r="C6" s="4" t="inlineStr">
        <is>
          <t>결과</t>
        </is>
      </c>
      <c r="D6" s="4" t="inlineStr">
        <is>
          <t>상태</t>
        </is>
      </c>
      <c r="E6" s="4" t="inlineStr">
        <is>
          <t>조치 방법</t>
        </is>
      </c>
    </row>
    <row r="7">
      <c r="A7" s="22" t="n">
        <v>1</v>
      </c>
      <c r="B7" s="6" t="inlineStr">
        <is>
          <t>설정값</t>
        </is>
      </c>
      <c r="C7" s="26">
        <f>IF(AND(ISNUMBER(설정!$C$7),설정!$C$7&gt;=1,설정!$C$7&lt;=12,ISNUMBER(설정!$C$23)),"정상","기준월 또는 단위 오류")</f>
        <v/>
      </c>
      <c r="D7" s="5">
        <f>IF(C7="정상","OK","확인필요")</f>
        <v/>
      </c>
      <c r="E7" s="7" t="inlineStr">
        <is>
          <t>설정 시트 기준월(1~12)·단위 확인</t>
        </is>
      </c>
    </row>
    <row r="8">
      <c r="A8" s="22" t="n">
        <v>2</v>
      </c>
      <c r="B8" s="6" t="inlineStr">
        <is>
          <t>전표_원본 머리글</t>
        </is>
      </c>
      <c r="C8" s="26">
        <f>IF(IF(전표_원본!A4&lt;&gt;"회계연도","A ","")&amp;IF(전표_원본!B4&lt;&gt;"기간","B ","")&amp;IF(전표_원본!C4&lt;&gt;"전표번호","C ","")&amp;IF(전표_원본!D4&lt;&gt;"전기일","D ","")&amp;IF(전표_원본!E4&lt;&gt;"전표유형","E ","")&amp;IF(전표_원본!F4&lt;&gt;"G/L계정","F ","")&amp;IF(전표_원본!G4&lt;&gt;"코스트센터","G ","")&amp;IF(전표_원본!H4&lt;&gt;"금액","H ","")&amp;IF(전표_원본!I4&lt;&gt;"적요","I ","")&amp;IF(전표_원본!J4&lt;&gt;"거래처코드","J ","")&amp;IF(전표_원본!K4&lt;&gt;"거래처명","K ","")="","일치","불일치 열: "&amp;IF(전표_원본!A4&lt;&gt;"회계연도","A ","")&amp;IF(전표_원본!B4&lt;&gt;"기간","B ","")&amp;IF(전표_원본!C4&lt;&gt;"전표번호","C ","")&amp;IF(전표_원본!D4&lt;&gt;"전기일","D ","")&amp;IF(전표_원본!E4&lt;&gt;"전표유형","E ","")&amp;IF(전표_원본!F4&lt;&gt;"G/L계정","F ","")&amp;IF(전표_원본!G4&lt;&gt;"코스트센터","G ","")&amp;IF(전표_원본!H4&lt;&gt;"금액","H ","")&amp;IF(전표_원본!I4&lt;&gt;"적요","I ","")&amp;IF(전표_원본!J4&lt;&gt;"거래처코드","J ","")&amp;IF(전표_원본!K4&lt;&gt;"거래처명","K ",""))</f>
        <v/>
      </c>
      <c r="D8" s="5">
        <f>IF(C8="일치","OK","확인필요")</f>
        <v/>
      </c>
      <c r="E8" s="7" t="inlineStr">
        <is>
          <t>4행 머리글을 표준 이름으로</t>
        </is>
      </c>
    </row>
    <row r="9">
      <c r="A9" s="22" t="n">
        <v>3</v>
      </c>
      <c r="B9" s="6" t="inlineStr">
        <is>
          <t>TB_원본 머리글</t>
        </is>
      </c>
      <c r="C9" s="26">
        <f>IF(IF(TB_원본!A4&lt;&gt;"회계연도","A ","")&amp;IF(TB_원본!B4&lt;&gt;"기간","B ","")&amp;IF(TB_원본!C4&lt;&gt;"G/L계정","C ","")&amp;IF(TB_원본!D4&lt;&gt;"계정명","D ","")&amp;IF(TB_원본!E4&lt;&gt;"당기차변","E ","")&amp;IF(TB_원본!F4&lt;&gt;"당기대변","F ","")&amp;IF(TB_원본!G4&lt;&gt;"기말잔액","G ","")="","일치","불일치 열: "&amp;IF(TB_원본!A4&lt;&gt;"회계연도","A ","")&amp;IF(TB_원본!B4&lt;&gt;"기간","B ","")&amp;IF(TB_원본!C4&lt;&gt;"G/L계정","C ","")&amp;IF(TB_원본!D4&lt;&gt;"계정명","D ","")&amp;IF(TB_원본!E4&lt;&gt;"당기차변","E ","")&amp;IF(TB_원본!F4&lt;&gt;"당기대변","F ","")&amp;IF(TB_원본!G4&lt;&gt;"기말잔액","G ",""))</f>
        <v/>
      </c>
      <c r="D9" s="5">
        <f>IF(C9="일치","OK","확인필요")</f>
        <v/>
      </c>
      <c r="E9" s="7" t="inlineStr">
        <is>
          <t>4행 머리글을 표준 이름으로</t>
        </is>
      </c>
    </row>
    <row r="10">
      <c r="A10" s="22" t="n">
        <v>4</v>
      </c>
      <c r="B10" s="6" t="inlineStr">
        <is>
          <t>예산판_원본 머리글</t>
        </is>
      </c>
      <c r="C10" s="26">
        <f>IF(IF(예산판_원본!A4&lt;&gt;"회계연도","A ","")&amp;IF(예산판_원본!B4&lt;&gt;"부서코드","B ","")&amp;IF(예산판_원본!C4&lt;&gt;"부서명","C ","")&amp;IF(예산판_원본!D4&lt;&gt;"G/L계정","D ","")&amp;IF(예산판_원본!E4&lt;&gt;"계정명","E ","")&amp;IF(예산판_원본!F4&lt;&gt;"분기","F ","")&amp;IF(예산판_원본!G4&lt;&gt;"배정","G ","")&amp;IF(예산판_원본!H4&lt;&gt;"조정","H ","")&amp;IF(예산판_원본!I4&lt;&gt;"실적","I ","")&amp;IF(예산판_원본!J4&lt;&gt;"잔여","J ","")="","일치","불일치 열: "&amp;IF(예산판_원본!A4&lt;&gt;"회계연도","A ","")&amp;IF(예산판_원본!B4&lt;&gt;"부서코드","B ","")&amp;IF(예산판_원본!C4&lt;&gt;"부서명","C ","")&amp;IF(예산판_원본!D4&lt;&gt;"G/L계정","D ","")&amp;IF(예산판_원본!E4&lt;&gt;"계정명","E ","")&amp;IF(예산판_원본!F4&lt;&gt;"분기","F ","")&amp;IF(예산판_원본!G4&lt;&gt;"배정","G ","")&amp;IF(예산판_원본!H4&lt;&gt;"조정","H ","")&amp;IF(예산판_원본!I4&lt;&gt;"실적","I ","")&amp;IF(예산판_원본!J4&lt;&gt;"잔여","J ",""))</f>
        <v/>
      </c>
      <c r="D10" s="5">
        <f>IF(C10="일치","OK","확인필요")</f>
        <v/>
      </c>
      <c r="E10" s="7" t="inlineStr">
        <is>
          <t>4행 머리글을 표준 이름으로</t>
        </is>
      </c>
    </row>
    <row r="11">
      <c r="A11" s="22" t="n">
        <v>5</v>
      </c>
      <c r="B11" s="6" t="inlineStr">
        <is>
          <t>전표 보조수식 범위</t>
        </is>
      </c>
      <c r="C11" s="26">
        <f>COUNTA(전표_원본!A5:A100000)&amp;"행 / 보조 "&amp;COUNTA(전표_원본!O5:O100000)&amp;"행"</f>
        <v/>
      </c>
      <c r="D11" s="5">
        <f>IF(COUNTA(전표_원본!O5:O100000)&gt;=COUNTA(전표_원본!A5:A100000),"OK","확인필요")</f>
        <v/>
      </c>
      <c r="E11" s="7" t="inlineStr">
        <is>
          <t>M~X열을 데이터 마지막 행까지 채우기</t>
        </is>
      </c>
    </row>
    <row r="12">
      <c r="A12" s="22" t="n">
        <v>6</v>
      </c>
      <c r="B12" s="6" t="inlineStr">
        <is>
          <t>TB 보조수식 범위</t>
        </is>
      </c>
      <c r="C12" s="26">
        <f>COUNTA(TB_원본!A5:A20000)&amp;"행 / 보조 "&amp;COUNTA(TB_원본!I5:I20000)&amp;"행"</f>
        <v/>
      </c>
      <c r="D12" s="5">
        <f>IF(COUNTA(TB_원본!I5:I20000)&gt;=COUNTA(TB_원본!A5:A20000),"OK","확인필요")</f>
        <v/>
      </c>
      <c r="E12" s="7" t="inlineStr">
        <is>
          <t>I~K열을 데이터 마지막 행까지 채우기</t>
        </is>
      </c>
    </row>
    <row r="13">
      <c r="A13" s="22" t="n">
        <v>7</v>
      </c>
      <c r="B13" s="6" t="inlineStr">
        <is>
          <t>예산판 보조수식 범위</t>
        </is>
      </c>
      <c r="C13" s="26">
        <f>COUNTA(예산판_원본!A5:A5000)&amp;"행 / 보조 "&amp;COUNTA(예산판_원본!L5:L5000)&amp;"행"</f>
        <v/>
      </c>
      <c r="D13" s="5">
        <f>IF(COUNTA(예산판_원본!L5:L5000)&gt;=COUNTA(예산판_원본!A5:A5000),"OK","확인필요")</f>
        <v/>
      </c>
      <c r="E13" s="7" t="inlineStr">
        <is>
          <t>L~R열을 데이터 마지막 행까지 채우기</t>
        </is>
      </c>
    </row>
    <row r="14">
      <c r="A14" s="22" t="n">
        <v>8</v>
      </c>
      <c r="B14" s="6" t="inlineStr">
        <is>
          <t>기준월 전표 존재</t>
        </is>
      </c>
      <c r="C14" s="26">
        <f>COUNTIF(전표_원본!$M$5:$M$100000,설정!$C$20)&amp;"건"</f>
        <v/>
      </c>
      <c r="D14" s="5">
        <f>IF(COUNTIF(전표_원본!$M$5:$M$100000,설정!$C$20)&gt;0,"OK","확인필요")</f>
        <v/>
      </c>
      <c r="E14" s="7" t="inlineStr">
        <is>
          <t>기준월 전표가 들어 있는지 확인</t>
        </is>
      </c>
    </row>
    <row r="15">
      <c r="A15" s="22" t="n">
        <v>9</v>
      </c>
      <c r="B15" s="6" t="inlineStr">
        <is>
          <t>기준월 TB 존재</t>
        </is>
      </c>
      <c r="C15" s="26">
        <f>COUNTIF(TB_원본!$I$5:$I$20000,설정!$C$20)&amp;"행"</f>
        <v/>
      </c>
      <c r="D15" s="5">
        <f>IF(COUNTIF(TB_원본!$I$5:$I$20000,설정!$C$20)&gt;0,"OK","확인필요")</f>
        <v/>
      </c>
      <c r="E15" s="7" t="inlineStr">
        <is>
          <t>기준월 TB가 들어 있는지 확인</t>
        </is>
      </c>
    </row>
    <row r="16">
      <c r="A16" s="22" t="n">
        <v>10</v>
      </c>
      <c r="B16" s="6" t="inlineStr">
        <is>
          <t>전년 동월 전표 존재</t>
        </is>
      </c>
      <c r="C16" s="26">
        <f>COUNTIF(전표_원본!$M$5:$M$100000,설정!$C$20-12)&amp;"건"</f>
        <v/>
      </c>
      <c r="D16" s="5">
        <f>IF(COUNTIF(전표_원본!$M$5:$M$100000,설정!$C$20-12)&gt;0,"OK","참고")</f>
        <v/>
      </c>
      <c r="E16" s="7" t="inlineStr">
        <is>
          <t>전년동월 비교·이상치 판정에 필요 (최근 24개월 권장)</t>
        </is>
      </c>
    </row>
    <row r="17">
      <c r="A17" s="22" t="n">
        <v>11</v>
      </c>
      <c r="B17" s="6" t="inlineStr">
        <is>
          <t>미매핑 코스트센터</t>
        </is>
      </c>
      <c r="C17" s="26">
        <f>COUNTIF(전표_원본!$N$5:$N$100000,"미매핑")&amp;"건"&amp;IF(COUNTIF(전표_원본!$N$5:$N$100000,"미매핑")&gt;0," (예: "&amp;INDEX(전표_원본!$G$5:$G$100000,MATCH("미매핑",전표_원본!$N$5:$N$100000,0))&amp;")","")</f>
        <v/>
      </c>
      <c r="D17" s="5">
        <f>IF(COUNTIF(전표_원본!$N$5:$N$100000,"미매핑")=0,"OK","확인필요")</f>
        <v/>
      </c>
      <c r="E17" s="7" t="inlineStr">
        <is>
          <t>부서매핑에 코스트센터 추가</t>
        </is>
      </c>
    </row>
    <row r="18">
      <c r="A18" s="22" t="n">
        <v>12</v>
      </c>
      <c r="B18" s="6" t="inlineStr">
        <is>
          <t>미매핑 G/L 계정</t>
        </is>
      </c>
      <c r="C18" s="26">
        <f>COUNTIF(전표_원본!$W$5:$W$100000,"미매핑")&amp;"건"&amp;IF(COUNTIF(전표_원본!$W$5:$W$100000,"미매핑")&gt;0," (예: "&amp;INDEX(전표_원본!$F$5:$F$100000,MATCH("미매핑",전표_원본!$W$5:$W$100000,0))&amp;")","")</f>
        <v/>
      </c>
      <c r="D18" s="5">
        <f>IF(COUNTIF(전표_원본!$W$5:$W$100000,"미매핑")=0,"OK","확인필요")</f>
        <v/>
      </c>
      <c r="E18" s="7" t="inlineStr">
        <is>
          <t>계정매핑에 계정 추가</t>
        </is>
      </c>
    </row>
    <row r="19">
      <c r="A19" s="22" t="n">
        <v>13</v>
      </c>
      <c r="B19" s="6" t="inlineStr">
        <is>
          <t>TB ↔ 전표 당월 대사</t>
        </is>
      </c>
      <c r="C19" s="26">
        <f>"차이 "&amp;TEXT(계정변동!L25,"#,##0.0")</f>
        <v/>
      </c>
      <c r="D19" s="5">
        <f>IF(ABS(계정변동!L25)&lt;0.05,"OK","확인필요")</f>
        <v/>
      </c>
      <c r="E19" s="7" t="inlineStr">
        <is>
          <t>계정변동 시트에서 차이 나는 계정 확인 (전표 추출 범위 누락 등)</t>
        </is>
      </c>
    </row>
    <row r="20">
      <c r="A20" s="22" t="n">
        <v>14</v>
      </c>
      <c r="B20" s="6" t="inlineStr">
        <is>
          <t>예산판 ↔ 전표 당분기 대사</t>
        </is>
      </c>
      <c r="C20" s="26">
        <f>"차이 "&amp;TEXT(계정변동!O25,"#,##0.0")</f>
        <v/>
      </c>
      <c r="D20" s="5">
        <f>IF(ABS(계정변동!O25)&lt;0.05,"OK","확인필요")</f>
        <v/>
      </c>
      <c r="E20" s="7" t="inlineStr">
        <is>
          <t>예산판 추출 시점과 전표 기간 일치 여부 확인</t>
        </is>
      </c>
    </row>
    <row r="21">
      <c r="A21" s="22" t="n">
        <v>15</v>
      </c>
      <c r="B21" s="6" t="inlineStr">
        <is>
          <t>변동분석에 없는 조합 (전표)</t>
        </is>
      </c>
      <c r="C21" s="26">
        <f>COUNTIFS(전표_원본!$V$5:$V$100000,"N",전표_원본!$A$5:$A$100000,설정!$C$6)&amp;"건"</f>
        <v/>
      </c>
      <c r="D21" s="5">
        <f>IF(COUNTIFS(전표_원본!$V$5:$V$100000,"N",전표_원본!$A$5:$A$100000,설정!$C$6)=0,"OK","확인필요")</f>
        <v/>
      </c>
      <c r="E21" s="7" t="inlineStr">
        <is>
          <t>변동분석에 부서코드·G/L 행 추가</t>
        </is>
      </c>
    </row>
    <row r="22">
      <c r="A22" s="22" t="n">
        <v>16</v>
      </c>
      <c r="B22" s="6" t="inlineStr">
        <is>
          <t>변동분석에 없는 조합 (예산판)</t>
        </is>
      </c>
      <c r="C22" s="26">
        <f>COUNTIFS(예산판_원본!$Q$5:$Q$5000,"N",예산판_원본!$M$5:$M$5000,설정!$C$6)&amp;"행"</f>
        <v/>
      </c>
      <c r="D22" s="5">
        <f>IF(COUNTIFS(예산판_원본!$Q$5:$Q$5000,"N",예산판_원본!$M$5:$M$5000,설정!$C$6)=0,"OK","확인필요")</f>
        <v/>
      </c>
      <c r="E22" s="7" t="inlineStr">
        <is>
          <t>변동분석에 부서코드·G/L 행 추가</t>
        </is>
      </c>
    </row>
    <row r="23">
      <c r="A23" s="22" t="n">
        <v>17</v>
      </c>
      <c r="B23" s="6" t="inlineStr">
        <is>
          <t>무예산 집행</t>
        </is>
      </c>
      <c r="C23" s="26">
        <f>COUNTIF(변동분석!$AO$7:$AO$506,"무예산")&amp;"건"</f>
        <v/>
      </c>
      <c r="D23" s="5">
        <f>IF(COUNTIF(변동분석!$AO$7:$AO$506,"무예산")=0,"OK","참고")</f>
        <v/>
      </c>
      <c r="E23" s="7" t="inlineStr">
        <is>
          <t>업무상 예외 - 전용·추가 배정 여부 확인</t>
        </is>
      </c>
    </row>
    <row r="24">
      <c r="A24" s="22" t="n">
        <v>18</v>
      </c>
      <c r="B24" s="6" t="inlineStr">
        <is>
          <t>원인분석 선택 항목</t>
        </is>
      </c>
      <c r="C24" s="26">
        <f>원인분석!$E$9&amp;" · 당기 전표 "&amp;COUNTIF(전표_원본!$Q$5:$Q$100000,"당기")&amp;"건"</f>
        <v/>
      </c>
      <c r="D24" s="5">
        <f>IF(COUNTIF(전표_원본!$Q$5:$Q$100000,"당기")&gt;0,"OK","참고")</f>
        <v/>
      </c>
      <c r="E24" s="7" t="inlineStr">
        <is>
          <t>원인분석 C5~C8 선택값 확인</t>
        </is>
      </c>
    </row>
    <row r="25">
      <c r="A25" s="22" t="n">
        <v>19</v>
      </c>
      <c r="B25" s="6" t="inlineStr">
        <is>
          <t>BS_원본 머리글</t>
        </is>
      </c>
      <c r="C25" s="26">
        <f>IF(IF(BS_원본!A4&lt;&gt;"회계연도","A ","")&amp;IF(BS_원본!B4&lt;&gt;"기간","B ","")&amp;IF(BS_원본!C4&lt;&gt;"항목코드","C ","")&amp;IF(BS_원본!D4&lt;&gt;"항목명","D ","")&amp;IF(BS_원본!E4&lt;&gt;"구분","E ","")&amp;IF(BS_원본!F4&lt;&gt;"레벨","F ","")&amp;IF(BS_원본!G4&lt;&gt;"기말잔액","G ","")="","일치","불일치 열: "&amp;IF(BS_원본!A4&lt;&gt;"회계연도","A ","")&amp;IF(BS_원본!B4&lt;&gt;"기간","B ","")&amp;IF(BS_원본!C4&lt;&gt;"항목코드","C ","")&amp;IF(BS_원본!D4&lt;&gt;"항목명","D ","")&amp;IF(BS_원본!E4&lt;&gt;"구분","E ","")&amp;IF(BS_원본!F4&lt;&gt;"레벨","F ","")&amp;IF(BS_원본!G4&lt;&gt;"기말잔액","G ",""))</f>
        <v/>
      </c>
      <c r="D25" s="5">
        <f>IF(C25="일치","OK","확인필요")</f>
        <v/>
      </c>
      <c r="E25" s="7" t="inlineStr">
        <is>
          <t>4행 머리글을 표준 이름으로</t>
        </is>
      </c>
    </row>
    <row r="26">
      <c r="A26" s="22" t="n">
        <v>20</v>
      </c>
      <c r="B26" s="6" t="inlineStr">
        <is>
          <t>PL_원본 머리글</t>
        </is>
      </c>
      <c r="C26" s="26">
        <f>IF(IF(PL_원본!A4&lt;&gt;"회계연도","A ","")&amp;IF(PL_원본!B4&lt;&gt;"기간","B ","")&amp;IF(PL_원본!C4&lt;&gt;"항목코드","C ","")&amp;IF(PL_원본!D4&lt;&gt;"항목명","D ","")&amp;IF(PL_원본!E4&lt;&gt;"구분","E ","")&amp;IF(PL_원본!F4&lt;&gt;"레벨","F ","")&amp;IF(PL_원본!G4&lt;&gt;"당월금액","G ","")&amp;IF(PL_원본!H4&lt;&gt;"누계금액","H ","")="","일치","불일치 열: "&amp;IF(PL_원본!A4&lt;&gt;"회계연도","A ","")&amp;IF(PL_원본!B4&lt;&gt;"기간","B ","")&amp;IF(PL_원본!C4&lt;&gt;"항목코드","C ","")&amp;IF(PL_원본!D4&lt;&gt;"항목명","D ","")&amp;IF(PL_원본!E4&lt;&gt;"구분","E ","")&amp;IF(PL_원본!F4&lt;&gt;"레벨","F ","")&amp;IF(PL_원본!G4&lt;&gt;"당월금액","G ","")&amp;IF(PL_원본!H4&lt;&gt;"누계금액","H ",""))</f>
        <v/>
      </c>
      <c r="D26" s="5">
        <f>IF(C26="일치","OK","확인필요")</f>
        <v/>
      </c>
      <c r="E26" s="7" t="inlineStr">
        <is>
          <t>4행 머리글을 표준 이름으로</t>
        </is>
      </c>
    </row>
    <row r="27">
      <c r="A27" s="22" t="n">
        <v>21</v>
      </c>
      <c r="B27" s="6" t="inlineStr">
        <is>
          <t>BS·PL 보조수식 범위</t>
        </is>
      </c>
      <c r="C27" s="26">
        <f>"BS "&amp;COUNTA(BS_원본!A5:A20000)&amp;"/"&amp;COUNTA(BS_원본!I5:I20000)&amp;" · PL "&amp;COUNTA(PL_원본!A5:A20000)&amp;"/"&amp;COUNTA(PL_원본!J5:J20000)</f>
        <v/>
      </c>
      <c r="D27" s="5">
        <f>IF(AND(COUNTA(BS_원본!I5:I20000)&gt;=COUNTA(BS_원본!A5:A20000),COUNTA(PL_원본!J5:J20000)&gt;=COUNTA(PL_원본!A5:A20000)),"OK","확인필요")</f>
        <v/>
      </c>
      <c r="E27" s="7" t="inlineStr">
        <is>
          <t>보조수식을 데이터 마지막 행까지 채우기</t>
        </is>
      </c>
    </row>
    <row r="28">
      <c r="A28" s="22" t="n">
        <v>22</v>
      </c>
      <c r="B28" s="6" t="inlineStr">
        <is>
          <t>기준월 BS·PL 존재</t>
        </is>
      </c>
      <c r="C28" s="26">
        <f>"BS "&amp;COUNTIF(BS_원본!$I$5:$I$20000,설정!$C$20)&amp;"행 · PL "&amp;COUNTIF(PL_원본!$J$5:$J$20000,설정!$C$20)&amp;"행"</f>
        <v/>
      </c>
      <c r="D28" s="5">
        <f>IF(AND(COUNTIF(BS_원본!$I$5:$I$20000,설정!$C$20)&gt;0,COUNTIF(PL_원본!$J$5:$J$20000,설정!$C$20)&gt;0),"OK","확인필요")</f>
        <v/>
      </c>
      <c r="E28" s="7" t="inlineStr">
        <is>
          <t>기준월 BS·PL이 들어 있는지 확인</t>
        </is>
      </c>
    </row>
    <row r="29">
      <c r="A29" s="22" t="n">
        <v>23</v>
      </c>
      <c r="B29" s="6" t="inlineStr">
        <is>
          <t>BS 대차 (자산 = 부채 + 자본)</t>
        </is>
      </c>
      <c r="C29" s="26">
        <f>"차이 "&amp;TEXT(SUMIFS(BS_원본!$K$5:$K$20000,BS_원본!$J$5:$J$20000,"A000",BS_원본!$I$5:$I$20000,설정!$C$20)-SUMIFS(BS_원본!$K$5:$K$20000,BS_원본!$J$5:$J$20000,"L000",BS_원본!$I$5:$I$20000,설정!$C$20)-SUMIFS(BS_원본!$K$5:$K$20000,BS_원본!$J$5:$J$20000,"E000",BS_원본!$I$5:$I$20000,설정!$C$20),"#,##0")</f>
        <v/>
      </c>
      <c r="D29" s="5">
        <f>IF(ABS(SUMIFS(BS_원본!$K$5:$K$20000,BS_원본!$J$5:$J$20000,"A000",BS_원본!$I$5:$I$20000,설정!$C$20)-SUMIFS(BS_원본!$K$5:$K$20000,BS_원본!$J$5:$J$20000,"L000",BS_원본!$I$5:$I$20000,설정!$C$20)-SUMIFS(BS_원본!$K$5:$K$20000,BS_원본!$J$5:$J$20000,"E000",BS_원본!$I$5:$I$20000,설정!$C$20))&lt;1,"OK","확인필요")</f>
        <v/>
      </c>
      <c r="E29" s="7" t="inlineStr">
        <is>
          <t>BS 합계 행(A000·L000·E000) 확인</t>
        </is>
      </c>
    </row>
    <row r="30">
      <c r="A30" s="22" t="n">
        <v>24</v>
      </c>
      <c r="B30" s="6" t="inlineStr">
        <is>
          <t>PL 당기순이익 검산</t>
        </is>
      </c>
      <c r="C30" s="26">
        <f>"차이 "&amp;TEXT(SUMIFS(PL_원본!$L$5:$L$20000,PL_원본!$K$5:$K$20000,"P100",PL_원본!$J$5:$J$20000,설정!$C$20)+SUMIFS(PL_원본!$L$5:$L$20000,PL_원본!$K$5:$K$20000,"P200",PL_원본!$J$5:$J$20000,설정!$C$20)-SUMIFS(PL_원본!$L$5:$L$20000,PL_원본!$K$5:$K$20000,"P300",PL_원본!$J$5:$J$20000,설정!$C$20)-SUMIFS(PL_원본!$L$5:$L$20000,PL_원본!$K$5:$K$20000,"P500",PL_원본!$J$5:$J$20000,설정!$C$20)-SUMIFS(PL_원본!$L$5:$L$20000,PL_원본!$K$5:$K$20000,"P600",PL_원본!$J$5:$J$20000,설정!$C$20),"#,##0.0")</f>
        <v/>
      </c>
      <c r="D30" s="5">
        <f>IF(ABS(SUMIFS(PL_원본!$L$5:$L$20000,PL_원본!$K$5:$K$20000,"P100",PL_원본!$J$5:$J$20000,설정!$C$20)+SUMIFS(PL_원본!$L$5:$L$20000,PL_원본!$K$5:$K$20000,"P200",PL_원본!$J$5:$J$20000,설정!$C$20)-SUMIFS(PL_원본!$L$5:$L$20000,PL_원본!$K$5:$K$20000,"P300",PL_원본!$J$5:$J$20000,설정!$C$20)-SUMIFS(PL_원본!$L$5:$L$20000,PL_원본!$K$5:$K$20000,"P500",PL_원본!$J$5:$J$20000,설정!$C$20)-SUMIFS(PL_원본!$L$5:$L$20000,PL_원본!$K$5:$K$20000,"P600",PL_원본!$J$5:$J$20000,설정!$C$20))&lt;0.05,"OK","확인필요")</f>
        <v/>
      </c>
      <c r="E30" s="7" t="inlineStr">
        <is>
          <t>보험손익+투자손익−사업비−법인세 = 당기순이익</t>
        </is>
      </c>
    </row>
    <row r="31">
      <c r="A31" s="22" t="n">
        <v>25</v>
      </c>
      <c r="B31" s="6" t="inlineStr">
        <is>
          <t>PL 기타사업비용 ↔ 비귀속 사업비</t>
        </is>
      </c>
      <c r="C31" s="26">
        <f>"차이 "&amp;TEXT(SUMIFS(PL_원본!$L$5:$L$20000,PL_원본!$K$5:$K$20000,"P300",PL_원본!$J$5:$J$20000,설정!$C$20)-SUMIFS(전표_원본!$Y$5:$Y$100000,전표_원본!$M$5:$M$100000,설정!$C$20),"#,##0.0")</f>
        <v/>
      </c>
      <c r="D31" s="5">
        <f>IF(ABS(SUMIFS(PL_원본!$L$5:$L$20000,PL_원본!$K$5:$K$20000,"P300",PL_원본!$J$5:$J$20000,설정!$C$20)-SUMIFS(전표_원본!$Y$5:$Y$100000,전표_원본!$M$5:$M$100000,설정!$C$20))&lt;0.5,"OK","확인필요")</f>
        <v/>
      </c>
      <c r="E31" s="7" t="inlineStr">
        <is>
          <t>직접대체·부서별 비율의 비귀속과 PL 기타사업비용 범위 확인</t>
        </is>
      </c>
    </row>
    <row r="32">
      <c r="A32" s="22" t="n">
        <v>26</v>
      </c>
      <c r="B32" s="6" t="inlineStr">
        <is>
          <t>대체비율 합계 100%</t>
        </is>
      </c>
      <c r="C32" s="26">
        <f>"부서 "&amp;SUMPRODUCT((계정대체기준!$A$20:$A$49&lt;&gt;"")*(ABS(계정대체기준!$G$20:$G$49-1)&gt;0.0001))&amp;"행 · 포트폴리오 "&amp;(ABS(계정대체기준!$D$64-1)+ABS(계정대체기준!$E$64-1)+ABS(계정대체기준!$F$64-1)&gt;0.0001)*1</f>
        <v/>
      </c>
      <c r="D32" s="5">
        <f>IF(SUMPRODUCT((계정대체기준!$A$20:$A$49&lt;&gt;"")*(ABS(계정대체기준!$G$20:$G$49-1)&gt;0.0001))+(ABS(계정대체기준!$D$64-1)+ABS(계정대체기준!$E$64-1)+ABS(계정대체기준!$F$64-1)&gt;0.0001)=0,"OK","확인필요")</f>
        <v/>
      </c>
      <c r="E32" s="7" t="inlineStr">
        <is>
          <t>계정대체기준 시트에서 합계가 100%가 아닌 행 수정</t>
        </is>
      </c>
    </row>
    <row r="33">
      <c r="A33" s="22" t="n">
        <v>27</v>
      </c>
      <c r="B33" s="6" t="inlineStr">
        <is>
          <t>대체비율표에 없는 부서 (공통비)</t>
        </is>
      </c>
      <c r="C33" s="26">
        <f>SUMPRODUCT((전표_원본!$AE$5:$AE$100000="공통비")*(COUNTIF(계정대체기준!$A$20:$A$49,전표_원본!$N$5:$N$100000)=0))&amp;"건 (전액 비귀속 처리)"</f>
        <v/>
      </c>
      <c r="D33" s="5">
        <f>IF(SUMPRODUCT((전표_원본!$AE$5:$AE$100000="공통비")*(COUNTIF(계정대체기준!$A$20:$A$49,전표_원본!$N$5:$N$100000)=0))=0,"OK","확인필요")</f>
        <v/>
      </c>
      <c r="E33" s="7" t="inlineStr">
        <is>
          <t>계정대체기준 부서별 비율표에 부서 추가</t>
        </is>
      </c>
    </row>
    <row r="34">
      <c r="A34" s="22" t="n">
        <v>28</v>
      </c>
      <c r="B34" s="6" t="inlineStr">
        <is>
          <t>계정대체 전후 합계</t>
        </is>
      </c>
      <c r="C34" s="26">
        <f>"차이 "&amp;TEXT(SUMIFS(전표_원본!$P$5:$P$100000,전표_원본!$M$5:$M$100000,설정!$C$20)-SUMIFS(전표_원본!$Y$5:$Y$100000,전표_원본!$M$5:$M$100000,설정!$C$20)-SUMIFS(전표_원본!$Z$5:$Z$100000,전표_원본!$M$5:$M$100000,설정!$C$20)-SUMIFS(전표_원본!$AA$5:$AA$100000,전표_원본!$M$5:$M$100000,설정!$C$20)-SUMIFS(전표_원본!$AB$5:$AB$100000,전표_원본!$M$5:$M$100000,설정!$C$20)-SUMIFS(전표_원본!$AD$5:$AD$100000,전표_원본!$M$5:$M$100000,설정!$C$20),"#,##0.0")</f>
        <v/>
      </c>
      <c r="D34" s="5">
        <f>IF(ABS(SUMIFS(전표_원본!$P$5:$P$100000,전표_원본!$M$5:$M$100000,설정!$C$20)-SUMIFS(전표_원본!$Y$5:$Y$100000,전표_원본!$M$5:$M$100000,설정!$C$20)-SUMIFS(전표_원본!$Z$5:$Z$100000,전표_원본!$M$5:$M$100000,설정!$C$20)-SUMIFS(전표_원본!$AA$5:$AA$100000,전표_원본!$M$5:$M$100000,설정!$C$20)-SUMIFS(전표_원본!$AB$5:$AB$100000,전표_원본!$M$5:$M$100000,설정!$C$20)-SUMIFS(전표_원본!$AD$5:$AD$100000,전표_원본!$M$5:$M$100000,설정!$C$20))&lt;0.05,"OK","확인필요")</f>
        <v/>
      </c>
      <c r="E34" s="7" t="inlineStr">
        <is>
          <t>직접대체 계정 지정, 부서별 비율 합계 확인</t>
        </is>
      </c>
    </row>
    <row r="35">
      <c r="A35" s="22" t="n">
        <v>29</v>
      </c>
      <c r="B35" s="6" t="inlineStr">
        <is>
          <t>PL 재산관리비 ↔ 재산관리비 대체액</t>
        </is>
      </c>
      <c r="C35" s="26">
        <f>"차이 "&amp;TEXT(SUMIFS(PL_원본!$L$5:$L$20000,PL_원본!$K$5:$K$20000,"P230",PL_원본!$J$5:$J$20000,설정!$C$20)-SUMIFS(전표_원본!$AD$5:$AD$100000,전표_원본!$M$5:$M$100000,설정!$C$20),"#,##0.0")</f>
        <v/>
      </c>
      <c r="D35" s="5">
        <f>IF(ABS(SUMIFS(PL_원본!$L$5:$L$20000,PL_원본!$K$5:$K$20000,"P230",PL_원본!$J$5:$J$20000,설정!$C$20)-SUMIFS(전표_원본!$AD$5:$AD$100000,전표_원본!$M$5:$M$100000,설정!$C$20))&lt;0.5,"OK","확인필요")</f>
        <v/>
      </c>
      <c r="E35" s="7" t="inlineStr">
        <is>
          <t>투자관련부서 목록·재산관리비 비율, PL 재산관리비 범위 확인</t>
        </is>
      </c>
    </row>
    <row r="36">
      <c r="A36" s="22" t="n">
        <v>30</v>
      </c>
      <c r="B36" s="6" t="inlineStr">
        <is>
          <t>기준월 예정사업비 존재</t>
        </is>
      </c>
      <c r="C36" s="26">
        <f>COUNTIF(예정사업비!$I$5:$I$20000,설정!$C$20)&amp;"행"</f>
        <v/>
      </c>
      <c r="D36" s="5">
        <f>IF(COUNTIF(예정사업비!$I$5:$I$20000,설정!$C$20)&gt;0,"OK","확인필요")</f>
        <v/>
      </c>
      <c r="E36" s="7" t="inlineStr">
        <is>
          <t>계리 예정사업비 기준월 자료 확인</t>
        </is>
      </c>
    </row>
    <row r="37">
      <c r="A37" s="22" t="n">
        <v>31</v>
      </c>
      <c r="B37" s="6" t="inlineStr">
        <is>
          <t>부채변동표 롤포워드</t>
        </is>
      </c>
      <c r="C37" s="26">
        <f>"차이 "&amp;TEXT(SUMIFS(부채변동표!$M$5:$M$20000,부채변동표!$L$5:$L$20000,설정!$C$20,부채변동표!$P$5:$P$20000,"&lt;&gt;F99")-SUMIFS(부채변동표!$M$5:$M$20000,부채변동표!$L$5:$L$20000,설정!$C$20,부채변동표!$P$5:$P$20000,"F99"),"#,##0.0")&amp;" / "&amp;TEXT(SUMIFS(부채변동표!$O$5:$O$20000,부채변동표!$L$5:$L$20000,설정!$C$20,부채변동표!$P$5:$P$20000,"&lt;&gt;F99")-SUMIFS(부채변동표!$O$5:$O$20000,부채변동표!$L$5:$L$20000,설정!$C$20,부채변동표!$P$5:$P$20000,"F99"),"#,##0.0")</f>
        <v/>
      </c>
      <c r="D37" s="5">
        <f>IF(ABS(SUMIFS(부채변동표!$M$5:$M$20000,부채변동표!$L$5:$L$20000,설정!$C$20,부채변동표!$P$5:$P$20000,"&lt;&gt;F99")-SUMIFS(부채변동표!$M$5:$M$20000,부채변동표!$L$5:$L$20000,설정!$C$20,부채변동표!$P$5:$P$20000,"F99"))+ABS(SUMIFS(부채변동표!$N$5:$N$20000,부채변동표!$L$5:$L$20000,설정!$C$20,부채변동표!$P$5:$P$20000,"&lt;&gt;F99")-SUMIFS(부채변동표!$N$5:$N$20000,부채변동표!$L$5:$L$20000,설정!$C$20,부채변동표!$P$5:$P$20000,"F99"))+ABS(SUMIFS(부채변동표!$O$5:$O$20000,부채변동표!$L$5:$L$20000,설정!$C$20,부채변동표!$P$5:$P$20000,"&lt;&gt;F99")-SUMIFS(부채변동표!$O$5:$O$20000,부채변동표!$L$5:$L$20000,설정!$C$20,부채변동표!$P$5:$P$20000,"F99"))&lt;1,"OK","확인필요")</f>
        <v/>
      </c>
      <c r="E37" s="7" t="inlineStr">
        <is>
          <t>기초 + 요인 합계 = 기말인지, 변동요인 매핑(입력옵션) 누락 확인</t>
        </is>
      </c>
    </row>
    <row r="38">
      <c r="A38" s="22" t="n">
        <v>32</v>
      </c>
      <c r="B38" s="6" t="inlineStr">
        <is>
          <t>변동표 기말 ↔ BS (BEL·RA·CSM)</t>
        </is>
      </c>
      <c r="C38" s="26">
        <f>"차이 "&amp;TEXT(SUMIFS(부채변동표!$M$5:$M$20000,부채변동표!$L$5:$L$20000,설정!$C$20,부채변동표!$P$5:$P$20000,"F99")-SUMIFS(BS_원본!$K$5:$K$20000,BS_원본!$J$5:$J$20000,"L110",BS_원본!$I$5:$I$20000,설정!$C$20),"#,##0")&amp;" / "&amp;TEXT(SUMIFS(부채변동표!$N$5:$N$20000,부채변동표!$L$5:$L$20000,설정!$C$20,부채변동표!$P$5:$P$20000,"F99")-SUMIFS(BS_원본!$K$5:$K$20000,BS_원본!$J$5:$J$20000,"L120",BS_원본!$I$5:$I$20000,설정!$C$20),"#,##0")&amp;" / "&amp;TEXT(SUMIFS(부채변동표!$O$5:$O$20000,부채변동표!$L$5:$L$20000,설정!$C$20,부채변동표!$P$5:$P$20000,"F99")-SUMIFS(BS_원본!$K$5:$K$20000,BS_원본!$J$5:$J$20000,"L130",BS_원본!$I$5:$I$20000,설정!$C$20),"#,##0")</f>
        <v/>
      </c>
      <c r="D38" s="5">
        <f>IF(ABS(SUMIFS(부채변동표!$M$5:$M$20000,부채변동표!$L$5:$L$20000,설정!$C$20,부채변동표!$P$5:$P$20000,"F99")-SUMIFS(BS_원본!$K$5:$K$20000,BS_원본!$J$5:$J$20000,"L110",BS_원본!$I$5:$I$20000,설정!$C$20))+ABS(SUMIFS(부채변동표!$N$5:$N$20000,부채변동표!$L$5:$L$20000,설정!$C$20,부채변동표!$P$5:$P$20000,"F99")-SUMIFS(BS_원본!$K$5:$K$20000,BS_원본!$J$5:$J$20000,"L120",BS_원본!$I$5:$I$20000,설정!$C$20))+ABS(SUMIFS(부채변동표!$O$5:$O$20000,부채변동표!$L$5:$L$20000,설정!$C$20,부채변동표!$P$5:$P$20000,"F99")-SUMIFS(BS_원본!$K$5:$K$20000,BS_원본!$J$5:$J$20000,"L130",BS_원본!$I$5:$I$20000,설정!$C$20))&lt;1,"OK","확인필요")</f>
        <v/>
      </c>
      <c r="E38" s="7" t="inlineStr">
        <is>
          <t>BS 항목 매핑(L110·L120·L130)과 변동표 포트폴리오 범위 확인</t>
        </is>
      </c>
    </row>
    <row r="39">
      <c r="A39" s="22" t="n">
        <v>33</v>
      </c>
      <c r="B39" s="6" t="inlineStr">
        <is>
          <t>변동표 F31 ↔ TRACE 신계약비 경험차이</t>
        </is>
      </c>
      <c r="C39" s="26">
        <f>COUNTIF(IFRS17_사업비!$F$39:$F$42,"차이 확인")&amp;"개 포트폴리오 차이"</f>
        <v/>
      </c>
      <c r="D39" s="5">
        <f>IF(COUNTIF(IFRS17_사업비!$F$39:$F$42,"차이 확인")=0,"OK","참고")</f>
        <v/>
      </c>
      <c r="E39" s="7" t="inlineStr">
        <is>
          <t>배분 드라이버·예정사업비 기준이 계리와 같은지 확인 (차이는 정보성)</t>
        </is>
      </c>
    </row>
  </sheetData>
  <conditionalFormatting sqref="D7:D39">
    <cfRule type="cellIs" priority="1" operator="equal" dxfId="0">
      <formula>"OK"</formula>
    </cfRule>
    <cfRule type="cellIs" priority="2" operator="equal" dxfId="1">
      <formula>"확인필요"</formula>
    </cfRule>
    <cfRule type="cellIs" priority="3" operator="equal" dxfId="2">
      <formula>"참고"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L77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>
      <c r="A1" s="27">
        <f>설정!$C$5&amp;" TRACE 대시보드 ("&amp;INT((설정!$C$20-1)/12)&amp;"-"&amp;TEXT(MOD(설정!$C$20-1,12)+1,"00")&amp;")"</f>
        <v/>
      </c>
    </row>
    <row r="2">
      <c r="A2" s="2">
        <f>"단위: "&amp;설정!$C$9&amp;" · 자가진단: "&amp;자가진단!$B$4&amp;" · 3자 대사: "&amp;계정변동!$P$25</f>
        <v/>
      </c>
    </row>
    <row r="4">
      <c r="A4" s="28" t="inlineStr">
        <is>
          <t>총자산</t>
        </is>
      </c>
      <c r="C4" s="28" t="inlineStr">
        <is>
          <t>자본총계</t>
        </is>
      </c>
      <c r="E4" s="28" t="inlineStr">
        <is>
          <t>CSM</t>
        </is>
      </c>
      <c r="G4" s="28" t="inlineStr">
        <is>
          <t>당기순이익 누계</t>
        </is>
      </c>
      <c r="I4" s="28" t="inlineStr">
        <is>
          <t>사업비 누계</t>
        </is>
      </c>
      <c r="K4" s="28" t="inlineStr">
        <is>
          <t>분기 한도 초과(예상)</t>
        </is>
      </c>
    </row>
    <row r="5">
      <c r="A5" s="29">
        <f>차트데이터!B91</f>
        <v/>
      </c>
      <c r="C5" s="29">
        <f>차트데이터!B92</f>
        <v/>
      </c>
      <c r="E5" s="29">
        <f>차트데이터!B93</f>
        <v/>
      </c>
      <c r="G5" s="29">
        <f>차트데이터!B94</f>
        <v/>
      </c>
      <c r="I5" s="29">
        <f>차트데이터!B95</f>
        <v/>
      </c>
      <c r="K5" s="30">
        <f>차트데이터!B97</f>
        <v/>
      </c>
    </row>
    <row r="6">
      <c r="A6" s="31">
        <f>차트데이터!E91&amp;" 대비 "&amp;TEXT(차트데이터!D91,"+0.0%;-0.0%;0.0%")</f>
        <v/>
      </c>
      <c r="C6" s="31">
        <f>차트데이터!E92&amp;" 대비 "&amp;TEXT(차트데이터!D92,"+0.0%;-0.0%;0.0%")</f>
        <v/>
      </c>
      <c r="E6" s="31">
        <f>차트데이터!E93&amp;" 대비 "&amp;TEXT(차트데이터!D93,"+0.0%;-0.0%;0.0%")</f>
        <v/>
      </c>
      <c r="G6" s="31">
        <f>차트데이터!E94&amp;" 대비 "&amp;TEXT(차트데이터!D94,"+0.0%;-0.0%;0.0%")</f>
        <v/>
      </c>
      <c r="I6" s="31">
        <f>차트데이터!E95&amp;" 대비 "&amp;TEXT(차트데이터!D95,"+0.0%;-0.0%;0.0%")</f>
        <v/>
      </c>
      <c r="K6" s="31">
        <f>"주의 "&amp;차트데이터!C97&amp;"건"</f>
        <v/>
      </c>
    </row>
    <row r="58">
      <c r="A58" s="3" t="inlineStr">
        <is>
          <t>주의 대상 TOP 10</t>
        </is>
      </c>
    </row>
    <row r="59" ht="20" customHeight="1">
      <c r="A59" s="4" t="inlineStr">
        <is>
          <t>순위</t>
        </is>
      </c>
      <c r="B59" s="4" t="inlineStr">
        <is>
          <t>부서</t>
        </is>
      </c>
      <c r="C59" s="4" t="inlineStr">
        <is>
          <t>계정</t>
        </is>
      </c>
      <c r="D59" s="4" t="inlineStr">
        <is>
          <t>당월</t>
        </is>
      </c>
      <c r="E59" s="4" t="inlineStr">
        <is>
          <t>전월대비</t>
        </is>
      </c>
      <c r="F59" s="4" t="inlineStr">
        <is>
          <t>예산</t>
        </is>
      </c>
      <c r="G59" s="4" t="inlineStr">
        <is>
          <t>신호</t>
        </is>
      </c>
      <c r="H59" s="32" t="n"/>
      <c r="I59" s="32" t="n"/>
      <c r="J59" s="32" t="n"/>
      <c r="K59" s="32" t="n"/>
      <c r="L59" s="33" t="n"/>
    </row>
    <row r="60">
      <c r="A60" s="34">
        <f>주의대상!A6</f>
        <v/>
      </c>
      <c r="B60" s="26">
        <f>주의대상!B6</f>
        <v/>
      </c>
      <c r="C60" s="26">
        <f>주의대상!C6</f>
        <v/>
      </c>
      <c r="D60" s="35">
        <f>주의대상!D6</f>
        <v/>
      </c>
      <c r="E60" s="36">
        <f>주의대상!E6</f>
        <v/>
      </c>
      <c r="F60" s="34">
        <f>주의대상!G6</f>
        <v/>
      </c>
      <c r="G60" s="26">
        <f>주의대상!J6</f>
        <v/>
      </c>
      <c r="H60" s="32" t="n"/>
      <c r="I60" s="32" t="n"/>
      <c r="J60" s="32" t="n"/>
      <c r="K60" s="32" t="n"/>
      <c r="L60" s="33" t="n"/>
    </row>
    <row r="61">
      <c r="A61" s="34">
        <f>주의대상!A7</f>
        <v/>
      </c>
      <c r="B61" s="26">
        <f>주의대상!B7</f>
        <v/>
      </c>
      <c r="C61" s="26">
        <f>주의대상!C7</f>
        <v/>
      </c>
      <c r="D61" s="35">
        <f>주의대상!D7</f>
        <v/>
      </c>
      <c r="E61" s="36">
        <f>주의대상!E7</f>
        <v/>
      </c>
      <c r="F61" s="34">
        <f>주의대상!G7</f>
        <v/>
      </c>
      <c r="G61" s="26">
        <f>주의대상!J7</f>
        <v/>
      </c>
      <c r="H61" s="32" t="n"/>
      <c r="I61" s="32" t="n"/>
      <c r="J61" s="32" t="n"/>
      <c r="K61" s="32" t="n"/>
      <c r="L61" s="33" t="n"/>
    </row>
    <row r="62">
      <c r="A62" s="34">
        <f>주의대상!A8</f>
        <v/>
      </c>
      <c r="B62" s="26">
        <f>주의대상!B8</f>
        <v/>
      </c>
      <c r="C62" s="26">
        <f>주의대상!C8</f>
        <v/>
      </c>
      <c r="D62" s="35">
        <f>주의대상!D8</f>
        <v/>
      </c>
      <c r="E62" s="36">
        <f>주의대상!E8</f>
        <v/>
      </c>
      <c r="F62" s="34">
        <f>주의대상!G8</f>
        <v/>
      </c>
      <c r="G62" s="26">
        <f>주의대상!J8</f>
        <v/>
      </c>
      <c r="H62" s="32" t="n"/>
      <c r="I62" s="32" t="n"/>
      <c r="J62" s="32" t="n"/>
      <c r="K62" s="32" t="n"/>
      <c r="L62" s="33" t="n"/>
    </row>
    <row r="63">
      <c r="A63" s="34">
        <f>주의대상!A9</f>
        <v/>
      </c>
      <c r="B63" s="26">
        <f>주의대상!B9</f>
        <v/>
      </c>
      <c r="C63" s="26">
        <f>주의대상!C9</f>
        <v/>
      </c>
      <c r="D63" s="35">
        <f>주의대상!D9</f>
        <v/>
      </c>
      <c r="E63" s="36">
        <f>주의대상!E9</f>
        <v/>
      </c>
      <c r="F63" s="34">
        <f>주의대상!G9</f>
        <v/>
      </c>
      <c r="G63" s="26">
        <f>주의대상!J9</f>
        <v/>
      </c>
      <c r="H63" s="32" t="n"/>
      <c r="I63" s="32" t="n"/>
      <c r="J63" s="32" t="n"/>
      <c r="K63" s="32" t="n"/>
      <c r="L63" s="33" t="n"/>
    </row>
    <row r="64">
      <c r="A64" s="34">
        <f>주의대상!A10</f>
        <v/>
      </c>
      <c r="B64" s="26">
        <f>주의대상!B10</f>
        <v/>
      </c>
      <c r="C64" s="26">
        <f>주의대상!C10</f>
        <v/>
      </c>
      <c r="D64" s="35">
        <f>주의대상!D10</f>
        <v/>
      </c>
      <c r="E64" s="36">
        <f>주의대상!E10</f>
        <v/>
      </c>
      <c r="F64" s="34">
        <f>주의대상!G10</f>
        <v/>
      </c>
      <c r="G64" s="26">
        <f>주의대상!J10</f>
        <v/>
      </c>
      <c r="H64" s="32" t="n"/>
      <c r="I64" s="32" t="n"/>
      <c r="J64" s="32" t="n"/>
      <c r="K64" s="32" t="n"/>
      <c r="L64" s="33" t="n"/>
    </row>
    <row r="65">
      <c r="A65" s="34">
        <f>주의대상!A11</f>
        <v/>
      </c>
      <c r="B65" s="26">
        <f>주의대상!B11</f>
        <v/>
      </c>
      <c r="C65" s="26">
        <f>주의대상!C11</f>
        <v/>
      </c>
      <c r="D65" s="35">
        <f>주의대상!D11</f>
        <v/>
      </c>
      <c r="E65" s="36">
        <f>주의대상!E11</f>
        <v/>
      </c>
      <c r="F65" s="34">
        <f>주의대상!G11</f>
        <v/>
      </c>
      <c r="G65" s="26">
        <f>주의대상!J11</f>
        <v/>
      </c>
      <c r="H65" s="32" t="n"/>
      <c r="I65" s="32" t="n"/>
      <c r="J65" s="32" t="n"/>
      <c r="K65" s="32" t="n"/>
      <c r="L65" s="33" t="n"/>
    </row>
    <row r="66">
      <c r="A66" s="34">
        <f>주의대상!A12</f>
        <v/>
      </c>
      <c r="B66" s="26">
        <f>주의대상!B12</f>
        <v/>
      </c>
      <c r="C66" s="26">
        <f>주의대상!C12</f>
        <v/>
      </c>
      <c r="D66" s="35">
        <f>주의대상!D12</f>
        <v/>
      </c>
      <c r="E66" s="36">
        <f>주의대상!E12</f>
        <v/>
      </c>
      <c r="F66" s="34">
        <f>주의대상!G12</f>
        <v/>
      </c>
      <c r="G66" s="26">
        <f>주의대상!J12</f>
        <v/>
      </c>
      <c r="H66" s="32" t="n"/>
      <c r="I66" s="32" t="n"/>
      <c r="J66" s="32" t="n"/>
      <c r="K66" s="32" t="n"/>
      <c r="L66" s="33" t="n"/>
    </row>
    <row r="67">
      <c r="A67" s="34">
        <f>주의대상!A13</f>
        <v/>
      </c>
      <c r="B67" s="26">
        <f>주의대상!B13</f>
        <v/>
      </c>
      <c r="C67" s="26">
        <f>주의대상!C13</f>
        <v/>
      </c>
      <c r="D67" s="35">
        <f>주의대상!D13</f>
        <v/>
      </c>
      <c r="E67" s="36">
        <f>주의대상!E13</f>
        <v/>
      </c>
      <c r="F67" s="34">
        <f>주의대상!G13</f>
        <v/>
      </c>
      <c r="G67" s="26">
        <f>주의대상!J13</f>
        <v/>
      </c>
      <c r="H67" s="32" t="n"/>
      <c r="I67" s="32" t="n"/>
      <c r="J67" s="32" t="n"/>
      <c r="K67" s="32" t="n"/>
      <c r="L67" s="33" t="n"/>
    </row>
    <row r="68">
      <c r="A68" s="34">
        <f>주의대상!A14</f>
        <v/>
      </c>
      <c r="B68" s="26">
        <f>주의대상!B14</f>
        <v/>
      </c>
      <c r="C68" s="26">
        <f>주의대상!C14</f>
        <v/>
      </c>
      <c r="D68" s="35">
        <f>주의대상!D14</f>
        <v/>
      </c>
      <c r="E68" s="36">
        <f>주의대상!E14</f>
        <v/>
      </c>
      <c r="F68" s="34">
        <f>주의대상!G14</f>
        <v/>
      </c>
      <c r="G68" s="26">
        <f>주의대상!J14</f>
        <v/>
      </c>
      <c r="H68" s="32" t="n"/>
      <c r="I68" s="32" t="n"/>
      <c r="J68" s="32" t="n"/>
      <c r="K68" s="32" t="n"/>
      <c r="L68" s="33" t="n"/>
    </row>
    <row r="69">
      <c r="A69" s="34">
        <f>주의대상!A15</f>
        <v/>
      </c>
      <c r="B69" s="26">
        <f>주의대상!B15</f>
        <v/>
      </c>
      <c r="C69" s="26">
        <f>주의대상!C15</f>
        <v/>
      </c>
      <c r="D69" s="35">
        <f>주의대상!D15</f>
        <v/>
      </c>
      <c r="E69" s="36">
        <f>주의대상!E15</f>
        <v/>
      </c>
      <c r="F69" s="34">
        <f>주의대상!G15</f>
        <v/>
      </c>
      <c r="G69" s="26">
        <f>주의대상!J15</f>
        <v/>
      </c>
      <c r="H69" s="32" t="n"/>
      <c r="I69" s="32" t="n"/>
      <c r="J69" s="32" t="n"/>
      <c r="K69" s="32" t="n"/>
      <c r="L69" s="33" t="n"/>
    </row>
    <row r="71">
      <c r="A71" s="3" t="inlineStr">
        <is>
          <t>선택 항목 원인 (원인분석 시트)</t>
        </is>
      </c>
    </row>
    <row r="72">
      <c r="A72" s="37">
        <f>원인분석!A18</f>
        <v/>
      </c>
    </row>
    <row r="73"/>
    <row r="75">
      <c r="A75" s="3" t="inlineStr">
        <is>
          <t>IFRS 17 사업비 영향 (GMM · VFA)</t>
        </is>
      </c>
    </row>
    <row r="76">
      <c r="A76" s="37">
        <f>IFRS17_사업비!A5</f>
        <v/>
      </c>
    </row>
    <row r="77"/>
  </sheetData>
  <mergeCells count="31">
    <mergeCell ref="C6:D6"/>
    <mergeCell ref="I6:J6"/>
    <mergeCell ref="A72:L73"/>
    <mergeCell ref="G66:L66"/>
    <mergeCell ref="G62:L62"/>
    <mergeCell ref="C5:D5"/>
    <mergeCell ref="E5:F5"/>
    <mergeCell ref="K5:L5"/>
    <mergeCell ref="G69:L69"/>
    <mergeCell ref="K4:L4"/>
    <mergeCell ref="A6:B6"/>
    <mergeCell ref="G68:L68"/>
    <mergeCell ref="C4:D4"/>
    <mergeCell ref="E4:F4"/>
    <mergeCell ref="G65:L65"/>
    <mergeCell ref="G64:L64"/>
    <mergeCell ref="G6:H6"/>
    <mergeCell ref="G63:L63"/>
    <mergeCell ref="E6:F6"/>
    <mergeCell ref="G60:L60"/>
    <mergeCell ref="A5:B5"/>
    <mergeCell ref="G5:H5"/>
    <mergeCell ref="I5:J5"/>
    <mergeCell ref="G59:L59"/>
    <mergeCell ref="A4:B4"/>
    <mergeCell ref="G4:H4"/>
    <mergeCell ref="I4:J4"/>
    <mergeCell ref="A76:L77"/>
    <mergeCell ref="G67:L67"/>
    <mergeCell ref="G61:L61"/>
    <mergeCell ref="K6:L6"/>
  </mergeCells>
  <conditionalFormatting sqref="F60:F69">
    <cfRule type="cellIs" priority="1" operator="equal" dxfId="3">
      <formula>"한도 초과"</formula>
    </cfRule>
    <cfRule type="cellIs" priority="2" operator="equal" dxfId="4">
      <formula>"초과 예상"</formula>
    </cfRule>
    <cfRule type="cellIs" priority="3" operator="equal" dxfId="3">
      <formula>"부족 예상"</formula>
    </cfRule>
    <cfRule type="cellIs" priority="4" operator="equal" dxfId="5">
      <formula>"주의"</formula>
    </cfRule>
    <cfRule type="cellIs" priority="5" operator="equal" dxfId="6">
      <formula>"무예산"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P11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4" customWidth="1" min="5" max="5"/>
    <col width="30" customWidth="1" min="6" max="6"/>
    <col width="14" customWidth="1" min="7" max="7"/>
    <col width="22" customWidth="1" min="8" max="8"/>
    <col width="2" customWidth="1" min="9" max="9"/>
    <col width="2" customWidth="1" min="10" max="10"/>
    <col width="6" customWidth="1" min="11" max="11"/>
    <col width="14" customWidth="1" min="12" max="12"/>
    <col width="11" customWidth="1" min="13" max="13"/>
    <col width="11" customWidth="1" min="14" max="14"/>
    <col width="11" customWidth="1" min="15" max="15"/>
    <col width="9" customWidth="1" min="16" max="16"/>
  </cols>
  <sheetData>
    <row r="1">
      <c r="A1" s="1" t="inlineStr">
        <is>
          <t>TRACE · IFRS 17 사업비 영향 (GMM · VFA · PAA)</t>
        </is>
      </c>
    </row>
    <row r="2">
      <c r="A2" s="2" t="inlineStr">
        <is>
          <t>사업비 전표 → 계정대체 → 포트폴리오 → 예정 대비 경험차이 → CSM(GMM·VFA)·당기손익 · 금액: 보고단위</t>
        </is>
      </c>
    </row>
    <row r="3">
      <c r="A3" s="38">
        <f>"기준: "&amp;INT((설정!$C$20-1)/12)&amp;"-"&amp;TEXT(MOD(설정!$C$20-1,12)+1,"00")&amp;" · 단위: "&amp;설정!$C$9</f>
        <v/>
      </c>
    </row>
    <row r="5" ht="30" customHeight="1">
      <c r="A5" s="37">
        <f>"GMM CSM 당월 변동 "&amp;TEXT(E57,"+#,##0;-#,##0;0")&amp;" 중 사업비 관련 "&amp;TEXT(E58,"+#,##0.0;-#,##0.0;0")&amp;" (취득현금흐름 경험조정 "&amp;TEXT(E50,"+#,##0.0;-#,##0.0;0")&amp;", 사업비 가정변경 "&amp;TEXT(E48,"+#,##0.0;-#,##0.0;0")&amp;"). "&amp;"신계약비 실제가 예정보다 "&amp;TEXT(ABS(SUMIFS($G$20:$G$31,$D$20:$D$31,"신계약비")),"#,##0.0")&amp;IF(SUMIFS($G$20:$G$31,$D$20:$D$31,"신계약비")&lt;0," 많았고"," 적었고")&amp;IF(B79="","",", 증가 기여 1위는 "&amp;B79&amp;" "&amp;C79&amp;" ("&amp;TEXT(F79,"+#,##0.0;-#,##0.0;0")&amp;")")&amp;IF(B87="","",", 대표 전표는 "&amp;E87&amp;" '"&amp;F87&amp;"' "&amp;TEXT(H87,"#,##0.0"))&amp;". "&amp;"당기손익 반영 경험차이 "&amp;TEXT(G34,"+#,##0.0;-#,##0.0;0")&amp;". "&amp;"VFA(변액) CSM 당월 변동 "&amp;TEXT(E74,"+#,##0;-#,##0;0")&amp;" 중 사업비 관련 "&amp;TEXT(E75,"+#,##0.0;-#,##0.0;0")&amp;"."</f>
        <v/>
      </c>
    </row>
    <row r="6" ht="30" customHeight="1">
      <c r="L6" s="39" t="inlineStr">
        <is>
          <t>키</t>
        </is>
      </c>
      <c r="M6" s="39" t="inlineStr">
        <is>
          <t>당월 신계약</t>
        </is>
      </c>
      <c r="N6" s="39" t="inlineStr">
        <is>
          <t>전월 신계약</t>
        </is>
      </c>
      <c r="O6" s="39" t="inlineStr">
        <is>
          <t>증감</t>
        </is>
      </c>
      <c r="P6" s="39" t="inlineStr">
        <is>
          <t>정렬키</t>
        </is>
      </c>
    </row>
    <row r="7">
      <c r="L7" s="26">
        <f>IF(변동분석!$A7="","",변동분석!$E7)</f>
        <v/>
      </c>
      <c r="M7" s="35">
        <f>IF(L7="",0,SUMIFS(전표_원본!$Z$5:$Z$100000,전표_원본!$O$5:$O$100000,L7,전표_원본!$M$5:$M$100000,설정!$C$20))</f>
        <v/>
      </c>
      <c r="N7" s="35">
        <f>IF(L7="",0,SUMIFS(전표_원본!$Z$5:$Z$100000,전표_원본!$O$5:$O$100000,L7,전표_원본!$M$5:$M$100000,설정!$C$20-1))</f>
        <v/>
      </c>
      <c r="O7" s="40">
        <f>M7-N7</f>
        <v/>
      </c>
      <c r="P7" s="41">
        <f>IF(L7="","",O7+ROW()/1000000)</f>
        <v/>
      </c>
    </row>
    <row r="8">
      <c r="A8" s="3" t="inlineStr">
        <is>
          <t>1. 계정대체 결과 요약 (전표 기준)</t>
        </is>
      </c>
      <c r="L8" s="26">
        <f>IF(변동분석!$A8="","",변동분석!$E8)</f>
        <v/>
      </c>
      <c r="M8" s="35">
        <f>IF(L8="",0,SUMIFS(전표_원본!$Z$5:$Z$100000,전표_원본!$O$5:$O$100000,L8,전표_원본!$M$5:$M$100000,설정!$C$20))</f>
        <v/>
      </c>
      <c r="N8" s="35">
        <f>IF(L8="",0,SUMIFS(전표_원본!$Z$5:$Z$100000,전표_원본!$O$5:$O$100000,L8,전표_원본!$M$5:$M$100000,설정!$C$20-1))</f>
        <v/>
      </c>
      <c r="O8" s="40">
        <f>M8-N8</f>
        <v/>
      </c>
      <c r="P8" s="41">
        <f>IF(L8="","",O8+ROW()/1000000)</f>
        <v/>
      </c>
    </row>
    <row r="9" ht="20" customHeight="1">
      <c r="A9" s="4" t="inlineStr">
        <is>
          <t>구분</t>
        </is>
      </c>
      <c r="B9" s="4" t="inlineStr">
        <is>
          <t>당월</t>
        </is>
      </c>
      <c r="C9" s="4" t="inlineStr">
        <is>
          <t>전월</t>
        </is>
      </c>
      <c r="D9" s="4" t="inlineStr">
        <is>
          <t>누계</t>
        </is>
      </c>
      <c r="E9" s="4" t="inlineStr">
        <is>
          <t>당월 비중</t>
        </is>
      </c>
      <c r="L9" s="26">
        <f>IF(변동분석!$A9="","",변동분석!$E9)</f>
        <v/>
      </c>
      <c r="M9" s="35">
        <f>IF(L9="",0,SUMIFS(전표_원본!$Z$5:$Z$100000,전표_원본!$O$5:$O$100000,L9,전표_원본!$M$5:$M$100000,설정!$C$20))</f>
        <v/>
      </c>
      <c r="N9" s="35">
        <f>IF(L9="",0,SUMIFS(전표_원본!$Z$5:$Z$100000,전표_원본!$O$5:$O$100000,L9,전표_원본!$M$5:$M$100000,설정!$C$20-1))</f>
        <v/>
      </c>
      <c r="O9" s="40">
        <f>M9-N9</f>
        <v/>
      </c>
      <c r="P9" s="41">
        <f>IF(L9="","",O9+ROW()/1000000)</f>
        <v/>
      </c>
    </row>
    <row r="10">
      <c r="A10" s="6" t="inlineStr">
        <is>
          <t>비귀속</t>
        </is>
      </c>
      <c r="B10" s="35">
        <f>SUMIFS(전표_원본!$Y$5:$Y$100000,전표_원본!$M$5:$M$100000,설정!$C$20)</f>
        <v/>
      </c>
      <c r="C10" s="35">
        <f>SUMIFS(전표_원본!$Y$5:$Y$100000,전표_원본!$M$5:$M$100000,설정!$C$20-1)</f>
        <v/>
      </c>
      <c r="D10" s="35">
        <f>SUMIFS(전표_원본!$Y$5:$Y$100000,전표_원본!$M$5:$M$100000,"&gt;="&amp;(설정!$C$6*12+1),전표_원본!$M$5:$M$100000,"&lt;="&amp;설정!$C$20)</f>
        <v/>
      </c>
      <c r="E10" s="42">
        <f>IF($B$15=0,0,B10/$B$15)</f>
        <v/>
      </c>
      <c r="L10" s="26">
        <f>IF(변동분석!$A10="","",변동분석!$E10)</f>
        <v/>
      </c>
      <c r="M10" s="35">
        <f>IF(L10="",0,SUMIFS(전표_원본!$Z$5:$Z$100000,전표_원본!$O$5:$O$100000,L10,전표_원본!$M$5:$M$100000,설정!$C$20))</f>
        <v/>
      </c>
      <c r="N10" s="35">
        <f>IF(L10="",0,SUMIFS(전표_원본!$Z$5:$Z$100000,전표_원본!$O$5:$O$100000,L10,전표_원본!$M$5:$M$100000,설정!$C$20-1))</f>
        <v/>
      </c>
      <c r="O10" s="40">
        <f>M10-N10</f>
        <v/>
      </c>
      <c r="P10" s="41">
        <f>IF(L10="","",O10+ROW()/1000000)</f>
        <v/>
      </c>
    </row>
    <row r="11">
      <c r="A11" s="6" t="inlineStr">
        <is>
          <t>신계약비</t>
        </is>
      </c>
      <c r="B11" s="35">
        <f>SUMIFS(전표_원본!$Z$5:$Z$100000,전표_원본!$M$5:$M$100000,설정!$C$20)</f>
        <v/>
      </c>
      <c r="C11" s="35">
        <f>SUMIFS(전표_원본!$Z$5:$Z$100000,전표_원본!$M$5:$M$100000,설정!$C$20-1)</f>
        <v/>
      </c>
      <c r="D11" s="35">
        <f>SUMIFS(전표_원본!$Z$5:$Z$100000,전표_원본!$M$5:$M$100000,"&gt;="&amp;(설정!$C$6*12+1),전표_원본!$M$5:$M$100000,"&lt;="&amp;설정!$C$20)</f>
        <v/>
      </c>
      <c r="E11" s="42">
        <f>IF($B$15=0,0,B11/$B$15)</f>
        <v/>
      </c>
      <c r="L11" s="26">
        <f>IF(변동분석!$A11="","",변동분석!$E11)</f>
        <v/>
      </c>
      <c r="M11" s="35">
        <f>IF(L11="",0,SUMIFS(전표_원본!$Z$5:$Z$100000,전표_원본!$O$5:$O$100000,L11,전표_원본!$M$5:$M$100000,설정!$C$20))</f>
        <v/>
      </c>
      <c r="N11" s="35">
        <f>IF(L11="",0,SUMIFS(전표_원본!$Z$5:$Z$100000,전표_원본!$O$5:$O$100000,L11,전표_원본!$M$5:$M$100000,설정!$C$20-1))</f>
        <v/>
      </c>
      <c r="O11" s="40">
        <f>M11-N11</f>
        <v/>
      </c>
      <c r="P11" s="41">
        <f>IF(L11="","",O11+ROW()/1000000)</f>
        <v/>
      </c>
    </row>
    <row r="12">
      <c r="A12" s="6" t="inlineStr">
        <is>
          <t>유지비</t>
        </is>
      </c>
      <c r="B12" s="35">
        <f>SUMIFS(전표_원본!$AA$5:$AA$100000,전표_원본!$M$5:$M$100000,설정!$C$20)</f>
        <v/>
      </c>
      <c r="C12" s="35">
        <f>SUMIFS(전표_원본!$AA$5:$AA$100000,전표_원본!$M$5:$M$100000,설정!$C$20-1)</f>
        <v/>
      </c>
      <c r="D12" s="35">
        <f>SUMIFS(전표_원본!$AA$5:$AA$100000,전표_원본!$M$5:$M$100000,"&gt;="&amp;(설정!$C$6*12+1),전표_원본!$M$5:$M$100000,"&lt;="&amp;설정!$C$20)</f>
        <v/>
      </c>
      <c r="E12" s="42">
        <f>IF($B$15=0,0,B12/$B$15)</f>
        <v/>
      </c>
      <c r="L12" s="26">
        <f>IF(변동분석!$A12="","",변동분석!$E12)</f>
        <v/>
      </c>
      <c r="M12" s="35">
        <f>IF(L12="",0,SUMIFS(전표_원본!$Z$5:$Z$100000,전표_원본!$O$5:$O$100000,L12,전표_원본!$M$5:$M$100000,설정!$C$20))</f>
        <v/>
      </c>
      <c r="N12" s="35">
        <f>IF(L12="",0,SUMIFS(전표_원본!$Z$5:$Z$100000,전표_원본!$O$5:$O$100000,L12,전표_원본!$M$5:$M$100000,설정!$C$20-1))</f>
        <v/>
      </c>
      <c r="O12" s="40">
        <f>M12-N12</f>
        <v/>
      </c>
      <c r="P12" s="41">
        <f>IF(L12="","",O12+ROW()/1000000)</f>
        <v/>
      </c>
    </row>
    <row r="13">
      <c r="A13" s="6" t="inlineStr">
        <is>
          <t>수금비</t>
        </is>
      </c>
      <c r="B13" s="35">
        <f>SUMIFS(전표_원본!$AB$5:$AB$100000,전표_원본!$M$5:$M$100000,설정!$C$20)</f>
        <v/>
      </c>
      <c r="C13" s="35">
        <f>SUMIFS(전표_원본!$AB$5:$AB$100000,전표_원본!$M$5:$M$100000,설정!$C$20-1)</f>
        <v/>
      </c>
      <c r="D13" s="35">
        <f>SUMIFS(전표_원본!$AB$5:$AB$100000,전표_원본!$M$5:$M$100000,"&gt;="&amp;(설정!$C$6*12+1),전표_원본!$M$5:$M$100000,"&lt;="&amp;설정!$C$20)</f>
        <v/>
      </c>
      <c r="E13" s="42">
        <f>IF($B$15=0,0,B13/$B$15)</f>
        <v/>
      </c>
      <c r="L13" s="26">
        <f>IF(변동분석!$A13="","",변동분석!$E13)</f>
        <v/>
      </c>
      <c r="M13" s="35">
        <f>IF(L13="",0,SUMIFS(전표_원본!$Z$5:$Z$100000,전표_원본!$O$5:$O$100000,L13,전표_원본!$M$5:$M$100000,설정!$C$20))</f>
        <v/>
      </c>
      <c r="N13" s="35">
        <f>IF(L13="",0,SUMIFS(전표_원본!$Z$5:$Z$100000,전표_원본!$O$5:$O$100000,L13,전표_원본!$M$5:$M$100000,설정!$C$20-1))</f>
        <v/>
      </c>
      <c r="O13" s="40">
        <f>M13-N13</f>
        <v/>
      </c>
      <c r="P13" s="41">
        <f>IF(L13="","",O13+ROW()/1000000)</f>
        <v/>
      </c>
    </row>
    <row r="14">
      <c r="A14" s="6" t="inlineStr">
        <is>
          <t>재산관리비</t>
        </is>
      </c>
      <c r="B14" s="35">
        <f>SUMIFS(전표_원본!$AD$5:$AD$100000,전표_원본!$M$5:$M$100000,설정!$C$20)</f>
        <v/>
      </c>
      <c r="C14" s="35">
        <f>SUMIFS(전표_원본!$AD$5:$AD$100000,전표_원본!$M$5:$M$100000,설정!$C$20-1)</f>
        <v/>
      </c>
      <c r="D14" s="35">
        <f>SUMIFS(전표_원본!$AD$5:$AD$100000,전표_원본!$M$5:$M$100000,"&gt;="&amp;(설정!$C$6*12+1),전표_원본!$M$5:$M$100000,"&lt;="&amp;설정!$C$20)</f>
        <v/>
      </c>
      <c r="E14" s="42">
        <f>IF($B$15=0,0,B14/$B$15)</f>
        <v/>
      </c>
      <c r="L14" s="26">
        <f>IF(변동분석!$A14="","",변동분석!$E14)</f>
        <v/>
      </c>
      <c r="M14" s="35">
        <f>IF(L14="",0,SUMIFS(전표_원본!$Z$5:$Z$100000,전표_원본!$O$5:$O$100000,L14,전표_원본!$M$5:$M$100000,설정!$C$20))</f>
        <v/>
      </c>
      <c r="N14" s="35">
        <f>IF(L14="",0,SUMIFS(전표_원본!$Z$5:$Z$100000,전표_원본!$O$5:$O$100000,L14,전표_원본!$M$5:$M$100000,설정!$C$20-1))</f>
        <v/>
      </c>
      <c r="O14" s="40">
        <f>M14-N14</f>
        <v/>
      </c>
      <c r="P14" s="41">
        <f>IF(L14="","",O14+ROW()/1000000)</f>
        <v/>
      </c>
    </row>
    <row r="15">
      <c r="A15" s="43" t="inlineStr">
        <is>
          <t>합계 (= 전표 사업비)</t>
        </is>
      </c>
      <c r="B15" s="44">
        <f>SUM(B10:B14)</f>
        <v/>
      </c>
      <c r="C15" s="44">
        <f>SUM(C10:C14)</f>
        <v/>
      </c>
      <c r="D15" s="44">
        <f>SUM(D10:D14)</f>
        <v/>
      </c>
      <c r="E15" s="45">
        <f>SUM(E10:E14)</f>
        <v/>
      </c>
      <c r="L15" s="26">
        <f>IF(변동분석!$A15="","",변동분석!$E15)</f>
        <v/>
      </c>
      <c r="M15" s="35">
        <f>IF(L15="",0,SUMIFS(전표_원본!$Z$5:$Z$100000,전표_원본!$O$5:$O$100000,L15,전표_원본!$M$5:$M$100000,설정!$C$20))</f>
        <v/>
      </c>
      <c r="N15" s="35">
        <f>IF(L15="",0,SUMIFS(전표_원본!$Z$5:$Z$100000,전표_원본!$O$5:$O$100000,L15,전표_원본!$M$5:$M$100000,설정!$C$20-1))</f>
        <v/>
      </c>
      <c r="O15" s="40">
        <f>M15-N15</f>
        <v/>
      </c>
      <c r="P15" s="41">
        <f>IF(L15="","",O15+ROW()/1000000)</f>
        <v/>
      </c>
    </row>
    <row r="16">
      <c r="A16" s="2" t="inlineStr">
        <is>
          <t>재산관리비는 IFRS 17 이행현금흐름 밖 (PL 투자손익에서 차감) · 비귀속은 기타사업비용</t>
        </is>
      </c>
      <c r="L16" s="26">
        <f>IF(변동분석!$A16="","",변동분석!$E16)</f>
        <v/>
      </c>
      <c r="M16" s="35">
        <f>IF(L16="",0,SUMIFS(전표_원본!$Z$5:$Z$100000,전표_원본!$O$5:$O$100000,L16,전표_원본!$M$5:$M$100000,설정!$C$20))</f>
        <v/>
      </c>
      <c r="N16" s="35">
        <f>IF(L16="",0,SUMIFS(전표_원본!$Z$5:$Z$100000,전표_원본!$O$5:$O$100000,L16,전표_원본!$M$5:$M$100000,설정!$C$20-1))</f>
        <v/>
      </c>
      <c r="O16" s="40">
        <f>M16-N16</f>
        <v/>
      </c>
      <c r="P16" s="41">
        <f>IF(L16="","",O16+ROW()/1000000)</f>
        <v/>
      </c>
    </row>
    <row r="17">
      <c r="L17" s="26">
        <f>IF(변동분석!$A17="","",변동분석!$E17)</f>
        <v/>
      </c>
      <c r="M17" s="35">
        <f>IF(L17="",0,SUMIFS(전표_원본!$Z$5:$Z$100000,전표_원본!$O$5:$O$100000,L17,전표_원본!$M$5:$M$100000,설정!$C$20))</f>
        <v/>
      </c>
      <c r="N17" s="35">
        <f>IF(L17="",0,SUMIFS(전표_원본!$Z$5:$Z$100000,전표_원본!$O$5:$O$100000,L17,전표_원본!$M$5:$M$100000,설정!$C$20-1))</f>
        <v/>
      </c>
      <c r="O17" s="40">
        <f>M17-N17</f>
        <v/>
      </c>
      <c r="P17" s="41">
        <f>IF(L17="","",O17+ROW()/1000000)</f>
        <v/>
      </c>
    </row>
    <row r="18">
      <c r="A18" s="3" t="inlineStr">
        <is>
          <t>2. 포트폴리오별 경험차이 (당월, 예정 − 실제 · 음수 = 불리)</t>
        </is>
      </c>
      <c r="L18" s="26">
        <f>IF(변동분석!$A18="","",변동분석!$E18)</f>
        <v/>
      </c>
      <c r="M18" s="35">
        <f>IF(L18="",0,SUMIFS(전표_원본!$Z$5:$Z$100000,전표_원본!$O$5:$O$100000,L18,전표_원본!$M$5:$M$100000,설정!$C$20))</f>
        <v/>
      </c>
      <c r="N18" s="35">
        <f>IF(L18="",0,SUMIFS(전표_원본!$Z$5:$Z$100000,전표_원본!$O$5:$O$100000,L18,전표_원본!$M$5:$M$100000,설정!$C$20-1))</f>
        <v/>
      </c>
      <c r="O18" s="40">
        <f>M18-N18</f>
        <v/>
      </c>
      <c r="P18" s="41">
        <f>IF(L18="","",O18+ROW()/1000000)</f>
        <v/>
      </c>
    </row>
    <row r="19" ht="20" customHeight="1">
      <c r="A19" s="4" t="inlineStr">
        <is>
          <t>포트폴리오</t>
        </is>
      </c>
      <c r="B19" s="4" t="inlineStr">
        <is>
          <t>포트폴리오명</t>
        </is>
      </c>
      <c r="C19" s="4" t="inlineStr">
        <is>
          <t>측정모형</t>
        </is>
      </c>
      <c r="D19" s="4" t="inlineStr">
        <is>
          <t>구분</t>
        </is>
      </c>
      <c r="E19" s="4" t="inlineStr">
        <is>
          <t>실제</t>
        </is>
      </c>
      <c r="F19" s="4" t="inlineStr">
        <is>
          <t>예정</t>
        </is>
      </c>
      <c r="G19" s="4" t="inlineStr">
        <is>
          <t>경험차이</t>
        </is>
      </c>
      <c r="H19" s="4" t="inlineStr">
        <is>
          <t>반영처</t>
        </is>
      </c>
      <c r="I19" s="4" t="inlineStr">
        <is>
          <t>CSM 반영</t>
        </is>
      </c>
      <c r="J19" s="4" t="inlineStr">
        <is>
          <t>당기손익 반영</t>
        </is>
      </c>
      <c r="L19" s="26">
        <f>IF(변동분석!$A19="","",변동분석!$E19)</f>
        <v/>
      </c>
      <c r="M19" s="35">
        <f>IF(L19="",0,SUMIFS(전표_원본!$Z$5:$Z$100000,전표_원본!$O$5:$O$100000,L19,전표_원본!$M$5:$M$100000,설정!$C$20))</f>
        <v/>
      </c>
      <c r="N19" s="35">
        <f>IF(L19="",0,SUMIFS(전표_원본!$Z$5:$Z$100000,전표_원본!$O$5:$O$100000,L19,전표_원본!$M$5:$M$100000,설정!$C$20-1))</f>
        <v/>
      </c>
      <c r="O19" s="40">
        <f>M19-N19</f>
        <v/>
      </c>
      <c r="P19" s="41">
        <f>IF(L19="","",O19+ROW()/1000000)</f>
        <v/>
      </c>
    </row>
    <row r="20">
      <c r="A20" s="12" t="inlineStr">
        <is>
          <t>PF01</t>
        </is>
      </c>
      <c r="B20" s="26">
        <f>IFERROR(INDEX(계정대체기준!$B$54:$B$63,MATCH($A20,계정대체기준!$A$54:$A$63,0)),"")</f>
        <v/>
      </c>
      <c r="C20" s="34">
        <f>IFERROR(INDEX(계정대체기준!$C$54:$C$63,MATCH($A20,계정대체기준!$A$54:$A$63,0)),"")</f>
        <v/>
      </c>
      <c r="D20" s="22" t="inlineStr">
        <is>
          <t>신계약비</t>
        </is>
      </c>
      <c r="E20" s="35">
        <f>$B$11*IFERROR(INDEX(계정대체기준!$D$54:$D$63,MATCH($A20,계정대체기준!$A$54:$A$63,0)),0)</f>
        <v/>
      </c>
      <c r="F20" s="35">
        <f>SUMIFS(예정사업비!$J$5:$J$20000,예정사업비!$I$5:$I$20000,설정!$C$20,예정사업비!$C$5:$C$20000,$A20)</f>
        <v/>
      </c>
      <c r="G20" s="46">
        <f>F20-E20</f>
        <v/>
      </c>
      <c r="H20" s="22">
        <f>IF(D20&lt;&gt;"신계약비","당기손익(보험서비스결과)",IF(C20="PAA",IF(계정대체기준!$C$68="이연 후 상각","잔여보장부채 이연(상각)","당기손익"),IF((IFERROR(INDEX(계정대체기준!$I$54:$I$63,MATCH($A20,계정대체기준!$A$54:$A$63,0)),"N")="Y"),"당기손익(손실요소)",IF(IF(계정대체기준!$C$67="전액 CSM",1,IF(계정대체기준!$C$67="전액 당기손익",0,IFERROR(INDEX(계정대체기준!$H$54:$H$63,MATCH($A20,계정대체기준!$A$54:$A$63,0)),0)))&gt;=1,"CSM 조정 ("&amp;C20&amp;")",IF(IF(계정대체기준!$C$67="전액 CSM",1,IF(계정대체기준!$C$67="전액 당기손익",0,IFERROR(INDEX(계정대체기준!$H$54:$H$63,MATCH($A20,계정대체기준!$A$54:$A$63,0)),0)))&lt;=0,"당기손익","CSM "&amp;TEXT(IF(계정대체기준!$C$67="전액 CSM",1,IF(계정대체기준!$C$67="전액 당기손익",0,IFERROR(INDEX(계정대체기준!$H$54:$H$63,MATCH($A20,계정대체기준!$A$54:$A$63,0)),0))),"0%")&amp;" ("&amp;C20&amp;") · 나머지 손익")))))</f>
        <v/>
      </c>
      <c r="I20" s="47">
        <f>IF(AND(D20="신계약비",OR(C20="GMM",C20="VFA"),NOT((IFERROR(INDEX(계정대체기준!$I$54:$I$63,MATCH($A20,계정대체기준!$A$54:$A$63,0)),"N")="Y"))),G20*IF(계정대체기준!$C$67="전액 CSM",1,IF(계정대체기준!$C$67="전액 당기손익",0,IFERROR(INDEX(계정대체기준!$H$54:$H$63,MATCH($A20,계정대체기준!$A$54:$A$63,0)),0))),0)</f>
        <v/>
      </c>
      <c r="J20" s="47">
        <f>IF(AND(D20="신계약비",C20="PAA",계정대체기준!$C$68="이연 후 상각"),0,G20-I20)</f>
        <v/>
      </c>
      <c r="L20" s="26">
        <f>IF(변동분석!$A20="","",변동분석!$E20)</f>
        <v/>
      </c>
      <c r="M20" s="35">
        <f>IF(L20="",0,SUMIFS(전표_원본!$Z$5:$Z$100000,전표_원본!$O$5:$O$100000,L20,전표_원본!$M$5:$M$100000,설정!$C$20))</f>
        <v/>
      </c>
      <c r="N20" s="35">
        <f>IF(L20="",0,SUMIFS(전표_원본!$Z$5:$Z$100000,전표_원본!$O$5:$O$100000,L20,전표_원본!$M$5:$M$100000,설정!$C$20-1))</f>
        <v/>
      </c>
      <c r="O20" s="40">
        <f>M20-N20</f>
        <v/>
      </c>
      <c r="P20" s="41">
        <f>IF(L20="","",O20+ROW()/1000000)</f>
        <v/>
      </c>
    </row>
    <row r="21">
      <c r="A21" s="12" t="inlineStr">
        <is>
          <t>PF01</t>
        </is>
      </c>
      <c r="B21" s="26">
        <f>IFERROR(INDEX(계정대체기준!$B$54:$B$63,MATCH($A21,계정대체기준!$A$54:$A$63,0)),"")</f>
        <v/>
      </c>
      <c r="C21" s="34">
        <f>IFERROR(INDEX(계정대체기준!$C$54:$C$63,MATCH($A21,계정대체기준!$A$54:$A$63,0)),"")</f>
        <v/>
      </c>
      <c r="D21" s="22" t="inlineStr">
        <is>
          <t>유지비</t>
        </is>
      </c>
      <c r="E21" s="35">
        <f>$B$12*IFERROR(INDEX(계정대체기준!$E$54:$E$63,MATCH($A21,계정대체기준!$A$54:$A$63,0)),0)</f>
        <v/>
      </c>
      <c r="F21" s="35">
        <f>SUMIFS(예정사업비!$K$5:$K$20000,예정사업비!$I$5:$I$20000,설정!$C$20,예정사업비!$C$5:$C$20000,$A21)</f>
        <v/>
      </c>
      <c r="G21" s="46">
        <f>F21-E21</f>
        <v/>
      </c>
      <c r="H21" s="22">
        <f>IF(D21&lt;&gt;"신계약비","당기손익(보험서비스결과)",IF(C21="PAA",IF(계정대체기준!$C$68="이연 후 상각","잔여보장부채 이연(상각)","당기손익"),IF((IFERROR(INDEX(계정대체기준!$I$54:$I$63,MATCH($A21,계정대체기준!$A$54:$A$63,0)),"N")="Y"),"당기손익(손실요소)",IF(IF(계정대체기준!$C$67="전액 CSM",1,IF(계정대체기준!$C$67="전액 당기손익",0,IFERROR(INDEX(계정대체기준!$H$54:$H$63,MATCH($A21,계정대체기준!$A$54:$A$63,0)),0)))&gt;=1,"CSM 조정 ("&amp;C21&amp;")",IF(IF(계정대체기준!$C$67="전액 CSM",1,IF(계정대체기준!$C$67="전액 당기손익",0,IFERROR(INDEX(계정대체기준!$H$54:$H$63,MATCH($A21,계정대체기준!$A$54:$A$63,0)),0)))&lt;=0,"당기손익","CSM "&amp;TEXT(IF(계정대체기준!$C$67="전액 CSM",1,IF(계정대체기준!$C$67="전액 당기손익",0,IFERROR(INDEX(계정대체기준!$H$54:$H$63,MATCH($A21,계정대체기준!$A$54:$A$63,0)),0))),"0%")&amp;" ("&amp;C21&amp;") · 나머지 손익")))))</f>
        <v/>
      </c>
      <c r="I21" s="47">
        <f>IF(AND(D21="신계약비",OR(C21="GMM",C21="VFA"),NOT((IFERROR(INDEX(계정대체기준!$I$54:$I$63,MATCH($A21,계정대체기준!$A$54:$A$63,0)),"N")="Y"))),G21*IF(계정대체기준!$C$67="전액 CSM",1,IF(계정대체기준!$C$67="전액 당기손익",0,IFERROR(INDEX(계정대체기준!$H$54:$H$63,MATCH($A21,계정대체기준!$A$54:$A$63,0)),0))),0)</f>
        <v/>
      </c>
      <c r="J21" s="47">
        <f>IF(AND(D21="신계약비",C21="PAA",계정대체기준!$C$68="이연 후 상각"),0,G21-I21)</f>
        <v/>
      </c>
      <c r="L21" s="26">
        <f>IF(변동분석!$A21="","",변동분석!$E21)</f>
        <v/>
      </c>
      <c r="M21" s="35">
        <f>IF(L21="",0,SUMIFS(전표_원본!$Z$5:$Z$100000,전표_원본!$O$5:$O$100000,L21,전표_원본!$M$5:$M$100000,설정!$C$20))</f>
        <v/>
      </c>
      <c r="N21" s="35">
        <f>IF(L21="",0,SUMIFS(전표_원본!$Z$5:$Z$100000,전표_원본!$O$5:$O$100000,L21,전표_원본!$M$5:$M$100000,설정!$C$20-1))</f>
        <v/>
      </c>
      <c r="O21" s="40">
        <f>M21-N21</f>
        <v/>
      </c>
      <c r="P21" s="41">
        <f>IF(L21="","",O21+ROW()/1000000)</f>
        <v/>
      </c>
    </row>
    <row r="22">
      <c r="A22" s="12" t="inlineStr">
        <is>
          <t>PF01</t>
        </is>
      </c>
      <c r="B22" s="26">
        <f>IFERROR(INDEX(계정대체기준!$B$54:$B$63,MATCH($A22,계정대체기준!$A$54:$A$63,0)),"")</f>
        <v/>
      </c>
      <c r="C22" s="34">
        <f>IFERROR(INDEX(계정대체기준!$C$54:$C$63,MATCH($A22,계정대체기준!$A$54:$A$63,0)),"")</f>
        <v/>
      </c>
      <c r="D22" s="22" t="inlineStr">
        <is>
          <t>수금비</t>
        </is>
      </c>
      <c r="E22" s="35">
        <f>$B$13*IFERROR(INDEX(계정대체기준!$F$54:$F$63,MATCH($A22,계정대체기준!$A$54:$A$63,0)),0)</f>
        <v/>
      </c>
      <c r="F22" s="35">
        <f>SUMIFS(예정사업비!$L$5:$L$20000,예정사업비!$I$5:$I$20000,설정!$C$20,예정사업비!$C$5:$C$20000,$A22)</f>
        <v/>
      </c>
      <c r="G22" s="46">
        <f>F22-E22</f>
        <v/>
      </c>
      <c r="H22" s="22">
        <f>IF(D22&lt;&gt;"신계약비","당기손익(보험서비스결과)",IF(C22="PAA",IF(계정대체기준!$C$68="이연 후 상각","잔여보장부채 이연(상각)","당기손익"),IF((IFERROR(INDEX(계정대체기준!$I$54:$I$63,MATCH($A22,계정대체기준!$A$54:$A$63,0)),"N")="Y"),"당기손익(손실요소)",IF(IF(계정대체기준!$C$67="전액 CSM",1,IF(계정대체기준!$C$67="전액 당기손익",0,IFERROR(INDEX(계정대체기준!$H$54:$H$63,MATCH($A22,계정대체기준!$A$54:$A$63,0)),0)))&gt;=1,"CSM 조정 ("&amp;C22&amp;")",IF(IF(계정대체기준!$C$67="전액 CSM",1,IF(계정대체기준!$C$67="전액 당기손익",0,IFERROR(INDEX(계정대체기준!$H$54:$H$63,MATCH($A22,계정대체기준!$A$54:$A$63,0)),0)))&lt;=0,"당기손익","CSM "&amp;TEXT(IF(계정대체기준!$C$67="전액 CSM",1,IF(계정대체기준!$C$67="전액 당기손익",0,IFERROR(INDEX(계정대체기준!$H$54:$H$63,MATCH($A22,계정대체기준!$A$54:$A$63,0)),0))),"0%")&amp;" ("&amp;C22&amp;") · 나머지 손익")))))</f>
        <v/>
      </c>
      <c r="I22" s="47">
        <f>IF(AND(D22="신계약비",OR(C22="GMM",C22="VFA"),NOT((IFERROR(INDEX(계정대체기준!$I$54:$I$63,MATCH($A22,계정대체기준!$A$54:$A$63,0)),"N")="Y"))),G22*IF(계정대체기준!$C$67="전액 CSM",1,IF(계정대체기준!$C$67="전액 당기손익",0,IFERROR(INDEX(계정대체기준!$H$54:$H$63,MATCH($A22,계정대체기준!$A$54:$A$63,0)),0))),0)</f>
        <v/>
      </c>
      <c r="J22" s="47">
        <f>IF(AND(D22="신계약비",C22="PAA",계정대체기준!$C$68="이연 후 상각"),0,G22-I22)</f>
        <v/>
      </c>
      <c r="L22" s="26">
        <f>IF(변동분석!$A22="","",변동분석!$E22)</f>
        <v/>
      </c>
      <c r="M22" s="35">
        <f>IF(L22="",0,SUMIFS(전표_원본!$Z$5:$Z$100000,전표_원본!$O$5:$O$100000,L22,전표_원본!$M$5:$M$100000,설정!$C$20))</f>
        <v/>
      </c>
      <c r="N22" s="35">
        <f>IF(L22="",0,SUMIFS(전표_원본!$Z$5:$Z$100000,전표_원본!$O$5:$O$100000,L22,전표_원본!$M$5:$M$100000,설정!$C$20-1))</f>
        <v/>
      </c>
      <c r="O22" s="40">
        <f>M22-N22</f>
        <v/>
      </c>
      <c r="P22" s="41">
        <f>IF(L22="","",O22+ROW()/1000000)</f>
        <v/>
      </c>
    </row>
    <row r="23">
      <c r="A23" s="12" t="inlineStr">
        <is>
          <t>PF02</t>
        </is>
      </c>
      <c r="B23" s="26">
        <f>IFERROR(INDEX(계정대체기준!$B$54:$B$63,MATCH($A23,계정대체기준!$A$54:$A$63,0)),"")</f>
        <v/>
      </c>
      <c r="C23" s="34">
        <f>IFERROR(INDEX(계정대체기준!$C$54:$C$63,MATCH($A23,계정대체기준!$A$54:$A$63,0)),"")</f>
        <v/>
      </c>
      <c r="D23" s="22" t="inlineStr">
        <is>
          <t>신계약비</t>
        </is>
      </c>
      <c r="E23" s="35">
        <f>$B$11*IFERROR(INDEX(계정대체기준!$D$54:$D$63,MATCH($A23,계정대체기준!$A$54:$A$63,0)),0)</f>
        <v/>
      </c>
      <c r="F23" s="35">
        <f>SUMIFS(예정사업비!$J$5:$J$20000,예정사업비!$I$5:$I$20000,설정!$C$20,예정사업비!$C$5:$C$20000,$A23)</f>
        <v/>
      </c>
      <c r="G23" s="46">
        <f>F23-E23</f>
        <v/>
      </c>
      <c r="H23" s="22">
        <f>IF(D23&lt;&gt;"신계약비","당기손익(보험서비스결과)",IF(C23="PAA",IF(계정대체기준!$C$68="이연 후 상각","잔여보장부채 이연(상각)","당기손익"),IF((IFERROR(INDEX(계정대체기준!$I$54:$I$63,MATCH($A23,계정대체기준!$A$54:$A$63,0)),"N")="Y"),"당기손익(손실요소)",IF(IF(계정대체기준!$C$67="전액 CSM",1,IF(계정대체기준!$C$67="전액 당기손익",0,IFERROR(INDEX(계정대체기준!$H$54:$H$63,MATCH($A23,계정대체기준!$A$54:$A$63,0)),0)))&gt;=1,"CSM 조정 ("&amp;C23&amp;")",IF(IF(계정대체기준!$C$67="전액 CSM",1,IF(계정대체기준!$C$67="전액 당기손익",0,IFERROR(INDEX(계정대체기준!$H$54:$H$63,MATCH($A23,계정대체기준!$A$54:$A$63,0)),0)))&lt;=0,"당기손익","CSM "&amp;TEXT(IF(계정대체기준!$C$67="전액 CSM",1,IF(계정대체기준!$C$67="전액 당기손익",0,IFERROR(INDEX(계정대체기준!$H$54:$H$63,MATCH($A23,계정대체기준!$A$54:$A$63,0)),0))),"0%")&amp;" ("&amp;C23&amp;") · 나머지 손익")))))</f>
        <v/>
      </c>
      <c r="I23" s="47">
        <f>IF(AND(D23="신계약비",OR(C23="GMM",C23="VFA"),NOT((IFERROR(INDEX(계정대체기준!$I$54:$I$63,MATCH($A23,계정대체기준!$A$54:$A$63,0)),"N")="Y"))),G23*IF(계정대체기준!$C$67="전액 CSM",1,IF(계정대체기준!$C$67="전액 당기손익",0,IFERROR(INDEX(계정대체기준!$H$54:$H$63,MATCH($A23,계정대체기준!$A$54:$A$63,0)),0))),0)</f>
        <v/>
      </c>
      <c r="J23" s="47">
        <f>IF(AND(D23="신계약비",C23="PAA",계정대체기준!$C$68="이연 후 상각"),0,G23-I23)</f>
        <v/>
      </c>
      <c r="L23" s="26">
        <f>IF(변동분석!$A23="","",변동분석!$E23)</f>
        <v/>
      </c>
      <c r="M23" s="35">
        <f>IF(L23="",0,SUMIFS(전표_원본!$Z$5:$Z$100000,전표_원본!$O$5:$O$100000,L23,전표_원본!$M$5:$M$100000,설정!$C$20))</f>
        <v/>
      </c>
      <c r="N23" s="35">
        <f>IF(L23="",0,SUMIFS(전표_원본!$Z$5:$Z$100000,전표_원본!$O$5:$O$100000,L23,전표_원본!$M$5:$M$100000,설정!$C$20-1))</f>
        <v/>
      </c>
      <c r="O23" s="40">
        <f>M23-N23</f>
        <v/>
      </c>
      <c r="P23" s="41">
        <f>IF(L23="","",O23+ROW()/1000000)</f>
        <v/>
      </c>
    </row>
    <row r="24">
      <c r="A24" s="12" t="inlineStr">
        <is>
          <t>PF02</t>
        </is>
      </c>
      <c r="B24" s="26">
        <f>IFERROR(INDEX(계정대체기준!$B$54:$B$63,MATCH($A24,계정대체기준!$A$54:$A$63,0)),"")</f>
        <v/>
      </c>
      <c r="C24" s="34">
        <f>IFERROR(INDEX(계정대체기준!$C$54:$C$63,MATCH($A24,계정대체기준!$A$54:$A$63,0)),"")</f>
        <v/>
      </c>
      <c r="D24" s="22" t="inlineStr">
        <is>
          <t>유지비</t>
        </is>
      </c>
      <c r="E24" s="35">
        <f>$B$12*IFERROR(INDEX(계정대체기준!$E$54:$E$63,MATCH($A24,계정대체기준!$A$54:$A$63,0)),0)</f>
        <v/>
      </c>
      <c r="F24" s="35">
        <f>SUMIFS(예정사업비!$K$5:$K$20000,예정사업비!$I$5:$I$20000,설정!$C$20,예정사업비!$C$5:$C$20000,$A24)</f>
        <v/>
      </c>
      <c r="G24" s="46">
        <f>F24-E24</f>
        <v/>
      </c>
      <c r="H24" s="22">
        <f>IF(D24&lt;&gt;"신계약비","당기손익(보험서비스결과)",IF(C24="PAA",IF(계정대체기준!$C$68="이연 후 상각","잔여보장부채 이연(상각)","당기손익"),IF((IFERROR(INDEX(계정대체기준!$I$54:$I$63,MATCH($A24,계정대체기준!$A$54:$A$63,0)),"N")="Y"),"당기손익(손실요소)",IF(IF(계정대체기준!$C$67="전액 CSM",1,IF(계정대체기준!$C$67="전액 당기손익",0,IFERROR(INDEX(계정대체기준!$H$54:$H$63,MATCH($A24,계정대체기준!$A$54:$A$63,0)),0)))&gt;=1,"CSM 조정 ("&amp;C24&amp;")",IF(IF(계정대체기준!$C$67="전액 CSM",1,IF(계정대체기준!$C$67="전액 당기손익",0,IFERROR(INDEX(계정대체기준!$H$54:$H$63,MATCH($A24,계정대체기준!$A$54:$A$63,0)),0)))&lt;=0,"당기손익","CSM "&amp;TEXT(IF(계정대체기준!$C$67="전액 CSM",1,IF(계정대체기준!$C$67="전액 당기손익",0,IFERROR(INDEX(계정대체기준!$H$54:$H$63,MATCH($A24,계정대체기준!$A$54:$A$63,0)),0))),"0%")&amp;" ("&amp;C24&amp;") · 나머지 손익")))))</f>
        <v/>
      </c>
      <c r="I24" s="47">
        <f>IF(AND(D24="신계약비",OR(C24="GMM",C24="VFA"),NOT((IFERROR(INDEX(계정대체기준!$I$54:$I$63,MATCH($A24,계정대체기준!$A$54:$A$63,0)),"N")="Y"))),G24*IF(계정대체기준!$C$67="전액 CSM",1,IF(계정대체기준!$C$67="전액 당기손익",0,IFERROR(INDEX(계정대체기준!$H$54:$H$63,MATCH($A24,계정대체기준!$A$54:$A$63,0)),0))),0)</f>
        <v/>
      </c>
      <c r="J24" s="47">
        <f>IF(AND(D24="신계약비",C24="PAA",계정대체기준!$C$68="이연 후 상각"),0,G24-I24)</f>
        <v/>
      </c>
      <c r="L24" s="26">
        <f>IF(변동분석!$A24="","",변동분석!$E24)</f>
        <v/>
      </c>
      <c r="M24" s="35">
        <f>IF(L24="",0,SUMIFS(전표_원본!$Z$5:$Z$100000,전표_원본!$O$5:$O$100000,L24,전표_원본!$M$5:$M$100000,설정!$C$20))</f>
        <v/>
      </c>
      <c r="N24" s="35">
        <f>IF(L24="",0,SUMIFS(전표_원본!$Z$5:$Z$100000,전표_원본!$O$5:$O$100000,L24,전표_원본!$M$5:$M$100000,설정!$C$20-1))</f>
        <v/>
      </c>
      <c r="O24" s="40">
        <f>M24-N24</f>
        <v/>
      </c>
      <c r="P24" s="41">
        <f>IF(L24="","",O24+ROW()/1000000)</f>
        <v/>
      </c>
    </row>
    <row r="25">
      <c r="A25" s="12" t="inlineStr">
        <is>
          <t>PF02</t>
        </is>
      </c>
      <c r="B25" s="26">
        <f>IFERROR(INDEX(계정대체기준!$B$54:$B$63,MATCH($A25,계정대체기준!$A$54:$A$63,0)),"")</f>
        <v/>
      </c>
      <c r="C25" s="34">
        <f>IFERROR(INDEX(계정대체기준!$C$54:$C$63,MATCH($A25,계정대체기준!$A$54:$A$63,0)),"")</f>
        <v/>
      </c>
      <c r="D25" s="22" t="inlineStr">
        <is>
          <t>수금비</t>
        </is>
      </c>
      <c r="E25" s="35">
        <f>$B$13*IFERROR(INDEX(계정대체기준!$F$54:$F$63,MATCH($A25,계정대체기준!$A$54:$A$63,0)),0)</f>
        <v/>
      </c>
      <c r="F25" s="35">
        <f>SUMIFS(예정사업비!$L$5:$L$20000,예정사업비!$I$5:$I$20000,설정!$C$20,예정사업비!$C$5:$C$20000,$A25)</f>
        <v/>
      </c>
      <c r="G25" s="46">
        <f>F25-E25</f>
        <v/>
      </c>
      <c r="H25" s="22">
        <f>IF(D25&lt;&gt;"신계약비","당기손익(보험서비스결과)",IF(C25="PAA",IF(계정대체기준!$C$68="이연 후 상각","잔여보장부채 이연(상각)","당기손익"),IF((IFERROR(INDEX(계정대체기준!$I$54:$I$63,MATCH($A25,계정대체기준!$A$54:$A$63,0)),"N")="Y"),"당기손익(손실요소)",IF(IF(계정대체기준!$C$67="전액 CSM",1,IF(계정대체기준!$C$67="전액 당기손익",0,IFERROR(INDEX(계정대체기준!$H$54:$H$63,MATCH($A25,계정대체기준!$A$54:$A$63,0)),0)))&gt;=1,"CSM 조정 ("&amp;C25&amp;")",IF(IF(계정대체기준!$C$67="전액 CSM",1,IF(계정대체기준!$C$67="전액 당기손익",0,IFERROR(INDEX(계정대체기준!$H$54:$H$63,MATCH($A25,계정대체기준!$A$54:$A$63,0)),0)))&lt;=0,"당기손익","CSM "&amp;TEXT(IF(계정대체기준!$C$67="전액 CSM",1,IF(계정대체기준!$C$67="전액 당기손익",0,IFERROR(INDEX(계정대체기준!$H$54:$H$63,MATCH($A25,계정대체기준!$A$54:$A$63,0)),0))),"0%")&amp;" ("&amp;C25&amp;") · 나머지 손익")))))</f>
        <v/>
      </c>
      <c r="I25" s="47">
        <f>IF(AND(D25="신계약비",OR(C25="GMM",C25="VFA"),NOT((IFERROR(INDEX(계정대체기준!$I$54:$I$63,MATCH($A25,계정대체기준!$A$54:$A$63,0)),"N")="Y"))),G25*IF(계정대체기준!$C$67="전액 CSM",1,IF(계정대체기준!$C$67="전액 당기손익",0,IFERROR(INDEX(계정대체기준!$H$54:$H$63,MATCH($A25,계정대체기준!$A$54:$A$63,0)),0))),0)</f>
        <v/>
      </c>
      <c r="J25" s="47">
        <f>IF(AND(D25="신계약비",C25="PAA",계정대체기준!$C$68="이연 후 상각"),0,G25-I25)</f>
        <v/>
      </c>
      <c r="L25" s="26">
        <f>IF(변동분석!$A25="","",변동분석!$E25)</f>
        <v/>
      </c>
      <c r="M25" s="35">
        <f>IF(L25="",0,SUMIFS(전표_원본!$Z$5:$Z$100000,전표_원본!$O$5:$O$100000,L25,전표_원본!$M$5:$M$100000,설정!$C$20))</f>
        <v/>
      </c>
      <c r="N25" s="35">
        <f>IF(L25="",0,SUMIFS(전표_원본!$Z$5:$Z$100000,전표_원본!$O$5:$O$100000,L25,전표_원본!$M$5:$M$100000,설정!$C$20-1))</f>
        <v/>
      </c>
      <c r="O25" s="40">
        <f>M25-N25</f>
        <v/>
      </c>
      <c r="P25" s="41">
        <f>IF(L25="","",O25+ROW()/1000000)</f>
        <v/>
      </c>
    </row>
    <row r="26">
      <c r="A26" s="12" t="inlineStr">
        <is>
          <t>PF03</t>
        </is>
      </c>
      <c r="B26" s="26">
        <f>IFERROR(INDEX(계정대체기준!$B$54:$B$63,MATCH($A26,계정대체기준!$A$54:$A$63,0)),"")</f>
        <v/>
      </c>
      <c r="C26" s="34">
        <f>IFERROR(INDEX(계정대체기준!$C$54:$C$63,MATCH($A26,계정대체기준!$A$54:$A$63,0)),"")</f>
        <v/>
      </c>
      <c r="D26" s="22" t="inlineStr">
        <is>
          <t>신계약비</t>
        </is>
      </c>
      <c r="E26" s="35">
        <f>$B$11*IFERROR(INDEX(계정대체기준!$D$54:$D$63,MATCH($A26,계정대체기준!$A$54:$A$63,0)),0)</f>
        <v/>
      </c>
      <c r="F26" s="35">
        <f>SUMIFS(예정사업비!$J$5:$J$20000,예정사업비!$I$5:$I$20000,설정!$C$20,예정사업비!$C$5:$C$20000,$A26)</f>
        <v/>
      </c>
      <c r="G26" s="46">
        <f>F26-E26</f>
        <v/>
      </c>
      <c r="H26" s="22">
        <f>IF(D26&lt;&gt;"신계약비","당기손익(보험서비스결과)",IF(C26="PAA",IF(계정대체기준!$C$68="이연 후 상각","잔여보장부채 이연(상각)","당기손익"),IF((IFERROR(INDEX(계정대체기준!$I$54:$I$63,MATCH($A26,계정대체기준!$A$54:$A$63,0)),"N")="Y"),"당기손익(손실요소)",IF(IF(계정대체기준!$C$67="전액 CSM",1,IF(계정대체기준!$C$67="전액 당기손익",0,IFERROR(INDEX(계정대체기준!$H$54:$H$63,MATCH($A26,계정대체기준!$A$54:$A$63,0)),0)))&gt;=1,"CSM 조정 ("&amp;C26&amp;")",IF(IF(계정대체기준!$C$67="전액 CSM",1,IF(계정대체기준!$C$67="전액 당기손익",0,IFERROR(INDEX(계정대체기준!$H$54:$H$63,MATCH($A26,계정대체기준!$A$54:$A$63,0)),0)))&lt;=0,"당기손익","CSM "&amp;TEXT(IF(계정대체기준!$C$67="전액 CSM",1,IF(계정대체기준!$C$67="전액 당기손익",0,IFERROR(INDEX(계정대체기준!$H$54:$H$63,MATCH($A26,계정대체기준!$A$54:$A$63,0)),0))),"0%")&amp;" ("&amp;C26&amp;") · 나머지 손익")))))</f>
        <v/>
      </c>
      <c r="I26" s="47">
        <f>IF(AND(D26="신계약비",OR(C26="GMM",C26="VFA"),NOT((IFERROR(INDEX(계정대체기준!$I$54:$I$63,MATCH($A26,계정대체기준!$A$54:$A$63,0)),"N")="Y"))),G26*IF(계정대체기준!$C$67="전액 CSM",1,IF(계정대체기준!$C$67="전액 당기손익",0,IFERROR(INDEX(계정대체기준!$H$54:$H$63,MATCH($A26,계정대체기준!$A$54:$A$63,0)),0))),0)</f>
        <v/>
      </c>
      <c r="J26" s="47">
        <f>IF(AND(D26="신계약비",C26="PAA",계정대체기준!$C$68="이연 후 상각"),0,G26-I26)</f>
        <v/>
      </c>
      <c r="L26" s="26">
        <f>IF(변동분석!$A26="","",변동분석!$E26)</f>
        <v/>
      </c>
      <c r="M26" s="35">
        <f>IF(L26="",0,SUMIFS(전표_원본!$Z$5:$Z$100000,전표_원본!$O$5:$O$100000,L26,전표_원본!$M$5:$M$100000,설정!$C$20))</f>
        <v/>
      </c>
      <c r="N26" s="35">
        <f>IF(L26="",0,SUMIFS(전표_원본!$Z$5:$Z$100000,전표_원본!$O$5:$O$100000,L26,전표_원본!$M$5:$M$100000,설정!$C$20-1))</f>
        <v/>
      </c>
      <c r="O26" s="40">
        <f>M26-N26</f>
        <v/>
      </c>
      <c r="P26" s="41">
        <f>IF(L26="","",O26+ROW()/1000000)</f>
        <v/>
      </c>
    </row>
    <row r="27">
      <c r="A27" s="12" t="inlineStr">
        <is>
          <t>PF03</t>
        </is>
      </c>
      <c r="B27" s="26">
        <f>IFERROR(INDEX(계정대체기준!$B$54:$B$63,MATCH($A27,계정대체기준!$A$54:$A$63,0)),"")</f>
        <v/>
      </c>
      <c r="C27" s="34">
        <f>IFERROR(INDEX(계정대체기준!$C$54:$C$63,MATCH($A27,계정대체기준!$A$54:$A$63,0)),"")</f>
        <v/>
      </c>
      <c r="D27" s="22" t="inlineStr">
        <is>
          <t>유지비</t>
        </is>
      </c>
      <c r="E27" s="35">
        <f>$B$12*IFERROR(INDEX(계정대체기준!$E$54:$E$63,MATCH($A27,계정대체기준!$A$54:$A$63,0)),0)</f>
        <v/>
      </c>
      <c r="F27" s="35">
        <f>SUMIFS(예정사업비!$K$5:$K$20000,예정사업비!$I$5:$I$20000,설정!$C$20,예정사업비!$C$5:$C$20000,$A27)</f>
        <v/>
      </c>
      <c r="G27" s="46">
        <f>F27-E27</f>
        <v/>
      </c>
      <c r="H27" s="22">
        <f>IF(D27&lt;&gt;"신계약비","당기손익(보험서비스결과)",IF(C27="PAA",IF(계정대체기준!$C$68="이연 후 상각","잔여보장부채 이연(상각)","당기손익"),IF((IFERROR(INDEX(계정대체기준!$I$54:$I$63,MATCH($A27,계정대체기준!$A$54:$A$63,0)),"N")="Y"),"당기손익(손실요소)",IF(IF(계정대체기준!$C$67="전액 CSM",1,IF(계정대체기준!$C$67="전액 당기손익",0,IFERROR(INDEX(계정대체기준!$H$54:$H$63,MATCH($A27,계정대체기준!$A$54:$A$63,0)),0)))&gt;=1,"CSM 조정 ("&amp;C27&amp;")",IF(IF(계정대체기준!$C$67="전액 CSM",1,IF(계정대체기준!$C$67="전액 당기손익",0,IFERROR(INDEX(계정대체기준!$H$54:$H$63,MATCH($A27,계정대체기준!$A$54:$A$63,0)),0)))&lt;=0,"당기손익","CSM "&amp;TEXT(IF(계정대체기준!$C$67="전액 CSM",1,IF(계정대체기준!$C$67="전액 당기손익",0,IFERROR(INDEX(계정대체기준!$H$54:$H$63,MATCH($A27,계정대체기준!$A$54:$A$63,0)),0))),"0%")&amp;" ("&amp;C27&amp;") · 나머지 손익")))))</f>
        <v/>
      </c>
      <c r="I27" s="47">
        <f>IF(AND(D27="신계약비",OR(C27="GMM",C27="VFA"),NOT((IFERROR(INDEX(계정대체기준!$I$54:$I$63,MATCH($A27,계정대체기준!$A$54:$A$63,0)),"N")="Y"))),G27*IF(계정대체기준!$C$67="전액 CSM",1,IF(계정대체기준!$C$67="전액 당기손익",0,IFERROR(INDEX(계정대체기준!$H$54:$H$63,MATCH($A27,계정대체기준!$A$54:$A$63,0)),0))),0)</f>
        <v/>
      </c>
      <c r="J27" s="47">
        <f>IF(AND(D27="신계약비",C27="PAA",계정대체기준!$C$68="이연 후 상각"),0,G27-I27)</f>
        <v/>
      </c>
      <c r="L27" s="26">
        <f>IF(변동분석!$A27="","",변동분석!$E27)</f>
        <v/>
      </c>
      <c r="M27" s="35">
        <f>IF(L27="",0,SUMIFS(전표_원본!$Z$5:$Z$100000,전표_원본!$O$5:$O$100000,L27,전표_원본!$M$5:$M$100000,설정!$C$20))</f>
        <v/>
      </c>
      <c r="N27" s="35">
        <f>IF(L27="",0,SUMIFS(전표_원본!$Z$5:$Z$100000,전표_원본!$O$5:$O$100000,L27,전표_원본!$M$5:$M$100000,설정!$C$20-1))</f>
        <v/>
      </c>
      <c r="O27" s="40">
        <f>M27-N27</f>
        <v/>
      </c>
      <c r="P27" s="41">
        <f>IF(L27="","",O27+ROW()/1000000)</f>
        <v/>
      </c>
    </row>
    <row r="28">
      <c r="A28" s="12" t="inlineStr">
        <is>
          <t>PF03</t>
        </is>
      </c>
      <c r="B28" s="26">
        <f>IFERROR(INDEX(계정대체기준!$B$54:$B$63,MATCH($A28,계정대체기준!$A$54:$A$63,0)),"")</f>
        <v/>
      </c>
      <c r="C28" s="34">
        <f>IFERROR(INDEX(계정대체기준!$C$54:$C$63,MATCH($A28,계정대체기준!$A$54:$A$63,0)),"")</f>
        <v/>
      </c>
      <c r="D28" s="22" t="inlineStr">
        <is>
          <t>수금비</t>
        </is>
      </c>
      <c r="E28" s="35">
        <f>$B$13*IFERROR(INDEX(계정대체기준!$F$54:$F$63,MATCH($A28,계정대체기준!$A$54:$A$63,0)),0)</f>
        <v/>
      </c>
      <c r="F28" s="35">
        <f>SUMIFS(예정사업비!$L$5:$L$20000,예정사업비!$I$5:$I$20000,설정!$C$20,예정사업비!$C$5:$C$20000,$A28)</f>
        <v/>
      </c>
      <c r="G28" s="46">
        <f>F28-E28</f>
        <v/>
      </c>
      <c r="H28" s="22">
        <f>IF(D28&lt;&gt;"신계약비","당기손익(보험서비스결과)",IF(C28="PAA",IF(계정대체기준!$C$68="이연 후 상각","잔여보장부채 이연(상각)","당기손익"),IF((IFERROR(INDEX(계정대체기준!$I$54:$I$63,MATCH($A28,계정대체기준!$A$54:$A$63,0)),"N")="Y"),"당기손익(손실요소)",IF(IF(계정대체기준!$C$67="전액 CSM",1,IF(계정대체기준!$C$67="전액 당기손익",0,IFERROR(INDEX(계정대체기준!$H$54:$H$63,MATCH($A28,계정대체기준!$A$54:$A$63,0)),0)))&gt;=1,"CSM 조정 ("&amp;C28&amp;")",IF(IF(계정대체기준!$C$67="전액 CSM",1,IF(계정대체기준!$C$67="전액 당기손익",0,IFERROR(INDEX(계정대체기준!$H$54:$H$63,MATCH($A28,계정대체기준!$A$54:$A$63,0)),0)))&lt;=0,"당기손익","CSM "&amp;TEXT(IF(계정대체기준!$C$67="전액 CSM",1,IF(계정대체기준!$C$67="전액 당기손익",0,IFERROR(INDEX(계정대체기준!$H$54:$H$63,MATCH($A28,계정대체기준!$A$54:$A$63,0)),0))),"0%")&amp;" ("&amp;C28&amp;") · 나머지 손익")))))</f>
        <v/>
      </c>
      <c r="I28" s="47">
        <f>IF(AND(D28="신계약비",OR(C28="GMM",C28="VFA"),NOT((IFERROR(INDEX(계정대체기준!$I$54:$I$63,MATCH($A28,계정대체기준!$A$54:$A$63,0)),"N")="Y"))),G28*IF(계정대체기준!$C$67="전액 CSM",1,IF(계정대체기준!$C$67="전액 당기손익",0,IFERROR(INDEX(계정대체기준!$H$54:$H$63,MATCH($A28,계정대체기준!$A$54:$A$63,0)),0))),0)</f>
        <v/>
      </c>
      <c r="J28" s="47">
        <f>IF(AND(D28="신계약비",C28="PAA",계정대체기준!$C$68="이연 후 상각"),0,G28-I28)</f>
        <v/>
      </c>
      <c r="L28" s="26">
        <f>IF(변동분석!$A28="","",변동분석!$E28)</f>
        <v/>
      </c>
      <c r="M28" s="35">
        <f>IF(L28="",0,SUMIFS(전표_원본!$Z$5:$Z$100000,전표_원본!$O$5:$O$100000,L28,전표_원본!$M$5:$M$100000,설정!$C$20))</f>
        <v/>
      </c>
      <c r="N28" s="35">
        <f>IF(L28="",0,SUMIFS(전표_원본!$Z$5:$Z$100000,전표_원본!$O$5:$O$100000,L28,전표_원본!$M$5:$M$100000,설정!$C$20-1))</f>
        <v/>
      </c>
      <c r="O28" s="40">
        <f>M28-N28</f>
        <v/>
      </c>
      <c r="P28" s="41">
        <f>IF(L28="","",O28+ROW()/1000000)</f>
        <v/>
      </c>
    </row>
    <row r="29">
      <c r="A29" s="12" t="inlineStr">
        <is>
          <t>PF04</t>
        </is>
      </c>
      <c r="B29" s="26">
        <f>IFERROR(INDEX(계정대체기준!$B$54:$B$63,MATCH($A29,계정대체기준!$A$54:$A$63,0)),"")</f>
        <v/>
      </c>
      <c r="C29" s="34">
        <f>IFERROR(INDEX(계정대체기준!$C$54:$C$63,MATCH($A29,계정대체기준!$A$54:$A$63,0)),"")</f>
        <v/>
      </c>
      <c r="D29" s="22" t="inlineStr">
        <is>
          <t>신계약비</t>
        </is>
      </c>
      <c r="E29" s="35">
        <f>$B$11*IFERROR(INDEX(계정대체기준!$D$54:$D$63,MATCH($A29,계정대체기준!$A$54:$A$63,0)),0)</f>
        <v/>
      </c>
      <c r="F29" s="35">
        <f>SUMIFS(예정사업비!$J$5:$J$20000,예정사업비!$I$5:$I$20000,설정!$C$20,예정사업비!$C$5:$C$20000,$A29)</f>
        <v/>
      </c>
      <c r="G29" s="46">
        <f>F29-E29</f>
        <v/>
      </c>
      <c r="H29" s="22">
        <f>IF(D29&lt;&gt;"신계약비","당기손익(보험서비스결과)",IF(C29="PAA",IF(계정대체기준!$C$68="이연 후 상각","잔여보장부채 이연(상각)","당기손익"),IF((IFERROR(INDEX(계정대체기준!$I$54:$I$63,MATCH($A29,계정대체기준!$A$54:$A$63,0)),"N")="Y"),"당기손익(손실요소)",IF(IF(계정대체기준!$C$67="전액 CSM",1,IF(계정대체기준!$C$67="전액 당기손익",0,IFERROR(INDEX(계정대체기준!$H$54:$H$63,MATCH($A29,계정대체기준!$A$54:$A$63,0)),0)))&gt;=1,"CSM 조정 ("&amp;C29&amp;")",IF(IF(계정대체기준!$C$67="전액 CSM",1,IF(계정대체기준!$C$67="전액 당기손익",0,IFERROR(INDEX(계정대체기준!$H$54:$H$63,MATCH($A29,계정대체기준!$A$54:$A$63,0)),0)))&lt;=0,"당기손익","CSM "&amp;TEXT(IF(계정대체기준!$C$67="전액 CSM",1,IF(계정대체기준!$C$67="전액 당기손익",0,IFERROR(INDEX(계정대체기준!$H$54:$H$63,MATCH($A29,계정대체기준!$A$54:$A$63,0)),0))),"0%")&amp;" ("&amp;C29&amp;") · 나머지 손익")))))</f>
        <v/>
      </c>
      <c r="I29" s="47">
        <f>IF(AND(D29="신계약비",OR(C29="GMM",C29="VFA"),NOT((IFERROR(INDEX(계정대체기준!$I$54:$I$63,MATCH($A29,계정대체기준!$A$54:$A$63,0)),"N")="Y"))),G29*IF(계정대체기준!$C$67="전액 CSM",1,IF(계정대체기준!$C$67="전액 당기손익",0,IFERROR(INDEX(계정대체기준!$H$54:$H$63,MATCH($A29,계정대체기준!$A$54:$A$63,0)),0))),0)</f>
        <v/>
      </c>
      <c r="J29" s="47">
        <f>IF(AND(D29="신계약비",C29="PAA",계정대체기준!$C$68="이연 후 상각"),0,G29-I29)</f>
        <v/>
      </c>
      <c r="L29" s="26">
        <f>IF(변동분석!$A29="","",변동분석!$E29)</f>
        <v/>
      </c>
      <c r="M29" s="35">
        <f>IF(L29="",0,SUMIFS(전표_원본!$Z$5:$Z$100000,전표_원본!$O$5:$O$100000,L29,전표_원본!$M$5:$M$100000,설정!$C$20))</f>
        <v/>
      </c>
      <c r="N29" s="35">
        <f>IF(L29="",0,SUMIFS(전표_원본!$Z$5:$Z$100000,전표_원본!$O$5:$O$100000,L29,전표_원본!$M$5:$M$100000,설정!$C$20-1))</f>
        <v/>
      </c>
      <c r="O29" s="40">
        <f>M29-N29</f>
        <v/>
      </c>
      <c r="P29" s="41">
        <f>IF(L29="","",O29+ROW()/1000000)</f>
        <v/>
      </c>
    </row>
    <row r="30">
      <c r="A30" s="12" t="inlineStr">
        <is>
          <t>PF04</t>
        </is>
      </c>
      <c r="B30" s="26">
        <f>IFERROR(INDEX(계정대체기준!$B$54:$B$63,MATCH($A30,계정대체기준!$A$54:$A$63,0)),"")</f>
        <v/>
      </c>
      <c r="C30" s="34">
        <f>IFERROR(INDEX(계정대체기준!$C$54:$C$63,MATCH($A30,계정대체기준!$A$54:$A$63,0)),"")</f>
        <v/>
      </c>
      <c r="D30" s="22" t="inlineStr">
        <is>
          <t>유지비</t>
        </is>
      </c>
      <c r="E30" s="35">
        <f>$B$12*IFERROR(INDEX(계정대체기준!$E$54:$E$63,MATCH($A30,계정대체기준!$A$54:$A$63,0)),0)</f>
        <v/>
      </c>
      <c r="F30" s="35">
        <f>SUMIFS(예정사업비!$K$5:$K$20000,예정사업비!$I$5:$I$20000,설정!$C$20,예정사업비!$C$5:$C$20000,$A30)</f>
        <v/>
      </c>
      <c r="G30" s="46">
        <f>F30-E30</f>
        <v/>
      </c>
      <c r="H30" s="22">
        <f>IF(D30&lt;&gt;"신계약비","당기손익(보험서비스결과)",IF(C30="PAA",IF(계정대체기준!$C$68="이연 후 상각","잔여보장부채 이연(상각)","당기손익"),IF((IFERROR(INDEX(계정대체기준!$I$54:$I$63,MATCH($A30,계정대체기준!$A$54:$A$63,0)),"N")="Y"),"당기손익(손실요소)",IF(IF(계정대체기준!$C$67="전액 CSM",1,IF(계정대체기준!$C$67="전액 당기손익",0,IFERROR(INDEX(계정대체기준!$H$54:$H$63,MATCH($A30,계정대체기준!$A$54:$A$63,0)),0)))&gt;=1,"CSM 조정 ("&amp;C30&amp;")",IF(IF(계정대체기준!$C$67="전액 CSM",1,IF(계정대체기준!$C$67="전액 당기손익",0,IFERROR(INDEX(계정대체기준!$H$54:$H$63,MATCH($A30,계정대체기준!$A$54:$A$63,0)),0)))&lt;=0,"당기손익","CSM "&amp;TEXT(IF(계정대체기준!$C$67="전액 CSM",1,IF(계정대체기준!$C$67="전액 당기손익",0,IFERROR(INDEX(계정대체기준!$H$54:$H$63,MATCH($A30,계정대체기준!$A$54:$A$63,0)),0))),"0%")&amp;" ("&amp;C30&amp;") · 나머지 손익")))))</f>
        <v/>
      </c>
      <c r="I30" s="47">
        <f>IF(AND(D30="신계약비",OR(C30="GMM",C30="VFA"),NOT((IFERROR(INDEX(계정대체기준!$I$54:$I$63,MATCH($A30,계정대체기준!$A$54:$A$63,0)),"N")="Y"))),G30*IF(계정대체기준!$C$67="전액 CSM",1,IF(계정대체기준!$C$67="전액 당기손익",0,IFERROR(INDEX(계정대체기준!$H$54:$H$63,MATCH($A30,계정대체기준!$A$54:$A$63,0)),0))),0)</f>
        <v/>
      </c>
      <c r="J30" s="47">
        <f>IF(AND(D30="신계약비",C30="PAA",계정대체기준!$C$68="이연 후 상각"),0,G30-I30)</f>
        <v/>
      </c>
      <c r="L30" s="26">
        <f>IF(변동분석!$A30="","",변동분석!$E30)</f>
        <v/>
      </c>
      <c r="M30" s="35">
        <f>IF(L30="",0,SUMIFS(전표_원본!$Z$5:$Z$100000,전표_원본!$O$5:$O$100000,L30,전표_원본!$M$5:$M$100000,설정!$C$20))</f>
        <v/>
      </c>
      <c r="N30" s="35">
        <f>IF(L30="",0,SUMIFS(전표_원본!$Z$5:$Z$100000,전표_원본!$O$5:$O$100000,L30,전표_원본!$M$5:$M$100000,설정!$C$20-1))</f>
        <v/>
      </c>
      <c r="O30" s="40">
        <f>M30-N30</f>
        <v/>
      </c>
      <c r="P30" s="41">
        <f>IF(L30="","",O30+ROW()/1000000)</f>
        <v/>
      </c>
    </row>
    <row r="31">
      <c r="A31" s="12" t="inlineStr">
        <is>
          <t>PF04</t>
        </is>
      </c>
      <c r="B31" s="26">
        <f>IFERROR(INDEX(계정대체기준!$B$54:$B$63,MATCH($A31,계정대체기준!$A$54:$A$63,0)),"")</f>
        <v/>
      </c>
      <c r="C31" s="34">
        <f>IFERROR(INDEX(계정대체기준!$C$54:$C$63,MATCH($A31,계정대체기준!$A$54:$A$63,0)),"")</f>
        <v/>
      </c>
      <c r="D31" s="22" t="inlineStr">
        <is>
          <t>수금비</t>
        </is>
      </c>
      <c r="E31" s="35">
        <f>$B$13*IFERROR(INDEX(계정대체기준!$F$54:$F$63,MATCH($A31,계정대체기준!$A$54:$A$63,0)),0)</f>
        <v/>
      </c>
      <c r="F31" s="35">
        <f>SUMIFS(예정사업비!$L$5:$L$20000,예정사업비!$I$5:$I$20000,설정!$C$20,예정사업비!$C$5:$C$20000,$A31)</f>
        <v/>
      </c>
      <c r="G31" s="46">
        <f>F31-E31</f>
        <v/>
      </c>
      <c r="H31" s="22">
        <f>IF(D31&lt;&gt;"신계약비","당기손익(보험서비스결과)",IF(C31="PAA",IF(계정대체기준!$C$68="이연 후 상각","잔여보장부채 이연(상각)","당기손익"),IF((IFERROR(INDEX(계정대체기준!$I$54:$I$63,MATCH($A31,계정대체기준!$A$54:$A$63,0)),"N")="Y"),"당기손익(손실요소)",IF(IF(계정대체기준!$C$67="전액 CSM",1,IF(계정대체기준!$C$67="전액 당기손익",0,IFERROR(INDEX(계정대체기준!$H$54:$H$63,MATCH($A31,계정대체기준!$A$54:$A$63,0)),0)))&gt;=1,"CSM 조정 ("&amp;C31&amp;")",IF(IF(계정대체기준!$C$67="전액 CSM",1,IF(계정대체기준!$C$67="전액 당기손익",0,IFERROR(INDEX(계정대체기준!$H$54:$H$63,MATCH($A31,계정대체기준!$A$54:$A$63,0)),0)))&lt;=0,"당기손익","CSM "&amp;TEXT(IF(계정대체기준!$C$67="전액 CSM",1,IF(계정대체기준!$C$67="전액 당기손익",0,IFERROR(INDEX(계정대체기준!$H$54:$H$63,MATCH($A31,계정대체기준!$A$54:$A$63,0)),0))),"0%")&amp;" ("&amp;C31&amp;") · 나머지 손익")))))</f>
        <v/>
      </c>
      <c r="I31" s="47">
        <f>IF(AND(D31="신계약비",OR(C31="GMM",C31="VFA"),NOT((IFERROR(INDEX(계정대체기준!$I$54:$I$63,MATCH($A31,계정대체기준!$A$54:$A$63,0)),"N")="Y"))),G31*IF(계정대체기준!$C$67="전액 CSM",1,IF(계정대체기준!$C$67="전액 당기손익",0,IFERROR(INDEX(계정대체기준!$H$54:$H$63,MATCH($A31,계정대체기준!$A$54:$A$63,0)),0))),0)</f>
        <v/>
      </c>
      <c r="J31" s="47">
        <f>IF(AND(D31="신계약비",C31="PAA",계정대체기준!$C$68="이연 후 상각"),0,G31-I31)</f>
        <v/>
      </c>
      <c r="L31" s="26">
        <f>IF(변동분석!$A31="","",변동분석!$E31)</f>
        <v/>
      </c>
      <c r="M31" s="35">
        <f>IF(L31="",0,SUMIFS(전표_원본!$Z$5:$Z$100000,전표_원본!$O$5:$O$100000,L31,전표_원본!$M$5:$M$100000,설정!$C$20))</f>
        <v/>
      </c>
      <c r="N31" s="35">
        <f>IF(L31="",0,SUMIFS(전표_원본!$Z$5:$Z$100000,전표_원본!$O$5:$O$100000,L31,전표_원본!$M$5:$M$100000,설정!$C$20-1))</f>
        <v/>
      </c>
      <c r="O31" s="40">
        <f>M31-N31</f>
        <v/>
      </c>
      <c r="P31" s="41">
        <f>IF(L31="","",O31+ROW()/1000000)</f>
        <v/>
      </c>
    </row>
    <row r="32">
      <c r="A32" s="43" t="inlineStr">
        <is>
          <t>CSM 조정 (GMM 취득현금흐름 예실차)</t>
        </is>
      </c>
      <c r="B32" s="32" t="n"/>
      <c r="C32" s="32" t="n"/>
      <c r="D32" s="32" t="n"/>
      <c r="E32" s="32" t="n"/>
      <c r="F32" s="33" t="n"/>
      <c r="G32" s="48">
        <f>SUMIFS($I$20:$I$31,$C$20:$C$31,"GMM")</f>
        <v/>
      </c>
      <c r="H32" s="49" t="n"/>
      <c r="I32" s="49" t="n"/>
      <c r="J32" s="49" t="n"/>
      <c r="L32" s="26">
        <f>IF(변동분석!$A32="","",변동분석!$E32)</f>
        <v/>
      </c>
      <c r="M32" s="35">
        <f>IF(L32="",0,SUMIFS(전표_원본!$Z$5:$Z$100000,전표_원본!$O$5:$O$100000,L32,전표_원본!$M$5:$M$100000,설정!$C$20))</f>
        <v/>
      </c>
      <c r="N32" s="35">
        <f>IF(L32="",0,SUMIFS(전표_원본!$Z$5:$Z$100000,전표_원본!$O$5:$O$100000,L32,전표_원본!$M$5:$M$100000,설정!$C$20-1))</f>
        <v/>
      </c>
      <c r="O32" s="40">
        <f>M32-N32</f>
        <v/>
      </c>
      <c r="P32" s="41">
        <f>IF(L32="","",O32+ROW()/1000000)</f>
        <v/>
      </c>
    </row>
    <row r="33">
      <c r="A33" s="43" t="inlineStr">
        <is>
          <t>CSM 조정 (VFA 취득현금흐름 예실차)</t>
        </is>
      </c>
      <c r="B33" s="32" t="n"/>
      <c r="C33" s="32" t="n"/>
      <c r="D33" s="32" t="n"/>
      <c r="E33" s="32" t="n"/>
      <c r="F33" s="33" t="n"/>
      <c r="G33" s="48">
        <f>SUMIFS($I$20:$I$31,$C$20:$C$31,"VFA")</f>
        <v/>
      </c>
      <c r="H33" s="49" t="n"/>
      <c r="I33" s="49" t="n"/>
      <c r="J33" s="49" t="n"/>
      <c r="L33" s="26">
        <f>IF(변동분석!$A33="","",변동분석!$E33)</f>
        <v/>
      </c>
      <c r="M33" s="35">
        <f>IF(L33="",0,SUMIFS(전표_원본!$Z$5:$Z$100000,전표_원본!$O$5:$O$100000,L33,전표_원본!$M$5:$M$100000,설정!$C$20))</f>
        <v/>
      </c>
      <c r="N33" s="35">
        <f>IF(L33="",0,SUMIFS(전표_원본!$Z$5:$Z$100000,전표_원본!$O$5:$O$100000,L33,전표_원본!$M$5:$M$100000,설정!$C$20-1))</f>
        <v/>
      </c>
      <c r="O33" s="40">
        <f>M33-N33</f>
        <v/>
      </c>
      <c r="P33" s="41">
        <f>IF(L33="","",O33+ROW()/1000000)</f>
        <v/>
      </c>
    </row>
    <row r="34">
      <c r="A34" s="43" t="inlineStr">
        <is>
          <t>당기손익 (유지·수금, 연동 외 신계약비, PAA)</t>
        </is>
      </c>
      <c r="B34" s="32" t="n"/>
      <c r="C34" s="32" t="n"/>
      <c r="D34" s="32" t="n"/>
      <c r="E34" s="32" t="n"/>
      <c r="F34" s="33" t="n"/>
      <c r="G34" s="48">
        <f>SUM($J$20:$J$31)</f>
        <v/>
      </c>
      <c r="H34" s="49" t="n"/>
      <c r="I34" s="49" t="n"/>
      <c r="J34" s="49" t="n"/>
      <c r="L34" s="26">
        <f>IF(변동분석!$A34="","",변동분석!$E34)</f>
        <v/>
      </c>
      <c r="M34" s="35">
        <f>IF(L34="",0,SUMIFS(전표_원본!$Z$5:$Z$100000,전표_원본!$O$5:$O$100000,L34,전표_원본!$M$5:$M$100000,설정!$C$20))</f>
        <v/>
      </c>
      <c r="N34" s="35">
        <f>IF(L34="",0,SUMIFS(전표_원본!$Z$5:$Z$100000,전표_원본!$O$5:$O$100000,L34,전표_원본!$M$5:$M$100000,설정!$C$20-1))</f>
        <v/>
      </c>
      <c r="O34" s="40">
        <f>M34-N34</f>
        <v/>
      </c>
      <c r="P34" s="41">
        <f>IF(L34="","",O34+ROW()/1000000)</f>
        <v/>
      </c>
    </row>
    <row r="35">
      <c r="L35" s="26">
        <f>IF(변동분석!$A35="","",변동분석!$E35)</f>
        <v/>
      </c>
      <c r="M35" s="35">
        <f>IF(L35="",0,SUMIFS(전표_원본!$Z$5:$Z$100000,전표_원본!$O$5:$O$100000,L35,전표_원본!$M$5:$M$100000,설정!$C$20))</f>
        <v/>
      </c>
      <c r="N35" s="35">
        <f>IF(L35="",0,SUMIFS(전표_원본!$Z$5:$Z$100000,전표_원본!$O$5:$O$100000,L35,전표_원본!$M$5:$M$100000,설정!$C$20-1))</f>
        <v/>
      </c>
      <c r="O35" s="40">
        <f>M35-N35</f>
        <v/>
      </c>
      <c r="P35" s="41">
        <f>IF(L35="","",O35+ROW()/1000000)</f>
        <v/>
      </c>
    </row>
    <row r="36">
      <c r="L36" s="26">
        <f>IF(변동분석!$A36="","",변동분석!$E36)</f>
        <v/>
      </c>
      <c r="M36" s="35">
        <f>IF(L36="",0,SUMIFS(전표_원본!$Z$5:$Z$100000,전표_원본!$O$5:$O$100000,L36,전표_원본!$M$5:$M$100000,설정!$C$20))</f>
        <v/>
      </c>
      <c r="N36" s="35">
        <f>IF(L36="",0,SUMIFS(전표_원본!$Z$5:$Z$100000,전표_원본!$O$5:$O$100000,L36,전표_원본!$M$5:$M$100000,설정!$C$20-1))</f>
        <v/>
      </c>
      <c r="O36" s="40">
        <f>M36-N36</f>
        <v/>
      </c>
      <c r="P36" s="41">
        <f>IF(L36="","",O36+ROW()/1000000)</f>
        <v/>
      </c>
    </row>
    <row r="37">
      <c r="A37" s="3" t="inlineStr">
        <is>
          <t>3. 변동표 대사 (계리 결과 '경험조정-취득현금흐름' CSM vs TRACE CSM 반영분)</t>
        </is>
      </c>
      <c r="L37" s="26">
        <f>IF(변동분석!$A37="","",변동분석!$E37)</f>
        <v/>
      </c>
      <c r="M37" s="35">
        <f>IF(L37="",0,SUMIFS(전표_원본!$Z$5:$Z$100000,전표_원본!$O$5:$O$100000,L37,전표_원본!$M$5:$M$100000,설정!$C$20))</f>
        <v/>
      </c>
      <c r="N37" s="35">
        <f>IF(L37="",0,SUMIFS(전표_원본!$Z$5:$Z$100000,전표_원본!$O$5:$O$100000,L37,전표_원본!$M$5:$M$100000,설정!$C$20-1))</f>
        <v/>
      </c>
      <c r="O37" s="40">
        <f>M37-N37</f>
        <v/>
      </c>
      <c r="P37" s="41">
        <f>IF(L37="","",O37+ROW()/1000000)</f>
        <v/>
      </c>
    </row>
    <row r="38" ht="30" customHeight="1">
      <c r="A38" s="4" t="inlineStr">
        <is>
          <t>포트폴리오</t>
        </is>
      </c>
      <c r="B38" s="4" t="inlineStr">
        <is>
          <t>측정모형</t>
        </is>
      </c>
      <c r="C38" s="4" t="inlineStr">
        <is>
          <t>계리 F31 (CSM)</t>
        </is>
      </c>
      <c r="D38" s="4" t="inlineStr">
        <is>
          <t>TRACE 추정
(CSM 반영분)</t>
        </is>
      </c>
      <c r="E38" s="4" t="inlineStr">
        <is>
          <t>차이</t>
        </is>
      </c>
      <c r="F38" s="4" t="inlineStr">
        <is>
          <t>판정</t>
        </is>
      </c>
      <c r="L38" s="26">
        <f>IF(변동분석!$A38="","",변동분석!$E38)</f>
        <v/>
      </c>
      <c r="M38" s="35">
        <f>IF(L38="",0,SUMIFS(전표_원본!$Z$5:$Z$100000,전표_원본!$O$5:$O$100000,L38,전표_원본!$M$5:$M$100000,설정!$C$20))</f>
        <v/>
      </c>
      <c r="N38" s="35">
        <f>IF(L38="",0,SUMIFS(전표_원본!$Z$5:$Z$100000,전표_원본!$O$5:$O$100000,L38,전표_원본!$M$5:$M$100000,설정!$C$20-1))</f>
        <v/>
      </c>
      <c r="O38" s="40">
        <f>M38-N38</f>
        <v/>
      </c>
      <c r="P38" s="41">
        <f>IF(L38="","",O38+ROW()/1000000)</f>
        <v/>
      </c>
    </row>
    <row r="39">
      <c r="A39" s="12" t="inlineStr">
        <is>
          <t>PF01</t>
        </is>
      </c>
      <c r="B39" s="34">
        <f>IFERROR(INDEX(계정대체기준!$C$54:$C$63,MATCH($A39,계정대체기준!$A$54:$A$63,0)),"")</f>
        <v/>
      </c>
      <c r="C39" s="35">
        <f>SUMIFS(부채변동표!$O$5:$O$20000,부채변동표!$L$5:$L$20000,설정!$C$20,부채변동표!$C$5:$C$20000,$A39,부채변동표!$P$5:$P$20000,"F31")</f>
        <v/>
      </c>
      <c r="D39" s="40">
        <f>IF(B39="PAA",0,SUMIFS($I$20:$I$31,$A$20:$A$31,$A39,$D$20:$D$31,"신계약비"))</f>
        <v/>
      </c>
      <c r="E39" s="40">
        <f>C39-D39</f>
        <v/>
      </c>
      <c r="F39" s="22">
        <f>IF(B39="PAA","해당없음 (CSM 없음)",IF(ABS(E39)&lt;0.5,"일치","차이 확인"))</f>
        <v/>
      </c>
      <c r="L39" s="26">
        <f>IF(변동분석!$A39="","",변동분석!$E39)</f>
        <v/>
      </c>
      <c r="M39" s="35">
        <f>IF(L39="",0,SUMIFS(전표_원본!$Z$5:$Z$100000,전표_원본!$O$5:$O$100000,L39,전표_원본!$M$5:$M$100000,설정!$C$20))</f>
        <v/>
      </c>
      <c r="N39" s="35">
        <f>IF(L39="",0,SUMIFS(전표_원본!$Z$5:$Z$100000,전표_원본!$O$5:$O$100000,L39,전표_원본!$M$5:$M$100000,설정!$C$20-1))</f>
        <v/>
      </c>
      <c r="O39" s="40">
        <f>M39-N39</f>
        <v/>
      </c>
      <c r="P39" s="41">
        <f>IF(L39="","",O39+ROW()/1000000)</f>
        <v/>
      </c>
    </row>
    <row r="40">
      <c r="A40" s="12" t="inlineStr">
        <is>
          <t>PF02</t>
        </is>
      </c>
      <c r="B40" s="34">
        <f>IFERROR(INDEX(계정대체기준!$C$54:$C$63,MATCH($A40,계정대체기준!$A$54:$A$63,0)),"")</f>
        <v/>
      </c>
      <c r="C40" s="35">
        <f>SUMIFS(부채변동표!$O$5:$O$20000,부채변동표!$L$5:$L$20000,설정!$C$20,부채변동표!$C$5:$C$20000,$A40,부채변동표!$P$5:$P$20000,"F31")</f>
        <v/>
      </c>
      <c r="D40" s="40">
        <f>IF(B40="PAA",0,SUMIFS($I$20:$I$31,$A$20:$A$31,$A40,$D$20:$D$31,"신계약비"))</f>
        <v/>
      </c>
      <c r="E40" s="40">
        <f>C40-D40</f>
        <v/>
      </c>
      <c r="F40" s="22">
        <f>IF(B40="PAA","해당없음 (CSM 없음)",IF(ABS(E40)&lt;0.5,"일치","차이 확인"))</f>
        <v/>
      </c>
      <c r="L40" s="26">
        <f>IF(변동분석!$A40="","",변동분석!$E40)</f>
        <v/>
      </c>
      <c r="M40" s="35">
        <f>IF(L40="",0,SUMIFS(전표_원본!$Z$5:$Z$100000,전표_원본!$O$5:$O$100000,L40,전표_원본!$M$5:$M$100000,설정!$C$20))</f>
        <v/>
      </c>
      <c r="N40" s="35">
        <f>IF(L40="",0,SUMIFS(전표_원본!$Z$5:$Z$100000,전표_원본!$O$5:$O$100000,L40,전표_원본!$M$5:$M$100000,설정!$C$20-1))</f>
        <v/>
      </c>
      <c r="O40" s="40">
        <f>M40-N40</f>
        <v/>
      </c>
      <c r="P40" s="41">
        <f>IF(L40="","",O40+ROW()/1000000)</f>
        <v/>
      </c>
    </row>
    <row r="41">
      <c r="A41" s="12" t="inlineStr">
        <is>
          <t>PF03</t>
        </is>
      </c>
      <c r="B41" s="34">
        <f>IFERROR(INDEX(계정대체기준!$C$54:$C$63,MATCH($A41,계정대체기준!$A$54:$A$63,0)),"")</f>
        <v/>
      </c>
      <c r="C41" s="35">
        <f>SUMIFS(부채변동표!$O$5:$O$20000,부채변동표!$L$5:$L$20000,설정!$C$20,부채변동표!$C$5:$C$20000,$A41,부채변동표!$P$5:$P$20000,"F31")</f>
        <v/>
      </c>
      <c r="D41" s="40">
        <f>IF(B41="PAA",0,SUMIFS($I$20:$I$31,$A$20:$A$31,$A41,$D$20:$D$31,"신계약비"))</f>
        <v/>
      </c>
      <c r="E41" s="40">
        <f>C41-D41</f>
        <v/>
      </c>
      <c r="F41" s="22">
        <f>IF(B41="PAA","해당없음 (CSM 없음)",IF(ABS(E41)&lt;0.5,"일치","차이 확인"))</f>
        <v/>
      </c>
      <c r="L41" s="26">
        <f>IF(변동분석!$A41="","",변동분석!$E41)</f>
        <v/>
      </c>
      <c r="M41" s="35">
        <f>IF(L41="",0,SUMIFS(전표_원본!$Z$5:$Z$100000,전표_원본!$O$5:$O$100000,L41,전표_원본!$M$5:$M$100000,설정!$C$20))</f>
        <v/>
      </c>
      <c r="N41" s="35">
        <f>IF(L41="",0,SUMIFS(전표_원본!$Z$5:$Z$100000,전표_원본!$O$5:$O$100000,L41,전표_원본!$M$5:$M$100000,설정!$C$20-1))</f>
        <v/>
      </c>
      <c r="O41" s="40">
        <f>M41-N41</f>
        <v/>
      </c>
      <c r="P41" s="41">
        <f>IF(L41="","",O41+ROW()/1000000)</f>
        <v/>
      </c>
    </row>
    <row r="42">
      <c r="A42" s="12" t="inlineStr">
        <is>
          <t>PF04</t>
        </is>
      </c>
      <c r="B42" s="34">
        <f>IFERROR(INDEX(계정대체기준!$C$54:$C$63,MATCH($A42,계정대체기준!$A$54:$A$63,0)),"")</f>
        <v/>
      </c>
      <c r="C42" s="35">
        <f>SUMIFS(부채변동표!$O$5:$O$20000,부채변동표!$L$5:$L$20000,설정!$C$20,부채변동표!$C$5:$C$20000,$A42,부채변동표!$P$5:$P$20000,"F31")</f>
        <v/>
      </c>
      <c r="D42" s="40">
        <f>IF(B42="PAA",0,SUMIFS($I$20:$I$31,$A$20:$A$31,$A42,$D$20:$D$31,"신계약비"))</f>
        <v/>
      </c>
      <c r="E42" s="40">
        <f>C42-D42</f>
        <v/>
      </c>
      <c r="F42" s="22">
        <f>IF(B42="PAA","해당없음 (CSM 없음)",IF(ABS(E42)&lt;0.5,"일치","차이 확인"))</f>
        <v/>
      </c>
      <c r="L42" s="26">
        <f>IF(변동분석!$A42="","",변동분석!$E42)</f>
        <v/>
      </c>
      <c r="M42" s="35">
        <f>IF(L42="",0,SUMIFS(전표_원본!$Z$5:$Z$100000,전표_원본!$O$5:$O$100000,L42,전표_원본!$M$5:$M$100000,설정!$C$20))</f>
        <v/>
      </c>
      <c r="N42" s="35">
        <f>IF(L42="",0,SUMIFS(전표_원본!$Z$5:$Z$100000,전표_원본!$O$5:$O$100000,L42,전표_원본!$M$5:$M$100000,설정!$C$20-1))</f>
        <v/>
      </c>
      <c r="O42" s="40">
        <f>M42-N42</f>
        <v/>
      </c>
      <c r="P42" s="41">
        <f>IF(L42="","",O42+ROW()/1000000)</f>
        <v/>
      </c>
    </row>
    <row r="43">
      <c r="L43" s="26">
        <f>IF(변동분석!$A43="","",변동분석!$E43)</f>
        <v/>
      </c>
      <c r="M43" s="35">
        <f>IF(L43="",0,SUMIFS(전표_원본!$Z$5:$Z$100000,전표_원본!$O$5:$O$100000,L43,전표_원본!$M$5:$M$100000,설정!$C$20))</f>
        <v/>
      </c>
      <c r="N43" s="35">
        <f>IF(L43="",0,SUMIFS(전표_원본!$Z$5:$Z$100000,전표_원본!$O$5:$O$100000,L43,전표_원본!$M$5:$M$100000,설정!$C$20-1))</f>
        <v/>
      </c>
      <c r="O43" s="40">
        <f>M43-N43</f>
        <v/>
      </c>
      <c r="P43" s="41">
        <f>IF(L43="","",O43+ROW()/1000000)</f>
        <v/>
      </c>
    </row>
    <row r="44">
      <c r="A44" s="3" t="inlineStr">
        <is>
          <t>4. GMM 변동 브리지 (보장성 + 저축성, 당월)</t>
        </is>
      </c>
      <c r="L44" s="26">
        <f>IF(변동분석!$A44="","",변동분석!$E44)</f>
        <v/>
      </c>
      <c r="M44" s="35">
        <f>IF(L44="",0,SUMIFS(전표_원본!$Z$5:$Z$100000,전표_원본!$O$5:$O$100000,L44,전표_원본!$M$5:$M$100000,설정!$C$20))</f>
        <v/>
      </c>
      <c r="N44" s="35">
        <f>IF(L44="",0,SUMIFS(전표_원본!$Z$5:$Z$100000,전표_원본!$O$5:$O$100000,L44,전표_원본!$M$5:$M$100000,설정!$C$20-1))</f>
        <v/>
      </c>
      <c r="O44" s="40">
        <f>M44-N44</f>
        <v/>
      </c>
      <c r="P44" s="41">
        <f>IF(L44="","",O44+ROW()/1000000)</f>
        <v/>
      </c>
    </row>
    <row r="45" ht="20" customHeight="1">
      <c r="A45" s="4" t="inlineStr">
        <is>
          <t>요인코드</t>
        </is>
      </c>
      <c r="B45" s="4" t="inlineStr">
        <is>
          <t>변동요인</t>
        </is>
      </c>
      <c r="C45" s="4" t="inlineStr">
        <is>
          <t>BEL</t>
        </is>
      </c>
      <c r="D45" s="4" t="inlineStr">
        <is>
          <t>RA</t>
        </is>
      </c>
      <c r="E45" s="4" t="inlineStr">
        <is>
          <t>CSM</t>
        </is>
      </c>
      <c r="F45" s="4" t="inlineStr">
        <is>
          <t>사업비 관련</t>
        </is>
      </c>
      <c r="L45" s="26">
        <f>IF(변동분석!$A45="","",변동분석!$E45)</f>
        <v/>
      </c>
      <c r="M45" s="35">
        <f>IF(L45="",0,SUMIFS(전표_원본!$Z$5:$Z$100000,전표_원본!$O$5:$O$100000,L45,전표_원본!$M$5:$M$100000,설정!$C$20))</f>
        <v/>
      </c>
      <c r="N45" s="35">
        <f>IF(L45="",0,SUMIFS(전표_원본!$Z$5:$Z$100000,전표_원본!$O$5:$O$100000,L45,전표_원본!$M$5:$M$100000,설정!$C$20-1))</f>
        <v/>
      </c>
      <c r="O45" s="40">
        <f>M45-N45</f>
        <v/>
      </c>
      <c r="P45" s="41">
        <f>IF(L45="","",O45+ROW()/1000000)</f>
        <v/>
      </c>
    </row>
    <row r="46">
      <c r="A46" s="50" t="inlineStr">
        <is>
          <t>F00</t>
        </is>
      </c>
      <c r="B46" s="43" t="inlineStr">
        <is>
          <t>기초잔액</t>
        </is>
      </c>
      <c r="C46" s="51">
        <f>SUMIFS(부채변동표!$M$5:$M$20000,부채변동표!$L$5:$L$20000,설정!$C$20,부채변동표!$P$5:$P$20000,$A46,부채변동표!$E$5:$E$20000,"GMM")</f>
        <v/>
      </c>
      <c r="D46" s="51">
        <f>SUMIFS(부채변동표!$N$5:$N$20000,부채변동표!$L$5:$L$20000,설정!$C$20,부채변동표!$P$5:$P$20000,$A46,부채변동표!$E$5:$E$20000,"GMM")</f>
        <v/>
      </c>
      <c r="E46" s="51">
        <f>SUMIFS(부채변동표!$O$5:$O$20000,부채변동표!$L$5:$L$20000,설정!$C$20,부채변동표!$P$5:$P$20000,$A46,부채변동표!$E$5:$E$20000,"GMM")</f>
        <v/>
      </c>
      <c r="F46" s="5" t="n"/>
      <c r="L46" s="26">
        <f>IF(변동분석!$A46="","",변동분석!$E46)</f>
        <v/>
      </c>
      <c r="M46" s="35">
        <f>IF(L46="",0,SUMIFS(전표_원본!$Z$5:$Z$100000,전표_원본!$O$5:$O$100000,L46,전표_원본!$M$5:$M$100000,설정!$C$20))</f>
        <v/>
      </c>
      <c r="N46" s="35">
        <f>IF(L46="",0,SUMIFS(전표_원본!$Z$5:$Z$100000,전표_원본!$O$5:$O$100000,L46,전표_원본!$M$5:$M$100000,설정!$C$20-1))</f>
        <v/>
      </c>
      <c r="O46" s="40">
        <f>M46-N46</f>
        <v/>
      </c>
      <c r="P46" s="41">
        <f>IF(L46="","",O46+ROW()/1000000)</f>
        <v/>
      </c>
    </row>
    <row r="47">
      <c r="A47" s="22" t="inlineStr">
        <is>
          <t>F10</t>
        </is>
      </c>
      <c r="B47" s="8" t="inlineStr">
        <is>
          <t>신계약 효과</t>
        </is>
      </c>
      <c r="C47" s="52">
        <f>SUMIFS(부채변동표!$M$5:$M$20000,부채변동표!$L$5:$L$20000,설정!$C$20,부채변동표!$P$5:$P$20000,$A47,부채변동표!$E$5:$E$20000,"GMM")</f>
        <v/>
      </c>
      <c r="D47" s="52">
        <f>SUMIFS(부채변동표!$N$5:$N$20000,부채변동표!$L$5:$L$20000,설정!$C$20,부채변동표!$P$5:$P$20000,$A47,부채변동표!$E$5:$E$20000,"GMM")</f>
        <v/>
      </c>
      <c r="E47" s="52">
        <f>SUMIFS(부채변동표!$O$5:$O$20000,부채변동표!$L$5:$L$20000,설정!$C$20,부채변동표!$P$5:$P$20000,$A47,부채변동표!$E$5:$E$20000,"GMM")</f>
        <v/>
      </c>
      <c r="F47" s="5" t="n"/>
      <c r="L47" s="26">
        <f>IF(변동분석!$A47="","",변동분석!$E47)</f>
        <v/>
      </c>
      <c r="M47" s="35">
        <f>IF(L47="",0,SUMIFS(전표_원본!$Z$5:$Z$100000,전표_원본!$O$5:$O$100000,L47,전표_원본!$M$5:$M$100000,설정!$C$20))</f>
        <v/>
      </c>
      <c r="N47" s="35">
        <f>IF(L47="",0,SUMIFS(전표_원본!$Z$5:$Z$100000,전표_원본!$O$5:$O$100000,L47,전표_원본!$M$5:$M$100000,설정!$C$20-1))</f>
        <v/>
      </c>
      <c r="O47" s="40">
        <f>M47-N47</f>
        <v/>
      </c>
      <c r="P47" s="41">
        <f>IF(L47="","",O47+ROW()/1000000)</f>
        <v/>
      </c>
    </row>
    <row r="48">
      <c r="A48" s="22" t="inlineStr">
        <is>
          <t>F21</t>
        </is>
      </c>
      <c r="B48" s="8" t="inlineStr">
        <is>
          <t>가정변경-사업비</t>
        </is>
      </c>
      <c r="C48" s="52">
        <f>SUMIFS(부채변동표!$M$5:$M$20000,부채변동표!$L$5:$L$20000,설정!$C$20,부채변동표!$P$5:$P$20000,$A48,부채변동표!$E$5:$E$20000,"GMM")</f>
        <v/>
      </c>
      <c r="D48" s="52">
        <f>SUMIFS(부채변동표!$N$5:$N$20000,부채변동표!$L$5:$L$20000,설정!$C$20,부채변동표!$P$5:$P$20000,$A48,부채변동표!$E$5:$E$20000,"GMM")</f>
        <v/>
      </c>
      <c r="E48" s="52">
        <f>SUMIFS(부채변동표!$O$5:$O$20000,부채변동표!$L$5:$L$20000,설정!$C$20,부채변동표!$P$5:$P$20000,$A48,부채변동표!$E$5:$E$20000,"GMM")</f>
        <v/>
      </c>
      <c r="F48" s="5" t="inlineStr">
        <is>
          <t>사업비</t>
        </is>
      </c>
      <c r="L48" s="26">
        <f>IF(변동분석!$A48="","",변동분석!$E48)</f>
        <v/>
      </c>
      <c r="M48" s="35">
        <f>IF(L48="",0,SUMIFS(전표_원본!$Z$5:$Z$100000,전표_원본!$O$5:$O$100000,L48,전표_원본!$M$5:$M$100000,설정!$C$20))</f>
        <v/>
      </c>
      <c r="N48" s="35">
        <f>IF(L48="",0,SUMIFS(전표_원본!$Z$5:$Z$100000,전표_원본!$O$5:$O$100000,L48,전표_원본!$M$5:$M$100000,설정!$C$20-1))</f>
        <v/>
      </c>
      <c r="O48" s="40">
        <f>M48-N48</f>
        <v/>
      </c>
      <c r="P48" s="41">
        <f>IF(L48="","",O48+ROW()/1000000)</f>
        <v/>
      </c>
    </row>
    <row r="49">
      <c r="A49" s="22" t="inlineStr">
        <is>
          <t>F22</t>
        </is>
      </c>
      <c r="B49" s="8" t="inlineStr">
        <is>
          <t>가정변경-기타</t>
        </is>
      </c>
      <c r="C49" s="52">
        <f>SUMIFS(부채변동표!$M$5:$M$20000,부채변동표!$L$5:$L$20000,설정!$C$20,부채변동표!$P$5:$P$20000,$A49,부채변동표!$E$5:$E$20000,"GMM")</f>
        <v/>
      </c>
      <c r="D49" s="52">
        <f>SUMIFS(부채변동표!$N$5:$N$20000,부채변동표!$L$5:$L$20000,설정!$C$20,부채변동표!$P$5:$P$20000,$A49,부채변동표!$E$5:$E$20000,"GMM")</f>
        <v/>
      </c>
      <c r="E49" s="52">
        <f>SUMIFS(부채변동표!$O$5:$O$20000,부채변동표!$L$5:$L$20000,설정!$C$20,부채변동표!$P$5:$P$20000,$A49,부채변동표!$E$5:$E$20000,"GMM")</f>
        <v/>
      </c>
      <c r="F49" s="5" t="n"/>
      <c r="L49" s="26">
        <f>IF(변동분석!$A49="","",변동분석!$E49)</f>
        <v/>
      </c>
      <c r="M49" s="35">
        <f>IF(L49="",0,SUMIFS(전표_원본!$Z$5:$Z$100000,전표_원본!$O$5:$O$100000,L49,전표_원본!$M$5:$M$100000,설정!$C$20))</f>
        <v/>
      </c>
      <c r="N49" s="35">
        <f>IF(L49="",0,SUMIFS(전표_원본!$Z$5:$Z$100000,전표_원본!$O$5:$O$100000,L49,전표_원본!$M$5:$M$100000,설정!$C$20-1))</f>
        <v/>
      </c>
      <c r="O49" s="40">
        <f>M49-N49</f>
        <v/>
      </c>
      <c r="P49" s="41">
        <f>IF(L49="","",O49+ROW()/1000000)</f>
        <v/>
      </c>
    </row>
    <row r="50">
      <c r="A50" s="22" t="inlineStr">
        <is>
          <t>F31</t>
        </is>
      </c>
      <c r="B50" s="8" t="inlineStr">
        <is>
          <t>경험조정-취득현금흐름</t>
        </is>
      </c>
      <c r="C50" s="52">
        <f>SUMIFS(부채변동표!$M$5:$M$20000,부채변동표!$L$5:$L$20000,설정!$C$20,부채변동표!$P$5:$P$20000,$A50,부채변동표!$E$5:$E$20000,"GMM")</f>
        <v/>
      </c>
      <c r="D50" s="52">
        <f>SUMIFS(부채변동표!$N$5:$N$20000,부채변동표!$L$5:$L$20000,설정!$C$20,부채변동표!$P$5:$P$20000,$A50,부채변동표!$E$5:$E$20000,"GMM")</f>
        <v/>
      </c>
      <c r="E50" s="52">
        <f>SUMIFS(부채변동표!$O$5:$O$20000,부채변동표!$L$5:$L$20000,설정!$C$20,부채변동표!$P$5:$P$20000,$A50,부채변동표!$E$5:$E$20000,"GMM")</f>
        <v/>
      </c>
      <c r="F50" s="5" t="inlineStr">
        <is>
          <t>사업비</t>
        </is>
      </c>
      <c r="L50" s="26">
        <f>IF(변동분석!$A50="","",변동분석!$E50)</f>
        <v/>
      </c>
      <c r="M50" s="35">
        <f>IF(L50="",0,SUMIFS(전표_원본!$Z$5:$Z$100000,전표_원본!$O$5:$O$100000,L50,전표_원본!$M$5:$M$100000,설정!$C$20))</f>
        <v/>
      </c>
      <c r="N50" s="35">
        <f>IF(L50="",0,SUMIFS(전표_원본!$Z$5:$Z$100000,전표_원본!$O$5:$O$100000,L50,전표_원본!$M$5:$M$100000,설정!$C$20-1))</f>
        <v/>
      </c>
      <c r="O50" s="40">
        <f>M50-N50</f>
        <v/>
      </c>
      <c r="P50" s="41">
        <f>IF(L50="","",O50+ROW()/1000000)</f>
        <v/>
      </c>
    </row>
    <row r="51">
      <c r="A51" s="22" t="inlineStr">
        <is>
          <t>F32</t>
        </is>
      </c>
      <c r="B51" s="8" t="inlineStr">
        <is>
          <t>경험조정-보험료 등</t>
        </is>
      </c>
      <c r="C51" s="52">
        <f>SUMIFS(부채변동표!$M$5:$M$20000,부채변동표!$L$5:$L$20000,설정!$C$20,부채변동표!$P$5:$P$20000,$A51,부채변동표!$E$5:$E$20000,"GMM")</f>
        <v/>
      </c>
      <c r="D51" s="52">
        <f>SUMIFS(부채변동표!$N$5:$N$20000,부채변동표!$L$5:$L$20000,설정!$C$20,부채변동표!$P$5:$P$20000,$A51,부채변동표!$E$5:$E$20000,"GMM")</f>
        <v/>
      </c>
      <c r="E51" s="52">
        <f>SUMIFS(부채변동표!$O$5:$O$20000,부채변동표!$L$5:$L$20000,설정!$C$20,부채변동표!$P$5:$P$20000,$A51,부채변동표!$E$5:$E$20000,"GMM")</f>
        <v/>
      </c>
      <c r="F51" s="5" t="n"/>
      <c r="L51" s="26">
        <f>IF(변동분석!$A51="","",변동분석!$E51)</f>
        <v/>
      </c>
      <c r="M51" s="35">
        <f>IF(L51="",0,SUMIFS(전표_원본!$Z$5:$Z$100000,전표_원본!$O$5:$O$100000,L51,전표_원본!$M$5:$M$100000,설정!$C$20))</f>
        <v/>
      </c>
      <c r="N51" s="35">
        <f>IF(L51="",0,SUMIFS(전표_원본!$Z$5:$Z$100000,전표_원본!$O$5:$O$100000,L51,전표_원본!$M$5:$M$100000,설정!$C$20-1))</f>
        <v/>
      </c>
      <c r="O51" s="40">
        <f>M51-N51</f>
        <v/>
      </c>
      <c r="P51" s="41">
        <f>IF(L51="","",O51+ROW()/1000000)</f>
        <v/>
      </c>
    </row>
    <row r="52">
      <c r="A52" s="22" t="inlineStr">
        <is>
          <t>F40</t>
        </is>
      </c>
      <c r="B52" s="8" t="inlineStr">
        <is>
          <t>보험금융비용(이자부리)</t>
        </is>
      </c>
      <c r="C52" s="52">
        <f>SUMIFS(부채변동표!$M$5:$M$20000,부채변동표!$L$5:$L$20000,설정!$C$20,부채변동표!$P$5:$P$20000,$A52,부채변동표!$E$5:$E$20000,"GMM")</f>
        <v/>
      </c>
      <c r="D52" s="52">
        <f>SUMIFS(부채변동표!$N$5:$N$20000,부채변동표!$L$5:$L$20000,설정!$C$20,부채변동표!$P$5:$P$20000,$A52,부채변동표!$E$5:$E$20000,"GMM")</f>
        <v/>
      </c>
      <c r="E52" s="52">
        <f>SUMIFS(부채변동표!$O$5:$O$20000,부채변동표!$L$5:$L$20000,설정!$C$20,부채변동표!$P$5:$P$20000,$A52,부채변동표!$E$5:$E$20000,"GMM")</f>
        <v/>
      </c>
      <c r="F52" s="5" t="n"/>
      <c r="L52" s="26">
        <f>IF(변동분석!$A52="","",변동분석!$E52)</f>
        <v/>
      </c>
      <c r="M52" s="35">
        <f>IF(L52="",0,SUMIFS(전표_원본!$Z$5:$Z$100000,전표_원본!$O$5:$O$100000,L52,전표_원본!$M$5:$M$100000,설정!$C$20))</f>
        <v/>
      </c>
      <c r="N52" s="35">
        <f>IF(L52="",0,SUMIFS(전표_원본!$Z$5:$Z$100000,전표_원본!$O$5:$O$100000,L52,전표_원본!$M$5:$M$100000,설정!$C$20-1))</f>
        <v/>
      </c>
      <c r="O52" s="40">
        <f>M52-N52</f>
        <v/>
      </c>
      <c r="P52" s="41">
        <f>IF(L52="","",O52+ROW()/1000000)</f>
        <v/>
      </c>
    </row>
    <row r="53">
      <c r="A53" s="22" t="inlineStr">
        <is>
          <t>F51</t>
        </is>
      </c>
      <c r="B53" s="8" t="inlineStr">
        <is>
          <t>CSM 상각</t>
        </is>
      </c>
      <c r="C53" s="52">
        <f>SUMIFS(부채변동표!$M$5:$M$20000,부채변동표!$L$5:$L$20000,설정!$C$20,부채변동표!$P$5:$P$20000,$A53,부채변동표!$E$5:$E$20000,"GMM")</f>
        <v/>
      </c>
      <c r="D53" s="52">
        <f>SUMIFS(부채변동표!$N$5:$N$20000,부채변동표!$L$5:$L$20000,설정!$C$20,부채변동표!$P$5:$P$20000,$A53,부채변동표!$E$5:$E$20000,"GMM")</f>
        <v/>
      </c>
      <c r="E53" s="52">
        <f>SUMIFS(부채변동표!$O$5:$O$20000,부채변동표!$L$5:$L$20000,설정!$C$20,부채변동표!$P$5:$P$20000,$A53,부채변동표!$E$5:$E$20000,"GMM")</f>
        <v/>
      </c>
      <c r="F53" s="5" t="n"/>
      <c r="L53" s="26">
        <f>IF(변동분석!$A53="","",변동분석!$E53)</f>
        <v/>
      </c>
      <c r="M53" s="35">
        <f>IF(L53="",0,SUMIFS(전표_원본!$Z$5:$Z$100000,전표_원본!$O$5:$O$100000,L53,전표_원본!$M$5:$M$100000,설정!$C$20))</f>
        <v/>
      </c>
      <c r="N53" s="35">
        <f>IF(L53="",0,SUMIFS(전표_원본!$Z$5:$Z$100000,전표_원본!$O$5:$O$100000,L53,전표_원본!$M$5:$M$100000,설정!$C$20-1))</f>
        <v/>
      </c>
      <c r="O53" s="40">
        <f>M53-N53</f>
        <v/>
      </c>
      <c r="P53" s="41">
        <f>IF(L53="","",O53+ROW()/1000000)</f>
        <v/>
      </c>
    </row>
    <row r="54">
      <c r="A54" s="22" t="inlineStr">
        <is>
          <t>F52</t>
        </is>
      </c>
      <c r="B54" s="8" t="inlineStr">
        <is>
          <t>RA 해제</t>
        </is>
      </c>
      <c r="C54" s="52">
        <f>SUMIFS(부채변동표!$M$5:$M$20000,부채변동표!$L$5:$L$20000,설정!$C$20,부채변동표!$P$5:$P$20000,$A54,부채변동표!$E$5:$E$20000,"GMM")</f>
        <v/>
      </c>
      <c r="D54" s="52">
        <f>SUMIFS(부채변동표!$N$5:$N$20000,부채변동표!$L$5:$L$20000,설정!$C$20,부채변동표!$P$5:$P$20000,$A54,부채변동표!$E$5:$E$20000,"GMM")</f>
        <v/>
      </c>
      <c r="E54" s="52">
        <f>SUMIFS(부채변동표!$O$5:$O$20000,부채변동표!$L$5:$L$20000,설정!$C$20,부채변동표!$P$5:$P$20000,$A54,부채변동표!$E$5:$E$20000,"GMM")</f>
        <v/>
      </c>
      <c r="F54" s="5" t="n"/>
      <c r="L54" s="26">
        <f>IF(변동분석!$A54="","",변동분석!$E54)</f>
        <v/>
      </c>
      <c r="M54" s="35">
        <f>IF(L54="",0,SUMIFS(전표_원본!$Z$5:$Z$100000,전표_원본!$O$5:$O$100000,L54,전표_원본!$M$5:$M$100000,설정!$C$20))</f>
        <v/>
      </c>
      <c r="N54" s="35">
        <f>IF(L54="",0,SUMIFS(전표_원본!$Z$5:$Z$100000,전표_원본!$O$5:$O$100000,L54,전표_원본!$M$5:$M$100000,설정!$C$20-1))</f>
        <v/>
      </c>
      <c r="O54" s="40">
        <f>M54-N54</f>
        <v/>
      </c>
      <c r="P54" s="41">
        <f>IF(L54="","",O54+ROW()/1000000)</f>
        <v/>
      </c>
    </row>
    <row r="55">
      <c r="A55" s="22" t="inlineStr">
        <is>
          <t>F60</t>
        </is>
      </c>
      <c r="B55" s="8" t="inlineStr">
        <is>
          <t>현금흐름 및 기타</t>
        </is>
      </c>
      <c r="C55" s="52">
        <f>SUMIFS(부채변동표!$M$5:$M$20000,부채변동표!$L$5:$L$20000,설정!$C$20,부채변동표!$P$5:$P$20000,$A55,부채변동표!$E$5:$E$20000,"GMM")</f>
        <v/>
      </c>
      <c r="D55" s="52">
        <f>SUMIFS(부채변동표!$N$5:$N$20000,부채변동표!$L$5:$L$20000,설정!$C$20,부채변동표!$P$5:$P$20000,$A55,부채변동표!$E$5:$E$20000,"GMM")</f>
        <v/>
      </c>
      <c r="E55" s="52">
        <f>SUMIFS(부채변동표!$O$5:$O$20000,부채변동표!$L$5:$L$20000,설정!$C$20,부채변동표!$P$5:$P$20000,$A55,부채변동표!$E$5:$E$20000,"GMM")</f>
        <v/>
      </c>
      <c r="F55" s="5" t="n"/>
      <c r="L55" s="26">
        <f>IF(변동분석!$A55="","",변동분석!$E55)</f>
        <v/>
      </c>
      <c r="M55" s="35">
        <f>IF(L55="",0,SUMIFS(전표_원본!$Z$5:$Z$100000,전표_원본!$O$5:$O$100000,L55,전표_원본!$M$5:$M$100000,설정!$C$20))</f>
        <v/>
      </c>
      <c r="N55" s="35">
        <f>IF(L55="",0,SUMIFS(전표_원본!$Z$5:$Z$100000,전표_원본!$O$5:$O$100000,L55,전표_원본!$M$5:$M$100000,설정!$C$20-1))</f>
        <v/>
      </c>
      <c r="O55" s="40">
        <f>M55-N55</f>
        <v/>
      </c>
      <c r="P55" s="41">
        <f>IF(L55="","",O55+ROW()/1000000)</f>
        <v/>
      </c>
    </row>
    <row r="56">
      <c r="A56" s="50" t="inlineStr">
        <is>
          <t>F99</t>
        </is>
      </c>
      <c r="B56" s="43" t="inlineStr">
        <is>
          <t>기말잔액</t>
        </is>
      </c>
      <c r="C56" s="51">
        <f>SUMIFS(부채변동표!$M$5:$M$20000,부채변동표!$L$5:$L$20000,설정!$C$20,부채변동표!$P$5:$P$20000,$A56,부채변동표!$E$5:$E$20000,"GMM")</f>
        <v/>
      </c>
      <c r="D56" s="51">
        <f>SUMIFS(부채변동표!$N$5:$N$20000,부채변동표!$L$5:$L$20000,설정!$C$20,부채변동표!$P$5:$P$20000,$A56,부채변동표!$E$5:$E$20000,"GMM")</f>
        <v/>
      </c>
      <c r="E56" s="51">
        <f>SUMIFS(부채변동표!$O$5:$O$20000,부채변동표!$L$5:$L$20000,설정!$C$20,부채변동표!$P$5:$P$20000,$A56,부채변동표!$E$5:$E$20000,"GMM")</f>
        <v/>
      </c>
      <c r="F56" s="5" t="n"/>
      <c r="L56" s="26">
        <f>IF(변동분석!$A56="","",변동분석!$E56)</f>
        <v/>
      </c>
      <c r="M56" s="35">
        <f>IF(L56="",0,SUMIFS(전표_원본!$Z$5:$Z$100000,전표_원본!$O$5:$O$100000,L56,전표_원본!$M$5:$M$100000,설정!$C$20))</f>
        <v/>
      </c>
      <c r="N56" s="35">
        <f>IF(L56="",0,SUMIFS(전표_원본!$Z$5:$Z$100000,전표_원본!$O$5:$O$100000,L56,전표_원본!$M$5:$M$100000,설정!$C$20-1))</f>
        <v/>
      </c>
      <c r="O56" s="40">
        <f>M56-N56</f>
        <v/>
      </c>
      <c r="P56" s="41">
        <f>IF(L56="","",O56+ROW()/1000000)</f>
        <v/>
      </c>
    </row>
    <row r="57">
      <c r="B57" s="10" t="inlineStr">
        <is>
          <t>CSM 당월 변동 (기말 − 기초)</t>
        </is>
      </c>
      <c r="E57" s="53">
        <f>E56-E46</f>
        <v/>
      </c>
      <c r="L57" s="26">
        <f>IF(변동분석!$A57="","",변동분석!$E57)</f>
        <v/>
      </c>
      <c r="M57" s="35">
        <f>IF(L57="",0,SUMIFS(전표_원본!$Z$5:$Z$100000,전표_원본!$O$5:$O$100000,L57,전표_원본!$M$5:$M$100000,설정!$C$20))</f>
        <v/>
      </c>
      <c r="N57" s="35">
        <f>IF(L57="",0,SUMIFS(전표_원본!$Z$5:$Z$100000,전표_원본!$O$5:$O$100000,L57,전표_원본!$M$5:$M$100000,설정!$C$20-1))</f>
        <v/>
      </c>
      <c r="O57" s="40">
        <f>M57-N57</f>
        <v/>
      </c>
      <c r="P57" s="41">
        <f>IF(L57="","",O57+ROW()/1000000)</f>
        <v/>
      </c>
    </row>
    <row r="58">
      <c r="B58" s="10" t="inlineStr">
        <is>
          <t>그중 사업비 관련 (F21 + F31)</t>
        </is>
      </c>
      <c r="E58" s="53">
        <f>E48+E50</f>
        <v/>
      </c>
      <c r="L58" s="26">
        <f>IF(변동분석!$A58="","",변동분석!$E58)</f>
        <v/>
      </c>
      <c r="M58" s="35">
        <f>IF(L58="",0,SUMIFS(전표_원본!$Z$5:$Z$100000,전표_원본!$O$5:$O$100000,L58,전표_원본!$M$5:$M$100000,설정!$C$20))</f>
        <v/>
      </c>
      <c r="N58" s="35">
        <f>IF(L58="",0,SUMIFS(전표_원본!$Z$5:$Z$100000,전표_원본!$O$5:$O$100000,L58,전표_원본!$M$5:$M$100000,설정!$C$20-1))</f>
        <v/>
      </c>
      <c r="O58" s="40">
        <f>M58-N58</f>
        <v/>
      </c>
      <c r="P58" s="41">
        <f>IF(L58="","",O58+ROW()/1000000)</f>
        <v/>
      </c>
    </row>
    <row r="59">
      <c r="L59" s="26">
        <f>IF(변동분석!$A59="","",변동분석!$E59)</f>
        <v/>
      </c>
      <c r="M59" s="35">
        <f>IF(L59="",0,SUMIFS(전표_원본!$Z$5:$Z$100000,전표_원본!$O$5:$O$100000,L59,전표_원본!$M$5:$M$100000,설정!$C$20))</f>
        <v/>
      </c>
      <c r="N59" s="35">
        <f>IF(L59="",0,SUMIFS(전표_원본!$Z$5:$Z$100000,전표_원본!$O$5:$O$100000,L59,전표_원본!$M$5:$M$100000,설정!$C$20-1))</f>
        <v/>
      </c>
      <c r="O59" s="40">
        <f>M59-N59</f>
        <v/>
      </c>
      <c r="P59" s="41">
        <f>IF(L59="","",O59+ROW()/1000000)</f>
        <v/>
      </c>
    </row>
    <row r="60">
      <c r="L60" s="26">
        <f>IF(변동분석!$A60="","",변동분석!$E60)</f>
        <v/>
      </c>
      <c r="M60" s="35">
        <f>IF(L60="",0,SUMIFS(전표_원본!$Z$5:$Z$100000,전표_원본!$O$5:$O$100000,L60,전표_원본!$M$5:$M$100000,설정!$C$20))</f>
        <v/>
      </c>
      <c r="N60" s="35">
        <f>IF(L60="",0,SUMIFS(전표_원본!$Z$5:$Z$100000,전표_원본!$O$5:$O$100000,L60,전표_원본!$M$5:$M$100000,설정!$C$20-1))</f>
        <v/>
      </c>
      <c r="O60" s="40">
        <f>M60-N60</f>
        <v/>
      </c>
      <c r="P60" s="41">
        <f>IF(L60="","",O60+ROW()/1000000)</f>
        <v/>
      </c>
    </row>
    <row r="61">
      <c r="A61" s="3" t="inlineStr">
        <is>
          <t>4-2. VFA 변동 브리지 (변액, 당월)</t>
        </is>
      </c>
      <c r="L61" s="26">
        <f>IF(변동분석!$A61="","",변동분석!$E61)</f>
        <v/>
      </c>
      <c r="M61" s="35">
        <f>IF(L61="",0,SUMIFS(전표_원본!$Z$5:$Z$100000,전표_원본!$O$5:$O$100000,L61,전표_원본!$M$5:$M$100000,설정!$C$20))</f>
        <v/>
      </c>
      <c r="N61" s="35">
        <f>IF(L61="",0,SUMIFS(전표_원본!$Z$5:$Z$100000,전표_원본!$O$5:$O$100000,L61,전표_원본!$M$5:$M$100000,설정!$C$20-1))</f>
        <v/>
      </c>
      <c r="O61" s="40">
        <f>M61-N61</f>
        <v/>
      </c>
      <c r="P61" s="41">
        <f>IF(L61="","",O61+ROW()/1000000)</f>
        <v/>
      </c>
    </row>
    <row r="62" ht="20" customHeight="1">
      <c r="A62" s="4" t="inlineStr">
        <is>
          <t>요인코드</t>
        </is>
      </c>
      <c r="B62" s="4" t="inlineStr">
        <is>
          <t>변동요인</t>
        </is>
      </c>
      <c r="C62" s="4" t="inlineStr">
        <is>
          <t>BEL</t>
        </is>
      </c>
      <c r="D62" s="4" t="inlineStr">
        <is>
          <t>RA</t>
        </is>
      </c>
      <c r="E62" s="4" t="inlineStr">
        <is>
          <t>CSM</t>
        </is>
      </c>
      <c r="F62" s="4" t="inlineStr">
        <is>
          <t>사업비 관련</t>
        </is>
      </c>
      <c r="L62" s="26">
        <f>IF(변동분석!$A62="","",변동분석!$E62)</f>
        <v/>
      </c>
      <c r="M62" s="35">
        <f>IF(L62="",0,SUMIFS(전표_원본!$Z$5:$Z$100000,전표_원본!$O$5:$O$100000,L62,전표_원본!$M$5:$M$100000,설정!$C$20))</f>
        <v/>
      </c>
      <c r="N62" s="35">
        <f>IF(L62="",0,SUMIFS(전표_원본!$Z$5:$Z$100000,전표_원본!$O$5:$O$100000,L62,전표_원본!$M$5:$M$100000,설정!$C$20-1))</f>
        <v/>
      </c>
      <c r="O62" s="40">
        <f>M62-N62</f>
        <v/>
      </c>
      <c r="P62" s="41">
        <f>IF(L62="","",O62+ROW()/1000000)</f>
        <v/>
      </c>
    </row>
    <row r="63">
      <c r="A63" s="50" t="inlineStr">
        <is>
          <t>F00</t>
        </is>
      </c>
      <c r="B63" s="43" t="inlineStr">
        <is>
          <t>기초잔액</t>
        </is>
      </c>
      <c r="C63" s="51">
        <f>SUMIFS(부채변동표!$M$5:$M$20000,부채변동표!$L$5:$L$20000,설정!$C$20,부채변동표!$P$5:$P$20000,$A63,부채변동표!$E$5:$E$20000,"VFA")</f>
        <v/>
      </c>
      <c r="D63" s="51">
        <f>SUMIFS(부채변동표!$N$5:$N$20000,부채변동표!$L$5:$L$20000,설정!$C$20,부채변동표!$P$5:$P$20000,$A63,부채변동표!$E$5:$E$20000,"VFA")</f>
        <v/>
      </c>
      <c r="E63" s="51">
        <f>SUMIFS(부채변동표!$O$5:$O$20000,부채변동표!$L$5:$L$20000,설정!$C$20,부채변동표!$P$5:$P$20000,$A63,부채변동표!$E$5:$E$20000,"VFA")</f>
        <v/>
      </c>
      <c r="F63" s="5" t="n"/>
      <c r="L63" s="26">
        <f>IF(변동분석!$A63="","",변동분석!$E63)</f>
        <v/>
      </c>
      <c r="M63" s="35">
        <f>IF(L63="",0,SUMIFS(전표_원본!$Z$5:$Z$100000,전표_원본!$O$5:$O$100000,L63,전표_원본!$M$5:$M$100000,설정!$C$20))</f>
        <v/>
      </c>
      <c r="N63" s="35">
        <f>IF(L63="",0,SUMIFS(전표_원본!$Z$5:$Z$100000,전표_원본!$O$5:$O$100000,L63,전표_원본!$M$5:$M$100000,설정!$C$20-1))</f>
        <v/>
      </c>
      <c r="O63" s="40">
        <f>M63-N63</f>
        <v/>
      </c>
      <c r="P63" s="41">
        <f>IF(L63="","",O63+ROW()/1000000)</f>
        <v/>
      </c>
    </row>
    <row r="64">
      <c r="A64" s="22" t="inlineStr">
        <is>
          <t>F10</t>
        </is>
      </c>
      <c r="B64" s="8" t="inlineStr">
        <is>
          <t>신계약 효과</t>
        </is>
      </c>
      <c r="C64" s="52">
        <f>SUMIFS(부채변동표!$M$5:$M$20000,부채변동표!$L$5:$L$20000,설정!$C$20,부채변동표!$P$5:$P$20000,$A64,부채변동표!$E$5:$E$20000,"VFA")</f>
        <v/>
      </c>
      <c r="D64" s="52">
        <f>SUMIFS(부채변동표!$N$5:$N$20000,부채변동표!$L$5:$L$20000,설정!$C$20,부채변동표!$P$5:$P$20000,$A64,부채변동표!$E$5:$E$20000,"VFA")</f>
        <v/>
      </c>
      <c r="E64" s="52">
        <f>SUMIFS(부채변동표!$O$5:$O$20000,부채변동표!$L$5:$L$20000,설정!$C$20,부채변동표!$P$5:$P$20000,$A64,부채변동표!$E$5:$E$20000,"VFA")</f>
        <v/>
      </c>
      <c r="F64" s="5" t="n"/>
      <c r="L64" s="26">
        <f>IF(변동분석!$A64="","",변동분석!$E64)</f>
        <v/>
      </c>
      <c r="M64" s="35">
        <f>IF(L64="",0,SUMIFS(전표_원본!$Z$5:$Z$100000,전표_원본!$O$5:$O$100000,L64,전표_원본!$M$5:$M$100000,설정!$C$20))</f>
        <v/>
      </c>
      <c r="N64" s="35">
        <f>IF(L64="",0,SUMIFS(전표_원본!$Z$5:$Z$100000,전표_원본!$O$5:$O$100000,L64,전표_원본!$M$5:$M$100000,설정!$C$20-1))</f>
        <v/>
      </c>
      <c r="O64" s="40">
        <f>M64-N64</f>
        <v/>
      </c>
      <c r="P64" s="41">
        <f>IF(L64="","",O64+ROW()/1000000)</f>
        <v/>
      </c>
    </row>
    <row r="65">
      <c r="A65" s="22" t="inlineStr">
        <is>
          <t>F21</t>
        </is>
      </c>
      <c r="B65" s="8" t="inlineStr">
        <is>
          <t>가정변경-사업비</t>
        </is>
      </c>
      <c r="C65" s="52">
        <f>SUMIFS(부채변동표!$M$5:$M$20000,부채변동표!$L$5:$L$20000,설정!$C$20,부채변동표!$P$5:$P$20000,$A65,부채변동표!$E$5:$E$20000,"VFA")</f>
        <v/>
      </c>
      <c r="D65" s="52">
        <f>SUMIFS(부채변동표!$N$5:$N$20000,부채변동표!$L$5:$L$20000,설정!$C$20,부채변동표!$P$5:$P$20000,$A65,부채변동표!$E$5:$E$20000,"VFA")</f>
        <v/>
      </c>
      <c r="E65" s="52">
        <f>SUMIFS(부채변동표!$O$5:$O$20000,부채변동표!$L$5:$L$20000,설정!$C$20,부채변동표!$P$5:$P$20000,$A65,부채변동표!$E$5:$E$20000,"VFA")</f>
        <v/>
      </c>
      <c r="F65" s="5" t="inlineStr">
        <is>
          <t>사업비</t>
        </is>
      </c>
      <c r="L65" s="26">
        <f>IF(변동분석!$A65="","",변동분석!$E65)</f>
        <v/>
      </c>
      <c r="M65" s="35">
        <f>IF(L65="",0,SUMIFS(전표_원본!$Z$5:$Z$100000,전표_원본!$O$5:$O$100000,L65,전표_원본!$M$5:$M$100000,설정!$C$20))</f>
        <v/>
      </c>
      <c r="N65" s="35">
        <f>IF(L65="",0,SUMIFS(전표_원본!$Z$5:$Z$100000,전표_원본!$O$5:$O$100000,L65,전표_원본!$M$5:$M$100000,설정!$C$20-1))</f>
        <v/>
      </c>
      <c r="O65" s="40">
        <f>M65-N65</f>
        <v/>
      </c>
      <c r="P65" s="41">
        <f>IF(L65="","",O65+ROW()/1000000)</f>
        <v/>
      </c>
    </row>
    <row r="66">
      <c r="A66" s="22" t="inlineStr">
        <is>
          <t>F22</t>
        </is>
      </c>
      <c r="B66" s="8" t="inlineStr">
        <is>
          <t>가정변경-기타</t>
        </is>
      </c>
      <c r="C66" s="52">
        <f>SUMIFS(부채변동표!$M$5:$M$20000,부채변동표!$L$5:$L$20000,설정!$C$20,부채변동표!$P$5:$P$20000,$A66,부채변동표!$E$5:$E$20000,"VFA")</f>
        <v/>
      </c>
      <c r="D66" s="52">
        <f>SUMIFS(부채변동표!$N$5:$N$20000,부채변동표!$L$5:$L$20000,설정!$C$20,부채변동표!$P$5:$P$20000,$A66,부채변동표!$E$5:$E$20000,"VFA")</f>
        <v/>
      </c>
      <c r="E66" s="52">
        <f>SUMIFS(부채변동표!$O$5:$O$20000,부채변동표!$L$5:$L$20000,설정!$C$20,부채변동표!$P$5:$P$20000,$A66,부채변동표!$E$5:$E$20000,"VFA")</f>
        <v/>
      </c>
      <c r="F66" s="5" t="n"/>
      <c r="L66" s="26">
        <f>IF(변동분석!$A66="","",변동분석!$E66)</f>
        <v/>
      </c>
      <c r="M66" s="35">
        <f>IF(L66="",0,SUMIFS(전표_원본!$Z$5:$Z$100000,전표_원본!$O$5:$O$100000,L66,전표_원본!$M$5:$M$100000,설정!$C$20))</f>
        <v/>
      </c>
      <c r="N66" s="35">
        <f>IF(L66="",0,SUMIFS(전표_원본!$Z$5:$Z$100000,전표_원본!$O$5:$O$100000,L66,전표_원본!$M$5:$M$100000,설정!$C$20-1))</f>
        <v/>
      </c>
      <c r="O66" s="40">
        <f>M66-N66</f>
        <v/>
      </c>
      <c r="P66" s="41">
        <f>IF(L66="","",O66+ROW()/1000000)</f>
        <v/>
      </c>
    </row>
    <row r="67">
      <c r="A67" s="22" t="inlineStr">
        <is>
          <t>F31</t>
        </is>
      </c>
      <c r="B67" s="8" t="inlineStr">
        <is>
          <t>경험조정-취득현금흐름</t>
        </is>
      </c>
      <c r="C67" s="52">
        <f>SUMIFS(부채변동표!$M$5:$M$20000,부채변동표!$L$5:$L$20000,설정!$C$20,부채변동표!$P$5:$P$20000,$A67,부채변동표!$E$5:$E$20000,"VFA")</f>
        <v/>
      </c>
      <c r="D67" s="52">
        <f>SUMIFS(부채변동표!$N$5:$N$20000,부채변동표!$L$5:$L$20000,설정!$C$20,부채변동표!$P$5:$P$20000,$A67,부채변동표!$E$5:$E$20000,"VFA")</f>
        <v/>
      </c>
      <c r="E67" s="52">
        <f>SUMIFS(부채변동표!$O$5:$O$20000,부채변동표!$L$5:$L$20000,설정!$C$20,부채변동표!$P$5:$P$20000,$A67,부채변동표!$E$5:$E$20000,"VFA")</f>
        <v/>
      </c>
      <c r="F67" s="5" t="inlineStr">
        <is>
          <t>사업비</t>
        </is>
      </c>
      <c r="L67" s="26">
        <f>IF(변동분석!$A67="","",변동분석!$E67)</f>
        <v/>
      </c>
      <c r="M67" s="35">
        <f>IF(L67="",0,SUMIFS(전표_원본!$Z$5:$Z$100000,전표_원본!$O$5:$O$100000,L67,전표_원본!$M$5:$M$100000,설정!$C$20))</f>
        <v/>
      </c>
      <c r="N67" s="35">
        <f>IF(L67="",0,SUMIFS(전표_원본!$Z$5:$Z$100000,전표_원본!$O$5:$O$100000,L67,전표_원본!$M$5:$M$100000,설정!$C$20-1))</f>
        <v/>
      </c>
      <c r="O67" s="40">
        <f>M67-N67</f>
        <v/>
      </c>
      <c r="P67" s="41">
        <f>IF(L67="","",O67+ROW()/1000000)</f>
        <v/>
      </c>
    </row>
    <row r="68">
      <c r="A68" s="22" t="inlineStr">
        <is>
          <t>F32</t>
        </is>
      </c>
      <c r="B68" s="8" t="inlineStr">
        <is>
          <t>경험조정-보험료 등</t>
        </is>
      </c>
      <c r="C68" s="52">
        <f>SUMIFS(부채변동표!$M$5:$M$20000,부채변동표!$L$5:$L$20000,설정!$C$20,부채변동표!$P$5:$P$20000,$A68,부채변동표!$E$5:$E$20000,"VFA")</f>
        <v/>
      </c>
      <c r="D68" s="52">
        <f>SUMIFS(부채변동표!$N$5:$N$20000,부채변동표!$L$5:$L$20000,설정!$C$20,부채변동표!$P$5:$P$20000,$A68,부채변동표!$E$5:$E$20000,"VFA")</f>
        <v/>
      </c>
      <c r="E68" s="52">
        <f>SUMIFS(부채변동표!$O$5:$O$20000,부채변동표!$L$5:$L$20000,설정!$C$20,부채변동표!$P$5:$P$20000,$A68,부채변동표!$E$5:$E$20000,"VFA")</f>
        <v/>
      </c>
      <c r="F68" s="5" t="n"/>
      <c r="L68" s="26">
        <f>IF(변동분석!$A68="","",변동분석!$E68)</f>
        <v/>
      </c>
      <c r="M68" s="35">
        <f>IF(L68="",0,SUMIFS(전표_원본!$Z$5:$Z$100000,전표_원본!$O$5:$O$100000,L68,전표_원본!$M$5:$M$100000,설정!$C$20))</f>
        <v/>
      </c>
      <c r="N68" s="35">
        <f>IF(L68="",0,SUMIFS(전표_원본!$Z$5:$Z$100000,전표_원본!$O$5:$O$100000,L68,전표_원본!$M$5:$M$100000,설정!$C$20-1))</f>
        <v/>
      </c>
      <c r="O68" s="40">
        <f>M68-N68</f>
        <v/>
      </c>
      <c r="P68" s="41">
        <f>IF(L68="","",O68+ROW()/1000000)</f>
        <v/>
      </c>
    </row>
    <row r="69">
      <c r="A69" s="22" t="inlineStr">
        <is>
          <t>F40</t>
        </is>
      </c>
      <c r="B69" s="8" t="inlineStr">
        <is>
          <t>보험금융비용(이자부리)</t>
        </is>
      </c>
      <c r="C69" s="52">
        <f>SUMIFS(부채변동표!$M$5:$M$20000,부채변동표!$L$5:$L$20000,설정!$C$20,부채변동표!$P$5:$P$20000,$A69,부채변동표!$E$5:$E$20000,"VFA")</f>
        <v/>
      </c>
      <c r="D69" s="52">
        <f>SUMIFS(부채변동표!$N$5:$N$20000,부채변동표!$L$5:$L$20000,설정!$C$20,부채변동표!$P$5:$P$20000,$A69,부채변동표!$E$5:$E$20000,"VFA")</f>
        <v/>
      </c>
      <c r="E69" s="52">
        <f>SUMIFS(부채변동표!$O$5:$O$20000,부채변동표!$L$5:$L$20000,설정!$C$20,부채변동표!$P$5:$P$20000,$A69,부채변동표!$E$5:$E$20000,"VFA")</f>
        <v/>
      </c>
      <c r="F69" s="5" t="n"/>
      <c r="L69" s="26">
        <f>IF(변동분석!$A69="","",변동분석!$E69)</f>
        <v/>
      </c>
      <c r="M69" s="35">
        <f>IF(L69="",0,SUMIFS(전표_원본!$Z$5:$Z$100000,전표_원본!$O$5:$O$100000,L69,전표_원본!$M$5:$M$100000,설정!$C$20))</f>
        <v/>
      </c>
      <c r="N69" s="35">
        <f>IF(L69="",0,SUMIFS(전표_원본!$Z$5:$Z$100000,전표_원본!$O$5:$O$100000,L69,전표_원본!$M$5:$M$100000,설정!$C$20-1))</f>
        <v/>
      </c>
      <c r="O69" s="40">
        <f>M69-N69</f>
        <v/>
      </c>
      <c r="P69" s="41">
        <f>IF(L69="","",O69+ROW()/1000000)</f>
        <v/>
      </c>
    </row>
    <row r="70">
      <c r="A70" s="22" t="inlineStr">
        <is>
          <t>F51</t>
        </is>
      </c>
      <c r="B70" s="8" t="inlineStr">
        <is>
          <t>CSM 상각</t>
        </is>
      </c>
      <c r="C70" s="52">
        <f>SUMIFS(부채변동표!$M$5:$M$20000,부채변동표!$L$5:$L$20000,설정!$C$20,부채변동표!$P$5:$P$20000,$A70,부채변동표!$E$5:$E$20000,"VFA")</f>
        <v/>
      </c>
      <c r="D70" s="52">
        <f>SUMIFS(부채변동표!$N$5:$N$20000,부채변동표!$L$5:$L$20000,설정!$C$20,부채변동표!$P$5:$P$20000,$A70,부채변동표!$E$5:$E$20000,"VFA")</f>
        <v/>
      </c>
      <c r="E70" s="52">
        <f>SUMIFS(부채변동표!$O$5:$O$20000,부채변동표!$L$5:$L$20000,설정!$C$20,부채변동표!$P$5:$P$20000,$A70,부채변동표!$E$5:$E$20000,"VFA")</f>
        <v/>
      </c>
      <c r="F70" s="5" t="n"/>
      <c r="L70" s="26">
        <f>IF(변동분석!$A70="","",변동분석!$E70)</f>
        <v/>
      </c>
      <c r="M70" s="35">
        <f>IF(L70="",0,SUMIFS(전표_원본!$Z$5:$Z$100000,전표_원본!$O$5:$O$100000,L70,전표_원본!$M$5:$M$100000,설정!$C$20))</f>
        <v/>
      </c>
      <c r="N70" s="35">
        <f>IF(L70="",0,SUMIFS(전표_원본!$Z$5:$Z$100000,전표_원본!$O$5:$O$100000,L70,전표_원본!$M$5:$M$100000,설정!$C$20-1))</f>
        <v/>
      </c>
      <c r="O70" s="40">
        <f>M70-N70</f>
        <v/>
      </c>
      <c r="P70" s="41">
        <f>IF(L70="","",O70+ROW()/1000000)</f>
        <v/>
      </c>
    </row>
    <row r="71">
      <c r="A71" s="22" t="inlineStr">
        <is>
          <t>F52</t>
        </is>
      </c>
      <c r="B71" s="8" t="inlineStr">
        <is>
          <t>RA 해제</t>
        </is>
      </c>
      <c r="C71" s="52">
        <f>SUMIFS(부채변동표!$M$5:$M$20000,부채변동표!$L$5:$L$20000,설정!$C$20,부채변동표!$P$5:$P$20000,$A71,부채변동표!$E$5:$E$20000,"VFA")</f>
        <v/>
      </c>
      <c r="D71" s="52">
        <f>SUMIFS(부채변동표!$N$5:$N$20000,부채변동표!$L$5:$L$20000,설정!$C$20,부채변동표!$P$5:$P$20000,$A71,부채변동표!$E$5:$E$20000,"VFA")</f>
        <v/>
      </c>
      <c r="E71" s="52">
        <f>SUMIFS(부채변동표!$O$5:$O$20000,부채변동표!$L$5:$L$20000,설정!$C$20,부채변동표!$P$5:$P$20000,$A71,부채변동표!$E$5:$E$20000,"VFA")</f>
        <v/>
      </c>
      <c r="F71" s="5" t="n"/>
      <c r="L71" s="26">
        <f>IF(변동분석!$A71="","",변동분석!$E71)</f>
        <v/>
      </c>
      <c r="M71" s="35">
        <f>IF(L71="",0,SUMIFS(전표_원본!$Z$5:$Z$100000,전표_원본!$O$5:$O$100000,L71,전표_원본!$M$5:$M$100000,설정!$C$20))</f>
        <v/>
      </c>
      <c r="N71" s="35">
        <f>IF(L71="",0,SUMIFS(전표_원본!$Z$5:$Z$100000,전표_원본!$O$5:$O$100000,L71,전표_원본!$M$5:$M$100000,설정!$C$20-1))</f>
        <v/>
      </c>
      <c r="O71" s="40">
        <f>M71-N71</f>
        <v/>
      </c>
      <c r="P71" s="41">
        <f>IF(L71="","",O71+ROW()/1000000)</f>
        <v/>
      </c>
    </row>
    <row r="72">
      <c r="A72" s="22" t="inlineStr">
        <is>
          <t>F60</t>
        </is>
      </c>
      <c r="B72" s="8" t="inlineStr">
        <is>
          <t>현금흐름 및 기타</t>
        </is>
      </c>
      <c r="C72" s="52">
        <f>SUMIFS(부채변동표!$M$5:$M$20000,부채변동표!$L$5:$L$20000,설정!$C$20,부채변동표!$P$5:$P$20000,$A72,부채변동표!$E$5:$E$20000,"VFA")</f>
        <v/>
      </c>
      <c r="D72" s="52">
        <f>SUMIFS(부채변동표!$N$5:$N$20000,부채변동표!$L$5:$L$20000,설정!$C$20,부채변동표!$P$5:$P$20000,$A72,부채변동표!$E$5:$E$20000,"VFA")</f>
        <v/>
      </c>
      <c r="E72" s="52">
        <f>SUMIFS(부채변동표!$O$5:$O$20000,부채변동표!$L$5:$L$20000,설정!$C$20,부채변동표!$P$5:$P$20000,$A72,부채변동표!$E$5:$E$20000,"VFA")</f>
        <v/>
      </c>
      <c r="F72" s="5" t="n"/>
      <c r="L72" s="26">
        <f>IF(변동분석!$A72="","",변동분석!$E72)</f>
        <v/>
      </c>
      <c r="M72" s="35">
        <f>IF(L72="",0,SUMIFS(전표_원본!$Z$5:$Z$100000,전표_원본!$O$5:$O$100000,L72,전표_원본!$M$5:$M$100000,설정!$C$20))</f>
        <v/>
      </c>
      <c r="N72" s="35">
        <f>IF(L72="",0,SUMIFS(전표_원본!$Z$5:$Z$100000,전표_원본!$O$5:$O$100000,L72,전표_원본!$M$5:$M$100000,설정!$C$20-1))</f>
        <v/>
      </c>
      <c r="O72" s="40">
        <f>M72-N72</f>
        <v/>
      </c>
      <c r="P72" s="41">
        <f>IF(L72="","",O72+ROW()/1000000)</f>
        <v/>
      </c>
    </row>
    <row r="73">
      <c r="A73" s="50" t="inlineStr">
        <is>
          <t>F99</t>
        </is>
      </c>
      <c r="B73" s="43" t="inlineStr">
        <is>
          <t>기말잔액</t>
        </is>
      </c>
      <c r="C73" s="51">
        <f>SUMIFS(부채변동표!$M$5:$M$20000,부채변동표!$L$5:$L$20000,설정!$C$20,부채변동표!$P$5:$P$20000,$A73,부채변동표!$E$5:$E$20000,"VFA")</f>
        <v/>
      </c>
      <c r="D73" s="51">
        <f>SUMIFS(부채변동표!$N$5:$N$20000,부채변동표!$L$5:$L$20000,설정!$C$20,부채변동표!$P$5:$P$20000,$A73,부채변동표!$E$5:$E$20000,"VFA")</f>
        <v/>
      </c>
      <c r="E73" s="51">
        <f>SUMIFS(부채변동표!$O$5:$O$20000,부채변동표!$L$5:$L$20000,설정!$C$20,부채변동표!$P$5:$P$20000,$A73,부채변동표!$E$5:$E$20000,"VFA")</f>
        <v/>
      </c>
      <c r="F73" s="5" t="n"/>
      <c r="L73" s="26">
        <f>IF(변동분석!$A73="","",변동분석!$E73)</f>
        <v/>
      </c>
      <c r="M73" s="35">
        <f>IF(L73="",0,SUMIFS(전표_원본!$Z$5:$Z$100000,전표_원본!$O$5:$O$100000,L73,전표_원본!$M$5:$M$100000,설정!$C$20))</f>
        <v/>
      </c>
      <c r="N73" s="35">
        <f>IF(L73="",0,SUMIFS(전표_원본!$Z$5:$Z$100000,전표_원본!$O$5:$O$100000,L73,전표_원본!$M$5:$M$100000,설정!$C$20-1))</f>
        <v/>
      </c>
      <c r="O73" s="40">
        <f>M73-N73</f>
        <v/>
      </c>
      <c r="P73" s="41">
        <f>IF(L73="","",O73+ROW()/1000000)</f>
        <v/>
      </c>
    </row>
    <row r="74">
      <c r="B74" s="10" t="inlineStr">
        <is>
          <t>CSM 당월 변동 (기말 − 기초)</t>
        </is>
      </c>
      <c r="E74" s="53">
        <f>E73-E63</f>
        <v/>
      </c>
      <c r="L74" s="26">
        <f>IF(변동분석!$A74="","",변동분석!$E74)</f>
        <v/>
      </c>
      <c r="M74" s="35">
        <f>IF(L74="",0,SUMIFS(전표_원본!$Z$5:$Z$100000,전표_원본!$O$5:$O$100000,L74,전표_원본!$M$5:$M$100000,설정!$C$20))</f>
        <v/>
      </c>
      <c r="N74" s="35">
        <f>IF(L74="",0,SUMIFS(전표_원본!$Z$5:$Z$100000,전표_원본!$O$5:$O$100000,L74,전표_원본!$M$5:$M$100000,설정!$C$20-1))</f>
        <v/>
      </c>
      <c r="O74" s="40">
        <f>M74-N74</f>
        <v/>
      </c>
      <c r="P74" s="41">
        <f>IF(L74="","",O74+ROW()/1000000)</f>
        <v/>
      </c>
    </row>
    <row r="75">
      <c r="B75" s="10" t="inlineStr">
        <is>
          <t>그중 사업비 관련 (F21 + F31)</t>
        </is>
      </c>
      <c r="E75" s="53">
        <f>E65+E67</f>
        <v/>
      </c>
      <c r="L75" s="26">
        <f>IF(변동분석!$A75="","",변동분석!$E75)</f>
        <v/>
      </c>
      <c r="M75" s="35">
        <f>IF(L75="",0,SUMIFS(전표_원본!$Z$5:$Z$100000,전표_원본!$O$5:$O$100000,L75,전표_원본!$M$5:$M$100000,설정!$C$20))</f>
        <v/>
      </c>
      <c r="N75" s="35">
        <f>IF(L75="",0,SUMIFS(전표_원본!$Z$5:$Z$100000,전표_원본!$O$5:$O$100000,L75,전표_원본!$M$5:$M$100000,설정!$C$20-1))</f>
        <v/>
      </c>
      <c r="O75" s="40">
        <f>M75-N75</f>
        <v/>
      </c>
      <c r="P75" s="41">
        <f>IF(L75="","",O75+ROW()/1000000)</f>
        <v/>
      </c>
    </row>
    <row r="76">
      <c r="L76" s="26">
        <f>IF(변동분석!$A76="","",변동분석!$E76)</f>
        <v/>
      </c>
      <c r="M76" s="35">
        <f>IF(L76="",0,SUMIFS(전표_원본!$Z$5:$Z$100000,전표_원본!$O$5:$O$100000,L76,전표_원본!$M$5:$M$100000,설정!$C$20))</f>
        <v/>
      </c>
      <c r="N76" s="35">
        <f>IF(L76="",0,SUMIFS(전표_원본!$Z$5:$Z$100000,전표_원본!$O$5:$O$100000,L76,전표_원본!$M$5:$M$100000,설정!$C$20-1))</f>
        <v/>
      </c>
      <c r="O76" s="40">
        <f>M76-N76</f>
        <v/>
      </c>
      <c r="P76" s="41">
        <f>IF(L76="","",O76+ROW()/1000000)</f>
        <v/>
      </c>
    </row>
    <row r="77">
      <c r="A77" s="3" t="inlineStr">
        <is>
          <t>5. 신계약비 증가 기여 (부서 × 계정, 당월 − 전월, 귀속 신계약비 기준)</t>
        </is>
      </c>
      <c r="L77" s="26">
        <f>IF(변동분석!$A77="","",변동분석!$E77)</f>
        <v/>
      </c>
      <c r="M77" s="35">
        <f>IF(L77="",0,SUMIFS(전표_원본!$Z$5:$Z$100000,전표_원본!$O$5:$O$100000,L77,전표_원본!$M$5:$M$100000,설정!$C$20))</f>
        <v/>
      </c>
      <c r="N77" s="35">
        <f>IF(L77="",0,SUMIFS(전표_원본!$Z$5:$Z$100000,전표_원본!$O$5:$O$100000,L77,전표_원본!$M$5:$M$100000,설정!$C$20-1))</f>
        <v/>
      </c>
      <c r="O77" s="40">
        <f>M77-N77</f>
        <v/>
      </c>
      <c r="P77" s="41">
        <f>IF(L77="","",O77+ROW()/1000000)</f>
        <v/>
      </c>
    </row>
    <row r="78" ht="20" customHeight="1">
      <c r="A78" s="4" t="inlineStr">
        <is>
          <t>순위</t>
        </is>
      </c>
      <c r="B78" s="4" t="inlineStr">
        <is>
          <t>부서</t>
        </is>
      </c>
      <c r="C78" s="4" t="inlineStr">
        <is>
          <t>계정</t>
        </is>
      </c>
      <c r="D78" s="4" t="inlineStr">
        <is>
          <t>당월</t>
        </is>
      </c>
      <c r="E78" s="4" t="inlineStr">
        <is>
          <t>전월</t>
        </is>
      </c>
      <c r="F78" s="4" t="inlineStr">
        <is>
          <t>증감</t>
        </is>
      </c>
      <c r="L78" s="26">
        <f>IF(변동분석!$A78="","",변동분석!$E78)</f>
        <v/>
      </c>
      <c r="M78" s="35">
        <f>IF(L78="",0,SUMIFS(전표_원본!$Z$5:$Z$100000,전표_원본!$O$5:$O$100000,L78,전표_원본!$M$5:$M$100000,설정!$C$20))</f>
        <v/>
      </c>
      <c r="N78" s="35">
        <f>IF(L78="",0,SUMIFS(전표_원본!$Z$5:$Z$100000,전표_원본!$O$5:$O$100000,L78,전표_원본!$M$5:$M$100000,설정!$C$20-1))</f>
        <v/>
      </c>
      <c r="O78" s="40">
        <f>M78-N78</f>
        <v/>
      </c>
      <c r="P78" s="41">
        <f>IF(L78="","",O78+ROW()/1000000)</f>
        <v/>
      </c>
    </row>
    <row r="79">
      <c r="A79" s="22" t="n">
        <v>1</v>
      </c>
      <c r="B79" s="26">
        <f>IF($K79="","",INDEX(변동분석!$B$7:$B$119,$K79))</f>
        <v/>
      </c>
      <c r="C79" s="26">
        <f>IF($K79="","",INDEX(변동분석!$D$7:$D$119,$K79))</f>
        <v/>
      </c>
      <c r="D79" s="40">
        <f>IF($K79="","",INDEX($M$7:$M$119,$K79))</f>
        <v/>
      </c>
      <c r="E79" s="40">
        <f>IF($K79="","",INDEX($N$7:$N$119,$K79))</f>
        <v/>
      </c>
      <c r="F79" s="47">
        <f>IF($K79="","",INDEX($O$7:$O$119,$K79))</f>
        <v/>
      </c>
      <c r="K79" s="7">
        <f>IFERROR(MATCH(LARGE($P$7:$P$119,1),$P$7:$P$119,0),"")</f>
        <v/>
      </c>
      <c r="L79" s="26">
        <f>IF(변동분석!$A79="","",변동분석!$E79)</f>
        <v/>
      </c>
      <c r="M79" s="35">
        <f>IF(L79="",0,SUMIFS(전표_원본!$Z$5:$Z$100000,전표_원본!$O$5:$O$100000,L79,전표_원본!$M$5:$M$100000,설정!$C$20))</f>
        <v/>
      </c>
      <c r="N79" s="35">
        <f>IF(L79="",0,SUMIFS(전표_원본!$Z$5:$Z$100000,전표_원본!$O$5:$O$100000,L79,전표_원본!$M$5:$M$100000,설정!$C$20-1))</f>
        <v/>
      </c>
      <c r="O79" s="40">
        <f>M79-N79</f>
        <v/>
      </c>
      <c r="P79" s="41">
        <f>IF(L79="","",O79+ROW()/1000000)</f>
        <v/>
      </c>
    </row>
    <row r="80">
      <c r="A80" s="22" t="n">
        <v>2</v>
      </c>
      <c r="B80" s="26">
        <f>IF($K80="","",INDEX(변동분석!$B$7:$B$119,$K80))</f>
        <v/>
      </c>
      <c r="C80" s="26">
        <f>IF($K80="","",INDEX(변동분석!$D$7:$D$119,$K80))</f>
        <v/>
      </c>
      <c r="D80" s="40">
        <f>IF($K80="","",INDEX($M$7:$M$119,$K80))</f>
        <v/>
      </c>
      <c r="E80" s="40">
        <f>IF($K80="","",INDEX($N$7:$N$119,$K80))</f>
        <v/>
      </c>
      <c r="F80" s="47">
        <f>IF($K80="","",INDEX($O$7:$O$119,$K80))</f>
        <v/>
      </c>
      <c r="K80" s="7">
        <f>IFERROR(MATCH(LARGE($P$7:$P$119,2),$P$7:$P$119,0),"")</f>
        <v/>
      </c>
      <c r="L80" s="26">
        <f>IF(변동분석!$A80="","",변동분석!$E80)</f>
        <v/>
      </c>
      <c r="M80" s="35">
        <f>IF(L80="",0,SUMIFS(전표_원본!$Z$5:$Z$100000,전표_원본!$O$5:$O$100000,L80,전표_원본!$M$5:$M$100000,설정!$C$20))</f>
        <v/>
      </c>
      <c r="N80" s="35">
        <f>IF(L80="",0,SUMIFS(전표_원본!$Z$5:$Z$100000,전표_원본!$O$5:$O$100000,L80,전표_원본!$M$5:$M$100000,설정!$C$20-1))</f>
        <v/>
      </c>
      <c r="O80" s="40">
        <f>M80-N80</f>
        <v/>
      </c>
      <c r="P80" s="41">
        <f>IF(L80="","",O80+ROW()/1000000)</f>
        <v/>
      </c>
    </row>
    <row r="81">
      <c r="A81" s="22" t="n">
        <v>3</v>
      </c>
      <c r="B81" s="26">
        <f>IF($K81="","",INDEX(변동분석!$B$7:$B$119,$K81))</f>
        <v/>
      </c>
      <c r="C81" s="26">
        <f>IF($K81="","",INDEX(변동분석!$D$7:$D$119,$K81))</f>
        <v/>
      </c>
      <c r="D81" s="40">
        <f>IF($K81="","",INDEX($M$7:$M$119,$K81))</f>
        <v/>
      </c>
      <c r="E81" s="40">
        <f>IF($K81="","",INDEX($N$7:$N$119,$K81))</f>
        <v/>
      </c>
      <c r="F81" s="47">
        <f>IF($K81="","",INDEX($O$7:$O$119,$K81))</f>
        <v/>
      </c>
      <c r="K81" s="7">
        <f>IFERROR(MATCH(LARGE($P$7:$P$119,3),$P$7:$P$119,0),"")</f>
        <v/>
      </c>
      <c r="L81" s="26">
        <f>IF(변동분석!$A81="","",변동분석!$E81)</f>
        <v/>
      </c>
      <c r="M81" s="35">
        <f>IF(L81="",0,SUMIFS(전표_원본!$Z$5:$Z$100000,전표_원본!$O$5:$O$100000,L81,전표_원본!$M$5:$M$100000,설정!$C$20))</f>
        <v/>
      </c>
      <c r="N81" s="35">
        <f>IF(L81="",0,SUMIFS(전표_원본!$Z$5:$Z$100000,전표_원본!$O$5:$O$100000,L81,전표_원본!$M$5:$M$100000,설정!$C$20-1))</f>
        <v/>
      </c>
      <c r="O81" s="40">
        <f>M81-N81</f>
        <v/>
      </c>
      <c r="P81" s="41">
        <f>IF(L81="","",O81+ROW()/1000000)</f>
        <v/>
      </c>
    </row>
    <row r="82">
      <c r="A82" s="22" t="n">
        <v>4</v>
      </c>
      <c r="B82" s="26">
        <f>IF($K82="","",INDEX(변동분석!$B$7:$B$119,$K82))</f>
        <v/>
      </c>
      <c r="C82" s="26">
        <f>IF($K82="","",INDEX(변동분석!$D$7:$D$119,$K82))</f>
        <v/>
      </c>
      <c r="D82" s="40">
        <f>IF($K82="","",INDEX($M$7:$M$119,$K82))</f>
        <v/>
      </c>
      <c r="E82" s="40">
        <f>IF($K82="","",INDEX($N$7:$N$119,$K82))</f>
        <v/>
      </c>
      <c r="F82" s="47">
        <f>IF($K82="","",INDEX($O$7:$O$119,$K82))</f>
        <v/>
      </c>
      <c r="K82" s="7">
        <f>IFERROR(MATCH(LARGE($P$7:$P$119,4),$P$7:$P$119,0),"")</f>
        <v/>
      </c>
      <c r="L82" s="26">
        <f>IF(변동분석!$A82="","",변동분석!$E82)</f>
        <v/>
      </c>
      <c r="M82" s="35">
        <f>IF(L82="",0,SUMIFS(전표_원본!$Z$5:$Z$100000,전표_원본!$O$5:$O$100000,L82,전표_원본!$M$5:$M$100000,설정!$C$20))</f>
        <v/>
      </c>
      <c r="N82" s="35">
        <f>IF(L82="",0,SUMIFS(전표_원본!$Z$5:$Z$100000,전표_원본!$O$5:$O$100000,L82,전표_원본!$M$5:$M$100000,설정!$C$20-1))</f>
        <v/>
      </c>
      <c r="O82" s="40">
        <f>M82-N82</f>
        <v/>
      </c>
      <c r="P82" s="41">
        <f>IF(L82="","",O82+ROW()/1000000)</f>
        <v/>
      </c>
    </row>
    <row r="83">
      <c r="A83" s="22" t="n">
        <v>5</v>
      </c>
      <c r="B83" s="26">
        <f>IF($K83="","",INDEX(변동분석!$B$7:$B$119,$K83))</f>
        <v/>
      </c>
      <c r="C83" s="26">
        <f>IF($K83="","",INDEX(변동분석!$D$7:$D$119,$K83))</f>
        <v/>
      </c>
      <c r="D83" s="40">
        <f>IF($K83="","",INDEX($M$7:$M$119,$K83))</f>
        <v/>
      </c>
      <c r="E83" s="40">
        <f>IF($K83="","",INDEX($N$7:$N$119,$K83))</f>
        <v/>
      </c>
      <c r="F83" s="47">
        <f>IF($K83="","",INDEX($O$7:$O$119,$K83))</f>
        <v/>
      </c>
      <c r="K83" s="7">
        <f>IFERROR(MATCH(LARGE($P$7:$P$119,5),$P$7:$P$119,0),"")</f>
        <v/>
      </c>
      <c r="L83" s="26">
        <f>IF(변동분석!$A83="","",변동분석!$E83)</f>
        <v/>
      </c>
      <c r="M83" s="35">
        <f>IF(L83="",0,SUMIFS(전표_원본!$Z$5:$Z$100000,전표_원본!$O$5:$O$100000,L83,전표_원본!$M$5:$M$100000,설정!$C$20))</f>
        <v/>
      </c>
      <c r="N83" s="35">
        <f>IF(L83="",0,SUMIFS(전표_원본!$Z$5:$Z$100000,전표_원본!$O$5:$O$100000,L83,전표_원본!$M$5:$M$100000,설정!$C$20-1))</f>
        <v/>
      </c>
      <c r="O83" s="40">
        <f>M83-N83</f>
        <v/>
      </c>
      <c r="P83" s="41">
        <f>IF(L83="","",O83+ROW()/1000000)</f>
        <v/>
      </c>
    </row>
    <row r="84">
      <c r="L84" s="26">
        <f>IF(변동분석!$A84="","",변동분석!$E84)</f>
        <v/>
      </c>
      <c r="M84" s="35">
        <f>IF(L84="",0,SUMIFS(전표_원본!$Z$5:$Z$100000,전표_원본!$O$5:$O$100000,L84,전표_원본!$M$5:$M$100000,설정!$C$20))</f>
        <v/>
      </c>
      <c r="N84" s="35">
        <f>IF(L84="",0,SUMIFS(전표_원본!$Z$5:$Z$100000,전표_원본!$O$5:$O$100000,L84,전표_원본!$M$5:$M$100000,설정!$C$20-1))</f>
        <v/>
      </c>
      <c r="O84" s="40">
        <f>M84-N84</f>
        <v/>
      </c>
      <c r="P84" s="41">
        <f>IF(L84="","",O84+ROW()/1000000)</f>
        <v/>
      </c>
    </row>
    <row r="85">
      <c r="A85" s="3" t="inlineStr">
        <is>
          <t>6. 근거 전표 (당월, 귀속 신계약비 큰 순)</t>
        </is>
      </c>
      <c r="L85" s="26">
        <f>IF(변동분석!$A85="","",변동분석!$E85)</f>
        <v/>
      </c>
      <c r="M85" s="35">
        <f>IF(L85="",0,SUMIFS(전표_원본!$Z$5:$Z$100000,전표_원본!$O$5:$O$100000,L85,전표_원본!$M$5:$M$100000,설정!$C$20))</f>
        <v/>
      </c>
      <c r="N85" s="35">
        <f>IF(L85="",0,SUMIFS(전표_원본!$Z$5:$Z$100000,전표_원본!$O$5:$O$100000,L85,전표_원본!$M$5:$M$100000,설정!$C$20-1))</f>
        <v/>
      </c>
      <c r="O85" s="40">
        <f>M85-N85</f>
        <v/>
      </c>
      <c r="P85" s="41">
        <f>IF(L85="","",O85+ROW()/1000000)</f>
        <v/>
      </c>
    </row>
    <row r="86" ht="20" customHeight="1">
      <c r="A86" s="4" t="inlineStr">
        <is>
          <t>전기일</t>
        </is>
      </c>
      <c r="B86" s="4" t="inlineStr">
        <is>
          <t>전표번호</t>
        </is>
      </c>
      <c r="C86" s="4" t="inlineStr">
        <is>
          <t>코스트센터</t>
        </is>
      </c>
      <c r="D86" s="4" t="inlineStr">
        <is>
          <t>G/L 계정</t>
        </is>
      </c>
      <c r="E86" s="4" t="inlineStr">
        <is>
          <t>거래처</t>
        </is>
      </c>
      <c r="F86" s="4" t="inlineStr">
        <is>
          <t>적요</t>
        </is>
      </c>
      <c r="G86" s="4" t="inlineStr">
        <is>
          <t>금액</t>
        </is>
      </c>
      <c r="H86" s="4" t="inlineStr">
        <is>
          <t>신계약 귀속</t>
        </is>
      </c>
      <c r="L86" s="26">
        <f>IF(변동분석!$A86="","",변동분석!$E86)</f>
        <v/>
      </c>
      <c r="M86" s="35">
        <f>IF(L86="",0,SUMIFS(전표_원본!$Z$5:$Z$100000,전표_원본!$O$5:$O$100000,L86,전표_원본!$M$5:$M$100000,설정!$C$20))</f>
        <v/>
      </c>
      <c r="N86" s="35">
        <f>IF(L86="",0,SUMIFS(전표_원본!$Z$5:$Z$100000,전표_원본!$O$5:$O$100000,L86,전표_원본!$M$5:$M$100000,설정!$C$20-1))</f>
        <v/>
      </c>
      <c r="O86" s="40">
        <f>M86-N86</f>
        <v/>
      </c>
      <c r="P86" s="41">
        <f>IF(L86="","",O86+ROW()/1000000)</f>
        <v/>
      </c>
    </row>
    <row r="87">
      <c r="A87" s="54">
        <f>IF($K87="","",INDEX(전표_원본!$D$5:$D$100000,$K87))</f>
        <v/>
      </c>
      <c r="B87" s="26">
        <f>IF($K87="","",INDEX(전표_원본!$C$5:$C$100000,$K87))</f>
        <v/>
      </c>
      <c r="C87" s="34">
        <f>IF($K87="","",INDEX(전표_원본!$G$5:$G$100000,$K87))</f>
        <v/>
      </c>
      <c r="D87" s="34">
        <f>IF($K87="","",INDEX(전표_원본!$F$5:$F$100000,$K87))</f>
        <v/>
      </c>
      <c r="E87" s="26">
        <f>IF($K87="","",INDEX(전표_원본!$K$5:$K$100000,$K87))</f>
        <v/>
      </c>
      <c r="F87" s="26">
        <f>IF($K87="","",INDEX(전표_원본!$I$5:$I$100000,$K87))</f>
        <v/>
      </c>
      <c r="G87" s="35">
        <f>IF($K87="","",INDEX(전표_원본!$P$5:$P$100000,$K87))</f>
        <v/>
      </c>
      <c r="H87" s="35">
        <f>IF($K87="","",INDEX(전표_원본!$Z$5:$Z$100000,$K87))</f>
        <v/>
      </c>
      <c r="K87" s="7">
        <f>IFERROR(MATCH(LARGE(전표_원본!$AC$5:$AC$100000,1),전표_원본!$AC$5:$AC$100000,0),"")</f>
        <v/>
      </c>
      <c r="L87" s="26">
        <f>IF(변동분석!$A87="","",변동분석!$E87)</f>
        <v/>
      </c>
      <c r="M87" s="35">
        <f>IF(L87="",0,SUMIFS(전표_원본!$Z$5:$Z$100000,전표_원본!$O$5:$O$100000,L87,전표_원본!$M$5:$M$100000,설정!$C$20))</f>
        <v/>
      </c>
      <c r="N87" s="35">
        <f>IF(L87="",0,SUMIFS(전표_원본!$Z$5:$Z$100000,전표_원본!$O$5:$O$100000,L87,전표_원본!$M$5:$M$100000,설정!$C$20-1))</f>
        <v/>
      </c>
      <c r="O87" s="40">
        <f>M87-N87</f>
        <v/>
      </c>
      <c r="P87" s="41">
        <f>IF(L87="","",O87+ROW()/1000000)</f>
        <v/>
      </c>
    </row>
    <row r="88">
      <c r="A88" s="54">
        <f>IF($K88="","",INDEX(전표_원본!$D$5:$D$100000,$K88))</f>
        <v/>
      </c>
      <c r="B88" s="26">
        <f>IF($K88="","",INDEX(전표_원본!$C$5:$C$100000,$K88))</f>
        <v/>
      </c>
      <c r="C88" s="34">
        <f>IF($K88="","",INDEX(전표_원본!$G$5:$G$100000,$K88))</f>
        <v/>
      </c>
      <c r="D88" s="34">
        <f>IF($K88="","",INDEX(전표_원본!$F$5:$F$100000,$K88))</f>
        <v/>
      </c>
      <c r="E88" s="26">
        <f>IF($K88="","",INDEX(전표_원본!$K$5:$K$100000,$K88))</f>
        <v/>
      </c>
      <c r="F88" s="26">
        <f>IF($K88="","",INDEX(전표_원본!$I$5:$I$100000,$K88))</f>
        <v/>
      </c>
      <c r="G88" s="35">
        <f>IF($K88="","",INDEX(전표_원본!$P$5:$P$100000,$K88))</f>
        <v/>
      </c>
      <c r="H88" s="35">
        <f>IF($K88="","",INDEX(전표_원본!$Z$5:$Z$100000,$K88))</f>
        <v/>
      </c>
      <c r="K88" s="7">
        <f>IFERROR(MATCH(LARGE(전표_원본!$AC$5:$AC$100000,2),전표_원본!$AC$5:$AC$100000,0),"")</f>
        <v/>
      </c>
      <c r="L88" s="26">
        <f>IF(변동분석!$A88="","",변동분석!$E88)</f>
        <v/>
      </c>
      <c r="M88" s="35">
        <f>IF(L88="",0,SUMIFS(전표_원본!$Z$5:$Z$100000,전표_원본!$O$5:$O$100000,L88,전표_원본!$M$5:$M$100000,설정!$C$20))</f>
        <v/>
      </c>
      <c r="N88" s="35">
        <f>IF(L88="",0,SUMIFS(전표_원본!$Z$5:$Z$100000,전표_원본!$O$5:$O$100000,L88,전표_원본!$M$5:$M$100000,설정!$C$20-1))</f>
        <v/>
      </c>
      <c r="O88" s="40">
        <f>M88-N88</f>
        <v/>
      </c>
      <c r="P88" s="41">
        <f>IF(L88="","",O88+ROW()/1000000)</f>
        <v/>
      </c>
    </row>
    <row r="89">
      <c r="A89" s="54">
        <f>IF($K89="","",INDEX(전표_원본!$D$5:$D$100000,$K89))</f>
        <v/>
      </c>
      <c r="B89" s="26">
        <f>IF($K89="","",INDEX(전표_원본!$C$5:$C$100000,$K89))</f>
        <v/>
      </c>
      <c r="C89" s="34">
        <f>IF($K89="","",INDEX(전표_원본!$G$5:$G$100000,$K89))</f>
        <v/>
      </c>
      <c r="D89" s="34">
        <f>IF($K89="","",INDEX(전표_원본!$F$5:$F$100000,$K89))</f>
        <v/>
      </c>
      <c r="E89" s="26">
        <f>IF($K89="","",INDEX(전표_원본!$K$5:$K$100000,$K89))</f>
        <v/>
      </c>
      <c r="F89" s="26">
        <f>IF($K89="","",INDEX(전표_원본!$I$5:$I$100000,$K89))</f>
        <v/>
      </c>
      <c r="G89" s="35">
        <f>IF($K89="","",INDEX(전표_원본!$P$5:$P$100000,$K89))</f>
        <v/>
      </c>
      <c r="H89" s="35">
        <f>IF($K89="","",INDEX(전표_원본!$Z$5:$Z$100000,$K89))</f>
        <v/>
      </c>
      <c r="K89" s="7">
        <f>IFERROR(MATCH(LARGE(전표_원본!$AC$5:$AC$100000,3),전표_원본!$AC$5:$AC$100000,0),"")</f>
        <v/>
      </c>
      <c r="L89" s="26">
        <f>IF(변동분석!$A89="","",변동분석!$E89)</f>
        <v/>
      </c>
      <c r="M89" s="35">
        <f>IF(L89="",0,SUMIFS(전표_원본!$Z$5:$Z$100000,전표_원본!$O$5:$O$100000,L89,전표_원본!$M$5:$M$100000,설정!$C$20))</f>
        <v/>
      </c>
      <c r="N89" s="35">
        <f>IF(L89="",0,SUMIFS(전표_원본!$Z$5:$Z$100000,전표_원본!$O$5:$O$100000,L89,전표_원본!$M$5:$M$100000,설정!$C$20-1))</f>
        <v/>
      </c>
      <c r="O89" s="40">
        <f>M89-N89</f>
        <v/>
      </c>
      <c r="P89" s="41">
        <f>IF(L89="","",O89+ROW()/1000000)</f>
        <v/>
      </c>
    </row>
    <row r="90">
      <c r="A90" s="54">
        <f>IF($K90="","",INDEX(전표_원본!$D$5:$D$100000,$K90))</f>
        <v/>
      </c>
      <c r="B90" s="26">
        <f>IF($K90="","",INDEX(전표_원본!$C$5:$C$100000,$K90))</f>
        <v/>
      </c>
      <c r="C90" s="34">
        <f>IF($K90="","",INDEX(전표_원본!$G$5:$G$100000,$K90))</f>
        <v/>
      </c>
      <c r="D90" s="34">
        <f>IF($K90="","",INDEX(전표_원본!$F$5:$F$100000,$K90))</f>
        <v/>
      </c>
      <c r="E90" s="26">
        <f>IF($K90="","",INDEX(전표_원본!$K$5:$K$100000,$K90))</f>
        <v/>
      </c>
      <c r="F90" s="26">
        <f>IF($K90="","",INDEX(전표_원본!$I$5:$I$100000,$K90))</f>
        <v/>
      </c>
      <c r="G90" s="35">
        <f>IF($K90="","",INDEX(전표_원본!$P$5:$P$100000,$K90))</f>
        <v/>
      </c>
      <c r="H90" s="35">
        <f>IF($K90="","",INDEX(전표_원본!$Z$5:$Z$100000,$K90))</f>
        <v/>
      </c>
      <c r="K90" s="7">
        <f>IFERROR(MATCH(LARGE(전표_원본!$AC$5:$AC$100000,4),전표_원본!$AC$5:$AC$100000,0),"")</f>
        <v/>
      </c>
      <c r="L90" s="26">
        <f>IF(변동분석!$A90="","",변동분석!$E90)</f>
        <v/>
      </c>
      <c r="M90" s="35">
        <f>IF(L90="",0,SUMIFS(전표_원본!$Z$5:$Z$100000,전표_원본!$O$5:$O$100000,L90,전표_원본!$M$5:$M$100000,설정!$C$20))</f>
        <v/>
      </c>
      <c r="N90" s="35">
        <f>IF(L90="",0,SUMIFS(전표_원본!$Z$5:$Z$100000,전표_원본!$O$5:$O$100000,L90,전표_원본!$M$5:$M$100000,설정!$C$20-1))</f>
        <v/>
      </c>
      <c r="O90" s="40">
        <f>M90-N90</f>
        <v/>
      </c>
      <c r="P90" s="41">
        <f>IF(L90="","",O90+ROW()/1000000)</f>
        <v/>
      </c>
    </row>
    <row r="91">
      <c r="A91" s="54">
        <f>IF($K91="","",INDEX(전표_원본!$D$5:$D$100000,$K91))</f>
        <v/>
      </c>
      <c r="B91" s="26">
        <f>IF($K91="","",INDEX(전표_원본!$C$5:$C$100000,$K91))</f>
        <v/>
      </c>
      <c r="C91" s="34">
        <f>IF($K91="","",INDEX(전표_원본!$G$5:$G$100000,$K91))</f>
        <v/>
      </c>
      <c r="D91" s="34">
        <f>IF($K91="","",INDEX(전표_원본!$F$5:$F$100000,$K91))</f>
        <v/>
      </c>
      <c r="E91" s="26">
        <f>IF($K91="","",INDEX(전표_원본!$K$5:$K$100000,$K91))</f>
        <v/>
      </c>
      <c r="F91" s="26">
        <f>IF($K91="","",INDEX(전표_원본!$I$5:$I$100000,$K91))</f>
        <v/>
      </c>
      <c r="G91" s="35">
        <f>IF($K91="","",INDEX(전표_원본!$P$5:$P$100000,$K91))</f>
        <v/>
      </c>
      <c r="H91" s="35">
        <f>IF($K91="","",INDEX(전표_원본!$Z$5:$Z$100000,$K91))</f>
        <v/>
      </c>
      <c r="K91" s="7">
        <f>IFERROR(MATCH(LARGE(전표_원본!$AC$5:$AC$100000,5),전표_원본!$AC$5:$AC$100000,0),"")</f>
        <v/>
      </c>
      <c r="L91" s="26">
        <f>IF(변동분석!$A91="","",변동분석!$E91)</f>
        <v/>
      </c>
      <c r="M91" s="35">
        <f>IF(L91="",0,SUMIFS(전표_원본!$Z$5:$Z$100000,전표_원본!$O$5:$O$100000,L91,전표_원본!$M$5:$M$100000,설정!$C$20))</f>
        <v/>
      </c>
      <c r="N91" s="35">
        <f>IF(L91="",0,SUMIFS(전표_원본!$Z$5:$Z$100000,전표_원본!$O$5:$O$100000,L91,전표_원본!$M$5:$M$100000,설정!$C$20-1))</f>
        <v/>
      </c>
      <c r="O91" s="40">
        <f>M91-N91</f>
        <v/>
      </c>
      <c r="P91" s="41">
        <f>IF(L91="","",O91+ROW()/1000000)</f>
        <v/>
      </c>
    </row>
    <row r="92">
      <c r="A92" s="54">
        <f>IF($K92="","",INDEX(전표_원본!$D$5:$D$100000,$K92))</f>
        <v/>
      </c>
      <c r="B92" s="26">
        <f>IF($K92="","",INDEX(전표_원본!$C$5:$C$100000,$K92))</f>
        <v/>
      </c>
      <c r="C92" s="34">
        <f>IF($K92="","",INDEX(전표_원본!$G$5:$G$100000,$K92))</f>
        <v/>
      </c>
      <c r="D92" s="34">
        <f>IF($K92="","",INDEX(전표_원본!$F$5:$F$100000,$K92))</f>
        <v/>
      </c>
      <c r="E92" s="26">
        <f>IF($K92="","",INDEX(전표_원본!$K$5:$K$100000,$K92))</f>
        <v/>
      </c>
      <c r="F92" s="26">
        <f>IF($K92="","",INDEX(전표_원본!$I$5:$I$100000,$K92))</f>
        <v/>
      </c>
      <c r="G92" s="35">
        <f>IF($K92="","",INDEX(전표_원본!$P$5:$P$100000,$K92))</f>
        <v/>
      </c>
      <c r="H92" s="35">
        <f>IF($K92="","",INDEX(전표_원본!$Z$5:$Z$100000,$K92))</f>
        <v/>
      </c>
      <c r="K92" s="7">
        <f>IFERROR(MATCH(LARGE(전표_원본!$AC$5:$AC$100000,6),전표_원본!$AC$5:$AC$100000,0),"")</f>
        <v/>
      </c>
      <c r="L92" s="26">
        <f>IF(변동분석!$A92="","",변동분석!$E92)</f>
        <v/>
      </c>
      <c r="M92" s="35">
        <f>IF(L92="",0,SUMIFS(전표_원본!$Z$5:$Z$100000,전표_원본!$O$5:$O$100000,L92,전표_원본!$M$5:$M$100000,설정!$C$20))</f>
        <v/>
      </c>
      <c r="N92" s="35">
        <f>IF(L92="",0,SUMIFS(전표_원본!$Z$5:$Z$100000,전표_원본!$O$5:$O$100000,L92,전표_원본!$M$5:$M$100000,설정!$C$20-1))</f>
        <v/>
      </c>
      <c r="O92" s="40">
        <f>M92-N92</f>
        <v/>
      </c>
      <c r="P92" s="41">
        <f>IF(L92="","",O92+ROW()/1000000)</f>
        <v/>
      </c>
    </row>
    <row r="93">
      <c r="A93" s="54">
        <f>IF($K93="","",INDEX(전표_원본!$D$5:$D$100000,$K93))</f>
        <v/>
      </c>
      <c r="B93" s="26">
        <f>IF($K93="","",INDEX(전표_원본!$C$5:$C$100000,$K93))</f>
        <v/>
      </c>
      <c r="C93" s="34">
        <f>IF($K93="","",INDEX(전표_원본!$G$5:$G$100000,$K93))</f>
        <v/>
      </c>
      <c r="D93" s="34">
        <f>IF($K93="","",INDEX(전표_원본!$F$5:$F$100000,$K93))</f>
        <v/>
      </c>
      <c r="E93" s="26">
        <f>IF($K93="","",INDEX(전표_원본!$K$5:$K$100000,$K93))</f>
        <v/>
      </c>
      <c r="F93" s="26">
        <f>IF($K93="","",INDEX(전표_원본!$I$5:$I$100000,$K93))</f>
        <v/>
      </c>
      <c r="G93" s="35">
        <f>IF($K93="","",INDEX(전표_원본!$P$5:$P$100000,$K93))</f>
        <v/>
      </c>
      <c r="H93" s="35">
        <f>IF($K93="","",INDEX(전표_원본!$Z$5:$Z$100000,$K93))</f>
        <v/>
      </c>
      <c r="K93" s="7">
        <f>IFERROR(MATCH(LARGE(전표_원본!$AC$5:$AC$100000,7),전표_원본!$AC$5:$AC$100000,0),"")</f>
        <v/>
      </c>
      <c r="L93" s="26">
        <f>IF(변동분석!$A93="","",변동분석!$E93)</f>
        <v/>
      </c>
      <c r="M93" s="35">
        <f>IF(L93="",0,SUMIFS(전표_원본!$Z$5:$Z$100000,전표_원본!$O$5:$O$100000,L93,전표_원본!$M$5:$M$100000,설정!$C$20))</f>
        <v/>
      </c>
      <c r="N93" s="35">
        <f>IF(L93="",0,SUMIFS(전표_원본!$Z$5:$Z$100000,전표_원본!$O$5:$O$100000,L93,전표_원본!$M$5:$M$100000,설정!$C$20-1))</f>
        <v/>
      </c>
      <c r="O93" s="40">
        <f>M93-N93</f>
        <v/>
      </c>
      <c r="P93" s="41">
        <f>IF(L93="","",O93+ROW()/1000000)</f>
        <v/>
      </c>
    </row>
    <row r="94">
      <c r="A94" s="54">
        <f>IF($K94="","",INDEX(전표_원본!$D$5:$D$100000,$K94))</f>
        <v/>
      </c>
      <c r="B94" s="26">
        <f>IF($K94="","",INDEX(전표_원본!$C$5:$C$100000,$K94))</f>
        <v/>
      </c>
      <c r="C94" s="34">
        <f>IF($K94="","",INDEX(전표_원본!$G$5:$G$100000,$K94))</f>
        <v/>
      </c>
      <c r="D94" s="34">
        <f>IF($K94="","",INDEX(전표_원본!$F$5:$F$100000,$K94))</f>
        <v/>
      </c>
      <c r="E94" s="26">
        <f>IF($K94="","",INDEX(전표_원본!$K$5:$K$100000,$K94))</f>
        <v/>
      </c>
      <c r="F94" s="26">
        <f>IF($K94="","",INDEX(전표_원본!$I$5:$I$100000,$K94))</f>
        <v/>
      </c>
      <c r="G94" s="35">
        <f>IF($K94="","",INDEX(전표_원본!$P$5:$P$100000,$K94))</f>
        <v/>
      </c>
      <c r="H94" s="35">
        <f>IF($K94="","",INDEX(전표_원본!$Z$5:$Z$100000,$K94))</f>
        <v/>
      </c>
      <c r="K94" s="7">
        <f>IFERROR(MATCH(LARGE(전표_원본!$AC$5:$AC$100000,8),전표_원본!$AC$5:$AC$100000,0),"")</f>
        <v/>
      </c>
      <c r="L94" s="26">
        <f>IF(변동분석!$A94="","",변동분석!$E94)</f>
        <v/>
      </c>
      <c r="M94" s="35">
        <f>IF(L94="",0,SUMIFS(전표_원본!$Z$5:$Z$100000,전표_원본!$O$5:$O$100000,L94,전표_원본!$M$5:$M$100000,설정!$C$20))</f>
        <v/>
      </c>
      <c r="N94" s="35">
        <f>IF(L94="",0,SUMIFS(전표_원본!$Z$5:$Z$100000,전표_원본!$O$5:$O$100000,L94,전표_원본!$M$5:$M$100000,설정!$C$20-1))</f>
        <v/>
      </c>
      <c r="O94" s="40">
        <f>M94-N94</f>
        <v/>
      </c>
      <c r="P94" s="41">
        <f>IF(L94="","",O94+ROW()/1000000)</f>
        <v/>
      </c>
    </row>
    <row r="95">
      <c r="A95" s="54">
        <f>IF($K95="","",INDEX(전표_원본!$D$5:$D$100000,$K95))</f>
        <v/>
      </c>
      <c r="B95" s="26">
        <f>IF($K95="","",INDEX(전표_원본!$C$5:$C$100000,$K95))</f>
        <v/>
      </c>
      <c r="C95" s="34">
        <f>IF($K95="","",INDEX(전표_원본!$G$5:$G$100000,$K95))</f>
        <v/>
      </c>
      <c r="D95" s="34">
        <f>IF($K95="","",INDEX(전표_원본!$F$5:$F$100000,$K95))</f>
        <v/>
      </c>
      <c r="E95" s="26">
        <f>IF($K95="","",INDEX(전표_원본!$K$5:$K$100000,$K95))</f>
        <v/>
      </c>
      <c r="F95" s="26">
        <f>IF($K95="","",INDEX(전표_원본!$I$5:$I$100000,$K95))</f>
        <v/>
      </c>
      <c r="G95" s="35">
        <f>IF($K95="","",INDEX(전표_원본!$P$5:$P$100000,$K95))</f>
        <v/>
      </c>
      <c r="H95" s="35">
        <f>IF($K95="","",INDEX(전표_원본!$Z$5:$Z$100000,$K95))</f>
        <v/>
      </c>
      <c r="K95" s="7">
        <f>IFERROR(MATCH(LARGE(전표_원본!$AC$5:$AC$100000,9),전표_원본!$AC$5:$AC$100000,0),"")</f>
        <v/>
      </c>
      <c r="L95" s="26">
        <f>IF(변동분석!$A95="","",변동분석!$E95)</f>
        <v/>
      </c>
      <c r="M95" s="35">
        <f>IF(L95="",0,SUMIFS(전표_원본!$Z$5:$Z$100000,전표_원본!$O$5:$O$100000,L95,전표_원본!$M$5:$M$100000,설정!$C$20))</f>
        <v/>
      </c>
      <c r="N95" s="35">
        <f>IF(L95="",0,SUMIFS(전표_원본!$Z$5:$Z$100000,전표_원본!$O$5:$O$100000,L95,전표_원본!$M$5:$M$100000,설정!$C$20-1))</f>
        <v/>
      </c>
      <c r="O95" s="40">
        <f>M95-N95</f>
        <v/>
      </c>
      <c r="P95" s="41">
        <f>IF(L95="","",O95+ROW()/1000000)</f>
        <v/>
      </c>
    </row>
    <row r="96">
      <c r="A96" s="54">
        <f>IF($K96="","",INDEX(전표_원본!$D$5:$D$100000,$K96))</f>
        <v/>
      </c>
      <c r="B96" s="26">
        <f>IF($K96="","",INDEX(전표_원본!$C$5:$C$100000,$K96))</f>
        <v/>
      </c>
      <c r="C96" s="34">
        <f>IF($K96="","",INDEX(전표_원본!$G$5:$G$100000,$K96))</f>
        <v/>
      </c>
      <c r="D96" s="34">
        <f>IF($K96="","",INDEX(전표_원본!$F$5:$F$100000,$K96))</f>
        <v/>
      </c>
      <c r="E96" s="26">
        <f>IF($K96="","",INDEX(전표_원본!$K$5:$K$100000,$K96))</f>
        <v/>
      </c>
      <c r="F96" s="26">
        <f>IF($K96="","",INDEX(전표_원본!$I$5:$I$100000,$K96))</f>
        <v/>
      </c>
      <c r="G96" s="35">
        <f>IF($K96="","",INDEX(전표_원본!$P$5:$P$100000,$K96))</f>
        <v/>
      </c>
      <c r="H96" s="35">
        <f>IF($K96="","",INDEX(전표_원본!$Z$5:$Z$100000,$K96))</f>
        <v/>
      </c>
      <c r="K96" s="7">
        <f>IFERROR(MATCH(LARGE(전표_원본!$AC$5:$AC$100000,10),전표_원본!$AC$5:$AC$100000,0),"")</f>
        <v/>
      </c>
      <c r="L96" s="26">
        <f>IF(변동분석!$A96="","",변동분석!$E96)</f>
        <v/>
      </c>
      <c r="M96" s="35">
        <f>IF(L96="",0,SUMIFS(전표_원본!$Z$5:$Z$100000,전표_원본!$O$5:$O$100000,L96,전표_원본!$M$5:$M$100000,설정!$C$20))</f>
        <v/>
      </c>
      <c r="N96" s="35">
        <f>IF(L96="",0,SUMIFS(전표_원본!$Z$5:$Z$100000,전표_원본!$O$5:$O$100000,L96,전표_원본!$M$5:$M$100000,설정!$C$20-1))</f>
        <v/>
      </c>
      <c r="O96" s="40">
        <f>M96-N96</f>
        <v/>
      </c>
      <c r="P96" s="41">
        <f>IF(L96="","",O96+ROW()/1000000)</f>
        <v/>
      </c>
    </row>
    <row r="97">
      <c r="L97" s="26">
        <f>IF(변동분석!$A97="","",변동분석!$E97)</f>
        <v/>
      </c>
      <c r="M97" s="35">
        <f>IF(L97="",0,SUMIFS(전표_원본!$Z$5:$Z$100000,전표_원본!$O$5:$O$100000,L97,전표_원본!$M$5:$M$100000,설정!$C$20))</f>
        <v/>
      </c>
      <c r="N97" s="35">
        <f>IF(L97="",0,SUMIFS(전표_원본!$Z$5:$Z$100000,전표_원본!$O$5:$O$100000,L97,전표_원본!$M$5:$M$100000,설정!$C$20-1))</f>
        <v/>
      </c>
      <c r="O97" s="40">
        <f>M97-N97</f>
        <v/>
      </c>
      <c r="P97" s="41">
        <f>IF(L97="","",O97+ROW()/1000000)</f>
        <v/>
      </c>
    </row>
    <row r="98">
      <c r="L98" s="26">
        <f>IF(변동분석!$A98="","",변동분석!$E98)</f>
        <v/>
      </c>
      <c r="M98" s="35">
        <f>IF(L98="",0,SUMIFS(전표_원본!$Z$5:$Z$100000,전표_원본!$O$5:$O$100000,L98,전표_원본!$M$5:$M$100000,설정!$C$20))</f>
        <v/>
      </c>
      <c r="N98" s="35">
        <f>IF(L98="",0,SUMIFS(전표_원본!$Z$5:$Z$100000,전표_원본!$O$5:$O$100000,L98,전표_원본!$M$5:$M$100000,설정!$C$20-1))</f>
        <v/>
      </c>
      <c r="O98" s="40">
        <f>M98-N98</f>
        <v/>
      </c>
      <c r="P98" s="41">
        <f>IF(L98="","",O98+ROW()/1000000)</f>
        <v/>
      </c>
    </row>
    <row r="99">
      <c r="L99" s="26">
        <f>IF(변동분석!$A99="","",변동분석!$E99)</f>
        <v/>
      </c>
      <c r="M99" s="35">
        <f>IF(L99="",0,SUMIFS(전표_원본!$Z$5:$Z$100000,전표_원본!$O$5:$O$100000,L99,전표_원본!$M$5:$M$100000,설정!$C$20))</f>
        <v/>
      </c>
      <c r="N99" s="35">
        <f>IF(L99="",0,SUMIFS(전표_원본!$Z$5:$Z$100000,전표_원본!$O$5:$O$100000,L99,전표_원본!$M$5:$M$100000,설정!$C$20-1))</f>
        <v/>
      </c>
      <c r="O99" s="40">
        <f>M99-N99</f>
        <v/>
      </c>
      <c r="P99" s="41">
        <f>IF(L99="","",O99+ROW()/1000000)</f>
        <v/>
      </c>
    </row>
    <row r="100">
      <c r="L100" s="26">
        <f>IF(변동분석!$A100="","",변동분석!$E100)</f>
        <v/>
      </c>
      <c r="M100" s="35">
        <f>IF(L100="",0,SUMIFS(전표_원본!$Z$5:$Z$100000,전표_원본!$O$5:$O$100000,L100,전표_원본!$M$5:$M$100000,설정!$C$20))</f>
        <v/>
      </c>
      <c r="N100" s="35">
        <f>IF(L100="",0,SUMIFS(전표_원본!$Z$5:$Z$100000,전표_원본!$O$5:$O$100000,L100,전표_원본!$M$5:$M$100000,설정!$C$20-1))</f>
        <v/>
      </c>
      <c r="O100" s="40">
        <f>M100-N100</f>
        <v/>
      </c>
      <c r="P100" s="41">
        <f>IF(L100="","",O100+ROW()/1000000)</f>
        <v/>
      </c>
    </row>
    <row r="101">
      <c r="L101" s="26">
        <f>IF(변동분석!$A101="","",변동분석!$E101)</f>
        <v/>
      </c>
      <c r="M101" s="35">
        <f>IF(L101="",0,SUMIFS(전표_원본!$Z$5:$Z$100000,전표_원본!$O$5:$O$100000,L101,전표_원본!$M$5:$M$100000,설정!$C$20))</f>
        <v/>
      </c>
      <c r="N101" s="35">
        <f>IF(L101="",0,SUMIFS(전표_원본!$Z$5:$Z$100000,전표_원본!$O$5:$O$100000,L101,전표_원본!$M$5:$M$100000,설정!$C$20-1))</f>
        <v/>
      </c>
      <c r="O101" s="40">
        <f>M101-N101</f>
        <v/>
      </c>
      <c r="P101" s="41">
        <f>IF(L101="","",O101+ROW()/1000000)</f>
        <v/>
      </c>
    </row>
    <row r="102">
      <c r="L102" s="26">
        <f>IF(변동분석!$A102="","",변동분석!$E102)</f>
        <v/>
      </c>
      <c r="M102" s="35">
        <f>IF(L102="",0,SUMIFS(전표_원본!$Z$5:$Z$100000,전표_원본!$O$5:$O$100000,L102,전표_원본!$M$5:$M$100000,설정!$C$20))</f>
        <v/>
      </c>
      <c r="N102" s="35">
        <f>IF(L102="",0,SUMIFS(전표_원본!$Z$5:$Z$100000,전표_원본!$O$5:$O$100000,L102,전표_원본!$M$5:$M$100000,설정!$C$20-1))</f>
        <v/>
      </c>
      <c r="O102" s="40">
        <f>M102-N102</f>
        <v/>
      </c>
      <c r="P102" s="41">
        <f>IF(L102="","",O102+ROW()/1000000)</f>
        <v/>
      </c>
    </row>
    <row r="103">
      <c r="L103" s="26">
        <f>IF(변동분석!$A103="","",변동분석!$E103)</f>
        <v/>
      </c>
      <c r="M103" s="35">
        <f>IF(L103="",0,SUMIFS(전표_원본!$Z$5:$Z$100000,전표_원본!$O$5:$O$100000,L103,전표_원본!$M$5:$M$100000,설정!$C$20))</f>
        <v/>
      </c>
      <c r="N103" s="35">
        <f>IF(L103="",0,SUMIFS(전표_원본!$Z$5:$Z$100000,전표_원본!$O$5:$O$100000,L103,전표_원본!$M$5:$M$100000,설정!$C$20-1))</f>
        <v/>
      </c>
      <c r="O103" s="40">
        <f>M103-N103</f>
        <v/>
      </c>
      <c r="P103" s="41">
        <f>IF(L103="","",O103+ROW()/1000000)</f>
        <v/>
      </c>
    </row>
    <row r="104">
      <c r="L104" s="26">
        <f>IF(변동분석!$A104="","",변동분석!$E104)</f>
        <v/>
      </c>
      <c r="M104" s="35">
        <f>IF(L104="",0,SUMIFS(전표_원본!$Z$5:$Z$100000,전표_원본!$O$5:$O$100000,L104,전표_원본!$M$5:$M$100000,설정!$C$20))</f>
        <v/>
      </c>
      <c r="N104" s="35">
        <f>IF(L104="",0,SUMIFS(전표_원본!$Z$5:$Z$100000,전표_원본!$O$5:$O$100000,L104,전표_원본!$M$5:$M$100000,설정!$C$20-1))</f>
        <v/>
      </c>
      <c r="O104" s="40">
        <f>M104-N104</f>
        <v/>
      </c>
      <c r="P104" s="41">
        <f>IF(L104="","",O104+ROW()/1000000)</f>
        <v/>
      </c>
    </row>
    <row r="105">
      <c r="L105" s="26">
        <f>IF(변동분석!$A105="","",변동분석!$E105)</f>
        <v/>
      </c>
      <c r="M105" s="35">
        <f>IF(L105="",0,SUMIFS(전표_원본!$Z$5:$Z$100000,전표_원본!$O$5:$O$100000,L105,전표_원본!$M$5:$M$100000,설정!$C$20))</f>
        <v/>
      </c>
      <c r="N105" s="35">
        <f>IF(L105="",0,SUMIFS(전표_원본!$Z$5:$Z$100000,전표_원본!$O$5:$O$100000,L105,전표_원본!$M$5:$M$100000,설정!$C$20-1))</f>
        <v/>
      </c>
      <c r="O105" s="40">
        <f>M105-N105</f>
        <v/>
      </c>
      <c r="P105" s="41">
        <f>IF(L105="","",O105+ROW()/1000000)</f>
        <v/>
      </c>
    </row>
    <row r="106">
      <c r="L106" s="26">
        <f>IF(변동분석!$A106="","",변동분석!$E106)</f>
        <v/>
      </c>
      <c r="M106" s="35">
        <f>IF(L106="",0,SUMIFS(전표_원본!$Z$5:$Z$100000,전표_원본!$O$5:$O$100000,L106,전표_원본!$M$5:$M$100000,설정!$C$20))</f>
        <v/>
      </c>
      <c r="N106" s="35">
        <f>IF(L106="",0,SUMIFS(전표_원본!$Z$5:$Z$100000,전표_원본!$O$5:$O$100000,L106,전표_원본!$M$5:$M$100000,설정!$C$20-1))</f>
        <v/>
      </c>
      <c r="O106" s="40">
        <f>M106-N106</f>
        <v/>
      </c>
      <c r="P106" s="41">
        <f>IF(L106="","",O106+ROW()/1000000)</f>
        <v/>
      </c>
    </row>
    <row r="107">
      <c r="L107" s="26">
        <f>IF(변동분석!$A107="","",변동분석!$E107)</f>
        <v/>
      </c>
      <c r="M107" s="35">
        <f>IF(L107="",0,SUMIFS(전표_원본!$Z$5:$Z$100000,전표_원본!$O$5:$O$100000,L107,전표_원본!$M$5:$M$100000,설정!$C$20))</f>
        <v/>
      </c>
      <c r="N107" s="35">
        <f>IF(L107="",0,SUMIFS(전표_원본!$Z$5:$Z$100000,전표_원본!$O$5:$O$100000,L107,전표_원본!$M$5:$M$100000,설정!$C$20-1))</f>
        <v/>
      </c>
      <c r="O107" s="40">
        <f>M107-N107</f>
        <v/>
      </c>
      <c r="P107" s="41">
        <f>IF(L107="","",O107+ROW()/1000000)</f>
        <v/>
      </c>
    </row>
    <row r="108">
      <c r="L108" s="26">
        <f>IF(변동분석!$A108="","",변동분석!$E108)</f>
        <v/>
      </c>
      <c r="M108" s="35">
        <f>IF(L108="",0,SUMIFS(전표_원본!$Z$5:$Z$100000,전표_원본!$O$5:$O$100000,L108,전표_원본!$M$5:$M$100000,설정!$C$20))</f>
        <v/>
      </c>
      <c r="N108" s="35">
        <f>IF(L108="",0,SUMIFS(전표_원본!$Z$5:$Z$100000,전표_원본!$O$5:$O$100000,L108,전표_원본!$M$5:$M$100000,설정!$C$20-1))</f>
        <v/>
      </c>
      <c r="O108" s="40">
        <f>M108-N108</f>
        <v/>
      </c>
      <c r="P108" s="41">
        <f>IF(L108="","",O108+ROW()/1000000)</f>
        <v/>
      </c>
    </row>
    <row r="109">
      <c r="L109" s="26">
        <f>IF(변동분석!$A109="","",변동분석!$E109)</f>
        <v/>
      </c>
      <c r="M109" s="35">
        <f>IF(L109="",0,SUMIFS(전표_원본!$Z$5:$Z$100000,전표_원본!$O$5:$O$100000,L109,전표_원본!$M$5:$M$100000,설정!$C$20))</f>
        <v/>
      </c>
      <c r="N109" s="35">
        <f>IF(L109="",0,SUMIFS(전표_원본!$Z$5:$Z$100000,전표_원본!$O$5:$O$100000,L109,전표_원본!$M$5:$M$100000,설정!$C$20-1))</f>
        <v/>
      </c>
      <c r="O109" s="40">
        <f>M109-N109</f>
        <v/>
      </c>
      <c r="P109" s="41">
        <f>IF(L109="","",O109+ROW()/1000000)</f>
        <v/>
      </c>
    </row>
    <row r="110">
      <c r="L110" s="26">
        <f>IF(변동분석!$A110="","",변동분석!$E110)</f>
        <v/>
      </c>
      <c r="M110" s="35">
        <f>IF(L110="",0,SUMIFS(전표_원본!$Z$5:$Z$100000,전표_원본!$O$5:$O$100000,L110,전표_원본!$M$5:$M$100000,설정!$C$20))</f>
        <v/>
      </c>
      <c r="N110" s="35">
        <f>IF(L110="",0,SUMIFS(전표_원본!$Z$5:$Z$100000,전표_원본!$O$5:$O$100000,L110,전표_원본!$M$5:$M$100000,설정!$C$20-1))</f>
        <v/>
      </c>
      <c r="O110" s="40">
        <f>M110-N110</f>
        <v/>
      </c>
      <c r="P110" s="41">
        <f>IF(L110="","",O110+ROW()/1000000)</f>
        <v/>
      </c>
    </row>
    <row r="111">
      <c r="L111" s="26">
        <f>IF(변동분석!$A111="","",변동분석!$E111)</f>
        <v/>
      </c>
      <c r="M111" s="35">
        <f>IF(L111="",0,SUMIFS(전표_원본!$Z$5:$Z$100000,전표_원본!$O$5:$O$100000,L111,전표_원본!$M$5:$M$100000,설정!$C$20))</f>
        <v/>
      </c>
      <c r="N111" s="35">
        <f>IF(L111="",0,SUMIFS(전표_원본!$Z$5:$Z$100000,전표_원본!$O$5:$O$100000,L111,전표_원본!$M$5:$M$100000,설정!$C$20-1))</f>
        <v/>
      </c>
      <c r="O111" s="40">
        <f>M111-N111</f>
        <v/>
      </c>
      <c r="P111" s="41">
        <f>IF(L111="","",O111+ROW()/1000000)</f>
        <v/>
      </c>
    </row>
    <row r="112">
      <c r="L112" s="26">
        <f>IF(변동분석!$A112="","",변동분석!$E112)</f>
        <v/>
      </c>
      <c r="M112" s="35">
        <f>IF(L112="",0,SUMIFS(전표_원본!$Z$5:$Z$100000,전표_원본!$O$5:$O$100000,L112,전표_원본!$M$5:$M$100000,설정!$C$20))</f>
        <v/>
      </c>
      <c r="N112" s="35">
        <f>IF(L112="",0,SUMIFS(전표_원본!$Z$5:$Z$100000,전표_원본!$O$5:$O$100000,L112,전표_원본!$M$5:$M$100000,설정!$C$20-1))</f>
        <v/>
      </c>
      <c r="O112" s="40">
        <f>M112-N112</f>
        <v/>
      </c>
      <c r="P112" s="41">
        <f>IF(L112="","",O112+ROW()/1000000)</f>
        <v/>
      </c>
    </row>
    <row r="113">
      <c r="L113" s="26">
        <f>IF(변동분석!$A113="","",변동분석!$E113)</f>
        <v/>
      </c>
      <c r="M113" s="35">
        <f>IF(L113="",0,SUMIFS(전표_원본!$Z$5:$Z$100000,전표_원본!$O$5:$O$100000,L113,전표_원본!$M$5:$M$100000,설정!$C$20))</f>
        <v/>
      </c>
      <c r="N113" s="35">
        <f>IF(L113="",0,SUMIFS(전표_원본!$Z$5:$Z$100000,전표_원본!$O$5:$O$100000,L113,전표_원본!$M$5:$M$100000,설정!$C$20-1))</f>
        <v/>
      </c>
      <c r="O113" s="40">
        <f>M113-N113</f>
        <v/>
      </c>
      <c r="P113" s="41">
        <f>IF(L113="","",O113+ROW()/1000000)</f>
        <v/>
      </c>
    </row>
    <row r="114">
      <c r="L114" s="26">
        <f>IF(변동분석!$A114="","",변동분석!$E114)</f>
        <v/>
      </c>
      <c r="M114" s="35">
        <f>IF(L114="",0,SUMIFS(전표_원본!$Z$5:$Z$100000,전표_원본!$O$5:$O$100000,L114,전표_원본!$M$5:$M$100000,설정!$C$20))</f>
        <v/>
      </c>
      <c r="N114" s="35">
        <f>IF(L114="",0,SUMIFS(전표_원본!$Z$5:$Z$100000,전표_원본!$O$5:$O$100000,L114,전표_원본!$M$5:$M$100000,설정!$C$20-1))</f>
        <v/>
      </c>
      <c r="O114" s="40">
        <f>M114-N114</f>
        <v/>
      </c>
      <c r="P114" s="41">
        <f>IF(L114="","",O114+ROW()/1000000)</f>
        <v/>
      </c>
    </row>
    <row r="115">
      <c r="L115" s="26">
        <f>IF(변동분석!$A115="","",변동분석!$E115)</f>
        <v/>
      </c>
      <c r="M115" s="35">
        <f>IF(L115="",0,SUMIFS(전표_원본!$Z$5:$Z$100000,전표_원본!$O$5:$O$100000,L115,전표_원본!$M$5:$M$100000,설정!$C$20))</f>
        <v/>
      </c>
      <c r="N115" s="35">
        <f>IF(L115="",0,SUMIFS(전표_원본!$Z$5:$Z$100000,전표_원본!$O$5:$O$100000,L115,전표_원본!$M$5:$M$100000,설정!$C$20-1))</f>
        <v/>
      </c>
      <c r="O115" s="40">
        <f>M115-N115</f>
        <v/>
      </c>
      <c r="P115" s="41">
        <f>IF(L115="","",O115+ROW()/1000000)</f>
        <v/>
      </c>
    </row>
    <row r="116">
      <c r="L116" s="26">
        <f>IF(변동분석!$A116="","",변동분석!$E116)</f>
        <v/>
      </c>
      <c r="M116" s="35">
        <f>IF(L116="",0,SUMIFS(전표_원본!$Z$5:$Z$100000,전표_원본!$O$5:$O$100000,L116,전표_원본!$M$5:$M$100000,설정!$C$20))</f>
        <v/>
      </c>
      <c r="N116" s="35">
        <f>IF(L116="",0,SUMIFS(전표_원본!$Z$5:$Z$100000,전표_원본!$O$5:$O$100000,L116,전표_원본!$M$5:$M$100000,설정!$C$20-1))</f>
        <v/>
      </c>
      <c r="O116" s="40">
        <f>M116-N116</f>
        <v/>
      </c>
      <c r="P116" s="41">
        <f>IF(L116="","",O116+ROW()/1000000)</f>
        <v/>
      </c>
    </row>
    <row r="117">
      <c r="L117" s="26">
        <f>IF(변동분석!$A117="","",변동분석!$E117)</f>
        <v/>
      </c>
      <c r="M117" s="35">
        <f>IF(L117="",0,SUMIFS(전표_원본!$Z$5:$Z$100000,전표_원본!$O$5:$O$100000,L117,전표_원본!$M$5:$M$100000,설정!$C$20))</f>
        <v/>
      </c>
      <c r="N117" s="35">
        <f>IF(L117="",0,SUMIFS(전표_원본!$Z$5:$Z$100000,전표_원본!$O$5:$O$100000,L117,전표_원본!$M$5:$M$100000,설정!$C$20-1))</f>
        <v/>
      </c>
      <c r="O117" s="40">
        <f>M117-N117</f>
        <v/>
      </c>
      <c r="P117" s="41">
        <f>IF(L117="","",O117+ROW()/1000000)</f>
        <v/>
      </c>
    </row>
    <row r="118">
      <c r="L118" s="26">
        <f>IF(변동분석!$A118="","",변동분석!$E118)</f>
        <v/>
      </c>
      <c r="M118" s="35">
        <f>IF(L118="",0,SUMIFS(전표_원본!$Z$5:$Z$100000,전표_원본!$O$5:$O$100000,L118,전표_원본!$M$5:$M$100000,설정!$C$20))</f>
        <v/>
      </c>
      <c r="N118" s="35">
        <f>IF(L118="",0,SUMIFS(전표_원본!$Z$5:$Z$100000,전표_원본!$O$5:$O$100000,L118,전표_원본!$M$5:$M$100000,설정!$C$20-1))</f>
        <v/>
      </c>
      <c r="O118" s="40">
        <f>M118-N118</f>
        <v/>
      </c>
      <c r="P118" s="41">
        <f>IF(L118="","",O118+ROW()/1000000)</f>
        <v/>
      </c>
    </row>
    <row r="119">
      <c r="L119" s="26">
        <f>IF(변동분석!$A119="","",변동분석!$E119)</f>
        <v/>
      </c>
      <c r="M119" s="35">
        <f>IF(L119="",0,SUMIFS(전표_원본!$Z$5:$Z$100000,전표_원본!$O$5:$O$100000,L119,전표_원본!$M$5:$M$100000,설정!$C$20))</f>
        <v/>
      </c>
      <c r="N119" s="35">
        <f>IF(L119="",0,SUMIFS(전표_원본!$Z$5:$Z$100000,전표_원본!$O$5:$O$100000,L119,전표_원본!$M$5:$M$100000,설정!$C$20-1))</f>
        <v/>
      </c>
      <c r="O119" s="40">
        <f>M119-N119</f>
        <v/>
      </c>
      <c r="P119" s="41">
        <f>IF(L119="","",O119+ROW()/1000000)</f>
        <v/>
      </c>
    </row>
  </sheetData>
  <mergeCells count="4">
    <mergeCell ref="A33:F33"/>
    <mergeCell ref="A5:H6"/>
    <mergeCell ref="A34:F34"/>
    <mergeCell ref="A32:F32"/>
  </mergeCells>
  <conditionalFormatting sqref="H20:H31">
    <cfRule type="expression" priority="1" dxfId="7">
      <formula>LEFT(H20,3)="CSM"</formula>
    </cfRule>
  </conditionalFormatting>
  <conditionalFormatting sqref="G20:G31">
    <cfRule type="cellIs" priority="2" operator="lessThan" dxfId="8">
      <formula>0</formula>
    </cfRule>
  </conditionalFormatting>
  <conditionalFormatting sqref="F39:F42">
    <cfRule type="cellIs" priority="3" operator="equal" dxfId="1">
      <formula>"차이 확인"</formula>
    </cfRule>
  </conditionalFormatting>
  <conditionalFormatting sqref="F46:F56">
    <cfRule type="cellIs" priority="4" operator="equal" dxfId="7">
      <formula>"사업비"</formula>
    </cfRule>
  </conditionalFormatting>
  <conditionalFormatting sqref="F63:F73">
    <cfRule type="cellIs" priority="5" operator="equal" dxfId="7">
      <formula>"사업비"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9" customWidth="1" min="5" max="5"/>
    <col width="10" customWidth="1" min="6" max="6"/>
    <col width="20" customWidth="1" min="7" max="7"/>
    <col width="46" customWidth="1" min="8" max="8"/>
    <col width="2" customWidth="1" min="9" max="9"/>
    <col width="2" customWidth="1" min="10" max="10"/>
    <col width="6" customWidth="1" min="11" max="11"/>
    <col width="10" customWidth="1" min="12" max="12"/>
    <col width="10" customWidth="1" min="13" max="13"/>
  </cols>
  <sheetData>
    <row r="1">
      <c r="A1" s="27">
        <f>설정!$C$5&amp;" TRACE 사업비 변동 점검 ("&amp;INT((설정!$C$20-1)/12)&amp;"-"&amp;TEXT(MOD(설정!$C$20-1,12)+1,"00")&amp;")"</f>
        <v/>
      </c>
    </row>
    <row r="2">
      <c r="A2" s="2">
        <f>"단위: "&amp;설정!$C$9&amp;" · 전표·TB·예산판 대사: "&amp;계정변동!$P$25&amp;" · 자가진단: "&amp;자가진단!$B$4</f>
        <v/>
      </c>
    </row>
    <row r="4">
      <c r="A4" s="55" t="inlineStr">
        <is>
          <t>사업비 당월</t>
        </is>
      </c>
      <c r="B4" s="55" t="inlineStr">
        <is>
          <t>전월 대비</t>
        </is>
      </c>
      <c r="C4" s="55" t="inlineStr">
        <is>
          <t>전년동월 대비</t>
        </is>
      </c>
      <c r="D4" s="55" t="inlineStr">
        <is>
          <t>분기 한도 초과(예상)</t>
        </is>
      </c>
      <c r="E4" s="55" t="inlineStr">
        <is>
          <t>분기 한도 주의</t>
        </is>
      </c>
      <c r="F4" s="55" t="inlineStr">
        <is>
          <t>무예산 집행</t>
        </is>
      </c>
    </row>
    <row r="5" ht="30" customHeight="1">
      <c r="A5" s="56">
        <f>월별집계!Z6</f>
        <v/>
      </c>
      <c r="B5" s="57">
        <f>IF(월별집계!Y6&lt;=0,0,월별집계!Z6/월별집계!Y6-1)</f>
        <v/>
      </c>
      <c r="C5" s="57">
        <f>IF(월별집계!N6&lt;=0,0,월별집계!Z6/월별집계!N6-1)</f>
        <v/>
      </c>
      <c r="D5" s="58">
        <f>COUNTIF(변동분석!$AO$7:$AO$506,"한도 초과")+COUNTIF(변동분석!$AO$7:$AO$506,"초과 예상")</f>
        <v/>
      </c>
      <c r="E5" s="58">
        <f>COUNTIF(변동분석!$AO$7:$AO$506,"주의")</f>
        <v/>
      </c>
      <c r="F5" s="58">
        <f>COUNTIF(변동분석!$AO$7:$AO$506,"무예산")</f>
        <v/>
      </c>
    </row>
    <row r="7">
      <c r="A7" s="3" t="inlineStr">
        <is>
          <t>1. 주의 대상 TOP 10</t>
        </is>
      </c>
    </row>
    <row r="8" ht="20" customHeight="1">
      <c r="A8" s="4" t="inlineStr">
        <is>
          <t>순위</t>
        </is>
      </c>
      <c r="B8" s="4" t="inlineStr">
        <is>
          <t>부서</t>
        </is>
      </c>
      <c r="C8" s="4" t="inlineStr">
        <is>
          <t>계정</t>
        </is>
      </c>
      <c r="D8" s="4" t="inlineStr">
        <is>
          <t>당월</t>
        </is>
      </c>
      <c r="E8" s="4" t="inlineStr">
        <is>
          <t>전월대비</t>
        </is>
      </c>
      <c r="F8" s="4" t="inlineStr">
        <is>
          <t>예산</t>
        </is>
      </c>
      <c r="G8" s="4" t="inlineStr">
        <is>
          <t>빠른 신호</t>
        </is>
      </c>
      <c r="H8" s="4" t="inlineStr">
        <is>
          <t>확인된 원인</t>
        </is>
      </c>
    </row>
    <row r="9" ht="28" customHeight="1">
      <c r="A9" s="34">
        <f>주의대상!A6</f>
        <v/>
      </c>
      <c r="B9" s="26">
        <f>주의대상!B6</f>
        <v/>
      </c>
      <c r="C9" s="26">
        <f>주의대상!C6</f>
        <v/>
      </c>
      <c r="D9" s="35">
        <f>주의대상!D6</f>
        <v/>
      </c>
      <c r="E9" s="36">
        <f>주의대상!E6</f>
        <v/>
      </c>
      <c r="F9" s="34">
        <f>주의대상!G6</f>
        <v/>
      </c>
      <c r="G9" s="26">
        <f>주의대상!J6</f>
        <v/>
      </c>
      <c r="H9" s="59">
        <f>주의대상!M6</f>
        <v/>
      </c>
    </row>
    <row r="10" ht="28" customHeight="1">
      <c r="A10" s="34">
        <f>주의대상!A7</f>
        <v/>
      </c>
      <c r="B10" s="26">
        <f>주의대상!B7</f>
        <v/>
      </c>
      <c r="C10" s="26">
        <f>주의대상!C7</f>
        <v/>
      </c>
      <c r="D10" s="35">
        <f>주의대상!D7</f>
        <v/>
      </c>
      <c r="E10" s="36">
        <f>주의대상!E7</f>
        <v/>
      </c>
      <c r="F10" s="34">
        <f>주의대상!G7</f>
        <v/>
      </c>
      <c r="G10" s="26">
        <f>주의대상!J7</f>
        <v/>
      </c>
      <c r="H10" s="59">
        <f>주의대상!M7</f>
        <v/>
      </c>
    </row>
    <row r="11" ht="28" customHeight="1">
      <c r="A11" s="34">
        <f>주의대상!A8</f>
        <v/>
      </c>
      <c r="B11" s="26">
        <f>주의대상!B8</f>
        <v/>
      </c>
      <c r="C11" s="26">
        <f>주의대상!C8</f>
        <v/>
      </c>
      <c r="D11" s="35">
        <f>주의대상!D8</f>
        <v/>
      </c>
      <c r="E11" s="36">
        <f>주의대상!E8</f>
        <v/>
      </c>
      <c r="F11" s="34">
        <f>주의대상!G8</f>
        <v/>
      </c>
      <c r="G11" s="26">
        <f>주의대상!J8</f>
        <v/>
      </c>
      <c r="H11" s="59">
        <f>주의대상!M8</f>
        <v/>
      </c>
    </row>
    <row r="12" ht="28" customHeight="1">
      <c r="A12" s="34">
        <f>주의대상!A9</f>
        <v/>
      </c>
      <c r="B12" s="26">
        <f>주의대상!B9</f>
        <v/>
      </c>
      <c r="C12" s="26">
        <f>주의대상!C9</f>
        <v/>
      </c>
      <c r="D12" s="35">
        <f>주의대상!D9</f>
        <v/>
      </c>
      <c r="E12" s="36">
        <f>주의대상!E9</f>
        <v/>
      </c>
      <c r="F12" s="34">
        <f>주의대상!G9</f>
        <v/>
      </c>
      <c r="G12" s="26">
        <f>주의대상!J9</f>
        <v/>
      </c>
      <c r="H12" s="59">
        <f>주의대상!M9</f>
        <v/>
      </c>
    </row>
    <row r="13" ht="28" customHeight="1">
      <c r="A13" s="34">
        <f>주의대상!A10</f>
        <v/>
      </c>
      <c r="B13" s="26">
        <f>주의대상!B10</f>
        <v/>
      </c>
      <c r="C13" s="26">
        <f>주의대상!C10</f>
        <v/>
      </c>
      <c r="D13" s="35">
        <f>주의대상!D10</f>
        <v/>
      </c>
      <c r="E13" s="36">
        <f>주의대상!E10</f>
        <v/>
      </c>
      <c r="F13" s="34">
        <f>주의대상!G10</f>
        <v/>
      </c>
      <c r="G13" s="26">
        <f>주의대상!J10</f>
        <v/>
      </c>
      <c r="H13" s="59">
        <f>주의대상!M10</f>
        <v/>
      </c>
    </row>
    <row r="14" ht="28" customHeight="1">
      <c r="A14" s="34">
        <f>주의대상!A11</f>
        <v/>
      </c>
      <c r="B14" s="26">
        <f>주의대상!B11</f>
        <v/>
      </c>
      <c r="C14" s="26">
        <f>주의대상!C11</f>
        <v/>
      </c>
      <c r="D14" s="35">
        <f>주의대상!D11</f>
        <v/>
      </c>
      <c r="E14" s="36">
        <f>주의대상!E11</f>
        <v/>
      </c>
      <c r="F14" s="34">
        <f>주의대상!G11</f>
        <v/>
      </c>
      <c r="G14" s="26">
        <f>주의대상!J11</f>
        <v/>
      </c>
      <c r="H14" s="59">
        <f>주의대상!M11</f>
        <v/>
      </c>
    </row>
    <row r="15" ht="28" customHeight="1">
      <c r="A15" s="34">
        <f>주의대상!A12</f>
        <v/>
      </c>
      <c r="B15" s="26">
        <f>주의대상!B12</f>
        <v/>
      </c>
      <c r="C15" s="26">
        <f>주의대상!C12</f>
        <v/>
      </c>
      <c r="D15" s="35">
        <f>주의대상!D12</f>
        <v/>
      </c>
      <c r="E15" s="36">
        <f>주의대상!E12</f>
        <v/>
      </c>
      <c r="F15" s="34">
        <f>주의대상!G12</f>
        <v/>
      </c>
      <c r="G15" s="26">
        <f>주의대상!J12</f>
        <v/>
      </c>
      <c r="H15" s="59">
        <f>주의대상!M12</f>
        <v/>
      </c>
    </row>
    <row r="16" ht="28" customHeight="1">
      <c r="A16" s="34">
        <f>주의대상!A13</f>
        <v/>
      </c>
      <c r="B16" s="26">
        <f>주의대상!B13</f>
        <v/>
      </c>
      <c r="C16" s="26">
        <f>주의대상!C13</f>
        <v/>
      </c>
      <c r="D16" s="35">
        <f>주의대상!D13</f>
        <v/>
      </c>
      <c r="E16" s="36">
        <f>주의대상!E13</f>
        <v/>
      </c>
      <c r="F16" s="34">
        <f>주의대상!G13</f>
        <v/>
      </c>
      <c r="G16" s="26">
        <f>주의대상!J13</f>
        <v/>
      </c>
      <c r="H16" s="59">
        <f>주의대상!M13</f>
        <v/>
      </c>
    </row>
    <row r="17" ht="28" customHeight="1">
      <c r="A17" s="34">
        <f>주의대상!A14</f>
        <v/>
      </c>
      <c r="B17" s="26">
        <f>주의대상!B14</f>
        <v/>
      </c>
      <c r="C17" s="26">
        <f>주의대상!C14</f>
        <v/>
      </c>
      <c r="D17" s="35">
        <f>주의대상!D14</f>
        <v/>
      </c>
      <c r="E17" s="36">
        <f>주의대상!E14</f>
        <v/>
      </c>
      <c r="F17" s="34">
        <f>주의대상!G14</f>
        <v/>
      </c>
      <c r="G17" s="26">
        <f>주의대상!J14</f>
        <v/>
      </c>
      <c r="H17" s="59">
        <f>주의대상!M14</f>
        <v/>
      </c>
    </row>
    <row r="18" ht="28" customHeight="1">
      <c r="A18" s="34">
        <f>주의대상!A15</f>
        <v/>
      </c>
      <c r="B18" s="26">
        <f>주의대상!B15</f>
        <v/>
      </c>
      <c r="C18" s="26">
        <f>주의대상!C15</f>
        <v/>
      </c>
      <c r="D18" s="35">
        <f>주의대상!D15</f>
        <v/>
      </c>
      <c r="E18" s="36">
        <f>주의대상!E15</f>
        <v/>
      </c>
      <c r="F18" s="34">
        <f>주의대상!G15</f>
        <v/>
      </c>
      <c r="G18" s="26">
        <f>주의대상!J15</f>
        <v/>
      </c>
      <c r="H18" s="59">
        <f>주의대상!M15</f>
        <v/>
      </c>
    </row>
    <row r="20">
      <c r="A20" s="3" t="inlineStr">
        <is>
          <t>2. 원인 분석 (원인분석 시트에서 선택한 항목)</t>
        </is>
      </c>
    </row>
    <row r="21" ht="46" customHeight="1">
      <c r="A21" s="37">
        <f>원인분석!A18</f>
        <v/>
      </c>
    </row>
    <row r="22" ht="20" customHeight="1">
      <c r="A22" s="4" t="inlineStr">
        <is>
          <t>순위</t>
        </is>
      </c>
      <c r="B22" s="4" t="inlineStr">
        <is>
          <t>패턴</t>
        </is>
      </c>
      <c r="C22" s="4" t="inlineStr">
        <is>
          <t>근거 강도</t>
        </is>
      </c>
      <c r="D22" s="4" t="inlineStr">
        <is>
          <t>설명</t>
        </is>
      </c>
      <c r="E22" s="32" t="n"/>
      <c r="F22" s="32" t="n"/>
      <c r="G22" s="32" t="n"/>
      <c r="H22" s="33" t="n"/>
    </row>
    <row r="23" ht="30" customHeight="1">
      <c r="A23" s="34">
        <f>원인분석!A21</f>
        <v/>
      </c>
      <c r="B23" s="26">
        <f>원인분석!B21</f>
        <v/>
      </c>
      <c r="C23" s="34">
        <f>원인분석!C21</f>
        <v/>
      </c>
      <c r="D23" s="59">
        <f>원인분석!D21</f>
        <v/>
      </c>
      <c r="E23" s="32" t="n"/>
      <c r="F23" s="32" t="n"/>
      <c r="G23" s="32" t="n"/>
      <c r="H23" s="33" t="n"/>
    </row>
    <row r="24" ht="30" customHeight="1">
      <c r="A24" s="34">
        <f>원인분석!A22</f>
        <v/>
      </c>
      <c r="B24" s="26">
        <f>원인분석!B22</f>
        <v/>
      </c>
      <c r="C24" s="34">
        <f>원인분석!C22</f>
        <v/>
      </c>
      <c r="D24" s="59">
        <f>원인분석!D22</f>
        <v/>
      </c>
      <c r="E24" s="32" t="n"/>
      <c r="F24" s="32" t="n"/>
      <c r="G24" s="32" t="n"/>
      <c r="H24" s="33" t="n"/>
    </row>
    <row r="25" ht="30" customHeight="1">
      <c r="A25" s="34">
        <f>원인분석!A23</f>
        <v/>
      </c>
      <c r="B25" s="26">
        <f>원인분석!B23</f>
        <v/>
      </c>
      <c r="C25" s="34">
        <f>원인분석!C23</f>
        <v/>
      </c>
      <c r="D25" s="59">
        <f>원인분석!D23</f>
        <v/>
      </c>
      <c r="E25" s="32" t="n"/>
      <c r="F25" s="32" t="n"/>
      <c r="G25" s="32" t="n"/>
      <c r="H25" s="33" t="n"/>
    </row>
    <row r="26" ht="30" customHeight="1">
      <c r="A26" s="34">
        <f>원인분석!A24</f>
        <v/>
      </c>
      <c r="B26" s="26">
        <f>원인분석!B24</f>
        <v/>
      </c>
      <c r="C26" s="34">
        <f>원인분석!C24</f>
        <v/>
      </c>
      <c r="D26" s="59">
        <f>원인분석!D24</f>
        <v/>
      </c>
      <c r="E26" s="32" t="n"/>
      <c r="F26" s="32" t="n"/>
      <c r="G26" s="32" t="n"/>
      <c r="H26" s="33" t="n"/>
    </row>
    <row r="28">
      <c r="A28" s="3" t="inlineStr">
        <is>
          <t>3. 월별 사업비 (전사, 당해 vs 전년)</t>
        </is>
      </c>
    </row>
    <row r="29">
      <c r="K29" s="10" t="inlineStr">
        <is>
          <t>월</t>
        </is>
      </c>
      <c r="L29" s="10">
        <f>설정!$C$6&amp;"년"</f>
        <v/>
      </c>
      <c r="M29" s="10">
        <f>설정!$C$6-1&amp;"년"</f>
        <v/>
      </c>
    </row>
    <row r="30">
      <c r="K30" s="22" t="inlineStr">
        <is>
          <t>1월</t>
        </is>
      </c>
      <c r="L30" s="35">
        <f>IF(1&gt;설정!$C$7,0,SUMIFS(전표_원본!$P$5:$P$100000,전표_원본!$M$5:$M$100000,설정!$C$6*12+1))</f>
        <v/>
      </c>
      <c r="M30" s="35">
        <f>SUMIFS(전표_원본!$P$5:$P$100000,전표_원본!$M$5:$M$100000,(설정!$C$6-1)*12+1)</f>
        <v/>
      </c>
    </row>
    <row r="31">
      <c r="K31" s="22" t="inlineStr">
        <is>
          <t>2월</t>
        </is>
      </c>
      <c r="L31" s="35">
        <f>IF(2&gt;설정!$C$7,0,SUMIFS(전표_원본!$P$5:$P$100000,전표_원본!$M$5:$M$100000,설정!$C$6*12+2))</f>
        <v/>
      </c>
      <c r="M31" s="35">
        <f>SUMIFS(전표_원본!$P$5:$P$100000,전표_원본!$M$5:$M$100000,(설정!$C$6-1)*12+2)</f>
        <v/>
      </c>
    </row>
    <row r="32">
      <c r="K32" s="22" t="inlineStr">
        <is>
          <t>3월</t>
        </is>
      </c>
      <c r="L32" s="35">
        <f>IF(3&gt;설정!$C$7,0,SUMIFS(전표_원본!$P$5:$P$100000,전표_원본!$M$5:$M$100000,설정!$C$6*12+3))</f>
        <v/>
      </c>
      <c r="M32" s="35">
        <f>SUMIFS(전표_원본!$P$5:$P$100000,전표_원본!$M$5:$M$100000,(설정!$C$6-1)*12+3)</f>
        <v/>
      </c>
    </row>
    <row r="33">
      <c r="K33" s="22" t="inlineStr">
        <is>
          <t>4월</t>
        </is>
      </c>
      <c r="L33" s="35">
        <f>IF(4&gt;설정!$C$7,0,SUMIFS(전표_원본!$P$5:$P$100000,전표_원본!$M$5:$M$100000,설정!$C$6*12+4))</f>
        <v/>
      </c>
      <c r="M33" s="35">
        <f>SUMIFS(전표_원본!$P$5:$P$100000,전표_원본!$M$5:$M$100000,(설정!$C$6-1)*12+4)</f>
        <v/>
      </c>
    </row>
    <row r="34">
      <c r="K34" s="22" t="inlineStr">
        <is>
          <t>5월</t>
        </is>
      </c>
      <c r="L34" s="35">
        <f>IF(5&gt;설정!$C$7,0,SUMIFS(전표_원본!$P$5:$P$100000,전표_원본!$M$5:$M$100000,설정!$C$6*12+5))</f>
        <v/>
      </c>
      <c r="M34" s="35">
        <f>SUMIFS(전표_원본!$P$5:$P$100000,전표_원본!$M$5:$M$100000,(설정!$C$6-1)*12+5)</f>
        <v/>
      </c>
    </row>
    <row r="35">
      <c r="K35" s="22" t="inlineStr">
        <is>
          <t>6월</t>
        </is>
      </c>
      <c r="L35" s="35">
        <f>IF(6&gt;설정!$C$7,0,SUMIFS(전표_원본!$P$5:$P$100000,전표_원본!$M$5:$M$100000,설정!$C$6*12+6))</f>
        <v/>
      </c>
      <c r="M35" s="35">
        <f>SUMIFS(전표_원본!$P$5:$P$100000,전표_원본!$M$5:$M$100000,(설정!$C$6-1)*12+6)</f>
        <v/>
      </c>
    </row>
    <row r="36">
      <c r="K36" s="22" t="inlineStr">
        <is>
          <t>7월</t>
        </is>
      </c>
      <c r="L36" s="35">
        <f>IF(7&gt;설정!$C$7,0,SUMIFS(전표_원본!$P$5:$P$100000,전표_원본!$M$5:$M$100000,설정!$C$6*12+7))</f>
        <v/>
      </c>
      <c r="M36" s="35">
        <f>SUMIFS(전표_원본!$P$5:$P$100000,전표_원본!$M$5:$M$100000,(설정!$C$6-1)*12+7)</f>
        <v/>
      </c>
    </row>
    <row r="37">
      <c r="K37" s="22" t="inlineStr">
        <is>
          <t>8월</t>
        </is>
      </c>
      <c r="L37" s="35">
        <f>IF(8&gt;설정!$C$7,0,SUMIFS(전표_원본!$P$5:$P$100000,전표_원본!$M$5:$M$100000,설정!$C$6*12+8))</f>
        <v/>
      </c>
      <c r="M37" s="35">
        <f>SUMIFS(전표_원본!$P$5:$P$100000,전표_원본!$M$5:$M$100000,(설정!$C$6-1)*12+8)</f>
        <v/>
      </c>
    </row>
    <row r="38">
      <c r="K38" s="22" t="inlineStr">
        <is>
          <t>9월</t>
        </is>
      </c>
      <c r="L38" s="35">
        <f>IF(9&gt;설정!$C$7,0,SUMIFS(전표_원본!$P$5:$P$100000,전표_원본!$M$5:$M$100000,설정!$C$6*12+9))</f>
        <v/>
      </c>
      <c r="M38" s="35">
        <f>SUMIFS(전표_원본!$P$5:$P$100000,전표_원본!$M$5:$M$100000,(설정!$C$6-1)*12+9)</f>
        <v/>
      </c>
    </row>
    <row r="39">
      <c r="K39" s="22" t="inlineStr">
        <is>
          <t>10월</t>
        </is>
      </c>
      <c r="L39" s="35">
        <f>IF(10&gt;설정!$C$7,0,SUMIFS(전표_원본!$P$5:$P$100000,전표_원본!$M$5:$M$100000,설정!$C$6*12+10))</f>
        <v/>
      </c>
      <c r="M39" s="35">
        <f>SUMIFS(전표_원본!$P$5:$P$100000,전표_원본!$M$5:$M$100000,(설정!$C$6-1)*12+10)</f>
        <v/>
      </c>
    </row>
    <row r="40">
      <c r="K40" s="22" t="inlineStr">
        <is>
          <t>11월</t>
        </is>
      </c>
      <c r="L40" s="35">
        <f>IF(11&gt;설정!$C$7,0,SUMIFS(전표_원본!$P$5:$P$100000,전표_원본!$M$5:$M$100000,설정!$C$6*12+11))</f>
        <v/>
      </c>
      <c r="M40" s="35">
        <f>SUMIFS(전표_원본!$P$5:$P$100000,전표_원본!$M$5:$M$100000,(설정!$C$6-1)*12+11)</f>
        <v/>
      </c>
    </row>
    <row r="41">
      <c r="K41" s="22" t="inlineStr">
        <is>
          <t>12월</t>
        </is>
      </c>
      <c r="L41" s="35">
        <f>IF(12&gt;설정!$C$7,0,SUMIFS(전표_원본!$P$5:$P$100000,전표_원본!$M$5:$M$100000,설정!$C$6*12+12))</f>
        <v/>
      </c>
      <c r="M41" s="35">
        <f>SUMIFS(전표_원본!$P$5:$P$100000,전표_원본!$M$5:$M$100000,(설정!$C$6-1)*12+12)</f>
        <v/>
      </c>
    </row>
  </sheetData>
  <mergeCells count="6">
    <mergeCell ref="A21:H21"/>
    <mergeCell ref="D25:H25"/>
    <mergeCell ref="D24:H24"/>
    <mergeCell ref="D23:H23"/>
    <mergeCell ref="D22:H22"/>
    <mergeCell ref="D26:H26"/>
  </mergeCells>
  <conditionalFormatting sqref="F9:F18">
    <cfRule type="cellIs" priority="1" operator="equal" dxfId="3">
      <formula>"한도 초과"</formula>
    </cfRule>
    <cfRule type="cellIs" priority="2" operator="equal" dxfId="4">
      <formula>"초과 예상"</formula>
    </cfRule>
    <cfRule type="cellIs" priority="3" operator="equal" dxfId="3">
      <formula>"부족 예상"</formula>
    </cfRule>
    <cfRule type="cellIs" priority="4" operator="equal" dxfId="5">
      <formula>"주의"</formula>
    </cfRule>
    <cfRule type="cellIs" priority="5" operator="equal" dxfId="6">
      <formula>"무예산"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AP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9" customWidth="1" min="4" max="4"/>
    <col width="8" customWidth="1" min="5" max="5"/>
    <col width="9" customWidth="1" min="6" max="6"/>
    <col width="10" customWidth="1" min="7" max="7"/>
    <col width="9" customWidth="1" min="8" max="8"/>
    <col width="8" customWidth="1" min="9" max="9"/>
    <col width="22" customWidth="1" min="10" max="10"/>
    <col width="6" customWidth="1" min="11" max="11"/>
    <col hidden="1" width="4" customWidth="1" min="12" max="12"/>
    <col width="50" customWidth="1" min="13" max="13"/>
    <col width="5" customWidth="1" min="14" max="14"/>
    <col width="9" customWidth="1" min="15" max="15"/>
    <col width="8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0" customWidth="1" min="40" max="40"/>
    <col width="10" customWidth="1" min="41" max="41"/>
    <col width="12" customWidth="1" min="42" max="42"/>
  </cols>
  <sheetData>
    <row r="1">
      <c r="A1" s="1" t="inlineStr">
        <is>
          <t>TRACE · 주의 대상 TOP 10</t>
        </is>
      </c>
    </row>
    <row r="2">
      <c r="A2" s="2" t="inlineStr">
        <is>
          <t>점수 = 증가액(30) + 증가율(20) + 이상치(25) + 예산(25), 작은 금액은 30%로 낮춤 · 원인은 원인분석 시트 C5에 순위 입력</t>
        </is>
      </c>
    </row>
    <row r="3">
      <c r="A3" s="38">
        <f>"기준: "&amp;INT((설정!$C$20-1)/12)&amp;"-"&amp;TEXT(MOD(설정!$C$20-1,12)+1,"00")&amp;" · 단위: "&amp;설정!$C$9&amp;" · 분기 한도 초과 "&amp;COUNTIF(변동분석!$AO$7:$AO$506,"한도 초과")&amp;"건 · 초과 예상 "&amp;COUNTIF(변동분석!$AO$7:$AO$506,"초과 예상")&amp;"건 · 주의 "&amp;COUNTIF(변동분석!$AO$7:$AO$506,"주의")&amp;"건 · 무예산 "&amp;COUNTIF(변동분석!$AO$7:$AO$506,"무예산")&amp;"건"</f>
        <v/>
      </c>
    </row>
    <row r="4">
      <c r="S4" s="2" t="inlineStr">
        <is>
          <t>고갈 추세 (대시보드 주의 대상 상세 그래프용)</t>
        </is>
      </c>
    </row>
    <row r="5" ht="32" customHeight="1">
      <c r="A5" s="4" t="inlineStr">
        <is>
          <t>순위</t>
        </is>
      </c>
      <c r="B5" s="4" t="inlineStr">
        <is>
          <t>부서</t>
        </is>
      </c>
      <c r="C5" s="4" t="inlineStr">
        <is>
          <t>계정</t>
        </is>
      </c>
      <c r="D5" s="4" t="inlineStr">
        <is>
          <t>당월</t>
        </is>
      </c>
      <c r="E5" s="4" t="inlineStr">
        <is>
          <t>전월
대비</t>
        </is>
      </c>
      <c r="F5" s="4" t="inlineStr">
        <is>
          <t>전년동월
대비</t>
        </is>
      </c>
      <c r="G5" s="4" t="inlineStr">
        <is>
          <t>분기 판정</t>
        </is>
      </c>
      <c r="H5" s="4" t="inlineStr">
        <is>
          <t>분기
소진율</t>
        </is>
      </c>
      <c r="I5" s="4" t="inlineStr">
        <is>
          <t>연간 판정</t>
        </is>
      </c>
      <c r="J5" s="4" t="inlineStr">
        <is>
          <t>빠른 신호</t>
        </is>
      </c>
      <c r="K5" s="4" t="inlineStr">
        <is>
          <t>점수</t>
        </is>
      </c>
      <c r="L5" s="4" t="inlineStr">
        <is>
          <t>키</t>
        </is>
      </c>
      <c r="M5" s="4" t="inlineStr">
        <is>
          <t>확인된 원인 (코멘트)</t>
        </is>
      </c>
      <c r="N5" s="39" t="inlineStr">
        <is>
          <t>행</t>
        </is>
      </c>
      <c r="O5" s="4" t="inlineStr">
        <is>
          <t>당분기</t>
        </is>
      </c>
      <c r="P5" s="4" t="inlineStr">
        <is>
          <t>전분기
대비</t>
        </is>
      </c>
      <c r="Q5" s="4" t="inlineStr">
        <is>
          <t>당해
누계</t>
        </is>
      </c>
      <c r="R5" s="4" t="inlineStr">
        <is>
          <t>전년동기
누계 대비</t>
        </is>
      </c>
      <c r="S5" s="39" t="inlineStr">
        <is>
          <t>연간가용</t>
        </is>
      </c>
      <c r="T5" s="39" t="inlineStr">
        <is>
          <t>월 소진속도</t>
        </is>
      </c>
      <c r="U5" s="39" t="inlineStr">
        <is>
          <t>절편</t>
        </is>
      </c>
      <c r="V5" s="39" t="inlineStr">
        <is>
          <t>추세
연말 누계</t>
        </is>
      </c>
      <c r="W5" s="39" t="inlineStr">
        <is>
          <t>고갈
예상(개월)</t>
        </is>
      </c>
      <c r="X5" s="39" t="inlineStr">
        <is>
          <t>고갈
예상일</t>
        </is>
      </c>
      <c r="Y5" s="39" t="inlineStr">
        <is>
          <t>추세 판정</t>
        </is>
      </c>
      <c r="Z5" s="39" t="inlineStr">
        <is>
          <t>분기 고갈
예상일</t>
        </is>
      </c>
      <c r="AA5" s="39" t="inlineStr">
        <is>
          <t>누계
1월</t>
        </is>
      </c>
      <c r="AB5" s="39" t="inlineStr">
        <is>
          <t>누계
2월</t>
        </is>
      </c>
      <c r="AC5" s="39" t="inlineStr">
        <is>
          <t>누계
3월</t>
        </is>
      </c>
      <c r="AD5" s="39" t="inlineStr">
        <is>
          <t>누계
4월</t>
        </is>
      </c>
      <c r="AE5" s="39" t="inlineStr">
        <is>
          <t>누계
5월</t>
        </is>
      </c>
      <c r="AF5" s="39" t="inlineStr">
        <is>
          <t>누계
6월</t>
        </is>
      </c>
      <c r="AG5" s="39" t="inlineStr">
        <is>
          <t>누계
7월</t>
        </is>
      </c>
      <c r="AH5" s="39" t="inlineStr">
        <is>
          <t>누계
8월</t>
        </is>
      </c>
      <c r="AI5" s="39" t="inlineStr">
        <is>
          <t>누계
9월</t>
        </is>
      </c>
      <c r="AJ5" s="39" t="inlineStr">
        <is>
          <t>누계
10월</t>
        </is>
      </c>
      <c r="AK5" s="39" t="inlineStr">
        <is>
          <t>누계
11월</t>
        </is>
      </c>
      <c r="AL5" s="39" t="inlineStr">
        <is>
          <t>누계
12월</t>
        </is>
      </c>
      <c r="AM5" s="39" t="inlineStr">
        <is>
          <t>전년 남은기간
월평균</t>
        </is>
      </c>
      <c r="AN5" s="4" t="inlineStr">
        <is>
          <t>전월
증감액</t>
        </is>
      </c>
      <c r="AO5" s="4" t="inlineStr">
        <is>
          <t>전분기
증감액</t>
        </is>
      </c>
      <c r="AP5" s="4" t="inlineStr">
        <is>
          <t>전년동기누계
증감액</t>
        </is>
      </c>
    </row>
    <row r="6" ht="30" customHeight="1">
      <c r="A6" s="5" t="n">
        <v>1</v>
      </c>
      <c r="B6" s="26">
        <f>IF($N6="","",INDEX(변동분석!$B$7:$B$506,$N6))</f>
        <v/>
      </c>
      <c r="C6" s="26">
        <f>IF($N6="","",INDEX(변동분석!$D$7:$D$506,$N6))</f>
        <v/>
      </c>
      <c r="D6" s="35">
        <f>IF($N6="","",INDEX(변동분석!$F$7:$F$506,$N6))</f>
        <v/>
      </c>
      <c r="E6" s="36">
        <f>IF($N6="","",INDEX(변동분석!$H$7:$H$506,$N6))</f>
        <v/>
      </c>
      <c r="F6" s="36">
        <f>IF($N6="","",INDEX(변동분석!$J$7:$J$506,$N6))</f>
        <v/>
      </c>
      <c r="G6" s="34">
        <f>IF($N6="","",INDEX(변동분석!$AO$7:$AO$506,$N6))</f>
        <v/>
      </c>
      <c r="H6" s="60">
        <f>IF($N6="","",INDEX(변동분석!$AN$7:$AN$506,$N6))</f>
        <v/>
      </c>
      <c r="I6" s="34">
        <f>IF($N6="","",INDEX(변동분석!$W$7:$W$506,$N6))</f>
        <v/>
      </c>
      <c r="J6" s="26">
        <f>IF($N6="","",INDEX(변동분석!$Z$7:$Z$506,$N6))</f>
        <v/>
      </c>
      <c r="K6" s="61">
        <f>IF($N6="","",INDEX(변동분석!$AA$7:$AA$506,$N6))</f>
        <v/>
      </c>
      <c r="L6" s="26">
        <f>IF($N6="","",INDEX(변동분석!$E$7:$E$506,$N6))</f>
        <v/>
      </c>
      <c r="M6" s="59">
        <f>IF($L6="","",IFERROR(INDEX(코멘트!$F$5:$F$2004,MATCH(설정!$C$6&amp;"|"&amp;설정!$C$7&amp;"|"&amp;$L6,코멘트!$I$5:$I$2004,0)),"(미확인)"))</f>
        <v/>
      </c>
      <c r="N6" s="7">
        <f>IFERROR(MATCH(LARGE(변동분석!$AB$7:$AB$506,A6),변동분석!$AB$7:$AB$506,0),"")</f>
        <v/>
      </c>
      <c r="O6" s="35">
        <f>IF($N6="","",INDEX(변동분석!$K$7:$K$506,$N6))</f>
        <v/>
      </c>
      <c r="P6" s="36">
        <f>IF($N6="","",INDEX(변동분석!$M$7:$M$506,$N6))</f>
        <v/>
      </c>
      <c r="Q6" s="35">
        <f>IF($N6="","",INDEX(변동분석!$Q$7:$Q$506,$N6))</f>
        <v/>
      </c>
      <c r="R6" s="36">
        <f>IF($N6="","",INDEX(변동분석!$AY$7:$AY$506,$N6))</f>
        <v/>
      </c>
      <c r="S6" s="35">
        <f>IF($N6="","",INDEX(변동분석!$P$7:$P$506,$N6))</f>
        <v/>
      </c>
      <c r="T6" s="35">
        <f>IF($N6="","",INDEX(변동분석!$AP$7:$AP$506,$N6))</f>
        <v/>
      </c>
      <c r="U6" s="35">
        <f>IF($N6="","",INDEX(변동분석!$AQ$7:$AQ$506,$N6))</f>
        <v/>
      </c>
      <c r="V6" s="35">
        <f>IF($N6="","",INDEX(변동분석!$AR$7:$AR$506,$N6))</f>
        <v/>
      </c>
      <c r="W6" s="62">
        <f>IF($N6="","",INDEX(변동분석!$AS$7:$AS$506,$N6))</f>
        <v/>
      </c>
      <c r="X6" s="26">
        <f>IF($N6="","",INDEX(변동분석!$AT$7:$AT$506,$N6))</f>
        <v/>
      </c>
      <c r="Y6" s="26">
        <f>IF($N6="","",INDEX(변동분석!$AU$7:$AU$506,$N6))</f>
        <v/>
      </c>
      <c r="Z6" s="26">
        <f>IF($N6="","",INDEX(변동분석!$AV$7:$AV$506,$N6))</f>
        <v/>
      </c>
      <c r="AA6" s="35">
        <f>IF($N6="","",INDEX(월별집계!$AB$7:$AB$506,$N6))</f>
        <v/>
      </c>
      <c r="AB6" s="35">
        <f>IF($N6="","",INDEX(월별집계!$AC$7:$AC$506,$N6))</f>
        <v/>
      </c>
      <c r="AC6" s="35">
        <f>IF($N6="","",INDEX(월별집계!$AD$7:$AD$506,$N6))</f>
        <v/>
      </c>
      <c r="AD6" s="35">
        <f>IF($N6="","",INDEX(월별집계!$AE$7:$AE$506,$N6))</f>
        <v/>
      </c>
      <c r="AE6" s="35">
        <f>IF($N6="","",INDEX(월별집계!$AF$7:$AF$506,$N6))</f>
        <v/>
      </c>
      <c r="AF6" s="35">
        <f>IF($N6="","",INDEX(월별집계!$AG$7:$AG$506,$N6))</f>
        <v/>
      </c>
      <c r="AG6" s="35">
        <f>IF($N6="","",INDEX(월별집계!$AH$7:$AH$506,$N6))</f>
        <v/>
      </c>
      <c r="AH6" s="35">
        <f>IF($N6="","",INDEX(월별집계!$AI$7:$AI$506,$N6))</f>
        <v/>
      </c>
      <c r="AI6" s="35">
        <f>IF($N6="","",INDEX(월별집계!$AJ$7:$AJ$506,$N6))</f>
        <v/>
      </c>
      <c r="AJ6" s="35">
        <f>IF($N6="","",INDEX(월별집계!$AK$7:$AK$506,$N6))</f>
        <v/>
      </c>
      <c r="AK6" s="35">
        <f>IF($N6="","",INDEX(월별집계!$AL$7:$AL$506,$N6))</f>
        <v/>
      </c>
      <c r="AL6" s="35">
        <f>IF($N6="","",INDEX(월별집계!$AM$7:$AM$506,$N6))</f>
        <v/>
      </c>
      <c r="AM6" s="35">
        <f>IF($N6="","",INDEX(변동분석!$AZ$7:$AZ$506,$N6))</f>
        <v/>
      </c>
      <c r="AN6" s="35">
        <f>IF($N6="","",INDEX(변동분석!$F$7:$F$506,$N6)-INDEX(변동분석!$G$7:$G$506,$N6))</f>
        <v/>
      </c>
      <c r="AO6" s="35">
        <f>IF($N6="","",INDEX(변동분석!$K$7:$K$506,$N6)-INDEX(변동분석!$L$7:$L$506,$N6))</f>
        <v/>
      </c>
      <c r="AP6" s="35">
        <f>IF($N6="","",INDEX(변동분석!$Q$7:$Q$506,$N6)-INDEX(변동분석!$AX$7:$AX$506,$N6))</f>
        <v/>
      </c>
    </row>
    <row r="7" ht="30" customHeight="1">
      <c r="A7" s="5" t="n">
        <v>2</v>
      </c>
      <c r="B7" s="26">
        <f>IF($N7="","",INDEX(변동분석!$B$7:$B$506,$N7))</f>
        <v/>
      </c>
      <c r="C7" s="26">
        <f>IF($N7="","",INDEX(변동분석!$D$7:$D$506,$N7))</f>
        <v/>
      </c>
      <c r="D7" s="35">
        <f>IF($N7="","",INDEX(변동분석!$F$7:$F$506,$N7))</f>
        <v/>
      </c>
      <c r="E7" s="36">
        <f>IF($N7="","",INDEX(변동분석!$H$7:$H$506,$N7))</f>
        <v/>
      </c>
      <c r="F7" s="36">
        <f>IF($N7="","",INDEX(변동분석!$J$7:$J$506,$N7))</f>
        <v/>
      </c>
      <c r="G7" s="34">
        <f>IF($N7="","",INDEX(변동분석!$AO$7:$AO$506,$N7))</f>
        <v/>
      </c>
      <c r="H7" s="60">
        <f>IF($N7="","",INDEX(변동분석!$AN$7:$AN$506,$N7))</f>
        <v/>
      </c>
      <c r="I7" s="34">
        <f>IF($N7="","",INDEX(변동분석!$W$7:$W$506,$N7))</f>
        <v/>
      </c>
      <c r="J7" s="26">
        <f>IF($N7="","",INDEX(변동분석!$Z$7:$Z$506,$N7))</f>
        <v/>
      </c>
      <c r="K7" s="61">
        <f>IF($N7="","",INDEX(변동분석!$AA$7:$AA$506,$N7))</f>
        <v/>
      </c>
      <c r="L7" s="26">
        <f>IF($N7="","",INDEX(변동분석!$E$7:$E$506,$N7))</f>
        <v/>
      </c>
      <c r="M7" s="59">
        <f>IF($L7="","",IFERROR(INDEX(코멘트!$F$5:$F$2004,MATCH(설정!$C$6&amp;"|"&amp;설정!$C$7&amp;"|"&amp;$L7,코멘트!$I$5:$I$2004,0)),"(미확인)"))</f>
        <v/>
      </c>
      <c r="N7" s="7">
        <f>IFERROR(MATCH(LARGE(변동분석!$AB$7:$AB$506,A7),변동분석!$AB$7:$AB$506,0),"")</f>
        <v/>
      </c>
      <c r="O7" s="35">
        <f>IF($N7="","",INDEX(변동분석!$K$7:$K$506,$N7))</f>
        <v/>
      </c>
      <c r="P7" s="36">
        <f>IF($N7="","",INDEX(변동분석!$M$7:$M$506,$N7))</f>
        <v/>
      </c>
      <c r="Q7" s="35">
        <f>IF($N7="","",INDEX(변동분석!$Q$7:$Q$506,$N7))</f>
        <v/>
      </c>
      <c r="R7" s="36">
        <f>IF($N7="","",INDEX(변동분석!$AY$7:$AY$506,$N7))</f>
        <v/>
      </c>
      <c r="S7" s="35">
        <f>IF($N7="","",INDEX(변동분석!$P$7:$P$506,$N7))</f>
        <v/>
      </c>
      <c r="T7" s="35">
        <f>IF($N7="","",INDEX(변동분석!$AP$7:$AP$506,$N7))</f>
        <v/>
      </c>
      <c r="U7" s="35">
        <f>IF($N7="","",INDEX(변동분석!$AQ$7:$AQ$506,$N7))</f>
        <v/>
      </c>
      <c r="V7" s="35">
        <f>IF($N7="","",INDEX(변동분석!$AR$7:$AR$506,$N7))</f>
        <v/>
      </c>
      <c r="W7" s="62">
        <f>IF($N7="","",INDEX(변동분석!$AS$7:$AS$506,$N7))</f>
        <v/>
      </c>
      <c r="X7" s="26">
        <f>IF($N7="","",INDEX(변동분석!$AT$7:$AT$506,$N7))</f>
        <v/>
      </c>
      <c r="Y7" s="26">
        <f>IF($N7="","",INDEX(변동분석!$AU$7:$AU$506,$N7))</f>
        <v/>
      </c>
      <c r="Z7" s="26">
        <f>IF($N7="","",INDEX(변동분석!$AV$7:$AV$506,$N7))</f>
        <v/>
      </c>
      <c r="AA7" s="35">
        <f>IF($N7="","",INDEX(월별집계!$AB$7:$AB$506,$N7))</f>
        <v/>
      </c>
      <c r="AB7" s="35">
        <f>IF($N7="","",INDEX(월별집계!$AC$7:$AC$506,$N7))</f>
        <v/>
      </c>
      <c r="AC7" s="35">
        <f>IF($N7="","",INDEX(월별집계!$AD$7:$AD$506,$N7))</f>
        <v/>
      </c>
      <c r="AD7" s="35">
        <f>IF($N7="","",INDEX(월별집계!$AE$7:$AE$506,$N7))</f>
        <v/>
      </c>
      <c r="AE7" s="35">
        <f>IF($N7="","",INDEX(월별집계!$AF$7:$AF$506,$N7))</f>
        <v/>
      </c>
      <c r="AF7" s="35">
        <f>IF($N7="","",INDEX(월별집계!$AG$7:$AG$506,$N7))</f>
        <v/>
      </c>
      <c r="AG7" s="35">
        <f>IF($N7="","",INDEX(월별집계!$AH$7:$AH$506,$N7))</f>
        <v/>
      </c>
      <c r="AH7" s="35">
        <f>IF($N7="","",INDEX(월별집계!$AI$7:$AI$506,$N7))</f>
        <v/>
      </c>
      <c r="AI7" s="35">
        <f>IF($N7="","",INDEX(월별집계!$AJ$7:$AJ$506,$N7))</f>
        <v/>
      </c>
      <c r="AJ7" s="35">
        <f>IF($N7="","",INDEX(월별집계!$AK$7:$AK$506,$N7))</f>
        <v/>
      </c>
      <c r="AK7" s="35">
        <f>IF($N7="","",INDEX(월별집계!$AL$7:$AL$506,$N7))</f>
        <v/>
      </c>
      <c r="AL7" s="35">
        <f>IF($N7="","",INDEX(월별집계!$AM$7:$AM$506,$N7))</f>
        <v/>
      </c>
      <c r="AM7" s="35">
        <f>IF($N7="","",INDEX(변동분석!$AZ$7:$AZ$506,$N7))</f>
        <v/>
      </c>
      <c r="AN7" s="35">
        <f>IF($N7="","",INDEX(변동분석!$F$7:$F$506,$N7)-INDEX(변동분석!$G$7:$G$506,$N7))</f>
        <v/>
      </c>
      <c r="AO7" s="35">
        <f>IF($N7="","",INDEX(변동분석!$K$7:$K$506,$N7)-INDEX(변동분석!$L$7:$L$506,$N7))</f>
        <v/>
      </c>
      <c r="AP7" s="35">
        <f>IF($N7="","",INDEX(변동분석!$Q$7:$Q$506,$N7)-INDEX(변동분석!$AX$7:$AX$506,$N7))</f>
        <v/>
      </c>
    </row>
    <row r="8" ht="30" customHeight="1">
      <c r="A8" s="5" t="n">
        <v>3</v>
      </c>
      <c r="B8" s="26">
        <f>IF($N8="","",INDEX(변동분석!$B$7:$B$506,$N8))</f>
        <v/>
      </c>
      <c r="C8" s="26">
        <f>IF($N8="","",INDEX(변동분석!$D$7:$D$506,$N8))</f>
        <v/>
      </c>
      <c r="D8" s="35">
        <f>IF($N8="","",INDEX(변동분석!$F$7:$F$506,$N8))</f>
        <v/>
      </c>
      <c r="E8" s="36">
        <f>IF($N8="","",INDEX(변동분석!$H$7:$H$506,$N8))</f>
        <v/>
      </c>
      <c r="F8" s="36">
        <f>IF($N8="","",INDEX(변동분석!$J$7:$J$506,$N8))</f>
        <v/>
      </c>
      <c r="G8" s="34">
        <f>IF($N8="","",INDEX(변동분석!$AO$7:$AO$506,$N8))</f>
        <v/>
      </c>
      <c r="H8" s="60">
        <f>IF($N8="","",INDEX(변동분석!$AN$7:$AN$506,$N8))</f>
        <v/>
      </c>
      <c r="I8" s="34">
        <f>IF($N8="","",INDEX(변동분석!$W$7:$W$506,$N8))</f>
        <v/>
      </c>
      <c r="J8" s="26">
        <f>IF($N8="","",INDEX(변동분석!$Z$7:$Z$506,$N8))</f>
        <v/>
      </c>
      <c r="K8" s="61">
        <f>IF($N8="","",INDEX(변동분석!$AA$7:$AA$506,$N8))</f>
        <v/>
      </c>
      <c r="L8" s="26">
        <f>IF($N8="","",INDEX(변동분석!$E$7:$E$506,$N8))</f>
        <v/>
      </c>
      <c r="M8" s="59">
        <f>IF($L8="","",IFERROR(INDEX(코멘트!$F$5:$F$2004,MATCH(설정!$C$6&amp;"|"&amp;설정!$C$7&amp;"|"&amp;$L8,코멘트!$I$5:$I$2004,0)),"(미확인)"))</f>
        <v/>
      </c>
      <c r="N8" s="7">
        <f>IFERROR(MATCH(LARGE(변동분석!$AB$7:$AB$506,A8),변동분석!$AB$7:$AB$506,0),"")</f>
        <v/>
      </c>
      <c r="O8" s="35">
        <f>IF($N8="","",INDEX(변동분석!$K$7:$K$506,$N8))</f>
        <v/>
      </c>
      <c r="P8" s="36">
        <f>IF($N8="","",INDEX(변동분석!$M$7:$M$506,$N8))</f>
        <v/>
      </c>
      <c r="Q8" s="35">
        <f>IF($N8="","",INDEX(변동분석!$Q$7:$Q$506,$N8))</f>
        <v/>
      </c>
      <c r="R8" s="36">
        <f>IF($N8="","",INDEX(변동분석!$AY$7:$AY$506,$N8))</f>
        <v/>
      </c>
      <c r="S8" s="35">
        <f>IF($N8="","",INDEX(변동분석!$P$7:$P$506,$N8))</f>
        <v/>
      </c>
      <c r="T8" s="35">
        <f>IF($N8="","",INDEX(변동분석!$AP$7:$AP$506,$N8))</f>
        <v/>
      </c>
      <c r="U8" s="35">
        <f>IF($N8="","",INDEX(변동분석!$AQ$7:$AQ$506,$N8))</f>
        <v/>
      </c>
      <c r="V8" s="35">
        <f>IF($N8="","",INDEX(변동분석!$AR$7:$AR$506,$N8))</f>
        <v/>
      </c>
      <c r="W8" s="62">
        <f>IF($N8="","",INDEX(변동분석!$AS$7:$AS$506,$N8))</f>
        <v/>
      </c>
      <c r="X8" s="26">
        <f>IF($N8="","",INDEX(변동분석!$AT$7:$AT$506,$N8))</f>
        <v/>
      </c>
      <c r="Y8" s="26">
        <f>IF($N8="","",INDEX(변동분석!$AU$7:$AU$506,$N8))</f>
        <v/>
      </c>
      <c r="Z8" s="26">
        <f>IF($N8="","",INDEX(변동분석!$AV$7:$AV$506,$N8))</f>
        <v/>
      </c>
      <c r="AA8" s="35">
        <f>IF($N8="","",INDEX(월별집계!$AB$7:$AB$506,$N8))</f>
        <v/>
      </c>
      <c r="AB8" s="35">
        <f>IF($N8="","",INDEX(월별집계!$AC$7:$AC$506,$N8))</f>
        <v/>
      </c>
      <c r="AC8" s="35">
        <f>IF($N8="","",INDEX(월별집계!$AD$7:$AD$506,$N8))</f>
        <v/>
      </c>
      <c r="AD8" s="35">
        <f>IF($N8="","",INDEX(월별집계!$AE$7:$AE$506,$N8))</f>
        <v/>
      </c>
      <c r="AE8" s="35">
        <f>IF($N8="","",INDEX(월별집계!$AF$7:$AF$506,$N8))</f>
        <v/>
      </c>
      <c r="AF8" s="35">
        <f>IF($N8="","",INDEX(월별집계!$AG$7:$AG$506,$N8))</f>
        <v/>
      </c>
      <c r="AG8" s="35">
        <f>IF($N8="","",INDEX(월별집계!$AH$7:$AH$506,$N8))</f>
        <v/>
      </c>
      <c r="AH8" s="35">
        <f>IF($N8="","",INDEX(월별집계!$AI$7:$AI$506,$N8))</f>
        <v/>
      </c>
      <c r="AI8" s="35">
        <f>IF($N8="","",INDEX(월별집계!$AJ$7:$AJ$506,$N8))</f>
        <v/>
      </c>
      <c r="AJ8" s="35">
        <f>IF($N8="","",INDEX(월별집계!$AK$7:$AK$506,$N8))</f>
        <v/>
      </c>
      <c r="AK8" s="35">
        <f>IF($N8="","",INDEX(월별집계!$AL$7:$AL$506,$N8))</f>
        <v/>
      </c>
      <c r="AL8" s="35">
        <f>IF($N8="","",INDEX(월별집계!$AM$7:$AM$506,$N8))</f>
        <v/>
      </c>
      <c r="AM8" s="35">
        <f>IF($N8="","",INDEX(변동분석!$AZ$7:$AZ$506,$N8))</f>
        <v/>
      </c>
      <c r="AN8" s="35">
        <f>IF($N8="","",INDEX(변동분석!$F$7:$F$506,$N8)-INDEX(변동분석!$G$7:$G$506,$N8))</f>
        <v/>
      </c>
      <c r="AO8" s="35">
        <f>IF($N8="","",INDEX(변동분석!$K$7:$K$506,$N8)-INDEX(변동분석!$L$7:$L$506,$N8))</f>
        <v/>
      </c>
      <c r="AP8" s="35">
        <f>IF($N8="","",INDEX(변동분석!$Q$7:$Q$506,$N8)-INDEX(변동분석!$AX$7:$AX$506,$N8))</f>
        <v/>
      </c>
    </row>
    <row r="9" ht="30" customHeight="1">
      <c r="A9" s="5" t="n">
        <v>4</v>
      </c>
      <c r="B9" s="26">
        <f>IF($N9="","",INDEX(변동분석!$B$7:$B$506,$N9))</f>
        <v/>
      </c>
      <c r="C9" s="26">
        <f>IF($N9="","",INDEX(변동분석!$D$7:$D$506,$N9))</f>
        <v/>
      </c>
      <c r="D9" s="35">
        <f>IF($N9="","",INDEX(변동분석!$F$7:$F$506,$N9))</f>
        <v/>
      </c>
      <c r="E9" s="36">
        <f>IF($N9="","",INDEX(변동분석!$H$7:$H$506,$N9))</f>
        <v/>
      </c>
      <c r="F9" s="36">
        <f>IF($N9="","",INDEX(변동분석!$J$7:$J$506,$N9))</f>
        <v/>
      </c>
      <c r="G9" s="34">
        <f>IF($N9="","",INDEX(변동분석!$AO$7:$AO$506,$N9))</f>
        <v/>
      </c>
      <c r="H9" s="60">
        <f>IF($N9="","",INDEX(변동분석!$AN$7:$AN$506,$N9))</f>
        <v/>
      </c>
      <c r="I9" s="34">
        <f>IF($N9="","",INDEX(변동분석!$W$7:$W$506,$N9))</f>
        <v/>
      </c>
      <c r="J9" s="26">
        <f>IF($N9="","",INDEX(변동분석!$Z$7:$Z$506,$N9))</f>
        <v/>
      </c>
      <c r="K9" s="61">
        <f>IF($N9="","",INDEX(변동분석!$AA$7:$AA$506,$N9))</f>
        <v/>
      </c>
      <c r="L9" s="26">
        <f>IF($N9="","",INDEX(변동분석!$E$7:$E$506,$N9))</f>
        <v/>
      </c>
      <c r="M9" s="59">
        <f>IF($L9="","",IFERROR(INDEX(코멘트!$F$5:$F$2004,MATCH(설정!$C$6&amp;"|"&amp;설정!$C$7&amp;"|"&amp;$L9,코멘트!$I$5:$I$2004,0)),"(미확인)"))</f>
        <v/>
      </c>
      <c r="N9" s="7">
        <f>IFERROR(MATCH(LARGE(변동분석!$AB$7:$AB$506,A9),변동분석!$AB$7:$AB$506,0),"")</f>
        <v/>
      </c>
      <c r="O9" s="35">
        <f>IF($N9="","",INDEX(변동분석!$K$7:$K$506,$N9))</f>
        <v/>
      </c>
      <c r="P9" s="36">
        <f>IF($N9="","",INDEX(변동분석!$M$7:$M$506,$N9))</f>
        <v/>
      </c>
      <c r="Q9" s="35">
        <f>IF($N9="","",INDEX(변동분석!$Q$7:$Q$506,$N9))</f>
        <v/>
      </c>
      <c r="R9" s="36">
        <f>IF($N9="","",INDEX(변동분석!$AY$7:$AY$506,$N9))</f>
        <v/>
      </c>
      <c r="S9" s="35">
        <f>IF($N9="","",INDEX(변동분석!$P$7:$P$506,$N9))</f>
        <v/>
      </c>
      <c r="T9" s="35">
        <f>IF($N9="","",INDEX(변동분석!$AP$7:$AP$506,$N9))</f>
        <v/>
      </c>
      <c r="U9" s="35">
        <f>IF($N9="","",INDEX(변동분석!$AQ$7:$AQ$506,$N9))</f>
        <v/>
      </c>
      <c r="V9" s="35">
        <f>IF($N9="","",INDEX(변동분석!$AR$7:$AR$506,$N9))</f>
        <v/>
      </c>
      <c r="W9" s="62">
        <f>IF($N9="","",INDEX(변동분석!$AS$7:$AS$506,$N9))</f>
        <v/>
      </c>
      <c r="X9" s="26">
        <f>IF($N9="","",INDEX(변동분석!$AT$7:$AT$506,$N9))</f>
        <v/>
      </c>
      <c r="Y9" s="26">
        <f>IF($N9="","",INDEX(변동분석!$AU$7:$AU$506,$N9))</f>
        <v/>
      </c>
      <c r="Z9" s="26">
        <f>IF($N9="","",INDEX(변동분석!$AV$7:$AV$506,$N9))</f>
        <v/>
      </c>
      <c r="AA9" s="35">
        <f>IF($N9="","",INDEX(월별집계!$AB$7:$AB$506,$N9))</f>
        <v/>
      </c>
      <c r="AB9" s="35">
        <f>IF($N9="","",INDEX(월별집계!$AC$7:$AC$506,$N9))</f>
        <v/>
      </c>
      <c r="AC9" s="35">
        <f>IF($N9="","",INDEX(월별집계!$AD$7:$AD$506,$N9))</f>
        <v/>
      </c>
      <c r="AD9" s="35">
        <f>IF($N9="","",INDEX(월별집계!$AE$7:$AE$506,$N9))</f>
        <v/>
      </c>
      <c r="AE9" s="35">
        <f>IF($N9="","",INDEX(월별집계!$AF$7:$AF$506,$N9))</f>
        <v/>
      </c>
      <c r="AF9" s="35">
        <f>IF($N9="","",INDEX(월별집계!$AG$7:$AG$506,$N9))</f>
        <v/>
      </c>
      <c r="AG9" s="35">
        <f>IF($N9="","",INDEX(월별집계!$AH$7:$AH$506,$N9))</f>
        <v/>
      </c>
      <c r="AH9" s="35">
        <f>IF($N9="","",INDEX(월별집계!$AI$7:$AI$506,$N9))</f>
        <v/>
      </c>
      <c r="AI9" s="35">
        <f>IF($N9="","",INDEX(월별집계!$AJ$7:$AJ$506,$N9))</f>
        <v/>
      </c>
      <c r="AJ9" s="35">
        <f>IF($N9="","",INDEX(월별집계!$AK$7:$AK$506,$N9))</f>
        <v/>
      </c>
      <c r="AK9" s="35">
        <f>IF($N9="","",INDEX(월별집계!$AL$7:$AL$506,$N9))</f>
        <v/>
      </c>
      <c r="AL9" s="35">
        <f>IF($N9="","",INDEX(월별집계!$AM$7:$AM$506,$N9))</f>
        <v/>
      </c>
      <c r="AM9" s="35">
        <f>IF($N9="","",INDEX(변동분석!$AZ$7:$AZ$506,$N9))</f>
        <v/>
      </c>
      <c r="AN9" s="35">
        <f>IF($N9="","",INDEX(변동분석!$F$7:$F$506,$N9)-INDEX(변동분석!$G$7:$G$506,$N9))</f>
        <v/>
      </c>
      <c r="AO9" s="35">
        <f>IF($N9="","",INDEX(변동분석!$K$7:$K$506,$N9)-INDEX(변동분석!$L$7:$L$506,$N9))</f>
        <v/>
      </c>
      <c r="AP9" s="35">
        <f>IF($N9="","",INDEX(변동분석!$Q$7:$Q$506,$N9)-INDEX(변동분석!$AX$7:$AX$506,$N9))</f>
        <v/>
      </c>
    </row>
    <row r="10" ht="30" customHeight="1">
      <c r="A10" s="5" t="n">
        <v>5</v>
      </c>
      <c r="B10" s="26">
        <f>IF($N10="","",INDEX(변동분석!$B$7:$B$506,$N10))</f>
        <v/>
      </c>
      <c r="C10" s="26">
        <f>IF($N10="","",INDEX(변동분석!$D$7:$D$506,$N10))</f>
        <v/>
      </c>
      <c r="D10" s="35">
        <f>IF($N10="","",INDEX(변동분석!$F$7:$F$506,$N10))</f>
        <v/>
      </c>
      <c r="E10" s="36">
        <f>IF($N10="","",INDEX(변동분석!$H$7:$H$506,$N10))</f>
        <v/>
      </c>
      <c r="F10" s="36">
        <f>IF($N10="","",INDEX(변동분석!$J$7:$J$506,$N10))</f>
        <v/>
      </c>
      <c r="G10" s="34">
        <f>IF($N10="","",INDEX(변동분석!$AO$7:$AO$506,$N10))</f>
        <v/>
      </c>
      <c r="H10" s="60">
        <f>IF($N10="","",INDEX(변동분석!$AN$7:$AN$506,$N10))</f>
        <v/>
      </c>
      <c r="I10" s="34">
        <f>IF($N10="","",INDEX(변동분석!$W$7:$W$506,$N10))</f>
        <v/>
      </c>
      <c r="J10" s="26">
        <f>IF($N10="","",INDEX(변동분석!$Z$7:$Z$506,$N10))</f>
        <v/>
      </c>
      <c r="K10" s="61">
        <f>IF($N10="","",INDEX(변동분석!$AA$7:$AA$506,$N10))</f>
        <v/>
      </c>
      <c r="L10" s="26">
        <f>IF($N10="","",INDEX(변동분석!$E$7:$E$506,$N10))</f>
        <v/>
      </c>
      <c r="M10" s="59">
        <f>IF($L10="","",IFERROR(INDEX(코멘트!$F$5:$F$2004,MATCH(설정!$C$6&amp;"|"&amp;설정!$C$7&amp;"|"&amp;$L10,코멘트!$I$5:$I$2004,0)),"(미확인)"))</f>
        <v/>
      </c>
      <c r="N10" s="7">
        <f>IFERROR(MATCH(LARGE(변동분석!$AB$7:$AB$506,A10),변동분석!$AB$7:$AB$506,0),"")</f>
        <v/>
      </c>
      <c r="O10" s="35">
        <f>IF($N10="","",INDEX(변동분석!$K$7:$K$506,$N10))</f>
        <v/>
      </c>
      <c r="P10" s="36">
        <f>IF($N10="","",INDEX(변동분석!$M$7:$M$506,$N10))</f>
        <v/>
      </c>
      <c r="Q10" s="35">
        <f>IF($N10="","",INDEX(변동분석!$Q$7:$Q$506,$N10))</f>
        <v/>
      </c>
      <c r="R10" s="36">
        <f>IF($N10="","",INDEX(변동분석!$AY$7:$AY$506,$N10))</f>
        <v/>
      </c>
      <c r="S10" s="35">
        <f>IF($N10="","",INDEX(변동분석!$P$7:$P$506,$N10))</f>
        <v/>
      </c>
      <c r="T10" s="35">
        <f>IF($N10="","",INDEX(변동분석!$AP$7:$AP$506,$N10))</f>
        <v/>
      </c>
      <c r="U10" s="35">
        <f>IF($N10="","",INDEX(변동분석!$AQ$7:$AQ$506,$N10))</f>
        <v/>
      </c>
      <c r="V10" s="35">
        <f>IF($N10="","",INDEX(변동분석!$AR$7:$AR$506,$N10))</f>
        <v/>
      </c>
      <c r="W10" s="62">
        <f>IF($N10="","",INDEX(변동분석!$AS$7:$AS$506,$N10))</f>
        <v/>
      </c>
      <c r="X10" s="26">
        <f>IF($N10="","",INDEX(변동분석!$AT$7:$AT$506,$N10))</f>
        <v/>
      </c>
      <c r="Y10" s="26">
        <f>IF($N10="","",INDEX(변동분석!$AU$7:$AU$506,$N10))</f>
        <v/>
      </c>
      <c r="Z10" s="26">
        <f>IF($N10="","",INDEX(변동분석!$AV$7:$AV$506,$N10))</f>
        <v/>
      </c>
      <c r="AA10" s="35">
        <f>IF($N10="","",INDEX(월별집계!$AB$7:$AB$506,$N10))</f>
        <v/>
      </c>
      <c r="AB10" s="35">
        <f>IF($N10="","",INDEX(월별집계!$AC$7:$AC$506,$N10))</f>
        <v/>
      </c>
      <c r="AC10" s="35">
        <f>IF($N10="","",INDEX(월별집계!$AD$7:$AD$506,$N10))</f>
        <v/>
      </c>
      <c r="AD10" s="35">
        <f>IF($N10="","",INDEX(월별집계!$AE$7:$AE$506,$N10))</f>
        <v/>
      </c>
      <c r="AE10" s="35">
        <f>IF($N10="","",INDEX(월별집계!$AF$7:$AF$506,$N10))</f>
        <v/>
      </c>
      <c r="AF10" s="35">
        <f>IF($N10="","",INDEX(월별집계!$AG$7:$AG$506,$N10))</f>
        <v/>
      </c>
      <c r="AG10" s="35">
        <f>IF($N10="","",INDEX(월별집계!$AH$7:$AH$506,$N10))</f>
        <v/>
      </c>
      <c r="AH10" s="35">
        <f>IF($N10="","",INDEX(월별집계!$AI$7:$AI$506,$N10))</f>
        <v/>
      </c>
      <c r="AI10" s="35">
        <f>IF($N10="","",INDEX(월별집계!$AJ$7:$AJ$506,$N10))</f>
        <v/>
      </c>
      <c r="AJ10" s="35">
        <f>IF($N10="","",INDEX(월별집계!$AK$7:$AK$506,$N10))</f>
        <v/>
      </c>
      <c r="AK10" s="35">
        <f>IF($N10="","",INDEX(월별집계!$AL$7:$AL$506,$N10))</f>
        <v/>
      </c>
      <c r="AL10" s="35">
        <f>IF($N10="","",INDEX(월별집계!$AM$7:$AM$506,$N10))</f>
        <v/>
      </c>
      <c r="AM10" s="35">
        <f>IF($N10="","",INDEX(변동분석!$AZ$7:$AZ$506,$N10))</f>
        <v/>
      </c>
      <c r="AN10" s="35">
        <f>IF($N10="","",INDEX(변동분석!$F$7:$F$506,$N10)-INDEX(변동분석!$G$7:$G$506,$N10))</f>
        <v/>
      </c>
      <c r="AO10" s="35">
        <f>IF($N10="","",INDEX(변동분석!$K$7:$K$506,$N10)-INDEX(변동분석!$L$7:$L$506,$N10))</f>
        <v/>
      </c>
      <c r="AP10" s="35">
        <f>IF($N10="","",INDEX(변동분석!$Q$7:$Q$506,$N10)-INDEX(변동분석!$AX$7:$AX$506,$N10))</f>
        <v/>
      </c>
    </row>
    <row r="11" ht="30" customHeight="1">
      <c r="A11" s="5" t="n">
        <v>6</v>
      </c>
      <c r="B11" s="26">
        <f>IF($N11="","",INDEX(변동분석!$B$7:$B$506,$N11))</f>
        <v/>
      </c>
      <c r="C11" s="26">
        <f>IF($N11="","",INDEX(변동분석!$D$7:$D$506,$N11))</f>
        <v/>
      </c>
      <c r="D11" s="35">
        <f>IF($N11="","",INDEX(변동분석!$F$7:$F$506,$N11))</f>
        <v/>
      </c>
      <c r="E11" s="36">
        <f>IF($N11="","",INDEX(변동분석!$H$7:$H$506,$N11))</f>
        <v/>
      </c>
      <c r="F11" s="36">
        <f>IF($N11="","",INDEX(변동분석!$J$7:$J$506,$N11))</f>
        <v/>
      </c>
      <c r="G11" s="34">
        <f>IF($N11="","",INDEX(변동분석!$AO$7:$AO$506,$N11))</f>
        <v/>
      </c>
      <c r="H11" s="60">
        <f>IF($N11="","",INDEX(변동분석!$AN$7:$AN$506,$N11))</f>
        <v/>
      </c>
      <c r="I11" s="34">
        <f>IF($N11="","",INDEX(변동분석!$W$7:$W$506,$N11))</f>
        <v/>
      </c>
      <c r="J11" s="26">
        <f>IF($N11="","",INDEX(변동분석!$Z$7:$Z$506,$N11))</f>
        <v/>
      </c>
      <c r="K11" s="61">
        <f>IF($N11="","",INDEX(변동분석!$AA$7:$AA$506,$N11))</f>
        <v/>
      </c>
      <c r="L11" s="26">
        <f>IF($N11="","",INDEX(변동분석!$E$7:$E$506,$N11))</f>
        <v/>
      </c>
      <c r="M11" s="59">
        <f>IF($L11="","",IFERROR(INDEX(코멘트!$F$5:$F$2004,MATCH(설정!$C$6&amp;"|"&amp;설정!$C$7&amp;"|"&amp;$L11,코멘트!$I$5:$I$2004,0)),"(미확인)"))</f>
        <v/>
      </c>
      <c r="N11" s="7">
        <f>IFERROR(MATCH(LARGE(변동분석!$AB$7:$AB$506,A11),변동분석!$AB$7:$AB$506,0),"")</f>
        <v/>
      </c>
      <c r="O11" s="35">
        <f>IF($N11="","",INDEX(변동분석!$K$7:$K$506,$N11))</f>
        <v/>
      </c>
      <c r="P11" s="36">
        <f>IF($N11="","",INDEX(변동분석!$M$7:$M$506,$N11))</f>
        <v/>
      </c>
      <c r="Q11" s="35">
        <f>IF($N11="","",INDEX(변동분석!$Q$7:$Q$506,$N11))</f>
        <v/>
      </c>
      <c r="R11" s="36">
        <f>IF($N11="","",INDEX(변동분석!$AY$7:$AY$506,$N11))</f>
        <v/>
      </c>
      <c r="S11" s="35">
        <f>IF($N11="","",INDEX(변동분석!$P$7:$P$506,$N11))</f>
        <v/>
      </c>
      <c r="T11" s="35">
        <f>IF($N11="","",INDEX(변동분석!$AP$7:$AP$506,$N11))</f>
        <v/>
      </c>
      <c r="U11" s="35">
        <f>IF($N11="","",INDEX(변동분석!$AQ$7:$AQ$506,$N11))</f>
        <v/>
      </c>
      <c r="V11" s="35">
        <f>IF($N11="","",INDEX(변동분석!$AR$7:$AR$506,$N11))</f>
        <v/>
      </c>
      <c r="W11" s="62">
        <f>IF($N11="","",INDEX(변동분석!$AS$7:$AS$506,$N11))</f>
        <v/>
      </c>
      <c r="X11" s="26">
        <f>IF($N11="","",INDEX(변동분석!$AT$7:$AT$506,$N11))</f>
        <v/>
      </c>
      <c r="Y11" s="26">
        <f>IF($N11="","",INDEX(변동분석!$AU$7:$AU$506,$N11))</f>
        <v/>
      </c>
      <c r="Z11" s="26">
        <f>IF($N11="","",INDEX(변동분석!$AV$7:$AV$506,$N11))</f>
        <v/>
      </c>
      <c r="AA11" s="35">
        <f>IF($N11="","",INDEX(월별집계!$AB$7:$AB$506,$N11))</f>
        <v/>
      </c>
      <c r="AB11" s="35">
        <f>IF($N11="","",INDEX(월별집계!$AC$7:$AC$506,$N11))</f>
        <v/>
      </c>
      <c r="AC11" s="35">
        <f>IF($N11="","",INDEX(월별집계!$AD$7:$AD$506,$N11))</f>
        <v/>
      </c>
      <c r="AD11" s="35">
        <f>IF($N11="","",INDEX(월별집계!$AE$7:$AE$506,$N11))</f>
        <v/>
      </c>
      <c r="AE11" s="35">
        <f>IF($N11="","",INDEX(월별집계!$AF$7:$AF$506,$N11))</f>
        <v/>
      </c>
      <c r="AF11" s="35">
        <f>IF($N11="","",INDEX(월별집계!$AG$7:$AG$506,$N11))</f>
        <v/>
      </c>
      <c r="AG11" s="35">
        <f>IF($N11="","",INDEX(월별집계!$AH$7:$AH$506,$N11))</f>
        <v/>
      </c>
      <c r="AH11" s="35">
        <f>IF($N11="","",INDEX(월별집계!$AI$7:$AI$506,$N11))</f>
        <v/>
      </c>
      <c r="AI11" s="35">
        <f>IF($N11="","",INDEX(월별집계!$AJ$7:$AJ$506,$N11))</f>
        <v/>
      </c>
      <c r="AJ11" s="35">
        <f>IF($N11="","",INDEX(월별집계!$AK$7:$AK$506,$N11))</f>
        <v/>
      </c>
      <c r="AK11" s="35">
        <f>IF($N11="","",INDEX(월별집계!$AL$7:$AL$506,$N11))</f>
        <v/>
      </c>
      <c r="AL11" s="35">
        <f>IF($N11="","",INDEX(월별집계!$AM$7:$AM$506,$N11))</f>
        <v/>
      </c>
      <c r="AM11" s="35">
        <f>IF($N11="","",INDEX(변동분석!$AZ$7:$AZ$506,$N11))</f>
        <v/>
      </c>
      <c r="AN11" s="35">
        <f>IF($N11="","",INDEX(변동분석!$F$7:$F$506,$N11)-INDEX(변동분석!$G$7:$G$506,$N11))</f>
        <v/>
      </c>
      <c r="AO11" s="35">
        <f>IF($N11="","",INDEX(변동분석!$K$7:$K$506,$N11)-INDEX(변동분석!$L$7:$L$506,$N11))</f>
        <v/>
      </c>
      <c r="AP11" s="35">
        <f>IF($N11="","",INDEX(변동분석!$Q$7:$Q$506,$N11)-INDEX(변동분석!$AX$7:$AX$506,$N11))</f>
        <v/>
      </c>
    </row>
    <row r="12" ht="30" customHeight="1">
      <c r="A12" s="5" t="n">
        <v>7</v>
      </c>
      <c r="B12" s="26">
        <f>IF($N12="","",INDEX(변동분석!$B$7:$B$506,$N12))</f>
        <v/>
      </c>
      <c r="C12" s="26">
        <f>IF($N12="","",INDEX(변동분석!$D$7:$D$506,$N12))</f>
        <v/>
      </c>
      <c r="D12" s="35">
        <f>IF($N12="","",INDEX(변동분석!$F$7:$F$506,$N12))</f>
        <v/>
      </c>
      <c r="E12" s="36">
        <f>IF($N12="","",INDEX(변동분석!$H$7:$H$506,$N12))</f>
        <v/>
      </c>
      <c r="F12" s="36">
        <f>IF($N12="","",INDEX(변동분석!$J$7:$J$506,$N12))</f>
        <v/>
      </c>
      <c r="G12" s="34">
        <f>IF($N12="","",INDEX(변동분석!$AO$7:$AO$506,$N12))</f>
        <v/>
      </c>
      <c r="H12" s="60">
        <f>IF($N12="","",INDEX(변동분석!$AN$7:$AN$506,$N12))</f>
        <v/>
      </c>
      <c r="I12" s="34">
        <f>IF($N12="","",INDEX(변동분석!$W$7:$W$506,$N12))</f>
        <v/>
      </c>
      <c r="J12" s="26">
        <f>IF($N12="","",INDEX(변동분석!$Z$7:$Z$506,$N12))</f>
        <v/>
      </c>
      <c r="K12" s="61">
        <f>IF($N12="","",INDEX(변동분석!$AA$7:$AA$506,$N12))</f>
        <v/>
      </c>
      <c r="L12" s="26">
        <f>IF($N12="","",INDEX(변동분석!$E$7:$E$506,$N12))</f>
        <v/>
      </c>
      <c r="M12" s="59">
        <f>IF($L12="","",IFERROR(INDEX(코멘트!$F$5:$F$2004,MATCH(설정!$C$6&amp;"|"&amp;설정!$C$7&amp;"|"&amp;$L12,코멘트!$I$5:$I$2004,0)),"(미확인)"))</f>
        <v/>
      </c>
      <c r="N12" s="7">
        <f>IFERROR(MATCH(LARGE(변동분석!$AB$7:$AB$506,A12),변동분석!$AB$7:$AB$506,0),"")</f>
        <v/>
      </c>
      <c r="O12" s="35">
        <f>IF($N12="","",INDEX(변동분석!$K$7:$K$506,$N12))</f>
        <v/>
      </c>
      <c r="P12" s="36">
        <f>IF($N12="","",INDEX(변동분석!$M$7:$M$506,$N12))</f>
        <v/>
      </c>
      <c r="Q12" s="35">
        <f>IF($N12="","",INDEX(변동분석!$Q$7:$Q$506,$N12))</f>
        <v/>
      </c>
      <c r="R12" s="36">
        <f>IF($N12="","",INDEX(변동분석!$AY$7:$AY$506,$N12))</f>
        <v/>
      </c>
      <c r="S12" s="35">
        <f>IF($N12="","",INDEX(변동분석!$P$7:$P$506,$N12))</f>
        <v/>
      </c>
      <c r="T12" s="35">
        <f>IF($N12="","",INDEX(변동분석!$AP$7:$AP$506,$N12))</f>
        <v/>
      </c>
      <c r="U12" s="35">
        <f>IF($N12="","",INDEX(변동분석!$AQ$7:$AQ$506,$N12))</f>
        <v/>
      </c>
      <c r="V12" s="35">
        <f>IF($N12="","",INDEX(변동분석!$AR$7:$AR$506,$N12))</f>
        <v/>
      </c>
      <c r="W12" s="62">
        <f>IF($N12="","",INDEX(변동분석!$AS$7:$AS$506,$N12))</f>
        <v/>
      </c>
      <c r="X12" s="26">
        <f>IF($N12="","",INDEX(변동분석!$AT$7:$AT$506,$N12))</f>
        <v/>
      </c>
      <c r="Y12" s="26">
        <f>IF($N12="","",INDEX(변동분석!$AU$7:$AU$506,$N12))</f>
        <v/>
      </c>
      <c r="Z12" s="26">
        <f>IF($N12="","",INDEX(변동분석!$AV$7:$AV$506,$N12))</f>
        <v/>
      </c>
      <c r="AA12" s="35">
        <f>IF($N12="","",INDEX(월별집계!$AB$7:$AB$506,$N12))</f>
        <v/>
      </c>
      <c r="AB12" s="35">
        <f>IF($N12="","",INDEX(월별집계!$AC$7:$AC$506,$N12))</f>
        <v/>
      </c>
      <c r="AC12" s="35">
        <f>IF($N12="","",INDEX(월별집계!$AD$7:$AD$506,$N12))</f>
        <v/>
      </c>
      <c r="AD12" s="35">
        <f>IF($N12="","",INDEX(월별집계!$AE$7:$AE$506,$N12))</f>
        <v/>
      </c>
      <c r="AE12" s="35">
        <f>IF($N12="","",INDEX(월별집계!$AF$7:$AF$506,$N12))</f>
        <v/>
      </c>
      <c r="AF12" s="35">
        <f>IF($N12="","",INDEX(월별집계!$AG$7:$AG$506,$N12))</f>
        <v/>
      </c>
      <c r="AG12" s="35">
        <f>IF($N12="","",INDEX(월별집계!$AH$7:$AH$506,$N12))</f>
        <v/>
      </c>
      <c r="AH12" s="35">
        <f>IF($N12="","",INDEX(월별집계!$AI$7:$AI$506,$N12))</f>
        <v/>
      </c>
      <c r="AI12" s="35">
        <f>IF($N12="","",INDEX(월별집계!$AJ$7:$AJ$506,$N12))</f>
        <v/>
      </c>
      <c r="AJ12" s="35">
        <f>IF($N12="","",INDEX(월별집계!$AK$7:$AK$506,$N12))</f>
        <v/>
      </c>
      <c r="AK12" s="35">
        <f>IF($N12="","",INDEX(월별집계!$AL$7:$AL$506,$N12))</f>
        <v/>
      </c>
      <c r="AL12" s="35">
        <f>IF($N12="","",INDEX(월별집계!$AM$7:$AM$506,$N12))</f>
        <v/>
      </c>
      <c r="AM12" s="35">
        <f>IF($N12="","",INDEX(변동분석!$AZ$7:$AZ$506,$N12))</f>
        <v/>
      </c>
      <c r="AN12" s="35">
        <f>IF($N12="","",INDEX(변동분석!$F$7:$F$506,$N12)-INDEX(변동분석!$G$7:$G$506,$N12))</f>
        <v/>
      </c>
      <c r="AO12" s="35">
        <f>IF($N12="","",INDEX(변동분석!$K$7:$K$506,$N12)-INDEX(변동분석!$L$7:$L$506,$N12))</f>
        <v/>
      </c>
      <c r="AP12" s="35">
        <f>IF($N12="","",INDEX(변동분석!$Q$7:$Q$506,$N12)-INDEX(변동분석!$AX$7:$AX$506,$N12))</f>
        <v/>
      </c>
    </row>
    <row r="13" ht="30" customHeight="1">
      <c r="A13" s="5" t="n">
        <v>8</v>
      </c>
      <c r="B13" s="26">
        <f>IF($N13="","",INDEX(변동분석!$B$7:$B$506,$N13))</f>
        <v/>
      </c>
      <c r="C13" s="26">
        <f>IF($N13="","",INDEX(변동분석!$D$7:$D$506,$N13))</f>
        <v/>
      </c>
      <c r="D13" s="35">
        <f>IF($N13="","",INDEX(변동분석!$F$7:$F$506,$N13))</f>
        <v/>
      </c>
      <c r="E13" s="36">
        <f>IF($N13="","",INDEX(변동분석!$H$7:$H$506,$N13))</f>
        <v/>
      </c>
      <c r="F13" s="36">
        <f>IF($N13="","",INDEX(변동분석!$J$7:$J$506,$N13))</f>
        <v/>
      </c>
      <c r="G13" s="34">
        <f>IF($N13="","",INDEX(변동분석!$AO$7:$AO$506,$N13))</f>
        <v/>
      </c>
      <c r="H13" s="60">
        <f>IF($N13="","",INDEX(변동분석!$AN$7:$AN$506,$N13))</f>
        <v/>
      </c>
      <c r="I13" s="34">
        <f>IF($N13="","",INDEX(변동분석!$W$7:$W$506,$N13))</f>
        <v/>
      </c>
      <c r="J13" s="26">
        <f>IF($N13="","",INDEX(변동분석!$Z$7:$Z$506,$N13))</f>
        <v/>
      </c>
      <c r="K13" s="61">
        <f>IF($N13="","",INDEX(변동분석!$AA$7:$AA$506,$N13))</f>
        <v/>
      </c>
      <c r="L13" s="26">
        <f>IF($N13="","",INDEX(변동분석!$E$7:$E$506,$N13))</f>
        <v/>
      </c>
      <c r="M13" s="59">
        <f>IF($L13="","",IFERROR(INDEX(코멘트!$F$5:$F$2004,MATCH(설정!$C$6&amp;"|"&amp;설정!$C$7&amp;"|"&amp;$L13,코멘트!$I$5:$I$2004,0)),"(미확인)"))</f>
        <v/>
      </c>
      <c r="N13" s="7">
        <f>IFERROR(MATCH(LARGE(변동분석!$AB$7:$AB$506,A13),변동분석!$AB$7:$AB$506,0),"")</f>
        <v/>
      </c>
      <c r="O13" s="35">
        <f>IF($N13="","",INDEX(변동분석!$K$7:$K$506,$N13))</f>
        <v/>
      </c>
      <c r="P13" s="36">
        <f>IF($N13="","",INDEX(변동분석!$M$7:$M$506,$N13))</f>
        <v/>
      </c>
      <c r="Q13" s="35">
        <f>IF($N13="","",INDEX(변동분석!$Q$7:$Q$506,$N13))</f>
        <v/>
      </c>
      <c r="R13" s="36">
        <f>IF($N13="","",INDEX(변동분석!$AY$7:$AY$506,$N13))</f>
        <v/>
      </c>
      <c r="S13" s="35">
        <f>IF($N13="","",INDEX(변동분석!$P$7:$P$506,$N13))</f>
        <v/>
      </c>
      <c r="T13" s="35">
        <f>IF($N13="","",INDEX(변동분석!$AP$7:$AP$506,$N13))</f>
        <v/>
      </c>
      <c r="U13" s="35">
        <f>IF($N13="","",INDEX(변동분석!$AQ$7:$AQ$506,$N13))</f>
        <v/>
      </c>
      <c r="V13" s="35">
        <f>IF($N13="","",INDEX(변동분석!$AR$7:$AR$506,$N13))</f>
        <v/>
      </c>
      <c r="W13" s="62">
        <f>IF($N13="","",INDEX(변동분석!$AS$7:$AS$506,$N13))</f>
        <v/>
      </c>
      <c r="X13" s="26">
        <f>IF($N13="","",INDEX(변동분석!$AT$7:$AT$506,$N13))</f>
        <v/>
      </c>
      <c r="Y13" s="26">
        <f>IF($N13="","",INDEX(변동분석!$AU$7:$AU$506,$N13))</f>
        <v/>
      </c>
      <c r="Z13" s="26">
        <f>IF($N13="","",INDEX(변동분석!$AV$7:$AV$506,$N13))</f>
        <v/>
      </c>
      <c r="AA13" s="35">
        <f>IF($N13="","",INDEX(월별집계!$AB$7:$AB$506,$N13))</f>
        <v/>
      </c>
      <c r="AB13" s="35">
        <f>IF($N13="","",INDEX(월별집계!$AC$7:$AC$506,$N13))</f>
        <v/>
      </c>
      <c r="AC13" s="35">
        <f>IF($N13="","",INDEX(월별집계!$AD$7:$AD$506,$N13))</f>
        <v/>
      </c>
      <c r="AD13" s="35">
        <f>IF($N13="","",INDEX(월별집계!$AE$7:$AE$506,$N13))</f>
        <v/>
      </c>
      <c r="AE13" s="35">
        <f>IF($N13="","",INDEX(월별집계!$AF$7:$AF$506,$N13))</f>
        <v/>
      </c>
      <c r="AF13" s="35">
        <f>IF($N13="","",INDEX(월별집계!$AG$7:$AG$506,$N13))</f>
        <v/>
      </c>
      <c r="AG13" s="35">
        <f>IF($N13="","",INDEX(월별집계!$AH$7:$AH$506,$N13))</f>
        <v/>
      </c>
      <c r="AH13" s="35">
        <f>IF($N13="","",INDEX(월별집계!$AI$7:$AI$506,$N13))</f>
        <v/>
      </c>
      <c r="AI13" s="35">
        <f>IF($N13="","",INDEX(월별집계!$AJ$7:$AJ$506,$N13))</f>
        <v/>
      </c>
      <c r="AJ13" s="35">
        <f>IF($N13="","",INDEX(월별집계!$AK$7:$AK$506,$N13))</f>
        <v/>
      </c>
      <c r="AK13" s="35">
        <f>IF($N13="","",INDEX(월별집계!$AL$7:$AL$506,$N13))</f>
        <v/>
      </c>
      <c r="AL13" s="35">
        <f>IF($N13="","",INDEX(월별집계!$AM$7:$AM$506,$N13))</f>
        <v/>
      </c>
      <c r="AM13" s="35">
        <f>IF($N13="","",INDEX(변동분석!$AZ$7:$AZ$506,$N13))</f>
        <v/>
      </c>
      <c r="AN13" s="35">
        <f>IF($N13="","",INDEX(변동분석!$F$7:$F$506,$N13)-INDEX(변동분석!$G$7:$G$506,$N13))</f>
        <v/>
      </c>
      <c r="AO13" s="35">
        <f>IF($N13="","",INDEX(변동분석!$K$7:$K$506,$N13)-INDEX(변동분석!$L$7:$L$506,$N13))</f>
        <v/>
      </c>
      <c r="AP13" s="35">
        <f>IF($N13="","",INDEX(변동분석!$Q$7:$Q$506,$N13)-INDEX(변동분석!$AX$7:$AX$506,$N13))</f>
        <v/>
      </c>
    </row>
    <row r="14" ht="30" customHeight="1">
      <c r="A14" s="5" t="n">
        <v>9</v>
      </c>
      <c r="B14" s="26">
        <f>IF($N14="","",INDEX(변동분석!$B$7:$B$506,$N14))</f>
        <v/>
      </c>
      <c r="C14" s="26">
        <f>IF($N14="","",INDEX(변동분석!$D$7:$D$506,$N14))</f>
        <v/>
      </c>
      <c r="D14" s="35">
        <f>IF($N14="","",INDEX(변동분석!$F$7:$F$506,$N14))</f>
        <v/>
      </c>
      <c r="E14" s="36">
        <f>IF($N14="","",INDEX(변동분석!$H$7:$H$506,$N14))</f>
        <v/>
      </c>
      <c r="F14" s="36">
        <f>IF($N14="","",INDEX(변동분석!$J$7:$J$506,$N14))</f>
        <v/>
      </c>
      <c r="G14" s="34">
        <f>IF($N14="","",INDEX(변동분석!$AO$7:$AO$506,$N14))</f>
        <v/>
      </c>
      <c r="H14" s="60">
        <f>IF($N14="","",INDEX(변동분석!$AN$7:$AN$506,$N14))</f>
        <v/>
      </c>
      <c r="I14" s="34">
        <f>IF($N14="","",INDEX(변동분석!$W$7:$W$506,$N14))</f>
        <v/>
      </c>
      <c r="J14" s="26">
        <f>IF($N14="","",INDEX(변동분석!$Z$7:$Z$506,$N14))</f>
        <v/>
      </c>
      <c r="K14" s="61">
        <f>IF($N14="","",INDEX(변동분석!$AA$7:$AA$506,$N14))</f>
        <v/>
      </c>
      <c r="L14" s="26">
        <f>IF($N14="","",INDEX(변동분석!$E$7:$E$506,$N14))</f>
        <v/>
      </c>
      <c r="M14" s="59">
        <f>IF($L14="","",IFERROR(INDEX(코멘트!$F$5:$F$2004,MATCH(설정!$C$6&amp;"|"&amp;설정!$C$7&amp;"|"&amp;$L14,코멘트!$I$5:$I$2004,0)),"(미확인)"))</f>
        <v/>
      </c>
      <c r="N14" s="7">
        <f>IFERROR(MATCH(LARGE(변동분석!$AB$7:$AB$506,A14),변동분석!$AB$7:$AB$506,0),"")</f>
        <v/>
      </c>
      <c r="O14" s="35">
        <f>IF($N14="","",INDEX(변동분석!$K$7:$K$506,$N14))</f>
        <v/>
      </c>
      <c r="P14" s="36">
        <f>IF($N14="","",INDEX(변동분석!$M$7:$M$506,$N14))</f>
        <v/>
      </c>
      <c r="Q14" s="35">
        <f>IF($N14="","",INDEX(변동분석!$Q$7:$Q$506,$N14))</f>
        <v/>
      </c>
      <c r="R14" s="36">
        <f>IF($N14="","",INDEX(변동분석!$AY$7:$AY$506,$N14))</f>
        <v/>
      </c>
      <c r="S14" s="35">
        <f>IF($N14="","",INDEX(변동분석!$P$7:$P$506,$N14))</f>
        <v/>
      </c>
      <c r="T14" s="35">
        <f>IF($N14="","",INDEX(변동분석!$AP$7:$AP$506,$N14))</f>
        <v/>
      </c>
      <c r="U14" s="35">
        <f>IF($N14="","",INDEX(변동분석!$AQ$7:$AQ$506,$N14))</f>
        <v/>
      </c>
      <c r="V14" s="35">
        <f>IF($N14="","",INDEX(변동분석!$AR$7:$AR$506,$N14))</f>
        <v/>
      </c>
      <c r="W14" s="62">
        <f>IF($N14="","",INDEX(변동분석!$AS$7:$AS$506,$N14))</f>
        <v/>
      </c>
      <c r="X14" s="26">
        <f>IF($N14="","",INDEX(변동분석!$AT$7:$AT$506,$N14))</f>
        <v/>
      </c>
      <c r="Y14" s="26">
        <f>IF($N14="","",INDEX(변동분석!$AU$7:$AU$506,$N14))</f>
        <v/>
      </c>
      <c r="Z14" s="26">
        <f>IF($N14="","",INDEX(변동분석!$AV$7:$AV$506,$N14))</f>
        <v/>
      </c>
      <c r="AA14" s="35">
        <f>IF($N14="","",INDEX(월별집계!$AB$7:$AB$506,$N14))</f>
        <v/>
      </c>
      <c r="AB14" s="35">
        <f>IF($N14="","",INDEX(월별집계!$AC$7:$AC$506,$N14))</f>
        <v/>
      </c>
      <c r="AC14" s="35">
        <f>IF($N14="","",INDEX(월별집계!$AD$7:$AD$506,$N14))</f>
        <v/>
      </c>
      <c r="AD14" s="35">
        <f>IF($N14="","",INDEX(월별집계!$AE$7:$AE$506,$N14))</f>
        <v/>
      </c>
      <c r="AE14" s="35">
        <f>IF($N14="","",INDEX(월별집계!$AF$7:$AF$506,$N14))</f>
        <v/>
      </c>
      <c r="AF14" s="35">
        <f>IF($N14="","",INDEX(월별집계!$AG$7:$AG$506,$N14))</f>
        <v/>
      </c>
      <c r="AG14" s="35">
        <f>IF($N14="","",INDEX(월별집계!$AH$7:$AH$506,$N14))</f>
        <v/>
      </c>
      <c r="AH14" s="35">
        <f>IF($N14="","",INDEX(월별집계!$AI$7:$AI$506,$N14))</f>
        <v/>
      </c>
      <c r="AI14" s="35">
        <f>IF($N14="","",INDEX(월별집계!$AJ$7:$AJ$506,$N14))</f>
        <v/>
      </c>
      <c r="AJ14" s="35">
        <f>IF($N14="","",INDEX(월별집계!$AK$7:$AK$506,$N14))</f>
        <v/>
      </c>
      <c r="AK14" s="35">
        <f>IF($N14="","",INDEX(월별집계!$AL$7:$AL$506,$N14))</f>
        <v/>
      </c>
      <c r="AL14" s="35">
        <f>IF($N14="","",INDEX(월별집계!$AM$7:$AM$506,$N14))</f>
        <v/>
      </c>
      <c r="AM14" s="35">
        <f>IF($N14="","",INDEX(변동분석!$AZ$7:$AZ$506,$N14))</f>
        <v/>
      </c>
      <c r="AN14" s="35">
        <f>IF($N14="","",INDEX(변동분석!$F$7:$F$506,$N14)-INDEX(변동분석!$G$7:$G$506,$N14))</f>
        <v/>
      </c>
      <c r="AO14" s="35">
        <f>IF($N14="","",INDEX(변동분석!$K$7:$K$506,$N14)-INDEX(변동분석!$L$7:$L$506,$N14))</f>
        <v/>
      </c>
      <c r="AP14" s="35">
        <f>IF($N14="","",INDEX(변동분석!$Q$7:$Q$506,$N14)-INDEX(변동분석!$AX$7:$AX$506,$N14))</f>
        <v/>
      </c>
    </row>
    <row r="15" ht="30" customHeight="1">
      <c r="A15" s="5" t="n">
        <v>10</v>
      </c>
      <c r="B15" s="26">
        <f>IF($N15="","",INDEX(변동분석!$B$7:$B$506,$N15))</f>
        <v/>
      </c>
      <c r="C15" s="26">
        <f>IF($N15="","",INDEX(변동분석!$D$7:$D$506,$N15))</f>
        <v/>
      </c>
      <c r="D15" s="35">
        <f>IF($N15="","",INDEX(변동분석!$F$7:$F$506,$N15))</f>
        <v/>
      </c>
      <c r="E15" s="36">
        <f>IF($N15="","",INDEX(변동분석!$H$7:$H$506,$N15))</f>
        <v/>
      </c>
      <c r="F15" s="36">
        <f>IF($N15="","",INDEX(변동분석!$J$7:$J$506,$N15))</f>
        <v/>
      </c>
      <c r="G15" s="34">
        <f>IF($N15="","",INDEX(변동분석!$AO$7:$AO$506,$N15))</f>
        <v/>
      </c>
      <c r="H15" s="60">
        <f>IF($N15="","",INDEX(변동분석!$AN$7:$AN$506,$N15))</f>
        <v/>
      </c>
      <c r="I15" s="34">
        <f>IF($N15="","",INDEX(변동분석!$W$7:$W$506,$N15))</f>
        <v/>
      </c>
      <c r="J15" s="26">
        <f>IF($N15="","",INDEX(변동분석!$Z$7:$Z$506,$N15))</f>
        <v/>
      </c>
      <c r="K15" s="61">
        <f>IF($N15="","",INDEX(변동분석!$AA$7:$AA$506,$N15))</f>
        <v/>
      </c>
      <c r="L15" s="26">
        <f>IF($N15="","",INDEX(변동분석!$E$7:$E$506,$N15))</f>
        <v/>
      </c>
      <c r="M15" s="59">
        <f>IF($L15="","",IFERROR(INDEX(코멘트!$F$5:$F$2004,MATCH(설정!$C$6&amp;"|"&amp;설정!$C$7&amp;"|"&amp;$L15,코멘트!$I$5:$I$2004,0)),"(미확인)"))</f>
        <v/>
      </c>
      <c r="N15" s="7">
        <f>IFERROR(MATCH(LARGE(변동분석!$AB$7:$AB$506,A15),변동분석!$AB$7:$AB$506,0),"")</f>
        <v/>
      </c>
      <c r="O15" s="35">
        <f>IF($N15="","",INDEX(변동분석!$K$7:$K$506,$N15))</f>
        <v/>
      </c>
      <c r="P15" s="36">
        <f>IF($N15="","",INDEX(변동분석!$M$7:$M$506,$N15))</f>
        <v/>
      </c>
      <c r="Q15" s="35">
        <f>IF($N15="","",INDEX(변동분석!$Q$7:$Q$506,$N15))</f>
        <v/>
      </c>
      <c r="R15" s="36">
        <f>IF($N15="","",INDEX(변동분석!$AY$7:$AY$506,$N15))</f>
        <v/>
      </c>
      <c r="S15" s="35">
        <f>IF($N15="","",INDEX(변동분석!$P$7:$P$506,$N15))</f>
        <v/>
      </c>
      <c r="T15" s="35">
        <f>IF($N15="","",INDEX(변동분석!$AP$7:$AP$506,$N15))</f>
        <v/>
      </c>
      <c r="U15" s="35">
        <f>IF($N15="","",INDEX(변동분석!$AQ$7:$AQ$506,$N15))</f>
        <v/>
      </c>
      <c r="V15" s="35">
        <f>IF($N15="","",INDEX(변동분석!$AR$7:$AR$506,$N15))</f>
        <v/>
      </c>
      <c r="W15" s="62">
        <f>IF($N15="","",INDEX(변동분석!$AS$7:$AS$506,$N15))</f>
        <v/>
      </c>
      <c r="X15" s="26">
        <f>IF($N15="","",INDEX(변동분석!$AT$7:$AT$506,$N15))</f>
        <v/>
      </c>
      <c r="Y15" s="26">
        <f>IF($N15="","",INDEX(변동분석!$AU$7:$AU$506,$N15))</f>
        <v/>
      </c>
      <c r="Z15" s="26">
        <f>IF($N15="","",INDEX(변동분석!$AV$7:$AV$506,$N15))</f>
        <v/>
      </c>
      <c r="AA15" s="35">
        <f>IF($N15="","",INDEX(월별집계!$AB$7:$AB$506,$N15))</f>
        <v/>
      </c>
      <c r="AB15" s="35">
        <f>IF($N15="","",INDEX(월별집계!$AC$7:$AC$506,$N15))</f>
        <v/>
      </c>
      <c r="AC15" s="35">
        <f>IF($N15="","",INDEX(월별집계!$AD$7:$AD$506,$N15))</f>
        <v/>
      </c>
      <c r="AD15" s="35">
        <f>IF($N15="","",INDEX(월별집계!$AE$7:$AE$506,$N15))</f>
        <v/>
      </c>
      <c r="AE15" s="35">
        <f>IF($N15="","",INDEX(월별집계!$AF$7:$AF$506,$N15))</f>
        <v/>
      </c>
      <c r="AF15" s="35">
        <f>IF($N15="","",INDEX(월별집계!$AG$7:$AG$506,$N15))</f>
        <v/>
      </c>
      <c r="AG15" s="35">
        <f>IF($N15="","",INDEX(월별집계!$AH$7:$AH$506,$N15))</f>
        <v/>
      </c>
      <c r="AH15" s="35">
        <f>IF($N15="","",INDEX(월별집계!$AI$7:$AI$506,$N15))</f>
        <v/>
      </c>
      <c r="AI15" s="35">
        <f>IF($N15="","",INDEX(월별집계!$AJ$7:$AJ$506,$N15))</f>
        <v/>
      </c>
      <c r="AJ15" s="35">
        <f>IF($N15="","",INDEX(월별집계!$AK$7:$AK$506,$N15))</f>
        <v/>
      </c>
      <c r="AK15" s="35">
        <f>IF($N15="","",INDEX(월별집계!$AL$7:$AL$506,$N15))</f>
        <v/>
      </c>
      <c r="AL15" s="35">
        <f>IF($N15="","",INDEX(월별집계!$AM$7:$AM$506,$N15))</f>
        <v/>
      </c>
      <c r="AM15" s="35">
        <f>IF($N15="","",INDEX(변동분석!$AZ$7:$AZ$506,$N15))</f>
        <v/>
      </c>
      <c r="AN15" s="35">
        <f>IF($N15="","",INDEX(변동분석!$F$7:$F$506,$N15)-INDEX(변동분석!$G$7:$G$506,$N15))</f>
        <v/>
      </c>
      <c r="AO15" s="35">
        <f>IF($N15="","",INDEX(변동분석!$K$7:$K$506,$N15)-INDEX(변동분석!$L$7:$L$506,$N15))</f>
        <v/>
      </c>
      <c r="AP15" s="35">
        <f>IF($N15="","",INDEX(변동분석!$Q$7:$Q$506,$N15)-INDEX(변동분석!$AX$7:$AX$506,$N15))</f>
        <v/>
      </c>
    </row>
  </sheetData>
  <conditionalFormatting sqref="G6:G15">
    <cfRule type="cellIs" priority="1" operator="equal" dxfId="3">
      <formula>"한도 초과"</formula>
    </cfRule>
    <cfRule type="cellIs" priority="2" operator="equal" dxfId="4">
      <formula>"초과 예상"</formula>
    </cfRule>
    <cfRule type="cellIs" priority="3" operator="equal" dxfId="3">
      <formula>"부족 예상"</formula>
    </cfRule>
    <cfRule type="cellIs" priority="4" operator="equal" dxfId="5">
      <formula>"주의"</formula>
    </cfRule>
    <cfRule type="cellIs" priority="5" operator="equal" dxfId="6">
      <formula>"무예산"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Z73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2" customWidth="1" min="4" max="4"/>
    <col width="34" customWidth="1" min="5" max="5"/>
    <col width="11" customWidth="1" min="6" max="6"/>
    <col width="10" customWidth="1" min="7" max="7"/>
    <col width="11" customWidth="1" min="8" max="8"/>
    <col width="8" customWidth="1" min="9" max="9"/>
    <col width="2" customWidth="1" min="10" max="10"/>
    <col width="6" customWidth="1" min="11" max="11"/>
    <col width="2" customWidth="1" min="12" max="12"/>
    <col width="2" customWidth="1" min="13" max="13"/>
    <col width="16" customWidth="1" min="14" max="14"/>
    <col width="8" customWidth="1" min="15" max="15"/>
    <col width="8" customWidth="1" min="16" max="16"/>
    <col width="8" customWidth="1" min="17" max="17"/>
    <col width="10" customWidth="1" min="18" max="18"/>
    <col width="40" customWidth="1" min="19" max="19"/>
    <col width="9" customWidth="1" min="20" max="20"/>
    <col width="9" customWidth="1" min="21" max="21"/>
    <col width="8" customWidth="1" min="22" max="22"/>
    <col width="2" customWidth="1" min="23" max="23"/>
    <col width="2" customWidth="1" min="24" max="24"/>
    <col width="22" customWidth="1" min="25" max="25"/>
    <col width="22" customWidth="1" min="26" max="26"/>
  </cols>
  <sheetData>
    <row r="1">
      <c r="A1" s="1" t="inlineStr">
        <is>
          <t>TRACE · 원인분석 (한 항목씩)</t>
        </is>
      </c>
    </row>
    <row r="2">
      <c r="A2" s="2" t="inlineStr">
        <is>
          <t>C5~C8만 입력 · 선택 항목의 증가분을 거래처·전표로 쪼개고 8가지 패턴으로 원인 후보를 만듭니다 · 금액: 보고단위</t>
        </is>
      </c>
    </row>
    <row r="5">
      <c r="B5" s="10" t="inlineStr">
        <is>
          <t>주의대상 순위</t>
        </is>
      </c>
      <c r="C5" s="11" t="n">
        <v>1</v>
      </c>
      <c r="D5" s="7" t="inlineStr">
        <is>
          <t>1~10</t>
        </is>
      </c>
      <c r="E5" s="2" t="inlineStr">
        <is>
          <t>선택 항목</t>
        </is>
      </c>
    </row>
    <row r="6">
      <c r="B6" s="10" t="inlineStr">
        <is>
          <t>비교 기준</t>
        </is>
      </c>
      <c r="C6" s="11" t="inlineStr">
        <is>
          <t>전월</t>
        </is>
      </c>
      <c r="D6" s="7" t="inlineStr">
        <is>
          <t>전월 / 전분기 / 전년동기누적 / 전년동월</t>
        </is>
      </c>
      <c r="E6" s="63">
        <f>IF($C$9="","(선택 없음)",IFERROR(INDEX(부서매핑!$D$5:$D$504,MATCH(LEFT($C$9,FIND("|",$C$9)-1),부서매핑!$C$5:$C$504,0)),LEFT($C$9,FIND("|",$C$9)-1))&amp;" · "&amp;IFERROR(INDEX(계정매핑!$B$5:$B$504,MATCH(MID($C$9,FIND("|",$C$9)+1,20),계정매핑!$A$5:$A$504,0)),MID($C$9,FIND("|",$C$9)+1,20)))</f>
        <v/>
      </c>
    </row>
    <row r="7">
      <c r="B7" s="10" t="inlineStr">
        <is>
          <t>직접 지정: 부서코드</t>
        </is>
      </c>
      <c r="C7" s="11" t="n"/>
      <c r="D7" s="7" t="inlineStr">
        <is>
          <t>비워두면 순위 사용</t>
        </is>
      </c>
      <c r="E7" s="64">
        <f>"당기 "&amp;INT(($C$10-1)/12)&amp;"-"&amp;TEXT(MOD($C$10-1,12)+1,"00")&amp;IF($C$10&lt;&gt;$C$11," ~ "&amp;INT(($C$11-1)/12)&amp;"-"&amp;TEXT(MOD($C$11-1,12)+1,"00"),"")&amp;"  vs  비교 "&amp;INT(($C$12-1)/12)&amp;"-"&amp;TEXT(MOD($C$12-1,12)+1,"00")&amp;IF($C$12&lt;&gt;$C$13," ~ "&amp;INT(($C$13-1)/12)&amp;"-"&amp;TEXT(MOD($C$13-1,12)+1,"00"),"")</f>
        <v/>
      </c>
    </row>
    <row r="8">
      <c r="B8" s="10" t="inlineStr">
        <is>
          <t>직접 지정: G/L 계정</t>
        </is>
      </c>
      <c r="C8" s="24" t="n"/>
      <c r="D8" s="7" t="inlineStr">
        <is>
          <t>부서코드와 함께 입력</t>
        </is>
      </c>
    </row>
    <row r="9">
      <c r="B9" s="65" t="inlineStr">
        <is>
          <t>(계산) 선택 키</t>
        </is>
      </c>
      <c r="C9" s="66">
        <f>IF(AND(C7&lt;&gt;"",C8&lt;&gt;""),C7&amp;"|"&amp;C8,IFERROR(INDEX(주의대상!$L$6:$L$15,C5),""))</f>
        <v/>
      </c>
      <c r="E9" s="38">
        <f>E6&amp;" ("&amp;C6&amp;" 대비)"</f>
        <v/>
      </c>
    </row>
    <row r="10">
      <c r="B10" s="65" t="inlineStr">
        <is>
          <t>(계산) 당기 시작</t>
        </is>
      </c>
      <c r="C10" s="67">
        <f>IF(C6="전분기",설정!$C$22,IF(C6="전년동기누적",설정!$C$6*12+1,설정!$C$20))</f>
        <v/>
      </c>
    </row>
    <row r="11">
      <c r="B11" s="65" t="inlineStr">
        <is>
          <t>(계산) 당기 끝</t>
        </is>
      </c>
      <c r="C11" s="67">
        <f>설정!$C$20</f>
        <v/>
      </c>
    </row>
    <row r="12">
      <c r="B12" s="65" t="inlineStr">
        <is>
          <t>(계산) 비교 시작</t>
        </is>
      </c>
      <c r="C12" s="67">
        <f>IF(C6="전월",설정!$C$20-1,IF(C6="전년동월",설정!$C$20-12,IF(C6="전년동기누적",(설정!$C$6-1)*12+1,설정!$C$22-3)))</f>
        <v/>
      </c>
    </row>
    <row r="13">
      <c r="B13" s="65" t="inlineStr">
        <is>
          <t>(계산) 비교 끝</t>
        </is>
      </c>
      <c r="C13" s="67">
        <f>IF(C6="전월",설정!$C$20-1,IF(C6="전년동월",설정!$C$20-12,IF(C6="전년동기누적",설정!$C$20-12,설정!$C$20-3)))</f>
        <v/>
      </c>
    </row>
    <row r="15" ht="30" customHeight="1">
      <c r="A15" s="4" t="inlineStr">
        <is>
          <t>당기 합계</t>
        </is>
      </c>
      <c r="B15" s="4" t="inlineStr">
        <is>
          <t>비교 합계</t>
        </is>
      </c>
      <c r="C15" s="4" t="inlineStr">
        <is>
          <t>증감</t>
        </is>
      </c>
      <c r="D15" s="4" t="inlineStr">
        <is>
          <t>증감률</t>
        </is>
      </c>
      <c r="E15" s="4" t="inlineStr">
        <is>
          <t>분기 판정</t>
        </is>
      </c>
      <c r="F15" s="4" t="inlineStr">
        <is>
          <t>연간 부족 예상액
(추세 연말)</t>
        </is>
      </c>
      <c r="G15" s="4" t="inlineStr">
        <is>
          <t>고갈 예상일
(추세)</t>
        </is>
      </c>
    </row>
    <row r="16">
      <c r="A16" s="68">
        <f>SUMIFS(전표_원본!$P$5:$P$100000,전표_원본!$Q$5:$Q$100000,"당기")</f>
        <v/>
      </c>
      <c r="B16" s="68">
        <f>SUMIFS(전표_원본!$P$5:$P$100000,전표_원본!$Q$5:$Q$100000,"비교")</f>
        <v/>
      </c>
      <c r="C16" s="69">
        <f>A16-B16</f>
        <v/>
      </c>
      <c r="D16" s="70">
        <f>IF(B16&lt;=0,IF(A16&gt;0,1,0),A16/B16-1)</f>
        <v/>
      </c>
      <c r="E16" s="71">
        <f>IFERROR(INDEX(변동분석!$AO$7:$AO$506,MATCH($C$9,변동분석!$E$7:$E$506,0)),"-")</f>
        <v/>
      </c>
      <c r="F16" s="68">
        <f>IFERROR(IF(INDEX(변동분석!$P$7:$P$506,MATCH($C$9,변동분석!$E$7:$E$506,0))&lt;=0,0,MAX(0,INDEX(변동분석!$AR$7:$AR$506,MATCH($C$9,변동분석!$E$7:$E$506,0))-INDEX(변동분석!$P$7:$P$506,MATCH($C$9,변동분석!$E$7:$E$506,0)))),0)</f>
        <v/>
      </c>
      <c r="G16" s="71">
        <f>IFERROR(INDEX(변동분석!$AT$7:$AT$506,MATCH($C$9,변동분석!$E$7:$E$506,0)),"")</f>
        <v/>
      </c>
    </row>
    <row r="18" ht="48" customHeight="1">
      <c r="A18" s="72">
        <f>IF($C$9="","선택된 항목이 없습니다.",$E$6&amp;" "&amp;$C$6&amp;" 대비 "&amp;TEXT($C$16,"+#,##0.0;-#,##0.0;0")&amp;" ("&amp;TEXT($D$16,"+0%;-0%;0%")&amp;"). "&amp;IF($C$16&lt;=0,"감소 또는 변동 없음 - 원인 후보는 증가 항목에만 만듭니다. ",$D$21&amp;". ")&amp;"분기 한도: "&amp;$E$16&amp;IF($G$16="소진됨",", 연간 예산 이미 소진",IF(N($F$16)&gt;0,", 연간 "&amp;TEXT($F$16,"#,##0.0")&amp;" 부족 예상 ("&amp;$G$16&amp;" 고갈)",""))&amp;".")</f>
        <v/>
      </c>
    </row>
    <row r="19" ht="20" customHeight="1">
      <c r="A19" s="3" t="inlineStr">
        <is>
          <t>원인 후보 (근거 강도 순)</t>
        </is>
      </c>
      <c r="N19" s="39" t="inlineStr">
        <is>
          <t>패턴</t>
        </is>
      </c>
      <c r="O19" s="39" t="inlineStr">
        <is>
          <t>해당</t>
        </is>
      </c>
      <c r="P19" s="39" t="inlineStr">
        <is>
          <t>강도</t>
        </is>
      </c>
      <c r="Q19" s="39" t="inlineStr">
        <is>
          <t>강도점수</t>
        </is>
      </c>
      <c r="R19" s="39" t="inlineStr">
        <is>
          <t>비중</t>
        </is>
      </c>
      <c r="S19" s="39" t="inlineStr">
        <is>
          <t>문장</t>
        </is>
      </c>
      <c r="T19" s="39" t="inlineStr">
        <is>
          <t>정렬키</t>
        </is>
      </c>
      <c r="Y19" s="39" t="inlineStr">
        <is>
          <t>보조값</t>
        </is>
      </c>
      <c r="Z19" s="39" t="inlineStr">
        <is>
          <t>값</t>
        </is>
      </c>
    </row>
    <row r="20" ht="20" customHeight="1">
      <c r="A20" s="4" t="inlineStr">
        <is>
          <t>순위</t>
        </is>
      </c>
      <c r="B20" s="4" t="inlineStr">
        <is>
          <t>패턴</t>
        </is>
      </c>
      <c r="C20" s="4" t="inlineStr">
        <is>
          <t>근거 강도</t>
        </is>
      </c>
      <c r="D20" s="4" t="inlineStr">
        <is>
          <t>설명 (근거 포함)</t>
        </is>
      </c>
      <c r="N20" s="8" t="inlineStr">
        <is>
          <t>일회성 대형 지출</t>
        </is>
      </c>
      <c r="O20" s="22">
        <f>IF(OR(Z20="",$C$16&lt;=0),"N",IF(AND(Z21&gt;0,Z21/$C$16&gt;=설정!$C$14,LEFT(Z24,1)&lt;&gt;"(",Z21&gt;=3*Z45),"Y","N"))</f>
        <v/>
      </c>
      <c r="P20" s="22" t="inlineStr">
        <is>
          <t>높음</t>
        </is>
      </c>
      <c r="Q20" s="8" t="n">
        <v>3</v>
      </c>
      <c r="R20" s="73">
        <f>IF(O20="Y",MIN(1,Z21/$C$16),0)</f>
        <v/>
      </c>
      <c r="S20" s="8">
        <f>IF(O20="Y","전표 "&amp;Z22&amp;" ("&amp;TEXT(Z23,"m/d")&amp;", "&amp;Z24&amp;", 적요 '"&amp;Z25&amp;"') "&amp;TEXT(Z21,"#,##0.0")&amp;"이 증가분의 "&amp;TEXT(R20,"0%")&amp;" (거래처 평소 월평균 "&amp;TEXT(Z45,"#,##0.0")&amp;"). 일회성 지출 가능성","")</f>
        <v/>
      </c>
      <c r="T20" s="41">
        <f>IF(O20="Y",Q20*10+R20+ROW()/1000000,-1)</f>
        <v/>
      </c>
      <c r="Y20" s="7" t="inlineStr">
        <is>
          <t>최대 단건 위치</t>
        </is>
      </c>
      <c r="Z20" s="26">
        <f>IFERROR(MATCH(LARGE(전표_원본!$T$5:$T$100000,1),전표_원본!$T$5:$T$100000,0),"")</f>
        <v/>
      </c>
    </row>
    <row r="21" ht="30" customHeight="1">
      <c r="A21" s="22" t="n">
        <v>1</v>
      </c>
      <c r="B21" s="6">
        <f>IF($K21="",IF(1=1,"뚜렷한 패턴 없음",""),INDEX($N$20:$N$27,$K21))</f>
        <v/>
      </c>
      <c r="C21" s="22">
        <f>IF($K21="","",INDEX($P$20:$P$27,$K21))</f>
        <v/>
      </c>
      <c r="D21" s="74">
        <f>IF($K21="",IF(1=1,"근거 전표 목록을 직접 확인하세요",""),INDEX($S$20:$S$27,$K21))</f>
        <v/>
      </c>
      <c r="E21" s="32" t="n"/>
      <c r="F21" s="32" t="n"/>
      <c r="G21" s="32" t="n"/>
      <c r="H21" s="32" t="n"/>
      <c r="I21" s="33" t="n"/>
      <c r="K21" s="7">
        <f>IF(LARGE($T$20:$T$27,1)&lt;0,"",MATCH(LARGE($T$20:$T$27,1),$T$20:$T$27,0))</f>
        <v/>
      </c>
      <c r="N21" s="8" t="inlineStr">
        <is>
          <t>신규 거래처</t>
        </is>
      </c>
      <c r="O21" s="22">
        <f>IF($C$16&lt;=0,"N",IF(Z42/$C$16&gt;=설정!$C$15,"Y","N"))</f>
        <v/>
      </c>
      <c r="P21" s="22" t="inlineStr">
        <is>
          <t>중간</t>
        </is>
      </c>
      <c r="Q21" s="8" t="n">
        <v>2</v>
      </c>
      <c r="R21" s="73">
        <f>IF(O21="Y",MIN(1,Z42/$C$16),0)</f>
        <v/>
      </c>
      <c r="S21" s="8">
        <f>IF(O21="Y","최근 12개월 거래가 없던 거래처("&amp;Z44&amp;IF(Z43&gt;1," 등 "&amp;Z43&amp;"곳","")&amp;")가 증가분의 "&amp;TEXT(R21,"0%")&amp;". 신규 계약·거래 개시 가능성","")</f>
        <v/>
      </c>
      <c r="T21" s="41">
        <f>IF(O21="Y",Q21*10+R21+ROW()/1000000,-1)</f>
        <v/>
      </c>
      <c r="Y21" s="7" t="inlineStr">
        <is>
          <t>최대 단건 금액</t>
        </is>
      </c>
      <c r="Z21" s="35">
        <f>IF(Z20="","",INDEX(전표_원본!$P$5:$P$100000,Z20))</f>
        <v/>
      </c>
    </row>
    <row r="22" ht="30" customHeight="1">
      <c r="A22" s="22" t="n">
        <v>2</v>
      </c>
      <c r="B22" s="8">
        <f>IF($K22="",IF(2=1,"뚜렷한 패턴 없음",""),INDEX($N$20:$N$27,$K22))</f>
        <v/>
      </c>
      <c r="C22" s="22">
        <f>IF($K22="","",INDEX($P$20:$P$27,$K22))</f>
        <v/>
      </c>
      <c r="D22" s="74">
        <f>IF($K22="",IF(2=1,"근거 전표 목록을 직접 확인하세요",""),INDEX($S$20:$S$27,$K22))</f>
        <v/>
      </c>
      <c r="E22" s="32" t="n"/>
      <c r="F22" s="32" t="n"/>
      <c r="G22" s="32" t="n"/>
      <c r="H22" s="32" t="n"/>
      <c r="I22" s="33" t="n"/>
      <c r="K22" s="7">
        <f>IF(LARGE($T$20:$T$27,2)&lt;0,"",MATCH(LARGE($T$20:$T$27,2),$T$20:$T$27,0))</f>
        <v/>
      </c>
      <c r="N22" s="8" t="inlineStr">
        <is>
          <t>단가 인상</t>
        </is>
      </c>
      <c r="O22" s="22">
        <f>IF(OR($C$16&lt;=0,$A$32=""),"N",IF(AND($I$32="N",$F$32=$G$32,$G$32&gt;0,$C$32&gt;0),IF(AND($D$32/$C$32&gt;=설정!$C$18,$D$32/$C$32&lt;=0.5),"Y","N"),"N"))</f>
        <v/>
      </c>
      <c r="P22" s="22" t="inlineStr">
        <is>
          <t>중간</t>
        </is>
      </c>
      <c r="Q22" s="8" t="n">
        <v>2</v>
      </c>
      <c r="R22" s="73">
        <f>IF(O22="Y",MIN(1,$D$32/$C$16),0)</f>
        <v/>
      </c>
      <c r="S22" s="8">
        <f>IF(O22="Y","같은 건수("&amp;$F$32&amp;"건)로 "&amp;$A$32&amp;" 금액이 "&amp;TEXT(IF($C$32&gt;0,$D$32/$C$32,0),"0%")&amp;" 상승. 단가·계약 조건 변경 가능성 (최근 몇 달 추이 확인)","")</f>
        <v/>
      </c>
      <c r="T22" s="41">
        <f>IF(O22="Y",Q22*10+R22+ROW()/1000000,-1)</f>
        <v/>
      </c>
      <c r="Y22" s="7" t="inlineStr">
        <is>
          <t>전표번호</t>
        </is>
      </c>
      <c r="Z22" s="26">
        <f>IF(Z20="","",INDEX(전표_원본!$C$5:$C$100000,Z20))</f>
        <v/>
      </c>
    </row>
    <row r="23" ht="30" customHeight="1">
      <c r="A23" s="22" t="n">
        <v>3</v>
      </c>
      <c r="B23" s="8">
        <f>IF($K23="",IF(3=1,"뚜렷한 패턴 없음",""),INDEX($N$20:$N$27,$K23))</f>
        <v/>
      </c>
      <c r="C23" s="22">
        <f>IF($K23="","",INDEX($P$20:$P$27,$K23))</f>
        <v/>
      </c>
      <c r="D23" s="74">
        <f>IF($K23="",IF(3=1,"근거 전표 목록을 직접 확인하세요",""),INDEX($S$20:$S$27,$K23))</f>
        <v/>
      </c>
      <c r="E23" s="32" t="n"/>
      <c r="F23" s="32" t="n"/>
      <c r="G23" s="32" t="n"/>
      <c r="H23" s="32" t="n"/>
      <c r="I23" s="33" t="n"/>
      <c r="K23" s="7">
        <f>IF(LARGE($T$20:$T$27,3)&lt;0,"",MATCH(LARGE($T$20:$T$27,3),$T$20:$T$27,0))</f>
        <v/>
      </c>
      <c r="N23" s="8" t="inlineStr">
        <is>
          <t>계상 시점 이동</t>
        </is>
      </c>
      <c r="O23" s="22">
        <f>IF(AND(Z29&gt;0,Z28&lt;0.5*Z29,Z27&gt;1.5*Z29),"Y","N")</f>
        <v/>
      </c>
      <c r="P23" s="22" t="inlineStr">
        <is>
          <t>중간</t>
        </is>
      </c>
      <c r="Q23" s="8" t="n">
        <v>2</v>
      </c>
      <c r="R23" s="73">
        <f>IF(O23="Y",0.5,0)</f>
        <v/>
      </c>
      <c r="S23" s="8">
        <f>IF(O23="Y","전월 "&amp;TEXT(Z28,"#,##0.0")&amp;" (직전 3개월 평균 "&amp;TEXT(Z29,"#,##0.0")&amp;") → 당월 "&amp;TEXT(Z27,"#,##0.0")&amp;". 전월에 계상될 금액이 당월로 넘어왔을 가능성","")</f>
        <v/>
      </c>
      <c r="T23" s="41">
        <f>IF(O23="Y",Q23*10+R23+ROW()/1000000,-1)</f>
        <v/>
      </c>
      <c r="Y23" s="7" t="inlineStr">
        <is>
          <t>전기일</t>
        </is>
      </c>
      <c r="Z23" s="75">
        <f>IF(Z20="","",INDEX(전표_원본!$D$5:$D$100000,Z20))</f>
        <v/>
      </c>
    </row>
    <row r="24" ht="30" customHeight="1">
      <c r="A24" s="22" t="n">
        <v>4</v>
      </c>
      <c r="B24" s="8">
        <f>IF($K24="",IF(4=1,"뚜렷한 패턴 없음",""),INDEX($N$20:$N$27,$K24))</f>
        <v/>
      </c>
      <c r="C24" s="22">
        <f>IF($K24="","",INDEX($P$20:$P$27,$K24))</f>
        <v/>
      </c>
      <c r="D24" s="74">
        <f>IF($K24="",IF(4=1,"근거 전표 목록을 직접 확인하세요",""),INDEX($S$20:$S$27,$K24))</f>
        <v/>
      </c>
      <c r="E24" s="32" t="n"/>
      <c r="F24" s="32" t="n"/>
      <c r="G24" s="32" t="n"/>
      <c r="H24" s="32" t="n"/>
      <c r="I24" s="33" t="n"/>
      <c r="K24" s="7">
        <f>IF(LARGE($T$20:$T$27,4)&lt;0,"",MATCH(LARGE($T$20:$T$27,4),$T$20:$T$27,0))</f>
        <v/>
      </c>
      <c r="N24" s="8" t="inlineStr">
        <is>
          <t>정정 · 역분개</t>
        </is>
      </c>
      <c r="O24" s="22">
        <f>IF(Z30&gt;0,"Y","N")</f>
        <v/>
      </c>
      <c r="P24" s="22" t="inlineStr">
        <is>
          <t>높음</t>
        </is>
      </c>
      <c r="Q24" s="8" t="n">
        <v>3</v>
      </c>
      <c r="R24" s="73">
        <f>IF(O24="Y",MIN(1,ABS(Z31)/MAX(ABS($C$16),0.000001)),0)</f>
        <v/>
      </c>
      <c r="S24" s="8">
        <f>IF(O24="Y","음수(정정·역분개) 전표 "&amp;Z30&amp;"건, 합계 "&amp;TEXT(Z31,"#,##0.0")&amp;". 정정 전후 순액 기준으로 다시 확인","")</f>
        <v/>
      </c>
      <c r="T24" s="41">
        <f>IF(O24="Y",Q24*10+R24+ROW()/1000000,-1)</f>
        <v/>
      </c>
      <c r="Y24" s="7" t="inlineStr">
        <is>
          <t>거래처</t>
        </is>
      </c>
      <c r="Z24" s="26">
        <f>IF(Z20="","",INDEX(전표_원본!$K$5:$K$100000,Z20))</f>
        <v/>
      </c>
    </row>
    <row r="25" ht="30" customHeight="1">
      <c r="A25" s="22" t="n">
        <v>5</v>
      </c>
      <c r="B25" s="8">
        <f>IF($K25="",IF(5=1,"뚜렷한 패턴 없음",""),INDEX($N$20:$N$27,$K25))</f>
        <v/>
      </c>
      <c r="C25" s="22">
        <f>IF($K25="","",INDEX($P$20:$P$27,$K25))</f>
        <v/>
      </c>
      <c r="D25" s="74">
        <f>IF($K25="",IF(5=1,"근거 전표 목록을 직접 확인하세요",""),INDEX($S$20:$S$27,$K25))</f>
        <v/>
      </c>
      <c r="E25" s="32" t="n"/>
      <c r="F25" s="32" t="n"/>
      <c r="G25" s="32" t="n"/>
      <c r="H25" s="32" t="n"/>
      <c r="I25" s="33" t="n"/>
      <c r="K25" s="7">
        <f>IF(LARGE($T$20:$T$27,5)&lt;0,"",MATCH(LARGE($T$20:$T$27,5),$T$20:$T$27,0))</f>
        <v/>
      </c>
      <c r="N25" s="8" t="inlineStr">
        <is>
          <t>재분류 (수기 대체)</t>
        </is>
      </c>
      <c r="O25" s="22">
        <f>IF($C$16&lt;=0,"N",IF(Z32/$C$16&gt;=설정!$C$16,"Y","N"))</f>
        <v/>
      </c>
      <c r="P25" s="22" t="inlineStr">
        <is>
          <t>높음</t>
        </is>
      </c>
      <c r="Q25" s="8" t="n">
        <v>3</v>
      </c>
      <c r="R25" s="73">
        <f>IF(O25="Y",MIN(1,Z32/$C$16),0)</f>
        <v/>
      </c>
      <c r="S25" s="8">
        <f>IF(O25="Y","수기 대체전표(SA) 순증 "&amp;TEXT(Z32,"#,##0.0")&amp;"이 증가분의 "&amp;TEXT(R25,"0%")&amp;". 다른 부서·계정에서 이관됐을 가능성 (적요: '"&amp;Z33&amp;"')","")</f>
        <v/>
      </c>
      <c r="T25" s="41">
        <f>IF(O25="Y",Q25*10+R25+ROW()/1000000,-1)</f>
        <v/>
      </c>
      <c r="Y25" s="7" t="inlineStr">
        <is>
          <t>적요</t>
        </is>
      </c>
      <c r="Z25" s="26">
        <f>IF(Z20="","",INDEX(전표_원본!$I$5:$I$100000,Z20))</f>
        <v/>
      </c>
    </row>
    <row r="26" ht="30" customHeight="1">
      <c r="A26" s="22" t="n">
        <v>6</v>
      </c>
      <c r="B26" s="8">
        <f>IF($K26="",IF(6=1,"뚜렷한 패턴 없음",""),INDEX($N$20:$N$27,$K26))</f>
        <v/>
      </c>
      <c r="C26" s="22">
        <f>IF($K26="","",INDEX($P$20:$P$27,$K26))</f>
        <v/>
      </c>
      <c r="D26" s="74">
        <f>IF($K26="",IF(6=1,"근거 전표 목록을 직접 확인하세요",""),INDEX($S$20:$S$27,$K26))</f>
        <v/>
      </c>
      <c r="E26" s="32" t="n"/>
      <c r="F26" s="32" t="n"/>
      <c r="G26" s="32" t="n"/>
      <c r="H26" s="32" t="n"/>
      <c r="I26" s="33" t="n"/>
      <c r="K26" s="7">
        <f>IF(LARGE($T$20:$T$27,6)&lt;0,"",MATCH(LARGE($T$20:$T$27,6),$T$20:$T$27,0))</f>
        <v/>
      </c>
      <c r="N26" s="8" t="inlineStr">
        <is>
          <t>적요 키워드</t>
        </is>
      </c>
      <c r="O26" s="22">
        <f>IF(OR($C$16&lt;=0,Z35=""),"N",IF(Z34&gt;=설정!$C$17,"Y","N"))</f>
        <v/>
      </c>
      <c r="P26" s="22" t="inlineStr">
        <is>
          <t>중간</t>
        </is>
      </c>
      <c r="Q26" s="8" t="n">
        <v>2</v>
      </c>
      <c r="R26" s="73">
        <f>IF(O26="Y",MIN(1,Z34),0)</f>
        <v/>
      </c>
      <c r="S26" s="26">
        <f>IF(O26="Y",IF(Z35="","",INDEX(키워드사전!$A$5:$A$19,Z35)&amp;": 적요에 '"&amp;INDEX(키워드사전!$B$5:$B$19,Z35)&amp;IF(INDEX(키워드사전!$C$5:$C$19,Z35)&lt;&gt;"","·"&amp;INDEX(키워드사전!$C$5:$C$19,Z35),"")&amp;IF(INDEX(키워드사전!$D$5:$D$19,Z35)&lt;&gt;"","·"&amp;INDEX(키워드사전!$D$5:$D$19,Z35),"")&amp;"' 등이 있는 전표 "&amp;TEXT(INDEX(키워드사전!$H$5:$H$19,Z35),"#,##0.0")&amp;" (증가분의 "&amp;TEXT(Z34,"0%")&amp;"). "&amp;INDEX(키워드사전!$G$5:$G$19,Z35)),"")</f>
        <v/>
      </c>
      <c r="T26" s="41">
        <f>IF(O26="Y",Q26*10+R26+ROW()/1000000,-1)</f>
        <v/>
      </c>
      <c r="Y26" s="7" t="inlineStr">
        <is>
          <t>월별집계 행</t>
        </is>
      </c>
      <c r="Z26" s="26">
        <f>IFERROR(MATCH($C$9,월별집계!$A$7:$A$506,0),"")</f>
        <v/>
      </c>
    </row>
    <row r="27" ht="30" customHeight="1">
      <c r="A27" s="22" t="n">
        <v>7</v>
      </c>
      <c r="B27" s="8">
        <f>IF($K27="",IF(7=1,"뚜렷한 패턴 없음",""),INDEX($N$20:$N$27,$K27))</f>
        <v/>
      </c>
      <c r="C27" s="22">
        <f>IF($K27="","",INDEX($P$20:$P$27,$K27))</f>
        <v/>
      </c>
      <c r="D27" s="74">
        <f>IF($K27="",IF(7=1,"근거 전표 목록을 직접 확인하세요",""),INDEX($S$20:$S$27,$K27))</f>
        <v/>
      </c>
      <c r="E27" s="32" t="n"/>
      <c r="F27" s="32" t="n"/>
      <c r="G27" s="32" t="n"/>
      <c r="H27" s="32" t="n"/>
      <c r="I27" s="33" t="n"/>
      <c r="K27" s="7">
        <f>IF(LARGE($T$20:$T$27,7)&lt;0,"",MATCH(LARGE($T$20:$T$27,7),$T$20:$T$27,0))</f>
        <v/>
      </c>
      <c r="N27" s="8" t="inlineStr">
        <is>
          <t>물량 vs 단가</t>
        </is>
      </c>
      <c r="O27" s="22">
        <f>IF(AND($C$16&gt;0,Z36&gt;0,Z37&gt;0),"Y","N")</f>
        <v/>
      </c>
      <c r="P27" s="22" t="inlineStr">
        <is>
          <t>참고</t>
        </is>
      </c>
      <c r="Q27" s="8" t="n">
        <v>1</v>
      </c>
      <c r="R27" s="73">
        <f>0</f>
        <v/>
      </c>
      <c r="S27" s="8">
        <f>IF(O27="Y","건수 "&amp;Z37&amp;"→"&amp;Z36&amp;" ("&amp;TEXT(Z36/MAX(Z37,1)-1,"+0%;-0%;0%")&amp;"), 건당 "&amp;TEXT(Z41,"#,##0.0")&amp;"→"&amp;TEXT(Z40,"#,##0.0")&amp;". "&amp;IF(ABS((Z36-Z37)*Z41)&gt;=ABS((Z40-Z41)*Z36),"건수(물량) 증가","건당 금액(단가) 상승")&amp;" 영향이 더 큼","")</f>
        <v/>
      </c>
      <c r="T27" s="41">
        <f>IF(O27="Y",Q27*10+R27+ROW()/1000000,-1)</f>
        <v/>
      </c>
      <c r="Y27" s="7" t="inlineStr">
        <is>
          <t>당월 (기준월)</t>
        </is>
      </c>
      <c r="Z27" s="35">
        <f>IF(Z26="",0,INDEX(월별집계!$Z$7:$Z$506,Z26))</f>
        <v/>
      </c>
    </row>
    <row r="28" ht="30" customHeight="1">
      <c r="A28" s="22" t="n">
        <v>8</v>
      </c>
      <c r="B28" s="8">
        <f>IF($K28="",IF(8=1,"뚜렷한 패턴 없음",""),INDEX($N$20:$N$27,$K28))</f>
        <v/>
      </c>
      <c r="C28" s="22">
        <f>IF($K28="","",INDEX($P$20:$P$27,$K28))</f>
        <v/>
      </c>
      <c r="D28" s="74">
        <f>IF($K28="",IF(8=1,"근거 전표 목록을 직접 확인하세요",""),INDEX($S$20:$S$27,$K28))</f>
        <v/>
      </c>
      <c r="E28" s="32" t="n"/>
      <c r="F28" s="32" t="n"/>
      <c r="G28" s="32" t="n"/>
      <c r="H28" s="32" t="n"/>
      <c r="I28" s="33" t="n"/>
      <c r="K28" s="7">
        <f>IF(LARGE($T$20:$T$27,8)&lt;0,"",MATCH(LARGE($T$20:$T$27,8),$T$20:$T$27,0))</f>
        <v/>
      </c>
      <c r="Y28" s="7" t="inlineStr">
        <is>
          <t>전월</t>
        </is>
      </c>
      <c r="Z28" s="35">
        <f>IF(Z26="",0,INDEX(월별집계!$Y$7:$Y$506,Z26))</f>
        <v/>
      </c>
    </row>
    <row r="29">
      <c r="Y29" s="7" t="inlineStr">
        <is>
          <t>직전3개월 평균 (전월 제외)</t>
        </is>
      </c>
      <c r="Z29" s="35">
        <f>IF(Z26="",0,(INDEX(월별집계!$V$7:$V$506,Z26)+INDEX(월별집계!$W$7:$W$506,Z26)+INDEX(월별집계!$X$7:$X$506,Z26))/3)</f>
        <v/>
      </c>
    </row>
    <row r="30">
      <c r="A30" s="3" t="inlineStr">
        <is>
          <t>거래처별 증감 분해 (증가 큰 순)</t>
        </is>
      </c>
      <c r="Y30" s="7" t="inlineStr">
        <is>
          <t>음수 전표 건수</t>
        </is>
      </c>
      <c r="Z30" s="26">
        <f>COUNTIFS(전표_원본!$Q$5:$Q$100000,"당기",전표_원본!$P$5:$P$100000,"&lt;0")</f>
        <v/>
      </c>
    </row>
    <row r="31" ht="32" customHeight="1">
      <c r="A31" s="4" t="inlineStr">
        <is>
          <t>거래처</t>
        </is>
      </c>
      <c r="B31" s="4" t="inlineStr">
        <is>
          <t>당기</t>
        </is>
      </c>
      <c r="C31" s="4" t="inlineStr">
        <is>
          <t>비교</t>
        </is>
      </c>
      <c r="D31" s="4" t="inlineStr">
        <is>
          <t>증감</t>
        </is>
      </c>
      <c r="E31" s="4" t="inlineStr">
        <is>
          <t>증가분
기여율</t>
        </is>
      </c>
      <c r="F31" s="4" t="inlineStr">
        <is>
          <t>당기
건수</t>
        </is>
      </c>
      <c r="G31" s="4" t="inlineStr">
        <is>
          <t>비교
건수</t>
        </is>
      </c>
      <c r="H31" s="4" t="inlineStr">
        <is>
          <t>당기
최대 단건</t>
        </is>
      </c>
      <c r="I31" s="4" t="inlineStr">
        <is>
          <t>신규
거래처</t>
        </is>
      </c>
      <c r="N31" s="39" t="inlineStr">
        <is>
          <t>첫등장행</t>
        </is>
      </c>
      <c r="O31" s="39" t="inlineStr">
        <is>
          <t>거래처</t>
        </is>
      </c>
      <c r="P31" s="39" t="inlineStr">
        <is>
          <t>당기</t>
        </is>
      </c>
      <c r="Q31" s="39" t="inlineStr">
        <is>
          <t>비교</t>
        </is>
      </c>
      <c r="R31" s="39" t="inlineStr">
        <is>
          <t>증감</t>
        </is>
      </c>
      <c r="S31" s="39" t="inlineStr">
        <is>
          <t>당기건수</t>
        </is>
      </c>
      <c r="T31" s="39" t="inlineStr">
        <is>
          <t>비교건수</t>
        </is>
      </c>
      <c r="U31" s="39" t="inlineStr">
        <is>
          <t>최대단건</t>
        </is>
      </c>
      <c r="V31" s="39" t="inlineStr">
        <is>
          <t>신규</t>
        </is>
      </c>
      <c r="W31" s="39" t="inlineStr">
        <is>
          <t>정렬키</t>
        </is>
      </c>
      <c r="Y31" s="7" t="inlineStr">
        <is>
          <t>음수 전표 합계</t>
        </is>
      </c>
      <c r="Z31" s="35">
        <f>SUMIFS(전표_원본!$P$5:$P$100000,전표_원본!$Q$5:$Q$100000,"당기",전표_원본!$P$5:$P$100000,"&lt;0")</f>
        <v/>
      </c>
    </row>
    <row r="32">
      <c r="A32" s="8">
        <f>IF($K32="","",INDEX($O$32:$O$46,$K32))</f>
        <v/>
      </c>
      <c r="B32" s="40">
        <f>IF($K32="","",INDEX($P$32:$P$46,$K32))</f>
        <v/>
      </c>
      <c r="C32" s="40">
        <f>IF($K32="","",INDEX($Q$32:$Q$46,$K32))</f>
        <v/>
      </c>
      <c r="D32" s="76">
        <f>IF($K32="","",INDEX($R$32:$R$46,$K32))</f>
        <v/>
      </c>
      <c r="E32" s="73">
        <f>IF(OR($K32="",$C$16&lt;=0),"",D32/$C$16)</f>
        <v/>
      </c>
      <c r="F32" s="77">
        <f>IF($K32="","",INDEX($S$32:$S$46,$K32))</f>
        <v/>
      </c>
      <c r="G32" s="77">
        <f>IF($K32="","",INDEX($T$32:$T$46,$K32))</f>
        <v/>
      </c>
      <c r="H32" s="40">
        <f>IF($K32="","",INDEX($U$32:$U$46,$K32))</f>
        <v/>
      </c>
      <c r="I32" s="22">
        <f>IF($K32="","",INDEX($V$32:$V$46,$K32))</f>
        <v/>
      </c>
      <c r="K32" s="7">
        <f>IF(COUNT($W$32:$W$46)&lt;1,"",MATCH(LARGE($W$32:$W$46,1),$W$32:$W$46,0))</f>
        <v/>
      </c>
      <c r="N32" s="26">
        <f>IFERROR(SMALL(전표_원본!$S$5:$S$100000,1),"")</f>
        <v/>
      </c>
      <c r="O32" s="26">
        <f>IF(N32="","",INDEX(전표_원본!$K$1:$K$100000,N32))</f>
        <v/>
      </c>
      <c r="P32" s="35">
        <f>IF(O32="","",SUMIFS(전표_원본!$P$5:$P$100000,전표_원본!$Q$5:$Q$100000,"당기",전표_원본!$R$5:$R$100000,O32))</f>
        <v/>
      </c>
      <c r="Q32" s="35">
        <f>IF(O32="","",SUMIFS(전표_원본!$P$5:$P$100000,전표_원본!$Q$5:$Q$100000,"비교",전표_원본!$R$5:$R$100000,O32))</f>
        <v/>
      </c>
      <c r="R32" s="40">
        <f>IF(O32="","",P32-Q32)</f>
        <v/>
      </c>
      <c r="S32" s="26">
        <f>IF(O32="","",COUNTIFS(전표_원본!$Q$5:$Q$100000,"당기",전표_원본!$R$5:$R$100000,O32,전표_원본!$P$5:$P$100000,"&gt;0"))</f>
        <v/>
      </c>
      <c r="T32" s="26">
        <f>IF(O32="","",COUNTIFS(전표_원본!$Q$5:$Q$100000,"비교",전표_원본!$R$5:$R$100000,O32,전표_원본!$P$5:$P$100000,"&gt;0"))</f>
        <v/>
      </c>
      <c r="U32" s="35">
        <f>IF(O32="","",SUMPRODUCT(MAX((전표_원본!$Q$5:$Q$100000="당기")*(전표_원본!$R$5:$R$100000=O32)*전표_원본!$P$5:$P$100000)))</f>
        <v/>
      </c>
      <c r="V32" s="26">
        <f>IF(O32="","",IF(LEFT(O32,1)="(","N",IF(COUNTIFS(전표_원본!$O$5:$O$100000,$C$9,전표_원본!$K$5:$K$100000,O32,전표_원본!$M$5:$M$100000,"&gt;="&amp;($C$10-12),전표_원본!$M$5:$M$100000,"&lt;"&amp;$C$10)=0,"Y","N")))</f>
        <v/>
      </c>
      <c r="W32" s="41">
        <f>IF(O32="","",R32+ROW()/1000000)</f>
        <v/>
      </c>
      <c r="Y32" s="7" t="inlineStr">
        <is>
          <t>SA 순증</t>
        </is>
      </c>
      <c r="Z32" s="35">
        <f>SUMIFS(전표_원본!$P$5:$P$100000,전표_원본!$Q$5:$Q$100000,"당기",전표_원본!$E$5:$E$100000,"SA")-SUMIFS(전표_원본!$P$5:$P$100000,전표_원본!$Q$5:$Q$100000,"비교",전표_원본!$E$5:$E$100000,"SA")</f>
        <v/>
      </c>
    </row>
    <row r="33">
      <c r="A33" s="8">
        <f>IF($K33="","",INDEX($O$32:$O$46,$K33))</f>
        <v/>
      </c>
      <c r="B33" s="40">
        <f>IF($K33="","",INDEX($P$32:$P$46,$K33))</f>
        <v/>
      </c>
      <c r="C33" s="40">
        <f>IF($K33="","",INDEX($Q$32:$Q$46,$K33))</f>
        <v/>
      </c>
      <c r="D33" s="76">
        <f>IF($K33="","",INDEX($R$32:$R$46,$K33))</f>
        <v/>
      </c>
      <c r="E33" s="73">
        <f>IF(OR($K33="",$C$16&lt;=0),"",D33/$C$16)</f>
        <v/>
      </c>
      <c r="F33" s="77">
        <f>IF($K33="","",INDEX($S$32:$S$46,$K33))</f>
        <v/>
      </c>
      <c r="G33" s="77">
        <f>IF($K33="","",INDEX($T$32:$T$46,$K33))</f>
        <v/>
      </c>
      <c r="H33" s="40">
        <f>IF($K33="","",INDEX($U$32:$U$46,$K33))</f>
        <v/>
      </c>
      <c r="I33" s="22">
        <f>IF($K33="","",INDEX($V$32:$V$46,$K33))</f>
        <v/>
      </c>
      <c r="K33" s="7">
        <f>IF(COUNT($W$32:$W$46)&lt;2,"",MATCH(LARGE($W$32:$W$46,2),$W$32:$W$46,0))</f>
        <v/>
      </c>
      <c r="N33" s="26">
        <f>IFERROR(SMALL(전표_원본!$S$5:$S$100000,2),"")</f>
        <v/>
      </c>
      <c r="O33" s="26">
        <f>IF(N33="","",INDEX(전표_원본!$K$1:$K$100000,N33))</f>
        <v/>
      </c>
      <c r="P33" s="35">
        <f>IF(O33="","",SUMIFS(전표_원본!$P$5:$P$100000,전표_원본!$Q$5:$Q$100000,"당기",전표_원본!$R$5:$R$100000,O33))</f>
        <v/>
      </c>
      <c r="Q33" s="35">
        <f>IF(O33="","",SUMIFS(전표_원본!$P$5:$P$100000,전표_원본!$Q$5:$Q$100000,"비교",전표_원본!$R$5:$R$100000,O33))</f>
        <v/>
      </c>
      <c r="R33" s="40">
        <f>IF(O33="","",P33-Q33)</f>
        <v/>
      </c>
      <c r="S33" s="26">
        <f>IF(O33="","",COUNTIFS(전표_원본!$Q$5:$Q$100000,"당기",전표_원본!$R$5:$R$100000,O33,전표_원본!$P$5:$P$100000,"&gt;0"))</f>
        <v/>
      </c>
      <c r="T33" s="26">
        <f>IF(O33="","",COUNTIFS(전표_원본!$Q$5:$Q$100000,"비교",전표_원본!$R$5:$R$100000,O33,전표_원본!$P$5:$P$100000,"&gt;0"))</f>
        <v/>
      </c>
      <c r="U33" s="35">
        <f>IF(O33="","",SUMPRODUCT(MAX((전표_원본!$Q$5:$Q$100000="당기")*(전표_원본!$R$5:$R$100000=O33)*전표_원본!$P$5:$P$100000)))</f>
        <v/>
      </c>
      <c r="V33" s="26">
        <f>IF(O33="","",IF(LEFT(O33,1)="(","N",IF(COUNTIFS(전표_원본!$O$5:$O$100000,$C$9,전표_원본!$K$5:$K$100000,O33,전표_원본!$M$5:$M$100000,"&gt;="&amp;($C$10-12),전표_원본!$M$5:$M$100000,"&lt;"&amp;$C$10)=0,"Y","N")))</f>
        <v/>
      </c>
      <c r="W33" s="41">
        <f>IF(O33="","",R33+ROW()/1000000)</f>
        <v/>
      </c>
      <c r="Y33" s="7" t="inlineStr">
        <is>
          <t>SA 첫 적요</t>
        </is>
      </c>
      <c r="Z33" s="26">
        <f>IFERROR(INDEX(전표_원본!$I$5:$I$100000,MATCH(1,INDEX((전표_원본!$Q$5:$Q$100000="당기")*(전표_원본!$E$5:$E$100000="SA"),0),0)),"")</f>
        <v/>
      </c>
    </row>
    <row r="34">
      <c r="A34" s="8">
        <f>IF($K34="","",INDEX($O$32:$O$46,$K34))</f>
        <v/>
      </c>
      <c r="B34" s="40">
        <f>IF($K34="","",INDEX($P$32:$P$46,$K34))</f>
        <v/>
      </c>
      <c r="C34" s="40">
        <f>IF($K34="","",INDEX($Q$32:$Q$46,$K34))</f>
        <v/>
      </c>
      <c r="D34" s="76">
        <f>IF($K34="","",INDEX($R$32:$R$46,$K34))</f>
        <v/>
      </c>
      <c r="E34" s="73">
        <f>IF(OR($K34="",$C$16&lt;=0),"",D34/$C$16)</f>
        <v/>
      </c>
      <c r="F34" s="77">
        <f>IF($K34="","",INDEX($S$32:$S$46,$K34))</f>
        <v/>
      </c>
      <c r="G34" s="77">
        <f>IF($K34="","",INDEX($T$32:$T$46,$K34))</f>
        <v/>
      </c>
      <c r="H34" s="40">
        <f>IF($K34="","",INDEX($U$32:$U$46,$K34))</f>
        <v/>
      </c>
      <c r="I34" s="22">
        <f>IF($K34="","",INDEX($V$32:$V$46,$K34))</f>
        <v/>
      </c>
      <c r="K34" s="7">
        <f>IF(COUNT($W$32:$W$46)&lt;3,"",MATCH(LARGE($W$32:$W$46,3),$W$32:$W$46,0))</f>
        <v/>
      </c>
      <c r="N34" s="26">
        <f>IFERROR(SMALL(전표_원본!$S$5:$S$100000,3),"")</f>
        <v/>
      </c>
      <c r="O34" s="26">
        <f>IF(N34="","",INDEX(전표_원본!$K$1:$K$100000,N34))</f>
        <v/>
      </c>
      <c r="P34" s="35">
        <f>IF(O34="","",SUMIFS(전표_원본!$P$5:$P$100000,전표_원본!$Q$5:$Q$100000,"당기",전표_원본!$R$5:$R$100000,O34))</f>
        <v/>
      </c>
      <c r="Q34" s="35">
        <f>IF(O34="","",SUMIFS(전표_원본!$P$5:$P$100000,전표_원본!$Q$5:$Q$100000,"비교",전표_원본!$R$5:$R$100000,O34))</f>
        <v/>
      </c>
      <c r="R34" s="40">
        <f>IF(O34="","",P34-Q34)</f>
        <v/>
      </c>
      <c r="S34" s="26">
        <f>IF(O34="","",COUNTIFS(전표_원본!$Q$5:$Q$100000,"당기",전표_원본!$R$5:$R$100000,O34,전표_원본!$P$5:$P$100000,"&gt;0"))</f>
        <v/>
      </c>
      <c r="T34" s="26">
        <f>IF(O34="","",COUNTIFS(전표_원본!$Q$5:$Q$100000,"비교",전표_원본!$R$5:$R$100000,O34,전표_원본!$P$5:$P$100000,"&gt;0"))</f>
        <v/>
      </c>
      <c r="U34" s="35">
        <f>IF(O34="","",SUMPRODUCT(MAX((전표_원본!$Q$5:$Q$100000="당기")*(전표_원본!$R$5:$R$100000=O34)*전표_원본!$P$5:$P$100000)))</f>
        <v/>
      </c>
      <c r="V34" s="26">
        <f>IF(O34="","",IF(LEFT(O34,1)="(","N",IF(COUNTIFS(전표_원본!$O$5:$O$100000,$C$9,전표_원본!$K$5:$K$100000,O34,전표_원본!$M$5:$M$100000,"&gt;="&amp;($C$10-12),전표_원본!$M$5:$M$100000,"&lt;"&amp;$C$10)=0,"Y","N")))</f>
        <v/>
      </c>
      <c r="W34" s="41">
        <f>IF(O34="","",R34+ROW()/1000000)</f>
        <v/>
      </c>
      <c r="Y34" s="7" t="inlineStr">
        <is>
          <t>키워드 최대 비중</t>
        </is>
      </c>
      <c r="Z34" s="60">
        <f>IF(COUNT(키워드사전!$I$5:$I$19)=0,0,MAX(키워드사전!$I$5:$I$19))</f>
        <v/>
      </c>
    </row>
    <row r="35">
      <c r="A35" s="8">
        <f>IF($K35="","",INDEX($O$32:$O$46,$K35))</f>
        <v/>
      </c>
      <c r="B35" s="40">
        <f>IF($K35="","",INDEX($P$32:$P$46,$K35))</f>
        <v/>
      </c>
      <c r="C35" s="40">
        <f>IF($K35="","",INDEX($Q$32:$Q$46,$K35))</f>
        <v/>
      </c>
      <c r="D35" s="76">
        <f>IF($K35="","",INDEX($R$32:$R$46,$K35))</f>
        <v/>
      </c>
      <c r="E35" s="73">
        <f>IF(OR($K35="",$C$16&lt;=0),"",D35/$C$16)</f>
        <v/>
      </c>
      <c r="F35" s="77">
        <f>IF($K35="","",INDEX($S$32:$S$46,$K35))</f>
        <v/>
      </c>
      <c r="G35" s="77">
        <f>IF($K35="","",INDEX($T$32:$T$46,$K35))</f>
        <v/>
      </c>
      <c r="H35" s="40">
        <f>IF($K35="","",INDEX($U$32:$U$46,$K35))</f>
        <v/>
      </c>
      <c r="I35" s="22">
        <f>IF($K35="","",INDEX($V$32:$V$46,$K35))</f>
        <v/>
      </c>
      <c r="K35" s="7">
        <f>IF(COUNT($W$32:$W$46)&lt;4,"",MATCH(LARGE($W$32:$W$46,4),$W$32:$W$46,0))</f>
        <v/>
      </c>
      <c r="N35" s="26">
        <f>IFERROR(SMALL(전표_원본!$S$5:$S$100000,4),"")</f>
        <v/>
      </c>
      <c r="O35" s="26">
        <f>IF(N35="","",INDEX(전표_원본!$K$1:$K$100000,N35))</f>
        <v/>
      </c>
      <c r="P35" s="35">
        <f>IF(O35="","",SUMIFS(전표_원본!$P$5:$P$100000,전표_원본!$Q$5:$Q$100000,"당기",전표_원본!$R$5:$R$100000,O35))</f>
        <v/>
      </c>
      <c r="Q35" s="35">
        <f>IF(O35="","",SUMIFS(전표_원본!$P$5:$P$100000,전표_원본!$Q$5:$Q$100000,"비교",전표_원본!$R$5:$R$100000,O35))</f>
        <v/>
      </c>
      <c r="R35" s="40">
        <f>IF(O35="","",P35-Q35)</f>
        <v/>
      </c>
      <c r="S35" s="26">
        <f>IF(O35="","",COUNTIFS(전표_원본!$Q$5:$Q$100000,"당기",전표_원본!$R$5:$R$100000,O35,전표_원본!$P$5:$P$100000,"&gt;0"))</f>
        <v/>
      </c>
      <c r="T35" s="26">
        <f>IF(O35="","",COUNTIFS(전표_원본!$Q$5:$Q$100000,"비교",전표_원본!$R$5:$R$100000,O35,전표_원본!$P$5:$P$100000,"&gt;0"))</f>
        <v/>
      </c>
      <c r="U35" s="35">
        <f>IF(O35="","",SUMPRODUCT(MAX((전표_원본!$Q$5:$Q$100000="당기")*(전표_원본!$R$5:$R$100000=O35)*전표_원본!$P$5:$P$100000)))</f>
        <v/>
      </c>
      <c r="V35" s="26">
        <f>IF(O35="","",IF(LEFT(O35,1)="(","N",IF(COUNTIFS(전표_원본!$O$5:$O$100000,$C$9,전표_원본!$K$5:$K$100000,O35,전표_원본!$M$5:$M$100000,"&gt;="&amp;($C$10-12),전표_원본!$M$5:$M$100000,"&lt;"&amp;$C$10)=0,"Y","N")))</f>
        <v/>
      </c>
      <c r="W35" s="41">
        <f>IF(O35="","",R35+ROW()/1000000)</f>
        <v/>
      </c>
      <c r="Y35" s="7" t="inlineStr">
        <is>
          <t>키워드 유형 행</t>
        </is>
      </c>
      <c r="Z35" s="26">
        <f>IF(Z34&lt;=0,"",MATCH(Z34,키워드사전!$I$5:$I$19,0))</f>
        <v/>
      </c>
    </row>
    <row r="36">
      <c r="A36" s="8">
        <f>IF($K36="","",INDEX($O$32:$O$46,$K36))</f>
        <v/>
      </c>
      <c r="B36" s="40">
        <f>IF($K36="","",INDEX($P$32:$P$46,$K36))</f>
        <v/>
      </c>
      <c r="C36" s="40">
        <f>IF($K36="","",INDEX($Q$32:$Q$46,$K36))</f>
        <v/>
      </c>
      <c r="D36" s="76">
        <f>IF($K36="","",INDEX($R$32:$R$46,$K36))</f>
        <v/>
      </c>
      <c r="E36" s="73">
        <f>IF(OR($K36="",$C$16&lt;=0),"",D36/$C$16)</f>
        <v/>
      </c>
      <c r="F36" s="77">
        <f>IF($K36="","",INDEX($S$32:$S$46,$K36))</f>
        <v/>
      </c>
      <c r="G36" s="77">
        <f>IF($K36="","",INDEX($T$32:$T$46,$K36))</f>
        <v/>
      </c>
      <c r="H36" s="40">
        <f>IF($K36="","",INDEX($U$32:$U$46,$K36))</f>
        <v/>
      </c>
      <c r="I36" s="22">
        <f>IF($K36="","",INDEX($V$32:$V$46,$K36))</f>
        <v/>
      </c>
      <c r="K36" s="7">
        <f>IF(COUNT($W$32:$W$46)&lt;5,"",MATCH(LARGE($W$32:$W$46,5),$W$32:$W$46,0))</f>
        <v/>
      </c>
      <c r="N36" s="26">
        <f>IFERROR(SMALL(전표_원본!$S$5:$S$100000,5),"")</f>
        <v/>
      </c>
      <c r="O36" s="26">
        <f>IF(N36="","",INDEX(전표_원본!$K$1:$K$100000,N36))</f>
        <v/>
      </c>
      <c r="P36" s="35">
        <f>IF(O36="","",SUMIFS(전표_원본!$P$5:$P$100000,전표_원본!$Q$5:$Q$100000,"당기",전표_원본!$R$5:$R$100000,O36))</f>
        <v/>
      </c>
      <c r="Q36" s="35">
        <f>IF(O36="","",SUMIFS(전표_원본!$P$5:$P$100000,전표_원본!$Q$5:$Q$100000,"비교",전표_원본!$R$5:$R$100000,O36))</f>
        <v/>
      </c>
      <c r="R36" s="40">
        <f>IF(O36="","",P36-Q36)</f>
        <v/>
      </c>
      <c r="S36" s="26">
        <f>IF(O36="","",COUNTIFS(전표_원본!$Q$5:$Q$100000,"당기",전표_원본!$R$5:$R$100000,O36,전표_원본!$P$5:$P$100000,"&gt;0"))</f>
        <v/>
      </c>
      <c r="T36" s="26">
        <f>IF(O36="","",COUNTIFS(전표_원본!$Q$5:$Q$100000,"비교",전표_원본!$R$5:$R$100000,O36,전표_원본!$P$5:$P$100000,"&gt;0"))</f>
        <v/>
      </c>
      <c r="U36" s="35">
        <f>IF(O36="","",SUMPRODUCT(MAX((전표_원본!$Q$5:$Q$100000="당기")*(전표_원본!$R$5:$R$100000=O36)*전표_원본!$P$5:$P$100000)))</f>
        <v/>
      </c>
      <c r="V36" s="26">
        <f>IF(O36="","",IF(LEFT(O36,1)="(","N",IF(COUNTIFS(전표_원본!$O$5:$O$100000,$C$9,전표_원본!$K$5:$K$100000,O36,전표_원본!$M$5:$M$100000,"&gt;="&amp;($C$10-12),전표_원본!$M$5:$M$100000,"&lt;"&amp;$C$10)=0,"Y","N")))</f>
        <v/>
      </c>
      <c r="W36" s="41">
        <f>IF(O36="","",R36+ROW()/1000000)</f>
        <v/>
      </c>
      <c r="Y36" s="7" t="inlineStr">
        <is>
          <t>당기 건수 (+)</t>
        </is>
      </c>
      <c r="Z36" s="26">
        <f>COUNTIFS(전표_원본!$Q$5:$Q$100000,"당기",전표_원본!$P$5:$P$100000,"&gt;0")</f>
        <v/>
      </c>
    </row>
    <row r="37">
      <c r="A37" s="8">
        <f>IF($K37="","",INDEX($O$32:$O$46,$K37))</f>
        <v/>
      </c>
      <c r="B37" s="40">
        <f>IF($K37="","",INDEX($P$32:$P$46,$K37))</f>
        <v/>
      </c>
      <c r="C37" s="40">
        <f>IF($K37="","",INDEX($Q$32:$Q$46,$K37))</f>
        <v/>
      </c>
      <c r="D37" s="76">
        <f>IF($K37="","",INDEX($R$32:$R$46,$K37))</f>
        <v/>
      </c>
      <c r="E37" s="73">
        <f>IF(OR($K37="",$C$16&lt;=0),"",D37/$C$16)</f>
        <v/>
      </c>
      <c r="F37" s="77">
        <f>IF($K37="","",INDEX($S$32:$S$46,$K37))</f>
        <v/>
      </c>
      <c r="G37" s="77">
        <f>IF($K37="","",INDEX($T$32:$T$46,$K37))</f>
        <v/>
      </c>
      <c r="H37" s="40">
        <f>IF($K37="","",INDEX($U$32:$U$46,$K37))</f>
        <v/>
      </c>
      <c r="I37" s="22">
        <f>IF($K37="","",INDEX($V$32:$V$46,$K37))</f>
        <v/>
      </c>
      <c r="K37" s="7">
        <f>IF(COUNT($W$32:$W$46)&lt;6,"",MATCH(LARGE($W$32:$W$46,6),$W$32:$W$46,0))</f>
        <v/>
      </c>
      <c r="N37" s="26">
        <f>IFERROR(SMALL(전표_원본!$S$5:$S$100000,6),"")</f>
        <v/>
      </c>
      <c r="O37" s="26">
        <f>IF(N37="","",INDEX(전표_원본!$K$1:$K$100000,N37))</f>
        <v/>
      </c>
      <c r="P37" s="35">
        <f>IF(O37="","",SUMIFS(전표_원본!$P$5:$P$100000,전표_원본!$Q$5:$Q$100000,"당기",전표_원본!$R$5:$R$100000,O37))</f>
        <v/>
      </c>
      <c r="Q37" s="35">
        <f>IF(O37="","",SUMIFS(전표_원본!$P$5:$P$100000,전표_원본!$Q$5:$Q$100000,"비교",전표_원본!$R$5:$R$100000,O37))</f>
        <v/>
      </c>
      <c r="R37" s="40">
        <f>IF(O37="","",P37-Q37)</f>
        <v/>
      </c>
      <c r="S37" s="26">
        <f>IF(O37="","",COUNTIFS(전표_원본!$Q$5:$Q$100000,"당기",전표_원본!$R$5:$R$100000,O37,전표_원본!$P$5:$P$100000,"&gt;0"))</f>
        <v/>
      </c>
      <c r="T37" s="26">
        <f>IF(O37="","",COUNTIFS(전표_원본!$Q$5:$Q$100000,"비교",전표_원본!$R$5:$R$100000,O37,전표_원본!$P$5:$P$100000,"&gt;0"))</f>
        <v/>
      </c>
      <c r="U37" s="35">
        <f>IF(O37="","",SUMPRODUCT(MAX((전표_원본!$Q$5:$Q$100000="당기")*(전표_원본!$R$5:$R$100000=O37)*전표_원본!$P$5:$P$100000)))</f>
        <v/>
      </c>
      <c r="V37" s="26">
        <f>IF(O37="","",IF(LEFT(O37,1)="(","N",IF(COUNTIFS(전표_원본!$O$5:$O$100000,$C$9,전표_원본!$K$5:$K$100000,O37,전표_원본!$M$5:$M$100000,"&gt;="&amp;($C$10-12),전표_원본!$M$5:$M$100000,"&lt;"&amp;$C$10)=0,"Y","N")))</f>
        <v/>
      </c>
      <c r="W37" s="41">
        <f>IF(O37="","",R37+ROW()/1000000)</f>
        <v/>
      </c>
      <c r="Y37" s="7" t="inlineStr">
        <is>
          <t>비교 건수 (+)</t>
        </is>
      </c>
      <c r="Z37" s="26">
        <f>COUNTIFS(전표_원본!$Q$5:$Q$100000,"비교",전표_원본!$P$5:$P$100000,"&gt;0")</f>
        <v/>
      </c>
    </row>
    <row r="38">
      <c r="A38" s="8">
        <f>IF($K38="","",INDEX($O$32:$O$46,$K38))</f>
        <v/>
      </c>
      <c r="B38" s="40">
        <f>IF($K38="","",INDEX($P$32:$P$46,$K38))</f>
        <v/>
      </c>
      <c r="C38" s="40">
        <f>IF($K38="","",INDEX($Q$32:$Q$46,$K38))</f>
        <v/>
      </c>
      <c r="D38" s="76">
        <f>IF($K38="","",INDEX($R$32:$R$46,$K38))</f>
        <v/>
      </c>
      <c r="E38" s="73">
        <f>IF(OR($K38="",$C$16&lt;=0),"",D38/$C$16)</f>
        <v/>
      </c>
      <c r="F38" s="77">
        <f>IF($K38="","",INDEX($S$32:$S$46,$K38))</f>
        <v/>
      </c>
      <c r="G38" s="77">
        <f>IF($K38="","",INDEX($T$32:$T$46,$K38))</f>
        <v/>
      </c>
      <c r="H38" s="40">
        <f>IF($K38="","",INDEX($U$32:$U$46,$K38))</f>
        <v/>
      </c>
      <c r="I38" s="22">
        <f>IF($K38="","",INDEX($V$32:$V$46,$K38))</f>
        <v/>
      </c>
      <c r="K38" s="7">
        <f>IF(COUNT($W$32:$W$46)&lt;7,"",MATCH(LARGE($W$32:$W$46,7),$W$32:$W$46,0))</f>
        <v/>
      </c>
      <c r="N38" s="26">
        <f>IFERROR(SMALL(전표_원본!$S$5:$S$100000,7),"")</f>
        <v/>
      </c>
      <c r="O38" s="26">
        <f>IF(N38="","",INDEX(전표_원본!$K$1:$K$100000,N38))</f>
        <v/>
      </c>
      <c r="P38" s="35">
        <f>IF(O38="","",SUMIFS(전표_원본!$P$5:$P$100000,전표_원본!$Q$5:$Q$100000,"당기",전표_원본!$R$5:$R$100000,O38))</f>
        <v/>
      </c>
      <c r="Q38" s="35">
        <f>IF(O38="","",SUMIFS(전표_원본!$P$5:$P$100000,전표_원본!$Q$5:$Q$100000,"비교",전표_원본!$R$5:$R$100000,O38))</f>
        <v/>
      </c>
      <c r="R38" s="40">
        <f>IF(O38="","",P38-Q38)</f>
        <v/>
      </c>
      <c r="S38" s="26">
        <f>IF(O38="","",COUNTIFS(전표_원본!$Q$5:$Q$100000,"당기",전표_원본!$R$5:$R$100000,O38,전표_원본!$P$5:$P$100000,"&gt;0"))</f>
        <v/>
      </c>
      <c r="T38" s="26">
        <f>IF(O38="","",COUNTIFS(전표_원본!$Q$5:$Q$100000,"비교",전표_원본!$R$5:$R$100000,O38,전표_원본!$P$5:$P$100000,"&gt;0"))</f>
        <v/>
      </c>
      <c r="U38" s="35">
        <f>IF(O38="","",SUMPRODUCT(MAX((전표_원본!$Q$5:$Q$100000="당기")*(전표_원본!$R$5:$R$100000=O38)*전표_원본!$P$5:$P$100000)))</f>
        <v/>
      </c>
      <c r="V38" s="26">
        <f>IF(O38="","",IF(LEFT(O38,1)="(","N",IF(COUNTIFS(전표_원본!$O$5:$O$100000,$C$9,전표_원본!$K$5:$K$100000,O38,전표_원본!$M$5:$M$100000,"&gt;="&amp;($C$10-12),전표_원본!$M$5:$M$100000,"&lt;"&amp;$C$10)=0,"Y","N")))</f>
        <v/>
      </c>
      <c r="W38" s="41">
        <f>IF(O38="","",R38+ROW()/1000000)</f>
        <v/>
      </c>
      <c r="Y38" s="7" t="inlineStr">
        <is>
          <t>당기 금액 (+)</t>
        </is>
      </c>
      <c r="Z38" s="35">
        <f>SUMIFS(전표_원본!$P$5:$P$100000,전표_원본!$Q$5:$Q$100000,"당기",전표_원본!$P$5:$P$100000,"&gt;0")</f>
        <v/>
      </c>
    </row>
    <row r="39">
      <c r="A39" s="8">
        <f>IF($K39="","",INDEX($O$32:$O$46,$K39))</f>
        <v/>
      </c>
      <c r="B39" s="40">
        <f>IF($K39="","",INDEX($P$32:$P$46,$K39))</f>
        <v/>
      </c>
      <c r="C39" s="40">
        <f>IF($K39="","",INDEX($Q$32:$Q$46,$K39))</f>
        <v/>
      </c>
      <c r="D39" s="76">
        <f>IF($K39="","",INDEX($R$32:$R$46,$K39))</f>
        <v/>
      </c>
      <c r="E39" s="73">
        <f>IF(OR($K39="",$C$16&lt;=0),"",D39/$C$16)</f>
        <v/>
      </c>
      <c r="F39" s="77">
        <f>IF($K39="","",INDEX($S$32:$S$46,$K39))</f>
        <v/>
      </c>
      <c r="G39" s="77">
        <f>IF($K39="","",INDEX($T$32:$T$46,$K39))</f>
        <v/>
      </c>
      <c r="H39" s="40">
        <f>IF($K39="","",INDEX($U$32:$U$46,$K39))</f>
        <v/>
      </c>
      <c r="I39" s="22">
        <f>IF($K39="","",INDEX($V$32:$V$46,$K39))</f>
        <v/>
      </c>
      <c r="K39" s="7">
        <f>IF(COUNT($W$32:$W$46)&lt;8,"",MATCH(LARGE($W$32:$W$46,8),$W$32:$W$46,0))</f>
        <v/>
      </c>
      <c r="N39" s="26">
        <f>IFERROR(SMALL(전표_원본!$S$5:$S$100000,8),"")</f>
        <v/>
      </c>
      <c r="O39" s="26">
        <f>IF(N39="","",INDEX(전표_원본!$K$1:$K$100000,N39))</f>
        <v/>
      </c>
      <c r="P39" s="35">
        <f>IF(O39="","",SUMIFS(전표_원본!$P$5:$P$100000,전표_원본!$Q$5:$Q$100000,"당기",전표_원본!$R$5:$R$100000,O39))</f>
        <v/>
      </c>
      <c r="Q39" s="35">
        <f>IF(O39="","",SUMIFS(전표_원본!$P$5:$P$100000,전표_원본!$Q$5:$Q$100000,"비교",전표_원본!$R$5:$R$100000,O39))</f>
        <v/>
      </c>
      <c r="R39" s="40">
        <f>IF(O39="","",P39-Q39)</f>
        <v/>
      </c>
      <c r="S39" s="26">
        <f>IF(O39="","",COUNTIFS(전표_원본!$Q$5:$Q$100000,"당기",전표_원본!$R$5:$R$100000,O39,전표_원본!$P$5:$P$100000,"&gt;0"))</f>
        <v/>
      </c>
      <c r="T39" s="26">
        <f>IF(O39="","",COUNTIFS(전표_원본!$Q$5:$Q$100000,"비교",전표_원본!$R$5:$R$100000,O39,전표_원본!$P$5:$P$100000,"&gt;0"))</f>
        <v/>
      </c>
      <c r="U39" s="35">
        <f>IF(O39="","",SUMPRODUCT(MAX((전표_원본!$Q$5:$Q$100000="당기")*(전표_원본!$R$5:$R$100000=O39)*전표_원본!$P$5:$P$100000)))</f>
        <v/>
      </c>
      <c r="V39" s="26">
        <f>IF(O39="","",IF(LEFT(O39,1)="(","N",IF(COUNTIFS(전표_원본!$O$5:$O$100000,$C$9,전표_원본!$K$5:$K$100000,O39,전표_원본!$M$5:$M$100000,"&gt;="&amp;($C$10-12),전표_원본!$M$5:$M$100000,"&lt;"&amp;$C$10)=0,"Y","N")))</f>
        <v/>
      </c>
      <c r="W39" s="41">
        <f>IF(O39="","",R39+ROW()/1000000)</f>
        <v/>
      </c>
      <c r="Y39" s="7" t="inlineStr">
        <is>
          <t>비교 금액 (+)</t>
        </is>
      </c>
      <c r="Z39" s="35">
        <f>SUMIFS(전표_원본!$P$5:$P$100000,전표_원본!$Q$5:$Q$100000,"비교",전표_원본!$P$5:$P$100000,"&gt;0")</f>
        <v/>
      </c>
    </row>
    <row r="40">
      <c r="A40" s="8">
        <f>IF($K40="","",INDEX($O$32:$O$46,$K40))</f>
        <v/>
      </c>
      <c r="B40" s="40">
        <f>IF($K40="","",INDEX($P$32:$P$46,$K40))</f>
        <v/>
      </c>
      <c r="C40" s="40">
        <f>IF($K40="","",INDEX($Q$32:$Q$46,$K40))</f>
        <v/>
      </c>
      <c r="D40" s="76">
        <f>IF($K40="","",INDEX($R$32:$R$46,$K40))</f>
        <v/>
      </c>
      <c r="E40" s="73">
        <f>IF(OR($K40="",$C$16&lt;=0),"",D40/$C$16)</f>
        <v/>
      </c>
      <c r="F40" s="77">
        <f>IF($K40="","",INDEX($S$32:$S$46,$K40))</f>
        <v/>
      </c>
      <c r="G40" s="77">
        <f>IF($K40="","",INDEX($T$32:$T$46,$K40))</f>
        <v/>
      </c>
      <c r="H40" s="40">
        <f>IF($K40="","",INDEX($U$32:$U$46,$K40))</f>
        <v/>
      </c>
      <c r="I40" s="22">
        <f>IF($K40="","",INDEX($V$32:$V$46,$K40))</f>
        <v/>
      </c>
      <c r="K40" s="7">
        <f>IF(COUNT($W$32:$W$46)&lt;9,"",MATCH(LARGE($W$32:$W$46,9),$W$32:$W$46,0))</f>
        <v/>
      </c>
      <c r="N40" s="26">
        <f>IFERROR(SMALL(전표_원본!$S$5:$S$100000,9),"")</f>
        <v/>
      </c>
      <c r="O40" s="26">
        <f>IF(N40="","",INDEX(전표_원본!$K$1:$K$100000,N40))</f>
        <v/>
      </c>
      <c r="P40" s="35">
        <f>IF(O40="","",SUMIFS(전표_원본!$P$5:$P$100000,전표_원본!$Q$5:$Q$100000,"당기",전표_원본!$R$5:$R$100000,O40))</f>
        <v/>
      </c>
      <c r="Q40" s="35">
        <f>IF(O40="","",SUMIFS(전표_원본!$P$5:$P$100000,전표_원본!$Q$5:$Q$100000,"비교",전표_원본!$R$5:$R$100000,O40))</f>
        <v/>
      </c>
      <c r="R40" s="40">
        <f>IF(O40="","",P40-Q40)</f>
        <v/>
      </c>
      <c r="S40" s="26">
        <f>IF(O40="","",COUNTIFS(전표_원본!$Q$5:$Q$100000,"당기",전표_원본!$R$5:$R$100000,O40,전표_원본!$P$5:$P$100000,"&gt;0"))</f>
        <v/>
      </c>
      <c r="T40" s="26">
        <f>IF(O40="","",COUNTIFS(전표_원본!$Q$5:$Q$100000,"비교",전표_원본!$R$5:$R$100000,O40,전표_원본!$P$5:$P$100000,"&gt;0"))</f>
        <v/>
      </c>
      <c r="U40" s="35">
        <f>IF(O40="","",SUMPRODUCT(MAX((전표_원본!$Q$5:$Q$100000="당기")*(전표_원본!$R$5:$R$100000=O40)*전표_원본!$P$5:$P$100000)))</f>
        <v/>
      </c>
      <c r="V40" s="26">
        <f>IF(O40="","",IF(LEFT(O40,1)="(","N",IF(COUNTIFS(전표_원본!$O$5:$O$100000,$C$9,전표_원본!$K$5:$K$100000,O40,전표_원본!$M$5:$M$100000,"&gt;="&amp;($C$10-12),전표_원본!$M$5:$M$100000,"&lt;"&amp;$C$10)=0,"Y","N")))</f>
        <v/>
      </c>
      <c r="W40" s="41">
        <f>IF(O40="","",R40+ROW()/1000000)</f>
        <v/>
      </c>
      <c r="Y40" s="7" t="inlineStr">
        <is>
          <t>건당 당기</t>
        </is>
      </c>
      <c r="Z40" s="40">
        <f>IF(Z36=0,0,Z38/Z36)</f>
        <v/>
      </c>
    </row>
    <row r="41">
      <c r="A41" s="8">
        <f>IF($K41="","",INDEX($O$32:$O$46,$K41))</f>
        <v/>
      </c>
      <c r="B41" s="40">
        <f>IF($K41="","",INDEX($P$32:$P$46,$K41))</f>
        <v/>
      </c>
      <c r="C41" s="40">
        <f>IF($K41="","",INDEX($Q$32:$Q$46,$K41))</f>
        <v/>
      </c>
      <c r="D41" s="76">
        <f>IF($K41="","",INDEX($R$32:$R$46,$K41))</f>
        <v/>
      </c>
      <c r="E41" s="73">
        <f>IF(OR($K41="",$C$16&lt;=0),"",D41/$C$16)</f>
        <v/>
      </c>
      <c r="F41" s="77">
        <f>IF($K41="","",INDEX($S$32:$S$46,$K41))</f>
        <v/>
      </c>
      <c r="G41" s="77">
        <f>IF($K41="","",INDEX($T$32:$T$46,$K41))</f>
        <v/>
      </c>
      <c r="H41" s="40">
        <f>IF($K41="","",INDEX($U$32:$U$46,$K41))</f>
        <v/>
      </c>
      <c r="I41" s="22">
        <f>IF($K41="","",INDEX($V$32:$V$46,$K41))</f>
        <v/>
      </c>
      <c r="K41" s="7">
        <f>IF(COUNT($W$32:$W$46)&lt;10,"",MATCH(LARGE($W$32:$W$46,10),$W$32:$W$46,0))</f>
        <v/>
      </c>
      <c r="N41" s="26">
        <f>IFERROR(SMALL(전표_원본!$S$5:$S$100000,10),"")</f>
        <v/>
      </c>
      <c r="O41" s="26">
        <f>IF(N41="","",INDEX(전표_원본!$K$1:$K$100000,N41))</f>
        <v/>
      </c>
      <c r="P41" s="35">
        <f>IF(O41="","",SUMIFS(전표_원본!$P$5:$P$100000,전표_원본!$Q$5:$Q$100000,"당기",전표_원본!$R$5:$R$100000,O41))</f>
        <v/>
      </c>
      <c r="Q41" s="35">
        <f>IF(O41="","",SUMIFS(전표_원본!$P$5:$P$100000,전표_원본!$Q$5:$Q$100000,"비교",전표_원본!$R$5:$R$100000,O41))</f>
        <v/>
      </c>
      <c r="R41" s="40">
        <f>IF(O41="","",P41-Q41)</f>
        <v/>
      </c>
      <c r="S41" s="26">
        <f>IF(O41="","",COUNTIFS(전표_원본!$Q$5:$Q$100000,"당기",전표_원본!$R$5:$R$100000,O41,전표_원본!$P$5:$P$100000,"&gt;0"))</f>
        <v/>
      </c>
      <c r="T41" s="26">
        <f>IF(O41="","",COUNTIFS(전표_원본!$Q$5:$Q$100000,"비교",전표_원본!$R$5:$R$100000,O41,전표_원본!$P$5:$P$100000,"&gt;0"))</f>
        <v/>
      </c>
      <c r="U41" s="35">
        <f>IF(O41="","",SUMPRODUCT(MAX((전표_원본!$Q$5:$Q$100000="당기")*(전표_원본!$R$5:$R$100000=O41)*전표_원본!$P$5:$P$100000)))</f>
        <v/>
      </c>
      <c r="V41" s="26">
        <f>IF(O41="","",IF(LEFT(O41,1)="(","N",IF(COUNTIFS(전표_원본!$O$5:$O$100000,$C$9,전표_원본!$K$5:$K$100000,O41,전표_원본!$M$5:$M$100000,"&gt;="&amp;($C$10-12),전표_원본!$M$5:$M$100000,"&lt;"&amp;$C$10)=0,"Y","N")))</f>
        <v/>
      </c>
      <c r="W41" s="41">
        <f>IF(O41="","",R41+ROW()/1000000)</f>
        <v/>
      </c>
      <c r="Y41" s="7" t="inlineStr">
        <is>
          <t>건당 비교</t>
        </is>
      </c>
      <c r="Z41" s="40">
        <f>IF(Z37=0,0,Z39/Z37)</f>
        <v/>
      </c>
    </row>
    <row r="42">
      <c r="A42" s="8">
        <f>IF($K42="","",INDEX($O$32:$O$46,$K42))</f>
        <v/>
      </c>
      <c r="B42" s="40">
        <f>IF($K42="","",INDEX($P$32:$P$46,$K42))</f>
        <v/>
      </c>
      <c r="C42" s="40">
        <f>IF($K42="","",INDEX($Q$32:$Q$46,$K42))</f>
        <v/>
      </c>
      <c r="D42" s="76">
        <f>IF($K42="","",INDEX($R$32:$R$46,$K42))</f>
        <v/>
      </c>
      <c r="E42" s="73">
        <f>IF(OR($K42="",$C$16&lt;=0),"",D42/$C$16)</f>
        <v/>
      </c>
      <c r="F42" s="77">
        <f>IF($K42="","",INDEX($S$32:$S$46,$K42))</f>
        <v/>
      </c>
      <c r="G42" s="77">
        <f>IF($K42="","",INDEX($T$32:$T$46,$K42))</f>
        <v/>
      </c>
      <c r="H42" s="40">
        <f>IF($K42="","",INDEX($U$32:$U$46,$K42))</f>
        <v/>
      </c>
      <c r="I42" s="22">
        <f>IF($K42="","",INDEX($V$32:$V$46,$K42))</f>
        <v/>
      </c>
      <c r="K42" s="7">
        <f>IF(COUNT($W$32:$W$46)&lt;11,"",MATCH(LARGE($W$32:$W$46,11),$W$32:$W$46,0))</f>
        <v/>
      </c>
      <c r="N42" s="26">
        <f>IFERROR(SMALL(전표_원본!$S$5:$S$100000,11),"")</f>
        <v/>
      </c>
      <c r="O42" s="26">
        <f>IF(N42="","",INDEX(전표_원본!$K$1:$K$100000,N42))</f>
        <v/>
      </c>
      <c r="P42" s="35">
        <f>IF(O42="","",SUMIFS(전표_원본!$P$5:$P$100000,전표_원본!$Q$5:$Q$100000,"당기",전표_원본!$R$5:$R$100000,O42))</f>
        <v/>
      </c>
      <c r="Q42" s="35">
        <f>IF(O42="","",SUMIFS(전표_원본!$P$5:$P$100000,전표_원본!$Q$5:$Q$100000,"비교",전표_원본!$R$5:$R$100000,O42))</f>
        <v/>
      </c>
      <c r="R42" s="40">
        <f>IF(O42="","",P42-Q42)</f>
        <v/>
      </c>
      <c r="S42" s="26">
        <f>IF(O42="","",COUNTIFS(전표_원본!$Q$5:$Q$100000,"당기",전표_원본!$R$5:$R$100000,O42,전표_원본!$P$5:$P$100000,"&gt;0"))</f>
        <v/>
      </c>
      <c r="T42" s="26">
        <f>IF(O42="","",COUNTIFS(전표_원본!$Q$5:$Q$100000,"비교",전표_원본!$R$5:$R$100000,O42,전표_원본!$P$5:$P$100000,"&gt;0"))</f>
        <v/>
      </c>
      <c r="U42" s="35">
        <f>IF(O42="","",SUMPRODUCT(MAX((전표_원본!$Q$5:$Q$100000="당기")*(전표_원본!$R$5:$R$100000=O42)*전표_원본!$P$5:$P$100000)))</f>
        <v/>
      </c>
      <c r="V42" s="26">
        <f>IF(O42="","",IF(LEFT(O42,1)="(","N",IF(COUNTIFS(전표_원본!$O$5:$O$100000,$C$9,전표_원본!$K$5:$K$100000,O42,전표_원본!$M$5:$M$100000,"&gt;="&amp;($C$10-12),전표_원본!$M$5:$M$100000,"&lt;"&amp;$C$10)=0,"Y","N")))</f>
        <v/>
      </c>
      <c r="W42" s="41">
        <f>IF(O42="","",R42+ROW()/1000000)</f>
        <v/>
      </c>
      <c r="Y42" s="7" t="inlineStr">
        <is>
          <t>신규 거래처 증감</t>
        </is>
      </c>
      <c r="Z42" s="40">
        <f>SUMIFS($R$32:$R$46,$V$32:$V$46,"Y")</f>
        <v/>
      </c>
    </row>
    <row r="43">
      <c r="A43" s="8">
        <f>IF($K43="","",INDEX($O$32:$O$46,$K43))</f>
        <v/>
      </c>
      <c r="B43" s="40">
        <f>IF($K43="","",INDEX($P$32:$P$46,$K43))</f>
        <v/>
      </c>
      <c r="C43" s="40">
        <f>IF($K43="","",INDEX($Q$32:$Q$46,$K43))</f>
        <v/>
      </c>
      <c r="D43" s="76">
        <f>IF($K43="","",INDEX($R$32:$R$46,$K43))</f>
        <v/>
      </c>
      <c r="E43" s="73">
        <f>IF(OR($K43="",$C$16&lt;=0),"",D43/$C$16)</f>
        <v/>
      </c>
      <c r="F43" s="77">
        <f>IF($K43="","",INDEX($S$32:$S$46,$K43))</f>
        <v/>
      </c>
      <c r="G43" s="77">
        <f>IF($K43="","",INDEX($T$32:$T$46,$K43))</f>
        <v/>
      </c>
      <c r="H43" s="40">
        <f>IF($K43="","",INDEX($U$32:$U$46,$K43))</f>
        <v/>
      </c>
      <c r="I43" s="22">
        <f>IF($K43="","",INDEX($V$32:$V$46,$K43))</f>
        <v/>
      </c>
      <c r="K43" s="7">
        <f>IF(COUNT($W$32:$W$46)&lt;12,"",MATCH(LARGE($W$32:$W$46,12),$W$32:$W$46,0))</f>
        <v/>
      </c>
      <c r="N43" s="26">
        <f>IFERROR(SMALL(전표_원본!$S$5:$S$100000,12),"")</f>
        <v/>
      </c>
      <c r="O43" s="26">
        <f>IF(N43="","",INDEX(전표_원본!$K$1:$K$100000,N43))</f>
        <v/>
      </c>
      <c r="P43" s="35">
        <f>IF(O43="","",SUMIFS(전표_원본!$P$5:$P$100000,전표_원본!$Q$5:$Q$100000,"당기",전표_원본!$R$5:$R$100000,O43))</f>
        <v/>
      </c>
      <c r="Q43" s="35">
        <f>IF(O43="","",SUMIFS(전표_원본!$P$5:$P$100000,전표_원본!$Q$5:$Q$100000,"비교",전표_원본!$R$5:$R$100000,O43))</f>
        <v/>
      </c>
      <c r="R43" s="40">
        <f>IF(O43="","",P43-Q43)</f>
        <v/>
      </c>
      <c r="S43" s="26">
        <f>IF(O43="","",COUNTIFS(전표_원본!$Q$5:$Q$100000,"당기",전표_원본!$R$5:$R$100000,O43,전표_원본!$P$5:$P$100000,"&gt;0"))</f>
        <v/>
      </c>
      <c r="T43" s="26">
        <f>IF(O43="","",COUNTIFS(전표_원본!$Q$5:$Q$100000,"비교",전표_원본!$R$5:$R$100000,O43,전표_원본!$P$5:$P$100000,"&gt;0"))</f>
        <v/>
      </c>
      <c r="U43" s="35">
        <f>IF(O43="","",SUMPRODUCT(MAX((전표_원본!$Q$5:$Q$100000="당기")*(전표_원본!$R$5:$R$100000=O43)*전표_원본!$P$5:$P$100000)))</f>
        <v/>
      </c>
      <c r="V43" s="26">
        <f>IF(O43="","",IF(LEFT(O43,1)="(","N",IF(COUNTIFS(전표_원본!$O$5:$O$100000,$C$9,전표_원본!$K$5:$K$100000,O43,전표_원본!$M$5:$M$100000,"&gt;="&amp;($C$10-12),전표_원본!$M$5:$M$100000,"&lt;"&amp;$C$10)=0,"Y","N")))</f>
        <v/>
      </c>
      <c r="W43" s="41">
        <f>IF(O43="","",R43+ROW()/1000000)</f>
        <v/>
      </c>
      <c r="Y43" s="7" t="inlineStr">
        <is>
          <t>신규 거래처 수</t>
        </is>
      </c>
      <c r="Z43" s="8">
        <f>COUNTIFS($V$32:$V$46,"Y",$R$32:$R$46,"&gt;0")</f>
        <v/>
      </c>
    </row>
    <row r="44">
      <c r="A44" s="8">
        <f>IF($K44="","",INDEX($O$32:$O$46,$K44))</f>
        <v/>
      </c>
      <c r="B44" s="40">
        <f>IF($K44="","",INDEX($P$32:$P$46,$K44))</f>
        <v/>
      </c>
      <c r="C44" s="40">
        <f>IF($K44="","",INDEX($Q$32:$Q$46,$K44))</f>
        <v/>
      </c>
      <c r="D44" s="76">
        <f>IF($K44="","",INDEX($R$32:$R$46,$K44))</f>
        <v/>
      </c>
      <c r="E44" s="73">
        <f>IF(OR($K44="",$C$16&lt;=0),"",D44/$C$16)</f>
        <v/>
      </c>
      <c r="F44" s="77">
        <f>IF($K44="","",INDEX($S$32:$S$46,$K44))</f>
        <v/>
      </c>
      <c r="G44" s="77">
        <f>IF($K44="","",INDEX($T$32:$T$46,$K44))</f>
        <v/>
      </c>
      <c r="H44" s="40">
        <f>IF($K44="","",INDEX($U$32:$U$46,$K44))</f>
        <v/>
      </c>
      <c r="I44" s="22">
        <f>IF($K44="","",INDEX($V$32:$V$46,$K44))</f>
        <v/>
      </c>
      <c r="K44" s="7">
        <f>IF(COUNT($W$32:$W$46)&lt;13,"",MATCH(LARGE($W$32:$W$46,13),$W$32:$W$46,0))</f>
        <v/>
      </c>
      <c r="N44" s="26">
        <f>IFERROR(SMALL(전표_원본!$S$5:$S$100000,13),"")</f>
        <v/>
      </c>
      <c r="O44" s="26">
        <f>IF(N44="","",INDEX(전표_원본!$K$1:$K$100000,N44))</f>
        <v/>
      </c>
      <c r="P44" s="35">
        <f>IF(O44="","",SUMIFS(전표_원본!$P$5:$P$100000,전표_원본!$Q$5:$Q$100000,"당기",전표_원본!$R$5:$R$100000,O44))</f>
        <v/>
      </c>
      <c r="Q44" s="35">
        <f>IF(O44="","",SUMIFS(전표_원본!$P$5:$P$100000,전표_원본!$Q$5:$Q$100000,"비교",전표_원본!$R$5:$R$100000,O44))</f>
        <v/>
      </c>
      <c r="R44" s="40">
        <f>IF(O44="","",P44-Q44)</f>
        <v/>
      </c>
      <c r="S44" s="26">
        <f>IF(O44="","",COUNTIFS(전표_원본!$Q$5:$Q$100000,"당기",전표_원본!$R$5:$R$100000,O44,전표_원본!$P$5:$P$100000,"&gt;0"))</f>
        <v/>
      </c>
      <c r="T44" s="26">
        <f>IF(O44="","",COUNTIFS(전표_원본!$Q$5:$Q$100000,"비교",전표_원본!$R$5:$R$100000,O44,전표_원본!$P$5:$P$100000,"&gt;0"))</f>
        <v/>
      </c>
      <c r="U44" s="35">
        <f>IF(O44="","",SUMPRODUCT(MAX((전표_원본!$Q$5:$Q$100000="당기")*(전표_원본!$R$5:$R$100000=O44)*전표_원본!$P$5:$P$100000)))</f>
        <v/>
      </c>
      <c r="V44" s="26">
        <f>IF(O44="","",IF(LEFT(O44,1)="(","N",IF(COUNTIFS(전표_원본!$O$5:$O$100000,$C$9,전표_원본!$K$5:$K$100000,O44,전표_원본!$M$5:$M$100000,"&gt;="&amp;($C$10-12),전표_원본!$M$5:$M$100000,"&lt;"&amp;$C$10)=0,"Y","N")))</f>
        <v/>
      </c>
      <c r="W44" s="41">
        <f>IF(O44="","",R44+ROW()/1000000)</f>
        <v/>
      </c>
      <c r="Y44" s="7" t="inlineStr">
        <is>
          <t>첫 신규 거래처</t>
        </is>
      </c>
      <c r="Z44" s="8">
        <f>IFERROR(INDEX($A$32:$A$46,MATCH("Y",$I$32:$I$46,0)),"")</f>
        <v/>
      </c>
    </row>
    <row r="45">
      <c r="A45" s="8">
        <f>IF($K45="","",INDEX($O$32:$O$46,$K45))</f>
        <v/>
      </c>
      <c r="B45" s="40">
        <f>IF($K45="","",INDEX($P$32:$P$46,$K45))</f>
        <v/>
      </c>
      <c r="C45" s="40">
        <f>IF($K45="","",INDEX($Q$32:$Q$46,$K45))</f>
        <v/>
      </c>
      <c r="D45" s="76">
        <f>IF($K45="","",INDEX($R$32:$R$46,$K45))</f>
        <v/>
      </c>
      <c r="E45" s="73">
        <f>IF(OR($K45="",$C$16&lt;=0),"",D45/$C$16)</f>
        <v/>
      </c>
      <c r="F45" s="77">
        <f>IF($K45="","",INDEX($S$32:$S$46,$K45))</f>
        <v/>
      </c>
      <c r="G45" s="77">
        <f>IF($K45="","",INDEX($T$32:$T$46,$K45))</f>
        <v/>
      </c>
      <c r="H45" s="40">
        <f>IF($K45="","",INDEX($U$32:$U$46,$K45))</f>
        <v/>
      </c>
      <c r="I45" s="22">
        <f>IF($K45="","",INDEX($V$32:$V$46,$K45))</f>
        <v/>
      </c>
      <c r="K45" s="7">
        <f>IF(COUNT($W$32:$W$46)&lt;14,"",MATCH(LARGE($W$32:$W$46,14),$W$32:$W$46,0))</f>
        <v/>
      </c>
      <c r="N45" s="26">
        <f>IFERROR(SMALL(전표_원본!$S$5:$S$100000,14),"")</f>
        <v/>
      </c>
      <c r="O45" s="26">
        <f>IF(N45="","",INDEX(전표_원본!$K$1:$K$100000,N45))</f>
        <v/>
      </c>
      <c r="P45" s="35">
        <f>IF(O45="","",SUMIFS(전표_원본!$P$5:$P$100000,전표_원본!$Q$5:$Q$100000,"당기",전표_원본!$R$5:$R$100000,O45))</f>
        <v/>
      </c>
      <c r="Q45" s="35">
        <f>IF(O45="","",SUMIFS(전표_원본!$P$5:$P$100000,전표_원본!$Q$5:$Q$100000,"비교",전표_원본!$R$5:$R$100000,O45))</f>
        <v/>
      </c>
      <c r="R45" s="40">
        <f>IF(O45="","",P45-Q45)</f>
        <v/>
      </c>
      <c r="S45" s="26">
        <f>IF(O45="","",COUNTIFS(전표_원본!$Q$5:$Q$100000,"당기",전표_원본!$R$5:$R$100000,O45,전표_원본!$P$5:$P$100000,"&gt;0"))</f>
        <v/>
      </c>
      <c r="T45" s="26">
        <f>IF(O45="","",COUNTIFS(전표_원본!$Q$5:$Q$100000,"비교",전표_원본!$R$5:$R$100000,O45,전표_원본!$P$5:$P$100000,"&gt;0"))</f>
        <v/>
      </c>
      <c r="U45" s="35">
        <f>IF(O45="","",SUMPRODUCT(MAX((전표_원본!$Q$5:$Q$100000="당기")*(전표_원본!$R$5:$R$100000=O45)*전표_원본!$P$5:$P$100000)))</f>
        <v/>
      </c>
      <c r="V45" s="26">
        <f>IF(O45="","",IF(LEFT(O45,1)="(","N",IF(COUNTIFS(전표_원본!$O$5:$O$100000,$C$9,전표_원본!$K$5:$K$100000,O45,전표_원본!$M$5:$M$100000,"&gt;="&amp;($C$10-12),전표_원본!$M$5:$M$100000,"&lt;"&amp;$C$10)=0,"Y","N")))</f>
        <v/>
      </c>
      <c r="W45" s="41">
        <f>IF(O45="","",R45+ROW()/1000000)</f>
        <v/>
      </c>
      <c r="Y45" s="7" t="inlineStr">
        <is>
          <t>최대 단건 거래처 평소 월평균</t>
        </is>
      </c>
      <c r="Z45" s="35">
        <f>IF(Z20="",0,SUMIFS(전표_원본!$P$5:$P$100000,전표_원본!$O$5:$O$100000,$C$9,전표_원본!$K$5:$K$100000,Z24,전표_원본!$M$5:$M$100000,"&gt;="&amp;($C$10-12),전표_원본!$M$5:$M$100000,"&lt;"&amp;$C$10)/12)</f>
        <v/>
      </c>
    </row>
    <row r="46">
      <c r="A46" s="8">
        <f>IF($K46="","",INDEX($O$32:$O$46,$K46))</f>
        <v/>
      </c>
      <c r="B46" s="40">
        <f>IF($K46="","",INDEX($P$32:$P$46,$K46))</f>
        <v/>
      </c>
      <c r="C46" s="40">
        <f>IF($K46="","",INDEX($Q$32:$Q$46,$K46))</f>
        <v/>
      </c>
      <c r="D46" s="76">
        <f>IF($K46="","",INDEX($R$32:$R$46,$K46))</f>
        <v/>
      </c>
      <c r="E46" s="73">
        <f>IF(OR($K46="",$C$16&lt;=0),"",D46/$C$16)</f>
        <v/>
      </c>
      <c r="F46" s="77">
        <f>IF($K46="","",INDEX($S$32:$S$46,$K46))</f>
        <v/>
      </c>
      <c r="G46" s="77">
        <f>IF($K46="","",INDEX($T$32:$T$46,$K46))</f>
        <v/>
      </c>
      <c r="H46" s="40">
        <f>IF($K46="","",INDEX($U$32:$U$46,$K46))</f>
        <v/>
      </c>
      <c r="I46" s="22">
        <f>IF($K46="","",INDEX($V$32:$V$46,$K46))</f>
        <v/>
      </c>
      <c r="K46" s="7">
        <f>IF(COUNT($W$32:$W$46)&lt;15,"",MATCH(LARGE($W$32:$W$46,15),$W$32:$W$46,0))</f>
        <v/>
      </c>
      <c r="N46" s="26">
        <f>IFERROR(SMALL(전표_원본!$S$5:$S$100000,15),"")</f>
        <v/>
      </c>
      <c r="O46" s="26">
        <f>IF(N46="","",INDEX(전표_원본!$K$1:$K$100000,N46))</f>
        <v/>
      </c>
      <c r="P46" s="35">
        <f>IF(O46="","",SUMIFS(전표_원본!$P$5:$P$100000,전표_원본!$Q$5:$Q$100000,"당기",전표_원본!$R$5:$R$100000,O46))</f>
        <v/>
      </c>
      <c r="Q46" s="35">
        <f>IF(O46="","",SUMIFS(전표_원본!$P$5:$P$100000,전표_원본!$Q$5:$Q$100000,"비교",전표_원본!$R$5:$R$100000,O46))</f>
        <v/>
      </c>
      <c r="R46" s="40">
        <f>IF(O46="","",P46-Q46)</f>
        <v/>
      </c>
      <c r="S46" s="26">
        <f>IF(O46="","",COUNTIFS(전표_원본!$Q$5:$Q$100000,"당기",전표_원본!$R$5:$R$100000,O46,전표_원본!$P$5:$P$100000,"&gt;0"))</f>
        <v/>
      </c>
      <c r="T46" s="26">
        <f>IF(O46="","",COUNTIFS(전표_원본!$Q$5:$Q$100000,"비교",전표_원본!$R$5:$R$100000,O46,전표_원본!$P$5:$P$100000,"&gt;0"))</f>
        <v/>
      </c>
      <c r="U46" s="35">
        <f>IF(O46="","",SUMPRODUCT(MAX((전표_원본!$Q$5:$Q$100000="당기")*(전표_원본!$R$5:$R$100000=O46)*전표_원본!$P$5:$P$100000)))</f>
        <v/>
      </c>
      <c r="V46" s="26">
        <f>IF(O46="","",IF(LEFT(O46,1)="(","N",IF(COUNTIFS(전표_원본!$O$5:$O$100000,$C$9,전표_원본!$K$5:$K$100000,O46,전표_원본!$M$5:$M$100000,"&gt;="&amp;($C$10-12),전표_원본!$M$5:$M$100000,"&lt;"&amp;$C$10)=0,"Y","N")))</f>
        <v/>
      </c>
      <c r="W46" s="41">
        <f>IF(O46="","",R46+ROW()/1000000)</f>
        <v/>
      </c>
    </row>
    <row r="49">
      <c r="A49" s="3" t="inlineStr">
        <is>
          <t>근거 전표 · 당기 (금액 절댓값 큰 순)</t>
        </is>
      </c>
    </row>
    <row r="50" ht="20" customHeight="1">
      <c r="A50" s="4" t="inlineStr">
        <is>
          <t>전기일</t>
        </is>
      </c>
      <c r="B50" s="4" t="inlineStr">
        <is>
          <t>전표번호</t>
        </is>
      </c>
      <c r="C50" s="4" t="inlineStr">
        <is>
          <t>유형</t>
        </is>
      </c>
      <c r="D50" s="4" t="inlineStr">
        <is>
          <t>거래처</t>
        </is>
      </c>
      <c r="E50" s="4" t="inlineStr">
        <is>
          <t>적요</t>
        </is>
      </c>
      <c r="F50" s="4" t="inlineStr">
        <is>
          <t>금액</t>
        </is>
      </c>
      <c r="G50" s="4" t="inlineStr">
        <is>
          <t>코스트센터</t>
        </is>
      </c>
    </row>
    <row r="51">
      <c r="A51" s="54">
        <f>IF($K51="","",INDEX(전표_원본!$D$5:$D$100000,$K51))</f>
        <v/>
      </c>
      <c r="B51" s="26">
        <f>IF($K51="","",INDEX(전표_원본!$C$5:$C$100000,$K51))</f>
        <v/>
      </c>
      <c r="C51" s="34">
        <f>IF($K51="","",INDEX(전표_원본!$E$5:$E$100000,$K51))</f>
        <v/>
      </c>
      <c r="D51" s="26">
        <f>IF($K51="","",INDEX(전표_원본!$K$5:$K$100000,$K51))</f>
        <v/>
      </c>
      <c r="E51" s="26">
        <f>IF($K51="","",INDEX(전표_원본!$I$5:$I$100000,$K51))</f>
        <v/>
      </c>
      <c r="F51" s="35">
        <f>IF($K51="","",INDEX(전표_원본!$P$5:$P$100000,$K51))</f>
        <v/>
      </c>
      <c r="G51" s="34">
        <f>IF($K51="","",INDEX(전표_원본!$G$5:$G$100000,$K51))</f>
        <v/>
      </c>
      <c r="K51" s="7">
        <f>IFERROR(MATCH(LARGE(전표_원본!$T$5:$T$100000,1),전표_원본!$T$5:$T$100000,0),"")</f>
        <v/>
      </c>
    </row>
    <row r="52">
      <c r="A52" s="54">
        <f>IF($K52="","",INDEX(전표_원본!$D$5:$D$100000,$K52))</f>
        <v/>
      </c>
      <c r="B52" s="26">
        <f>IF($K52="","",INDEX(전표_원본!$C$5:$C$100000,$K52))</f>
        <v/>
      </c>
      <c r="C52" s="34">
        <f>IF($K52="","",INDEX(전표_원본!$E$5:$E$100000,$K52))</f>
        <v/>
      </c>
      <c r="D52" s="26">
        <f>IF($K52="","",INDEX(전표_원본!$K$5:$K$100000,$K52))</f>
        <v/>
      </c>
      <c r="E52" s="26">
        <f>IF($K52="","",INDEX(전표_원본!$I$5:$I$100000,$K52))</f>
        <v/>
      </c>
      <c r="F52" s="35">
        <f>IF($K52="","",INDEX(전표_원본!$P$5:$P$100000,$K52))</f>
        <v/>
      </c>
      <c r="G52" s="34">
        <f>IF($K52="","",INDEX(전표_원본!$G$5:$G$100000,$K52))</f>
        <v/>
      </c>
      <c r="K52" s="7">
        <f>IFERROR(MATCH(LARGE(전표_원본!$T$5:$T$100000,2),전표_원본!$T$5:$T$100000,0),"")</f>
        <v/>
      </c>
    </row>
    <row r="53">
      <c r="A53" s="54">
        <f>IF($K53="","",INDEX(전표_원본!$D$5:$D$100000,$K53))</f>
        <v/>
      </c>
      <c r="B53" s="26">
        <f>IF($K53="","",INDEX(전표_원본!$C$5:$C$100000,$K53))</f>
        <v/>
      </c>
      <c r="C53" s="34">
        <f>IF($K53="","",INDEX(전표_원본!$E$5:$E$100000,$K53))</f>
        <v/>
      </c>
      <c r="D53" s="26">
        <f>IF($K53="","",INDEX(전표_원본!$K$5:$K$100000,$K53))</f>
        <v/>
      </c>
      <c r="E53" s="26">
        <f>IF($K53="","",INDEX(전표_원본!$I$5:$I$100000,$K53))</f>
        <v/>
      </c>
      <c r="F53" s="35">
        <f>IF($K53="","",INDEX(전표_원본!$P$5:$P$100000,$K53))</f>
        <v/>
      </c>
      <c r="G53" s="34">
        <f>IF($K53="","",INDEX(전표_원본!$G$5:$G$100000,$K53))</f>
        <v/>
      </c>
      <c r="K53" s="7">
        <f>IFERROR(MATCH(LARGE(전표_원본!$T$5:$T$100000,3),전표_원본!$T$5:$T$100000,0),"")</f>
        <v/>
      </c>
    </row>
    <row r="54">
      <c r="A54" s="54">
        <f>IF($K54="","",INDEX(전표_원본!$D$5:$D$100000,$K54))</f>
        <v/>
      </c>
      <c r="B54" s="26">
        <f>IF($K54="","",INDEX(전표_원본!$C$5:$C$100000,$K54))</f>
        <v/>
      </c>
      <c r="C54" s="34">
        <f>IF($K54="","",INDEX(전표_원본!$E$5:$E$100000,$K54))</f>
        <v/>
      </c>
      <c r="D54" s="26">
        <f>IF($K54="","",INDEX(전표_원본!$K$5:$K$100000,$K54))</f>
        <v/>
      </c>
      <c r="E54" s="26">
        <f>IF($K54="","",INDEX(전표_원본!$I$5:$I$100000,$K54))</f>
        <v/>
      </c>
      <c r="F54" s="35">
        <f>IF($K54="","",INDEX(전표_원본!$P$5:$P$100000,$K54))</f>
        <v/>
      </c>
      <c r="G54" s="34">
        <f>IF($K54="","",INDEX(전표_원본!$G$5:$G$100000,$K54))</f>
        <v/>
      </c>
      <c r="K54" s="7">
        <f>IFERROR(MATCH(LARGE(전표_원본!$T$5:$T$100000,4),전표_원본!$T$5:$T$100000,0),"")</f>
        <v/>
      </c>
    </row>
    <row r="55">
      <c r="A55" s="54">
        <f>IF($K55="","",INDEX(전표_원본!$D$5:$D$100000,$K55))</f>
        <v/>
      </c>
      <c r="B55" s="26">
        <f>IF($K55="","",INDEX(전표_원본!$C$5:$C$100000,$K55))</f>
        <v/>
      </c>
      <c r="C55" s="34">
        <f>IF($K55="","",INDEX(전표_원본!$E$5:$E$100000,$K55))</f>
        <v/>
      </c>
      <c r="D55" s="26">
        <f>IF($K55="","",INDEX(전표_원본!$K$5:$K$100000,$K55))</f>
        <v/>
      </c>
      <c r="E55" s="26">
        <f>IF($K55="","",INDEX(전표_원본!$I$5:$I$100000,$K55))</f>
        <v/>
      </c>
      <c r="F55" s="35">
        <f>IF($K55="","",INDEX(전표_원본!$P$5:$P$100000,$K55))</f>
        <v/>
      </c>
      <c r="G55" s="34">
        <f>IF($K55="","",INDEX(전표_원본!$G$5:$G$100000,$K55))</f>
        <v/>
      </c>
      <c r="K55" s="7">
        <f>IFERROR(MATCH(LARGE(전표_원본!$T$5:$T$100000,5),전표_원본!$T$5:$T$100000,0),"")</f>
        <v/>
      </c>
    </row>
    <row r="56">
      <c r="A56" s="54">
        <f>IF($K56="","",INDEX(전표_원본!$D$5:$D$100000,$K56))</f>
        <v/>
      </c>
      <c r="B56" s="26">
        <f>IF($K56="","",INDEX(전표_원본!$C$5:$C$100000,$K56))</f>
        <v/>
      </c>
      <c r="C56" s="34">
        <f>IF($K56="","",INDEX(전표_원본!$E$5:$E$100000,$K56))</f>
        <v/>
      </c>
      <c r="D56" s="26">
        <f>IF($K56="","",INDEX(전표_원본!$K$5:$K$100000,$K56))</f>
        <v/>
      </c>
      <c r="E56" s="26">
        <f>IF($K56="","",INDEX(전표_원본!$I$5:$I$100000,$K56))</f>
        <v/>
      </c>
      <c r="F56" s="35">
        <f>IF($K56="","",INDEX(전표_원본!$P$5:$P$100000,$K56))</f>
        <v/>
      </c>
      <c r="G56" s="34">
        <f>IF($K56="","",INDEX(전표_원본!$G$5:$G$100000,$K56))</f>
        <v/>
      </c>
      <c r="K56" s="7">
        <f>IFERROR(MATCH(LARGE(전표_원본!$T$5:$T$100000,6),전표_원본!$T$5:$T$100000,0),"")</f>
        <v/>
      </c>
    </row>
    <row r="57">
      <c r="A57" s="54">
        <f>IF($K57="","",INDEX(전표_원본!$D$5:$D$100000,$K57))</f>
        <v/>
      </c>
      <c r="B57" s="26">
        <f>IF($K57="","",INDEX(전표_원본!$C$5:$C$100000,$K57))</f>
        <v/>
      </c>
      <c r="C57" s="34">
        <f>IF($K57="","",INDEX(전표_원본!$E$5:$E$100000,$K57))</f>
        <v/>
      </c>
      <c r="D57" s="26">
        <f>IF($K57="","",INDEX(전표_원본!$K$5:$K$100000,$K57))</f>
        <v/>
      </c>
      <c r="E57" s="26">
        <f>IF($K57="","",INDEX(전표_원본!$I$5:$I$100000,$K57))</f>
        <v/>
      </c>
      <c r="F57" s="35">
        <f>IF($K57="","",INDEX(전표_원본!$P$5:$P$100000,$K57))</f>
        <v/>
      </c>
      <c r="G57" s="34">
        <f>IF($K57="","",INDEX(전표_원본!$G$5:$G$100000,$K57))</f>
        <v/>
      </c>
      <c r="K57" s="7">
        <f>IFERROR(MATCH(LARGE(전표_원본!$T$5:$T$100000,7),전표_원본!$T$5:$T$100000,0),"")</f>
        <v/>
      </c>
    </row>
    <row r="58">
      <c r="A58" s="54">
        <f>IF($K58="","",INDEX(전표_원본!$D$5:$D$100000,$K58))</f>
        <v/>
      </c>
      <c r="B58" s="26">
        <f>IF($K58="","",INDEX(전표_원본!$C$5:$C$100000,$K58))</f>
        <v/>
      </c>
      <c r="C58" s="34">
        <f>IF($K58="","",INDEX(전표_원본!$E$5:$E$100000,$K58))</f>
        <v/>
      </c>
      <c r="D58" s="26">
        <f>IF($K58="","",INDEX(전표_원본!$K$5:$K$100000,$K58))</f>
        <v/>
      </c>
      <c r="E58" s="26">
        <f>IF($K58="","",INDEX(전표_원본!$I$5:$I$100000,$K58))</f>
        <v/>
      </c>
      <c r="F58" s="35">
        <f>IF($K58="","",INDEX(전표_원본!$P$5:$P$100000,$K58))</f>
        <v/>
      </c>
      <c r="G58" s="34">
        <f>IF($K58="","",INDEX(전표_원본!$G$5:$G$100000,$K58))</f>
        <v/>
      </c>
      <c r="K58" s="7">
        <f>IFERROR(MATCH(LARGE(전표_원본!$T$5:$T$100000,8),전표_원본!$T$5:$T$100000,0),"")</f>
        <v/>
      </c>
    </row>
    <row r="59">
      <c r="A59" s="54">
        <f>IF($K59="","",INDEX(전표_원본!$D$5:$D$100000,$K59))</f>
        <v/>
      </c>
      <c r="B59" s="26">
        <f>IF($K59="","",INDEX(전표_원본!$C$5:$C$100000,$K59))</f>
        <v/>
      </c>
      <c r="C59" s="34">
        <f>IF($K59="","",INDEX(전표_원본!$E$5:$E$100000,$K59))</f>
        <v/>
      </c>
      <c r="D59" s="26">
        <f>IF($K59="","",INDEX(전표_원본!$K$5:$K$100000,$K59))</f>
        <v/>
      </c>
      <c r="E59" s="26">
        <f>IF($K59="","",INDEX(전표_원본!$I$5:$I$100000,$K59))</f>
        <v/>
      </c>
      <c r="F59" s="35">
        <f>IF($K59="","",INDEX(전표_원본!$P$5:$P$100000,$K59))</f>
        <v/>
      </c>
      <c r="G59" s="34">
        <f>IF($K59="","",INDEX(전표_원본!$G$5:$G$100000,$K59))</f>
        <v/>
      </c>
      <c r="K59" s="7">
        <f>IFERROR(MATCH(LARGE(전표_원본!$T$5:$T$100000,9),전표_원본!$T$5:$T$100000,0),"")</f>
        <v/>
      </c>
    </row>
    <row r="60">
      <c r="A60" s="54">
        <f>IF($K60="","",INDEX(전표_원본!$D$5:$D$100000,$K60))</f>
        <v/>
      </c>
      <c r="B60" s="26">
        <f>IF($K60="","",INDEX(전표_원본!$C$5:$C$100000,$K60))</f>
        <v/>
      </c>
      <c r="C60" s="34">
        <f>IF($K60="","",INDEX(전표_원본!$E$5:$E$100000,$K60))</f>
        <v/>
      </c>
      <c r="D60" s="26">
        <f>IF($K60="","",INDEX(전표_원본!$K$5:$K$100000,$K60))</f>
        <v/>
      </c>
      <c r="E60" s="26">
        <f>IF($K60="","",INDEX(전표_원본!$I$5:$I$100000,$K60))</f>
        <v/>
      </c>
      <c r="F60" s="35">
        <f>IF($K60="","",INDEX(전표_원본!$P$5:$P$100000,$K60))</f>
        <v/>
      </c>
      <c r="G60" s="34">
        <f>IF($K60="","",INDEX(전표_원본!$G$5:$G$100000,$K60))</f>
        <v/>
      </c>
      <c r="K60" s="7">
        <f>IFERROR(MATCH(LARGE(전표_원본!$T$5:$T$100000,10),전표_원본!$T$5:$T$100000,0),"")</f>
        <v/>
      </c>
    </row>
    <row r="61">
      <c r="A61" s="54">
        <f>IF($K61="","",INDEX(전표_원본!$D$5:$D$100000,$K61))</f>
        <v/>
      </c>
      <c r="B61" s="26">
        <f>IF($K61="","",INDEX(전표_원본!$C$5:$C$100000,$K61))</f>
        <v/>
      </c>
      <c r="C61" s="34">
        <f>IF($K61="","",INDEX(전표_원본!$E$5:$E$100000,$K61))</f>
        <v/>
      </c>
      <c r="D61" s="26">
        <f>IF($K61="","",INDEX(전표_원본!$K$5:$K$100000,$K61))</f>
        <v/>
      </c>
      <c r="E61" s="26">
        <f>IF($K61="","",INDEX(전표_원본!$I$5:$I$100000,$K61))</f>
        <v/>
      </c>
      <c r="F61" s="35">
        <f>IF($K61="","",INDEX(전표_원본!$P$5:$P$100000,$K61))</f>
        <v/>
      </c>
      <c r="G61" s="34">
        <f>IF($K61="","",INDEX(전표_원본!$G$5:$G$100000,$K61))</f>
        <v/>
      </c>
      <c r="K61" s="7">
        <f>IFERROR(MATCH(LARGE(전표_원본!$T$5:$T$100000,11),전표_원본!$T$5:$T$100000,0),"")</f>
        <v/>
      </c>
    </row>
    <row r="62">
      <c r="A62" s="54">
        <f>IF($K62="","",INDEX(전표_원본!$D$5:$D$100000,$K62))</f>
        <v/>
      </c>
      <c r="B62" s="26">
        <f>IF($K62="","",INDEX(전표_원본!$C$5:$C$100000,$K62))</f>
        <v/>
      </c>
      <c r="C62" s="34">
        <f>IF($K62="","",INDEX(전표_원본!$E$5:$E$100000,$K62))</f>
        <v/>
      </c>
      <c r="D62" s="26">
        <f>IF($K62="","",INDEX(전표_원본!$K$5:$K$100000,$K62))</f>
        <v/>
      </c>
      <c r="E62" s="26">
        <f>IF($K62="","",INDEX(전표_원본!$I$5:$I$100000,$K62))</f>
        <v/>
      </c>
      <c r="F62" s="35">
        <f>IF($K62="","",INDEX(전표_원본!$P$5:$P$100000,$K62))</f>
        <v/>
      </c>
      <c r="G62" s="34">
        <f>IF($K62="","",INDEX(전표_원본!$G$5:$G$100000,$K62))</f>
        <v/>
      </c>
      <c r="K62" s="7">
        <f>IFERROR(MATCH(LARGE(전표_원본!$T$5:$T$100000,12),전표_원본!$T$5:$T$100000,0),"")</f>
        <v/>
      </c>
    </row>
    <row r="63">
      <c r="A63" s="54">
        <f>IF($K63="","",INDEX(전표_원본!$D$5:$D$100000,$K63))</f>
        <v/>
      </c>
      <c r="B63" s="26">
        <f>IF($K63="","",INDEX(전표_원본!$C$5:$C$100000,$K63))</f>
        <v/>
      </c>
      <c r="C63" s="34">
        <f>IF($K63="","",INDEX(전표_원본!$E$5:$E$100000,$K63))</f>
        <v/>
      </c>
      <c r="D63" s="26">
        <f>IF($K63="","",INDEX(전표_원본!$K$5:$K$100000,$K63))</f>
        <v/>
      </c>
      <c r="E63" s="26">
        <f>IF($K63="","",INDEX(전표_원본!$I$5:$I$100000,$K63))</f>
        <v/>
      </c>
      <c r="F63" s="35">
        <f>IF($K63="","",INDEX(전표_원본!$P$5:$P$100000,$K63))</f>
        <v/>
      </c>
      <c r="G63" s="34">
        <f>IF($K63="","",INDEX(전표_원본!$G$5:$G$100000,$K63))</f>
        <v/>
      </c>
      <c r="K63" s="7">
        <f>IFERROR(MATCH(LARGE(전표_원본!$T$5:$T$100000,13),전표_원본!$T$5:$T$100000,0),"")</f>
        <v/>
      </c>
    </row>
    <row r="64">
      <c r="A64" s="54">
        <f>IF($K64="","",INDEX(전표_원본!$D$5:$D$100000,$K64))</f>
        <v/>
      </c>
      <c r="B64" s="26">
        <f>IF($K64="","",INDEX(전표_원본!$C$5:$C$100000,$K64))</f>
        <v/>
      </c>
      <c r="C64" s="34">
        <f>IF($K64="","",INDEX(전표_원본!$E$5:$E$100000,$K64))</f>
        <v/>
      </c>
      <c r="D64" s="26">
        <f>IF($K64="","",INDEX(전표_원본!$K$5:$K$100000,$K64))</f>
        <v/>
      </c>
      <c r="E64" s="26">
        <f>IF($K64="","",INDEX(전표_원본!$I$5:$I$100000,$K64))</f>
        <v/>
      </c>
      <c r="F64" s="35">
        <f>IF($K64="","",INDEX(전표_원본!$P$5:$P$100000,$K64))</f>
        <v/>
      </c>
      <c r="G64" s="34">
        <f>IF($K64="","",INDEX(전표_원본!$G$5:$G$100000,$K64))</f>
        <v/>
      </c>
      <c r="K64" s="7">
        <f>IFERROR(MATCH(LARGE(전표_원본!$T$5:$T$100000,14),전표_원본!$T$5:$T$100000,0),"")</f>
        <v/>
      </c>
    </row>
    <row r="65">
      <c r="A65" s="54">
        <f>IF($K65="","",INDEX(전표_원본!$D$5:$D$100000,$K65))</f>
        <v/>
      </c>
      <c r="B65" s="26">
        <f>IF($K65="","",INDEX(전표_원본!$C$5:$C$100000,$K65))</f>
        <v/>
      </c>
      <c r="C65" s="34">
        <f>IF($K65="","",INDEX(전표_원본!$E$5:$E$100000,$K65))</f>
        <v/>
      </c>
      <c r="D65" s="26">
        <f>IF($K65="","",INDEX(전표_원본!$K$5:$K$100000,$K65))</f>
        <v/>
      </c>
      <c r="E65" s="26">
        <f>IF($K65="","",INDEX(전표_원본!$I$5:$I$100000,$K65))</f>
        <v/>
      </c>
      <c r="F65" s="35">
        <f>IF($K65="","",INDEX(전표_원본!$P$5:$P$100000,$K65))</f>
        <v/>
      </c>
      <c r="G65" s="34">
        <f>IF($K65="","",INDEX(전표_원본!$G$5:$G$100000,$K65))</f>
        <v/>
      </c>
      <c r="K65" s="7">
        <f>IFERROR(MATCH(LARGE(전표_원본!$T$5:$T$100000,15),전표_원본!$T$5:$T$100000,0),"")</f>
        <v/>
      </c>
    </row>
    <row r="67">
      <c r="A67" s="3" t="inlineStr">
        <is>
          <t>근거 전표 · 비교 기간 (상위 5건)</t>
        </is>
      </c>
    </row>
    <row r="68" ht="20" customHeight="1">
      <c r="A68" s="4" t="inlineStr">
        <is>
          <t>전기일</t>
        </is>
      </c>
      <c r="B68" s="4" t="inlineStr">
        <is>
          <t>전표번호</t>
        </is>
      </c>
      <c r="C68" s="4" t="inlineStr">
        <is>
          <t>유형</t>
        </is>
      </c>
      <c r="D68" s="4" t="inlineStr">
        <is>
          <t>거래처</t>
        </is>
      </c>
      <c r="E68" s="4" t="inlineStr">
        <is>
          <t>적요</t>
        </is>
      </c>
      <c r="F68" s="4" t="inlineStr">
        <is>
          <t>금액</t>
        </is>
      </c>
      <c r="G68" s="4" t="inlineStr">
        <is>
          <t>코스트센터</t>
        </is>
      </c>
    </row>
    <row r="69">
      <c r="A69" s="54">
        <f>IF($K69="","",INDEX(전표_원본!$D$5:$D$100000,$K69))</f>
        <v/>
      </c>
      <c r="B69" s="26">
        <f>IF($K69="","",INDEX(전표_원본!$C$5:$C$100000,$K69))</f>
        <v/>
      </c>
      <c r="C69" s="34">
        <f>IF($K69="","",INDEX(전표_원본!$E$5:$E$100000,$K69))</f>
        <v/>
      </c>
      <c r="D69" s="26">
        <f>IF($K69="","",INDEX(전표_원본!$K$5:$K$100000,$K69))</f>
        <v/>
      </c>
      <c r="E69" s="26">
        <f>IF($K69="","",INDEX(전표_원본!$I$5:$I$100000,$K69))</f>
        <v/>
      </c>
      <c r="F69" s="35">
        <f>IF($K69="","",INDEX(전표_원본!$P$5:$P$100000,$K69))</f>
        <v/>
      </c>
      <c r="G69" s="34">
        <f>IF($K69="","",INDEX(전표_원본!$G$5:$G$100000,$K69))</f>
        <v/>
      </c>
      <c r="K69" s="7">
        <f>IFERROR(MATCH(LARGE(전표_원본!$U$5:$U$100000,1),전표_원본!$U$5:$U$100000,0),"")</f>
        <v/>
      </c>
    </row>
    <row r="70">
      <c r="A70" s="54">
        <f>IF($K70="","",INDEX(전표_원본!$D$5:$D$100000,$K70))</f>
        <v/>
      </c>
      <c r="B70" s="26">
        <f>IF($K70="","",INDEX(전표_원본!$C$5:$C$100000,$K70))</f>
        <v/>
      </c>
      <c r="C70" s="34">
        <f>IF($K70="","",INDEX(전표_원본!$E$5:$E$100000,$K70))</f>
        <v/>
      </c>
      <c r="D70" s="26">
        <f>IF($K70="","",INDEX(전표_원본!$K$5:$K$100000,$K70))</f>
        <v/>
      </c>
      <c r="E70" s="26">
        <f>IF($K70="","",INDEX(전표_원본!$I$5:$I$100000,$K70))</f>
        <v/>
      </c>
      <c r="F70" s="35">
        <f>IF($K70="","",INDEX(전표_원본!$P$5:$P$100000,$K70))</f>
        <v/>
      </c>
      <c r="G70" s="34">
        <f>IF($K70="","",INDEX(전표_원본!$G$5:$G$100000,$K70))</f>
        <v/>
      </c>
      <c r="K70" s="7">
        <f>IFERROR(MATCH(LARGE(전표_원본!$U$5:$U$100000,2),전표_원본!$U$5:$U$100000,0),"")</f>
        <v/>
      </c>
    </row>
    <row r="71">
      <c r="A71" s="54">
        <f>IF($K71="","",INDEX(전표_원본!$D$5:$D$100000,$K71))</f>
        <v/>
      </c>
      <c r="B71" s="26">
        <f>IF($K71="","",INDEX(전표_원본!$C$5:$C$100000,$K71))</f>
        <v/>
      </c>
      <c r="C71" s="34">
        <f>IF($K71="","",INDEX(전표_원본!$E$5:$E$100000,$K71))</f>
        <v/>
      </c>
      <c r="D71" s="26">
        <f>IF($K71="","",INDEX(전표_원본!$K$5:$K$100000,$K71))</f>
        <v/>
      </c>
      <c r="E71" s="26">
        <f>IF($K71="","",INDEX(전표_원본!$I$5:$I$100000,$K71))</f>
        <v/>
      </c>
      <c r="F71" s="35">
        <f>IF($K71="","",INDEX(전표_원본!$P$5:$P$100000,$K71))</f>
        <v/>
      </c>
      <c r="G71" s="34">
        <f>IF($K71="","",INDEX(전표_원본!$G$5:$G$100000,$K71))</f>
        <v/>
      </c>
      <c r="K71" s="7">
        <f>IFERROR(MATCH(LARGE(전표_원본!$U$5:$U$100000,3),전표_원본!$U$5:$U$100000,0),"")</f>
        <v/>
      </c>
    </row>
    <row r="72">
      <c r="A72" s="54">
        <f>IF($K72="","",INDEX(전표_원본!$D$5:$D$100000,$K72))</f>
        <v/>
      </c>
      <c r="B72" s="26">
        <f>IF($K72="","",INDEX(전표_원본!$C$5:$C$100000,$K72))</f>
        <v/>
      </c>
      <c r="C72" s="34">
        <f>IF($K72="","",INDEX(전표_원본!$E$5:$E$100000,$K72))</f>
        <v/>
      </c>
      <c r="D72" s="26">
        <f>IF($K72="","",INDEX(전표_원본!$K$5:$K$100000,$K72))</f>
        <v/>
      </c>
      <c r="E72" s="26">
        <f>IF($K72="","",INDEX(전표_원본!$I$5:$I$100000,$K72))</f>
        <v/>
      </c>
      <c r="F72" s="35">
        <f>IF($K72="","",INDEX(전표_원본!$P$5:$P$100000,$K72))</f>
        <v/>
      </c>
      <c r="G72" s="34">
        <f>IF($K72="","",INDEX(전표_원본!$G$5:$G$100000,$K72))</f>
        <v/>
      </c>
      <c r="K72" s="7">
        <f>IFERROR(MATCH(LARGE(전표_원본!$U$5:$U$100000,4),전표_원본!$U$5:$U$100000,0),"")</f>
        <v/>
      </c>
    </row>
    <row r="73">
      <c r="A73" s="54">
        <f>IF($K73="","",INDEX(전표_원본!$D$5:$D$100000,$K73))</f>
        <v/>
      </c>
      <c r="B73" s="26">
        <f>IF($K73="","",INDEX(전표_원본!$C$5:$C$100000,$K73))</f>
        <v/>
      </c>
      <c r="C73" s="34">
        <f>IF($K73="","",INDEX(전표_원본!$E$5:$E$100000,$K73))</f>
        <v/>
      </c>
      <c r="D73" s="26">
        <f>IF($K73="","",INDEX(전표_원본!$K$5:$K$100000,$K73))</f>
        <v/>
      </c>
      <c r="E73" s="26">
        <f>IF($K73="","",INDEX(전표_원본!$I$5:$I$100000,$K73))</f>
        <v/>
      </c>
      <c r="F73" s="35">
        <f>IF($K73="","",INDEX(전표_원본!$P$5:$P$100000,$K73))</f>
        <v/>
      </c>
      <c r="G73" s="34">
        <f>IF($K73="","",INDEX(전표_원본!$G$5:$G$100000,$K73))</f>
        <v/>
      </c>
      <c r="K73" s="7">
        <f>IFERROR(MATCH(LARGE(전표_원본!$U$5:$U$100000,5),전표_원본!$U$5:$U$100000,0),"")</f>
        <v/>
      </c>
    </row>
  </sheetData>
  <mergeCells count="9">
    <mergeCell ref="D24:I24"/>
    <mergeCell ref="D27:I27"/>
    <mergeCell ref="D28:I28"/>
    <mergeCell ref="D22:I22"/>
    <mergeCell ref="D23:I23"/>
    <mergeCell ref="A18:I18"/>
    <mergeCell ref="D26:I26"/>
    <mergeCell ref="D21:I21"/>
    <mergeCell ref="D25:I25"/>
  </mergeCells>
  <conditionalFormatting sqref="C21:C28">
    <cfRule type="cellIs" priority="1" operator="equal" dxfId="0">
      <formula>"높음"</formula>
    </cfRule>
    <cfRule type="cellIs" priority="2" operator="equal" dxfId="2">
      <formula>"중간"</formula>
    </cfRule>
  </conditionalFormatting>
  <conditionalFormatting sqref="I32:I46">
    <cfRule type="cellIs" priority="3" operator="equal" dxfId="9">
      <formula>"Y"</formula>
    </cfRule>
  </conditionalFormatting>
  <conditionalFormatting sqref="F51:F65">
    <cfRule type="cellIs" priority="4" operator="lessThan" dxfId="8">
      <formula>0</formula>
    </cfRule>
  </conditionalFormatting>
  <dataValidations count="2">
    <dataValidation sqref="C6" showDropDown="0" showInputMessage="0" showErrorMessage="0" allowBlank="0" type="list">
      <formula1>"전월,전분기,전년동기누적,전년동월"</formula1>
    </dataValidation>
    <dataValidation sqref="C5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119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8" customWidth="1" min="4" max="4"/>
    <col hidden="1"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10" customWidth="1" min="23" max="23"/>
    <col width="9" customWidth="1" min="24" max="24"/>
    <col width="9" customWidth="1" min="25" max="25"/>
    <col width="20" customWidth="1" min="26" max="26"/>
    <col width="7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11" customWidth="1" min="36" max="36"/>
    <col width="10" customWidth="1" min="37" max="37"/>
    <col width="10" customWidth="1" min="38" max="38"/>
    <col width="10" customWidth="1" min="39" max="39"/>
    <col width="8" customWidth="1" min="40" max="40"/>
    <col width="10" customWidth="1" min="41" max="41"/>
    <col width="10" customWidth="1" min="42" max="42"/>
    <col width="9" customWidth="1" min="43" max="43"/>
    <col width="10" customWidth="1" min="44" max="44"/>
    <col width="8" customWidth="1" min="45" max="45"/>
    <col width="11" customWidth="1" min="46" max="46"/>
    <col width="10" customWidth="1" min="47" max="47"/>
    <col width="12" customWidth="1" min="48" max="48"/>
    <col width="8" customWidth="1" min="49" max="49"/>
    <col width="10" customWidth="1" min="50" max="50"/>
    <col width="9" customWidth="1" min="51" max="51"/>
    <col width="11" customWidth="1" min="52" max="52"/>
  </cols>
  <sheetData>
    <row r="1">
      <c r="A1" s="1" t="inlineStr">
        <is>
          <t>TRACE · 변동분석 (부서 × 계정)</t>
        </is>
      </c>
    </row>
    <row r="2">
      <c r="A2" s="2" t="inlineStr">
        <is>
          <t>A·C열만 입력 · 전월/전분기/전년동월 비교 → 예산 점검 → 주의 점수 · 금액: 보고단위</t>
        </is>
      </c>
    </row>
    <row r="3">
      <c r="A3" s="38">
        <f>"기준: "&amp;INT((설정!$C$20-1)/12)&amp;"-"&amp;TEXT(MOD(설정!$C$20-1,12)+1,"00")&amp;" · 단위: "&amp;설정!$C$9</f>
        <v/>
      </c>
    </row>
    <row r="5">
      <c r="F5" s="78" t="inlineStr">
        <is>
          <t>③ 변동</t>
        </is>
      </c>
      <c r="P5" s="78" t="inlineStr">
        <is>
          <t>④ 예산 점검</t>
        </is>
      </c>
      <c r="Z5" s="78" t="inlineStr">
        <is>
          <t>⑤ 주의</t>
        </is>
      </c>
      <c r="AJ5" s="78" t="inlineStr">
        <is>
          <t>④-2 분기 한도 점검 (예산 통제 단위: 부서 × 계정 × 분기)</t>
        </is>
      </c>
      <c r="AP5" s="78" t="inlineStr">
        <is>
          <t>④-3 소진 추세 (선형: 설정 C19의 기울기로 누계실적 직선을 그어 연간가용에 닿는 시점)</t>
        </is>
      </c>
      <c r="AX5" s="78" t="inlineStr">
        <is>
          <t>③-2 누계 비교</t>
        </is>
      </c>
    </row>
    <row r="6" ht="44" customHeight="1">
      <c r="A6" s="4" t="inlineStr">
        <is>
          <t>부서코드</t>
        </is>
      </c>
      <c r="B6" s="4" t="inlineStr">
        <is>
          <t>부서명</t>
        </is>
      </c>
      <c r="C6" s="4" t="inlineStr">
        <is>
          <t>G/L 계정</t>
        </is>
      </c>
      <c r="D6" s="4" t="inlineStr">
        <is>
          <t>계정명</t>
        </is>
      </c>
      <c r="E6" s="4" t="inlineStr">
        <is>
          <t>키</t>
        </is>
      </c>
      <c r="F6" s="4" t="inlineStr">
        <is>
          <t>당월</t>
        </is>
      </c>
      <c r="G6" s="4" t="inlineStr">
        <is>
          <t>전월</t>
        </is>
      </c>
      <c r="H6" s="4" t="inlineStr">
        <is>
          <t>전월
대비</t>
        </is>
      </c>
      <c r="I6" s="4" t="inlineStr">
        <is>
          <t>전년
동월</t>
        </is>
      </c>
      <c r="J6" s="4" t="inlineStr">
        <is>
          <t>전년동월
대비</t>
        </is>
      </c>
      <c r="K6" s="4" t="inlineStr">
        <is>
          <t>당분기</t>
        </is>
      </c>
      <c r="L6" s="4" t="inlineStr">
        <is>
          <t>전분기</t>
        </is>
      </c>
      <c r="M6" s="4" t="inlineStr">
        <is>
          <t>전분기
대비</t>
        </is>
      </c>
      <c r="N6" s="4" t="inlineStr">
        <is>
          <t>주요
증가액</t>
        </is>
      </c>
      <c r="O6" s="4" t="inlineStr">
        <is>
          <t>이상치
(z)</t>
        </is>
      </c>
      <c r="P6" s="4" t="inlineStr">
        <is>
          <t>연간가용
(배정+조정)</t>
        </is>
      </c>
      <c r="Q6" s="4" t="inlineStr">
        <is>
          <t>누계실적</t>
        </is>
      </c>
      <c r="R6" s="4" t="inlineStr">
        <is>
          <t>잔여</t>
        </is>
      </c>
      <c r="S6" s="4" t="inlineStr">
        <is>
          <t>남은기간
예상 A
(최근추세)</t>
        </is>
      </c>
      <c r="T6" s="4" t="inlineStr">
        <is>
          <t>남은기간
예상 B
(전년패턴)</t>
        </is>
      </c>
      <c r="U6" s="4" t="inlineStr">
        <is>
          <t>예상
연간실적</t>
        </is>
      </c>
      <c r="V6" s="4" t="inlineStr">
        <is>
          <t>예상
소진율</t>
        </is>
      </c>
      <c r="W6" s="4" t="inlineStr">
        <is>
          <t>예산판정</t>
        </is>
      </c>
      <c r="X6" s="4" t="inlineStr">
        <is>
          <t>부족
예상액</t>
        </is>
      </c>
      <c r="Y6" s="4" t="inlineStr">
        <is>
          <t>소진
예상월</t>
        </is>
      </c>
      <c r="Z6" s="4" t="inlineStr">
        <is>
          <t>빠른 신호 (당월)</t>
        </is>
      </c>
      <c r="AA6" s="4" t="inlineStr">
        <is>
          <t>주의
점수</t>
        </is>
      </c>
      <c r="AB6" s="39" t="inlineStr">
        <is>
          <t>정렬키</t>
        </is>
      </c>
      <c r="AC6" s="39" t="inlineStr">
        <is>
          <t>단건비중</t>
        </is>
      </c>
      <c r="AD6" s="39" t="inlineStr">
        <is>
          <t>SA순증</t>
        </is>
      </c>
      <c r="AE6" s="39" t="inlineStr">
        <is>
          <t>음수건수</t>
        </is>
      </c>
      <c r="AF6" s="39" t="inlineStr">
        <is>
          <t>증가액
(30)</t>
        </is>
      </c>
      <c r="AG6" s="39" t="inlineStr">
        <is>
          <t>증가율
(20)</t>
        </is>
      </c>
      <c r="AH6" s="39" t="inlineStr">
        <is>
          <t>이상치
(25)</t>
        </is>
      </c>
      <c r="AI6" s="39" t="inlineStr">
        <is>
          <t>예산
(25)</t>
        </is>
      </c>
      <c r="AJ6" s="4" t="inlineStr">
        <is>
          <t>분기 한도
(배정+조정)</t>
        </is>
      </c>
      <c r="AK6" s="4" t="inlineStr">
        <is>
          <t>분기 실적</t>
        </is>
      </c>
      <c r="AL6" s="4" t="inlineStr">
        <is>
          <t>분기 잔여</t>
        </is>
      </c>
      <c r="AM6" s="4" t="inlineStr">
        <is>
          <t>분기말
예상</t>
        </is>
      </c>
      <c r="AN6" s="4" t="inlineStr">
        <is>
          <t>분기
소진율</t>
        </is>
      </c>
      <c r="AO6" s="4" t="inlineStr">
        <is>
          <t>분기 판정</t>
        </is>
      </c>
      <c r="AP6" s="4" t="inlineStr">
        <is>
          <t>월 소진속도
(기울기)</t>
        </is>
      </c>
      <c r="AQ6" s="4" t="inlineStr">
        <is>
          <t>절편</t>
        </is>
      </c>
      <c r="AR6" s="4" t="inlineStr">
        <is>
          <t>추세
연말 누계</t>
        </is>
      </c>
      <c r="AS6" s="4" t="inlineStr">
        <is>
          <t>고갈
예상(개월)</t>
        </is>
      </c>
      <c r="AT6" s="4" t="inlineStr">
        <is>
          <t>고갈
예상일</t>
        </is>
      </c>
      <c r="AU6" s="4" t="inlineStr">
        <is>
          <t>추세 판정</t>
        </is>
      </c>
      <c r="AV6" s="4" t="inlineStr">
        <is>
          <t>분기 고갈
예상일</t>
        </is>
      </c>
      <c r="AW6" s="39" t="inlineStr">
        <is>
          <t>고갈
정렬키</t>
        </is>
      </c>
      <c r="AX6" s="4" t="inlineStr">
        <is>
          <t>전년동기
누계</t>
        </is>
      </c>
      <c r="AY6" s="4" t="inlineStr">
        <is>
          <t>전년동기
누계 대비</t>
        </is>
      </c>
      <c r="AZ6" s="4" t="inlineStr">
        <is>
          <t>전년 남은기간
월평균</t>
        </is>
      </c>
    </row>
    <row r="7">
      <c r="A7" s="12" t="inlineStr">
        <is>
          <t>D100</t>
        </is>
      </c>
      <c r="B7" s="26">
        <f>IF($A7="","",IFERROR(INDEX(부서매핑!$D$5:$D$504,MATCH($A7,부서매핑!$C$5:$C$504,0)),"부서매핑 없음"))</f>
        <v/>
      </c>
      <c r="C7" s="79" t="inlineStr">
        <is>
          <t>62101000</t>
        </is>
      </c>
      <c r="D7" s="26">
        <f>IF($A7="","",IFERROR(INDEX(계정매핑!$B$5:$B$504,MATCH($C7&amp;"",계정매핑!$A$5:$A$504,0)),"계정매핑 없음"))</f>
        <v/>
      </c>
      <c r="E7" s="22">
        <f>IF($A7="","",$A7&amp;"|"&amp;$C7)</f>
        <v/>
      </c>
      <c r="F7" s="35">
        <f>IF($A7="","",월별집계!$Z7)</f>
        <v/>
      </c>
      <c r="G7" s="35">
        <f>IF($A7="","",월별집계!$Y7)</f>
        <v/>
      </c>
      <c r="H7" s="80">
        <f>IF($A7="","",IF(G7&lt;=0,IF(F7&gt;0,1,0),F7/G7-1))</f>
        <v/>
      </c>
      <c r="I7" s="35">
        <f>IF($A7="","",월별집계!$N7)</f>
        <v/>
      </c>
      <c r="J7" s="80">
        <f>IF($A7="","",IF(I7&lt;=0,IF(F7&gt;0,1,0),F7/I7-1))</f>
        <v/>
      </c>
      <c r="K7" s="35">
        <f>IF($A7="","",SUMIFS(월별집계!$C7:$Z7,월별집계!$C$5:$Z$5,"&gt;="&amp;설정!$C$22,월별집계!$C$5:$Z$5,"&lt;="&amp;설정!$C$20))</f>
        <v/>
      </c>
      <c r="L7" s="35">
        <f>IF($A7="","",SUMIFS(월별집계!$C7:$Z7,월별집계!$C$5:$Z$5,"&gt;="&amp;(설정!$C$22-3),월별집계!$C$5:$Z$5,"&lt;="&amp;(설정!$C$20-3)))</f>
        <v/>
      </c>
      <c r="M7" s="80">
        <f>IF($A7="","",IF(L7&lt;=0,IF(K7&gt;0,1,0),K7/L7-1))</f>
        <v/>
      </c>
      <c r="N7" s="40">
        <f>IF($A7="","",MAX(F7-G7,F7-I7))</f>
        <v/>
      </c>
      <c r="O7" s="62">
        <f>IF($A7="","",IFERROR((월별집계!$Z7-AVERAGE(월별집계!N7:Y7))/STDEV(월별집계!N7:Y7),0))</f>
        <v/>
      </c>
      <c r="P7" s="35">
        <f>IF($A7="","",SUMIFS(예산판_원본!$O$5:$O$5000,예산판_원본!$L$5:$L$5000,$E7,예산판_원본!$M$5:$M$5000,설정!$C$6))</f>
        <v/>
      </c>
      <c r="Q7" s="35">
        <f>IF($A7="","",SUMIFS(월별집계!$C7:$Z7,월별집계!$C$5:$Z$5,"&gt;="&amp;(설정!$C$6*12+1),월별집계!$C$5:$Z$5,"&lt;="&amp;설정!$C$20))</f>
        <v/>
      </c>
      <c r="R7" s="40">
        <f>IF($A7="","",P7-Q7)</f>
        <v/>
      </c>
      <c r="S7" s="35">
        <f>IF($A7="","",AVERAGE(월별집계!X7:Z7)*(12-설정!$C$7))</f>
        <v/>
      </c>
      <c r="T7" s="35">
        <f>IF($A7="","",IFERROR(Q7/(SUMIFS(월별집계!$C7:$Z7,월별집계!$C$5:$Z$5,"&gt;="&amp;((설정!$C$6-1)*12+1),월별집계!$C$5:$Z$5,"&lt;="&amp;(설정!$C$20-12))/SUMIFS(월별집계!$C7:$Z7,월별집계!$C$5:$Z$5,"&gt;="&amp;((설정!$C$6-1)*12+1),월별집계!$C$5:$Z$5,"&lt;="&amp;((설정!$C$6-1)*12+12)))-Q7,S7))</f>
        <v/>
      </c>
      <c r="U7" s="40">
        <f>IF($A7="","",Q7+MAX(S7,T7))</f>
        <v/>
      </c>
      <c r="V7" s="73">
        <f>IF($A7="","",IF(P7=0,0,U7/P7))</f>
        <v/>
      </c>
      <c r="W7" s="34">
        <f>IF($A7="","",IF(AND(P7=0,Q7&gt;0),"무예산",IF(P7=0,"-",IF(V7&gt;설정!$C$12,"부족 예상",IF(V7&gt;설정!$C$11,"주의","여유")))))</f>
        <v/>
      </c>
      <c r="X7" s="40">
        <f>IF($A7="","",IF(P7=0,0,MAX(0,U7-P7)))</f>
        <v/>
      </c>
      <c r="Y7" s="34">
        <f>IF($A7="","",IF(OR(W7&lt;&gt;"부족 예상",설정!$C$7=12),"",IF(R7&lt;=0,"이미 초과",MIN(12,설정!$C$7+ROUNDUP(R7/(MAX(S7,T7)/(12-설정!$C$7)),0))&amp;"월")))</f>
        <v/>
      </c>
      <c r="Z7" s="26">
        <f>IF($A7="","",TRIM(IF(AND(N(AC7)&gt;=설정!$C$14,N7&gt;=설정!$C$10),"단건"&amp;TEXT(MIN(AC7,1),"0%")&amp;" ","")&amp;IF(AND(N7&gt;0,AD7&gt;0),IF(AD7/N7&gt;=설정!$C$16,"SA대체 ",""),"")&amp;IF(AE7&gt;0,"역분개"&amp;AE7&amp;"건 ","")&amp;IF(O7&gt;=설정!$C$13,"이상치 ","")&amp;IF(AND(I7=0,F7&gt;0),"신규지출 ","")))</f>
        <v/>
      </c>
      <c r="AA7" s="62">
        <f>IF($A7="","",ROUND((AF7+AG7+AH7+AI7)*IF(AND(F7&lt;설정!$C$10,N7&lt;설정!$C$10),0.3,1),1))</f>
        <v/>
      </c>
      <c r="AB7" s="41">
        <f>IF($A7="","",AA7+ROW()/1000000)</f>
        <v/>
      </c>
      <c r="AC7" s="60">
        <f>IF(OR($A7="",N7&lt;=0),"",SUMPRODUCT(MAX((전표_원본!$O$5:$O$100000=$E7)*(전표_원본!$M$5:$M$100000=설정!$C$20)*전표_원본!$P$5:$P$100000))/N7)</f>
        <v/>
      </c>
      <c r="AD7" s="35">
        <f>IF($A7="","",SUMIFS(전표_원본!$P$5:$P$100000,전표_원본!$O$5:$O$100000,$E7,전표_원본!$M$5:$M$100000,설정!$C$20,전표_원본!$E$5:$E$100000,"SA")-SUMIFS(전표_원본!$P$5:$P$100000,전표_원본!$O$5:$O$100000,$E7,전표_원본!$M$5:$M$100000,설정!$C$20-1,전표_원본!$E$5:$E$100000,"SA"))</f>
        <v/>
      </c>
      <c r="AE7" s="81">
        <f>IF($A7="","",COUNTIFS(전표_원본!$O$5:$O$100000,$E7,전표_원본!$M$5:$M$100000,설정!$C$20,전표_원본!$P$5:$P$100000,"&lt;0"))</f>
        <v/>
      </c>
      <c r="AF7" s="62">
        <f>IF($A7="","",MIN(MAX(0,N7)/(설정!$C$10*5),1)*30)</f>
        <v/>
      </c>
      <c r="AG7" s="82">
        <f>IF($A7="","",MIN(MAX(0,H7,J7),1)*20)</f>
        <v/>
      </c>
      <c r="AH7" s="82">
        <f>IF($A7="","",MIN(MAX(0,O7)/3,1)*25)</f>
        <v/>
      </c>
      <c r="AI7" s="82">
        <f>IF($A7="","",IF(OR(W7="부족 예상",W7="무예산",AO7="한도 초과",AO7="초과 예상",AO7="무예산"),25,IF(OR(W7="주의",AO7="주의"),15,0)))</f>
        <v/>
      </c>
      <c r="AJ7" s="35">
        <f>IF($A7="","",SUMIFS(예산판_원본!$O$5:$O$5000,예산판_원본!$L$5:$L$5000,$E7,예산판_원본!$M$5:$M$5000,설정!$C$6,예산판_원본!$N$5:$N$5000,설정!$C$21))</f>
        <v/>
      </c>
      <c r="AK7" s="40">
        <f>IF($A7="","",K7)</f>
        <v/>
      </c>
      <c r="AL7" s="40">
        <f>IF($A7="","",AJ7-AK7)</f>
        <v/>
      </c>
      <c r="AM7" s="35">
        <f>IF($A7="","",AK7+AVERAGE(월별집계!X7:Z7)*MAX(0,설정!$C$22+2-설정!$C$20))</f>
        <v/>
      </c>
      <c r="AN7" s="73">
        <f>IF($A7="","",IF(AJ7=0,0,AM7/AJ7))</f>
        <v/>
      </c>
      <c r="AO7" s="34">
        <f>IF($A7="","",IF(AND(AJ7=0,AK7&gt;0),"무예산",IF(AJ7=0,"-",IF(AK7&gt;AJ7,"한도 초과",IF(AN7&gt;설정!$C$12,"초과 예상",IF(AN7&gt;설정!$C$11,"주의","여유"))))))</f>
        <v/>
      </c>
      <c r="AP7" s="35">
        <f>IF($A7="","",IF(설정!$C$19="최근월",(INDEX(월별집계!$AB7:$AM7,설정!$C$7)-INDEX(월별집계!$AB7:$AM7,MAX(1,설정!$C$7-1))*(설정!$C$7&gt;1)),IF(설정!$C$19="최근분기",((INDEX(월별집계!$AB7:$AM7,설정!$C$7)-INDEX(월별집계!$AB7:$AM7,MAX(1,설정!$C$7-3))*(설정!$C$7&gt;3))/MIN(3,설정!$C$7)),IF(설정!$C$19="전년추세",AZ7,((설정!$C$7+1)*SUMPRODUCT(월별집계!$AB$5:$AM$5,월별집계!$AB7:$AM7)-(설정!$C$7*(설정!$C$7+1)/2)*SUM(월별집계!$AB7:$AM7))/((설정!$C$7+1)*(설정!$C$7*(설정!$C$7+1)*(2*설정!$C$7+1)/6)-(설정!$C$7*(설정!$C$7+1)/2)^2)))))</f>
        <v/>
      </c>
      <c r="AQ7" s="35">
        <f>IF($A7="","",IF(설정!$C$19="연내누적",(SUM(월별집계!$AB7:$AM7)-AP7*(설정!$C$7*(설정!$C$7+1)/2))/(설정!$C$7+1),INDEX(월별집계!$AB7:$AM7,설정!$C$7)-AP7*설정!$C$7))</f>
        <v/>
      </c>
      <c r="AR7" s="40">
        <f>IF($A7="","",AQ7+AP7*12)</f>
        <v/>
      </c>
      <c r="AS7" s="82">
        <f>IF($A7="","",IF(OR(P7&lt;=0,Q7&gt;=P7,AP7&lt;=0),"",MAX(설정!$C$7,(P7-AQ7)/AP7)))</f>
        <v/>
      </c>
      <c r="AT7" s="22">
        <f>IF($A7="","",IF(AS7="",IF(AU7="이미 소진","소진됨",""),YEAR((DATE(설정!$C$6,1,1)+ROUND(AS7*365/12,0)-1))&amp;"-"&amp;TEXT(MONTH((DATE(설정!$C$6,1,1)+ROUND(AS7*365/12,0)-1)),"00")&amp;"-"&amp;TEXT(DAY((DATE(설정!$C$6,1,1)+ROUND(AS7*365/12,0)-1)),"00")))</f>
        <v/>
      </c>
      <c r="AU7" s="34">
        <f>IF($A7="","",IF(AND(P7&lt;=0,Q7&gt;0),"무예산",IF(P7&lt;=0,"-",IF(Q7&gt;=P7,"이미 소진",IF(AP7&lt;=0,"소진 안 됨",IF(AS7&lt;=12,"연내 고갈","연내 여유"))))))</f>
        <v/>
      </c>
      <c r="AV7" s="34">
        <f>IF($A7="","",IF(AJ7&lt;=0,"",IF(AK7&gt;=AJ7,"한도 소진",IF(AK7&lt;=0,"",IF(AJ7/(AK7/(설정!$C$20-설정!$C$22+1))&gt;3,"분기 내 여유",YEAR((DATE(설정!$C$6,설정!$C$22-설정!$C$6*12,1)+ROUND(MAX((설정!$C$20-설정!$C$22+1),AJ7/(AK7/(설정!$C$20-설정!$C$22+1)))*365/12,0)-1))&amp;"-"&amp;TEXT(MONTH((DATE(설정!$C$6,설정!$C$22-설정!$C$6*12,1)+ROUND(MAX((설정!$C$20-설정!$C$22+1),AJ7/(AK7/(설정!$C$20-설정!$C$22+1)))*365/12,0)-1)),"00")&amp;"-"&amp;TEXT(DAY((DATE(설정!$C$6,설정!$C$22-설정!$C$6*12,1)+ROUND(MAX((설정!$C$20-설정!$C$22+1),AJ7/(AK7/(설정!$C$20-설정!$C$22+1)))*365/12,0)-1)),"00"))))))</f>
        <v/>
      </c>
      <c r="AW7" s="41">
        <f>IF($A7="",999+ROW()/1000000,IF(AU7="이미 소진",ROW()/1000000,IF(AU7="연내 고갈",AS7+ROW()/1000000,99+ROW()/1000000)))</f>
        <v/>
      </c>
      <c r="AX7" s="35">
        <f>IF($A7="","",SUMIFS(월별집계!$C7:$Z7,월별집계!$C$5:$Z$5,"&gt;="&amp;((설정!$C$6-1)*12+1),월별집계!$C$5:$Z$5,"&lt;="&amp;(설정!$C$20-12)))</f>
        <v/>
      </c>
      <c r="AY7" s="80">
        <f>IF($A7="","",IF(AX7&lt;=0,IF(Q7&gt;0,1,0),Q7/AX7-1))</f>
        <v/>
      </c>
      <c r="AZ7" s="35">
        <f>IF($A7="","",SUMIFS(월별집계!$C7:$Z7,월별집계!$C$5:$Z$5,"&gt;"&amp;(설정!$C$20-12),월별집계!$C$5:$Z$5,"&lt;="&amp;((설정!$C$6-1)*12+12))/MAX(1,12-설정!$C$7))</f>
        <v/>
      </c>
    </row>
    <row r="8">
      <c r="A8" s="12" t="inlineStr">
        <is>
          <t>D100</t>
        </is>
      </c>
      <c r="B8" s="26">
        <f>IF($A8="","",IFERROR(INDEX(부서매핑!$D$5:$D$504,MATCH($A8,부서매핑!$C$5:$C$504,0)),"부서매핑 없음"))</f>
        <v/>
      </c>
      <c r="C8" s="79" t="inlineStr">
        <is>
          <t>62102000</t>
        </is>
      </c>
      <c r="D8" s="26">
        <f>IF($A8="","",IFERROR(INDEX(계정매핑!$B$5:$B$504,MATCH($C8&amp;"",계정매핑!$A$5:$A$504,0)),"계정매핑 없음"))</f>
        <v/>
      </c>
      <c r="E8" s="22">
        <f>IF($A8="","",$A8&amp;"|"&amp;$C8)</f>
        <v/>
      </c>
      <c r="F8" s="35">
        <f>IF($A8="","",월별집계!$Z8)</f>
        <v/>
      </c>
      <c r="G8" s="35">
        <f>IF($A8="","",월별집계!$Y8)</f>
        <v/>
      </c>
      <c r="H8" s="80">
        <f>IF($A8="","",IF(G8&lt;=0,IF(F8&gt;0,1,0),F8/G8-1))</f>
        <v/>
      </c>
      <c r="I8" s="35">
        <f>IF($A8="","",월별집계!$N8)</f>
        <v/>
      </c>
      <c r="J8" s="80">
        <f>IF($A8="","",IF(I8&lt;=0,IF(F8&gt;0,1,0),F8/I8-1))</f>
        <v/>
      </c>
      <c r="K8" s="35">
        <f>IF($A8="","",SUMIFS(월별집계!$C8:$Z8,월별집계!$C$5:$Z$5,"&gt;="&amp;설정!$C$22,월별집계!$C$5:$Z$5,"&lt;="&amp;설정!$C$20))</f>
        <v/>
      </c>
      <c r="L8" s="35">
        <f>IF($A8="","",SUMIFS(월별집계!$C8:$Z8,월별집계!$C$5:$Z$5,"&gt;="&amp;(설정!$C$22-3),월별집계!$C$5:$Z$5,"&lt;="&amp;(설정!$C$20-3)))</f>
        <v/>
      </c>
      <c r="M8" s="80">
        <f>IF($A8="","",IF(L8&lt;=0,IF(K8&gt;0,1,0),K8/L8-1))</f>
        <v/>
      </c>
      <c r="N8" s="40">
        <f>IF($A8="","",MAX(F8-G8,F8-I8))</f>
        <v/>
      </c>
      <c r="O8" s="62">
        <f>IF($A8="","",IFERROR((월별집계!$Z8-AVERAGE(월별집계!N8:Y8))/STDEV(월별집계!N8:Y8),0))</f>
        <v/>
      </c>
      <c r="P8" s="35">
        <f>IF($A8="","",SUMIFS(예산판_원본!$O$5:$O$5000,예산판_원본!$L$5:$L$5000,$E8,예산판_원본!$M$5:$M$5000,설정!$C$6))</f>
        <v/>
      </c>
      <c r="Q8" s="35">
        <f>IF($A8="","",SUMIFS(월별집계!$C8:$Z8,월별집계!$C$5:$Z$5,"&gt;="&amp;(설정!$C$6*12+1),월별집계!$C$5:$Z$5,"&lt;="&amp;설정!$C$20))</f>
        <v/>
      </c>
      <c r="R8" s="40">
        <f>IF($A8="","",P8-Q8)</f>
        <v/>
      </c>
      <c r="S8" s="35">
        <f>IF($A8="","",AVERAGE(월별집계!X8:Z8)*(12-설정!$C$7))</f>
        <v/>
      </c>
      <c r="T8" s="35">
        <f>IF($A8="","",IFERROR(Q8/(SUMIFS(월별집계!$C8:$Z8,월별집계!$C$5:$Z$5,"&gt;="&amp;((설정!$C$6-1)*12+1),월별집계!$C$5:$Z$5,"&lt;="&amp;(설정!$C$20-12))/SUMIFS(월별집계!$C8:$Z8,월별집계!$C$5:$Z$5,"&gt;="&amp;((설정!$C$6-1)*12+1),월별집계!$C$5:$Z$5,"&lt;="&amp;((설정!$C$6-1)*12+12)))-Q8,S8))</f>
        <v/>
      </c>
      <c r="U8" s="40">
        <f>IF($A8="","",Q8+MAX(S8,T8))</f>
        <v/>
      </c>
      <c r="V8" s="73">
        <f>IF($A8="","",IF(P8=0,0,U8/P8))</f>
        <v/>
      </c>
      <c r="W8" s="34">
        <f>IF($A8="","",IF(AND(P8=0,Q8&gt;0),"무예산",IF(P8=0,"-",IF(V8&gt;설정!$C$12,"부족 예상",IF(V8&gt;설정!$C$11,"주의","여유")))))</f>
        <v/>
      </c>
      <c r="X8" s="40">
        <f>IF($A8="","",IF(P8=0,0,MAX(0,U8-P8)))</f>
        <v/>
      </c>
      <c r="Y8" s="34">
        <f>IF($A8="","",IF(OR(W8&lt;&gt;"부족 예상",설정!$C$7=12),"",IF(R8&lt;=0,"이미 초과",MIN(12,설정!$C$7+ROUNDUP(R8/(MAX(S8,T8)/(12-설정!$C$7)),0))&amp;"월")))</f>
        <v/>
      </c>
      <c r="Z8" s="26">
        <f>IF($A8="","",TRIM(IF(AND(N(AC8)&gt;=설정!$C$14,N8&gt;=설정!$C$10),"단건"&amp;TEXT(MIN(AC8,1),"0%")&amp;" ","")&amp;IF(AND(N8&gt;0,AD8&gt;0),IF(AD8/N8&gt;=설정!$C$16,"SA대체 ",""),"")&amp;IF(AE8&gt;0,"역분개"&amp;AE8&amp;"건 ","")&amp;IF(O8&gt;=설정!$C$13,"이상치 ","")&amp;IF(AND(I8=0,F8&gt;0),"신규지출 ","")))</f>
        <v/>
      </c>
      <c r="AA8" s="62">
        <f>IF($A8="","",ROUND((AF8+AG8+AH8+AI8)*IF(AND(F8&lt;설정!$C$10,N8&lt;설정!$C$10),0.3,1),1))</f>
        <v/>
      </c>
      <c r="AB8" s="41">
        <f>IF($A8="","",AA8+ROW()/1000000)</f>
        <v/>
      </c>
      <c r="AC8" s="60">
        <f>IF(OR($A8="",N8&lt;=0),"",SUMPRODUCT(MAX((전표_원본!$O$5:$O$100000=$E8)*(전표_원본!$M$5:$M$100000=설정!$C$20)*전표_원본!$P$5:$P$100000))/N8)</f>
        <v/>
      </c>
      <c r="AD8" s="35">
        <f>IF($A8="","",SUMIFS(전표_원본!$P$5:$P$100000,전표_원본!$O$5:$O$100000,$E8,전표_원본!$M$5:$M$100000,설정!$C$20,전표_원본!$E$5:$E$100000,"SA")-SUMIFS(전표_원본!$P$5:$P$100000,전표_원본!$O$5:$O$100000,$E8,전표_원본!$M$5:$M$100000,설정!$C$20-1,전표_원본!$E$5:$E$100000,"SA"))</f>
        <v/>
      </c>
      <c r="AE8" s="81">
        <f>IF($A8="","",COUNTIFS(전표_원본!$O$5:$O$100000,$E8,전표_원본!$M$5:$M$100000,설정!$C$20,전표_원본!$P$5:$P$100000,"&lt;0"))</f>
        <v/>
      </c>
      <c r="AF8" s="62">
        <f>IF($A8="","",MIN(MAX(0,N8)/(설정!$C$10*5),1)*30)</f>
        <v/>
      </c>
      <c r="AG8" s="82">
        <f>IF($A8="","",MIN(MAX(0,H8,J8),1)*20)</f>
        <v/>
      </c>
      <c r="AH8" s="82">
        <f>IF($A8="","",MIN(MAX(0,O8)/3,1)*25)</f>
        <v/>
      </c>
      <c r="AI8" s="82">
        <f>IF($A8="","",IF(OR(W8="부족 예상",W8="무예산",AO8="한도 초과",AO8="초과 예상",AO8="무예산"),25,IF(OR(W8="주의",AO8="주의"),15,0)))</f>
        <v/>
      </c>
      <c r="AJ8" s="35">
        <f>IF($A8="","",SUMIFS(예산판_원본!$O$5:$O$5000,예산판_원본!$L$5:$L$5000,$E8,예산판_원본!$M$5:$M$5000,설정!$C$6,예산판_원본!$N$5:$N$5000,설정!$C$21))</f>
        <v/>
      </c>
      <c r="AK8" s="40">
        <f>IF($A8="","",K8)</f>
        <v/>
      </c>
      <c r="AL8" s="40">
        <f>IF($A8="","",AJ8-AK8)</f>
        <v/>
      </c>
      <c r="AM8" s="35">
        <f>IF($A8="","",AK8+AVERAGE(월별집계!X8:Z8)*MAX(0,설정!$C$22+2-설정!$C$20))</f>
        <v/>
      </c>
      <c r="AN8" s="73">
        <f>IF($A8="","",IF(AJ8=0,0,AM8/AJ8))</f>
        <v/>
      </c>
      <c r="AO8" s="34">
        <f>IF($A8="","",IF(AND(AJ8=0,AK8&gt;0),"무예산",IF(AJ8=0,"-",IF(AK8&gt;AJ8,"한도 초과",IF(AN8&gt;설정!$C$12,"초과 예상",IF(AN8&gt;설정!$C$11,"주의","여유"))))))</f>
        <v/>
      </c>
      <c r="AP8" s="35">
        <f>IF($A8="","",IF(설정!$C$19="최근월",(INDEX(월별집계!$AB8:$AM8,설정!$C$7)-INDEX(월별집계!$AB8:$AM8,MAX(1,설정!$C$7-1))*(설정!$C$7&gt;1)),IF(설정!$C$19="최근분기",((INDEX(월별집계!$AB8:$AM8,설정!$C$7)-INDEX(월별집계!$AB8:$AM8,MAX(1,설정!$C$7-3))*(설정!$C$7&gt;3))/MIN(3,설정!$C$7)),IF(설정!$C$19="전년추세",AZ8,((설정!$C$7+1)*SUMPRODUCT(월별집계!$AB$5:$AM$5,월별집계!$AB8:$AM8)-(설정!$C$7*(설정!$C$7+1)/2)*SUM(월별집계!$AB8:$AM8))/((설정!$C$7+1)*(설정!$C$7*(설정!$C$7+1)*(2*설정!$C$7+1)/6)-(설정!$C$7*(설정!$C$7+1)/2)^2)))))</f>
        <v/>
      </c>
      <c r="AQ8" s="35">
        <f>IF($A8="","",IF(설정!$C$19="연내누적",(SUM(월별집계!$AB8:$AM8)-AP8*(설정!$C$7*(설정!$C$7+1)/2))/(설정!$C$7+1),INDEX(월별집계!$AB8:$AM8,설정!$C$7)-AP8*설정!$C$7))</f>
        <v/>
      </c>
      <c r="AR8" s="40">
        <f>IF($A8="","",AQ8+AP8*12)</f>
        <v/>
      </c>
      <c r="AS8" s="82">
        <f>IF($A8="","",IF(OR(P8&lt;=0,Q8&gt;=P8,AP8&lt;=0),"",MAX(설정!$C$7,(P8-AQ8)/AP8)))</f>
        <v/>
      </c>
      <c r="AT8" s="22">
        <f>IF($A8="","",IF(AS8="",IF(AU8="이미 소진","소진됨",""),YEAR((DATE(설정!$C$6,1,1)+ROUND(AS8*365/12,0)-1))&amp;"-"&amp;TEXT(MONTH((DATE(설정!$C$6,1,1)+ROUND(AS8*365/12,0)-1)),"00")&amp;"-"&amp;TEXT(DAY((DATE(설정!$C$6,1,1)+ROUND(AS8*365/12,0)-1)),"00")))</f>
        <v/>
      </c>
      <c r="AU8" s="34">
        <f>IF($A8="","",IF(AND(P8&lt;=0,Q8&gt;0),"무예산",IF(P8&lt;=0,"-",IF(Q8&gt;=P8,"이미 소진",IF(AP8&lt;=0,"소진 안 됨",IF(AS8&lt;=12,"연내 고갈","연내 여유"))))))</f>
        <v/>
      </c>
      <c r="AV8" s="34">
        <f>IF($A8="","",IF(AJ8&lt;=0,"",IF(AK8&gt;=AJ8,"한도 소진",IF(AK8&lt;=0,"",IF(AJ8/(AK8/(설정!$C$20-설정!$C$22+1))&gt;3,"분기 내 여유",YEAR((DATE(설정!$C$6,설정!$C$22-설정!$C$6*12,1)+ROUND(MAX((설정!$C$20-설정!$C$22+1),AJ8/(AK8/(설정!$C$20-설정!$C$22+1)))*365/12,0)-1))&amp;"-"&amp;TEXT(MONTH((DATE(설정!$C$6,설정!$C$22-설정!$C$6*12,1)+ROUND(MAX((설정!$C$20-설정!$C$22+1),AJ8/(AK8/(설정!$C$20-설정!$C$22+1)))*365/12,0)-1)),"00")&amp;"-"&amp;TEXT(DAY((DATE(설정!$C$6,설정!$C$22-설정!$C$6*12,1)+ROUND(MAX((설정!$C$20-설정!$C$22+1),AJ8/(AK8/(설정!$C$20-설정!$C$22+1)))*365/12,0)-1)),"00"))))))</f>
        <v/>
      </c>
      <c r="AW8" s="41">
        <f>IF($A8="",999+ROW()/1000000,IF(AU8="이미 소진",ROW()/1000000,IF(AU8="연내 고갈",AS8+ROW()/1000000,99+ROW()/1000000)))</f>
        <v/>
      </c>
      <c r="AX8" s="35">
        <f>IF($A8="","",SUMIFS(월별집계!$C8:$Z8,월별집계!$C$5:$Z$5,"&gt;="&amp;((설정!$C$6-1)*12+1),월별집계!$C$5:$Z$5,"&lt;="&amp;(설정!$C$20-12)))</f>
        <v/>
      </c>
      <c r="AY8" s="80">
        <f>IF($A8="","",IF(AX8&lt;=0,IF(Q8&gt;0,1,0),Q8/AX8-1))</f>
        <v/>
      </c>
      <c r="AZ8" s="35">
        <f>IF($A8="","",SUMIFS(월별집계!$C8:$Z8,월별집계!$C$5:$Z$5,"&gt;"&amp;(설정!$C$20-12),월별집계!$C$5:$Z$5,"&lt;="&amp;((설정!$C$6-1)*12+12))/MAX(1,12-설정!$C$7))</f>
        <v/>
      </c>
    </row>
    <row r="9">
      <c r="A9" s="12" t="inlineStr">
        <is>
          <t>D100</t>
        </is>
      </c>
      <c r="B9" s="26">
        <f>IF($A9="","",IFERROR(INDEX(부서매핑!$D$5:$D$504,MATCH($A9,부서매핑!$C$5:$C$504,0)),"부서매핑 없음"))</f>
        <v/>
      </c>
      <c r="C9" s="79" t="inlineStr">
        <is>
          <t>62201000</t>
        </is>
      </c>
      <c r="D9" s="26">
        <f>IF($A9="","",IFERROR(INDEX(계정매핑!$B$5:$B$504,MATCH($C9&amp;"",계정매핑!$A$5:$A$504,0)),"계정매핑 없음"))</f>
        <v/>
      </c>
      <c r="E9" s="22">
        <f>IF($A9="","",$A9&amp;"|"&amp;$C9)</f>
        <v/>
      </c>
      <c r="F9" s="35">
        <f>IF($A9="","",월별집계!$Z9)</f>
        <v/>
      </c>
      <c r="G9" s="35">
        <f>IF($A9="","",월별집계!$Y9)</f>
        <v/>
      </c>
      <c r="H9" s="80">
        <f>IF($A9="","",IF(G9&lt;=0,IF(F9&gt;0,1,0),F9/G9-1))</f>
        <v/>
      </c>
      <c r="I9" s="35">
        <f>IF($A9="","",월별집계!$N9)</f>
        <v/>
      </c>
      <c r="J9" s="80">
        <f>IF($A9="","",IF(I9&lt;=0,IF(F9&gt;0,1,0),F9/I9-1))</f>
        <v/>
      </c>
      <c r="K9" s="35">
        <f>IF($A9="","",SUMIFS(월별집계!$C9:$Z9,월별집계!$C$5:$Z$5,"&gt;="&amp;설정!$C$22,월별집계!$C$5:$Z$5,"&lt;="&amp;설정!$C$20))</f>
        <v/>
      </c>
      <c r="L9" s="35">
        <f>IF($A9="","",SUMIFS(월별집계!$C9:$Z9,월별집계!$C$5:$Z$5,"&gt;="&amp;(설정!$C$22-3),월별집계!$C$5:$Z$5,"&lt;="&amp;(설정!$C$20-3)))</f>
        <v/>
      </c>
      <c r="M9" s="80">
        <f>IF($A9="","",IF(L9&lt;=0,IF(K9&gt;0,1,0),K9/L9-1))</f>
        <v/>
      </c>
      <c r="N9" s="40">
        <f>IF($A9="","",MAX(F9-G9,F9-I9))</f>
        <v/>
      </c>
      <c r="O9" s="62">
        <f>IF($A9="","",IFERROR((월별집계!$Z9-AVERAGE(월별집계!N9:Y9))/STDEV(월별집계!N9:Y9),0))</f>
        <v/>
      </c>
      <c r="P9" s="35">
        <f>IF($A9="","",SUMIFS(예산판_원본!$O$5:$O$5000,예산판_원본!$L$5:$L$5000,$E9,예산판_원본!$M$5:$M$5000,설정!$C$6))</f>
        <v/>
      </c>
      <c r="Q9" s="35">
        <f>IF($A9="","",SUMIFS(월별집계!$C9:$Z9,월별집계!$C$5:$Z$5,"&gt;="&amp;(설정!$C$6*12+1),월별집계!$C$5:$Z$5,"&lt;="&amp;설정!$C$20))</f>
        <v/>
      </c>
      <c r="R9" s="40">
        <f>IF($A9="","",P9-Q9)</f>
        <v/>
      </c>
      <c r="S9" s="35">
        <f>IF($A9="","",AVERAGE(월별집계!X9:Z9)*(12-설정!$C$7))</f>
        <v/>
      </c>
      <c r="T9" s="35">
        <f>IF($A9="","",IFERROR(Q9/(SUMIFS(월별집계!$C9:$Z9,월별집계!$C$5:$Z$5,"&gt;="&amp;((설정!$C$6-1)*12+1),월별집계!$C$5:$Z$5,"&lt;="&amp;(설정!$C$20-12))/SUMIFS(월별집계!$C9:$Z9,월별집계!$C$5:$Z$5,"&gt;="&amp;((설정!$C$6-1)*12+1),월별집계!$C$5:$Z$5,"&lt;="&amp;((설정!$C$6-1)*12+12)))-Q9,S9))</f>
        <v/>
      </c>
      <c r="U9" s="40">
        <f>IF($A9="","",Q9+MAX(S9,T9))</f>
        <v/>
      </c>
      <c r="V9" s="73">
        <f>IF($A9="","",IF(P9=0,0,U9/P9))</f>
        <v/>
      </c>
      <c r="W9" s="34">
        <f>IF($A9="","",IF(AND(P9=0,Q9&gt;0),"무예산",IF(P9=0,"-",IF(V9&gt;설정!$C$12,"부족 예상",IF(V9&gt;설정!$C$11,"주의","여유")))))</f>
        <v/>
      </c>
      <c r="X9" s="40">
        <f>IF($A9="","",IF(P9=0,0,MAX(0,U9-P9)))</f>
        <v/>
      </c>
      <c r="Y9" s="34">
        <f>IF($A9="","",IF(OR(W9&lt;&gt;"부족 예상",설정!$C$7=12),"",IF(R9&lt;=0,"이미 초과",MIN(12,설정!$C$7+ROUNDUP(R9/(MAX(S9,T9)/(12-설정!$C$7)),0))&amp;"월")))</f>
        <v/>
      </c>
      <c r="Z9" s="26">
        <f>IF($A9="","",TRIM(IF(AND(N(AC9)&gt;=설정!$C$14,N9&gt;=설정!$C$10),"단건"&amp;TEXT(MIN(AC9,1),"0%")&amp;" ","")&amp;IF(AND(N9&gt;0,AD9&gt;0),IF(AD9/N9&gt;=설정!$C$16,"SA대체 ",""),"")&amp;IF(AE9&gt;0,"역분개"&amp;AE9&amp;"건 ","")&amp;IF(O9&gt;=설정!$C$13,"이상치 ","")&amp;IF(AND(I9=0,F9&gt;0),"신규지출 ","")))</f>
        <v/>
      </c>
      <c r="AA9" s="62">
        <f>IF($A9="","",ROUND((AF9+AG9+AH9+AI9)*IF(AND(F9&lt;설정!$C$10,N9&lt;설정!$C$10),0.3,1),1))</f>
        <v/>
      </c>
      <c r="AB9" s="41">
        <f>IF($A9="","",AA9+ROW()/1000000)</f>
        <v/>
      </c>
      <c r="AC9" s="60">
        <f>IF(OR($A9="",N9&lt;=0),"",SUMPRODUCT(MAX((전표_원본!$O$5:$O$100000=$E9)*(전표_원본!$M$5:$M$100000=설정!$C$20)*전표_원본!$P$5:$P$100000))/N9)</f>
        <v/>
      </c>
      <c r="AD9" s="35">
        <f>IF($A9="","",SUMIFS(전표_원본!$P$5:$P$100000,전표_원본!$O$5:$O$100000,$E9,전표_원본!$M$5:$M$100000,설정!$C$20,전표_원본!$E$5:$E$100000,"SA")-SUMIFS(전표_원본!$P$5:$P$100000,전표_원본!$O$5:$O$100000,$E9,전표_원본!$M$5:$M$100000,설정!$C$20-1,전표_원본!$E$5:$E$100000,"SA"))</f>
        <v/>
      </c>
      <c r="AE9" s="81">
        <f>IF($A9="","",COUNTIFS(전표_원본!$O$5:$O$100000,$E9,전표_원본!$M$5:$M$100000,설정!$C$20,전표_원본!$P$5:$P$100000,"&lt;0"))</f>
        <v/>
      </c>
      <c r="AF9" s="62">
        <f>IF($A9="","",MIN(MAX(0,N9)/(설정!$C$10*5),1)*30)</f>
        <v/>
      </c>
      <c r="AG9" s="82">
        <f>IF($A9="","",MIN(MAX(0,H9,J9),1)*20)</f>
        <v/>
      </c>
      <c r="AH9" s="82">
        <f>IF($A9="","",MIN(MAX(0,O9)/3,1)*25)</f>
        <v/>
      </c>
      <c r="AI9" s="82">
        <f>IF($A9="","",IF(OR(W9="부족 예상",W9="무예산",AO9="한도 초과",AO9="초과 예상",AO9="무예산"),25,IF(OR(W9="주의",AO9="주의"),15,0)))</f>
        <v/>
      </c>
      <c r="AJ9" s="35">
        <f>IF($A9="","",SUMIFS(예산판_원본!$O$5:$O$5000,예산판_원본!$L$5:$L$5000,$E9,예산판_원본!$M$5:$M$5000,설정!$C$6,예산판_원본!$N$5:$N$5000,설정!$C$21))</f>
        <v/>
      </c>
      <c r="AK9" s="40">
        <f>IF($A9="","",K9)</f>
        <v/>
      </c>
      <c r="AL9" s="40">
        <f>IF($A9="","",AJ9-AK9)</f>
        <v/>
      </c>
      <c r="AM9" s="35">
        <f>IF($A9="","",AK9+AVERAGE(월별집계!X9:Z9)*MAX(0,설정!$C$22+2-설정!$C$20))</f>
        <v/>
      </c>
      <c r="AN9" s="73">
        <f>IF($A9="","",IF(AJ9=0,0,AM9/AJ9))</f>
        <v/>
      </c>
      <c r="AO9" s="34">
        <f>IF($A9="","",IF(AND(AJ9=0,AK9&gt;0),"무예산",IF(AJ9=0,"-",IF(AK9&gt;AJ9,"한도 초과",IF(AN9&gt;설정!$C$12,"초과 예상",IF(AN9&gt;설정!$C$11,"주의","여유"))))))</f>
        <v/>
      </c>
      <c r="AP9" s="35">
        <f>IF($A9="","",IF(설정!$C$19="최근월",(INDEX(월별집계!$AB9:$AM9,설정!$C$7)-INDEX(월별집계!$AB9:$AM9,MAX(1,설정!$C$7-1))*(설정!$C$7&gt;1)),IF(설정!$C$19="최근분기",((INDEX(월별집계!$AB9:$AM9,설정!$C$7)-INDEX(월별집계!$AB9:$AM9,MAX(1,설정!$C$7-3))*(설정!$C$7&gt;3))/MIN(3,설정!$C$7)),IF(설정!$C$19="전년추세",AZ9,((설정!$C$7+1)*SUMPRODUCT(월별집계!$AB$5:$AM$5,월별집계!$AB9:$AM9)-(설정!$C$7*(설정!$C$7+1)/2)*SUM(월별집계!$AB9:$AM9))/((설정!$C$7+1)*(설정!$C$7*(설정!$C$7+1)*(2*설정!$C$7+1)/6)-(설정!$C$7*(설정!$C$7+1)/2)^2)))))</f>
        <v/>
      </c>
      <c r="AQ9" s="35">
        <f>IF($A9="","",IF(설정!$C$19="연내누적",(SUM(월별집계!$AB9:$AM9)-AP9*(설정!$C$7*(설정!$C$7+1)/2))/(설정!$C$7+1),INDEX(월별집계!$AB9:$AM9,설정!$C$7)-AP9*설정!$C$7))</f>
        <v/>
      </c>
      <c r="AR9" s="40">
        <f>IF($A9="","",AQ9+AP9*12)</f>
        <v/>
      </c>
      <c r="AS9" s="82">
        <f>IF($A9="","",IF(OR(P9&lt;=0,Q9&gt;=P9,AP9&lt;=0),"",MAX(설정!$C$7,(P9-AQ9)/AP9)))</f>
        <v/>
      </c>
      <c r="AT9" s="22">
        <f>IF($A9="","",IF(AS9="",IF(AU9="이미 소진","소진됨",""),YEAR((DATE(설정!$C$6,1,1)+ROUND(AS9*365/12,0)-1))&amp;"-"&amp;TEXT(MONTH((DATE(설정!$C$6,1,1)+ROUND(AS9*365/12,0)-1)),"00")&amp;"-"&amp;TEXT(DAY((DATE(설정!$C$6,1,1)+ROUND(AS9*365/12,0)-1)),"00")))</f>
        <v/>
      </c>
      <c r="AU9" s="34">
        <f>IF($A9="","",IF(AND(P9&lt;=0,Q9&gt;0),"무예산",IF(P9&lt;=0,"-",IF(Q9&gt;=P9,"이미 소진",IF(AP9&lt;=0,"소진 안 됨",IF(AS9&lt;=12,"연내 고갈","연내 여유"))))))</f>
        <v/>
      </c>
      <c r="AV9" s="34">
        <f>IF($A9="","",IF(AJ9&lt;=0,"",IF(AK9&gt;=AJ9,"한도 소진",IF(AK9&lt;=0,"",IF(AJ9/(AK9/(설정!$C$20-설정!$C$22+1))&gt;3,"분기 내 여유",YEAR((DATE(설정!$C$6,설정!$C$22-설정!$C$6*12,1)+ROUND(MAX((설정!$C$20-설정!$C$22+1),AJ9/(AK9/(설정!$C$20-설정!$C$22+1)))*365/12,0)-1))&amp;"-"&amp;TEXT(MONTH((DATE(설정!$C$6,설정!$C$22-설정!$C$6*12,1)+ROUND(MAX((설정!$C$20-설정!$C$22+1),AJ9/(AK9/(설정!$C$20-설정!$C$22+1)))*365/12,0)-1)),"00")&amp;"-"&amp;TEXT(DAY((DATE(설정!$C$6,설정!$C$22-설정!$C$6*12,1)+ROUND(MAX((설정!$C$20-설정!$C$22+1),AJ9/(AK9/(설정!$C$20-설정!$C$22+1)))*365/12,0)-1)),"00"))))))</f>
        <v/>
      </c>
      <c r="AW9" s="41">
        <f>IF($A9="",999+ROW()/1000000,IF(AU9="이미 소진",ROW()/1000000,IF(AU9="연내 고갈",AS9+ROW()/1000000,99+ROW()/1000000)))</f>
        <v/>
      </c>
      <c r="AX9" s="35">
        <f>IF($A9="","",SUMIFS(월별집계!$C9:$Z9,월별집계!$C$5:$Z$5,"&gt;="&amp;((설정!$C$6-1)*12+1),월별집계!$C$5:$Z$5,"&lt;="&amp;(설정!$C$20-12)))</f>
        <v/>
      </c>
      <c r="AY9" s="80">
        <f>IF($A9="","",IF(AX9&lt;=0,IF(Q9&gt;0,1,0),Q9/AX9-1))</f>
        <v/>
      </c>
      <c r="AZ9" s="35">
        <f>IF($A9="","",SUMIFS(월별집계!$C9:$Z9,월별집계!$C$5:$Z$5,"&gt;"&amp;(설정!$C$20-12),월별집계!$C$5:$Z$5,"&lt;="&amp;((설정!$C$6-1)*12+12))/MAX(1,12-설정!$C$7))</f>
        <v/>
      </c>
    </row>
    <row r="10">
      <c r="A10" s="12" t="inlineStr">
        <is>
          <t>D100</t>
        </is>
      </c>
      <c r="B10" s="26">
        <f>IF($A10="","",IFERROR(INDEX(부서매핑!$D$5:$D$504,MATCH($A10,부서매핑!$C$5:$C$504,0)),"부서매핑 없음"))</f>
        <v/>
      </c>
      <c r="C10" s="79" t="inlineStr">
        <is>
          <t>62301000</t>
        </is>
      </c>
      <c r="D10" s="26">
        <f>IF($A10="","",IFERROR(INDEX(계정매핑!$B$5:$B$504,MATCH($C10&amp;"",계정매핑!$A$5:$A$504,0)),"계정매핑 없음"))</f>
        <v/>
      </c>
      <c r="E10" s="22">
        <f>IF($A10="","",$A10&amp;"|"&amp;$C10)</f>
        <v/>
      </c>
      <c r="F10" s="35">
        <f>IF($A10="","",월별집계!$Z10)</f>
        <v/>
      </c>
      <c r="G10" s="35">
        <f>IF($A10="","",월별집계!$Y10)</f>
        <v/>
      </c>
      <c r="H10" s="80">
        <f>IF($A10="","",IF(G10&lt;=0,IF(F10&gt;0,1,0),F10/G10-1))</f>
        <v/>
      </c>
      <c r="I10" s="35">
        <f>IF($A10="","",월별집계!$N10)</f>
        <v/>
      </c>
      <c r="J10" s="80">
        <f>IF($A10="","",IF(I10&lt;=0,IF(F10&gt;0,1,0),F10/I10-1))</f>
        <v/>
      </c>
      <c r="K10" s="35">
        <f>IF($A10="","",SUMIFS(월별집계!$C10:$Z10,월별집계!$C$5:$Z$5,"&gt;="&amp;설정!$C$22,월별집계!$C$5:$Z$5,"&lt;="&amp;설정!$C$20))</f>
        <v/>
      </c>
      <c r="L10" s="35">
        <f>IF($A10="","",SUMIFS(월별집계!$C10:$Z10,월별집계!$C$5:$Z$5,"&gt;="&amp;(설정!$C$22-3),월별집계!$C$5:$Z$5,"&lt;="&amp;(설정!$C$20-3)))</f>
        <v/>
      </c>
      <c r="M10" s="80">
        <f>IF($A10="","",IF(L10&lt;=0,IF(K10&gt;0,1,0),K10/L10-1))</f>
        <v/>
      </c>
      <c r="N10" s="40">
        <f>IF($A10="","",MAX(F10-G10,F10-I10))</f>
        <v/>
      </c>
      <c r="O10" s="62">
        <f>IF($A10="","",IFERROR((월별집계!$Z10-AVERAGE(월별집계!N10:Y10))/STDEV(월별집계!N10:Y10),0))</f>
        <v/>
      </c>
      <c r="P10" s="35">
        <f>IF($A10="","",SUMIFS(예산판_원본!$O$5:$O$5000,예산판_원본!$L$5:$L$5000,$E10,예산판_원본!$M$5:$M$5000,설정!$C$6))</f>
        <v/>
      </c>
      <c r="Q10" s="35">
        <f>IF($A10="","",SUMIFS(월별집계!$C10:$Z10,월별집계!$C$5:$Z$5,"&gt;="&amp;(설정!$C$6*12+1),월별집계!$C$5:$Z$5,"&lt;="&amp;설정!$C$20))</f>
        <v/>
      </c>
      <c r="R10" s="40">
        <f>IF($A10="","",P10-Q10)</f>
        <v/>
      </c>
      <c r="S10" s="35">
        <f>IF($A10="","",AVERAGE(월별집계!X10:Z10)*(12-설정!$C$7))</f>
        <v/>
      </c>
      <c r="T10" s="35">
        <f>IF($A10="","",IFERROR(Q10/(SUMIFS(월별집계!$C10:$Z10,월별집계!$C$5:$Z$5,"&gt;="&amp;((설정!$C$6-1)*12+1),월별집계!$C$5:$Z$5,"&lt;="&amp;(설정!$C$20-12))/SUMIFS(월별집계!$C10:$Z10,월별집계!$C$5:$Z$5,"&gt;="&amp;((설정!$C$6-1)*12+1),월별집계!$C$5:$Z$5,"&lt;="&amp;((설정!$C$6-1)*12+12)))-Q10,S10))</f>
        <v/>
      </c>
      <c r="U10" s="40">
        <f>IF($A10="","",Q10+MAX(S10,T10))</f>
        <v/>
      </c>
      <c r="V10" s="73">
        <f>IF($A10="","",IF(P10=0,0,U10/P10))</f>
        <v/>
      </c>
      <c r="W10" s="34">
        <f>IF($A10="","",IF(AND(P10=0,Q10&gt;0),"무예산",IF(P10=0,"-",IF(V10&gt;설정!$C$12,"부족 예상",IF(V10&gt;설정!$C$11,"주의","여유")))))</f>
        <v/>
      </c>
      <c r="X10" s="40">
        <f>IF($A10="","",IF(P10=0,0,MAX(0,U10-P10)))</f>
        <v/>
      </c>
      <c r="Y10" s="34">
        <f>IF($A10="","",IF(OR(W10&lt;&gt;"부족 예상",설정!$C$7=12),"",IF(R10&lt;=0,"이미 초과",MIN(12,설정!$C$7+ROUNDUP(R10/(MAX(S10,T10)/(12-설정!$C$7)),0))&amp;"월")))</f>
        <v/>
      </c>
      <c r="Z10" s="26">
        <f>IF($A10="","",TRIM(IF(AND(N(AC10)&gt;=설정!$C$14,N10&gt;=설정!$C$10),"단건"&amp;TEXT(MIN(AC10,1),"0%")&amp;" ","")&amp;IF(AND(N10&gt;0,AD10&gt;0),IF(AD10/N10&gt;=설정!$C$16,"SA대체 ",""),"")&amp;IF(AE10&gt;0,"역분개"&amp;AE10&amp;"건 ","")&amp;IF(O10&gt;=설정!$C$13,"이상치 ","")&amp;IF(AND(I10=0,F10&gt;0),"신규지출 ","")))</f>
        <v/>
      </c>
      <c r="AA10" s="62">
        <f>IF($A10="","",ROUND((AF10+AG10+AH10+AI10)*IF(AND(F10&lt;설정!$C$10,N10&lt;설정!$C$10),0.3,1),1))</f>
        <v/>
      </c>
      <c r="AB10" s="41">
        <f>IF($A10="","",AA10+ROW()/1000000)</f>
        <v/>
      </c>
      <c r="AC10" s="60">
        <f>IF(OR($A10="",N10&lt;=0),"",SUMPRODUCT(MAX((전표_원본!$O$5:$O$100000=$E10)*(전표_원본!$M$5:$M$100000=설정!$C$20)*전표_원본!$P$5:$P$100000))/N10)</f>
        <v/>
      </c>
      <c r="AD10" s="35">
        <f>IF($A10="","",SUMIFS(전표_원본!$P$5:$P$100000,전표_원본!$O$5:$O$100000,$E10,전표_원본!$M$5:$M$100000,설정!$C$20,전표_원본!$E$5:$E$100000,"SA")-SUMIFS(전표_원본!$P$5:$P$100000,전표_원본!$O$5:$O$100000,$E10,전표_원본!$M$5:$M$100000,설정!$C$20-1,전표_원본!$E$5:$E$100000,"SA"))</f>
        <v/>
      </c>
      <c r="AE10" s="81">
        <f>IF($A10="","",COUNTIFS(전표_원본!$O$5:$O$100000,$E10,전표_원본!$M$5:$M$100000,설정!$C$20,전표_원본!$P$5:$P$100000,"&lt;0"))</f>
        <v/>
      </c>
      <c r="AF10" s="62">
        <f>IF($A10="","",MIN(MAX(0,N10)/(설정!$C$10*5),1)*30)</f>
        <v/>
      </c>
      <c r="AG10" s="82">
        <f>IF($A10="","",MIN(MAX(0,H10,J10),1)*20)</f>
        <v/>
      </c>
      <c r="AH10" s="82">
        <f>IF($A10="","",MIN(MAX(0,O10)/3,1)*25)</f>
        <v/>
      </c>
      <c r="AI10" s="82">
        <f>IF($A10="","",IF(OR(W10="부족 예상",W10="무예산",AO10="한도 초과",AO10="초과 예상",AO10="무예산"),25,IF(OR(W10="주의",AO10="주의"),15,0)))</f>
        <v/>
      </c>
      <c r="AJ10" s="35">
        <f>IF($A10="","",SUMIFS(예산판_원본!$O$5:$O$5000,예산판_원본!$L$5:$L$5000,$E10,예산판_원본!$M$5:$M$5000,설정!$C$6,예산판_원본!$N$5:$N$5000,설정!$C$21))</f>
        <v/>
      </c>
      <c r="AK10" s="40">
        <f>IF($A10="","",K10)</f>
        <v/>
      </c>
      <c r="AL10" s="40">
        <f>IF($A10="","",AJ10-AK10)</f>
        <v/>
      </c>
      <c r="AM10" s="35">
        <f>IF($A10="","",AK10+AVERAGE(월별집계!X10:Z10)*MAX(0,설정!$C$22+2-설정!$C$20))</f>
        <v/>
      </c>
      <c r="AN10" s="73">
        <f>IF($A10="","",IF(AJ10=0,0,AM10/AJ10))</f>
        <v/>
      </c>
      <c r="AO10" s="34">
        <f>IF($A10="","",IF(AND(AJ10=0,AK10&gt;0),"무예산",IF(AJ10=0,"-",IF(AK10&gt;AJ10,"한도 초과",IF(AN10&gt;설정!$C$12,"초과 예상",IF(AN10&gt;설정!$C$11,"주의","여유"))))))</f>
        <v/>
      </c>
      <c r="AP10" s="35">
        <f>IF($A10="","",IF(설정!$C$19="최근월",(INDEX(월별집계!$AB10:$AM10,설정!$C$7)-INDEX(월별집계!$AB10:$AM10,MAX(1,설정!$C$7-1))*(설정!$C$7&gt;1)),IF(설정!$C$19="최근분기",((INDEX(월별집계!$AB10:$AM10,설정!$C$7)-INDEX(월별집계!$AB10:$AM10,MAX(1,설정!$C$7-3))*(설정!$C$7&gt;3))/MIN(3,설정!$C$7)),IF(설정!$C$19="전년추세",AZ10,((설정!$C$7+1)*SUMPRODUCT(월별집계!$AB$5:$AM$5,월별집계!$AB10:$AM10)-(설정!$C$7*(설정!$C$7+1)/2)*SUM(월별집계!$AB10:$AM10))/((설정!$C$7+1)*(설정!$C$7*(설정!$C$7+1)*(2*설정!$C$7+1)/6)-(설정!$C$7*(설정!$C$7+1)/2)^2)))))</f>
        <v/>
      </c>
      <c r="AQ10" s="35">
        <f>IF($A10="","",IF(설정!$C$19="연내누적",(SUM(월별집계!$AB10:$AM10)-AP10*(설정!$C$7*(설정!$C$7+1)/2))/(설정!$C$7+1),INDEX(월별집계!$AB10:$AM10,설정!$C$7)-AP10*설정!$C$7))</f>
        <v/>
      </c>
      <c r="AR10" s="40">
        <f>IF($A10="","",AQ10+AP10*12)</f>
        <v/>
      </c>
      <c r="AS10" s="82">
        <f>IF($A10="","",IF(OR(P10&lt;=0,Q10&gt;=P10,AP10&lt;=0),"",MAX(설정!$C$7,(P10-AQ10)/AP10)))</f>
        <v/>
      </c>
      <c r="AT10" s="22">
        <f>IF($A10="","",IF(AS10="",IF(AU10="이미 소진","소진됨",""),YEAR((DATE(설정!$C$6,1,1)+ROUND(AS10*365/12,0)-1))&amp;"-"&amp;TEXT(MONTH((DATE(설정!$C$6,1,1)+ROUND(AS10*365/12,0)-1)),"00")&amp;"-"&amp;TEXT(DAY((DATE(설정!$C$6,1,1)+ROUND(AS10*365/12,0)-1)),"00")))</f>
        <v/>
      </c>
      <c r="AU10" s="34">
        <f>IF($A10="","",IF(AND(P10&lt;=0,Q10&gt;0),"무예산",IF(P10&lt;=0,"-",IF(Q10&gt;=P10,"이미 소진",IF(AP10&lt;=0,"소진 안 됨",IF(AS10&lt;=12,"연내 고갈","연내 여유"))))))</f>
        <v/>
      </c>
      <c r="AV10" s="34">
        <f>IF($A10="","",IF(AJ10&lt;=0,"",IF(AK10&gt;=AJ10,"한도 소진",IF(AK10&lt;=0,"",IF(AJ10/(AK10/(설정!$C$20-설정!$C$22+1))&gt;3,"분기 내 여유",YEAR((DATE(설정!$C$6,설정!$C$22-설정!$C$6*12,1)+ROUND(MAX((설정!$C$20-설정!$C$22+1),AJ10/(AK10/(설정!$C$20-설정!$C$22+1)))*365/12,0)-1))&amp;"-"&amp;TEXT(MONTH((DATE(설정!$C$6,설정!$C$22-설정!$C$6*12,1)+ROUND(MAX((설정!$C$20-설정!$C$22+1),AJ10/(AK10/(설정!$C$20-설정!$C$22+1)))*365/12,0)-1)),"00")&amp;"-"&amp;TEXT(DAY((DATE(설정!$C$6,설정!$C$22-설정!$C$6*12,1)+ROUND(MAX((설정!$C$20-설정!$C$22+1),AJ10/(AK10/(설정!$C$20-설정!$C$22+1)))*365/12,0)-1)),"00"))))))</f>
        <v/>
      </c>
      <c r="AW10" s="41">
        <f>IF($A10="",999+ROW()/1000000,IF(AU10="이미 소진",ROW()/1000000,IF(AU10="연내 고갈",AS10+ROW()/1000000,99+ROW()/1000000)))</f>
        <v/>
      </c>
      <c r="AX10" s="35">
        <f>IF($A10="","",SUMIFS(월별집계!$C10:$Z10,월별집계!$C$5:$Z$5,"&gt;="&amp;((설정!$C$6-1)*12+1),월별집계!$C$5:$Z$5,"&lt;="&amp;(설정!$C$20-12)))</f>
        <v/>
      </c>
      <c r="AY10" s="80">
        <f>IF($A10="","",IF(AX10&lt;=0,IF(Q10&gt;0,1,0),Q10/AX10-1))</f>
        <v/>
      </c>
      <c r="AZ10" s="35">
        <f>IF($A10="","",SUMIFS(월별집계!$C10:$Z10,월별집계!$C$5:$Z$5,"&gt;"&amp;(설정!$C$20-12),월별집계!$C$5:$Z$5,"&lt;="&amp;((설정!$C$6-1)*12+12))/MAX(1,12-설정!$C$7))</f>
        <v/>
      </c>
    </row>
    <row r="11">
      <c r="A11" s="12" t="inlineStr">
        <is>
          <t>D100</t>
        </is>
      </c>
      <c r="B11" s="26">
        <f>IF($A11="","",IFERROR(INDEX(부서매핑!$D$5:$D$504,MATCH($A11,부서매핑!$C$5:$C$504,0)),"부서매핑 없음"))</f>
        <v/>
      </c>
      <c r="C11" s="79" t="inlineStr">
        <is>
          <t>62501000</t>
        </is>
      </c>
      <c r="D11" s="26">
        <f>IF($A11="","",IFERROR(INDEX(계정매핑!$B$5:$B$504,MATCH($C11&amp;"",계정매핑!$A$5:$A$504,0)),"계정매핑 없음"))</f>
        <v/>
      </c>
      <c r="E11" s="22">
        <f>IF($A11="","",$A11&amp;"|"&amp;$C11)</f>
        <v/>
      </c>
      <c r="F11" s="35">
        <f>IF($A11="","",월별집계!$Z11)</f>
        <v/>
      </c>
      <c r="G11" s="35">
        <f>IF($A11="","",월별집계!$Y11)</f>
        <v/>
      </c>
      <c r="H11" s="80">
        <f>IF($A11="","",IF(G11&lt;=0,IF(F11&gt;0,1,0),F11/G11-1))</f>
        <v/>
      </c>
      <c r="I11" s="35">
        <f>IF($A11="","",월별집계!$N11)</f>
        <v/>
      </c>
      <c r="J11" s="80">
        <f>IF($A11="","",IF(I11&lt;=0,IF(F11&gt;0,1,0),F11/I11-1))</f>
        <v/>
      </c>
      <c r="K11" s="35">
        <f>IF($A11="","",SUMIFS(월별집계!$C11:$Z11,월별집계!$C$5:$Z$5,"&gt;="&amp;설정!$C$22,월별집계!$C$5:$Z$5,"&lt;="&amp;설정!$C$20))</f>
        <v/>
      </c>
      <c r="L11" s="35">
        <f>IF($A11="","",SUMIFS(월별집계!$C11:$Z11,월별집계!$C$5:$Z$5,"&gt;="&amp;(설정!$C$22-3),월별집계!$C$5:$Z$5,"&lt;="&amp;(설정!$C$20-3)))</f>
        <v/>
      </c>
      <c r="M11" s="80">
        <f>IF($A11="","",IF(L11&lt;=0,IF(K11&gt;0,1,0),K11/L11-1))</f>
        <v/>
      </c>
      <c r="N11" s="40">
        <f>IF($A11="","",MAX(F11-G11,F11-I11))</f>
        <v/>
      </c>
      <c r="O11" s="62">
        <f>IF($A11="","",IFERROR((월별집계!$Z11-AVERAGE(월별집계!N11:Y11))/STDEV(월별집계!N11:Y11),0))</f>
        <v/>
      </c>
      <c r="P11" s="35">
        <f>IF($A11="","",SUMIFS(예산판_원본!$O$5:$O$5000,예산판_원본!$L$5:$L$5000,$E11,예산판_원본!$M$5:$M$5000,설정!$C$6))</f>
        <v/>
      </c>
      <c r="Q11" s="35">
        <f>IF($A11="","",SUMIFS(월별집계!$C11:$Z11,월별집계!$C$5:$Z$5,"&gt;="&amp;(설정!$C$6*12+1),월별집계!$C$5:$Z$5,"&lt;="&amp;설정!$C$20))</f>
        <v/>
      </c>
      <c r="R11" s="40">
        <f>IF($A11="","",P11-Q11)</f>
        <v/>
      </c>
      <c r="S11" s="35">
        <f>IF($A11="","",AVERAGE(월별집계!X11:Z11)*(12-설정!$C$7))</f>
        <v/>
      </c>
      <c r="T11" s="35">
        <f>IF($A11="","",IFERROR(Q11/(SUMIFS(월별집계!$C11:$Z11,월별집계!$C$5:$Z$5,"&gt;="&amp;((설정!$C$6-1)*12+1),월별집계!$C$5:$Z$5,"&lt;="&amp;(설정!$C$20-12))/SUMIFS(월별집계!$C11:$Z11,월별집계!$C$5:$Z$5,"&gt;="&amp;((설정!$C$6-1)*12+1),월별집계!$C$5:$Z$5,"&lt;="&amp;((설정!$C$6-1)*12+12)))-Q11,S11))</f>
        <v/>
      </c>
      <c r="U11" s="40">
        <f>IF($A11="","",Q11+MAX(S11,T11))</f>
        <v/>
      </c>
      <c r="V11" s="73">
        <f>IF($A11="","",IF(P11=0,0,U11/P11))</f>
        <v/>
      </c>
      <c r="W11" s="34">
        <f>IF($A11="","",IF(AND(P11=0,Q11&gt;0),"무예산",IF(P11=0,"-",IF(V11&gt;설정!$C$12,"부족 예상",IF(V11&gt;설정!$C$11,"주의","여유")))))</f>
        <v/>
      </c>
      <c r="X11" s="40">
        <f>IF($A11="","",IF(P11=0,0,MAX(0,U11-P11)))</f>
        <v/>
      </c>
      <c r="Y11" s="34">
        <f>IF($A11="","",IF(OR(W11&lt;&gt;"부족 예상",설정!$C$7=12),"",IF(R11&lt;=0,"이미 초과",MIN(12,설정!$C$7+ROUNDUP(R11/(MAX(S11,T11)/(12-설정!$C$7)),0))&amp;"월")))</f>
        <v/>
      </c>
      <c r="Z11" s="26">
        <f>IF($A11="","",TRIM(IF(AND(N(AC11)&gt;=설정!$C$14,N11&gt;=설정!$C$10),"단건"&amp;TEXT(MIN(AC11,1),"0%")&amp;" ","")&amp;IF(AND(N11&gt;0,AD11&gt;0),IF(AD11/N11&gt;=설정!$C$16,"SA대체 ",""),"")&amp;IF(AE11&gt;0,"역분개"&amp;AE11&amp;"건 ","")&amp;IF(O11&gt;=설정!$C$13,"이상치 ","")&amp;IF(AND(I11=0,F11&gt;0),"신규지출 ","")))</f>
        <v/>
      </c>
      <c r="AA11" s="62">
        <f>IF($A11="","",ROUND((AF11+AG11+AH11+AI11)*IF(AND(F11&lt;설정!$C$10,N11&lt;설정!$C$10),0.3,1),1))</f>
        <v/>
      </c>
      <c r="AB11" s="41">
        <f>IF($A11="","",AA11+ROW()/1000000)</f>
        <v/>
      </c>
      <c r="AC11" s="60">
        <f>IF(OR($A11="",N11&lt;=0),"",SUMPRODUCT(MAX((전표_원본!$O$5:$O$100000=$E11)*(전표_원본!$M$5:$M$100000=설정!$C$20)*전표_원본!$P$5:$P$100000))/N11)</f>
        <v/>
      </c>
      <c r="AD11" s="35">
        <f>IF($A11="","",SUMIFS(전표_원본!$P$5:$P$100000,전표_원본!$O$5:$O$100000,$E11,전표_원본!$M$5:$M$100000,설정!$C$20,전표_원본!$E$5:$E$100000,"SA")-SUMIFS(전표_원본!$P$5:$P$100000,전표_원본!$O$5:$O$100000,$E11,전표_원본!$M$5:$M$100000,설정!$C$20-1,전표_원본!$E$5:$E$100000,"SA"))</f>
        <v/>
      </c>
      <c r="AE11" s="81">
        <f>IF($A11="","",COUNTIFS(전표_원본!$O$5:$O$100000,$E11,전표_원본!$M$5:$M$100000,설정!$C$20,전표_원본!$P$5:$P$100000,"&lt;0"))</f>
        <v/>
      </c>
      <c r="AF11" s="62">
        <f>IF($A11="","",MIN(MAX(0,N11)/(설정!$C$10*5),1)*30)</f>
        <v/>
      </c>
      <c r="AG11" s="82">
        <f>IF($A11="","",MIN(MAX(0,H11,J11),1)*20)</f>
        <v/>
      </c>
      <c r="AH11" s="82">
        <f>IF($A11="","",MIN(MAX(0,O11)/3,1)*25)</f>
        <v/>
      </c>
      <c r="AI11" s="82">
        <f>IF($A11="","",IF(OR(W11="부족 예상",W11="무예산",AO11="한도 초과",AO11="초과 예상",AO11="무예산"),25,IF(OR(W11="주의",AO11="주의"),15,0)))</f>
        <v/>
      </c>
      <c r="AJ11" s="35">
        <f>IF($A11="","",SUMIFS(예산판_원본!$O$5:$O$5000,예산판_원본!$L$5:$L$5000,$E11,예산판_원본!$M$5:$M$5000,설정!$C$6,예산판_원본!$N$5:$N$5000,설정!$C$21))</f>
        <v/>
      </c>
      <c r="AK11" s="40">
        <f>IF($A11="","",K11)</f>
        <v/>
      </c>
      <c r="AL11" s="40">
        <f>IF($A11="","",AJ11-AK11)</f>
        <v/>
      </c>
      <c r="AM11" s="35">
        <f>IF($A11="","",AK11+AVERAGE(월별집계!X11:Z11)*MAX(0,설정!$C$22+2-설정!$C$20))</f>
        <v/>
      </c>
      <c r="AN11" s="73">
        <f>IF($A11="","",IF(AJ11=0,0,AM11/AJ11))</f>
        <v/>
      </c>
      <c r="AO11" s="34">
        <f>IF($A11="","",IF(AND(AJ11=0,AK11&gt;0),"무예산",IF(AJ11=0,"-",IF(AK11&gt;AJ11,"한도 초과",IF(AN11&gt;설정!$C$12,"초과 예상",IF(AN11&gt;설정!$C$11,"주의","여유"))))))</f>
        <v/>
      </c>
      <c r="AP11" s="35">
        <f>IF($A11="","",IF(설정!$C$19="최근월",(INDEX(월별집계!$AB11:$AM11,설정!$C$7)-INDEX(월별집계!$AB11:$AM11,MAX(1,설정!$C$7-1))*(설정!$C$7&gt;1)),IF(설정!$C$19="최근분기",((INDEX(월별집계!$AB11:$AM11,설정!$C$7)-INDEX(월별집계!$AB11:$AM11,MAX(1,설정!$C$7-3))*(설정!$C$7&gt;3))/MIN(3,설정!$C$7)),IF(설정!$C$19="전년추세",AZ11,((설정!$C$7+1)*SUMPRODUCT(월별집계!$AB$5:$AM$5,월별집계!$AB11:$AM11)-(설정!$C$7*(설정!$C$7+1)/2)*SUM(월별집계!$AB11:$AM11))/((설정!$C$7+1)*(설정!$C$7*(설정!$C$7+1)*(2*설정!$C$7+1)/6)-(설정!$C$7*(설정!$C$7+1)/2)^2)))))</f>
        <v/>
      </c>
      <c r="AQ11" s="35">
        <f>IF($A11="","",IF(설정!$C$19="연내누적",(SUM(월별집계!$AB11:$AM11)-AP11*(설정!$C$7*(설정!$C$7+1)/2))/(설정!$C$7+1),INDEX(월별집계!$AB11:$AM11,설정!$C$7)-AP11*설정!$C$7))</f>
        <v/>
      </c>
      <c r="AR11" s="40">
        <f>IF($A11="","",AQ11+AP11*12)</f>
        <v/>
      </c>
      <c r="AS11" s="82">
        <f>IF($A11="","",IF(OR(P11&lt;=0,Q11&gt;=P11,AP11&lt;=0),"",MAX(설정!$C$7,(P11-AQ11)/AP11)))</f>
        <v/>
      </c>
      <c r="AT11" s="22">
        <f>IF($A11="","",IF(AS11="",IF(AU11="이미 소진","소진됨",""),YEAR((DATE(설정!$C$6,1,1)+ROUND(AS11*365/12,0)-1))&amp;"-"&amp;TEXT(MONTH((DATE(설정!$C$6,1,1)+ROUND(AS11*365/12,0)-1)),"00")&amp;"-"&amp;TEXT(DAY((DATE(설정!$C$6,1,1)+ROUND(AS11*365/12,0)-1)),"00")))</f>
        <v/>
      </c>
      <c r="AU11" s="34">
        <f>IF($A11="","",IF(AND(P11&lt;=0,Q11&gt;0),"무예산",IF(P11&lt;=0,"-",IF(Q11&gt;=P11,"이미 소진",IF(AP11&lt;=0,"소진 안 됨",IF(AS11&lt;=12,"연내 고갈","연내 여유"))))))</f>
        <v/>
      </c>
      <c r="AV11" s="34">
        <f>IF($A11="","",IF(AJ11&lt;=0,"",IF(AK11&gt;=AJ11,"한도 소진",IF(AK11&lt;=0,"",IF(AJ11/(AK11/(설정!$C$20-설정!$C$22+1))&gt;3,"분기 내 여유",YEAR((DATE(설정!$C$6,설정!$C$22-설정!$C$6*12,1)+ROUND(MAX((설정!$C$20-설정!$C$22+1),AJ11/(AK11/(설정!$C$20-설정!$C$22+1)))*365/12,0)-1))&amp;"-"&amp;TEXT(MONTH((DATE(설정!$C$6,설정!$C$22-설정!$C$6*12,1)+ROUND(MAX((설정!$C$20-설정!$C$22+1),AJ11/(AK11/(설정!$C$20-설정!$C$22+1)))*365/12,0)-1)),"00")&amp;"-"&amp;TEXT(DAY((DATE(설정!$C$6,설정!$C$22-설정!$C$6*12,1)+ROUND(MAX((설정!$C$20-설정!$C$22+1),AJ11/(AK11/(설정!$C$20-설정!$C$22+1)))*365/12,0)-1)),"00"))))))</f>
        <v/>
      </c>
      <c r="AW11" s="41">
        <f>IF($A11="",999+ROW()/1000000,IF(AU11="이미 소진",ROW()/1000000,IF(AU11="연내 고갈",AS11+ROW()/1000000,99+ROW()/1000000)))</f>
        <v/>
      </c>
      <c r="AX11" s="35">
        <f>IF($A11="","",SUMIFS(월별집계!$C11:$Z11,월별집계!$C$5:$Z$5,"&gt;="&amp;((설정!$C$6-1)*12+1),월별집계!$C$5:$Z$5,"&lt;="&amp;(설정!$C$20-12)))</f>
        <v/>
      </c>
      <c r="AY11" s="80">
        <f>IF($A11="","",IF(AX11&lt;=0,IF(Q11&gt;0,1,0),Q11/AX11-1))</f>
        <v/>
      </c>
      <c r="AZ11" s="35">
        <f>IF($A11="","",SUMIFS(월별집계!$C11:$Z11,월별집계!$C$5:$Z$5,"&gt;"&amp;(설정!$C$20-12),월별집계!$C$5:$Z$5,"&lt;="&amp;((설정!$C$6-1)*12+12))/MAX(1,12-설정!$C$7))</f>
        <v/>
      </c>
    </row>
    <row r="12">
      <c r="A12" s="12" t="inlineStr">
        <is>
          <t>D100</t>
        </is>
      </c>
      <c r="B12" s="26">
        <f>IF($A12="","",IFERROR(INDEX(부서매핑!$D$5:$D$504,MATCH($A12,부서매핑!$C$5:$C$504,0)),"부서매핑 없음"))</f>
        <v/>
      </c>
      <c r="C12" s="79" t="inlineStr">
        <is>
          <t>62601000</t>
        </is>
      </c>
      <c r="D12" s="26">
        <f>IF($A12="","",IFERROR(INDEX(계정매핑!$B$5:$B$504,MATCH($C12&amp;"",계정매핑!$A$5:$A$504,0)),"계정매핑 없음"))</f>
        <v/>
      </c>
      <c r="E12" s="22">
        <f>IF($A12="","",$A12&amp;"|"&amp;$C12)</f>
        <v/>
      </c>
      <c r="F12" s="35">
        <f>IF($A12="","",월별집계!$Z12)</f>
        <v/>
      </c>
      <c r="G12" s="35">
        <f>IF($A12="","",월별집계!$Y12)</f>
        <v/>
      </c>
      <c r="H12" s="80">
        <f>IF($A12="","",IF(G12&lt;=0,IF(F12&gt;0,1,0),F12/G12-1))</f>
        <v/>
      </c>
      <c r="I12" s="35">
        <f>IF($A12="","",월별집계!$N12)</f>
        <v/>
      </c>
      <c r="J12" s="80">
        <f>IF($A12="","",IF(I12&lt;=0,IF(F12&gt;0,1,0),F12/I12-1))</f>
        <v/>
      </c>
      <c r="K12" s="35">
        <f>IF($A12="","",SUMIFS(월별집계!$C12:$Z12,월별집계!$C$5:$Z$5,"&gt;="&amp;설정!$C$22,월별집계!$C$5:$Z$5,"&lt;="&amp;설정!$C$20))</f>
        <v/>
      </c>
      <c r="L12" s="35">
        <f>IF($A12="","",SUMIFS(월별집계!$C12:$Z12,월별집계!$C$5:$Z$5,"&gt;="&amp;(설정!$C$22-3),월별집계!$C$5:$Z$5,"&lt;="&amp;(설정!$C$20-3)))</f>
        <v/>
      </c>
      <c r="M12" s="80">
        <f>IF($A12="","",IF(L12&lt;=0,IF(K12&gt;0,1,0),K12/L12-1))</f>
        <v/>
      </c>
      <c r="N12" s="40">
        <f>IF($A12="","",MAX(F12-G12,F12-I12))</f>
        <v/>
      </c>
      <c r="O12" s="62">
        <f>IF($A12="","",IFERROR((월별집계!$Z12-AVERAGE(월별집계!N12:Y12))/STDEV(월별집계!N12:Y12),0))</f>
        <v/>
      </c>
      <c r="P12" s="35">
        <f>IF($A12="","",SUMIFS(예산판_원본!$O$5:$O$5000,예산판_원본!$L$5:$L$5000,$E12,예산판_원본!$M$5:$M$5000,설정!$C$6))</f>
        <v/>
      </c>
      <c r="Q12" s="35">
        <f>IF($A12="","",SUMIFS(월별집계!$C12:$Z12,월별집계!$C$5:$Z$5,"&gt;="&amp;(설정!$C$6*12+1),월별집계!$C$5:$Z$5,"&lt;="&amp;설정!$C$20))</f>
        <v/>
      </c>
      <c r="R12" s="40">
        <f>IF($A12="","",P12-Q12)</f>
        <v/>
      </c>
      <c r="S12" s="35">
        <f>IF($A12="","",AVERAGE(월별집계!X12:Z12)*(12-설정!$C$7))</f>
        <v/>
      </c>
      <c r="T12" s="35">
        <f>IF($A12="","",IFERROR(Q12/(SUMIFS(월별집계!$C12:$Z12,월별집계!$C$5:$Z$5,"&gt;="&amp;((설정!$C$6-1)*12+1),월별집계!$C$5:$Z$5,"&lt;="&amp;(설정!$C$20-12))/SUMIFS(월별집계!$C12:$Z12,월별집계!$C$5:$Z$5,"&gt;="&amp;((설정!$C$6-1)*12+1),월별집계!$C$5:$Z$5,"&lt;="&amp;((설정!$C$6-1)*12+12)))-Q12,S12))</f>
        <v/>
      </c>
      <c r="U12" s="40">
        <f>IF($A12="","",Q12+MAX(S12,T12))</f>
        <v/>
      </c>
      <c r="V12" s="73">
        <f>IF($A12="","",IF(P12=0,0,U12/P12))</f>
        <v/>
      </c>
      <c r="W12" s="34">
        <f>IF($A12="","",IF(AND(P12=0,Q12&gt;0),"무예산",IF(P12=0,"-",IF(V12&gt;설정!$C$12,"부족 예상",IF(V12&gt;설정!$C$11,"주의","여유")))))</f>
        <v/>
      </c>
      <c r="X12" s="40">
        <f>IF($A12="","",IF(P12=0,0,MAX(0,U12-P12)))</f>
        <v/>
      </c>
      <c r="Y12" s="34">
        <f>IF($A12="","",IF(OR(W12&lt;&gt;"부족 예상",설정!$C$7=12),"",IF(R12&lt;=0,"이미 초과",MIN(12,설정!$C$7+ROUNDUP(R12/(MAX(S12,T12)/(12-설정!$C$7)),0))&amp;"월")))</f>
        <v/>
      </c>
      <c r="Z12" s="26">
        <f>IF($A12="","",TRIM(IF(AND(N(AC12)&gt;=설정!$C$14,N12&gt;=설정!$C$10),"단건"&amp;TEXT(MIN(AC12,1),"0%")&amp;" ","")&amp;IF(AND(N12&gt;0,AD12&gt;0),IF(AD12/N12&gt;=설정!$C$16,"SA대체 ",""),"")&amp;IF(AE12&gt;0,"역분개"&amp;AE12&amp;"건 ","")&amp;IF(O12&gt;=설정!$C$13,"이상치 ","")&amp;IF(AND(I12=0,F12&gt;0),"신규지출 ","")))</f>
        <v/>
      </c>
      <c r="AA12" s="62">
        <f>IF($A12="","",ROUND((AF12+AG12+AH12+AI12)*IF(AND(F12&lt;설정!$C$10,N12&lt;설정!$C$10),0.3,1),1))</f>
        <v/>
      </c>
      <c r="AB12" s="41">
        <f>IF($A12="","",AA12+ROW()/1000000)</f>
        <v/>
      </c>
      <c r="AC12" s="60">
        <f>IF(OR($A12="",N12&lt;=0),"",SUMPRODUCT(MAX((전표_원본!$O$5:$O$100000=$E12)*(전표_원본!$M$5:$M$100000=설정!$C$20)*전표_원본!$P$5:$P$100000))/N12)</f>
        <v/>
      </c>
      <c r="AD12" s="35">
        <f>IF($A12="","",SUMIFS(전표_원본!$P$5:$P$100000,전표_원본!$O$5:$O$100000,$E12,전표_원본!$M$5:$M$100000,설정!$C$20,전표_원본!$E$5:$E$100000,"SA")-SUMIFS(전표_원본!$P$5:$P$100000,전표_원본!$O$5:$O$100000,$E12,전표_원본!$M$5:$M$100000,설정!$C$20-1,전표_원본!$E$5:$E$100000,"SA"))</f>
        <v/>
      </c>
      <c r="AE12" s="81">
        <f>IF($A12="","",COUNTIFS(전표_원본!$O$5:$O$100000,$E12,전표_원본!$M$5:$M$100000,설정!$C$20,전표_원본!$P$5:$P$100000,"&lt;0"))</f>
        <v/>
      </c>
      <c r="AF12" s="62">
        <f>IF($A12="","",MIN(MAX(0,N12)/(설정!$C$10*5),1)*30)</f>
        <v/>
      </c>
      <c r="AG12" s="82">
        <f>IF($A12="","",MIN(MAX(0,H12,J12),1)*20)</f>
        <v/>
      </c>
      <c r="AH12" s="82">
        <f>IF($A12="","",MIN(MAX(0,O12)/3,1)*25)</f>
        <v/>
      </c>
      <c r="AI12" s="82">
        <f>IF($A12="","",IF(OR(W12="부족 예상",W12="무예산",AO12="한도 초과",AO12="초과 예상",AO12="무예산"),25,IF(OR(W12="주의",AO12="주의"),15,0)))</f>
        <v/>
      </c>
      <c r="AJ12" s="35">
        <f>IF($A12="","",SUMIFS(예산판_원본!$O$5:$O$5000,예산판_원본!$L$5:$L$5000,$E12,예산판_원본!$M$5:$M$5000,설정!$C$6,예산판_원본!$N$5:$N$5000,설정!$C$21))</f>
        <v/>
      </c>
      <c r="AK12" s="40">
        <f>IF($A12="","",K12)</f>
        <v/>
      </c>
      <c r="AL12" s="40">
        <f>IF($A12="","",AJ12-AK12)</f>
        <v/>
      </c>
      <c r="AM12" s="35">
        <f>IF($A12="","",AK12+AVERAGE(월별집계!X12:Z12)*MAX(0,설정!$C$22+2-설정!$C$20))</f>
        <v/>
      </c>
      <c r="AN12" s="73">
        <f>IF($A12="","",IF(AJ12=0,0,AM12/AJ12))</f>
        <v/>
      </c>
      <c r="AO12" s="34">
        <f>IF($A12="","",IF(AND(AJ12=0,AK12&gt;0),"무예산",IF(AJ12=0,"-",IF(AK12&gt;AJ12,"한도 초과",IF(AN12&gt;설정!$C$12,"초과 예상",IF(AN12&gt;설정!$C$11,"주의","여유"))))))</f>
        <v/>
      </c>
      <c r="AP12" s="35">
        <f>IF($A12="","",IF(설정!$C$19="최근월",(INDEX(월별집계!$AB12:$AM12,설정!$C$7)-INDEX(월별집계!$AB12:$AM12,MAX(1,설정!$C$7-1))*(설정!$C$7&gt;1)),IF(설정!$C$19="최근분기",((INDEX(월별집계!$AB12:$AM12,설정!$C$7)-INDEX(월별집계!$AB12:$AM12,MAX(1,설정!$C$7-3))*(설정!$C$7&gt;3))/MIN(3,설정!$C$7)),IF(설정!$C$19="전년추세",AZ12,((설정!$C$7+1)*SUMPRODUCT(월별집계!$AB$5:$AM$5,월별집계!$AB12:$AM12)-(설정!$C$7*(설정!$C$7+1)/2)*SUM(월별집계!$AB12:$AM12))/((설정!$C$7+1)*(설정!$C$7*(설정!$C$7+1)*(2*설정!$C$7+1)/6)-(설정!$C$7*(설정!$C$7+1)/2)^2)))))</f>
        <v/>
      </c>
      <c r="AQ12" s="35">
        <f>IF($A12="","",IF(설정!$C$19="연내누적",(SUM(월별집계!$AB12:$AM12)-AP12*(설정!$C$7*(설정!$C$7+1)/2))/(설정!$C$7+1),INDEX(월별집계!$AB12:$AM12,설정!$C$7)-AP12*설정!$C$7))</f>
        <v/>
      </c>
      <c r="AR12" s="40">
        <f>IF($A12="","",AQ12+AP12*12)</f>
        <v/>
      </c>
      <c r="AS12" s="82">
        <f>IF($A12="","",IF(OR(P12&lt;=0,Q12&gt;=P12,AP12&lt;=0),"",MAX(설정!$C$7,(P12-AQ12)/AP12)))</f>
        <v/>
      </c>
      <c r="AT12" s="22">
        <f>IF($A12="","",IF(AS12="",IF(AU12="이미 소진","소진됨",""),YEAR((DATE(설정!$C$6,1,1)+ROUND(AS12*365/12,0)-1))&amp;"-"&amp;TEXT(MONTH((DATE(설정!$C$6,1,1)+ROUND(AS12*365/12,0)-1)),"00")&amp;"-"&amp;TEXT(DAY((DATE(설정!$C$6,1,1)+ROUND(AS12*365/12,0)-1)),"00")))</f>
        <v/>
      </c>
      <c r="AU12" s="34">
        <f>IF($A12="","",IF(AND(P12&lt;=0,Q12&gt;0),"무예산",IF(P12&lt;=0,"-",IF(Q12&gt;=P12,"이미 소진",IF(AP12&lt;=0,"소진 안 됨",IF(AS12&lt;=12,"연내 고갈","연내 여유"))))))</f>
        <v/>
      </c>
      <c r="AV12" s="34">
        <f>IF($A12="","",IF(AJ12&lt;=0,"",IF(AK12&gt;=AJ12,"한도 소진",IF(AK12&lt;=0,"",IF(AJ12/(AK12/(설정!$C$20-설정!$C$22+1))&gt;3,"분기 내 여유",YEAR((DATE(설정!$C$6,설정!$C$22-설정!$C$6*12,1)+ROUND(MAX((설정!$C$20-설정!$C$22+1),AJ12/(AK12/(설정!$C$20-설정!$C$22+1)))*365/12,0)-1))&amp;"-"&amp;TEXT(MONTH((DATE(설정!$C$6,설정!$C$22-설정!$C$6*12,1)+ROUND(MAX((설정!$C$20-설정!$C$22+1),AJ12/(AK12/(설정!$C$20-설정!$C$22+1)))*365/12,0)-1)),"00")&amp;"-"&amp;TEXT(DAY((DATE(설정!$C$6,설정!$C$22-설정!$C$6*12,1)+ROUND(MAX((설정!$C$20-설정!$C$22+1),AJ12/(AK12/(설정!$C$20-설정!$C$22+1)))*365/12,0)-1)),"00"))))))</f>
        <v/>
      </c>
      <c r="AW12" s="41">
        <f>IF($A12="",999+ROW()/1000000,IF(AU12="이미 소진",ROW()/1000000,IF(AU12="연내 고갈",AS12+ROW()/1000000,99+ROW()/1000000)))</f>
        <v/>
      </c>
      <c r="AX12" s="35">
        <f>IF($A12="","",SUMIFS(월별집계!$C12:$Z12,월별집계!$C$5:$Z$5,"&gt;="&amp;((설정!$C$6-1)*12+1),월별집계!$C$5:$Z$5,"&lt;="&amp;(설정!$C$20-12)))</f>
        <v/>
      </c>
      <c r="AY12" s="80">
        <f>IF($A12="","",IF(AX12&lt;=0,IF(Q12&gt;0,1,0),Q12/AX12-1))</f>
        <v/>
      </c>
      <c r="AZ12" s="35">
        <f>IF($A12="","",SUMIFS(월별집계!$C12:$Z12,월별집계!$C$5:$Z$5,"&gt;"&amp;(설정!$C$20-12),월별집계!$C$5:$Z$5,"&lt;="&amp;((설정!$C$6-1)*12+12))/MAX(1,12-설정!$C$7))</f>
        <v/>
      </c>
    </row>
    <row r="13">
      <c r="A13" s="12" t="inlineStr">
        <is>
          <t>D100</t>
        </is>
      </c>
      <c r="B13" s="26">
        <f>IF($A13="","",IFERROR(INDEX(부서매핑!$D$5:$D$504,MATCH($A13,부서매핑!$C$5:$C$504,0)),"부서매핑 없음"))</f>
        <v/>
      </c>
      <c r="C13" s="79" t="inlineStr">
        <is>
          <t>62901000</t>
        </is>
      </c>
      <c r="D13" s="26">
        <f>IF($A13="","",IFERROR(INDEX(계정매핑!$B$5:$B$504,MATCH($C13&amp;"",계정매핑!$A$5:$A$504,0)),"계정매핑 없음"))</f>
        <v/>
      </c>
      <c r="E13" s="22">
        <f>IF($A13="","",$A13&amp;"|"&amp;$C13)</f>
        <v/>
      </c>
      <c r="F13" s="35">
        <f>IF($A13="","",월별집계!$Z13)</f>
        <v/>
      </c>
      <c r="G13" s="35">
        <f>IF($A13="","",월별집계!$Y13)</f>
        <v/>
      </c>
      <c r="H13" s="80">
        <f>IF($A13="","",IF(G13&lt;=0,IF(F13&gt;0,1,0),F13/G13-1))</f>
        <v/>
      </c>
      <c r="I13" s="35">
        <f>IF($A13="","",월별집계!$N13)</f>
        <v/>
      </c>
      <c r="J13" s="80">
        <f>IF($A13="","",IF(I13&lt;=0,IF(F13&gt;0,1,0),F13/I13-1))</f>
        <v/>
      </c>
      <c r="K13" s="35">
        <f>IF($A13="","",SUMIFS(월별집계!$C13:$Z13,월별집계!$C$5:$Z$5,"&gt;="&amp;설정!$C$22,월별집계!$C$5:$Z$5,"&lt;="&amp;설정!$C$20))</f>
        <v/>
      </c>
      <c r="L13" s="35">
        <f>IF($A13="","",SUMIFS(월별집계!$C13:$Z13,월별집계!$C$5:$Z$5,"&gt;="&amp;(설정!$C$22-3),월별집계!$C$5:$Z$5,"&lt;="&amp;(설정!$C$20-3)))</f>
        <v/>
      </c>
      <c r="M13" s="80">
        <f>IF($A13="","",IF(L13&lt;=0,IF(K13&gt;0,1,0),K13/L13-1))</f>
        <v/>
      </c>
      <c r="N13" s="40">
        <f>IF($A13="","",MAX(F13-G13,F13-I13))</f>
        <v/>
      </c>
      <c r="O13" s="62">
        <f>IF($A13="","",IFERROR((월별집계!$Z13-AVERAGE(월별집계!N13:Y13))/STDEV(월별집계!N13:Y13),0))</f>
        <v/>
      </c>
      <c r="P13" s="35">
        <f>IF($A13="","",SUMIFS(예산판_원본!$O$5:$O$5000,예산판_원본!$L$5:$L$5000,$E13,예산판_원본!$M$5:$M$5000,설정!$C$6))</f>
        <v/>
      </c>
      <c r="Q13" s="35">
        <f>IF($A13="","",SUMIFS(월별집계!$C13:$Z13,월별집계!$C$5:$Z$5,"&gt;="&amp;(설정!$C$6*12+1),월별집계!$C$5:$Z$5,"&lt;="&amp;설정!$C$20))</f>
        <v/>
      </c>
      <c r="R13" s="40">
        <f>IF($A13="","",P13-Q13)</f>
        <v/>
      </c>
      <c r="S13" s="35">
        <f>IF($A13="","",AVERAGE(월별집계!X13:Z13)*(12-설정!$C$7))</f>
        <v/>
      </c>
      <c r="T13" s="35">
        <f>IF($A13="","",IFERROR(Q13/(SUMIFS(월별집계!$C13:$Z13,월별집계!$C$5:$Z$5,"&gt;="&amp;((설정!$C$6-1)*12+1),월별집계!$C$5:$Z$5,"&lt;="&amp;(설정!$C$20-12))/SUMIFS(월별집계!$C13:$Z13,월별집계!$C$5:$Z$5,"&gt;="&amp;((설정!$C$6-1)*12+1),월별집계!$C$5:$Z$5,"&lt;="&amp;((설정!$C$6-1)*12+12)))-Q13,S13))</f>
        <v/>
      </c>
      <c r="U13" s="40">
        <f>IF($A13="","",Q13+MAX(S13,T13))</f>
        <v/>
      </c>
      <c r="V13" s="73">
        <f>IF($A13="","",IF(P13=0,0,U13/P13))</f>
        <v/>
      </c>
      <c r="W13" s="34">
        <f>IF($A13="","",IF(AND(P13=0,Q13&gt;0),"무예산",IF(P13=0,"-",IF(V13&gt;설정!$C$12,"부족 예상",IF(V13&gt;설정!$C$11,"주의","여유")))))</f>
        <v/>
      </c>
      <c r="X13" s="40">
        <f>IF($A13="","",IF(P13=0,0,MAX(0,U13-P13)))</f>
        <v/>
      </c>
      <c r="Y13" s="34">
        <f>IF($A13="","",IF(OR(W13&lt;&gt;"부족 예상",설정!$C$7=12),"",IF(R13&lt;=0,"이미 초과",MIN(12,설정!$C$7+ROUNDUP(R13/(MAX(S13,T13)/(12-설정!$C$7)),0))&amp;"월")))</f>
        <v/>
      </c>
      <c r="Z13" s="26">
        <f>IF($A13="","",TRIM(IF(AND(N(AC13)&gt;=설정!$C$14,N13&gt;=설정!$C$10),"단건"&amp;TEXT(MIN(AC13,1),"0%")&amp;" ","")&amp;IF(AND(N13&gt;0,AD13&gt;0),IF(AD13/N13&gt;=설정!$C$16,"SA대체 ",""),"")&amp;IF(AE13&gt;0,"역분개"&amp;AE13&amp;"건 ","")&amp;IF(O13&gt;=설정!$C$13,"이상치 ","")&amp;IF(AND(I13=0,F13&gt;0),"신규지출 ","")))</f>
        <v/>
      </c>
      <c r="AA13" s="62">
        <f>IF($A13="","",ROUND((AF13+AG13+AH13+AI13)*IF(AND(F13&lt;설정!$C$10,N13&lt;설정!$C$10),0.3,1),1))</f>
        <v/>
      </c>
      <c r="AB13" s="41">
        <f>IF($A13="","",AA13+ROW()/1000000)</f>
        <v/>
      </c>
      <c r="AC13" s="60">
        <f>IF(OR($A13="",N13&lt;=0),"",SUMPRODUCT(MAX((전표_원본!$O$5:$O$100000=$E13)*(전표_원본!$M$5:$M$100000=설정!$C$20)*전표_원본!$P$5:$P$100000))/N13)</f>
        <v/>
      </c>
      <c r="AD13" s="35">
        <f>IF($A13="","",SUMIFS(전표_원본!$P$5:$P$100000,전표_원본!$O$5:$O$100000,$E13,전표_원본!$M$5:$M$100000,설정!$C$20,전표_원본!$E$5:$E$100000,"SA")-SUMIFS(전표_원본!$P$5:$P$100000,전표_원본!$O$5:$O$100000,$E13,전표_원본!$M$5:$M$100000,설정!$C$20-1,전표_원본!$E$5:$E$100000,"SA"))</f>
        <v/>
      </c>
      <c r="AE13" s="81">
        <f>IF($A13="","",COUNTIFS(전표_원본!$O$5:$O$100000,$E13,전표_원본!$M$5:$M$100000,설정!$C$20,전표_원본!$P$5:$P$100000,"&lt;0"))</f>
        <v/>
      </c>
      <c r="AF13" s="62">
        <f>IF($A13="","",MIN(MAX(0,N13)/(설정!$C$10*5),1)*30)</f>
        <v/>
      </c>
      <c r="AG13" s="82">
        <f>IF($A13="","",MIN(MAX(0,H13,J13),1)*20)</f>
        <v/>
      </c>
      <c r="AH13" s="82">
        <f>IF($A13="","",MIN(MAX(0,O13)/3,1)*25)</f>
        <v/>
      </c>
      <c r="AI13" s="82">
        <f>IF($A13="","",IF(OR(W13="부족 예상",W13="무예산",AO13="한도 초과",AO13="초과 예상",AO13="무예산"),25,IF(OR(W13="주의",AO13="주의"),15,0)))</f>
        <v/>
      </c>
      <c r="AJ13" s="35">
        <f>IF($A13="","",SUMIFS(예산판_원본!$O$5:$O$5000,예산판_원본!$L$5:$L$5000,$E13,예산판_원본!$M$5:$M$5000,설정!$C$6,예산판_원본!$N$5:$N$5000,설정!$C$21))</f>
        <v/>
      </c>
      <c r="AK13" s="40">
        <f>IF($A13="","",K13)</f>
        <v/>
      </c>
      <c r="AL13" s="40">
        <f>IF($A13="","",AJ13-AK13)</f>
        <v/>
      </c>
      <c r="AM13" s="35">
        <f>IF($A13="","",AK13+AVERAGE(월별집계!X13:Z13)*MAX(0,설정!$C$22+2-설정!$C$20))</f>
        <v/>
      </c>
      <c r="AN13" s="73">
        <f>IF($A13="","",IF(AJ13=0,0,AM13/AJ13))</f>
        <v/>
      </c>
      <c r="AO13" s="34">
        <f>IF($A13="","",IF(AND(AJ13=0,AK13&gt;0),"무예산",IF(AJ13=0,"-",IF(AK13&gt;AJ13,"한도 초과",IF(AN13&gt;설정!$C$12,"초과 예상",IF(AN13&gt;설정!$C$11,"주의","여유"))))))</f>
        <v/>
      </c>
      <c r="AP13" s="35">
        <f>IF($A13="","",IF(설정!$C$19="최근월",(INDEX(월별집계!$AB13:$AM13,설정!$C$7)-INDEX(월별집계!$AB13:$AM13,MAX(1,설정!$C$7-1))*(설정!$C$7&gt;1)),IF(설정!$C$19="최근분기",((INDEX(월별집계!$AB13:$AM13,설정!$C$7)-INDEX(월별집계!$AB13:$AM13,MAX(1,설정!$C$7-3))*(설정!$C$7&gt;3))/MIN(3,설정!$C$7)),IF(설정!$C$19="전년추세",AZ13,((설정!$C$7+1)*SUMPRODUCT(월별집계!$AB$5:$AM$5,월별집계!$AB13:$AM13)-(설정!$C$7*(설정!$C$7+1)/2)*SUM(월별집계!$AB13:$AM13))/((설정!$C$7+1)*(설정!$C$7*(설정!$C$7+1)*(2*설정!$C$7+1)/6)-(설정!$C$7*(설정!$C$7+1)/2)^2)))))</f>
        <v/>
      </c>
      <c r="AQ13" s="35">
        <f>IF($A13="","",IF(설정!$C$19="연내누적",(SUM(월별집계!$AB13:$AM13)-AP13*(설정!$C$7*(설정!$C$7+1)/2))/(설정!$C$7+1),INDEX(월별집계!$AB13:$AM13,설정!$C$7)-AP13*설정!$C$7))</f>
        <v/>
      </c>
      <c r="AR13" s="40">
        <f>IF($A13="","",AQ13+AP13*12)</f>
        <v/>
      </c>
      <c r="AS13" s="82">
        <f>IF($A13="","",IF(OR(P13&lt;=0,Q13&gt;=P13,AP13&lt;=0),"",MAX(설정!$C$7,(P13-AQ13)/AP13)))</f>
        <v/>
      </c>
      <c r="AT13" s="22">
        <f>IF($A13="","",IF(AS13="",IF(AU13="이미 소진","소진됨",""),YEAR((DATE(설정!$C$6,1,1)+ROUND(AS13*365/12,0)-1))&amp;"-"&amp;TEXT(MONTH((DATE(설정!$C$6,1,1)+ROUND(AS13*365/12,0)-1)),"00")&amp;"-"&amp;TEXT(DAY((DATE(설정!$C$6,1,1)+ROUND(AS13*365/12,0)-1)),"00")))</f>
        <v/>
      </c>
      <c r="AU13" s="34">
        <f>IF($A13="","",IF(AND(P13&lt;=0,Q13&gt;0),"무예산",IF(P13&lt;=0,"-",IF(Q13&gt;=P13,"이미 소진",IF(AP13&lt;=0,"소진 안 됨",IF(AS13&lt;=12,"연내 고갈","연내 여유"))))))</f>
        <v/>
      </c>
      <c r="AV13" s="34">
        <f>IF($A13="","",IF(AJ13&lt;=0,"",IF(AK13&gt;=AJ13,"한도 소진",IF(AK13&lt;=0,"",IF(AJ13/(AK13/(설정!$C$20-설정!$C$22+1))&gt;3,"분기 내 여유",YEAR((DATE(설정!$C$6,설정!$C$22-설정!$C$6*12,1)+ROUND(MAX((설정!$C$20-설정!$C$22+1),AJ13/(AK13/(설정!$C$20-설정!$C$22+1)))*365/12,0)-1))&amp;"-"&amp;TEXT(MONTH((DATE(설정!$C$6,설정!$C$22-설정!$C$6*12,1)+ROUND(MAX((설정!$C$20-설정!$C$22+1),AJ13/(AK13/(설정!$C$20-설정!$C$22+1)))*365/12,0)-1)),"00")&amp;"-"&amp;TEXT(DAY((DATE(설정!$C$6,설정!$C$22-설정!$C$6*12,1)+ROUND(MAX((설정!$C$20-설정!$C$22+1),AJ13/(AK13/(설정!$C$20-설정!$C$22+1)))*365/12,0)-1)),"00"))))))</f>
        <v/>
      </c>
      <c r="AW13" s="41">
        <f>IF($A13="",999+ROW()/1000000,IF(AU13="이미 소진",ROW()/1000000,IF(AU13="연내 고갈",AS13+ROW()/1000000,99+ROW()/1000000)))</f>
        <v/>
      </c>
      <c r="AX13" s="35">
        <f>IF($A13="","",SUMIFS(월별집계!$C13:$Z13,월별집계!$C$5:$Z$5,"&gt;="&amp;((설정!$C$6-1)*12+1),월별집계!$C$5:$Z$5,"&lt;="&amp;(설정!$C$20-12)))</f>
        <v/>
      </c>
      <c r="AY13" s="80">
        <f>IF($A13="","",IF(AX13&lt;=0,IF(Q13&gt;0,1,0),Q13/AX13-1))</f>
        <v/>
      </c>
      <c r="AZ13" s="35">
        <f>IF($A13="","",SUMIFS(월별집계!$C13:$Z13,월별집계!$C$5:$Z$5,"&gt;"&amp;(설정!$C$20-12),월별집계!$C$5:$Z$5,"&lt;="&amp;((설정!$C$6-1)*12+12))/MAX(1,12-설정!$C$7))</f>
        <v/>
      </c>
    </row>
    <row r="14">
      <c r="A14" s="12" t="inlineStr">
        <is>
          <t>D100</t>
        </is>
      </c>
      <c r="B14" s="26">
        <f>IF($A14="","",IFERROR(INDEX(부서매핑!$D$5:$D$504,MATCH($A14,부서매핑!$C$5:$C$504,0)),"부서매핑 없음"))</f>
        <v/>
      </c>
      <c r="C14" s="79" t="inlineStr">
        <is>
          <t>62902000</t>
        </is>
      </c>
      <c r="D14" s="26">
        <f>IF($A14="","",IFERROR(INDEX(계정매핑!$B$5:$B$504,MATCH($C14&amp;"",계정매핑!$A$5:$A$504,0)),"계정매핑 없음"))</f>
        <v/>
      </c>
      <c r="E14" s="22">
        <f>IF($A14="","",$A14&amp;"|"&amp;$C14)</f>
        <v/>
      </c>
      <c r="F14" s="35">
        <f>IF($A14="","",월별집계!$Z14)</f>
        <v/>
      </c>
      <c r="G14" s="35">
        <f>IF($A14="","",월별집계!$Y14)</f>
        <v/>
      </c>
      <c r="H14" s="80">
        <f>IF($A14="","",IF(G14&lt;=0,IF(F14&gt;0,1,0),F14/G14-1))</f>
        <v/>
      </c>
      <c r="I14" s="35">
        <f>IF($A14="","",월별집계!$N14)</f>
        <v/>
      </c>
      <c r="J14" s="80">
        <f>IF($A14="","",IF(I14&lt;=0,IF(F14&gt;0,1,0),F14/I14-1))</f>
        <v/>
      </c>
      <c r="K14" s="35">
        <f>IF($A14="","",SUMIFS(월별집계!$C14:$Z14,월별집계!$C$5:$Z$5,"&gt;="&amp;설정!$C$22,월별집계!$C$5:$Z$5,"&lt;="&amp;설정!$C$20))</f>
        <v/>
      </c>
      <c r="L14" s="35">
        <f>IF($A14="","",SUMIFS(월별집계!$C14:$Z14,월별집계!$C$5:$Z$5,"&gt;="&amp;(설정!$C$22-3),월별집계!$C$5:$Z$5,"&lt;="&amp;(설정!$C$20-3)))</f>
        <v/>
      </c>
      <c r="M14" s="80">
        <f>IF($A14="","",IF(L14&lt;=0,IF(K14&gt;0,1,0),K14/L14-1))</f>
        <v/>
      </c>
      <c r="N14" s="40">
        <f>IF($A14="","",MAX(F14-G14,F14-I14))</f>
        <v/>
      </c>
      <c r="O14" s="62">
        <f>IF($A14="","",IFERROR((월별집계!$Z14-AVERAGE(월별집계!N14:Y14))/STDEV(월별집계!N14:Y14),0))</f>
        <v/>
      </c>
      <c r="P14" s="35">
        <f>IF($A14="","",SUMIFS(예산판_원본!$O$5:$O$5000,예산판_원본!$L$5:$L$5000,$E14,예산판_원본!$M$5:$M$5000,설정!$C$6))</f>
        <v/>
      </c>
      <c r="Q14" s="35">
        <f>IF($A14="","",SUMIFS(월별집계!$C14:$Z14,월별집계!$C$5:$Z$5,"&gt;="&amp;(설정!$C$6*12+1),월별집계!$C$5:$Z$5,"&lt;="&amp;설정!$C$20))</f>
        <v/>
      </c>
      <c r="R14" s="40">
        <f>IF($A14="","",P14-Q14)</f>
        <v/>
      </c>
      <c r="S14" s="35">
        <f>IF($A14="","",AVERAGE(월별집계!X14:Z14)*(12-설정!$C$7))</f>
        <v/>
      </c>
      <c r="T14" s="35">
        <f>IF($A14="","",IFERROR(Q14/(SUMIFS(월별집계!$C14:$Z14,월별집계!$C$5:$Z$5,"&gt;="&amp;((설정!$C$6-1)*12+1),월별집계!$C$5:$Z$5,"&lt;="&amp;(설정!$C$20-12))/SUMIFS(월별집계!$C14:$Z14,월별집계!$C$5:$Z$5,"&gt;="&amp;((설정!$C$6-1)*12+1),월별집계!$C$5:$Z$5,"&lt;="&amp;((설정!$C$6-1)*12+12)))-Q14,S14))</f>
        <v/>
      </c>
      <c r="U14" s="40">
        <f>IF($A14="","",Q14+MAX(S14,T14))</f>
        <v/>
      </c>
      <c r="V14" s="73">
        <f>IF($A14="","",IF(P14=0,0,U14/P14))</f>
        <v/>
      </c>
      <c r="W14" s="34">
        <f>IF($A14="","",IF(AND(P14=0,Q14&gt;0),"무예산",IF(P14=0,"-",IF(V14&gt;설정!$C$12,"부족 예상",IF(V14&gt;설정!$C$11,"주의","여유")))))</f>
        <v/>
      </c>
      <c r="X14" s="40">
        <f>IF($A14="","",IF(P14=0,0,MAX(0,U14-P14)))</f>
        <v/>
      </c>
      <c r="Y14" s="34">
        <f>IF($A14="","",IF(OR(W14&lt;&gt;"부족 예상",설정!$C$7=12),"",IF(R14&lt;=0,"이미 초과",MIN(12,설정!$C$7+ROUNDUP(R14/(MAX(S14,T14)/(12-설정!$C$7)),0))&amp;"월")))</f>
        <v/>
      </c>
      <c r="Z14" s="26">
        <f>IF($A14="","",TRIM(IF(AND(N(AC14)&gt;=설정!$C$14,N14&gt;=설정!$C$10),"단건"&amp;TEXT(MIN(AC14,1),"0%")&amp;" ","")&amp;IF(AND(N14&gt;0,AD14&gt;0),IF(AD14/N14&gt;=설정!$C$16,"SA대체 ",""),"")&amp;IF(AE14&gt;0,"역분개"&amp;AE14&amp;"건 ","")&amp;IF(O14&gt;=설정!$C$13,"이상치 ","")&amp;IF(AND(I14=0,F14&gt;0),"신규지출 ","")))</f>
        <v/>
      </c>
      <c r="AA14" s="62">
        <f>IF($A14="","",ROUND((AF14+AG14+AH14+AI14)*IF(AND(F14&lt;설정!$C$10,N14&lt;설정!$C$10),0.3,1),1))</f>
        <v/>
      </c>
      <c r="AB14" s="41">
        <f>IF($A14="","",AA14+ROW()/1000000)</f>
        <v/>
      </c>
      <c r="AC14" s="60">
        <f>IF(OR($A14="",N14&lt;=0),"",SUMPRODUCT(MAX((전표_원본!$O$5:$O$100000=$E14)*(전표_원본!$M$5:$M$100000=설정!$C$20)*전표_원본!$P$5:$P$100000))/N14)</f>
        <v/>
      </c>
      <c r="AD14" s="35">
        <f>IF($A14="","",SUMIFS(전표_원본!$P$5:$P$100000,전표_원본!$O$5:$O$100000,$E14,전표_원본!$M$5:$M$100000,설정!$C$20,전표_원본!$E$5:$E$100000,"SA")-SUMIFS(전표_원본!$P$5:$P$100000,전표_원본!$O$5:$O$100000,$E14,전표_원본!$M$5:$M$100000,설정!$C$20-1,전표_원본!$E$5:$E$100000,"SA"))</f>
        <v/>
      </c>
      <c r="AE14" s="81">
        <f>IF($A14="","",COUNTIFS(전표_원본!$O$5:$O$100000,$E14,전표_원본!$M$5:$M$100000,설정!$C$20,전표_원본!$P$5:$P$100000,"&lt;0"))</f>
        <v/>
      </c>
      <c r="AF14" s="62">
        <f>IF($A14="","",MIN(MAX(0,N14)/(설정!$C$10*5),1)*30)</f>
        <v/>
      </c>
      <c r="AG14" s="82">
        <f>IF($A14="","",MIN(MAX(0,H14,J14),1)*20)</f>
        <v/>
      </c>
      <c r="AH14" s="82">
        <f>IF($A14="","",MIN(MAX(0,O14)/3,1)*25)</f>
        <v/>
      </c>
      <c r="AI14" s="82">
        <f>IF($A14="","",IF(OR(W14="부족 예상",W14="무예산",AO14="한도 초과",AO14="초과 예상",AO14="무예산"),25,IF(OR(W14="주의",AO14="주의"),15,0)))</f>
        <v/>
      </c>
      <c r="AJ14" s="35">
        <f>IF($A14="","",SUMIFS(예산판_원본!$O$5:$O$5000,예산판_원본!$L$5:$L$5000,$E14,예산판_원본!$M$5:$M$5000,설정!$C$6,예산판_원본!$N$5:$N$5000,설정!$C$21))</f>
        <v/>
      </c>
      <c r="AK14" s="40">
        <f>IF($A14="","",K14)</f>
        <v/>
      </c>
      <c r="AL14" s="40">
        <f>IF($A14="","",AJ14-AK14)</f>
        <v/>
      </c>
      <c r="AM14" s="35">
        <f>IF($A14="","",AK14+AVERAGE(월별집계!X14:Z14)*MAX(0,설정!$C$22+2-설정!$C$20))</f>
        <v/>
      </c>
      <c r="AN14" s="73">
        <f>IF($A14="","",IF(AJ14=0,0,AM14/AJ14))</f>
        <v/>
      </c>
      <c r="AO14" s="34">
        <f>IF($A14="","",IF(AND(AJ14=0,AK14&gt;0),"무예산",IF(AJ14=0,"-",IF(AK14&gt;AJ14,"한도 초과",IF(AN14&gt;설정!$C$12,"초과 예상",IF(AN14&gt;설정!$C$11,"주의","여유"))))))</f>
        <v/>
      </c>
      <c r="AP14" s="35">
        <f>IF($A14="","",IF(설정!$C$19="최근월",(INDEX(월별집계!$AB14:$AM14,설정!$C$7)-INDEX(월별집계!$AB14:$AM14,MAX(1,설정!$C$7-1))*(설정!$C$7&gt;1)),IF(설정!$C$19="최근분기",((INDEX(월별집계!$AB14:$AM14,설정!$C$7)-INDEX(월별집계!$AB14:$AM14,MAX(1,설정!$C$7-3))*(설정!$C$7&gt;3))/MIN(3,설정!$C$7)),IF(설정!$C$19="전년추세",AZ14,((설정!$C$7+1)*SUMPRODUCT(월별집계!$AB$5:$AM$5,월별집계!$AB14:$AM14)-(설정!$C$7*(설정!$C$7+1)/2)*SUM(월별집계!$AB14:$AM14))/((설정!$C$7+1)*(설정!$C$7*(설정!$C$7+1)*(2*설정!$C$7+1)/6)-(설정!$C$7*(설정!$C$7+1)/2)^2)))))</f>
        <v/>
      </c>
      <c r="AQ14" s="35">
        <f>IF($A14="","",IF(설정!$C$19="연내누적",(SUM(월별집계!$AB14:$AM14)-AP14*(설정!$C$7*(설정!$C$7+1)/2))/(설정!$C$7+1),INDEX(월별집계!$AB14:$AM14,설정!$C$7)-AP14*설정!$C$7))</f>
        <v/>
      </c>
      <c r="AR14" s="40">
        <f>IF($A14="","",AQ14+AP14*12)</f>
        <v/>
      </c>
      <c r="AS14" s="82">
        <f>IF($A14="","",IF(OR(P14&lt;=0,Q14&gt;=P14,AP14&lt;=0),"",MAX(설정!$C$7,(P14-AQ14)/AP14)))</f>
        <v/>
      </c>
      <c r="AT14" s="22">
        <f>IF($A14="","",IF(AS14="",IF(AU14="이미 소진","소진됨",""),YEAR((DATE(설정!$C$6,1,1)+ROUND(AS14*365/12,0)-1))&amp;"-"&amp;TEXT(MONTH((DATE(설정!$C$6,1,1)+ROUND(AS14*365/12,0)-1)),"00")&amp;"-"&amp;TEXT(DAY((DATE(설정!$C$6,1,1)+ROUND(AS14*365/12,0)-1)),"00")))</f>
        <v/>
      </c>
      <c r="AU14" s="34">
        <f>IF($A14="","",IF(AND(P14&lt;=0,Q14&gt;0),"무예산",IF(P14&lt;=0,"-",IF(Q14&gt;=P14,"이미 소진",IF(AP14&lt;=0,"소진 안 됨",IF(AS14&lt;=12,"연내 고갈","연내 여유"))))))</f>
        <v/>
      </c>
      <c r="AV14" s="34">
        <f>IF($A14="","",IF(AJ14&lt;=0,"",IF(AK14&gt;=AJ14,"한도 소진",IF(AK14&lt;=0,"",IF(AJ14/(AK14/(설정!$C$20-설정!$C$22+1))&gt;3,"분기 내 여유",YEAR((DATE(설정!$C$6,설정!$C$22-설정!$C$6*12,1)+ROUND(MAX((설정!$C$20-설정!$C$22+1),AJ14/(AK14/(설정!$C$20-설정!$C$22+1)))*365/12,0)-1))&amp;"-"&amp;TEXT(MONTH((DATE(설정!$C$6,설정!$C$22-설정!$C$6*12,1)+ROUND(MAX((설정!$C$20-설정!$C$22+1),AJ14/(AK14/(설정!$C$20-설정!$C$22+1)))*365/12,0)-1)),"00")&amp;"-"&amp;TEXT(DAY((DATE(설정!$C$6,설정!$C$22-설정!$C$6*12,1)+ROUND(MAX((설정!$C$20-설정!$C$22+1),AJ14/(AK14/(설정!$C$20-설정!$C$22+1)))*365/12,0)-1)),"00"))))))</f>
        <v/>
      </c>
      <c r="AW14" s="41">
        <f>IF($A14="",999+ROW()/1000000,IF(AU14="이미 소진",ROW()/1000000,IF(AU14="연내 고갈",AS14+ROW()/1000000,99+ROW()/1000000)))</f>
        <v/>
      </c>
      <c r="AX14" s="35">
        <f>IF($A14="","",SUMIFS(월별집계!$C14:$Z14,월별집계!$C$5:$Z$5,"&gt;="&amp;((설정!$C$6-1)*12+1),월별집계!$C$5:$Z$5,"&lt;="&amp;(설정!$C$20-12)))</f>
        <v/>
      </c>
      <c r="AY14" s="80">
        <f>IF($A14="","",IF(AX14&lt;=0,IF(Q14&gt;0,1,0),Q14/AX14-1))</f>
        <v/>
      </c>
      <c r="AZ14" s="35">
        <f>IF($A14="","",SUMIFS(월별집계!$C14:$Z14,월별집계!$C$5:$Z$5,"&gt;"&amp;(설정!$C$20-12),월별집계!$C$5:$Z$5,"&lt;="&amp;((설정!$C$6-1)*12+12))/MAX(1,12-설정!$C$7))</f>
        <v/>
      </c>
    </row>
    <row r="15">
      <c r="A15" s="12" t="inlineStr">
        <is>
          <t>D200</t>
        </is>
      </c>
      <c r="B15" s="26">
        <f>IF($A15="","",IFERROR(INDEX(부서매핑!$D$5:$D$504,MATCH($A15,부서매핑!$C$5:$C$504,0)),"부서매핑 없음"))</f>
        <v/>
      </c>
      <c r="C15" s="79" t="inlineStr">
        <is>
          <t>62101000</t>
        </is>
      </c>
      <c r="D15" s="26">
        <f>IF($A15="","",IFERROR(INDEX(계정매핑!$B$5:$B$504,MATCH($C15&amp;"",계정매핑!$A$5:$A$504,0)),"계정매핑 없음"))</f>
        <v/>
      </c>
      <c r="E15" s="22">
        <f>IF($A15="","",$A15&amp;"|"&amp;$C15)</f>
        <v/>
      </c>
      <c r="F15" s="35">
        <f>IF($A15="","",월별집계!$Z15)</f>
        <v/>
      </c>
      <c r="G15" s="35">
        <f>IF($A15="","",월별집계!$Y15)</f>
        <v/>
      </c>
      <c r="H15" s="80">
        <f>IF($A15="","",IF(G15&lt;=0,IF(F15&gt;0,1,0),F15/G15-1))</f>
        <v/>
      </c>
      <c r="I15" s="35">
        <f>IF($A15="","",월별집계!$N15)</f>
        <v/>
      </c>
      <c r="J15" s="80">
        <f>IF($A15="","",IF(I15&lt;=0,IF(F15&gt;0,1,0),F15/I15-1))</f>
        <v/>
      </c>
      <c r="K15" s="35">
        <f>IF($A15="","",SUMIFS(월별집계!$C15:$Z15,월별집계!$C$5:$Z$5,"&gt;="&amp;설정!$C$22,월별집계!$C$5:$Z$5,"&lt;="&amp;설정!$C$20))</f>
        <v/>
      </c>
      <c r="L15" s="35">
        <f>IF($A15="","",SUMIFS(월별집계!$C15:$Z15,월별집계!$C$5:$Z$5,"&gt;="&amp;(설정!$C$22-3),월별집계!$C$5:$Z$5,"&lt;="&amp;(설정!$C$20-3)))</f>
        <v/>
      </c>
      <c r="M15" s="80">
        <f>IF($A15="","",IF(L15&lt;=0,IF(K15&gt;0,1,0),K15/L15-1))</f>
        <v/>
      </c>
      <c r="N15" s="40">
        <f>IF($A15="","",MAX(F15-G15,F15-I15))</f>
        <v/>
      </c>
      <c r="O15" s="62">
        <f>IF($A15="","",IFERROR((월별집계!$Z15-AVERAGE(월별집계!N15:Y15))/STDEV(월별집계!N15:Y15),0))</f>
        <v/>
      </c>
      <c r="P15" s="35">
        <f>IF($A15="","",SUMIFS(예산판_원본!$O$5:$O$5000,예산판_원본!$L$5:$L$5000,$E15,예산판_원본!$M$5:$M$5000,설정!$C$6))</f>
        <v/>
      </c>
      <c r="Q15" s="35">
        <f>IF($A15="","",SUMIFS(월별집계!$C15:$Z15,월별집계!$C$5:$Z$5,"&gt;="&amp;(설정!$C$6*12+1),월별집계!$C$5:$Z$5,"&lt;="&amp;설정!$C$20))</f>
        <v/>
      </c>
      <c r="R15" s="40">
        <f>IF($A15="","",P15-Q15)</f>
        <v/>
      </c>
      <c r="S15" s="35">
        <f>IF($A15="","",AVERAGE(월별집계!X15:Z15)*(12-설정!$C$7))</f>
        <v/>
      </c>
      <c r="T15" s="35">
        <f>IF($A15="","",IFERROR(Q15/(SUMIFS(월별집계!$C15:$Z15,월별집계!$C$5:$Z$5,"&gt;="&amp;((설정!$C$6-1)*12+1),월별집계!$C$5:$Z$5,"&lt;="&amp;(설정!$C$20-12))/SUMIFS(월별집계!$C15:$Z15,월별집계!$C$5:$Z$5,"&gt;="&amp;((설정!$C$6-1)*12+1),월별집계!$C$5:$Z$5,"&lt;="&amp;((설정!$C$6-1)*12+12)))-Q15,S15))</f>
        <v/>
      </c>
      <c r="U15" s="40">
        <f>IF($A15="","",Q15+MAX(S15,T15))</f>
        <v/>
      </c>
      <c r="V15" s="73">
        <f>IF($A15="","",IF(P15=0,0,U15/P15))</f>
        <v/>
      </c>
      <c r="W15" s="34">
        <f>IF($A15="","",IF(AND(P15=0,Q15&gt;0),"무예산",IF(P15=0,"-",IF(V15&gt;설정!$C$12,"부족 예상",IF(V15&gt;설정!$C$11,"주의","여유")))))</f>
        <v/>
      </c>
      <c r="X15" s="40">
        <f>IF($A15="","",IF(P15=0,0,MAX(0,U15-P15)))</f>
        <v/>
      </c>
      <c r="Y15" s="34">
        <f>IF($A15="","",IF(OR(W15&lt;&gt;"부족 예상",설정!$C$7=12),"",IF(R15&lt;=0,"이미 초과",MIN(12,설정!$C$7+ROUNDUP(R15/(MAX(S15,T15)/(12-설정!$C$7)),0))&amp;"월")))</f>
        <v/>
      </c>
      <c r="Z15" s="26">
        <f>IF($A15="","",TRIM(IF(AND(N(AC15)&gt;=설정!$C$14,N15&gt;=설정!$C$10),"단건"&amp;TEXT(MIN(AC15,1),"0%")&amp;" ","")&amp;IF(AND(N15&gt;0,AD15&gt;0),IF(AD15/N15&gt;=설정!$C$16,"SA대체 ",""),"")&amp;IF(AE15&gt;0,"역분개"&amp;AE15&amp;"건 ","")&amp;IF(O15&gt;=설정!$C$13,"이상치 ","")&amp;IF(AND(I15=0,F15&gt;0),"신규지출 ","")))</f>
        <v/>
      </c>
      <c r="AA15" s="62">
        <f>IF($A15="","",ROUND((AF15+AG15+AH15+AI15)*IF(AND(F15&lt;설정!$C$10,N15&lt;설정!$C$10),0.3,1),1))</f>
        <v/>
      </c>
      <c r="AB15" s="41">
        <f>IF($A15="","",AA15+ROW()/1000000)</f>
        <v/>
      </c>
      <c r="AC15" s="60">
        <f>IF(OR($A15="",N15&lt;=0),"",SUMPRODUCT(MAX((전표_원본!$O$5:$O$100000=$E15)*(전표_원본!$M$5:$M$100000=설정!$C$20)*전표_원본!$P$5:$P$100000))/N15)</f>
        <v/>
      </c>
      <c r="AD15" s="35">
        <f>IF($A15="","",SUMIFS(전표_원본!$P$5:$P$100000,전표_원본!$O$5:$O$100000,$E15,전표_원본!$M$5:$M$100000,설정!$C$20,전표_원본!$E$5:$E$100000,"SA")-SUMIFS(전표_원본!$P$5:$P$100000,전표_원본!$O$5:$O$100000,$E15,전표_원본!$M$5:$M$100000,설정!$C$20-1,전표_원본!$E$5:$E$100000,"SA"))</f>
        <v/>
      </c>
      <c r="AE15" s="81">
        <f>IF($A15="","",COUNTIFS(전표_원본!$O$5:$O$100000,$E15,전표_원본!$M$5:$M$100000,설정!$C$20,전표_원본!$P$5:$P$100000,"&lt;0"))</f>
        <v/>
      </c>
      <c r="AF15" s="62">
        <f>IF($A15="","",MIN(MAX(0,N15)/(설정!$C$10*5),1)*30)</f>
        <v/>
      </c>
      <c r="AG15" s="82">
        <f>IF($A15="","",MIN(MAX(0,H15,J15),1)*20)</f>
        <v/>
      </c>
      <c r="AH15" s="82">
        <f>IF($A15="","",MIN(MAX(0,O15)/3,1)*25)</f>
        <v/>
      </c>
      <c r="AI15" s="82">
        <f>IF($A15="","",IF(OR(W15="부족 예상",W15="무예산",AO15="한도 초과",AO15="초과 예상",AO15="무예산"),25,IF(OR(W15="주의",AO15="주의"),15,0)))</f>
        <v/>
      </c>
      <c r="AJ15" s="35">
        <f>IF($A15="","",SUMIFS(예산판_원본!$O$5:$O$5000,예산판_원본!$L$5:$L$5000,$E15,예산판_원본!$M$5:$M$5000,설정!$C$6,예산판_원본!$N$5:$N$5000,설정!$C$21))</f>
        <v/>
      </c>
      <c r="AK15" s="40">
        <f>IF($A15="","",K15)</f>
        <v/>
      </c>
      <c r="AL15" s="40">
        <f>IF($A15="","",AJ15-AK15)</f>
        <v/>
      </c>
      <c r="AM15" s="35">
        <f>IF($A15="","",AK15+AVERAGE(월별집계!X15:Z15)*MAX(0,설정!$C$22+2-설정!$C$20))</f>
        <v/>
      </c>
      <c r="AN15" s="73">
        <f>IF($A15="","",IF(AJ15=0,0,AM15/AJ15))</f>
        <v/>
      </c>
      <c r="AO15" s="34">
        <f>IF($A15="","",IF(AND(AJ15=0,AK15&gt;0),"무예산",IF(AJ15=0,"-",IF(AK15&gt;AJ15,"한도 초과",IF(AN15&gt;설정!$C$12,"초과 예상",IF(AN15&gt;설정!$C$11,"주의","여유"))))))</f>
        <v/>
      </c>
      <c r="AP15" s="35">
        <f>IF($A15="","",IF(설정!$C$19="최근월",(INDEX(월별집계!$AB15:$AM15,설정!$C$7)-INDEX(월별집계!$AB15:$AM15,MAX(1,설정!$C$7-1))*(설정!$C$7&gt;1)),IF(설정!$C$19="최근분기",((INDEX(월별집계!$AB15:$AM15,설정!$C$7)-INDEX(월별집계!$AB15:$AM15,MAX(1,설정!$C$7-3))*(설정!$C$7&gt;3))/MIN(3,설정!$C$7)),IF(설정!$C$19="전년추세",AZ15,((설정!$C$7+1)*SUMPRODUCT(월별집계!$AB$5:$AM$5,월별집계!$AB15:$AM15)-(설정!$C$7*(설정!$C$7+1)/2)*SUM(월별집계!$AB15:$AM15))/((설정!$C$7+1)*(설정!$C$7*(설정!$C$7+1)*(2*설정!$C$7+1)/6)-(설정!$C$7*(설정!$C$7+1)/2)^2)))))</f>
        <v/>
      </c>
      <c r="AQ15" s="35">
        <f>IF($A15="","",IF(설정!$C$19="연내누적",(SUM(월별집계!$AB15:$AM15)-AP15*(설정!$C$7*(설정!$C$7+1)/2))/(설정!$C$7+1),INDEX(월별집계!$AB15:$AM15,설정!$C$7)-AP15*설정!$C$7))</f>
        <v/>
      </c>
      <c r="AR15" s="40">
        <f>IF($A15="","",AQ15+AP15*12)</f>
        <v/>
      </c>
      <c r="AS15" s="82">
        <f>IF($A15="","",IF(OR(P15&lt;=0,Q15&gt;=P15,AP15&lt;=0),"",MAX(설정!$C$7,(P15-AQ15)/AP15)))</f>
        <v/>
      </c>
      <c r="AT15" s="22">
        <f>IF($A15="","",IF(AS15="",IF(AU15="이미 소진","소진됨",""),YEAR((DATE(설정!$C$6,1,1)+ROUND(AS15*365/12,0)-1))&amp;"-"&amp;TEXT(MONTH((DATE(설정!$C$6,1,1)+ROUND(AS15*365/12,0)-1)),"00")&amp;"-"&amp;TEXT(DAY((DATE(설정!$C$6,1,1)+ROUND(AS15*365/12,0)-1)),"00")))</f>
        <v/>
      </c>
      <c r="AU15" s="34">
        <f>IF($A15="","",IF(AND(P15&lt;=0,Q15&gt;0),"무예산",IF(P15&lt;=0,"-",IF(Q15&gt;=P15,"이미 소진",IF(AP15&lt;=0,"소진 안 됨",IF(AS15&lt;=12,"연내 고갈","연내 여유"))))))</f>
        <v/>
      </c>
      <c r="AV15" s="34">
        <f>IF($A15="","",IF(AJ15&lt;=0,"",IF(AK15&gt;=AJ15,"한도 소진",IF(AK15&lt;=0,"",IF(AJ15/(AK15/(설정!$C$20-설정!$C$22+1))&gt;3,"분기 내 여유",YEAR((DATE(설정!$C$6,설정!$C$22-설정!$C$6*12,1)+ROUND(MAX((설정!$C$20-설정!$C$22+1),AJ15/(AK15/(설정!$C$20-설정!$C$22+1)))*365/12,0)-1))&amp;"-"&amp;TEXT(MONTH((DATE(설정!$C$6,설정!$C$22-설정!$C$6*12,1)+ROUND(MAX((설정!$C$20-설정!$C$22+1),AJ15/(AK15/(설정!$C$20-설정!$C$22+1)))*365/12,0)-1)),"00")&amp;"-"&amp;TEXT(DAY((DATE(설정!$C$6,설정!$C$22-설정!$C$6*12,1)+ROUND(MAX((설정!$C$20-설정!$C$22+1),AJ15/(AK15/(설정!$C$20-설정!$C$22+1)))*365/12,0)-1)),"00"))))))</f>
        <v/>
      </c>
      <c r="AW15" s="41">
        <f>IF($A15="",999+ROW()/1000000,IF(AU15="이미 소진",ROW()/1000000,IF(AU15="연내 고갈",AS15+ROW()/1000000,99+ROW()/1000000)))</f>
        <v/>
      </c>
      <c r="AX15" s="35">
        <f>IF($A15="","",SUMIFS(월별집계!$C15:$Z15,월별집계!$C$5:$Z$5,"&gt;="&amp;((설정!$C$6-1)*12+1),월별집계!$C$5:$Z$5,"&lt;="&amp;(설정!$C$20-12)))</f>
        <v/>
      </c>
      <c r="AY15" s="80">
        <f>IF($A15="","",IF(AX15&lt;=0,IF(Q15&gt;0,1,0),Q15/AX15-1))</f>
        <v/>
      </c>
      <c r="AZ15" s="35">
        <f>IF($A15="","",SUMIFS(월별집계!$C15:$Z15,월별집계!$C$5:$Z$5,"&gt;"&amp;(설정!$C$20-12),월별집계!$C$5:$Z$5,"&lt;="&amp;((설정!$C$6-1)*12+12))/MAX(1,12-설정!$C$7))</f>
        <v/>
      </c>
    </row>
    <row r="16">
      <c r="A16" s="12" t="inlineStr">
        <is>
          <t>D200</t>
        </is>
      </c>
      <c r="B16" s="26">
        <f>IF($A16="","",IFERROR(INDEX(부서매핑!$D$5:$D$504,MATCH($A16,부서매핑!$C$5:$C$504,0)),"부서매핑 없음"))</f>
        <v/>
      </c>
      <c r="C16" s="79" t="inlineStr">
        <is>
          <t>62102000</t>
        </is>
      </c>
      <c r="D16" s="26">
        <f>IF($A16="","",IFERROR(INDEX(계정매핑!$B$5:$B$504,MATCH($C16&amp;"",계정매핑!$A$5:$A$504,0)),"계정매핑 없음"))</f>
        <v/>
      </c>
      <c r="E16" s="22">
        <f>IF($A16="","",$A16&amp;"|"&amp;$C16)</f>
        <v/>
      </c>
      <c r="F16" s="35">
        <f>IF($A16="","",월별집계!$Z16)</f>
        <v/>
      </c>
      <c r="G16" s="35">
        <f>IF($A16="","",월별집계!$Y16)</f>
        <v/>
      </c>
      <c r="H16" s="80">
        <f>IF($A16="","",IF(G16&lt;=0,IF(F16&gt;0,1,0),F16/G16-1))</f>
        <v/>
      </c>
      <c r="I16" s="35">
        <f>IF($A16="","",월별집계!$N16)</f>
        <v/>
      </c>
      <c r="J16" s="80">
        <f>IF($A16="","",IF(I16&lt;=0,IF(F16&gt;0,1,0),F16/I16-1))</f>
        <v/>
      </c>
      <c r="K16" s="35">
        <f>IF($A16="","",SUMIFS(월별집계!$C16:$Z16,월별집계!$C$5:$Z$5,"&gt;="&amp;설정!$C$22,월별집계!$C$5:$Z$5,"&lt;="&amp;설정!$C$20))</f>
        <v/>
      </c>
      <c r="L16" s="35">
        <f>IF($A16="","",SUMIFS(월별집계!$C16:$Z16,월별집계!$C$5:$Z$5,"&gt;="&amp;(설정!$C$22-3),월별집계!$C$5:$Z$5,"&lt;="&amp;(설정!$C$20-3)))</f>
        <v/>
      </c>
      <c r="M16" s="80">
        <f>IF($A16="","",IF(L16&lt;=0,IF(K16&gt;0,1,0),K16/L16-1))</f>
        <v/>
      </c>
      <c r="N16" s="40">
        <f>IF($A16="","",MAX(F16-G16,F16-I16))</f>
        <v/>
      </c>
      <c r="O16" s="62">
        <f>IF($A16="","",IFERROR((월별집계!$Z16-AVERAGE(월별집계!N16:Y16))/STDEV(월별집계!N16:Y16),0))</f>
        <v/>
      </c>
      <c r="P16" s="35">
        <f>IF($A16="","",SUMIFS(예산판_원본!$O$5:$O$5000,예산판_원본!$L$5:$L$5000,$E16,예산판_원본!$M$5:$M$5000,설정!$C$6))</f>
        <v/>
      </c>
      <c r="Q16" s="35">
        <f>IF($A16="","",SUMIFS(월별집계!$C16:$Z16,월별집계!$C$5:$Z$5,"&gt;="&amp;(설정!$C$6*12+1),월별집계!$C$5:$Z$5,"&lt;="&amp;설정!$C$20))</f>
        <v/>
      </c>
      <c r="R16" s="40">
        <f>IF($A16="","",P16-Q16)</f>
        <v/>
      </c>
      <c r="S16" s="35">
        <f>IF($A16="","",AVERAGE(월별집계!X16:Z16)*(12-설정!$C$7))</f>
        <v/>
      </c>
      <c r="T16" s="35">
        <f>IF($A16="","",IFERROR(Q16/(SUMIFS(월별집계!$C16:$Z16,월별집계!$C$5:$Z$5,"&gt;="&amp;((설정!$C$6-1)*12+1),월별집계!$C$5:$Z$5,"&lt;="&amp;(설정!$C$20-12))/SUMIFS(월별집계!$C16:$Z16,월별집계!$C$5:$Z$5,"&gt;="&amp;((설정!$C$6-1)*12+1),월별집계!$C$5:$Z$5,"&lt;="&amp;((설정!$C$6-1)*12+12)))-Q16,S16))</f>
        <v/>
      </c>
      <c r="U16" s="40">
        <f>IF($A16="","",Q16+MAX(S16,T16))</f>
        <v/>
      </c>
      <c r="V16" s="73">
        <f>IF($A16="","",IF(P16=0,0,U16/P16))</f>
        <v/>
      </c>
      <c r="W16" s="34">
        <f>IF($A16="","",IF(AND(P16=0,Q16&gt;0),"무예산",IF(P16=0,"-",IF(V16&gt;설정!$C$12,"부족 예상",IF(V16&gt;설정!$C$11,"주의","여유")))))</f>
        <v/>
      </c>
      <c r="X16" s="40">
        <f>IF($A16="","",IF(P16=0,0,MAX(0,U16-P16)))</f>
        <v/>
      </c>
      <c r="Y16" s="34">
        <f>IF($A16="","",IF(OR(W16&lt;&gt;"부족 예상",설정!$C$7=12),"",IF(R16&lt;=0,"이미 초과",MIN(12,설정!$C$7+ROUNDUP(R16/(MAX(S16,T16)/(12-설정!$C$7)),0))&amp;"월")))</f>
        <v/>
      </c>
      <c r="Z16" s="26">
        <f>IF($A16="","",TRIM(IF(AND(N(AC16)&gt;=설정!$C$14,N16&gt;=설정!$C$10),"단건"&amp;TEXT(MIN(AC16,1),"0%")&amp;" ","")&amp;IF(AND(N16&gt;0,AD16&gt;0),IF(AD16/N16&gt;=설정!$C$16,"SA대체 ",""),"")&amp;IF(AE16&gt;0,"역분개"&amp;AE16&amp;"건 ","")&amp;IF(O16&gt;=설정!$C$13,"이상치 ","")&amp;IF(AND(I16=0,F16&gt;0),"신규지출 ","")))</f>
        <v/>
      </c>
      <c r="AA16" s="62">
        <f>IF($A16="","",ROUND((AF16+AG16+AH16+AI16)*IF(AND(F16&lt;설정!$C$10,N16&lt;설정!$C$10),0.3,1),1))</f>
        <v/>
      </c>
      <c r="AB16" s="41">
        <f>IF($A16="","",AA16+ROW()/1000000)</f>
        <v/>
      </c>
      <c r="AC16" s="60">
        <f>IF(OR($A16="",N16&lt;=0),"",SUMPRODUCT(MAX((전표_원본!$O$5:$O$100000=$E16)*(전표_원본!$M$5:$M$100000=설정!$C$20)*전표_원본!$P$5:$P$100000))/N16)</f>
        <v/>
      </c>
      <c r="AD16" s="35">
        <f>IF($A16="","",SUMIFS(전표_원본!$P$5:$P$100000,전표_원본!$O$5:$O$100000,$E16,전표_원본!$M$5:$M$100000,설정!$C$20,전표_원본!$E$5:$E$100000,"SA")-SUMIFS(전표_원본!$P$5:$P$100000,전표_원본!$O$5:$O$100000,$E16,전표_원본!$M$5:$M$100000,설정!$C$20-1,전표_원본!$E$5:$E$100000,"SA"))</f>
        <v/>
      </c>
      <c r="AE16" s="81">
        <f>IF($A16="","",COUNTIFS(전표_원본!$O$5:$O$100000,$E16,전표_원본!$M$5:$M$100000,설정!$C$20,전표_원본!$P$5:$P$100000,"&lt;0"))</f>
        <v/>
      </c>
      <c r="AF16" s="62">
        <f>IF($A16="","",MIN(MAX(0,N16)/(설정!$C$10*5),1)*30)</f>
        <v/>
      </c>
      <c r="AG16" s="82">
        <f>IF($A16="","",MIN(MAX(0,H16,J16),1)*20)</f>
        <v/>
      </c>
      <c r="AH16" s="82">
        <f>IF($A16="","",MIN(MAX(0,O16)/3,1)*25)</f>
        <v/>
      </c>
      <c r="AI16" s="82">
        <f>IF($A16="","",IF(OR(W16="부족 예상",W16="무예산",AO16="한도 초과",AO16="초과 예상",AO16="무예산"),25,IF(OR(W16="주의",AO16="주의"),15,0)))</f>
        <v/>
      </c>
      <c r="AJ16" s="35">
        <f>IF($A16="","",SUMIFS(예산판_원본!$O$5:$O$5000,예산판_원본!$L$5:$L$5000,$E16,예산판_원본!$M$5:$M$5000,설정!$C$6,예산판_원본!$N$5:$N$5000,설정!$C$21))</f>
        <v/>
      </c>
      <c r="AK16" s="40">
        <f>IF($A16="","",K16)</f>
        <v/>
      </c>
      <c r="AL16" s="40">
        <f>IF($A16="","",AJ16-AK16)</f>
        <v/>
      </c>
      <c r="AM16" s="35">
        <f>IF($A16="","",AK16+AVERAGE(월별집계!X16:Z16)*MAX(0,설정!$C$22+2-설정!$C$20))</f>
        <v/>
      </c>
      <c r="AN16" s="73">
        <f>IF($A16="","",IF(AJ16=0,0,AM16/AJ16))</f>
        <v/>
      </c>
      <c r="AO16" s="34">
        <f>IF($A16="","",IF(AND(AJ16=0,AK16&gt;0),"무예산",IF(AJ16=0,"-",IF(AK16&gt;AJ16,"한도 초과",IF(AN16&gt;설정!$C$12,"초과 예상",IF(AN16&gt;설정!$C$11,"주의","여유"))))))</f>
        <v/>
      </c>
      <c r="AP16" s="35">
        <f>IF($A16="","",IF(설정!$C$19="최근월",(INDEX(월별집계!$AB16:$AM16,설정!$C$7)-INDEX(월별집계!$AB16:$AM16,MAX(1,설정!$C$7-1))*(설정!$C$7&gt;1)),IF(설정!$C$19="최근분기",((INDEX(월별집계!$AB16:$AM16,설정!$C$7)-INDEX(월별집계!$AB16:$AM16,MAX(1,설정!$C$7-3))*(설정!$C$7&gt;3))/MIN(3,설정!$C$7)),IF(설정!$C$19="전년추세",AZ16,((설정!$C$7+1)*SUMPRODUCT(월별집계!$AB$5:$AM$5,월별집계!$AB16:$AM16)-(설정!$C$7*(설정!$C$7+1)/2)*SUM(월별집계!$AB16:$AM16))/((설정!$C$7+1)*(설정!$C$7*(설정!$C$7+1)*(2*설정!$C$7+1)/6)-(설정!$C$7*(설정!$C$7+1)/2)^2)))))</f>
        <v/>
      </c>
      <c r="AQ16" s="35">
        <f>IF($A16="","",IF(설정!$C$19="연내누적",(SUM(월별집계!$AB16:$AM16)-AP16*(설정!$C$7*(설정!$C$7+1)/2))/(설정!$C$7+1),INDEX(월별집계!$AB16:$AM16,설정!$C$7)-AP16*설정!$C$7))</f>
        <v/>
      </c>
      <c r="AR16" s="40">
        <f>IF($A16="","",AQ16+AP16*12)</f>
        <v/>
      </c>
      <c r="AS16" s="82">
        <f>IF($A16="","",IF(OR(P16&lt;=0,Q16&gt;=P16,AP16&lt;=0),"",MAX(설정!$C$7,(P16-AQ16)/AP16)))</f>
        <v/>
      </c>
      <c r="AT16" s="22">
        <f>IF($A16="","",IF(AS16="",IF(AU16="이미 소진","소진됨",""),YEAR((DATE(설정!$C$6,1,1)+ROUND(AS16*365/12,0)-1))&amp;"-"&amp;TEXT(MONTH((DATE(설정!$C$6,1,1)+ROUND(AS16*365/12,0)-1)),"00")&amp;"-"&amp;TEXT(DAY((DATE(설정!$C$6,1,1)+ROUND(AS16*365/12,0)-1)),"00")))</f>
        <v/>
      </c>
      <c r="AU16" s="34">
        <f>IF($A16="","",IF(AND(P16&lt;=0,Q16&gt;0),"무예산",IF(P16&lt;=0,"-",IF(Q16&gt;=P16,"이미 소진",IF(AP16&lt;=0,"소진 안 됨",IF(AS16&lt;=12,"연내 고갈","연내 여유"))))))</f>
        <v/>
      </c>
      <c r="AV16" s="34">
        <f>IF($A16="","",IF(AJ16&lt;=0,"",IF(AK16&gt;=AJ16,"한도 소진",IF(AK16&lt;=0,"",IF(AJ16/(AK16/(설정!$C$20-설정!$C$22+1))&gt;3,"분기 내 여유",YEAR((DATE(설정!$C$6,설정!$C$22-설정!$C$6*12,1)+ROUND(MAX((설정!$C$20-설정!$C$22+1),AJ16/(AK16/(설정!$C$20-설정!$C$22+1)))*365/12,0)-1))&amp;"-"&amp;TEXT(MONTH((DATE(설정!$C$6,설정!$C$22-설정!$C$6*12,1)+ROUND(MAX((설정!$C$20-설정!$C$22+1),AJ16/(AK16/(설정!$C$20-설정!$C$22+1)))*365/12,0)-1)),"00")&amp;"-"&amp;TEXT(DAY((DATE(설정!$C$6,설정!$C$22-설정!$C$6*12,1)+ROUND(MAX((설정!$C$20-설정!$C$22+1),AJ16/(AK16/(설정!$C$20-설정!$C$22+1)))*365/12,0)-1)),"00"))))))</f>
        <v/>
      </c>
      <c r="AW16" s="41">
        <f>IF($A16="",999+ROW()/1000000,IF(AU16="이미 소진",ROW()/1000000,IF(AU16="연내 고갈",AS16+ROW()/1000000,99+ROW()/1000000)))</f>
        <v/>
      </c>
      <c r="AX16" s="35">
        <f>IF($A16="","",SUMIFS(월별집계!$C16:$Z16,월별집계!$C$5:$Z$5,"&gt;="&amp;((설정!$C$6-1)*12+1),월별집계!$C$5:$Z$5,"&lt;="&amp;(설정!$C$20-12)))</f>
        <v/>
      </c>
      <c r="AY16" s="80">
        <f>IF($A16="","",IF(AX16&lt;=0,IF(Q16&gt;0,1,0),Q16/AX16-1))</f>
        <v/>
      </c>
      <c r="AZ16" s="35">
        <f>IF($A16="","",SUMIFS(월별집계!$C16:$Z16,월별집계!$C$5:$Z$5,"&gt;"&amp;(설정!$C$20-12),월별집계!$C$5:$Z$5,"&lt;="&amp;((설정!$C$6-1)*12+12))/MAX(1,12-설정!$C$7))</f>
        <v/>
      </c>
    </row>
    <row r="17">
      <c r="A17" s="12" t="inlineStr">
        <is>
          <t>D200</t>
        </is>
      </c>
      <c r="B17" s="26">
        <f>IF($A17="","",IFERROR(INDEX(부서매핑!$D$5:$D$504,MATCH($A17,부서매핑!$C$5:$C$504,0)),"부서매핑 없음"))</f>
        <v/>
      </c>
      <c r="C17" s="79" t="inlineStr">
        <is>
          <t>62201000</t>
        </is>
      </c>
      <c r="D17" s="26">
        <f>IF($A17="","",IFERROR(INDEX(계정매핑!$B$5:$B$504,MATCH($C17&amp;"",계정매핑!$A$5:$A$504,0)),"계정매핑 없음"))</f>
        <v/>
      </c>
      <c r="E17" s="22">
        <f>IF($A17="","",$A17&amp;"|"&amp;$C17)</f>
        <v/>
      </c>
      <c r="F17" s="35">
        <f>IF($A17="","",월별집계!$Z17)</f>
        <v/>
      </c>
      <c r="G17" s="35">
        <f>IF($A17="","",월별집계!$Y17)</f>
        <v/>
      </c>
      <c r="H17" s="80">
        <f>IF($A17="","",IF(G17&lt;=0,IF(F17&gt;0,1,0),F17/G17-1))</f>
        <v/>
      </c>
      <c r="I17" s="35">
        <f>IF($A17="","",월별집계!$N17)</f>
        <v/>
      </c>
      <c r="J17" s="80">
        <f>IF($A17="","",IF(I17&lt;=0,IF(F17&gt;0,1,0),F17/I17-1))</f>
        <v/>
      </c>
      <c r="K17" s="35">
        <f>IF($A17="","",SUMIFS(월별집계!$C17:$Z17,월별집계!$C$5:$Z$5,"&gt;="&amp;설정!$C$22,월별집계!$C$5:$Z$5,"&lt;="&amp;설정!$C$20))</f>
        <v/>
      </c>
      <c r="L17" s="35">
        <f>IF($A17="","",SUMIFS(월별집계!$C17:$Z17,월별집계!$C$5:$Z$5,"&gt;="&amp;(설정!$C$22-3),월별집계!$C$5:$Z$5,"&lt;="&amp;(설정!$C$20-3)))</f>
        <v/>
      </c>
      <c r="M17" s="80">
        <f>IF($A17="","",IF(L17&lt;=0,IF(K17&gt;0,1,0),K17/L17-1))</f>
        <v/>
      </c>
      <c r="N17" s="40">
        <f>IF($A17="","",MAX(F17-G17,F17-I17))</f>
        <v/>
      </c>
      <c r="O17" s="62">
        <f>IF($A17="","",IFERROR((월별집계!$Z17-AVERAGE(월별집계!N17:Y17))/STDEV(월별집계!N17:Y17),0))</f>
        <v/>
      </c>
      <c r="P17" s="35">
        <f>IF($A17="","",SUMIFS(예산판_원본!$O$5:$O$5000,예산판_원본!$L$5:$L$5000,$E17,예산판_원본!$M$5:$M$5000,설정!$C$6))</f>
        <v/>
      </c>
      <c r="Q17" s="35">
        <f>IF($A17="","",SUMIFS(월별집계!$C17:$Z17,월별집계!$C$5:$Z$5,"&gt;="&amp;(설정!$C$6*12+1),월별집계!$C$5:$Z$5,"&lt;="&amp;설정!$C$20))</f>
        <v/>
      </c>
      <c r="R17" s="40">
        <f>IF($A17="","",P17-Q17)</f>
        <v/>
      </c>
      <c r="S17" s="35">
        <f>IF($A17="","",AVERAGE(월별집계!X17:Z17)*(12-설정!$C$7))</f>
        <v/>
      </c>
      <c r="T17" s="35">
        <f>IF($A17="","",IFERROR(Q17/(SUMIFS(월별집계!$C17:$Z17,월별집계!$C$5:$Z$5,"&gt;="&amp;((설정!$C$6-1)*12+1),월별집계!$C$5:$Z$5,"&lt;="&amp;(설정!$C$20-12))/SUMIFS(월별집계!$C17:$Z17,월별집계!$C$5:$Z$5,"&gt;="&amp;((설정!$C$6-1)*12+1),월별집계!$C$5:$Z$5,"&lt;="&amp;((설정!$C$6-1)*12+12)))-Q17,S17))</f>
        <v/>
      </c>
      <c r="U17" s="40">
        <f>IF($A17="","",Q17+MAX(S17,T17))</f>
        <v/>
      </c>
      <c r="V17" s="73">
        <f>IF($A17="","",IF(P17=0,0,U17/P17))</f>
        <v/>
      </c>
      <c r="W17" s="34">
        <f>IF($A17="","",IF(AND(P17=0,Q17&gt;0),"무예산",IF(P17=0,"-",IF(V17&gt;설정!$C$12,"부족 예상",IF(V17&gt;설정!$C$11,"주의","여유")))))</f>
        <v/>
      </c>
      <c r="X17" s="40">
        <f>IF($A17="","",IF(P17=0,0,MAX(0,U17-P17)))</f>
        <v/>
      </c>
      <c r="Y17" s="34">
        <f>IF($A17="","",IF(OR(W17&lt;&gt;"부족 예상",설정!$C$7=12),"",IF(R17&lt;=0,"이미 초과",MIN(12,설정!$C$7+ROUNDUP(R17/(MAX(S17,T17)/(12-설정!$C$7)),0))&amp;"월")))</f>
        <v/>
      </c>
      <c r="Z17" s="26">
        <f>IF($A17="","",TRIM(IF(AND(N(AC17)&gt;=설정!$C$14,N17&gt;=설정!$C$10),"단건"&amp;TEXT(MIN(AC17,1),"0%")&amp;" ","")&amp;IF(AND(N17&gt;0,AD17&gt;0),IF(AD17/N17&gt;=설정!$C$16,"SA대체 ",""),"")&amp;IF(AE17&gt;0,"역분개"&amp;AE17&amp;"건 ","")&amp;IF(O17&gt;=설정!$C$13,"이상치 ","")&amp;IF(AND(I17=0,F17&gt;0),"신규지출 ","")))</f>
        <v/>
      </c>
      <c r="AA17" s="62">
        <f>IF($A17="","",ROUND((AF17+AG17+AH17+AI17)*IF(AND(F17&lt;설정!$C$10,N17&lt;설정!$C$10),0.3,1),1))</f>
        <v/>
      </c>
      <c r="AB17" s="41">
        <f>IF($A17="","",AA17+ROW()/1000000)</f>
        <v/>
      </c>
      <c r="AC17" s="60">
        <f>IF(OR($A17="",N17&lt;=0),"",SUMPRODUCT(MAX((전표_원본!$O$5:$O$100000=$E17)*(전표_원본!$M$5:$M$100000=설정!$C$20)*전표_원본!$P$5:$P$100000))/N17)</f>
        <v/>
      </c>
      <c r="AD17" s="35">
        <f>IF($A17="","",SUMIFS(전표_원본!$P$5:$P$100000,전표_원본!$O$5:$O$100000,$E17,전표_원본!$M$5:$M$100000,설정!$C$20,전표_원본!$E$5:$E$100000,"SA")-SUMIFS(전표_원본!$P$5:$P$100000,전표_원본!$O$5:$O$100000,$E17,전표_원본!$M$5:$M$100000,설정!$C$20-1,전표_원본!$E$5:$E$100000,"SA"))</f>
        <v/>
      </c>
      <c r="AE17" s="81">
        <f>IF($A17="","",COUNTIFS(전표_원본!$O$5:$O$100000,$E17,전표_원본!$M$5:$M$100000,설정!$C$20,전표_원본!$P$5:$P$100000,"&lt;0"))</f>
        <v/>
      </c>
      <c r="AF17" s="62">
        <f>IF($A17="","",MIN(MAX(0,N17)/(설정!$C$10*5),1)*30)</f>
        <v/>
      </c>
      <c r="AG17" s="82">
        <f>IF($A17="","",MIN(MAX(0,H17,J17),1)*20)</f>
        <v/>
      </c>
      <c r="AH17" s="82">
        <f>IF($A17="","",MIN(MAX(0,O17)/3,1)*25)</f>
        <v/>
      </c>
      <c r="AI17" s="82">
        <f>IF($A17="","",IF(OR(W17="부족 예상",W17="무예산",AO17="한도 초과",AO17="초과 예상",AO17="무예산"),25,IF(OR(W17="주의",AO17="주의"),15,0)))</f>
        <v/>
      </c>
      <c r="AJ17" s="35">
        <f>IF($A17="","",SUMIFS(예산판_원본!$O$5:$O$5000,예산판_원본!$L$5:$L$5000,$E17,예산판_원본!$M$5:$M$5000,설정!$C$6,예산판_원본!$N$5:$N$5000,설정!$C$21))</f>
        <v/>
      </c>
      <c r="AK17" s="40">
        <f>IF($A17="","",K17)</f>
        <v/>
      </c>
      <c r="AL17" s="40">
        <f>IF($A17="","",AJ17-AK17)</f>
        <v/>
      </c>
      <c r="AM17" s="35">
        <f>IF($A17="","",AK17+AVERAGE(월별집계!X17:Z17)*MAX(0,설정!$C$22+2-설정!$C$20))</f>
        <v/>
      </c>
      <c r="AN17" s="73">
        <f>IF($A17="","",IF(AJ17=0,0,AM17/AJ17))</f>
        <v/>
      </c>
      <c r="AO17" s="34">
        <f>IF($A17="","",IF(AND(AJ17=0,AK17&gt;0),"무예산",IF(AJ17=0,"-",IF(AK17&gt;AJ17,"한도 초과",IF(AN17&gt;설정!$C$12,"초과 예상",IF(AN17&gt;설정!$C$11,"주의","여유"))))))</f>
        <v/>
      </c>
      <c r="AP17" s="35">
        <f>IF($A17="","",IF(설정!$C$19="최근월",(INDEX(월별집계!$AB17:$AM17,설정!$C$7)-INDEX(월별집계!$AB17:$AM17,MAX(1,설정!$C$7-1))*(설정!$C$7&gt;1)),IF(설정!$C$19="최근분기",((INDEX(월별집계!$AB17:$AM17,설정!$C$7)-INDEX(월별집계!$AB17:$AM17,MAX(1,설정!$C$7-3))*(설정!$C$7&gt;3))/MIN(3,설정!$C$7)),IF(설정!$C$19="전년추세",AZ17,((설정!$C$7+1)*SUMPRODUCT(월별집계!$AB$5:$AM$5,월별집계!$AB17:$AM17)-(설정!$C$7*(설정!$C$7+1)/2)*SUM(월별집계!$AB17:$AM17))/((설정!$C$7+1)*(설정!$C$7*(설정!$C$7+1)*(2*설정!$C$7+1)/6)-(설정!$C$7*(설정!$C$7+1)/2)^2)))))</f>
        <v/>
      </c>
      <c r="AQ17" s="35">
        <f>IF($A17="","",IF(설정!$C$19="연내누적",(SUM(월별집계!$AB17:$AM17)-AP17*(설정!$C$7*(설정!$C$7+1)/2))/(설정!$C$7+1),INDEX(월별집계!$AB17:$AM17,설정!$C$7)-AP17*설정!$C$7))</f>
        <v/>
      </c>
      <c r="AR17" s="40">
        <f>IF($A17="","",AQ17+AP17*12)</f>
        <v/>
      </c>
      <c r="AS17" s="82">
        <f>IF($A17="","",IF(OR(P17&lt;=0,Q17&gt;=P17,AP17&lt;=0),"",MAX(설정!$C$7,(P17-AQ17)/AP17)))</f>
        <v/>
      </c>
      <c r="AT17" s="22">
        <f>IF($A17="","",IF(AS17="",IF(AU17="이미 소진","소진됨",""),YEAR((DATE(설정!$C$6,1,1)+ROUND(AS17*365/12,0)-1))&amp;"-"&amp;TEXT(MONTH((DATE(설정!$C$6,1,1)+ROUND(AS17*365/12,0)-1)),"00")&amp;"-"&amp;TEXT(DAY((DATE(설정!$C$6,1,1)+ROUND(AS17*365/12,0)-1)),"00")))</f>
        <v/>
      </c>
      <c r="AU17" s="34">
        <f>IF($A17="","",IF(AND(P17&lt;=0,Q17&gt;0),"무예산",IF(P17&lt;=0,"-",IF(Q17&gt;=P17,"이미 소진",IF(AP17&lt;=0,"소진 안 됨",IF(AS17&lt;=12,"연내 고갈","연내 여유"))))))</f>
        <v/>
      </c>
      <c r="AV17" s="34">
        <f>IF($A17="","",IF(AJ17&lt;=0,"",IF(AK17&gt;=AJ17,"한도 소진",IF(AK17&lt;=0,"",IF(AJ17/(AK17/(설정!$C$20-설정!$C$22+1))&gt;3,"분기 내 여유",YEAR((DATE(설정!$C$6,설정!$C$22-설정!$C$6*12,1)+ROUND(MAX((설정!$C$20-설정!$C$22+1),AJ17/(AK17/(설정!$C$20-설정!$C$22+1)))*365/12,0)-1))&amp;"-"&amp;TEXT(MONTH((DATE(설정!$C$6,설정!$C$22-설정!$C$6*12,1)+ROUND(MAX((설정!$C$20-설정!$C$22+1),AJ17/(AK17/(설정!$C$20-설정!$C$22+1)))*365/12,0)-1)),"00")&amp;"-"&amp;TEXT(DAY((DATE(설정!$C$6,설정!$C$22-설정!$C$6*12,1)+ROUND(MAX((설정!$C$20-설정!$C$22+1),AJ17/(AK17/(설정!$C$20-설정!$C$22+1)))*365/12,0)-1)),"00"))))))</f>
        <v/>
      </c>
      <c r="AW17" s="41">
        <f>IF($A17="",999+ROW()/1000000,IF(AU17="이미 소진",ROW()/1000000,IF(AU17="연내 고갈",AS17+ROW()/1000000,99+ROW()/1000000)))</f>
        <v/>
      </c>
      <c r="AX17" s="35">
        <f>IF($A17="","",SUMIFS(월별집계!$C17:$Z17,월별집계!$C$5:$Z$5,"&gt;="&amp;((설정!$C$6-1)*12+1),월별집계!$C$5:$Z$5,"&lt;="&amp;(설정!$C$20-12)))</f>
        <v/>
      </c>
      <c r="AY17" s="80">
        <f>IF($A17="","",IF(AX17&lt;=0,IF(Q17&gt;0,1,0),Q17/AX17-1))</f>
        <v/>
      </c>
      <c r="AZ17" s="35">
        <f>IF($A17="","",SUMIFS(월별집계!$C17:$Z17,월별집계!$C$5:$Z$5,"&gt;"&amp;(설정!$C$20-12),월별집계!$C$5:$Z$5,"&lt;="&amp;((설정!$C$6-1)*12+12))/MAX(1,12-설정!$C$7))</f>
        <v/>
      </c>
    </row>
    <row r="18">
      <c r="A18" s="12" t="inlineStr">
        <is>
          <t>D200</t>
        </is>
      </c>
      <c r="B18" s="26">
        <f>IF($A18="","",IFERROR(INDEX(부서매핑!$D$5:$D$504,MATCH($A18,부서매핑!$C$5:$C$504,0)),"부서매핑 없음"))</f>
        <v/>
      </c>
      <c r="C18" s="79" t="inlineStr">
        <is>
          <t>62301000</t>
        </is>
      </c>
      <c r="D18" s="26">
        <f>IF($A18="","",IFERROR(INDEX(계정매핑!$B$5:$B$504,MATCH($C18&amp;"",계정매핑!$A$5:$A$504,0)),"계정매핑 없음"))</f>
        <v/>
      </c>
      <c r="E18" s="22">
        <f>IF($A18="","",$A18&amp;"|"&amp;$C18)</f>
        <v/>
      </c>
      <c r="F18" s="35">
        <f>IF($A18="","",월별집계!$Z18)</f>
        <v/>
      </c>
      <c r="G18" s="35">
        <f>IF($A18="","",월별집계!$Y18)</f>
        <v/>
      </c>
      <c r="H18" s="80">
        <f>IF($A18="","",IF(G18&lt;=0,IF(F18&gt;0,1,0),F18/G18-1))</f>
        <v/>
      </c>
      <c r="I18" s="35">
        <f>IF($A18="","",월별집계!$N18)</f>
        <v/>
      </c>
      <c r="J18" s="80">
        <f>IF($A18="","",IF(I18&lt;=0,IF(F18&gt;0,1,0),F18/I18-1))</f>
        <v/>
      </c>
      <c r="K18" s="35">
        <f>IF($A18="","",SUMIFS(월별집계!$C18:$Z18,월별집계!$C$5:$Z$5,"&gt;="&amp;설정!$C$22,월별집계!$C$5:$Z$5,"&lt;="&amp;설정!$C$20))</f>
        <v/>
      </c>
      <c r="L18" s="35">
        <f>IF($A18="","",SUMIFS(월별집계!$C18:$Z18,월별집계!$C$5:$Z$5,"&gt;="&amp;(설정!$C$22-3),월별집계!$C$5:$Z$5,"&lt;="&amp;(설정!$C$20-3)))</f>
        <v/>
      </c>
      <c r="M18" s="80">
        <f>IF($A18="","",IF(L18&lt;=0,IF(K18&gt;0,1,0),K18/L18-1))</f>
        <v/>
      </c>
      <c r="N18" s="40">
        <f>IF($A18="","",MAX(F18-G18,F18-I18))</f>
        <v/>
      </c>
      <c r="O18" s="62">
        <f>IF($A18="","",IFERROR((월별집계!$Z18-AVERAGE(월별집계!N18:Y18))/STDEV(월별집계!N18:Y18),0))</f>
        <v/>
      </c>
      <c r="P18" s="35">
        <f>IF($A18="","",SUMIFS(예산판_원본!$O$5:$O$5000,예산판_원본!$L$5:$L$5000,$E18,예산판_원본!$M$5:$M$5000,설정!$C$6))</f>
        <v/>
      </c>
      <c r="Q18" s="35">
        <f>IF($A18="","",SUMIFS(월별집계!$C18:$Z18,월별집계!$C$5:$Z$5,"&gt;="&amp;(설정!$C$6*12+1),월별집계!$C$5:$Z$5,"&lt;="&amp;설정!$C$20))</f>
        <v/>
      </c>
      <c r="R18" s="40">
        <f>IF($A18="","",P18-Q18)</f>
        <v/>
      </c>
      <c r="S18" s="35">
        <f>IF($A18="","",AVERAGE(월별집계!X18:Z18)*(12-설정!$C$7))</f>
        <v/>
      </c>
      <c r="T18" s="35">
        <f>IF($A18="","",IFERROR(Q18/(SUMIFS(월별집계!$C18:$Z18,월별집계!$C$5:$Z$5,"&gt;="&amp;((설정!$C$6-1)*12+1),월별집계!$C$5:$Z$5,"&lt;="&amp;(설정!$C$20-12))/SUMIFS(월별집계!$C18:$Z18,월별집계!$C$5:$Z$5,"&gt;="&amp;((설정!$C$6-1)*12+1),월별집계!$C$5:$Z$5,"&lt;="&amp;((설정!$C$6-1)*12+12)))-Q18,S18))</f>
        <v/>
      </c>
      <c r="U18" s="40">
        <f>IF($A18="","",Q18+MAX(S18,T18))</f>
        <v/>
      </c>
      <c r="V18" s="73">
        <f>IF($A18="","",IF(P18=0,0,U18/P18))</f>
        <v/>
      </c>
      <c r="W18" s="34">
        <f>IF($A18="","",IF(AND(P18=0,Q18&gt;0),"무예산",IF(P18=0,"-",IF(V18&gt;설정!$C$12,"부족 예상",IF(V18&gt;설정!$C$11,"주의","여유")))))</f>
        <v/>
      </c>
      <c r="X18" s="40">
        <f>IF($A18="","",IF(P18=0,0,MAX(0,U18-P18)))</f>
        <v/>
      </c>
      <c r="Y18" s="34">
        <f>IF($A18="","",IF(OR(W18&lt;&gt;"부족 예상",설정!$C$7=12),"",IF(R18&lt;=0,"이미 초과",MIN(12,설정!$C$7+ROUNDUP(R18/(MAX(S18,T18)/(12-설정!$C$7)),0))&amp;"월")))</f>
        <v/>
      </c>
      <c r="Z18" s="26">
        <f>IF($A18="","",TRIM(IF(AND(N(AC18)&gt;=설정!$C$14,N18&gt;=설정!$C$10),"단건"&amp;TEXT(MIN(AC18,1),"0%")&amp;" ","")&amp;IF(AND(N18&gt;0,AD18&gt;0),IF(AD18/N18&gt;=설정!$C$16,"SA대체 ",""),"")&amp;IF(AE18&gt;0,"역분개"&amp;AE18&amp;"건 ","")&amp;IF(O18&gt;=설정!$C$13,"이상치 ","")&amp;IF(AND(I18=0,F18&gt;0),"신규지출 ","")))</f>
        <v/>
      </c>
      <c r="AA18" s="62">
        <f>IF($A18="","",ROUND((AF18+AG18+AH18+AI18)*IF(AND(F18&lt;설정!$C$10,N18&lt;설정!$C$10),0.3,1),1))</f>
        <v/>
      </c>
      <c r="AB18" s="41">
        <f>IF($A18="","",AA18+ROW()/1000000)</f>
        <v/>
      </c>
      <c r="AC18" s="60">
        <f>IF(OR($A18="",N18&lt;=0),"",SUMPRODUCT(MAX((전표_원본!$O$5:$O$100000=$E18)*(전표_원본!$M$5:$M$100000=설정!$C$20)*전표_원본!$P$5:$P$100000))/N18)</f>
        <v/>
      </c>
      <c r="AD18" s="35">
        <f>IF($A18="","",SUMIFS(전표_원본!$P$5:$P$100000,전표_원본!$O$5:$O$100000,$E18,전표_원본!$M$5:$M$100000,설정!$C$20,전표_원본!$E$5:$E$100000,"SA")-SUMIFS(전표_원본!$P$5:$P$100000,전표_원본!$O$5:$O$100000,$E18,전표_원본!$M$5:$M$100000,설정!$C$20-1,전표_원본!$E$5:$E$100000,"SA"))</f>
        <v/>
      </c>
      <c r="AE18" s="81">
        <f>IF($A18="","",COUNTIFS(전표_원본!$O$5:$O$100000,$E18,전표_원본!$M$5:$M$100000,설정!$C$20,전표_원본!$P$5:$P$100000,"&lt;0"))</f>
        <v/>
      </c>
      <c r="AF18" s="62">
        <f>IF($A18="","",MIN(MAX(0,N18)/(설정!$C$10*5),1)*30)</f>
        <v/>
      </c>
      <c r="AG18" s="82">
        <f>IF($A18="","",MIN(MAX(0,H18,J18),1)*20)</f>
        <v/>
      </c>
      <c r="AH18" s="82">
        <f>IF($A18="","",MIN(MAX(0,O18)/3,1)*25)</f>
        <v/>
      </c>
      <c r="AI18" s="82">
        <f>IF($A18="","",IF(OR(W18="부족 예상",W18="무예산",AO18="한도 초과",AO18="초과 예상",AO18="무예산"),25,IF(OR(W18="주의",AO18="주의"),15,0)))</f>
        <v/>
      </c>
      <c r="AJ18" s="35">
        <f>IF($A18="","",SUMIFS(예산판_원본!$O$5:$O$5000,예산판_원본!$L$5:$L$5000,$E18,예산판_원본!$M$5:$M$5000,설정!$C$6,예산판_원본!$N$5:$N$5000,설정!$C$21))</f>
        <v/>
      </c>
      <c r="AK18" s="40">
        <f>IF($A18="","",K18)</f>
        <v/>
      </c>
      <c r="AL18" s="40">
        <f>IF($A18="","",AJ18-AK18)</f>
        <v/>
      </c>
      <c r="AM18" s="35">
        <f>IF($A18="","",AK18+AVERAGE(월별집계!X18:Z18)*MAX(0,설정!$C$22+2-설정!$C$20))</f>
        <v/>
      </c>
      <c r="AN18" s="73">
        <f>IF($A18="","",IF(AJ18=0,0,AM18/AJ18))</f>
        <v/>
      </c>
      <c r="AO18" s="34">
        <f>IF($A18="","",IF(AND(AJ18=0,AK18&gt;0),"무예산",IF(AJ18=0,"-",IF(AK18&gt;AJ18,"한도 초과",IF(AN18&gt;설정!$C$12,"초과 예상",IF(AN18&gt;설정!$C$11,"주의","여유"))))))</f>
        <v/>
      </c>
      <c r="AP18" s="35">
        <f>IF($A18="","",IF(설정!$C$19="최근월",(INDEX(월별집계!$AB18:$AM18,설정!$C$7)-INDEX(월별집계!$AB18:$AM18,MAX(1,설정!$C$7-1))*(설정!$C$7&gt;1)),IF(설정!$C$19="최근분기",((INDEX(월별집계!$AB18:$AM18,설정!$C$7)-INDEX(월별집계!$AB18:$AM18,MAX(1,설정!$C$7-3))*(설정!$C$7&gt;3))/MIN(3,설정!$C$7)),IF(설정!$C$19="전년추세",AZ18,((설정!$C$7+1)*SUMPRODUCT(월별집계!$AB$5:$AM$5,월별집계!$AB18:$AM18)-(설정!$C$7*(설정!$C$7+1)/2)*SUM(월별집계!$AB18:$AM18))/((설정!$C$7+1)*(설정!$C$7*(설정!$C$7+1)*(2*설정!$C$7+1)/6)-(설정!$C$7*(설정!$C$7+1)/2)^2)))))</f>
        <v/>
      </c>
      <c r="AQ18" s="35">
        <f>IF($A18="","",IF(설정!$C$19="연내누적",(SUM(월별집계!$AB18:$AM18)-AP18*(설정!$C$7*(설정!$C$7+1)/2))/(설정!$C$7+1),INDEX(월별집계!$AB18:$AM18,설정!$C$7)-AP18*설정!$C$7))</f>
        <v/>
      </c>
      <c r="AR18" s="40">
        <f>IF($A18="","",AQ18+AP18*12)</f>
        <v/>
      </c>
      <c r="AS18" s="82">
        <f>IF($A18="","",IF(OR(P18&lt;=0,Q18&gt;=P18,AP18&lt;=0),"",MAX(설정!$C$7,(P18-AQ18)/AP18)))</f>
        <v/>
      </c>
      <c r="AT18" s="22">
        <f>IF($A18="","",IF(AS18="",IF(AU18="이미 소진","소진됨",""),YEAR((DATE(설정!$C$6,1,1)+ROUND(AS18*365/12,0)-1))&amp;"-"&amp;TEXT(MONTH((DATE(설정!$C$6,1,1)+ROUND(AS18*365/12,0)-1)),"00")&amp;"-"&amp;TEXT(DAY((DATE(설정!$C$6,1,1)+ROUND(AS18*365/12,0)-1)),"00")))</f>
        <v/>
      </c>
      <c r="AU18" s="34">
        <f>IF($A18="","",IF(AND(P18&lt;=0,Q18&gt;0),"무예산",IF(P18&lt;=0,"-",IF(Q18&gt;=P18,"이미 소진",IF(AP18&lt;=0,"소진 안 됨",IF(AS18&lt;=12,"연내 고갈","연내 여유"))))))</f>
        <v/>
      </c>
      <c r="AV18" s="34">
        <f>IF($A18="","",IF(AJ18&lt;=0,"",IF(AK18&gt;=AJ18,"한도 소진",IF(AK18&lt;=0,"",IF(AJ18/(AK18/(설정!$C$20-설정!$C$22+1))&gt;3,"분기 내 여유",YEAR((DATE(설정!$C$6,설정!$C$22-설정!$C$6*12,1)+ROUND(MAX((설정!$C$20-설정!$C$22+1),AJ18/(AK18/(설정!$C$20-설정!$C$22+1)))*365/12,0)-1))&amp;"-"&amp;TEXT(MONTH((DATE(설정!$C$6,설정!$C$22-설정!$C$6*12,1)+ROUND(MAX((설정!$C$20-설정!$C$22+1),AJ18/(AK18/(설정!$C$20-설정!$C$22+1)))*365/12,0)-1)),"00")&amp;"-"&amp;TEXT(DAY((DATE(설정!$C$6,설정!$C$22-설정!$C$6*12,1)+ROUND(MAX((설정!$C$20-설정!$C$22+1),AJ18/(AK18/(설정!$C$20-설정!$C$22+1)))*365/12,0)-1)),"00"))))))</f>
        <v/>
      </c>
      <c r="AW18" s="41">
        <f>IF($A18="",999+ROW()/1000000,IF(AU18="이미 소진",ROW()/1000000,IF(AU18="연내 고갈",AS18+ROW()/1000000,99+ROW()/1000000)))</f>
        <v/>
      </c>
      <c r="AX18" s="35">
        <f>IF($A18="","",SUMIFS(월별집계!$C18:$Z18,월별집계!$C$5:$Z$5,"&gt;="&amp;((설정!$C$6-1)*12+1),월별집계!$C$5:$Z$5,"&lt;="&amp;(설정!$C$20-12)))</f>
        <v/>
      </c>
      <c r="AY18" s="80">
        <f>IF($A18="","",IF(AX18&lt;=0,IF(Q18&gt;0,1,0),Q18/AX18-1))</f>
        <v/>
      </c>
      <c r="AZ18" s="35">
        <f>IF($A18="","",SUMIFS(월별집계!$C18:$Z18,월별집계!$C$5:$Z$5,"&gt;"&amp;(설정!$C$20-12),월별집계!$C$5:$Z$5,"&lt;="&amp;((설정!$C$6-1)*12+12))/MAX(1,12-설정!$C$7))</f>
        <v/>
      </c>
    </row>
    <row r="19">
      <c r="A19" s="12" t="inlineStr">
        <is>
          <t>D200</t>
        </is>
      </c>
      <c r="B19" s="26">
        <f>IF($A19="","",IFERROR(INDEX(부서매핑!$D$5:$D$504,MATCH($A19,부서매핑!$C$5:$C$504,0)),"부서매핑 없음"))</f>
        <v/>
      </c>
      <c r="C19" s="79" t="inlineStr">
        <is>
          <t>62501000</t>
        </is>
      </c>
      <c r="D19" s="26">
        <f>IF($A19="","",IFERROR(INDEX(계정매핑!$B$5:$B$504,MATCH($C19&amp;"",계정매핑!$A$5:$A$504,0)),"계정매핑 없음"))</f>
        <v/>
      </c>
      <c r="E19" s="22">
        <f>IF($A19="","",$A19&amp;"|"&amp;$C19)</f>
        <v/>
      </c>
      <c r="F19" s="35">
        <f>IF($A19="","",월별집계!$Z19)</f>
        <v/>
      </c>
      <c r="G19" s="35">
        <f>IF($A19="","",월별집계!$Y19)</f>
        <v/>
      </c>
      <c r="H19" s="80">
        <f>IF($A19="","",IF(G19&lt;=0,IF(F19&gt;0,1,0),F19/G19-1))</f>
        <v/>
      </c>
      <c r="I19" s="35">
        <f>IF($A19="","",월별집계!$N19)</f>
        <v/>
      </c>
      <c r="J19" s="80">
        <f>IF($A19="","",IF(I19&lt;=0,IF(F19&gt;0,1,0),F19/I19-1))</f>
        <v/>
      </c>
      <c r="K19" s="35">
        <f>IF($A19="","",SUMIFS(월별집계!$C19:$Z19,월별집계!$C$5:$Z$5,"&gt;="&amp;설정!$C$22,월별집계!$C$5:$Z$5,"&lt;="&amp;설정!$C$20))</f>
        <v/>
      </c>
      <c r="L19" s="35">
        <f>IF($A19="","",SUMIFS(월별집계!$C19:$Z19,월별집계!$C$5:$Z$5,"&gt;="&amp;(설정!$C$22-3),월별집계!$C$5:$Z$5,"&lt;="&amp;(설정!$C$20-3)))</f>
        <v/>
      </c>
      <c r="M19" s="80">
        <f>IF($A19="","",IF(L19&lt;=0,IF(K19&gt;0,1,0),K19/L19-1))</f>
        <v/>
      </c>
      <c r="N19" s="40">
        <f>IF($A19="","",MAX(F19-G19,F19-I19))</f>
        <v/>
      </c>
      <c r="O19" s="62">
        <f>IF($A19="","",IFERROR((월별집계!$Z19-AVERAGE(월별집계!N19:Y19))/STDEV(월별집계!N19:Y19),0))</f>
        <v/>
      </c>
      <c r="P19" s="35">
        <f>IF($A19="","",SUMIFS(예산판_원본!$O$5:$O$5000,예산판_원본!$L$5:$L$5000,$E19,예산판_원본!$M$5:$M$5000,설정!$C$6))</f>
        <v/>
      </c>
      <c r="Q19" s="35">
        <f>IF($A19="","",SUMIFS(월별집계!$C19:$Z19,월별집계!$C$5:$Z$5,"&gt;="&amp;(설정!$C$6*12+1),월별집계!$C$5:$Z$5,"&lt;="&amp;설정!$C$20))</f>
        <v/>
      </c>
      <c r="R19" s="40">
        <f>IF($A19="","",P19-Q19)</f>
        <v/>
      </c>
      <c r="S19" s="35">
        <f>IF($A19="","",AVERAGE(월별집계!X19:Z19)*(12-설정!$C$7))</f>
        <v/>
      </c>
      <c r="T19" s="35">
        <f>IF($A19="","",IFERROR(Q19/(SUMIFS(월별집계!$C19:$Z19,월별집계!$C$5:$Z$5,"&gt;="&amp;((설정!$C$6-1)*12+1),월별집계!$C$5:$Z$5,"&lt;="&amp;(설정!$C$20-12))/SUMIFS(월별집계!$C19:$Z19,월별집계!$C$5:$Z$5,"&gt;="&amp;((설정!$C$6-1)*12+1),월별집계!$C$5:$Z$5,"&lt;="&amp;((설정!$C$6-1)*12+12)))-Q19,S19))</f>
        <v/>
      </c>
      <c r="U19" s="40">
        <f>IF($A19="","",Q19+MAX(S19,T19))</f>
        <v/>
      </c>
      <c r="V19" s="73">
        <f>IF($A19="","",IF(P19=0,0,U19/P19))</f>
        <v/>
      </c>
      <c r="W19" s="34">
        <f>IF($A19="","",IF(AND(P19=0,Q19&gt;0),"무예산",IF(P19=0,"-",IF(V19&gt;설정!$C$12,"부족 예상",IF(V19&gt;설정!$C$11,"주의","여유")))))</f>
        <v/>
      </c>
      <c r="X19" s="40">
        <f>IF($A19="","",IF(P19=0,0,MAX(0,U19-P19)))</f>
        <v/>
      </c>
      <c r="Y19" s="34">
        <f>IF($A19="","",IF(OR(W19&lt;&gt;"부족 예상",설정!$C$7=12),"",IF(R19&lt;=0,"이미 초과",MIN(12,설정!$C$7+ROUNDUP(R19/(MAX(S19,T19)/(12-설정!$C$7)),0))&amp;"월")))</f>
        <v/>
      </c>
      <c r="Z19" s="26">
        <f>IF($A19="","",TRIM(IF(AND(N(AC19)&gt;=설정!$C$14,N19&gt;=설정!$C$10),"단건"&amp;TEXT(MIN(AC19,1),"0%")&amp;" ","")&amp;IF(AND(N19&gt;0,AD19&gt;0),IF(AD19/N19&gt;=설정!$C$16,"SA대체 ",""),"")&amp;IF(AE19&gt;0,"역분개"&amp;AE19&amp;"건 ","")&amp;IF(O19&gt;=설정!$C$13,"이상치 ","")&amp;IF(AND(I19=0,F19&gt;0),"신규지출 ","")))</f>
        <v/>
      </c>
      <c r="AA19" s="62">
        <f>IF($A19="","",ROUND((AF19+AG19+AH19+AI19)*IF(AND(F19&lt;설정!$C$10,N19&lt;설정!$C$10),0.3,1),1))</f>
        <v/>
      </c>
      <c r="AB19" s="41">
        <f>IF($A19="","",AA19+ROW()/1000000)</f>
        <v/>
      </c>
      <c r="AC19" s="60">
        <f>IF(OR($A19="",N19&lt;=0),"",SUMPRODUCT(MAX((전표_원본!$O$5:$O$100000=$E19)*(전표_원본!$M$5:$M$100000=설정!$C$20)*전표_원본!$P$5:$P$100000))/N19)</f>
        <v/>
      </c>
      <c r="AD19" s="35">
        <f>IF($A19="","",SUMIFS(전표_원본!$P$5:$P$100000,전표_원본!$O$5:$O$100000,$E19,전표_원본!$M$5:$M$100000,설정!$C$20,전표_원본!$E$5:$E$100000,"SA")-SUMIFS(전표_원본!$P$5:$P$100000,전표_원본!$O$5:$O$100000,$E19,전표_원본!$M$5:$M$100000,설정!$C$20-1,전표_원본!$E$5:$E$100000,"SA"))</f>
        <v/>
      </c>
      <c r="AE19" s="81">
        <f>IF($A19="","",COUNTIFS(전표_원본!$O$5:$O$100000,$E19,전표_원본!$M$5:$M$100000,설정!$C$20,전표_원본!$P$5:$P$100000,"&lt;0"))</f>
        <v/>
      </c>
      <c r="AF19" s="62">
        <f>IF($A19="","",MIN(MAX(0,N19)/(설정!$C$10*5),1)*30)</f>
        <v/>
      </c>
      <c r="AG19" s="82">
        <f>IF($A19="","",MIN(MAX(0,H19,J19),1)*20)</f>
        <v/>
      </c>
      <c r="AH19" s="82">
        <f>IF($A19="","",MIN(MAX(0,O19)/3,1)*25)</f>
        <v/>
      </c>
      <c r="AI19" s="82">
        <f>IF($A19="","",IF(OR(W19="부족 예상",W19="무예산",AO19="한도 초과",AO19="초과 예상",AO19="무예산"),25,IF(OR(W19="주의",AO19="주의"),15,0)))</f>
        <v/>
      </c>
      <c r="AJ19" s="35">
        <f>IF($A19="","",SUMIFS(예산판_원본!$O$5:$O$5000,예산판_원본!$L$5:$L$5000,$E19,예산판_원본!$M$5:$M$5000,설정!$C$6,예산판_원본!$N$5:$N$5000,설정!$C$21))</f>
        <v/>
      </c>
      <c r="AK19" s="40">
        <f>IF($A19="","",K19)</f>
        <v/>
      </c>
      <c r="AL19" s="40">
        <f>IF($A19="","",AJ19-AK19)</f>
        <v/>
      </c>
      <c r="AM19" s="35">
        <f>IF($A19="","",AK19+AVERAGE(월별집계!X19:Z19)*MAX(0,설정!$C$22+2-설정!$C$20))</f>
        <v/>
      </c>
      <c r="AN19" s="73">
        <f>IF($A19="","",IF(AJ19=0,0,AM19/AJ19))</f>
        <v/>
      </c>
      <c r="AO19" s="34">
        <f>IF($A19="","",IF(AND(AJ19=0,AK19&gt;0),"무예산",IF(AJ19=0,"-",IF(AK19&gt;AJ19,"한도 초과",IF(AN19&gt;설정!$C$12,"초과 예상",IF(AN19&gt;설정!$C$11,"주의","여유"))))))</f>
        <v/>
      </c>
      <c r="AP19" s="35">
        <f>IF($A19="","",IF(설정!$C$19="최근월",(INDEX(월별집계!$AB19:$AM19,설정!$C$7)-INDEX(월별집계!$AB19:$AM19,MAX(1,설정!$C$7-1))*(설정!$C$7&gt;1)),IF(설정!$C$19="최근분기",((INDEX(월별집계!$AB19:$AM19,설정!$C$7)-INDEX(월별집계!$AB19:$AM19,MAX(1,설정!$C$7-3))*(설정!$C$7&gt;3))/MIN(3,설정!$C$7)),IF(설정!$C$19="전년추세",AZ19,((설정!$C$7+1)*SUMPRODUCT(월별집계!$AB$5:$AM$5,월별집계!$AB19:$AM19)-(설정!$C$7*(설정!$C$7+1)/2)*SUM(월별집계!$AB19:$AM19))/((설정!$C$7+1)*(설정!$C$7*(설정!$C$7+1)*(2*설정!$C$7+1)/6)-(설정!$C$7*(설정!$C$7+1)/2)^2)))))</f>
        <v/>
      </c>
      <c r="AQ19" s="35">
        <f>IF($A19="","",IF(설정!$C$19="연내누적",(SUM(월별집계!$AB19:$AM19)-AP19*(설정!$C$7*(설정!$C$7+1)/2))/(설정!$C$7+1),INDEX(월별집계!$AB19:$AM19,설정!$C$7)-AP19*설정!$C$7))</f>
        <v/>
      </c>
      <c r="AR19" s="40">
        <f>IF($A19="","",AQ19+AP19*12)</f>
        <v/>
      </c>
      <c r="AS19" s="82">
        <f>IF($A19="","",IF(OR(P19&lt;=0,Q19&gt;=P19,AP19&lt;=0),"",MAX(설정!$C$7,(P19-AQ19)/AP19)))</f>
        <v/>
      </c>
      <c r="AT19" s="22">
        <f>IF($A19="","",IF(AS19="",IF(AU19="이미 소진","소진됨",""),YEAR((DATE(설정!$C$6,1,1)+ROUND(AS19*365/12,0)-1))&amp;"-"&amp;TEXT(MONTH((DATE(설정!$C$6,1,1)+ROUND(AS19*365/12,0)-1)),"00")&amp;"-"&amp;TEXT(DAY((DATE(설정!$C$6,1,1)+ROUND(AS19*365/12,0)-1)),"00")))</f>
        <v/>
      </c>
      <c r="AU19" s="34">
        <f>IF($A19="","",IF(AND(P19&lt;=0,Q19&gt;0),"무예산",IF(P19&lt;=0,"-",IF(Q19&gt;=P19,"이미 소진",IF(AP19&lt;=0,"소진 안 됨",IF(AS19&lt;=12,"연내 고갈","연내 여유"))))))</f>
        <v/>
      </c>
      <c r="AV19" s="34">
        <f>IF($A19="","",IF(AJ19&lt;=0,"",IF(AK19&gt;=AJ19,"한도 소진",IF(AK19&lt;=0,"",IF(AJ19/(AK19/(설정!$C$20-설정!$C$22+1))&gt;3,"분기 내 여유",YEAR((DATE(설정!$C$6,설정!$C$22-설정!$C$6*12,1)+ROUND(MAX((설정!$C$20-설정!$C$22+1),AJ19/(AK19/(설정!$C$20-설정!$C$22+1)))*365/12,0)-1))&amp;"-"&amp;TEXT(MONTH((DATE(설정!$C$6,설정!$C$22-설정!$C$6*12,1)+ROUND(MAX((설정!$C$20-설정!$C$22+1),AJ19/(AK19/(설정!$C$20-설정!$C$22+1)))*365/12,0)-1)),"00")&amp;"-"&amp;TEXT(DAY((DATE(설정!$C$6,설정!$C$22-설정!$C$6*12,1)+ROUND(MAX((설정!$C$20-설정!$C$22+1),AJ19/(AK19/(설정!$C$20-설정!$C$22+1)))*365/12,0)-1)),"00"))))))</f>
        <v/>
      </c>
      <c r="AW19" s="41">
        <f>IF($A19="",999+ROW()/1000000,IF(AU19="이미 소진",ROW()/1000000,IF(AU19="연내 고갈",AS19+ROW()/1000000,99+ROW()/1000000)))</f>
        <v/>
      </c>
      <c r="AX19" s="35">
        <f>IF($A19="","",SUMIFS(월별집계!$C19:$Z19,월별집계!$C$5:$Z$5,"&gt;="&amp;((설정!$C$6-1)*12+1),월별집계!$C$5:$Z$5,"&lt;="&amp;(설정!$C$20-12)))</f>
        <v/>
      </c>
      <c r="AY19" s="80">
        <f>IF($A19="","",IF(AX19&lt;=0,IF(Q19&gt;0,1,0),Q19/AX19-1))</f>
        <v/>
      </c>
      <c r="AZ19" s="35">
        <f>IF($A19="","",SUMIFS(월별집계!$C19:$Z19,월별집계!$C$5:$Z$5,"&gt;"&amp;(설정!$C$20-12),월별집계!$C$5:$Z$5,"&lt;="&amp;((설정!$C$6-1)*12+12))/MAX(1,12-설정!$C$7))</f>
        <v/>
      </c>
    </row>
    <row r="20">
      <c r="A20" s="12" t="inlineStr">
        <is>
          <t>D200</t>
        </is>
      </c>
      <c r="B20" s="26">
        <f>IF($A20="","",IFERROR(INDEX(부서매핑!$D$5:$D$504,MATCH($A20,부서매핑!$C$5:$C$504,0)),"부서매핑 없음"))</f>
        <v/>
      </c>
      <c r="C20" s="79" t="inlineStr">
        <is>
          <t>62901000</t>
        </is>
      </c>
      <c r="D20" s="26">
        <f>IF($A20="","",IFERROR(INDEX(계정매핑!$B$5:$B$504,MATCH($C20&amp;"",계정매핑!$A$5:$A$504,0)),"계정매핑 없음"))</f>
        <v/>
      </c>
      <c r="E20" s="22">
        <f>IF($A20="","",$A20&amp;"|"&amp;$C20)</f>
        <v/>
      </c>
      <c r="F20" s="35">
        <f>IF($A20="","",월별집계!$Z20)</f>
        <v/>
      </c>
      <c r="G20" s="35">
        <f>IF($A20="","",월별집계!$Y20)</f>
        <v/>
      </c>
      <c r="H20" s="80">
        <f>IF($A20="","",IF(G20&lt;=0,IF(F20&gt;0,1,0),F20/G20-1))</f>
        <v/>
      </c>
      <c r="I20" s="35">
        <f>IF($A20="","",월별집계!$N20)</f>
        <v/>
      </c>
      <c r="J20" s="80">
        <f>IF($A20="","",IF(I20&lt;=0,IF(F20&gt;0,1,0),F20/I20-1))</f>
        <v/>
      </c>
      <c r="K20" s="35">
        <f>IF($A20="","",SUMIFS(월별집계!$C20:$Z20,월별집계!$C$5:$Z$5,"&gt;="&amp;설정!$C$22,월별집계!$C$5:$Z$5,"&lt;="&amp;설정!$C$20))</f>
        <v/>
      </c>
      <c r="L20" s="35">
        <f>IF($A20="","",SUMIFS(월별집계!$C20:$Z20,월별집계!$C$5:$Z$5,"&gt;="&amp;(설정!$C$22-3),월별집계!$C$5:$Z$5,"&lt;="&amp;(설정!$C$20-3)))</f>
        <v/>
      </c>
      <c r="M20" s="80">
        <f>IF($A20="","",IF(L20&lt;=0,IF(K20&gt;0,1,0),K20/L20-1))</f>
        <v/>
      </c>
      <c r="N20" s="40">
        <f>IF($A20="","",MAX(F20-G20,F20-I20))</f>
        <v/>
      </c>
      <c r="O20" s="62">
        <f>IF($A20="","",IFERROR((월별집계!$Z20-AVERAGE(월별집계!N20:Y20))/STDEV(월별집계!N20:Y20),0))</f>
        <v/>
      </c>
      <c r="P20" s="35">
        <f>IF($A20="","",SUMIFS(예산판_원본!$O$5:$O$5000,예산판_원본!$L$5:$L$5000,$E20,예산판_원본!$M$5:$M$5000,설정!$C$6))</f>
        <v/>
      </c>
      <c r="Q20" s="35">
        <f>IF($A20="","",SUMIFS(월별집계!$C20:$Z20,월별집계!$C$5:$Z$5,"&gt;="&amp;(설정!$C$6*12+1),월별집계!$C$5:$Z$5,"&lt;="&amp;설정!$C$20))</f>
        <v/>
      </c>
      <c r="R20" s="40">
        <f>IF($A20="","",P20-Q20)</f>
        <v/>
      </c>
      <c r="S20" s="35">
        <f>IF($A20="","",AVERAGE(월별집계!X20:Z20)*(12-설정!$C$7))</f>
        <v/>
      </c>
      <c r="T20" s="35">
        <f>IF($A20="","",IFERROR(Q20/(SUMIFS(월별집계!$C20:$Z20,월별집계!$C$5:$Z$5,"&gt;="&amp;((설정!$C$6-1)*12+1),월별집계!$C$5:$Z$5,"&lt;="&amp;(설정!$C$20-12))/SUMIFS(월별집계!$C20:$Z20,월별집계!$C$5:$Z$5,"&gt;="&amp;((설정!$C$6-1)*12+1),월별집계!$C$5:$Z$5,"&lt;="&amp;((설정!$C$6-1)*12+12)))-Q20,S20))</f>
        <v/>
      </c>
      <c r="U20" s="40">
        <f>IF($A20="","",Q20+MAX(S20,T20))</f>
        <v/>
      </c>
      <c r="V20" s="73">
        <f>IF($A20="","",IF(P20=0,0,U20/P20))</f>
        <v/>
      </c>
      <c r="W20" s="34">
        <f>IF($A20="","",IF(AND(P20=0,Q20&gt;0),"무예산",IF(P20=0,"-",IF(V20&gt;설정!$C$12,"부족 예상",IF(V20&gt;설정!$C$11,"주의","여유")))))</f>
        <v/>
      </c>
      <c r="X20" s="40">
        <f>IF($A20="","",IF(P20=0,0,MAX(0,U20-P20)))</f>
        <v/>
      </c>
      <c r="Y20" s="34">
        <f>IF($A20="","",IF(OR(W20&lt;&gt;"부족 예상",설정!$C$7=12),"",IF(R20&lt;=0,"이미 초과",MIN(12,설정!$C$7+ROUNDUP(R20/(MAX(S20,T20)/(12-설정!$C$7)),0))&amp;"월")))</f>
        <v/>
      </c>
      <c r="Z20" s="26">
        <f>IF($A20="","",TRIM(IF(AND(N(AC20)&gt;=설정!$C$14,N20&gt;=설정!$C$10),"단건"&amp;TEXT(MIN(AC20,1),"0%")&amp;" ","")&amp;IF(AND(N20&gt;0,AD20&gt;0),IF(AD20/N20&gt;=설정!$C$16,"SA대체 ",""),"")&amp;IF(AE20&gt;0,"역분개"&amp;AE20&amp;"건 ","")&amp;IF(O20&gt;=설정!$C$13,"이상치 ","")&amp;IF(AND(I20=0,F20&gt;0),"신규지출 ","")))</f>
        <v/>
      </c>
      <c r="AA20" s="62">
        <f>IF($A20="","",ROUND((AF20+AG20+AH20+AI20)*IF(AND(F20&lt;설정!$C$10,N20&lt;설정!$C$10),0.3,1),1))</f>
        <v/>
      </c>
      <c r="AB20" s="41">
        <f>IF($A20="","",AA20+ROW()/1000000)</f>
        <v/>
      </c>
      <c r="AC20" s="60">
        <f>IF(OR($A20="",N20&lt;=0),"",SUMPRODUCT(MAX((전표_원본!$O$5:$O$100000=$E20)*(전표_원본!$M$5:$M$100000=설정!$C$20)*전표_원본!$P$5:$P$100000))/N20)</f>
        <v/>
      </c>
      <c r="AD20" s="35">
        <f>IF($A20="","",SUMIFS(전표_원본!$P$5:$P$100000,전표_원본!$O$5:$O$100000,$E20,전표_원본!$M$5:$M$100000,설정!$C$20,전표_원본!$E$5:$E$100000,"SA")-SUMIFS(전표_원본!$P$5:$P$100000,전표_원본!$O$5:$O$100000,$E20,전표_원본!$M$5:$M$100000,설정!$C$20-1,전표_원본!$E$5:$E$100000,"SA"))</f>
        <v/>
      </c>
      <c r="AE20" s="81">
        <f>IF($A20="","",COUNTIFS(전표_원본!$O$5:$O$100000,$E20,전표_원본!$M$5:$M$100000,설정!$C$20,전표_원본!$P$5:$P$100000,"&lt;0"))</f>
        <v/>
      </c>
      <c r="AF20" s="62">
        <f>IF($A20="","",MIN(MAX(0,N20)/(설정!$C$10*5),1)*30)</f>
        <v/>
      </c>
      <c r="AG20" s="82">
        <f>IF($A20="","",MIN(MAX(0,H20,J20),1)*20)</f>
        <v/>
      </c>
      <c r="AH20" s="82">
        <f>IF($A20="","",MIN(MAX(0,O20)/3,1)*25)</f>
        <v/>
      </c>
      <c r="AI20" s="82">
        <f>IF($A20="","",IF(OR(W20="부족 예상",W20="무예산",AO20="한도 초과",AO20="초과 예상",AO20="무예산"),25,IF(OR(W20="주의",AO20="주의"),15,0)))</f>
        <v/>
      </c>
      <c r="AJ20" s="35">
        <f>IF($A20="","",SUMIFS(예산판_원본!$O$5:$O$5000,예산판_원본!$L$5:$L$5000,$E20,예산판_원본!$M$5:$M$5000,설정!$C$6,예산판_원본!$N$5:$N$5000,설정!$C$21))</f>
        <v/>
      </c>
      <c r="AK20" s="40">
        <f>IF($A20="","",K20)</f>
        <v/>
      </c>
      <c r="AL20" s="40">
        <f>IF($A20="","",AJ20-AK20)</f>
        <v/>
      </c>
      <c r="AM20" s="35">
        <f>IF($A20="","",AK20+AVERAGE(월별집계!X20:Z20)*MAX(0,설정!$C$22+2-설정!$C$20))</f>
        <v/>
      </c>
      <c r="AN20" s="73">
        <f>IF($A20="","",IF(AJ20=0,0,AM20/AJ20))</f>
        <v/>
      </c>
      <c r="AO20" s="34">
        <f>IF($A20="","",IF(AND(AJ20=0,AK20&gt;0),"무예산",IF(AJ20=0,"-",IF(AK20&gt;AJ20,"한도 초과",IF(AN20&gt;설정!$C$12,"초과 예상",IF(AN20&gt;설정!$C$11,"주의","여유"))))))</f>
        <v/>
      </c>
      <c r="AP20" s="35">
        <f>IF($A20="","",IF(설정!$C$19="최근월",(INDEX(월별집계!$AB20:$AM20,설정!$C$7)-INDEX(월별집계!$AB20:$AM20,MAX(1,설정!$C$7-1))*(설정!$C$7&gt;1)),IF(설정!$C$19="최근분기",((INDEX(월별집계!$AB20:$AM20,설정!$C$7)-INDEX(월별집계!$AB20:$AM20,MAX(1,설정!$C$7-3))*(설정!$C$7&gt;3))/MIN(3,설정!$C$7)),IF(설정!$C$19="전년추세",AZ20,((설정!$C$7+1)*SUMPRODUCT(월별집계!$AB$5:$AM$5,월별집계!$AB20:$AM20)-(설정!$C$7*(설정!$C$7+1)/2)*SUM(월별집계!$AB20:$AM20))/((설정!$C$7+1)*(설정!$C$7*(설정!$C$7+1)*(2*설정!$C$7+1)/6)-(설정!$C$7*(설정!$C$7+1)/2)^2)))))</f>
        <v/>
      </c>
      <c r="AQ20" s="35">
        <f>IF($A20="","",IF(설정!$C$19="연내누적",(SUM(월별집계!$AB20:$AM20)-AP20*(설정!$C$7*(설정!$C$7+1)/2))/(설정!$C$7+1),INDEX(월별집계!$AB20:$AM20,설정!$C$7)-AP20*설정!$C$7))</f>
        <v/>
      </c>
      <c r="AR20" s="40">
        <f>IF($A20="","",AQ20+AP20*12)</f>
        <v/>
      </c>
      <c r="AS20" s="82">
        <f>IF($A20="","",IF(OR(P20&lt;=0,Q20&gt;=P20,AP20&lt;=0),"",MAX(설정!$C$7,(P20-AQ20)/AP20)))</f>
        <v/>
      </c>
      <c r="AT20" s="22">
        <f>IF($A20="","",IF(AS20="",IF(AU20="이미 소진","소진됨",""),YEAR((DATE(설정!$C$6,1,1)+ROUND(AS20*365/12,0)-1))&amp;"-"&amp;TEXT(MONTH((DATE(설정!$C$6,1,1)+ROUND(AS20*365/12,0)-1)),"00")&amp;"-"&amp;TEXT(DAY((DATE(설정!$C$6,1,1)+ROUND(AS20*365/12,0)-1)),"00")))</f>
        <v/>
      </c>
      <c r="AU20" s="34">
        <f>IF($A20="","",IF(AND(P20&lt;=0,Q20&gt;0),"무예산",IF(P20&lt;=0,"-",IF(Q20&gt;=P20,"이미 소진",IF(AP20&lt;=0,"소진 안 됨",IF(AS20&lt;=12,"연내 고갈","연내 여유"))))))</f>
        <v/>
      </c>
      <c r="AV20" s="34">
        <f>IF($A20="","",IF(AJ20&lt;=0,"",IF(AK20&gt;=AJ20,"한도 소진",IF(AK20&lt;=0,"",IF(AJ20/(AK20/(설정!$C$20-설정!$C$22+1))&gt;3,"분기 내 여유",YEAR((DATE(설정!$C$6,설정!$C$22-설정!$C$6*12,1)+ROUND(MAX((설정!$C$20-설정!$C$22+1),AJ20/(AK20/(설정!$C$20-설정!$C$22+1)))*365/12,0)-1))&amp;"-"&amp;TEXT(MONTH((DATE(설정!$C$6,설정!$C$22-설정!$C$6*12,1)+ROUND(MAX((설정!$C$20-설정!$C$22+1),AJ20/(AK20/(설정!$C$20-설정!$C$22+1)))*365/12,0)-1)),"00")&amp;"-"&amp;TEXT(DAY((DATE(설정!$C$6,설정!$C$22-설정!$C$6*12,1)+ROUND(MAX((설정!$C$20-설정!$C$22+1),AJ20/(AK20/(설정!$C$20-설정!$C$22+1)))*365/12,0)-1)),"00"))))))</f>
        <v/>
      </c>
      <c r="AW20" s="41">
        <f>IF($A20="",999+ROW()/1000000,IF(AU20="이미 소진",ROW()/1000000,IF(AU20="연내 고갈",AS20+ROW()/1000000,99+ROW()/1000000)))</f>
        <v/>
      </c>
      <c r="AX20" s="35">
        <f>IF($A20="","",SUMIFS(월별집계!$C20:$Z20,월별집계!$C$5:$Z$5,"&gt;="&amp;((설정!$C$6-1)*12+1),월별집계!$C$5:$Z$5,"&lt;="&amp;(설정!$C$20-12)))</f>
        <v/>
      </c>
      <c r="AY20" s="80">
        <f>IF($A20="","",IF(AX20&lt;=0,IF(Q20&gt;0,1,0),Q20/AX20-1))</f>
        <v/>
      </c>
      <c r="AZ20" s="35">
        <f>IF($A20="","",SUMIFS(월별집계!$C20:$Z20,월별집계!$C$5:$Z$5,"&gt;"&amp;(설정!$C$20-12),월별집계!$C$5:$Z$5,"&lt;="&amp;((설정!$C$6-1)*12+12))/MAX(1,12-설정!$C$7))</f>
        <v/>
      </c>
    </row>
    <row r="21">
      <c r="A21" s="12" t="inlineStr">
        <is>
          <t>D200</t>
        </is>
      </c>
      <c r="B21" s="26">
        <f>IF($A21="","",IFERROR(INDEX(부서매핑!$D$5:$D$504,MATCH($A21,부서매핑!$C$5:$C$504,0)),"부서매핑 없음"))</f>
        <v/>
      </c>
      <c r="C21" s="79" t="inlineStr">
        <is>
          <t>62902000</t>
        </is>
      </c>
      <c r="D21" s="26">
        <f>IF($A21="","",IFERROR(INDEX(계정매핑!$B$5:$B$504,MATCH($C21&amp;"",계정매핑!$A$5:$A$504,0)),"계정매핑 없음"))</f>
        <v/>
      </c>
      <c r="E21" s="22">
        <f>IF($A21="","",$A21&amp;"|"&amp;$C21)</f>
        <v/>
      </c>
      <c r="F21" s="35">
        <f>IF($A21="","",월별집계!$Z21)</f>
        <v/>
      </c>
      <c r="G21" s="35">
        <f>IF($A21="","",월별집계!$Y21)</f>
        <v/>
      </c>
      <c r="H21" s="80">
        <f>IF($A21="","",IF(G21&lt;=0,IF(F21&gt;0,1,0),F21/G21-1))</f>
        <v/>
      </c>
      <c r="I21" s="35">
        <f>IF($A21="","",월별집계!$N21)</f>
        <v/>
      </c>
      <c r="J21" s="80">
        <f>IF($A21="","",IF(I21&lt;=0,IF(F21&gt;0,1,0),F21/I21-1))</f>
        <v/>
      </c>
      <c r="K21" s="35">
        <f>IF($A21="","",SUMIFS(월별집계!$C21:$Z21,월별집계!$C$5:$Z$5,"&gt;="&amp;설정!$C$22,월별집계!$C$5:$Z$5,"&lt;="&amp;설정!$C$20))</f>
        <v/>
      </c>
      <c r="L21" s="35">
        <f>IF($A21="","",SUMIFS(월별집계!$C21:$Z21,월별집계!$C$5:$Z$5,"&gt;="&amp;(설정!$C$22-3),월별집계!$C$5:$Z$5,"&lt;="&amp;(설정!$C$20-3)))</f>
        <v/>
      </c>
      <c r="M21" s="80">
        <f>IF($A21="","",IF(L21&lt;=0,IF(K21&gt;0,1,0),K21/L21-1))</f>
        <v/>
      </c>
      <c r="N21" s="40">
        <f>IF($A21="","",MAX(F21-G21,F21-I21))</f>
        <v/>
      </c>
      <c r="O21" s="62">
        <f>IF($A21="","",IFERROR((월별집계!$Z21-AVERAGE(월별집계!N21:Y21))/STDEV(월별집계!N21:Y21),0))</f>
        <v/>
      </c>
      <c r="P21" s="35">
        <f>IF($A21="","",SUMIFS(예산판_원본!$O$5:$O$5000,예산판_원본!$L$5:$L$5000,$E21,예산판_원본!$M$5:$M$5000,설정!$C$6))</f>
        <v/>
      </c>
      <c r="Q21" s="35">
        <f>IF($A21="","",SUMIFS(월별집계!$C21:$Z21,월별집계!$C$5:$Z$5,"&gt;="&amp;(설정!$C$6*12+1),월별집계!$C$5:$Z$5,"&lt;="&amp;설정!$C$20))</f>
        <v/>
      </c>
      <c r="R21" s="40">
        <f>IF($A21="","",P21-Q21)</f>
        <v/>
      </c>
      <c r="S21" s="35">
        <f>IF($A21="","",AVERAGE(월별집계!X21:Z21)*(12-설정!$C$7))</f>
        <v/>
      </c>
      <c r="T21" s="35">
        <f>IF($A21="","",IFERROR(Q21/(SUMIFS(월별집계!$C21:$Z21,월별집계!$C$5:$Z$5,"&gt;="&amp;((설정!$C$6-1)*12+1),월별집계!$C$5:$Z$5,"&lt;="&amp;(설정!$C$20-12))/SUMIFS(월별집계!$C21:$Z21,월별집계!$C$5:$Z$5,"&gt;="&amp;((설정!$C$6-1)*12+1),월별집계!$C$5:$Z$5,"&lt;="&amp;((설정!$C$6-1)*12+12)))-Q21,S21))</f>
        <v/>
      </c>
      <c r="U21" s="40">
        <f>IF($A21="","",Q21+MAX(S21,T21))</f>
        <v/>
      </c>
      <c r="V21" s="73">
        <f>IF($A21="","",IF(P21=0,0,U21/P21))</f>
        <v/>
      </c>
      <c r="W21" s="34">
        <f>IF($A21="","",IF(AND(P21=0,Q21&gt;0),"무예산",IF(P21=0,"-",IF(V21&gt;설정!$C$12,"부족 예상",IF(V21&gt;설정!$C$11,"주의","여유")))))</f>
        <v/>
      </c>
      <c r="X21" s="40">
        <f>IF($A21="","",IF(P21=0,0,MAX(0,U21-P21)))</f>
        <v/>
      </c>
      <c r="Y21" s="34">
        <f>IF($A21="","",IF(OR(W21&lt;&gt;"부족 예상",설정!$C$7=12),"",IF(R21&lt;=0,"이미 초과",MIN(12,설정!$C$7+ROUNDUP(R21/(MAX(S21,T21)/(12-설정!$C$7)),0))&amp;"월")))</f>
        <v/>
      </c>
      <c r="Z21" s="26">
        <f>IF($A21="","",TRIM(IF(AND(N(AC21)&gt;=설정!$C$14,N21&gt;=설정!$C$10),"단건"&amp;TEXT(MIN(AC21,1),"0%")&amp;" ","")&amp;IF(AND(N21&gt;0,AD21&gt;0),IF(AD21/N21&gt;=설정!$C$16,"SA대체 ",""),"")&amp;IF(AE21&gt;0,"역분개"&amp;AE21&amp;"건 ","")&amp;IF(O21&gt;=설정!$C$13,"이상치 ","")&amp;IF(AND(I21=0,F21&gt;0),"신규지출 ","")))</f>
        <v/>
      </c>
      <c r="AA21" s="62">
        <f>IF($A21="","",ROUND((AF21+AG21+AH21+AI21)*IF(AND(F21&lt;설정!$C$10,N21&lt;설정!$C$10),0.3,1),1))</f>
        <v/>
      </c>
      <c r="AB21" s="41">
        <f>IF($A21="","",AA21+ROW()/1000000)</f>
        <v/>
      </c>
      <c r="AC21" s="60">
        <f>IF(OR($A21="",N21&lt;=0),"",SUMPRODUCT(MAX((전표_원본!$O$5:$O$100000=$E21)*(전표_원본!$M$5:$M$100000=설정!$C$20)*전표_원본!$P$5:$P$100000))/N21)</f>
        <v/>
      </c>
      <c r="AD21" s="35">
        <f>IF($A21="","",SUMIFS(전표_원본!$P$5:$P$100000,전표_원본!$O$5:$O$100000,$E21,전표_원본!$M$5:$M$100000,설정!$C$20,전표_원본!$E$5:$E$100000,"SA")-SUMIFS(전표_원본!$P$5:$P$100000,전표_원본!$O$5:$O$100000,$E21,전표_원본!$M$5:$M$100000,설정!$C$20-1,전표_원본!$E$5:$E$100000,"SA"))</f>
        <v/>
      </c>
      <c r="AE21" s="81">
        <f>IF($A21="","",COUNTIFS(전표_원본!$O$5:$O$100000,$E21,전표_원본!$M$5:$M$100000,설정!$C$20,전표_원본!$P$5:$P$100000,"&lt;0"))</f>
        <v/>
      </c>
      <c r="AF21" s="62">
        <f>IF($A21="","",MIN(MAX(0,N21)/(설정!$C$10*5),1)*30)</f>
        <v/>
      </c>
      <c r="AG21" s="82">
        <f>IF($A21="","",MIN(MAX(0,H21,J21),1)*20)</f>
        <v/>
      </c>
      <c r="AH21" s="82">
        <f>IF($A21="","",MIN(MAX(0,O21)/3,1)*25)</f>
        <v/>
      </c>
      <c r="AI21" s="82">
        <f>IF($A21="","",IF(OR(W21="부족 예상",W21="무예산",AO21="한도 초과",AO21="초과 예상",AO21="무예산"),25,IF(OR(W21="주의",AO21="주의"),15,0)))</f>
        <v/>
      </c>
      <c r="AJ21" s="35">
        <f>IF($A21="","",SUMIFS(예산판_원본!$O$5:$O$5000,예산판_원본!$L$5:$L$5000,$E21,예산판_원본!$M$5:$M$5000,설정!$C$6,예산판_원본!$N$5:$N$5000,설정!$C$21))</f>
        <v/>
      </c>
      <c r="AK21" s="40">
        <f>IF($A21="","",K21)</f>
        <v/>
      </c>
      <c r="AL21" s="40">
        <f>IF($A21="","",AJ21-AK21)</f>
        <v/>
      </c>
      <c r="AM21" s="35">
        <f>IF($A21="","",AK21+AVERAGE(월별집계!X21:Z21)*MAX(0,설정!$C$22+2-설정!$C$20))</f>
        <v/>
      </c>
      <c r="AN21" s="73">
        <f>IF($A21="","",IF(AJ21=0,0,AM21/AJ21))</f>
        <v/>
      </c>
      <c r="AO21" s="34">
        <f>IF($A21="","",IF(AND(AJ21=0,AK21&gt;0),"무예산",IF(AJ21=0,"-",IF(AK21&gt;AJ21,"한도 초과",IF(AN21&gt;설정!$C$12,"초과 예상",IF(AN21&gt;설정!$C$11,"주의","여유"))))))</f>
        <v/>
      </c>
      <c r="AP21" s="35">
        <f>IF($A21="","",IF(설정!$C$19="최근월",(INDEX(월별집계!$AB21:$AM21,설정!$C$7)-INDEX(월별집계!$AB21:$AM21,MAX(1,설정!$C$7-1))*(설정!$C$7&gt;1)),IF(설정!$C$19="최근분기",((INDEX(월별집계!$AB21:$AM21,설정!$C$7)-INDEX(월별집계!$AB21:$AM21,MAX(1,설정!$C$7-3))*(설정!$C$7&gt;3))/MIN(3,설정!$C$7)),IF(설정!$C$19="전년추세",AZ21,((설정!$C$7+1)*SUMPRODUCT(월별집계!$AB$5:$AM$5,월별집계!$AB21:$AM21)-(설정!$C$7*(설정!$C$7+1)/2)*SUM(월별집계!$AB21:$AM21))/((설정!$C$7+1)*(설정!$C$7*(설정!$C$7+1)*(2*설정!$C$7+1)/6)-(설정!$C$7*(설정!$C$7+1)/2)^2)))))</f>
        <v/>
      </c>
      <c r="AQ21" s="35">
        <f>IF($A21="","",IF(설정!$C$19="연내누적",(SUM(월별집계!$AB21:$AM21)-AP21*(설정!$C$7*(설정!$C$7+1)/2))/(설정!$C$7+1),INDEX(월별집계!$AB21:$AM21,설정!$C$7)-AP21*설정!$C$7))</f>
        <v/>
      </c>
      <c r="AR21" s="40">
        <f>IF($A21="","",AQ21+AP21*12)</f>
        <v/>
      </c>
      <c r="AS21" s="82">
        <f>IF($A21="","",IF(OR(P21&lt;=0,Q21&gt;=P21,AP21&lt;=0),"",MAX(설정!$C$7,(P21-AQ21)/AP21)))</f>
        <v/>
      </c>
      <c r="AT21" s="22">
        <f>IF($A21="","",IF(AS21="",IF(AU21="이미 소진","소진됨",""),YEAR((DATE(설정!$C$6,1,1)+ROUND(AS21*365/12,0)-1))&amp;"-"&amp;TEXT(MONTH((DATE(설정!$C$6,1,1)+ROUND(AS21*365/12,0)-1)),"00")&amp;"-"&amp;TEXT(DAY((DATE(설정!$C$6,1,1)+ROUND(AS21*365/12,0)-1)),"00")))</f>
        <v/>
      </c>
      <c r="AU21" s="34">
        <f>IF($A21="","",IF(AND(P21&lt;=0,Q21&gt;0),"무예산",IF(P21&lt;=0,"-",IF(Q21&gt;=P21,"이미 소진",IF(AP21&lt;=0,"소진 안 됨",IF(AS21&lt;=12,"연내 고갈","연내 여유"))))))</f>
        <v/>
      </c>
      <c r="AV21" s="34">
        <f>IF($A21="","",IF(AJ21&lt;=0,"",IF(AK21&gt;=AJ21,"한도 소진",IF(AK21&lt;=0,"",IF(AJ21/(AK21/(설정!$C$20-설정!$C$22+1))&gt;3,"분기 내 여유",YEAR((DATE(설정!$C$6,설정!$C$22-설정!$C$6*12,1)+ROUND(MAX((설정!$C$20-설정!$C$22+1),AJ21/(AK21/(설정!$C$20-설정!$C$22+1)))*365/12,0)-1))&amp;"-"&amp;TEXT(MONTH((DATE(설정!$C$6,설정!$C$22-설정!$C$6*12,1)+ROUND(MAX((설정!$C$20-설정!$C$22+1),AJ21/(AK21/(설정!$C$20-설정!$C$22+1)))*365/12,0)-1)),"00")&amp;"-"&amp;TEXT(DAY((DATE(설정!$C$6,설정!$C$22-설정!$C$6*12,1)+ROUND(MAX((설정!$C$20-설정!$C$22+1),AJ21/(AK21/(설정!$C$20-설정!$C$22+1)))*365/12,0)-1)),"00"))))))</f>
        <v/>
      </c>
      <c r="AW21" s="41">
        <f>IF($A21="",999+ROW()/1000000,IF(AU21="이미 소진",ROW()/1000000,IF(AU21="연내 고갈",AS21+ROW()/1000000,99+ROW()/1000000)))</f>
        <v/>
      </c>
      <c r="AX21" s="35">
        <f>IF($A21="","",SUMIFS(월별집계!$C21:$Z21,월별집계!$C$5:$Z$5,"&gt;="&amp;((설정!$C$6-1)*12+1),월별집계!$C$5:$Z$5,"&lt;="&amp;(설정!$C$20-12)))</f>
        <v/>
      </c>
      <c r="AY21" s="80">
        <f>IF($A21="","",IF(AX21&lt;=0,IF(Q21&gt;0,1,0),Q21/AX21-1))</f>
        <v/>
      </c>
      <c r="AZ21" s="35">
        <f>IF($A21="","",SUMIFS(월별집계!$C21:$Z21,월별집계!$C$5:$Z$5,"&gt;"&amp;(설정!$C$20-12),월별집계!$C$5:$Z$5,"&lt;="&amp;((설정!$C$6-1)*12+12))/MAX(1,12-설정!$C$7))</f>
        <v/>
      </c>
    </row>
    <row r="22">
      <c r="A22" s="12" t="inlineStr">
        <is>
          <t>D300</t>
        </is>
      </c>
      <c r="B22" s="26">
        <f>IF($A22="","",IFERROR(INDEX(부서매핑!$D$5:$D$504,MATCH($A22,부서매핑!$C$5:$C$504,0)),"부서매핑 없음"))</f>
        <v/>
      </c>
      <c r="C22" s="79" t="inlineStr">
        <is>
          <t>62101000</t>
        </is>
      </c>
      <c r="D22" s="26">
        <f>IF($A22="","",IFERROR(INDEX(계정매핑!$B$5:$B$504,MATCH($C22&amp;"",계정매핑!$A$5:$A$504,0)),"계정매핑 없음"))</f>
        <v/>
      </c>
      <c r="E22" s="22">
        <f>IF($A22="","",$A22&amp;"|"&amp;$C22)</f>
        <v/>
      </c>
      <c r="F22" s="35">
        <f>IF($A22="","",월별집계!$Z22)</f>
        <v/>
      </c>
      <c r="G22" s="35">
        <f>IF($A22="","",월별집계!$Y22)</f>
        <v/>
      </c>
      <c r="H22" s="80">
        <f>IF($A22="","",IF(G22&lt;=0,IF(F22&gt;0,1,0),F22/G22-1))</f>
        <v/>
      </c>
      <c r="I22" s="35">
        <f>IF($A22="","",월별집계!$N22)</f>
        <v/>
      </c>
      <c r="J22" s="80">
        <f>IF($A22="","",IF(I22&lt;=0,IF(F22&gt;0,1,0),F22/I22-1))</f>
        <v/>
      </c>
      <c r="K22" s="35">
        <f>IF($A22="","",SUMIFS(월별집계!$C22:$Z22,월별집계!$C$5:$Z$5,"&gt;="&amp;설정!$C$22,월별집계!$C$5:$Z$5,"&lt;="&amp;설정!$C$20))</f>
        <v/>
      </c>
      <c r="L22" s="35">
        <f>IF($A22="","",SUMIFS(월별집계!$C22:$Z22,월별집계!$C$5:$Z$5,"&gt;="&amp;(설정!$C$22-3),월별집계!$C$5:$Z$5,"&lt;="&amp;(설정!$C$20-3)))</f>
        <v/>
      </c>
      <c r="M22" s="80">
        <f>IF($A22="","",IF(L22&lt;=0,IF(K22&gt;0,1,0),K22/L22-1))</f>
        <v/>
      </c>
      <c r="N22" s="40">
        <f>IF($A22="","",MAX(F22-G22,F22-I22))</f>
        <v/>
      </c>
      <c r="O22" s="62">
        <f>IF($A22="","",IFERROR((월별집계!$Z22-AVERAGE(월별집계!N22:Y22))/STDEV(월별집계!N22:Y22),0))</f>
        <v/>
      </c>
      <c r="P22" s="35">
        <f>IF($A22="","",SUMIFS(예산판_원본!$O$5:$O$5000,예산판_원본!$L$5:$L$5000,$E22,예산판_원본!$M$5:$M$5000,설정!$C$6))</f>
        <v/>
      </c>
      <c r="Q22" s="35">
        <f>IF($A22="","",SUMIFS(월별집계!$C22:$Z22,월별집계!$C$5:$Z$5,"&gt;="&amp;(설정!$C$6*12+1),월별집계!$C$5:$Z$5,"&lt;="&amp;설정!$C$20))</f>
        <v/>
      </c>
      <c r="R22" s="40">
        <f>IF($A22="","",P22-Q22)</f>
        <v/>
      </c>
      <c r="S22" s="35">
        <f>IF($A22="","",AVERAGE(월별집계!X22:Z22)*(12-설정!$C$7))</f>
        <v/>
      </c>
      <c r="T22" s="35">
        <f>IF($A22="","",IFERROR(Q22/(SUMIFS(월별집계!$C22:$Z22,월별집계!$C$5:$Z$5,"&gt;="&amp;((설정!$C$6-1)*12+1),월별집계!$C$5:$Z$5,"&lt;="&amp;(설정!$C$20-12))/SUMIFS(월별집계!$C22:$Z22,월별집계!$C$5:$Z$5,"&gt;="&amp;((설정!$C$6-1)*12+1),월별집계!$C$5:$Z$5,"&lt;="&amp;((설정!$C$6-1)*12+12)))-Q22,S22))</f>
        <v/>
      </c>
      <c r="U22" s="40">
        <f>IF($A22="","",Q22+MAX(S22,T22))</f>
        <v/>
      </c>
      <c r="V22" s="73">
        <f>IF($A22="","",IF(P22=0,0,U22/P22))</f>
        <v/>
      </c>
      <c r="W22" s="34">
        <f>IF($A22="","",IF(AND(P22=0,Q22&gt;0),"무예산",IF(P22=0,"-",IF(V22&gt;설정!$C$12,"부족 예상",IF(V22&gt;설정!$C$11,"주의","여유")))))</f>
        <v/>
      </c>
      <c r="X22" s="40">
        <f>IF($A22="","",IF(P22=0,0,MAX(0,U22-P22)))</f>
        <v/>
      </c>
      <c r="Y22" s="34">
        <f>IF($A22="","",IF(OR(W22&lt;&gt;"부족 예상",설정!$C$7=12),"",IF(R22&lt;=0,"이미 초과",MIN(12,설정!$C$7+ROUNDUP(R22/(MAX(S22,T22)/(12-설정!$C$7)),0))&amp;"월")))</f>
        <v/>
      </c>
      <c r="Z22" s="26">
        <f>IF($A22="","",TRIM(IF(AND(N(AC22)&gt;=설정!$C$14,N22&gt;=설정!$C$10),"단건"&amp;TEXT(MIN(AC22,1),"0%")&amp;" ","")&amp;IF(AND(N22&gt;0,AD22&gt;0),IF(AD22/N22&gt;=설정!$C$16,"SA대체 ",""),"")&amp;IF(AE22&gt;0,"역분개"&amp;AE22&amp;"건 ","")&amp;IF(O22&gt;=설정!$C$13,"이상치 ","")&amp;IF(AND(I22=0,F22&gt;0),"신규지출 ","")))</f>
        <v/>
      </c>
      <c r="AA22" s="62">
        <f>IF($A22="","",ROUND((AF22+AG22+AH22+AI22)*IF(AND(F22&lt;설정!$C$10,N22&lt;설정!$C$10),0.3,1),1))</f>
        <v/>
      </c>
      <c r="AB22" s="41">
        <f>IF($A22="","",AA22+ROW()/1000000)</f>
        <v/>
      </c>
      <c r="AC22" s="60">
        <f>IF(OR($A22="",N22&lt;=0),"",SUMPRODUCT(MAX((전표_원본!$O$5:$O$100000=$E22)*(전표_원본!$M$5:$M$100000=설정!$C$20)*전표_원본!$P$5:$P$100000))/N22)</f>
        <v/>
      </c>
      <c r="AD22" s="35">
        <f>IF($A22="","",SUMIFS(전표_원본!$P$5:$P$100000,전표_원본!$O$5:$O$100000,$E22,전표_원본!$M$5:$M$100000,설정!$C$20,전표_원본!$E$5:$E$100000,"SA")-SUMIFS(전표_원본!$P$5:$P$100000,전표_원본!$O$5:$O$100000,$E22,전표_원본!$M$5:$M$100000,설정!$C$20-1,전표_원본!$E$5:$E$100000,"SA"))</f>
        <v/>
      </c>
      <c r="AE22" s="81">
        <f>IF($A22="","",COUNTIFS(전표_원본!$O$5:$O$100000,$E22,전표_원본!$M$5:$M$100000,설정!$C$20,전표_원본!$P$5:$P$100000,"&lt;0"))</f>
        <v/>
      </c>
      <c r="AF22" s="62">
        <f>IF($A22="","",MIN(MAX(0,N22)/(설정!$C$10*5),1)*30)</f>
        <v/>
      </c>
      <c r="AG22" s="82">
        <f>IF($A22="","",MIN(MAX(0,H22,J22),1)*20)</f>
        <v/>
      </c>
      <c r="AH22" s="82">
        <f>IF($A22="","",MIN(MAX(0,O22)/3,1)*25)</f>
        <v/>
      </c>
      <c r="AI22" s="82">
        <f>IF($A22="","",IF(OR(W22="부족 예상",W22="무예산",AO22="한도 초과",AO22="초과 예상",AO22="무예산"),25,IF(OR(W22="주의",AO22="주의"),15,0)))</f>
        <v/>
      </c>
      <c r="AJ22" s="35">
        <f>IF($A22="","",SUMIFS(예산판_원본!$O$5:$O$5000,예산판_원본!$L$5:$L$5000,$E22,예산판_원본!$M$5:$M$5000,설정!$C$6,예산판_원본!$N$5:$N$5000,설정!$C$21))</f>
        <v/>
      </c>
      <c r="AK22" s="40">
        <f>IF($A22="","",K22)</f>
        <v/>
      </c>
      <c r="AL22" s="40">
        <f>IF($A22="","",AJ22-AK22)</f>
        <v/>
      </c>
      <c r="AM22" s="35">
        <f>IF($A22="","",AK22+AVERAGE(월별집계!X22:Z22)*MAX(0,설정!$C$22+2-설정!$C$20))</f>
        <v/>
      </c>
      <c r="AN22" s="73">
        <f>IF($A22="","",IF(AJ22=0,0,AM22/AJ22))</f>
        <v/>
      </c>
      <c r="AO22" s="34">
        <f>IF($A22="","",IF(AND(AJ22=0,AK22&gt;0),"무예산",IF(AJ22=0,"-",IF(AK22&gt;AJ22,"한도 초과",IF(AN22&gt;설정!$C$12,"초과 예상",IF(AN22&gt;설정!$C$11,"주의","여유"))))))</f>
        <v/>
      </c>
      <c r="AP22" s="35">
        <f>IF($A22="","",IF(설정!$C$19="최근월",(INDEX(월별집계!$AB22:$AM22,설정!$C$7)-INDEX(월별집계!$AB22:$AM22,MAX(1,설정!$C$7-1))*(설정!$C$7&gt;1)),IF(설정!$C$19="최근분기",((INDEX(월별집계!$AB22:$AM22,설정!$C$7)-INDEX(월별집계!$AB22:$AM22,MAX(1,설정!$C$7-3))*(설정!$C$7&gt;3))/MIN(3,설정!$C$7)),IF(설정!$C$19="전년추세",AZ22,((설정!$C$7+1)*SUMPRODUCT(월별집계!$AB$5:$AM$5,월별집계!$AB22:$AM22)-(설정!$C$7*(설정!$C$7+1)/2)*SUM(월별집계!$AB22:$AM22))/((설정!$C$7+1)*(설정!$C$7*(설정!$C$7+1)*(2*설정!$C$7+1)/6)-(설정!$C$7*(설정!$C$7+1)/2)^2)))))</f>
        <v/>
      </c>
      <c r="AQ22" s="35">
        <f>IF($A22="","",IF(설정!$C$19="연내누적",(SUM(월별집계!$AB22:$AM22)-AP22*(설정!$C$7*(설정!$C$7+1)/2))/(설정!$C$7+1),INDEX(월별집계!$AB22:$AM22,설정!$C$7)-AP22*설정!$C$7))</f>
        <v/>
      </c>
      <c r="AR22" s="40">
        <f>IF($A22="","",AQ22+AP22*12)</f>
        <v/>
      </c>
      <c r="AS22" s="82">
        <f>IF($A22="","",IF(OR(P22&lt;=0,Q22&gt;=P22,AP22&lt;=0),"",MAX(설정!$C$7,(P22-AQ22)/AP22)))</f>
        <v/>
      </c>
      <c r="AT22" s="22">
        <f>IF($A22="","",IF(AS22="",IF(AU22="이미 소진","소진됨",""),YEAR((DATE(설정!$C$6,1,1)+ROUND(AS22*365/12,0)-1))&amp;"-"&amp;TEXT(MONTH((DATE(설정!$C$6,1,1)+ROUND(AS22*365/12,0)-1)),"00")&amp;"-"&amp;TEXT(DAY((DATE(설정!$C$6,1,1)+ROUND(AS22*365/12,0)-1)),"00")))</f>
        <v/>
      </c>
      <c r="AU22" s="34">
        <f>IF($A22="","",IF(AND(P22&lt;=0,Q22&gt;0),"무예산",IF(P22&lt;=0,"-",IF(Q22&gt;=P22,"이미 소진",IF(AP22&lt;=0,"소진 안 됨",IF(AS22&lt;=12,"연내 고갈","연내 여유"))))))</f>
        <v/>
      </c>
      <c r="AV22" s="34">
        <f>IF($A22="","",IF(AJ22&lt;=0,"",IF(AK22&gt;=AJ22,"한도 소진",IF(AK22&lt;=0,"",IF(AJ22/(AK22/(설정!$C$20-설정!$C$22+1))&gt;3,"분기 내 여유",YEAR((DATE(설정!$C$6,설정!$C$22-설정!$C$6*12,1)+ROUND(MAX((설정!$C$20-설정!$C$22+1),AJ22/(AK22/(설정!$C$20-설정!$C$22+1)))*365/12,0)-1))&amp;"-"&amp;TEXT(MONTH((DATE(설정!$C$6,설정!$C$22-설정!$C$6*12,1)+ROUND(MAX((설정!$C$20-설정!$C$22+1),AJ22/(AK22/(설정!$C$20-설정!$C$22+1)))*365/12,0)-1)),"00")&amp;"-"&amp;TEXT(DAY((DATE(설정!$C$6,설정!$C$22-설정!$C$6*12,1)+ROUND(MAX((설정!$C$20-설정!$C$22+1),AJ22/(AK22/(설정!$C$20-설정!$C$22+1)))*365/12,0)-1)),"00"))))))</f>
        <v/>
      </c>
      <c r="AW22" s="41">
        <f>IF($A22="",999+ROW()/1000000,IF(AU22="이미 소진",ROW()/1000000,IF(AU22="연내 고갈",AS22+ROW()/1000000,99+ROW()/1000000)))</f>
        <v/>
      </c>
      <c r="AX22" s="35">
        <f>IF($A22="","",SUMIFS(월별집계!$C22:$Z22,월별집계!$C$5:$Z$5,"&gt;="&amp;((설정!$C$6-1)*12+1),월별집계!$C$5:$Z$5,"&lt;="&amp;(설정!$C$20-12)))</f>
        <v/>
      </c>
      <c r="AY22" s="80">
        <f>IF($A22="","",IF(AX22&lt;=0,IF(Q22&gt;0,1,0),Q22/AX22-1))</f>
        <v/>
      </c>
      <c r="AZ22" s="35">
        <f>IF($A22="","",SUMIFS(월별집계!$C22:$Z22,월별집계!$C$5:$Z$5,"&gt;"&amp;(설정!$C$20-12),월별집계!$C$5:$Z$5,"&lt;="&amp;((설정!$C$6-1)*12+12))/MAX(1,12-설정!$C$7))</f>
        <v/>
      </c>
    </row>
    <row r="23">
      <c r="A23" s="12" t="inlineStr">
        <is>
          <t>D300</t>
        </is>
      </c>
      <c r="B23" s="26">
        <f>IF($A23="","",IFERROR(INDEX(부서매핑!$D$5:$D$504,MATCH($A23,부서매핑!$C$5:$C$504,0)),"부서매핑 없음"))</f>
        <v/>
      </c>
      <c r="C23" s="79" t="inlineStr">
        <is>
          <t>62102000</t>
        </is>
      </c>
      <c r="D23" s="26">
        <f>IF($A23="","",IFERROR(INDEX(계정매핑!$B$5:$B$504,MATCH($C23&amp;"",계정매핑!$A$5:$A$504,0)),"계정매핑 없음"))</f>
        <v/>
      </c>
      <c r="E23" s="22">
        <f>IF($A23="","",$A23&amp;"|"&amp;$C23)</f>
        <v/>
      </c>
      <c r="F23" s="35">
        <f>IF($A23="","",월별집계!$Z23)</f>
        <v/>
      </c>
      <c r="G23" s="35">
        <f>IF($A23="","",월별집계!$Y23)</f>
        <v/>
      </c>
      <c r="H23" s="80">
        <f>IF($A23="","",IF(G23&lt;=0,IF(F23&gt;0,1,0),F23/G23-1))</f>
        <v/>
      </c>
      <c r="I23" s="35">
        <f>IF($A23="","",월별집계!$N23)</f>
        <v/>
      </c>
      <c r="J23" s="80">
        <f>IF($A23="","",IF(I23&lt;=0,IF(F23&gt;0,1,0),F23/I23-1))</f>
        <v/>
      </c>
      <c r="K23" s="35">
        <f>IF($A23="","",SUMIFS(월별집계!$C23:$Z23,월별집계!$C$5:$Z$5,"&gt;="&amp;설정!$C$22,월별집계!$C$5:$Z$5,"&lt;="&amp;설정!$C$20))</f>
        <v/>
      </c>
      <c r="L23" s="35">
        <f>IF($A23="","",SUMIFS(월별집계!$C23:$Z23,월별집계!$C$5:$Z$5,"&gt;="&amp;(설정!$C$22-3),월별집계!$C$5:$Z$5,"&lt;="&amp;(설정!$C$20-3)))</f>
        <v/>
      </c>
      <c r="M23" s="80">
        <f>IF($A23="","",IF(L23&lt;=0,IF(K23&gt;0,1,0),K23/L23-1))</f>
        <v/>
      </c>
      <c r="N23" s="40">
        <f>IF($A23="","",MAX(F23-G23,F23-I23))</f>
        <v/>
      </c>
      <c r="O23" s="62">
        <f>IF($A23="","",IFERROR((월별집계!$Z23-AVERAGE(월별집계!N23:Y23))/STDEV(월별집계!N23:Y23),0))</f>
        <v/>
      </c>
      <c r="P23" s="35">
        <f>IF($A23="","",SUMIFS(예산판_원본!$O$5:$O$5000,예산판_원본!$L$5:$L$5000,$E23,예산판_원본!$M$5:$M$5000,설정!$C$6))</f>
        <v/>
      </c>
      <c r="Q23" s="35">
        <f>IF($A23="","",SUMIFS(월별집계!$C23:$Z23,월별집계!$C$5:$Z$5,"&gt;="&amp;(설정!$C$6*12+1),월별집계!$C$5:$Z$5,"&lt;="&amp;설정!$C$20))</f>
        <v/>
      </c>
      <c r="R23" s="40">
        <f>IF($A23="","",P23-Q23)</f>
        <v/>
      </c>
      <c r="S23" s="35">
        <f>IF($A23="","",AVERAGE(월별집계!X23:Z23)*(12-설정!$C$7))</f>
        <v/>
      </c>
      <c r="T23" s="35">
        <f>IF($A23="","",IFERROR(Q23/(SUMIFS(월별집계!$C23:$Z23,월별집계!$C$5:$Z$5,"&gt;="&amp;((설정!$C$6-1)*12+1),월별집계!$C$5:$Z$5,"&lt;="&amp;(설정!$C$20-12))/SUMIFS(월별집계!$C23:$Z23,월별집계!$C$5:$Z$5,"&gt;="&amp;((설정!$C$6-1)*12+1),월별집계!$C$5:$Z$5,"&lt;="&amp;((설정!$C$6-1)*12+12)))-Q23,S23))</f>
        <v/>
      </c>
      <c r="U23" s="40">
        <f>IF($A23="","",Q23+MAX(S23,T23))</f>
        <v/>
      </c>
      <c r="V23" s="73">
        <f>IF($A23="","",IF(P23=0,0,U23/P23))</f>
        <v/>
      </c>
      <c r="W23" s="34">
        <f>IF($A23="","",IF(AND(P23=0,Q23&gt;0),"무예산",IF(P23=0,"-",IF(V23&gt;설정!$C$12,"부족 예상",IF(V23&gt;설정!$C$11,"주의","여유")))))</f>
        <v/>
      </c>
      <c r="X23" s="40">
        <f>IF($A23="","",IF(P23=0,0,MAX(0,U23-P23)))</f>
        <v/>
      </c>
      <c r="Y23" s="34">
        <f>IF($A23="","",IF(OR(W23&lt;&gt;"부족 예상",설정!$C$7=12),"",IF(R23&lt;=0,"이미 초과",MIN(12,설정!$C$7+ROUNDUP(R23/(MAX(S23,T23)/(12-설정!$C$7)),0))&amp;"월")))</f>
        <v/>
      </c>
      <c r="Z23" s="26">
        <f>IF($A23="","",TRIM(IF(AND(N(AC23)&gt;=설정!$C$14,N23&gt;=설정!$C$10),"단건"&amp;TEXT(MIN(AC23,1),"0%")&amp;" ","")&amp;IF(AND(N23&gt;0,AD23&gt;0),IF(AD23/N23&gt;=설정!$C$16,"SA대체 ",""),"")&amp;IF(AE23&gt;0,"역분개"&amp;AE23&amp;"건 ","")&amp;IF(O23&gt;=설정!$C$13,"이상치 ","")&amp;IF(AND(I23=0,F23&gt;0),"신규지출 ","")))</f>
        <v/>
      </c>
      <c r="AA23" s="62">
        <f>IF($A23="","",ROUND((AF23+AG23+AH23+AI23)*IF(AND(F23&lt;설정!$C$10,N23&lt;설정!$C$10),0.3,1),1))</f>
        <v/>
      </c>
      <c r="AB23" s="41">
        <f>IF($A23="","",AA23+ROW()/1000000)</f>
        <v/>
      </c>
      <c r="AC23" s="60">
        <f>IF(OR($A23="",N23&lt;=0),"",SUMPRODUCT(MAX((전표_원본!$O$5:$O$100000=$E23)*(전표_원본!$M$5:$M$100000=설정!$C$20)*전표_원본!$P$5:$P$100000))/N23)</f>
        <v/>
      </c>
      <c r="AD23" s="35">
        <f>IF($A23="","",SUMIFS(전표_원본!$P$5:$P$100000,전표_원본!$O$5:$O$100000,$E23,전표_원본!$M$5:$M$100000,설정!$C$20,전표_원본!$E$5:$E$100000,"SA")-SUMIFS(전표_원본!$P$5:$P$100000,전표_원본!$O$5:$O$100000,$E23,전표_원본!$M$5:$M$100000,설정!$C$20-1,전표_원본!$E$5:$E$100000,"SA"))</f>
        <v/>
      </c>
      <c r="AE23" s="81">
        <f>IF($A23="","",COUNTIFS(전표_원본!$O$5:$O$100000,$E23,전표_원본!$M$5:$M$100000,설정!$C$20,전표_원본!$P$5:$P$100000,"&lt;0"))</f>
        <v/>
      </c>
      <c r="AF23" s="62">
        <f>IF($A23="","",MIN(MAX(0,N23)/(설정!$C$10*5),1)*30)</f>
        <v/>
      </c>
      <c r="AG23" s="82">
        <f>IF($A23="","",MIN(MAX(0,H23,J23),1)*20)</f>
        <v/>
      </c>
      <c r="AH23" s="82">
        <f>IF($A23="","",MIN(MAX(0,O23)/3,1)*25)</f>
        <v/>
      </c>
      <c r="AI23" s="82">
        <f>IF($A23="","",IF(OR(W23="부족 예상",W23="무예산",AO23="한도 초과",AO23="초과 예상",AO23="무예산"),25,IF(OR(W23="주의",AO23="주의"),15,0)))</f>
        <v/>
      </c>
      <c r="AJ23" s="35">
        <f>IF($A23="","",SUMIFS(예산판_원본!$O$5:$O$5000,예산판_원본!$L$5:$L$5000,$E23,예산판_원본!$M$5:$M$5000,설정!$C$6,예산판_원본!$N$5:$N$5000,설정!$C$21))</f>
        <v/>
      </c>
      <c r="AK23" s="40">
        <f>IF($A23="","",K23)</f>
        <v/>
      </c>
      <c r="AL23" s="40">
        <f>IF($A23="","",AJ23-AK23)</f>
        <v/>
      </c>
      <c r="AM23" s="35">
        <f>IF($A23="","",AK23+AVERAGE(월별집계!X23:Z23)*MAX(0,설정!$C$22+2-설정!$C$20))</f>
        <v/>
      </c>
      <c r="AN23" s="73">
        <f>IF($A23="","",IF(AJ23=0,0,AM23/AJ23))</f>
        <v/>
      </c>
      <c r="AO23" s="34">
        <f>IF($A23="","",IF(AND(AJ23=0,AK23&gt;0),"무예산",IF(AJ23=0,"-",IF(AK23&gt;AJ23,"한도 초과",IF(AN23&gt;설정!$C$12,"초과 예상",IF(AN23&gt;설정!$C$11,"주의","여유"))))))</f>
        <v/>
      </c>
      <c r="AP23" s="35">
        <f>IF($A23="","",IF(설정!$C$19="최근월",(INDEX(월별집계!$AB23:$AM23,설정!$C$7)-INDEX(월별집계!$AB23:$AM23,MAX(1,설정!$C$7-1))*(설정!$C$7&gt;1)),IF(설정!$C$19="최근분기",((INDEX(월별집계!$AB23:$AM23,설정!$C$7)-INDEX(월별집계!$AB23:$AM23,MAX(1,설정!$C$7-3))*(설정!$C$7&gt;3))/MIN(3,설정!$C$7)),IF(설정!$C$19="전년추세",AZ23,((설정!$C$7+1)*SUMPRODUCT(월별집계!$AB$5:$AM$5,월별집계!$AB23:$AM23)-(설정!$C$7*(설정!$C$7+1)/2)*SUM(월별집계!$AB23:$AM23))/((설정!$C$7+1)*(설정!$C$7*(설정!$C$7+1)*(2*설정!$C$7+1)/6)-(설정!$C$7*(설정!$C$7+1)/2)^2)))))</f>
        <v/>
      </c>
      <c r="AQ23" s="35">
        <f>IF($A23="","",IF(설정!$C$19="연내누적",(SUM(월별집계!$AB23:$AM23)-AP23*(설정!$C$7*(설정!$C$7+1)/2))/(설정!$C$7+1),INDEX(월별집계!$AB23:$AM23,설정!$C$7)-AP23*설정!$C$7))</f>
        <v/>
      </c>
      <c r="AR23" s="40">
        <f>IF($A23="","",AQ23+AP23*12)</f>
        <v/>
      </c>
      <c r="AS23" s="82">
        <f>IF($A23="","",IF(OR(P23&lt;=0,Q23&gt;=P23,AP23&lt;=0),"",MAX(설정!$C$7,(P23-AQ23)/AP23)))</f>
        <v/>
      </c>
      <c r="AT23" s="22">
        <f>IF($A23="","",IF(AS23="",IF(AU23="이미 소진","소진됨",""),YEAR((DATE(설정!$C$6,1,1)+ROUND(AS23*365/12,0)-1))&amp;"-"&amp;TEXT(MONTH((DATE(설정!$C$6,1,1)+ROUND(AS23*365/12,0)-1)),"00")&amp;"-"&amp;TEXT(DAY((DATE(설정!$C$6,1,1)+ROUND(AS23*365/12,0)-1)),"00")))</f>
        <v/>
      </c>
      <c r="AU23" s="34">
        <f>IF($A23="","",IF(AND(P23&lt;=0,Q23&gt;0),"무예산",IF(P23&lt;=0,"-",IF(Q23&gt;=P23,"이미 소진",IF(AP23&lt;=0,"소진 안 됨",IF(AS23&lt;=12,"연내 고갈","연내 여유"))))))</f>
        <v/>
      </c>
      <c r="AV23" s="34">
        <f>IF($A23="","",IF(AJ23&lt;=0,"",IF(AK23&gt;=AJ23,"한도 소진",IF(AK23&lt;=0,"",IF(AJ23/(AK23/(설정!$C$20-설정!$C$22+1))&gt;3,"분기 내 여유",YEAR((DATE(설정!$C$6,설정!$C$22-설정!$C$6*12,1)+ROUND(MAX((설정!$C$20-설정!$C$22+1),AJ23/(AK23/(설정!$C$20-설정!$C$22+1)))*365/12,0)-1))&amp;"-"&amp;TEXT(MONTH((DATE(설정!$C$6,설정!$C$22-설정!$C$6*12,1)+ROUND(MAX((설정!$C$20-설정!$C$22+1),AJ23/(AK23/(설정!$C$20-설정!$C$22+1)))*365/12,0)-1)),"00")&amp;"-"&amp;TEXT(DAY((DATE(설정!$C$6,설정!$C$22-설정!$C$6*12,1)+ROUND(MAX((설정!$C$20-설정!$C$22+1),AJ23/(AK23/(설정!$C$20-설정!$C$22+1)))*365/12,0)-1)),"00"))))))</f>
        <v/>
      </c>
      <c r="AW23" s="41">
        <f>IF($A23="",999+ROW()/1000000,IF(AU23="이미 소진",ROW()/1000000,IF(AU23="연내 고갈",AS23+ROW()/1000000,99+ROW()/1000000)))</f>
        <v/>
      </c>
      <c r="AX23" s="35">
        <f>IF($A23="","",SUMIFS(월별집계!$C23:$Z23,월별집계!$C$5:$Z$5,"&gt;="&amp;((설정!$C$6-1)*12+1),월별집계!$C$5:$Z$5,"&lt;="&amp;(설정!$C$20-12)))</f>
        <v/>
      </c>
      <c r="AY23" s="80">
        <f>IF($A23="","",IF(AX23&lt;=0,IF(Q23&gt;0,1,0),Q23/AX23-1))</f>
        <v/>
      </c>
      <c r="AZ23" s="35">
        <f>IF($A23="","",SUMIFS(월별집계!$C23:$Z23,월별집계!$C$5:$Z$5,"&gt;"&amp;(설정!$C$20-12),월별집계!$C$5:$Z$5,"&lt;="&amp;((설정!$C$6-1)*12+12))/MAX(1,12-설정!$C$7))</f>
        <v/>
      </c>
    </row>
    <row r="24">
      <c r="A24" s="12" t="inlineStr">
        <is>
          <t>D300</t>
        </is>
      </c>
      <c r="B24" s="26">
        <f>IF($A24="","",IFERROR(INDEX(부서매핑!$D$5:$D$504,MATCH($A24,부서매핑!$C$5:$C$504,0)),"부서매핑 없음"))</f>
        <v/>
      </c>
      <c r="C24" s="79" t="inlineStr">
        <is>
          <t>62201000</t>
        </is>
      </c>
      <c r="D24" s="26">
        <f>IF($A24="","",IFERROR(INDEX(계정매핑!$B$5:$B$504,MATCH($C24&amp;"",계정매핑!$A$5:$A$504,0)),"계정매핑 없음"))</f>
        <v/>
      </c>
      <c r="E24" s="22">
        <f>IF($A24="","",$A24&amp;"|"&amp;$C24)</f>
        <v/>
      </c>
      <c r="F24" s="35">
        <f>IF($A24="","",월별집계!$Z24)</f>
        <v/>
      </c>
      <c r="G24" s="35">
        <f>IF($A24="","",월별집계!$Y24)</f>
        <v/>
      </c>
      <c r="H24" s="80">
        <f>IF($A24="","",IF(G24&lt;=0,IF(F24&gt;0,1,0),F24/G24-1))</f>
        <v/>
      </c>
      <c r="I24" s="35">
        <f>IF($A24="","",월별집계!$N24)</f>
        <v/>
      </c>
      <c r="J24" s="80">
        <f>IF($A24="","",IF(I24&lt;=0,IF(F24&gt;0,1,0),F24/I24-1))</f>
        <v/>
      </c>
      <c r="K24" s="35">
        <f>IF($A24="","",SUMIFS(월별집계!$C24:$Z24,월별집계!$C$5:$Z$5,"&gt;="&amp;설정!$C$22,월별집계!$C$5:$Z$5,"&lt;="&amp;설정!$C$20))</f>
        <v/>
      </c>
      <c r="L24" s="35">
        <f>IF($A24="","",SUMIFS(월별집계!$C24:$Z24,월별집계!$C$5:$Z$5,"&gt;="&amp;(설정!$C$22-3),월별집계!$C$5:$Z$5,"&lt;="&amp;(설정!$C$20-3)))</f>
        <v/>
      </c>
      <c r="M24" s="80">
        <f>IF($A24="","",IF(L24&lt;=0,IF(K24&gt;0,1,0),K24/L24-1))</f>
        <v/>
      </c>
      <c r="N24" s="40">
        <f>IF($A24="","",MAX(F24-G24,F24-I24))</f>
        <v/>
      </c>
      <c r="O24" s="62">
        <f>IF($A24="","",IFERROR((월별집계!$Z24-AVERAGE(월별집계!N24:Y24))/STDEV(월별집계!N24:Y24),0))</f>
        <v/>
      </c>
      <c r="P24" s="35">
        <f>IF($A24="","",SUMIFS(예산판_원본!$O$5:$O$5000,예산판_원본!$L$5:$L$5000,$E24,예산판_원본!$M$5:$M$5000,설정!$C$6))</f>
        <v/>
      </c>
      <c r="Q24" s="35">
        <f>IF($A24="","",SUMIFS(월별집계!$C24:$Z24,월별집계!$C$5:$Z$5,"&gt;="&amp;(설정!$C$6*12+1),월별집계!$C$5:$Z$5,"&lt;="&amp;설정!$C$20))</f>
        <v/>
      </c>
      <c r="R24" s="40">
        <f>IF($A24="","",P24-Q24)</f>
        <v/>
      </c>
      <c r="S24" s="35">
        <f>IF($A24="","",AVERAGE(월별집계!X24:Z24)*(12-설정!$C$7))</f>
        <v/>
      </c>
      <c r="T24" s="35">
        <f>IF($A24="","",IFERROR(Q24/(SUMIFS(월별집계!$C24:$Z24,월별집계!$C$5:$Z$5,"&gt;="&amp;((설정!$C$6-1)*12+1),월별집계!$C$5:$Z$5,"&lt;="&amp;(설정!$C$20-12))/SUMIFS(월별집계!$C24:$Z24,월별집계!$C$5:$Z$5,"&gt;="&amp;((설정!$C$6-1)*12+1),월별집계!$C$5:$Z$5,"&lt;="&amp;((설정!$C$6-1)*12+12)))-Q24,S24))</f>
        <v/>
      </c>
      <c r="U24" s="40">
        <f>IF($A24="","",Q24+MAX(S24,T24))</f>
        <v/>
      </c>
      <c r="V24" s="73">
        <f>IF($A24="","",IF(P24=0,0,U24/P24))</f>
        <v/>
      </c>
      <c r="W24" s="34">
        <f>IF($A24="","",IF(AND(P24=0,Q24&gt;0),"무예산",IF(P24=0,"-",IF(V24&gt;설정!$C$12,"부족 예상",IF(V24&gt;설정!$C$11,"주의","여유")))))</f>
        <v/>
      </c>
      <c r="X24" s="40">
        <f>IF($A24="","",IF(P24=0,0,MAX(0,U24-P24)))</f>
        <v/>
      </c>
      <c r="Y24" s="34">
        <f>IF($A24="","",IF(OR(W24&lt;&gt;"부족 예상",설정!$C$7=12),"",IF(R24&lt;=0,"이미 초과",MIN(12,설정!$C$7+ROUNDUP(R24/(MAX(S24,T24)/(12-설정!$C$7)),0))&amp;"월")))</f>
        <v/>
      </c>
      <c r="Z24" s="26">
        <f>IF($A24="","",TRIM(IF(AND(N(AC24)&gt;=설정!$C$14,N24&gt;=설정!$C$10),"단건"&amp;TEXT(MIN(AC24,1),"0%")&amp;" ","")&amp;IF(AND(N24&gt;0,AD24&gt;0),IF(AD24/N24&gt;=설정!$C$16,"SA대체 ",""),"")&amp;IF(AE24&gt;0,"역분개"&amp;AE24&amp;"건 ","")&amp;IF(O24&gt;=설정!$C$13,"이상치 ","")&amp;IF(AND(I24=0,F24&gt;0),"신규지출 ","")))</f>
        <v/>
      </c>
      <c r="AA24" s="62">
        <f>IF($A24="","",ROUND((AF24+AG24+AH24+AI24)*IF(AND(F24&lt;설정!$C$10,N24&lt;설정!$C$10),0.3,1),1))</f>
        <v/>
      </c>
      <c r="AB24" s="41">
        <f>IF($A24="","",AA24+ROW()/1000000)</f>
        <v/>
      </c>
      <c r="AC24" s="60">
        <f>IF(OR($A24="",N24&lt;=0),"",SUMPRODUCT(MAX((전표_원본!$O$5:$O$100000=$E24)*(전표_원본!$M$5:$M$100000=설정!$C$20)*전표_원본!$P$5:$P$100000))/N24)</f>
        <v/>
      </c>
      <c r="AD24" s="35">
        <f>IF($A24="","",SUMIFS(전표_원본!$P$5:$P$100000,전표_원본!$O$5:$O$100000,$E24,전표_원본!$M$5:$M$100000,설정!$C$20,전표_원본!$E$5:$E$100000,"SA")-SUMIFS(전표_원본!$P$5:$P$100000,전표_원본!$O$5:$O$100000,$E24,전표_원본!$M$5:$M$100000,설정!$C$20-1,전표_원본!$E$5:$E$100000,"SA"))</f>
        <v/>
      </c>
      <c r="AE24" s="81">
        <f>IF($A24="","",COUNTIFS(전표_원본!$O$5:$O$100000,$E24,전표_원본!$M$5:$M$100000,설정!$C$20,전표_원본!$P$5:$P$100000,"&lt;0"))</f>
        <v/>
      </c>
      <c r="AF24" s="62">
        <f>IF($A24="","",MIN(MAX(0,N24)/(설정!$C$10*5),1)*30)</f>
        <v/>
      </c>
      <c r="AG24" s="82">
        <f>IF($A24="","",MIN(MAX(0,H24,J24),1)*20)</f>
        <v/>
      </c>
      <c r="AH24" s="82">
        <f>IF($A24="","",MIN(MAX(0,O24)/3,1)*25)</f>
        <v/>
      </c>
      <c r="AI24" s="82">
        <f>IF($A24="","",IF(OR(W24="부족 예상",W24="무예산",AO24="한도 초과",AO24="초과 예상",AO24="무예산"),25,IF(OR(W24="주의",AO24="주의"),15,0)))</f>
        <v/>
      </c>
      <c r="AJ24" s="35">
        <f>IF($A24="","",SUMIFS(예산판_원본!$O$5:$O$5000,예산판_원본!$L$5:$L$5000,$E24,예산판_원본!$M$5:$M$5000,설정!$C$6,예산판_원본!$N$5:$N$5000,설정!$C$21))</f>
        <v/>
      </c>
      <c r="AK24" s="40">
        <f>IF($A24="","",K24)</f>
        <v/>
      </c>
      <c r="AL24" s="40">
        <f>IF($A24="","",AJ24-AK24)</f>
        <v/>
      </c>
      <c r="AM24" s="35">
        <f>IF($A24="","",AK24+AVERAGE(월별집계!X24:Z24)*MAX(0,설정!$C$22+2-설정!$C$20))</f>
        <v/>
      </c>
      <c r="AN24" s="73">
        <f>IF($A24="","",IF(AJ24=0,0,AM24/AJ24))</f>
        <v/>
      </c>
      <c r="AO24" s="34">
        <f>IF($A24="","",IF(AND(AJ24=0,AK24&gt;0),"무예산",IF(AJ24=0,"-",IF(AK24&gt;AJ24,"한도 초과",IF(AN24&gt;설정!$C$12,"초과 예상",IF(AN24&gt;설정!$C$11,"주의","여유"))))))</f>
        <v/>
      </c>
      <c r="AP24" s="35">
        <f>IF($A24="","",IF(설정!$C$19="최근월",(INDEX(월별집계!$AB24:$AM24,설정!$C$7)-INDEX(월별집계!$AB24:$AM24,MAX(1,설정!$C$7-1))*(설정!$C$7&gt;1)),IF(설정!$C$19="최근분기",((INDEX(월별집계!$AB24:$AM24,설정!$C$7)-INDEX(월별집계!$AB24:$AM24,MAX(1,설정!$C$7-3))*(설정!$C$7&gt;3))/MIN(3,설정!$C$7)),IF(설정!$C$19="전년추세",AZ24,((설정!$C$7+1)*SUMPRODUCT(월별집계!$AB$5:$AM$5,월별집계!$AB24:$AM24)-(설정!$C$7*(설정!$C$7+1)/2)*SUM(월별집계!$AB24:$AM24))/((설정!$C$7+1)*(설정!$C$7*(설정!$C$7+1)*(2*설정!$C$7+1)/6)-(설정!$C$7*(설정!$C$7+1)/2)^2)))))</f>
        <v/>
      </c>
      <c r="AQ24" s="35">
        <f>IF($A24="","",IF(설정!$C$19="연내누적",(SUM(월별집계!$AB24:$AM24)-AP24*(설정!$C$7*(설정!$C$7+1)/2))/(설정!$C$7+1),INDEX(월별집계!$AB24:$AM24,설정!$C$7)-AP24*설정!$C$7))</f>
        <v/>
      </c>
      <c r="AR24" s="40">
        <f>IF($A24="","",AQ24+AP24*12)</f>
        <v/>
      </c>
      <c r="AS24" s="82">
        <f>IF($A24="","",IF(OR(P24&lt;=0,Q24&gt;=P24,AP24&lt;=0),"",MAX(설정!$C$7,(P24-AQ24)/AP24)))</f>
        <v/>
      </c>
      <c r="AT24" s="22">
        <f>IF($A24="","",IF(AS24="",IF(AU24="이미 소진","소진됨",""),YEAR((DATE(설정!$C$6,1,1)+ROUND(AS24*365/12,0)-1))&amp;"-"&amp;TEXT(MONTH((DATE(설정!$C$6,1,1)+ROUND(AS24*365/12,0)-1)),"00")&amp;"-"&amp;TEXT(DAY((DATE(설정!$C$6,1,1)+ROUND(AS24*365/12,0)-1)),"00")))</f>
        <v/>
      </c>
      <c r="AU24" s="34">
        <f>IF($A24="","",IF(AND(P24&lt;=0,Q24&gt;0),"무예산",IF(P24&lt;=0,"-",IF(Q24&gt;=P24,"이미 소진",IF(AP24&lt;=0,"소진 안 됨",IF(AS24&lt;=12,"연내 고갈","연내 여유"))))))</f>
        <v/>
      </c>
      <c r="AV24" s="34">
        <f>IF($A24="","",IF(AJ24&lt;=0,"",IF(AK24&gt;=AJ24,"한도 소진",IF(AK24&lt;=0,"",IF(AJ24/(AK24/(설정!$C$20-설정!$C$22+1))&gt;3,"분기 내 여유",YEAR((DATE(설정!$C$6,설정!$C$22-설정!$C$6*12,1)+ROUND(MAX((설정!$C$20-설정!$C$22+1),AJ24/(AK24/(설정!$C$20-설정!$C$22+1)))*365/12,0)-1))&amp;"-"&amp;TEXT(MONTH((DATE(설정!$C$6,설정!$C$22-설정!$C$6*12,1)+ROUND(MAX((설정!$C$20-설정!$C$22+1),AJ24/(AK24/(설정!$C$20-설정!$C$22+1)))*365/12,0)-1)),"00")&amp;"-"&amp;TEXT(DAY((DATE(설정!$C$6,설정!$C$22-설정!$C$6*12,1)+ROUND(MAX((설정!$C$20-설정!$C$22+1),AJ24/(AK24/(설정!$C$20-설정!$C$22+1)))*365/12,0)-1)),"00"))))))</f>
        <v/>
      </c>
      <c r="AW24" s="41">
        <f>IF($A24="",999+ROW()/1000000,IF(AU24="이미 소진",ROW()/1000000,IF(AU24="연내 고갈",AS24+ROW()/1000000,99+ROW()/1000000)))</f>
        <v/>
      </c>
      <c r="AX24" s="35">
        <f>IF($A24="","",SUMIFS(월별집계!$C24:$Z24,월별집계!$C$5:$Z$5,"&gt;="&amp;((설정!$C$6-1)*12+1),월별집계!$C$5:$Z$5,"&lt;="&amp;(설정!$C$20-12)))</f>
        <v/>
      </c>
      <c r="AY24" s="80">
        <f>IF($A24="","",IF(AX24&lt;=0,IF(Q24&gt;0,1,0),Q24/AX24-1))</f>
        <v/>
      </c>
      <c r="AZ24" s="35">
        <f>IF($A24="","",SUMIFS(월별집계!$C24:$Z24,월별집계!$C$5:$Z$5,"&gt;"&amp;(설정!$C$20-12),월별집계!$C$5:$Z$5,"&lt;="&amp;((설정!$C$6-1)*12+12))/MAX(1,12-설정!$C$7))</f>
        <v/>
      </c>
    </row>
    <row r="25">
      <c r="A25" s="12" t="inlineStr">
        <is>
          <t>D300</t>
        </is>
      </c>
      <c r="B25" s="26">
        <f>IF($A25="","",IFERROR(INDEX(부서매핑!$D$5:$D$504,MATCH($A25,부서매핑!$C$5:$C$504,0)),"부서매핑 없음"))</f>
        <v/>
      </c>
      <c r="C25" s="79" t="inlineStr">
        <is>
          <t>62301000</t>
        </is>
      </c>
      <c r="D25" s="26">
        <f>IF($A25="","",IFERROR(INDEX(계정매핑!$B$5:$B$504,MATCH($C25&amp;"",계정매핑!$A$5:$A$504,0)),"계정매핑 없음"))</f>
        <v/>
      </c>
      <c r="E25" s="22">
        <f>IF($A25="","",$A25&amp;"|"&amp;$C25)</f>
        <v/>
      </c>
      <c r="F25" s="35">
        <f>IF($A25="","",월별집계!$Z25)</f>
        <v/>
      </c>
      <c r="G25" s="35">
        <f>IF($A25="","",월별집계!$Y25)</f>
        <v/>
      </c>
      <c r="H25" s="80">
        <f>IF($A25="","",IF(G25&lt;=0,IF(F25&gt;0,1,0),F25/G25-1))</f>
        <v/>
      </c>
      <c r="I25" s="35">
        <f>IF($A25="","",월별집계!$N25)</f>
        <v/>
      </c>
      <c r="J25" s="80">
        <f>IF($A25="","",IF(I25&lt;=0,IF(F25&gt;0,1,0),F25/I25-1))</f>
        <v/>
      </c>
      <c r="K25" s="35">
        <f>IF($A25="","",SUMIFS(월별집계!$C25:$Z25,월별집계!$C$5:$Z$5,"&gt;="&amp;설정!$C$22,월별집계!$C$5:$Z$5,"&lt;="&amp;설정!$C$20))</f>
        <v/>
      </c>
      <c r="L25" s="35">
        <f>IF($A25="","",SUMIFS(월별집계!$C25:$Z25,월별집계!$C$5:$Z$5,"&gt;="&amp;(설정!$C$22-3),월별집계!$C$5:$Z$5,"&lt;="&amp;(설정!$C$20-3)))</f>
        <v/>
      </c>
      <c r="M25" s="80">
        <f>IF($A25="","",IF(L25&lt;=0,IF(K25&gt;0,1,0),K25/L25-1))</f>
        <v/>
      </c>
      <c r="N25" s="40">
        <f>IF($A25="","",MAX(F25-G25,F25-I25))</f>
        <v/>
      </c>
      <c r="O25" s="62">
        <f>IF($A25="","",IFERROR((월별집계!$Z25-AVERAGE(월별집계!N25:Y25))/STDEV(월별집계!N25:Y25),0))</f>
        <v/>
      </c>
      <c r="P25" s="35">
        <f>IF($A25="","",SUMIFS(예산판_원본!$O$5:$O$5000,예산판_원본!$L$5:$L$5000,$E25,예산판_원본!$M$5:$M$5000,설정!$C$6))</f>
        <v/>
      </c>
      <c r="Q25" s="35">
        <f>IF($A25="","",SUMIFS(월별집계!$C25:$Z25,월별집계!$C$5:$Z$5,"&gt;="&amp;(설정!$C$6*12+1),월별집계!$C$5:$Z$5,"&lt;="&amp;설정!$C$20))</f>
        <v/>
      </c>
      <c r="R25" s="40">
        <f>IF($A25="","",P25-Q25)</f>
        <v/>
      </c>
      <c r="S25" s="35">
        <f>IF($A25="","",AVERAGE(월별집계!X25:Z25)*(12-설정!$C$7))</f>
        <v/>
      </c>
      <c r="T25" s="35">
        <f>IF($A25="","",IFERROR(Q25/(SUMIFS(월별집계!$C25:$Z25,월별집계!$C$5:$Z$5,"&gt;="&amp;((설정!$C$6-1)*12+1),월별집계!$C$5:$Z$5,"&lt;="&amp;(설정!$C$20-12))/SUMIFS(월별집계!$C25:$Z25,월별집계!$C$5:$Z$5,"&gt;="&amp;((설정!$C$6-1)*12+1),월별집계!$C$5:$Z$5,"&lt;="&amp;((설정!$C$6-1)*12+12)))-Q25,S25))</f>
        <v/>
      </c>
      <c r="U25" s="40">
        <f>IF($A25="","",Q25+MAX(S25,T25))</f>
        <v/>
      </c>
      <c r="V25" s="73">
        <f>IF($A25="","",IF(P25=0,0,U25/P25))</f>
        <v/>
      </c>
      <c r="W25" s="34">
        <f>IF($A25="","",IF(AND(P25=0,Q25&gt;0),"무예산",IF(P25=0,"-",IF(V25&gt;설정!$C$12,"부족 예상",IF(V25&gt;설정!$C$11,"주의","여유")))))</f>
        <v/>
      </c>
      <c r="X25" s="40">
        <f>IF($A25="","",IF(P25=0,0,MAX(0,U25-P25)))</f>
        <v/>
      </c>
      <c r="Y25" s="34">
        <f>IF($A25="","",IF(OR(W25&lt;&gt;"부족 예상",설정!$C$7=12),"",IF(R25&lt;=0,"이미 초과",MIN(12,설정!$C$7+ROUNDUP(R25/(MAX(S25,T25)/(12-설정!$C$7)),0))&amp;"월")))</f>
        <v/>
      </c>
      <c r="Z25" s="26">
        <f>IF($A25="","",TRIM(IF(AND(N(AC25)&gt;=설정!$C$14,N25&gt;=설정!$C$10),"단건"&amp;TEXT(MIN(AC25,1),"0%")&amp;" ","")&amp;IF(AND(N25&gt;0,AD25&gt;0),IF(AD25/N25&gt;=설정!$C$16,"SA대체 ",""),"")&amp;IF(AE25&gt;0,"역분개"&amp;AE25&amp;"건 ","")&amp;IF(O25&gt;=설정!$C$13,"이상치 ","")&amp;IF(AND(I25=0,F25&gt;0),"신규지출 ","")))</f>
        <v/>
      </c>
      <c r="AA25" s="62">
        <f>IF($A25="","",ROUND((AF25+AG25+AH25+AI25)*IF(AND(F25&lt;설정!$C$10,N25&lt;설정!$C$10),0.3,1),1))</f>
        <v/>
      </c>
      <c r="AB25" s="41">
        <f>IF($A25="","",AA25+ROW()/1000000)</f>
        <v/>
      </c>
      <c r="AC25" s="60">
        <f>IF(OR($A25="",N25&lt;=0),"",SUMPRODUCT(MAX((전표_원본!$O$5:$O$100000=$E25)*(전표_원본!$M$5:$M$100000=설정!$C$20)*전표_원본!$P$5:$P$100000))/N25)</f>
        <v/>
      </c>
      <c r="AD25" s="35">
        <f>IF($A25="","",SUMIFS(전표_원본!$P$5:$P$100000,전표_원본!$O$5:$O$100000,$E25,전표_원본!$M$5:$M$100000,설정!$C$20,전표_원본!$E$5:$E$100000,"SA")-SUMIFS(전표_원본!$P$5:$P$100000,전표_원본!$O$5:$O$100000,$E25,전표_원본!$M$5:$M$100000,설정!$C$20-1,전표_원본!$E$5:$E$100000,"SA"))</f>
        <v/>
      </c>
      <c r="AE25" s="81">
        <f>IF($A25="","",COUNTIFS(전표_원본!$O$5:$O$100000,$E25,전표_원본!$M$5:$M$100000,설정!$C$20,전표_원본!$P$5:$P$100000,"&lt;0"))</f>
        <v/>
      </c>
      <c r="AF25" s="62">
        <f>IF($A25="","",MIN(MAX(0,N25)/(설정!$C$10*5),1)*30)</f>
        <v/>
      </c>
      <c r="AG25" s="82">
        <f>IF($A25="","",MIN(MAX(0,H25,J25),1)*20)</f>
        <v/>
      </c>
      <c r="AH25" s="82">
        <f>IF($A25="","",MIN(MAX(0,O25)/3,1)*25)</f>
        <v/>
      </c>
      <c r="AI25" s="82">
        <f>IF($A25="","",IF(OR(W25="부족 예상",W25="무예산",AO25="한도 초과",AO25="초과 예상",AO25="무예산"),25,IF(OR(W25="주의",AO25="주의"),15,0)))</f>
        <v/>
      </c>
      <c r="AJ25" s="35">
        <f>IF($A25="","",SUMIFS(예산판_원본!$O$5:$O$5000,예산판_원본!$L$5:$L$5000,$E25,예산판_원본!$M$5:$M$5000,설정!$C$6,예산판_원본!$N$5:$N$5000,설정!$C$21))</f>
        <v/>
      </c>
      <c r="AK25" s="40">
        <f>IF($A25="","",K25)</f>
        <v/>
      </c>
      <c r="AL25" s="40">
        <f>IF($A25="","",AJ25-AK25)</f>
        <v/>
      </c>
      <c r="AM25" s="35">
        <f>IF($A25="","",AK25+AVERAGE(월별집계!X25:Z25)*MAX(0,설정!$C$22+2-설정!$C$20))</f>
        <v/>
      </c>
      <c r="AN25" s="73">
        <f>IF($A25="","",IF(AJ25=0,0,AM25/AJ25))</f>
        <v/>
      </c>
      <c r="AO25" s="34">
        <f>IF($A25="","",IF(AND(AJ25=0,AK25&gt;0),"무예산",IF(AJ25=0,"-",IF(AK25&gt;AJ25,"한도 초과",IF(AN25&gt;설정!$C$12,"초과 예상",IF(AN25&gt;설정!$C$11,"주의","여유"))))))</f>
        <v/>
      </c>
      <c r="AP25" s="35">
        <f>IF($A25="","",IF(설정!$C$19="최근월",(INDEX(월별집계!$AB25:$AM25,설정!$C$7)-INDEX(월별집계!$AB25:$AM25,MAX(1,설정!$C$7-1))*(설정!$C$7&gt;1)),IF(설정!$C$19="최근분기",((INDEX(월별집계!$AB25:$AM25,설정!$C$7)-INDEX(월별집계!$AB25:$AM25,MAX(1,설정!$C$7-3))*(설정!$C$7&gt;3))/MIN(3,설정!$C$7)),IF(설정!$C$19="전년추세",AZ25,((설정!$C$7+1)*SUMPRODUCT(월별집계!$AB$5:$AM$5,월별집계!$AB25:$AM25)-(설정!$C$7*(설정!$C$7+1)/2)*SUM(월별집계!$AB25:$AM25))/((설정!$C$7+1)*(설정!$C$7*(설정!$C$7+1)*(2*설정!$C$7+1)/6)-(설정!$C$7*(설정!$C$7+1)/2)^2)))))</f>
        <v/>
      </c>
      <c r="AQ25" s="35">
        <f>IF($A25="","",IF(설정!$C$19="연내누적",(SUM(월별집계!$AB25:$AM25)-AP25*(설정!$C$7*(설정!$C$7+1)/2))/(설정!$C$7+1),INDEX(월별집계!$AB25:$AM25,설정!$C$7)-AP25*설정!$C$7))</f>
        <v/>
      </c>
      <c r="AR25" s="40">
        <f>IF($A25="","",AQ25+AP25*12)</f>
        <v/>
      </c>
      <c r="AS25" s="82">
        <f>IF($A25="","",IF(OR(P25&lt;=0,Q25&gt;=P25,AP25&lt;=0),"",MAX(설정!$C$7,(P25-AQ25)/AP25)))</f>
        <v/>
      </c>
      <c r="AT25" s="22">
        <f>IF($A25="","",IF(AS25="",IF(AU25="이미 소진","소진됨",""),YEAR((DATE(설정!$C$6,1,1)+ROUND(AS25*365/12,0)-1))&amp;"-"&amp;TEXT(MONTH((DATE(설정!$C$6,1,1)+ROUND(AS25*365/12,0)-1)),"00")&amp;"-"&amp;TEXT(DAY((DATE(설정!$C$6,1,1)+ROUND(AS25*365/12,0)-1)),"00")))</f>
        <v/>
      </c>
      <c r="AU25" s="34">
        <f>IF($A25="","",IF(AND(P25&lt;=0,Q25&gt;0),"무예산",IF(P25&lt;=0,"-",IF(Q25&gt;=P25,"이미 소진",IF(AP25&lt;=0,"소진 안 됨",IF(AS25&lt;=12,"연내 고갈","연내 여유"))))))</f>
        <v/>
      </c>
      <c r="AV25" s="34">
        <f>IF($A25="","",IF(AJ25&lt;=0,"",IF(AK25&gt;=AJ25,"한도 소진",IF(AK25&lt;=0,"",IF(AJ25/(AK25/(설정!$C$20-설정!$C$22+1))&gt;3,"분기 내 여유",YEAR((DATE(설정!$C$6,설정!$C$22-설정!$C$6*12,1)+ROUND(MAX((설정!$C$20-설정!$C$22+1),AJ25/(AK25/(설정!$C$20-설정!$C$22+1)))*365/12,0)-1))&amp;"-"&amp;TEXT(MONTH((DATE(설정!$C$6,설정!$C$22-설정!$C$6*12,1)+ROUND(MAX((설정!$C$20-설정!$C$22+1),AJ25/(AK25/(설정!$C$20-설정!$C$22+1)))*365/12,0)-1)),"00")&amp;"-"&amp;TEXT(DAY((DATE(설정!$C$6,설정!$C$22-설정!$C$6*12,1)+ROUND(MAX((설정!$C$20-설정!$C$22+1),AJ25/(AK25/(설정!$C$20-설정!$C$22+1)))*365/12,0)-1)),"00"))))))</f>
        <v/>
      </c>
      <c r="AW25" s="41">
        <f>IF($A25="",999+ROW()/1000000,IF(AU25="이미 소진",ROW()/1000000,IF(AU25="연내 고갈",AS25+ROW()/1000000,99+ROW()/1000000)))</f>
        <v/>
      </c>
      <c r="AX25" s="35">
        <f>IF($A25="","",SUMIFS(월별집계!$C25:$Z25,월별집계!$C$5:$Z$5,"&gt;="&amp;((설정!$C$6-1)*12+1),월별집계!$C$5:$Z$5,"&lt;="&amp;(설정!$C$20-12)))</f>
        <v/>
      </c>
      <c r="AY25" s="80">
        <f>IF($A25="","",IF(AX25&lt;=0,IF(Q25&gt;0,1,0),Q25/AX25-1))</f>
        <v/>
      </c>
      <c r="AZ25" s="35">
        <f>IF($A25="","",SUMIFS(월별집계!$C25:$Z25,월별집계!$C$5:$Z$5,"&gt;"&amp;(설정!$C$20-12),월별집계!$C$5:$Z$5,"&lt;="&amp;((설정!$C$6-1)*12+12))/MAX(1,12-설정!$C$7))</f>
        <v/>
      </c>
    </row>
    <row r="26">
      <c r="A26" s="12" t="inlineStr">
        <is>
          <t>D300</t>
        </is>
      </c>
      <c r="B26" s="26">
        <f>IF($A26="","",IFERROR(INDEX(부서매핑!$D$5:$D$504,MATCH($A26,부서매핑!$C$5:$C$504,0)),"부서매핑 없음"))</f>
        <v/>
      </c>
      <c r="C26" s="79" t="inlineStr">
        <is>
          <t>62501000</t>
        </is>
      </c>
      <c r="D26" s="26">
        <f>IF($A26="","",IFERROR(INDEX(계정매핑!$B$5:$B$504,MATCH($C26&amp;"",계정매핑!$A$5:$A$504,0)),"계정매핑 없음"))</f>
        <v/>
      </c>
      <c r="E26" s="22">
        <f>IF($A26="","",$A26&amp;"|"&amp;$C26)</f>
        <v/>
      </c>
      <c r="F26" s="35">
        <f>IF($A26="","",월별집계!$Z26)</f>
        <v/>
      </c>
      <c r="G26" s="35">
        <f>IF($A26="","",월별집계!$Y26)</f>
        <v/>
      </c>
      <c r="H26" s="80">
        <f>IF($A26="","",IF(G26&lt;=0,IF(F26&gt;0,1,0),F26/G26-1))</f>
        <v/>
      </c>
      <c r="I26" s="35">
        <f>IF($A26="","",월별집계!$N26)</f>
        <v/>
      </c>
      <c r="J26" s="80">
        <f>IF($A26="","",IF(I26&lt;=0,IF(F26&gt;0,1,0),F26/I26-1))</f>
        <v/>
      </c>
      <c r="K26" s="35">
        <f>IF($A26="","",SUMIFS(월별집계!$C26:$Z26,월별집계!$C$5:$Z$5,"&gt;="&amp;설정!$C$22,월별집계!$C$5:$Z$5,"&lt;="&amp;설정!$C$20))</f>
        <v/>
      </c>
      <c r="L26" s="35">
        <f>IF($A26="","",SUMIFS(월별집계!$C26:$Z26,월별집계!$C$5:$Z$5,"&gt;="&amp;(설정!$C$22-3),월별집계!$C$5:$Z$5,"&lt;="&amp;(설정!$C$20-3)))</f>
        <v/>
      </c>
      <c r="M26" s="80">
        <f>IF($A26="","",IF(L26&lt;=0,IF(K26&gt;0,1,0),K26/L26-1))</f>
        <v/>
      </c>
      <c r="N26" s="40">
        <f>IF($A26="","",MAX(F26-G26,F26-I26))</f>
        <v/>
      </c>
      <c r="O26" s="62">
        <f>IF($A26="","",IFERROR((월별집계!$Z26-AVERAGE(월별집계!N26:Y26))/STDEV(월별집계!N26:Y26),0))</f>
        <v/>
      </c>
      <c r="P26" s="35">
        <f>IF($A26="","",SUMIFS(예산판_원본!$O$5:$O$5000,예산판_원본!$L$5:$L$5000,$E26,예산판_원본!$M$5:$M$5000,설정!$C$6))</f>
        <v/>
      </c>
      <c r="Q26" s="35">
        <f>IF($A26="","",SUMIFS(월별집계!$C26:$Z26,월별집계!$C$5:$Z$5,"&gt;="&amp;(설정!$C$6*12+1),월별집계!$C$5:$Z$5,"&lt;="&amp;설정!$C$20))</f>
        <v/>
      </c>
      <c r="R26" s="40">
        <f>IF($A26="","",P26-Q26)</f>
        <v/>
      </c>
      <c r="S26" s="35">
        <f>IF($A26="","",AVERAGE(월별집계!X26:Z26)*(12-설정!$C$7))</f>
        <v/>
      </c>
      <c r="T26" s="35">
        <f>IF($A26="","",IFERROR(Q26/(SUMIFS(월별집계!$C26:$Z26,월별집계!$C$5:$Z$5,"&gt;="&amp;((설정!$C$6-1)*12+1),월별집계!$C$5:$Z$5,"&lt;="&amp;(설정!$C$20-12))/SUMIFS(월별집계!$C26:$Z26,월별집계!$C$5:$Z$5,"&gt;="&amp;((설정!$C$6-1)*12+1),월별집계!$C$5:$Z$5,"&lt;="&amp;((설정!$C$6-1)*12+12)))-Q26,S26))</f>
        <v/>
      </c>
      <c r="U26" s="40">
        <f>IF($A26="","",Q26+MAX(S26,T26))</f>
        <v/>
      </c>
      <c r="V26" s="73">
        <f>IF($A26="","",IF(P26=0,0,U26/P26))</f>
        <v/>
      </c>
      <c r="W26" s="34">
        <f>IF($A26="","",IF(AND(P26=0,Q26&gt;0),"무예산",IF(P26=0,"-",IF(V26&gt;설정!$C$12,"부족 예상",IF(V26&gt;설정!$C$11,"주의","여유")))))</f>
        <v/>
      </c>
      <c r="X26" s="40">
        <f>IF($A26="","",IF(P26=0,0,MAX(0,U26-P26)))</f>
        <v/>
      </c>
      <c r="Y26" s="34">
        <f>IF($A26="","",IF(OR(W26&lt;&gt;"부족 예상",설정!$C$7=12),"",IF(R26&lt;=0,"이미 초과",MIN(12,설정!$C$7+ROUNDUP(R26/(MAX(S26,T26)/(12-설정!$C$7)),0))&amp;"월")))</f>
        <v/>
      </c>
      <c r="Z26" s="26">
        <f>IF($A26="","",TRIM(IF(AND(N(AC26)&gt;=설정!$C$14,N26&gt;=설정!$C$10),"단건"&amp;TEXT(MIN(AC26,1),"0%")&amp;" ","")&amp;IF(AND(N26&gt;0,AD26&gt;0),IF(AD26/N26&gt;=설정!$C$16,"SA대체 ",""),"")&amp;IF(AE26&gt;0,"역분개"&amp;AE26&amp;"건 ","")&amp;IF(O26&gt;=설정!$C$13,"이상치 ","")&amp;IF(AND(I26=0,F26&gt;0),"신규지출 ","")))</f>
        <v/>
      </c>
      <c r="AA26" s="62">
        <f>IF($A26="","",ROUND((AF26+AG26+AH26+AI26)*IF(AND(F26&lt;설정!$C$10,N26&lt;설정!$C$10),0.3,1),1))</f>
        <v/>
      </c>
      <c r="AB26" s="41">
        <f>IF($A26="","",AA26+ROW()/1000000)</f>
        <v/>
      </c>
      <c r="AC26" s="60">
        <f>IF(OR($A26="",N26&lt;=0),"",SUMPRODUCT(MAX((전표_원본!$O$5:$O$100000=$E26)*(전표_원본!$M$5:$M$100000=설정!$C$20)*전표_원본!$P$5:$P$100000))/N26)</f>
        <v/>
      </c>
      <c r="AD26" s="35">
        <f>IF($A26="","",SUMIFS(전표_원본!$P$5:$P$100000,전표_원본!$O$5:$O$100000,$E26,전표_원본!$M$5:$M$100000,설정!$C$20,전표_원본!$E$5:$E$100000,"SA")-SUMIFS(전표_원본!$P$5:$P$100000,전표_원본!$O$5:$O$100000,$E26,전표_원본!$M$5:$M$100000,설정!$C$20-1,전표_원본!$E$5:$E$100000,"SA"))</f>
        <v/>
      </c>
      <c r="AE26" s="81">
        <f>IF($A26="","",COUNTIFS(전표_원본!$O$5:$O$100000,$E26,전표_원본!$M$5:$M$100000,설정!$C$20,전표_원본!$P$5:$P$100000,"&lt;0"))</f>
        <v/>
      </c>
      <c r="AF26" s="62">
        <f>IF($A26="","",MIN(MAX(0,N26)/(설정!$C$10*5),1)*30)</f>
        <v/>
      </c>
      <c r="AG26" s="82">
        <f>IF($A26="","",MIN(MAX(0,H26,J26),1)*20)</f>
        <v/>
      </c>
      <c r="AH26" s="82">
        <f>IF($A26="","",MIN(MAX(0,O26)/3,1)*25)</f>
        <v/>
      </c>
      <c r="AI26" s="82">
        <f>IF($A26="","",IF(OR(W26="부족 예상",W26="무예산",AO26="한도 초과",AO26="초과 예상",AO26="무예산"),25,IF(OR(W26="주의",AO26="주의"),15,0)))</f>
        <v/>
      </c>
      <c r="AJ26" s="35">
        <f>IF($A26="","",SUMIFS(예산판_원본!$O$5:$O$5000,예산판_원본!$L$5:$L$5000,$E26,예산판_원본!$M$5:$M$5000,설정!$C$6,예산판_원본!$N$5:$N$5000,설정!$C$21))</f>
        <v/>
      </c>
      <c r="AK26" s="40">
        <f>IF($A26="","",K26)</f>
        <v/>
      </c>
      <c r="AL26" s="40">
        <f>IF($A26="","",AJ26-AK26)</f>
        <v/>
      </c>
      <c r="AM26" s="35">
        <f>IF($A26="","",AK26+AVERAGE(월별집계!X26:Z26)*MAX(0,설정!$C$22+2-설정!$C$20))</f>
        <v/>
      </c>
      <c r="AN26" s="73">
        <f>IF($A26="","",IF(AJ26=0,0,AM26/AJ26))</f>
        <v/>
      </c>
      <c r="AO26" s="34">
        <f>IF($A26="","",IF(AND(AJ26=0,AK26&gt;0),"무예산",IF(AJ26=0,"-",IF(AK26&gt;AJ26,"한도 초과",IF(AN26&gt;설정!$C$12,"초과 예상",IF(AN26&gt;설정!$C$11,"주의","여유"))))))</f>
        <v/>
      </c>
      <c r="AP26" s="35">
        <f>IF($A26="","",IF(설정!$C$19="최근월",(INDEX(월별집계!$AB26:$AM26,설정!$C$7)-INDEX(월별집계!$AB26:$AM26,MAX(1,설정!$C$7-1))*(설정!$C$7&gt;1)),IF(설정!$C$19="최근분기",((INDEX(월별집계!$AB26:$AM26,설정!$C$7)-INDEX(월별집계!$AB26:$AM26,MAX(1,설정!$C$7-3))*(설정!$C$7&gt;3))/MIN(3,설정!$C$7)),IF(설정!$C$19="전년추세",AZ26,((설정!$C$7+1)*SUMPRODUCT(월별집계!$AB$5:$AM$5,월별집계!$AB26:$AM26)-(설정!$C$7*(설정!$C$7+1)/2)*SUM(월별집계!$AB26:$AM26))/((설정!$C$7+1)*(설정!$C$7*(설정!$C$7+1)*(2*설정!$C$7+1)/6)-(설정!$C$7*(설정!$C$7+1)/2)^2)))))</f>
        <v/>
      </c>
      <c r="AQ26" s="35">
        <f>IF($A26="","",IF(설정!$C$19="연내누적",(SUM(월별집계!$AB26:$AM26)-AP26*(설정!$C$7*(설정!$C$7+1)/2))/(설정!$C$7+1),INDEX(월별집계!$AB26:$AM26,설정!$C$7)-AP26*설정!$C$7))</f>
        <v/>
      </c>
      <c r="AR26" s="40">
        <f>IF($A26="","",AQ26+AP26*12)</f>
        <v/>
      </c>
      <c r="AS26" s="82">
        <f>IF($A26="","",IF(OR(P26&lt;=0,Q26&gt;=P26,AP26&lt;=0),"",MAX(설정!$C$7,(P26-AQ26)/AP26)))</f>
        <v/>
      </c>
      <c r="AT26" s="22">
        <f>IF($A26="","",IF(AS26="",IF(AU26="이미 소진","소진됨",""),YEAR((DATE(설정!$C$6,1,1)+ROUND(AS26*365/12,0)-1))&amp;"-"&amp;TEXT(MONTH((DATE(설정!$C$6,1,1)+ROUND(AS26*365/12,0)-1)),"00")&amp;"-"&amp;TEXT(DAY((DATE(설정!$C$6,1,1)+ROUND(AS26*365/12,0)-1)),"00")))</f>
        <v/>
      </c>
      <c r="AU26" s="34">
        <f>IF($A26="","",IF(AND(P26&lt;=0,Q26&gt;0),"무예산",IF(P26&lt;=0,"-",IF(Q26&gt;=P26,"이미 소진",IF(AP26&lt;=0,"소진 안 됨",IF(AS26&lt;=12,"연내 고갈","연내 여유"))))))</f>
        <v/>
      </c>
      <c r="AV26" s="34">
        <f>IF($A26="","",IF(AJ26&lt;=0,"",IF(AK26&gt;=AJ26,"한도 소진",IF(AK26&lt;=0,"",IF(AJ26/(AK26/(설정!$C$20-설정!$C$22+1))&gt;3,"분기 내 여유",YEAR((DATE(설정!$C$6,설정!$C$22-설정!$C$6*12,1)+ROUND(MAX((설정!$C$20-설정!$C$22+1),AJ26/(AK26/(설정!$C$20-설정!$C$22+1)))*365/12,0)-1))&amp;"-"&amp;TEXT(MONTH((DATE(설정!$C$6,설정!$C$22-설정!$C$6*12,1)+ROUND(MAX((설정!$C$20-설정!$C$22+1),AJ26/(AK26/(설정!$C$20-설정!$C$22+1)))*365/12,0)-1)),"00")&amp;"-"&amp;TEXT(DAY((DATE(설정!$C$6,설정!$C$22-설정!$C$6*12,1)+ROUND(MAX((설정!$C$20-설정!$C$22+1),AJ26/(AK26/(설정!$C$20-설정!$C$22+1)))*365/12,0)-1)),"00"))))))</f>
        <v/>
      </c>
      <c r="AW26" s="41">
        <f>IF($A26="",999+ROW()/1000000,IF(AU26="이미 소진",ROW()/1000000,IF(AU26="연내 고갈",AS26+ROW()/1000000,99+ROW()/1000000)))</f>
        <v/>
      </c>
      <c r="AX26" s="35">
        <f>IF($A26="","",SUMIFS(월별집계!$C26:$Z26,월별집계!$C$5:$Z$5,"&gt;="&amp;((설정!$C$6-1)*12+1),월별집계!$C$5:$Z$5,"&lt;="&amp;(설정!$C$20-12)))</f>
        <v/>
      </c>
      <c r="AY26" s="80">
        <f>IF($A26="","",IF(AX26&lt;=0,IF(Q26&gt;0,1,0),Q26/AX26-1))</f>
        <v/>
      </c>
      <c r="AZ26" s="35">
        <f>IF($A26="","",SUMIFS(월별집계!$C26:$Z26,월별집계!$C$5:$Z$5,"&gt;"&amp;(설정!$C$20-12),월별집계!$C$5:$Z$5,"&lt;="&amp;((설정!$C$6-1)*12+12))/MAX(1,12-설정!$C$7))</f>
        <v/>
      </c>
    </row>
    <row r="27">
      <c r="A27" s="12" t="inlineStr">
        <is>
          <t>D300</t>
        </is>
      </c>
      <c r="B27" s="26">
        <f>IF($A27="","",IFERROR(INDEX(부서매핑!$D$5:$D$504,MATCH($A27,부서매핑!$C$5:$C$504,0)),"부서매핑 없음"))</f>
        <v/>
      </c>
      <c r="C27" s="79" t="inlineStr">
        <is>
          <t>62601000</t>
        </is>
      </c>
      <c r="D27" s="26">
        <f>IF($A27="","",IFERROR(INDEX(계정매핑!$B$5:$B$504,MATCH($C27&amp;"",계정매핑!$A$5:$A$504,0)),"계정매핑 없음"))</f>
        <v/>
      </c>
      <c r="E27" s="22">
        <f>IF($A27="","",$A27&amp;"|"&amp;$C27)</f>
        <v/>
      </c>
      <c r="F27" s="35">
        <f>IF($A27="","",월별집계!$Z27)</f>
        <v/>
      </c>
      <c r="G27" s="35">
        <f>IF($A27="","",월별집계!$Y27)</f>
        <v/>
      </c>
      <c r="H27" s="80">
        <f>IF($A27="","",IF(G27&lt;=0,IF(F27&gt;0,1,0),F27/G27-1))</f>
        <v/>
      </c>
      <c r="I27" s="35">
        <f>IF($A27="","",월별집계!$N27)</f>
        <v/>
      </c>
      <c r="J27" s="80">
        <f>IF($A27="","",IF(I27&lt;=0,IF(F27&gt;0,1,0),F27/I27-1))</f>
        <v/>
      </c>
      <c r="K27" s="35">
        <f>IF($A27="","",SUMIFS(월별집계!$C27:$Z27,월별집계!$C$5:$Z$5,"&gt;="&amp;설정!$C$22,월별집계!$C$5:$Z$5,"&lt;="&amp;설정!$C$20))</f>
        <v/>
      </c>
      <c r="L27" s="35">
        <f>IF($A27="","",SUMIFS(월별집계!$C27:$Z27,월별집계!$C$5:$Z$5,"&gt;="&amp;(설정!$C$22-3),월별집계!$C$5:$Z$5,"&lt;="&amp;(설정!$C$20-3)))</f>
        <v/>
      </c>
      <c r="M27" s="80">
        <f>IF($A27="","",IF(L27&lt;=0,IF(K27&gt;0,1,0),K27/L27-1))</f>
        <v/>
      </c>
      <c r="N27" s="40">
        <f>IF($A27="","",MAX(F27-G27,F27-I27))</f>
        <v/>
      </c>
      <c r="O27" s="62">
        <f>IF($A27="","",IFERROR((월별집계!$Z27-AVERAGE(월별집계!N27:Y27))/STDEV(월별집계!N27:Y27),0))</f>
        <v/>
      </c>
      <c r="P27" s="35">
        <f>IF($A27="","",SUMIFS(예산판_원본!$O$5:$O$5000,예산판_원본!$L$5:$L$5000,$E27,예산판_원본!$M$5:$M$5000,설정!$C$6))</f>
        <v/>
      </c>
      <c r="Q27" s="35">
        <f>IF($A27="","",SUMIFS(월별집계!$C27:$Z27,월별집계!$C$5:$Z$5,"&gt;="&amp;(설정!$C$6*12+1),월별집계!$C$5:$Z$5,"&lt;="&amp;설정!$C$20))</f>
        <v/>
      </c>
      <c r="R27" s="40">
        <f>IF($A27="","",P27-Q27)</f>
        <v/>
      </c>
      <c r="S27" s="35">
        <f>IF($A27="","",AVERAGE(월별집계!X27:Z27)*(12-설정!$C$7))</f>
        <v/>
      </c>
      <c r="T27" s="35">
        <f>IF($A27="","",IFERROR(Q27/(SUMIFS(월별집계!$C27:$Z27,월별집계!$C$5:$Z$5,"&gt;="&amp;((설정!$C$6-1)*12+1),월별집계!$C$5:$Z$5,"&lt;="&amp;(설정!$C$20-12))/SUMIFS(월별집계!$C27:$Z27,월별집계!$C$5:$Z$5,"&gt;="&amp;((설정!$C$6-1)*12+1),월별집계!$C$5:$Z$5,"&lt;="&amp;((설정!$C$6-1)*12+12)))-Q27,S27))</f>
        <v/>
      </c>
      <c r="U27" s="40">
        <f>IF($A27="","",Q27+MAX(S27,T27))</f>
        <v/>
      </c>
      <c r="V27" s="73">
        <f>IF($A27="","",IF(P27=0,0,U27/P27))</f>
        <v/>
      </c>
      <c r="W27" s="34">
        <f>IF($A27="","",IF(AND(P27=0,Q27&gt;0),"무예산",IF(P27=0,"-",IF(V27&gt;설정!$C$12,"부족 예상",IF(V27&gt;설정!$C$11,"주의","여유")))))</f>
        <v/>
      </c>
      <c r="X27" s="40">
        <f>IF($A27="","",IF(P27=0,0,MAX(0,U27-P27)))</f>
        <v/>
      </c>
      <c r="Y27" s="34">
        <f>IF($A27="","",IF(OR(W27&lt;&gt;"부족 예상",설정!$C$7=12),"",IF(R27&lt;=0,"이미 초과",MIN(12,설정!$C$7+ROUNDUP(R27/(MAX(S27,T27)/(12-설정!$C$7)),0))&amp;"월")))</f>
        <v/>
      </c>
      <c r="Z27" s="26">
        <f>IF($A27="","",TRIM(IF(AND(N(AC27)&gt;=설정!$C$14,N27&gt;=설정!$C$10),"단건"&amp;TEXT(MIN(AC27,1),"0%")&amp;" ","")&amp;IF(AND(N27&gt;0,AD27&gt;0),IF(AD27/N27&gt;=설정!$C$16,"SA대체 ",""),"")&amp;IF(AE27&gt;0,"역분개"&amp;AE27&amp;"건 ","")&amp;IF(O27&gt;=설정!$C$13,"이상치 ","")&amp;IF(AND(I27=0,F27&gt;0),"신규지출 ","")))</f>
        <v/>
      </c>
      <c r="AA27" s="62">
        <f>IF($A27="","",ROUND((AF27+AG27+AH27+AI27)*IF(AND(F27&lt;설정!$C$10,N27&lt;설정!$C$10),0.3,1),1))</f>
        <v/>
      </c>
      <c r="AB27" s="41">
        <f>IF($A27="","",AA27+ROW()/1000000)</f>
        <v/>
      </c>
      <c r="AC27" s="60">
        <f>IF(OR($A27="",N27&lt;=0),"",SUMPRODUCT(MAX((전표_원본!$O$5:$O$100000=$E27)*(전표_원본!$M$5:$M$100000=설정!$C$20)*전표_원본!$P$5:$P$100000))/N27)</f>
        <v/>
      </c>
      <c r="AD27" s="35">
        <f>IF($A27="","",SUMIFS(전표_원본!$P$5:$P$100000,전표_원본!$O$5:$O$100000,$E27,전표_원본!$M$5:$M$100000,설정!$C$20,전표_원본!$E$5:$E$100000,"SA")-SUMIFS(전표_원본!$P$5:$P$100000,전표_원본!$O$5:$O$100000,$E27,전표_원본!$M$5:$M$100000,설정!$C$20-1,전표_원본!$E$5:$E$100000,"SA"))</f>
        <v/>
      </c>
      <c r="AE27" s="81">
        <f>IF($A27="","",COUNTIFS(전표_원본!$O$5:$O$100000,$E27,전표_원본!$M$5:$M$100000,설정!$C$20,전표_원본!$P$5:$P$100000,"&lt;0"))</f>
        <v/>
      </c>
      <c r="AF27" s="62">
        <f>IF($A27="","",MIN(MAX(0,N27)/(설정!$C$10*5),1)*30)</f>
        <v/>
      </c>
      <c r="AG27" s="82">
        <f>IF($A27="","",MIN(MAX(0,H27,J27),1)*20)</f>
        <v/>
      </c>
      <c r="AH27" s="82">
        <f>IF($A27="","",MIN(MAX(0,O27)/3,1)*25)</f>
        <v/>
      </c>
      <c r="AI27" s="82">
        <f>IF($A27="","",IF(OR(W27="부족 예상",W27="무예산",AO27="한도 초과",AO27="초과 예상",AO27="무예산"),25,IF(OR(W27="주의",AO27="주의"),15,0)))</f>
        <v/>
      </c>
      <c r="AJ27" s="35">
        <f>IF($A27="","",SUMIFS(예산판_원본!$O$5:$O$5000,예산판_원본!$L$5:$L$5000,$E27,예산판_원본!$M$5:$M$5000,설정!$C$6,예산판_원본!$N$5:$N$5000,설정!$C$21))</f>
        <v/>
      </c>
      <c r="AK27" s="40">
        <f>IF($A27="","",K27)</f>
        <v/>
      </c>
      <c r="AL27" s="40">
        <f>IF($A27="","",AJ27-AK27)</f>
        <v/>
      </c>
      <c r="AM27" s="35">
        <f>IF($A27="","",AK27+AVERAGE(월별집계!X27:Z27)*MAX(0,설정!$C$22+2-설정!$C$20))</f>
        <v/>
      </c>
      <c r="AN27" s="73">
        <f>IF($A27="","",IF(AJ27=0,0,AM27/AJ27))</f>
        <v/>
      </c>
      <c r="AO27" s="34">
        <f>IF($A27="","",IF(AND(AJ27=0,AK27&gt;0),"무예산",IF(AJ27=0,"-",IF(AK27&gt;AJ27,"한도 초과",IF(AN27&gt;설정!$C$12,"초과 예상",IF(AN27&gt;설정!$C$11,"주의","여유"))))))</f>
        <v/>
      </c>
      <c r="AP27" s="35">
        <f>IF($A27="","",IF(설정!$C$19="최근월",(INDEX(월별집계!$AB27:$AM27,설정!$C$7)-INDEX(월별집계!$AB27:$AM27,MAX(1,설정!$C$7-1))*(설정!$C$7&gt;1)),IF(설정!$C$19="최근분기",((INDEX(월별집계!$AB27:$AM27,설정!$C$7)-INDEX(월별집계!$AB27:$AM27,MAX(1,설정!$C$7-3))*(설정!$C$7&gt;3))/MIN(3,설정!$C$7)),IF(설정!$C$19="전년추세",AZ27,((설정!$C$7+1)*SUMPRODUCT(월별집계!$AB$5:$AM$5,월별집계!$AB27:$AM27)-(설정!$C$7*(설정!$C$7+1)/2)*SUM(월별집계!$AB27:$AM27))/((설정!$C$7+1)*(설정!$C$7*(설정!$C$7+1)*(2*설정!$C$7+1)/6)-(설정!$C$7*(설정!$C$7+1)/2)^2)))))</f>
        <v/>
      </c>
      <c r="AQ27" s="35">
        <f>IF($A27="","",IF(설정!$C$19="연내누적",(SUM(월별집계!$AB27:$AM27)-AP27*(설정!$C$7*(설정!$C$7+1)/2))/(설정!$C$7+1),INDEX(월별집계!$AB27:$AM27,설정!$C$7)-AP27*설정!$C$7))</f>
        <v/>
      </c>
      <c r="AR27" s="40">
        <f>IF($A27="","",AQ27+AP27*12)</f>
        <v/>
      </c>
      <c r="AS27" s="82">
        <f>IF($A27="","",IF(OR(P27&lt;=0,Q27&gt;=P27,AP27&lt;=0),"",MAX(설정!$C$7,(P27-AQ27)/AP27)))</f>
        <v/>
      </c>
      <c r="AT27" s="22">
        <f>IF($A27="","",IF(AS27="",IF(AU27="이미 소진","소진됨",""),YEAR((DATE(설정!$C$6,1,1)+ROUND(AS27*365/12,0)-1))&amp;"-"&amp;TEXT(MONTH((DATE(설정!$C$6,1,1)+ROUND(AS27*365/12,0)-1)),"00")&amp;"-"&amp;TEXT(DAY((DATE(설정!$C$6,1,1)+ROUND(AS27*365/12,0)-1)),"00")))</f>
        <v/>
      </c>
      <c r="AU27" s="34">
        <f>IF($A27="","",IF(AND(P27&lt;=0,Q27&gt;0),"무예산",IF(P27&lt;=0,"-",IF(Q27&gt;=P27,"이미 소진",IF(AP27&lt;=0,"소진 안 됨",IF(AS27&lt;=12,"연내 고갈","연내 여유"))))))</f>
        <v/>
      </c>
      <c r="AV27" s="34">
        <f>IF($A27="","",IF(AJ27&lt;=0,"",IF(AK27&gt;=AJ27,"한도 소진",IF(AK27&lt;=0,"",IF(AJ27/(AK27/(설정!$C$20-설정!$C$22+1))&gt;3,"분기 내 여유",YEAR((DATE(설정!$C$6,설정!$C$22-설정!$C$6*12,1)+ROUND(MAX((설정!$C$20-설정!$C$22+1),AJ27/(AK27/(설정!$C$20-설정!$C$22+1)))*365/12,0)-1))&amp;"-"&amp;TEXT(MONTH((DATE(설정!$C$6,설정!$C$22-설정!$C$6*12,1)+ROUND(MAX((설정!$C$20-설정!$C$22+1),AJ27/(AK27/(설정!$C$20-설정!$C$22+1)))*365/12,0)-1)),"00")&amp;"-"&amp;TEXT(DAY((DATE(설정!$C$6,설정!$C$22-설정!$C$6*12,1)+ROUND(MAX((설정!$C$20-설정!$C$22+1),AJ27/(AK27/(설정!$C$20-설정!$C$22+1)))*365/12,0)-1)),"00"))))))</f>
        <v/>
      </c>
      <c r="AW27" s="41">
        <f>IF($A27="",999+ROW()/1000000,IF(AU27="이미 소진",ROW()/1000000,IF(AU27="연내 고갈",AS27+ROW()/1000000,99+ROW()/1000000)))</f>
        <v/>
      </c>
      <c r="AX27" s="35">
        <f>IF($A27="","",SUMIFS(월별집계!$C27:$Z27,월별집계!$C$5:$Z$5,"&gt;="&amp;((설정!$C$6-1)*12+1),월별집계!$C$5:$Z$5,"&lt;="&amp;(설정!$C$20-12)))</f>
        <v/>
      </c>
      <c r="AY27" s="80">
        <f>IF($A27="","",IF(AX27&lt;=0,IF(Q27&gt;0,1,0),Q27/AX27-1))</f>
        <v/>
      </c>
      <c r="AZ27" s="35">
        <f>IF($A27="","",SUMIFS(월별집계!$C27:$Z27,월별집계!$C$5:$Z$5,"&gt;"&amp;(설정!$C$20-12),월별집계!$C$5:$Z$5,"&lt;="&amp;((설정!$C$6-1)*12+12))/MAX(1,12-설정!$C$7))</f>
        <v/>
      </c>
    </row>
    <row r="28">
      <c r="A28" s="12" t="inlineStr">
        <is>
          <t>D300</t>
        </is>
      </c>
      <c r="B28" s="26">
        <f>IF($A28="","",IFERROR(INDEX(부서매핑!$D$5:$D$504,MATCH($A28,부서매핑!$C$5:$C$504,0)),"부서매핑 없음"))</f>
        <v/>
      </c>
      <c r="C28" s="79" t="inlineStr">
        <is>
          <t>62701000</t>
        </is>
      </c>
      <c r="D28" s="26">
        <f>IF($A28="","",IFERROR(INDEX(계정매핑!$B$5:$B$504,MATCH($C28&amp;"",계정매핑!$A$5:$A$504,0)),"계정매핑 없음"))</f>
        <v/>
      </c>
      <c r="E28" s="22">
        <f>IF($A28="","",$A28&amp;"|"&amp;$C28)</f>
        <v/>
      </c>
      <c r="F28" s="35">
        <f>IF($A28="","",월별집계!$Z28)</f>
        <v/>
      </c>
      <c r="G28" s="35">
        <f>IF($A28="","",월별집계!$Y28)</f>
        <v/>
      </c>
      <c r="H28" s="80">
        <f>IF($A28="","",IF(G28&lt;=0,IF(F28&gt;0,1,0),F28/G28-1))</f>
        <v/>
      </c>
      <c r="I28" s="35">
        <f>IF($A28="","",월별집계!$N28)</f>
        <v/>
      </c>
      <c r="J28" s="80">
        <f>IF($A28="","",IF(I28&lt;=0,IF(F28&gt;0,1,0),F28/I28-1))</f>
        <v/>
      </c>
      <c r="K28" s="35">
        <f>IF($A28="","",SUMIFS(월별집계!$C28:$Z28,월별집계!$C$5:$Z$5,"&gt;="&amp;설정!$C$22,월별집계!$C$5:$Z$5,"&lt;="&amp;설정!$C$20))</f>
        <v/>
      </c>
      <c r="L28" s="35">
        <f>IF($A28="","",SUMIFS(월별집계!$C28:$Z28,월별집계!$C$5:$Z$5,"&gt;="&amp;(설정!$C$22-3),월별집계!$C$5:$Z$5,"&lt;="&amp;(설정!$C$20-3)))</f>
        <v/>
      </c>
      <c r="M28" s="80">
        <f>IF($A28="","",IF(L28&lt;=0,IF(K28&gt;0,1,0),K28/L28-1))</f>
        <v/>
      </c>
      <c r="N28" s="40">
        <f>IF($A28="","",MAX(F28-G28,F28-I28))</f>
        <v/>
      </c>
      <c r="O28" s="62">
        <f>IF($A28="","",IFERROR((월별집계!$Z28-AVERAGE(월별집계!N28:Y28))/STDEV(월별집계!N28:Y28),0))</f>
        <v/>
      </c>
      <c r="P28" s="35">
        <f>IF($A28="","",SUMIFS(예산판_원본!$O$5:$O$5000,예산판_원본!$L$5:$L$5000,$E28,예산판_원본!$M$5:$M$5000,설정!$C$6))</f>
        <v/>
      </c>
      <c r="Q28" s="35">
        <f>IF($A28="","",SUMIFS(월별집계!$C28:$Z28,월별집계!$C$5:$Z$5,"&gt;="&amp;(설정!$C$6*12+1),월별집계!$C$5:$Z$5,"&lt;="&amp;설정!$C$20))</f>
        <v/>
      </c>
      <c r="R28" s="40">
        <f>IF($A28="","",P28-Q28)</f>
        <v/>
      </c>
      <c r="S28" s="35">
        <f>IF($A28="","",AVERAGE(월별집계!X28:Z28)*(12-설정!$C$7))</f>
        <v/>
      </c>
      <c r="T28" s="35">
        <f>IF($A28="","",IFERROR(Q28/(SUMIFS(월별집계!$C28:$Z28,월별집계!$C$5:$Z$5,"&gt;="&amp;((설정!$C$6-1)*12+1),월별집계!$C$5:$Z$5,"&lt;="&amp;(설정!$C$20-12))/SUMIFS(월별집계!$C28:$Z28,월별집계!$C$5:$Z$5,"&gt;="&amp;((설정!$C$6-1)*12+1),월별집계!$C$5:$Z$5,"&lt;="&amp;((설정!$C$6-1)*12+12)))-Q28,S28))</f>
        <v/>
      </c>
      <c r="U28" s="40">
        <f>IF($A28="","",Q28+MAX(S28,T28))</f>
        <v/>
      </c>
      <c r="V28" s="73">
        <f>IF($A28="","",IF(P28=0,0,U28/P28))</f>
        <v/>
      </c>
      <c r="W28" s="34">
        <f>IF($A28="","",IF(AND(P28=0,Q28&gt;0),"무예산",IF(P28=0,"-",IF(V28&gt;설정!$C$12,"부족 예상",IF(V28&gt;설정!$C$11,"주의","여유")))))</f>
        <v/>
      </c>
      <c r="X28" s="40">
        <f>IF($A28="","",IF(P28=0,0,MAX(0,U28-P28)))</f>
        <v/>
      </c>
      <c r="Y28" s="34">
        <f>IF($A28="","",IF(OR(W28&lt;&gt;"부족 예상",설정!$C$7=12),"",IF(R28&lt;=0,"이미 초과",MIN(12,설정!$C$7+ROUNDUP(R28/(MAX(S28,T28)/(12-설정!$C$7)),0))&amp;"월")))</f>
        <v/>
      </c>
      <c r="Z28" s="26">
        <f>IF($A28="","",TRIM(IF(AND(N(AC28)&gt;=설정!$C$14,N28&gt;=설정!$C$10),"단건"&amp;TEXT(MIN(AC28,1),"0%")&amp;" ","")&amp;IF(AND(N28&gt;0,AD28&gt;0),IF(AD28/N28&gt;=설정!$C$16,"SA대체 ",""),"")&amp;IF(AE28&gt;0,"역분개"&amp;AE28&amp;"건 ","")&amp;IF(O28&gt;=설정!$C$13,"이상치 ","")&amp;IF(AND(I28=0,F28&gt;0),"신규지출 ","")))</f>
        <v/>
      </c>
      <c r="AA28" s="62">
        <f>IF($A28="","",ROUND((AF28+AG28+AH28+AI28)*IF(AND(F28&lt;설정!$C$10,N28&lt;설정!$C$10),0.3,1),1))</f>
        <v/>
      </c>
      <c r="AB28" s="41">
        <f>IF($A28="","",AA28+ROW()/1000000)</f>
        <v/>
      </c>
      <c r="AC28" s="60">
        <f>IF(OR($A28="",N28&lt;=0),"",SUMPRODUCT(MAX((전표_원본!$O$5:$O$100000=$E28)*(전표_원본!$M$5:$M$100000=설정!$C$20)*전표_원본!$P$5:$P$100000))/N28)</f>
        <v/>
      </c>
      <c r="AD28" s="35">
        <f>IF($A28="","",SUMIFS(전표_원본!$P$5:$P$100000,전표_원본!$O$5:$O$100000,$E28,전표_원본!$M$5:$M$100000,설정!$C$20,전표_원본!$E$5:$E$100000,"SA")-SUMIFS(전표_원본!$P$5:$P$100000,전표_원본!$O$5:$O$100000,$E28,전표_원본!$M$5:$M$100000,설정!$C$20-1,전표_원본!$E$5:$E$100000,"SA"))</f>
        <v/>
      </c>
      <c r="AE28" s="81">
        <f>IF($A28="","",COUNTIFS(전표_원본!$O$5:$O$100000,$E28,전표_원본!$M$5:$M$100000,설정!$C$20,전표_원본!$P$5:$P$100000,"&lt;0"))</f>
        <v/>
      </c>
      <c r="AF28" s="62">
        <f>IF($A28="","",MIN(MAX(0,N28)/(설정!$C$10*5),1)*30)</f>
        <v/>
      </c>
      <c r="AG28" s="82">
        <f>IF($A28="","",MIN(MAX(0,H28,J28),1)*20)</f>
        <v/>
      </c>
      <c r="AH28" s="82">
        <f>IF($A28="","",MIN(MAX(0,O28)/3,1)*25)</f>
        <v/>
      </c>
      <c r="AI28" s="82">
        <f>IF($A28="","",IF(OR(W28="부족 예상",W28="무예산",AO28="한도 초과",AO28="초과 예상",AO28="무예산"),25,IF(OR(W28="주의",AO28="주의"),15,0)))</f>
        <v/>
      </c>
      <c r="AJ28" s="35">
        <f>IF($A28="","",SUMIFS(예산판_원본!$O$5:$O$5000,예산판_원본!$L$5:$L$5000,$E28,예산판_원본!$M$5:$M$5000,설정!$C$6,예산판_원본!$N$5:$N$5000,설정!$C$21))</f>
        <v/>
      </c>
      <c r="AK28" s="40">
        <f>IF($A28="","",K28)</f>
        <v/>
      </c>
      <c r="AL28" s="40">
        <f>IF($A28="","",AJ28-AK28)</f>
        <v/>
      </c>
      <c r="AM28" s="35">
        <f>IF($A28="","",AK28+AVERAGE(월별집계!X28:Z28)*MAX(0,설정!$C$22+2-설정!$C$20))</f>
        <v/>
      </c>
      <c r="AN28" s="73">
        <f>IF($A28="","",IF(AJ28=0,0,AM28/AJ28))</f>
        <v/>
      </c>
      <c r="AO28" s="34">
        <f>IF($A28="","",IF(AND(AJ28=0,AK28&gt;0),"무예산",IF(AJ28=0,"-",IF(AK28&gt;AJ28,"한도 초과",IF(AN28&gt;설정!$C$12,"초과 예상",IF(AN28&gt;설정!$C$11,"주의","여유"))))))</f>
        <v/>
      </c>
      <c r="AP28" s="35">
        <f>IF($A28="","",IF(설정!$C$19="최근월",(INDEX(월별집계!$AB28:$AM28,설정!$C$7)-INDEX(월별집계!$AB28:$AM28,MAX(1,설정!$C$7-1))*(설정!$C$7&gt;1)),IF(설정!$C$19="최근분기",((INDEX(월별집계!$AB28:$AM28,설정!$C$7)-INDEX(월별집계!$AB28:$AM28,MAX(1,설정!$C$7-3))*(설정!$C$7&gt;3))/MIN(3,설정!$C$7)),IF(설정!$C$19="전년추세",AZ28,((설정!$C$7+1)*SUMPRODUCT(월별집계!$AB$5:$AM$5,월별집계!$AB28:$AM28)-(설정!$C$7*(설정!$C$7+1)/2)*SUM(월별집계!$AB28:$AM28))/((설정!$C$7+1)*(설정!$C$7*(설정!$C$7+1)*(2*설정!$C$7+1)/6)-(설정!$C$7*(설정!$C$7+1)/2)^2)))))</f>
        <v/>
      </c>
      <c r="AQ28" s="35">
        <f>IF($A28="","",IF(설정!$C$19="연내누적",(SUM(월별집계!$AB28:$AM28)-AP28*(설정!$C$7*(설정!$C$7+1)/2))/(설정!$C$7+1),INDEX(월별집계!$AB28:$AM28,설정!$C$7)-AP28*설정!$C$7))</f>
        <v/>
      </c>
      <c r="AR28" s="40">
        <f>IF($A28="","",AQ28+AP28*12)</f>
        <v/>
      </c>
      <c r="AS28" s="82">
        <f>IF($A28="","",IF(OR(P28&lt;=0,Q28&gt;=P28,AP28&lt;=0),"",MAX(설정!$C$7,(P28-AQ28)/AP28)))</f>
        <v/>
      </c>
      <c r="AT28" s="22">
        <f>IF($A28="","",IF(AS28="",IF(AU28="이미 소진","소진됨",""),YEAR((DATE(설정!$C$6,1,1)+ROUND(AS28*365/12,0)-1))&amp;"-"&amp;TEXT(MONTH((DATE(설정!$C$6,1,1)+ROUND(AS28*365/12,0)-1)),"00")&amp;"-"&amp;TEXT(DAY((DATE(설정!$C$6,1,1)+ROUND(AS28*365/12,0)-1)),"00")))</f>
        <v/>
      </c>
      <c r="AU28" s="34">
        <f>IF($A28="","",IF(AND(P28&lt;=0,Q28&gt;0),"무예산",IF(P28&lt;=0,"-",IF(Q28&gt;=P28,"이미 소진",IF(AP28&lt;=0,"소진 안 됨",IF(AS28&lt;=12,"연내 고갈","연내 여유"))))))</f>
        <v/>
      </c>
      <c r="AV28" s="34">
        <f>IF($A28="","",IF(AJ28&lt;=0,"",IF(AK28&gt;=AJ28,"한도 소진",IF(AK28&lt;=0,"",IF(AJ28/(AK28/(설정!$C$20-설정!$C$22+1))&gt;3,"분기 내 여유",YEAR((DATE(설정!$C$6,설정!$C$22-설정!$C$6*12,1)+ROUND(MAX((설정!$C$20-설정!$C$22+1),AJ28/(AK28/(설정!$C$20-설정!$C$22+1)))*365/12,0)-1))&amp;"-"&amp;TEXT(MONTH((DATE(설정!$C$6,설정!$C$22-설정!$C$6*12,1)+ROUND(MAX((설정!$C$20-설정!$C$22+1),AJ28/(AK28/(설정!$C$20-설정!$C$22+1)))*365/12,0)-1)),"00")&amp;"-"&amp;TEXT(DAY((DATE(설정!$C$6,설정!$C$22-설정!$C$6*12,1)+ROUND(MAX((설정!$C$20-설정!$C$22+1),AJ28/(AK28/(설정!$C$20-설정!$C$22+1)))*365/12,0)-1)),"00"))))))</f>
        <v/>
      </c>
      <c r="AW28" s="41">
        <f>IF($A28="",999+ROW()/1000000,IF(AU28="이미 소진",ROW()/1000000,IF(AU28="연내 고갈",AS28+ROW()/1000000,99+ROW()/1000000)))</f>
        <v/>
      </c>
      <c r="AX28" s="35">
        <f>IF($A28="","",SUMIFS(월별집계!$C28:$Z28,월별집계!$C$5:$Z$5,"&gt;="&amp;((설정!$C$6-1)*12+1),월별집계!$C$5:$Z$5,"&lt;="&amp;(설정!$C$20-12)))</f>
        <v/>
      </c>
      <c r="AY28" s="80">
        <f>IF($A28="","",IF(AX28&lt;=0,IF(Q28&gt;0,1,0),Q28/AX28-1))</f>
        <v/>
      </c>
      <c r="AZ28" s="35">
        <f>IF($A28="","",SUMIFS(월별집계!$C28:$Z28,월별집계!$C$5:$Z$5,"&gt;"&amp;(설정!$C$20-12),월별집계!$C$5:$Z$5,"&lt;="&amp;((설정!$C$6-1)*12+12))/MAX(1,12-설정!$C$7))</f>
        <v/>
      </c>
    </row>
    <row r="29">
      <c r="A29" s="12" t="inlineStr">
        <is>
          <t>D300</t>
        </is>
      </c>
      <c r="B29" s="26">
        <f>IF($A29="","",IFERROR(INDEX(부서매핑!$D$5:$D$504,MATCH($A29,부서매핑!$C$5:$C$504,0)),"부서매핑 없음"))</f>
        <v/>
      </c>
      <c r="C29" s="79" t="inlineStr">
        <is>
          <t>62801000</t>
        </is>
      </c>
      <c r="D29" s="26">
        <f>IF($A29="","",IFERROR(INDEX(계정매핑!$B$5:$B$504,MATCH($C29&amp;"",계정매핑!$A$5:$A$504,0)),"계정매핑 없음"))</f>
        <v/>
      </c>
      <c r="E29" s="22">
        <f>IF($A29="","",$A29&amp;"|"&amp;$C29)</f>
        <v/>
      </c>
      <c r="F29" s="35">
        <f>IF($A29="","",월별집계!$Z29)</f>
        <v/>
      </c>
      <c r="G29" s="35">
        <f>IF($A29="","",월별집계!$Y29)</f>
        <v/>
      </c>
      <c r="H29" s="80">
        <f>IF($A29="","",IF(G29&lt;=0,IF(F29&gt;0,1,0),F29/G29-1))</f>
        <v/>
      </c>
      <c r="I29" s="35">
        <f>IF($A29="","",월별집계!$N29)</f>
        <v/>
      </c>
      <c r="J29" s="80">
        <f>IF($A29="","",IF(I29&lt;=0,IF(F29&gt;0,1,0),F29/I29-1))</f>
        <v/>
      </c>
      <c r="K29" s="35">
        <f>IF($A29="","",SUMIFS(월별집계!$C29:$Z29,월별집계!$C$5:$Z$5,"&gt;="&amp;설정!$C$22,월별집계!$C$5:$Z$5,"&lt;="&amp;설정!$C$20))</f>
        <v/>
      </c>
      <c r="L29" s="35">
        <f>IF($A29="","",SUMIFS(월별집계!$C29:$Z29,월별집계!$C$5:$Z$5,"&gt;="&amp;(설정!$C$22-3),월별집계!$C$5:$Z$5,"&lt;="&amp;(설정!$C$20-3)))</f>
        <v/>
      </c>
      <c r="M29" s="80">
        <f>IF($A29="","",IF(L29&lt;=0,IF(K29&gt;0,1,0),K29/L29-1))</f>
        <v/>
      </c>
      <c r="N29" s="40">
        <f>IF($A29="","",MAX(F29-G29,F29-I29))</f>
        <v/>
      </c>
      <c r="O29" s="62">
        <f>IF($A29="","",IFERROR((월별집계!$Z29-AVERAGE(월별집계!N29:Y29))/STDEV(월별집계!N29:Y29),0))</f>
        <v/>
      </c>
      <c r="P29" s="35">
        <f>IF($A29="","",SUMIFS(예산판_원본!$O$5:$O$5000,예산판_원본!$L$5:$L$5000,$E29,예산판_원본!$M$5:$M$5000,설정!$C$6))</f>
        <v/>
      </c>
      <c r="Q29" s="35">
        <f>IF($A29="","",SUMIFS(월별집계!$C29:$Z29,월별집계!$C$5:$Z$5,"&gt;="&amp;(설정!$C$6*12+1),월별집계!$C$5:$Z$5,"&lt;="&amp;설정!$C$20))</f>
        <v/>
      </c>
      <c r="R29" s="40">
        <f>IF($A29="","",P29-Q29)</f>
        <v/>
      </c>
      <c r="S29" s="35">
        <f>IF($A29="","",AVERAGE(월별집계!X29:Z29)*(12-설정!$C$7))</f>
        <v/>
      </c>
      <c r="T29" s="35">
        <f>IF($A29="","",IFERROR(Q29/(SUMIFS(월별집계!$C29:$Z29,월별집계!$C$5:$Z$5,"&gt;="&amp;((설정!$C$6-1)*12+1),월별집계!$C$5:$Z$5,"&lt;="&amp;(설정!$C$20-12))/SUMIFS(월별집계!$C29:$Z29,월별집계!$C$5:$Z$5,"&gt;="&amp;((설정!$C$6-1)*12+1),월별집계!$C$5:$Z$5,"&lt;="&amp;((설정!$C$6-1)*12+12)))-Q29,S29))</f>
        <v/>
      </c>
      <c r="U29" s="40">
        <f>IF($A29="","",Q29+MAX(S29,T29))</f>
        <v/>
      </c>
      <c r="V29" s="73">
        <f>IF($A29="","",IF(P29=0,0,U29/P29))</f>
        <v/>
      </c>
      <c r="W29" s="34">
        <f>IF($A29="","",IF(AND(P29=0,Q29&gt;0),"무예산",IF(P29=0,"-",IF(V29&gt;설정!$C$12,"부족 예상",IF(V29&gt;설정!$C$11,"주의","여유")))))</f>
        <v/>
      </c>
      <c r="X29" s="40">
        <f>IF($A29="","",IF(P29=0,0,MAX(0,U29-P29)))</f>
        <v/>
      </c>
      <c r="Y29" s="34">
        <f>IF($A29="","",IF(OR(W29&lt;&gt;"부족 예상",설정!$C$7=12),"",IF(R29&lt;=0,"이미 초과",MIN(12,설정!$C$7+ROUNDUP(R29/(MAX(S29,T29)/(12-설정!$C$7)),0))&amp;"월")))</f>
        <v/>
      </c>
      <c r="Z29" s="26">
        <f>IF($A29="","",TRIM(IF(AND(N(AC29)&gt;=설정!$C$14,N29&gt;=설정!$C$10),"단건"&amp;TEXT(MIN(AC29,1),"0%")&amp;" ","")&amp;IF(AND(N29&gt;0,AD29&gt;0),IF(AD29/N29&gt;=설정!$C$16,"SA대체 ",""),"")&amp;IF(AE29&gt;0,"역분개"&amp;AE29&amp;"건 ","")&amp;IF(O29&gt;=설정!$C$13,"이상치 ","")&amp;IF(AND(I29=0,F29&gt;0),"신규지출 ","")))</f>
        <v/>
      </c>
      <c r="AA29" s="62">
        <f>IF($A29="","",ROUND((AF29+AG29+AH29+AI29)*IF(AND(F29&lt;설정!$C$10,N29&lt;설정!$C$10),0.3,1),1))</f>
        <v/>
      </c>
      <c r="AB29" s="41">
        <f>IF($A29="","",AA29+ROW()/1000000)</f>
        <v/>
      </c>
      <c r="AC29" s="60">
        <f>IF(OR($A29="",N29&lt;=0),"",SUMPRODUCT(MAX((전표_원본!$O$5:$O$100000=$E29)*(전표_원본!$M$5:$M$100000=설정!$C$20)*전표_원본!$P$5:$P$100000))/N29)</f>
        <v/>
      </c>
      <c r="AD29" s="35">
        <f>IF($A29="","",SUMIFS(전표_원본!$P$5:$P$100000,전표_원본!$O$5:$O$100000,$E29,전표_원본!$M$5:$M$100000,설정!$C$20,전표_원본!$E$5:$E$100000,"SA")-SUMIFS(전표_원본!$P$5:$P$100000,전표_원본!$O$5:$O$100000,$E29,전표_원본!$M$5:$M$100000,설정!$C$20-1,전표_원본!$E$5:$E$100000,"SA"))</f>
        <v/>
      </c>
      <c r="AE29" s="81">
        <f>IF($A29="","",COUNTIFS(전표_원본!$O$5:$O$100000,$E29,전표_원본!$M$5:$M$100000,설정!$C$20,전표_원본!$P$5:$P$100000,"&lt;0"))</f>
        <v/>
      </c>
      <c r="AF29" s="62">
        <f>IF($A29="","",MIN(MAX(0,N29)/(설정!$C$10*5),1)*30)</f>
        <v/>
      </c>
      <c r="AG29" s="82">
        <f>IF($A29="","",MIN(MAX(0,H29,J29),1)*20)</f>
        <v/>
      </c>
      <c r="AH29" s="82">
        <f>IF($A29="","",MIN(MAX(0,O29)/3,1)*25)</f>
        <v/>
      </c>
      <c r="AI29" s="82">
        <f>IF($A29="","",IF(OR(W29="부족 예상",W29="무예산",AO29="한도 초과",AO29="초과 예상",AO29="무예산"),25,IF(OR(W29="주의",AO29="주의"),15,0)))</f>
        <v/>
      </c>
      <c r="AJ29" s="35">
        <f>IF($A29="","",SUMIFS(예산판_원본!$O$5:$O$5000,예산판_원본!$L$5:$L$5000,$E29,예산판_원본!$M$5:$M$5000,설정!$C$6,예산판_원본!$N$5:$N$5000,설정!$C$21))</f>
        <v/>
      </c>
      <c r="AK29" s="40">
        <f>IF($A29="","",K29)</f>
        <v/>
      </c>
      <c r="AL29" s="40">
        <f>IF($A29="","",AJ29-AK29)</f>
        <v/>
      </c>
      <c r="AM29" s="35">
        <f>IF($A29="","",AK29+AVERAGE(월별집계!X29:Z29)*MAX(0,설정!$C$22+2-설정!$C$20))</f>
        <v/>
      </c>
      <c r="AN29" s="73">
        <f>IF($A29="","",IF(AJ29=0,0,AM29/AJ29))</f>
        <v/>
      </c>
      <c r="AO29" s="34">
        <f>IF($A29="","",IF(AND(AJ29=0,AK29&gt;0),"무예산",IF(AJ29=0,"-",IF(AK29&gt;AJ29,"한도 초과",IF(AN29&gt;설정!$C$12,"초과 예상",IF(AN29&gt;설정!$C$11,"주의","여유"))))))</f>
        <v/>
      </c>
      <c r="AP29" s="35">
        <f>IF($A29="","",IF(설정!$C$19="최근월",(INDEX(월별집계!$AB29:$AM29,설정!$C$7)-INDEX(월별집계!$AB29:$AM29,MAX(1,설정!$C$7-1))*(설정!$C$7&gt;1)),IF(설정!$C$19="최근분기",((INDEX(월별집계!$AB29:$AM29,설정!$C$7)-INDEX(월별집계!$AB29:$AM29,MAX(1,설정!$C$7-3))*(설정!$C$7&gt;3))/MIN(3,설정!$C$7)),IF(설정!$C$19="전년추세",AZ29,((설정!$C$7+1)*SUMPRODUCT(월별집계!$AB$5:$AM$5,월별집계!$AB29:$AM29)-(설정!$C$7*(설정!$C$7+1)/2)*SUM(월별집계!$AB29:$AM29))/((설정!$C$7+1)*(설정!$C$7*(설정!$C$7+1)*(2*설정!$C$7+1)/6)-(설정!$C$7*(설정!$C$7+1)/2)^2)))))</f>
        <v/>
      </c>
      <c r="AQ29" s="35">
        <f>IF($A29="","",IF(설정!$C$19="연내누적",(SUM(월별집계!$AB29:$AM29)-AP29*(설정!$C$7*(설정!$C$7+1)/2))/(설정!$C$7+1),INDEX(월별집계!$AB29:$AM29,설정!$C$7)-AP29*설정!$C$7))</f>
        <v/>
      </c>
      <c r="AR29" s="40">
        <f>IF($A29="","",AQ29+AP29*12)</f>
        <v/>
      </c>
      <c r="AS29" s="82">
        <f>IF($A29="","",IF(OR(P29&lt;=0,Q29&gt;=P29,AP29&lt;=0),"",MAX(설정!$C$7,(P29-AQ29)/AP29)))</f>
        <v/>
      </c>
      <c r="AT29" s="22">
        <f>IF($A29="","",IF(AS29="",IF(AU29="이미 소진","소진됨",""),YEAR((DATE(설정!$C$6,1,1)+ROUND(AS29*365/12,0)-1))&amp;"-"&amp;TEXT(MONTH((DATE(설정!$C$6,1,1)+ROUND(AS29*365/12,0)-1)),"00")&amp;"-"&amp;TEXT(DAY((DATE(설정!$C$6,1,1)+ROUND(AS29*365/12,0)-1)),"00")))</f>
        <v/>
      </c>
      <c r="AU29" s="34">
        <f>IF($A29="","",IF(AND(P29&lt;=0,Q29&gt;0),"무예산",IF(P29&lt;=0,"-",IF(Q29&gt;=P29,"이미 소진",IF(AP29&lt;=0,"소진 안 됨",IF(AS29&lt;=12,"연내 고갈","연내 여유"))))))</f>
        <v/>
      </c>
      <c r="AV29" s="34">
        <f>IF($A29="","",IF(AJ29&lt;=0,"",IF(AK29&gt;=AJ29,"한도 소진",IF(AK29&lt;=0,"",IF(AJ29/(AK29/(설정!$C$20-설정!$C$22+1))&gt;3,"분기 내 여유",YEAR((DATE(설정!$C$6,설정!$C$22-설정!$C$6*12,1)+ROUND(MAX((설정!$C$20-설정!$C$22+1),AJ29/(AK29/(설정!$C$20-설정!$C$22+1)))*365/12,0)-1))&amp;"-"&amp;TEXT(MONTH((DATE(설정!$C$6,설정!$C$22-설정!$C$6*12,1)+ROUND(MAX((설정!$C$20-설정!$C$22+1),AJ29/(AK29/(설정!$C$20-설정!$C$22+1)))*365/12,0)-1)),"00")&amp;"-"&amp;TEXT(DAY((DATE(설정!$C$6,설정!$C$22-설정!$C$6*12,1)+ROUND(MAX((설정!$C$20-설정!$C$22+1),AJ29/(AK29/(설정!$C$20-설정!$C$22+1)))*365/12,0)-1)),"00"))))))</f>
        <v/>
      </c>
      <c r="AW29" s="41">
        <f>IF($A29="",999+ROW()/1000000,IF(AU29="이미 소진",ROW()/1000000,IF(AU29="연내 고갈",AS29+ROW()/1000000,99+ROW()/1000000)))</f>
        <v/>
      </c>
      <c r="AX29" s="35">
        <f>IF($A29="","",SUMIFS(월별집계!$C29:$Z29,월별집계!$C$5:$Z$5,"&gt;="&amp;((설정!$C$6-1)*12+1),월별집계!$C$5:$Z$5,"&lt;="&amp;(설정!$C$20-12)))</f>
        <v/>
      </c>
      <c r="AY29" s="80">
        <f>IF($A29="","",IF(AX29&lt;=0,IF(Q29&gt;0,1,0),Q29/AX29-1))</f>
        <v/>
      </c>
      <c r="AZ29" s="35">
        <f>IF($A29="","",SUMIFS(월별집계!$C29:$Z29,월별집계!$C$5:$Z$5,"&gt;"&amp;(설정!$C$20-12),월별집계!$C$5:$Z$5,"&lt;="&amp;((설정!$C$6-1)*12+12))/MAX(1,12-설정!$C$7))</f>
        <v/>
      </c>
    </row>
    <row r="30">
      <c r="A30" s="12" t="inlineStr">
        <is>
          <t>D300</t>
        </is>
      </c>
      <c r="B30" s="26">
        <f>IF($A30="","",IFERROR(INDEX(부서매핑!$D$5:$D$504,MATCH($A30,부서매핑!$C$5:$C$504,0)),"부서매핑 없음"))</f>
        <v/>
      </c>
      <c r="C30" s="79" t="inlineStr">
        <is>
          <t>62802000</t>
        </is>
      </c>
      <c r="D30" s="26">
        <f>IF($A30="","",IFERROR(INDEX(계정매핑!$B$5:$B$504,MATCH($C30&amp;"",계정매핑!$A$5:$A$504,0)),"계정매핑 없음"))</f>
        <v/>
      </c>
      <c r="E30" s="22">
        <f>IF($A30="","",$A30&amp;"|"&amp;$C30)</f>
        <v/>
      </c>
      <c r="F30" s="35">
        <f>IF($A30="","",월별집계!$Z30)</f>
        <v/>
      </c>
      <c r="G30" s="35">
        <f>IF($A30="","",월별집계!$Y30)</f>
        <v/>
      </c>
      <c r="H30" s="80">
        <f>IF($A30="","",IF(G30&lt;=0,IF(F30&gt;0,1,0),F30/G30-1))</f>
        <v/>
      </c>
      <c r="I30" s="35">
        <f>IF($A30="","",월별집계!$N30)</f>
        <v/>
      </c>
      <c r="J30" s="80">
        <f>IF($A30="","",IF(I30&lt;=0,IF(F30&gt;0,1,0),F30/I30-1))</f>
        <v/>
      </c>
      <c r="K30" s="35">
        <f>IF($A30="","",SUMIFS(월별집계!$C30:$Z30,월별집계!$C$5:$Z$5,"&gt;="&amp;설정!$C$22,월별집계!$C$5:$Z$5,"&lt;="&amp;설정!$C$20))</f>
        <v/>
      </c>
      <c r="L30" s="35">
        <f>IF($A30="","",SUMIFS(월별집계!$C30:$Z30,월별집계!$C$5:$Z$5,"&gt;="&amp;(설정!$C$22-3),월별집계!$C$5:$Z$5,"&lt;="&amp;(설정!$C$20-3)))</f>
        <v/>
      </c>
      <c r="M30" s="80">
        <f>IF($A30="","",IF(L30&lt;=0,IF(K30&gt;0,1,0),K30/L30-1))</f>
        <v/>
      </c>
      <c r="N30" s="40">
        <f>IF($A30="","",MAX(F30-G30,F30-I30))</f>
        <v/>
      </c>
      <c r="O30" s="62">
        <f>IF($A30="","",IFERROR((월별집계!$Z30-AVERAGE(월별집계!N30:Y30))/STDEV(월별집계!N30:Y30),0))</f>
        <v/>
      </c>
      <c r="P30" s="35">
        <f>IF($A30="","",SUMIFS(예산판_원본!$O$5:$O$5000,예산판_원본!$L$5:$L$5000,$E30,예산판_원본!$M$5:$M$5000,설정!$C$6))</f>
        <v/>
      </c>
      <c r="Q30" s="35">
        <f>IF($A30="","",SUMIFS(월별집계!$C30:$Z30,월별집계!$C$5:$Z$5,"&gt;="&amp;(설정!$C$6*12+1),월별집계!$C$5:$Z$5,"&lt;="&amp;설정!$C$20))</f>
        <v/>
      </c>
      <c r="R30" s="40">
        <f>IF($A30="","",P30-Q30)</f>
        <v/>
      </c>
      <c r="S30" s="35">
        <f>IF($A30="","",AVERAGE(월별집계!X30:Z30)*(12-설정!$C$7))</f>
        <v/>
      </c>
      <c r="T30" s="35">
        <f>IF($A30="","",IFERROR(Q30/(SUMIFS(월별집계!$C30:$Z30,월별집계!$C$5:$Z$5,"&gt;="&amp;((설정!$C$6-1)*12+1),월별집계!$C$5:$Z$5,"&lt;="&amp;(설정!$C$20-12))/SUMIFS(월별집계!$C30:$Z30,월별집계!$C$5:$Z$5,"&gt;="&amp;((설정!$C$6-1)*12+1),월별집계!$C$5:$Z$5,"&lt;="&amp;((설정!$C$6-1)*12+12)))-Q30,S30))</f>
        <v/>
      </c>
      <c r="U30" s="40">
        <f>IF($A30="","",Q30+MAX(S30,T30))</f>
        <v/>
      </c>
      <c r="V30" s="73">
        <f>IF($A30="","",IF(P30=0,0,U30/P30))</f>
        <v/>
      </c>
      <c r="W30" s="34">
        <f>IF($A30="","",IF(AND(P30=0,Q30&gt;0),"무예산",IF(P30=0,"-",IF(V30&gt;설정!$C$12,"부족 예상",IF(V30&gt;설정!$C$11,"주의","여유")))))</f>
        <v/>
      </c>
      <c r="X30" s="40">
        <f>IF($A30="","",IF(P30=0,0,MAX(0,U30-P30)))</f>
        <v/>
      </c>
      <c r="Y30" s="34">
        <f>IF($A30="","",IF(OR(W30&lt;&gt;"부족 예상",설정!$C$7=12),"",IF(R30&lt;=0,"이미 초과",MIN(12,설정!$C$7+ROUNDUP(R30/(MAX(S30,T30)/(12-설정!$C$7)),0))&amp;"월")))</f>
        <v/>
      </c>
      <c r="Z30" s="26">
        <f>IF($A30="","",TRIM(IF(AND(N(AC30)&gt;=설정!$C$14,N30&gt;=설정!$C$10),"단건"&amp;TEXT(MIN(AC30,1),"0%")&amp;" ","")&amp;IF(AND(N30&gt;0,AD30&gt;0),IF(AD30/N30&gt;=설정!$C$16,"SA대체 ",""),"")&amp;IF(AE30&gt;0,"역분개"&amp;AE30&amp;"건 ","")&amp;IF(O30&gt;=설정!$C$13,"이상치 ","")&amp;IF(AND(I30=0,F30&gt;0),"신규지출 ","")))</f>
        <v/>
      </c>
      <c r="AA30" s="62">
        <f>IF($A30="","",ROUND((AF30+AG30+AH30+AI30)*IF(AND(F30&lt;설정!$C$10,N30&lt;설정!$C$10),0.3,1),1))</f>
        <v/>
      </c>
      <c r="AB30" s="41">
        <f>IF($A30="","",AA30+ROW()/1000000)</f>
        <v/>
      </c>
      <c r="AC30" s="60">
        <f>IF(OR($A30="",N30&lt;=0),"",SUMPRODUCT(MAX((전표_원본!$O$5:$O$100000=$E30)*(전표_원본!$M$5:$M$100000=설정!$C$20)*전표_원본!$P$5:$P$100000))/N30)</f>
        <v/>
      </c>
      <c r="AD30" s="35">
        <f>IF($A30="","",SUMIFS(전표_원본!$P$5:$P$100000,전표_원본!$O$5:$O$100000,$E30,전표_원본!$M$5:$M$100000,설정!$C$20,전표_원본!$E$5:$E$100000,"SA")-SUMIFS(전표_원본!$P$5:$P$100000,전표_원본!$O$5:$O$100000,$E30,전표_원본!$M$5:$M$100000,설정!$C$20-1,전표_원본!$E$5:$E$100000,"SA"))</f>
        <v/>
      </c>
      <c r="AE30" s="81">
        <f>IF($A30="","",COUNTIFS(전표_원본!$O$5:$O$100000,$E30,전표_원본!$M$5:$M$100000,설정!$C$20,전표_원본!$P$5:$P$100000,"&lt;0"))</f>
        <v/>
      </c>
      <c r="AF30" s="62">
        <f>IF($A30="","",MIN(MAX(0,N30)/(설정!$C$10*5),1)*30)</f>
        <v/>
      </c>
      <c r="AG30" s="82">
        <f>IF($A30="","",MIN(MAX(0,H30,J30),1)*20)</f>
        <v/>
      </c>
      <c r="AH30" s="82">
        <f>IF($A30="","",MIN(MAX(0,O30)/3,1)*25)</f>
        <v/>
      </c>
      <c r="AI30" s="82">
        <f>IF($A30="","",IF(OR(W30="부족 예상",W30="무예산",AO30="한도 초과",AO30="초과 예상",AO30="무예산"),25,IF(OR(W30="주의",AO30="주의"),15,0)))</f>
        <v/>
      </c>
      <c r="AJ30" s="35">
        <f>IF($A30="","",SUMIFS(예산판_원본!$O$5:$O$5000,예산판_원본!$L$5:$L$5000,$E30,예산판_원본!$M$5:$M$5000,설정!$C$6,예산판_원본!$N$5:$N$5000,설정!$C$21))</f>
        <v/>
      </c>
      <c r="AK30" s="40">
        <f>IF($A30="","",K30)</f>
        <v/>
      </c>
      <c r="AL30" s="40">
        <f>IF($A30="","",AJ30-AK30)</f>
        <v/>
      </c>
      <c r="AM30" s="35">
        <f>IF($A30="","",AK30+AVERAGE(월별집계!X30:Z30)*MAX(0,설정!$C$22+2-설정!$C$20))</f>
        <v/>
      </c>
      <c r="AN30" s="73">
        <f>IF($A30="","",IF(AJ30=0,0,AM30/AJ30))</f>
        <v/>
      </c>
      <c r="AO30" s="34">
        <f>IF($A30="","",IF(AND(AJ30=0,AK30&gt;0),"무예산",IF(AJ30=0,"-",IF(AK30&gt;AJ30,"한도 초과",IF(AN30&gt;설정!$C$12,"초과 예상",IF(AN30&gt;설정!$C$11,"주의","여유"))))))</f>
        <v/>
      </c>
      <c r="AP30" s="35">
        <f>IF($A30="","",IF(설정!$C$19="최근월",(INDEX(월별집계!$AB30:$AM30,설정!$C$7)-INDEX(월별집계!$AB30:$AM30,MAX(1,설정!$C$7-1))*(설정!$C$7&gt;1)),IF(설정!$C$19="최근분기",((INDEX(월별집계!$AB30:$AM30,설정!$C$7)-INDEX(월별집계!$AB30:$AM30,MAX(1,설정!$C$7-3))*(설정!$C$7&gt;3))/MIN(3,설정!$C$7)),IF(설정!$C$19="전년추세",AZ30,((설정!$C$7+1)*SUMPRODUCT(월별집계!$AB$5:$AM$5,월별집계!$AB30:$AM30)-(설정!$C$7*(설정!$C$7+1)/2)*SUM(월별집계!$AB30:$AM30))/((설정!$C$7+1)*(설정!$C$7*(설정!$C$7+1)*(2*설정!$C$7+1)/6)-(설정!$C$7*(설정!$C$7+1)/2)^2)))))</f>
        <v/>
      </c>
      <c r="AQ30" s="35">
        <f>IF($A30="","",IF(설정!$C$19="연내누적",(SUM(월별집계!$AB30:$AM30)-AP30*(설정!$C$7*(설정!$C$7+1)/2))/(설정!$C$7+1),INDEX(월별집계!$AB30:$AM30,설정!$C$7)-AP30*설정!$C$7))</f>
        <v/>
      </c>
      <c r="AR30" s="40">
        <f>IF($A30="","",AQ30+AP30*12)</f>
        <v/>
      </c>
      <c r="AS30" s="82">
        <f>IF($A30="","",IF(OR(P30&lt;=0,Q30&gt;=P30,AP30&lt;=0),"",MAX(설정!$C$7,(P30-AQ30)/AP30)))</f>
        <v/>
      </c>
      <c r="AT30" s="22">
        <f>IF($A30="","",IF(AS30="",IF(AU30="이미 소진","소진됨",""),YEAR((DATE(설정!$C$6,1,1)+ROUND(AS30*365/12,0)-1))&amp;"-"&amp;TEXT(MONTH((DATE(설정!$C$6,1,1)+ROUND(AS30*365/12,0)-1)),"00")&amp;"-"&amp;TEXT(DAY((DATE(설정!$C$6,1,1)+ROUND(AS30*365/12,0)-1)),"00")))</f>
        <v/>
      </c>
      <c r="AU30" s="34">
        <f>IF($A30="","",IF(AND(P30&lt;=0,Q30&gt;0),"무예산",IF(P30&lt;=0,"-",IF(Q30&gt;=P30,"이미 소진",IF(AP30&lt;=0,"소진 안 됨",IF(AS30&lt;=12,"연내 고갈","연내 여유"))))))</f>
        <v/>
      </c>
      <c r="AV30" s="34">
        <f>IF($A30="","",IF(AJ30&lt;=0,"",IF(AK30&gt;=AJ30,"한도 소진",IF(AK30&lt;=0,"",IF(AJ30/(AK30/(설정!$C$20-설정!$C$22+1))&gt;3,"분기 내 여유",YEAR((DATE(설정!$C$6,설정!$C$22-설정!$C$6*12,1)+ROUND(MAX((설정!$C$20-설정!$C$22+1),AJ30/(AK30/(설정!$C$20-설정!$C$22+1)))*365/12,0)-1))&amp;"-"&amp;TEXT(MONTH((DATE(설정!$C$6,설정!$C$22-설정!$C$6*12,1)+ROUND(MAX((설정!$C$20-설정!$C$22+1),AJ30/(AK30/(설정!$C$20-설정!$C$22+1)))*365/12,0)-1)),"00")&amp;"-"&amp;TEXT(DAY((DATE(설정!$C$6,설정!$C$22-설정!$C$6*12,1)+ROUND(MAX((설정!$C$20-설정!$C$22+1),AJ30/(AK30/(설정!$C$20-설정!$C$22+1)))*365/12,0)-1)),"00"))))))</f>
        <v/>
      </c>
      <c r="AW30" s="41">
        <f>IF($A30="",999+ROW()/1000000,IF(AU30="이미 소진",ROW()/1000000,IF(AU30="연내 고갈",AS30+ROW()/1000000,99+ROW()/1000000)))</f>
        <v/>
      </c>
      <c r="AX30" s="35">
        <f>IF($A30="","",SUMIFS(월별집계!$C30:$Z30,월별집계!$C$5:$Z$5,"&gt;="&amp;((설정!$C$6-1)*12+1),월별집계!$C$5:$Z$5,"&lt;="&amp;(설정!$C$20-12)))</f>
        <v/>
      </c>
      <c r="AY30" s="80">
        <f>IF($A30="","",IF(AX30&lt;=0,IF(Q30&gt;0,1,0),Q30/AX30-1))</f>
        <v/>
      </c>
      <c r="AZ30" s="35">
        <f>IF($A30="","",SUMIFS(월별집계!$C30:$Z30,월별집계!$C$5:$Z$5,"&gt;"&amp;(설정!$C$20-12),월별집계!$C$5:$Z$5,"&lt;="&amp;((설정!$C$6-1)*12+12))/MAX(1,12-설정!$C$7))</f>
        <v/>
      </c>
    </row>
    <row r="31">
      <c r="A31" s="12" t="inlineStr">
        <is>
          <t>D400</t>
        </is>
      </c>
      <c r="B31" s="26">
        <f>IF($A31="","",IFERROR(INDEX(부서매핑!$D$5:$D$504,MATCH($A31,부서매핑!$C$5:$C$504,0)),"부서매핑 없음"))</f>
        <v/>
      </c>
      <c r="C31" s="79" t="inlineStr">
        <is>
          <t>62101000</t>
        </is>
      </c>
      <c r="D31" s="26">
        <f>IF($A31="","",IFERROR(INDEX(계정매핑!$B$5:$B$504,MATCH($C31&amp;"",계정매핑!$A$5:$A$504,0)),"계정매핑 없음"))</f>
        <v/>
      </c>
      <c r="E31" s="22">
        <f>IF($A31="","",$A31&amp;"|"&amp;$C31)</f>
        <v/>
      </c>
      <c r="F31" s="35">
        <f>IF($A31="","",월별집계!$Z31)</f>
        <v/>
      </c>
      <c r="G31" s="35">
        <f>IF($A31="","",월별집계!$Y31)</f>
        <v/>
      </c>
      <c r="H31" s="80">
        <f>IF($A31="","",IF(G31&lt;=0,IF(F31&gt;0,1,0),F31/G31-1))</f>
        <v/>
      </c>
      <c r="I31" s="35">
        <f>IF($A31="","",월별집계!$N31)</f>
        <v/>
      </c>
      <c r="J31" s="80">
        <f>IF($A31="","",IF(I31&lt;=0,IF(F31&gt;0,1,0),F31/I31-1))</f>
        <v/>
      </c>
      <c r="K31" s="35">
        <f>IF($A31="","",SUMIFS(월별집계!$C31:$Z31,월별집계!$C$5:$Z$5,"&gt;="&amp;설정!$C$22,월별집계!$C$5:$Z$5,"&lt;="&amp;설정!$C$20))</f>
        <v/>
      </c>
      <c r="L31" s="35">
        <f>IF($A31="","",SUMIFS(월별집계!$C31:$Z31,월별집계!$C$5:$Z$5,"&gt;="&amp;(설정!$C$22-3),월별집계!$C$5:$Z$5,"&lt;="&amp;(설정!$C$20-3)))</f>
        <v/>
      </c>
      <c r="M31" s="80">
        <f>IF($A31="","",IF(L31&lt;=0,IF(K31&gt;0,1,0),K31/L31-1))</f>
        <v/>
      </c>
      <c r="N31" s="40">
        <f>IF($A31="","",MAX(F31-G31,F31-I31))</f>
        <v/>
      </c>
      <c r="O31" s="62">
        <f>IF($A31="","",IFERROR((월별집계!$Z31-AVERAGE(월별집계!N31:Y31))/STDEV(월별집계!N31:Y31),0))</f>
        <v/>
      </c>
      <c r="P31" s="35">
        <f>IF($A31="","",SUMIFS(예산판_원본!$O$5:$O$5000,예산판_원본!$L$5:$L$5000,$E31,예산판_원본!$M$5:$M$5000,설정!$C$6))</f>
        <v/>
      </c>
      <c r="Q31" s="35">
        <f>IF($A31="","",SUMIFS(월별집계!$C31:$Z31,월별집계!$C$5:$Z$5,"&gt;="&amp;(설정!$C$6*12+1),월별집계!$C$5:$Z$5,"&lt;="&amp;설정!$C$20))</f>
        <v/>
      </c>
      <c r="R31" s="40">
        <f>IF($A31="","",P31-Q31)</f>
        <v/>
      </c>
      <c r="S31" s="35">
        <f>IF($A31="","",AVERAGE(월별집계!X31:Z31)*(12-설정!$C$7))</f>
        <v/>
      </c>
      <c r="T31" s="35">
        <f>IF($A31="","",IFERROR(Q31/(SUMIFS(월별집계!$C31:$Z31,월별집계!$C$5:$Z$5,"&gt;="&amp;((설정!$C$6-1)*12+1),월별집계!$C$5:$Z$5,"&lt;="&amp;(설정!$C$20-12))/SUMIFS(월별집계!$C31:$Z31,월별집계!$C$5:$Z$5,"&gt;="&amp;((설정!$C$6-1)*12+1),월별집계!$C$5:$Z$5,"&lt;="&amp;((설정!$C$6-1)*12+12)))-Q31,S31))</f>
        <v/>
      </c>
      <c r="U31" s="40">
        <f>IF($A31="","",Q31+MAX(S31,T31))</f>
        <v/>
      </c>
      <c r="V31" s="73">
        <f>IF($A31="","",IF(P31=0,0,U31/P31))</f>
        <v/>
      </c>
      <c r="W31" s="34">
        <f>IF($A31="","",IF(AND(P31=0,Q31&gt;0),"무예산",IF(P31=0,"-",IF(V31&gt;설정!$C$12,"부족 예상",IF(V31&gt;설정!$C$11,"주의","여유")))))</f>
        <v/>
      </c>
      <c r="X31" s="40">
        <f>IF($A31="","",IF(P31=0,0,MAX(0,U31-P31)))</f>
        <v/>
      </c>
      <c r="Y31" s="34">
        <f>IF($A31="","",IF(OR(W31&lt;&gt;"부족 예상",설정!$C$7=12),"",IF(R31&lt;=0,"이미 초과",MIN(12,설정!$C$7+ROUNDUP(R31/(MAX(S31,T31)/(12-설정!$C$7)),0))&amp;"월")))</f>
        <v/>
      </c>
      <c r="Z31" s="26">
        <f>IF($A31="","",TRIM(IF(AND(N(AC31)&gt;=설정!$C$14,N31&gt;=설정!$C$10),"단건"&amp;TEXT(MIN(AC31,1),"0%")&amp;" ","")&amp;IF(AND(N31&gt;0,AD31&gt;0),IF(AD31/N31&gt;=설정!$C$16,"SA대체 ",""),"")&amp;IF(AE31&gt;0,"역분개"&amp;AE31&amp;"건 ","")&amp;IF(O31&gt;=설정!$C$13,"이상치 ","")&amp;IF(AND(I31=0,F31&gt;0),"신규지출 ","")))</f>
        <v/>
      </c>
      <c r="AA31" s="62">
        <f>IF($A31="","",ROUND((AF31+AG31+AH31+AI31)*IF(AND(F31&lt;설정!$C$10,N31&lt;설정!$C$10),0.3,1),1))</f>
        <v/>
      </c>
      <c r="AB31" s="41">
        <f>IF($A31="","",AA31+ROW()/1000000)</f>
        <v/>
      </c>
      <c r="AC31" s="60">
        <f>IF(OR($A31="",N31&lt;=0),"",SUMPRODUCT(MAX((전표_원본!$O$5:$O$100000=$E31)*(전표_원본!$M$5:$M$100000=설정!$C$20)*전표_원본!$P$5:$P$100000))/N31)</f>
        <v/>
      </c>
      <c r="AD31" s="35">
        <f>IF($A31="","",SUMIFS(전표_원본!$P$5:$P$100000,전표_원본!$O$5:$O$100000,$E31,전표_원본!$M$5:$M$100000,설정!$C$20,전표_원본!$E$5:$E$100000,"SA")-SUMIFS(전표_원본!$P$5:$P$100000,전표_원본!$O$5:$O$100000,$E31,전표_원본!$M$5:$M$100000,설정!$C$20-1,전표_원본!$E$5:$E$100000,"SA"))</f>
        <v/>
      </c>
      <c r="AE31" s="81">
        <f>IF($A31="","",COUNTIFS(전표_원본!$O$5:$O$100000,$E31,전표_원본!$M$5:$M$100000,설정!$C$20,전표_원본!$P$5:$P$100000,"&lt;0"))</f>
        <v/>
      </c>
      <c r="AF31" s="62">
        <f>IF($A31="","",MIN(MAX(0,N31)/(설정!$C$10*5),1)*30)</f>
        <v/>
      </c>
      <c r="AG31" s="82">
        <f>IF($A31="","",MIN(MAX(0,H31,J31),1)*20)</f>
        <v/>
      </c>
      <c r="AH31" s="82">
        <f>IF($A31="","",MIN(MAX(0,O31)/3,1)*25)</f>
        <v/>
      </c>
      <c r="AI31" s="82">
        <f>IF($A31="","",IF(OR(W31="부족 예상",W31="무예산",AO31="한도 초과",AO31="초과 예상",AO31="무예산"),25,IF(OR(W31="주의",AO31="주의"),15,0)))</f>
        <v/>
      </c>
      <c r="AJ31" s="35">
        <f>IF($A31="","",SUMIFS(예산판_원본!$O$5:$O$5000,예산판_원본!$L$5:$L$5000,$E31,예산판_원본!$M$5:$M$5000,설정!$C$6,예산판_원본!$N$5:$N$5000,설정!$C$21))</f>
        <v/>
      </c>
      <c r="AK31" s="40">
        <f>IF($A31="","",K31)</f>
        <v/>
      </c>
      <c r="AL31" s="40">
        <f>IF($A31="","",AJ31-AK31)</f>
        <v/>
      </c>
      <c r="AM31" s="35">
        <f>IF($A31="","",AK31+AVERAGE(월별집계!X31:Z31)*MAX(0,설정!$C$22+2-설정!$C$20))</f>
        <v/>
      </c>
      <c r="AN31" s="73">
        <f>IF($A31="","",IF(AJ31=0,0,AM31/AJ31))</f>
        <v/>
      </c>
      <c r="AO31" s="34">
        <f>IF($A31="","",IF(AND(AJ31=0,AK31&gt;0),"무예산",IF(AJ31=0,"-",IF(AK31&gt;AJ31,"한도 초과",IF(AN31&gt;설정!$C$12,"초과 예상",IF(AN31&gt;설정!$C$11,"주의","여유"))))))</f>
        <v/>
      </c>
      <c r="AP31" s="35">
        <f>IF($A31="","",IF(설정!$C$19="최근월",(INDEX(월별집계!$AB31:$AM31,설정!$C$7)-INDEX(월별집계!$AB31:$AM31,MAX(1,설정!$C$7-1))*(설정!$C$7&gt;1)),IF(설정!$C$19="최근분기",((INDEX(월별집계!$AB31:$AM31,설정!$C$7)-INDEX(월별집계!$AB31:$AM31,MAX(1,설정!$C$7-3))*(설정!$C$7&gt;3))/MIN(3,설정!$C$7)),IF(설정!$C$19="전년추세",AZ31,((설정!$C$7+1)*SUMPRODUCT(월별집계!$AB$5:$AM$5,월별집계!$AB31:$AM31)-(설정!$C$7*(설정!$C$7+1)/2)*SUM(월별집계!$AB31:$AM31))/((설정!$C$7+1)*(설정!$C$7*(설정!$C$7+1)*(2*설정!$C$7+1)/6)-(설정!$C$7*(설정!$C$7+1)/2)^2)))))</f>
        <v/>
      </c>
      <c r="AQ31" s="35">
        <f>IF($A31="","",IF(설정!$C$19="연내누적",(SUM(월별집계!$AB31:$AM31)-AP31*(설정!$C$7*(설정!$C$7+1)/2))/(설정!$C$7+1),INDEX(월별집계!$AB31:$AM31,설정!$C$7)-AP31*설정!$C$7))</f>
        <v/>
      </c>
      <c r="AR31" s="40">
        <f>IF($A31="","",AQ31+AP31*12)</f>
        <v/>
      </c>
      <c r="AS31" s="82">
        <f>IF($A31="","",IF(OR(P31&lt;=0,Q31&gt;=P31,AP31&lt;=0),"",MAX(설정!$C$7,(P31-AQ31)/AP31)))</f>
        <v/>
      </c>
      <c r="AT31" s="22">
        <f>IF($A31="","",IF(AS31="",IF(AU31="이미 소진","소진됨",""),YEAR((DATE(설정!$C$6,1,1)+ROUND(AS31*365/12,0)-1))&amp;"-"&amp;TEXT(MONTH((DATE(설정!$C$6,1,1)+ROUND(AS31*365/12,0)-1)),"00")&amp;"-"&amp;TEXT(DAY((DATE(설정!$C$6,1,1)+ROUND(AS31*365/12,0)-1)),"00")))</f>
        <v/>
      </c>
      <c r="AU31" s="34">
        <f>IF($A31="","",IF(AND(P31&lt;=0,Q31&gt;0),"무예산",IF(P31&lt;=0,"-",IF(Q31&gt;=P31,"이미 소진",IF(AP31&lt;=0,"소진 안 됨",IF(AS31&lt;=12,"연내 고갈","연내 여유"))))))</f>
        <v/>
      </c>
      <c r="AV31" s="34">
        <f>IF($A31="","",IF(AJ31&lt;=0,"",IF(AK31&gt;=AJ31,"한도 소진",IF(AK31&lt;=0,"",IF(AJ31/(AK31/(설정!$C$20-설정!$C$22+1))&gt;3,"분기 내 여유",YEAR((DATE(설정!$C$6,설정!$C$22-설정!$C$6*12,1)+ROUND(MAX((설정!$C$20-설정!$C$22+1),AJ31/(AK31/(설정!$C$20-설정!$C$22+1)))*365/12,0)-1))&amp;"-"&amp;TEXT(MONTH((DATE(설정!$C$6,설정!$C$22-설정!$C$6*12,1)+ROUND(MAX((설정!$C$20-설정!$C$22+1),AJ31/(AK31/(설정!$C$20-설정!$C$22+1)))*365/12,0)-1)),"00")&amp;"-"&amp;TEXT(DAY((DATE(설정!$C$6,설정!$C$22-설정!$C$6*12,1)+ROUND(MAX((설정!$C$20-설정!$C$22+1),AJ31/(AK31/(설정!$C$20-설정!$C$22+1)))*365/12,0)-1)),"00"))))))</f>
        <v/>
      </c>
      <c r="AW31" s="41">
        <f>IF($A31="",999+ROW()/1000000,IF(AU31="이미 소진",ROW()/1000000,IF(AU31="연내 고갈",AS31+ROW()/1000000,99+ROW()/1000000)))</f>
        <v/>
      </c>
      <c r="AX31" s="35">
        <f>IF($A31="","",SUMIFS(월별집계!$C31:$Z31,월별집계!$C$5:$Z$5,"&gt;="&amp;((설정!$C$6-1)*12+1),월별집계!$C$5:$Z$5,"&lt;="&amp;(설정!$C$20-12)))</f>
        <v/>
      </c>
      <c r="AY31" s="80">
        <f>IF($A31="","",IF(AX31&lt;=0,IF(Q31&gt;0,1,0),Q31/AX31-1))</f>
        <v/>
      </c>
      <c r="AZ31" s="35">
        <f>IF($A31="","",SUMIFS(월별집계!$C31:$Z31,월별집계!$C$5:$Z$5,"&gt;"&amp;(설정!$C$20-12),월별집계!$C$5:$Z$5,"&lt;="&amp;((설정!$C$6-1)*12+12))/MAX(1,12-설정!$C$7))</f>
        <v/>
      </c>
    </row>
    <row r="32">
      <c r="A32" s="12" t="inlineStr">
        <is>
          <t>D400</t>
        </is>
      </c>
      <c r="B32" s="26">
        <f>IF($A32="","",IFERROR(INDEX(부서매핑!$D$5:$D$504,MATCH($A32,부서매핑!$C$5:$C$504,0)),"부서매핑 없음"))</f>
        <v/>
      </c>
      <c r="C32" s="79" t="inlineStr">
        <is>
          <t>62102000</t>
        </is>
      </c>
      <c r="D32" s="26">
        <f>IF($A32="","",IFERROR(INDEX(계정매핑!$B$5:$B$504,MATCH($C32&amp;"",계정매핑!$A$5:$A$504,0)),"계정매핑 없음"))</f>
        <v/>
      </c>
      <c r="E32" s="22">
        <f>IF($A32="","",$A32&amp;"|"&amp;$C32)</f>
        <v/>
      </c>
      <c r="F32" s="35">
        <f>IF($A32="","",월별집계!$Z32)</f>
        <v/>
      </c>
      <c r="G32" s="35">
        <f>IF($A32="","",월별집계!$Y32)</f>
        <v/>
      </c>
      <c r="H32" s="80">
        <f>IF($A32="","",IF(G32&lt;=0,IF(F32&gt;0,1,0),F32/G32-1))</f>
        <v/>
      </c>
      <c r="I32" s="35">
        <f>IF($A32="","",월별집계!$N32)</f>
        <v/>
      </c>
      <c r="J32" s="80">
        <f>IF($A32="","",IF(I32&lt;=0,IF(F32&gt;0,1,0),F32/I32-1))</f>
        <v/>
      </c>
      <c r="K32" s="35">
        <f>IF($A32="","",SUMIFS(월별집계!$C32:$Z32,월별집계!$C$5:$Z$5,"&gt;="&amp;설정!$C$22,월별집계!$C$5:$Z$5,"&lt;="&amp;설정!$C$20))</f>
        <v/>
      </c>
      <c r="L32" s="35">
        <f>IF($A32="","",SUMIFS(월별집계!$C32:$Z32,월별집계!$C$5:$Z$5,"&gt;="&amp;(설정!$C$22-3),월별집계!$C$5:$Z$5,"&lt;="&amp;(설정!$C$20-3)))</f>
        <v/>
      </c>
      <c r="M32" s="80">
        <f>IF($A32="","",IF(L32&lt;=0,IF(K32&gt;0,1,0),K32/L32-1))</f>
        <v/>
      </c>
      <c r="N32" s="40">
        <f>IF($A32="","",MAX(F32-G32,F32-I32))</f>
        <v/>
      </c>
      <c r="O32" s="62">
        <f>IF($A32="","",IFERROR((월별집계!$Z32-AVERAGE(월별집계!N32:Y32))/STDEV(월별집계!N32:Y32),0))</f>
        <v/>
      </c>
      <c r="P32" s="35">
        <f>IF($A32="","",SUMIFS(예산판_원본!$O$5:$O$5000,예산판_원본!$L$5:$L$5000,$E32,예산판_원본!$M$5:$M$5000,설정!$C$6))</f>
        <v/>
      </c>
      <c r="Q32" s="35">
        <f>IF($A32="","",SUMIFS(월별집계!$C32:$Z32,월별집계!$C$5:$Z$5,"&gt;="&amp;(설정!$C$6*12+1),월별집계!$C$5:$Z$5,"&lt;="&amp;설정!$C$20))</f>
        <v/>
      </c>
      <c r="R32" s="40">
        <f>IF($A32="","",P32-Q32)</f>
        <v/>
      </c>
      <c r="S32" s="35">
        <f>IF($A32="","",AVERAGE(월별집계!X32:Z32)*(12-설정!$C$7))</f>
        <v/>
      </c>
      <c r="T32" s="35">
        <f>IF($A32="","",IFERROR(Q32/(SUMIFS(월별집계!$C32:$Z32,월별집계!$C$5:$Z$5,"&gt;="&amp;((설정!$C$6-1)*12+1),월별집계!$C$5:$Z$5,"&lt;="&amp;(설정!$C$20-12))/SUMIFS(월별집계!$C32:$Z32,월별집계!$C$5:$Z$5,"&gt;="&amp;((설정!$C$6-1)*12+1),월별집계!$C$5:$Z$5,"&lt;="&amp;((설정!$C$6-1)*12+12)))-Q32,S32))</f>
        <v/>
      </c>
      <c r="U32" s="40">
        <f>IF($A32="","",Q32+MAX(S32,T32))</f>
        <v/>
      </c>
      <c r="V32" s="73">
        <f>IF($A32="","",IF(P32=0,0,U32/P32))</f>
        <v/>
      </c>
      <c r="W32" s="34">
        <f>IF($A32="","",IF(AND(P32=0,Q32&gt;0),"무예산",IF(P32=0,"-",IF(V32&gt;설정!$C$12,"부족 예상",IF(V32&gt;설정!$C$11,"주의","여유")))))</f>
        <v/>
      </c>
      <c r="X32" s="40">
        <f>IF($A32="","",IF(P32=0,0,MAX(0,U32-P32)))</f>
        <v/>
      </c>
      <c r="Y32" s="34">
        <f>IF($A32="","",IF(OR(W32&lt;&gt;"부족 예상",설정!$C$7=12),"",IF(R32&lt;=0,"이미 초과",MIN(12,설정!$C$7+ROUNDUP(R32/(MAX(S32,T32)/(12-설정!$C$7)),0))&amp;"월")))</f>
        <v/>
      </c>
      <c r="Z32" s="26">
        <f>IF($A32="","",TRIM(IF(AND(N(AC32)&gt;=설정!$C$14,N32&gt;=설정!$C$10),"단건"&amp;TEXT(MIN(AC32,1),"0%")&amp;" ","")&amp;IF(AND(N32&gt;0,AD32&gt;0),IF(AD32/N32&gt;=설정!$C$16,"SA대체 ",""),"")&amp;IF(AE32&gt;0,"역분개"&amp;AE32&amp;"건 ","")&amp;IF(O32&gt;=설정!$C$13,"이상치 ","")&amp;IF(AND(I32=0,F32&gt;0),"신규지출 ","")))</f>
        <v/>
      </c>
      <c r="AA32" s="62">
        <f>IF($A32="","",ROUND((AF32+AG32+AH32+AI32)*IF(AND(F32&lt;설정!$C$10,N32&lt;설정!$C$10),0.3,1),1))</f>
        <v/>
      </c>
      <c r="AB32" s="41">
        <f>IF($A32="","",AA32+ROW()/1000000)</f>
        <v/>
      </c>
      <c r="AC32" s="60">
        <f>IF(OR($A32="",N32&lt;=0),"",SUMPRODUCT(MAX((전표_원본!$O$5:$O$100000=$E32)*(전표_원본!$M$5:$M$100000=설정!$C$20)*전표_원본!$P$5:$P$100000))/N32)</f>
        <v/>
      </c>
      <c r="AD32" s="35">
        <f>IF($A32="","",SUMIFS(전표_원본!$P$5:$P$100000,전표_원본!$O$5:$O$100000,$E32,전표_원본!$M$5:$M$100000,설정!$C$20,전표_원본!$E$5:$E$100000,"SA")-SUMIFS(전표_원본!$P$5:$P$100000,전표_원본!$O$5:$O$100000,$E32,전표_원본!$M$5:$M$100000,설정!$C$20-1,전표_원본!$E$5:$E$100000,"SA"))</f>
        <v/>
      </c>
      <c r="AE32" s="81">
        <f>IF($A32="","",COUNTIFS(전표_원본!$O$5:$O$100000,$E32,전표_원본!$M$5:$M$100000,설정!$C$20,전표_원본!$P$5:$P$100000,"&lt;0"))</f>
        <v/>
      </c>
      <c r="AF32" s="62">
        <f>IF($A32="","",MIN(MAX(0,N32)/(설정!$C$10*5),1)*30)</f>
        <v/>
      </c>
      <c r="AG32" s="82">
        <f>IF($A32="","",MIN(MAX(0,H32,J32),1)*20)</f>
        <v/>
      </c>
      <c r="AH32" s="82">
        <f>IF($A32="","",MIN(MAX(0,O32)/3,1)*25)</f>
        <v/>
      </c>
      <c r="AI32" s="82">
        <f>IF($A32="","",IF(OR(W32="부족 예상",W32="무예산",AO32="한도 초과",AO32="초과 예상",AO32="무예산"),25,IF(OR(W32="주의",AO32="주의"),15,0)))</f>
        <v/>
      </c>
      <c r="AJ32" s="35">
        <f>IF($A32="","",SUMIFS(예산판_원본!$O$5:$O$5000,예산판_원본!$L$5:$L$5000,$E32,예산판_원본!$M$5:$M$5000,설정!$C$6,예산판_원본!$N$5:$N$5000,설정!$C$21))</f>
        <v/>
      </c>
      <c r="AK32" s="40">
        <f>IF($A32="","",K32)</f>
        <v/>
      </c>
      <c r="AL32" s="40">
        <f>IF($A32="","",AJ32-AK32)</f>
        <v/>
      </c>
      <c r="AM32" s="35">
        <f>IF($A32="","",AK32+AVERAGE(월별집계!X32:Z32)*MAX(0,설정!$C$22+2-설정!$C$20))</f>
        <v/>
      </c>
      <c r="AN32" s="73">
        <f>IF($A32="","",IF(AJ32=0,0,AM32/AJ32))</f>
        <v/>
      </c>
      <c r="AO32" s="34">
        <f>IF($A32="","",IF(AND(AJ32=0,AK32&gt;0),"무예산",IF(AJ32=0,"-",IF(AK32&gt;AJ32,"한도 초과",IF(AN32&gt;설정!$C$12,"초과 예상",IF(AN32&gt;설정!$C$11,"주의","여유"))))))</f>
        <v/>
      </c>
      <c r="AP32" s="35">
        <f>IF($A32="","",IF(설정!$C$19="최근월",(INDEX(월별집계!$AB32:$AM32,설정!$C$7)-INDEX(월별집계!$AB32:$AM32,MAX(1,설정!$C$7-1))*(설정!$C$7&gt;1)),IF(설정!$C$19="최근분기",((INDEX(월별집계!$AB32:$AM32,설정!$C$7)-INDEX(월별집계!$AB32:$AM32,MAX(1,설정!$C$7-3))*(설정!$C$7&gt;3))/MIN(3,설정!$C$7)),IF(설정!$C$19="전년추세",AZ32,((설정!$C$7+1)*SUMPRODUCT(월별집계!$AB$5:$AM$5,월별집계!$AB32:$AM32)-(설정!$C$7*(설정!$C$7+1)/2)*SUM(월별집계!$AB32:$AM32))/((설정!$C$7+1)*(설정!$C$7*(설정!$C$7+1)*(2*설정!$C$7+1)/6)-(설정!$C$7*(설정!$C$7+1)/2)^2)))))</f>
        <v/>
      </c>
      <c r="AQ32" s="35">
        <f>IF($A32="","",IF(설정!$C$19="연내누적",(SUM(월별집계!$AB32:$AM32)-AP32*(설정!$C$7*(설정!$C$7+1)/2))/(설정!$C$7+1),INDEX(월별집계!$AB32:$AM32,설정!$C$7)-AP32*설정!$C$7))</f>
        <v/>
      </c>
      <c r="AR32" s="40">
        <f>IF($A32="","",AQ32+AP32*12)</f>
        <v/>
      </c>
      <c r="AS32" s="82">
        <f>IF($A32="","",IF(OR(P32&lt;=0,Q32&gt;=P32,AP32&lt;=0),"",MAX(설정!$C$7,(P32-AQ32)/AP32)))</f>
        <v/>
      </c>
      <c r="AT32" s="22">
        <f>IF($A32="","",IF(AS32="",IF(AU32="이미 소진","소진됨",""),YEAR((DATE(설정!$C$6,1,1)+ROUND(AS32*365/12,0)-1))&amp;"-"&amp;TEXT(MONTH((DATE(설정!$C$6,1,1)+ROUND(AS32*365/12,0)-1)),"00")&amp;"-"&amp;TEXT(DAY((DATE(설정!$C$6,1,1)+ROUND(AS32*365/12,0)-1)),"00")))</f>
        <v/>
      </c>
      <c r="AU32" s="34">
        <f>IF($A32="","",IF(AND(P32&lt;=0,Q32&gt;0),"무예산",IF(P32&lt;=0,"-",IF(Q32&gt;=P32,"이미 소진",IF(AP32&lt;=0,"소진 안 됨",IF(AS32&lt;=12,"연내 고갈","연내 여유"))))))</f>
        <v/>
      </c>
      <c r="AV32" s="34">
        <f>IF($A32="","",IF(AJ32&lt;=0,"",IF(AK32&gt;=AJ32,"한도 소진",IF(AK32&lt;=0,"",IF(AJ32/(AK32/(설정!$C$20-설정!$C$22+1))&gt;3,"분기 내 여유",YEAR((DATE(설정!$C$6,설정!$C$22-설정!$C$6*12,1)+ROUND(MAX((설정!$C$20-설정!$C$22+1),AJ32/(AK32/(설정!$C$20-설정!$C$22+1)))*365/12,0)-1))&amp;"-"&amp;TEXT(MONTH((DATE(설정!$C$6,설정!$C$22-설정!$C$6*12,1)+ROUND(MAX((설정!$C$20-설정!$C$22+1),AJ32/(AK32/(설정!$C$20-설정!$C$22+1)))*365/12,0)-1)),"00")&amp;"-"&amp;TEXT(DAY((DATE(설정!$C$6,설정!$C$22-설정!$C$6*12,1)+ROUND(MAX((설정!$C$20-설정!$C$22+1),AJ32/(AK32/(설정!$C$20-설정!$C$22+1)))*365/12,0)-1)),"00"))))))</f>
        <v/>
      </c>
      <c r="AW32" s="41">
        <f>IF($A32="",999+ROW()/1000000,IF(AU32="이미 소진",ROW()/1000000,IF(AU32="연내 고갈",AS32+ROW()/1000000,99+ROW()/1000000)))</f>
        <v/>
      </c>
      <c r="AX32" s="35">
        <f>IF($A32="","",SUMIFS(월별집계!$C32:$Z32,월별집계!$C$5:$Z$5,"&gt;="&amp;((설정!$C$6-1)*12+1),월별집계!$C$5:$Z$5,"&lt;="&amp;(설정!$C$20-12)))</f>
        <v/>
      </c>
      <c r="AY32" s="80">
        <f>IF($A32="","",IF(AX32&lt;=0,IF(Q32&gt;0,1,0),Q32/AX32-1))</f>
        <v/>
      </c>
      <c r="AZ32" s="35">
        <f>IF($A32="","",SUMIFS(월별집계!$C32:$Z32,월별집계!$C$5:$Z$5,"&gt;"&amp;(설정!$C$20-12),월별집계!$C$5:$Z$5,"&lt;="&amp;((설정!$C$6-1)*12+12))/MAX(1,12-설정!$C$7))</f>
        <v/>
      </c>
    </row>
    <row r="33">
      <c r="A33" s="12" t="inlineStr">
        <is>
          <t>D400</t>
        </is>
      </c>
      <c r="B33" s="26">
        <f>IF($A33="","",IFERROR(INDEX(부서매핑!$D$5:$D$504,MATCH($A33,부서매핑!$C$5:$C$504,0)),"부서매핑 없음"))</f>
        <v/>
      </c>
      <c r="C33" s="79" t="inlineStr">
        <is>
          <t>62201000</t>
        </is>
      </c>
      <c r="D33" s="26">
        <f>IF($A33="","",IFERROR(INDEX(계정매핑!$B$5:$B$504,MATCH($C33&amp;"",계정매핑!$A$5:$A$504,0)),"계정매핑 없음"))</f>
        <v/>
      </c>
      <c r="E33" s="22">
        <f>IF($A33="","",$A33&amp;"|"&amp;$C33)</f>
        <v/>
      </c>
      <c r="F33" s="35">
        <f>IF($A33="","",월별집계!$Z33)</f>
        <v/>
      </c>
      <c r="G33" s="35">
        <f>IF($A33="","",월별집계!$Y33)</f>
        <v/>
      </c>
      <c r="H33" s="80">
        <f>IF($A33="","",IF(G33&lt;=0,IF(F33&gt;0,1,0),F33/G33-1))</f>
        <v/>
      </c>
      <c r="I33" s="35">
        <f>IF($A33="","",월별집계!$N33)</f>
        <v/>
      </c>
      <c r="J33" s="80">
        <f>IF($A33="","",IF(I33&lt;=0,IF(F33&gt;0,1,0),F33/I33-1))</f>
        <v/>
      </c>
      <c r="K33" s="35">
        <f>IF($A33="","",SUMIFS(월별집계!$C33:$Z33,월별집계!$C$5:$Z$5,"&gt;="&amp;설정!$C$22,월별집계!$C$5:$Z$5,"&lt;="&amp;설정!$C$20))</f>
        <v/>
      </c>
      <c r="L33" s="35">
        <f>IF($A33="","",SUMIFS(월별집계!$C33:$Z33,월별집계!$C$5:$Z$5,"&gt;="&amp;(설정!$C$22-3),월별집계!$C$5:$Z$5,"&lt;="&amp;(설정!$C$20-3)))</f>
        <v/>
      </c>
      <c r="M33" s="80">
        <f>IF($A33="","",IF(L33&lt;=0,IF(K33&gt;0,1,0),K33/L33-1))</f>
        <v/>
      </c>
      <c r="N33" s="40">
        <f>IF($A33="","",MAX(F33-G33,F33-I33))</f>
        <v/>
      </c>
      <c r="O33" s="62">
        <f>IF($A33="","",IFERROR((월별집계!$Z33-AVERAGE(월별집계!N33:Y33))/STDEV(월별집계!N33:Y33),0))</f>
        <v/>
      </c>
      <c r="P33" s="35">
        <f>IF($A33="","",SUMIFS(예산판_원본!$O$5:$O$5000,예산판_원본!$L$5:$L$5000,$E33,예산판_원본!$M$5:$M$5000,설정!$C$6))</f>
        <v/>
      </c>
      <c r="Q33" s="35">
        <f>IF($A33="","",SUMIFS(월별집계!$C33:$Z33,월별집계!$C$5:$Z$5,"&gt;="&amp;(설정!$C$6*12+1),월별집계!$C$5:$Z$5,"&lt;="&amp;설정!$C$20))</f>
        <v/>
      </c>
      <c r="R33" s="40">
        <f>IF($A33="","",P33-Q33)</f>
        <v/>
      </c>
      <c r="S33" s="35">
        <f>IF($A33="","",AVERAGE(월별집계!X33:Z33)*(12-설정!$C$7))</f>
        <v/>
      </c>
      <c r="T33" s="35">
        <f>IF($A33="","",IFERROR(Q33/(SUMIFS(월별집계!$C33:$Z33,월별집계!$C$5:$Z$5,"&gt;="&amp;((설정!$C$6-1)*12+1),월별집계!$C$5:$Z$5,"&lt;="&amp;(설정!$C$20-12))/SUMIFS(월별집계!$C33:$Z33,월별집계!$C$5:$Z$5,"&gt;="&amp;((설정!$C$6-1)*12+1),월별집계!$C$5:$Z$5,"&lt;="&amp;((설정!$C$6-1)*12+12)))-Q33,S33))</f>
        <v/>
      </c>
      <c r="U33" s="40">
        <f>IF($A33="","",Q33+MAX(S33,T33))</f>
        <v/>
      </c>
      <c r="V33" s="73">
        <f>IF($A33="","",IF(P33=0,0,U33/P33))</f>
        <v/>
      </c>
      <c r="W33" s="34">
        <f>IF($A33="","",IF(AND(P33=0,Q33&gt;0),"무예산",IF(P33=0,"-",IF(V33&gt;설정!$C$12,"부족 예상",IF(V33&gt;설정!$C$11,"주의","여유")))))</f>
        <v/>
      </c>
      <c r="X33" s="40">
        <f>IF($A33="","",IF(P33=0,0,MAX(0,U33-P33)))</f>
        <v/>
      </c>
      <c r="Y33" s="34">
        <f>IF($A33="","",IF(OR(W33&lt;&gt;"부족 예상",설정!$C$7=12),"",IF(R33&lt;=0,"이미 초과",MIN(12,설정!$C$7+ROUNDUP(R33/(MAX(S33,T33)/(12-설정!$C$7)),0))&amp;"월")))</f>
        <v/>
      </c>
      <c r="Z33" s="26">
        <f>IF($A33="","",TRIM(IF(AND(N(AC33)&gt;=설정!$C$14,N33&gt;=설정!$C$10),"단건"&amp;TEXT(MIN(AC33,1),"0%")&amp;" ","")&amp;IF(AND(N33&gt;0,AD33&gt;0),IF(AD33/N33&gt;=설정!$C$16,"SA대체 ",""),"")&amp;IF(AE33&gt;0,"역분개"&amp;AE33&amp;"건 ","")&amp;IF(O33&gt;=설정!$C$13,"이상치 ","")&amp;IF(AND(I33=0,F33&gt;0),"신규지출 ","")))</f>
        <v/>
      </c>
      <c r="AA33" s="62">
        <f>IF($A33="","",ROUND((AF33+AG33+AH33+AI33)*IF(AND(F33&lt;설정!$C$10,N33&lt;설정!$C$10),0.3,1),1))</f>
        <v/>
      </c>
      <c r="AB33" s="41">
        <f>IF($A33="","",AA33+ROW()/1000000)</f>
        <v/>
      </c>
      <c r="AC33" s="60">
        <f>IF(OR($A33="",N33&lt;=0),"",SUMPRODUCT(MAX((전표_원본!$O$5:$O$100000=$E33)*(전표_원본!$M$5:$M$100000=설정!$C$20)*전표_원본!$P$5:$P$100000))/N33)</f>
        <v/>
      </c>
      <c r="AD33" s="35">
        <f>IF($A33="","",SUMIFS(전표_원본!$P$5:$P$100000,전표_원본!$O$5:$O$100000,$E33,전표_원본!$M$5:$M$100000,설정!$C$20,전표_원본!$E$5:$E$100000,"SA")-SUMIFS(전표_원본!$P$5:$P$100000,전표_원본!$O$5:$O$100000,$E33,전표_원본!$M$5:$M$100000,설정!$C$20-1,전표_원본!$E$5:$E$100000,"SA"))</f>
        <v/>
      </c>
      <c r="AE33" s="81">
        <f>IF($A33="","",COUNTIFS(전표_원본!$O$5:$O$100000,$E33,전표_원본!$M$5:$M$100000,설정!$C$20,전표_원본!$P$5:$P$100000,"&lt;0"))</f>
        <v/>
      </c>
      <c r="AF33" s="62">
        <f>IF($A33="","",MIN(MAX(0,N33)/(설정!$C$10*5),1)*30)</f>
        <v/>
      </c>
      <c r="AG33" s="82">
        <f>IF($A33="","",MIN(MAX(0,H33,J33),1)*20)</f>
        <v/>
      </c>
      <c r="AH33" s="82">
        <f>IF($A33="","",MIN(MAX(0,O33)/3,1)*25)</f>
        <v/>
      </c>
      <c r="AI33" s="82">
        <f>IF($A33="","",IF(OR(W33="부족 예상",W33="무예산",AO33="한도 초과",AO33="초과 예상",AO33="무예산"),25,IF(OR(W33="주의",AO33="주의"),15,0)))</f>
        <v/>
      </c>
      <c r="AJ33" s="35">
        <f>IF($A33="","",SUMIFS(예산판_원본!$O$5:$O$5000,예산판_원본!$L$5:$L$5000,$E33,예산판_원본!$M$5:$M$5000,설정!$C$6,예산판_원본!$N$5:$N$5000,설정!$C$21))</f>
        <v/>
      </c>
      <c r="AK33" s="40">
        <f>IF($A33="","",K33)</f>
        <v/>
      </c>
      <c r="AL33" s="40">
        <f>IF($A33="","",AJ33-AK33)</f>
        <v/>
      </c>
      <c r="AM33" s="35">
        <f>IF($A33="","",AK33+AVERAGE(월별집계!X33:Z33)*MAX(0,설정!$C$22+2-설정!$C$20))</f>
        <v/>
      </c>
      <c r="AN33" s="73">
        <f>IF($A33="","",IF(AJ33=0,0,AM33/AJ33))</f>
        <v/>
      </c>
      <c r="AO33" s="34">
        <f>IF($A33="","",IF(AND(AJ33=0,AK33&gt;0),"무예산",IF(AJ33=0,"-",IF(AK33&gt;AJ33,"한도 초과",IF(AN33&gt;설정!$C$12,"초과 예상",IF(AN33&gt;설정!$C$11,"주의","여유"))))))</f>
        <v/>
      </c>
      <c r="AP33" s="35">
        <f>IF($A33="","",IF(설정!$C$19="최근월",(INDEX(월별집계!$AB33:$AM33,설정!$C$7)-INDEX(월별집계!$AB33:$AM33,MAX(1,설정!$C$7-1))*(설정!$C$7&gt;1)),IF(설정!$C$19="최근분기",((INDEX(월별집계!$AB33:$AM33,설정!$C$7)-INDEX(월별집계!$AB33:$AM33,MAX(1,설정!$C$7-3))*(설정!$C$7&gt;3))/MIN(3,설정!$C$7)),IF(설정!$C$19="전년추세",AZ33,((설정!$C$7+1)*SUMPRODUCT(월별집계!$AB$5:$AM$5,월별집계!$AB33:$AM33)-(설정!$C$7*(설정!$C$7+1)/2)*SUM(월별집계!$AB33:$AM33))/((설정!$C$7+1)*(설정!$C$7*(설정!$C$7+1)*(2*설정!$C$7+1)/6)-(설정!$C$7*(설정!$C$7+1)/2)^2)))))</f>
        <v/>
      </c>
      <c r="AQ33" s="35">
        <f>IF($A33="","",IF(설정!$C$19="연내누적",(SUM(월별집계!$AB33:$AM33)-AP33*(설정!$C$7*(설정!$C$7+1)/2))/(설정!$C$7+1),INDEX(월별집계!$AB33:$AM33,설정!$C$7)-AP33*설정!$C$7))</f>
        <v/>
      </c>
      <c r="AR33" s="40">
        <f>IF($A33="","",AQ33+AP33*12)</f>
        <v/>
      </c>
      <c r="AS33" s="82">
        <f>IF($A33="","",IF(OR(P33&lt;=0,Q33&gt;=P33,AP33&lt;=0),"",MAX(설정!$C$7,(P33-AQ33)/AP33)))</f>
        <v/>
      </c>
      <c r="AT33" s="22">
        <f>IF($A33="","",IF(AS33="",IF(AU33="이미 소진","소진됨",""),YEAR((DATE(설정!$C$6,1,1)+ROUND(AS33*365/12,0)-1))&amp;"-"&amp;TEXT(MONTH((DATE(설정!$C$6,1,1)+ROUND(AS33*365/12,0)-1)),"00")&amp;"-"&amp;TEXT(DAY((DATE(설정!$C$6,1,1)+ROUND(AS33*365/12,0)-1)),"00")))</f>
        <v/>
      </c>
      <c r="AU33" s="34">
        <f>IF($A33="","",IF(AND(P33&lt;=0,Q33&gt;0),"무예산",IF(P33&lt;=0,"-",IF(Q33&gt;=P33,"이미 소진",IF(AP33&lt;=0,"소진 안 됨",IF(AS33&lt;=12,"연내 고갈","연내 여유"))))))</f>
        <v/>
      </c>
      <c r="AV33" s="34">
        <f>IF($A33="","",IF(AJ33&lt;=0,"",IF(AK33&gt;=AJ33,"한도 소진",IF(AK33&lt;=0,"",IF(AJ33/(AK33/(설정!$C$20-설정!$C$22+1))&gt;3,"분기 내 여유",YEAR((DATE(설정!$C$6,설정!$C$22-설정!$C$6*12,1)+ROUND(MAX((설정!$C$20-설정!$C$22+1),AJ33/(AK33/(설정!$C$20-설정!$C$22+1)))*365/12,0)-1))&amp;"-"&amp;TEXT(MONTH((DATE(설정!$C$6,설정!$C$22-설정!$C$6*12,1)+ROUND(MAX((설정!$C$20-설정!$C$22+1),AJ33/(AK33/(설정!$C$20-설정!$C$22+1)))*365/12,0)-1)),"00")&amp;"-"&amp;TEXT(DAY((DATE(설정!$C$6,설정!$C$22-설정!$C$6*12,1)+ROUND(MAX((설정!$C$20-설정!$C$22+1),AJ33/(AK33/(설정!$C$20-설정!$C$22+1)))*365/12,0)-1)),"00"))))))</f>
        <v/>
      </c>
      <c r="AW33" s="41">
        <f>IF($A33="",999+ROW()/1000000,IF(AU33="이미 소진",ROW()/1000000,IF(AU33="연내 고갈",AS33+ROW()/1000000,99+ROW()/1000000)))</f>
        <v/>
      </c>
      <c r="AX33" s="35">
        <f>IF($A33="","",SUMIFS(월별집계!$C33:$Z33,월별집계!$C$5:$Z$5,"&gt;="&amp;((설정!$C$6-1)*12+1),월별집계!$C$5:$Z$5,"&lt;="&amp;(설정!$C$20-12)))</f>
        <v/>
      </c>
      <c r="AY33" s="80">
        <f>IF($A33="","",IF(AX33&lt;=0,IF(Q33&gt;0,1,0),Q33/AX33-1))</f>
        <v/>
      </c>
      <c r="AZ33" s="35">
        <f>IF($A33="","",SUMIFS(월별집계!$C33:$Z33,월별집계!$C$5:$Z$5,"&gt;"&amp;(설정!$C$20-12),월별집계!$C$5:$Z$5,"&lt;="&amp;((설정!$C$6-1)*12+12))/MAX(1,12-설정!$C$7))</f>
        <v/>
      </c>
    </row>
    <row r="34">
      <c r="A34" s="12" t="inlineStr">
        <is>
          <t>D400</t>
        </is>
      </c>
      <c r="B34" s="26">
        <f>IF($A34="","",IFERROR(INDEX(부서매핑!$D$5:$D$504,MATCH($A34,부서매핑!$C$5:$C$504,0)),"부서매핑 없음"))</f>
        <v/>
      </c>
      <c r="C34" s="79" t="inlineStr">
        <is>
          <t>62301000</t>
        </is>
      </c>
      <c r="D34" s="26">
        <f>IF($A34="","",IFERROR(INDEX(계정매핑!$B$5:$B$504,MATCH($C34&amp;"",계정매핑!$A$5:$A$504,0)),"계정매핑 없음"))</f>
        <v/>
      </c>
      <c r="E34" s="22">
        <f>IF($A34="","",$A34&amp;"|"&amp;$C34)</f>
        <v/>
      </c>
      <c r="F34" s="35">
        <f>IF($A34="","",월별집계!$Z34)</f>
        <v/>
      </c>
      <c r="G34" s="35">
        <f>IF($A34="","",월별집계!$Y34)</f>
        <v/>
      </c>
      <c r="H34" s="80">
        <f>IF($A34="","",IF(G34&lt;=0,IF(F34&gt;0,1,0),F34/G34-1))</f>
        <v/>
      </c>
      <c r="I34" s="35">
        <f>IF($A34="","",월별집계!$N34)</f>
        <v/>
      </c>
      <c r="J34" s="80">
        <f>IF($A34="","",IF(I34&lt;=0,IF(F34&gt;0,1,0),F34/I34-1))</f>
        <v/>
      </c>
      <c r="K34" s="35">
        <f>IF($A34="","",SUMIFS(월별집계!$C34:$Z34,월별집계!$C$5:$Z$5,"&gt;="&amp;설정!$C$22,월별집계!$C$5:$Z$5,"&lt;="&amp;설정!$C$20))</f>
        <v/>
      </c>
      <c r="L34" s="35">
        <f>IF($A34="","",SUMIFS(월별집계!$C34:$Z34,월별집계!$C$5:$Z$5,"&gt;="&amp;(설정!$C$22-3),월별집계!$C$5:$Z$5,"&lt;="&amp;(설정!$C$20-3)))</f>
        <v/>
      </c>
      <c r="M34" s="80">
        <f>IF($A34="","",IF(L34&lt;=0,IF(K34&gt;0,1,0),K34/L34-1))</f>
        <v/>
      </c>
      <c r="N34" s="40">
        <f>IF($A34="","",MAX(F34-G34,F34-I34))</f>
        <v/>
      </c>
      <c r="O34" s="62">
        <f>IF($A34="","",IFERROR((월별집계!$Z34-AVERAGE(월별집계!N34:Y34))/STDEV(월별집계!N34:Y34),0))</f>
        <v/>
      </c>
      <c r="P34" s="35">
        <f>IF($A34="","",SUMIFS(예산판_원본!$O$5:$O$5000,예산판_원본!$L$5:$L$5000,$E34,예산판_원본!$M$5:$M$5000,설정!$C$6))</f>
        <v/>
      </c>
      <c r="Q34" s="35">
        <f>IF($A34="","",SUMIFS(월별집계!$C34:$Z34,월별집계!$C$5:$Z$5,"&gt;="&amp;(설정!$C$6*12+1),월별집계!$C$5:$Z$5,"&lt;="&amp;설정!$C$20))</f>
        <v/>
      </c>
      <c r="R34" s="40">
        <f>IF($A34="","",P34-Q34)</f>
        <v/>
      </c>
      <c r="S34" s="35">
        <f>IF($A34="","",AVERAGE(월별집계!X34:Z34)*(12-설정!$C$7))</f>
        <v/>
      </c>
      <c r="T34" s="35">
        <f>IF($A34="","",IFERROR(Q34/(SUMIFS(월별집계!$C34:$Z34,월별집계!$C$5:$Z$5,"&gt;="&amp;((설정!$C$6-1)*12+1),월별집계!$C$5:$Z$5,"&lt;="&amp;(설정!$C$20-12))/SUMIFS(월별집계!$C34:$Z34,월별집계!$C$5:$Z$5,"&gt;="&amp;((설정!$C$6-1)*12+1),월별집계!$C$5:$Z$5,"&lt;="&amp;((설정!$C$6-1)*12+12)))-Q34,S34))</f>
        <v/>
      </c>
      <c r="U34" s="40">
        <f>IF($A34="","",Q34+MAX(S34,T34))</f>
        <v/>
      </c>
      <c r="V34" s="73">
        <f>IF($A34="","",IF(P34=0,0,U34/P34))</f>
        <v/>
      </c>
      <c r="W34" s="34">
        <f>IF($A34="","",IF(AND(P34=0,Q34&gt;0),"무예산",IF(P34=0,"-",IF(V34&gt;설정!$C$12,"부족 예상",IF(V34&gt;설정!$C$11,"주의","여유")))))</f>
        <v/>
      </c>
      <c r="X34" s="40">
        <f>IF($A34="","",IF(P34=0,0,MAX(0,U34-P34)))</f>
        <v/>
      </c>
      <c r="Y34" s="34">
        <f>IF($A34="","",IF(OR(W34&lt;&gt;"부족 예상",설정!$C$7=12),"",IF(R34&lt;=0,"이미 초과",MIN(12,설정!$C$7+ROUNDUP(R34/(MAX(S34,T34)/(12-설정!$C$7)),0))&amp;"월")))</f>
        <v/>
      </c>
      <c r="Z34" s="26">
        <f>IF($A34="","",TRIM(IF(AND(N(AC34)&gt;=설정!$C$14,N34&gt;=설정!$C$10),"단건"&amp;TEXT(MIN(AC34,1),"0%")&amp;" ","")&amp;IF(AND(N34&gt;0,AD34&gt;0),IF(AD34/N34&gt;=설정!$C$16,"SA대체 ",""),"")&amp;IF(AE34&gt;0,"역분개"&amp;AE34&amp;"건 ","")&amp;IF(O34&gt;=설정!$C$13,"이상치 ","")&amp;IF(AND(I34=0,F34&gt;0),"신규지출 ","")))</f>
        <v/>
      </c>
      <c r="AA34" s="62">
        <f>IF($A34="","",ROUND((AF34+AG34+AH34+AI34)*IF(AND(F34&lt;설정!$C$10,N34&lt;설정!$C$10),0.3,1),1))</f>
        <v/>
      </c>
      <c r="AB34" s="41">
        <f>IF($A34="","",AA34+ROW()/1000000)</f>
        <v/>
      </c>
      <c r="AC34" s="60">
        <f>IF(OR($A34="",N34&lt;=0),"",SUMPRODUCT(MAX((전표_원본!$O$5:$O$100000=$E34)*(전표_원본!$M$5:$M$100000=설정!$C$20)*전표_원본!$P$5:$P$100000))/N34)</f>
        <v/>
      </c>
      <c r="AD34" s="35">
        <f>IF($A34="","",SUMIFS(전표_원본!$P$5:$P$100000,전표_원본!$O$5:$O$100000,$E34,전표_원본!$M$5:$M$100000,설정!$C$20,전표_원본!$E$5:$E$100000,"SA")-SUMIFS(전표_원본!$P$5:$P$100000,전표_원본!$O$5:$O$100000,$E34,전표_원본!$M$5:$M$100000,설정!$C$20-1,전표_원본!$E$5:$E$100000,"SA"))</f>
        <v/>
      </c>
      <c r="AE34" s="81">
        <f>IF($A34="","",COUNTIFS(전표_원본!$O$5:$O$100000,$E34,전표_원본!$M$5:$M$100000,설정!$C$20,전표_원본!$P$5:$P$100000,"&lt;0"))</f>
        <v/>
      </c>
      <c r="AF34" s="62">
        <f>IF($A34="","",MIN(MAX(0,N34)/(설정!$C$10*5),1)*30)</f>
        <v/>
      </c>
      <c r="AG34" s="82">
        <f>IF($A34="","",MIN(MAX(0,H34,J34),1)*20)</f>
        <v/>
      </c>
      <c r="AH34" s="82">
        <f>IF($A34="","",MIN(MAX(0,O34)/3,1)*25)</f>
        <v/>
      </c>
      <c r="AI34" s="82">
        <f>IF($A34="","",IF(OR(W34="부족 예상",W34="무예산",AO34="한도 초과",AO34="초과 예상",AO34="무예산"),25,IF(OR(W34="주의",AO34="주의"),15,0)))</f>
        <v/>
      </c>
      <c r="AJ34" s="35">
        <f>IF($A34="","",SUMIFS(예산판_원본!$O$5:$O$5000,예산판_원본!$L$5:$L$5000,$E34,예산판_원본!$M$5:$M$5000,설정!$C$6,예산판_원본!$N$5:$N$5000,설정!$C$21))</f>
        <v/>
      </c>
      <c r="AK34" s="40">
        <f>IF($A34="","",K34)</f>
        <v/>
      </c>
      <c r="AL34" s="40">
        <f>IF($A34="","",AJ34-AK34)</f>
        <v/>
      </c>
      <c r="AM34" s="35">
        <f>IF($A34="","",AK34+AVERAGE(월별집계!X34:Z34)*MAX(0,설정!$C$22+2-설정!$C$20))</f>
        <v/>
      </c>
      <c r="AN34" s="73">
        <f>IF($A34="","",IF(AJ34=0,0,AM34/AJ34))</f>
        <v/>
      </c>
      <c r="AO34" s="34">
        <f>IF($A34="","",IF(AND(AJ34=0,AK34&gt;0),"무예산",IF(AJ34=0,"-",IF(AK34&gt;AJ34,"한도 초과",IF(AN34&gt;설정!$C$12,"초과 예상",IF(AN34&gt;설정!$C$11,"주의","여유"))))))</f>
        <v/>
      </c>
      <c r="AP34" s="35">
        <f>IF($A34="","",IF(설정!$C$19="최근월",(INDEX(월별집계!$AB34:$AM34,설정!$C$7)-INDEX(월별집계!$AB34:$AM34,MAX(1,설정!$C$7-1))*(설정!$C$7&gt;1)),IF(설정!$C$19="최근분기",((INDEX(월별집계!$AB34:$AM34,설정!$C$7)-INDEX(월별집계!$AB34:$AM34,MAX(1,설정!$C$7-3))*(설정!$C$7&gt;3))/MIN(3,설정!$C$7)),IF(설정!$C$19="전년추세",AZ34,((설정!$C$7+1)*SUMPRODUCT(월별집계!$AB$5:$AM$5,월별집계!$AB34:$AM34)-(설정!$C$7*(설정!$C$7+1)/2)*SUM(월별집계!$AB34:$AM34))/((설정!$C$7+1)*(설정!$C$7*(설정!$C$7+1)*(2*설정!$C$7+1)/6)-(설정!$C$7*(설정!$C$7+1)/2)^2)))))</f>
        <v/>
      </c>
      <c r="AQ34" s="35">
        <f>IF($A34="","",IF(설정!$C$19="연내누적",(SUM(월별집계!$AB34:$AM34)-AP34*(설정!$C$7*(설정!$C$7+1)/2))/(설정!$C$7+1),INDEX(월별집계!$AB34:$AM34,설정!$C$7)-AP34*설정!$C$7))</f>
        <v/>
      </c>
      <c r="AR34" s="40">
        <f>IF($A34="","",AQ34+AP34*12)</f>
        <v/>
      </c>
      <c r="AS34" s="82">
        <f>IF($A34="","",IF(OR(P34&lt;=0,Q34&gt;=P34,AP34&lt;=0),"",MAX(설정!$C$7,(P34-AQ34)/AP34)))</f>
        <v/>
      </c>
      <c r="AT34" s="22">
        <f>IF($A34="","",IF(AS34="",IF(AU34="이미 소진","소진됨",""),YEAR((DATE(설정!$C$6,1,1)+ROUND(AS34*365/12,0)-1))&amp;"-"&amp;TEXT(MONTH((DATE(설정!$C$6,1,1)+ROUND(AS34*365/12,0)-1)),"00")&amp;"-"&amp;TEXT(DAY((DATE(설정!$C$6,1,1)+ROUND(AS34*365/12,0)-1)),"00")))</f>
        <v/>
      </c>
      <c r="AU34" s="34">
        <f>IF($A34="","",IF(AND(P34&lt;=0,Q34&gt;0),"무예산",IF(P34&lt;=0,"-",IF(Q34&gt;=P34,"이미 소진",IF(AP34&lt;=0,"소진 안 됨",IF(AS34&lt;=12,"연내 고갈","연내 여유"))))))</f>
        <v/>
      </c>
      <c r="AV34" s="34">
        <f>IF($A34="","",IF(AJ34&lt;=0,"",IF(AK34&gt;=AJ34,"한도 소진",IF(AK34&lt;=0,"",IF(AJ34/(AK34/(설정!$C$20-설정!$C$22+1))&gt;3,"분기 내 여유",YEAR((DATE(설정!$C$6,설정!$C$22-설정!$C$6*12,1)+ROUND(MAX((설정!$C$20-설정!$C$22+1),AJ34/(AK34/(설정!$C$20-설정!$C$22+1)))*365/12,0)-1))&amp;"-"&amp;TEXT(MONTH((DATE(설정!$C$6,설정!$C$22-설정!$C$6*12,1)+ROUND(MAX((설정!$C$20-설정!$C$22+1),AJ34/(AK34/(설정!$C$20-설정!$C$22+1)))*365/12,0)-1)),"00")&amp;"-"&amp;TEXT(DAY((DATE(설정!$C$6,설정!$C$22-설정!$C$6*12,1)+ROUND(MAX((설정!$C$20-설정!$C$22+1),AJ34/(AK34/(설정!$C$20-설정!$C$22+1)))*365/12,0)-1)),"00"))))))</f>
        <v/>
      </c>
      <c r="AW34" s="41">
        <f>IF($A34="",999+ROW()/1000000,IF(AU34="이미 소진",ROW()/1000000,IF(AU34="연내 고갈",AS34+ROW()/1000000,99+ROW()/1000000)))</f>
        <v/>
      </c>
      <c r="AX34" s="35">
        <f>IF($A34="","",SUMIFS(월별집계!$C34:$Z34,월별집계!$C$5:$Z$5,"&gt;="&amp;((설정!$C$6-1)*12+1),월별집계!$C$5:$Z$5,"&lt;="&amp;(설정!$C$20-12)))</f>
        <v/>
      </c>
      <c r="AY34" s="80">
        <f>IF($A34="","",IF(AX34&lt;=0,IF(Q34&gt;0,1,0),Q34/AX34-1))</f>
        <v/>
      </c>
      <c r="AZ34" s="35">
        <f>IF($A34="","",SUMIFS(월별집계!$C34:$Z34,월별집계!$C$5:$Z$5,"&gt;"&amp;(설정!$C$20-12),월별집계!$C$5:$Z$5,"&lt;="&amp;((설정!$C$6-1)*12+12))/MAX(1,12-설정!$C$7))</f>
        <v/>
      </c>
    </row>
    <row r="35">
      <c r="A35" s="12" t="inlineStr">
        <is>
          <t>D400</t>
        </is>
      </c>
      <c r="B35" s="26">
        <f>IF($A35="","",IFERROR(INDEX(부서매핑!$D$5:$D$504,MATCH($A35,부서매핑!$C$5:$C$504,0)),"부서매핑 없음"))</f>
        <v/>
      </c>
      <c r="C35" s="79" t="inlineStr">
        <is>
          <t>62401000</t>
        </is>
      </c>
      <c r="D35" s="26">
        <f>IF($A35="","",IFERROR(INDEX(계정매핑!$B$5:$B$504,MATCH($C35&amp;"",계정매핑!$A$5:$A$504,0)),"계정매핑 없음"))</f>
        <v/>
      </c>
      <c r="E35" s="22">
        <f>IF($A35="","",$A35&amp;"|"&amp;$C35)</f>
        <v/>
      </c>
      <c r="F35" s="35">
        <f>IF($A35="","",월별집계!$Z35)</f>
        <v/>
      </c>
      <c r="G35" s="35">
        <f>IF($A35="","",월별집계!$Y35)</f>
        <v/>
      </c>
      <c r="H35" s="80">
        <f>IF($A35="","",IF(G35&lt;=0,IF(F35&gt;0,1,0),F35/G35-1))</f>
        <v/>
      </c>
      <c r="I35" s="35">
        <f>IF($A35="","",월별집계!$N35)</f>
        <v/>
      </c>
      <c r="J35" s="80">
        <f>IF($A35="","",IF(I35&lt;=0,IF(F35&gt;0,1,0),F35/I35-1))</f>
        <v/>
      </c>
      <c r="K35" s="35">
        <f>IF($A35="","",SUMIFS(월별집계!$C35:$Z35,월별집계!$C$5:$Z$5,"&gt;="&amp;설정!$C$22,월별집계!$C$5:$Z$5,"&lt;="&amp;설정!$C$20))</f>
        <v/>
      </c>
      <c r="L35" s="35">
        <f>IF($A35="","",SUMIFS(월별집계!$C35:$Z35,월별집계!$C$5:$Z$5,"&gt;="&amp;(설정!$C$22-3),월별집계!$C$5:$Z$5,"&lt;="&amp;(설정!$C$20-3)))</f>
        <v/>
      </c>
      <c r="M35" s="80">
        <f>IF($A35="","",IF(L35&lt;=0,IF(K35&gt;0,1,0),K35/L35-1))</f>
        <v/>
      </c>
      <c r="N35" s="40">
        <f>IF($A35="","",MAX(F35-G35,F35-I35))</f>
        <v/>
      </c>
      <c r="O35" s="62">
        <f>IF($A35="","",IFERROR((월별집계!$Z35-AVERAGE(월별집계!N35:Y35))/STDEV(월별집계!N35:Y35),0))</f>
        <v/>
      </c>
      <c r="P35" s="35">
        <f>IF($A35="","",SUMIFS(예산판_원본!$O$5:$O$5000,예산판_원본!$L$5:$L$5000,$E35,예산판_원본!$M$5:$M$5000,설정!$C$6))</f>
        <v/>
      </c>
      <c r="Q35" s="35">
        <f>IF($A35="","",SUMIFS(월별집계!$C35:$Z35,월별집계!$C$5:$Z$5,"&gt;="&amp;(설정!$C$6*12+1),월별집계!$C$5:$Z$5,"&lt;="&amp;설정!$C$20))</f>
        <v/>
      </c>
      <c r="R35" s="40">
        <f>IF($A35="","",P35-Q35)</f>
        <v/>
      </c>
      <c r="S35" s="35">
        <f>IF($A35="","",AVERAGE(월별집계!X35:Z35)*(12-설정!$C$7))</f>
        <v/>
      </c>
      <c r="T35" s="35">
        <f>IF($A35="","",IFERROR(Q35/(SUMIFS(월별집계!$C35:$Z35,월별집계!$C$5:$Z$5,"&gt;="&amp;((설정!$C$6-1)*12+1),월별집계!$C$5:$Z$5,"&lt;="&amp;(설정!$C$20-12))/SUMIFS(월별집계!$C35:$Z35,월별집계!$C$5:$Z$5,"&gt;="&amp;((설정!$C$6-1)*12+1),월별집계!$C$5:$Z$5,"&lt;="&amp;((설정!$C$6-1)*12+12)))-Q35,S35))</f>
        <v/>
      </c>
      <c r="U35" s="40">
        <f>IF($A35="","",Q35+MAX(S35,T35))</f>
        <v/>
      </c>
      <c r="V35" s="73">
        <f>IF($A35="","",IF(P35=0,0,U35/P35))</f>
        <v/>
      </c>
      <c r="W35" s="34">
        <f>IF($A35="","",IF(AND(P35=0,Q35&gt;0),"무예산",IF(P35=0,"-",IF(V35&gt;설정!$C$12,"부족 예상",IF(V35&gt;설정!$C$11,"주의","여유")))))</f>
        <v/>
      </c>
      <c r="X35" s="40">
        <f>IF($A35="","",IF(P35=0,0,MAX(0,U35-P35)))</f>
        <v/>
      </c>
      <c r="Y35" s="34">
        <f>IF($A35="","",IF(OR(W35&lt;&gt;"부족 예상",설정!$C$7=12),"",IF(R35&lt;=0,"이미 초과",MIN(12,설정!$C$7+ROUNDUP(R35/(MAX(S35,T35)/(12-설정!$C$7)),0))&amp;"월")))</f>
        <v/>
      </c>
      <c r="Z35" s="26">
        <f>IF($A35="","",TRIM(IF(AND(N(AC35)&gt;=설정!$C$14,N35&gt;=설정!$C$10),"단건"&amp;TEXT(MIN(AC35,1),"0%")&amp;" ","")&amp;IF(AND(N35&gt;0,AD35&gt;0),IF(AD35/N35&gt;=설정!$C$16,"SA대체 ",""),"")&amp;IF(AE35&gt;0,"역분개"&amp;AE35&amp;"건 ","")&amp;IF(O35&gt;=설정!$C$13,"이상치 ","")&amp;IF(AND(I35=0,F35&gt;0),"신규지출 ","")))</f>
        <v/>
      </c>
      <c r="AA35" s="62">
        <f>IF($A35="","",ROUND((AF35+AG35+AH35+AI35)*IF(AND(F35&lt;설정!$C$10,N35&lt;설정!$C$10),0.3,1),1))</f>
        <v/>
      </c>
      <c r="AB35" s="41">
        <f>IF($A35="","",AA35+ROW()/1000000)</f>
        <v/>
      </c>
      <c r="AC35" s="60">
        <f>IF(OR($A35="",N35&lt;=0),"",SUMPRODUCT(MAX((전표_원본!$O$5:$O$100000=$E35)*(전표_원본!$M$5:$M$100000=설정!$C$20)*전표_원본!$P$5:$P$100000))/N35)</f>
        <v/>
      </c>
      <c r="AD35" s="35">
        <f>IF($A35="","",SUMIFS(전표_원본!$P$5:$P$100000,전표_원본!$O$5:$O$100000,$E35,전표_원본!$M$5:$M$100000,설정!$C$20,전표_원본!$E$5:$E$100000,"SA")-SUMIFS(전표_원본!$P$5:$P$100000,전표_원본!$O$5:$O$100000,$E35,전표_원본!$M$5:$M$100000,설정!$C$20-1,전표_원본!$E$5:$E$100000,"SA"))</f>
        <v/>
      </c>
      <c r="AE35" s="81">
        <f>IF($A35="","",COUNTIFS(전표_원본!$O$5:$O$100000,$E35,전표_원본!$M$5:$M$100000,설정!$C$20,전표_원본!$P$5:$P$100000,"&lt;0"))</f>
        <v/>
      </c>
      <c r="AF35" s="62">
        <f>IF($A35="","",MIN(MAX(0,N35)/(설정!$C$10*5),1)*30)</f>
        <v/>
      </c>
      <c r="AG35" s="82">
        <f>IF($A35="","",MIN(MAX(0,H35,J35),1)*20)</f>
        <v/>
      </c>
      <c r="AH35" s="82">
        <f>IF($A35="","",MIN(MAX(0,O35)/3,1)*25)</f>
        <v/>
      </c>
      <c r="AI35" s="82">
        <f>IF($A35="","",IF(OR(W35="부족 예상",W35="무예산",AO35="한도 초과",AO35="초과 예상",AO35="무예산"),25,IF(OR(W35="주의",AO35="주의"),15,0)))</f>
        <v/>
      </c>
      <c r="AJ35" s="35">
        <f>IF($A35="","",SUMIFS(예산판_원본!$O$5:$O$5000,예산판_원본!$L$5:$L$5000,$E35,예산판_원본!$M$5:$M$5000,설정!$C$6,예산판_원본!$N$5:$N$5000,설정!$C$21))</f>
        <v/>
      </c>
      <c r="AK35" s="40">
        <f>IF($A35="","",K35)</f>
        <v/>
      </c>
      <c r="AL35" s="40">
        <f>IF($A35="","",AJ35-AK35)</f>
        <v/>
      </c>
      <c r="AM35" s="35">
        <f>IF($A35="","",AK35+AVERAGE(월별집계!X35:Z35)*MAX(0,설정!$C$22+2-설정!$C$20))</f>
        <v/>
      </c>
      <c r="AN35" s="73">
        <f>IF($A35="","",IF(AJ35=0,0,AM35/AJ35))</f>
        <v/>
      </c>
      <c r="AO35" s="34">
        <f>IF($A35="","",IF(AND(AJ35=0,AK35&gt;0),"무예산",IF(AJ35=0,"-",IF(AK35&gt;AJ35,"한도 초과",IF(AN35&gt;설정!$C$12,"초과 예상",IF(AN35&gt;설정!$C$11,"주의","여유"))))))</f>
        <v/>
      </c>
      <c r="AP35" s="35">
        <f>IF($A35="","",IF(설정!$C$19="최근월",(INDEX(월별집계!$AB35:$AM35,설정!$C$7)-INDEX(월별집계!$AB35:$AM35,MAX(1,설정!$C$7-1))*(설정!$C$7&gt;1)),IF(설정!$C$19="최근분기",((INDEX(월별집계!$AB35:$AM35,설정!$C$7)-INDEX(월별집계!$AB35:$AM35,MAX(1,설정!$C$7-3))*(설정!$C$7&gt;3))/MIN(3,설정!$C$7)),IF(설정!$C$19="전년추세",AZ35,((설정!$C$7+1)*SUMPRODUCT(월별집계!$AB$5:$AM$5,월별집계!$AB35:$AM35)-(설정!$C$7*(설정!$C$7+1)/2)*SUM(월별집계!$AB35:$AM35))/((설정!$C$7+1)*(설정!$C$7*(설정!$C$7+1)*(2*설정!$C$7+1)/6)-(설정!$C$7*(설정!$C$7+1)/2)^2)))))</f>
        <v/>
      </c>
      <c r="AQ35" s="35">
        <f>IF($A35="","",IF(설정!$C$19="연내누적",(SUM(월별집계!$AB35:$AM35)-AP35*(설정!$C$7*(설정!$C$7+1)/2))/(설정!$C$7+1),INDEX(월별집계!$AB35:$AM35,설정!$C$7)-AP35*설정!$C$7))</f>
        <v/>
      </c>
      <c r="AR35" s="40">
        <f>IF($A35="","",AQ35+AP35*12)</f>
        <v/>
      </c>
      <c r="AS35" s="82">
        <f>IF($A35="","",IF(OR(P35&lt;=0,Q35&gt;=P35,AP35&lt;=0),"",MAX(설정!$C$7,(P35-AQ35)/AP35)))</f>
        <v/>
      </c>
      <c r="AT35" s="22">
        <f>IF($A35="","",IF(AS35="",IF(AU35="이미 소진","소진됨",""),YEAR((DATE(설정!$C$6,1,1)+ROUND(AS35*365/12,0)-1))&amp;"-"&amp;TEXT(MONTH((DATE(설정!$C$6,1,1)+ROUND(AS35*365/12,0)-1)),"00")&amp;"-"&amp;TEXT(DAY((DATE(설정!$C$6,1,1)+ROUND(AS35*365/12,0)-1)),"00")))</f>
        <v/>
      </c>
      <c r="AU35" s="34">
        <f>IF($A35="","",IF(AND(P35&lt;=0,Q35&gt;0),"무예산",IF(P35&lt;=0,"-",IF(Q35&gt;=P35,"이미 소진",IF(AP35&lt;=0,"소진 안 됨",IF(AS35&lt;=12,"연내 고갈","연내 여유"))))))</f>
        <v/>
      </c>
      <c r="AV35" s="34">
        <f>IF($A35="","",IF(AJ35&lt;=0,"",IF(AK35&gt;=AJ35,"한도 소진",IF(AK35&lt;=0,"",IF(AJ35/(AK35/(설정!$C$20-설정!$C$22+1))&gt;3,"분기 내 여유",YEAR((DATE(설정!$C$6,설정!$C$22-설정!$C$6*12,1)+ROUND(MAX((설정!$C$20-설정!$C$22+1),AJ35/(AK35/(설정!$C$20-설정!$C$22+1)))*365/12,0)-1))&amp;"-"&amp;TEXT(MONTH((DATE(설정!$C$6,설정!$C$22-설정!$C$6*12,1)+ROUND(MAX((설정!$C$20-설정!$C$22+1),AJ35/(AK35/(설정!$C$20-설정!$C$22+1)))*365/12,0)-1)),"00")&amp;"-"&amp;TEXT(DAY((DATE(설정!$C$6,설정!$C$22-설정!$C$6*12,1)+ROUND(MAX((설정!$C$20-설정!$C$22+1),AJ35/(AK35/(설정!$C$20-설정!$C$22+1)))*365/12,0)-1)),"00"))))))</f>
        <v/>
      </c>
      <c r="AW35" s="41">
        <f>IF($A35="",999+ROW()/1000000,IF(AU35="이미 소진",ROW()/1000000,IF(AU35="연내 고갈",AS35+ROW()/1000000,99+ROW()/1000000)))</f>
        <v/>
      </c>
      <c r="AX35" s="35">
        <f>IF($A35="","",SUMIFS(월별집계!$C35:$Z35,월별집계!$C$5:$Z$5,"&gt;="&amp;((설정!$C$6-1)*12+1),월별집계!$C$5:$Z$5,"&lt;="&amp;(설정!$C$20-12)))</f>
        <v/>
      </c>
      <c r="AY35" s="80">
        <f>IF($A35="","",IF(AX35&lt;=0,IF(Q35&gt;0,1,0),Q35/AX35-1))</f>
        <v/>
      </c>
      <c r="AZ35" s="35">
        <f>IF($A35="","",SUMIFS(월별집계!$C35:$Z35,월별집계!$C$5:$Z$5,"&gt;"&amp;(설정!$C$20-12),월별집계!$C$5:$Z$5,"&lt;="&amp;((설정!$C$6-1)*12+12))/MAX(1,12-설정!$C$7))</f>
        <v/>
      </c>
    </row>
    <row r="36">
      <c r="A36" s="12" t="inlineStr">
        <is>
          <t>D400</t>
        </is>
      </c>
      <c r="B36" s="26">
        <f>IF($A36="","",IFERROR(INDEX(부서매핑!$D$5:$D$504,MATCH($A36,부서매핑!$C$5:$C$504,0)),"부서매핑 없음"))</f>
        <v/>
      </c>
      <c r="C36" s="79" t="inlineStr">
        <is>
          <t>62501000</t>
        </is>
      </c>
      <c r="D36" s="26">
        <f>IF($A36="","",IFERROR(INDEX(계정매핑!$B$5:$B$504,MATCH($C36&amp;"",계정매핑!$A$5:$A$504,0)),"계정매핑 없음"))</f>
        <v/>
      </c>
      <c r="E36" s="22">
        <f>IF($A36="","",$A36&amp;"|"&amp;$C36)</f>
        <v/>
      </c>
      <c r="F36" s="35">
        <f>IF($A36="","",월별집계!$Z36)</f>
        <v/>
      </c>
      <c r="G36" s="35">
        <f>IF($A36="","",월별집계!$Y36)</f>
        <v/>
      </c>
      <c r="H36" s="80">
        <f>IF($A36="","",IF(G36&lt;=0,IF(F36&gt;0,1,0),F36/G36-1))</f>
        <v/>
      </c>
      <c r="I36" s="35">
        <f>IF($A36="","",월별집계!$N36)</f>
        <v/>
      </c>
      <c r="J36" s="80">
        <f>IF($A36="","",IF(I36&lt;=0,IF(F36&gt;0,1,0),F36/I36-1))</f>
        <v/>
      </c>
      <c r="K36" s="35">
        <f>IF($A36="","",SUMIFS(월별집계!$C36:$Z36,월별집계!$C$5:$Z$5,"&gt;="&amp;설정!$C$22,월별집계!$C$5:$Z$5,"&lt;="&amp;설정!$C$20))</f>
        <v/>
      </c>
      <c r="L36" s="35">
        <f>IF($A36="","",SUMIFS(월별집계!$C36:$Z36,월별집계!$C$5:$Z$5,"&gt;="&amp;(설정!$C$22-3),월별집계!$C$5:$Z$5,"&lt;="&amp;(설정!$C$20-3)))</f>
        <v/>
      </c>
      <c r="M36" s="80">
        <f>IF($A36="","",IF(L36&lt;=0,IF(K36&gt;0,1,0),K36/L36-1))</f>
        <v/>
      </c>
      <c r="N36" s="40">
        <f>IF($A36="","",MAX(F36-G36,F36-I36))</f>
        <v/>
      </c>
      <c r="O36" s="62">
        <f>IF($A36="","",IFERROR((월별집계!$Z36-AVERAGE(월별집계!N36:Y36))/STDEV(월별집계!N36:Y36),0))</f>
        <v/>
      </c>
      <c r="P36" s="35">
        <f>IF($A36="","",SUMIFS(예산판_원본!$O$5:$O$5000,예산판_원본!$L$5:$L$5000,$E36,예산판_원본!$M$5:$M$5000,설정!$C$6))</f>
        <v/>
      </c>
      <c r="Q36" s="35">
        <f>IF($A36="","",SUMIFS(월별집계!$C36:$Z36,월별집계!$C$5:$Z$5,"&gt;="&amp;(설정!$C$6*12+1),월별집계!$C$5:$Z$5,"&lt;="&amp;설정!$C$20))</f>
        <v/>
      </c>
      <c r="R36" s="40">
        <f>IF($A36="","",P36-Q36)</f>
        <v/>
      </c>
      <c r="S36" s="35">
        <f>IF($A36="","",AVERAGE(월별집계!X36:Z36)*(12-설정!$C$7))</f>
        <v/>
      </c>
      <c r="T36" s="35">
        <f>IF($A36="","",IFERROR(Q36/(SUMIFS(월별집계!$C36:$Z36,월별집계!$C$5:$Z$5,"&gt;="&amp;((설정!$C$6-1)*12+1),월별집계!$C$5:$Z$5,"&lt;="&amp;(설정!$C$20-12))/SUMIFS(월별집계!$C36:$Z36,월별집계!$C$5:$Z$5,"&gt;="&amp;((설정!$C$6-1)*12+1),월별집계!$C$5:$Z$5,"&lt;="&amp;((설정!$C$6-1)*12+12)))-Q36,S36))</f>
        <v/>
      </c>
      <c r="U36" s="40">
        <f>IF($A36="","",Q36+MAX(S36,T36))</f>
        <v/>
      </c>
      <c r="V36" s="73">
        <f>IF($A36="","",IF(P36=0,0,U36/P36))</f>
        <v/>
      </c>
      <c r="W36" s="34">
        <f>IF($A36="","",IF(AND(P36=0,Q36&gt;0),"무예산",IF(P36=0,"-",IF(V36&gt;설정!$C$12,"부족 예상",IF(V36&gt;설정!$C$11,"주의","여유")))))</f>
        <v/>
      </c>
      <c r="X36" s="40">
        <f>IF($A36="","",IF(P36=0,0,MAX(0,U36-P36)))</f>
        <v/>
      </c>
      <c r="Y36" s="34">
        <f>IF($A36="","",IF(OR(W36&lt;&gt;"부족 예상",설정!$C$7=12),"",IF(R36&lt;=0,"이미 초과",MIN(12,설정!$C$7+ROUNDUP(R36/(MAX(S36,T36)/(12-설정!$C$7)),0))&amp;"월")))</f>
        <v/>
      </c>
      <c r="Z36" s="26">
        <f>IF($A36="","",TRIM(IF(AND(N(AC36)&gt;=설정!$C$14,N36&gt;=설정!$C$10),"단건"&amp;TEXT(MIN(AC36,1),"0%")&amp;" ","")&amp;IF(AND(N36&gt;0,AD36&gt;0),IF(AD36/N36&gt;=설정!$C$16,"SA대체 ",""),"")&amp;IF(AE36&gt;0,"역분개"&amp;AE36&amp;"건 ","")&amp;IF(O36&gt;=설정!$C$13,"이상치 ","")&amp;IF(AND(I36=0,F36&gt;0),"신규지출 ","")))</f>
        <v/>
      </c>
      <c r="AA36" s="62">
        <f>IF($A36="","",ROUND((AF36+AG36+AH36+AI36)*IF(AND(F36&lt;설정!$C$10,N36&lt;설정!$C$10),0.3,1),1))</f>
        <v/>
      </c>
      <c r="AB36" s="41">
        <f>IF($A36="","",AA36+ROW()/1000000)</f>
        <v/>
      </c>
      <c r="AC36" s="60">
        <f>IF(OR($A36="",N36&lt;=0),"",SUMPRODUCT(MAX((전표_원본!$O$5:$O$100000=$E36)*(전표_원본!$M$5:$M$100000=설정!$C$20)*전표_원본!$P$5:$P$100000))/N36)</f>
        <v/>
      </c>
      <c r="AD36" s="35">
        <f>IF($A36="","",SUMIFS(전표_원본!$P$5:$P$100000,전표_원본!$O$5:$O$100000,$E36,전표_원본!$M$5:$M$100000,설정!$C$20,전표_원본!$E$5:$E$100000,"SA")-SUMIFS(전표_원본!$P$5:$P$100000,전표_원본!$O$5:$O$100000,$E36,전표_원본!$M$5:$M$100000,설정!$C$20-1,전표_원본!$E$5:$E$100000,"SA"))</f>
        <v/>
      </c>
      <c r="AE36" s="81">
        <f>IF($A36="","",COUNTIFS(전표_원본!$O$5:$O$100000,$E36,전표_원본!$M$5:$M$100000,설정!$C$20,전표_원본!$P$5:$P$100000,"&lt;0"))</f>
        <v/>
      </c>
      <c r="AF36" s="62">
        <f>IF($A36="","",MIN(MAX(0,N36)/(설정!$C$10*5),1)*30)</f>
        <v/>
      </c>
      <c r="AG36" s="82">
        <f>IF($A36="","",MIN(MAX(0,H36,J36),1)*20)</f>
        <v/>
      </c>
      <c r="AH36" s="82">
        <f>IF($A36="","",MIN(MAX(0,O36)/3,1)*25)</f>
        <v/>
      </c>
      <c r="AI36" s="82">
        <f>IF($A36="","",IF(OR(W36="부족 예상",W36="무예산",AO36="한도 초과",AO36="초과 예상",AO36="무예산"),25,IF(OR(W36="주의",AO36="주의"),15,0)))</f>
        <v/>
      </c>
      <c r="AJ36" s="35">
        <f>IF($A36="","",SUMIFS(예산판_원본!$O$5:$O$5000,예산판_원본!$L$5:$L$5000,$E36,예산판_원본!$M$5:$M$5000,설정!$C$6,예산판_원본!$N$5:$N$5000,설정!$C$21))</f>
        <v/>
      </c>
      <c r="AK36" s="40">
        <f>IF($A36="","",K36)</f>
        <v/>
      </c>
      <c r="AL36" s="40">
        <f>IF($A36="","",AJ36-AK36)</f>
        <v/>
      </c>
      <c r="AM36" s="35">
        <f>IF($A36="","",AK36+AVERAGE(월별집계!X36:Z36)*MAX(0,설정!$C$22+2-설정!$C$20))</f>
        <v/>
      </c>
      <c r="AN36" s="73">
        <f>IF($A36="","",IF(AJ36=0,0,AM36/AJ36))</f>
        <v/>
      </c>
      <c r="AO36" s="34">
        <f>IF($A36="","",IF(AND(AJ36=0,AK36&gt;0),"무예산",IF(AJ36=0,"-",IF(AK36&gt;AJ36,"한도 초과",IF(AN36&gt;설정!$C$12,"초과 예상",IF(AN36&gt;설정!$C$11,"주의","여유"))))))</f>
        <v/>
      </c>
      <c r="AP36" s="35">
        <f>IF($A36="","",IF(설정!$C$19="최근월",(INDEX(월별집계!$AB36:$AM36,설정!$C$7)-INDEX(월별집계!$AB36:$AM36,MAX(1,설정!$C$7-1))*(설정!$C$7&gt;1)),IF(설정!$C$19="최근분기",((INDEX(월별집계!$AB36:$AM36,설정!$C$7)-INDEX(월별집계!$AB36:$AM36,MAX(1,설정!$C$7-3))*(설정!$C$7&gt;3))/MIN(3,설정!$C$7)),IF(설정!$C$19="전년추세",AZ36,((설정!$C$7+1)*SUMPRODUCT(월별집계!$AB$5:$AM$5,월별집계!$AB36:$AM36)-(설정!$C$7*(설정!$C$7+1)/2)*SUM(월별집계!$AB36:$AM36))/((설정!$C$7+1)*(설정!$C$7*(설정!$C$7+1)*(2*설정!$C$7+1)/6)-(설정!$C$7*(설정!$C$7+1)/2)^2)))))</f>
        <v/>
      </c>
      <c r="AQ36" s="35">
        <f>IF($A36="","",IF(설정!$C$19="연내누적",(SUM(월별집계!$AB36:$AM36)-AP36*(설정!$C$7*(설정!$C$7+1)/2))/(설정!$C$7+1),INDEX(월별집계!$AB36:$AM36,설정!$C$7)-AP36*설정!$C$7))</f>
        <v/>
      </c>
      <c r="AR36" s="40">
        <f>IF($A36="","",AQ36+AP36*12)</f>
        <v/>
      </c>
      <c r="AS36" s="82">
        <f>IF($A36="","",IF(OR(P36&lt;=0,Q36&gt;=P36,AP36&lt;=0),"",MAX(설정!$C$7,(P36-AQ36)/AP36)))</f>
        <v/>
      </c>
      <c r="AT36" s="22">
        <f>IF($A36="","",IF(AS36="",IF(AU36="이미 소진","소진됨",""),YEAR((DATE(설정!$C$6,1,1)+ROUND(AS36*365/12,0)-1))&amp;"-"&amp;TEXT(MONTH((DATE(설정!$C$6,1,1)+ROUND(AS36*365/12,0)-1)),"00")&amp;"-"&amp;TEXT(DAY((DATE(설정!$C$6,1,1)+ROUND(AS36*365/12,0)-1)),"00")))</f>
        <v/>
      </c>
      <c r="AU36" s="34">
        <f>IF($A36="","",IF(AND(P36&lt;=0,Q36&gt;0),"무예산",IF(P36&lt;=0,"-",IF(Q36&gt;=P36,"이미 소진",IF(AP36&lt;=0,"소진 안 됨",IF(AS36&lt;=12,"연내 고갈","연내 여유"))))))</f>
        <v/>
      </c>
      <c r="AV36" s="34">
        <f>IF($A36="","",IF(AJ36&lt;=0,"",IF(AK36&gt;=AJ36,"한도 소진",IF(AK36&lt;=0,"",IF(AJ36/(AK36/(설정!$C$20-설정!$C$22+1))&gt;3,"분기 내 여유",YEAR((DATE(설정!$C$6,설정!$C$22-설정!$C$6*12,1)+ROUND(MAX((설정!$C$20-설정!$C$22+1),AJ36/(AK36/(설정!$C$20-설정!$C$22+1)))*365/12,0)-1))&amp;"-"&amp;TEXT(MONTH((DATE(설정!$C$6,설정!$C$22-설정!$C$6*12,1)+ROUND(MAX((설정!$C$20-설정!$C$22+1),AJ36/(AK36/(설정!$C$20-설정!$C$22+1)))*365/12,0)-1)),"00")&amp;"-"&amp;TEXT(DAY((DATE(설정!$C$6,설정!$C$22-설정!$C$6*12,1)+ROUND(MAX((설정!$C$20-설정!$C$22+1),AJ36/(AK36/(설정!$C$20-설정!$C$22+1)))*365/12,0)-1)),"00"))))))</f>
        <v/>
      </c>
      <c r="AW36" s="41">
        <f>IF($A36="",999+ROW()/1000000,IF(AU36="이미 소진",ROW()/1000000,IF(AU36="연내 고갈",AS36+ROW()/1000000,99+ROW()/1000000)))</f>
        <v/>
      </c>
      <c r="AX36" s="35">
        <f>IF($A36="","",SUMIFS(월별집계!$C36:$Z36,월별집계!$C$5:$Z$5,"&gt;="&amp;((설정!$C$6-1)*12+1),월별집계!$C$5:$Z$5,"&lt;="&amp;(설정!$C$20-12)))</f>
        <v/>
      </c>
      <c r="AY36" s="80">
        <f>IF($A36="","",IF(AX36&lt;=0,IF(Q36&gt;0,1,0),Q36/AX36-1))</f>
        <v/>
      </c>
      <c r="AZ36" s="35">
        <f>IF($A36="","",SUMIFS(월별집계!$C36:$Z36,월별집계!$C$5:$Z$5,"&gt;"&amp;(설정!$C$20-12),월별집계!$C$5:$Z$5,"&lt;="&amp;((설정!$C$6-1)*12+12))/MAX(1,12-설정!$C$7))</f>
        <v/>
      </c>
    </row>
    <row r="37">
      <c r="A37" s="12" t="inlineStr">
        <is>
          <t>D400</t>
        </is>
      </c>
      <c r="B37" s="26">
        <f>IF($A37="","",IFERROR(INDEX(부서매핑!$D$5:$D$504,MATCH($A37,부서매핑!$C$5:$C$504,0)),"부서매핑 없음"))</f>
        <v/>
      </c>
      <c r="C37" s="79" t="inlineStr">
        <is>
          <t>62901000</t>
        </is>
      </c>
      <c r="D37" s="26">
        <f>IF($A37="","",IFERROR(INDEX(계정매핑!$B$5:$B$504,MATCH($C37&amp;"",계정매핑!$A$5:$A$504,0)),"계정매핑 없음"))</f>
        <v/>
      </c>
      <c r="E37" s="22">
        <f>IF($A37="","",$A37&amp;"|"&amp;$C37)</f>
        <v/>
      </c>
      <c r="F37" s="35">
        <f>IF($A37="","",월별집계!$Z37)</f>
        <v/>
      </c>
      <c r="G37" s="35">
        <f>IF($A37="","",월별집계!$Y37)</f>
        <v/>
      </c>
      <c r="H37" s="80">
        <f>IF($A37="","",IF(G37&lt;=0,IF(F37&gt;0,1,0),F37/G37-1))</f>
        <v/>
      </c>
      <c r="I37" s="35">
        <f>IF($A37="","",월별집계!$N37)</f>
        <v/>
      </c>
      <c r="J37" s="80">
        <f>IF($A37="","",IF(I37&lt;=0,IF(F37&gt;0,1,0),F37/I37-1))</f>
        <v/>
      </c>
      <c r="K37" s="35">
        <f>IF($A37="","",SUMIFS(월별집계!$C37:$Z37,월별집계!$C$5:$Z$5,"&gt;="&amp;설정!$C$22,월별집계!$C$5:$Z$5,"&lt;="&amp;설정!$C$20))</f>
        <v/>
      </c>
      <c r="L37" s="35">
        <f>IF($A37="","",SUMIFS(월별집계!$C37:$Z37,월별집계!$C$5:$Z$5,"&gt;="&amp;(설정!$C$22-3),월별집계!$C$5:$Z$5,"&lt;="&amp;(설정!$C$20-3)))</f>
        <v/>
      </c>
      <c r="M37" s="80">
        <f>IF($A37="","",IF(L37&lt;=0,IF(K37&gt;0,1,0),K37/L37-1))</f>
        <v/>
      </c>
      <c r="N37" s="40">
        <f>IF($A37="","",MAX(F37-G37,F37-I37))</f>
        <v/>
      </c>
      <c r="O37" s="62">
        <f>IF($A37="","",IFERROR((월별집계!$Z37-AVERAGE(월별집계!N37:Y37))/STDEV(월별집계!N37:Y37),0))</f>
        <v/>
      </c>
      <c r="P37" s="35">
        <f>IF($A37="","",SUMIFS(예산판_원본!$O$5:$O$5000,예산판_원본!$L$5:$L$5000,$E37,예산판_원본!$M$5:$M$5000,설정!$C$6))</f>
        <v/>
      </c>
      <c r="Q37" s="35">
        <f>IF($A37="","",SUMIFS(월별집계!$C37:$Z37,월별집계!$C$5:$Z$5,"&gt;="&amp;(설정!$C$6*12+1),월별집계!$C$5:$Z$5,"&lt;="&amp;설정!$C$20))</f>
        <v/>
      </c>
      <c r="R37" s="40">
        <f>IF($A37="","",P37-Q37)</f>
        <v/>
      </c>
      <c r="S37" s="35">
        <f>IF($A37="","",AVERAGE(월별집계!X37:Z37)*(12-설정!$C$7))</f>
        <v/>
      </c>
      <c r="T37" s="35">
        <f>IF($A37="","",IFERROR(Q37/(SUMIFS(월별집계!$C37:$Z37,월별집계!$C$5:$Z$5,"&gt;="&amp;((설정!$C$6-1)*12+1),월별집계!$C$5:$Z$5,"&lt;="&amp;(설정!$C$20-12))/SUMIFS(월별집계!$C37:$Z37,월별집계!$C$5:$Z$5,"&gt;="&amp;((설정!$C$6-1)*12+1),월별집계!$C$5:$Z$5,"&lt;="&amp;((설정!$C$6-1)*12+12)))-Q37,S37))</f>
        <v/>
      </c>
      <c r="U37" s="40">
        <f>IF($A37="","",Q37+MAX(S37,T37))</f>
        <v/>
      </c>
      <c r="V37" s="73">
        <f>IF($A37="","",IF(P37=0,0,U37/P37))</f>
        <v/>
      </c>
      <c r="W37" s="34">
        <f>IF($A37="","",IF(AND(P37=0,Q37&gt;0),"무예산",IF(P37=0,"-",IF(V37&gt;설정!$C$12,"부족 예상",IF(V37&gt;설정!$C$11,"주의","여유")))))</f>
        <v/>
      </c>
      <c r="X37" s="40">
        <f>IF($A37="","",IF(P37=0,0,MAX(0,U37-P37)))</f>
        <v/>
      </c>
      <c r="Y37" s="34">
        <f>IF($A37="","",IF(OR(W37&lt;&gt;"부족 예상",설정!$C$7=12),"",IF(R37&lt;=0,"이미 초과",MIN(12,설정!$C$7+ROUNDUP(R37/(MAX(S37,T37)/(12-설정!$C$7)),0))&amp;"월")))</f>
        <v/>
      </c>
      <c r="Z37" s="26">
        <f>IF($A37="","",TRIM(IF(AND(N(AC37)&gt;=설정!$C$14,N37&gt;=설정!$C$10),"단건"&amp;TEXT(MIN(AC37,1),"0%")&amp;" ","")&amp;IF(AND(N37&gt;0,AD37&gt;0),IF(AD37/N37&gt;=설정!$C$16,"SA대체 ",""),"")&amp;IF(AE37&gt;0,"역분개"&amp;AE37&amp;"건 ","")&amp;IF(O37&gt;=설정!$C$13,"이상치 ","")&amp;IF(AND(I37=0,F37&gt;0),"신규지출 ","")))</f>
        <v/>
      </c>
      <c r="AA37" s="62">
        <f>IF($A37="","",ROUND((AF37+AG37+AH37+AI37)*IF(AND(F37&lt;설정!$C$10,N37&lt;설정!$C$10),0.3,1),1))</f>
        <v/>
      </c>
      <c r="AB37" s="41">
        <f>IF($A37="","",AA37+ROW()/1000000)</f>
        <v/>
      </c>
      <c r="AC37" s="60">
        <f>IF(OR($A37="",N37&lt;=0),"",SUMPRODUCT(MAX((전표_원본!$O$5:$O$100000=$E37)*(전표_원본!$M$5:$M$100000=설정!$C$20)*전표_원본!$P$5:$P$100000))/N37)</f>
        <v/>
      </c>
      <c r="AD37" s="35">
        <f>IF($A37="","",SUMIFS(전표_원본!$P$5:$P$100000,전표_원본!$O$5:$O$100000,$E37,전표_원본!$M$5:$M$100000,설정!$C$20,전표_원본!$E$5:$E$100000,"SA")-SUMIFS(전표_원본!$P$5:$P$100000,전표_원본!$O$5:$O$100000,$E37,전표_원본!$M$5:$M$100000,설정!$C$20-1,전표_원본!$E$5:$E$100000,"SA"))</f>
        <v/>
      </c>
      <c r="AE37" s="81">
        <f>IF($A37="","",COUNTIFS(전표_원본!$O$5:$O$100000,$E37,전표_원본!$M$5:$M$100000,설정!$C$20,전표_원본!$P$5:$P$100000,"&lt;0"))</f>
        <v/>
      </c>
      <c r="AF37" s="62">
        <f>IF($A37="","",MIN(MAX(0,N37)/(설정!$C$10*5),1)*30)</f>
        <v/>
      </c>
      <c r="AG37" s="82">
        <f>IF($A37="","",MIN(MAX(0,H37,J37),1)*20)</f>
        <v/>
      </c>
      <c r="AH37" s="82">
        <f>IF($A37="","",MIN(MAX(0,O37)/3,1)*25)</f>
        <v/>
      </c>
      <c r="AI37" s="82">
        <f>IF($A37="","",IF(OR(W37="부족 예상",W37="무예산",AO37="한도 초과",AO37="초과 예상",AO37="무예산"),25,IF(OR(W37="주의",AO37="주의"),15,0)))</f>
        <v/>
      </c>
      <c r="AJ37" s="35">
        <f>IF($A37="","",SUMIFS(예산판_원본!$O$5:$O$5000,예산판_원본!$L$5:$L$5000,$E37,예산판_원본!$M$5:$M$5000,설정!$C$6,예산판_원본!$N$5:$N$5000,설정!$C$21))</f>
        <v/>
      </c>
      <c r="AK37" s="40">
        <f>IF($A37="","",K37)</f>
        <v/>
      </c>
      <c r="AL37" s="40">
        <f>IF($A37="","",AJ37-AK37)</f>
        <v/>
      </c>
      <c r="AM37" s="35">
        <f>IF($A37="","",AK37+AVERAGE(월별집계!X37:Z37)*MAX(0,설정!$C$22+2-설정!$C$20))</f>
        <v/>
      </c>
      <c r="AN37" s="73">
        <f>IF($A37="","",IF(AJ37=0,0,AM37/AJ37))</f>
        <v/>
      </c>
      <c r="AO37" s="34">
        <f>IF($A37="","",IF(AND(AJ37=0,AK37&gt;0),"무예산",IF(AJ37=0,"-",IF(AK37&gt;AJ37,"한도 초과",IF(AN37&gt;설정!$C$12,"초과 예상",IF(AN37&gt;설정!$C$11,"주의","여유"))))))</f>
        <v/>
      </c>
      <c r="AP37" s="35">
        <f>IF($A37="","",IF(설정!$C$19="최근월",(INDEX(월별집계!$AB37:$AM37,설정!$C$7)-INDEX(월별집계!$AB37:$AM37,MAX(1,설정!$C$7-1))*(설정!$C$7&gt;1)),IF(설정!$C$19="최근분기",((INDEX(월별집계!$AB37:$AM37,설정!$C$7)-INDEX(월별집계!$AB37:$AM37,MAX(1,설정!$C$7-3))*(설정!$C$7&gt;3))/MIN(3,설정!$C$7)),IF(설정!$C$19="전년추세",AZ37,((설정!$C$7+1)*SUMPRODUCT(월별집계!$AB$5:$AM$5,월별집계!$AB37:$AM37)-(설정!$C$7*(설정!$C$7+1)/2)*SUM(월별집계!$AB37:$AM37))/((설정!$C$7+1)*(설정!$C$7*(설정!$C$7+1)*(2*설정!$C$7+1)/6)-(설정!$C$7*(설정!$C$7+1)/2)^2)))))</f>
        <v/>
      </c>
      <c r="AQ37" s="35">
        <f>IF($A37="","",IF(설정!$C$19="연내누적",(SUM(월별집계!$AB37:$AM37)-AP37*(설정!$C$7*(설정!$C$7+1)/2))/(설정!$C$7+1),INDEX(월별집계!$AB37:$AM37,설정!$C$7)-AP37*설정!$C$7))</f>
        <v/>
      </c>
      <c r="AR37" s="40">
        <f>IF($A37="","",AQ37+AP37*12)</f>
        <v/>
      </c>
      <c r="AS37" s="82">
        <f>IF($A37="","",IF(OR(P37&lt;=0,Q37&gt;=P37,AP37&lt;=0),"",MAX(설정!$C$7,(P37-AQ37)/AP37)))</f>
        <v/>
      </c>
      <c r="AT37" s="22">
        <f>IF($A37="","",IF(AS37="",IF(AU37="이미 소진","소진됨",""),YEAR((DATE(설정!$C$6,1,1)+ROUND(AS37*365/12,0)-1))&amp;"-"&amp;TEXT(MONTH((DATE(설정!$C$6,1,1)+ROUND(AS37*365/12,0)-1)),"00")&amp;"-"&amp;TEXT(DAY((DATE(설정!$C$6,1,1)+ROUND(AS37*365/12,0)-1)),"00")))</f>
        <v/>
      </c>
      <c r="AU37" s="34">
        <f>IF($A37="","",IF(AND(P37&lt;=0,Q37&gt;0),"무예산",IF(P37&lt;=0,"-",IF(Q37&gt;=P37,"이미 소진",IF(AP37&lt;=0,"소진 안 됨",IF(AS37&lt;=12,"연내 고갈","연내 여유"))))))</f>
        <v/>
      </c>
      <c r="AV37" s="34">
        <f>IF($A37="","",IF(AJ37&lt;=0,"",IF(AK37&gt;=AJ37,"한도 소진",IF(AK37&lt;=0,"",IF(AJ37/(AK37/(설정!$C$20-설정!$C$22+1))&gt;3,"분기 내 여유",YEAR((DATE(설정!$C$6,설정!$C$22-설정!$C$6*12,1)+ROUND(MAX((설정!$C$20-설정!$C$22+1),AJ37/(AK37/(설정!$C$20-설정!$C$22+1)))*365/12,0)-1))&amp;"-"&amp;TEXT(MONTH((DATE(설정!$C$6,설정!$C$22-설정!$C$6*12,1)+ROUND(MAX((설정!$C$20-설정!$C$22+1),AJ37/(AK37/(설정!$C$20-설정!$C$22+1)))*365/12,0)-1)),"00")&amp;"-"&amp;TEXT(DAY((DATE(설정!$C$6,설정!$C$22-설정!$C$6*12,1)+ROUND(MAX((설정!$C$20-설정!$C$22+1),AJ37/(AK37/(설정!$C$20-설정!$C$22+1)))*365/12,0)-1)),"00"))))))</f>
        <v/>
      </c>
      <c r="AW37" s="41">
        <f>IF($A37="",999+ROW()/1000000,IF(AU37="이미 소진",ROW()/1000000,IF(AU37="연내 고갈",AS37+ROW()/1000000,99+ROW()/1000000)))</f>
        <v/>
      </c>
      <c r="AX37" s="35">
        <f>IF($A37="","",SUMIFS(월별집계!$C37:$Z37,월별집계!$C$5:$Z$5,"&gt;="&amp;((설정!$C$6-1)*12+1),월별집계!$C$5:$Z$5,"&lt;="&amp;(설정!$C$20-12)))</f>
        <v/>
      </c>
      <c r="AY37" s="80">
        <f>IF($A37="","",IF(AX37&lt;=0,IF(Q37&gt;0,1,0),Q37/AX37-1))</f>
        <v/>
      </c>
      <c r="AZ37" s="35">
        <f>IF($A37="","",SUMIFS(월별집계!$C37:$Z37,월별집계!$C$5:$Z$5,"&gt;"&amp;(설정!$C$20-12),월별집계!$C$5:$Z$5,"&lt;="&amp;((설정!$C$6-1)*12+12))/MAX(1,12-설정!$C$7))</f>
        <v/>
      </c>
    </row>
    <row r="38">
      <c r="A38" s="12" t="inlineStr">
        <is>
          <t>D400</t>
        </is>
      </c>
      <c r="B38" s="26">
        <f>IF($A38="","",IFERROR(INDEX(부서매핑!$D$5:$D$504,MATCH($A38,부서매핑!$C$5:$C$504,0)),"부서매핑 없음"))</f>
        <v/>
      </c>
      <c r="C38" s="79" t="inlineStr">
        <is>
          <t>62902000</t>
        </is>
      </c>
      <c r="D38" s="26">
        <f>IF($A38="","",IFERROR(INDEX(계정매핑!$B$5:$B$504,MATCH($C38&amp;"",계정매핑!$A$5:$A$504,0)),"계정매핑 없음"))</f>
        <v/>
      </c>
      <c r="E38" s="22">
        <f>IF($A38="","",$A38&amp;"|"&amp;$C38)</f>
        <v/>
      </c>
      <c r="F38" s="35">
        <f>IF($A38="","",월별집계!$Z38)</f>
        <v/>
      </c>
      <c r="G38" s="35">
        <f>IF($A38="","",월별집계!$Y38)</f>
        <v/>
      </c>
      <c r="H38" s="80">
        <f>IF($A38="","",IF(G38&lt;=0,IF(F38&gt;0,1,0),F38/G38-1))</f>
        <v/>
      </c>
      <c r="I38" s="35">
        <f>IF($A38="","",월별집계!$N38)</f>
        <v/>
      </c>
      <c r="J38" s="80">
        <f>IF($A38="","",IF(I38&lt;=0,IF(F38&gt;0,1,0),F38/I38-1))</f>
        <v/>
      </c>
      <c r="K38" s="35">
        <f>IF($A38="","",SUMIFS(월별집계!$C38:$Z38,월별집계!$C$5:$Z$5,"&gt;="&amp;설정!$C$22,월별집계!$C$5:$Z$5,"&lt;="&amp;설정!$C$20))</f>
        <v/>
      </c>
      <c r="L38" s="35">
        <f>IF($A38="","",SUMIFS(월별집계!$C38:$Z38,월별집계!$C$5:$Z$5,"&gt;="&amp;(설정!$C$22-3),월별집계!$C$5:$Z$5,"&lt;="&amp;(설정!$C$20-3)))</f>
        <v/>
      </c>
      <c r="M38" s="80">
        <f>IF($A38="","",IF(L38&lt;=0,IF(K38&gt;0,1,0),K38/L38-1))</f>
        <v/>
      </c>
      <c r="N38" s="40">
        <f>IF($A38="","",MAX(F38-G38,F38-I38))</f>
        <v/>
      </c>
      <c r="O38" s="62">
        <f>IF($A38="","",IFERROR((월별집계!$Z38-AVERAGE(월별집계!N38:Y38))/STDEV(월별집계!N38:Y38),0))</f>
        <v/>
      </c>
      <c r="P38" s="35">
        <f>IF($A38="","",SUMIFS(예산판_원본!$O$5:$O$5000,예산판_원본!$L$5:$L$5000,$E38,예산판_원본!$M$5:$M$5000,설정!$C$6))</f>
        <v/>
      </c>
      <c r="Q38" s="35">
        <f>IF($A38="","",SUMIFS(월별집계!$C38:$Z38,월별집계!$C$5:$Z$5,"&gt;="&amp;(설정!$C$6*12+1),월별집계!$C$5:$Z$5,"&lt;="&amp;설정!$C$20))</f>
        <v/>
      </c>
      <c r="R38" s="40">
        <f>IF($A38="","",P38-Q38)</f>
        <v/>
      </c>
      <c r="S38" s="35">
        <f>IF($A38="","",AVERAGE(월별집계!X38:Z38)*(12-설정!$C$7))</f>
        <v/>
      </c>
      <c r="T38" s="35">
        <f>IF($A38="","",IFERROR(Q38/(SUMIFS(월별집계!$C38:$Z38,월별집계!$C$5:$Z$5,"&gt;="&amp;((설정!$C$6-1)*12+1),월별집계!$C$5:$Z$5,"&lt;="&amp;(설정!$C$20-12))/SUMIFS(월별집계!$C38:$Z38,월별집계!$C$5:$Z$5,"&gt;="&amp;((설정!$C$6-1)*12+1),월별집계!$C$5:$Z$5,"&lt;="&amp;((설정!$C$6-1)*12+12)))-Q38,S38))</f>
        <v/>
      </c>
      <c r="U38" s="40">
        <f>IF($A38="","",Q38+MAX(S38,T38))</f>
        <v/>
      </c>
      <c r="V38" s="73">
        <f>IF($A38="","",IF(P38=0,0,U38/P38))</f>
        <v/>
      </c>
      <c r="W38" s="34">
        <f>IF($A38="","",IF(AND(P38=0,Q38&gt;0),"무예산",IF(P38=0,"-",IF(V38&gt;설정!$C$12,"부족 예상",IF(V38&gt;설정!$C$11,"주의","여유")))))</f>
        <v/>
      </c>
      <c r="X38" s="40">
        <f>IF($A38="","",IF(P38=0,0,MAX(0,U38-P38)))</f>
        <v/>
      </c>
      <c r="Y38" s="34">
        <f>IF($A38="","",IF(OR(W38&lt;&gt;"부족 예상",설정!$C$7=12),"",IF(R38&lt;=0,"이미 초과",MIN(12,설정!$C$7+ROUNDUP(R38/(MAX(S38,T38)/(12-설정!$C$7)),0))&amp;"월")))</f>
        <v/>
      </c>
      <c r="Z38" s="26">
        <f>IF($A38="","",TRIM(IF(AND(N(AC38)&gt;=설정!$C$14,N38&gt;=설정!$C$10),"단건"&amp;TEXT(MIN(AC38,1),"0%")&amp;" ","")&amp;IF(AND(N38&gt;0,AD38&gt;0),IF(AD38/N38&gt;=설정!$C$16,"SA대체 ",""),"")&amp;IF(AE38&gt;0,"역분개"&amp;AE38&amp;"건 ","")&amp;IF(O38&gt;=설정!$C$13,"이상치 ","")&amp;IF(AND(I38=0,F38&gt;0),"신규지출 ","")))</f>
        <v/>
      </c>
      <c r="AA38" s="62">
        <f>IF($A38="","",ROUND((AF38+AG38+AH38+AI38)*IF(AND(F38&lt;설정!$C$10,N38&lt;설정!$C$10),0.3,1),1))</f>
        <v/>
      </c>
      <c r="AB38" s="41">
        <f>IF($A38="","",AA38+ROW()/1000000)</f>
        <v/>
      </c>
      <c r="AC38" s="60">
        <f>IF(OR($A38="",N38&lt;=0),"",SUMPRODUCT(MAX((전표_원본!$O$5:$O$100000=$E38)*(전표_원본!$M$5:$M$100000=설정!$C$20)*전표_원본!$P$5:$P$100000))/N38)</f>
        <v/>
      </c>
      <c r="AD38" s="35">
        <f>IF($A38="","",SUMIFS(전표_원본!$P$5:$P$100000,전표_원본!$O$5:$O$100000,$E38,전표_원본!$M$5:$M$100000,설정!$C$20,전표_원본!$E$5:$E$100000,"SA")-SUMIFS(전표_원본!$P$5:$P$100000,전표_원본!$O$5:$O$100000,$E38,전표_원본!$M$5:$M$100000,설정!$C$20-1,전표_원본!$E$5:$E$100000,"SA"))</f>
        <v/>
      </c>
      <c r="AE38" s="81">
        <f>IF($A38="","",COUNTIFS(전표_원본!$O$5:$O$100000,$E38,전표_원본!$M$5:$M$100000,설정!$C$20,전표_원본!$P$5:$P$100000,"&lt;0"))</f>
        <v/>
      </c>
      <c r="AF38" s="62">
        <f>IF($A38="","",MIN(MAX(0,N38)/(설정!$C$10*5),1)*30)</f>
        <v/>
      </c>
      <c r="AG38" s="82">
        <f>IF($A38="","",MIN(MAX(0,H38,J38),1)*20)</f>
        <v/>
      </c>
      <c r="AH38" s="82">
        <f>IF($A38="","",MIN(MAX(0,O38)/3,1)*25)</f>
        <v/>
      </c>
      <c r="AI38" s="82">
        <f>IF($A38="","",IF(OR(W38="부족 예상",W38="무예산",AO38="한도 초과",AO38="초과 예상",AO38="무예산"),25,IF(OR(W38="주의",AO38="주의"),15,0)))</f>
        <v/>
      </c>
      <c r="AJ38" s="35">
        <f>IF($A38="","",SUMIFS(예산판_원본!$O$5:$O$5000,예산판_원본!$L$5:$L$5000,$E38,예산판_원본!$M$5:$M$5000,설정!$C$6,예산판_원본!$N$5:$N$5000,설정!$C$21))</f>
        <v/>
      </c>
      <c r="AK38" s="40">
        <f>IF($A38="","",K38)</f>
        <v/>
      </c>
      <c r="AL38" s="40">
        <f>IF($A38="","",AJ38-AK38)</f>
        <v/>
      </c>
      <c r="AM38" s="35">
        <f>IF($A38="","",AK38+AVERAGE(월별집계!X38:Z38)*MAX(0,설정!$C$22+2-설정!$C$20))</f>
        <v/>
      </c>
      <c r="AN38" s="73">
        <f>IF($A38="","",IF(AJ38=0,0,AM38/AJ38))</f>
        <v/>
      </c>
      <c r="AO38" s="34">
        <f>IF($A38="","",IF(AND(AJ38=0,AK38&gt;0),"무예산",IF(AJ38=0,"-",IF(AK38&gt;AJ38,"한도 초과",IF(AN38&gt;설정!$C$12,"초과 예상",IF(AN38&gt;설정!$C$11,"주의","여유"))))))</f>
        <v/>
      </c>
      <c r="AP38" s="35">
        <f>IF($A38="","",IF(설정!$C$19="최근월",(INDEX(월별집계!$AB38:$AM38,설정!$C$7)-INDEX(월별집계!$AB38:$AM38,MAX(1,설정!$C$7-1))*(설정!$C$7&gt;1)),IF(설정!$C$19="최근분기",((INDEX(월별집계!$AB38:$AM38,설정!$C$7)-INDEX(월별집계!$AB38:$AM38,MAX(1,설정!$C$7-3))*(설정!$C$7&gt;3))/MIN(3,설정!$C$7)),IF(설정!$C$19="전년추세",AZ38,((설정!$C$7+1)*SUMPRODUCT(월별집계!$AB$5:$AM$5,월별집계!$AB38:$AM38)-(설정!$C$7*(설정!$C$7+1)/2)*SUM(월별집계!$AB38:$AM38))/((설정!$C$7+1)*(설정!$C$7*(설정!$C$7+1)*(2*설정!$C$7+1)/6)-(설정!$C$7*(설정!$C$7+1)/2)^2)))))</f>
        <v/>
      </c>
      <c r="AQ38" s="35">
        <f>IF($A38="","",IF(설정!$C$19="연내누적",(SUM(월별집계!$AB38:$AM38)-AP38*(설정!$C$7*(설정!$C$7+1)/2))/(설정!$C$7+1),INDEX(월별집계!$AB38:$AM38,설정!$C$7)-AP38*설정!$C$7))</f>
        <v/>
      </c>
      <c r="AR38" s="40">
        <f>IF($A38="","",AQ38+AP38*12)</f>
        <v/>
      </c>
      <c r="AS38" s="82">
        <f>IF($A38="","",IF(OR(P38&lt;=0,Q38&gt;=P38,AP38&lt;=0),"",MAX(설정!$C$7,(P38-AQ38)/AP38)))</f>
        <v/>
      </c>
      <c r="AT38" s="22">
        <f>IF($A38="","",IF(AS38="",IF(AU38="이미 소진","소진됨",""),YEAR((DATE(설정!$C$6,1,1)+ROUND(AS38*365/12,0)-1))&amp;"-"&amp;TEXT(MONTH((DATE(설정!$C$6,1,1)+ROUND(AS38*365/12,0)-1)),"00")&amp;"-"&amp;TEXT(DAY((DATE(설정!$C$6,1,1)+ROUND(AS38*365/12,0)-1)),"00")))</f>
        <v/>
      </c>
      <c r="AU38" s="34">
        <f>IF($A38="","",IF(AND(P38&lt;=0,Q38&gt;0),"무예산",IF(P38&lt;=0,"-",IF(Q38&gt;=P38,"이미 소진",IF(AP38&lt;=0,"소진 안 됨",IF(AS38&lt;=12,"연내 고갈","연내 여유"))))))</f>
        <v/>
      </c>
      <c r="AV38" s="34">
        <f>IF($A38="","",IF(AJ38&lt;=0,"",IF(AK38&gt;=AJ38,"한도 소진",IF(AK38&lt;=0,"",IF(AJ38/(AK38/(설정!$C$20-설정!$C$22+1))&gt;3,"분기 내 여유",YEAR((DATE(설정!$C$6,설정!$C$22-설정!$C$6*12,1)+ROUND(MAX((설정!$C$20-설정!$C$22+1),AJ38/(AK38/(설정!$C$20-설정!$C$22+1)))*365/12,0)-1))&amp;"-"&amp;TEXT(MONTH((DATE(설정!$C$6,설정!$C$22-설정!$C$6*12,1)+ROUND(MAX((설정!$C$20-설정!$C$22+1),AJ38/(AK38/(설정!$C$20-설정!$C$22+1)))*365/12,0)-1)),"00")&amp;"-"&amp;TEXT(DAY((DATE(설정!$C$6,설정!$C$22-설정!$C$6*12,1)+ROUND(MAX((설정!$C$20-설정!$C$22+1),AJ38/(AK38/(설정!$C$20-설정!$C$22+1)))*365/12,0)-1)),"00"))))))</f>
        <v/>
      </c>
      <c r="AW38" s="41">
        <f>IF($A38="",999+ROW()/1000000,IF(AU38="이미 소진",ROW()/1000000,IF(AU38="연내 고갈",AS38+ROW()/1000000,99+ROW()/1000000)))</f>
        <v/>
      </c>
      <c r="AX38" s="35">
        <f>IF($A38="","",SUMIFS(월별집계!$C38:$Z38,월별집계!$C$5:$Z$5,"&gt;="&amp;((설정!$C$6-1)*12+1),월별집계!$C$5:$Z$5,"&lt;="&amp;(설정!$C$20-12)))</f>
        <v/>
      </c>
      <c r="AY38" s="80">
        <f>IF($A38="","",IF(AX38&lt;=0,IF(Q38&gt;0,1,0),Q38/AX38-1))</f>
        <v/>
      </c>
      <c r="AZ38" s="35">
        <f>IF($A38="","",SUMIFS(월별집계!$C38:$Z38,월별집계!$C$5:$Z$5,"&gt;"&amp;(설정!$C$20-12),월별집계!$C$5:$Z$5,"&lt;="&amp;((설정!$C$6-1)*12+12))/MAX(1,12-설정!$C$7))</f>
        <v/>
      </c>
    </row>
    <row r="39">
      <c r="A39" s="12" t="inlineStr">
        <is>
          <t>D500</t>
        </is>
      </c>
      <c r="B39" s="26">
        <f>IF($A39="","",IFERROR(INDEX(부서매핑!$D$5:$D$504,MATCH($A39,부서매핑!$C$5:$C$504,0)),"부서매핑 없음"))</f>
        <v/>
      </c>
      <c r="C39" s="79" t="inlineStr">
        <is>
          <t>62101000</t>
        </is>
      </c>
      <c r="D39" s="26">
        <f>IF($A39="","",IFERROR(INDEX(계정매핑!$B$5:$B$504,MATCH($C39&amp;"",계정매핑!$A$5:$A$504,0)),"계정매핑 없음"))</f>
        <v/>
      </c>
      <c r="E39" s="22">
        <f>IF($A39="","",$A39&amp;"|"&amp;$C39)</f>
        <v/>
      </c>
      <c r="F39" s="35">
        <f>IF($A39="","",월별집계!$Z39)</f>
        <v/>
      </c>
      <c r="G39" s="35">
        <f>IF($A39="","",월별집계!$Y39)</f>
        <v/>
      </c>
      <c r="H39" s="80">
        <f>IF($A39="","",IF(G39&lt;=0,IF(F39&gt;0,1,0),F39/G39-1))</f>
        <v/>
      </c>
      <c r="I39" s="35">
        <f>IF($A39="","",월별집계!$N39)</f>
        <v/>
      </c>
      <c r="J39" s="80">
        <f>IF($A39="","",IF(I39&lt;=0,IF(F39&gt;0,1,0),F39/I39-1))</f>
        <v/>
      </c>
      <c r="K39" s="35">
        <f>IF($A39="","",SUMIFS(월별집계!$C39:$Z39,월별집계!$C$5:$Z$5,"&gt;="&amp;설정!$C$22,월별집계!$C$5:$Z$5,"&lt;="&amp;설정!$C$20))</f>
        <v/>
      </c>
      <c r="L39" s="35">
        <f>IF($A39="","",SUMIFS(월별집계!$C39:$Z39,월별집계!$C$5:$Z$5,"&gt;="&amp;(설정!$C$22-3),월별집계!$C$5:$Z$5,"&lt;="&amp;(설정!$C$20-3)))</f>
        <v/>
      </c>
      <c r="M39" s="80">
        <f>IF($A39="","",IF(L39&lt;=0,IF(K39&gt;0,1,0),K39/L39-1))</f>
        <v/>
      </c>
      <c r="N39" s="40">
        <f>IF($A39="","",MAX(F39-G39,F39-I39))</f>
        <v/>
      </c>
      <c r="O39" s="62">
        <f>IF($A39="","",IFERROR((월별집계!$Z39-AVERAGE(월별집계!N39:Y39))/STDEV(월별집계!N39:Y39),0))</f>
        <v/>
      </c>
      <c r="P39" s="35">
        <f>IF($A39="","",SUMIFS(예산판_원본!$O$5:$O$5000,예산판_원본!$L$5:$L$5000,$E39,예산판_원본!$M$5:$M$5000,설정!$C$6))</f>
        <v/>
      </c>
      <c r="Q39" s="35">
        <f>IF($A39="","",SUMIFS(월별집계!$C39:$Z39,월별집계!$C$5:$Z$5,"&gt;="&amp;(설정!$C$6*12+1),월별집계!$C$5:$Z$5,"&lt;="&amp;설정!$C$20))</f>
        <v/>
      </c>
      <c r="R39" s="40">
        <f>IF($A39="","",P39-Q39)</f>
        <v/>
      </c>
      <c r="S39" s="35">
        <f>IF($A39="","",AVERAGE(월별집계!X39:Z39)*(12-설정!$C$7))</f>
        <v/>
      </c>
      <c r="T39" s="35">
        <f>IF($A39="","",IFERROR(Q39/(SUMIFS(월별집계!$C39:$Z39,월별집계!$C$5:$Z$5,"&gt;="&amp;((설정!$C$6-1)*12+1),월별집계!$C$5:$Z$5,"&lt;="&amp;(설정!$C$20-12))/SUMIFS(월별집계!$C39:$Z39,월별집계!$C$5:$Z$5,"&gt;="&amp;((설정!$C$6-1)*12+1),월별집계!$C$5:$Z$5,"&lt;="&amp;((설정!$C$6-1)*12+12)))-Q39,S39))</f>
        <v/>
      </c>
      <c r="U39" s="40">
        <f>IF($A39="","",Q39+MAX(S39,T39))</f>
        <v/>
      </c>
      <c r="V39" s="73">
        <f>IF($A39="","",IF(P39=0,0,U39/P39))</f>
        <v/>
      </c>
      <c r="W39" s="34">
        <f>IF($A39="","",IF(AND(P39=0,Q39&gt;0),"무예산",IF(P39=0,"-",IF(V39&gt;설정!$C$12,"부족 예상",IF(V39&gt;설정!$C$11,"주의","여유")))))</f>
        <v/>
      </c>
      <c r="X39" s="40">
        <f>IF($A39="","",IF(P39=0,0,MAX(0,U39-P39)))</f>
        <v/>
      </c>
      <c r="Y39" s="34">
        <f>IF($A39="","",IF(OR(W39&lt;&gt;"부족 예상",설정!$C$7=12),"",IF(R39&lt;=0,"이미 초과",MIN(12,설정!$C$7+ROUNDUP(R39/(MAX(S39,T39)/(12-설정!$C$7)),0))&amp;"월")))</f>
        <v/>
      </c>
      <c r="Z39" s="26">
        <f>IF($A39="","",TRIM(IF(AND(N(AC39)&gt;=설정!$C$14,N39&gt;=설정!$C$10),"단건"&amp;TEXT(MIN(AC39,1),"0%")&amp;" ","")&amp;IF(AND(N39&gt;0,AD39&gt;0),IF(AD39/N39&gt;=설정!$C$16,"SA대체 ",""),"")&amp;IF(AE39&gt;0,"역분개"&amp;AE39&amp;"건 ","")&amp;IF(O39&gt;=설정!$C$13,"이상치 ","")&amp;IF(AND(I39=0,F39&gt;0),"신규지출 ","")))</f>
        <v/>
      </c>
      <c r="AA39" s="62">
        <f>IF($A39="","",ROUND((AF39+AG39+AH39+AI39)*IF(AND(F39&lt;설정!$C$10,N39&lt;설정!$C$10),0.3,1),1))</f>
        <v/>
      </c>
      <c r="AB39" s="41">
        <f>IF($A39="","",AA39+ROW()/1000000)</f>
        <v/>
      </c>
      <c r="AC39" s="60">
        <f>IF(OR($A39="",N39&lt;=0),"",SUMPRODUCT(MAX((전표_원본!$O$5:$O$100000=$E39)*(전표_원본!$M$5:$M$100000=설정!$C$20)*전표_원본!$P$5:$P$100000))/N39)</f>
        <v/>
      </c>
      <c r="AD39" s="35">
        <f>IF($A39="","",SUMIFS(전표_원본!$P$5:$P$100000,전표_원본!$O$5:$O$100000,$E39,전표_원본!$M$5:$M$100000,설정!$C$20,전표_원본!$E$5:$E$100000,"SA")-SUMIFS(전표_원본!$P$5:$P$100000,전표_원본!$O$5:$O$100000,$E39,전표_원본!$M$5:$M$100000,설정!$C$20-1,전표_원본!$E$5:$E$100000,"SA"))</f>
        <v/>
      </c>
      <c r="AE39" s="81">
        <f>IF($A39="","",COUNTIFS(전표_원본!$O$5:$O$100000,$E39,전표_원본!$M$5:$M$100000,설정!$C$20,전표_원본!$P$5:$P$100000,"&lt;0"))</f>
        <v/>
      </c>
      <c r="AF39" s="62">
        <f>IF($A39="","",MIN(MAX(0,N39)/(설정!$C$10*5),1)*30)</f>
        <v/>
      </c>
      <c r="AG39" s="82">
        <f>IF($A39="","",MIN(MAX(0,H39,J39),1)*20)</f>
        <v/>
      </c>
      <c r="AH39" s="82">
        <f>IF($A39="","",MIN(MAX(0,O39)/3,1)*25)</f>
        <v/>
      </c>
      <c r="AI39" s="82">
        <f>IF($A39="","",IF(OR(W39="부족 예상",W39="무예산",AO39="한도 초과",AO39="초과 예상",AO39="무예산"),25,IF(OR(W39="주의",AO39="주의"),15,0)))</f>
        <v/>
      </c>
      <c r="AJ39" s="35">
        <f>IF($A39="","",SUMIFS(예산판_원본!$O$5:$O$5000,예산판_원본!$L$5:$L$5000,$E39,예산판_원본!$M$5:$M$5000,설정!$C$6,예산판_원본!$N$5:$N$5000,설정!$C$21))</f>
        <v/>
      </c>
      <c r="AK39" s="40">
        <f>IF($A39="","",K39)</f>
        <v/>
      </c>
      <c r="AL39" s="40">
        <f>IF($A39="","",AJ39-AK39)</f>
        <v/>
      </c>
      <c r="AM39" s="35">
        <f>IF($A39="","",AK39+AVERAGE(월별집계!X39:Z39)*MAX(0,설정!$C$22+2-설정!$C$20))</f>
        <v/>
      </c>
      <c r="AN39" s="73">
        <f>IF($A39="","",IF(AJ39=0,0,AM39/AJ39))</f>
        <v/>
      </c>
      <c r="AO39" s="34">
        <f>IF($A39="","",IF(AND(AJ39=0,AK39&gt;0),"무예산",IF(AJ39=0,"-",IF(AK39&gt;AJ39,"한도 초과",IF(AN39&gt;설정!$C$12,"초과 예상",IF(AN39&gt;설정!$C$11,"주의","여유"))))))</f>
        <v/>
      </c>
      <c r="AP39" s="35">
        <f>IF($A39="","",IF(설정!$C$19="최근월",(INDEX(월별집계!$AB39:$AM39,설정!$C$7)-INDEX(월별집계!$AB39:$AM39,MAX(1,설정!$C$7-1))*(설정!$C$7&gt;1)),IF(설정!$C$19="최근분기",((INDEX(월별집계!$AB39:$AM39,설정!$C$7)-INDEX(월별집계!$AB39:$AM39,MAX(1,설정!$C$7-3))*(설정!$C$7&gt;3))/MIN(3,설정!$C$7)),IF(설정!$C$19="전년추세",AZ39,((설정!$C$7+1)*SUMPRODUCT(월별집계!$AB$5:$AM$5,월별집계!$AB39:$AM39)-(설정!$C$7*(설정!$C$7+1)/2)*SUM(월별집계!$AB39:$AM39))/((설정!$C$7+1)*(설정!$C$7*(설정!$C$7+1)*(2*설정!$C$7+1)/6)-(설정!$C$7*(설정!$C$7+1)/2)^2)))))</f>
        <v/>
      </c>
      <c r="AQ39" s="35">
        <f>IF($A39="","",IF(설정!$C$19="연내누적",(SUM(월별집계!$AB39:$AM39)-AP39*(설정!$C$7*(설정!$C$7+1)/2))/(설정!$C$7+1),INDEX(월별집계!$AB39:$AM39,설정!$C$7)-AP39*설정!$C$7))</f>
        <v/>
      </c>
      <c r="AR39" s="40">
        <f>IF($A39="","",AQ39+AP39*12)</f>
        <v/>
      </c>
      <c r="AS39" s="82">
        <f>IF($A39="","",IF(OR(P39&lt;=0,Q39&gt;=P39,AP39&lt;=0),"",MAX(설정!$C$7,(P39-AQ39)/AP39)))</f>
        <v/>
      </c>
      <c r="AT39" s="22">
        <f>IF($A39="","",IF(AS39="",IF(AU39="이미 소진","소진됨",""),YEAR((DATE(설정!$C$6,1,1)+ROUND(AS39*365/12,0)-1))&amp;"-"&amp;TEXT(MONTH((DATE(설정!$C$6,1,1)+ROUND(AS39*365/12,0)-1)),"00")&amp;"-"&amp;TEXT(DAY((DATE(설정!$C$6,1,1)+ROUND(AS39*365/12,0)-1)),"00")))</f>
        <v/>
      </c>
      <c r="AU39" s="34">
        <f>IF($A39="","",IF(AND(P39&lt;=0,Q39&gt;0),"무예산",IF(P39&lt;=0,"-",IF(Q39&gt;=P39,"이미 소진",IF(AP39&lt;=0,"소진 안 됨",IF(AS39&lt;=12,"연내 고갈","연내 여유"))))))</f>
        <v/>
      </c>
      <c r="AV39" s="34">
        <f>IF($A39="","",IF(AJ39&lt;=0,"",IF(AK39&gt;=AJ39,"한도 소진",IF(AK39&lt;=0,"",IF(AJ39/(AK39/(설정!$C$20-설정!$C$22+1))&gt;3,"분기 내 여유",YEAR((DATE(설정!$C$6,설정!$C$22-설정!$C$6*12,1)+ROUND(MAX((설정!$C$20-설정!$C$22+1),AJ39/(AK39/(설정!$C$20-설정!$C$22+1)))*365/12,0)-1))&amp;"-"&amp;TEXT(MONTH((DATE(설정!$C$6,설정!$C$22-설정!$C$6*12,1)+ROUND(MAX((설정!$C$20-설정!$C$22+1),AJ39/(AK39/(설정!$C$20-설정!$C$22+1)))*365/12,0)-1)),"00")&amp;"-"&amp;TEXT(DAY((DATE(설정!$C$6,설정!$C$22-설정!$C$6*12,1)+ROUND(MAX((설정!$C$20-설정!$C$22+1),AJ39/(AK39/(설정!$C$20-설정!$C$22+1)))*365/12,0)-1)),"00"))))))</f>
        <v/>
      </c>
      <c r="AW39" s="41">
        <f>IF($A39="",999+ROW()/1000000,IF(AU39="이미 소진",ROW()/1000000,IF(AU39="연내 고갈",AS39+ROW()/1000000,99+ROW()/1000000)))</f>
        <v/>
      </c>
      <c r="AX39" s="35">
        <f>IF($A39="","",SUMIFS(월별집계!$C39:$Z39,월별집계!$C$5:$Z$5,"&gt;="&amp;((설정!$C$6-1)*12+1),월별집계!$C$5:$Z$5,"&lt;="&amp;(설정!$C$20-12)))</f>
        <v/>
      </c>
      <c r="AY39" s="80">
        <f>IF($A39="","",IF(AX39&lt;=0,IF(Q39&gt;0,1,0),Q39/AX39-1))</f>
        <v/>
      </c>
      <c r="AZ39" s="35">
        <f>IF($A39="","",SUMIFS(월별집계!$C39:$Z39,월별집계!$C$5:$Z$5,"&gt;"&amp;(설정!$C$20-12),월별집계!$C$5:$Z$5,"&lt;="&amp;((설정!$C$6-1)*12+12))/MAX(1,12-설정!$C$7))</f>
        <v/>
      </c>
    </row>
    <row r="40">
      <c r="A40" s="12" t="inlineStr">
        <is>
          <t>D500</t>
        </is>
      </c>
      <c r="B40" s="26">
        <f>IF($A40="","",IFERROR(INDEX(부서매핑!$D$5:$D$504,MATCH($A40,부서매핑!$C$5:$C$504,0)),"부서매핑 없음"))</f>
        <v/>
      </c>
      <c r="C40" s="79" t="inlineStr">
        <is>
          <t>62102000</t>
        </is>
      </c>
      <c r="D40" s="26">
        <f>IF($A40="","",IFERROR(INDEX(계정매핑!$B$5:$B$504,MATCH($C40&amp;"",계정매핑!$A$5:$A$504,0)),"계정매핑 없음"))</f>
        <v/>
      </c>
      <c r="E40" s="22">
        <f>IF($A40="","",$A40&amp;"|"&amp;$C40)</f>
        <v/>
      </c>
      <c r="F40" s="35">
        <f>IF($A40="","",월별집계!$Z40)</f>
        <v/>
      </c>
      <c r="G40" s="35">
        <f>IF($A40="","",월별집계!$Y40)</f>
        <v/>
      </c>
      <c r="H40" s="80">
        <f>IF($A40="","",IF(G40&lt;=0,IF(F40&gt;0,1,0),F40/G40-1))</f>
        <v/>
      </c>
      <c r="I40" s="35">
        <f>IF($A40="","",월별집계!$N40)</f>
        <v/>
      </c>
      <c r="J40" s="80">
        <f>IF($A40="","",IF(I40&lt;=0,IF(F40&gt;0,1,0),F40/I40-1))</f>
        <v/>
      </c>
      <c r="K40" s="35">
        <f>IF($A40="","",SUMIFS(월별집계!$C40:$Z40,월별집계!$C$5:$Z$5,"&gt;="&amp;설정!$C$22,월별집계!$C$5:$Z$5,"&lt;="&amp;설정!$C$20))</f>
        <v/>
      </c>
      <c r="L40" s="35">
        <f>IF($A40="","",SUMIFS(월별집계!$C40:$Z40,월별집계!$C$5:$Z$5,"&gt;="&amp;(설정!$C$22-3),월별집계!$C$5:$Z$5,"&lt;="&amp;(설정!$C$20-3)))</f>
        <v/>
      </c>
      <c r="M40" s="80">
        <f>IF($A40="","",IF(L40&lt;=0,IF(K40&gt;0,1,0),K40/L40-1))</f>
        <v/>
      </c>
      <c r="N40" s="40">
        <f>IF($A40="","",MAX(F40-G40,F40-I40))</f>
        <v/>
      </c>
      <c r="O40" s="62">
        <f>IF($A40="","",IFERROR((월별집계!$Z40-AVERAGE(월별집계!N40:Y40))/STDEV(월별집계!N40:Y40),0))</f>
        <v/>
      </c>
      <c r="P40" s="35">
        <f>IF($A40="","",SUMIFS(예산판_원본!$O$5:$O$5000,예산판_원본!$L$5:$L$5000,$E40,예산판_원본!$M$5:$M$5000,설정!$C$6))</f>
        <v/>
      </c>
      <c r="Q40" s="35">
        <f>IF($A40="","",SUMIFS(월별집계!$C40:$Z40,월별집계!$C$5:$Z$5,"&gt;="&amp;(설정!$C$6*12+1),월별집계!$C$5:$Z$5,"&lt;="&amp;설정!$C$20))</f>
        <v/>
      </c>
      <c r="R40" s="40">
        <f>IF($A40="","",P40-Q40)</f>
        <v/>
      </c>
      <c r="S40" s="35">
        <f>IF($A40="","",AVERAGE(월별집계!X40:Z40)*(12-설정!$C$7))</f>
        <v/>
      </c>
      <c r="T40" s="35">
        <f>IF($A40="","",IFERROR(Q40/(SUMIFS(월별집계!$C40:$Z40,월별집계!$C$5:$Z$5,"&gt;="&amp;((설정!$C$6-1)*12+1),월별집계!$C$5:$Z$5,"&lt;="&amp;(설정!$C$20-12))/SUMIFS(월별집계!$C40:$Z40,월별집계!$C$5:$Z$5,"&gt;="&amp;((설정!$C$6-1)*12+1),월별집계!$C$5:$Z$5,"&lt;="&amp;((설정!$C$6-1)*12+12)))-Q40,S40))</f>
        <v/>
      </c>
      <c r="U40" s="40">
        <f>IF($A40="","",Q40+MAX(S40,T40))</f>
        <v/>
      </c>
      <c r="V40" s="73">
        <f>IF($A40="","",IF(P40=0,0,U40/P40))</f>
        <v/>
      </c>
      <c r="W40" s="34">
        <f>IF($A40="","",IF(AND(P40=0,Q40&gt;0),"무예산",IF(P40=0,"-",IF(V40&gt;설정!$C$12,"부족 예상",IF(V40&gt;설정!$C$11,"주의","여유")))))</f>
        <v/>
      </c>
      <c r="X40" s="40">
        <f>IF($A40="","",IF(P40=0,0,MAX(0,U40-P40)))</f>
        <v/>
      </c>
      <c r="Y40" s="34">
        <f>IF($A40="","",IF(OR(W40&lt;&gt;"부족 예상",설정!$C$7=12),"",IF(R40&lt;=0,"이미 초과",MIN(12,설정!$C$7+ROUNDUP(R40/(MAX(S40,T40)/(12-설정!$C$7)),0))&amp;"월")))</f>
        <v/>
      </c>
      <c r="Z40" s="26">
        <f>IF($A40="","",TRIM(IF(AND(N(AC40)&gt;=설정!$C$14,N40&gt;=설정!$C$10),"단건"&amp;TEXT(MIN(AC40,1),"0%")&amp;" ","")&amp;IF(AND(N40&gt;0,AD40&gt;0),IF(AD40/N40&gt;=설정!$C$16,"SA대체 ",""),"")&amp;IF(AE40&gt;0,"역분개"&amp;AE40&amp;"건 ","")&amp;IF(O40&gt;=설정!$C$13,"이상치 ","")&amp;IF(AND(I40=0,F40&gt;0),"신규지출 ","")))</f>
        <v/>
      </c>
      <c r="AA40" s="62">
        <f>IF($A40="","",ROUND((AF40+AG40+AH40+AI40)*IF(AND(F40&lt;설정!$C$10,N40&lt;설정!$C$10),0.3,1),1))</f>
        <v/>
      </c>
      <c r="AB40" s="41">
        <f>IF($A40="","",AA40+ROW()/1000000)</f>
        <v/>
      </c>
      <c r="AC40" s="60">
        <f>IF(OR($A40="",N40&lt;=0),"",SUMPRODUCT(MAX((전표_원본!$O$5:$O$100000=$E40)*(전표_원본!$M$5:$M$100000=설정!$C$20)*전표_원본!$P$5:$P$100000))/N40)</f>
        <v/>
      </c>
      <c r="AD40" s="35">
        <f>IF($A40="","",SUMIFS(전표_원본!$P$5:$P$100000,전표_원본!$O$5:$O$100000,$E40,전표_원본!$M$5:$M$100000,설정!$C$20,전표_원본!$E$5:$E$100000,"SA")-SUMIFS(전표_원본!$P$5:$P$100000,전표_원본!$O$5:$O$100000,$E40,전표_원본!$M$5:$M$100000,설정!$C$20-1,전표_원본!$E$5:$E$100000,"SA"))</f>
        <v/>
      </c>
      <c r="AE40" s="81">
        <f>IF($A40="","",COUNTIFS(전표_원본!$O$5:$O$100000,$E40,전표_원본!$M$5:$M$100000,설정!$C$20,전표_원본!$P$5:$P$100000,"&lt;0"))</f>
        <v/>
      </c>
      <c r="AF40" s="62">
        <f>IF($A40="","",MIN(MAX(0,N40)/(설정!$C$10*5),1)*30)</f>
        <v/>
      </c>
      <c r="AG40" s="82">
        <f>IF($A40="","",MIN(MAX(0,H40,J40),1)*20)</f>
        <v/>
      </c>
      <c r="AH40" s="82">
        <f>IF($A40="","",MIN(MAX(0,O40)/3,1)*25)</f>
        <v/>
      </c>
      <c r="AI40" s="82">
        <f>IF($A40="","",IF(OR(W40="부족 예상",W40="무예산",AO40="한도 초과",AO40="초과 예상",AO40="무예산"),25,IF(OR(W40="주의",AO40="주의"),15,0)))</f>
        <v/>
      </c>
      <c r="AJ40" s="35">
        <f>IF($A40="","",SUMIFS(예산판_원본!$O$5:$O$5000,예산판_원본!$L$5:$L$5000,$E40,예산판_원본!$M$5:$M$5000,설정!$C$6,예산판_원본!$N$5:$N$5000,설정!$C$21))</f>
        <v/>
      </c>
      <c r="AK40" s="40">
        <f>IF($A40="","",K40)</f>
        <v/>
      </c>
      <c r="AL40" s="40">
        <f>IF($A40="","",AJ40-AK40)</f>
        <v/>
      </c>
      <c r="AM40" s="35">
        <f>IF($A40="","",AK40+AVERAGE(월별집계!X40:Z40)*MAX(0,설정!$C$22+2-설정!$C$20))</f>
        <v/>
      </c>
      <c r="AN40" s="73">
        <f>IF($A40="","",IF(AJ40=0,0,AM40/AJ40))</f>
        <v/>
      </c>
      <c r="AO40" s="34">
        <f>IF($A40="","",IF(AND(AJ40=0,AK40&gt;0),"무예산",IF(AJ40=0,"-",IF(AK40&gt;AJ40,"한도 초과",IF(AN40&gt;설정!$C$12,"초과 예상",IF(AN40&gt;설정!$C$11,"주의","여유"))))))</f>
        <v/>
      </c>
      <c r="AP40" s="35">
        <f>IF($A40="","",IF(설정!$C$19="최근월",(INDEX(월별집계!$AB40:$AM40,설정!$C$7)-INDEX(월별집계!$AB40:$AM40,MAX(1,설정!$C$7-1))*(설정!$C$7&gt;1)),IF(설정!$C$19="최근분기",((INDEX(월별집계!$AB40:$AM40,설정!$C$7)-INDEX(월별집계!$AB40:$AM40,MAX(1,설정!$C$7-3))*(설정!$C$7&gt;3))/MIN(3,설정!$C$7)),IF(설정!$C$19="전년추세",AZ40,((설정!$C$7+1)*SUMPRODUCT(월별집계!$AB$5:$AM$5,월별집계!$AB40:$AM40)-(설정!$C$7*(설정!$C$7+1)/2)*SUM(월별집계!$AB40:$AM40))/((설정!$C$7+1)*(설정!$C$7*(설정!$C$7+1)*(2*설정!$C$7+1)/6)-(설정!$C$7*(설정!$C$7+1)/2)^2)))))</f>
        <v/>
      </c>
      <c r="AQ40" s="35">
        <f>IF($A40="","",IF(설정!$C$19="연내누적",(SUM(월별집계!$AB40:$AM40)-AP40*(설정!$C$7*(설정!$C$7+1)/2))/(설정!$C$7+1),INDEX(월별집계!$AB40:$AM40,설정!$C$7)-AP40*설정!$C$7))</f>
        <v/>
      </c>
      <c r="AR40" s="40">
        <f>IF($A40="","",AQ40+AP40*12)</f>
        <v/>
      </c>
      <c r="AS40" s="82">
        <f>IF($A40="","",IF(OR(P40&lt;=0,Q40&gt;=P40,AP40&lt;=0),"",MAX(설정!$C$7,(P40-AQ40)/AP40)))</f>
        <v/>
      </c>
      <c r="AT40" s="22">
        <f>IF($A40="","",IF(AS40="",IF(AU40="이미 소진","소진됨",""),YEAR((DATE(설정!$C$6,1,1)+ROUND(AS40*365/12,0)-1))&amp;"-"&amp;TEXT(MONTH((DATE(설정!$C$6,1,1)+ROUND(AS40*365/12,0)-1)),"00")&amp;"-"&amp;TEXT(DAY((DATE(설정!$C$6,1,1)+ROUND(AS40*365/12,0)-1)),"00")))</f>
        <v/>
      </c>
      <c r="AU40" s="34">
        <f>IF($A40="","",IF(AND(P40&lt;=0,Q40&gt;0),"무예산",IF(P40&lt;=0,"-",IF(Q40&gt;=P40,"이미 소진",IF(AP40&lt;=0,"소진 안 됨",IF(AS40&lt;=12,"연내 고갈","연내 여유"))))))</f>
        <v/>
      </c>
      <c r="AV40" s="34">
        <f>IF($A40="","",IF(AJ40&lt;=0,"",IF(AK40&gt;=AJ40,"한도 소진",IF(AK40&lt;=0,"",IF(AJ40/(AK40/(설정!$C$20-설정!$C$22+1))&gt;3,"분기 내 여유",YEAR((DATE(설정!$C$6,설정!$C$22-설정!$C$6*12,1)+ROUND(MAX((설정!$C$20-설정!$C$22+1),AJ40/(AK40/(설정!$C$20-설정!$C$22+1)))*365/12,0)-1))&amp;"-"&amp;TEXT(MONTH((DATE(설정!$C$6,설정!$C$22-설정!$C$6*12,1)+ROUND(MAX((설정!$C$20-설정!$C$22+1),AJ40/(AK40/(설정!$C$20-설정!$C$22+1)))*365/12,0)-1)),"00")&amp;"-"&amp;TEXT(DAY((DATE(설정!$C$6,설정!$C$22-설정!$C$6*12,1)+ROUND(MAX((설정!$C$20-설정!$C$22+1),AJ40/(AK40/(설정!$C$20-설정!$C$22+1)))*365/12,0)-1)),"00"))))))</f>
        <v/>
      </c>
      <c r="AW40" s="41">
        <f>IF($A40="",999+ROW()/1000000,IF(AU40="이미 소진",ROW()/1000000,IF(AU40="연내 고갈",AS40+ROW()/1000000,99+ROW()/1000000)))</f>
        <v/>
      </c>
      <c r="AX40" s="35">
        <f>IF($A40="","",SUMIFS(월별집계!$C40:$Z40,월별집계!$C$5:$Z$5,"&gt;="&amp;((설정!$C$6-1)*12+1),월별집계!$C$5:$Z$5,"&lt;="&amp;(설정!$C$20-12)))</f>
        <v/>
      </c>
      <c r="AY40" s="80">
        <f>IF($A40="","",IF(AX40&lt;=0,IF(Q40&gt;0,1,0),Q40/AX40-1))</f>
        <v/>
      </c>
      <c r="AZ40" s="35">
        <f>IF($A40="","",SUMIFS(월별집계!$C40:$Z40,월별집계!$C$5:$Z$5,"&gt;"&amp;(설정!$C$20-12),월별집계!$C$5:$Z$5,"&lt;="&amp;((설정!$C$6-1)*12+12))/MAX(1,12-설정!$C$7))</f>
        <v/>
      </c>
    </row>
    <row r="41">
      <c r="A41" s="12" t="inlineStr">
        <is>
          <t>D500</t>
        </is>
      </c>
      <c r="B41" s="26">
        <f>IF($A41="","",IFERROR(INDEX(부서매핑!$D$5:$D$504,MATCH($A41,부서매핑!$C$5:$C$504,0)),"부서매핑 없음"))</f>
        <v/>
      </c>
      <c r="C41" s="79" t="inlineStr">
        <is>
          <t>62201000</t>
        </is>
      </c>
      <c r="D41" s="26">
        <f>IF($A41="","",IFERROR(INDEX(계정매핑!$B$5:$B$504,MATCH($C41&amp;"",계정매핑!$A$5:$A$504,0)),"계정매핑 없음"))</f>
        <v/>
      </c>
      <c r="E41" s="22">
        <f>IF($A41="","",$A41&amp;"|"&amp;$C41)</f>
        <v/>
      </c>
      <c r="F41" s="35">
        <f>IF($A41="","",월별집계!$Z41)</f>
        <v/>
      </c>
      <c r="G41" s="35">
        <f>IF($A41="","",월별집계!$Y41)</f>
        <v/>
      </c>
      <c r="H41" s="80">
        <f>IF($A41="","",IF(G41&lt;=0,IF(F41&gt;0,1,0),F41/G41-1))</f>
        <v/>
      </c>
      <c r="I41" s="35">
        <f>IF($A41="","",월별집계!$N41)</f>
        <v/>
      </c>
      <c r="J41" s="80">
        <f>IF($A41="","",IF(I41&lt;=0,IF(F41&gt;0,1,0),F41/I41-1))</f>
        <v/>
      </c>
      <c r="K41" s="35">
        <f>IF($A41="","",SUMIFS(월별집계!$C41:$Z41,월별집계!$C$5:$Z$5,"&gt;="&amp;설정!$C$22,월별집계!$C$5:$Z$5,"&lt;="&amp;설정!$C$20))</f>
        <v/>
      </c>
      <c r="L41" s="35">
        <f>IF($A41="","",SUMIFS(월별집계!$C41:$Z41,월별집계!$C$5:$Z$5,"&gt;="&amp;(설정!$C$22-3),월별집계!$C$5:$Z$5,"&lt;="&amp;(설정!$C$20-3)))</f>
        <v/>
      </c>
      <c r="M41" s="80">
        <f>IF($A41="","",IF(L41&lt;=0,IF(K41&gt;0,1,0),K41/L41-1))</f>
        <v/>
      </c>
      <c r="N41" s="40">
        <f>IF($A41="","",MAX(F41-G41,F41-I41))</f>
        <v/>
      </c>
      <c r="O41" s="62">
        <f>IF($A41="","",IFERROR((월별집계!$Z41-AVERAGE(월별집계!N41:Y41))/STDEV(월별집계!N41:Y41),0))</f>
        <v/>
      </c>
      <c r="P41" s="35">
        <f>IF($A41="","",SUMIFS(예산판_원본!$O$5:$O$5000,예산판_원본!$L$5:$L$5000,$E41,예산판_원본!$M$5:$M$5000,설정!$C$6))</f>
        <v/>
      </c>
      <c r="Q41" s="35">
        <f>IF($A41="","",SUMIFS(월별집계!$C41:$Z41,월별집계!$C$5:$Z$5,"&gt;="&amp;(설정!$C$6*12+1),월별집계!$C$5:$Z$5,"&lt;="&amp;설정!$C$20))</f>
        <v/>
      </c>
      <c r="R41" s="40">
        <f>IF($A41="","",P41-Q41)</f>
        <v/>
      </c>
      <c r="S41" s="35">
        <f>IF($A41="","",AVERAGE(월별집계!X41:Z41)*(12-설정!$C$7))</f>
        <v/>
      </c>
      <c r="T41" s="35">
        <f>IF($A41="","",IFERROR(Q41/(SUMIFS(월별집계!$C41:$Z41,월별집계!$C$5:$Z$5,"&gt;="&amp;((설정!$C$6-1)*12+1),월별집계!$C$5:$Z$5,"&lt;="&amp;(설정!$C$20-12))/SUMIFS(월별집계!$C41:$Z41,월별집계!$C$5:$Z$5,"&gt;="&amp;((설정!$C$6-1)*12+1),월별집계!$C$5:$Z$5,"&lt;="&amp;((설정!$C$6-1)*12+12)))-Q41,S41))</f>
        <v/>
      </c>
      <c r="U41" s="40">
        <f>IF($A41="","",Q41+MAX(S41,T41))</f>
        <v/>
      </c>
      <c r="V41" s="73">
        <f>IF($A41="","",IF(P41=0,0,U41/P41))</f>
        <v/>
      </c>
      <c r="W41" s="34">
        <f>IF($A41="","",IF(AND(P41=0,Q41&gt;0),"무예산",IF(P41=0,"-",IF(V41&gt;설정!$C$12,"부족 예상",IF(V41&gt;설정!$C$11,"주의","여유")))))</f>
        <v/>
      </c>
      <c r="X41" s="40">
        <f>IF($A41="","",IF(P41=0,0,MAX(0,U41-P41)))</f>
        <v/>
      </c>
      <c r="Y41" s="34">
        <f>IF($A41="","",IF(OR(W41&lt;&gt;"부족 예상",설정!$C$7=12),"",IF(R41&lt;=0,"이미 초과",MIN(12,설정!$C$7+ROUNDUP(R41/(MAX(S41,T41)/(12-설정!$C$7)),0))&amp;"월")))</f>
        <v/>
      </c>
      <c r="Z41" s="26">
        <f>IF($A41="","",TRIM(IF(AND(N(AC41)&gt;=설정!$C$14,N41&gt;=설정!$C$10),"단건"&amp;TEXT(MIN(AC41,1),"0%")&amp;" ","")&amp;IF(AND(N41&gt;0,AD41&gt;0),IF(AD41/N41&gt;=설정!$C$16,"SA대체 ",""),"")&amp;IF(AE41&gt;0,"역분개"&amp;AE41&amp;"건 ","")&amp;IF(O41&gt;=설정!$C$13,"이상치 ","")&amp;IF(AND(I41=0,F41&gt;0),"신규지출 ","")))</f>
        <v/>
      </c>
      <c r="AA41" s="62">
        <f>IF($A41="","",ROUND((AF41+AG41+AH41+AI41)*IF(AND(F41&lt;설정!$C$10,N41&lt;설정!$C$10),0.3,1),1))</f>
        <v/>
      </c>
      <c r="AB41" s="41">
        <f>IF($A41="","",AA41+ROW()/1000000)</f>
        <v/>
      </c>
      <c r="AC41" s="60">
        <f>IF(OR($A41="",N41&lt;=0),"",SUMPRODUCT(MAX((전표_원본!$O$5:$O$100000=$E41)*(전표_원본!$M$5:$M$100000=설정!$C$20)*전표_원본!$P$5:$P$100000))/N41)</f>
        <v/>
      </c>
      <c r="AD41" s="35">
        <f>IF($A41="","",SUMIFS(전표_원본!$P$5:$P$100000,전표_원본!$O$5:$O$100000,$E41,전표_원본!$M$5:$M$100000,설정!$C$20,전표_원본!$E$5:$E$100000,"SA")-SUMIFS(전표_원본!$P$5:$P$100000,전표_원본!$O$5:$O$100000,$E41,전표_원본!$M$5:$M$100000,설정!$C$20-1,전표_원본!$E$5:$E$100000,"SA"))</f>
        <v/>
      </c>
      <c r="AE41" s="81">
        <f>IF($A41="","",COUNTIFS(전표_원본!$O$5:$O$100000,$E41,전표_원본!$M$5:$M$100000,설정!$C$20,전표_원본!$P$5:$P$100000,"&lt;0"))</f>
        <v/>
      </c>
      <c r="AF41" s="62">
        <f>IF($A41="","",MIN(MAX(0,N41)/(설정!$C$10*5),1)*30)</f>
        <v/>
      </c>
      <c r="AG41" s="82">
        <f>IF($A41="","",MIN(MAX(0,H41,J41),1)*20)</f>
        <v/>
      </c>
      <c r="AH41" s="82">
        <f>IF($A41="","",MIN(MAX(0,O41)/3,1)*25)</f>
        <v/>
      </c>
      <c r="AI41" s="82">
        <f>IF($A41="","",IF(OR(W41="부족 예상",W41="무예산",AO41="한도 초과",AO41="초과 예상",AO41="무예산"),25,IF(OR(W41="주의",AO41="주의"),15,0)))</f>
        <v/>
      </c>
      <c r="AJ41" s="35">
        <f>IF($A41="","",SUMIFS(예산판_원본!$O$5:$O$5000,예산판_원본!$L$5:$L$5000,$E41,예산판_원본!$M$5:$M$5000,설정!$C$6,예산판_원본!$N$5:$N$5000,설정!$C$21))</f>
        <v/>
      </c>
      <c r="AK41" s="40">
        <f>IF($A41="","",K41)</f>
        <v/>
      </c>
      <c r="AL41" s="40">
        <f>IF($A41="","",AJ41-AK41)</f>
        <v/>
      </c>
      <c r="AM41" s="35">
        <f>IF($A41="","",AK41+AVERAGE(월별집계!X41:Z41)*MAX(0,설정!$C$22+2-설정!$C$20))</f>
        <v/>
      </c>
      <c r="AN41" s="73">
        <f>IF($A41="","",IF(AJ41=0,0,AM41/AJ41))</f>
        <v/>
      </c>
      <c r="AO41" s="34">
        <f>IF($A41="","",IF(AND(AJ41=0,AK41&gt;0),"무예산",IF(AJ41=0,"-",IF(AK41&gt;AJ41,"한도 초과",IF(AN41&gt;설정!$C$12,"초과 예상",IF(AN41&gt;설정!$C$11,"주의","여유"))))))</f>
        <v/>
      </c>
      <c r="AP41" s="35">
        <f>IF($A41="","",IF(설정!$C$19="최근월",(INDEX(월별집계!$AB41:$AM41,설정!$C$7)-INDEX(월별집계!$AB41:$AM41,MAX(1,설정!$C$7-1))*(설정!$C$7&gt;1)),IF(설정!$C$19="최근분기",((INDEX(월별집계!$AB41:$AM41,설정!$C$7)-INDEX(월별집계!$AB41:$AM41,MAX(1,설정!$C$7-3))*(설정!$C$7&gt;3))/MIN(3,설정!$C$7)),IF(설정!$C$19="전년추세",AZ41,((설정!$C$7+1)*SUMPRODUCT(월별집계!$AB$5:$AM$5,월별집계!$AB41:$AM41)-(설정!$C$7*(설정!$C$7+1)/2)*SUM(월별집계!$AB41:$AM41))/((설정!$C$7+1)*(설정!$C$7*(설정!$C$7+1)*(2*설정!$C$7+1)/6)-(설정!$C$7*(설정!$C$7+1)/2)^2)))))</f>
        <v/>
      </c>
      <c r="AQ41" s="35">
        <f>IF($A41="","",IF(설정!$C$19="연내누적",(SUM(월별집계!$AB41:$AM41)-AP41*(설정!$C$7*(설정!$C$7+1)/2))/(설정!$C$7+1),INDEX(월별집계!$AB41:$AM41,설정!$C$7)-AP41*설정!$C$7))</f>
        <v/>
      </c>
      <c r="AR41" s="40">
        <f>IF($A41="","",AQ41+AP41*12)</f>
        <v/>
      </c>
      <c r="AS41" s="82">
        <f>IF($A41="","",IF(OR(P41&lt;=0,Q41&gt;=P41,AP41&lt;=0),"",MAX(설정!$C$7,(P41-AQ41)/AP41)))</f>
        <v/>
      </c>
      <c r="AT41" s="22">
        <f>IF($A41="","",IF(AS41="",IF(AU41="이미 소진","소진됨",""),YEAR((DATE(설정!$C$6,1,1)+ROUND(AS41*365/12,0)-1))&amp;"-"&amp;TEXT(MONTH((DATE(설정!$C$6,1,1)+ROUND(AS41*365/12,0)-1)),"00")&amp;"-"&amp;TEXT(DAY((DATE(설정!$C$6,1,1)+ROUND(AS41*365/12,0)-1)),"00")))</f>
        <v/>
      </c>
      <c r="AU41" s="34">
        <f>IF($A41="","",IF(AND(P41&lt;=0,Q41&gt;0),"무예산",IF(P41&lt;=0,"-",IF(Q41&gt;=P41,"이미 소진",IF(AP41&lt;=0,"소진 안 됨",IF(AS41&lt;=12,"연내 고갈","연내 여유"))))))</f>
        <v/>
      </c>
      <c r="AV41" s="34">
        <f>IF($A41="","",IF(AJ41&lt;=0,"",IF(AK41&gt;=AJ41,"한도 소진",IF(AK41&lt;=0,"",IF(AJ41/(AK41/(설정!$C$20-설정!$C$22+1))&gt;3,"분기 내 여유",YEAR((DATE(설정!$C$6,설정!$C$22-설정!$C$6*12,1)+ROUND(MAX((설정!$C$20-설정!$C$22+1),AJ41/(AK41/(설정!$C$20-설정!$C$22+1)))*365/12,0)-1))&amp;"-"&amp;TEXT(MONTH((DATE(설정!$C$6,설정!$C$22-설정!$C$6*12,1)+ROUND(MAX((설정!$C$20-설정!$C$22+1),AJ41/(AK41/(설정!$C$20-설정!$C$22+1)))*365/12,0)-1)),"00")&amp;"-"&amp;TEXT(DAY((DATE(설정!$C$6,설정!$C$22-설정!$C$6*12,1)+ROUND(MAX((설정!$C$20-설정!$C$22+1),AJ41/(AK41/(설정!$C$20-설정!$C$22+1)))*365/12,0)-1)),"00"))))))</f>
        <v/>
      </c>
      <c r="AW41" s="41">
        <f>IF($A41="",999+ROW()/1000000,IF(AU41="이미 소진",ROW()/1000000,IF(AU41="연내 고갈",AS41+ROW()/1000000,99+ROW()/1000000)))</f>
        <v/>
      </c>
      <c r="AX41" s="35">
        <f>IF($A41="","",SUMIFS(월별집계!$C41:$Z41,월별집계!$C$5:$Z$5,"&gt;="&amp;((설정!$C$6-1)*12+1),월별집계!$C$5:$Z$5,"&lt;="&amp;(설정!$C$20-12)))</f>
        <v/>
      </c>
      <c r="AY41" s="80">
        <f>IF($A41="","",IF(AX41&lt;=0,IF(Q41&gt;0,1,0),Q41/AX41-1))</f>
        <v/>
      </c>
      <c r="AZ41" s="35">
        <f>IF($A41="","",SUMIFS(월별집계!$C41:$Z41,월별집계!$C$5:$Z$5,"&gt;"&amp;(설정!$C$20-12),월별집계!$C$5:$Z$5,"&lt;="&amp;((설정!$C$6-1)*12+12))/MAX(1,12-설정!$C$7))</f>
        <v/>
      </c>
    </row>
    <row r="42">
      <c r="A42" s="12" t="inlineStr">
        <is>
          <t>D500</t>
        </is>
      </c>
      <c r="B42" s="26">
        <f>IF($A42="","",IFERROR(INDEX(부서매핑!$D$5:$D$504,MATCH($A42,부서매핑!$C$5:$C$504,0)),"부서매핑 없음"))</f>
        <v/>
      </c>
      <c r="C42" s="79" t="inlineStr">
        <is>
          <t>62301000</t>
        </is>
      </c>
      <c r="D42" s="26">
        <f>IF($A42="","",IFERROR(INDEX(계정매핑!$B$5:$B$504,MATCH($C42&amp;"",계정매핑!$A$5:$A$504,0)),"계정매핑 없음"))</f>
        <v/>
      </c>
      <c r="E42" s="22">
        <f>IF($A42="","",$A42&amp;"|"&amp;$C42)</f>
        <v/>
      </c>
      <c r="F42" s="35">
        <f>IF($A42="","",월별집계!$Z42)</f>
        <v/>
      </c>
      <c r="G42" s="35">
        <f>IF($A42="","",월별집계!$Y42)</f>
        <v/>
      </c>
      <c r="H42" s="80">
        <f>IF($A42="","",IF(G42&lt;=0,IF(F42&gt;0,1,0),F42/G42-1))</f>
        <v/>
      </c>
      <c r="I42" s="35">
        <f>IF($A42="","",월별집계!$N42)</f>
        <v/>
      </c>
      <c r="J42" s="80">
        <f>IF($A42="","",IF(I42&lt;=0,IF(F42&gt;0,1,0),F42/I42-1))</f>
        <v/>
      </c>
      <c r="K42" s="35">
        <f>IF($A42="","",SUMIFS(월별집계!$C42:$Z42,월별집계!$C$5:$Z$5,"&gt;="&amp;설정!$C$22,월별집계!$C$5:$Z$5,"&lt;="&amp;설정!$C$20))</f>
        <v/>
      </c>
      <c r="L42" s="35">
        <f>IF($A42="","",SUMIFS(월별집계!$C42:$Z42,월별집계!$C$5:$Z$5,"&gt;="&amp;(설정!$C$22-3),월별집계!$C$5:$Z$5,"&lt;="&amp;(설정!$C$20-3)))</f>
        <v/>
      </c>
      <c r="M42" s="80">
        <f>IF($A42="","",IF(L42&lt;=0,IF(K42&gt;0,1,0),K42/L42-1))</f>
        <v/>
      </c>
      <c r="N42" s="40">
        <f>IF($A42="","",MAX(F42-G42,F42-I42))</f>
        <v/>
      </c>
      <c r="O42" s="62">
        <f>IF($A42="","",IFERROR((월별집계!$Z42-AVERAGE(월별집계!N42:Y42))/STDEV(월별집계!N42:Y42),0))</f>
        <v/>
      </c>
      <c r="P42" s="35">
        <f>IF($A42="","",SUMIFS(예산판_원본!$O$5:$O$5000,예산판_원본!$L$5:$L$5000,$E42,예산판_원본!$M$5:$M$5000,설정!$C$6))</f>
        <v/>
      </c>
      <c r="Q42" s="35">
        <f>IF($A42="","",SUMIFS(월별집계!$C42:$Z42,월별집계!$C$5:$Z$5,"&gt;="&amp;(설정!$C$6*12+1),월별집계!$C$5:$Z$5,"&lt;="&amp;설정!$C$20))</f>
        <v/>
      </c>
      <c r="R42" s="40">
        <f>IF($A42="","",P42-Q42)</f>
        <v/>
      </c>
      <c r="S42" s="35">
        <f>IF($A42="","",AVERAGE(월별집계!X42:Z42)*(12-설정!$C$7))</f>
        <v/>
      </c>
      <c r="T42" s="35">
        <f>IF($A42="","",IFERROR(Q42/(SUMIFS(월별집계!$C42:$Z42,월별집계!$C$5:$Z$5,"&gt;="&amp;((설정!$C$6-1)*12+1),월별집계!$C$5:$Z$5,"&lt;="&amp;(설정!$C$20-12))/SUMIFS(월별집계!$C42:$Z42,월별집계!$C$5:$Z$5,"&gt;="&amp;((설정!$C$6-1)*12+1),월별집계!$C$5:$Z$5,"&lt;="&amp;((설정!$C$6-1)*12+12)))-Q42,S42))</f>
        <v/>
      </c>
      <c r="U42" s="40">
        <f>IF($A42="","",Q42+MAX(S42,T42))</f>
        <v/>
      </c>
      <c r="V42" s="73">
        <f>IF($A42="","",IF(P42=0,0,U42/P42))</f>
        <v/>
      </c>
      <c r="W42" s="34">
        <f>IF($A42="","",IF(AND(P42=0,Q42&gt;0),"무예산",IF(P42=0,"-",IF(V42&gt;설정!$C$12,"부족 예상",IF(V42&gt;설정!$C$11,"주의","여유")))))</f>
        <v/>
      </c>
      <c r="X42" s="40">
        <f>IF($A42="","",IF(P42=0,0,MAX(0,U42-P42)))</f>
        <v/>
      </c>
      <c r="Y42" s="34">
        <f>IF($A42="","",IF(OR(W42&lt;&gt;"부족 예상",설정!$C$7=12),"",IF(R42&lt;=0,"이미 초과",MIN(12,설정!$C$7+ROUNDUP(R42/(MAX(S42,T42)/(12-설정!$C$7)),0))&amp;"월")))</f>
        <v/>
      </c>
      <c r="Z42" s="26">
        <f>IF($A42="","",TRIM(IF(AND(N(AC42)&gt;=설정!$C$14,N42&gt;=설정!$C$10),"단건"&amp;TEXT(MIN(AC42,1),"0%")&amp;" ","")&amp;IF(AND(N42&gt;0,AD42&gt;0),IF(AD42/N42&gt;=설정!$C$16,"SA대체 ",""),"")&amp;IF(AE42&gt;0,"역분개"&amp;AE42&amp;"건 ","")&amp;IF(O42&gt;=설정!$C$13,"이상치 ","")&amp;IF(AND(I42=0,F42&gt;0),"신규지출 ","")))</f>
        <v/>
      </c>
      <c r="AA42" s="62">
        <f>IF($A42="","",ROUND((AF42+AG42+AH42+AI42)*IF(AND(F42&lt;설정!$C$10,N42&lt;설정!$C$10),0.3,1),1))</f>
        <v/>
      </c>
      <c r="AB42" s="41">
        <f>IF($A42="","",AA42+ROW()/1000000)</f>
        <v/>
      </c>
      <c r="AC42" s="60">
        <f>IF(OR($A42="",N42&lt;=0),"",SUMPRODUCT(MAX((전표_원본!$O$5:$O$100000=$E42)*(전표_원본!$M$5:$M$100000=설정!$C$20)*전표_원본!$P$5:$P$100000))/N42)</f>
        <v/>
      </c>
      <c r="AD42" s="35">
        <f>IF($A42="","",SUMIFS(전표_원본!$P$5:$P$100000,전표_원본!$O$5:$O$100000,$E42,전표_원본!$M$5:$M$100000,설정!$C$20,전표_원본!$E$5:$E$100000,"SA")-SUMIFS(전표_원본!$P$5:$P$100000,전표_원본!$O$5:$O$100000,$E42,전표_원본!$M$5:$M$100000,설정!$C$20-1,전표_원본!$E$5:$E$100000,"SA"))</f>
        <v/>
      </c>
      <c r="AE42" s="81">
        <f>IF($A42="","",COUNTIFS(전표_원본!$O$5:$O$100000,$E42,전표_원본!$M$5:$M$100000,설정!$C$20,전표_원본!$P$5:$P$100000,"&lt;0"))</f>
        <v/>
      </c>
      <c r="AF42" s="62">
        <f>IF($A42="","",MIN(MAX(0,N42)/(설정!$C$10*5),1)*30)</f>
        <v/>
      </c>
      <c r="AG42" s="82">
        <f>IF($A42="","",MIN(MAX(0,H42,J42),1)*20)</f>
        <v/>
      </c>
      <c r="AH42" s="82">
        <f>IF($A42="","",MIN(MAX(0,O42)/3,1)*25)</f>
        <v/>
      </c>
      <c r="AI42" s="82">
        <f>IF($A42="","",IF(OR(W42="부족 예상",W42="무예산",AO42="한도 초과",AO42="초과 예상",AO42="무예산"),25,IF(OR(W42="주의",AO42="주의"),15,0)))</f>
        <v/>
      </c>
      <c r="AJ42" s="35">
        <f>IF($A42="","",SUMIFS(예산판_원본!$O$5:$O$5000,예산판_원본!$L$5:$L$5000,$E42,예산판_원본!$M$5:$M$5000,설정!$C$6,예산판_원본!$N$5:$N$5000,설정!$C$21))</f>
        <v/>
      </c>
      <c r="AK42" s="40">
        <f>IF($A42="","",K42)</f>
        <v/>
      </c>
      <c r="AL42" s="40">
        <f>IF($A42="","",AJ42-AK42)</f>
        <v/>
      </c>
      <c r="AM42" s="35">
        <f>IF($A42="","",AK42+AVERAGE(월별집계!X42:Z42)*MAX(0,설정!$C$22+2-설정!$C$20))</f>
        <v/>
      </c>
      <c r="AN42" s="73">
        <f>IF($A42="","",IF(AJ42=0,0,AM42/AJ42))</f>
        <v/>
      </c>
      <c r="AO42" s="34">
        <f>IF($A42="","",IF(AND(AJ42=0,AK42&gt;0),"무예산",IF(AJ42=0,"-",IF(AK42&gt;AJ42,"한도 초과",IF(AN42&gt;설정!$C$12,"초과 예상",IF(AN42&gt;설정!$C$11,"주의","여유"))))))</f>
        <v/>
      </c>
      <c r="AP42" s="35">
        <f>IF($A42="","",IF(설정!$C$19="최근월",(INDEX(월별집계!$AB42:$AM42,설정!$C$7)-INDEX(월별집계!$AB42:$AM42,MAX(1,설정!$C$7-1))*(설정!$C$7&gt;1)),IF(설정!$C$19="최근분기",((INDEX(월별집계!$AB42:$AM42,설정!$C$7)-INDEX(월별집계!$AB42:$AM42,MAX(1,설정!$C$7-3))*(설정!$C$7&gt;3))/MIN(3,설정!$C$7)),IF(설정!$C$19="전년추세",AZ42,((설정!$C$7+1)*SUMPRODUCT(월별집계!$AB$5:$AM$5,월별집계!$AB42:$AM42)-(설정!$C$7*(설정!$C$7+1)/2)*SUM(월별집계!$AB42:$AM42))/((설정!$C$7+1)*(설정!$C$7*(설정!$C$7+1)*(2*설정!$C$7+1)/6)-(설정!$C$7*(설정!$C$7+1)/2)^2)))))</f>
        <v/>
      </c>
      <c r="AQ42" s="35">
        <f>IF($A42="","",IF(설정!$C$19="연내누적",(SUM(월별집계!$AB42:$AM42)-AP42*(설정!$C$7*(설정!$C$7+1)/2))/(설정!$C$7+1),INDEX(월별집계!$AB42:$AM42,설정!$C$7)-AP42*설정!$C$7))</f>
        <v/>
      </c>
      <c r="AR42" s="40">
        <f>IF($A42="","",AQ42+AP42*12)</f>
        <v/>
      </c>
      <c r="AS42" s="82">
        <f>IF($A42="","",IF(OR(P42&lt;=0,Q42&gt;=P42,AP42&lt;=0),"",MAX(설정!$C$7,(P42-AQ42)/AP42)))</f>
        <v/>
      </c>
      <c r="AT42" s="22">
        <f>IF($A42="","",IF(AS42="",IF(AU42="이미 소진","소진됨",""),YEAR((DATE(설정!$C$6,1,1)+ROUND(AS42*365/12,0)-1))&amp;"-"&amp;TEXT(MONTH((DATE(설정!$C$6,1,1)+ROUND(AS42*365/12,0)-1)),"00")&amp;"-"&amp;TEXT(DAY((DATE(설정!$C$6,1,1)+ROUND(AS42*365/12,0)-1)),"00")))</f>
        <v/>
      </c>
      <c r="AU42" s="34">
        <f>IF($A42="","",IF(AND(P42&lt;=0,Q42&gt;0),"무예산",IF(P42&lt;=0,"-",IF(Q42&gt;=P42,"이미 소진",IF(AP42&lt;=0,"소진 안 됨",IF(AS42&lt;=12,"연내 고갈","연내 여유"))))))</f>
        <v/>
      </c>
      <c r="AV42" s="34">
        <f>IF($A42="","",IF(AJ42&lt;=0,"",IF(AK42&gt;=AJ42,"한도 소진",IF(AK42&lt;=0,"",IF(AJ42/(AK42/(설정!$C$20-설정!$C$22+1))&gt;3,"분기 내 여유",YEAR((DATE(설정!$C$6,설정!$C$22-설정!$C$6*12,1)+ROUND(MAX((설정!$C$20-설정!$C$22+1),AJ42/(AK42/(설정!$C$20-설정!$C$22+1)))*365/12,0)-1))&amp;"-"&amp;TEXT(MONTH((DATE(설정!$C$6,설정!$C$22-설정!$C$6*12,1)+ROUND(MAX((설정!$C$20-설정!$C$22+1),AJ42/(AK42/(설정!$C$20-설정!$C$22+1)))*365/12,0)-1)),"00")&amp;"-"&amp;TEXT(DAY((DATE(설정!$C$6,설정!$C$22-설정!$C$6*12,1)+ROUND(MAX((설정!$C$20-설정!$C$22+1),AJ42/(AK42/(설정!$C$20-설정!$C$22+1)))*365/12,0)-1)),"00"))))))</f>
        <v/>
      </c>
      <c r="AW42" s="41">
        <f>IF($A42="",999+ROW()/1000000,IF(AU42="이미 소진",ROW()/1000000,IF(AU42="연내 고갈",AS42+ROW()/1000000,99+ROW()/1000000)))</f>
        <v/>
      </c>
      <c r="AX42" s="35">
        <f>IF($A42="","",SUMIFS(월별집계!$C42:$Z42,월별집계!$C$5:$Z$5,"&gt;="&amp;((설정!$C$6-1)*12+1),월별집계!$C$5:$Z$5,"&lt;="&amp;(설정!$C$20-12)))</f>
        <v/>
      </c>
      <c r="AY42" s="80">
        <f>IF($A42="","",IF(AX42&lt;=0,IF(Q42&gt;0,1,0),Q42/AX42-1))</f>
        <v/>
      </c>
      <c r="AZ42" s="35">
        <f>IF($A42="","",SUMIFS(월별집계!$C42:$Z42,월별집계!$C$5:$Z$5,"&gt;"&amp;(설정!$C$20-12),월별집계!$C$5:$Z$5,"&lt;="&amp;((설정!$C$6-1)*12+12))/MAX(1,12-설정!$C$7))</f>
        <v/>
      </c>
    </row>
    <row r="43">
      <c r="A43" s="12" t="inlineStr">
        <is>
          <t>D500</t>
        </is>
      </c>
      <c r="B43" s="26">
        <f>IF($A43="","",IFERROR(INDEX(부서매핑!$D$5:$D$504,MATCH($A43,부서매핑!$C$5:$C$504,0)),"부서매핑 없음"))</f>
        <v/>
      </c>
      <c r="C43" s="79" t="inlineStr">
        <is>
          <t>62401000</t>
        </is>
      </c>
      <c r="D43" s="26">
        <f>IF($A43="","",IFERROR(INDEX(계정매핑!$B$5:$B$504,MATCH($C43&amp;"",계정매핑!$A$5:$A$504,0)),"계정매핑 없음"))</f>
        <v/>
      </c>
      <c r="E43" s="22">
        <f>IF($A43="","",$A43&amp;"|"&amp;$C43)</f>
        <v/>
      </c>
      <c r="F43" s="35">
        <f>IF($A43="","",월별집계!$Z43)</f>
        <v/>
      </c>
      <c r="G43" s="35">
        <f>IF($A43="","",월별집계!$Y43)</f>
        <v/>
      </c>
      <c r="H43" s="80">
        <f>IF($A43="","",IF(G43&lt;=0,IF(F43&gt;0,1,0),F43/G43-1))</f>
        <v/>
      </c>
      <c r="I43" s="35">
        <f>IF($A43="","",월별집계!$N43)</f>
        <v/>
      </c>
      <c r="J43" s="80">
        <f>IF($A43="","",IF(I43&lt;=0,IF(F43&gt;0,1,0),F43/I43-1))</f>
        <v/>
      </c>
      <c r="K43" s="35">
        <f>IF($A43="","",SUMIFS(월별집계!$C43:$Z43,월별집계!$C$5:$Z$5,"&gt;="&amp;설정!$C$22,월별집계!$C$5:$Z$5,"&lt;="&amp;설정!$C$20))</f>
        <v/>
      </c>
      <c r="L43" s="35">
        <f>IF($A43="","",SUMIFS(월별집계!$C43:$Z43,월별집계!$C$5:$Z$5,"&gt;="&amp;(설정!$C$22-3),월별집계!$C$5:$Z$5,"&lt;="&amp;(설정!$C$20-3)))</f>
        <v/>
      </c>
      <c r="M43" s="80">
        <f>IF($A43="","",IF(L43&lt;=0,IF(K43&gt;0,1,0),K43/L43-1))</f>
        <v/>
      </c>
      <c r="N43" s="40">
        <f>IF($A43="","",MAX(F43-G43,F43-I43))</f>
        <v/>
      </c>
      <c r="O43" s="62">
        <f>IF($A43="","",IFERROR((월별집계!$Z43-AVERAGE(월별집계!N43:Y43))/STDEV(월별집계!N43:Y43),0))</f>
        <v/>
      </c>
      <c r="P43" s="35">
        <f>IF($A43="","",SUMIFS(예산판_원본!$O$5:$O$5000,예산판_원본!$L$5:$L$5000,$E43,예산판_원본!$M$5:$M$5000,설정!$C$6))</f>
        <v/>
      </c>
      <c r="Q43" s="35">
        <f>IF($A43="","",SUMIFS(월별집계!$C43:$Z43,월별집계!$C$5:$Z$5,"&gt;="&amp;(설정!$C$6*12+1),월별집계!$C$5:$Z$5,"&lt;="&amp;설정!$C$20))</f>
        <v/>
      </c>
      <c r="R43" s="40">
        <f>IF($A43="","",P43-Q43)</f>
        <v/>
      </c>
      <c r="S43" s="35">
        <f>IF($A43="","",AVERAGE(월별집계!X43:Z43)*(12-설정!$C$7))</f>
        <v/>
      </c>
      <c r="T43" s="35">
        <f>IF($A43="","",IFERROR(Q43/(SUMIFS(월별집계!$C43:$Z43,월별집계!$C$5:$Z$5,"&gt;="&amp;((설정!$C$6-1)*12+1),월별집계!$C$5:$Z$5,"&lt;="&amp;(설정!$C$20-12))/SUMIFS(월별집계!$C43:$Z43,월별집계!$C$5:$Z$5,"&gt;="&amp;((설정!$C$6-1)*12+1),월별집계!$C$5:$Z$5,"&lt;="&amp;((설정!$C$6-1)*12+12)))-Q43,S43))</f>
        <v/>
      </c>
      <c r="U43" s="40">
        <f>IF($A43="","",Q43+MAX(S43,T43))</f>
        <v/>
      </c>
      <c r="V43" s="73">
        <f>IF($A43="","",IF(P43=0,0,U43/P43))</f>
        <v/>
      </c>
      <c r="W43" s="34">
        <f>IF($A43="","",IF(AND(P43=0,Q43&gt;0),"무예산",IF(P43=0,"-",IF(V43&gt;설정!$C$12,"부족 예상",IF(V43&gt;설정!$C$11,"주의","여유")))))</f>
        <v/>
      </c>
      <c r="X43" s="40">
        <f>IF($A43="","",IF(P43=0,0,MAX(0,U43-P43)))</f>
        <v/>
      </c>
      <c r="Y43" s="34">
        <f>IF($A43="","",IF(OR(W43&lt;&gt;"부족 예상",설정!$C$7=12),"",IF(R43&lt;=0,"이미 초과",MIN(12,설정!$C$7+ROUNDUP(R43/(MAX(S43,T43)/(12-설정!$C$7)),0))&amp;"월")))</f>
        <v/>
      </c>
      <c r="Z43" s="26">
        <f>IF($A43="","",TRIM(IF(AND(N(AC43)&gt;=설정!$C$14,N43&gt;=설정!$C$10),"단건"&amp;TEXT(MIN(AC43,1),"0%")&amp;" ","")&amp;IF(AND(N43&gt;0,AD43&gt;0),IF(AD43/N43&gt;=설정!$C$16,"SA대체 ",""),"")&amp;IF(AE43&gt;0,"역분개"&amp;AE43&amp;"건 ","")&amp;IF(O43&gt;=설정!$C$13,"이상치 ","")&amp;IF(AND(I43=0,F43&gt;0),"신규지출 ","")))</f>
        <v/>
      </c>
      <c r="AA43" s="62">
        <f>IF($A43="","",ROUND((AF43+AG43+AH43+AI43)*IF(AND(F43&lt;설정!$C$10,N43&lt;설정!$C$10),0.3,1),1))</f>
        <v/>
      </c>
      <c r="AB43" s="41">
        <f>IF($A43="","",AA43+ROW()/1000000)</f>
        <v/>
      </c>
      <c r="AC43" s="60">
        <f>IF(OR($A43="",N43&lt;=0),"",SUMPRODUCT(MAX((전표_원본!$O$5:$O$100000=$E43)*(전표_원본!$M$5:$M$100000=설정!$C$20)*전표_원본!$P$5:$P$100000))/N43)</f>
        <v/>
      </c>
      <c r="AD43" s="35">
        <f>IF($A43="","",SUMIFS(전표_원본!$P$5:$P$100000,전표_원본!$O$5:$O$100000,$E43,전표_원본!$M$5:$M$100000,설정!$C$20,전표_원본!$E$5:$E$100000,"SA")-SUMIFS(전표_원본!$P$5:$P$100000,전표_원본!$O$5:$O$100000,$E43,전표_원본!$M$5:$M$100000,설정!$C$20-1,전표_원본!$E$5:$E$100000,"SA"))</f>
        <v/>
      </c>
      <c r="AE43" s="81">
        <f>IF($A43="","",COUNTIFS(전표_원본!$O$5:$O$100000,$E43,전표_원본!$M$5:$M$100000,설정!$C$20,전표_원본!$P$5:$P$100000,"&lt;0"))</f>
        <v/>
      </c>
      <c r="AF43" s="62">
        <f>IF($A43="","",MIN(MAX(0,N43)/(설정!$C$10*5),1)*30)</f>
        <v/>
      </c>
      <c r="AG43" s="82">
        <f>IF($A43="","",MIN(MAX(0,H43,J43),1)*20)</f>
        <v/>
      </c>
      <c r="AH43" s="82">
        <f>IF($A43="","",MIN(MAX(0,O43)/3,1)*25)</f>
        <v/>
      </c>
      <c r="AI43" s="82">
        <f>IF($A43="","",IF(OR(W43="부족 예상",W43="무예산",AO43="한도 초과",AO43="초과 예상",AO43="무예산"),25,IF(OR(W43="주의",AO43="주의"),15,0)))</f>
        <v/>
      </c>
      <c r="AJ43" s="35">
        <f>IF($A43="","",SUMIFS(예산판_원본!$O$5:$O$5000,예산판_원본!$L$5:$L$5000,$E43,예산판_원본!$M$5:$M$5000,설정!$C$6,예산판_원본!$N$5:$N$5000,설정!$C$21))</f>
        <v/>
      </c>
      <c r="AK43" s="40">
        <f>IF($A43="","",K43)</f>
        <v/>
      </c>
      <c r="AL43" s="40">
        <f>IF($A43="","",AJ43-AK43)</f>
        <v/>
      </c>
      <c r="AM43" s="35">
        <f>IF($A43="","",AK43+AVERAGE(월별집계!X43:Z43)*MAX(0,설정!$C$22+2-설정!$C$20))</f>
        <v/>
      </c>
      <c r="AN43" s="73">
        <f>IF($A43="","",IF(AJ43=0,0,AM43/AJ43))</f>
        <v/>
      </c>
      <c r="AO43" s="34">
        <f>IF($A43="","",IF(AND(AJ43=0,AK43&gt;0),"무예산",IF(AJ43=0,"-",IF(AK43&gt;AJ43,"한도 초과",IF(AN43&gt;설정!$C$12,"초과 예상",IF(AN43&gt;설정!$C$11,"주의","여유"))))))</f>
        <v/>
      </c>
      <c r="AP43" s="35">
        <f>IF($A43="","",IF(설정!$C$19="최근월",(INDEX(월별집계!$AB43:$AM43,설정!$C$7)-INDEX(월별집계!$AB43:$AM43,MAX(1,설정!$C$7-1))*(설정!$C$7&gt;1)),IF(설정!$C$19="최근분기",((INDEX(월별집계!$AB43:$AM43,설정!$C$7)-INDEX(월별집계!$AB43:$AM43,MAX(1,설정!$C$7-3))*(설정!$C$7&gt;3))/MIN(3,설정!$C$7)),IF(설정!$C$19="전년추세",AZ43,((설정!$C$7+1)*SUMPRODUCT(월별집계!$AB$5:$AM$5,월별집계!$AB43:$AM43)-(설정!$C$7*(설정!$C$7+1)/2)*SUM(월별집계!$AB43:$AM43))/((설정!$C$7+1)*(설정!$C$7*(설정!$C$7+1)*(2*설정!$C$7+1)/6)-(설정!$C$7*(설정!$C$7+1)/2)^2)))))</f>
        <v/>
      </c>
      <c r="AQ43" s="35">
        <f>IF($A43="","",IF(설정!$C$19="연내누적",(SUM(월별집계!$AB43:$AM43)-AP43*(설정!$C$7*(설정!$C$7+1)/2))/(설정!$C$7+1),INDEX(월별집계!$AB43:$AM43,설정!$C$7)-AP43*설정!$C$7))</f>
        <v/>
      </c>
      <c r="AR43" s="40">
        <f>IF($A43="","",AQ43+AP43*12)</f>
        <v/>
      </c>
      <c r="AS43" s="82">
        <f>IF($A43="","",IF(OR(P43&lt;=0,Q43&gt;=P43,AP43&lt;=0),"",MAX(설정!$C$7,(P43-AQ43)/AP43)))</f>
        <v/>
      </c>
      <c r="AT43" s="22">
        <f>IF($A43="","",IF(AS43="",IF(AU43="이미 소진","소진됨",""),YEAR((DATE(설정!$C$6,1,1)+ROUND(AS43*365/12,0)-1))&amp;"-"&amp;TEXT(MONTH((DATE(설정!$C$6,1,1)+ROUND(AS43*365/12,0)-1)),"00")&amp;"-"&amp;TEXT(DAY((DATE(설정!$C$6,1,1)+ROUND(AS43*365/12,0)-1)),"00")))</f>
        <v/>
      </c>
      <c r="AU43" s="34">
        <f>IF($A43="","",IF(AND(P43&lt;=0,Q43&gt;0),"무예산",IF(P43&lt;=0,"-",IF(Q43&gt;=P43,"이미 소진",IF(AP43&lt;=0,"소진 안 됨",IF(AS43&lt;=12,"연내 고갈","연내 여유"))))))</f>
        <v/>
      </c>
      <c r="AV43" s="34">
        <f>IF($A43="","",IF(AJ43&lt;=0,"",IF(AK43&gt;=AJ43,"한도 소진",IF(AK43&lt;=0,"",IF(AJ43/(AK43/(설정!$C$20-설정!$C$22+1))&gt;3,"분기 내 여유",YEAR((DATE(설정!$C$6,설정!$C$22-설정!$C$6*12,1)+ROUND(MAX((설정!$C$20-설정!$C$22+1),AJ43/(AK43/(설정!$C$20-설정!$C$22+1)))*365/12,0)-1))&amp;"-"&amp;TEXT(MONTH((DATE(설정!$C$6,설정!$C$22-설정!$C$6*12,1)+ROUND(MAX((설정!$C$20-설정!$C$22+1),AJ43/(AK43/(설정!$C$20-설정!$C$22+1)))*365/12,0)-1)),"00")&amp;"-"&amp;TEXT(DAY((DATE(설정!$C$6,설정!$C$22-설정!$C$6*12,1)+ROUND(MAX((설정!$C$20-설정!$C$22+1),AJ43/(AK43/(설정!$C$20-설정!$C$22+1)))*365/12,0)-1)),"00"))))))</f>
        <v/>
      </c>
      <c r="AW43" s="41">
        <f>IF($A43="",999+ROW()/1000000,IF(AU43="이미 소진",ROW()/1000000,IF(AU43="연내 고갈",AS43+ROW()/1000000,99+ROW()/1000000)))</f>
        <v/>
      </c>
      <c r="AX43" s="35">
        <f>IF($A43="","",SUMIFS(월별집계!$C43:$Z43,월별집계!$C$5:$Z$5,"&gt;="&amp;((설정!$C$6-1)*12+1),월별집계!$C$5:$Z$5,"&lt;="&amp;(설정!$C$20-12)))</f>
        <v/>
      </c>
      <c r="AY43" s="80">
        <f>IF($A43="","",IF(AX43&lt;=0,IF(Q43&gt;0,1,0),Q43/AX43-1))</f>
        <v/>
      </c>
      <c r="AZ43" s="35">
        <f>IF($A43="","",SUMIFS(월별집계!$C43:$Z43,월별집계!$C$5:$Z$5,"&gt;"&amp;(설정!$C$20-12),월별집계!$C$5:$Z$5,"&lt;="&amp;((설정!$C$6-1)*12+12))/MAX(1,12-설정!$C$7))</f>
        <v/>
      </c>
    </row>
    <row r="44">
      <c r="A44" s="12" t="inlineStr">
        <is>
          <t>D500</t>
        </is>
      </c>
      <c r="B44" s="26">
        <f>IF($A44="","",IFERROR(INDEX(부서매핑!$D$5:$D$504,MATCH($A44,부서매핑!$C$5:$C$504,0)),"부서매핑 없음"))</f>
        <v/>
      </c>
      <c r="C44" s="79" t="inlineStr">
        <is>
          <t>62501000</t>
        </is>
      </c>
      <c r="D44" s="26">
        <f>IF($A44="","",IFERROR(INDEX(계정매핑!$B$5:$B$504,MATCH($C44&amp;"",계정매핑!$A$5:$A$504,0)),"계정매핑 없음"))</f>
        <v/>
      </c>
      <c r="E44" s="22">
        <f>IF($A44="","",$A44&amp;"|"&amp;$C44)</f>
        <v/>
      </c>
      <c r="F44" s="35">
        <f>IF($A44="","",월별집계!$Z44)</f>
        <v/>
      </c>
      <c r="G44" s="35">
        <f>IF($A44="","",월별집계!$Y44)</f>
        <v/>
      </c>
      <c r="H44" s="80">
        <f>IF($A44="","",IF(G44&lt;=0,IF(F44&gt;0,1,0),F44/G44-1))</f>
        <v/>
      </c>
      <c r="I44" s="35">
        <f>IF($A44="","",월별집계!$N44)</f>
        <v/>
      </c>
      <c r="J44" s="80">
        <f>IF($A44="","",IF(I44&lt;=0,IF(F44&gt;0,1,0),F44/I44-1))</f>
        <v/>
      </c>
      <c r="K44" s="35">
        <f>IF($A44="","",SUMIFS(월별집계!$C44:$Z44,월별집계!$C$5:$Z$5,"&gt;="&amp;설정!$C$22,월별집계!$C$5:$Z$5,"&lt;="&amp;설정!$C$20))</f>
        <v/>
      </c>
      <c r="L44" s="35">
        <f>IF($A44="","",SUMIFS(월별집계!$C44:$Z44,월별집계!$C$5:$Z$5,"&gt;="&amp;(설정!$C$22-3),월별집계!$C$5:$Z$5,"&lt;="&amp;(설정!$C$20-3)))</f>
        <v/>
      </c>
      <c r="M44" s="80">
        <f>IF($A44="","",IF(L44&lt;=0,IF(K44&gt;0,1,0),K44/L44-1))</f>
        <v/>
      </c>
      <c r="N44" s="40">
        <f>IF($A44="","",MAX(F44-G44,F44-I44))</f>
        <v/>
      </c>
      <c r="O44" s="62">
        <f>IF($A44="","",IFERROR((월별집계!$Z44-AVERAGE(월별집계!N44:Y44))/STDEV(월별집계!N44:Y44),0))</f>
        <v/>
      </c>
      <c r="P44" s="35">
        <f>IF($A44="","",SUMIFS(예산판_원본!$O$5:$O$5000,예산판_원본!$L$5:$L$5000,$E44,예산판_원본!$M$5:$M$5000,설정!$C$6))</f>
        <v/>
      </c>
      <c r="Q44" s="35">
        <f>IF($A44="","",SUMIFS(월별집계!$C44:$Z44,월별집계!$C$5:$Z$5,"&gt;="&amp;(설정!$C$6*12+1),월별집계!$C$5:$Z$5,"&lt;="&amp;설정!$C$20))</f>
        <v/>
      </c>
      <c r="R44" s="40">
        <f>IF($A44="","",P44-Q44)</f>
        <v/>
      </c>
      <c r="S44" s="35">
        <f>IF($A44="","",AVERAGE(월별집계!X44:Z44)*(12-설정!$C$7))</f>
        <v/>
      </c>
      <c r="T44" s="35">
        <f>IF($A44="","",IFERROR(Q44/(SUMIFS(월별집계!$C44:$Z44,월별집계!$C$5:$Z$5,"&gt;="&amp;((설정!$C$6-1)*12+1),월별집계!$C$5:$Z$5,"&lt;="&amp;(설정!$C$20-12))/SUMIFS(월별집계!$C44:$Z44,월별집계!$C$5:$Z$5,"&gt;="&amp;((설정!$C$6-1)*12+1),월별집계!$C$5:$Z$5,"&lt;="&amp;((설정!$C$6-1)*12+12)))-Q44,S44))</f>
        <v/>
      </c>
      <c r="U44" s="40">
        <f>IF($A44="","",Q44+MAX(S44,T44))</f>
        <v/>
      </c>
      <c r="V44" s="73">
        <f>IF($A44="","",IF(P44=0,0,U44/P44))</f>
        <v/>
      </c>
      <c r="W44" s="34">
        <f>IF($A44="","",IF(AND(P44=0,Q44&gt;0),"무예산",IF(P44=0,"-",IF(V44&gt;설정!$C$12,"부족 예상",IF(V44&gt;설정!$C$11,"주의","여유")))))</f>
        <v/>
      </c>
      <c r="X44" s="40">
        <f>IF($A44="","",IF(P44=0,0,MAX(0,U44-P44)))</f>
        <v/>
      </c>
      <c r="Y44" s="34">
        <f>IF($A44="","",IF(OR(W44&lt;&gt;"부족 예상",설정!$C$7=12),"",IF(R44&lt;=0,"이미 초과",MIN(12,설정!$C$7+ROUNDUP(R44/(MAX(S44,T44)/(12-설정!$C$7)),0))&amp;"월")))</f>
        <v/>
      </c>
      <c r="Z44" s="26">
        <f>IF($A44="","",TRIM(IF(AND(N(AC44)&gt;=설정!$C$14,N44&gt;=설정!$C$10),"단건"&amp;TEXT(MIN(AC44,1),"0%")&amp;" ","")&amp;IF(AND(N44&gt;0,AD44&gt;0),IF(AD44/N44&gt;=설정!$C$16,"SA대체 ",""),"")&amp;IF(AE44&gt;0,"역분개"&amp;AE44&amp;"건 ","")&amp;IF(O44&gt;=설정!$C$13,"이상치 ","")&amp;IF(AND(I44=0,F44&gt;0),"신규지출 ","")))</f>
        <v/>
      </c>
      <c r="AA44" s="62">
        <f>IF($A44="","",ROUND((AF44+AG44+AH44+AI44)*IF(AND(F44&lt;설정!$C$10,N44&lt;설정!$C$10),0.3,1),1))</f>
        <v/>
      </c>
      <c r="AB44" s="41">
        <f>IF($A44="","",AA44+ROW()/1000000)</f>
        <v/>
      </c>
      <c r="AC44" s="60">
        <f>IF(OR($A44="",N44&lt;=0),"",SUMPRODUCT(MAX((전표_원본!$O$5:$O$100000=$E44)*(전표_원본!$M$5:$M$100000=설정!$C$20)*전표_원본!$P$5:$P$100000))/N44)</f>
        <v/>
      </c>
      <c r="AD44" s="35">
        <f>IF($A44="","",SUMIFS(전표_원본!$P$5:$P$100000,전표_원본!$O$5:$O$100000,$E44,전표_원본!$M$5:$M$100000,설정!$C$20,전표_원본!$E$5:$E$100000,"SA")-SUMIFS(전표_원본!$P$5:$P$100000,전표_원본!$O$5:$O$100000,$E44,전표_원본!$M$5:$M$100000,설정!$C$20-1,전표_원본!$E$5:$E$100000,"SA"))</f>
        <v/>
      </c>
      <c r="AE44" s="81">
        <f>IF($A44="","",COUNTIFS(전표_원본!$O$5:$O$100000,$E44,전표_원본!$M$5:$M$100000,설정!$C$20,전표_원본!$P$5:$P$100000,"&lt;0"))</f>
        <v/>
      </c>
      <c r="AF44" s="62">
        <f>IF($A44="","",MIN(MAX(0,N44)/(설정!$C$10*5),1)*30)</f>
        <v/>
      </c>
      <c r="AG44" s="82">
        <f>IF($A44="","",MIN(MAX(0,H44,J44),1)*20)</f>
        <v/>
      </c>
      <c r="AH44" s="82">
        <f>IF($A44="","",MIN(MAX(0,O44)/3,1)*25)</f>
        <v/>
      </c>
      <c r="AI44" s="82">
        <f>IF($A44="","",IF(OR(W44="부족 예상",W44="무예산",AO44="한도 초과",AO44="초과 예상",AO44="무예산"),25,IF(OR(W44="주의",AO44="주의"),15,0)))</f>
        <v/>
      </c>
      <c r="AJ44" s="35">
        <f>IF($A44="","",SUMIFS(예산판_원본!$O$5:$O$5000,예산판_원본!$L$5:$L$5000,$E44,예산판_원본!$M$5:$M$5000,설정!$C$6,예산판_원본!$N$5:$N$5000,설정!$C$21))</f>
        <v/>
      </c>
      <c r="AK44" s="40">
        <f>IF($A44="","",K44)</f>
        <v/>
      </c>
      <c r="AL44" s="40">
        <f>IF($A44="","",AJ44-AK44)</f>
        <v/>
      </c>
      <c r="AM44" s="35">
        <f>IF($A44="","",AK44+AVERAGE(월별집계!X44:Z44)*MAX(0,설정!$C$22+2-설정!$C$20))</f>
        <v/>
      </c>
      <c r="AN44" s="73">
        <f>IF($A44="","",IF(AJ44=0,0,AM44/AJ44))</f>
        <v/>
      </c>
      <c r="AO44" s="34">
        <f>IF($A44="","",IF(AND(AJ44=0,AK44&gt;0),"무예산",IF(AJ44=0,"-",IF(AK44&gt;AJ44,"한도 초과",IF(AN44&gt;설정!$C$12,"초과 예상",IF(AN44&gt;설정!$C$11,"주의","여유"))))))</f>
        <v/>
      </c>
      <c r="AP44" s="35">
        <f>IF($A44="","",IF(설정!$C$19="최근월",(INDEX(월별집계!$AB44:$AM44,설정!$C$7)-INDEX(월별집계!$AB44:$AM44,MAX(1,설정!$C$7-1))*(설정!$C$7&gt;1)),IF(설정!$C$19="최근분기",((INDEX(월별집계!$AB44:$AM44,설정!$C$7)-INDEX(월별집계!$AB44:$AM44,MAX(1,설정!$C$7-3))*(설정!$C$7&gt;3))/MIN(3,설정!$C$7)),IF(설정!$C$19="전년추세",AZ44,((설정!$C$7+1)*SUMPRODUCT(월별집계!$AB$5:$AM$5,월별집계!$AB44:$AM44)-(설정!$C$7*(설정!$C$7+1)/2)*SUM(월별집계!$AB44:$AM44))/((설정!$C$7+1)*(설정!$C$7*(설정!$C$7+1)*(2*설정!$C$7+1)/6)-(설정!$C$7*(설정!$C$7+1)/2)^2)))))</f>
        <v/>
      </c>
      <c r="AQ44" s="35">
        <f>IF($A44="","",IF(설정!$C$19="연내누적",(SUM(월별집계!$AB44:$AM44)-AP44*(설정!$C$7*(설정!$C$7+1)/2))/(설정!$C$7+1),INDEX(월별집계!$AB44:$AM44,설정!$C$7)-AP44*설정!$C$7))</f>
        <v/>
      </c>
      <c r="AR44" s="40">
        <f>IF($A44="","",AQ44+AP44*12)</f>
        <v/>
      </c>
      <c r="AS44" s="82">
        <f>IF($A44="","",IF(OR(P44&lt;=0,Q44&gt;=P44,AP44&lt;=0),"",MAX(설정!$C$7,(P44-AQ44)/AP44)))</f>
        <v/>
      </c>
      <c r="AT44" s="22">
        <f>IF($A44="","",IF(AS44="",IF(AU44="이미 소진","소진됨",""),YEAR((DATE(설정!$C$6,1,1)+ROUND(AS44*365/12,0)-1))&amp;"-"&amp;TEXT(MONTH((DATE(설정!$C$6,1,1)+ROUND(AS44*365/12,0)-1)),"00")&amp;"-"&amp;TEXT(DAY((DATE(설정!$C$6,1,1)+ROUND(AS44*365/12,0)-1)),"00")))</f>
        <v/>
      </c>
      <c r="AU44" s="34">
        <f>IF($A44="","",IF(AND(P44&lt;=0,Q44&gt;0),"무예산",IF(P44&lt;=0,"-",IF(Q44&gt;=P44,"이미 소진",IF(AP44&lt;=0,"소진 안 됨",IF(AS44&lt;=12,"연내 고갈","연내 여유"))))))</f>
        <v/>
      </c>
      <c r="AV44" s="34">
        <f>IF($A44="","",IF(AJ44&lt;=0,"",IF(AK44&gt;=AJ44,"한도 소진",IF(AK44&lt;=0,"",IF(AJ44/(AK44/(설정!$C$20-설정!$C$22+1))&gt;3,"분기 내 여유",YEAR((DATE(설정!$C$6,설정!$C$22-설정!$C$6*12,1)+ROUND(MAX((설정!$C$20-설정!$C$22+1),AJ44/(AK44/(설정!$C$20-설정!$C$22+1)))*365/12,0)-1))&amp;"-"&amp;TEXT(MONTH((DATE(설정!$C$6,설정!$C$22-설정!$C$6*12,1)+ROUND(MAX((설정!$C$20-설정!$C$22+1),AJ44/(AK44/(설정!$C$20-설정!$C$22+1)))*365/12,0)-1)),"00")&amp;"-"&amp;TEXT(DAY((DATE(설정!$C$6,설정!$C$22-설정!$C$6*12,1)+ROUND(MAX((설정!$C$20-설정!$C$22+1),AJ44/(AK44/(설정!$C$20-설정!$C$22+1)))*365/12,0)-1)),"00"))))))</f>
        <v/>
      </c>
      <c r="AW44" s="41">
        <f>IF($A44="",999+ROW()/1000000,IF(AU44="이미 소진",ROW()/1000000,IF(AU44="연내 고갈",AS44+ROW()/1000000,99+ROW()/1000000)))</f>
        <v/>
      </c>
      <c r="AX44" s="35">
        <f>IF($A44="","",SUMIFS(월별집계!$C44:$Z44,월별집계!$C$5:$Z$5,"&gt;="&amp;((설정!$C$6-1)*12+1),월별집계!$C$5:$Z$5,"&lt;="&amp;(설정!$C$20-12)))</f>
        <v/>
      </c>
      <c r="AY44" s="80">
        <f>IF($A44="","",IF(AX44&lt;=0,IF(Q44&gt;0,1,0),Q44/AX44-1))</f>
        <v/>
      </c>
      <c r="AZ44" s="35">
        <f>IF($A44="","",SUMIFS(월별집계!$C44:$Z44,월별집계!$C$5:$Z$5,"&gt;"&amp;(설정!$C$20-12),월별집계!$C$5:$Z$5,"&lt;="&amp;((설정!$C$6-1)*12+12))/MAX(1,12-설정!$C$7))</f>
        <v/>
      </c>
    </row>
    <row r="45">
      <c r="A45" s="12" t="inlineStr">
        <is>
          <t>D500</t>
        </is>
      </c>
      <c r="B45" s="26">
        <f>IF($A45="","",IFERROR(INDEX(부서매핑!$D$5:$D$504,MATCH($A45,부서매핑!$C$5:$C$504,0)),"부서매핑 없음"))</f>
        <v/>
      </c>
      <c r="C45" s="79" t="inlineStr">
        <is>
          <t>62601000</t>
        </is>
      </c>
      <c r="D45" s="26">
        <f>IF($A45="","",IFERROR(INDEX(계정매핑!$B$5:$B$504,MATCH($C45&amp;"",계정매핑!$A$5:$A$504,0)),"계정매핑 없음"))</f>
        <v/>
      </c>
      <c r="E45" s="22">
        <f>IF($A45="","",$A45&amp;"|"&amp;$C45)</f>
        <v/>
      </c>
      <c r="F45" s="35">
        <f>IF($A45="","",월별집계!$Z45)</f>
        <v/>
      </c>
      <c r="G45" s="35">
        <f>IF($A45="","",월별집계!$Y45)</f>
        <v/>
      </c>
      <c r="H45" s="80">
        <f>IF($A45="","",IF(G45&lt;=0,IF(F45&gt;0,1,0),F45/G45-1))</f>
        <v/>
      </c>
      <c r="I45" s="35">
        <f>IF($A45="","",월별집계!$N45)</f>
        <v/>
      </c>
      <c r="J45" s="80">
        <f>IF($A45="","",IF(I45&lt;=0,IF(F45&gt;0,1,0),F45/I45-1))</f>
        <v/>
      </c>
      <c r="K45" s="35">
        <f>IF($A45="","",SUMIFS(월별집계!$C45:$Z45,월별집계!$C$5:$Z$5,"&gt;="&amp;설정!$C$22,월별집계!$C$5:$Z$5,"&lt;="&amp;설정!$C$20))</f>
        <v/>
      </c>
      <c r="L45" s="35">
        <f>IF($A45="","",SUMIFS(월별집계!$C45:$Z45,월별집계!$C$5:$Z$5,"&gt;="&amp;(설정!$C$22-3),월별집계!$C$5:$Z$5,"&lt;="&amp;(설정!$C$20-3)))</f>
        <v/>
      </c>
      <c r="M45" s="80">
        <f>IF($A45="","",IF(L45&lt;=0,IF(K45&gt;0,1,0),K45/L45-1))</f>
        <v/>
      </c>
      <c r="N45" s="40">
        <f>IF($A45="","",MAX(F45-G45,F45-I45))</f>
        <v/>
      </c>
      <c r="O45" s="62">
        <f>IF($A45="","",IFERROR((월별집계!$Z45-AVERAGE(월별집계!N45:Y45))/STDEV(월별집계!N45:Y45),0))</f>
        <v/>
      </c>
      <c r="P45" s="35">
        <f>IF($A45="","",SUMIFS(예산판_원본!$O$5:$O$5000,예산판_원본!$L$5:$L$5000,$E45,예산판_원본!$M$5:$M$5000,설정!$C$6))</f>
        <v/>
      </c>
      <c r="Q45" s="35">
        <f>IF($A45="","",SUMIFS(월별집계!$C45:$Z45,월별집계!$C$5:$Z$5,"&gt;="&amp;(설정!$C$6*12+1),월별집계!$C$5:$Z$5,"&lt;="&amp;설정!$C$20))</f>
        <v/>
      </c>
      <c r="R45" s="40">
        <f>IF($A45="","",P45-Q45)</f>
        <v/>
      </c>
      <c r="S45" s="35">
        <f>IF($A45="","",AVERAGE(월별집계!X45:Z45)*(12-설정!$C$7))</f>
        <v/>
      </c>
      <c r="T45" s="35">
        <f>IF($A45="","",IFERROR(Q45/(SUMIFS(월별집계!$C45:$Z45,월별집계!$C$5:$Z$5,"&gt;="&amp;((설정!$C$6-1)*12+1),월별집계!$C$5:$Z$5,"&lt;="&amp;(설정!$C$20-12))/SUMIFS(월별집계!$C45:$Z45,월별집계!$C$5:$Z$5,"&gt;="&amp;((설정!$C$6-1)*12+1),월별집계!$C$5:$Z$5,"&lt;="&amp;((설정!$C$6-1)*12+12)))-Q45,S45))</f>
        <v/>
      </c>
      <c r="U45" s="40">
        <f>IF($A45="","",Q45+MAX(S45,T45))</f>
        <v/>
      </c>
      <c r="V45" s="73">
        <f>IF($A45="","",IF(P45=0,0,U45/P45))</f>
        <v/>
      </c>
      <c r="W45" s="34">
        <f>IF($A45="","",IF(AND(P45=0,Q45&gt;0),"무예산",IF(P45=0,"-",IF(V45&gt;설정!$C$12,"부족 예상",IF(V45&gt;설정!$C$11,"주의","여유")))))</f>
        <v/>
      </c>
      <c r="X45" s="40">
        <f>IF($A45="","",IF(P45=0,0,MAX(0,U45-P45)))</f>
        <v/>
      </c>
      <c r="Y45" s="34">
        <f>IF($A45="","",IF(OR(W45&lt;&gt;"부족 예상",설정!$C$7=12),"",IF(R45&lt;=0,"이미 초과",MIN(12,설정!$C$7+ROUNDUP(R45/(MAX(S45,T45)/(12-설정!$C$7)),0))&amp;"월")))</f>
        <v/>
      </c>
      <c r="Z45" s="26">
        <f>IF($A45="","",TRIM(IF(AND(N(AC45)&gt;=설정!$C$14,N45&gt;=설정!$C$10),"단건"&amp;TEXT(MIN(AC45,1),"0%")&amp;" ","")&amp;IF(AND(N45&gt;0,AD45&gt;0),IF(AD45/N45&gt;=설정!$C$16,"SA대체 ",""),"")&amp;IF(AE45&gt;0,"역분개"&amp;AE45&amp;"건 ","")&amp;IF(O45&gt;=설정!$C$13,"이상치 ","")&amp;IF(AND(I45=0,F45&gt;0),"신규지출 ","")))</f>
        <v/>
      </c>
      <c r="AA45" s="62">
        <f>IF($A45="","",ROUND((AF45+AG45+AH45+AI45)*IF(AND(F45&lt;설정!$C$10,N45&lt;설정!$C$10),0.3,1),1))</f>
        <v/>
      </c>
      <c r="AB45" s="41">
        <f>IF($A45="","",AA45+ROW()/1000000)</f>
        <v/>
      </c>
      <c r="AC45" s="60">
        <f>IF(OR($A45="",N45&lt;=0),"",SUMPRODUCT(MAX((전표_원본!$O$5:$O$100000=$E45)*(전표_원본!$M$5:$M$100000=설정!$C$20)*전표_원본!$P$5:$P$100000))/N45)</f>
        <v/>
      </c>
      <c r="AD45" s="35">
        <f>IF($A45="","",SUMIFS(전표_원본!$P$5:$P$100000,전표_원본!$O$5:$O$100000,$E45,전표_원본!$M$5:$M$100000,설정!$C$20,전표_원본!$E$5:$E$100000,"SA")-SUMIFS(전표_원본!$P$5:$P$100000,전표_원본!$O$5:$O$100000,$E45,전표_원본!$M$5:$M$100000,설정!$C$20-1,전표_원본!$E$5:$E$100000,"SA"))</f>
        <v/>
      </c>
      <c r="AE45" s="81">
        <f>IF($A45="","",COUNTIFS(전표_원본!$O$5:$O$100000,$E45,전표_원본!$M$5:$M$100000,설정!$C$20,전표_원본!$P$5:$P$100000,"&lt;0"))</f>
        <v/>
      </c>
      <c r="AF45" s="62">
        <f>IF($A45="","",MIN(MAX(0,N45)/(설정!$C$10*5),1)*30)</f>
        <v/>
      </c>
      <c r="AG45" s="82">
        <f>IF($A45="","",MIN(MAX(0,H45,J45),1)*20)</f>
        <v/>
      </c>
      <c r="AH45" s="82">
        <f>IF($A45="","",MIN(MAX(0,O45)/3,1)*25)</f>
        <v/>
      </c>
      <c r="AI45" s="82">
        <f>IF($A45="","",IF(OR(W45="부족 예상",W45="무예산",AO45="한도 초과",AO45="초과 예상",AO45="무예산"),25,IF(OR(W45="주의",AO45="주의"),15,0)))</f>
        <v/>
      </c>
      <c r="AJ45" s="35">
        <f>IF($A45="","",SUMIFS(예산판_원본!$O$5:$O$5000,예산판_원본!$L$5:$L$5000,$E45,예산판_원본!$M$5:$M$5000,설정!$C$6,예산판_원본!$N$5:$N$5000,설정!$C$21))</f>
        <v/>
      </c>
      <c r="AK45" s="40">
        <f>IF($A45="","",K45)</f>
        <v/>
      </c>
      <c r="AL45" s="40">
        <f>IF($A45="","",AJ45-AK45)</f>
        <v/>
      </c>
      <c r="AM45" s="35">
        <f>IF($A45="","",AK45+AVERAGE(월별집계!X45:Z45)*MAX(0,설정!$C$22+2-설정!$C$20))</f>
        <v/>
      </c>
      <c r="AN45" s="73">
        <f>IF($A45="","",IF(AJ45=0,0,AM45/AJ45))</f>
        <v/>
      </c>
      <c r="AO45" s="34">
        <f>IF($A45="","",IF(AND(AJ45=0,AK45&gt;0),"무예산",IF(AJ45=0,"-",IF(AK45&gt;AJ45,"한도 초과",IF(AN45&gt;설정!$C$12,"초과 예상",IF(AN45&gt;설정!$C$11,"주의","여유"))))))</f>
        <v/>
      </c>
      <c r="AP45" s="35">
        <f>IF($A45="","",IF(설정!$C$19="최근월",(INDEX(월별집계!$AB45:$AM45,설정!$C$7)-INDEX(월별집계!$AB45:$AM45,MAX(1,설정!$C$7-1))*(설정!$C$7&gt;1)),IF(설정!$C$19="최근분기",((INDEX(월별집계!$AB45:$AM45,설정!$C$7)-INDEX(월별집계!$AB45:$AM45,MAX(1,설정!$C$7-3))*(설정!$C$7&gt;3))/MIN(3,설정!$C$7)),IF(설정!$C$19="전년추세",AZ45,((설정!$C$7+1)*SUMPRODUCT(월별집계!$AB$5:$AM$5,월별집계!$AB45:$AM45)-(설정!$C$7*(설정!$C$7+1)/2)*SUM(월별집계!$AB45:$AM45))/((설정!$C$7+1)*(설정!$C$7*(설정!$C$7+1)*(2*설정!$C$7+1)/6)-(설정!$C$7*(설정!$C$7+1)/2)^2)))))</f>
        <v/>
      </c>
      <c r="AQ45" s="35">
        <f>IF($A45="","",IF(설정!$C$19="연내누적",(SUM(월별집계!$AB45:$AM45)-AP45*(설정!$C$7*(설정!$C$7+1)/2))/(설정!$C$7+1),INDEX(월별집계!$AB45:$AM45,설정!$C$7)-AP45*설정!$C$7))</f>
        <v/>
      </c>
      <c r="AR45" s="40">
        <f>IF($A45="","",AQ45+AP45*12)</f>
        <v/>
      </c>
      <c r="AS45" s="82">
        <f>IF($A45="","",IF(OR(P45&lt;=0,Q45&gt;=P45,AP45&lt;=0),"",MAX(설정!$C$7,(P45-AQ45)/AP45)))</f>
        <v/>
      </c>
      <c r="AT45" s="22">
        <f>IF($A45="","",IF(AS45="",IF(AU45="이미 소진","소진됨",""),YEAR((DATE(설정!$C$6,1,1)+ROUND(AS45*365/12,0)-1))&amp;"-"&amp;TEXT(MONTH((DATE(설정!$C$6,1,1)+ROUND(AS45*365/12,0)-1)),"00")&amp;"-"&amp;TEXT(DAY((DATE(설정!$C$6,1,1)+ROUND(AS45*365/12,0)-1)),"00")))</f>
        <v/>
      </c>
      <c r="AU45" s="34">
        <f>IF($A45="","",IF(AND(P45&lt;=0,Q45&gt;0),"무예산",IF(P45&lt;=0,"-",IF(Q45&gt;=P45,"이미 소진",IF(AP45&lt;=0,"소진 안 됨",IF(AS45&lt;=12,"연내 고갈","연내 여유"))))))</f>
        <v/>
      </c>
      <c r="AV45" s="34">
        <f>IF($A45="","",IF(AJ45&lt;=0,"",IF(AK45&gt;=AJ45,"한도 소진",IF(AK45&lt;=0,"",IF(AJ45/(AK45/(설정!$C$20-설정!$C$22+1))&gt;3,"분기 내 여유",YEAR((DATE(설정!$C$6,설정!$C$22-설정!$C$6*12,1)+ROUND(MAX((설정!$C$20-설정!$C$22+1),AJ45/(AK45/(설정!$C$20-설정!$C$22+1)))*365/12,0)-1))&amp;"-"&amp;TEXT(MONTH((DATE(설정!$C$6,설정!$C$22-설정!$C$6*12,1)+ROUND(MAX((설정!$C$20-설정!$C$22+1),AJ45/(AK45/(설정!$C$20-설정!$C$22+1)))*365/12,0)-1)),"00")&amp;"-"&amp;TEXT(DAY((DATE(설정!$C$6,설정!$C$22-설정!$C$6*12,1)+ROUND(MAX((설정!$C$20-설정!$C$22+1),AJ45/(AK45/(설정!$C$20-설정!$C$22+1)))*365/12,0)-1)),"00"))))))</f>
        <v/>
      </c>
      <c r="AW45" s="41">
        <f>IF($A45="",999+ROW()/1000000,IF(AU45="이미 소진",ROW()/1000000,IF(AU45="연내 고갈",AS45+ROW()/1000000,99+ROW()/1000000)))</f>
        <v/>
      </c>
      <c r="AX45" s="35">
        <f>IF($A45="","",SUMIFS(월별집계!$C45:$Z45,월별집계!$C$5:$Z$5,"&gt;="&amp;((설정!$C$6-1)*12+1),월별집계!$C$5:$Z$5,"&lt;="&amp;(설정!$C$20-12)))</f>
        <v/>
      </c>
      <c r="AY45" s="80">
        <f>IF($A45="","",IF(AX45&lt;=0,IF(Q45&gt;0,1,0),Q45/AX45-1))</f>
        <v/>
      </c>
      <c r="AZ45" s="35">
        <f>IF($A45="","",SUMIFS(월별집계!$C45:$Z45,월별집계!$C$5:$Z$5,"&gt;"&amp;(설정!$C$20-12),월별집계!$C$5:$Z$5,"&lt;="&amp;((설정!$C$6-1)*12+12))/MAX(1,12-설정!$C$7))</f>
        <v/>
      </c>
    </row>
    <row r="46">
      <c r="A46" s="12" t="inlineStr">
        <is>
          <t>D500</t>
        </is>
      </c>
      <c r="B46" s="26">
        <f>IF($A46="","",IFERROR(INDEX(부서매핑!$D$5:$D$504,MATCH($A46,부서매핑!$C$5:$C$504,0)),"부서매핑 없음"))</f>
        <v/>
      </c>
      <c r="C46" s="79" t="inlineStr">
        <is>
          <t>62701000</t>
        </is>
      </c>
      <c r="D46" s="26">
        <f>IF($A46="","",IFERROR(INDEX(계정매핑!$B$5:$B$504,MATCH($C46&amp;"",계정매핑!$A$5:$A$504,0)),"계정매핑 없음"))</f>
        <v/>
      </c>
      <c r="E46" s="22">
        <f>IF($A46="","",$A46&amp;"|"&amp;$C46)</f>
        <v/>
      </c>
      <c r="F46" s="35">
        <f>IF($A46="","",월별집계!$Z46)</f>
        <v/>
      </c>
      <c r="G46" s="35">
        <f>IF($A46="","",월별집계!$Y46)</f>
        <v/>
      </c>
      <c r="H46" s="80">
        <f>IF($A46="","",IF(G46&lt;=0,IF(F46&gt;0,1,0),F46/G46-1))</f>
        <v/>
      </c>
      <c r="I46" s="35">
        <f>IF($A46="","",월별집계!$N46)</f>
        <v/>
      </c>
      <c r="J46" s="80">
        <f>IF($A46="","",IF(I46&lt;=0,IF(F46&gt;0,1,0),F46/I46-1))</f>
        <v/>
      </c>
      <c r="K46" s="35">
        <f>IF($A46="","",SUMIFS(월별집계!$C46:$Z46,월별집계!$C$5:$Z$5,"&gt;="&amp;설정!$C$22,월별집계!$C$5:$Z$5,"&lt;="&amp;설정!$C$20))</f>
        <v/>
      </c>
      <c r="L46" s="35">
        <f>IF($A46="","",SUMIFS(월별집계!$C46:$Z46,월별집계!$C$5:$Z$5,"&gt;="&amp;(설정!$C$22-3),월별집계!$C$5:$Z$5,"&lt;="&amp;(설정!$C$20-3)))</f>
        <v/>
      </c>
      <c r="M46" s="80">
        <f>IF($A46="","",IF(L46&lt;=0,IF(K46&gt;0,1,0),K46/L46-1))</f>
        <v/>
      </c>
      <c r="N46" s="40">
        <f>IF($A46="","",MAX(F46-G46,F46-I46))</f>
        <v/>
      </c>
      <c r="O46" s="62">
        <f>IF($A46="","",IFERROR((월별집계!$Z46-AVERAGE(월별집계!N46:Y46))/STDEV(월별집계!N46:Y46),0))</f>
        <v/>
      </c>
      <c r="P46" s="35">
        <f>IF($A46="","",SUMIFS(예산판_원본!$O$5:$O$5000,예산판_원본!$L$5:$L$5000,$E46,예산판_원본!$M$5:$M$5000,설정!$C$6))</f>
        <v/>
      </c>
      <c r="Q46" s="35">
        <f>IF($A46="","",SUMIFS(월별집계!$C46:$Z46,월별집계!$C$5:$Z$5,"&gt;="&amp;(설정!$C$6*12+1),월별집계!$C$5:$Z$5,"&lt;="&amp;설정!$C$20))</f>
        <v/>
      </c>
      <c r="R46" s="40">
        <f>IF($A46="","",P46-Q46)</f>
        <v/>
      </c>
      <c r="S46" s="35">
        <f>IF($A46="","",AVERAGE(월별집계!X46:Z46)*(12-설정!$C$7))</f>
        <v/>
      </c>
      <c r="T46" s="35">
        <f>IF($A46="","",IFERROR(Q46/(SUMIFS(월별집계!$C46:$Z46,월별집계!$C$5:$Z$5,"&gt;="&amp;((설정!$C$6-1)*12+1),월별집계!$C$5:$Z$5,"&lt;="&amp;(설정!$C$20-12))/SUMIFS(월별집계!$C46:$Z46,월별집계!$C$5:$Z$5,"&gt;="&amp;((설정!$C$6-1)*12+1),월별집계!$C$5:$Z$5,"&lt;="&amp;((설정!$C$6-1)*12+12)))-Q46,S46))</f>
        <v/>
      </c>
      <c r="U46" s="40">
        <f>IF($A46="","",Q46+MAX(S46,T46))</f>
        <v/>
      </c>
      <c r="V46" s="73">
        <f>IF($A46="","",IF(P46=0,0,U46/P46))</f>
        <v/>
      </c>
      <c r="W46" s="34">
        <f>IF($A46="","",IF(AND(P46=0,Q46&gt;0),"무예산",IF(P46=0,"-",IF(V46&gt;설정!$C$12,"부족 예상",IF(V46&gt;설정!$C$11,"주의","여유")))))</f>
        <v/>
      </c>
      <c r="X46" s="40">
        <f>IF($A46="","",IF(P46=0,0,MAX(0,U46-P46)))</f>
        <v/>
      </c>
      <c r="Y46" s="34">
        <f>IF($A46="","",IF(OR(W46&lt;&gt;"부족 예상",설정!$C$7=12),"",IF(R46&lt;=0,"이미 초과",MIN(12,설정!$C$7+ROUNDUP(R46/(MAX(S46,T46)/(12-설정!$C$7)),0))&amp;"월")))</f>
        <v/>
      </c>
      <c r="Z46" s="26">
        <f>IF($A46="","",TRIM(IF(AND(N(AC46)&gt;=설정!$C$14,N46&gt;=설정!$C$10),"단건"&amp;TEXT(MIN(AC46,1),"0%")&amp;" ","")&amp;IF(AND(N46&gt;0,AD46&gt;0),IF(AD46/N46&gt;=설정!$C$16,"SA대체 ",""),"")&amp;IF(AE46&gt;0,"역분개"&amp;AE46&amp;"건 ","")&amp;IF(O46&gt;=설정!$C$13,"이상치 ","")&amp;IF(AND(I46=0,F46&gt;0),"신규지출 ","")))</f>
        <v/>
      </c>
      <c r="AA46" s="62">
        <f>IF($A46="","",ROUND((AF46+AG46+AH46+AI46)*IF(AND(F46&lt;설정!$C$10,N46&lt;설정!$C$10),0.3,1),1))</f>
        <v/>
      </c>
      <c r="AB46" s="41">
        <f>IF($A46="","",AA46+ROW()/1000000)</f>
        <v/>
      </c>
      <c r="AC46" s="60">
        <f>IF(OR($A46="",N46&lt;=0),"",SUMPRODUCT(MAX((전표_원본!$O$5:$O$100000=$E46)*(전표_원본!$M$5:$M$100000=설정!$C$20)*전표_원본!$P$5:$P$100000))/N46)</f>
        <v/>
      </c>
      <c r="AD46" s="35">
        <f>IF($A46="","",SUMIFS(전표_원본!$P$5:$P$100000,전표_원본!$O$5:$O$100000,$E46,전표_원본!$M$5:$M$100000,설정!$C$20,전표_원본!$E$5:$E$100000,"SA")-SUMIFS(전표_원본!$P$5:$P$100000,전표_원본!$O$5:$O$100000,$E46,전표_원본!$M$5:$M$100000,설정!$C$20-1,전표_원본!$E$5:$E$100000,"SA"))</f>
        <v/>
      </c>
      <c r="AE46" s="81">
        <f>IF($A46="","",COUNTIFS(전표_원본!$O$5:$O$100000,$E46,전표_원본!$M$5:$M$100000,설정!$C$20,전표_원본!$P$5:$P$100000,"&lt;0"))</f>
        <v/>
      </c>
      <c r="AF46" s="62">
        <f>IF($A46="","",MIN(MAX(0,N46)/(설정!$C$10*5),1)*30)</f>
        <v/>
      </c>
      <c r="AG46" s="82">
        <f>IF($A46="","",MIN(MAX(0,H46,J46),1)*20)</f>
        <v/>
      </c>
      <c r="AH46" s="82">
        <f>IF($A46="","",MIN(MAX(0,O46)/3,1)*25)</f>
        <v/>
      </c>
      <c r="AI46" s="82">
        <f>IF($A46="","",IF(OR(W46="부족 예상",W46="무예산",AO46="한도 초과",AO46="초과 예상",AO46="무예산"),25,IF(OR(W46="주의",AO46="주의"),15,0)))</f>
        <v/>
      </c>
      <c r="AJ46" s="35">
        <f>IF($A46="","",SUMIFS(예산판_원본!$O$5:$O$5000,예산판_원본!$L$5:$L$5000,$E46,예산판_원본!$M$5:$M$5000,설정!$C$6,예산판_원본!$N$5:$N$5000,설정!$C$21))</f>
        <v/>
      </c>
      <c r="AK46" s="40">
        <f>IF($A46="","",K46)</f>
        <v/>
      </c>
      <c r="AL46" s="40">
        <f>IF($A46="","",AJ46-AK46)</f>
        <v/>
      </c>
      <c r="AM46" s="35">
        <f>IF($A46="","",AK46+AVERAGE(월별집계!X46:Z46)*MAX(0,설정!$C$22+2-설정!$C$20))</f>
        <v/>
      </c>
      <c r="AN46" s="73">
        <f>IF($A46="","",IF(AJ46=0,0,AM46/AJ46))</f>
        <v/>
      </c>
      <c r="AO46" s="34">
        <f>IF($A46="","",IF(AND(AJ46=0,AK46&gt;0),"무예산",IF(AJ46=0,"-",IF(AK46&gt;AJ46,"한도 초과",IF(AN46&gt;설정!$C$12,"초과 예상",IF(AN46&gt;설정!$C$11,"주의","여유"))))))</f>
        <v/>
      </c>
      <c r="AP46" s="35">
        <f>IF($A46="","",IF(설정!$C$19="최근월",(INDEX(월별집계!$AB46:$AM46,설정!$C$7)-INDEX(월별집계!$AB46:$AM46,MAX(1,설정!$C$7-1))*(설정!$C$7&gt;1)),IF(설정!$C$19="최근분기",((INDEX(월별집계!$AB46:$AM46,설정!$C$7)-INDEX(월별집계!$AB46:$AM46,MAX(1,설정!$C$7-3))*(설정!$C$7&gt;3))/MIN(3,설정!$C$7)),IF(설정!$C$19="전년추세",AZ46,((설정!$C$7+1)*SUMPRODUCT(월별집계!$AB$5:$AM$5,월별집계!$AB46:$AM46)-(설정!$C$7*(설정!$C$7+1)/2)*SUM(월별집계!$AB46:$AM46))/((설정!$C$7+1)*(설정!$C$7*(설정!$C$7+1)*(2*설정!$C$7+1)/6)-(설정!$C$7*(설정!$C$7+1)/2)^2)))))</f>
        <v/>
      </c>
      <c r="AQ46" s="35">
        <f>IF($A46="","",IF(설정!$C$19="연내누적",(SUM(월별집계!$AB46:$AM46)-AP46*(설정!$C$7*(설정!$C$7+1)/2))/(설정!$C$7+1),INDEX(월별집계!$AB46:$AM46,설정!$C$7)-AP46*설정!$C$7))</f>
        <v/>
      </c>
      <c r="AR46" s="40">
        <f>IF($A46="","",AQ46+AP46*12)</f>
        <v/>
      </c>
      <c r="AS46" s="82">
        <f>IF($A46="","",IF(OR(P46&lt;=0,Q46&gt;=P46,AP46&lt;=0),"",MAX(설정!$C$7,(P46-AQ46)/AP46)))</f>
        <v/>
      </c>
      <c r="AT46" s="22">
        <f>IF($A46="","",IF(AS46="",IF(AU46="이미 소진","소진됨",""),YEAR((DATE(설정!$C$6,1,1)+ROUND(AS46*365/12,0)-1))&amp;"-"&amp;TEXT(MONTH((DATE(설정!$C$6,1,1)+ROUND(AS46*365/12,0)-1)),"00")&amp;"-"&amp;TEXT(DAY((DATE(설정!$C$6,1,1)+ROUND(AS46*365/12,0)-1)),"00")))</f>
        <v/>
      </c>
      <c r="AU46" s="34">
        <f>IF($A46="","",IF(AND(P46&lt;=0,Q46&gt;0),"무예산",IF(P46&lt;=0,"-",IF(Q46&gt;=P46,"이미 소진",IF(AP46&lt;=0,"소진 안 됨",IF(AS46&lt;=12,"연내 고갈","연내 여유"))))))</f>
        <v/>
      </c>
      <c r="AV46" s="34">
        <f>IF($A46="","",IF(AJ46&lt;=0,"",IF(AK46&gt;=AJ46,"한도 소진",IF(AK46&lt;=0,"",IF(AJ46/(AK46/(설정!$C$20-설정!$C$22+1))&gt;3,"분기 내 여유",YEAR((DATE(설정!$C$6,설정!$C$22-설정!$C$6*12,1)+ROUND(MAX((설정!$C$20-설정!$C$22+1),AJ46/(AK46/(설정!$C$20-설정!$C$22+1)))*365/12,0)-1))&amp;"-"&amp;TEXT(MONTH((DATE(설정!$C$6,설정!$C$22-설정!$C$6*12,1)+ROUND(MAX((설정!$C$20-설정!$C$22+1),AJ46/(AK46/(설정!$C$20-설정!$C$22+1)))*365/12,0)-1)),"00")&amp;"-"&amp;TEXT(DAY((DATE(설정!$C$6,설정!$C$22-설정!$C$6*12,1)+ROUND(MAX((설정!$C$20-설정!$C$22+1),AJ46/(AK46/(설정!$C$20-설정!$C$22+1)))*365/12,0)-1)),"00"))))))</f>
        <v/>
      </c>
      <c r="AW46" s="41">
        <f>IF($A46="",999+ROW()/1000000,IF(AU46="이미 소진",ROW()/1000000,IF(AU46="연내 고갈",AS46+ROW()/1000000,99+ROW()/1000000)))</f>
        <v/>
      </c>
      <c r="AX46" s="35">
        <f>IF($A46="","",SUMIFS(월별집계!$C46:$Z46,월별집계!$C$5:$Z$5,"&gt;="&amp;((설정!$C$6-1)*12+1),월별집계!$C$5:$Z$5,"&lt;="&amp;(설정!$C$20-12)))</f>
        <v/>
      </c>
      <c r="AY46" s="80">
        <f>IF($A46="","",IF(AX46&lt;=0,IF(Q46&gt;0,1,0),Q46/AX46-1))</f>
        <v/>
      </c>
      <c r="AZ46" s="35">
        <f>IF($A46="","",SUMIFS(월별집계!$C46:$Z46,월별집계!$C$5:$Z$5,"&gt;"&amp;(설정!$C$20-12),월별집계!$C$5:$Z$5,"&lt;="&amp;((설정!$C$6-1)*12+12))/MAX(1,12-설정!$C$7))</f>
        <v/>
      </c>
    </row>
    <row r="47">
      <c r="A47" s="12" t="inlineStr">
        <is>
          <t>D600</t>
        </is>
      </c>
      <c r="B47" s="26">
        <f>IF($A47="","",IFERROR(INDEX(부서매핑!$D$5:$D$504,MATCH($A47,부서매핑!$C$5:$C$504,0)),"부서매핑 없음"))</f>
        <v/>
      </c>
      <c r="C47" s="79" t="inlineStr">
        <is>
          <t>62101000</t>
        </is>
      </c>
      <c r="D47" s="26">
        <f>IF($A47="","",IFERROR(INDEX(계정매핑!$B$5:$B$504,MATCH($C47&amp;"",계정매핑!$A$5:$A$504,0)),"계정매핑 없음"))</f>
        <v/>
      </c>
      <c r="E47" s="22">
        <f>IF($A47="","",$A47&amp;"|"&amp;$C47)</f>
        <v/>
      </c>
      <c r="F47" s="35">
        <f>IF($A47="","",월별집계!$Z47)</f>
        <v/>
      </c>
      <c r="G47" s="35">
        <f>IF($A47="","",월별집계!$Y47)</f>
        <v/>
      </c>
      <c r="H47" s="80">
        <f>IF($A47="","",IF(G47&lt;=0,IF(F47&gt;0,1,0),F47/G47-1))</f>
        <v/>
      </c>
      <c r="I47" s="35">
        <f>IF($A47="","",월별집계!$N47)</f>
        <v/>
      </c>
      <c r="J47" s="80">
        <f>IF($A47="","",IF(I47&lt;=0,IF(F47&gt;0,1,0),F47/I47-1))</f>
        <v/>
      </c>
      <c r="K47" s="35">
        <f>IF($A47="","",SUMIFS(월별집계!$C47:$Z47,월별집계!$C$5:$Z$5,"&gt;="&amp;설정!$C$22,월별집계!$C$5:$Z$5,"&lt;="&amp;설정!$C$20))</f>
        <v/>
      </c>
      <c r="L47" s="35">
        <f>IF($A47="","",SUMIFS(월별집계!$C47:$Z47,월별집계!$C$5:$Z$5,"&gt;="&amp;(설정!$C$22-3),월별집계!$C$5:$Z$5,"&lt;="&amp;(설정!$C$20-3)))</f>
        <v/>
      </c>
      <c r="M47" s="80">
        <f>IF($A47="","",IF(L47&lt;=0,IF(K47&gt;0,1,0),K47/L47-1))</f>
        <v/>
      </c>
      <c r="N47" s="40">
        <f>IF($A47="","",MAX(F47-G47,F47-I47))</f>
        <v/>
      </c>
      <c r="O47" s="62">
        <f>IF($A47="","",IFERROR((월별집계!$Z47-AVERAGE(월별집계!N47:Y47))/STDEV(월별집계!N47:Y47),0))</f>
        <v/>
      </c>
      <c r="P47" s="35">
        <f>IF($A47="","",SUMIFS(예산판_원본!$O$5:$O$5000,예산판_원본!$L$5:$L$5000,$E47,예산판_원본!$M$5:$M$5000,설정!$C$6))</f>
        <v/>
      </c>
      <c r="Q47" s="35">
        <f>IF($A47="","",SUMIFS(월별집계!$C47:$Z47,월별집계!$C$5:$Z$5,"&gt;="&amp;(설정!$C$6*12+1),월별집계!$C$5:$Z$5,"&lt;="&amp;설정!$C$20))</f>
        <v/>
      </c>
      <c r="R47" s="40">
        <f>IF($A47="","",P47-Q47)</f>
        <v/>
      </c>
      <c r="S47" s="35">
        <f>IF($A47="","",AVERAGE(월별집계!X47:Z47)*(12-설정!$C$7))</f>
        <v/>
      </c>
      <c r="T47" s="35">
        <f>IF($A47="","",IFERROR(Q47/(SUMIFS(월별집계!$C47:$Z47,월별집계!$C$5:$Z$5,"&gt;="&amp;((설정!$C$6-1)*12+1),월별집계!$C$5:$Z$5,"&lt;="&amp;(설정!$C$20-12))/SUMIFS(월별집계!$C47:$Z47,월별집계!$C$5:$Z$5,"&gt;="&amp;((설정!$C$6-1)*12+1),월별집계!$C$5:$Z$5,"&lt;="&amp;((설정!$C$6-1)*12+12)))-Q47,S47))</f>
        <v/>
      </c>
      <c r="U47" s="40">
        <f>IF($A47="","",Q47+MAX(S47,T47))</f>
        <v/>
      </c>
      <c r="V47" s="73">
        <f>IF($A47="","",IF(P47=0,0,U47/P47))</f>
        <v/>
      </c>
      <c r="W47" s="34">
        <f>IF($A47="","",IF(AND(P47=0,Q47&gt;0),"무예산",IF(P47=0,"-",IF(V47&gt;설정!$C$12,"부족 예상",IF(V47&gt;설정!$C$11,"주의","여유")))))</f>
        <v/>
      </c>
      <c r="X47" s="40">
        <f>IF($A47="","",IF(P47=0,0,MAX(0,U47-P47)))</f>
        <v/>
      </c>
      <c r="Y47" s="34">
        <f>IF($A47="","",IF(OR(W47&lt;&gt;"부족 예상",설정!$C$7=12),"",IF(R47&lt;=0,"이미 초과",MIN(12,설정!$C$7+ROUNDUP(R47/(MAX(S47,T47)/(12-설정!$C$7)),0))&amp;"월")))</f>
        <v/>
      </c>
      <c r="Z47" s="26">
        <f>IF($A47="","",TRIM(IF(AND(N(AC47)&gt;=설정!$C$14,N47&gt;=설정!$C$10),"단건"&amp;TEXT(MIN(AC47,1),"0%")&amp;" ","")&amp;IF(AND(N47&gt;0,AD47&gt;0),IF(AD47/N47&gt;=설정!$C$16,"SA대체 ",""),"")&amp;IF(AE47&gt;0,"역분개"&amp;AE47&amp;"건 ","")&amp;IF(O47&gt;=설정!$C$13,"이상치 ","")&amp;IF(AND(I47=0,F47&gt;0),"신규지출 ","")))</f>
        <v/>
      </c>
      <c r="AA47" s="62">
        <f>IF($A47="","",ROUND((AF47+AG47+AH47+AI47)*IF(AND(F47&lt;설정!$C$10,N47&lt;설정!$C$10),0.3,1),1))</f>
        <v/>
      </c>
      <c r="AB47" s="41">
        <f>IF($A47="","",AA47+ROW()/1000000)</f>
        <v/>
      </c>
      <c r="AC47" s="60">
        <f>IF(OR($A47="",N47&lt;=0),"",SUMPRODUCT(MAX((전표_원본!$O$5:$O$100000=$E47)*(전표_원본!$M$5:$M$100000=설정!$C$20)*전표_원본!$P$5:$P$100000))/N47)</f>
        <v/>
      </c>
      <c r="AD47" s="35">
        <f>IF($A47="","",SUMIFS(전표_원본!$P$5:$P$100000,전표_원본!$O$5:$O$100000,$E47,전표_원본!$M$5:$M$100000,설정!$C$20,전표_원본!$E$5:$E$100000,"SA")-SUMIFS(전표_원본!$P$5:$P$100000,전표_원본!$O$5:$O$100000,$E47,전표_원본!$M$5:$M$100000,설정!$C$20-1,전표_원본!$E$5:$E$100000,"SA"))</f>
        <v/>
      </c>
      <c r="AE47" s="81">
        <f>IF($A47="","",COUNTIFS(전표_원본!$O$5:$O$100000,$E47,전표_원본!$M$5:$M$100000,설정!$C$20,전표_원본!$P$5:$P$100000,"&lt;0"))</f>
        <v/>
      </c>
      <c r="AF47" s="62">
        <f>IF($A47="","",MIN(MAX(0,N47)/(설정!$C$10*5),1)*30)</f>
        <v/>
      </c>
      <c r="AG47" s="82">
        <f>IF($A47="","",MIN(MAX(0,H47,J47),1)*20)</f>
        <v/>
      </c>
      <c r="AH47" s="82">
        <f>IF($A47="","",MIN(MAX(0,O47)/3,1)*25)</f>
        <v/>
      </c>
      <c r="AI47" s="82">
        <f>IF($A47="","",IF(OR(W47="부족 예상",W47="무예산",AO47="한도 초과",AO47="초과 예상",AO47="무예산"),25,IF(OR(W47="주의",AO47="주의"),15,0)))</f>
        <v/>
      </c>
      <c r="AJ47" s="35">
        <f>IF($A47="","",SUMIFS(예산판_원본!$O$5:$O$5000,예산판_원본!$L$5:$L$5000,$E47,예산판_원본!$M$5:$M$5000,설정!$C$6,예산판_원본!$N$5:$N$5000,설정!$C$21))</f>
        <v/>
      </c>
      <c r="AK47" s="40">
        <f>IF($A47="","",K47)</f>
        <v/>
      </c>
      <c r="AL47" s="40">
        <f>IF($A47="","",AJ47-AK47)</f>
        <v/>
      </c>
      <c r="AM47" s="35">
        <f>IF($A47="","",AK47+AVERAGE(월별집계!X47:Z47)*MAX(0,설정!$C$22+2-설정!$C$20))</f>
        <v/>
      </c>
      <c r="AN47" s="73">
        <f>IF($A47="","",IF(AJ47=0,0,AM47/AJ47))</f>
        <v/>
      </c>
      <c r="AO47" s="34">
        <f>IF($A47="","",IF(AND(AJ47=0,AK47&gt;0),"무예산",IF(AJ47=0,"-",IF(AK47&gt;AJ47,"한도 초과",IF(AN47&gt;설정!$C$12,"초과 예상",IF(AN47&gt;설정!$C$11,"주의","여유"))))))</f>
        <v/>
      </c>
      <c r="AP47" s="35">
        <f>IF($A47="","",IF(설정!$C$19="최근월",(INDEX(월별집계!$AB47:$AM47,설정!$C$7)-INDEX(월별집계!$AB47:$AM47,MAX(1,설정!$C$7-1))*(설정!$C$7&gt;1)),IF(설정!$C$19="최근분기",((INDEX(월별집계!$AB47:$AM47,설정!$C$7)-INDEX(월별집계!$AB47:$AM47,MAX(1,설정!$C$7-3))*(설정!$C$7&gt;3))/MIN(3,설정!$C$7)),IF(설정!$C$19="전년추세",AZ47,((설정!$C$7+1)*SUMPRODUCT(월별집계!$AB$5:$AM$5,월별집계!$AB47:$AM47)-(설정!$C$7*(설정!$C$7+1)/2)*SUM(월별집계!$AB47:$AM47))/((설정!$C$7+1)*(설정!$C$7*(설정!$C$7+1)*(2*설정!$C$7+1)/6)-(설정!$C$7*(설정!$C$7+1)/2)^2)))))</f>
        <v/>
      </c>
      <c r="AQ47" s="35">
        <f>IF($A47="","",IF(설정!$C$19="연내누적",(SUM(월별집계!$AB47:$AM47)-AP47*(설정!$C$7*(설정!$C$7+1)/2))/(설정!$C$7+1),INDEX(월별집계!$AB47:$AM47,설정!$C$7)-AP47*설정!$C$7))</f>
        <v/>
      </c>
      <c r="AR47" s="40">
        <f>IF($A47="","",AQ47+AP47*12)</f>
        <v/>
      </c>
      <c r="AS47" s="82">
        <f>IF($A47="","",IF(OR(P47&lt;=0,Q47&gt;=P47,AP47&lt;=0),"",MAX(설정!$C$7,(P47-AQ47)/AP47)))</f>
        <v/>
      </c>
      <c r="AT47" s="22">
        <f>IF($A47="","",IF(AS47="",IF(AU47="이미 소진","소진됨",""),YEAR((DATE(설정!$C$6,1,1)+ROUND(AS47*365/12,0)-1))&amp;"-"&amp;TEXT(MONTH((DATE(설정!$C$6,1,1)+ROUND(AS47*365/12,0)-1)),"00")&amp;"-"&amp;TEXT(DAY((DATE(설정!$C$6,1,1)+ROUND(AS47*365/12,0)-1)),"00")))</f>
        <v/>
      </c>
      <c r="AU47" s="34">
        <f>IF($A47="","",IF(AND(P47&lt;=0,Q47&gt;0),"무예산",IF(P47&lt;=0,"-",IF(Q47&gt;=P47,"이미 소진",IF(AP47&lt;=0,"소진 안 됨",IF(AS47&lt;=12,"연내 고갈","연내 여유"))))))</f>
        <v/>
      </c>
      <c r="AV47" s="34">
        <f>IF($A47="","",IF(AJ47&lt;=0,"",IF(AK47&gt;=AJ47,"한도 소진",IF(AK47&lt;=0,"",IF(AJ47/(AK47/(설정!$C$20-설정!$C$22+1))&gt;3,"분기 내 여유",YEAR((DATE(설정!$C$6,설정!$C$22-설정!$C$6*12,1)+ROUND(MAX((설정!$C$20-설정!$C$22+1),AJ47/(AK47/(설정!$C$20-설정!$C$22+1)))*365/12,0)-1))&amp;"-"&amp;TEXT(MONTH((DATE(설정!$C$6,설정!$C$22-설정!$C$6*12,1)+ROUND(MAX((설정!$C$20-설정!$C$22+1),AJ47/(AK47/(설정!$C$20-설정!$C$22+1)))*365/12,0)-1)),"00")&amp;"-"&amp;TEXT(DAY((DATE(설정!$C$6,설정!$C$22-설정!$C$6*12,1)+ROUND(MAX((설정!$C$20-설정!$C$22+1),AJ47/(AK47/(설정!$C$20-설정!$C$22+1)))*365/12,0)-1)),"00"))))))</f>
        <v/>
      </c>
      <c r="AW47" s="41">
        <f>IF($A47="",999+ROW()/1000000,IF(AU47="이미 소진",ROW()/1000000,IF(AU47="연내 고갈",AS47+ROW()/1000000,99+ROW()/1000000)))</f>
        <v/>
      </c>
      <c r="AX47" s="35">
        <f>IF($A47="","",SUMIFS(월별집계!$C47:$Z47,월별집계!$C$5:$Z$5,"&gt;="&amp;((설정!$C$6-1)*12+1),월별집계!$C$5:$Z$5,"&lt;="&amp;(설정!$C$20-12)))</f>
        <v/>
      </c>
      <c r="AY47" s="80">
        <f>IF($A47="","",IF(AX47&lt;=0,IF(Q47&gt;0,1,0),Q47/AX47-1))</f>
        <v/>
      </c>
      <c r="AZ47" s="35">
        <f>IF($A47="","",SUMIFS(월별집계!$C47:$Z47,월별집계!$C$5:$Z$5,"&gt;"&amp;(설정!$C$20-12),월별집계!$C$5:$Z$5,"&lt;="&amp;((설정!$C$6-1)*12+12))/MAX(1,12-설정!$C$7))</f>
        <v/>
      </c>
    </row>
    <row r="48">
      <c r="A48" s="12" t="inlineStr">
        <is>
          <t>D600</t>
        </is>
      </c>
      <c r="B48" s="26">
        <f>IF($A48="","",IFERROR(INDEX(부서매핑!$D$5:$D$504,MATCH($A48,부서매핑!$C$5:$C$504,0)),"부서매핑 없음"))</f>
        <v/>
      </c>
      <c r="C48" s="79" t="inlineStr">
        <is>
          <t>62102000</t>
        </is>
      </c>
      <c r="D48" s="26">
        <f>IF($A48="","",IFERROR(INDEX(계정매핑!$B$5:$B$504,MATCH($C48&amp;"",계정매핑!$A$5:$A$504,0)),"계정매핑 없음"))</f>
        <v/>
      </c>
      <c r="E48" s="22">
        <f>IF($A48="","",$A48&amp;"|"&amp;$C48)</f>
        <v/>
      </c>
      <c r="F48" s="35">
        <f>IF($A48="","",월별집계!$Z48)</f>
        <v/>
      </c>
      <c r="G48" s="35">
        <f>IF($A48="","",월별집계!$Y48)</f>
        <v/>
      </c>
      <c r="H48" s="80">
        <f>IF($A48="","",IF(G48&lt;=0,IF(F48&gt;0,1,0),F48/G48-1))</f>
        <v/>
      </c>
      <c r="I48" s="35">
        <f>IF($A48="","",월별집계!$N48)</f>
        <v/>
      </c>
      <c r="J48" s="80">
        <f>IF($A48="","",IF(I48&lt;=0,IF(F48&gt;0,1,0),F48/I48-1))</f>
        <v/>
      </c>
      <c r="K48" s="35">
        <f>IF($A48="","",SUMIFS(월별집계!$C48:$Z48,월별집계!$C$5:$Z$5,"&gt;="&amp;설정!$C$22,월별집계!$C$5:$Z$5,"&lt;="&amp;설정!$C$20))</f>
        <v/>
      </c>
      <c r="L48" s="35">
        <f>IF($A48="","",SUMIFS(월별집계!$C48:$Z48,월별집계!$C$5:$Z$5,"&gt;="&amp;(설정!$C$22-3),월별집계!$C$5:$Z$5,"&lt;="&amp;(설정!$C$20-3)))</f>
        <v/>
      </c>
      <c r="M48" s="80">
        <f>IF($A48="","",IF(L48&lt;=0,IF(K48&gt;0,1,0),K48/L48-1))</f>
        <v/>
      </c>
      <c r="N48" s="40">
        <f>IF($A48="","",MAX(F48-G48,F48-I48))</f>
        <v/>
      </c>
      <c r="O48" s="62">
        <f>IF($A48="","",IFERROR((월별집계!$Z48-AVERAGE(월별집계!N48:Y48))/STDEV(월별집계!N48:Y48),0))</f>
        <v/>
      </c>
      <c r="P48" s="35">
        <f>IF($A48="","",SUMIFS(예산판_원본!$O$5:$O$5000,예산판_원본!$L$5:$L$5000,$E48,예산판_원본!$M$5:$M$5000,설정!$C$6))</f>
        <v/>
      </c>
      <c r="Q48" s="35">
        <f>IF($A48="","",SUMIFS(월별집계!$C48:$Z48,월별집계!$C$5:$Z$5,"&gt;="&amp;(설정!$C$6*12+1),월별집계!$C$5:$Z$5,"&lt;="&amp;설정!$C$20))</f>
        <v/>
      </c>
      <c r="R48" s="40">
        <f>IF($A48="","",P48-Q48)</f>
        <v/>
      </c>
      <c r="S48" s="35">
        <f>IF($A48="","",AVERAGE(월별집계!X48:Z48)*(12-설정!$C$7))</f>
        <v/>
      </c>
      <c r="T48" s="35">
        <f>IF($A48="","",IFERROR(Q48/(SUMIFS(월별집계!$C48:$Z48,월별집계!$C$5:$Z$5,"&gt;="&amp;((설정!$C$6-1)*12+1),월별집계!$C$5:$Z$5,"&lt;="&amp;(설정!$C$20-12))/SUMIFS(월별집계!$C48:$Z48,월별집계!$C$5:$Z$5,"&gt;="&amp;((설정!$C$6-1)*12+1),월별집계!$C$5:$Z$5,"&lt;="&amp;((설정!$C$6-1)*12+12)))-Q48,S48))</f>
        <v/>
      </c>
      <c r="U48" s="40">
        <f>IF($A48="","",Q48+MAX(S48,T48))</f>
        <v/>
      </c>
      <c r="V48" s="73">
        <f>IF($A48="","",IF(P48=0,0,U48/P48))</f>
        <v/>
      </c>
      <c r="W48" s="34">
        <f>IF($A48="","",IF(AND(P48=0,Q48&gt;0),"무예산",IF(P48=0,"-",IF(V48&gt;설정!$C$12,"부족 예상",IF(V48&gt;설정!$C$11,"주의","여유")))))</f>
        <v/>
      </c>
      <c r="X48" s="40">
        <f>IF($A48="","",IF(P48=0,0,MAX(0,U48-P48)))</f>
        <v/>
      </c>
      <c r="Y48" s="34">
        <f>IF($A48="","",IF(OR(W48&lt;&gt;"부족 예상",설정!$C$7=12),"",IF(R48&lt;=0,"이미 초과",MIN(12,설정!$C$7+ROUNDUP(R48/(MAX(S48,T48)/(12-설정!$C$7)),0))&amp;"월")))</f>
        <v/>
      </c>
      <c r="Z48" s="26">
        <f>IF($A48="","",TRIM(IF(AND(N(AC48)&gt;=설정!$C$14,N48&gt;=설정!$C$10),"단건"&amp;TEXT(MIN(AC48,1),"0%")&amp;" ","")&amp;IF(AND(N48&gt;0,AD48&gt;0),IF(AD48/N48&gt;=설정!$C$16,"SA대체 ",""),"")&amp;IF(AE48&gt;0,"역분개"&amp;AE48&amp;"건 ","")&amp;IF(O48&gt;=설정!$C$13,"이상치 ","")&amp;IF(AND(I48=0,F48&gt;0),"신규지출 ","")))</f>
        <v/>
      </c>
      <c r="AA48" s="62">
        <f>IF($A48="","",ROUND((AF48+AG48+AH48+AI48)*IF(AND(F48&lt;설정!$C$10,N48&lt;설정!$C$10),0.3,1),1))</f>
        <v/>
      </c>
      <c r="AB48" s="41">
        <f>IF($A48="","",AA48+ROW()/1000000)</f>
        <v/>
      </c>
      <c r="AC48" s="60">
        <f>IF(OR($A48="",N48&lt;=0),"",SUMPRODUCT(MAX((전표_원본!$O$5:$O$100000=$E48)*(전표_원본!$M$5:$M$100000=설정!$C$20)*전표_원본!$P$5:$P$100000))/N48)</f>
        <v/>
      </c>
      <c r="AD48" s="35">
        <f>IF($A48="","",SUMIFS(전표_원본!$P$5:$P$100000,전표_원본!$O$5:$O$100000,$E48,전표_원본!$M$5:$M$100000,설정!$C$20,전표_원본!$E$5:$E$100000,"SA")-SUMIFS(전표_원본!$P$5:$P$100000,전표_원본!$O$5:$O$100000,$E48,전표_원본!$M$5:$M$100000,설정!$C$20-1,전표_원본!$E$5:$E$100000,"SA"))</f>
        <v/>
      </c>
      <c r="AE48" s="81">
        <f>IF($A48="","",COUNTIFS(전표_원본!$O$5:$O$100000,$E48,전표_원본!$M$5:$M$100000,설정!$C$20,전표_원본!$P$5:$P$100000,"&lt;0"))</f>
        <v/>
      </c>
      <c r="AF48" s="62">
        <f>IF($A48="","",MIN(MAX(0,N48)/(설정!$C$10*5),1)*30)</f>
        <v/>
      </c>
      <c r="AG48" s="82">
        <f>IF($A48="","",MIN(MAX(0,H48,J48),1)*20)</f>
        <v/>
      </c>
      <c r="AH48" s="82">
        <f>IF($A48="","",MIN(MAX(0,O48)/3,1)*25)</f>
        <v/>
      </c>
      <c r="AI48" s="82">
        <f>IF($A48="","",IF(OR(W48="부족 예상",W48="무예산",AO48="한도 초과",AO48="초과 예상",AO48="무예산"),25,IF(OR(W48="주의",AO48="주의"),15,0)))</f>
        <v/>
      </c>
      <c r="AJ48" s="35">
        <f>IF($A48="","",SUMIFS(예산판_원본!$O$5:$O$5000,예산판_원본!$L$5:$L$5000,$E48,예산판_원본!$M$5:$M$5000,설정!$C$6,예산판_원본!$N$5:$N$5000,설정!$C$21))</f>
        <v/>
      </c>
      <c r="AK48" s="40">
        <f>IF($A48="","",K48)</f>
        <v/>
      </c>
      <c r="AL48" s="40">
        <f>IF($A48="","",AJ48-AK48)</f>
        <v/>
      </c>
      <c r="AM48" s="35">
        <f>IF($A48="","",AK48+AVERAGE(월별집계!X48:Z48)*MAX(0,설정!$C$22+2-설정!$C$20))</f>
        <v/>
      </c>
      <c r="AN48" s="73">
        <f>IF($A48="","",IF(AJ48=0,0,AM48/AJ48))</f>
        <v/>
      </c>
      <c r="AO48" s="34">
        <f>IF($A48="","",IF(AND(AJ48=0,AK48&gt;0),"무예산",IF(AJ48=0,"-",IF(AK48&gt;AJ48,"한도 초과",IF(AN48&gt;설정!$C$12,"초과 예상",IF(AN48&gt;설정!$C$11,"주의","여유"))))))</f>
        <v/>
      </c>
      <c r="AP48" s="35">
        <f>IF($A48="","",IF(설정!$C$19="최근월",(INDEX(월별집계!$AB48:$AM48,설정!$C$7)-INDEX(월별집계!$AB48:$AM48,MAX(1,설정!$C$7-1))*(설정!$C$7&gt;1)),IF(설정!$C$19="최근분기",((INDEX(월별집계!$AB48:$AM48,설정!$C$7)-INDEX(월별집계!$AB48:$AM48,MAX(1,설정!$C$7-3))*(설정!$C$7&gt;3))/MIN(3,설정!$C$7)),IF(설정!$C$19="전년추세",AZ48,((설정!$C$7+1)*SUMPRODUCT(월별집계!$AB$5:$AM$5,월별집계!$AB48:$AM48)-(설정!$C$7*(설정!$C$7+1)/2)*SUM(월별집계!$AB48:$AM48))/((설정!$C$7+1)*(설정!$C$7*(설정!$C$7+1)*(2*설정!$C$7+1)/6)-(설정!$C$7*(설정!$C$7+1)/2)^2)))))</f>
        <v/>
      </c>
      <c r="AQ48" s="35">
        <f>IF($A48="","",IF(설정!$C$19="연내누적",(SUM(월별집계!$AB48:$AM48)-AP48*(설정!$C$7*(설정!$C$7+1)/2))/(설정!$C$7+1),INDEX(월별집계!$AB48:$AM48,설정!$C$7)-AP48*설정!$C$7))</f>
        <v/>
      </c>
      <c r="AR48" s="40">
        <f>IF($A48="","",AQ48+AP48*12)</f>
        <v/>
      </c>
      <c r="AS48" s="82">
        <f>IF($A48="","",IF(OR(P48&lt;=0,Q48&gt;=P48,AP48&lt;=0),"",MAX(설정!$C$7,(P48-AQ48)/AP48)))</f>
        <v/>
      </c>
      <c r="AT48" s="22">
        <f>IF($A48="","",IF(AS48="",IF(AU48="이미 소진","소진됨",""),YEAR((DATE(설정!$C$6,1,1)+ROUND(AS48*365/12,0)-1))&amp;"-"&amp;TEXT(MONTH((DATE(설정!$C$6,1,1)+ROUND(AS48*365/12,0)-1)),"00")&amp;"-"&amp;TEXT(DAY((DATE(설정!$C$6,1,1)+ROUND(AS48*365/12,0)-1)),"00")))</f>
        <v/>
      </c>
      <c r="AU48" s="34">
        <f>IF($A48="","",IF(AND(P48&lt;=0,Q48&gt;0),"무예산",IF(P48&lt;=0,"-",IF(Q48&gt;=P48,"이미 소진",IF(AP48&lt;=0,"소진 안 됨",IF(AS48&lt;=12,"연내 고갈","연내 여유"))))))</f>
        <v/>
      </c>
      <c r="AV48" s="34">
        <f>IF($A48="","",IF(AJ48&lt;=0,"",IF(AK48&gt;=AJ48,"한도 소진",IF(AK48&lt;=0,"",IF(AJ48/(AK48/(설정!$C$20-설정!$C$22+1))&gt;3,"분기 내 여유",YEAR((DATE(설정!$C$6,설정!$C$22-설정!$C$6*12,1)+ROUND(MAX((설정!$C$20-설정!$C$22+1),AJ48/(AK48/(설정!$C$20-설정!$C$22+1)))*365/12,0)-1))&amp;"-"&amp;TEXT(MONTH((DATE(설정!$C$6,설정!$C$22-설정!$C$6*12,1)+ROUND(MAX((설정!$C$20-설정!$C$22+1),AJ48/(AK48/(설정!$C$20-설정!$C$22+1)))*365/12,0)-1)),"00")&amp;"-"&amp;TEXT(DAY((DATE(설정!$C$6,설정!$C$22-설정!$C$6*12,1)+ROUND(MAX((설정!$C$20-설정!$C$22+1),AJ48/(AK48/(설정!$C$20-설정!$C$22+1)))*365/12,0)-1)),"00"))))))</f>
        <v/>
      </c>
      <c r="AW48" s="41">
        <f>IF($A48="",999+ROW()/1000000,IF(AU48="이미 소진",ROW()/1000000,IF(AU48="연내 고갈",AS48+ROW()/1000000,99+ROW()/1000000)))</f>
        <v/>
      </c>
      <c r="AX48" s="35">
        <f>IF($A48="","",SUMIFS(월별집계!$C48:$Z48,월별집계!$C$5:$Z$5,"&gt;="&amp;((설정!$C$6-1)*12+1),월별집계!$C$5:$Z$5,"&lt;="&amp;(설정!$C$20-12)))</f>
        <v/>
      </c>
      <c r="AY48" s="80">
        <f>IF($A48="","",IF(AX48&lt;=0,IF(Q48&gt;0,1,0),Q48/AX48-1))</f>
        <v/>
      </c>
      <c r="AZ48" s="35">
        <f>IF($A48="","",SUMIFS(월별집계!$C48:$Z48,월별집계!$C$5:$Z$5,"&gt;"&amp;(설정!$C$20-12),월별집계!$C$5:$Z$5,"&lt;="&amp;((설정!$C$6-1)*12+12))/MAX(1,12-설정!$C$7))</f>
        <v/>
      </c>
    </row>
    <row r="49">
      <c r="A49" s="12" t="inlineStr">
        <is>
          <t>D600</t>
        </is>
      </c>
      <c r="B49" s="26">
        <f>IF($A49="","",IFERROR(INDEX(부서매핑!$D$5:$D$504,MATCH($A49,부서매핑!$C$5:$C$504,0)),"부서매핑 없음"))</f>
        <v/>
      </c>
      <c r="C49" s="79" t="inlineStr">
        <is>
          <t>62201000</t>
        </is>
      </c>
      <c r="D49" s="26">
        <f>IF($A49="","",IFERROR(INDEX(계정매핑!$B$5:$B$504,MATCH($C49&amp;"",계정매핑!$A$5:$A$504,0)),"계정매핑 없음"))</f>
        <v/>
      </c>
      <c r="E49" s="22">
        <f>IF($A49="","",$A49&amp;"|"&amp;$C49)</f>
        <v/>
      </c>
      <c r="F49" s="35">
        <f>IF($A49="","",월별집계!$Z49)</f>
        <v/>
      </c>
      <c r="G49" s="35">
        <f>IF($A49="","",월별집계!$Y49)</f>
        <v/>
      </c>
      <c r="H49" s="80">
        <f>IF($A49="","",IF(G49&lt;=0,IF(F49&gt;0,1,0),F49/G49-1))</f>
        <v/>
      </c>
      <c r="I49" s="35">
        <f>IF($A49="","",월별집계!$N49)</f>
        <v/>
      </c>
      <c r="J49" s="80">
        <f>IF($A49="","",IF(I49&lt;=0,IF(F49&gt;0,1,0),F49/I49-1))</f>
        <v/>
      </c>
      <c r="K49" s="35">
        <f>IF($A49="","",SUMIFS(월별집계!$C49:$Z49,월별집계!$C$5:$Z$5,"&gt;="&amp;설정!$C$22,월별집계!$C$5:$Z$5,"&lt;="&amp;설정!$C$20))</f>
        <v/>
      </c>
      <c r="L49" s="35">
        <f>IF($A49="","",SUMIFS(월별집계!$C49:$Z49,월별집계!$C$5:$Z$5,"&gt;="&amp;(설정!$C$22-3),월별집계!$C$5:$Z$5,"&lt;="&amp;(설정!$C$20-3)))</f>
        <v/>
      </c>
      <c r="M49" s="80">
        <f>IF($A49="","",IF(L49&lt;=0,IF(K49&gt;0,1,0),K49/L49-1))</f>
        <v/>
      </c>
      <c r="N49" s="40">
        <f>IF($A49="","",MAX(F49-G49,F49-I49))</f>
        <v/>
      </c>
      <c r="O49" s="62">
        <f>IF($A49="","",IFERROR((월별집계!$Z49-AVERAGE(월별집계!N49:Y49))/STDEV(월별집계!N49:Y49),0))</f>
        <v/>
      </c>
      <c r="P49" s="35">
        <f>IF($A49="","",SUMIFS(예산판_원본!$O$5:$O$5000,예산판_원본!$L$5:$L$5000,$E49,예산판_원본!$M$5:$M$5000,설정!$C$6))</f>
        <v/>
      </c>
      <c r="Q49" s="35">
        <f>IF($A49="","",SUMIFS(월별집계!$C49:$Z49,월별집계!$C$5:$Z$5,"&gt;="&amp;(설정!$C$6*12+1),월별집계!$C$5:$Z$5,"&lt;="&amp;설정!$C$20))</f>
        <v/>
      </c>
      <c r="R49" s="40">
        <f>IF($A49="","",P49-Q49)</f>
        <v/>
      </c>
      <c r="S49" s="35">
        <f>IF($A49="","",AVERAGE(월별집계!X49:Z49)*(12-설정!$C$7))</f>
        <v/>
      </c>
      <c r="T49" s="35">
        <f>IF($A49="","",IFERROR(Q49/(SUMIFS(월별집계!$C49:$Z49,월별집계!$C$5:$Z$5,"&gt;="&amp;((설정!$C$6-1)*12+1),월별집계!$C$5:$Z$5,"&lt;="&amp;(설정!$C$20-12))/SUMIFS(월별집계!$C49:$Z49,월별집계!$C$5:$Z$5,"&gt;="&amp;((설정!$C$6-1)*12+1),월별집계!$C$5:$Z$5,"&lt;="&amp;((설정!$C$6-1)*12+12)))-Q49,S49))</f>
        <v/>
      </c>
      <c r="U49" s="40">
        <f>IF($A49="","",Q49+MAX(S49,T49))</f>
        <v/>
      </c>
      <c r="V49" s="73">
        <f>IF($A49="","",IF(P49=0,0,U49/P49))</f>
        <v/>
      </c>
      <c r="W49" s="34">
        <f>IF($A49="","",IF(AND(P49=0,Q49&gt;0),"무예산",IF(P49=0,"-",IF(V49&gt;설정!$C$12,"부족 예상",IF(V49&gt;설정!$C$11,"주의","여유")))))</f>
        <v/>
      </c>
      <c r="X49" s="40">
        <f>IF($A49="","",IF(P49=0,0,MAX(0,U49-P49)))</f>
        <v/>
      </c>
      <c r="Y49" s="34">
        <f>IF($A49="","",IF(OR(W49&lt;&gt;"부족 예상",설정!$C$7=12),"",IF(R49&lt;=0,"이미 초과",MIN(12,설정!$C$7+ROUNDUP(R49/(MAX(S49,T49)/(12-설정!$C$7)),0))&amp;"월")))</f>
        <v/>
      </c>
      <c r="Z49" s="26">
        <f>IF($A49="","",TRIM(IF(AND(N(AC49)&gt;=설정!$C$14,N49&gt;=설정!$C$10),"단건"&amp;TEXT(MIN(AC49,1),"0%")&amp;" ","")&amp;IF(AND(N49&gt;0,AD49&gt;0),IF(AD49/N49&gt;=설정!$C$16,"SA대체 ",""),"")&amp;IF(AE49&gt;0,"역분개"&amp;AE49&amp;"건 ","")&amp;IF(O49&gt;=설정!$C$13,"이상치 ","")&amp;IF(AND(I49=0,F49&gt;0),"신규지출 ","")))</f>
        <v/>
      </c>
      <c r="AA49" s="62">
        <f>IF($A49="","",ROUND((AF49+AG49+AH49+AI49)*IF(AND(F49&lt;설정!$C$10,N49&lt;설정!$C$10),0.3,1),1))</f>
        <v/>
      </c>
      <c r="AB49" s="41">
        <f>IF($A49="","",AA49+ROW()/1000000)</f>
        <v/>
      </c>
      <c r="AC49" s="60">
        <f>IF(OR($A49="",N49&lt;=0),"",SUMPRODUCT(MAX((전표_원본!$O$5:$O$100000=$E49)*(전표_원본!$M$5:$M$100000=설정!$C$20)*전표_원본!$P$5:$P$100000))/N49)</f>
        <v/>
      </c>
      <c r="AD49" s="35">
        <f>IF($A49="","",SUMIFS(전표_원본!$P$5:$P$100000,전표_원본!$O$5:$O$100000,$E49,전표_원본!$M$5:$M$100000,설정!$C$20,전표_원본!$E$5:$E$100000,"SA")-SUMIFS(전표_원본!$P$5:$P$100000,전표_원본!$O$5:$O$100000,$E49,전표_원본!$M$5:$M$100000,설정!$C$20-1,전표_원본!$E$5:$E$100000,"SA"))</f>
        <v/>
      </c>
      <c r="AE49" s="81">
        <f>IF($A49="","",COUNTIFS(전표_원본!$O$5:$O$100000,$E49,전표_원본!$M$5:$M$100000,설정!$C$20,전표_원본!$P$5:$P$100000,"&lt;0"))</f>
        <v/>
      </c>
      <c r="AF49" s="62">
        <f>IF($A49="","",MIN(MAX(0,N49)/(설정!$C$10*5),1)*30)</f>
        <v/>
      </c>
      <c r="AG49" s="82">
        <f>IF($A49="","",MIN(MAX(0,H49,J49),1)*20)</f>
        <v/>
      </c>
      <c r="AH49" s="82">
        <f>IF($A49="","",MIN(MAX(0,O49)/3,1)*25)</f>
        <v/>
      </c>
      <c r="AI49" s="82">
        <f>IF($A49="","",IF(OR(W49="부족 예상",W49="무예산",AO49="한도 초과",AO49="초과 예상",AO49="무예산"),25,IF(OR(W49="주의",AO49="주의"),15,0)))</f>
        <v/>
      </c>
      <c r="AJ49" s="35">
        <f>IF($A49="","",SUMIFS(예산판_원본!$O$5:$O$5000,예산판_원본!$L$5:$L$5000,$E49,예산판_원본!$M$5:$M$5000,설정!$C$6,예산판_원본!$N$5:$N$5000,설정!$C$21))</f>
        <v/>
      </c>
      <c r="AK49" s="40">
        <f>IF($A49="","",K49)</f>
        <v/>
      </c>
      <c r="AL49" s="40">
        <f>IF($A49="","",AJ49-AK49)</f>
        <v/>
      </c>
      <c r="AM49" s="35">
        <f>IF($A49="","",AK49+AVERAGE(월별집계!X49:Z49)*MAX(0,설정!$C$22+2-설정!$C$20))</f>
        <v/>
      </c>
      <c r="AN49" s="73">
        <f>IF($A49="","",IF(AJ49=0,0,AM49/AJ49))</f>
        <v/>
      </c>
      <c r="AO49" s="34">
        <f>IF($A49="","",IF(AND(AJ49=0,AK49&gt;0),"무예산",IF(AJ49=0,"-",IF(AK49&gt;AJ49,"한도 초과",IF(AN49&gt;설정!$C$12,"초과 예상",IF(AN49&gt;설정!$C$11,"주의","여유"))))))</f>
        <v/>
      </c>
      <c r="AP49" s="35">
        <f>IF($A49="","",IF(설정!$C$19="최근월",(INDEX(월별집계!$AB49:$AM49,설정!$C$7)-INDEX(월별집계!$AB49:$AM49,MAX(1,설정!$C$7-1))*(설정!$C$7&gt;1)),IF(설정!$C$19="최근분기",((INDEX(월별집계!$AB49:$AM49,설정!$C$7)-INDEX(월별집계!$AB49:$AM49,MAX(1,설정!$C$7-3))*(설정!$C$7&gt;3))/MIN(3,설정!$C$7)),IF(설정!$C$19="전년추세",AZ49,((설정!$C$7+1)*SUMPRODUCT(월별집계!$AB$5:$AM$5,월별집계!$AB49:$AM49)-(설정!$C$7*(설정!$C$7+1)/2)*SUM(월별집계!$AB49:$AM49))/((설정!$C$7+1)*(설정!$C$7*(설정!$C$7+1)*(2*설정!$C$7+1)/6)-(설정!$C$7*(설정!$C$7+1)/2)^2)))))</f>
        <v/>
      </c>
      <c r="AQ49" s="35">
        <f>IF($A49="","",IF(설정!$C$19="연내누적",(SUM(월별집계!$AB49:$AM49)-AP49*(설정!$C$7*(설정!$C$7+1)/2))/(설정!$C$7+1),INDEX(월별집계!$AB49:$AM49,설정!$C$7)-AP49*설정!$C$7))</f>
        <v/>
      </c>
      <c r="AR49" s="40">
        <f>IF($A49="","",AQ49+AP49*12)</f>
        <v/>
      </c>
      <c r="AS49" s="82">
        <f>IF($A49="","",IF(OR(P49&lt;=0,Q49&gt;=P49,AP49&lt;=0),"",MAX(설정!$C$7,(P49-AQ49)/AP49)))</f>
        <v/>
      </c>
      <c r="AT49" s="22">
        <f>IF($A49="","",IF(AS49="",IF(AU49="이미 소진","소진됨",""),YEAR((DATE(설정!$C$6,1,1)+ROUND(AS49*365/12,0)-1))&amp;"-"&amp;TEXT(MONTH((DATE(설정!$C$6,1,1)+ROUND(AS49*365/12,0)-1)),"00")&amp;"-"&amp;TEXT(DAY((DATE(설정!$C$6,1,1)+ROUND(AS49*365/12,0)-1)),"00")))</f>
        <v/>
      </c>
      <c r="AU49" s="34">
        <f>IF($A49="","",IF(AND(P49&lt;=0,Q49&gt;0),"무예산",IF(P49&lt;=0,"-",IF(Q49&gt;=P49,"이미 소진",IF(AP49&lt;=0,"소진 안 됨",IF(AS49&lt;=12,"연내 고갈","연내 여유"))))))</f>
        <v/>
      </c>
      <c r="AV49" s="34">
        <f>IF($A49="","",IF(AJ49&lt;=0,"",IF(AK49&gt;=AJ49,"한도 소진",IF(AK49&lt;=0,"",IF(AJ49/(AK49/(설정!$C$20-설정!$C$22+1))&gt;3,"분기 내 여유",YEAR((DATE(설정!$C$6,설정!$C$22-설정!$C$6*12,1)+ROUND(MAX((설정!$C$20-설정!$C$22+1),AJ49/(AK49/(설정!$C$20-설정!$C$22+1)))*365/12,0)-1))&amp;"-"&amp;TEXT(MONTH((DATE(설정!$C$6,설정!$C$22-설정!$C$6*12,1)+ROUND(MAX((설정!$C$20-설정!$C$22+1),AJ49/(AK49/(설정!$C$20-설정!$C$22+1)))*365/12,0)-1)),"00")&amp;"-"&amp;TEXT(DAY((DATE(설정!$C$6,설정!$C$22-설정!$C$6*12,1)+ROUND(MAX((설정!$C$20-설정!$C$22+1),AJ49/(AK49/(설정!$C$20-설정!$C$22+1)))*365/12,0)-1)),"00"))))))</f>
        <v/>
      </c>
      <c r="AW49" s="41">
        <f>IF($A49="",999+ROW()/1000000,IF(AU49="이미 소진",ROW()/1000000,IF(AU49="연내 고갈",AS49+ROW()/1000000,99+ROW()/1000000)))</f>
        <v/>
      </c>
      <c r="AX49" s="35">
        <f>IF($A49="","",SUMIFS(월별집계!$C49:$Z49,월별집계!$C$5:$Z$5,"&gt;="&amp;((설정!$C$6-1)*12+1),월별집계!$C$5:$Z$5,"&lt;="&amp;(설정!$C$20-12)))</f>
        <v/>
      </c>
      <c r="AY49" s="80">
        <f>IF($A49="","",IF(AX49&lt;=0,IF(Q49&gt;0,1,0),Q49/AX49-1))</f>
        <v/>
      </c>
      <c r="AZ49" s="35">
        <f>IF($A49="","",SUMIFS(월별집계!$C49:$Z49,월별집계!$C$5:$Z$5,"&gt;"&amp;(설정!$C$20-12),월별집계!$C$5:$Z$5,"&lt;="&amp;((설정!$C$6-1)*12+12))/MAX(1,12-설정!$C$7))</f>
        <v/>
      </c>
    </row>
    <row r="50">
      <c r="A50" s="12" t="inlineStr">
        <is>
          <t>D600</t>
        </is>
      </c>
      <c r="B50" s="26">
        <f>IF($A50="","",IFERROR(INDEX(부서매핑!$D$5:$D$504,MATCH($A50,부서매핑!$C$5:$C$504,0)),"부서매핑 없음"))</f>
        <v/>
      </c>
      <c r="C50" s="79" t="inlineStr">
        <is>
          <t>62301000</t>
        </is>
      </c>
      <c r="D50" s="26">
        <f>IF($A50="","",IFERROR(INDEX(계정매핑!$B$5:$B$504,MATCH($C50&amp;"",계정매핑!$A$5:$A$504,0)),"계정매핑 없음"))</f>
        <v/>
      </c>
      <c r="E50" s="22">
        <f>IF($A50="","",$A50&amp;"|"&amp;$C50)</f>
        <v/>
      </c>
      <c r="F50" s="35">
        <f>IF($A50="","",월별집계!$Z50)</f>
        <v/>
      </c>
      <c r="G50" s="35">
        <f>IF($A50="","",월별집계!$Y50)</f>
        <v/>
      </c>
      <c r="H50" s="80">
        <f>IF($A50="","",IF(G50&lt;=0,IF(F50&gt;0,1,0),F50/G50-1))</f>
        <v/>
      </c>
      <c r="I50" s="35">
        <f>IF($A50="","",월별집계!$N50)</f>
        <v/>
      </c>
      <c r="J50" s="80">
        <f>IF($A50="","",IF(I50&lt;=0,IF(F50&gt;0,1,0),F50/I50-1))</f>
        <v/>
      </c>
      <c r="K50" s="35">
        <f>IF($A50="","",SUMIFS(월별집계!$C50:$Z50,월별집계!$C$5:$Z$5,"&gt;="&amp;설정!$C$22,월별집계!$C$5:$Z$5,"&lt;="&amp;설정!$C$20))</f>
        <v/>
      </c>
      <c r="L50" s="35">
        <f>IF($A50="","",SUMIFS(월별집계!$C50:$Z50,월별집계!$C$5:$Z$5,"&gt;="&amp;(설정!$C$22-3),월별집계!$C$5:$Z$5,"&lt;="&amp;(설정!$C$20-3)))</f>
        <v/>
      </c>
      <c r="M50" s="80">
        <f>IF($A50="","",IF(L50&lt;=0,IF(K50&gt;0,1,0),K50/L50-1))</f>
        <v/>
      </c>
      <c r="N50" s="40">
        <f>IF($A50="","",MAX(F50-G50,F50-I50))</f>
        <v/>
      </c>
      <c r="O50" s="62">
        <f>IF($A50="","",IFERROR((월별집계!$Z50-AVERAGE(월별집계!N50:Y50))/STDEV(월별집계!N50:Y50),0))</f>
        <v/>
      </c>
      <c r="P50" s="35">
        <f>IF($A50="","",SUMIFS(예산판_원본!$O$5:$O$5000,예산판_원본!$L$5:$L$5000,$E50,예산판_원본!$M$5:$M$5000,설정!$C$6))</f>
        <v/>
      </c>
      <c r="Q50" s="35">
        <f>IF($A50="","",SUMIFS(월별집계!$C50:$Z50,월별집계!$C$5:$Z$5,"&gt;="&amp;(설정!$C$6*12+1),월별집계!$C$5:$Z$5,"&lt;="&amp;설정!$C$20))</f>
        <v/>
      </c>
      <c r="R50" s="40">
        <f>IF($A50="","",P50-Q50)</f>
        <v/>
      </c>
      <c r="S50" s="35">
        <f>IF($A50="","",AVERAGE(월별집계!X50:Z50)*(12-설정!$C$7))</f>
        <v/>
      </c>
      <c r="T50" s="35">
        <f>IF($A50="","",IFERROR(Q50/(SUMIFS(월별집계!$C50:$Z50,월별집계!$C$5:$Z$5,"&gt;="&amp;((설정!$C$6-1)*12+1),월별집계!$C$5:$Z$5,"&lt;="&amp;(설정!$C$20-12))/SUMIFS(월별집계!$C50:$Z50,월별집계!$C$5:$Z$5,"&gt;="&amp;((설정!$C$6-1)*12+1),월별집계!$C$5:$Z$5,"&lt;="&amp;((설정!$C$6-1)*12+12)))-Q50,S50))</f>
        <v/>
      </c>
      <c r="U50" s="40">
        <f>IF($A50="","",Q50+MAX(S50,T50))</f>
        <v/>
      </c>
      <c r="V50" s="73">
        <f>IF($A50="","",IF(P50=0,0,U50/P50))</f>
        <v/>
      </c>
      <c r="W50" s="34">
        <f>IF($A50="","",IF(AND(P50=0,Q50&gt;0),"무예산",IF(P50=0,"-",IF(V50&gt;설정!$C$12,"부족 예상",IF(V50&gt;설정!$C$11,"주의","여유")))))</f>
        <v/>
      </c>
      <c r="X50" s="40">
        <f>IF($A50="","",IF(P50=0,0,MAX(0,U50-P50)))</f>
        <v/>
      </c>
      <c r="Y50" s="34">
        <f>IF($A50="","",IF(OR(W50&lt;&gt;"부족 예상",설정!$C$7=12),"",IF(R50&lt;=0,"이미 초과",MIN(12,설정!$C$7+ROUNDUP(R50/(MAX(S50,T50)/(12-설정!$C$7)),0))&amp;"월")))</f>
        <v/>
      </c>
      <c r="Z50" s="26">
        <f>IF($A50="","",TRIM(IF(AND(N(AC50)&gt;=설정!$C$14,N50&gt;=설정!$C$10),"단건"&amp;TEXT(MIN(AC50,1),"0%")&amp;" ","")&amp;IF(AND(N50&gt;0,AD50&gt;0),IF(AD50/N50&gt;=설정!$C$16,"SA대체 ",""),"")&amp;IF(AE50&gt;0,"역분개"&amp;AE50&amp;"건 ","")&amp;IF(O50&gt;=설정!$C$13,"이상치 ","")&amp;IF(AND(I50=0,F50&gt;0),"신규지출 ","")))</f>
        <v/>
      </c>
      <c r="AA50" s="62">
        <f>IF($A50="","",ROUND((AF50+AG50+AH50+AI50)*IF(AND(F50&lt;설정!$C$10,N50&lt;설정!$C$10),0.3,1),1))</f>
        <v/>
      </c>
      <c r="AB50" s="41">
        <f>IF($A50="","",AA50+ROW()/1000000)</f>
        <v/>
      </c>
      <c r="AC50" s="60">
        <f>IF(OR($A50="",N50&lt;=0),"",SUMPRODUCT(MAX((전표_원본!$O$5:$O$100000=$E50)*(전표_원본!$M$5:$M$100000=설정!$C$20)*전표_원본!$P$5:$P$100000))/N50)</f>
        <v/>
      </c>
      <c r="AD50" s="35">
        <f>IF($A50="","",SUMIFS(전표_원본!$P$5:$P$100000,전표_원본!$O$5:$O$100000,$E50,전표_원본!$M$5:$M$100000,설정!$C$20,전표_원본!$E$5:$E$100000,"SA")-SUMIFS(전표_원본!$P$5:$P$100000,전표_원본!$O$5:$O$100000,$E50,전표_원본!$M$5:$M$100000,설정!$C$20-1,전표_원본!$E$5:$E$100000,"SA"))</f>
        <v/>
      </c>
      <c r="AE50" s="81">
        <f>IF($A50="","",COUNTIFS(전표_원본!$O$5:$O$100000,$E50,전표_원본!$M$5:$M$100000,설정!$C$20,전표_원본!$P$5:$P$100000,"&lt;0"))</f>
        <v/>
      </c>
      <c r="AF50" s="62">
        <f>IF($A50="","",MIN(MAX(0,N50)/(설정!$C$10*5),1)*30)</f>
        <v/>
      </c>
      <c r="AG50" s="82">
        <f>IF($A50="","",MIN(MAX(0,H50,J50),1)*20)</f>
        <v/>
      </c>
      <c r="AH50" s="82">
        <f>IF($A50="","",MIN(MAX(0,O50)/3,1)*25)</f>
        <v/>
      </c>
      <c r="AI50" s="82">
        <f>IF($A50="","",IF(OR(W50="부족 예상",W50="무예산",AO50="한도 초과",AO50="초과 예상",AO50="무예산"),25,IF(OR(W50="주의",AO50="주의"),15,0)))</f>
        <v/>
      </c>
      <c r="AJ50" s="35">
        <f>IF($A50="","",SUMIFS(예산판_원본!$O$5:$O$5000,예산판_원본!$L$5:$L$5000,$E50,예산판_원본!$M$5:$M$5000,설정!$C$6,예산판_원본!$N$5:$N$5000,설정!$C$21))</f>
        <v/>
      </c>
      <c r="AK50" s="40">
        <f>IF($A50="","",K50)</f>
        <v/>
      </c>
      <c r="AL50" s="40">
        <f>IF($A50="","",AJ50-AK50)</f>
        <v/>
      </c>
      <c r="AM50" s="35">
        <f>IF($A50="","",AK50+AVERAGE(월별집계!X50:Z50)*MAX(0,설정!$C$22+2-설정!$C$20))</f>
        <v/>
      </c>
      <c r="AN50" s="73">
        <f>IF($A50="","",IF(AJ50=0,0,AM50/AJ50))</f>
        <v/>
      </c>
      <c r="AO50" s="34">
        <f>IF($A50="","",IF(AND(AJ50=0,AK50&gt;0),"무예산",IF(AJ50=0,"-",IF(AK50&gt;AJ50,"한도 초과",IF(AN50&gt;설정!$C$12,"초과 예상",IF(AN50&gt;설정!$C$11,"주의","여유"))))))</f>
        <v/>
      </c>
      <c r="AP50" s="35">
        <f>IF($A50="","",IF(설정!$C$19="최근월",(INDEX(월별집계!$AB50:$AM50,설정!$C$7)-INDEX(월별집계!$AB50:$AM50,MAX(1,설정!$C$7-1))*(설정!$C$7&gt;1)),IF(설정!$C$19="최근분기",((INDEX(월별집계!$AB50:$AM50,설정!$C$7)-INDEX(월별집계!$AB50:$AM50,MAX(1,설정!$C$7-3))*(설정!$C$7&gt;3))/MIN(3,설정!$C$7)),IF(설정!$C$19="전년추세",AZ50,((설정!$C$7+1)*SUMPRODUCT(월별집계!$AB$5:$AM$5,월별집계!$AB50:$AM50)-(설정!$C$7*(설정!$C$7+1)/2)*SUM(월별집계!$AB50:$AM50))/((설정!$C$7+1)*(설정!$C$7*(설정!$C$7+1)*(2*설정!$C$7+1)/6)-(설정!$C$7*(설정!$C$7+1)/2)^2)))))</f>
        <v/>
      </c>
      <c r="AQ50" s="35">
        <f>IF($A50="","",IF(설정!$C$19="연내누적",(SUM(월별집계!$AB50:$AM50)-AP50*(설정!$C$7*(설정!$C$7+1)/2))/(설정!$C$7+1),INDEX(월별집계!$AB50:$AM50,설정!$C$7)-AP50*설정!$C$7))</f>
        <v/>
      </c>
      <c r="AR50" s="40">
        <f>IF($A50="","",AQ50+AP50*12)</f>
        <v/>
      </c>
      <c r="AS50" s="82">
        <f>IF($A50="","",IF(OR(P50&lt;=0,Q50&gt;=P50,AP50&lt;=0),"",MAX(설정!$C$7,(P50-AQ50)/AP50)))</f>
        <v/>
      </c>
      <c r="AT50" s="22">
        <f>IF($A50="","",IF(AS50="",IF(AU50="이미 소진","소진됨",""),YEAR((DATE(설정!$C$6,1,1)+ROUND(AS50*365/12,0)-1))&amp;"-"&amp;TEXT(MONTH((DATE(설정!$C$6,1,1)+ROUND(AS50*365/12,0)-1)),"00")&amp;"-"&amp;TEXT(DAY((DATE(설정!$C$6,1,1)+ROUND(AS50*365/12,0)-1)),"00")))</f>
        <v/>
      </c>
      <c r="AU50" s="34">
        <f>IF($A50="","",IF(AND(P50&lt;=0,Q50&gt;0),"무예산",IF(P50&lt;=0,"-",IF(Q50&gt;=P50,"이미 소진",IF(AP50&lt;=0,"소진 안 됨",IF(AS50&lt;=12,"연내 고갈","연내 여유"))))))</f>
        <v/>
      </c>
      <c r="AV50" s="34">
        <f>IF($A50="","",IF(AJ50&lt;=0,"",IF(AK50&gt;=AJ50,"한도 소진",IF(AK50&lt;=0,"",IF(AJ50/(AK50/(설정!$C$20-설정!$C$22+1))&gt;3,"분기 내 여유",YEAR((DATE(설정!$C$6,설정!$C$22-설정!$C$6*12,1)+ROUND(MAX((설정!$C$20-설정!$C$22+1),AJ50/(AK50/(설정!$C$20-설정!$C$22+1)))*365/12,0)-1))&amp;"-"&amp;TEXT(MONTH((DATE(설정!$C$6,설정!$C$22-설정!$C$6*12,1)+ROUND(MAX((설정!$C$20-설정!$C$22+1),AJ50/(AK50/(설정!$C$20-설정!$C$22+1)))*365/12,0)-1)),"00")&amp;"-"&amp;TEXT(DAY((DATE(설정!$C$6,설정!$C$22-설정!$C$6*12,1)+ROUND(MAX((설정!$C$20-설정!$C$22+1),AJ50/(AK50/(설정!$C$20-설정!$C$22+1)))*365/12,0)-1)),"00"))))))</f>
        <v/>
      </c>
      <c r="AW50" s="41">
        <f>IF($A50="",999+ROW()/1000000,IF(AU50="이미 소진",ROW()/1000000,IF(AU50="연내 고갈",AS50+ROW()/1000000,99+ROW()/1000000)))</f>
        <v/>
      </c>
      <c r="AX50" s="35">
        <f>IF($A50="","",SUMIFS(월별집계!$C50:$Z50,월별집계!$C$5:$Z$5,"&gt;="&amp;((설정!$C$6-1)*12+1),월별집계!$C$5:$Z$5,"&lt;="&amp;(설정!$C$20-12)))</f>
        <v/>
      </c>
      <c r="AY50" s="80">
        <f>IF($A50="","",IF(AX50&lt;=0,IF(Q50&gt;0,1,0),Q50/AX50-1))</f>
        <v/>
      </c>
      <c r="AZ50" s="35">
        <f>IF($A50="","",SUMIFS(월별집계!$C50:$Z50,월별집계!$C$5:$Z$5,"&gt;"&amp;(설정!$C$20-12),월별집계!$C$5:$Z$5,"&lt;="&amp;((설정!$C$6-1)*12+12))/MAX(1,12-설정!$C$7))</f>
        <v/>
      </c>
    </row>
    <row r="51">
      <c r="A51" s="12" t="inlineStr">
        <is>
          <t>D600</t>
        </is>
      </c>
      <c r="B51" s="26">
        <f>IF($A51="","",IFERROR(INDEX(부서매핑!$D$5:$D$504,MATCH($A51,부서매핑!$C$5:$C$504,0)),"부서매핑 없음"))</f>
        <v/>
      </c>
      <c r="C51" s="79" t="inlineStr">
        <is>
          <t>62501000</t>
        </is>
      </c>
      <c r="D51" s="26">
        <f>IF($A51="","",IFERROR(INDEX(계정매핑!$B$5:$B$504,MATCH($C51&amp;"",계정매핑!$A$5:$A$504,0)),"계정매핑 없음"))</f>
        <v/>
      </c>
      <c r="E51" s="22">
        <f>IF($A51="","",$A51&amp;"|"&amp;$C51)</f>
        <v/>
      </c>
      <c r="F51" s="35">
        <f>IF($A51="","",월별집계!$Z51)</f>
        <v/>
      </c>
      <c r="G51" s="35">
        <f>IF($A51="","",월별집계!$Y51)</f>
        <v/>
      </c>
      <c r="H51" s="80">
        <f>IF($A51="","",IF(G51&lt;=0,IF(F51&gt;0,1,0),F51/G51-1))</f>
        <v/>
      </c>
      <c r="I51" s="35">
        <f>IF($A51="","",월별집계!$N51)</f>
        <v/>
      </c>
      <c r="J51" s="80">
        <f>IF($A51="","",IF(I51&lt;=0,IF(F51&gt;0,1,0),F51/I51-1))</f>
        <v/>
      </c>
      <c r="K51" s="35">
        <f>IF($A51="","",SUMIFS(월별집계!$C51:$Z51,월별집계!$C$5:$Z$5,"&gt;="&amp;설정!$C$22,월별집계!$C$5:$Z$5,"&lt;="&amp;설정!$C$20))</f>
        <v/>
      </c>
      <c r="L51" s="35">
        <f>IF($A51="","",SUMIFS(월별집계!$C51:$Z51,월별집계!$C$5:$Z$5,"&gt;="&amp;(설정!$C$22-3),월별집계!$C$5:$Z$5,"&lt;="&amp;(설정!$C$20-3)))</f>
        <v/>
      </c>
      <c r="M51" s="80">
        <f>IF($A51="","",IF(L51&lt;=0,IF(K51&gt;0,1,0),K51/L51-1))</f>
        <v/>
      </c>
      <c r="N51" s="40">
        <f>IF($A51="","",MAX(F51-G51,F51-I51))</f>
        <v/>
      </c>
      <c r="O51" s="62">
        <f>IF($A51="","",IFERROR((월별집계!$Z51-AVERAGE(월별집계!N51:Y51))/STDEV(월별집계!N51:Y51),0))</f>
        <v/>
      </c>
      <c r="P51" s="35">
        <f>IF($A51="","",SUMIFS(예산판_원본!$O$5:$O$5000,예산판_원본!$L$5:$L$5000,$E51,예산판_원본!$M$5:$M$5000,설정!$C$6))</f>
        <v/>
      </c>
      <c r="Q51" s="35">
        <f>IF($A51="","",SUMIFS(월별집계!$C51:$Z51,월별집계!$C$5:$Z$5,"&gt;="&amp;(설정!$C$6*12+1),월별집계!$C$5:$Z$5,"&lt;="&amp;설정!$C$20))</f>
        <v/>
      </c>
      <c r="R51" s="40">
        <f>IF($A51="","",P51-Q51)</f>
        <v/>
      </c>
      <c r="S51" s="35">
        <f>IF($A51="","",AVERAGE(월별집계!X51:Z51)*(12-설정!$C$7))</f>
        <v/>
      </c>
      <c r="T51" s="35">
        <f>IF($A51="","",IFERROR(Q51/(SUMIFS(월별집계!$C51:$Z51,월별집계!$C$5:$Z$5,"&gt;="&amp;((설정!$C$6-1)*12+1),월별집계!$C$5:$Z$5,"&lt;="&amp;(설정!$C$20-12))/SUMIFS(월별집계!$C51:$Z51,월별집계!$C$5:$Z$5,"&gt;="&amp;((설정!$C$6-1)*12+1),월별집계!$C$5:$Z$5,"&lt;="&amp;((설정!$C$6-1)*12+12)))-Q51,S51))</f>
        <v/>
      </c>
      <c r="U51" s="40">
        <f>IF($A51="","",Q51+MAX(S51,T51))</f>
        <v/>
      </c>
      <c r="V51" s="73">
        <f>IF($A51="","",IF(P51=0,0,U51/P51))</f>
        <v/>
      </c>
      <c r="W51" s="34">
        <f>IF($A51="","",IF(AND(P51=0,Q51&gt;0),"무예산",IF(P51=0,"-",IF(V51&gt;설정!$C$12,"부족 예상",IF(V51&gt;설정!$C$11,"주의","여유")))))</f>
        <v/>
      </c>
      <c r="X51" s="40">
        <f>IF($A51="","",IF(P51=0,0,MAX(0,U51-P51)))</f>
        <v/>
      </c>
      <c r="Y51" s="34">
        <f>IF($A51="","",IF(OR(W51&lt;&gt;"부족 예상",설정!$C$7=12),"",IF(R51&lt;=0,"이미 초과",MIN(12,설정!$C$7+ROUNDUP(R51/(MAX(S51,T51)/(12-설정!$C$7)),0))&amp;"월")))</f>
        <v/>
      </c>
      <c r="Z51" s="26">
        <f>IF($A51="","",TRIM(IF(AND(N(AC51)&gt;=설정!$C$14,N51&gt;=설정!$C$10),"단건"&amp;TEXT(MIN(AC51,1),"0%")&amp;" ","")&amp;IF(AND(N51&gt;0,AD51&gt;0),IF(AD51/N51&gt;=설정!$C$16,"SA대체 ",""),"")&amp;IF(AE51&gt;0,"역분개"&amp;AE51&amp;"건 ","")&amp;IF(O51&gt;=설정!$C$13,"이상치 ","")&amp;IF(AND(I51=0,F51&gt;0),"신규지출 ","")))</f>
        <v/>
      </c>
      <c r="AA51" s="62">
        <f>IF($A51="","",ROUND((AF51+AG51+AH51+AI51)*IF(AND(F51&lt;설정!$C$10,N51&lt;설정!$C$10),0.3,1),1))</f>
        <v/>
      </c>
      <c r="AB51" s="41">
        <f>IF($A51="","",AA51+ROW()/1000000)</f>
        <v/>
      </c>
      <c r="AC51" s="60">
        <f>IF(OR($A51="",N51&lt;=0),"",SUMPRODUCT(MAX((전표_원본!$O$5:$O$100000=$E51)*(전표_원본!$M$5:$M$100000=설정!$C$20)*전표_원본!$P$5:$P$100000))/N51)</f>
        <v/>
      </c>
      <c r="AD51" s="35">
        <f>IF($A51="","",SUMIFS(전표_원본!$P$5:$P$100000,전표_원본!$O$5:$O$100000,$E51,전표_원본!$M$5:$M$100000,설정!$C$20,전표_원본!$E$5:$E$100000,"SA")-SUMIFS(전표_원본!$P$5:$P$100000,전표_원본!$O$5:$O$100000,$E51,전표_원본!$M$5:$M$100000,설정!$C$20-1,전표_원본!$E$5:$E$100000,"SA"))</f>
        <v/>
      </c>
      <c r="AE51" s="81">
        <f>IF($A51="","",COUNTIFS(전표_원본!$O$5:$O$100000,$E51,전표_원본!$M$5:$M$100000,설정!$C$20,전표_원본!$P$5:$P$100000,"&lt;0"))</f>
        <v/>
      </c>
      <c r="AF51" s="62">
        <f>IF($A51="","",MIN(MAX(0,N51)/(설정!$C$10*5),1)*30)</f>
        <v/>
      </c>
      <c r="AG51" s="82">
        <f>IF($A51="","",MIN(MAX(0,H51,J51),1)*20)</f>
        <v/>
      </c>
      <c r="AH51" s="82">
        <f>IF($A51="","",MIN(MAX(0,O51)/3,1)*25)</f>
        <v/>
      </c>
      <c r="AI51" s="82">
        <f>IF($A51="","",IF(OR(W51="부족 예상",W51="무예산",AO51="한도 초과",AO51="초과 예상",AO51="무예산"),25,IF(OR(W51="주의",AO51="주의"),15,0)))</f>
        <v/>
      </c>
      <c r="AJ51" s="35">
        <f>IF($A51="","",SUMIFS(예산판_원본!$O$5:$O$5000,예산판_원본!$L$5:$L$5000,$E51,예산판_원본!$M$5:$M$5000,설정!$C$6,예산판_원본!$N$5:$N$5000,설정!$C$21))</f>
        <v/>
      </c>
      <c r="AK51" s="40">
        <f>IF($A51="","",K51)</f>
        <v/>
      </c>
      <c r="AL51" s="40">
        <f>IF($A51="","",AJ51-AK51)</f>
        <v/>
      </c>
      <c r="AM51" s="35">
        <f>IF($A51="","",AK51+AVERAGE(월별집계!X51:Z51)*MAX(0,설정!$C$22+2-설정!$C$20))</f>
        <v/>
      </c>
      <c r="AN51" s="73">
        <f>IF($A51="","",IF(AJ51=0,0,AM51/AJ51))</f>
        <v/>
      </c>
      <c r="AO51" s="34">
        <f>IF($A51="","",IF(AND(AJ51=0,AK51&gt;0),"무예산",IF(AJ51=0,"-",IF(AK51&gt;AJ51,"한도 초과",IF(AN51&gt;설정!$C$12,"초과 예상",IF(AN51&gt;설정!$C$11,"주의","여유"))))))</f>
        <v/>
      </c>
      <c r="AP51" s="35">
        <f>IF($A51="","",IF(설정!$C$19="최근월",(INDEX(월별집계!$AB51:$AM51,설정!$C$7)-INDEX(월별집계!$AB51:$AM51,MAX(1,설정!$C$7-1))*(설정!$C$7&gt;1)),IF(설정!$C$19="최근분기",((INDEX(월별집계!$AB51:$AM51,설정!$C$7)-INDEX(월별집계!$AB51:$AM51,MAX(1,설정!$C$7-3))*(설정!$C$7&gt;3))/MIN(3,설정!$C$7)),IF(설정!$C$19="전년추세",AZ51,((설정!$C$7+1)*SUMPRODUCT(월별집계!$AB$5:$AM$5,월별집계!$AB51:$AM51)-(설정!$C$7*(설정!$C$7+1)/2)*SUM(월별집계!$AB51:$AM51))/((설정!$C$7+1)*(설정!$C$7*(설정!$C$7+1)*(2*설정!$C$7+1)/6)-(설정!$C$7*(설정!$C$7+1)/2)^2)))))</f>
        <v/>
      </c>
      <c r="AQ51" s="35">
        <f>IF($A51="","",IF(설정!$C$19="연내누적",(SUM(월별집계!$AB51:$AM51)-AP51*(설정!$C$7*(설정!$C$7+1)/2))/(설정!$C$7+1),INDEX(월별집계!$AB51:$AM51,설정!$C$7)-AP51*설정!$C$7))</f>
        <v/>
      </c>
      <c r="AR51" s="40">
        <f>IF($A51="","",AQ51+AP51*12)</f>
        <v/>
      </c>
      <c r="AS51" s="82">
        <f>IF($A51="","",IF(OR(P51&lt;=0,Q51&gt;=P51,AP51&lt;=0),"",MAX(설정!$C$7,(P51-AQ51)/AP51)))</f>
        <v/>
      </c>
      <c r="AT51" s="22">
        <f>IF($A51="","",IF(AS51="",IF(AU51="이미 소진","소진됨",""),YEAR((DATE(설정!$C$6,1,1)+ROUND(AS51*365/12,0)-1))&amp;"-"&amp;TEXT(MONTH((DATE(설정!$C$6,1,1)+ROUND(AS51*365/12,0)-1)),"00")&amp;"-"&amp;TEXT(DAY((DATE(설정!$C$6,1,1)+ROUND(AS51*365/12,0)-1)),"00")))</f>
        <v/>
      </c>
      <c r="AU51" s="34">
        <f>IF($A51="","",IF(AND(P51&lt;=0,Q51&gt;0),"무예산",IF(P51&lt;=0,"-",IF(Q51&gt;=P51,"이미 소진",IF(AP51&lt;=0,"소진 안 됨",IF(AS51&lt;=12,"연내 고갈","연내 여유"))))))</f>
        <v/>
      </c>
      <c r="AV51" s="34">
        <f>IF($A51="","",IF(AJ51&lt;=0,"",IF(AK51&gt;=AJ51,"한도 소진",IF(AK51&lt;=0,"",IF(AJ51/(AK51/(설정!$C$20-설정!$C$22+1))&gt;3,"분기 내 여유",YEAR((DATE(설정!$C$6,설정!$C$22-설정!$C$6*12,1)+ROUND(MAX((설정!$C$20-설정!$C$22+1),AJ51/(AK51/(설정!$C$20-설정!$C$22+1)))*365/12,0)-1))&amp;"-"&amp;TEXT(MONTH((DATE(설정!$C$6,설정!$C$22-설정!$C$6*12,1)+ROUND(MAX((설정!$C$20-설정!$C$22+1),AJ51/(AK51/(설정!$C$20-설정!$C$22+1)))*365/12,0)-1)),"00")&amp;"-"&amp;TEXT(DAY((DATE(설정!$C$6,설정!$C$22-설정!$C$6*12,1)+ROUND(MAX((설정!$C$20-설정!$C$22+1),AJ51/(AK51/(설정!$C$20-설정!$C$22+1)))*365/12,0)-1)),"00"))))))</f>
        <v/>
      </c>
      <c r="AW51" s="41">
        <f>IF($A51="",999+ROW()/1000000,IF(AU51="이미 소진",ROW()/1000000,IF(AU51="연내 고갈",AS51+ROW()/1000000,99+ROW()/1000000)))</f>
        <v/>
      </c>
      <c r="AX51" s="35">
        <f>IF($A51="","",SUMIFS(월별집계!$C51:$Z51,월별집계!$C$5:$Z$5,"&gt;="&amp;((설정!$C$6-1)*12+1),월별집계!$C$5:$Z$5,"&lt;="&amp;(설정!$C$20-12)))</f>
        <v/>
      </c>
      <c r="AY51" s="80">
        <f>IF($A51="","",IF(AX51&lt;=0,IF(Q51&gt;0,1,0),Q51/AX51-1))</f>
        <v/>
      </c>
      <c r="AZ51" s="35">
        <f>IF($A51="","",SUMIFS(월별집계!$C51:$Z51,월별집계!$C$5:$Z$5,"&gt;"&amp;(설정!$C$20-12),월별집계!$C$5:$Z$5,"&lt;="&amp;((설정!$C$6-1)*12+12))/MAX(1,12-설정!$C$7))</f>
        <v/>
      </c>
    </row>
    <row r="52">
      <c r="A52" s="12" t="inlineStr">
        <is>
          <t>D600</t>
        </is>
      </c>
      <c r="B52" s="26">
        <f>IF($A52="","",IFERROR(INDEX(부서매핑!$D$5:$D$504,MATCH($A52,부서매핑!$C$5:$C$504,0)),"부서매핑 없음"))</f>
        <v/>
      </c>
      <c r="C52" s="79" t="inlineStr">
        <is>
          <t>62601000</t>
        </is>
      </c>
      <c r="D52" s="26">
        <f>IF($A52="","",IFERROR(INDEX(계정매핑!$B$5:$B$504,MATCH($C52&amp;"",계정매핑!$A$5:$A$504,0)),"계정매핑 없음"))</f>
        <v/>
      </c>
      <c r="E52" s="22">
        <f>IF($A52="","",$A52&amp;"|"&amp;$C52)</f>
        <v/>
      </c>
      <c r="F52" s="35">
        <f>IF($A52="","",월별집계!$Z52)</f>
        <v/>
      </c>
      <c r="G52" s="35">
        <f>IF($A52="","",월별집계!$Y52)</f>
        <v/>
      </c>
      <c r="H52" s="80">
        <f>IF($A52="","",IF(G52&lt;=0,IF(F52&gt;0,1,0),F52/G52-1))</f>
        <v/>
      </c>
      <c r="I52" s="35">
        <f>IF($A52="","",월별집계!$N52)</f>
        <v/>
      </c>
      <c r="J52" s="80">
        <f>IF($A52="","",IF(I52&lt;=0,IF(F52&gt;0,1,0),F52/I52-1))</f>
        <v/>
      </c>
      <c r="K52" s="35">
        <f>IF($A52="","",SUMIFS(월별집계!$C52:$Z52,월별집계!$C$5:$Z$5,"&gt;="&amp;설정!$C$22,월별집계!$C$5:$Z$5,"&lt;="&amp;설정!$C$20))</f>
        <v/>
      </c>
      <c r="L52" s="35">
        <f>IF($A52="","",SUMIFS(월별집계!$C52:$Z52,월별집계!$C$5:$Z$5,"&gt;="&amp;(설정!$C$22-3),월별집계!$C$5:$Z$5,"&lt;="&amp;(설정!$C$20-3)))</f>
        <v/>
      </c>
      <c r="M52" s="80">
        <f>IF($A52="","",IF(L52&lt;=0,IF(K52&gt;0,1,0),K52/L52-1))</f>
        <v/>
      </c>
      <c r="N52" s="40">
        <f>IF($A52="","",MAX(F52-G52,F52-I52))</f>
        <v/>
      </c>
      <c r="O52" s="62">
        <f>IF($A52="","",IFERROR((월별집계!$Z52-AVERAGE(월별집계!N52:Y52))/STDEV(월별집계!N52:Y52),0))</f>
        <v/>
      </c>
      <c r="P52" s="35">
        <f>IF($A52="","",SUMIFS(예산판_원본!$O$5:$O$5000,예산판_원본!$L$5:$L$5000,$E52,예산판_원본!$M$5:$M$5000,설정!$C$6))</f>
        <v/>
      </c>
      <c r="Q52" s="35">
        <f>IF($A52="","",SUMIFS(월별집계!$C52:$Z52,월별집계!$C$5:$Z$5,"&gt;="&amp;(설정!$C$6*12+1),월별집계!$C$5:$Z$5,"&lt;="&amp;설정!$C$20))</f>
        <v/>
      </c>
      <c r="R52" s="40">
        <f>IF($A52="","",P52-Q52)</f>
        <v/>
      </c>
      <c r="S52" s="35">
        <f>IF($A52="","",AVERAGE(월별집계!X52:Z52)*(12-설정!$C$7))</f>
        <v/>
      </c>
      <c r="T52" s="35">
        <f>IF($A52="","",IFERROR(Q52/(SUMIFS(월별집계!$C52:$Z52,월별집계!$C$5:$Z$5,"&gt;="&amp;((설정!$C$6-1)*12+1),월별집계!$C$5:$Z$5,"&lt;="&amp;(설정!$C$20-12))/SUMIFS(월별집계!$C52:$Z52,월별집계!$C$5:$Z$5,"&gt;="&amp;((설정!$C$6-1)*12+1),월별집계!$C$5:$Z$5,"&lt;="&amp;((설정!$C$6-1)*12+12)))-Q52,S52))</f>
        <v/>
      </c>
      <c r="U52" s="40">
        <f>IF($A52="","",Q52+MAX(S52,T52))</f>
        <v/>
      </c>
      <c r="V52" s="73">
        <f>IF($A52="","",IF(P52=0,0,U52/P52))</f>
        <v/>
      </c>
      <c r="W52" s="34">
        <f>IF($A52="","",IF(AND(P52=0,Q52&gt;0),"무예산",IF(P52=0,"-",IF(V52&gt;설정!$C$12,"부족 예상",IF(V52&gt;설정!$C$11,"주의","여유")))))</f>
        <v/>
      </c>
      <c r="X52" s="40">
        <f>IF($A52="","",IF(P52=0,0,MAX(0,U52-P52)))</f>
        <v/>
      </c>
      <c r="Y52" s="34">
        <f>IF($A52="","",IF(OR(W52&lt;&gt;"부족 예상",설정!$C$7=12),"",IF(R52&lt;=0,"이미 초과",MIN(12,설정!$C$7+ROUNDUP(R52/(MAX(S52,T52)/(12-설정!$C$7)),0))&amp;"월")))</f>
        <v/>
      </c>
      <c r="Z52" s="26">
        <f>IF($A52="","",TRIM(IF(AND(N(AC52)&gt;=설정!$C$14,N52&gt;=설정!$C$10),"단건"&amp;TEXT(MIN(AC52,1),"0%")&amp;" ","")&amp;IF(AND(N52&gt;0,AD52&gt;0),IF(AD52/N52&gt;=설정!$C$16,"SA대체 ",""),"")&amp;IF(AE52&gt;0,"역분개"&amp;AE52&amp;"건 ","")&amp;IF(O52&gt;=설정!$C$13,"이상치 ","")&amp;IF(AND(I52=0,F52&gt;0),"신규지출 ","")))</f>
        <v/>
      </c>
      <c r="AA52" s="62">
        <f>IF($A52="","",ROUND((AF52+AG52+AH52+AI52)*IF(AND(F52&lt;설정!$C$10,N52&lt;설정!$C$10),0.3,1),1))</f>
        <v/>
      </c>
      <c r="AB52" s="41">
        <f>IF($A52="","",AA52+ROW()/1000000)</f>
        <v/>
      </c>
      <c r="AC52" s="60">
        <f>IF(OR($A52="",N52&lt;=0),"",SUMPRODUCT(MAX((전표_원본!$O$5:$O$100000=$E52)*(전표_원본!$M$5:$M$100000=설정!$C$20)*전표_원본!$P$5:$P$100000))/N52)</f>
        <v/>
      </c>
      <c r="AD52" s="35">
        <f>IF($A52="","",SUMIFS(전표_원본!$P$5:$P$100000,전표_원본!$O$5:$O$100000,$E52,전표_원본!$M$5:$M$100000,설정!$C$20,전표_원본!$E$5:$E$100000,"SA")-SUMIFS(전표_원본!$P$5:$P$100000,전표_원본!$O$5:$O$100000,$E52,전표_원본!$M$5:$M$100000,설정!$C$20-1,전표_원본!$E$5:$E$100000,"SA"))</f>
        <v/>
      </c>
      <c r="AE52" s="81">
        <f>IF($A52="","",COUNTIFS(전표_원본!$O$5:$O$100000,$E52,전표_원본!$M$5:$M$100000,설정!$C$20,전표_원본!$P$5:$P$100000,"&lt;0"))</f>
        <v/>
      </c>
      <c r="AF52" s="62">
        <f>IF($A52="","",MIN(MAX(0,N52)/(설정!$C$10*5),1)*30)</f>
        <v/>
      </c>
      <c r="AG52" s="82">
        <f>IF($A52="","",MIN(MAX(0,H52,J52),1)*20)</f>
        <v/>
      </c>
      <c r="AH52" s="82">
        <f>IF($A52="","",MIN(MAX(0,O52)/3,1)*25)</f>
        <v/>
      </c>
      <c r="AI52" s="82">
        <f>IF($A52="","",IF(OR(W52="부족 예상",W52="무예산",AO52="한도 초과",AO52="초과 예상",AO52="무예산"),25,IF(OR(W52="주의",AO52="주의"),15,0)))</f>
        <v/>
      </c>
      <c r="AJ52" s="35">
        <f>IF($A52="","",SUMIFS(예산판_원본!$O$5:$O$5000,예산판_원본!$L$5:$L$5000,$E52,예산판_원본!$M$5:$M$5000,설정!$C$6,예산판_원본!$N$5:$N$5000,설정!$C$21))</f>
        <v/>
      </c>
      <c r="AK52" s="40">
        <f>IF($A52="","",K52)</f>
        <v/>
      </c>
      <c r="AL52" s="40">
        <f>IF($A52="","",AJ52-AK52)</f>
        <v/>
      </c>
      <c r="AM52" s="35">
        <f>IF($A52="","",AK52+AVERAGE(월별집계!X52:Z52)*MAX(0,설정!$C$22+2-설정!$C$20))</f>
        <v/>
      </c>
      <c r="AN52" s="73">
        <f>IF($A52="","",IF(AJ52=0,0,AM52/AJ52))</f>
        <v/>
      </c>
      <c r="AO52" s="34">
        <f>IF($A52="","",IF(AND(AJ52=0,AK52&gt;0),"무예산",IF(AJ52=0,"-",IF(AK52&gt;AJ52,"한도 초과",IF(AN52&gt;설정!$C$12,"초과 예상",IF(AN52&gt;설정!$C$11,"주의","여유"))))))</f>
        <v/>
      </c>
      <c r="AP52" s="35">
        <f>IF($A52="","",IF(설정!$C$19="최근월",(INDEX(월별집계!$AB52:$AM52,설정!$C$7)-INDEX(월별집계!$AB52:$AM52,MAX(1,설정!$C$7-1))*(설정!$C$7&gt;1)),IF(설정!$C$19="최근분기",((INDEX(월별집계!$AB52:$AM52,설정!$C$7)-INDEX(월별집계!$AB52:$AM52,MAX(1,설정!$C$7-3))*(설정!$C$7&gt;3))/MIN(3,설정!$C$7)),IF(설정!$C$19="전년추세",AZ52,((설정!$C$7+1)*SUMPRODUCT(월별집계!$AB$5:$AM$5,월별집계!$AB52:$AM52)-(설정!$C$7*(설정!$C$7+1)/2)*SUM(월별집계!$AB52:$AM52))/((설정!$C$7+1)*(설정!$C$7*(설정!$C$7+1)*(2*설정!$C$7+1)/6)-(설정!$C$7*(설정!$C$7+1)/2)^2)))))</f>
        <v/>
      </c>
      <c r="AQ52" s="35">
        <f>IF($A52="","",IF(설정!$C$19="연내누적",(SUM(월별집계!$AB52:$AM52)-AP52*(설정!$C$7*(설정!$C$7+1)/2))/(설정!$C$7+1),INDEX(월별집계!$AB52:$AM52,설정!$C$7)-AP52*설정!$C$7))</f>
        <v/>
      </c>
      <c r="AR52" s="40">
        <f>IF($A52="","",AQ52+AP52*12)</f>
        <v/>
      </c>
      <c r="AS52" s="82">
        <f>IF($A52="","",IF(OR(P52&lt;=0,Q52&gt;=P52,AP52&lt;=0),"",MAX(설정!$C$7,(P52-AQ52)/AP52)))</f>
        <v/>
      </c>
      <c r="AT52" s="22">
        <f>IF($A52="","",IF(AS52="",IF(AU52="이미 소진","소진됨",""),YEAR((DATE(설정!$C$6,1,1)+ROUND(AS52*365/12,0)-1))&amp;"-"&amp;TEXT(MONTH((DATE(설정!$C$6,1,1)+ROUND(AS52*365/12,0)-1)),"00")&amp;"-"&amp;TEXT(DAY((DATE(설정!$C$6,1,1)+ROUND(AS52*365/12,0)-1)),"00")))</f>
        <v/>
      </c>
      <c r="AU52" s="34">
        <f>IF($A52="","",IF(AND(P52&lt;=0,Q52&gt;0),"무예산",IF(P52&lt;=0,"-",IF(Q52&gt;=P52,"이미 소진",IF(AP52&lt;=0,"소진 안 됨",IF(AS52&lt;=12,"연내 고갈","연내 여유"))))))</f>
        <v/>
      </c>
      <c r="AV52" s="34">
        <f>IF($A52="","",IF(AJ52&lt;=0,"",IF(AK52&gt;=AJ52,"한도 소진",IF(AK52&lt;=0,"",IF(AJ52/(AK52/(설정!$C$20-설정!$C$22+1))&gt;3,"분기 내 여유",YEAR((DATE(설정!$C$6,설정!$C$22-설정!$C$6*12,1)+ROUND(MAX((설정!$C$20-설정!$C$22+1),AJ52/(AK52/(설정!$C$20-설정!$C$22+1)))*365/12,0)-1))&amp;"-"&amp;TEXT(MONTH((DATE(설정!$C$6,설정!$C$22-설정!$C$6*12,1)+ROUND(MAX((설정!$C$20-설정!$C$22+1),AJ52/(AK52/(설정!$C$20-설정!$C$22+1)))*365/12,0)-1)),"00")&amp;"-"&amp;TEXT(DAY((DATE(설정!$C$6,설정!$C$22-설정!$C$6*12,1)+ROUND(MAX((설정!$C$20-설정!$C$22+1),AJ52/(AK52/(설정!$C$20-설정!$C$22+1)))*365/12,0)-1)),"00"))))))</f>
        <v/>
      </c>
      <c r="AW52" s="41">
        <f>IF($A52="",999+ROW()/1000000,IF(AU52="이미 소진",ROW()/1000000,IF(AU52="연내 고갈",AS52+ROW()/1000000,99+ROW()/1000000)))</f>
        <v/>
      </c>
      <c r="AX52" s="35">
        <f>IF($A52="","",SUMIFS(월별집계!$C52:$Z52,월별집계!$C$5:$Z$5,"&gt;="&amp;((설정!$C$6-1)*12+1),월별집계!$C$5:$Z$5,"&lt;="&amp;(설정!$C$20-12)))</f>
        <v/>
      </c>
      <c r="AY52" s="80">
        <f>IF($A52="","",IF(AX52&lt;=0,IF(Q52&gt;0,1,0),Q52/AX52-1))</f>
        <v/>
      </c>
      <c r="AZ52" s="35">
        <f>IF($A52="","",SUMIFS(월별집계!$C52:$Z52,월별집계!$C$5:$Z$5,"&gt;"&amp;(설정!$C$20-12),월별집계!$C$5:$Z$5,"&lt;="&amp;((설정!$C$6-1)*12+12))/MAX(1,12-설정!$C$7))</f>
        <v/>
      </c>
    </row>
    <row r="53">
      <c r="A53" s="12" t="inlineStr">
        <is>
          <t>D600</t>
        </is>
      </c>
      <c r="B53" s="26">
        <f>IF($A53="","",IFERROR(INDEX(부서매핑!$D$5:$D$504,MATCH($A53,부서매핑!$C$5:$C$504,0)),"부서매핑 없음"))</f>
        <v/>
      </c>
      <c r="C53" s="79" t="inlineStr">
        <is>
          <t>63101000</t>
        </is>
      </c>
      <c r="D53" s="26">
        <f>IF($A53="","",IFERROR(INDEX(계정매핑!$B$5:$B$504,MATCH($C53&amp;"",계정매핑!$A$5:$A$504,0)),"계정매핑 없음"))</f>
        <v/>
      </c>
      <c r="E53" s="22">
        <f>IF($A53="","",$A53&amp;"|"&amp;$C53)</f>
        <v/>
      </c>
      <c r="F53" s="35">
        <f>IF($A53="","",월별집계!$Z53)</f>
        <v/>
      </c>
      <c r="G53" s="35">
        <f>IF($A53="","",월별집계!$Y53)</f>
        <v/>
      </c>
      <c r="H53" s="80">
        <f>IF($A53="","",IF(G53&lt;=0,IF(F53&gt;0,1,0),F53/G53-1))</f>
        <v/>
      </c>
      <c r="I53" s="35">
        <f>IF($A53="","",월별집계!$N53)</f>
        <v/>
      </c>
      <c r="J53" s="80">
        <f>IF($A53="","",IF(I53&lt;=0,IF(F53&gt;0,1,0),F53/I53-1))</f>
        <v/>
      </c>
      <c r="K53" s="35">
        <f>IF($A53="","",SUMIFS(월별집계!$C53:$Z53,월별집계!$C$5:$Z$5,"&gt;="&amp;설정!$C$22,월별집계!$C$5:$Z$5,"&lt;="&amp;설정!$C$20))</f>
        <v/>
      </c>
      <c r="L53" s="35">
        <f>IF($A53="","",SUMIFS(월별집계!$C53:$Z53,월별집계!$C$5:$Z$5,"&gt;="&amp;(설정!$C$22-3),월별집계!$C$5:$Z$5,"&lt;="&amp;(설정!$C$20-3)))</f>
        <v/>
      </c>
      <c r="M53" s="80">
        <f>IF($A53="","",IF(L53&lt;=0,IF(K53&gt;0,1,0),K53/L53-1))</f>
        <v/>
      </c>
      <c r="N53" s="40">
        <f>IF($A53="","",MAX(F53-G53,F53-I53))</f>
        <v/>
      </c>
      <c r="O53" s="62">
        <f>IF($A53="","",IFERROR((월별집계!$Z53-AVERAGE(월별집계!N53:Y53))/STDEV(월별집계!N53:Y53),0))</f>
        <v/>
      </c>
      <c r="P53" s="35">
        <f>IF($A53="","",SUMIFS(예산판_원본!$O$5:$O$5000,예산판_원본!$L$5:$L$5000,$E53,예산판_원본!$M$5:$M$5000,설정!$C$6))</f>
        <v/>
      </c>
      <c r="Q53" s="35">
        <f>IF($A53="","",SUMIFS(월별집계!$C53:$Z53,월별집계!$C$5:$Z$5,"&gt;="&amp;(설정!$C$6*12+1),월별집계!$C$5:$Z$5,"&lt;="&amp;설정!$C$20))</f>
        <v/>
      </c>
      <c r="R53" s="40">
        <f>IF($A53="","",P53-Q53)</f>
        <v/>
      </c>
      <c r="S53" s="35">
        <f>IF($A53="","",AVERAGE(월별집계!X53:Z53)*(12-설정!$C$7))</f>
        <v/>
      </c>
      <c r="T53" s="35">
        <f>IF($A53="","",IFERROR(Q53/(SUMIFS(월별집계!$C53:$Z53,월별집계!$C$5:$Z$5,"&gt;="&amp;((설정!$C$6-1)*12+1),월별집계!$C$5:$Z$5,"&lt;="&amp;(설정!$C$20-12))/SUMIFS(월별집계!$C53:$Z53,월별집계!$C$5:$Z$5,"&gt;="&amp;((설정!$C$6-1)*12+1),월별집계!$C$5:$Z$5,"&lt;="&amp;((설정!$C$6-1)*12+12)))-Q53,S53))</f>
        <v/>
      </c>
      <c r="U53" s="40">
        <f>IF($A53="","",Q53+MAX(S53,T53))</f>
        <v/>
      </c>
      <c r="V53" s="73">
        <f>IF($A53="","",IF(P53=0,0,U53/P53))</f>
        <v/>
      </c>
      <c r="W53" s="34">
        <f>IF($A53="","",IF(AND(P53=0,Q53&gt;0),"무예산",IF(P53=0,"-",IF(V53&gt;설정!$C$12,"부족 예상",IF(V53&gt;설정!$C$11,"주의","여유")))))</f>
        <v/>
      </c>
      <c r="X53" s="40">
        <f>IF($A53="","",IF(P53=0,0,MAX(0,U53-P53)))</f>
        <v/>
      </c>
      <c r="Y53" s="34">
        <f>IF($A53="","",IF(OR(W53&lt;&gt;"부족 예상",설정!$C$7=12),"",IF(R53&lt;=0,"이미 초과",MIN(12,설정!$C$7+ROUNDUP(R53/(MAX(S53,T53)/(12-설정!$C$7)),0))&amp;"월")))</f>
        <v/>
      </c>
      <c r="Z53" s="26">
        <f>IF($A53="","",TRIM(IF(AND(N(AC53)&gt;=설정!$C$14,N53&gt;=설정!$C$10),"단건"&amp;TEXT(MIN(AC53,1),"0%")&amp;" ","")&amp;IF(AND(N53&gt;0,AD53&gt;0),IF(AD53/N53&gt;=설정!$C$16,"SA대체 ",""),"")&amp;IF(AE53&gt;0,"역분개"&amp;AE53&amp;"건 ","")&amp;IF(O53&gt;=설정!$C$13,"이상치 ","")&amp;IF(AND(I53=0,F53&gt;0),"신규지출 ","")))</f>
        <v/>
      </c>
      <c r="AA53" s="62">
        <f>IF($A53="","",ROUND((AF53+AG53+AH53+AI53)*IF(AND(F53&lt;설정!$C$10,N53&lt;설정!$C$10),0.3,1),1))</f>
        <v/>
      </c>
      <c r="AB53" s="41">
        <f>IF($A53="","",AA53+ROW()/1000000)</f>
        <v/>
      </c>
      <c r="AC53" s="60">
        <f>IF(OR($A53="",N53&lt;=0),"",SUMPRODUCT(MAX((전표_원본!$O$5:$O$100000=$E53)*(전표_원본!$M$5:$M$100000=설정!$C$20)*전표_원본!$P$5:$P$100000))/N53)</f>
        <v/>
      </c>
      <c r="AD53" s="35">
        <f>IF($A53="","",SUMIFS(전표_원본!$P$5:$P$100000,전표_원본!$O$5:$O$100000,$E53,전표_원본!$M$5:$M$100000,설정!$C$20,전표_원본!$E$5:$E$100000,"SA")-SUMIFS(전표_원본!$P$5:$P$100000,전표_원본!$O$5:$O$100000,$E53,전표_원본!$M$5:$M$100000,설정!$C$20-1,전표_원본!$E$5:$E$100000,"SA"))</f>
        <v/>
      </c>
      <c r="AE53" s="81">
        <f>IF($A53="","",COUNTIFS(전표_원본!$O$5:$O$100000,$E53,전표_원본!$M$5:$M$100000,설정!$C$20,전표_원본!$P$5:$P$100000,"&lt;0"))</f>
        <v/>
      </c>
      <c r="AF53" s="62">
        <f>IF($A53="","",MIN(MAX(0,N53)/(설정!$C$10*5),1)*30)</f>
        <v/>
      </c>
      <c r="AG53" s="82">
        <f>IF($A53="","",MIN(MAX(0,H53,J53),1)*20)</f>
        <v/>
      </c>
      <c r="AH53" s="82">
        <f>IF($A53="","",MIN(MAX(0,O53)/3,1)*25)</f>
        <v/>
      </c>
      <c r="AI53" s="82">
        <f>IF($A53="","",IF(OR(W53="부족 예상",W53="무예산",AO53="한도 초과",AO53="초과 예상",AO53="무예산"),25,IF(OR(W53="주의",AO53="주의"),15,0)))</f>
        <v/>
      </c>
      <c r="AJ53" s="35">
        <f>IF($A53="","",SUMIFS(예산판_원본!$O$5:$O$5000,예산판_원본!$L$5:$L$5000,$E53,예산판_원본!$M$5:$M$5000,설정!$C$6,예산판_원본!$N$5:$N$5000,설정!$C$21))</f>
        <v/>
      </c>
      <c r="AK53" s="40">
        <f>IF($A53="","",K53)</f>
        <v/>
      </c>
      <c r="AL53" s="40">
        <f>IF($A53="","",AJ53-AK53)</f>
        <v/>
      </c>
      <c r="AM53" s="35">
        <f>IF($A53="","",AK53+AVERAGE(월별집계!X53:Z53)*MAX(0,설정!$C$22+2-설정!$C$20))</f>
        <v/>
      </c>
      <c r="AN53" s="73">
        <f>IF($A53="","",IF(AJ53=0,0,AM53/AJ53))</f>
        <v/>
      </c>
      <c r="AO53" s="34">
        <f>IF($A53="","",IF(AND(AJ53=0,AK53&gt;0),"무예산",IF(AJ53=0,"-",IF(AK53&gt;AJ53,"한도 초과",IF(AN53&gt;설정!$C$12,"초과 예상",IF(AN53&gt;설정!$C$11,"주의","여유"))))))</f>
        <v/>
      </c>
      <c r="AP53" s="35">
        <f>IF($A53="","",IF(설정!$C$19="최근월",(INDEX(월별집계!$AB53:$AM53,설정!$C$7)-INDEX(월별집계!$AB53:$AM53,MAX(1,설정!$C$7-1))*(설정!$C$7&gt;1)),IF(설정!$C$19="최근분기",((INDEX(월별집계!$AB53:$AM53,설정!$C$7)-INDEX(월별집계!$AB53:$AM53,MAX(1,설정!$C$7-3))*(설정!$C$7&gt;3))/MIN(3,설정!$C$7)),IF(설정!$C$19="전년추세",AZ53,((설정!$C$7+1)*SUMPRODUCT(월별집계!$AB$5:$AM$5,월별집계!$AB53:$AM53)-(설정!$C$7*(설정!$C$7+1)/2)*SUM(월별집계!$AB53:$AM53))/((설정!$C$7+1)*(설정!$C$7*(설정!$C$7+1)*(2*설정!$C$7+1)/6)-(설정!$C$7*(설정!$C$7+1)/2)^2)))))</f>
        <v/>
      </c>
      <c r="AQ53" s="35">
        <f>IF($A53="","",IF(설정!$C$19="연내누적",(SUM(월별집계!$AB53:$AM53)-AP53*(설정!$C$7*(설정!$C$7+1)/2))/(설정!$C$7+1),INDEX(월별집계!$AB53:$AM53,설정!$C$7)-AP53*설정!$C$7))</f>
        <v/>
      </c>
      <c r="AR53" s="40">
        <f>IF($A53="","",AQ53+AP53*12)</f>
        <v/>
      </c>
      <c r="AS53" s="82">
        <f>IF($A53="","",IF(OR(P53&lt;=0,Q53&gt;=P53,AP53&lt;=0),"",MAX(설정!$C$7,(P53-AQ53)/AP53)))</f>
        <v/>
      </c>
      <c r="AT53" s="22">
        <f>IF($A53="","",IF(AS53="",IF(AU53="이미 소진","소진됨",""),YEAR((DATE(설정!$C$6,1,1)+ROUND(AS53*365/12,0)-1))&amp;"-"&amp;TEXT(MONTH((DATE(설정!$C$6,1,1)+ROUND(AS53*365/12,0)-1)),"00")&amp;"-"&amp;TEXT(DAY((DATE(설정!$C$6,1,1)+ROUND(AS53*365/12,0)-1)),"00")))</f>
        <v/>
      </c>
      <c r="AU53" s="34">
        <f>IF($A53="","",IF(AND(P53&lt;=0,Q53&gt;0),"무예산",IF(P53&lt;=0,"-",IF(Q53&gt;=P53,"이미 소진",IF(AP53&lt;=0,"소진 안 됨",IF(AS53&lt;=12,"연내 고갈","연내 여유"))))))</f>
        <v/>
      </c>
      <c r="AV53" s="34">
        <f>IF($A53="","",IF(AJ53&lt;=0,"",IF(AK53&gt;=AJ53,"한도 소진",IF(AK53&lt;=0,"",IF(AJ53/(AK53/(설정!$C$20-설정!$C$22+1))&gt;3,"분기 내 여유",YEAR((DATE(설정!$C$6,설정!$C$22-설정!$C$6*12,1)+ROUND(MAX((설정!$C$20-설정!$C$22+1),AJ53/(AK53/(설정!$C$20-설정!$C$22+1)))*365/12,0)-1))&amp;"-"&amp;TEXT(MONTH((DATE(설정!$C$6,설정!$C$22-설정!$C$6*12,1)+ROUND(MAX((설정!$C$20-설정!$C$22+1),AJ53/(AK53/(설정!$C$20-설정!$C$22+1)))*365/12,0)-1)),"00")&amp;"-"&amp;TEXT(DAY((DATE(설정!$C$6,설정!$C$22-설정!$C$6*12,1)+ROUND(MAX((설정!$C$20-설정!$C$22+1),AJ53/(AK53/(설정!$C$20-설정!$C$22+1)))*365/12,0)-1)),"00"))))))</f>
        <v/>
      </c>
      <c r="AW53" s="41">
        <f>IF($A53="",999+ROW()/1000000,IF(AU53="이미 소진",ROW()/1000000,IF(AU53="연내 고갈",AS53+ROW()/1000000,99+ROW()/1000000)))</f>
        <v/>
      </c>
      <c r="AX53" s="35">
        <f>IF($A53="","",SUMIFS(월별집계!$C53:$Z53,월별집계!$C$5:$Z$5,"&gt;="&amp;((설정!$C$6-1)*12+1),월별집계!$C$5:$Z$5,"&lt;="&amp;(설정!$C$20-12)))</f>
        <v/>
      </c>
      <c r="AY53" s="80">
        <f>IF($A53="","",IF(AX53&lt;=0,IF(Q53&gt;0,1,0),Q53/AX53-1))</f>
        <v/>
      </c>
      <c r="AZ53" s="35">
        <f>IF($A53="","",SUMIFS(월별집계!$C53:$Z53,월별집계!$C$5:$Z$5,"&gt;"&amp;(설정!$C$20-12),월별집계!$C$5:$Z$5,"&lt;="&amp;((설정!$C$6-1)*12+12))/MAX(1,12-설정!$C$7))</f>
        <v/>
      </c>
    </row>
    <row r="54">
      <c r="A54" s="12" t="inlineStr">
        <is>
          <t>D600</t>
        </is>
      </c>
      <c r="B54" s="26">
        <f>IF($A54="","",IFERROR(INDEX(부서매핑!$D$5:$D$504,MATCH($A54,부서매핑!$C$5:$C$504,0)),"부서매핑 없음"))</f>
        <v/>
      </c>
      <c r="C54" s="79" t="inlineStr">
        <is>
          <t>63201000</t>
        </is>
      </c>
      <c r="D54" s="26">
        <f>IF($A54="","",IFERROR(INDEX(계정매핑!$B$5:$B$504,MATCH($C54&amp;"",계정매핑!$A$5:$A$504,0)),"계정매핑 없음"))</f>
        <v/>
      </c>
      <c r="E54" s="22">
        <f>IF($A54="","",$A54&amp;"|"&amp;$C54)</f>
        <v/>
      </c>
      <c r="F54" s="35">
        <f>IF($A54="","",월별집계!$Z54)</f>
        <v/>
      </c>
      <c r="G54" s="35">
        <f>IF($A54="","",월별집계!$Y54)</f>
        <v/>
      </c>
      <c r="H54" s="80">
        <f>IF($A54="","",IF(G54&lt;=0,IF(F54&gt;0,1,0),F54/G54-1))</f>
        <v/>
      </c>
      <c r="I54" s="35">
        <f>IF($A54="","",월별집계!$N54)</f>
        <v/>
      </c>
      <c r="J54" s="80">
        <f>IF($A54="","",IF(I54&lt;=0,IF(F54&gt;0,1,0),F54/I54-1))</f>
        <v/>
      </c>
      <c r="K54" s="35">
        <f>IF($A54="","",SUMIFS(월별집계!$C54:$Z54,월별집계!$C$5:$Z$5,"&gt;="&amp;설정!$C$22,월별집계!$C$5:$Z$5,"&lt;="&amp;설정!$C$20))</f>
        <v/>
      </c>
      <c r="L54" s="35">
        <f>IF($A54="","",SUMIFS(월별집계!$C54:$Z54,월별집계!$C$5:$Z$5,"&gt;="&amp;(설정!$C$22-3),월별집계!$C$5:$Z$5,"&lt;="&amp;(설정!$C$20-3)))</f>
        <v/>
      </c>
      <c r="M54" s="80">
        <f>IF($A54="","",IF(L54&lt;=0,IF(K54&gt;0,1,0),K54/L54-1))</f>
        <v/>
      </c>
      <c r="N54" s="40">
        <f>IF($A54="","",MAX(F54-G54,F54-I54))</f>
        <v/>
      </c>
      <c r="O54" s="62">
        <f>IF($A54="","",IFERROR((월별집계!$Z54-AVERAGE(월별집계!N54:Y54))/STDEV(월별집계!N54:Y54),0))</f>
        <v/>
      </c>
      <c r="P54" s="35">
        <f>IF($A54="","",SUMIFS(예산판_원본!$O$5:$O$5000,예산판_원본!$L$5:$L$5000,$E54,예산판_원본!$M$5:$M$5000,설정!$C$6))</f>
        <v/>
      </c>
      <c r="Q54" s="35">
        <f>IF($A54="","",SUMIFS(월별집계!$C54:$Z54,월별집계!$C$5:$Z$5,"&gt;="&amp;(설정!$C$6*12+1),월별집계!$C$5:$Z$5,"&lt;="&amp;설정!$C$20))</f>
        <v/>
      </c>
      <c r="R54" s="40">
        <f>IF($A54="","",P54-Q54)</f>
        <v/>
      </c>
      <c r="S54" s="35">
        <f>IF($A54="","",AVERAGE(월별집계!X54:Z54)*(12-설정!$C$7))</f>
        <v/>
      </c>
      <c r="T54" s="35">
        <f>IF($A54="","",IFERROR(Q54/(SUMIFS(월별집계!$C54:$Z54,월별집계!$C$5:$Z$5,"&gt;="&amp;((설정!$C$6-1)*12+1),월별집계!$C$5:$Z$5,"&lt;="&amp;(설정!$C$20-12))/SUMIFS(월별집계!$C54:$Z54,월별집계!$C$5:$Z$5,"&gt;="&amp;((설정!$C$6-1)*12+1),월별집계!$C$5:$Z$5,"&lt;="&amp;((설정!$C$6-1)*12+12)))-Q54,S54))</f>
        <v/>
      </c>
      <c r="U54" s="40">
        <f>IF($A54="","",Q54+MAX(S54,T54))</f>
        <v/>
      </c>
      <c r="V54" s="73">
        <f>IF($A54="","",IF(P54=0,0,U54/P54))</f>
        <v/>
      </c>
      <c r="W54" s="34">
        <f>IF($A54="","",IF(AND(P54=0,Q54&gt;0),"무예산",IF(P54=0,"-",IF(V54&gt;설정!$C$12,"부족 예상",IF(V54&gt;설정!$C$11,"주의","여유")))))</f>
        <v/>
      </c>
      <c r="X54" s="40">
        <f>IF($A54="","",IF(P54=0,0,MAX(0,U54-P54)))</f>
        <v/>
      </c>
      <c r="Y54" s="34">
        <f>IF($A54="","",IF(OR(W54&lt;&gt;"부족 예상",설정!$C$7=12),"",IF(R54&lt;=0,"이미 초과",MIN(12,설정!$C$7+ROUNDUP(R54/(MAX(S54,T54)/(12-설정!$C$7)),0))&amp;"월")))</f>
        <v/>
      </c>
      <c r="Z54" s="26">
        <f>IF($A54="","",TRIM(IF(AND(N(AC54)&gt;=설정!$C$14,N54&gt;=설정!$C$10),"단건"&amp;TEXT(MIN(AC54,1),"0%")&amp;" ","")&amp;IF(AND(N54&gt;0,AD54&gt;0),IF(AD54/N54&gt;=설정!$C$16,"SA대체 ",""),"")&amp;IF(AE54&gt;0,"역분개"&amp;AE54&amp;"건 ","")&amp;IF(O54&gt;=설정!$C$13,"이상치 ","")&amp;IF(AND(I54=0,F54&gt;0),"신규지출 ","")))</f>
        <v/>
      </c>
      <c r="AA54" s="62">
        <f>IF($A54="","",ROUND((AF54+AG54+AH54+AI54)*IF(AND(F54&lt;설정!$C$10,N54&lt;설정!$C$10),0.3,1),1))</f>
        <v/>
      </c>
      <c r="AB54" s="41">
        <f>IF($A54="","",AA54+ROW()/1000000)</f>
        <v/>
      </c>
      <c r="AC54" s="60">
        <f>IF(OR($A54="",N54&lt;=0),"",SUMPRODUCT(MAX((전표_원본!$O$5:$O$100000=$E54)*(전표_원본!$M$5:$M$100000=설정!$C$20)*전표_원본!$P$5:$P$100000))/N54)</f>
        <v/>
      </c>
      <c r="AD54" s="35">
        <f>IF($A54="","",SUMIFS(전표_원본!$P$5:$P$100000,전표_원본!$O$5:$O$100000,$E54,전표_원본!$M$5:$M$100000,설정!$C$20,전표_원본!$E$5:$E$100000,"SA")-SUMIFS(전표_원본!$P$5:$P$100000,전표_원본!$O$5:$O$100000,$E54,전표_원본!$M$5:$M$100000,설정!$C$20-1,전표_원본!$E$5:$E$100000,"SA"))</f>
        <v/>
      </c>
      <c r="AE54" s="81">
        <f>IF($A54="","",COUNTIFS(전표_원본!$O$5:$O$100000,$E54,전표_원본!$M$5:$M$100000,설정!$C$20,전표_원본!$P$5:$P$100000,"&lt;0"))</f>
        <v/>
      </c>
      <c r="AF54" s="62">
        <f>IF($A54="","",MIN(MAX(0,N54)/(설정!$C$10*5),1)*30)</f>
        <v/>
      </c>
      <c r="AG54" s="82">
        <f>IF($A54="","",MIN(MAX(0,H54,J54),1)*20)</f>
        <v/>
      </c>
      <c r="AH54" s="82">
        <f>IF($A54="","",MIN(MAX(0,O54)/3,1)*25)</f>
        <v/>
      </c>
      <c r="AI54" s="82">
        <f>IF($A54="","",IF(OR(W54="부족 예상",W54="무예산",AO54="한도 초과",AO54="초과 예상",AO54="무예산"),25,IF(OR(W54="주의",AO54="주의"),15,0)))</f>
        <v/>
      </c>
      <c r="AJ54" s="35">
        <f>IF($A54="","",SUMIFS(예산판_원본!$O$5:$O$5000,예산판_원본!$L$5:$L$5000,$E54,예산판_원본!$M$5:$M$5000,설정!$C$6,예산판_원본!$N$5:$N$5000,설정!$C$21))</f>
        <v/>
      </c>
      <c r="AK54" s="40">
        <f>IF($A54="","",K54)</f>
        <v/>
      </c>
      <c r="AL54" s="40">
        <f>IF($A54="","",AJ54-AK54)</f>
        <v/>
      </c>
      <c r="AM54" s="35">
        <f>IF($A54="","",AK54+AVERAGE(월별집계!X54:Z54)*MAX(0,설정!$C$22+2-설정!$C$20))</f>
        <v/>
      </c>
      <c r="AN54" s="73">
        <f>IF($A54="","",IF(AJ54=0,0,AM54/AJ54))</f>
        <v/>
      </c>
      <c r="AO54" s="34">
        <f>IF($A54="","",IF(AND(AJ54=0,AK54&gt;0),"무예산",IF(AJ54=0,"-",IF(AK54&gt;AJ54,"한도 초과",IF(AN54&gt;설정!$C$12,"초과 예상",IF(AN54&gt;설정!$C$11,"주의","여유"))))))</f>
        <v/>
      </c>
      <c r="AP54" s="35">
        <f>IF($A54="","",IF(설정!$C$19="최근월",(INDEX(월별집계!$AB54:$AM54,설정!$C$7)-INDEX(월별집계!$AB54:$AM54,MAX(1,설정!$C$7-1))*(설정!$C$7&gt;1)),IF(설정!$C$19="최근분기",((INDEX(월별집계!$AB54:$AM54,설정!$C$7)-INDEX(월별집계!$AB54:$AM54,MAX(1,설정!$C$7-3))*(설정!$C$7&gt;3))/MIN(3,설정!$C$7)),IF(설정!$C$19="전년추세",AZ54,((설정!$C$7+1)*SUMPRODUCT(월별집계!$AB$5:$AM$5,월별집계!$AB54:$AM54)-(설정!$C$7*(설정!$C$7+1)/2)*SUM(월별집계!$AB54:$AM54))/((설정!$C$7+1)*(설정!$C$7*(설정!$C$7+1)*(2*설정!$C$7+1)/6)-(설정!$C$7*(설정!$C$7+1)/2)^2)))))</f>
        <v/>
      </c>
      <c r="AQ54" s="35">
        <f>IF($A54="","",IF(설정!$C$19="연내누적",(SUM(월별집계!$AB54:$AM54)-AP54*(설정!$C$7*(설정!$C$7+1)/2))/(설정!$C$7+1),INDEX(월별집계!$AB54:$AM54,설정!$C$7)-AP54*설정!$C$7))</f>
        <v/>
      </c>
      <c r="AR54" s="40">
        <f>IF($A54="","",AQ54+AP54*12)</f>
        <v/>
      </c>
      <c r="AS54" s="82">
        <f>IF($A54="","",IF(OR(P54&lt;=0,Q54&gt;=P54,AP54&lt;=0),"",MAX(설정!$C$7,(P54-AQ54)/AP54)))</f>
        <v/>
      </c>
      <c r="AT54" s="22">
        <f>IF($A54="","",IF(AS54="",IF(AU54="이미 소진","소진됨",""),YEAR((DATE(설정!$C$6,1,1)+ROUND(AS54*365/12,0)-1))&amp;"-"&amp;TEXT(MONTH((DATE(설정!$C$6,1,1)+ROUND(AS54*365/12,0)-1)),"00")&amp;"-"&amp;TEXT(DAY((DATE(설정!$C$6,1,1)+ROUND(AS54*365/12,0)-1)),"00")))</f>
        <v/>
      </c>
      <c r="AU54" s="34">
        <f>IF($A54="","",IF(AND(P54&lt;=0,Q54&gt;0),"무예산",IF(P54&lt;=0,"-",IF(Q54&gt;=P54,"이미 소진",IF(AP54&lt;=0,"소진 안 됨",IF(AS54&lt;=12,"연내 고갈","연내 여유"))))))</f>
        <v/>
      </c>
      <c r="AV54" s="34">
        <f>IF($A54="","",IF(AJ54&lt;=0,"",IF(AK54&gt;=AJ54,"한도 소진",IF(AK54&lt;=0,"",IF(AJ54/(AK54/(설정!$C$20-설정!$C$22+1))&gt;3,"분기 내 여유",YEAR((DATE(설정!$C$6,설정!$C$22-설정!$C$6*12,1)+ROUND(MAX((설정!$C$20-설정!$C$22+1),AJ54/(AK54/(설정!$C$20-설정!$C$22+1)))*365/12,0)-1))&amp;"-"&amp;TEXT(MONTH((DATE(설정!$C$6,설정!$C$22-설정!$C$6*12,1)+ROUND(MAX((설정!$C$20-설정!$C$22+1),AJ54/(AK54/(설정!$C$20-설정!$C$22+1)))*365/12,0)-1)),"00")&amp;"-"&amp;TEXT(DAY((DATE(설정!$C$6,설정!$C$22-설정!$C$6*12,1)+ROUND(MAX((설정!$C$20-설정!$C$22+1),AJ54/(AK54/(설정!$C$20-설정!$C$22+1)))*365/12,0)-1)),"00"))))))</f>
        <v/>
      </c>
      <c r="AW54" s="41">
        <f>IF($A54="",999+ROW()/1000000,IF(AU54="이미 소진",ROW()/1000000,IF(AU54="연내 고갈",AS54+ROW()/1000000,99+ROW()/1000000)))</f>
        <v/>
      </c>
      <c r="AX54" s="35">
        <f>IF($A54="","",SUMIFS(월별집계!$C54:$Z54,월별집계!$C$5:$Z$5,"&gt;="&amp;((설정!$C$6-1)*12+1),월별집계!$C$5:$Z$5,"&lt;="&amp;(설정!$C$20-12)))</f>
        <v/>
      </c>
      <c r="AY54" s="80">
        <f>IF($A54="","",IF(AX54&lt;=0,IF(Q54&gt;0,1,0),Q54/AX54-1))</f>
        <v/>
      </c>
      <c r="AZ54" s="35">
        <f>IF($A54="","",SUMIFS(월별집계!$C54:$Z54,월별집계!$C$5:$Z$5,"&gt;"&amp;(설정!$C$20-12),월별집계!$C$5:$Z$5,"&lt;="&amp;((설정!$C$6-1)*12+12))/MAX(1,12-설정!$C$7))</f>
        <v/>
      </c>
    </row>
    <row r="55">
      <c r="A55" s="12" t="inlineStr">
        <is>
          <t>D700</t>
        </is>
      </c>
      <c r="B55" s="26">
        <f>IF($A55="","",IFERROR(INDEX(부서매핑!$D$5:$D$504,MATCH($A55,부서매핑!$C$5:$C$504,0)),"부서매핑 없음"))</f>
        <v/>
      </c>
      <c r="C55" s="79" t="inlineStr">
        <is>
          <t>62101000</t>
        </is>
      </c>
      <c r="D55" s="26">
        <f>IF($A55="","",IFERROR(INDEX(계정매핑!$B$5:$B$504,MATCH($C55&amp;"",계정매핑!$A$5:$A$504,0)),"계정매핑 없음"))</f>
        <v/>
      </c>
      <c r="E55" s="22">
        <f>IF($A55="","",$A55&amp;"|"&amp;$C55)</f>
        <v/>
      </c>
      <c r="F55" s="35">
        <f>IF($A55="","",월별집계!$Z55)</f>
        <v/>
      </c>
      <c r="G55" s="35">
        <f>IF($A55="","",월별집계!$Y55)</f>
        <v/>
      </c>
      <c r="H55" s="80">
        <f>IF($A55="","",IF(G55&lt;=0,IF(F55&gt;0,1,0),F55/G55-1))</f>
        <v/>
      </c>
      <c r="I55" s="35">
        <f>IF($A55="","",월별집계!$N55)</f>
        <v/>
      </c>
      <c r="J55" s="80">
        <f>IF($A55="","",IF(I55&lt;=0,IF(F55&gt;0,1,0),F55/I55-1))</f>
        <v/>
      </c>
      <c r="K55" s="35">
        <f>IF($A55="","",SUMIFS(월별집계!$C55:$Z55,월별집계!$C$5:$Z$5,"&gt;="&amp;설정!$C$22,월별집계!$C$5:$Z$5,"&lt;="&amp;설정!$C$20))</f>
        <v/>
      </c>
      <c r="L55" s="35">
        <f>IF($A55="","",SUMIFS(월별집계!$C55:$Z55,월별집계!$C$5:$Z$5,"&gt;="&amp;(설정!$C$22-3),월별집계!$C$5:$Z$5,"&lt;="&amp;(설정!$C$20-3)))</f>
        <v/>
      </c>
      <c r="M55" s="80">
        <f>IF($A55="","",IF(L55&lt;=0,IF(K55&gt;0,1,0),K55/L55-1))</f>
        <v/>
      </c>
      <c r="N55" s="40">
        <f>IF($A55="","",MAX(F55-G55,F55-I55))</f>
        <v/>
      </c>
      <c r="O55" s="62">
        <f>IF($A55="","",IFERROR((월별집계!$Z55-AVERAGE(월별집계!N55:Y55))/STDEV(월별집계!N55:Y55),0))</f>
        <v/>
      </c>
      <c r="P55" s="35">
        <f>IF($A55="","",SUMIFS(예산판_원본!$O$5:$O$5000,예산판_원본!$L$5:$L$5000,$E55,예산판_원본!$M$5:$M$5000,설정!$C$6))</f>
        <v/>
      </c>
      <c r="Q55" s="35">
        <f>IF($A55="","",SUMIFS(월별집계!$C55:$Z55,월별집계!$C$5:$Z$5,"&gt;="&amp;(설정!$C$6*12+1),월별집계!$C$5:$Z$5,"&lt;="&amp;설정!$C$20))</f>
        <v/>
      </c>
      <c r="R55" s="40">
        <f>IF($A55="","",P55-Q55)</f>
        <v/>
      </c>
      <c r="S55" s="35">
        <f>IF($A55="","",AVERAGE(월별집계!X55:Z55)*(12-설정!$C$7))</f>
        <v/>
      </c>
      <c r="T55" s="35">
        <f>IF($A55="","",IFERROR(Q55/(SUMIFS(월별집계!$C55:$Z55,월별집계!$C$5:$Z$5,"&gt;="&amp;((설정!$C$6-1)*12+1),월별집계!$C$5:$Z$5,"&lt;="&amp;(설정!$C$20-12))/SUMIFS(월별집계!$C55:$Z55,월별집계!$C$5:$Z$5,"&gt;="&amp;((설정!$C$6-1)*12+1),월별집계!$C$5:$Z$5,"&lt;="&amp;((설정!$C$6-1)*12+12)))-Q55,S55))</f>
        <v/>
      </c>
      <c r="U55" s="40">
        <f>IF($A55="","",Q55+MAX(S55,T55))</f>
        <v/>
      </c>
      <c r="V55" s="73">
        <f>IF($A55="","",IF(P55=0,0,U55/P55))</f>
        <v/>
      </c>
      <c r="W55" s="34">
        <f>IF($A55="","",IF(AND(P55=0,Q55&gt;0),"무예산",IF(P55=0,"-",IF(V55&gt;설정!$C$12,"부족 예상",IF(V55&gt;설정!$C$11,"주의","여유")))))</f>
        <v/>
      </c>
      <c r="X55" s="40">
        <f>IF($A55="","",IF(P55=0,0,MAX(0,U55-P55)))</f>
        <v/>
      </c>
      <c r="Y55" s="34">
        <f>IF($A55="","",IF(OR(W55&lt;&gt;"부족 예상",설정!$C$7=12),"",IF(R55&lt;=0,"이미 초과",MIN(12,설정!$C$7+ROUNDUP(R55/(MAX(S55,T55)/(12-설정!$C$7)),0))&amp;"월")))</f>
        <v/>
      </c>
      <c r="Z55" s="26">
        <f>IF($A55="","",TRIM(IF(AND(N(AC55)&gt;=설정!$C$14,N55&gt;=설정!$C$10),"단건"&amp;TEXT(MIN(AC55,1),"0%")&amp;" ","")&amp;IF(AND(N55&gt;0,AD55&gt;0),IF(AD55/N55&gt;=설정!$C$16,"SA대체 ",""),"")&amp;IF(AE55&gt;0,"역분개"&amp;AE55&amp;"건 ","")&amp;IF(O55&gt;=설정!$C$13,"이상치 ","")&amp;IF(AND(I55=0,F55&gt;0),"신규지출 ","")))</f>
        <v/>
      </c>
      <c r="AA55" s="62">
        <f>IF($A55="","",ROUND((AF55+AG55+AH55+AI55)*IF(AND(F55&lt;설정!$C$10,N55&lt;설정!$C$10),0.3,1),1))</f>
        <v/>
      </c>
      <c r="AB55" s="41">
        <f>IF($A55="","",AA55+ROW()/1000000)</f>
        <v/>
      </c>
      <c r="AC55" s="60">
        <f>IF(OR($A55="",N55&lt;=0),"",SUMPRODUCT(MAX((전표_원본!$O$5:$O$100000=$E55)*(전표_원본!$M$5:$M$100000=설정!$C$20)*전표_원본!$P$5:$P$100000))/N55)</f>
        <v/>
      </c>
      <c r="AD55" s="35">
        <f>IF($A55="","",SUMIFS(전표_원본!$P$5:$P$100000,전표_원본!$O$5:$O$100000,$E55,전표_원본!$M$5:$M$100000,설정!$C$20,전표_원본!$E$5:$E$100000,"SA")-SUMIFS(전표_원본!$P$5:$P$100000,전표_원본!$O$5:$O$100000,$E55,전표_원본!$M$5:$M$100000,설정!$C$20-1,전표_원본!$E$5:$E$100000,"SA"))</f>
        <v/>
      </c>
      <c r="AE55" s="81">
        <f>IF($A55="","",COUNTIFS(전표_원본!$O$5:$O$100000,$E55,전표_원본!$M$5:$M$100000,설정!$C$20,전표_원본!$P$5:$P$100000,"&lt;0"))</f>
        <v/>
      </c>
      <c r="AF55" s="62">
        <f>IF($A55="","",MIN(MAX(0,N55)/(설정!$C$10*5),1)*30)</f>
        <v/>
      </c>
      <c r="AG55" s="82">
        <f>IF($A55="","",MIN(MAX(0,H55,J55),1)*20)</f>
        <v/>
      </c>
      <c r="AH55" s="82">
        <f>IF($A55="","",MIN(MAX(0,O55)/3,1)*25)</f>
        <v/>
      </c>
      <c r="AI55" s="82">
        <f>IF($A55="","",IF(OR(W55="부족 예상",W55="무예산",AO55="한도 초과",AO55="초과 예상",AO55="무예산"),25,IF(OR(W55="주의",AO55="주의"),15,0)))</f>
        <v/>
      </c>
      <c r="AJ55" s="35">
        <f>IF($A55="","",SUMIFS(예산판_원본!$O$5:$O$5000,예산판_원본!$L$5:$L$5000,$E55,예산판_원본!$M$5:$M$5000,설정!$C$6,예산판_원본!$N$5:$N$5000,설정!$C$21))</f>
        <v/>
      </c>
      <c r="AK55" s="40">
        <f>IF($A55="","",K55)</f>
        <v/>
      </c>
      <c r="AL55" s="40">
        <f>IF($A55="","",AJ55-AK55)</f>
        <v/>
      </c>
      <c r="AM55" s="35">
        <f>IF($A55="","",AK55+AVERAGE(월별집계!X55:Z55)*MAX(0,설정!$C$22+2-설정!$C$20))</f>
        <v/>
      </c>
      <c r="AN55" s="73">
        <f>IF($A55="","",IF(AJ55=0,0,AM55/AJ55))</f>
        <v/>
      </c>
      <c r="AO55" s="34">
        <f>IF($A55="","",IF(AND(AJ55=0,AK55&gt;0),"무예산",IF(AJ55=0,"-",IF(AK55&gt;AJ55,"한도 초과",IF(AN55&gt;설정!$C$12,"초과 예상",IF(AN55&gt;설정!$C$11,"주의","여유"))))))</f>
        <v/>
      </c>
      <c r="AP55" s="35">
        <f>IF($A55="","",IF(설정!$C$19="최근월",(INDEX(월별집계!$AB55:$AM55,설정!$C$7)-INDEX(월별집계!$AB55:$AM55,MAX(1,설정!$C$7-1))*(설정!$C$7&gt;1)),IF(설정!$C$19="최근분기",((INDEX(월별집계!$AB55:$AM55,설정!$C$7)-INDEX(월별집계!$AB55:$AM55,MAX(1,설정!$C$7-3))*(설정!$C$7&gt;3))/MIN(3,설정!$C$7)),IF(설정!$C$19="전년추세",AZ55,((설정!$C$7+1)*SUMPRODUCT(월별집계!$AB$5:$AM$5,월별집계!$AB55:$AM55)-(설정!$C$7*(설정!$C$7+1)/2)*SUM(월별집계!$AB55:$AM55))/((설정!$C$7+1)*(설정!$C$7*(설정!$C$7+1)*(2*설정!$C$7+1)/6)-(설정!$C$7*(설정!$C$7+1)/2)^2)))))</f>
        <v/>
      </c>
      <c r="AQ55" s="35">
        <f>IF($A55="","",IF(설정!$C$19="연내누적",(SUM(월별집계!$AB55:$AM55)-AP55*(설정!$C$7*(설정!$C$7+1)/2))/(설정!$C$7+1),INDEX(월별집계!$AB55:$AM55,설정!$C$7)-AP55*설정!$C$7))</f>
        <v/>
      </c>
      <c r="AR55" s="40">
        <f>IF($A55="","",AQ55+AP55*12)</f>
        <v/>
      </c>
      <c r="AS55" s="82">
        <f>IF($A55="","",IF(OR(P55&lt;=0,Q55&gt;=P55,AP55&lt;=0),"",MAX(설정!$C$7,(P55-AQ55)/AP55)))</f>
        <v/>
      </c>
      <c r="AT55" s="22">
        <f>IF($A55="","",IF(AS55="",IF(AU55="이미 소진","소진됨",""),YEAR((DATE(설정!$C$6,1,1)+ROUND(AS55*365/12,0)-1))&amp;"-"&amp;TEXT(MONTH((DATE(설정!$C$6,1,1)+ROUND(AS55*365/12,0)-1)),"00")&amp;"-"&amp;TEXT(DAY((DATE(설정!$C$6,1,1)+ROUND(AS55*365/12,0)-1)),"00")))</f>
        <v/>
      </c>
      <c r="AU55" s="34">
        <f>IF($A55="","",IF(AND(P55&lt;=0,Q55&gt;0),"무예산",IF(P55&lt;=0,"-",IF(Q55&gt;=P55,"이미 소진",IF(AP55&lt;=0,"소진 안 됨",IF(AS55&lt;=12,"연내 고갈","연내 여유"))))))</f>
        <v/>
      </c>
      <c r="AV55" s="34">
        <f>IF($A55="","",IF(AJ55&lt;=0,"",IF(AK55&gt;=AJ55,"한도 소진",IF(AK55&lt;=0,"",IF(AJ55/(AK55/(설정!$C$20-설정!$C$22+1))&gt;3,"분기 내 여유",YEAR((DATE(설정!$C$6,설정!$C$22-설정!$C$6*12,1)+ROUND(MAX((설정!$C$20-설정!$C$22+1),AJ55/(AK55/(설정!$C$20-설정!$C$22+1)))*365/12,0)-1))&amp;"-"&amp;TEXT(MONTH((DATE(설정!$C$6,설정!$C$22-설정!$C$6*12,1)+ROUND(MAX((설정!$C$20-설정!$C$22+1),AJ55/(AK55/(설정!$C$20-설정!$C$22+1)))*365/12,0)-1)),"00")&amp;"-"&amp;TEXT(DAY((DATE(설정!$C$6,설정!$C$22-설정!$C$6*12,1)+ROUND(MAX((설정!$C$20-설정!$C$22+1),AJ55/(AK55/(설정!$C$20-설정!$C$22+1)))*365/12,0)-1)),"00"))))))</f>
        <v/>
      </c>
      <c r="AW55" s="41">
        <f>IF($A55="",999+ROW()/1000000,IF(AU55="이미 소진",ROW()/1000000,IF(AU55="연내 고갈",AS55+ROW()/1000000,99+ROW()/1000000)))</f>
        <v/>
      </c>
      <c r="AX55" s="35">
        <f>IF($A55="","",SUMIFS(월별집계!$C55:$Z55,월별집계!$C$5:$Z$5,"&gt;="&amp;((설정!$C$6-1)*12+1),월별집계!$C$5:$Z$5,"&lt;="&amp;(설정!$C$20-12)))</f>
        <v/>
      </c>
      <c r="AY55" s="80">
        <f>IF($A55="","",IF(AX55&lt;=0,IF(Q55&gt;0,1,0),Q55/AX55-1))</f>
        <v/>
      </c>
      <c r="AZ55" s="35">
        <f>IF($A55="","",SUMIFS(월별집계!$C55:$Z55,월별집계!$C$5:$Z$5,"&gt;"&amp;(설정!$C$20-12),월별집계!$C$5:$Z$5,"&lt;="&amp;((설정!$C$6-1)*12+12))/MAX(1,12-설정!$C$7))</f>
        <v/>
      </c>
    </row>
    <row r="56">
      <c r="A56" s="12" t="inlineStr">
        <is>
          <t>D700</t>
        </is>
      </c>
      <c r="B56" s="26">
        <f>IF($A56="","",IFERROR(INDEX(부서매핑!$D$5:$D$504,MATCH($A56,부서매핑!$C$5:$C$504,0)),"부서매핑 없음"))</f>
        <v/>
      </c>
      <c r="C56" s="79" t="inlineStr">
        <is>
          <t>62102000</t>
        </is>
      </c>
      <c r="D56" s="26">
        <f>IF($A56="","",IFERROR(INDEX(계정매핑!$B$5:$B$504,MATCH($C56&amp;"",계정매핑!$A$5:$A$504,0)),"계정매핑 없음"))</f>
        <v/>
      </c>
      <c r="E56" s="22">
        <f>IF($A56="","",$A56&amp;"|"&amp;$C56)</f>
        <v/>
      </c>
      <c r="F56" s="35">
        <f>IF($A56="","",월별집계!$Z56)</f>
        <v/>
      </c>
      <c r="G56" s="35">
        <f>IF($A56="","",월별집계!$Y56)</f>
        <v/>
      </c>
      <c r="H56" s="80">
        <f>IF($A56="","",IF(G56&lt;=0,IF(F56&gt;0,1,0),F56/G56-1))</f>
        <v/>
      </c>
      <c r="I56" s="35">
        <f>IF($A56="","",월별집계!$N56)</f>
        <v/>
      </c>
      <c r="J56" s="80">
        <f>IF($A56="","",IF(I56&lt;=0,IF(F56&gt;0,1,0),F56/I56-1))</f>
        <v/>
      </c>
      <c r="K56" s="35">
        <f>IF($A56="","",SUMIFS(월별집계!$C56:$Z56,월별집계!$C$5:$Z$5,"&gt;="&amp;설정!$C$22,월별집계!$C$5:$Z$5,"&lt;="&amp;설정!$C$20))</f>
        <v/>
      </c>
      <c r="L56" s="35">
        <f>IF($A56="","",SUMIFS(월별집계!$C56:$Z56,월별집계!$C$5:$Z$5,"&gt;="&amp;(설정!$C$22-3),월별집계!$C$5:$Z$5,"&lt;="&amp;(설정!$C$20-3)))</f>
        <v/>
      </c>
      <c r="M56" s="80">
        <f>IF($A56="","",IF(L56&lt;=0,IF(K56&gt;0,1,0),K56/L56-1))</f>
        <v/>
      </c>
      <c r="N56" s="40">
        <f>IF($A56="","",MAX(F56-G56,F56-I56))</f>
        <v/>
      </c>
      <c r="O56" s="62">
        <f>IF($A56="","",IFERROR((월별집계!$Z56-AVERAGE(월별집계!N56:Y56))/STDEV(월별집계!N56:Y56),0))</f>
        <v/>
      </c>
      <c r="P56" s="35">
        <f>IF($A56="","",SUMIFS(예산판_원본!$O$5:$O$5000,예산판_원본!$L$5:$L$5000,$E56,예산판_원본!$M$5:$M$5000,설정!$C$6))</f>
        <v/>
      </c>
      <c r="Q56" s="35">
        <f>IF($A56="","",SUMIFS(월별집계!$C56:$Z56,월별집계!$C$5:$Z$5,"&gt;="&amp;(설정!$C$6*12+1),월별집계!$C$5:$Z$5,"&lt;="&amp;설정!$C$20))</f>
        <v/>
      </c>
      <c r="R56" s="40">
        <f>IF($A56="","",P56-Q56)</f>
        <v/>
      </c>
      <c r="S56" s="35">
        <f>IF($A56="","",AVERAGE(월별집계!X56:Z56)*(12-설정!$C$7))</f>
        <v/>
      </c>
      <c r="T56" s="35">
        <f>IF($A56="","",IFERROR(Q56/(SUMIFS(월별집계!$C56:$Z56,월별집계!$C$5:$Z$5,"&gt;="&amp;((설정!$C$6-1)*12+1),월별집계!$C$5:$Z$5,"&lt;="&amp;(설정!$C$20-12))/SUMIFS(월별집계!$C56:$Z56,월별집계!$C$5:$Z$5,"&gt;="&amp;((설정!$C$6-1)*12+1),월별집계!$C$5:$Z$5,"&lt;="&amp;((설정!$C$6-1)*12+12)))-Q56,S56))</f>
        <v/>
      </c>
      <c r="U56" s="40">
        <f>IF($A56="","",Q56+MAX(S56,T56))</f>
        <v/>
      </c>
      <c r="V56" s="73">
        <f>IF($A56="","",IF(P56=0,0,U56/P56))</f>
        <v/>
      </c>
      <c r="W56" s="34">
        <f>IF($A56="","",IF(AND(P56=0,Q56&gt;0),"무예산",IF(P56=0,"-",IF(V56&gt;설정!$C$12,"부족 예상",IF(V56&gt;설정!$C$11,"주의","여유")))))</f>
        <v/>
      </c>
      <c r="X56" s="40">
        <f>IF($A56="","",IF(P56=0,0,MAX(0,U56-P56)))</f>
        <v/>
      </c>
      <c r="Y56" s="34">
        <f>IF($A56="","",IF(OR(W56&lt;&gt;"부족 예상",설정!$C$7=12),"",IF(R56&lt;=0,"이미 초과",MIN(12,설정!$C$7+ROUNDUP(R56/(MAX(S56,T56)/(12-설정!$C$7)),0))&amp;"월")))</f>
        <v/>
      </c>
      <c r="Z56" s="26">
        <f>IF($A56="","",TRIM(IF(AND(N(AC56)&gt;=설정!$C$14,N56&gt;=설정!$C$10),"단건"&amp;TEXT(MIN(AC56,1),"0%")&amp;" ","")&amp;IF(AND(N56&gt;0,AD56&gt;0),IF(AD56/N56&gt;=설정!$C$16,"SA대체 ",""),"")&amp;IF(AE56&gt;0,"역분개"&amp;AE56&amp;"건 ","")&amp;IF(O56&gt;=설정!$C$13,"이상치 ","")&amp;IF(AND(I56=0,F56&gt;0),"신규지출 ","")))</f>
        <v/>
      </c>
      <c r="AA56" s="62">
        <f>IF($A56="","",ROUND((AF56+AG56+AH56+AI56)*IF(AND(F56&lt;설정!$C$10,N56&lt;설정!$C$10),0.3,1),1))</f>
        <v/>
      </c>
      <c r="AB56" s="41">
        <f>IF($A56="","",AA56+ROW()/1000000)</f>
        <v/>
      </c>
      <c r="AC56" s="60">
        <f>IF(OR($A56="",N56&lt;=0),"",SUMPRODUCT(MAX((전표_원본!$O$5:$O$100000=$E56)*(전표_원본!$M$5:$M$100000=설정!$C$20)*전표_원본!$P$5:$P$100000))/N56)</f>
        <v/>
      </c>
      <c r="AD56" s="35">
        <f>IF($A56="","",SUMIFS(전표_원본!$P$5:$P$100000,전표_원본!$O$5:$O$100000,$E56,전표_원본!$M$5:$M$100000,설정!$C$20,전표_원본!$E$5:$E$100000,"SA")-SUMIFS(전표_원본!$P$5:$P$100000,전표_원본!$O$5:$O$100000,$E56,전표_원본!$M$5:$M$100000,설정!$C$20-1,전표_원본!$E$5:$E$100000,"SA"))</f>
        <v/>
      </c>
      <c r="AE56" s="81">
        <f>IF($A56="","",COUNTIFS(전표_원본!$O$5:$O$100000,$E56,전표_원본!$M$5:$M$100000,설정!$C$20,전표_원본!$P$5:$P$100000,"&lt;0"))</f>
        <v/>
      </c>
      <c r="AF56" s="62">
        <f>IF($A56="","",MIN(MAX(0,N56)/(설정!$C$10*5),1)*30)</f>
        <v/>
      </c>
      <c r="AG56" s="82">
        <f>IF($A56="","",MIN(MAX(0,H56,J56),1)*20)</f>
        <v/>
      </c>
      <c r="AH56" s="82">
        <f>IF($A56="","",MIN(MAX(0,O56)/3,1)*25)</f>
        <v/>
      </c>
      <c r="AI56" s="82">
        <f>IF($A56="","",IF(OR(W56="부족 예상",W56="무예산",AO56="한도 초과",AO56="초과 예상",AO56="무예산"),25,IF(OR(W56="주의",AO56="주의"),15,0)))</f>
        <v/>
      </c>
      <c r="AJ56" s="35">
        <f>IF($A56="","",SUMIFS(예산판_원본!$O$5:$O$5000,예산판_원본!$L$5:$L$5000,$E56,예산판_원본!$M$5:$M$5000,설정!$C$6,예산판_원본!$N$5:$N$5000,설정!$C$21))</f>
        <v/>
      </c>
      <c r="AK56" s="40">
        <f>IF($A56="","",K56)</f>
        <v/>
      </c>
      <c r="AL56" s="40">
        <f>IF($A56="","",AJ56-AK56)</f>
        <v/>
      </c>
      <c r="AM56" s="35">
        <f>IF($A56="","",AK56+AVERAGE(월별집계!X56:Z56)*MAX(0,설정!$C$22+2-설정!$C$20))</f>
        <v/>
      </c>
      <c r="AN56" s="73">
        <f>IF($A56="","",IF(AJ56=0,0,AM56/AJ56))</f>
        <v/>
      </c>
      <c r="AO56" s="34">
        <f>IF($A56="","",IF(AND(AJ56=0,AK56&gt;0),"무예산",IF(AJ56=0,"-",IF(AK56&gt;AJ56,"한도 초과",IF(AN56&gt;설정!$C$12,"초과 예상",IF(AN56&gt;설정!$C$11,"주의","여유"))))))</f>
        <v/>
      </c>
      <c r="AP56" s="35">
        <f>IF($A56="","",IF(설정!$C$19="최근월",(INDEX(월별집계!$AB56:$AM56,설정!$C$7)-INDEX(월별집계!$AB56:$AM56,MAX(1,설정!$C$7-1))*(설정!$C$7&gt;1)),IF(설정!$C$19="최근분기",((INDEX(월별집계!$AB56:$AM56,설정!$C$7)-INDEX(월별집계!$AB56:$AM56,MAX(1,설정!$C$7-3))*(설정!$C$7&gt;3))/MIN(3,설정!$C$7)),IF(설정!$C$19="전년추세",AZ56,((설정!$C$7+1)*SUMPRODUCT(월별집계!$AB$5:$AM$5,월별집계!$AB56:$AM56)-(설정!$C$7*(설정!$C$7+1)/2)*SUM(월별집계!$AB56:$AM56))/((설정!$C$7+1)*(설정!$C$7*(설정!$C$7+1)*(2*설정!$C$7+1)/6)-(설정!$C$7*(설정!$C$7+1)/2)^2)))))</f>
        <v/>
      </c>
      <c r="AQ56" s="35">
        <f>IF($A56="","",IF(설정!$C$19="연내누적",(SUM(월별집계!$AB56:$AM56)-AP56*(설정!$C$7*(설정!$C$7+1)/2))/(설정!$C$7+1),INDEX(월별집계!$AB56:$AM56,설정!$C$7)-AP56*설정!$C$7))</f>
        <v/>
      </c>
      <c r="AR56" s="40">
        <f>IF($A56="","",AQ56+AP56*12)</f>
        <v/>
      </c>
      <c r="AS56" s="82">
        <f>IF($A56="","",IF(OR(P56&lt;=0,Q56&gt;=P56,AP56&lt;=0),"",MAX(설정!$C$7,(P56-AQ56)/AP56)))</f>
        <v/>
      </c>
      <c r="AT56" s="22">
        <f>IF($A56="","",IF(AS56="",IF(AU56="이미 소진","소진됨",""),YEAR((DATE(설정!$C$6,1,1)+ROUND(AS56*365/12,0)-1))&amp;"-"&amp;TEXT(MONTH((DATE(설정!$C$6,1,1)+ROUND(AS56*365/12,0)-1)),"00")&amp;"-"&amp;TEXT(DAY((DATE(설정!$C$6,1,1)+ROUND(AS56*365/12,0)-1)),"00")))</f>
        <v/>
      </c>
      <c r="AU56" s="34">
        <f>IF($A56="","",IF(AND(P56&lt;=0,Q56&gt;0),"무예산",IF(P56&lt;=0,"-",IF(Q56&gt;=P56,"이미 소진",IF(AP56&lt;=0,"소진 안 됨",IF(AS56&lt;=12,"연내 고갈","연내 여유"))))))</f>
        <v/>
      </c>
      <c r="AV56" s="34">
        <f>IF($A56="","",IF(AJ56&lt;=0,"",IF(AK56&gt;=AJ56,"한도 소진",IF(AK56&lt;=0,"",IF(AJ56/(AK56/(설정!$C$20-설정!$C$22+1))&gt;3,"분기 내 여유",YEAR((DATE(설정!$C$6,설정!$C$22-설정!$C$6*12,1)+ROUND(MAX((설정!$C$20-설정!$C$22+1),AJ56/(AK56/(설정!$C$20-설정!$C$22+1)))*365/12,0)-1))&amp;"-"&amp;TEXT(MONTH((DATE(설정!$C$6,설정!$C$22-설정!$C$6*12,1)+ROUND(MAX((설정!$C$20-설정!$C$22+1),AJ56/(AK56/(설정!$C$20-설정!$C$22+1)))*365/12,0)-1)),"00")&amp;"-"&amp;TEXT(DAY((DATE(설정!$C$6,설정!$C$22-설정!$C$6*12,1)+ROUND(MAX((설정!$C$20-설정!$C$22+1),AJ56/(AK56/(설정!$C$20-설정!$C$22+1)))*365/12,0)-1)),"00"))))))</f>
        <v/>
      </c>
      <c r="AW56" s="41">
        <f>IF($A56="",999+ROW()/1000000,IF(AU56="이미 소진",ROW()/1000000,IF(AU56="연내 고갈",AS56+ROW()/1000000,99+ROW()/1000000)))</f>
        <v/>
      </c>
      <c r="AX56" s="35">
        <f>IF($A56="","",SUMIFS(월별집계!$C56:$Z56,월별집계!$C$5:$Z$5,"&gt;="&amp;((설정!$C$6-1)*12+1),월별집계!$C$5:$Z$5,"&lt;="&amp;(설정!$C$20-12)))</f>
        <v/>
      </c>
      <c r="AY56" s="80">
        <f>IF($A56="","",IF(AX56&lt;=0,IF(Q56&gt;0,1,0),Q56/AX56-1))</f>
        <v/>
      </c>
      <c r="AZ56" s="35">
        <f>IF($A56="","",SUMIFS(월별집계!$C56:$Z56,월별집계!$C$5:$Z$5,"&gt;"&amp;(설정!$C$20-12),월별집계!$C$5:$Z$5,"&lt;="&amp;((설정!$C$6-1)*12+12))/MAX(1,12-설정!$C$7))</f>
        <v/>
      </c>
    </row>
    <row r="57">
      <c r="A57" s="12" t="inlineStr">
        <is>
          <t>D700</t>
        </is>
      </c>
      <c r="B57" s="26">
        <f>IF($A57="","",IFERROR(INDEX(부서매핑!$D$5:$D$504,MATCH($A57,부서매핑!$C$5:$C$504,0)),"부서매핑 없음"))</f>
        <v/>
      </c>
      <c r="C57" s="79" t="inlineStr">
        <is>
          <t>62201000</t>
        </is>
      </c>
      <c r="D57" s="26">
        <f>IF($A57="","",IFERROR(INDEX(계정매핑!$B$5:$B$504,MATCH($C57&amp;"",계정매핑!$A$5:$A$504,0)),"계정매핑 없음"))</f>
        <v/>
      </c>
      <c r="E57" s="22">
        <f>IF($A57="","",$A57&amp;"|"&amp;$C57)</f>
        <v/>
      </c>
      <c r="F57" s="35">
        <f>IF($A57="","",월별집계!$Z57)</f>
        <v/>
      </c>
      <c r="G57" s="35">
        <f>IF($A57="","",월별집계!$Y57)</f>
        <v/>
      </c>
      <c r="H57" s="80">
        <f>IF($A57="","",IF(G57&lt;=0,IF(F57&gt;0,1,0),F57/G57-1))</f>
        <v/>
      </c>
      <c r="I57" s="35">
        <f>IF($A57="","",월별집계!$N57)</f>
        <v/>
      </c>
      <c r="J57" s="80">
        <f>IF($A57="","",IF(I57&lt;=0,IF(F57&gt;0,1,0),F57/I57-1))</f>
        <v/>
      </c>
      <c r="K57" s="35">
        <f>IF($A57="","",SUMIFS(월별집계!$C57:$Z57,월별집계!$C$5:$Z$5,"&gt;="&amp;설정!$C$22,월별집계!$C$5:$Z$5,"&lt;="&amp;설정!$C$20))</f>
        <v/>
      </c>
      <c r="L57" s="35">
        <f>IF($A57="","",SUMIFS(월별집계!$C57:$Z57,월별집계!$C$5:$Z$5,"&gt;="&amp;(설정!$C$22-3),월별집계!$C$5:$Z$5,"&lt;="&amp;(설정!$C$20-3)))</f>
        <v/>
      </c>
      <c r="M57" s="80">
        <f>IF($A57="","",IF(L57&lt;=0,IF(K57&gt;0,1,0),K57/L57-1))</f>
        <v/>
      </c>
      <c r="N57" s="40">
        <f>IF($A57="","",MAX(F57-G57,F57-I57))</f>
        <v/>
      </c>
      <c r="O57" s="62">
        <f>IF($A57="","",IFERROR((월별집계!$Z57-AVERAGE(월별집계!N57:Y57))/STDEV(월별집계!N57:Y57),0))</f>
        <v/>
      </c>
      <c r="P57" s="35">
        <f>IF($A57="","",SUMIFS(예산판_원본!$O$5:$O$5000,예산판_원본!$L$5:$L$5000,$E57,예산판_원본!$M$5:$M$5000,설정!$C$6))</f>
        <v/>
      </c>
      <c r="Q57" s="35">
        <f>IF($A57="","",SUMIFS(월별집계!$C57:$Z57,월별집계!$C$5:$Z$5,"&gt;="&amp;(설정!$C$6*12+1),월별집계!$C$5:$Z$5,"&lt;="&amp;설정!$C$20))</f>
        <v/>
      </c>
      <c r="R57" s="40">
        <f>IF($A57="","",P57-Q57)</f>
        <v/>
      </c>
      <c r="S57" s="35">
        <f>IF($A57="","",AVERAGE(월별집계!X57:Z57)*(12-설정!$C$7))</f>
        <v/>
      </c>
      <c r="T57" s="35">
        <f>IF($A57="","",IFERROR(Q57/(SUMIFS(월별집계!$C57:$Z57,월별집계!$C$5:$Z$5,"&gt;="&amp;((설정!$C$6-1)*12+1),월별집계!$C$5:$Z$5,"&lt;="&amp;(설정!$C$20-12))/SUMIFS(월별집계!$C57:$Z57,월별집계!$C$5:$Z$5,"&gt;="&amp;((설정!$C$6-1)*12+1),월별집계!$C$5:$Z$5,"&lt;="&amp;((설정!$C$6-1)*12+12)))-Q57,S57))</f>
        <v/>
      </c>
      <c r="U57" s="40">
        <f>IF($A57="","",Q57+MAX(S57,T57))</f>
        <v/>
      </c>
      <c r="V57" s="73">
        <f>IF($A57="","",IF(P57=0,0,U57/P57))</f>
        <v/>
      </c>
      <c r="W57" s="34">
        <f>IF($A57="","",IF(AND(P57=0,Q57&gt;0),"무예산",IF(P57=0,"-",IF(V57&gt;설정!$C$12,"부족 예상",IF(V57&gt;설정!$C$11,"주의","여유")))))</f>
        <v/>
      </c>
      <c r="X57" s="40">
        <f>IF($A57="","",IF(P57=0,0,MAX(0,U57-P57)))</f>
        <v/>
      </c>
      <c r="Y57" s="34">
        <f>IF($A57="","",IF(OR(W57&lt;&gt;"부족 예상",설정!$C$7=12),"",IF(R57&lt;=0,"이미 초과",MIN(12,설정!$C$7+ROUNDUP(R57/(MAX(S57,T57)/(12-설정!$C$7)),0))&amp;"월")))</f>
        <v/>
      </c>
      <c r="Z57" s="26">
        <f>IF($A57="","",TRIM(IF(AND(N(AC57)&gt;=설정!$C$14,N57&gt;=설정!$C$10),"단건"&amp;TEXT(MIN(AC57,1),"0%")&amp;" ","")&amp;IF(AND(N57&gt;0,AD57&gt;0),IF(AD57/N57&gt;=설정!$C$16,"SA대체 ",""),"")&amp;IF(AE57&gt;0,"역분개"&amp;AE57&amp;"건 ","")&amp;IF(O57&gt;=설정!$C$13,"이상치 ","")&amp;IF(AND(I57=0,F57&gt;0),"신규지출 ","")))</f>
        <v/>
      </c>
      <c r="AA57" s="62">
        <f>IF($A57="","",ROUND((AF57+AG57+AH57+AI57)*IF(AND(F57&lt;설정!$C$10,N57&lt;설정!$C$10),0.3,1),1))</f>
        <v/>
      </c>
      <c r="AB57" s="41">
        <f>IF($A57="","",AA57+ROW()/1000000)</f>
        <v/>
      </c>
      <c r="AC57" s="60">
        <f>IF(OR($A57="",N57&lt;=0),"",SUMPRODUCT(MAX((전표_원본!$O$5:$O$100000=$E57)*(전표_원본!$M$5:$M$100000=설정!$C$20)*전표_원본!$P$5:$P$100000))/N57)</f>
        <v/>
      </c>
      <c r="AD57" s="35">
        <f>IF($A57="","",SUMIFS(전표_원본!$P$5:$P$100000,전표_원본!$O$5:$O$100000,$E57,전표_원본!$M$5:$M$100000,설정!$C$20,전표_원본!$E$5:$E$100000,"SA")-SUMIFS(전표_원본!$P$5:$P$100000,전표_원본!$O$5:$O$100000,$E57,전표_원본!$M$5:$M$100000,설정!$C$20-1,전표_원본!$E$5:$E$100000,"SA"))</f>
        <v/>
      </c>
      <c r="AE57" s="81">
        <f>IF($A57="","",COUNTIFS(전표_원본!$O$5:$O$100000,$E57,전표_원본!$M$5:$M$100000,설정!$C$20,전표_원본!$P$5:$P$100000,"&lt;0"))</f>
        <v/>
      </c>
      <c r="AF57" s="62">
        <f>IF($A57="","",MIN(MAX(0,N57)/(설정!$C$10*5),1)*30)</f>
        <v/>
      </c>
      <c r="AG57" s="82">
        <f>IF($A57="","",MIN(MAX(0,H57,J57),1)*20)</f>
        <v/>
      </c>
      <c r="AH57" s="82">
        <f>IF($A57="","",MIN(MAX(0,O57)/3,1)*25)</f>
        <v/>
      </c>
      <c r="AI57" s="82">
        <f>IF($A57="","",IF(OR(W57="부족 예상",W57="무예산",AO57="한도 초과",AO57="초과 예상",AO57="무예산"),25,IF(OR(W57="주의",AO57="주의"),15,0)))</f>
        <v/>
      </c>
      <c r="AJ57" s="35">
        <f>IF($A57="","",SUMIFS(예산판_원본!$O$5:$O$5000,예산판_원본!$L$5:$L$5000,$E57,예산판_원본!$M$5:$M$5000,설정!$C$6,예산판_원본!$N$5:$N$5000,설정!$C$21))</f>
        <v/>
      </c>
      <c r="AK57" s="40">
        <f>IF($A57="","",K57)</f>
        <v/>
      </c>
      <c r="AL57" s="40">
        <f>IF($A57="","",AJ57-AK57)</f>
        <v/>
      </c>
      <c r="AM57" s="35">
        <f>IF($A57="","",AK57+AVERAGE(월별집계!X57:Z57)*MAX(0,설정!$C$22+2-설정!$C$20))</f>
        <v/>
      </c>
      <c r="AN57" s="73">
        <f>IF($A57="","",IF(AJ57=0,0,AM57/AJ57))</f>
        <v/>
      </c>
      <c r="AO57" s="34">
        <f>IF($A57="","",IF(AND(AJ57=0,AK57&gt;0),"무예산",IF(AJ57=0,"-",IF(AK57&gt;AJ57,"한도 초과",IF(AN57&gt;설정!$C$12,"초과 예상",IF(AN57&gt;설정!$C$11,"주의","여유"))))))</f>
        <v/>
      </c>
      <c r="AP57" s="35">
        <f>IF($A57="","",IF(설정!$C$19="최근월",(INDEX(월별집계!$AB57:$AM57,설정!$C$7)-INDEX(월별집계!$AB57:$AM57,MAX(1,설정!$C$7-1))*(설정!$C$7&gt;1)),IF(설정!$C$19="최근분기",((INDEX(월별집계!$AB57:$AM57,설정!$C$7)-INDEX(월별집계!$AB57:$AM57,MAX(1,설정!$C$7-3))*(설정!$C$7&gt;3))/MIN(3,설정!$C$7)),IF(설정!$C$19="전년추세",AZ57,((설정!$C$7+1)*SUMPRODUCT(월별집계!$AB$5:$AM$5,월별집계!$AB57:$AM57)-(설정!$C$7*(설정!$C$7+1)/2)*SUM(월별집계!$AB57:$AM57))/((설정!$C$7+1)*(설정!$C$7*(설정!$C$7+1)*(2*설정!$C$7+1)/6)-(설정!$C$7*(설정!$C$7+1)/2)^2)))))</f>
        <v/>
      </c>
      <c r="AQ57" s="35">
        <f>IF($A57="","",IF(설정!$C$19="연내누적",(SUM(월별집계!$AB57:$AM57)-AP57*(설정!$C$7*(설정!$C$7+1)/2))/(설정!$C$7+1),INDEX(월별집계!$AB57:$AM57,설정!$C$7)-AP57*설정!$C$7))</f>
        <v/>
      </c>
      <c r="AR57" s="40">
        <f>IF($A57="","",AQ57+AP57*12)</f>
        <v/>
      </c>
      <c r="AS57" s="82">
        <f>IF($A57="","",IF(OR(P57&lt;=0,Q57&gt;=P57,AP57&lt;=0),"",MAX(설정!$C$7,(P57-AQ57)/AP57)))</f>
        <v/>
      </c>
      <c r="AT57" s="22">
        <f>IF($A57="","",IF(AS57="",IF(AU57="이미 소진","소진됨",""),YEAR((DATE(설정!$C$6,1,1)+ROUND(AS57*365/12,0)-1))&amp;"-"&amp;TEXT(MONTH((DATE(설정!$C$6,1,1)+ROUND(AS57*365/12,0)-1)),"00")&amp;"-"&amp;TEXT(DAY((DATE(설정!$C$6,1,1)+ROUND(AS57*365/12,0)-1)),"00")))</f>
        <v/>
      </c>
      <c r="AU57" s="34">
        <f>IF($A57="","",IF(AND(P57&lt;=0,Q57&gt;0),"무예산",IF(P57&lt;=0,"-",IF(Q57&gt;=P57,"이미 소진",IF(AP57&lt;=0,"소진 안 됨",IF(AS57&lt;=12,"연내 고갈","연내 여유"))))))</f>
        <v/>
      </c>
      <c r="AV57" s="34">
        <f>IF($A57="","",IF(AJ57&lt;=0,"",IF(AK57&gt;=AJ57,"한도 소진",IF(AK57&lt;=0,"",IF(AJ57/(AK57/(설정!$C$20-설정!$C$22+1))&gt;3,"분기 내 여유",YEAR((DATE(설정!$C$6,설정!$C$22-설정!$C$6*12,1)+ROUND(MAX((설정!$C$20-설정!$C$22+1),AJ57/(AK57/(설정!$C$20-설정!$C$22+1)))*365/12,0)-1))&amp;"-"&amp;TEXT(MONTH((DATE(설정!$C$6,설정!$C$22-설정!$C$6*12,1)+ROUND(MAX((설정!$C$20-설정!$C$22+1),AJ57/(AK57/(설정!$C$20-설정!$C$22+1)))*365/12,0)-1)),"00")&amp;"-"&amp;TEXT(DAY((DATE(설정!$C$6,설정!$C$22-설정!$C$6*12,1)+ROUND(MAX((설정!$C$20-설정!$C$22+1),AJ57/(AK57/(설정!$C$20-설정!$C$22+1)))*365/12,0)-1)),"00"))))))</f>
        <v/>
      </c>
      <c r="AW57" s="41">
        <f>IF($A57="",999+ROW()/1000000,IF(AU57="이미 소진",ROW()/1000000,IF(AU57="연내 고갈",AS57+ROW()/1000000,99+ROW()/1000000)))</f>
        <v/>
      </c>
      <c r="AX57" s="35">
        <f>IF($A57="","",SUMIFS(월별집계!$C57:$Z57,월별집계!$C$5:$Z$5,"&gt;="&amp;((설정!$C$6-1)*12+1),월별집계!$C$5:$Z$5,"&lt;="&amp;(설정!$C$20-12)))</f>
        <v/>
      </c>
      <c r="AY57" s="80">
        <f>IF($A57="","",IF(AX57&lt;=0,IF(Q57&gt;0,1,0),Q57/AX57-1))</f>
        <v/>
      </c>
      <c r="AZ57" s="35">
        <f>IF($A57="","",SUMIFS(월별집계!$C57:$Z57,월별집계!$C$5:$Z$5,"&gt;"&amp;(설정!$C$20-12),월별집계!$C$5:$Z$5,"&lt;="&amp;((설정!$C$6-1)*12+12))/MAX(1,12-설정!$C$7))</f>
        <v/>
      </c>
    </row>
    <row r="58">
      <c r="A58" s="12" t="inlineStr">
        <is>
          <t>D700</t>
        </is>
      </c>
      <c r="B58" s="26">
        <f>IF($A58="","",IFERROR(INDEX(부서매핑!$D$5:$D$504,MATCH($A58,부서매핑!$C$5:$C$504,0)),"부서매핑 없음"))</f>
        <v/>
      </c>
      <c r="C58" s="79" t="inlineStr">
        <is>
          <t>62301000</t>
        </is>
      </c>
      <c r="D58" s="26">
        <f>IF($A58="","",IFERROR(INDEX(계정매핑!$B$5:$B$504,MATCH($C58&amp;"",계정매핑!$A$5:$A$504,0)),"계정매핑 없음"))</f>
        <v/>
      </c>
      <c r="E58" s="22">
        <f>IF($A58="","",$A58&amp;"|"&amp;$C58)</f>
        <v/>
      </c>
      <c r="F58" s="35">
        <f>IF($A58="","",월별집계!$Z58)</f>
        <v/>
      </c>
      <c r="G58" s="35">
        <f>IF($A58="","",월별집계!$Y58)</f>
        <v/>
      </c>
      <c r="H58" s="80">
        <f>IF($A58="","",IF(G58&lt;=0,IF(F58&gt;0,1,0),F58/G58-1))</f>
        <v/>
      </c>
      <c r="I58" s="35">
        <f>IF($A58="","",월별집계!$N58)</f>
        <v/>
      </c>
      <c r="J58" s="80">
        <f>IF($A58="","",IF(I58&lt;=0,IF(F58&gt;0,1,0),F58/I58-1))</f>
        <v/>
      </c>
      <c r="K58" s="35">
        <f>IF($A58="","",SUMIFS(월별집계!$C58:$Z58,월별집계!$C$5:$Z$5,"&gt;="&amp;설정!$C$22,월별집계!$C$5:$Z$5,"&lt;="&amp;설정!$C$20))</f>
        <v/>
      </c>
      <c r="L58" s="35">
        <f>IF($A58="","",SUMIFS(월별집계!$C58:$Z58,월별집계!$C$5:$Z$5,"&gt;="&amp;(설정!$C$22-3),월별집계!$C$5:$Z$5,"&lt;="&amp;(설정!$C$20-3)))</f>
        <v/>
      </c>
      <c r="M58" s="80">
        <f>IF($A58="","",IF(L58&lt;=0,IF(K58&gt;0,1,0),K58/L58-1))</f>
        <v/>
      </c>
      <c r="N58" s="40">
        <f>IF($A58="","",MAX(F58-G58,F58-I58))</f>
        <v/>
      </c>
      <c r="O58" s="62">
        <f>IF($A58="","",IFERROR((월별집계!$Z58-AVERAGE(월별집계!N58:Y58))/STDEV(월별집계!N58:Y58),0))</f>
        <v/>
      </c>
      <c r="P58" s="35">
        <f>IF($A58="","",SUMIFS(예산판_원본!$O$5:$O$5000,예산판_원본!$L$5:$L$5000,$E58,예산판_원본!$M$5:$M$5000,설정!$C$6))</f>
        <v/>
      </c>
      <c r="Q58" s="35">
        <f>IF($A58="","",SUMIFS(월별집계!$C58:$Z58,월별집계!$C$5:$Z$5,"&gt;="&amp;(설정!$C$6*12+1),월별집계!$C$5:$Z$5,"&lt;="&amp;설정!$C$20))</f>
        <v/>
      </c>
      <c r="R58" s="40">
        <f>IF($A58="","",P58-Q58)</f>
        <v/>
      </c>
      <c r="S58" s="35">
        <f>IF($A58="","",AVERAGE(월별집계!X58:Z58)*(12-설정!$C$7))</f>
        <v/>
      </c>
      <c r="T58" s="35">
        <f>IF($A58="","",IFERROR(Q58/(SUMIFS(월별집계!$C58:$Z58,월별집계!$C$5:$Z$5,"&gt;="&amp;((설정!$C$6-1)*12+1),월별집계!$C$5:$Z$5,"&lt;="&amp;(설정!$C$20-12))/SUMIFS(월별집계!$C58:$Z58,월별집계!$C$5:$Z$5,"&gt;="&amp;((설정!$C$6-1)*12+1),월별집계!$C$5:$Z$5,"&lt;="&amp;((설정!$C$6-1)*12+12)))-Q58,S58))</f>
        <v/>
      </c>
      <c r="U58" s="40">
        <f>IF($A58="","",Q58+MAX(S58,T58))</f>
        <v/>
      </c>
      <c r="V58" s="73">
        <f>IF($A58="","",IF(P58=0,0,U58/P58))</f>
        <v/>
      </c>
      <c r="W58" s="34">
        <f>IF($A58="","",IF(AND(P58=0,Q58&gt;0),"무예산",IF(P58=0,"-",IF(V58&gt;설정!$C$12,"부족 예상",IF(V58&gt;설정!$C$11,"주의","여유")))))</f>
        <v/>
      </c>
      <c r="X58" s="40">
        <f>IF($A58="","",IF(P58=0,0,MAX(0,U58-P58)))</f>
        <v/>
      </c>
      <c r="Y58" s="34">
        <f>IF($A58="","",IF(OR(W58&lt;&gt;"부족 예상",설정!$C$7=12),"",IF(R58&lt;=0,"이미 초과",MIN(12,설정!$C$7+ROUNDUP(R58/(MAX(S58,T58)/(12-설정!$C$7)),0))&amp;"월")))</f>
        <v/>
      </c>
      <c r="Z58" s="26">
        <f>IF($A58="","",TRIM(IF(AND(N(AC58)&gt;=설정!$C$14,N58&gt;=설정!$C$10),"단건"&amp;TEXT(MIN(AC58,1),"0%")&amp;" ","")&amp;IF(AND(N58&gt;0,AD58&gt;0),IF(AD58/N58&gt;=설정!$C$16,"SA대체 ",""),"")&amp;IF(AE58&gt;0,"역분개"&amp;AE58&amp;"건 ","")&amp;IF(O58&gt;=설정!$C$13,"이상치 ","")&amp;IF(AND(I58=0,F58&gt;0),"신규지출 ","")))</f>
        <v/>
      </c>
      <c r="AA58" s="62">
        <f>IF($A58="","",ROUND((AF58+AG58+AH58+AI58)*IF(AND(F58&lt;설정!$C$10,N58&lt;설정!$C$10),0.3,1),1))</f>
        <v/>
      </c>
      <c r="AB58" s="41">
        <f>IF($A58="","",AA58+ROW()/1000000)</f>
        <v/>
      </c>
      <c r="AC58" s="60">
        <f>IF(OR($A58="",N58&lt;=0),"",SUMPRODUCT(MAX((전표_원본!$O$5:$O$100000=$E58)*(전표_원본!$M$5:$M$100000=설정!$C$20)*전표_원본!$P$5:$P$100000))/N58)</f>
        <v/>
      </c>
      <c r="AD58" s="35">
        <f>IF($A58="","",SUMIFS(전표_원본!$P$5:$P$100000,전표_원본!$O$5:$O$100000,$E58,전표_원본!$M$5:$M$100000,설정!$C$20,전표_원본!$E$5:$E$100000,"SA")-SUMIFS(전표_원본!$P$5:$P$100000,전표_원본!$O$5:$O$100000,$E58,전표_원본!$M$5:$M$100000,설정!$C$20-1,전표_원본!$E$5:$E$100000,"SA"))</f>
        <v/>
      </c>
      <c r="AE58" s="81">
        <f>IF($A58="","",COUNTIFS(전표_원본!$O$5:$O$100000,$E58,전표_원본!$M$5:$M$100000,설정!$C$20,전표_원본!$P$5:$P$100000,"&lt;0"))</f>
        <v/>
      </c>
      <c r="AF58" s="62">
        <f>IF($A58="","",MIN(MAX(0,N58)/(설정!$C$10*5),1)*30)</f>
        <v/>
      </c>
      <c r="AG58" s="82">
        <f>IF($A58="","",MIN(MAX(0,H58,J58),1)*20)</f>
        <v/>
      </c>
      <c r="AH58" s="82">
        <f>IF($A58="","",MIN(MAX(0,O58)/3,1)*25)</f>
        <v/>
      </c>
      <c r="AI58" s="82">
        <f>IF($A58="","",IF(OR(W58="부족 예상",W58="무예산",AO58="한도 초과",AO58="초과 예상",AO58="무예산"),25,IF(OR(W58="주의",AO58="주의"),15,0)))</f>
        <v/>
      </c>
      <c r="AJ58" s="35">
        <f>IF($A58="","",SUMIFS(예산판_원본!$O$5:$O$5000,예산판_원본!$L$5:$L$5000,$E58,예산판_원본!$M$5:$M$5000,설정!$C$6,예산판_원본!$N$5:$N$5000,설정!$C$21))</f>
        <v/>
      </c>
      <c r="AK58" s="40">
        <f>IF($A58="","",K58)</f>
        <v/>
      </c>
      <c r="AL58" s="40">
        <f>IF($A58="","",AJ58-AK58)</f>
        <v/>
      </c>
      <c r="AM58" s="35">
        <f>IF($A58="","",AK58+AVERAGE(월별집계!X58:Z58)*MAX(0,설정!$C$22+2-설정!$C$20))</f>
        <v/>
      </c>
      <c r="AN58" s="73">
        <f>IF($A58="","",IF(AJ58=0,0,AM58/AJ58))</f>
        <v/>
      </c>
      <c r="AO58" s="34">
        <f>IF($A58="","",IF(AND(AJ58=0,AK58&gt;0),"무예산",IF(AJ58=0,"-",IF(AK58&gt;AJ58,"한도 초과",IF(AN58&gt;설정!$C$12,"초과 예상",IF(AN58&gt;설정!$C$11,"주의","여유"))))))</f>
        <v/>
      </c>
      <c r="AP58" s="35">
        <f>IF($A58="","",IF(설정!$C$19="최근월",(INDEX(월별집계!$AB58:$AM58,설정!$C$7)-INDEX(월별집계!$AB58:$AM58,MAX(1,설정!$C$7-1))*(설정!$C$7&gt;1)),IF(설정!$C$19="최근분기",((INDEX(월별집계!$AB58:$AM58,설정!$C$7)-INDEX(월별집계!$AB58:$AM58,MAX(1,설정!$C$7-3))*(설정!$C$7&gt;3))/MIN(3,설정!$C$7)),IF(설정!$C$19="전년추세",AZ58,((설정!$C$7+1)*SUMPRODUCT(월별집계!$AB$5:$AM$5,월별집계!$AB58:$AM58)-(설정!$C$7*(설정!$C$7+1)/2)*SUM(월별집계!$AB58:$AM58))/((설정!$C$7+1)*(설정!$C$7*(설정!$C$7+1)*(2*설정!$C$7+1)/6)-(설정!$C$7*(설정!$C$7+1)/2)^2)))))</f>
        <v/>
      </c>
      <c r="AQ58" s="35">
        <f>IF($A58="","",IF(설정!$C$19="연내누적",(SUM(월별집계!$AB58:$AM58)-AP58*(설정!$C$7*(설정!$C$7+1)/2))/(설정!$C$7+1),INDEX(월별집계!$AB58:$AM58,설정!$C$7)-AP58*설정!$C$7))</f>
        <v/>
      </c>
      <c r="AR58" s="40">
        <f>IF($A58="","",AQ58+AP58*12)</f>
        <v/>
      </c>
      <c r="AS58" s="82">
        <f>IF($A58="","",IF(OR(P58&lt;=0,Q58&gt;=P58,AP58&lt;=0),"",MAX(설정!$C$7,(P58-AQ58)/AP58)))</f>
        <v/>
      </c>
      <c r="AT58" s="22">
        <f>IF($A58="","",IF(AS58="",IF(AU58="이미 소진","소진됨",""),YEAR((DATE(설정!$C$6,1,1)+ROUND(AS58*365/12,0)-1))&amp;"-"&amp;TEXT(MONTH((DATE(설정!$C$6,1,1)+ROUND(AS58*365/12,0)-1)),"00")&amp;"-"&amp;TEXT(DAY((DATE(설정!$C$6,1,1)+ROUND(AS58*365/12,0)-1)),"00")))</f>
        <v/>
      </c>
      <c r="AU58" s="34">
        <f>IF($A58="","",IF(AND(P58&lt;=0,Q58&gt;0),"무예산",IF(P58&lt;=0,"-",IF(Q58&gt;=P58,"이미 소진",IF(AP58&lt;=0,"소진 안 됨",IF(AS58&lt;=12,"연내 고갈","연내 여유"))))))</f>
        <v/>
      </c>
      <c r="AV58" s="34">
        <f>IF($A58="","",IF(AJ58&lt;=0,"",IF(AK58&gt;=AJ58,"한도 소진",IF(AK58&lt;=0,"",IF(AJ58/(AK58/(설정!$C$20-설정!$C$22+1))&gt;3,"분기 내 여유",YEAR((DATE(설정!$C$6,설정!$C$22-설정!$C$6*12,1)+ROUND(MAX((설정!$C$20-설정!$C$22+1),AJ58/(AK58/(설정!$C$20-설정!$C$22+1)))*365/12,0)-1))&amp;"-"&amp;TEXT(MONTH((DATE(설정!$C$6,설정!$C$22-설정!$C$6*12,1)+ROUND(MAX((설정!$C$20-설정!$C$22+1),AJ58/(AK58/(설정!$C$20-설정!$C$22+1)))*365/12,0)-1)),"00")&amp;"-"&amp;TEXT(DAY((DATE(설정!$C$6,설정!$C$22-설정!$C$6*12,1)+ROUND(MAX((설정!$C$20-설정!$C$22+1),AJ58/(AK58/(설정!$C$20-설정!$C$22+1)))*365/12,0)-1)),"00"))))))</f>
        <v/>
      </c>
      <c r="AW58" s="41">
        <f>IF($A58="",999+ROW()/1000000,IF(AU58="이미 소진",ROW()/1000000,IF(AU58="연내 고갈",AS58+ROW()/1000000,99+ROW()/1000000)))</f>
        <v/>
      </c>
      <c r="AX58" s="35">
        <f>IF($A58="","",SUMIFS(월별집계!$C58:$Z58,월별집계!$C$5:$Z$5,"&gt;="&amp;((설정!$C$6-1)*12+1),월별집계!$C$5:$Z$5,"&lt;="&amp;(설정!$C$20-12)))</f>
        <v/>
      </c>
      <c r="AY58" s="80">
        <f>IF($A58="","",IF(AX58&lt;=0,IF(Q58&gt;0,1,0),Q58/AX58-1))</f>
        <v/>
      </c>
      <c r="AZ58" s="35">
        <f>IF($A58="","",SUMIFS(월별집계!$C58:$Z58,월별집계!$C$5:$Z$5,"&gt;"&amp;(설정!$C$20-12),월별집계!$C$5:$Z$5,"&lt;="&amp;((설정!$C$6-1)*12+12))/MAX(1,12-설정!$C$7))</f>
        <v/>
      </c>
    </row>
    <row r="59">
      <c r="A59" s="12" t="inlineStr">
        <is>
          <t>D700</t>
        </is>
      </c>
      <c r="B59" s="26">
        <f>IF($A59="","",IFERROR(INDEX(부서매핑!$D$5:$D$504,MATCH($A59,부서매핑!$C$5:$C$504,0)),"부서매핑 없음"))</f>
        <v/>
      </c>
      <c r="C59" s="79" t="inlineStr">
        <is>
          <t>62501000</t>
        </is>
      </c>
      <c r="D59" s="26">
        <f>IF($A59="","",IFERROR(INDEX(계정매핑!$B$5:$B$504,MATCH($C59&amp;"",계정매핑!$A$5:$A$504,0)),"계정매핑 없음"))</f>
        <v/>
      </c>
      <c r="E59" s="22">
        <f>IF($A59="","",$A59&amp;"|"&amp;$C59)</f>
        <v/>
      </c>
      <c r="F59" s="35">
        <f>IF($A59="","",월별집계!$Z59)</f>
        <v/>
      </c>
      <c r="G59" s="35">
        <f>IF($A59="","",월별집계!$Y59)</f>
        <v/>
      </c>
      <c r="H59" s="80">
        <f>IF($A59="","",IF(G59&lt;=0,IF(F59&gt;0,1,0),F59/G59-1))</f>
        <v/>
      </c>
      <c r="I59" s="35">
        <f>IF($A59="","",월별집계!$N59)</f>
        <v/>
      </c>
      <c r="J59" s="80">
        <f>IF($A59="","",IF(I59&lt;=0,IF(F59&gt;0,1,0),F59/I59-1))</f>
        <v/>
      </c>
      <c r="K59" s="35">
        <f>IF($A59="","",SUMIFS(월별집계!$C59:$Z59,월별집계!$C$5:$Z$5,"&gt;="&amp;설정!$C$22,월별집계!$C$5:$Z$5,"&lt;="&amp;설정!$C$20))</f>
        <v/>
      </c>
      <c r="L59" s="35">
        <f>IF($A59="","",SUMIFS(월별집계!$C59:$Z59,월별집계!$C$5:$Z$5,"&gt;="&amp;(설정!$C$22-3),월별집계!$C$5:$Z$5,"&lt;="&amp;(설정!$C$20-3)))</f>
        <v/>
      </c>
      <c r="M59" s="80">
        <f>IF($A59="","",IF(L59&lt;=0,IF(K59&gt;0,1,0),K59/L59-1))</f>
        <v/>
      </c>
      <c r="N59" s="40">
        <f>IF($A59="","",MAX(F59-G59,F59-I59))</f>
        <v/>
      </c>
      <c r="O59" s="62">
        <f>IF($A59="","",IFERROR((월별집계!$Z59-AVERAGE(월별집계!N59:Y59))/STDEV(월별집계!N59:Y59),0))</f>
        <v/>
      </c>
      <c r="P59" s="35">
        <f>IF($A59="","",SUMIFS(예산판_원본!$O$5:$O$5000,예산판_원본!$L$5:$L$5000,$E59,예산판_원본!$M$5:$M$5000,설정!$C$6))</f>
        <v/>
      </c>
      <c r="Q59" s="35">
        <f>IF($A59="","",SUMIFS(월별집계!$C59:$Z59,월별집계!$C$5:$Z$5,"&gt;="&amp;(설정!$C$6*12+1),월별집계!$C$5:$Z$5,"&lt;="&amp;설정!$C$20))</f>
        <v/>
      </c>
      <c r="R59" s="40">
        <f>IF($A59="","",P59-Q59)</f>
        <v/>
      </c>
      <c r="S59" s="35">
        <f>IF($A59="","",AVERAGE(월별집계!X59:Z59)*(12-설정!$C$7))</f>
        <v/>
      </c>
      <c r="T59" s="35">
        <f>IF($A59="","",IFERROR(Q59/(SUMIFS(월별집계!$C59:$Z59,월별집계!$C$5:$Z$5,"&gt;="&amp;((설정!$C$6-1)*12+1),월별집계!$C$5:$Z$5,"&lt;="&amp;(설정!$C$20-12))/SUMIFS(월별집계!$C59:$Z59,월별집계!$C$5:$Z$5,"&gt;="&amp;((설정!$C$6-1)*12+1),월별집계!$C$5:$Z$5,"&lt;="&amp;((설정!$C$6-1)*12+12)))-Q59,S59))</f>
        <v/>
      </c>
      <c r="U59" s="40">
        <f>IF($A59="","",Q59+MAX(S59,T59))</f>
        <v/>
      </c>
      <c r="V59" s="73">
        <f>IF($A59="","",IF(P59=0,0,U59/P59))</f>
        <v/>
      </c>
      <c r="W59" s="34">
        <f>IF($A59="","",IF(AND(P59=0,Q59&gt;0),"무예산",IF(P59=0,"-",IF(V59&gt;설정!$C$12,"부족 예상",IF(V59&gt;설정!$C$11,"주의","여유")))))</f>
        <v/>
      </c>
      <c r="X59" s="40">
        <f>IF($A59="","",IF(P59=0,0,MAX(0,U59-P59)))</f>
        <v/>
      </c>
      <c r="Y59" s="34">
        <f>IF($A59="","",IF(OR(W59&lt;&gt;"부족 예상",설정!$C$7=12),"",IF(R59&lt;=0,"이미 초과",MIN(12,설정!$C$7+ROUNDUP(R59/(MAX(S59,T59)/(12-설정!$C$7)),0))&amp;"월")))</f>
        <v/>
      </c>
      <c r="Z59" s="26">
        <f>IF($A59="","",TRIM(IF(AND(N(AC59)&gt;=설정!$C$14,N59&gt;=설정!$C$10),"단건"&amp;TEXT(MIN(AC59,1),"0%")&amp;" ","")&amp;IF(AND(N59&gt;0,AD59&gt;0),IF(AD59/N59&gt;=설정!$C$16,"SA대체 ",""),"")&amp;IF(AE59&gt;0,"역분개"&amp;AE59&amp;"건 ","")&amp;IF(O59&gt;=설정!$C$13,"이상치 ","")&amp;IF(AND(I59=0,F59&gt;0),"신규지출 ","")))</f>
        <v/>
      </c>
      <c r="AA59" s="62">
        <f>IF($A59="","",ROUND((AF59+AG59+AH59+AI59)*IF(AND(F59&lt;설정!$C$10,N59&lt;설정!$C$10),0.3,1),1))</f>
        <v/>
      </c>
      <c r="AB59" s="41">
        <f>IF($A59="","",AA59+ROW()/1000000)</f>
        <v/>
      </c>
      <c r="AC59" s="60">
        <f>IF(OR($A59="",N59&lt;=0),"",SUMPRODUCT(MAX((전표_원본!$O$5:$O$100000=$E59)*(전표_원본!$M$5:$M$100000=설정!$C$20)*전표_원본!$P$5:$P$100000))/N59)</f>
        <v/>
      </c>
      <c r="AD59" s="35">
        <f>IF($A59="","",SUMIFS(전표_원본!$P$5:$P$100000,전표_원본!$O$5:$O$100000,$E59,전표_원본!$M$5:$M$100000,설정!$C$20,전표_원본!$E$5:$E$100000,"SA")-SUMIFS(전표_원본!$P$5:$P$100000,전표_원본!$O$5:$O$100000,$E59,전표_원본!$M$5:$M$100000,설정!$C$20-1,전표_원본!$E$5:$E$100000,"SA"))</f>
        <v/>
      </c>
      <c r="AE59" s="81">
        <f>IF($A59="","",COUNTIFS(전표_원본!$O$5:$O$100000,$E59,전표_원본!$M$5:$M$100000,설정!$C$20,전표_원본!$P$5:$P$100000,"&lt;0"))</f>
        <v/>
      </c>
      <c r="AF59" s="62">
        <f>IF($A59="","",MIN(MAX(0,N59)/(설정!$C$10*5),1)*30)</f>
        <v/>
      </c>
      <c r="AG59" s="82">
        <f>IF($A59="","",MIN(MAX(0,H59,J59),1)*20)</f>
        <v/>
      </c>
      <c r="AH59" s="82">
        <f>IF($A59="","",MIN(MAX(0,O59)/3,1)*25)</f>
        <v/>
      </c>
      <c r="AI59" s="82">
        <f>IF($A59="","",IF(OR(W59="부족 예상",W59="무예산",AO59="한도 초과",AO59="초과 예상",AO59="무예산"),25,IF(OR(W59="주의",AO59="주의"),15,0)))</f>
        <v/>
      </c>
      <c r="AJ59" s="35">
        <f>IF($A59="","",SUMIFS(예산판_원본!$O$5:$O$5000,예산판_원본!$L$5:$L$5000,$E59,예산판_원본!$M$5:$M$5000,설정!$C$6,예산판_원본!$N$5:$N$5000,설정!$C$21))</f>
        <v/>
      </c>
      <c r="AK59" s="40">
        <f>IF($A59="","",K59)</f>
        <v/>
      </c>
      <c r="AL59" s="40">
        <f>IF($A59="","",AJ59-AK59)</f>
        <v/>
      </c>
      <c r="AM59" s="35">
        <f>IF($A59="","",AK59+AVERAGE(월별집계!X59:Z59)*MAX(0,설정!$C$22+2-설정!$C$20))</f>
        <v/>
      </c>
      <c r="AN59" s="73">
        <f>IF($A59="","",IF(AJ59=0,0,AM59/AJ59))</f>
        <v/>
      </c>
      <c r="AO59" s="34">
        <f>IF($A59="","",IF(AND(AJ59=0,AK59&gt;0),"무예산",IF(AJ59=0,"-",IF(AK59&gt;AJ59,"한도 초과",IF(AN59&gt;설정!$C$12,"초과 예상",IF(AN59&gt;설정!$C$11,"주의","여유"))))))</f>
        <v/>
      </c>
      <c r="AP59" s="35">
        <f>IF($A59="","",IF(설정!$C$19="최근월",(INDEX(월별집계!$AB59:$AM59,설정!$C$7)-INDEX(월별집계!$AB59:$AM59,MAX(1,설정!$C$7-1))*(설정!$C$7&gt;1)),IF(설정!$C$19="최근분기",((INDEX(월별집계!$AB59:$AM59,설정!$C$7)-INDEX(월별집계!$AB59:$AM59,MAX(1,설정!$C$7-3))*(설정!$C$7&gt;3))/MIN(3,설정!$C$7)),IF(설정!$C$19="전년추세",AZ59,((설정!$C$7+1)*SUMPRODUCT(월별집계!$AB$5:$AM$5,월별집계!$AB59:$AM59)-(설정!$C$7*(설정!$C$7+1)/2)*SUM(월별집계!$AB59:$AM59))/((설정!$C$7+1)*(설정!$C$7*(설정!$C$7+1)*(2*설정!$C$7+1)/6)-(설정!$C$7*(설정!$C$7+1)/2)^2)))))</f>
        <v/>
      </c>
      <c r="AQ59" s="35">
        <f>IF($A59="","",IF(설정!$C$19="연내누적",(SUM(월별집계!$AB59:$AM59)-AP59*(설정!$C$7*(설정!$C$7+1)/2))/(설정!$C$7+1),INDEX(월별집계!$AB59:$AM59,설정!$C$7)-AP59*설정!$C$7))</f>
        <v/>
      </c>
      <c r="AR59" s="40">
        <f>IF($A59="","",AQ59+AP59*12)</f>
        <v/>
      </c>
      <c r="AS59" s="82">
        <f>IF($A59="","",IF(OR(P59&lt;=0,Q59&gt;=P59,AP59&lt;=0),"",MAX(설정!$C$7,(P59-AQ59)/AP59)))</f>
        <v/>
      </c>
      <c r="AT59" s="22">
        <f>IF($A59="","",IF(AS59="",IF(AU59="이미 소진","소진됨",""),YEAR((DATE(설정!$C$6,1,1)+ROUND(AS59*365/12,0)-1))&amp;"-"&amp;TEXT(MONTH((DATE(설정!$C$6,1,1)+ROUND(AS59*365/12,0)-1)),"00")&amp;"-"&amp;TEXT(DAY((DATE(설정!$C$6,1,1)+ROUND(AS59*365/12,0)-1)),"00")))</f>
        <v/>
      </c>
      <c r="AU59" s="34">
        <f>IF($A59="","",IF(AND(P59&lt;=0,Q59&gt;0),"무예산",IF(P59&lt;=0,"-",IF(Q59&gt;=P59,"이미 소진",IF(AP59&lt;=0,"소진 안 됨",IF(AS59&lt;=12,"연내 고갈","연내 여유"))))))</f>
        <v/>
      </c>
      <c r="AV59" s="34">
        <f>IF($A59="","",IF(AJ59&lt;=0,"",IF(AK59&gt;=AJ59,"한도 소진",IF(AK59&lt;=0,"",IF(AJ59/(AK59/(설정!$C$20-설정!$C$22+1))&gt;3,"분기 내 여유",YEAR((DATE(설정!$C$6,설정!$C$22-설정!$C$6*12,1)+ROUND(MAX((설정!$C$20-설정!$C$22+1),AJ59/(AK59/(설정!$C$20-설정!$C$22+1)))*365/12,0)-1))&amp;"-"&amp;TEXT(MONTH((DATE(설정!$C$6,설정!$C$22-설정!$C$6*12,1)+ROUND(MAX((설정!$C$20-설정!$C$22+1),AJ59/(AK59/(설정!$C$20-설정!$C$22+1)))*365/12,0)-1)),"00")&amp;"-"&amp;TEXT(DAY((DATE(설정!$C$6,설정!$C$22-설정!$C$6*12,1)+ROUND(MAX((설정!$C$20-설정!$C$22+1),AJ59/(AK59/(설정!$C$20-설정!$C$22+1)))*365/12,0)-1)),"00"))))))</f>
        <v/>
      </c>
      <c r="AW59" s="41">
        <f>IF($A59="",999+ROW()/1000000,IF(AU59="이미 소진",ROW()/1000000,IF(AU59="연내 고갈",AS59+ROW()/1000000,99+ROW()/1000000)))</f>
        <v/>
      </c>
      <c r="AX59" s="35">
        <f>IF($A59="","",SUMIFS(월별집계!$C59:$Z59,월별집계!$C$5:$Z$5,"&gt;="&amp;((설정!$C$6-1)*12+1),월별집계!$C$5:$Z$5,"&lt;="&amp;(설정!$C$20-12)))</f>
        <v/>
      </c>
      <c r="AY59" s="80">
        <f>IF($A59="","",IF(AX59&lt;=0,IF(Q59&gt;0,1,0),Q59/AX59-1))</f>
        <v/>
      </c>
      <c r="AZ59" s="35">
        <f>IF($A59="","",SUMIFS(월별집계!$C59:$Z59,월별집계!$C$5:$Z$5,"&gt;"&amp;(설정!$C$20-12),월별집계!$C$5:$Z$5,"&lt;="&amp;((설정!$C$6-1)*12+12))/MAX(1,12-설정!$C$7))</f>
        <v/>
      </c>
    </row>
    <row r="60">
      <c r="A60" s="12" t="inlineStr">
        <is>
          <t>D700</t>
        </is>
      </c>
      <c r="B60" s="26">
        <f>IF($A60="","",IFERROR(INDEX(부서매핑!$D$5:$D$504,MATCH($A60,부서매핑!$C$5:$C$504,0)),"부서매핑 없음"))</f>
        <v/>
      </c>
      <c r="C60" s="79" t="inlineStr">
        <is>
          <t>63001000</t>
        </is>
      </c>
      <c r="D60" s="26">
        <f>IF($A60="","",IFERROR(INDEX(계정매핑!$B$5:$B$504,MATCH($C60&amp;"",계정매핑!$A$5:$A$504,0)),"계정매핑 없음"))</f>
        <v/>
      </c>
      <c r="E60" s="22">
        <f>IF($A60="","",$A60&amp;"|"&amp;$C60)</f>
        <v/>
      </c>
      <c r="F60" s="35">
        <f>IF($A60="","",월별집계!$Z60)</f>
        <v/>
      </c>
      <c r="G60" s="35">
        <f>IF($A60="","",월별집계!$Y60)</f>
        <v/>
      </c>
      <c r="H60" s="80">
        <f>IF($A60="","",IF(G60&lt;=0,IF(F60&gt;0,1,0),F60/G60-1))</f>
        <v/>
      </c>
      <c r="I60" s="35">
        <f>IF($A60="","",월별집계!$N60)</f>
        <v/>
      </c>
      <c r="J60" s="80">
        <f>IF($A60="","",IF(I60&lt;=0,IF(F60&gt;0,1,0),F60/I60-1))</f>
        <v/>
      </c>
      <c r="K60" s="35">
        <f>IF($A60="","",SUMIFS(월별집계!$C60:$Z60,월별집계!$C$5:$Z$5,"&gt;="&amp;설정!$C$22,월별집계!$C$5:$Z$5,"&lt;="&amp;설정!$C$20))</f>
        <v/>
      </c>
      <c r="L60" s="35">
        <f>IF($A60="","",SUMIFS(월별집계!$C60:$Z60,월별집계!$C$5:$Z$5,"&gt;="&amp;(설정!$C$22-3),월별집계!$C$5:$Z$5,"&lt;="&amp;(설정!$C$20-3)))</f>
        <v/>
      </c>
      <c r="M60" s="80">
        <f>IF($A60="","",IF(L60&lt;=0,IF(K60&gt;0,1,0),K60/L60-1))</f>
        <v/>
      </c>
      <c r="N60" s="40">
        <f>IF($A60="","",MAX(F60-G60,F60-I60))</f>
        <v/>
      </c>
      <c r="O60" s="62">
        <f>IF($A60="","",IFERROR((월별집계!$Z60-AVERAGE(월별집계!N60:Y60))/STDEV(월별집계!N60:Y60),0))</f>
        <v/>
      </c>
      <c r="P60" s="35">
        <f>IF($A60="","",SUMIFS(예산판_원본!$O$5:$O$5000,예산판_원본!$L$5:$L$5000,$E60,예산판_원본!$M$5:$M$5000,설정!$C$6))</f>
        <v/>
      </c>
      <c r="Q60" s="35">
        <f>IF($A60="","",SUMIFS(월별집계!$C60:$Z60,월별집계!$C$5:$Z$5,"&gt;="&amp;(설정!$C$6*12+1),월별집계!$C$5:$Z$5,"&lt;="&amp;설정!$C$20))</f>
        <v/>
      </c>
      <c r="R60" s="40">
        <f>IF($A60="","",P60-Q60)</f>
        <v/>
      </c>
      <c r="S60" s="35">
        <f>IF($A60="","",AVERAGE(월별집계!X60:Z60)*(12-설정!$C$7))</f>
        <v/>
      </c>
      <c r="T60" s="35">
        <f>IF($A60="","",IFERROR(Q60/(SUMIFS(월별집계!$C60:$Z60,월별집계!$C$5:$Z$5,"&gt;="&amp;((설정!$C$6-1)*12+1),월별집계!$C$5:$Z$5,"&lt;="&amp;(설정!$C$20-12))/SUMIFS(월별집계!$C60:$Z60,월별집계!$C$5:$Z$5,"&gt;="&amp;((설정!$C$6-1)*12+1),월별집계!$C$5:$Z$5,"&lt;="&amp;((설정!$C$6-1)*12+12)))-Q60,S60))</f>
        <v/>
      </c>
      <c r="U60" s="40">
        <f>IF($A60="","",Q60+MAX(S60,T60))</f>
        <v/>
      </c>
      <c r="V60" s="73">
        <f>IF($A60="","",IF(P60=0,0,U60/P60))</f>
        <v/>
      </c>
      <c r="W60" s="34">
        <f>IF($A60="","",IF(AND(P60=0,Q60&gt;0),"무예산",IF(P60=0,"-",IF(V60&gt;설정!$C$12,"부족 예상",IF(V60&gt;설정!$C$11,"주의","여유")))))</f>
        <v/>
      </c>
      <c r="X60" s="40">
        <f>IF($A60="","",IF(P60=0,0,MAX(0,U60-P60)))</f>
        <v/>
      </c>
      <c r="Y60" s="34">
        <f>IF($A60="","",IF(OR(W60&lt;&gt;"부족 예상",설정!$C$7=12),"",IF(R60&lt;=0,"이미 초과",MIN(12,설정!$C$7+ROUNDUP(R60/(MAX(S60,T60)/(12-설정!$C$7)),0))&amp;"월")))</f>
        <v/>
      </c>
      <c r="Z60" s="26">
        <f>IF($A60="","",TRIM(IF(AND(N(AC60)&gt;=설정!$C$14,N60&gt;=설정!$C$10),"단건"&amp;TEXT(MIN(AC60,1),"0%")&amp;" ","")&amp;IF(AND(N60&gt;0,AD60&gt;0),IF(AD60/N60&gt;=설정!$C$16,"SA대체 ",""),"")&amp;IF(AE60&gt;0,"역분개"&amp;AE60&amp;"건 ","")&amp;IF(O60&gt;=설정!$C$13,"이상치 ","")&amp;IF(AND(I60=0,F60&gt;0),"신규지출 ","")))</f>
        <v/>
      </c>
      <c r="AA60" s="62">
        <f>IF($A60="","",ROUND((AF60+AG60+AH60+AI60)*IF(AND(F60&lt;설정!$C$10,N60&lt;설정!$C$10),0.3,1),1))</f>
        <v/>
      </c>
      <c r="AB60" s="41">
        <f>IF($A60="","",AA60+ROW()/1000000)</f>
        <v/>
      </c>
      <c r="AC60" s="60">
        <f>IF(OR($A60="",N60&lt;=0),"",SUMPRODUCT(MAX((전표_원본!$O$5:$O$100000=$E60)*(전표_원본!$M$5:$M$100000=설정!$C$20)*전표_원본!$P$5:$P$100000))/N60)</f>
        <v/>
      </c>
      <c r="AD60" s="35">
        <f>IF($A60="","",SUMIFS(전표_원본!$P$5:$P$100000,전표_원본!$O$5:$O$100000,$E60,전표_원본!$M$5:$M$100000,설정!$C$20,전표_원본!$E$5:$E$100000,"SA")-SUMIFS(전표_원본!$P$5:$P$100000,전표_원본!$O$5:$O$100000,$E60,전표_원본!$M$5:$M$100000,설정!$C$20-1,전표_원본!$E$5:$E$100000,"SA"))</f>
        <v/>
      </c>
      <c r="AE60" s="81">
        <f>IF($A60="","",COUNTIFS(전표_원본!$O$5:$O$100000,$E60,전표_원본!$M$5:$M$100000,설정!$C$20,전표_원본!$P$5:$P$100000,"&lt;0"))</f>
        <v/>
      </c>
      <c r="AF60" s="62">
        <f>IF($A60="","",MIN(MAX(0,N60)/(설정!$C$10*5),1)*30)</f>
        <v/>
      </c>
      <c r="AG60" s="82">
        <f>IF($A60="","",MIN(MAX(0,H60,J60),1)*20)</f>
        <v/>
      </c>
      <c r="AH60" s="82">
        <f>IF($A60="","",MIN(MAX(0,O60)/3,1)*25)</f>
        <v/>
      </c>
      <c r="AI60" s="82">
        <f>IF($A60="","",IF(OR(W60="부족 예상",W60="무예산",AO60="한도 초과",AO60="초과 예상",AO60="무예산"),25,IF(OR(W60="주의",AO60="주의"),15,0)))</f>
        <v/>
      </c>
      <c r="AJ60" s="35">
        <f>IF($A60="","",SUMIFS(예산판_원본!$O$5:$O$5000,예산판_원본!$L$5:$L$5000,$E60,예산판_원본!$M$5:$M$5000,설정!$C$6,예산판_원본!$N$5:$N$5000,설정!$C$21))</f>
        <v/>
      </c>
      <c r="AK60" s="40">
        <f>IF($A60="","",K60)</f>
        <v/>
      </c>
      <c r="AL60" s="40">
        <f>IF($A60="","",AJ60-AK60)</f>
        <v/>
      </c>
      <c r="AM60" s="35">
        <f>IF($A60="","",AK60+AVERAGE(월별집계!X60:Z60)*MAX(0,설정!$C$22+2-설정!$C$20))</f>
        <v/>
      </c>
      <c r="AN60" s="73">
        <f>IF($A60="","",IF(AJ60=0,0,AM60/AJ60))</f>
        <v/>
      </c>
      <c r="AO60" s="34">
        <f>IF($A60="","",IF(AND(AJ60=0,AK60&gt;0),"무예산",IF(AJ60=0,"-",IF(AK60&gt;AJ60,"한도 초과",IF(AN60&gt;설정!$C$12,"초과 예상",IF(AN60&gt;설정!$C$11,"주의","여유"))))))</f>
        <v/>
      </c>
      <c r="AP60" s="35">
        <f>IF($A60="","",IF(설정!$C$19="최근월",(INDEX(월별집계!$AB60:$AM60,설정!$C$7)-INDEX(월별집계!$AB60:$AM60,MAX(1,설정!$C$7-1))*(설정!$C$7&gt;1)),IF(설정!$C$19="최근분기",((INDEX(월별집계!$AB60:$AM60,설정!$C$7)-INDEX(월별집계!$AB60:$AM60,MAX(1,설정!$C$7-3))*(설정!$C$7&gt;3))/MIN(3,설정!$C$7)),IF(설정!$C$19="전년추세",AZ60,((설정!$C$7+1)*SUMPRODUCT(월별집계!$AB$5:$AM$5,월별집계!$AB60:$AM60)-(설정!$C$7*(설정!$C$7+1)/2)*SUM(월별집계!$AB60:$AM60))/((설정!$C$7+1)*(설정!$C$7*(설정!$C$7+1)*(2*설정!$C$7+1)/6)-(설정!$C$7*(설정!$C$7+1)/2)^2)))))</f>
        <v/>
      </c>
      <c r="AQ60" s="35">
        <f>IF($A60="","",IF(설정!$C$19="연내누적",(SUM(월별집계!$AB60:$AM60)-AP60*(설정!$C$7*(설정!$C$7+1)/2))/(설정!$C$7+1),INDEX(월별집계!$AB60:$AM60,설정!$C$7)-AP60*설정!$C$7))</f>
        <v/>
      </c>
      <c r="AR60" s="40">
        <f>IF($A60="","",AQ60+AP60*12)</f>
        <v/>
      </c>
      <c r="AS60" s="82">
        <f>IF($A60="","",IF(OR(P60&lt;=0,Q60&gt;=P60,AP60&lt;=0),"",MAX(설정!$C$7,(P60-AQ60)/AP60)))</f>
        <v/>
      </c>
      <c r="AT60" s="22">
        <f>IF($A60="","",IF(AS60="",IF(AU60="이미 소진","소진됨",""),YEAR((DATE(설정!$C$6,1,1)+ROUND(AS60*365/12,0)-1))&amp;"-"&amp;TEXT(MONTH((DATE(설정!$C$6,1,1)+ROUND(AS60*365/12,0)-1)),"00")&amp;"-"&amp;TEXT(DAY((DATE(설정!$C$6,1,1)+ROUND(AS60*365/12,0)-1)),"00")))</f>
        <v/>
      </c>
      <c r="AU60" s="34">
        <f>IF($A60="","",IF(AND(P60&lt;=0,Q60&gt;0),"무예산",IF(P60&lt;=0,"-",IF(Q60&gt;=P60,"이미 소진",IF(AP60&lt;=0,"소진 안 됨",IF(AS60&lt;=12,"연내 고갈","연내 여유"))))))</f>
        <v/>
      </c>
      <c r="AV60" s="34">
        <f>IF($A60="","",IF(AJ60&lt;=0,"",IF(AK60&gt;=AJ60,"한도 소진",IF(AK60&lt;=0,"",IF(AJ60/(AK60/(설정!$C$20-설정!$C$22+1))&gt;3,"분기 내 여유",YEAR((DATE(설정!$C$6,설정!$C$22-설정!$C$6*12,1)+ROUND(MAX((설정!$C$20-설정!$C$22+1),AJ60/(AK60/(설정!$C$20-설정!$C$22+1)))*365/12,0)-1))&amp;"-"&amp;TEXT(MONTH((DATE(설정!$C$6,설정!$C$22-설정!$C$6*12,1)+ROUND(MAX((설정!$C$20-설정!$C$22+1),AJ60/(AK60/(설정!$C$20-설정!$C$22+1)))*365/12,0)-1)),"00")&amp;"-"&amp;TEXT(DAY((DATE(설정!$C$6,설정!$C$22-설정!$C$6*12,1)+ROUND(MAX((설정!$C$20-설정!$C$22+1),AJ60/(AK60/(설정!$C$20-설정!$C$22+1)))*365/12,0)-1)),"00"))))))</f>
        <v/>
      </c>
      <c r="AW60" s="41">
        <f>IF($A60="",999+ROW()/1000000,IF(AU60="이미 소진",ROW()/1000000,IF(AU60="연내 고갈",AS60+ROW()/1000000,99+ROW()/1000000)))</f>
        <v/>
      </c>
      <c r="AX60" s="35">
        <f>IF($A60="","",SUMIFS(월별집계!$C60:$Z60,월별집계!$C$5:$Z$5,"&gt;="&amp;((설정!$C$6-1)*12+1),월별집계!$C$5:$Z$5,"&lt;="&amp;(설정!$C$20-12)))</f>
        <v/>
      </c>
      <c r="AY60" s="80">
        <f>IF($A60="","",IF(AX60&lt;=0,IF(Q60&gt;0,1,0),Q60/AX60-1))</f>
        <v/>
      </c>
      <c r="AZ60" s="35">
        <f>IF($A60="","",SUMIFS(월별집계!$C60:$Z60,월별집계!$C$5:$Z$5,"&gt;"&amp;(설정!$C$20-12),월별집계!$C$5:$Z$5,"&lt;="&amp;((설정!$C$6-1)*12+12))/MAX(1,12-설정!$C$7))</f>
        <v/>
      </c>
    </row>
    <row r="61">
      <c r="A61" s="12" t="inlineStr">
        <is>
          <t>D700</t>
        </is>
      </c>
      <c r="B61" s="26">
        <f>IF($A61="","",IFERROR(INDEX(부서매핑!$D$5:$D$504,MATCH($A61,부서매핑!$C$5:$C$504,0)),"부서매핑 없음"))</f>
        <v/>
      </c>
      <c r="C61" s="79" t="inlineStr">
        <is>
          <t>63002000</t>
        </is>
      </c>
      <c r="D61" s="26">
        <f>IF($A61="","",IFERROR(INDEX(계정매핑!$B$5:$B$504,MATCH($C61&amp;"",계정매핑!$A$5:$A$504,0)),"계정매핑 없음"))</f>
        <v/>
      </c>
      <c r="E61" s="22">
        <f>IF($A61="","",$A61&amp;"|"&amp;$C61)</f>
        <v/>
      </c>
      <c r="F61" s="35">
        <f>IF($A61="","",월별집계!$Z61)</f>
        <v/>
      </c>
      <c r="G61" s="35">
        <f>IF($A61="","",월별집계!$Y61)</f>
        <v/>
      </c>
      <c r="H61" s="80">
        <f>IF($A61="","",IF(G61&lt;=0,IF(F61&gt;0,1,0),F61/G61-1))</f>
        <v/>
      </c>
      <c r="I61" s="35">
        <f>IF($A61="","",월별집계!$N61)</f>
        <v/>
      </c>
      <c r="J61" s="80">
        <f>IF($A61="","",IF(I61&lt;=0,IF(F61&gt;0,1,0),F61/I61-1))</f>
        <v/>
      </c>
      <c r="K61" s="35">
        <f>IF($A61="","",SUMIFS(월별집계!$C61:$Z61,월별집계!$C$5:$Z$5,"&gt;="&amp;설정!$C$22,월별집계!$C$5:$Z$5,"&lt;="&amp;설정!$C$20))</f>
        <v/>
      </c>
      <c r="L61" s="35">
        <f>IF($A61="","",SUMIFS(월별집계!$C61:$Z61,월별집계!$C$5:$Z$5,"&gt;="&amp;(설정!$C$22-3),월별집계!$C$5:$Z$5,"&lt;="&amp;(설정!$C$20-3)))</f>
        <v/>
      </c>
      <c r="M61" s="80">
        <f>IF($A61="","",IF(L61&lt;=0,IF(K61&gt;0,1,0),K61/L61-1))</f>
        <v/>
      </c>
      <c r="N61" s="40">
        <f>IF($A61="","",MAX(F61-G61,F61-I61))</f>
        <v/>
      </c>
      <c r="O61" s="62">
        <f>IF($A61="","",IFERROR((월별집계!$Z61-AVERAGE(월별집계!N61:Y61))/STDEV(월별집계!N61:Y61),0))</f>
        <v/>
      </c>
      <c r="P61" s="35">
        <f>IF($A61="","",SUMIFS(예산판_원본!$O$5:$O$5000,예산판_원본!$L$5:$L$5000,$E61,예산판_원본!$M$5:$M$5000,설정!$C$6))</f>
        <v/>
      </c>
      <c r="Q61" s="35">
        <f>IF($A61="","",SUMIFS(월별집계!$C61:$Z61,월별집계!$C$5:$Z$5,"&gt;="&amp;(설정!$C$6*12+1),월별집계!$C$5:$Z$5,"&lt;="&amp;설정!$C$20))</f>
        <v/>
      </c>
      <c r="R61" s="40">
        <f>IF($A61="","",P61-Q61)</f>
        <v/>
      </c>
      <c r="S61" s="35">
        <f>IF($A61="","",AVERAGE(월별집계!X61:Z61)*(12-설정!$C$7))</f>
        <v/>
      </c>
      <c r="T61" s="35">
        <f>IF($A61="","",IFERROR(Q61/(SUMIFS(월별집계!$C61:$Z61,월별집계!$C$5:$Z$5,"&gt;="&amp;((설정!$C$6-1)*12+1),월별집계!$C$5:$Z$5,"&lt;="&amp;(설정!$C$20-12))/SUMIFS(월별집계!$C61:$Z61,월별집계!$C$5:$Z$5,"&gt;="&amp;((설정!$C$6-1)*12+1),월별집계!$C$5:$Z$5,"&lt;="&amp;((설정!$C$6-1)*12+12)))-Q61,S61))</f>
        <v/>
      </c>
      <c r="U61" s="40">
        <f>IF($A61="","",Q61+MAX(S61,T61))</f>
        <v/>
      </c>
      <c r="V61" s="73">
        <f>IF($A61="","",IF(P61=0,0,U61/P61))</f>
        <v/>
      </c>
      <c r="W61" s="34">
        <f>IF($A61="","",IF(AND(P61=0,Q61&gt;0),"무예산",IF(P61=0,"-",IF(V61&gt;설정!$C$12,"부족 예상",IF(V61&gt;설정!$C$11,"주의","여유")))))</f>
        <v/>
      </c>
      <c r="X61" s="40">
        <f>IF($A61="","",IF(P61=0,0,MAX(0,U61-P61)))</f>
        <v/>
      </c>
      <c r="Y61" s="34">
        <f>IF($A61="","",IF(OR(W61&lt;&gt;"부족 예상",설정!$C$7=12),"",IF(R61&lt;=0,"이미 초과",MIN(12,설정!$C$7+ROUNDUP(R61/(MAX(S61,T61)/(12-설정!$C$7)),0))&amp;"월")))</f>
        <v/>
      </c>
      <c r="Z61" s="26">
        <f>IF($A61="","",TRIM(IF(AND(N(AC61)&gt;=설정!$C$14,N61&gt;=설정!$C$10),"단건"&amp;TEXT(MIN(AC61,1),"0%")&amp;" ","")&amp;IF(AND(N61&gt;0,AD61&gt;0),IF(AD61/N61&gt;=설정!$C$16,"SA대체 ",""),"")&amp;IF(AE61&gt;0,"역분개"&amp;AE61&amp;"건 ","")&amp;IF(O61&gt;=설정!$C$13,"이상치 ","")&amp;IF(AND(I61=0,F61&gt;0),"신규지출 ","")))</f>
        <v/>
      </c>
      <c r="AA61" s="62">
        <f>IF($A61="","",ROUND((AF61+AG61+AH61+AI61)*IF(AND(F61&lt;설정!$C$10,N61&lt;설정!$C$10),0.3,1),1))</f>
        <v/>
      </c>
      <c r="AB61" s="41">
        <f>IF($A61="","",AA61+ROW()/1000000)</f>
        <v/>
      </c>
      <c r="AC61" s="60">
        <f>IF(OR($A61="",N61&lt;=0),"",SUMPRODUCT(MAX((전표_원본!$O$5:$O$100000=$E61)*(전표_원본!$M$5:$M$100000=설정!$C$20)*전표_원본!$P$5:$P$100000))/N61)</f>
        <v/>
      </c>
      <c r="AD61" s="35">
        <f>IF($A61="","",SUMIFS(전표_원본!$P$5:$P$100000,전표_원본!$O$5:$O$100000,$E61,전표_원본!$M$5:$M$100000,설정!$C$20,전표_원본!$E$5:$E$100000,"SA")-SUMIFS(전표_원본!$P$5:$P$100000,전표_원본!$O$5:$O$100000,$E61,전표_원본!$M$5:$M$100000,설정!$C$20-1,전표_원본!$E$5:$E$100000,"SA"))</f>
        <v/>
      </c>
      <c r="AE61" s="81">
        <f>IF($A61="","",COUNTIFS(전표_원본!$O$5:$O$100000,$E61,전표_원본!$M$5:$M$100000,설정!$C$20,전표_원본!$P$5:$P$100000,"&lt;0"))</f>
        <v/>
      </c>
      <c r="AF61" s="62">
        <f>IF($A61="","",MIN(MAX(0,N61)/(설정!$C$10*5),1)*30)</f>
        <v/>
      </c>
      <c r="AG61" s="82">
        <f>IF($A61="","",MIN(MAX(0,H61,J61),1)*20)</f>
        <v/>
      </c>
      <c r="AH61" s="82">
        <f>IF($A61="","",MIN(MAX(0,O61)/3,1)*25)</f>
        <v/>
      </c>
      <c r="AI61" s="82">
        <f>IF($A61="","",IF(OR(W61="부족 예상",W61="무예산",AO61="한도 초과",AO61="초과 예상",AO61="무예산"),25,IF(OR(W61="주의",AO61="주의"),15,0)))</f>
        <v/>
      </c>
      <c r="AJ61" s="35">
        <f>IF($A61="","",SUMIFS(예산판_원본!$O$5:$O$5000,예산판_원본!$L$5:$L$5000,$E61,예산판_원본!$M$5:$M$5000,설정!$C$6,예산판_원본!$N$5:$N$5000,설정!$C$21))</f>
        <v/>
      </c>
      <c r="AK61" s="40">
        <f>IF($A61="","",K61)</f>
        <v/>
      </c>
      <c r="AL61" s="40">
        <f>IF($A61="","",AJ61-AK61)</f>
        <v/>
      </c>
      <c r="AM61" s="35">
        <f>IF($A61="","",AK61+AVERAGE(월별집계!X61:Z61)*MAX(0,설정!$C$22+2-설정!$C$20))</f>
        <v/>
      </c>
      <c r="AN61" s="73">
        <f>IF($A61="","",IF(AJ61=0,0,AM61/AJ61))</f>
        <v/>
      </c>
      <c r="AO61" s="34">
        <f>IF($A61="","",IF(AND(AJ61=0,AK61&gt;0),"무예산",IF(AJ61=0,"-",IF(AK61&gt;AJ61,"한도 초과",IF(AN61&gt;설정!$C$12,"초과 예상",IF(AN61&gt;설정!$C$11,"주의","여유"))))))</f>
        <v/>
      </c>
      <c r="AP61" s="35">
        <f>IF($A61="","",IF(설정!$C$19="최근월",(INDEX(월별집계!$AB61:$AM61,설정!$C$7)-INDEX(월별집계!$AB61:$AM61,MAX(1,설정!$C$7-1))*(설정!$C$7&gt;1)),IF(설정!$C$19="최근분기",((INDEX(월별집계!$AB61:$AM61,설정!$C$7)-INDEX(월별집계!$AB61:$AM61,MAX(1,설정!$C$7-3))*(설정!$C$7&gt;3))/MIN(3,설정!$C$7)),IF(설정!$C$19="전년추세",AZ61,((설정!$C$7+1)*SUMPRODUCT(월별집계!$AB$5:$AM$5,월별집계!$AB61:$AM61)-(설정!$C$7*(설정!$C$7+1)/2)*SUM(월별집계!$AB61:$AM61))/((설정!$C$7+1)*(설정!$C$7*(설정!$C$7+1)*(2*설정!$C$7+1)/6)-(설정!$C$7*(설정!$C$7+1)/2)^2)))))</f>
        <v/>
      </c>
      <c r="AQ61" s="35">
        <f>IF($A61="","",IF(설정!$C$19="연내누적",(SUM(월별집계!$AB61:$AM61)-AP61*(설정!$C$7*(설정!$C$7+1)/2))/(설정!$C$7+1),INDEX(월별집계!$AB61:$AM61,설정!$C$7)-AP61*설정!$C$7))</f>
        <v/>
      </c>
      <c r="AR61" s="40">
        <f>IF($A61="","",AQ61+AP61*12)</f>
        <v/>
      </c>
      <c r="AS61" s="82">
        <f>IF($A61="","",IF(OR(P61&lt;=0,Q61&gt;=P61,AP61&lt;=0),"",MAX(설정!$C$7,(P61-AQ61)/AP61)))</f>
        <v/>
      </c>
      <c r="AT61" s="22">
        <f>IF($A61="","",IF(AS61="",IF(AU61="이미 소진","소진됨",""),YEAR((DATE(설정!$C$6,1,1)+ROUND(AS61*365/12,0)-1))&amp;"-"&amp;TEXT(MONTH((DATE(설정!$C$6,1,1)+ROUND(AS61*365/12,0)-1)),"00")&amp;"-"&amp;TEXT(DAY((DATE(설정!$C$6,1,1)+ROUND(AS61*365/12,0)-1)),"00")))</f>
        <v/>
      </c>
      <c r="AU61" s="34">
        <f>IF($A61="","",IF(AND(P61&lt;=0,Q61&gt;0),"무예산",IF(P61&lt;=0,"-",IF(Q61&gt;=P61,"이미 소진",IF(AP61&lt;=0,"소진 안 됨",IF(AS61&lt;=12,"연내 고갈","연내 여유"))))))</f>
        <v/>
      </c>
      <c r="AV61" s="34">
        <f>IF($A61="","",IF(AJ61&lt;=0,"",IF(AK61&gt;=AJ61,"한도 소진",IF(AK61&lt;=0,"",IF(AJ61/(AK61/(설정!$C$20-설정!$C$22+1))&gt;3,"분기 내 여유",YEAR((DATE(설정!$C$6,설정!$C$22-설정!$C$6*12,1)+ROUND(MAX((설정!$C$20-설정!$C$22+1),AJ61/(AK61/(설정!$C$20-설정!$C$22+1)))*365/12,0)-1))&amp;"-"&amp;TEXT(MONTH((DATE(설정!$C$6,설정!$C$22-설정!$C$6*12,1)+ROUND(MAX((설정!$C$20-설정!$C$22+1),AJ61/(AK61/(설정!$C$20-설정!$C$22+1)))*365/12,0)-1)),"00")&amp;"-"&amp;TEXT(DAY((DATE(설정!$C$6,설정!$C$22-설정!$C$6*12,1)+ROUND(MAX((설정!$C$20-설정!$C$22+1),AJ61/(AK61/(설정!$C$20-설정!$C$22+1)))*365/12,0)-1)),"00"))))))</f>
        <v/>
      </c>
      <c r="AW61" s="41">
        <f>IF($A61="",999+ROW()/1000000,IF(AU61="이미 소진",ROW()/1000000,IF(AU61="연내 고갈",AS61+ROW()/1000000,99+ROW()/1000000)))</f>
        <v/>
      </c>
      <c r="AX61" s="35">
        <f>IF($A61="","",SUMIFS(월별집계!$C61:$Z61,월별집계!$C$5:$Z$5,"&gt;="&amp;((설정!$C$6-1)*12+1),월별집계!$C$5:$Z$5,"&lt;="&amp;(설정!$C$20-12)))</f>
        <v/>
      </c>
      <c r="AY61" s="80">
        <f>IF($A61="","",IF(AX61&lt;=0,IF(Q61&gt;0,1,0),Q61/AX61-1))</f>
        <v/>
      </c>
      <c r="AZ61" s="35">
        <f>IF($A61="","",SUMIFS(월별집계!$C61:$Z61,월별집계!$C$5:$Z$5,"&gt;"&amp;(설정!$C$20-12),월별집계!$C$5:$Z$5,"&lt;="&amp;((설정!$C$6-1)*12+12))/MAX(1,12-설정!$C$7))</f>
        <v/>
      </c>
    </row>
    <row r="62">
      <c r="A62" s="12" t="inlineStr">
        <is>
          <t>D800</t>
        </is>
      </c>
      <c r="B62" s="26">
        <f>IF($A62="","",IFERROR(INDEX(부서매핑!$D$5:$D$504,MATCH($A62,부서매핑!$C$5:$C$504,0)),"부서매핑 없음"))</f>
        <v/>
      </c>
      <c r="C62" s="79" t="inlineStr">
        <is>
          <t>62101000</t>
        </is>
      </c>
      <c r="D62" s="26">
        <f>IF($A62="","",IFERROR(INDEX(계정매핑!$B$5:$B$504,MATCH($C62&amp;"",계정매핑!$A$5:$A$504,0)),"계정매핑 없음"))</f>
        <v/>
      </c>
      <c r="E62" s="22">
        <f>IF($A62="","",$A62&amp;"|"&amp;$C62)</f>
        <v/>
      </c>
      <c r="F62" s="35">
        <f>IF($A62="","",월별집계!$Z62)</f>
        <v/>
      </c>
      <c r="G62" s="35">
        <f>IF($A62="","",월별집계!$Y62)</f>
        <v/>
      </c>
      <c r="H62" s="80">
        <f>IF($A62="","",IF(G62&lt;=0,IF(F62&gt;0,1,0),F62/G62-1))</f>
        <v/>
      </c>
      <c r="I62" s="35">
        <f>IF($A62="","",월별집계!$N62)</f>
        <v/>
      </c>
      <c r="J62" s="80">
        <f>IF($A62="","",IF(I62&lt;=0,IF(F62&gt;0,1,0),F62/I62-1))</f>
        <v/>
      </c>
      <c r="K62" s="35">
        <f>IF($A62="","",SUMIFS(월별집계!$C62:$Z62,월별집계!$C$5:$Z$5,"&gt;="&amp;설정!$C$22,월별집계!$C$5:$Z$5,"&lt;="&amp;설정!$C$20))</f>
        <v/>
      </c>
      <c r="L62" s="35">
        <f>IF($A62="","",SUMIFS(월별집계!$C62:$Z62,월별집계!$C$5:$Z$5,"&gt;="&amp;(설정!$C$22-3),월별집계!$C$5:$Z$5,"&lt;="&amp;(설정!$C$20-3)))</f>
        <v/>
      </c>
      <c r="M62" s="80">
        <f>IF($A62="","",IF(L62&lt;=0,IF(K62&gt;0,1,0),K62/L62-1))</f>
        <v/>
      </c>
      <c r="N62" s="40">
        <f>IF($A62="","",MAX(F62-G62,F62-I62))</f>
        <v/>
      </c>
      <c r="O62" s="62">
        <f>IF($A62="","",IFERROR((월별집계!$Z62-AVERAGE(월별집계!N62:Y62))/STDEV(월별집계!N62:Y62),0))</f>
        <v/>
      </c>
      <c r="P62" s="35">
        <f>IF($A62="","",SUMIFS(예산판_원본!$O$5:$O$5000,예산판_원본!$L$5:$L$5000,$E62,예산판_원본!$M$5:$M$5000,설정!$C$6))</f>
        <v/>
      </c>
      <c r="Q62" s="35">
        <f>IF($A62="","",SUMIFS(월별집계!$C62:$Z62,월별집계!$C$5:$Z$5,"&gt;="&amp;(설정!$C$6*12+1),월별집계!$C$5:$Z$5,"&lt;="&amp;설정!$C$20))</f>
        <v/>
      </c>
      <c r="R62" s="40">
        <f>IF($A62="","",P62-Q62)</f>
        <v/>
      </c>
      <c r="S62" s="35">
        <f>IF($A62="","",AVERAGE(월별집계!X62:Z62)*(12-설정!$C$7))</f>
        <v/>
      </c>
      <c r="T62" s="35">
        <f>IF($A62="","",IFERROR(Q62/(SUMIFS(월별집계!$C62:$Z62,월별집계!$C$5:$Z$5,"&gt;="&amp;((설정!$C$6-1)*12+1),월별집계!$C$5:$Z$5,"&lt;="&amp;(설정!$C$20-12))/SUMIFS(월별집계!$C62:$Z62,월별집계!$C$5:$Z$5,"&gt;="&amp;((설정!$C$6-1)*12+1),월별집계!$C$5:$Z$5,"&lt;="&amp;((설정!$C$6-1)*12+12)))-Q62,S62))</f>
        <v/>
      </c>
      <c r="U62" s="40">
        <f>IF($A62="","",Q62+MAX(S62,T62))</f>
        <v/>
      </c>
      <c r="V62" s="73">
        <f>IF($A62="","",IF(P62=0,0,U62/P62))</f>
        <v/>
      </c>
      <c r="W62" s="34">
        <f>IF($A62="","",IF(AND(P62=0,Q62&gt;0),"무예산",IF(P62=0,"-",IF(V62&gt;설정!$C$12,"부족 예상",IF(V62&gt;설정!$C$11,"주의","여유")))))</f>
        <v/>
      </c>
      <c r="X62" s="40">
        <f>IF($A62="","",IF(P62=0,0,MAX(0,U62-P62)))</f>
        <v/>
      </c>
      <c r="Y62" s="34">
        <f>IF($A62="","",IF(OR(W62&lt;&gt;"부족 예상",설정!$C$7=12),"",IF(R62&lt;=0,"이미 초과",MIN(12,설정!$C$7+ROUNDUP(R62/(MAX(S62,T62)/(12-설정!$C$7)),0))&amp;"월")))</f>
        <v/>
      </c>
      <c r="Z62" s="26">
        <f>IF($A62="","",TRIM(IF(AND(N(AC62)&gt;=설정!$C$14,N62&gt;=설정!$C$10),"단건"&amp;TEXT(MIN(AC62,1),"0%")&amp;" ","")&amp;IF(AND(N62&gt;0,AD62&gt;0),IF(AD62/N62&gt;=설정!$C$16,"SA대체 ",""),"")&amp;IF(AE62&gt;0,"역분개"&amp;AE62&amp;"건 ","")&amp;IF(O62&gt;=설정!$C$13,"이상치 ","")&amp;IF(AND(I62=0,F62&gt;0),"신규지출 ","")))</f>
        <v/>
      </c>
      <c r="AA62" s="62">
        <f>IF($A62="","",ROUND((AF62+AG62+AH62+AI62)*IF(AND(F62&lt;설정!$C$10,N62&lt;설정!$C$10),0.3,1),1))</f>
        <v/>
      </c>
      <c r="AB62" s="41">
        <f>IF($A62="","",AA62+ROW()/1000000)</f>
        <v/>
      </c>
      <c r="AC62" s="60">
        <f>IF(OR($A62="",N62&lt;=0),"",SUMPRODUCT(MAX((전표_원본!$O$5:$O$100000=$E62)*(전표_원본!$M$5:$M$100000=설정!$C$20)*전표_원본!$P$5:$P$100000))/N62)</f>
        <v/>
      </c>
      <c r="AD62" s="35">
        <f>IF($A62="","",SUMIFS(전표_원본!$P$5:$P$100000,전표_원본!$O$5:$O$100000,$E62,전표_원본!$M$5:$M$100000,설정!$C$20,전표_원본!$E$5:$E$100000,"SA")-SUMIFS(전표_원본!$P$5:$P$100000,전표_원본!$O$5:$O$100000,$E62,전표_원본!$M$5:$M$100000,설정!$C$20-1,전표_원본!$E$5:$E$100000,"SA"))</f>
        <v/>
      </c>
      <c r="AE62" s="81">
        <f>IF($A62="","",COUNTIFS(전표_원본!$O$5:$O$100000,$E62,전표_원본!$M$5:$M$100000,설정!$C$20,전표_원본!$P$5:$P$100000,"&lt;0"))</f>
        <v/>
      </c>
      <c r="AF62" s="62">
        <f>IF($A62="","",MIN(MAX(0,N62)/(설정!$C$10*5),1)*30)</f>
        <v/>
      </c>
      <c r="AG62" s="82">
        <f>IF($A62="","",MIN(MAX(0,H62,J62),1)*20)</f>
        <v/>
      </c>
      <c r="AH62" s="82">
        <f>IF($A62="","",MIN(MAX(0,O62)/3,1)*25)</f>
        <v/>
      </c>
      <c r="AI62" s="82">
        <f>IF($A62="","",IF(OR(W62="부족 예상",W62="무예산",AO62="한도 초과",AO62="초과 예상",AO62="무예산"),25,IF(OR(W62="주의",AO62="주의"),15,0)))</f>
        <v/>
      </c>
      <c r="AJ62" s="35">
        <f>IF($A62="","",SUMIFS(예산판_원본!$O$5:$O$5000,예산판_원본!$L$5:$L$5000,$E62,예산판_원본!$M$5:$M$5000,설정!$C$6,예산판_원본!$N$5:$N$5000,설정!$C$21))</f>
        <v/>
      </c>
      <c r="AK62" s="40">
        <f>IF($A62="","",K62)</f>
        <v/>
      </c>
      <c r="AL62" s="40">
        <f>IF($A62="","",AJ62-AK62)</f>
        <v/>
      </c>
      <c r="AM62" s="35">
        <f>IF($A62="","",AK62+AVERAGE(월별집계!X62:Z62)*MAX(0,설정!$C$22+2-설정!$C$20))</f>
        <v/>
      </c>
      <c r="AN62" s="73">
        <f>IF($A62="","",IF(AJ62=0,0,AM62/AJ62))</f>
        <v/>
      </c>
      <c r="AO62" s="34">
        <f>IF($A62="","",IF(AND(AJ62=0,AK62&gt;0),"무예산",IF(AJ62=0,"-",IF(AK62&gt;AJ62,"한도 초과",IF(AN62&gt;설정!$C$12,"초과 예상",IF(AN62&gt;설정!$C$11,"주의","여유"))))))</f>
        <v/>
      </c>
      <c r="AP62" s="35">
        <f>IF($A62="","",IF(설정!$C$19="최근월",(INDEX(월별집계!$AB62:$AM62,설정!$C$7)-INDEX(월별집계!$AB62:$AM62,MAX(1,설정!$C$7-1))*(설정!$C$7&gt;1)),IF(설정!$C$19="최근분기",((INDEX(월별집계!$AB62:$AM62,설정!$C$7)-INDEX(월별집계!$AB62:$AM62,MAX(1,설정!$C$7-3))*(설정!$C$7&gt;3))/MIN(3,설정!$C$7)),IF(설정!$C$19="전년추세",AZ62,((설정!$C$7+1)*SUMPRODUCT(월별집계!$AB$5:$AM$5,월별집계!$AB62:$AM62)-(설정!$C$7*(설정!$C$7+1)/2)*SUM(월별집계!$AB62:$AM62))/((설정!$C$7+1)*(설정!$C$7*(설정!$C$7+1)*(2*설정!$C$7+1)/6)-(설정!$C$7*(설정!$C$7+1)/2)^2)))))</f>
        <v/>
      </c>
      <c r="AQ62" s="35">
        <f>IF($A62="","",IF(설정!$C$19="연내누적",(SUM(월별집계!$AB62:$AM62)-AP62*(설정!$C$7*(설정!$C$7+1)/2))/(설정!$C$7+1),INDEX(월별집계!$AB62:$AM62,설정!$C$7)-AP62*설정!$C$7))</f>
        <v/>
      </c>
      <c r="AR62" s="40">
        <f>IF($A62="","",AQ62+AP62*12)</f>
        <v/>
      </c>
      <c r="AS62" s="82">
        <f>IF($A62="","",IF(OR(P62&lt;=0,Q62&gt;=P62,AP62&lt;=0),"",MAX(설정!$C$7,(P62-AQ62)/AP62)))</f>
        <v/>
      </c>
      <c r="AT62" s="22">
        <f>IF($A62="","",IF(AS62="",IF(AU62="이미 소진","소진됨",""),YEAR((DATE(설정!$C$6,1,1)+ROUND(AS62*365/12,0)-1))&amp;"-"&amp;TEXT(MONTH((DATE(설정!$C$6,1,1)+ROUND(AS62*365/12,0)-1)),"00")&amp;"-"&amp;TEXT(DAY((DATE(설정!$C$6,1,1)+ROUND(AS62*365/12,0)-1)),"00")))</f>
        <v/>
      </c>
      <c r="AU62" s="34">
        <f>IF($A62="","",IF(AND(P62&lt;=0,Q62&gt;0),"무예산",IF(P62&lt;=0,"-",IF(Q62&gt;=P62,"이미 소진",IF(AP62&lt;=0,"소진 안 됨",IF(AS62&lt;=12,"연내 고갈","연내 여유"))))))</f>
        <v/>
      </c>
      <c r="AV62" s="34">
        <f>IF($A62="","",IF(AJ62&lt;=0,"",IF(AK62&gt;=AJ62,"한도 소진",IF(AK62&lt;=0,"",IF(AJ62/(AK62/(설정!$C$20-설정!$C$22+1))&gt;3,"분기 내 여유",YEAR((DATE(설정!$C$6,설정!$C$22-설정!$C$6*12,1)+ROUND(MAX((설정!$C$20-설정!$C$22+1),AJ62/(AK62/(설정!$C$20-설정!$C$22+1)))*365/12,0)-1))&amp;"-"&amp;TEXT(MONTH((DATE(설정!$C$6,설정!$C$22-설정!$C$6*12,1)+ROUND(MAX((설정!$C$20-설정!$C$22+1),AJ62/(AK62/(설정!$C$20-설정!$C$22+1)))*365/12,0)-1)),"00")&amp;"-"&amp;TEXT(DAY((DATE(설정!$C$6,설정!$C$22-설정!$C$6*12,1)+ROUND(MAX((설정!$C$20-설정!$C$22+1),AJ62/(AK62/(설정!$C$20-설정!$C$22+1)))*365/12,0)-1)),"00"))))))</f>
        <v/>
      </c>
      <c r="AW62" s="41">
        <f>IF($A62="",999+ROW()/1000000,IF(AU62="이미 소진",ROW()/1000000,IF(AU62="연내 고갈",AS62+ROW()/1000000,99+ROW()/1000000)))</f>
        <v/>
      </c>
      <c r="AX62" s="35">
        <f>IF($A62="","",SUMIFS(월별집계!$C62:$Z62,월별집계!$C$5:$Z$5,"&gt;="&amp;((설정!$C$6-1)*12+1),월별집계!$C$5:$Z$5,"&lt;="&amp;(설정!$C$20-12)))</f>
        <v/>
      </c>
      <c r="AY62" s="80">
        <f>IF($A62="","",IF(AX62&lt;=0,IF(Q62&gt;0,1,0),Q62/AX62-1))</f>
        <v/>
      </c>
      <c r="AZ62" s="35">
        <f>IF($A62="","",SUMIFS(월별집계!$C62:$Z62,월별집계!$C$5:$Z$5,"&gt;"&amp;(설정!$C$20-12),월별집계!$C$5:$Z$5,"&lt;="&amp;((설정!$C$6-1)*12+12))/MAX(1,12-설정!$C$7))</f>
        <v/>
      </c>
    </row>
    <row r="63">
      <c r="A63" s="12" t="inlineStr">
        <is>
          <t>D800</t>
        </is>
      </c>
      <c r="B63" s="26">
        <f>IF($A63="","",IFERROR(INDEX(부서매핑!$D$5:$D$504,MATCH($A63,부서매핑!$C$5:$C$504,0)),"부서매핑 없음"))</f>
        <v/>
      </c>
      <c r="C63" s="79" t="inlineStr">
        <is>
          <t>62102000</t>
        </is>
      </c>
      <c r="D63" s="26">
        <f>IF($A63="","",IFERROR(INDEX(계정매핑!$B$5:$B$504,MATCH($C63&amp;"",계정매핑!$A$5:$A$504,0)),"계정매핑 없음"))</f>
        <v/>
      </c>
      <c r="E63" s="22">
        <f>IF($A63="","",$A63&amp;"|"&amp;$C63)</f>
        <v/>
      </c>
      <c r="F63" s="35">
        <f>IF($A63="","",월별집계!$Z63)</f>
        <v/>
      </c>
      <c r="G63" s="35">
        <f>IF($A63="","",월별집계!$Y63)</f>
        <v/>
      </c>
      <c r="H63" s="80">
        <f>IF($A63="","",IF(G63&lt;=0,IF(F63&gt;0,1,0),F63/G63-1))</f>
        <v/>
      </c>
      <c r="I63" s="35">
        <f>IF($A63="","",월별집계!$N63)</f>
        <v/>
      </c>
      <c r="J63" s="80">
        <f>IF($A63="","",IF(I63&lt;=0,IF(F63&gt;0,1,0),F63/I63-1))</f>
        <v/>
      </c>
      <c r="K63" s="35">
        <f>IF($A63="","",SUMIFS(월별집계!$C63:$Z63,월별집계!$C$5:$Z$5,"&gt;="&amp;설정!$C$22,월별집계!$C$5:$Z$5,"&lt;="&amp;설정!$C$20))</f>
        <v/>
      </c>
      <c r="L63" s="35">
        <f>IF($A63="","",SUMIFS(월별집계!$C63:$Z63,월별집계!$C$5:$Z$5,"&gt;="&amp;(설정!$C$22-3),월별집계!$C$5:$Z$5,"&lt;="&amp;(설정!$C$20-3)))</f>
        <v/>
      </c>
      <c r="M63" s="80">
        <f>IF($A63="","",IF(L63&lt;=0,IF(K63&gt;0,1,0),K63/L63-1))</f>
        <v/>
      </c>
      <c r="N63" s="40">
        <f>IF($A63="","",MAX(F63-G63,F63-I63))</f>
        <v/>
      </c>
      <c r="O63" s="62">
        <f>IF($A63="","",IFERROR((월별집계!$Z63-AVERAGE(월별집계!N63:Y63))/STDEV(월별집계!N63:Y63),0))</f>
        <v/>
      </c>
      <c r="P63" s="35">
        <f>IF($A63="","",SUMIFS(예산판_원본!$O$5:$O$5000,예산판_원본!$L$5:$L$5000,$E63,예산판_원본!$M$5:$M$5000,설정!$C$6))</f>
        <v/>
      </c>
      <c r="Q63" s="35">
        <f>IF($A63="","",SUMIFS(월별집계!$C63:$Z63,월별집계!$C$5:$Z$5,"&gt;="&amp;(설정!$C$6*12+1),월별집계!$C$5:$Z$5,"&lt;="&amp;설정!$C$20))</f>
        <v/>
      </c>
      <c r="R63" s="40">
        <f>IF($A63="","",P63-Q63)</f>
        <v/>
      </c>
      <c r="S63" s="35">
        <f>IF($A63="","",AVERAGE(월별집계!X63:Z63)*(12-설정!$C$7))</f>
        <v/>
      </c>
      <c r="T63" s="35">
        <f>IF($A63="","",IFERROR(Q63/(SUMIFS(월별집계!$C63:$Z63,월별집계!$C$5:$Z$5,"&gt;="&amp;((설정!$C$6-1)*12+1),월별집계!$C$5:$Z$5,"&lt;="&amp;(설정!$C$20-12))/SUMIFS(월별집계!$C63:$Z63,월별집계!$C$5:$Z$5,"&gt;="&amp;((설정!$C$6-1)*12+1),월별집계!$C$5:$Z$5,"&lt;="&amp;((설정!$C$6-1)*12+12)))-Q63,S63))</f>
        <v/>
      </c>
      <c r="U63" s="40">
        <f>IF($A63="","",Q63+MAX(S63,T63))</f>
        <v/>
      </c>
      <c r="V63" s="73">
        <f>IF($A63="","",IF(P63=0,0,U63/P63))</f>
        <v/>
      </c>
      <c r="W63" s="34">
        <f>IF($A63="","",IF(AND(P63=0,Q63&gt;0),"무예산",IF(P63=0,"-",IF(V63&gt;설정!$C$12,"부족 예상",IF(V63&gt;설정!$C$11,"주의","여유")))))</f>
        <v/>
      </c>
      <c r="X63" s="40">
        <f>IF($A63="","",IF(P63=0,0,MAX(0,U63-P63)))</f>
        <v/>
      </c>
      <c r="Y63" s="34">
        <f>IF($A63="","",IF(OR(W63&lt;&gt;"부족 예상",설정!$C$7=12),"",IF(R63&lt;=0,"이미 초과",MIN(12,설정!$C$7+ROUNDUP(R63/(MAX(S63,T63)/(12-설정!$C$7)),0))&amp;"월")))</f>
        <v/>
      </c>
      <c r="Z63" s="26">
        <f>IF($A63="","",TRIM(IF(AND(N(AC63)&gt;=설정!$C$14,N63&gt;=설정!$C$10),"단건"&amp;TEXT(MIN(AC63,1),"0%")&amp;" ","")&amp;IF(AND(N63&gt;0,AD63&gt;0),IF(AD63/N63&gt;=설정!$C$16,"SA대체 ",""),"")&amp;IF(AE63&gt;0,"역분개"&amp;AE63&amp;"건 ","")&amp;IF(O63&gt;=설정!$C$13,"이상치 ","")&amp;IF(AND(I63=0,F63&gt;0),"신규지출 ","")))</f>
        <v/>
      </c>
      <c r="AA63" s="62">
        <f>IF($A63="","",ROUND((AF63+AG63+AH63+AI63)*IF(AND(F63&lt;설정!$C$10,N63&lt;설정!$C$10),0.3,1),1))</f>
        <v/>
      </c>
      <c r="AB63" s="41">
        <f>IF($A63="","",AA63+ROW()/1000000)</f>
        <v/>
      </c>
      <c r="AC63" s="60">
        <f>IF(OR($A63="",N63&lt;=0),"",SUMPRODUCT(MAX((전표_원본!$O$5:$O$100000=$E63)*(전표_원본!$M$5:$M$100000=설정!$C$20)*전표_원본!$P$5:$P$100000))/N63)</f>
        <v/>
      </c>
      <c r="AD63" s="35">
        <f>IF($A63="","",SUMIFS(전표_원본!$P$5:$P$100000,전표_원본!$O$5:$O$100000,$E63,전표_원본!$M$5:$M$100000,설정!$C$20,전표_원본!$E$5:$E$100000,"SA")-SUMIFS(전표_원본!$P$5:$P$100000,전표_원본!$O$5:$O$100000,$E63,전표_원본!$M$5:$M$100000,설정!$C$20-1,전표_원본!$E$5:$E$100000,"SA"))</f>
        <v/>
      </c>
      <c r="AE63" s="81">
        <f>IF($A63="","",COUNTIFS(전표_원본!$O$5:$O$100000,$E63,전표_원본!$M$5:$M$100000,설정!$C$20,전표_원본!$P$5:$P$100000,"&lt;0"))</f>
        <v/>
      </c>
      <c r="AF63" s="62">
        <f>IF($A63="","",MIN(MAX(0,N63)/(설정!$C$10*5),1)*30)</f>
        <v/>
      </c>
      <c r="AG63" s="82">
        <f>IF($A63="","",MIN(MAX(0,H63,J63),1)*20)</f>
        <v/>
      </c>
      <c r="AH63" s="82">
        <f>IF($A63="","",MIN(MAX(0,O63)/3,1)*25)</f>
        <v/>
      </c>
      <c r="AI63" s="82">
        <f>IF($A63="","",IF(OR(W63="부족 예상",W63="무예산",AO63="한도 초과",AO63="초과 예상",AO63="무예산"),25,IF(OR(W63="주의",AO63="주의"),15,0)))</f>
        <v/>
      </c>
      <c r="AJ63" s="35">
        <f>IF($A63="","",SUMIFS(예산판_원본!$O$5:$O$5000,예산판_원본!$L$5:$L$5000,$E63,예산판_원본!$M$5:$M$5000,설정!$C$6,예산판_원본!$N$5:$N$5000,설정!$C$21))</f>
        <v/>
      </c>
      <c r="AK63" s="40">
        <f>IF($A63="","",K63)</f>
        <v/>
      </c>
      <c r="AL63" s="40">
        <f>IF($A63="","",AJ63-AK63)</f>
        <v/>
      </c>
      <c r="AM63" s="35">
        <f>IF($A63="","",AK63+AVERAGE(월별집계!X63:Z63)*MAX(0,설정!$C$22+2-설정!$C$20))</f>
        <v/>
      </c>
      <c r="AN63" s="73">
        <f>IF($A63="","",IF(AJ63=0,0,AM63/AJ63))</f>
        <v/>
      </c>
      <c r="AO63" s="34">
        <f>IF($A63="","",IF(AND(AJ63=0,AK63&gt;0),"무예산",IF(AJ63=0,"-",IF(AK63&gt;AJ63,"한도 초과",IF(AN63&gt;설정!$C$12,"초과 예상",IF(AN63&gt;설정!$C$11,"주의","여유"))))))</f>
        <v/>
      </c>
      <c r="AP63" s="35">
        <f>IF($A63="","",IF(설정!$C$19="최근월",(INDEX(월별집계!$AB63:$AM63,설정!$C$7)-INDEX(월별집계!$AB63:$AM63,MAX(1,설정!$C$7-1))*(설정!$C$7&gt;1)),IF(설정!$C$19="최근분기",((INDEX(월별집계!$AB63:$AM63,설정!$C$7)-INDEX(월별집계!$AB63:$AM63,MAX(1,설정!$C$7-3))*(설정!$C$7&gt;3))/MIN(3,설정!$C$7)),IF(설정!$C$19="전년추세",AZ63,((설정!$C$7+1)*SUMPRODUCT(월별집계!$AB$5:$AM$5,월별집계!$AB63:$AM63)-(설정!$C$7*(설정!$C$7+1)/2)*SUM(월별집계!$AB63:$AM63))/((설정!$C$7+1)*(설정!$C$7*(설정!$C$7+1)*(2*설정!$C$7+1)/6)-(설정!$C$7*(설정!$C$7+1)/2)^2)))))</f>
        <v/>
      </c>
      <c r="AQ63" s="35">
        <f>IF($A63="","",IF(설정!$C$19="연내누적",(SUM(월별집계!$AB63:$AM63)-AP63*(설정!$C$7*(설정!$C$7+1)/2))/(설정!$C$7+1),INDEX(월별집계!$AB63:$AM63,설정!$C$7)-AP63*설정!$C$7))</f>
        <v/>
      </c>
      <c r="AR63" s="40">
        <f>IF($A63="","",AQ63+AP63*12)</f>
        <v/>
      </c>
      <c r="AS63" s="82">
        <f>IF($A63="","",IF(OR(P63&lt;=0,Q63&gt;=P63,AP63&lt;=0),"",MAX(설정!$C$7,(P63-AQ63)/AP63)))</f>
        <v/>
      </c>
      <c r="AT63" s="22">
        <f>IF($A63="","",IF(AS63="",IF(AU63="이미 소진","소진됨",""),YEAR((DATE(설정!$C$6,1,1)+ROUND(AS63*365/12,0)-1))&amp;"-"&amp;TEXT(MONTH((DATE(설정!$C$6,1,1)+ROUND(AS63*365/12,0)-1)),"00")&amp;"-"&amp;TEXT(DAY((DATE(설정!$C$6,1,1)+ROUND(AS63*365/12,0)-1)),"00")))</f>
        <v/>
      </c>
      <c r="AU63" s="34">
        <f>IF($A63="","",IF(AND(P63&lt;=0,Q63&gt;0),"무예산",IF(P63&lt;=0,"-",IF(Q63&gt;=P63,"이미 소진",IF(AP63&lt;=0,"소진 안 됨",IF(AS63&lt;=12,"연내 고갈","연내 여유"))))))</f>
        <v/>
      </c>
      <c r="AV63" s="34">
        <f>IF($A63="","",IF(AJ63&lt;=0,"",IF(AK63&gt;=AJ63,"한도 소진",IF(AK63&lt;=0,"",IF(AJ63/(AK63/(설정!$C$20-설정!$C$22+1))&gt;3,"분기 내 여유",YEAR((DATE(설정!$C$6,설정!$C$22-설정!$C$6*12,1)+ROUND(MAX((설정!$C$20-설정!$C$22+1),AJ63/(AK63/(설정!$C$20-설정!$C$22+1)))*365/12,0)-1))&amp;"-"&amp;TEXT(MONTH((DATE(설정!$C$6,설정!$C$22-설정!$C$6*12,1)+ROUND(MAX((설정!$C$20-설정!$C$22+1),AJ63/(AK63/(설정!$C$20-설정!$C$22+1)))*365/12,0)-1)),"00")&amp;"-"&amp;TEXT(DAY((DATE(설정!$C$6,설정!$C$22-설정!$C$6*12,1)+ROUND(MAX((설정!$C$20-설정!$C$22+1),AJ63/(AK63/(설정!$C$20-설정!$C$22+1)))*365/12,0)-1)),"00"))))))</f>
        <v/>
      </c>
      <c r="AW63" s="41">
        <f>IF($A63="",999+ROW()/1000000,IF(AU63="이미 소진",ROW()/1000000,IF(AU63="연내 고갈",AS63+ROW()/1000000,99+ROW()/1000000)))</f>
        <v/>
      </c>
      <c r="AX63" s="35">
        <f>IF($A63="","",SUMIFS(월별집계!$C63:$Z63,월별집계!$C$5:$Z$5,"&gt;="&amp;((설정!$C$6-1)*12+1),월별집계!$C$5:$Z$5,"&lt;="&amp;(설정!$C$20-12)))</f>
        <v/>
      </c>
      <c r="AY63" s="80">
        <f>IF($A63="","",IF(AX63&lt;=0,IF(Q63&gt;0,1,0),Q63/AX63-1))</f>
        <v/>
      </c>
      <c r="AZ63" s="35">
        <f>IF($A63="","",SUMIFS(월별집계!$C63:$Z63,월별집계!$C$5:$Z$5,"&gt;"&amp;(설정!$C$20-12),월별집계!$C$5:$Z$5,"&lt;="&amp;((설정!$C$6-1)*12+12))/MAX(1,12-설정!$C$7))</f>
        <v/>
      </c>
    </row>
    <row r="64">
      <c r="A64" s="12" t="inlineStr">
        <is>
          <t>D800</t>
        </is>
      </c>
      <c r="B64" s="26">
        <f>IF($A64="","",IFERROR(INDEX(부서매핑!$D$5:$D$504,MATCH($A64,부서매핑!$C$5:$C$504,0)),"부서매핑 없음"))</f>
        <v/>
      </c>
      <c r="C64" s="79" t="inlineStr">
        <is>
          <t>62201000</t>
        </is>
      </c>
      <c r="D64" s="26">
        <f>IF($A64="","",IFERROR(INDEX(계정매핑!$B$5:$B$504,MATCH($C64&amp;"",계정매핑!$A$5:$A$504,0)),"계정매핑 없음"))</f>
        <v/>
      </c>
      <c r="E64" s="22">
        <f>IF($A64="","",$A64&amp;"|"&amp;$C64)</f>
        <v/>
      </c>
      <c r="F64" s="35">
        <f>IF($A64="","",월별집계!$Z64)</f>
        <v/>
      </c>
      <c r="G64" s="35">
        <f>IF($A64="","",월별집계!$Y64)</f>
        <v/>
      </c>
      <c r="H64" s="80">
        <f>IF($A64="","",IF(G64&lt;=0,IF(F64&gt;0,1,0),F64/G64-1))</f>
        <v/>
      </c>
      <c r="I64" s="35">
        <f>IF($A64="","",월별집계!$N64)</f>
        <v/>
      </c>
      <c r="J64" s="80">
        <f>IF($A64="","",IF(I64&lt;=0,IF(F64&gt;0,1,0),F64/I64-1))</f>
        <v/>
      </c>
      <c r="K64" s="35">
        <f>IF($A64="","",SUMIFS(월별집계!$C64:$Z64,월별집계!$C$5:$Z$5,"&gt;="&amp;설정!$C$22,월별집계!$C$5:$Z$5,"&lt;="&amp;설정!$C$20))</f>
        <v/>
      </c>
      <c r="L64" s="35">
        <f>IF($A64="","",SUMIFS(월별집계!$C64:$Z64,월별집계!$C$5:$Z$5,"&gt;="&amp;(설정!$C$22-3),월별집계!$C$5:$Z$5,"&lt;="&amp;(설정!$C$20-3)))</f>
        <v/>
      </c>
      <c r="M64" s="80">
        <f>IF($A64="","",IF(L64&lt;=0,IF(K64&gt;0,1,0),K64/L64-1))</f>
        <v/>
      </c>
      <c r="N64" s="40">
        <f>IF($A64="","",MAX(F64-G64,F64-I64))</f>
        <v/>
      </c>
      <c r="O64" s="62">
        <f>IF($A64="","",IFERROR((월별집계!$Z64-AVERAGE(월별집계!N64:Y64))/STDEV(월별집계!N64:Y64),0))</f>
        <v/>
      </c>
      <c r="P64" s="35">
        <f>IF($A64="","",SUMIFS(예산판_원본!$O$5:$O$5000,예산판_원본!$L$5:$L$5000,$E64,예산판_원본!$M$5:$M$5000,설정!$C$6))</f>
        <v/>
      </c>
      <c r="Q64" s="35">
        <f>IF($A64="","",SUMIFS(월별집계!$C64:$Z64,월별집계!$C$5:$Z$5,"&gt;="&amp;(설정!$C$6*12+1),월별집계!$C$5:$Z$5,"&lt;="&amp;설정!$C$20))</f>
        <v/>
      </c>
      <c r="R64" s="40">
        <f>IF($A64="","",P64-Q64)</f>
        <v/>
      </c>
      <c r="S64" s="35">
        <f>IF($A64="","",AVERAGE(월별집계!X64:Z64)*(12-설정!$C$7))</f>
        <v/>
      </c>
      <c r="T64" s="35">
        <f>IF($A64="","",IFERROR(Q64/(SUMIFS(월별집계!$C64:$Z64,월별집계!$C$5:$Z$5,"&gt;="&amp;((설정!$C$6-1)*12+1),월별집계!$C$5:$Z$5,"&lt;="&amp;(설정!$C$20-12))/SUMIFS(월별집계!$C64:$Z64,월별집계!$C$5:$Z$5,"&gt;="&amp;((설정!$C$6-1)*12+1),월별집계!$C$5:$Z$5,"&lt;="&amp;((설정!$C$6-1)*12+12)))-Q64,S64))</f>
        <v/>
      </c>
      <c r="U64" s="40">
        <f>IF($A64="","",Q64+MAX(S64,T64))</f>
        <v/>
      </c>
      <c r="V64" s="73">
        <f>IF($A64="","",IF(P64=0,0,U64/P64))</f>
        <v/>
      </c>
      <c r="W64" s="34">
        <f>IF($A64="","",IF(AND(P64=0,Q64&gt;0),"무예산",IF(P64=0,"-",IF(V64&gt;설정!$C$12,"부족 예상",IF(V64&gt;설정!$C$11,"주의","여유")))))</f>
        <v/>
      </c>
      <c r="X64" s="40">
        <f>IF($A64="","",IF(P64=0,0,MAX(0,U64-P64)))</f>
        <v/>
      </c>
      <c r="Y64" s="34">
        <f>IF($A64="","",IF(OR(W64&lt;&gt;"부족 예상",설정!$C$7=12),"",IF(R64&lt;=0,"이미 초과",MIN(12,설정!$C$7+ROUNDUP(R64/(MAX(S64,T64)/(12-설정!$C$7)),0))&amp;"월")))</f>
        <v/>
      </c>
      <c r="Z64" s="26">
        <f>IF($A64="","",TRIM(IF(AND(N(AC64)&gt;=설정!$C$14,N64&gt;=설정!$C$10),"단건"&amp;TEXT(MIN(AC64,1),"0%")&amp;" ","")&amp;IF(AND(N64&gt;0,AD64&gt;0),IF(AD64/N64&gt;=설정!$C$16,"SA대체 ",""),"")&amp;IF(AE64&gt;0,"역분개"&amp;AE64&amp;"건 ","")&amp;IF(O64&gt;=설정!$C$13,"이상치 ","")&amp;IF(AND(I64=0,F64&gt;0),"신규지출 ","")))</f>
        <v/>
      </c>
      <c r="AA64" s="62">
        <f>IF($A64="","",ROUND((AF64+AG64+AH64+AI64)*IF(AND(F64&lt;설정!$C$10,N64&lt;설정!$C$10),0.3,1),1))</f>
        <v/>
      </c>
      <c r="AB64" s="41">
        <f>IF($A64="","",AA64+ROW()/1000000)</f>
        <v/>
      </c>
      <c r="AC64" s="60">
        <f>IF(OR($A64="",N64&lt;=0),"",SUMPRODUCT(MAX((전표_원본!$O$5:$O$100000=$E64)*(전표_원본!$M$5:$M$100000=설정!$C$20)*전표_원본!$P$5:$P$100000))/N64)</f>
        <v/>
      </c>
      <c r="AD64" s="35">
        <f>IF($A64="","",SUMIFS(전표_원본!$P$5:$P$100000,전표_원본!$O$5:$O$100000,$E64,전표_원본!$M$5:$M$100000,설정!$C$20,전표_원본!$E$5:$E$100000,"SA")-SUMIFS(전표_원본!$P$5:$P$100000,전표_원본!$O$5:$O$100000,$E64,전표_원본!$M$5:$M$100000,설정!$C$20-1,전표_원본!$E$5:$E$100000,"SA"))</f>
        <v/>
      </c>
      <c r="AE64" s="81">
        <f>IF($A64="","",COUNTIFS(전표_원본!$O$5:$O$100000,$E64,전표_원본!$M$5:$M$100000,설정!$C$20,전표_원본!$P$5:$P$100000,"&lt;0"))</f>
        <v/>
      </c>
      <c r="AF64" s="62">
        <f>IF($A64="","",MIN(MAX(0,N64)/(설정!$C$10*5),1)*30)</f>
        <v/>
      </c>
      <c r="AG64" s="82">
        <f>IF($A64="","",MIN(MAX(0,H64,J64),1)*20)</f>
        <v/>
      </c>
      <c r="AH64" s="82">
        <f>IF($A64="","",MIN(MAX(0,O64)/3,1)*25)</f>
        <v/>
      </c>
      <c r="AI64" s="82">
        <f>IF($A64="","",IF(OR(W64="부족 예상",W64="무예산",AO64="한도 초과",AO64="초과 예상",AO64="무예산"),25,IF(OR(W64="주의",AO64="주의"),15,0)))</f>
        <v/>
      </c>
      <c r="AJ64" s="35">
        <f>IF($A64="","",SUMIFS(예산판_원본!$O$5:$O$5000,예산판_원본!$L$5:$L$5000,$E64,예산판_원본!$M$5:$M$5000,설정!$C$6,예산판_원본!$N$5:$N$5000,설정!$C$21))</f>
        <v/>
      </c>
      <c r="AK64" s="40">
        <f>IF($A64="","",K64)</f>
        <v/>
      </c>
      <c r="AL64" s="40">
        <f>IF($A64="","",AJ64-AK64)</f>
        <v/>
      </c>
      <c r="AM64" s="35">
        <f>IF($A64="","",AK64+AVERAGE(월별집계!X64:Z64)*MAX(0,설정!$C$22+2-설정!$C$20))</f>
        <v/>
      </c>
      <c r="AN64" s="73">
        <f>IF($A64="","",IF(AJ64=0,0,AM64/AJ64))</f>
        <v/>
      </c>
      <c r="AO64" s="34">
        <f>IF($A64="","",IF(AND(AJ64=0,AK64&gt;0),"무예산",IF(AJ64=0,"-",IF(AK64&gt;AJ64,"한도 초과",IF(AN64&gt;설정!$C$12,"초과 예상",IF(AN64&gt;설정!$C$11,"주의","여유"))))))</f>
        <v/>
      </c>
      <c r="AP64" s="35">
        <f>IF($A64="","",IF(설정!$C$19="최근월",(INDEX(월별집계!$AB64:$AM64,설정!$C$7)-INDEX(월별집계!$AB64:$AM64,MAX(1,설정!$C$7-1))*(설정!$C$7&gt;1)),IF(설정!$C$19="최근분기",((INDEX(월별집계!$AB64:$AM64,설정!$C$7)-INDEX(월별집계!$AB64:$AM64,MAX(1,설정!$C$7-3))*(설정!$C$7&gt;3))/MIN(3,설정!$C$7)),IF(설정!$C$19="전년추세",AZ64,((설정!$C$7+1)*SUMPRODUCT(월별집계!$AB$5:$AM$5,월별집계!$AB64:$AM64)-(설정!$C$7*(설정!$C$7+1)/2)*SUM(월별집계!$AB64:$AM64))/((설정!$C$7+1)*(설정!$C$7*(설정!$C$7+1)*(2*설정!$C$7+1)/6)-(설정!$C$7*(설정!$C$7+1)/2)^2)))))</f>
        <v/>
      </c>
      <c r="AQ64" s="35">
        <f>IF($A64="","",IF(설정!$C$19="연내누적",(SUM(월별집계!$AB64:$AM64)-AP64*(설정!$C$7*(설정!$C$7+1)/2))/(설정!$C$7+1),INDEX(월별집계!$AB64:$AM64,설정!$C$7)-AP64*설정!$C$7))</f>
        <v/>
      </c>
      <c r="AR64" s="40">
        <f>IF($A64="","",AQ64+AP64*12)</f>
        <v/>
      </c>
      <c r="AS64" s="82">
        <f>IF($A64="","",IF(OR(P64&lt;=0,Q64&gt;=P64,AP64&lt;=0),"",MAX(설정!$C$7,(P64-AQ64)/AP64)))</f>
        <v/>
      </c>
      <c r="AT64" s="22">
        <f>IF($A64="","",IF(AS64="",IF(AU64="이미 소진","소진됨",""),YEAR((DATE(설정!$C$6,1,1)+ROUND(AS64*365/12,0)-1))&amp;"-"&amp;TEXT(MONTH((DATE(설정!$C$6,1,1)+ROUND(AS64*365/12,0)-1)),"00")&amp;"-"&amp;TEXT(DAY((DATE(설정!$C$6,1,1)+ROUND(AS64*365/12,0)-1)),"00")))</f>
        <v/>
      </c>
      <c r="AU64" s="34">
        <f>IF($A64="","",IF(AND(P64&lt;=0,Q64&gt;0),"무예산",IF(P64&lt;=0,"-",IF(Q64&gt;=P64,"이미 소진",IF(AP64&lt;=0,"소진 안 됨",IF(AS64&lt;=12,"연내 고갈","연내 여유"))))))</f>
        <v/>
      </c>
      <c r="AV64" s="34">
        <f>IF($A64="","",IF(AJ64&lt;=0,"",IF(AK64&gt;=AJ64,"한도 소진",IF(AK64&lt;=0,"",IF(AJ64/(AK64/(설정!$C$20-설정!$C$22+1))&gt;3,"분기 내 여유",YEAR((DATE(설정!$C$6,설정!$C$22-설정!$C$6*12,1)+ROUND(MAX((설정!$C$20-설정!$C$22+1),AJ64/(AK64/(설정!$C$20-설정!$C$22+1)))*365/12,0)-1))&amp;"-"&amp;TEXT(MONTH((DATE(설정!$C$6,설정!$C$22-설정!$C$6*12,1)+ROUND(MAX((설정!$C$20-설정!$C$22+1),AJ64/(AK64/(설정!$C$20-설정!$C$22+1)))*365/12,0)-1)),"00")&amp;"-"&amp;TEXT(DAY((DATE(설정!$C$6,설정!$C$22-설정!$C$6*12,1)+ROUND(MAX((설정!$C$20-설정!$C$22+1),AJ64/(AK64/(설정!$C$20-설정!$C$22+1)))*365/12,0)-1)),"00"))))))</f>
        <v/>
      </c>
      <c r="AW64" s="41">
        <f>IF($A64="",999+ROW()/1000000,IF(AU64="이미 소진",ROW()/1000000,IF(AU64="연내 고갈",AS64+ROW()/1000000,99+ROW()/1000000)))</f>
        <v/>
      </c>
      <c r="AX64" s="35">
        <f>IF($A64="","",SUMIFS(월별집계!$C64:$Z64,월별집계!$C$5:$Z$5,"&gt;="&amp;((설정!$C$6-1)*12+1),월별집계!$C$5:$Z$5,"&lt;="&amp;(설정!$C$20-12)))</f>
        <v/>
      </c>
      <c r="AY64" s="80">
        <f>IF($A64="","",IF(AX64&lt;=0,IF(Q64&gt;0,1,0),Q64/AX64-1))</f>
        <v/>
      </c>
      <c r="AZ64" s="35">
        <f>IF($A64="","",SUMIFS(월별집계!$C64:$Z64,월별집계!$C$5:$Z$5,"&gt;"&amp;(설정!$C$20-12),월별집계!$C$5:$Z$5,"&lt;="&amp;((설정!$C$6-1)*12+12))/MAX(1,12-설정!$C$7))</f>
        <v/>
      </c>
    </row>
    <row r="65">
      <c r="A65" s="12" t="inlineStr">
        <is>
          <t>D800</t>
        </is>
      </c>
      <c r="B65" s="26">
        <f>IF($A65="","",IFERROR(INDEX(부서매핑!$D$5:$D$504,MATCH($A65,부서매핑!$C$5:$C$504,0)),"부서매핑 없음"))</f>
        <v/>
      </c>
      <c r="C65" s="79" t="inlineStr">
        <is>
          <t>62301000</t>
        </is>
      </c>
      <c r="D65" s="26">
        <f>IF($A65="","",IFERROR(INDEX(계정매핑!$B$5:$B$504,MATCH($C65&amp;"",계정매핑!$A$5:$A$504,0)),"계정매핑 없음"))</f>
        <v/>
      </c>
      <c r="E65" s="22">
        <f>IF($A65="","",$A65&amp;"|"&amp;$C65)</f>
        <v/>
      </c>
      <c r="F65" s="35">
        <f>IF($A65="","",월별집계!$Z65)</f>
        <v/>
      </c>
      <c r="G65" s="35">
        <f>IF($A65="","",월별집계!$Y65)</f>
        <v/>
      </c>
      <c r="H65" s="80">
        <f>IF($A65="","",IF(G65&lt;=0,IF(F65&gt;0,1,0),F65/G65-1))</f>
        <v/>
      </c>
      <c r="I65" s="35">
        <f>IF($A65="","",월별집계!$N65)</f>
        <v/>
      </c>
      <c r="J65" s="80">
        <f>IF($A65="","",IF(I65&lt;=0,IF(F65&gt;0,1,0),F65/I65-1))</f>
        <v/>
      </c>
      <c r="K65" s="35">
        <f>IF($A65="","",SUMIFS(월별집계!$C65:$Z65,월별집계!$C$5:$Z$5,"&gt;="&amp;설정!$C$22,월별집계!$C$5:$Z$5,"&lt;="&amp;설정!$C$20))</f>
        <v/>
      </c>
      <c r="L65" s="35">
        <f>IF($A65="","",SUMIFS(월별집계!$C65:$Z65,월별집계!$C$5:$Z$5,"&gt;="&amp;(설정!$C$22-3),월별집계!$C$5:$Z$5,"&lt;="&amp;(설정!$C$20-3)))</f>
        <v/>
      </c>
      <c r="M65" s="80">
        <f>IF($A65="","",IF(L65&lt;=0,IF(K65&gt;0,1,0),K65/L65-1))</f>
        <v/>
      </c>
      <c r="N65" s="40">
        <f>IF($A65="","",MAX(F65-G65,F65-I65))</f>
        <v/>
      </c>
      <c r="O65" s="62">
        <f>IF($A65="","",IFERROR((월별집계!$Z65-AVERAGE(월별집계!N65:Y65))/STDEV(월별집계!N65:Y65),0))</f>
        <v/>
      </c>
      <c r="P65" s="35">
        <f>IF($A65="","",SUMIFS(예산판_원본!$O$5:$O$5000,예산판_원본!$L$5:$L$5000,$E65,예산판_원본!$M$5:$M$5000,설정!$C$6))</f>
        <v/>
      </c>
      <c r="Q65" s="35">
        <f>IF($A65="","",SUMIFS(월별집계!$C65:$Z65,월별집계!$C$5:$Z$5,"&gt;="&amp;(설정!$C$6*12+1),월별집계!$C$5:$Z$5,"&lt;="&amp;설정!$C$20))</f>
        <v/>
      </c>
      <c r="R65" s="40">
        <f>IF($A65="","",P65-Q65)</f>
        <v/>
      </c>
      <c r="S65" s="35">
        <f>IF($A65="","",AVERAGE(월별집계!X65:Z65)*(12-설정!$C$7))</f>
        <v/>
      </c>
      <c r="T65" s="35">
        <f>IF($A65="","",IFERROR(Q65/(SUMIFS(월별집계!$C65:$Z65,월별집계!$C$5:$Z$5,"&gt;="&amp;((설정!$C$6-1)*12+1),월별집계!$C$5:$Z$5,"&lt;="&amp;(설정!$C$20-12))/SUMIFS(월별집계!$C65:$Z65,월별집계!$C$5:$Z$5,"&gt;="&amp;((설정!$C$6-1)*12+1),월별집계!$C$5:$Z$5,"&lt;="&amp;((설정!$C$6-1)*12+12)))-Q65,S65))</f>
        <v/>
      </c>
      <c r="U65" s="40">
        <f>IF($A65="","",Q65+MAX(S65,T65))</f>
        <v/>
      </c>
      <c r="V65" s="73">
        <f>IF($A65="","",IF(P65=0,0,U65/P65))</f>
        <v/>
      </c>
      <c r="W65" s="34">
        <f>IF($A65="","",IF(AND(P65=0,Q65&gt;0),"무예산",IF(P65=0,"-",IF(V65&gt;설정!$C$12,"부족 예상",IF(V65&gt;설정!$C$11,"주의","여유")))))</f>
        <v/>
      </c>
      <c r="X65" s="40">
        <f>IF($A65="","",IF(P65=0,0,MAX(0,U65-P65)))</f>
        <v/>
      </c>
      <c r="Y65" s="34">
        <f>IF($A65="","",IF(OR(W65&lt;&gt;"부족 예상",설정!$C$7=12),"",IF(R65&lt;=0,"이미 초과",MIN(12,설정!$C$7+ROUNDUP(R65/(MAX(S65,T65)/(12-설정!$C$7)),0))&amp;"월")))</f>
        <v/>
      </c>
      <c r="Z65" s="26">
        <f>IF($A65="","",TRIM(IF(AND(N(AC65)&gt;=설정!$C$14,N65&gt;=설정!$C$10),"단건"&amp;TEXT(MIN(AC65,1),"0%")&amp;" ","")&amp;IF(AND(N65&gt;0,AD65&gt;0),IF(AD65/N65&gt;=설정!$C$16,"SA대체 ",""),"")&amp;IF(AE65&gt;0,"역분개"&amp;AE65&amp;"건 ","")&amp;IF(O65&gt;=설정!$C$13,"이상치 ","")&amp;IF(AND(I65=0,F65&gt;0),"신규지출 ","")))</f>
        <v/>
      </c>
      <c r="AA65" s="62">
        <f>IF($A65="","",ROUND((AF65+AG65+AH65+AI65)*IF(AND(F65&lt;설정!$C$10,N65&lt;설정!$C$10),0.3,1),1))</f>
        <v/>
      </c>
      <c r="AB65" s="41">
        <f>IF($A65="","",AA65+ROW()/1000000)</f>
        <v/>
      </c>
      <c r="AC65" s="60">
        <f>IF(OR($A65="",N65&lt;=0),"",SUMPRODUCT(MAX((전표_원본!$O$5:$O$100000=$E65)*(전표_원본!$M$5:$M$100000=설정!$C$20)*전표_원본!$P$5:$P$100000))/N65)</f>
        <v/>
      </c>
      <c r="AD65" s="35">
        <f>IF($A65="","",SUMIFS(전표_원본!$P$5:$P$100000,전표_원본!$O$5:$O$100000,$E65,전표_원본!$M$5:$M$100000,설정!$C$20,전표_원본!$E$5:$E$100000,"SA")-SUMIFS(전표_원본!$P$5:$P$100000,전표_원본!$O$5:$O$100000,$E65,전표_원본!$M$5:$M$100000,설정!$C$20-1,전표_원본!$E$5:$E$100000,"SA"))</f>
        <v/>
      </c>
      <c r="AE65" s="81">
        <f>IF($A65="","",COUNTIFS(전표_원본!$O$5:$O$100000,$E65,전표_원본!$M$5:$M$100000,설정!$C$20,전표_원본!$P$5:$P$100000,"&lt;0"))</f>
        <v/>
      </c>
      <c r="AF65" s="62">
        <f>IF($A65="","",MIN(MAX(0,N65)/(설정!$C$10*5),1)*30)</f>
        <v/>
      </c>
      <c r="AG65" s="82">
        <f>IF($A65="","",MIN(MAX(0,H65,J65),1)*20)</f>
        <v/>
      </c>
      <c r="AH65" s="82">
        <f>IF($A65="","",MIN(MAX(0,O65)/3,1)*25)</f>
        <v/>
      </c>
      <c r="AI65" s="82">
        <f>IF($A65="","",IF(OR(W65="부족 예상",W65="무예산",AO65="한도 초과",AO65="초과 예상",AO65="무예산"),25,IF(OR(W65="주의",AO65="주의"),15,0)))</f>
        <v/>
      </c>
      <c r="AJ65" s="35">
        <f>IF($A65="","",SUMIFS(예산판_원본!$O$5:$O$5000,예산판_원본!$L$5:$L$5000,$E65,예산판_원본!$M$5:$M$5000,설정!$C$6,예산판_원본!$N$5:$N$5000,설정!$C$21))</f>
        <v/>
      </c>
      <c r="AK65" s="40">
        <f>IF($A65="","",K65)</f>
        <v/>
      </c>
      <c r="AL65" s="40">
        <f>IF($A65="","",AJ65-AK65)</f>
        <v/>
      </c>
      <c r="AM65" s="35">
        <f>IF($A65="","",AK65+AVERAGE(월별집계!X65:Z65)*MAX(0,설정!$C$22+2-설정!$C$20))</f>
        <v/>
      </c>
      <c r="AN65" s="73">
        <f>IF($A65="","",IF(AJ65=0,0,AM65/AJ65))</f>
        <v/>
      </c>
      <c r="AO65" s="34">
        <f>IF($A65="","",IF(AND(AJ65=0,AK65&gt;0),"무예산",IF(AJ65=0,"-",IF(AK65&gt;AJ65,"한도 초과",IF(AN65&gt;설정!$C$12,"초과 예상",IF(AN65&gt;설정!$C$11,"주의","여유"))))))</f>
        <v/>
      </c>
      <c r="AP65" s="35">
        <f>IF($A65="","",IF(설정!$C$19="최근월",(INDEX(월별집계!$AB65:$AM65,설정!$C$7)-INDEX(월별집계!$AB65:$AM65,MAX(1,설정!$C$7-1))*(설정!$C$7&gt;1)),IF(설정!$C$19="최근분기",((INDEX(월별집계!$AB65:$AM65,설정!$C$7)-INDEX(월별집계!$AB65:$AM65,MAX(1,설정!$C$7-3))*(설정!$C$7&gt;3))/MIN(3,설정!$C$7)),IF(설정!$C$19="전년추세",AZ65,((설정!$C$7+1)*SUMPRODUCT(월별집계!$AB$5:$AM$5,월별집계!$AB65:$AM65)-(설정!$C$7*(설정!$C$7+1)/2)*SUM(월별집계!$AB65:$AM65))/((설정!$C$7+1)*(설정!$C$7*(설정!$C$7+1)*(2*설정!$C$7+1)/6)-(설정!$C$7*(설정!$C$7+1)/2)^2)))))</f>
        <v/>
      </c>
      <c r="AQ65" s="35">
        <f>IF($A65="","",IF(설정!$C$19="연내누적",(SUM(월별집계!$AB65:$AM65)-AP65*(설정!$C$7*(설정!$C$7+1)/2))/(설정!$C$7+1),INDEX(월별집계!$AB65:$AM65,설정!$C$7)-AP65*설정!$C$7))</f>
        <v/>
      </c>
      <c r="AR65" s="40">
        <f>IF($A65="","",AQ65+AP65*12)</f>
        <v/>
      </c>
      <c r="AS65" s="82">
        <f>IF($A65="","",IF(OR(P65&lt;=0,Q65&gt;=P65,AP65&lt;=0),"",MAX(설정!$C$7,(P65-AQ65)/AP65)))</f>
        <v/>
      </c>
      <c r="AT65" s="22">
        <f>IF($A65="","",IF(AS65="",IF(AU65="이미 소진","소진됨",""),YEAR((DATE(설정!$C$6,1,1)+ROUND(AS65*365/12,0)-1))&amp;"-"&amp;TEXT(MONTH((DATE(설정!$C$6,1,1)+ROUND(AS65*365/12,0)-1)),"00")&amp;"-"&amp;TEXT(DAY((DATE(설정!$C$6,1,1)+ROUND(AS65*365/12,0)-1)),"00")))</f>
        <v/>
      </c>
      <c r="AU65" s="34">
        <f>IF($A65="","",IF(AND(P65&lt;=0,Q65&gt;0),"무예산",IF(P65&lt;=0,"-",IF(Q65&gt;=P65,"이미 소진",IF(AP65&lt;=0,"소진 안 됨",IF(AS65&lt;=12,"연내 고갈","연내 여유"))))))</f>
        <v/>
      </c>
      <c r="AV65" s="34">
        <f>IF($A65="","",IF(AJ65&lt;=0,"",IF(AK65&gt;=AJ65,"한도 소진",IF(AK65&lt;=0,"",IF(AJ65/(AK65/(설정!$C$20-설정!$C$22+1))&gt;3,"분기 내 여유",YEAR((DATE(설정!$C$6,설정!$C$22-설정!$C$6*12,1)+ROUND(MAX((설정!$C$20-설정!$C$22+1),AJ65/(AK65/(설정!$C$20-설정!$C$22+1)))*365/12,0)-1))&amp;"-"&amp;TEXT(MONTH((DATE(설정!$C$6,설정!$C$22-설정!$C$6*12,1)+ROUND(MAX((설정!$C$20-설정!$C$22+1),AJ65/(AK65/(설정!$C$20-설정!$C$22+1)))*365/12,0)-1)),"00")&amp;"-"&amp;TEXT(DAY((DATE(설정!$C$6,설정!$C$22-설정!$C$6*12,1)+ROUND(MAX((설정!$C$20-설정!$C$22+1),AJ65/(AK65/(설정!$C$20-설정!$C$22+1)))*365/12,0)-1)),"00"))))))</f>
        <v/>
      </c>
      <c r="AW65" s="41">
        <f>IF($A65="",999+ROW()/1000000,IF(AU65="이미 소진",ROW()/1000000,IF(AU65="연내 고갈",AS65+ROW()/1000000,99+ROW()/1000000)))</f>
        <v/>
      </c>
      <c r="AX65" s="35">
        <f>IF($A65="","",SUMIFS(월별집계!$C65:$Z65,월별집계!$C$5:$Z$5,"&gt;="&amp;((설정!$C$6-1)*12+1),월별집계!$C$5:$Z$5,"&lt;="&amp;(설정!$C$20-12)))</f>
        <v/>
      </c>
      <c r="AY65" s="80">
        <f>IF($A65="","",IF(AX65&lt;=0,IF(Q65&gt;0,1,0),Q65/AX65-1))</f>
        <v/>
      </c>
      <c r="AZ65" s="35">
        <f>IF($A65="","",SUMIFS(월별집계!$C65:$Z65,월별집계!$C$5:$Z$5,"&gt;"&amp;(설정!$C$20-12),월별집계!$C$5:$Z$5,"&lt;="&amp;((설정!$C$6-1)*12+12))/MAX(1,12-설정!$C$7))</f>
        <v/>
      </c>
    </row>
    <row r="66">
      <c r="A66" s="12" t="inlineStr">
        <is>
          <t>D800</t>
        </is>
      </c>
      <c r="B66" s="26">
        <f>IF($A66="","",IFERROR(INDEX(부서매핑!$D$5:$D$504,MATCH($A66,부서매핑!$C$5:$C$504,0)),"부서매핑 없음"))</f>
        <v/>
      </c>
      <c r="C66" s="79" t="inlineStr">
        <is>
          <t>62401000</t>
        </is>
      </c>
      <c r="D66" s="26">
        <f>IF($A66="","",IFERROR(INDEX(계정매핑!$B$5:$B$504,MATCH($C66&amp;"",계정매핑!$A$5:$A$504,0)),"계정매핑 없음"))</f>
        <v/>
      </c>
      <c r="E66" s="22">
        <f>IF($A66="","",$A66&amp;"|"&amp;$C66)</f>
        <v/>
      </c>
      <c r="F66" s="35">
        <f>IF($A66="","",월별집계!$Z66)</f>
        <v/>
      </c>
      <c r="G66" s="35">
        <f>IF($A66="","",월별집계!$Y66)</f>
        <v/>
      </c>
      <c r="H66" s="80">
        <f>IF($A66="","",IF(G66&lt;=0,IF(F66&gt;0,1,0),F66/G66-1))</f>
        <v/>
      </c>
      <c r="I66" s="35">
        <f>IF($A66="","",월별집계!$N66)</f>
        <v/>
      </c>
      <c r="J66" s="80">
        <f>IF($A66="","",IF(I66&lt;=0,IF(F66&gt;0,1,0),F66/I66-1))</f>
        <v/>
      </c>
      <c r="K66" s="35">
        <f>IF($A66="","",SUMIFS(월별집계!$C66:$Z66,월별집계!$C$5:$Z$5,"&gt;="&amp;설정!$C$22,월별집계!$C$5:$Z$5,"&lt;="&amp;설정!$C$20))</f>
        <v/>
      </c>
      <c r="L66" s="35">
        <f>IF($A66="","",SUMIFS(월별집계!$C66:$Z66,월별집계!$C$5:$Z$5,"&gt;="&amp;(설정!$C$22-3),월별집계!$C$5:$Z$5,"&lt;="&amp;(설정!$C$20-3)))</f>
        <v/>
      </c>
      <c r="M66" s="80">
        <f>IF($A66="","",IF(L66&lt;=0,IF(K66&gt;0,1,0),K66/L66-1))</f>
        <v/>
      </c>
      <c r="N66" s="40">
        <f>IF($A66="","",MAX(F66-G66,F66-I66))</f>
        <v/>
      </c>
      <c r="O66" s="62">
        <f>IF($A66="","",IFERROR((월별집계!$Z66-AVERAGE(월별집계!N66:Y66))/STDEV(월별집계!N66:Y66),0))</f>
        <v/>
      </c>
      <c r="P66" s="35">
        <f>IF($A66="","",SUMIFS(예산판_원본!$O$5:$O$5000,예산판_원본!$L$5:$L$5000,$E66,예산판_원본!$M$5:$M$5000,설정!$C$6))</f>
        <v/>
      </c>
      <c r="Q66" s="35">
        <f>IF($A66="","",SUMIFS(월별집계!$C66:$Z66,월별집계!$C$5:$Z$5,"&gt;="&amp;(설정!$C$6*12+1),월별집계!$C$5:$Z$5,"&lt;="&amp;설정!$C$20))</f>
        <v/>
      </c>
      <c r="R66" s="40">
        <f>IF($A66="","",P66-Q66)</f>
        <v/>
      </c>
      <c r="S66" s="35">
        <f>IF($A66="","",AVERAGE(월별집계!X66:Z66)*(12-설정!$C$7))</f>
        <v/>
      </c>
      <c r="T66" s="35">
        <f>IF($A66="","",IFERROR(Q66/(SUMIFS(월별집계!$C66:$Z66,월별집계!$C$5:$Z$5,"&gt;="&amp;((설정!$C$6-1)*12+1),월별집계!$C$5:$Z$5,"&lt;="&amp;(설정!$C$20-12))/SUMIFS(월별집계!$C66:$Z66,월별집계!$C$5:$Z$5,"&gt;="&amp;((설정!$C$6-1)*12+1),월별집계!$C$5:$Z$5,"&lt;="&amp;((설정!$C$6-1)*12+12)))-Q66,S66))</f>
        <v/>
      </c>
      <c r="U66" s="40">
        <f>IF($A66="","",Q66+MAX(S66,T66))</f>
        <v/>
      </c>
      <c r="V66" s="73">
        <f>IF($A66="","",IF(P66=0,0,U66/P66))</f>
        <v/>
      </c>
      <c r="W66" s="34">
        <f>IF($A66="","",IF(AND(P66=0,Q66&gt;0),"무예산",IF(P66=0,"-",IF(V66&gt;설정!$C$12,"부족 예상",IF(V66&gt;설정!$C$11,"주의","여유")))))</f>
        <v/>
      </c>
      <c r="X66" s="40">
        <f>IF($A66="","",IF(P66=0,0,MAX(0,U66-P66)))</f>
        <v/>
      </c>
      <c r="Y66" s="34">
        <f>IF($A66="","",IF(OR(W66&lt;&gt;"부족 예상",설정!$C$7=12),"",IF(R66&lt;=0,"이미 초과",MIN(12,설정!$C$7+ROUNDUP(R66/(MAX(S66,T66)/(12-설정!$C$7)),0))&amp;"월")))</f>
        <v/>
      </c>
      <c r="Z66" s="26">
        <f>IF($A66="","",TRIM(IF(AND(N(AC66)&gt;=설정!$C$14,N66&gt;=설정!$C$10),"단건"&amp;TEXT(MIN(AC66,1),"0%")&amp;" ","")&amp;IF(AND(N66&gt;0,AD66&gt;0),IF(AD66/N66&gt;=설정!$C$16,"SA대체 ",""),"")&amp;IF(AE66&gt;0,"역분개"&amp;AE66&amp;"건 ","")&amp;IF(O66&gt;=설정!$C$13,"이상치 ","")&amp;IF(AND(I66=0,F66&gt;0),"신규지출 ","")))</f>
        <v/>
      </c>
      <c r="AA66" s="62">
        <f>IF($A66="","",ROUND((AF66+AG66+AH66+AI66)*IF(AND(F66&lt;설정!$C$10,N66&lt;설정!$C$10),0.3,1),1))</f>
        <v/>
      </c>
      <c r="AB66" s="41">
        <f>IF($A66="","",AA66+ROW()/1000000)</f>
        <v/>
      </c>
      <c r="AC66" s="60">
        <f>IF(OR($A66="",N66&lt;=0),"",SUMPRODUCT(MAX((전표_원본!$O$5:$O$100000=$E66)*(전표_원본!$M$5:$M$100000=설정!$C$20)*전표_원본!$P$5:$P$100000))/N66)</f>
        <v/>
      </c>
      <c r="AD66" s="35">
        <f>IF($A66="","",SUMIFS(전표_원본!$P$5:$P$100000,전표_원본!$O$5:$O$100000,$E66,전표_원본!$M$5:$M$100000,설정!$C$20,전표_원본!$E$5:$E$100000,"SA")-SUMIFS(전표_원본!$P$5:$P$100000,전표_원본!$O$5:$O$100000,$E66,전표_원본!$M$5:$M$100000,설정!$C$20-1,전표_원본!$E$5:$E$100000,"SA"))</f>
        <v/>
      </c>
      <c r="AE66" s="81">
        <f>IF($A66="","",COUNTIFS(전표_원본!$O$5:$O$100000,$E66,전표_원본!$M$5:$M$100000,설정!$C$20,전표_원본!$P$5:$P$100000,"&lt;0"))</f>
        <v/>
      </c>
      <c r="AF66" s="62">
        <f>IF($A66="","",MIN(MAX(0,N66)/(설정!$C$10*5),1)*30)</f>
        <v/>
      </c>
      <c r="AG66" s="82">
        <f>IF($A66="","",MIN(MAX(0,H66,J66),1)*20)</f>
        <v/>
      </c>
      <c r="AH66" s="82">
        <f>IF($A66="","",MIN(MAX(0,O66)/3,1)*25)</f>
        <v/>
      </c>
      <c r="AI66" s="82">
        <f>IF($A66="","",IF(OR(W66="부족 예상",W66="무예산",AO66="한도 초과",AO66="초과 예상",AO66="무예산"),25,IF(OR(W66="주의",AO66="주의"),15,0)))</f>
        <v/>
      </c>
      <c r="AJ66" s="35">
        <f>IF($A66="","",SUMIFS(예산판_원본!$O$5:$O$5000,예산판_원본!$L$5:$L$5000,$E66,예산판_원본!$M$5:$M$5000,설정!$C$6,예산판_원본!$N$5:$N$5000,설정!$C$21))</f>
        <v/>
      </c>
      <c r="AK66" s="40">
        <f>IF($A66="","",K66)</f>
        <v/>
      </c>
      <c r="AL66" s="40">
        <f>IF($A66="","",AJ66-AK66)</f>
        <v/>
      </c>
      <c r="AM66" s="35">
        <f>IF($A66="","",AK66+AVERAGE(월별집계!X66:Z66)*MAX(0,설정!$C$22+2-설정!$C$20))</f>
        <v/>
      </c>
      <c r="AN66" s="73">
        <f>IF($A66="","",IF(AJ66=0,0,AM66/AJ66))</f>
        <v/>
      </c>
      <c r="AO66" s="34">
        <f>IF($A66="","",IF(AND(AJ66=0,AK66&gt;0),"무예산",IF(AJ66=0,"-",IF(AK66&gt;AJ66,"한도 초과",IF(AN66&gt;설정!$C$12,"초과 예상",IF(AN66&gt;설정!$C$11,"주의","여유"))))))</f>
        <v/>
      </c>
      <c r="AP66" s="35">
        <f>IF($A66="","",IF(설정!$C$19="최근월",(INDEX(월별집계!$AB66:$AM66,설정!$C$7)-INDEX(월별집계!$AB66:$AM66,MAX(1,설정!$C$7-1))*(설정!$C$7&gt;1)),IF(설정!$C$19="최근분기",((INDEX(월별집계!$AB66:$AM66,설정!$C$7)-INDEX(월별집계!$AB66:$AM66,MAX(1,설정!$C$7-3))*(설정!$C$7&gt;3))/MIN(3,설정!$C$7)),IF(설정!$C$19="전년추세",AZ66,((설정!$C$7+1)*SUMPRODUCT(월별집계!$AB$5:$AM$5,월별집계!$AB66:$AM66)-(설정!$C$7*(설정!$C$7+1)/2)*SUM(월별집계!$AB66:$AM66))/((설정!$C$7+1)*(설정!$C$7*(설정!$C$7+1)*(2*설정!$C$7+1)/6)-(설정!$C$7*(설정!$C$7+1)/2)^2)))))</f>
        <v/>
      </c>
      <c r="AQ66" s="35">
        <f>IF($A66="","",IF(설정!$C$19="연내누적",(SUM(월별집계!$AB66:$AM66)-AP66*(설정!$C$7*(설정!$C$7+1)/2))/(설정!$C$7+1),INDEX(월별집계!$AB66:$AM66,설정!$C$7)-AP66*설정!$C$7))</f>
        <v/>
      </c>
      <c r="AR66" s="40">
        <f>IF($A66="","",AQ66+AP66*12)</f>
        <v/>
      </c>
      <c r="AS66" s="82">
        <f>IF($A66="","",IF(OR(P66&lt;=0,Q66&gt;=P66,AP66&lt;=0),"",MAX(설정!$C$7,(P66-AQ66)/AP66)))</f>
        <v/>
      </c>
      <c r="AT66" s="22">
        <f>IF($A66="","",IF(AS66="",IF(AU66="이미 소진","소진됨",""),YEAR((DATE(설정!$C$6,1,1)+ROUND(AS66*365/12,0)-1))&amp;"-"&amp;TEXT(MONTH((DATE(설정!$C$6,1,1)+ROUND(AS66*365/12,0)-1)),"00")&amp;"-"&amp;TEXT(DAY((DATE(설정!$C$6,1,1)+ROUND(AS66*365/12,0)-1)),"00")))</f>
        <v/>
      </c>
      <c r="AU66" s="34">
        <f>IF($A66="","",IF(AND(P66&lt;=0,Q66&gt;0),"무예산",IF(P66&lt;=0,"-",IF(Q66&gt;=P66,"이미 소진",IF(AP66&lt;=0,"소진 안 됨",IF(AS66&lt;=12,"연내 고갈","연내 여유"))))))</f>
        <v/>
      </c>
      <c r="AV66" s="34">
        <f>IF($A66="","",IF(AJ66&lt;=0,"",IF(AK66&gt;=AJ66,"한도 소진",IF(AK66&lt;=0,"",IF(AJ66/(AK66/(설정!$C$20-설정!$C$22+1))&gt;3,"분기 내 여유",YEAR((DATE(설정!$C$6,설정!$C$22-설정!$C$6*12,1)+ROUND(MAX((설정!$C$20-설정!$C$22+1),AJ66/(AK66/(설정!$C$20-설정!$C$22+1)))*365/12,0)-1))&amp;"-"&amp;TEXT(MONTH((DATE(설정!$C$6,설정!$C$22-설정!$C$6*12,1)+ROUND(MAX((설정!$C$20-설정!$C$22+1),AJ66/(AK66/(설정!$C$20-설정!$C$22+1)))*365/12,0)-1)),"00")&amp;"-"&amp;TEXT(DAY((DATE(설정!$C$6,설정!$C$22-설정!$C$6*12,1)+ROUND(MAX((설정!$C$20-설정!$C$22+1),AJ66/(AK66/(설정!$C$20-설정!$C$22+1)))*365/12,0)-1)),"00"))))))</f>
        <v/>
      </c>
      <c r="AW66" s="41">
        <f>IF($A66="",999+ROW()/1000000,IF(AU66="이미 소진",ROW()/1000000,IF(AU66="연내 고갈",AS66+ROW()/1000000,99+ROW()/1000000)))</f>
        <v/>
      </c>
      <c r="AX66" s="35">
        <f>IF($A66="","",SUMIFS(월별집계!$C66:$Z66,월별집계!$C$5:$Z$5,"&gt;="&amp;((설정!$C$6-1)*12+1),월별집계!$C$5:$Z$5,"&lt;="&amp;(설정!$C$20-12)))</f>
        <v/>
      </c>
      <c r="AY66" s="80">
        <f>IF($A66="","",IF(AX66&lt;=0,IF(Q66&gt;0,1,0),Q66/AX66-1))</f>
        <v/>
      </c>
      <c r="AZ66" s="35">
        <f>IF($A66="","",SUMIFS(월별집계!$C66:$Z66,월별집계!$C$5:$Z$5,"&gt;"&amp;(설정!$C$20-12),월별집계!$C$5:$Z$5,"&lt;="&amp;((설정!$C$6-1)*12+12))/MAX(1,12-설정!$C$7))</f>
        <v/>
      </c>
    </row>
    <row r="67">
      <c r="A67" s="12" t="inlineStr">
        <is>
          <t>D800</t>
        </is>
      </c>
      <c r="B67" s="26">
        <f>IF($A67="","",IFERROR(INDEX(부서매핑!$D$5:$D$504,MATCH($A67,부서매핑!$C$5:$C$504,0)),"부서매핑 없음"))</f>
        <v/>
      </c>
      <c r="C67" s="79" t="inlineStr">
        <is>
          <t>62501000</t>
        </is>
      </c>
      <c r="D67" s="26">
        <f>IF($A67="","",IFERROR(INDEX(계정매핑!$B$5:$B$504,MATCH($C67&amp;"",계정매핑!$A$5:$A$504,0)),"계정매핑 없음"))</f>
        <v/>
      </c>
      <c r="E67" s="22">
        <f>IF($A67="","",$A67&amp;"|"&amp;$C67)</f>
        <v/>
      </c>
      <c r="F67" s="35">
        <f>IF($A67="","",월별집계!$Z67)</f>
        <v/>
      </c>
      <c r="G67" s="35">
        <f>IF($A67="","",월별집계!$Y67)</f>
        <v/>
      </c>
      <c r="H67" s="80">
        <f>IF($A67="","",IF(G67&lt;=0,IF(F67&gt;0,1,0),F67/G67-1))</f>
        <v/>
      </c>
      <c r="I67" s="35">
        <f>IF($A67="","",월별집계!$N67)</f>
        <v/>
      </c>
      <c r="J67" s="80">
        <f>IF($A67="","",IF(I67&lt;=0,IF(F67&gt;0,1,0),F67/I67-1))</f>
        <v/>
      </c>
      <c r="K67" s="35">
        <f>IF($A67="","",SUMIFS(월별집계!$C67:$Z67,월별집계!$C$5:$Z$5,"&gt;="&amp;설정!$C$22,월별집계!$C$5:$Z$5,"&lt;="&amp;설정!$C$20))</f>
        <v/>
      </c>
      <c r="L67" s="35">
        <f>IF($A67="","",SUMIFS(월별집계!$C67:$Z67,월별집계!$C$5:$Z$5,"&gt;="&amp;(설정!$C$22-3),월별집계!$C$5:$Z$5,"&lt;="&amp;(설정!$C$20-3)))</f>
        <v/>
      </c>
      <c r="M67" s="80">
        <f>IF($A67="","",IF(L67&lt;=0,IF(K67&gt;0,1,0),K67/L67-1))</f>
        <v/>
      </c>
      <c r="N67" s="40">
        <f>IF($A67="","",MAX(F67-G67,F67-I67))</f>
        <v/>
      </c>
      <c r="O67" s="62">
        <f>IF($A67="","",IFERROR((월별집계!$Z67-AVERAGE(월별집계!N67:Y67))/STDEV(월별집계!N67:Y67),0))</f>
        <v/>
      </c>
      <c r="P67" s="35">
        <f>IF($A67="","",SUMIFS(예산판_원본!$O$5:$O$5000,예산판_원본!$L$5:$L$5000,$E67,예산판_원본!$M$5:$M$5000,설정!$C$6))</f>
        <v/>
      </c>
      <c r="Q67" s="35">
        <f>IF($A67="","",SUMIFS(월별집계!$C67:$Z67,월별집계!$C$5:$Z$5,"&gt;="&amp;(설정!$C$6*12+1),월별집계!$C$5:$Z$5,"&lt;="&amp;설정!$C$20))</f>
        <v/>
      </c>
      <c r="R67" s="40">
        <f>IF($A67="","",P67-Q67)</f>
        <v/>
      </c>
      <c r="S67" s="35">
        <f>IF($A67="","",AVERAGE(월별집계!X67:Z67)*(12-설정!$C$7))</f>
        <v/>
      </c>
      <c r="T67" s="35">
        <f>IF($A67="","",IFERROR(Q67/(SUMIFS(월별집계!$C67:$Z67,월별집계!$C$5:$Z$5,"&gt;="&amp;((설정!$C$6-1)*12+1),월별집계!$C$5:$Z$5,"&lt;="&amp;(설정!$C$20-12))/SUMIFS(월별집계!$C67:$Z67,월별집계!$C$5:$Z$5,"&gt;="&amp;((설정!$C$6-1)*12+1),월별집계!$C$5:$Z$5,"&lt;="&amp;((설정!$C$6-1)*12+12)))-Q67,S67))</f>
        <v/>
      </c>
      <c r="U67" s="40">
        <f>IF($A67="","",Q67+MAX(S67,T67))</f>
        <v/>
      </c>
      <c r="V67" s="73">
        <f>IF($A67="","",IF(P67=0,0,U67/P67))</f>
        <v/>
      </c>
      <c r="W67" s="34">
        <f>IF($A67="","",IF(AND(P67=0,Q67&gt;0),"무예산",IF(P67=0,"-",IF(V67&gt;설정!$C$12,"부족 예상",IF(V67&gt;설정!$C$11,"주의","여유")))))</f>
        <v/>
      </c>
      <c r="X67" s="40">
        <f>IF($A67="","",IF(P67=0,0,MAX(0,U67-P67)))</f>
        <v/>
      </c>
      <c r="Y67" s="34">
        <f>IF($A67="","",IF(OR(W67&lt;&gt;"부족 예상",설정!$C$7=12),"",IF(R67&lt;=0,"이미 초과",MIN(12,설정!$C$7+ROUNDUP(R67/(MAX(S67,T67)/(12-설정!$C$7)),0))&amp;"월")))</f>
        <v/>
      </c>
      <c r="Z67" s="26">
        <f>IF($A67="","",TRIM(IF(AND(N(AC67)&gt;=설정!$C$14,N67&gt;=설정!$C$10),"단건"&amp;TEXT(MIN(AC67,1),"0%")&amp;" ","")&amp;IF(AND(N67&gt;0,AD67&gt;0),IF(AD67/N67&gt;=설정!$C$16,"SA대체 ",""),"")&amp;IF(AE67&gt;0,"역분개"&amp;AE67&amp;"건 ","")&amp;IF(O67&gt;=설정!$C$13,"이상치 ","")&amp;IF(AND(I67=0,F67&gt;0),"신규지출 ","")))</f>
        <v/>
      </c>
      <c r="AA67" s="62">
        <f>IF($A67="","",ROUND((AF67+AG67+AH67+AI67)*IF(AND(F67&lt;설정!$C$10,N67&lt;설정!$C$10),0.3,1),1))</f>
        <v/>
      </c>
      <c r="AB67" s="41">
        <f>IF($A67="","",AA67+ROW()/1000000)</f>
        <v/>
      </c>
      <c r="AC67" s="60">
        <f>IF(OR($A67="",N67&lt;=0),"",SUMPRODUCT(MAX((전표_원본!$O$5:$O$100000=$E67)*(전표_원본!$M$5:$M$100000=설정!$C$20)*전표_원본!$P$5:$P$100000))/N67)</f>
        <v/>
      </c>
      <c r="AD67" s="35">
        <f>IF($A67="","",SUMIFS(전표_원본!$P$5:$P$100000,전표_원본!$O$5:$O$100000,$E67,전표_원본!$M$5:$M$100000,설정!$C$20,전표_원본!$E$5:$E$100000,"SA")-SUMIFS(전표_원본!$P$5:$P$100000,전표_원본!$O$5:$O$100000,$E67,전표_원본!$M$5:$M$100000,설정!$C$20-1,전표_원본!$E$5:$E$100000,"SA"))</f>
        <v/>
      </c>
      <c r="AE67" s="81">
        <f>IF($A67="","",COUNTIFS(전표_원본!$O$5:$O$100000,$E67,전표_원본!$M$5:$M$100000,설정!$C$20,전표_원본!$P$5:$P$100000,"&lt;0"))</f>
        <v/>
      </c>
      <c r="AF67" s="62">
        <f>IF($A67="","",MIN(MAX(0,N67)/(설정!$C$10*5),1)*30)</f>
        <v/>
      </c>
      <c r="AG67" s="82">
        <f>IF($A67="","",MIN(MAX(0,H67,J67),1)*20)</f>
        <v/>
      </c>
      <c r="AH67" s="82">
        <f>IF($A67="","",MIN(MAX(0,O67)/3,1)*25)</f>
        <v/>
      </c>
      <c r="AI67" s="82">
        <f>IF($A67="","",IF(OR(W67="부족 예상",W67="무예산",AO67="한도 초과",AO67="초과 예상",AO67="무예산"),25,IF(OR(W67="주의",AO67="주의"),15,0)))</f>
        <v/>
      </c>
      <c r="AJ67" s="35">
        <f>IF($A67="","",SUMIFS(예산판_원본!$O$5:$O$5000,예산판_원본!$L$5:$L$5000,$E67,예산판_원본!$M$5:$M$5000,설정!$C$6,예산판_원본!$N$5:$N$5000,설정!$C$21))</f>
        <v/>
      </c>
      <c r="AK67" s="40">
        <f>IF($A67="","",K67)</f>
        <v/>
      </c>
      <c r="AL67" s="40">
        <f>IF($A67="","",AJ67-AK67)</f>
        <v/>
      </c>
      <c r="AM67" s="35">
        <f>IF($A67="","",AK67+AVERAGE(월별집계!X67:Z67)*MAX(0,설정!$C$22+2-설정!$C$20))</f>
        <v/>
      </c>
      <c r="AN67" s="73">
        <f>IF($A67="","",IF(AJ67=0,0,AM67/AJ67))</f>
        <v/>
      </c>
      <c r="AO67" s="34">
        <f>IF($A67="","",IF(AND(AJ67=0,AK67&gt;0),"무예산",IF(AJ67=0,"-",IF(AK67&gt;AJ67,"한도 초과",IF(AN67&gt;설정!$C$12,"초과 예상",IF(AN67&gt;설정!$C$11,"주의","여유"))))))</f>
        <v/>
      </c>
      <c r="AP67" s="35">
        <f>IF($A67="","",IF(설정!$C$19="최근월",(INDEX(월별집계!$AB67:$AM67,설정!$C$7)-INDEX(월별집계!$AB67:$AM67,MAX(1,설정!$C$7-1))*(설정!$C$7&gt;1)),IF(설정!$C$19="최근분기",((INDEX(월별집계!$AB67:$AM67,설정!$C$7)-INDEX(월별집계!$AB67:$AM67,MAX(1,설정!$C$7-3))*(설정!$C$7&gt;3))/MIN(3,설정!$C$7)),IF(설정!$C$19="전년추세",AZ67,((설정!$C$7+1)*SUMPRODUCT(월별집계!$AB$5:$AM$5,월별집계!$AB67:$AM67)-(설정!$C$7*(설정!$C$7+1)/2)*SUM(월별집계!$AB67:$AM67))/((설정!$C$7+1)*(설정!$C$7*(설정!$C$7+1)*(2*설정!$C$7+1)/6)-(설정!$C$7*(설정!$C$7+1)/2)^2)))))</f>
        <v/>
      </c>
      <c r="AQ67" s="35">
        <f>IF($A67="","",IF(설정!$C$19="연내누적",(SUM(월별집계!$AB67:$AM67)-AP67*(설정!$C$7*(설정!$C$7+1)/2))/(설정!$C$7+1),INDEX(월별집계!$AB67:$AM67,설정!$C$7)-AP67*설정!$C$7))</f>
        <v/>
      </c>
      <c r="AR67" s="40">
        <f>IF($A67="","",AQ67+AP67*12)</f>
        <v/>
      </c>
      <c r="AS67" s="82">
        <f>IF($A67="","",IF(OR(P67&lt;=0,Q67&gt;=P67,AP67&lt;=0),"",MAX(설정!$C$7,(P67-AQ67)/AP67)))</f>
        <v/>
      </c>
      <c r="AT67" s="22">
        <f>IF($A67="","",IF(AS67="",IF(AU67="이미 소진","소진됨",""),YEAR((DATE(설정!$C$6,1,1)+ROUND(AS67*365/12,0)-1))&amp;"-"&amp;TEXT(MONTH((DATE(설정!$C$6,1,1)+ROUND(AS67*365/12,0)-1)),"00")&amp;"-"&amp;TEXT(DAY((DATE(설정!$C$6,1,1)+ROUND(AS67*365/12,0)-1)),"00")))</f>
        <v/>
      </c>
      <c r="AU67" s="34">
        <f>IF($A67="","",IF(AND(P67&lt;=0,Q67&gt;0),"무예산",IF(P67&lt;=0,"-",IF(Q67&gt;=P67,"이미 소진",IF(AP67&lt;=0,"소진 안 됨",IF(AS67&lt;=12,"연내 고갈","연내 여유"))))))</f>
        <v/>
      </c>
      <c r="AV67" s="34">
        <f>IF($A67="","",IF(AJ67&lt;=0,"",IF(AK67&gt;=AJ67,"한도 소진",IF(AK67&lt;=0,"",IF(AJ67/(AK67/(설정!$C$20-설정!$C$22+1))&gt;3,"분기 내 여유",YEAR((DATE(설정!$C$6,설정!$C$22-설정!$C$6*12,1)+ROUND(MAX((설정!$C$20-설정!$C$22+1),AJ67/(AK67/(설정!$C$20-설정!$C$22+1)))*365/12,0)-1))&amp;"-"&amp;TEXT(MONTH((DATE(설정!$C$6,설정!$C$22-설정!$C$6*12,1)+ROUND(MAX((설정!$C$20-설정!$C$22+1),AJ67/(AK67/(설정!$C$20-설정!$C$22+1)))*365/12,0)-1)),"00")&amp;"-"&amp;TEXT(DAY((DATE(설정!$C$6,설정!$C$22-설정!$C$6*12,1)+ROUND(MAX((설정!$C$20-설정!$C$22+1),AJ67/(AK67/(설정!$C$20-설정!$C$22+1)))*365/12,0)-1)),"00"))))))</f>
        <v/>
      </c>
      <c r="AW67" s="41">
        <f>IF($A67="",999+ROW()/1000000,IF(AU67="이미 소진",ROW()/1000000,IF(AU67="연내 고갈",AS67+ROW()/1000000,99+ROW()/1000000)))</f>
        <v/>
      </c>
      <c r="AX67" s="35">
        <f>IF($A67="","",SUMIFS(월별집계!$C67:$Z67,월별집계!$C$5:$Z$5,"&gt;="&amp;((설정!$C$6-1)*12+1),월별집계!$C$5:$Z$5,"&lt;="&amp;(설정!$C$20-12)))</f>
        <v/>
      </c>
      <c r="AY67" s="80">
        <f>IF($A67="","",IF(AX67&lt;=0,IF(Q67&gt;0,1,0),Q67/AX67-1))</f>
        <v/>
      </c>
      <c r="AZ67" s="35">
        <f>IF($A67="","",SUMIFS(월별집계!$C67:$Z67,월별집계!$C$5:$Z$5,"&gt;"&amp;(설정!$C$20-12),월별집계!$C$5:$Z$5,"&lt;="&amp;((설정!$C$6-1)*12+12))/MAX(1,12-설정!$C$7))</f>
        <v/>
      </c>
    </row>
    <row r="68">
      <c r="A68" s="12" t="inlineStr">
        <is>
          <t>D800</t>
        </is>
      </c>
      <c r="B68" s="26">
        <f>IF($A68="","",IFERROR(INDEX(부서매핑!$D$5:$D$504,MATCH($A68,부서매핑!$C$5:$C$504,0)),"부서매핑 없음"))</f>
        <v/>
      </c>
      <c r="C68" s="79" t="inlineStr">
        <is>
          <t>62901000</t>
        </is>
      </c>
      <c r="D68" s="26">
        <f>IF($A68="","",IFERROR(INDEX(계정매핑!$B$5:$B$504,MATCH($C68&amp;"",계정매핑!$A$5:$A$504,0)),"계정매핑 없음"))</f>
        <v/>
      </c>
      <c r="E68" s="22">
        <f>IF($A68="","",$A68&amp;"|"&amp;$C68)</f>
        <v/>
      </c>
      <c r="F68" s="35">
        <f>IF($A68="","",월별집계!$Z68)</f>
        <v/>
      </c>
      <c r="G68" s="35">
        <f>IF($A68="","",월별집계!$Y68)</f>
        <v/>
      </c>
      <c r="H68" s="80">
        <f>IF($A68="","",IF(G68&lt;=0,IF(F68&gt;0,1,0),F68/G68-1))</f>
        <v/>
      </c>
      <c r="I68" s="35">
        <f>IF($A68="","",월별집계!$N68)</f>
        <v/>
      </c>
      <c r="J68" s="80">
        <f>IF($A68="","",IF(I68&lt;=0,IF(F68&gt;0,1,0),F68/I68-1))</f>
        <v/>
      </c>
      <c r="K68" s="35">
        <f>IF($A68="","",SUMIFS(월별집계!$C68:$Z68,월별집계!$C$5:$Z$5,"&gt;="&amp;설정!$C$22,월별집계!$C$5:$Z$5,"&lt;="&amp;설정!$C$20))</f>
        <v/>
      </c>
      <c r="L68" s="35">
        <f>IF($A68="","",SUMIFS(월별집계!$C68:$Z68,월별집계!$C$5:$Z$5,"&gt;="&amp;(설정!$C$22-3),월별집계!$C$5:$Z$5,"&lt;="&amp;(설정!$C$20-3)))</f>
        <v/>
      </c>
      <c r="M68" s="80">
        <f>IF($A68="","",IF(L68&lt;=0,IF(K68&gt;0,1,0),K68/L68-1))</f>
        <v/>
      </c>
      <c r="N68" s="40">
        <f>IF($A68="","",MAX(F68-G68,F68-I68))</f>
        <v/>
      </c>
      <c r="O68" s="62">
        <f>IF($A68="","",IFERROR((월별집계!$Z68-AVERAGE(월별집계!N68:Y68))/STDEV(월별집계!N68:Y68),0))</f>
        <v/>
      </c>
      <c r="P68" s="35">
        <f>IF($A68="","",SUMIFS(예산판_원본!$O$5:$O$5000,예산판_원본!$L$5:$L$5000,$E68,예산판_원본!$M$5:$M$5000,설정!$C$6))</f>
        <v/>
      </c>
      <c r="Q68" s="35">
        <f>IF($A68="","",SUMIFS(월별집계!$C68:$Z68,월별집계!$C$5:$Z$5,"&gt;="&amp;(설정!$C$6*12+1),월별집계!$C$5:$Z$5,"&lt;="&amp;설정!$C$20))</f>
        <v/>
      </c>
      <c r="R68" s="40">
        <f>IF($A68="","",P68-Q68)</f>
        <v/>
      </c>
      <c r="S68" s="35">
        <f>IF($A68="","",AVERAGE(월별집계!X68:Z68)*(12-설정!$C$7))</f>
        <v/>
      </c>
      <c r="T68" s="35">
        <f>IF($A68="","",IFERROR(Q68/(SUMIFS(월별집계!$C68:$Z68,월별집계!$C$5:$Z$5,"&gt;="&amp;((설정!$C$6-1)*12+1),월별집계!$C$5:$Z$5,"&lt;="&amp;(설정!$C$20-12))/SUMIFS(월별집계!$C68:$Z68,월별집계!$C$5:$Z$5,"&gt;="&amp;((설정!$C$6-1)*12+1),월별집계!$C$5:$Z$5,"&lt;="&amp;((설정!$C$6-1)*12+12)))-Q68,S68))</f>
        <v/>
      </c>
      <c r="U68" s="40">
        <f>IF($A68="","",Q68+MAX(S68,T68))</f>
        <v/>
      </c>
      <c r="V68" s="73">
        <f>IF($A68="","",IF(P68=0,0,U68/P68))</f>
        <v/>
      </c>
      <c r="W68" s="34">
        <f>IF($A68="","",IF(AND(P68=0,Q68&gt;0),"무예산",IF(P68=0,"-",IF(V68&gt;설정!$C$12,"부족 예상",IF(V68&gt;설정!$C$11,"주의","여유")))))</f>
        <v/>
      </c>
      <c r="X68" s="40">
        <f>IF($A68="","",IF(P68=0,0,MAX(0,U68-P68)))</f>
        <v/>
      </c>
      <c r="Y68" s="34">
        <f>IF($A68="","",IF(OR(W68&lt;&gt;"부족 예상",설정!$C$7=12),"",IF(R68&lt;=0,"이미 초과",MIN(12,설정!$C$7+ROUNDUP(R68/(MAX(S68,T68)/(12-설정!$C$7)),0))&amp;"월")))</f>
        <v/>
      </c>
      <c r="Z68" s="26">
        <f>IF($A68="","",TRIM(IF(AND(N(AC68)&gt;=설정!$C$14,N68&gt;=설정!$C$10),"단건"&amp;TEXT(MIN(AC68,1),"0%")&amp;" ","")&amp;IF(AND(N68&gt;0,AD68&gt;0),IF(AD68/N68&gt;=설정!$C$16,"SA대체 ",""),"")&amp;IF(AE68&gt;0,"역분개"&amp;AE68&amp;"건 ","")&amp;IF(O68&gt;=설정!$C$13,"이상치 ","")&amp;IF(AND(I68=0,F68&gt;0),"신규지출 ","")))</f>
        <v/>
      </c>
      <c r="AA68" s="62">
        <f>IF($A68="","",ROUND((AF68+AG68+AH68+AI68)*IF(AND(F68&lt;설정!$C$10,N68&lt;설정!$C$10),0.3,1),1))</f>
        <v/>
      </c>
      <c r="AB68" s="41">
        <f>IF($A68="","",AA68+ROW()/1000000)</f>
        <v/>
      </c>
      <c r="AC68" s="60">
        <f>IF(OR($A68="",N68&lt;=0),"",SUMPRODUCT(MAX((전표_원본!$O$5:$O$100000=$E68)*(전표_원본!$M$5:$M$100000=설정!$C$20)*전표_원본!$P$5:$P$100000))/N68)</f>
        <v/>
      </c>
      <c r="AD68" s="35">
        <f>IF($A68="","",SUMIFS(전표_원본!$P$5:$P$100000,전표_원본!$O$5:$O$100000,$E68,전표_원본!$M$5:$M$100000,설정!$C$20,전표_원본!$E$5:$E$100000,"SA")-SUMIFS(전표_원본!$P$5:$P$100000,전표_원본!$O$5:$O$100000,$E68,전표_원본!$M$5:$M$100000,설정!$C$20-1,전표_원본!$E$5:$E$100000,"SA"))</f>
        <v/>
      </c>
      <c r="AE68" s="81">
        <f>IF($A68="","",COUNTIFS(전표_원본!$O$5:$O$100000,$E68,전표_원본!$M$5:$M$100000,설정!$C$20,전표_원본!$P$5:$P$100000,"&lt;0"))</f>
        <v/>
      </c>
      <c r="AF68" s="62">
        <f>IF($A68="","",MIN(MAX(0,N68)/(설정!$C$10*5),1)*30)</f>
        <v/>
      </c>
      <c r="AG68" s="82">
        <f>IF($A68="","",MIN(MAX(0,H68,J68),1)*20)</f>
        <v/>
      </c>
      <c r="AH68" s="82">
        <f>IF($A68="","",MIN(MAX(0,O68)/3,1)*25)</f>
        <v/>
      </c>
      <c r="AI68" s="82">
        <f>IF($A68="","",IF(OR(W68="부족 예상",W68="무예산",AO68="한도 초과",AO68="초과 예상",AO68="무예산"),25,IF(OR(W68="주의",AO68="주의"),15,0)))</f>
        <v/>
      </c>
      <c r="AJ68" s="35">
        <f>IF($A68="","",SUMIFS(예산판_원본!$O$5:$O$5000,예산판_원본!$L$5:$L$5000,$E68,예산판_원본!$M$5:$M$5000,설정!$C$6,예산판_원본!$N$5:$N$5000,설정!$C$21))</f>
        <v/>
      </c>
      <c r="AK68" s="40">
        <f>IF($A68="","",K68)</f>
        <v/>
      </c>
      <c r="AL68" s="40">
        <f>IF($A68="","",AJ68-AK68)</f>
        <v/>
      </c>
      <c r="AM68" s="35">
        <f>IF($A68="","",AK68+AVERAGE(월별집계!X68:Z68)*MAX(0,설정!$C$22+2-설정!$C$20))</f>
        <v/>
      </c>
      <c r="AN68" s="73">
        <f>IF($A68="","",IF(AJ68=0,0,AM68/AJ68))</f>
        <v/>
      </c>
      <c r="AO68" s="34">
        <f>IF($A68="","",IF(AND(AJ68=0,AK68&gt;0),"무예산",IF(AJ68=0,"-",IF(AK68&gt;AJ68,"한도 초과",IF(AN68&gt;설정!$C$12,"초과 예상",IF(AN68&gt;설정!$C$11,"주의","여유"))))))</f>
        <v/>
      </c>
      <c r="AP68" s="35">
        <f>IF($A68="","",IF(설정!$C$19="최근월",(INDEX(월별집계!$AB68:$AM68,설정!$C$7)-INDEX(월별집계!$AB68:$AM68,MAX(1,설정!$C$7-1))*(설정!$C$7&gt;1)),IF(설정!$C$19="최근분기",((INDEX(월별집계!$AB68:$AM68,설정!$C$7)-INDEX(월별집계!$AB68:$AM68,MAX(1,설정!$C$7-3))*(설정!$C$7&gt;3))/MIN(3,설정!$C$7)),IF(설정!$C$19="전년추세",AZ68,((설정!$C$7+1)*SUMPRODUCT(월별집계!$AB$5:$AM$5,월별집계!$AB68:$AM68)-(설정!$C$7*(설정!$C$7+1)/2)*SUM(월별집계!$AB68:$AM68))/((설정!$C$7+1)*(설정!$C$7*(설정!$C$7+1)*(2*설정!$C$7+1)/6)-(설정!$C$7*(설정!$C$7+1)/2)^2)))))</f>
        <v/>
      </c>
      <c r="AQ68" s="35">
        <f>IF($A68="","",IF(설정!$C$19="연내누적",(SUM(월별집계!$AB68:$AM68)-AP68*(설정!$C$7*(설정!$C$7+1)/2))/(설정!$C$7+1),INDEX(월별집계!$AB68:$AM68,설정!$C$7)-AP68*설정!$C$7))</f>
        <v/>
      </c>
      <c r="AR68" s="40">
        <f>IF($A68="","",AQ68+AP68*12)</f>
        <v/>
      </c>
      <c r="AS68" s="82">
        <f>IF($A68="","",IF(OR(P68&lt;=0,Q68&gt;=P68,AP68&lt;=0),"",MAX(설정!$C$7,(P68-AQ68)/AP68)))</f>
        <v/>
      </c>
      <c r="AT68" s="22">
        <f>IF($A68="","",IF(AS68="",IF(AU68="이미 소진","소진됨",""),YEAR((DATE(설정!$C$6,1,1)+ROUND(AS68*365/12,0)-1))&amp;"-"&amp;TEXT(MONTH((DATE(설정!$C$6,1,1)+ROUND(AS68*365/12,0)-1)),"00")&amp;"-"&amp;TEXT(DAY((DATE(설정!$C$6,1,1)+ROUND(AS68*365/12,0)-1)),"00")))</f>
        <v/>
      </c>
      <c r="AU68" s="34">
        <f>IF($A68="","",IF(AND(P68&lt;=0,Q68&gt;0),"무예산",IF(P68&lt;=0,"-",IF(Q68&gt;=P68,"이미 소진",IF(AP68&lt;=0,"소진 안 됨",IF(AS68&lt;=12,"연내 고갈","연내 여유"))))))</f>
        <v/>
      </c>
      <c r="AV68" s="34">
        <f>IF($A68="","",IF(AJ68&lt;=0,"",IF(AK68&gt;=AJ68,"한도 소진",IF(AK68&lt;=0,"",IF(AJ68/(AK68/(설정!$C$20-설정!$C$22+1))&gt;3,"분기 내 여유",YEAR((DATE(설정!$C$6,설정!$C$22-설정!$C$6*12,1)+ROUND(MAX((설정!$C$20-설정!$C$22+1),AJ68/(AK68/(설정!$C$20-설정!$C$22+1)))*365/12,0)-1))&amp;"-"&amp;TEXT(MONTH((DATE(설정!$C$6,설정!$C$22-설정!$C$6*12,1)+ROUND(MAX((설정!$C$20-설정!$C$22+1),AJ68/(AK68/(설정!$C$20-설정!$C$22+1)))*365/12,0)-1)),"00")&amp;"-"&amp;TEXT(DAY((DATE(설정!$C$6,설정!$C$22-설정!$C$6*12,1)+ROUND(MAX((설정!$C$20-설정!$C$22+1),AJ68/(AK68/(설정!$C$20-설정!$C$22+1)))*365/12,0)-1)),"00"))))))</f>
        <v/>
      </c>
      <c r="AW68" s="41">
        <f>IF($A68="",999+ROW()/1000000,IF(AU68="이미 소진",ROW()/1000000,IF(AU68="연내 고갈",AS68+ROW()/1000000,99+ROW()/1000000)))</f>
        <v/>
      </c>
      <c r="AX68" s="35">
        <f>IF($A68="","",SUMIFS(월별집계!$C68:$Z68,월별집계!$C$5:$Z$5,"&gt;="&amp;((설정!$C$6-1)*12+1),월별집계!$C$5:$Z$5,"&lt;="&amp;(설정!$C$20-12)))</f>
        <v/>
      </c>
      <c r="AY68" s="80">
        <f>IF($A68="","",IF(AX68&lt;=0,IF(Q68&gt;0,1,0),Q68/AX68-1))</f>
        <v/>
      </c>
      <c r="AZ68" s="35">
        <f>IF($A68="","",SUMIFS(월별집계!$C68:$Z68,월별집계!$C$5:$Z$5,"&gt;"&amp;(설정!$C$20-12),월별집계!$C$5:$Z$5,"&lt;="&amp;((설정!$C$6-1)*12+12))/MAX(1,12-설정!$C$7))</f>
        <v/>
      </c>
    </row>
    <row r="69">
      <c r="A69" s="12" t="inlineStr">
        <is>
          <t>D800</t>
        </is>
      </c>
      <c r="B69" s="26">
        <f>IF($A69="","",IFERROR(INDEX(부서매핑!$D$5:$D$504,MATCH($A69,부서매핑!$C$5:$C$504,0)),"부서매핑 없음"))</f>
        <v/>
      </c>
      <c r="C69" s="79" t="inlineStr">
        <is>
          <t>62902000</t>
        </is>
      </c>
      <c r="D69" s="26">
        <f>IF($A69="","",IFERROR(INDEX(계정매핑!$B$5:$B$504,MATCH($C69&amp;"",계정매핑!$A$5:$A$504,0)),"계정매핑 없음"))</f>
        <v/>
      </c>
      <c r="E69" s="22">
        <f>IF($A69="","",$A69&amp;"|"&amp;$C69)</f>
        <v/>
      </c>
      <c r="F69" s="35">
        <f>IF($A69="","",월별집계!$Z69)</f>
        <v/>
      </c>
      <c r="G69" s="35">
        <f>IF($A69="","",월별집계!$Y69)</f>
        <v/>
      </c>
      <c r="H69" s="80">
        <f>IF($A69="","",IF(G69&lt;=0,IF(F69&gt;0,1,0),F69/G69-1))</f>
        <v/>
      </c>
      <c r="I69" s="35">
        <f>IF($A69="","",월별집계!$N69)</f>
        <v/>
      </c>
      <c r="J69" s="80">
        <f>IF($A69="","",IF(I69&lt;=0,IF(F69&gt;0,1,0),F69/I69-1))</f>
        <v/>
      </c>
      <c r="K69" s="35">
        <f>IF($A69="","",SUMIFS(월별집계!$C69:$Z69,월별집계!$C$5:$Z$5,"&gt;="&amp;설정!$C$22,월별집계!$C$5:$Z$5,"&lt;="&amp;설정!$C$20))</f>
        <v/>
      </c>
      <c r="L69" s="35">
        <f>IF($A69="","",SUMIFS(월별집계!$C69:$Z69,월별집계!$C$5:$Z$5,"&gt;="&amp;(설정!$C$22-3),월별집계!$C$5:$Z$5,"&lt;="&amp;(설정!$C$20-3)))</f>
        <v/>
      </c>
      <c r="M69" s="80">
        <f>IF($A69="","",IF(L69&lt;=0,IF(K69&gt;0,1,0),K69/L69-1))</f>
        <v/>
      </c>
      <c r="N69" s="40">
        <f>IF($A69="","",MAX(F69-G69,F69-I69))</f>
        <v/>
      </c>
      <c r="O69" s="62">
        <f>IF($A69="","",IFERROR((월별집계!$Z69-AVERAGE(월별집계!N69:Y69))/STDEV(월별집계!N69:Y69),0))</f>
        <v/>
      </c>
      <c r="P69" s="35">
        <f>IF($A69="","",SUMIFS(예산판_원본!$O$5:$O$5000,예산판_원본!$L$5:$L$5000,$E69,예산판_원본!$M$5:$M$5000,설정!$C$6))</f>
        <v/>
      </c>
      <c r="Q69" s="35">
        <f>IF($A69="","",SUMIFS(월별집계!$C69:$Z69,월별집계!$C$5:$Z$5,"&gt;="&amp;(설정!$C$6*12+1),월별집계!$C$5:$Z$5,"&lt;="&amp;설정!$C$20))</f>
        <v/>
      </c>
      <c r="R69" s="40">
        <f>IF($A69="","",P69-Q69)</f>
        <v/>
      </c>
      <c r="S69" s="35">
        <f>IF($A69="","",AVERAGE(월별집계!X69:Z69)*(12-설정!$C$7))</f>
        <v/>
      </c>
      <c r="T69" s="35">
        <f>IF($A69="","",IFERROR(Q69/(SUMIFS(월별집계!$C69:$Z69,월별집계!$C$5:$Z$5,"&gt;="&amp;((설정!$C$6-1)*12+1),월별집계!$C$5:$Z$5,"&lt;="&amp;(설정!$C$20-12))/SUMIFS(월별집계!$C69:$Z69,월별집계!$C$5:$Z$5,"&gt;="&amp;((설정!$C$6-1)*12+1),월별집계!$C$5:$Z$5,"&lt;="&amp;((설정!$C$6-1)*12+12)))-Q69,S69))</f>
        <v/>
      </c>
      <c r="U69" s="40">
        <f>IF($A69="","",Q69+MAX(S69,T69))</f>
        <v/>
      </c>
      <c r="V69" s="73">
        <f>IF($A69="","",IF(P69=0,0,U69/P69))</f>
        <v/>
      </c>
      <c r="W69" s="34">
        <f>IF($A69="","",IF(AND(P69=0,Q69&gt;0),"무예산",IF(P69=0,"-",IF(V69&gt;설정!$C$12,"부족 예상",IF(V69&gt;설정!$C$11,"주의","여유")))))</f>
        <v/>
      </c>
      <c r="X69" s="40">
        <f>IF($A69="","",IF(P69=0,0,MAX(0,U69-P69)))</f>
        <v/>
      </c>
      <c r="Y69" s="34">
        <f>IF($A69="","",IF(OR(W69&lt;&gt;"부족 예상",설정!$C$7=12),"",IF(R69&lt;=0,"이미 초과",MIN(12,설정!$C$7+ROUNDUP(R69/(MAX(S69,T69)/(12-설정!$C$7)),0))&amp;"월")))</f>
        <v/>
      </c>
      <c r="Z69" s="26">
        <f>IF($A69="","",TRIM(IF(AND(N(AC69)&gt;=설정!$C$14,N69&gt;=설정!$C$10),"단건"&amp;TEXT(MIN(AC69,1),"0%")&amp;" ","")&amp;IF(AND(N69&gt;0,AD69&gt;0),IF(AD69/N69&gt;=설정!$C$16,"SA대체 ",""),"")&amp;IF(AE69&gt;0,"역분개"&amp;AE69&amp;"건 ","")&amp;IF(O69&gt;=설정!$C$13,"이상치 ","")&amp;IF(AND(I69=0,F69&gt;0),"신규지출 ","")))</f>
        <v/>
      </c>
      <c r="AA69" s="62">
        <f>IF($A69="","",ROUND((AF69+AG69+AH69+AI69)*IF(AND(F69&lt;설정!$C$10,N69&lt;설정!$C$10),0.3,1),1))</f>
        <v/>
      </c>
      <c r="AB69" s="41">
        <f>IF($A69="","",AA69+ROW()/1000000)</f>
        <v/>
      </c>
      <c r="AC69" s="60">
        <f>IF(OR($A69="",N69&lt;=0),"",SUMPRODUCT(MAX((전표_원본!$O$5:$O$100000=$E69)*(전표_원본!$M$5:$M$100000=설정!$C$20)*전표_원본!$P$5:$P$100000))/N69)</f>
        <v/>
      </c>
      <c r="AD69" s="35">
        <f>IF($A69="","",SUMIFS(전표_원본!$P$5:$P$100000,전표_원본!$O$5:$O$100000,$E69,전표_원본!$M$5:$M$100000,설정!$C$20,전표_원본!$E$5:$E$100000,"SA")-SUMIFS(전표_원본!$P$5:$P$100000,전표_원본!$O$5:$O$100000,$E69,전표_원본!$M$5:$M$100000,설정!$C$20-1,전표_원본!$E$5:$E$100000,"SA"))</f>
        <v/>
      </c>
      <c r="AE69" s="81">
        <f>IF($A69="","",COUNTIFS(전표_원본!$O$5:$O$100000,$E69,전표_원본!$M$5:$M$100000,설정!$C$20,전표_원본!$P$5:$P$100000,"&lt;0"))</f>
        <v/>
      </c>
      <c r="AF69" s="62">
        <f>IF($A69="","",MIN(MAX(0,N69)/(설정!$C$10*5),1)*30)</f>
        <v/>
      </c>
      <c r="AG69" s="82">
        <f>IF($A69="","",MIN(MAX(0,H69,J69),1)*20)</f>
        <v/>
      </c>
      <c r="AH69" s="82">
        <f>IF($A69="","",MIN(MAX(0,O69)/3,1)*25)</f>
        <v/>
      </c>
      <c r="AI69" s="82">
        <f>IF($A69="","",IF(OR(W69="부족 예상",W69="무예산",AO69="한도 초과",AO69="초과 예상",AO69="무예산"),25,IF(OR(W69="주의",AO69="주의"),15,0)))</f>
        <v/>
      </c>
      <c r="AJ69" s="35">
        <f>IF($A69="","",SUMIFS(예산판_원본!$O$5:$O$5000,예산판_원본!$L$5:$L$5000,$E69,예산판_원본!$M$5:$M$5000,설정!$C$6,예산판_원본!$N$5:$N$5000,설정!$C$21))</f>
        <v/>
      </c>
      <c r="AK69" s="40">
        <f>IF($A69="","",K69)</f>
        <v/>
      </c>
      <c r="AL69" s="40">
        <f>IF($A69="","",AJ69-AK69)</f>
        <v/>
      </c>
      <c r="AM69" s="35">
        <f>IF($A69="","",AK69+AVERAGE(월별집계!X69:Z69)*MAX(0,설정!$C$22+2-설정!$C$20))</f>
        <v/>
      </c>
      <c r="AN69" s="73">
        <f>IF($A69="","",IF(AJ69=0,0,AM69/AJ69))</f>
        <v/>
      </c>
      <c r="AO69" s="34">
        <f>IF($A69="","",IF(AND(AJ69=0,AK69&gt;0),"무예산",IF(AJ69=0,"-",IF(AK69&gt;AJ69,"한도 초과",IF(AN69&gt;설정!$C$12,"초과 예상",IF(AN69&gt;설정!$C$11,"주의","여유"))))))</f>
        <v/>
      </c>
      <c r="AP69" s="35">
        <f>IF($A69="","",IF(설정!$C$19="최근월",(INDEX(월별집계!$AB69:$AM69,설정!$C$7)-INDEX(월별집계!$AB69:$AM69,MAX(1,설정!$C$7-1))*(설정!$C$7&gt;1)),IF(설정!$C$19="최근분기",((INDEX(월별집계!$AB69:$AM69,설정!$C$7)-INDEX(월별집계!$AB69:$AM69,MAX(1,설정!$C$7-3))*(설정!$C$7&gt;3))/MIN(3,설정!$C$7)),IF(설정!$C$19="전년추세",AZ69,((설정!$C$7+1)*SUMPRODUCT(월별집계!$AB$5:$AM$5,월별집계!$AB69:$AM69)-(설정!$C$7*(설정!$C$7+1)/2)*SUM(월별집계!$AB69:$AM69))/((설정!$C$7+1)*(설정!$C$7*(설정!$C$7+1)*(2*설정!$C$7+1)/6)-(설정!$C$7*(설정!$C$7+1)/2)^2)))))</f>
        <v/>
      </c>
      <c r="AQ69" s="35">
        <f>IF($A69="","",IF(설정!$C$19="연내누적",(SUM(월별집계!$AB69:$AM69)-AP69*(설정!$C$7*(설정!$C$7+1)/2))/(설정!$C$7+1),INDEX(월별집계!$AB69:$AM69,설정!$C$7)-AP69*설정!$C$7))</f>
        <v/>
      </c>
      <c r="AR69" s="40">
        <f>IF($A69="","",AQ69+AP69*12)</f>
        <v/>
      </c>
      <c r="AS69" s="82">
        <f>IF($A69="","",IF(OR(P69&lt;=0,Q69&gt;=P69,AP69&lt;=0),"",MAX(설정!$C$7,(P69-AQ69)/AP69)))</f>
        <v/>
      </c>
      <c r="AT69" s="22">
        <f>IF($A69="","",IF(AS69="",IF(AU69="이미 소진","소진됨",""),YEAR((DATE(설정!$C$6,1,1)+ROUND(AS69*365/12,0)-1))&amp;"-"&amp;TEXT(MONTH((DATE(설정!$C$6,1,1)+ROUND(AS69*365/12,0)-1)),"00")&amp;"-"&amp;TEXT(DAY((DATE(설정!$C$6,1,1)+ROUND(AS69*365/12,0)-1)),"00")))</f>
        <v/>
      </c>
      <c r="AU69" s="34">
        <f>IF($A69="","",IF(AND(P69&lt;=0,Q69&gt;0),"무예산",IF(P69&lt;=0,"-",IF(Q69&gt;=P69,"이미 소진",IF(AP69&lt;=0,"소진 안 됨",IF(AS69&lt;=12,"연내 고갈","연내 여유"))))))</f>
        <v/>
      </c>
      <c r="AV69" s="34">
        <f>IF($A69="","",IF(AJ69&lt;=0,"",IF(AK69&gt;=AJ69,"한도 소진",IF(AK69&lt;=0,"",IF(AJ69/(AK69/(설정!$C$20-설정!$C$22+1))&gt;3,"분기 내 여유",YEAR((DATE(설정!$C$6,설정!$C$22-설정!$C$6*12,1)+ROUND(MAX((설정!$C$20-설정!$C$22+1),AJ69/(AK69/(설정!$C$20-설정!$C$22+1)))*365/12,0)-1))&amp;"-"&amp;TEXT(MONTH((DATE(설정!$C$6,설정!$C$22-설정!$C$6*12,1)+ROUND(MAX((설정!$C$20-설정!$C$22+1),AJ69/(AK69/(설정!$C$20-설정!$C$22+1)))*365/12,0)-1)),"00")&amp;"-"&amp;TEXT(DAY((DATE(설정!$C$6,설정!$C$22-설정!$C$6*12,1)+ROUND(MAX((설정!$C$20-설정!$C$22+1),AJ69/(AK69/(설정!$C$20-설정!$C$22+1)))*365/12,0)-1)),"00"))))))</f>
        <v/>
      </c>
      <c r="AW69" s="41">
        <f>IF($A69="",999+ROW()/1000000,IF(AU69="이미 소진",ROW()/1000000,IF(AU69="연내 고갈",AS69+ROW()/1000000,99+ROW()/1000000)))</f>
        <v/>
      </c>
      <c r="AX69" s="35">
        <f>IF($A69="","",SUMIFS(월별집계!$C69:$Z69,월별집계!$C$5:$Z$5,"&gt;="&amp;((설정!$C$6-1)*12+1),월별집계!$C$5:$Z$5,"&lt;="&amp;(설정!$C$20-12)))</f>
        <v/>
      </c>
      <c r="AY69" s="80">
        <f>IF($A69="","",IF(AX69&lt;=0,IF(Q69&gt;0,1,0),Q69/AX69-1))</f>
        <v/>
      </c>
      <c r="AZ69" s="35">
        <f>IF($A69="","",SUMIFS(월별집계!$C69:$Z69,월별집계!$C$5:$Z$5,"&gt;"&amp;(설정!$C$20-12),월별집계!$C$5:$Z$5,"&lt;="&amp;((설정!$C$6-1)*12+12))/MAX(1,12-설정!$C$7))</f>
        <v/>
      </c>
    </row>
    <row r="70">
      <c r="A70" s="12" t="inlineStr">
        <is>
          <t>D800</t>
        </is>
      </c>
      <c r="B70" s="26">
        <f>IF($A70="","",IFERROR(INDEX(부서매핑!$D$5:$D$504,MATCH($A70,부서매핑!$C$5:$C$504,0)),"부서매핑 없음"))</f>
        <v/>
      </c>
      <c r="C70" s="79" t="inlineStr">
        <is>
          <t>63601000</t>
        </is>
      </c>
      <c r="D70" s="26">
        <f>IF($A70="","",IFERROR(INDEX(계정매핑!$B$5:$B$504,MATCH($C70&amp;"",계정매핑!$A$5:$A$504,0)),"계정매핑 없음"))</f>
        <v/>
      </c>
      <c r="E70" s="22">
        <f>IF($A70="","",$A70&amp;"|"&amp;$C70)</f>
        <v/>
      </c>
      <c r="F70" s="35">
        <f>IF($A70="","",월별집계!$Z70)</f>
        <v/>
      </c>
      <c r="G70" s="35">
        <f>IF($A70="","",월별집계!$Y70)</f>
        <v/>
      </c>
      <c r="H70" s="80">
        <f>IF($A70="","",IF(G70&lt;=0,IF(F70&gt;0,1,0),F70/G70-1))</f>
        <v/>
      </c>
      <c r="I70" s="35">
        <f>IF($A70="","",월별집계!$N70)</f>
        <v/>
      </c>
      <c r="J70" s="80">
        <f>IF($A70="","",IF(I70&lt;=0,IF(F70&gt;0,1,0),F70/I70-1))</f>
        <v/>
      </c>
      <c r="K70" s="35">
        <f>IF($A70="","",SUMIFS(월별집계!$C70:$Z70,월별집계!$C$5:$Z$5,"&gt;="&amp;설정!$C$22,월별집계!$C$5:$Z$5,"&lt;="&amp;설정!$C$20))</f>
        <v/>
      </c>
      <c r="L70" s="35">
        <f>IF($A70="","",SUMIFS(월별집계!$C70:$Z70,월별집계!$C$5:$Z$5,"&gt;="&amp;(설정!$C$22-3),월별집계!$C$5:$Z$5,"&lt;="&amp;(설정!$C$20-3)))</f>
        <v/>
      </c>
      <c r="M70" s="80">
        <f>IF($A70="","",IF(L70&lt;=0,IF(K70&gt;0,1,0),K70/L70-1))</f>
        <v/>
      </c>
      <c r="N70" s="40">
        <f>IF($A70="","",MAX(F70-G70,F70-I70))</f>
        <v/>
      </c>
      <c r="O70" s="62">
        <f>IF($A70="","",IFERROR((월별집계!$Z70-AVERAGE(월별집계!N70:Y70))/STDEV(월별집계!N70:Y70),0))</f>
        <v/>
      </c>
      <c r="P70" s="35">
        <f>IF($A70="","",SUMIFS(예산판_원본!$O$5:$O$5000,예산판_원본!$L$5:$L$5000,$E70,예산판_원본!$M$5:$M$5000,설정!$C$6))</f>
        <v/>
      </c>
      <c r="Q70" s="35">
        <f>IF($A70="","",SUMIFS(월별집계!$C70:$Z70,월별집계!$C$5:$Z$5,"&gt;="&amp;(설정!$C$6*12+1),월별집계!$C$5:$Z$5,"&lt;="&amp;설정!$C$20))</f>
        <v/>
      </c>
      <c r="R70" s="40">
        <f>IF($A70="","",P70-Q70)</f>
        <v/>
      </c>
      <c r="S70" s="35">
        <f>IF($A70="","",AVERAGE(월별집계!X70:Z70)*(12-설정!$C$7))</f>
        <v/>
      </c>
      <c r="T70" s="35">
        <f>IF($A70="","",IFERROR(Q70/(SUMIFS(월별집계!$C70:$Z70,월별집계!$C$5:$Z$5,"&gt;="&amp;((설정!$C$6-1)*12+1),월별집계!$C$5:$Z$5,"&lt;="&amp;(설정!$C$20-12))/SUMIFS(월별집계!$C70:$Z70,월별집계!$C$5:$Z$5,"&gt;="&amp;((설정!$C$6-1)*12+1),월별집계!$C$5:$Z$5,"&lt;="&amp;((설정!$C$6-1)*12+12)))-Q70,S70))</f>
        <v/>
      </c>
      <c r="U70" s="40">
        <f>IF($A70="","",Q70+MAX(S70,T70))</f>
        <v/>
      </c>
      <c r="V70" s="73">
        <f>IF($A70="","",IF(P70=0,0,U70/P70))</f>
        <v/>
      </c>
      <c r="W70" s="34">
        <f>IF($A70="","",IF(AND(P70=0,Q70&gt;0),"무예산",IF(P70=0,"-",IF(V70&gt;설정!$C$12,"부족 예상",IF(V70&gt;설정!$C$11,"주의","여유")))))</f>
        <v/>
      </c>
      <c r="X70" s="40">
        <f>IF($A70="","",IF(P70=0,0,MAX(0,U70-P70)))</f>
        <v/>
      </c>
      <c r="Y70" s="34">
        <f>IF($A70="","",IF(OR(W70&lt;&gt;"부족 예상",설정!$C$7=12),"",IF(R70&lt;=0,"이미 초과",MIN(12,설정!$C$7+ROUNDUP(R70/(MAX(S70,T70)/(12-설정!$C$7)),0))&amp;"월")))</f>
        <v/>
      </c>
      <c r="Z70" s="26">
        <f>IF($A70="","",TRIM(IF(AND(N(AC70)&gt;=설정!$C$14,N70&gt;=설정!$C$10),"단건"&amp;TEXT(MIN(AC70,1),"0%")&amp;" ","")&amp;IF(AND(N70&gt;0,AD70&gt;0),IF(AD70/N70&gt;=설정!$C$16,"SA대체 ",""),"")&amp;IF(AE70&gt;0,"역분개"&amp;AE70&amp;"건 ","")&amp;IF(O70&gt;=설정!$C$13,"이상치 ","")&amp;IF(AND(I70=0,F70&gt;0),"신규지출 ","")))</f>
        <v/>
      </c>
      <c r="AA70" s="62">
        <f>IF($A70="","",ROUND((AF70+AG70+AH70+AI70)*IF(AND(F70&lt;설정!$C$10,N70&lt;설정!$C$10),0.3,1),1))</f>
        <v/>
      </c>
      <c r="AB70" s="41">
        <f>IF($A70="","",AA70+ROW()/1000000)</f>
        <v/>
      </c>
      <c r="AC70" s="60">
        <f>IF(OR($A70="",N70&lt;=0),"",SUMPRODUCT(MAX((전표_원본!$O$5:$O$100000=$E70)*(전표_원본!$M$5:$M$100000=설정!$C$20)*전표_원본!$P$5:$P$100000))/N70)</f>
        <v/>
      </c>
      <c r="AD70" s="35">
        <f>IF($A70="","",SUMIFS(전표_원본!$P$5:$P$100000,전표_원본!$O$5:$O$100000,$E70,전표_원본!$M$5:$M$100000,설정!$C$20,전표_원본!$E$5:$E$100000,"SA")-SUMIFS(전표_원본!$P$5:$P$100000,전표_원본!$O$5:$O$100000,$E70,전표_원본!$M$5:$M$100000,설정!$C$20-1,전표_원본!$E$5:$E$100000,"SA"))</f>
        <v/>
      </c>
      <c r="AE70" s="81">
        <f>IF($A70="","",COUNTIFS(전표_원본!$O$5:$O$100000,$E70,전표_원본!$M$5:$M$100000,설정!$C$20,전표_원본!$P$5:$P$100000,"&lt;0"))</f>
        <v/>
      </c>
      <c r="AF70" s="62">
        <f>IF($A70="","",MIN(MAX(0,N70)/(설정!$C$10*5),1)*30)</f>
        <v/>
      </c>
      <c r="AG70" s="82">
        <f>IF($A70="","",MIN(MAX(0,H70,J70),1)*20)</f>
        <v/>
      </c>
      <c r="AH70" s="82">
        <f>IF($A70="","",MIN(MAX(0,O70)/3,1)*25)</f>
        <v/>
      </c>
      <c r="AI70" s="82">
        <f>IF($A70="","",IF(OR(W70="부족 예상",W70="무예산",AO70="한도 초과",AO70="초과 예상",AO70="무예산"),25,IF(OR(W70="주의",AO70="주의"),15,0)))</f>
        <v/>
      </c>
      <c r="AJ70" s="35">
        <f>IF($A70="","",SUMIFS(예산판_원본!$O$5:$O$5000,예산판_원본!$L$5:$L$5000,$E70,예산판_원본!$M$5:$M$5000,설정!$C$6,예산판_원본!$N$5:$N$5000,설정!$C$21))</f>
        <v/>
      </c>
      <c r="AK70" s="40">
        <f>IF($A70="","",K70)</f>
        <v/>
      </c>
      <c r="AL70" s="40">
        <f>IF($A70="","",AJ70-AK70)</f>
        <v/>
      </c>
      <c r="AM70" s="35">
        <f>IF($A70="","",AK70+AVERAGE(월별집계!X70:Z70)*MAX(0,설정!$C$22+2-설정!$C$20))</f>
        <v/>
      </c>
      <c r="AN70" s="73">
        <f>IF($A70="","",IF(AJ70=0,0,AM70/AJ70))</f>
        <v/>
      </c>
      <c r="AO70" s="34">
        <f>IF($A70="","",IF(AND(AJ70=0,AK70&gt;0),"무예산",IF(AJ70=0,"-",IF(AK70&gt;AJ70,"한도 초과",IF(AN70&gt;설정!$C$12,"초과 예상",IF(AN70&gt;설정!$C$11,"주의","여유"))))))</f>
        <v/>
      </c>
      <c r="AP70" s="35">
        <f>IF($A70="","",IF(설정!$C$19="최근월",(INDEX(월별집계!$AB70:$AM70,설정!$C$7)-INDEX(월별집계!$AB70:$AM70,MAX(1,설정!$C$7-1))*(설정!$C$7&gt;1)),IF(설정!$C$19="최근분기",((INDEX(월별집계!$AB70:$AM70,설정!$C$7)-INDEX(월별집계!$AB70:$AM70,MAX(1,설정!$C$7-3))*(설정!$C$7&gt;3))/MIN(3,설정!$C$7)),IF(설정!$C$19="전년추세",AZ70,((설정!$C$7+1)*SUMPRODUCT(월별집계!$AB$5:$AM$5,월별집계!$AB70:$AM70)-(설정!$C$7*(설정!$C$7+1)/2)*SUM(월별집계!$AB70:$AM70))/((설정!$C$7+1)*(설정!$C$7*(설정!$C$7+1)*(2*설정!$C$7+1)/6)-(설정!$C$7*(설정!$C$7+1)/2)^2)))))</f>
        <v/>
      </c>
      <c r="AQ70" s="35">
        <f>IF($A70="","",IF(설정!$C$19="연내누적",(SUM(월별집계!$AB70:$AM70)-AP70*(설정!$C$7*(설정!$C$7+1)/2))/(설정!$C$7+1),INDEX(월별집계!$AB70:$AM70,설정!$C$7)-AP70*설정!$C$7))</f>
        <v/>
      </c>
      <c r="AR70" s="40">
        <f>IF($A70="","",AQ70+AP70*12)</f>
        <v/>
      </c>
      <c r="AS70" s="82">
        <f>IF($A70="","",IF(OR(P70&lt;=0,Q70&gt;=P70,AP70&lt;=0),"",MAX(설정!$C$7,(P70-AQ70)/AP70)))</f>
        <v/>
      </c>
      <c r="AT70" s="22">
        <f>IF($A70="","",IF(AS70="",IF(AU70="이미 소진","소진됨",""),YEAR((DATE(설정!$C$6,1,1)+ROUND(AS70*365/12,0)-1))&amp;"-"&amp;TEXT(MONTH((DATE(설정!$C$6,1,1)+ROUND(AS70*365/12,0)-1)),"00")&amp;"-"&amp;TEXT(DAY((DATE(설정!$C$6,1,1)+ROUND(AS70*365/12,0)-1)),"00")))</f>
        <v/>
      </c>
      <c r="AU70" s="34">
        <f>IF($A70="","",IF(AND(P70&lt;=0,Q70&gt;0),"무예산",IF(P70&lt;=0,"-",IF(Q70&gt;=P70,"이미 소진",IF(AP70&lt;=0,"소진 안 됨",IF(AS70&lt;=12,"연내 고갈","연내 여유"))))))</f>
        <v/>
      </c>
      <c r="AV70" s="34">
        <f>IF($A70="","",IF(AJ70&lt;=0,"",IF(AK70&gt;=AJ70,"한도 소진",IF(AK70&lt;=0,"",IF(AJ70/(AK70/(설정!$C$20-설정!$C$22+1))&gt;3,"분기 내 여유",YEAR((DATE(설정!$C$6,설정!$C$22-설정!$C$6*12,1)+ROUND(MAX((설정!$C$20-설정!$C$22+1),AJ70/(AK70/(설정!$C$20-설정!$C$22+1)))*365/12,0)-1))&amp;"-"&amp;TEXT(MONTH((DATE(설정!$C$6,설정!$C$22-설정!$C$6*12,1)+ROUND(MAX((설정!$C$20-설정!$C$22+1),AJ70/(AK70/(설정!$C$20-설정!$C$22+1)))*365/12,0)-1)),"00")&amp;"-"&amp;TEXT(DAY((DATE(설정!$C$6,설정!$C$22-설정!$C$6*12,1)+ROUND(MAX((설정!$C$20-설정!$C$22+1),AJ70/(AK70/(설정!$C$20-설정!$C$22+1)))*365/12,0)-1)),"00"))))))</f>
        <v/>
      </c>
      <c r="AW70" s="41">
        <f>IF($A70="",999+ROW()/1000000,IF(AU70="이미 소진",ROW()/1000000,IF(AU70="연내 고갈",AS70+ROW()/1000000,99+ROW()/1000000)))</f>
        <v/>
      </c>
      <c r="AX70" s="35">
        <f>IF($A70="","",SUMIFS(월별집계!$C70:$Z70,월별집계!$C$5:$Z$5,"&gt;="&amp;((설정!$C$6-1)*12+1),월별집계!$C$5:$Z$5,"&lt;="&amp;(설정!$C$20-12)))</f>
        <v/>
      </c>
      <c r="AY70" s="80">
        <f>IF($A70="","",IF(AX70&lt;=0,IF(Q70&gt;0,1,0),Q70/AX70-1))</f>
        <v/>
      </c>
      <c r="AZ70" s="35">
        <f>IF($A70="","",SUMIFS(월별집계!$C70:$Z70,월별집계!$C$5:$Z$5,"&gt;"&amp;(설정!$C$20-12),월별집계!$C$5:$Z$5,"&lt;="&amp;((설정!$C$6-1)*12+12))/MAX(1,12-설정!$C$7))</f>
        <v/>
      </c>
    </row>
    <row r="71">
      <c r="A71" s="12" t="inlineStr">
        <is>
          <t>D900</t>
        </is>
      </c>
      <c r="B71" s="26">
        <f>IF($A71="","",IFERROR(INDEX(부서매핑!$D$5:$D$504,MATCH($A71,부서매핑!$C$5:$C$504,0)),"부서매핑 없음"))</f>
        <v/>
      </c>
      <c r="C71" s="79" t="inlineStr">
        <is>
          <t>63501000</t>
        </is>
      </c>
      <c r="D71" s="26">
        <f>IF($A71="","",IFERROR(INDEX(계정매핑!$B$5:$B$504,MATCH($C71&amp;"",계정매핑!$A$5:$A$504,0)),"계정매핑 없음"))</f>
        <v/>
      </c>
      <c r="E71" s="22">
        <f>IF($A71="","",$A71&amp;"|"&amp;$C71)</f>
        <v/>
      </c>
      <c r="F71" s="35">
        <f>IF($A71="","",월별집계!$Z71)</f>
        <v/>
      </c>
      <c r="G71" s="35">
        <f>IF($A71="","",월별집계!$Y71)</f>
        <v/>
      </c>
      <c r="H71" s="80">
        <f>IF($A71="","",IF(G71&lt;=0,IF(F71&gt;0,1,0),F71/G71-1))</f>
        <v/>
      </c>
      <c r="I71" s="35">
        <f>IF($A71="","",월별집계!$N71)</f>
        <v/>
      </c>
      <c r="J71" s="80">
        <f>IF($A71="","",IF(I71&lt;=0,IF(F71&gt;0,1,0),F71/I71-1))</f>
        <v/>
      </c>
      <c r="K71" s="35">
        <f>IF($A71="","",SUMIFS(월별집계!$C71:$Z71,월별집계!$C$5:$Z$5,"&gt;="&amp;설정!$C$22,월별집계!$C$5:$Z$5,"&lt;="&amp;설정!$C$20))</f>
        <v/>
      </c>
      <c r="L71" s="35">
        <f>IF($A71="","",SUMIFS(월별집계!$C71:$Z71,월별집계!$C$5:$Z$5,"&gt;="&amp;(설정!$C$22-3),월별집계!$C$5:$Z$5,"&lt;="&amp;(설정!$C$20-3)))</f>
        <v/>
      </c>
      <c r="M71" s="80">
        <f>IF($A71="","",IF(L71&lt;=0,IF(K71&gt;0,1,0),K71/L71-1))</f>
        <v/>
      </c>
      <c r="N71" s="40">
        <f>IF($A71="","",MAX(F71-G71,F71-I71))</f>
        <v/>
      </c>
      <c r="O71" s="62">
        <f>IF($A71="","",IFERROR((월별집계!$Z71-AVERAGE(월별집계!N71:Y71))/STDEV(월별집계!N71:Y71),0))</f>
        <v/>
      </c>
      <c r="P71" s="35">
        <f>IF($A71="","",SUMIFS(예산판_원본!$O$5:$O$5000,예산판_원본!$L$5:$L$5000,$E71,예산판_원본!$M$5:$M$5000,설정!$C$6))</f>
        <v/>
      </c>
      <c r="Q71" s="35">
        <f>IF($A71="","",SUMIFS(월별집계!$C71:$Z71,월별집계!$C$5:$Z$5,"&gt;="&amp;(설정!$C$6*12+1),월별집계!$C$5:$Z$5,"&lt;="&amp;설정!$C$20))</f>
        <v/>
      </c>
      <c r="R71" s="40">
        <f>IF($A71="","",P71-Q71)</f>
        <v/>
      </c>
      <c r="S71" s="35">
        <f>IF($A71="","",AVERAGE(월별집계!X71:Z71)*(12-설정!$C$7))</f>
        <v/>
      </c>
      <c r="T71" s="35">
        <f>IF($A71="","",IFERROR(Q71/(SUMIFS(월별집계!$C71:$Z71,월별집계!$C$5:$Z$5,"&gt;="&amp;((설정!$C$6-1)*12+1),월별집계!$C$5:$Z$5,"&lt;="&amp;(설정!$C$20-12))/SUMIFS(월별집계!$C71:$Z71,월별집계!$C$5:$Z$5,"&gt;="&amp;((설정!$C$6-1)*12+1),월별집계!$C$5:$Z$5,"&lt;="&amp;((설정!$C$6-1)*12+12)))-Q71,S71))</f>
        <v/>
      </c>
      <c r="U71" s="40">
        <f>IF($A71="","",Q71+MAX(S71,T71))</f>
        <v/>
      </c>
      <c r="V71" s="73">
        <f>IF($A71="","",IF(P71=0,0,U71/P71))</f>
        <v/>
      </c>
      <c r="W71" s="34">
        <f>IF($A71="","",IF(AND(P71=0,Q71&gt;0),"무예산",IF(P71=0,"-",IF(V71&gt;설정!$C$12,"부족 예상",IF(V71&gt;설정!$C$11,"주의","여유")))))</f>
        <v/>
      </c>
      <c r="X71" s="40">
        <f>IF($A71="","",IF(P71=0,0,MAX(0,U71-P71)))</f>
        <v/>
      </c>
      <c r="Y71" s="34">
        <f>IF($A71="","",IF(OR(W71&lt;&gt;"부족 예상",설정!$C$7=12),"",IF(R71&lt;=0,"이미 초과",MIN(12,설정!$C$7+ROUNDUP(R71/(MAX(S71,T71)/(12-설정!$C$7)),0))&amp;"월")))</f>
        <v/>
      </c>
      <c r="Z71" s="26">
        <f>IF($A71="","",TRIM(IF(AND(N(AC71)&gt;=설정!$C$14,N71&gt;=설정!$C$10),"단건"&amp;TEXT(MIN(AC71,1),"0%")&amp;" ","")&amp;IF(AND(N71&gt;0,AD71&gt;0),IF(AD71/N71&gt;=설정!$C$16,"SA대체 ",""),"")&amp;IF(AE71&gt;0,"역분개"&amp;AE71&amp;"건 ","")&amp;IF(O71&gt;=설정!$C$13,"이상치 ","")&amp;IF(AND(I71=0,F71&gt;0),"신규지출 ","")))</f>
        <v/>
      </c>
      <c r="AA71" s="62">
        <f>IF($A71="","",ROUND((AF71+AG71+AH71+AI71)*IF(AND(F71&lt;설정!$C$10,N71&lt;설정!$C$10),0.3,1),1))</f>
        <v/>
      </c>
      <c r="AB71" s="41">
        <f>IF($A71="","",AA71+ROW()/1000000)</f>
        <v/>
      </c>
      <c r="AC71" s="60">
        <f>IF(OR($A71="",N71&lt;=0),"",SUMPRODUCT(MAX((전표_원본!$O$5:$O$100000=$E71)*(전표_원본!$M$5:$M$100000=설정!$C$20)*전표_원본!$P$5:$P$100000))/N71)</f>
        <v/>
      </c>
      <c r="AD71" s="35">
        <f>IF($A71="","",SUMIFS(전표_원본!$P$5:$P$100000,전표_원본!$O$5:$O$100000,$E71,전표_원본!$M$5:$M$100000,설정!$C$20,전표_원본!$E$5:$E$100000,"SA")-SUMIFS(전표_원본!$P$5:$P$100000,전표_원본!$O$5:$O$100000,$E71,전표_원본!$M$5:$M$100000,설정!$C$20-1,전표_원본!$E$5:$E$100000,"SA"))</f>
        <v/>
      </c>
      <c r="AE71" s="81">
        <f>IF($A71="","",COUNTIFS(전표_원본!$O$5:$O$100000,$E71,전표_원본!$M$5:$M$100000,설정!$C$20,전표_원본!$P$5:$P$100000,"&lt;0"))</f>
        <v/>
      </c>
      <c r="AF71" s="62">
        <f>IF($A71="","",MIN(MAX(0,N71)/(설정!$C$10*5),1)*30)</f>
        <v/>
      </c>
      <c r="AG71" s="82">
        <f>IF($A71="","",MIN(MAX(0,H71,J71),1)*20)</f>
        <v/>
      </c>
      <c r="AH71" s="82">
        <f>IF($A71="","",MIN(MAX(0,O71)/3,1)*25)</f>
        <v/>
      </c>
      <c r="AI71" s="82">
        <f>IF($A71="","",IF(OR(W71="부족 예상",W71="무예산",AO71="한도 초과",AO71="초과 예상",AO71="무예산"),25,IF(OR(W71="주의",AO71="주의"),15,0)))</f>
        <v/>
      </c>
      <c r="AJ71" s="35">
        <f>IF($A71="","",SUMIFS(예산판_원본!$O$5:$O$5000,예산판_원본!$L$5:$L$5000,$E71,예산판_원본!$M$5:$M$5000,설정!$C$6,예산판_원본!$N$5:$N$5000,설정!$C$21))</f>
        <v/>
      </c>
      <c r="AK71" s="40">
        <f>IF($A71="","",K71)</f>
        <v/>
      </c>
      <c r="AL71" s="40">
        <f>IF($A71="","",AJ71-AK71)</f>
        <v/>
      </c>
      <c r="AM71" s="35">
        <f>IF($A71="","",AK71+AVERAGE(월별집계!X71:Z71)*MAX(0,설정!$C$22+2-설정!$C$20))</f>
        <v/>
      </c>
      <c r="AN71" s="73">
        <f>IF($A71="","",IF(AJ71=0,0,AM71/AJ71))</f>
        <v/>
      </c>
      <c r="AO71" s="34">
        <f>IF($A71="","",IF(AND(AJ71=0,AK71&gt;0),"무예산",IF(AJ71=0,"-",IF(AK71&gt;AJ71,"한도 초과",IF(AN71&gt;설정!$C$12,"초과 예상",IF(AN71&gt;설정!$C$11,"주의","여유"))))))</f>
        <v/>
      </c>
      <c r="AP71" s="35">
        <f>IF($A71="","",IF(설정!$C$19="최근월",(INDEX(월별집계!$AB71:$AM71,설정!$C$7)-INDEX(월별집계!$AB71:$AM71,MAX(1,설정!$C$7-1))*(설정!$C$7&gt;1)),IF(설정!$C$19="최근분기",((INDEX(월별집계!$AB71:$AM71,설정!$C$7)-INDEX(월별집계!$AB71:$AM71,MAX(1,설정!$C$7-3))*(설정!$C$7&gt;3))/MIN(3,설정!$C$7)),IF(설정!$C$19="전년추세",AZ71,((설정!$C$7+1)*SUMPRODUCT(월별집계!$AB$5:$AM$5,월별집계!$AB71:$AM71)-(설정!$C$7*(설정!$C$7+1)/2)*SUM(월별집계!$AB71:$AM71))/((설정!$C$7+1)*(설정!$C$7*(설정!$C$7+1)*(2*설정!$C$7+1)/6)-(설정!$C$7*(설정!$C$7+1)/2)^2)))))</f>
        <v/>
      </c>
      <c r="AQ71" s="35">
        <f>IF($A71="","",IF(설정!$C$19="연내누적",(SUM(월별집계!$AB71:$AM71)-AP71*(설정!$C$7*(설정!$C$7+1)/2))/(설정!$C$7+1),INDEX(월별집계!$AB71:$AM71,설정!$C$7)-AP71*설정!$C$7))</f>
        <v/>
      </c>
      <c r="AR71" s="40">
        <f>IF($A71="","",AQ71+AP71*12)</f>
        <v/>
      </c>
      <c r="AS71" s="82">
        <f>IF($A71="","",IF(OR(P71&lt;=0,Q71&gt;=P71,AP71&lt;=0),"",MAX(설정!$C$7,(P71-AQ71)/AP71)))</f>
        <v/>
      </c>
      <c r="AT71" s="22">
        <f>IF($A71="","",IF(AS71="",IF(AU71="이미 소진","소진됨",""),YEAR((DATE(설정!$C$6,1,1)+ROUND(AS71*365/12,0)-1))&amp;"-"&amp;TEXT(MONTH((DATE(설정!$C$6,1,1)+ROUND(AS71*365/12,0)-1)),"00")&amp;"-"&amp;TEXT(DAY((DATE(설정!$C$6,1,1)+ROUND(AS71*365/12,0)-1)),"00")))</f>
        <v/>
      </c>
      <c r="AU71" s="34">
        <f>IF($A71="","",IF(AND(P71&lt;=0,Q71&gt;0),"무예산",IF(P71&lt;=0,"-",IF(Q71&gt;=P71,"이미 소진",IF(AP71&lt;=0,"소진 안 됨",IF(AS71&lt;=12,"연내 고갈","연내 여유"))))))</f>
        <v/>
      </c>
      <c r="AV71" s="34">
        <f>IF($A71="","",IF(AJ71&lt;=0,"",IF(AK71&gt;=AJ71,"한도 소진",IF(AK71&lt;=0,"",IF(AJ71/(AK71/(설정!$C$20-설정!$C$22+1))&gt;3,"분기 내 여유",YEAR((DATE(설정!$C$6,설정!$C$22-설정!$C$6*12,1)+ROUND(MAX((설정!$C$20-설정!$C$22+1),AJ71/(AK71/(설정!$C$20-설정!$C$22+1)))*365/12,0)-1))&amp;"-"&amp;TEXT(MONTH((DATE(설정!$C$6,설정!$C$22-설정!$C$6*12,1)+ROUND(MAX((설정!$C$20-설정!$C$22+1),AJ71/(AK71/(설정!$C$20-설정!$C$22+1)))*365/12,0)-1)),"00")&amp;"-"&amp;TEXT(DAY((DATE(설정!$C$6,설정!$C$22-설정!$C$6*12,1)+ROUND(MAX((설정!$C$20-설정!$C$22+1),AJ71/(AK71/(설정!$C$20-설정!$C$22+1)))*365/12,0)-1)),"00"))))))</f>
        <v/>
      </c>
      <c r="AW71" s="41">
        <f>IF($A71="",999+ROW()/1000000,IF(AU71="이미 소진",ROW()/1000000,IF(AU71="연내 고갈",AS71+ROW()/1000000,99+ROW()/1000000)))</f>
        <v/>
      </c>
      <c r="AX71" s="35">
        <f>IF($A71="","",SUMIFS(월별집계!$C71:$Z71,월별집계!$C$5:$Z$5,"&gt;="&amp;((설정!$C$6-1)*12+1),월별집계!$C$5:$Z$5,"&lt;="&amp;(설정!$C$20-12)))</f>
        <v/>
      </c>
      <c r="AY71" s="80">
        <f>IF($A71="","",IF(AX71&lt;=0,IF(Q71&gt;0,1,0),Q71/AX71-1))</f>
        <v/>
      </c>
      <c r="AZ71" s="35">
        <f>IF($A71="","",SUMIFS(월별집계!$C71:$Z71,월별집계!$C$5:$Z$5,"&gt;"&amp;(설정!$C$20-12),월별집계!$C$5:$Z$5,"&lt;="&amp;((설정!$C$6-1)*12+12))/MAX(1,12-설정!$C$7))</f>
        <v/>
      </c>
    </row>
    <row r="72">
      <c r="A72" s="12" t="inlineStr">
        <is>
          <t>D900</t>
        </is>
      </c>
      <c r="B72" s="26">
        <f>IF($A72="","",IFERROR(INDEX(부서매핑!$D$5:$D$504,MATCH($A72,부서매핑!$C$5:$C$504,0)),"부서매핑 없음"))</f>
        <v/>
      </c>
      <c r="C72" s="79" t="inlineStr">
        <is>
          <t>63502000</t>
        </is>
      </c>
      <c r="D72" s="26">
        <f>IF($A72="","",IFERROR(INDEX(계정매핑!$B$5:$B$504,MATCH($C72&amp;"",계정매핑!$A$5:$A$504,0)),"계정매핑 없음"))</f>
        <v/>
      </c>
      <c r="E72" s="22">
        <f>IF($A72="","",$A72&amp;"|"&amp;$C72)</f>
        <v/>
      </c>
      <c r="F72" s="35">
        <f>IF($A72="","",월별집계!$Z72)</f>
        <v/>
      </c>
      <c r="G72" s="35">
        <f>IF($A72="","",월별집계!$Y72)</f>
        <v/>
      </c>
      <c r="H72" s="80">
        <f>IF($A72="","",IF(G72&lt;=0,IF(F72&gt;0,1,0),F72/G72-1))</f>
        <v/>
      </c>
      <c r="I72" s="35">
        <f>IF($A72="","",월별집계!$N72)</f>
        <v/>
      </c>
      <c r="J72" s="80">
        <f>IF($A72="","",IF(I72&lt;=0,IF(F72&gt;0,1,0),F72/I72-1))</f>
        <v/>
      </c>
      <c r="K72" s="35">
        <f>IF($A72="","",SUMIFS(월별집계!$C72:$Z72,월별집계!$C$5:$Z$5,"&gt;="&amp;설정!$C$22,월별집계!$C$5:$Z$5,"&lt;="&amp;설정!$C$20))</f>
        <v/>
      </c>
      <c r="L72" s="35">
        <f>IF($A72="","",SUMIFS(월별집계!$C72:$Z72,월별집계!$C$5:$Z$5,"&gt;="&amp;(설정!$C$22-3),월별집계!$C$5:$Z$5,"&lt;="&amp;(설정!$C$20-3)))</f>
        <v/>
      </c>
      <c r="M72" s="80">
        <f>IF($A72="","",IF(L72&lt;=0,IF(K72&gt;0,1,0),K72/L72-1))</f>
        <v/>
      </c>
      <c r="N72" s="40">
        <f>IF($A72="","",MAX(F72-G72,F72-I72))</f>
        <v/>
      </c>
      <c r="O72" s="62">
        <f>IF($A72="","",IFERROR((월별집계!$Z72-AVERAGE(월별집계!N72:Y72))/STDEV(월별집계!N72:Y72),0))</f>
        <v/>
      </c>
      <c r="P72" s="35">
        <f>IF($A72="","",SUMIFS(예산판_원본!$O$5:$O$5000,예산판_원본!$L$5:$L$5000,$E72,예산판_원본!$M$5:$M$5000,설정!$C$6))</f>
        <v/>
      </c>
      <c r="Q72" s="35">
        <f>IF($A72="","",SUMIFS(월별집계!$C72:$Z72,월별집계!$C$5:$Z$5,"&gt;="&amp;(설정!$C$6*12+1),월별집계!$C$5:$Z$5,"&lt;="&amp;설정!$C$20))</f>
        <v/>
      </c>
      <c r="R72" s="40">
        <f>IF($A72="","",P72-Q72)</f>
        <v/>
      </c>
      <c r="S72" s="35">
        <f>IF($A72="","",AVERAGE(월별집계!X72:Z72)*(12-설정!$C$7))</f>
        <v/>
      </c>
      <c r="T72" s="35">
        <f>IF($A72="","",IFERROR(Q72/(SUMIFS(월별집계!$C72:$Z72,월별집계!$C$5:$Z$5,"&gt;="&amp;((설정!$C$6-1)*12+1),월별집계!$C$5:$Z$5,"&lt;="&amp;(설정!$C$20-12))/SUMIFS(월별집계!$C72:$Z72,월별집계!$C$5:$Z$5,"&gt;="&amp;((설정!$C$6-1)*12+1),월별집계!$C$5:$Z$5,"&lt;="&amp;((설정!$C$6-1)*12+12)))-Q72,S72))</f>
        <v/>
      </c>
      <c r="U72" s="40">
        <f>IF($A72="","",Q72+MAX(S72,T72))</f>
        <v/>
      </c>
      <c r="V72" s="73">
        <f>IF($A72="","",IF(P72=0,0,U72/P72))</f>
        <v/>
      </c>
      <c r="W72" s="34">
        <f>IF($A72="","",IF(AND(P72=0,Q72&gt;0),"무예산",IF(P72=0,"-",IF(V72&gt;설정!$C$12,"부족 예상",IF(V72&gt;설정!$C$11,"주의","여유")))))</f>
        <v/>
      </c>
      <c r="X72" s="40">
        <f>IF($A72="","",IF(P72=0,0,MAX(0,U72-P72)))</f>
        <v/>
      </c>
      <c r="Y72" s="34">
        <f>IF($A72="","",IF(OR(W72&lt;&gt;"부족 예상",설정!$C$7=12),"",IF(R72&lt;=0,"이미 초과",MIN(12,설정!$C$7+ROUNDUP(R72/(MAX(S72,T72)/(12-설정!$C$7)),0))&amp;"월")))</f>
        <v/>
      </c>
      <c r="Z72" s="26">
        <f>IF($A72="","",TRIM(IF(AND(N(AC72)&gt;=설정!$C$14,N72&gt;=설정!$C$10),"단건"&amp;TEXT(MIN(AC72,1),"0%")&amp;" ","")&amp;IF(AND(N72&gt;0,AD72&gt;0),IF(AD72/N72&gt;=설정!$C$16,"SA대체 ",""),"")&amp;IF(AE72&gt;0,"역분개"&amp;AE72&amp;"건 ","")&amp;IF(O72&gt;=설정!$C$13,"이상치 ","")&amp;IF(AND(I72=0,F72&gt;0),"신규지출 ","")))</f>
        <v/>
      </c>
      <c r="AA72" s="62">
        <f>IF($A72="","",ROUND((AF72+AG72+AH72+AI72)*IF(AND(F72&lt;설정!$C$10,N72&lt;설정!$C$10),0.3,1),1))</f>
        <v/>
      </c>
      <c r="AB72" s="41">
        <f>IF($A72="","",AA72+ROW()/1000000)</f>
        <v/>
      </c>
      <c r="AC72" s="60">
        <f>IF(OR($A72="",N72&lt;=0),"",SUMPRODUCT(MAX((전표_원본!$O$5:$O$100000=$E72)*(전표_원본!$M$5:$M$100000=설정!$C$20)*전표_원본!$P$5:$P$100000))/N72)</f>
        <v/>
      </c>
      <c r="AD72" s="35">
        <f>IF($A72="","",SUMIFS(전표_원본!$P$5:$P$100000,전표_원본!$O$5:$O$100000,$E72,전표_원본!$M$5:$M$100000,설정!$C$20,전표_원본!$E$5:$E$100000,"SA")-SUMIFS(전표_원본!$P$5:$P$100000,전표_원본!$O$5:$O$100000,$E72,전표_원본!$M$5:$M$100000,설정!$C$20-1,전표_원본!$E$5:$E$100000,"SA"))</f>
        <v/>
      </c>
      <c r="AE72" s="81">
        <f>IF($A72="","",COUNTIFS(전표_원본!$O$5:$O$100000,$E72,전표_원본!$M$5:$M$100000,설정!$C$20,전표_원본!$P$5:$P$100000,"&lt;0"))</f>
        <v/>
      </c>
      <c r="AF72" s="62">
        <f>IF($A72="","",MIN(MAX(0,N72)/(설정!$C$10*5),1)*30)</f>
        <v/>
      </c>
      <c r="AG72" s="82">
        <f>IF($A72="","",MIN(MAX(0,H72,J72),1)*20)</f>
        <v/>
      </c>
      <c r="AH72" s="82">
        <f>IF($A72="","",MIN(MAX(0,O72)/3,1)*25)</f>
        <v/>
      </c>
      <c r="AI72" s="82">
        <f>IF($A72="","",IF(OR(W72="부족 예상",W72="무예산",AO72="한도 초과",AO72="초과 예상",AO72="무예산"),25,IF(OR(W72="주의",AO72="주의"),15,0)))</f>
        <v/>
      </c>
      <c r="AJ72" s="35">
        <f>IF($A72="","",SUMIFS(예산판_원본!$O$5:$O$5000,예산판_원본!$L$5:$L$5000,$E72,예산판_원본!$M$5:$M$5000,설정!$C$6,예산판_원본!$N$5:$N$5000,설정!$C$21))</f>
        <v/>
      </c>
      <c r="AK72" s="40">
        <f>IF($A72="","",K72)</f>
        <v/>
      </c>
      <c r="AL72" s="40">
        <f>IF($A72="","",AJ72-AK72)</f>
        <v/>
      </c>
      <c r="AM72" s="35">
        <f>IF($A72="","",AK72+AVERAGE(월별집계!X72:Z72)*MAX(0,설정!$C$22+2-설정!$C$20))</f>
        <v/>
      </c>
      <c r="AN72" s="73">
        <f>IF($A72="","",IF(AJ72=0,0,AM72/AJ72))</f>
        <v/>
      </c>
      <c r="AO72" s="34">
        <f>IF($A72="","",IF(AND(AJ72=0,AK72&gt;0),"무예산",IF(AJ72=0,"-",IF(AK72&gt;AJ72,"한도 초과",IF(AN72&gt;설정!$C$12,"초과 예상",IF(AN72&gt;설정!$C$11,"주의","여유"))))))</f>
        <v/>
      </c>
      <c r="AP72" s="35">
        <f>IF($A72="","",IF(설정!$C$19="최근월",(INDEX(월별집계!$AB72:$AM72,설정!$C$7)-INDEX(월별집계!$AB72:$AM72,MAX(1,설정!$C$7-1))*(설정!$C$7&gt;1)),IF(설정!$C$19="최근분기",((INDEX(월별집계!$AB72:$AM72,설정!$C$7)-INDEX(월별집계!$AB72:$AM72,MAX(1,설정!$C$7-3))*(설정!$C$7&gt;3))/MIN(3,설정!$C$7)),IF(설정!$C$19="전년추세",AZ72,((설정!$C$7+1)*SUMPRODUCT(월별집계!$AB$5:$AM$5,월별집계!$AB72:$AM72)-(설정!$C$7*(설정!$C$7+1)/2)*SUM(월별집계!$AB72:$AM72))/((설정!$C$7+1)*(설정!$C$7*(설정!$C$7+1)*(2*설정!$C$7+1)/6)-(설정!$C$7*(설정!$C$7+1)/2)^2)))))</f>
        <v/>
      </c>
      <c r="AQ72" s="35">
        <f>IF($A72="","",IF(설정!$C$19="연내누적",(SUM(월별집계!$AB72:$AM72)-AP72*(설정!$C$7*(설정!$C$7+1)/2))/(설정!$C$7+1),INDEX(월별집계!$AB72:$AM72,설정!$C$7)-AP72*설정!$C$7))</f>
        <v/>
      </c>
      <c r="AR72" s="40">
        <f>IF($A72="","",AQ72+AP72*12)</f>
        <v/>
      </c>
      <c r="AS72" s="82">
        <f>IF($A72="","",IF(OR(P72&lt;=0,Q72&gt;=P72,AP72&lt;=0),"",MAX(설정!$C$7,(P72-AQ72)/AP72)))</f>
        <v/>
      </c>
      <c r="AT72" s="22">
        <f>IF($A72="","",IF(AS72="",IF(AU72="이미 소진","소진됨",""),YEAR((DATE(설정!$C$6,1,1)+ROUND(AS72*365/12,0)-1))&amp;"-"&amp;TEXT(MONTH((DATE(설정!$C$6,1,1)+ROUND(AS72*365/12,0)-1)),"00")&amp;"-"&amp;TEXT(DAY((DATE(설정!$C$6,1,1)+ROUND(AS72*365/12,0)-1)),"00")))</f>
        <v/>
      </c>
      <c r="AU72" s="34">
        <f>IF($A72="","",IF(AND(P72&lt;=0,Q72&gt;0),"무예산",IF(P72&lt;=0,"-",IF(Q72&gt;=P72,"이미 소진",IF(AP72&lt;=0,"소진 안 됨",IF(AS72&lt;=12,"연내 고갈","연내 여유"))))))</f>
        <v/>
      </c>
      <c r="AV72" s="34">
        <f>IF($A72="","",IF(AJ72&lt;=0,"",IF(AK72&gt;=AJ72,"한도 소진",IF(AK72&lt;=0,"",IF(AJ72/(AK72/(설정!$C$20-설정!$C$22+1))&gt;3,"분기 내 여유",YEAR((DATE(설정!$C$6,설정!$C$22-설정!$C$6*12,1)+ROUND(MAX((설정!$C$20-설정!$C$22+1),AJ72/(AK72/(설정!$C$20-설정!$C$22+1)))*365/12,0)-1))&amp;"-"&amp;TEXT(MONTH((DATE(설정!$C$6,설정!$C$22-설정!$C$6*12,1)+ROUND(MAX((설정!$C$20-설정!$C$22+1),AJ72/(AK72/(설정!$C$20-설정!$C$22+1)))*365/12,0)-1)),"00")&amp;"-"&amp;TEXT(DAY((DATE(설정!$C$6,설정!$C$22-설정!$C$6*12,1)+ROUND(MAX((설정!$C$20-설정!$C$22+1),AJ72/(AK72/(설정!$C$20-설정!$C$22+1)))*365/12,0)-1)),"00"))))))</f>
        <v/>
      </c>
      <c r="AW72" s="41">
        <f>IF($A72="",999+ROW()/1000000,IF(AU72="이미 소진",ROW()/1000000,IF(AU72="연내 고갈",AS72+ROW()/1000000,99+ROW()/1000000)))</f>
        <v/>
      </c>
      <c r="AX72" s="35">
        <f>IF($A72="","",SUMIFS(월별집계!$C72:$Z72,월별집계!$C$5:$Z$5,"&gt;="&amp;((설정!$C$6-1)*12+1),월별집계!$C$5:$Z$5,"&lt;="&amp;(설정!$C$20-12)))</f>
        <v/>
      </c>
      <c r="AY72" s="80">
        <f>IF($A72="","",IF(AX72&lt;=0,IF(Q72&gt;0,1,0),Q72/AX72-1))</f>
        <v/>
      </c>
      <c r="AZ72" s="35">
        <f>IF($A72="","",SUMIFS(월별집계!$C72:$Z72,월별집계!$C$5:$Z$5,"&gt;"&amp;(설정!$C$20-12),월별집계!$C$5:$Z$5,"&lt;="&amp;((설정!$C$6-1)*12+12))/MAX(1,12-설정!$C$7))</f>
        <v/>
      </c>
    </row>
    <row r="73">
      <c r="A73" s="12" t="inlineStr">
        <is>
          <t>D950</t>
        </is>
      </c>
      <c r="B73" s="26">
        <f>IF($A73="","",IFERROR(INDEX(부서매핑!$D$5:$D$504,MATCH($A73,부서매핑!$C$5:$C$504,0)),"부서매핑 없음"))</f>
        <v/>
      </c>
      <c r="C73" s="79" t="inlineStr">
        <is>
          <t>62101000</t>
        </is>
      </c>
      <c r="D73" s="26">
        <f>IF($A73="","",IFERROR(INDEX(계정매핑!$B$5:$B$504,MATCH($C73&amp;"",계정매핑!$A$5:$A$504,0)),"계정매핑 없음"))</f>
        <v/>
      </c>
      <c r="E73" s="22">
        <f>IF($A73="","",$A73&amp;"|"&amp;$C73)</f>
        <v/>
      </c>
      <c r="F73" s="35">
        <f>IF($A73="","",월별집계!$Z73)</f>
        <v/>
      </c>
      <c r="G73" s="35">
        <f>IF($A73="","",월별집계!$Y73)</f>
        <v/>
      </c>
      <c r="H73" s="80">
        <f>IF($A73="","",IF(G73&lt;=0,IF(F73&gt;0,1,0),F73/G73-1))</f>
        <v/>
      </c>
      <c r="I73" s="35">
        <f>IF($A73="","",월별집계!$N73)</f>
        <v/>
      </c>
      <c r="J73" s="80">
        <f>IF($A73="","",IF(I73&lt;=0,IF(F73&gt;0,1,0),F73/I73-1))</f>
        <v/>
      </c>
      <c r="K73" s="35">
        <f>IF($A73="","",SUMIFS(월별집계!$C73:$Z73,월별집계!$C$5:$Z$5,"&gt;="&amp;설정!$C$22,월별집계!$C$5:$Z$5,"&lt;="&amp;설정!$C$20))</f>
        <v/>
      </c>
      <c r="L73" s="35">
        <f>IF($A73="","",SUMIFS(월별집계!$C73:$Z73,월별집계!$C$5:$Z$5,"&gt;="&amp;(설정!$C$22-3),월별집계!$C$5:$Z$5,"&lt;="&amp;(설정!$C$20-3)))</f>
        <v/>
      </c>
      <c r="M73" s="80">
        <f>IF($A73="","",IF(L73&lt;=0,IF(K73&gt;0,1,0),K73/L73-1))</f>
        <v/>
      </c>
      <c r="N73" s="40">
        <f>IF($A73="","",MAX(F73-G73,F73-I73))</f>
        <v/>
      </c>
      <c r="O73" s="62">
        <f>IF($A73="","",IFERROR((월별집계!$Z73-AVERAGE(월별집계!N73:Y73))/STDEV(월별집계!N73:Y73),0))</f>
        <v/>
      </c>
      <c r="P73" s="35">
        <f>IF($A73="","",SUMIFS(예산판_원본!$O$5:$O$5000,예산판_원본!$L$5:$L$5000,$E73,예산판_원본!$M$5:$M$5000,설정!$C$6))</f>
        <v/>
      </c>
      <c r="Q73" s="35">
        <f>IF($A73="","",SUMIFS(월별집계!$C73:$Z73,월별집계!$C$5:$Z$5,"&gt;="&amp;(설정!$C$6*12+1),월별집계!$C$5:$Z$5,"&lt;="&amp;설정!$C$20))</f>
        <v/>
      </c>
      <c r="R73" s="40">
        <f>IF($A73="","",P73-Q73)</f>
        <v/>
      </c>
      <c r="S73" s="35">
        <f>IF($A73="","",AVERAGE(월별집계!X73:Z73)*(12-설정!$C$7))</f>
        <v/>
      </c>
      <c r="T73" s="35">
        <f>IF($A73="","",IFERROR(Q73/(SUMIFS(월별집계!$C73:$Z73,월별집계!$C$5:$Z$5,"&gt;="&amp;((설정!$C$6-1)*12+1),월별집계!$C$5:$Z$5,"&lt;="&amp;(설정!$C$20-12))/SUMIFS(월별집계!$C73:$Z73,월별집계!$C$5:$Z$5,"&gt;="&amp;((설정!$C$6-1)*12+1),월별집계!$C$5:$Z$5,"&lt;="&amp;((설정!$C$6-1)*12+12)))-Q73,S73))</f>
        <v/>
      </c>
      <c r="U73" s="40">
        <f>IF($A73="","",Q73+MAX(S73,T73))</f>
        <v/>
      </c>
      <c r="V73" s="73">
        <f>IF($A73="","",IF(P73=0,0,U73/P73))</f>
        <v/>
      </c>
      <c r="W73" s="34">
        <f>IF($A73="","",IF(AND(P73=0,Q73&gt;0),"무예산",IF(P73=0,"-",IF(V73&gt;설정!$C$12,"부족 예상",IF(V73&gt;설정!$C$11,"주의","여유")))))</f>
        <v/>
      </c>
      <c r="X73" s="40">
        <f>IF($A73="","",IF(P73=0,0,MAX(0,U73-P73)))</f>
        <v/>
      </c>
      <c r="Y73" s="34">
        <f>IF($A73="","",IF(OR(W73&lt;&gt;"부족 예상",설정!$C$7=12),"",IF(R73&lt;=0,"이미 초과",MIN(12,설정!$C$7+ROUNDUP(R73/(MAX(S73,T73)/(12-설정!$C$7)),0))&amp;"월")))</f>
        <v/>
      </c>
      <c r="Z73" s="26">
        <f>IF($A73="","",TRIM(IF(AND(N(AC73)&gt;=설정!$C$14,N73&gt;=설정!$C$10),"단건"&amp;TEXT(MIN(AC73,1),"0%")&amp;" ","")&amp;IF(AND(N73&gt;0,AD73&gt;0),IF(AD73/N73&gt;=설정!$C$16,"SA대체 ",""),"")&amp;IF(AE73&gt;0,"역분개"&amp;AE73&amp;"건 ","")&amp;IF(O73&gt;=설정!$C$13,"이상치 ","")&amp;IF(AND(I73=0,F73&gt;0),"신규지출 ","")))</f>
        <v/>
      </c>
      <c r="AA73" s="62">
        <f>IF($A73="","",ROUND((AF73+AG73+AH73+AI73)*IF(AND(F73&lt;설정!$C$10,N73&lt;설정!$C$10),0.3,1),1))</f>
        <v/>
      </c>
      <c r="AB73" s="41">
        <f>IF($A73="","",AA73+ROW()/1000000)</f>
        <v/>
      </c>
      <c r="AC73" s="60">
        <f>IF(OR($A73="",N73&lt;=0),"",SUMPRODUCT(MAX((전표_원본!$O$5:$O$100000=$E73)*(전표_원본!$M$5:$M$100000=설정!$C$20)*전표_원본!$P$5:$P$100000))/N73)</f>
        <v/>
      </c>
      <c r="AD73" s="35">
        <f>IF($A73="","",SUMIFS(전표_원본!$P$5:$P$100000,전표_원본!$O$5:$O$100000,$E73,전표_원본!$M$5:$M$100000,설정!$C$20,전표_원본!$E$5:$E$100000,"SA")-SUMIFS(전표_원본!$P$5:$P$100000,전표_원본!$O$5:$O$100000,$E73,전표_원본!$M$5:$M$100000,설정!$C$20-1,전표_원본!$E$5:$E$100000,"SA"))</f>
        <v/>
      </c>
      <c r="AE73" s="81">
        <f>IF($A73="","",COUNTIFS(전표_원본!$O$5:$O$100000,$E73,전표_원본!$M$5:$M$100000,설정!$C$20,전표_원본!$P$5:$P$100000,"&lt;0"))</f>
        <v/>
      </c>
      <c r="AF73" s="62">
        <f>IF($A73="","",MIN(MAX(0,N73)/(설정!$C$10*5),1)*30)</f>
        <v/>
      </c>
      <c r="AG73" s="82">
        <f>IF($A73="","",MIN(MAX(0,H73,J73),1)*20)</f>
        <v/>
      </c>
      <c r="AH73" s="82">
        <f>IF($A73="","",MIN(MAX(0,O73)/3,1)*25)</f>
        <v/>
      </c>
      <c r="AI73" s="82">
        <f>IF($A73="","",IF(OR(W73="부족 예상",W73="무예산",AO73="한도 초과",AO73="초과 예상",AO73="무예산"),25,IF(OR(W73="주의",AO73="주의"),15,0)))</f>
        <v/>
      </c>
      <c r="AJ73" s="35">
        <f>IF($A73="","",SUMIFS(예산판_원본!$O$5:$O$5000,예산판_원본!$L$5:$L$5000,$E73,예산판_원본!$M$5:$M$5000,설정!$C$6,예산판_원본!$N$5:$N$5000,설정!$C$21))</f>
        <v/>
      </c>
      <c r="AK73" s="40">
        <f>IF($A73="","",K73)</f>
        <v/>
      </c>
      <c r="AL73" s="40">
        <f>IF($A73="","",AJ73-AK73)</f>
        <v/>
      </c>
      <c r="AM73" s="35">
        <f>IF($A73="","",AK73+AVERAGE(월별집계!X73:Z73)*MAX(0,설정!$C$22+2-설정!$C$20))</f>
        <v/>
      </c>
      <c r="AN73" s="73">
        <f>IF($A73="","",IF(AJ73=0,0,AM73/AJ73))</f>
        <v/>
      </c>
      <c r="AO73" s="34">
        <f>IF($A73="","",IF(AND(AJ73=0,AK73&gt;0),"무예산",IF(AJ73=0,"-",IF(AK73&gt;AJ73,"한도 초과",IF(AN73&gt;설정!$C$12,"초과 예상",IF(AN73&gt;설정!$C$11,"주의","여유"))))))</f>
        <v/>
      </c>
      <c r="AP73" s="35">
        <f>IF($A73="","",IF(설정!$C$19="최근월",(INDEX(월별집계!$AB73:$AM73,설정!$C$7)-INDEX(월별집계!$AB73:$AM73,MAX(1,설정!$C$7-1))*(설정!$C$7&gt;1)),IF(설정!$C$19="최근분기",((INDEX(월별집계!$AB73:$AM73,설정!$C$7)-INDEX(월별집계!$AB73:$AM73,MAX(1,설정!$C$7-3))*(설정!$C$7&gt;3))/MIN(3,설정!$C$7)),IF(설정!$C$19="전년추세",AZ73,((설정!$C$7+1)*SUMPRODUCT(월별집계!$AB$5:$AM$5,월별집계!$AB73:$AM73)-(설정!$C$7*(설정!$C$7+1)/2)*SUM(월별집계!$AB73:$AM73))/((설정!$C$7+1)*(설정!$C$7*(설정!$C$7+1)*(2*설정!$C$7+1)/6)-(설정!$C$7*(설정!$C$7+1)/2)^2)))))</f>
        <v/>
      </c>
      <c r="AQ73" s="35">
        <f>IF($A73="","",IF(설정!$C$19="연내누적",(SUM(월별집계!$AB73:$AM73)-AP73*(설정!$C$7*(설정!$C$7+1)/2))/(설정!$C$7+1),INDEX(월별집계!$AB73:$AM73,설정!$C$7)-AP73*설정!$C$7))</f>
        <v/>
      </c>
      <c r="AR73" s="40">
        <f>IF($A73="","",AQ73+AP73*12)</f>
        <v/>
      </c>
      <c r="AS73" s="82">
        <f>IF($A73="","",IF(OR(P73&lt;=0,Q73&gt;=P73,AP73&lt;=0),"",MAX(설정!$C$7,(P73-AQ73)/AP73)))</f>
        <v/>
      </c>
      <c r="AT73" s="22">
        <f>IF($A73="","",IF(AS73="",IF(AU73="이미 소진","소진됨",""),YEAR((DATE(설정!$C$6,1,1)+ROUND(AS73*365/12,0)-1))&amp;"-"&amp;TEXT(MONTH((DATE(설정!$C$6,1,1)+ROUND(AS73*365/12,0)-1)),"00")&amp;"-"&amp;TEXT(DAY((DATE(설정!$C$6,1,1)+ROUND(AS73*365/12,0)-1)),"00")))</f>
        <v/>
      </c>
      <c r="AU73" s="34">
        <f>IF($A73="","",IF(AND(P73&lt;=0,Q73&gt;0),"무예산",IF(P73&lt;=0,"-",IF(Q73&gt;=P73,"이미 소진",IF(AP73&lt;=0,"소진 안 됨",IF(AS73&lt;=12,"연내 고갈","연내 여유"))))))</f>
        <v/>
      </c>
      <c r="AV73" s="34">
        <f>IF($A73="","",IF(AJ73&lt;=0,"",IF(AK73&gt;=AJ73,"한도 소진",IF(AK73&lt;=0,"",IF(AJ73/(AK73/(설정!$C$20-설정!$C$22+1))&gt;3,"분기 내 여유",YEAR((DATE(설정!$C$6,설정!$C$22-설정!$C$6*12,1)+ROUND(MAX((설정!$C$20-설정!$C$22+1),AJ73/(AK73/(설정!$C$20-설정!$C$22+1)))*365/12,0)-1))&amp;"-"&amp;TEXT(MONTH((DATE(설정!$C$6,설정!$C$22-설정!$C$6*12,1)+ROUND(MAX((설정!$C$20-설정!$C$22+1),AJ73/(AK73/(설정!$C$20-설정!$C$22+1)))*365/12,0)-1)),"00")&amp;"-"&amp;TEXT(DAY((DATE(설정!$C$6,설정!$C$22-설정!$C$6*12,1)+ROUND(MAX((설정!$C$20-설정!$C$22+1),AJ73/(AK73/(설정!$C$20-설정!$C$22+1)))*365/12,0)-1)),"00"))))))</f>
        <v/>
      </c>
      <c r="AW73" s="41">
        <f>IF($A73="",999+ROW()/1000000,IF(AU73="이미 소진",ROW()/1000000,IF(AU73="연내 고갈",AS73+ROW()/1000000,99+ROW()/1000000)))</f>
        <v/>
      </c>
      <c r="AX73" s="35">
        <f>IF($A73="","",SUMIFS(월별집계!$C73:$Z73,월별집계!$C$5:$Z$5,"&gt;="&amp;((설정!$C$6-1)*12+1),월별집계!$C$5:$Z$5,"&lt;="&amp;(설정!$C$20-12)))</f>
        <v/>
      </c>
      <c r="AY73" s="80">
        <f>IF($A73="","",IF(AX73&lt;=0,IF(Q73&gt;0,1,0),Q73/AX73-1))</f>
        <v/>
      </c>
      <c r="AZ73" s="35">
        <f>IF($A73="","",SUMIFS(월별집계!$C73:$Z73,월별집계!$C$5:$Z$5,"&gt;"&amp;(설정!$C$20-12),월별집계!$C$5:$Z$5,"&lt;="&amp;((설정!$C$6-1)*12+12))/MAX(1,12-설정!$C$7))</f>
        <v/>
      </c>
    </row>
    <row r="74">
      <c r="A74" s="12" t="inlineStr">
        <is>
          <t>D950</t>
        </is>
      </c>
      <c r="B74" s="26">
        <f>IF($A74="","",IFERROR(INDEX(부서매핑!$D$5:$D$504,MATCH($A74,부서매핑!$C$5:$C$504,0)),"부서매핑 없음"))</f>
        <v/>
      </c>
      <c r="C74" s="79" t="inlineStr">
        <is>
          <t>62102000</t>
        </is>
      </c>
      <c r="D74" s="26">
        <f>IF($A74="","",IFERROR(INDEX(계정매핑!$B$5:$B$504,MATCH($C74&amp;"",계정매핑!$A$5:$A$504,0)),"계정매핑 없음"))</f>
        <v/>
      </c>
      <c r="E74" s="22">
        <f>IF($A74="","",$A74&amp;"|"&amp;$C74)</f>
        <v/>
      </c>
      <c r="F74" s="35">
        <f>IF($A74="","",월별집계!$Z74)</f>
        <v/>
      </c>
      <c r="G74" s="35">
        <f>IF($A74="","",월별집계!$Y74)</f>
        <v/>
      </c>
      <c r="H74" s="80">
        <f>IF($A74="","",IF(G74&lt;=0,IF(F74&gt;0,1,0),F74/G74-1))</f>
        <v/>
      </c>
      <c r="I74" s="35">
        <f>IF($A74="","",월별집계!$N74)</f>
        <v/>
      </c>
      <c r="J74" s="80">
        <f>IF($A74="","",IF(I74&lt;=0,IF(F74&gt;0,1,0),F74/I74-1))</f>
        <v/>
      </c>
      <c r="K74" s="35">
        <f>IF($A74="","",SUMIFS(월별집계!$C74:$Z74,월별집계!$C$5:$Z$5,"&gt;="&amp;설정!$C$22,월별집계!$C$5:$Z$5,"&lt;="&amp;설정!$C$20))</f>
        <v/>
      </c>
      <c r="L74" s="35">
        <f>IF($A74="","",SUMIFS(월별집계!$C74:$Z74,월별집계!$C$5:$Z$5,"&gt;="&amp;(설정!$C$22-3),월별집계!$C$5:$Z$5,"&lt;="&amp;(설정!$C$20-3)))</f>
        <v/>
      </c>
      <c r="M74" s="80">
        <f>IF($A74="","",IF(L74&lt;=0,IF(K74&gt;0,1,0),K74/L74-1))</f>
        <v/>
      </c>
      <c r="N74" s="40">
        <f>IF($A74="","",MAX(F74-G74,F74-I74))</f>
        <v/>
      </c>
      <c r="O74" s="62">
        <f>IF($A74="","",IFERROR((월별집계!$Z74-AVERAGE(월별집계!N74:Y74))/STDEV(월별집계!N74:Y74),0))</f>
        <v/>
      </c>
      <c r="P74" s="35">
        <f>IF($A74="","",SUMIFS(예산판_원본!$O$5:$O$5000,예산판_원본!$L$5:$L$5000,$E74,예산판_원본!$M$5:$M$5000,설정!$C$6))</f>
        <v/>
      </c>
      <c r="Q74" s="35">
        <f>IF($A74="","",SUMIFS(월별집계!$C74:$Z74,월별집계!$C$5:$Z$5,"&gt;="&amp;(설정!$C$6*12+1),월별집계!$C$5:$Z$5,"&lt;="&amp;설정!$C$20))</f>
        <v/>
      </c>
      <c r="R74" s="40">
        <f>IF($A74="","",P74-Q74)</f>
        <v/>
      </c>
      <c r="S74" s="35">
        <f>IF($A74="","",AVERAGE(월별집계!X74:Z74)*(12-설정!$C$7))</f>
        <v/>
      </c>
      <c r="T74" s="35">
        <f>IF($A74="","",IFERROR(Q74/(SUMIFS(월별집계!$C74:$Z74,월별집계!$C$5:$Z$5,"&gt;="&amp;((설정!$C$6-1)*12+1),월별집계!$C$5:$Z$5,"&lt;="&amp;(설정!$C$20-12))/SUMIFS(월별집계!$C74:$Z74,월별집계!$C$5:$Z$5,"&gt;="&amp;((설정!$C$6-1)*12+1),월별집계!$C$5:$Z$5,"&lt;="&amp;((설정!$C$6-1)*12+12)))-Q74,S74))</f>
        <v/>
      </c>
      <c r="U74" s="40">
        <f>IF($A74="","",Q74+MAX(S74,T74))</f>
        <v/>
      </c>
      <c r="V74" s="73">
        <f>IF($A74="","",IF(P74=0,0,U74/P74))</f>
        <v/>
      </c>
      <c r="W74" s="34">
        <f>IF($A74="","",IF(AND(P74=0,Q74&gt;0),"무예산",IF(P74=0,"-",IF(V74&gt;설정!$C$12,"부족 예상",IF(V74&gt;설정!$C$11,"주의","여유")))))</f>
        <v/>
      </c>
      <c r="X74" s="40">
        <f>IF($A74="","",IF(P74=0,0,MAX(0,U74-P74)))</f>
        <v/>
      </c>
      <c r="Y74" s="34">
        <f>IF($A74="","",IF(OR(W74&lt;&gt;"부족 예상",설정!$C$7=12),"",IF(R74&lt;=0,"이미 초과",MIN(12,설정!$C$7+ROUNDUP(R74/(MAX(S74,T74)/(12-설정!$C$7)),0))&amp;"월")))</f>
        <v/>
      </c>
      <c r="Z74" s="26">
        <f>IF($A74="","",TRIM(IF(AND(N(AC74)&gt;=설정!$C$14,N74&gt;=설정!$C$10),"단건"&amp;TEXT(MIN(AC74,1),"0%")&amp;" ","")&amp;IF(AND(N74&gt;0,AD74&gt;0),IF(AD74/N74&gt;=설정!$C$16,"SA대체 ",""),"")&amp;IF(AE74&gt;0,"역분개"&amp;AE74&amp;"건 ","")&amp;IF(O74&gt;=설정!$C$13,"이상치 ","")&amp;IF(AND(I74=0,F74&gt;0),"신규지출 ","")))</f>
        <v/>
      </c>
      <c r="AA74" s="62">
        <f>IF($A74="","",ROUND((AF74+AG74+AH74+AI74)*IF(AND(F74&lt;설정!$C$10,N74&lt;설정!$C$10),0.3,1),1))</f>
        <v/>
      </c>
      <c r="AB74" s="41">
        <f>IF($A74="","",AA74+ROW()/1000000)</f>
        <v/>
      </c>
      <c r="AC74" s="60">
        <f>IF(OR($A74="",N74&lt;=0),"",SUMPRODUCT(MAX((전표_원본!$O$5:$O$100000=$E74)*(전표_원본!$M$5:$M$100000=설정!$C$20)*전표_원본!$P$5:$P$100000))/N74)</f>
        <v/>
      </c>
      <c r="AD74" s="35">
        <f>IF($A74="","",SUMIFS(전표_원본!$P$5:$P$100000,전표_원본!$O$5:$O$100000,$E74,전표_원본!$M$5:$M$100000,설정!$C$20,전표_원본!$E$5:$E$100000,"SA")-SUMIFS(전표_원본!$P$5:$P$100000,전표_원본!$O$5:$O$100000,$E74,전표_원본!$M$5:$M$100000,설정!$C$20-1,전표_원본!$E$5:$E$100000,"SA"))</f>
        <v/>
      </c>
      <c r="AE74" s="81">
        <f>IF($A74="","",COUNTIFS(전표_원본!$O$5:$O$100000,$E74,전표_원본!$M$5:$M$100000,설정!$C$20,전표_원본!$P$5:$P$100000,"&lt;0"))</f>
        <v/>
      </c>
      <c r="AF74" s="62">
        <f>IF($A74="","",MIN(MAX(0,N74)/(설정!$C$10*5),1)*30)</f>
        <v/>
      </c>
      <c r="AG74" s="82">
        <f>IF($A74="","",MIN(MAX(0,H74,J74),1)*20)</f>
        <v/>
      </c>
      <c r="AH74" s="82">
        <f>IF($A74="","",MIN(MAX(0,O74)/3,1)*25)</f>
        <v/>
      </c>
      <c r="AI74" s="82">
        <f>IF($A74="","",IF(OR(W74="부족 예상",W74="무예산",AO74="한도 초과",AO74="초과 예상",AO74="무예산"),25,IF(OR(W74="주의",AO74="주의"),15,0)))</f>
        <v/>
      </c>
      <c r="AJ74" s="35">
        <f>IF($A74="","",SUMIFS(예산판_원본!$O$5:$O$5000,예산판_원본!$L$5:$L$5000,$E74,예산판_원본!$M$5:$M$5000,설정!$C$6,예산판_원본!$N$5:$N$5000,설정!$C$21))</f>
        <v/>
      </c>
      <c r="AK74" s="40">
        <f>IF($A74="","",K74)</f>
        <v/>
      </c>
      <c r="AL74" s="40">
        <f>IF($A74="","",AJ74-AK74)</f>
        <v/>
      </c>
      <c r="AM74" s="35">
        <f>IF($A74="","",AK74+AVERAGE(월별집계!X74:Z74)*MAX(0,설정!$C$22+2-설정!$C$20))</f>
        <v/>
      </c>
      <c r="AN74" s="73">
        <f>IF($A74="","",IF(AJ74=0,0,AM74/AJ74))</f>
        <v/>
      </c>
      <c r="AO74" s="34">
        <f>IF($A74="","",IF(AND(AJ74=0,AK74&gt;0),"무예산",IF(AJ74=0,"-",IF(AK74&gt;AJ74,"한도 초과",IF(AN74&gt;설정!$C$12,"초과 예상",IF(AN74&gt;설정!$C$11,"주의","여유"))))))</f>
        <v/>
      </c>
      <c r="AP74" s="35">
        <f>IF($A74="","",IF(설정!$C$19="최근월",(INDEX(월별집계!$AB74:$AM74,설정!$C$7)-INDEX(월별집계!$AB74:$AM74,MAX(1,설정!$C$7-1))*(설정!$C$7&gt;1)),IF(설정!$C$19="최근분기",((INDEX(월별집계!$AB74:$AM74,설정!$C$7)-INDEX(월별집계!$AB74:$AM74,MAX(1,설정!$C$7-3))*(설정!$C$7&gt;3))/MIN(3,설정!$C$7)),IF(설정!$C$19="전년추세",AZ74,((설정!$C$7+1)*SUMPRODUCT(월별집계!$AB$5:$AM$5,월별집계!$AB74:$AM74)-(설정!$C$7*(설정!$C$7+1)/2)*SUM(월별집계!$AB74:$AM74))/((설정!$C$7+1)*(설정!$C$7*(설정!$C$7+1)*(2*설정!$C$7+1)/6)-(설정!$C$7*(설정!$C$7+1)/2)^2)))))</f>
        <v/>
      </c>
      <c r="AQ74" s="35">
        <f>IF($A74="","",IF(설정!$C$19="연내누적",(SUM(월별집계!$AB74:$AM74)-AP74*(설정!$C$7*(설정!$C$7+1)/2))/(설정!$C$7+1),INDEX(월별집계!$AB74:$AM74,설정!$C$7)-AP74*설정!$C$7))</f>
        <v/>
      </c>
      <c r="AR74" s="40">
        <f>IF($A74="","",AQ74+AP74*12)</f>
        <v/>
      </c>
      <c r="AS74" s="82">
        <f>IF($A74="","",IF(OR(P74&lt;=0,Q74&gt;=P74,AP74&lt;=0),"",MAX(설정!$C$7,(P74-AQ74)/AP74)))</f>
        <v/>
      </c>
      <c r="AT74" s="22">
        <f>IF($A74="","",IF(AS74="",IF(AU74="이미 소진","소진됨",""),YEAR((DATE(설정!$C$6,1,1)+ROUND(AS74*365/12,0)-1))&amp;"-"&amp;TEXT(MONTH((DATE(설정!$C$6,1,1)+ROUND(AS74*365/12,0)-1)),"00")&amp;"-"&amp;TEXT(DAY((DATE(설정!$C$6,1,1)+ROUND(AS74*365/12,0)-1)),"00")))</f>
        <v/>
      </c>
      <c r="AU74" s="34">
        <f>IF($A74="","",IF(AND(P74&lt;=0,Q74&gt;0),"무예산",IF(P74&lt;=0,"-",IF(Q74&gt;=P74,"이미 소진",IF(AP74&lt;=0,"소진 안 됨",IF(AS74&lt;=12,"연내 고갈","연내 여유"))))))</f>
        <v/>
      </c>
      <c r="AV74" s="34">
        <f>IF($A74="","",IF(AJ74&lt;=0,"",IF(AK74&gt;=AJ74,"한도 소진",IF(AK74&lt;=0,"",IF(AJ74/(AK74/(설정!$C$20-설정!$C$22+1))&gt;3,"분기 내 여유",YEAR((DATE(설정!$C$6,설정!$C$22-설정!$C$6*12,1)+ROUND(MAX((설정!$C$20-설정!$C$22+1),AJ74/(AK74/(설정!$C$20-설정!$C$22+1)))*365/12,0)-1))&amp;"-"&amp;TEXT(MONTH((DATE(설정!$C$6,설정!$C$22-설정!$C$6*12,1)+ROUND(MAX((설정!$C$20-설정!$C$22+1),AJ74/(AK74/(설정!$C$20-설정!$C$22+1)))*365/12,0)-1)),"00")&amp;"-"&amp;TEXT(DAY((DATE(설정!$C$6,설정!$C$22-설정!$C$6*12,1)+ROUND(MAX((설정!$C$20-설정!$C$22+1),AJ74/(AK74/(설정!$C$20-설정!$C$22+1)))*365/12,0)-1)),"00"))))))</f>
        <v/>
      </c>
      <c r="AW74" s="41">
        <f>IF($A74="",999+ROW()/1000000,IF(AU74="이미 소진",ROW()/1000000,IF(AU74="연내 고갈",AS74+ROW()/1000000,99+ROW()/1000000)))</f>
        <v/>
      </c>
      <c r="AX74" s="35">
        <f>IF($A74="","",SUMIFS(월별집계!$C74:$Z74,월별집계!$C$5:$Z$5,"&gt;="&amp;((설정!$C$6-1)*12+1),월별집계!$C$5:$Z$5,"&lt;="&amp;(설정!$C$20-12)))</f>
        <v/>
      </c>
      <c r="AY74" s="80">
        <f>IF($A74="","",IF(AX74&lt;=0,IF(Q74&gt;0,1,0),Q74/AX74-1))</f>
        <v/>
      </c>
      <c r="AZ74" s="35">
        <f>IF($A74="","",SUMIFS(월별집계!$C74:$Z74,월별집계!$C$5:$Z$5,"&gt;"&amp;(설정!$C$20-12),월별집계!$C$5:$Z$5,"&lt;="&amp;((설정!$C$6-1)*12+12))/MAX(1,12-설정!$C$7))</f>
        <v/>
      </c>
    </row>
    <row r="75">
      <c r="A75" s="12" t="inlineStr">
        <is>
          <t>D950</t>
        </is>
      </c>
      <c r="B75" s="26">
        <f>IF($A75="","",IFERROR(INDEX(부서매핑!$D$5:$D$504,MATCH($A75,부서매핑!$C$5:$C$504,0)),"부서매핑 없음"))</f>
        <v/>
      </c>
      <c r="C75" s="79" t="inlineStr">
        <is>
          <t>62201000</t>
        </is>
      </c>
      <c r="D75" s="26">
        <f>IF($A75="","",IFERROR(INDEX(계정매핑!$B$5:$B$504,MATCH($C75&amp;"",계정매핑!$A$5:$A$504,0)),"계정매핑 없음"))</f>
        <v/>
      </c>
      <c r="E75" s="22">
        <f>IF($A75="","",$A75&amp;"|"&amp;$C75)</f>
        <v/>
      </c>
      <c r="F75" s="35">
        <f>IF($A75="","",월별집계!$Z75)</f>
        <v/>
      </c>
      <c r="G75" s="35">
        <f>IF($A75="","",월별집계!$Y75)</f>
        <v/>
      </c>
      <c r="H75" s="80">
        <f>IF($A75="","",IF(G75&lt;=0,IF(F75&gt;0,1,0),F75/G75-1))</f>
        <v/>
      </c>
      <c r="I75" s="35">
        <f>IF($A75="","",월별집계!$N75)</f>
        <v/>
      </c>
      <c r="J75" s="80">
        <f>IF($A75="","",IF(I75&lt;=0,IF(F75&gt;0,1,0),F75/I75-1))</f>
        <v/>
      </c>
      <c r="K75" s="35">
        <f>IF($A75="","",SUMIFS(월별집계!$C75:$Z75,월별집계!$C$5:$Z$5,"&gt;="&amp;설정!$C$22,월별집계!$C$5:$Z$5,"&lt;="&amp;설정!$C$20))</f>
        <v/>
      </c>
      <c r="L75" s="35">
        <f>IF($A75="","",SUMIFS(월별집계!$C75:$Z75,월별집계!$C$5:$Z$5,"&gt;="&amp;(설정!$C$22-3),월별집계!$C$5:$Z$5,"&lt;="&amp;(설정!$C$20-3)))</f>
        <v/>
      </c>
      <c r="M75" s="80">
        <f>IF($A75="","",IF(L75&lt;=0,IF(K75&gt;0,1,0),K75/L75-1))</f>
        <v/>
      </c>
      <c r="N75" s="40">
        <f>IF($A75="","",MAX(F75-G75,F75-I75))</f>
        <v/>
      </c>
      <c r="O75" s="62">
        <f>IF($A75="","",IFERROR((월별집계!$Z75-AVERAGE(월별집계!N75:Y75))/STDEV(월별집계!N75:Y75),0))</f>
        <v/>
      </c>
      <c r="P75" s="35">
        <f>IF($A75="","",SUMIFS(예산판_원본!$O$5:$O$5000,예산판_원본!$L$5:$L$5000,$E75,예산판_원본!$M$5:$M$5000,설정!$C$6))</f>
        <v/>
      </c>
      <c r="Q75" s="35">
        <f>IF($A75="","",SUMIFS(월별집계!$C75:$Z75,월별집계!$C$5:$Z$5,"&gt;="&amp;(설정!$C$6*12+1),월별집계!$C$5:$Z$5,"&lt;="&amp;설정!$C$20))</f>
        <v/>
      </c>
      <c r="R75" s="40">
        <f>IF($A75="","",P75-Q75)</f>
        <v/>
      </c>
      <c r="S75" s="35">
        <f>IF($A75="","",AVERAGE(월별집계!X75:Z75)*(12-설정!$C$7))</f>
        <v/>
      </c>
      <c r="T75" s="35">
        <f>IF($A75="","",IFERROR(Q75/(SUMIFS(월별집계!$C75:$Z75,월별집계!$C$5:$Z$5,"&gt;="&amp;((설정!$C$6-1)*12+1),월별집계!$C$5:$Z$5,"&lt;="&amp;(설정!$C$20-12))/SUMIFS(월별집계!$C75:$Z75,월별집계!$C$5:$Z$5,"&gt;="&amp;((설정!$C$6-1)*12+1),월별집계!$C$5:$Z$5,"&lt;="&amp;((설정!$C$6-1)*12+12)))-Q75,S75))</f>
        <v/>
      </c>
      <c r="U75" s="40">
        <f>IF($A75="","",Q75+MAX(S75,T75))</f>
        <v/>
      </c>
      <c r="V75" s="73">
        <f>IF($A75="","",IF(P75=0,0,U75/P75))</f>
        <v/>
      </c>
      <c r="W75" s="34">
        <f>IF($A75="","",IF(AND(P75=0,Q75&gt;0),"무예산",IF(P75=0,"-",IF(V75&gt;설정!$C$12,"부족 예상",IF(V75&gt;설정!$C$11,"주의","여유")))))</f>
        <v/>
      </c>
      <c r="X75" s="40">
        <f>IF($A75="","",IF(P75=0,0,MAX(0,U75-P75)))</f>
        <v/>
      </c>
      <c r="Y75" s="34">
        <f>IF($A75="","",IF(OR(W75&lt;&gt;"부족 예상",설정!$C$7=12),"",IF(R75&lt;=0,"이미 초과",MIN(12,설정!$C$7+ROUNDUP(R75/(MAX(S75,T75)/(12-설정!$C$7)),0))&amp;"월")))</f>
        <v/>
      </c>
      <c r="Z75" s="26">
        <f>IF($A75="","",TRIM(IF(AND(N(AC75)&gt;=설정!$C$14,N75&gt;=설정!$C$10),"단건"&amp;TEXT(MIN(AC75,1),"0%")&amp;" ","")&amp;IF(AND(N75&gt;0,AD75&gt;0),IF(AD75/N75&gt;=설정!$C$16,"SA대체 ",""),"")&amp;IF(AE75&gt;0,"역분개"&amp;AE75&amp;"건 ","")&amp;IF(O75&gt;=설정!$C$13,"이상치 ","")&amp;IF(AND(I75=0,F75&gt;0),"신규지출 ","")))</f>
        <v/>
      </c>
      <c r="AA75" s="62">
        <f>IF($A75="","",ROUND((AF75+AG75+AH75+AI75)*IF(AND(F75&lt;설정!$C$10,N75&lt;설정!$C$10),0.3,1),1))</f>
        <v/>
      </c>
      <c r="AB75" s="41">
        <f>IF($A75="","",AA75+ROW()/1000000)</f>
        <v/>
      </c>
      <c r="AC75" s="60">
        <f>IF(OR($A75="",N75&lt;=0),"",SUMPRODUCT(MAX((전표_원본!$O$5:$O$100000=$E75)*(전표_원본!$M$5:$M$100000=설정!$C$20)*전표_원본!$P$5:$P$100000))/N75)</f>
        <v/>
      </c>
      <c r="AD75" s="35">
        <f>IF($A75="","",SUMIFS(전표_원본!$P$5:$P$100000,전표_원본!$O$5:$O$100000,$E75,전표_원본!$M$5:$M$100000,설정!$C$20,전표_원본!$E$5:$E$100000,"SA")-SUMIFS(전표_원본!$P$5:$P$100000,전표_원본!$O$5:$O$100000,$E75,전표_원본!$M$5:$M$100000,설정!$C$20-1,전표_원본!$E$5:$E$100000,"SA"))</f>
        <v/>
      </c>
      <c r="AE75" s="81">
        <f>IF($A75="","",COUNTIFS(전표_원본!$O$5:$O$100000,$E75,전표_원본!$M$5:$M$100000,설정!$C$20,전표_원본!$P$5:$P$100000,"&lt;0"))</f>
        <v/>
      </c>
      <c r="AF75" s="62">
        <f>IF($A75="","",MIN(MAX(0,N75)/(설정!$C$10*5),1)*30)</f>
        <v/>
      </c>
      <c r="AG75" s="82">
        <f>IF($A75="","",MIN(MAX(0,H75,J75),1)*20)</f>
        <v/>
      </c>
      <c r="AH75" s="82">
        <f>IF($A75="","",MIN(MAX(0,O75)/3,1)*25)</f>
        <v/>
      </c>
      <c r="AI75" s="82">
        <f>IF($A75="","",IF(OR(W75="부족 예상",W75="무예산",AO75="한도 초과",AO75="초과 예상",AO75="무예산"),25,IF(OR(W75="주의",AO75="주의"),15,0)))</f>
        <v/>
      </c>
      <c r="AJ75" s="35">
        <f>IF($A75="","",SUMIFS(예산판_원본!$O$5:$O$5000,예산판_원본!$L$5:$L$5000,$E75,예산판_원본!$M$5:$M$5000,설정!$C$6,예산판_원본!$N$5:$N$5000,설정!$C$21))</f>
        <v/>
      </c>
      <c r="AK75" s="40">
        <f>IF($A75="","",K75)</f>
        <v/>
      </c>
      <c r="AL75" s="40">
        <f>IF($A75="","",AJ75-AK75)</f>
        <v/>
      </c>
      <c r="AM75" s="35">
        <f>IF($A75="","",AK75+AVERAGE(월별집계!X75:Z75)*MAX(0,설정!$C$22+2-설정!$C$20))</f>
        <v/>
      </c>
      <c r="AN75" s="73">
        <f>IF($A75="","",IF(AJ75=0,0,AM75/AJ75))</f>
        <v/>
      </c>
      <c r="AO75" s="34">
        <f>IF($A75="","",IF(AND(AJ75=0,AK75&gt;0),"무예산",IF(AJ75=0,"-",IF(AK75&gt;AJ75,"한도 초과",IF(AN75&gt;설정!$C$12,"초과 예상",IF(AN75&gt;설정!$C$11,"주의","여유"))))))</f>
        <v/>
      </c>
      <c r="AP75" s="35">
        <f>IF($A75="","",IF(설정!$C$19="최근월",(INDEX(월별집계!$AB75:$AM75,설정!$C$7)-INDEX(월별집계!$AB75:$AM75,MAX(1,설정!$C$7-1))*(설정!$C$7&gt;1)),IF(설정!$C$19="최근분기",((INDEX(월별집계!$AB75:$AM75,설정!$C$7)-INDEX(월별집계!$AB75:$AM75,MAX(1,설정!$C$7-3))*(설정!$C$7&gt;3))/MIN(3,설정!$C$7)),IF(설정!$C$19="전년추세",AZ75,((설정!$C$7+1)*SUMPRODUCT(월별집계!$AB$5:$AM$5,월별집계!$AB75:$AM75)-(설정!$C$7*(설정!$C$7+1)/2)*SUM(월별집계!$AB75:$AM75))/((설정!$C$7+1)*(설정!$C$7*(설정!$C$7+1)*(2*설정!$C$7+1)/6)-(설정!$C$7*(설정!$C$7+1)/2)^2)))))</f>
        <v/>
      </c>
      <c r="AQ75" s="35">
        <f>IF($A75="","",IF(설정!$C$19="연내누적",(SUM(월별집계!$AB75:$AM75)-AP75*(설정!$C$7*(설정!$C$7+1)/2))/(설정!$C$7+1),INDEX(월별집계!$AB75:$AM75,설정!$C$7)-AP75*설정!$C$7))</f>
        <v/>
      </c>
      <c r="AR75" s="40">
        <f>IF($A75="","",AQ75+AP75*12)</f>
        <v/>
      </c>
      <c r="AS75" s="82">
        <f>IF($A75="","",IF(OR(P75&lt;=0,Q75&gt;=P75,AP75&lt;=0),"",MAX(설정!$C$7,(P75-AQ75)/AP75)))</f>
        <v/>
      </c>
      <c r="AT75" s="22">
        <f>IF($A75="","",IF(AS75="",IF(AU75="이미 소진","소진됨",""),YEAR((DATE(설정!$C$6,1,1)+ROUND(AS75*365/12,0)-1))&amp;"-"&amp;TEXT(MONTH((DATE(설정!$C$6,1,1)+ROUND(AS75*365/12,0)-1)),"00")&amp;"-"&amp;TEXT(DAY((DATE(설정!$C$6,1,1)+ROUND(AS75*365/12,0)-1)),"00")))</f>
        <v/>
      </c>
      <c r="AU75" s="34">
        <f>IF($A75="","",IF(AND(P75&lt;=0,Q75&gt;0),"무예산",IF(P75&lt;=0,"-",IF(Q75&gt;=P75,"이미 소진",IF(AP75&lt;=0,"소진 안 됨",IF(AS75&lt;=12,"연내 고갈","연내 여유"))))))</f>
        <v/>
      </c>
      <c r="AV75" s="34">
        <f>IF($A75="","",IF(AJ75&lt;=0,"",IF(AK75&gt;=AJ75,"한도 소진",IF(AK75&lt;=0,"",IF(AJ75/(AK75/(설정!$C$20-설정!$C$22+1))&gt;3,"분기 내 여유",YEAR((DATE(설정!$C$6,설정!$C$22-설정!$C$6*12,1)+ROUND(MAX((설정!$C$20-설정!$C$22+1),AJ75/(AK75/(설정!$C$20-설정!$C$22+1)))*365/12,0)-1))&amp;"-"&amp;TEXT(MONTH((DATE(설정!$C$6,설정!$C$22-설정!$C$6*12,1)+ROUND(MAX((설정!$C$20-설정!$C$22+1),AJ75/(AK75/(설정!$C$20-설정!$C$22+1)))*365/12,0)-1)),"00")&amp;"-"&amp;TEXT(DAY((DATE(설정!$C$6,설정!$C$22-설정!$C$6*12,1)+ROUND(MAX((설정!$C$20-설정!$C$22+1),AJ75/(AK75/(설정!$C$20-설정!$C$22+1)))*365/12,0)-1)),"00"))))))</f>
        <v/>
      </c>
      <c r="AW75" s="41">
        <f>IF($A75="",999+ROW()/1000000,IF(AU75="이미 소진",ROW()/1000000,IF(AU75="연내 고갈",AS75+ROW()/1000000,99+ROW()/1000000)))</f>
        <v/>
      </c>
      <c r="AX75" s="35">
        <f>IF($A75="","",SUMIFS(월별집계!$C75:$Z75,월별집계!$C$5:$Z$5,"&gt;="&amp;((설정!$C$6-1)*12+1),월별집계!$C$5:$Z$5,"&lt;="&amp;(설정!$C$20-12)))</f>
        <v/>
      </c>
      <c r="AY75" s="80">
        <f>IF($A75="","",IF(AX75&lt;=0,IF(Q75&gt;0,1,0),Q75/AX75-1))</f>
        <v/>
      </c>
      <c r="AZ75" s="35">
        <f>IF($A75="","",SUMIFS(월별집계!$C75:$Z75,월별집계!$C$5:$Z$5,"&gt;"&amp;(설정!$C$20-12),월별집계!$C$5:$Z$5,"&lt;="&amp;((설정!$C$6-1)*12+12))/MAX(1,12-설정!$C$7))</f>
        <v/>
      </c>
    </row>
    <row r="76">
      <c r="A76" s="12" t="inlineStr">
        <is>
          <t>D950</t>
        </is>
      </c>
      <c r="B76" s="26">
        <f>IF($A76="","",IFERROR(INDEX(부서매핑!$D$5:$D$504,MATCH($A76,부서매핑!$C$5:$C$504,0)),"부서매핑 없음"))</f>
        <v/>
      </c>
      <c r="C76" s="79" t="inlineStr">
        <is>
          <t>62901000</t>
        </is>
      </c>
      <c r="D76" s="26">
        <f>IF($A76="","",IFERROR(INDEX(계정매핑!$B$5:$B$504,MATCH($C76&amp;"",계정매핑!$A$5:$A$504,0)),"계정매핑 없음"))</f>
        <v/>
      </c>
      <c r="E76" s="22">
        <f>IF($A76="","",$A76&amp;"|"&amp;$C76)</f>
        <v/>
      </c>
      <c r="F76" s="35">
        <f>IF($A76="","",월별집계!$Z76)</f>
        <v/>
      </c>
      <c r="G76" s="35">
        <f>IF($A76="","",월별집계!$Y76)</f>
        <v/>
      </c>
      <c r="H76" s="80">
        <f>IF($A76="","",IF(G76&lt;=0,IF(F76&gt;0,1,0),F76/G76-1))</f>
        <v/>
      </c>
      <c r="I76" s="35">
        <f>IF($A76="","",월별집계!$N76)</f>
        <v/>
      </c>
      <c r="J76" s="80">
        <f>IF($A76="","",IF(I76&lt;=0,IF(F76&gt;0,1,0),F76/I76-1))</f>
        <v/>
      </c>
      <c r="K76" s="35">
        <f>IF($A76="","",SUMIFS(월별집계!$C76:$Z76,월별집계!$C$5:$Z$5,"&gt;="&amp;설정!$C$22,월별집계!$C$5:$Z$5,"&lt;="&amp;설정!$C$20))</f>
        <v/>
      </c>
      <c r="L76" s="35">
        <f>IF($A76="","",SUMIFS(월별집계!$C76:$Z76,월별집계!$C$5:$Z$5,"&gt;="&amp;(설정!$C$22-3),월별집계!$C$5:$Z$5,"&lt;="&amp;(설정!$C$20-3)))</f>
        <v/>
      </c>
      <c r="M76" s="80">
        <f>IF($A76="","",IF(L76&lt;=0,IF(K76&gt;0,1,0),K76/L76-1))</f>
        <v/>
      </c>
      <c r="N76" s="40">
        <f>IF($A76="","",MAX(F76-G76,F76-I76))</f>
        <v/>
      </c>
      <c r="O76" s="62">
        <f>IF($A76="","",IFERROR((월별집계!$Z76-AVERAGE(월별집계!N76:Y76))/STDEV(월별집계!N76:Y76),0))</f>
        <v/>
      </c>
      <c r="P76" s="35">
        <f>IF($A76="","",SUMIFS(예산판_원본!$O$5:$O$5000,예산판_원본!$L$5:$L$5000,$E76,예산판_원본!$M$5:$M$5000,설정!$C$6))</f>
        <v/>
      </c>
      <c r="Q76" s="35">
        <f>IF($A76="","",SUMIFS(월별집계!$C76:$Z76,월별집계!$C$5:$Z$5,"&gt;="&amp;(설정!$C$6*12+1),월별집계!$C$5:$Z$5,"&lt;="&amp;설정!$C$20))</f>
        <v/>
      </c>
      <c r="R76" s="40">
        <f>IF($A76="","",P76-Q76)</f>
        <v/>
      </c>
      <c r="S76" s="35">
        <f>IF($A76="","",AVERAGE(월별집계!X76:Z76)*(12-설정!$C$7))</f>
        <v/>
      </c>
      <c r="T76" s="35">
        <f>IF($A76="","",IFERROR(Q76/(SUMIFS(월별집계!$C76:$Z76,월별집계!$C$5:$Z$5,"&gt;="&amp;((설정!$C$6-1)*12+1),월별집계!$C$5:$Z$5,"&lt;="&amp;(설정!$C$20-12))/SUMIFS(월별집계!$C76:$Z76,월별집계!$C$5:$Z$5,"&gt;="&amp;((설정!$C$6-1)*12+1),월별집계!$C$5:$Z$5,"&lt;="&amp;((설정!$C$6-1)*12+12)))-Q76,S76))</f>
        <v/>
      </c>
      <c r="U76" s="40">
        <f>IF($A76="","",Q76+MAX(S76,T76))</f>
        <v/>
      </c>
      <c r="V76" s="73">
        <f>IF($A76="","",IF(P76=0,0,U76/P76))</f>
        <v/>
      </c>
      <c r="W76" s="34">
        <f>IF($A76="","",IF(AND(P76=0,Q76&gt;0),"무예산",IF(P76=0,"-",IF(V76&gt;설정!$C$12,"부족 예상",IF(V76&gt;설정!$C$11,"주의","여유")))))</f>
        <v/>
      </c>
      <c r="X76" s="40">
        <f>IF($A76="","",IF(P76=0,0,MAX(0,U76-P76)))</f>
        <v/>
      </c>
      <c r="Y76" s="34">
        <f>IF($A76="","",IF(OR(W76&lt;&gt;"부족 예상",설정!$C$7=12),"",IF(R76&lt;=0,"이미 초과",MIN(12,설정!$C$7+ROUNDUP(R76/(MAX(S76,T76)/(12-설정!$C$7)),0))&amp;"월")))</f>
        <v/>
      </c>
      <c r="Z76" s="26">
        <f>IF($A76="","",TRIM(IF(AND(N(AC76)&gt;=설정!$C$14,N76&gt;=설정!$C$10),"단건"&amp;TEXT(MIN(AC76,1),"0%")&amp;" ","")&amp;IF(AND(N76&gt;0,AD76&gt;0),IF(AD76/N76&gt;=설정!$C$16,"SA대체 ",""),"")&amp;IF(AE76&gt;0,"역분개"&amp;AE76&amp;"건 ","")&amp;IF(O76&gt;=설정!$C$13,"이상치 ","")&amp;IF(AND(I76=0,F76&gt;0),"신규지출 ","")))</f>
        <v/>
      </c>
      <c r="AA76" s="62">
        <f>IF($A76="","",ROUND((AF76+AG76+AH76+AI76)*IF(AND(F76&lt;설정!$C$10,N76&lt;설정!$C$10),0.3,1),1))</f>
        <v/>
      </c>
      <c r="AB76" s="41">
        <f>IF($A76="","",AA76+ROW()/1000000)</f>
        <v/>
      </c>
      <c r="AC76" s="60">
        <f>IF(OR($A76="",N76&lt;=0),"",SUMPRODUCT(MAX((전표_원본!$O$5:$O$100000=$E76)*(전표_원본!$M$5:$M$100000=설정!$C$20)*전표_원본!$P$5:$P$100000))/N76)</f>
        <v/>
      </c>
      <c r="AD76" s="35">
        <f>IF($A76="","",SUMIFS(전표_원본!$P$5:$P$100000,전표_원본!$O$5:$O$100000,$E76,전표_원본!$M$5:$M$100000,설정!$C$20,전표_원본!$E$5:$E$100000,"SA")-SUMIFS(전표_원본!$P$5:$P$100000,전표_원본!$O$5:$O$100000,$E76,전표_원본!$M$5:$M$100000,설정!$C$20-1,전표_원본!$E$5:$E$100000,"SA"))</f>
        <v/>
      </c>
      <c r="AE76" s="81">
        <f>IF($A76="","",COUNTIFS(전표_원본!$O$5:$O$100000,$E76,전표_원본!$M$5:$M$100000,설정!$C$20,전표_원본!$P$5:$P$100000,"&lt;0"))</f>
        <v/>
      </c>
      <c r="AF76" s="62">
        <f>IF($A76="","",MIN(MAX(0,N76)/(설정!$C$10*5),1)*30)</f>
        <v/>
      </c>
      <c r="AG76" s="82">
        <f>IF($A76="","",MIN(MAX(0,H76,J76),1)*20)</f>
        <v/>
      </c>
      <c r="AH76" s="82">
        <f>IF($A76="","",MIN(MAX(0,O76)/3,1)*25)</f>
        <v/>
      </c>
      <c r="AI76" s="82">
        <f>IF($A76="","",IF(OR(W76="부족 예상",W76="무예산",AO76="한도 초과",AO76="초과 예상",AO76="무예산"),25,IF(OR(W76="주의",AO76="주의"),15,0)))</f>
        <v/>
      </c>
      <c r="AJ76" s="35">
        <f>IF($A76="","",SUMIFS(예산판_원본!$O$5:$O$5000,예산판_원본!$L$5:$L$5000,$E76,예산판_원본!$M$5:$M$5000,설정!$C$6,예산판_원본!$N$5:$N$5000,설정!$C$21))</f>
        <v/>
      </c>
      <c r="AK76" s="40">
        <f>IF($A76="","",K76)</f>
        <v/>
      </c>
      <c r="AL76" s="40">
        <f>IF($A76="","",AJ76-AK76)</f>
        <v/>
      </c>
      <c r="AM76" s="35">
        <f>IF($A76="","",AK76+AVERAGE(월별집계!X76:Z76)*MAX(0,설정!$C$22+2-설정!$C$20))</f>
        <v/>
      </c>
      <c r="AN76" s="73">
        <f>IF($A76="","",IF(AJ76=0,0,AM76/AJ76))</f>
        <v/>
      </c>
      <c r="AO76" s="34">
        <f>IF($A76="","",IF(AND(AJ76=0,AK76&gt;0),"무예산",IF(AJ76=0,"-",IF(AK76&gt;AJ76,"한도 초과",IF(AN76&gt;설정!$C$12,"초과 예상",IF(AN76&gt;설정!$C$11,"주의","여유"))))))</f>
        <v/>
      </c>
      <c r="AP76" s="35">
        <f>IF($A76="","",IF(설정!$C$19="최근월",(INDEX(월별집계!$AB76:$AM76,설정!$C$7)-INDEX(월별집계!$AB76:$AM76,MAX(1,설정!$C$7-1))*(설정!$C$7&gt;1)),IF(설정!$C$19="최근분기",((INDEX(월별집계!$AB76:$AM76,설정!$C$7)-INDEX(월별집계!$AB76:$AM76,MAX(1,설정!$C$7-3))*(설정!$C$7&gt;3))/MIN(3,설정!$C$7)),IF(설정!$C$19="전년추세",AZ76,((설정!$C$7+1)*SUMPRODUCT(월별집계!$AB$5:$AM$5,월별집계!$AB76:$AM76)-(설정!$C$7*(설정!$C$7+1)/2)*SUM(월별집계!$AB76:$AM76))/((설정!$C$7+1)*(설정!$C$7*(설정!$C$7+1)*(2*설정!$C$7+1)/6)-(설정!$C$7*(설정!$C$7+1)/2)^2)))))</f>
        <v/>
      </c>
      <c r="AQ76" s="35">
        <f>IF($A76="","",IF(설정!$C$19="연내누적",(SUM(월별집계!$AB76:$AM76)-AP76*(설정!$C$7*(설정!$C$7+1)/2))/(설정!$C$7+1),INDEX(월별집계!$AB76:$AM76,설정!$C$7)-AP76*설정!$C$7))</f>
        <v/>
      </c>
      <c r="AR76" s="40">
        <f>IF($A76="","",AQ76+AP76*12)</f>
        <v/>
      </c>
      <c r="AS76" s="82">
        <f>IF($A76="","",IF(OR(P76&lt;=0,Q76&gt;=P76,AP76&lt;=0),"",MAX(설정!$C$7,(P76-AQ76)/AP76)))</f>
        <v/>
      </c>
      <c r="AT76" s="22">
        <f>IF($A76="","",IF(AS76="",IF(AU76="이미 소진","소진됨",""),YEAR((DATE(설정!$C$6,1,1)+ROUND(AS76*365/12,0)-1))&amp;"-"&amp;TEXT(MONTH((DATE(설정!$C$6,1,1)+ROUND(AS76*365/12,0)-1)),"00")&amp;"-"&amp;TEXT(DAY((DATE(설정!$C$6,1,1)+ROUND(AS76*365/12,0)-1)),"00")))</f>
        <v/>
      </c>
      <c r="AU76" s="34">
        <f>IF($A76="","",IF(AND(P76&lt;=0,Q76&gt;0),"무예산",IF(P76&lt;=0,"-",IF(Q76&gt;=P76,"이미 소진",IF(AP76&lt;=0,"소진 안 됨",IF(AS76&lt;=12,"연내 고갈","연내 여유"))))))</f>
        <v/>
      </c>
      <c r="AV76" s="34">
        <f>IF($A76="","",IF(AJ76&lt;=0,"",IF(AK76&gt;=AJ76,"한도 소진",IF(AK76&lt;=0,"",IF(AJ76/(AK76/(설정!$C$20-설정!$C$22+1))&gt;3,"분기 내 여유",YEAR((DATE(설정!$C$6,설정!$C$22-설정!$C$6*12,1)+ROUND(MAX((설정!$C$20-설정!$C$22+1),AJ76/(AK76/(설정!$C$20-설정!$C$22+1)))*365/12,0)-1))&amp;"-"&amp;TEXT(MONTH((DATE(설정!$C$6,설정!$C$22-설정!$C$6*12,1)+ROUND(MAX((설정!$C$20-설정!$C$22+1),AJ76/(AK76/(설정!$C$20-설정!$C$22+1)))*365/12,0)-1)),"00")&amp;"-"&amp;TEXT(DAY((DATE(설정!$C$6,설정!$C$22-설정!$C$6*12,1)+ROUND(MAX((설정!$C$20-설정!$C$22+1),AJ76/(AK76/(설정!$C$20-설정!$C$22+1)))*365/12,0)-1)),"00"))))))</f>
        <v/>
      </c>
      <c r="AW76" s="41">
        <f>IF($A76="",999+ROW()/1000000,IF(AU76="이미 소진",ROW()/1000000,IF(AU76="연내 고갈",AS76+ROW()/1000000,99+ROW()/1000000)))</f>
        <v/>
      </c>
      <c r="AX76" s="35">
        <f>IF($A76="","",SUMIFS(월별집계!$C76:$Z76,월별집계!$C$5:$Z$5,"&gt;="&amp;((설정!$C$6-1)*12+1),월별집계!$C$5:$Z$5,"&lt;="&amp;(설정!$C$20-12)))</f>
        <v/>
      </c>
      <c r="AY76" s="80">
        <f>IF($A76="","",IF(AX76&lt;=0,IF(Q76&gt;0,1,0),Q76/AX76-1))</f>
        <v/>
      </c>
      <c r="AZ76" s="35">
        <f>IF($A76="","",SUMIFS(월별집계!$C76:$Z76,월별집계!$C$5:$Z$5,"&gt;"&amp;(설정!$C$20-12),월별집계!$C$5:$Z$5,"&lt;="&amp;((설정!$C$6-1)*12+12))/MAX(1,12-설정!$C$7))</f>
        <v/>
      </c>
    </row>
    <row r="77">
      <c r="A77" s="12" t="inlineStr">
        <is>
          <t>D950</t>
        </is>
      </c>
      <c r="B77" s="26">
        <f>IF($A77="","",IFERROR(INDEX(부서매핑!$D$5:$D$504,MATCH($A77,부서매핑!$C$5:$C$504,0)),"부서매핑 없음"))</f>
        <v/>
      </c>
      <c r="C77" s="79" t="inlineStr">
        <is>
          <t>62902000</t>
        </is>
      </c>
      <c r="D77" s="26">
        <f>IF($A77="","",IFERROR(INDEX(계정매핑!$B$5:$B$504,MATCH($C77&amp;"",계정매핑!$A$5:$A$504,0)),"계정매핑 없음"))</f>
        <v/>
      </c>
      <c r="E77" s="22">
        <f>IF($A77="","",$A77&amp;"|"&amp;$C77)</f>
        <v/>
      </c>
      <c r="F77" s="35">
        <f>IF($A77="","",월별집계!$Z77)</f>
        <v/>
      </c>
      <c r="G77" s="35">
        <f>IF($A77="","",월별집계!$Y77)</f>
        <v/>
      </c>
      <c r="H77" s="80">
        <f>IF($A77="","",IF(G77&lt;=0,IF(F77&gt;0,1,0),F77/G77-1))</f>
        <v/>
      </c>
      <c r="I77" s="35">
        <f>IF($A77="","",월별집계!$N77)</f>
        <v/>
      </c>
      <c r="J77" s="80">
        <f>IF($A77="","",IF(I77&lt;=0,IF(F77&gt;0,1,0),F77/I77-1))</f>
        <v/>
      </c>
      <c r="K77" s="35">
        <f>IF($A77="","",SUMIFS(월별집계!$C77:$Z77,월별집계!$C$5:$Z$5,"&gt;="&amp;설정!$C$22,월별집계!$C$5:$Z$5,"&lt;="&amp;설정!$C$20))</f>
        <v/>
      </c>
      <c r="L77" s="35">
        <f>IF($A77="","",SUMIFS(월별집계!$C77:$Z77,월별집계!$C$5:$Z$5,"&gt;="&amp;(설정!$C$22-3),월별집계!$C$5:$Z$5,"&lt;="&amp;(설정!$C$20-3)))</f>
        <v/>
      </c>
      <c r="M77" s="80">
        <f>IF($A77="","",IF(L77&lt;=0,IF(K77&gt;0,1,0),K77/L77-1))</f>
        <v/>
      </c>
      <c r="N77" s="40">
        <f>IF($A77="","",MAX(F77-G77,F77-I77))</f>
        <v/>
      </c>
      <c r="O77" s="62">
        <f>IF($A77="","",IFERROR((월별집계!$Z77-AVERAGE(월별집계!N77:Y77))/STDEV(월별집계!N77:Y77),0))</f>
        <v/>
      </c>
      <c r="P77" s="35">
        <f>IF($A77="","",SUMIFS(예산판_원본!$O$5:$O$5000,예산판_원본!$L$5:$L$5000,$E77,예산판_원본!$M$5:$M$5000,설정!$C$6))</f>
        <v/>
      </c>
      <c r="Q77" s="35">
        <f>IF($A77="","",SUMIFS(월별집계!$C77:$Z77,월별집계!$C$5:$Z$5,"&gt;="&amp;(설정!$C$6*12+1),월별집계!$C$5:$Z$5,"&lt;="&amp;설정!$C$20))</f>
        <v/>
      </c>
      <c r="R77" s="40">
        <f>IF($A77="","",P77-Q77)</f>
        <v/>
      </c>
      <c r="S77" s="35">
        <f>IF($A77="","",AVERAGE(월별집계!X77:Z77)*(12-설정!$C$7))</f>
        <v/>
      </c>
      <c r="T77" s="35">
        <f>IF($A77="","",IFERROR(Q77/(SUMIFS(월별집계!$C77:$Z77,월별집계!$C$5:$Z$5,"&gt;="&amp;((설정!$C$6-1)*12+1),월별집계!$C$5:$Z$5,"&lt;="&amp;(설정!$C$20-12))/SUMIFS(월별집계!$C77:$Z77,월별집계!$C$5:$Z$5,"&gt;="&amp;((설정!$C$6-1)*12+1),월별집계!$C$5:$Z$5,"&lt;="&amp;((설정!$C$6-1)*12+12)))-Q77,S77))</f>
        <v/>
      </c>
      <c r="U77" s="40">
        <f>IF($A77="","",Q77+MAX(S77,T77))</f>
        <v/>
      </c>
      <c r="V77" s="73">
        <f>IF($A77="","",IF(P77=0,0,U77/P77))</f>
        <v/>
      </c>
      <c r="W77" s="34">
        <f>IF($A77="","",IF(AND(P77=0,Q77&gt;0),"무예산",IF(P77=0,"-",IF(V77&gt;설정!$C$12,"부족 예상",IF(V77&gt;설정!$C$11,"주의","여유")))))</f>
        <v/>
      </c>
      <c r="X77" s="40">
        <f>IF($A77="","",IF(P77=0,0,MAX(0,U77-P77)))</f>
        <v/>
      </c>
      <c r="Y77" s="34">
        <f>IF($A77="","",IF(OR(W77&lt;&gt;"부족 예상",설정!$C$7=12),"",IF(R77&lt;=0,"이미 초과",MIN(12,설정!$C$7+ROUNDUP(R77/(MAX(S77,T77)/(12-설정!$C$7)),0))&amp;"월")))</f>
        <v/>
      </c>
      <c r="Z77" s="26">
        <f>IF($A77="","",TRIM(IF(AND(N(AC77)&gt;=설정!$C$14,N77&gt;=설정!$C$10),"단건"&amp;TEXT(MIN(AC77,1),"0%")&amp;" ","")&amp;IF(AND(N77&gt;0,AD77&gt;0),IF(AD77/N77&gt;=설정!$C$16,"SA대체 ",""),"")&amp;IF(AE77&gt;0,"역분개"&amp;AE77&amp;"건 ","")&amp;IF(O77&gt;=설정!$C$13,"이상치 ","")&amp;IF(AND(I77=0,F77&gt;0),"신규지출 ","")))</f>
        <v/>
      </c>
      <c r="AA77" s="62">
        <f>IF($A77="","",ROUND((AF77+AG77+AH77+AI77)*IF(AND(F77&lt;설정!$C$10,N77&lt;설정!$C$10),0.3,1),1))</f>
        <v/>
      </c>
      <c r="AB77" s="41">
        <f>IF($A77="","",AA77+ROW()/1000000)</f>
        <v/>
      </c>
      <c r="AC77" s="60">
        <f>IF(OR($A77="",N77&lt;=0),"",SUMPRODUCT(MAX((전표_원본!$O$5:$O$100000=$E77)*(전표_원본!$M$5:$M$100000=설정!$C$20)*전표_원본!$P$5:$P$100000))/N77)</f>
        <v/>
      </c>
      <c r="AD77" s="35">
        <f>IF($A77="","",SUMIFS(전표_원본!$P$5:$P$100000,전표_원본!$O$5:$O$100000,$E77,전표_원본!$M$5:$M$100000,설정!$C$20,전표_원본!$E$5:$E$100000,"SA")-SUMIFS(전표_원본!$P$5:$P$100000,전표_원본!$O$5:$O$100000,$E77,전표_원본!$M$5:$M$100000,설정!$C$20-1,전표_원본!$E$5:$E$100000,"SA"))</f>
        <v/>
      </c>
      <c r="AE77" s="81">
        <f>IF($A77="","",COUNTIFS(전표_원본!$O$5:$O$100000,$E77,전표_원본!$M$5:$M$100000,설정!$C$20,전표_원본!$P$5:$P$100000,"&lt;0"))</f>
        <v/>
      </c>
      <c r="AF77" s="62">
        <f>IF($A77="","",MIN(MAX(0,N77)/(설정!$C$10*5),1)*30)</f>
        <v/>
      </c>
      <c r="AG77" s="82">
        <f>IF($A77="","",MIN(MAX(0,H77,J77),1)*20)</f>
        <v/>
      </c>
      <c r="AH77" s="82">
        <f>IF($A77="","",MIN(MAX(0,O77)/3,1)*25)</f>
        <v/>
      </c>
      <c r="AI77" s="82">
        <f>IF($A77="","",IF(OR(W77="부족 예상",W77="무예산",AO77="한도 초과",AO77="초과 예상",AO77="무예산"),25,IF(OR(W77="주의",AO77="주의"),15,0)))</f>
        <v/>
      </c>
      <c r="AJ77" s="35">
        <f>IF($A77="","",SUMIFS(예산판_원본!$O$5:$O$5000,예산판_원본!$L$5:$L$5000,$E77,예산판_원본!$M$5:$M$5000,설정!$C$6,예산판_원본!$N$5:$N$5000,설정!$C$21))</f>
        <v/>
      </c>
      <c r="AK77" s="40">
        <f>IF($A77="","",K77)</f>
        <v/>
      </c>
      <c r="AL77" s="40">
        <f>IF($A77="","",AJ77-AK77)</f>
        <v/>
      </c>
      <c r="AM77" s="35">
        <f>IF($A77="","",AK77+AVERAGE(월별집계!X77:Z77)*MAX(0,설정!$C$22+2-설정!$C$20))</f>
        <v/>
      </c>
      <c r="AN77" s="73">
        <f>IF($A77="","",IF(AJ77=0,0,AM77/AJ77))</f>
        <v/>
      </c>
      <c r="AO77" s="34">
        <f>IF($A77="","",IF(AND(AJ77=0,AK77&gt;0),"무예산",IF(AJ77=0,"-",IF(AK77&gt;AJ77,"한도 초과",IF(AN77&gt;설정!$C$12,"초과 예상",IF(AN77&gt;설정!$C$11,"주의","여유"))))))</f>
        <v/>
      </c>
      <c r="AP77" s="35">
        <f>IF($A77="","",IF(설정!$C$19="최근월",(INDEX(월별집계!$AB77:$AM77,설정!$C$7)-INDEX(월별집계!$AB77:$AM77,MAX(1,설정!$C$7-1))*(설정!$C$7&gt;1)),IF(설정!$C$19="최근분기",((INDEX(월별집계!$AB77:$AM77,설정!$C$7)-INDEX(월별집계!$AB77:$AM77,MAX(1,설정!$C$7-3))*(설정!$C$7&gt;3))/MIN(3,설정!$C$7)),IF(설정!$C$19="전년추세",AZ77,((설정!$C$7+1)*SUMPRODUCT(월별집계!$AB$5:$AM$5,월별집계!$AB77:$AM77)-(설정!$C$7*(설정!$C$7+1)/2)*SUM(월별집계!$AB77:$AM77))/((설정!$C$7+1)*(설정!$C$7*(설정!$C$7+1)*(2*설정!$C$7+1)/6)-(설정!$C$7*(설정!$C$7+1)/2)^2)))))</f>
        <v/>
      </c>
      <c r="AQ77" s="35">
        <f>IF($A77="","",IF(설정!$C$19="연내누적",(SUM(월별집계!$AB77:$AM77)-AP77*(설정!$C$7*(설정!$C$7+1)/2))/(설정!$C$7+1),INDEX(월별집계!$AB77:$AM77,설정!$C$7)-AP77*설정!$C$7))</f>
        <v/>
      </c>
      <c r="AR77" s="40">
        <f>IF($A77="","",AQ77+AP77*12)</f>
        <v/>
      </c>
      <c r="AS77" s="82">
        <f>IF($A77="","",IF(OR(P77&lt;=0,Q77&gt;=P77,AP77&lt;=0),"",MAX(설정!$C$7,(P77-AQ77)/AP77)))</f>
        <v/>
      </c>
      <c r="AT77" s="22">
        <f>IF($A77="","",IF(AS77="",IF(AU77="이미 소진","소진됨",""),YEAR((DATE(설정!$C$6,1,1)+ROUND(AS77*365/12,0)-1))&amp;"-"&amp;TEXT(MONTH((DATE(설정!$C$6,1,1)+ROUND(AS77*365/12,0)-1)),"00")&amp;"-"&amp;TEXT(DAY((DATE(설정!$C$6,1,1)+ROUND(AS77*365/12,0)-1)),"00")))</f>
        <v/>
      </c>
      <c r="AU77" s="34">
        <f>IF($A77="","",IF(AND(P77&lt;=0,Q77&gt;0),"무예산",IF(P77&lt;=0,"-",IF(Q77&gt;=P77,"이미 소진",IF(AP77&lt;=0,"소진 안 됨",IF(AS77&lt;=12,"연내 고갈","연내 여유"))))))</f>
        <v/>
      </c>
      <c r="AV77" s="34">
        <f>IF($A77="","",IF(AJ77&lt;=0,"",IF(AK77&gt;=AJ77,"한도 소진",IF(AK77&lt;=0,"",IF(AJ77/(AK77/(설정!$C$20-설정!$C$22+1))&gt;3,"분기 내 여유",YEAR((DATE(설정!$C$6,설정!$C$22-설정!$C$6*12,1)+ROUND(MAX((설정!$C$20-설정!$C$22+1),AJ77/(AK77/(설정!$C$20-설정!$C$22+1)))*365/12,0)-1))&amp;"-"&amp;TEXT(MONTH((DATE(설정!$C$6,설정!$C$22-설정!$C$6*12,1)+ROUND(MAX((설정!$C$20-설정!$C$22+1),AJ77/(AK77/(설정!$C$20-설정!$C$22+1)))*365/12,0)-1)),"00")&amp;"-"&amp;TEXT(DAY((DATE(설정!$C$6,설정!$C$22-설정!$C$6*12,1)+ROUND(MAX((설정!$C$20-설정!$C$22+1),AJ77/(AK77/(설정!$C$20-설정!$C$22+1)))*365/12,0)-1)),"00"))))))</f>
        <v/>
      </c>
      <c r="AW77" s="41">
        <f>IF($A77="",999+ROW()/1000000,IF(AU77="이미 소진",ROW()/1000000,IF(AU77="연내 고갈",AS77+ROW()/1000000,99+ROW()/1000000)))</f>
        <v/>
      </c>
      <c r="AX77" s="35">
        <f>IF($A77="","",SUMIFS(월별집계!$C77:$Z77,월별집계!$C$5:$Z$5,"&gt;="&amp;((설정!$C$6-1)*12+1),월별집계!$C$5:$Z$5,"&lt;="&amp;(설정!$C$20-12)))</f>
        <v/>
      </c>
      <c r="AY77" s="80">
        <f>IF($A77="","",IF(AX77&lt;=0,IF(Q77&gt;0,1,0),Q77/AX77-1))</f>
        <v/>
      </c>
      <c r="AZ77" s="35">
        <f>IF($A77="","",SUMIFS(월별집계!$C77:$Z77,월별집계!$C$5:$Z$5,"&gt;"&amp;(설정!$C$20-12),월별집계!$C$5:$Z$5,"&lt;="&amp;((설정!$C$6-1)*12+12))/MAX(1,12-설정!$C$7))</f>
        <v/>
      </c>
    </row>
    <row r="78">
      <c r="A78" s="12" t="inlineStr">
        <is>
          <t>D950</t>
        </is>
      </c>
      <c r="B78" s="26">
        <f>IF($A78="","",IFERROR(INDEX(부서매핑!$D$5:$D$504,MATCH($A78,부서매핑!$C$5:$C$504,0)),"부서매핑 없음"))</f>
        <v/>
      </c>
      <c r="C78" s="79" t="inlineStr">
        <is>
          <t>63001000</t>
        </is>
      </c>
      <c r="D78" s="26">
        <f>IF($A78="","",IFERROR(INDEX(계정매핑!$B$5:$B$504,MATCH($C78&amp;"",계정매핑!$A$5:$A$504,0)),"계정매핑 없음"))</f>
        <v/>
      </c>
      <c r="E78" s="22">
        <f>IF($A78="","",$A78&amp;"|"&amp;$C78)</f>
        <v/>
      </c>
      <c r="F78" s="35">
        <f>IF($A78="","",월별집계!$Z78)</f>
        <v/>
      </c>
      <c r="G78" s="35">
        <f>IF($A78="","",월별집계!$Y78)</f>
        <v/>
      </c>
      <c r="H78" s="80">
        <f>IF($A78="","",IF(G78&lt;=0,IF(F78&gt;0,1,0),F78/G78-1))</f>
        <v/>
      </c>
      <c r="I78" s="35">
        <f>IF($A78="","",월별집계!$N78)</f>
        <v/>
      </c>
      <c r="J78" s="80">
        <f>IF($A78="","",IF(I78&lt;=0,IF(F78&gt;0,1,0),F78/I78-1))</f>
        <v/>
      </c>
      <c r="K78" s="35">
        <f>IF($A78="","",SUMIFS(월별집계!$C78:$Z78,월별집계!$C$5:$Z$5,"&gt;="&amp;설정!$C$22,월별집계!$C$5:$Z$5,"&lt;="&amp;설정!$C$20))</f>
        <v/>
      </c>
      <c r="L78" s="35">
        <f>IF($A78="","",SUMIFS(월별집계!$C78:$Z78,월별집계!$C$5:$Z$5,"&gt;="&amp;(설정!$C$22-3),월별집계!$C$5:$Z$5,"&lt;="&amp;(설정!$C$20-3)))</f>
        <v/>
      </c>
      <c r="M78" s="80">
        <f>IF($A78="","",IF(L78&lt;=0,IF(K78&gt;0,1,0),K78/L78-1))</f>
        <v/>
      </c>
      <c r="N78" s="40">
        <f>IF($A78="","",MAX(F78-G78,F78-I78))</f>
        <v/>
      </c>
      <c r="O78" s="62">
        <f>IF($A78="","",IFERROR((월별집계!$Z78-AVERAGE(월별집계!N78:Y78))/STDEV(월별집계!N78:Y78),0))</f>
        <v/>
      </c>
      <c r="P78" s="35">
        <f>IF($A78="","",SUMIFS(예산판_원본!$O$5:$O$5000,예산판_원본!$L$5:$L$5000,$E78,예산판_원본!$M$5:$M$5000,설정!$C$6))</f>
        <v/>
      </c>
      <c r="Q78" s="35">
        <f>IF($A78="","",SUMIFS(월별집계!$C78:$Z78,월별집계!$C$5:$Z$5,"&gt;="&amp;(설정!$C$6*12+1),월별집계!$C$5:$Z$5,"&lt;="&amp;설정!$C$20))</f>
        <v/>
      </c>
      <c r="R78" s="40">
        <f>IF($A78="","",P78-Q78)</f>
        <v/>
      </c>
      <c r="S78" s="35">
        <f>IF($A78="","",AVERAGE(월별집계!X78:Z78)*(12-설정!$C$7))</f>
        <v/>
      </c>
      <c r="T78" s="35">
        <f>IF($A78="","",IFERROR(Q78/(SUMIFS(월별집계!$C78:$Z78,월별집계!$C$5:$Z$5,"&gt;="&amp;((설정!$C$6-1)*12+1),월별집계!$C$5:$Z$5,"&lt;="&amp;(설정!$C$20-12))/SUMIFS(월별집계!$C78:$Z78,월별집계!$C$5:$Z$5,"&gt;="&amp;((설정!$C$6-1)*12+1),월별집계!$C$5:$Z$5,"&lt;="&amp;((설정!$C$6-1)*12+12)))-Q78,S78))</f>
        <v/>
      </c>
      <c r="U78" s="40">
        <f>IF($A78="","",Q78+MAX(S78,T78))</f>
        <v/>
      </c>
      <c r="V78" s="73">
        <f>IF($A78="","",IF(P78=0,0,U78/P78))</f>
        <v/>
      </c>
      <c r="W78" s="34">
        <f>IF($A78="","",IF(AND(P78=0,Q78&gt;0),"무예산",IF(P78=0,"-",IF(V78&gt;설정!$C$12,"부족 예상",IF(V78&gt;설정!$C$11,"주의","여유")))))</f>
        <v/>
      </c>
      <c r="X78" s="40">
        <f>IF($A78="","",IF(P78=0,0,MAX(0,U78-P78)))</f>
        <v/>
      </c>
      <c r="Y78" s="34">
        <f>IF($A78="","",IF(OR(W78&lt;&gt;"부족 예상",설정!$C$7=12),"",IF(R78&lt;=0,"이미 초과",MIN(12,설정!$C$7+ROUNDUP(R78/(MAX(S78,T78)/(12-설정!$C$7)),0))&amp;"월")))</f>
        <v/>
      </c>
      <c r="Z78" s="26">
        <f>IF($A78="","",TRIM(IF(AND(N(AC78)&gt;=설정!$C$14,N78&gt;=설정!$C$10),"단건"&amp;TEXT(MIN(AC78,1),"0%")&amp;" ","")&amp;IF(AND(N78&gt;0,AD78&gt;0),IF(AD78/N78&gt;=설정!$C$16,"SA대체 ",""),"")&amp;IF(AE78&gt;0,"역분개"&amp;AE78&amp;"건 ","")&amp;IF(O78&gt;=설정!$C$13,"이상치 ","")&amp;IF(AND(I78=0,F78&gt;0),"신규지출 ","")))</f>
        <v/>
      </c>
      <c r="AA78" s="62">
        <f>IF($A78="","",ROUND((AF78+AG78+AH78+AI78)*IF(AND(F78&lt;설정!$C$10,N78&lt;설정!$C$10),0.3,1),1))</f>
        <v/>
      </c>
      <c r="AB78" s="41">
        <f>IF($A78="","",AA78+ROW()/1000000)</f>
        <v/>
      </c>
      <c r="AC78" s="60">
        <f>IF(OR($A78="",N78&lt;=0),"",SUMPRODUCT(MAX((전표_원본!$O$5:$O$100000=$E78)*(전표_원본!$M$5:$M$100000=설정!$C$20)*전표_원본!$P$5:$P$100000))/N78)</f>
        <v/>
      </c>
      <c r="AD78" s="35">
        <f>IF($A78="","",SUMIFS(전표_원본!$P$5:$P$100000,전표_원본!$O$5:$O$100000,$E78,전표_원본!$M$5:$M$100000,설정!$C$20,전표_원본!$E$5:$E$100000,"SA")-SUMIFS(전표_원본!$P$5:$P$100000,전표_원본!$O$5:$O$100000,$E78,전표_원본!$M$5:$M$100000,설정!$C$20-1,전표_원본!$E$5:$E$100000,"SA"))</f>
        <v/>
      </c>
      <c r="AE78" s="81">
        <f>IF($A78="","",COUNTIFS(전표_원본!$O$5:$O$100000,$E78,전표_원본!$M$5:$M$100000,설정!$C$20,전표_원본!$P$5:$P$100000,"&lt;0"))</f>
        <v/>
      </c>
      <c r="AF78" s="62">
        <f>IF($A78="","",MIN(MAX(0,N78)/(설정!$C$10*5),1)*30)</f>
        <v/>
      </c>
      <c r="AG78" s="82">
        <f>IF($A78="","",MIN(MAX(0,H78,J78),1)*20)</f>
        <v/>
      </c>
      <c r="AH78" s="82">
        <f>IF($A78="","",MIN(MAX(0,O78)/3,1)*25)</f>
        <v/>
      </c>
      <c r="AI78" s="82">
        <f>IF($A78="","",IF(OR(W78="부족 예상",W78="무예산",AO78="한도 초과",AO78="초과 예상",AO78="무예산"),25,IF(OR(W78="주의",AO78="주의"),15,0)))</f>
        <v/>
      </c>
      <c r="AJ78" s="35">
        <f>IF($A78="","",SUMIFS(예산판_원본!$O$5:$O$5000,예산판_원본!$L$5:$L$5000,$E78,예산판_원본!$M$5:$M$5000,설정!$C$6,예산판_원본!$N$5:$N$5000,설정!$C$21))</f>
        <v/>
      </c>
      <c r="AK78" s="40">
        <f>IF($A78="","",K78)</f>
        <v/>
      </c>
      <c r="AL78" s="40">
        <f>IF($A78="","",AJ78-AK78)</f>
        <v/>
      </c>
      <c r="AM78" s="35">
        <f>IF($A78="","",AK78+AVERAGE(월별집계!X78:Z78)*MAX(0,설정!$C$22+2-설정!$C$20))</f>
        <v/>
      </c>
      <c r="AN78" s="73">
        <f>IF($A78="","",IF(AJ78=0,0,AM78/AJ78))</f>
        <v/>
      </c>
      <c r="AO78" s="34">
        <f>IF($A78="","",IF(AND(AJ78=0,AK78&gt;0),"무예산",IF(AJ78=0,"-",IF(AK78&gt;AJ78,"한도 초과",IF(AN78&gt;설정!$C$12,"초과 예상",IF(AN78&gt;설정!$C$11,"주의","여유"))))))</f>
        <v/>
      </c>
      <c r="AP78" s="35">
        <f>IF($A78="","",IF(설정!$C$19="최근월",(INDEX(월별집계!$AB78:$AM78,설정!$C$7)-INDEX(월별집계!$AB78:$AM78,MAX(1,설정!$C$7-1))*(설정!$C$7&gt;1)),IF(설정!$C$19="최근분기",((INDEX(월별집계!$AB78:$AM78,설정!$C$7)-INDEX(월별집계!$AB78:$AM78,MAX(1,설정!$C$7-3))*(설정!$C$7&gt;3))/MIN(3,설정!$C$7)),IF(설정!$C$19="전년추세",AZ78,((설정!$C$7+1)*SUMPRODUCT(월별집계!$AB$5:$AM$5,월별집계!$AB78:$AM78)-(설정!$C$7*(설정!$C$7+1)/2)*SUM(월별집계!$AB78:$AM78))/((설정!$C$7+1)*(설정!$C$7*(설정!$C$7+1)*(2*설정!$C$7+1)/6)-(설정!$C$7*(설정!$C$7+1)/2)^2)))))</f>
        <v/>
      </c>
      <c r="AQ78" s="35">
        <f>IF($A78="","",IF(설정!$C$19="연내누적",(SUM(월별집계!$AB78:$AM78)-AP78*(설정!$C$7*(설정!$C$7+1)/2))/(설정!$C$7+1),INDEX(월별집계!$AB78:$AM78,설정!$C$7)-AP78*설정!$C$7))</f>
        <v/>
      </c>
      <c r="AR78" s="40">
        <f>IF($A78="","",AQ78+AP78*12)</f>
        <v/>
      </c>
      <c r="AS78" s="82">
        <f>IF($A78="","",IF(OR(P78&lt;=0,Q78&gt;=P78,AP78&lt;=0),"",MAX(설정!$C$7,(P78-AQ78)/AP78)))</f>
        <v/>
      </c>
      <c r="AT78" s="22">
        <f>IF($A78="","",IF(AS78="",IF(AU78="이미 소진","소진됨",""),YEAR((DATE(설정!$C$6,1,1)+ROUND(AS78*365/12,0)-1))&amp;"-"&amp;TEXT(MONTH((DATE(설정!$C$6,1,1)+ROUND(AS78*365/12,0)-1)),"00")&amp;"-"&amp;TEXT(DAY((DATE(설정!$C$6,1,1)+ROUND(AS78*365/12,0)-1)),"00")))</f>
        <v/>
      </c>
      <c r="AU78" s="34">
        <f>IF($A78="","",IF(AND(P78&lt;=0,Q78&gt;0),"무예산",IF(P78&lt;=0,"-",IF(Q78&gt;=P78,"이미 소진",IF(AP78&lt;=0,"소진 안 됨",IF(AS78&lt;=12,"연내 고갈","연내 여유"))))))</f>
        <v/>
      </c>
      <c r="AV78" s="34">
        <f>IF($A78="","",IF(AJ78&lt;=0,"",IF(AK78&gt;=AJ78,"한도 소진",IF(AK78&lt;=0,"",IF(AJ78/(AK78/(설정!$C$20-설정!$C$22+1))&gt;3,"분기 내 여유",YEAR((DATE(설정!$C$6,설정!$C$22-설정!$C$6*12,1)+ROUND(MAX((설정!$C$20-설정!$C$22+1),AJ78/(AK78/(설정!$C$20-설정!$C$22+1)))*365/12,0)-1))&amp;"-"&amp;TEXT(MONTH((DATE(설정!$C$6,설정!$C$22-설정!$C$6*12,1)+ROUND(MAX((설정!$C$20-설정!$C$22+1),AJ78/(AK78/(설정!$C$20-설정!$C$22+1)))*365/12,0)-1)),"00")&amp;"-"&amp;TEXT(DAY((DATE(설정!$C$6,설정!$C$22-설정!$C$6*12,1)+ROUND(MAX((설정!$C$20-설정!$C$22+1),AJ78/(AK78/(설정!$C$20-설정!$C$22+1)))*365/12,0)-1)),"00"))))))</f>
        <v/>
      </c>
      <c r="AW78" s="41">
        <f>IF($A78="",999+ROW()/1000000,IF(AU78="이미 소진",ROW()/1000000,IF(AU78="연내 고갈",AS78+ROW()/1000000,99+ROW()/1000000)))</f>
        <v/>
      </c>
      <c r="AX78" s="35">
        <f>IF($A78="","",SUMIFS(월별집계!$C78:$Z78,월별집계!$C$5:$Z$5,"&gt;="&amp;((설정!$C$6-1)*12+1),월별집계!$C$5:$Z$5,"&lt;="&amp;(설정!$C$20-12)))</f>
        <v/>
      </c>
      <c r="AY78" s="80">
        <f>IF($A78="","",IF(AX78&lt;=0,IF(Q78&gt;0,1,0),Q78/AX78-1))</f>
        <v/>
      </c>
      <c r="AZ78" s="35">
        <f>IF($A78="","",SUMIFS(월별집계!$C78:$Z78,월별집계!$C$5:$Z$5,"&gt;"&amp;(설정!$C$20-12),월별집계!$C$5:$Z$5,"&lt;="&amp;((설정!$C$6-1)*12+12))/MAX(1,12-설정!$C$7))</f>
        <v/>
      </c>
    </row>
    <row r="79">
      <c r="A79" s="12" t="inlineStr">
        <is>
          <t>D950</t>
        </is>
      </c>
      <c r="B79" s="26">
        <f>IF($A79="","",IFERROR(INDEX(부서매핑!$D$5:$D$504,MATCH($A79,부서매핑!$C$5:$C$504,0)),"부서매핑 없음"))</f>
        <v/>
      </c>
      <c r="C79" s="79" t="inlineStr">
        <is>
          <t>63002000</t>
        </is>
      </c>
      <c r="D79" s="26">
        <f>IF($A79="","",IFERROR(INDEX(계정매핑!$B$5:$B$504,MATCH($C79&amp;"",계정매핑!$A$5:$A$504,0)),"계정매핑 없음"))</f>
        <v/>
      </c>
      <c r="E79" s="22">
        <f>IF($A79="","",$A79&amp;"|"&amp;$C79)</f>
        <v/>
      </c>
      <c r="F79" s="35">
        <f>IF($A79="","",월별집계!$Z79)</f>
        <v/>
      </c>
      <c r="G79" s="35">
        <f>IF($A79="","",월별집계!$Y79)</f>
        <v/>
      </c>
      <c r="H79" s="80">
        <f>IF($A79="","",IF(G79&lt;=0,IF(F79&gt;0,1,0),F79/G79-1))</f>
        <v/>
      </c>
      <c r="I79" s="35">
        <f>IF($A79="","",월별집계!$N79)</f>
        <v/>
      </c>
      <c r="J79" s="80">
        <f>IF($A79="","",IF(I79&lt;=0,IF(F79&gt;0,1,0),F79/I79-1))</f>
        <v/>
      </c>
      <c r="K79" s="35">
        <f>IF($A79="","",SUMIFS(월별집계!$C79:$Z79,월별집계!$C$5:$Z$5,"&gt;="&amp;설정!$C$22,월별집계!$C$5:$Z$5,"&lt;="&amp;설정!$C$20))</f>
        <v/>
      </c>
      <c r="L79" s="35">
        <f>IF($A79="","",SUMIFS(월별집계!$C79:$Z79,월별집계!$C$5:$Z$5,"&gt;="&amp;(설정!$C$22-3),월별집계!$C$5:$Z$5,"&lt;="&amp;(설정!$C$20-3)))</f>
        <v/>
      </c>
      <c r="M79" s="80">
        <f>IF($A79="","",IF(L79&lt;=0,IF(K79&gt;0,1,0),K79/L79-1))</f>
        <v/>
      </c>
      <c r="N79" s="40">
        <f>IF($A79="","",MAX(F79-G79,F79-I79))</f>
        <v/>
      </c>
      <c r="O79" s="62">
        <f>IF($A79="","",IFERROR((월별집계!$Z79-AVERAGE(월별집계!N79:Y79))/STDEV(월별집계!N79:Y79),0))</f>
        <v/>
      </c>
      <c r="P79" s="35">
        <f>IF($A79="","",SUMIFS(예산판_원본!$O$5:$O$5000,예산판_원본!$L$5:$L$5000,$E79,예산판_원본!$M$5:$M$5000,설정!$C$6))</f>
        <v/>
      </c>
      <c r="Q79" s="35">
        <f>IF($A79="","",SUMIFS(월별집계!$C79:$Z79,월별집계!$C$5:$Z$5,"&gt;="&amp;(설정!$C$6*12+1),월별집계!$C$5:$Z$5,"&lt;="&amp;설정!$C$20))</f>
        <v/>
      </c>
      <c r="R79" s="40">
        <f>IF($A79="","",P79-Q79)</f>
        <v/>
      </c>
      <c r="S79" s="35">
        <f>IF($A79="","",AVERAGE(월별집계!X79:Z79)*(12-설정!$C$7))</f>
        <v/>
      </c>
      <c r="T79" s="35">
        <f>IF($A79="","",IFERROR(Q79/(SUMIFS(월별집계!$C79:$Z79,월별집계!$C$5:$Z$5,"&gt;="&amp;((설정!$C$6-1)*12+1),월별집계!$C$5:$Z$5,"&lt;="&amp;(설정!$C$20-12))/SUMIFS(월별집계!$C79:$Z79,월별집계!$C$5:$Z$5,"&gt;="&amp;((설정!$C$6-1)*12+1),월별집계!$C$5:$Z$5,"&lt;="&amp;((설정!$C$6-1)*12+12)))-Q79,S79))</f>
        <v/>
      </c>
      <c r="U79" s="40">
        <f>IF($A79="","",Q79+MAX(S79,T79))</f>
        <v/>
      </c>
      <c r="V79" s="73">
        <f>IF($A79="","",IF(P79=0,0,U79/P79))</f>
        <v/>
      </c>
      <c r="W79" s="34">
        <f>IF($A79="","",IF(AND(P79=0,Q79&gt;0),"무예산",IF(P79=0,"-",IF(V79&gt;설정!$C$12,"부족 예상",IF(V79&gt;설정!$C$11,"주의","여유")))))</f>
        <v/>
      </c>
      <c r="X79" s="40">
        <f>IF($A79="","",IF(P79=0,0,MAX(0,U79-P79)))</f>
        <v/>
      </c>
      <c r="Y79" s="34">
        <f>IF($A79="","",IF(OR(W79&lt;&gt;"부족 예상",설정!$C$7=12),"",IF(R79&lt;=0,"이미 초과",MIN(12,설정!$C$7+ROUNDUP(R79/(MAX(S79,T79)/(12-설정!$C$7)),0))&amp;"월")))</f>
        <v/>
      </c>
      <c r="Z79" s="26">
        <f>IF($A79="","",TRIM(IF(AND(N(AC79)&gt;=설정!$C$14,N79&gt;=설정!$C$10),"단건"&amp;TEXT(MIN(AC79,1),"0%")&amp;" ","")&amp;IF(AND(N79&gt;0,AD79&gt;0),IF(AD79/N79&gt;=설정!$C$16,"SA대체 ",""),"")&amp;IF(AE79&gt;0,"역분개"&amp;AE79&amp;"건 ","")&amp;IF(O79&gt;=설정!$C$13,"이상치 ","")&amp;IF(AND(I79=0,F79&gt;0),"신규지출 ","")))</f>
        <v/>
      </c>
      <c r="AA79" s="62">
        <f>IF($A79="","",ROUND((AF79+AG79+AH79+AI79)*IF(AND(F79&lt;설정!$C$10,N79&lt;설정!$C$10),0.3,1),1))</f>
        <v/>
      </c>
      <c r="AB79" s="41">
        <f>IF($A79="","",AA79+ROW()/1000000)</f>
        <v/>
      </c>
      <c r="AC79" s="60">
        <f>IF(OR($A79="",N79&lt;=0),"",SUMPRODUCT(MAX((전표_원본!$O$5:$O$100000=$E79)*(전표_원본!$M$5:$M$100000=설정!$C$20)*전표_원본!$P$5:$P$100000))/N79)</f>
        <v/>
      </c>
      <c r="AD79" s="35">
        <f>IF($A79="","",SUMIFS(전표_원본!$P$5:$P$100000,전표_원본!$O$5:$O$100000,$E79,전표_원본!$M$5:$M$100000,설정!$C$20,전표_원본!$E$5:$E$100000,"SA")-SUMIFS(전표_원본!$P$5:$P$100000,전표_원본!$O$5:$O$100000,$E79,전표_원본!$M$5:$M$100000,설정!$C$20-1,전표_원본!$E$5:$E$100000,"SA"))</f>
        <v/>
      </c>
      <c r="AE79" s="81">
        <f>IF($A79="","",COUNTIFS(전표_원본!$O$5:$O$100000,$E79,전표_원본!$M$5:$M$100000,설정!$C$20,전표_원본!$P$5:$P$100000,"&lt;0"))</f>
        <v/>
      </c>
      <c r="AF79" s="62">
        <f>IF($A79="","",MIN(MAX(0,N79)/(설정!$C$10*5),1)*30)</f>
        <v/>
      </c>
      <c r="AG79" s="82">
        <f>IF($A79="","",MIN(MAX(0,H79,J79),1)*20)</f>
        <v/>
      </c>
      <c r="AH79" s="82">
        <f>IF($A79="","",MIN(MAX(0,O79)/3,1)*25)</f>
        <v/>
      </c>
      <c r="AI79" s="82">
        <f>IF($A79="","",IF(OR(W79="부족 예상",W79="무예산",AO79="한도 초과",AO79="초과 예상",AO79="무예산"),25,IF(OR(W79="주의",AO79="주의"),15,0)))</f>
        <v/>
      </c>
      <c r="AJ79" s="35">
        <f>IF($A79="","",SUMIFS(예산판_원본!$O$5:$O$5000,예산판_원본!$L$5:$L$5000,$E79,예산판_원본!$M$5:$M$5000,설정!$C$6,예산판_원본!$N$5:$N$5000,설정!$C$21))</f>
        <v/>
      </c>
      <c r="AK79" s="40">
        <f>IF($A79="","",K79)</f>
        <v/>
      </c>
      <c r="AL79" s="40">
        <f>IF($A79="","",AJ79-AK79)</f>
        <v/>
      </c>
      <c r="AM79" s="35">
        <f>IF($A79="","",AK79+AVERAGE(월별집계!X79:Z79)*MAX(0,설정!$C$22+2-설정!$C$20))</f>
        <v/>
      </c>
      <c r="AN79" s="73">
        <f>IF($A79="","",IF(AJ79=0,0,AM79/AJ79))</f>
        <v/>
      </c>
      <c r="AO79" s="34">
        <f>IF($A79="","",IF(AND(AJ79=0,AK79&gt;0),"무예산",IF(AJ79=0,"-",IF(AK79&gt;AJ79,"한도 초과",IF(AN79&gt;설정!$C$12,"초과 예상",IF(AN79&gt;설정!$C$11,"주의","여유"))))))</f>
        <v/>
      </c>
      <c r="AP79" s="35">
        <f>IF($A79="","",IF(설정!$C$19="최근월",(INDEX(월별집계!$AB79:$AM79,설정!$C$7)-INDEX(월별집계!$AB79:$AM79,MAX(1,설정!$C$7-1))*(설정!$C$7&gt;1)),IF(설정!$C$19="최근분기",((INDEX(월별집계!$AB79:$AM79,설정!$C$7)-INDEX(월별집계!$AB79:$AM79,MAX(1,설정!$C$7-3))*(설정!$C$7&gt;3))/MIN(3,설정!$C$7)),IF(설정!$C$19="전년추세",AZ79,((설정!$C$7+1)*SUMPRODUCT(월별집계!$AB$5:$AM$5,월별집계!$AB79:$AM79)-(설정!$C$7*(설정!$C$7+1)/2)*SUM(월별집계!$AB79:$AM79))/((설정!$C$7+1)*(설정!$C$7*(설정!$C$7+1)*(2*설정!$C$7+1)/6)-(설정!$C$7*(설정!$C$7+1)/2)^2)))))</f>
        <v/>
      </c>
      <c r="AQ79" s="35">
        <f>IF($A79="","",IF(설정!$C$19="연내누적",(SUM(월별집계!$AB79:$AM79)-AP79*(설정!$C$7*(설정!$C$7+1)/2))/(설정!$C$7+1),INDEX(월별집계!$AB79:$AM79,설정!$C$7)-AP79*설정!$C$7))</f>
        <v/>
      </c>
      <c r="AR79" s="40">
        <f>IF($A79="","",AQ79+AP79*12)</f>
        <v/>
      </c>
      <c r="AS79" s="82">
        <f>IF($A79="","",IF(OR(P79&lt;=0,Q79&gt;=P79,AP79&lt;=0),"",MAX(설정!$C$7,(P79-AQ79)/AP79)))</f>
        <v/>
      </c>
      <c r="AT79" s="22">
        <f>IF($A79="","",IF(AS79="",IF(AU79="이미 소진","소진됨",""),YEAR((DATE(설정!$C$6,1,1)+ROUND(AS79*365/12,0)-1))&amp;"-"&amp;TEXT(MONTH((DATE(설정!$C$6,1,1)+ROUND(AS79*365/12,0)-1)),"00")&amp;"-"&amp;TEXT(DAY((DATE(설정!$C$6,1,1)+ROUND(AS79*365/12,0)-1)),"00")))</f>
        <v/>
      </c>
      <c r="AU79" s="34">
        <f>IF($A79="","",IF(AND(P79&lt;=0,Q79&gt;0),"무예산",IF(P79&lt;=0,"-",IF(Q79&gt;=P79,"이미 소진",IF(AP79&lt;=0,"소진 안 됨",IF(AS79&lt;=12,"연내 고갈","연내 여유"))))))</f>
        <v/>
      </c>
      <c r="AV79" s="34">
        <f>IF($A79="","",IF(AJ79&lt;=0,"",IF(AK79&gt;=AJ79,"한도 소진",IF(AK79&lt;=0,"",IF(AJ79/(AK79/(설정!$C$20-설정!$C$22+1))&gt;3,"분기 내 여유",YEAR((DATE(설정!$C$6,설정!$C$22-설정!$C$6*12,1)+ROUND(MAX((설정!$C$20-설정!$C$22+1),AJ79/(AK79/(설정!$C$20-설정!$C$22+1)))*365/12,0)-1))&amp;"-"&amp;TEXT(MONTH((DATE(설정!$C$6,설정!$C$22-설정!$C$6*12,1)+ROUND(MAX((설정!$C$20-설정!$C$22+1),AJ79/(AK79/(설정!$C$20-설정!$C$22+1)))*365/12,0)-1)),"00")&amp;"-"&amp;TEXT(DAY((DATE(설정!$C$6,설정!$C$22-설정!$C$6*12,1)+ROUND(MAX((설정!$C$20-설정!$C$22+1),AJ79/(AK79/(설정!$C$20-설정!$C$22+1)))*365/12,0)-1)),"00"))))))</f>
        <v/>
      </c>
      <c r="AW79" s="41">
        <f>IF($A79="",999+ROW()/1000000,IF(AU79="이미 소진",ROW()/1000000,IF(AU79="연내 고갈",AS79+ROW()/1000000,99+ROW()/1000000)))</f>
        <v/>
      </c>
      <c r="AX79" s="35">
        <f>IF($A79="","",SUMIFS(월별집계!$C79:$Z79,월별집계!$C$5:$Z$5,"&gt;="&amp;((설정!$C$6-1)*12+1),월별집계!$C$5:$Z$5,"&lt;="&amp;(설정!$C$20-12)))</f>
        <v/>
      </c>
      <c r="AY79" s="80">
        <f>IF($A79="","",IF(AX79&lt;=0,IF(Q79&gt;0,1,0),Q79/AX79-1))</f>
        <v/>
      </c>
      <c r="AZ79" s="35">
        <f>IF($A79="","",SUMIFS(월별집계!$C79:$Z79,월별집계!$C$5:$Z$5,"&gt;"&amp;(설정!$C$20-12),월별집계!$C$5:$Z$5,"&lt;="&amp;((설정!$C$6-1)*12+12))/MAX(1,12-설정!$C$7))</f>
        <v/>
      </c>
    </row>
    <row r="80">
      <c r="A80" s="12" t="n"/>
      <c r="B80" s="26">
        <f>IF($A80="","",IFERROR(INDEX(부서매핑!$D$5:$D$504,MATCH($A80,부서매핑!$C$5:$C$504,0)),"부서매핑 없음"))</f>
        <v/>
      </c>
      <c r="C80" s="79" t="n"/>
      <c r="D80" s="26">
        <f>IF($A80="","",IFERROR(INDEX(계정매핑!$B$5:$B$504,MATCH($C80&amp;"",계정매핑!$A$5:$A$504,0)),"계정매핑 없음"))</f>
        <v/>
      </c>
      <c r="E80" s="22">
        <f>IF($A80="","",$A80&amp;"|"&amp;$C80)</f>
        <v/>
      </c>
      <c r="F80" s="35">
        <f>IF($A80="","",월별집계!$Z80)</f>
        <v/>
      </c>
      <c r="G80" s="35">
        <f>IF($A80="","",월별집계!$Y80)</f>
        <v/>
      </c>
      <c r="H80" s="80">
        <f>IF($A80="","",IF(G80&lt;=0,IF(F80&gt;0,1,0),F80/G80-1))</f>
        <v/>
      </c>
      <c r="I80" s="35">
        <f>IF($A80="","",월별집계!$N80)</f>
        <v/>
      </c>
      <c r="J80" s="80">
        <f>IF($A80="","",IF(I80&lt;=0,IF(F80&gt;0,1,0),F80/I80-1))</f>
        <v/>
      </c>
      <c r="K80" s="35">
        <f>IF($A80="","",SUMIFS(월별집계!$C80:$Z80,월별집계!$C$5:$Z$5,"&gt;="&amp;설정!$C$22,월별집계!$C$5:$Z$5,"&lt;="&amp;설정!$C$20))</f>
        <v/>
      </c>
      <c r="L80" s="35">
        <f>IF($A80="","",SUMIFS(월별집계!$C80:$Z80,월별집계!$C$5:$Z$5,"&gt;="&amp;(설정!$C$22-3),월별집계!$C$5:$Z$5,"&lt;="&amp;(설정!$C$20-3)))</f>
        <v/>
      </c>
      <c r="M80" s="80">
        <f>IF($A80="","",IF(L80&lt;=0,IF(K80&gt;0,1,0),K80/L80-1))</f>
        <v/>
      </c>
      <c r="N80" s="40">
        <f>IF($A80="","",MAX(F80-G80,F80-I80))</f>
        <v/>
      </c>
      <c r="O80" s="62">
        <f>IF($A80="","",IFERROR((월별집계!$Z80-AVERAGE(월별집계!N80:Y80))/STDEV(월별집계!N80:Y80),0))</f>
        <v/>
      </c>
      <c r="P80" s="35">
        <f>IF($A80="","",SUMIFS(예산판_원본!$O$5:$O$5000,예산판_원본!$L$5:$L$5000,$E80,예산판_원본!$M$5:$M$5000,설정!$C$6))</f>
        <v/>
      </c>
      <c r="Q80" s="35">
        <f>IF($A80="","",SUMIFS(월별집계!$C80:$Z80,월별집계!$C$5:$Z$5,"&gt;="&amp;(설정!$C$6*12+1),월별집계!$C$5:$Z$5,"&lt;="&amp;설정!$C$20))</f>
        <v/>
      </c>
      <c r="R80" s="40">
        <f>IF($A80="","",P80-Q80)</f>
        <v/>
      </c>
      <c r="S80" s="35">
        <f>IF($A80="","",AVERAGE(월별집계!X80:Z80)*(12-설정!$C$7))</f>
        <v/>
      </c>
      <c r="T80" s="35">
        <f>IF($A80="","",IFERROR(Q80/(SUMIFS(월별집계!$C80:$Z80,월별집계!$C$5:$Z$5,"&gt;="&amp;((설정!$C$6-1)*12+1),월별집계!$C$5:$Z$5,"&lt;="&amp;(설정!$C$20-12))/SUMIFS(월별집계!$C80:$Z80,월별집계!$C$5:$Z$5,"&gt;="&amp;((설정!$C$6-1)*12+1),월별집계!$C$5:$Z$5,"&lt;="&amp;((설정!$C$6-1)*12+12)))-Q80,S80))</f>
        <v/>
      </c>
      <c r="U80" s="40">
        <f>IF($A80="","",Q80+MAX(S80,T80))</f>
        <v/>
      </c>
      <c r="V80" s="73">
        <f>IF($A80="","",IF(P80=0,0,U80/P80))</f>
        <v/>
      </c>
      <c r="W80" s="34">
        <f>IF($A80="","",IF(AND(P80=0,Q80&gt;0),"무예산",IF(P80=0,"-",IF(V80&gt;설정!$C$12,"부족 예상",IF(V80&gt;설정!$C$11,"주의","여유")))))</f>
        <v/>
      </c>
      <c r="X80" s="40">
        <f>IF($A80="","",IF(P80=0,0,MAX(0,U80-P80)))</f>
        <v/>
      </c>
      <c r="Y80" s="34">
        <f>IF($A80="","",IF(OR(W80&lt;&gt;"부족 예상",설정!$C$7=12),"",IF(R80&lt;=0,"이미 초과",MIN(12,설정!$C$7+ROUNDUP(R80/(MAX(S80,T80)/(12-설정!$C$7)),0))&amp;"월")))</f>
        <v/>
      </c>
      <c r="Z80" s="26">
        <f>IF($A80="","",TRIM(IF(AND(N(AC80)&gt;=설정!$C$14,N80&gt;=설정!$C$10),"단건"&amp;TEXT(MIN(AC80,1),"0%")&amp;" ","")&amp;IF(AND(N80&gt;0,AD80&gt;0),IF(AD80/N80&gt;=설정!$C$16,"SA대체 ",""),"")&amp;IF(AE80&gt;0,"역분개"&amp;AE80&amp;"건 ","")&amp;IF(O80&gt;=설정!$C$13,"이상치 ","")&amp;IF(AND(I80=0,F80&gt;0),"신규지출 ","")))</f>
        <v/>
      </c>
      <c r="AA80" s="62">
        <f>IF($A80="","",ROUND((AF80+AG80+AH80+AI80)*IF(AND(F80&lt;설정!$C$10,N80&lt;설정!$C$10),0.3,1),1))</f>
        <v/>
      </c>
      <c r="AB80" s="41">
        <f>IF($A80="","",AA80+ROW()/1000000)</f>
        <v/>
      </c>
      <c r="AC80" s="60">
        <f>IF(OR($A80="",N80&lt;=0),"",SUMPRODUCT(MAX((전표_원본!$O$5:$O$100000=$E80)*(전표_원본!$M$5:$M$100000=설정!$C$20)*전표_원본!$P$5:$P$100000))/N80)</f>
        <v/>
      </c>
      <c r="AD80" s="35">
        <f>IF($A80="","",SUMIFS(전표_원본!$P$5:$P$100000,전표_원본!$O$5:$O$100000,$E80,전표_원본!$M$5:$M$100000,설정!$C$20,전표_원본!$E$5:$E$100000,"SA")-SUMIFS(전표_원본!$P$5:$P$100000,전표_원본!$O$5:$O$100000,$E80,전표_원본!$M$5:$M$100000,설정!$C$20-1,전표_원본!$E$5:$E$100000,"SA"))</f>
        <v/>
      </c>
      <c r="AE80" s="81">
        <f>IF($A80="","",COUNTIFS(전표_원본!$O$5:$O$100000,$E80,전표_원본!$M$5:$M$100000,설정!$C$20,전표_원본!$P$5:$P$100000,"&lt;0"))</f>
        <v/>
      </c>
      <c r="AF80" s="62">
        <f>IF($A80="","",MIN(MAX(0,N80)/(설정!$C$10*5),1)*30)</f>
        <v/>
      </c>
      <c r="AG80" s="82">
        <f>IF($A80="","",MIN(MAX(0,H80,J80),1)*20)</f>
        <v/>
      </c>
      <c r="AH80" s="82">
        <f>IF($A80="","",MIN(MAX(0,O80)/3,1)*25)</f>
        <v/>
      </c>
      <c r="AI80" s="82">
        <f>IF($A80="","",IF(OR(W80="부족 예상",W80="무예산",AO80="한도 초과",AO80="초과 예상",AO80="무예산"),25,IF(OR(W80="주의",AO80="주의"),15,0)))</f>
        <v/>
      </c>
      <c r="AJ80" s="35">
        <f>IF($A80="","",SUMIFS(예산판_원본!$O$5:$O$5000,예산판_원본!$L$5:$L$5000,$E80,예산판_원본!$M$5:$M$5000,설정!$C$6,예산판_원본!$N$5:$N$5000,설정!$C$21))</f>
        <v/>
      </c>
      <c r="AK80" s="40">
        <f>IF($A80="","",K80)</f>
        <v/>
      </c>
      <c r="AL80" s="40">
        <f>IF($A80="","",AJ80-AK80)</f>
        <v/>
      </c>
      <c r="AM80" s="35">
        <f>IF($A80="","",AK80+AVERAGE(월별집계!X80:Z80)*MAX(0,설정!$C$22+2-설정!$C$20))</f>
        <v/>
      </c>
      <c r="AN80" s="73">
        <f>IF($A80="","",IF(AJ80=0,0,AM80/AJ80))</f>
        <v/>
      </c>
      <c r="AO80" s="34">
        <f>IF($A80="","",IF(AND(AJ80=0,AK80&gt;0),"무예산",IF(AJ80=0,"-",IF(AK80&gt;AJ80,"한도 초과",IF(AN80&gt;설정!$C$12,"초과 예상",IF(AN80&gt;설정!$C$11,"주의","여유"))))))</f>
        <v/>
      </c>
      <c r="AP80" s="35">
        <f>IF($A80="","",IF(설정!$C$19="최근월",(INDEX(월별집계!$AB80:$AM80,설정!$C$7)-INDEX(월별집계!$AB80:$AM80,MAX(1,설정!$C$7-1))*(설정!$C$7&gt;1)),IF(설정!$C$19="최근분기",((INDEX(월별집계!$AB80:$AM80,설정!$C$7)-INDEX(월별집계!$AB80:$AM80,MAX(1,설정!$C$7-3))*(설정!$C$7&gt;3))/MIN(3,설정!$C$7)),IF(설정!$C$19="전년추세",AZ80,((설정!$C$7+1)*SUMPRODUCT(월별집계!$AB$5:$AM$5,월별집계!$AB80:$AM80)-(설정!$C$7*(설정!$C$7+1)/2)*SUM(월별집계!$AB80:$AM80))/((설정!$C$7+1)*(설정!$C$7*(설정!$C$7+1)*(2*설정!$C$7+1)/6)-(설정!$C$7*(설정!$C$7+1)/2)^2)))))</f>
        <v/>
      </c>
      <c r="AQ80" s="35">
        <f>IF($A80="","",IF(설정!$C$19="연내누적",(SUM(월별집계!$AB80:$AM80)-AP80*(설정!$C$7*(설정!$C$7+1)/2))/(설정!$C$7+1),INDEX(월별집계!$AB80:$AM80,설정!$C$7)-AP80*설정!$C$7))</f>
        <v/>
      </c>
      <c r="AR80" s="40">
        <f>IF($A80="","",AQ80+AP80*12)</f>
        <v/>
      </c>
      <c r="AS80" s="82">
        <f>IF($A80="","",IF(OR(P80&lt;=0,Q80&gt;=P80,AP80&lt;=0),"",MAX(설정!$C$7,(P80-AQ80)/AP80)))</f>
        <v/>
      </c>
      <c r="AT80" s="22">
        <f>IF($A80="","",IF(AS80="",IF(AU80="이미 소진","소진됨",""),YEAR((DATE(설정!$C$6,1,1)+ROUND(AS80*365/12,0)-1))&amp;"-"&amp;TEXT(MONTH((DATE(설정!$C$6,1,1)+ROUND(AS80*365/12,0)-1)),"00")&amp;"-"&amp;TEXT(DAY((DATE(설정!$C$6,1,1)+ROUND(AS80*365/12,0)-1)),"00")))</f>
        <v/>
      </c>
      <c r="AU80" s="34">
        <f>IF($A80="","",IF(AND(P80&lt;=0,Q80&gt;0),"무예산",IF(P80&lt;=0,"-",IF(Q80&gt;=P80,"이미 소진",IF(AP80&lt;=0,"소진 안 됨",IF(AS80&lt;=12,"연내 고갈","연내 여유"))))))</f>
        <v/>
      </c>
      <c r="AV80" s="34">
        <f>IF($A80="","",IF(AJ80&lt;=0,"",IF(AK80&gt;=AJ80,"한도 소진",IF(AK80&lt;=0,"",IF(AJ80/(AK80/(설정!$C$20-설정!$C$22+1))&gt;3,"분기 내 여유",YEAR((DATE(설정!$C$6,설정!$C$22-설정!$C$6*12,1)+ROUND(MAX((설정!$C$20-설정!$C$22+1),AJ80/(AK80/(설정!$C$20-설정!$C$22+1)))*365/12,0)-1))&amp;"-"&amp;TEXT(MONTH((DATE(설정!$C$6,설정!$C$22-설정!$C$6*12,1)+ROUND(MAX((설정!$C$20-설정!$C$22+1),AJ80/(AK80/(설정!$C$20-설정!$C$22+1)))*365/12,0)-1)),"00")&amp;"-"&amp;TEXT(DAY((DATE(설정!$C$6,설정!$C$22-설정!$C$6*12,1)+ROUND(MAX((설정!$C$20-설정!$C$22+1),AJ80/(AK80/(설정!$C$20-설정!$C$22+1)))*365/12,0)-1)),"00"))))))</f>
        <v/>
      </c>
      <c r="AW80" s="41">
        <f>IF($A80="",999+ROW()/1000000,IF(AU80="이미 소진",ROW()/1000000,IF(AU80="연내 고갈",AS80+ROW()/1000000,99+ROW()/1000000)))</f>
        <v/>
      </c>
      <c r="AX80" s="35">
        <f>IF($A80="","",SUMIFS(월별집계!$C80:$Z80,월별집계!$C$5:$Z$5,"&gt;="&amp;((설정!$C$6-1)*12+1),월별집계!$C$5:$Z$5,"&lt;="&amp;(설정!$C$20-12)))</f>
        <v/>
      </c>
      <c r="AY80" s="80">
        <f>IF($A80="","",IF(AX80&lt;=0,IF(Q80&gt;0,1,0),Q80/AX80-1))</f>
        <v/>
      </c>
      <c r="AZ80" s="35">
        <f>IF($A80="","",SUMIFS(월별집계!$C80:$Z80,월별집계!$C$5:$Z$5,"&gt;"&amp;(설정!$C$20-12),월별집계!$C$5:$Z$5,"&lt;="&amp;((설정!$C$6-1)*12+12))/MAX(1,12-설정!$C$7))</f>
        <v/>
      </c>
    </row>
    <row r="81">
      <c r="A81" s="12" t="n"/>
      <c r="B81" s="26">
        <f>IF($A81="","",IFERROR(INDEX(부서매핑!$D$5:$D$504,MATCH($A81,부서매핑!$C$5:$C$504,0)),"부서매핑 없음"))</f>
        <v/>
      </c>
      <c r="C81" s="79" t="n"/>
      <c r="D81" s="26">
        <f>IF($A81="","",IFERROR(INDEX(계정매핑!$B$5:$B$504,MATCH($C81&amp;"",계정매핑!$A$5:$A$504,0)),"계정매핑 없음"))</f>
        <v/>
      </c>
      <c r="E81" s="22">
        <f>IF($A81="","",$A81&amp;"|"&amp;$C81)</f>
        <v/>
      </c>
      <c r="F81" s="35">
        <f>IF($A81="","",월별집계!$Z81)</f>
        <v/>
      </c>
      <c r="G81" s="35">
        <f>IF($A81="","",월별집계!$Y81)</f>
        <v/>
      </c>
      <c r="H81" s="80">
        <f>IF($A81="","",IF(G81&lt;=0,IF(F81&gt;0,1,0),F81/G81-1))</f>
        <v/>
      </c>
      <c r="I81" s="35">
        <f>IF($A81="","",월별집계!$N81)</f>
        <v/>
      </c>
      <c r="J81" s="80">
        <f>IF($A81="","",IF(I81&lt;=0,IF(F81&gt;0,1,0),F81/I81-1))</f>
        <v/>
      </c>
      <c r="K81" s="35">
        <f>IF($A81="","",SUMIFS(월별집계!$C81:$Z81,월별집계!$C$5:$Z$5,"&gt;="&amp;설정!$C$22,월별집계!$C$5:$Z$5,"&lt;="&amp;설정!$C$20))</f>
        <v/>
      </c>
      <c r="L81" s="35">
        <f>IF($A81="","",SUMIFS(월별집계!$C81:$Z81,월별집계!$C$5:$Z$5,"&gt;="&amp;(설정!$C$22-3),월별집계!$C$5:$Z$5,"&lt;="&amp;(설정!$C$20-3)))</f>
        <v/>
      </c>
      <c r="M81" s="80">
        <f>IF($A81="","",IF(L81&lt;=0,IF(K81&gt;0,1,0),K81/L81-1))</f>
        <v/>
      </c>
      <c r="N81" s="40">
        <f>IF($A81="","",MAX(F81-G81,F81-I81))</f>
        <v/>
      </c>
      <c r="O81" s="62">
        <f>IF($A81="","",IFERROR((월별집계!$Z81-AVERAGE(월별집계!N81:Y81))/STDEV(월별집계!N81:Y81),0))</f>
        <v/>
      </c>
      <c r="P81" s="35">
        <f>IF($A81="","",SUMIFS(예산판_원본!$O$5:$O$5000,예산판_원본!$L$5:$L$5000,$E81,예산판_원본!$M$5:$M$5000,설정!$C$6))</f>
        <v/>
      </c>
      <c r="Q81" s="35">
        <f>IF($A81="","",SUMIFS(월별집계!$C81:$Z81,월별집계!$C$5:$Z$5,"&gt;="&amp;(설정!$C$6*12+1),월별집계!$C$5:$Z$5,"&lt;="&amp;설정!$C$20))</f>
        <v/>
      </c>
      <c r="R81" s="40">
        <f>IF($A81="","",P81-Q81)</f>
        <v/>
      </c>
      <c r="S81" s="35">
        <f>IF($A81="","",AVERAGE(월별집계!X81:Z81)*(12-설정!$C$7))</f>
        <v/>
      </c>
      <c r="T81" s="35">
        <f>IF($A81="","",IFERROR(Q81/(SUMIFS(월별집계!$C81:$Z81,월별집계!$C$5:$Z$5,"&gt;="&amp;((설정!$C$6-1)*12+1),월별집계!$C$5:$Z$5,"&lt;="&amp;(설정!$C$20-12))/SUMIFS(월별집계!$C81:$Z81,월별집계!$C$5:$Z$5,"&gt;="&amp;((설정!$C$6-1)*12+1),월별집계!$C$5:$Z$5,"&lt;="&amp;((설정!$C$6-1)*12+12)))-Q81,S81))</f>
        <v/>
      </c>
      <c r="U81" s="40">
        <f>IF($A81="","",Q81+MAX(S81,T81))</f>
        <v/>
      </c>
      <c r="V81" s="73">
        <f>IF($A81="","",IF(P81=0,0,U81/P81))</f>
        <v/>
      </c>
      <c r="W81" s="34">
        <f>IF($A81="","",IF(AND(P81=0,Q81&gt;0),"무예산",IF(P81=0,"-",IF(V81&gt;설정!$C$12,"부족 예상",IF(V81&gt;설정!$C$11,"주의","여유")))))</f>
        <v/>
      </c>
      <c r="X81" s="40">
        <f>IF($A81="","",IF(P81=0,0,MAX(0,U81-P81)))</f>
        <v/>
      </c>
      <c r="Y81" s="34">
        <f>IF($A81="","",IF(OR(W81&lt;&gt;"부족 예상",설정!$C$7=12),"",IF(R81&lt;=0,"이미 초과",MIN(12,설정!$C$7+ROUNDUP(R81/(MAX(S81,T81)/(12-설정!$C$7)),0))&amp;"월")))</f>
        <v/>
      </c>
      <c r="Z81" s="26">
        <f>IF($A81="","",TRIM(IF(AND(N(AC81)&gt;=설정!$C$14,N81&gt;=설정!$C$10),"단건"&amp;TEXT(MIN(AC81,1),"0%")&amp;" ","")&amp;IF(AND(N81&gt;0,AD81&gt;0),IF(AD81/N81&gt;=설정!$C$16,"SA대체 ",""),"")&amp;IF(AE81&gt;0,"역분개"&amp;AE81&amp;"건 ","")&amp;IF(O81&gt;=설정!$C$13,"이상치 ","")&amp;IF(AND(I81=0,F81&gt;0),"신규지출 ","")))</f>
        <v/>
      </c>
      <c r="AA81" s="62">
        <f>IF($A81="","",ROUND((AF81+AG81+AH81+AI81)*IF(AND(F81&lt;설정!$C$10,N81&lt;설정!$C$10),0.3,1),1))</f>
        <v/>
      </c>
      <c r="AB81" s="41">
        <f>IF($A81="","",AA81+ROW()/1000000)</f>
        <v/>
      </c>
      <c r="AC81" s="60">
        <f>IF(OR($A81="",N81&lt;=0),"",SUMPRODUCT(MAX((전표_원본!$O$5:$O$100000=$E81)*(전표_원본!$M$5:$M$100000=설정!$C$20)*전표_원본!$P$5:$P$100000))/N81)</f>
        <v/>
      </c>
      <c r="AD81" s="35">
        <f>IF($A81="","",SUMIFS(전표_원본!$P$5:$P$100000,전표_원본!$O$5:$O$100000,$E81,전표_원본!$M$5:$M$100000,설정!$C$20,전표_원본!$E$5:$E$100000,"SA")-SUMIFS(전표_원본!$P$5:$P$100000,전표_원본!$O$5:$O$100000,$E81,전표_원본!$M$5:$M$100000,설정!$C$20-1,전표_원본!$E$5:$E$100000,"SA"))</f>
        <v/>
      </c>
      <c r="AE81" s="81">
        <f>IF($A81="","",COUNTIFS(전표_원본!$O$5:$O$100000,$E81,전표_원본!$M$5:$M$100000,설정!$C$20,전표_원본!$P$5:$P$100000,"&lt;0"))</f>
        <v/>
      </c>
      <c r="AF81" s="62">
        <f>IF($A81="","",MIN(MAX(0,N81)/(설정!$C$10*5),1)*30)</f>
        <v/>
      </c>
      <c r="AG81" s="82">
        <f>IF($A81="","",MIN(MAX(0,H81,J81),1)*20)</f>
        <v/>
      </c>
      <c r="AH81" s="82">
        <f>IF($A81="","",MIN(MAX(0,O81)/3,1)*25)</f>
        <v/>
      </c>
      <c r="AI81" s="82">
        <f>IF($A81="","",IF(OR(W81="부족 예상",W81="무예산",AO81="한도 초과",AO81="초과 예상",AO81="무예산"),25,IF(OR(W81="주의",AO81="주의"),15,0)))</f>
        <v/>
      </c>
      <c r="AJ81" s="35">
        <f>IF($A81="","",SUMIFS(예산판_원본!$O$5:$O$5000,예산판_원본!$L$5:$L$5000,$E81,예산판_원본!$M$5:$M$5000,설정!$C$6,예산판_원본!$N$5:$N$5000,설정!$C$21))</f>
        <v/>
      </c>
      <c r="AK81" s="40">
        <f>IF($A81="","",K81)</f>
        <v/>
      </c>
      <c r="AL81" s="40">
        <f>IF($A81="","",AJ81-AK81)</f>
        <v/>
      </c>
      <c r="AM81" s="35">
        <f>IF($A81="","",AK81+AVERAGE(월별집계!X81:Z81)*MAX(0,설정!$C$22+2-설정!$C$20))</f>
        <v/>
      </c>
      <c r="AN81" s="73">
        <f>IF($A81="","",IF(AJ81=0,0,AM81/AJ81))</f>
        <v/>
      </c>
      <c r="AO81" s="34">
        <f>IF($A81="","",IF(AND(AJ81=0,AK81&gt;0),"무예산",IF(AJ81=0,"-",IF(AK81&gt;AJ81,"한도 초과",IF(AN81&gt;설정!$C$12,"초과 예상",IF(AN81&gt;설정!$C$11,"주의","여유"))))))</f>
        <v/>
      </c>
      <c r="AP81" s="35">
        <f>IF($A81="","",IF(설정!$C$19="최근월",(INDEX(월별집계!$AB81:$AM81,설정!$C$7)-INDEX(월별집계!$AB81:$AM81,MAX(1,설정!$C$7-1))*(설정!$C$7&gt;1)),IF(설정!$C$19="최근분기",((INDEX(월별집계!$AB81:$AM81,설정!$C$7)-INDEX(월별집계!$AB81:$AM81,MAX(1,설정!$C$7-3))*(설정!$C$7&gt;3))/MIN(3,설정!$C$7)),IF(설정!$C$19="전년추세",AZ81,((설정!$C$7+1)*SUMPRODUCT(월별집계!$AB$5:$AM$5,월별집계!$AB81:$AM81)-(설정!$C$7*(설정!$C$7+1)/2)*SUM(월별집계!$AB81:$AM81))/((설정!$C$7+1)*(설정!$C$7*(설정!$C$7+1)*(2*설정!$C$7+1)/6)-(설정!$C$7*(설정!$C$7+1)/2)^2)))))</f>
        <v/>
      </c>
      <c r="AQ81" s="35">
        <f>IF($A81="","",IF(설정!$C$19="연내누적",(SUM(월별집계!$AB81:$AM81)-AP81*(설정!$C$7*(설정!$C$7+1)/2))/(설정!$C$7+1),INDEX(월별집계!$AB81:$AM81,설정!$C$7)-AP81*설정!$C$7))</f>
        <v/>
      </c>
      <c r="AR81" s="40">
        <f>IF($A81="","",AQ81+AP81*12)</f>
        <v/>
      </c>
      <c r="AS81" s="82">
        <f>IF($A81="","",IF(OR(P81&lt;=0,Q81&gt;=P81,AP81&lt;=0),"",MAX(설정!$C$7,(P81-AQ81)/AP81)))</f>
        <v/>
      </c>
      <c r="AT81" s="22">
        <f>IF($A81="","",IF(AS81="",IF(AU81="이미 소진","소진됨",""),YEAR((DATE(설정!$C$6,1,1)+ROUND(AS81*365/12,0)-1))&amp;"-"&amp;TEXT(MONTH((DATE(설정!$C$6,1,1)+ROUND(AS81*365/12,0)-1)),"00")&amp;"-"&amp;TEXT(DAY((DATE(설정!$C$6,1,1)+ROUND(AS81*365/12,0)-1)),"00")))</f>
        <v/>
      </c>
      <c r="AU81" s="34">
        <f>IF($A81="","",IF(AND(P81&lt;=0,Q81&gt;0),"무예산",IF(P81&lt;=0,"-",IF(Q81&gt;=P81,"이미 소진",IF(AP81&lt;=0,"소진 안 됨",IF(AS81&lt;=12,"연내 고갈","연내 여유"))))))</f>
        <v/>
      </c>
      <c r="AV81" s="34">
        <f>IF($A81="","",IF(AJ81&lt;=0,"",IF(AK81&gt;=AJ81,"한도 소진",IF(AK81&lt;=0,"",IF(AJ81/(AK81/(설정!$C$20-설정!$C$22+1))&gt;3,"분기 내 여유",YEAR((DATE(설정!$C$6,설정!$C$22-설정!$C$6*12,1)+ROUND(MAX((설정!$C$20-설정!$C$22+1),AJ81/(AK81/(설정!$C$20-설정!$C$22+1)))*365/12,0)-1))&amp;"-"&amp;TEXT(MONTH((DATE(설정!$C$6,설정!$C$22-설정!$C$6*12,1)+ROUND(MAX((설정!$C$20-설정!$C$22+1),AJ81/(AK81/(설정!$C$20-설정!$C$22+1)))*365/12,0)-1)),"00")&amp;"-"&amp;TEXT(DAY((DATE(설정!$C$6,설정!$C$22-설정!$C$6*12,1)+ROUND(MAX((설정!$C$20-설정!$C$22+1),AJ81/(AK81/(설정!$C$20-설정!$C$22+1)))*365/12,0)-1)),"00"))))))</f>
        <v/>
      </c>
      <c r="AW81" s="41">
        <f>IF($A81="",999+ROW()/1000000,IF(AU81="이미 소진",ROW()/1000000,IF(AU81="연내 고갈",AS81+ROW()/1000000,99+ROW()/1000000)))</f>
        <v/>
      </c>
      <c r="AX81" s="35">
        <f>IF($A81="","",SUMIFS(월별집계!$C81:$Z81,월별집계!$C$5:$Z$5,"&gt;="&amp;((설정!$C$6-1)*12+1),월별집계!$C$5:$Z$5,"&lt;="&amp;(설정!$C$20-12)))</f>
        <v/>
      </c>
      <c r="AY81" s="80">
        <f>IF($A81="","",IF(AX81&lt;=0,IF(Q81&gt;0,1,0),Q81/AX81-1))</f>
        <v/>
      </c>
      <c r="AZ81" s="35">
        <f>IF($A81="","",SUMIFS(월별집계!$C81:$Z81,월별집계!$C$5:$Z$5,"&gt;"&amp;(설정!$C$20-12),월별집계!$C$5:$Z$5,"&lt;="&amp;((설정!$C$6-1)*12+12))/MAX(1,12-설정!$C$7))</f>
        <v/>
      </c>
    </row>
    <row r="82">
      <c r="A82" s="12" t="n"/>
      <c r="B82" s="26">
        <f>IF($A82="","",IFERROR(INDEX(부서매핑!$D$5:$D$504,MATCH($A82,부서매핑!$C$5:$C$504,0)),"부서매핑 없음"))</f>
        <v/>
      </c>
      <c r="C82" s="79" t="n"/>
      <c r="D82" s="26">
        <f>IF($A82="","",IFERROR(INDEX(계정매핑!$B$5:$B$504,MATCH($C82&amp;"",계정매핑!$A$5:$A$504,0)),"계정매핑 없음"))</f>
        <v/>
      </c>
      <c r="E82" s="22">
        <f>IF($A82="","",$A82&amp;"|"&amp;$C82)</f>
        <v/>
      </c>
      <c r="F82" s="35">
        <f>IF($A82="","",월별집계!$Z82)</f>
        <v/>
      </c>
      <c r="G82" s="35">
        <f>IF($A82="","",월별집계!$Y82)</f>
        <v/>
      </c>
      <c r="H82" s="80">
        <f>IF($A82="","",IF(G82&lt;=0,IF(F82&gt;0,1,0),F82/G82-1))</f>
        <v/>
      </c>
      <c r="I82" s="35">
        <f>IF($A82="","",월별집계!$N82)</f>
        <v/>
      </c>
      <c r="J82" s="80">
        <f>IF($A82="","",IF(I82&lt;=0,IF(F82&gt;0,1,0),F82/I82-1))</f>
        <v/>
      </c>
      <c r="K82" s="35">
        <f>IF($A82="","",SUMIFS(월별집계!$C82:$Z82,월별집계!$C$5:$Z$5,"&gt;="&amp;설정!$C$22,월별집계!$C$5:$Z$5,"&lt;="&amp;설정!$C$20))</f>
        <v/>
      </c>
      <c r="L82" s="35">
        <f>IF($A82="","",SUMIFS(월별집계!$C82:$Z82,월별집계!$C$5:$Z$5,"&gt;="&amp;(설정!$C$22-3),월별집계!$C$5:$Z$5,"&lt;="&amp;(설정!$C$20-3)))</f>
        <v/>
      </c>
      <c r="M82" s="80">
        <f>IF($A82="","",IF(L82&lt;=0,IF(K82&gt;0,1,0),K82/L82-1))</f>
        <v/>
      </c>
      <c r="N82" s="40">
        <f>IF($A82="","",MAX(F82-G82,F82-I82))</f>
        <v/>
      </c>
      <c r="O82" s="62">
        <f>IF($A82="","",IFERROR((월별집계!$Z82-AVERAGE(월별집계!N82:Y82))/STDEV(월별집계!N82:Y82),0))</f>
        <v/>
      </c>
      <c r="P82" s="35">
        <f>IF($A82="","",SUMIFS(예산판_원본!$O$5:$O$5000,예산판_원본!$L$5:$L$5000,$E82,예산판_원본!$M$5:$M$5000,설정!$C$6))</f>
        <v/>
      </c>
      <c r="Q82" s="35">
        <f>IF($A82="","",SUMIFS(월별집계!$C82:$Z82,월별집계!$C$5:$Z$5,"&gt;="&amp;(설정!$C$6*12+1),월별집계!$C$5:$Z$5,"&lt;="&amp;설정!$C$20))</f>
        <v/>
      </c>
      <c r="R82" s="40">
        <f>IF($A82="","",P82-Q82)</f>
        <v/>
      </c>
      <c r="S82" s="35">
        <f>IF($A82="","",AVERAGE(월별집계!X82:Z82)*(12-설정!$C$7))</f>
        <v/>
      </c>
      <c r="T82" s="35">
        <f>IF($A82="","",IFERROR(Q82/(SUMIFS(월별집계!$C82:$Z82,월별집계!$C$5:$Z$5,"&gt;="&amp;((설정!$C$6-1)*12+1),월별집계!$C$5:$Z$5,"&lt;="&amp;(설정!$C$20-12))/SUMIFS(월별집계!$C82:$Z82,월별집계!$C$5:$Z$5,"&gt;="&amp;((설정!$C$6-1)*12+1),월별집계!$C$5:$Z$5,"&lt;="&amp;((설정!$C$6-1)*12+12)))-Q82,S82))</f>
        <v/>
      </c>
      <c r="U82" s="40">
        <f>IF($A82="","",Q82+MAX(S82,T82))</f>
        <v/>
      </c>
      <c r="V82" s="73">
        <f>IF($A82="","",IF(P82=0,0,U82/P82))</f>
        <v/>
      </c>
      <c r="W82" s="34">
        <f>IF($A82="","",IF(AND(P82=0,Q82&gt;0),"무예산",IF(P82=0,"-",IF(V82&gt;설정!$C$12,"부족 예상",IF(V82&gt;설정!$C$11,"주의","여유")))))</f>
        <v/>
      </c>
      <c r="X82" s="40">
        <f>IF($A82="","",IF(P82=0,0,MAX(0,U82-P82)))</f>
        <v/>
      </c>
      <c r="Y82" s="34">
        <f>IF($A82="","",IF(OR(W82&lt;&gt;"부족 예상",설정!$C$7=12),"",IF(R82&lt;=0,"이미 초과",MIN(12,설정!$C$7+ROUNDUP(R82/(MAX(S82,T82)/(12-설정!$C$7)),0))&amp;"월")))</f>
        <v/>
      </c>
      <c r="Z82" s="26">
        <f>IF($A82="","",TRIM(IF(AND(N(AC82)&gt;=설정!$C$14,N82&gt;=설정!$C$10),"단건"&amp;TEXT(MIN(AC82,1),"0%")&amp;" ","")&amp;IF(AND(N82&gt;0,AD82&gt;0),IF(AD82/N82&gt;=설정!$C$16,"SA대체 ",""),"")&amp;IF(AE82&gt;0,"역분개"&amp;AE82&amp;"건 ","")&amp;IF(O82&gt;=설정!$C$13,"이상치 ","")&amp;IF(AND(I82=0,F82&gt;0),"신규지출 ","")))</f>
        <v/>
      </c>
      <c r="AA82" s="62">
        <f>IF($A82="","",ROUND((AF82+AG82+AH82+AI82)*IF(AND(F82&lt;설정!$C$10,N82&lt;설정!$C$10),0.3,1),1))</f>
        <v/>
      </c>
      <c r="AB82" s="41">
        <f>IF($A82="","",AA82+ROW()/1000000)</f>
        <v/>
      </c>
      <c r="AC82" s="60">
        <f>IF(OR($A82="",N82&lt;=0),"",SUMPRODUCT(MAX((전표_원본!$O$5:$O$100000=$E82)*(전표_원본!$M$5:$M$100000=설정!$C$20)*전표_원본!$P$5:$P$100000))/N82)</f>
        <v/>
      </c>
      <c r="AD82" s="35">
        <f>IF($A82="","",SUMIFS(전표_원본!$P$5:$P$100000,전표_원본!$O$5:$O$100000,$E82,전표_원본!$M$5:$M$100000,설정!$C$20,전표_원본!$E$5:$E$100000,"SA")-SUMIFS(전표_원본!$P$5:$P$100000,전표_원본!$O$5:$O$100000,$E82,전표_원본!$M$5:$M$100000,설정!$C$20-1,전표_원본!$E$5:$E$100000,"SA"))</f>
        <v/>
      </c>
      <c r="AE82" s="81">
        <f>IF($A82="","",COUNTIFS(전표_원본!$O$5:$O$100000,$E82,전표_원본!$M$5:$M$100000,설정!$C$20,전표_원본!$P$5:$P$100000,"&lt;0"))</f>
        <v/>
      </c>
      <c r="AF82" s="62">
        <f>IF($A82="","",MIN(MAX(0,N82)/(설정!$C$10*5),1)*30)</f>
        <v/>
      </c>
      <c r="AG82" s="82">
        <f>IF($A82="","",MIN(MAX(0,H82,J82),1)*20)</f>
        <v/>
      </c>
      <c r="AH82" s="82">
        <f>IF($A82="","",MIN(MAX(0,O82)/3,1)*25)</f>
        <v/>
      </c>
      <c r="AI82" s="82">
        <f>IF($A82="","",IF(OR(W82="부족 예상",W82="무예산",AO82="한도 초과",AO82="초과 예상",AO82="무예산"),25,IF(OR(W82="주의",AO82="주의"),15,0)))</f>
        <v/>
      </c>
      <c r="AJ82" s="35">
        <f>IF($A82="","",SUMIFS(예산판_원본!$O$5:$O$5000,예산판_원본!$L$5:$L$5000,$E82,예산판_원본!$M$5:$M$5000,설정!$C$6,예산판_원본!$N$5:$N$5000,설정!$C$21))</f>
        <v/>
      </c>
      <c r="AK82" s="40">
        <f>IF($A82="","",K82)</f>
        <v/>
      </c>
      <c r="AL82" s="40">
        <f>IF($A82="","",AJ82-AK82)</f>
        <v/>
      </c>
      <c r="AM82" s="35">
        <f>IF($A82="","",AK82+AVERAGE(월별집계!X82:Z82)*MAX(0,설정!$C$22+2-설정!$C$20))</f>
        <v/>
      </c>
      <c r="AN82" s="73">
        <f>IF($A82="","",IF(AJ82=0,0,AM82/AJ82))</f>
        <v/>
      </c>
      <c r="AO82" s="34">
        <f>IF($A82="","",IF(AND(AJ82=0,AK82&gt;0),"무예산",IF(AJ82=0,"-",IF(AK82&gt;AJ82,"한도 초과",IF(AN82&gt;설정!$C$12,"초과 예상",IF(AN82&gt;설정!$C$11,"주의","여유"))))))</f>
        <v/>
      </c>
      <c r="AP82" s="35">
        <f>IF($A82="","",IF(설정!$C$19="최근월",(INDEX(월별집계!$AB82:$AM82,설정!$C$7)-INDEX(월별집계!$AB82:$AM82,MAX(1,설정!$C$7-1))*(설정!$C$7&gt;1)),IF(설정!$C$19="최근분기",((INDEX(월별집계!$AB82:$AM82,설정!$C$7)-INDEX(월별집계!$AB82:$AM82,MAX(1,설정!$C$7-3))*(설정!$C$7&gt;3))/MIN(3,설정!$C$7)),IF(설정!$C$19="전년추세",AZ82,((설정!$C$7+1)*SUMPRODUCT(월별집계!$AB$5:$AM$5,월별집계!$AB82:$AM82)-(설정!$C$7*(설정!$C$7+1)/2)*SUM(월별집계!$AB82:$AM82))/((설정!$C$7+1)*(설정!$C$7*(설정!$C$7+1)*(2*설정!$C$7+1)/6)-(설정!$C$7*(설정!$C$7+1)/2)^2)))))</f>
        <v/>
      </c>
      <c r="AQ82" s="35">
        <f>IF($A82="","",IF(설정!$C$19="연내누적",(SUM(월별집계!$AB82:$AM82)-AP82*(설정!$C$7*(설정!$C$7+1)/2))/(설정!$C$7+1),INDEX(월별집계!$AB82:$AM82,설정!$C$7)-AP82*설정!$C$7))</f>
        <v/>
      </c>
      <c r="AR82" s="40">
        <f>IF($A82="","",AQ82+AP82*12)</f>
        <v/>
      </c>
      <c r="AS82" s="82">
        <f>IF($A82="","",IF(OR(P82&lt;=0,Q82&gt;=P82,AP82&lt;=0),"",MAX(설정!$C$7,(P82-AQ82)/AP82)))</f>
        <v/>
      </c>
      <c r="AT82" s="22">
        <f>IF($A82="","",IF(AS82="",IF(AU82="이미 소진","소진됨",""),YEAR((DATE(설정!$C$6,1,1)+ROUND(AS82*365/12,0)-1))&amp;"-"&amp;TEXT(MONTH((DATE(설정!$C$6,1,1)+ROUND(AS82*365/12,0)-1)),"00")&amp;"-"&amp;TEXT(DAY((DATE(설정!$C$6,1,1)+ROUND(AS82*365/12,0)-1)),"00")))</f>
        <v/>
      </c>
      <c r="AU82" s="34">
        <f>IF($A82="","",IF(AND(P82&lt;=0,Q82&gt;0),"무예산",IF(P82&lt;=0,"-",IF(Q82&gt;=P82,"이미 소진",IF(AP82&lt;=0,"소진 안 됨",IF(AS82&lt;=12,"연내 고갈","연내 여유"))))))</f>
        <v/>
      </c>
      <c r="AV82" s="34">
        <f>IF($A82="","",IF(AJ82&lt;=0,"",IF(AK82&gt;=AJ82,"한도 소진",IF(AK82&lt;=0,"",IF(AJ82/(AK82/(설정!$C$20-설정!$C$22+1))&gt;3,"분기 내 여유",YEAR((DATE(설정!$C$6,설정!$C$22-설정!$C$6*12,1)+ROUND(MAX((설정!$C$20-설정!$C$22+1),AJ82/(AK82/(설정!$C$20-설정!$C$22+1)))*365/12,0)-1))&amp;"-"&amp;TEXT(MONTH((DATE(설정!$C$6,설정!$C$22-설정!$C$6*12,1)+ROUND(MAX((설정!$C$20-설정!$C$22+1),AJ82/(AK82/(설정!$C$20-설정!$C$22+1)))*365/12,0)-1)),"00")&amp;"-"&amp;TEXT(DAY((DATE(설정!$C$6,설정!$C$22-설정!$C$6*12,1)+ROUND(MAX((설정!$C$20-설정!$C$22+1),AJ82/(AK82/(설정!$C$20-설정!$C$22+1)))*365/12,0)-1)),"00"))))))</f>
        <v/>
      </c>
      <c r="AW82" s="41">
        <f>IF($A82="",999+ROW()/1000000,IF(AU82="이미 소진",ROW()/1000000,IF(AU82="연내 고갈",AS82+ROW()/1000000,99+ROW()/1000000)))</f>
        <v/>
      </c>
      <c r="AX82" s="35">
        <f>IF($A82="","",SUMIFS(월별집계!$C82:$Z82,월별집계!$C$5:$Z$5,"&gt;="&amp;((설정!$C$6-1)*12+1),월별집계!$C$5:$Z$5,"&lt;="&amp;(설정!$C$20-12)))</f>
        <v/>
      </c>
      <c r="AY82" s="80">
        <f>IF($A82="","",IF(AX82&lt;=0,IF(Q82&gt;0,1,0),Q82/AX82-1))</f>
        <v/>
      </c>
      <c r="AZ82" s="35">
        <f>IF($A82="","",SUMIFS(월별집계!$C82:$Z82,월별집계!$C$5:$Z$5,"&gt;"&amp;(설정!$C$20-12),월별집계!$C$5:$Z$5,"&lt;="&amp;((설정!$C$6-1)*12+12))/MAX(1,12-설정!$C$7))</f>
        <v/>
      </c>
    </row>
    <row r="83">
      <c r="A83" s="12" t="n"/>
      <c r="B83" s="26">
        <f>IF($A83="","",IFERROR(INDEX(부서매핑!$D$5:$D$504,MATCH($A83,부서매핑!$C$5:$C$504,0)),"부서매핑 없음"))</f>
        <v/>
      </c>
      <c r="C83" s="79" t="n"/>
      <c r="D83" s="26">
        <f>IF($A83="","",IFERROR(INDEX(계정매핑!$B$5:$B$504,MATCH($C83&amp;"",계정매핑!$A$5:$A$504,0)),"계정매핑 없음"))</f>
        <v/>
      </c>
      <c r="E83" s="22">
        <f>IF($A83="","",$A83&amp;"|"&amp;$C83)</f>
        <v/>
      </c>
      <c r="F83" s="35">
        <f>IF($A83="","",월별집계!$Z83)</f>
        <v/>
      </c>
      <c r="G83" s="35">
        <f>IF($A83="","",월별집계!$Y83)</f>
        <v/>
      </c>
      <c r="H83" s="80">
        <f>IF($A83="","",IF(G83&lt;=0,IF(F83&gt;0,1,0),F83/G83-1))</f>
        <v/>
      </c>
      <c r="I83" s="35">
        <f>IF($A83="","",월별집계!$N83)</f>
        <v/>
      </c>
      <c r="J83" s="80">
        <f>IF($A83="","",IF(I83&lt;=0,IF(F83&gt;0,1,0),F83/I83-1))</f>
        <v/>
      </c>
      <c r="K83" s="35">
        <f>IF($A83="","",SUMIFS(월별집계!$C83:$Z83,월별집계!$C$5:$Z$5,"&gt;="&amp;설정!$C$22,월별집계!$C$5:$Z$5,"&lt;="&amp;설정!$C$20))</f>
        <v/>
      </c>
      <c r="L83" s="35">
        <f>IF($A83="","",SUMIFS(월별집계!$C83:$Z83,월별집계!$C$5:$Z$5,"&gt;="&amp;(설정!$C$22-3),월별집계!$C$5:$Z$5,"&lt;="&amp;(설정!$C$20-3)))</f>
        <v/>
      </c>
      <c r="M83" s="80">
        <f>IF($A83="","",IF(L83&lt;=0,IF(K83&gt;0,1,0),K83/L83-1))</f>
        <v/>
      </c>
      <c r="N83" s="40">
        <f>IF($A83="","",MAX(F83-G83,F83-I83))</f>
        <v/>
      </c>
      <c r="O83" s="62">
        <f>IF($A83="","",IFERROR((월별집계!$Z83-AVERAGE(월별집계!N83:Y83))/STDEV(월별집계!N83:Y83),0))</f>
        <v/>
      </c>
      <c r="P83" s="35">
        <f>IF($A83="","",SUMIFS(예산판_원본!$O$5:$O$5000,예산판_원본!$L$5:$L$5000,$E83,예산판_원본!$M$5:$M$5000,설정!$C$6))</f>
        <v/>
      </c>
      <c r="Q83" s="35">
        <f>IF($A83="","",SUMIFS(월별집계!$C83:$Z83,월별집계!$C$5:$Z$5,"&gt;="&amp;(설정!$C$6*12+1),월별집계!$C$5:$Z$5,"&lt;="&amp;설정!$C$20))</f>
        <v/>
      </c>
      <c r="R83" s="40">
        <f>IF($A83="","",P83-Q83)</f>
        <v/>
      </c>
      <c r="S83" s="35">
        <f>IF($A83="","",AVERAGE(월별집계!X83:Z83)*(12-설정!$C$7))</f>
        <v/>
      </c>
      <c r="T83" s="35">
        <f>IF($A83="","",IFERROR(Q83/(SUMIFS(월별집계!$C83:$Z83,월별집계!$C$5:$Z$5,"&gt;="&amp;((설정!$C$6-1)*12+1),월별집계!$C$5:$Z$5,"&lt;="&amp;(설정!$C$20-12))/SUMIFS(월별집계!$C83:$Z83,월별집계!$C$5:$Z$5,"&gt;="&amp;((설정!$C$6-1)*12+1),월별집계!$C$5:$Z$5,"&lt;="&amp;((설정!$C$6-1)*12+12)))-Q83,S83))</f>
        <v/>
      </c>
      <c r="U83" s="40">
        <f>IF($A83="","",Q83+MAX(S83,T83))</f>
        <v/>
      </c>
      <c r="V83" s="73">
        <f>IF($A83="","",IF(P83=0,0,U83/P83))</f>
        <v/>
      </c>
      <c r="W83" s="34">
        <f>IF($A83="","",IF(AND(P83=0,Q83&gt;0),"무예산",IF(P83=0,"-",IF(V83&gt;설정!$C$12,"부족 예상",IF(V83&gt;설정!$C$11,"주의","여유")))))</f>
        <v/>
      </c>
      <c r="X83" s="40">
        <f>IF($A83="","",IF(P83=0,0,MAX(0,U83-P83)))</f>
        <v/>
      </c>
      <c r="Y83" s="34">
        <f>IF($A83="","",IF(OR(W83&lt;&gt;"부족 예상",설정!$C$7=12),"",IF(R83&lt;=0,"이미 초과",MIN(12,설정!$C$7+ROUNDUP(R83/(MAX(S83,T83)/(12-설정!$C$7)),0))&amp;"월")))</f>
        <v/>
      </c>
      <c r="Z83" s="26">
        <f>IF($A83="","",TRIM(IF(AND(N(AC83)&gt;=설정!$C$14,N83&gt;=설정!$C$10),"단건"&amp;TEXT(MIN(AC83,1),"0%")&amp;" ","")&amp;IF(AND(N83&gt;0,AD83&gt;0),IF(AD83/N83&gt;=설정!$C$16,"SA대체 ",""),"")&amp;IF(AE83&gt;0,"역분개"&amp;AE83&amp;"건 ","")&amp;IF(O83&gt;=설정!$C$13,"이상치 ","")&amp;IF(AND(I83=0,F83&gt;0),"신규지출 ","")))</f>
        <v/>
      </c>
      <c r="AA83" s="62">
        <f>IF($A83="","",ROUND((AF83+AG83+AH83+AI83)*IF(AND(F83&lt;설정!$C$10,N83&lt;설정!$C$10),0.3,1),1))</f>
        <v/>
      </c>
      <c r="AB83" s="41">
        <f>IF($A83="","",AA83+ROW()/1000000)</f>
        <v/>
      </c>
      <c r="AC83" s="60">
        <f>IF(OR($A83="",N83&lt;=0),"",SUMPRODUCT(MAX((전표_원본!$O$5:$O$100000=$E83)*(전표_원본!$M$5:$M$100000=설정!$C$20)*전표_원본!$P$5:$P$100000))/N83)</f>
        <v/>
      </c>
      <c r="AD83" s="35">
        <f>IF($A83="","",SUMIFS(전표_원본!$P$5:$P$100000,전표_원본!$O$5:$O$100000,$E83,전표_원본!$M$5:$M$100000,설정!$C$20,전표_원본!$E$5:$E$100000,"SA")-SUMIFS(전표_원본!$P$5:$P$100000,전표_원본!$O$5:$O$100000,$E83,전표_원본!$M$5:$M$100000,설정!$C$20-1,전표_원본!$E$5:$E$100000,"SA"))</f>
        <v/>
      </c>
      <c r="AE83" s="81">
        <f>IF($A83="","",COUNTIFS(전표_원본!$O$5:$O$100000,$E83,전표_원본!$M$5:$M$100000,설정!$C$20,전표_원본!$P$5:$P$100000,"&lt;0"))</f>
        <v/>
      </c>
      <c r="AF83" s="62">
        <f>IF($A83="","",MIN(MAX(0,N83)/(설정!$C$10*5),1)*30)</f>
        <v/>
      </c>
      <c r="AG83" s="82">
        <f>IF($A83="","",MIN(MAX(0,H83,J83),1)*20)</f>
        <v/>
      </c>
      <c r="AH83" s="82">
        <f>IF($A83="","",MIN(MAX(0,O83)/3,1)*25)</f>
        <v/>
      </c>
      <c r="AI83" s="82">
        <f>IF($A83="","",IF(OR(W83="부족 예상",W83="무예산",AO83="한도 초과",AO83="초과 예상",AO83="무예산"),25,IF(OR(W83="주의",AO83="주의"),15,0)))</f>
        <v/>
      </c>
      <c r="AJ83" s="35">
        <f>IF($A83="","",SUMIFS(예산판_원본!$O$5:$O$5000,예산판_원본!$L$5:$L$5000,$E83,예산판_원본!$M$5:$M$5000,설정!$C$6,예산판_원본!$N$5:$N$5000,설정!$C$21))</f>
        <v/>
      </c>
      <c r="AK83" s="40">
        <f>IF($A83="","",K83)</f>
        <v/>
      </c>
      <c r="AL83" s="40">
        <f>IF($A83="","",AJ83-AK83)</f>
        <v/>
      </c>
      <c r="AM83" s="35">
        <f>IF($A83="","",AK83+AVERAGE(월별집계!X83:Z83)*MAX(0,설정!$C$22+2-설정!$C$20))</f>
        <v/>
      </c>
      <c r="AN83" s="73">
        <f>IF($A83="","",IF(AJ83=0,0,AM83/AJ83))</f>
        <v/>
      </c>
      <c r="AO83" s="34">
        <f>IF($A83="","",IF(AND(AJ83=0,AK83&gt;0),"무예산",IF(AJ83=0,"-",IF(AK83&gt;AJ83,"한도 초과",IF(AN83&gt;설정!$C$12,"초과 예상",IF(AN83&gt;설정!$C$11,"주의","여유"))))))</f>
        <v/>
      </c>
      <c r="AP83" s="35">
        <f>IF($A83="","",IF(설정!$C$19="최근월",(INDEX(월별집계!$AB83:$AM83,설정!$C$7)-INDEX(월별집계!$AB83:$AM83,MAX(1,설정!$C$7-1))*(설정!$C$7&gt;1)),IF(설정!$C$19="최근분기",((INDEX(월별집계!$AB83:$AM83,설정!$C$7)-INDEX(월별집계!$AB83:$AM83,MAX(1,설정!$C$7-3))*(설정!$C$7&gt;3))/MIN(3,설정!$C$7)),IF(설정!$C$19="전년추세",AZ83,((설정!$C$7+1)*SUMPRODUCT(월별집계!$AB$5:$AM$5,월별집계!$AB83:$AM83)-(설정!$C$7*(설정!$C$7+1)/2)*SUM(월별집계!$AB83:$AM83))/((설정!$C$7+1)*(설정!$C$7*(설정!$C$7+1)*(2*설정!$C$7+1)/6)-(설정!$C$7*(설정!$C$7+1)/2)^2)))))</f>
        <v/>
      </c>
      <c r="AQ83" s="35">
        <f>IF($A83="","",IF(설정!$C$19="연내누적",(SUM(월별집계!$AB83:$AM83)-AP83*(설정!$C$7*(설정!$C$7+1)/2))/(설정!$C$7+1),INDEX(월별집계!$AB83:$AM83,설정!$C$7)-AP83*설정!$C$7))</f>
        <v/>
      </c>
      <c r="AR83" s="40">
        <f>IF($A83="","",AQ83+AP83*12)</f>
        <v/>
      </c>
      <c r="AS83" s="82">
        <f>IF($A83="","",IF(OR(P83&lt;=0,Q83&gt;=P83,AP83&lt;=0),"",MAX(설정!$C$7,(P83-AQ83)/AP83)))</f>
        <v/>
      </c>
      <c r="AT83" s="22">
        <f>IF($A83="","",IF(AS83="",IF(AU83="이미 소진","소진됨",""),YEAR((DATE(설정!$C$6,1,1)+ROUND(AS83*365/12,0)-1))&amp;"-"&amp;TEXT(MONTH((DATE(설정!$C$6,1,1)+ROUND(AS83*365/12,0)-1)),"00")&amp;"-"&amp;TEXT(DAY((DATE(설정!$C$6,1,1)+ROUND(AS83*365/12,0)-1)),"00")))</f>
        <v/>
      </c>
      <c r="AU83" s="34">
        <f>IF($A83="","",IF(AND(P83&lt;=0,Q83&gt;0),"무예산",IF(P83&lt;=0,"-",IF(Q83&gt;=P83,"이미 소진",IF(AP83&lt;=0,"소진 안 됨",IF(AS83&lt;=12,"연내 고갈","연내 여유"))))))</f>
        <v/>
      </c>
      <c r="AV83" s="34">
        <f>IF($A83="","",IF(AJ83&lt;=0,"",IF(AK83&gt;=AJ83,"한도 소진",IF(AK83&lt;=0,"",IF(AJ83/(AK83/(설정!$C$20-설정!$C$22+1))&gt;3,"분기 내 여유",YEAR((DATE(설정!$C$6,설정!$C$22-설정!$C$6*12,1)+ROUND(MAX((설정!$C$20-설정!$C$22+1),AJ83/(AK83/(설정!$C$20-설정!$C$22+1)))*365/12,0)-1))&amp;"-"&amp;TEXT(MONTH((DATE(설정!$C$6,설정!$C$22-설정!$C$6*12,1)+ROUND(MAX((설정!$C$20-설정!$C$22+1),AJ83/(AK83/(설정!$C$20-설정!$C$22+1)))*365/12,0)-1)),"00")&amp;"-"&amp;TEXT(DAY((DATE(설정!$C$6,설정!$C$22-설정!$C$6*12,1)+ROUND(MAX((설정!$C$20-설정!$C$22+1),AJ83/(AK83/(설정!$C$20-설정!$C$22+1)))*365/12,0)-1)),"00"))))))</f>
        <v/>
      </c>
      <c r="AW83" s="41">
        <f>IF($A83="",999+ROW()/1000000,IF(AU83="이미 소진",ROW()/1000000,IF(AU83="연내 고갈",AS83+ROW()/1000000,99+ROW()/1000000)))</f>
        <v/>
      </c>
      <c r="AX83" s="35">
        <f>IF($A83="","",SUMIFS(월별집계!$C83:$Z83,월별집계!$C$5:$Z$5,"&gt;="&amp;((설정!$C$6-1)*12+1),월별집계!$C$5:$Z$5,"&lt;="&amp;(설정!$C$20-12)))</f>
        <v/>
      </c>
      <c r="AY83" s="80">
        <f>IF($A83="","",IF(AX83&lt;=0,IF(Q83&gt;0,1,0),Q83/AX83-1))</f>
        <v/>
      </c>
      <c r="AZ83" s="35">
        <f>IF($A83="","",SUMIFS(월별집계!$C83:$Z83,월별집계!$C$5:$Z$5,"&gt;"&amp;(설정!$C$20-12),월별집계!$C$5:$Z$5,"&lt;="&amp;((설정!$C$6-1)*12+12))/MAX(1,12-설정!$C$7))</f>
        <v/>
      </c>
    </row>
    <row r="84">
      <c r="A84" s="12" t="n"/>
      <c r="B84" s="26">
        <f>IF($A84="","",IFERROR(INDEX(부서매핑!$D$5:$D$504,MATCH($A84,부서매핑!$C$5:$C$504,0)),"부서매핑 없음"))</f>
        <v/>
      </c>
      <c r="C84" s="79" t="n"/>
      <c r="D84" s="26">
        <f>IF($A84="","",IFERROR(INDEX(계정매핑!$B$5:$B$504,MATCH($C84&amp;"",계정매핑!$A$5:$A$504,0)),"계정매핑 없음"))</f>
        <v/>
      </c>
      <c r="E84" s="22">
        <f>IF($A84="","",$A84&amp;"|"&amp;$C84)</f>
        <v/>
      </c>
      <c r="F84" s="35">
        <f>IF($A84="","",월별집계!$Z84)</f>
        <v/>
      </c>
      <c r="G84" s="35">
        <f>IF($A84="","",월별집계!$Y84)</f>
        <v/>
      </c>
      <c r="H84" s="80">
        <f>IF($A84="","",IF(G84&lt;=0,IF(F84&gt;0,1,0),F84/G84-1))</f>
        <v/>
      </c>
      <c r="I84" s="35">
        <f>IF($A84="","",월별집계!$N84)</f>
        <v/>
      </c>
      <c r="J84" s="80">
        <f>IF($A84="","",IF(I84&lt;=0,IF(F84&gt;0,1,0),F84/I84-1))</f>
        <v/>
      </c>
      <c r="K84" s="35">
        <f>IF($A84="","",SUMIFS(월별집계!$C84:$Z84,월별집계!$C$5:$Z$5,"&gt;="&amp;설정!$C$22,월별집계!$C$5:$Z$5,"&lt;="&amp;설정!$C$20))</f>
        <v/>
      </c>
      <c r="L84" s="35">
        <f>IF($A84="","",SUMIFS(월별집계!$C84:$Z84,월별집계!$C$5:$Z$5,"&gt;="&amp;(설정!$C$22-3),월별집계!$C$5:$Z$5,"&lt;="&amp;(설정!$C$20-3)))</f>
        <v/>
      </c>
      <c r="M84" s="80">
        <f>IF($A84="","",IF(L84&lt;=0,IF(K84&gt;0,1,0),K84/L84-1))</f>
        <v/>
      </c>
      <c r="N84" s="40">
        <f>IF($A84="","",MAX(F84-G84,F84-I84))</f>
        <v/>
      </c>
      <c r="O84" s="62">
        <f>IF($A84="","",IFERROR((월별집계!$Z84-AVERAGE(월별집계!N84:Y84))/STDEV(월별집계!N84:Y84),0))</f>
        <v/>
      </c>
      <c r="P84" s="35">
        <f>IF($A84="","",SUMIFS(예산판_원본!$O$5:$O$5000,예산판_원본!$L$5:$L$5000,$E84,예산판_원본!$M$5:$M$5000,설정!$C$6))</f>
        <v/>
      </c>
      <c r="Q84" s="35">
        <f>IF($A84="","",SUMIFS(월별집계!$C84:$Z84,월별집계!$C$5:$Z$5,"&gt;="&amp;(설정!$C$6*12+1),월별집계!$C$5:$Z$5,"&lt;="&amp;설정!$C$20))</f>
        <v/>
      </c>
      <c r="R84" s="40">
        <f>IF($A84="","",P84-Q84)</f>
        <v/>
      </c>
      <c r="S84" s="35">
        <f>IF($A84="","",AVERAGE(월별집계!X84:Z84)*(12-설정!$C$7))</f>
        <v/>
      </c>
      <c r="T84" s="35">
        <f>IF($A84="","",IFERROR(Q84/(SUMIFS(월별집계!$C84:$Z84,월별집계!$C$5:$Z$5,"&gt;="&amp;((설정!$C$6-1)*12+1),월별집계!$C$5:$Z$5,"&lt;="&amp;(설정!$C$20-12))/SUMIFS(월별집계!$C84:$Z84,월별집계!$C$5:$Z$5,"&gt;="&amp;((설정!$C$6-1)*12+1),월별집계!$C$5:$Z$5,"&lt;="&amp;((설정!$C$6-1)*12+12)))-Q84,S84))</f>
        <v/>
      </c>
      <c r="U84" s="40">
        <f>IF($A84="","",Q84+MAX(S84,T84))</f>
        <v/>
      </c>
      <c r="V84" s="73">
        <f>IF($A84="","",IF(P84=0,0,U84/P84))</f>
        <v/>
      </c>
      <c r="W84" s="34">
        <f>IF($A84="","",IF(AND(P84=0,Q84&gt;0),"무예산",IF(P84=0,"-",IF(V84&gt;설정!$C$12,"부족 예상",IF(V84&gt;설정!$C$11,"주의","여유")))))</f>
        <v/>
      </c>
      <c r="X84" s="40">
        <f>IF($A84="","",IF(P84=0,0,MAX(0,U84-P84)))</f>
        <v/>
      </c>
      <c r="Y84" s="34">
        <f>IF($A84="","",IF(OR(W84&lt;&gt;"부족 예상",설정!$C$7=12),"",IF(R84&lt;=0,"이미 초과",MIN(12,설정!$C$7+ROUNDUP(R84/(MAX(S84,T84)/(12-설정!$C$7)),0))&amp;"월")))</f>
        <v/>
      </c>
      <c r="Z84" s="26">
        <f>IF($A84="","",TRIM(IF(AND(N(AC84)&gt;=설정!$C$14,N84&gt;=설정!$C$10),"단건"&amp;TEXT(MIN(AC84,1),"0%")&amp;" ","")&amp;IF(AND(N84&gt;0,AD84&gt;0),IF(AD84/N84&gt;=설정!$C$16,"SA대체 ",""),"")&amp;IF(AE84&gt;0,"역분개"&amp;AE84&amp;"건 ","")&amp;IF(O84&gt;=설정!$C$13,"이상치 ","")&amp;IF(AND(I84=0,F84&gt;0),"신규지출 ","")))</f>
        <v/>
      </c>
      <c r="AA84" s="62">
        <f>IF($A84="","",ROUND((AF84+AG84+AH84+AI84)*IF(AND(F84&lt;설정!$C$10,N84&lt;설정!$C$10),0.3,1),1))</f>
        <v/>
      </c>
      <c r="AB84" s="41">
        <f>IF($A84="","",AA84+ROW()/1000000)</f>
        <v/>
      </c>
      <c r="AC84" s="60">
        <f>IF(OR($A84="",N84&lt;=0),"",SUMPRODUCT(MAX((전표_원본!$O$5:$O$100000=$E84)*(전표_원본!$M$5:$M$100000=설정!$C$20)*전표_원본!$P$5:$P$100000))/N84)</f>
        <v/>
      </c>
      <c r="AD84" s="35">
        <f>IF($A84="","",SUMIFS(전표_원본!$P$5:$P$100000,전표_원본!$O$5:$O$100000,$E84,전표_원본!$M$5:$M$100000,설정!$C$20,전표_원본!$E$5:$E$100000,"SA")-SUMIFS(전표_원본!$P$5:$P$100000,전표_원본!$O$5:$O$100000,$E84,전표_원본!$M$5:$M$100000,설정!$C$20-1,전표_원본!$E$5:$E$100000,"SA"))</f>
        <v/>
      </c>
      <c r="AE84" s="81">
        <f>IF($A84="","",COUNTIFS(전표_원본!$O$5:$O$100000,$E84,전표_원본!$M$5:$M$100000,설정!$C$20,전표_원본!$P$5:$P$100000,"&lt;0"))</f>
        <v/>
      </c>
      <c r="AF84" s="62">
        <f>IF($A84="","",MIN(MAX(0,N84)/(설정!$C$10*5),1)*30)</f>
        <v/>
      </c>
      <c r="AG84" s="82">
        <f>IF($A84="","",MIN(MAX(0,H84,J84),1)*20)</f>
        <v/>
      </c>
      <c r="AH84" s="82">
        <f>IF($A84="","",MIN(MAX(0,O84)/3,1)*25)</f>
        <v/>
      </c>
      <c r="AI84" s="82">
        <f>IF($A84="","",IF(OR(W84="부족 예상",W84="무예산",AO84="한도 초과",AO84="초과 예상",AO84="무예산"),25,IF(OR(W84="주의",AO84="주의"),15,0)))</f>
        <v/>
      </c>
      <c r="AJ84" s="35">
        <f>IF($A84="","",SUMIFS(예산판_원본!$O$5:$O$5000,예산판_원본!$L$5:$L$5000,$E84,예산판_원본!$M$5:$M$5000,설정!$C$6,예산판_원본!$N$5:$N$5000,설정!$C$21))</f>
        <v/>
      </c>
      <c r="AK84" s="40">
        <f>IF($A84="","",K84)</f>
        <v/>
      </c>
      <c r="AL84" s="40">
        <f>IF($A84="","",AJ84-AK84)</f>
        <v/>
      </c>
      <c r="AM84" s="35">
        <f>IF($A84="","",AK84+AVERAGE(월별집계!X84:Z84)*MAX(0,설정!$C$22+2-설정!$C$20))</f>
        <v/>
      </c>
      <c r="AN84" s="73">
        <f>IF($A84="","",IF(AJ84=0,0,AM84/AJ84))</f>
        <v/>
      </c>
      <c r="AO84" s="34">
        <f>IF($A84="","",IF(AND(AJ84=0,AK84&gt;0),"무예산",IF(AJ84=0,"-",IF(AK84&gt;AJ84,"한도 초과",IF(AN84&gt;설정!$C$12,"초과 예상",IF(AN84&gt;설정!$C$11,"주의","여유"))))))</f>
        <v/>
      </c>
      <c r="AP84" s="35">
        <f>IF($A84="","",IF(설정!$C$19="최근월",(INDEX(월별집계!$AB84:$AM84,설정!$C$7)-INDEX(월별집계!$AB84:$AM84,MAX(1,설정!$C$7-1))*(설정!$C$7&gt;1)),IF(설정!$C$19="최근분기",((INDEX(월별집계!$AB84:$AM84,설정!$C$7)-INDEX(월별집계!$AB84:$AM84,MAX(1,설정!$C$7-3))*(설정!$C$7&gt;3))/MIN(3,설정!$C$7)),IF(설정!$C$19="전년추세",AZ84,((설정!$C$7+1)*SUMPRODUCT(월별집계!$AB$5:$AM$5,월별집계!$AB84:$AM84)-(설정!$C$7*(설정!$C$7+1)/2)*SUM(월별집계!$AB84:$AM84))/((설정!$C$7+1)*(설정!$C$7*(설정!$C$7+1)*(2*설정!$C$7+1)/6)-(설정!$C$7*(설정!$C$7+1)/2)^2)))))</f>
        <v/>
      </c>
      <c r="AQ84" s="35">
        <f>IF($A84="","",IF(설정!$C$19="연내누적",(SUM(월별집계!$AB84:$AM84)-AP84*(설정!$C$7*(설정!$C$7+1)/2))/(설정!$C$7+1),INDEX(월별집계!$AB84:$AM84,설정!$C$7)-AP84*설정!$C$7))</f>
        <v/>
      </c>
      <c r="AR84" s="40">
        <f>IF($A84="","",AQ84+AP84*12)</f>
        <v/>
      </c>
      <c r="AS84" s="82">
        <f>IF($A84="","",IF(OR(P84&lt;=0,Q84&gt;=P84,AP84&lt;=0),"",MAX(설정!$C$7,(P84-AQ84)/AP84)))</f>
        <v/>
      </c>
      <c r="AT84" s="22">
        <f>IF($A84="","",IF(AS84="",IF(AU84="이미 소진","소진됨",""),YEAR((DATE(설정!$C$6,1,1)+ROUND(AS84*365/12,0)-1))&amp;"-"&amp;TEXT(MONTH((DATE(설정!$C$6,1,1)+ROUND(AS84*365/12,0)-1)),"00")&amp;"-"&amp;TEXT(DAY((DATE(설정!$C$6,1,1)+ROUND(AS84*365/12,0)-1)),"00")))</f>
        <v/>
      </c>
      <c r="AU84" s="34">
        <f>IF($A84="","",IF(AND(P84&lt;=0,Q84&gt;0),"무예산",IF(P84&lt;=0,"-",IF(Q84&gt;=P84,"이미 소진",IF(AP84&lt;=0,"소진 안 됨",IF(AS84&lt;=12,"연내 고갈","연내 여유"))))))</f>
        <v/>
      </c>
      <c r="AV84" s="34">
        <f>IF($A84="","",IF(AJ84&lt;=0,"",IF(AK84&gt;=AJ84,"한도 소진",IF(AK84&lt;=0,"",IF(AJ84/(AK84/(설정!$C$20-설정!$C$22+1))&gt;3,"분기 내 여유",YEAR((DATE(설정!$C$6,설정!$C$22-설정!$C$6*12,1)+ROUND(MAX((설정!$C$20-설정!$C$22+1),AJ84/(AK84/(설정!$C$20-설정!$C$22+1)))*365/12,0)-1))&amp;"-"&amp;TEXT(MONTH((DATE(설정!$C$6,설정!$C$22-설정!$C$6*12,1)+ROUND(MAX((설정!$C$20-설정!$C$22+1),AJ84/(AK84/(설정!$C$20-설정!$C$22+1)))*365/12,0)-1)),"00")&amp;"-"&amp;TEXT(DAY((DATE(설정!$C$6,설정!$C$22-설정!$C$6*12,1)+ROUND(MAX((설정!$C$20-설정!$C$22+1),AJ84/(AK84/(설정!$C$20-설정!$C$22+1)))*365/12,0)-1)),"00"))))))</f>
        <v/>
      </c>
      <c r="AW84" s="41">
        <f>IF($A84="",999+ROW()/1000000,IF(AU84="이미 소진",ROW()/1000000,IF(AU84="연내 고갈",AS84+ROW()/1000000,99+ROW()/1000000)))</f>
        <v/>
      </c>
      <c r="AX84" s="35">
        <f>IF($A84="","",SUMIFS(월별집계!$C84:$Z84,월별집계!$C$5:$Z$5,"&gt;="&amp;((설정!$C$6-1)*12+1),월별집계!$C$5:$Z$5,"&lt;="&amp;(설정!$C$20-12)))</f>
        <v/>
      </c>
      <c r="AY84" s="80">
        <f>IF($A84="","",IF(AX84&lt;=0,IF(Q84&gt;0,1,0),Q84/AX84-1))</f>
        <v/>
      </c>
      <c r="AZ84" s="35">
        <f>IF($A84="","",SUMIFS(월별집계!$C84:$Z84,월별집계!$C$5:$Z$5,"&gt;"&amp;(설정!$C$20-12),월별집계!$C$5:$Z$5,"&lt;="&amp;((설정!$C$6-1)*12+12))/MAX(1,12-설정!$C$7))</f>
        <v/>
      </c>
    </row>
    <row r="85">
      <c r="A85" s="12" t="n"/>
      <c r="B85" s="26">
        <f>IF($A85="","",IFERROR(INDEX(부서매핑!$D$5:$D$504,MATCH($A85,부서매핑!$C$5:$C$504,0)),"부서매핑 없음"))</f>
        <v/>
      </c>
      <c r="C85" s="79" t="n"/>
      <c r="D85" s="26">
        <f>IF($A85="","",IFERROR(INDEX(계정매핑!$B$5:$B$504,MATCH($C85&amp;"",계정매핑!$A$5:$A$504,0)),"계정매핑 없음"))</f>
        <v/>
      </c>
      <c r="E85" s="22">
        <f>IF($A85="","",$A85&amp;"|"&amp;$C85)</f>
        <v/>
      </c>
      <c r="F85" s="35">
        <f>IF($A85="","",월별집계!$Z85)</f>
        <v/>
      </c>
      <c r="G85" s="35">
        <f>IF($A85="","",월별집계!$Y85)</f>
        <v/>
      </c>
      <c r="H85" s="80">
        <f>IF($A85="","",IF(G85&lt;=0,IF(F85&gt;0,1,0),F85/G85-1))</f>
        <v/>
      </c>
      <c r="I85" s="35">
        <f>IF($A85="","",월별집계!$N85)</f>
        <v/>
      </c>
      <c r="J85" s="80">
        <f>IF($A85="","",IF(I85&lt;=0,IF(F85&gt;0,1,0),F85/I85-1))</f>
        <v/>
      </c>
      <c r="K85" s="35">
        <f>IF($A85="","",SUMIFS(월별집계!$C85:$Z85,월별집계!$C$5:$Z$5,"&gt;="&amp;설정!$C$22,월별집계!$C$5:$Z$5,"&lt;="&amp;설정!$C$20))</f>
        <v/>
      </c>
      <c r="L85" s="35">
        <f>IF($A85="","",SUMIFS(월별집계!$C85:$Z85,월별집계!$C$5:$Z$5,"&gt;="&amp;(설정!$C$22-3),월별집계!$C$5:$Z$5,"&lt;="&amp;(설정!$C$20-3)))</f>
        <v/>
      </c>
      <c r="M85" s="80">
        <f>IF($A85="","",IF(L85&lt;=0,IF(K85&gt;0,1,0),K85/L85-1))</f>
        <v/>
      </c>
      <c r="N85" s="40">
        <f>IF($A85="","",MAX(F85-G85,F85-I85))</f>
        <v/>
      </c>
      <c r="O85" s="62">
        <f>IF($A85="","",IFERROR((월별집계!$Z85-AVERAGE(월별집계!N85:Y85))/STDEV(월별집계!N85:Y85),0))</f>
        <v/>
      </c>
      <c r="P85" s="35">
        <f>IF($A85="","",SUMIFS(예산판_원본!$O$5:$O$5000,예산판_원본!$L$5:$L$5000,$E85,예산판_원본!$M$5:$M$5000,설정!$C$6))</f>
        <v/>
      </c>
      <c r="Q85" s="35">
        <f>IF($A85="","",SUMIFS(월별집계!$C85:$Z85,월별집계!$C$5:$Z$5,"&gt;="&amp;(설정!$C$6*12+1),월별집계!$C$5:$Z$5,"&lt;="&amp;설정!$C$20))</f>
        <v/>
      </c>
      <c r="R85" s="40">
        <f>IF($A85="","",P85-Q85)</f>
        <v/>
      </c>
      <c r="S85" s="35">
        <f>IF($A85="","",AVERAGE(월별집계!X85:Z85)*(12-설정!$C$7))</f>
        <v/>
      </c>
      <c r="T85" s="35">
        <f>IF($A85="","",IFERROR(Q85/(SUMIFS(월별집계!$C85:$Z85,월별집계!$C$5:$Z$5,"&gt;="&amp;((설정!$C$6-1)*12+1),월별집계!$C$5:$Z$5,"&lt;="&amp;(설정!$C$20-12))/SUMIFS(월별집계!$C85:$Z85,월별집계!$C$5:$Z$5,"&gt;="&amp;((설정!$C$6-1)*12+1),월별집계!$C$5:$Z$5,"&lt;="&amp;((설정!$C$6-1)*12+12)))-Q85,S85))</f>
        <v/>
      </c>
      <c r="U85" s="40">
        <f>IF($A85="","",Q85+MAX(S85,T85))</f>
        <v/>
      </c>
      <c r="V85" s="73">
        <f>IF($A85="","",IF(P85=0,0,U85/P85))</f>
        <v/>
      </c>
      <c r="W85" s="34">
        <f>IF($A85="","",IF(AND(P85=0,Q85&gt;0),"무예산",IF(P85=0,"-",IF(V85&gt;설정!$C$12,"부족 예상",IF(V85&gt;설정!$C$11,"주의","여유")))))</f>
        <v/>
      </c>
      <c r="X85" s="40">
        <f>IF($A85="","",IF(P85=0,0,MAX(0,U85-P85)))</f>
        <v/>
      </c>
      <c r="Y85" s="34">
        <f>IF($A85="","",IF(OR(W85&lt;&gt;"부족 예상",설정!$C$7=12),"",IF(R85&lt;=0,"이미 초과",MIN(12,설정!$C$7+ROUNDUP(R85/(MAX(S85,T85)/(12-설정!$C$7)),0))&amp;"월")))</f>
        <v/>
      </c>
      <c r="Z85" s="26">
        <f>IF($A85="","",TRIM(IF(AND(N(AC85)&gt;=설정!$C$14,N85&gt;=설정!$C$10),"단건"&amp;TEXT(MIN(AC85,1),"0%")&amp;" ","")&amp;IF(AND(N85&gt;0,AD85&gt;0),IF(AD85/N85&gt;=설정!$C$16,"SA대체 ",""),"")&amp;IF(AE85&gt;0,"역분개"&amp;AE85&amp;"건 ","")&amp;IF(O85&gt;=설정!$C$13,"이상치 ","")&amp;IF(AND(I85=0,F85&gt;0),"신규지출 ","")))</f>
        <v/>
      </c>
      <c r="AA85" s="62">
        <f>IF($A85="","",ROUND((AF85+AG85+AH85+AI85)*IF(AND(F85&lt;설정!$C$10,N85&lt;설정!$C$10),0.3,1),1))</f>
        <v/>
      </c>
      <c r="AB85" s="41">
        <f>IF($A85="","",AA85+ROW()/1000000)</f>
        <v/>
      </c>
      <c r="AC85" s="60">
        <f>IF(OR($A85="",N85&lt;=0),"",SUMPRODUCT(MAX((전표_원본!$O$5:$O$100000=$E85)*(전표_원본!$M$5:$M$100000=설정!$C$20)*전표_원본!$P$5:$P$100000))/N85)</f>
        <v/>
      </c>
      <c r="AD85" s="35">
        <f>IF($A85="","",SUMIFS(전표_원본!$P$5:$P$100000,전표_원본!$O$5:$O$100000,$E85,전표_원본!$M$5:$M$100000,설정!$C$20,전표_원본!$E$5:$E$100000,"SA")-SUMIFS(전표_원본!$P$5:$P$100000,전표_원본!$O$5:$O$100000,$E85,전표_원본!$M$5:$M$100000,설정!$C$20-1,전표_원본!$E$5:$E$100000,"SA"))</f>
        <v/>
      </c>
      <c r="AE85" s="81">
        <f>IF($A85="","",COUNTIFS(전표_원본!$O$5:$O$100000,$E85,전표_원본!$M$5:$M$100000,설정!$C$20,전표_원본!$P$5:$P$100000,"&lt;0"))</f>
        <v/>
      </c>
      <c r="AF85" s="62">
        <f>IF($A85="","",MIN(MAX(0,N85)/(설정!$C$10*5),1)*30)</f>
        <v/>
      </c>
      <c r="AG85" s="82">
        <f>IF($A85="","",MIN(MAX(0,H85,J85),1)*20)</f>
        <v/>
      </c>
      <c r="AH85" s="82">
        <f>IF($A85="","",MIN(MAX(0,O85)/3,1)*25)</f>
        <v/>
      </c>
      <c r="AI85" s="82">
        <f>IF($A85="","",IF(OR(W85="부족 예상",W85="무예산",AO85="한도 초과",AO85="초과 예상",AO85="무예산"),25,IF(OR(W85="주의",AO85="주의"),15,0)))</f>
        <v/>
      </c>
      <c r="AJ85" s="35">
        <f>IF($A85="","",SUMIFS(예산판_원본!$O$5:$O$5000,예산판_원본!$L$5:$L$5000,$E85,예산판_원본!$M$5:$M$5000,설정!$C$6,예산판_원본!$N$5:$N$5000,설정!$C$21))</f>
        <v/>
      </c>
      <c r="AK85" s="40">
        <f>IF($A85="","",K85)</f>
        <v/>
      </c>
      <c r="AL85" s="40">
        <f>IF($A85="","",AJ85-AK85)</f>
        <v/>
      </c>
      <c r="AM85" s="35">
        <f>IF($A85="","",AK85+AVERAGE(월별집계!X85:Z85)*MAX(0,설정!$C$22+2-설정!$C$20))</f>
        <v/>
      </c>
      <c r="AN85" s="73">
        <f>IF($A85="","",IF(AJ85=0,0,AM85/AJ85))</f>
        <v/>
      </c>
      <c r="AO85" s="34">
        <f>IF($A85="","",IF(AND(AJ85=0,AK85&gt;0),"무예산",IF(AJ85=0,"-",IF(AK85&gt;AJ85,"한도 초과",IF(AN85&gt;설정!$C$12,"초과 예상",IF(AN85&gt;설정!$C$11,"주의","여유"))))))</f>
        <v/>
      </c>
      <c r="AP85" s="35">
        <f>IF($A85="","",IF(설정!$C$19="최근월",(INDEX(월별집계!$AB85:$AM85,설정!$C$7)-INDEX(월별집계!$AB85:$AM85,MAX(1,설정!$C$7-1))*(설정!$C$7&gt;1)),IF(설정!$C$19="최근분기",((INDEX(월별집계!$AB85:$AM85,설정!$C$7)-INDEX(월별집계!$AB85:$AM85,MAX(1,설정!$C$7-3))*(설정!$C$7&gt;3))/MIN(3,설정!$C$7)),IF(설정!$C$19="전년추세",AZ85,((설정!$C$7+1)*SUMPRODUCT(월별집계!$AB$5:$AM$5,월별집계!$AB85:$AM85)-(설정!$C$7*(설정!$C$7+1)/2)*SUM(월별집계!$AB85:$AM85))/((설정!$C$7+1)*(설정!$C$7*(설정!$C$7+1)*(2*설정!$C$7+1)/6)-(설정!$C$7*(설정!$C$7+1)/2)^2)))))</f>
        <v/>
      </c>
      <c r="AQ85" s="35">
        <f>IF($A85="","",IF(설정!$C$19="연내누적",(SUM(월별집계!$AB85:$AM85)-AP85*(설정!$C$7*(설정!$C$7+1)/2))/(설정!$C$7+1),INDEX(월별집계!$AB85:$AM85,설정!$C$7)-AP85*설정!$C$7))</f>
        <v/>
      </c>
      <c r="AR85" s="40">
        <f>IF($A85="","",AQ85+AP85*12)</f>
        <v/>
      </c>
      <c r="AS85" s="82">
        <f>IF($A85="","",IF(OR(P85&lt;=0,Q85&gt;=P85,AP85&lt;=0),"",MAX(설정!$C$7,(P85-AQ85)/AP85)))</f>
        <v/>
      </c>
      <c r="AT85" s="22">
        <f>IF($A85="","",IF(AS85="",IF(AU85="이미 소진","소진됨",""),YEAR((DATE(설정!$C$6,1,1)+ROUND(AS85*365/12,0)-1))&amp;"-"&amp;TEXT(MONTH((DATE(설정!$C$6,1,1)+ROUND(AS85*365/12,0)-1)),"00")&amp;"-"&amp;TEXT(DAY((DATE(설정!$C$6,1,1)+ROUND(AS85*365/12,0)-1)),"00")))</f>
        <v/>
      </c>
      <c r="AU85" s="34">
        <f>IF($A85="","",IF(AND(P85&lt;=0,Q85&gt;0),"무예산",IF(P85&lt;=0,"-",IF(Q85&gt;=P85,"이미 소진",IF(AP85&lt;=0,"소진 안 됨",IF(AS85&lt;=12,"연내 고갈","연내 여유"))))))</f>
        <v/>
      </c>
      <c r="AV85" s="34">
        <f>IF($A85="","",IF(AJ85&lt;=0,"",IF(AK85&gt;=AJ85,"한도 소진",IF(AK85&lt;=0,"",IF(AJ85/(AK85/(설정!$C$20-설정!$C$22+1))&gt;3,"분기 내 여유",YEAR((DATE(설정!$C$6,설정!$C$22-설정!$C$6*12,1)+ROUND(MAX((설정!$C$20-설정!$C$22+1),AJ85/(AK85/(설정!$C$20-설정!$C$22+1)))*365/12,0)-1))&amp;"-"&amp;TEXT(MONTH((DATE(설정!$C$6,설정!$C$22-설정!$C$6*12,1)+ROUND(MAX((설정!$C$20-설정!$C$22+1),AJ85/(AK85/(설정!$C$20-설정!$C$22+1)))*365/12,0)-1)),"00")&amp;"-"&amp;TEXT(DAY((DATE(설정!$C$6,설정!$C$22-설정!$C$6*12,1)+ROUND(MAX((설정!$C$20-설정!$C$22+1),AJ85/(AK85/(설정!$C$20-설정!$C$22+1)))*365/12,0)-1)),"00"))))))</f>
        <v/>
      </c>
      <c r="AW85" s="41">
        <f>IF($A85="",999+ROW()/1000000,IF(AU85="이미 소진",ROW()/1000000,IF(AU85="연내 고갈",AS85+ROW()/1000000,99+ROW()/1000000)))</f>
        <v/>
      </c>
      <c r="AX85" s="35">
        <f>IF($A85="","",SUMIFS(월별집계!$C85:$Z85,월별집계!$C$5:$Z$5,"&gt;="&amp;((설정!$C$6-1)*12+1),월별집계!$C$5:$Z$5,"&lt;="&amp;(설정!$C$20-12)))</f>
        <v/>
      </c>
      <c r="AY85" s="80">
        <f>IF($A85="","",IF(AX85&lt;=0,IF(Q85&gt;0,1,0),Q85/AX85-1))</f>
        <v/>
      </c>
      <c r="AZ85" s="35">
        <f>IF($A85="","",SUMIFS(월별집계!$C85:$Z85,월별집계!$C$5:$Z$5,"&gt;"&amp;(설정!$C$20-12),월별집계!$C$5:$Z$5,"&lt;="&amp;((설정!$C$6-1)*12+12))/MAX(1,12-설정!$C$7))</f>
        <v/>
      </c>
    </row>
    <row r="86">
      <c r="A86" s="12" t="n"/>
      <c r="B86" s="26">
        <f>IF($A86="","",IFERROR(INDEX(부서매핑!$D$5:$D$504,MATCH($A86,부서매핑!$C$5:$C$504,0)),"부서매핑 없음"))</f>
        <v/>
      </c>
      <c r="C86" s="79" t="n"/>
      <c r="D86" s="26">
        <f>IF($A86="","",IFERROR(INDEX(계정매핑!$B$5:$B$504,MATCH($C86&amp;"",계정매핑!$A$5:$A$504,0)),"계정매핑 없음"))</f>
        <v/>
      </c>
      <c r="E86" s="22">
        <f>IF($A86="","",$A86&amp;"|"&amp;$C86)</f>
        <v/>
      </c>
      <c r="F86" s="35">
        <f>IF($A86="","",월별집계!$Z86)</f>
        <v/>
      </c>
      <c r="G86" s="35">
        <f>IF($A86="","",월별집계!$Y86)</f>
        <v/>
      </c>
      <c r="H86" s="80">
        <f>IF($A86="","",IF(G86&lt;=0,IF(F86&gt;0,1,0),F86/G86-1))</f>
        <v/>
      </c>
      <c r="I86" s="35">
        <f>IF($A86="","",월별집계!$N86)</f>
        <v/>
      </c>
      <c r="J86" s="80">
        <f>IF($A86="","",IF(I86&lt;=0,IF(F86&gt;0,1,0),F86/I86-1))</f>
        <v/>
      </c>
      <c r="K86" s="35">
        <f>IF($A86="","",SUMIFS(월별집계!$C86:$Z86,월별집계!$C$5:$Z$5,"&gt;="&amp;설정!$C$22,월별집계!$C$5:$Z$5,"&lt;="&amp;설정!$C$20))</f>
        <v/>
      </c>
      <c r="L86" s="35">
        <f>IF($A86="","",SUMIFS(월별집계!$C86:$Z86,월별집계!$C$5:$Z$5,"&gt;="&amp;(설정!$C$22-3),월별집계!$C$5:$Z$5,"&lt;="&amp;(설정!$C$20-3)))</f>
        <v/>
      </c>
      <c r="M86" s="80">
        <f>IF($A86="","",IF(L86&lt;=0,IF(K86&gt;0,1,0),K86/L86-1))</f>
        <v/>
      </c>
      <c r="N86" s="40">
        <f>IF($A86="","",MAX(F86-G86,F86-I86))</f>
        <v/>
      </c>
      <c r="O86" s="62">
        <f>IF($A86="","",IFERROR((월별집계!$Z86-AVERAGE(월별집계!N86:Y86))/STDEV(월별집계!N86:Y86),0))</f>
        <v/>
      </c>
      <c r="P86" s="35">
        <f>IF($A86="","",SUMIFS(예산판_원본!$O$5:$O$5000,예산판_원본!$L$5:$L$5000,$E86,예산판_원본!$M$5:$M$5000,설정!$C$6))</f>
        <v/>
      </c>
      <c r="Q86" s="35">
        <f>IF($A86="","",SUMIFS(월별집계!$C86:$Z86,월별집계!$C$5:$Z$5,"&gt;="&amp;(설정!$C$6*12+1),월별집계!$C$5:$Z$5,"&lt;="&amp;설정!$C$20))</f>
        <v/>
      </c>
      <c r="R86" s="40">
        <f>IF($A86="","",P86-Q86)</f>
        <v/>
      </c>
      <c r="S86" s="35">
        <f>IF($A86="","",AVERAGE(월별집계!X86:Z86)*(12-설정!$C$7))</f>
        <v/>
      </c>
      <c r="T86" s="35">
        <f>IF($A86="","",IFERROR(Q86/(SUMIFS(월별집계!$C86:$Z86,월별집계!$C$5:$Z$5,"&gt;="&amp;((설정!$C$6-1)*12+1),월별집계!$C$5:$Z$5,"&lt;="&amp;(설정!$C$20-12))/SUMIFS(월별집계!$C86:$Z86,월별집계!$C$5:$Z$5,"&gt;="&amp;((설정!$C$6-1)*12+1),월별집계!$C$5:$Z$5,"&lt;="&amp;((설정!$C$6-1)*12+12)))-Q86,S86))</f>
        <v/>
      </c>
      <c r="U86" s="40">
        <f>IF($A86="","",Q86+MAX(S86,T86))</f>
        <v/>
      </c>
      <c r="V86" s="73">
        <f>IF($A86="","",IF(P86=0,0,U86/P86))</f>
        <v/>
      </c>
      <c r="W86" s="34">
        <f>IF($A86="","",IF(AND(P86=0,Q86&gt;0),"무예산",IF(P86=0,"-",IF(V86&gt;설정!$C$12,"부족 예상",IF(V86&gt;설정!$C$11,"주의","여유")))))</f>
        <v/>
      </c>
      <c r="X86" s="40">
        <f>IF($A86="","",IF(P86=0,0,MAX(0,U86-P86)))</f>
        <v/>
      </c>
      <c r="Y86" s="34">
        <f>IF($A86="","",IF(OR(W86&lt;&gt;"부족 예상",설정!$C$7=12),"",IF(R86&lt;=0,"이미 초과",MIN(12,설정!$C$7+ROUNDUP(R86/(MAX(S86,T86)/(12-설정!$C$7)),0))&amp;"월")))</f>
        <v/>
      </c>
      <c r="Z86" s="26">
        <f>IF($A86="","",TRIM(IF(AND(N(AC86)&gt;=설정!$C$14,N86&gt;=설정!$C$10),"단건"&amp;TEXT(MIN(AC86,1),"0%")&amp;" ","")&amp;IF(AND(N86&gt;0,AD86&gt;0),IF(AD86/N86&gt;=설정!$C$16,"SA대체 ",""),"")&amp;IF(AE86&gt;0,"역분개"&amp;AE86&amp;"건 ","")&amp;IF(O86&gt;=설정!$C$13,"이상치 ","")&amp;IF(AND(I86=0,F86&gt;0),"신규지출 ","")))</f>
        <v/>
      </c>
      <c r="AA86" s="62">
        <f>IF($A86="","",ROUND((AF86+AG86+AH86+AI86)*IF(AND(F86&lt;설정!$C$10,N86&lt;설정!$C$10),0.3,1),1))</f>
        <v/>
      </c>
      <c r="AB86" s="41">
        <f>IF($A86="","",AA86+ROW()/1000000)</f>
        <v/>
      </c>
      <c r="AC86" s="60">
        <f>IF(OR($A86="",N86&lt;=0),"",SUMPRODUCT(MAX((전표_원본!$O$5:$O$100000=$E86)*(전표_원본!$M$5:$M$100000=설정!$C$20)*전표_원본!$P$5:$P$100000))/N86)</f>
        <v/>
      </c>
      <c r="AD86" s="35">
        <f>IF($A86="","",SUMIFS(전표_원본!$P$5:$P$100000,전표_원본!$O$5:$O$100000,$E86,전표_원본!$M$5:$M$100000,설정!$C$20,전표_원본!$E$5:$E$100000,"SA")-SUMIFS(전표_원본!$P$5:$P$100000,전표_원본!$O$5:$O$100000,$E86,전표_원본!$M$5:$M$100000,설정!$C$20-1,전표_원본!$E$5:$E$100000,"SA"))</f>
        <v/>
      </c>
      <c r="AE86" s="81">
        <f>IF($A86="","",COUNTIFS(전표_원본!$O$5:$O$100000,$E86,전표_원본!$M$5:$M$100000,설정!$C$20,전표_원본!$P$5:$P$100000,"&lt;0"))</f>
        <v/>
      </c>
      <c r="AF86" s="62">
        <f>IF($A86="","",MIN(MAX(0,N86)/(설정!$C$10*5),1)*30)</f>
        <v/>
      </c>
      <c r="AG86" s="82">
        <f>IF($A86="","",MIN(MAX(0,H86,J86),1)*20)</f>
        <v/>
      </c>
      <c r="AH86" s="82">
        <f>IF($A86="","",MIN(MAX(0,O86)/3,1)*25)</f>
        <v/>
      </c>
      <c r="AI86" s="82">
        <f>IF($A86="","",IF(OR(W86="부족 예상",W86="무예산",AO86="한도 초과",AO86="초과 예상",AO86="무예산"),25,IF(OR(W86="주의",AO86="주의"),15,0)))</f>
        <v/>
      </c>
      <c r="AJ86" s="35">
        <f>IF($A86="","",SUMIFS(예산판_원본!$O$5:$O$5000,예산판_원본!$L$5:$L$5000,$E86,예산판_원본!$M$5:$M$5000,설정!$C$6,예산판_원본!$N$5:$N$5000,설정!$C$21))</f>
        <v/>
      </c>
      <c r="AK86" s="40">
        <f>IF($A86="","",K86)</f>
        <v/>
      </c>
      <c r="AL86" s="40">
        <f>IF($A86="","",AJ86-AK86)</f>
        <v/>
      </c>
      <c r="AM86" s="35">
        <f>IF($A86="","",AK86+AVERAGE(월별집계!X86:Z86)*MAX(0,설정!$C$22+2-설정!$C$20))</f>
        <v/>
      </c>
      <c r="AN86" s="73">
        <f>IF($A86="","",IF(AJ86=0,0,AM86/AJ86))</f>
        <v/>
      </c>
      <c r="AO86" s="34">
        <f>IF($A86="","",IF(AND(AJ86=0,AK86&gt;0),"무예산",IF(AJ86=0,"-",IF(AK86&gt;AJ86,"한도 초과",IF(AN86&gt;설정!$C$12,"초과 예상",IF(AN86&gt;설정!$C$11,"주의","여유"))))))</f>
        <v/>
      </c>
      <c r="AP86" s="35">
        <f>IF($A86="","",IF(설정!$C$19="최근월",(INDEX(월별집계!$AB86:$AM86,설정!$C$7)-INDEX(월별집계!$AB86:$AM86,MAX(1,설정!$C$7-1))*(설정!$C$7&gt;1)),IF(설정!$C$19="최근분기",((INDEX(월별집계!$AB86:$AM86,설정!$C$7)-INDEX(월별집계!$AB86:$AM86,MAX(1,설정!$C$7-3))*(설정!$C$7&gt;3))/MIN(3,설정!$C$7)),IF(설정!$C$19="전년추세",AZ86,((설정!$C$7+1)*SUMPRODUCT(월별집계!$AB$5:$AM$5,월별집계!$AB86:$AM86)-(설정!$C$7*(설정!$C$7+1)/2)*SUM(월별집계!$AB86:$AM86))/((설정!$C$7+1)*(설정!$C$7*(설정!$C$7+1)*(2*설정!$C$7+1)/6)-(설정!$C$7*(설정!$C$7+1)/2)^2)))))</f>
        <v/>
      </c>
      <c r="AQ86" s="35">
        <f>IF($A86="","",IF(설정!$C$19="연내누적",(SUM(월별집계!$AB86:$AM86)-AP86*(설정!$C$7*(설정!$C$7+1)/2))/(설정!$C$7+1),INDEX(월별집계!$AB86:$AM86,설정!$C$7)-AP86*설정!$C$7))</f>
        <v/>
      </c>
      <c r="AR86" s="40">
        <f>IF($A86="","",AQ86+AP86*12)</f>
        <v/>
      </c>
      <c r="AS86" s="82">
        <f>IF($A86="","",IF(OR(P86&lt;=0,Q86&gt;=P86,AP86&lt;=0),"",MAX(설정!$C$7,(P86-AQ86)/AP86)))</f>
        <v/>
      </c>
      <c r="AT86" s="22">
        <f>IF($A86="","",IF(AS86="",IF(AU86="이미 소진","소진됨",""),YEAR((DATE(설정!$C$6,1,1)+ROUND(AS86*365/12,0)-1))&amp;"-"&amp;TEXT(MONTH((DATE(설정!$C$6,1,1)+ROUND(AS86*365/12,0)-1)),"00")&amp;"-"&amp;TEXT(DAY((DATE(설정!$C$6,1,1)+ROUND(AS86*365/12,0)-1)),"00")))</f>
        <v/>
      </c>
      <c r="AU86" s="34">
        <f>IF($A86="","",IF(AND(P86&lt;=0,Q86&gt;0),"무예산",IF(P86&lt;=0,"-",IF(Q86&gt;=P86,"이미 소진",IF(AP86&lt;=0,"소진 안 됨",IF(AS86&lt;=12,"연내 고갈","연내 여유"))))))</f>
        <v/>
      </c>
      <c r="AV86" s="34">
        <f>IF($A86="","",IF(AJ86&lt;=0,"",IF(AK86&gt;=AJ86,"한도 소진",IF(AK86&lt;=0,"",IF(AJ86/(AK86/(설정!$C$20-설정!$C$22+1))&gt;3,"분기 내 여유",YEAR((DATE(설정!$C$6,설정!$C$22-설정!$C$6*12,1)+ROUND(MAX((설정!$C$20-설정!$C$22+1),AJ86/(AK86/(설정!$C$20-설정!$C$22+1)))*365/12,0)-1))&amp;"-"&amp;TEXT(MONTH((DATE(설정!$C$6,설정!$C$22-설정!$C$6*12,1)+ROUND(MAX((설정!$C$20-설정!$C$22+1),AJ86/(AK86/(설정!$C$20-설정!$C$22+1)))*365/12,0)-1)),"00")&amp;"-"&amp;TEXT(DAY((DATE(설정!$C$6,설정!$C$22-설정!$C$6*12,1)+ROUND(MAX((설정!$C$20-설정!$C$22+1),AJ86/(AK86/(설정!$C$20-설정!$C$22+1)))*365/12,0)-1)),"00"))))))</f>
        <v/>
      </c>
      <c r="AW86" s="41">
        <f>IF($A86="",999+ROW()/1000000,IF(AU86="이미 소진",ROW()/1000000,IF(AU86="연내 고갈",AS86+ROW()/1000000,99+ROW()/1000000)))</f>
        <v/>
      </c>
      <c r="AX86" s="35">
        <f>IF($A86="","",SUMIFS(월별집계!$C86:$Z86,월별집계!$C$5:$Z$5,"&gt;="&amp;((설정!$C$6-1)*12+1),월별집계!$C$5:$Z$5,"&lt;="&amp;(설정!$C$20-12)))</f>
        <v/>
      </c>
      <c r="AY86" s="80">
        <f>IF($A86="","",IF(AX86&lt;=0,IF(Q86&gt;0,1,0),Q86/AX86-1))</f>
        <v/>
      </c>
      <c r="AZ86" s="35">
        <f>IF($A86="","",SUMIFS(월별집계!$C86:$Z86,월별집계!$C$5:$Z$5,"&gt;"&amp;(설정!$C$20-12),월별집계!$C$5:$Z$5,"&lt;="&amp;((설정!$C$6-1)*12+12))/MAX(1,12-설정!$C$7))</f>
        <v/>
      </c>
    </row>
    <row r="87">
      <c r="A87" s="12" t="n"/>
      <c r="B87" s="26">
        <f>IF($A87="","",IFERROR(INDEX(부서매핑!$D$5:$D$504,MATCH($A87,부서매핑!$C$5:$C$504,0)),"부서매핑 없음"))</f>
        <v/>
      </c>
      <c r="C87" s="79" t="n"/>
      <c r="D87" s="26">
        <f>IF($A87="","",IFERROR(INDEX(계정매핑!$B$5:$B$504,MATCH($C87&amp;"",계정매핑!$A$5:$A$504,0)),"계정매핑 없음"))</f>
        <v/>
      </c>
      <c r="E87" s="22">
        <f>IF($A87="","",$A87&amp;"|"&amp;$C87)</f>
        <v/>
      </c>
      <c r="F87" s="35">
        <f>IF($A87="","",월별집계!$Z87)</f>
        <v/>
      </c>
      <c r="G87" s="35">
        <f>IF($A87="","",월별집계!$Y87)</f>
        <v/>
      </c>
      <c r="H87" s="80">
        <f>IF($A87="","",IF(G87&lt;=0,IF(F87&gt;0,1,0),F87/G87-1))</f>
        <v/>
      </c>
      <c r="I87" s="35">
        <f>IF($A87="","",월별집계!$N87)</f>
        <v/>
      </c>
      <c r="J87" s="80">
        <f>IF($A87="","",IF(I87&lt;=0,IF(F87&gt;0,1,0),F87/I87-1))</f>
        <v/>
      </c>
      <c r="K87" s="35">
        <f>IF($A87="","",SUMIFS(월별집계!$C87:$Z87,월별집계!$C$5:$Z$5,"&gt;="&amp;설정!$C$22,월별집계!$C$5:$Z$5,"&lt;="&amp;설정!$C$20))</f>
        <v/>
      </c>
      <c r="L87" s="35">
        <f>IF($A87="","",SUMIFS(월별집계!$C87:$Z87,월별집계!$C$5:$Z$5,"&gt;="&amp;(설정!$C$22-3),월별집계!$C$5:$Z$5,"&lt;="&amp;(설정!$C$20-3)))</f>
        <v/>
      </c>
      <c r="M87" s="80">
        <f>IF($A87="","",IF(L87&lt;=0,IF(K87&gt;0,1,0),K87/L87-1))</f>
        <v/>
      </c>
      <c r="N87" s="40">
        <f>IF($A87="","",MAX(F87-G87,F87-I87))</f>
        <v/>
      </c>
      <c r="O87" s="62">
        <f>IF($A87="","",IFERROR((월별집계!$Z87-AVERAGE(월별집계!N87:Y87))/STDEV(월별집계!N87:Y87),0))</f>
        <v/>
      </c>
      <c r="P87" s="35">
        <f>IF($A87="","",SUMIFS(예산판_원본!$O$5:$O$5000,예산판_원본!$L$5:$L$5000,$E87,예산판_원본!$M$5:$M$5000,설정!$C$6))</f>
        <v/>
      </c>
      <c r="Q87" s="35">
        <f>IF($A87="","",SUMIFS(월별집계!$C87:$Z87,월별집계!$C$5:$Z$5,"&gt;="&amp;(설정!$C$6*12+1),월별집계!$C$5:$Z$5,"&lt;="&amp;설정!$C$20))</f>
        <v/>
      </c>
      <c r="R87" s="40">
        <f>IF($A87="","",P87-Q87)</f>
        <v/>
      </c>
      <c r="S87" s="35">
        <f>IF($A87="","",AVERAGE(월별집계!X87:Z87)*(12-설정!$C$7))</f>
        <v/>
      </c>
      <c r="T87" s="35">
        <f>IF($A87="","",IFERROR(Q87/(SUMIFS(월별집계!$C87:$Z87,월별집계!$C$5:$Z$5,"&gt;="&amp;((설정!$C$6-1)*12+1),월별집계!$C$5:$Z$5,"&lt;="&amp;(설정!$C$20-12))/SUMIFS(월별집계!$C87:$Z87,월별집계!$C$5:$Z$5,"&gt;="&amp;((설정!$C$6-1)*12+1),월별집계!$C$5:$Z$5,"&lt;="&amp;((설정!$C$6-1)*12+12)))-Q87,S87))</f>
        <v/>
      </c>
      <c r="U87" s="40">
        <f>IF($A87="","",Q87+MAX(S87,T87))</f>
        <v/>
      </c>
      <c r="V87" s="73">
        <f>IF($A87="","",IF(P87=0,0,U87/P87))</f>
        <v/>
      </c>
      <c r="W87" s="34">
        <f>IF($A87="","",IF(AND(P87=0,Q87&gt;0),"무예산",IF(P87=0,"-",IF(V87&gt;설정!$C$12,"부족 예상",IF(V87&gt;설정!$C$11,"주의","여유")))))</f>
        <v/>
      </c>
      <c r="X87" s="40">
        <f>IF($A87="","",IF(P87=0,0,MAX(0,U87-P87)))</f>
        <v/>
      </c>
      <c r="Y87" s="34">
        <f>IF($A87="","",IF(OR(W87&lt;&gt;"부족 예상",설정!$C$7=12),"",IF(R87&lt;=0,"이미 초과",MIN(12,설정!$C$7+ROUNDUP(R87/(MAX(S87,T87)/(12-설정!$C$7)),0))&amp;"월")))</f>
        <v/>
      </c>
      <c r="Z87" s="26">
        <f>IF($A87="","",TRIM(IF(AND(N(AC87)&gt;=설정!$C$14,N87&gt;=설정!$C$10),"단건"&amp;TEXT(MIN(AC87,1),"0%")&amp;" ","")&amp;IF(AND(N87&gt;0,AD87&gt;0),IF(AD87/N87&gt;=설정!$C$16,"SA대체 ",""),"")&amp;IF(AE87&gt;0,"역분개"&amp;AE87&amp;"건 ","")&amp;IF(O87&gt;=설정!$C$13,"이상치 ","")&amp;IF(AND(I87=0,F87&gt;0),"신규지출 ","")))</f>
        <v/>
      </c>
      <c r="AA87" s="62">
        <f>IF($A87="","",ROUND((AF87+AG87+AH87+AI87)*IF(AND(F87&lt;설정!$C$10,N87&lt;설정!$C$10),0.3,1),1))</f>
        <v/>
      </c>
      <c r="AB87" s="41">
        <f>IF($A87="","",AA87+ROW()/1000000)</f>
        <v/>
      </c>
      <c r="AC87" s="60">
        <f>IF(OR($A87="",N87&lt;=0),"",SUMPRODUCT(MAX((전표_원본!$O$5:$O$100000=$E87)*(전표_원본!$M$5:$M$100000=설정!$C$20)*전표_원본!$P$5:$P$100000))/N87)</f>
        <v/>
      </c>
      <c r="AD87" s="35">
        <f>IF($A87="","",SUMIFS(전표_원본!$P$5:$P$100000,전표_원본!$O$5:$O$100000,$E87,전표_원본!$M$5:$M$100000,설정!$C$20,전표_원본!$E$5:$E$100000,"SA")-SUMIFS(전표_원본!$P$5:$P$100000,전표_원본!$O$5:$O$100000,$E87,전표_원본!$M$5:$M$100000,설정!$C$20-1,전표_원본!$E$5:$E$100000,"SA"))</f>
        <v/>
      </c>
      <c r="AE87" s="81">
        <f>IF($A87="","",COUNTIFS(전표_원본!$O$5:$O$100000,$E87,전표_원본!$M$5:$M$100000,설정!$C$20,전표_원본!$P$5:$P$100000,"&lt;0"))</f>
        <v/>
      </c>
      <c r="AF87" s="62">
        <f>IF($A87="","",MIN(MAX(0,N87)/(설정!$C$10*5),1)*30)</f>
        <v/>
      </c>
      <c r="AG87" s="82">
        <f>IF($A87="","",MIN(MAX(0,H87,J87),1)*20)</f>
        <v/>
      </c>
      <c r="AH87" s="82">
        <f>IF($A87="","",MIN(MAX(0,O87)/3,1)*25)</f>
        <v/>
      </c>
      <c r="AI87" s="82">
        <f>IF($A87="","",IF(OR(W87="부족 예상",W87="무예산",AO87="한도 초과",AO87="초과 예상",AO87="무예산"),25,IF(OR(W87="주의",AO87="주의"),15,0)))</f>
        <v/>
      </c>
      <c r="AJ87" s="35">
        <f>IF($A87="","",SUMIFS(예산판_원본!$O$5:$O$5000,예산판_원본!$L$5:$L$5000,$E87,예산판_원본!$M$5:$M$5000,설정!$C$6,예산판_원본!$N$5:$N$5000,설정!$C$21))</f>
        <v/>
      </c>
      <c r="AK87" s="40">
        <f>IF($A87="","",K87)</f>
        <v/>
      </c>
      <c r="AL87" s="40">
        <f>IF($A87="","",AJ87-AK87)</f>
        <v/>
      </c>
      <c r="AM87" s="35">
        <f>IF($A87="","",AK87+AVERAGE(월별집계!X87:Z87)*MAX(0,설정!$C$22+2-설정!$C$20))</f>
        <v/>
      </c>
      <c r="AN87" s="73">
        <f>IF($A87="","",IF(AJ87=0,0,AM87/AJ87))</f>
        <v/>
      </c>
      <c r="AO87" s="34">
        <f>IF($A87="","",IF(AND(AJ87=0,AK87&gt;0),"무예산",IF(AJ87=0,"-",IF(AK87&gt;AJ87,"한도 초과",IF(AN87&gt;설정!$C$12,"초과 예상",IF(AN87&gt;설정!$C$11,"주의","여유"))))))</f>
        <v/>
      </c>
      <c r="AP87" s="35">
        <f>IF($A87="","",IF(설정!$C$19="최근월",(INDEX(월별집계!$AB87:$AM87,설정!$C$7)-INDEX(월별집계!$AB87:$AM87,MAX(1,설정!$C$7-1))*(설정!$C$7&gt;1)),IF(설정!$C$19="최근분기",((INDEX(월별집계!$AB87:$AM87,설정!$C$7)-INDEX(월별집계!$AB87:$AM87,MAX(1,설정!$C$7-3))*(설정!$C$7&gt;3))/MIN(3,설정!$C$7)),IF(설정!$C$19="전년추세",AZ87,((설정!$C$7+1)*SUMPRODUCT(월별집계!$AB$5:$AM$5,월별집계!$AB87:$AM87)-(설정!$C$7*(설정!$C$7+1)/2)*SUM(월별집계!$AB87:$AM87))/((설정!$C$7+1)*(설정!$C$7*(설정!$C$7+1)*(2*설정!$C$7+1)/6)-(설정!$C$7*(설정!$C$7+1)/2)^2)))))</f>
        <v/>
      </c>
      <c r="AQ87" s="35">
        <f>IF($A87="","",IF(설정!$C$19="연내누적",(SUM(월별집계!$AB87:$AM87)-AP87*(설정!$C$7*(설정!$C$7+1)/2))/(설정!$C$7+1),INDEX(월별집계!$AB87:$AM87,설정!$C$7)-AP87*설정!$C$7))</f>
        <v/>
      </c>
      <c r="AR87" s="40">
        <f>IF($A87="","",AQ87+AP87*12)</f>
        <v/>
      </c>
      <c r="AS87" s="82">
        <f>IF($A87="","",IF(OR(P87&lt;=0,Q87&gt;=P87,AP87&lt;=0),"",MAX(설정!$C$7,(P87-AQ87)/AP87)))</f>
        <v/>
      </c>
      <c r="AT87" s="22">
        <f>IF($A87="","",IF(AS87="",IF(AU87="이미 소진","소진됨",""),YEAR((DATE(설정!$C$6,1,1)+ROUND(AS87*365/12,0)-1))&amp;"-"&amp;TEXT(MONTH((DATE(설정!$C$6,1,1)+ROUND(AS87*365/12,0)-1)),"00")&amp;"-"&amp;TEXT(DAY((DATE(설정!$C$6,1,1)+ROUND(AS87*365/12,0)-1)),"00")))</f>
        <v/>
      </c>
      <c r="AU87" s="34">
        <f>IF($A87="","",IF(AND(P87&lt;=0,Q87&gt;0),"무예산",IF(P87&lt;=0,"-",IF(Q87&gt;=P87,"이미 소진",IF(AP87&lt;=0,"소진 안 됨",IF(AS87&lt;=12,"연내 고갈","연내 여유"))))))</f>
        <v/>
      </c>
      <c r="AV87" s="34">
        <f>IF($A87="","",IF(AJ87&lt;=0,"",IF(AK87&gt;=AJ87,"한도 소진",IF(AK87&lt;=0,"",IF(AJ87/(AK87/(설정!$C$20-설정!$C$22+1))&gt;3,"분기 내 여유",YEAR((DATE(설정!$C$6,설정!$C$22-설정!$C$6*12,1)+ROUND(MAX((설정!$C$20-설정!$C$22+1),AJ87/(AK87/(설정!$C$20-설정!$C$22+1)))*365/12,0)-1))&amp;"-"&amp;TEXT(MONTH((DATE(설정!$C$6,설정!$C$22-설정!$C$6*12,1)+ROUND(MAX((설정!$C$20-설정!$C$22+1),AJ87/(AK87/(설정!$C$20-설정!$C$22+1)))*365/12,0)-1)),"00")&amp;"-"&amp;TEXT(DAY((DATE(설정!$C$6,설정!$C$22-설정!$C$6*12,1)+ROUND(MAX((설정!$C$20-설정!$C$22+1),AJ87/(AK87/(설정!$C$20-설정!$C$22+1)))*365/12,0)-1)),"00"))))))</f>
        <v/>
      </c>
      <c r="AW87" s="41">
        <f>IF($A87="",999+ROW()/1000000,IF(AU87="이미 소진",ROW()/1000000,IF(AU87="연내 고갈",AS87+ROW()/1000000,99+ROW()/1000000)))</f>
        <v/>
      </c>
      <c r="AX87" s="35">
        <f>IF($A87="","",SUMIFS(월별집계!$C87:$Z87,월별집계!$C$5:$Z$5,"&gt;="&amp;((설정!$C$6-1)*12+1),월별집계!$C$5:$Z$5,"&lt;="&amp;(설정!$C$20-12)))</f>
        <v/>
      </c>
      <c r="AY87" s="80">
        <f>IF($A87="","",IF(AX87&lt;=0,IF(Q87&gt;0,1,0),Q87/AX87-1))</f>
        <v/>
      </c>
      <c r="AZ87" s="35">
        <f>IF($A87="","",SUMIFS(월별집계!$C87:$Z87,월별집계!$C$5:$Z$5,"&gt;"&amp;(설정!$C$20-12),월별집계!$C$5:$Z$5,"&lt;="&amp;((설정!$C$6-1)*12+12))/MAX(1,12-설정!$C$7))</f>
        <v/>
      </c>
    </row>
    <row r="88">
      <c r="A88" s="12" t="n"/>
      <c r="B88" s="26">
        <f>IF($A88="","",IFERROR(INDEX(부서매핑!$D$5:$D$504,MATCH($A88,부서매핑!$C$5:$C$504,0)),"부서매핑 없음"))</f>
        <v/>
      </c>
      <c r="C88" s="79" t="n"/>
      <c r="D88" s="26">
        <f>IF($A88="","",IFERROR(INDEX(계정매핑!$B$5:$B$504,MATCH($C88&amp;"",계정매핑!$A$5:$A$504,0)),"계정매핑 없음"))</f>
        <v/>
      </c>
      <c r="E88" s="22">
        <f>IF($A88="","",$A88&amp;"|"&amp;$C88)</f>
        <v/>
      </c>
      <c r="F88" s="35">
        <f>IF($A88="","",월별집계!$Z88)</f>
        <v/>
      </c>
      <c r="G88" s="35">
        <f>IF($A88="","",월별집계!$Y88)</f>
        <v/>
      </c>
      <c r="H88" s="80">
        <f>IF($A88="","",IF(G88&lt;=0,IF(F88&gt;0,1,0),F88/G88-1))</f>
        <v/>
      </c>
      <c r="I88" s="35">
        <f>IF($A88="","",월별집계!$N88)</f>
        <v/>
      </c>
      <c r="J88" s="80">
        <f>IF($A88="","",IF(I88&lt;=0,IF(F88&gt;0,1,0),F88/I88-1))</f>
        <v/>
      </c>
      <c r="K88" s="35">
        <f>IF($A88="","",SUMIFS(월별집계!$C88:$Z88,월별집계!$C$5:$Z$5,"&gt;="&amp;설정!$C$22,월별집계!$C$5:$Z$5,"&lt;="&amp;설정!$C$20))</f>
        <v/>
      </c>
      <c r="L88" s="35">
        <f>IF($A88="","",SUMIFS(월별집계!$C88:$Z88,월별집계!$C$5:$Z$5,"&gt;="&amp;(설정!$C$22-3),월별집계!$C$5:$Z$5,"&lt;="&amp;(설정!$C$20-3)))</f>
        <v/>
      </c>
      <c r="M88" s="80">
        <f>IF($A88="","",IF(L88&lt;=0,IF(K88&gt;0,1,0),K88/L88-1))</f>
        <v/>
      </c>
      <c r="N88" s="40">
        <f>IF($A88="","",MAX(F88-G88,F88-I88))</f>
        <v/>
      </c>
      <c r="O88" s="62">
        <f>IF($A88="","",IFERROR((월별집계!$Z88-AVERAGE(월별집계!N88:Y88))/STDEV(월별집계!N88:Y88),0))</f>
        <v/>
      </c>
      <c r="P88" s="35">
        <f>IF($A88="","",SUMIFS(예산판_원본!$O$5:$O$5000,예산판_원본!$L$5:$L$5000,$E88,예산판_원본!$M$5:$M$5000,설정!$C$6))</f>
        <v/>
      </c>
      <c r="Q88" s="35">
        <f>IF($A88="","",SUMIFS(월별집계!$C88:$Z88,월별집계!$C$5:$Z$5,"&gt;="&amp;(설정!$C$6*12+1),월별집계!$C$5:$Z$5,"&lt;="&amp;설정!$C$20))</f>
        <v/>
      </c>
      <c r="R88" s="40">
        <f>IF($A88="","",P88-Q88)</f>
        <v/>
      </c>
      <c r="S88" s="35">
        <f>IF($A88="","",AVERAGE(월별집계!X88:Z88)*(12-설정!$C$7))</f>
        <v/>
      </c>
      <c r="T88" s="35">
        <f>IF($A88="","",IFERROR(Q88/(SUMIFS(월별집계!$C88:$Z88,월별집계!$C$5:$Z$5,"&gt;="&amp;((설정!$C$6-1)*12+1),월별집계!$C$5:$Z$5,"&lt;="&amp;(설정!$C$20-12))/SUMIFS(월별집계!$C88:$Z88,월별집계!$C$5:$Z$5,"&gt;="&amp;((설정!$C$6-1)*12+1),월별집계!$C$5:$Z$5,"&lt;="&amp;((설정!$C$6-1)*12+12)))-Q88,S88))</f>
        <v/>
      </c>
      <c r="U88" s="40">
        <f>IF($A88="","",Q88+MAX(S88,T88))</f>
        <v/>
      </c>
      <c r="V88" s="73">
        <f>IF($A88="","",IF(P88=0,0,U88/P88))</f>
        <v/>
      </c>
      <c r="W88" s="34">
        <f>IF($A88="","",IF(AND(P88=0,Q88&gt;0),"무예산",IF(P88=0,"-",IF(V88&gt;설정!$C$12,"부족 예상",IF(V88&gt;설정!$C$11,"주의","여유")))))</f>
        <v/>
      </c>
      <c r="X88" s="40">
        <f>IF($A88="","",IF(P88=0,0,MAX(0,U88-P88)))</f>
        <v/>
      </c>
      <c r="Y88" s="34">
        <f>IF($A88="","",IF(OR(W88&lt;&gt;"부족 예상",설정!$C$7=12),"",IF(R88&lt;=0,"이미 초과",MIN(12,설정!$C$7+ROUNDUP(R88/(MAX(S88,T88)/(12-설정!$C$7)),0))&amp;"월")))</f>
        <v/>
      </c>
      <c r="Z88" s="26">
        <f>IF($A88="","",TRIM(IF(AND(N(AC88)&gt;=설정!$C$14,N88&gt;=설정!$C$10),"단건"&amp;TEXT(MIN(AC88,1),"0%")&amp;" ","")&amp;IF(AND(N88&gt;0,AD88&gt;0),IF(AD88/N88&gt;=설정!$C$16,"SA대체 ",""),"")&amp;IF(AE88&gt;0,"역분개"&amp;AE88&amp;"건 ","")&amp;IF(O88&gt;=설정!$C$13,"이상치 ","")&amp;IF(AND(I88=0,F88&gt;0),"신규지출 ","")))</f>
        <v/>
      </c>
      <c r="AA88" s="62">
        <f>IF($A88="","",ROUND((AF88+AG88+AH88+AI88)*IF(AND(F88&lt;설정!$C$10,N88&lt;설정!$C$10),0.3,1),1))</f>
        <v/>
      </c>
      <c r="AB88" s="41">
        <f>IF($A88="","",AA88+ROW()/1000000)</f>
        <v/>
      </c>
      <c r="AC88" s="60">
        <f>IF(OR($A88="",N88&lt;=0),"",SUMPRODUCT(MAX((전표_원본!$O$5:$O$100000=$E88)*(전표_원본!$M$5:$M$100000=설정!$C$20)*전표_원본!$P$5:$P$100000))/N88)</f>
        <v/>
      </c>
      <c r="AD88" s="35">
        <f>IF($A88="","",SUMIFS(전표_원본!$P$5:$P$100000,전표_원본!$O$5:$O$100000,$E88,전표_원본!$M$5:$M$100000,설정!$C$20,전표_원본!$E$5:$E$100000,"SA")-SUMIFS(전표_원본!$P$5:$P$100000,전표_원본!$O$5:$O$100000,$E88,전표_원본!$M$5:$M$100000,설정!$C$20-1,전표_원본!$E$5:$E$100000,"SA"))</f>
        <v/>
      </c>
      <c r="AE88" s="81">
        <f>IF($A88="","",COUNTIFS(전표_원본!$O$5:$O$100000,$E88,전표_원본!$M$5:$M$100000,설정!$C$20,전표_원본!$P$5:$P$100000,"&lt;0"))</f>
        <v/>
      </c>
      <c r="AF88" s="62">
        <f>IF($A88="","",MIN(MAX(0,N88)/(설정!$C$10*5),1)*30)</f>
        <v/>
      </c>
      <c r="AG88" s="82">
        <f>IF($A88="","",MIN(MAX(0,H88,J88),1)*20)</f>
        <v/>
      </c>
      <c r="AH88" s="82">
        <f>IF($A88="","",MIN(MAX(0,O88)/3,1)*25)</f>
        <v/>
      </c>
      <c r="AI88" s="82">
        <f>IF($A88="","",IF(OR(W88="부족 예상",W88="무예산",AO88="한도 초과",AO88="초과 예상",AO88="무예산"),25,IF(OR(W88="주의",AO88="주의"),15,0)))</f>
        <v/>
      </c>
      <c r="AJ88" s="35">
        <f>IF($A88="","",SUMIFS(예산판_원본!$O$5:$O$5000,예산판_원본!$L$5:$L$5000,$E88,예산판_원본!$M$5:$M$5000,설정!$C$6,예산판_원본!$N$5:$N$5000,설정!$C$21))</f>
        <v/>
      </c>
      <c r="AK88" s="40">
        <f>IF($A88="","",K88)</f>
        <v/>
      </c>
      <c r="AL88" s="40">
        <f>IF($A88="","",AJ88-AK88)</f>
        <v/>
      </c>
      <c r="AM88" s="35">
        <f>IF($A88="","",AK88+AVERAGE(월별집계!X88:Z88)*MAX(0,설정!$C$22+2-설정!$C$20))</f>
        <v/>
      </c>
      <c r="AN88" s="73">
        <f>IF($A88="","",IF(AJ88=0,0,AM88/AJ88))</f>
        <v/>
      </c>
      <c r="AO88" s="34">
        <f>IF($A88="","",IF(AND(AJ88=0,AK88&gt;0),"무예산",IF(AJ88=0,"-",IF(AK88&gt;AJ88,"한도 초과",IF(AN88&gt;설정!$C$12,"초과 예상",IF(AN88&gt;설정!$C$11,"주의","여유"))))))</f>
        <v/>
      </c>
      <c r="AP88" s="35">
        <f>IF($A88="","",IF(설정!$C$19="최근월",(INDEX(월별집계!$AB88:$AM88,설정!$C$7)-INDEX(월별집계!$AB88:$AM88,MAX(1,설정!$C$7-1))*(설정!$C$7&gt;1)),IF(설정!$C$19="최근분기",((INDEX(월별집계!$AB88:$AM88,설정!$C$7)-INDEX(월별집계!$AB88:$AM88,MAX(1,설정!$C$7-3))*(설정!$C$7&gt;3))/MIN(3,설정!$C$7)),IF(설정!$C$19="전년추세",AZ88,((설정!$C$7+1)*SUMPRODUCT(월별집계!$AB$5:$AM$5,월별집계!$AB88:$AM88)-(설정!$C$7*(설정!$C$7+1)/2)*SUM(월별집계!$AB88:$AM88))/((설정!$C$7+1)*(설정!$C$7*(설정!$C$7+1)*(2*설정!$C$7+1)/6)-(설정!$C$7*(설정!$C$7+1)/2)^2)))))</f>
        <v/>
      </c>
      <c r="AQ88" s="35">
        <f>IF($A88="","",IF(설정!$C$19="연내누적",(SUM(월별집계!$AB88:$AM88)-AP88*(설정!$C$7*(설정!$C$7+1)/2))/(설정!$C$7+1),INDEX(월별집계!$AB88:$AM88,설정!$C$7)-AP88*설정!$C$7))</f>
        <v/>
      </c>
      <c r="AR88" s="40">
        <f>IF($A88="","",AQ88+AP88*12)</f>
        <v/>
      </c>
      <c r="AS88" s="82">
        <f>IF($A88="","",IF(OR(P88&lt;=0,Q88&gt;=P88,AP88&lt;=0),"",MAX(설정!$C$7,(P88-AQ88)/AP88)))</f>
        <v/>
      </c>
      <c r="AT88" s="22">
        <f>IF($A88="","",IF(AS88="",IF(AU88="이미 소진","소진됨",""),YEAR((DATE(설정!$C$6,1,1)+ROUND(AS88*365/12,0)-1))&amp;"-"&amp;TEXT(MONTH((DATE(설정!$C$6,1,1)+ROUND(AS88*365/12,0)-1)),"00")&amp;"-"&amp;TEXT(DAY((DATE(설정!$C$6,1,1)+ROUND(AS88*365/12,0)-1)),"00")))</f>
        <v/>
      </c>
      <c r="AU88" s="34">
        <f>IF($A88="","",IF(AND(P88&lt;=0,Q88&gt;0),"무예산",IF(P88&lt;=0,"-",IF(Q88&gt;=P88,"이미 소진",IF(AP88&lt;=0,"소진 안 됨",IF(AS88&lt;=12,"연내 고갈","연내 여유"))))))</f>
        <v/>
      </c>
      <c r="AV88" s="34">
        <f>IF($A88="","",IF(AJ88&lt;=0,"",IF(AK88&gt;=AJ88,"한도 소진",IF(AK88&lt;=0,"",IF(AJ88/(AK88/(설정!$C$20-설정!$C$22+1))&gt;3,"분기 내 여유",YEAR((DATE(설정!$C$6,설정!$C$22-설정!$C$6*12,1)+ROUND(MAX((설정!$C$20-설정!$C$22+1),AJ88/(AK88/(설정!$C$20-설정!$C$22+1)))*365/12,0)-1))&amp;"-"&amp;TEXT(MONTH((DATE(설정!$C$6,설정!$C$22-설정!$C$6*12,1)+ROUND(MAX((설정!$C$20-설정!$C$22+1),AJ88/(AK88/(설정!$C$20-설정!$C$22+1)))*365/12,0)-1)),"00")&amp;"-"&amp;TEXT(DAY((DATE(설정!$C$6,설정!$C$22-설정!$C$6*12,1)+ROUND(MAX((설정!$C$20-설정!$C$22+1),AJ88/(AK88/(설정!$C$20-설정!$C$22+1)))*365/12,0)-1)),"00"))))))</f>
        <v/>
      </c>
      <c r="AW88" s="41">
        <f>IF($A88="",999+ROW()/1000000,IF(AU88="이미 소진",ROW()/1000000,IF(AU88="연내 고갈",AS88+ROW()/1000000,99+ROW()/1000000)))</f>
        <v/>
      </c>
      <c r="AX88" s="35">
        <f>IF($A88="","",SUMIFS(월별집계!$C88:$Z88,월별집계!$C$5:$Z$5,"&gt;="&amp;((설정!$C$6-1)*12+1),월별집계!$C$5:$Z$5,"&lt;="&amp;(설정!$C$20-12)))</f>
        <v/>
      </c>
      <c r="AY88" s="80">
        <f>IF($A88="","",IF(AX88&lt;=0,IF(Q88&gt;0,1,0),Q88/AX88-1))</f>
        <v/>
      </c>
      <c r="AZ88" s="35">
        <f>IF($A88="","",SUMIFS(월별집계!$C88:$Z88,월별집계!$C$5:$Z$5,"&gt;"&amp;(설정!$C$20-12),월별집계!$C$5:$Z$5,"&lt;="&amp;((설정!$C$6-1)*12+12))/MAX(1,12-설정!$C$7))</f>
        <v/>
      </c>
    </row>
    <row r="89">
      <c r="A89" s="12" t="n"/>
      <c r="B89" s="26">
        <f>IF($A89="","",IFERROR(INDEX(부서매핑!$D$5:$D$504,MATCH($A89,부서매핑!$C$5:$C$504,0)),"부서매핑 없음"))</f>
        <v/>
      </c>
      <c r="C89" s="79" t="n"/>
      <c r="D89" s="26">
        <f>IF($A89="","",IFERROR(INDEX(계정매핑!$B$5:$B$504,MATCH($C89&amp;"",계정매핑!$A$5:$A$504,0)),"계정매핑 없음"))</f>
        <v/>
      </c>
      <c r="E89" s="22">
        <f>IF($A89="","",$A89&amp;"|"&amp;$C89)</f>
        <v/>
      </c>
      <c r="F89" s="35">
        <f>IF($A89="","",월별집계!$Z89)</f>
        <v/>
      </c>
      <c r="G89" s="35">
        <f>IF($A89="","",월별집계!$Y89)</f>
        <v/>
      </c>
      <c r="H89" s="80">
        <f>IF($A89="","",IF(G89&lt;=0,IF(F89&gt;0,1,0),F89/G89-1))</f>
        <v/>
      </c>
      <c r="I89" s="35">
        <f>IF($A89="","",월별집계!$N89)</f>
        <v/>
      </c>
      <c r="J89" s="80">
        <f>IF($A89="","",IF(I89&lt;=0,IF(F89&gt;0,1,0),F89/I89-1))</f>
        <v/>
      </c>
      <c r="K89" s="35">
        <f>IF($A89="","",SUMIFS(월별집계!$C89:$Z89,월별집계!$C$5:$Z$5,"&gt;="&amp;설정!$C$22,월별집계!$C$5:$Z$5,"&lt;="&amp;설정!$C$20))</f>
        <v/>
      </c>
      <c r="L89" s="35">
        <f>IF($A89="","",SUMIFS(월별집계!$C89:$Z89,월별집계!$C$5:$Z$5,"&gt;="&amp;(설정!$C$22-3),월별집계!$C$5:$Z$5,"&lt;="&amp;(설정!$C$20-3)))</f>
        <v/>
      </c>
      <c r="M89" s="80">
        <f>IF($A89="","",IF(L89&lt;=0,IF(K89&gt;0,1,0),K89/L89-1))</f>
        <v/>
      </c>
      <c r="N89" s="40">
        <f>IF($A89="","",MAX(F89-G89,F89-I89))</f>
        <v/>
      </c>
      <c r="O89" s="62">
        <f>IF($A89="","",IFERROR((월별집계!$Z89-AVERAGE(월별집계!N89:Y89))/STDEV(월별집계!N89:Y89),0))</f>
        <v/>
      </c>
      <c r="P89" s="35">
        <f>IF($A89="","",SUMIFS(예산판_원본!$O$5:$O$5000,예산판_원본!$L$5:$L$5000,$E89,예산판_원본!$M$5:$M$5000,설정!$C$6))</f>
        <v/>
      </c>
      <c r="Q89" s="35">
        <f>IF($A89="","",SUMIFS(월별집계!$C89:$Z89,월별집계!$C$5:$Z$5,"&gt;="&amp;(설정!$C$6*12+1),월별집계!$C$5:$Z$5,"&lt;="&amp;설정!$C$20))</f>
        <v/>
      </c>
      <c r="R89" s="40">
        <f>IF($A89="","",P89-Q89)</f>
        <v/>
      </c>
      <c r="S89" s="35">
        <f>IF($A89="","",AVERAGE(월별집계!X89:Z89)*(12-설정!$C$7))</f>
        <v/>
      </c>
      <c r="T89" s="35">
        <f>IF($A89="","",IFERROR(Q89/(SUMIFS(월별집계!$C89:$Z89,월별집계!$C$5:$Z$5,"&gt;="&amp;((설정!$C$6-1)*12+1),월별집계!$C$5:$Z$5,"&lt;="&amp;(설정!$C$20-12))/SUMIFS(월별집계!$C89:$Z89,월별집계!$C$5:$Z$5,"&gt;="&amp;((설정!$C$6-1)*12+1),월별집계!$C$5:$Z$5,"&lt;="&amp;((설정!$C$6-1)*12+12)))-Q89,S89))</f>
        <v/>
      </c>
      <c r="U89" s="40">
        <f>IF($A89="","",Q89+MAX(S89,T89))</f>
        <v/>
      </c>
      <c r="V89" s="73">
        <f>IF($A89="","",IF(P89=0,0,U89/P89))</f>
        <v/>
      </c>
      <c r="W89" s="34">
        <f>IF($A89="","",IF(AND(P89=0,Q89&gt;0),"무예산",IF(P89=0,"-",IF(V89&gt;설정!$C$12,"부족 예상",IF(V89&gt;설정!$C$11,"주의","여유")))))</f>
        <v/>
      </c>
      <c r="X89" s="40">
        <f>IF($A89="","",IF(P89=0,0,MAX(0,U89-P89)))</f>
        <v/>
      </c>
      <c r="Y89" s="34">
        <f>IF($A89="","",IF(OR(W89&lt;&gt;"부족 예상",설정!$C$7=12),"",IF(R89&lt;=0,"이미 초과",MIN(12,설정!$C$7+ROUNDUP(R89/(MAX(S89,T89)/(12-설정!$C$7)),0))&amp;"월")))</f>
        <v/>
      </c>
      <c r="Z89" s="26">
        <f>IF($A89="","",TRIM(IF(AND(N(AC89)&gt;=설정!$C$14,N89&gt;=설정!$C$10),"단건"&amp;TEXT(MIN(AC89,1),"0%")&amp;" ","")&amp;IF(AND(N89&gt;0,AD89&gt;0),IF(AD89/N89&gt;=설정!$C$16,"SA대체 ",""),"")&amp;IF(AE89&gt;0,"역분개"&amp;AE89&amp;"건 ","")&amp;IF(O89&gt;=설정!$C$13,"이상치 ","")&amp;IF(AND(I89=0,F89&gt;0),"신규지출 ","")))</f>
        <v/>
      </c>
      <c r="AA89" s="62">
        <f>IF($A89="","",ROUND((AF89+AG89+AH89+AI89)*IF(AND(F89&lt;설정!$C$10,N89&lt;설정!$C$10),0.3,1),1))</f>
        <v/>
      </c>
      <c r="AB89" s="41">
        <f>IF($A89="","",AA89+ROW()/1000000)</f>
        <v/>
      </c>
      <c r="AC89" s="60">
        <f>IF(OR($A89="",N89&lt;=0),"",SUMPRODUCT(MAX((전표_원본!$O$5:$O$100000=$E89)*(전표_원본!$M$5:$M$100000=설정!$C$20)*전표_원본!$P$5:$P$100000))/N89)</f>
        <v/>
      </c>
      <c r="AD89" s="35">
        <f>IF($A89="","",SUMIFS(전표_원본!$P$5:$P$100000,전표_원본!$O$5:$O$100000,$E89,전표_원본!$M$5:$M$100000,설정!$C$20,전표_원본!$E$5:$E$100000,"SA")-SUMIFS(전표_원본!$P$5:$P$100000,전표_원본!$O$5:$O$100000,$E89,전표_원본!$M$5:$M$100000,설정!$C$20-1,전표_원본!$E$5:$E$100000,"SA"))</f>
        <v/>
      </c>
      <c r="AE89" s="81">
        <f>IF($A89="","",COUNTIFS(전표_원본!$O$5:$O$100000,$E89,전표_원본!$M$5:$M$100000,설정!$C$20,전표_원본!$P$5:$P$100000,"&lt;0"))</f>
        <v/>
      </c>
      <c r="AF89" s="62">
        <f>IF($A89="","",MIN(MAX(0,N89)/(설정!$C$10*5),1)*30)</f>
        <v/>
      </c>
      <c r="AG89" s="82">
        <f>IF($A89="","",MIN(MAX(0,H89,J89),1)*20)</f>
        <v/>
      </c>
      <c r="AH89" s="82">
        <f>IF($A89="","",MIN(MAX(0,O89)/3,1)*25)</f>
        <v/>
      </c>
      <c r="AI89" s="82">
        <f>IF($A89="","",IF(OR(W89="부족 예상",W89="무예산",AO89="한도 초과",AO89="초과 예상",AO89="무예산"),25,IF(OR(W89="주의",AO89="주의"),15,0)))</f>
        <v/>
      </c>
      <c r="AJ89" s="35">
        <f>IF($A89="","",SUMIFS(예산판_원본!$O$5:$O$5000,예산판_원본!$L$5:$L$5000,$E89,예산판_원본!$M$5:$M$5000,설정!$C$6,예산판_원본!$N$5:$N$5000,설정!$C$21))</f>
        <v/>
      </c>
      <c r="AK89" s="40">
        <f>IF($A89="","",K89)</f>
        <v/>
      </c>
      <c r="AL89" s="40">
        <f>IF($A89="","",AJ89-AK89)</f>
        <v/>
      </c>
      <c r="AM89" s="35">
        <f>IF($A89="","",AK89+AVERAGE(월별집계!X89:Z89)*MAX(0,설정!$C$22+2-설정!$C$20))</f>
        <v/>
      </c>
      <c r="AN89" s="73">
        <f>IF($A89="","",IF(AJ89=0,0,AM89/AJ89))</f>
        <v/>
      </c>
      <c r="AO89" s="34">
        <f>IF($A89="","",IF(AND(AJ89=0,AK89&gt;0),"무예산",IF(AJ89=0,"-",IF(AK89&gt;AJ89,"한도 초과",IF(AN89&gt;설정!$C$12,"초과 예상",IF(AN89&gt;설정!$C$11,"주의","여유"))))))</f>
        <v/>
      </c>
      <c r="AP89" s="35">
        <f>IF($A89="","",IF(설정!$C$19="최근월",(INDEX(월별집계!$AB89:$AM89,설정!$C$7)-INDEX(월별집계!$AB89:$AM89,MAX(1,설정!$C$7-1))*(설정!$C$7&gt;1)),IF(설정!$C$19="최근분기",((INDEX(월별집계!$AB89:$AM89,설정!$C$7)-INDEX(월별집계!$AB89:$AM89,MAX(1,설정!$C$7-3))*(설정!$C$7&gt;3))/MIN(3,설정!$C$7)),IF(설정!$C$19="전년추세",AZ89,((설정!$C$7+1)*SUMPRODUCT(월별집계!$AB$5:$AM$5,월별집계!$AB89:$AM89)-(설정!$C$7*(설정!$C$7+1)/2)*SUM(월별집계!$AB89:$AM89))/((설정!$C$7+1)*(설정!$C$7*(설정!$C$7+1)*(2*설정!$C$7+1)/6)-(설정!$C$7*(설정!$C$7+1)/2)^2)))))</f>
        <v/>
      </c>
      <c r="AQ89" s="35">
        <f>IF($A89="","",IF(설정!$C$19="연내누적",(SUM(월별집계!$AB89:$AM89)-AP89*(설정!$C$7*(설정!$C$7+1)/2))/(설정!$C$7+1),INDEX(월별집계!$AB89:$AM89,설정!$C$7)-AP89*설정!$C$7))</f>
        <v/>
      </c>
      <c r="AR89" s="40">
        <f>IF($A89="","",AQ89+AP89*12)</f>
        <v/>
      </c>
      <c r="AS89" s="82">
        <f>IF($A89="","",IF(OR(P89&lt;=0,Q89&gt;=P89,AP89&lt;=0),"",MAX(설정!$C$7,(P89-AQ89)/AP89)))</f>
        <v/>
      </c>
      <c r="AT89" s="22">
        <f>IF($A89="","",IF(AS89="",IF(AU89="이미 소진","소진됨",""),YEAR((DATE(설정!$C$6,1,1)+ROUND(AS89*365/12,0)-1))&amp;"-"&amp;TEXT(MONTH((DATE(설정!$C$6,1,1)+ROUND(AS89*365/12,0)-1)),"00")&amp;"-"&amp;TEXT(DAY((DATE(설정!$C$6,1,1)+ROUND(AS89*365/12,0)-1)),"00")))</f>
        <v/>
      </c>
      <c r="AU89" s="34">
        <f>IF($A89="","",IF(AND(P89&lt;=0,Q89&gt;0),"무예산",IF(P89&lt;=0,"-",IF(Q89&gt;=P89,"이미 소진",IF(AP89&lt;=0,"소진 안 됨",IF(AS89&lt;=12,"연내 고갈","연내 여유"))))))</f>
        <v/>
      </c>
      <c r="AV89" s="34">
        <f>IF($A89="","",IF(AJ89&lt;=0,"",IF(AK89&gt;=AJ89,"한도 소진",IF(AK89&lt;=0,"",IF(AJ89/(AK89/(설정!$C$20-설정!$C$22+1))&gt;3,"분기 내 여유",YEAR((DATE(설정!$C$6,설정!$C$22-설정!$C$6*12,1)+ROUND(MAX((설정!$C$20-설정!$C$22+1),AJ89/(AK89/(설정!$C$20-설정!$C$22+1)))*365/12,0)-1))&amp;"-"&amp;TEXT(MONTH((DATE(설정!$C$6,설정!$C$22-설정!$C$6*12,1)+ROUND(MAX((설정!$C$20-설정!$C$22+1),AJ89/(AK89/(설정!$C$20-설정!$C$22+1)))*365/12,0)-1)),"00")&amp;"-"&amp;TEXT(DAY((DATE(설정!$C$6,설정!$C$22-설정!$C$6*12,1)+ROUND(MAX((설정!$C$20-설정!$C$22+1),AJ89/(AK89/(설정!$C$20-설정!$C$22+1)))*365/12,0)-1)),"00"))))))</f>
        <v/>
      </c>
      <c r="AW89" s="41">
        <f>IF($A89="",999+ROW()/1000000,IF(AU89="이미 소진",ROW()/1000000,IF(AU89="연내 고갈",AS89+ROW()/1000000,99+ROW()/1000000)))</f>
        <v/>
      </c>
      <c r="AX89" s="35">
        <f>IF($A89="","",SUMIFS(월별집계!$C89:$Z89,월별집계!$C$5:$Z$5,"&gt;="&amp;((설정!$C$6-1)*12+1),월별집계!$C$5:$Z$5,"&lt;="&amp;(설정!$C$20-12)))</f>
        <v/>
      </c>
      <c r="AY89" s="80">
        <f>IF($A89="","",IF(AX89&lt;=0,IF(Q89&gt;0,1,0),Q89/AX89-1))</f>
        <v/>
      </c>
      <c r="AZ89" s="35">
        <f>IF($A89="","",SUMIFS(월별집계!$C89:$Z89,월별집계!$C$5:$Z$5,"&gt;"&amp;(설정!$C$20-12),월별집계!$C$5:$Z$5,"&lt;="&amp;((설정!$C$6-1)*12+12))/MAX(1,12-설정!$C$7))</f>
        <v/>
      </c>
    </row>
    <row r="90">
      <c r="A90" s="12" t="n"/>
      <c r="B90" s="26">
        <f>IF($A90="","",IFERROR(INDEX(부서매핑!$D$5:$D$504,MATCH($A90,부서매핑!$C$5:$C$504,0)),"부서매핑 없음"))</f>
        <v/>
      </c>
      <c r="C90" s="79" t="n"/>
      <c r="D90" s="26">
        <f>IF($A90="","",IFERROR(INDEX(계정매핑!$B$5:$B$504,MATCH($C90&amp;"",계정매핑!$A$5:$A$504,0)),"계정매핑 없음"))</f>
        <v/>
      </c>
      <c r="E90" s="22">
        <f>IF($A90="","",$A90&amp;"|"&amp;$C90)</f>
        <v/>
      </c>
      <c r="F90" s="35">
        <f>IF($A90="","",월별집계!$Z90)</f>
        <v/>
      </c>
      <c r="G90" s="35">
        <f>IF($A90="","",월별집계!$Y90)</f>
        <v/>
      </c>
      <c r="H90" s="80">
        <f>IF($A90="","",IF(G90&lt;=0,IF(F90&gt;0,1,0),F90/G90-1))</f>
        <v/>
      </c>
      <c r="I90" s="35">
        <f>IF($A90="","",월별집계!$N90)</f>
        <v/>
      </c>
      <c r="J90" s="80">
        <f>IF($A90="","",IF(I90&lt;=0,IF(F90&gt;0,1,0),F90/I90-1))</f>
        <v/>
      </c>
      <c r="K90" s="35">
        <f>IF($A90="","",SUMIFS(월별집계!$C90:$Z90,월별집계!$C$5:$Z$5,"&gt;="&amp;설정!$C$22,월별집계!$C$5:$Z$5,"&lt;="&amp;설정!$C$20))</f>
        <v/>
      </c>
      <c r="L90" s="35">
        <f>IF($A90="","",SUMIFS(월별집계!$C90:$Z90,월별집계!$C$5:$Z$5,"&gt;="&amp;(설정!$C$22-3),월별집계!$C$5:$Z$5,"&lt;="&amp;(설정!$C$20-3)))</f>
        <v/>
      </c>
      <c r="M90" s="80">
        <f>IF($A90="","",IF(L90&lt;=0,IF(K90&gt;0,1,0),K90/L90-1))</f>
        <v/>
      </c>
      <c r="N90" s="40">
        <f>IF($A90="","",MAX(F90-G90,F90-I90))</f>
        <v/>
      </c>
      <c r="O90" s="62">
        <f>IF($A90="","",IFERROR((월별집계!$Z90-AVERAGE(월별집계!N90:Y90))/STDEV(월별집계!N90:Y90),0))</f>
        <v/>
      </c>
      <c r="P90" s="35">
        <f>IF($A90="","",SUMIFS(예산판_원본!$O$5:$O$5000,예산판_원본!$L$5:$L$5000,$E90,예산판_원본!$M$5:$M$5000,설정!$C$6))</f>
        <v/>
      </c>
      <c r="Q90" s="35">
        <f>IF($A90="","",SUMIFS(월별집계!$C90:$Z90,월별집계!$C$5:$Z$5,"&gt;="&amp;(설정!$C$6*12+1),월별집계!$C$5:$Z$5,"&lt;="&amp;설정!$C$20))</f>
        <v/>
      </c>
      <c r="R90" s="40">
        <f>IF($A90="","",P90-Q90)</f>
        <v/>
      </c>
      <c r="S90" s="35">
        <f>IF($A90="","",AVERAGE(월별집계!X90:Z90)*(12-설정!$C$7))</f>
        <v/>
      </c>
      <c r="T90" s="35">
        <f>IF($A90="","",IFERROR(Q90/(SUMIFS(월별집계!$C90:$Z90,월별집계!$C$5:$Z$5,"&gt;="&amp;((설정!$C$6-1)*12+1),월별집계!$C$5:$Z$5,"&lt;="&amp;(설정!$C$20-12))/SUMIFS(월별집계!$C90:$Z90,월별집계!$C$5:$Z$5,"&gt;="&amp;((설정!$C$6-1)*12+1),월별집계!$C$5:$Z$5,"&lt;="&amp;((설정!$C$6-1)*12+12)))-Q90,S90))</f>
        <v/>
      </c>
      <c r="U90" s="40">
        <f>IF($A90="","",Q90+MAX(S90,T90))</f>
        <v/>
      </c>
      <c r="V90" s="73">
        <f>IF($A90="","",IF(P90=0,0,U90/P90))</f>
        <v/>
      </c>
      <c r="W90" s="34">
        <f>IF($A90="","",IF(AND(P90=0,Q90&gt;0),"무예산",IF(P90=0,"-",IF(V90&gt;설정!$C$12,"부족 예상",IF(V90&gt;설정!$C$11,"주의","여유")))))</f>
        <v/>
      </c>
      <c r="X90" s="40">
        <f>IF($A90="","",IF(P90=0,0,MAX(0,U90-P90)))</f>
        <v/>
      </c>
      <c r="Y90" s="34">
        <f>IF($A90="","",IF(OR(W90&lt;&gt;"부족 예상",설정!$C$7=12),"",IF(R90&lt;=0,"이미 초과",MIN(12,설정!$C$7+ROUNDUP(R90/(MAX(S90,T90)/(12-설정!$C$7)),0))&amp;"월")))</f>
        <v/>
      </c>
      <c r="Z90" s="26">
        <f>IF($A90="","",TRIM(IF(AND(N(AC90)&gt;=설정!$C$14,N90&gt;=설정!$C$10),"단건"&amp;TEXT(MIN(AC90,1),"0%")&amp;" ","")&amp;IF(AND(N90&gt;0,AD90&gt;0),IF(AD90/N90&gt;=설정!$C$16,"SA대체 ",""),"")&amp;IF(AE90&gt;0,"역분개"&amp;AE90&amp;"건 ","")&amp;IF(O90&gt;=설정!$C$13,"이상치 ","")&amp;IF(AND(I90=0,F90&gt;0),"신규지출 ","")))</f>
        <v/>
      </c>
      <c r="AA90" s="62">
        <f>IF($A90="","",ROUND((AF90+AG90+AH90+AI90)*IF(AND(F90&lt;설정!$C$10,N90&lt;설정!$C$10),0.3,1),1))</f>
        <v/>
      </c>
      <c r="AB90" s="41">
        <f>IF($A90="","",AA90+ROW()/1000000)</f>
        <v/>
      </c>
      <c r="AC90" s="60">
        <f>IF(OR($A90="",N90&lt;=0),"",SUMPRODUCT(MAX((전표_원본!$O$5:$O$100000=$E90)*(전표_원본!$M$5:$M$100000=설정!$C$20)*전표_원본!$P$5:$P$100000))/N90)</f>
        <v/>
      </c>
      <c r="AD90" s="35">
        <f>IF($A90="","",SUMIFS(전표_원본!$P$5:$P$100000,전표_원본!$O$5:$O$100000,$E90,전표_원본!$M$5:$M$100000,설정!$C$20,전표_원본!$E$5:$E$100000,"SA")-SUMIFS(전표_원본!$P$5:$P$100000,전표_원본!$O$5:$O$100000,$E90,전표_원본!$M$5:$M$100000,설정!$C$20-1,전표_원본!$E$5:$E$100000,"SA"))</f>
        <v/>
      </c>
      <c r="AE90" s="81">
        <f>IF($A90="","",COUNTIFS(전표_원본!$O$5:$O$100000,$E90,전표_원본!$M$5:$M$100000,설정!$C$20,전표_원본!$P$5:$P$100000,"&lt;0"))</f>
        <v/>
      </c>
      <c r="AF90" s="62">
        <f>IF($A90="","",MIN(MAX(0,N90)/(설정!$C$10*5),1)*30)</f>
        <v/>
      </c>
      <c r="AG90" s="82">
        <f>IF($A90="","",MIN(MAX(0,H90,J90),1)*20)</f>
        <v/>
      </c>
      <c r="AH90" s="82">
        <f>IF($A90="","",MIN(MAX(0,O90)/3,1)*25)</f>
        <v/>
      </c>
      <c r="AI90" s="82">
        <f>IF($A90="","",IF(OR(W90="부족 예상",W90="무예산",AO90="한도 초과",AO90="초과 예상",AO90="무예산"),25,IF(OR(W90="주의",AO90="주의"),15,0)))</f>
        <v/>
      </c>
      <c r="AJ90" s="35">
        <f>IF($A90="","",SUMIFS(예산판_원본!$O$5:$O$5000,예산판_원본!$L$5:$L$5000,$E90,예산판_원본!$M$5:$M$5000,설정!$C$6,예산판_원본!$N$5:$N$5000,설정!$C$21))</f>
        <v/>
      </c>
      <c r="AK90" s="40">
        <f>IF($A90="","",K90)</f>
        <v/>
      </c>
      <c r="AL90" s="40">
        <f>IF($A90="","",AJ90-AK90)</f>
        <v/>
      </c>
      <c r="AM90" s="35">
        <f>IF($A90="","",AK90+AVERAGE(월별집계!X90:Z90)*MAX(0,설정!$C$22+2-설정!$C$20))</f>
        <v/>
      </c>
      <c r="AN90" s="73">
        <f>IF($A90="","",IF(AJ90=0,0,AM90/AJ90))</f>
        <v/>
      </c>
      <c r="AO90" s="34">
        <f>IF($A90="","",IF(AND(AJ90=0,AK90&gt;0),"무예산",IF(AJ90=0,"-",IF(AK90&gt;AJ90,"한도 초과",IF(AN90&gt;설정!$C$12,"초과 예상",IF(AN90&gt;설정!$C$11,"주의","여유"))))))</f>
        <v/>
      </c>
      <c r="AP90" s="35">
        <f>IF($A90="","",IF(설정!$C$19="최근월",(INDEX(월별집계!$AB90:$AM90,설정!$C$7)-INDEX(월별집계!$AB90:$AM90,MAX(1,설정!$C$7-1))*(설정!$C$7&gt;1)),IF(설정!$C$19="최근분기",((INDEX(월별집계!$AB90:$AM90,설정!$C$7)-INDEX(월별집계!$AB90:$AM90,MAX(1,설정!$C$7-3))*(설정!$C$7&gt;3))/MIN(3,설정!$C$7)),IF(설정!$C$19="전년추세",AZ90,((설정!$C$7+1)*SUMPRODUCT(월별집계!$AB$5:$AM$5,월별집계!$AB90:$AM90)-(설정!$C$7*(설정!$C$7+1)/2)*SUM(월별집계!$AB90:$AM90))/((설정!$C$7+1)*(설정!$C$7*(설정!$C$7+1)*(2*설정!$C$7+1)/6)-(설정!$C$7*(설정!$C$7+1)/2)^2)))))</f>
        <v/>
      </c>
      <c r="AQ90" s="35">
        <f>IF($A90="","",IF(설정!$C$19="연내누적",(SUM(월별집계!$AB90:$AM90)-AP90*(설정!$C$7*(설정!$C$7+1)/2))/(설정!$C$7+1),INDEX(월별집계!$AB90:$AM90,설정!$C$7)-AP90*설정!$C$7))</f>
        <v/>
      </c>
      <c r="AR90" s="40">
        <f>IF($A90="","",AQ90+AP90*12)</f>
        <v/>
      </c>
      <c r="AS90" s="82">
        <f>IF($A90="","",IF(OR(P90&lt;=0,Q90&gt;=P90,AP90&lt;=0),"",MAX(설정!$C$7,(P90-AQ90)/AP90)))</f>
        <v/>
      </c>
      <c r="AT90" s="22">
        <f>IF($A90="","",IF(AS90="",IF(AU90="이미 소진","소진됨",""),YEAR((DATE(설정!$C$6,1,1)+ROUND(AS90*365/12,0)-1))&amp;"-"&amp;TEXT(MONTH((DATE(설정!$C$6,1,1)+ROUND(AS90*365/12,0)-1)),"00")&amp;"-"&amp;TEXT(DAY((DATE(설정!$C$6,1,1)+ROUND(AS90*365/12,0)-1)),"00")))</f>
        <v/>
      </c>
      <c r="AU90" s="34">
        <f>IF($A90="","",IF(AND(P90&lt;=0,Q90&gt;0),"무예산",IF(P90&lt;=0,"-",IF(Q90&gt;=P90,"이미 소진",IF(AP90&lt;=0,"소진 안 됨",IF(AS90&lt;=12,"연내 고갈","연내 여유"))))))</f>
        <v/>
      </c>
      <c r="AV90" s="34">
        <f>IF($A90="","",IF(AJ90&lt;=0,"",IF(AK90&gt;=AJ90,"한도 소진",IF(AK90&lt;=0,"",IF(AJ90/(AK90/(설정!$C$20-설정!$C$22+1))&gt;3,"분기 내 여유",YEAR((DATE(설정!$C$6,설정!$C$22-설정!$C$6*12,1)+ROUND(MAX((설정!$C$20-설정!$C$22+1),AJ90/(AK90/(설정!$C$20-설정!$C$22+1)))*365/12,0)-1))&amp;"-"&amp;TEXT(MONTH((DATE(설정!$C$6,설정!$C$22-설정!$C$6*12,1)+ROUND(MAX((설정!$C$20-설정!$C$22+1),AJ90/(AK90/(설정!$C$20-설정!$C$22+1)))*365/12,0)-1)),"00")&amp;"-"&amp;TEXT(DAY((DATE(설정!$C$6,설정!$C$22-설정!$C$6*12,1)+ROUND(MAX((설정!$C$20-설정!$C$22+1),AJ90/(AK90/(설정!$C$20-설정!$C$22+1)))*365/12,0)-1)),"00"))))))</f>
        <v/>
      </c>
      <c r="AW90" s="41">
        <f>IF($A90="",999+ROW()/1000000,IF(AU90="이미 소진",ROW()/1000000,IF(AU90="연내 고갈",AS90+ROW()/1000000,99+ROW()/1000000)))</f>
        <v/>
      </c>
      <c r="AX90" s="35">
        <f>IF($A90="","",SUMIFS(월별집계!$C90:$Z90,월별집계!$C$5:$Z$5,"&gt;="&amp;((설정!$C$6-1)*12+1),월별집계!$C$5:$Z$5,"&lt;="&amp;(설정!$C$20-12)))</f>
        <v/>
      </c>
      <c r="AY90" s="80">
        <f>IF($A90="","",IF(AX90&lt;=0,IF(Q90&gt;0,1,0),Q90/AX90-1))</f>
        <v/>
      </c>
      <c r="AZ90" s="35">
        <f>IF($A90="","",SUMIFS(월별집계!$C90:$Z90,월별집계!$C$5:$Z$5,"&gt;"&amp;(설정!$C$20-12),월별집계!$C$5:$Z$5,"&lt;="&amp;((설정!$C$6-1)*12+12))/MAX(1,12-설정!$C$7))</f>
        <v/>
      </c>
    </row>
    <row r="91">
      <c r="A91" s="12" t="n"/>
      <c r="B91" s="26">
        <f>IF($A91="","",IFERROR(INDEX(부서매핑!$D$5:$D$504,MATCH($A91,부서매핑!$C$5:$C$504,0)),"부서매핑 없음"))</f>
        <v/>
      </c>
      <c r="C91" s="79" t="n"/>
      <c r="D91" s="26">
        <f>IF($A91="","",IFERROR(INDEX(계정매핑!$B$5:$B$504,MATCH($C91&amp;"",계정매핑!$A$5:$A$504,0)),"계정매핑 없음"))</f>
        <v/>
      </c>
      <c r="E91" s="22">
        <f>IF($A91="","",$A91&amp;"|"&amp;$C91)</f>
        <v/>
      </c>
      <c r="F91" s="35">
        <f>IF($A91="","",월별집계!$Z91)</f>
        <v/>
      </c>
      <c r="G91" s="35">
        <f>IF($A91="","",월별집계!$Y91)</f>
        <v/>
      </c>
      <c r="H91" s="80">
        <f>IF($A91="","",IF(G91&lt;=0,IF(F91&gt;0,1,0),F91/G91-1))</f>
        <v/>
      </c>
      <c r="I91" s="35">
        <f>IF($A91="","",월별집계!$N91)</f>
        <v/>
      </c>
      <c r="J91" s="80">
        <f>IF($A91="","",IF(I91&lt;=0,IF(F91&gt;0,1,0),F91/I91-1))</f>
        <v/>
      </c>
      <c r="K91" s="35">
        <f>IF($A91="","",SUMIFS(월별집계!$C91:$Z91,월별집계!$C$5:$Z$5,"&gt;="&amp;설정!$C$22,월별집계!$C$5:$Z$5,"&lt;="&amp;설정!$C$20))</f>
        <v/>
      </c>
      <c r="L91" s="35">
        <f>IF($A91="","",SUMIFS(월별집계!$C91:$Z91,월별집계!$C$5:$Z$5,"&gt;="&amp;(설정!$C$22-3),월별집계!$C$5:$Z$5,"&lt;="&amp;(설정!$C$20-3)))</f>
        <v/>
      </c>
      <c r="M91" s="80">
        <f>IF($A91="","",IF(L91&lt;=0,IF(K91&gt;0,1,0),K91/L91-1))</f>
        <v/>
      </c>
      <c r="N91" s="40">
        <f>IF($A91="","",MAX(F91-G91,F91-I91))</f>
        <v/>
      </c>
      <c r="O91" s="62">
        <f>IF($A91="","",IFERROR((월별집계!$Z91-AVERAGE(월별집계!N91:Y91))/STDEV(월별집계!N91:Y91),0))</f>
        <v/>
      </c>
      <c r="P91" s="35">
        <f>IF($A91="","",SUMIFS(예산판_원본!$O$5:$O$5000,예산판_원본!$L$5:$L$5000,$E91,예산판_원본!$M$5:$M$5000,설정!$C$6))</f>
        <v/>
      </c>
      <c r="Q91" s="35">
        <f>IF($A91="","",SUMIFS(월별집계!$C91:$Z91,월별집계!$C$5:$Z$5,"&gt;="&amp;(설정!$C$6*12+1),월별집계!$C$5:$Z$5,"&lt;="&amp;설정!$C$20))</f>
        <v/>
      </c>
      <c r="R91" s="40">
        <f>IF($A91="","",P91-Q91)</f>
        <v/>
      </c>
      <c r="S91" s="35">
        <f>IF($A91="","",AVERAGE(월별집계!X91:Z91)*(12-설정!$C$7))</f>
        <v/>
      </c>
      <c r="T91" s="35">
        <f>IF($A91="","",IFERROR(Q91/(SUMIFS(월별집계!$C91:$Z91,월별집계!$C$5:$Z$5,"&gt;="&amp;((설정!$C$6-1)*12+1),월별집계!$C$5:$Z$5,"&lt;="&amp;(설정!$C$20-12))/SUMIFS(월별집계!$C91:$Z91,월별집계!$C$5:$Z$5,"&gt;="&amp;((설정!$C$6-1)*12+1),월별집계!$C$5:$Z$5,"&lt;="&amp;((설정!$C$6-1)*12+12)))-Q91,S91))</f>
        <v/>
      </c>
      <c r="U91" s="40">
        <f>IF($A91="","",Q91+MAX(S91,T91))</f>
        <v/>
      </c>
      <c r="V91" s="73">
        <f>IF($A91="","",IF(P91=0,0,U91/P91))</f>
        <v/>
      </c>
      <c r="W91" s="34">
        <f>IF($A91="","",IF(AND(P91=0,Q91&gt;0),"무예산",IF(P91=0,"-",IF(V91&gt;설정!$C$12,"부족 예상",IF(V91&gt;설정!$C$11,"주의","여유")))))</f>
        <v/>
      </c>
      <c r="X91" s="40">
        <f>IF($A91="","",IF(P91=0,0,MAX(0,U91-P91)))</f>
        <v/>
      </c>
      <c r="Y91" s="34">
        <f>IF($A91="","",IF(OR(W91&lt;&gt;"부족 예상",설정!$C$7=12),"",IF(R91&lt;=0,"이미 초과",MIN(12,설정!$C$7+ROUNDUP(R91/(MAX(S91,T91)/(12-설정!$C$7)),0))&amp;"월")))</f>
        <v/>
      </c>
      <c r="Z91" s="26">
        <f>IF($A91="","",TRIM(IF(AND(N(AC91)&gt;=설정!$C$14,N91&gt;=설정!$C$10),"단건"&amp;TEXT(MIN(AC91,1),"0%")&amp;" ","")&amp;IF(AND(N91&gt;0,AD91&gt;0),IF(AD91/N91&gt;=설정!$C$16,"SA대체 ",""),"")&amp;IF(AE91&gt;0,"역분개"&amp;AE91&amp;"건 ","")&amp;IF(O91&gt;=설정!$C$13,"이상치 ","")&amp;IF(AND(I91=0,F91&gt;0),"신규지출 ","")))</f>
        <v/>
      </c>
      <c r="AA91" s="62">
        <f>IF($A91="","",ROUND((AF91+AG91+AH91+AI91)*IF(AND(F91&lt;설정!$C$10,N91&lt;설정!$C$10),0.3,1),1))</f>
        <v/>
      </c>
      <c r="AB91" s="41">
        <f>IF($A91="","",AA91+ROW()/1000000)</f>
        <v/>
      </c>
      <c r="AC91" s="60">
        <f>IF(OR($A91="",N91&lt;=0),"",SUMPRODUCT(MAX((전표_원본!$O$5:$O$100000=$E91)*(전표_원본!$M$5:$M$100000=설정!$C$20)*전표_원본!$P$5:$P$100000))/N91)</f>
        <v/>
      </c>
      <c r="AD91" s="35">
        <f>IF($A91="","",SUMIFS(전표_원본!$P$5:$P$100000,전표_원본!$O$5:$O$100000,$E91,전표_원본!$M$5:$M$100000,설정!$C$20,전표_원본!$E$5:$E$100000,"SA")-SUMIFS(전표_원본!$P$5:$P$100000,전표_원본!$O$5:$O$100000,$E91,전표_원본!$M$5:$M$100000,설정!$C$20-1,전표_원본!$E$5:$E$100000,"SA"))</f>
        <v/>
      </c>
      <c r="AE91" s="81">
        <f>IF($A91="","",COUNTIFS(전표_원본!$O$5:$O$100000,$E91,전표_원본!$M$5:$M$100000,설정!$C$20,전표_원본!$P$5:$P$100000,"&lt;0"))</f>
        <v/>
      </c>
      <c r="AF91" s="62">
        <f>IF($A91="","",MIN(MAX(0,N91)/(설정!$C$10*5),1)*30)</f>
        <v/>
      </c>
      <c r="AG91" s="82">
        <f>IF($A91="","",MIN(MAX(0,H91,J91),1)*20)</f>
        <v/>
      </c>
      <c r="AH91" s="82">
        <f>IF($A91="","",MIN(MAX(0,O91)/3,1)*25)</f>
        <v/>
      </c>
      <c r="AI91" s="82">
        <f>IF($A91="","",IF(OR(W91="부족 예상",W91="무예산",AO91="한도 초과",AO91="초과 예상",AO91="무예산"),25,IF(OR(W91="주의",AO91="주의"),15,0)))</f>
        <v/>
      </c>
      <c r="AJ91" s="35">
        <f>IF($A91="","",SUMIFS(예산판_원본!$O$5:$O$5000,예산판_원본!$L$5:$L$5000,$E91,예산판_원본!$M$5:$M$5000,설정!$C$6,예산판_원본!$N$5:$N$5000,설정!$C$21))</f>
        <v/>
      </c>
      <c r="AK91" s="40">
        <f>IF($A91="","",K91)</f>
        <v/>
      </c>
      <c r="AL91" s="40">
        <f>IF($A91="","",AJ91-AK91)</f>
        <v/>
      </c>
      <c r="AM91" s="35">
        <f>IF($A91="","",AK91+AVERAGE(월별집계!X91:Z91)*MAX(0,설정!$C$22+2-설정!$C$20))</f>
        <v/>
      </c>
      <c r="AN91" s="73">
        <f>IF($A91="","",IF(AJ91=0,0,AM91/AJ91))</f>
        <v/>
      </c>
      <c r="AO91" s="34">
        <f>IF($A91="","",IF(AND(AJ91=0,AK91&gt;0),"무예산",IF(AJ91=0,"-",IF(AK91&gt;AJ91,"한도 초과",IF(AN91&gt;설정!$C$12,"초과 예상",IF(AN91&gt;설정!$C$11,"주의","여유"))))))</f>
        <v/>
      </c>
      <c r="AP91" s="35">
        <f>IF($A91="","",IF(설정!$C$19="최근월",(INDEX(월별집계!$AB91:$AM91,설정!$C$7)-INDEX(월별집계!$AB91:$AM91,MAX(1,설정!$C$7-1))*(설정!$C$7&gt;1)),IF(설정!$C$19="최근분기",((INDEX(월별집계!$AB91:$AM91,설정!$C$7)-INDEX(월별집계!$AB91:$AM91,MAX(1,설정!$C$7-3))*(설정!$C$7&gt;3))/MIN(3,설정!$C$7)),IF(설정!$C$19="전년추세",AZ91,((설정!$C$7+1)*SUMPRODUCT(월별집계!$AB$5:$AM$5,월별집계!$AB91:$AM91)-(설정!$C$7*(설정!$C$7+1)/2)*SUM(월별집계!$AB91:$AM91))/((설정!$C$7+1)*(설정!$C$7*(설정!$C$7+1)*(2*설정!$C$7+1)/6)-(설정!$C$7*(설정!$C$7+1)/2)^2)))))</f>
        <v/>
      </c>
      <c r="AQ91" s="35">
        <f>IF($A91="","",IF(설정!$C$19="연내누적",(SUM(월별집계!$AB91:$AM91)-AP91*(설정!$C$7*(설정!$C$7+1)/2))/(설정!$C$7+1),INDEX(월별집계!$AB91:$AM91,설정!$C$7)-AP91*설정!$C$7))</f>
        <v/>
      </c>
      <c r="AR91" s="40">
        <f>IF($A91="","",AQ91+AP91*12)</f>
        <v/>
      </c>
      <c r="AS91" s="82">
        <f>IF($A91="","",IF(OR(P91&lt;=0,Q91&gt;=P91,AP91&lt;=0),"",MAX(설정!$C$7,(P91-AQ91)/AP91)))</f>
        <v/>
      </c>
      <c r="AT91" s="22">
        <f>IF($A91="","",IF(AS91="",IF(AU91="이미 소진","소진됨",""),YEAR((DATE(설정!$C$6,1,1)+ROUND(AS91*365/12,0)-1))&amp;"-"&amp;TEXT(MONTH((DATE(설정!$C$6,1,1)+ROUND(AS91*365/12,0)-1)),"00")&amp;"-"&amp;TEXT(DAY((DATE(설정!$C$6,1,1)+ROUND(AS91*365/12,0)-1)),"00")))</f>
        <v/>
      </c>
      <c r="AU91" s="34">
        <f>IF($A91="","",IF(AND(P91&lt;=0,Q91&gt;0),"무예산",IF(P91&lt;=0,"-",IF(Q91&gt;=P91,"이미 소진",IF(AP91&lt;=0,"소진 안 됨",IF(AS91&lt;=12,"연내 고갈","연내 여유"))))))</f>
        <v/>
      </c>
      <c r="AV91" s="34">
        <f>IF($A91="","",IF(AJ91&lt;=0,"",IF(AK91&gt;=AJ91,"한도 소진",IF(AK91&lt;=0,"",IF(AJ91/(AK91/(설정!$C$20-설정!$C$22+1))&gt;3,"분기 내 여유",YEAR((DATE(설정!$C$6,설정!$C$22-설정!$C$6*12,1)+ROUND(MAX((설정!$C$20-설정!$C$22+1),AJ91/(AK91/(설정!$C$20-설정!$C$22+1)))*365/12,0)-1))&amp;"-"&amp;TEXT(MONTH((DATE(설정!$C$6,설정!$C$22-설정!$C$6*12,1)+ROUND(MAX((설정!$C$20-설정!$C$22+1),AJ91/(AK91/(설정!$C$20-설정!$C$22+1)))*365/12,0)-1)),"00")&amp;"-"&amp;TEXT(DAY((DATE(설정!$C$6,설정!$C$22-설정!$C$6*12,1)+ROUND(MAX((설정!$C$20-설정!$C$22+1),AJ91/(AK91/(설정!$C$20-설정!$C$22+1)))*365/12,0)-1)),"00"))))))</f>
        <v/>
      </c>
      <c r="AW91" s="41">
        <f>IF($A91="",999+ROW()/1000000,IF(AU91="이미 소진",ROW()/1000000,IF(AU91="연내 고갈",AS91+ROW()/1000000,99+ROW()/1000000)))</f>
        <v/>
      </c>
      <c r="AX91" s="35">
        <f>IF($A91="","",SUMIFS(월별집계!$C91:$Z91,월별집계!$C$5:$Z$5,"&gt;="&amp;((설정!$C$6-1)*12+1),월별집계!$C$5:$Z$5,"&lt;="&amp;(설정!$C$20-12)))</f>
        <v/>
      </c>
      <c r="AY91" s="80">
        <f>IF($A91="","",IF(AX91&lt;=0,IF(Q91&gt;0,1,0),Q91/AX91-1))</f>
        <v/>
      </c>
      <c r="AZ91" s="35">
        <f>IF($A91="","",SUMIFS(월별집계!$C91:$Z91,월별집계!$C$5:$Z$5,"&gt;"&amp;(설정!$C$20-12),월별집계!$C$5:$Z$5,"&lt;="&amp;((설정!$C$6-1)*12+12))/MAX(1,12-설정!$C$7))</f>
        <v/>
      </c>
    </row>
    <row r="92">
      <c r="A92" s="12" t="n"/>
      <c r="B92" s="26">
        <f>IF($A92="","",IFERROR(INDEX(부서매핑!$D$5:$D$504,MATCH($A92,부서매핑!$C$5:$C$504,0)),"부서매핑 없음"))</f>
        <v/>
      </c>
      <c r="C92" s="79" t="n"/>
      <c r="D92" s="26">
        <f>IF($A92="","",IFERROR(INDEX(계정매핑!$B$5:$B$504,MATCH($C92&amp;"",계정매핑!$A$5:$A$504,0)),"계정매핑 없음"))</f>
        <v/>
      </c>
      <c r="E92" s="22">
        <f>IF($A92="","",$A92&amp;"|"&amp;$C92)</f>
        <v/>
      </c>
      <c r="F92" s="35">
        <f>IF($A92="","",월별집계!$Z92)</f>
        <v/>
      </c>
      <c r="G92" s="35">
        <f>IF($A92="","",월별집계!$Y92)</f>
        <v/>
      </c>
      <c r="H92" s="80">
        <f>IF($A92="","",IF(G92&lt;=0,IF(F92&gt;0,1,0),F92/G92-1))</f>
        <v/>
      </c>
      <c r="I92" s="35">
        <f>IF($A92="","",월별집계!$N92)</f>
        <v/>
      </c>
      <c r="J92" s="80">
        <f>IF($A92="","",IF(I92&lt;=0,IF(F92&gt;0,1,0),F92/I92-1))</f>
        <v/>
      </c>
      <c r="K92" s="35">
        <f>IF($A92="","",SUMIFS(월별집계!$C92:$Z92,월별집계!$C$5:$Z$5,"&gt;="&amp;설정!$C$22,월별집계!$C$5:$Z$5,"&lt;="&amp;설정!$C$20))</f>
        <v/>
      </c>
      <c r="L92" s="35">
        <f>IF($A92="","",SUMIFS(월별집계!$C92:$Z92,월별집계!$C$5:$Z$5,"&gt;="&amp;(설정!$C$22-3),월별집계!$C$5:$Z$5,"&lt;="&amp;(설정!$C$20-3)))</f>
        <v/>
      </c>
      <c r="M92" s="80">
        <f>IF($A92="","",IF(L92&lt;=0,IF(K92&gt;0,1,0),K92/L92-1))</f>
        <v/>
      </c>
      <c r="N92" s="40">
        <f>IF($A92="","",MAX(F92-G92,F92-I92))</f>
        <v/>
      </c>
      <c r="O92" s="62">
        <f>IF($A92="","",IFERROR((월별집계!$Z92-AVERAGE(월별집계!N92:Y92))/STDEV(월별집계!N92:Y92),0))</f>
        <v/>
      </c>
      <c r="P92" s="35">
        <f>IF($A92="","",SUMIFS(예산판_원본!$O$5:$O$5000,예산판_원본!$L$5:$L$5000,$E92,예산판_원본!$M$5:$M$5000,설정!$C$6))</f>
        <v/>
      </c>
      <c r="Q92" s="35">
        <f>IF($A92="","",SUMIFS(월별집계!$C92:$Z92,월별집계!$C$5:$Z$5,"&gt;="&amp;(설정!$C$6*12+1),월별집계!$C$5:$Z$5,"&lt;="&amp;설정!$C$20))</f>
        <v/>
      </c>
      <c r="R92" s="40">
        <f>IF($A92="","",P92-Q92)</f>
        <v/>
      </c>
      <c r="S92" s="35">
        <f>IF($A92="","",AVERAGE(월별집계!X92:Z92)*(12-설정!$C$7))</f>
        <v/>
      </c>
      <c r="T92" s="35">
        <f>IF($A92="","",IFERROR(Q92/(SUMIFS(월별집계!$C92:$Z92,월별집계!$C$5:$Z$5,"&gt;="&amp;((설정!$C$6-1)*12+1),월별집계!$C$5:$Z$5,"&lt;="&amp;(설정!$C$20-12))/SUMIFS(월별집계!$C92:$Z92,월별집계!$C$5:$Z$5,"&gt;="&amp;((설정!$C$6-1)*12+1),월별집계!$C$5:$Z$5,"&lt;="&amp;((설정!$C$6-1)*12+12)))-Q92,S92))</f>
        <v/>
      </c>
      <c r="U92" s="40">
        <f>IF($A92="","",Q92+MAX(S92,T92))</f>
        <v/>
      </c>
      <c r="V92" s="73">
        <f>IF($A92="","",IF(P92=0,0,U92/P92))</f>
        <v/>
      </c>
      <c r="W92" s="34">
        <f>IF($A92="","",IF(AND(P92=0,Q92&gt;0),"무예산",IF(P92=0,"-",IF(V92&gt;설정!$C$12,"부족 예상",IF(V92&gt;설정!$C$11,"주의","여유")))))</f>
        <v/>
      </c>
      <c r="X92" s="40">
        <f>IF($A92="","",IF(P92=0,0,MAX(0,U92-P92)))</f>
        <v/>
      </c>
      <c r="Y92" s="34">
        <f>IF($A92="","",IF(OR(W92&lt;&gt;"부족 예상",설정!$C$7=12),"",IF(R92&lt;=0,"이미 초과",MIN(12,설정!$C$7+ROUNDUP(R92/(MAX(S92,T92)/(12-설정!$C$7)),0))&amp;"월")))</f>
        <v/>
      </c>
      <c r="Z92" s="26">
        <f>IF($A92="","",TRIM(IF(AND(N(AC92)&gt;=설정!$C$14,N92&gt;=설정!$C$10),"단건"&amp;TEXT(MIN(AC92,1),"0%")&amp;" ","")&amp;IF(AND(N92&gt;0,AD92&gt;0),IF(AD92/N92&gt;=설정!$C$16,"SA대체 ",""),"")&amp;IF(AE92&gt;0,"역분개"&amp;AE92&amp;"건 ","")&amp;IF(O92&gt;=설정!$C$13,"이상치 ","")&amp;IF(AND(I92=0,F92&gt;0),"신규지출 ","")))</f>
        <v/>
      </c>
      <c r="AA92" s="62">
        <f>IF($A92="","",ROUND((AF92+AG92+AH92+AI92)*IF(AND(F92&lt;설정!$C$10,N92&lt;설정!$C$10),0.3,1),1))</f>
        <v/>
      </c>
      <c r="AB92" s="41">
        <f>IF($A92="","",AA92+ROW()/1000000)</f>
        <v/>
      </c>
      <c r="AC92" s="60">
        <f>IF(OR($A92="",N92&lt;=0),"",SUMPRODUCT(MAX((전표_원본!$O$5:$O$100000=$E92)*(전표_원본!$M$5:$M$100000=설정!$C$20)*전표_원본!$P$5:$P$100000))/N92)</f>
        <v/>
      </c>
      <c r="AD92" s="35">
        <f>IF($A92="","",SUMIFS(전표_원본!$P$5:$P$100000,전표_원본!$O$5:$O$100000,$E92,전표_원본!$M$5:$M$100000,설정!$C$20,전표_원본!$E$5:$E$100000,"SA")-SUMIFS(전표_원본!$P$5:$P$100000,전표_원본!$O$5:$O$100000,$E92,전표_원본!$M$5:$M$100000,설정!$C$20-1,전표_원본!$E$5:$E$100000,"SA"))</f>
        <v/>
      </c>
      <c r="AE92" s="81">
        <f>IF($A92="","",COUNTIFS(전표_원본!$O$5:$O$100000,$E92,전표_원본!$M$5:$M$100000,설정!$C$20,전표_원본!$P$5:$P$100000,"&lt;0"))</f>
        <v/>
      </c>
      <c r="AF92" s="62">
        <f>IF($A92="","",MIN(MAX(0,N92)/(설정!$C$10*5),1)*30)</f>
        <v/>
      </c>
      <c r="AG92" s="82">
        <f>IF($A92="","",MIN(MAX(0,H92,J92),1)*20)</f>
        <v/>
      </c>
      <c r="AH92" s="82">
        <f>IF($A92="","",MIN(MAX(0,O92)/3,1)*25)</f>
        <v/>
      </c>
      <c r="AI92" s="82">
        <f>IF($A92="","",IF(OR(W92="부족 예상",W92="무예산",AO92="한도 초과",AO92="초과 예상",AO92="무예산"),25,IF(OR(W92="주의",AO92="주의"),15,0)))</f>
        <v/>
      </c>
      <c r="AJ92" s="35">
        <f>IF($A92="","",SUMIFS(예산판_원본!$O$5:$O$5000,예산판_원본!$L$5:$L$5000,$E92,예산판_원본!$M$5:$M$5000,설정!$C$6,예산판_원본!$N$5:$N$5000,설정!$C$21))</f>
        <v/>
      </c>
      <c r="AK92" s="40">
        <f>IF($A92="","",K92)</f>
        <v/>
      </c>
      <c r="AL92" s="40">
        <f>IF($A92="","",AJ92-AK92)</f>
        <v/>
      </c>
      <c r="AM92" s="35">
        <f>IF($A92="","",AK92+AVERAGE(월별집계!X92:Z92)*MAX(0,설정!$C$22+2-설정!$C$20))</f>
        <v/>
      </c>
      <c r="AN92" s="73">
        <f>IF($A92="","",IF(AJ92=0,0,AM92/AJ92))</f>
        <v/>
      </c>
      <c r="AO92" s="34">
        <f>IF($A92="","",IF(AND(AJ92=0,AK92&gt;0),"무예산",IF(AJ92=0,"-",IF(AK92&gt;AJ92,"한도 초과",IF(AN92&gt;설정!$C$12,"초과 예상",IF(AN92&gt;설정!$C$11,"주의","여유"))))))</f>
        <v/>
      </c>
      <c r="AP92" s="35">
        <f>IF($A92="","",IF(설정!$C$19="최근월",(INDEX(월별집계!$AB92:$AM92,설정!$C$7)-INDEX(월별집계!$AB92:$AM92,MAX(1,설정!$C$7-1))*(설정!$C$7&gt;1)),IF(설정!$C$19="최근분기",((INDEX(월별집계!$AB92:$AM92,설정!$C$7)-INDEX(월별집계!$AB92:$AM92,MAX(1,설정!$C$7-3))*(설정!$C$7&gt;3))/MIN(3,설정!$C$7)),IF(설정!$C$19="전년추세",AZ92,((설정!$C$7+1)*SUMPRODUCT(월별집계!$AB$5:$AM$5,월별집계!$AB92:$AM92)-(설정!$C$7*(설정!$C$7+1)/2)*SUM(월별집계!$AB92:$AM92))/((설정!$C$7+1)*(설정!$C$7*(설정!$C$7+1)*(2*설정!$C$7+1)/6)-(설정!$C$7*(설정!$C$7+1)/2)^2)))))</f>
        <v/>
      </c>
      <c r="AQ92" s="35">
        <f>IF($A92="","",IF(설정!$C$19="연내누적",(SUM(월별집계!$AB92:$AM92)-AP92*(설정!$C$7*(설정!$C$7+1)/2))/(설정!$C$7+1),INDEX(월별집계!$AB92:$AM92,설정!$C$7)-AP92*설정!$C$7))</f>
        <v/>
      </c>
      <c r="AR92" s="40">
        <f>IF($A92="","",AQ92+AP92*12)</f>
        <v/>
      </c>
      <c r="AS92" s="82">
        <f>IF($A92="","",IF(OR(P92&lt;=0,Q92&gt;=P92,AP92&lt;=0),"",MAX(설정!$C$7,(P92-AQ92)/AP92)))</f>
        <v/>
      </c>
      <c r="AT92" s="22">
        <f>IF($A92="","",IF(AS92="",IF(AU92="이미 소진","소진됨",""),YEAR((DATE(설정!$C$6,1,1)+ROUND(AS92*365/12,0)-1))&amp;"-"&amp;TEXT(MONTH((DATE(설정!$C$6,1,1)+ROUND(AS92*365/12,0)-1)),"00")&amp;"-"&amp;TEXT(DAY((DATE(설정!$C$6,1,1)+ROUND(AS92*365/12,0)-1)),"00")))</f>
        <v/>
      </c>
      <c r="AU92" s="34">
        <f>IF($A92="","",IF(AND(P92&lt;=0,Q92&gt;0),"무예산",IF(P92&lt;=0,"-",IF(Q92&gt;=P92,"이미 소진",IF(AP92&lt;=0,"소진 안 됨",IF(AS92&lt;=12,"연내 고갈","연내 여유"))))))</f>
        <v/>
      </c>
      <c r="AV92" s="34">
        <f>IF($A92="","",IF(AJ92&lt;=0,"",IF(AK92&gt;=AJ92,"한도 소진",IF(AK92&lt;=0,"",IF(AJ92/(AK92/(설정!$C$20-설정!$C$22+1))&gt;3,"분기 내 여유",YEAR((DATE(설정!$C$6,설정!$C$22-설정!$C$6*12,1)+ROUND(MAX((설정!$C$20-설정!$C$22+1),AJ92/(AK92/(설정!$C$20-설정!$C$22+1)))*365/12,0)-1))&amp;"-"&amp;TEXT(MONTH((DATE(설정!$C$6,설정!$C$22-설정!$C$6*12,1)+ROUND(MAX((설정!$C$20-설정!$C$22+1),AJ92/(AK92/(설정!$C$20-설정!$C$22+1)))*365/12,0)-1)),"00")&amp;"-"&amp;TEXT(DAY((DATE(설정!$C$6,설정!$C$22-설정!$C$6*12,1)+ROUND(MAX((설정!$C$20-설정!$C$22+1),AJ92/(AK92/(설정!$C$20-설정!$C$22+1)))*365/12,0)-1)),"00"))))))</f>
        <v/>
      </c>
      <c r="AW92" s="41">
        <f>IF($A92="",999+ROW()/1000000,IF(AU92="이미 소진",ROW()/1000000,IF(AU92="연내 고갈",AS92+ROW()/1000000,99+ROW()/1000000)))</f>
        <v/>
      </c>
      <c r="AX92" s="35">
        <f>IF($A92="","",SUMIFS(월별집계!$C92:$Z92,월별집계!$C$5:$Z$5,"&gt;="&amp;((설정!$C$6-1)*12+1),월별집계!$C$5:$Z$5,"&lt;="&amp;(설정!$C$20-12)))</f>
        <v/>
      </c>
      <c r="AY92" s="80">
        <f>IF($A92="","",IF(AX92&lt;=0,IF(Q92&gt;0,1,0),Q92/AX92-1))</f>
        <v/>
      </c>
      <c r="AZ92" s="35">
        <f>IF($A92="","",SUMIFS(월별집계!$C92:$Z92,월별집계!$C$5:$Z$5,"&gt;"&amp;(설정!$C$20-12),월별집계!$C$5:$Z$5,"&lt;="&amp;((설정!$C$6-1)*12+12))/MAX(1,12-설정!$C$7))</f>
        <v/>
      </c>
    </row>
    <row r="93">
      <c r="A93" s="12" t="n"/>
      <c r="B93" s="26">
        <f>IF($A93="","",IFERROR(INDEX(부서매핑!$D$5:$D$504,MATCH($A93,부서매핑!$C$5:$C$504,0)),"부서매핑 없음"))</f>
        <v/>
      </c>
      <c r="C93" s="79" t="n"/>
      <c r="D93" s="26">
        <f>IF($A93="","",IFERROR(INDEX(계정매핑!$B$5:$B$504,MATCH($C93&amp;"",계정매핑!$A$5:$A$504,0)),"계정매핑 없음"))</f>
        <v/>
      </c>
      <c r="E93" s="22">
        <f>IF($A93="","",$A93&amp;"|"&amp;$C93)</f>
        <v/>
      </c>
      <c r="F93" s="35">
        <f>IF($A93="","",월별집계!$Z93)</f>
        <v/>
      </c>
      <c r="G93" s="35">
        <f>IF($A93="","",월별집계!$Y93)</f>
        <v/>
      </c>
      <c r="H93" s="80">
        <f>IF($A93="","",IF(G93&lt;=0,IF(F93&gt;0,1,0),F93/G93-1))</f>
        <v/>
      </c>
      <c r="I93" s="35">
        <f>IF($A93="","",월별집계!$N93)</f>
        <v/>
      </c>
      <c r="J93" s="80">
        <f>IF($A93="","",IF(I93&lt;=0,IF(F93&gt;0,1,0),F93/I93-1))</f>
        <v/>
      </c>
      <c r="K93" s="35">
        <f>IF($A93="","",SUMIFS(월별집계!$C93:$Z93,월별집계!$C$5:$Z$5,"&gt;="&amp;설정!$C$22,월별집계!$C$5:$Z$5,"&lt;="&amp;설정!$C$20))</f>
        <v/>
      </c>
      <c r="L93" s="35">
        <f>IF($A93="","",SUMIFS(월별집계!$C93:$Z93,월별집계!$C$5:$Z$5,"&gt;="&amp;(설정!$C$22-3),월별집계!$C$5:$Z$5,"&lt;="&amp;(설정!$C$20-3)))</f>
        <v/>
      </c>
      <c r="M93" s="80">
        <f>IF($A93="","",IF(L93&lt;=0,IF(K93&gt;0,1,0),K93/L93-1))</f>
        <v/>
      </c>
      <c r="N93" s="40">
        <f>IF($A93="","",MAX(F93-G93,F93-I93))</f>
        <v/>
      </c>
      <c r="O93" s="62">
        <f>IF($A93="","",IFERROR((월별집계!$Z93-AVERAGE(월별집계!N93:Y93))/STDEV(월별집계!N93:Y93),0))</f>
        <v/>
      </c>
      <c r="P93" s="35">
        <f>IF($A93="","",SUMIFS(예산판_원본!$O$5:$O$5000,예산판_원본!$L$5:$L$5000,$E93,예산판_원본!$M$5:$M$5000,설정!$C$6))</f>
        <v/>
      </c>
      <c r="Q93" s="35">
        <f>IF($A93="","",SUMIFS(월별집계!$C93:$Z93,월별집계!$C$5:$Z$5,"&gt;="&amp;(설정!$C$6*12+1),월별집계!$C$5:$Z$5,"&lt;="&amp;설정!$C$20))</f>
        <v/>
      </c>
      <c r="R93" s="40">
        <f>IF($A93="","",P93-Q93)</f>
        <v/>
      </c>
      <c r="S93" s="35">
        <f>IF($A93="","",AVERAGE(월별집계!X93:Z93)*(12-설정!$C$7))</f>
        <v/>
      </c>
      <c r="T93" s="35">
        <f>IF($A93="","",IFERROR(Q93/(SUMIFS(월별집계!$C93:$Z93,월별집계!$C$5:$Z$5,"&gt;="&amp;((설정!$C$6-1)*12+1),월별집계!$C$5:$Z$5,"&lt;="&amp;(설정!$C$20-12))/SUMIFS(월별집계!$C93:$Z93,월별집계!$C$5:$Z$5,"&gt;="&amp;((설정!$C$6-1)*12+1),월별집계!$C$5:$Z$5,"&lt;="&amp;((설정!$C$6-1)*12+12)))-Q93,S93))</f>
        <v/>
      </c>
      <c r="U93" s="40">
        <f>IF($A93="","",Q93+MAX(S93,T93))</f>
        <v/>
      </c>
      <c r="V93" s="73">
        <f>IF($A93="","",IF(P93=0,0,U93/P93))</f>
        <v/>
      </c>
      <c r="W93" s="34">
        <f>IF($A93="","",IF(AND(P93=0,Q93&gt;0),"무예산",IF(P93=0,"-",IF(V93&gt;설정!$C$12,"부족 예상",IF(V93&gt;설정!$C$11,"주의","여유")))))</f>
        <v/>
      </c>
      <c r="X93" s="40">
        <f>IF($A93="","",IF(P93=0,0,MAX(0,U93-P93)))</f>
        <v/>
      </c>
      <c r="Y93" s="34">
        <f>IF($A93="","",IF(OR(W93&lt;&gt;"부족 예상",설정!$C$7=12),"",IF(R93&lt;=0,"이미 초과",MIN(12,설정!$C$7+ROUNDUP(R93/(MAX(S93,T93)/(12-설정!$C$7)),0))&amp;"월")))</f>
        <v/>
      </c>
      <c r="Z93" s="26">
        <f>IF($A93="","",TRIM(IF(AND(N(AC93)&gt;=설정!$C$14,N93&gt;=설정!$C$10),"단건"&amp;TEXT(MIN(AC93,1),"0%")&amp;" ","")&amp;IF(AND(N93&gt;0,AD93&gt;0),IF(AD93/N93&gt;=설정!$C$16,"SA대체 ",""),"")&amp;IF(AE93&gt;0,"역분개"&amp;AE93&amp;"건 ","")&amp;IF(O93&gt;=설정!$C$13,"이상치 ","")&amp;IF(AND(I93=0,F93&gt;0),"신규지출 ","")))</f>
        <v/>
      </c>
      <c r="AA93" s="62">
        <f>IF($A93="","",ROUND((AF93+AG93+AH93+AI93)*IF(AND(F93&lt;설정!$C$10,N93&lt;설정!$C$10),0.3,1),1))</f>
        <v/>
      </c>
      <c r="AB93" s="41">
        <f>IF($A93="","",AA93+ROW()/1000000)</f>
        <v/>
      </c>
      <c r="AC93" s="60">
        <f>IF(OR($A93="",N93&lt;=0),"",SUMPRODUCT(MAX((전표_원본!$O$5:$O$100000=$E93)*(전표_원본!$M$5:$M$100000=설정!$C$20)*전표_원본!$P$5:$P$100000))/N93)</f>
        <v/>
      </c>
      <c r="AD93" s="35">
        <f>IF($A93="","",SUMIFS(전표_원본!$P$5:$P$100000,전표_원본!$O$5:$O$100000,$E93,전표_원본!$M$5:$M$100000,설정!$C$20,전표_원본!$E$5:$E$100000,"SA")-SUMIFS(전표_원본!$P$5:$P$100000,전표_원본!$O$5:$O$100000,$E93,전표_원본!$M$5:$M$100000,설정!$C$20-1,전표_원본!$E$5:$E$100000,"SA"))</f>
        <v/>
      </c>
      <c r="AE93" s="81">
        <f>IF($A93="","",COUNTIFS(전표_원본!$O$5:$O$100000,$E93,전표_원본!$M$5:$M$100000,설정!$C$20,전표_원본!$P$5:$P$100000,"&lt;0"))</f>
        <v/>
      </c>
      <c r="AF93" s="62">
        <f>IF($A93="","",MIN(MAX(0,N93)/(설정!$C$10*5),1)*30)</f>
        <v/>
      </c>
      <c r="AG93" s="82">
        <f>IF($A93="","",MIN(MAX(0,H93,J93),1)*20)</f>
        <v/>
      </c>
      <c r="AH93" s="82">
        <f>IF($A93="","",MIN(MAX(0,O93)/3,1)*25)</f>
        <v/>
      </c>
      <c r="AI93" s="82">
        <f>IF($A93="","",IF(OR(W93="부족 예상",W93="무예산",AO93="한도 초과",AO93="초과 예상",AO93="무예산"),25,IF(OR(W93="주의",AO93="주의"),15,0)))</f>
        <v/>
      </c>
      <c r="AJ93" s="35">
        <f>IF($A93="","",SUMIFS(예산판_원본!$O$5:$O$5000,예산판_원본!$L$5:$L$5000,$E93,예산판_원본!$M$5:$M$5000,설정!$C$6,예산판_원본!$N$5:$N$5000,설정!$C$21))</f>
        <v/>
      </c>
      <c r="AK93" s="40">
        <f>IF($A93="","",K93)</f>
        <v/>
      </c>
      <c r="AL93" s="40">
        <f>IF($A93="","",AJ93-AK93)</f>
        <v/>
      </c>
      <c r="AM93" s="35">
        <f>IF($A93="","",AK93+AVERAGE(월별집계!X93:Z93)*MAX(0,설정!$C$22+2-설정!$C$20))</f>
        <v/>
      </c>
      <c r="AN93" s="73">
        <f>IF($A93="","",IF(AJ93=0,0,AM93/AJ93))</f>
        <v/>
      </c>
      <c r="AO93" s="34">
        <f>IF($A93="","",IF(AND(AJ93=0,AK93&gt;0),"무예산",IF(AJ93=0,"-",IF(AK93&gt;AJ93,"한도 초과",IF(AN93&gt;설정!$C$12,"초과 예상",IF(AN93&gt;설정!$C$11,"주의","여유"))))))</f>
        <v/>
      </c>
      <c r="AP93" s="35">
        <f>IF($A93="","",IF(설정!$C$19="최근월",(INDEX(월별집계!$AB93:$AM93,설정!$C$7)-INDEX(월별집계!$AB93:$AM93,MAX(1,설정!$C$7-1))*(설정!$C$7&gt;1)),IF(설정!$C$19="최근분기",((INDEX(월별집계!$AB93:$AM93,설정!$C$7)-INDEX(월별집계!$AB93:$AM93,MAX(1,설정!$C$7-3))*(설정!$C$7&gt;3))/MIN(3,설정!$C$7)),IF(설정!$C$19="전년추세",AZ93,((설정!$C$7+1)*SUMPRODUCT(월별집계!$AB$5:$AM$5,월별집계!$AB93:$AM93)-(설정!$C$7*(설정!$C$7+1)/2)*SUM(월별집계!$AB93:$AM93))/((설정!$C$7+1)*(설정!$C$7*(설정!$C$7+1)*(2*설정!$C$7+1)/6)-(설정!$C$7*(설정!$C$7+1)/2)^2)))))</f>
        <v/>
      </c>
      <c r="AQ93" s="35">
        <f>IF($A93="","",IF(설정!$C$19="연내누적",(SUM(월별집계!$AB93:$AM93)-AP93*(설정!$C$7*(설정!$C$7+1)/2))/(설정!$C$7+1),INDEX(월별집계!$AB93:$AM93,설정!$C$7)-AP93*설정!$C$7))</f>
        <v/>
      </c>
      <c r="AR93" s="40">
        <f>IF($A93="","",AQ93+AP93*12)</f>
        <v/>
      </c>
      <c r="AS93" s="82">
        <f>IF($A93="","",IF(OR(P93&lt;=0,Q93&gt;=P93,AP93&lt;=0),"",MAX(설정!$C$7,(P93-AQ93)/AP93)))</f>
        <v/>
      </c>
      <c r="AT93" s="22">
        <f>IF($A93="","",IF(AS93="",IF(AU93="이미 소진","소진됨",""),YEAR((DATE(설정!$C$6,1,1)+ROUND(AS93*365/12,0)-1))&amp;"-"&amp;TEXT(MONTH((DATE(설정!$C$6,1,1)+ROUND(AS93*365/12,0)-1)),"00")&amp;"-"&amp;TEXT(DAY((DATE(설정!$C$6,1,1)+ROUND(AS93*365/12,0)-1)),"00")))</f>
        <v/>
      </c>
      <c r="AU93" s="34">
        <f>IF($A93="","",IF(AND(P93&lt;=0,Q93&gt;0),"무예산",IF(P93&lt;=0,"-",IF(Q93&gt;=P93,"이미 소진",IF(AP93&lt;=0,"소진 안 됨",IF(AS93&lt;=12,"연내 고갈","연내 여유"))))))</f>
        <v/>
      </c>
      <c r="AV93" s="34">
        <f>IF($A93="","",IF(AJ93&lt;=0,"",IF(AK93&gt;=AJ93,"한도 소진",IF(AK93&lt;=0,"",IF(AJ93/(AK93/(설정!$C$20-설정!$C$22+1))&gt;3,"분기 내 여유",YEAR((DATE(설정!$C$6,설정!$C$22-설정!$C$6*12,1)+ROUND(MAX((설정!$C$20-설정!$C$22+1),AJ93/(AK93/(설정!$C$20-설정!$C$22+1)))*365/12,0)-1))&amp;"-"&amp;TEXT(MONTH((DATE(설정!$C$6,설정!$C$22-설정!$C$6*12,1)+ROUND(MAX((설정!$C$20-설정!$C$22+1),AJ93/(AK93/(설정!$C$20-설정!$C$22+1)))*365/12,0)-1)),"00")&amp;"-"&amp;TEXT(DAY((DATE(설정!$C$6,설정!$C$22-설정!$C$6*12,1)+ROUND(MAX((설정!$C$20-설정!$C$22+1),AJ93/(AK93/(설정!$C$20-설정!$C$22+1)))*365/12,0)-1)),"00"))))))</f>
        <v/>
      </c>
      <c r="AW93" s="41">
        <f>IF($A93="",999+ROW()/1000000,IF(AU93="이미 소진",ROW()/1000000,IF(AU93="연내 고갈",AS93+ROW()/1000000,99+ROW()/1000000)))</f>
        <v/>
      </c>
      <c r="AX93" s="35">
        <f>IF($A93="","",SUMIFS(월별집계!$C93:$Z93,월별집계!$C$5:$Z$5,"&gt;="&amp;((설정!$C$6-1)*12+1),월별집계!$C$5:$Z$5,"&lt;="&amp;(설정!$C$20-12)))</f>
        <v/>
      </c>
      <c r="AY93" s="80">
        <f>IF($A93="","",IF(AX93&lt;=0,IF(Q93&gt;0,1,0),Q93/AX93-1))</f>
        <v/>
      </c>
      <c r="AZ93" s="35">
        <f>IF($A93="","",SUMIFS(월별집계!$C93:$Z93,월별집계!$C$5:$Z$5,"&gt;"&amp;(설정!$C$20-12),월별집계!$C$5:$Z$5,"&lt;="&amp;((설정!$C$6-1)*12+12))/MAX(1,12-설정!$C$7))</f>
        <v/>
      </c>
    </row>
    <row r="94">
      <c r="A94" s="12" t="n"/>
      <c r="B94" s="26">
        <f>IF($A94="","",IFERROR(INDEX(부서매핑!$D$5:$D$504,MATCH($A94,부서매핑!$C$5:$C$504,0)),"부서매핑 없음"))</f>
        <v/>
      </c>
      <c r="C94" s="79" t="n"/>
      <c r="D94" s="26">
        <f>IF($A94="","",IFERROR(INDEX(계정매핑!$B$5:$B$504,MATCH($C94&amp;"",계정매핑!$A$5:$A$504,0)),"계정매핑 없음"))</f>
        <v/>
      </c>
      <c r="E94" s="22">
        <f>IF($A94="","",$A94&amp;"|"&amp;$C94)</f>
        <v/>
      </c>
      <c r="F94" s="35">
        <f>IF($A94="","",월별집계!$Z94)</f>
        <v/>
      </c>
      <c r="G94" s="35">
        <f>IF($A94="","",월별집계!$Y94)</f>
        <v/>
      </c>
      <c r="H94" s="80">
        <f>IF($A94="","",IF(G94&lt;=0,IF(F94&gt;0,1,0),F94/G94-1))</f>
        <v/>
      </c>
      <c r="I94" s="35">
        <f>IF($A94="","",월별집계!$N94)</f>
        <v/>
      </c>
      <c r="J94" s="80">
        <f>IF($A94="","",IF(I94&lt;=0,IF(F94&gt;0,1,0),F94/I94-1))</f>
        <v/>
      </c>
      <c r="K94" s="35">
        <f>IF($A94="","",SUMIFS(월별집계!$C94:$Z94,월별집계!$C$5:$Z$5,"&gt;="&amp;설정!$C$22,월별집계!$C$5:$Z$5,"&lt;="&amp;설정!$C$20))</f>
        <v/>
      </c>
      <c r="L94" s="35">
        <f>IF($A94="","",SUMIFS(월별집계!$C94:$Z94,월별집계!$C$5:$Z$5,"&gt;="&amp;(설정!$C$22-3),월별집계!$C$5:$Z$5,"&lt;="&amp;(설정!$C$20-3)))</f>
        <v/>
      </c>
      <c r="M94" s="80">
        <f>IF($A94="","",IF(L94&lt;=0,IF(K94&gt;0,1,0),K94/L94-1))</f>
        <v/>
      </c>
      <c r="N94" s="40">
        <f>IF($A94="","",MAX(F94-G94,F94-I94))</f>
        <v/>
      </c>
      <c r="O94" s="62">
        <f>IF($A94="","",IFERROR((월별집계!$Z94-AVERAGE(월별집계!N94:Y94))/STDEV(월별집계!N94:Y94),0))</f>
        <v/>
      </c>
      <c r="P94" s="35">
        <f>IF($A94="","",SUMIFS(예산판_원본!$O$5:$O$5000,예산판_원본!$L$5:$L$5000,$E94,예산판_원본!$M$5:$M$5000,설정!$C$6))</f>
        <v/>
      </c>
      <c r="Q94" s="35">
        <f>IF($A94="","",SUMIFS(월별집계!$C94:$Z94,월별집계!$C$5:$Z$5,"&gt;="&amp;(설정!$C$6*12+1),월별집계!$C$5:$Z$5,"&lt;="&amp;설정!$C$20))</f>
        <v/>
      </c>
      <c r="R94" s="40">
        <f>IF($A94="","",P94-Q94)</f>
        <v/>
      </c>
      <c r="S94" s="35">
        <f>IF($A94="","",AVERAGE(월별집계!X94:Z94)*(12-설정!$C$7))</f>
        <v/>
      </c>
      <c r="T94" s="35">
        <f>IF($A94="","",IFERROR(Q94/(SUMIFS(월별집계!$C94:$Z94,월별집계!$C$5:$Z$5,"&gt;="&amp;((설정!$C$6-1)*12+1),월별집계!$C$5:$Z$5,"&lt;="&amp;(설정!$C$20-12))/SUMIFS(월별집계!$C94:$Z94,월별집계!$C$5:$Z$5,"&gt;="&amp;((설정!$C$6-1)*12+1),월별집계!$C$5:$Z$5,"&lt;="&amp;((설정!$C$6-1)*12+12)))-Q94,S94))</f>
        <v/>
      </c>
      <c r="U94" s="40">
        <f>IF($A94="","",Q94+MAX(S94,T94))</f>
        <v/>
      </c>
      <c r="V94" s="73">
        <f>IF($A94="","",IF(P94=0,0,U94/P94))</f>
        <v/>
      </c>
      <c r="W94" s="34">
        <f>IF($A94="","",IF(AND(P94=0,Q94&gt;0),"무예산",IF(P94=0,"-",IF(V94&gt;설정!$C$12,"부족 예상",IF(V94&gt;설정!$C$11,"주의","여유")))))</f>
        <v/>
      </c>
      <c r="X94" s="40">
        <f>IF($A94="","",IF(P94=0,0,MAX(0,U94-P94)))</f>
        <v/>
      </c>
      <c r="Y94" s="34">
        <f>IF($A94="","",IF(OR(W94&lt;&gt;"부족 예상",설정!$C$7=12),"",IF(R94&lt;=0,"이미 초과",MIN(12,설정!$C$7+ROUNDUP(R94/(MAX(S94,T94)/(12-설정!$C$7)),0))&amp;"월")))</f>
        <v/>
      </c>
      <c r="Z94" s="26">
        <f>IF($A94="","",TRIM(IF(AND(N(AC94)&gt;=설정!$C$14,N94&gt;=설정!$C$10),"단건"&amp;TEXT(MIN(AC94,1),"0%")&amp;" ","")&amp;IF(AND(N94&gt;0,AD94&gt;0),IF(AD94/N94&gt;=설정!$C$16,"SA대체 ",""),"")&amp;IF(AE94&gt;0,"역분개"&amp;AE94&amp;"건 ","")&amp;IF(O94&gt;=설정!$C$13,"이상치 ","")&amp;IF(AND(I94=0,F94&gt;0),"신규지출 ","")))</f>
        <v/>
      </c>
      <c r="AA94" s="62">
        <f>IF($A94="","",ROUND((AF94+AG94+AH94+AI94)*IF(AND(F94&lt;설정!$C$10,N94&lt;설정!$C$10),0.3,1),1))</f>
        <v/>
      </c>
      <c r="AB94" s="41">
        <f>IF($A94="","",AA94+ROW()/1000000)</f>
        <v/>
      </c>
      <c r="AC94" s="60">
        <f>IF(OR($A94="",N94&lt;=0),"",SUMPRODUCT(MAX((전표_원본!$O$5:$O$100000=$E94)*(전표_원본!$M$5:$M$100000=설정!$C$20)*전표_원본!$P$5:$P$100000))/N94)</f>
        <v/>
      </c>
      <c r="AD94" s="35">
        <f>IF($A94="","",SUMIFS(전표_원본!$P$5:$P$100000,전표_원본!$O$5:$O$100000,$E94,전표_원본!$M$5:$M$100000,설정!$C$20,전표_원본!$E$5:$E$100000,"SA")-SUMIFS(전표_원본!$P$5:$P$100000,전표_원본!$O$5:$O$100000,$E94,전표_원본!$M$5:$M$100000,설정!$C$20-1,전표_원본!$E$5:$E$100000,"SA"))</f>
        <v/>
      </c>
      <c r="AE94" s="81">
        <f>IF($A94="","",COUNTIFS(전표_원본!$O$5:$O$100000,$E94,전표_원본!$M$5:$M$100000,설정!$C$20,전표_원본!$P$5:$P$100000,"&lt;0"))</f>
        <v/>
      </c>
      <c r="AF94" s="62">
        <f>IF($A94="","",MIN(MAX(0,N94)/(설정!$C$10*5),1)*30)</f>
        <v/>
      </c>
      <c r="AG94" s="82">
        <f>IF($A94="","",MIN(MAX(0,H94,J94),1)*20)</f>
        <v/>
      </c>
      <c r="AH94" s="82">
        <f>IF($A94="","",MIN(MAX(0,O94)/3,1)*25)</f>
        <v/>
      </c>
      <c r="AI94" s="82">
        <f>IF($A94="","",IF(OR(W94="부족 예상",W94="무예산",AO94="한도 초과",AO94="초과 예상",AO94="무예산"),25,IF(OR(W94="주의",AO94="주의"),15,0)))</f>
        <v/>
      </c>
      <c r="AJ94" s="35">
        <f>IF($A94="","",SUMIFS(예산판_원본!$O$5:$O$5000,예산판_원본!$L$5:$L$5000,$E94,예산판_원본!$M$5:$M$5000,설정!$C$6,예산판_원본!$N$5:$N$5000,설정!$C$21))</f>
        <v/>
      </c>
      <c r="AK94" s="40">
        <f>IF($A94="","",K94)</f>
        <v/>
      </c>
      <c r="AL94" s="40">
        <f>IF($A94="","",AJ94-AK94)</f>
        <v/>
      </c>
      <c r="AM94" s="35">
        <f>IF($A94="","",AK94+AVERAGE(월별집계!X94:Z94)*MAX(0,설정!$C$22+2-설정!$C$20))</f>
        <v/>
      </c>
      <c r="AN94" s="73">
        <f>IF($A94="","",IF(AJ94=0,0,AM94/AJ94))</f>
        <v/>
      </c>
      <c r="AO94" s="34">
        <f>IF($A94="","",IF(AND(AJ94=0,AK94&gt;0),"무예산",IF(AJ94=0,"-",IF(AK94&gt;AJ94,"한도 초과",IF(AN94&gt;설정!$C$12,"초과 예상",IF(AN94&gt;설정!$C$11,"주의","여유"))))))</f>
        <v/>
      </c>
      <c r="AP94" s="35">
        <f>IF($A94="","",IF(설정!$C$19="최근월",(INDEX(월별집계!$AB94:$AM94,설정!$C$7)-INDEX(월별집계!$AB94:$AM94,MAX(1,설정!$C$7-1))*(설정!$C$7&gt;1)),IF(설정!$C$19="최근분기",((INDEX(월별집계!$AB94:$AM94,설정!$C$7)-INDEX(월별집계!$AB94:$AM94,MAX(1,설정!$C$7-3))*(설정!$C$7&gt;3))/MIN(3,설정!$C$7)),IF(설정!$C$19="전년추세",AZ94,((설정!$C$7+1)*SUMPRODUCT(월별집계!$AB$5:$AM$5,월별집계!$AB94:$AM94)-(설정!$C$7*(설정!$C$7+1)/2)*SUM(월별집계!$AB94:$AM94))/((설정!$C$7+1)*(설정!$C$7*(설정!$C$7+1)*(2*설정!$C$7+1)/6)-(설정!$C$7*(설정!$C$7+1)/2)^2)))))</f>
        <v/>
      </c>
      <c r="AQ94" s="35">
        <f>IF($A94="","",IF(설정!$C$19="연내누적",(SUM(월별집계!$AB94:$AM94)-AP94*(설정!$C$7*(설정!$C$7+1)/2))/(설정!$C$7+1),INDEX(월별집계!$AB94:$AM94,설정!$C$7)-AP94*설정!$C$7))</f>
        <v/>
      </c>
      <c r="AR94" s="40">
        <f>IF($A94="","",AQ94+AP94*12)</f>
        <v/>
      </c>
      <c r="AS94" s="82">
        <f>IF($A94="","",IF(OR(P94&lt;=0,Q94&gt;=P94,AP94&lt;=0),"",MAX(설정!$C$7,(P94-AQ94)/AP94)))</f>
        <v/>
      </c>
      <c r="AT94" s="22">
        <f>IF($A94="","",IF(AS94="",IF(AU94="이미 소진","소진됨",""),YEAR((DATE(설정!$C$6,1,1)+ROUND(AS94*365/12,0)-1))&amp;"-"&amp;TEXT(MONTH((DATE(설정!$C$6,1,1)+ROUND(AS94*365/12,0)-1)),"00")&amp;"-"&amp;TEXT(DAY((DATE(설정!$C$6,1,1)+ROUND(AS94*365/12,0)-1)),"00")))</f>
        <v/>
      </c>
      <c r="AU94" s="34">
        <f>IF($A94="","",IF(AND(P94&lt;=0,Q94&gt;0),"무예산",IF(P94&lt;=0,"-",IF(Q94&gt;=P94,"이미 소진",IF(AP94&lt;=0,"소진 안 됨",IF(AS94&lt;=12,"연내 고갈","연내 여유"))))))</f>
        <v/>
      </c>
      <c r="AV94" s="34">
        <f>IF($A94="","",IF(AJ94&lt;=0,"",IF(AK94&gt;=AJ94,"한도 소진",IF(AK94&lt;=0,"",IF(AJ94/(AK94/(설정!$C$20-설정!$C$22+1))&gt;3,"분기 내 여유",YEAR((DATE(설정!$C$6,설정!$C$22-설정!$C$6*12,1)+ROUND(MAX((설정!$C$20-설정!$C$22+1),AJ94/(AK94/(설정!$C$20-설정!$C$22+1)))*365/12,0)-1))&amp;"-"&amp;TEXT(MONTH((DATE(설정!$C$6,설정!$C$22-설정!$C$6*12,1)+ROUND(MAX((설정!$C$20-설정!$C$22+1),AJ94/(AK94/(설정!$C$20-설정!$C$22+1)))*365/12,0)-1)),"00")&amp;"-"&amp;TEXT(DAY((DATE(설정!$C$6,설정!$C$22-설정!$C$6*12,1)+ROUND(MAX((설정!$C$20-설정!$C$22+1),AJ94/(AK94/(설정!$C$20-설정!$C$22+1)))*365/12,0)-1)),"00"))))))</f>
        <v/>
      </c>
      <c r="AW94" s="41">
        <f>IF($A94="",999+ROW()/1000000,IF(AU94="이미 소진",ROW()/1000000,IF(AU94="연내 고갈",AS94+ROW()/1000000,99+ROW()/1000000)))</f>
        <v/>
      </c>
      <c r="AX94" s="35">
        <f>IF($A94="","",SUMIFS(월별집계!$C94:$Z94,월별집계!$C$5:$Z$5,"&gt;="&amp;((설정!$C$6-1)*12+1),월별집계!$C$5:$Z$5,"&lt;="&amp;(설정!$C$20-12)))</f>
        <v/>
      </c>
      <c r="AY94" s="80">
        <f>IF($A94="","",IF(AX94&lt;=0,IF(Q94&gt;0,1,0),Q94/AX94-1))</f>
        <v/>
      </c>
      <c r="AZ94" s="35">
        <f>IF($A94="","",SUMIFS(월별집계!$C94:$Z94,월별집계!$C$5:$Z$5,"&gt;"&amp;(설정!$C$20-12),월별집계!$C$5:$Z$5,"&lt;="&amp;((설정!$C$6-1)*12+12))/MAX(1,12-설정!$C$7))</f>
        <v/>
      </c>
    </row>
    <row r="95">
      <c r="A95" s="12" t="n"/>
      <c r="B95" s="26">
        <f>IF($A95="","",IFERROR(INDEX(부서매핑!$D$5:$D$504,MATCH($A95,부서매핑!$C$5:$C$504,0)),"부서매핑 없음"))</f>
        <v/>
      </c>
      <c r="C95" s="79" t="n"/>
      <c r="D95" s="26">
        <f>IF($A95="","",IFERROR(INDEX(계정매핑!$B$5:$B$504,MATCH($C95&amp;"",계정매핑!$A$5:$A$504,0)),"계정매핑 없음"))</f>
        <v/>
      </c>
      <c r="E95" s="22">
        <f>IF($A95="","",$A95&amp;"|"&amp;$C95)</f>
        <v/>
      </c>
      <c r="F95" s="35">
        <f>IF($A95="","",월별집계!$Z95)</f>
        <v/>
      </c>
      <c r="G95" s="35">
        <f>IF($A95="","",월별집계!$Y95)</f>
        <v/>
      </c>
      <c r="H95" s="80">
        <f>IF($A95="","",IF(G95&lt;=0,IF(F95&gt;0,1,0),F95/G95-1))</f>
        <v/>
      </c>
      <c r="I95" s="35">
        <f>IF($A95="","",월별집계!$N95)</f>
        <v/>
      </c>
      <c r="J95" s="80">
        <f>IF($A95="","",IF(I95&lt;=0,IF(F95&gt;0,1,0),F95/I95-1))</f>
        <v/>
      </c>
      <c r="K95" s="35">
        <f>IF($A95="","",SUMIFS(월별집계!$C95:$Z95,월별집계!$C$5:$Z$5,"&gt;="&amp;설정!$C$22,월별집계!$C$5:$Z$5,"&lt;="&amp;설정!$C$20))</f>
        <v/>
      </c>
      <c r="L95" s="35">
        <f>IF($A95="","",SUMIFS(월별집계!$C95:$Z95,월별집계!$C$5:$Z$5,"&gt;="&amp;(설정!$C$22-3),월별집계!$C$5:$Z$5,"&lt;="&amp;(설정!$C$20-3)))</f>
        <v/>
      </c>
      <c r="M95" s="80">
        <f>IF($A95="","",IF(L95&lt;=0,IF(K95&gt;0,1,0),K95/L95-1))</f>
        <v/>
      </c>
      <c r="N95" s="40">
        <f>IF($A95="","",MAX(F95-G95,F95-I95))</f>
        <v/>
      </c>
      <c r="O95" s="62">
        <f>IF($A95="","",IFERROR((월별집계!$Z95-AVERAGE(월별집계!N95:Y95))/STDEV(월별집계!N95:Y95),0))</f>
        <v/>
      </c>
      <c r="P95" s="35">
        <f>IF($A95="","",SUMIFS(예산판_원본!$O$5:$O$5000,예산판_원본!$L$5:$L$5000,$E95,예산판_원본!$M$5:$M$5000,설정!$C$6))</f>
        <v/>
      </c>
      <c r="Q95" s="35">
        <f>IF($A95="","",SUMIFS(월별집계!$C95:$Z95,월별집계!$C$5:$Z$5,"&gt;="&amp;(설정!$C$6*12+1),월별집계!$C$5:$Z$5,"&lt;="&amp;설정!$C$20))</f>
        <v/>
      </c>
      <c r="R95" s="40">
        <f>IF($A95="","",P95-Q95)</f>
        <v/>
      </c>
      <c r="S95" s="35">
        <f>IF($A95="","",AVERAGE(월별집계!X95:Z95)*(12-설정!$C$7))</f>
        <v/>
      </c>
      <c r="T95" s="35">
        <f>IF($A95="","",IFERROR(Q95/(SUMIFS(월별집계!$C95:$Z95,월별집계!$C$5:$Z$5,"&gt;="&amp;((설정!$C$6-1)*12+1),월별집계!$C$5:$Z$5,"&lt;="&amp;(설정!$C$20-12))/SUMIFS(월별집계!$C95:$Z95,월별집계!$C$5:$Z$5,"&gt;="&amp;((설정!$C$6-1)*12+1),월별집계!$C$5:$Z$5,"&lt;="&amp;((설정!$C$6-1)*12+12)))-Q95,S95))</f>
        <v/>
      </c>
      <c r="U95" s="40">
        <f>IF($A95="","",Q95+MAX(S95,T95))</f>
        <v/>
      </c>
      <c r="V95" s="73">
        <f>IF($A95="","",IF(P95=0,0,U95/P95))</f>
        <v/>
      </c>
      <c r="W95" s="34">
        <f>IF($A95="","",IF(AND(P95=0,Q95&gt;0),"무예산",IF(P95=0,"-",IF(V95&gt;설정!$C$12,"부족 예상",IF(V95&gt;설정!$C$11,"주의","여유")))))</f>
        <v/>
      </c>
      <c r="X95" s="40">
        <f>IF($A95="","",IF(P95=0,0,MAX(0,U95-P95)))</f>
        <v/>
      </c>
      <c r="Y95" s="34">
        <f>IF($A95="","",IF(OR(W95&lt;&gt;"부족 예상",설정!$C$7=12),"",IF(R95&lt;=0,"이미 초과",MIN(12,설정!$C$7+ROUNDUP(R95/(MAX(S95,T95)/(12-설정!$C$7)),0))&amp;"월")))</f>
        <v/>
      </c>
      <c r="Z95" s="26">
        <f>IF($A95="","",TRIM(IF(AND(N(AC95)&gt;=설정!$C$14,N95&gt;=설정!$C$10),"단건"&amp;TEXT(MIN(AC95,1),"0%")&amp;" ","")&amp;IF(AND(N95&gt;0,AD95&gt;0),IF(AD95/N95&gt;=설정!$C$16,"SA대체 ",""),"")&amp;IF(AE95&gt;0,"역분개"&amp;AE95&amp;"건 ","")&amp;IF(O95&gt;=설정!$C$13,"이상치 ","")&amp;IF(AND(I95=0,F95&gt;0),"신규지출 ","")))</f>
        <v/>
      </c>
      <c r="AA95" s="62">
        <f>IF($A95="","",ROUND((AF95+AG95+AH95+AI95)*IF(AND(F95&lt;설정!$C$10,N95&lt;설정!$C$10),0.3,1),1))</f>
        <v/>
      </c>
      <c r="AB95" s="41">
        <f>IF($A95="","",AA95+ROW()/1000000)</f>
        <v/>
      </c>
      <c r="AC95" s="60">
        <f>IF(OR($A95="",N95&lt;=0),"",SUMPRODUCT(MAX((전표_원본!$O$5:$O$100000=$E95)*(전표_원본!$M$5:$M$100000=설정!$C$20)*전표_원본!$P$5:$P$100000))/N95)</f>
        <v/>
      </c>
      <c r="AD95" s="35">
        <f>IF($A95="","",SUMIFS(전표_원본!$P$5:$P$100000,전표_원본!$O$5:$O$100000,$E95,전표_원본!$M$5:$M$100000,설정!$C$20,전표_원본!$E$5:$E$100000,"SA")-SUMIFS(전표_원본!$P$5:$P$100000,전표_원본!$O$5:$O$100000,$E95,전표_원본!$M$5:$M$100000,설정!$C$20-1,전표_원본!$E$5:$E$100000,"SA"))</f>
        <v/>
      </c>
      <c r="AE95" s="81">
        <f>IF($A95="","",COUNTIFS(전표_원본!$O$5:$O$100000,$E95,전표_원본!$M$5:$M$100000,설정!$C$20,전표_원본!$P$5:$P$100000,"&lt;0"))</f>
        <v/>
      </c>
      <c r="AF95" s="62">
        <f>IF($A95="","",MIN(MAX(0,N95)/(설정!$C$10*5),1)*30)</f>
        <v/>
      </c>
      <c r="AG95" s="82">
        <f>IF($A95="","",MIN(MAX(0,H95,J95),1)*20)</f>
        <v/>
      </c>
      <c r="AH95" s="82">
        <f>IF($A95="","",MIN(MAX(0,O95)/3,1)*25)</f>
        <v/>
      </c>
      <c r="AI95" s="82">
        <f>IF($A95="","",IF(OR(W95="부족 예상",W95="무예산",AO95="한도 초과",AO95="초과 예상",AO95="무예산"),25,IF(OR(W95="주의",AO95="주의"),15,0)))</f>
        <v/>
      </c>
      <c r="AJ95" s="35">
        <f>IF($A95="","",SUMIFS(예산판_원본!$O$5:$O$5000,예산판_원본!$L$5:$L$5000,$E95,예산판_원본!$M$5:$M$5000,설정!$C$6,예산판_원본!$N$5:$N$5000,설정!$C$21))</f>
        <v/>
      </c>
      <c r="AK95" s="40">
        <f>IF($A95="","",K95)</f>
        <v/>
      </c>
      <c r="AL95" s="40">
        <f>IF($A95="","",AJ95-AK95)</f>
        <v/>
      </c>
      <c r="AM95" s="35">
        <f>IF($A95="","",AK95+AVERAGE(월별집계!X95:Z95)*MAX(0,설정!$C$22+2-설정!$C$20))</f>
        <v/>
      </c>
      <c r="AN95" s="73">
        <f>IF($A95="","",IF(AJ95=0,0,AM95/AJ95))</f>
        <v/>
      </c>
      <c r="AO95" s="34">
        <f>IF($A95="","",IF(AND(AJ95=0,AK95&gt;0),"무예산",IF(AJ95=0,"-",IF(AK95&gt;AJ95,"한도 초과",IF(AN95&gt;설정!$C$12,"초과 예상",IF(AN95&gt;설정!$C$11,"주의","여유"))))))</f>
        <v/>
      </c>
      <c r="AP95" s="35">
        <f>IF($A95="","",IF(설정!$C$19="최근월",(INDEX(월별집계!$AB95:$AM95,설정!$C$7)-INDEX(월별집계!$AB95:$AM95,MAX(1,설정!$C$7-1))*(설정!$C$7&gt;1)),IF(설정!$C$19="최근분기",((INDEX(월별집계!$AB95:$AM95,설정!$C$7)-INDEX(월별집계!$AB95:$AM95,MAX(1,설정!$C$7-3))*(설정!$C$7&gt;3))/MIN(3,설정!$C$7)),IF(설정!$C$19="전년추세",AZ95,((설정!$C$7+1)*SUMPRODUCT(월별집계!$AB$5:$AM$5,월별집계!$AB95:$AM95)-(설정!$C$7*(설정!$C$7+1)/2)*SUM(월별집계!$AB95:$AM95))/((설정!$C$7+1)*(설정!$C$7*(설정!$C$7+1)*(2*설정!$C$7+1)/6)-(설정!$C$7*(설정!$C$7+1)/2)^2)))))</f>
        <v/>
      </c>
      <c r="AQ95" s="35">
        <f>IF($A95="","",IF(설정!$C$19="연내누적",(SUM(월별집계!$AB95:$AM95)-AP95*(설정!$C$7*(설정!$C$7+1)/2))/(설정!$C$7+1),INDEX(월별집계!$AB95:$AM95,설정!$C$7)-AP95*설정!$C$7))</f>
        <v/>
      </c>
      <c r="AR95" s="40">
        <f>IF($A95="","",AQ95+AP95*12)</f>
        <v/>
      </c>
      <c r="AS95" s="82">
        <f>IF($A95="","",IF(OR(P95&lt;=0,Q95&gt;=P95,AP95&lt;=0),"",MAX(설정!$C$7,(P95-AQ95)/AP95)))</f>
        <v/>
      </c>
      <c r="AT95" s="22">
        <f>IF($A95="","",IF(AS95="",IF(AU95="이미 소진","소진됨",""),YEAR((DATE(설정!$C$6,1,1)+ROUND(AS95*365/12,0)-1))&amp;"-"&amp;TEXT(MONTH((DATE(설정!$C$6,1,1)+ROUND(AS95*365/12,0)-1)),"00")&amp;"-"&amp;TEXT(DAY((DATE(설정!$C$6,1,1)+ROUND(AS95*365/12,0)-1)),"00")))</f>
        <v/>
      </c>
      <c r="AU95" s="34">
        <f>IF($A95="","",IF(AND(P95&lt;=0,Q95&gt;0),"무예산",IF(P95&lt;=0,"-",IF(Q95&gt;=P95,"이미 소진",IF(AP95&lt;=0,"소진 안 됨",IF(AS95&lt;=12,"연내 고갈","연내 여유"))))))</f>
        <v/>
      </c>
      <c r="AV95" s="34">
        <f>IF($A95="","",IF(AJ95&lt;=0,"",IF(AK95&gt;=AJ95,"한도 소진",IF(AK95&lt;=0,"",IF(AJ95/(AK95/(설정!$C$20-설정!$C$22+1))&gt;3,"분기 내 여유",YEAR((DATE(설정!$C$6,설정!$C$22-설정!$C$6*12,1)+ROUND(MAX((설정!$C$20-설정!$C$22+1),AJ95/(AK95/(설정!$C$20-설정!$C$22+1)))*365/12,0)-1))&amp;"-"&amp;TEXT(MONTH((DATE(설정!$C$6,설정!$C$22-설정!$C$6*12,1)+ROUND(MAX((설정!$C$20-설정!$C$22+1),AJ95/(AK95/(설정!$C$20-설정!$C$22+1)))*365/12,0)-1)),"00")&amp;"-"&amp;TEXT(DAY((DATE(설정!$C$6,설정!$C$22-설정!$C$6*12,1)+ROUND(MAX((설정!$C$20-설정!$C$22+1),AJ95/(AK95/(설정!$C$20-설정!$C$22+1)))*365/12,0)-1)),"00"))))))</f>
        <v/>
      </c>
      <c r="AW95" s="41">
        <f>IF($A95="",999+ROW()/1000000,IF(AU95="이미 소진",ROW()/1000000,IF(AU95="연내 고갈",AS95+ROW()/1000000,99+ROW()/1000000)))</f>
        <v/>
      </c>
      <c r="AX95" s="35">
        <f>IF($A95="","",SUMIFS(월별집계!$C95:$Z95,월별집계!$C$5:$Z$5,"&gt;="&amp;((설정!$C$6-1)*12+1),월별집계!$C$5:$Z$5,"&lt;="&amp;(설정!$C$20-12)))</f>
        <v/>
      </c>
      <c r="AY95" s="80">
        <f>IF($A95="","",IF(AX95&lt;=0,IF(Q95&gt;0,1,0),Q95/AX95-1))</f>
        <v/>
      </c>
      <c r="AZ95" s="35">
        <f>IF($A95="","",SUMIFS(월별집계!$C95:$Z95,월별집계!$C$5:$Z$5,"&gt;"&amp;(설정!$C$20-12),월별집계!$C$5:$Z$5,"&lt;="&amp;((설정!$C$6-1)*12+12))/MAX(1,12-설정!$C$7))</f>
        <v/>
      </c>
    </row>
    <row r="96">
      <c r="A96" s="12" t="n"/>
      <c r="B96" s="26">
        <f>IF($A96="","",IFERROR(INDEX(부서매핑!$D$5:$D$504,MATCH($A96,부서매핑!$C$5:$C$504,0)),"부서매핑 없음"))</f>
        <v/>
      </c>
      <c r="C96" s="79" t="n"/>
      <c r="D96" s="26">
        <f>IF($A96="","",IFERROR(INDEX(계정매핑!$B$5:$B$504,MATCH($C96&amp;"",계정매핑!$A$5:$A$504,0)),"계정매핑 없음"))</f>
        <v/>
      </c>
      <c r="E96" s="22">
        <f>IF($A96="","",$A96&amp;"|"&amp;$C96)</f>
        <v/>
      </c>
      <c r="F96" s="35">
        <f>IF($A96="","",월별집계!$Z96)</f>
        <v/>
      </c>
      <c r="G96" s="35">
        <f>IF($A96="","",월별집계!$Y96)</f>
        <v/>
      </c>
      <c r="H96" s="80">
        <f>IF($A96="","",IF(G96&lt;=0,IF(F96&gt;0,1,0),F96/G96-1))</f>
        <v/>
      </c>
      <c r="I96" s="35">
        <f>IF($A96="","",월별집계!$N96)</f>
        <v/>
      </c>
      <c r="J96" s="80">
        <f>IF($A96="","",IF(I96&lt;=0,IF(F96&gt;0,1,0),F96/I96-1))</f>
        <v/>
      </c>
      <c r="K96" s="35">
        <f>IF($A96="","",SUMIFS(월별집계!$C96:$Z96,월별집계!$C$5:$Z$5,"&gt;="&amp;설정!$C$22,월별집계!$C$5:$Z$5,"&lt;="&amp;설정!$C$20))</f>
        <v/>
      </c>
      <c r="L96" s="35">
        <f>IF($A96="","",SUMIFS(월별집계!$C96:$Z96,월별집계!$C$5:$Z$5,"&gt;="&amp;(설정!$C$22-3),월별집계!$C$5:$Z$5,"&lt;="&amp;(설정!$C$20-3)))</f>
        <v/>
      </c>
      <c r="M96" s="80">
        <f>IF($A96="","",IF(L96&lt;=0,IF(K96&gt;0,1,0),K96/L96-1))</f>
        <v/>
      </c>
      <c r="N96" s="40">
        <f>IF($A96="","",MAX(F96-G96,F96-I96))</f>
        <v/>
      </c>
      <c r="O96" s="62">
        <f>IF($A96="","",IFERROR((월별집계!$Z96-AVERAGE(월별집계!N96:Y96))/STDEV(월별집계!N96:Y96),0))</f>
        <v/>
      </c>
      <c r="P96" s="35">
        <f>IF($A96="","",SUMIFS(예산판_원본!$O$5:$O$5000,예산판_원본!$L$5:$L$5000,$E96,예산판_원본!$M$5:$M$5000,설정!$C$6))</f>
        <v/>
      </c>
      <c r="Q96" s="35">
        <f>IF($A96="","",SUMIFS(월별집계!$C96:$Z96,월별집계!$C$5:$Z$5,"&gt;="&amp;(설정!$C$6*12+1),월별집계!$C$5:$Z$5,"&lt;="&amp;설정!$C$20))</f>
        <v/>
      </c>
      <c r="R96" s="40">
        <f>IF($A96="","",P96-Q96)</f>
        <v/>
      </c>
      <c r="S96" s="35">
        <f>IF($A96="","",AVERAGE(월별집계!X96:Z96)*(12-설정!$C$7))</f>
        <v/>
      </c>
      <c r="T96" s="35">
        <f>IF($A96="","",IFERROR(Q96/(SUMIFS(월별집계!$C96:$Z96,월별집계!$C$5:$Z$5,"&gt;="&amp;((설정!$C$6-1)*12+1),월별집계!$C$5:$Z$5,"&lt;="&amp;(설정!$C$20-12))/SUMIFS(월별집계!$C96:$Z96,월별집계!$C$5:$Z$5,"&gt;="&amp;((설정!$C$6-1)*12+1),월별집계!$C$5:$Z$5,"&lt;="&amp;((설정!$C$6-1)*12+12)))-Q96,S96))</f>
        <v/>
      </c>
      <c r="U96" s="40">
        <f>IF($A96="","",Q96+MAX(S96,T96))</f>
        <v/>
      </c>
      <c r="V96" s="73">
        <f>IF($A96="","",IF(P96=0,0,U96/P96))</f>
        <v/>
      </c>
      <c r="W96" s="34">
        <f>IF($A96="","",IF(AND(P96=0,Q96&gt;0),"무예산",IF(P96=0,"-",IF(V96&gt;설정!$C$12,"부족 예상",IF(V96&gt;설정!$C$11,"주의","여유")))))</f>
        <v/>
      </c>
      <c r="X96" s="40">
        <f>IF($A96="","",IF(P96=0,0,MAX(0,U96-P96)))</f>
        <v/>
      </c>
      <c r="Y96" s="34">
        <f>IF($A96="","",IF(OR(W96&lt;&gt;"부족 예상",설정!$C$7=12),"",IF(R96&lt;=0,"이미 초과",MIN(12,설정!$C$7+ROUNDUP(R96/(MAX(S96,T96)/(12-설정!$C$7)),0))&amp;"월")))</f>
        <v/>
      </c>
      <c r="Z96" s="26">
        <f>IF($A96="","",TRIM(IF(AND(N(AC96)&gt;=설정!$C$14,N96&gt;=설정!$C$10),"단건"&amp;TEXT(MIN(AC96,1),"0%")&amp;" ","")&amp;IF(AND(N96&gt;0,AD96&gt;0),IF(AD96/N96&gt;=설정!$C$16,"SA대체 ",""),"")&amp;IF(AE96&gt;0,"역분개"&amp;AE96&amp;"건 ","")&amp;IF(O96&gt;=설정!$C$13,"이상치 ","")&amp;IF(AND(I96=0,F96&gt;0),"신규지출 ","")))</f>
        <v/>
      </c>
      <c r="AA96" s="62">
        <f>IF($A96="","",ROUND((AF96+AG96+AH96+AI96)*IF(AND(F96&lt;설정!$C$10,N96&lt;설정!$C$10),0.3,1),1))</f>
        <v/>
      </c>
      <c r="AB96" s="41">
        <f>IF($A96="","",AA96+ROW()/1000000)</f>
        <v/>
      </c>
      <c r="AC96" s="60">
        <f>IF(OR($A96="",N96&lt;=0),"",SUMPRODUCT(MAX((전표_원본!$O$5:$O$100000=$E96)*(전표_원본!$M$5:$M$100000=설정!$C$20)*전표_원본!$P$5:$P$100000))/N96)</f>
        <v/>
      </c>
      <c r="AD96" s="35">
        <f>IF($A96="","",SUMIFS(전표_원본!$P$5:$P$100000,전표_원본!$O$5:$O$100000,$E96,전표_원본!$M$5:$M$100000,설정!$C$20,전표_원본!$E$5:$E$100000,"SA")-SUMIFS(전표_원본!$P$5:$P$100000,전표_원본!$O$5:$O$100000,$E96,전표_원본!$M$5:$M$100000,설정!$C$20-1,전표_원본!$E$5:$E$100000,"SA"))</f>
        <v/>
      </c>
      <c r="AE96" s="81">
        <f>IF($A96="","",COUNTIFS(전표_원본!$O$5:$O$100000,$E96,전표_원본!$M$5:$M$100000,설정!$C$20,전표_원본!$P$5:$P$100000,"&lt;0"))</f>
        <v/>
      </c>
      <c r="AF96" s="62">
        <f>IF($A96="","",MIN(MAX(0,N96)/(설정!$C$10*5),1)*30)</f>
        <v/>
      </c>
      <c r="AG96" s="82">
        <f>IF($A96="","",MIN(MAX(0,H96,J96),1)*20)</f>
        <v/>
      </c>
      <c r="AH96" s="82">
        <f>IF($A96="","",MIN(MAX(0,O96)/3,1)*25)</f>
        <v/>
      </c>
      <c r="AI96" s="82">
        <f>IF($A96="","",IF(OR(W96="부족 예상",W96="무예산",AO96="한도 초과",AO96="초과 예상",AO96="무예산"),25,IF(OR(W96="주의",AO96="주의"),15,0)))</f>
        <v/>
      </c>
      <c r="AJ96" s="35">
        <f>IF($A96="","",SUMIFS(예산판_원본!$O$5:$O$5000,예산판_원본!$L$5:$L$5000,$E96,예산판_원본!$M$5:$M$5000,설정!$C$6,예산판_원본!$N$5:$N$5000,설정!$C$21))</f>
        <v/>
      </c>
      <c r="AK96" s="40">
        <f>IF($A96="","",K96)</f>
        <v/>
      </c>
      <c r="AL96" s="40">
        <f>IF($A96="","",AJ96-AK96)</f>
        <v/>
      </c>
      <c r="AM96" s="35">
        <f>IF($A96="","",AK96+AVERAGE(월별집계!X96:Z96)*MAX(0,설정!$C$22+2-설정!$C$20))</f>
        <v/>
      </c>
      <c r="AN96" s="73">
        <f>IF($A96="","",IF(AJ96=0,0,AM96/AJ96))</f>
        <v/>
      </c>
      <c r="AO96" s="34">
        <f>IF($A96="","",IF(AND(AJ96=0,AK96&gt;0),"무예산",IF(AJ96=0,"-",IF(AK96&gt;AJ96,"한도 초과",IF(AN96&gt;설정!$C$12,"초과 예상",IF(AN96&gt;설정!$C$11,"주의","여유"))))))</f>
        <v/>
      </c>
      <c r="AP96" s="35">
        <f>IF($A96="","",IF(설정!$C$19="최근월",(INDEX(월별집계!$AB96:$AM96,설정!$C$7)-INDEX(월별집계!$AB96:$AM96,MAX(1,설정!$C$7-1))*(설정!$C$7&gt;1)),IF(설정!$C$19="최근분기",((INDEX(월별집계!$AB96:$AM96,설정!$C$7)-INDEX(월별집계!$AB96:$AM96,MAX(1,설정!$C$7-3))*(설정!$C$7&gt;3))/MIN(3,설정!$C$7)),IF(설정!$C$19="전년추세",AZ96,((설정!$C$7+1)*SUMPRODUCT(월별집계!$AB$5:$AM$5,월별집계!$AB96:$AM96)-(설정!$C$7*(설정!$C$7+1)/2)*SUM(월별집계!$AB96:$AM96))/((설정!$C$7+1)*(설정!$C$7*(설정!$C$7+1)*(2*설정!$C$7+1)/6)-(설정!$C$7*(설정!$C$7+1)/2)^2)))))</f>
        <v/>
      </c>
      <c r="AQ96" s="35">
        <f>IF($A96="","",IF(설정!$C$19="연내누적",(SUM(월별집계!$AB96:$AM96)-AP96*(설정!$C$7*(설정!$C$7+1)/2))/(설정!$C$7+1),INDEX(월별집계!$AB96:$AM96,설정!$C$7)-AP96*설정!$C$7))</f>
        <v/>
      </c>
      <c r="AR96" s="40">
        <f>IF($A96="","",AQ96+AP96*12)</f>
        <v/>
      </c>
      <c r="AS96" s="82">
        <f>IF($A96="","",IF(OR(P96&lt;=0,Q96&gt;=P96,AP96&lt;=0),"",MAX(설정!$C$7,(P96-AQ96)/AP96)))</f>
        <v/>
      </c>
      <c r="AT96" s="22">
        <f>IF($A96="","",IF(AS96="",IF(AU96="이미 소진","소진됨",""),YEAR((DATE(설정!$C$6,1,1)+ROUND(AS96*365/12,0)-1))&amp;"-"&amp;TEXT(MONTH((DATE(설정!$C$6,1,1)+ROUND(AS96*365/12,0)-1)),"00")&amp;"-"&amp;TEXT(DAY((DATE(설정!$C$6,1,1)+ROUND(AS96*365/12,0)-1)),"00")))</f>
        <v/>
      </c>
      <c r="AU96" s="34">
        <f>IF($A96="","",IF(AND(P96&lt;=0,Q96&gt;0),"무예산",IF(P96&lt;=0,"-",IF(Q96&gt;=P96,"이미 소진",IF(AP96&lt;=0,"소진 안 됨",IF(AS96&lt;=12,"연내 고갈","연내 여유"))))))</f>
        <v/>
      </c>
      <c r="AV96" s="34">
        <f>IF($A96="","",IF(AJ96&lt;=0,"",IF(AK96&gt;=AJ96,"한도 소진",IF(AK96&lt;=0,"",IF(AJ96/(AK96/(설정!$C$20-설정!$C$22+1))&gt;3,"분기 내 여유",YEAR((DATE(설정!$C$6,설정!$C$22-설정!$C$6*12,1)+ROUND(MAX((설정!$C$20-설정!$C$22+1),AJ96/(AK96/(설정!$C$20-설정!$C$22+1)))*365/12,0)-1))&amp;"-"&amp;TEXT(MONTH((DATE(설정!$C$6,설정!$C$22-설정!$C$6*12,1)+ROUND(MAX((설정!$C$20-설정!$C$22+1),AJ96/(AK96/(설정!$C$20-설정!$C$22+1)))*365/12,0)-1)),"00")&amp;"-"&amp;TEXT(DAY((DATE(설정!$C$6,설정!$C$22-설정!$C$6*12,1)+ROUND(MAX((설정!$C$20-설정!$C$22+1),AJ96/(AK96/(설정!$C$20-설정!$C$22+1)))*365/12,0)-1)),"00"))))))</f>
        <v/>
      </c>
      <c r="AW96" s="41">
        <f>IF($A96="",999+ROW()/1000000,IF(AU96="이미 소진",ROW()/1000000,IF(AU96="연내 고갈",AS96+ROW()/1000000,99+ROW()/1000000)))</f>
        <v/>
      </c>
      <c r="AX96" s="35">
        <f>IF($A96="","",SUMIFS(월별집계!$C96:$Z96,월별집계!$C$5:$Z$5,"&gt;="&amp;((설정!$C$6-1)*12+1),월별집계!$C$5:$Z$5,"&lt;="&amp;(설정!$C$20-12)))</f>
        <v/>
      </c>
      <c r="AY96" s="80">
        <f>IF($A96="","",IF(AX96&lt;=0,IF(Q96&gt;0,1,0),Q96/AX96-1))</f>
        <v/>
      </c>
      <c r="AZ96" s="35">
        <f>IF($A96="","",SUMIFS(월별집계!$C96:$Z96,월별집계!$C$5:$Z$5,"&gt;"&amp;(설정!$C$20-12),월별집계!$C$5:$Z$5,"&lt;="&amp;((설정!$C$6-1)*12+12))/MAX(1,12-설정!$C$7))</f>
        <v/>
      </c>
    </row>
    <row r="97">
      <c r="A97" s="12" t="n"/>
      <c r="B97" s="26">
        <f>IF($A97="","",IFERROR(INDEX(부서매핑!$D$5:$D$504,MATCH($A97,부서매핑!$C$5:$C$504,0)),"부서매핑 없음"))</f>
        <v/>
      </c>
      <c r="C97" s="79" t="n"/>
      <c r="D97" s="26">
        <f>IF($A97="","",IFERROR(INDEX(계정매핑!$B$5:$B$504,MATCH($C97&amp;"",계정매핑!$A$5:$A$504,0)),"계정매핑 없음"))</f>
        <v/>
      </c>
      <c r="E97" s="22">
        <f>IF($A97="","",$A97&amp;"|"&amp;$C97)</f>
        <v/>
      </c>
      <c r="F97" s="35">
        <f>IF($A97="","",월별집계!$Z97)</f>
        <v/>
      </c>
      <c r="G97" s="35">
        <f>IF($A97="","",월별집계!$Y97)</f>
        <v/>
      </c>
      <c r="H97" s="80">
        <f>IF($A97="","",IF(G97&lt;=0,IF(F97&gt;0,1,0),F97/G97-1))</f>
        <v/>
      </c>
      <c r="I97" s="35">
        <f>IF($A97="","",월별집계!$N97)</f>
        <v/>
      </c>
      <c r="J97" s="80">
        <f>IF($A97="","",IF(I97&lt;=0,IF(F97&gt;0,1,0),F97/I97-1))</f>
        <v/>
      </c>
      <c r="K97" s="35">
        <f>IF($A97="","",SUMIFS(월별집계!$C97:$Z97,월별집계!$C$5:$Z$5,"&gt;="&amp;설정!$C$22,월별집계!$C$5:$Z$5,"&lt;="&amp;설정!$C$20))</f>
        <v/>
      </c>
      <c r="L97" s="35">
        <f>IF($A97="","",SUMIFS(월별집계!$C97:$Z97,월별집계!$C$5:$Z$5,"&gt;="&amp;(설정!$C$22-3),월별집계!$C$5:$Z$5,"&lt;="&amp;(설정!$C$20-3)))</f>
        <v/>
      </c>
      <c r="M97" s="80">
        <f>IF($A97="","",IF(L97&lt;=0,IF(K97&gt;0,1,0),K97/L97-1))</f>
        <v/>
      </c>
      <c r="N97" s="40">
        <f>IF($A97="","",MAX(F97-G97,F97-I97))</f>
        <v/>
      </c>
      <c r="O97" s="62">
        <f>IF($A97="","",IFERROR((월별집계!$Z97-AVERAGE(월별집계!N97:Y97))/STDEV(월별집계!N97:Y97),0))</f>
        <v/>
      </c>
      <c r="P97" s="35">
        <f>IF($A97="","",SUMIFS(예산판_원본!$O$5:$O$5000,예산판_원본!$L$5:$L$5000,$E97,예산판_원본!$M$5:$M$5000,설정!$C$6))</f>
        <v/>
      </c>
      <c r="Q97" s="35">
        <f>IF($A97="","",SUMIFS(월별집계!$C97:$Z97,월별집계!$C$5:$Z$5,"&gt;="&amp;(설정!$C$6*12+1),월별집계!$C$5:$Z$5,"&lt;="&amp;설정!$C$20))</f>
        <v/>
      </c>
      <c r="R97" s="40">
        <f>IF($A97="","",P97-Q97)</f>
        <v/>
      </c>
      <c r="S97" s="35">
        <f>IF($A97="","",AVERAGE(월별집계!X97:Z97)*(12-설정!$C$7))</f>
        <v/>
      </c>
      <c r="T97" s="35">
        <f>IF($A97="","",IFERROR(Q97/(SUMIFS(월별집계!$C97:$Z97,월별집계!$C$5:$Z$5,"&gt;="&amp;((설정!$C$6-1)*12+1),월별집계!$C$5:$Z$5,"&lt;="&amp;(설정!$C$20-12))/SUMIFS(월별집계!$C97:$Z97,월별집계!$C$5:$Z$5,"&gt;="&amp;((설정!$C$6-1)*12+1),월별집계!$C$5:$Z$5,"&lt;="&amp;((설정!$C$6-1)*12+12)))-Q97,S97))</f>
        <v/>
      </c>
      <c r="U97" s="40">
        <f>IF($A97="","",Q97+MAX(S97,T97))</f>
        <v/>
      </c>
      <c r="V97" s="73">
        <f>IF($A97="","",IF(P97=0,0,U97/P97))</f>
        <v/>
      </c>
      <c r="W97" s="34">
        <f>IF($A97="","",IF(AND(P97=0,Q97&gt;0),"무예산",IF(P97=0,"-",IF(V97&gt;설정!$C$12,"부족 예상",IF(V97&gt;설정!$C$11,"주의","여유")))))</f>
        <v/>
      </c>
      <c r="X97" s="40">
        <f>IF($A97="","",IF(P97=0,0,MAX(0,U97-P97)))</f>
        <v/>
      </c>
      <c r="Y97" s="34">
        <f>IF($A97="","",IF(OR(W97&lt;&gt;"부족 예상",설정!$C$7=12),"",IF(R97&lt;=0,"이미 초과",MIN(12,설정!$C$7+ROUNDUP(R97/(MAX(S97,T97)/(12-설정!$C$7)),0))&amp;"월")))</f>
        <v/>
      </c>
      <c r="Z97" s="26">
        <f>IF($A97="","",TRIM(IF(AND(N(AC97)&gt;=설정!$C$14,N97&gt;=설정!$C$10),"단건"&amp;TEXT(MIN(AC97,1),"0%")&amp;" ","")&amp;IF(AND(N97&gt;0,AD97&gt;0),IF(AD97/N97&gt;=설정!$C$16,"SA대체 ",""),"")&amp;IF(AE97&gt;0,"역분개"&amp;AE97&amp;"건 ","")&amp;IF(O97&gt;=설정!$C$13,"이상치 ","")&amp;IF(AND(I97=0,F97&gt;0),"신규지출 ","")))</f>
        <v/>
      </c>
      <c r="AA97" s="62">
        <f>IF($A97="","",ROUND((AF97+AG97+AH97+AI97)*IF(AND(F97&lt;설정!$C$10,N97&lt;설정!$C$10),0.3,1),1))</f>
        <v/>
      </c>
      <c r="AB97" s="41">
        <f>IF($A97="","",AA97+ROW()/1000000)</f>
        <v/>
      </c>
      <c r="AC97" s="60">
        <f>IF(OR($A97="",N97&lt;=0),"",SUMPRODUCT(MAX((전표_원본!$O$5:$O$100000=$E97)*(전표_원본!$M$5:$M$100000=설정!$C$20)*전표_원본!$P$5:$P$100000))/N97)</f>
        <v/>
      </c>
      <c r="AD97" s="35">
        <f>IF($A97="","",SUMIFS(전표_원본!$P$5:$P$100000,전표_원본!$O$5:$O$100000,$E97,전표_원본!$M$5:$M$100000,설정!$C$20,전표_원본!$E$5:$E$100000,"SA")-SUMIFS(전표_원본!$P$5:$P$100000,전표_원본!$O$5:$O$100000,$E97,전표_원본!$M$5:$M$100000,설정!$C$20-1,전표_원본!$E$5:$E$100000,"SA"))</f>
        <v/>
      </c>
      <c r="AE97" s="81">
        <f>IF($A97="","",COUNTIFS(전표_원본!$O$5:$O$100000,$E97,전표_원본!$M$5:$M$100000,설정!$C$20,전표_원본!$P$5:$P$100000,"&lt;0"))</f>
        <v/>
      </c>
      <c r="AF97" s="62">
        <f>IF($A97="","",MIN(MAX(0,N97)/(설정!$C$10*5),1)*30)</f>
        <v/>
      </c>
      <c r="AG97" s="82">
        <f>IF($A97="","",MIN(MAX(0,H97,J97),1)*20)</f>
        <v/>
      </c>
      <c r="AH97" s="82">
        <f>IF($A97="","",MIN(MAX(0,O97)/3,1)*25)</f>
        <v/>
      </c>
      <c r="AI97" s="82">
        <f>IF($A97="","",IF(OR(W97="부족 예상",W97="무예산",AO97="한도 초과",AO97="초과 예상",AO97="무예산"),25,IF(OR(W97="주의",AO97="주의"),15,0)))</f>
        <v/>
      </c>
      <c r="AJ97" s="35">
        <f>IF($A97="","",SUMIFS(예산판_원본!$O$5:$O$5000,예산판_원본!$L$5:$L$5000,$E97,예산판_원본!$M$5:$M$5000,설정!$C$6,예산판_원본!$N$5:$N$5000,설정!$C$21))</f>
        <v/>
      </c>
      <c r="AK97" s="40">
        <f>IF($A97="","",K97)</f>
        <v/>
      </c>
      <c r="AL97" s="40">
        <f>IF($A97="","",AJ97-AK97)</f>
        <v/>
      </c>
      <c r="AM97" s="35">
        <f>IF($A97="","",AK97+AVERAGE(월별집계!X97:Z97)*MAX(0,설정!$C$22+2-설정!$C$20))</f>
        <v/>
      </c>
      <c r="AN97" s="73">
        <f>IF($A97="","",IF(AJ97=0,0,AM97/AJ97))</f>
        <v/>
      </c>
      <c r="AO97" s="34">
        <f>IF($A97="","",IF(AND(AJ97=0,AK97&gt;0),"무예산",IF(AJ97=0,"-",IF(AK97&gt;AJ97,"한도 초과",IF(AN97&gt;설정!$C$12,"초과 예상",IF(AN97&gt;설정!$C$11,"주의","여유"))))))</f>
        <v/>
      </c>
      <c r="AP97" s="35">
        <f>IF($A97="","",IF(설정!$C$19="최근월",(INDEX(월별집계!$AB97:$AM97,설정!$C$7)-INDEX(월별집계!$AB97:$AM97,MAX(1,설정!$C$7-1))*(설정!$C$7&gt;1)),IF(설정!$C$19="최근분기",((INDEX(월별집계!$AB97:$AM97,설정!$C$7)-INDEX(월별집계!$AB97:$AM97,MAX(1,설정!$C$7-3))*(설정!$C$7&gt;3))/MIN(3,설정!$C$7)),IF(설정!$C$19="전년추세",AZ97,((설정!$C$7+1)*SUMPRODUCT(월별집계!$AB$5:$AM$5,월별집계!$AB97:$AM97)-(설정!$C$7*(설정!$C$7+1)/2)*SUM(월별집계!$AB97:$AM97))/((설정!$C$7+1)*(설정!$C$7*(설정!$C$7+1)*(2*설정!$C$7+1)/6)-(설정!$C$7*(설정!$C$7+1)/2)^2)))))</f>
        <v/>
      </c>
      <c r="AQ97" s="35">
        <f>IF($A97="","",IF(설정!$C$19="연내누적",(SUM(월별집계!$AB97:$AM97)-AP97*(설정!$C$7*(설정!$C$7+1)/2))/(설정!$C$7+1),INDEX(월별집계!$AB97:$AM97,설정!$C$7)-AP97*설정!$C$7))</f>
        <v/>
      </c>
      <c r="AR97" s="40">
        <f>IF($A97="","",AQ97+AP97*12)</f>
        <v/>
      </c>
      <c r="AS97" s="82">
        <f>IF($A97="","",IF(OR(P97&lt;=0,Q97&gt;=P97,AP97&lt;=0),"",MAX(설정!$C$7,(P97-AQ97)/AP97)))</f>
        <v/>
      </c>
      <c r="AT97" s="22">
        <f>IF($A97="","",IF(AS97="",IF(AU97="이미 소진","소진됨",""),YEAR((DATE(설정!$C$6,1,1)+ROUND(AS97*365/12,0)-1))&amp;"-"&amp;TEXT(MONTH((DATE(설정!$C$6,1,1)+ROUND(AS97*365/12,0)-1)),"00")&amp;"-"&amp;TEXT(DAY((DATE(설정!$C$6,1,1)+ROUND(AS97*365/12,0)-1)),"00")))</f>
        <v/>
      </c>
      <c r="AU97" s="34">
        <f>IF($A97="","",IF(AND(P97&lt;=0,Q97&gt;0),"무예산",IF(P97&lt;=0,"-",IF(Q97&gt;=P97,"이미 소진",IF(AP97&lt;=0,"소진 안 됨",IF(AS97&lt;=12,"연내 고갈","연내 여유"))))))</f>
        <v/>
      </c>
      <c r="AV97" s="34">
        <f>IF($A97="","",IF(AJ97&lt;=0,"",IF(AK97&gt;=AJ97,"한도 소진",IF(AK97&lt;=0,"",IF(AJ97/(AK97/(설정!$C$20-설정!$C$22+1))&gt;3,"분기 내 여유",YEAR((DATE(설정!$C$6,설정!$C$22-설정!$C$6*12,1)+ROUND(MAX((설정!$C$20-설정!$C$22+1),AJ97/(AK97/(설정!$C$20-설정!$C$22+1)))*365/12,0)-1))&amp;"-"&amp;TEXT(MONTH((DATE(설정!$C$6,설정!$C$22-설정!$C$6*12,1)+ROUND(MAX((설정!$C$20-설정!$C$22+1),AJ97/(AK97/(설정!$C$20-설정!$C$22+1)))*365/12,0)-1)),"00")&amp;"-"&amp;TEXT(DAY((DATE(설정!$C$6,설정!$C$22-설정!$C$6*12,1)+ROUND(MAX((설정!$C$20-설정!$C$22+1),AJ97/(AK97/(설정!$C$20-설정!$C$22+1)))*365/12,0)-1)),"00"))))))</f>
        <v/>
      </c>
      <c r="AW97" s="41">
        <f>IF($A97="",999+ROW()/1000000,IF(AU97="이미 소진",ROW()/1000000,IF(AU97="연내 고갈",AS97+ROW()/1000000,99+ROW()/1000000)))</f>
        <v/>
      </c>
      <c r="AX97" s="35">
        <f>IF($A97="","",SUMIFS(월별집계!$C97:$Z97,월별집계!$C$5:$Z$5,"&gt;="&amp;((설정!$C$6-1)*12+1),월별집계!$C$5:$Z$5,"&lt;="&amp;(설정!$C$20-12)))</f>
        <v/>
      </c>
      <c r="AY97" s="80">
        <f>IF($A97="","",IF(AX97&lt;=0,IF(Q97&gt;0,1,0),Q97/AX97-1))</f>
        <v/>
      </c>
      <c r="AZ97" s="35">
        <f>IF($A97="","",SUMIFS(월별집계!$C97:$Z97,월별집계!$C$5:$Z$5,"&gt;"&amp;(설정!$C$20-12),월별집계!$C$5:$Z$5,"&lt;="&amp;((설정!$C$6-1)*12+12))/MAX(1,12-설정!$C$7))</f>
        <v/>
      </c>
    </row>
    <row r="98">
      <c r="A98" s="12" t="n"/>
      <c r="B98" s="26">
        <f>IF($A98="","",IFERROR(INDEX(부서매핑!$D$5:$D$504,MATCH($A98,부서매핑!$C$5:$C$504,0)),"부서매핑 없음"))</f>
        <v/>
      </c>
      <c r="C98" s="79" t="n"/>
      <c r="D98" s="26">
        <f>IF($A98="","",IFERROR(INDEX(계정매핑!$B$5:$B$504,MATCH($C98&amp;"",계정매핑!$A$5:$A$504,0)),"계정매핑 없음"))</f>
        <v/>
      </c>
      <c r="E98" s="22">
        <f>IF($A98="","",$A98&amp;"|"&amp;$C98)</f>
        <v/>
      </c>
      <c r="F98" s="35">
        <f>IF($A98="","",월별집계!$Z98)</f>
        <v/>
      </c>
      <c r="G98" s="35">
        <f>IF($A98="","",월별집계!$Y98)</f>
        <v/>
      </c>
      <c r="H98" s="80">
        <f>IF($A98="","",IF(G98&lt;=0,IF(F98&gt;0,1,0),F98/G98-1))</f>
        <v/>
      </c>
      <c r="I98" s="35">
        <f>IF($A98="","",월별집계!$N98)</f>
        <v/>
      </c>
      <c r="J98" s="80">
        <f>IF($A98="","",IF(I98&lt;=0,IF(F98&gt;0,1,0),F98/I98-1))</f>
        <v/>
      </c>
      <c r="K98" s="35">
        <f>IF($A98="","",SUMIFS(월별집계!$C98:$Z98,월별집계!$C$5:$Z$5,"&gt;="&amp;설정!$C$22,월별집계!$C$5:$Z$5,"&lt;="&amp;설정!$C$20))</f>
        <v/>
      </c>
      <c r="L98" s="35">
        <f>IF($A98="","",SUMIFS(월별집계!$C98:$Z98,월별집계!$C$5:$Z$5,"&gt;="&amp;(설정!$C$22-3),월별집계!$C$5:$Z$5,"&lt;="&amp;(설정!$C$20-3)))</f>
        <v/>
      </c>
      <c r="M98" s="80">
        <f>IF($A98="","",IF(L98&lt;=0,IF(K98&gt;0,1,0),K98/L98-1))</f>
        <v/>
      </c>
      <c r="N98" s="40">
        <f>IF($A98="","",MAX(F98-G98,F98-I98))</f>
        <v/>
      </c>
      <c r="O98" s="62">
        <f>IF($A98="","",IFERROR((월별집계!$Z98-AVERAGE(월별집계!N98:Y98))/STDEV(월별집계!N98:Y98),0))</f>
        <v/>
      </c>
      <c r="P98" s="35">
        <f>IF($A98="","",SUMIFS(예산판_원본!$O$5:$O$5000,예산판_원본!$L$5:$L$5000,$E98,예산판_원본!$M$5:$M$5000,설정!$C$6))</f>
        <v/>
      </c>
      <c r="Q98" s="35">
        <f>IF($A98="","",SUMIFS(월별집계!$C98:$Z98,월별집계!$C$5:$Z$5,"&gt;="&amp;(설정!$C$6*12+1),월별집계!$C$5:$Z$5,"&lt;="&amp;설정!$C$20))</f>
        <v/>
      </c>
      <c r="R98" s="40">
        <f>IF($A98="","",P98-Q98)</f>
        <v/>
      </c>
      <c r="S98" s="35">
        <f>IF($A98="","",AVERAGE(월별집계!X98:Z98)*(12-설정!$C$7))</f>
        <v/>
      </c>
      <c r="T98" s="35">
        <f>IF($A98="","",IFERROR(Q98/(SUMIFS(월별집계!$C98:$Z98,월별집계!$C$5:$Z$5,"&gt;="&amp;((설정!$C$6-1)*12+1),월별집계!$C$5:$Z$5,"&lt;="&amp;(설정!$C$20-12))/SUMIFS(월별집계!$C98:$Z98,월별집계!$C$5:$Z$5,"&gt;="&amp;((설정!$C$6-1)*12+1),월별집계!$C$5:$Z$5,"&lt;="&amp;((설정!$C$6-1)*12+12)))-Q98,S98))</f>
        <v/>
      </c>
      <c r="U98" s="40">
        <f>IF($A98="","",Q98+MAX(S98,T98))</f>
        <v/>
      </c>
      <c r="V98" s="73">
        <f>IF($A98="","",IF(P98=0,0,U98/P98))</f>
        <v/>
      </c>
      <c r="W98" s="34">
        <f>IF($A98="","",IF(AND(P98=0,Q98&gt;0),"무예산",IF(P98=0,"-",IF(V98&gt;설정!$C$12,"부족 예상",IF(V98&gt;설정!$C$11,"주의","여유")))))</f>
        <v/>
      </c>
      <c r="X98" s="40">
        <f>IF($A98="","",IF(P98=0,0,MAX(0,U98-P98)))</f>
        <v/>
      </c>
      <c r="Y98" s="34">
        <f>IF($A98="","",IF(OR(W98&lt;&gt;"부족 예상",설정!$C$7=12),"",IF(R98&lt;=0,"이미 초과",MIN(12,설정!$C$7+ROUNDUP(R98/(MAX(S98,T98)/(12-설정!$C$7)),0))&amp;"월")))</f>
        <v/>
      </c>
      <c r="Z98" s="26">
        <f>IF($A98="","",TRIM(IF(AND(N(AC98)&gt;=설정!$C$14,N98&gt;=설정!$C$10),"단건"&amp;TEXT(MIN(AC98,1),"0%")&amp;" ","")&amp;IF(AND(N98&gt;0,AD98&gt;0),IF(AD98/N98&gt;=설정!$C$16,"SA대체 ",""),"")&amp;IF(AE98&gt;0,"역분개"&amp;AE98&amp;"건 ","")&amp;IF(O98&gt;=설정!$C$13,"이상치 ","")&amp;IF(AND(I98=0,F98&gt;0),"신규지출 ","")))</f>
        <v/>
      </c>
      <c r="AA98" s="62">
        <f>IF($A98="","",ROUND((AF98+AG98+AH98+AI98)*IF(AND(F98&lt;설정!$C$10,N98&lt;설정!$C$10),0.3,1),1))</f>
        <v/>
      </c>
      <c r="AB98" s="41">
        <f>IF($A98="","",AA98+ROW()/1000000)</f>
        <v/>
      </c>
      <c r="AC98" s="60">
        <f>IF(OR($A98="",N98&lt;=0),"",SUMPRODUCT(MAX((전표_원본!$O$5:$O$100000=$E98)*(전표_원본!$M$5:$M$100000=설정!$C$20)*전표_원본!$P$5:$P$100000))/N98)</f>
        <v/>
      </c>
      <c r="AD98" s="35">
        <f>IF($A98="","",SUMIFS(전표_원본!$P$5:$P$100000,전표_원본!$O$5:$O$100000,$E98,전표_원본!$M$5:$M$100000,설정!$C$20,전표_원본!$E$5:$E$100000,"SA")-SUMIFS(전표_원본!$P$5:$P$100000,전표_원본!$O$5:$O$100000,$E98,전표_원본!$M$5:$M$100000,설정!$C$20-1,전표_원본!$E$5:$E$100000,"SA"))</f>
        <v/>
      </c>
      <c r="AE98" s="81">
        <f>IF($A98="","",COUNTIFS(전표_원본!$O$5:$O$100000,$E98,전표_원본!$M$5:$M$100000,설정!$C$20,전표_원본!$P$5:$P$100000,"&lt;0"))</f>
        <v/>
      </c>
      <c r="AF98" s="62">
        <f>IF($A98="","",MIN(MAX(0,N98)/(설정!$C$10*5),1)*30)</f>
        <v/>
      </c>
      <c r="AG98" s="82">
        <f>IF($A98="","",MIN(MAX(0,H98,J98),1)*20)</f>
        <v/>
      </c>
      <c r="AH98" s="82">
        <f>IF($A98="","",MIN(MAX(0,O98)/3,1)*25)</f>
        <v/>
      </c>
      <c r="AI98" s="82">
        <f>IF($A98="","",IF(OR(W98="부족 예상",W98="무예산",AO98="한도 초과",AO98="초과 예상",AO98="무예산"),25,IF(OR(W98="주의",AO98="주의"),15,0)))</f>
        <v/>
      </c>
      <c r="AJ98" s="35">
        <f>IF($A98="","",SUMIFS(예산판_원본!$O$5:$O$5000,예산판_원본!$L$5:$L$5000,$E98,예산판_원본!$M$5:$M$5000,설정!$C$6,예산판_원본!$N$5:$N$5000,설정!$C$21))</f>
        <v/>
      </c>
      <c r="AK98" s="40">
        <f>IF($A98="","",K98)</f>
        <v/>
      </c>
      <c r="AL98" s="40">
        <f>IF($A98="","",AJ98-AK98)</f>
        <v/>
      </c>
      <c r="AM98" s="35">
        <f>IF($A98="","",AK98+AVERAGE(월별집계!X98:Z98)*MAX(0,설정!$C$22+2-설정!$C$20))</f>
        <v/>
      </c>
      <c r="AN98" s="73">
        <f>IF($A98="","",IF(AJ98=0,0,AM98/AJ98))</f>
        <v/>
      </c>
      <c r="AO98" s="34">
        <f>IF($A98="","",IF(AND(AJ98=0,AK98&gt;0),"무예산",IF(AJ98=0,"-",IF(AK98&gt;AJ98,"한도 초과",IF(AN98&gt;설정!$C$12,"초과 예상",IF(AN98&gt;설정!$C$11,"주의","여유"))))))</f>
        <v/>
      </c>
      <c r="AP98" s="35">
        <f>IF($A98="","",IF(설정!$C$19="최근월",(INDEX(월별집계!$AB98:$AM98,설정!$C$7)-INDEX(월별집계!$AB98:$AM98,MAX(1,설정!$C$7-1))*(설정!$C$7&gt;1)),IF(설정!$C$19="최근분기",((INDEX(월별집계!$AB98:$AM98,설정!$C$7)-INDEX(월별집계!$AB98:$AM98,MAX(1,설정!$C$7-3))*(설정!$C$7&gt;3))/MIN(3,설정!$C$7)),IF(설정!$C$19="전년추세",AZ98,((설정!$C$7+1)*SUMPRODUCT(월별집계!$AB$5:$AM$5,월별집계!$AB98:$AM98)-(설정!$C$7*(설정!$C$7+1)/2)*SUM(월별집계!$AB98:$AM98))/((설정!$C$7+1)*(설정!$C$7*(설정!$C$7+1)*(2*설정!$C$7+1)/6)-(설정!$C$7*(설정!$C$7+1)/2)^2)))))</f>
        <v/>
      </c>
      <c r="AQ98" s="35">
        <f>IF($A98="","",IF(설정!$C$19="연내누적",(SUM(월별집계!$AB98:$AM98)-AP98*(설정!$C$7*(설정!$C$7+1)/2))/(설정!$C$7+1),INDEX(월별집계!$AB98:$AM98,설정!$C$7)-AP98*설정!$C$7))</f>
        <v/>
      </c>
      <c r="AR98" s="40">
        <f>IF($A98="","",AQ98+AP98*12)</f>
        <v/>
      </c>
      <c r="AS98" s="82">
        <f>IF($A98="","",IF(OR(P98&lt;=0,Q98&gt;=P98,AP98&lt;=0),"",MAX(설정!$C$7,(P98-AQ98)/AP98)))</f>
        <v/>
      </c>
      <c r="AT98" s="22">
        <f>IF($A98="","",IF(AS98="",IF(AU98="이미 소진","소진됨",""),YEAR((DATE(설정!$C$6,1,1)+ROUND(AS98*365/12,0)-1))&amp;"-"&amp;TEXT(MONTH((DATE(설정!$C$6,1,1)+ROUND(AS98*365/12,0)-1)),"00")&amp;"-"&amp;TEXT(DAY((DATE(설정!$C$6,1,1)+ROUND(AS98*365/12,0)-1)),"00")))</f>
        <v/>
      </c>
      <c r="AU98" s="34">
        <f>IF($A98="","",IF(AND(P98&lt;=0,Q98&gt;0),"무예산",IF(P98&lt;=0,"-",IF(Q98&gt;=P98,"이미 소진",IF(AP98&lt;=0,"소진 안 됨",IF(AS98&lt;=12,"연내 고갈","연내 여유"))))))</f>
        <v/>
      </c>
      <c r="AV98" s="34">
        <f>IF($A98="","",IF(AJ98&lt;=0,"",IF(AK98&gt;=AJ98,"한도 소진",IF(AK98&lt;=0,"",IF(AJ98/(AK98/(설정!$C$20-설정!$C$22+1))&gt;3,"분기 내 여유",YEAR((DATE(설정!$C$6,설정!$C$22-설정!$C$6*12,1)+ROUND(MAX((설정!$C$20-설정!$C$22+1),AJ98/(AK98/(설정!$C$20-설정!$C$22+1)))*365/12,0)-1))&amp;"-"&amp;TEXT(MONTH((DATE(설정!$C$6,설정!$C$22-설정!$C$6*12,1)+ROUND(MAX((설정!$C$20-설정!$C$22+1),AJ98/(AK98/(설정!$C$20-설정!$C$22+1)))*365/12,0)-1)),"00")&amp;"-"&amp;TEXT(DAY((DATE(설정!$C$6,설정!$C$22-설정!$C$6*12,1)+ROUND(MAX((설정!$C$20-설정!$C$22+1),AJ98/(AK98/(설정!$C$20-설정!$C$22+1)))*365/12,0)-1)),"00"))))))</f>
        <v/>
      </c>
      <c r="AW98" s="41">
        <f>IF($A98="",999+ROW()/1000000,IF(AU98="이미 소진",ROW()/1000000,IF(AU98="연내 고갈",AS98+ROW()/1000000,99+ROW()/1000000)))</f>
        <v/>
      </c>
      <c r="AX98" s="35">
        <f>IF($A98="","",SUMIFS(월별집계!$C98:$Z98,월별집계!$C$5:$Z$5,"&gt;="&amp;((설정!$C$6-1)*12+1),월별집계!$C$5:$Z$5,"&lt;="&amp;(설정!$C$20-12)))</f>
        <v/>
      </c>
      <c r="AY98" s="80">
        <f>IF($A98="","",IF(AX98&lt;=0,IF(Q98&gt;0,1,0),Q98/AX98-1))</f>
        <v/>
      </c>
      <c r="AZ98" s="35">
        <f>IF($A98="","",SUMIFS(월별집계!$C98:$Z98,월별집계!$C$5:$Z$5,"&gt;"&amp;(설정!$C$20-12),월별집계!$C$5:$Z$5,"&lt;="&amp;((설정!$C$6-1)*12+12))/MAX(1,12-설정!$C$7))</f>
        <v/>
      </c>
    </row>
    <row r="99">
      <c r="A99" s="12" t="n"/>
      <c r="B99" s="26">
        <f>IF($A99="","",IFERROR(INDEX(부서매핑!$D$5:$D$504,MATCH($A99,부서매핑!$C$5:$C$504,0)),"부서매핑 없음"))</f>
        <v/>
      </c>
      <c r="C99" s="79" t="n"/>
      <c r="D99" s="26">
        <f>IF($A99="","",IFERROR(INDEX(계정매핑!$B$5:$B$504,MATCH($C99&amp;"",계정매핑!$A$5:$A$504,0)),"계정매핑 없음"))</f>
        <v/>
      </c>
      <c r="E99" s="22">
        <f>IF($A99="","",$A99&amp;"|"&amp;$C99)</f>
        <v/>
      </c>
      <c r="F99" s="35">
        <f>IF($A99="","",월별집계!$Z99)</f>
        <v/>
      </c>
      <c r="G99" s="35">
        <f>IF($A99="","",월별집계!$Y99)</f>
        <v/>
      </c>
      <c r="H99" s="80">
        <f>IF($A99="","",IF(G99&lt;=0,IF(F99&gt;0,1,0),F99/G99-1))</f>
        <v/>
      </c>
      <c r="I99" s="35">
        <f>IF($A99="","",월별집계!$N99)</f>
        <v/>
      </c>
      <c r="J99" s="80">
        <f>IF($A99="","",IF(I99&lt;=0,IF(F99&gt;0,1,0),F99/I99-1))</f>
        <v/>
      </c>
      <c r="K99" s="35">
        <f>IF($A99="","",SUMIFS(월별집계!$C99:$Z99,월별집계!$C$5:$Z$5,"&gt;="&amp;설정!$C$22,월별집계!$C$5:$Z$5,"&lt;="&amp;설정!$C$20))</f>
        <v/>
      </c>
      <c r="L99" s="35">
        <f>IF($A99="","",SUMIFS(월별집계!$C99:$Z99,월별집계!$C$5:$Z$5,"&gt;="&amp;(설정!$C$22-3),월별집계!$C$5:$Z$5,"&lt;="&amp;(설정!$C$20-3)))</f>
        <v/>
      </c>
      <c r="M99" s="80">
        <f>IF($A99="","",IF(L99&lt;=0,IF(K99&gt;0,1,0),K99/L99-1))</f>
        <v/>
      </c>
      <c r="N99" s="40">
        <f>IF($A99="","",MAX(F99-G99,F99-I99))</f>
        <v/>
      </c>
      <c r="O99" s="62">
        <f>IF($A99="","",IFERROR((월별집계!$Z99-AVERAGE(월별집계!N99:Y99))/STDEV(월별집계!N99:Y99),0))</f>
        <v/>
      </c>
      <c r="P99" s="35">
        <f>IF($A99="","",SUMIFS(예산판_원본!$O$5:$O$5000,예산판_원본!$L$5:$L$5000,$E99,예산판_원본!$M$5:$M$5000,설정!$C$6))</f>
        <v/>
      </c>
      <c r="Q99" s="35">
        <f>IF($A99="","",SUMIFS(월별집계!$C99:$Z99,월별집계!$C$5:$Z$5,"&gt;="&amp;(설정!$C$6*12+1),월별집계!$C$5:$Z$5,"&lt;="&amp;설정!$C$20))</f>
        <v/>
      </c>
      <c r="R99" s="40">
        <f>IF($A99="","",P99-Q99)</f>
        <v/>
      </c>
      <c r="S99" s="35">
        <f>IF($A99="","",AVERAGE(월별집계!X99:Z99)*(12-설정!$C$7))</f>
        <v/>
      </c>
      <c r="T99" s="35">
        <f>IF($A99="","",IFERROR(Q99/(SUMIFS(월별집계!$C99:$Z99,월별집계!$C$5:$Z$5,"&gt;="&amp;((설정!$C$6-1)*12+1),월별집계!$C$5:$Z$5,"&lt;="&amp;(설정!$C$20-12))/SUMIFS(월별집계!$C99:$Z99,월별집계!$C$5:$Z$5,"&gt;="&amp;((설정!$C$6-1)*12+1),월별집계!$C$5:$Z$5,"&lt;="&amp;((설정!$C$6-1)*12+12)))-Q99,S99))</f>
        <v/>
      </c>
      <c r="U99" s="40">
        <f>IF($A99="","",Q99+MAX(S99,T99))</f>
        <v/>
      </c>
      <c r="V99" s="73">
        <f>IF($A99="","",IF(P99=0,0,U99/P99))</f>
        <v/>
      </c>
      <c r="W99" s="34">
        <f>IF($A99="","",IF(AND(P99=0,Q99&gt;0),"무예산",IF(P99=0,"-",IF(V99&gt;설정!$C$12,"부족 예상",IF(V99&gt;설정!$C$11,"주의","여유")))))</f>
        <v/>
      </c>
      <c r="X99" s="40">
        <f>IF($A99="","",IF(P99=0,0,MAX(0,U99-P99)))</f>
        <v/>
      </c>
      <c r="Y99" s="34">
        <f>IF($A99="","",IF(OR(W99&lt;&gt;"부족 예상",설정!$C$7=12),"",IF(R99&lt;=0,"이미 초과",MIN(12,설정!$C$7+ROUNDUP(R99/(MAX(S99,T99)/(12-설정!$C$7)),0))&amp;"월")))</f>
        <v/>
      </c>
      <c r="Z99" s="26">
        <f>IF($A99="","",TRIM(IF(AND(N(AC99)&gt;=설정!$C$14,N99&gt;=설정!$C$10),"단건"&amp;TEXT(MIN(AC99,1),"0%")&amp;" ","")&amp;IF(AND(N99&gt;0,AD99&gt;0),IF(AD99/N99&gt;=설정!$C$16,"SA대체 ",""),"")&amp;IF(AE99&gt;0,"역분개"&amp;AE99&amp;"건 ","")&amp;IF(O99&gt;=설정!$C$13,"이상치 ","")&amp;IF(AND(I99=0,F99&gt;0),"신규지출 ","")))</f>
        <v/>
      </c>
      <c r="AA99" s="62">
        <f>IF($A99="","",ROUND((AF99+AG99+AH99+AI99)*IF(AND(F99&lt;설정!$C$10,N99&lt;설정!$C$10),0.3,1),1))</f>
        <v/>
      </c>
      <c r="AB99" s="41">
        <f>IF($A99="","",AA99+ROW()/1000000)</f>
        <v/>
      </c>
      <c r="AC99" s="60">
        <f>IF(OR($A99="",N99&lt;=0),"",SUMPRODUCT(MAX((전표_원본!$O$5:$O$100000=$E99)*(전표_원본!$M$5:$M$100000=설정!$C$20)*전표_원본!$P$5:$P$100000))/N99)</f>
        <v/>
      </c>
      <c r="AD99" s="35">
        <f>IF($A99="","",SUMIFS(전표_원본!$P$5:$P$100000,전표_원본!$O$5:$O$100000,$E99,전표_원본!$M$5:$M$100000,설정!$C$20,전표_원본!$E$5:$E$100000,"SA")-SUMIFS(전표_원본!$P$5:$P$100000,전표_원본!$O$5:$O$100000,$E99,전표_원본!$M$5:$M$100000,설정!$C$20-1,전표_원본!$E$5:$E$100000,"SA"))</f>
        <v/>
      </c>
      <c r="AE99" s="81">
        <f>IF($A99="","",COUNTIFS(전표_원본!$O$5:$O$100000,$E99,전표_원본!$M$5:$M$100000,설정!$C$20,전표_원본!$P$5:$P$100000,"&lt;0"))</f>
        <v/>
      </c>
      <c r="AF99" s="62">
        <f>IF($A99="","",MIN(MAX(0,N99)/(설정!$C$10*5),1)*30)</f>
        <v/>
      </c>
      <c r="AG99" s="82">
        <f>IF($A99="","",MIN(MAX(0,H99,J99),1)*20)</f>
        <v/>
      </c>
      <c r="AH99" s="82">
        <f>IF($A99="","",MIN(MAX(0,O99)/3,1)*25)</f>
        <v/>
      </c>
      <c r="AI99" s="82">
        <f>IF($A99="","",IF(OR(W99="부족 예상",W99="무예산",AO99="한도 초과",AO99="초과 예상",AO99="무예산"),25,IF(OR(W99="주의",AO99="주의"),15,0)))</f>
        <v/>
      </c>
      <c r="AJ99" s="35">
        <f>IF($A99="","",SUMIFS(예산판_원본!$O$5:$O$5000,예산판_원본!$L$5:$L$5000,$E99,예산판_원본!$M$5:$M$5000,설정!$C$6,예산판_원본!$N$5:$N$5000,설정!$C$21))</f>
        <v/>
      </c>
      <c r="AK99" s="40">
        <f>IF($A99="","",K99)</f>
        <v/>
      </c>
      <c r="AL99" s="40">
        <f>IF($A99="","",AJ99-AK99)</f>
        <v/>
      </c>
      <c r="AM99" s="35">
        <f>IF($A99="","",AK99+AVERAGE(월별집계!X99:Z99)*MAX(0,설정!$C$22+2-설정!$C$20))</f>
        <v/>
      </c>
      <c r="AN99" s="73">
        <f>IF($A99="","",IF(AJ99=0,0,AM99/AJ99))</f>
        <v/>
      </c>
      <c r="AO99" s="34">
        <f>IF($A99="","",IF(AND(AJ99=0,AK99&gt;0),"무예산",IF(AJ99=0,"-",IF(AK99&gt;AJ99,"한도 초과",IF(AN99&gt;설정!$C$12,"초과 예상",IF(AN99&gt;설정!$C$11,"주의","여유"))))))</f>
        <v/>
      </c>
      <c r="AP99" s="35">
        <f>IF($A99="","",IF(설정!$C$19="최근월",(INDEX(월별집계!$AB99:$AM99,설정!$C$7)-INDEX(월별집계!$AB99:$AM99,MAX(1,설정!$C$7-1))*(설정!$C$7&gt;1)),IF(설정!$C$19="최근분기",((INDEX(월별집계!$AB99:$AM99,설정!$C$7)-INDEX(월별집계!$AB99:$AM99,MAX(1,설정!$C$7-3))*(설정!$C$7&gt;3))/MIN(3,설정!$C$7)),IF(설정!$C$19="전년추세",AZ99,((설정!$C$7+1)*SUMPRODUCT(월별집계!$AB$5:$AM$5,월별집계!$AB99:$AM99)-(설정!$C$7*(설정!$C$7+1)/2)*SUM(월별집계!$AB99:$AM99))/((설정!$C$7+1)*(설정!$C$7*(설정!$C$7+1)*(2*설정!$C$7+1)/6)-(설정!$C$7*(설정!$C$7+1)/2)^2)))))</f>
        <v/>
      </c>
      <c r="AQ99" s="35">
        <f>IF($A99="","",IF(설정!$C$19="연내누적",(SUM(월별집계!$AB99:$AM99)-AP99*(설정!$C$7*(설정!$C$7+1)/2))/(설정!$C$7+1),INDEX(월별집계!$AB99:$AM99,설정!$C$7)-AP99*설정!$C$7))</f>
        <v/>
      </c>
      <c r="AR99" s="40">
        <f>IF($A99="","",AQ99+AP99*12)</f>
        <v/>
      </c>
      <c r="AS99" s="82">
        <f>IF($A99="","",IF(OR(P99&lt;=0,Q99&gt;=P99,AP99&lt;=0),"",MAX(설정!$C$7,(P99-AQ99)/AP99)))</f>
        <v/>
      </c>
      <c r="AT99" s="22">
        <f>IF($A99="","",IF(AS99="",IF(AU99="이미 소진","소진됨",""),YEAR((DATE(설정!$C$6,1,1)+ROUND(AS99*365/12,0)-1))&amp;"-"&amp;TEXT(MONTH((DATE(설정!$C$6,1,1)+ROUND(AS99*365/12,0)-1)),"00")&amp;"-"&amp;TEXT(DAY((DATE(설정!$C$6,1,1)+ROUND(AS99*365/12,0)-1)),"00")))</f>
        <v/>
      </c>
      <c r="AU99" s="34">
        <f>IF($A99="","",IF(AND(P99&lt;=0,Q99&gt;0),"무예산",IF(P99&lt;=0,"-",IF(Q99&gt;=P99,"이미 소진",IF(AP99&lt;=0,"소진 안 됨",IF(AS99&lt;=12,"연내 고갈","연내 여유"))))))</f>
        <v/>
      </c>
      <c r="AV99" s="34">
        <f>IF($A99="","",IF(AJ99&lt;=0,"",IF(AK99&gt;=AJ99,"한도 소진",IF(AK99&lt;=0,"",IF(AJ99/(AK99/(설정!$C$20-설정!$C$22+1))&gt;3,"분기 내 여유",YEAR((DATE(설정!$C$6,설정!$C$22-설정!$C$6*12,1)+ROUND(MAX((설정!$C$20-설정!$C$22+1),AJ99/(AK99/(설정!$C$20-설정!$C$22+1)))*365/12,0)-1))&amp;"-"&amp;TEXT(MONTH((DATE(설정!$C$6,설정!$C$22-설정!$C$6*12,1)+ROUND(MAX((설정!$C$20-설정!$C$22+1),AJ99/(AK99/(설정!$C$20-설정!$C$22+1)))*365/12,0)-1)),"00")&amp;"-"&amp;TEXT(DAY((DATE(설정!$C$6,설정!$C$22-설정!$C$6*12,1)+ROUND(MAX((설정!$C$20-설정!$C$22+1),AJ99/(AK99/(설정!$C$20-설정!$C$22+1)))*365/12,0)-1)),"00"))))))</f>
        <v/>
      </c>
      <c r="AW99" s="41">
        <f>IF($A99="",999+ROW()/1000000,IF(AU99="이미 소진",ROW()/1000000,IF(AU99="연내 고갈",AS99+ROW()/1000000,99+ROW()/1000000)))</f>
        <v/>
      </c>
      <c r="AX99" s="35">
        <f>IF($A99="","",SUMIFS(월별집계!$C99:$Z99,월별집계!$C$5:$Z$5,"&gt;="&amp;((설정!$C$6-1)*12+1),월별집계!$C$5:$Z$5,"&lt;="&amp;(설정!$C$20-12)))</f>
        <v/>
      </c>
      <c r="AY99" s="80">
        <f>IF($A99="","",IF(AX99&lt;=0,IF(Q99&gt;0,1,0),Q99/AX99-1))</f>
        <v/>
      </c>
      <c r="AZ99" s="35">
        <f>IF($A99="","",SUMIFS(월별집계!$C99:$Z99,월별집계!$C$5:$Z$5,"&gt;"&amp;(설정!$C$20-12),월별집계!$C$5:$Z$5,"&lt;="&amp;((설정!$C$6-1)*12+12))/MAX(1,12-설정!$C$7))</f>
        <v/>
      </c>
    </row>
    <row r="100">
      <c r="A100" s="12" t="n"/>
      <c r="B100" s="26">
        <f>IF($A100="","",IFERROR(INDEX(부서매핑!$D$5:$D$504,MATCH($A100,부서매핑!$C$5:$C$504,0)),"부서매핑 없음"))</f>
        <v/>
      </c>
      <c r="C100" s="79" t="n"/>
      <c r="D100" s="26">
        <f>IF($A100="","",IFERROR(INDEX(계정매핑!$B$5:$B$504,MATCH($C100&amp;"",계정매핑!$A$5:$A$504,0)),"계정매핑 없음"))</f>
        <v/>
      </c>
      <c r="E100" s="22">
        <f>IF($A100="","",$A100&amp;"|"&amp;$C100)</f>
        <v/>
      </c>
      <c r="F100" s="35">
        <f>IF($A100="","",월별집계!$Z100)</f>
        <v/>
      </c>
      <c r="G100" s="35">
        <f>IF($A100="","",월별집계!$Y100)</f>
        <v/>
      </c>
      <c r="H100" s="80">
        <f>IF($A100="","",IF(G100&lt;=0,IF(F100&gt;0,1,0),F100/G100-1))</f>
        <v/>
      </c>
      <c r="I100" s="35">
        <f>IF($A100="","",월별집계!$N100)</f>
        <v/>
      </c>
      <c r="J100" s="80">
        <f>IF($A100="","",IF(I100&lt;=0,IF(F100&gt;0,1,0),F100/I100-1))</f>
        <v/>
      </c>
      <c r="K100" s="35">
        <f>IF($A100="","",SUMIFS(월별집계!$C100:$Z100,월별집계!$C$5:$Z$5,"&gt;="&amp;설정!$C$22,월별집계!$C$5:$Z$5,"&lt;="&amp;설정!$C$20))</f>
        <v/>
      </c>
      <c r="L100" s="35">
        <f>IF($A100="","",SUMIFS(월별집계!$C100:$Z100,월별집계!$C$5:$Z$5,"&gt;="&amp;(설정!$C$22-3),월별집계!$C$5:$Z$5,"&lt;="&amp;(설정!$C$20-3)))</f>
        <v/>
      </c>
      <c r="M100" s="80">
        <f>IF($A100="","",IF(L100&lt;=0,IF(K100&gt;0,1,0),K100/L100-1))</f>
        <v/>
      </c>
      <c r="N100" s="40">
        <f>IF($A100="","",MAX(F100-G100,F100-I100))</f>
        <v/>
      </c>
      <c r="O100" s="62">
        <f>IF($A100="","",IFERROR((월별집계!$Z100-AVERAGE(월별집계!N100:Y100))/STDEV(월별집계!N100:Y100),0))</f>
        <v/>
      </c>
      <c r="P100" s="35">
        <f>IF($A100="","",SUMIFS(예산판_원본!$O$5:$O$5000,예산판_원본!$L$5:$L$5000,$E100,예산판_원본!$M$5:$M$5000,설정!$C$6))</f>
        <v/>
      </c>
      <c r="Q100" s="35">
        <f>IF($A100="","",SUMIFS(월별집계!$C100:$Z100,월별집계!$C$5:$Z$5,"&gt;="&amp;(설정!$C$6*12+1),월별집계!$C$5:$Z$5,"&lt;="&amp;설정!$C$20))</f>
        <v/>
      </c>
      <c r="R100" s="40">
        <f>IF($A100="","",P100-Q100)</f>
        <v/>
      </c>
      <c r="S100" s="35">
        <f>IF($A100="","",AVERAGE(월별집계!X100:Z100)*(12-설정!$C$7))</f>
        <v/>
      </c>
      <c r="T100" s="35">
        <f>IF($A100="","",IFERROR(Q100/(SUMIFS(월별집계!$C100:$Z100,월별집계!$C$5:$Z$5,"&gt;="&amp;((설정!$C$6-1)*12+1),월별집계!$C$5:$Z$5,"&lt;="&amp;(설정!$C$20-12))/SUMIFS(월별집계!$C100:$Z100,월별집계!$C$5:$Z$5,"&gt;="&amp;((설정!$C$6-1)*12+1),월별집계!$C$5:$Z$5,"&lt;="&amp;((설정!$C$6-1)*12+12)))-Q100,S100))</f>
        <v/>
      </c>
      <c r="U100" s="40">
        <f>IF($A100="","",Q100+MAX(S100,T100))</f>
        <v/>
      </c>
      <c r="V100" s="73">
        <f>IF($A100="","",IF(P100=0,0,U100/P100))</f>
        <v/>
      </c>
      <c r="W100" s="34">
        <f>IF($A100="","",IF(AND(P100=0,Q100&gt;0),"무예산",IF(P100=0,"-",IF(V100&gt;설정!$C$12,"부족 예상",IF(V100&gt;설정!$C$11,"주의","여유")))))</f>
        <v/>
      </c>
      <c r="X100" s="40">
        <f>IF($A100="","",IF(P100=0,0,MAX(0,U100-P100)))</f>
        <v/>
      </c>
      <c r="Y100" s="34">
        <f>IF($A100="","",IF(OR(W100&lt;&gt;"부족 예상",설정!$C$7=12),"",IF(R100&lt;=0,"이미 초과",MIN(12,설정!$C$7+ROUNDUP(R100/(MAX(S100,T100)/(12-설정!$C$7)),0))&amp;"월")))</f>
        <v/>
      </c>
      <c r="Z100" s="26">
        <f>IF($A100="","",TRIM(IF(AND(N(AC100)&gt;=설정!$C$14,N100&gt;=설정!$C$10),"단건"&amp;TEXT(MIN(AC100,1),"0%")&amp;" ","")&amp;IF(AND(N100&gt;0,AD100&gt;0),IF(AD100/N100&gt;=설정!$C$16,"SA대체 ",""),"")&amp;IF(AE100&gt;0,"역분개"&amp;AE100&amp;"건 ","")&amp;IF(O100&gt;=설정!$C$13,"이상치 ","")&amp;IF(AND(I100=0,F100&gt;0),"신규지출 ","")))</f>
        <v/>
      </c>
      <c r="AA100" s="62">
        <f>IF($A100="","",ROUND((AF100+AG100+AH100+AI100)*IF(AND(F100&lt;설정!$C$10,N100&lt;설정!$C$10),0.3,1),1))</f>
        <v/>
      </c>
      <c r="AB100" s="41">
        <f>IF($A100="","",AA100+ROW()/1000000)</f>
        <v/>
      </c>
      <c r="AC100" s="60">
        <f>IF(OR($A100="",N100&lt;=0),"",SUMPRODUCT(MAX((전표_원본!$O$5:$O$100000=$E100)*(전표_원본!$M$5:$M$100000=설정!$C$20)*전표_원본!$P$5:$P$100000))/N100)</f>
        <v/>
      </c>
      <c r="AD100" s="35">
        <f>IF($A100="","",SUMIFS(전표_원본!$P$5:$P$100000,전표_원본!$O$5:$O$100000,$E100,전표_원본!$M$5:$M$100000,설정!$C$20,전표_원본!$E$5:$E$100000,"SA")-SUMIFS(전표_원본!$P$5:$P$100000,전표_원본!$O$5:$O$100000,$E100,전표_원본!$M$5:$M$100000,설정!$C$20-1,전표_원본!$E$5:$E$100000,"SA"))</f>
        <v/>
      </c>
      <c r="AE100" s="81">
        <f>IF($A100="","",COUNTIFS(전표_원본!$O$5:$O$100000,$E100,전표_원본!$M$5:$M$100000,설정!$C$20,전표_원본!$P$5:$P$100000,"&lt;0"))</f>
        <v/>
      </c>
      <c r="AF100" s="62">
        <f>IF($A100="","",MIN(MAX(0,N100)/(설정!$C$10*5),1)*30)</f>
        <v/>
      </c>
      <c r="AG100" s="82">
        <f>IF($A100="","",MIN(MAX(0,H100,J100),1)*20)</f>
        <v/>
      </c>
      <c r="AH100" s="82">
        <f>IF($A100="","",MIN(MAX(0,O100)/3,1)*25)</f>
        <v/>
      </c>
      <c r="AI100" s="82">
        <f>IF($A100="","",IF(OR(W100="부족 예상",W100="무예산",AO100="한도 초과",AO100="초과 예상",AO100="무예산"),25,IF(OR(W100="주의",AO100="주의"),15,0)))</f>
        <v/>
      </c>
      <c r="AJ100" s="35">
        <f>IF($A100="","",SUMIFS(예산판_원본!$O$5:$O$5000,예산판_원본!$L$5:$L$5000,$E100,예산판_원본!$M$5:$M$5000,설정!$C$6,예산판_원본!$N$5:$N$5000,설정!$C$21))</f>
        <v/>
      </c>
      <c r="AK100" s="40">
        <f>IF($A100="","",K100)</f>
        <v/>
      </c>
      <c r="AL100" s="40">
        <f>IF($A100="","",AJ100-AK100)</f>
        <v/>
      </c>
      <c r="AM100" s="35">
        <f>IF($A100="","",AK100+AVERAGE(월별집계!X100:Z100)*MAX(0,설정!$C$22+2-설정!$C$20))</f>
        <v/>
      </c>
      <c r="AN100" s="73">
        <f>IF($A100="","",IF(AJ100=0,0,AM100/AJ100))</f>
        <v/>
      </c>
      <c r="AO100" s="34">
        <f>IF($A100="","",IF(AND(AJ100=0,AK100&gt;0),"무예산",IF(AJ100=0,"-",IF(AK100&gt;AJ100,"한도 초과",IF(AN100&gt;설정!$C$12,"초과 예상",IF(AN100&gt;설정!$C$11,"주의","여유"))))))</f>
        <v/>
      </c>
      <c r="AP100" s="35">
        <f>IF($A100="","",IF(설정!$C$19="최근월",(INDEX(월별집계!$AB100:$AM100,설정!$C$7)-INDEX(월별집계!$AB100:$AM100,MAX(1,설정!$C$7-1))*(설정!$C$7&gt;1)),IF(설정!$C$19="최근분기",((INDEX(월별집계!$AB100:$AM100,설정!$C$7)-INDEX(월별집계!$AB100:$AM100,MAX(1,설정!$C$7-3))*(설정!$C$7&gt;3))/MIN(3,설정!$C$7)),IF(설정!$C$19="전년추세",AZ100,((설정!$C$7+1)*SUMPRODUCT(월별집계!$AB$5:$AM$5,월별집계!$AB100:$AM100)-(설정!$C$7*(설정!$C$7+1)/2)*SUM(월별집계!$AB100:$AM100))/((설정!$C$7+1)*(설정!$C$7*(설정!$C$7+1)*(2*설정!$C$7+1)/6)-(설정!$C$7*(설정!$C$7+1)/2)^2)))))</f>
        <v/>
      </c>
      <c r="AQ100" s="35">
        <f>IF($A100="","",IF(설정!$C$19="연내누적",(SUM(월별집계!$AB100:$AM100)-AP100*(설정!$C$7*(설정!$C$7+1)/2))/(설정!$C$7+1),INDEX(월별집계!$AB100:$AM100,설정!$C$7)-AP100*설정!$C$7))</f>
        <v/>
      </c>
      <c r="AR100" s="40">
        <f>IF($A100="","",AQ100+AP100*12)</f>
        <v/>
      </c>
      <c r="AS100" s="82">
        <f>IF($A100="","",IF(OR(P100&lt;=0,Q100&gt;=P100,AP100&lt;=0),"",MAX(설정!$C$7,(P100-AQ100)/AP100)))</f>
        <v/>
      </c>
      <c r="AT100" s="22">
        <f>IF($A100="","",IF(AS100="",IF(AU100="이미 소진","소진됨",""),YEAR((DATE(설정!$C$6,1,1)+ROUND(AS100*365/12,0)-1))&amp;"-"&amp;TEXT(MONTH((DATE(설정!$C$6,1,1)+ROUND(AS100*365/12,0)-1)),"00")&amp;"-"&amp;TEXT(DAY((DATE(설정!$C$6,1,1)+ROUND(AS100*365/12,0)-1)),"00")))</f>
        <v/>
      </c>
      <c r="AU100" s="34">
        <f>IF($A100="","",IF(AND(P100&lt;=0,Q100&gt;0),"무예산",IF(P100&lt;=0,"-",IF(Q100&gt;=P100,"이미 소진",IF(AP100&lt;=0,"소진 안 됨",IF(AS100&lt;=12,"연내 고갈","연내 여유"))))))</f>
        <v/>
      </c>
      <c r="AV100" s="34">
        <f>IF($A100="","",IF(AJ100&lt;=0,"",IF(AK100&gt;=AJ100,"한도 소진",IF(AK100&lt;=0,"",IF(AJ100/(AK100/(설정!$C$20-설정!$C$22+1))&gt;3,"분기 내 여유",YEAR((DATE(설정!$C$6,설정!$C$22-설정!$C$6*12,1)+ROUND(MAX((설정!$C$20-설정!$C$22+1),AJ100/(AK100/(설정!$C$20-설정!$C$22+1)))*365/12,0)-1))&amp;"-"&amp;TEXT(MONTH((DATE(설정!$C$6,설정!$C$22-설정!$C$6*12,1)+ROUND(MAX((설정!$C$20-설정!$C$22+1),AJ100/(AK100/(설정!$C$20-설정!$C$22+1)))*365/12,0)-1)),"00")&amp;"-"&amp;TEXT(DAY((DATE(설정!$C$6,설정!$C$22-설정!$C$6*12,1)+ROUND(MAX((설정!$C$20-설정!$C$22+1),AJ100/(AK100/(설정!$C$20-설정!$C$22+1)))*365/12,0)-1)),"00"))))))</f>
        <v/>
      </c>
      <c r="AW100" s="41">
        <f>IF($A100="",999+ROW()/1000000,IF(AU100="이미 소진",ROW()/1000000,IF(AU100="연내 고갈",AS100+ROW()/1000000,99+ROW()/1000000)))</f>
        <v/>
      </c>
      <c r="AX100" s="35">
        <f>IF($A100="","",SUMIFS(월별집계!$C100:$Z100,월별집계!$C$5:$Z$5,"&gt;="&amp;((설정!$C$6-1)*12+1),월별집계!$C$5:$Z$5,"&lt;="&amp;(설정!$C$20-12)))</f>
        <v/>
      </c>
      <c r="AY100" s="80">
        <f>IF($A100="","",IF(AX100&lt;=0,IF(Q100&gt;0,1,0),Q100/AX100-1))</f>
        <v/>
      </c>
      <c r="AZ100" s="35">
        <f>IF($A100="","",SUMIFS(월별집계!$C100:$Z100,월별집계!$C$5:$Z$5,"&gt;"&amp;(설정!$C$20-12),월별집계!$C$5:$Z$5,"&lt;="&amp;((설정!$C$6-1)*12+12))/MAX(1,12-설정!$C$7))</f>
        <v/>
      </c>
    </row>
    <row r="101">
      <c r="A101" s="12" t="n"/>
      <c r="B101" s="26">
        <f>IF($A101="","",IFERROR(INDEX(부서매핑!$D$5:$D$504,MATCH($A101,부서매핑!$C$5:$C$504,0)),"부서매핑 없음"))</f>
        <v/>
      </c>
      <c r="C101" s="79" t="n"/>
      <c r="D101" s="26">
        <f>IF($A101="","",IFERROR(INDEX(계정매핑!$B$5:$B$504,MATCH($C101&amp;"",계정매핑!$A$5:$A$504,0)),"계정매핑 없음"))</f>
        <v/>
      </c>
      <c r="E101" s="22">
        <f>IF($A101="","",$A101&amp;"|"&amp;$C101)</f>
        <v/>
      </c>
      <c r="F101" s="35">
        <f>IF($A101="","",월별집계!$Z101)</f>
        <v/>
      </c>
      <c r="G101" s="35">
        <f>IF($A101="","",월별집계!$Y101)</f>
        <v/>
      </c>
      <c r="H101" s="80">
        <f>IF($A101="","",IF(G101&lt;=0,IF(F101&gt;0,1,0),F101/G101-1))</f>
        <v/>
      </c>
      <c r="I101" s="35">
        <f>IF($A101="","",월별집계!$N101)</f>
        <v/>
      </c>
      <c r="J101" s="80">
        <f>IF($A101="","",IF(I101&lt;=0,IF(F101&gt;0,1,0),F101/I101-1))</f>
        <v/>
      </c>
      <c r="K101" s="35">
        <f>IF($A101="","",SUMIFS(월별집계!$C101:$Z101,월별집계!$C$5:$Z$5,"&gt;="&amp;설정!$C$22,월별집계!$C$5:$Z$5,"&lt;="&amp;설정!$C$20))</f>
        <v/>
      </c>
      <c r="L101" s="35">
        <f>IF($A101="","",SUMIFS(월별집계!$C101:$Z101,월별집계!$C$5:$Z$5,"&gt;="&amp;(설정!$C$22-3),월별집계!$C$5:$Z$5,"&lt;="&amp;(설정!$C$20-3)))</f>
        <v/>
      </c>
      <c r="M101" s="80">
        <f>IF($A101="","",IF(L101&lt;=0,IF(K101&gt;0,1,0),K101/L101-1))</f>
        <v/>
      </c>
      <c r="N101" s="40">
        <f>IF($A101="","",MAX(F101-G101,F101-I101))</f>
        <v/>
      </c>
      <c r="O101" s="62">
        <f>IF($A101="","",IFERROR((월별집계!$Z101-AVERAGE(월별집계!N101:Y101))/STDEV(월별집계!N101:Y101),0))</f>
        <v/>
      </c>
      <c r="P101" s="35">
        <f>IF($A101="","",SUMIFS(예산판_원본!$O$5:$O$5000,예산판_원본!$L$5:$L$5000,$E101,예산판_원본!$M$5:$M$5000,설정!$C$6))</f>
        <v/>
      </c>
      <c r="Q101" s="35">
        <f>IF($A101="","",SUMIFS(월별집계!$C101:$Z101,월별집계!$C$5:$Z$5,"&gt;="&amp;(설정!$C$6*12+1),월별집계!$C$5:$Z$5,"&lt;="&amp;설정!$C$20))</f>
        <v/>
      </c>
      <c r="R101" s="40">
        <f>IF($A101="","",P101-Q101)</f>
        <v/>
      </c>
      <c r="S101" s="35">
        <f>IF($A101="","",AVERAGE(월별집계!X101:Z101)*(12-설정!$C$7))</f>
        <v/>
      </c>
      <c r="T101" s="35">
        <f>IF($A101="","",IFERROR(Q101/(SUMIFS(월별집계!$C101:$Z101,월별집계!$C$5:$Z$5,"&gt;="&amp;((설정!$C$6-1)*12+1),월별집계!$C$5:$Z$5,"&lt;="&amp;(설정!$C$20-12))/SUMIFS(월별집계!$C101:$Z101,월별집계!$C$5:$Z$5,"&gt;="&amp;((설정!$C$6-1)*12+1),월별집계!$C$5:$Z$5,"&lt;="&amp;((설정!$C$6-1)*12+12)))-Q101,S101))</f>
        <v/>
      </c>
      <c r="U101" s="40">
        <f>IF($A101="","",Q101+MAX(S101,T101))</f>
        <v/>
      </c>
      <c r="V101" s="73">
        <f>IF($A101="","",IF(P101=0,0,U101/P101))</f>
        <v/>
      </c>
      <c r="W101" s="34">
        <f>IF($A101="","",IF(AND(P101=0,Q101&gt;0),"무예산",IF(P101=0,"-",IF(V101&gt;설정!$C$12,"부족 예상",IF(V101&gt;설정!$C$11,"주의","여유")))))</f>
        <v/>
      </c>
      <c r="X101" s="40">
        <f>IF($A101="","",IF(P101=0,0,MAX(0,U101-P101)))</f>
        <v/>
      </c>
      <c r="Y101" s="34">
        <f>IF($A101="","",IF(OR(W101&lt;&gt;"부족 예상",설정!$C$7=12),"",IF(R101&lt;=0,"이미 초과",MIN(12,설정!$C$7+ROUNDUP(R101/(MAX(S101,T101)/(12-설정!$C$7)),0))&amp;"월")))</f>
        <v/>
      </c>
      <c r="Z101" s="26">
        <f>IF($A101="","",TRIM(IF(AND(N(AC101)&gt;=설정!$C$14,N101&gt;=설정!$C$10),"단건"&amp;TEXT(MIN(AC101,1),"0%")&amp;" ","")&amp;IF(AND(N101&gt;0,AD101&gt;0),IF(AD101/N101&gt;=설정!$C$16,"SA대체 ",""),"")&amp;IF(AE101&gt;0,"역분개"&amp;AE101&amp;"건 ","")&amp;IF(O101&gt;=설정!$C$13,"이상치 ","")&amp;IF(AND(I101=0,F101&gt;0),"신규지출 ","")))</f>
        <v/>
      </c>
      <c r="AA101" s="62">
        <f>IF($A101="","",ROUND((AF101+AG101+AH101+AI101)*IF(AND(F101&lt;설정!$C$10,N101&lt;설정!$C$10),0.3,1),1))</f>
        <v/>
      </c>
      <c r="AB101" s="41">
        <f>IF($A101="","",AA101+ROW()/1000000)</f>
        <v/>
      </c>
      <c r="AC101" s="60">
        <f>IF(OR($A101="",N101&lt;=0),"",SUMPRODUCT(MAX((전표_원본!$O$5:$O$100000=$E101)*(전표_원본!$M$5:$M$100000=설정!$C$20)*전표_원본!$P$5:$P$100000))/N101)</f>
        <v/>
      </c>
      <c r="AD101" s="35">
        <f>IF($A101="","",SUMIFS(전표_원본!$P$5:$P$100000,전표_원본!$O$5:$O$100000,$E101,전표_원본!$M$5:$M$100000,설정!$C$20,전표_원본!$E$5:$E$100000,"SA")-SUMIFS(전표_원본!$P$5:$P$100000,전표_원본!$O$5:$O$100000,$E101,전표_원본!$M$5:$M$100000,설정!$C$20-1,전표_원본!$E$5:$E$100000,"SA"))</f>
        <v/>
      </c>
      <c r="AE101" s="81">
        <f>IF($A101="","",COUNTIFS(전표_원본!$O$5:$O$100000,$E101,전표_원본!$M$5:$M$100000,설정!$C$20,전표_원본!$P$5:$P$100000,"&lt;0"))</f>
        <v/>
      </c>
      <c r="AF101" s="62">
        <f>IF($A101="","",MIN(MAX(0,N101)/(설정!$C$10*5),1)*30)</f>
        <v/>
      </c>
      <c r="AG101" s="82">
        <f>IF($A101="","",MIN(MAX(0,H101,J101),1)*20)</f>
        <v/>
      </c>
      <c r="AH101" s="82">
        <f>IF($A101="","",MIN(MAX(0,O101)/3,1)*25)</f>
        <v/>
      </c>
      <c r="AI101" s="82">
        <f>IF($A101="","",IF(OR(W101="부족 예상",W101="무예산",AO101="한도 초과",AO101="초과 예상",AO101="무예산"),25,IF(OR(W101="주의",AO101="주의"),15,0)))</f>
        <v/>
      </c>
      <c r="AJ101" s="35">
        <f>IF($A101="","",SUMIFS(예산판_원본!$O$5:$O$5000,예산판_원본!$L$5:$L$5000,$E101,예산판_원본!$M$5:$M$5000,설정!$C$6,예산판_원본!$N$5:$N$5000,설정!$C$21))</f>
        <v/>
      </c>
      <c r="AK101" s="40">
        <f>IF($A101="","",K101)</f>
        <v/>
      </c>
      <c r="AL101" s="40">
        <f>IF($A101="","",AJ101-AK101)</f>
        <v/>
      </c>
      <c r="AM101" s="35">
        <f>IF($A101="","",AK101+AVERAGE(월별집계!X101:Z101)*MAX(0,설정!$C$22+2-설정!$C$20))</f>
        <v/>
      </c>
      <c r="AN101" s="73">
        <f>IF($A101="","",IF(AJ101=0,0,AM101/AJ101))</f>
        <v/>
      </c>
      <c r="AO101" s="34">
        <f>IF($A101="","",IF(AND(AJ101=0,AK101&gt;0),"무예산",IF(AJ101=0,"-",IF(AK101&gt;AJ101,"한도 초과",IF(AN101&gt;설정!$C$12,"초과 예상",IF(AN101&gt;설정!$C$11,"주의","여유"))))))</f>
        <v/>
      </c>
      <c r="AP101" s="35">
        <f>IF($A101="","",IF(설정!$C$19="최근월",(INDEX(월별집계!$AB101:$AM101,설정!$C$7)-INDEX(월별집계!$AB101:$AM101,MAX(1,설정!$C$7-1))*(설정!$C$7&gt;1)),IF(설정!$C$19="최근분기",((INDEX(월별집계!$AB101:$AM101,설정!$C$7)-INDEX(월별집계!$AB101:$AM101,MAX(1,설정!$C$7-3))*(설정!$C$7&gt;3))/MIN(3,설정!$C$7)),IF(설정!$C$19="전년추세",AZ101,((설정!$C$7+1)*SUMPRODUCT(월별집계!$AB$5:$AM$5,월별집계!$AB101:$AM101)-(설정!$C$7*(설정!$C$7+1)/2)*SUM(월별집계!$AB101:$AM101))/((설정!$C$7+1)*(설정!$C$7*(설정!$C$7+1)*(2*설정!$C$7+1)/6)-(설정!$C$7*(설정!$C$7+1)/2)^2)))))</f>
        <v/>
      </c>
      <c r="AQ101" s="35">
        <f>IF($A101="","",IF(설정!$C$19="연내누적",(SUM(월별집계!$AB101:$AM101)-AP101*(설정!$C$7*(설정!$C$7+1)/2))/(설정!$C$7+1),INDEX(월별집계!$AB101:$AM101,설정!$C$7)-AP101*설정!$C$7))</f>
        <v/>
      </c>
      <c r="AR101" s="40">
        <f>IF($A101="","",AQ101+AP101*12)</f>
        <v/>
      </c>
      <c r="AS101" s="82">
        <f>IF($A101="","",IF(OR(P101&lt;=0,Q101&gt;=P101,AP101&lt;=0),"",MAX(설정!$C$7,(P101-AQ101)/AP101)))</f>
        <v/>
      </c>
      <c r="AT101" s="22">
        <f>IF($A101="","",IF(AS101="",IF(AU101="이미 소진","소진됨",""),YEAR((DATE(설정!$C$6,1,1)+ROUND(AS101*365/12,0)-1))&amp;"-"&amp;TEXT(MONTH((DATE(설정!$C$6,1,1)+ROUND(AS101*365/12,0)-1)),"00")&amp;"-"&amp;TEXT(DAY((DATE(설정!$C$6,1,1)+ROUND(AS101*365/12,0)-1)),"00")))</f>
        <v/>
      </c>
      <c r="AU101" s="34">
        <f>IF($A101="","",IF(AND(P101&lt;=0,Q101&gt;0),"무예산",IF(P101&lt;=0,"-",IF(Q101&gt;=P101,"이미 소진",IF(AP101&lt;=0,"소진 안 됨",IF(AS101&lt;=12,"연내 고갈","연내 여유"))))))</f>
        <v/>
      </c>
      <c r="AV101" s="34">
        <f>IF($A101="","",IF(AJ101&lt;=0,"",IF(AK101&gt;=AJ101,"한도 소진",IF(AK101&lt;=0,"",IF(AJ101/(AK101/(설정!$C$20-설정!$C$22+1))&gt;3,"분기 내 여유",YEAR((DATE(설정!$C$6,설정!$C$22-설정!$C$6*12,1)+ROUND(MAX((설정!$C$20-설정!$C$22+1),AJ101/(AK101/(설정!$C$20-설정!$C$22+1)))*365/12,0)-1))&amp;"-"&amp;TEXT(MONTH((DATE(설정!$C$6,설정!$C$22-설정!$C$6*12,1)+ROUND(MAX((설정!$C$20-설정!$C$22+1),AJ101/(AK101/(설정!$C$20-설정!$C$22+1)))*365/12,0)-1)),"00")&amp;"-"&amp;TEXT(DAY((DATE(설정!$C$6,설정!$C$22-설정!$C$6*12,1)+ROUND(MAX((설정!$C$20-설정!$C$22+1),AJ101/(AK101/(설정!$C$20-설정!$C$22+1)))*365/12,0)-1)),"00"))))))</f>
        <v/>
      </c>
      <c r="AW101" s="41">
        <f>IF($A101="",999+ROW()/1000000,IF(AU101="이미 소진",ROW()/1000000,IF(AU101="연내 고갈",AS101+ROW()/1000000,99+ROW()/1000000)))</f>
        <v/>
      </c>
      <c r="AX101" s="35">
        <f>IF($A101="","",SUMIFS(월별집계!$C101:$Z101,월별집계!$C$5:$Z$5,"&gt;="&amp;((설정!$C$6-1)*12+1),월별집계!$C$5:$Z$5,"&lt;="&amp;(설정!$C$20-12)))</f>
        <v/>
      </c>
      <c r="AY101" s="80">
        <f>IF($A101="","",IF(AX101&lt;=0,IF(Q101&gt;0,1,0),Q101/AX101-1))</f>
        <v/>
      </c>
      <c r="AZ101" s="35">
        <f>IF($A101="","",SUMIFS(월별집계!$C101:$Z101,월별집계!$C$5:$Z$5,"&gt;"&amp;(설정!$C$20-12),월별집계!$C$5:$Z$5,"&lt;="&amp;((설정!$C$6-1)*12+12))/MAX(1,12-설정!$C$7))</f>
        <v/>
      </c>
    </row>
    <row r="102">
      <c r="A102" s="12" t="n"/>
      <c r="B102" s="26">
        <f>IF($A102="","",IFERROR(INDEX(부서매핑!$D$5:$D$504,MATCH($A102,부서매핑!$C$5:$C$504,0)),"부서매핑 없음"))</f>
        <v/>
      </c>
      <c r="C102" s="79" t="n"/>
      <c r="D102" s="26">
        <f>IF($A102="","",IFERROR(INDEX(계정매핑!$B$5:$B$504,MATCH($C102&amp;"",계정매핑!$A$5:$A$504,0)),"계정매핑 없음"))</f>
        <v/>
      </c>
      <c r="E102" s="22">
        <f>IF($A102="","",$A102&amp;"|"&amp;$C102)</f>
        <v/>
      </c>
      <c r="F102" s="35">
        <f>IF($A102="","",월별집계!$Z102)</f>
        <v/>
      </c>
      <c r="G102" s="35">
        <f>IF($A102="","",월별집계!$Y102)</f>
        <v/>
      </c>
      <c r="H102" s="80">
        <f>IF($A102="","",IF(G102&lt;=0,IF(F102&gt;0,1,0),F102/G102-1))</f>
        <v/>
      </c>
      <c r="I102" s="35">
        <f>IF($A102="","",월별집계!$N102)</f>
        <v/>
      </c>
      <c r="J102" s="80">
        <f>IF($A102="","",IF(I102&lt;=0,IF(F102&gt;0,1,0),F102/I102-1))</f>
        <v/>
      </c>
      <c r="K102" s="35">
        <f>IF($A102="","",SUMIFS(월별집계!$C102:$Z102,월별집계!$C$5:$Z$5,"&gt;="&amp;설정!$C$22,월별집계!$C$5:$Z$5,"&lt;="&amp;설정!$C$20))</f>
        <v/>
      </c>
      <c r="L102" s="35">
        <f>IF($A102="","",SUMIFS(월별집계!$C102:$Z102,월별집계!$C$5:$Z$5,"&gt;="&amp;(설정!$C$22-3),월별집계!$C$5:$Z$5,"&lt;="&amp;(설정!$C$20-3)))</f>
        <v/>
      </c>
      <c r="M102" s="80">
        <f>IF($A102="","",IF(L102&lt;=0,IF(K102&gt;0,1,0),K102/L102-1))</f>
        <v/>
      </c>
      <c r="N102" s="40">
        <f>IF($A102="","",MAX(F102-G102,F102-I102))</f>
        <v/>
      </c>
      <c r="O102" s="62">
        <f>IF($A102="","",IFERROR((월별집계!$Z102-AVERAGE(월별집계!N102:Y102))/STDEV(월별집계!N102:Y102),0))</f>
        <v/>
      </c>
      <c r="P102" s="35">
        <f>IF($A102="","",SUMIFS(예산판_원본!$O$5:$O$5000,예산판_원본!$L$5:$L$5000,$E102,예산판_원본!$M$5:$M$5000,설정!$C$6))</f>
        <v/>
      </c>
      <c r="Q102" s="35">
        <f>IF($A102="","",SUMIFS(월별집계!$C102:$Z102,월별집계!$C$5:$Z$5,"&gt;="&amp;(설정!$C$6*12+1),월별집계!$C$5:$Z$5,"&lt;="&amp;설정!$C$20))</f>
        <v/>
      </c>
      <c r="R102" s="40">
        <f>IF($A102="","",P102-Q102)</f>
        <v/>
      </c>
      <c r="S102" s="35">
        <f>IF($A102="","",AVERAGE(월별집계!X102:Z102)*(12-설정!$C$7))</f>
        <v/>
      </c>
      <c r="T102" s="35">
        <f>IF($A102="","",IFERROR(Q102/(SUMIFS(월별집계!$C102:$Z102,월별집계!$C$5:$Z$5,"&gt;="&amp;((설정!$C$6-1)*12+1),월별집계!$C$5:$Z$5,"&lt;="&amp;(설정!$C$20-12))/SUMIFS(월별집계!$C102:$Z102,월별집계!$C$5:$Z$5,"&gt;="&amp;((설정!$C$6-1)*12+1),월별집계!$C$5:$Z$5,"&lt;="&amp;((설정!$C$6-1)*12+12)))-Q102,S102))</f>
        <v/>
      </c>
      <c r="U102" s="40">
        <f>IF($A102="","",Q102+MAX(S102,T102))</f>
        <v/>
      </c>
      <c r="V102" s="73">
        <f>IF($A102="","",IF(P102=0,0,U102/P102))</f>
        <v/>
      </c>
      <c r="W102" s="34">
        <f>IF($A102="","",IF(AND(P102=0,Q102&gt;0),"무예산",IF(P102=0,"-",IF(V102&gt;설정!$C$12,"부족 예상",IF(V102&gt;설정!$C$11,"주의","여유")))))</f>
        <v/>
      </c>
      <c r="X102" s="40">
        <f>IF($A102="","",IF(P102=0,0,MAX(0,U102-P102)))</f>
        <v/>
      </c>
      <c r="Y102" s="34">
        <f>IF($A102="","",IF(OR(W102&lt;&gt;"부족 예상",설정!$C$7=12),"",IF(R102&lt;=0,"이미 초과",MIN(12,설정!$C$7+ROUNDUP(R102/(MAX(S102,T102)/(12-설정!$C$7)),0))&amp;"월")))</f>
        <v/>
      </c>
      <c r="Z102" s="26">
        <f>IF($A102="","",TRIM(IF(AND(N(AC102)&gt;=설정!$C$14,N102&gt;=설정!$C$10),"단건"&amp;TEXT(MIN(AC102,1),"0%")&amp;" ","")&amp;IF(AND(N102&gt;0,AD102&gt;0),IF(AD102/N102&gt;=설정!$C$16,"SA대체 ",""),"")&amp;IF(AE102&gt;0,"역분개"&amp;AE102&amp;"건 ","")&amp;IF(O102&gt;=설정!$C$13,"이상치 ","")&amp;IF(AND(I102=0,F102&gt;0),"신규지출 ","")))</f>
        <v/>
      </c>
      <c r="AA102" s="62">
        <f>IF($A102="","",ROUND((AF102+AG102+AH102+AI102)*IF(AND(F102&lt;설정!$C$10,N102&lt;설정!$C$10),0.3,1),1))</f>
        <v/>
      </c>
      <c r="AB102" s="41">
        <f>IF($A102="","",AA102+ROW()/1000000)</f>
        <v/>
      </c>
      <c r="AC102" s="60">
        <f>IF(OR($A102="",N102&lt;=0),"",SUMPRODUCT(MAX((전표_원본!$O$5:$O$100000=$E102)*(전표_원본!$M$5:$M$100000=설정!$C$20)*전표_원본!$P$5:$P$100000))/N102)</f>
        <v/>
      </c>
      <c r="AD102" s="35">
        <f>IF($A102="","",SUMIFS(전표_원본!$P$5:$P$100000,전표_원본!$O$5:$O$100000,$E102,전표_원본!$M$5:$M$100000,설정!$C$20,전표_원본!$E$5:$E$100000,"SA")-SUMIFS(전표_원본!$P$5:$P$100000,전표_원본!$O$5:$O$100000,$E102,전표_원본!$M$5:$M$100000,설정!$C$20-1,전표_원본!$E$5:$E$100000,"SA"))</f>
        <v/>
      </c>
      <c r="AE102" s="81">
        <f>IF($A102="","",COUNTIFS(전표_원본!$O$5:$O$100000,$E102,전표_원본!$M$5:$M$100000,설정!$C$20,전표_원본!$P$5:$P$100000,"&lt;0"))</f>
        <v/>
      </c>
      <c r="AF102" s="62">
        <f>IF($A102="","",MIN(MAX(0,N102)/(설정!$C$10*5),1)*30)</f>
        <v/>
      </c>
      <c r="AG102" s="82">
        <f>IF($A102="","",MIN(MAX(0,H102,J102),1)*20)</f>
        <v/>
      </c>
      <c r="AH102" s="82">
        <f>IF($A102="","",MIN(MAX(0,O102)/3,1)*25)</f>
        <v/>
      </c>
      <c r="AI102" s="82">
        <f>IF($A102="","",IF(OR(W102="부족 예상",W102="무예산",AO102="한도 초과",AO102="초과 예상",AO102="무예산"),25,IF(OR(W102="주의",AO102="주의"),15,0)))</f>
        <v/>
      </c>
      <c r="AJ102" s="35">
        <f>IF($A102="","",SUMIFS(예산판_원본!$O$5:$O$5000,예산판_원본!$L$5:$L$5000,$E102,예산판_원본!$M$5:$M$5000,설정!$C$6,예산판_원본!$N$5:$N$5000,설정!$C$21))</f>
        <v/>
      </c>
      <c r="AK102" s="40">
        <f>IF($A102="","",K102)</f>
        <v/>
      </c>
      <c r="AL102" s="40">
        <f>IF($A102="","",AJ102-AK102)</f>
        <v/>
      </c>
      <c r="AM102" s="35">
        <f>IF($A102="","",AK102+AVERAGE(월별집계!X102:Z102)*MAX(0,설정!$C$22+2-설정!$C$20))</f>
        <v/>
      </c>
      <c r="AN102" s="73">
        <f>IF($A102="","",IF(AJ102=0,0,AM102/AJ102))</f>
        <v/>
      </c>
      <c r="AO102" s="34">
        <f>IF($A102="","",IF(AND(AJ102=0,AK102&gt;0),"무예산",IF(AJ102=0,"-",IF(AK102&gt;AJ102,"한도 초과",IF(AN102&gt;설정!$C$12,"초과 예상",IF(AN102&gt;설정!$C$11,"주의","여유"))))))</f>
        <v/>
      </c>
      <c r="AP102" s="35">
        <f>IF($A102="","",IF(설정!$C$19="최근월",(INDEX(월별집계!$AB102:$AM102,설정!$C$7)-INDEX(월별집계!$AB102:$AM102,MAX(1,설정!$C$7-1))*(설정!$C$7&gt;1)),IF(설정!$C$19="최근분기",((INDEX(월별집계!$AB102:$AM102,설정!$C$7)-INDEX(월별집계!$AB102:$AM102,MAX(1,설정!$C$7-3))*(설정!$C$7&gt;3))/MIN(3,설정!$C$7)),IF(설정!$C$19="전년추세",AZ102,((설정!$C$7+1)*SUMPRODUCT(월별집계!$AB$5:$AM$5,월별집계!$AB102:$AM102)-(설정!$C$7*(설정!$C$7+1)/2)*SUM(월별집계!$AB102:$AM102))/((설정!$C$7+1)*(설정!$C$7*(설정!$C$7+1)*(2*설정!$C$7+1)/6)-(설정!$C$7*(설정!$C$7+1)/2)^2)))))</f>
        <v/>
      </c>
      <c r="AQ102" s="35">
        <f>IF($A102="","",IF(설정!$C$19="연내누적",(SUM(월별집계!$AB102:$AM102)-AP102*(설정!$C$7*(설정!$C$7+1)/2))/(설정!$C$7+1),INDEX(월별집계!$AB102:$AM102,설정!$C$7)-AP102*설정!$C$7))</f>
        <v/>
      </c>
      <c r="AR102" s="40">
        <f>IF($A102="","",AQ102+AP102*12)</f>
        <v/>
      </c>
      <c r="AS102" s="82">
        <f>IF($A102="","",IF(OR(P102&lt;=0,Q102&gt;=P102,AP102&lt;=0),"",MAX(설정!$C$7,(P102-AQ102)/AP102)))</f>
        <v/>
      </c>
      <c r="AT102" s="22">
        <f>IF($A102="","",IF(AS102="",IF(AU102="이미 소진","소진됨",""),YEAR((DATE(설정!$C$6,1,1)+ROUND(AS102*365/12,0)-1))&amp;"-"&amp;TEXT(MONTH((DATE(설정!$C$6,1,1)+ROUND(AS102*365/12,0)-1)),"00")&amp;"-"&amp;TEXT(DAY((DATE(설정!$C$6,1,1)+ROUND(AS102*365/12,0)-1)),"00")))</f>
        <v/>
      </c>
      <c r="AU102" s="34">
        <f>IF($A102="","",IF(AND(P102&lt;=0,Q102&gt;0),"무예산",IF(P102&lt;=0,"-",IF(Q102&gt;=P102,"이미 소진",IF(AP102&lt;=0,"소진 안 됨",IF(AS102&lt;=12,"연내 고갈","연내 여유"))))))</f>
        <v/>
      </c>
      <c r="AV102" s="34">
        <f>IF($A102="","",IF(AJ102&lt;=0,"",IF(AK102&gt;=AJ102,"한도 소진",IF(AK102&lt;=0,"",IF(AJ102/(AK102/(설정!$C$20-설정!$C$22+1))&gt;3,"분기 내 여유",YEAR((DATE(설정!$C$6,설정!$C$22-설정!$C$6*12,1)+ROUND(MAX((설정!$C$20-설정!$C$22+1),AJ102/(AK102/(설정!$C$20-설정!$C$22+1)))*365/12,0)-1))&amp;"-"&amp;TEXT(MONTH((DATE(설정!$C$6,설정!$C$22-설정!$C$6*12,1)+ROUND(MAX((설정!$C$20-설정!$C$22+1),AJ102/(AK102/(설정!$C$20-설정!$C$22+1)))*365/12,0)-1)),"00")&amp;"-"&amp;TEXT(DAY((DATE(설정!$C$6,설정!$C$22-설정!$C$6*12,1)+ROUND(MAX((설정!$C$20-설정!$C$22+1),AJ102/(AK102/(설정!$C$20-설정!$C$22+1)))*365/12,0)-1)),"00"))))))</f>
        <v/>
      </c>
      <c r="AW102" s="41">
        <f>IF($A102="",999+ROW()/1000000,IF(AU102="이미 소진",ROW()/1000000,IF(AU102="연내 고갈",AS102+ROW()/1000000,99+ROW()/1000000)))</f>
        <v/>
      </c>
      <c r="AX102" s="35">
        <f>IF($A102="","",SUMIFS(월별집계!$C102:$Z102,월별집계!$C$5:$Z$5,"&gt;="&amp;((설정!$C$6-1)*12+1),월별집계!$C$5:$Z$5,"&lt;="&amp;(설정!$C$20-12)))</f>
        <v/>
      </c>
      <c r="AY102" s="80">
        <f>IF($A102="","",IF(AX102&lt;=0,IF(Q102&gt;0,1,0),Q102/AX102-1))</f>
        <v/>
      </c>
      <c r="AZ102" s="35">
        <f>IF($A102="","",SUMIFS(월별집계!$C102:$Z102,월별집계!$C$5:$Z$5,"&gt;"&amp;(설정!$C$20-12),월별집계!$C$5:$Z$5,"&lt;="&amp;((설정!$C$6-1)*12+12))/MAX(1,12-설정!$C$7))</f>
        <v/>
      </c>
    </row>
    <row r="103">
      <c r="A103" s="12" t="n"/>
      <c r="B103" s="26">
        <f>IF($A103="","",IFERROR(INDEX(부서매핑!$D$5:$D$504,MATCH($A103,부서매핑!$C$5:$C$504,0)),"부서매핑 없음"))</f>
        <v/>
      </c>
      <c r="C103" s="79" t="n"/>
      <c r="D103" s="26">
        <f>IF($A103="","",IFERROR(INDEX(계정매핑!$B$5:$B$504,MATCH($C103&amp;"",계정매핑!$A$5:$A$504,0)),"계정매핑 없음"))</f>
        <v/>
      </c>
      <c r="E103" s="22">
        <f>IF($A103="","",$A103&amp;"|"&amp;$C103)</f>
        <v/>
      </c>
      <c r="F103" s="35">
        <f>IF($A103="","",월별집계!$Z103)</f>
        <v/>
      </c>
      <c r="G103" s="35">
        <f>IF($A103="","",월별집계!$Y103)</f>
        <v/>
      </c>
      <c r="H103" s="80">
        <f>IF($A103="","",IF(G103&lt;=0,IF(F103&gt;0,1,0),F103/G103-1))</f>
        <v/>
      </c>
      <c r="I103" s="35">
        <f>IF($A103="","",월별집계!$N103)</f>
        <v/>
      </c>
      <c r="J103" s="80">
        <f>IF($A103="","",IF(I103&lt;=0,IF(F103&gt;0,1,0),F103/I103-1))</f>
        <v/>
      </c>
      <c r="K103" s="35">
        <f>IF($A103="","",SUMIFS(월별집계!$C103:$Z103,월별집계!$C$5:$Z$5,"&gt;="&amp;설정!$C$22,월별집계!$C$5:$Z$5,"&lt;="&amp;설정!$C$20))</f>
        <v/>
      </c>
      <c r="L103" s="35">
        <f>IF($A103="","",SUMIFS(월별집계!$C103:$Z103,월별집계!$C$5:$Z$5,"&gt;="&amp;(설정!$C$22-3),월별집계!$C$5:$Z$5,"&lt;="&amp;(설정!$C$20-3)))</f>
        <v/>
      </c>
      <c r="M103" s="80">
        <f>IF($A103="","",IF(L103&lt;=0,IF(K103&gt;0,1,0),K103/L103-1))</f>
        <v/>
      </c>
      <c r="N103" s="40">
        <f>IF($A103="","",MAX(F103-G103,F103-I103))</f>
        <v/>
      </c>
      <c r="O103" s="62">
        <f>IF($A103="","",IFERROR((월별집계!$Z103-AVERAGE(월별집계!N103:Y103))/STDEV(월별집계!N103:Y103),0))</f>
        <v/>
      </c>
      <c r="P103" s="35">
        <f>IF($A103="","",SUMIFS(예산판_원본!$O$5:$O$5000,예산판_원본!$L$5:$L$5000,$E103,예산판_원본!$M$5:$M$5000,설정!$C$6))</f>
        <v/>
      </c>
      <c r="Q103" s="35">
        <f>IF($A103="","",SUMIFS(월별집계!$C103:$Z103,월별집계!$C$5:$Z$5,"&gt;="&amp;(설정!$C$6*12+1),월별집계!$C$5:$Z$5,"&lt;="&amp;설정!$C$20))</f>
        <v/>
      </c>
      <c r="R103" s="40">
        <f>IF($A103="","",P103-Q103)</f>
        <v/>
      </c>
      <c r="S103" s="35">
        <f>IF($A103="","",AVERAGE(월별집계!X103:Z103)*(12-설정!$C$7))</f>
        <v/>
      </c>
      <c r="T103" s="35">
        <f>IF($A103="","",IFERROR(Q103/(SUMIFS(월별집계!$C103:$Z103,월별집계!$C$5:$Z$5,"&gt;="&amp;((설정!$C$6-1)*12+1),월별집계!$C$5:$Z$5,"&lt;="&amp;(설정!$C$20-12))/SUMIFS(월별집계!$C103:$Z103,월별집계!$C$5:$Z$5,"&gt;="&amp;((설정!$C$6-1)*12+1),월별집계!$C$5:$Z$5,"&lt;="&amp;((설정!$C$6-1)*12+12)))-Q103,S103))</f>
        <v/>
      </c>
      <c r="U103" s="40">
        <f>IF($A103="","",Q103+MAX(S103,T103))</f>
        <v/>
      </c>
      <c r="V103" s="73">
        <f>IF($A103="","",IF(P103=0,0,U103/P103))</f>
        <v/>
      </c>
      <c r="W103" s="34">
        <f>IF($A103="","",IF(AND(P103=0,Q103&gt;0),"무예산",IF(P103=0,"-",IF(V103&gt;설정!$C$12,"부족 예상",IF(V103&gt;설정!$C$11,"주의","여유")))))</f>
        <v/>
      </c>
      <c r="X103" s="40">
        <f>IF($A103="","",IF(P103=0,0,MAX(0,U103-P103)))</f>
        <v/>
      </c>
      <c r="Y103" s="34">
        <f>IF($A103="","",IF(OR(W103&lt;&gt;"부족 예상",설정!$C$7=12),"",IF(R103&lt;=0,"이미 초과",MIN(12,설정!$C$7+ROUNDUP(R103/(MAX(S103,T103)/(12-설정!$C$7)),0))&amp;"월")))</f>
        <v/>
      </c>
      <c r="Z103" s="26">
        <f>IF($A103="","",TRIM(IF(AND(N(AC103)&gt;=설정!$C$14,N103&gt;=설정!$C$10),"단건"&amp;TEXT(MIN(AC103,1),"0%")&amp;" ","")&amp;IF(AND(N103&gt;0,AD103&gt;0),IF(AD103/N103&gt;=설정!$C$16,"SA대체 ",""),"")&amp;IF(AE103&gt;0,"역분개"&amp;AE103&amp;"건 ","")&amp;IF(O103&gt;=설정!$C$13,"이상치 ","")&amp;IF(AND(I103=0,F103&gt;0),"신규지출 ","")))</f>
        <v/>
      </c>
      <c r="AA103" s="62">
        <f>IF($A103="","",ROUND((AF103+AG103+AH103+AI103)*IF(AND(F103&lt;설정!$C$10,N103&lt;설정!$C$10),0.3,1),1))</f>
        <v/>
      </c>
      <c r="AB103" s="41">
        <f>IF($A103="","",AA103+ROW()/1000000)</f>
        <v/>
      </c>
      <c r="AC103" s="60">
        <f>IF(OR($A103="",N103&lt;=0),"",SUMPRODUCT(MAX((전표_원본!$O$5:$O$100000=$E103)*(전표_원본!$M$5:$M$100000=설정!$C$20)*전표_원본!$P$5:$P$100000))/N103)</f>
        <v/>
      </c>
      <c r="AD103" s="35">
        <f>IF($A103="","",SUMIFS(전표_원본!$P$5:$P$100000,전표_원본!$O$5:$O$100000,$E103,전표_원본!$M$5:$M$100000,설정!$C$20,전표_원본!$E$5:$E$100000,"SA")-SUMIFS(전표_원본!$P$5:$P$100000,전표_원본!$O$5:$O$100000,$E103,전표_원본!$M$5:$M$100000,설정!$C$20-1,전표_원본!$E$5:$E$100000,"SA"))</f>
        <v/>
      </c>
      <c r="AE103" s="81">
        <f>IF($A103="","",COUNTIFS(전표_원본!$O$5:$O$100000,$E103,전표_원본!$M$5:$M$100000,설정!$C$20,전표_원본!$P$5:$P$100000,"&lt;0"))</f>
        <v/>
      </c>
      <c r="AF103" s="62">
        <f>IF($A103="","",MIN(MAX(0,N103)/(설정!$C$10*5),1)*30)</f>
        <v/>
      </c>
      <c r="AG103" s="82">
        <f>IF($A103="","",MIN(MAX(0,H103,J103),1)*20)</f>
        <v/>
      </c>
      <c r="AH103" s="82">
        <f>IF($A103="","",MIN(MAX(0,O103)/3,1)*25)</f>
        <v/>
      </c>
      <c r="AI103" s="82">
        <f>IF($A103="","",IF(OR(W103="부족 예상",W103="무예산",AO103="한도 초과",AO103="초과 예상",AO103="무예산"),25,IF(OR(W103="주의",AO103="주의"),15,0)))</f>
        <v/>
      </c>
      <c r="AJ103" s="35">
        <f>IF($A103="","",SUMIFS(예산판_원본!$O$5:$O$5000,예산판_원본!$L$5:$L$5000,$E103,예산판_원본!$M$5:$M$5000,설정!$C$6,예산판_원본!$N$5:$N$5000,설정!$C$21))</f>
        <v/>
      </c>
      <c r="AK103" s="40">
        <f>IF($A103="","",K103)</f>
        <v/>
      </c>
      <c r="AL103" s="40">
        <f>IF($A103="","",AJ103-AK103)</f>
        <v/>
      </c>
      <c r="AM103" s="35">
        <f>IF($A103="","",AK103+AVERAGE(월별집계!X103:Z103)*MAX(0,설정!$C$22+2-설정!$C$20))</f>
        <v/>
      </c>
      <c r="AN103" s="73">
        <f>IF($A103="","",IF(AJ103=0,0,AM103/AJ103))</f>
        <v/>
      </c>
      <c r="AO103" s="34">
        <f>IF($A103="","",IF(AND(AJ103=0,AK103&gt;0),"무예산",IF(AJ103=0,"-",IF(AK103&gt;AJ103,"한도 초과",IF(AN103&gt;설정!$C$12,"초과 예상",IF(AN103&gt;설정!$C$11,"주의","여유"))))))</f>
        <v/>
      </c>
      <c r="AP103" s="35">
        <f>IF($A103="","",IF(설정!$C$19="최근월",(INDEX(월별집계!$AB103:$AM103,설정!$C$7)-INDEX(월별집계!$AB103:$AM103,MAX(1,설정!$C$7-1))*(설정!$C$7&gt;1)),IF(설정!$C$19="최근분기",((INDEX(월별집계!$AB103:$AM103,설정!$C$7)-INDEX(월별집계!$AB103:$AM103,MAX(1,설정!$C$7-3))*(설정!$C$7&gt;3))/MIN(3,설정!$C$7)),IF(설정!$C$19="전년추세",AZ103,((설정!$C$7+1)*SUMPRODUCT(월별집계!$AB$5:$AM$5,월별집계!$AB103:$AM103)-(설정!$C$7*(설정!$C$7+1)/2)*SUM(월별집계!$AB103:$AM103))/((설정!$C$7+1)*(설정!$C$7*(설정!$C$7+1)*(2*설정!$C$7+1)/6)-(설정!$C$7*(설정!$C$7+1)/2)^2)))))</f>
        <v/>
      </c>
      <c r="AQ103" s="35">
        <f>IF($A103="","",IF(설정!$C$19="연내누적",(SUM(월별집계!$AB103:$AM103)-AP103*(설정!$C$7*(설정!$C$7+1)/2))/(설정!$C$7+1),INDEX(월별집계!$AB103:$AM103,설정!$C$7)-AP103*설정!$C$7))</f>
        <v/>
      </c>
      <c r="AR103" s="40">
        <f>IF($A103="","",AQ103+AP103*12)</f>
        <v/>
      </c>
      <c r="AS103" s="82">
        <f>IF($A103="","",IF(OR(P103&lt;=0,Q103&gt;=P103,AP103&lt;=0),"",MAX(설정!$C$7,(P103-AQ103)/AP103)))</f>
        <v/>
      </c>
      <c r="AT103" s="22">
        <f>IF($A103="","",IF(AS103="",IF(AU103="이미 소진","소진됨",""),YEAR((DATE(설정!$C$6,1,1)+ROUND(AS103*365/12,0)-1))&amp;"-"&amp;TEXT(MONTH((DATE(설정!$C$6,1,1)+ROUND(AS103*365/12,0)-1)),"00")&amp;"-"&amp;TEXT(DAY((DATE(설정!$C$6,1,1)+ROUND(AS103*365/12,0)-1)),"00")))</f>
        <v/>
      </c>
      <c r="AU103" s="34">
        <f>IF($A103="","",IF(AND(P103&lt;=0,Q103&gt;0),"무예산",IF(P103&lt;=0,"-",IF(Q103&gt;=P103,"이미 소진",IF(AP103&lt;=0,"소진 안 됨",IF(AS103&lt;=12,"연내 고갈","연내 여유"))))))</f>
        <v/>
      </c>
      <c r="AV103" s="34">
        <f>IF($A103="","",IF(AJ103&lt;=0,"",IF(AK103&gt;=AJ103,"한도 소진",IF(AK103&lt;=0,"",IF(AJ103/(AK103/(설정!$C$20-설정!$C$22+1))&gt;3,"분기 내 여유",YEAR((DATE(설정!$C$6,설정!$C$22-설정!$C$6*12,1)+ROUND(MAX((설정!$C$20-설정!$C$22+1),AJ103/(AK103/(설정!$C$20-설정!$C$22+1)))*365/12,0)-1))&amp;"-"&amp;TEXT(MONTH((DATE(설정!$C$6,설정!$C$22-설정!$C$6*12,1)+ROUND(MAX((설정!$C$20-설정!$C$22+1),AJ103/(AK103/(설정!$C$20-설정!$C$22+1)))*365/12,0)-1)),"00")&amp;"-"&amp;TEXT(DAY((DATE(설정!$C$6,설정!$C$22-설정!$C$6*12,1)+ROUND(MAX((설정!$C$20-설정!$C$22+1),AJ103/(AK103/(설정!$C$20-설정!$C$22+1)))*365/12,0)-1)),"00"))))))</f>
        <v/>
      </c>
      <c r="AW103" s="41">
        <f>IF($A103="",999+ROW()/1000000,IF(AU103="이미 소진",ROW()/1000000,IF(AU103="연내 고갈",AS103+ROW()/1000000,99+ROW()/1000000)))</f>
        <v/>
      </c>
      <c r="AX103" s="35">
        <f>IF($A103="","",SUMIFS(월별집계!$C103:$Z103,월별집계!$C$5:$Z$5,"&gt;="&amp;((설정!$C$6-1)*12+1),월별집계!$C$5:$Z$5,"&lt;="&amp;(설정!$C$20-12)))</f>
        <v/>
      </c>
      <c r="AY103" s="80">
        <f>IF($A103="","",IF(AX103&lt;=0,IF(Q103&gt;0,1,0),Q103/AX103-1))</f>
        <v/>
      </c>
      <c r="AZ103" s="35">
        <f>IF($A103="","",SUMIFS(월별집계!$C103:$Z103,월별집계!$C$5:$Z$5,"&gt;"&amp;(설정!$C$20-12),월별집계!$C$5:$Z$5,"&lt;="&amp;((설정!$C$6-1)*12+12))/MAX(1,12-설정!$C$7))</f>
        <v/>
      </c>
    </row>
    <row r="104">
      <c r="A104" s="12" t="n"/>
      <c r="B104" s="26">
        <f>IF($A104="","",IFERROR(INDEX(부서매핑!$D$5:$D$504,MATCH($A104,부서매핑!$C$5:$C$504,0)),"부서매핑 없음"))</f>
        <v/>
      </c>
      <c r="C104" s="79" t="n"/>
      <c r="D104" s="26">
        <f>IF($A104="","",IFERROR(INDEX(계정매핑!$B$5:$B$504,MATCH($C104&amp;"",계정매핑!$A$5:$A$504,0)),"계정매핑 없음"))</f>
        <v/>
      </c>
      <c r="E104" s="22">
        <f>IF($A104="","",$A104&amp;"|"&amp;$C104)</f>
        <v/>
      </c>
      <c r="F104" s="35">
        <f>IF($A104="","",월별집계!$Z104)</f>
        <v/>
      </c>
      <c r="G104" s="35">
        <f>IF($A104="","",월별집계!$Y104)</f>
        <v/>
      </c>
      <c r="H104" s="80">
        <f>IF($A104="","",IF(G104&lt;=0,IF(F104&gt;0,1,0),F104/G104-1))</f>
        <v/>
      </c>
      <c r="I104" s="35">
        <f>IF($A104="","",월별집계!$N104)</f>
        <v/>
      </c>
      <c r="J104" s="80">
        <f>IF($A104="","",IF(I104&lt;=0,IF(F104&gt;0,1,0),F104/I104-1))</f>
        <v/>
      </c>
      <c r="K104" s="35">
        <f>IF($A104="","",SUMIFS(월별집계!$C104:$Z104,월별집계!$C$5:$Z$5,"&gt;="&amp;설정!$C$22,월별집계!$C$5:$Z$5,"&lt;="&amp;설정!$C$20))</f>
        <v/>
      </c>
      <c r="L104" s="35">
        <f>IF($A104="","",SUMIFS(월별집계!$C104:$Z104,월별집계!$C$5:$Z$5,"&gt;="&amp;(설정!$C$22-3),월별집계!$C$5:$Z$5,"&lt;="&amp;(설정!$C$20-3)))</f>
        <v/>
      </c>
      <c r="M104" s="80">
        <f>IF($A104="","",IF(L104&lt;=0,IF(K104&gt;0,1,0),K104/L104-1))</f>
        <v/>
      </c>
      <c r="N104" s="40">
        <f>IF($A104="","",MAX(F104-G104,F104-I104))</f>
        <v/>
      </c>
      <c r="O104" s="62">
        <f>IF($A104="","",IFERROR((월별집계!$Z104-AVERAGE(월별집계!N104:Y104))/STDEV(월별집계!N104:Y104),0))</f>
        <v/>
      </c>
      <c r="P104" s="35">
        <f>IF($A104="","",SUMIFS(예산판_원본!$O$5:$O$5000,예산판_원본!$L$5:$L$5000,$E104,예산판_원본!$M$5:$M$5000,설정!$C$6))</f>
        <v/>
      </c>
      <c r="Q104" s="35">
        <f>IF($A104="","",SUMIFS(월별집계!$C104:$Z104,월별집계!$C$5:$Z$5,"&gt;="&amp;(설정!$C$6*12+1),월별집계!$C$5:$Z$5,"&lt;="&amp;설정!$C$20))</f>
        <v/>
      </c>
      <c r="R104" s="40">
        <f>IF($A104="","",P104-Q104)</f>
        <v/>
      </c>
      <c r="S104" s="35">
        <f>IF($A104="","",AVERAGE(월별집계!X104:Z104)*(12-설정!$C$7))</f>
        <v/>
      </c>
      <c r="T104" s="35">
        <f>IF($A104="","",IFERROR(Q104/(SUMIFS(월별집계!$C104:$Z104,월별집계!$C$5:$Z$5,"&gt;="&amp;((설정!$C$6-1)*12+1),월별집계!$C$5:$Z$5,"&lt;="&amp;(설정!$C$20-12))/SUMIFS(월별집계!$C104:$Z104,월별집계!$C$5:$Z$5,"&gt;="&amp;((설정!$C$6-1)*12+1),월별집계!$C$5:$Z$5,"&lt;="&amp;((설정!$C$6-1)*12+12)))-Q104,S104))</f>
        <v/>
      </c>
      <c r="U104" s="40">
        <f>IF($A104="","",Q104+MAX(S104,T104))</f>
        <v/>
      </c>
      <c r="V104" s="73">
        <f>IF($A104="","",IF(P104=0,0,U104/P104))</f>
        <v/>
      </c>
      <c r="W104" s="34">
        <f>IF($A104="","",IF(AND(P104=0,Q104&gt;0),"무예산",IF(P104=0,"-",IF(V104&gt;설정!$C$12,"부족 예상",IF(V104&gt;설정!$C$11,"주의","여유")))))</f>
        <v/>
      </c>
      <c r="X104" s="40">
        <f>IF($A104="","",IF(P104=0,0,MAX(0,U104-P104)))</f>
        <v/>
      </c>
      <c r="Y104" s="34">
        <f>IF($A104="","",IF(OR(W104&lt;&gt;"부족 예상",설정!$C$7=12),"",IF(R104&lt;=0,"이미 초과",MIN(12,설정!$C$7+ROUNDUP(R104/(MAX(S104,T104)/(12-설정!$C$7)),0))&amp;"월")))</f>
        <v/>
      </c>
      <c r="Z104" s="26">
        <f>IF($A104="","",TRIM(IF(AND(N(AC104)&gt;=설정!$C$14,N104&gt;=설정!$C$10),"단건"&amp;TEXT(MIN(AC104,1),"0%")&amp;" ","")&amp;IF(AND(N104&gt;0,AD104&gt;0),IF(AD104/N104&gt;=설정!$C$16,"SA대체 ",""),"")&amp;IF(AE104&gt;0,"역분개"&amp;AE104&amp;"건 ","")&amp;IF(O104&gt;=설정!$C$13,"이상치 ","")&amp;IF(AND(I104=0,F104&gt;0),"신규지출 ","")))</f>
        <v/>
      </c>
      <c r="AA104" s="62">
        <f>IF($A104="","",ROUND((AF104+AG104+AH104+AI104)*IF(AND(F104&lt;설정!$C$10,N104&lt;설정!$C$10),0.3,1),1))</f>
        <v/>
      </c>
      <c r="AB104" s="41">
        <f>IF($A104="","",AA104+ROW()/1000000)</f>
        <v/>
      </c>
      <c r="AC104" s="60">
        <f>IF(OR($A104="",N104&lt;=0),"",SUMPRODUCT(MAX((전표_원본!$O$5:$O$100000=$E104)*(전표_원본!$M$5:$M$100000=설정!$C$20)*전표_원본!$P$5:$P$100000))/N104)</f>
        <v/>
      </c>
      <c r="AD104" s="35">
        <f>IF($A104="","",SUMIFS(전표_원본!$P$5:$P$100000,전표_원본!$O$5:$O$100000,$E104,전표_원본!$M$5:$M$100000,설정!$C$20,전표_원본!$E$5:$E$100000,"SA")-SUMIFS(전표_원본!$P$5:$P$100000,전표_원본!$O$5:$O$100000,$E104,전표_원본!$M$5:$M$100000,설정!$C$20-1,전표_원본!$E$5:$E$100000,"SA"))</f>
        <v/>
      </c>
      <c r="AE104" s="81">
        <f>IF($A104="","",COUNTIFS(전표_원본!$O$5:$O$100000,$E104,전표_원본!$M$5:$M$100000,설정!$C$20,전표_원본!$P$5:$P$100000,"&lt;0"))</f>
        <v/>
      </c>
      <c r="AF104" s="62">
        <f>IF($A104="","",MIN(MAX(0,N104)/(설정!$C$10*5),1)*30)</f>
        <v/>
      </c>
      <c r="AG104" s="82">
        <f>IF($A104="","",MIN(MAX(0,H104,J104),1)*20)</f>
        <v/>
      </c>
      <c r="AH104" s="82">
        <f>IF($A104="","",MIN(MAX(0,O104)/3,1)*25)</f>
        <v/>
      </c>
      <c r="AI104" s="82">
        <f>IF($A104="","",IF(OR(W104="부족 예상",W104="무예산",AO104="한도 초과",AO104="초과 예상",AO104="무예산"),25,IF(OR(W104="주의",AO104="주의"),15,0)))</f>
        <v/>
      </c>
      <c r="AJ104" s="35">
        <f>IF($A104="","",SUMIFS(예산판_원본!$O$5:$O$5000,예산판_원본!$L$5:$L$5000,$E104,예산판_원본!$M$5:$M$5000,설정!$C$6,예산판_원본!$N$5:$N$5000,설정!$C$21))</f>
        <v/>
      </c>
      <c r="AK104" s="40">
        <f>IF($A104="","",K104)</f>
        <v/>
      </c>
      <c r="AL104" s="40">
        <f>IF($A104="","",AJ104-AK104)</f>
        <v/>
      </c>
      <c r="AM104" s="35">
        <f>IF($A104="","",AK104+AVERAGE(월별집계!X104:Z104)*MAX(0,설정!$C$22+2-설정!$C$20))</f>
        <v/>
      </c>
      <c r="AN104" s="73">
        <f>IF($A104="","",IF(AJ104=0,0,AM104/AJ104))</f>
        <v/>
      </c>
      <c r="AO104" s="34">
        <f>IF($A104="","",IF(AND(AJ104=0,AK104&gt;0),"무예산",IF(AJ104=0,"-",IF(AK104&gt;AJ104,"한도 초과",IF(AN104&gt;설정!$C$12,"초과 예상",IF(AN104&gt;설정!$C$11,"주의","여유"))))))</f>
        <v/>
      </c>
      <c r="AP104" s="35">
        <f>IF($A104="","",IF(설정!$C$19="최근월",(INDEX(월별집계!$AB104:$AM104,설정!$C$7)-INDEX(월별집계!$AB104:$AM104,MAX(1,설정!$C$7-1))*(설정!$C$7&gt;1)),IF(설정!$C$19="최근분기",((INDEX(월별집계!$AB104:$AM104,설정!$C$7)-INDEX(월별집계!$AB104:$AM104,MAX(1,설정!$C$7-3))*(설정!$C$7&gt;3))/MIN(3,설정!$C$7)),IF(설정!$C$19="전년추세",AZ104,((설정!$C$7+1)*SUMPRODUCT(월별집계!$AB$5:$AM$5,월별집계!$AB104:$AM104)-(설정!$C$7*(설정!$C$7+1)/2)*SUM(월별집계!$AB104:$AM104))/((설정!$C$7+1)*(설정!$C$7*(설정!$C$7+1)*(2*설정!$C$7+1)/6)-(설정!$C$7*(설정!$C$7+1)/2)^2)))))</f>
        <v/>
      </c>
      <c r="AQ104" s="35">
        <f>IF($A104="","",IF(설정!$C$19="연내누적",(SUM(월별집계!$AB104:$AM104)-AP104*(설정!$C$7*(설정!$C$7+1)/2))/(설정!$C$7+1),INDEX(월별집계!$AB104:$AM104,설정!$C$7)-AP104*설정!$C$7))</f>
        <v/>
      </c>
      <c r="AR104" s="40">
        <f>IF($A104="","",AQ104+AP104*12)</f>
        <v/>
      </c>
      <c r="AS104" s="82">
        <f>IF($A104="","",IF(OR(P104&lt;=0,Q104&gt;=P104,AP104&lt;=0),"",MAX(설정!$C$7,(P104-AQ104)/AP104)))</f>
        <v/>
      </c>
      <c r="AT104" s="22">
        <f>IF($A104="","",IF(AS104="",IF(AU104="이미 소진","소진됨",""),YEAR((DATE(설정!$C$6,1,1)+ROUND(AS104*365/12,0)-1))&amp;"-"&amp;TEXT(MONTH((DATE(설정!$C$6,1,1)+ROUND(AS104*365/12,0)-1)),"00")&amp;"-"&amp;TEXT(DAY((DATE(설정!$C$6,1,1)+ROUND(AS104*365/12,0)-1)),"00")))</f>
        <v/>
      </c>
      <c r="AU104" s="34">
        <f>IF($A104="","",IF(AND(P104&lt;=0,Q104&gt;0),"무예산",IF(P104&lt;=0,"-",IF(Q104&gt;=P104,"이미 소진",IF(AP104&lt;=0,"소진 안 됨",IF(AS104&lt;=12,"연내 고갈","연내 여유"))))))</f>
        <v/>
      </c>
      <c r="AV104" s="34">
        <f>IF($A104="","",IF(AJ104&lt;=0,"",IF(AK104&gt;=AJ104,"한도 소진",IF(AK104&lt;=0,"",IF(AJ104/(AK104/(설정!$C$20-설정!$C$22+1))&gt;3,"분기 내 여유",YEAR((DATE(설정!$C$6,설정!$C$22-설정!$C$6*12,1)+ROUND(MAX((설정!$C$20-설정!$C$22+1),AJ104/(AK104/(설정!$C$20-설정!$C$22+1)))*365/12,0)-1))&amp;"-"&amp;TEXT(MONTH((DATE(설정!$C$6,설정!$C$22-설정!$C$6*12,1)+ROUND(MAX((설정!$C$20-설정!$C$22+1),AJ104/(AK104/(설정!$C$20-설정!$C$22+1)))*365/12,0)-1)),"00")&amp;"-"&amp;TEXT(DAY((DATE(설정!$C$6,설정!$C$22-설정!$C$6*12,1)+ROUND(MAX((설정!$C$20-설정!$C$22+1),AJ104/(AK104/(설정!$C$20-설정!$C$22+1)))*365/12,0)-1)),"00"))))))</f>
        <v/>
      </c>
      <c r="AW104" s="41">
        <f>IF($A104="",999+ROW()/1000000,IF(AU104="이미 소진",ROW()/1000000,IF(AU104="연내 고갈",AS104+ROW()/1000000,99+ROW()/1000000)))</f>
        <v/>
      </c>
      <c r="AX104" s="35">
        <f>IF($A104="","",SUMIFS(월별집계!$C104:$Z104,월별집계!$C$5:$Z$5,"&gt;="&amp;((설정!$C$6-1)*12+1),월별집계!$C$5:$Z$5,"&lt;="&amp;(설정!$C$20-12)))</f>
        <v/>
      </c>
      <c r="AY104" s="80">
        <f>IF($A104="","",IF(AX104&lt;=0,IF(Q104&gt;0,1,0),Q104/AX104-1))</f>
        <v/>
      </c>
      <c r="AZ104" s="35">
        <f>IF($A104="","",SUMIFS(월별집계!$C104:$Z104,월별집계!$C$5:$Z$5,"&gt;"&amp;(설정!$C$20-12),월별집계!$C$5:$Z$5,"&lt;="&amp;((설정!$C$6-1)*12+12))/MAX(1,12-설정!$C$7))</f>
        <v/>
      </c>
    </row>
    <row r="105">
      <c r="A105" s="12" t="n"/>
      <c r="B105" s="26">
        <f>IF($A105="","",IFERROR(INDEX(부서매핑!$D$5:$D$504,MATCH($A105,부서매핑!$C$5:$C$504,0)),"부서매핑 없음"))</f>
        <v/>
      </c>
      <c r="C105" s="79" t="n"/>
      <c r="D105" s="26">
        <f>IF($A105="","",IFERROR(INDEX(계정매핑!$B$5:$B$504,MATCH($C105&amp;"",계정매핑!$A$5:$A$504,0)),"계정매핑 없음"))</f>
        <v/>
      </c>
      <c r="E105" s="22">
        <f>IF($A105="","",$A105&amp;"|"&amp;$C105)</f>
        <v/>
      </c>
      <c r="F105" s="35">
        <f>IF($A105="","",월별집계!$Z105)</f>
        <v/>
      </c>
      <c r="G105" s="35">
        <f>IF($A105="","",월별집계!$Y105)</f>
        <v/>
      </c>
      <c r="H105" s="80">
        <f>IF($A105="","",IF(G105&lt;=0,IF(F105&gt;0,1,0),F105/G105-1))</f>
        <v/>
      </c>
      <c r="I105" s="35">
        <f>IF($A105="","",월별집계!$N105)</f>
        <v/>
      </c>
      <c r="J105" s="80">
        <f>IF($A105="","",IF(I105&lt;=0,IF(F105&gt;0,1,0),F105/I105-1))</f>
        <v/>
      </c>
      <c r="K105" s="35">
        <f>IF($A105="","",SUMIFS(월별집계!$C105:$Z105,월별집계!$C$5:$Z$5,"&gt;="&amp;설정!$C$22,월별집계!$C$5:$Z$5,"&lt;="&amp;설정!$C$20))</f>
        <v/>
      </c>
      <c r="L105" s="35">
        <f>IF($A105="","",SUMIFS(월별집계!$C105:$Z105,월별집계!$C$5:$Z$5,"&gt;="&amp;(설정!$C$22-3),월별집계!$C$5:$Z$5,"&lt;="&amp;(설정!$C$20-3)))</f>
        <v/>
      </c>
      <c r="M105" s="80">
        <f>IF($A105="","",IF(L105&lt;=0,IF(K105&gt;0,1,0),K105/L105-1))</f>
        <v/>
      </c>
      <c r="N105" s="40">
        <f>IF($A105="","",MAX(F105-G105,F105-I105))</f>
        <v/>
      </c>
      <c r="O105" s="62">
        <f>IF($A105="","",IFERROR((월별집계!$Z105-AVERAGE(월별집계!N105:Y105))/STDEV(월별집계!N105:Y105),0))</f>
        <v/>
      </c>
      <c r="P105" s="35">
        <f>IF($A105="","",SUMIFS(예산판_원본!$O$5:$O$5000,예산판_원본!$L$5:$L$5000,$E105,예산판_원본!$M$5:$M$5000,설정!$C$6))</f>
        <v/>
      </c>
      <c r="Q105" s="35">
        <f>IF($A105="","",SUMIFS(월별집계!$C105:$Z105,월별집계!$C$5:$Z$5,"&gt;="&amp;(설정!$C$6*12+1),월별집계!$C$5:$Z$5,"&lt;="&amp;설정!$C$20))</f>
        <v/>
      </c>
      <c r="R105" s="40">
        <f>IF($A105="","",P105-Q105)</f>
        <v/>
      </c>
      <c r="S105" s="35">
        <f>IF($A105="","",AVERAGE(월별집계!X105:Z105)*(12-설정!$C$7))</f>
        <v/>
      </c>
      <c r="T105" s="35">
        <f>IF($A105="","",IFERROR(Q105/(SUMIFS(월별집계!$C105:$Z105,월별집계!$C$5:$Z$5,"&gt;="&amp;((설정!$C$6-1)*12+1),월별집계!$C$5:$Z$5,"&lt;="&amp;(설정!$C$20-12))/SUMIFS(월별집계!$C105:$Z105,월별집계!$C$5:$Z$5,"&gt;="&amp;((설정!$C$6-1)*12+1),월별집계!$C$5:$Z$5,"&lt;="&amp;((설정!$C$6-1)*12+12)))-Q105,S105))</f>
        <v/>
      </c>
      <c r="U105" s="40">
        <f>IF($A105="","",Q105+MAX(S105,T105))</f>
        <v/>
      </c>
      <c r="V105" s="73">
        <f>IF($A105="","",IF(P105=0,0,U105/P105))</f>
        <v/>
      </c>
      <c r="W105" s="34">
        <f>IF($A105="","",IF(AND(P105=0,Q105&gt;0),"무예산",IF(P105=0,"-",IF(V105&gt;설정!$C$12,"부족 예상",IF(V105&gt;설정!$C$11,"주의","여유")))))</f>
        <v/>
      </c>
      <c r="X105" s="40">
        <f>IF($A105="","",IF(P105=0,0,MAX(0,U105-P105)))</f>
        <v/>
      </c>
      <c r="Y105" s="34">
        <f>IF($A105="","",IF(OR(W105&lt;&gt;"부족 예상",설정!$C$7=12),"",IF(R105&lt;=0,"이미 초과",MIN(12,설정!$C$7+ROUNDUP(R105/(MAX(S105,T105)/(12-설정!$C$7)),0))&amp;"월")))</f>
        <v/>
      </c>
      <c r="Z105" s="26">
        <f>IF($A105="","",TRIM(IF(AND(N(AC105)&gt;=설정!$C$14,N105&gt;=설정!$C$10),"단건"&amp;TEXT(MIN(AC105,1),"0%")&amp;" ","")&amp;IF(AND(N105&gt;0,AD105&gt;0),IF(AD105/N105&gt;=설정!$C$16,"SA대체 ",""),"")&amp;IF(AE105&gt;0,"역분개"&amp;AE105&amp;"건 ","")&amp;IF(O105&gt;=설정!$C$13,"이상치 ","")&amp;IF(AND(I105=0,F105&gt;0),"신규지출 ","")))</f>
        <v/>
      </c>
      <c r="AA105" s="62">
        <f>IF($A105="","",ROUND((AF105+AG105+AH105+AI105)*IF(AND(F105&lt;설정!$C$10,N105&lt;설정!$C$10),0.3,1),1))</f>
        <v/>
      </c>
      <c r="AB105" s="41">
        <f>IF($A105="","",AA105+ROW()/1000000)</f>
        <v/>
      </c>
      <c r="AC105" s="60">
        <f>IF(OR($A105="",N105&lt;=0),"",SUMPRODUCT(MAX((전표_원본!$O$5:$O$100000=$E105)*(전표_원본!$M$5:$M$100000=설정!$C$20)*전표_원본!$P$5:$P$100000))/N105)</f>
        <v/>
      </c>
      <c r="AD105" s="35">
        <f>IF($A105="","",SUMIFS(전표_원본!$P$5:$P$100000,전표_원본!$O$5:$O$100000,$E105,전표_원본!$M$5:$M$100000,설정!$C$20,전표_원본!$E$5:$E$100000,"SA")-SUMIFS(전표_원본!$P$5:$P$100000,전표_원본!$O$5:$O$100000,$E105,전표_원본!$M$5:$M$100000,설정!$C$20-1,전표_원본!$E$5:$E$100000,"SA"))</f>
        <v/>
      </c>
      <c r="AE105" s="81">
        <f>IF($A105="","",COUNTIFS(전표_원본!$O$5:$O$100000,$E105,전표_원본!$M$5:$M$100000,설정!$C$20,전표_원본!$P$5:$P$100000,"&lt;0"))</f>
        <v/>
      </c>
      <c r="AF105" s="62">
        <f>IF($A105="","",MIN(MAX(0,N105)/(설정!$C$10*5),1)*30)</f>
        <v/>
      </c>
      <c r="AG105" s="82">
        <f>IF($A105="","",MIN(MAX(0,H105,J105),1)*20)</f>
        <v/>
      </c>
      <c r="AH105" s="82">
        <f>IF($A105="","",MIN(MAX(0,O105)/3,1)*25)</f>
        <v/>
      </c>
      <c r="AI105" s="82">
        <f>IF($A105="","",IF(OR(W105="부족 예상",W105="무예산",AO105="한도 초과",AO105="초과 예상",AO105="무예산"),25,IF(OR(W105="주의",AO105="주의"),15,0)))</f>
        <v/>
      </c>
      <c r="AJ105" s="35">
        <f>IF($A105="","",SUMIFS(예산판_원본!$O$5:$O$5000,예산판_원본!$L$5:$L$5000,$E105,예산판_원본!$M$5:$M$5000,설정!$C$6,예산판_원본!$N$5:$N$5000,설정!$C$21))</f>
        <v/>
      </c>
      <c r="AK105" s="40">
        <f>IF($A105="","",K105)</f>
        <v/>
      </c>
      <c r="AL105" s="40">
        <f>IF($A105="","",AJ105-AK105)</f>
        <v/>
      </c>
      <c r="AM105" s="35">
        <f>IF($A105="","",AK105+AVERAGE(월별집계!X105:Z105)*MAX(0,설정!$C$22+2-설정!$C$20))</f>
        <v/>
      </c>
      <c r="AN105" s="73">
        <f>IF($A105="","",IF(AJ105=0,0,AM105/AJ105))</f>
        <v/>
      </c>
      <c r="AO105" s="34">
        <f>IF($A105="","",IF(AND(AJ105=0,AK105&gt;0),"무예산",IF(AJ105=0,"-",IF(AK105&gt;AJ105,"한도 초과",IF(AN105&gt;설정!$C$12,"초과 예상",IF(AN105&gt;설정!$C$11,"주의","여유"))))))</f>
        <v/>
      </c>
      <c r="AP105" s="35">
        <f>IF($A105="","",IF(설정!$C$19="최근월",(INDEX(월별집계!$AB105:$AM105,설정!$C$7)-INDEX(월별집계!$AB105:$AM105,MAX(1,설정!$C$7-1))*(설정!$C$7&gt;1)),IF(설정!$C$19="최근분기",((INDEX(월별집계!$AB105:$AM105,설정!$C$7)-INDEX(월별집계!$AB105:$AM105,MAX(1,설정!$C$7-3))*(설정!$C$7&gt;3))/MIN(3,설정!$C$7)),IF(설정!$C$19="전년추세",AZ105,((설정!$C$7+1)*SUMPRODUCT(월별집계!$AB$5:$AM$5,월별집계!$AB105:$AM105)-(설정!$C$7*(설정!$C$7+1)/2)*SUM(월별집계!$AB105:$AM105))/((설정!$C$7+1)*(설정!$C$7*(설정!$C$7+1)*(2*설정!$C$7+1)/6)-(설정!$C$7*(설정!$C$7+1)/2)^2)))))</f>
        <v/>
      </c>
      <c r="AQ105" s="35">
        <f>IF($A105="","",IF(설정!$C$19="연내누적",(SUM(월별집계!$AB105:$AM105)-AP105*(설정!$C$7*(설정!$C$7+1)/2))/(설정!$C$7+1),INDEX(월별집계!$AB105:$AM105,설정!$C$7)-AP105*설정!$C$7))</f>
        <v/>
      </c>
      <c r="AR105" s="40">
        <f>IF($A105="","",AQ105+AP105*12)</f>
        <v/>
      </c>
      <c r="AS105" s="82">
        <f>IF($A105="","",IF(OR(P105&lt;=0,Q105&gt;=P105,AP105&lt;=0),"",MAX(설정!$C$7,(P105-AQ105)/AP105)))</f>
        <v/>
      </c>
      <c r="AT105" s="22">
        <f>IF($A105="","",IF(AS105="",IF(AU105="이미 소진","소진됨",""),YEAR((DATE(설정!$C$6,1,1)+ROUND(AS105*365/12,0)-1))&amp;"-"&amp;TEXT(MONTH((DATE(설정!$C$6,1,1)+ROUND(AS105*365/12,0)-1)),"00")&amp;"-"&amp;TEXT(DAY((DATE(설정!$C$6,1,1)+ROUND(AS105*365/12,0)-1)),"00")))</f>
        <v/>
      </c>
      <c r="AU105" s="34">
        <f>IF($A105="","",IF(AND(P105&lt;=0,Q105&gt;0),"무예산",IF(P105&lt;=0,"-",IF(Q105&gt;=P105,"이미 소진",IF(AP105&lt;=0,"소진 안 됨",IF(AS105&lt;=12,"연내 고갈","연내 여유"))))))</f>
        <v/>
      </c>
      <c r="AV105" s="34">
        <f>IF($A105="","",IF(AJ105&lt;=0,"",IF(AK105&gt;=AJ105,"한도 소진",IF(AK105&lt;=0,"",IF(AJ105/(AK105/(설정!$C$20-설정!$C$22+1))&gt;3,"분기 내 여유",YEAR((DATE(설정!$C$6,설정!$C$22-설정!$C$6*12,1)+ROUND(MAX((설정!$C$20-설정!$C$22+1),AJ105/(AK105/(설정!$C$20-설정!$C$22+1)))*365/12,0)-1))&amp;"-"&amp;TEXT(MONTH((DATE(설정!$C$6,설정!$C$22-설정!$C$6*12,1)+ROUND(MAX((설정!$C$20-설정!$C$22+1),AJ105/(AK105/(설정!$C$20-설정!$C$22+1)))*365/12,0)-1)),"00")&amp;"-"&amp;TEXT(DAY((DATE(설정!$C$6,설정!$C$22-설정!$C$6*12,1)+ROUND(MAX((설정!$C$20-설정!$C$22+1),AJ105/(AK105/(설정!$C$20-설정!$C$22+1)))*365/12,0)-1)),"00"))))))</f>
        <v/>
      </c>
      <c r="AW105" s="41">
        <f>IF($A105="",999+ROW()/1000000,IF(AU105="이미 소진",ROW()/1000000,IF(AU105="연내 고갈",AS105+ROW()/1000000,99+ROW()/1000000)))</f>
        <v/>
      </c>
      <c r="AX105" s="35">
        <f>IF($A105="","",SUMIFS(월별집계!$C105:$Z105,월별집계!$C$5:$Z$5,"&gt;="&amp;((설정!$C$6-1)*12+1),월별집계!$C$5:$Z$5,"&lt;="&amp;(설정!$C$20-12)))</f>
        <v/>
      </c>
      <c r="AY105" s="80">
        <f>IF($A105="","",IF(AX105&lt;=0,IF(Q105&gt;0,1,0),Q105/AX105-1))</f>
        <v/>
      </c>
      <c r="AZ105" s="35">
        <f>IF($A105="","",SUMIFS(월별집계!$C105:$Z105,월별집계!$C$5:$Z$5,"&gt;"&amp;(설정!$C$20-12),월별집계!$C$5:$Z$5,"&lt;="&amp;((설정!$C$6-1)*12+12))/MAX(1,12-설정!$C$7))</f>
        <v/>
      </c>
    </row>
    <row r="106">
      <c r="A106" s="12" t="n"/>
      <c r="B106" s="26">
        <f>IF($A106="","",IFERROR(INDEX(부서매핑!$D$5:$D$504,MATCH($A106,부서매핑!$C$5:$C$504,0)),"부서매핑 없음"))</f>
        <v/>
      </c>
      <c r="C106" s="79" t="n"/>
      <c r="D106" s="26">
        <f>IF($A106="","",IFERROR(INDEX(계정매핑!$B$5:$B$504,MATCH($C106&amp;"",계정매핑!$A$5:$A$504,0)),"계정매핑 없음"))</f>
        <v/>
      </c>
      <c r="E106" s="22">
        <f>IF($A106="","",$A106&amp;"|"&amp;$C106)</f>
        <v/>
      </c>
      <c r="F106" s="35">
        <f>IF($A106="","",월별집계!$Z106)</f>
        <v/>
      </c>
      <c r="G106" s="35">
        <f>IF($A106="","",월별집계!$Y106)</f>
        <v/>
      </c>
      <c r="H106" s="80">
        <f>IF($A106="","",IF(G106&lt;=0,IF(F106&gt;0,1,0),F106/G106-1))</f>
        <v/>
      </c>
      <c r="I106" s="35">
        <f>IF($A106="","",월별집계!$N106)</f>
        <v/>
      </c>
      <c r="J106" s="80">
        <f>IF($A106="","",IF(I106&lt;=0,IF(F106&gt;0,1,0),F106/I106-1))</f>
        <v/>
      </c>
      <c r="K106" s="35">
        <f>IF($A106="","",SUMIFS(월별집계!$C106:$Z106,월별집계!$C$5:$Z$5,"&gt;="&amp;설정!$C$22,월별집계!$C$5:$Z$5,"&lt;="&amp;설정!$C$20))</f>
        <v/>
      </c>
      <c r="L106" s="35">
        <f>IF($A106="","",SUMIFS(월별집계!$C106:$Z106,월별집계!$C$5:$Z$5,"&gt;="&amp;(설정!$C$22-3),월별집계!$C$5:$Z$5,"&lt;="&amp;(설정!$C$20-3)))</f>
        <v/>
      </c>
      <c r="M106" s="80">
        <f>IF($A106="","",IF(L106&lt;=0,IF(K106&gt;0,1,0),K106/L106-1))</f>
        <v/>
      </c>
      <c r="N106" s="40">
        <f>IF($A106="","",MAX(F106-G106,F106-I106))</f>
        <v/>
      </c>
      <c r="O106" s="62">
        <f>IF($A106="","",IFERROR((월별집계!$Z106-AVERAGE(월별집계!N106:Y106))/STDEV(월별집계!N106:Y106),0))</f>
        <v/>
      </c>
      <c r="P106" s="35">
        <f>IF($A106="","",SUMIFS(예산판_원본!$O$5:$O$5000,예산판_원본!$L$5:$L$5000,$E106,예산판_원본!$M$5:$M$5000,설정!$C$6))</f>
        <v/>
      </c>
      <c r="Q106" s="35">
        <f>IF($A106="","",SUMIFS(월별집계!$C106:$Z106,월별집계!$C$5:$Z$5,"&gt;="&amp;(설정!$C$6*12+1),월별집계!$C$5:$Z$5,"&lt;="&amp;설정!$C$20))</f>
        <v/>
      </c>
      <c r="R106" s="40">
        <f>IF($A106="","",P106-Q106)</f>
        <v/>
      </c>
      <c r="S106" s="35">
        <f>IF($A106="","",AVERAGE(월별집계!X106:Z106)*(12-설정!$C$7))</f>
        <v/>
      </c>
      <c r="T106" s="35">
        <f>IF($A106="","",IFERROR(Q106/(SUMIFS(월별집계!$C106:$Z106,월별집계!$C$5:$Z$5,"&gt;="&amp;((설정!$C$6-1)*12+1),월별집계!$C$5:$Z$5,"&lt;="&amp;(설정!$C$20-12))/SUMIFS(월별집계!$C106:$Z106,월별집계!$C$5:$Z$5,"&gt;="&amp;((설정!$C$6-1)*12+1),월별집계!$C$5:$Z$5,"&lt;="&amp;((설정!$C$6-1)*12+12)))-Q106,S106))</f>
        <v/>
      </c>
      <c r="U106" s="40">
        <f>IF($A106="","",Q106+MAX(S106,T106))</f>
        <v/>
      </c>
      <c r="V106" s="73">
        <f>IF($A106="","",IF(P106=0,0,U106/P106))</f>
        <v/>
      </c>
      <c r="W106" s="34">
        <f>IF($A106="","",IF(AND(P106=0,Q106&gt;0),"무예산",IF(P106=0,"-",IF(V106&gt;설정!$C$12,"부족 예상",IF(V106&gt;설정!$C$11,"주의","여유")))))</f>
        <v/>
      </c>
      <c r="X106" s="40">
        <f>IF($A106="","",IF(P106=0,0,MAX(0,U106-P106)))</f>
        <v/>
      </c>
      <c r="Y106" s="34">
        <f>IF($A106="","",IF(OR(W106&lt;&gt;"부족 예상",설정!$C$7=12),"",IF(R106&lt;=0,"이미 초과",MIN(12,설정!$C$7+ROUNDUP(R106/(MAX(S106,T106)/(12-설정!$C$7)),0))&amp;"월")))</f>
        <v/>
      </c>
      <c r="Z106" s="26">
        <f>IF($A106="","",TRIM(IF(AND(N(AC106)&gt;=설정!$C$14,N106&gt;=설정!$C$10),"단건"&amp;TEXT(MIN(AC106,1),"0%")&amp;" ","")&amp;IF(AND(N106&gt;0,AD106&gt;0),IF(AD106/N106&gt;=설정!$C$16,"SA대체 ",""),"")&amp;IF(AE106&gt;0,"역분개"&amp;AE106&amp;"건 ","")&amp;IF(O106&gt;=설정!$C$13,"이상치 ","")&amp;IF(AND(I106=0,F106&gt;0),"신규지출 ","")))</f>
        <v/>
      </c>
      <c r="AA106" s="62">
        <f>IF($A106="","",ROUND((AF106+AG106+AH106+AI106)*IF(AND(F106&lt;설정!$C$10,N106&lt;설정!$C$10),0.3,1),1))</f>
        <v/>
      </c>
      <c r="AB106" s="41">
        <f>IF($A106="","",AA106+ROW()/1000000)</f>
        <v/>
      </c>
      <c r="AC106" s="60">
        <f>IF(OR($A106="",N106&lt;=0),"",SUMPRODUCT(MAX((전표_원본!$O$5:$O$100000=$E106)*(전표_원본!$M$5:$M$100000=설정!$C$20)*전표_원본!$P$5:$P$100000))/N106)</f>
        <v/>
      </c>
      <c r="AD106" s="35">
        <f>IF($A106="","",SUMIFS(전표_원본!$P$5:$P$100000,전표_원본!$O$5:$O$100000,$E106,전표_원본!$M$5:$M$100000,설정!$C$20,전표_원본!$E$5:$E$100000,"SA")-SUMIFS(전표_원본!$P$5:$P$100000,전표_원본!$O$5:$O$100000,$E106,전표_원본!$M$5:$M$100000,설정!$C$20-1,전표_원본!$E$5:$E$100000,"SA"))</f>
        <v/>
      </c>
      <c r="AE106" s="81">
        <f>IF($A106="","",COUNTIFS(전표_원본!$O$5:$O$100000,$E106,전표_원본!$M$5:$M$100000,설정!$C$20,전표_원본!$P$5:$P$100000,"&lt;0"))</f>
        <v/>
      </c>
      <c r="AF106" s="62">
        <f>IF($A106="","",MIN(MAX(0,N106)/(설정!$C$10*5),1)*30)</f>
        <v/>
      </c>
      <c r="AG106" s="82">
        <f>IF($A106="","",MIN(MAX(0,H106,J106),1)*20)</f>
        <v/>
      </c>
      <c r="AH106" s="82">
        <f>IF($A106="","",MIN(MAX(0,O106)/3,1)*25)</f>
        <v/>
      </c>
      <c r="AI106" s="82">
        <f>IF($A106="","",IF(OR(W106="부족 예상",W106="무예산",AO106="한도 초과",AO106="초과 예상",AO106="무예산"),25,IF(OR(W106="주의",AO106="주의"),15,0)))</f>
        <v/>
      </c>
      <c r="AJ106" s="35">
        <f>IF($A106="","",SUMIFS(예산판_원본!$O$5:$O$5000,예산판_원본!$L$5:$L$5000,$E106,예산판_원본!$M$5:$M$5000,설정!$C$6,예산판_원본!$N$5:$N$5000,설정!$C$21))</f>
        <v/>
      </c>
      <c r="AK106" s="40">
        <f>IF($A106="","",K106)</f>
        <v/>
      </c>
      <c r="AL106" s="40">
        <f>IF($A106="","",AJ106-AK106)</f>
        <v/>
      </c>
      <c r="AM106" s="35">
        <f>IF($A106="","",AK106+AVERAGE(월별집계!X106:Z106)*MAX(0,설정!$C$22+2-설정!$C$20))</f>
        <v/>
      </c>
      <c r="AN106" s="73">
        <f>IF($A106="","",IF(AJ106=0,0,AM106/AJ106))</f>
        <v/>
      </c>
      <c r="AO106" s="34">
        <f>IF($A106="","",IF(AND(AJ106=0,AK106&gt;0),"무예산",IF(AJ106=0,"-",IF(AK106&gt;AJ106,"한도 초과",IF(AN106&gt;설정!$C$12,"초과 예상",IF(AN106&gt;설정!$C$11,"주의","여유"))))))</f>
        <v/>
      </c>
      <c r="AP106" s="35">
        <f>IF($A106="","",IF(설정!$C$19="최근월",(INDEX(월별집계!$AB106:$AM106,설정!$C$7)-INDEX(월별집계!$AB106:$AM106,MAX(1,설정!$C$7-1))*(설정!$C$7&gt;1)),IF(설정!$C$19="최근분기",((INDEX(월별집계!$AB106:$AM106,설정!$C$7)-INDEX(월별집계!$AB106:$AM106,MAX(1,설정!$C$7-3))*(설정!$C$7&gt;3))/MIN(3,설정!$C$7)),IF(설정!$C$19="전년추세",AZ106,((설정!$C$7+1)*SUMPRODUCT(월별집계!$AB$5:$AM$5,월별집계!$AB106:$AM106)-(설정!$C$7*(설정!$C$7+1)/2)*SUM(월별집계!$AB106:$AM106))/((설정!$C$7+1)*(설정!$C$7*(설정!$C$7+1)*(2*설정!$C$7+1)/6)-(설정!$C$7*(설정!$C$7+1)/2)^2)))))</f>
        <v/>
      </c>
      <c r="AQ106" s="35">
        <f>IF($A106="","",IF(설정!$C$19="연내누적",(SUM(월별집계!$AB106:$AM106)-AP106*(설정!$C$7*(설정!$C$7+1)/2))/(설정!$C$7+1),INDEX(월별집계!$AB106:$AM106,설정!$C$7)-AP106*설정!$C$7))</f>
        <v/>
      </c>
      <c r="AR106" s="40">
        <f>IF($A106="","",AQ106+AP106*12)</f>
        <v/>
      </c>
      <c r="AS106" s="82">
        <f>IF($A106="","",IF(OR(P106&lt;=0,Q106&gt;=P106,AP106&lt;=0),"",MAX(설정!$C$7,(P106-AQ106)/AP106)))</f>
        <v/>
      </c>
      <c r="AT106" s="22">
        <f>IF($A106="","",IF(AS106="",IF(AU106="이미 소진","소진됨",""),YEAR((DATE(설정!$C$6,1,1)+ROUND(AS106*365/12,0)-1))&amp;"-"&amp;TEXT(MONTH((DATE(설정!$C$6,1,1)+ROUND(AS106*365/12,0)-1)),"00")&amp;"-"&amp;TEXT(DAY((DATE(설정!$C$6,1,1)+ROUND(AS106*365/12,0)-1)),"00")))</f>
        <v/>
      </c>
      <c r="AU106" s="34">
        <f>IF($A106="","",IF(AND(P106&lt;=0,Q106&gt;0),"무예산",IF(P106&lt;=0,"-",IF(Q106&gt;=P106,"이미 소진",IF(AP106&lt;=0,"소진 안 됨",IF(AS106&lt;=12,"연내 고갈","연내 여유"))))))</f>
        <v/>
      </c>
      <c r="AV106" s="34">
        <f>IF($A106="","",IF(AJ106&lt;=0,"",IF(AK106&gt;=AJ106,"한도 소진",IF(AK106&lt;=0,"",IF(AJ106/(AK106/(설정!$C$20-설정!$C$22+1))&gt;3,"분기 내 여유",YEAR((DATE(설정!$C$6,설정!$C$22-설정!$C$6*12,1)+ROUND(MAX((설정!$C$20-설정!$C$22+1),AJ106/(AK106/(설정!$C$20-설정!$C$22+1)))*365/12,0)-1))&amp;"-"&amp;TEXT(MONTH((DATE(설정!$C$6,설정!$C$22-설정!$C$6*12,1)+ROUND(MAX((설정!$C$20-설정!$C$22+1),AJ106/(AK106/(설정!$C$20-설정!$C$22+1)))*365/12,0)-1)),"00")&amp;"-"&amp;TEXT(DAY((DATE(설정!$C$6,설정!$C$22-설정!$C$6*12,1)+ROUND(MAX((설정!$C$20-설정!$C$22+1),AJ106/(AK106/(설정!$C$20-설정!$C$22+1)))*365/12,0)-1)),"00"))))))</f>
        <v/>
      </c>
      <c r="AW106" s="41">
        <f>IF($A106="",999+ROW()/1000000,IF(AU106="이미 소진",ROW()/1000000,IF(AU106="연내 고갈",AS106+ROW()/1000000,99+ROW()/1000000)))</f>
        <v/>
      </c>
      <c r="AX106" s="35">
        <f>IF($A106="","",SUMIFS(월별집계!$C106:$Z106,월별집계!$C$5:$Z$5,"&gt;="&amp;((설정!$C$6-1)*12+1),월별집계!$C$5:$Z$5,"&lt;="&amp;(설정!$C$20-12)))</f>
        <v/>
      </c>
      <c r="AY106" s="80">
        <f>IF($A106="","",IF(AX106&lt;=0,IF(Q106&gt;0,1,0),Q106/AX106-1))</f>
        <v/>
      </c>
      <c r="AZ106" s="35">
        <f>IF($A106="","",SUMIFS(월별집계!$C106:$Z106,월별집계!$C$5:$Z$5,"&gt;"&amp;(설정!$C$20-12),월별집계!$C$5:$Z$5,"&lt;="&amp;((설정!$C$6-1)*12+12))/MAX(1,12-설정!$C$7))</f>
        <v/>
      </c>
    </row>
    <row r="107">
      <c r="A107" s="12" t="n"/>
      <c r="B107" s="26">
        <f>IF($A107="","",IFERROR(INDEX(부서매핑!$D$5:$D$504,MATCH($A107,부서매핑!$C$5:$C$504,0)),"부서매핑 없음"))</f>
        <v/>
      </c>
      <c r="C107" s="79" t="n"/>
      <c r="D107" s="26">
        <f>IF($A107="","",IFERROR(INDEX(계정매핑!$B$5:$B$504,MATCH($C107&amp;"",계정매핑!$A$5:$A$504,0)),"계정매핑 없음"))</f>
        <v/>
      </c>
      <c r="E107" s="22">
        <f>IF($A107="","",$A107&amp;"|"&amp;$C107)</f>
        <v/>
      </c>
      <c r="F107" s="35">
        <f>IF($A107="","",월별집계!$Z107)</f>
        <v/>
      </c>
      <c r="G107" s="35">
        <f>IF($A107="","",월별집계!$Y107)</f>
        <v/>
      </c>
      <c r="H107" s="80">
        <f>IF($A107="","",IF(G107&lt;=0,IF(F107&gt;0,1,0),F107/G107-1))</f>
        <v/>
      </c>
      <c r="I107" s="35">
        <f>IF($A107="","",월별집계!$N107)</f>
        <v/>
      </c>
      <c r="J107" s="80">
        <f>IF($A107="","",IF(I107&lt;=0,IF(F107&gt;0,1,0),F107/I107-1))</f>
        <v/>
      </c>
      <c r="K107" s="35">
        <f>IF($A107="","",SUMIFS(월별집계!$C107:$Z107,월별집계!$C$5:$Z$5,"&gt;="&amp;설정!$C$22,월별집계!$C$5:$Z$5,"&lt;="&amp;설정!$C$20))</f>
        <v/>
      </c>
      <c r="L107" s="35">
        <f>IF($A107="","",SUMIFS(월별집계!$C107:$Z107,월별집계!$C$5:$Z$5,"&gt;="&amp;(설정!$C$22-3),월별집계!$C$5:$Z$5,"&lt;="&amp;(설정!$C$20-3)))</f>
        <v/>
      </c>
      <c r="M107" s="80">
        <f>IF($A107="","",IF(L107&lt;=0,IF(K107&gt;0,1,0),K107/L107-1))</f>
        <v/>
      </c>
      <c r="N107" s="40">
        <f>IF($A107="","",MAX(F107-G107,F107-I107))</f>
        <v/>
      </c>
      <c r="O107" s="62">
        <f>IF($A107="","",IFERROR((월별집계!$Z107-AVERAGE(월별집계!N107:Y107))/STDEV(월별집계!N107:Y107),0))</f>
        <v/>
      </c>
      <c r="P107" s="35">
        <f>IF($A107="","",SUMIFS(예산판_원본!$O$5:$O$5000,예산판_원본!$L$5:$L$5000,$E107,예산판_원본!$M$5:$M$5000,설정!$C$6))</f>
        <v/>
      </c>
      <c r="Q107" s="35">
        <f>IF($A107="","",SUMIFS(월별집계!$C107:$Z107,월별집계!$C$5:$Z$5,"&gt;="&amp;(설정!$C$6*12+1),월별집계!$C$5:$Z$5,"&lt;="&amp;설정!$C$20))</f>
        <v/>
      </c>
      <c r="R107" s="40">
        <f>IF($A107="","",P107-Q107)</f>
        <v/>
      </c>
      <c r="S107" s="35">
        <f>IF($A107="","",AVERAGE(월별집계!X107:Z107)*(12-설정!$C$7))</f>
        <v/>
      </c>
      <c r="T107" s="35">
        <f>IF($A107="","",IFERROR(Q107/(SUMIFS(월별집계!$C107:$Z107,월별집계!$C$5:$Z$5,"&gt;="&amp;((설정!$C$6-1)*12+1),월별집계!$C$5:$Z$5,"&lt;="&amp;(설정!$C$20-12))/SUMIFS(월별집계!$C107:$Z107,월별집계!$C$5:$Z$5,"&gt;="&amp;((설정!$C$6-1)*12+1),월별집계!$C$5:$Z$5,"&lt;="&amp;((설정!$C$6-1)*12+12)))-Q107,S107))</f>
        <v/>
      </c>
      <c r="U107" s="40">
        <f>IF($A107="","",Q107+MAX(S107,T107))</f>
        <v/>
      </c>
      <c r="V107" s="73">
        <f>IF($A107="","",IF(P107=0,0,U107/P107))</f>
        <v/>
      </c>
      <c r="W107" s="34">
        <f>IF($A107="","",IF(AND(P107=0,Q107&gt;0),"무예산",IF(P107=0,"-",IF(V107&gt;설정!$C$12,"부족 예상",IF(V107&gt;설정!$C$11,"주의","여유")))))</f>
        <v/>
      </c>
      <c r="X107" s="40">
        <f>IF($A107="","",IF(P107=0,0,MAX(0,U107-P107)))</f>
        <v/>
      </c>
      <c r="Y107" s="34">
        <f>IF($A107="","",IF(OR(W107&lt;&gt;"부족 예상",설정!$C$7=12),"",IF(R107&lt;=0,"이미 초과",MIN(12,설정!$C$7+ROUNDUP(R107/(MAX(S107,T107)/(12-설정!$C$7)),0))&amp;"월")))</f>
        <v/>
      </c>
      <c r="Z107" s="26">
        <f>IF($A107="","",TRIM(IF(AND(N(AC107)&gt;=설정!$C$14,N107&gt;=설정!$C$10),"단건"&amp;TEXT(MIN(AC107,1),"0%")&amp;" ","")&amp;IF(AND(N107&gt;0,AD107&gt;0),IF(AD107/N107&gt;=설정!$C$16,"SA대체 ",""),"")&amp;IF(AE107&gt;0,"역분개"&amp;AE107&amp;"건 ","")&amp;IF(O107&gt;=설정!$C$13,"이상치 ","")&amp;IF(AND(I107=0,F107&gt;0),"신규지출 ","")))</f>
        <v/>
      </c>
      <c r="AA107" s="62">
        <f>IF($A107="","",ROUND((AF107+AG107+AH107+AI107)*IF(AND(F107&lt;설정!$C$10,N107&lt;설정!$C$10),0.3,1),1))</f>
        <v/>
      </c>
      <c r="AB107" s="41">
        <f>IF($A107="","",AA107+ROW()/1000000)</f>
        <v/>
      </c>
      <c r="AC107" s="60">
        <f>IF(OR($A107="",N107&lt;=0),"",SUMPRODUCT(MAX((전표_원본!$O$5:$O$100000=$E107)*(전표_원본!$M$5:$M$100000=설정!$C$20)*전표_원본!$P$5:$P$100000))/N107)</f>
        <v/>
      </c>
      <c r="AD107" s="35">
        <f>IF($A107="","",SUMIFS(전표_원본!$P$5:$P$100000,전표_원본!$O$5:$O$100000,$E107,전표_원본!$M$5:$M$100000,설정!$C$20,전표_원본!$E$5:$E$100000,"SA")-SUMIFS(전표_원본!$P$5:$P$100000,전표_원본!$O$5:$O$100000,$E107,전표_원본!$M$5:$M$100000,설정!$C$20-1,전표_원본!$E$5:$E$100000,"SA"))</f>
        <v/>
      </c>
      <c r="AE107" s="81">
        <f>IF($A107="","",COUNTIFS(전표_원본!$O$5:$O$100000,$E107,전표_원본!$M$5:$M$100000,설정!$C$20,전표_원본!$P$5:$P$100000,"&lt;0"))</f>
        <v/>
      </c>
      <c r="AF107" s="62">
        <f>IF($A107="","",MIN(MAX(0,N107)/(설정!$C$10*5),1)*30)</f>
        <v/>
      </c>
      <c r="AG107" s="82">
        <f>IF($A107="","",MIN(MAX(0,H107,J107),1)*20)</f>
        <v/>
      </c>
      <c r="AH107" s="82">
        <f>IF($A107="","",MIN(MAX(0,O107)/3,1)*25)</f>
        <v/>
      </c>
      <c r="AI107" s="82">
        <f>IF($A107="","",IF(OR(W107="부족 예상",W107="무예산",AO107="한도 초과",AO107="초과 예상",AO107="무예산"),25,IF(OR(W107="주의",AO107="주의"),15,0)))</f>
        <v/>
      </c>
      <c r="AJ107" s="35">
        <f>IF($A107="","",SUMIFS(예산판_원본!$O$5:$O$5000,예산판_원본!$L$5:$L$5000,$E107,예산판_원본!$M$5:$M$5000,설정!$C$6,예산판_원본!$N$5:$N$5000,설정!$C$21))</f>
        <v/>
      </c>
      <c r="AK107" s="40">
        <f>IF($A107="","",K107)</f>
        <v/>
      </c>
      <c r="AL107" s="40">
        <f>IF($A107="","",AJ107-AK107)</f>
        <v/>
      </c>
      <c r="AM107" s="35">
        <f>IF($A107="","",AK107+AVERAGE(월별집계!X107:Z107)*MAX(0,설정!$C$22+2-설정!$C$20))</f>
        <v/>
      </c>
      <c r="AN107" s="73">
        <f>IF($A107="","",IF(AJ107=0,0,AM107/AJ107))</f>
        <v/>
      </c>
      <c r="AO107" s="34">
        <f>IF($A107="","",IF(AND(AJ107=0,AK107&gt;0),"무예산",IF(AJ107=0,"-",IF(AK107&gt;AJ107,"한도 초과",IF(AN107&gt;설정!$C$12,"초과 예상",IF(AN107&gt;설정!$C$11,"주의","여유"))))))</f>
        <v/>
      </c>
      <c r="AP107" s="35">
        <f>IF($A107="","",IF(설정!$C$19="최근월",(INDEX(월별집계!$AB107:$AM107,설정!$C$7)-INDEX(월별집계!$AB107:$AM107,MAX(1,설정!$C$7-1))*(설정!$C$7&gt;1)),IF(설정!$C$19="최근분기",((INDEX(월별집계!$AB107:$AM107,설정!$C$7)-INDEX(월별집계!$AB107:$AM107,MAX(1,설정!$C$7-3))*(설정!$C$7&gt;3))/MIN(3,설정!$C$7)),IF(설정!$C$19="전년추세",AZ107,((설정!$C$7+1)*SUMPRODUCT(월별집계!$AB$5:$AM$5,월별집계!$AB107:$AM107)-(설정!$C$7*(설정!$C$7+1)/2)*SUM(월별집계!$AB107:$AM107))/((설정!$C$7+1)*(설정!$C$7*(설정!$C$7+1)*(2*설정!$C$7+1)/6)-(설정!$C$7*(설정!$C$7+1)/2)^2)))))</f>
        <v/>
      </c>
      <c r="AQ107" s="35">
        <f>IF($A107="","",IF(설정!$C$19="연내누적",(SUM(월별집계!$AB107:$AM107)-AP107*(설정!$C$7*(설정!$C$7+1)/2))/(설정!$C$7+1),INDEX(월별집계!$AB107:$AM107,설정!$C$7)-AP107*설정!$C$7))</f>
        <v/>
      </c>
      <c r="AR107" s="40">
        <f>IF($A107="","",AQ107+AP107*12)</f>
        <v/>
      </c>
      <c r="AS107" s="82">
        <f>IF($A107="","",IF(OR(P107&lt;=0,Q107&gt;=P107,AP107&lt;=0),"",MAX(설정!$C$7,(P107-AQ107)/AP107)))</f>
        <v/>
      </c>
      <c r="AT107" s="22">
        <f>IF($A107="","",IF(AS107="",IF(AU107="이미 소진","소진됨",""),YEAR((DATE(설정!$C$6,1,1)+ROUND(AS107*365/12,0)-1))&amp;"-"&amp;TEXT(MONTH((DATE(설정!$C$6,1,1)+ROUND(AS107*365/12,0)-1)),"00")&amp;"-"&amp;TEXT(DAY((DATE(설정!$C$6,1,1)+ROUND(AS107*365/12,0)-1)),"00")))</f>
        <v/>
      </c>
      <c r="AU107" s="34">
        <f>IF($A107="","",IF(AND(P107&lt;=0,Q107&gt;0),"무예산",IF(P107&lt;=0,"-",IF(Q107&gt;=P107,"이미 소진",IF(AP107&lt;=0,"소진 안 됨",IF(AS107&lt;=12,"연내 고갈","연내 여유"))))))</f>
        <v/>
      </c>
      <c r="AV107" s="34">
        <f>IF($A107="","",IF(AJ107&lt;=0,"",IF(AK107&gt;=AJ107,"한도 소진",IF(AK107&lt;=0,"",IF(AJ107/(AK107/(설정!$C$20-설정!$C$22+1))&gt;3,"분기 내 여유",YEAR((DATE(설정!$C$6,설정!$C$22-설정!$C$6*12,1)+ROUND(MAX((설정!$C$20-설정!$C$22+1),AJ107/(AK107/(설정!$C$20-설정!$C$22+1)))*365/12,0)-1))&amp;"-"&amp;TEXT(MONTH((DATE(설정!$C$6,설정!$C$22-설정!$C$6*12,1)+ROUND(MAX((설정!$C$20-설정!$C$22+1),AJ107/(AK107/(설정!$C$20-설정!$C$22+1)))*365/12,0)-1)),"00")&amp;"-"&amp;TEXT(DAY((DATE(설정!$C$6,설정!$C$22-설정!$C$6*12,1)+ROUND(MAX((설정!$C$20-설정!$C$22+1),AJ107/(AK107/(설정!$C$20-설정!$C$22+1)))*365/12,0)-1)),"00"))))))</f>
        <v/>
      </c>
      <c r="AW107" s="41">
        <f>IF($A107="",999+ROW()/1000000,IF(AU107="이미 소진",ROW()/1000000,IF(AU107="연내 고갈",AS107+ROW()/1000000,99+ROW()/1000000)))</f>
        <v/>
      </c>
      <c r="AX107" s="35">
        <f>IF($A107="","",SUMIFS(월별집계!$C107:$Z107,월별집계!$C$5:$Z$5,"&gt;="&amp;((설정!$C$6-1)*12+1),월별집계!$C$5:$Z$5,"&lt;="&amp;(설정!$C$20-12)))</f>
        <v/>
      </c>
      <c r="AY107" s="80">
        <f>IF($A107="","",IF(AX107&lt;=0,IF(Q107&gt;0,1,0),Q107/AX107-1))</f>
        <v/>
      </c>
      <c r="AZ107" s="35">
        <f>IF($A107="","",SUMIFS(월별집계!$C107:$Z107,월별집계!$C$5:$Z$5,"&gt;"&amp;(설정!$C$20-12),월별집계!$C$5:$Z$5,"&lt;="&amp;((설정!$C$6-1)*12+12))/MAX(1,12-설정!$C$7))</f>
        <v/>
      </c>
    </row>
    <row r="108">
      <c r="A108" s="12" t="n"/>
      <c r="B108" s="26">
        <f>IF($A108="","",IFERROR(INDEX(부서매핑!$D$5:$D$504,MATCH($A108,부서매핑!$C$5:$C$504,0)),"부서매핑 없음"))</f>
        <v/>
      </c>
      <c r="C108" s="79" t="n"/>
      <c r="D108" s="26">
        <f>IF($A108="","",IFERROR(INDEX(계정매핑!$B$5:$B$504,MATCH($C108&amp;"",계정매핑!$A$5:$A$504,0)),"계정매핑 없음"))</f>
        <v/>
      </c>
      <c r="E108" s="22">
        <f>IF($A108="","",$A108&amp;"|"&amp;$C108)</f>
        <v/>
      </c>
      <c r="F108" s="35">
        <f>IF($A108="","",월별집계!$Z108)</f>
        <v/>
      </c>
      <c r="G108" s="35">
        <f>IF($A108="","",월별집계!$Y108)</f>
        <v/>
      </c>
      <c r="H108" s="80">
        <f>IF($A108="","",IF(G108&lt;=0,IF(F108&gt;0,1,0),F108/G108-1))</f>
        <v/>
      </c>
      <c r="I108" s="35">
        <f>IF($A108="","",월별집계!$N108)</f>
        <v/>
      </c>
      <c r="J108" s="80">
        <f>IF($A108="","",IF(I108&lt;=0,IF(F108&gt;0,1,0),F108/I108-1))</f>
        <v/>
      </c>
      <c r="K108" s="35">
        <f>IF($A108="","",SUMIFS(월별집계!$C108:$Z108,월별집계!$C$5:$Z$5,"&gt;="&amp;설정!$C$22,월별집계!$C$5:$Z$5,"&lt;="&amp;설정!$C$20))</f>
        <v/>
      </c>
      <c r="L108" s="35">
        <f>IF($A108="","",SUMIFS(월별집계!$C108:$Z108,월별집계!$C$5:$Z$5,"&gt;="&amp;(설정!$C$22-3),월별집계!$C$5:$Z$5,"&lt;="&amp;(설정!$C$20-3)))</f>
        <v/>
      </c>
      <c r="M108" s="80">
        <f>IF($A108="","",IF(L108&lt;=0,IF(K108&gt;0,1,0),K108/L108-1))</f>
        <v/>
      </c>
      <c r="N108" s="40">
        <f>IF($A108="","",MAX(F108-G108,F108-I108))</f>
        <v/>
      </c>
      <c r="O108" s="62">
        <f>IF($A108="","",IFERROR((월별집계!$Z108-AVERAGE(월별집계!N108:Y108))/STDEV(월별집계!N108:Y108),0))</f>
        <v/>
      </c>
      <c r="P108" s="35">
        <f>IF($A108="","",SUMIFS(예산판_원본!$O$5:$O$5000,예산판_원본!$L$5:$L$5000,$E108,예산판_원본!$M$5:$M$5000,설정!$C$6))</f>
        <v/>
      </c>
      <c r="Q108" s="35">
        <f>IF($A108="","",SUMIFS(월별집계!$C108:$Z108,월별집계!$C$5:$Z$5,"&gt;="&amp;(설정!$C$6*12+1),월별집계!$C$5:$Z$5,"&lt;="&amp;설정!$C$20))</f>
        <v/>
      </c>
      <c r="R108" s="40">
        <f>IF($A108="","",P108-Q108)</f>
        <v/>
      </c>
      <c r="S108" s="35">
        <f>IF($A108="","",AVERAGE(월별집계!X108:Z108)*(12-설정!$C$7))</f>
        <v/>
      </c>
      <c r="T108" s="35">
        <f>IF($A108="","",IFERROR(Q108/(SUMIFS(월별집계!$C108:$Z108,월별집계!$C$5:$Z$5,"&gt;="&amp;((설정!$C$6-1)*12+1),월별집계!$C$5:$Z$5,"&lt;="&amp;(설정!$C$20-12))/SUMIFS(월별집계!$C108:$Z108,월별집계!$C$5:$Z$5,"&gt;="&amp;((설정!$C$6-1)*12+1),월별집계!$C$5:$Z$5,"&lt;="&amp;((설정!$C$6-1)*12+12)))-Q108,S108))</f>
        <v/>
      </c>
      <c r="U108" s="40">
        <f>IF($A108="","",Q108+MAX(S108,T108))</f>
        <v/>
      </c>
      <c r="V108" s="73">
        <f>IF($A108="","",IF(P108=0,0,U108/P108))</f>
        <v/>
      </c>
      <c r="W108" s="34">
        <f>IF($A108="","",IF(AND(P108=0,Q108&gt;0),"무예산",IF(P108=0,"-",IF(V108&gt;설정!$C$12,"부족 예상",IF(V108&gt;설정!$C$11,"주의","여유")))))</f>
        <v/>
      </c>
      <c r="X108" s="40">
        <f>IF($A108="","",IF(P108=0,0,MAX(0,U108-P108)))</f>
        <v/>
      </c>
      <c r="Y108" s="34">
        <f>IF($A108="","",IF(OR(W108&lt;&gt;"부족 예상",설정!$C$7=12),"",IF(R108&lt;=0,"이미 초과",MIN(12,설정!$C$7+ROUNDUP(R108/(MAX(S108,T108)/(12-설정!$C$7)),0))&amp;"월")))</f>
        <v/>
      </c>
      <c r="Z108" s="26">
        <f>IF($A108="","",TRIM(IF(AND(N(AC108)&gt;=설정!$C$14,N108&gt;=설정!$C$10),"단건"&amp;TEXT(MIN(AC108,1),"0%")&amp;" ","")&amp;IF(AND(N108&gt;0,AD108&gt;0),IF(AD108/N108&gt;=설정!$C$16,"SA대체 ",""),"")&amp;IF(AE108&gt;0,"역분개"&amp;AE108&amp;"건 ","")&amp;IF(O108&gt;=설정!$C$13,"이상치 ","")&amp;IF(AND(I108=0,F108&gt;0),"신규지출 ","")))</f>
        <v/>
      </c>
      <c r="AA108" s="62">
        <f>IF($A108="","",ROUND((AF108+AG108+AH108+AI108)*IF(AND(F108&lt;설정!$C$10,N108&lt;설정!$C$10),0.3,1),1))</f>
        <v/>
      </c>
      <c r="AB108" s="41">
        <f>IF($A108="","",AA108+ROW()/1000000)</f>
        <v/>
      </c>
      <c r="AC108" s="60">
        <f>IF(OR($A108="",N108&lt;=0),"",SUMPRODUCT(MAX((전표_원본!$O$5:$O$100000=$E108)*(전표_원본!$M$5:$M$100000=설정!$C$20)*전표_원본!$P$5:$P$100000))/N108)</f>
        <v/>
      </c>
      <c r="AD108" s="35">
        <f>IF($A108="","",SUMIFS(전표_원본!$P$5:$P$100000,전표_원본!$O$5:$O$100000,$E108,전표_원본!$M$5:$M$100000,설정!$C$20,전표_원본!$E$5:$E$100000,"SA")-SUMIFS(전표_원본!$P$5:$P$100000,전표_원본!$O$5:$O$100000,$E108,전표_원본!$M$5:$M$100000,설정!$C$20-1,전표_원본!$E$5:$E$100000,"SA"))</f>
        <v/>
      </c>
      <c r="AE108" s="81">
        <f>IF($A108="","",COUNTIFS(전표_원본!$O$5:$O$100000,$E108,전표_원본!$M$5:$M$100000,설정!$C$20,전표_원본!$P$5:$P$100000,"&lt;0"))</f>
        <v/>
      </c>
      <c r="AF108" s="62">
        <f>IF($A108="","",MIN(MAX(0,N108)/(설정!$C$10*5),1)*30)</f>
        <v/>
      </c>
      <c r="AG108" s="82">
        <f>IF($A108="","",MIN(MAX(0,H108,J108),1)*20)</f>
        <v/>
      </c>
      <c r="AH108" s="82">
        <f>IF($A108="","",MIN(MAX(0,O108)/3,1)*25)</f>
        <v/>
      </c>
      <c r="AI108" s="82">
        <f>IF($A108="","",IF(OR(W108="부족 예상",W108="무예산",AO108="한도 초과",AO108="초과 예상",AO108="무예산"),25,IF(OR(W108="주의",AO108="주의"),15,0)))</f>
        <v/>
      </c>
      <c r="AJ108" s="35">
        <f>IF($A108="","",SUMIFS(예산판_원본!$O$5:$O$5000,예산판_원본!$L$5:$L$5000,$E108,예산판_원본!$M$5:$M$5000,설정!$C$6,예산판_원본!$N$5:$N$5000,설정!$C$21))</f>
        <v/>
      </c>
      <c r="AK108" s="40">
        <f>IF($A108="","",K108)</f>
        <v/>
      </c>
      <c r="AL108" s="40">
        <f>IF($A108="","",AJ108-AK108)</f>
        <v/>
      </c>
      <c r="AM108" s="35">
        <f>IF($A108="","",AK108+AVERAGE(월별집계!X108:Z108)*MAX(0,설정!$C$22+2-설정!$C$20))</f>
        <v/>
      </c>
      <c r="AN108" s="73">
        <f>IF($A108="","",IF(AJ108=0,0,AM108/AJ108))</f>
        <v/>
      </c>
      <c r="AO108" s="34">
        <f>IF($A108="","",IF(AND(AJ108=0,AK108&gt;0),"무예산",IF(AJ108=0,"-",IF(AK108&gt;AJ108,"한도 초과",IF(AN108&gt;설정!$C$12,"초과 예상",IF(AN108&gt;설정!$C$11,"주의","여유"))))))</f>
        <v/>
      </c>
      <c r="AP108" s="35">
        <f>IF($A108="","",IF(설정!$C$19="최근월",(INDEX(월별집계!$AB108:$AM108,설정!$C$7)-INDEX(월별집계!$AB108:$AM108,MAX(1,설정!$C$7-1))*(설정!$C$7&gt;1)),IF(설정!$C$19="최근분기",((INDEX(월별집계!$AB108:$AM108,설정!$C$7)-INDEX(월별집계!$AB108:$AM108,MAX(1,설정!$C$7-3))*(설정!$C$7&gt;3))/MIN(3,설정!$C$7)),IF(설정!$C$19="전년추세",AZ108,((설정!$C$7+1)*SUMPRODUCT(월별집계!$AB$5:$AM$5,월별집계!$AB108:$AM108)-(설정!$C$7*(설정!$C$7+1)/2)*SUM(월별집계!$AB108:$AM108))/((설정!$C$7+1)*(설정!$C$7*(설정!$C$7+1)*(2*설정!$C$7+1)/6)-(설정!$C$7*(설정!$C$7+1)/2)^2)))))</f>
        <v/>
      </c>
      <c r="AQ108" s="35">
        <f>IF($A108="","",IF(설정!$C$19="연내누적",(SUM(월별집계!$AB108:$AM108)-AP108*(설정!$C$7*(설정!$C$7+1)/2))/(설정!$C$7+1),INDEX(월별집계!$AB108:$AM108,설정!$C$7)-AP108*설정!$C$7))</f>
        <v/>
      </c>
      <c r="AR108" s="40">
        <f>IF($A108="","",AQ108+AP108*12)</f>
        <v/>
      </c>
      <c r="AS108" s="82">
        <f>IF($A108="","",IF(OR(P108&lt;=0,Q108&gt;=P108,AP108&lt;=0),"",MAX(설정!$C$7,(P108-AQ108)/AP108)))</f>
        <v/>
      </c>
      <c r="AT108" s="22">
        <f>IF($A108="","",IF(AS108="",IF(AU108="이미 소진","소진됨",""),YEAR((DATE(설정!$C$6,1,1)+ROUND(AS108*365/12,0)-1))&amp;"-"&amp;TEXT(MONTH((DATE(설정!$C$6,1,1)+ROUND(AS108*365/12,0)-1)),"00")&amp;"-"&amp;TEXT(DAY((DATE(설정!$C$6,1,1)+ROUND(AS108*365/12,0)-1)),"00")))</f>
        <v/>
      </c>
      <c r="AU108" s="34">
        <f>IF($A108="","",IF(AND(P108&lt;=0,Q108&gt;0),"무예산",IF(P108&lt;=0,"-",IF(Q108&gt;=P108,"이미 소진",IF(AP108&lt;=0,"소진 안 됨",IF(AS108&lt;=12,"연내 고갈","연내 여유"))))))</f>
        <v/>
      </c>
      <c r="AV108" s="34">
        <f>IF($A108="","",IF(AJ108&lt;=0,"",IF(AK108&gt;=AJ108,"한도 소진",IF(AK108&lt;=0,"",IF(AJ108/(AK108/(설정!$C$20-설정!$C$22+1))&gt;3,"분기 내 여유",YEAR((DATE(설정!$C$6,설정!$C$22-설정!$C$6*12,1)+ROUND(MAX((설정!$C$20-설정!$C$22+1),AJ108/(AK108/(설정!$C$20-설정!$C$22+1)))*365/12,0)-1))&amp;"-"&amp;TEXT(MONTH((DATE(설정!$C$6,설정!$C$22-설정!$C$6*12,1)+ROUND(MAX((설정!$C$20-설정!$C$22+1),AJ108/(AK108/(설정!$C$20-설정!$C$22+1)))*365/12,0)-1)),"00")&amp;"-"&amp;TEXT(DAY((DATE(설정!$C$6,설정!$C$22-설정!$C$6*12,1)+ROUND(MAX((설정!$C$20-설정!$C$22+1),AJ108/(AK108/(설정!$C$20-설정!$C$22+1)))*365/12,0)-1)),"00"))))))</f>
        <v/>
      </c>
      <c r="AW108" s="41">
        <f>IF($A108="",999+ROW()/1000000,IF(AU108="이미 소진",ROW()/1000000,IF(AU108="연내 고갈",AS108+ROW()/1000000,99+ROW()/1000000)))</f>
        <v/>
      </c>
      <c r="AX108" s="35">
        <f>IF($A108="","",SUMIFS(월별집계!$C108:$Z108,월별집계!$C$5:$Z$5,"&gt;="&amp;((설정!$C$6-1)*12+1),월별집계!$C$5:$Z$5,"&lt;="&amp;(설정!$C$20-12)))</f>
        <v/>
      </c>
      <c r="AY108" s="80">
        <f>IF($A108="","",IF(AX108&lt;=0,IF(Q108&gt;0,1,0),Q108/AX108-1))</f>
        <v/>
      </c>
      <c r="AZ108" s="35">
        <f>IF($A108="","",SUMIFS(월별집계!$C108:$Z108,월별집계!$C$5:$Z$5,"&gt;"&amp;(설정!$C$20-12),월별집계!$C$5:$Z$5,"&lt;="&amp;((설정!$C$6-1)*12+12))/MAX(1,12-설정!$C$7))</f>
        <v/>
      </c>
    </row>
    <row r="109">
      <c r="A109" s="12" t="n"/>
      <c r="B109" s="26">
        <f>IF($A109="","",IFERROR(INDEX(부서매핑!$D$5:$D$504,MATCH($A109,부서매핑!$C$5:$C$504,0)),"부서매핑 없음"))</f>
        <v/>
      </c>
      <c r="C109" s="79" t="n"/>
      <c r="D109" s="26">
        <f>IF($A109="","",IFERROR(INDEX(계정매핑!$B$5:$B$504,MATCH($C109&amp;"",계정매핑!$A$5:$A$504,0)),"계정매핑 없음"))</f>
        <v/>
      </c>
      <c r="E109" s="22">
        <f>IF($A109="","",$A109&amp;"|"&amp;$C109)</f>
        <v/>
      </c>
      <c r="F109" s="35">
        <f>IF($A109="","",월별집계!$Z109)</f>
        <v/>
      </c>
      <c r="G109" s="35">
        <f>IF($A109="","",월별집계!$Y109)</f>
        <v/>
      </c>
      <c r="H109" s="80">
        <f>IF($A109="","",IF(G109&lt;=0,IF(F109&gt;0,1,0),F109/G109-1))</f>
        <v/>
      </c>
      <c r="I109" s="35">
        <f>IF($A109="","",월별집계!$N109)</f>
        <v/>
      </c>
      <c r="J109" s="80">
        <f>IF($A109="","",IF(I109&lt;=0,IF(F109&gt;0,1,0),F109/I109-1))</f>
        <v/>
      </c>
      <c r="K109" s="35">
        <f>IF($A109="","",SUMIFS(월별집계!$C109:$Z109,월별집계!$C$5:$Z$5,"&gt;="&amp;설정!$C$22,월별집계!$C$5:$Z$5,"&lt;="&amp;설정!$C$20))</f>
        <v/>
      </c>
      <c r="L109" s="35">
        <f>IF($A109="","",SUMIFS(월별집계!$C109:$Z109,월별집계!$C$5:$Z$5,"&gt;="&amp;(설정!$C$22-3),월별집계!$C$5:$Z$5,"&lt;="&amp;(설정!$C$20-3)))</f>
        <v/>
      </c>
      <c r="M109" s="80">
        <f>IF($A109="","",IF(L109&lt;=0,IF(K109&gt;0,1,0),K109/L109-1))</f>
        <v/>
      </c>
      <c r="N109" s="40">
        <f>IF($A109="","",MAX(F109-G109,F109-I109))</f>
        <v/>
      </c>
      <c r="O109" s="62">
        <f>IF($A109="","",IFERROR((월별집계!$Z109-AVERAGE(월별집계!N109:Y109))/STDEV(월별집계!N109:Y109),0))</f>
        <v/>
      </c>
      <c r="P109" s="35">
        <f>IF($A109="","",SUMIFS(예산판_원본!$O$5:$O$5000,예산판_원본!$L$5:$L$5000,$E109,예산판_원본!$M$5:$M$5000,설정!$C$6))</f>
        <v/>
      </c>
      <c r="Q109" s="35">
        <f>IF($A109="","",SUMIFS(월별집계!$C109:$Z109,월별집계!$C$5:$Z$5,"&gt;="&amp;(설정!$C$6*12+1),월별집계!$C$5:$Z$5,"&lt;="&amp;설정!$C$20))</f>
        <v/>
      </c>
      <c r="R109" s="40">
        <f>IF($A109="","",P109-Q109)</f>
        <v/>
      </c>
      <c r="S109" s="35">
        <f>IF($A109="","",AVERAGE(월별집계!X109:Z109)*(12-설정!$C$7))</f>
        <v/>
      </c>
      <c r="T109" s="35">
        <f>IF($A109="","",IFERROR(Q109/(SUMIFS(월별집계!$C109:$Z109,월별집계!$C$5:$Z$5,"&gt;="&amp;((설정!$C$6-1)*12+1),월별집계!$C$5:$Z$5,"&lt;="&amp;(설정!$C$20-12))/SUMIFS(월별집계!$C109:$Z109,월별집계!$C$5:$Z$5,"&gt;="&amp;((설정!$C$6-1)*12+1),월별집계!$C$5:$Z$5,"&lt;="&amp;((설정!$C$6-1)*12+12)))-Q109,S109))</f>
        <v/>
      </c>
      <c r="U109" s="40">
        <f>IF($A109="","",Q109+MAX(S109,T109))</f>
        <v/>
      </c>
      <c r="V109" s="73">
        <f>IF($A109="","",IF(P109=0,0,U109/P109))</f>
        <v/>
      </c>
      <c r="W109" s="34">
        <f>IF($A109="","",IF(AND(P109=0,Q109&gt;0),"무예산",IF(P109=0,"-",IF(V109&gt;설정!$C$12,"부족 예상",IF(V109&gt;설정!$C$11,"주의","여유")))))</f>
        <v/>
      </c>
      <c r="X109" s="40">
        <f>IF($A109="","",IF(P109=0,0,MAX(0,U109-P109)))</f>
        <v/>
      </c>
      <c r="Y109" s="34">
        <f>IF($A109="","",IF(OR(W109&lt;&gt;"부족 예상",설정!$C$7=12),"",IF(R109&lt;=0,"이미 초과",MIN(12,설정!$C$7+ROUNDUP(R109/(MAX(S109,T109)/(12-설정!$C$7)),0))&amp;"월")))</f>
        <v/>
      </c>
      <c r="Z109" s="26">
        <f>IF($A109="","",TRIM(IF(AND(N(AC109)&gt;=설정!$C$14,N109&gt;=설정!$C$10),"단건"&amp;TEXT(MIN(AC109,1),"0%")&amp;" ","")&amp;IF(AND(N109&gt;0,AD109&gt;0),IF(AD109/N109&gt;=설정!$C$16,"SA대체 ",""),"")&amp;IF(AE109&gt;0,"역분개"&amp;AE109&amp;"건 ","")&amp;IF(O109&gt;=설정!$C$13,"이상치 ","")&amp;IF(AND(I109=0,F109&gt;0),"신규지출 ","")))</f>
        <v/>
      </c>
      <c r="AA109" s="62">
        <f>IF($A109="","",ROUND((AF109+AG109+AH109+AI109)*IF(AND(F109&lt;설정!$C$10,N109&lt;설정!$C$10),0.3,1),1))</f>
        <v/>
      </c>
      <c r="AB109" s="41">
        <f>IF($A109="","",AA109+ROW()/1000000)</f>
        <v/>
      </c>
      <c r="AC109" s="60">
        <f>IF(OR($A109="",N109&lt;=0),"",SUMPRODUCT(MAX((전표_원본!$O$5:$O$100000=$E109)*(전표_원본!$M$5:$M$100000=설정!$C$20)*전표_원본!$P$5:$P$100000))/N109)</f>
        <v/>
      </c>
      <c r="AD109" s="35">
        <f>IF($A109="","",SUMIFS(전표_원본!$P$5:$P$100000,전표_원본!$O$5:$O$100000,$E109,전표_원본!$M$5:$M$100000,설정!$C$20,전표_원본!$E$5:$E$100000,"SA")-SUMIFS(전표_원본!$P$5:$P$100000,전표_원본!$O$5:$O$100000,$E109,전표_원본!$M$5:$M$100000,설정!$C$20-1,전표_원본!$E$5:$E$100000,"SA"))</f>
        <v/>
      </c>
      <c r="AE109" s="81">
        <f>IF($A109="","",COUNTIFS(전표_원본!$O$5:$O$100000,$E109,전표_원본!$M$5:$M$100000,설정!$C$20,전표_원본!$P$5:$P$100000,"&lt;0"))</f>
        <v/>
      </c>
      <c r="AF109" s="62">
        <f>IF($A109="","",MIN(MAX(0,N109)/(설정!$C$10*5),1)*30)</f>
        <v/>
      </c>
      <c r="AG109" s="82">
        <f>IF($A109="","",MIN(MAX(0,H109,J109),1)*20)</f>
        <v/>
      </c>
      <c r="AH109" s="82">
        <f>IF($A109="","",MIN(MAX(0,O109)/3,1)*25)</f>
        <v/>
      </c>
      <c r="AI109" s="82">
        <f>IF($A109="","",IF(OR(W109="부족 예상",W109="무예산",AO109="한도 초과",AO109="초과 예상",AO109="무예산"),25,IF(OR(W109="주의",AO109="주의"),15,0)))</f>
        <v/>
      </c>
      <c r="AJ109" s="35">
        <f>IF($A109="","",SUMIFS(예산판_원본!$O$5:$O$5000,예산판_원본!$L$5:$L$5000,$E109,예산판_원본!$M$5:$M$5000,설정!$C$6,예산판_원본!$N$5:$N$5000,설정!$C$21))</f>
        <v/>
      </c>
      <c r="AK109" s="40">
        <f>IF($A109="","",K109)</f>
        <v/>
      </c>
      <c r="AL109" s="40">
        <f>IF($A109="","",AJ109-AK109)</f>
        <v/>
      </c>
      <c r="AM109" s="35">
        <f>IF($A109="","",AK109+AVERAGE(월별집계!X109:Z109)*MAX(0,설정!$C$22+2-설정!$C$20))</f>
        <v/>
      </c>
      <c r="AN109" s="73">
        <f>IF($A109="","",IF(AJ109=0,0,AM109/AJ109))</f>
        <v/>
      </c>
      <c r="AO109" s="34">
        <f>IF($A109="","",IF(AND(AJ109=0,AK109&gt;0),"무예산",IF(AJ109=0,"-",IF(AK109&gt;AJ109,"한도 초과",IF(AN109&gt;설정!$C$12,"초과 예상",IF(AN109&gt;설정!$C$11,"주의","여유"))))))</f>
        <v/>
      </c>
      <c r="AP109" s="35">
        <f>IF($A109="","",IF(설정!$C$19="최근월",(INDEX(월별집계!$AB109:$AM109,설정!$C$7)-INDEX(월별집계!$AB109:$AM109,MAX(1,설정!$C$7-1))*(설정!$C$7&gt;1)),IF(설정!$C$19="최근분기",((INDEX(월별집계!$AB109:$AM109,설정!$C$7)-INDEX(월별집계!$AB109:$AM109,MAX(1,설정!$C$7-3))*(설정!$C$7&gt;3))/MIN(3,설정!$C$7)),IF(설정!$C$19="전년추세",AZ109,((설정!$C$7+1)*SUMPRODUCT(월별집계!$AB$5:$AM$5,월별집계!$AB109:$AM109)-(설정!$C$7*(설정!$C$7+1)/2)*SUM(월별집계!$AB109:$AM109))/((설정!$C$7+1)*(설정!$C$7*(설정!$C$7+1)*(2*설정!$C$7+1)/6)-(설정!$C$7*(설정!$C$7+1)/2)^2)))))</f>
        <v/>
      </c>
      <c r="AQ109" s="35">
        <f>IF($A109="","",IF(설정!$C$19="연내누적",(SUM(월별집계!$AB109:$AM109)-AP109*(설정!$C$7*(설정!$C$7+1)/2))/(설정!$C$7+1),INDEX(월별집계!$AB109:$AM109,설정!$C$7)-AP109*설정!$C$7))</f>
        <v/>
      </c>
      <c r="AR109" s="40">
        <f>IF($A109="","",AQ109+AP109*12)</f>
        <v/>
      </c>
      <c r="AS109" s="82">
        <f>IF($A109="","",IF(OR(P109&lt;=0,Q109&gt;=P109,AP109&lt;=0),"",MAX(설정!$C$7,(P109-AQ109)/AP109)))</f>
        <v/>
      </c>
      <c r="AT109" s="22">
        <f>IF($A109="","",IF(AS109="",IF(AU109="이미 소진","소진됨",""),YEAR((DATE(설정!$C$6,1,1)+ROUND(AS109*365/12,0)-1))&amp;"-"&amp;TEXT(MONTH((DATE(설정!$C$6,1,1)+ROUND(AS109*365/12,0)-1)),"00")&amp;"-"&amp;TEXT(DAY((DATE(설정!$C$6,1,1)+ROUND(AS109*365/12,0)-1)),"00")))</f>
        <v/>
      </c>
      <c r="AU109" s="34">
        <f>IF($A109="","",IF(AND(P109&lt;=0,Q109&gt;0),"무예산",IF(P109&lt;=0,"-",IF(Q109&gt;=P109,"이미 소진",IF(AP109&lt;=0,"소진 안 됨",IF(AS109&lt;=12,"연내 고갈","연내 여유"))))))</f>
        <v/>
      </c>
      <c r="AV109" s="34">
        <f>IF($A109="","",IF(AJ109&lt;=0,"",IF(AK109&gt;=AJ109,"한도 소진",IF(AK109&lt;=0,"",IF(AJ109/(AK109/(설정!$C$20-설정!$C$22+1))&gt;3,"분기 내 여유",YEAR((DATE(설정!$C$6,설정!$C$22-설정!$C$6*12,1)+ROUND(MAX((설정!$C$20-설정!$C$22+1),AJ109/(AK109/(설정!$C$20-설정!$C$22+1)))*365/12,0)-1))&amp;"-"&amp;TEXT(MONTH((DATE(설정!$C$6,설정!$C$22-설정!$C$6*12,1)+ROUND(MAX((설정!$C$20-설정!$C$22+1),AJ109/(AK109/(설정!$C$20-설정!$C$22+1)))*365/12,0)-1)),"00")&amp;"-"&amp;TEXT(DAY((DATE(설정!$C$6,설정!$C$22-설정!$C$6*12,1)+ROUND(MAX((설정!$C$20-설정!$C$22+1),AJ109/(AK109/(설정!$C$20-설정!$C$22+1)))*365/12,0)-1)),"00"))))))</f>
        <v/>
      </c>
      <c r="AW109" s="41">
        <f>IF($A109="",999+ROW()/1000000,IF(AU109="이미 소진",ROW()/1000000,IF(AU109="연내 고갈",AS109+ROW()/1000000,99+ROW()/1000000)))</f>
        <v/>
      </c>
      <c r="AX109" s="35">
        <f>IF($A109="","",SUMIFS(월별집계!$C109:$Z109,월별집계!$C$5:$Z$5,"&gt;="&amp;((설정!$C$6-1)*12+1),월별집계!$C$5:$Z$5,"&lt;="&amp;(설정!$C$20-12)))</f>
        <v/>
      </c>
      <c r="AY109" s="80">
        <f>IF($A109="","",IF(AX109&lt;=0,IF(Q109&gt;0,1,0),Q109/AX109-1))</f>
        <v/>
      </c>
      <c r="AZ109" s="35">
        <f>IF($A109="","",SUMIFS(월별집계!$C109:$Z109,월별집계!$C$5:$Z$5,"&gt;"&amp;(설정!$C$20-12),월별집계!$C$5:$Z$5,"&lt;="&amp;((설정!$C$6-1)*12+12))/MAX(1,12-설정!$C$7))</f>
        <v/>
      </c>
    </row>
    <row r="110">
      <c r="A110" s="12" t="n"/>
      <c r="B110" s="26">
        <f>IF($A110="","",IFERROR(INDEX(부서매핑!$D$5:$D$504,MATCH($A110,부서매핑!$C$5:$C$504,0)),"부서매핑 없음"))</f>
        <v/>
      </c>
      <c r="C110" s="79" t="n"/>
      <c r="D110" s="26">
        <f>IF($A110="","",IFERROR(INDEX(계정매핑!$B$5:$B$504,MATCH($C110&amp;"",계정매핑!$A$5:$A$504,0)),"계정매핑 없음"))</f>
        <v/>
      </c>
      <c r="E110" s="22">
        <f>IF($A110="","",$A110&amp;"|"&amp;$C110)</f>
        <v/>
      </c>
      <c r="F110" s="35">
        <f>IF($A110="","",월별집계!$Z110)</f>
        <v/>
      </c>
      <c r="G110" s="35">
        <f>IF($A110="","",월별집계!$Y110)</f>
        <v/>
      </c>
      <c r="H110" s="80">
        <f>IF($A110="","",IF(G110&lt;=0,IF(F110&gt;0,1,0),F110/G110-1))</f>
        <v/>
      </c>
      <c r="I110" s="35">
        <f>IF($A110="","",월별집계!$N110)</f>
        <v/>
      </c>
      <c r="J110" s="80">
        <f>IF($A110="","",IF(I110&lt;=0,IF(F110&gt;0,1,0),F110/I110-1))</f>
        <v/>
      </c>
      <c r="K110" s="35">
        <f>IF($A110="","",SUMIFS(월별집계!$C110:$Z110,월별집계!$C$5:$Z$5,"&gt;="&amp;설정!$C$22,월별집계!$C$5:$Z$5,"&lt;="&amp;설정!$C$20))</f>
        <v/>
      </c>
      <c r="L110" s="35">
        <f>IF($A110="","",SUMIFS(월별집계!$C110:$Z110,월별집계!$C$5:$Z$5,"&gt;="&amp;(설정!$C$22-3),월별집계!$C$5:$Z$5,"&lt;="&amp;(설정!$C$20-3)))</f>
        <v/>
      </c>
      <c r="M110" s="80">
        <f>IF($A110="","",IF(L110&lt;=0,IF(K110&gt;0,1,0),K110/L110-1))</f>
        <v/>
      </c>
      <c r="N110" s="40">
        <f>IF($A110="","",MAX(F110-G110,F110-I110))</f>
        <v/>
      </c>
      <c r="O110" s="62">
        <f>IF($A110="","",IFERROR((월별집계!$Z110-AVERAGE(월별집계!N110:Y110))/STDEV(월별집계!N110:Y110),0))</f>
        <v/>
      </c>
      <c r="P110" s="35">
        <f>IF($A110="","",SUMIFS(예산판_원본!$O$5:$O$5000,예산판_원본!$L$5:$L$5000,$E110,예산판_원본!$M$5:$M$5000,설정!$C$6))</f>
        <v/>
      </c>
      <c r="Q110" s="35">
        <f>IF($A110="","",SUMIFS(월별집계!$C110:$Z110,월별집계!$C$5:$Z$5,"&gt;="&amp;(설정!$C$6*12+1),월별집계!$C$5:$Z$5,"&lt;="&amp;설정!$C$20))</f>
        <v/>
      </c>
      <c r="R110" s="40">
        <f>IF($A110="","",P110-Q110)</f>
        <v/>
      </c>
      <c r="S110" s="35">
        <f>IF($A110="","",AVERAGE(월별집계!X110:Z110)*(12-설정!$C$7))</f>
        <v/>
      </c>
      <c r="T110" s="35">
        <f>IF($A110="","",IFERROR(Q110/(SUMIFS(월별집계!$C110:$Z110,월별집계!$C$5:$Z$5,"&gt;="&amp;((설정!$C$6-1)*12+1),월별집계!$C$5:$Z$5,"&lt;="&amp;(설정!$C$20-12))/SUMIFS(월별집계!$C110:$Z110,월별집계!$C$5:$Z$5,"&gt;="&amp;((설정!$C$6-1)*12+1),월별집계!$C$5:$Z$5,"&lt;="&amp;((설정!$C$6-1)*12+12)))-Q110,S110))</f>
        <v/>
      </c>
      <c r="U110" s="40">
        <f>IF($A110="","",Q110+MAX(S110,T110))</f>
        <v/>
      </c>
      <c r="V110" s="73">
        <f>IF($A110="","",IF(P110=0,0,U110/P110))</f>
        <v/>
      </c>
      <c r="W110" s="34">
        <f>IF($A110="","",IF(AND(P110=0,Q110&gt;0),"무예산",IF(P110=0,"-",IF(V110&gt;설정!$C$12,"부족 예상",IF(V110&gt;설정!$C$11,"주의","여유")))))</f>
        <v/>
      </c>
      <c r="X110" s="40">
        <f>IF($A110="","",IF(P110=0,0,MAX(0,U110-P110)))</f>
        <v/>
      </c>
      <c r="Y110" s="34">
        <f>IF($A110="","",IF(OR(W110&lt;&gt;"부족 예상",설정!$C$7=12),"",IF(R110&lt;=0,"이미 초과",MIN(12,설정!$C$7+ROUNDUP(R110/(MAX(S110,T110)/(12-설정!$C$7)),0))&amp;"월")))</f>
        <v/>
      </c>
      <c r="Z110" s="26">
        <f>IF($A110="","",TRIM(IF(AND(N(AC110)&gt;=설정!$C$14,N110&gt;=설정!$C$10),"단건"&amp;TEXT(MIN(AC110,1),"0%")&amp;" ","")&amp;IF(AND(N110&gt;0,AD110&gt;0),IF(AD110/N110&gt;=설정!$C$16,"SA대체 ",""),"")&amp;IF(AE110&gt;0,"역분개"&amp;AE110&amp;"건 ","")&amp;IF(O110&gt;=설정!$C$13,"이상치 ","")&amp;IF(AND(I110=0,F110&gt;0),"신규지출 ","")))</f>
        <v/>
      </c>
      <c r="AA110" s="62">
        <f>IF($A110="","",ROUND((AF110+AG110+AH110+AI110)*IF(AND(F110&lt;설정!$C$10,N110&lt;설정!$C$10),0.3,1),1))</f>
        <v/>
      </c>
      <c r="AB110" s="41">
        <f>IF($A110="","",AA110+ROW()/1000000)</f>
        <v/>
      </c>
      <c r="AC110" s="60">
        <f>IF(OR($A110="",N110&lt;=0),"",SUMPRODUCT(MAX((전표_원본!$O$5:$O$100000=$E110)*(전표_원본!$M$5:$M$100000=설정!$C$20)*전표_원본!$P$5:$P$100000))/N110)</f>
        <v/>
      </c>
      <c r="AD110" s="35">
        <f>IF($A110="","",SUMIFS(전표_원본!$P$5:$P$100000,전표_원본!$O$5:$O$100000,$E110,전표_원본!$M$5:$M$100000,설정!$C$20,전표_원본!$E$5:$E$100000,"SA")-SUMIFS(전표_원본!$P$5:$P$100000,전표_원본!$O$5:$O$100000,$E110,전표_원본!$M$5:$M$100000,설정!$C$20-1,전표_원본!$E$5:$E$100000,"SA"))</f>
        <v/>
      </c>
      <c r="AE110" s="81">
        <f>IF($A110="","",COUNTIFS(전표_원본!$O$5:$O$100000,$E110,전표_원본!$M$5:$M$100000,설정!$C$20,전표_원본!$P$5:$P$100000,"&lt;0"))</f>
        <v/>
      </c>
      <c r="AF110" s="62">
        <f>IF($A110="","",MIN(MAX(0,N110)/(설정!$C$10*5),1)*30)</f>
        <v/>
      </c>
      <c r="AG110" s="82">
        <f>IF($A110="","",MIN(MAX(0,H110,J110),1)*20)</f>
        <v/>
      </c>
      <c r="AH110" s="82">
        <f>IF($A110="","",MIN(MAX(0,O110)/3,1)*25)</f>
        <v/>
      </c>
      <c r="AI110" s="82">
        <f>IF($A110="","",IF(OR(W110="부족 예상",W110="무예산",AO110="한도 초과",AO110="초과 예상",AO110="무예산"),25,IF(OR(W110="주의",AO110="주의"),15,0)))</f>
        <v/>
      </c>
      <c r="AJ110" s="35">
        <f>IF($A110="","",SUMIFS(예산판_원본!$O$5:$O$5000,예산판_원본!$L$5:$L$5000,$E110,예산판_원본!$M$5:$M$5000,설정!$C$6,예산판_원본!$N$5:$N$5000,설정!$C$21))</f>
        <v/>
      </c>
      <c r="AK110" s="40">
        <f>IF($A110="","",K110)</f>
        <v/>
      </c>
      <c r="AL110" s="40">
        <f>IF($A110="","",AJ110-AK110)</f>
        <v/>
      </c>
      <c r="AM110" s="35">
        <f>IF($A110="","",AK110+AVERAGE(월별집계!X110:Z110)*MAX(0,설정!$C$22+2-설정!$C$20))</f>
        <v/>
      </c>
      <c r="AN110" s="73">
        <f>IF($A110="","",IF(AJ110=0,0,AM110/AJ110))</f>
        <v/>
      </c>
      <c r="AO110" s="34">
        <f>IF($A110="","",IF(AND(AJ110=0,AK110&gt;0),"무예산",IF(AJ110=0,"-",IF(AK110&gt;AJ110,"한도 초과",IF(AN110&gt;설정!$C$12,"초과 예상",IF(AN110&gt;설정!$C$11,"주의","여유"))))))</f>
        <v/>
      </c>
      <c r="AP110" s="35">
        <f>IF($A110="","",IF(설정!$C$19="최근월",(INDEX(월별집계!$AB110:$AM110,설정!$C$7)-INDEX(월별집계!$AB110:$AM110,MAX(1,설정!$C$7-1))*(설정!$C$7&gt;1)),IF(설정!$C$19="최근분기",((INDEX(월별집계!$AB110:$AM110,설정!$C$7)-INDEX(월별집계!$AB110:$AM110,MAX(1,설정!$C$7-3))*(설정!$C$7&gt;3))/MIN(3,설정!$C$7)),IF(설정!$C$19="전년추세",AZ110,((설정!$C$7+1)*SUMPRODUCT(월별집계!$AB$5:$AM$5,월별집계!$AB110:$AM110)-(설정!$C$7*(설정!$C$7+1)/2)*SUM(월별집계!$AB110:$AM110))/((설정!$C$7+1)*(설정!$C$7*(설정!$C$7+1)*(2*설정!$C$7+1)/6)-(설정!$C$7*(설정!$C$7+1)/2)^2)))))</f>
        <v/>
      </c>
      <c r="AQ110" s="35">
        <f>IF($A110="","",IF(설정!$C$19="연내누적",(SUM(월별집계!$AB110:$AM110)-AP110*(설정!$C$7*(설정!$C$7+1)/2))/(설정!$C$7+1),INDEX(월별집계!$AB110:$AM110,설정!$C$7)-AP110*설정!$C$7))</f>
        <v/>
      </c>
      <c r="AR110" s="40">
        <f>IF($A110="","",AQ110+AP110*12)</f>
        <v/>
      </c>
      <c r="AS110" s="82">
        <f>IF($A110="","",IF(OR(P110&lt;=0,Q110&gt;=P110,AP110&lt;=0),"",MAX(설정!$C$7,(P110-AQ110)/AP110)))</f>
        <v/>
      </c>
      <c r="AT110" s="22">
        <f>IF($A110="","",IF(AS110="",IF(AU110="이미 소진","소진됨",""),YEAR((DATE(설정!$C$6,1,1)+ROUND(AS110*365/12,0)-1))&amp;"-"&amp;TEXT(MONTH((DATE(설정!$C$6,1,1)+ROUND(AS110*365/12,0)-1)),"00")&amp;"-"&amp;TEXT(DAY((DATE(설정!$C$6,1,1)+ROUND(AS110*365/12,0)-1)),"00")))</f>
        <v/>
      </c>
      <c r="AU110" s="34">
        <f>IF($A110="","",IF(AND(P110&lt;=0,Q110&gt;0),"무예산",IF(P110&lt;=0,"-",IF(Q110&gt;=P110,"이미 소진",IF(AP110&lt;=0,"소진 안 됨",IF(AS110&lt;=12,"연내 고갈","연내 여유"))))))</f>
        <v/>
      </c>
      <c r="AV110" s="34">
        <f>IF($A110="","",IF(AJ110&lt;=0,"",IF(AK110&gt;=AJ110,"한도 소진",IF(AK110&lt;=0,"",IF(AJ110/(AK110/(설정!$C$20-설정!$C$22+1))&gt;3,"분기 내 여유",YEAR((DATE(설정!$C$6,설정!$C$22-설정!$C$6*12,1)+ROUND(MAX((설정!$C$20-설정!$C$22+1),AJ110/(AK110/(설정!$C$20-설정!$C$22+1)))*365/12,0)-1))&amp;"-"&amp;TEXT(MONTH((DATE(설정!$C$6,설정!$C$22-설정!$C$6*12,1)+ROUND(MAX((설정!$C$20-설정!$C$22+1),AJ110/(AK110/(설정!$C$20-설정!$C$22+1)))*365/12,0)-1)),"00")&amp;"-"&amp;TEXT(DAY((DATE(설정!$C$6,설정!$C$22-설정!$C$6*12,1)+ROUND(MAX((설정!$C$20-설정!$C$22+1),AJ110/(AK110/(설정!$C$20-설정!$C$22+1)))*365/12,0)-1)),"00"))))))</f>
        <v/>
      </c>
      <c r="AW110" s="41">
        <f>IF($A110="",999+ROW()/1000000,IF(AU110="이미 소진",ROW()/1000000,IF(AU110="연내 고갈",AS110+ROW()/1000000,99+ROW()/1000000)))</f>
        <v/>
      </c>
      <c r="AX110" s="35">
        <f>IF($A110="","",SUMIFS(월별집계!$C110:$Z110,월별집계!$C$5:$Z$5,"&gt;="&amp;((설정!$C$6-1)*12+1),월별집계!$C$5:$Z$5,"&lt;="&amp;(설정!$C$20-12)))</f>
        <v/>
      </c>
      <c r="AY110" s="80">
        <f>IF($A110="","",IF(AX110&lt;=0,IF(Q110&gt;0,1,0),Q110/AX110-1))</f>
        <v/>
      </c>
      <c r="AZ110" s="35">
        <f>IF($A110="","",SUMIFS(월별집계!$C110:$Z110,월별집계!$C$5:$Z$5,"&gt;"&amp;(설정!$C$20-12),월별집계!$C$5:$Z$5,"&lt;="&amp;((설정!$C$6-1)*12+12))/MAX(1,12-설정!$C$7))</f>
        <v/>
      </c>
    </row>
    <row r="111">
      <c r="A111" s="12" t="n"/>
      <c r="B111" s="26">
        <f>IF($A111="","",IFERROR(INDEX(부서매핑!$D$5:$D$504,MATCH($A111,부서매핑!$C$5:$C$504,0)),"부서매핑 없음"))</f>
        <v/>
      </c>
      <c r="C111" s="79" t="n"/>
      <c r="D111" s="26">
        <f>IF($A111="","",IFERROR(INDEX(계정매핑!$B$5:$B$504,MATCH($C111&amp;"",계정매핑!$A$5:$A$504,0)),"계정매핑 없음"))</f>
        <v/>
      </c>
      <c r="E111" s="22">
        <f>IF($A111="","",$A111&amp;"|"&amp;$C111)</f>
        <v/>
      </c>
      <c r="F111" s="35">
        <f>IF($A111="","",월별집계!$Z111)</f>
        <v/>
      </c>
      <c r="G111" s="35">
        <f>IF($A111="","",월별집계!$Y111)</f>
        <v/>
      </c>
      <c r="H111" s="80">
        <f>IF($A111="","",IF(G111&lt;=0,IF(F111&gt;0,1,0),F111/G111-1))</f>
        <v/>
      </c>
      <c r="I111" s="35">
        <f>IF($A111="","",월별집계!$N111)</f>
        <v/>
      </c>
      <c r="J111" s="80">
        <f>IF($A111="","",IF(I111&lt;=0,IF(F111&gt;0,1,0),F111/I111-1))</f>
        <v/>
      </c>
      <c r="K111" s="35">
        <f>IF($A111="","",SUMIFS(월별집계!$C111:$Z111,월별집계!$C$5:$Z$5,"&gt;="&amp;설정!$C$22,월별집계!$C$5:$Z$5,"&lt;="&amp;설정!$C$20))</f>
        <v/>
      </c>
      <c r="L111" s="35">
        <f>IF($A111="","",SUMIFS(월별집계!$C111:$Z111,월별집계!$C$5:$Z$5,"&gt;="&amp;(설정!$C$22-3),월별집계!$C$5:$Z$5,"&lt;="&amp;(설정!$C$20-3)))</f>
        <v/>
      </c>
      <c r="M111" s="80">
        <f>IF($A111="","",IF(L111&lt;=0,IF(K111&gt;0,1,0),K111/L111-1))</f>
        <v/>
      </c>
      <c r="N111" s="40">
        <f>IF($A111="","",MAX(F111-G111,F111-I111))</f>
        <v/>
      </c>
      <c r="O111" s="62">
        <f>IF($A111="","",IFERROR((월별집계!$Z111-AVERAGE(월별집계!N111:Y111))/STDEV(월별집계!N111:Y111),0))</f>
        <v/>
      </c>
      <c r="P111" s="35">
        <f>IF($A111="","",SUMIFS(예산판_원본!$O$5:$O$5000,예산판_원본!$L$5:$L$5000,$E111,예산판_원본!$M$5:$M$5000,설정!$C$6))</f>
        <v/>
      </c>
      <c r="Q111" s="35">
        <f>IF($A111="","",SUMIFS(월별집계!$C111:$Z111,월별집계!$C$5:$Z$5,"&gt;="&amp;(설정!$C$6*12+1),월별집계!$C$5:$Z$5,"&lt;="&amp;설정!$C$20))</f>
        <v/>
      </c>
      <c r="R111" s="40">
        <f>IF($A111="","",P111-Q111)</f>
        <v/>
      </c>
      <c r="S111" s="35">
        <f>IF($A111="","",AVERAGE(월별집계!X111:Z111)*(12-설정!$C$7))</f>
        <v/>
      </c>
      <c r="T111" s="35">
        <f>IF($A111="","",IFERROR(Q111/(SUMIFS(월별집계!$C111:$Z111,월별집계!$C$5:$Z$5,"&gt;="&amp;((설정!$C$6-1)*12+1),월별집계!$C$5:$Z$5,"&lt;="&amp;(설정!$C$20-12))/SUMIFS(월별집계!$C111:$Z111,월별집계!$C$5:$Z$5,"&gt;="&amp;((설정!$C$6-1)*12+1),월별집계!$C$5:$Z$5,"&lt;="&amp;((설정!$C$6-1)*12+12)))-Q111,S111))</f>
        <v/>
      </c>
      <c r="U111" s="40">
        <f>IF($A111="","",Q111+MAX(S111,T111))</f>
        <v/>
      </c>
      <c r="V111" s="73">
        <f>IF($A111="","",IF(P111=0,0,U111/P111))</f>
        <v/>
      </c>
      <c r="W111" s="34">
        <f>IF($A111="","",IF(AND(P111=0,Q111&gt;0),"무예산",IF(P111=0,"-",IF(V111&gt;설정!$C$12,"부족 예상",IF(V111&gt;설정!$C$11,"주의","여유")))))</f>
        <v/>
      </c>
      <c r="X111" s="40">
        <f>IF($A111="","",IF(P111=0,0,MAX(0,U111-P111)))</f>
        <v/>
      </c>
      <c r="Y111" s="34">
        <f>IF($A111="","",IF(OR(W111&lt;&gt;"부족 예상",설정!$C$7=12),"",IF(R111&lt;=0,"이미 초과",MIN(12,설정!$C$7+ROUNDUP(R111/(MAX(S111,T111)/(12-설정!$C$7)),0))&amp;"월")))</f>
        <v/>
      </c>
      <c r="Z111" s="26">
        <f>IF($A111="","",TRIM(IF(AND(N(AC111)&gt;=설정!$C$14,N111&gt;=설정!$C$10),"단건"&amp;TEXT(MIN(AC111,1),"0%")&amp;" ","")&amp;IF(AND(N111&gt;0,AD111&gt;0),IF(AD111/N111&gt;=설정!$C$16,"SA대체 ",""),"")&amp;IF(AE111&gt;0,"역분개"&amp;AE111&amp;"건 ","")&amp;IF(O111&gt;=설정!$C$13,"이상치 ","")&amp;IF(AND(I111=0,F111&gt;0),"신규지출 ","")))</f>
        <v/>
      </c>
      <c r="AA111" s="62">
        <f>IF($A111="","",ROUND((AF111+AG111+AH111+AI111)*IF(AND(F111&lt;설정!$C$10,N111&lt;설정!$C$10),0.3,1),1))</f>
        <v/>
      </c>
      <c r="AB111" s="41">
        <f>IF($A111="","",AA111+ROW()/1000000)</f>
        <v/>
      </c>
      <c r="AC111" s="60">
        <f>IF(OR($A111="",N111&lt;=0),"",SUMPRODUCT(MAX((전표_원본!$O$5:$O$100000=$E111)*(전표_원본!$M$5:$M$100000=설정!$C$20)*전표_원본!$P$5:$P$100000))/N111)</f>
        <v/>
      </c>
      <c r="AD111" s="35">
        <f>IF($A111="","",SUMIFS(전표_원본!$P$5:$P$100000,전표_원본!$O$5:$O$100000,$E111,전표_원본!$M$5:$M$100000,설정!$C$20,전표_원본!$E$5:$E$100000,"SA")-SUMIFS(전표_원본!$P$5:$P$100000,전표_원본!$O$5:$O$100000,$E111,전표_원본!$M$5:$M$100000,설정!$C$20-1,전표_원본!$E$5:$E$100000,"SA"))</f>
        <v/>
      </c>
      <c r="AE111" s="81">
        <f>IF($A111="","",COUNTIFS(전표_원본!$O$5:$O$100000,$E111,전표_원본!$M$5:$M$100000,설정!$C$20,전표_원본!$P$5:$P$100000,"&lt;0"))</f>
        <v/>
      </c>
      <c r="AF111" s="62">
        <f>IF($A111="","",MIN(MAX(0,N111)/(설정!$C$10*5),1)*30)</f>
        <v/>
      </c>
      <c r="AG111" s="82">
        <f>IF($A111="","",MIN(MAX(0,H111,J111),1)*20)</f>
        <v/>
      </c>
      <c r="AH111" s="82">
        <f>IF($A111="","",MIN(MAX(0,O111)/3,1)*25)</f>
        <v/>
      </c>
      <c r="AI111" s="82">
        <f>IF($A111="","",IF(OR(W111="부족 예상",W111="무예산",AO111="한도 초과",AO111="초과 예상",AO111="무예산"),25,IF(OR(W111="주의",AO111="주의"),15,0)))</f>
        <v/>
      </c>
      <c r="AJ111" s="35">
        <f>IF($A111="","",SUMIFS(예산판_원본!$O$5:$O$5000,예산판_원본!$L$5:$L$5000,$E111,예산판_원본!$M$5:$M$5000,설정!$C$6,예산판_원본!$N$5:$N$5000,설정!$C$21))</f>
        <v/>
      </c>
      <c r="AK111" s="40">
        <f>IF($A111="","",K111)</f>
        <v/>
      </c>
      <c r="AL111" s="40">
        <f>IF($A111="","",AJ111-AK111)</f>
        <v/>
      </c>
      <c r="AM111" s="35">
        <f>IF($A111="","",AK111+AVERAGE(월별집계!X111:Z111)*MAX(0,설정!$C$22+2-설정!$C$20))</f>
        <v/>
      </c>
      <c r="AN111" s="73">
        <f>IF($A111="","",IF(AJ111=0,0,AM111/AJ111))</f>
        <v/>
      </c>
      <c r="AO111" s="34">
        <f>IF($A111="","",IF(AND(AJ111=0,AK111&gt;0),"무예산",IF(AJ111=0,"-",IF(AK111&gt;AJ111,"한도 초과",IF(AN111&gt;설정!$C$12,"초과 예상",IF(AN111&gt;설정!$C$11,"주의","여유"))))))</f>
        <v/>
      </c>
      <c r="AP111" s="35">
        <f>IF($A111="","",IF(설정!$C$19="최근월",(INDEX(월별집계!$AB111:$AM111,설정!$C$7)-INDEX(월별집계!$AB111:$AM111,MAX(1,설정!$C$7-1))*(설정!$C$7&gt;1)),IF(설정!$C$19="최근분기",((INDEX(월별집계!$AB111:$AM111,설정!$C$7)-INDEX(월별집계!$AB111:$AM111,MAX(1,설정!$C$7-3))*(설정!$C$7&gt;3))/MIN(3,설정!$C$7)),IF(설정!$C$19="전년추세",AZ111,((설정!$C$7+1)*SUMPRODUCT(월별집계!$AB$5:$AM$5,월별집계!$AB111:$AM111)-(설정!$C$7*(설정!$C$7+1)/2)*SUM(월별집계!$AB111:$AM111))/((설정!$C$7+1)*(설정!$C$7*(설정!$C$7+1)*(2*설정!$C$7+1)/6)-(설정!$C$7*(설정!$C$7+1)/2)^2)))))</f>
        <v/>
      </c>
      <c r="AQ111" s="35">
        <f>IF($A111="","",IF(설정!$C$19="연내누적",(SUM(월별집계!$AB111:$AM111)-AP111*(설정!$C$7*(설정!$C$7+1)/2))/(설정!$C$7+1),INDEX(월별집계!$AB111:$AM111,설정!$C$7)-AP111*설정!$C$7))</f>
        <v/>
      </c>
      <c r="AR111" s="40">
        <f>IF($A111="","",AQ111+AP111*12)</f>
        <v/>
      </c>
      <c r="AS111" s="82">
        <f>IF($A111="","",IF(OR(P111&lt;=0,Q111&gt;=P111,AP111&lt;=0),"",MAX(설정!$C$7,(P111-AQ111)/AP111)))</f>
        <v/>
      </c>
      <c r="AT111" s="22">
        <f>IF($A111="","",IF(AS111="",IF(AU111="이미 소진","소진됨",""),YEAR((DATE(설정!$C$6,1,1)+ROUND(AS111*365/12,0)-1))&amp;"-"&amp;TEXT(MONTH((DATE(설정!$C$6,1,1)+ROUND(AS111*365/12,0)-1)),"00")&amp;"-"&amp;TEXT(DAY((DATE(설정!$C$6,1,1)+ROUND(AS111*365/12,0)-1)),"00")))</f>
        <v/>
      </c>
      <c r="AU111" s="34">
        <f>IF($A111="","",IF(AND(P111&lt;=0,Q111&gt;0),"무예산",IF(P111&lt;=0,"-",IF(Q111&gt;=P111,"이미 소진",IF(AP111&lt;=0,"소진 안 됨",IF(AS111&lt;=12,"연내 고갈","연내 여유"))))))</f>
        <v/>
      </c>
      <c r="AV111" s="34">
        <f>IF($A111="","",IF(AJ111&lt;=0,"",IF(AK111&gt;=AJ111,"한도 소진",IF(AK111&lt;=0,"",IF(AJ111/(AK111/(설정!$C$20-설정!$C$22+1))&gt;3,"분기 내 여유",YEAR((DATE(설정!$C$6,설정!$C$22-설정!$C$6*12,1)+ROUND(MAX((설정!$C$20-설정!$C$22+1),AJ111/(AK111/(설정!$C$20-설정!$C$22+1)))*365/12,0)-1))&amp;"-"&amp;TEXT(MONTH((DATE(설정!$C$6,설정!$C$22-설정!$C$6*12,1)+ROUND(MAX((설정!$C$20-설정!$C$22+1),AJ111/(AK111/(설정!$C$20-설정!$C$22+1)))*365/12,0)-1)),"00")&amp;"-"&amp;TEXT(DAY((DATE(설정!$C$6,설정!$C$22-설정!$C$6*12,1)+ROUND(MAX((설정!$C$20-설정!$C$22+1),AJ111/(AK111/(설정!$C$20-설정!$C$22+1)))*365/12,0)-1)),"00"))))))</f>
        <v/>
      </c>
      <c r="AW111" s="41">
        <f>IF($A111="",999+ROW()/1000000,IF(AU111="이미 소진",ROW()/1000000,IF(AU111="연내 고갈",AS111+ROW()/1000000,99+ROW()/1000000)))</f>
        <v/>
      </c>
      <c r="AX111" s="35">
        <f>IF($A111="","",SUMIFS(월별집계!$C111:$Z111,월별집계!$C$5:$Z$5,"&gt;="&amp;((설정!$C$6-1)*12+1),월별집계!$C$5:$Z$5,"&lt;="&amp;(설정!$C$20-12)))</f>
        <v/>
      </c>
      <c r="AY111" s="80">
        <f>IF($A111="","",IF(AX111&lt;=0,IF(Q111&gt;0,1,0),Q111/AX111-1))</f>
        <v/>
      </c>
      <c r="AZ111" s="35">
        <f>IF($A111="","",SUMIFS(월별집계!$C111:$Z111,월별집계!$C$5:$Z$5,"&gt;"&amp;(설정!$C$20-12),월별집계!$C$5:$Z$5,"&lt;="&amp;((설정!$C$6-1)*12+12))/MAX(1,12-설정!$C$7))</f>
        <v/>
      </c>
    </row>
    <row r="112">
      <c r="A112" s="12" t="n"/>
      <c r="B112" s="26">
        <f>IF($A112="","",IFERROR(INDEX(부서매핑!$D$5:$D$504,MATCH($A112,부서매핑!$C$5:$C$504,0)),"부서매핑 없음"))</f>
        <v/>
      </c>
      <c r="C112" s="79" t="n"/>
      <c r="D112" s="26">
        <f>IF($A112="","",IFERROR(INDEX(계정매핑!$B$5:$B$504,MATCH($C112&amp;"",계정매핑!$A$5:$A$504,0)),"계정매핑 없음"))</f>
        <v/>
      </c>
      <c r="E112" s="22">
        <f>IF($A112="","",$A112&amp;"|"&amp;$C112)</f>
        <v/>
      </c>
      <c r="F112" s="35">
        <f>IF($A112="","",월별집계!$Z112)</f>
        <v/>
      </c>
      <c r="G112" s="35">
        <f>IF($A112="","",월별집계!$Y112)</f>
        <v/>
      </c>
      <c r="H112" s="80">
        <f>IF($A112="","",IF(G112&lt;=0,IF(F112&gt;0,1,0),F112/G112-1))</f>
        <v/>
      </c>
      <c r="I112" s="35">
        <f>IF($A112="","",월별집계!$N112)</f>
        <v/>
      </c>
      <c r="J112" s="80">
        <f>IF($A112="","",IF(I112&lt;=0,IF(F112&gt;0,1,0),F112/I112-1))</f>
        <v/>
      </c>
      <c r="K112" s="35">
        <f>IF($A112="","",SUMIFS(월별집계!$C112:$Z112,월별집계!$C$5:$Z$5,"&gt;="&amp;설정!$C$22,월별집계!$C$5:$Z$5,"&lt;="&amp;설정!$C$20))</f>
        <v/>
      </c>
      <c r="L112" s="35">
        <f>IF($A112="","",SUMIFS(월별집계!$C112:$Z112,월별집계!$C$5:$Z$5,"&gt;="&amp;(설정!$C$22-3),월별집계!$C$5:$Z$5,"&lt;="&amp;(설정!$C$20-3)))</f>
        <v/>
      </c>
      <c r="M112" s="80">
        <f>IF($A112="","",IF(L112&lt;=0,IF(K112&gt;0,1,0),K112/L112-1))</f>
        <v/>
      </c>
      <c r="N112" s="40">
        <f>IF($A112="","",MAX(F112-G112,F112-I112))</f>
        <v/>
      </c>
      <c r="O112" s="62">
        <f>IF($A112="","",IFERROR((월별집계!$Z112-AVERAGE(월별집계!N112:Y112))/STDEV(월별집계!N112:Y112),0))</f>
        <v/>
      </c>
      <c r="P112" s="35">
        <f>IF($A112="","",SUMIFS(예산판_원본!$O$5:$O$5000,예산판_원본!$L$5:$L$5000,$E112,예산판_원본!$M$5:$M$5000,설정!$C$6))</f>
        <v/>
      </c>
      <c r="Q112" s="35">
        <f>IF($A112="","",SUMIFS(월별집계!$C112:$Z112,월별집계!$C$5:$Z$5,"&gt;="&amp;(설정!$C$6*12+1),월별집계!$C$5:$Z$5,"&lt;="&amp;설정!$C$20))</f>
        <v/>
      </c>
      <c r="R112" s="40">
        <f>IF($A112="","",P112-Q112)</f>
        <v/>
      </c>
      <c r="S112" s="35">
        <f>IF($A112="","",AVERAGE(월별집계!X112:Z112)*(12-설정!$C$7))</f>
        <v/>
      </c>
      <c r="T112" s="35">
        <f>IF($A112="","",IFERROR(Q112/(SUMIFS(월별집계!$C112:$Z112,월별집계!$C$5:$Z$5,"&gt;="&amp;((설정!$C$6-1)*12+1),월별집계!$C$5:$Z$5,"&lt;="&amp;(설정!$C$20-12))/SUMIFS(월별집계!$C112:$Z112,월별집계!$C$5:$Z$5,"&gt;="&amp;((설정!$C$6-1)*12+1),월별집계!$C$5:$Z$5,"&lt;="&amp;((설정!$C$6-1)*12+12)))-Q112,S112))</f>
        <v/>
      </c>
      <c r="U112" s="40">
        <f>IF($A112="","",Q112+MAX(S112,T112))</f>
        <v/>
      </c>
      <c r="V112" s="73">
        <f>IF($A112="","",IF(P112=0,0,U112/P112))</f>
        <v/>
      </c>
      <c r="W112" s="34">
        <f>IF($A112="","",IF(AND(P112=0,Q112&gt;0),"무예산",IF(P112=0,"-",IF(V112&gt;설정!$C$12,"부족 예상",IF(V112&gt;설정!$C$11,"주의","여유")))))</f>
        <v/>
      </c>
      <c r="X112" s="40">
        <f>IF($A112="","",IF(P112=0,0,MAX(0,U112-P112)))</f>
        <v/>
      </c>
      <c r="Y112" s="34">
        <f>IF($A112="","",IF(OR(W112&lt;&gt;"부족 예상",설정!$C$7=12),"",IF(R112&lt;=0,"이미 초과",MIN(12,설정!$C$7+ROUNDUP(R112/(MAX(S112,T112)/(12-설정!$C$7)),0))&amp;"월")))</f>
        <v/>
      </c>
      <c r="Z112" s="26">
        <f>IF($A112="","",TRIM(IF(AND(N(AC112)&gt;=설정!$C$14,N112&gt;=설정!$C$10),"단건"&amp;TEXT(MIN(AC112,1),"0%")&amp;" ","")&amp;IF(AND(N112&gt;0,AD112&gt;0),IF(AD112/N112&gt;=설정!$C$16,"SA대체 ",""),"")&amp;IF(AE112&gt;0,"역분개"&amp;AE112&amp;"건 ","")&amp;IF(O112&gt;=설정!$C$13,"이상치 ","")&amp;IF(AND(I112=0,F112&gt;0),"신규지출 ","")))</f>
        <v/>
      </c>
      <c r="AA112" s="62">
        <f>IF($A112="","",ROUND((AF112+AG112+AH112+AI112)*IF(AND(F112&lt;설정!$C$10,N112&lt;설정!$C$10),0.3,1),1))</f>
        <v/>
      </c>
      <c r="AB112" s="41">
        <f>IF($A112="","",AA112+ROW()/1000000)</f>
        <v/>
      </c>
      <c r="AC112" s="60">
        <f>IF(OR($A112="",N112&lt;=0),"",SUMPRODUCT(MAX((전표_원본!$O$5:$O$100000=$E112)*(전표_원본!$M$5:$M$100000=설정!$C$20)*전표_원본!$P$5:$P$100000))/N112)</f>
        <v/>
      </c>
      <c r="AD112" s="35">
        <f>IF($A112="","",SUMIFS(전표_원본!$P$5:$P$100000,전표_원본!$O$5:$O$100000,$E112,전표_원본!$M$5:$M$100000,설정!$C$20,전표_원본!$E$5:$E$100000,"SA")-SUMIFS(전표_원본!$P$5:$P$100000,전표_원본!$O$5:$O$100000,$E112,전표_원본!$M$5:$M$100000,설정!$C$20-1,전표_원본!$E$5:$E$100000,"SA"))</f>
        <v/>
      </c>
      <c r="AE112" s="81">
        <f>IF($A112="","",COUNTIFS(전표_원본!$O$5:$O$100000,$E112,전표_원본!$M$5:$M$100000,설정!$C$20,전표_원본!$P$5:$P$100000,"&lt;0"))</f>
        <v/>
      </c>
      <c r="AF112" s="62">
        <f>IF($A112="","",MIN(MAX(0,N112)/(설정!$C$10*5),1)*30)</f>
        <v/>
      </c>
      <c r="AG112" s="82">
        <f>IF($A112="","",MIN(MAX(0,H112,J112),1)*20)</f>
        <v/>
      </c>
      <c r="AH112" s="82">
        <f>IF($A112="","",MIN(MAX(0,O112)/3,1)*25)</f>
        <v/>
      </c>
      <c r="AI112" s="82">
        <f>IF($A112="","",IF(OR(W112="부족 예상",W112="무예산",AO112="한도 초과",AO112="초과 예상",AO112="무예산"),25,IF(OR(W112="주의",AO112="주의"),15,0)))</f>
        <v/>
      </c>
      <c r="AJ112" s="35">
        <f>IF($A112="","",SUMIFS(예산판_원본!$O$5:$O$5000,예산판_원본!$L$5:$L$5000,$E112,예산판_원본!$M$5:$M$5000,설정!$C$6,예산판_원본!$N$5:$N$5000,설정!$C$21))</f>
        <v/>
      </c>
      <c r="AK112" s="40">
        <f>IF($A112="","",K112)</f>
        <v/>
      </c>
      <c r="AL112" s="40">
        <f>IF($A112="","",AJ112-AK112)</f>
        <v/>
      </c>
      <c r="AM112" s="35">
        <f>IF($A112="","",AK112+AVERAGE(월별집계!X112:Z112)*MAX(0,설정!$C$22+2-설정!$C$20))</f>
        <v/>
      </c>
      <c r="AN112" s="73">
        <f>IF($A112="","",IF(AJ112=0,0,AM112/AJ112))</f>
        <v/>
      </c>
      <c r="AO112" s="34">
        <f>IF($A112="","",IF(AND(AJ112=0,AK112&gt;0),"무예산",IF(AJ112=0,"-",IF(AK112&gt;AJ112,"한도 초과",IF(AN112&gt;설정!$C$12,"초과 예상",IF(AN112&gt;설정!$C$11,"주의","여유"))))))</f>
        <v/>
      </c>
      <c r="AP112" s="35">
        <f>IF($A112="","",IF(설정!$C$19="최근월",(INDEX(월별집계!$AB112:$AM112,설정!$C$7)-INDEX(월별집계!$AB112:$AM112,MAX(1,설정!$C$7-1))*(설정!$C$7&gt;1)),IF(설정!$C$19="최근분기",((INDEX(월별집계!$AB112:$AM112,설정!$C$7)-INDEX(월별집계!$AB112:$AM112,MAX(1,설정!$C$7-3))*(설정!$C$7&gt;3))/MIN(3,설정!$C$7)),IF(설정!$C$19="전년추세",AZ112,((설정!$C$7+1)*SUMPRODUCT(월별집계!$AB$5:$AM$5,월별집계!$AB112:$AM112)-(설정!$C$7*(설정!$C$7+1)/2)*SUM(월별집계!$AB112:$AM112))/((설정!$C$7+1)*(설정!$C$7*(설정!$C$7+1)*(2*설정!$C$7+1)/6)-(설정!$C$7*(설정!$C$7+1)/2)^2)))))</f>
        <v/>
      </c>
      <c r="AQ112" s="35">
        <f>IF($A112="","",IF(설정!$C$19="연내누적",(SUM(월별집계!$AB112:$AM112)-AP112*(설정!$C$7*(설정!$C$7+1)/2))/(설정!$C$7+1),INDEX(월별집계!$AB112:$AM112,설정!$C$7)-AP112*설정!$C$7))</f>
        <v/>
      </c>
      <c r="AR112" s="40">
        <f>IF($A112="","",AQ112+AP112*12)</f>
        <v/>
      </c>
      <c r="AS112" s="82">
        <f>IF($A112="","",IF(OR(P112&lt;=0,Q112&gt;=P112,AP112&lt;=0),"",MAX(설정!$C$7,(P112-AQ112)/AP112)))</f>
        <v/>
      </c>
      <c r="AT112" s="22">
        <f>IF($A112="","",IF(AS112="",IF(AU112="이미 소진","소진됨",""),YEAR((DATE(설정!$C$6,1,1)+ROUND(AS112*365/12,0)-1))&amp;"-"&amp;TEXT(MONTH((DATE(설정!$C$6,1,1)+ROUND(AS112*365/12,0)-1)),"00")&amp;"-"&amp;TEXT(DAY((DATE(설정!$C$6,1,1)+ROUND(AS112*365/12,0)-1)),"00")))</f>
        <v/>
      </c>
      <c r="AU112" s="34">
        <f>IF($A112="","",IF(AND(P112&lt;=0,Q112&gt;0),"무예산",IF(P112&lt;=0,"-",IF(Q112&gt;=P112,"이미 소진",IF(AP112&lt;=0,"소진 안 됨",IF(AS112&lt;=12,"연내 고갈","연내 여유"))))))</f>
        <v/>
      </c>
      <c r="AV112" s="34">
        <f>IF($A112="","",IF(AJ112&lt;=0,"",IF(AK112&gt;=AJ112,"한도 소진",IF(AK112&lt;=0,"",IF(AJ112/(AK112/(설정!$C$20-설정!$C$22+1))&gt;3,"분기 내 여유",YEAR((DATE(설정!$C$6,설정!$C$22-설정!$C$6*12,1)+ROUND(MAX((설정!$C$20-설정!$C$22+1),AJ112/(AK112/(설정!$C$20-설정!$C$22+1)))*365/12,0)-1))&amp;"-"&amp;TEXT(MONTH((DATE(설정!$C$6,설정!$C$22-설정!$C$6*12,1)+ROUND(MAX((설정!$C$20-설정!$C$22+1),AJ112/(AK112/(설정!$C$20-설정!$C$22+1)))*365/12,0)-1)),"00")&amp;"-"&amp;TEXT(DAY((DATE(설정!$C$6,설정!$C$22-설정!$C$6*12,1)+ROUND(MAX((설정!$C$20-설정!$C$22+1),AJ112/(AK112/(설정!$C$20-설정!$C$22+1)))*365/12,0)-1)),"00"))))))</f>
        <v/>
      </c>
      <c r="AW112" s="41">
        <f>IF($A112="",999+ROW()/1000000,IF(AU112="이미 소진",ROW()/1000000,IF(AU112="연내 고갈",AS112+ROW()/1000000,99+ROW()/1000000)))</f>
        <v/>
      </c>
      <c r="AX112" s="35">
        <f>IF($A112="","",SUMIFS(월별집계!$C112:$Z112,월별집계!$C$5:$Z$5,"&gt;="&amp;((설정!$C$6-1)*12+1),월별집계!$C$5:$Z$5,"&lt;="&amp;(설정!$C$20-12)))</f>
        <v/>
      </c>
      <c r="AY112" s="80">
        <f>IF($A112="","",IF(AX112&lt;=0,IF(Q112&gt;0,1,0),Q112/AX112-1))</f>
        <v/>
      </c>
      <c r="AZ112" s="35">
        <f>IF($A112="","",SUMIFS(월별집계!$C112:$Z112,월별집계!$C$5:$Z$5,"&gt;"&amp;(설정!$C$20-12),월별집계!$C$5:$Z$5,"&lt;="&amp;((설정!$C$6-1)*12+12))/MAX(1,12-설정!$C$7))</f>
        <v/>
      </c>
    </row>
    <row r="113">
      <c r="A113" s="12" t="n"/>
      <c r="B113" s="26">
        <f>IF($A113="","",IFERROR(INDEX(부서매핑!$D$5:$D$504,MATCH($A113,부서매핑!$C$5:$C$504,0)),"부서매핑 없음"))</f>
        <v/>
      </c>
      <c r="C113" s="79" t="n"/>
      <c r="D113" s="26">
        <f>IF($A113="","",IFERROR(INDEX(계정매핑!$B$5:$B$504,MATCH($C113&amp;"",계정매핑!$A$5:$A$504,0)),"계정매핑 없음"))</f>
        <v/>
      </c>
      <c r="E113" s="22">
        <f>IF($A113="","",$A113&amp;"|"&amp;$C113)</f>
        <v/>
      </c>
      <c r="F113" s="35">
        <f>IF($A113="","",월별집계!$Z113)</f>
        <v/>
      </c>
      <c r="G113" s="35">
        <f>IF($A113="","",월별집계!$Y113)</f>
        <v/>
      </c>
      <c r="H113" s="80">
        <f>IF($A113="","",IF(G113&lt;=0,IF(F113&gt;0,1,0),F113/G113-1))</f>
        <v/>
      </c>
      <c r="I113" s="35">
        <f>IF($A113="","",월별집계!$N113)</f>
        <v/>
      </c>
      <c r="J113" s="80">
        <f>IF($A113="","",IF(I113&lt;=0,IF(F113&gt;0,1,0),F113/I113-1))</f>
        <v/>
      </c>
      <c r="K113" s="35">
        <f>IF($A113="","",SUMIFS(월별집계!$C113:$Z113,월별집계!$C$5:$Z$5,"&gt;="&amp;설정!$C$22,월별집계!$C$5:$Z$5,"&lt;="&amp;설정!$C$20))</f>
        <v/>
      </c>
      <c r="L113" s="35">
        <f>IF($A113="","",SUMIFS(월별집계!$C113:$Z113,월별집계!$C$5:$Z$5,"&gt;="&amp;(설정!$C$22-3),월별집계!$C$5:$Z$5,"&lt;="&amp;(설정!$C$20-3)))</f>
        <v/>
      </c>
      <c r="M113" s="80">
        <f>IF($A113="","",IF(L113&lt;=0,IF(K113&gt;0,1,0),K113/L113-1))</f>
        <v/>
      </c>
      <c r="N113" s="40">
        <f>IF($A113="","",MAX(F113-G113,F113-I113))</f>
        <v/>
      </c>
      <c r="O113" s="62">
        <f>IF($A113="","",IFERROR((월별집계!$Z113-AVERAGE(월별집계!N113:Y113))/STDEV(월별집계!N113:Y113),0))</f>
        <v/>
      </c>
      <c r="P113" s="35">
        <f>IF($A113="","",SUMIFS(예산판_원본!$O$5:$O$5000,예산판_원본!$L$5:$L$5000,$E113,예산판_원본!$M$5:$M$5000,설정!$C$6))</f>
        <v/>
      </c>
      <c r="Q113" s="35">
        <f>IF($A113="","",SUMIFS(월별집계!$C113:$Z113,월별집계!$C$5:$Z$5,"&gt;="&amp;(설정!$C$6*12+1),월별집계!$C$5:$Z$5,"&lt;="&amp;설정!$C$20))</f>
        <v/>
      </c>
      <c r="R113" s="40">
        <f>IF($A113="","",P113-Q113)</f>
        <v/>
      </c>
      <c r="S113" s="35">
        <f>IF($A113="","",AVERAGE(월별집계!X113:Z113)*(12-설정!$C$7))</f>
        <v/>
      </c>
      <c r="T113" s="35">
        <f>IF($A113="","",IFERROR(Q113/(SUMIFS(월별집계!$C113:$Z113,월별집계!$C$5:$Z$5,"&gt;="&amp;((설정!$C$6-1)*12+1),월별집계!$C$5:$Z$5,"&lt;="&amp;(설정!$C$20-12))/SUMIFS(월별집계!$C113:$Z113,월별집계!$C$5:$Z$5,"&gt;="&amp;((설정!$C$6-1)*12+1),월별집계!$C$5:$Z$5,"&lt;="&amp;((설정!$C$6-1)*12+12)))-Q113,S113))</f>
        <v/>
      </c>
      <c r="U113" s="40">
        <f>IF($A113="","",Q113+MAX(S113,T113))</f>
        <v/>
      </c>
      <c r="V113" s="73">
        <f>IF($A113="","",IF(P113=0,0,U113/P113))</f>
        <v/>
      </c>
      <c r="W113" s="34">
        <f>IF($A113="","",IF(AND(P113=0,Q113&gt;0),"무예산",IF(P113=0,"-",IF(V113&gt;설정!$C$12,"부족 예상",IF(V113&gt;설정!$C$11,"주의","여유")))))</f>
        <v/>
      </c>
      <c r="X113" s="40">
        <f>IF($A113="","",IF(P113=0,0,MAX(0,U113-P113)))</f>
        <v/>
      </c>
      <c r="Y113" s="34">
        <f>IF($A113="","",IF(OR(W113&lt;&gt;"부족 예상",설정!$C$7=12),"",IF(R113&lt;=0,"이미 초과",MIN(12,설정!$C$7+ROUNDUP(R113/(MAX(S113,T113)/(12-설정!$C$7)),0))&amp;"월")))</f>
        <v/>
      </c>
      <c r="Z113" s="26">
        <f>IF($A113="","",TRIM(IF(AND(N(AC113)&gt;=설정!$C$14,N113&gt;=설정!$C$10),"단건"&amp;TEXT(MIN(AC113,1),"0%")&amp;" ","")&amp;IF(AND(N113&gt;0,AD113&gt;0),IF(AD113/N113&gt;=설정!$C$16,"SA대체 ",""),"")&amp;IF(AE113&gt;0,"역분개"&amp;AE113&amp;"건 ","")&amp;IF(O113&gt;=설정!$C$13,"이상치 ","")&amp;IF(AND(I113=0,F113&gt;0),"신규지출 ","")))</f>
        <v/>
      </c>
      <c r="AA113" s="62">
        <f>IF($A113="","",ROUND((AF113+AG113+AH113+AI113)*IF(AND(F113&lt;설정!$C$10,N113&lt;설정!$C$10),0.3,1),1))</f>
        <v/>
      </c>
      <c r="AB113" s="41">
        <f>IF($A113="","",AA113+ROW()/1000000)</f>
        <v/>
      </c>
      <c r="AC113" s="60">
        <f>IF(OR($A113="",N113&lt;=0),"",SUMPRODUCT(MAX((전표_원본!$O$5:$O$100000=$E113)*(전표_원본!$M$5:$M$100000=설정!$C$20)*전표_원본!$P$5:$P$100000))/N113)</f>
        <v/>
      </c>
      <c r="AD113" s="35">
        <f>IF($A113="","",SUMIFS(전표_원본!$P$5:$P$100000,전표_원본!$O$5:$O$100000,$E113,전표_원본!$M$5:$M$100000,설정!$C$20,전표_원본!$E$5:$E$100000,"SA")-SUMIFS(전표_원본!$P$5:$P$100000,전표_원본!$O$5:$O$100000,$E113,전표_원본!$M$5:$M$100000,설정!$C$20-1,전표_원본!$E$5:$E$100000,"SA"))</f>
        <v/>
      </c>
      <c r="AE113" s="81">
        <f>IF($A113="","",COUNTIFS(전표_원본!$O$5:$O$100000,$E113,전표_원본!$M$5:$M$100000,설정!$C$20,전표_원본!$P$5:$P$100000,"&lt;0"))</f>
        <v/>
      </c>
      <c r="AF113" s="62">
        <f>IF($A113="","",MIN(MAX(0,N113)/(설정!$C$10*5),1)*30)</f>
        <v/>
      </c>
      <c r="AG113" s="82">
        <f>IF($A113="","",MIN(MAX(0,H113,J113),1)*20)</f>
        <v/>
      </c>
      <c r="AH113" s="82">
        <f>IF($A113="","",MIN(MAX(0,O113)/3,1)*25)</f>
        <v/>
      </c>
      <c r="AI113" s="82">
        <f>IF($A113="","",IF(OR(W113="부족 예상",W113="무예산",AO113="한도 초과",AO113="초과 예상",AO113="무예산"),25,IF(OR(W113="주의",AO113="주의"),15,0)))</f>
        <v/>
      </c>
      <c r="AJ113" s="35">
        <f>IF($A113="","",SUMIFS(예산판_원본!$O$5:$O$5000,예산판_원본!$L$5:$L$5000,$E113,예산판_원본!$M$5:$M$5000,설정!$C$6,예산판_원본!$N$5:$N$5000,설정!$C$21))</f>
        <v/>
      </c>
      <c r="AK113" s="40">
        <f>IF($A113="","",K113)</f>
        <v/>
      </c>
      <c r="AL113" s="40">
        <f>IF($A113="","",AJ113-AK113)</f>
        <v/>
      </c>
      <c r="AM113" s="35">
        <f>IF($A113="","",AK113+AVERAGE(월별집계!X113:Z113)*MAX(0,설정!$C$22+2-설정!$C$20))</f>
        <v/>
      </c>
      <c r="AN113" s="73">
        <f>IF($A113="","",IF(AJ113=0,0,AM113/AJ113))</f>
        <v/>
      </c>
      <c r="AO113" s="34">
        <f>IF($A113="","",IF(AND(AJ113=0,AK113&gt;0),"무예산",IF(AJ113=0,"-",IF(AK113&gt;AJ113,"한도 초과",IF(AN113&gt;설정!$C$12,"초과 예상",IF(AN113&gt;설정!$C$11,"주의","여유"))))))</f>
        <v/>
      </c>
      <c r="AP113" s="35">
        <f>IF($A113="","",IF(설정!$C$19="최근월",(INDEX(월별집계!$AB113:$AM113,설정!$C$7)-INDEX(월별집계!$AB113:$AM113,MAX(1,설정!$C$7-1))*(설정!$C$7&gt;1)),IF(설정!$C$19="최근분기",((INDEX(월별집계!$AB113:$AM113,설정!$C$7)-INDEX(월별집계!$AB113:$AM113,MAX(1,설정!$C$7-3))*(설정!$C$7&gt;3))/MIN(3,설정!$C$7)),IF(설정!$C$19="전년추세",AZ113,((설정!$C$7+1)*SUMPRODUCT(월별집계!$AB$5:$AM$5,월별집계!$AB113:$AM113)-(설정!$C$7*(설정!$C$7+1)/2)*SUM(월별집계!$AB113:$AM113))/((설정!$C$7+1)*(설정!$C$7*(설정!$C$7+1)*(2*설정!$C$7+1)/6)-(설정!$C$7*(설정!$C$7+1)/2)^2)))))</f>
        <v/>
      </c>
      <c r="AQ113" s="35">
        <f>IF($A113="","",IF(설정!$C$19="연내누적",(SUM(월별집계!$AB113:$AM113)-AP113*(설정!$C$7*(설정!$C$7+1)/2))/(설정!$C$7+1),INDEX(월별집계!$AB113:$AM113,설정!$C$7)-AP113*설정!$C$7))</f>
        <v/>
      </c>
      <c r="AR113" s="40">
        <f>IF($A113="","",AQ113+AP113*12)</f>
        <v/>
      </c>
      <c r="AS113" s="82">
        <f>IF($A113="","",IF(OR(P113&lt;=0,Q113&gt;=P113,AP113&lt;=0),"",MAX(설정!$C$7,(P113-AQ113)/AP113)))</f>
        <v/>
      </c>
      <c r="AT113" s="22">
        <f>IF($A113="","",IF(AS113="",IF(AU113="이미 소진","소진됨",""),YEAR((DATE(설정!$C$6,1,1)+ROUND(AS113*365/12,0)-1))&amp;"-"&amp;TEXT(MONTH((DATE(설정!$C$6,1,1)+ROUND(AS113*365/12,0)-1)),"00")&amp;"-"&amp;TEXT(DAY((DATE(설정!$C$6,1,1)+ROUND(AS113*365/12,0)-1)),"00")))</f>
        <v/>
      </c>
      <c r="AU113" s="34">
        <f>IF($A113="","",IF(AND(P113&lt;=0,Q113&gt;0),"무예산",IF(P113&lt;=0,"-",IF(Q113&gt;=P113,"이미 소진",IF(AP113&lt;=0,"소진 안 됨",IF(AS113&lt;=12,"연내 고갈","연내 여유"))))))</f>
        <v/>
      </c>
      <c r="AV113" s="34">
        <f>IF($A113="","",IF(AJ113&lt;=0,"",IF(AK113&gt;=AJ113,"한도 소진",IF(AK113&lt;=0,"",IF(AJ113/(AK113/(설정!$C$20-설정!$C$22+1))&gt;3,"분기 내 여유",YEAR((DATE(설정!$C$6,설정!$C$22-설정!$C$6*12,1)+ROUND(MAX((설정!$C$20-설정!$C$22+1),AJ113/(AK113/(설정!$C$20-설정!$C$22+1)))*365/12,0)-1))&amp;"-"&amp;TEXT(MONTH((DATE(설정!$C$6,설정!$C$22-설정!$C$6*12,1)+ROUND(MAX((설정!$C$20-설정!$C$22+1),AJ113/(AK113/(설정!$C$20-설정!$C$22+1)))*365/12,0)-1)),"00")&amp;"-"&amp;TEXT(DAY((DATE(설정!$C$6,설정!$C$22-설정!$C$6*12,1)+ROUND(MAX((설정!$C$20-설정!$C$22+1),AJ113/(AK113/(설정!$C$20-설정!$C$22+1)))*365/12,0)-1)),"00"))))))</f>
        <v/>
      </c>
      <c r="AW113" s="41">
        <f>IF($A113="",999+ROW()/1000000,IF(AU113="이미 소진",ROW()/1000000,IF(AU113="연내 고갈",AS113+ROW()/1000000,99+ROW()/1000000)))</f>
        <v/>
      </c>
      <c r="AX113" s="35">
        <f>IF($A113="","",SUMIFS(월별집계!$C113:$Z113,월별집계!$C$5:$Z$5,"&gt;="&amp;((설정!$C$6-1)*12+1),월별집계!$C$5:$Z$5,"&lt;="&amp;(설정!$C$20-12)))</f>
        <v/>
      </c>
      <c r="AY113" s="80">
        <f>IF($A113="","",IF(AX113&lt;=0,IF(Q113&gt;0,1,0),Q113/AX113-1))</f>
        <v/>
      </c>
      <c r="AZ113" s="35">
        <f>IF($A113="","",SUMIFS(월별집계!$C113:$Z113,월별집계!$C$5:$Z$5,"&gt;"&amp;(설정!$C$20-12),월별집계!$C$5:$Z$5,"&lt;="&amp;((설정!$C$6-1)*12+12))/MAX(1,12-설정!$C$7))</f>
        <v/>
      </c>
    </row>
    <row r="114">
      <c r="A114" s="12" t="n"/>
      <c r="B114" s="26">
        <f>IF($A114="","",IFERROR(INDEX(부서매핑!$D$5:$D$504,MATCH($A114,부서매핑!$C$5:$C$504,0)),"부서매핑 없음"))</f>
        <v/>
      </c>
      <c r="C114" s="79" t="n"/>
      <c r="D114" s="26">
        <f>IF($A114="","",IFERROR(INDEX(계정매핑!$B$5:$B$504,MATCH($C114&amp;"",계정매핑!$A$5:$A$504,0)),"계정매핑 없음"))</f>
        <v/>
      </c>
      <c r="E114" s="22">
        <f>IF($A114="","",$A114&amp;"|"&amp;$C114)</f>
        <v/>
      </c>
      <c r="F114" s="35">
        <f>IF($A114="","",월별집계!$Z114)</f>
        <v/>
      </c>
      <c r="G114" s="35">
        <f>IF($A114="","",월별집계!$Y114)</f>
        <v/>
      </c>
      <c r="H114" s="80">
        <f>IF($A114="","",IF(G114&lt;=0,IF(F114&gt;0,1,0),F114/G114-1))</f>
        <v/>
      </c>
      <c r="I114" s="35">
        <f>IF($A114="","",월별집계!$N114)</f>
        <v/>
      </c>
      <c r="J114" s="80">
        <f>IF($A114="","",IF(I114&lt;=0,IF(F114&gt;0,1,0),F114/I114-1))</f>
        <v/>
      </c>
      <c r="K114" s="35">
        <f>IF($A114="","",SUMIFS(월별집계!$C114:$Z114,월별집계!$C$5:$Z$5,"&gt;="&amp;설정!$C$22,월별집계!$C$5:$Z$5,"&lt;="&amp;설정!$C$20))</f>
        <v/>
      </c>
      <c r="L114" s="35">
        <f>IF($A114="","",SUMIFS(월별집계!$C114:$Z114,월별집계!$C$5:$Z$5,"&gt;="&amp;(설정!$C$22-3),월별집계!$C$5:$Z$5,"&lt;="&amp;(설정!$C$20-3)))</f>
        <v/>
      </c>
      <c r="M114" s="80">
        <f>IF($A114="","",IF(L114&lt;=0,IF(K114&gt;0,1,0),K114/L114-1))</f>
        <v/>
      </c>
      <c r="N114" s="40">
        <f>IF($A114="","",MAX(F114-G114,F114-I114))</f>
        <v/>
      </c>
      <c r="O114" s="62">
        <f>IF($A114="","",IFERROR((월별집계!$Z114-AVERAGE(월별집계!N114:Y114))/STDEV(월별집계!N114:Y114),0))</f>
        <v/>
      </c>
      <c r="P114" s="35">
        <f>IF($A114="","",SUMIFS(예산판_원본!$O$5:$O$5000,예산판_원본!$L$5:$L$5000,$E114,예산판_원본!$M$5:$M$5000,설정!$C$6))</f>
        <v/>
      </c>
      <c r="Q114" s="35">
        <f>IF($A114="","",SUMIFS(월별집계!$C114:$Z114,월별집계!$C$5:$Z$5,"&gt;="&amp;(설정!$C$6*12+1),월별집계!$C$5:$Z$5,"&lt;="&amp;설정!$C$20))</f>
        <v/>
      </c>
      <c r="R114" s="40">
        <f>IF($A114="","",P114-Q114)</f>
        <v/>
      </c>
      <c r="S114" s="35">
        <f>IF($A114="","",AVERAGE(월별집계!X114:Z114)*(12-설정!$C$7))</f>
        <v/>
      </c>
      <c r="T114" s="35">
        <f>IF($A114="","",IFERROR(Q114/(SUMIFS(월별집계!$C114:$Z114,월별집계!$C$5:$Z$5,"&gt;="&amp;((설정!$C$6-1)*12+1),월별집계!$C$5:$Z$5,"&lt;="&amp;(설정!$C$20-12))/SUMIFS(월별집계!$C114:$Z114,월별집계!$C$5:$Z$5,"&gt;="&amp;((설정!$C$6-1)*12+1),월별집계!$C$5:$Z$5,"&lt;="&amp;((설정!$C$6-1)*12+12)))-Q114,S114))</f>
        <v/>
      </c>
      <c r="U114" s="40">
        <f>IF($A114="","",Q114+MAX(S114,T114))</f>
        <v/>
      </c>
      <c r="V114" s="73">
        <f>IF($A114="","",IF(P114=0,0,U114/P114))</f>
        <v/>
      </c>
      <c r="W114" s="34">
        <f>IF($A114="","",IF(AND(P114=0,Q114&gt;0),"무예산",IF(P114=0,"-",IF(V114&gt;설정!$C$12,"부족 예상",IF(V114&gt;설정!$C$11,"주의","여유")))))</f>
        <v/>
      </c>
      <c r="X114" s="40">
        <f>IF($A114="","",IF(P114=0,0,MAX(0,U114-P114)))</f>
        <v/>
      </c>
      <c r="Y114" s="34">
        <f>IF($A114="","",IF(OR(W114&lt;&gt;"부족 예상",설정!$C$7=12),"",IF(R114&lt;=0,"이미 초과",MIN(12,설정!$C$7+ROUNDUP(R114/(MAX(S114,T114)/(12-설정!$C$7)),0))&amp;"월")))</f>
        <v/>
      </c>
      <c r="Z114" s="26">
        <f>IF($A114="","",TRIM(IF(AND(N(AC114)&gt;=설정!$C$14,N114&gt;=설정!$C$10),"단건"&amp;TEXT(MIN(AC114,1),"0%")&amp;" ","")&amp;IF(AND(N114&gt;0,AD114&gt;0),IF(AD114/N114&gt;=설정!$C$16,"SA대체 ",""),"")&amp;IF(AE114&gt;0,"역분개"&amp;AE114&amp;"건 ","")&amp;IF(O114&gt;=설정!$C$13,"이상치 ","")&amp;IF(AND(I114=0,F114&gt;0),"신규지출 ","")))</f>
        <v/>
      </c>
      <c r="AA114" s="62">
        <f>IF($A114="","",ROUND((AF114+AG114+AH114+AI114)*IF(AND(F114&lt;설정!$C$10,N114&lt;설정!$C$10),0.3,1),1))</f>
        <v/>
      </c>
      <c r="AB114" s="41">
        <f>IF($A114="","",AA114+ROW()/1000000)</f>
        <v/>
      </c>
      <c r="AC114" s="60">
        <f>IF(OR($A114="",N114&lt;=0),"",SUMPRODUCT(MAX((전표_원본!$O$5:$O$100000=$E114)*(전표_원본!$M$5:$M$100000=설정!$C$20)*전표_원본!$P$5:$P$100000))/N114)</f>
        <v/>
      </c>
      <c r="AD114" s="35">
        <f>IF($A114="","",SUMIFS(전표_원본!$P$5:$P$100000,전표_원본!$O$5:$O$100000,$E114,전표_원본!$M$5:$M$100000,설정!$C$20,전표_원본!$E$5:$E$100000,"SA")-SUMIFS(전표_원본!$P$5:$P$100000,전표_원본!$O$5:$O$100000,$E114,전표_원본!$M$5:$M$100000,설정!$C$20-1,전표_원본!$E$5:$E$100000,"SA"))</f>
        <v/>
      </c>
      <c r="AE114" s="81">
        <f>IF($A114="","",COUNTIFS(전표_원본!$O$5:$O$100000,$E114,전표_원본!$M$5:$M$100000,설정!$C$20,전표_원본!$P$5:$P$100000,"&lt;0"))</f>
        <v/>
      </c>
      <c r="AF114" s="62">
        <f>IF($A114="","",MIN(MAX(0,N114)/(설정!$C$10*5),1)*30)</f>
        <v/>
      </c>
      <c r="AG114" s="82">
        <f>IF($A114="","",MIN(MAX(0,H114,J114),1)*20)</f>
        <v/>
      </c>
      <c r="AH114" s="82">
        <f>IF($A114="","",MIN(MAX(0,O114)/3,1)*25)</f>
        <v/>
      </c>
      <c r="AI114" s="82">
        <f>IF($A114="","",IF(OR(W114="부족 예상",W114="무예산",AO114="한도 초과",AO114="초과 예상",AO114="무예산"),25,IF(OR(W114="주의",AO114="주의"),15,0)))</f>
        <v/>
      </c>
      <c r="AJ114" s="35">
        <f>IF($A114="","",SUMIFS(예산판_원본!$O$5:$O$5000,예산판_원본!$L$5:$L$5000,$E114,예산판_원본!$M$5:$M$5000,설정!$C$6,예산판_원본!$N$5:$N$5000,설정!$C$21))</f>
        <v/>
      </c>
      <c r="AK114" s="40">
        <f>IF($A114="","",K114)</f>
        <v/>
      </c>
      <c r="AL114" s="40">
        <f>IF($A114="","",AJ114-AK114)</f>
        <v/>
      </c>
      <c r="AM114" s="35">
        <f>IF($A114="","",AK114+AVERAGE(월별집계!X114:Z114)*MAX(0,설정!$C$22+2-설정!$C$20))</f>
        <v/>
      </c>
      <c r="AN114" s="73">
        <f>IF($A114="","",IF(AJ114=0,0,AM114/AJ114))</f>
        <v/>
      </c>
      <c r="AO114" s="34">
        <f>IF($A114="","",IF(AND(AJ114=0,AK114&gt;0),"무예산",IF(AJ114=0,"-",IF(AK114&gt;AJ114,"한도 초과",IF(AN114&gt;설정!$C$12,"초과 예상",IF(AN114&gt;설정!$C$11,"주의","여유"))))))</f>
        <v/>
      </c>
      <c r="AP114" s="35">
        <f>IF($A114="","",IF(설정!$C$19="최근월",(INDEX(월별집계!$AB114:$AM114,설정!$C$7)-INDEX(월별집계!$AB114:$AM114,MAX(1,설정!$C$7-1))*(설정!$C$7&gt;1)),IF(설정!$C$19="최근분기",((INDEX(월별집계!$AB114:$AM114,설정!$C$7)-INDEX(월별집계!$AB114:$AM114,MAX(1,설정!$C$7-3))*(설정!$C$7&gt;3))/MIN(3,설정!$C$7)),IF(설정!$C$19="전년추세",AZ114,((설정!$C$7+1)*SUMPRODUCT(월별집계!$AB$5:$AM$5,월별집계!$AB114:$AM114)-(설정!$C$7*(설정!$C$7+1)/2)*SUM(월별집계!$AB114:$AM114))/((설정!$C$7+1)*(설정!$C$7*(설정!$C$7+1)*(2*설정!$C$7+1)/6)-(설정!$C$7*(설정!$C$7+1)/2)^2)))))</f>
        <v/>
      </c>
      <c r="AQ114" s="35">
        <f>IF($A114="","",IF(설정!$C$19="연내누적",(SUM(월별집계!$AB114:$AM114)-AP114*(설정!$C$7*(설정!$C$7+1)/2))/(설정!$C$7+1),INDEX(월별집계!$AB114:$AM114,설정!$C$7)-AP114*설정!$C$7))</f>
        <v/>
      </c>
      <c r="AR114" s="40">
        <f>IF($A114="","",AQ114+AP114*12)</f>
        <v/>
      </c>
      <c r="AS114" s="82">
        <f>IF($A114="","",IF(OR(P114&lt;=0,Q114&gt;=P114,AP114&lt;=0),"",MAX(설정!$C$7,(P114-AQ114)/AP114)))</f>
        <v/>
      </c>
      <c r="AT114" s="22">
        <f>IF($A114="","",IF(AS114="",IF(AU114="이미 소진","소진됨",""),YEAR((DATE(설정!$C$6,1,1)+ROUND(AS114*365/12,0)-1))&amp;"-"&amp;TEXT(MONTH((DATE(설정!$C$6,1,1)+ROUND(AS114*365/12,0)-1)),"00")&amp;"-"&amp;TEXT(DAY((DATE(설정!$C$6,1,1)+ROUND(AS114*365/12,0)-1)),"00")))</f>
        <v/>
      </c>
      <c r="AU114" s="34">
        <f>IF($A114="","",IF(AND(P114&lt;=0,Q114&gt;0),"무예산",IF(P114&lt;=0,"-",IF(Q114&gt;=P114,"이미 소진",IF(AP114&lt;=0,"소진 안 됨",IF(AS114&lt;=12,"연내 고갈","연내 여유"))))))</f>
        <v/>
      </c>
      <c r="AV114" s="34">
        <f>IF($A114="","",IF(AJ114&lt;=0,"",IF(AK114&gt;=AJ114,"한도 소진",IF(AK114&lt;=0,"",IF(AJ114/(AK114/(설정!$C$20-설정!$C$22+1))&gt;3,"분기 내 여유",YEAR((DATE(설정!$C$6,설정!$C$22-설정!$C$6*12,1)+ROUND(MAX((설정!$C$20-설정!$C$22+1),AJ114/(AK114/(설정!$C$20-설정!$C$22+1)))*365/12,0)-1))&amp;"-"&amp;TEXT(MONTH((DATE(설정!$C$6,설정!$C$22-설정!$C$6*12,1)+ROUND(MAX((설정!$C$20-설정!$C$22+1),AJ114/(AK114/(설정!$C$20-설정!$C$22+1)))*365/12,0)-1)),"00")&amp;"-"&amp;TEXT(DAY((DATE(설정!$C$6,설정!$C$22-설정!$C$6*12,1)+ROUND(MAX((설정!$C$20-설정!$C$22+1),AJ114/(AK114/(설정!$C$20-설정!$C$22+1)))*365/12,0)-1)),"00"))))))</f>
        <v/>
      </c>
      <c r="AW114" s="41">
        <f>IF($A114="",999+ROW()/1000000,IF(AU114="이미 소진",ROW()/1000000,IF(AU114="연내 고갈",AS114+ROW()/1000000,99+ROW()/1000000)))</f>
        <v/>
      </c>
      <c r="AX114" s="35">
        <f>IF($A114="","",SUMIFS(월별집계!$C114:$Z114,월별집계!$C$5:$Z$5,"&gt;="&amp;((설정!$C$6-1)*12+1),월별집계!$C$5:$Z$5,"&lt;="&amp;(설정!$C$20-12)))</f>
        <v/>
      </c>
      <c r="AY114" s="80">
        <f>IF($A114="","",IF(AX114&lt;=0,IF(Q114&gt;0,1,0),Q114/AX114-1))</f>
        <v/>
      </c>
      <c r="AZ114" s="35">
        <f>IF($A114="","",SUMIFS(월별집계!$C114:$Z114,월별집계!$C$5:$Z$5,"&gt;"&amp;(설정!$C$20-12),월별집계!$C$5:$Z$5,"&lt;="&amp;((설정!$C$6-1)*12+12))/MAX(1,12-설정!$C$7))</f>
        <v/>
      </c>
    </row>
    <row r="115">
      <c r="A115" s="12" t="n"/>
      <c r="B115" s="26">
        <f>IF($A115="","",IFERROR(INDEX(부서매핑!$D$5:$D$504,MATCH($A115,부서매핑!$C$5:$C$504,0)),"부서매핑 없음"))</f>
        <v/>
      </c>
      <c r="C115" s="79" t="n"/>
      <c r="D115" s="26">
        <f>IF($A115="","",IFERROR(INDEX(계정매핑!$B$5:$B$504,MATCH($C115&amp;"",계정매핑!$A$5:$A$504,0)),"계정매핑 없음"))</f>
        <v/>
      </c>
      <c r="E115" s="22">
        <f>IF($A115="","",$A115&amp;"|"&amp;$C115)</f>
        <v/>
      </c>
      <c r="F115" s="35">
        <f>IF($A115="","",월별집계!$Z115)</f>
        <v/>
      </c>
      <c r="G115" s="35">
        <f>IF($A115="","",월별집계!$Y115)</f>
        <v/>
      </c>
      <c r="H115" s="80">
        <f>IF($A115="","",IF(G115&lt;=0,IF(F115&gt;0,1,0),F115/G115-1))</f>
        <v/>
      </c>
      <c r="I115" s="35">
        <f>IF($A115="","",월별집계!$N115)</f>
        <v/>
      </c>
      <c r="J115" s="80">
        <f>IF($A115="","",IF(I115&lt;=0,IF(F115&gt;0,1,0),F115/I115-1))</f>
        <v/>
      </c>
      <c r="K115" s="35">
        <f>IF($A115="","",SUMIFS(월별집계!$C115:$Z115,월별집계!$C$5:$Z$5,"&gt;="&amp;설정!$C$22,월별집계!$C$5:$Z$5,"&lt;="&amp;설정!$C$20))</f>
        <v/>
      </c>
      <c r="L115" s="35">
        <f>IF($A115="","",SUMIFS(월별집계!$C115:$Z115,월별집계!$C$5:$Z$5,"&gt;="&amp;(설정!$C$22-3),월별집계!$C$5:$Z$5,"&lt;="&amp;(설정!$C$20-3)))</f>
        <v/>
      </c>
      <c r="M115" s="80">
        <f>IF($A115="","",IF(L115&lt;=0,IF(K115&gt;0,1,0),K115/L115-1))</f>
        <v/>
      </c>
      <c r="N115" s="40">
        <f>IF($A115="","",MAX(F115-G115,F115-I115))</f>
        <v/>
      </c>
      <c r="O115" s="62">
        <f>IF($A115="","",IFERROR((월별집계!$Z115-AVERAGE(월별집계!N115:Y115))/STDEV(월별집계!N115:Y115),0))</f>
        <v/>
      </c>
      <c r="P115" s="35">
        <f>IF($A115="","",SUMIFS(예산판_원본!$O$5:$O$5000,예산판_원본!$L$5:$L$5000,$E115,예산판_원본!$M$5:$M$5000,설정!$C$6))</f>
        <v/>
      </c>
      <c r="Q115" s="35">
        <f>IF($A115="","",SUMIFS(월별집계!$C115:$Z115,월별집계!$C$5:$Z$5,"&gt;="&amp;(설정!$C$6*12+1),월별집계!$C$5:$Z$5,"&lt;="&amp;설정!$C$20))</f>
        <v/>
      </c>
      <c r="R115" s="40">
        <f>IF($A115="","",P115-Q115)</f>
        <v/>
      </c>
      <c r="S115" s="35">
        <f>IF($A115="","",AVERAGE(월별집계!X115:Z115)*(12-설정!$C$7))</f>
        <v/>
      </c>
      <c r="T115" s="35">
        <f>IF($A115="","",IFERROR(Q115/(SUMIFS(월별집계!$C115:$Z115,월별집계!$C$5:$Z$5,"&gt;="&amp;((설정!$C$6-1)*12+1),월별집계!$C$5:$Z$5,"&lt;="&amp;(설정!$C$20-12))/SUMIFS(월별집계!$C115:$Z115,월별집계!$C$5:$Z$5,"&gt;="&amp;((설정!$C$6-1)*12+1),월별집계!$C$5:$Z$5,"&lt;="&amp;((설정!$C$6-1)*12+12)))-Q115,S115))</f>
        <v/>
      </c>
      <c r="U115" s="40">
        <f>IF($A115="","",Q115+MAX(S115,T115))</f>
        <v/>
      </c>
      <c r="V115" s="73">
        <f>IF($A115="","",IF(P115=0,0,U115/P115))</f>
        <v/>
      </c>
      <c r="W115" s="34">
        <f>IF($A115="","",IF(AND(P115=0,Q115&gt;0),"무예산",IF(P115=0,"-",IF(V115&gt;설정!$C$12,"부족 예상",IF(V115&gt;설정!$C$11,"주의","여유")))))</f>
        <v/>
      </c>
      <c r="X115" s="40">
        <f>IF($A115="","",IF(P115=0,0,MAX(0,U115-P115)))</f>
        <v/>
      </c>
      <c r="Y115" s="34">
        <f>IF($A115="","",IF(OR(W115&lt;&gt;"부족 예상",설정!$C$7=12),"",IF(R115&lt;=0,"이미 초과",MIN(12,설정!$C$7+ROUNDUP(R115/(MAX(S115,T115)/(12-설정!$C$7)),0))&amp;"월")))</f>
        <v/>
      </c>
      <c r="Z115" s="26">
        <f>IF($A115="","",TRIM(IF(AND(N(AC115)&gt;=설정!$C$14,N115&gt;=설정!$C$10),"단건"&amp;TEXT(MIN(AC115,1),"0%")&amp;" ","")&amp;IF(AND(N115&gt;0,AD115&gt;0),IF(AD115/N115&gt;=설정!$C$16,"SA대체 ",""),"")&amp;IF(AE115&gt;0,"역분개"&amp;AE115&amp;"건 ","")&amp;IF(O115&gt;=설정!$C$13,"이상치 ","")&amp;IF(AND(I115=0,F115&gt;0),"신규지출 ","")))</f>
        <v/>
      </c>
      <c r="AA115" s="62">
        <f>IF($A115="","",ROUND((AF115+AG115+AH115+AI115)*IF(AND(F115&lt;설정!$C$10,N115&lt;설정!$C$10),0.3,1),1))</f>
        <v/>
      </c>
      <c r="AB115" s="41">
        <f>IF($A115="","",AA115+ROW()/1000000)</f>
        <v/>
      </c>
      <c r="AC115" s="60">
        <f>IF(OR($A115="",N115&lt;=0),"",SUMPRODUCT(MAX((전표_원본!$O$5:$O$100000=$E115)*(전표_원본!$M$5:$M$100000=설정!$C$20)*전표_원본!$P$5:$P$100000))/N115)</f>
        <v/>
      </c>
      <c r="AD115" s="35">
        <f>IF($A115="","",SUMIFS(전표_원본!$P$5:$P$100000,전표_원본!$O$5:$O$100000,$E115,전표_원본!$M$5:$M$100000,설정!$C$20,전표_원본!$E$5:$E$100000,"SA")-SUMIFS(전표_원본!$P$5:$P$100000,전표_원본!$O$5:$O$100000,$E115,전표_원본!$M$5:$M$100000,설정!$C$20-1,전표_원본!$E$5:$E$100000,"SA"))</f>
        <v/>
      </c>
      <c r="AE115" s="81">
        <f>IF($A115="","",COUNTIFS(전표_원본!$O$5:$O$100000,$E115,전표_원본!$M$5:$M$100000,설정!$C$20,전표_원본!$P$5:$P$100000,"&lt;0"))</f>
        <v/>
      </c>
      <c r="AF115" s="62">
        <f>IF($A115="","",MIN(MAX(0,N115)/(설정!$C$10*5),1)*30)</f>
        <v/>
      </c>
      <c r="AG115" s="82">
        <f>IF($A115="","",MIN(MAX(0,H115,J115),1)*20)</f>
        <v/>
      </c>
      <c r="AH115" s="82">
        <f>IF($A115="","",MIN(MAX(0,O115)/3,1)*25)</f>
        <v/>
      </c>
      <c r="AI115" s="82">
        <f>IF($A115="","",IF(OR(W115="부족 예상",W115="무예산",AO115="한도 초과",AO115="초과 예상",AO115="무예산"),25,IF(OR(W115="주의",AO115="주의"),15,0)))</f>
        <v/>
      </c>
      <c r="AJ115" s="35">
        <f>IF($A115="","",SUMIFS(예산판_원본!$O$5:$O$5000,예산판_원본!$L$5:$L$5000,$E115,예산판_원본!$M$5:$M$5000,설정!$C$6,예산판_원본!$N$5:$N$5000,설정!$C$21))</f>
        <v/>
      </c>
      <c r="AK115" s="40">
        <f>IF($A115="","",K115)</f>
        <v/>
      </c>
      <c r="AL115" s="40">
        <f>IF($A115="","",AJ115-AK115)</f>
        <v/>
      </c>
      <c r="AM115" s="35">
        <f>IF($A115="","",AK115+AVERAGE(월별집계!X115:Z115)*MAX(0,설정!$C$22+2-설정!$C$20))</f>
        <v/>
      </c>
      <c r="AN115" s="73">
        <f>IF($A115="","",IF(AJ115=0,0,AM115/AJ115))</f>
        <v/>
      </c>
      <c r="AO115" s="34">
        <f>IF($A115="","",IF(AND(AJ115=0,AK115&gt;0),"무예산",IF(AJ115=0,"-",IF(AK115&gt;AJ115,"한도 초과",IF(AN115&gt;설정!$C$12,"초과 예상",IF(AN115&gt;설정!$C$11,"주의","여유"))))))</f>
        <v/>
      </c>
      <c r="AP115" s="35">
        <f>IF($A115="","",IF(설정!$C$19="최근월",(INDEX(월별집계!$AB115:$AM115,설정!$C$7)-INDEX(월별집계!$AB115:$AM115,MAX(1,설정!$C$7-1))*(설정!$C$7&gt;1)),IF(설정!$C$19="최근분기",((INDEX(월별집계!$AB115:$AM115,설정!$C$7)-INDEX(월별집계!$AB115:$AM115,MAX(1,설정!$C$7-3))*(설정!$C$7&gt;3))/MIN(3,설정!$C$7)),IF(설정!$C$19="전년추세",AZ115,((설정!$C$7+1)*SUMPRODUCT(월별집계!$AB$5:$AM$5,월별집계!$AB115:$AM115)-(설정!$C$7*(설정!$C$7+1)/2)*SUM(월별집계!$AB115:$AM115))/((설정!$C$7+1)*(설정!$C$7*(설정!$C$7+1)*(2*설정!$C$7+1)/6)-(설정!$C$7*(설정!$C$7+1)/2)^2)))))</f>
        <v/>
      </c>
      <c r="AQ115" s="35">
        <f>IF($A115="","",IF(설정!$C$19="연내누적",(SUM(월별집계!$AB115:$AM115)-AP115*(설정!$C$7*(설정!$C$7+1)/2))/(설정!$C$7+1),INDEX(월별집계!$AB115:$AM115,설정!$C$7)-AP115*설정!$C$7))</f>
        <v/>
      </c>
      <c r="AR115" s="40">
        <f>IF($A115="","",AQ115+AP115*12)</f>
        <v/>
      </c>
      <c r="AS115" s="82">
        <f>IF($A115="","",IF(OR(P115&lt;=0,Q115&gt;=P115,AP115&lt;=0),"",MAX(설정!$C$7,(P115-AQ115)/AP115)))</f>
        <v/>
      </c>
      <c r="AT115" s="22">
        <f>IF($A115="","",IF(AS115="",IF(AU115="이미 소진","소진됨",""),YEAR((DATE(설정!$C$6,1,1)+ROUND(AS115*365/12,0)-1))&amp;"-"&amp;TEXT(MONTH((DATE(설정!$C$6,1,1)+ROUND(AS115*365/12,0)-1)),"00")&amp;"-"&amp;TEXT(DAY((DATE(설정!$C$6,1,1)+ROUND(AS115*365/12,0)-1)),"00")))</f>
        <v/>
      </c>
      <c r="AU115" s="34">
        <f>IF($A115="","",IF(AND(P115&lt;=0,Q115&gt;0),"무예산",IF(P115&lt;=0,"-",IF(Q115&gt;=P115,"이미 소진",IF(AP115&lt;=0,"소진 안 됨",IF(AS115&lt;=12,"연내 고갈","연내 여유"))))))</f>
        <v/>
      </c>
      <c r="AV115" s="34">
        <f>IF($A115="","",IF(AJ115&lt;=0,"",IF(AK115&gt;=AJ115,"한도 소진",IF(AK115&lt;=0,"",IF(AJ115/(AK115/(설정!$C$20-설정!$C$22+1))&gt;3,"분기 내 여유",YEAR((DATE(설정!$C$6,설정!$C$22-설정!$C$6*12,1)+ROUND(MAX((설정!$C$20-설정!$C$22+1),AJ115/(AK115/(설정!$C$20-설정!$C$22+1)))*365/12,0)-1))&amp;"-"&amp;TEXT(MONTH((DATE(설정!$C$6,설정!$C$22-설정!$C$6*12,1)+ROUND(MAX((설정!$C$20-설정!$C$22+1),AJ115/(AK115/(설정!$C$20-설정!$C$22+1)))*365/12,0)-1)),"00")&amp;"-"&amp;TEXT(DAY((DATE(설정!$C$6,설정!$C$22-설정!$C$6*12,1)+ROUND(MAX((설정!$C$20-설정!$C$22+1),AJ115/(AK115/(설정!$C$20-설정!$C$22+1)))*365/12,0)-1)),"00"))))))</f>
        <v/>
      </c>
      <c r="AW115" s="41">
        <f>IF($A115="",999+ROW()/1000000,IF(AU115="이미 소진",ROW()/1000000,IF(AU115="연내 고갈",AS115+ROW()/1000000,99+ROW()/1000000)))</f>
        <v/>
      </c>
      <c r="AX115" s="35">
        <f>IF($A115="","",SUMIFS(월별집계!$C115:$Z115,월별집계!$C$5:$Z$5,"&gt;="&amp;((설정!$C$6-1)*12+1),월별집계!$C$5:$Z$5,"&lt;="&amp;(설정!$C$20-12)))</f>
        <v/>
      </c>
      <c r="AY115" s="80">
        <f>IF($A115="","",IF(AX115&lt;=0,IF(Q115&gt;0,1,0),Q115/AX115-1))</f>
        <v/>
      </c>
      <c r="AZ115" s="35">
        <f>IF($A115="","",SUMIFS(월별집계!$C115:$Z115,월별집계!$C$5:$Z$5,"&gt;"&amp;(설정!$C$20-12),월별집계!$C$5:$Z$5,"&lt;="&amp;((설정!$C$6-1)*12+12))/MAX(1,12-설정!$C$7))</f>
        <v/>
      </c>
    </row>
    <row r="116">
      <c r="A116" s="12" t="n"/>
      <c r="B116" s="26">
        <f>IF($A116="","",IFERROR(INDEX(부서매핑!$D$5:$D$504,MATCH($A116,부서매핑!$C$5:$C$504,0)),"부서매핑 없음"))</f>
        <v/>
      </c>
      <c r="C116" s="79" t="n"/>
      <c r="D116" s="26">
        <f>IF($A116="","",IFERROR(INDEX(계정매핑!$B$5:$B$504,MATCH($C116&amp;"",계정매핑!$A$5:$A$504,0)),"계정매핑 없음"))</f>
        <v/>
      </c>
      <c r="E116" s="22">
        <f>IF($A116="","",$A116&amp;"|"&amp;$C116)</f>
        <v/>
      </c>
      <c r="F116" s="35">
        <f>IF($A116="","",월별집계!$Z116)</f>
        <v/>
      </c>
      <c r="G116" s="35">
        <f>IF($A116="","",월별집계!$Y116)</f>
        <v/>
      </c>
      <c r="H116" s="80">
        <f>IF($A116="","",IF(G116&lt;=0,IF(F116&gt;0,1,0),F116/G116-1))</f>
        <v/>
      </c>
      <c r="I116" s="35">
        <f>IF($A116="","",월별집계!$N116)</f>
        <v/>
      </c>
      <c r="J116" s="80">
        <f>IF($A116="","",IF(I116&lt;=0,IF(F116&gt;0,1,0),F116/I116-1))</f>
        <v/>
      </c>
      <c r="K116" s="35">
        <f>IF($A116="","",SUMIFS(월별집계!$C116:$Z116,월별집계!$C$5:$Z$5,"&gt;="&amp;설정!$C$22,월별집계!$C$5:$Z$5,"&lt;="&amp;설정!$C$20))</f>
        <v/>
      </c>
      <c r="L116" s="35">
        <f>IF($A116="","",SUMIFS(월별집계!$C116:$Z116,월별집계!$C$5:$Z$5,"&gt;="&amp;(설정!$C$22-3),월별집계!$C$5:$Z$5,"&lt;="&amp;(설정!$C$20-3)))</f>
        <v/>
      </c>
      <c r="M116" s="80">
        <f>IF($A116="","",IF(L116&lt;=0,IF(K116&gt;0,1,0),K116/L116-1))</f>
        <v/>
      </c>
      <c r="N116" s="40">
        <f>IF($A116="","",MAX(F116-G116,F116-I116))</f>
        <v/>
      </c>
      <c r="O116" s="62">
        <f>IF($A116="","",IFERROR((월별집계!$Z116-AVERAGE(월별집계!N116:Y116))/STDEV(월별집계!N116:Y116),0))</f>
        <v/>
      </c>
      <c r="P116" s="35">
        <f>IF($A116="","",SUMIFS(예산판_원본!$O$5:$O$5000,예산판_원본!$L$5:$L$5000,$E116,예산판_원본!$M$5:$M$5000,설정!$C$6))</f>
        <v/>
      </c>
      <c r="Q116" s="35">
        <f>IF($A116="","",SUMIFS(월별집계!$C116:$Z116,월별집계!$C$5:$Z$5,"&gt;="&amp;(설정!$C$6*12+1),월별집계!$C$5:$Z$5,"&lt;="&amp;설정!$C$20))</f>
        <v/>
      </c>
      <c r="R116" s="40">
        <f>IF($A116="","",P116-Q116)</f>
        <v/>
      </c>
      <c r="S116" s="35">
        <f>IF($A116="","",AVERAGE(월별집계!X116:Z116)*(12-설정!$C$7))</f>
        <v/>
      </c>
      <c r="T116" s="35">
        <f>IF($A116="","",IFERROR(Q116/(SUMIFS(월별집계!$C116:$Z116,월별집계!$C$5:$Z$5,"&gt;="&amp;((설정!$C$6-1)*12+1),월별집계!$C$5:$Z$5,"&lt;="&amp;(설정!$C$20-12))/SUMIFS(월별집계!$C116:$Z116,월별집계!$C$5:$Z$5,"&gt;="&amp;((설정!$C$6-1)*12+1),월별집계!$C$5:$Z$5,"&lt;="&amp;((설정!$C$6-1)*12+12)))-Q116,S116))</f>
        <v/>
      </c>
      <c r="U116" s="40">
        <f>IF($A116="","",Q116+MAX(S116,T116))</f>
        <v/>
      </c>
      <c r="V116" s="73">
        <f>IF($A116="","",IF(P116=0,0,U116/P116))</f>
        <v/>
      </c>
      <c r="W116" s="34">
        <f>IF($A116="","",IF(AND(P116=0,Q116&gt;0),"무예산",IF(P116=0,"-",IF(V116&gt;설정!$C$12,"부족 예상",IF(V116&gt;설정!$C$11,"주의","여유")))))</f>
        <v/>
      </c>
      <c r="X116" s="40">
        <f>IF($A116="","",IF(P116=0,0,MAX(0,U116-P116)))</f>
        <v/>
      </c>
      <c r="Y116" s="34">
        <f>IF($A116="","",IF(OR(W116&lt;&gt;"부족 예상",설정!$C$7=12),"",IF(R116&lt;=0,"이미 초과",MIN(12,설정!$C$7+ROUNDUP(R116/(MAX(S116,T116)/(12-설정!$C$7)),0))&amp;"월")))</f>
        <v/>
      </c>
      <c r="Z116" s="26">
        <f>IF($A116="","",TRIM(IF(AND(N(AC116)&gt;=설정!$C$14,N116&gt;=설정!$C$10),"단건"&amp;TEXT(MIN(AC116,1),"0%")&amp;" ","")&amp;IF(AND(N116&gt;0,AD116&gt;0),IF(AD116/N116&gt;=설정!$C$16,"SA대체 ",""),"")&amp;IF(AE116&gt;0,"역분개"&amp;AE116&amp;"건 ","")&amp;IF(O116&gt;=설정!$C$13,"이상치 ","")&amp;IF(AND(I116=0,F116&gt;0),"신규지출 ","")))</f>
        <v/>
      </c>
      <c r="AA116" s="62">
        <f>IF($A116="","",ROUND((AF116+AG116+AH116+AI116)*IF(AND(F116&lt;설정!$C$10,N116&lt;설정!$C$10),0.3,1),1))</f>
        <v/>
      </c>
      <c r="AB116" s="41">
        <f>IF($A116="","",AA116+ROW()/1000000)</f>
        <v/>
      </c>
      <c r="AC116" s="60">
        <f>IF(OR($A116="",N116&lt;=0),"",SUMPRODUCT(MAX((전표_원본!$O$5:$O$100000=$E116)*(전표_원본!$M$5:$M$100000=설정!$C$20)*전표_원본!$P$5:$P$100000))/N116)</f>
        <v/>
      </c>
      <c r="AD116" s="35">
        <f>IF($A116="","",SUMIFS(전표_원본!$P$5:$P$100000,전표_원본!$O$5:$O$100000,$E116,전표_원본!$M$5:$M$100000,설정!$C$20,전표_원본!$E$5:$E$100000,"SA")-SUMIFS(전표_원본!$P$5:$P$100000,전표_원본!$O$5:$O$100000,$E116,전표_원본!$M$5:$M$100000,설정!$C$20-1,전표_원본!$E$5:$E$100000,"SA"))</f>
        <v/>
      </c>
      <c r="AE116" s="81">
        <f>IF($A116="","",COUNTIFS(전표_원본!$O$5:$O$100000,$E116,전표_원본!$M$5:$M$100000,설정!$C$20,전표_원본!$P$5:$P$100000,"&lt;0"))</f>
        <v/>
      </c>
      <c r="AF116" s="62">
        <f>IF($A116="","",MIN(MAX(0,N116)/(설정!$C$10*5),1)*30)</f>
        <v/>
      </c>
      <c r="AG116" s="82">
        <f>IF($A116="","",MIN(MAX(0,H116,J116),1)*20)</f>
        <v/>
      </c>
      <c r="AH116" s="82">
        <f>IF($A116="","",MIN(MAX(0,O116)/3,1)*25)</f>
        <v/>
      </c>
      <c r="AI116" s="82">
        <f>IF($A116="","",IF(OR(W116="부족 예상",W116="무예산",AO116="한도 초과",AO116="초과 예상",AO116="무예산"),25,IF(OR(W116="주의",AO116="주의"),15,0)))</f>
        <v/>
      </c>
      <c r="AJ116" s="35">
        <f>IF($A116="","",SUMIFS(예산판_원본!$O$5:$O$5000,예산판_원본!$L$5:$L$5000,$E116,예산판_원본!$M$5:$M$5000,설정!$C$6,예산판_원본!$N$5:$N$5000,설정!$C$21))</f>
        <v/>
      </c>
      <c r="AK116" s="40">
        <f>IF($A116="","",K116)</f>
        <v/>
      </c>
      <c r="AL116" s="40">
        <f>IF($A116="","",AJ116-AK116)</f>
        <v/>
      </c>
      <c r="AM116" s="35">
        <f>IF($A116="","",AK116+AVERAGE(월별집계!X116:Z116)*MAX(0,설정!$C$22+2-설정!$C$20))</f>
        <v/>
      </c>
      <c r="AN116" s="73">
        <f>IF($A116="","",IF(AJ116=0,0,AM116/AJ116))</f>
        <v/>
      </c>
      <c r="AO116" s="34">
        <f>IF($A116="","",IF(AND(AJ116=0,AK116&gt;0),"무예산",IF(AJ116=0,"-",IF(AK116&gt;AJ116,"한도 초과",IF(AN116&gt;설정!$C$12,"초과 예상",IF(AN116&gt;설정!$C$11,"주의","여유"))))))</f>
        <v/>
      </c>
      <c r="AP116" s="35">
        <f>IF($A116="","",IF(설정!$C$19="최근월",(INDEX(월별집계!$AB116:$AM116,설정!$C$7)-INDEX(월별집계!$AB116:$AM116,MAX(1,설정!$C$7-1))*(설정!$C$7&gt;1)),IF(설정!$C$19="최근분기",((INDEX(월별집계!$AB116:$AM116,설정!$C$7)-INDEX(월별집계!$AB116:$AM116,MAX(1,설정!$C$7-3))*(설정!$C$7&gt;3))/MIN(3,설정!$C$7)),IF(설정!$C$19="전년추세",AZ116,((설정!$C$7+1)*SUMPRODUCT(월별집계!$AB$5:$AM$5,월별집계!$AB116:$AM116)-(설정!$C$7*(설정!$C$7+1)/2)*SUM(월별집계!$AB116:$AM116))/((설정!$C$7+1)*(설정!$C$7*(설정!$C$7+1)*(2*설정!$C$7+1)/6)-(설정!$C$7*(설정!$C$7+1)/2)^2)))))</f>
        <v/>
      </c>
      <c r="AQ116" s="35">
        <f>IF($A116="","",IF(설정!$C$19="연내누적",(SUM(월별집계!$AB116:$AM116)-AP116*(설정!$C$7*(설정!$C$7+1)/2))/(설정!$C$7+1),INDEX(월별집계!$AB116:$AM116,설정!$C$7)-AP116*설정!$C$7))</f>
        <v/>
      </c>
      <c r="AR116" s="40">
        <f>IF($A116="","",AQ116+AP116*12)</f>
        <v/>
      </c>
      <c r="AS116" s="82">
        <f>IF($A116="","",IF(OR(P116&lt;=0,Q116&gt;=P116,AP116&lt;=0),"",MAX(설정!$C$7,(P116-AQ116)/AP116)))</f>
        <v/>
      </c>
      <c r="AT116" s="22">
        <f>IF($A116="","",IF(AS116="",IF(AU116="이미 소진","소진됨",""),YEAR((DATE(설정!$C$6,1,1)+ROUND(AS116*365/12,0)-1))&amp;"-"&amp;TEXT(MONTH((DATE(설정!$C$6,1,1)+ROUND(AS116*365/12,0)-1)),"00")&amp;"-"&amp;TEXT(DAY((DATE(설정!$C$6,1,1)+ROUND(AS116*365/12,0)-1)),"00")))</f>
        <v/>
      </c>
      <c r="AU116" s="34">
        <f>IF($A116="","",IF(AND(P116&lt;=0,Q116&gt;0),"무예산",IF(P116&lt;=0,"-",IF(Q116&gt;=P116,"이미 소진",IF(AP116&lt;=0,"소진 안 됨",IF(AS116&lt;=12,"연내 고갈","연내 여유"))))))</f>
        <v/>
      </c>
      <c r="AV116" s="34">
        <f>IF($A116="","",IF(AJ116&lt;=0,"",IF(AK116&gt;=AJ116,"한도 소진",IF(AK116&lt;=0,"",IF(AJ116/(AK116/(설정!$C$20-설정!$C$22+1))&gt;3,"분기 내 여유",YEAR((DATE(설정!$C$6,설정!$C$22-설정!$C$6*12,1)+ROUND(MAX((설정!$C$20-설정!$C$22+1),AJ116/(AK116/(설정!$C$20-설정!$C$22+1)))*365/12,0)-1))&amp;"-"&amp;TEXT(MONTH((DATE(설정!$C$6,설정!$C$22-설정!$C$6*12,1)+ROUND(MAX((설정!$C$20-설정!$C$22+1),AJ116/(AK116/(설정!$C$20-설정!$C$22+1)))*365/12,0)-1)),"00")&amp;"-"&amp;TEXT(DAY((DATE(설정!$C$6,설정!$C$22-설정!$C$6*12,1)+ROUND(MAX((설정!$C$20-설정!$C$22+1),AJ116/(AK116/(설정!$C$20-설정!$C$22+1)))*365/12,0)-1)),"00"))))))</f>
        <v/>
      </c>
      <c r="AW116" s="41">
        <f>IF($A116="",999+ROW()/1000000,IF(AU116="이미 소진",ROW()/1000000,IF(AU116="연내 고갈",AS116+ROW()/1000000,99+ROW()/1000000)))</f>
        <v/>
      </c>
      <c r="AX116" s="35">
        <f>IF($A116="","",SUMIFS(월별집계!$C116:$Z116,월별집계!$C$5:$Z$5,"&gt;="&amp;((설정!$C$6-1)*12+1),월별집계!$C$5:$Z$5,"&lt;="&amp;(설정!$C$20-12)))</f>
        <v/>
      </c>
      <c r="AY116" s="80">
        <f>IF($A116="","",IF(AX116&lt;=0,IF(Q116&gt;0,1,0),Q116/AX116-1))</f>
        <v/>
      </c>
      <c r="AZ116" s="35">
        <f>IF($A116="","",SUMIFS(월별집계!$C116:$Z116,월별집계!$C$5:$Z$5,"&gt;"&amp;(설정!$C$20-12),월별집계!$C$5:$Z$5,"&lt;="&amp;((설정!$C$6-1)*12+12))/MAX(1,12-설정!$C$7))</f>
        <v/>
      </c>
    </row>
    <row r="117">
      <c r="A117" s="12" t="n"/>
      <c r="B117" s="26">
        <f>IF($A117="","",IFERROR(INDEX(부서매핑!$D$5:$D$504,MATCH($A117,부서매핑!$C$5:$C$504,0)),"부서매핑 없음"))</f>
        <v/>
      </c>
      <c r="C117" s="79" t="n"/>
      <c r="D117" s="26">
        <f>IF($A117="","",IFERROR(INDEX(계정매핑!$B$5:$B$504,MATCH($C117&amp;"",계정매핑!$A$5:$A$504,0)),"계정매핑 없음"))</f>
        <v/>
      </c>
      <c r="E117" s="22">
        <f>IF($A117="","",$A117&amp;"|"&amp;$C117)</f>
        <v/>
      </c>
      <c r="F117" s="35">
        <f>IF($A117="","",월별집계!$Z117)</f>
        <v/>
      </c>
      <c r="G117" s="35">
        <f>IF($A117="","",월별집계!$Y117)</f>
        <v/>
      </c>
      <c r="H117" s="80">
        <f>IF($A117="","",IF(G117&lt;=0,IF(F117&gt;0,1,0),F117/G117-1))</f>
        <v/>
      </c>
      <c r="I117" s="35">
        <f>IF($A117="","",월별집계!$N117)</f>
        <v/>
      </c>
      <c r="J117" s="80">
        <f>IF($A117="","",IF(I117&lt;=0,IF(F117&gt;0,1,0),F117/I117-1))</f>
        <v/>
      </c>
      <c r="K117" s="35">
        <f>IF($A117="","",SUMIFS(월별집계!$C117:$Z117,월별집계!$C$5:$Z$5,"&gt;="&amp;설정!$C$22,월별집계!$C$5:$Z$5,"&lt;="&amp;설정!$C$20))</f>
        <v/>
      </c>
      <c r="L117" s="35">
        <f>IF($A117="","",SUMIFS(월별집계!$C117:$Z117,월별집계!$C$5:$Z$5,"&gt;="&amp;(설정!$C$22-3),월별집계!$C$5:$Z$5,"&lt;="&amp;(설정!$C$20-3)))</f>
        <v/>
      </c>
      <c r="M117" s="80">
        <f>IF($A117="","",IF(L117&lt;=0,IF(K117&gt;0,1,0),K117/L117-1))</f>
        <v/>
      </c>
      <c r="N117" s="40">
        <f>IF($A117="","",MAX(F117-G117,F117-I117))</f>
        <v/>
      </c>
      <c r="O117" s="62">
        <f>IF($A117="","",IFERROR((월별집계!$Z117-AVERAGE(월별집계!N117:Y117))/STDEV(월별집계!N117:Y117),0))</f>
        <v/>
      </c>
      <c r="P117" s="35">
        <f>IF($A117="","",SUMIFS(예산판_원본!$O$5:$O$5000,예산판_원본!$L$5:$L$5000,$E117,예산판_원본!$M$5:$M$5000,설정!$C$6))</f>
        <v/>
      </c>
      <c r="Q117" s="35">
        <f>IF($A117="","",SUMIFS(월별집계!$C117:$Z117,월별집계!$C$5:$Z$5,"&gt;="&amp;(설정!$C$6*12+1),월별집계!$C$5:$Z$5,"&lt;="&amp;설정!$C$20))</f>
        <v/>
      </c>
      <c r="R117" s="40">
        <f>IF($A117="","",P117-Q117)</f>
        <v/>
      </c>
      <c r="S117" s="35">
        <f>IF($A117="","",AVERAGE(월별집계!X117:Z117)*(12-설정!$C$7))</f>
        <v/>
      </c>
      <c r="T117" s="35">
        <f>IF($A117="","",IFERROR(Q117/(SUMIFS(월별집계!$C117:$Z117,월별집계!$C$5:$Z$5,"&gt;="&amp;((설정!$C$6-1)*12+1),월별집계!$C$5:$Z$5,"&lt;="&amp;(설정!$C$20-12))/SUMIFS(월별집계!$C117:$Z117,월별집계!$C$5:$Z$5,"&gt;="&amp;((설정!$C$6-1)*12+1),월별집계!$C$5:$Z$5,"&lt;="&amp;((설정!$C$6-1)*12+12)))-Q117,S117))</f>
        <v/>
      </c>
      <c r="U117" s="40">
        <f>IF($A117="","",Q117+MAX(S117,T117))</f>
        <v/>
      </c>
      <c r="V117" s="73">
        <f>IF($A117="","",IF(P117=0,0,U117/P117))</f>
        <v/>
      </c>
      <c r="W117" s="34">
        <f>IF($A117="","",IF(AND(P117=0,Q117&gt;0),"무예산",IF(P117=0,"-",IF(V117&gt;설정!$C$12,"부족 예상",IF(V117&gt;설정!$C$11,"주의","여유")))))</f>
        <v/>
      </c>
      <c r="X117" s="40">
        <f>IF($A117="","",IF(P117=0,0,MAX(0,U117-P117)))</f>
        <v/>
      </c>
      <c r="Y117" s="34">
        <f>IF($A117="","",IF(OR(W117&lt;&gt;"부족 예상",설정!$C$7=12),"",IF(R117&lt;=0,"이미 초과",MIN(12,설정!$C$7+ROUNDUP(R117/(MAX(S117,T117)/(12-설정!$C$7)),0))&amp;"월")))</f>
        <v/>
      </c>
      <c r="Z117" s="26">
        <f>IF($A117="","",TRIM(IF(AND(N(AC117)&gt;=설정!$C$14,N117&gt;=설정!$C$10),"단건"&amp;TEXT(MIN(AC117,1),"0%")&amp;" ","")&amp;IF(AND(N117&gt;0,AD117&gt;0),IF(AD117/N117&gt;=설정!$C$16,"SA대체 ",""),"")&amp;IF(AE117&gt;0,"역분개"&amp;AE117&amp;"건 ","")&amp;IF(O117&gt;=설정!$C$13,"이상치 ","")&amp;IF(AND(I117=0,F117&gt;0),"신규지출 ","")))</f>
        <v/>
      </c>
      <c r="AA117" s="62">
        <f>IF($A117="","",ROUND((AF117+AG117+AH117+AI117)*IF(AND(F117&lt;설정!$C$10,N117&lt;설정!$C$10),0.3,1),1))</f>
        <v/>
      </c>
      <c r="AB117" s="41">
        <f>IF($A117="","",AA117+ROW()/1000000)</f>
        <v/>
      </c>
      <c r="AC117" s="60">
        <f>IF(OR($A117="",N117&lt;=0),"",SUMPRODUCT(MAX((전표_원본!$O$5:$O$100000=$E117)*(전표_원본!$M$5:$M$100000=설정!$C$20)*전표_원본!$P$5:$P$100000))/N117)</f>
        <v/>
      </c>
      <c r="AD117" s="35">
        <f>IF($A117="","",SUMIFS(전표_원본!$P$5:$P$100000,전표_원본!$O$5:$O$100000,$E117,전표_원본!$M$5:$M$100000,설정!$C$20,전표_원본!$E$5:$E$100000,"SA")-SUMIFS(전표_원본!$P$5:$P$100000,전표_원본!$O$5:$O$100000,$E117,전표_원본!$M$5:$M$100000,설정!$C$20-1,전표_원본!$E$5:$E$100000,"SA"))</f>
        <v/>
      </c>
      <c r="AE117" s="81">
        <f>IF($A117="","",COUNTIFS(전표_원본!$O$5:$O$100000,$E117,전표_원본!$M$5:$M$100000,설정!$C$20,전표_원본!$P$5:$P$100000,"&lt;0"))</f>
        <v/>
      </c>
      <c r="AF117" s="62">
        <f>IF($A117="","",MIN(MAX(0,N117)/(설정!$C$10*5),1)*30)</f>
        <v/>
      </c>
      <c r="AG117" s="82">
        <f>IF($A117="","",MIN(MAX(0,H117,J117),1)*20)</f>
        <v/>
      </c>
      <c r="AH117" s="82">
        <f>IF($A117="","",MIN(MAX(0,O117)/3,1)*25)</f>
        <v/>
      </c>
      <c r="AI117" s="82">
        <f>IF($A117="","",IF(OR(W117="부족 예상",W117="무예산",AO117="한도 초과",AO117="초과 예상",AO117="무예산"),25,IF(OR(W117="주의",AO117="주의"),15,0)))</f>
        <v/>
      </c>
      <c r="AJ117" s="35">
        <f>IF($A117="","",SUMIFS(예산판_원본!$O$5:$O$5000,예산판_원본!$L$5:$L$5000,$E117,예산판_원본!$M$5:$M$5000,설정!$C$6,예산판_원본!$N$5:$N$5000,설정!$C$21))</f>
        <v/>
      </c>
      <c r="AK117" s="40">
        <f>IF($A117="","",K117)</f>
        <v/>
      </c>
      <c r="AL117" s="40">
        <f>IF($A117="","",AJ117-AK117)</f>
        <v/>
      </c>
      <c r="AM117" s="35">
        <f>IF($A117="","",AK117+AVERAGE(월별집계!X117:Z117)*MAX(0,설정!$C$22+2-설정!$C$20))</f>
        <v/>
      </c>
      <c r="AN117" s="73">
        <f>IF($A117="","",IF(AJ117=0,0,AM117/AJ117))</f>
        <v/>
      </c>
      <c r="AO117" s="34">
        <f>IF($A117="","",IF(AND(AJ117=0,AK117&gt;0),"무예산",IF(AJ117=0,"-",IF(AK117&gt;AJ117,"한도 초과",IF(AN117&gt;설정!$C$12,"초과 예상",IF(AN117&gt;설정!$C$11,"주의","여유"))))))</f>
        <v/>
      </c>
      <c r="AP117" s="35">
        <f>IF($A117="","",IF(설정!$C$19="최근월",(INDEX(월별집계!$AB117:$AM117,설정!$C$7)-INDEX(월별집계!$AB117:$AM117,MAX(1,설정!$C$7-1))*(설정!$C$7&gt;1)),IF(설정!$C$19="최근분기",((INDEX(월별집계!$AB117:$AM117,설정!$C$7)-INDEX(월별집계!$AB117:$AM117,MAX(1,설정!$C$7-3))*(설정!$C$7&gt;3))/MIN(3,설정!$C$7)),IF(설정!$C$19="전년추세",AZ117,((설정!$C$7+1)*SUMPRODUCT(월별집계!$AB$5:$AM$5,월별집계!$AB117:$AM117)-(설정!$C$7*(설정!$C$7+1)/2)*SUM(월별집계!$AB117:$AM117))/((설정!$C$7+1)*(설정!$C$7*(설정!$C$7+1)*(2*설정!$C$7+1)/6)-(설정!$C$7*(설정!$C$7+1)/2)^2)))))</f>
        <v/>
      </c>
      <c r="AQ117" s="35">
        <f>IF($A117="","",IF(설정!$C$19="연내누적",(SUM(월별집계!$AB117:$AM117)-AP117*(설정!$C$7*(설정!$C$7+1)/2))/(설정!$C$7+1),INDEX(월별집계!$AB117:$AM117,설정!$C$7)-AP117*설정!$C$7))</f>
        <v/>
      </c>
      <c r="AR117" s="40">
        <f>IF($A117="","",AQ117+AP117*12)</f>
        <v/>
      </c>
      <c r="AS117" s="82">
        <f>IF($A117="","",IF(OR(P117&lt;=0,Q117&gt;=P117,AP117&lt;=0),"",MAX(설정!$C$7,(P117-AQ117)/AP117)))</f>
        <v/>
      </c>
      <c r="AT117" s="22">
        <f>IF($A117="","",IF(AS117="",IF(AU117="이미 소진","소진됨",""),YEAR((DATE(설정!$C$6,1,1)+ROUND(AS117*365/12,0)-1))&amp;"-"&amp;TEXT(MONTH((DATE(설정!$C$6,1,1)+ROUND(AS117*365/12,0)-1)),"00")&amp;"-"&amp;TEXT(DAY((DATE(설정!$C$6,1,1)+ROUND(AS117*365/12,0)-1)),"00")))</f>
        <v/>
      </c>
      <c r="AU117" s="34">
        <f>IF($A117="","",IF(AND(P117&lt;=0,Q117&gt;0),"무예산",IF(P117&lt;=0,"-",IF(Q117&gt;=P117,"이미 소진",IF(AP117&lt;=0,"소진 안 됨",IF(AS117&lt;=12,"연내 고갈","연내 여유"))))))</f>
        <v/>
      </c>
      <c r="AV117" s="34">
        <f>IF($A117="","",IF(AJ117&lt;=0,"",IF(AK117&gt;=AJ117,"한도 소진",IF(AK117&lt;=0,"",IF(AJ117/(AK117/(설정!$C$20-설정!$C$22+1))&gt;3,"분기 내 여유",YEAR((DATE(설정!$C$6,설정!$C$22-설정!$C$6*12,1)+ROUND(MAX((설정!$C$20-설정!$C$22+1),AJ117/(AK117/(설정!$C$20-설정!$C$22+1)))*365/12,0)-1))&amp;"-"&amp;TEXT(MONTH((DATE(설정!$C$6,설정!$C$22-설정!$C$6*12,1)+ROUND(MAX((설정!$C$20-설정!$C$22+1),AJ117/(AK117/(설정!$C$20-설정!$C$22+1)))*365/12,0)-1)),"00")&amp;"-"&amp;TEXT(DAY((DATE(설정!$C$6,설정!$C$22-설정!$C$6*12,1)+ROUND(MAX((설정!$C$20-설정!$C$22+1),AJ117/(AK117/(설정!$C$20-설정!$C$22+1)))*365/12,0)-1)),"00"))))))</f>
        <v/>
      </c>
      <c r="AW117" s="41">
        <f>IF($A117="",999+ROW()/1000000,IF(AU117="이미 소진",ROW()/1000000,IF(AU117="연내 고갈",AS117+ROW()/1000000,99+ROW()/1000000)))</f>
        <v/>
      </c>
      <c r="AX117" s="35">
        <f>IF($A117="","",SUMIFS(월별집계!$C117:$Z117,월별집계!$C$5:$Z$5,"&gt;="&amp;((설정!$C$6-1)*12+1),월별집계!$C$5:$Z$5,"&lt;="&amp;(설정!$C$20-12)))</f>
        <v/>
      </c>
      <c r="AY117" s="80">
        <f>IF($A117="","",IF(AX117&lt;=0,IF(Q117&gt;0,1,0),Q117/AX117-1))</f>
        <v/>
      </c>
      <c r="AZ117" s="35">
        <f>IF($A117="","",SUMIFS(월별집계!$C117:$Z117,월별집계!$C$5:$Z$5,"&gt;"&amp;(설정!$C$20-12),월별집계!$C$5:$Z$5,"&lt;="&amp;((설정!$C$6-1)*12+12))/MAX(1,12-설정!$C$7))</f>
        <v/>
      </c>
    </row>
    <row r="118">
      <c r="A118" s="12" t="n"/>
      <c r="B118" s="26">
        <f>IF($A118="","",IFERROR(INDEX(부서매핑!$D$5:$D$504,MATCH($A118,부서매핑!$C$5:$C$504,0)),"부서매핑 없음"))</f>
        <v/>
      </c>
      <c r="C118" s="79" t="n"/>
      <c r="D118" s="26">
        <f>IF($A118="","",IFERROR(INDEX(계정매핑!$B$5:$B$504,MATCH($C118&amp;"",계정매핑!$A$5:$A$504,0)),"계정매핑 없음"))</f>
        <v/>
      </c>
      <c r="E118" s="22">
        <f>IF($A118="","",$A118&amp;"|"&amp;$C118)</f>
        <v/>
      </c>
      <c r="F118" s="35">
        <f>IF($A118="","",월별집계!$Z118)</f>
        <v/>
      </c>
      <c r="G118" s="35">
        <f>IF($A118="","",월별집계!$Y118)</f>
        <v/>
      </c>
      <c r="H118" s="80">
        <f>IF($A118="","",IF(G118&lt;=0,IF(F118&gt;0,1,0),F118/G118-1))</f>
        <v/>
      </c>
      <c r="I118" s="35">
        <f>IF($A118="","",월별집계!$N118)</f>
        <v/>
      </c>
      <c r="J118" s="80">
        <f>IF($A118="","",IF(I118&lt;=0,IF(F118&gt;0,1,0),F118/I118-1))</f>
        <v/>
      </c>
      <c r="K118" s="35">
        <f>IF($A118="","",SUMIFS(월별집계!$C118:$Z118,월별집계!$C$5:$Z$5,"&gt;="&amp;설정!$C$22,월별집계!$C$5:$Z$5,"&lt;="&amp;설정!$C$20))</f>
        <v/>
      </c>
      <c r="L118" s="35">
        <f>IF($A118="","",SUMIFS(월별집계!$C118:$Z118,월별집계!$C$5:$Z$5,"&gt;="&amp;(설정!$C$22-3),월별집계!$C$5:$Z$5,"&lt;="&amp;(설정!$C$20-3)))</f>
        <v/>
      </c>
      <c r="M118" s="80">
        <f>IF($A118="","",IF(L118&lt;=0,IF(K118&gt;0,1,0),K118/L118-1))</f>
        <v/>
      </c>
      <c r="N118" s="40">
        <f>IF($A118="","",MAX(F118-G118,F118-I118))</f>
        <v/>
      </c>
      <c r="O118" s="62">
        <f>IF($A118="","",IFERROR((월별집계!$Z118-AVERAGE(월별집계!N118:Y118))/STDEV(월별집계!N118:Y118),0))</f>
        <v/>
      </c>
      <c r="P118" s="35">
        <f>IF($A118="","",SUMIFS(예산판_원본!$O$5:$O$5000,예산판_원본!$L$5:$L$5000,$E118,예산판_원본!$M$5:$M$5000,설정!$C$6))</f>
        <v/>
      </c>
      <c r="Q118" s="35">
        <f>IF($A118="","",SUMIFS(월별집계!$C118:$Z118,월별집계!$C$5:$Z$5,"&gt;="&amp;(설정!$C$6*12+1),월별집계!$C$5:$Z$5,"&lt;="&amp;설정!$C$20))</f>
        <v/>
      </c>
      <c r="R118" s="40">
        <f>IF($A118="","",P118-Q118)</f>
        <v/>
      </c>
      <c r="S118" s="35">
        <f>IF($A118="","",AVERAGE(월별집계!X118:Z118)*(12-설정!$C$7))</f>
        <v/>
      </c>
      <c r="T118" s="35">
        <f>IF($A118="","",IFERROR(Q118/(SUMIFS(월별집계!$C118:$Z118,월별집계!$C$5:$Z$5,"&gt;="&amp;((설정!$C$6-1)*12+1),월별집계!$C$5:$Z$5,"&lt;="&amp;(설정!$C$20-12))/SUMIFS(월별집계!$C118:$Z118,월별집계!$C$5:$Z$5,"&gt;="&amp;((설정!$C$6-1)*12+1),월별집계!$C$5:$Z$5,"&lt;="&amp;((설정!$C$6-1)*12+12)))-Q118,S118))</f>
        <v/>
      </c>
      <c r="U118" s="40">
        <f>IF($A118="","",Q118+MAX(S118,T118))</f>
        <v/>
      </c>
      <c r="V118" s="73">
        <f>IF($A118="","",IF(P118=0,0,U118/P118))</f>
        <v/>
      </c>
      <c r="W118" s="34">
        <f>IF($A118="","",IF(AND(P118=0,Q118&gt;0),"무예산",IF(P118=0,"-",IF(V118&gt;설정!$C$12,"부족 예상",IF(V118&gt;설정!$C$11,"주의","여유")))))</f>
        <v/>
      </c>
      <c r="X118" s="40">
        <f>IF($A118="","",IF(P118=0,0,MAX(0,U118-P118)))</f>
        <v/>
      </c>
      <c r="Y118" s="34">
        <f>IF($A118="","",IF(OR(W118&lt;&gt;"부족 예상",설정!$C$7=12),"",IF(R118&lt;=0,"이미 초과",MIN(12,설정!$C$7+ROUNDUP(R118/(MAX(S118,T118)/(12-설정!$C$7)),0))&amp;"월")))</f>
        <v/>
      </c>
      <c r="Z118" s="26">
        <f>IF($A118="","",TRIM(IF(AND(N(AC118)&gt;=설정!$C$14,N118&gt;=설정!$C$10),"단건"&amp;TEXT(MIN(AC118,1),"0%")&amp;" ","")&amp;IF(AND(N118&gt;0,AD118&gt;0),IF(AD118/N118&gt;=설정!$C$16,"SA대체 ",""),"")&amp;IF(AE118&gt;0,"역분개"&amp;AE118&amp;"건 ","")&amp;IF(O118&gt;=설정!$C$13,"이상치 ","")&amp;IF(AND(I118=0,F118&gt;0),"신규지출 ","")))</f>
        <v/>
      </c>
      <c r="AA118" s="62">
        <f>IF($A118="","",ROUND((AF118+AG118+AH118+AI118)*IF(AND(F118&lt;설정!$C$10,N118&lt;설정!$C$10),0.3,1),1))</f>
        <v/>
      </c>
      <c r="AB118" s="41">
        <f>IF($A118="","",AA118+ROW()/1000000)</f>
        <v/>
      </c>
      <c r="AC118" s="60">
        <f>IF(OR($A118="",N118&lt;=0),"",SUMPRODUCT(MAX((전표_원본!$O$5:$O$100000=$E118)*(전표_원본!$M$5:$M$100000=설정!$C$20)*전표_원본!$P$5:$P$100000))/N118)</f>
        <v/>
      </c>
      <c r="AD118" s="35">
        <f>IF($A118="","",SUMIFS(전표_원본!$P$5:$P$100000,전표_원본!$O$5:$O$100000,$E118,전표_원본!$M$5:$M$100000,설정!$C$20,전표_원본!$E$5:$E$100000,"SA")-SUMIFS(전표_원본!$P$5:$P$100000,전표_원본!$O$5:$O$100000,$E118,전표_원본!$M$5:$M$100000,설정!$C$20-1,전표_원본!$E$5:$E$100000,"SA"))</f>
        <v/>
      </c>
      <c r="AE118" s="81">
        <f>IF($A118="","",COUNTIFS(전표_원본!$O$5:$O$100000,$E118,전표_원본!$M$5:$M$100000,설정!$C$20,전표_원본!$P$5:$P$100000,"&lt;0"))</f>
        <v/>
      </c>
      <c r="AF118" s="62">
        <f>IF($A118="","",MIN(MAX(0,N118)/(설정!$C$10*5),1)*30)</f>
        <v/>
      </c>
      <c r="AG118" s="82">
        <f>IF($A118="","",MIN(MAX(0,H118,J118),1)*20)</f>
        <v/>
      </c>
      <c r="AH118" s="82">
        <f>IF($A118="","",MIN(MAX(0,O118)/3,1)*25)</f>
        <v/>
      </c>
      <c r="AI118" s="82">
        <f>IF($A118="","",IF(OR(W118="부족 예상",W118="무예산",AO118="한도 초과",AO118="초과 예상",AO118="무예산"),25,IF(OR(W118="주의",AO118="주의"),15,0)))</f>
        <v/>
      </c>
      <c r="AJ118" s="35">
        <f>IF($A118="","",SUMIFS(예산판_원본!$O$5:$O$5000,예산판_원본!$L$5:$L$5000,$E118,예산판_원본!$M$5:$M$5000,설정!$C$6,예산판_원본!$N$5:$N$5000,설정!$C$21))</f>
        <v/>
      </c>
      <c r="AK118" s="40">
        <f>IF($A118="","",K118)</f>
        <v/>
      </c>
      <c r="AL118" s="40">
        <f>IF($A118="","",AJ118-AK118)</f>
        <v/>
      </c>
      <c r="AM118" s="35">
        <f>IF($A118="","",AK118+AVERAGE(월별집계!X118:Z118)*MAX(0,설정!$C$22+2-설정!$C$20))</f>
        <v/>
      </c>
      <c r="AN118" s="73">
        <f>IF($A118="","",IF(AJ118=0,0,AM118/AJ118))</f>
        <v/>
      </c>
      <c r="AO118" s="34">
        <f>IF($A118="","",IF(AND(AJ118=0,AK118&gt;0),"무예산",IF(AJ118=0,"-",IF(AK118&gt;AJ118,"한도 초과",IF(AN118&gt;설정!$C$12,"초과 예상",IF(AN118&gt;설정!$C$11,"주의","여유"))))))</f>
        <v/>
      </c>
      <c r="AP118" s="35">
        <f>IF($A118="","",IF(설정!$C$19="최근월",(INDEX(월별집계!$AB118:$AM118,설정!$C$7)-INDEX(월별집계!$AB118:$AM118,MAX(1,설정!$C$7-1))*(설정!$C$7&gt;1)),IF(설정!$C$19="최근분기",((INDEX(월별집계!$AB118:$AM118,설정!$C$7)-INDEX(월별집계!$AB118:$AM118,MAX(1,설정!$C$7-3))*(설정!$C$7&gt;3))/MIN(3,설정!$C$7)),IF(설정!$C$19="전년추세",AZ118,((설정!$C$7+1)*SUMPRODUCT(월별집계!$AB$5:$AM$5,월별집계!$AB118:$AM118)-(설정!$C$7*(설정!$C$7+1)/2)*SUM(월별집계!$AB118:$AM118))/((설정!$C$7+1)*(설정!$C$7*(설정!$C$7+1)*(2*설정!$C$7+1)/6)-(설정!$C$7*(설정!$C$7+1)/2)^2)))))</f>
        <v/>
      </c>
      <c r="AQ118" s="35">
        <f>IF($A118="","",IF(설정!$C$19="연내누적",(SUM(월별집계!$AB118:$AM118)-AP118*(설정!$C$7*(설정!$C$7+1)/2))/(설정!$C$7+1),INDEX(월별집계!$AB118:$AM118,설정!$C$7)-AP118*설정!$C$7))</f>
        <v/>
      </c>
      <c r="AR118" s="40">
        <f>IF($A118="","",AQ118+AP118*12)</f>
        <v/>
      </c>
      <c r="AS118" s="82">
        <f>IF($A118="","",IF(OR(P118&lt;=0,Q118&gt;=P118,AP118&lt;=0),"",MAX(설정!$C$7,(P118-AQ118)/AP118)))</f>
        <v/>
      </c>
      <c r="AT118" s="22">
        <f>IF($A118="","",IF(AS118="",IF(AU118="이미 소진","소진됨",""),YEAR((DATE(설정!$C$6,1,1)+ROUND(AS118*365/12,0)-1))&amp;"-"&amp;TEXT(MONTH((DATE(설정!$C$6,1,1)+ROUND(AS118*365/12,0)-1)),"00")&amp;"-"&amp;TEXT(DAY((DATE(설정!$C$6,1,1)+ROUND(AS118*365/12,0)-1)),"00")))</f>
        <v/>
      </c>
      <c r="AU118" s="34">
        <f>IF($A118="","",IF(AND(P118&lt;=0,Q118&gt;0),"무예산",IF(P118&lt;=0,"-",IF(Q118&gt;=P118,"이미 소진",IF(AP118&lt;=0,"소진 안 됨",IF(AS118&lt;=12,"연내 고갈","연내 여유"))))))</f>
        <v/>
      </c>
      <c r="AV118" s="34">
        <f>IF($A118="","",IF(AJ118&lt;=0,"",IF(AK118&gt;=AJ118,"한도 소진",IF(AK118&lt;=0,"",IF(AJ118/(AK118/(설정!$C$20-설정!$C$22+1))&gt;3,"분기 내 여유",YEAR((DATE(설정!$C$6,설정!$C$22-설정!$C$6*12,1)+ROUND(MAX((설정!$C$20-설정!$C$22+1),AJ118/(AK118/(설정!$C$20-설정!$C$22+1)))*365/12,0)-1))&amp;"-"&amp;TEXT(MONTH((DATE(설정!$C$6,설정!$C$22-설정!$C$6*12,1)+ROUND(MAX((설정!$C$20-설정!$C$22+1),AJ118/(AK118/(설정!$C$20-설정!$C$22+1)))*365/12,0)-1)),"00")&amp;"-"&amp;TEXT(DAY((DATE(설정!$C$6,설정!$C$22-설정!$C$6*12,1)+ROUND(MAX((설정!$C$20-설정!$C$22+1),AJ118/(AK118/(설정!$C$20-설정!$C$22+1)))*365/12,0)-1)),"00"))))))</f>
        <v/>
      </c>
      <c r="AW118" s="41">
        <f>IF($A118="",999+ROW()/1000000,IF(AU118="이미 소진",ROW()/1000000,IF(AU118="연내 고갈",AS118+ROW()/1000000,99+ROW()/1000000)))</f>
        <v/>
      </c>
      <c r="AX118" s="35">
        <f>IF($A118="","",SUMIFS(월별집계!$C118:$Z118,월별집계!$C$5:$Z$5,"&gt;="&amp;((설정!$C$6-1)*12+1),월별집계!$C$5:$Z$5,"&lt;="&amp;(설정!$C$20-12)))</f>
        <v/>
      </c>
      <c r="AY118" s="80">
        <f>IF($A118="","",IF(AX118&lt;=0,IF(Q118&gt;0,1,0),Q118/AX118-1))</f>
        <v/>
      </c>
      <c r="AZ118" s="35">
        <f>IF($A118="","",SUMIFS(월별집계!$C118:$Z118,월별집계!$C$5:$Z$5,"&gt;"&amp;(설정!$C$20-12),월별집계!$C$5:$Z$5,"&lt;="&amp;((설정!$C$6-1)*12+12))/MAX(1,12-설정!$C$7))</f>
        <v/>
      </c>
    </row>
    <row r="119">
      <c r="A119" s="12" t="n"/>
      <c r="B119" s="26">
        <f>IF($A119="","",IFERROR(INDEX(부서매핑!$D$5:$D$504,MATCH($A119,부서매핑!$C$5:$C$504,0)),"부서매핑 없음"))</f>
        <v/>
      </c>
      <c r="C119" s="79" t="n"/>
      <c r="D119" s="26">
        <f>IF($A119="","",IFERROR(INDEX(계정매핑!$B$5:$B$504,MATCH($C119&amp;"",계정매핑!$A$5:$A$504,0)),"계정매핑 없음"))</f>
        <v/>
      </c>
      <c r="E119" s="22">
        <f>IF($A119="","",$A119&amp;"|"&amp;$C119)</f>
        <v/>
      </c>
      <c r="F119" s="35">
        <f>IF($A119="","",월별집계!$Z119)</f>
        <v/>
      </c>
      <c r="G119" s="35">
        <f>IF($A119="","",월별집계!$Y119)</f>
        <v/>
      </c>
      <c r="H119" s="80">
        <f>IF($A119="","",IF(G119&lt;=0,IF(F119&gt;0,1,0),F119/G119-1))</f>
        <v/>
      </c>
      <c r="I119" s="35">
        <f>IF($A119="","",월별집계!$N119)</f>
        <v/>
      </c>
      <c r="J119" s="80">
        <f>IF($A119="","",IF(I119&lt;=0,IF(F119&gt;0,1,0),F119/I119-1))</f>
        <v/>
      </c>
      <c r="K119" s="35">
        <f>IF($A119="","",SUMIFS(월별집계!$C119:$Z119,월별집계!$C$5:$Z$5,"&gt;="&amp;설정!$C$22,월별집계!$C$5:$Z$5,"&lt;="&amp;설정!$C$20))</f>
        <v/>
      </c>
      <c r="L119" s="35">
        <f>IF($A119="","",SUMIFS(월별집계!$C119:$Z119,월별집계!$C$5:$Z$5,"&gt;="&amp;(설정!$C$22-3),월별집계!$C$5:$Z$5,"&lt;="&amp;(설정!$C$20-3)))</f>
        <v/>
      </c>
      <c r="M119" s="80">
        <f>IF($A119="","",IF(L119&lt;=0,IF(K119&gt;0,1,0),K119/L119-1))</f>
        <v/>
      </c>
      <c r="N119" s="40">
        <f>IF($A119="","",MAX(F119-G119,F119-I119))</f>
        <v/>
      </c>
      <c r="O119" s="62">
        <f>IF($A119="","",IFERROR((월별집계!$Z119-AVERAGE(월별집계!N119:Y119))/STDEV(월별집계!N119:Y119),0))</f>
        <v/>
      </c>
      <c r="P119" s="35">
        <f>IF($A119="","",SUMIFS(예산판_원본!$O$5:$O$5000,예산판_원본!$L$5:$L$5000,$E119,예산판_원본!$M$5:$M$5000,설정!$C$6))</f>
        <v/>
      </c>
      <c r="Q119" s="35">
        <f>IF($A119="","",SUMIFS(월별집계!$C119:$Z119,월별집계!$C$5:$Z$5,"&gt;="&amp;(설정!$C$6*12+1),월별집계!$C$5:$Z$5,"&lt;="&amp;설정!$C$20))</f>
        <v/>
      </c>
      <c r="R119" s="40">
        <f>IF($A119="","",P119-Q119)</f>
        <v/>
      </c>
      <c r="S119" s="35">
        <f>IF($A119="","",AVERAGE(월별집계!X119:Z119)*(12-설정!$C$7))</f>
        <v/>
      </c>
      <c r="T119" s="35">
        <f>IF($A119="","",IFERROR(Q119/(SUMIFS(월별집계!$C119:$Z119,월별집계!$C$5:$Z$5,"&gt;="&amp;((설정!$C$6-1)*12+1),월별집계!$C$5:$Z$5,"&lt;="&amp;(설정!$C$20-12))/SUMIFS(월별집계!$C119:$Z119,월별집계!$C$5:$Z$5,"&gt;="&amp;((설정!$C$6-1)*12+1),월별집계!$C$5:$Z$5,"&lt;="&amp;((설정!$C$6-1)*12+12)))-Q119,S119))</f>
        <v/>
      </c>
      <c r="U119" s="40">
        <f>IF($A119="","",Q119+MAX(S119,T119))</f>
        <v/>
      </c>
      <c r="V119" s="73">
        <f>IF($A119="","",IF(P119=0,0,U119/P119))</f>
        <v/>
      </c>
      <c r="W119" s="34">
        <f>IF($A119="","",IF(AND(P119=0,Q119&gt;0),"무예산",IF(P119=0,"-",IF(V119&gt;설정!$C$12,"부족 예상",IF(V119&gt;설정!$C$11,"주의","여유")))))</f>
        <v/>
      </c>
      <c r="X119" s="40">
        <f>IF($A119="","",IF(P119=0,0,MAX(0,U119-P119)))</f>
        <v/>
      </c>
      <c r="Y119" s="34">
        <f>IF($A119="","",IF(OR(W119&lt;&gt;"부족 예상",설정!$C$7=12),"",IF(R119&lt;=0,"이미 초과",MIN(12,설정!$C$7+ROUNDUP(R119/(MAX(S119,T119)/(12-설정!$C$7)),0))&amp;"월")))</f>
        <v/>
      </c>
      <c r="Z119" s="26">
        <f>IF($A119="","",TRIM(IF(AND(N(AC119)&gt;=설정!$C$14,N119&gt;=설정!$C$10),"단건"&amp;TEXT(MIN(AC119,1),"0%")&amp;" ","")&amp;IF(AND(N119&gt;0,AD119&gt;0),IF(AD119/N119&gt;=설정!$C$16,"SA대체 ",""),"")&amp;IF(AE119&gt;0,"역분개"&amp;AE119&amp;"건 ","")&amp;IF(O119&gt;=설정!$C$13,"이상치 ","")&amp;IF(AND(I119=0,F119&gt;0),"신규지출 ","")))</f>
        <v/>
      </c>
      <c r="AA119" s="62">
        <f>IF($A119="","",ROUND((AF119+AG119+AH119+AI119)*IF(AND(F119&lt;설정!$C$10,N119&lt;설정!$C$10),0.3,1),1))</f>
        <v/>
      </c>
      <c r="AB119" s="41">
        <f>IF($A119="","",AA119+ROW()/1000000)</f>
        <v/>
      </c>
      <c r="AC119" s="60">
        <f>IF(OR($A119="",N119&lt;=0),"",SUMPRODUCT(MAX((전표_원본!$O$5:$O$100000=$E119)*(전표_원본!$M$5:$M$100000=설정!$C$20)*전표_원본!$P$5:$P$100000))/N119)</f>
        <v/>
      </c>
      <c r="AD119" s="35">
        <f>IF($A119="","",SUMIFS(전표_원본!$P$5:$P$100000,전표_원본!$O$5:$O$100000,$E119,전표_원본!$M$5:$M$100000,설정!$C$20,전표_원본!$E$5:$E$100000,"SA")-SUMIFS(전표_원본!$P$5:$P$100000,전표_원본!$O$5:$O$100000,$E119,전표_원본!$M$5:$M$100000,설정!$C$20-1,전표_원본!$E$5:$E$100000,"SA"))</f>
        <v/>
      </c>
      <c r="AE119" s="81">
        <f>IF($A119="","",COUNTIFS(전표_원본!$O$5:$O$100000,$E119,전표_원본!$M$5:$M$100000,설정!$C$20,전표_원본!$P$5:$P$100000,"&lt;0"))</f>
        <v/>
      </c>
      <c r="AF119" s="62">
        <f>IF($A119="","",MIN(MAX(0,N119)/(설정!$C$10*5),1)*30)</f>
        <v/>
      </c>
      <c r="AG119" s="82">
        <f>IF($A119="","",MIN(MAX(0,H119,J119),1)*20)</f>
        <v/>
      </c>
      <c r="AH119" s="82">
        <f>IF($A119="","",MIN(MAX(0,O119)/3,1)*25)</f>
        <v/>
      </c>
      <c r="AI119" s="82">
        <f>IF($A119="","",IF(OR(W119="부족 예상",W119="무예산",AO119="한도 초과",AO119="초과 예상",AO119="무예산"),25,IF(OR(W119="주의",AO119="주의"),15,0)))</f>
        <v/>
      </c>
      <c r="AJ119" s="35">
        <f>IF($A119="","",SUMIFS(예산판_원본!$O$5:$O$5000,예산판_원본!$L$5:$L$5000,$E119,예산판_원본!$M$5:$M$5000,설정!$C$6,예산판_원본!$N$5:$N$5000,설정!$C$21))</f>
        <v/>
      </c>
      <c r="AK119" s="40">
        <f>IF($A119="","",K119)</f>
        <v/>
      </c>
      <c r="AL119" s="40">
        <f>IF($A119="","",AJ119-AK119)</f>
        <v/>
      </c>
      <c r="AM119" s="35">
        <f>IF($A119="","",AK119+AVERAGE(월별집계!X119:Z119)*MAX(0,설정!$C$22+2-설정!$C$20))</f>
        <v/>
      </c>
      <c r="AN119" s="73">
        <f>IF($A119="","",IF(AJ119=0,0,AM119/AJ119))</f>
        <v/>
      </c>
      <c r="AO119" s="34">
        <f>IF($A119="","",IF(AND(AJ119=0,AK119&gt;0),"무예산",IF(AJ119=0,"-",IF(AK119&gt;AJ119,"한도 초과",IF(AN119&gt;설정!$C$12,"초과 예상",IF(AN119&gt;설정!$C$11,"주의","여유"))))))</f>
        <v/>
      </c>
      <c r="AP119" s="35">
        <f>IF($A119="","",IF(설정!$C$19="최근월",(INDEX(월별집계!$AB119:$AM119,설정!$C$7)-INDEX(월별집계!$AB119:$AM119,MAX(1,설정!$C$7-1))*(설정!$C$7&gt;1)),IF(설정!$C$19="최근분기",((INDEX(월별집계!$AB119:$AM119,설정!$C$7)-INDEX(월별집계!$AB119:$AM119,MAX(1,설정!$C$7-3))*(설정!$C$7&gt;3))/MIN(3,설정!$C$7)),IF(설정!$C$19="전년추세",AZ119,((설정!$C$7+1)*SUMPRODUCT(월별집계!$AB$5:$AM$5,월별집계!$AB119:$AM119)-(설정!$C$7*(설정!$C$7+1)/2)*SUM(월별집계!$AB119:$AM119))/((설정!$C$7+1)*(설정!$C$7*(설정!$C$7+1)*(2*설정!$C$7+1)/6)-(설정!$C$7*(설정!$C$7+1)/2)^2)))))</f>
        <v/>
      </c>
      <c r="AQ119" s="35">
        <f>IF($A119="","",IF(설정!$C$19="연내누적",(SUM(월별집계!$AB119:$AM119)-AP119*(설정!$C$7*(설정!$C$7+1)/2))/(설정!$C$7+1),INDEX(월별집계!$AB119:$AM119,설정!$C$7)-AP119*설정!$C$7))</f>
        <v/>
      </c>
      <c r="AR119" s="40">
        <f>IF($A119="","",AQ119+AP119*12)</f>
        <v/>
      </c>
      <c r="AS119" s="82">
        <f>IF($A119="","",IF(OR(P119&lt;=0,Q119&gt;=P119,AP119&lt;=0),"",MAX(설정!$C$7,(P119-AQ119)/AP119)))</f>
        <v/>
      </c>
      <c r="AT119" s="22">
        <f>IF($A119="","",IF(AS119="",IF(AU119="이미 소진","소진됨",""),YEAR((DATE(설정!$C$6,1,1)+ROUND(AS119*365/12,0)-1))&amp;"-"&amp;TEXT(MONTH((DATE(설정!$C$6,1,1)+ROUND(AS119*365/12,0)-1)),"00")&amp;"-"&amp;TEXT(DAY((DATE(설정!$C$6,1,1)+ROUND(AS119*365/12,0)-1)),"00")))</f>
        <v/>
      </c>
      <c r="AU119" s="34">
        <f>IF($A119="","",IF(AND(P119&lt;=0,Q119&gt;0),"무예산",IF(P119&lt;=0,"-",IF(Q119&gt;=P119,"이미 소진",IF(AP119&lt;=0,"소진 안 됨",IF(AS119&lt;=12,"연내 고갈","연내 여유"))))))</f>
        <v/>
      </c>
      <c r="AV119" s="34">
        <f>IF($A119="","",IF(AJ119&lt;=0,"",IF(AK119&gt;=AJ119,"한도 소진",IF(AK119&lt;=0,"",IF(AJ119/(AK119/(설정!$C$20-설정!$C$22+1))&gt;3,"분기 내 여유",YEAR((DATE(설정!$C$6,설정!$C$22-설정!$C$6*12,1)+ROUND(MAX((설정!$C$20-설정!$C$22+1),AJ119/(AK119/(설정!$C$20-설정!$C$22+1)))*365/12,0)-1))&amp;"-"&amp;TEXT(MONTH((DATE(설정!$C$6,설정!$C$22-설정!$C$6*12,1)+ROUND(MAX((설정!$C$20-설정!$C$22+1),AJ119/(AK119/(설정!$C$20-설정!$C$22+1)))*365/12,0)-1)),"00")&amp;"-"&amp;TEXT(DAY((DATE(설정!$C$6,설정!$C$22-설정!$C$6*12,1)+ROUND(MAX((설정!$C$20-설정!$C$22+1),AJ119/(AK119/(설정!$C$20-설정!$C$22+1)))*365/12,0)-1)),"00"))))))</f>
        <v/>
      </c>
      <c r="AW119" s="41">
        <f>IF($A119="",999+ROW()/1000000,IF(AU119="이미 소진",ROW()/1000000,IF(AU119="연내 고갈",AS119+ROW()/1000000,99+ROW()/1000000)))</f>
        <v/>
      </c>
      <c r="AX119" s="35">
        <f>IF($A119="","",SUMIFS(월별집계!$C119:$Z119,월별집계!$C$5:$Z$5,"&gt;="&amp;((설정!$C$6-1)*12+1),월별집계!$C$5:$Z$5,"&lt;="&amp;(설정!$C$20-12)))</f>
        <v/>
      </c>
      <c r="AY119" s="80">
        <f>IF($A119="","",IF(AX119&lt;=0,IF(Q119&gt;0,1,0),Q119/AX119-1))</f>
        <v/>
      </c>
      <c r="AZ119" s="35">
        <f>IF($A119="","",SUMIFS(월별집계!$C119:$Z119,월별집계!$C$5:$Z$5,"&gt;"&amp;(설정!$C$20-12),월별집계!$C$5:$Z$5,"&lt;="&amp;((설정!$C$6-1)*12+12))/MAX(1,12-설정!$C$7))</f>
        <v/>
      </c>
    </row>
  </sheetData>
  <autoFilter ref="A6:AZ119"/>
  <conditionalFormatting sqref="AU7:AU506">
    <cfRule type="cellIs" priority="1" operator="equal" dxfId="3">
      <formula>"이미 소진"</formula>
    </cfRule>
    <cfRule type="cellIs" priority="2" operator="equal" dxfId="4">
      <formula>"연내 고갈"</formula>
    </cfRule>
    <cfRule type="cellIs" priority="3" operator="equal" dxfId="6">
      <formula>"무예산"</formula>
    </cfRule>
  </conditionalFormatting>
  <conditionalFormatting sqref="AO7:AO506">
    <cfRule type="cellIs" priority="4" operator="equal" dxfId="3">
      <formula>"한도 초과"</formula>
    </cfRule>
    <cfRule type="cellIs" priority="5" operator="equal" dxfId="4">
      <formula>"초과 예상"</formula>
    </cfRule>
    <cfRule type="cellIs" priority="6" operator="equal" dxfId="5">
      <formula>"주의"</formula>
    </cfRule>
    <cfRule type="cellIs" priority="7" operator="equal" dxfId="6">
      <formula>"무예산"</formula>
    </cfRule>
  </conditionalFormatting>
  <conditionalFormatting sqref="W7:W506">
    <cfRule type="cellIs" priority="8" operator="equal" dxfId="10">
      <formula>"부족 예상"</formula>
    </cfRule>
    <cfRule type="cellIs" priority="9" operator="equal" dxfId="5">
      <formula>"주의"</formula>
    </cfRule>
    <cfRule type="cellIs" priority="10" operator="equal" dxfId="6">
      <formula>"무예산"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TRACE · 계정변동 (TB 기준, 전사) 및 3자 대사</t>
        </is>
      </c>
    </row>
    <row r="2">
      <c r="A2" s="2" t="inlineStr">
        <is>
          <t>TB로 본 계정별 변동 + 전표·예산판과 합계 대사 · 금액: 보고단위</t>
        </is>
      </c>
    </row>
    <row r="3">
      <c r="A3" s="38">
        <f>"기준: "&amp;INT((설정!$C$20-1)/12)&amp;"-"&amp;TEXT(MOD(설정!$C$20-1,12)+1,"00")&amp;" · 당분기: "&amp;설정!$C$6&amp;"년 "&amp;설정!$C$21&amp;"분기"</f>
        <v/>
      </c>
    </row>
    <row r="5" ht="40" customHeight="1">
      <c r="A5" s="4" t="inlineStr">
        <is>
          <t>G/L 계정</t>
        </is>
      </c>
      <c r="B5" s="4" t="inlineStr">
        <is>
          <t>계정명</t>
        </is>
      </c>
      <c r="C5" s="4" t="inlineStr">
        <is>
          <t>TB 당월</t>
        </is>
      </c>
      <c r="D5" s="4" t="inlineStr">
        <is>
          <t>TB 전월</t>
        </is>
      </c>
      <c r="E5" s="4" t="inlineStr">
        <is>
          <t>전월
대비</t>
        </is>
      </c>
      <c r="F5" s="4" t="inlineStr">
        <is>
          <t>TB 전년동월</t>
        </is>
      </c>
      <c r="G5" s="4" t="inlineStr">
        <is>
          <t>전년동월
대비</t>
        </is>
      </c>
      <c r="H5" s="4" t="inlineStr">
        <is>
          <t>TB 당분기</t>
        </is>
      </c>
      <c r="I5" s="4" t="inlineStr">
        <is>
          <t>TB 전분기</t>
        </is>
      </c>
      <c r="J5" s="4" t="inlineStr">
        <is>
          <t>전분기
대비</t>
        </is>
      </c>
      <c r="K5" s="4" t="inlineStr">
        <is>
          <t>전표 당월</t>
        </is>
      </c>
      <c r="L5" s="4" t="inlineStr">
        <is>
          <t>대사 차이
(TB−전표)</t>
        </is>
      </c>
      <c r="M5" s="4" t="inlineStr">
        <is>
          <t>예산판
당분기 실적</t>
        </is>
      </c>
      <c r="N5" s="4" t="inlineStr">
        <is>
          <t>전표
당분기</t>
        </is>
      </c>
      <c r="O5" s="4" t="inlineStr">
        <is>
          <t>대사 차이
(예산판−전표)</t>
        </is>
      </c>
      <c r="P5" s="4" t="inlineStr">
        <is>
          <t>판정</t>
        </is>
      </c>
    </row>
    <row r="6">
      <c r="A6" s="79" t="inlineStr">
        <is>
          <t>62101000</t>
        </is>
      </c>
      <c r="B6" s="26">
        <f>IFERROR(INDEX(계정매핑!$B$5:$B$504,MATCH($A6,계정매핑!$A$5:$A$504,0)),"")</f>
        <v/>
      </c>
      <c r="C6" s="35">
        <f>SUMIFS(TB_원본!$K$5:$K$20000,TB_원본!$J$5:$J$20000,$A6,TB_원본!$I$5:$I$20000,설정!$C$20)</f>
        <v/>
      </c>
      <c r="D6" s="35">
        <f>SUMIFS(TB_원본!$K$5:$K$20000,TB_원본!$J$5:$J$20000,$A6,TB_원본!$I$5:$I$20000,설정!$C$20-1)</f>
        <v/>
      </c>
      <c r="E6" s="80">
        <f>IF(D6&lt;=0,IF(C6&gt;0,1,0),C6/D6-1)</f>
        <v/>
      </c>
      <c r="F6" s="35">
        <f>SUMIFS(TB_원본!$K$5:$K$20000,TB_원본!$J$5:$J$20000,$A6,TB_원본!$I$5:$I$20000,설정!$C$20-12)</f>
        <v/>
      </c>
      <c r="G6" s="80">
        <f>IF(F6&lt;=0,IF(C6&gt;0,1,0),C6/F6-1)</f>
        <v/>
      </c>
      <c r="H6" s="35">
        <f>SUMIFS(TB_원본!$K$5:$K$20000,TB_원본!$J$5:$J$20000,$A6,TB_원본!$I$5:$I$20000,"&gt;="&amp;설정!$C$22,TB_원본!$I$5:$I$20000,"&lt;="&amp;설정!$C$20)</f>
        <v/>
      </c>
      <c r="I6" s="35">
        <f>SUMIFS(TB_원본!$K$5:$K$20000,TB_원본!$J$5:$J$20000,$A6,TB_원본!$I$5:$I$20000,"&gt;="&amp;(설정!$C$22-3),TB_원본!$I$5:$I$20000,"&lt;="&amp;(설정!$C$20-3))</f>
        <v/>
      </c>
      <c r="J6" s="80">
        <f>IF(I6&lt;=0,IF(H6&gt;0,1,0),H6/I6-1)</f>
        <v/>
      </c>
      <c r="K6" s="35">
        <f>SUMIFS(전표_원본!$P$5:$P$100000,전표_원본!$X$5:$X$100000,$A6,전표_원본!$M$5:$M$100000,설정!$C$20)</f>
        <v/>
      </c>
      <c r="L6" s="40">
        <f>C6-K6</f>
        <v/>
      </c>
      <c r="M6" s="35">
        <f>SUMIFS(예산판_원본!$P$5:$P$5000,예산판_원본!$R$5:$R$5000,$A6,예산판_원본!$M$5:$M$5000,설정!$C$6,예산판_원본!$N$5:$N$5000,설정!$C$21)</f>
        <v/>
      </c>
      <c r="N6" s="35">
        <f>SUMIFS(전표_원본!$P$5:$P$100000,전표_원본!$X$5:$X$100000,$A6,전표_원본!$M$5:$M$100000,"&gt;="&amp;설정!$C$22,전표_원본!$M$5:$M$100000,"&lt;="&amp;설정!$C$20)</f>
        <v/>
      </c>
      <c r="O6" s="40">
        <f>M6-N6</f>
        <v/>
      </c>
      <c r="P6" s="22">
        <f>IF(AND(ABS(L6)&lt;0.05,ABS(O6)&lt;0.05),"OK","차이 확인")</f>
        <v/>
      </c>
    </row>
    <row r="7">
      <c r="A7" s="79" t="inlineStr">
        <is>
          <t>62102000</t>
        </is>
      </c>
      <c r="B7" s="26">
        <f>IFERROR(INDEX(계정매핑!$B$5:$B$504,MATCH($A7,계정매핑!$A$5:$A$504,0)),"")</f>
        <v/>
      </c>
      <c r="C7" s="35">
        <f>SUMIFS(TB_원본!$K$5:$K$20000,TB_원본!$J$5:$J$20000,$A7,TB_원본!$I$5:$I$20000,설정!$C$20)</f>
        <v/>
      </c>
      <c r="D7" s="35">
        <f>SUMIFS(TB_원본!$K$5:$K$20000,TB_원본!$J$5:$J$20000,$A7,TB_원본!$I$5:$I$20000,설정!$C$20-1)</f>
        <v/>
      </c>
      <c r="E7" s="80">
        <f>IF(D7&lt;=0,IF(C7&gt;0,1,0),C7/D7-1)</f>
        <v/>
      </c>
      <c r="F7" s="35">
        <f>SUMIFS(TB_원본!$K$5:$K$20000,TB_원본!$J$5:$J$20000,$A7,TB_원본!$I$5:$I$20000,설정!$C$20-12)</f>
        <v/>
      </c>
      <c r="G7" s="80">
        <f>IF(F7&lt;=0,IF(C7&gt;0,1,0),C7/F7-1)</f>
        <v/>
      </c>
      <c r="H7" s="35">
        <f>SUMIFS(TB_원본!$K$5:$K$20000,TB_원본!$J$5:$J$20000,$A7,TB_원본!$I$5:$I$20000,"&gt;="&amp;설정!$C$22,TB_원본!$I$5:$I$20000,"&lt;="&amp;설정!$C$20)</f>
        <v/>
      </c>
      <c r="I7" s="35">
        <f>SUMIFS(TB_원본!$K$5:$K$20000,TB_원본!$J$5:$J$20000,$A7,TB_원본!$I$5:$I$20000,"&gt;="&amp;(설정!$C$22-3),TB_원본!$I$5:$I$20000,"&lt;="&amp;(설정!$C$20-3))</f>
        <v/>
      </c>
      <c r="J7" s="80">
        <f>IF(I7&lt;=0,IF(H7&gt;0,1,0),H7/I7-1)</f>
        <v/>
      </c>
      <c r="K7" s="35">
        <f>SUMIFS(전표_원본!$P$5:$P$100000,전표_원본!$X$5:$X$100000,$A7,전표_원본!$M$5:$M$100000,설정!$C$20)</f>
        <v/>
      </c>
      <c r="L7" s="40">
        <f>C7-K7</f>
        <v/>
      </c>
      <c r="M7" s="35">
        <f>SUMIFS(예산판_원본!$P$5:$P$5000,예산판_원본!$R$5:$R$5000,$A7,예산판_원본!$M$5:$M$5000,설정!$C$6,예산판_원본!$N$5:$N$5000,설정!$C$21)</f>
        <v/>
      </c>
      <c r="N7" s="35">
        <f>SUMIFS(전표_원본!$P$5:$P$100000,전표_원본!$X$5:$X$100000,$A7,전표_원본!$M$5:$M$100000,"&gt;="&amp;설정!$C$22,전표_원본!$M$5:$M$100000,"&lt;="&amp;설정!$C$20)</f>
        <v/>
      </c>
      <c r="O7" s="40">
        <f>M7-N7</f>
        <v/>
      </c>
      <c r="P7" s="22">
        <f>IF(AND(ABS(L7)&lt;0.05,ABS(O7)&lt;0.05),"OK","차이 확인")</f>
        <v/>
      </c>
    </row>
    <row r="8">
      <c r="A8" s="79" t="inlineStr">
        <is>
          <t>62201000</t>
        </is>
      </c>
      <c r="B8" s="26">
        <f>IFERROR(INDEX(계정매핑!$B$5:$B$504,MATCH($A8,계정매핑!$A$5:$A$504,0)),"")</f>
        <v/>
      </c>
      <c r="C8" s="35">
        <f>SUMIFS(TB_원본!$K$5:$K$20000,TB_원본!$J$5:$J$20000,$A8,TB_원본!$I$5:$I$20000,설정!$C$20)</f>
        <v/>
      </c>
      <c r="D8" s="35">
        <f>SUMIFS(TB_원본!$K$5:$K$20000,TB_원본!$J$5:$J$20000,$A8,TB_원본!$I$5:$I$20000,설정!$C$20-1)</f>
        <v/>
      </c>
      <c r="E8" s="80">
        <f>IF(D8&lt;=0,IF(C8&gt;0,1,0),C8/D8-1)</f>
        <v/>
      </c>
      <c r="F8" s="35">
        <f>SUMIFS(TB_원본!$K$5:$K$20000,TB_원본!$J$5:$J$20000,$A8,TB_원본!$I$5:$I$20000,설정!$C$20-12)</f>
        <v/>
      </c>
      <c r="G8" s="80">
        <f>IF(F8&lt;=0,IF(C8&gt;0,1,0),C8/F8-1)</f>
        <v/>
      </c>
      <c r="H8" s="35">
        <f>SUMIFS(TB_원본!$K$5:$K$20000,TB_원본!$J$5:$J$20000,$A8,TB_원본!$I$5:$I$20000,"&gt;="&amp;설정!$C$22,TB_원본!$I$5:$I$20000,"&lt;="&amp;설정!$C$20)</f>
        <v/>
      </c>
      <c r="I8" s="35">
        <f>SUMIFS(TB_원본!$K$5:$K$20000,TB_원본!$J$5:$J$20000,$A8,TB_원본!$I$5:$I$20000,"&gt;="&amp;(설정!$C$22-3),TB_원본!$I$5:$I$20000,"&lt;="&amp;(설정!$C$20-3))</f>
        <v/>
      </c>
      <c r="J8" s="80">
        <f>IF(I8&lt;=0,IF(H8&gt;0,1,0),H8/I8-1)</f>
        <v/>
      </c>
      <c r="K8" s="35">
        <f>SUMIFS(전표_원본!$P$5:$P$100000,전표_원본!$X$5:$X$100000,$A8,전표_원본!$M$5:$M$100000,설정!$C$20)</f>
        <v/>
      </c>
      <c r="L8" s="40">
        <f>C8-K8</f>
        <v/>
      </c>
      <c r="M8" s="35">
        <f>SUMIFS(예산판_원본!$P$5:$P$5000,예산판_원본!$R$5:$R$5000,$A8,예산판_원본!$M$5:$M$5000,설정!$C$6,예산판_원본!$N$5:$N$5000,설정!$C$21)</f>
        <v/>
      </c>
      <c r="N8" s="35">
        <f>SUMIFS(전표_원본!$P$5:$P$100000,전표_원본!$X$5:$X$100000,$A8,전표_원본!$M$5:$M$100000,"&gt;="&amp;설정!$C$22,전표_원본!$M$5:$M$100000,"&lt;="&amp;설정!$C$20)</f>
        <v/>
      </c>
      <c r="O8" s="40">
        <f>M8-N8</f>
        <v/>
      </c>
      <c r="P8" s="22">
        <f>IF(AND(ABS(L8)&lt;0.05,ABS(O8)&lt;0.05),"OK","차이 확인")</f>
        <v/>
      </c>
    </row>
    <row r="9">
      <c r="A9" s="79" t="inlineStr">
        <is>
          <t>62301000</t>
        </is>
      </c>
      <c r="B9" s="26">
        <f>IFERROR(INDEX(계정매핑!$B$5:$B$504,MATCH($A9,계정매핑!$A$5:$A$504,0)),"")</f>
        <v/>
      </c>
      <c r="C9" s="35">
        <f>SUMIFS(TB_원본!$K$5:$K$20000,TB_원본!$J$5:$J$20000,$A9,TB_원본!$I$5:$I$20000,설정!$C$20)</f>
        <v/>
      </c>
      <c r="D9" s="35">
        <f>SUMIFS(TB_원본!$K$5:$K$20000,TB_원본!$J$5:$J$20000,$A9,TB_원본!$I$5:$I$20000,설정!$C$20-1)</f>
        <v/>
      </c>
      <c r="E9" s="80">
        <f>IF(D9&lt;=0,IF(C9&gt;0,1,0),C9/D9-1)</f>
        <v/>
      </c>
      <c r="F9" s="35">
        <f>SUMIFS(TB_원본!$K$5:$K$20000,TB_원본!$J$5:$J$20000,$A9,TB_원본!$I$5:$I$20000,설정!$C$20-12)</f>
        <v/>
      </c>
      <c r="G9" s="80">
        <f>IF(F9&lt;=0,IF(C9&gt;0,1,0),C9/F9-1)</f>
        <v/>
      </c>
      <c r="H9" s="35">
        <f>SUMIFS(TB_원본!$K$5:$K$20000,TB_원본!$J$5:$J$20000,$A9,TB_원본!$I$5:$I$20000,"&gt;="&amp;설정!$C$22,TB_원본!$I$5:$I$20000,"&lt;="&amp;설정!$C$20)</f>
        <v/>
      </c>
      <c r="I9" s="35">
        <f>SUMIFS(TB_원본!$K$5:$K$20000,TB_원본!$J$5:$J$20000,$A9,TB_원본!$I$5:$I$20000,"&gt;="&amp;(설정!$C$22-3),TB_원본!$I$5:$I$20000,"&lt;="&amp;(설정!$C$20-3))</f>
        <v/>
      </c>
      <c r="J9" s="80">
        <f>IF(I9&lt;=0,IF(H9&gt;0,1,0),H9/I9-1)</f>
        <v/>
      </c>
      <c r="K9" s="35">
        <f>SUMIFS(전표_원본!$P$5:$P$100000,전표_원본!$X$5:$X$100000,$A9,전표_원본!$M$5:$M$100000,설정!$C$20)</f>
        <v/>
      </c>
      <c r="L9" s="40">
        <f>C9-K9</f>
        <v/>
      </c>
      <c r="M9" s="35">
        <f>SUMIFS(예산판_원본!$P$5:$P$5000,예산판_원본!$R$5:$R$5000,$A9,예산판_원본!$M$5:$M$5000,설정!$C$6,예산판_원본!$N$5:$N$5000,설정!$C$21)</f>
        <v/>
      </c>
      <c r="N9" s="35">
        <f>SUMIFS(전표_원본!$P$5:$P$100000,전표_원본!$X$5:$X$100000,$A9,전표_원본!$M$5:$M$100000,"&gt;="&amp;설정!$C$22,전표_원본!$M$5:$M$100000,"&lt;="&amp;설정!$C$20)</f>
        <v/>
      </c>
      <c r="O9" s="40">
        <f>M9-N9</f>
        <v/>
      </c>
      <c r="P9" s="22">
        <f>IF(AND(ABS(L9)&lt;0.05,ABS(O9)&lt;0.05),"OK","차이 확인")</f>
        <v/>
      </c>
    </row>
    <row r="10">
      <c r="A10" s="79" t="inlineStr">
        <is>
          <t>62401000</t>
        </is>
      </c>
      <c r="B10" s="26">
        <f>IFERROR(INDEX(계정매핑!$B$5:$B$504,MATCH($A10,계정매핑!$A$5:$A$504,0)),"")</f>
        <v/>
      </c>
      <c r="C10" s="35">
        <f>SUMIFS(TB_원본!$K$5:$K$20000,TB_원본!$J$5:$J$20000,$A10,TB_원본!$I$5:$I$20000,설정!$C$20)</f>
        <v/>
      </c>
      <c r="D10" s="35">
        <f>SUMIFS(TB_원본!$K$5:$K$20000,TB_원본!$J$5:$J$20000,$A10,TB_원본!$I$5:$I$20000,설정!$C$20-1)</f>
        <v/>
      </c>
      <c r="E10" s="80">
        <f>IF(D10&lt;=0,IF(C10&gt;0,1,0),C10/D10-1)</f>
        <v/>
      </c>
      <c r="F10" s="35">
        <f>SUMIFS(TB_원본!$K$5:$K$20000,TB_원본!$J$5:$J$20000,$A10,TB_원본!$I$5:$I$20000,설정!$C$20-12)</f>
        <v/>
      </c>
      <c r="G10" s="80">
        <f>IF(F10&lt;=0,IF(C10&gt;0,1,0),C10/F10-1)</f>
        <v/>
      </c>
      <c r="H10" s="35">
        <f>SUMIFS(TB_원본!$K$5:$K$20000,TB_원본!$J$5:$J$20000,$A10,TB_원본!$I$5:$I$20000,"&gt;="&amp;설정!$C$22,TB_원본!$I$5:$I$20000,"&lt;="&amp;설정!$C$20)</f>
        <v/>
      </c>
      <c r="I10" s="35">
        <f>SUMIFS(TB_원본!$K$5:$K$20000,TB_원본!$J$5:$J$20000,$A10,TB_원본!$I$5:$I$20000,"&gt;="&amp;(설정!$C$22-3),TB_원본!$I$5:$I$20000,"&lt;="&amp;(설정!$C$20-3))</f>
        <v/>
      </c>
      <c r="J10" s="80">
        <f>IF(I10&lt;=0,IF(H10&gt;0,1,0),H10/I10-1)</f>
        <v/>
      </c>
      <c r="K10" s="35">
        <f>SUMIFS(전표_원본!$P$5:$P$100000,전표_원본!$X$5:$X$100000,$A10,전표_원본!$M$5:$M$100000,설정!$C$20)</f>
        <v/>
      </c>
      <c r="L10" s="40">
        <f>C10-K10</f>
        <v/>
      </c>
      <c r="M10" s="35">
        <f>SUMIFS(예산판_원본!$P$5:$P$5000,예산판_원본!$R$5:$R$5000,$A10,예산판_원본!$M$5:$M$5000,설정!$C$6,예산판_원본!$N$5:$N$5000,설정!$C$21)</f>
        <v/>
      </c>
      <c r="N10" s="35">
        <f>SUMIFS(전표_원본!$P$5:$P$100000,전표_원본!$X$5:$X$100000,$A10,전표_원본!$M$5:$M$100000,"&gt;="&amp;설정!$C$22,전표_원본!$M$5:$M$100000,"&lt;="&amp;설정!$C$20)</f>
        <v/>
      </c>
      <c r="O10" s="40">
        <f>M10-N10</f>
        <v/>
      </c>
      <c r="P10" s="22">
        <f>IF(AND(ABS(L10)&lt;0.05,ABS(O10)&lt;0.05),"OK","차이 확인")</f>
        <v/>
      </c>
    </row>
    <row r="11">
      <c r="A11" s="79" t="inlineStr">
        <is>
          <t>62501000</t>
        </is>
      </c>
      <c r="B11" s="26">
        <f>IFERROR(INDEX(계정매핑!$B$5:$B$504,MATCH($A11,계정매핑!$A$5:$A$504,0)),"")</f>
        <v/>
      </c>
      <c r="C11" s="35">
        <f>SUMIFS(TB_원본!$K$5:$K$20000,TB_원본!$J$5:$J$20000,$A11,TB_원본!$I$5:$I$20000,설정!$C$20)</f>
        <v/>
      </c>
      <c r="D11" s="35">
        <f>SUMIFS(TB_원본!$K$5:$K$20000,TB_원본!$J$5:$J$20000,$A11,TB_원본!$I$5:$I$20000,설정!$C$20-1)</f>
        <v/>
      </c>
      <c r="E11" s="80">
        <f>IF(D11&lt;=0,IF(C11&gt;0,1,0),C11/D11-1)</f>
        <v/>
      </c>
      <c r="F11" s="35">
        <f>SUMIFS(TB_원본!$K$5:$K$20000,TB_원본!$J$5:$J$20000,$A11,TB_원본!$I$5:$I$20000,설정!$C$20-12)</f>
        <v/>
      </c>
      <c r="G11" s="80">
        <f>IF(F11&lt;=0,IF(C11&gt;0,1,0),C11/F11-1)</f>
        <v/>
      </c>
      <c r="H11" s="35">
        <f>SUMIFS(TB_원본!$K$5:$K$20000,TB_원본!$J$5:$J$20000,$A11,TB_원본!$I$5:$I$20000,"&gt;="&amp;설정!$C$22,TB_원본!$I$5:$I$20000,"&lt;="&amp;설정!$C$20)</f>
        <v/>
      </c>
      <c r="I11" s="35">
        <f>SUMIFS(TB_원본!$K$5:$K$20000,TB_원본!$J$5:$J$20000,$A11,TB_원본!$I$5:$I$20000,"&gt;="&amp;(설정!$C$22-3),TB_원본!$I$5:$I$20000,"&lt;="&amp;(설정!$C$20-3))</f>
        <v/>
      </c>
      <c r="J11" s="80">
        <f>IF(I11&lt;=0,IF(H11&gt;0,1,0),H11/I11-1)</f>
        <v/>
      </c>
      <c r="K11" s="35">
        <f>SUMIFS(전표_원본!$P$5:$P$100000,전표_원본!$X$5:$X$100000,$A11,전표_원본!$M$5:$M$100000,설정!$C$20)</f>
        <v/>
      </c>
      <c r="L11" s="40">
        <f>C11-K11</f>
        <v/>
      </c>
      <c r="M11" s="35">
        <f>SUMIFS(예산판_원본!$P$5:$P$5000,예산판_원본!$R$5:$R$5000,$A11,예산판_원본!$M$5:$M$5000,설정!$C$6,예산판_원본!$N$5:$N$5000,설정!$C$21)</f>
        <v/>
      </c>
      <c r="N11" s="35">
        <f>SUMIFS(전표_원본!$P$5:$P$100000,전표_원본!$X$5:$X$100000,$A11,전표_원본!$M$5:$M$100000,"&gt;="&amp;설정!$C$22,전표_원본!$M$5:$M$100000,"&lt;="&amp;설정!$C$20)</f>
        <v/>
      </c>
      <c r="O11" s="40">
        <f>M11-N11</f>
        <v/>
      </c>
      <c r="P11" s="22">
        <f>IF(AND(ABS(L11)&lt;0.05,ABS(O11)&lt;0.05),"OK","차이 확인")</f>
        <v/>
      </c>
    </row>
    <row r="12">
      <c r="A12" s="79" t="inlineStr">
        <is>
          <t>62601000</t>
        </is>
      </c>
      <c r="B12" s="26">
        <f>IFERROR(INDEX(계정매핑!$B$5:$B$504,MATCH($A12,계정매핑!$A$5:$A$504,0)),"")</f>
        <v/>
      </c>
      <c r="C12" s="35">
        <f>SUMIFS(TB_원본!$K$5:$K$20000,TB_원본!$J$5:$J$20000,$A12,TB_원본!$I$5:$I$20000,설정!$C$20)</f>
        <v/>
      </c>
      <c r="D12" s="35">
        <f>SUMIFS(TB_원본!$K$5:$K$20000,TB_원본!$J$5:$J$20000,$A12,TB_원본!$I$5:$I$20000,설정!$C$20-1)</f>
        <v/>
      </c>
      <c r="E12" s="80">
        <f>IF(D12&lt;=0,IF(C12&gt;0,1,0),C12/D12-1)</f>
        <v/>
      </c>
      <c r="F12" s="35">
        <f>SUMIFS(TB_원본!$K$5:$K$20000,TB_원본!$J$5:$J$20000,$A12,TB_원본!$I$5:$I$20000,설정!$C$20-12)</f>
        <v/>
      </c>
      <c r="G12" s="80">
        <f>IF(F12&lt;=0,IF(C12&gt;0,1,0),C12/F12-1)</f>
        <v/>
      </c>
      <c r="H12" s="35">
        <f>SUMIFS(TB_원본!$K$5:$K$20000,TB_원본!$J$5:$J$20000,$A12,TB_원본!$I$5:$I$20000,"&gt;="&amp;설정!$C$22,TB_원본!$I$5:$I$20000,"&lt;="&amp;설정!$C$20)</f>
        <v/>
      </c>
      <c r="I12" s="35">
        <f>SUMIFS(TB_원본!$K$5:$K$20000,TB_원본!$J$5:$J$20000,$A12,TB_원본!$I$5:$I$20000,"&gt;="&amp;(설정!$C$22-3),TB_원본!$I$5:$I$20000,"&lt;="&amp;(설정!$C$20-3))</f>
        <v/>
      </c>
      <c r="J12" s="80">
        <f>IF(I12&lt;=0,IF(H12&gt;0,1,0),H12/I12-1)</f>
        <v/>
      </c>
      <c r="K12" s="35">
        <f>SUMIFS(전표_원본!$P$5:$P$100000,전표_원본!$X$5:$X$100000,$A12,전표_원본!$M$5:$M$100000,설정!$C$20)</f>
        <v/>
      </c>
      <c r="L12" s="40">
        <f>C12-K12</f>
        <v/>
      </c>
      <c r="M12" s="35">
        <f>SUMIFS(예산판_원본!$P$5:$P$5000,예산판_원본!$R$5:$R$5000,$A12,예산판_원본!$M$5:$M$5000,설정!$C$6,예산판_원본!$N$5:$N$5000,설정!$C$21)</f>
        <v/>
      </c>
      <c r="N12" s="35">
        <f>SUMIFS(전표_원본!$P$5:$P$100000,전표_원본!$X$5:$X$100000,$A12,전표_원본!$M$5:$M$100000,"&gt;="&amp;설정!$C$22,전표_원본!$M$5:$M$100000,"&lt;="&amp;설정!$C$20)</f>
        <v/>
      </c>
      <c r="O12" s="40">
        <f>M12-N12</f>
        <v/>
      </c>
      <c r="P12" s="22">
        <f>IF(AND(ABS(L12)&lt;0.05,ABS(O12)&lt;0.05),"OK","차이 확인")</f>
        <v/>
      </c>
    </row>
    <row r="13">
      <c r="A13" s="79" t="inlineStr">
        <is>
          <t>62701000</t>
        </is>
      </c>
      <c r="B13" s="26">
        <f>IFERROR(INDEX(계정매핑!$B$5:$B$504,MATCH($A13,계정매핑!$A$5:$A$504,0)),"")</f>
        <v/>
      </c>
      <c r="C13" s="35">
        <f>SUMIFS(TB_원본!$K$5:$K$20000,TB_원본!$J$5:$J$20000,$A13,TB_원본!$I$5:$I$20000,설정!$C$20)</f>
        <v/>
      </c>
      <c r="D13" s="35">
        <f>SUMIFS(TB_원본!$K$5:$K$20000,TB_원본!$J$5:$J$20000,$A13,TB_원본!$I$5:$I$20000,설정!$C$20-1)</f>
        <v/>
      </c>
      <c r="E13" s="80">
        <f>IF(D13&lt;=0,IF(C13&gt;0,1,0),C13/D13-1)</f>
        <v/>
      </c>
      <c r="F13" s="35">
        <f>SUMIFS(TB_원본!$K$5:$K$20000,TB_원본!$J$5:$J$20000,$A13,TB_원본!$I$5:$I$20000,설정!$C$20-12)</f>
        <v/>
      </c>
      <c r="G13" s="80">
        <f>IF(F13&lt;=0,IF(C13&gt;0,1,0),C13/F13-1)</f>
        <v/>
      </c>
      <c r="H13" s="35">
        <f>SUMIFS(TB_원본!$K$5:$K$20000,TB_원본!$J$5:$J$20000,$A13,TB_원본!$I$5:$I$20000,"&gt;="&amp;설정!$C$22,TB_원본!$I$5:$I$20000,"&lt;="&amp;설정!$C$20)</f>
        <v/>
      </c>
      <c r="I13" s="35">
        <f>SUMIFS(TB_원본!$K$5:$K$20000,TB_원본!$J$5:$J$20000,$A13,TB_원본!$I$5:$I$20000,"&gt;="&amp;(설정!$C$22-3),TB_원본!$I$5:$I$20000,"&lt;="&amp;(설정!$C$20-3))</f>
        <v/>
      </c>
      <c r="J13" s="80">
        <f>IF(I13&lt;=0,IF(H13&gt;0,1,0),H13/I13-1)</f>
        <v/>
      </c>
      <c r="K13" s="35">
        <f>SUMIFS(전표_원본!$P$5:$P$100000,전표_원본!$X$5:$X$100000,$A13,전표_원본!$M$5:$M$100000,설정!$C$20)</f>
        <v/>
      </c>
      <c r="L13" s="40">
        <f>C13-K13</f>
        <v/>
      </c>
      <c r="M13" s="35">
        <f>SUMIFS(예산판_원본!$P$5:$P$5000,예산판_원본!$R$5:$R$5000,$A13,예산판_원본!$M$5:$M$5000,설정!$C$6,예산판_원본!$N$5:$N$5000,설정!$C$21)</f>
        <v/>
      </c>
      <c r="N13" s="35">
        <f>SUMIFS(전표_원본!$P$5:$P$100000,전표_원본!$X$5:$X$100000,$A13,전표_원본!$M$5:$M$100000,"&gt;="&amp;설정!$C$22,전표_원본!$M$5:$M$100000,"&lt;="&amp;설정!$C$20)</f>
        <v/>
      </c>
      <c r="O13" s="40">
        <f>M13-N13</f>
        <v/>
      </c>
      <c r="P13" s="22">
        <f>IF(AND(ABS(L13)&lt;0.05,ABS(O13)&lt;0.05),"OK","차이 확인")</f>
        <v/>
      </c>
    </row>
    <row r="14">
      <c r="A14" s="79" t="inlineStr">
        <is>
          <t>62801000</t>
        </is>
      </c>
      <c r="B14" s="26">
        <f>IFERROR(INDEX(계정매핑!$B$5:$B$504,MATCH($A14,계정매핑!$A$5:$A$504,0)),"")</f>
        <v/>
      </c>
      <c r="C14" s="35">
        <f>SUMIFS(TB_원본!$K$5:$K$20000,TB_원본!$J$5:$J$20000,$A14,TB_원본!$I$5:$I$20000,설정!$C$20)</f>
        <v/>
      </c>
      <c r="D14" s="35">
        <f>SUMIFS(TB_원본!$K$5:$K$20000,TB_원본!$J$5:$J$20000,$A14,TB_원본!$I$5:$I$20000,설정!$C$20-1)</f>
        <v/>
      </c>
      <c r="E14" s="80">
        <f>IF(D14&lt;=0,IF(C14&gt;0,1,0),C14/D14-1)</f>
        <v/>
      </c>
      <c r="F14" s="35">
        <f>SUMIFS(TB_원본!$K$5:$K$20000,TB_원본!$J$5:$J$20000,$A14,TB_원본!$I$5:$I$20000,설정!$C$20-12)</f>
        <v/>
      </c>
      <c r="G14" s="80">
        <f>IF(F14&lt;=0,IF(C14&gt;0,1,0),C14/F14-1)</f>
        <v/>
      </c>
      <c r="H14" s="35">
        <f>SUMIFS(TB_원본!$K$5:$K$20000,TB_원본!$J$5:$J$20000,$A14,TB_원본!$I$5:$I$20000,"&gt;="&amp;설정!$C$22,TB_원본!$I$5:$I$20000,"&lt;="&amp;설정!$C$20)</f>
        <v/>
      </c>
      <c r="I14" s="35">
        <f>SUMIFS(TB_원본!$K$5:$K$20000,TB_원본!$J$5:$J$20000,$A14,TB_원본!$I$5:$I$20000,"&gt;="&amp;(설정!$C$22-3),TB_원본!$I$5:$I$20000,"&lt;="&amp;(설정!$C$20-3))</f>
        <v/>
      </c>
      <c r="J14" s="80">
        <f>IF(I14&lt;=0,IF(H14&gt;0,1,0),H14/I14-1)</f>
        <v/>
      </c>
      <c r="K14" s="35">
        <f>SUMIFS(전표_원본!$P$5:$P$100000,전표_원본!$X$5:$X$100000,$A14,전표_원본!$M$5:$M$100000,설정!$C$20)</f>
        <v/>
      </c>
      <c r="L14" s="40">
        <f>C14-K14</f>
        <v/>
      </c>
      <c r="M14" s="35">
        <f>SUMIFS(예산판_원본!$P$5:$P$5000,예산판_원본!$R$5:$R$5000,$A14,예산판_원본!$M$5:$M$5000,설정!$C$6,예산판_원본!$N$5:$N$5000,설정!$C$21)</f>
        <v/>
      </c>
      <c r="N14" s="35">
        <f>SUMIFS(전표_원본!$P$5:$P$100000,전표_원본!$X$5:$X$100000,$A14,전표_원본!$M$5:$M$100000,"&gt;="&amp;설정!$C$22,전표_원본!$M$5:$M$100000,"&lt;="&amp;설정!$C$20)</f>
        <v/>
      </c>
      <c r="O14" s="40">
        <f>M14-N14</f>
        <v/>
      </c>
      <c r="P14" s="22">
        <f>IF(AND(ABS(L14)&lt;0.05,ABS(O14)&lt;0.05),"OK","차이 확인")</f>
        <v/>
      </c>
    </row>
    <row r="15">
      <c r="A15" s="79" t="inlineStr">
        <is>
          <t>62802000</t>
        </is>
      </c>
      <c r="B15" s="26">
        <f>IFERROR(INDEX(계정매핑!$B$5:$B$504,MATCH($A15,계정매핑!$A$5:$A$504,0)),"")</f>
        <v/>
      </c>
      <c r="C15" s="35">
        <f>SUMIFS(TB_원본!$K$5:$K$20000,TB_원본!$J$5:$J$20000,$A15,TB_원본!$I$5:$I$20000,설정!$C$20)</f>
        <v/>
      </c>
      <c r="D15" s="35">
        <f>SUMIFS(TB_원본!$K$5:$K$20000,TB_원본!$J$5:$J$20000,$A15,TB_원본!$I$5:$I$20000,설정!$C$20-1)</f>
        <v/>
      </c>
      <c r="E15" s="80">
        <f>IF(D15&lt;=0,IF(C15&gt;0,1,0),C15/D15-1)</f>
        <v/>
      </c>
      <c r="F15" s="35">
        <f>SUMIFS(TB_원본!$K$5:$K$20000,TB_원본!$J$5:$J$20000,$A15,TB_원본!$I$5:$I$20000,설정!$C$20-12)</f>
        <v/>
      </c>
      <c r="G15" s="80">
        <f>IF(F15&lt;=0,IF(C15&gt;0,1,0),C15/F15-1)</f>
        <v/>
      </c>
      <c r="H15" s="35">
        <f>SUMIFS(TB_원본!$K$5:$K$20000,TB_원본!$J$5:$J$20000,$A15,TB_원본!$I$5:$I$20000,"&gt;="&amp;설정!$C$22,TB_원본!$I$5:$I$20000,"&lt;="&amp;설정!$C$20)</f>
        <v/>
      </c>
      <c r="I15" s="35">
        <f>SUMIFS(TB_원본!$K$5:$K$20000,TB_원본!$J$5:$J$20000,$A15,TB_원본!$I$5:$I$20000,"&gt;="&amp;(설정!$C$22-3),TB_원본!$I$5:$I$20000,"&lt;="&amp;(설정!$C$20-3))</f>
        <v/>
      </c>
      <c r="J15" s="80">
        <f>IF(I15&lt;=0,IF(H15&gt;0,1,0),H15/I15-1)</f>
        <v/>
      </c>
      <c r="K15" s="35">
        <f>SUMIFS(전표_원본!$P$5:$P$100000,전표_원본!$X$5:$X$100000,$A15,전표_원본!$M$5:$M$100000,설정!$C$20)</f>
        <v/>
      </c>
      <c r="L15" s="40">
        <f>C15-K15</f>
        <v/>
      </c>
      <c r="M15" s="35">
        <f>SUMIFS(예산판_원본!$P$5:$P$5000,예산판_원본!$R$5:$R$5000,$A15,예산판_원본!$M$5:$M$5000,설정!$C$6,예산판_원본!$N$5:$N$5000,설정!$C$21)</f>
        <v/>
      </c>
      <c r="N15" s="35">
        <f>SUMIFS(전표_원본!$P$5:$P$100000,전표_원본!$X$5:$X$100000,$A15,전표_원본!$M$5:$M$100000,"&gt;="&amp;설정!$C$22,전표_원본!$M$5:$M$100000,"&lt;="&amp;설정!$C$20)</f>
        <v/>
      </c>
      <c r="O15" s="40">
        <f>M15-N15</f>
        <v/>
      </c>
      <c r="P15" s="22">
        <f>IF(AND(ABS(L15)&lt;0.05,ABS(O15)&lt;0.05),"OK","차이 확인")</f>
        <v/>
      </c>
    </row>
    <row r="16">
      <c r="A16" s="79" t="inlineStr">
        <is>
          <t>62901000</t>
        </is>
      </c>
      <c r="B16" s="26">
        <f>IFERROR(INDEX(계정매핑!$B$5:$B$504,MATCH($A16,계정매핑!$A$5:$A$504,0)),"")</f>
        <v/>
      </c>
      <c r="C16" s="35">
        <f>SUMIFS(TB_원본!$K$5:$K$20000,TB_원본!$J$5:$J$20000,$A16,TB_원본!$I$5:$I$20000,설정!$C$20)</f>
        <v/>
      </c>
      <c r="D16" s="35">
        <f>SUMIFS(TB_원본!$K$5:$K$20000,TB_원본!$J$5:$J$20000,$A16,TB_원본!$I$5:$I$20000,설정!$C$20-1)</f>
        <v/>
      </c>
      <c r="E16" s="80">
        <f>IF(D16&lt;=0,IF(C16&gt;0,1,0),C16/D16-1)</f>
        <v/>
      </c>
      <c r="F16" s="35">
        <f>SUMIFS(TB_원본!$K$5:$K$20000,TB_원본!$J$5:$J$20000,$A16,TB_원본!$I$5:$I$20000,설정!$C$20-12)</f>
        <v/>
      </c>
      <c r="G16" s="80">
        <f>IF(F16&lt;=0,IF(C16&gt;0,1,0),C16/F16-1)</f>
        <v/>
      </c>
      <c r="H16" s="35">
        <f>SUMIFS(TB_원본!$K$5:$K$20000,TB_원본!$J$5:$J$20000,$A16,TB_원본!$I$5:$I$20000,"&gt;="&amp;설정!$C$22,TB_원본!$I$5:$I$20000,"&lt;="&amp;설정!$C$20)</f>
        <v/>
      </c>
      <c r="I16" s="35">
        <f>SUMIFS(TB_원본!$K$5:$K$20000,TB_원본!$J$5:$J$20000,$A16,TB_원본!$I$5:$I$20000,"&gt;="&amp;(설정!$C$22-3),TB_원본!$I$5:$I$20000,"&lt;="&amp;(설정!$C$20-3))</f>
        <v/>
      </c>
      <c r="J16" s="80">
        <f>IF(I16&lt;=0,IF(H16&gt;0,1,0),H16/I16-1)</f>
        <v/>
      </c>
      <c r="K16" s="35">
        <f>SUMIFS(전표_원본!$P$5:$P$100000,전표_원본!$X$5:$X$100000,$A16,전표_원본!$M$5:$M$100000,설정!$C$20)</f>
        <v/>
      </c>
      <c r="L16" s="40">
        <f>C16-K16</f>
        <v/>
      </c>
      <c r="M16" s="35">
        <f>SUMIFS(예산판_원본!$P$5:$P$5000,예산판_원본!$R$5:$R$5000,$A16,예산판_원본!$M$5:$M$5000,설정!$C$6,예산판_원본!$N$5:$N$5000,설정!$C$21)</f>
        <v/>
      </c>
      <c r="N16" s="35">
        <f>SUMIFS(전표_원본!$P$5:$P$100000,전표_원본!$X$5:$X$100000,$A16,전표_원본!$M$5:$M$100000,"&gt;="&amp;설정!$C$22,전표_원본!$M$5:$M$100000,"&lt;="&amp;설정!$C$20)</f>
        <v/>
      </c>
      <c r="O16" s="40">
        <f>M16-N16</f>
        <v/>
      </c>
      <c r="P16" s="22">
        <f>IF(AND(ABS(L16)&lt;0.05,ABS(O16)&lt;0.05),"OK","차이 확인")</f>
        <v/>
      </c>
    </row>
    <row r="17">
      <c r="A17" s="79" t="inlineStr">
        <is>
          <t>62902000</t>
        </is>
      </c>
      <c r="B17" s="26">
        <f>IFERROR(INDEX(계정매핑!$B$5:$B$504,MATCH($A17,계정매핑!$A$5:$A$504,0)),"")</f>
        <v/>
      </c>
      <c r="C17" s="35">
        <f>SUMIFS(TB_원본!$K$5:$K$20000,TB_원본!$J$5:$J$20000,$A17,TB_원본!$I$5:$I$20000,설정!$C$20)</f>
        <v/>
      </c>
      <c r="D17" s="35">
        <f>SUMIFS(TB_원본!$K$5:$K$20000,TB_원본!$J$5:$J$20000,$A17,TB_원본!$I$5:$I$20000,설정!$C$20-1)</f>
        <v/>
      </c>
      <c r="E17" s="80">
        <f>IF(D17&lt;=0,IF(C17&gt;0,1,0),C17/D17-1)</f>
        <v/>
      </c>
      <c r="F17" s="35">
        <f>SUMIFS(TB_원본!$K$5:$K$20000,TB_원본!$J$5:$J$20000,$A17,TB_원본!$I$5:$I$20000,설정!$C$20-12)</f>
        <v/>
      </c>
      <c r="G17" s="80">
        <f>IF(F17&lt;=0,IF(C17&gt;0,1,0),C17/F17-1)</f>
        <v/>
      </c>
      <c r="H17" s="35">
        <f>SUMIFS(TB_원본!$K$5:$K$20000,TB_원본!$J$5:$J$20000,$A17,TB_원본!$I$5:$I$20000,"&gt;="&amp;설정!$C$22,TB_원본!$I$5:$I$20000,"&lt;="&amp;설정!$C$20)</f>
        <v/>
      </c>
      <c r="I17" s="35">
        <f>SUMIFS(TB_원본!$K$5:$K$20000,TB_원본!$J$5:$J$20000,$A17,TB_원본!$I$5:$I$20000,"&gt;="&amp;(설정!$C$22-3),TB_원본!$I$5:$I$20000,"&lt;="&amp;(설정!$C$20-3))</f>
        <v/>
      </c>
      <c r="J17" s="80">
        <f>IF(I17&lt;=0,IF(H17&gt;0,1,0),H17/I17-1)</f>
        <v/>
      </c>
      <c r="K17" s="35">
        <f>SUMIFS(전표_원본!$P$5:$P$100000,전표_원본!$X$5:$X$100000,$A17,전표_원본!$M$5:$M$100000,설정!$C$20)</f>
        <v/>
      </c>
      <c r="L17" s="40">
        <f>C17-K17</f>
        <v/>
      </c>
      <c r="M17" s="35">
        <f>SUMIFS(예산판_원본!$P$5:$P$5000,예산판_원본!$R$5:$R$5000,$A17,예산판_원본!$M$5:$M$5000,설정!$C$6,예산판_원본!$N$5:$N$5000,설정!$C$21)</f>
        <v/>
      </c>
      <c r="N17" s="35">
        <f>SUMIFS(전표_원본!$P$5:$P$100000,전표_원본!$X$5:$X$100000,$A17,전표_원본!$M$5:$M$100000,"&gt;="&amp;설정!$C$22,전표_원본!$M$5:$M$100000,"&lt;="&amp;설정!$C$20)</f>
        <v/>
      </c>
      <c r="O17" s="40">
        <f>M17-N17</f>
        <v/>
      </c>
      <c r="P17" s="22">
        <f>IF(AND(ABS(L17)&lt;0.05,ABS(O17)&lt;0.05),"OK","차이 확인")</f>
        <v/>
      </c>
    </row>
    <row r="18">
      <c r="A18" s="79" t="inlineStr">
        <is>
          <t>63001000</t>
        </is>
      </c>
      <c r="B18" s="26">
        <f>IFERROR(INDEX(계정매핑!$B$5:$B$504,MATCH($A18,계정매핑!$A$5:$A$504,0)),"")</f>
        <v/>
      </c>
      <c r="C18" s="35">
        <f>SUMIFS(TB_원본!$K$5:$K$20000,TB_원본!$J$5:$J$20000,$A18,TB_원본!$I$5:$I$20000,설정!$C$20)</f>
        <v/>
      </c>
      <c r="D18" s="35">
        <f>SUMIFS(TB_원본!$K$5:$K$20000,TB_원본!$J$5:$J$20000,$A18,TB_원본!$I$5:$I$20000,설정!$C$20-1)</f>
        <v/>
      </c>
      <c r="E18" s="80">
        <f>IF(D18&lt;=0,IF(C18&gt;0,1,0),C18/D18-1)</f>
        <v/>
      </c>
      <c r="F18" s="35">
        <f>SUMIFS(TB_원본!$K$5:$K$20000,TB_원본!$J$5:$J$20000,$A18,TB_원본!$I$5:$I$20000,설정!$C$20-12)</f>
        <v/>
      </c>
      <c r="G18" s="80">
        <f>IF(F18&lt;=0,IF(C18&gt;0,1,0),C18/F18-1)</f>
        <v/>
      </c>
      <c r="H18" s="35">
        <f>SUMIFS(TB_원본!$K$5:$K$20000,TB_원본!$J$5:$J$20000,$A18,TB_원본!$I$5:$I$20000,"&gt;="&amp;설정!$C$22,TB_원본!$I$5:$I$20000,"&lt;="&amp;설정!$C$20)</f>
        <v/>
      </c>
      <c r="I18" s="35">
        <f>SUMIFS(TB_원본!$K$5:$K$20000,TB_원본!$J$5:$J$20000,$A18,TB_원본!$I$5:$I$20000,"&gt;="&amp;(설정!$C$22-3),TB_원본!$I$5:$I$20000,"&lt;="&amp;(설정!$C$20-3))</f>
        <v/>
      </c>
      <c r="J18" s="80">
        <f>IF(I18&lt;=0,IF(H18&gt;0,1,0),H18/I18-1)</f>
        <v/>
      </c>
      <c r="K18" s="35">
        <f>SUMIFS(전표_원본!$P$5:$P$100000,전표_원본!$X$5:$X$100000,$A18,전표_원본!$M$5:$M$100000,설정!$C$20)</f>
        <v/>
      </c>
      <c r="L18" s="40">
        <f>C18-K18</f>
        <v/>
      </c>
      <c r="M18" s="35">
        <f>SUMIFS(예산판_원본!$P$5:$P$5000,예산판_원본!$R$5:$R$5000,$A18,예산판_원본!$M$5:$M$5000,설정!$C$6,예산판_원본!$N$5:$N$5000,설정!$C$21)</f>
        <v/>
      </c>
      <c r="N18" s="35">
        <f>SUMIFS(전표_원본!$P$5:$P$100000,전표_원본!$X$5:$X$100000,$A18,전표_원본!$M$5:$M$100000,"&gt;="&amp;설정!$C$22,전표_원본!$M$5:$M$100000,"&lt;="&amp;설정!$C$20)</f>
        <v/>
      </c>
      <c r="O18" s="40">
        <f>M18-N18</f>
        <v/>
      </c>
      <c r="P18" s="22">
        <f>IF(AND(ABS(L18)&lt;0.05,ABS(O18)&lt;0.05),"OK","차이 확인")</f>
        <v/>
      </c>
    </row>
    <row r="19">
      <c r="A19" s="79" t="inlineStr">
        <is>
          <t>63002000</t>
        </is>
      </c>
      <c r="B19" s="26">
        <f>IFERROR(INDEX(계정매핑!$B$5:$B$504,MATCH($A19,계정매핑!$A$5:$A$504,0)),"")</f>
        <v/>
      </c>
      <c r="C19" s="35">
        <f>SUMIFS(TB_원본!$K$5:$K$20000,TB_원본!$J$5:$J$20000,$A19,TB_원본!$I$5:$I$20000,설정!$C$20)</f>
        <v/>
      </c>
      <c r="D19" s="35">
        <f>SUMIFS(TB_원본!$K$5:$K$20000,TB_원본!$J$5:$J$20000,$A19,TB_원본!$I$5:$I$20000,설정!$C$20-1)</f>
        <v/>
      </c>
      <c r="E19" s="80">
        <f>IF(D19&lt;=0,IF(C19&gt;0,1,0),C19/D19-1)</f>
        <v/>
      </c>
      <c r="F19" s="35">
        <f>SUMIFS(TB_원본!$K$5:$K$20000,TB_원본!$J$5:$J$20000,$A19,TB_원본!$I$5:$I$20000,설정!$C$20-12)</f>
        <v/>
      </c>
      <c r="G19" s="80">
        <f>IF(F19&lt;=0,IF(C19&gt;0,1,0),C19/F19-1)</f>
        <v/>
      </c>
      <c r="H19" s="35">
        <f>SUMIFS(TB_원본!$K$5:$K$20000,TB_원본!$J$5:$J$20000,$A19,TB_원본!$I$5:$I$20000,"&gt;="&amp;설정!$C$22,TB_원본!$I$5:$I$20000,"&lt;="&amp;설정!$C$20)</f>
        <v/>
      </c>
      <c r="I19" s="35">
        <f>SUMIFS(TB_원본!$K$5:$K$20000,TB_원본!$J$5:$J$20000,$A19,TB_원본!$I$5:$I$20000,"&gt;="&amp;(설정!$C$22-3),TB_원본!$I$5:$I$20000,"&lt;="&amp;(설정!$C$20-3))</f>
        <v/>
      </c>
      <c r="J19" s="80">
        <f>IF(I19&lt;=0,IF(H19&gt;0,1,0),H19/I19-1)</f>
        <v/>
      </c>
      <c r="K19" s="35">
        <f>SUMIFS(전표_원본!$P$5:$P$100000,전표_원본!$X$5:$X$100000,$A19,전표_원본!$M$5:$M$100000,설정!$C$20)</f>
        <v/>
      </c>
      <c r="L19" s="40">
        <f>C19-K19</f>
        <v/>
      </c>
      <c r="M19" s="35">
        <f>SUMIFS(예산판_원본!$P$5:$P$5000,예산판_원본!$R$5:$R$5000,$A19,예산판_원본!$M$5:$M$5000,설정!$C$6,예산판_원본!$N$5:$N$5000,설정!$C$21)</f>
        <v/>
      </c>
      <c r="N19" s="35">
        <f>SUMIFS(전표_원본!$P$5:$P$100000,전표_원본!$X$5:$X$100000,$A19,전표_원본!$M$5:$M$100000,"&gt;="&amp;설정!$C$22,전표_원본!$M$5:$M$100000,"&lt;="&amp;설정!$C$20)</f>
        <v/>
      </c>
      <c r="O19" s="40">
        <f>M19-N19</f>
        <v/>
      </c>
      <c r="P19" s="22">
        <f>IF(AND(ABS(L19)&lt;0.05,ABS(O19)&lt;0.05),"OK","차이 확인")</f>
        <v/>
      </c>
    </row>
    <row r="20">
      <c r="A20" s="79" t="inlineStr">
        <is>
          <t>63101000</t>
        </is>
      </c>
      <c r="B20" s="26">
        <f>IFERROR(INDEX(계정매핑!$B$5:$B$504,MATCH($A20,계정매핑!$A$5:$A$504,0)),"")</f>
        <v/>
      </c>
      <c r="C20" s="35">
        <f>SUMIFS(TB_원본!$K$5:$K$20000,TB_원본!$J$5:$J$20000,$A20,TB_원본!$I$5:$I$20000,설정!$C$20)</f>
        <v/>
      </c>
      <c r="D20" s="35">
        <f>SUMIFS(TB_원본!$K$5:$K$20000,TB_원본!$J$5:$J$20000,$A20,TB_원본!$I$5:$I$20000,설정!$C$20-1)</f>
        <v/>
      </c>
      <c r="E20" s="80">
        <f>IF(D20&lt;=0,IF(C20&gt;0,1,0),C20/D20-1)</f>
        <v/>
      </c>
      <c r="F20" s="35">
        <f>SUMIFS(TB_원본!$K$5:$K$20000,TB_원본!$J$5:$J$20000,$A20,TB_원본!$I$5:$I$20000,설정!$C$20-12)</f>
        <v/>
      </c>
      <c r="G20" s="80">
        <f>IF(F20&lt;=0,IF(C20&gt;0,1,0),C20/F20-1)</f>
        <v/>
      </c>
      <c r="H20" s="35">
        <f>SUMIFS(TB_원본!$K$5:$K$20000,TB_원본!$J$5:$J$20000,$A20,TB_원본!$I$5:$I$20000,"&gt;="&amp;설정!$C$22,TB_원본!$I$5:$I$20000,"&lt;="&amp;설정!$C$20)</f>
        <v/>
      </c>
      <c r="I20" s="35">
        <f>SUMIFS(TB_원본!$K$5:$K$20000,TB_원본!$J$5:$J$20000,$A20,TB_원본!$I$5:$I$20000,"&gt;="&amp;(설정!$C$22-3),TB_원본!$I$5:$I$20000,"&lt;="&amp;(설정!$C$20-3))</f>
        <v/>
      </c>
      <c r="J20" s="80">
        <f>IF(I20&lt;=0,IF(H20&gt;0,1,0),H20/I20-1)</f>
        <v/>
      </c>
      <c r="K20" s="35">
        <f>SUMIFS(전표_원본!$P$5:$P$100000,전표_원본!$X$5:$X$100000,$A20,전표_원본!$M$5:$M$100000,설정!$C$20)</f>
        <v/>
      </c>
      <c r="L20" s="40">
        <f>C20-K20</f>
        <v/>
      </c>
      <c r="M20" s="35">
        <f>SUMIFS(예산판_원본!$P$5:$P$5000,예산판_원본!$R$5:$R$5000,$A20,예산판_원본!$M$5:$M$5000,설정!$C$6,예산판_원본!$N$5:$N$5000,설정!$C$21)</f>
        <v/>
      </c>
      <c r="N20" s="35">
        <f>SUMIFS(전표_원본!$P$5:$P$100000,전표_원본!$X$5:$X$100000,$A20,전표_원본!$M$5:$M$100000,"&gt;="&amp;설정!$C$22,전표_원본!$M$5:$M$100000,"&lt;="&amp;설정!$C$20)</f>
        <v/>
      </c>
      <c r="O20" s="40">
        <f>M20-N20</f>
        <v/>
      </c>
      <c r="P20" s="22">
        <f>IF(AND(ABS(L20)&lt;0.05,ABS(O20)&lt;0.05),"OK","차이 확인")</f>
        <v/>
      </c>
    </row>
    <row r="21">
      <c r="A21" s="79" t="inlineStr">
        <is>
          <t>63201000</t>
        </is>
      </c>
      <c r="B21" s="26">
        <f>IFERROR(INDEX(계정매핑!$B$5:$B$504,MATCH($A21,계정매핑!$A$5:$A$504,0)),"")</f>
        <v/>
      </c>
      <c r="C21" s="35">
        <f>SUMIFS(TB_원본!$K$5:$K$20000,TB_원본!$J$5:$J$20000,$A21,TB_원본!$I$5:$I$20000,설정!$C$20)</f>
        <v/>
      </c>
      <c r="D21" s="35">
        <f>SUMIFS(TB_원본!$K$5:$K$20000,TB_원본!$J$5:$J$20000,$A21,TB_원본!$I$5:$I$20000,설정!$C$20-1)</f>
        <v/>
      </c>
      <c r="E21" s="80">
        <f>IF(D21&lt;=0,IF(C21&gt;0,1,0),C21/D21-1)</f>
        <v/>
      </c>
      <c r="F21" s="35">
        <f>SUMIFS(TB_원본!$K$5:$K$20000,TB_원본!$J$5:$J$20000,$A21,TB_원본!$I$5:$I$20000,설정!$C$20-12)</f>
        <v/>
      </c>
      <c r="G21" s="80">
        <f>IF(F21&lt;=0,IF(C21&gt;0,1,0),C21/F21-1)</f>
        <v/>
      </c>
      <c r="H21" s="35">
        <f>SUMIFS(TB_원본!$K$5:$K$20000,TB_원본!$J$5:$J$20000,$A21,TB_원본!$I$5:$I$20000,"&gt;="&amp;설정!$C$22,TB_원본!$I$5:$I$20000,"&lt;="&amp;설정!$C$20)</f>
        <v/>
      </c>
      <c r="I21" s="35">
        <f>SUMIFS(TB_원본!$K$5:$K$20000,TB_원본!$J$5:$J$20000,$A21,TB_원본!$I$5:$I$20000,"&gt;="&amp;(설정!$C$22-3),TB_원본!$I$5:$I$20000,"&lt;="&amp;(설정!$C$20-3))</f>
        <v/>
      </c>
      <c r="J21" s="80">
        <f>IF(I21&lt;=0,IF(H21&gt;0,1,0),H21/I21-1)</f>
        <v/>
      </c>
      <c r="K21" s="35">
        <f>SUMIFS(전표_원본!$P$5:$P$100000,전표_원본!$X$5:$X$100000,$A21,전표_원본!$M$5:$M$100000,설정!$C$20)</f>
        <v/>
      </c>
      <c r="L21" s="40">
        <f>C21-K21</f>
        <v/>
      </c>
      <c r="M21" s="35">
        <f>SUMIFS(예산판_원본!$P$5:$P$5000,예산판_원본!$R$5:$R$5000,$A21,예산판_원본!$M$5:$M$5000,설정!$C$6,예산판_원본!$N$5:$N$5000,설정!$C$21)</f>
        <v/>
      </c>
      <c r="N21" s="35">
        <f>SUMIFS(전표_원본!$P$5:$P$100000,전표_원본!$X$5:$X$100000,$A21,전표_원본!$M$5:$M$100000,"&gt;="&amp;설정!$C$22,전표_원본!$M$5:$M$100000,"&lt;="&amp;설정!$C$20)</f>
        <v/>
      </c>
      <c r="O21" s="40">
        <f>M21-N21</f>
        <v/>
      </c>
      <c r="P21" s="22">
        <f>IF(AND(ABS(L21)&lt;0.05,ABS(O21)&lt;0.05),"OK","차이 확인")</f>
        <v/>
      </c>
    </row>
    <row r="22">
      <c r="A22" s="79" t="inlineStr">
        <is>
          <t>63501000</t>
        </is>
      </c>
      <c r="B22" s="26">
        <f>IFERROR(INDEX(계정매핑!$B$5:$B$504,MATCH($A22,계정매핑!$A$5:$A$504,0)),"")</f>
        <v/>
      </c>
      <c r="C22" s="35">
        <f>SUMIFS(TB_원본!$K$5:$K$20000,TB_원본!$J$5:$J$20000,$A22,TB_원본!$I$5:$I$20000,설정!$C$20)</f>
        <v/>
      </c>
      <c r="D22" s="35">
        <f>SUMIFS(TB_원본!$K$5:$K$20000,TB_원본!$J$5:$J$20000,$A22,TB_원본!$I$5:$I$20000,설정!$C$20-1)</f>
        <v/>
      </c>
      <c r="E22" s="80">
        <f>IF(D22&lt;=0,IF(C22&gt;0,1,0),C22/D22-1)</f>
        <v/>
      </c>
      <c r="F22" s="35">
        <f>SUMIFS(TB_원본!$K$5:$K$20000,TB_원본!$J$5:$J$20000,$A22,TB_원본!$I$5:$I$20000,설정!$C$20-12)</f>
        <v/>
      </c>
      <c r="G22" s="80">
        <f>IF(F22&lt;=0,IF(C22&gt;0,1,0),C22/F22-1)</f>
        <v/>
      </c>
      <c r="H22" s="35">
        <f>SUMIFS(TB_원본!$K$5:$K$20000,TB_원본!$J$5:$J$20000,$A22,TB_원본!$I$5:$I$20000,"&gt;="&amp;설정!$C$22,TB_원본!$I$5:$I$20000,"&lt;="&amp;설정!$C$20)</f>
        <v/>
      </c>
      <c r="I22" s="35">
        <f>SUMIFS(TB_원본!$K$5:$K$20000,TB_원본!$J$5:$J$20000,$A22,TB_원본!$I$5:$I$20000,"&gt;="&amp;(설정!$C$22-3),TB_원본!$I$5:$I$20000,"&lt;="&amp;(설정!$C$20-3))</f>
        <v/>
      </c>
      <c r="J22" s="80">
        <f>IF(I22&lt;=0,IF(H22&gt;0,1,0),H22/I22-1)</f>
        <v/>
      </c>
      <c r="K22" s="35">
        <f>SUMIFS(전표_원본!$P$5:$P$100000,전표_원본!$X$5:$X$100000,$A22,전표_원본!$M$5:$M$100000,설정!$C$20)</f>
        <v/>
      </c>
      <c r="L22" s="40">
        <f>C22-K22</f>
        <v/>
      </c>
      <c r="M22" s="35">
        <f>SUMIFS(예산판_원본!$P$5:$P$5000,예산판_원본!$R$5:$R$5000,$A22,예산판_원본!$M$5:$M$5000,설정!$C$6,예산판_원본!$N$5:$N$5000,설정!$C$21)</f>
        <v/>
      </c>
      <c r="N22" s="35">
        <f>SUMIFS(전표_원본!$P$5:$P$100000,전표_원본!$X$5:$X$100000,$A22,전표_원본!$M$5:$M$100000,"&gt;="&amp;설정!$C$22,전표_원본!$M$5:$M$100000,"&lt;="&amp;설정!$C$20)</f>
        <v/>
      </c>
      <c r="O22" s="40">
        <f>M22-N22</f>
        <v/>
      </c>
      <c r="P22" s="22">
        <f>IF(AND(ABS(L22)&lt;0.05,ABS(O22)&lt;0.05),"OK","차이 확인")</f>
        <v/>
      </c>
    </row>
    <row r="23">
      <c r="A23" s="79" t="inlineStr">
        <is>
          <t>63502000</t>
        </is>
      </c>
      <c r="B23" s="26">
        <f>IFERROR(INDEX(계정매핑!$B$5:$B$504,MATCH($A23,계정매핑!$A$5:$A$504,0)),"")</f>
        <v/>
      </c>
      <c r="C23" s="35">
        <f>SUMIFS(TB_원본!$K$5:$K$20000,TB_원본!$J$5:$J$20000,$A23,TB_원본!$I$5:$I$20000,설정!$C$20)</f>
        <v/>
      </c>
      <c r="D23" s="35">
        <f>SUMIFS(TB_원본!$K$5:$K$20000,TB_원본!$J$5:$J$20000,$A23,TB_원본!$I$5:$I$20000,설정!$C$20-1)</f>
        <v/>
      </c>
      <c r="E23" s="80">
        <f>IF(D23&lt;=0,IF(C23&gt;0,1,0),C23/D23-1)</f>
        <v/>
      </c>
      <c r="F23" s="35">
        <f>SUMIFS(TB_원본!$K$5:$K$20000,TB_원본!$J$5:$J$20000,$A23,TB_원본!$I$5:$I$20000,설정!$C$20-12)</f>
        <v/>
      </c>
      <c r="G23" s="80">
        <f>IF(F23&lt;=0,IF(C23&gt;0,1,0),C23/F23-1)</f>
        <v/>
      </c>
      <c r="H23" s="35">
        <f>SUMIFS(TB_원본!$K$5:$K$20000,TB_원본!$J$5:$J$20000,$A23,TB_원본!$I$5:$I$20000,"&gt;="&amp;설정!$C$22,TB_원본!$I$5:$I$20000,"&lt;="&amp;설정!$C$20)</f>
        <v/>
      </c>
      <c r="I23" s="35">
        <f>SUMIFS(TB_원본!$K$5:$K$20000,TB_원본!$J$5:$J$20000,$A23,TB_원본!$I$5:$I$20000,"&gt;="&amp;(설정!$C$22-3),TB_원본!$I$5:$I$20000,"&lt;="&amp;(설정!$C$20-3))</f>
        <v/>
      </c>
      <c r="J23" s="80">
        <f>IF(I23&lt;=0,IF(H23&gt;0,1,0),H23/I23-1)</f>
        <v/>
      </c>
      <c r="K23" s="35">
        <f>SUMIFS(전표_원본!$P$5:$P$100000,전표_원본!$X$5:$X$100000,$A23,전표_원본!$M$5:$M$100000,설정!$C$20)</f>
        <v/>
      </c>
      <c r="L23" s="40">
        <f>C23-K23</f>
        <v/>
      </c>
      <c r="M23" s="35">
        <f>SUMIFS(예산판_원본!$P$5:$P$5000,예산판_원본!$R$5:$R$5000,$A23,예산판_원본!$M$5:$M$5000,설정!$C$6,예산판_원본!$N$5:$N$5000,설정!$C$21)</f>
        <v/>
      </c>
      <c r="N23" s="35">
        <f>SUMIFS(전표_원본!$P$5:$P$100000,전표_원본!$X$5:$X$100000,$A23,전표_원본!$M$5:$M$100000,"&gt;="&amp;설정!$C$22,전표_원본!$M$5:$M$100000,"&lt;="&amp;설정!$C$20)</f>
        <v/>
      </c>
      <c r="O23" s="40">
        <f>M23-N23</f>
        <v/>
      </c>
      <c r="P23" s="22">
        <f>IF(AND(ABS(L23)&lt;0.05,ABS(O23)&lt;0.05),"OK","차이 확인")</f>
        <v/>
      </c>
    </row>
    <row r="24">
      <c r="A24" s="79" t="inlineStr">
        <is>
          <t>63601000</t>
        </is>
      </c>
      <c r="B24" s="26">
        <f>IFERROR(INDEX(계정매핑!$B$5:$B$504,MATCH($A24,계정매핑!$A$5:$A$504,0)),"")</f>
        <v/>
      </c>
      <c r="C24" s="35">
        <f>SUMIFS(TB_원본!$K$5:$K$20000,TB_원본!$J$5:$J$20000,$A24,TB_원본!$I$5:$I$20000,설정!$C$20)</f>
        <v/>
      </c>
      <c r="D24" s="35">
        <f>SUMIFS(TB_원본!$K$5:$K$20000,TB_원본!$J$5:$J$20000,$A24,TB_원본!$I$5:$I$20000,설정!$C$20-1)</f>
        <v/>
      </c>
      <c r="E24" s="80">
        <f>IF(D24&lt;=0,IF(C24&gt;0,1,0),C24/D24-1)</f>
        <v/>
      </c>
      <c r="F24" s="35">
        <f>SUMIFS(TB_원본!$K$5:$K$20000,TB_원본!$J$5:$J$20000,$A24,TB_원본!$I$5:$I$20000,설정!$C$20-12)</f>
        <v/>
      </c>
      <c r="G24" s="80">
        <f>IF(F24&lt;=0,IF(C24&gt;0,1,0),C24/F24-1)</f>
        <v/>
      </c>
      <c r="H24" s="35">
        <f>SUMIFS(TB_원본!$K$5:$K$20000,TB_원본!$J$5:$J$20000,$A24,TB_원본!$I$5:$I$20000,"&gt;="&amp;설정!$C$22,TB_원본!$I$5:$I$20000,"&lt;="&amp;설정!$C$20)</f>
        <v/>
      </c>
      <c r="I24" s="35">
        <f>SUMIFS(TB_원본!$K$5:$K$20000,TB_원본!$J$5:$J$20000,$A24,TB_원본!$I$5:$I$20000,"&gt;="&amp;(설정!$C$22-3),TB_원본!$I$5:$I$20000,"&lt;="&amp;(설정!$C$20-3))</f>
        <v/>
      </c>
      <c r="J24" s="80">
        <f>IF(I24&lt;=0,IF(H24&gt;0,1,0),H24/I24-1)</f>
        <v/>
      </c>
      <c r="K24" s="35">
        <f>SUMIFS(전표_원본!$P$5:$P$100000,전표_원본!$X$5:$X$100000,$A24,전표_원본!$M$5:$M$100000,설정!$C$20)</f>
        <v/>
      </c>
      <c r="L24" s="40">
        <f>C24-K24</f>
        <v/>
      </c>
      <c r="M24" s="35">
        <f>SUMIFS(예산판_원본!$P$5:$P$5000,예산판_원본!$R$5:$R$5000,$A24,예산판_원본!$M$5:$M$5000,설정!$C$6,예산판_원본!$N$5:$N$5000,설정!$C$21)</f>
        <v/>
      </c>
      <c r="N24" s="35">
        <f>SUMIFS(전표_원본!$P$5:$P$100000,전표_원본!$X$5:$X$100000,$A24,전표_원본!$M$5:$M$100000,"&gt;="&amp;설정!$C$22,전표_원본!$M$5:$M$100000,"&lt;="&amp;설정!$C$20)</f>
        <v/>
      </c>
      <c r="O24" s="40">
        <f>M24-N24</f>
        <v/>
      </c>
      <c r="P24" s="22">
        <f>IF(AND(ABS(L24)&lt;0.05,ABS(O24)&lt;0.05),"OK","차이 확인")</f>
        <v/>
      </c>
    </row>
    <row r="25">
      <c r="A25" s="43" t="inlineStr">
        <is>
          <t>합계</t>
        </is>
      </c>
      <c r="B25" s="49" t="n"/>
      <c r="C25" s="44">
        <f>SUM(C6:C24)</f>
        <v/>
      </c>
      <c r="D25" s="44">
        <f>SUM(D6:D24)</f>
        <v/>
      </c>
      <c r="E25" s="83">
        <f>IF(D25&lt;=0,0,C25/D25-1)</f>
        <v/>
      </c>
      <c r="F25" s="44">
        <f>SUM(F6:F24)</f>
        <v/>
      </c>
      <c r="G25" s="83">
        <f>IF(F25&lt;=0,0,C25/F25-1)</f>
        <v/>
      </c>
      <c r="H25" s="44">
        <f>SUM(H6:H24)</f>
        <v/>
      </c>
      <c r="I25" s="44">
        <f>SUM(I6:I24)</f>
        <v/>
      </c>
      <c r="J25" s="83">
        <f>IF(I25&lt;=0,0,H25/I25-1)</f>
        <v/>
      </c>
      <c r="K25" s="44">
        <f>SUM(K6:K24)</f>
        <v/>
      </c>
      <c r="L25" s="44">
        <f>SUM(L6:L24)</f>
        <v/>
      </c>
      <c r="M25" s="44">
        <f>SUM(M6:M24)</f>
        <v/>
      </c>
      <c r="N25" s="44">
        <f>SUM(N6:N24)</f>
        <v/>
      </c>
      <c r="O25" s="44">
        <f>SUM(O6:O24)</f>
        <v/>
      </c>
      <c r="P25" s="50">
        <f>IF(COUNTIF(P6:P24,"OK")=19,"전체 일치","차이 있음")</f>
        <v/>
      </c>
    </row>
  </sheetData>
  <conditionalFormatting sqref="P6:P25">
    <cfRule type="cellIs" priority="1" operator="equal" dxfId="1">
      <formula>"차이 확인"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11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2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</cols>
  <sheetData>
    <row r="1">
      <c r="A1" s="1" t="inlineStr">
        <is>
          <t>TRACE · 월별 집계 (부서 × 계정 × 최근 24개월)</t>
        </is>
      </c>
    </row>
    <row r="2">
      <c r="A2" s="2" t="inlineStr">
        <is>
          <t>전표 기준 · 행 순서는 변동분석과 같음 · 금액: 보고단위</t>
        </is>
      </c>
    </row>
    <row r="4">
      <c r="B4" s="6" t="inlineStr">
        <is>
          <t>기간</t>
        </is>
      </c>
      <c r="C4" s="84">
        <f>INT((C$5-1)/12)&amp;"-"&amp;TEXT(MOD(C$5-1,12)+1,"00")</f>
        <v/>
      </c>
      <c r="D4" s="84">
        <f>INT((D$5-1)/12)&amp;"-"&amp;TEXT(MOD(D$5-1,12)+1,"00")</f>
        <v/>
      </c>
      <c r="E4" s="84">
        <f>INT((E$5-1)/12)&amp;"-"&amp;TEXT(MOD(E$5-1,12)+1,"00")</f>
        <v/>
      </c>
      <c r="F4" s="84">
        <f>INT((F$5-1)/12)&amp;"-"&amp;TEXT(MOD(F$5-1,12)+1,"00")</f>
        <v/>
      </c>
      <c r="G4" s="84">
        <f>INT((G$5-1)/12)&amp;"-"&amp;TEXT(MOD(G$5-1,12)+1,"00")</f>
        <v/>
      </c>
      <c r="H4" s="84">
        <f>INT((H$5-1)/12)&amp;"-"&amp;TEXT(MOD(H$5-1,12)+1,"00")</f>
        <v/>
      </c>
      <c r="I4" s="84">
        <f>INT((I$5-1)/12)&amp;"-"&amp;TEXT(MOD(I$5-1,12)+1,"00")</f>
        <v/>
      </c>
      <c r="J4" s="84">
        <f>INT((J$5-1)/12)&amp;"-"&amp;TEXT(MOD(J$5-1,12)+1,"00")</f>
        <v/>
      </c>
      <c r="K4" s="84">
        <f>INT((K$5-1)/12)&amp;"-"&amp;TEXT(MOD(K$5-1,12)+1,"00")</f>
        <v/>
      </c>
      <c r="L4" s="84">
        <f>INT((L$5-1)/12)&amp;"-"&amp;TEXT(MOD(L$5-1,12)+1,"00")</f>
        <v/>
      </c>
      <c r="M4" s="84">
        <f>INT((M$5-1)/12)&amp;"-"&amp;TEXT(MOD(M$5-1,12)+1,"00")</f>
        <v/>
      </c>
      <c r="N4" s="84">
        <f>INT((N$5-1)/12)&amp;"-"&amp;TEXT(MOD(N$5-1,12)+1,"00")</f>
        <v/>
      </c>
      <c r="O4" s="84">
        <f>INT((O$5-1)/12)&amp;"-"&amp;TEXT(MOD(O$5-1,12)+1,"00")</f>
        <v/>
      </c>
      <c r="P4" s="84">
        <f>INT((P$5-1)/12)&amp;"-"&amp;TEXT(MOD(P$5-1,12)+1,"00")</f>
        <v/>
      </c>
      <c r="Q4" s="84">
        <f>INT((Q$5-1)/12)&amp;"-"&amp;TEXT(MOD(Q$5-1,12)+1,"00")</f>
        <v/>
      </c>
      <c r="R4" s="84">
        <f>INT((R$5-1)/12)&amp;"-"&amp;TEXT(MOD(R$5-1,12)+1,"00")</f>
        <v/>
      </c>
      <c r="S4" s="84">
        <f>INT((S$5-1)/12)&amp;"-"&amp;TEXT(MOD(S$5-1,12)+1,"00")</f>
        <v/>
      </c>
      <c r="T4" s="84">
        <f>INT((T$5-1)/12)&amp;"-"&amp;TEXT(MOD(T$5-1,12)+1,"00")</f>
        <v/>
      </c>
      <c r="U4" s="84">
        <f>INT((U$5-1)/12)&amp;"-"&amp;TEXT(MOD(U$5-1,12)+1,"00")</f>
        <v/>
      </c>
      <c r="V4" s="84">
        <f>INT((V$5-1)/12)&amp;"-"&amp;TEXT(MOD(V$5-1,12)+1,"00")</f>
        <v/>
      </c>
      <c r="W4" s="84">
        <f>INT((W$5-1)/12)&amp;"-"&amp;TEXT(MOD(W$5-1,12)+1,"00")</f>
        <v/>
      </c>
      <c r="X4" s="84">
        <f>INT((X$5-1)/12)&amp;"-"&amp;TEXT(MOD(X$5-1,12)+1,"00")</f>
        <v/>
      </c>
      <c r="Y4" s="84">
        <f>INT((Y$5-1)/12)&amp;"-"&amp;TEXT(MOD(Y$5-1,12)+1,"00")</f>
        <v/>
      </c>
      <c r="Z4" s="84">
        <f>INT((Z$5-1)/12)&amp;"-"&amp;TEXT(MOD(Z$5-1,12)+1,"00")</f>
        <v/>
      </c>
      <c r="AB4" s="6" t="inlineStr">
        <is>
          <t>당해 누계 (소진 추세용 · 기준월 이후 0)</t>
        </is>
      </c>
    </row>
    <row r="5">
      <c r="A5" s="10" t="inlineStr">
        <is>
          <t>키</t>
        </is>
      </c>
      <c r="B5" s="10" t="inlineStr">
        <is>
          <t>기간번호</t>
        </is>
      </c>
      <c r="C5" s="85">
        <f>설정!$C$20-23</f>
        <v/>
      </c>
      <c r="D5" s="85">
        <f>설정!$C$20-22</f>
        <v/>
      </c>
      <c r="E5" s="85">
        <f>설정!$C$20-21</f>
        <v/>
      </c>
      <c r="F5" s="85">
        <f>설정!$C$20-20</f>
        <v/>
      </c>
      <c r="G5" s="85">
        <f>설정!$C$20-19</f>
        <v/>
      </c>
      <c r="H5" s="85">
        <f>설정!$C$20-18</f>
        <v/>
      </c>
      <c r="I5" s="85">
        <f>설정!$C$20-17</f>
        <v/>
      </c>
      <c r="J5" s="85">
        <f>설정!$C$20-16</f>
        <v/>
      </c>
      <c r="K5" s="85">
        <f>설정!$C$20-15</f>
        <v/>
      </c>
      <c r="L5" s="85">
        <f>설정!$C$20-14</f>
        <v/>
      </c>
      <c r="M5" s="85">
        <f>설정!$C$20-13</f>
        <v/>
      </c>
      <c r="N5" s="85">
        <f>설정!$C$20-12</f>
        <v/>
      </c>
      <c r="O5" s="85">
        <f>설정!$C$20-11</f>
        <v/>
      </c>
      <c r="P5" s="85">
        <f>설정!$C$20-10</f>
        <v/>
      </c>
      <c r="Q5" s="85">
        <f>설정!$C$20-9</f>
        <v/>
      </c>
      <c r="R5" s="85">
        <f>설정!$C$20-8</f>
        <v/>
      </c>
      <c r="S5" s="85">
        <f>설정!$C$20-7</f>
        <v/>
      </c>
      <c r="T5" s="85">
        <f>설정!$C$20-6</f>
        <v/>
      </c>
      <c r="U5" s="85">
        <f>설정!$C$20-5</f>
        <v/>
      </c>
      <c r="V5" s="85">
        <f>설정!$C$20-4</f>
        <v/>
      </c>
      <c r="W5" s="85">
        <f>설정!$C$20-3</f>
        <v/>
      </c>
      <c r="X5" s="85">
        <f>설정!$C$20-2</f>
        <v/>
      </c>
      <c r="Y5" s="85">
        <f>설정!$C$20-1</f>
        <v/>
      </c>
      <c r="Z5" s="85">
        <f>설정!$C$20-0</f>
        <v/>
      </c>
      <c r="AB5" s="85" t="n">
        <v>1</v>
      </c>
      <c r="AC5" s="85" t="n">
        <v>2</v>
      </c>
      <c r="AD5" s="85" t="n">
        <v>3</v>
      </c>
      <c r="AE5" s="85" t="n">
        <v>4</v>
      </c>
      <c r="AF5" s="85" t="n">
        <v>5</v>
      </c>
      <c r="AG5" s="85" t="n">
        <v>6</v>
      </c>
      <c r="AH5" s="85" t="n">
        <v>7</v>
      </c>
      <c r="AI5" s="85" t="n">
        <v>8</v>
      </c>
      <c r="AJ5" s="85" t="n">
        <v>9</v>
      </c>
      <c r="AK5" s="85" t="n">
        <v>10</v>
      </c>
      <c r="AL5" s="85" t="n">
        <v>11</v>
      </c>
      <c r="AM5" s="85" t="n">
        <v>12</v>
      </c>
    </row>
    <row r="6">
      <c r="A6" s="43" t="inlineStr">
        <is>
          <t>전사</t>
        </is>
      </c>
      <c r="B6" s="43" t="inlineStr">
        <is>
          <t>사업비 합계</t>
        </is>
      </c>
      <c r="C6" s="44">
        <f>SUM(C7:C506)</f>
        <v/>
      </c>
      <c r="D6" s="44">
        <f>SUM(D7:D506)</f>
        <v/>
      </c>
      <c r="E6" s="44">
        <f>SUM(E7:E506)</f>
        <v/>
      </c>
      <c r="F6" s="44">
        <f>SUM(F7:F506)</f>
        <v/>
      </c>
      <c r="G6" s="44">
        <f>SUM(G7:G506)</f>
        <v/>
      </c>
      <c r="H6" s="44">
        <f>SUM(H7:H506)</f>
        <v/>
      </c>
      <c r="I6" s="44">
        <f>SUM(I7:I506)</f>
        <v/>
      </c>
      <c r="J6" s="44">
        <f>SUM(J7:J506)</f>
        <v/>
      </c>
      <c r="K6" s="44">
        <f>SUM(K7:K506)</f>
        <v/>
      </c>
      <c r="L6" s="44">
        <f>SUM(L7:L506)</f>
        <v/>
      </c>
      <c r="M6" s="44">
        <f>SUM(M7:M506)</f>
        <v/>
      </c>
      <c r="N6" s="44">
        <f>SUM(N7:N506)</f>
        <v/>
      </c>
      <c r="O6" s="44">
        <f>SUM(O7:O506)</f>
        <v/>
      </c>
      <c r="P6" s="44">
        <f>SUM(P7:P506)</f>
        <v/>
      </c>
      <c r="Q6" s="44">
        <f>SUM(Q7:Q506)</f>
        <v/>
      </c>
      <c r="R6" s="44">
        <f>SUM(R7:R506)</f>
        <v/>
      </c>
      <c r="S6" s="44">
        <f>SUM(S7:S506)</f>
        <v/>
      </c>
      <c r="T6" s="44">
        <f>SUM(T7:T506)</f>
        <v/>
      </c>
      <c r="U6" s="44">
        <f>SUM(U7:U506)</f>
        <v/>
      </c>
      <c r="V6" s="44">
        <f>SUM(V7:V506)</f>
        <v/>
      </c>
      <c r="W6" s="44">
        <f>SUM(W7:W506)</f>
        <v/>
      </c>
      <c r="X6" s="44">
        <f>SUM(X7:X506)</f>
        <v/>
      </c>
      <c r="Y6" s="44">
        <f>SUM(Y7:Y506)</f>
        <v/>
      </c>
      <c r="Z6" s="44">
        <f>SUM(Z7:Z506)</f>
        <v/>
      </c>
      <c r="AB6" s="44">
        <f>SUM(AB7:AB506)</f>
        <v/>
      </c>
      <c r="AC6" s="44">
        <f>SUM(AC7:AC506)</f>
        <v/>
      </c>
      <c r="AD6" s="44">
        <f>SUM(AD7:AD506)</f>
        <v/>
      </c>
      <c r="AE6" s="44">
        <f>SUM(AE7:AE506)</f>
        <v/>
      </c>
      <c r="AF6" s="44">
        <f>SUM(AF7:AF506)</f>
        <v/>
      </c>
      <c r="AG6" s="44">
        <f>SUM(AG7:AG506)</f>
        <v/>
      </c>
      <c r="AH6" s="44">
        <f>SUM(AH7:AH506)</f>
        <v/>
      </c>
      <c r="AI6" s="44">
        <f>SUM(AI7:AI506)</f>
        <v/>
      </c>
      <c r="AJ6" s="44">
        <f>SUM(AJ7:AJ506)</f>
        <v/>
      </c>
      <c r="AK6" s="44">
        <f>SUM(AK7:AK506)</f>
        <v/>
      </c>
      <c r="AL6" s="44">
        <f>SUM(AL7:AL506)</f>
        <v/>
      </c>
      <c r="AM6" s="44">
        <f>SUM(AM7:AM506)</f>
        <v/>
      </c>
    </row>
    <row r="7">
      <c r="A7" s="26">
        <f>IF(변동분석!$A7="","",변동분석!$E7)</f>
        <v/>
      </c>
      <c r="B7" s="26">
        <f>IF($A7="","",변동분석!$B7&amp;" "&amp;변동분석!$D7)</f>
        <v/>
      </c>
      <c r="C7" s="35">
        <f>IF($A7="","",SUMIFS(전표_원본!$P$5:$P$100000,전표_원본!$O$5:$O$100000,$A7,전표_원본!$M$5:$M$100000,C$5))</f>
        <v/>
      </c>
      <c r="D7" s="35">
        <f>IF($A7="","",SUMIFS(전표_원본!$P$5:$P$100000,전표_원본!$O$5:$O$100000,$A7,전표_원본!$M$5:$M$100000,D$5))</f>
        <v/>
      </c>
      <c r="E7" s="35">
        <f>IF($A7="","",SUMIFS(전표_원본!$P$5:$P$100000,전표_원본!$O$5:$O$100000,$A7,전표_원본!$M$5:$M$100000,E$5))</f>
        <v/>
      </c>
      <c r="F7" s="35">
        <f>IF($A7="","",SUMIFS(전표_원본!$P$5:$P$100000,전표_원본!$O$5:$O$100000,$A7,전표_원본!$M$5:$M$100000,F$5))</f>
        <v/>
      </c>
      <c r="G7" s="35">
        <f>IF($A7="","",SUMIFS(전표_원본!$P$5:$P$100000,전표_원본!$O$5:$O$100000,$A7,전표_원본!$M$5:$M$100000,G$5))</f>
        <v/>
      </c>
      <c r="H7" s="35">
        <f>IF($A7="","",SUMIFS(전표_원본!$P$5:$P$100000,전표_원본!$O$5:$O$100000,$A7,전표_원본!$M$5:$M$100000,H$5))</f>
        <v/>
      </c>
      <c r="I7" s="35">
        <f>IF($A7="","",SUMIFS(전표_원본!$P$5:$P$100000,전표_원본!$O$5:$O$100000,$A7,전표_원본!$M$5:$M$100000,I$5))</f>
        <v/>
      </c>
      <c r="J7" s="35">
        <f>IF($A7="","",SUMIFS(전표_원본!$P$5:$P$100000,전표_원본!$O$5:$O$100000,$A7,전표_원본!$M$5:$M$100000,J$5))</f>
        <v/>
      </c>
      <c r="K7" s="35">
        <f>IF($A7="","",SUMIFS(전표_원본!$P$5:$P$100000,전표_원본!$O$5:$O$100000,$A7,전표_원본!$M$5:$M$100000,K$5))</f>
        <v/>
      </c>
      <c r="L7" s="35">
        <f>IF($A7="","",SUMIFS(전표_원본!$P$5:$P$100000,전표_원본!$O$5:$O$100000,$A7,전표_원본!$M$5:$M$100000,L$5))</f>
        <v/>
      </c>
      <c r="M7" s="35">
        <f>IF($A7="","",SUMIFS(전표_원본!$P$5:$P$100000,전표_원본!$O$5:$O$100000,$A7,전표_원본!$M$5:$M$100000,M$5))</f>
        <v/>
      </c>
      <c r="N7" s="35">
        <f>IF($A7="","",SUMIFS(전표_원본!$P$5:$P$100000,전표_원본!$O$5:$O$100000,$A7,전표_원본!$M$5:$M$100000,N$5))</f>
        <v/>
      </c>
      <c r="O7" s="35">
        <f>IF($A7="","",SUMIFS(전표_원본!$P$5:$P$100000,전표_원본!$O$5:$O$100000,$A7,전표_원본!$M$5:$M$100000,O$5))</f>
        <v/>
      </c>
      <c r="P7" s="35">
        <f>IF($A7="","",SUMIFS(전표_원본!$P$5:$P$100000,전표_원본!$O$5:$O$100000,$A7,전표_원본!$M$5:$M$100000,P$5))</f>
        <v/>
      </c>
      <c r="Q7" s="35">
        <f>IF($A7="","",SUMIFS(전표_원본!$P$5:$P$100000,전표_원본!$O$5:$O$100000,$A7,전표_원본!$M$5:$M$100000,Q$5))</f>
        <v/>
      </c>
      <c r="R7" s="35">
        <f>IF($A7="","",SUMIFS(전표_원본!$P$5:$P$100000,전표_원본!$O$5:$O$100000,$A7,전표_원본!$M$5:$M$100000,R$5))</f>
        <v/>
      </c>
      <c r="S7" s="35">
        <f>IF($A7="","",SUMIFS(전표_원본!$P$5:$P$100000,전표_원본!$O$5:$O$100000,$A7,전표_원본!$M$5:$M$100000,S$5))</f>
        <v/>
      </c>
      <c r="T7" s="35">
        <f>IF($A7="","",SUMIFS(전표_원본!$P$5:$P$100000,전표_원본!$O$5:$O$100000,$A7,전표_원본!$M$5:$M$100000,T$5))</f>
        <v/>
      </c>
      <c r="U7" s="35">
        <f>IF($A7="","",SUMIFS(전표_원본!$P$5:$P$100000,전표_원본!$O$5:$O$100000,$A7,전표_원본!$M$5:$M$100000,U$5))</f>
        <v/>
      </c>
      <c r="V7" s="35">
        <f>IF($A7="","",SUMIFS(전표_원본!$P$5:$P$100000,전표_원본!$O$5:$O$100000,$A7,전표_원본!$M$5:$M$100000,V$5))</f>
        <v/>
      </c>
      <c r="W7" s="35">
        <f>IF($A7="","",SUMIFS(전표_원본!$P$5:$P$100000,전표_원본!$O$5:$O$100000,$A7,전표_원본!$M$5:$M$100000,W$5))</f>
        <v/>
      </c>
      <c r="X7" s="35">
        <f>IF($A7="","",SUMIFS(전표_원본!$P$5:$P$100000,전표_원본!$O$5:$O$100000,$A7,전표_원본!$M$5:$M$100000,X$5))</f>
        <v/>
      </c>
      <c r="Y7" s="35">
        <f>IF($A7="","",SUMIFS(전표_원본!$P$5:$P$100000,전표_원본!$O$5:$O$100000,$A7,전표_원본!$M$5:$M$100000,Y$5))</f>
        <v/>
      </c>
      <c r="Z7" s="35">
        <f>IF($A7="","",SUMIFS(전표_원본!$P$5:$P$100000,전표_원본!$O$5:$O$100000,$A7,전표_원본!$M$5:$M$100000,Z$5))</f>
        <v/>
      </c>
      <c r="AB7" s="40">
        <f>IF(OR($A7="",1&gt;설정!$C$7),0,SUMIFS($C7:$Z7,$C$5:$Z$5,"&gt;="&amp;(설정!$C$6*12+1),$C$5:$Z$5,"&lt;="&amp;(설정!$C$6*12+1)))</f>
        <v/>
      </c>
      <c r="AC7" s="40">
        <f>IF(OR($A7="",2&gt;설정!$C$7),0,SUMIFS($C7:$Z7,$C$5:$Z$5,"&gt;="&amp;(설정!$C$6*12+1),$C$5:$Z$5,"&lt;="&amp;(설정!$C$6*12+2)))</f>
        <v/>
      </c>
      <c r="AD7" s="40">
        <f>IF(OR($A7="",3&gt;설정!$C$7),0,SUMIFS($C7:$Z7,$C$5:$Z$5,"&gt;="&amp;(설정!$C$6*12+1),$C$5:$Z$5,"&lt;="&amp;(설정!$C$6*12+3)))</f>
        <v/>
      </c>
      <c r="AE7" s="40">
        <f>IF(OR($A7="",4&gt;설정!$C$7),0,SUMIFS($C7:$Z7,$C$5:$Z$5,"&gt;="&amp;(설정!$C$6*12+1),$C$5:$Z$5,"&lt;="&amp;(설정!$C$6*12+4)))</f>
        <v/>
      </c>
      <c r="AF7" s="40">
        <f>IF(OR($A7="",5&gt;설정!$C$7),0,SUMIFS($C7:$Z7,$C$5:$Z$5,"&gt;="&amp;(설정!$C$6*12+1),$C$5:$Z$5,"&lt;="&amp;(설정!$C$6*12+5)))</f>
        <v/>
      </c>
      <c r="AG7" s="40">
        <f>IF(OR($A7="",6&gt;설정!$C$7),0,SUMIFS($C7:$Z7,$C$5:$Z$5,"&gt;="&amp;(설정!$C$6*12+1),$C$5:$Z$5,"&lt;="&amp;(설정!$C$6*12+6)))</f>
        <v/>
      </c>
      <c r="AH7" s="40">
        <f>IF(OR($A7="",7&gt;설정!$C$7),0,SUMIFS($C7:$Z7,$C$5:$Z$5,"&gt;="&amp;(설정!$C$6*12+1),$C$5:$Z$5,"&lt;="&amp;(설정!$C$6*12+7)))</f>
        <v/>
      </c>
      <c r="AI7" s="40">
        <f>IF(OR($A7="",8&gt;설정!$C$7),0,SUMIFS($C7:$Z7,$C$5:$Z$5,"&gt;="&amp;(설정!$C$6*12+1),$C$5:$Z$5,"&lt;="&amp;(설정!$C$6*12+8)))</f>
        <v/>
      </c>
      <c r="AJ7" s="40">
        <f>IF(OR($A7="",9&gt;설정!$C$7),0,SUMIFS($C7:$Z7,$C$5:$Z$5,"&gt;="&amp;(설정!$C$6*12+1),$C$5:$Z$5,"&lt;="&amp;(설정!$C$6*12+9)))</f>
        <v/>
      </c>
      <c r="AK7" s="40">
        <f>IF(OR($A7="",10&gt;설정!$C$7),0,SUMIFS($C7:$Z7,$C$5:$Z$5,"&gt;="&amp;(설정!$C$6*12+1),$C$5:$Z$5,"&lt;="&amp;(설정!$C$6*12+10)))</f>
        <v/>
      </c>
      <c r="AL7" s="40">
        <f>IF(OR($A7="",11&gt;설정!$C$7),0,SUMIFS($C7:$Z7,$C$5:$Z$5,"&gt;="&amp;(설정!$C$6*12+1),$C$5:$Z$5,"&lt;="&amp;(설정!$C$6*12+11)))</f>
        <v/>
      </c>
      <c r="AM7" s="40">
        <f>IF(OR($A7="",12&gt;설정!$C$7),0,SUMIFS($C7:$Z7,$C$5:$Z$5,"&gt;="&amp;(설정!$C$6*12+1),$C$5:$Z$5,"&lt;="&amp;(설정!$C$6*12+12)))</f>
        <v/>
      </c>
    </row>
    <row r="8">
      <c r="A8" s="26">
        <f>IF(변동분석!$A8="","",변동분석!$E8)</f>
        <v/>
      </c>
      <c r="B8" s="26">
        <f>IF($A8="","",변동분석!$B8&amp;" "&amp;변동분석!$D8)</f>
        <v/>
      </c>
      <c r="C8" s="35">
        <f>IF($A8="","",SUMIFS(전표_원본!$P$5:$P$100000,전표_원본!$O$5:$O$100000,$A8,전표_원본!$M$5:$M$100000,C$5))</f>
        <v/>
      </c>
      <c r="D8" s="35">
        <f>IF($A8="","",SUMIFS(전표_원본!$P$5:$P$100000,전표_원본!$O$5:$O$100000,$A8,전표_원본!$M$5:$M$100000,D$5))</f>
        <v/>
      </c>
      <c r="E8" s="35">
        <f>IF($A8="","",SUMIFS(전표_원본!$P$5:$P$100000,전표_원본!$O$5:$O$100000,$A8,전표_원본!$M$5:$M$100000,E$5))</f>
        <v/>
      </c>
      <c r="F8" s="35">
        <f>IF($A8="","",SUMIFS(전표_원본!$P$5:$P$100000,전표_원본!$O$5:$O$100000,$A8,전표_원본!$M$5:$M$100000,F$5))</f>
        <v/>
      </c>
      <c r="G8" s="35">
        <f>IF($A8="","",SUMIFS(전표_원본!$P$5:$P$100000,전표_원본!$O$5:$O$100000,$A8,전표_원본!$M$5:$M$100000,G$5))</f>
        <v/>
      </c>
      <c r="H8" s="35">
        <f>IF($A8="","",SUMIFS(전표_원본!$P$5:$P$100000,전표_원본!$O$5:$O$100000,$A8,전표_원본!$M$5:$M$100000,H$5))</f>
        <v/>
      </c>
      <c r="I8" s="35">
        <f>IF($A8="","",SUMIFS(전표_원본!$P$5:$P$100000,전표_원본!$O$5:$O$100000,$A8,전표_원본!$M$5:$M$100000,I$5))</f>
        <v/>
      </c>
      <c r="J8" s="35">
        <f>IF($A8="","",SUMIFS(전표_원본!$P$5:$P$100000,전표_원본!$O$5:$O$100000,$A8,전표_원본!$M$5:$M$100000,J$5))</f>
        <v/>
      </c>
      <c r="K8" s="35">
        <f>IF($A8="","",SUMIFS(전표_원본!$P$5:$P$100000,전표_원본!$O$5:$O$100000,$A8,전표_원본!$M$5:$M$100000,K$5))</f>
        <v/>
      </c>
      <c r="L8" s="35">
        <f>IF($A8="","",SUMIFS(전표_원본!$P$5:$P$100000,전표_원본!$O$5:$O$100000,$A8,전표_원본!$M$5:$M$100000,L$5))</f>
        <v/>
      </c>
      <c r="M8" s="35">
        <f>IF($A8="","",SUMIFS(전표_원본!$P$5:$P$100000,전표_원본!$O$5:$O$100000,$A8,전표_원본!$M$5:$M$100000,M$5))</f>
        <v/>
      </c>
      <c r="N8" s="35">
        <f>IF($A8="","",SUMIFS(전표_원본!$P$5:$P$100000,전표_원본!$O$5:$O$100000,$A8,전표_원본!$M$5:$M$100000,N$5))</f>
        <v/>
      </c>
      <c r="O8" s="35">
        <f>IF($A8="","",SUMIFS(전표_원본!$P$5:$P$100000,전표_원본!$O$5:$O$100000,$A8,전표_원본!$M$5:$M$100000,O$5))</f>
        <v/>
      </c>
      <c r="P8" s="35">
        <f>IF($A8="","",SUMIFS(전표_원본!$P$5:$P$100000,전표_원본!$O$5:$O$100000,$A8,전표_원본!$M$5:$M$100000,P$5))</f>
        <v/>
      </c>
      <c r="Q8" s="35">
        <f>IF($A8="","",SUMIFS(전표_원본!$P$5:$P$100000,전표_원본!$O$5:$O$100000,$A8,전표_원본!$M$5:$M$100000,Q$5))</f>
        <v/>
      </c>
      <c r="R8" s="35">
        <f>IF($A8="","",SUMIFS(전표_원본!$P$5:$P$100000,전표_원본!$O$5:$O$100000,$A8,전표_원본!$M$5:$M$100000,R$5))</f>
        <v/>
      </c>
      <c r="S8" s="35">
        <f>IF($A8="","",SUMIFS(전표_원본!$P$5:$P$100000,전표_원본!$O$5:$O$100000,$A8,전표_원본!$M$5:$M$100000,S$5))</f>
        <v/>
      </c>
      <c r="T8" s="35">
        <f>IF($A8="","",SUMIFS(전표_원본!$P$5:$P$100000,전표_원본!$O$5:$O$100000,$A8,전표_원본!$M$5:$M$100000,T$5))</f>
        <v/>
      </c>
      <c r="U8" s="35">
        <f>IF($A8="","",SUMIFS(전표_원본!$P$5:$P$100000,전표_원본!$O$5:$O$100000,$A8,전표_원본!$M$5:$M$100000,U$5))</f>
        <v/>
      </c>
      <c r="V8" s="35">
        <f>IF($A8="","",SUMIFS(전표_원본!$P$5:$P$100000,전표_원본!$O$5:$O$100000,$A8,전표_원본!$M$5:$M$100000,V$5))</f>
        <v/>
      </c>
      <c r="W8" s="35">
        <f>IF($A8="","",SUMIFS(전표_원본!$P$5:$P$100000,전표_원본!$O$5:$O$100000,$A8,전표_원본!$M$5:$M$100000,W$5))</f>
        <v/>
      </c>
      <c r="X8" s="35">
        <f>IF($A8="","",SUMIFS(전표_원본!$P$5:$P$100000,전표_원본!$O$5:$O$100000,$A8,전표_원본!$M$5:$M$100000,X$5))</f>
        <v/>
      </c>
      <c r="Y8" s="35">
        <f>IF($A8="","",SUMIFS(전표_원본!$P$5:$P$100000,전표_원본!$O$5:$O$100000,$A8,전표_원본!$M$5:$M$100000,Y$5))</f>
        <v/>
      </c>
      <c r="Z8" s="35">
        <f>IF($A8="","",SUMIFS(전표_원본!$P$5:$P$100000,전표_원본!$O$5:$O$100000,$A8,전표_원본!$M$5:$M$100000,Z$5))</f>
        <v/>
      </c>
      <c r="AB8" s="40">
        <f>IF(OR($A8="",1&gt;설정!$C$7),0,SUMIFS($C8:$Z8,$C$5:$Z$5,"&gt;="&amp;(설정!$C$6*12+1),$C$5:$Z$5,"&lt;="&amp;(설정!$C$6*12+1)))</f>
        <v/>
      </c>
      <c r="AC8" s="40">
        <f>IF(OR($A8="",2&gt;설정!$C$7),0,SUMIFS($C8:$Z8,$C$5:$Z$5,"&gt;="&amp;(설정!$C$6*12+1),$C$5:$Z$5,"&lt;="&amp;(설정!$C$6*12+2)))</f>
        <v/>
      </c>
      <c r="AD8" s="40">
        <f>IF(OR($A8="",3&gt;설정!$C$7),0,SUMIFS($C8:$Z8,$C$5:$Z$5,"&gt;="&amp;(설정!$C$6*12+1),$C$5:$Z$5,"&lt;="&amp;(설정!$C$6*12+3)))</f>
        <v/>
      </c>
      <c r="AE8" s="40">
        <f>IF(OR($A8="",4&gt;설정!$C$7),0,SUMIFS($C8:$Z8,$C$5:$Z$5,"&gt;="&amp;(설정!$C$6*12+1),$C$5:$Z$5,"&lt;="&amp;(설정!$C$6*12+4)))</f>
        <v/>
      </c>
      <c r="AF8" s="40">
        <f>IF(OR($A8="",5&gt;설정!$C$7),0,SUMIFS($C8:$Z8,$C$5:$Z$5,"&gt;="&amp;(설정!$C$6*12+1),$C$5:$Z$5,"&lt;="&amp;(설정!$C$6*12+5)))</f>
        <v/>
      </c>
      <c r="AG8" s="40">
        <f>IF(OR($A8="",6&gt;설정!$C$7),0,SUMIFS($C8:$Z8,$C$5:$Z$5,"&gt;="&amp;(설정!$C$6*12+1),$C$5:$Z$5,"&lt;="&amp;(설정!$C$6*12+6)))</f>
        <v/>
      </c>
      <c r="AH8" s="40">
        <f>IF(OR($A8="",7&gt;설정!$C$7),0,SUMIFS($C8:$Z8,$C$5:$Z$5,"&gt;="&amp;(설정!$C$6*12+1),$C$5:$Z$5,"&lt;="&amp;(설정!$C$6*12+7)))</f>
        <v/>
      </c>
      <c r="AI8" s="40">
        <f>IF(OR($A8="",8&gt;설정!$C$7),0,SUMIFS($C8:$Z8,$C$5:$Z$5,"&gt;="&amp;(설정!$C$6*12+1),$C$5:$Z$5,"&lt;="&amp;(설정!$C$6*12+8)))</f>
        <v/>
      </c>
      <c r="AJ8" s="40">
        <f>IF(OR($A8="",9&gt;설정!$C$7),0,SUMIFS($C8:$Z8,$C$5:$Z$5,"&gt;="&amp;(설정!$C$6*12+1),$C$5:$Z$5,"&lt;="&amp;(설정!$C$6*12+9)))</f>
        <v/>
      </c>
      <c r="AK8" s="40">
        <f>IF(OR($A8="",10&gt;설정!$C$7),0,SUMIFS($C8:$Z8,$C$5:$Z$5,"&gt;="&amp;(설정!$C$6*12+1),$C$5:$Z$5,"&lt;="&amp;(설정!$C$6*12+10)))</f>
        <v/>
      </c>
      <c r="AL8" s="40">
        <f>IF(OR($A8="",11&gt;설정!$C$7),0,SUMIFS($C8:$Z8,$C$5:$Z$5,"&gt;="&amp;(설정!$C$6*12+1),$C$5:$Z$5,"&lt;="&amp;(설정!$C$6*12+11)))</f>
        <v/>
      </c>
      <c r="AM8" s="40">
        <f>IF(OR($A8="",12&gt;설정!$C$7),0,SUMIFS($C8:$Z8,$C$5:$Z$5,"&gt;="&amp;(설정!$C$6*12+1),$C$5:$Z$5,"&lt;="&amp;(설정!$C$6*12+12)))</f>
        <v/>
      </c>
    </row>
    <row r="9">
      <c r="A9" s="26">
        <f>IF(변동분석!$A9="","",변동분석!$E9)</f>
        <v/>
      </c>
      <c r="B9" s="26">
        <f>IF($A9="","",변동분석!$B9&amp;" "&amp;변동분석!$D9)</f>
        <v/>
      </c>
      <c r="C9" s="35">
        <f>IF($A9="","",SUMIFS(전표_원본!$P$5:$P$100000,전표_원본!$O$5:$O$100000,$A9,전표_원본!$M$5:$M$100000,C$5))</f>
        <v/>
      </c>
      <c r="D9" s="35">
        <f>IF($A9="","",SUMIFS(전표_원본!$P$5:$P$100000,전표_원본!$O$5:$O$100000,$A9,전표_원본!$M$5:$M$100000,D$5))</f>
        <v/>
      </c>
      <c r="E9" s="35">
        <f>IF($A9="","",SUMIFS(전표_원본!$P$5:$P$100000,전표_원본!$O$5:$O$100000,$A9,전표_원본!$M$5:$M$100000,E$5))</f>
        <v/>
      </c>
      <c r="F9" s="35">
        <f>IF($A9="","",SUMIFS(전표_원본!$P$5:$P$100000,전표_원본!$O$5:$O$100000,$A9,전표_원본!$M$5:$M$100000,F$5))</f>
        <v/>
      </c>
      <c r="G9" s="35">
        <f>IF($A9="","",SUMIFS(전표_원본!$P$5:$P$100000,전표_원본!$O$5:$O$100000,$A9,전표_원본!$M$5:$M$100000,G$5))</f>
        <v/>
      </c>
      <c r="H9" s="35">
        <f>IF($A9="","",SUMIFS(전표_원본!$P$5:$P$100000,전표_원본!$O$5:$O$100000,$A9,전표_원본!$M$5:$M$100000,H$5))</f>
        <v/>
      </c>
      <c r="I9" s="35">
        <f>IF($A9="","",SUMIFS(전표_원본!$P$5:$P$100000,전표_원본!$O$5:$O$100000,$A9,전표_원본!$M$5:$M$100000,I$5))</f>
        <v/>
      </c>
      <c r="J9" s="35">
        <f>IF($A9="","",SUMIFS(전표_원본!$P$5:$P$100000,전표_원본!$O$5:$O$100000,$A9,전표_원본!$M$5:$M$100000,J$5))</f>
        <v/>
      </c>
      <c r="K9" s="35">
        <f>IF($A9="","",SUMIFS(전표_원본!$P$5:$P$100000,전표_원본!$O$5:$O$100000,$A9,전표_원본!$M$5:$M$100000,K$5))</f>
        <v/>
      </c>
      <c r="L9" s="35">
        <f>IF($A9="","",SUMIFS(전표_원본!$P$5:$P$100000,전표_원본!$O$5:$O$100000,$A9,전표_원본!$M$5:$M$100000,L$5))</f>
        <v/>
      </c>
      <c r="M9" s="35">
        <f>IF($A9="","",SUMIFS(전표_원본!$P$5:$P$100000,전표_원본!$O$5:$O$100000,$A9,전표_원본!$M$5:$M$100000,M$5))</f>
        <v/>
      </c>
      <c r="N9" s="35">
        <f>IF($A9="","",SUMIFS(전표_원본!$P$5:$P$100000,전표_원본!$O$5:$O$100000,$A9,전표_원본!$M$5:$M$100000,N$5))</f>
        <v/>
      </c>
      <c r="O9" s="35">
        <f>IF($A9="","",SUMIFS(전표_원본!$P$5:$P$100000,전표_원본!$O$5:$O$100000,$A9,전표_원본!$M$5:$M$100000,O$5))</f>
        <v/>
      </c>
      <c r="P9" s="35">
        <f>IF($A9="","",SUMIFS(전표_원본!$P$5:$P$100000,전표_원본!$O$5:$O$100000,$A9,전표_원본!$M$5:$M$100000,P$5))</f>
        <v/>
      </c>
      <c r="Q9" s="35">
        <f>IF($A9="","",SUMIFS(전표_원본!$P$5:$P$100000,전표_원본!$O$5:$O$100000,$A9,전표_원본!$M$5:$M$100000,Q$5))</f>
        <v/>
      </c>
      <c r="R9" s="35">
        <f>IF($A9="","",SUMIFS(전표_원본!$P$5:$P$100000,전표_원본!$O$5:$O$100000,$A9,전표_원본!$M$5:$M$100000,R$5))</f>
        <v/>
      </c>
      <c r="S9" s="35">
        <f>IF($A9="","",SUMIFS(전표_원본!$P$5:$P$100000,전표_원본!$O$5:$O$100000,$A9,전표_원본!$M$5:$M$100000,S$5))</f>
        <v/>
      </c>
      <c r="T9" s="35">
        <f>IF($A9="","",SUMIFS(전표_원본!$P$5:$P$100000,전표_원본!$O$5:$O$100000,$A9,전표_원본!$M$5:$M$100000,T$5))</f>
        <v/>
      </c>
      <c r="U9" s="35">
        <f>IF($A9="","",SUMIFS(전표_원본!$P$5:$P$100000,전표_원본!$O$5:$O$100000,$A9,전표_원본!$M$5:$M$100000,U$5))</f>
        <v/>
      </c>
      <c r="V9" s="35">
        <f>IF($A9="","",SUMIFS(전표_원본!$P$5:$P$100000,전표_원본!$O$5:$O$100000,$A9,전표_원본!$M$5:$M$100000,V$5))</f>
        <v/>
      </c>
      <c r="W9" s="35">
        <f>IF($A9="","",SUMIFS(전표_원본!$P$5:$P$100000,전표_원본!$O$5:$O$100000,$A9,전표_원본!$M$5:$M$100000,W$5))</f>
        <v/>
      </c>
      <c r="X9" s="35">
        <f>IF($A9="","",SUMIFS(전표_원본!$P$5:$P$100000,전표_원본!$O$5:$O$100000,$A9,전표_원본!$M$5:$M$100000,X$5))</f>
        <v/>
      </c>
      <c r="Y9" s="35">
        <f>IF($A9="","",SUMIFS(전표_원본!$P$5:$P$100000,전표_원본!$O$5:$O$100000,$A9,전표_원본!$M$5:$M$100000,Y$5))</f>
        <v/>
      </c>
      <c r="Z9" s="35">
        <f>IF($A9="","",SUMIFS(전표_원본!$P$5:$P$100000,전표_원본!$O$5:$O$100000,$A9,전표_원본!$M$5:$M$100000,Z$5))</f>
        <v/>
      </c>
      <c r="AB9" s="40">
        <f>IF(OR($A9="",1&gt;설정!$C$7),0,SUMIFS($C9:$Z9,$C$5:$Z$5,"&gt;="&amp;(설정!$C$6*12+1),$C$5:$Z$5,"&lt;="&amp;(설정!$C$6*12+1)))</f>
        <v/>
      </c>
      <c r="AC9" s="40">
        <f>IF(OR($A9="",2&gt;설정!$C$7),0,SUMIFS($C9:$Z9,$C$5:$Z$5,"&gt;="&amp;(설정!$C$6*12+1),$C$5:$Z$5,"&lt;="&amp;(설정!$C$6*12+2)))</f>
        <v/>
      </c>
      <c r="AD9" s="40">
        <f>IF(OR($A9="",3&gt;설정!$C$7),0,SUMIFS($C9:$Z9,$C$5:$Z$5,"&gt;="&amp;(설정!$C$6*12+1),$C$5:$Z$5,"&lt;="&amp;(설정!$C$6*12+3)))</f>
        <v/>
      </c>
      <c r="AE9" s="40">
        <f>IF(OR($A9="",4&gt;설정!$C$7),0,SUMIFS($C9:$Z9,$C$5:$Z$5,"&gt;="&amp;(설정!$C$6*12+1),$C$5:$Z$5,"&lt;="&amp;(설정!$C$6*12+4)))</f>
        <v/>
      </c>
      <c r="AF9" s="40">
        <f>IF(OR($A9="",5&gt;설정!$C$7),0,SUMIFS($C9:$Z9,$C$5:$Z$5,"&gt;="&amp;(설정!$C$6*12+1),$C$5:$Z$5,"&lt;="&amp;(설정!$C$6*12+5)))</f>
        <v/>
      </c>
      <c r="AG9" s="40">
        <f>IF(OR($A9="",6&gt;설정!$C$7),0,SUMIFS($C9:$Z9,$C$5:$Z$5,"&gt;="&amp;(설정!$C$6*12+1),$C$5:$Z$5,"&lt;="&amp;(설정!$C$6*12+6)))</f>
        <v/>
      </c>
      <c r="AH9" s="40">
        <f>IF(OR($A9="",7&gt;설정!$C$7),0,SUMIFS($C9:$Z9,$C$5:$Z$5,"&gt;="&amp;(설정!$C$6*12+1),$C$5:$Z$5,"&lt;="&amp;(설정!$C$6*12+7)))</f>
        <v/>
      </c>
      <c r="AI9" s="40">
        <f>IF(OR($A9="",8&gt;설정!$C$7),0,SUMIFS($C9:$Z9,$C$5:$Z$5,"&gt;="&amp;(설정!$C$6*12+1),$C$5:$Z$5,"&lt;="&amp;(설정!$C$6*12+8)))</f>
        <v/>
      </c>
      <c r="AJ9" s="40">
        <f>IF(OR($A9="",9&gt;설정!$C$7),0,SUMIFS($C9:$Z9,$C$5:$Z$5,"&gt;="&amp;(설정!$C$6*12+1),$C$5:$Z$5,"&lt;="&amp;(설정!$C$6*12+9)))</f>
        <v/>
      </c>
      <c r="AK9" s="40">
        <f>IF(OR($A9="",10&gt;설정!$C$7),0,SUMIFS($C9:$Z9,$C$5:$Z$5,"&gt;="&amp;(설정!$C$6*12+1),$C$5:$Z$5,"&lt;="&amp;(설정!$C$6*12+10)))</f>
        <v/>
      </c>
      <c r="AL9" s="40">
        <f>IF(OR($A9="",11&gt;설정!$C$7),0,SUMIFS($C9:$Z9,$C$5:$Z$5,"&gt;="&amp;(설정!$C$6*12+1),$C$5:$Z$5,"&lt;="&amp;(설정!$C$6*12+11)))</f>
        <v/>
      </c>
      <c r="AM9" s="40">
        <f>IF(OR($A9="",12&gt;설정!$C$7),0,SUMIFS($C9:$Z9,$C$5:$Z$5,"&gt;="&amp;(설정!$C$6*12+1),$C$5:$Z$5,"&lt;="&amp;(설정!$C$6*12+12)))</f>
        <v/>
      </c>
    </row>
    <row r="10">
      <c r="A10" s="26">
        <f>IF(변동분석!$A10="","",변동분석!$E10)</f>
        <v/>
      </c>
      <c r="B10" s="26">
        <f>IF($A10="","",변동분석!$B10&amp;" "&amp;변동분석!$D10)</f>
        <v/>
      </c>
      <c r="C10" s="35">
        <f>IF($A10="","",SUMIFS(전표_원본!$P$5:$P$100000,전표_원본!$O$5:$O$100000,$A10,전표_원본!$M$5:$M$100000,C$5))</f>
        <v/>
      </c>
      <c r="D10" s="35">
        <f>IF($A10="","",SUMIFS(전표_원본!$P$5:$P$100000,전표_원본!$O$5:$O$100000,$A10,전표_원본!$M$5:$M$100000,D$5))</f>
        <v/>
      </c>
      <c r="E10" s="35">
        <f>IF($A10="","",SUMIFS(전표_원본!$P$5:$P$100000,전표_원본!$O$5:$O$100000,$A10,전표_원본!$M$5:$M$100000,E$5))</f>
        <v/>
      </c>
      <c r="F10" s="35">
        <f>IF($A10="","",SUMIFS(전표_원본!$P$5:$P$100000,전표_원본!$O$5:$O$100000,$A10,전표_원본!$M$5:$M$100000,F$5))</f>
        <v/>
      </c>
      <c r="G10" s="35">
        <f>IF($A10="","",SUMIFS(전표_원본!$P$5:$P$100000,전표_원본!$O$5:$O$100000,$A10,전표_원본!$M$5:$M$100000,G$5))</f>
        <v/>
      </c>
      <c r="H10" s="35">
        <f>IF($A10="","",SUMIFS(전표_원본!$P$5:$P$100000,전표_원본!$O$5:$O$100000,$A10,전표_원본!$M$5:$M$100000,H$5))</f>
        <v/>
      </c>
      <c r="I10" s="35">
        <f>IF($A10="","",SUMIFS(전표_원본!$P$5:$P$100000,전표_원본!$O$5:$O$100000,$A10,전표_원본!$M$5:$M$100000,I$5))</f>
        <v/>
      </c>
      <c r="J10" s="35">
        <f>IF($A10="","",SUMIFS(전표_원본!$P$5:$P$100000,전표_원본!$O$5:$O$100000,$A10,전표_원본!$M$5:$M$100000,J$5))</f>
        <v/>
      </c>
      <c r="K10" s="35">
        <f>IF($A10="","",SUMIFS(전표_원본!$P$5:$P$100000,전표_원본!$O$5:$O$100000,$A10,전표_원본!$M$5:$M$100000,K$5))</f>
        <v/>
      </c>
      <c r="L10" s="35">
        <f>IF($A10="","",SUMIFS(전표_원본!$P$5:$P$100000,전표_원본!$O$5:$O$100000,$A10,전표_원본!$M$5:$M$100000,L$5))</f>
        <v/>
      </c>
      <c r="M10" s="35">
        <f>IF($A10="","",SUMIFS(전표_원본!$P$5:$P$100000,전표_원본!$O$5:$O$100000,$A10,전표_원본!$M$5:$M$100000,M$5))</f>
        <v/>
      </c>
      <c r="N10" s="35">
        <f>IF($A10="","",SUMIFS(전표_원본!$P$5:$P$100000,전표_원본!$O$5:$O$100000,$A10,전표_원본!$M$5:$M$100000,N$5))</f>
        <v/>
      </c>
      <c r="O10" s="35">
        <f>IF($A10="","",SUMIFS(전표_원본!$P$5:$P$100000,전표_원본!$O$5:$O$100000,$A10,전표_원본!$M$5:$M$100000,O$5))</f>
        <v/>
      </c>
      <c r="P10" s="35">
        <f>IF($A10="","",SUMIFS(전표_원본!$P$5:$P$100000,전표_원본!$O$5:$O$100000,$A10,전표_원본!$M$5:$M$100000,P$5))</f>
        <v/>
      </c>
      <c r="Q10" s="35">
        <f>IF($A10="","",SUMIFS(전표_원본!$P$5:$P$100000,전표_원본!$O$5:$O$100000,$A10,전표_원본!$M$5:$M$100000,Q$5))</f>
        <v/>
      </c>
      <c r="R10" s="35">
        <f>IF($A10="","",SUMIFS(전표_원본!$P$5:$P$100000,전표_원본!$O$5:$O$100000,$A10,전표_원본!$M$5:$M$100000,R$5))</f>
        <v/>
      </c>
      <c r="S10" s="35">
        <f>IF($A10="","",SUMIFS(전표_원본!$P$5:$P$100000,전표_원본!$O$5:$O$100000,$A10,전표_원본!$M$5:$M$100000,S$5))</f>
        <v/>
      </c>
      <c r="T10" s="35">
        <f>IF($A10="","",SUMIFS(전표_원본!$P$5:$P$100000,전표_원본!$O$5:$O$100000,$A10,전표_원본!$M$5:$M$100000,T$5))</f>
        <v/>
      </c>
      <c r="U10" s="35">
        <f>IF($A10="","",SUMIFS(전표_원본!$P$5:$P$100000,전표_원본!$O$5:$O$100000,$A10,전표_원본!$M$5:$M$100000,U$5))</f>
        <v/>
      </c>
      <c r="V10" s="35">
        <f>IF($A10="","",SUMIFS(전표_원본!$P$5:$P$100000,전표_원본!$O$5:$O$100000,$A10,전표_원본!$M$5:$M$100000,V$5))</f>
        <v/>
      </c>
      <c r="W10" s="35">
        <f>IF($A10="","",SUMIFS(전표_원본!$P$5:$P$100000,전표_원본!$O$5:$O$100000,$A10,전표_원본!$M$5:$M$100000,W$5))</f>
        <v/>
      </c>
      <c r="X10" s="35">
        <f>IF($A10="","",SUMIFS(전표_원본!$P$5:$P$100000,전표_원본!$O$5:$O$100000,$A10,전표_원본!$M$5:$M$100000,X$5))</f>
        <v/>
      </c>
      <c r="Y10" s="35">
        <f>IF($A10="","",SUMIFS(전표_원본!$P$5:$P$100000,전표_원본!$O$5:$O$100000,$A10,전표_원본!$M$5:$M$100000,Y$5))</f>
        <v/>
      </c>
      <c r="Z10" s="35">
        <f>IF($A10="","",SUMIFS(전표_원본!$P$5:$P$100000,전표_원본!$O$5:$O$100000,$A10,전표_원본!$M$5:$M$100000,Z$5))</f>
        <v/>
      </c>
      <c r="AB10" s="40">
        <f>IF(OR($A10="",1&gt;설정!$C$7),0,SUMIFS($C10:$Z10,$C$5:$Z$5,"&gt;="&amp;(설정!$C$6*12+1),$C$5:$Z$5,"&lt;="&amp;(설정!$C$6*12+1)))</f>
        <v/>
      </c>
      <c r="AC10" s="40">
        <f>IF(OR($A10="",2&gt;설정!$C$7),0,SUMIFS($C10:$Z10,$C$5:$Z$5,"&gt;="&amp;(설정!$C$6*12+1),$C$5:$Z$5,"&lt;="&amp;(설정!$C$6*12+2)))</f>
        <v/>
      </c>
      <c r="AD10" s="40">
        <f>IF(OR($A10="",3&gt;설정!$C$7),0,SUMIFS($C10:$Z10,$C$5:$Z$5,"&gt;="&amp;(설정!$C$6*12+1),$C$5:$Z$5,"&lt;="&amp;(설정!$C$6*12+3)))</f>
        <v/>
      </c>
      <c r="AE10" s="40">
        <f>IF(OR($A10="",4&gt;설정!$C$7),0,SUMIFS($C10:$Z10,$C$5:$Z$5,"&gt;="&amp;(설정!$C$6*12+1),$C$5:$Z$5,"&lt;="&amp;(설정!$C$6*12+4)))</f>
        <v/>
      </c>
      <c r="AF10" s="40">
        <f>IF(OR($A10="",5&gt;설정!$C$7),0,SUMIFS($C10:$Z10,$C$5:$Z$5,"&gt;="&amp;(설정!$C$6*12+1),$C$5:$Z$5,"&lt;="&amp;(설정!$C$6*12+5)))</f>
        <v/>
      </c>
      <c r="AG10" s="40">
        <f>IF(OR($A10="",6&gt;설정!$C$7),0,SUMIFS($C10:$Z10,$C$5:$Z$5,"&gt;="&amp;(설정!$C$6*12+1),$C$5:$Z$5,"&lt;="&amp;(설정!$C$6*12+6)))</f>
        <v/>
      </c>
      <c r="AH10" s="40">
        <f>IF(OR($A10="",7&gt;설정!$C$7),0,SUMIFS($C10:$Z10,$C$5:$Z$5,"&gt;="&amp;(설정!$C$6*12+1),$C$5:$Z$5,"&lt;="&amp;(설정!$C$6*12+7)))</f>
        <v/>
      </c>
      <c r="AI10" s="40">
        <f>IF(OR($A10="",8&gt;설정!$C$7),0,SUMIFS($C10:$Z10,$C$5:$Z$5,"&gt;="&amp;(설정!$C$6*12+1),$C$5:$Z$5,"&lt;="&amp;(설정!$C$6*12+8)))</f>
        <v/>
      </c>
      <c r="AJ10" s="40">
        <f>IF(OR($A10="",9&gt;설정!$C$7),0,SUMIFS($C10:$Z10,$C$5:$Z$5,"&gt;="&amp;(설정!$C$6*12+1),$C$5:$Z$5,"&lt;="&amp;(설정!$C$6*12+9)))</f>
        <v/>
      </c>
      <c r="AK10" s="40">
        <f>IF(OR($A10="",10&gt;설정!$C$7),0,SUMIFS($C10:$Z10,$C$5:$Z$5,"&gt;="&amp;(설정!$C$6*12+1),$C$5:$Z$5,"&lt;="&amp;(설정!$C$6*12+10)))</f>
        <v/>
      </c>
      <c r="AL10" s="40">
        <f>IF(OR($A10="",11&gt;설정!$C$7),0,SUMIFS($C10:$Z10,$C$5:$Z$5,"&gt;="&amp;(설정!$C$6*12+1),$C$5:$Z$5,"&lt;="&amp;(설정!$C$6*12+11)))</f>
        <v/>
      </c>
      <c r="AM10" s="40">
        <f>IF(OR($A10="",12&gt;설정!$C$7),0,SUMIFS($C10:$Z10,$C$5:$Z$5,"&gt;="&amp;(설정!$C$6*12+1),$C$5:$Z$5,"&lt;="&amp;(설정!$C$6*12+12)))</f>
        <v/>
      </c>
    </row>
    <row r="11">
      <c r="A11" s="26">
        <f>IF(변동분석!$A11="","",변동분석!$E11)</f>
        <v/>
      </c>
      <c r="B11" s="26">
        <f>IF($A11="","",변동분석!$B11&amp;" "&amp;변동분석!$D11)</f>
        <v/>
      </c>
      <c r="C11" s="35">
        <f>IF($A11="","",SUMIFS(전표_원본!$P$5:$P$100000,전표_원본!$O$5:$O$100000,$A11,전표_원본!$M$5:$M$100000,C$5))</f>
        <v/>
      </c>
      <c r="D11" s="35">
        <f>IF($A11="","",SUMIFS(전표_원본!$P$5:$P$100000,전표_원본!$O$5:$O$100000,$A11,전표_원본!$M$5:$M$100000,D$5))</f>
        <v/>
      </c>
      <c r="E11" s="35">
        <f>IF($A11="","",SUMIFS(전표_원본!$P$5:$P$100000,전표_원본!$O$5:$O$100000,$A11,전표_원본!$M$5:$M$100000,E$5))</f>
        <v/>
      </c>
      <c r="F11" s="35">
        <f>IF($A11="","",SUMIFS(전표_원본!$P$5:$P$100000,전표_원본!$O$5:$O$100000,$A11,전표_원본!$M$5:$M$100000,F$5))</f>
        <v/>
      </c>
      <c r="G11" s="35">
        <f>IF($A11="","",SUMIFS(전표_원본!$P$5:$P$100000,전표_원본!$O$5:$O$100000,$A11,전표_원본!$M$5:$M$100000,G$5))</f>
        <v/>
      </c>
      <c r="H11" s="35">
        <f>IF($A11="","",SUMIFS(전표_원본!$P$5:$P$100000,전표_원본!$O$5:$O$100000,$A11,전표_원본!$M$5:$M$100000,H$5))</f>
        <v/>
      </c>
      <c r="I11" s="35">
        <f>IF($A11="","",SUMIFS(전표_원본!$P$5:$P$100000,전표_원본!$O$5:$O$100000,$A11,전표_원본!$M$5:$M$100000,I$5))</f>
        <v/>
      </c>
      <c r="J11" s="35">
        <f>IF($A11="","",SUMIFS(전표_원본!$P$5:$P$100000,전표_원본!$O$5:$O$100000,$A11,전표_원본!$M$5:$M$100000,J$5))</f>
        <v/>
      </c>
      <c r="K11" s="35">
        <f>IF($A11="","",SUMIFS(전표_원본!$P$5:$P$100000,전표_원본!$O$5:$O$100000,$A11,전표_원본!$M$5:$M$100000,K$5))</f>
        <v/>
      </c>
      <c r="L11" s="35">
        <f>IF($A11="","",SUMIFS(전표_원본!$P$5:$P$100000,전표_원본!$O$5:$O$100000,$A11,전표_원본!$M$5:$M$100000,L$5))</f>
        <v/>
      </c>
      <c r="M11" s="35">
        <f>IF($A11="","",SUMIFS(전표_원본!$P$5:$P$100000,전표_원본!$O$5:$O$100000,$A11,전표_원본!$M$5:$M$100000,M$5))</f>
        <v/>
      </c>
      <c r="N11" s="35">
        <f>IF($A11="","",SUMIFS(전표_원본!$P$5:$P$100000,전표_원본!$O$5:$O$100000,$A11,전표_원본!$M$5:$M$100000,N$5))</f>
        <v/>
      </c>
      <c r="O11" s="35">
        <f>IF($A11="","",SUMIFS(전표_원본!$P$5:$P$100000,전표_원본!$O$5:$O$100000,$A11,전표_원본!$M$5:$M$100000,O$5))</f>
        <v/>
      </c>
      <c r="P11" s="35">
        <f>IF($A11="","",SUMIFS(전표_원본!$P$5:$P$100000,전표_원본!$O$5:$O$100000,$A11,전표_원본!$M$5:$M$100000,P$5))</f>
        <v/>
      </c>
      <c r="Q11" s="35">
        <f>IF($A11="","",SUMIFS(전표_원본!$P$5:$P$100000,전표_원본!$O$5:$O$100000,$A11,전표_원본!$M$5:$M$100000,Q$5))</f>
        <v/>
      </c>
      <c r="R11" s="35">
        <f>IF($A11="","",SUMIFS(전표_원본!$P$5:$P$100000,전표_원본!$O$5:$O$100000,$A11,전표_원본!$M$5:$M$100000,R$5))</f>
        <v/>
      </c>
      <c r="S11" s="35">
        <f>IF($A11="","",SUMIFS(전표_원본!$P$5:$P$100000,전표_원본!$O$5:$O$100000,$A11,전표_원본!$M$5:$M$100000,S$5))</f>
        <v/>
      </c>
      <c r="T11" s="35">
        <f>IF($A11="","",SUMIFS(전표_원본!$P$5:$P$100000,전표_원본!$O$5:$O$100000,$A11,전표_원본!$M$5:$M$100000,T$5))</f>
        <v/>
      </c>
      <c r="U11" s="35">
        <f>IF($A11="","",SUMIFS(전표_원본!$P$5:$P$100000,전표_원본!$O$5:$O$100000,$A11,전표_원본!$M$5:$M$100000,U$5))</f>
        <v/>
      </c>
      <c r="V11" s="35">
        <f>IF($A11="","",SUMIFS(전표_원본!$P$5:$P$100000,전표_원본!$O$5:$O$100000,$A11,전표_원본!$M$5:$M$100000,V$5))</f>
        <v/>
      </c>
      <c r="W11" s="35">
        <f>IF($A11="","",SUMIFS(전표_원본!$P$5:$P$100000,전표_원본!$O$5:$O$100000,$A11,전표_원본!$M$5:$M$100000,W$5))</f>
        <v/>
      </c>
      <c r="X11" s="35">
        <f>IF($A11="","",SUMIFS(전표_원본!$P$5:$P$100000,전표_원본!$O$5:$O$100000,$A11,전표_원본!$M$5:$M$100000,X$5))</f>
        <v/>
      </c>
      <c r="Y11" s="35">
        <f>IF($A11="","",SUMIFS(전표_원본!$P$5:$P$100000,전표_원본!$O$5:$O$100000,$A11,전표_원본!$M$5:$M$100000,Y$5))</f>
        <v/>
      </c>
      <c r="Z11" s="35">
        <f>IF($A11="","",SUMIFS(전표_원본!$P$5:$P$100000,전표_원본!$O$5:$O$100000,$A11,전표_원본!$M$5:$M$100000,Z$5))</f>
        <v/>
      </c>
      <c r="AB11" s="40">
        <f>IF(OR($A11="",1&gt;설정!$C$7),0,SUMIFS($C11:$Z11,$C$5:$Z$5,"&gt;="&amp;(설정!$C$6*12+1),$C$5:$Z$5,"&lt;="&amp;(설정!$C$6*12+1)))</f>
        <v/>
      </c>
      <c r="AC11" s="40">
        <f>IF(OR($A11="",2&gt;설정!$C$7),0,SUMIFS($C11:$Z11,$C$5:$Z$5,"&gt;="&amp;(설정!$C$6*12+1),$C$5:$Z$5,"&lt;="&amp;(설정!$C$6*12+2)))</f>
        <v/>
      </c>
      <c r="AD11" s="40">
        <f>IF(OR($A11="",3&gt;설정!$C$7),0,SUMIFS($C11:$Z11,$C$5:$Z$5,"&gt;="&amp;(설정!$C$6*12+1),$C$5:$Z$5,"&lt;="&amp;(설정!$C$6*12+3)))</f>
        <v/>
      </c>
      <c r="AE11" s="40">
        <f>IF(OR($A11="",4&gt;설정!$C$7),0,SUMIFS($C11:$Z11,$C$5:$Z$5,"&gt;="&amp;(설정!$C$6*12+1),$C$5:$Z$5,"&lt;="&amp;(설정!$C$6*12+4)))</f>
        <v/>
      </c>
      <c r="AF11" s="40">
        <f>IF(OR($A11="",5&gt;설정!$C$7),0,SUMIFS($C11:$Z11,$C$5:$Z$5,"&gt;="&amp;(설정!$C$6*12+1),$C$5:$Z$5,"&lt;="&amp;(설정!$C$6*12+5)))</f>
        <v/>
      </c>
      <c r="AG11" s="40">
        <f>IF(OR($A11="",6&gt;설정!$C$7),0,SUMIFS($C11:$Z11,$C$5:$Z$5,"&gt;="&amp;(설정!$C$6*12+1),$C$5:$Z$5,"&lt;="&amp;(설정!$C$6*12+6)))</f>
        <v/>
      </c>
      <c r="AH11" s="40">
        <f>IF(OR($A11="",7&gt;설정!$C$7),0,SUMIFS($C11:$Z11,$C$5:$Z$5,"&gt;="&amp;(설정!$C$6*12+1),$C$5:$Z$5,"&lt;="&amp;(설정!$C$6*12+7)))</f>
        <v/>
      </c>
      <c r="AI11" s="40">
        <f>IF(OR($A11="",8&gt;설정!$C$7),0,SUMIFS($C11:$Z11,$C$5:$Z$5,"&gt;="&amp;(설정!$C$6*12+1),$C$5:$Z$5,"&lt;="&amp;(설정!$C$6*12+8)))</f>
        <v/>
      </c>
      <c r="AJ11" s="40">
        <f>IF(OR($A11="",9&gt;설정!$C$7),0,SUMIFS($C11:$Z11,$C$5:$Z$5,"&gt;="&amp;(설정!$C$6*12+1),$C$5:$Z$5,"&lt;="&amp;(설정!$C$6*12+9)))</f>
        <v/>
      </c>
      <c r="AK11" s="40">
        <f>IF(OR($A11="",10&gt;설정!$C$7),0,SUMIFS($C11:$Z11,$C$5:$Z$5,"&gt;="&amp;(설정!$C$6*12+1),$C$5:$Z$5,"&lt;="&amp;(설정!$C$6*12+10)))</f>
        <v/>
      </c>
      <c r="AL11" s="40">
        <f>IF(OR($A11="",11&gt;설정!$C$7),0,SUMIFS($C11:$Z11,$C$5:$Z$5,"&gt;="&amp;(설정!$C$6*12+1),$C$5:$Z$5,"&lt;="&amp;(설정!$C$6*12+11)))</f>
        <v/>
      </c>
      <c r="AM11" s="40">
        <f>IF(OR($A11="",12&gt;설정!$C$7),0,SUMIFS($C11:$Z11,$C$5:$Z$5,"&gt;="&amp;(설정!$C$6*12+1),$C$5:$Z$5,"&lt;="&amp;(설정!$C$6*12+12)))</f>
        <v/>
      </c>
    </row>
    <row r="12">
      <c r="A12" s="26">
        <f>IF(변동분석!$A12="","",변동분석!$E12)</f>
        <v/>
      </c>
      <c r="B12" s="26">
        <f>IF($A12="","",변동분석!$B12&amp;" "&amp;변동분석!$D12)</f>
        <v/>
      </c>
      <c r="C12" s="35">
        <f>IF($A12="","",SUMIFS(전표_원본!$P$5:$P$100000,전표_원본!$O$5:$O$100000,$A12,전표_원본!$M$5:$M$100000,C$5))</f>
        <v/>
      </c>
      <c r="D12" s="35">
        <f>IF($A12="","",SUMIFS(전표_원본!$P$5:$P$100000,전표_원본!$O$5:$O$100000,$A12,전표_원본!$M$5:$M$100000,D$5))</f>
        <v/>
      </c>
      <c r="E12" s="35">
        <f>IF($A12="","",SUMIFS(전표_원본!$P$5:$P$100000,전표_원본!$O$5:$O$100000,$A12,전표_원본!$M$5:$M$100000,E$5))</f>
        <v/>
      </c>
      <c r="F12" s="35">
        <f>IF($A12="","",SUMIFS(전표_원본!$P$5:$P$100000,전표_원본!$O$5:$O$100000,$A12,전표_원본!$M$5:$M$100000,F$5))</f>
        <v/>
      </c>
      <c r="G12" s="35">
        <f>IF($A12="","",SUMIFS(전표_원본!$P$5:$P$100000,전표_원본!$O$5:$O$100000,$A12,전표_원본!$M$5:$M$100000,G$5))</f>
        <v/>
      </c>
      <c r="H12" s="35">
        <f>IF($A12="","",SUMIFS(전표_원본!$P$5:$P$100000,전표_원본!$O$5:$O$100000,$A12,전표_원본!$M$5:$M$100000,H$5))</f>
        <v/>
      </c>
      <c r="I12" s="35">
        <f>IF($A12="","",SUMIFS(전표_원본!$P$5:$P$100000,전표_원본!$O$5:$O$100000,$A12,전표_원본!$M$5:$M$100000,I$5))</f>
        <v/>
      </c>
      <c r="J12" s="35">
        <f>IF($A12="","",SUMIFS(전표_원본!$P$5:$P$100000,전표_원본!$O$5:$O$100000,$A12,전표_원본!$M$5:$M$100000,J$5))</f>
        <v/>
      </c>
      <c r="K12" s="35">
        <f>IF($A12="","",SUMIFS(전표_원본!$P$5:$P$100000,전표_원본!$O$5:$O$100000,$A12,전표_원본!$M$5:$M$100000,K$5))</f>
        <v/>
      </c>
      <c r="L12" s="35">
        <f>IF($A12="","",SUMIFS(전표_원본!$P$5:$P$100000,전표_원본!$O$5:$O$100000,$A12,전표_원본!$M$5:$M$100000,L$5))</f>
        <v/>
      </c>
      <c r="M12" s="35">
        <f>IF($A12="","",SUMIFS(전표_원본!$P$5:$P$100000,전표_원본!$O$5:$O$100000,$A12,전표_원본!$M$5:$M$100000,M$5))</f>
        <v/>
      </c>
      <c r="N12" s="35">
        <f>IF($A12="","",SUMIFS(전표_원본!$P$5:$P$100000,전표_원본!$O$5:$O$100000,$A12,전표_원본!$M$5:$M$100000,N$5))</f>
        <v/>
      </c>
      <c r="O12" s="35">
        <f>IF($A12="","",SUMIFS(전표_원본!$P$5:$P$100000,전표_원본!$O$5:$O$100000,$A12,전표_원본!$M$5:$M$100000,O$5))</f>
        <v/>
      </c>
      <c r="P12" s="35">
        <f>IF($A12="","",SUMIFS(전표_원본!$P$5:$P$100000,전표_원본!$O$5:$O$100000,$A12,전표_원본!$M$5:$M$100000,P$5))</f>
        <v/>
      </c>
      <c r="Q12" s="35">
        <f>IF($A12="","",SUMIFS(전표_원본!$P$5:$P$100000,전표_원본!$O$5:$O$100000,$A12,전표_원본!$M$5:$M$100000,Q$5))</f>
        <v/>
      </c>
      <c r="R12" s="35">
        <f>IF($A12="","",SUMIFS(전표_원본!$P$5:$P$100000,전표_원본!$O$5:$O$100000,$A12,전표_원본!$M$5:$M$100000,R$5))</f>
        <v/>
      </c>
      <c r="S12" s="35">
        <f>IF($A12="","",SUMIFS(전표_원본!$P$5:$P$100000,전표_원본!$O$5:$O$100000,$A12,전표_원본!$M$5:$M$100000,S$5))</f>
        <v/>
      </c>
      <c r="T12" s="35">
        <f>IF($A12="","",SUMIFS(전표_원본!$P$5:$P$100000,전표_원본!$O$5:$O$100000,$A12,전표_원본!$M$5:$M$100000,T$5))</f>
        <v/>
      </c>
      <c r="U12" s="35">
        <f>IF($A12="","",SUMIFS(전표_원본!$P$5:$P$100000,전표_원본!$O$5:$O$100000,$A12,전표_원본!$M$5:$M$100000,U$5))</f>
        <v/>
      </c>
      <c r="V12" s="35">
        <f>IF($A12="","",SUMIFS(전표_원본!$P$5:$P$100000,전표_원본!$O$5:$O$100000,$A12,전표_원본!$M$5:$M$100000,V$5))</f>
        <v/>
      </c>
      <c r="W12" s="35">
        <f>IF($A12="","",SUMIFS(전표_원본!$P$5:$P$100000,전표_원본!$O$5:$O$100000,$A12,전표_원본!$M$5:$M$100000,W$5))</f>
        <v/>
      </c>
      <c r="X12" s="35">
        <f>IF($A12="","",SUMIFS(전표_원본!$P$5:$P$100000,전표_원본!$O$5:$O$100000,$A12,전표_원본!$M$5:$M$100000,X$5))</f>
        <v/>
      </c>
      <c r="Y12" s="35">
        <f>IF($A12="","",SUMIFS(전표_원본!$P$5:$P$100000,전표_원본!$O$5:$O$100000,$A12,전표_원본!$M$5:$M$100000,Y$5))</f>
        <v/>
      </c>
      <c r="Z12" s="35">
        <f>IF($A12="","",SUMIFS(전표_원본!$P$5:$P$100000,전표_원본!$O$5:$O$100000,$A12,전표_원본!$M$5:$M$100000,Z$5))</f>
        <v/>
      </c>
      <c r="AB12" s="40">
        <f>IF(OR($A12="",1&gt;설정!$C$7),0,SUMIFS($C12:$Z12,$C$5:$Z$5,"&gt;="&amp;(설정!$C$6*12+1),$C$5:$Z$5,"&lt;="&amp;(설정!$C$6*12+1)))</f>
        <v/>
      </c>
      <c r="AC12" s="40">
        <f>IF(OR($A12="",2&gt;설정!$C$7),0,SUMIFS($C12:$Z12,$C$5:$Z$5,"&gt;="&amp;(설정!$C$6*12+1),$C$5:$Z$5,"&lt;="&amp;(설정!$C$6*12+2)))</f>
        <v/>
      </c>
      <c r="AD12" s="40">
        <f>IF(OR($A12="",3&gt;설정!$C$7),0,SUMIFS($C12:$Z12,$C$5:$Z$5,"&gt;="&amp;(설정!$C$6*12+1),$C$5:$Z$5,"&lt;="&amp;(설정!$C$6*12+3)))</f>
        <v/>
      </c>
      <c r="AE12" s="40">
        <f>IF(OR($A12="",4&gt;설정!$C$7),0,SUMIFS($C12:$Z12,$C$5:$Z$5,"&gt;="&amp;(설정!$C$6*12+1),$C$5:$Z$5,"&lt;="&amp;(설정!$C$6*12+4)))</f>
        <v/>
      </c>
      <c r="AF12" s="40">
        <f>IF(OR($A12="",5&gt;설정!$C$7),0,SUMIFS($C12:$Z12,$C$5:$Z$5,"&gt;="&amp;(설정!$C$6*12+1),$C$5:$Z$5,"&lt;="&amp;(설정!$C$6*12+5)))</f>
        <v/>
      </c>
      <c r="AG12" s="40">
        <f>IF(OR($A12="",6&gt;설정!$C$7),0,SUMIFS($C12:$Z12,$C$5:$Z$5,"&gt;="&amp;(설정!$C$6*12+1),$C$5:$Z$5,"&lt;="&amp;(설정!$C$6*12+6)))</f>
        <v/>
      </c>
      <c r="AH12" s="40">
        <f>IF(OR($A12="",7&gt;설정!$C$7),0,SUMIFS($C12:$Z12,$C$5:$Z$5,"&gt;="&amp;(설정!$C$6*12+1),$C$5:$Z$5,"&lt;="&amp;(설정!$C$6*12+7)))</f>
        <v/>
      </c>
      <c r="AI12" s="40">
        <f>IF(OR($A12="",8&gt;설정!$C$7),0,SUMIFS($C12:$Z12,$C$5:$Z$5,"&gt;="&amp;(설정!$C$6*12+1),$C$5:$Z$5,"&lt;="&amp;(설정!$C$6*12+8)))</f>
        <v/>
      </c>
      <c r="AJ12" s="40">
        <f>IF(OR($A12="",9&gt;설정!$C$7),0,SUMIFS($C12:$Z12,$C$5:$Z$5,"&gt;="&amp;(설정!$C$6*12+1),$C$5:$Z$5,"&lt;="&amp;(설정!$C$6*12+9)))</f>
        <v/>
      </c>
      <c r="AK12" s="40">
        <f>IF(OR($A12="",10&gt;설정!$C$7),0,SUMIFS($C12:$Z12,$C$5:$Z$5,"&gt;="&amp;(설정!$C$6*12+1),$C$5:$Z$5,"&lt;="&amp;(설정!$C$6*12+10)))</f>
        <v/>
      </c>
      <c r="AL12" s="40">
        <f>IF(OR($A12="",11&gt;설정!$C$7),0,SUMIFS($C12:$Z12,$C$5:$Z$5,"&gt;="&amp;(설정!$C$6*12+1),$C$5:$Z$5,"&lt;="&amp;(설정!$C$6*12+11)))</f>
        <v/>
      </c>
      <c r="AM12" s="40">
        <f>IF(OR($A12="",12&gt;설정!$C$7),0,SUMIFS($C12:$Z12,$C$5:$Z$5,"&gt;="&amp;(설정!$C$6*12+1),$C$5:$Z$5,"&lt;="&amp;(설정!$C$6*12+12)))</f>
        <v/>
      </c>
    </row>
    <row r="13">
      <c r="A13" s="26">
        <f>IF(변동분석!$A13="","",변동분석!$E13)</f>
        <v/>
      </c>
      <c r="B13" s="26">
        <f>IF($A13="","",변동분석!$B13&amp;" "&amp;변동분석!$D13)</f>
        <v/>
      </c>
      <c r="C13" s="35">
        <f>IF($A13="","",SUMIFS(전표_원본!$P$5:$P$100000,전표_원본!$O$5:$O$100000,$A13,전표_원본!$M$5:$M$100000,C$5))</f>
        <v/>
      </c>
      <c r="D13" s="35">
        <f>IF($A13="","",SUMIFS(전표_원본!$P$5:$P$100000,전표_원본!$O$5:$O$100000,$A13,전표_원본!$M$5:$M$100000,D$5))</f>
        <v/>
      </c>
      <c r="E13" s="35">
        <f>IF($A13="","",SUMIFS(전표_원본!$P$5:$P$100000,전표_원본!$O$5:$O$100000,$A13,전표_원본!$M$5:$M$100000,E$5))</f>
        <v/>
      </c>
      <c r="F13" s="35">
        <f>IF($A13="","",SUMIFS(전표_원본!$P$5:$P$100000,전표_원본!$O$5:$O$100000,$A13,전표_원본!$M$5:$M$100000,F$5))</f>
        <v/>
      </c>
      <c r="G13" s="35">
        <f>IF($A13="","",SUMIFS(전표_원본!$P$5:$P$100000,전표_원본!$O$5:$O$100000,$A13,전표_원본!$M$5:$M$100000,G$5))</f>
        <v/>
      </c>
      <c r="H13" s="35">
        <f>IF($A13="","",SUMIFS(전표_원본!$P$5:$P$100000,전표_원본!$O$5:$O$100000,$A13,전표_원본!$M$5:$M$100000,H$5))</f>
        <v/>
      </c>
      <c r="I13" s="35">
        <f>IF($A13="","",SUMIFS(전표_원본!$P$5:$P$100000,전표_원본!$O$5:$O$100000,$A13,전표_원본!$M$5:$M$100000,I$5))</f>
        <v/>
      </c>
      <c r="J13" s="35">
        <f>IF($A13="","",SUMIFS(전표_원본!$P$5:$P$100000,전표_원본!$O$5:$O$100000,$A13,전표_원본!$M$5:$M$100000,J$5))</f>
        <v/>
      </c>
      <c r="K13" s="35">
        <f>IF($A13="","",SUMIFS(전표_원본!$P$5:$P$100000,전표_원본!$O$5:$O$100000,$A13,전표_원본!$M$5:$M$100000,K$5))</f>
        <v/>
      </c>
      <c r="L13" s="35">
        <f>IF($A13="","",SUMIFS(전표_원본!$P$5:$P$100000,전표_원본!$O$5:$O$100000,$A13,전표_원본!$M$5:$M$100000,L$5))</f>
        <v/>
      </c>
      <c r="M13" s="35">
        <f>IF($A13="","",SUMIFS(전표_원본!$P$5:$P$100000,전표_원본!$O$5:$O$100000,$A13,전표_원본!$M$5:$M$100000,M$5))</f>
        <v/>
      </c>
      <c r="N13" s="35">
        <f>IF($A13="","",SUMIFS(전표_원본!$P$5:$P$100000,전표_원본!$O$5:$O$100000,$A13,전표_원본!$M$5:$M$100000,N$5))</f>
        <v/>
      </c>
      <c r="O13" s="35">
        <f>IF($A13="","",SUMIFS(전표_원본!$P$5:$P$100000,전표_원본!$O$5:$O$100000,$A13,전표_원본!$M$5:$M$100000,O$5))</f>
        <v/>
      </c>
      <c r="P13" s="35">
        <f>IF($A13="","",SUMIFS(전표_원본!$P$5:$P$100000,전표_원본!$O$5:$O$100000,$A13,전표_원본!$M$5:$M$100000,P$5))</f>
        <v/>
      </c>
      <c r="Q13" s="35">
        <f>IF($A13="","",SUMIFS(전표_원본!$P$5:$P$100000,전표_원본!$O$5:$O$100000,$A13,전표_원본!$M$5:$M$100000,Q$5))</f>
        <v/>
      </c>
      <c r="R13" s="35">
        <f>IF($A13="","",SUMIFS(전표_원본!$P$5:$P$100000,전표_원본!$O$5:$O$100000,$A13,전표_원본!$M$5:$M$100000,R$5))</f>
        <v/>
      </c>
      <c r="S13" s="35">
        <f>IF($A13="","",SUMIFS(전표_원본!$P$5:$P$100000,전표_원본!$O$5:$O$100000,$A13,전표_원본!$M$5:$M$100000,S$5))</f>
        <v/>
      </c>
      <c r="T13" s="35">
        <f>IF($A13="","",SUMIFS(전표_원본!$P$5:$P$100000,전표_원본!$O$5:$O$100000,$A13,전표_원본!$M$5:$M$100000,T$5))</f>
        <v/>
      </c>
      <c r="U13" s="35">
        <f>IF($A13="","",SUMIFS(전표_원본!$P$5:$P$100000,전표_원본!$O$5:$O$100000,$A13,전표_원본!$M$5:$M$100000,U$5))</f>
        <v/>
      </c>
      <c r="V13" s="35">
        <f>IF($A13="","",SUMIFS(전표_원본!$P$5:$P$100000,전표_원본!$O$5:$O$100000,$A13,전표_원본!$M$5:$M$100000,V$5))</f>
        <v/>
      </c>
      <c r="W13" s="35">
        <f>IF($A13="","",SUMIFS(전표_원본!$P$5:$P$100000,전표_원본!$O$5:$O$100000,$A13,전표_원본!$M$5:$M$100000,W$5))</f>
        <v/>
      </c>
      <c r="X13" s="35">
        <f>IF($A13="","",SUMIFS(전표_원본!$P$5:$P$100000,전표_원본!$O$5:$O$100000,$A13,전표_원본!$M$5:$M$100000,X$5))</f>
        <v/>
      </c>
      <c r="Y13" s="35">
        <f>IF($A13="","",SUMIFS(전표_원본!$P$5:$P$100000,전표_원본!$O$5:$O$100000,$A13,전표_원본!$M$5:$M$100000,Y$5))</f>
        <v/>
      </c>
      <c r="Z13" s="35">
        <f>IF($A13="","",SUMIFS(전표_원본!$P$5:$P$100000,전표_원본!$O$5:$O$100000,$A13,전표_원본!$M$5:$M$100000,Z$5))</f>
        <v/>
      </c>
      <c r="AB13" s="40">
        <f>IF(OR($A13="",1&gt;설정!$C$7),0,SUMIFS($C13:$Z13,$C$5:$Z$5,"&gt;="&amp;(설정!$C$6*12+1),$C$5:$Z$5,"&lt;="&amp;(설정!$C$6*12+1)))</f>
        <v/>
      </c>
      <c r="AC13" s="40">
        <f>IF(OR($A13="",2&gt;설정!$C$7),0,SUMIFS($C13:$Z13,$C$5:$Z$5,"&gt;="&amp;(설정!$C$6*12+1),$C$5:$Z$5,"&lt;="&amp;(설정!$C$6*12+2)))</f>
        <v/>
      </c>
      <c r="AD13" s="40">
        <f>IF(OR($A13="",3&gt;설정!$C$7),0,SUMIFS($C13:$Z13,$C$5:$Z$5,"&gt;="&amp;(설정!$C$6*12+1),$C$5:$Z$5,"&lt;="&amp;(설정!$C$6*12+3)))</f>
        <v/>
      </c>
      <c r="AE13" s="40">
        <f>IF(OR($A13="",4&gt;설정!$C$7),0,SUMIFS($C13:$Z13,$C$5:$Z$5,"&gt;="&amp;(설정!$C$6*12+1),$C$5:$Z$5,"&lt;="&amp;(설정!$C$6*12+4)))</f>
        <v/>
      </c>
      <c r="AF13" s="40">
        <f>IF(OR($A13="",5&gt;설정!$C$7),0,SUMIFS($C13:$Z13,$C$5:$Z$5,"&gt;="&amp;(설정!$C$6*12+1),$C$5:$Z$5,"&lt;="&amp;(설정!$C$6*12+5)))</f>
        <v/>
      </c>
      <c r="AG13" s="40">
        <f>IF(OR($A13="",6&gt;설정!$C$7),0,SUMIFS($C13:$Z13,$C$5:$Z$5,"&gt;="&amp;(설정!$C$6*12+1),$C$5:$Z$5,"&lt;="&amp;(설정!$C$6*12+6)))</f>
        <v/>
      </c>
      <c r="AH13" s="40">
        <f>IF(OR($A13="",7&gt;설정!$C$7),0,SUMIFS($C13:$Z13,$C$5:$Z$5,"&gt;="&amp;(설정!$C$6*12+1),$C$5:$Z$5,"&lt;="&amp;(설정!$C$6*12+7)))</f>
        <v/>
      </c>
      <c r="AI13" s="40">
        <f>IF(OR($A13="",8&gt;설정!$C$7),0,SUMIFS($C13:$Z13,$C$5:$Z$5,"&gt;="&amp;(설정!$C$6*12+1),$C$5:$Z$5,"&lt;="&amp;(설정!$C$6*12+8)))</f>
        <v/>
      </c>
      <c r="AJ13" s="40">
        <f>IF(OR($A13="",9&gt;설정!$C$7),0,SUMIFS($C13:$Z13,$C$5:$Z$5,"&gt;="&amp;(설정!$C$6*12+1),$C$5:$Z$5,"&lt;="&amp;(설정!$C$6*12+9)))</f>
        <v/>
      </c>
      <c r="AK13" s="40">
        <f>IF(OR($A13="",10&gt;설정!$C$7),0,SUMIFS($C13:$Z13,$C$5:$Z$5,"&gt;="&amp;(설정!$C$6*12+1),$C$5:$Z$5,"&lt;="&amp;(설정!$C$6*12+10)))</f>
        <v/>
      </c>
      <c r="AL13" s="40">
        <f>IF(OR($A13="",11&gt;설정!$C$7),0,SUMIFS($C13:$Z13,$C$5:$Z$5,"&gt;="&amp;(설정!$C$6*12+1),$C$5:$Z$5,"&lt;="&amp;(설정!$C$6*12+11)))</f>
        <v/>
      </c>
      <c r="AM13" s="40">
        <f>IF(OR($A13="",12&gt;설정!$C$7),0,SUMIFS($C13:$Z13,$C$5:$Z$5,"&gt;="&amp;(설정!$C$6*12+1),$C$5:$Z$5,"&lt;="&amp;(설정!$C$6*12+12)))</f>
        <v/>
      </c>
    </row>
    <row r="14">
      <c r="A14" s="26">
        <f>IF(변동분석!$A14="","",변동분석!$E14)</f>
        <v/>
      </c>
      <c r="B14" s="26">
        <f>IF($A14="","",변동분석!$B14&amp;" "&amp;변동분석!$D14)</f>
        <v/>
      </c>
      <c r="C14" s="35">
        <f>IF($A14="","",SUMIFS(전표_원본!$P$5:$P$100000,전표_원본!$O$5:$O$100000,$A14,전표_원본!$M$5:$M$100000,C$5))</f>
        <v/>
      </c>
      <c r="D14" s="35">
        <f>IF($A14="","",SUMIFS(전표_원본!$P$5:$P$100000,전표_원본!$O$5:$O$100000,$A14,전표_원본!$M$5:$M$100000,D$5))</f>
        <v/>
      </c>
      <c r="E14" s="35">
        <f>IF($A14="","",SUMIFS(전표_원본!$P$5:$P$100000,전표_원본!$O$5:$O$100000,$A14,전표_원본!$M$5:$M$100000,E$5))</f>
        <v/>
      </c>
      <c r="F14" s="35">
        <f>IF($A14="","",SUMIFS(전표_원본!$P$5:$P$100000,전표_원본!$O$5:$O$100000,$A14,전표_원본!$M$5:$M$100000,F$5))</f>
        <v/>
      </c>
      <c r="G14" s="35">
        <f>IF($A14="","",SUMIFS(전표_원본!$P$5:$P$100000,전표_원본!$O$5:$O$100000,$A14,전표_원본!$M$5:$M$100000,G$5))</f>
        <v/>
      </c>
      <c r="H14" s="35">
        <f>IF($A14="","",SUMIFS(전표_원본!$P$5:$P$100000,전표_원본!$O$5:$O$100000,$A14,전표_원본!$M$5:$M$100000,H$5))</f>
        <v/>
      </c>
      <c r="I14" s="35">
        <f>IF($A14="","",SUMIFS(전표_원본!$P$5:$P$100000,전표_원본!$O$5:$O$100000,$A14,전표_원본!$M$5:$M$100000,I$5))</f>
        <v/>
      </c>
      <c r="J14" s="35">
        <f>IF($A14="","",SUMIFS(전표_원본!$P$5:$P$100000,전표_원본!$O$5:$O$100000,$A14,전표_원본!$M$5:$M$100000,J$5))</f>
        <v/>
      </c>
      <c r="K14" s="35">
        <f>IF($A14="","",SUMIFS(전표_원본!$P$5:$P$100000,전표_원본!$O$5:$O$100000,$A14,전표_원본!$M$5:$M$100000,K$5))</f>
        <v/>
      </c>
      <c r="L14" s="35">
        <f>IF($A14="","",SUMIFS(전표_원본!$P$5:$P$100000,전표_원본!$O$5:$O$100000,$A14,전표_원본!$M$5:$M$100000,L$5))</f>
        <v/>
      </c>
      <c r="M14" s="35">
        <f>IF($A14="","",SUMIFS(전표_원본!$P$5:$P$100000,전표_원본!$O$5:$O$100000,$A14,전표_원본!$M$5:$M$100000,M$5))</f>
        <v/>
      </c>
      <c r="N14" s="35">
        <f>IF($A14="","",SUMIFS(전표_원본!$P$5:$P$100000,전표_원본!$O$5:$O$100000,$A14,전표_원본!$M$5:$M$100000,N$5))</f>
        <v/>
      </c>
      <c r="O14" s="35">
        <f>IF($A14="","",SUMIFS(전표_원본!$P$5:$P$100000,전표_원본!$O$5:$O$100000,$A14,전표_원본!$M$5:$M$100000,O$5))</f>
        <v/>
      </c>
      <c r="P14" s="35">
        <f>IF($A14="","",SUMIFS(전표_원본!$P$5:$P$100000,전표_원본!$O$5:$O$100000,$A14,전표_원본!$M$5:$M$100000,P$5))</f>
        <v/>
      </c>
      <c r="Q14" s="35">
        <f>IF($A14="","",SUMIFS(전표_원본!$P$5:$P$100000,전표_원본!$O$5:$O$100000,$A14,전표_원본!$M$5:$M$100000,Q$5))</f>
        <v/>
      </c>
      <c r="R14" s="35">
        <f>IF($A14="","",SUMIFS(전표_원본!$P$5:$P$100000,전표_원본!$O$5:$O$100000,$A14,전표_원본!$M$5:$M$100000,R$5))</f>
        <v/>
      </c>
      <c r="S14" s="35">
        <f>IF($A14="","",SUMIFS(전표_원본!$P$5:$P$100000,전표_원본!$O$5:$O$100000,$A14,전표_원본!$M$5:$M$100000,S$5))</f>
        <v/>
      </c>
      <c r="T14" s="35">
        <f>IF($A14="","",SUMIFS(전표_원본!$P$5:$P$100000,전표_원본!$O$5:$O$100000,$A14,전표_원본!$M$5:$M$100000,T$5))</f>
        <v/>
      </c>
      <c r="U14" s="35">
        <f>IF($A14="","",SUMIFS(전표_원본!$P$5:$P$100000,전표_원본!$O$5:$O$100000,$A14,전표_원본!$M$5:$M$100000,U$5))</f>
        <v/>
      </c>
      <c r="V14" s="35">
        <f>IF($A14="","",SUMIFS(전표_원본!$P$5:$P$100000,전표_원본!$O$5:$O$100000,$A14,전표_원본!$M$5:$M$100000,V$5))</f>
        <v/>
      </c>
      <c r="W14" s="35">
        <f>IF($A14="","",SUMIFS(전표_원본!$P$5:$P$100000,전표_원본!$O$5:$O$100000,$A14,전표_원본!$M$5:$M$100000,W$5))</f>
        <v/>
      </c>
      <c r="X14" s="35">
        <f>IF($A14="","",SUMIFS(전표_원본!$P$5:$P$100000,전표_원본!$O$5:$O$100000,$A14,전표_원본!$M$5:$M$100000,X$5))</f>
        <v/>
      </c>
      <c r="Y14" s="35">
        <f>IF($A14="","",SUMIFS(전표_원본!$P$5:$P$100000,전표_원본!$O$5:$O$100000,$A14,전표_원본!$M$5:$M$100000,Y$5))</f>
        <v/>
      </c>
      <c r="Z14" s="35">
        <f>IF($A14="","",SUMIFS(전표_원본!$P$5:$P$100000,전표_원본!$O$5:$O$100000,$A14,전표_원본!$M$5:$M$100000,Z$5))</f>
        <v/>
      </c>
      <c r="AB14" s="40">
        <f>IF(OR($A14="",1&gt;설정!$C$7),0,SUMIFS($C14:$Z14,$C$5:$Z$5,"&gt;="&amp;(설정!$C$6*12+1),$C$5:$Z$5,"&lt;="&amp;(설정!$C$6*12+1)))</f>
        <v/>
      </c>
      <c r="AC14" s="40">
        <f>IF(OR($A14="",2&gt;설정!$C$7),0,SUMIFS($C14:$Z14,$C$5:$Z$5,"&gt;="&amp;(설정!$C$6*12+1),$C$5:$Z$5,"&lt;="&amp;(설정!$C$6*12+2)))</f>
        <v/>
      </c>
      <c r="AD14" s="40">
        <f>IF(OR($A14="",3&gt;설정!$C$7),0,SUMIFS($C14:$Z14,$C$5:$Z$5,"&gt;="&amp;(설정!$C$6*12+1),$C$5:$Z$5,"&lt;="&amp;(설정!$C$6*12+3)))</f>
        <v/>
      </c>
      <c r="AE14" s="40">
        <f>IF(OR($A14="",4&gt;설정!$C$7),0,SUMIFS($C14:$Z14,$C$5:$Z$5,"&gt;="&amp;(설정!$C$6*12+1),$C$5:$Z$5,"&lt;="&amp;(설정!$C$6*12+4)))</f>
        <v/>
      </c>
      <c r="AF14" s="40">
        <f>IF(OR($A14="",5&gt;설정!$C$7),0,SUMIFS($C14:$Z14,$C$5:$Z$5,"&gt;="&amp;(설정!$C$6*12+1),$C$5:$Z$5,"&lt;="&amp;(설정!$C$6*12+5)))</f>
        <v/>
      </c>
      <c r="AG14" s="40">
        <f>IF(OR($A14="",6&gt;설정!$C$7),0,SUMIFS($C14:$Z14,$C$5:$Z$5,"&gt;="&amp;(설정!$C$6*12+1),$C$5:$Z$5,"&lt;="&amp;(설정!$C$6*12+6)))</f>
        <v/>
      </c>
      <c r="AH14" s="40">
        <f>IF(OR($A14="",7&gt;설정!$C$7),0,SUMIFS($C14:$Z14,$C$5:$Z$5,"&gt;="&amp;(설정!$C$6*12+1),$C$5:$Z$5,"&lt;="&amp;(설정!$C$6*12+7)))</f>
        <v/>
      </c>
      <c r="AI14" s="40">
        <f>IF(OR($A14="",8&gt;설정!$C$7),0,SUMIFS($C14:$Z14,$C$5:$Z$5,"&gt;="&amp;(설정!$C$6*12+1),$C$5:$Z$5,"&lt;="&amp;(설정!$C$6*12+8)))</f>
        <v/>
      </c>
      <c r="AJ14" s="40">
        <f>IF(OR($A14="",9&gt;설정!$C$7),0,SUMIFS($C14:$Z14,$C$5:$Z$5,"&gt;="&amp;(설정!$C$6*12+1),$C$5:$Z$5,"&lt;="&amp;(설정!$C$6*12+9)))</f>
        <v/>
      </c>
      <c r="AK14" s="40">
        <f>IF(OR($A14="",10&gt;설정!$C$7),0,SUMIFS($C14:$Z14,$C$5:$Z$5,"&gt;="&amp;(설정!$C$6*12+1),$C$5:$Z$5,"&lt;="&amp;(설정!$C$6*12+10)))</f>
        <v/>
      </c>
      <c r="AL14" s="40">
        <f>IF(OR($A14="",11&gt;설정!$C$7),0,SUMIFS($C14:$Z14,$C$5:$Z$5,"&gt;="&amp;(설정!$C$6*12+1),$C$5:$Z$5,"&lt;="&amp;(설정!$C$6*12+11)))</f>
        <v/>
      </c>
      <c r="AM14" s="40">
        <f>IF(OR($A14="",12&gt;설정!$C$7),0,SUMIFS($C14:$Z14,$C$5:$Z$5,"&gt;="&amp;(설정!$C$6*12+1),$C$5:$Z$5,"&lt;="&amp;(설정!$C$6*12+12)))</f>
        <v/>
      </c>
    </row>
    <row r="15">
      <c r="A15" s="26">
        <f>IF(변동분석!$A15="","",변동분석!$E15)</f>
        <v/>
      </c>
      <c r="B15" s="26">
        <f>IF($A15="","",변동분석!$B15&amp;" "&amp;변동분석!$D15)</f>
        <v/>
      </c>
      <c r="C15" s="35">
        <f>IF($A15="","",SUMIFS(전표_원본!$P$5:$P$100000,전표_원본!$O$5:$O$100000,$A15,전표_원본!$M$5:$M$100000,C$5))</f>
        <v/>
      </c>
      <c r="D15" s="35">
        <f>IF($A15="","",SUMIFS(전표_원본!$P$5:$P$100000,전표_원본!$O$5:$O$100000,$A15,전표_원본!$M$5:$M$100000,D$5))</f>
        <v/>
      </c>
      <c r="E15" s="35">
        <f>IF($A15="","",SUMIFS(전표_원본!$P$5:$P$100000,전표_원본!$O$5:$O$100000,$A15,전표_원본!$M$5:$M$100000,E$5))</f>
        <v/>
      </c>
      <c r="F15" s="35">
        <f>IF($A15="","",SUMIFS(전표_원본!$P$5:$P$100000,전표_원본!$O$5:$O$100000,$A15,전표_원본!$M$5:$M$100000,F$5))</f>
        <v/>
      </c>
      <c r="G15" s="35">
        <f>IF($A15="","",SUMIFS(전표_원본!$P$5:$P$100000,전표_원본!$O$5:$O$100000,$A15,전표_원본!$M$5:$M$100000,G$5))</f>
        <v/>
      </c>
      <c r="H15" s="35">
        <f>IF($A15="","",SUMIFS(전표_원본!$P$5:$P$100000,전표_원본!$O$5:$O$100000,$A15,전표_원본!$M$5:$M$100000,H$5))</f>
        <v/>
      </c>
      <c r="I15" s="35">
        <f>IF($A15="","",SUMIFS(전표_원본!$P$5:$P$100000,전표_원본!$O$5:$O$100000,$A15,전표_원본!$M$5:$M$100000,I$5))</f>
        <v/>
      </c>
      <c r="J15" s="35">
        <f>IF($A15="","",SUMIFS(전표_원본!$P$5:$P$100000,전표_원본!$O$5:$O$100000,$A15,전표_원본!$M$5:$M$100000,J$5))</f>
        <v/>
      </c>
      <c r="K15" s="35">
        <f>IF($A15="","",SUMIFS(전표_원본!$P$5:$P$100000,전표_원본!$O$5:$O$100000,$A15,전표_원본!$M$5:$M$100000,K$5))</f>
        <v/>
      </c>
      <c r="L15" s="35">
        <f>IF($A15="","",SUMIFS(전표_원본!$P$5:$P$100000,전표_원본!$O$5:$O$100000,$A15,전표_원본!$M$5:$M$100000,L$5))</f>
        <v/>
      </c>
      <c r="M15" s="35">
        <f>IF($A15="","",SUMIFS(전표_원본!$P$5:$P$100000,전표_원본!$O$5:$O$100000,$A15,전표_원본!$M$5:$M$100000,M$5))</f>
        <v/>
      </c>
      <c r="N15" s="35">
        <f>IF($A15="","",SUMIFS(전표_원본!$P$5:$P$100000,전표_원본!$O$5:$O$100000,$A15,전표_원본!$M$5:$M$100000,N$5))</f>
        <v/>
      </c>
      <c r="O15" s="35">
        <f>IF($A15="","",SUMIFS(전표_원본!$P$5:$P$100000,전표_원본!$O$5:$O$100000,$A15,전표_원본!$M$5:$M$100000,O$5))</f>
        <v/>
      </c>
      <c r="P15" s="35">
        <f>IF($A15="","",SUMIFS(전표_원본!$P$5:$P$100000,전표_원본!$O$5:$O$100000,$A15,전표_원본!$M$5:$M$100000,P$5))</f>
        <v/>
      </c>
      <c r="Q15" s="35">
        <f>IF($A15="","",SUMIFS(전표_원본!$P$5:$P$100000,전표_원본!$O$5:$O$100000,$A15,전표_원본!$M$5:$M$100000,Q$5))</f>
        <v/>
      </c>
      <c r="R15" s="35">
        <f>IF($A15="","",SUMIFS(전표_원본!$P$5:$P$100000,전표_원본!$O$5:$O$100000,$A15,전표_원본!$M$5:$M$100000,R$5))</f>
        <v/>
      </c>
      <c r="S15" s="35">
        <f>IF($A15="","",SUMIFS(전표_원본!$P$5:$P$100000,전표_원본!$O$5:$O$100000,$A15,전표_원본!$M$5:$M$100000,S$5))</f>
        <v/>
      </c>
      <c r="T15" s="35">
        <f>IF($A15="","",SUMIFS(전표_원본!$P$5:$P$100000,전표_원본!$O$5:$O$100000,$A15,전표_원본!$M$5:$M$100000,T$5))</f>
        <v/>
      </c>
      <c r="U15" s="35">
        <f>IF($A15="","",SUMIFS(전표_원본!$P$5:$P$100000,전표_원본!$O$5:$O$100000,$A15,전표_원본!$M$5:$M$100000,U$5))</f>
        <v/>
      </c>
      <c r="V15" s="35">
        <f>IF($A15="","",SUMIFS(전표_원본!$P$5:$P$100000,전표_원본!$O$5:$O$100000,$A15,전표_원본!$M$5:$M$100000,V$5))</f>
        <v/>
      </c>
      <c r="W15" s="35">
        <f>IF($A15="","",SUMIFS(전표_원본!$P$5:$P$100000,전표_원본!$O$5:$O$100000,$A15,전표_원본!$M$5:$M$100000,W$5))</f>
        <v/>
      </c>
      <c r="X15" s="35">
        <f>IF($A15="","",SUMIFS(전표_원본!$P$5:$P$100000,전표_원본!$O$5:$O$100000,$A15,전표_원본!$M$5:$M$100000,X$5))</f>
        <v/>
      </c>
      <c r="Y15" s="35">
        <f>IF($A15="","",SUMIFS(전표_원본!$P$5:$P$100000,전표_원본!$O$5:$O$100000,$A15,전표_원본!$M$5:$M$100000,Y$5))</f>
        <v/>
      </c>
      <c r="Z15" s="35">
        <f>IF($A15="","",SUMIFS(전표_원본!$P$5:$P$100000,전표_원본!$O$5:$O$100000,$A15,전표_원본!$M$5:$M$100000,Z$5))</f>
        <v/>
      </c>
      <c r="AB15" s="40">
        <f>IF(OR($A15="",1&gt;설정!$C$7),0,SUMIFS($C15:$Z15,$C$5:$Z$5,"&gt;="&amp;(설정!$C$6*12+1),$C$5:$Z$5,"&lt;="&amp;(설정!$C$6*12+1)))</f>
        <v/>
      </c>
      <c r="AC15" s="40">
        <f>IF(OR($A15="",2&gt;설정!$C$7),0,SUMIFS($C15:$Z15,$C$5:$Z$5,"&gt;="&amp;(설정!$C$6*12+1),$C$5:$Z$5,"&lt;="&amp;(설정!$C$6*12+2)))</f>
        <v/>
      </c>
      <c r="AD15" s="40">
        <f>IF(OR($A15="",3&gt;설정!$C$7),0,SUMIFS($C15:$Z15,$C$5:$Z$5,"&gt;="&amp;(설정!$C$6*12+1),$C$5:$Z$5,"&lt;="&amp;(설정!$C$6*12+3)))</f>
        <v/>
      </c>
      <c r="AE15" s="40">
        <f>IF(OR($A15="",4&gt;설정!$C$7),0,SUMIFS($C15:$Z15,$C$5:$Z$5,"&gt;="&amp;(설정!$C$6*12+1),$C$5:$Z$5,"&lt;="&amp;(설정!$C$6*12+4)))</f>
        <v/>
      </c>
      <c r="AF15" s="40">
        <f>IF(OR($A15="",5&gt;설정!$C$7),0,SUMIFS($C15:$Z15,$C$5:$Z$5,"&gt;="&amp;(설정!$C$6*12+1),$C$5:$Z$5,"&lt;="&amp;(설정!$C$6*12+5)))</f>
        <v/>
      </c>
      <c r="AG15" s="40">
        <f>IF(OR($A15="",6&gt;설정!$C$7),0,SUMIFS($C15:$Z15,$C$5:$Z$5,"&gt;="&amp;(설정!$C$6*12+1),$C$5:$Z$5,"&lt;="&amp;(설정!$C$6*12+6)))</f>
        <v/>
      </c>
      <c r="AH15" s="40">
        <f>IF(OR($A15="",7&gt;설정!$C$7),0,SUMIFS($C15:$Z15,$C$5:$Z$5,"&gt;="&amp;(설정!$C$6*12+1),$C$5:$Z$5,"&lt;="&amp;(설정!$C$6*12+7)))</f>
        <v/>
      </c>
      <c r="AI15" s="40">
        <f>IF(OR($A15="",8&gt;설정!$C$7),0,SUMIFS($C15:$Z15,$C$5:$Z$5,"&gt;="&amp;(설정!$C$6*12+1),$C$5:$Z$5,"&lt;="&amp;(설정!$C$6*12+8)))</f>
        <v/>
      </c>
      <c r="AJ15" s="40">
        <f>IF(OR($A15="",9&gt;설정!$C$7),0,SUMIFS($C15:$Z15,$C$5:$Z$5,"&gt;="&amp;(설정!$C$6*12+1),$C$5:$Z$5,"&lt;="&amp;(설정!$C$6*12+9)))</f>
        <v/>
      </c>
      <c r="AK15" s="40">
        <f>IF(OR($A15="",10&gt;설정!$C$7),0,SUMIFS($C15:$Z15,$C$5:$Z$5,"&gt;="&amp;(설정!$C$6*12+1),$C$5:$Z$5,"&lt;="&amp;(설정!$C$6*12+10)))</f>
        <v/>
      </c>
      <c r="AL15" s="40">
        <f>IF(OR($A15="",11&gt;설정!$C$7),0,SUMIFS($C15:$Z15,$C$5:$Z$5,"&gt;="&amp;(설정!$C$6*12+1),$C$5:$Z$5,"&lt;="&amp;(설정!$C$6*12+11)))</f>
        <v/>
      </c>
      <c r="AM15" s="40">
        <f>IF(OR($A15="",12&gt;설정!$C$7),0,SUMIFS($C15:$Z15,$C$5:$Z$5,"&gt;="&amp;(설정!$C$6*12+1),$C$5:$Z$5,"&lt;="&amp;(설정!$C$6*12+12)))</f>
        <v/>
      </c>
    </row>
    <row r="16">
      <c r="A16" s="26">
        <f>IF(변동분석!$A16="","",변동분석!$E16)</f>
        <v/>
      </c>
      <c r="B16" s="26">
        <f>IF($A16="","",변동분석!$B16&amp;" "&amp;변동분석!$D16)</f>
        <v/>
      </c>
      <c r="C16" s="35">
        <f>IF($A16="","",SUMIFS(전표_원본!$P$5:$P$100000,전표_원본!$O$5:$O$100000,$A16,전표_원본!$M$5:$M$100000,C$5))</f>
        <v/>
      </c>
      <c r="D16" s="35">
        <f>IF($A16="","",SUMIFS(전표_원본!$P$5:$P$100000,전표_원본!$O$5:$O$100000,$A16,전표_원본!$M$5:$M$100000,D$5))</f>
        <v/>
      </c>
      <c r="E16" s="35">
        <f>IF($A16="","",SUMIFS(전표_원본!$P$5:$P$100000,전표_원본!$O$5:$O$100000,$A16,전표_원본!$M$5:$M$100000,E$5))</f>
        <v/>
      </c>
      <c r="F16" s="35">
        <f>IF($A16="","",SUMIFS(전표_원본!$P$5:$P$100000,전표_원본!$O$5:$O$100000,$A16,전표_원본!$M$5:$M$100000,F$5))</f>
        <v/>
      </c>
      <c r="G16" s="35">
        <f>IF($A16="","",SUMIFS(전표_원본!$P$5:$P$100000,전표_원본!$O$5:$O$100000,$A16,전표_원본!$M$5:$M$100000,G$5))</f>
        <v/>
      </c>
      <c r="H16" s="35">
        <f>IF($A16="","",SUMIFS(전표_원본!$P$5:$P$100000,전표_원본!$O$5:$O$100000,$A16,전표_원본!$M$5:$M$100000,H$5))</f>
        <v/>
      </c>
      <c r="I16" s="35">
        <f>IF($A16="","",SUMIFS(전표_원본!$P$5:$P$100000,전표_원본!$O$5:$O$100000,$A16,전표_원본!$M$5:$M$100000,I$5))</f>
        <v/>
      </c>
      <c r="J16" s="35">
        <f>IF($A16="","",SUMIFS(전표_원본!$P$5:$P$100000,전표_원본!$O$5:$O$100000,$A16,전표_원본!$M$5:$M$100000,J$5))</f>
        <v/>
      </c>
      <c r="K16" s="35">
        <f>IF($A16="","",SUMIFS(전표_원본!$P$5:$P$100000,전표_원본!$O$5:$O$100000,$A16,전표_원본!$M$5:$M$100000,K$5))</f>
        <v/>
      </c>
      <c r="L16" s="35">
        <f>IF($A16="","",SUMIFS(전표_원본!$P$5:$P$100000,전표_원본!$O$5:$O$100000,$A16,전표_원본!$M$5:$M$100000,L$5))</f>
        <v/>
      </c>
      <c r="M16" s="35">
        <f>IF($A16="","",SUMIFS(전표_원본!$P$5:$P$100000,전표_원본!$O$5:$O$100000,$A16,전표_원본!$M$5:$M$100000,M$5))</f>
        <v/>
      </c>
      <c r="N16" s="35">
        <f>IF($A16="","",SUMIFS(전표_원본!$P$5:$P$100000,전표_원본!$O$5:$O$100000,$A16,전표_원본!$M$5:$M$100000,N$5))</f>
        <v/>
      </c>
      <c r="O16" s="35">
        <f>IF($A16="","",SUMIFS(전표_원본!$P$5:$P$100000,전표_원본!$O$5:$O$100000,$A16,전표_원본!$M$5:$M$100000,O$5))</f>
        <v/>
      </c>
      <c r="P16" s="35">
        <f>IF($A16="","",SUMIFS(전표_원본!$P$5:$P$100000,전표_원본!$O$5:$O$100000,$A16,전표_원본!$M$5:$M$100000,P$5))</f>
        <v/>
      </c>
      <c r="Q16" s="35">
        <f>IF($A16="","",SUMIFS(전표_원본!$P$5:$P$100000,전표_원본!$O$5:$O$100000,$A16,전표_원본!$M$5:$M$100000,Q$5))</f>
        <v/>
      </c>
      <c r="R16" s="35">
        <f>IF($A16="","",SUMIFS(전표_원본!$P$5:$P$100000,전표_원본!$O$5:$O$100000,$A16,전표_원본!$M$5:$M$100000,R$5))</f>
        <v/>
      </c>
      <c r="S16" s="35">
        <f>IF($A16="","",SUMIFS(전표_원본!$P$5:$P$100000,전표_원본!$O$5:$O$100000,$A16,전표_원본!$M$5:$M$100000,S$5))</f>
        <v/>
      </c>
      <c r="T16" s="35">
        <f>IF($A16="","",SUMIFS(전표_원본!$P$5:$P$100000,전표_원본!$O$5:$O$100000,$A16,전표_원본!$M$5:$M$100000,T$5))</f>
        <v/>
      </c>
      <c r="U16" s="35">
        <f>IF($A16="","",SUMIFS(전표_원본!$P$5:$P$100000,전표_원본!$O$5:$O$100000,$A16,전표_원본!$M$5:$M$100000,U$5))</f>
        <v/>
      </c>
      <c r="V16" s="35">
        <f>IF($A16="","",SUMIFS(전표_원본!$P$5:$P$100000,전표_원본!$O$5:$O$100000,$A16,전표_원본!$M$5:$M$100000,V$5))</f>
        <v/>
      </c>
      <c r="W16" s="35">
        <f>IF($A16="","",SUMIFS(전표_원본!$P$5:$P$100000,전표_원본!$O$5:$O$100000,$A16,전표_원본!$M$5:$M$100000,W$5))</f>
        <v/>
      </c>
      <c r="X16" s="35">
        <f>IF($A16="","",SUMIFS(전표_원본!$P$5:$P$100000,전표_원본!$O$5:$O$100000,$A16,전표_원본!$M$5:$M$100000,X$5))</f>
        <v/>
      </c>
      <c r="Y16" s="35">
        <f>IF($A16="","",SUMIFS(전표_원본!$P$5:$P$100000,전표_원본!$O$5:$O$100000,$A16,전표_원본!$M$5:$M$100000,Y$5))</f>
        <v/>
      </c>
      <c r="Z16" s="35">
        <f>IF($A16="","",SUMIFS(전표_원본!$P$5:$P$100000,전표_원본!$O$5:$O$100000,$A16,전표_원본!$M$5:$M$100000,Z$5))</f>
        <v/>
      </c>
      <c r="AB16" s="40">
        <f>IF(OR($A16="",1&gt;설정!$C$7),0,SUMIFS($C16:$Z16,$C$5:$Z$5,"&gt;="&amp;(설정!$C$6*12+1),$C$5:$Z$5,"&lt;="&amp;(설정!$C$6*12+1)))</f>
        <v/>
      </c>
      <c r="AC16" s="40">
        <f>IF(OR($A16="",2&gt;설정!$C$7),0,SUMIFS($C16:$Z16,$C$5:$Z$5,"&gt;="&amp;(설정!$C$6*12+1),$C$5:$Z$5,"&lt;="&amp;(설정!$C$6*12+2)))</f>
        <v/>
      </c>
      <c r="AD16" s="40">
        <f>IF(OR($A16="",3&gt;설정!$C$7),0,SUMIFS($C16:$Z16,$C$5:$Z$5,"&gt;="&amp;(설정!$C$6*12+1),$C$5:$Z$5,"&lt;="&amp;(설정!$C$6*12+3)))</f>
        <v/>
      </c>
      <c r="AE16" s="40">
        <f>IF(OR($A16="",4&gt;설정!$C$7),0,SUMIFS($C16:$Z16,$C$5:$Z$5,"&gt;="&amp;(설정!$C$6*12+1),$C$5:$Z$5,"&lt;="&amp;(설정!$C$6*12+4)))</f>
        <v/>
      </c>
      <c r="AF16" s="40">
        <f>IF(OR($A16="",5&gt;설정!$C$7),0,SUMIFS($C16:$Z16,$C$5:$Z$5,"&gt;="&amp;(설정!$C$6*12+1),$C$5:$Z$5,"&lt;="&amp;(설정!$C$6*12+5)))</f>
        <v/>
      </c>
      <c r="AG16" s="40">
        <f>IF(OR($A16="",6&gt;설정!$C$7),0,SUMIFS($C16:$Z16,$C$5:$Z$5,"&gt;="&amp;(설정!$C$6*12+1),$C$5:$Z$5,"&lt;="&amp;(설정!$C$6*12+6)))</f>
        <v/>
      </c>
      <c r="AH16" s="40">
        <f>IF(OR($A16="",7&gt;설정!$C$7),0,SUMIFS($C16:$Z16,$C$5:$Z$5,"&gt;="&amp;(설정!$C$6*12+1),$C$5:$Z$5,"&lt;="&amp;(설정!$C$6*12+7)))</f>
        <v/>
      </c>
      <c r="AI16" s="40">
        <f>IF(OR($A16="",8&gt;설정!$C$7),0,SUMIFS($C16:$Z16,$C$5:$Z$5,"&gt;="&amp;(설정!$C$6*12+1),$C$5:$Z$5,"&lt;="&amp;(설정!$C$6*12+8)))</f>
        <v/>
      </c>
      <c r="AJ16" s="40">
        <f>IF(OR($A16="",9&gt;설정!$C$7),0,SUMIFS($C16:$Z16,$C$5:$Z$5,"&gt;="&amp;(설정!$C$6*12+1),$C$5:$Z$5,"&lt;="&amp;(설정!$C$6*12+9)))</f>
        <v/>
      </c>
      <c r="AK16" s="40">
        <f>IF(OR($A16="",10&gt;설정!$C$7),0,SUMIFS($C16:$Z16,$C$5:$Z$5,"&gt;="&amp;(설정!$C$6*12+1),$C$5:$Z$5,"&lt;="&amp;(설정!$C$6*12+10)))</f>
        <v/>
      </c>
      <c r="AL16" s="40">
        <f>IF(OR($A16="",11&gt;설정!$C$7),0,SUMIFS($C16:$Z16,$C$5:$Z$5,"&gt;="&amp;(설정!$C$6*12+1),$C$5:$Z$5,"&lt;="&amp;(설정!$C$6*12+11)))</f>
        <v/>
      </c>
      <c r="AM16" s="40">
        <f>IF(OR($A16="",12&gt;설정!$C$7),0,SUMIFS($C16:$Z16,$C$5:$Z$5,"&gt;="&amp;(설정!$C$6*12+1),$C$5:$Z$5,"&lt;="&amp;(설정!$C$6*12+12)))</f>
        <v/>
      </c>
    </row>
    <row r="17">
      <c r="A17" s="26">
        <f>IF(변동분석!$A17="","",변동분석!$E17)</f>
        <v/>
      </c>
      <c r="B17" s="26">
        <f>IF($A17="","",변동분석!$B17&amp;" "&amp;변동분석!$D17)</f>
        <v/>
      </c>
      <c r="C17" s="35">
        <f>IF($A17="","",SUMIFS(전표_원본!$P$5:$P$100000,전표_원본!$O$5:$O$100000,$A17,전표_원본!$M$5:$M$100000,C$5))</f>
        <v/>
      </c>
      <c r="D17" s="35">
        <f>IF($A17="","",SUMIFS(전표_원본!$P$5:$P$100000,전표_원본!$O$5:$O$100000,$A17,전표_원본!$M$5:$M$100000,D$5))</f>
        <v/>
      </c>
      <c r="E17" s="35">
        <f>IF($A17="","",SUMIFS(전표_원본!$P$5:$P$100000,전표_원본!$O$5:$O$100000,$A17,전표_원본!$M$5:$M$100000,E$5))</f>
        <v/>
      </c>
      <c r="F17" s="35">
        <f>IF($A17="","",SUMIFS(전표_원본!$P$5:$P$100000,전표_원본!$O$5:$O$100000,$A17,전표_원본!$M$5:$M$100000,F$5))</f>
        <v/>
      </c>
      <c r="G17" s="35">
        <f>IF($A17="","",SUMIFS(전표_원본!$P$5:$P$100000,전표_원본!$O$5:$O$100000,$A17,전표_원본!$M$5:$M$100000,G$5))</f>
        <v/>
      </c>
      <c r="H17" s="35">
        <f>IF($A17="","",SUMIFS(전표_원본!$P$5:$P$100000,전표_원본!$O$5:$O$100000,$A17,전표_원본!$M$5:$M$100000,H$5))</f>
        <v/>
      </c>
      <c r="I17" s="35">
        <f>IF($A17="","",SUMIFS(전표_원본!$P$5:$P$100000,전표_원본!$O$5:$O$100000,$A17,전표_원본!$M$5:$M$100000,I$5))</f>
        <v/>
      </c>
      <c r="J17" s="35">
        <f>IF($A17="","",SUMIFS(전표_원본!$P$5:$P$100000,전표_원본!$O$5:$O$100000,$A17,전표_원본!$M$5:$M$100000,J$5))</f>
        <v/>
      </c>
      <c r="K17" s="35">
        <f>IF($A17="","",SUMIFS(전표_원본!$P$5:$P$100000,전표_원본!$O$5:$O$100000,$A17,전표_원본!$M$5:$M$100000,K$5))</f>
        <v/>
      </c>
      <c r="L17" s="35">
        <f>IF($A17="","",SUMIFS(전표_원본!$P$5:$P$100000,전표_원본!$O$5:$O$100000,$A17,전표_원본!$M$5:$M$100000,L$5))</f>
        <v/>
      </c>
      <c r="M17" s="35">
        <f>IF($A17="","",SUMIFS(전표_원본!$P$5:$P$100000,전표_원본!$O$5:$O$100000,$A17,전표_원본!$M$5:$M$100000,M$5))</f>
        <v/>
      </c>
      <c r="N17" s="35">
        <f>IF($A17="","",SUMIFS(전표_원본!$P$5:$P$100000,전표_원본!$O$5:$O$100000,$A17,전표_원본!$M$5:$M$100000,N$5))</f>
        <v/>
      </c>
      <c r="O17" s="35">
        <f>IF($A17="","",SUMIFS(전표_원본!$P$5:$P$100000,전표_원본!$O$5:$O$100000,$A17,전표_원본!$M$5:$M$100000,O$5))</f>
        <v/>
      </c>
      <c r="P17" s="35">
        <f>IF($A17="","",SUMIFS(전표_원본!$P$5:$P$100000,전표_원본!$O$5:$O$100000,$A17,전표_원본!$M$5:$M$100000,P$5))</f>
        <v/>
      </c>
      <c r="Q17" s="35">
        <f>IF($A17="","",SUMIFS(전표_원본!$P$5:$P$100000,전표_원본!$O$5:$O$100000,$A17,전표_원본!$M$5:$M$100000,Q$5))</f>
        <v/>
      </c>
      <c r="R17" s="35">
        <f>IF($A17="","",SUMIFS(전표_원본!$P$5:$P$100000,전표_원본!$O$5:$O$100000,$A17,전표_원본!$M$5:$M$100000,R$5))</f>
        <v/>
      </c>
      <c r="S17" s="35">
        <f>IF($A17="","",SUMIFS(전표_원본!$P$5:$P$100000,전표_원본!$O$5:$O$100000,$A17,전표_원본!$M$5:$M$100000,S$5))</f>
        <v/>
      </c>
      <c r="T17" s="35">
        <f>IF($A17="","",SUMIFS(전표_원본!$P$5:$P$100000,전표_원본!$O$5:$O$100000,$A17,전표_원본!$M$5:$M$100000,T$5))</f>
        <v/>
      </c>
      <c r="U17" s="35">
        <f>IF($A17="","",SUMIFS(전표_원본!$P$5:$P$100000,전표_원본!$O$5:$O$100000,$A17,전표_원본!$M$5:$M$100000,U$5))</f>
        <v/>
      </c>
      <c r="V17" s="35">
        <f>IF($A17="","",SUMIFS(전표_원본!$P$5:$P$100000,전표_원본!$O$5:$O$100000,$A17,전표_원본!$M$5:$M$100000,V$5))</f>
        <v/>
      </c>
      <c r="W17" s="35">
        <f>IF($A17="","",SUMIFS(전표_원본!$P$5:$P$100000,전표_원본!$O$5:$O$100000,$A17,전표_원본!$M$5:$M$100000,W$5))</f>
        <v/>
      </c>
      <c r="X17" s="35">
        <f>IF($A17="","",SUMIFS(전표_원본!$P$5:$P$100000,전표_원본!$O$5:$O$100000,$A17,전표_원본!$M$5:$M$100000,X$5))</f>
        <v/>
      </c>
      <c r="Y17" s="35">
        <f>IF($A17="","",SUMIFS(전표_원본!$P$5:$P$100000,전표_원본!$O$5:$O$100000,$A17,전표_원본!$M$5:$M$100000,Y$5))</f>
        <v/>
      </c>
      <c r="Z17" s="35">
        <f>IF($A17="","",SUMIFS(전표_원본!$P$5:$P$100000,전표_원본!$O$5:$O$100000,$A17,전표_원본!$M$5:$M$100000,Z$5))</f>
        <v/>
      </c>
      <c r="AB17" s="40">
        <f>IF(OR($A17="",1&gt;설정!$C$7),0,SUMIFS($C17:$Z17,$C$5:$Z$5,"&gt;="&amp;(설정!$C$6*12+1),$C$5:$Z$5,"&lt;="&amp;(설정!$C$6*12+1)))</f>
        <v/>
      </c>
      <c r="AC17" s="40">
        <f>IF(OR($A17="",2&gt;설정!$C$7),0,SUMIFS($C17:$Z17,$C$5:$Z$5,"&gt;="&amp;(설정!$C$6*12+1),$C$5:$Z$5,"&lt;="&amp;(설정!$C$6*12+2)))</f>
        <v/>
      </c>
      <c r="AD17" s="40">
        <f>IF(OR($A17="",3&gt;설정!$C$7),0,SUMIFS($C17:$Z17,$C$5:$Z$5,"&gt;="&amp;(설정!$C$6*12+1),$C$5:$Z$5,"&lt;="&amp;(설정!$C$6*12+3)))</f>
        <v/>
      </c>
      <c r="AE17" s="40">
        <f>IF(OR($A17="",4&gt;설정!$C$7),0,SUMIFS($C17:$Z17,$C$5:$Z$5,"&gt;="&amp;(설정!$C$6*12+1),$C$5:$Z$5,"&lt;="&amp;(설정!$C$6*12+4)))</f>
        <v/>
      </c>
      <c r="AF17" s="40">
        <f>IF(OR($A17="",5&gt;설정!$C$7),0,SUMIFS($C17:$Z17,$C$5:$Z$5,"&gt;="&amp;(설정!$C$6*12+1),$C$5:$Z$5,"&lt;="&amp;(설정!$C$6*12+5)))</f>
        <v/>
      </c>
      <c r="AG17" s="40">
        <f>IF(OR($A17="",6&gt;설정!$C$7),0,SUMIFS($C17:$Z17,$C$5:$Z$5,"&gt;="&amp;(설정!$C$6*12+1),$C$5:$Z$5,"&lt;="&amp;(설정!$C$6*12+6)))</f>
        <v/>
      </c>
      <c r="AH17" s="40">
        <f>IF(OR($A17="",7&gt;설정!$C$7),0,SUMIFS($C17:$Z17,$C$5:$Z$5,"&gt;="&amp;(설정!$C$6*12+1),$C$5:$Z$5,"&lt;="&amp;(설정!$C$6*12+7)))</f>
        <v/>
      </c>
      <c r="AI17" s="40">
        <f>IF(OR($A17="",8&gt;설정!$C$7),0,SUMIFS($C17:$Z17,$C$5:$Z$5,"&gt;="&amp;(설정!$C$6*12+1),$C$5:$Z$5,"&lt;="&amp;(설정!$C$6*12+8)))</f>
        <v/>
      </c>
      <c r="AJ17" s="40">
        <f>IF(OR($A17="",9&gt;설정!$C$7),0,SUMIFS($C17:$Z17,$C$5:$Z$5,"&gt;="&amp;(설정!$C$6*12+1),$C$5:$Z$5,"&lt;="&amp;(설정!$C$6*12+9)))</f>
        <v/>
      </c>
      <c r="AK17" s="40">
        <f>IF(OR($A17="",10&gt;설정!$C$7),0,SUMIFS($C17:$Z17,$C$5:$Z$5,"&gt;="&amp;(설정!$C$6*12+1),$C$5:$Z$5,"&lt;="&amp;(설정!$C$6*12+10)))</f>
        <v/>
      </c>
      <c r="AL17" s="40">
        <f>IF(OR($A17="",11&gt;설정!$C$7),0,SUMIFS($C17:$Z17,$C$5:$Z$5,"&gt;="&amp;(설정!$C$6*12+1),$C$5:$Z$5,"&lt;="&amp;(설정!$C$6*12+11)))</f>
        <v/>
      </c>
      <c r="AM17" s="40">
        <f>IF(OR($A17="",12&gt;설정!$C$7),0,SUMIFS($C17:$Z17,$C$5:$Z$5,"&gt;="&amp;(설정!$C$6*12+1),$C$5:$Z$5,"&lt;="&amp;(설정!$C$6*12+12)))</f>
        <v/>
      </c>
    </row>
    <row r="18">
      <c r="A18" s="26">
        <f>IF(변동분석!$A18="","",변동분석!$E18)</f>
        <v/>
      </c>
      <c r="B18" s="26">
        <f>IF($A18="","",변동분석!$B18&amp;" "&amp;변동분석!$D18)</f>
        <v/>
      </c>
      <c r="C18" s="35">
        <f>IF($A18="","",SUMIFS(전표_원본!$P$5:$P$100000,전표_원본!$O$5:$O$100000,$A18,전표_원본!$M$5:$M$100000,C$5))</f>
        <v/>
      </c>
      <c r="D18" s="35">
        <f>IF($A18="","",SUMIFS(전표_원본!$P$5:$P$100000,전표_원본!$O$5:$O$100000,$A18,전표_원본!$M$5:$M$100000,D$5))</f>
        <v/>
      </c>
      <c r="E18" s="35">
        <f>IF($A18="","",SUMIFS(전표_원본!$P$5:$P$100000,전표_원본!$O$5:$O$100000,$A18,전표_원본!$M$5:$M$100000,E$5))</f>
        <v/>
      </c>
      <c r="F18" s="35">
        <f>IF($A18="","",SUMIFS(전표_원본!$P$5:$P$100000,전표_원본!$O$5:$O$100000,$A18,전표_원본!$M$5:$M$100000,F$5))</f>
        <v/>
      </c>
      <c r="G18" s="35">
        <f>IF($A18="","",SUMIFS(전표_원본!$P$5:$P$100000,전표_원본!$O$5:$O$100000,$A18,전표_원본!$M$5:$M$100000,G$5))</f>
        <v/>
      </c>
      <c r="H18" s="35">
        <f>IF($A18="","",SUMIFS(전표_원본!$P$5:$P$100000,전표_원본!$O$5:$O$100000,$A18,전표_원본!$M$5:$M$100000,H$5))</f>
        <v/>
      </c>
      <c r="I18" s="35">
        <f>IF($A18="","",SUMIFS(전표_원본!$P$5:$P$100000,전표_원본!$O$5:$O$100000,$A18,전표_원본!$M$5:$M$100000,I$5))</f>
        <v/>
      </c>
      <c r="J18" s="35">
        <f>IF($A18="","",SUMIFS(전표_원본!$P$5:$P$100000,전표_원본!$O$5:$O$100000,$A18,전표_원본!$M$5:$M$100000,J$5))</f>
        <v/>
      </c>
      <c r="K18" s="35">
        <f>IF($A18="","",SUMIFS(전표_원본!$P$5:$P$100000,전표_원본!$O$5:$O$100000,$A18,전표_원본!$M$5:$M$100000,K$5))</f>
        <v/>
      </c>
      <c r="L18" s="35">
        <f>IF($A18="","",SUMIFS(전표_원본!$P$5:$P$100000,전표_원본!$O$5:$O$100000,$A18,전표_원본!$M$5:$M$100000,L$5))</f>
        <v/>
      </c>
      <c r="M18" s="35">
        <f>IF($A18="","",SUMIFS(전표_원본!$P$5:$P$100000,전표_원본!$O$5:$O$100000,$A18,전표_원본!$M$5:$M$100000,M$5))</f>
        <v/>
      </c>
      <c r="N18" s="35">
        <f>IF($A18="","",SUMIFS(전표_원본!$P$5:$P$100000,전표_원본!$O$5:$O$100000,$A18,전표_원본!$M$5:$M$100000,N$5))</f>
        <v/>
      </c>
      <c r="O18" s="35">
        <f>IF($A18="","",SUMIFS(전표_원본!$P$5:$P$100000,전표_원본!$O$5:$O$100000,$A18,전표_원본!$M$5:$M$100000,O$5))</f>
        <v/>
      </c>
      <c r="P18" s="35">
        <f>IF($A18="","",SUMIFS(전표_원본!$P$5:$P$100000,전표_원본!$O$5:$O$100000,$A18,전표_원본!$M$5:$M$100000,P$5))</f>
        <v/>
      </c>
      <c r="Q18" s="35">
        <f>IF($A18="","",SUMIFS(전표_원본!$P$5:$P$100000,전표_원본!$O$5:$O$100000,$A18,전표_원본!$M$5:$M$100000,Q$5))</f>
        <v/>
      </c>
      <c r="R18" s="35">
        <f>IF($A18="","",SUMIFS(전표_원본!$P$5:$P$100000,전표_원본!$O$5:$O$100000,$A18,전표_원본!$M$5:$M$100000,R$5))</f>
        <v/>
      </c>
      <c r="S18" s="35">
        <f>IF($A18="","",SUMIFS(전표_원본!$P$5:$P$100000,전표_원본!$O$5:$O$100000,$A18,전표_원본!$M$5:$M$100000,S$5))</f>
        <v/>
      </c>
      <c r="T18" s="35">
        <f>IF($A18="","",SUMIFS(전표_원본!$P$5:$P$100000,전표_원본!$O$5:$O$100000,$A18,전표_원본!$M$5:$M$100000,T$5))</f>
        <v/>
      </c>
      <c r="U18" s="35">
        <f>IF($A18="","",SUMIFS(전표_원본!$P$5:$P$100000,전표_원본!$O$5:$O$100000,$A18,전표_원본!$M$5:$M$100000,U$5))</f>
        <v/>
      </c>
      <c r="V18" s="35">
        <f>IF($A18="","",SUMIFS(전표_원본!$P$5:$P$100000,전표_원본!$O$5:$O$100000,$A18,전표_원본!$M$5:$M$100000,V$5))</f>
        <v/>
      </c>
      <c r="W18" s="35">
        <f>IF($A18="","",SUMIFS(전표_원본!$P$5:$P$100000,전표_원본!$O$5:$O$100000,$A18,전표_원본!$M$5:$M$100000,W$5))</f>
        <v/>
      </c>
      <c r="X18" s="35">
        <f>IF($A18="","",SUMIFS(전표_원본!$P$5:$P$100000,전표_원본!$O$5:$O$100000,$A18,전표_원본!$M$5:$M$100000,X$5))</f>
        <v/>
      </c>
      <c r="Y18" s="35">
        <f>IF($A18="","",SUMIFS(전표_원본!$P$5:$P$100000,전표_원본!$O$5:$O$100000,$A18,전표_원본!$M$5:$M$100000,Y$5))</f>
        <v/>
      </c>
      <c r="Z18" s="35">
        <f>IF($A18="","",SUMIFS(전표_원본!$P$5:$P$100000,전표_원본!$O$5:$O$100000,$A18,전표_원본!$M$5:$M$100000,Z$5))</f>
        <v/>
      </c>
      <c r="AB18" s="40">
        <f>IF(OR($A18="",1&gt;설정!$C$7),0,SUMIFS($C18:$Z18,$C$5:$Z$5,"&gt;="&amp;(설정!$C$6*12+1),$C$5:$Z$5,"&lt;="&amp;(설정!$C$6*12+1)))</f>
        <v/>
      </c>
      <c r="AC18" s="40">
        <f>IF(OR($A18="",2&gt;설정!$C$7),0,SUMIFS($C18:$Z18,$C$5:$Z$5,"&gt;="&amp;(설정!$C$6*12+1),$C$5:$Z$5,"&lt;="&amp;(설정!$C$6*12+2)))</f>
        <v/>
      </c>
      <c r="AD18" s="40">
        <f>IF(OR($A18="",3&gt;설정!$C$7),0,SUMIFS($C18:$Z18,$C$5:$Z$5,"&gt;="&amp;(설정!$C$6*12+1),$C$5:$Z$5,"&lt;="&amp;(설정!$C$6*12+3)))</f>
        <v/>
      </c>
      <c r="AE18" s="40">
        <f>IF(OR($A18="",4&gt;설정!$C$7),0,SUMIFS($C18:$Z18,$C$5:$Z$5,"&gt;="&amp;(설정!$C$6*12+1),$C$5:$Z$5,"&lt;="&amp;(설정!$C$6*12+4)))</f>
        <v/>
      </c>
      <c r="AF18" s="40">
        <f>IF(OR($A18="",5&gt;설정!$C$7),0,SUMIFS($C18:$Z18,$C$5:$Z$5,"&gt;="&amp;(설정!$C$6*12+1),$C$5:$Z$5,"&lt;="&amp;(설정!$C$6*12+5)))</f>
        <v/>
      </c>
      <c r="AG18" s="40">
        <f>IF(OR($A18="",6&gt;설정!$C$7),0,SUMIFS($C18:$Z18,$C$5:$Z$5,"&gt;="&amp;(설정!$C$6*12+1),$C$5:$Z$5,"&lt;="&amp;(설정!$C$6*12+6)))</f>
        <v/>
      </c>
      <c r="AH18" s="40">
        <f>IF(OR($A18="",7&gt;설정!$C$7),0,SUMIFS($C18:$Z18,$C$5:$Z$5,"&gt;="&amp;(설정!$C$6*12+1),$C$5:$Z$5,"&lt;="&amp;(설정!$C$6*12+7)))</f>
        <v/>
      </c>
      <c r="AI18" s="40">
        <f>IF(OR($A18="",8&gt;설정!$C$7),0,SUMIFS($C18:$Z18,$C$5:$Z$5,"&gt;="&amp;(설정!$C$6*12+1),$C$5:$Z$5,"&lt;="&amp;(설정!$C$6*12+8)))</f>
        <v/>
      </c>
      <c r="AJ18" s="40">
        <f>IF(OR($A18="",9&gt;설정!$C$7),0,SUMIFS($C18:$Z18,$C$5:$Z$5,"&gt;="&amp;(설정!$C$6*12+1),$C$5:$Z$5,"&lt;="&amp;(설정!$C$6*12+9)))</f>
        <v/>
      </c>
      <c r="AK18" s="40">
        <f>IF(OR($A18="",10&gt;설정!$C$7),0,SUMIFS($C18:$Z18,$C$5:$Z$5,"&gt;="&amp;(설정!$C$6*12+1),$C$5:$Z$5,"&lt;="&amp;(설정!$C$6*12+10)))</f>
        <v/>
      </c>
      <c r="AL18" s="40">
        <f>IF(OR($A18="",11&gt;설정!$C$7),0,SUMIFS($C18:$Z18,$C$5:$Z$5,"&gt;="&amp;(설정!$C$6*12+1),$C$5:$Z$5,"&lt;="&amp;(설정!$C$6*12+11)))</f>
        <v/>
      </c>
      <c r="AM18" s="40">
        <f>IF(OR($A18="",12&gt;설정!$C$7),0,SUMIFS($C18:$Z18,$C$5:$Z$5,"&gt;="&amp;(설정!$C$6*12+1),$C$5:$Z$5,"&lt;="&amp;(설정!$C$6*12+12)))</f>
        <v/>
      </c>
    </row>
    <row r="19">
      <c r="A19" s="26">
        <f>IF(변동분석!$A19="","",변동분석!$E19)</f>
        <v/>
      </c>
      <c r="B19" s="26">
        <f>IF($A19="","",변동분석!$B19&amp;" "&amp;변동분석!$D19)</f>
        <v/>
      </c>
      <c r="C19" s="35">
        <f>IF($A19="","",SUMIFS(전표_원본!$P$5:$P$100000,전표_원본!$O$5:$O$100000,$A19,전표_원본!$M$5:$M$100000,C$5))</f>
        <v/>
      </c>
      <c r="D19" s="35">
        <f>IF($A19="","",SUMIFS(전표_원본!$P$5:$P$100000,전표_원본!$O$5:$O$100000,$A19,전표_원본!$M$5:$M$100000,D$5))</f>
        <v/>
      </c>
      <c r="E19" s="35">
        <f>IF($A19="","",SUMIFS(전표_원본!$P$5:$P$100000,전표_원본!$O$5:$O$100000,$A19,전표_원본!$M$5:$M$100000,E$5))</f>
        <v/>
      </c>
      <c r="F19" s="35">
        <f>IF($A19="","",SUMIFS(전표_원본!$P$5:$P$100000,전표_원본!$O$5:$O$100000,$A19,전표_원본!$M$5:$M$100000,F$5))</f>
        <v/>
      </c>
      <c r="G19" s="35">
        <f>IF($A19="","",SUMIFS(전표_원본!$P$5:$P$100000,전표_원본!$O$5:$O$100000,$A19,전표_원본!$M$5:$M$100000,G$5))</f>
        <v/>
      </c>
      <c r="H19" s="35">
        <f>IF($A19="","",SUMIFS(전표_원본!$P$5:$P$100000,전표_원본!$O$5:$O$100000,$A19,전표_원본!$M$5:$M$100000,H$5))</f>
        <v/>
      </c>
      <c r="I19" s="35">
        <f>IF($A19="","",SUMIFS(전표_원본!$P$5:$P$100000,전표_원본!$O$5:$O$100000,$A19,전표_원본!$M$5:$M$100000,I$5))</f>
        <v/>
      </c>
      <c r="J19" s="35">
        <f>IF($A19="","",SUMIFS(전표_원본!$P$5:$P$100000,전표_원본!$O$5:$O$100000,$A19,전표_원본!$M$5:$M$100000,J$5))</f>
        <v/>
      </c>
      <c r="K19" s="35">
        <f>IF($A19="","",SUMIFS(전표_원본!$P$5:$P$100000,전표_원본!$O$5:$O$100000,$A19,전표_원본!$M$5:$M$100000,K$5))</f>
        <v/>
      </c>
      <c r="L19" s="35">
        <f>IF($A19="","",SUMIFS(전표_원본!$P$5:$P$100000,전표_원본!$O$5:$O$100000,$A19,전표_원본!$M$5:$M$100000,L$5))</f>
        <v/>
      </c>
      <c r="M19" s="35">
        <f>IF($A19="","",SUMIFS(전표_원본!$P$5:$P$100000,전표_원본!$O$5:$O$100000,$A19,전표_원본!$M$5:$M$100000,M$5))</f>
        <v/>
      </c>
      <c r="N19" s="35">
        <f>IF($A19="","",SUMIFS(전표_원본!$P$5:$P$100000,전표_원본!$O$5:$O$100000,$A19,전표_원본!$M$5:$M$100000,N$5))</f>
        <v/>
      </c>
      <c r="O19" s="35">
        <f>IF($A19="","",SUMIFS(전표_원본!$P$5:$P$100000,전표_원본!$O$5:$O$100000,$A19,전표_원본!$M$5:$M$100000,O$5))</f>
        <v/>
      </c>
      <c r="P19" s="35">
        <f>IF($A19="","",SUMIFS(전표_원본!$P$5:$P$100000,전표_원본!$O$5:$O$100000,$A19,전표_원본!$M$5:$M$100000,P$5))</f>
        <v/>
      </c>
      <c r="Q19" s="35">
        <f>IF($A19="","",SUMIFS(전표_원본!$P$5:$P$100000,전표_원본!$O$5:$O$100000,$A19,전표_원본!$M$5:$M$100000,Q$5))</f>
        <v/>
      </c>
      <c r="R19" s="35">
        <f>IF($A19="","",SUMIFS(전표_원본!$P$5:$P$100000,전표_원본!$O$5:$O$100000,$A19,전표_원본!$M$5:$M$100000,R$5))</f>
        <v/>
      </c>
      <c r="S19" s="35">
        <f>IF($A19="","",SUMIFS(전표_원본!$P$5:$P$100000,전표_원본!$O$5:$O$100000,$A19,전표_원본!$M$5:$M$100000,S$5))</f>
        <v/>
      </c>
      <c r="T19" s="35">
        <f>IF($A19="","",SUMIFS(전표_원본!$P$5:$P$100000,전표_원본!$O$5:$O$100000,$A19,전표_원본!$M$5:$M$100000,T$5))</f>
        <v/>
      </c>
      <c r="U19" s="35">
        <f>IF($A19="","",SUMIFS(전표_원본!$P$5:$P$100000,전표_원본!$O$5:$O$100000,$A19,전표_원본!$M$5:$M$100000,U$5))</f>
        <v/>
      </c>
      <c r="V19" s="35">
        <f>IF($A19="","",SUMIFS(전표_원본!$P$5:$P$100000,전표_원본!$O$5:$O$100000,$A19,전표_원본!$M$5:$M$100000,V$5))</f>
        <v/>
      </c>
      <c r="W19" s="35">
        <f>IF($A19="","",SUMIFS(전표_원본!$P$5:$P$100000,전표_원본!$O$5:$O$100000,$A19,전표_원본!$M$5:$M$100000,W$5))</f>
        <v/>
      </c>
      <c r="X19" s="35">
        <f>IF($A19="","",SUMIFS(전표_원본!$P$5:$P$100000,전표_원본!$O$5:$O$100000,$A19,전표_원본!$M$5:$M$100000,X$5))</f>
        <v/>
      </c>
      <c r="Y19" s="35">
        <f>IF($A19="","",SUMIFS(전표_원본!$P$5:$P$100000,전표_원본!$O$5:$O$100000,$A19,전표_원본!$M$5:$M$100000,Y$5))</f>
        <v/>
      </c>
      <c r="Z19" s="35">
        <f>IF($A19="","",SUMIFS(전표_원본!$P$5:$P$100000,전표_원본!$O$5:$O$100000,$A19,전표_원본!$M$5:$M$100000,Z$5))</f>
        <v/>
      </c>
      <c r="AB19" s="40">
        <f>IF(OR($A19="",1&gt;설정!$C$7),0,SUMIFS($C19:$Z19,$C$5:$Z$5,"&gt;="&amp;(설정!$C$6*12+1),$C$5:$Z$5,"&lt;="&amp;(설정!$C$6*12+1)))</f>
        <v/>
      </c>
      <c r="AC19" s="40">
        <f>IF(OR($A19="",2&gt;설정!$C$7),0,SUMIFS($C19:$Z19,$C$5:$Z$5,"&gt;="&amp;(설정!$C$6*12+1),$C$5:$Z$5,"&lt;="&amp;(설정!$C$6*12+2)))</f>
        <v/>
      </c>
      <c r="AD19" s="40">
        <f>IF(OR($A19="",3&gt;설정!$C$7),0,SUMIFS($C19:$Z19,$C$5:$Z$5,"&gt;="&amp;(설정!$C$6*12+1),$C$5:$Z$5,"&lt;="&amp;(설정!$C$6*12+3)))</f>
        <v/>
      </c>
      <c r="AE19" s="40">
        <f>IF(OR($A19="",4&gt;설정!$C$7),0,SUMIFS($C19:$Z19,$C$5:$Z$5,"&gt;="&amp;(설정!$C$6*12+1),$C$5:$Z$5,"&lt;="&amp;(설정!$C$6*12+4)))</f>
        <v/>
      </c>
      <c r="AF19" s="40">
        <f>IF(OR($A19="",5&gt;설정!$C$7),0,SUMIFS($C19:$Z19,$C$5:$Z$5,"&gt;="&amp;(설정!$C$6*12+1),$C$5:$Z$5,"&lt;="&amp;(설정!$C$6*12+5)))</f>
        <v/>
      </c>
      <c r="AG19" s="40">
        <f>IF(OR($A19="",6&gt;설정!$C$7),0,SUMIFS($C19:$Z19,$C$5:$Z$5,"&gt;="&amp;(설정!$C$6*12+1),$C$5:$Z$5,"&lt;="&amp;(설정!$C$6*12+6)))</f>
        <v/>
      </c>
      <c r="AH19" s="40">
        <f>IF(OR($A19="",7&gt;설정!$C$7),0,SUMIFS($C19:$Z19,$C$5:$Z$5,"&gt;="&amp;(설정!$C$6*12+1),$C$5:$Z$5,"&lt;="&amp;(설정!$C$6*12+7)))</f>
        <v/>
      </c>
      <c r="AI19" s="40">
        <f>IF(OR($A19="",8&gt;설정!$C$7),0,SUMIFS($C19:$Z19,$C$5:$Z$5,"&gt;="&amp;(설정!$C$6*12+1),$C$5:$Z$5,"&lt;="&amp;(설정!$C$6*12+8)))</f>
        <v/>
      </c>
      <c r="AJ19" s="40">
        <f>IF(OR($A19="",9&gt;설정!$C$7),0,SUMIFS($C19:$Z19,$C$5:$Z$5,"&gt;="&amp;(설정!$C$6*12+1),$C$5:$Z$5,"&lt;="&amp;(설정!$C$6*12+9)))</f>
        <v/>
      </c>
      <c r="AK19" s="40">
        <f>IF(OR($A19="",10&gt;설정!$C$7),0,SUMIFS($C19:$Z19,$C$5:$Z$5,"&gt;="&amp;(설정!$C$6*12+1),$C$5:$Z$5,"&lt;="&amp;(설정!$C$6*12+10)))</f>
        <v/>
      </c>
      <c r="AL19" s="40">
        <f>IF(OR($A19="",11&gt;설정!$C$7),0,SUMIFS($C19:$Z19,$C$5:$Z$5,"&gt;="&amp;(설정!$C$6*12+1),$C$5:$Z$5,"&lt;="&amp;(설정!$C$6*12+11)))</f>
        <v/>
      </c>
      <c r="AM19" s="40">
        <f>IF(OR($A19="",12&gt;설정!$C$7),0,SUMIFS($C19:$Z19,$C$5:$Z$5,"&gt;="&amp;(설정!$C$6*12+1),$C$5:$Z$5,"&lt;="&amp;(설정!$C$6*12+12)))</f>
        <v/>
      </c>
    </row>
    <row r="20">
      <c r="A20" s="26">
        <f>IF(변동분석!$A20="","",변동분석!$E20)</f>
        <v/>
      </c>
      <c r="B20" s="26">
        <f>IF($A20="","",변동분석!$B20&amp;" "&amp;변동분석!$D20)</f>
        <v/>
      </c>
      <c r="C20" s="35">
        <f>IF($A20="","",SUMIFS(전표_원본!$P$5:$P$100000,전표_원본!$O$5:$O$100000,$A20,전표_원본!$M$5:$M$100000,C$5))</f>
        <v/>
      </c>
      <c r="D20" s="35">
        <f>IF($A20="","",SUMIFS(전표_원본!$P$5:$P$100000,전표_원본!$O$5:$O$100000,$A20,전표_원본!$M$5:$M$100000,D$5))</f>
        <v/>
      </c>
      <c r="E20" s="35">
        <f>IF($A20="","",SUMIFS(전표_원본!$P$5:$P$100000,전표_원본!$O$5:$O$100000,$A20,전표_원본!$M$5:$M$100000,E$5))</f>
        <v/>
      </c>
      <c r="F20" s="35">
        <f>IF($A20="","",SUMIFS(전표_원본!$P$5:$P$100000,전표_원본!$O$5:$O$100000,$A20,전표_원본!$M$5:$M$100000,F$5))</f>
        <v/>
      </c>
      <c r="G20" s="35">
        <f>IF($A20="","",SUMIFS(전표_원본!$P$5:$P$100000,전표_원본!$O$5:$O$100000,$A20,전표_원본!$M$5:$M$100000,G$5))</f>
        <v/>
      </c>
      <c r="H20" s="35">
        <f>IF($A20="","",SUMIFS(전표_원본!$P$5:$P$100000,전표_원본!$O$5:$O$100000,$A20,전표_원본!$M$5:$M$100000,H$5))</f>
        <v/>
      </c>
      <c r="I20" s="35">
        <f>IF($A20="","",SUMIFS(전표_원본!$P$5:$P$100000,전표_원본!$O$5:$O$100000,$A20,전표_원본!$M$5:$M$100000,I$5))</f>
        <v/>
      </c>
      <c r="J20" s="35">
        <f>IF($A20="","",SUMIFS(전표_원본!$P$5:$P$100000,전표_원본!$O$5:$O$100000,$A20,전표_원본!$M$5:$M$100000,J$5))</f>
        <v/>
      </c>
      <c r="K20" s="35">
        <f>IF($A20="","",SUMIFS(전표_원본!$P$5:$P$100000,전표_원본!$O$5:$O$100000,$A20,전표_원본!$M$5:$M$100000,K$5))</f>
        <v/>
      </c>
      <c r="L20" s="35">
        <f>IF($A20="","",SUMIFS(전표_원본!$P$5:$P$100000,전표_원본!$O$5:$O$100000,$A20,전표_원본!$M$5:$M$100000,L$5))</f>
        <v/>
      </c>
      <c r="M20" s="35">
        <f>IF($A20="","",SUMIFS(전표_원본!$P$5:$P$100000,전표_원본!$O$5:$O$100000,$A20,전표_원본!$M$5:$M$100000,M$5))</f>
        <v/>
      </c>
      <c r="N20" s="35">
        <f>IF($A20="","",SUMIFS(전표_원본!$P$5:$P$100000,전표_원본!$O$5:$O$100000,$A20,전표_원본!$M$5:$M$100000,N$5))</f>
        <v/>
      </c>
      <c r="O20" s="35">
        <f>IF($A20="","",SUMIFS(전표_원본!$P$5:$P$100000,전표_원본!$O$5:$O$100000,$A20,전표_원본!$M$5:$M$100000,O$5))</f>
        <v/>
      </c>
      <c r="P20" s="35">
        <f>IF($A20="","",SUMIFS(전표_원본!$P$5:$P$100000,전표_원본!$O$5:$O$100000,$A20,전표_원본!$M$5:$M$100000,P$5))</f>
        <v/>
      </c>
      <c r="Q20" s="35">
        <f>IF($A20="","",SUMIFS(전표_원본!$P$5:$P$100000,전표_원본!$O$5:$O$100000,$A20,전표_원본!$M$5:$M$100000,Q$5))</f>
        <v/>
      </c>
      <c r="R20" s="35">
        <f>IF($A20="","",SUMIFS(전표_원본!$P$5:$P$100000,전표_원본!$O$5:$O$100000,$A20,전표_원본!$M$5:$M$100000,R$5))</f>
        <v/>
      </c>
      <c r="S20" s="35">
        <f>IF($A20="","",SUMIFS(전표_원본!$P$5:$P$100000,전표_원본!$O$5:$O$100000,$A20,전표_원본!$M$5:$M$100000,S$5))</f>
        <v/>
      </c>
      <c r="T20" s="35">
        <f>IF($A20="","",SUMIFS(전표_원본!$P$5:$P$100000,전표_원본!$O$5:$O$100000,$A20,전표_원본!$M$5:$M$100000,T$5))</f>
        <v/>
      </c>
      <c r="U20" s="35">
        <f>IF($A20="","",SUMIFS(전표_원본!$P$5:$P$100000,전표_원본!$O$5:$O$100000,$A20,전표_원본!$M$5:$M$100000,U$5))</f>
        <v/>
      </c>
      <c r="V20" s="35">
        <f>IF($A20="","",SUMIFS(전표_원본!$P$5:$P$100000,전표_원본!$O$5:$O$100000,$A20,전표_원본!$M$5:$M$100000,V$5))</f>
        <v/>
      </c>
      <c r="W20" s="35">
        <f>IF($A20="","",SUMIFS(전표_원본!$P$5:$P$100000,전표_원본!$O$5:$O$100000,$A20,전표_원본!$M$5:$M$100000,W$5))</f>
        <v/>
      </c>
      <c r="X20" s="35">
        <f>IF($A20="","",SUMIFS(전표_원본!$P$5:$P$100000,전표_원본!$O$5:$O$100000,$A20,전표_원본!$M$5:$M$100000,X$5))</f>
        <v/>
      </c>
      <c r="Y20" s="35">
        <f>IF($A20="","",SUMIFS(전표_원본!$P$5:$P$100000,전표_원본!$O$5:$O$100000,$A20,전표_원본!$M$5:$M$100000,Y$5))</f>
        <v/>
      </c>
      <c r="Z20" s="35">
        <f>IF($A20="","",SUMIFS(전표_원본!$P$5:$P$100000,전표_원본!$O$5:$O$100000,$A20,전표_원본!$M$5:$M$100000,Z$5))</f>
        <v/>
      </c>
      <c r="AB20" s="40">
        <f>IF(OR($A20="",1&gt;설정!$C$7),0,SUMIFS($C20:$Z20,$C$5:$Z$5,"&gt;="&amp;(설정!$C$6*12+1),$C$5:$Z$5,"&lt;="&amp;(설정!$C$6*12+1)))</f>
        <v/>
      </c>
      <c r="AC20" s="40">
        <f>IF(OR($A20="",2&gt;설정!$C$7),0,SUMIFS($C20:$Z20,$C$5:$Z$5,"&gt;="&amp;(설정!$C$6*12+1),$C$5:$Z$5,"&lt;="&amp;(설정!$C$6*12+2)))</f>
        <v/>
      </c>
      <c r="AD20" s="40">
        <f>IF(OR($A20="",3&gt;설정!$C$7),0,SUMIFS($C20:$Z20,$C$5:$Z$5,"&gt;="&amp;(설정!$C$6*12+1),$C$5:$Z$5,"&lt;="&amp;(설정!$C$6*12+3)))</f>
        <v/>
      </c>
      <c r="AE20" s="40">
        <f>IF(OR($A20="",4&gt;설정!$C$7),0,SUMIFS($C20:$Z20,$C$5:$Z$5,"&gt;="&amp;(설정!$C$6*12+1),$C$5:$Z$5,"&lt;="&amp;(설정!$C$6*12+4)))</f>
        <v/>
      </c>
      <c r="AF20" s="40">
        <f>IF(OR($A20="",5&gt;설정!$C$7),0,SUMIFS($C20:$Z20,$C$5:$Z$5,"&gt;="&amp;(설정!$C$6*12+1),$C$5:$Z$5,"&lt;="&amp;(설정!$C$6*12+5)))</f>
        <v/>
      </c>
      <c r="AG20" s="40">
        <f>IF(OR($A20="",6&gt;설정!$C$7),0,SUMIFS($C20:$Z20,$C$5:$Z$5,"&gt;="&amp;(설정!$C$6*12+1),$C$5:$Z$5,"&lt;="&amp;(설정!$C$6*12+6)))</f>
        <v/>
      </c>
      <c r="AH20" s="40">
        <f>IF(OR($A20="",7&gt;설정!$C$7),0,SUMIFS($C20:$Z20,$C$5:$Z$5,"&gt;="&amp;(설정!$C$6*12+1),$C$5:$Z$5,"&lt;="&amp;(설정!$C$6*12+7)))</f>
        <v/>
      </c>
      <c r="AI20" s="40">
        <f>IF(OR($A20="",8&gt;설정!$C$7),0,SUMIFS($C20:$Z20,$C$5:$Z$5,"&gt;="&amp;(설정!$C$6*12+1),$C$5:$Z$5,"&lt;="&amp;(설정!$C$6*12+8)))</f>
        <v/>
      </c>
      <c r="AJ20" s="40">
        <f>IF(OR($A20="",9&gt;설정!$C$7),0,SUMIFS($C20:$Z20,$C$5:$Z$5,"&gt;="&amp;(설정!$C$6*12+1),$C$5:$Z$5,"&lt;="&amp;(설정!$C$6*12+9)))</f>
        <v/>
      </c>
      <c r="AK20" s="40">
        <f>IF(OR($A20="",10&gt;설정!$C$7),0,SUMIFS($C20:$Z20,$C$5:$Z$5,"&gt;="&amp;(설정!$C$6*12+1),$C$5:$Z$5,"&lt;="&amp;(설정!$C$6*12+10)))</f>
        <v/>
      </c>
      <c r="AL20" s="40">
        <f>IF(OR($A20="",11&gt;설정!$C$7),0,SUMIFS($C20:$Z20,$C$5:$Z$5,"&gt;="&amp;(설정!$C$6*12+1),$C$5:$Z$5,"&lt;="&amp;(설정!$C$6*12+11)))</f>
        <v/>
      </c>
      <c r="AM20" s="40">
        <f>IF(OR($A20="",12&gt;설정!$C$7),0,SUMIFS($C20:$Z20,$C$5:$Z$5,"&gt;="&amp;(설정!$C$6*12+1),$C$5:$Z$5,"&lt;="&amp;(설정!$C$6*12+12)))</f>
        <v/>
      </c>
    </row>
    <row r="21">
      <c r="A21" s="26">
        <f>IF(변동분석!$A21="","",변동분석!$E21)</f>
        <v/>
      </c>
      <c r="B21" s="26">
        <f>IF($A21="","",변동분석!$B21&amp;" "&amp;변동분석!$D21)</f>
        <v/>
      </c>
      <c r="C21" s="35">
        <f>IF($A21="","",SUMIFS(전표_원본!$P$5:$P$100000,전표_원본!$O$5:$O$100000,$A21,전표_원본!$M$5:$M$100000,C$5))</f>
        <v/>
      </c>
      <c r="D21" s="35">
        <f>IF($A21="","",SUMIFS(전표_원본!$P$5:$P$100000,전표_원본!$O$5:$O$100000,$A21,전표_원본!$M$5:$M$100000,D$5))</f>
        <v/>
      </c>
      <c r="E21" s="35">
        <f>IF($A21="","",SUMIFS(전표_원본!$P$5:$P$100000,전표_원본!$O$5:$O$100000,$A21,전표_원본!$M$5:$M$100000,E$5))</f>
        <v/>
      </c>
      <c r="F21" s="35">
        <f>IF($A21="","",SUMIFS(전표_원본!$P$5:$P$100000,전표_원본!$O$5:$O$100000,$A21,전표_원본!$M$5:$M$100000,F$5))</f>
        <v/>
      </c>
      <c r="G21" s="35">
        <f>IF($A21="","",SUMIFS(전표_원본!$P$5:$P$100000,전표_원본!$O$5:$O$100000,$A21,전표_원본!$M$5:$M$100000,G$5))</f>
        <v/>
      </c>
      <c r="H21" s="35">
        <f>IF($A21="","",SUMIFS(전표_원본!$P$5:$P$100000,전표_원본!$O$5:$O$100000,$A21,전표_원본!$M$5:$M$100000,H$5))</f>
        <v/>
      </c>
      <c r="I21" s="35">
        <f>IF($A21="","",SUMIFS(전표_원본!$P$5:$P$100000,전표_원본!$O$5:$O$100000,$A21,전표_원본!$M$5:$M$100000,I$5))</f>
        <v/>
      </c>
      <c r="J21" s="35">
        <f>IF($A21="","",SUMIFS(전표_원본!$P$5:$P$100000,전표_원본!$O$5:$O$100000,$A21,전표_원본!$M$5:$M$100000,J$5))</f>
        <v/>
      </c>
      <c r="K21" s="35">
        <f>IF($A21="","",SUMIFS(전표_원본!$P$5:$P$100000,전표_원본!$O$5:$O$100000,$A21,전표_원본!$M$5:$M$100000,K$5))</f>
        <v/>
      </c>
      <c r="L21" s="35">
        <f>IF($A21="","",SUMIFS(전표_원본!$P$5:$P$100000,전표_원본!$O$5:$O$100000,$A21,전표_원본!$M$5:$M$100000,L$5))</f>
        <v/>
      </c>
      <c r="M21" s="35">
        <f>IF($A21="","",SUMIFS(전표_원본!$P$5:$P$100000,전표_원본!$O$5:$O$100000,$A21,전표_원본!$M$5:$M$100000,M$5))</f>
        <v/>
      </c>
      <c r="N21" s="35">
        <f>IF($A21="","",SUMIFS(전표_원본!$P$5:$P$100000,전표_원본!$O$5:$O$100000,$A21,전표_원본!$M$5:$M$100000,N$5))</f>
        <v/>
      </c>
      <c r="O21" s="35">
        <f>IF($A21="","",SUMIFS(전표_원본!$P$5:$P$100000,전표_원본!$O$5:$O$100000,$A21,전표_원본!$M$5:$M$100000,O$5))</f>
        <v/>
      </c>
      <c r="P21" s="35">
        <f>IF($A21="","",SUMIFS(전표_원본!$P$5:$P$100000,전표_원본!$O$5:$O$100000,$A21,전표_원본!$M$5:$M$100000,P$5))</f>
        <v/>
      </c>
      <c r="Q21" s="35">
        <f>IF($A21="","",SUMIFS(전표_원본!$P$5:$P$100000,전표_원본!$O$5:$O$100000,$A21,전표_원본!$M$5:$M$100000,Q$5))</f>
        <v/>
      </c>
      <c r="R21" s="35">
        <f>IF($A21="","",SUMIFS(전표_원본!$P$5:$P$100000,전표_원본!$O$5:$O$100000,$A21,전표_원본!$M$5:$M$100000,R$5))</f>
        <v/>
      </c>
      <c r="S21" s="35">
        <f>IF($A21="","",SUMIFS(전표_원본!$P$5:$P$100000,전표_원본!$O$5:$O$100000,$A21,전표_원본!$M$5:$M$100000,S$5))</f>
        <v/>
      </c>
      <c r="T21" s="35">
        <f>IF($A21="","",SUMIFS(전표_원본!$P$5:$P$100000,전표_원본!$O$5:$O$100000,$A21,전표_원본!$M$5:$M$100000,T$5))</f>
        <v/>
      </c>
      <c r="U21" s="35">
        <f>IF($A21="","",SUMIFS(전표_원본!$P$5:$P$100000,전표_원본!$O$5:$O$100000,$A21,전표_원본!$M$5:$M$100000,U$5))</f>
        <v/>
      </c>
      <c r="V21" s="35">
        <f>IF($A21="","",SUMIFS(전표_원본!$P$5:$P$100000,전표_원본!$O$5:$O$100000,$A21,전표_원본!$M$5:$M$100000,V$5))</f>
        <v/>
      </c>
      <c r="W21" s="35">
        <f>IF($A21="","",SUMIFS(전표_원본!$P$5:$P$100000,전표_원본!$O$5:$O$100000,$A21,전표_원본!$M$5:$M$100000,W$5))</f>
        <v/>
      </c>
      <c r="X21" s="35">
        <f>IF($A21="","",SUMIFS(전표_원본!$P$5:$P$100000,전표_원본!$O$5:$O$100000,$A21,전표_원본!$M$5:$M$100000,X$5))</f>
        <v/>
      </c>
      <c r="Y21" s="35">
        <f>IF($A21="","",SUMIFS(전표_원본!$P$5:$P$100000,전표_원본!$O$5:$O$100000,$A21,전표_원본!$M$5:$M$100000,Y$5))</f>
        <v/>
      </c>
      <c r="Z21" s="35">
        <f>IF($A21="","",SUMIFS(전표_원본!$P$5:$P$100000,전표_원본!$O$5:$O$100000,$A21,전표_원본!$M$5:$M$100000,Z$5))</f>
        <v/>
      </c>
      <c r="AB21" s="40">
        <f>IF(OR($A21="",1&gt;설정!$C$7),0,SUMIFS($C21:$Z21,$C$5:$Z$5,"&gt;="&amp;(설정!$C$6*12+1),$C$5:$Z$5,"&lt;="&amp;(설정!$C$6*12+1)))</f>
        <v/>
      </c>
      <c r="AC21" s="40">
        <f>IF(OR($A21="",2&gt;설정!$C$7),0,SUMIFS($C21:$Z21,$C$5:$Z$5,"&gt;="&amp;(설정!$C$6*12+1),$C$5:$Z$5,"&lt;="&amp;(설정!$C$6*12+2)))</f>
        <v/>
      </c>
      <c r="AD21" s="40">
        <f>IF(OR($A21="",3&gt;설정!$C$7),0,SUMIFS($C21:$Z21,$C$5:$Z$5,"&gt;="&amp;(설정!$C$6*12+1),$C$5:$Z$5,"&lt;="&amp;(설정!$C$6*12+3)))</f>
        <v/>
      </c>
      <c r="AE21" s="40">
        <f>IF(OR($A21="",4&gt;설정!$C$7),0,SUMIFS($C21:$Z21,$C$5:$Z$5,"&gt;="&amp;(설정!$C$6*12+1),$C$5:$Z$5,"&lt;="&amp;(설정!$C$6*12+4)))</f>
        <v/>
      </c>
      <c r="AF21" s="40">
        <f>IF(OR($A21="",5&gt;설정!$C$7),0,SUMIFS($C21:$Z21,$C$5:$Z$5,"&gt;="&amp;(설정!$C$6*12+1),$C$5:$Z$5,"&lt;="&amp;(설정!$C$6*12+5)))</f>
        <v/>
      </c>
      <c r="AG21" s="40">
        <f>IF(OR($A21="",6&gt;설정!$C$7),0,SUMIFS($C21:$Z21,$C$5:$Z$5,"&gt;="&amp;(설정!$C$6*12+1),$C$5:$Z$5,"&lt;="&amp;(설정!$C$6*12+6)))</f>
        <v/>
      </c>
      <c r="AH21" s="40">
        <f>IF(OR($A21="",7&gt;설정!$C$7),0,SUMIFS($C21:$Z21,$C$5:$Z$5,"&gt;="&amp;(설정!$C$6*12+1),$C$5:$Z$5,"&lt;="&amp;(설정!$C$6*12+7)))</f>
        <v/>
      </c>
      <c r="AI21" s="40">
        <f>IF(OR($A21="",8&gt;설정!$C$7),0,SUMIFS($C21:$Z21,$C$5:$Z$5,"&gt;="&amp;(설정!$C$6*12+1),$C$5:$Z$5,"&lt;="&amp;(설정!$C$6*12+8)))</f>
        <v/>
      </c>
      <c r="AJ21" s="40">
        <f>IF(OR($A21="",9&gt;설정!$C$7),0,SUMIFS($C21:$Z21,$C$5:$Z$5,"&gt;="&amp;(설정!$C$6*12+1),$C$5:$Z$5,"&lt;="&amp;(설정!$C$6*12+9)))</f>
        <v/>
      </c>
      <c r="AK21" s="40">
        <f>IF(OR($A21="",10&gt;설정!$C$7),0,SUMIFS($C21:$Z21,$C$5:$Z$5,"&gt;="&amp;(설정!$C$6*12+1),$C$5:$Z$5,"&lt;="&amp;(설정!$C$6*12+10)))</f>
        <v/>
      </c>
      <c r="AL21" s="40">
        <f>IF(OR($A21="",11&gt;설정!$C$7),0,SUMIFS($C21:$Z21,$C$5:$Z$5,"&gt;="&amp;(설정!$C$6*12+1),$C$5:$Z$5,"&lt;="&amp;(설정!$C$6*12+11)))</f>
        <v/>
      </c>
      <c r="AM21" s="40">
        <f>IF(OR($A21="",12&gt;설정!$C$7),0,SUMIFS($C21:$Z21,$C$5:$Z$5,"&gt;="&amp;(설정!$C$6*12+1),$C$5:$Z$5,"&lt;="&amp;(설정!$C$6*12+12)))</f>
        <v/>
      </c>
    </row>
    <row r="22">
      <c r="A22" s="26">
        <f>IF(변동분석!$A22="","",변동분석!$E22)</f>
        <v/>
      </c>
      <c r="B22" s="26">
        <f>IF($A22="","",변동분석!$B22&amp;" "&amp;변동분석!$D22)</f>
        <v/>
      </c>
      <c r="C22" s="35">
        <f>IF($A22="","",SUMIFS(전표_원본!$P$5:$P$100000,전표_원본!$O$5:$O$100000,$A22,전표_원본!$M$5:$M$100000,C$5))</f>
        <v/>
      </c>
      <c r="D22" s="35">
        <f>IF($A22="","",SUMIFS(전표_원본!$P$5:$P$100000,전표_원본!$O$5:$O$100000,$A22,전표_원본!$M$5:$M$100000,D$5))</f>
        <v/>
      </c>
      <c r="E22" s="35">
        <f>IF($A22="","",SUMIFS(전표_원본!$P$5:$P$100000,전표_원본!$O$5:$O$100000,$A22,전표_원본!$M$5:$M$100000,E$5))</f>
        <v/>
      </c>
      <c r="F22" s="35">
        <f>IF($A22="","",SUMIFS(전표_원본!$P$5:$P$100000,전표_원본!$O$5:$O$100000,$A22,전표_원본!$M$5:$M$100000,F$5))</f>
        <v/>
      </c>
      <c r="G22" s="35">
        <f>IF($A22="","",SUMIFS(전표_원본!$P$5:$P$100000,전표_원본!$O$5:$O$100000,$A22,전표_원본!$M$5:$M$100000,G$5))</f>
        <v/>
      </c>
      <c r="H22" s="35">
        <f>IF($A22="","",SUMIFS(전표_원본!$P$5:$P$100000,전표_원본!$O$5:$O$100000,$A22,전표_원본!$M$5:$M$100000,H$5))</f>
        <v/>
      </c>
      <c r="I22" s="35">
        <f>IF($A22="","",SUMIFS(전표_원본!$P$5:$P$100000,전표_원본!$O$5:$O$100000,$A22,전표_원본!$M$5:$M$100000,I$5))</f>
        <v/>
      </c>
      <c r="J22" s="35">
        <f>IF($A22="","",SUMIFS(전표_원본!$P$5:$P$100000,전표_원본!$O$5:$O$100000,$A22,전표_원본!$M$5:$M$100000,J$5))</f>
        <v/>
      </c>
      <c r="K22" s="35">
        <f>IF($A22="","",SUMIFS(전표_원본!$P$5:$P$100000,전표_원본!$O$5:$O$100000,$A22,전표_원본!$M$5:$M$100000,K$5))</f>
        <v/>
      </c>
      <c r="L22" s="35">
        <f>IF($A22="","",SUMIFS(전표_원본!$P$5:$P$100000,전표_원본!$O$5:$O$100000,$A22,전표_원본!$M$5:$M$100000,L$5))</f>
        <v/>
      </c>
      <c r="M22" s="35">
        <f>IF($A22="","",SUMIFS(전표_원본!$P$5:$P$100000,전표_원본!$O$5:$O$100000,$A22,전표_원본!$M$5:$M$100000,M$5))</f>
        <v/>
      </c>
      <c r="N22" s="35">
        <f>IF($A22="","",SUMIFS(전표_원본!$P$5:$P$100000,전표_원본!$O$5:$O$100000,$A22,전표_원본!$M$5:$M$100000,N$5))</f>
        <v/>
      </c>
      <c r="O22" s="35">
        <f>IF($A22="","",SUMIFS(전표_원본!$P$5:$P$100000,전표_원본!$O$5:$O$100000,$A22,전표_원본!$M$5:$M$100000,O$5))</f>
        <v/>
      </c>
      <c r="P22" s="35">
        <f>IF($A22="","",SUMIFS(전표_원본!$P$5:$P$100000,전표_원본!$O$5:$O$100000,$A22,전표_원본!$M$5:$M$100000,P$5))</f>
        <v/>
      </c>
      <c r="Q22" s="35">
        <f>IF($A22="","",SUMIFS(전표_원본!$P$5:$P$100000,전표_원본!$O$5:$O$100000,$A22,전표_원본!$M$5:$M$100000,Q$5))</f>
        <v/>
      </c>
      <c r="R22" s="35">
        <f>IF($A22="","",SUMIFS(전표_원본!$P$5:$P$100000,전표_원본!$O$5:$O$100000,$A22,전표_원본!$M$5:$M$100000,R$5))</f>
        <v/>
      </c>
      <c r="S22" s="35">
        <f>IF($A22="","",SUMIFS(전표_원본!$P$5:$P$100000,전표_원본!$O$5:$O$100000,$A22,전표_원본!$M$5:$M$100000,S$5))</f>
        <v/>
      </c>
      <c r="T22" s="35">
        <f>IF($A22="","",SUMIFS(전표_원본!$P$5:$P$100000,전표_원본!$O$5:$O$100000,$A22,전표_원본!$M$5:$M$100000,T$5))</f>
        <v/>
      </c>
      <c r="U22" s="35">
        <f>IF($A22="","",SUMIFS(전표_원본!$P$5:$P$100000,전표_원본!$O$5:$O$100000,$A22,전표_원본!$M$5:$M$100000,U$5))</f>
        <v/>
      </c>
      <c r="V22" s="35">
        <f>IF($A22="","",SUMIFS(전표_원본!$P$5:$P$100000,전표_원본!$O$5:$O$100000,$A22,전표_원본!$M$5:$M$100000,V$5))</f>
        <v/>
      </c>
      <c r="W22" s="35">
        <f>IF($A22="","",SUMIFS(전표_원본!$P$5:$P$100000,전표_원본!$O$5:$O$100000,$A22,전표_원본!$M$5:$M$100000,W$5))</f>
        <v/>
      </c>
      <c r="X22" s="35">
        <f>IF($A22="","",SUMIFS(전표_원본!$P$5:$P$100000,전표_원본!$O$5:$O$100000,$A22,전표_원본!$M$5:$M$100000,X$5))</f>
        <v/>
      </c>
      <c r="Y22" s="35">
        <f>IF($A22="","",SUMIFS(전표_원본!$P$5:$P$100000,전표_원본!$O$5:$O$100000,$A22,전표_원본!$M$5:$M$100000,Y$5))</f>
        <v/>
      </c>
      <c r="Z22" s="35">
        <f>IF($A22="","",SUMIFS(전표_원본!$P$5:$P$100000,전표_원본!$O$5:$O$100000,$A22,전표_원본!$M$5:$M$100000,Z$5))</f>
        <v/>
      </c>
      <c r="AB22" s="40">
        <f>IF(OR($A22="",1&gt;설정!$C$7),0,SUMIFS($C22:$Z22,$C$5:$Z$5,"&gt;="&amp;(설정!$C$6*12+1),$C$5:$Z$5,"&lt;="&amp;(설정!$C$6*12+1)))</f>
        <v/>
      </c>
      <c r="AC22" s="40">
        <f>IF(OR($A22="",2&gt;설정!$C$7),0,SUMIFS($C22:$Z22,$C$5:$Z$5,"&gt;="&amp;(설정!$C$6*12+1),$C$5:$Z$5,"&lt;="&amp;(설정!$C$6*12+2)))</f>
        <v/>
      </c>
      <c r="AD22" s="40">
        <f>IF(OR($A22="",3&gt;설정!$C$7),0,SUMIFS($C22:$Z22,$C$5:$Z$5,"&gt;="&amp;(설정!$C$6*12+1),$C$5:$Z$5,"&lt;="&amp;(설정!$C$6*12+3)))</f>
        <v/>
      </c>
      <c r="AE22" s="40">
        <f>IF(OR($A22="",4&gt;설정!$C$7),0,SUMIFS($C22:$Z22,$C$5:$Z$5,"&gt;="&amp;(설정!$C$6*12+1),$C$5:$Z$5,"&lt;="&amp;(설정!$C$6*12+4)))</f>
        <v/>
      </c>
      <c r="AF22" s="40">
        <f>IF(OR($A22="",5&gt;설정!$C$7),0,SUMIFS($C22:$Z22,$C$5:$Z$5,"&gt;="&amp;(설정!$C$6*12+1),$C$5:$Z$5,"&lt;="&amp;(설정!$C$6*12+5)))</f>
        <v/>
      </c>
      <c r="AG22" s="40">
        <f>IF(OR($A22="",6&gt;설정!$C$7),0,SUMIFS($C22:$Z22,$C$5:$Z$5,"&gt;="&amp;(설정!$C$6*12+1),$C$5:$Z$5,"&lt;="&amp;(설정!$C$6*12+6)))</f>
        <v/>
      </c>
      <c r="AH22" s="40">
        <f>IF(OR($A22="",7&gt;설정!$C$7),0,SUMIFS($C22:$Z22,$C$5:$Z$5,"&gt;="&amp;(설정!$C$6*12+1),$C$5:$Z$5,"&lt;="&amp;(설정!$C$6*12+7)))</f>
        <v/>
      </c>
      <c r="AI22" s="40">
        <f>IF(OR($A22="",8&gt;설정!$C$7),0,SUMIFS($C22:$Z22,$C$5:$Z$5,"&gt;="&amp;(설정!$C$6*12+1),$C$5:$Z$5,"&lt;="&amp;(설정!$C$6*12+8)))</f>
        <v/>
      </c>
      <c r="AJ22" s="40">
        <f>IF(OR($A22="",9&gt;설정!$C$7),0,SUMIFS($C22:$Z22,$C$5:$Z$5,"&gt;="&amp;(설정!$C$6*12+1),$C$5:$Z$5,"&lt;="&amp;(설정!$C$6*12+9)))</f>
        <v/>
      </c>
      <c r="AK22" s="40">
        <f>IF(OR($A22="",10&gt;설정!$C$7),0,SUMIFS($C22:$Z22,$C$5:$Z$5,"&gt;="&amp;(설정!$C$6*12+1),$C$5:$Z$5,"&lt;="&amp;(설정!$C$6*12+10)))</f>
        <v/>
      </c>
      <c r="AL22" s="40">
        <f>IF(OR($A22="",11&gt;설정!$C$7),0,SUMIFS($C22:$Z22,$C$5:$Z$5,"&gt;="&amp;(설정!$C$6*12+1),$C$5:$Z$5,"&lt;="&amp;(설정!$C$6*12+11)))</f>
        <v/>
      </c>
      <c r="AM22" s="40">
        <f>IF(OR($A22="",12&gt;설정!$C$7),0,SUMIFS($C22:$Z22,$C$5:$Z$5,"&gt;="&amp;(설정!$C$6*12+1),$C$5:$Z$5,"&lt;="&amp;(설정!$C$6*12+12)))</f>
        <v/>
      </c>
    </row>
    <row r="23">
      <c r="A23" s="26">
        <f>IF(변동분석!$A23="","",변동분석!$E23)</f>
        <v/>
      </c>
      <c r="B23" s="26">
        <f>IF($A23="","",변동분석!$B23&amp;" "&amp;변동분석!$D23)</f>
        <v/>
      </c>
      <c r="C23" s="35">
        <f>IF($A23="","",SUMIFS(전표_원본!$P$5:$P$100000,전표_원본!$O$5:$O$100000,$A23,전표_원본!$M$5:$M$100000,C$5))</f>
        <v/>
      </c>
      <c r="D23" s="35">
        <f>IF($A23="","",SUMIFS(전표_원본!$P$5:$P$100000,전표_원본!$O$5:$O$100000,$A23,전표_원본!$M$5:$M$100000,D$5))</f>
        <v/>
      </c>
      <c r="E23" s="35">
        <f>IF($A23="","",SUMIFS(전표_원본!$P$5:$P$100000,전표_원본!$O$5:$O$100000,$A23,전표_원본!$M$5:$M$100000,E$5))</f>
        <v/>
      </c>
      <c r="F23" s="35">
        <f>IF($A23="","",SUMIFS(전표_원본!$P$5:$P$100000,전표_원본!$O$5:$O$100000,$A23,전표_원본!$M$5:$M$100000,F$5))</f>
        <v/>
      </c>
      <c r="G23" s="35">
        <f>IF($A23="","",SUMIFS(전표_원본!$P$5:$P$100000,전표_원본!$O$5:$O$100000,$A23,전표_원본!$M$5:$M$100000,G$5))</f>
        <v/>
      </c>
      <c r="H23" s="35">
        <f>IF($A23="","",SUMIFS(전표_원본!$P$5:$P$100000,전표_원본!$O$5:$O$100000,$A23,전표_원본!$M$5:$M$100000,H$5))</f>
        <v/>
      </c>
      <c r="I23" s="35">
        <f>IF($A23="","",SUMIFS(전표_원본!$P$5:$P$100000,전표_원본!$O$5:$O$100000,$A23,전표_원본!$M$5:$M$100000,I$5))</f>
        <v/>
      </c>
      <c r="J23" s="35">
        <f>IF($A23="","",SUMIFS(전표_원본!$P$5:$P$100000,전표_원본!$O$5:$O$100000,$A23,전표_원본!$M$5:$M$100000,J$5))</f>
        <v/>
      </c>
      <c r="K23" s="35">
        <f>IF($A23="","",SUMIFS(전표_원본!$P$5:$P$100000,전표_원본!$O$5:$O$100000,$A23,전표_원본!$M$5:$M$100000,K$5))</f>
        <v/>
      </c>
      <c r="L23" s="35">
        <f>IF($A23="","",SUMIFS(전표_원본!$P$5:$P$100000,전표_원본!$O$5:$O$100000,$A23,전표_원본!$M$5:$M$100000,L$5))</f>
        <v/>
      </c>
      <c r="M23" s="35">
        <f>IF($A23="","",SUMIFS(전표_원본!$P$5:$P$100000,전표_원본!$O$5:$O$100000,$A23,전표_원본!$M$5:$M$100000,M$5))</f>
        <v/>
      </c>
      <c r="N23" s="35">
        <f>IF($A23="","",SUMIFS(전표_원본!$P$5:$P$100000,전표_원본!$O$5:$O$100000,$A23,전표_원본!$M$5:$M$100000,N$5))</f>
        <v/>
      </c>
      <c r="O23" s="35">
        <f>IF($A23="","",SUMIFS(전표_원본!$P$5:$P$100000,전표_원본!$O$5:$O$100000,$A23,전표_원본!$M$5:$M$100000,O$5))</f>
        <v/>
      </c>
      <c r="P23" s="35">
        <f>IF($A23="","",SUMIFS(전표_원본!$P$5:$P$100000,전표_원본!$O$5:$O$100000,$A23,전표_원본!$M$5:$M$100000,P$5))</f>
        <v/>
      </c>
      <c r="Q23" s="35">
        <f>IF($A23="","",SUMIFS(전표_원본!$P$5:$P$100000,전표_원본!$O$5:$O$100000,$A23,전표_원본!$M$5:$M$100000,Q$5))</f>
        <v/>
      </c>
      <c r="R23" s="35">
        <f>IF($A23="","",SUMIFS(전표_원본!$P$5:$P$100000,전표_원본!$O$5:$O$100000,$A23,전표_원본!$M$5:$M$100000,R$5))</f>
        <v/>
      </c>
      <c r="S23" s="35">
        <f>IF($A23="","",SUMIFS(전표_원본!$P$5:$P$100000,전표_원본!$O$5:$O$100000,$A23,전표_원본!$M$5:$M$100000,S$5))</f>
        <v/>
      </c>
      <c r="T23" s="35">
        <f>IF($A23="","",SUMIFS(전표_원본!$P$5:$P$100000,전표_원본!$O$5:$O$100000,$A23,전표_원본!$M$5:$M$100000,T$5))</f>
        <v/>
      </c>
      <c r="U23" s="35">
        <f>IF($A23="","",SUMIFS(전표_원본!$P$5:$P$100000,전표_원본!$O$5:$O$100000,$A23,전표_원본!$M$5:$M$100000,U$5))</f>
        <v/>
      </c>
      <c r="V23" s="35">
        <f>IF($A23="","",SUMIFS(전표_원본!$P$5:$P$100000,전표_원본!$O$5:$O$100000,$A23,전표_원본!$M$5:$M$100000,V$5))</f>
        <v/>
      </c>
      <c r="W23" s="35">
        <f>IF($A23="","",SUMIFS(전표_원본!$P$5:$P$100000,전표_원본!$O$5:$O$100000,$A23,전표_원본!$M$5:$M$100000,W$5))</f>
        <v/>
      </c>
      <c r="X23" s="35">
        <f>IF($A23="","",SUMIFS(전표_원본!$P$5:$P$100000,전표_원본!$O$5:$O$100000,$A23,전표_원본!$M$5:$M$100000,X$5))</f>
        <v/>
      </c>
      <c r="Y23" s="35">
        <f>IF($A23="","",SUMIFS(전표_원본!$P$5:$P$100000,전표_원본!$O$5:$O$100000,$A23,전표_원본!$M$5:$M$100000,Y$5))</f>
        <v/>
      </c>
      <c r="Z23" s="35">
        <f>IF($A23="","",SUMIFS(전표_원본!$P$5:$P$100000,전표_원본!$O$5:$O$100000,$A23,전표_원본!$M$5:$M$100000,Z$5))</f>
        <v/>
      </c>
      <c r="AB23" s="40">
        <f>IF(OR($A23="",1&gt;설정!$C$7),0,SUMIFS($C23:$Z23,$C$5:$Z$5,"&gt;="&amp;(설정!$C$6*12+1),$C$5:$Z$5,"&lt;="&amp;(설정!$C$6*12+1)))</f>
        <v/>
      </c>
      <c r="AC23" s="40">
        <f>IF(OR($A23="",2&gt;설정!$C$7),0,SUMIFS($C23:$Z23,$C$5:$Z$5,"&gt;="&amp;(설정!$C$6*12+1),$C$5:$Z$5,"&lt;="&amp;(설정!$C$6*12+2)))</f>
        <v/>
      </c>
      <c r="AD23" s="40">
        <f>IF(OR($A23="",3&gt;설정!$C$7),0,SUMIFS($C23:$Z23,$C$5:$Z$5,"&gt;="&amp;(설정!$C$6*12+1),$C$5:$Z$5,"&lt;="&amp;(설정!$C$6*12+3)))</f>
        <v/>
      </c>
      <c r="AE23" s="40">
        <f>IF(OR($A23="",4&gt;설정!$C$7),0,SUMIFS($C23:$Z23,$C$5:$Z$5,"&gt;="&amp;(설정!$C$6*12+1),$C$5:$Z$5,"&lt;="&amp;(설정!$C$6*12+4)))</f>
        <v/>
      </c>
      <c r="AF23" s="40">
        <f>IF(OR($A23="",5&gt;설정!$C$7),0,SUMIFS($C23:$Z23,$C$5:$Z$5,"&gt;="&amp;(설정!$C$6*12+1),$C$5:$Z$5,"&lt;="&amp;(설정!$C$6*12+5)))</f>
        <v/>
      </c>
      <c r="AG23" s="40">
        <f>IF(OR($A23="",6&gt;설정!$C$7),0,SUMIFS($C23:$Z23,$C$5:$Z$5,"&gt;="&amp;(설정!$C$6*12+1),$C$5:$Z$5,"&lt;="&amp;(설정!$C$6*12+6)))</f>
        <v/>
      </c>
      <c r="AH23" s="40">
        <f>IF(OR($A23="",7&gt;설정!$C$7),0,SUMIFS($C23:$Z23,$C$5:$Z$5,"&gt;="&amp;(설정!$C$6*12+1),$C$5:$Z$5,"&lt;="&amp;(설정!$C$6*12+7)))</f>
        <v/>
      </c>
      <c r="AI23" s="40">
        <f>IF(OR($A23="",8&gt;설정!$C$7),0,SUMIFS($C23:$Z23,$C$5:$Z$5,"&gt;="&amp;(설정!$C$6*12+1),$C$5:$Z$5,"&lt;="&amp;(설정!$C$6*12+8)))</f>
        <v/>
      </c>
      <c r="AJ23" s="40">
        <f>IF(OR($A23="",9&gt;설정!$C$7),0,SUMIFS($C23:$Z23,$C$5:$Z$5,"&gt;="&amp;(설정!$C$6*12+1),$C$5:$Z$5,"&lt;="&amp;(설정!$C$6*12+9)))</f>
        <v/>
      </c>
      <c r="AK23" s="40">
        <f>IF(OR($A23="",10&gt;설정!$C$7),0,SUMIFS($C23:$Z23,$C$5:$Z$5,"&gt;="&amp;(설정!$C$6*12+1),$C$5:$Z$5,"&lt;="&amp;(설정!$C$6*12+10)))</f>
        <v/>
      </c>
      <c r="AL23" s="40">
        <f>IF(OR($A23="",11&gt;설정!$C$7),0,SUMIFS($C23:$Z23,$C$5:$Z$5,"&gt;="&amp;(설정!$C$6*12+1),$C$5:$Z$5,"&lt;="&amp;(설정!$C$6*12+11)))</f>
        <v/>
      </c>
      <c r="AM23" s="40">
        <f>IF(OR($A23="",12&gt;설정!$C$7),0,SUMIFS($C23:$Z23,$C$5:$Z$5,"&gt;="&amp;(설정!$C$6*12+1),$C$5:$Z$5,"&lt;="&amp;(설정!$C$6*12+12)))</f>
        <v/>
      </c>
    </row>
    <row r="24">
      <c r="A24" s="26">
        <f>IF(변동분석!$A24="","",변동분석!$E24)</f>
        <v/>
      </c>
      <c r="B24" s="26">
        <f>IF($A24="","",변동분석!$B24&amp;" "&amp;변동분석!$D24)</f>
        <v/>
      </c>
      <c r="C24" s="35">
        <f>IF($A24="","",SUMIFS(전표_원본!$P$5:$P$100000,전표_원본!$O$5:$O$100000,$A24,전표_원본!$M$5:$M$100000,C$5))</f>
        <v/>
      </c>
      <c r="D24" s="35">
        <f>IF($A24="","",SUMIFS(전표_원본!$P$5:$P$100000,전표_원본!$O$5:$O$100000,$A24,전표_원본!$M$5:$M$100000,D$5))</f>
        <v/>
      </c>
      <c r="E24" s="35">
        <f>IF($A24="","",SUMIFS(전표_원본!$P$5:$P$100000,전표_원본!$O$5:$O$100000,$A24,전표_원본!$M$5:$M$100000,E$5))</f>
        <v/>
      </c>
      <c r="F24" s="35">
        <f>IF($A24="","",SUMIFS(전표_원본!$P$5:$P$100000,전표_원본!$O$5:$O$100000,$A24,전표_원본!$M$5:$M$100000,F$5))</f>
        <v/>
      </c>
      <c r="G24" s="35">
        <f>IF($A24="","",SUMIFS(전표_원본!$P$5:$P$100000,전표_원본!$O$5:$O$100000,$A24,전표_원본!$M$5:$M$100000,G$5))</f>
        <v/>
      </c>
      <c r="H24" s="35">
        <f>IF($A24="","",SUMIFS(전표_원본!$P$5:$P$100000,전표_원본!$O$5:$O$100000,$A24,전표_원본!$M$5:$M$100000,H$5))</f>
        <v/>
      </c>
      <c r="I24" s="35">
        <f>IF($A24="","",SUMIFS(전표_원본!$P$5:$P$100000,전표_원본!$O$5:$O$100000,$A24,전표_원본!$M$5:$M$100000,I$5))</f>
        <v/>
      </c>
      <c r="J24" s="35">
        <f>IF($A24="","",SUMIFS(전표_원본!$P$5:$P$100000,전표_원본!$O$5:$O$100000,$A24,전표_원본!$M$5:$M$100000,J$5))</f>
        <v/>
      </c>
      <c r="K24" s="35">
        <f>IF($A24="","",SUMIFS(전표_원본!$P$5:$P$100000,전표_원본!$O$5:$O$100000,$A24,전표_원본!$M$5:$M$100000,K$5))</f>
        <v/>
      </c>
      <c r="L24" s="35">
        <f>IF($A24="","",SUMIFS(전표_원본!$P$5:$P$100000,전표_원본!$O$5:$O$100000,$A24,전표_원본!$M$5:$M$100000,L$5))</f>
        <v/>
      </c>
      <c r="M24" s="35">
        <f>IF($A24="","",SUMIFS(전표_원본!$P$5:$P$100000,전표_원본!$O$5:$O$100000,$A24,전표_원본!$M$5:$M$100000,M$5))</f>
        <v/>
      </c>
      <c r="N24" s="35">
        <f>IF($A24="","",SUMIFS(전표_원본!$P$5:$P$100000,전표_원본!$O$5:$O$100000,$A24,전표_원본!$M$5:$M$100000,N$5))</f>
        <v/>
      </c>
      <c r="O24" s="35">
        <f>IF($A24="","",SUMIFS(전표_원본!$P$5:$P$100000,전표_원본!$O$5:$O$100000,$A24,전표_원본!$M$5:$M$100000,O$5))</f>
        <v/>
      </c>
      <c r="P24" s="35">
        <f>IF($A24="","",SUMIFS(전표_원본!$P$5:$P$100000,전표_원본!$O$5:$O$100000,$A24,전표_원본!$M$5:$M$100000,P$5))</f>
        <v/>
      </c>
      <c r="Q24" s="35">
        <f>IF($A24="","",SUMIFS(전표_원본!$P$5:$P$100000,전표_원본!$O$5:$O$100000,$A24,전표_원본!$M$5:$M$100000,Q$5))</f>
        <v/>
      </c>
      <c r="R24" s="35">
        <f>IF($A24="","",SUMIFS(전표_원본!$P$5:$P$100000,전표_원본!$O$5:$O$100000,$A24,전표_원본!$M$5:$M$100000,R$5))</f>
        <v/>
      </c>
      <c r="S24" s="35">
        <f>IF($A24="","",SUMIFS(전표_원본!$P$5:$P$100000,전표_원본!$O$5:$O$100000,$A24,전표_원본!$M$5:$M$100000,S$5))</f>
        <v/>
      </c>
      <c r="T24" s="35">
        <f>IF($A24="","",SUMIFS(전표_원본!$P$5:$P$100000,전표_원본!$O$5:$O$100000,$A24,전표_원본!$M$5:$M$100000,T$5))</f>
        <v/>
      </c>
      <c r="U24" s="35">
        <f>IF($A24="","",SUMIFS(전표_원본!$P$5:$P$100000,전표_원본!$O$5:$O$100000,$A24,전표_원본!$M$5:$M$100000,U$5))</f>
        <v/>
      </c>
      <c r="V24" s="35">
        <f>IF($A24="","",SUMIFS(전표_원본!$P$5:$P$100000,전표_원본!$O$5:$O$100000,$A24,전표_원본!$M$5:$M$100000,V$5))</f>
        <v/>
      </c>
      <c r="W24" s="35">
        <f>IF($A24="","",SUMIFS(전표_원본!$P$5:$P$100000,전표_원본!$O$5:$O$100000,$A24,전표_원본!$M$5:$M$100000,W$5))</f>
        <v/>
      </c>
      <c r="X24" s="35">
        <f>IF($A24="","",SUMIFS(전표_원본!$P$5:$P$100000,전표_원본!$O$5:$O$100000,$A24,전표_원본!$M$5:$M$100000,X$5))</f>
        <v/>
      </c>
      <c r="Y24" s="35">
        <f>IF($A24="","",SUMIFS(전표_원본!$P$5:$P$100000,전표_원본!$O$5:$O$100000,$A24,전표_원본!$M$5:$M$100000,Y$5))</f>
        <v/>
      </c>
      <c r="Z24" s="35">
        <f>IF($A24="","",SUMIFS(전표_원본!$P$5:$P$100000,전표_원본!$O$5:$O$100000,$A24,전표_원본!$M$5:$M$100000,Z$5))</f>
        <v/>
      </c>
      <c r="AB24" s="40">
        <f>IF(OR($A24="",1&gt;설정!$C$7),0,SUMIFS($C24:$Z24,$C$5:$Z$5,"&gt;="&amp;(설정!$C$6*12+1),$C$5:$Z$5,"&lt;="&amp;(설정!$C$6*12+1)))</f>
        <v/>
      </c>
      <c r="AC24" s="40">
        <f>IF(OR($A24="",2&gt;설정!$C$7),0,SUMIFS($C24:$Z24,$C$5:$Z$5,"&gt;="&amp;(설정!$C$6*12+1),$C$5:$Z$5,"&lt;="&amp;(설정!$C$6*12+2)))</f>
        <v/>
      </c>
      <c r="AD24" s="40">
        <f>IF(OR($A24="",3&gt;설정!$C$7),0,SUMIFS($C24:$Z24,$C$5:$Z$5,"&gt;="&amp;(설정!$C$6*12+1),$C$5:$Z$5,"&lt;="&amp;(설정!$C$6*12+3)))</f>
        <v/>
      </c>
      <c r="AE24" s="40">
        <f>IF(OR($A24="",4&gt;설정!$C$7),0,SUMIFS($C24:$Z24,$C$5:$Z$5,"&gt;="&amp;(설정!$C$6*12+1),$C$5:$Z$5,"&lt;="&amp;(설정!$C$6*12+4)))</f>
        <v/>
      </c>
      <c r="AF24" s="40">
        <f>IF(OR($A24="",5&gt;설정!$C$7),0,SUMIFS($C24:$Z24,$C$5:$Z$5,"&gt;="&amp;(설정!$C$6*12+1),$C$5:$Z$5,"&lt;="&amp;(설정!$C$6*12+5)))</f>
        <v/>
      </c>
      <c r="AG24" s="40">
        <f>IF(OR($A24="",6&gt;설정!$C$7),0,SUMIFS($C24:$Z24,$C$5:$Z$5,"&gt;="&amp;(설정!$C$6*12+1),$C$5:$Z$5,"&lt;="&amp;(설정!$C$6*12+6)))</f>
        <v/>
      </c>
      <c r="AH24" s="40">
        <f>IF(OR($A24="",7&gt;설정!$C$7),0,SUMIFS($C24:$Z24,$C$5:$Z$5,"&gt;="&amp;(설정!$C$6*12+1),$C$5:$Z$5,"&lt;="&amp;(설정!$C$6*12+7)))</f>
        <v/>
      </c>
      <c r="AI24" s="40">
        <f>IF(OR($A24="",8&gt;설정!$C$7),0,SUMIFS($C24:$Z24,$C$5:$Z$5,"&gt;="&amp;(설정!$C$6*12+1),$C$5:$Z$5,"&lt;="&amp;(설정!$C$6*12+8)))</f>
        <v/>
      </c>
      <c r="AJ24" s="40">
        <f>IF(OR($A24="",9&gt;설정!$C$7),0,SUMIFS($C24:$Z24,$C$5:$Z$5,"&gt;="&amp;(설정!$C$6*12+1),$C$5:$Z$5,"&lt;="&amp;(설정!$C$6*12+9)))</f>
        <v/>
      </c>
      <c r="AK24" s="40">
        <f>IF(OR($A24="",10&gt;설정!$C$7),0,SUMIFS($C24:$Z24,$C$5:$Z$5,"&gt;="&amp;(설정!$C$6*12+1),$C$5:$Z$5,"&lt;="&amp;(설정!$C$6*12+10)))</f>
        <v/>
      </c>
      <c r="AL24" s="40">
        <f>IF(OR($A24="",11&gt;설정!$C$7),0,SUMIFS($C24:$Z24,$C$5:$Z$5,"&gt;="&amp;(설정!$C$6*12+1),$C$5:$Z$5,"&lt;="&amp;(설정!$C$6*12+11)))</f>
        <v/>
      </c>
      <c r="AM24" s="40">
        <f>IF(OR($A24="",12&gt;설정!$C$7),0,SUMIFS($C24:$Z24,$C$5:$Z$5,"&gt;="&amp;(설정!$C$6*12+1),$C$5:$Z$5,"&lt;="&amp;(설정!$C$6*12+12)))</f>
        <v/>
      </c>
    </row>
    <row r="25">
      <c r="A25" s="26">
        <f>IF(변동분석!$A25="","",변동분석!$E25)</f>
        <v/>
      </c>
      <c r="B25" s="26">
        <f>IF($A25="","",변동분석!$B25&amp;" "&amp;변동분석!$D25)</f>
        <v/>
      </c>
      <c r="C25" s="35">
        <f>IF($A25="","",SUMIFS(전표_원본!$P$5:$P$100000,전표_원본!$O$5:$O$100000,$A25,전표_원본!$M$5:$M$100000,C$5))</f>
        <v/>
      </c>
      <c r="D25" s="35">
        <f>IF($A25="","",SUMIFS(전표_원본!$P$5:$P$100000,전표_원본!$O$5:$O$100000,$A25,전표_원본!$M$5:$M$100000,D$5))</f>
        <v/>
      </c>
      <c r="E25" s="35">
        <f>IF($A25="","",SUMIFS(전표_원본!$P$5:$P$100000,전표_원본!$O$5:$O$100000,$A25,전표_원본!$M$5:$M$100000,E$5))</f>
        <v/>
      </c>
      <c r="F25" s="35">
        <f>IF($A25="","",SUMIFS(전표_원본!$P$5:$P$100000,전표_원본!$O$5:$O$100000,$A25,전표_원본!$M$5:$M$100000,F$5))</f>
        <v/>
      </c>
      <c r="G25" s="35">
        <f>IF($A25="","",SUMIFS(전표_원본!$P$5:$P$100000,전표_원본!$O$5:$O$100000,$A25,전표_원본!$M$5:$M$100000,G$5))</f>
        <v/>
      </c>
      <c r="H25" s="35">
        <f>IF($A25="","",SUMIFS(전표_원본!$P$5:$P$100000,전표_원본!$O$5:$O$100000,$A25,전표_원본!$M$5:$M$100000,H$5))</f>
        <v/>
      </c>
      <c r="I25" s="35">
        <f>IF($A25="","",SUMIFS(전표_원본!$P$5:$P$100000,전표_원본!$O$5:$O$100000,$A25,전표_원본!$M$5:$M$100000,I$5))</f>
        <v/>
      </c>
      <c r="J25" s="35">
        <f>IF($A25="","",SUMIFS(전표_원본!$P$5:$P$100000,전표_원본!$O$5:$O$100000,$A25,전표_원본!$M$5:$M$100000,J$5))</f>
        <v/>
      </c>
      <c r="K25" s="35">
        <f>IF($A25="","",SUMIFS(전표_원본!$P$5:$P$100000,전표_원본!$O$5:$O$100000,$A25,전표_원본!$M$5:$M$100000,K$5))</f>
        <v/>
      </c>
      <c r="L25" s="35">
        <f>IF($A25="","",SUMIFS(전표_원본!$P$5:$P$100000,전표_원본!$O$5:$O$100000,$A25,전표_원본!$M$5:$M$100000,L$5))</f>
        <v/>
      </c>
      <c r="M25" s="35">
        <f>IF($A25="","",SUMIFS(전표_원본!$P$5:$P$100000,전표_원본!$O$5:$O$100000,$A25,전표_원본!$M$5:$M$100000,M$5))</f>
        <v/>
      </c>
      <c r="N25" s="35">
        <f>IF($A25="","",SUMIFS(전표_원본!$P$5:$P$100000,전표_원본!$O$5:$O$100000,$A25,전표_원본!$M$5:$M$100000,N$5))</f>
        <v/>
      </c>
      <c r="O25" s="35">
        <f>IF($A25="","",SUMIFS(전표_원본!$P$5:$P$100000,전표_원본!$O$5:$O$100000,$A25,전표_원본!$M$5:$M$100000,O$5))</f>
        <v/>
      </c>
      <c r="P25" s="35">
        <f>IF($A25="","",SUMIFS(전표_원본!$P$5:$P$100000,전표_원본!$O$5:$O$100000,$A25,전표_원본!$M$5:$M$100000,P$5))</f>
        <v/>
      </c>
      <c r="Q25" s="35">
        <f>IF($A25="","",SUMIFS(전표_원본!$P$5:$P$100000,전표_원본!$O$5:$O$100000,$A25,전표_원본!$M$5:$M$100000,Q$5))</f>
        <v/>
      </c>
      <c r="R25" s="35">
        <f>IF($A25="","",SUMIFS(전표_원본!$P$5:$P$100000,전표_원본!$O$5:$O$100000,$A25,전표_원본!$M$5:$M$100000,R$5))</f>
        <v/>
      </c>
      <c r="S25" s="35">
        <f>IF($A25="","",SUMIFS(전표_원본!$P$5:$P$100000,전표_원본!$O$5:$O$100000,$A25,전표_원본!$M$5:$M$100000,S$5))</f>
        <v/>
      </c>
      <c r="T25" s="35">
        <f>IF($A25="","",SUMIFS(전표_원본!$P$5:$P$100000,전표_원본!$O$5:$O$100000,$A25,전표_원본!$M$5:$M$100000,T$5))</f>
        <v/>
      </c>
      <c r="U25" s="35">
        <f>IF($A25="","",SUMIFS(전표_원본!$P$5:$P$100000,전표_원본!$O$5:$O$100000,$A25,전표_원본!$M$5:$M$100000,U$5))</f>
        <v/>
      </c>
      <c r="V25" s="35">
        <f>IF($A25="","",SUMIFS(전표_원본!$P$5:$P$100000,전표_원본!$O$5:$O$100000,$A25,전표_원본!$M$5:$M$100000,V$5))</f>
        <v/>
      </c>
      <c r="W25" s="35">
        <f>IF($A25="","",SUMIFS(전표_원본!$P$5:$P$100000,전표_원본!$O$5:$O$100000,$A25,전표_원본!$M$5:$M$100000,W$5))</f>
        <v/>
      </c>
      <c r="X25" s="35">
        <f>IF($A25="","",SUMIFS(전표_원본!$P$5:$P$100000,전표_원본!$O$5:$O$100000,$A25,전표_원본!$M$5:$M$100000,X$5))</f>
        <v/>
      </c>
      <c r="Y25" s="35">
        <f>IF($A25="","",SUMIFS(전표_원본!$P$5:$P$100000,전표_원본!$O$5:$O$100000,$A25,전표_원본!$M$5:$M$100000,Y$5))</f>
        <v/>
      </c>
      <c r="Z25" s="35">
        <f>IF($A25="","",SUMIFS(전표_원본!$P$5:$P$100000,전표_원본!$O$5:$O$100000,$A25,전표_원본!$M$5:$M$100000,Z$5))</f>
        <v/>
      </c>
      <c r="AB25" s="40">
        <f>IF(OR($A25="",1&gt;설정!$C$7),0,SUMIFS($C25:$Z25,$C$5:$Z$5,"&gt;="&amp;(설정!$C$6*12+1),$C$5:$Z$5,"&lt;="&amp;(설정!$C$6*12+1)))</f>
        <v/>
      </c>
      <c r="AC25" s="40">
        <f>IF(OR($A25="",2&gt;설정!$C$7),0,SUMIFS($C25:$Z25,$C$5:$Z$5,"&gt;="&amp;(설정!$C$6*12+1),$C$5:$Z$5,"&lt;="&amp;(설정!$C$6*12+2)))</f>
        <v/>
      </c>
      <c r="AD25" s="40">
        <f>IF(OR($A25="",3&gt;설정!$C$7),0,SUMIFS($C25:$Z25,$C$5:$Z$5,"&gt;="&amp;(설정!$C$6*12+1),$C$5:$Z$5,"&lt;="&amp;(설정!$C$6*12+3)))</f>
        <v/>
      </c>
      <c r="AE25" s="40">
        <f>IF(OR($A25="",4&gt;설정!$C$7),0,SUMIFS($C25:$Z25,$C$5:$Z$5,"&gt;="&amp;(설정!$C$6*12+1),$C$5:$Z$5,"&lt;="&amp;(설정!$C$6*12+4)))</f>
        <v/>
      </c>
      <c r="AF25" s="40">
        <f>IF(OR($A25="",5&gt;설정!$C$7),0,SUMIFS($C25:$Z25,$C$5:$Z$5,"&gt;="&amp;(설정!$C$6*12+1),$C$5:$Z$5,"&lt;="&amp;(설정!$C$6*12+5)))</f>
        <v/>
      </c>
      <c r="AG25" s="40">
        <f>IF(OR($A25="",6&gt;설정!$C$7),0,SUMIFS($C25:$Z25,$C$5:$Z$5,"&gt;="&amp;(설정!$C$6*12+1),$C$5:$Z$5,"&lt;="&amp;(설정!$C$6*12+6)))</f>
        <v/>
      </c>
      <c r="AH25" s="40">
        <f>IF(OR($A25="",7&gt;설정!$C$7),0,SUMIFS($C25:$Z25,$C$5:$Z$5,"&gt;="&amp;(설정!$C$6*12+1),$C$5:$Z$5,"&lt;="&amp;(설정!$C$6*12+7)))</f>
        <v/>
      </c>
      <c r="AI25" s="40">
        <f>IF(OR($A25="",8&gt;설정!$C$7),0,SUMIFS($C25:$Z25,$C$5:$Z$5,"&gt;="&amp;(설정!$C$6*12+1),$C$5:$Z$5,"&lt;="&amp;(설정!$C$6*12+8)))</f>
        <v/>
      </c>
      <c r="AJ25" s="40">
        <f>IF(OR($A25="",9&gt;설정!$C$7),0,SUMIFS($C25:$Z25,$C$5:$Z$5,"&gt;="&amp;(설정!$C$6*12+1),$C$5:$Z$5,"&lt;="&amp;(설정!$C$6*12+9)))</f>
        <v/>
      </c>
      <c r="AK25" s="40">
        <f>IF(OR($A25="",10&gt;설정!$C$7),0,SUMIFS($C25:$Z25,$C$5:$Z$5,"&gt;="&amp;(설정!$C$6*12+1),$C$5:$Z$5,"&lt;="&amp;(설정!$C$6*12+10)))</f>
        <v/>
      </c>
      <c r="AL25" s="40">
        <f>IF(OR($A25="",11&gt;설정!$C$7),0,SUMIFS($C25:$Z25,$C$5:$Z$5,"&gt;="&amp;(설정!$C$6*12+1),$C$5:$Z$5,"&lt;="&amp;(설정!$C$6*12+11)))</f>
        <v/>
      </c>
      <c r="AM25" s="40">
        <f>IF(OR($A25="",12&gt;설정!$C$7),0,SUMIFS($C25:$Z25,$C$5:$Z$5,"&gt;="&amp;(설정!$C$6*12+1),$C$5:$Z$5,"&lt;="&amp;(설정!$C$6*12+12)))</f>
        <v/>
      </c>
    </row>
    <row r="26">
      <c r="A26" s="26">
        <f>IF(변동분석!$A26="","",변동분석!$E26)</f>
        <v/>
      </c>
      <c r="B26" s="26">
        <f>IF($A26="","",변동분석!$B26&amp;" "&amp;변동분석!$D26)</f>
        <v/>
      </c>
      <c r="C26" s="35">
        <f>IF($A26="","",SUMIFS(전표_원본!$P$5:$P$100000,전표_원본!$O$5:$O$100000,$A26,전표_원본!$M$5:$M$100000,C$5))</f>
        <v/>
      </c>
      <c r="D26" s="35">
        <f>IF($A26="","",SUMIFS(전표_원본!$P$5:$P$100000,전표_원본!$O$5:$O$100000,$A26,전표_원본!$M$5:$M$100000,D$5))</f>
        <v/>
      </c>
      <c r="E26" s="35">
        <f>IF($A26="","",SUMIFS(전표_원본!$P$5:$P$100000,전표_원본!$O$5:$O$100000,$A26,전표_원본!$M$5:$M$100000,E$5))</f>
        <v/>
      </c>
      <c r="F26" s="35">
        <f>IF($A26="","",SUMIFS(전표_원본!$P$5:$P$100000,전표_원본!$O$5:$O$100000,$A26,전표_원본!$M$5:$M$100000,F$5))</f>
        <v/>
      </c>
      <c r="G26" s="35">
        <f>IF($A26="","",SUMIFS(전표_원본!$P$5:$P$100000,전표_원본!$O$5:$O$100000,$A26,전표_원본!$M$5:$M$100000,G$5))</f>
        <v/>
      </c>
      <c r="H26" s="35">
        <f>IF($A26="","",SUMIFS(전표_원본!$P$5:$P$100000,전표_원본!$O$5:$O$100000,$A26,전표_원본!$M$5:$M$100000,H$5))</f>
        <v/>
      </c>
      <c r="I26" s="35">
        <f>IF($A26="","",SUMIFS(전표_원본!$P$5:$P$100000,전표_원본!$O$5:$O$100000,$A26,전표_원본!$M$5:$M$100000,I$5))</f>
        <v/>
      </c>
      <c r="J26" s="35">
        <f>IF($A26="","",SUMIFS(전표_원본!$P$5:$P$100000,전표_원본!$O$5:$O$100000,$A26,전표_원본!$M$5:$M$100000,J$5))</f>
        <v/>
      </c>
      <c r="K26" s="35">
        <f>IF($A26="","",SUMIFS(전표_원본!$P$5:$P$100000,전표_원본!$O$5:$O$100000,$A26,전표_원본!$M$5:$M$100000,K$5))</f>
        <v/>
      </c>
      <c r="L26" s="35">
        <f>IF($A26="","",SUMIFS(전표_원본!$P$5:$P$100000,전표_원본!$O$5:$O$100000,$A26,전표_원본!$M$5:$M$100000,L$5))</f>
        <v/>
      </c>
      <c r="M26" s="35">
        <f>IF($A26="","",SUMIFS(전표_원본!$P$5:$P$100000,전표_원본!$O$5:$O$100000,$A26,전표_원본!$M$5:$M$100000,M$5))</f>
        <v/>
      </c>
      <c r="N26" s="35">
        <f>IF($A26="","",SUMIFS(전표_원본!$P$5:$P$100000,전표_원본!$O$5:$O$100000,$A26,전표_원본!$M$5:$M$100000,N$5))</f>
        <v/>
      </c>
      <c r="O26" s="35">
        <f>IF($A26="","",SUMIFS(전표_원본!$P$5:$P$100000,전표_원본!$O$5:$O$100000,$A26,전표_원본!$M$5:$M$100000,O$5))</f>
        <v/>
      </c>
      <c r="P26" s="35">
        <f>IF($A26="","",SUMIFS(전표_원본!$P$5:$P$100000,전표_원본!$O$5:$O$100000,$A26,전표_원본!$M$5:$M$100000,P$5))</f>
        <v/>
      </c>
      <c r="Q26" s="35">
        <f>IF($A26="","",SUMIFS(전표_원본!$P$5:$P$100000,전표_원본!$O$5:$O$100000,$A26,전표_원본!$M$5:$M$100000,Q$5))</f>
        <v/>
      </c>
      <c r="R26" s="35">
        <f>IF($A26="","",SUMIFS(전표_원본!$P$5:$P$100000,전표_원본!$O$5:$O$100000,$A26,전표_원본!$M$5:$M$100000,R$5))</f>
        <v/>
      </c>
      <c r="S26" s="35">
        <f>IF($A26="","",SUMIFS(전표_원본!$P$5:$P$100000,전표_원본!$O$5:$O$100000,$A26,전표_원본!$M$5:$M$100000,S$5))</f>
        <v/>
      </c>
      <c r="T26" s="35">
        <f>IF($A26="","",SUMIFS(전표_원본!$P$5:$P$100000,전표_원본!$O$5:$O$100000,$A26,전표_원본!$M$5:$M$100000,T$5))</f>
        <v/>
      </c>
      <c r="U26" s="35">
        <f>IF($A26="","",SUMIFS(전표_원본!$P$5:$P$100000,전표_원본!$O$5:$O$100000,$A26,전표_원본!$M$5:$M$100000,U$5))</f>
        <v/>
      </c>
      <c r="V26" s="35">
        <f>IF($A26="","",SUMIFS(전표_원본!$P$5:$P$100000,전표_원본!$O$5:$O$100000,$A26,전표_원본!$M$5:$M$100000,V$5))</f>
        <v/>
      </c>
      <c r="W26" s="35">
        <f>IF($A26="","",SUMIFS(전표_원본!$P$5:$P$100000,전표_원본!$O$5:$O$100000,$A26,전표_원본!$M$5:$M$100000,W$5))</f>
        <v/>
      </c>
      <c r="X26" s="35">
        <f>IF($A26="","",SUMIFS(전표_원본!$P$5:$P$100000,전표_원본!$O$5:$O$100000,$A26,전표_원본!$M$5:$M$100000,X$5))</f>
        <v/>
      </c>
      <c r="Y26" s="35">
        <f>IF($A26="","",SUMIFS(전표_원본!$P$5:$P$100000,전표_원본!$O$5:$O$100000,$A26,전표_원본!$M$5:$M$100000,Y$5))</f>
        <v/>
      </c>
      <c r="Z26" s="35">
        <f>IF($A26="","",SUMIFS(전표_원본!$P$5:$P$100000,전표_원본!$O$5:$O$100000,$A26,전표_원본!$M$5:$M$100000,Z$5))</f>
        <v/>
      </c>
      <c r="AB26" s="40">
        <f>IF(OR($A26="",1&gt;설정!$C$7),0,SUMIFS($C26:$Z26,$C$5:$Z$5,"&gt;="&amp;(설정!$C$6*12+1),$C$5:$Z$5,"&lt;="&amp;(설정!$C$6*12+1)))</f>
        <v/>
      </c>
      <c r="AC26" s="40">
        <f>IF(OR($A26="",2&gt;설정!$C$7),0,SUMIFS($C26:$Z26,$C$5:$Z$5,"&gt;="&amp;(설정!$C$6*12+1),$C$5:$Z$5,"&lt;="&amp;(설정!$C$6*12+2)))</f>
        <v/>
      </c>
      <c r="AD26" s="40">
        <f>IF(OR($A26="",3&gt;설정!$C$7),0,SUMIFS($C26:$Z26,$C$5:$Z$5,"&gt;="&amp;(설정!$C$6*12+1),$C$5:$Z$5,"&lt;="&amp;(설정!$C$6*12+3)))</f>
        <v/>
      </c>
      <c r="AE26" s="40">
        <f>IF(OR($A26="",4&gt;설정!$C$7),0,SUMIFS($C26:$Z26,$C$5:$Z$5,"&gt;="&amp;(설정!$C$6*12+1),$C$5:$Z$5,"&lt;="&amp;(설정!$C$6*12+4)))</f>
        <v/>
      </c>
      <c r="AF26" s="40">
        <f>IF(OR($A26="",5&gt;설정!$C$7),0,SUMIFS($C26:$Z26,$C$5:$Z$5,"&gt;="&amp;(설정!$C$6*12+1),$C$5:$Z$5,"&lt;="&amp;(설정!$C$6*12+5)))</f>
        <v/>
      </c>
      <c r="AG26" s="40">
        <f>IF(OR($A26="",6&gt;설정!$C$7),0,SUMIFS($C26:$Z26,$C$5:$Z$5,"&gt;="&amp;(설정!$C$6*12+1),$C$5:$Z$5,"&lt;="&amp;(설정!$C$6*12+6)))</f>
        <v/>
      </c>
      <c r="AH26" s="40">
        <f>IF(OR($A26="",7&gt;설정!$C$7),0,SUMIFS($C26:$Z26,$C$5:$Z$5,"&gt;="&amp;(설정!$C$6*12+1),$C$5:$Z$5,"&lt;="&amp;(설정!$C$6*12+7)))</f>
        <v/>
      </c>
      <c r="AI26" s="40">
        <f>IF(OR($A26="",8&gt;설정!$C$7),0,SUMIFS($C26:$Z26,$C$5:$Z$5,"&gt;="&amp;(설정!$C$6*12+1),$C$5:$Z$5,"&lt;="&amp;(설정!$C$6*12+8)))</f>
        <v/>
      </c>
      <c r="AJ26" s="40">
        <f>IF(OR($A26="",9&gt;설정!$C$7),0,SUMIFS($C26:$Z26,$C$5:$Z$5,"&gt;="&amp;(설정!$C$6*12+1),$C$5:$Z$5,"&lt;="&amp;(설정!$C$6*12+9)))</f>
        <v/>
      </c>
      <c r="AK26" s="40">
        <f>IF(OR($A26="",10&gt;설정!$C$7),0,SUMIFS($C26:$Z26,$C$5:$Z$5,"&gt;="&amp;(설정!$C$6*12+1),$C$5:$Z$5,"&lt;="&amp;(설정!$C$6*12+10)))</f>
        <v/>
      </c>
      <c r="AL26" s="40">
        <f>IF(OR($A26="",11&gt;설정!$C$7),0,SUMIFS($C26:$Z26,$C$5:$Z$5,"&gt;="&amp;(설정!$C$6*12+1),$C$5:$Z$5,"&lt;="&amp;(설정!$C$6*12+11)))</f>
        <v/>
      </c>
      <c r="AM26" s="40">
        <f>IF(OR($A26="",12&gt;설정!$C$7),0,SUMIFS($C26:$Z26,$C$5:$Z$5,"&gt;="&amp;(설정!$C$6*12+1),$C$5:$Z$5,"&lt;="&amp;(설정!$C$6*12+12)))</f>
        <v/>
      </c>
    </row>
    <row r="27">
      <c r="A27" s="26">
        <f>IF(변동분석!$A27="","",변동분석!$E27)</f>
        <v/>
      </c>
      <c r="B27" s="26">
        <f>IF($A27="","",변동분석!$B27&amp;" "&amp;변동분석!$D27)</f>
        <v/>
      </c>
      <c r="C27" s="35">
        <f>IF($A27="","",SUMIFS(전표_원본!$P$5:$P$100000,전표_원본!$O$5:$O$100000,$A27,전표_원본!$M$5:$M$100000,C$5))</f>
        <v/>
      </c>
      <c r="D27" s="35">
        <f>IF($A27="","",SUMIFS(전표_원본!$P$5:$P$100000,전표_원본!$O$5:$O$100000,$A27,전표_원본!$M$5:$M$100000,D$5))</f>
        <v/>
      </c>
      <c r="E27" s="35">
        <f>IF($A27="","",SUMIFS(전표_원본!$P$5:$P$100000,전표_원본!$O$5:$O$100000,$A27,전표_원본!$M$5:$M$100000,E$5))</f>
        <v/>
      </c>
      <c r="F27" s="35">
        <f>IF($A27="","",SUMIFS(전표_원본!$P$5:$P$100000,전표_원본!$O$5:$O$100000,$A27,전표_원본!$M$5:$M$100000,F$5))</f>
        <v/>
      </c>
      <c r="G27" s="35">
        <f>IF($A27="","",SUMIFS(전표_원본!$P$5:$P$100000,전표_원본!$O$5:$O$100000,$A27,전표_원본!$M$5:$M$100000,G$5))</f>
        <v/>
      </c>
      <c r="H27" s="35">
        <f>IF($A27="","",SUMIFS(전표_원본!$P$5:$P$100000,전표_원본!$O$5:$O$100000,$A27,전표_원본!$M$5:$M$100000,H$5))</f>
        <v/>
      </c>
      <c r="I27" s="35">
        <f>IF($A27="","",SUMIFS(전표_원본!$P$5:$P$100000,전표_원본!$O$5:$O$100000,$A27,전표_원본!$M$5:$M$100000,I$5))</f>
        <v/>
      </c>
      <c r="J27" s="35">
        <f>IF($A27="","",SUMIFS(전표_원본!$P$5:$P$100000,전표_원본!$O$5:$O$100000,$A27,전표_원본!$M$5:$M$100000,J$5))</f>
        <v/>
      </c>
      <c r="K27" s="35">
        <f>IF($A27="","",SUMIFS(전표_원본!$P$5:$P$100000,전표_원본!$O$5:$O$100000,$A27,전표_원본!$M$5:$M$100000,K$5))</f>
        <v/>
      </c>
      <c r="L27" s="35">
        <f>IF($A27="","",SUMIFS(전표_원본!$P$5:$P$100000,전표_원본!$O$5:$O$100000,$A27,전표_원본!$M$5:$M$100000,L$5))</f>
        <v/>
      </c>
      <c r="M27" s="35">
        <f>IF($A27="","",SUMIFS(전표_원본!$P$5:$P$100000,전표_원본!$O$5:$O$100000,$A27,전표_원본!$M$5:$M$100000,M$5))</f>
        <v/>
      </c>
      <c r="N27" s="35">
        <f>IF($A27="","",SUMIFS(전표_원본!$P$5:$P$100000,전표_원본!$O$5:$O$100000,$A27,전표_원본!$M$5:$M$100000,N$5))</f>
        <v/>
      </c>
      <c r="O27" s="35">
        <f>IF($A27="","",SUMIFS(전표_원본!$P$5:$P$100000,전표_원본!$O$5:$O$100000,$A27,전표_원본!$M$5:$M$100000,O$5))</f>
        <v/>
      </c>
      <c r="P27" s="35">
        <f>IF($A27="","",SUMIFS(전표_원본!$P$5:$P$100000,전표_원본!$O$5:$O$100000,$A27,전표_원본!$M$5:$M$100000,P$5))</f>
        <v/>
      </c>
      <c r="Q27" s="35">
        <f>IF($A27="","",SUMIFS(전표_원본!$P$5:$P$100000,전표_원본!$O$5:$O$100000,$A27,전표_원본!$M$5:$M$100000,Q$5))</f>
        <v/>
      </c>
      <c r="R27" s="35">
        <f>IF($A27="","",SUMIFS(전표_원본!$P$5:$P$100000,전표_원본!$O$5:$O$100000,$A27,전표_원본!$M$5:$M$100000,R$5))</f>
        <v/>
      </c>
      <c r="S27" s="35">
        <f>IF($A27="","",SUMIFS(전표_원본!$P$5:$P$100000,전표_원본!$O$5:$O$100000,$A27,전표_원본!$M$5:$M$100000,S$5))</f>
        <v/>
      </c>
      <c r="T27" s="35">
        <f>IF($A27="","",SUMIFS(전표_원본!$P$5:$P$100000,전표_원본!$O$5:$O$100000,$A27,전표_원본!$M$5:$M$100000,T$5))</f>
        <v/>
      </c>
      <c r="U27" s="35">
        <f>IF($A27="","",SUMIFS(전표_원본!$P$5:$P$100000,전표_원본!$O$5:$O$100000,$A27,전표_원본!$M$5:$M$100000,U$5))</f>
        <v/>
      </c>
      <c r="V27" s="35">
        <f>IF($A27="","",SUMIFS(전표_원본!$P$5:$P$100000,전표_원본!$O$5:$O$100000,$A27,전표_원본!$M$5:$M$100000,V$5))</f>
        <v/>
      </c>
      <c r="W27" s="35">
        <f>IF($A27="","",SUMIFS(전표_원본!$P$5:$P$100000,전표_원본!$O$5:$O$100000,$A27,전표_원본!$M$5:$M$100000,W$5))</f>
        <v/>
      </c>
      <c r="X27" s="35">
        <f>IF($A27="","",SUMIFS(전표_원본!$P$5:$P$100000,전표_원본!$O$5:$O$100000,$A27,전표_원본!$M$5:$M$100000,X$5))</f>
        <v/>
      </c>
      <c r="Y27" s="35">
        <f>IF($A27="","",SUMIFS(전표_원본!$P$5:$P$100000,전표_원본!$O$5:$O$100000,$A27,전표_원본!$M$5:$M$100000,Y$5))</f>
        <v/>
      </c>
      <c r="Z27" s="35">
        <f>IF($A27="","",SUMIFS(전표_원본!$P$5:$P$100000,전표_원본!$O$5:$O$100000,$A27,전표_원본!$M$5:$M$100000,Z$5))</f>
        <v/>
      </c>
      <c r="AB27" s="40">
        <f>IF(OR($A27="",1&gt;설정!$C$7),0,SUMIFS($C27:$Z27,$C$5:$Z$5,"&gt;="&amp;(설정!$C$6*12+1),$C$5:$Z$5,"&lt;="&amp;(설정!$C$6*12+1)))</f>
        <v/>
      </c>
      <c r="AC27" s="40">
        <f>IF(OR($A27="",2&gt;설정!$C$7),0,SUMIFS($C27:$Z27,$C$5:$Z$5,"&gt;="&amp;(설정!$C$6*12+1),$C$5:$Z$5,"&lt;="&amp;(설정!$C$6*12+2)))</f>
        <v/>
      </c>
      <c r="AD27" s="40">
        <f>IF(OR($A27="",3&gt;설정!$C$7),0,SUMIFS($C27:$Z27,$C$5:$Z$5,"&gt;="&amp;(설정!$C$6*12+1),$C$5:$Z$5,"&lt;="&amp;(설정!$C$6*12+3)))</f>
        <v/>
      </c>
      <c r="AE27" s="40">
        <f>IF(OR($A27="",4&gt;설정!$C$7),0,SUMIFS($C27:$Z27,$C$5:$Z$5,"&gt;="&amp;(설정!$C$6*12+1),$C$5:$Z$5,"&lt;="&amp;(설정!$C$6*12+4)))</f>
        <v/>
      </c>
      <c r="AF27" s="40">
        <f>IF(OR($A27="",5&gt;설정!$C$7),0,SUMIFS($C27:$Z27,$C$5:$Z$5,"&gt;="&amp;(설정!$C$6*12+1),$C$5:$Z$5,"&lt;="&amp;(설정!$C$6*12+5)))</f>
        <v/>
      </c>
      <c r="AG27" s="40">
        <f>IF(OR($A27="",6&gt;설정!$C$7),0,SUMIFS($C27:$Z27,$C$5:$Z$5,"&gt;="&amp;(설정!$C$6*12+1),$C$5:$Z$5,"&lt;="&amp;(설정!$C$6*12+6)))</f>
        <v/>
      </c>
      <c r="AH27" s="40">
        <f>IF(OR($A27="",7&gt;설정!$C$7),0,SUMIFS($C27:$Z27,$C$5:$Z$5,"&gt;="&amp;(설정!$C$6*12+1),$C$5:$Z$5,"&lt;="&amp;(설정!$C$6*12+7)))</f>
        <v/>
      </c>
      <c r="AI27" s="40">
        <f>IF(OR($A27="",8&gt;설정!$C$7),0,SUMIFS($C27:$Z27,$C$5:$Z$5,"&gt;="&amp;(설정!$C$6*12+1),$C$5:$Z$5,"&lt;="&amp;(설정!$C$6*12+8)))</f>
        <v/>
      </c>
      <c r="AJ27" s="40">
        <f>IF(OR($A27="",9&gt;설정!$C$7),0,SUMIFS($C27:$Z27,$C$5:$Z$5,"&gt;="&amp;(설정!$C$6*12+1),$C$5:$Z$5,"&lt;="&amp;(설정!$C$6*12+9)))</f>
        <v/>
      </c>
      <c r="AK27" s="40">
        <f>IF(OR($A27="",10&gt;설정!$C$7),0,SUMIFS($C27:$Z27,$C$5:$Z$5,"&gt;="&amp;(설정!$C$6*12+1),$C$5:$Z$5,"&lt;="&amp;(설정!$C$6*12+10)))</f>
        <v/>
      </c>
      <c r="AL27" s="40">
        <f>IF(OR($A27="",11&gt;설정!$C$7),0,SUMIFS($C27:$Z27,$C$5:$Z$5,"&gt;="&amp;(설정!$C$6*12+1),$C$5:$Z$5,"&lt;="&amp;(설정!$C$6*12+11)))</f>
        <v/>
      </c>
      <c r="AM27" s="40">
        <f>IF(OR($A27="",12&gt;설정!$C$7),0,SUMIFS($C27:$Z27,$C$5:$Z$5,"&gt;="&amp;(설정!$C$6*12+1),$C$5:$Z$5,"&lt;="&amp;(설정!$C$6*12+12)))</f>
        <v/>
      </c>
    </row>
    <row r="28">
      <c r="A28" s="26">
        <f>IF(변동분석!$A28="","",변동분석!$E28)</f>
        <v/>
      </c>
      <c r="B28" s="26">
        <f>IF($A28="","",변동분석!$B28&amp;" "&amp;변동분석!$D28)</f>
        <v/>
      </c>
      <c r="C28" s="35">
        <f>IF($A28="","",SUMIFS(전표_원본!$P$5:$P$100000,전표_원본!$O$5:$O$100000,$A28,전표_원본!$M$5:$M$100000,C$5))</f>
        <v/>
      </c>
      <c r="D28" s="35">
        <f>IF($A28="","",SUMIFS(전표_원본!$P$5:$P$100000,전표_원본!$O$5:$O$100000,$A28,전표_원본!$M$5:$M$100000,D$5))</f>
        <v/>
      </c>
      <c r="E28" s="35">
        <f>IF($A28="","",SUMIFS(전표_원본!$P$5:$P$100000,전표_원본!$O$5:$O$100000,$A28,전표_원본!$M$5:$M$100000,E$5))</f>
        <v/>
      </c>
      <c r="F28" s="35">
        <f>IF($A28="","",SUMIFS(전표_원본!$P$5:$P$100000,전표_원본!$O$5:$O$100000,$A28,전표_원본!$M$5:$M$100000,F$5))</f>
        <v/>
      </c>
      <c r="G28" s="35">
        <f>IF($A28="","",SUMIFS(전표_원본!$P$5:$P$100000,전표_원본!$O$5:$O$100000,$A28,전표_원본!$M$5:$M$100000,G$5))</f>
        <v/>
      </c>
      <c r="H28" s="35">
        <f>IF($A28="","",SUMIFS(전표_원본!$P$5:$P$100000,전표_원본!$O$5:$O$100000,$A28,전표_원본!$M$5:$M$100000,H$5))</f>
        <v/>
      </c>
      <c r="I28" s="35">
        <f>IF($A28="","",SUMIFS(전표_원본!$P$5:$P$100000,전표_원본!$O$5:$O$100000,$A28,전표_원본!$M$5:$M$100000,I$5))</f>
        <v/>
      </c>
      <c r="J28" s="35">
        <f>IF($A28="","",SUMIFS(전표_원본!$P$5:$P$100000,전표_원본!$O$5:$O$100000,$A28,전표_원본!$M$5:$M$100000,J$5))</f>
        <v/>
      </c>
      <c r="K28" s="35">
        <f>IF($A28="","",SUMIFS(전표_원본!$P$5:$P$100000,전표_원본!$O$5:$O$100000,$A28,전표_원본!$M$5:$M$100000,K$5))</f>
        <v/>
      </c>
      <c r="L28" s="35">
        <f>IF($A28="","",SUMIFS(전표_원본!$P$5:$P$100000,전표_원본!$O$5:$O$100000,$A28,전표_원본!$M$5:$M$100000,L$5))</f>
        <v/>
      </c>
      <c r="M28" s="35">
        <f>IF($A28="","",SUMIFS(전표_원본!$P$5:$P$100000,전표_원본!$O$5:$O$100000,$A28,전표_원본!$M$5:$M$100000,M$5))</f>
        <v/>
      </c>
      <c r="N28" s="35">
        <f>IF($A28="","",SUMIFS(전표_원본!$P$5:$P$100000,전표_원본!$O$5:$O$100000,$A28,전표_원본!$M$5:$M$100000,N$5))</f>
        <v/>
      </c>
      <c r="O28" s="35">
        <f>IF($A28="","",SUMIFS(전표_원본!$P$5:$P$100000,전표_원본!$O$5:$O$100000,$A28,전표_원본!$M$5:$M$100000,O$5))</f>
        <v/>
      </c>
      <c r="P28" s="35">
        <f>IF($A28="","",SUMIFS(전표_원본!$P$5:$P$100000,전표_원본!$O$5:$O$100000,$A28,전표_원본!$M$5:$M$100000,P$5))</f>
        <v/>
      </c>
      <c r="Q28" s="35">
        <f>IF($A28="","",SUMIFS(전표_원본!$P$5:$P$100000,전표_원본!$O$5:$O$100000,$A28,전표_원본!$M$5:$M$100000,Q$5))</f>
        <v/>
      </c>
      <c r="R28" s="35">
        <f>IF($A28="","",SUMIFS(전표_원본!$P$5:$P$100000,전표_원본!$O$5:$O$100000,$A28,전표_원본!$M$5:$M$100000,R$5))</f>
        <v/>
      </c>
      <c r="S28" s="35">
        <f>IF($A28="","",SUMIFS(전표_원본!$P$5:$P$100000,전표_원본!$O$5:$O$100000,$A28,전표_원본!$M$5:$M$100000,S$5))</f>
        <v/>
      </c>
      <c r="T28" s="35">
        <f>IF($A28="","",SUMIFS(전표_원본!$P$5:$P$100000,전표_원본!$O$5:$O$100000,$A28,전표_원본!$M$5:$M$100000,T$5))</f>
        <v/>
      </c>
      <c r="U28" s="35">
        <f>IF($A28="","",SUMIFS(전표_원본!$P$5:$P$100000,전표_원본!$O$5:$O$100000,$A28,전표_원본!$M$5:$M$100000,U$5))</f>
        <v/>
      </c>
      <c r="V28" s="35">
        <f>IF($A28="","",SUMIFS(전표_원본!$P$5:$P$100000,전표_원본!$O$5:$O$100000,$A28,전표_원본!$M$5:$M$100000,V$5))</f>
        <v/>
      </c>
      <c r="W28" s="35">
        <f>IF($A28="","",SUMIFS(전표_원본!$P$5:$P$100000,전표_원본!$O$5:$O$100000,$A28,전표_원본!$M$5:$M$100000,W$5))</f>
        <v/>
      </c>
      <c r="X28" s="35">
        <f>IF($A28="","",SUMIFS(전표_원본!$P$5:$P$100000,전표_원본!$O$5:$O$100000,$A28,전표_원본!$M$5:$M$100000,X$5))</f>
        <v/>
      </c>
      <c r="Y28" s="35">
        <f>IF($A28="","",SUMIFS(전표_원본!$P$5:$P$100000,전표_원본!$O$5:$O$100000,$A28,전표_원본!$M$5:$M$100000,Y$5))</f>
        <v/>
      </c>
      <c r="Z28" s="35">
        <f>IF($A28="","",SUMIFS(전표_원본!$P$5:$P$100000,전표_원본!$O$5:$O$100000,$A28,전표_원본!$M$5:$M$100000,Z$5))</f>
        <v/>
      </c>
      <c r="AB28" s="40">
        <f>IF(OR($A28="",1&gt;설정!$C$7),0,SUMIFS($C28:$Z28,$C$5:$Z$5,"&gt;="&amp;(설정!$C$6*12+1),$C$5:$Z$5,"&lt;="&amp;(설정!$C$6*12+1)))</f>
        <v/>
      </c>
      <c r="AC28" s="40">
        <f>IF(OR($A28="",2&gt;설정!$C$7),0,SUMIFS($C28:$Z28,$C$5:$Z$5,"&gt;="&amp;(설정!$C$6*12+1),$C$5:$Z$5,"&lt;="&amp;(설정!$C$6*12+2)))</f>
        <v/>
      </c>
      <c r="AD28" s="40">
        <f>IF(OR($A28="",3&gt;설정!$C$7),0,SUMIFS($C28:$Z28,$C$5:$Z$5,"&gt;="&amp;(설정!$C$6*12+1),$C$5:$Z$5,"&lt;="&amp;(설정!$C$6*12+3)))</f>
        <v/>
      </c>
      <c r="AE28" s="40">
        <f>IF(OR($A28="",4&gt;설정!$C$7),0,SUMIFS($C28:$Z28,$C$5:$Z$5,"&gt;="&amp;(설정!$C$6*12+1),$C$5:$Z$5,"&lt;="&amp;(설정!$C$6*12+4)))</f>
        <v/>
      </c>
      <c r="AF28" s="40">
        <f>IF(OR($A28="",5&gt;설정!$C$7),0,SUMIFS($C28:$Z28,$C$5:$Z$5,"&gt;="&amp;(설정!$C$6*12+1),$C$5:$Z$5,"&lt;="&amp;(설정!$C$6*12+5)))</f>
        <v/>
      </c>
      <c r="AG28" s="40">
        <f>IF(OR($A28="",6&gt;설정!$C$7),0,SUMIFS($C28:$Z28,$C$5:$Z$5,"&gt;="&amp;(설정!$C$6*12+1),$C$5:$Z$5,"&lt;="&amp;(설정!$C$6*12+6)))</f>
        <v/>
      </c>
      <c r="AH28" s="40">
        <f>IF(OR($A28="",7&gt;설정!$C$7),0,SUMIFS($C28:$Z28,$C$5:$Z$5,"&gt;="&amp;(설정!$C$6*12+1),$C$5:$Z$5,"&lt;="&amp;(설정!$C$6*12+7)))</f>
        <v/>
      </c>
      <c r="AI28" s="40">
        <f>IF(OR($A28="",8&gt;설정!$C$7),0,SUMIFS($C28:$Z28,$C$5:$Z$5,"&gt;="&amp;(설정!$C$6*12+1),$C$5:$Z$5,"&lt;="&amp;(설정!$C$6*12+8)))</f>
        <v/>
      </c>
      <c r="AJ28" s="40">
        <f>IF(OR($A28="",9&gt;설정!$C$7),0,SUMIFS($C28:$Z28,$C$5:$Z$5,"&gt;="&amp;(설정!$C$6*12+1),$C$5:$Z$5,"&lt;="&amp;(설정!$C$6*12+9)))</f>
        <v/>
      </c>
      <c r="AK28" s="40">
        <f>IF(OR($A28="",10&gt;설정!$C$7),0,SUMIFS($C28:$Z28,$C$5:$Z$5,"&gt;="&amp;(설정!$C$6*12+1),$C$5:$Z$5,"&lt;="&amp;(설정!$C$6*12+10)))</f>
        <v/>
      </c>
      <c r="AL28" s="40">
        <f>IF(OR($A28="",11&gt;설정!$C$7),0,SUMIFS($C28:$Z28,$C$5:$Z$5,"&gt;="&amp;(설정!$C$6*12+1),$C$5:$Z$5,"&lt;="&amp;(설정!$C$6*12+11)))</f>
        <v/>
      </c>
      <c r="AM28" s="40">
        <f>IF(OR($A28="",12&gt;설정!$C$7),0,SUMIFS($C28:$Z28,$C$5:$Z$5,"&gt;="&amp;(설정!$C$6*12+1),$C$5:$Z$5,"&lt;="&amp;(설정!$C$6*12+12)))</f>
        <v/>
      </c>
    </row>
    <row r="29">
      <c r="A29" s="26">
        <f>IF(변동분석!$A29="","",변동분석!$E29)</f>
        <v/>
      </c>
      <c r="B29" s="26">
        <f>IF($A29="","",변동분석!$B29&amp;" "&amp;변동분석!$D29)</f>
        <v/>
      </c>
      <c r="C29" s="35">
        <f>IF($A29="","",SUMIFS(전표_원본!$P$5:$P$100000,전표_원본!$O$5:$O$100000,$A29,전표_원본!$M$5:$M$100000,C$5))</f>
        <v/>
      </c>
      <c r="D29" s="35">
        <f>IF($A29="","",SUMIFS(전표_원본!$P$5:$P$100000,전표_원본!$O$5:$O$100000,$A29,전표_원본!$M$5:$M$100000,D$5))</f>
        <v/>
      </c>
      <c r="E29" s="35">
        <f>IF($A29="","",SUMIFS(전표_원본!$P$5:$P$100000,전표_원본!$O$5:$O$100000,$A29,전표_원본!$M$5:$M$100000,E$5))</f>
        <v/>
      </c>
      <c r="F29" s="35">
        <f>IF($A29="","",SUMIFS(전표_원본!$P$5:$P$100000,전표_원본!$O$5:$O$100000,$A29,전표_원본!$M$5:$M$100000,F$5))</f>
        <v/>
      </c>
      <c r="G29" s="35">
        <f>IF($A29="","",SUMIFS(전표_원본!$P$5:$P$100000,전표_원본!$O$5:$O$100000,$A29,전표_원본!$M$5:$M$100000,G$5))</f>
        <v/>
      </c>
      <c r="H29" s="35">
        <f>IF($A29="","",SUMIFS(전표_원본!$P$5:$P$100000,전표_원본!$O$5:$O$100000,$A29,전표_원본!$M$5:$M$100000,H$5))</f>
        <v/>
      </c>
      <c r="I29" s="35">
        <f>IF($A29="","",SUMIFS(전표_원본!$P$5:$P$100000,전표_원본!$O$5:$O$100000,$A29,전표_원본!$M$5:$M$100000,I$5))</f>
        <v/>
      </c>
      <c r="J29" s="35">
        <f>IF($A29="","",SUMIFS(전표_원본!$P$5:$P$100000,전표_원본!$O$5:$O$100000,$A29,전표_원본!$M$5:$M$100000,J$5))</f>
        <v/>
      </c>
      <c r="K29" s="35">
        <f>IF($A29="","",SUMIFS(전표_원본!$P$5:$P$100000,전표_원본!$O$5:$O$100000,$A29,전표_원본!$M$5:$M$100000,K$5))</f>
        <v/>
      </c>
      <c r="L29" s="35">
        <f>IF($A29="","",SUMIFS(전표_원본!$P$5:$P$100000,전표_원본!$O$5:$O$100000,$A29,전표_원본!$M$5:$M$100000,L$5))</f>
        <v/>
      </c>
      <c r="M29" s="35">
        <f>IF($A29="","",SUMIFS(전표_원본!$P$5:$P$100000,전표_원본!$O$5:$O$100000,$A29,전표_원본!$M$5:$M$100000,M$5))</f>
        <v/>
      </c>
      <c r="N29" s="35">
        <f>IF($A29="","",SUMIFS(전표_원본!$P$5:$P$100000,전표_원본!$O$5:$O$100000,$A29,전표_원본!$M$5:$M$100000,N$5))</f>
        <v/>
      </c>
      <c r="O29" s="35">
        <f>IF($A29="","",SUMIFS(전표_원본!$P$5:$P$100000,전표_원본!$O$5:$O$100000,$A29,전표_원본!$M$5:$M$100000,O$5))</f>
        <v/>
      </c>
      <c r="P29" s="35">
        <f>IF($A29="","",SUMIFS(전표_원본!$P$5:$P$100000,전표_원본!$O$5:$O$100000,$A29,전표_원본!$M$5:$M$100000,P$5))</f>
        <v/>
      </c>
      <c r="Q29" s="35">
        <f>IF($A29="","",SUMIFS(전표_원본!$P$5:$P$100000,전표_원본!$O$5:$O$100000,$A29,전표_원본!$M$5:$M$100000,Q$5))</f>
        <v/>
      </c>
      <c r="R29" s="35">
        <f>IF($A29="","",SUMIFS(전표_원본!$P$5:$P$100000,전표_원본!$O$5:$O$100000,$A29,전표_원본!$M$5:$M$100000,R$5))</f>
        <v/>
      </c>
      <c r="S29" s="35">
        <f>IF($A29="","",SUMIFS(전표_원본!$P$5:$P$100000,전표_원본!$O$5:$O$100000,$A29,전표_원본!$M$5:$M$100000,S$5))</f>
        <v/>
      </c>
      <c r="T29" s="35">
        <f>IF($A29="","",SUMIFS(전표_원본!$P$5:$P$100000,전표_원본!$O$5:$O$100000,$A29,전표_원본!$M$5:$M$100000,T$5))</f>
        <v/>
      </c>
      <c r="U29" s="35">
        <f>IF($A29="","",SUMIFS(전표_원본!$P$5:$P$100000,전표_원본!$O$5:$O$100000,$A29,전표_원본!$M$5:$M$100000,U$5))</f>
        <v/>
      </c>
      <c r="V29" s="35">
        <f>IF($A29="","",SUMIFS(전표_원본!$P$5:$P$100000,전표_원본!$O$5:$O$100000,$A29,전표_원본!$M$5:$M$100000,V$5))</f>
        <v/>
      </c>
      <c r="W29" s="35">
        <f>IF($A29="","",SUMIFS(전표_원본!$P$5:$P$100000,전표_원본!$O$5:$O$100000,$A29,전표_원본!$M$5:$M$100000,W$5))</f>
        <v/>
      </c>
      <c r="X29" s="35">
        <f>IF($A29="","",SUMIFS(전표_원본!$P$5:$P$100000,전표_원본!$O$5:$O$100000,$A29,전표_원본!$M$5:$M$100000,X$5))</f>
        <v/>
      </c>
      <c r="Y29" s="35">
        <f>IF($A29="","",SUMIFS(전표_원본!$P$5:$P$100000,전표_원본!$O$5:$O$100000,$A29,전표_원본!$M$5:$M$100000,Y$5))</f>
        <v/>
      </c>
      <c r="Z29" s="35">
        <f>IF($A29="","",SUMIFS(전표_원본!$P$5:$P$100000,전표_원본!$O$5:$O$100000,$A29,전표_원본!$M$5:$M$100000,Z$5))</f>
        <v/>
      </c>
      <c r="AB29" s="40">
        <f>IF(OR($A29="",1&gt;설정!$C$7),0,SUMIFS($C29:$Z29,$C$5:$Z$5,"&gt;="&amp;(설정!$C$6*12+1),$C$5:$Z$5,"&lt;="&amp;(설정!$C$6*12+1)))</f>
        <v/>
      </c>
      <c r="AC29" s="40">
        <f>IF(OR($A29="",2&gt;설정!$C$7),0,SUMIFS($C29:$Z29,$C$5:$Z$5,"&gt;="&amp;(설정!$C$6*12+1),$C$5:$Z$5,"&lt;="&amp;(설정!$C$6*12+2)))</f>
        <v/>
      </c>
      <c r="AD29" s="40">
        <f>IF(OR($A29="",3&gt;설정!$C$7),0,SUMIFS($C29:$Z29,$C$5:$Z$5,"&gt;="&amp;(설정!$C$6*12+1),$C$5:$Z$5,"&lt;="&amp;(설정!$C$6*12+3)))</f>
        <v/>
      </c>
      <c r="AE29" s="40">
        <f>IF(OR($A29="",4&gt;설정!$C$7),0,SUMIFS($C29:$Z29,$C$5:$Z$5,"&gt;="&amp;(설정!$C$6*12+1),$C$5:$Z$5,"&lt;="&amp;(설정!$C$6*12+4)))</f>
        <v/>
      </c>
      <c r="AF29" s="40">
        <f>IF(OR($A29="",5&gt;설정!$C$7),0,SUMIFS($C29:$Z29,$C$5:$Z$5,"&gt;="&amp;(설정!$C$6*12+1),$C$5:$Z$5,"&lt;="&amp;(설정!$C$6*12+5)))</f>
        <v/>
      </c>
      <c r="AG29" s="40">
        <f>IF(OR($A29="",6&gt;설정!$C$7),0,SUMIFS($C29:$Z29,$C$5:$Z$5,"&gt;="&amp;(설정!$C$6*12+1),$C$5:$Z$5,"&lt;="&amp;(설정!$C$6*12+6)))</f>
        <v/>
      </c>
      <c r="AH29" s="40">
        <f>IF(OR($A29="",7&gt;설정!$C$7),0,SUMIFS($C29:$Z29,$C$5:$Z$5,"&gt;="&amp;(설정!$C$6*12+1),$C$5:$Z$5,"&lt;="&amp;(설정!$C$6*12+7)))</f>
        <v/>
      </c>
      <c r="AI29" s="40">
        <f>IF(OR($A29="",8&gt;설정!$C$7),0,SUMIFS($C29:$Z29,$C$5:$Z$5,"&gt;="&amp;(설정!$C$6*12+1),$C$5:$Z$5,"&lt;="&amp;(설정!$C$6*12+8)))</f>
        <v/>
      </c>
      <c r="AJ29" s="40">
        <f>IF(OR($A29="",9&gt;설정!$C$7),0,SUMIFS($C29:$Z29,$C$5:$Z$5,"&gt;="&amp;(설정!$C$6*12+1),$C$5:$Z$5,"&lt;="&amp;(설정!$C$6*12+9)))</f>
        <v/>
      </c>
      <c r="AK29" s="40">
        <f>IF(OR($A29="",10&gt;설정!$C$7),0,SUMIFS($C29:$Z29,$C$5:$Z$5,"&gt;="&amp;(설정!$C$6*12+1),$C$5:$Z$5,"&lt;="&amp;(설정!$C$6*12+10)))</f>
        <v/>
      </c>
      <c r="AL29" s="40">
        <f>IF(OR($A29="",11&gt;설정!$C$7),0,SUMIFS($C29:$Z29,$C$5:$Z$5,"&gt;="&amp;(설정!$C$6*12+1),$C$5:$Z$5,"&lt;="&amp;(설정!$C$6*12+11)))</f>
        <v/>
      </c>
      <c r="AM29" s="40">
        <f>IF(OR($A29="",12&gt;설정!$C$7),0,SUMIFS($C29:$Z29,$C$5:$Z$5,"&gt;="&amp;(설정!$C$6*12+1),$C$5:$Z$5,"&lt;="&amp;(설정!$C$6*12+12)))</f>
        <v/>
      </c>
    </row>
    <row r="30">
      <c r="A30" s="26">
        <f>IF(변동분석!$A30="","",변동분석!$E30)</f>
        <v/>
      </c>
      <c r="B30" s="26">
        <f>IF($A30="","",변동분석!$B30&amp;" "&amp;변동분석!$D30)</f>
        <v/>
      </c>
      <c r="C30" s="35">
        <f>IF($A30="","",SUMIFS(전표_원본!$P$5:$P$100000,전표_원본!$O$5:$O$100000,$A30,전표_원본!$M$5:$M$100000,C$5))</f>
        <v/>
      </c>
      <c r="D30" s="35">
        <f>IF($A30="","",SUMIFS(전표_원본!$P$5:$P$100000,전표_원본!$O$5:$O$100000,$A30,전표_원본!$M$5:$M$100000,D$5))</f>
        <v/>
      </c>
      <c r="E30" s="35">
        <f>IF($A30="","",SUMIFS(전표_원본!$P$5:$P$100000,전표_원본!$O$5:$O$100000,$A30,전표_원본!$M$5:$M$100000,E$5))</f>
        <v/>
      </c>
      <c r="F30" s="35">
        <f>IF($A30="","",SUMIFS(전표_원본!$P$5:$P$100000,전표_원본!$O$5:$O$100000,$A30,전표_원본!$M$5:$M$100000,F$5))</f>
        <v/>
      </c>
      <c r="G30" s="35">
        <f>IF($A30="","",SUMIFS(전표_원본!$P$5:$P$100000,전표_원본!$O$5:$O$100000,$A30,전표_원본!$M$5:$M$100000,G$5))</f>
        <v/>
      </c>
      <c r="H30" s="35">
        <f>IF($A30="","",SUMIFS(전표_원본!$P$5:$P$100000,전표_원본!$O$5:$O$100000,$A30,전표_원본!$M$5:$M$100000,H$5))</f>
        <v/>
      </c>
      <c r="I30" s="35">
        <f>IF($A30="","",SUMIFS(전표_원본!$P$5:$P$100000,전표_원본!$O$5:$O$100000,$A30,전표_원본!$M$5:$M$100000,I$5))</f>
        <v/>
      </c>
      <c r="J30" s="35">
        <f>IF($A30="","",SUMIFS(전표_원본!$P$5:$P$100000,전표_원본!$O$5:$O$100000,$A30,전표_원본!$M$5:$M$100000,J$5))</f>
        <v/>
      </c>
      <c r="K30" s="35">
        <f>IF($A30="","",SUMIFS(전표_원본!$P$5:$P$100000,전표_원본!$O$5:$O$100000,$A30,전표_원본!$M$5:$M$100000,K$5))</f>
        <v/>
      </c>
      <c r="L30" s="35">
        <f>IF($A30="","",SUMIFS(전표_원본!$P$5:$P$100000,전표_원본!$O$5:$O$100000,$A30,전표_원본!$M$5:$M$100000,L$5))</f>
        <v/>
      </c>
      <c r="M30" s="35">
        <f>IF($A30="","",SUMIFS(전표_원본!$P$5:$P$100000,전표_원본!$O$5:$O$100000,$A30,전표_원본!$M$5:$M$100000,M$5))</f>
        <v/>
      </c>
      <c r="N30" s="35">
        <f>IF($A30="","",SUMIFS(전표_원본!$P$5:$P$100000,전표_원본!$O$5:$O$100000,$A30,전표_원본!$M$5:$M$100000,N$5))</f>
        <v/>
      </c>
      <c r="O30" s="35">
        <f>IF($A30="","",SUMIFS(전표_원본!$P$5:$P$100000,전표_원본!$O$5:$O$100000,$A30,전표_원본!$M$5:$M$100000,O$5))</f>
        <v/>
      </c>
      <c r="P30" s="35">
        <f>IF($A30="","",SUMIFS(전표_원본!$P$5:$P$100000,전표_원본!$O$5:$O$100000,$A30,전표_원본!$M$5:$M$100000,P$5))</f>
        <v/>
      </c>
      <c r="Q30" s="35">
        <f>IF($A30="","",SUMIFS(전표_원본!$P$5:$P$100000,전표_원본!$O$5:$O$100000,$A30,전표_원본!$M$5:$M$100000,Q$5))</f>
        <v/>
      </c>
      <c r="R30" s="35">
        <f>IF($A30="","",SUMIFS(전표_원본!$P$5:$P$100000,전표_원본!$O$5:$O$100000,$A30,전표_원본!$M$5:$M$100000,R$5))</f>
        <v/>
      </c>
      <c r="S30" s="35">
        <f>IF($A30="","",SUMIFS(전표_원본!$P$5:$P$100000,전표_원본!$O$5:$O$100000,$A30,전표_원본!$M$5:$M$100000,S$5))</f>
        <v/>
      </c>
      <c r="T30" s="35">
        <f>IF($A30="","",SUMIFS(전표_원본!$P$5:$P$100000,전표_원본!$O$5:$O$100000,$A30,전표_원본!$M$5:$M$100000,T$5))</f>
        <v/>
      </c>
      <c r="U30" s="35">
        <f>IF($A30="","",SUMIFS(전표_원본!$P$5:$P$100000,전표_원본!$O$5:$O$100000,$A30,전표_원본!$M$5:$M$100000,U$5))</f>
        <v/>
      </c>
      <c r="V30" s="35">
        <f>IF($A30="","",SUMIFS(전표_원본!$P$5:$P$100000,전표_원본!$O$5:$O$100000,$A30,전표_원본!$M$5:$M$100000,V$5))</f>
        <v/>
      </c>
      <c r="W30" s="35">
        <f>IF($A30="","",SUMIFS(전표_원본!$P$5:$P$100000,전표_원본!$O$5:$O$100000,$A30,전표_원본!$M$5:$M$100000,W$5))</f>
        <v/>
      </c>
      <c r="X30" s="35">
        <f>IF($A30="","",SUMIFS(전표_원본!$P$5:$P$100000,전표_원본!$O$5:$O$100000,$A30,전표_원본!$M$5:$M$100000,X$5))</f>
        <v/>
      </c>
      <c r="Y30" s="35">
        <f>IF($A30="","",SUMIFS(전표_원본!$P$5:$P$100000,전표_원본!$O$5:$O$100000,$A30,전표_원본!$M$5:$M$100000,Y$5))</f>
        <v/>
      </c>
      <c r="Z30" s="35">
        <f>IF($A30="","",SUMIFS(전표_원본!$P$5:$P$100000,전표_원본!$O$5:$O$100000,$A30,전표_원본!$M$5:$M$100000,Z$5))</f>
        <v/>
      </c>
      <c r="AB30" s="40">
        <f>IF(OR($A30="",1&gt;설정!$C$7),0,SUMIFS($C30:$Z30,$C$5:$Z$5,"&gt;="&amp;(설정!$C$6*12+1),$C$5:$Z$5,"&lt;="&amp;(설정!$C$6*12+1)))</f>
        <v/>
      </c>
      <c r="AC30" s="40">
        <f>IF(OR($A30="",2&gt;설정!$C$7),0,SUMIFS($C30:$Z30,$C$5:$Z$5,"&gt;="&amp;(설정!$C$6*12+1),$C$5:$Z$5,"&lt;="&amp;(설정!$C$6*12+2)))</f>
        <v/>
      </c>
      <c r="AD30" s="40">
        <f>IF(OR($A30="",3&gt;설정!$C$7),0,SUMIFS($C30:$Z30,$C$5:$Z$5,"&gt;="&amp;(설정!$C$6*12+1),$C$5:$Z$5,"&lt;="&amp;(설정!$C$6*12+3)))</f>
        <v/>
      </c>
      <c r="AE30" s="40">
        <f>IF(OR($A30="",4&gt;설정!$C$7),0,SUMIFS($C30:$Z30,$C$5:$Z$5,"&gt;="&amp;(설정!$C$6*12+1),$C$5:$Z$5,"&lt;="&amp;(설정!$C$6*12+4)))</f>
        <v/>
      </c>
      <c r="AF30" s="40">
        <f>IF(OR($A30="",5&gt;설정!$C$7),0,SUMIFS($C30:$Z30,$C$5:$Z$5,"&gt;="&amp;(설정!$C$6*12+1),$C$5:$Z$5,"&lt;="&amp;(설정!$C$6*12+5)))</f>
        <v/>
      </c>
      <c r="AG30" s="40">
        <f>IF(OR($A30="",6&gt;설정!$C$7),0,SUMIFS($C30:$Z30,$C$5:$Z$5,"&gt;="&amp;(설정!$C$6*12+1),$C$5:$Z$5,"&lt;="&amp;(설정!$C$6*12+6)))</f>
        <v/>
      </c>
      <c r="AH30" s="40">
        <f>IF(OR($A30="",7&gt;설정!$C$7),0,SUMIFS($C30:$Z30,$C$5:$Z$5,"&gt;="&amp;(설정!$C$6*12+1),$C$5:$Z$5,"&lt;="&amp;(설정!$C$6*12+7)))</f>
        <v/>
      </c>
      <c r="AI30" s="40">
        <f>IF(OR($A30="",8&gt;설정!$C$7),0,SUMIFS($C30:$Z30,$C$5:$Z$5,"&gt;="&amp;(설정!$C$6*12+1),$C$5:$Z$5,"&lt;="&amp;(설정!$C$6*12+8)))</f>
        <v/>
      </c>
      <c r="AJ30" s="40">
        <f>IF(OR($A30="",9&gt;설정!$C$7),0,SUMIFS($C30:$Z30,$C$5:$Z$5,"&gt;="&amp;(설정!$C$6*12+1),$C$5:$Z$5,"&lt;="&amp;(설정!$C$6*12+9)))</f>
        <v/>
      </c>
      <c r="AK30" s="40">
        <f>IF(OR($A30="",10&gt;설정!$C$7),0,SUMIFS($C30:$Z30,$C$5:$Z$5,"&gt;="&amp;(설정!$C$6*12+1),$C$5:$Z$5,"&lt;="&amp;(설정!$C$6*12+10)))</f>
        <v/>
      </c>
      <c r="AL30" s="40">
        <f>IF(OR($A30="",11&gt;설정!$C$7),0,SUMIFS($C30:$Z30,$C$5:$Z$5,"&gt;="&amp;(설정!$C$6*12+1),$C$5:$Z$5,"&lt;="&amp;(설정!$C$6*12+11)))</f>
        <v/>
      </c>
      <c r="AM30" s="40">
        <f>IF(OR($A30="",12&gt;설정!$C$7),0,SUMIFS($C30:$Z30,$C$5:$Z$5,"&gt;="&amp;(설정!$C$6*12+1),$C$5:$Z$5,"&lt;="&amp;(설정!$C$6*12+12)))</f>
        <v/>
      </c>
    </row>
    <row r="31">
      <c r="A31" s="26">
        <f>IF(변동분석!$A31="","",변동분석!$E31)</f>
        <v/>
      </c>
      <c r="B31" s="26">
        <f>IF($A31="","",변동분석!$B31&amp;" "&amp;변동분석!$D31)</f>
        <v/>
      </c>
      <c r="C31" s="35">
        <f>IF($A31="","",SUMIFS(전표_원본!$P$5:$P$100000,전표_원본!$O$5:$O$100000,$A31,전표_원본!$M$5:$M$100000,C$5))</f>
        <v/>
      </c>
      <c r="D31" s="35">
        <f>IF($A31="","",SUMIFS(전표_원본!$P$5:$P$100000,전표_원본!$O$5:$O$100000,$A31,전표_원본!$M$5:$M$100000,D$5))</f>
        <v/>
      </c>
      <c r="E31" s="35">
        <f>IF($A31="","",SUMIFS(전표_원본!$P$5:$P$100000,전표_원본!$O$5:$O$100000,$A31,전표_원본!$M$5:$M$100000,E$5))</f>
        <v/>
      </c>
      <c r="F31" s="35">
        <f>IF($A31="","",SUMIFS(전표_원본!$P$5:$P$100000,전표_원본!$O$5:$O$100000,$A31,전표_원본!$M$5:$M$100000,F$5))</f>
        <v/>
      </c>
      <c r="G31" s="35">
        <f>IF($A31="","",SUMIFS(전표_원본!$P$5:$P$100000,전표_원본!$O$5:$O$100000,$A31,전표_원본!$M$5:$M$100000,G$5))</f>
        <v/>
      </c>
      <c r="H31" s="35">
        <f>IF($A31="","",SUMIFS(전표_원본!$P$5:$P$100000,전표_원본!$O$5:$O$100000,$A31,전표_원본!$M$5:$M$100000,H$5))</f>
        <v/>
      </c>
      <c r="I31" s="35">
        <f>IF($A31="","",SUMIFS(전표_원본!$P$5:$P$100000,전표_원본!$O$5:$O$100000,$A31,전표_원본!$M$5:$M$100000,I$5))</f>
        <v/>
      </c>
      <c r="J31" s="35">
        <f>IF($A31="","",SUMIFS(전표_원본!$P$5:$P$100000,전표_원본!$O$5:$O$100000,$A31,전표_원본!$M$5:$M$100000,J$5))</f>
        <v/>
      </c>
      <c r="K31" s="35">
        <f>IF($A31="","",SUMIFS(전표_원본!$P$5:$P$100000,전표_원본!$O$5:$O$100000,$A31,전표_원본!$M$5:$M$100000,K$5))</f>
        <v/>
      </c>
      <c r="L31" s="35">
        <f>IF($A31="","",SUMIFS(전표_원본!$P$5:$P$100000,전표_원본!$O$5:$O$100000,$A31,전표_원본!$M$5:$M$100000,L$5))</f>
        <v/>
      </c>
      <c r="M31" s="35">
        <f>IF($A31="","",SUMIFS(전표_원본!$P$5:$P$100000,전표_원본!$O$5:$O$100000,$A31,전표_원본!$M$5:$M$100000,M$5))</f>
        <v/>
      </c>
      <c r="N31" s="35">
        <f>IF($A31="","",SUMIFS(전표_원본!$P$5:$P$100000,전표_원본!$O$5:$O$100000,$A31,전표_원본!$M$5:$M$100000,N$5))</f>
        <v/>
      </c>
      <c r="O31" s="35">
        <f>IF($A31="","",SUMIFS(전표_원본!$P$5:$P$100000,전표_원본!$O$5:$O$100000,$A31,전표_원본!$M$5:$M$100000,O$5))</f>
        <v/>
      </c>
      <c r="P31" s="35">
        <f>IF($A31="","",SUMIFS(전표_원본!$P$5:$P$100000,전표_원본!$O$5:$O$100000,$A31,전표_원본!$M$5:$M$100000,P$5))</f>
        <v/>
      </c>
      <c r="Q31" s="35">
        <f>IF($A31="","",SUMIFS(전표_원본!$P$5:$P$100000,전표_원본!$O$5:$O$100000,$A31,전표_원본!$M$5:$M$100000,Q$5))</f>
        <v/>
      </c>
      <c r="R31" s="35">
        <f>IF($A31="","",SUMIFS(전표_원본!$P$5:$P$100000,전표_원본!$O$5:$O$100000,$A31,전표_원본!$M$5:$M$100000,R$5))</f>
        <v/>
      </c>
      <c r="S31" s="35">
        <f>IF($A31="","",SUMIFS(전표_원본!$P$5:$P$100000,전표_원본!$O$5:$O$100000,$A31,전표_원본!$M$5:$M$100000,S$5))</f>
        <v/>
      </c>
      <c r="T31" s="35">
        <f>IF($A31="","",SUMIFS(전표_원본!$P$5:$P$100000,전표_원본!$O$5:$O$100000,$A31,전표_원본!$M$5:$M$100000,T$5))</f>
        <v/>
      </c>
      <c r="U31" s="35">
        <f>IF($A31="","",SUMIFS(전표_원본!$P$5:$P$100000,전표_원본!$O$5:$O$100000,$A31,전표_원본!$M$5:$M$100000,U$5))</f>
        <v/>
      </c>
      <c r="V31" s="35">
        <f>IF($A31="","",SUMIFS(전표_원본!$P$5:$P$100000,전표_원본!$O$5:$O$100000,$A31,전표_원본!$M$5:$M$100000,V$5))</f>
        <v/>
      </c>
      <c r="W31" s="35">
        <f>IF($A31="","",SUMIFS(전표_원본!$P$5:$P$100000,전표_원본!$O$5:$O$100000,$A31,전표_원본!$M$5:$M$100000,W$5))</f>
        <v/>
      </c>
      <c r="X31" s="35">
        <f>IF($A31="","",SUMIFS(전표_원본!$P$5:$P$100000,전표_원본!$O$5:$O$100000,$A31,전표_원본!$M$5:$M$100000,X$5))</f>
        <v/>
      </c>
      <c r="Y31" s="35">
        <f>IF($A31="","",SUMIFS(전표_원본!$P$5:$P$100000,전표_원본!$O$5:$O$100000,$A31,전표_원본!$M$5:$M$100000,Y$5))</f>
        <v/>
      </c>
      <c r="Z31" s="35">
        <f>IF($A31="","",SUMIFS(전표_원본!$P$5:$P$100000,전표_원본!$O$5:$O$100000,$A31,전표_원본!$M$5:$M$100000,Z$5))</f>
        <v/>
      </c>
      <c r="AB31" s="40">
        <f>IF(OR($A31="",1&gt;설정!$C$7),0,SUMIFS($C31:$Z31,$C$5:$Z$5,"&gt;="&amp;(설정!$C$6*12+1),$C$5:$Z$5,"&lt;="&amp;(설정!$C$6*12+1)))</f>
        <v/>
      </c>
      <c r="AC31" s="40">
        <f>IF(OR($A31="",2&gt;설정!$C$7),0,SUMIFS($C31:$Z31,$C$5:$Z$5,"&gt;="&amp;(설정!$C$6*12+1),$C$5:$Z$5,"&lt;="&amp;(설정!$C$6*12+2)))</f>
        <v/>
      </c>
      <c r="AD31" s="40">
        <f>IF(OR($A31="",3&gt;설정!$C$7),0,SUMIFS($C31:$Z31,$C$5:$Z$5,"&gt;="&amp;(설정!$C$6*12+1),$C$5:$Z$5,"&lt;="&amp;(설정!$C$6*12+3)))</f>
        <v/>
      </c>
      <c r="AE31" s="40">
        <f>IF(OR($A31="",4&gt;설정!$C$7),0,SUMIFS($C31:$Z31,$C$5:$Z$5,"&gt;="&amp;(설정!$C$6*12+1),$C$5:$Z$5,"&lt;="&amp;(설정!$C$6*12+4)))</f>
        <v/>
      </c>
      <c r="AF31" s="40">
        <f>IF(OR($A31="",5&gt;설정!$C$7),0,SUMIFS($C31:$Z31,$C$5:$Z$5,"&gt;="&amp;(설정!$C$6*12+1),$C$5:$Z$5,"&lt;="&amp;(설정!$C$6*12+5)))</f>
        <v/>
      </c>
      <c r="AG31" s="40">
        <f>IF(OR($A31="",6&gt;설정!$C$7),0,SUMIFS($C31:$Z31,$C$5:$Z$5,"&gt;="&amp;(설정!$C$6*12+1),$C$5:$Z$5,"&lt;="&amp;(설정!$C$6*12+6)))</f>
        <v/>
      </c>
      <c r="AH31" s="40">
        <f>IF(OR($A31="",7&gt;설정!$C$7),0,SUMIFS($C31:$Z31,$C$5:$Z$5,"&gt;="&amp;(설정!$C$6*12+1),$C$5:$Z$5,"&lt;="&amp;(설정!$C$6*12+7)))</f>
        <v/>
      </c>
      <c r="AI31" s="40">
        <f>IF(OR($A31="",8&gt;설정!$C$7),0,SUMIFS($C31:$Z31,$C$5:$Z$5,"&gt;="&amp;(설정!$C$6*12+1),$C$5:$Z$5,"&lt;="&amp;(설정!$C$6*12+8)))</f>
        <v/>
      </c>
      <c r="AJ31" s="40">
        <f>IF(OR($A31="",9&gt;설정!$C$7),0,SUMIFS($C31:$Z31,$C$5:$Z$5,"&gt;="&amp;(설정!$C$6*12+1),$C$5:$Z$5,"&lt;="&amp;(설정!$C$6*12+9)))</f>
        <v/>
      </c>
      <c r="AK31" s="40">
        <f>IF(OR($A31="",10&gt;설정!$C$7),0,SUMIFS($C31:$Z31,$C$5:$Z$5,"&gt;="&amp;(설정!$C$6*12+1),$C$5:$Z$5,"&lt;="&amp;(설정!$C$6*12+10)))</f>
        <v/>
      </c>
      <c r="AL31" s="40">
        <f>IF(OR($A31="",11&gt;설정!$C$7),0,SUMIFS($C31:$Z31,$C$5:$Z$5,"&gt;="&amp;(설정!$C$6*12+1),$C$5:$Z$5,"&lt;="&amp;(설정!$C$6*12+11)))</f>
        <v/>
      </c>
      <c r="AM31" s="40">
        <f>IF(OR($A31="",12&gt;설정!$C$7),0,SUMIFS($C31:$Z31,$C$5:$Z$5,"&gt;="&amp;(설정!$C$6*12+1),$C$5:$Z$5,"&lt;="&amp;(설정!$C$6*12+12)))</f>
        <v/>
      </c>
    </row>
    <row r="32">
      <c r="A32" s="26">
        <f>IF(변동분석!$A32="","",변동분석!$E32)</f>
        <v/>
      </c>
      <c r="B32" s="26">
        <f>IF($A32="","",변동분석!$B32&amp;" "&amp;변동분석!$D32)</f>
        <v/>
      </c>
      <c r="C32" s="35">
        <f>IF($A32="","",SUMIFS(전표_원본!$P$5:$P$100000,전표_원본!$O$5:$O$100000,$A32,전표_원본!$M$5:$M$100000,C$5))</f>
        <v/>
      </c>
      <c r="D32" s="35">
        <f>IF($A32="","",SUMIFS(전표_원본!$P$5:$P$100000,전표_원본!$O$5:$O$100000,$A32,전표_원본!$M$5:$M$100000,D$5))</f>
        <v/>
      </c>
      <c r="E32" s="35">
        <f>IF($A32="","",SUMIFS(전표_원본!$P$5:$P$100000,전표_원본!$O$5:$O$100000,$A32,전표_원본!$M$5:$M$100000,E$5))</f>
        <v/>
      </c>
      <c r="F32" s="35">
        <f>IF($A32="","",SUMIFS(전표_원본!$P$5:$P$100000,전표_원본!$O$5:$O$100000,$A32,전표_원본!$M$5:$M$100000,F$5))</f>
        <v/>
      </c>
      <c r="G32" s="35">
        <f>IF($A32="","",SUMIFS(전표_원본!$P$5:$P$100000,전표_원본!$O$5:$O$100000,$A32,전표_원본!$M$5:$M$100000,G$5))</f>
        <v/>
      </c>
      <c r="H32" s="35">
        <f>IF($A32="","",SUMIFS(전표_원본!$P$5:$P$100000,전표_원본!$O$5:$O$100000,$A32,전표_원본!$M$5:$M$100000,H$5))</f>
        <v/>
      </c>
      <c r="I32" s="35">
        <f>IF($A32="","",SUMIFS(전표_원본!$P$5:$P$100000,전표_원본!$O$5:$O$100000,$A32,전표_원본!$M$5:$M$100000,I$5))</f>
        <v/>
      </c>
      <c r="J32" s="35">
        <f>IF($A32="","",SUMIFS(전표_원본!$P$5:$P$100000,전표_원본!$O$5:$O$100000,$A32,전표_원본!$M$5:$M$100000,J$5))</f>
        <v/>
      </c>
      <c r="K32" s="35">
        <f>IF($A32="","",SUMIFS(전표_원본!$P$5:$P$100000,전표_원본!$O$5:$O$100000,$A32,전표_원본!$M$5:$M$100000,K$5))</f>
        <v/>
      </c>
      <c r="L32" s="35">
        <f>IF($A32="","",SUMIFS(전표_원본!$P$5:$P$100000,전표_원본!$O$5:$O$100000,$A32,전표_원본!$M$5:$M$100000,L$5))</f>
        <v/>
      </c>
      <c r="M32" s="35">
        <f>IF($A32="","",SUMIFS(전표_원본!$P$5:$P$100000,전표_원본!$O$5:$O$100000,$A32,전표_원본!$M$5:$M$100000,M$5))</f>
        <v/>
      </c>
      <c r="N32" s="35">
        <f>IF($A32="","",SUMIFS(전표_원본!$P$5:$P$100000,전표_원본!$O$5:$O$100000,$A32,전표_원본!$M$5:$M$100000,N$5))</f>
        <v/>
      </c>
      <c r="O32" s="35">
        <f>IF($A32="","",SUMIFS(전표_원본!$P$5:$P$100000,전표_원본!$O$5:$O$100000,$A32,전표_원본!$M$5:$M$100000,O$5))</f>
        <v/>
      </c>
      <c r="P32" s="35">
        <f>IF($A32="","",SUMIFS(전표_원본!$P$5:$P$100000,전표_원본!$O$5:$O$100000,$A32,전표_원본!$M$5:$M$100000,P$5))</f>
        <v/>
      </c>
      <c r="Q32" s="35">
        <f>IF($A32="","",SUMIFS(전표_원본!$P$5:$P$100000,전표_원본!$O$5:$O$100000,$A32,전표_원본!$M$5:$M$100000,Q$5))</f>
        <v/>
      </c>
      <c r="R32" s="35">
        <f>IF($A32="","",SUMIFS(전표_원본!$P$5:$P$100000,전표_원본!$O$5:$O$100000,$A32,전표_원본!$M$5:$M$100000,R$5))</f>
        <v/>
      </c>
      <c r="S32" s="35">
        <f>IF($A32="","",SUMIFS(전표_원본!$P$5:$P$100000,전표_원본!$O$5:$O$100000,$A32,전표_원본!$M$5:$M$100000,S$5))</f>
        <v/>
      </c>
      <c r="T32" s="35">
        <f>IF($A32="","",SUMIFS(전표_원본!$P$5:$P$100000,전표_원본!$O$5:$O$100000,$A32,전표_원본!$M$5:$M$100000,T$5))</f>
        <v/>
      </c>
      <c r="U32" s="35">
        <f>IF($A32="","",SUMIFS(전표_원본!$P$5:$P$100000,전표_원본!$O$5:$O$100000,$A32,전표_원본!$M$5:$M$100000,U$5))</f>
        <v/>
      </c>
      <c r="V32" s="35">
        <f>IF($A32="","",SUMIFS(전표_원본!$P$5:$P$100000,전표_원본!$O$5:$O$100000,$A32,전표_원본!$M$5:$M$100000,V$5))</f>
        <v/>
      </c>
      <c r="W32" s="35">
        <f>IF($A32="","",SUMIFS(전표_원본!$P$5:$P$100000,전표_원본!$O$5:$O$100000,$A32,전표_원본!$M$5:$M$100000,W$5))</f>
        <v/>
      </c>
      <c r="X32" s="35">
        <f>IF($A32="","",SUMIFS(전표_원본!$P$5:$P$100000,전표_원본!$O$5:$O$100000,$A32,전표_원본!$M$5:$M$100000,X$5))</f>
        <v/>
      </c>
      <c r="Y32" s="35">
        <f>IF($A32="","",SUMIFS(전표_원본!$P$5:$P$100000,전표_원본!$O$5:$O$100000,$A32,전표_원본!$M$5:$M$100000,Y$5))</f>
        <v/>
      </c>
      <c r="Z32" s="35">
        <f>IF($A32="","",SUMIFS(전표_원본!$P$5:$P$100000,전표_원본!$O$5:$O$100000,$A32,전표_원본!$M$5:$M$100000,Z$5))</f>
        <v/>
      </c>
      <c r="AB32" s="40">
        <f>IF(OR($A32="",1&gt;설정!$C$7),0,SUMIFS($C32:$Z32,$C$5:$Z$5,"&gt;="&amp;(설정!$C$6*12+1),$C$5:$Z$5,"&lt;="&amp;(설정!$C$6*12+1)))</f>
        <v/>
      </c>
      <c r="AC32" s="40">
        <f>IF(OR($A32="",2&gt;설정!$C$7),0,SUMIFS($C32:$Z32,$C$5:$Z$5,"&gt;="&amp;(설정!$C$6*12+1),$C$5:$Z$5,"&lt;="&amp;(설정!$C$6*12+2)))</f>
        <v/>
      </c>
      <c r="AD32" s="40">
        <f>IF(OR($A32="",3&gt;설정!$C$7),0,SUMIFS($C32:$Z32,$C$5:$Z$5,"&gt;="&amp;(설정!$C$6*12+1),$C$5:$Z$5,"&lt;="&amp;(설정!$C$6*12+3)))</f>
        <v/>
      </c>
      <c r="AE32" s="40">
        <f>IF(OR($A32="",4&gt;설정!$C$7),0,SUMIFS($C32:$Z32,$C$5:$Z$5,"&gt;="&amp;(설정!$C$6*12+1),$C$5:$Z$5,"&lt;="&amp;(설정!$C$6*12+4)))</f>
        <v/>
      </c>
      <c r="AF32" s="40">
        <f>IF(OR($A32="",5&gt;설정!$C$7),0,SUMIFS($C32:$Z32,$C$5:$Z$5,"&gt;="&amp;(설정!$C$6*12+1),$C$5:$Z$5,"&lt;="&amp;(설정!$C$6*12+5)))</f>
        <v/>
      </c>
      <c r="AG32" s="40">
        <f>IF(OR($A32="",6&gt;설정!$C$7),0,SUMIFS($C32:$Z32,$C$5:$Z$5,"&gt;="&amp;(설정!$C$6*12+1),$C$5:$Z$5,"&lt;="&amp;(설정!$C$6*12+6)))</f>
        <v/>
      </c>
      <c r="AH32" s="40">
        <f>IF(OR($A32="",7&gt;설정!$C$7),0,SUMIFS($C32:$Z32,$C$5:$Z$5,"&gt;="&amp;(설정!$C$6*12+1),$C$5:$Z$5,"&lt;="&amp;(설정!$C$6*12+7)))</f>
        <v/>
      </c>
      <c r="AI32" s="40">
        <f>IF(OR($A32="",8&gt;설정!$C$7),0,SUMIFS($C32:$Z32,$C$5:$Z$5,"&gt;="&amp;(설정!$C$6*12+1),$C$5:$Z$5,"&lt;="&amp;(설정!$C$6*12+8)))</f>
        <v/>
      </c>
      <c r="AJ32" s="40">
        <f>IF(OR($A32="",9&gt;설정!$C$7),0,SUMIFS($C32:$Z32,$C$5:$Z$5,"&gt;="&amp;(설정!$C$6*12+1),$C$5:$Z$5,"&lt;="&amp;(설정!$C$6*12+9)))</f>
        <v/>
      </c>
      <c r="AK32" s="40">
        <f>IF(OR($A32="",10&gt;설정!$C$7),0,SUMIFS($C32:$Z32,$C$5:$Z$5,"&gt;="&amp;(설정!$C$6*12+1),$C$5:$Z$5,"&lt;="&amp;(설정!$C$6*12+10)))</f>
        <v/>
      </c>
      <c r="AL32" s="40">
        <f>IF(OR($A32="",11&gt;설정!$C$7),0,SUMIFS($C32:$Z32,$C$5:$Z$5,"&gt;="&amp;(설정!$C$6*12+1),$C$5:$Z$5,"&lt;="&amp;(설정!$C$6*12+11)))</f>
        <v/>
      </c>
      <c r="AM32" s="40">
        <f>IF(OR($A32="",12&gt;설정!$C$7),0,SUMIFS($C32:$Z32,$C$5:$Z$5,"&gt;="&amp;(설정!$C$6*12+1),$C$5:$Z$5,"&lt;="&amp;(설정!$C$6*12+12)))</f>
        <v/>
      </c>
    </row>
    <row r="33">
      <c r="A33" s="26">
        <f>IF(변동분석!$A33="","",변동분석!$E33)</f>
        <v/>
      </c>
      <c r="B33" s="26">
        <f>IF($A33="","",변동분석!$B33&amp;" "&amp;변동분석!$D33)</f>
        <v/>
      </c>
      <c r="C33" s="35">
        <f>IF($A33="","",SUMIFS(전표_원본!$P$5:$P$100000,전표_원본!$O$5:$O$100000,$A33,전표_원본!$M$5:$M$100000,C$5))</f>
        <v/>
      </c>
      <c r="D33" s="35">
        <f>IF($A33="","",SUMIFS(전표_원본!$P$5:$P$100000,전표_원본!$O$5:$O$100000,$A33,전표_원본!$M$5:$M$100000,D$5))</f>
        <v/>
      </c>
      <c r="E33" s="35">
        <f>IF($A33="","",SUMIFS(전표_원본!$P$5:$P$100000,전표_원본!$O$5:$O$100000,$A33,전표_원본!$M$5:$M$100000,E$5))</f>
        <v/>
      </c>
      <c r="F33" s="35">
        <f>IF($A33="","",SUMIFS(전표_원본!$P$5:$P$100000,전표_원본!$O$5:$O$100000,$A33,전표_원본!$M$5:$M$100000,F$5))</f>
        <v/>
      </c>
      <c r="G33" s="35">
        <f>IF($A33="","",SUMIFS(전표_원본!$P$5:$P$100000,전표_원본!$O$5:$O$100000,$A33,전표_원본!$M$5:$M$100000,G$5))</f>
        <v/>
      </c>
      <c r="H33" s="35">
        <f>IF($A33="","",SUMIFS(전표_원본!$P$5:$P$100000,전표_원본!$O$5:$O$100000,$A33,전표_원본!$M$5:$M$100000,H$5))</f>
        <v/>
      </c>
      <c r="I33" s="35">
        <f>IF($A33="","",SUMIFS(전표_원본!$P$5:$P$100000,전표_원본!$O$5:$O$100000,$A33,전표_원본!$M$5:$M$100000,I$5))</f>
        <v/>
      </c>
      <c r="J33" s="35">
        <f>IF($A33="","",SUMIFS(전표_원본!$P$5:$P$100000,전표_원본!$O$5:$O$100000,$A33,전표_원본!$M$5:$M$100000,J$5))</f>
        <v/>
      </c>
      <c r="K33" s="35">
        <f>IF($A33="","",SUMIFS(전표_원본!$P$5:$P$100000,전표_원본!$O$5:$O$100000,$A33,전표_원본!$M$5:$M$100000,K$5))</f>
        <v/>
      </c>
      <c r="L33" s="35">
        <f>IF($A33="","",SUMIFS(전표_원본!$P$5:$P$100000,전표_원본!$O$5:$O$100000,$A33,전표_원본!$M$5:$M$100000,L$5))</f>
        <v/>
      </c>
      <c r="M33" s="35">
        <f>IF($A33="","",SUMIFS(전표_원본!$P$5:$P$100000,전표_원본!$O$5:$O$100000,$A33,전표_원본!$M$5:$M$100000,M$5))</f>
        <v/>
      </c>
      <c r="N33" s="35">
        <f>IF($A33="","",SUMIFS(전표_원본!$P$5:$P$100000,전표_원본!$O$5:$O$100000,$A33,전표_원본!$M$5:$M$100000,N$5))</f>
        <v/>
      </c>
      <c r="O33" s="35">
        <f>IF($A33="","",SUMIFS(전표_원본!$P$5:$P$100000,전표_원본!$O$5:$O$100000,$A33,전표_원본!$M$5:$M$100000,O$5))</f>
        <v/>
      </c>
      <c r="P33" s="35">
        <f>IF($A33="","",SUMIFS(전표_원본!$P$5:$P$100000,전표_원본!$O$5:$O$100000,$A33,전표_원본!$M$5:$M$100000,P$5))</f>
        <v/>
      </c>
      <c r="Q33" s="35">
        <f>IF($A33="","",SUMIFS(전표_원본!$P$5:$P$100000,전표_원본!$O$5:$O$100000,$A33,전표_원본!$M$5:$M$100000,Q$5))</f>
        <v/>
      </c>
      <c r="R33" s="35">
        <f>IF($A33="","",SUMIFS(전표_원본!$P$5:$P$100000,전표_원본!$O$5:$O$100000,$A33,전표_원본!$M$5:$M$100000,R$5))</f>
        <v/>
      </c>
      <c r="S33" s="35">
        <f>IF($A33="","",SUMIFS(전표_원본!$P$5:$P$100000,전표_원본!$O$5:$O$100000,$A33,전표_원본!$M$5:$M$100000,S$5))</f>
        <v/>
      </c>
      <c r="T33" s="35">
        <f>IF($A33="","",SUMIFS(전표_원본!$P$5:$P$100000,전표_원본!$O$5:$O$100000,$A33,전표_원본!$M$5:$M$100000,T$5))</f>
        <v/>
      </c>
      <c r="U33" s="35">
        <f>IF($A33="","",SUMIFS(전표_원본!$P$5:$P$100000,전표_원본!$O$5:$O$100000,$A33,전표_원본!$M$5:$M$100000,U$5))</f>
        <v/>
      </c>
      <c r="V33" s="35">
        <f>IF($A33="","",SUMIFS(전표_원본!$P$5:$P$100000,전표_원본!$O$5:$O$100000,$A33,전표_원본!$M$5:$M$100000,V$5))</f>
        <v/>
      </c>
      <c r="W33" s="35">
        <f>IF($A33="","",SUMIFS(전표_원본!$P$5:$P$100000,전표_원본!$O$5:$O$100000,$A33,전표_원본!$M$5:$M$100000,W$5))</f>
        <v/>
      </c>
      <c r="X33" s="35">
        <f>IF($A33="","",SUMIFS(전표_원본!$P$5:$P$100000,전표_원본!$O$5:$O$100000,$A33,전표_원본!$M$5:$M$100000,X$5))</f>
        <v/>
      </c>
      <c r="Y33" s="35">
        <f>IF($A33="","",SUMIFS(전표_원본!$P$5:$P$100000,전표_원본!$O$5:$O$100000,$A33,전표_원본!$M$5:$M$100000,Y$5))</f>
        <v/>
      </c>
      <c r="Z33" s="35">
        <f>IF($A33="","",SUMIFS(전표_원본!$P$5:$P$100000,전표_원본!$O$5:$O$100000,$A33,전표_원본!$M$5:$M$100000,Z$5))</f>
        <v/>
      </c>
      <c r="AB33" s="40">
        <f>IF(OR($A33="",1&gt;설정!$C$7),0,SUMIFS($C33:$Z33,$C$5:$Z$5,"&gt;="&amp;(설정!$C$6*12+1),$C$5:$Z$5,"&lt;="&amp;(설정!$C$6*12+1)))</f>
        <v/>
      </c>
      <c r="AC33" s="40">
        <f>IF(OR($A33="",2&gt;설정!$C$7),0,SUMIFS($C33:$Z33,$C$5:$Z$5,"&gt;="&amp;(설정!$C$6*12+1),$C$5:$Z$5,"&lt;="&amp;(설정!$C$6*12+2)))</f>
        <v/>
      </c>
      <c r="AD33" s="40">
        <f>IF(OR($A33="",3&gt;설정!$C$7),0,SUMIFS($C33:$Z33,$C$5:$Z$5,"&gt;="&amp;(설정!$C$6*12+1),$C$5:$Z$5,"&lt;="&amp;(설정!$C$6*12+3)))</f>
        <v/>
      </c>
      <c r="AE33" s="40">
        <f>IF(OR($A33="",4&gt;설정!$C$7),0,SUMIFS($C33:$Z33,$C$5:$Z$5,"&gt;="&amp;(설정!$C$6*12+1),$C$5:$Z$5,"&lt;="&amp;(설정!$C$6*12+4)))</f>
        <v/>
      </c>
      <c r="AF33" s="40">
        <f>IF(OR($A33="",5&gt;설정!$C$7),0,SUMIFS($C33:$Z33,$C$5:$Z$5,"&gt;="&amp;(설정!$C$6*12+1),$C$5:$Z$5,"&lt;="&amp;(설정!$C$6*12+5)))</f>
        <v/>
      </c>
      <c r="AG33" s="40">
        <f>IF(OR($A33="",6&gt;설정!$C$7),0,SUMIFS($C33:$Z33,$C$5:$Z$5,"&gt;="&amp;(설정!$C$6*12+1),$C$5:$Z$5,"&lt;="&amp;(설정!$C$6*12+6)))</f>
        <v/>
      </c>
      <c r="AH33" s="40">
        <f>IF(OR($A33="",7&gt;설정!$C$7),0,SUMIFS($C33:$Z33,$C$5:$Z$5,"&gt;="&amp;(설정!$C$6*12+1),$C$5:$Z$5,"&lt;="&amp;(설정!$C$6*12+7)))</f>
        <v/>
      </c>
      <c r="AI33" s="40">
        <f>IF(OR($A33="",8&gt;설정!$C$7),0,SUMIFS($C33:$Z33,$C$5:$Z$5,"&gt;="&amp;(설정!$C$6*12+1),$C$5:$Z$5,"&lt;="&amp;(설정!$C$6*12+8)))</f>
        <v/>
      </c>
      <c r="AJ33" s="40">
        <f>IF(OR($A33="",9&gt;설정!$C$7),0,SUMIFS($C33:$Z33,$C$5:$Z$5,"&gt;="&amp;(설정!$C$6*12+1),$C$5:$Z$5,"&lt;="&amp;(설정!$C$6*12+9)))</f>
        <v/>
      </c>
      <c r="AK33" s="40">
        <f>IF(OR($A33="",10&gt;설정!$C$7),0,SUMIFS($C33:$Z33,$C$5:$Z$5,"&gt;="&amp;(설정!$C$6*12+1),$C$5:$Z$5,"&lt;="&amp;(설정!$C$6*12+10)))</f>
        <v/>
      </c>
      <c r="AL33" s="40">
        <f>IF(OR($A33="",11&gt;설정!$C$7),0,SUMIFS($C33:$Z33,$C$5:$Z$5,"&gt;="&amp;(설정!$C$6*12+1),$C$5:$Z$5,"&lt;="&amp;(설정!$C$6*12+11)))</f>
        <v/>
      </c>
      <c r="AM33" s="40">
        <f>IF(OR($A33="",12&gt;설정!$C$7),0,SUMIFS($C33:$Z33,$C$5:$Z$5,"&gt;="&amp;(설정!$C$6*12+1),$C$5:$Z$5,"&lt;="&amp;(설정!$C$6*12+12)))</f>
        <v/>
      </c>
    </row>
    <row r="34">
      <c r="A34" s="26">
        <f>IF(변동분석!$A34="","",변동분석!$E34)</f>
        <v/>
      </c>
      <c r="B34" s="26">
        <f>IF($A34="","",변동분석!$B34&amp;" "&amp;변동분석!$D34)</f>
        <v/>
      </c>
      <c r="C34" s="35">
        <f>IF($A34="","",SUMIFS(전표_원본!$P$5:$P$100000,전표_원본!$O$5:$O$100000,$A34,전표_원본!$M$5:$M$100000,C$5))</f>
        <v/>
      </c>
      <c r="D34" s="35">
        <f>IF($A34="","",SUMIFS(전표_원본!$P$5:$P$100000,전표_원본!$O$5:$O$100000,$A34,전표_원본!$M$5:$M$100000,D$5))</f>
        <v/>
      </c>
      <c r="E34" s="35">
        <f>IF($A34="","",SUMIFS(전표_원본!$P$5:$P$100000,전표_원본!$O$5:$O$100000,$A34,전표_원본!$M$5:$M$100000,E$5))</f>
        <v/>
      </c>
      <c r="F34" s="35">
        <f>IF($A34="","",SUMIFS(전표_원본!$P$5:$P$100000,전표_원본!$O$5:$O$100000,$A34,전표_원본!$M$5:$M$100000,F$5))</f>
        <v/>
      </c>
      <c r="G34" s="35">
        <f>IF($A34="","",SUMIFS(전표_원본!$P$5:$P$100000,전표_원본!$O$5:$O$100000,$A34,전표_원본!$M$5:$M$100000,G$5))</f>
        <v/>
      </c>
      <c r="H34" s="35">
        <f>IF($A34="","",SUMIFS(전표_원본!$P$5:$P$100000,전표_원본!$O$5:$O$100000,$A34,전표_원본!$M$5:$M$100000,H$5))</f>
        <v/>
      </c>
      <c r="I34" s="35">
        <f>IF($A34="","",SUMIFS(전표_원본!$P$5:$P$100000,전표_원본!$O$5:$O$100000,$A34,전표_원본!$M$5:$M$100000,I$5))</f>
        <v/>
      </c>
      <c r="J34" s="35">
        <f>IF($A34="","",SUMIFS(전표_원본!$P$5:$P$100000,전표_원본!$O$5:$O$100000,$A34,전표_원본!$M$5:$M$100000,J$5))</f>
        <v/>
      </c>
      <c r="K34" s="35">
        <f>IF($A34="","",SUMIFS(전표_원본!$P$5:$P$100000,전표_원본!$O$5:$O$100000,$A34,전표_원본!$M$5:$M$100000,K$5))</f>
        <v/>
      </c>
      <c r="L34" s="35">
        <f>IF($A34="","",SUMIFS(전표_원본!$P$5:$P$100000,전표_원본!$O$5:$O$100000,$A34,전표_원본!$M$5:$M$100000,L$5))</f>
        <v/>
      </c>
      <c r="M34" s="35">
        <f>IF($A34="","",SUMIFS(전표_원본!$P$5:$P$100000,전표_원본!$O$5:$O$100000,$A34,전표_원본!$M$5:$M$100000,M$5))</f>
        <v/>
      </c>
      <c r="N34" s="35">
        <f>IF($A34="","",SUMIFS(전표_원본!$P$5:$P$100000,전표_원본!$O$5:$O$100000,$A34,전표_원본!$M$5:$M$100000,N$5))</f>
        <v/>
      </c>
      <c r="O34" s="35">
        <f>IF($A34="","",SUMIFS(전표_원본!$P$5:$P$100000,전표_원본!$O$5:$O$100000,$A34,전표_원본!$M$5:$M$100000,O$5))</f>
        <v/>
      </c>
      <c r="P34" s="35">
        <f>IF($A34="","",SUMIFS(전표_원본!$P$5:$P$100000,전표_원본!$O$5:$O$100000,$A34,전표_원본!$M$5:$M$100000,P$5))</f>
        <v/>
      </c>
      <c r="Q34" s="35">
        <f>IF($A34="","",SUMIFS(전표_원본!$P$5:$P$100000,전표_원본!$O$5:$O$100000,$A34,전표_원본!$M$5:$M$100000,Q$5))</f>
        <v/>
      </c>
      <c r="R34" s="35">
        <f>IF($A34="","",SUMIFS(전표_원본!$P$5:$P$100000,전표_원본!$O$5:$O$100000,$A34,전표_원본!$M$5:$M$100000,R$5))</f>
        <v/>
      </c>
      <c r="S34" s="35">
        <f>IF($A34="","",SUMIFS(전표_원본!$P$5:$P$100000,전표_원본!$O$5:$O$100000,$A34,전표_원본!$M$5:$M$100000,S$5))</f>
        <v/>
      </c>
      <c r="T34" s="35">
        <f>IF($A34="","",SUMIFS(전표_원본!$P$5:$P$100000,전표_원본!$O$5:$O$100000,$A34,전표_원본!$M$5:$M$100000,T$5))</f>
        <v/>
      </c>
      <c r="U34" s="35">
        <f>IF($A34="","",SUMIFS(전표_원본!$P$5:$P$100000,전표_원본!$O$5:$O$100000,$A34,전표_원본!$M$5:$M$100000,U$5))</f>
        <v/>
      </c>
      <c r="V34" s="35">
        <f>IF($A34="","",SUMIFS(전표_원본!$P$5:$P$100000,전표_원본!$O$5:$O$100000,$A34,전표_원본!$M$5:$M$100000,V$5))</f>
        <v/>
      </c>
      <c r="W34" s="35">
        <f>IF($A34="","",SUMIFS(전표_원본!$P$5:$P$100000,전표_원본!$O$5:$O$100000,$A34,전표_원본!$M$5:$M$100000,W$5))</f>
        <v/>
      </c>
      <c r="X34" s="35">
        <f>IF($A34="","",SUMIFS(전표_원본!$P$5:$P$100000,전표_원본!$O$5:$O$100000,$A34,전표_원본!$M$5:$M$100000,X$5))</f>
        <v/>
      </c>
      <c r="Y34" s="35">
        <f>IF($A34="","",SUMIFS(전표_원본!$P$5:$P$100000,전표_원본!$O$5:$O$100000,$A34,전표_원본!$M$5:$M$100000,Y$5))</f>
        <v/>
      </c>
      <c r="Z34" s="35">
        <f>IF($A34="","",SUMIFS(전표_원본!$P$5:$P$100000,전표_원본!$O$5:$O$100000,$A34,전표_원본!$M$5:$M$100000,Z$5))</f>
        <v/>
      </c>
      <c r="AB34" s="40">
        <f>IF(OR($A34="",1&gt;설정!$C$7),0,SUMIFS($C34:$Z34,$C$5:$Z$5,"&gt;="&amp;(설정!$C$6*12+1),$C$5:$Z$5,"&lt;="&amp;(설정!$C$6*12+1)))</f>
        <v/>
      </c>
      <c r="AC34" s="40">
        <f>IF(OR($A34="",2&gt;설정!$C$7),0,SUMIFS($C34:$Z34,$C$5:$Z$5,"&gt;="&amp;(설정!$C$6*12+1),$C$5:$Z$5,"&lt;="&amp;(설정!$C$6*12+2)))</f>
        <v/>
      </c>
      <c r="AD34" s="40">
        <f>IF(OR($A34="",3&gt;설정!$C$7),0,SUMIFS($C34:$Z34,$C$5:$Z$5,"&gt;="&amp;(설정!$C$6*12+1),$C$5:$Z$5,"&lt;="&amp;(설정!$C$6*12+3)))</f>
        <v/>
      </c>
      <c r="AE34" s="40">
        <f>IF(OR($A34="",4&gt;설정!$C$7),0,SUMIFS($C34:$Z34,$C$5:$Z$5,"&gt;="&amp;(설정!$C$6*12+1),$C$5:$Z$5,"&lt;="&amp;(설정!$C$6*12+4)))</f>
        <v/>
      </c>
      <c r="AF34" s="40">
        <f>IF(OR($A34="",5&gt;설정!$C$7),0,SUMIFS($C34:$Z34,$C$5:$Z$5,"&gt;="&amp;(설정!$C$6*12+1),$C$5:$Z$5,"&lt;="&amp;(설정!$C$6*12+5)))</f>
        <v/>
      </c>
      <c r="AG34" s="40">
        <f>IF(OR($A34="",6&gt;설정!$C$7),0,SUMIFS($C34:$Z34,$C$5:$Z$5,"&gt;="&amp;(설정!$C$6*12+1),$C$5:$Z$5,"&lt;="&amp;(설정!$C$6*12+6)))</f>
        <v/>
      </c>
      <c r="AH34" s="40">
        <f>IF(OR($A34="",7&gt;설정!$C$7),0,SUMIFS($C34:$Z34,$C$5:$Z$5,"&gt;="&amp;(설정!$C$6*12+1),$C$5:$Z$5,"&lt;="&amp;(설정!$C$6*12+7)))</f>
        <v/>
      </c>
      <c r="AI34" s="40">
        <f>IF(OR($A34="",8&gt;설정!$C$7),0,SUMIFS($C34:$Z34,$C$5:$Z$5,"&gt;="&amp;(설정!$C$6*12+1),$C$5:$Z$5,"&lt;="&amp;(설정!$C$6*12+8)))</f>
        <v/>
      </c>
      <c r="AJ34" s="40">
        <f>IF(OR($A34="",9&gt;설정!$C$7),0,SUMIFS($C34:$Z34,$C$5:$Z$5,"&gt;="&amp;(설정!$C$6*12+1),$C$5:$Z$5,"&lt;="&amp;(설정!$C$6*12+9)))</f>
        <v/>
      </c>
      <c r="AK34" s="40">
        <f>IF(OR($A34="",10&gt;설정!$C$7),0,SUMIFS($C34:$Z34,$C$5:$Z$5,"&gt;="&amp;(설정!$C$6*12+1),$C$5:$Z$5,"&lt;="&amp;(설정!$C$6*12+10)))</f>
        <v/>
      </c>
      <c r="AL34" s="40">
        <f>IF(OR($A34="",11&gt;설정!$C$7),0,SUMIFS($C34:$Z34,$C$5:$Z$5,"&gt;="&amp;(설정!$C$6*12+1),$C$5:$Z$5,"&lt;="&amp;(설정!$C$6*12+11)))</f>
        <v/>
      </c>
      <c r="AM34" s="40">
        <f>IF(OR($A34="",12&gt;설정!$C$7),0,SUMIFS($C34:$Z34,$C$5:$Z$5,"&gt;="&amp;(설정!$C$6*12+1),$C$5:$Z$5,"&lt;="&amp;(설정!$C$6*12+12)))</f>
        <v/>
      </c>
    </row>
    <row r="35">
      <c r="A35" s="26">
        <f>IF(변동분석!$A35="","",변동분석!$E35)</f>
        <v/>
      </c>
      <c r="B35" s="26">
        <f>IF($A35="","",변동분석!$B35&amp;" "&amp;변동분석!$D35)</f>
        <v/>
      </c>
      <c r="C35" s="35">
        <f>IF($A35="","",SUMIFS(전표_원본!$P$5:$P$100000,전표_원본!$O$5:$O$100000,$A35,전표_원본!$M$5:$M$100000,C$5))</f>
        <v/>
      </c>
      <c r="D35" s="35">
        <f>IF($A35="","",SUMIFS(전표_원본!$P$5:$P$100000,전표_원본!$O$5:$O$100000,$A35,전표_원본!$M$5:$M$100000,D$5))</f>
        <v/>
      </c>
      <c r="E35" s="35">
        <f>IF($A35="","",SUMIFS(전표_원본!$P$5:$P$100000,전표_원본!$O$5:$O$100000,$A35,전표_원본!$M$5:$M$100000,E$5))</f>
        <v/>
      </c>
      <c r="F35" s="35">
        <f>IF($A35="","",SUMIFS(전표_원본!$P$5:$P$100000,전표_원본!$O$5:$O$100000,$A35,전표_원본!$M$5:$M$100000,F$5))</f>
        <v/>
      </c>
      <c r="G35" s="35">
        <f>IF($A35="","",SUMIFS(전표_원본!$P$5:$P$100000,전표_원본!$O$5:$O$100000,$A35,전표_원본!$M$5:$M$100000,G$5))</f>
        <v/>
      </c>
      <c r="H35" s="35">
        <f>IF($A35="","",SUMIFS(전표_원본!$P$5:$P$100000,전표_원본!$O$5:$O$100000,$A35,전표_원본!$M$5:$M$100000,H$5))</f>
        <v/>
      </c>
      <c r="I35" s="35">
        <f>IF($A35="","",SUMIFS(전표_원본!$P$5:$P$100000,전표_원본!$O$5:$O$100000,$A35,전표_원본!$M$5:$M$100000,I$5))</f>
        <v/>
      </c>
      <c r="J35" s="35">
        <f>IF($A35="","",SUMIFS(전표_원본!$P$5:$P$100000,전표_원본!$O$5:$O$100000,$A35,전표_원본!$M$5:$M$100000,J$5))</f>
        <v/>
      </c>
      <c r="K35" s="35">
        <f>IF($A35="","",SUMIFS(전표_원본!$P$5:$P$100000,전표_원본!$O$5:$O$100000,$A35,전표_원본!$M$5:$M$100000,K$5))</f>
        <v/>
      </c>
      <c r="L35" s="35">
        <f>IF($A35="","",SUMIFS(전표_원본!$P$5:$P$100000,전표_원본!$O$5:$O$100000,$A35,전표_원본!$M$5:$M$100000,L$5))</f>
        <v/>
      </c>
      <c r="M35" s="35">
        <f>IF($A35="","",SUMIFS(전표_원본!$P$5:$P$100000,전표_원본!$O$5:$O$100000,$A35,전표_원본!$M$5:$M$100000,M$5))</f>
        <v/>
      </c>
      <c r="N35" s="35">
        <f>IF($A35="","",SUMIFS(전표_원본!$P$5:$P$100000,전표_원본!$O$5:$O$100000,$A35,전표_원본!$M$5:$M$100000,N$5))</f>
        <v/>
      </c>
      <c r="O35" s="35">
        <f>IF($A35="","",SUMIFS(전표_원본!$P$5:$P$100000,전표_원본!$O$5:$O$100000,$A35,전표_원본!$M$5:$M$100000,O$5))</f>
        <v/>
      </c>
      <c r="P35" s="35">
        <f>IF($A35="","",SUMIFS(전표_원본!$P$5:$P$100000,전표_원본!$O$5:$O$100000,$A35,전표_원본!$M$5:$M$100000,P$5))</f>
        <v/>
      </c>
      <c r="Q35" s="35">
        <f>IF($A35="","",SUMIFS(전표_원본!$P$5:$P$100000,전표_원본!$O$5:$O$100000,$A35,전표_원본!$M$5:$M$100000,Q$5))</f>
        <v/>
      </c>
      <c r="R35" s="35">
        <f>IF($A35="","",SUMIFS(전표_원본!$P$5:$P$100000,전표_원본!$O$5:$O$100000,$A35,전표_원본!$M$5:$M$100000,R$5))</f>
        <v/>
      </c>
      <c r="S35" s="35">
        <f>IF($A35="","",SUMIFS(전표_원본!$P$5:$P$100000,전표_원본!$O$5:$O$100000,$A35,전표_원본!$M$5:$M$100000,S$5))</f>
        <v/>
      </c>
      <c r="T35" s="35">
        <f>IF($A35="","",SUMIFS(전표_원본!$P$5:$P$100000,전표_원본!$O$5:$O$100000,$A35,전표_원본!$M$5:$M$100000,T$5))</f>
        <v/>
      </c>
      <c r="U35" s="35">
        <f>IF($A35="","",SUMIFS(전표_원본!$P$5:$P$100000,전표_원본!$O$5:$O$100000,$A35,전표_원본!$M$5:$M$100000,U$5))</f>
        <v/>
      </c>
      <c r="V35" s="35">
        <f>IF($A35="","",SUMIFS(전표_원본!$P$5:$P$100000,전표_원본!$O$5:$O$100000,$A35,전표_원본!$M$5:$M$100000,V$5))</f>
        <v/>
      </c>
      <c r="W35" s="35">
        <f>IF($A35="","",SUMIFS(전표_원본!$P$5:$P$100000,전표_원본!$O$5:$O$100000,$A35,전표_원본!$M$5:$M$100000,W$5))</f>
        <v/>
      </c>
      <c r="X35" s="35">
        <f>IF($A35="","",SUMIFS(전표_원본!$P$5:$P$100000,전표_원본!$O$5:$O$100000,$A35,전표_원본!$M$5:$M$100000,X$5))</f>
        <v/>
      </c>
      <c r="Y35" s="35">
        <f>IF($A35="","",SUMIFS(전표_원본!$P$5:$P$100000,전표_원본!$O$5:$O$100000,$A35,전표_원본!$M$5:$M$100000,Y$5))</f>
        <v/>
      </c>
      <c r="Z35" s="35">
        <f>IF($A35="","",SUMIFS(전표_원본!$P$5:$P$100000,전표_원본!$O$5:$O$100000,$A35,전표_원본!$M$5:$M$100000,Z$5))</f>
        <v/>
      </c>
      <c r="AB35" s="40">
        <f>IF(OR($A35="",1&gt;설정!$C$7),0,SUMIFS($C35:$Z35,$C$5:$Z$5,"&gt;="&amp;(설정!$C$6*12+1),$C$5:$Z$5,"&lt;="&amp;(설정!$C$6*12+1)))</f>
        <v/>
      </c>
      <c r="AC35" s="40">
        <f>IF(OR($A35="",2&gt;설정!$C$7),0,SUMIFS($C35:$Z35,$C$5:$Z$5,"&gt;="&amp;(설정!$C$6*12+1),$C$5:$Z$5,"&lt;="&amp;(설정!$C$6*12+2)))</f>
        <v/>
      </c>
      <c r="AD35" s="40">
        <f>IF(OR($A35="",3&gt;설정!$C$7),0,SUMIFS($C35:$Z35,$C$5:$Z$5,"&gt;="&amp;(설정!$C$6*12+1),$C$5:$Z$5,"&lt;="&amp;(설정!$C$6*12+3)))</f>
        <v/>
      </c>
      <c r="AE35" s="40">
        <f>IF(OR($A35="",4&gt;설정!$C$7),0,SUMIFS($C35:$Z35,$C$5:$Z$5,"&gt;="&amp;(설정!$C$6*12+1),$C$5:$Z$5,"&lt;="&amp;(설정!$C$6*12+4)))</f>
        <v/>
      </c>
      <c r="AF35" s="40">
        <f>IF(OR($A35="",5&gt;설정!$C$7),0,SUMIFS($C35:$Z35,$C$5:$Z$5,"&gt;="&amp;(설정!$C$6*12+1),$C$5:$Z$5,"&lt;="&amp;(설정!$C$6*12+5)))</f>
        <v/>
      </c>
      <c r="AG35" s="40">
        <f>IF(OR($A35="",6&gt;설정!$C$7),0,SUMIFS($C35:$Z35,$C$5:$Z$5,"&gt;="&amp;(설정!$C$6*12+1),$C$5:$Z$5,"&lt;="&amp;(설정!$C$6*12+6)))</f>
        <v/>
      </c>
      <c r="AH35" s="40">
        <f>IF(OR($A35="",7&gt;설정!$C$7),0,SUMIFS($C35:$Z35,$C$5:$Z$5,"&gt;="&amp;(설정!$C$6*12+1),$C$5:$Z$5,"&lt;="&amp;(설정!$C$6*12+7)))</f>
        <v/>
      </c>
      <c r="AI35" s="40">
        <f>IF(OR($A35="",8&gt;설정!$C$7),0,SUMIFS($C35:$Z35,$C$5:$Z$5,"&gt;="&amp;(설정!$C$6*12+1),$C$5:$Z$5,"&lt;="&amp;(설정!$C$6*12+8)))</f>
        <v/>
      </c>
      <c r="AJ35" s="40">
        <f>IF(OR($A35="",9&gt;설정!$C$7),0,SUMIFS($C35:$Z35,$C$5:$Z$5,"&gt;="&amp;(설정!$C$6*12+1),$C$5:$Z$5,"&lt;="&amp;(설정!$C$6*12+9)))</f>
        <v/>
      </c>
      <c r="AK35" s="40">
        <f>IF(OR($A35="",10&gt;설정!$C$7),0,SUMIFS($C35:$Z35,$C$5:$Z$5,"&gt;="&amp;(설정!$C$6*12+1),$C$5:$Z$5,"&lt;="&amp;(설정!$C$6*12+10)))</f>
        <v/>
      </c>
      <c r="AL35" s="40">
        <f>IF(OR($A35="",11&gt;설정!$C$7),0,SUMIFS($C35:$Z35,$C$5:$Z$5,"&gt;="&amp;(설정!$C$6*12+1),$C$5:$Z$5,"&lt;="&amp;(설정!$C$6*12+11)))</f>
        <v/>
      </c>
      <c r="AM35" s="40">
        <f>IF(OR($A35="",12&gt;설정!$C$7),0,SUMIFS($C35:$Z35,$C$5:$Z$5,"&gt;="&amp;(설정!$C$6*12+1),$C$5:$Z$5,"&lt;="&amp;(설정!$C$6*12+12)))</f>
        <v/>
      </c>
    </row>
    <row r="36">
      <c r="A36" s="26">
        <f>IF(변동분석!$A36="","",변동분석!$E36)</f>
        <v/>
      </c>
      <c r="B36" s="26">
        <f>IF($A36="","",변동분석!$B36&amp;" "&amp;변동분석!$D36)</f>
        <v/>
      </c>
      <c r="C36" s="35">
        <f>IF($A36="","",SUMIFS(전표_원본!$P$5:$P$100000,전표_원본!$O$5:$O$100000,$A36,전표_원본!$M$5:$M$100000,C$5))</f>
        <v/>
      </c>
      <c r="D36" s="35">
        <f>IF($A36="","",SUMIFS(전표_원본!$P$5:$P$100000,전표_원본!$O$5:$O$100000,$A36,전표_원본!$M$5:$M$100000,D$5))</f>
        <v/>
      </c>
      <c r="E36" s="35">
        <f>IF($A36="","",SUMIFS(전표_원본!$P$5:$P$100000,전표_원본!$O$5:$O$100000,$A36,전표_원본!$M$5:$M$100000,E$5))</f>
        <v/>
      </c>
      <c r="F36" s="35">
        <f>IF($A36="","",SUMIFS(전표_원본!$P$5:$P$100000,전표_원본!$O$5:$O$100000,$A36,전표_원본!$M$5:$M$100000,F$5))</f>
        <v/>
      </c>
      <c r="G36" s="35">
        <f>IF($A36="","",SUMIFS(전표_원본!$P$5:$P$100000,전표_원본!$O$5:$O$100000,$A36,전표_원본!$M$5:$M$100000,G$5))</f>
        <v/>
      </c>
      <c r="H36" s="35">
        <f>IF($A36="","",SUMIFS(전표_원본!$P$5:$P$100000,전표_원본!$O$5:$O$100000,$A36,전표_원본!$M$5:$M$100000,H$5))</f>
        <v/>
      </c>
      <c r="I36" s="35">
        <f>IF($A36="","",SUMIFS(전표_원본!$P$5:$P$100000,전표_원본!$O$5:$O$100000,$A36,전표_원본!$M$5:$M$100000,I$5))</f>
        <v/>
      </c>
      <c r="J36" s="35">
        <f>IF($A36="","",SUMIFS(전표_원본!$P$5:$P$100000,전표_원본!$O$5:$O$100000,$A36,전표_원본!$M$5:$M$100000,J$5))</f>
        <v/>
      </c>
      <c r="K36" s="35">
        <f>IF($A36="","",SUMIFS(전표_원본!$P$5:$P$100000,전표_원본!$O$5:$O$100000,$A36,전표_원본!$M$5:$M$100000,K$5))</f>
        <v/>
      </c>
      <c r="L36" s="35">
        <f>IF($A36="","",SUMIFS(전표_원본!$P$5:$P$100000,전표_원본!$O$5:$O$100000,$A36,전표_원본!$M$5:$M$100000,L$5))</f>
        <v/>
      </c>
      <c r="M36" s="35">
        <f>IF($A36="","",SUMIFS(전표_원본!$P$5:$P$100000,전표_원본!$O$5:$O$100000,$A36,전표_원본!$M$5:$M$100000,M$5))</f>
        <v/>
      </c>
      <c r="N36" s="35">
        <f>IF($A36="","",SUMIFS(전표_원본!$P$5:$P$100000,전표_원본!$O$5:$O$100000,$A36,전표_원본!$M$5:$M$100000,N$5))</f>
        <v/>
      </c>
      <c r="O36" s="35">
        <f>IF($A36="","",SUMIFS(전표_원본!$P$5:$P$100000,전표_원본!$O$5:$O$100000,$A36,전표_원본!$M$5:$M$100000,O$5))</f>
        <v/>
      </c>
      <c r="P36" s="35">
        <f>IF($A36="","",SUMIFS(전표_원본!$P$5:$P$100000,전표_원본!$O$5:$O$100000,$A36,전표_원본!$M$5:$M$100000,P$5))</f>
        <v/>
      </c>
      <c r="Q36" s="35">
        <f>IF($A36="","",SUMIFS(전표_원본!$P$5:$P$100000,전표_원본!$O$5:$O$100000,$A36,전표_원본!$M$5:$M$100000,Q$5))</f>
        <v/>
      </c>
      <c r="R36" s="35">
        <f>IF($A36="","",SUMIFS(전표_원본!$P$5:$P$100000,전표_원본!$O$5:$O$100000,$A36,전표_원본!$M$5:$M$100000,R$5))</f>
        <v/>
      </c>
      <c r="S36" s="35">
        <f>IF($A36="","",SUMIFS(전표_원본!$P$5:$P$100000,전표_원본!$O$5:$O$100000,$A36,전표_원본!$M$5:$M$100000,S$5))</f>
        <v/>
      </c>
      <c r="T36" s="35">
        <f>IF($A36="","",SUMIFS(전표_원본!$P$5:$P$100000,전표_원본!$O$5:$O$100000,$A36,전표_원본!$M$5:$M$100000,T$5))</f>
        <v/>
      </c>
      <c r="U36" s="35">
        <f>IF($A36="","",SUMIFS(전표_원본!$P$5:$P$100000,전표_원본!$O$5:$O$100000,$A36,전표_원본!$M$5:$M$100000,U$5))</f>
        <v/>
      </c>
      <c r="V36" s="35">
        <f>IF($A36="","",SUMIFS(전표_원본!$P$5:$P$100000,전표_원본!$O$5:$O$100000,$A36,전표_원본!$M$5:$M$100000,V$5))</f>
        <v/>
      </c>
      <c r="W36" s="35">
        <f>IF($A36="","",SUMIFS(전표_원본!$P$5:$P$100000,전표_원본!$O$5:$O$100000,$A36,전표_원본!$M$5:$M$100000,W$5))</f>
        <v/>
      </c>
      <c r="X36" s="35">
        <f>IF($A36="","",SUMIFS(전표_원본!$P$5:$P$100000,전표_원본!$O$5:$O$100000,$A36,전표_원본!$M$5:$M$100000,X$5))</f>
        <v/>
      </c>
      <c r="Y36" s="35">
        <f>IF($A36="","",SUMIFS(전표_원본!$P$5:$P$100000,전표_원본!$O$5:$O$100000,$A36,전표_원본!$M$5:$M$100000,Y$5))</f>
        <v/>
      </c>
      <c r="Z36" s="35">
        <f>IF($A36="","",SUMIFS(전표_원본!$P$5:$P$100000,전표_원본!$O$5:$O$100000,$A36,전표_원본!$M$5:$M$100000,Z$5))</f>
        <v/>
      </c>
      <c r="AB36" s="40">
        <f>IF(OR($A36="",1&gt;설정!$C$7),0,SUMIFS($C36:$Z36,$C$5:$Z$5,"&gt;="&amp;(설정!$C$6*12+1),$C$5:$Z$5,"&lt;="&amp;(설정!$C$6*12+1)))</f>
        <v/>
      </c>
      <c r="AC36" s="40">
        <f>IF(OR($A36="",2&gt;설정!$C$7),0,SUMIFS($C36:$Z36,$C$5:$Z$5,"&gt;="&amp;(설정!$C$6*12+1),$C$5:$Z$5,"&lt;="&amp;(설정!$C$6*12+2)))</f>
        <v/>
      </c>
      <c r="AD36" s="40">
        <f>IF(OR($A36="",3&gt;설정!$C$7),0,SUMIFS($C36:$Z36,$C$5:$Z$5,"&gt;="&amp;(설정!$C$6*12+1),$C$5:$Z$5,"&lt;="&amp;(설정!$C$6*12+3)))</f>
        <v/>
      </c>
      <c r="AE36" s="40">
        <f>IF(OR($A36="",4&gt;설정!$C$7),0,SUMIFS($C36:$Z36,$C$5:$Z$5,"&gt;="&amp;(설정!$C$6*12+1),$C$5:$Z$5,"&lt;="&amp;(설정!$C$6*12+4)))</f>
        <v/>
      </c>
      <c r="AF36" s="40">
        <f>IF(OR($A36="",5&gt;설정!$C$7),0,SUMIFS($C36:$Z36,$C$5:$Z$5,"&gt;="&amp;(설정!$C$6*12+1),$C$5:$Z$5,"&lt;="&amp;(설정!$C$6*12+5)))</f>
        <v/>
      </c>
      <c r="AG36" s="40">
        <f>IF(OR($A36="",6&gt;설정!$C$7),0,SUMIFS($C36:$Z36,$C$5:$Z$5,"&gt;="&amp;(설정!$C$6*12+1),$C$5:$Z$5,"&lt;="&amp;(설정!$C$6*12+6)))</f>
        <v/>
      </c>
      <c r="AH36" s="40">
        <f>IF(OR($A36="",7&gt;설정!$C$7),0,SUMIFS($C36:$Z36,$C$5:$Z$5,"&gt;="&amp;(설정!$C$6*12+1),$C$5:$Z$5,"&lt;="&amp;(설정!$C$6*12+7)))</f>
        <v/>
      </c>
      <c r="AI36" s="40">
        <f>IF(OR($A36="",8&gt;설정!$C$7),0,SUMIFS($C36:$Z36,$C$5:$Z$5,"&gt;="&amp;(설정!$C$6*12+1),$C$5:$Z$5,"&lt;="&amp;(설정!$C$6*12+8)))</f>
        <v/>
      </c>
      <c r="AJ36" s="40">
        <f>IF(OR($A36="",9&gt;설정!$C$7),0,SUMIFS($C36:$Z36,$C$5:$Z$5,"&gt;="&amp;(설정!$C$6*12+1),$C$5:$Z$5,"&lt;="&amp;(설정!$C$6*12+9)))</f>
        <v/>
      </c>
      <c r="AK36" s="40">
        <f>IF(OR($A36="",10&gt;설정!$C$7),0,SUMIFS($C36:$Z36,$C$5:$Z$5,"&gt;="&amp;(설정!$C$6*12+1),$C$5:$Z$5,"&lt;="&amp;(설정!$C$6*12+10)))</f>
        <v/>
      </c>
      <c r="AL36" s="40">
        <f>IF(OR($A36="",11&gt;설정!$C$7),0,SUMIFS($C36:$Z36,$C$5:$Z$5,"&gt;="&amp;(설정!$C$6*12+1),$C$5:$Z$5,"&lt;="&amp;(설정!$C$6*12+11)))</f>
        <v/>
      </c>
      <c r="AM36" s="40">
        <f>IF(OR($A36="",12&gt;설정!$C$7),0,SUMIFS($C36:$Z36,$C$5:$Z$5,"&gt;="&amp;(설정!$C$6*12+1),$C$5:$Z$5,"&lt;="&amp;(설정!$C$6*12+12)))</f>
        <v/>
      </c>
    </row>
    <row r="37">
      <c r="A37" s="26">
        <f>IF(변동분석!$A37="","",변동분석!$E37)</f>
        <v/>
      </c>
      <c r="B37" s="26">
        <f>IF($A37="","",변동분석!$B37&amp;" "&amp;변동분석!$D37)</f>
        <v/>
      </c>
      <c r="C37" s="35">
        <f>IF($A37="","",SUMIFS(전표_원본!$P$5:$P$100000,전표_원본!$O$5:$O$100000,$A37,전표_원본!$M$5:$M$100000,C$5))</f>
        <v/>
      </c>
      <c r="D37" s="35">
        <f>IF($A37="","",SUMIFS(전표_원본!$P$5:$P$100000,전표_원본!$O$5:$O$100000,$A37,전표_원본!$M$5:$M$100000,D$5))</f>
        <v/>
      </c>
      <c r="E37" s="35">
        <f>IF($A37="","",SUMIFS(전표_원본!$P$5:$P$100000,전표_원본!$O$5:$O$100000,$A37,전표_원본!$M$5:$M$100000,E$5))</f>
        <v/>
      </c>
      <c r="F37" s="35">
        <f>IF($A37="","",SUMIFS(전표_원본!$P$5:$P$100000,전표_원본!$O$5:$O$100000,$A37,전표_원본!$M$5:$M$100000,F$5))</f>
        <v/>
      </c>
      <c r="G37" s="35">
        <f>IF($A37="","",SUMIFS(전표_원본!$P$5:$P$100000,전표_원본!$O$5:$O$100000,$A37,전표_원본!$M$5:$M$100000,G$5))</f>
        <v/>
      </c>
      <c r="H37" s="35">
        <f>IF($A37="","",SUMIFS(전표_원본!$P$5:$P$100000,전표_원본!$O$5:$O$100000,$A37,전표_원본!$M$5:$M$100000,H$5))</f>
        <v/>
      </c>
      <c r="I37" s="35">
        <f>IF($A37="","",SUMIFS(전표_원본!$P$5:$P$100000,전표_원본!$O$5:$O$100000,$A37,전표_원본!$M$5:$M$100000,I$5))</f>
        <v/>
      </c>
      <c r="J37" s="35">
        <f>IF($A37="","",SUMIFS(전표_원본!$P$5:$P$100000,전표_원본!$O$5:$O$100000,$A37,전표_원본!$M$5:$M$100000,J$5))</f>
        <v/>
      </c>
      <c r="K37" s="35">
        <f>IF($A37="","",SUMIFS(전표_원본!$P$5:$P$100000,전표_원본!$O$5:$O$100000,$A37,전표_원본!$M$5:$M$100000,K$5))</f>
        <v/>
      </c>
      <c r="L37" s="35">
        <f>IF($A37="","",SUMIFS(전표_원본!$P$5:$P$100000,전표_원본!$O$5:$O$100000,$A37,전표_원본!$M$5:$M$100000,L$5))</f>
        <v/>
      </c>
      <c r="M37" s="35">
        <f>IF($A37="","",SUMIFS(전표_원본!$P$5:$P$100000,전표_원본!$O$5:$O$100000,$A37,전표_원본!$M$5:$M$100000,M$5))</f>
        <v/>
      </c>
      <c r="N37" s="35">
        <f>IF($A37="","",SUMIFS(전표_원본!$P$5:$P$100000,전표_원본!$O$5:$O$100000,$A37,전표_원본!$M$5:$M$100000,N$5))</f>
        <v/>
      </c>
      <c r="O37" s="35">
        <f>IF($A37="","",SUMIFS(전표_원본!$P$5:$P$100000,전표_원본!$O$5:$O$100000,$A37,전표_원본!$M$5:$M$100000,O$5))</f>
        <v/>
      </c>
      <c r="P37" s="35">
        <f>IF($A37="","",SUMIFS(전표_원본!$P$5:$P$100000,전표_원본!$O$5:$O$100000,$A37,전표_원본!$M$5:$M$100000,P$5))</f>
        <v/>
      </c>
      <c r="Q37" s="35">
        <f>IF($A37="","",SUMIFS(전표_원본!$P$5:$P$100000,전표_원본!$O$5:$O$100000,$A37,전표_원본!$M$5:$M$100000,Q$5))</f>
        <v/>
      </c>
      <c r="R37" s="35">
        <f>IF($A37="","",SUMIFS(전표_원본!$P$5:$P$100000,전표_원본!$O$5:$O$100000,$A37,전표_원본!$M$5:$M$100000,R$5))</f>
        <v/>
      </c>
      <c r="S37" s="35">
        <f>IF($A37="","",SUMIFS(전표_원본!$P$5:$P$100000,전표_원본!$O$5:$O$100000,$A37,전표_원본!$M$5:$M$100000,S$5))</f>
        <v/>
      </c>
      <c r="T37" s="35">
        <f>IF($A37="","",SUMIFS(전표_원본!$P$5:$P$100000,전표_원본!$O$5:$O$100000,$A37,전표_원본!$M$5:$M$100000,T$5))</f>
        <v/>
      </c>
      <c r="U37" s="35">
        <f>IF($A37="","",SUMIFS(전표_원본!$P$5:$P$100000,전표_원본!$O$5:$O$100000,$A37,전표_원본!$M$5:$M$100000,U$5))</f>
        <v/>
      </c>
      <c r="V37" s="35">
        <f>IF($A37="","",SUMIFS(전표_원본!$P$5:$P$100000,전표_원본!$O$5:$O$100000,$A37,전표_원본!$M$5:$M$100000,V$5))</f>
        <v/>
      </c>
      <c r="W37" s="35">
        <f>IF($A37="","",SUMIFS(전표_원본!$P$5:$P$100000,전표_원본!$O$5:$O$100000,$A37,전표_원본!$M$5:$M$100000,W$5))</f>
        <v/>
      </c>
      <c r="X37" s="35">
        <f>IF($A37="","",SUMIFS(전표_원본!$P$5:$P$100000,전표_원본!$O$5:$O$100000,$A37,전표_원본!$M$5:$M$100000,X$5))</f>
        <v/>
      </c>
      <c r="Y37" s="35">
        <f>IF($A37="","",SUMIFS(전표_원본!$P$5:$P$100000,전표_원본!$O$5:$O$100000,$A37,전표_원본!$M$5:$M$100000,Y$5))</f>
        <v/>
      </c>
      <c r="Z37" s="35">
        <f>IF($A37="","",SUMIFS(전표_원본!$P$5:$P$100000,전표_원본!$O$5:$O$100000,$A37,전표_원본!$M$5:$M$100000,Z$5))</f>
        <v/>
      </c>
      <c r="AB37" s="40">
        <f>IF(OR($A37="",1&gt;설정!$C$7),0,SUMIFS($C37:$Z37,$C$5:$Z$5,"&gt;="&amp;(설정!$C$6*12+1),$C$5:$Z$5,"&lt;="&amp;(설정!$C$6*12+1)))</f>
        <v/>
      </c>
      <c r="AC37" s="40">
        <f>IF(OR($A37="",2&gt;설정!$C$7),0,SUMIFS($C37:$Z37,$C$5:$Z$5,"&gt;="&amp;(설정!$C$6*12+1),$C$5:$Z$5,"&lt;="&amp;(설정!$C$6*12+2)))</f>
        <v/>
      </c>
      <c r="AD37" s="40">
        <f>IF(OR($A37="",3&gt;설정!$C$7),0,SUMIFS($C37:$Z37,$C$5:$Z$5,"&gt;="&amp;(설정!$C$6*12+1),$C$5:$Z$5,"&lt;="&amp;(설정!$C$6*12+3)))</f>
        <v/>
      </c>
      <c r="AE37" s="40">
        <f>IF(OR($A37="",4&gt;설정!$C$7),0,SUMIFS($C37:$Z37,$C$5:$Z$5,"&gt;="&amp;(설정!$C$6*12+1),$C$5:$Z$5,"&lt;="&amp;(설정!$C$6*12+4)))</f>
        <v/>
      </c>
      <c r="AF37" s="40">
        <f>IF(OR($A37="",5&gt;설정!$C$7),0,SUMIFS($C37:$Z37,$C$5:$Z$5,"&gt;="&amp;(설정!$C$6*12+1),$C$5:$Z$5,"&lt;="&amp;(설정!$C$6*12+5)))</f>
        <v/>
      </c>
      <c r="AG37" s="40">
        <f>IF(OR($A37="",6&gt;설정!$C$7),0,SUMIFS($C37:$Z37,$C$5:$Z$5,"&gt;="&amp;(설정!$C$6*12+1),$C$5:$Z$5,"&lt;="&amp;(설정!$C$6*12+6)))</f>
        <v/>
      </c>
      <c r="AH37" s="40">
        <f>IF(OR($A37="",7&gt;설정!$C$7),0,SUMIFS($C37:$Z37,$C$5:$Z$5,"&gt;="&amp;(설정!$C$6*12+1),$C$5:$Z$5,"&lt;="&amp;(설정!$C$6*12+7)))</f>
        <v/>
      </c>
      <c r="AI37" s="40">
        <f>IF(OR($A37="",8&gt;설정!$C$7),0,SUMIFS($C37:$Z37,$C$5:$Z$5,"&gt;="&amp;(설정!$C$6*12+1),$C$5:$Z$5,"&lt;="&amp;(설정!$C$6*12+8)))</f>
        <v/>
      </c>
      <c r="AJ37" s="40">
        <f>IF(OR($A37="",9&gt;설정!$C$7),0,SUMIFS($C37:$Z37,$C$5:$Z$5,"&gt;="&amp;(설정!$C$6*12+1),$C$5:$Z$5,"&lt;="&amp;(설정!$C$6*12+9)))</f>
        <v/>
      </c>
      <c r="AK37" s="40">
        <f>IF(OR($A37="",10&gt;설정!$C$7),0,SUMIFS($C37:$Z37,$C$5:$Z$5,"&gt;="&amp;(설정!$C$6*12+1),$C$5:$Z$5,"&lt;="&amp;(설정!$C$6*12+10)))</f>
        <v/>
      </c>
      <c r="AL37" s="40">
        <f>IF(OR($A37="",11&gt;설정!$C$7),0,SUMIFS($C37:$Z37,$C$5:$Z$5,"&gt;="&amp;(설정!$C$6*12+1),$C$5:$Z$5,"&lt;="&amp;(설정!$C$6*12+11)))</f>
        <v/>
      </c>
      <c r="AM37" s="40">
        <f>IF(OR($A37="",12&gt;설정!$C$7),0,SUMIFS($C37:$Z37,$C$5:$Z$5,"&gt;="&amp;(설정!$C$6*12+1),$C$5:$Z$5,"&lt;="&amp;(설정!$C$6*12+12)))</f>
        <v/>
      </c>
    </row>
    <row r="38">
      <c r="A38" s="26">
        <f>IF(변동분석!$A38="","",변동분석!$E38)</f>
        <v/>
      </c>
      <c r="B38" s="26">
        <f>IF($A38="","",변동분석!$B38&amp;" "&amp;변동분석!$D38)</f>
        <v/>
      </c>
      <c r="C38" s="35">
        <f>IF($A38="","",SUMIFS(전표_원본!$P$5:$P$100000,전표_원본!$O$5:$O$100000,$A38,전표_원본!$M$5:$M$100000,C$5))</f>
        <v/>
      </c>
      <c r="D38" s="35">
        <f>IF($A38="","",SUMIFS(전표_원본!$P$5:$P$100000,전표_원본!$O$5:$O$100000,$A38,전표_원본!$M$5:$M$100000,D$5))</f>
        <v/>
      </c>
      <c r="E38" s="35">
        <f>IF($A38="","",SUMIFS(전표_원본!$P$5:$P$100000,전표_원본!$O$5:$O$100000,$A38,전표_원본!$M$5:$M$100000,E$5))</f>
        <v/>
      </c>
      <c r="F38" s="35">
        <f>IF($A38="","",SUMIFS(전표_원본!$P$5:$P$100000,전표_원본!$O$5:$O$100000,$A38,전표_원본!$M$5:$M$100000,F$5))</f>
        <v/>
      </c>
      <c r="G38" s="35">
        <f>IF($A38="","",SUMIFS(전표_원본!$P$5:$P$100000,전표_원본!$O$5:$O$100000,$A38,전표_원본!$M$5:$M$100000,G$5))</f>
        <v/>
      </c>
      <c r="H38" s="35">
        <f>IF($A38="","",SUMIFS(전표_원본!$P$5:$P$100000,전표_원본!$O$5:$O$100000,$A38,전표_원본!$M$5:$M$100000,H$5))</f>
        <v/>
      </c>
      <c r="I38" s="35">
        <f>IF($A38="","",SUMIFS(전표_원본!$P$5:$P$100000,전표_원본!$O$5:$O$100000,$A38,전표_원본!$M$5:$M$100000,I$5))</f>
        <v/>
      </c>
      <c r="J38" s="35">
        <f>IF($A38="","",SUMIFS(전표_원본!$P$5:$P$100000,전표_원본!$O$5:$O$100000,$A38,전표_원본!$M$5:$M$100000,J$5))</f>
        <v/>
      </c>
      <c r="K38" s="35">
        <f>IF($A38="","",SUMIFS(전표_원본!$P$5:$P$100000,전표_원본!$O$5:$O$100000,$A38,전표_원본!$M$5:$M$100000,K$5))</f>
        <v/>
      </c>
      <c r="L38" s="35">
        <f>IF($A38="","",SUMIFS(전표_원본!$P$5:$P$100000,전표_원본!$O$5:$O$100000,$A38,전표_원본!$M$5:$M$100000,L$5))</f>
        <v/>
      </c>
      <c r="M38" s="35">
        <f>IF($A38="","",SUMIFS(전표_원본!$P$5:$P$100000,전표_원본!$O$5:$O$100000,$A38,전표_원본!$M$5:$M$100000,M$5))</f>
        <v/>
      </c>
      <c r="N38" s="35">
        <f>IF($A38="","",SUMIFS(전표_원본!$P$5:$P$100000,전표_원본!$O$5:$O$100000,$A38,전표_원본!$M$5:$M$100000,N$5))</f>
        <v/>
      </c>
      <c r="O38" s="35">
        <f>IF($A38="","",SUMIFS(전표_원본!$P$5:$P$100000,전표_원본!$O$5:$O$100000,$A38,전표_원본!$M$5:$M$100000,O$5))</f>
        <v/>
      </c>
      <c r="P38" s="35">
        <f>IF($A38="","",SUMIFS(전표_원본!$P$5:$P$100000,전표_원본!$O$5:$O$100000,$A38,전표_원본!$M$5:$M$100000,P$5))</f>
        <v/>
      </c>
      <c r="Q38" s="35">
        <f>IF($A38="","",SUMIFS(전표_원본!$P$5:$P$100000,전표_원본!$O$5:$O$100000,$A38,전표_원본!$M$5:$M$100000,Q$5))</f>
        <v/>
      </c>
      <c r="R38" s="35">
        <f>IF($A38="","",SUMIFS(전표_원본!$P$5:$P$100000,전표_원본!$O$5:$O$100000,$A38,전표_원본!$M$5:$M$100000,R$5))</f>
        <v/>
      </c>
      <c r="S38" s="35">
        <f>IF($A38="","",SUMIFS(전표_원본!$P$5:$P$100000,전표_원본!$O$5:$O$100000,$A38,전표_원본!$M$5:$M$100000,S$5))</f>
        <v/>
      </c>
      <c r="T38" s="35">
        <f>IF($A38="","",SUMIFS(전표_원본!$P$5:$P$100000,전표_원본!$O$5:$O$100000,$A38,전표_원본!$M$5:$M$100000,T$5))</f>
        <v/>
      </c>
      <c r="U38" s="35">
        <f>IF($A38="","",SUMIFS(전표_원본!$P$5:$P$100000,전표_원본!$O$5:$O$100000,$A38,전표_원본!$M$5:$M$100000,U$5))</f>
        <v/>
      </c>
      <c r="V38" s="35">
        <f>IF($A38="","",SUMIFS(전표_원본!$P$5:$P$100000,전표_원본!$O$5:$O$100000,$A38,전표_원본!$M$5:$M$100000,V$5))</f>
        <v/>
      </c>
      <c r="W38" s="35">
        <f>IF($A38="","",SUMIFS(전표_원본!$P$5:$P$100000,전표_원본!$O$5:$O$100000,$A38,전표_원본!$M$5:$M$100000,W$5))</f>
        <v/>
      </c>
      <c r="X38" s="35">
        <f>IF($A38="","",SUMIFS(전표_원본!$P$5:$P$100000,전표_원본!$O$5:$O$100000,$A38,전표_원본!$M$5:$M$100000,X$5))</f>
        <v/>
      </c>
      <c r="Y38" s="35">
        <f>IF($A38="","",SUMIFS(전표_원본!$P$5:$P$100000,전표_원본!$O$5:$O$100000,$A38,전표_원본!$M$5:$M$100000,Y$5))</f>
        <v/>
      </c>
      <c r="Z38" s="35">
        <f>IF($A38="","",SUMIFS(전표_원본!$P$5:$P$100000,전표_원본!$O$5:$O$100000,$A38,전표_원본!$M$5:$M$100000,Z$5))</f>
        <v/>
      </c>
      <c r="AB38" s="40">
        <f>IF(OR($A38="",1&gt;설정!$C$7),0,SUMIFS($C38:$Z38,$C$5:$Z$5,"&gt;="&amp;(설정!$C$6*12+1),$C$5:$Z$5,"&lt;="&amp;(설정!$C$6*12+1)))</f>
        <v/>
      </c>
      <c r="AC38" s="40">
        <f>IF(OR($A38="",2&gt;설정!$C$7),0,SUMIFS($C38:$Z38,$C$5:$Z$5,"&gt;="&amp;(설정!$C$6*12+1),$C$5:$Z$5,"&lt;="&amp;(설정!$C$6*12+2)))</f>
        <v/>
      </c>
      <c r="AD38" s="40">
        <f>IF(OR($A38="",3&gt;설정!$C$7),0,SUMIFS($C38:$Z38,$C$5:$Z$5,"&gt;="&amp;(설정!$C$6*12+1),$C$5:$Z$5,"&lt;="&amp;(설정!$C$6*12+3)))</f>
        <v/>
      </c>
      <c r="AE38" s="40">
        <f>IF(OR($A38="",4&gt;설정!$C$7),0,SUMIFS($C38:$Z38,$C$5:$Z$5,"&gt;="&amp;(설정!$C$6*12+1),$C$5:$Z$5,"&lt;="&amp;(설정!$C$6*12+4)))</f>
        <v/>
      </c>
      <c r="AF38" s="40">
        <f>IF(OR($A38="",5&gt;설정!$C$7),0,SUMIFS($C38:$Z38,$C$5:$Z$5,"&gt;="&amp;(설정!$C$6*12+1),$C$5:$Z$5,"&lt;="&amp;(설정!$C$6*12+5)))</f>
        <v/>
      </c>
      <c r="AG38" s="40">
        <f>IF(OR($A38="",6&gt;설정!$C$7),0,SUMIFS($C38:$Z38,$C$5:$Z$5,"&gt;="&amp;(설정!$C$6*12+1),$C$5:$Z$5,"&lt;="&amp;(설정!$C$6*12+6)))</f>
        <v/>
      </c>
      <c r="AH38" s="40">
        <f>IF(OR($A38="",7&gt;설정!$C$7),0,SUMIFS($C38:$Z38,$C$5:$Z$5,"&gt;="&amp;(설정!$C$6*12+1),$C$5:$Z$5,"&lt;="&amp;(설정!$C$6*12+7)))</f>
        <v/>
      </c>
      <c r="AI38" s="40">
        <f>IF(OR($A38="",8&gt;설정!$C$7),0,SUMIFS($C38:$Z38,$C$5:$Z$5,"&gt;="&amp;(설정!$C$6*12+1),$C$5:$Z$5,"&lt;="&amp;(설정!$C$6*12+8)))</f>
        <v/>
      </c>
      <c r="AJ38" s="40">
        <f>IF(OR($A38="",9&gt;설정!$C$7),0,SUMIFS($C38:$Z38,$C$5:$Z$5,"&gt;="&amp;(설정!$C$6*12+1),$C$5:$Z$5,"&lt;="&amp;(설정!$C$6*12+9)))</f>
        <v/>
      </c>
      <c r="AK38" s="40">
        <f>IF(OR($A38="",10&gt;설정!$C$7),0,SUMIFS($C38:$Z38,$C$5:$Z$5,"&gt;="&amp;(설정!$C$6*12+1),$C$5:$Z$5,"&lt;="&amp;(설정!$C$6*12+10)))</f>
        <v/>
      </c>
      <c r="AL38" s="40">
        <f>IF(OR($A38="",11&gt;설정!$C$7),0,SUMIFS($C38:$Z38,$C$5:$Z$5,"&gt;="&amp;(설정!$C$6*12+1),$C$5:$Z$5,"&lt;="&amp;(설정!$C$6*12+11)))</f>
        <v/>
      </c>
      <c r="AM38" s="40">
        <f>IF(OR($A38="",12&gt;설정!$C$7),0,SUMIFS($C38:$Z38,$C$5:$Z$5,"&gt;="&amp;(설정!$C$6*12+1),$C$5:$Z$5,"&lt;="&amp;(설정!$C$6*12+12)))</f>
        <v/>
      </c>
    </row>
    <row r="39">
      <c r="A39" s="26">
        <f>IF(변동분석!$A39="","",변동분석!$E39)</f>
        <v/>
      </c>
      <c r="B39" s="26">
        <f>IF($A39="","",변동분석!$B39&amp;" "&amp;변동분석!$D39)</f>
        <v/>
      </c>
      <c r="C39" s="35">
        <f>IF($A39="","",SUMIFS(전표_원본!$P$5:$P$100000,전표_원본!$O$5:$O$100000,$A39,전표_원본!$M$5:$M$100000,C$5))</f>
        <v/>
      </c>
      <c r="D39" s="35">
        <f>IF($A39="","",SUMIFS(전표_원본!$P$5:$P$100000,전표_원본!$O$5:$O$100000,$A39,전표_원본!$M$5:$M$100000,D$5))</f>
        <v/>
      </c>
      <c r="E39" s="35">
        <f>IF($A39="","",SUMIFS(전표_원본!$P$5:$P$100000,전표_원본!$O$5:$O$100000,$A39,전표_원본!$M$5:$M$100000,E$5))</f>
        <v/>
      </c>
      <c r="F39" s="35">
        <f>IF($A39="","",SUMIFS(전표_원본!$P$5:$P$100000,전표_원본!$O$5:$O$100000,$A39,전표_원본!$M$5:$M$100000,F$5))</f>
        <v/>
      </c>
      <c r="G39" s="35">
        <f>IF($A39="","",SUMIFS(전표_원본!$P$5:$P$100000,전표_원본!$O$5:$O$100000,$A39,전표_원본!$M$5:$M$100000,G$5))</f>
        <v/>
      </c>
      <c r="H39" s="35">
        <f>IF($A39="","",SUMIFS(전표_원본!$P$5:$P$100000,전표_원본!$O$5:$O$100000,$A39,전표_원본!$M$5:$M$100000,H$5))</f>
        <v/>
      </c>
      <c r="I39" s="35">
        <f>IF($A39="","",SUMIFS(전표_원본!$P$5:$P$100000,전표_원본!$O$5:$O$100000,$A39,전표_원본!$M$5:$M$100000,I$5))</f>
        <v/>
      </c>
      <c r="J39" s="35">
        <f>IF($A39="","",SUMIFS(전표_원본!$P$5:$P$100000,전표_원본!$O$5:$O$100000,$A39,전표_원본!$M$5:$M$100000,J$5))</f>
        <v/>
      </c>
      <c r="K39" s="35">
        <f>IF($A39="","",SUMIFS(전표_원본!$P$5:$P$100000,전표_원본!$O$5:$O$100000,$A39,전표_원본!$M$5:$M$100000,K$5))</f>
        <v/>
      </c>
      <c r="L39" s="35">
        <f>IF($A39="","",SUMIFS(전표_원본!$P$5:$P$100000,전표_원본!$O$5:$O$100000,$A39,전표_원본!$M$5:$M$100000,L$5))</f>
        <v/>
      </c>
      <c r="M39" s="35">
        <f>IF($A39="","",SUMIFS(전표_원본!$P$5:$P$100000,전표_원본!$O$5:$O$100000,$A39,전표_원본!$M$5:$M$100000,M$5))</f>
        <v/>
      </c>
      <c r="N39" s="35">
        <f>IF($A39="","",SUMIFS(전표_원본!$P$5:$P$100000,전표_원본!$O$5:$O$100000,$A39,전표_원본!$M$5:$M$100000,N$5))</f>
        <v/>
      </c>
      <c r="O39" s="35">
        <f>IF($A39="","",SUMIFS(전표_원본!$P$5:$P$100000,전표_원본!$O$5:$O$100000,$A39,전표_원본!$M$5:$M$100000,O$5))</f>
        <v/>
      </c>
      <c r="P39" s="35">
        <f>IF($A39="","",SUMIFS(전표_원본!$P$5:$P$100000,전표_원본!$O$5:$O$100000,$A39,전표_원본!$M$5:$M$100000,P$5))</f>
        <v/>
      </c>
      <c r="Q39" s="35">
        <f>IF($A39="","",SUMIFS(전표_원본!$P$5:$P$100000,전표_원본!$O$5:$O$100000,$A39,전표_원본!$M$5:$M$100000,Q$5))</f>
        <v/>
      </c>
      <c r="R39" s="35">
        <f>IF($A39="","",SUMIFS(전표_원본!$P$5:$P$100000,전표_원본!$O$5:$O$100000,$A39,전표_원본!$M$5:$M$100000,R$5))</f>
        <v/>
      </c>
      <c r="S39" s="35">
        <f>IF($A39="","",SUMIFS(전표_원본!$P$5:$P$100000,전표_원본!$O$5:$O$100000,$A39,전표_원본!$M$5:$M$100000,S$5))</f>
        <v/>
      </c>
      <c r="T39" s="35">
        <f>IF($A39="","",SUMIFS(전표_원본!$P$5:$P$100000,전표_원본!$O$5:$O$100000,$A39,전표_원본!$M$5:$M$100000,T$5))</f>
        <v/>
      </c>
      <c r="U39" s="35">
        <f>IF($A39="","",SUMIFS(전표_원본!$P$5:$P$100000,전표_원본!$O$5:$O$100000,$A39,전표_원본!$M$5:$M$100000,U$5))</f>
        <v/>
      </c>
      <c r="V39" s="35">
        <f>IF($A39="","",SUMIFS(전표_원본!$P$5:$P$100000,전표_원본!$O$5:$O$100000,$A39,전표_원본!$M$5:$M$100000,V$5))</f>
        <v/>
      </c>
      <c r="W39" s="35">
        <f>IF($A39="","",SUMIFS(전표_원본!$P$5:$P$100000,전표_원본!$O$5:$O$100000,$A39,전표_원본!$M$5:$M$100000,W$5))</f>
        <v/>
      </c>
      <c r="X39" s="35">
        <f>IF($A39="","",SUMIFS(전표_원본!$P$5:$P$100000,전표_원본!$O$5:$O$100000,$A39,전표_원본!$M$5:$M$100000,X$5))</f>
        <v/>
      </c>
      <c r="Y39" s="35">
        <f>IF($A39="","",SUMIFS(전표_원본!$P$5:$P$100000,전표_원본!$O$5:$O$100000,$A39,전표_원본!$M$5:$M$100000,Y$5))</f>
        <v/>
      </c>
      <c r="Z39" s="35">
        <f>IF($A39="","",SUMIFS(전표_원본!$P$5:$P$100000,전표_원본!$O$5:$O$100000,$A39,전표_원본!$M$5:$M$100000,Z$5))</f>
        <v/>
      </c>
      <c r="AB39" s="40">
        <f>IF(OR($A39="",1&gt;설정!$C$7),0,SUMIFS($C39:$Z39,$C$5:$Z$5,"&gt;="&amp;(설정!$C$6*12+1),$C$5:$Z$5,"&lt;="&amp;(설정!$C$6*12+1)))</f>
        <v/>
      </c>
      <c r="AC39" s="40">
        <f>IF(OR($A39="",2&gt;설정!$C$7),0,SUMIFS($C39:$Z39,$C$5:$Z$5,"&gt;="&amp;(설정!$C$6*12+1),$C$5:$Z$5,"&lt;="&amp;(설정!$C$6*12+2)))</f>
        <v/>
      </c>
      <c r="AD39" s="40">
        <f>IF(OR($A39="",3&gt;설정!$C$7),0,SUMIFS($C39:$Z39,$C$5:$Z$5,"&gt;="&amp;(설정!$C$6*12+1),$C$5:$Z$5,"&lt;="&amp;(설정!$C$6*12+3)))</f>
        <v/>
      </c>
      <c r="AE39" s="40">
        <f>IF(OR($A39="",4&gt;설정!$C$7),0,SUMIFS($C39:$Z39,$C$5:$Z$5,"&gt;="&amp;(설정!$C$6*12+1),$C$5:$Z$5,"&lt;="&amp;(설정!$C$6*12+4)))</f>
        <v/>
      </c>
      <c r="AF39" s="40">
        <f>IF(OR($A39="",5&gt;설정!$C$7),0,SUMIFS($C39:$Z39,$C$5:$Z$5,"&gt;="&amp;(설정!$C$6*12+1),$C$5:$Z$5,"&lt;="&amp;(설정!$C$6*12+5)))</f>
        <v/>
      </c>
      <c r="AG39" s="40">
        <f>IF(OR($A39="",6&gt;설정!$C$7),0,SUMIFS($C39:$Z39,$C$5:$Z$5,"&gt;="&amp;(설정!$C$6*12+1),$C$5:$Z$5,"&lt;="&amp;(설정!$C$6*12+6)))</f>
        <v/>
      </c>
      <c r="AH39" s="40">
        <f>IF(OR($A39="",7&gt;설정!$C$7),0,SUMIFS($C39:$Z39,$C$5:$Z$5,"&gt;="&amp;(설정!$C$6*12+1),$C$5:$Z$5,"&lt;="&amp;(설정!$C$6*12+7)))</f>
        <v/>
      </c>
      <c r="AI39" s="40">
        <f>IF(OR($A39="",8&gt;설정!$C$7),0,SUMIFS($C39:$Z39,$C$5:$Z$5,"&gt;="&amp;(설정!$C$6*12+1),$C$5:$Z$5,"&lt;="&amp;(설정!$C$6*12+8)))</f>
        <v/>
      </c>
      <c r="AJ39" s="40">
        <f>IF(OR($A39="",9&gt;설정!$C$7),0,SUMIFS($C39:$Z39,$C$5:$Z$5,"&gt;="&amp;(설정!$C$6*12+1),$C$5:$Z$5,"&lt;="&amp;(설정!$C$6*12+9)))</f>
        <v/>
      </c>
      <c r="AK39" s="40">
        <f>IF(OR($A39="",10&gt;설정!$C$7),0,SUMIFS($C39:$Z39,$C$5:$Z$5,"&gt;="&amp;(설정!$C$6*12+1),$C$5:$Z$5,"&lt;="&amp;(설정!$C$6*12+10)))</f>
        <v/>
      </c>
      <c r="AL39" s="40">
        <f>IF(OR($A39="",11&gt;설정!$C$7),0,SUMIFS($C39:$Z39,$C$5:$Z$5,"&gt;="&amp;(설정!$C$6*12+1),$C$5:$Z$5,"&lt;="&amp;(설정!$C$6*12+11)))</f>
        <v/>
      </c>
      <c r="AM39" s="40">
        <f>IF(OR($A39="",12&gt;설정!$C$7),0,SUMIFS($C39:$Z39,$C$5:$Z$5,"&gt;="&amp;(설정!$C$6*12+1),$C$5:$Z$5,"&lt;="&amp;(설정!$C$6*12+12)))</f>
        <v/>
      </c>
    </row>
    <row r="40">
      <c r="A40" s="26">
        <f>IF(변동분석!$A40="","",변동분석!$E40)</f>
        <v/>
      </c>
      <c r="B40" s="26">
        <f>IF($A40="","",변동분석!$B40&amp;" "&amp;변동분석!$D40)</f>
        <v/>
      </c>
      <c r="C40" s="35">
        <f>IF($A40="","",SUMIFS(전표_원본!$P$5:$P$100000,전표_원본!$O$5:$O$100000,$A40,전표_원본!$M$5:$M$100000,C$5))</f>
        <v/>
      </c>
      <c r="D40" s="35">
        <f>IF($A40="","",SUMIFS(전표_원본!$P$5:$P$100000,전표_원본!$O$5:$O$100000,$A40,전표_원본!$M$5:$M$100000,D$5))</f>
        <v/>
      </c>
      <c r="E40" s="35">
        <f>IF($A40="","",SUMIFS(전표_원본!$P$5:$P$100000,전표_원본!$O$5:$O$100000,$A40,전표_원본!$M$5:$M$100000,E$5))</f>
        <v/>
      </c>
      <c r="F40" s="35">
        <f>IF($A40="","",SUMIFS(전표_원본!$P$5:$P$100000,전표_원본!$O$5:$O$100000,$A40,전표_원본!$M$5:$M$100000,F$5))</f>
        <v/>
      </c>
      <c r="G40" s="35">
        <f>IF($A40="","",SUMIFS(전표_원본!$P$5:$P$100000,전표_원본!$O$5:$O$100000,$A40,전표_원본!$M$5:$M$100000,G$5))</f>
        <v/>
      </c>
      <c r="H40" s="35">
        <f>IF($A40="","",SUMIFS(전표_원본!$P$5:$P$100000,전표_원본!$O$5:$O$100000,$A40,전표_원본!$M$5:$M$100000,H$5))</f>
        <v/>
      </c>
      <c r="I40" s="35">
        <f>IF($A40="","",SUMIFS(전표_원본!$P$5:$P$100000,전표_원본!$O$5:$O$100000,$A40,전표_원본!$M$5:$M$100000,I$5))</f>
        <v/>
      </c>
      <c r="J40" s="35">
        <f>IF($A40="","",SUMIFS(전표_원본!$P$5:$P$100000,전표_원본!$O$5:$O$100000,$A40,전표_원본!$M$5:$M$100000,J$5))</f>
        <v/>
      </c>
      <c r="K40" s="35">
        <f>IF($A40="","",SUMIFS(전표_원본!$P$5:$P$100000,전표_원본!$O$5:$O$100000,$A40,전표_원본!$M$5:$M$100000,K$5))</f>
        <v/>
      </c>
      <c r="L40" s="35">
        <f>IF($A40="","",SUMIFS(전표_원본!$P$5:$P$100000,전표_원본!$O$5:$O$100000,$A40,전표_원본!$M$5:$M$100000,L$5))</f>
        <v/>
      </c>
      <c r="M40" s="35">
        <f>IF($A40="","",SUMIFS(전표_원본!$P$5:$P$100000,전표_원본!$O$5:$O$100000,$A40,전표_원본!$M$5:$M$100000,M$5))</f>
        <v/>
      </c>
      <c r="N40" s="35">
        <f>IF($A40="","",SUMIFS(전표_원본!$P$5:$P$100000,전표_원본!$O$5:$O$100000,$A40,전표_원본!$M$5:$M$100000,N$5))</f>
        <v/>
      </c>
      <c r="O40" s="35">
        <f>IF($A40="","",SUMIFS(전표_원본!$P$5:$P$100000,전표_원본!$O$5:$O$100000,$A40,전표_원본!$M$5:$M$100000,O$5))</f>
        <v/>
      </c>
      <c r="P40" s="35">
        <f>IF($A40="","",SUMIFS(전표_원본!$P$5:$P$100000,전표_원본!$O$5:$O$100000,$A40,전표_원본!$M$5:$M$100000,P$5))</f>
        <v/>
      </c>
      <c r="Q40" s="35">
        <f>IF($A40="","",SUMIFS(전표_원본!$P$5:$P$100000,전표_원본!$O$5:$O$100000,$A40,전표_원본!$M$5:$M$100000,Q$5))</f>
        <v/>
      </c>
      <c r="R40" s="35">
        <f>IF($A40="","",SUMIFS(전표_원본!$P$5:$P$100000,전표_원본!$O$5:$O$100000,$A40,전표_원본!$M$5:$M$100000,R$5))</f>
        <v/>
      </c>
      <c r="S40" s="35">
        <f>IF($A40="","",SUMIFS(전표_원본!$P$5:$P$100000,전표_원본!$O$5:$O$100000,$A40,전표_원본!$M$5:$M$100000,S$5))</f>
        <v/>
      </c>
      <c r="T40" s="35">
        <f>IF($A40="","",SUMIFS(전표_원본!$P$5:$P$100000,전표_원본!$O$5:$O$100000,$A40,전표_원본!$M$5:$M$100000,T$5))</f>
        <v/>
      </c>
      <c r="U40" s="35">
        <f>IF($A40="","",SUMIFS(전표_원본!$P$5:$P$100000,전표_원본!$O$5:$O$100000,$A40,전표_원본!$M$5:$M$100000,U$5))</f>
        <v/>
      </c>
      <c r="V40" s="35">
        <f>IF($A40="","",SUMIFS(전표_원본!$P$5:$P$100000,전표_원본!$O$5:$O$100000,$A40,전표_원본!$M$5:$M$100000,V$5))</f>
        <v/>
      </c>
      <c r="W40" s="35">
        <f>IF($A40="","",SUMIFS(전표_원본!$P$5:$P$100000,전표_원본!$O$5:$O$100000,$A40,전표_원본!$M$5:$M$100000,W$5))</f>
        <v/>
      </c>
      <c r="X40" s="35">
        <f>IF($A40="","",SUMIFS(전표_원본!$P$5:$P$100000,전표_원본!$O$5:$O$100000,$A40,전표_원본!$M$5:$M$100000,X$5))</f>
        <v/>
      </c>
      <c r="Y40" s="35">
        <f>IF($A40="","",SUMIFS(전표_원본!$P$5:$P$100000,전표_원본!$O$5:$O$100000,$A40,전표_원본!$M$5:$M$100000,Y$5))</f>
        <v/>
      </c>
      <c r="Z40" s="35">
        <f>IF($A40="","",SUMIFS(전표_원본!$P$5:$P$100000,전표_원본!$O$5:$O$100000,$A40,전표_원본!$M$5:$M$100000,Z$5))</f>
        <v/>
      </c>
      <c r="AB40" s="40">
        <f>IF(OR($A40="",1&gt;설정!$C$7),0,SUMIFS($C40:$Z40,$C$5:$Z$5,"&gt;="&amp;(설정!$C$6*12+1),$C$5:$Z$5,"&lt;="&amp;(설정!$C$6*12+1)))</f>
        <v/>
      </c>
      <c r="AC40" s="40">
        <f>IF(OR($A40="",2&gt;설정!$C$7),0,SUMIFS($C40:$Z40,$C$5:$Z$5,"&gt;="&amp;(설정!$C$6*12+1),$C$5:$Z$5,"&lt;="&amp;(설정!$C$6*12+2)))</f>
        <v/>
      </c>
      <c r="AD40" s="40">
        <f>IF(OR($A40="",3&gt;설정!$C$7),0,SUMIFS($C40:$Z40,$C$5:$Z$5,"&gt;="&amp;(설정!$C$6*12+1),$C$5:$Z$5,"&lt;="&amp;(설정!$C$6*12+3)))</f>
        <v/>
      </c>
      <c r="AE40" s="40">
        <f>IF(OR($A40="",4&gt;설정!$C$7),0,SUMIFS($C40:$Z40,$C$5:$Z$5,"&gt;="&amp;(설정!$C$6*12+1),$C$5:$Z$5,"&lt;="&amp;(설정!$C$6*12+4)))</f>
        <v/>
      </c>
      <c r="AF40" s="40">
        <f>IF(OR($A40="",5&gt;설정!$C$7),0,SUMIFS($C40:$Z40,$C$5:$Z$5,"&gt;="&amp;(설정!$C$6*12+1),$C$5:$Z$5,"&lt;="&amp;(설정!$C$6*12+5)))</f>
        <v/>
      </c>
      <c r="AG40" s="40">
        <f>IF(OR($A40="",6&gt;설정!$C$7),0,SUMIFS($C40:$Z40,$C$5:$Z$5,"&gt;="&amp;(설정!$C$6*12+1),$C$5:$Z$5,"&lt;="&amp;(설정!$C$6*12+6)))</f>
        <v/>
      </c>
      <c r="AH40" s="40">
        <f>IF(OR($A40="",7&gt;설정!$C$7),0,SUMIFS($C40:$Z40,$C$5:$Z$5,"&gt;="&amp;(설정!$C$6*12+1),$C$5:$Z$5,"&lt;="&amp;(설정!$C$6*12+7)))</f>
        <v/>
      </c>
      <c r="AI40" s="40">
        <f>IF(OR($A40="",8&gt;설정!$C$7),0,SUMIFS($C40:$Z40,$C$5:$Z$5,"&gt;="&amp;(설정!$C$6*12+1),$C$5:$Z$5,"&lt;="&amp;(설정!$C$6*12+8)))</f>
        <v/>
      </c>
      <c r="AJ40" s="40">
        <f>IF(OR($A40="",9&gt;설정!$C$7),0,SUMIFS($C40:$Z40,$C$5:$Z$5,"&gt;="&amp;(설정!$C$6*12+1),$C$5:$Z$5,"&lt;="&amp;(설정!$C$6*12+9)))</f>
        <v/>
      </c>
      <c r="AK40" s="40">
        <f>IF(OR($A40="",10&gt;설정!$C$7),0,SUMIFS($C40:$Z40,$C$5:$Z$5,"&gt;="&amp;(설정!$C$6*12+1),$C$5:$Z$5,"&lt;="&amp;(설정!$C$6*12+10)))</f>
        <v/>
      </c>
      <c r="AL40" s="40">
        <f>IF(OR($A40="",11&gt;설정!$C$7),0,SUMIFS($C40:$Z40,$C$5:$Z$5,"&gt;="&amp;(설정!$C$6*12+1),$C$5:$Z$5,"&lt;="&amp;(설정!$C$6*12+11)))</f>
        <v/>
      </c>
      <c r="AM40" s="40">
        <f>IF(OR($A40="",12&gt;설정!$C$7),0,SUMIFS($C40:$Z40,$C$5:$Z$5,"&gt;="&amp;(설정!$C$6*12+1),$C$5:$Z$5,"&lt;="&amp;(설정!$C$6*12+12)))</f>
        <v/>
      </c>
    </row>
    <row r="41">
      <c r="A41" s="26">
        <f>IF(변동분석!$A41="","",변동분석!$E41)</f>
        <v/>
      </c>
      <c r="B41" s="26">
        <f>IF($A41="","",변동분석!$B41&amp;" "&amp;변동분석!$D41)</f>
        <v/>
      </c>
      <c r="C41" s="35">
        <f>IF($A41="","",SUMIFS(전표_원본!$P$5:$P$100000,전표_원본!$O$5:$O$100000,$A41,전표_원본!$M$5:$M$100000,C$5))</f>
        <v/>
      </c>
      <c r="D41" s="35">
        <f>IF($A41="","",SUMIFS(전표_원본!$P$5:$P$100000,전표_원본!$O$5:$O$100000,$A41,전표_원본!$M$5:$M$100000,D$5))</f>
        <v/>
      </c>
      <c r="E41" s="35">
        <f>IF($A41="","",SUMIFS(전표_원본!$P$5:$P$100000,전표_원본!$O$5:$O$100000,$A41,전표_원본!$M$5:$M$100000,E$5))</f>
        <v/>
      </c>
      <c r="F41" s="35">
        <f>IF($A41="","",SUMIFS(전표_원본!$P$5:$P$100000,전표_원본!$O$5:$O$100000,$A41,전표_원본!$M$5:$M$100000,F$5))</f>
        <v/>
      </c>
      <c r="G41" s="35">
        <f>IF($A41="","",SUMIFS(전표_원본!$P$5:$P$100000,전표_원본!$O$5:$O$100000,$A41,전표_원본!$M$5:$M$100000,G$5))</f>
        <v/>
      </c>
      <c r="H41" s="35">
        <f>IF($A41="","",SUMIFS(전표_원본!$P$5:$P$100000,전표_원본!$O$5:$O$100000,$A41,전표_원본!$M$5:$M$100000,H$5))</f>
        <v/>
      </c>
      <c r="I41" s="35">
        <f>IF($A41="","",SUMIFS(전표_원본!$P$5:$P$100000,전표_원본!$O$5:$O$100000,$A41,전표_원본!$M$5:$M$100000,I$5))</f>
        <v/>
      </c>
      <c r="J41" s="35">
        <f>IF($A41="","",SUMIFS(전표_원본!$P$5:$P$100000,전표_원본!$O$5:$O$100000,$A41,전표_원본!$M$5:$M$100000,J$5))</f>
        <v/>
      </c>
      <c r="K41" s="35">
        <f>IF($A41="","",SUMIFS(전표_원본!$P$5:$P$100000,전표_원본!$O$5:$O$100000,$A41,전표_원본!$M$5:$M$100000,K$5))</f>
        <v/>
      </c>
      <c r="L41" s="35">
        <f>IF($A41="","",SUMIFS(전표_원본!$P$5:$P$100000,전표_원본!$O$5:$O$100000,$A41,전표_원본!$M$5:$M$100000,L$5))</f>
        <v/>
      </c>
      <c r="M41" s="35">
        <f>IF($A41="","",SUMIFS(전표_원본!$P$5:$P$100000,전표_원본!$O$5:$O$100000,$A41,전표_원본!$M$5:$M$100000,M$5))</f>
        <v/>
      </c>
      <c r="N41" s="35">
        <f>IF($A41="","",SUMIFS(전표_원본!$P$5:$P$100000,전표_원본!$O$5:$O$100000,$A41,전표_원본!$M$5:$M$100000,N$5))</f>
        <v/>
      </c>
      <c r="O41" s="35">
        <f>IF($A41="","",SUMIFS(전표_원본!$P$5:$P$100000,전표_원본!$O$5:$O$100000,$A41,전표_원본!$M$5:$M$100000,O$5))</f>
        <v/>
      </c>
      <c r="P41" s="35">
        <f>IF($A41="","",SUMIFS(전표_원본!$P$5:$P$100000,전표_원본!$O$5:$O$100000,$A41,전표_원본!$M$5:$M$100000,P$5))</f>
        <v/>
      </c>
      <c r="Q41" s="35">
        <f>IF($A41="","",SUMIFS(전표_원본!$P$5:$P$100000,전표_원본!$O$5:$O$100000,$A41,전표_원본!$M$5:$M$100000,Q$5))</f>
        <v/>
      </c>
      <c r="R41" s="35">
        <f>IF($A41="","",SUMIFS(전표_원본!$P$5:$P$100000,전표_원본!$O$5:$O$100000,$A41,전표_원본!$M$5:$M$100000,R$5))</f>
        <v/>
      </c>
      <c r="S41" s="35">
        <f>IF($A41="","",SUMIFS(전표_원본!$P$5:$P$100000,전표_원본!$O$5:$O$100000,$A41,전표_원본!$M$5:$M$100000,S$5))</f>
        <v/>
      </c>
      <c r="T41" s="35">
        <f>IF($A41="","",SUMIFS(전표_원본!$P$5:$P$100000,전표_원본!$O$5:$O$100000,$A41,전표_원본!$M$5:$M$100000,T$5))</f>
        <v/>
      </c>
      <c r="U41" s="35">
        <f>IF($A41="","",SUMIFS(전표_원본!$P$5:$P$100000,전표_원본!$O$5:$O$100000,$A41,전표_원본!$M$5:$M$100000,U$5))</f>
        <v/>
      </c>
      <c r="V41" s="35">
        <f>IF($A41="","",SUMIFS(전표_원본!$P$5:$P$100000,전표_원본!$O$5:$O$100000,$A41,전표_원본!$M$5:$M$100000,V$5))</f>
        <v/>
      </c>
      <c r="W41" s="35">
        <f>IF($A41="","",SUMIFS(전표_원본!$P$5:$P$100000,전표_원본!$O$5:$O$100000,$A41,전표_원본!$M$5:$M$100000,W$5))</f>
        <v/>
      </c>
      <c r="X41" s="35">
        <f>IF($A41="","",SUMIFS(전표_원본!$P$5:$P$100000,전표_원본!$O$5:$O$100000,$A41,전표_원본!$M$5:$M$100000,X$5))</f>
        <v/>
      </c>
      <c r="Y41" s="35">
        <f>IF($A41="","",SUMIFS(전표_원본!$P$5:$P$100000,전표_원본!$O$5:$O$100000,$A41,전표_원본!$M$5:$M$100000,Y$5))</f>
        <v/>
      </c>
      <c r="Z41" s="35">
        <f>IF($A41="","",SUMIFS(전표_원본!$P$5:$P$100000,전표_원본!$O$5:$O$100000,$A41,전표_원본!$M$5:$M$100000,Z$5))</f>
        <v/>
      </c>
      <c r="AB41" s="40">
        <f>IF(OR($A41="",1&gt;설정!$C$7),0,SUMIFS($C41:$Z41,$C$5:$Z$5,"&gt;="&amp;(설정!$C$6*12+1),$C$5:$Z$5,"&lt;="&amp;(설정!$C$6*12+1)))</f>
        <v/>
      </c>
      <c r="AC41" s="40">
        <f>IF(OR($A41="",2&gt;설정!$C$7),0,SUMIFS($C41:$Z41,$C$5:$Z$5,"&gt;="&amp;(설정!$C$6*12+1),$C$5:$Z$5,"&lt;="&amp;(설정!$C$6*12+2)))</f>
        <v/>
      </c>
      <c r="AD41" s="40">
        <f>IF(OR($A41="",3&gt;설정!$C$7),0,SUMIFS($C41:$Z41,$C$5:$Z$5,"&gt;="&amp;(설정!$C$6*12+1),$C$5:$Z$5,"&lt;="&amp;(설정!$C$6*12+3)))</f>
        <v/>
      </c>
      <c r="AE41" s="40">
        <f>IF(OR($A41="",4&gt;설정!$C$7),0,SUMIFS($C41:$Z41,$C$5:$Z$5,"&gt;="&amp;(설정!$C$6*12+1),$C$5:$Z$5,"&lt;="&amp;(설정!$C$6*12+4)))</f>
        <v/>
      </c>
      <c r="AF41" s="40">
        <f>IF(OR($A41="",5&gt;설정!$C$7),0,SUMIFS($C41:$Z41,$C$5:$Z$5,"&gt;="&amp;(설정!$C$6*12+1),$C$5:$Z$5,"&lt;="&amp;(설정!$C$6*12+5)))</f>
        <v/>
      </c>
      <c r="AG41" s="40">
        <f>IF(OR($A41="",6&gt;설정!$C$7),0,SUMIFS($C41:$Z41,$C$5:$Z$5,"&gt;="&amp;(설정!$C$6*12+1),$C$5:$Z$5,"&lt;="&amp;(설정!$C$6*12+6)))</f>
        <v/>
      </c>
      <c r="AH41" s="40">
        <f>IF(OR($A41="",7&gt;설정!$C$7),0,SUMIFS($C41:$Z41,$C$5:$Z$5,"&gt;="&amp;(설정!$C$6*12+1),$C$5:$Z$5,"&lt;="&amp;(설정!$C$6*12+7)))</f>
        <v/>
      </c>
      <c r="AI41" s="40">
        <f>IF(OR($A41="",8&gt;설정!$C$7),0,SUMIFS($C41:$Z41,$C$5:$Z$5,"&gt;="&amp;(설정!$C$6*12+1),$C$5:$Z$5,"&lt;="&amp;(설정!$C$6*12+8)))</f>
        <v/>
      </c>
      <c r="AJ41" s="40">
        <f>IF(OR($A41="",9&gt;설정!$C$7),0,SUMIFS($C41:$Z41,$C$5:$Z$5,"&gt;="&amp;(설정!$C$6*12+1),$C$5:$Z$5,"&lt;="&amp;(설정!$C$6*12+9)))</f>
        <v/>
      </c>
      <c r="AK41" s="40">
        <f>IF(OR($A41="",10&gt;설정!$C$7),0,SUMIFS($C41:$Z41,$C$5:$Z$5,"&gt;="&amp;(설정!$C$6*12+1),$C$5:$Z$5,"&lt;="&amp;(설정!$C$6*12+10)))</f>
        <v/>
      </c>
      <c r="AL41" s="40">
        <f>IF(OR($A41="",11&gt;설정!$C$7),0,SUMIFS($C41:$Z41,$C$5:$Z$5,"&gt;="&amp;(설정!$C$6*12+1),$C$5:$Z$5,"&lt;="&amp;(설정!$C$6*12+11)))</f>
        <v/>
      </c>
      <c r="AM41" s="40">
        <f>IF(OR($A41="",12&gt;설정!$C$7),0,SUMIFS($C41:$Z41,$C$5:$Z$5,"&gt;="&amp;(설정!$C$6*12+1),$C$5:$Z$5,"&lt;="&amp;(설정!$C$6*12+12)))</f>
        <v/>
      </c>
    </row>
    <row r="42">
      <c r="A42" s="26">
        <f>IF(변동분석!$A42="","",변동분석!$E42)</f>
        <v/>
      </c>
      <c r="B42" s="26">
        <f>IF($A42="","",변동분석!$B42&amp;" "&amp;변동분석!$D42)</f>
        <v/>
      </c>
      <c r="C42" s="35">
        <f>IF($A42="","",SUMIFS(전표_원본!$P$5:$P$100000,전표_원본!$O$5:$O$100000,$A42,전표_원본!$M$5:$M$100000,C$5))</f>
        <v/>
      </c>
      <c r="D42" s="35">
        <f>IF($A42="","",SUMIFS(전표_원본!$P$5:$P$100000,전표_원본!$O$5:$O$100000,$A42,전표_원본!$M$5:$M$100000,D$5))</f>
        <v/>
      </c>
      <c r="E42" s="35">
        <f>IF($A42="","",SUMIFS(전표_원본!$P$5:$P$100000,전표_원본!$O$5:$O$100000,$A42,전표_원본!$M$5:$M$100000,E$5))</f>
        <v/>
      </c>
      <c r="F42" s="35">
        <f>IF($A42="","",SUMIFS(전표_원본!$P$5:$P$100000,전표_원본!$O$5:$O$100000,$A42,전표_원본!$M$5:$M$100000,F$5))</f>
        <v/>
      </c>
      <c r="G42" s="35">
        <f>IF($A42="","",SUMIFS(전표_원본!$P$5:$P$100000,전표_원본!$O$5:$O$100000,$A42,전표_원본!$M$5:$M$100000,G$5))</f>
        <v/>
      </c>
      <c r="H42" s="35">
        <f>IF($A42="","",SUMIFS(전표_원본!$P$5:$P$100000,전표_원본!$O$5:$O$100000,$A42,전표_원본!$M$5:$M$100000,H$5))</f>
        <v/>
      </c>
      <c r="I42" s="35">
        <f>IF($A42="","",SUMIFS(전표_원본!$P$5:$P$100000,전표_원본!$O$5:$O$100000,$A42,전표_원본!$M$5:$M$100000,I$5))</f>
        <v/>
      </c>
      <c r="J42" s="35">
        <f>IF($A42="","",SUMIFS(전표_원본!$P$5:$P$100000,전표_원본!$O$5:$O$100000,$A42,전표_원본!$M$5:$M$100000,J$5))</f>
        <v/>
      </c>
      <c r="K42" s="35">
        <f>IF($A42="","",SUMIFS(전표_원본!$P$5:$P$100000,전표_원본!$O$5:$O$100000,$A42,전표_원본!$M$5:$M$100000,K$5))</f>
        <v/>
      </c>
      <c r="L42" s="35">
        <f>IF($A42="","",SUMIFS(전표_원본!$P$5:$P$100000,전표_원본!$O$5:$O$100000,$A42,전표_원본!$M$5:$M$100000,L$5))</f>
        <v/>
      </c>
      <c r="M42" s="35">
        <f>IF($A42="","",SUMIFS(전표_원본!$P$5:$P$100000,전표_원본!$O$5:$O$100000,$A42,전표_원본!$M$5:$M$100000,M$5))</f>
        <v/>
      </c>
      <c r="N42" s="35">
        <f>IF($A42="","",SUMIFS(전표_원본!$P$5:$P$100000,전표_원본!$O$5:$O$100000,$A42,전표_원본!$M$5:$M$100000,N$5))</f>
        <v/>
      </c>
      <c r="O42" s="35">
        <f>IF($A42="","",SUMIFS(전표_원본!$P$5:$P$100000,전표_원본!$O$5:$O$100000,$A42,전표_원본!$M$5:$M$100000,O$5))</f>
        <v/>
      </c>
      <c r="P42" s="35">
        <f>IF($A42="","",SUMIFS(전표_원본!$P$5:$P$100000,전표_원본!$O$5:$O$100000,$A42,전표_원본!$M$5:$M$100000,P$5))</f>
        <v/>
      </c>
      <c r="Q42" s="35">
        <f>IF($A42="","",SUMIFS(전표_원본!$P$5:$P$100000,전표_원본!$O$5:$O$100000,$A42,전표_원본!$M$5:$M$100000,Q$5))</f>
        <v/>
      </c>
      <c r="R42" s="35">
        <f>IF($A42="","",SUMIFS(전표_원본!$P$5:$P$100000,전표_원본!$O$5:$O$100000,$A42,전표_원본!$M$5:$M$100000,R$5))</f>
        <v/>
      </c>
      <c r="S42" s="35">
        <f>IF($A42="","",SUMIFS(전표_원본!$P$5:$P$100000,전표_원본!$O$5:$O$100000,$A42,전표_원본!$M$5:$M$100000,S$5))</f>
        <v/>
      </c>
      <c r="T42" s="35">
        <f>IF($A42="","",SUMIFS(전표_원본!$P$5:$P$100000,전표_원본!$O$5:$O$100000,$A42,전표_원본!$M$5:$M$100000,T$5))</f>
        <v/>
      </c>
      <c r="U42" s="35">
        <f>IF($A42="","",SUMIFS(전표_원본!$P$5:$P$100000,전표_원본!$O$5:$O$100000,$A42,전표_원본!$M$5:$M$100000,U$5))</f>
        <v/>
      </c>
      <c r="V42" s="35">
        <f>IF($A42="","",SUMIFS(전표_원본!$P$5:$P$100000,전표_원본!$O$5:$O$100000,$A42,전표_원본!$M$5:$M$100000,V$5))</f>
        <v/>
      </c>
      <c r="W42" s="35">
        <f>IF($A42="","",SUMIFS(전표_원본!$P$5:$P$100000,전표_원본!$O$5:$O$100000,$A42,전표_원본!$M$5:$M$100000,W$5))</f>
        <v/>
      </c>
      <c r="X42" s="35">
        <f>IF($A42="","",SUMIFS(전표_원본!$P$5:$P$100000,전표_원본!$O$5:$O$100000,$A42,전표_원본!$M$5:$M$100000,X$5))</f>
        <v/>
      </c>
      <c r="Y42" s="35">
        <f>IF($A42="","",SUMIFS(전표_원본!$P$5:$P$100000,전표_원본!$O$5:$O$100000,$A42,전표_원본!$M$5:$M$100000,Y$5))</f>
        <v/>
      </c>
      <c r="Z42" s="35">
        <f>IF($A42="","",SUMIFS(전표_원본!$P$5:$P$100000,전표_원본!$O$5:$O$100000,$A42,전표_원본!$M$5:$M$100000,Z$5))</f>
        <v/>
      </c>
      <c r="AB42" s="40">
        <f>IF(OR($A42="",1&gt;설정!$C$7),0,SUMIFS($C42:$Z42,$C$5:$Z$5,"&gt;="&amp;(설정!$C$6*12+1),$C$5:$Z$5,"&lt;="&amp;(설정!$C$6*12+1)))</f>
        <v/>
      </c>
      <c r="AC42" s="40">
        <f>IF(OR($A42="",2&gt;설정!$C$7),0,SUMIFS($C42:$Z42,$C$5:$Z$5,"&gt;="&amp;(설정!$C$6*12+1),$C$5:$Z$5,"&lt;="&amp;(설정!$C$6*12+2)))</f>
        <v/>
      </c>
      <c r="AD42" s="40">
        <f>IF(OR($A42="",3&gt;설정!$C$7),0,SUMIFS($C42:$Z42,$C$5:$Z$5,"&gt;="&amp;(설정!$C$6*12+1),$C$5:$Z$5,"&lt;="&amp;(설정!$C$6*12+3)))</f>
        <v/>
      </c>
      <c r="AE42" s="40">
        <f>IF(OR($A42="",4&gt;설정!$C$7),0,SUMIFS($C42:$Z42,$C$5:$Z$5,"&gt;="&amp;(설정!$C$6*12+1),$C$5:$Z$5,"&lt;="&amp;(설정!$C$6*12+4)))</f>
        <v/>
      </c>
      <c r="AF42" s="40">
        <f>IF(OR($A42="",5&gt;설정!$C$7),0,SUMIFS($C42:$Z42,$C$5:$Z$5,"&gt;="&amp;(설정!$C$6*12+1),$C$5:$Z$5,"&lt;="&amp;(설정!$C$6*12+5)))</f>
        <v/>
      </c>
      <c r="AG42" s="40">
        <f>IF(OR($A42="",6&gt;설정!$C$7),0,SUMIFS($C42:$Z42,$C$5:$Z$5,"&gt;="&amp;(설정!$C$6*12+1),$C$5:$Z$5,"&lt;="&amp;(설정!$C$6*12+6)))</f>
        <v/>
      </c>
      <c r="AH42" s="40">
        <f>IF(OR($A42="",7&gt;설정!$C$7),0,SUMIFS($C42:$Z42,$C$5:$Z$5,"&gt;="&amp;(설정!$C$6*12+1),$C$5:$Z$5,"&lt;="&amp;(설정!$C$6*12+7)))</f>
        <v/>
      </c>
      <c r="AI42" s="40">
        <f>IF(OR($A42="",8&gt;설정!$C$7),0,SUMIFS($C42:$Z42,$C$5:$Z$5,"&gt;="&amp;(설정!$C$6*12+1),$C$5:$Z$5,"&lt;="&amp;(설정!$C$6*12+8)))</f>
        <v/>
      </c>
      <c r="AJ42" s="40">
        <f>IF(OR($A42="",9&gt;설정!$C$7),0,SUMIFS($C42:$Z42,$C$5:$Z$5,"&gt;="&amp;(설정!$C$6*12+1),$C$5:$Z$5,"&lt;="&amp;(설정!$C$6*12+9)))</f>
        <v/>
      </c>
      <c r="AK42" s="40">
        <f>IF(OR($A42="",10&gt;설정!$C$7),0,SUMIFS($C42:$Z42,$C$5:$Z$5,"&gt;="&amp;(설정!$C$6*12+1),$C$5:$Z$5,"&lt;="&amp;(설정!$C$6*12+10)))</f>
        <v/>
      </c>
      <c r="AL42" s="40">
        <f>IF(OR($A42="",11&gt;설정!$C$7),0,SUMIFS($C42:$Z42,$C$5:$Z$5,"&gt;="&amp;(설정!$C$6*12+1),$C$5:$Z$5,"&lt;="&amp;(설정!$C$6*12+11)))</f>
        <v/>
      </c>
      <c r="AM42" s="40">
        <f>IF(OR($A42="",12&gt;설정!$C$7),0,SUMIFS($C42:$Z42,$C$5:$Z$5,"&gt;="&amp;(설정!$C$6*12+1),$C$5:$Z$5,"&lt;="&amp;(설정!$C$6*12+12)))</f>
        <v/>
      </c>
    </row>
    <row r="43">
      <c r="A43" s="26">
        <f>IF(변동분석!$A43="","",변동분석!$E43)</f>
        <v/>
      </c>
      <c r="B43" s="26">
        <f>IF($A43="","",변동분석!$B43&amp;" "&amp;변동분석!$D43)</f>
        <v/>
      </c>
      <c r="C43" s="35">
        <f>IF($A43="","",SUMIFS(전표_원본!$P$5:$P$100000,전표_원본!$O$5:$O$100000,$A43,전표_원본!$M$5:$M$100000,C$5))</f>
        <v/>
      </c>
      <c r="D43" s="35">
        <f>IF($A43="","",SUMIFS(전표_원본!$P$5:$P$100000,전표_원본!$O$5:$O$100000,$A43,전표_원본!$M$5:$M$100000,D$5))</f>
        <v/>
      </c>
      <c r="E43" s="35">
        <f>IF($A43="","",SUMIFS(전표_원본!$P$5:$P$100000,전표_원본!$O$5:$O$100000,$A43,전표_원본!$M$5:$M$100000,E$5))</f>
        <v/>
      </c>
      <c r="F43" s="35">
        <f>IF($A43="","",SUMIFS(전표_원본!$P$5:$P$100000,전표_원본!$O$5:$O$100000,$A43,전표_원본!$M$5:$M$100000,F$5))</f>
        <v/>
      </c>
      <c r="G43" s="35">
        <f>IF($A43="","",SUMIFS(전표_원본!$P$5:$P$100000,전표_원본!$O$5:$O$100000,$A43,전표_원본!$M$5:$M$100000,G$5))</f>
        <v/>
      </c>
      <c r="H43" s="35">
        <f>IF($A43="","",SUMIFS(전표_원본!$P$5:$P$100000,전표_원본!$O$5:$O$100000,$A43,전표_원본!$M$5:$M$100000,H$5))</f>
        <v/>
      </c>
      <c r="I43" s="35">
        <f>IF($A43="","",SUMIFS(전표_원본!$P$5:$P$100000,전표_원본!$O$5:$O$100000,$A43,전표_원본!$M$5:$M$100000,I$5))</f>
        <v/>
      </c>
      <c r="J43" s="35">
        <f>IF($A43="","",SUMIFS(전표_원본!$P$5:$P$100000,전표_원본!$O$5:$O$100000,$A43,전표_원본!$M$5:$M$100000,J$5))</f>
        <v/>
      </c>
      <c r="K43" s="35">
        <f>IF($A43="","",SUMIFS(전표_원본!$P$5:$P$100000,전표_원본!$O$5:$O$100000,$A43,전표_원본!$M$5:$M$100000,K$5))</f>
        <v/>
      </c>
      <c r="L43" s="35">
        <f>IF($A43="","",SUMIFS(전표_원본!$P$5:$P$100000,전표_원본!$O$5:$O$100000,$A43,전표_원본!$M$5:$M$100000,L$5))</f>
        <v/>
      </c>
      <c r="M43" s="35">
        <f>IF($A43="","",SUMIFS(전표_원본!$P$5:$P$100000,전표_원본!$O$5:$O$100000,$A43,전표_원본!$M$5:$M$100000,M$5))</f>
        <v/>
      </c>
      <c r="N43" s="35">
        <f>IF($A43="","",SUMIFS(전표_원본!$P$5:$P$100000,전표_원본!$O$5:$O$100000,$A43,전표_원본!$M$5:$M$100000,N$5))</f>
        <v/>
      </c>
      <c r="O43" s="35">
        <f>IF($A43="","",SUMIFS(전표_원본!$P$5:$P$100000,전표_원본!$O$5:$O$100000,$A43,전표_원본!$M$5:$M$100000,O$5))</f>
        <v/>
      </c>
      <c r="P43" s="35">
        <f>IF($A43="","",SUMIFS(전표_원본!$P$5:$P$100000,전표_원본!$O$5:$O$100000,$A43,전표_원본!$M$5:$M$100000,P$5))</f>
        <v/>
      </c>
      <c r="Q43" s="35">
        <f>IF($A43="","",SUMIFS(전표_원본!$P$5:$P$100000,전표_원본!$O$5:$O$100000,$A43,전표_원본!$M$5:$M$100000,Q$5))</f>
        <v/>
      </c>
      <c r="R43" s="35">
        <f>IF($A43="","",SUMIFS(전표_원본!$P$5:$P$100000,전표_원본!$O$5:$O$100000,$A43,전표_원본!$M$5:$M$100000,R$5))</f>
        <v/>
      </c>
      <c r="S43" s="35">
        <f>IF($A43="","",SUMIFS(전표_원본!$P$5:$P$100000,전표_원본!$O$5:$O$100000,$A43,전표_원본!$M$5:$M$100000,S$5))</f>
        <v/>
      </c>
      <c r="T43" s="35">
        <f>IF($A43="","",SUMIFS(전표_원본!$P$5:$P$100000,전표_원본!$O$5:$O$100000,$A43,전표_원본!$M$5:$M$100000,T$5))</f>
        <v/>
      </c>
      <c r="U43" s="35">
        <f>IF($A43="","",SUMIFS(전표_원본!$P$5:$P$100000,전표_원본!$O$5:$O$100000,$A43,전표_원본!$M$5:$M$100000,U$5))</f>
        <v/>
      </c>
      <c r="V43" s="35">
        <f>IF($A43="","",SUMIFS(전표_원본!$P$5:$P$100000,전표_원본!$O$5:$O$100000,$A43,전표_원본!$M$5:$M$100000,V$5))</f>
        <v/>
      </c>
      <c r="W43" s="35">
        <f>IF($A43="","",SUMIFS(전표_원본!$P$5:$P$100000,전표_원본!$O$5:$O$100000,$A43,전표_원본!$M$5:$M$100000,W$5))</f>
        <v/>
      </c>
      <c r="X43" s="35">
        <f>IF($A43="","",SUMIFS(전표_원본!$P$5:$P$100000,전표_원본!$O$5:$O$100000,$A43,전표_원본!$M$5:$M$100000,X$5))</f>
        <v/>
      </c>
      <c r="Y43" s="35">
        <f>IF($A43="","",SUMIFS(전표_원본!$P$5:$P$100000,전표_원본!$O$5:$O$100000,$A43,전표_원본!$M$5:$M$100000,Y$5))</f>
        <v/>
      </c>
      <c r="Z43" s="35">
        <f>IF($A43="","",SUMIFS(전표_원본!$P$5:$P$100000,전표_원본!$O$5:$O$100000,$A43,전표_원본!$M$5:$M$100000,Z$5))</f>
        <v/>
      </c>
      <c r="AB43" s="40">
        <f>IF(OR($A43="",1&gt;설정!$C$7),0,SUMIFS($C43:$Z43,$C$5:$Z$5,"&gt;="&amp;(설정!$C$6*12+1),$C$5:$Z$5,"&lt;="&amp;(설정!$C$6*12+1)))</f>
        <v/>
      </c>
      <c r="AC43" s="40">
        <f>IF(OR($A43="",2&gt;설정!$C$7),0,SUMIFS($C43:$Z43,$C$5:$Z$5,"&gt;="&amp;(설정!$C$6*12+1),$C$5:$Z$5,"&lt;="&amp;(설정!$C$6*12+2)))</f>
        <v/>
      </c>
      <c r="AD43" s="40">
        <f>IF(OR($A43="",3&gt;설정!$C$7),0,SUMIFS($C43:$Z43,$C$5:$Z$5,"&gt;="&amp;(설정!$C$6*12+1),$C$5:$Z$5,"&lt;="&amp;(설정!$C$6*12+3)))</f>
        <v/>
      </c>
      <c r="AE43" s="40">
        <f>IF(OR($A43="",4&gt;설정!$C$7),0,SUMIFS($C43:$Z43,$C$5:$Z$5,"&gt;="&amp;(설정!$C$6*12+1),$C$5:$Z$5,"&lt;="&amp;(설정!$C$6*12+4)))</f>
        <v/>
      </c>
      <c r="AF43" s="40">
        <f>IF(OR($A43="",5&gt;설정!$C$7),0,SUMIFS($C43:$Z43,$C$5:$Z$5,"&gt;="&amp;(설정!$C$6*12+1),$C$5:$Z$5,"&lt;="&amp;(설정!$C$6*12+5)))</f>
        <v/>
      </c>
      <c r="AG43" s="40">
        <f>IF(OR($A43="",6&gt;설정!$C$7),0,SUMIFS($C43:$Z43,$C$5:$Z$5,"&gt;="&amp;(설정!$C$6*12+1),$C$5:$Z$5,"&lt;="&amp;(설정!$C$6*12+6)))</f>
        <v/>
      </c>
      <c r="AH43" s="40">
        <f>IF(OR($A43="",7&gt;설정!$C$7),0,SUMIFS($C43:$Z43,$C$5:$Z$5,"&gt;="&amp;(설정!$C$6*12+1),$C$5:$Z$5,"&lt;="&amp;(설정!$C$6*12+7)))</f>
        <v/>
      </c>
      <c r="AI43" s="40">
        <f>IF(OR($A43="",8&gt;설정!$C$7),0,SUMIFS($C43:$Z43,$C$5:$Z$5,"&gt;="&amp;(설정!$C$6*12+1),$C$5:$Z$5,"&lt;="&amp;(설정!$C$6*12+8)))</f>
        <v/>
      </c>
      <c r="AJ43" s="40">
        <f>IF(OR($A43="",9&gt;설정!$C$7),0,SUMIFS($C43:$Z43,$C$5:$Z$5,"&gt;="&amp;(설정!$C$6*12+1),$C$5:$Z$5,"&lt;="&amp;(설정!$C$6*12+9)))</f>
        <v/>
      </c>
      <c r="AK43" s="40">
        <f>IF(OR($A43="",10&gt;설정!$C$7),0,SUMIFS($C43:$Z43,$C$5:$Z$5,"&gt;="&amp;(설정!$C$6*12+1),$C$5:$Z$5,"&lt;="&amp;(설정!$C$6*12+10)))</f>
        <v/>
      </c>
      <c r="AL43" s="40">
        <f>IF(OR($A43="",11&gt;설정!$C$7),0,SUMIFS($C43:$Z43,$C$5:$Z$5,"&gt;="&amp;(설정!$C$6*12+1),$C$5:$Z$5,"&lt;="&amp;(설정!$C$6*12+11)))</f>
        <v/>
      </c>
      <c r="AM43" s="40">
        <f>IF(OR($A43="",12&gt;설정!$C$7),0,SUMIFS($C43:$Z43,$C$5:$Z$5,"&gt;="&amp;(설정!$C$6*12+1),$C$5:$Z$5,"&lt;="&amp;(설정!$C$6*12+12)))</f>
        <v/>
      </c>
    </row>
    <row r="44">
      <c r="A44" s="26">
        <f>IF(변동분석!$A44="","",변동분석!$E44)</f>
        <v/>
      </c>
      <c r="B44" s="26">
        <f>IF($A44="","",변동분석!$B44&amp;" "&amp;변동분석!$D44)</f>
        <v/>
      </c>
      <c r="C44" s="35">
        <f>IF($A44="","",SUMIFS(전표_원본!$P$5:$P$100000,전표_원본!$O$5:$O$100000,$A44,전표_원본!$M$5:$M$100000,C$5))</f>
        <v/>
      </c>
      <c r="D44" s="35">
        <f>IF($A44="","",SUMIFS(전표_원본!$P$5:$P$100000,전표_원본!$O$5:$O$100000,$A44,전표_원본!$M$5:$M$100000,D$5))</f>
        <v/>
      </c>
      <c r="E44" s="35">
        <f>IF($A44="","",SUMIFS(전표_원본!$P$5:$P$100000,전표_원본!$O$5:$O$100000,$A44,전표_원본!$M$5:$M$100000,E$5))</f>
        <v/>
      </c>
      <c r="F44" s="35">
        <f>IF($A44="","",SUMIFS(전표_원본!$P$5:$P$100000,전표_원본!$O$5:$O$100000,$A44,전표_원본!$M$5:$M$100000,F$5))</f>
        <v/>
      </c>
      <c r="G44" s="35">
        <f>IF($A44="","",SUMIFS(전표_원본!$P$5:$P$100000,전표_원본!$O$5:$O$100000,$A44,전표_원본!$M$5:$M$100000,G$5))</f>
        <v/>
      </c>
      <c r="H44" s="35">
        <f>IF($A44="","",SUMIFS(전표_원본!$P$5:$P$100000,전표_원본!$O$5:$O$100000,$A44,전표_원본!$M$5:$M$100000,H$5))</f>
        <v/>
      </c>
      <c r="I44" s="35">
        <f>IF($A44="","",SUMIFS(전표_원본!$P$5:$P$100000,전표_원본!$O$5:$O$100000,$A44,전표_원본!$M$5:$M$100000,I$5))</f>
        <v/>
      </c>
      <c r="J44" s="35">
        <f>IF($A44="","",SUMIFS(전표_원본!$P$5:$P$100000,전표_원본!$O$5:$O$100000,$A44,전표_원본!$M$5:$M$100000,J$5))</f>
        <v/>
      </c>
      <c r="K44" s="35">
        <f>IF($A44="","",SUMIFS(전표_원본!$P$5:$P$100000,전표_원본!$O$5:$O$100000,$A44,전표_원본!$M$5:$M$100000,K$5))</f>
        <v/>
      </c>
      <c r="L44" s="35">
        <f>IF($A44="","",SUMIFS(전표_원본!$P$5:$P$100000,전표_원본!$O$5:$O$100000,$A44,전표_원본!$M$5:$M$100000,L$5))</f>
        <v/>
      </c>
      <c r="M44" s="35">
        <f>IF($A44="","",SUMIFS(전표_원본!$P$5:$P$100000,전표_원본!$O$5:$O$100000,$A44,전표_원본!$M$5:$M$100000,M$5))</f>
        <v/>
      </c>
      <c r="N44" s="35">
        <f>IF($A44="","",SUMIFS(전표_원본!$P$5:$P$100000,전표_원본!$O$5:$O$100000,$A44,전표_원본!$M$5:$M$100000,N$5))</f>
        <v/>
      </c>
      <c r="O44" s="35">
        <f>IF($A44="","",SUMIFS(전표_원본!$P$5:$P$100000,전표_원본!$O$5:$O$100000,$A44,전표_원본!$M$5:$M$100000,O$5))</f>
        <v/>
      </c>
      <c r="P44" s="35">
        <f>IF($A44="","",SUMIFS(전표_원본!$P$5:$P$100000,전표_원본!$O$5:$O$100000,$A44,전표_원본!$M$5:$M$100000,P$5))</f>
        <v/>
      </c>
      <c r="Q44" s="35">
        <f>IF($A44="","",SUMIFS(전표_원본!$P$5:$P$100000,전표_원본!$O$5:$O$100000,$A44,전표_원본!$M$5:$M$100000,Q$5))</f>
        <v/>
      </c>
      <c r="R44" s="35">
        <f>IF($A44="","",SUMIFS(전표_원본!$P$5:$P$100000,전표_원본!$O$5:$O$100000,$A44,전표_원본!$M$5:$M$100000,R$5))</f>
        <v/>
      </c>
      <c r="S44" s="35">
        <f>IF($A44="","",SUMIFS(전표_원본!$P$5:$P$100000,전표_원본!$O$5:$O$100000,$A44,전표_원본!$M$5:$M$100000,S$5))</f>
        <v/>
      </c>
      <c r="T44" s="35">
        <f>IF($A44="","",SUMIFS(전표_원본!$P$5:$P$100000,전표_원본!$O$5:$O$100000,$A44,전표_원본!$M$5:$M$100000,T$5))</f>
        <v/>
      </c>
      <c r="U44" s="35">
        <f>IF($A44="","",SUMIFS(전표_원본!$P$5:$P$100000,전표_원본!$O$5:$O$100000,$A44,전표_원본!$M$5:$M$100000,U$5))</f>
        <v/>
      </c>
      <c r="V44" s="35">
        <f>IF($A44="","",SUMIFS(전표_원본!$P$5:$P$100000,전표_원본!$O$5:$O$100000,$A44,전표_원본!$M$5:$M$100000,V$5))</f>
        <v/>
      </c>
      <c r="W44" s="35">
        <f>IF($A44="","",SUMIFS(전표_원본!$P$5:$P$100000,전표_원본!$O$5:$O$100000,$A44,전표_원본!$M$5:$M$100000,W$5))</f>
        <v/>
      </c>
      <c r="X44" s="35">
        <f>IF($A44="","",SUMIFS(전표_원본!$P$5:$P$100000,전표_원본!$O$5:$O$100000,$A44,전표_원본!$M$5:$M$100000,X$5))</f>
        <v/>
      </c>
      <c r="Y44" s="35">
        <f>IF($A44="","",SUMIFS(전표_원본!$P$5:$P$100000,전표_원본!$O$5:$O$100000,$A44,전표_원본!$M$5:$M$100000,Y$5))</f>
        <v/>
      </c>
      <c r="Z44" s="35">
        <f>IF($A44="","",SUMIFS(전표_원본!$P$5:$P$100000,전표_원본!$O$5:$O$100000,$A44,전표_원본!$M$5:$M$100000,Z$5))</f>
        <v/>
      </c>
      <c r="AB44" s="40">
        <f>IF(OR($A44="",1&gt;설정!$C$7),0,SUMIFS($C44:$Z44,$C$5:$Z$5,"&gt;="&amp;(설정!$C$6*12+1),$C$5:$Z$5,"&lt;="&amp;(설정!$C$6*12+1)))</f>
        <v/>
      </c>
      <c r="AC44" s="40">
        <f>IF(OR($A44="",2&gt;설정!$C$7),0,SUMIFS($C44:$Z44,$C$5:$Z$5,"&gt;="&amp;(설정!$C$6*12+1),$C$5:$Z$5,"&lt;="&amp;(설정!$C$6*12+2)))</f>
        <v/>
      </c>
      <c r="AD44" s="40">
        <f>IF(OR($A44="",3&gt;설정!$C$7),0,SUMIFS($C44:$Z44,$C$5:$Z$5,"&gt;="&amp;(설정!$C$6*12+1),$C$5:$Z$5,"&lt;="&amp;(설정!$C$6*12+3)))</f>
        <v/>
      </c>
      <c r="AE44" s="40">
        <f>IF(OR($A44="",4&gt;설정!$C$7),0,SUMIFS($C44:$Z44,$C$5:$Z$5,"&gt;="&amp;(설정!$C$6*12+1),$C$5:$Z$5,"&lt;="&amp;(설정!$C$6*12+4)))</f>
        <v/>
      </c>
      <c r="AF44" s="40">
        <f>IF(OR($A44="",5&gt;설정!$C$7),0,SUMIFS($C44:$Z44,$C$5:$Z$5,"&gt;="&amp;(설정!$C$6*12+1),$C$5:$Z$5,"&lt;="&amp;(설정!$C$6*12+5)))</f>
        <v/>
      </c>
      <c r="AG44" s="40">
        <f>IF(OR($A44="",6&gt;설정!$C$7),0,SUMIFS($C44:$Z44,$C$5:$Z$5,"&gt;="&amp;(설정!$C$6*12+1),$C$5:$Z$5,"&lt;="&amp;(설정!$C$6*12+6)))</f>
        <v/>
      </c>
      <c r="AH44" s="40">
        <f>IF(OR($A44="",7&gt;설정!$C$7),0,SUMIFS($C44:$Z44,$C$5:$Z$5,"&gt;="&amp;(설정!$C$6*12+1),$C$5:$Z$5,"&lt;="&amp;(설정!$C$6*12+7)))</f>
        <v/>
      </c>
      <c r="AI44" s="40">
        <f>IF(OR($A44="",8&gt;설정!$C$7),0,SUMIFS($C44:$Z44,$C$5:$Z$5,"&gt;="&amp;(설정!$C$6*12+1),$C$5:$Z$5,"&lt;="&amp;(설정!$C$6*12+8)))</f>
        <v/>
      </c>
      <c r="AJ44" s="40">
        <f>IF(OR($A44="",9&gt;설정!$C$7),0,SUMIFS($C44:$Z44,$C$5:$Z$5,"&gt;="&amp;(설정!$C$6*12+1),$C$5:$Z$5,"&lt;="&amp;(설정!$C$6*12+9)))</f>
        <v/>
      </c>
      <c r="AK44" s="40">
        <f>IF(OR($A44="",10&gt;설정!$C$7),0,SUMIFS($C44:$Z44,$C$5:$Z$5,"&gt;="&amp;(설정!$C$6*12+1),$C$5:$Z$5,"&lt;="&amp;(설정!$C$6*12+10)))</f>
        <v/>
      </c>
      <c r="AL44" s="40">
        <f>IF(OR($A44="",11&gt;설정!$C$7),0,SUMIFS($C44:$Z44,$C$5:$Z$5,"&gt;="&amp;(설정!$C$6*12+1),$C$5:$Z$5,"&lt;="&amp;(설정!$C$6*12+11)))</f>
        <v/>
      </c>
      <c r="AM44" s="40">
        <f>IF(OR($A44="",12&gt;설정!$C$7),0,SUMIFS($C44:$Z44,$C$5:$Z$5,"&gt;="&amp;(설정!$C$6*12+1),$C$5:$Z$5,"&lt;="&amp;(설정!$C$6*12+12)))</f>
        <v/>
      </c>
    </row>
    <row r="45">
      <c r="A45" s="26">
        <f>IF(변동분석!$A45="","",변동분석!$E45)</f>
        <v/>
      </c>
      <c r="B45" s="26">
        <f>IF($A45="","",변동분석!$B45&amp;" "&amp;변동분석!$D45)</f>
        <v/>
      </c>
      <c r="C45" s="35">
        <f>IF($A45="","",SUMIFS(전표_원본!$P$5:$P$100000,전표_원본!$O$5:$O$100000,$A45,전표_원본!$M$5:$M$100000,C$5))</f>
        <v/>
      </c>
      <c r="D45" s="35">
        <f>IF($A45="","",SUMIFS(전표_원본!$P$5:$P$100000,전표_원본!$O$5:$O$100000,$A45,전표_원본!$M$5:$M$100000,D$5))</f>
        <v/>
      </c>
      <c r="E45" s="35">
        <f>IF($A45="","",SUMIFS(전표_원본!$P$5:$P$100000,전표_원본!$O$5:$O$100000,$A45,전표_원본!$M$5:$M$100000,E$5))</f>
        <v/>
      </c>
      <c r="F45" s="35">
        <f>IF($A45="","",SUMIFS(전표_원본!$P$5:$P$100000,전표_원본!$O$5:$O$100000,$A45,전표_원본!$M$5:$M$100000,F$5))</f>
        <v/>
      </c>
      <c r="G45" s="35">
        <f>IF($A45="","",SUMIFS(전표_원본!$P$5:$P$100000,전표_원본!$O$5:$O$100000,$A45,전표_원본!$M$5:$M$100000,G$5))</f>
        <v/>
      </c>
      <c r="H45" s="35">
        <f>IF($A45="","",SUMIFS(전표_원본!$P$5:$P$100000,전표_원본!$O$5:$O$100000,$A45,전표_원본!$M$5:$M$100000,H$5))</f>
        <v/>
      </c>
      <c r="I45" s="35">
        <f>IF($A45="","",SUMIFS(전표_원본!$P$5:$P$100000,전표_원본!$O$5:$O$100000,$A45,전표_원본!$M$5:$M$100000,I$5))</f>
        <v/>
      </c>
      <c r="J45" s="35">
        <f>IF($A45="","",SUMIFS(전표_원본!$P$5:$P$100000,전표_원본!$O$5:$O$100000,$A45,전표_원본!$M$5:$M$100000,J$5))</f>
        <v/>
      </c>
      <c r="K45" s="35">
        <f>IF($A45="","",SUMIFS(전표_원본!$P$5:$P$100000,전표_원본!$O$5:$O$100000,$A45,전표_원본!$M$5:$M$100000,K$5))</f>
        <v/>
      </c>
      <c r="L45" s="35">
        <f>IF($A45="","",SUMIFS(전표_원본!$P$5:$P$100000,전표_원본!$O$5:$O$100000,$A45,전표_원본!$M$5:$M$100000,L$5))</f>
        <v/>
      </c>
      <c r="M45" s="35">
        <f>IF($A45="","",SUMIFS(전표_원본!$P$5:$P$100000,전표_원본!$O$5:$O$100000,$A45,전표_원본!$M$5:$M$100000,M$5))</f>
        <v/>
      </c>
      <c r="N45" s="35">
        <f>IF($A45="","",SUMIFS(전표_원본!$P$5:$P$100000,전표_원본!$O$5:$O$100000,$A45,전표_원본!$M$5:$M$100000,N$5))</f>
        <v/>
      </c>
      <c r="O45" s="35">
        <f>IF($A45="","",SUMIFS(전표_원본!$P$5:$P$100000,전표_원본!$O$5:$O$100000,$A45,전표_원본!$M$5:$M$100000,O$5))</f>
        <v/>
      </c>
      <c r="P45" s="35">
        <f>IF($A45="","",SUMIFS(전표_원본!$P$5:$P$100000,전표_원본!$O$5:$O$100000,$A45,전표_원본!$M$5:$M$100000,P$5))</f>
        <v/>
      </c>
      <c r="Q45" s="35">
        <f>IF($A45="","",SUMIFS(전표_원본!$P$5:$P$100000,전표_원본!$O$5:$O$100000,$A45,전표_원본!$M$5:$M$100000,Q$5))</f>
        <v/>
      </c>
      <c r="R45" s="35">
        <f>IF($A45="","",SUMIFS(전표_원본!$P$5:$P$100000,전표_원본!$O$5:$O$100000,$A45,전표_원본!$M$5:$M$100000,R$5))</f>
        <v/>
      </c>
      <c r="S45" s="35">
        <f>IF($A45="","",SUMIFS(전표_원본!$P$5:$P$100000,전표_원본!$O$5:$O$100000,$A45,전표_원본!$M$5:$M$100000,S$5))</f>
        <v/>
      </c>
      <c r="T45" s="35">
        <f>IF($A45="","",SUMIFS(전표_원본!$P$5:$P$100000,전표_원본!$O$5:$O$100000,$A45,전표_원본!$M$5:$M$100000,T$5))</f>
        <v/>
      </c>
      <c r="U45" s="35">
        <f>IF($A45="","",SUMIFS(전표_원본!$P$5:$P$100000,전표_원본!$O$5:$O$100000,$A45,전표_원본!$M$5:$M$100000,U$5))</f>
        <v/>
      </c>
      <c r="V45" s="35">
        <f>IF($A45="","",SUMIFS(전표_원본!$P$5:$P$100000,전표_원본!$O$5:$O$100000,$A45,전표_원본!$M$5:$M$100000,V$5))</f>
        <v/>
      </c>
      <c r="W45" s="35">
        <f>IF($A45="","",SUMIFS(전표_원본!$P$5:$P$100000,전표_원본!$O$5:$O$100000,$A45,전표_원본!$M$5:$M$100000,W$5))</f>
        <v/>
      </c>
      <c r="X45" s="35">
        <f>IF($A45="","",SUMIFS(전표_원본!$P$5:$P$100000,전표_원본!$O$5:$O$100000,$A45,전표_원본!$M$5:$M$100000,X$5))</f>
        <v/>
      </c>
      <c r="Y45" s="35">
        <f>IF($A45="","",SUMIFS(전표_원본!$P$5:$P$100000,전표_원본!$O$5:$O$100000,$A45,전표_원본!$M$5:$M$100000,Y$5))</f>
        <v/>
      </c>
      <c r="Z45" s="35">
        <f>IF($A45="","",SUMIFS(전표_원본!$P$5:$P$100000,전표_원본!$O$5:$O$100000,$A45,전표_원본!$M$5:$M$100000,Z$5))</f>
        <v/>
      </c>
      <c r="AB45" s="40">
        <f>IF(OR($A45="",1&gt;설정!$C$7),0,SUMIFS($C45:$Z45,$C$5:$Z$5,"&gt;="&amp;(설정!$C$6*12+1),$C$5:$Z$5,"&lt;="&amp;(설정!$C$6*12+1)))</f>
        <v/>
      </c>
      <c r="AC45" s="40">
        <f>IF(OR($A45="",2&gt;설정!$C$7),0,SUMIFS($C45:$Z45,$C$5:$Z$5,"&gt;="&amp;(설정!$C$6*12+1),$C$5:$Z$5,"&lt;="&amp;(설정!$C$6*12+2)))</f>
        <v/>
      </c>
      <c r="AD45" s="40">
        <f>IF(OR($A45="",3&gt;설정!$C$7),0,SUMIFS($C45:$Z45,$C$5:$Z$5,"&gt;="&amp;(설정!$C$6*12+1),$C$5:$Z$5,"&lt;="&amp;(설정!$C$6*12+3)))</f>
        <v/>
      </c>
      <c r="AE45" s="40">
        <f>IF(OR($A45="",4&gt;설정!$C$7),0,SUMIFS($C45:$Z45,$C$5:$Z$5,"&gt;="&amp;(설정!$C$6*12+1),$C$5:$Z$5,"&lt;="&amp;(설정!$C$6*12+4)))</f>
        <v/>
      </c>
      <c r="AF45" s="40">
        <f>IF(OR($A45="",5&gt;설정!$C$7),0,SUMIFS($C45:$Z45,$C$5:$Z$5,"&gt;="&amp;(설정!$C$6*12+1),$C$5:$Z$5,"&lt;="&amp;(설정!$C$6*12+5)))</f>
        <v/>
      </c>
      <c r="AG45" s="40">
        <f>IF(OR($A45="",6&gt;설정!$C$7),0,SUMIFS($C45:$Z45,$C$5:$Z$5,"&gt;="&amp;(설정!$C$6*12+1),$C$5:$Z$5,"&lt;="&amp;(설정!$C$6*12+6)))</f>
        <v/>
      </c>
      <c r="AH45" s="40">
        <f>IF(OR($A45="",7&gt;설정!$C$7),0,SUMIFS($C45:$Z45,$C$5:$Z$5,"&gt;="&amp;(설정!$C$6*12+1),$C$5:$Z$5,"&lt;="&amp;(설정!$C$6*12+7)))</f>
        <v/>
      </c>
      <c r="AI45" s="40">
        <f>IF(OR($A45="",8&gt;설정!$C$7),0,SUMIFS($C45:$Z45,$C$5:$Z$5,"&gt;="&amp;(설정!$C$6*12+1),$C$5:$Z$5,"&lt;="&amp;(설정!$C$6*12+8)))</f>
        <v/>
      </c>
      <c r="AJ45" s="40">
        <f>IF(OR($A45="",9&gt;설정!$C$7),0,SUMIFS($C45:$Z45,$C$5:$Z$5,"&gt;="&amp;(설정!$C$6*12+1),$C$5:$Z$5,"&lt;="&amp;(설정!$C$6*12+9)))</f>
        <v/>
      </c>
      <c r="AK45" s="40">
        <f>IF(OR($A45="",10&gt;설정!$C$7),0,SUMIFS($C45:$Z45,$C$5:$Z$5,"&gt;="&amp;(설정!$C$6*12+1),$C$5:$Z$5,"&lt;="&amp;(설정!$C$6*12+10)))</f>
        <v/>
      </c>
      <c r="AL45" s="40">
        <f>IF(OR($A45="",11&gt;설정!$C$7),0,SUMIFS($C45:$Z45,$C$5:$Z$5,"&gt;="&amp;(설정!$C$6*12+1),$C$5:$Z$5,"&lt;="&amp;(설정!$C$6*12+11)))</f>
        <v/>
      </c>
      <c r="AM45" s="40">
        <f>IF(OR($A45="",12&gt;설정!$C$7),0,SUMIFS($C45:$Z45,$C$5:$Z$5,"&gt;="&amp;(설정!$C$6*12+1),$C$5:$Z$5,"&lt;="&amp;(설정!$C$6*12+12)))</f>
        <v/>
      </c>
    </row>
    <row r="46">
      <c r="A46" s="26">
        <f>IF(변동분석!$A46="","",변동분석!$E46)</f>
        <v/>
      </c>
      <c r="B46" s="26">
        <f>IF($A46="","",변동분석!$B46&amp;" "&amp;변동분석!$D46)</f>
        <v/>
      </c>
      <c r="C46" s="35">
        <f>IF($A46="","",SUMIFS(전표_원본!$P$5:$P$100000,전표_원본!$O$5:$O$100000,$A46,전표_원본!$M$5:$M$100000,C$5))</f>
        <v/>
      </c>
      <c r="D46" s="35">
        <f>IF($A46="","",SUMIFS(전표_원본!$P$5:$P$100000,전표_원본!$O$5:$O$100000,$A46,전표_원본!$M$5:$M$100000,D$5))</f>
        <v/>
      </c>
      <c r="E46" s="35">
        <f>IF($A46="","",SUMIFS(전표_원본!$P$5:$P$100000,전표_원본!$O$5:$O$100000,$A46,전표_원본!$M$5:$M$100000,E$5))</f>
        <v/>
      </c>
      <c r="F46" s="35">
        <f>IF($A46="","",SUMIFS(전표_원본!$P$5:$P$100000,전표_원본!$O$5:$O$100000,$A46,전표_원본!$M$5:$M$100000,F$5))</f>
        <v/>
      </c>
      <c r="G46" s="35">
        <f>IF($A46="","",SUMIFS(전표_원본!$P$5:$P$100000,전표_원본!$O$5:$O$100000,$A46,전표_원본!$M$5:$M$100000,G$5))</f>
        <v/>
      </c>
      <c r="H46" s="35">
        <f>IF($A46="","",SUMIFS(전표_원본!$P$5:$P$100000,전표_원본!$O$5:$O$100000,$A46,전표_원본!$M$5:$M$100000,H$5))</f>
        <v/>
      </c>
      <c r="I46" s="35">
        <f>IF($A46="","",SUMIFS(전표_원본!$P$5:$P$100000,전표_원본!$O$5:$O$100000,$A46,전표_원본!$M$5:$M$100000,I$5))</f>
        <v/>
      </c>
      <c r="J46" s="35">
        <f>IF($A46="","",SUMIFS(전표_원본!$P$5:$P$100000,전표_원본!$O$5:$O$100000,$A46,전표_원본!$M$5:$M$100000,J$5))</f>
        <v/>
      </c>
      <c r="K46" s="35">
        <f>IF($A46="","",SUMIFS(전표_원본!$P$5:$P$100000,전표_원본!$O$5:$O$100000,$A46,전표_원본!$M$5:$M$100000,K$5))</f>
        <v/>
      </c>
      <c r="L46" s="35">
        <f>IF($A46="","",SUMIFS(전표_원본!$P$5:$P$100000,전표_원본!$O$5:$O$100000,$A46,전표_원본!$M$5:$M$100000,L$5))</f>
        <v/>
      </c>
      <c r="M46" s="35">
        <f>IF($A46="","",SUMIFS(전표_원본!$P$5:$P$100000,전표_원본!$O$5:$O$100000,$A46,전표_원본!$M$5:$M$100000,M$5))</f>
        <v/>
      </c>
      <c r="N46" s="35">
        <f>IF($A46="","",SUMIFS(전표_원본!$P$5:$P$100000,전표_원본!$O$5:$O$100000,$A46,전표_원본!$M$5:$M$100000,N$5))</f>
        <v/>
      </c>
      <c r="O46" s="35">
        <f>IF($A46="","",SUMIFS(전표_원본!$P$5:$P$100000,전표_원본!$O$5:$O$100000,$A46,전표_원본!$M$5:$M$100000,O$5))</f>
        <v/>
      </c>
      <c r="P46" s="35">
        <f>IF($A46="","",SUMIFS(전표_원본!$P$5:$P$100000,전표_원본!$O$5:$O$100000,$A46,전표_원본!$M$5:$M$100000,P$5))</f>
        <v/>
      </c>
      <c r="Q46" s="35">
        <f>IF($A46="","",SUMIFS(전표_원본!$P$5:$P$100000,전표_원본!$O$5:$O$100000,$A46,전표_원본!$M$5:$M$100000,Q$5))</f>
        <v/>
      </c>
      <c r="R46" s="35">
        <f>IF($A46="","",SUMIFS(전표_원본!$P$5:$P$100000,전표_원본!$O$5:$O$100000,$A46,전표_원본!$M$5:$M$100000,R$5))</f>
        <v/>
      </c>
      <c r="S46" s="35">
        <f>IF($A46="","",SUMIFS(전표_원본!$P$5:$P$100000,전표_원본!$O$5:$O$100000,$A46,전표_원본!$M$5:$M$100000,S$5))</f>
        <v/>
      </c>
      <c r="T46" s="35">
        <f>IF($A46="","",SUMIFS(전표_원본!$P$5:$P$100000,전표_원본!$O$5:$O$100000,$A46,전표_원본!$M$5:$M$100000,T$5))</f>
        <v/>
      </c>
      <c r="U46" s="35">
        <f>IF($A46="","",SUMIFS(전표_원본!$P$5:$P$100000,전표_원본!$O$5:$O$100000,$A46,전표_원본!$M$5:$M$100000,U$5))</f>
        <v/>
      </c>
      <c r="V46" s="35">
        <f>IF($A46="","",SUMIFS(전표_원본!$P$5:$P$100000,전표_원본!$O$5:$O$100000,$A46,전표_원본!$M$5:$M$100000,V$5))</f>
        <v/>
      </c>
      <c r="W46" s="35">
        <f>IF($A46="","",SUMIFS(전표_원본!$P$5:$P$100000,전표_원본!$O$5:$O$100000,$A46,전표_원본!$M$5:$M$100000,W$5))</f>
        <v/>
      </c>
      <c r="X46" s="35">
        <f>IF($A46="","",SUMIFS(전표_원본!$P$5:$P$100000,전표_원본!$O$5:$O$100000,$A46,전표_원본!$M$5:$M$100000,X$5))</f>
        <v/>
      </c>
      <c r="Y46" s="35">
        <f>IF($A46="","",SUMIFS(전표_원본!$P$5:$P$100000,전표_원본!$O$5:$O$100000,$A46,전표_원본!$M$5:$M$100000,Y$5))</f>
        <v/>
      </c>
      <c r="Z46" s="35">
        <f>IF($A46="","",SUMIFS(전표_원본!$P$5:$P$100000,전표_원본!$O$5:$O$100000,$A46,전표_원본!$M$5:$M$100000,Z$5))</f>
        <v/>
      </c>
      <c r="AB46" s="40">
        <f>IF(OR($A46="",1&gt;설정!$C$7),0,SUMIFS($C46:$Z46,$C$5:$Z$5,"&gt;="&amp;(설정!$C$6*12+1),$C$5:$Z$5,"&lt;="&amp;(설정!$C$6*12+1)))</f>
        <v/>
      </c>
      <c r="AC46" s="40">
        <f>IF(OR($A46="",2&gt;설정!$C$7),0,SUMIFS($C46:$Z46,$C$5:$Z$5,"&gt;="&amp;(설정!$C$6*12+1),$C$5:$Z$5,"&lt;="&amp;(설정!$C$6*12+2)))</f>
        <v/>
      </c>
      <c r="AD46" s="40">
        <f>IF(OR($A46="",3&gt;설정!$C$7),0,SUMIFS($C46:$Z46,$C$5:$Z$5,"&gt;="&amp;(설정!$C$6*12+1),$C$5:$Z$5,"&lt;="&amp;(설정!$C$6*12+3)))</f>
        <v/>
      </c>
      <c r="AE46" s="40">
        <f>IF(OR($A46="",4&gt;설정!$C$7),0,SUMIFS($C46:$Z46,$C$5:$Z$5,"&gt;="&amp;(설정!$C$6*12+1),$C$5:$Z$5,"&lt;="&amp;(설정!$C$6*12+4)))</f>
        <v/>
      </c>
      <c r="AF46" s="40">
        <f>IF(OR($A46="",5&gt;설정!$C$7),0,SUMIFS($C46:$Z46,$C$5:$Z$5,"&gt;="&amp;(설정!$C$6*12+1),$C$5:$Z$5,"&lt;="&amp;(설정!$C$6*12+5)))</f>
        <v/>
      </c>
      <c r="AG46" s="40">
        <f>IF(OR($A46="",6&gt;설정!$C$7),0,SUMIFS($C46:$Z46,$C$5:$Z$5,"&gt;="&amp;(설정!$C$6*12+1),$C$5:$Z$5,"&lt;="&amp;(설정!$C$6*12+6)))</f>
        <v/>
      </c>
      <c r="AH46" s="40">
        <f>IF(OR($A46="",7&gt;설정!$C$7),0,SUMIFS($C46:$Z46,$C$5:$Z$5,"&gt;="&amp;(설정!$C$6*12+1),$C$5:$Z$5,"&lt;="&amp;(설정!$C$6*12+7)))</f>
        <v/>
      </c>
      <c r="AI46" s="40">
        <f>IF(OR($A46="",8&gt;설정!$C$7),0,SUMIFS($C46:$Z46,$C$5:$Z$5,"&gt;="&amp;(설정!$C$6*12+1),$C$5:$Z$5,"&lt;="&amp;(설정!$C$6*12+8)))</f>
        <v/>
      </c>
      <c r="AJ46" s="40">
        <f>IF(OR($A46="",9&gt;설정!$C$7),0,SUMIFS($C46:$Z46,$C$5:$Z$5,"&gt;="&amp;(설정!$C$6*12+1),$C$5:$Z$5,"&lt;="&amp;(설정!$C$6*12+9)))</f>
        <v/>
      </c>
      <c r="AK46" s="40">
        <f>IF(OR($A46="",10&gt;설정!$C$7),0,SUMIFS($C46:$Z46,$C$5:$Z$5,"&gt;="&amp;(설정!$C$6*12+1),$C$5:$Z$5,"&lt;="&amp;(설정!$C$6*12+10)))</f>
        <v/>
      </c>
      <c r="AL46" s="40">
        <f>IF(OR($A46="",11&gt;설정!$C$7),0,SUMIFS($C46:$Z46,$C$5:$Z$5,"&gt;="&amp;(설정!$C$6*12+1),$C$5:$Z$5,"&lt;="&amp;(설정!$C$6*12+11)))</f>
        <v/>
      </c>
      <c r="AM46" s="40">
        <f>IF(OR($A46="",12&gt;설정!$C$7),0,SUMIFS($C46:$Z46,$C$5:$Z$5,"&gt;="&amp;(설정!$C$6*12+1),$C$5:$Z$5,"&lt;="&amp;(설정!$C$6*12+12)))</f>
        <v/>
      </c>
    </row>
    <row r="47">
      <c r="A47" s="26">
        <f>IF(변동분석!$A47="","",변동분석!$E47)</f>
        <v/>
      </c>
      <c r="B47" s="26">
        <f>IF($A47="","",변동분석!$B47&amp;" "&amp;변동분석!$D47)</f>
        <v/>
      </c>
      <c r="C47" s="35">
        <f>IF($A47="","",SUMIFS(전표_원본!$P$5:$P$100000,전표_원본!$O$5:$O$100000,$A47,전표_원본!$M$5:$M$100000,C$5))</f>
        <v/>
      </c>
      <c r="D47" s="35">
        <f>IF($A47="","",SUMIFS(전표_원본!$P$5:$P$100000,전표_원본!$O$5:$O$100000,$A47,전표_원본!$M$5:$M$100000,D$5))</f>
        <v/>
      </c>
      <c r="E47" s="35">
        <f>IF($A47="","",SUMIFS(전표_원본!$P$5:$P$100000,전표_원본!$O$5:$O$100000,$A47,전표_원본!$M$5:$M$100000,E$5))</f>
        <v/>
      </c>
      <c r="F47" s="35">
        <f>IF($A47="","",SUMIFS(전표_원본!$P$5:$P$100000,전표_원본!$O$5:$O$100000,$A47,전표_원본!$M$5:$M$100000,F$5))</f>
        <v/>
      </c>
      <c r="G47" s="35">
        <f>IF($A47="","",SUMIFS(전표_원본!$P$5:$P$100000,전표_원본!$O$5:$O$100000,$A47,전표_원본!$M$5:$M$100000,G$5))</f>
        <v/>
      </c>
      <c r="H47" s="35">
        <f>IF($A47="","",SUMIFS(전표_원본!$P$5:$P$100000,전표_원본!$O$5:$O$100000,$A47,전표_원본!$M$5:$M$100000,H$5))</f>
        <v/>
      </c>
      <c r="I47" s="35">
        <f>IF($A47="","",SUMIFS(전표_원본!$P$5:$P$100000,전표_원본!$O$5:$O$100000,$A47,전표_원본!$M$5:$M$100000,I$5))</f>
        <v/>
      </c>
      <c r="J47" s="35">
        <f>IF($A47="","",SUMIFS(전표_원본!$P$5:$P$100000,전표_원본!$O$5:$O$100000,$A47,전표_원본!$M$5:$M$100000,J$5))</f>
        <v/>
      </c>
      <c r="K47" s="35">
        <f>IF($A47="","",SUMIFS(전표_원본!$P$5:$P$100000,전표_원본!$O$5:$O$100000,$A47,전표_원본!$M$5:$M$100000,K$5))</f>
        <v/>
      </c>
      <c r="L47" s="35">
        <f>IF($A47="","",SUMIFS(전표_원본!$P$5:$P$100000,전표_원본!$O$5:$O$100000,$A47,전표_원본!$M$5:$M$100000,L$5))</f>
        <v/>
      </c>
      <c r="M47" s="35">
        <f>IF($A47="","",SUMIFS(전표_원본!$P$5:$P$100000,전표_원본!$O$5:$O$100000,$A47,전표_원본!$M$5:$M$100000,M$5))</f>
        <v/>
      </c>
      <c r="N47" s="35">
        <f>IF($A47="","",SUMIFS(전표_원본!$P$5:$P$100000,전표_원본!$O$5:$O$100000,$A47,전표_원본!$M$5:$M$100000,N$5))</f>
        <v/>
      </c>
      <c r="O47" s="35">
        <f>IF($A47="","",SUMIFS(전표_원본!$P$5:$P$100000,전표_원본!$O$5:$O$100000,$A47,전표_원본!$M$5:$M$100000,O$5))</f>
        <v/>
      </c>
      <c r="P47" s="35">
        <f>IF($A47="","",SUMIFS(전표_원본!$P$5:$P$100000,전표_원본!$O$5:$O$100000,$A47,전표_원본!$M$5:$M$100000,P$5))</f>
        <v/>
      </c>
      <c r="Q47" s="35">
        <f>IF($A47="","",SUMIFS(전표_원본!$P$5:$P$100000,전표_원본!$O$5:$O$100000,$A47,전표_원본!$M$5:$M$100000,Q$5))</f>
        <v/>
      </c>
      <c r="R47" s="35">
        <f>IF($A47="","",SUMIFS(전표_원본!$P$5:$P$100000,전표_원본!$O$5:$O$100000,$A47,전표_원본!$M$5:$M$100000,R$5))</f>
        <v/>
      </c>
      <c r="S47" s="35">
        <f>IF($A47="","",SUMIFS(전표_원본!$P$5:$P$100000,전표_원본!$O$5:$O$100000,$A47,전표_원본!$M$5:$M$100000,S$5))</f>
        <v/>
      </c>
      <c r="T47" s="35">
        <f>IF($A47="","",SUMIFS(전표_원본!$P$5:$P$100000,전표_원본!$O$5:$O$100000,$A47,전표_원본!$M$5:$M$100000,T$5))</f>
        <v/>
      </c>
      <c r="U47" s="35">
        <f>IF($A47="","",SUMIFS(전표_원본!$P$5:$P$100000,전표_원본!$O$5:$O$100000,$A47,전표_원본!$M$5:$M$100000,U$5))</f>
        <v/>
      </c>
      <c r="V47" s="35">
        <f>IF($A47="","",SUMIFS(전표_원본!$P$5:$P$100000,전표_원본!$O$5:$O$100000,$A47,전표_원본!$M$5:$M$100000,V$5))</f>
        <v/>
      </c>
      <c r="W47" s="35">
        <f>IF($A47="","",SUMIFS(전표_원본!$P$5:$P$100000,전표_원본!$O$5:$O$100000,$A47,전표_원본!$M$5:$M$100000,W$5))</f>
        <v/>
      </c>
      <c r="X47" s="35">
        <f>IF($A47="","",SUMIFS(전표_원본!$P$5:$P$100000,전표_원본!$O$5:$O$100000,$A47,전표_원본!$M$5:$M$100000,X$5))</f>
        <v/>
      </c>
      <c r="Y47" s="35">
        <f>IF($A47="","",SUMIFS(전표_원본!$P$5:$P$100000,전표_원본!$O$5:$O$100000,$A47,전표_원본!$M$5:$M$100000,Y$5))</f>
        <v/>
      </c>
      <c r="Z47" s="35">
        <f>IF($A47="","",SUMIFS(전표_원본!$P$5:$P$100000,전표_원본!$O$5:$O$100000,$A47,전표_원본!$M$5:$M$100000,Z$5))</f>
        <v/>
      </c>
      <c r="AB47" s="40">
        <f>IF(OR($A47="",1&gt;설정!$C$7),0,SUMIFS($C47:$Z47,$C$5:$Z$5,"&gt;="&amp;(설정!$C$6*12+1),$C$5:$Z$5,"&lt;="&amp;(설정!$C$6*12+1)))</f>
        <v/>
      </c>
      <c r="AC47" s="40">
        <f>IF(OR($A47="",2&gt;설정!$C$7),0,SUMIFS($C47:$Z47,$C$5:$Z$5,"&gt;="&amp;(설정!$C$6*12+1),$C$5:$Z$5,"&lt;="&amp;(설정!$C$6*12+2)))</f>
        <v/>
      </c>
      <c r="AD47" s="40">
        <f>IF(OR($A47="",3&gt;설정!$C$7),0,SUMIFS($C47:$Z47,$C$5:$Z$5,"&gt;="&amp;(설정!$C$6*12+1),$C$5:$Z$5,"&lt;="&amp;(설정!$C$6*12+3)))</f>
        <v/>
      </c>
      <c r="AE47" s="40">
        <f>IF(OR($A47="",4&gt;설정!$C$7),0,SUMIFS($C47:$Z47,$C$5:$Z$5,"&gt;="&amp;(설정!$C$6*12+1),$C$5:$Z$5,"&lt;="&amp;(설정!$C$6*12+4)))</f>
        <v/>
      </c>
      <c r="AF47" s="40">
        <f>IF(OR($A47="",5&gt;설정!$C$7),0,SUMIFS($C47:$Z47,$C$5:$Z$5,"&gt;="&amp;(설정!$C$6*12+1),$C$5:$Z$5,"&lt;="&amp;(설정!$C$6*12+5)))</f>
        <v/>
      </c>
      <c r="AG47" s="40">
        <f>IF(OR($A47="",6&gt;설정!$C$7),0,SUMIFS($C47:$Z47,$C$5:$Z$5,"&gt;="&amp;(설정!$C$6*12+1),$C$5:$Z$5,"&lt;="&amp;(설정!$C$6*12+6)))</f>
        <v/>
      </c>
      <c r="AH47" s="40">
        <f>IF(OR($A47="",7&gt;설정!$C$7),0,SUMIFS($C47:$Z47,$C$5:$Z$5,"&gt;="&amp;(설정!$C$6*12+1),$C$5:$Z$5,"&lt;="&amp;(설정!$C$6*12+7)))</f>
        <v/>
      </c>
      <c r="AI47" s="40">
        <f>IF(OR($A47="",8&gt;설정!$C$7),0,SUMIFS($C47:$Z47,$C$5:$Z$5,"&gt;="&amp;(설정!$C$6*12+1),$C$5:$Z$5,"&lt;="&amp;(설정!$C$6*12+8)))</f>
        <v/>
      </c>
      <c r="AJ47" s="40">
        <f>IF(OR($A47="",9&gt;설정!$C$7),0,SUMIFS($C47:$Z47,$C$5:$Z$5,"&gt;="&amp;(설정!$C$6*12+1),$C$5:$Z$5,"&lt;="&amp;(설정!$C$6*12+9)))</f>
        <v/>
      </c>
      <c r="AK47" s="40">
        <f>IF(OR($A47="",10&gt;설정!$C$7),0,SUMIFS($C47:$Z47,$C$5:$Z$5,"&gt;="&amp;(설정!$C$6*12+1),$C$5:$Z$5,"&lt;="&amp;(설정!$C$6*12+10)))</f>
        <v/>
      </c>
      <c r="AL47" s="40">
        <f>IF(OR($A47="",11&gt;설정!$C$7),0,SUMIFS($C47:$Z47,$C$5:$Z$5,"&gt;="&amp;(설정!$C$6*12+1),$C$5:$Z$5,"&lt;="&amp;(설정!$C$6*12+11)))</f>
        <v/>
      </c>
      <c r="AM47" s="40">
        <f>IF(OR($A47="",12&gt;설정!$C$7),0,SUMIFS($C47:$Z47,$C$5:$Z$5,"&gt;="&amp;(설정!$C$6*12+1),$C$5:$Z$5,"&lt;="&amp;(설정!$C$6*12+12)))</f>
        <v/>
      </c>
    </row>
    <row r="48">
      <c r="A48" s="26">
        <f>IF(변동분석!$A48="","",변동분석!$E48)</f>
        <v/>
      </c>
      <c r="B48" s="26">
        <f>IF($A48="","",변동분석!$B48&amp;" "&amp;변동분석!$D48)</f>
        <v/>
      </c>
      <c r="C48" s="35">
        <f>IF($A48="","",SUMIFS(전표_원본!$P$5:$P$100000,전표_원본!$O$5:$O$100000,$A48,전표_원본!$M$5:$M$100000,C$5))</f>
        <v/>
      </c>
      <c r="D48" s="35">
        <f>IF($A48="","",SUMIFS(전표_원본!$P$5:$P$100000,전표_원본!$O$5:$O$100000,$A48,전표_원본!$M$5:$M$100000,D$5))</f>
        <v/>
      </c>
      <c r="E48" s="35">
        <f>IF($A48="","",SUMIFS(전표_원본!$P$5:$P$100000,전표_원본!$O$5:$O$100000,$A48,전표_원본!$M$5:$M$100000,E$5))</f>
        <v/>
      </c>
      <c r="F48" s="35">
        <f>IF($A48="","",SUMIFS(전표_원본!$P$5:$P$100000,전표_원본!$O$5:$O$100000,$A48,전표_원본!$M$5:$M$100000,F$5))</f>
        <v/>
      </c>
      <c r="G48" s="35">
        <f>IF($A48="","",SUMIFS(전표_원본!$P$5:$P$100000,전표_원본!$O$5:$O$100000,$A48,전표_원본!$M$5:$M$100000,G$5))</f>
        <v/>
      </c>
      <c r="H48" s="35">
        <f>IF($A48="","",SUMIFS(전표_원본!$P$5:$P$100000,전표_원본!$O$5:$O$100000,$A48,전표_원본!$M$5:$M$100000,H$5))</f>
        <v/>
      </c>
      <c r="I48" s="35">
        <f>IF($A48="","",SUMIFS(전표_원본!$P$5:$P$100000,전표_원본!$O$5:$O$100000,$A48,전표_원본!$M$5:$M$100000,I$5))</f>
        <v/>
      </c>
      <c r="J48" s="35">
        <f>IF($A48="","",SUMIFS(전표_원본!$P$5:$P$100000,전표_원본!$O$5:$O$100000,$A48,전표_원본!$M$5:$M$100000,J$5))</f>
        <v/>
      </c>
      <c r="K48" s="35">
        <f>IF($A48="","",SUMIFS(전표_원본!$P$5:$P$100000,전표_원본!$O$5:$O$100000,$A48,전표_원본!$M$5:$M$100000,K$5))</f>
        <v/>
      </c>
      <c r="L48" s="35">
        <f>IF($A48="","",SUMIFS(전표_원본!$P$5:$P$100000,전표_원본!$O$5:$O$100000,$A48,전표_원본!$M$5:$M$100000,L$5))</f>
        <v/>
      </c>
      <c r="M48" s="35">
        <f>IF($A48="","",SUMIFS(전표_원본!$P$5:$P$100000,전표_원본!$O$5:$O$100000,$A48,전표_원본!$M$5:$M$100000,M$5))</f>
        <v/>
      </c>
      <c r="N48" s="35">
        <f>IF($A48="","",SUMIFS(전표_원본!$P$5:$P$100000,전표_원본!$O$5:$O$100000,$A48,전표_원본!$M$5:$M$100000,N$5))</f>
        <v/>
      </c>
      <c r="O48" s="35">
        <f>IF($A48="","",SUMIFS(전표_원본!$P$5:$P$100000,전표_원본!$O$5:$O$100000,$A48,전표_원본!$M$5:$M$100000,O$5))</f>
        <v/>
      </c>
      <c r="P48" s="35">
        <f>IF($A48="","",SUMIFS(전표_원본!$P$5:$P$100000,전표_원본!$O$5:$O$100000,$A48,전표_원본!$M$5:$M$100000,P$5))</f>
        <v/>
      </c>
      <c r="Q48" s="35">
        <f>IF($A48="","",SUMIFS(전표_원본!$P$5:$P$100000,전표_원본!$O$5:$O$100000,$A48,전표_원본!$M$5:$M$100000,Q$5))</f>
        <v/>
      </c>
      <c r="R48" s="35">
        <f>IF($A48="","",SUMIFS(전표_원본!$P$5:$P$100000,전표_원본!$O$5:$O$100000,$A48,전표_원본!$M$5:$M$100000,R$5))</f>
        <v/>
      </c>
      <c r="S48" s="35">
        <f>IF($A48="","",SUMIFS(전표_원본!$P$5:$P$100000,전표_원본!$O$5:$O$100000,$A48,전표_원본!$M$5:$M$100000,S$5))</f>
        <v/>
      </c>
      <c r="T48" s="35">
        <f>IF($A48="","",SUMIFS(전표_원본!$P$5:$P$100000,전표_원본!$O$5:$O$100000,$A48,전표_원본!$M$5:$M$100000,T$5))</f>
        <v/>
      </c>
      <c r="U48" s="35">
        <f>IF($A48="","",SUMIFS(전표_원본!$P$5:$P$100000,전표_원본!$O$5:$O$100000,$A48,전표_원본!$M$5:$M$100000,U$5))</f>
        <v/>
      </c>
      <c r="V48" s="35">
        <f>IF($A48="","",SUMIFS(전표_원본!$P$5:$P$100000,전표_원본!$O$5:$O$100000,$A48,전표_원본!$M$5:$M$100000,V$5))</f>
        <v/>
      </c>
      <c r="W48" s="35">
        <f>IF($A48="","",SUMIFS(전표_원본!$P$5:$P$100000,전표_원본!$O$5:$O$100000,$A48,전표_원본!$M$5:$M$100000,W$5))</f>
        <v/>
      </c>
      <c r="X48" s="35">
        <f>IF($A48="","",SUMIFS(전표_원본!$P$5:$P$100000,전표_원본!$O$5:$O$100000,$A48,전표_원본!$M$5:$M$100000,X$5))</f>
        <v/>
      </c>
      <c r="Y48" s="35">
        <f>IF($A48="","",SUMIFS(전표_원본!$P$5:$P$100000,전표_원본!$O$5:$O$100000,$A48,전표_원본!$M$5:$M$100000,Y$5))</f>
        <v/>
      </c>
      <c r="Z48" s="35">
        <f>IF($A48="","",SUMIFS(전표_원본!$P$5:$P$100000,전표_원본!$O$5:$O$100000,$A48,전표_원본!$M$5:$M$100000,Z$5))</f>
        <v/>
      </c>
      <c r="AB48" s="40">
        <f>IF(OR($A48="",1&gt;설정!$C$7),0,SUMIFS($C48:$Z48,$C$5:$Z$5,"&gt;="&amp;(설정!$C$6*12+1),$C$5:$Z$5,"&lt;="&amp;(설정!$C$6*12+1)))</f>
        <v/>
      </c>
      <c r="AC48" s="40">
        <f>IF(OR($A48="",2&gt;설정!$C$7),0,SUMIFS($C48:$Z48,$C$5:$Z$5,"&gt;="&amp;(설정!$C$6*12+1),$C$5:$Z$5,"&lt;="&amp;(설정!$C$6*12+2)))</f>
        <v/>
      </c>
      <c r="AD48" s="40">
        <f>IF(OR($A48="",3&gt;설정!$C$7),0,SUMIFS($C48:$Z48,$C$5:$Z$5,"&gt;="&amp;(설정!$C$6*12+1),$C$5:$Z$5,"&lt;="&amp;(설정!$C$6*12+3)))</f>
        <v/>
      </c>
      <c r="AE48" s="40">
        <f>IF(OR($A48="",4&gt;설정!$C$7),0,SUMIFS($C48:$Z48,$C$5:$Z$5,"&gt;="&amp;(설정!$C$6*12+1),$C$5:$Z$5,"&lt;="&amp;(설정!$C$6*12+4)))</f>
        <v/>
      </c>
      <c r="AF48" s="40">
        <f>IF(OR($A48="",5&gt;설정!$C$7),0,SUMIFS($C48:$Z48,$C$5:$Z$5,"&gt;="&amp;(설정!$C$6*12+1),$C$5:$Z$5,"&lt;="&amp;(설정!$C$6*12+5)))</f>
        <v/>
      </c>
      <c r="AG48" s="40">
        <f>IF(OR($A48="",6&gt;설정!$C$7),0,SUMIFS($C48:$Z48,$C$5:$Z$5,"&gt;="&amp;(설정!$C$6*12+1),$C$5:$Z$5,"&lt;="&amp;(설정!$C$6*12+6)))</f>
        <v/>
      </c>
      <c r="AH48" s="40">
        <f>IF(OR($A48="",7&gt;설정!$C$7),0,SUMIFS($C48:$Z48,$C$5:$Z$5,"&gt;="&amp;(설정!$C$6*12+1),$C$5:$Z$5,"&lt;="&amp;(설정!$C$6*12+7)))</f>
        <v/>
      </c>
      <c r="AI48" s="40">
        <f>IF(OR($A48="",8&gt;설정!$C$7),0,SUMIFS($C48:$Z48,$C$5:$Z$5,"&gt;="&amp;(설정!$C$6*12+1),$C$5:$Z$5,"&lt;="&amp;(설정!$C$6*12+8)))</f>
        <v/>
      </c>
      <c r="AJ48" s="40">
        <f>IF(OR($A48="",9&gt;설정!$C$7),0,SUMIFS($C48:$Z48,$C$5:$Z$5,"&gt;="&amp;(설정!$C$6*12+1),$C$5:$Z$5,"&lt;="&amp;(설정!$C$6*12+9)))</f>
        <v/>
      </c>
      <c r="AK48" s="40">
        <f>IF(OR($A48="",10&gt;설정!$C$7),0,SUMIFS($C48:$Z48,$C$5:$Z$5,"&gt;="&amp;(설정!$C$6*12+1),$C$5:$Z$5,"&lt;="&amp;(설정!$C$6*12+10)))</f>
        <v/>
      </c>
      <c r="AL48" s="40">
        <f>IF(OR($A48="",11&gt;설정!$C$7),0,SUMIFS($C48:$Z48,$C$5:$Z$5,"&gt;="&amp;(설정!$C$6*12+1),$C$5:$Z$5,"&lt;="&amp;(설정!$C$6*12+11)))</f>
        <v/>
      </c>
      <c r="AM48" s="40">
        <f>IF(OR($A48="",12&gt;설정!$C$7),0,SUMIFS($C48:$Z48,$C$5:$Z$5,"&gt;="&amp;(설정!$C$6*12+1),$C$5:$Z$5,"&lt;="&amp;(설정!$C$6*12+12)))</f>
        <v/>
      </c>
    </row>
    <row r="49">
      <c r="A49" s="26">
        <f>IF(변동분석!$A49="","",변동분석!$E49)</f>
        <v/>
      </c>
      <c r="B49" s="26">
        <f>IF($A49="","",변동분석!$B49&amp;" "&amp;변동분석!$D49)</f>
        <v/>
      </c>
      <c r="C49" s="35">
        <f>IF($A49="","",SUMIFS(전표_원본!$P$5:$P$100000,전표_원본!$O$5:$O$100000,$A49,전표_원본!$M$5:$M$100000,C$5))</f>
        <v/>
      </c>
      <c r="D49" s="35">
        <f>IF($A49="","",SUMIFS(전표_원본!$P$5:$P$100000,전표_원본!$O$5:$O$100000,$A49,전표_원본!$M$5:$M$100000,D$5))</f>
        <v/>
      </c>
      <c r="E49" s="35">
        <f>IF($A49="","",SUMIFS(전표_원본!$P$5:$P$100000,전표_원본!$O$5:$O$100000,$A49,전표_원본!$M$5:$M$100000,E$5))</f>
        <v/>
      </c>
      <c r="F49" s="35">
        <f>IF($A49="","",SUMIFS(전표_원본!$P$5:$P$100000,전표_원본!$O$5:$O$100000,$A49,전표_원본!$M$5:$M$100000,F$5))</f>
        <v/>
      </c>
      <c r="G49" s="35">
        <f>IF($A49="","",SUMIFS(전표_원본!$P$5:$P$100000,전표_원본!$O$5:$O$100000,$A49,전표_원본!$M$5:$M$100000,G$5))</f>
        <v/>
      </c>
      <c r="H49" s="35">
        <f>IF($A49="","",SUMIFS(전표_원본!$P$5:$P$100000,전표_원본!$O$5:$O$100000,$A49,전표_원본!$M$5:$M$100000,H$5))</f>
        <v/>
      </c>
      <c r="I49" s="35">
        <f>IF($A49="","",SUMIFS(전표_원본!$P$5:$P$100000,전표_원본!$O$5:$O$100000,$A49,전표_원본!$M$5:$M$100000,I$5))</f>
        <v/>
      </c>
      <c r="J49" s="35">
        <f>IF($A49="","",SUMIFS(전표_원본!$P$5:$P$100000,전표_원본!$O$5:$O$100000,$A49,전표_원본!$M$5:$M$100000,J$5))</f>
        <v/>
      </c>
      <c r="K49" s="35">
        <f>IF($A49="","",SUMIFS(전표_원본!$P$5:$P$100000,전표_원본!$O$5:$O$100000,$A49,전표_원본!$M$5:$M$100000,K$5))</f>
        <v/>
      </c>
      <c r="L49" s="35">
        <f>IF($A49="","",SUMIFS(전표_원본!$P$5:$P$100000,전표_원본!$O$5:$O$100000,$A49,전표_원본!$M$5:$M$100000,L$5))</f>
        <v/>
      </c>
      <c r="M49" s="35">
        <f>IF($A49="","",SUMIFS(전표_원본!$P$5:$P$100000,전표_원본!$O$5:$O$100000,$A49,전표_원본!$M$5:$M$100000,M$5))</f>
        <v/>
      </c>
      <c r="N49" s="35">
        <f>IF($A49="","",SUMIFS(전표_원본!$P$5:$P$100000,전표_원본!$O$5:$O$100000,$A49,전표_원본!$M$5:$M$100000,N$5))</f>
        <v/>
      </c>
      <c r="O49" s="35">
        <f>IF($A49="","",SUMIFS(전표_원본!$P$5:$P$100000,전표_원본!$O$5:$O$100000,$A49,전표_원본!$M$5:$M$100000,O$5))</f>
        <v/>
      </c>
      <c r="P49" s="35">
        <f>IF($A49="","",SUMIFS(전표_원본!$P$5:$P$100000,전표_원본!$O$5:$O$100000,$A49,전표_원본!$M$5:$M$100000,P$5))</f>
        <v/>
      </c>
      <c r="Q49" s="35">
        <f>IF($A49="","",SUMIFS(전표_원본!$P$5:$P$100000,전표_원본!$O$5:$O$100000,$A49,전표_원본!$M$5:$M$100000,Q$5))</f>
        <v/>
      </c>
      <c r="R49" s="35">
        <f>IF($A49="","",SUMIFS(전표_원본!$P$5:$P$100000,전표_원본!$O$5:$O$100000,$A49,전표_원본!$M$5:$M$100000,R$5))</f>
        <v/>
      </c>
      <c r="S49" s="35">
        <f>IF($A49="","",SUMIFS(전표_원본!$P$5:$P$100000,전표_원본!$O$5:$O$100000,$A49,전표_원본!$M$5:$M$100000,S$5))</f>
        <v/>
      </c>
      <c r="T49" s="35">
        <f>IF($A49="","",SUMIFS(전표_원본!$P$5:$P$100000,전표_원본!$O$5:$O$100000,$A49,전표_원본!$M$5:$M$100000,T$5))</f>
        <v/>
      </c>
      <c r="U49" s="35">
        <f>IF($A49="","",SUMIFS(전표_원본!$P$5:$P$100000,전표_원본!$O$5:$O$100000,$A49,전표_원본!$M$5:$M$100000,U$5))</f>
        <v/>
      </c>
      <c r="V49" s="35">
        <f>IF($A49="","",SUMIFS(전표_원본!$P$5:$P$100000,전표_원본!$O$5:$O$100000,$A49,전표_원본!$M$5:$M$100000,V$5))</f>
        <v/>
      </c>
      <c r="W49" s="35">
        <f>IF($A49="","",SUMIFS(전표_원본!$P$5:$P$100000,전표_원본!$O$5:$O$100000,$A49,전표_원본!$M$5:$M$100000,W$5))</f>
        <v/>
      </c>
      <c r="X49" s="35">
        <f>IF($A49="","",SUMIFS(전표_원본!$P$5:$P$100000,전표_원본!$O$5:$O$100000,$A49,전표_원본!$M$5:$M$100000,X$5))</f>
        <v/>
      </c>
      <c r="Y49" s="35">
        <f>IF($A49="","",SUMIFS(전표_원본!$P$5:$P$100000,전표_원본!$O$5:$O$100000,$A49,전표_원본!$M$5:$M$100000,Y$5))</f>
        <v/>
      </c>
      <c r="Z49" s="35">
        <f>IF($A49="","",SUMIFS(전표_원본!$P$5:$P$100000,전표_원본!$O$5:$O$100000,$A49,전표_원본!$M$5:$M$100000,Z$5))</f>
        <v/>
      </c>
      <c r="AB49" s="40">
        <f>IF(OR($A49="",1&gt;설정!$C$7),0,SUMIFS($C49:$Z49,$C$5:$Z$5,"&gt;="&amp;(설정!$C$6*12+1),$C$5:$Z$5,"&lt;="&amp;(설정!$C$6*12+1)))</f>
        <v/>
      </c>
      <c r="AC49" s="40">
        <f>IF(OR($A49="",2&gt;설정!$C$7),0,SUMIFS($C49:$Z49,$C$5:$Z$5,"&gt;="&amp;(설정!$C$6*12+1),$C$5:$Z$5,"&lt;="&amp;(설정!$C$6*12+2)))</f>
        <v/>
      </c>
      <c r="AD49" s="40">
        <f>IF(OR($A49="",3&gt;설정!$C$7),0,SUMIFS($C49:$Z49,$C$5:$Z$5,"&gt;="&amp;(설정!$C$6*12+1),$C$5:$Z$5,"&lt;="&amp;(설정!$C$6*12+3)))</f>
        <v/>
      </c>
      <c r="AE49" s="40">
        <f>IF(OR($A49="",4&gt;설정!$C$7),0,SUMIFS($C49:$Z49,$C$5:$Z$5,"&gt;="&amp;(설정!$C$6*12+1),$C$5:$Z$5,"&lt;="&amp;(설정!$C$6*12+4)))</f>
        <v/>
      </c>
      <c r="AF49" s="40">
        <f>IF(OR($A49="",5&gt;설정!$C$7),0,SUMIFS($C49:$Z49,$C$5:$Z$5,"&gt;="&amp;(설정!$C$6*12+1),$C$5:$Z$5,"&lt;="&amp;(설정!$C$6*12+5)))</f>
        <v/>
      </c>
      <c r="AG49" s="40">
        <f>IF(OR($A49="",6&gt;설정!$C$7),0,SUMIFS($C49:$Z49,$C$5:$Z$5,"&gt;="&amp;(설정!$C$6*12+1),$C$5:$Z$5,"&lt;="&amp;(설정!$C$6*12+6)))</f>
        <v/>
      </c>
      <c r="AH49" s="40">
        <f>IF(OR($A49="",7&gt;설정!$C$7),0,SUMIFS($C49:$Z49,$C$5:$Z$5,"&gt;="&amp;(설정!$C$6*12+1),$C$5:$Z$5,"&lt;="&amp;(설정!$C$6*12+7)))</f>
        <v/>
      </c>
      <c r="AI49" s="40">
        <f>IF(OR($A49="",8&gt;설정!$C$7),0,SUMIFS($C49:$Z49,$C$5:$Z$5,"&gt;="&amp;(설정!$C$6*12+1),$C$5:$Z$5,"&lt;="&amp;(설정!$C$6*12+8)))</f>
        <v/>
      </c>
      <c r="AJ49" s="40">
        <f>IF(OR($A49="",9&gt;설정!$C$7),0,SUMIFS($C49:$Z49,$C$5:$Z$5,"&gt;="&amp;(설정!$C$6*12+1),$C$5:$Z$5,"&lt;="&amp;(설정!$C$6*12+9)))</f>
        <v/>
      </c>
      <c r="AK49" s="40">
        <f>IF(OR($A49="",10&gt;설정!$C$7),0,SUMIFS($C49:$Z49,$C$5:$Z$5,"&gt;="&amp;(설정!$C$6*12+1),$C$5:$Z$5,"&lt;="&amp;(설정!$C$6*12+10)))</f>
        <v/>
      </c>
      <c r="AL49" s="40">
        <f>IF(OR($A49="",11&gt;설정!$C$7),0,SUMIFS($C49:$Z49,$C$5:$Z$5,"&gt;="&amp;(설정!$C$6*12+1),$C$5:$Z$5,"&lt;="&amp;(설정!$C$6*12+11)))</f>
        <v/>
      </c>
      <c r="AM49" s="40">
        <f>IF(OR($A49="",12&gt;설정!$C$7),0,SUMIFS($C49:$Z49,$C$5:$Z$5,"&gt;="&amp;(설정!$C$6*12+1),$C$5:$Z$5,"&lt;="&amp;(설정!$C$6*12+12)))</f>
        <v/>
      </c>
    </row>
    <row r="50">
      <c r="A50" s="26">
        <f>IF(변동분석!$A50="","",변동분석!$E50)</f>
        <v/>
      </c>
      <c r="B50" s="26">
        <f>IF($A50="","",변동분석!$B50&amp;" "&amp;변동분석!$D50)</f>
        <v/>
      </c>
      <c r="C50" s="35">
        <f>IF($A50="","",SUMIFS(전표_원본!$P$5:$P$100000,전표_원본!$O$5:$O$100000,$A50,전표_원본!$M$5:$M$100000,C$5))</f>
        <v/>
      </c>
      <c r="D50" s="35">
        <f>IF($A50="","",SUMIFS(전표_원본!$P$5:$P$100000,전표_원본!$O$5:$O$100000,$A50,전표_원본!$M$5:$M$100000,D$5))</f>
        <v/>
      </c>
      <c r="E50" s="35">
        <f>IF($A50="","",SUMIFS(전표_원본!$P$5:$P$100000,전표_원본!$O$5:$O$100000,$A50,전표_원본!$M$5:$M$100000,E$5))</f>
        <v/>
      </c>
      <c r="F50" s="35">
        <f>IF($A50="","",SUMIFS(전표_원본!$P$5:$P$100000,전표_원본!$O$5:$O$100000,$A50,전표_원본!$M$5:$M$100000,F$5))</f>
        <v/>
      </c>
      <c r="G50" s="35">
        <f>IF($A50="","",SUMIFS(전표_원본!$P$5:$P$100000,전표_원본!$O$5:$O$100000,$A50,전표_원본!$M$5:$M$100000,G$5))</f>
        <v/>
      </c>
      <c r="H50" s="35">
        <f>IF($A50="","",SUMIFS(전표_원본!$P$5:$P$100000,전표_원본!$O$5:$O$100000,$A50,전표_원본!$M$5:$M$100000,H$5))</f>
        <v/>
      </c>
      <c r="I50" s="35">
        <f>IF($A50="","",SUMIFS(전표_원본!$P$5:$P$100000,전표_원본!$O$5:$O$100000,$A50,전표_원본!$M$5:$M$100000,I$5))</f>
        <v/>
      </c>
      <c r="J50" s="35">
        <f>IF($A50="","",SUMIFS(전표_원본!$P$5:$P$100000,전표_원본!$O$5:$O$100000,$A50,전표_원본!$M$5:$M$100000,J$5))</f>
        <v/>
      </c>
      <c r="K50" s="35">
        <f>IF($A50="","",SUMIFS(전표_원본!$P$5:$P$100000,전표_원본!$O$5:$O$100000,$A50,전표_원본!$M$5:$M$100000,K$5))</f>
        <v/>
      </c>
      <c r="L50" s="35">
        <f>IF($A50="","",SUMIFS(전표_원본!$P$5:$P$100000,전표_원본!$O$5:$O$100000,$A50,전표_원본!$M$5:$M$100000,L$5))</f>
        <v/>
      </c>
      <c r="M50" s="35">
        <f>IF($A50="","",SUMIFS(전표_원본!$P$5:$P$100000,전표_원본!$O$5:$O$100000,$A50,전표_원본!$M$5:$M$100000,M$5))</f>
        <v/>
      </c>
      <c r="N50" s="35">
        <f>IF($A50="","",SUMIFS(전표_원본!$P$5:$P$100000,전표_원본!$O$5:$O$100000,$A50,전표_원본!$M$5:$M$100000,N$5))</f>
        <v/>
      </c>
      <c r="O50" s="35">
        <f>IF($A50="","",SUMIFS(전표_원본!$P$5:$P$100000,전표_원본!$O$5:$O$100000,$A50,전표_원본!$M$5:$M$100000,O$5))</f>
        <v/>
      </c>
      <c r="P50" s="35">
        <f>IF($A50="","",SUMIFS(전표_원본!$P$5:$P$100000,전표_원본!$O$5:$O$100000,$A50,전표_원본!$M$5:$M$100000,P$5))</f>
        <v/>
      </c>
      <c r="Q50" s="35">
        <f>IF($A50="","",SUMIFS(전표_원본!$P$5:$P$100000,전표_원본!$O$5:$O$100000,$A50,전표_원본!$M$5:$M$100000,Q$5))</f>
        <v/>
      </c>
      <c r="R50" s="35">
        <f>IF($A50="","",SUMIFS(전표_원본!$P$5:$P$100000,전표_원본!$O$5:$O$100000,$A50,전표_원본!$M$5:$M$100000,R$5))</f>
        <v/>
      </c>
      <c r="S50" s="35">
        <f>IF($A50="","",SUMIFS(전표_원본!$P$5:$P$100000,전표_원본!$O$5:$O$100000,$A50,전표_원본!$M$5:$M$100000,S$5))</f>
        <v/>
      </c>
      <c r="T50" s="35">
        <f>IF($A50="","",SUMIFS(전표_원본!$P$5:$P$100000,전표_원본!$O$5:$O$100000,$A50,전표_원본!$M$5:$M$100000,T$5))</f>
        <v/>
      </c>
      <c r="U50" s="35">
        <f>IF($A50="","",SUMIFS(전표_원본!$P$5:$P$100000,전표_원본!$O$5:$O$100000,$A50,전표_원본!$M$5:$M$100000,U$5))</f>
        <v/>
      </c>
      <c r="V50" s="35">
        <f>IF($A50="","",SUMIFS(전표_원본!$P$5:$P$100000,전표_원본!$O$5:$O$100000,$A50,전표_원본!$M$5:$M$100000,V$5))</f>
        <v/>
      </c>
      <c r="W50" s="35">
        <f>IF($A50="","",SUMIFS(전표_원본!$P$5:$P$100000,전표_원본!$O$5:$O$100000,$A50,전표_원본!$M$5:$M$100000,W$5))</f>
        <v/>
      </c>
      <c r="X50" s="35">
        <f>IF($A50="","",SUMIFS(전표_원본!$P$5:$P$100000,전표_원본!$O$5:$O$100000,$A50,전표_원본!$M$5:$M$100000,X$5))</f>
        <v/>
      </c>
      <c r="Y50" s="35">
        <f>IF($A50="","",SUMIFS(전표_원본!$P$5:$P$100000,전표_원본!$O$5:$O$100000,$A50,전표_원본!$M$5:$M$100000,Y$5))</f>
        <v/>
      </c>
      <c r="Z50" s="35">
        <f>IF($A50="","",SUMIFS(전표_원본!$P$5:$P$100000,전표_원본!$O$5:$O$100000,$A50,전표_원본!$M$5:$M$100000,Z$5))</f>
        <v/>
      </c>
      <c r="AB50" s="40">
        <f>IF(OR($A50="",1&gt;설정!$C$7),0,SUMIFS($C50:$Z50,$C$5:$Z$5,"&gt;="&amp;(설정!$C$6*12+1),$C$5:$Z$5,"&lt;="&amp;(설정!$C$6*12+1)))</f>
        <v/>
      </c>
      <c r="AC50" s="40">
        <f>IF(OR($A50="",2&gt;설정!$C$7),0,SUMIFS($C50:$Z50,$C$5:$Z$5,"&gt;="&amp;(설정!$C$6*12+1),$C$5:$Z$5,"&lt;="&amp;(설정!$C$6*12+2)))</f>
        <v/>
      </c>
      <c r="AD50" s="40">
        <f>IF(OR($A50="",3&gt;설정!$C$7),0,SUMIFS($C50:$Z50,$C$5:$Z$5,"&gt;="&amp;(설정!$C$6*12+1),$C$5:$Z$5,"&lt;="&amp;(설정!$C$6*12+3)))</f>
        <v/>
      </c>
      <c r="AE50" s="40">
        <f>IF(OR($A50="",4&gt;설정!$C$7),0,SUMIFS($C50:$Z50,$C$5:$Z$5,"&gt;="&amp;(설정!$C$6*12+1),$C$5:$Z$5,"&lt;="&amp;(설정!$C$6*12+4)))</f>
        <v/>
      </c>
      <c r="AF50" s="40">
        <f>IF(OR($A50="",5&gt;설정!$C$7),0,SUMIFS($C50:$Z50,$C$5:$Z$5,"&gt;="&amp;(설정!$C$6*12+1),$C$5:$Z$5,"&lt;="&amp;(설정!$C$6*12+5)))</f>
        <v/>
      </c>
      <c r="AG50" s="40">
        <f>IF(OR($A50="",6&gt;설정!$C$7),0,SUMIFS($C50:$Z50,$C$5:$Z$5,"&gt;="&amp;(설정!$C$6*12+1),$C$5:$Z$5,"&lt;="&amp;(설정!$C$6*12+6)))</f>
        <v/>
      </c>
      <c r="AH50" s="40">
        <f>IF(OR($A50="",7&gt;설정!$C$7),0,SUMIFS($C50:$Z50,$C$5:$Z$5,"&gt;="&amp;(설정!$C$6*12+1),$C$5:$Z$5,"&lt;="&amp;(설정!$C$6*12+7)))</f>
        <v/>
      </c>
      <c r="AI50" s="40">
        <f>IF(OR($A50="",8&gt;설정!$C$7),0,SUMIFS($C50:$Z50,$C$5:$Z$5,"&gt;="&amp;(설정!$C$6*12+1),$C$5:$Z$5,"&lt;="&amp;(설정!$C$6*12+8)))</f>
        <v/>
      </c>
      <c r="AJ50" s="40">
        <f>IF(OR($A50="",9&gt;설정!$C$7),0,SUMIFS($C50:$Z50,$C$5:$Z$5,"&gt;="&amp;(설정!$C$6*12+1),$C$5:$Z$5,"&lt;="&amp;(설정!$C$6*12+9)))</f>
        <v/>
      </c>
      <c r="AK50" s="40">
        <f>IF(OR($A50="",10&gt;설정!$C$7),0,SUMIFS($C50:$Z50,$C$5:$Z$5,"&gt;="&amp;(설정!$C$6*12+1),$C$5:$Z$5,"&lt;="&amp;(설정!$C$6*12+10)))</f>
        <v/>
      </c>
      <c r="AL50" s="40">
        <f>IF(OR($A50="",11&gt;설정!$C$7),0,SUMIFS($C50:$Z50,$C$5:$Z$5,"&gt;="&amp;(설정!$C$6*12+1),$C$5:$Z$5,"&lt;="&amp;(설정!$C$6*12+11)))</f>
        <v/>
      </c>
      <c r="AM50" s="40">
        <f>IF(OR($A50="",12&gt;설정!$C$7),0,SUMIFS($C50:$Z50,$C$5:$Z$5,"&gt;="&amp;(설정!$C$6*12+1),$C$5:$Z$5,"&lt;="&amp;(설정!$C$6*12+12)))</f>
        <v/>
      </c>
    </row>
    <row r="51">
      <c r="A51" s="26">
        <f>IF(변동분석!$A51="","",변동분석!$E51)</f>
        <v/>
      </c>
      <c r="B51" s="26">
        <f>IF($A51="","",변동분석!$B51&amp;" "&amp;변동분석!$D51)</f>
        <v/>
      </c>
      <c r="C51" s="35">
        <f>IF($A51="","",SUMIFS(전표_원본!$P$5:$P$100000,전표_원본!$O$5:$O$100000,$A51,전표_원본!$M$5:$M$100000,C$5))</f>
        <v/>
      </c>
      <c r="D51" s="35">
        <f>IF($A51="","",SUMIFS(전표_원본!$P$5:$P$100000,전표_원본!$O$5:$O$100000,$A51,전표_원본!$M$5:$M$100000,D$5))</f>
        <v/>
      </c>
      <c r="E51" s="35">
        <f>IF($A51="","",SUMIFS(전표_원본!$P$5:$P$100000,전표_원본!$O$5:$O$100000,$A51,전표_원본!$M$5:$M$100000,E$5))</f>
        <v/>
      </c>
      <c r="F51" s="35">
        <f>IF($A51="","",SUMIFS(전표_원본!$P$5:$P$100000,전표_원본!$O$5:$O$100000,$A51,전표_원본!$M$5:$M$100000,F$5))</f>
        <v/>
      </c>
      <c r="G51" s="35">
        <f>IF($A51="","",SUMIFS(전표_원본!$P$5:$P$100000,전표_원본!$O$5:$O$100000,$A51,전표_원본!$M$5:$M$100000,G$5))</f>
        <v/>
      </c>
      <c r="H51" s="35">
        <f>IF($A51="","",SUMIFS(전표_원본!$P$5:$P$100000,전표_원본!$O$5:$O$100000,$A51,전표_원본!$M$5:$M$100000,H$5))</f>
        <v/>
      </c>
      <c r="I51" s="35">
        <f>IF($A51="","",SUMIFS(전표_원본!$P$5:$P$100000,전표_원본!$O$5:$O$100000,$A51,전표_원본!$M$5:$M$100000,I$5))</f>
        <v/>
      </c>
      <c r="J51" s="35">
        <f>IF($A51="","",SUMIFS(전표_원본!$P$5:$P$100000,전표_원본!$O$5:$O$100000,$A51,전표_원본!$M$5:$M$100000,J$5))</f>
        <v/>
      </c>
      <c r="K51" s="35">
        <f>IF($A51="","",SUMIFS(전표_원본!$P$5:$P$100000,전표_원본!$O$5:$O$100000,$A51,전표_원본!$M$5:$M$100000,K$5))</f>
        <v/>
      </c>
      <c r="L51" s="35">
        <f>IF($A51="","",SUMIFS(전표_원본!$P$5:$P$100000,전표_원본!$O$5:$O$100000,$A51,전표_원본!$M$5:$M$100000,L$5))</f>
        <v/>
      </c>
      <c r="M51" s="35">
        <f>IF($A51="","",SUMIFS(전표_원본!$P$5:$P$100000,전표_원본!$O$5:$O$100000,$A51,전표_원본!$M$5:$M$100000,M$5))</f>
        <v/>
      </c>
      <c r="N51" s="35">
        <f>IF($A51="","",SUMIFS(전표_원본!$P$5:$P$100000,전표_원본!$O$5:$O$100000,$A51,전표_원본!$M$5:$M$100000,N$5))</f>
        <v/>
      </c>
      <c r="O51" s="35">
        <f>IF($A51="","",SUMIFS(전표_원본!$P$5:$P$100000,전표_원본!$O$5:$O$100000,$A51,전표_원본!$M$5:$M$100000,O$5))</f>
        <v/>
      </c>
      <c r="P51" s="35">
        <f>IF($A51="","",SUMIFS(전표_원본!$P$5:$P$100000,전표_원본!$O$5:$O$100000,$A51,전표_원본!$M$5:$M$100000,P$5))</f>
        <v/>
      </c>
      <c r="Q51" s="35">
        <f>IF($A51="","",SUMIFS(전표_원본!$P$5:$P$100000,전표_원본!$O$5:$O$100000,$A51,전표_원본!$M$5:$M$100000,Q$5))</f>
        <v/>
      </c>
      <c r="R51" s="35">
        <f>IF($A51="","",SUMIFS(전표_원본!$P$5:$P$100000,전표_원본!$O$5:$O$100000,$A51,전표_원본!$M$5:$M$100000,R$5))</f>
        <v/>
      </c>
      <c r="S51" s="35">
        <f>IF($A51="","",SUMIFS(전표_원본!$P$5:$P$100000,전표_원본!$O$5:$O$100000,$A51,전표_원본!$M$5:$M$100000,S$5))</f>
        <v/>
      </c>
      <c r="T51" s="35">
        <f>IF($A51="","",SUMIFS(전표_원본!$P$5:$P$100000,전표_원본!$O$5:$O$100000,$A51,전표_원본!$M$5:$M$100000,T$5))</f>
        <v/>
      </c>
      <c r="U51" s="35">
        <f>IF($A51="","",SUMIFS(전표_원본!$P$5:$P$100000,전표_원본!$O$5:$O$100000,$A51,전표_원본!$M$5:$M$100000,U$5))</f>
        <v/>
      </c>
      <c r="V51" s="35">
        <f>IF($A51="","",SUMIFS(전표_원본!$P$5:$P$100000,전표_원본!$O$5:$O$100000,$A51,전표_원본!$M$5:$M$100000,V$5))</f>
        <v/>
      </c>
      <c r="W51" s="35">
        <f>IF($A51="","",SUMIFS(전표_원본!$P$5:$P$100000,전표_원본!$O$5:$O$100000,$A51,전표_원본!$M$5:$M$100000,W$5))</f>
        <v/>
      </c>
      <c r="X51" s="35">
        <f>IF($A51="","",SUMIFS(전표_원본!$P$5:$P$100000,전표_원본!$O$5:$O$100000,$A51,전표_원본!$M$5:$M$100000,X$5))</f>
        <v/>
      </c>
      <c r="Y51" s="35">
        <f>IF($A51="","",SUMIFS(전표_원본!$P$5:$P$100000,전표_원본!$O$5:$O$100000,$A51,전표_원본!$M$5:$M$100000,Y$5))</f>
        <v/>
      </c>
      <c r="Z51" s="35">
        <f>IF($A51="","",SUMIFS(전표_원본!$P$5:$P$100000,전표_원본!$O$5:$O$100000,$A51,전표_원본!$M$5:$M$100000,Z$5))</f>
        <v/>
      </c>
      <c r="AB51" s="40">
        <f>IF(OR($A51="",1&gt;설정!$C$7),0,SUMIFS($C51:$Z51,$C$5:$Z$5,"&gt;="&amp;(설정!$C$6*12+1),$C$5:$Z$5,"&lt;="&amp;(설정!$C$6*12+1)))</f>
        <v/>
      </c>
      <c r="AC51" s="40">
        <f>IF(OR($A51="",2&gt;설정!$C$7),0,SUMIFS($C51:$Z51,$C$5:$Z$5,"&gt;="&amp;(설정!$C$6*12+1),$C$5:$Z$5,"&lt;="&amp;(설정!$C$6*12+2)))</f>
        <v/>
      </c>
      <c r="AD51" s="40">
        <f>IF(OR($A51="",3&gt;설정!$C$7),0,SUMIFS($C51:$Z51,$C$5:$Z$5,"&gt;="&amp;(설정!$C$6*12+1),$C$5:$Z$5,"&lt;="&amp;(설정!$C$6*12+3)))</f>
        <v/>
      </c>
      <c r="AE51" s="40">
        <f>IF(OR($A51="",4&gt;설정!$C$7),0,SUMIFS($C51:$Z51,$C$5:$Z$5,"&gt;="&amp;(설정!$C$6*12+1),$C$5:$Z$5,"&lt;="&amp;(설정!$C$6*12+4)))</f>
        <v/>
      </c>
      <c r="AF51" s="40">
        <f>IF(OR($A51="",5&gt;설정!$C$7),0,SUMIFS($C51:$Z51,$C$5:$Z$5,"&gt;="&amp;(설정!$C$6*12+1),$C$5:$Z$5,"&lt;="&amp;(설정!$C$6*12+5)))</f>
        <v/>
      </c>
      <c r="AG51" s="40">
        <f>IF(OR($A51="",6&gt;설정!$C$7),0,SUMIFS($C51:$Z51,$C$5:$Z$5,"&gt;="&amp;(설정!$C$6*12+1),$C$5:$Z$5,"&lt;="&amp;(설정!$C$6*12+6)))</f>
        <v/>
      </c>
      <c r="AH51" s="40">
        <f>IF(OR($A51="",7&gt;설정!$C$7),0,SUMIFS($C51:$Z51,$C$5:$Z$5,"&gt;="&amp;(설정!$C$6*12+1),$C$5:$Z$5,"&lt;="&amp;(설정!$C$6*12+7)))</f>
        <v/>
      </c>
      <c r="AI51" s="40">
        <f>IF(OR($A51="",8&gt;설정!$C$7),0,SUMIFS($C51:$Z51,$C$5:$Z$5,"&gt;="&amp;(설정!$C$6*12+1),$C$5:$Z$5,"&lt;="&amp;(설정!$C$6*12+8)))</f>
        <v/>
      </c>
      <c r="AJ51" s="40">
        <f>IF(OR($A51="",9&gt;설정!$C$7),0,SUMIFS($C51:$Z51,$C$5:$Z$5,"&gt;="&amp;(설정!$C$6*12+1),$C$5:$Z$5,"&lt;="&amp;(설정!$C$6*12+9)))</f>
        <v/>
      </c>
      <c r="AK51" s="40">
        <f>IF(OR($A51="",10&gt;설정!$C$7),0,SUMIFS($C51:$Z51,$C$5:$Z$5,"&gt;="&amp;(설정!$C$6*12+1),$C$5:$Z$5,"&lt;="&amp;(설정!$C$6*12+10)))</f>
        <v/>
      </c>
      <c r="AL51" s="40">
        <f>IF(OR($A51="",11&gt;설정!$C$7),0,SUMIFS($C51:$Z51,$C$5:$Z$5,"&gt;="&amp;(설정!$C$6*12+1),$C$5:$Z$5,"&lt;="&amp;(설정!$C$6*12+11)))</f>
        <v/>
      </c>
      <c r="AM51" s="40">
        <f>IF(OR($A51="",12&gt;설정!$C$7),0,SUMIFS($C51:$Z51,$C$5:$Z$5,"&gt;="&amp;(설정!$C$6*12+1),$C$5:$Z$5,"&lt;="&amp;(설정!$C$6*12+12)))</f>
        <v/>
      </c>
    </row>
    <row r="52">
      <c r="A52" s="26">
        <f>IF(변동분석!$A52="","",변동분석!$E52)</f>
        <v/>
      </c>
      <c r="B52" s="26">
        <f>IF($A52="","",변동분석!$B52&amp;" "&amp;변동분석!$D52)</f>
        <v/>
      </c>
      <c r="C52" s="35">
        <f>IF($A52="","",SUMIFS(전표_원본!$P$5:$P$100000,전표_원본!$O$5:$O$100000,$A52,전표_원본!$M$5:$M$100000,C$5))</f>
        <v/>
      </c>
      <c r="D52" s="35">
        <f>IF($A52="","",SUMIFS(전표_원본!$P$5:$P$100000,전표_원본!$O$5:$O$100000,$A52,전표_원본!$M$5:$M$100000,D$5))</f>
        <v/>
      </c>
      <c r="E52" s="35">
        <f>IF($A52="","",SUMIFS(전표_원본!$P$5:$P$100000,전표_원본!$O$5:$O$100000,$A52,전표_원본!$M$5:$M$100000,E$5))</f>
        <v/>
      </c>
      <c r="F52" s="35">
        <f>IF($A52="","",SUMIFS(전표_원본!$P$5:$P$100000,전표_원본!$O$5:$O$100000,$A52,전표_원본!$M$5:$M$100000,F$5))</f>
        <v/>
      </c>
      <c r="G52" s="35">
        <f>IF($A52="","",SUMIFS(전표_원본!$P$5:$P$100000,전표_원본!$O$5:$O$100000,$A52,전표_원본!$M$5:$M$100000,G$5))</f>
        <v/>
      </c>
      <c r="H52" s="35">
        <f>IF($A52="","",SUMIFS(전표_원본!$P$5:$P$100000,전표_원본!$O$5:$O$100000,$A52,전표_원본!$M$5:$M$100000,H$5))</f>
        <v/>
      </c>
      <c r="I52" s="35">
        <f>IF($A52="","",SUMIFS(전표_원본!$P$5:$P$100000,전표_원본!$O$5:$O$100000,$A52,전표_원본!$M$5:$M$100000,I$5))</f>
        <v/>
      </c>
      <c r="J52" s="35">
        <f>IF($A52="","",SUMIFS(전표_원본!$P$5:$P$100000,전표_원본!$O$5:$O$100000,$A52,전표_원본!$M$5:$M$100000,J$5))</f>
        <v/>
      </c>
      <c r="K52" s="35">
        <f>IF($A52="","",SUMIFS(전표_원본!$P$5:$P$100000,전표_원본!$O$5:$O$100000,$A52,전표_원본!$M$5:$M$100000,K$5))</f>
        <v/>
      </c>
      <c r="L52" s="35">
        <f>IF($A52="","",SUMIFS(전표_원본!$P$5:$P$100000,전표_원본!$O$5:$O$100000,$A52,전표_원본!$M$5:$M$100000,L$5))</f>
        <v/>
      </c>
      <c r="M52" s="35">
        <f>IF($A52="","",SUMIFS(전표_원본!$P$5:$P$100000,전표_원본!$O$5:$O$100000,$A52,전표_원본!$M$5:$M$100000,M$5))</f>
        <v/>
      </c>
      <c r="N52" s="35">
        <f>IF($A52="","",SUMIFS(전표_원본!$P$5:$P$100000,전표_원본!$O$5:$O$100000,$A52,전표_원본!$M$5:$M$100000,N$5))</f>
        <v/>
      </c>
      <c r="O52" s="35">
        <f>IF($A52="","",SUMIFS(전표_원본!$P$5:$P$100000,전표_원본!$O$5:$O$100000,$A52,전표_원본!$M$5:$M$100000,O$5))</f>
        <v/>
      </c>
      <c r="P52" s="35">
        <f>IF($A52="","",SUMIFS(전표_원본!$P$5:$P$100000,전표_원본!$O$5:$O$100000,$A52,전표_원본!$M$5:$M$100000,P$5))</f>
        <v/>
      </c>
      <c r="Q52" s="35">
        <f>IF($A52="","",SUMIFS(전표_원본!$P$5:$P$100000,전표_원본!$O$5:$O$100000,$A52,전표_원본!$M$5:$M$100000,Q$5))</f>
        <v/>
      </c>
      <c r="R52" s="35">
        <f>IF($A52="","",SUMIFS(전표_원본!$P$5:$P$100000,전표_원본!$O$5:$O$100000,$A52,전표_원본!$M$5:$M$100000,R$5))</f>
        <v/>
      </c>
      <c r="S52" s="35">
        <f>IF($A52="","",SUMIFS(전표_원본!$P$5:$P$100000,전표_원본!$O$5:$O$100000,$A52,전표_원본!$M$5:$M$100000,S$5))</f>
        <v/>
      </c>
      <c r="T52" s="35">
        <f>IF($A52="","",SUMIFS(전표_원본!$P$5:$P$100000,전표_원본!$O$5:$O$100000,$A52,전표_원본!$M$5:$M$100000,T$5))</f>
        <v/>
      </c>
      <c r="U52" s="35">
        <f>IF($A52="","",SUMIFS(전표_원본!$P$5:$P$100000,전표_원본!$O$5:$O$100000,$A52,전표_원본!$M$5:$M$100000,U$5))</f>
        <v/>
      </c>
      <c r="V52" s="35">
        <f>IF($A52="","",SUMIFS(전표_원본!$P$5:$P$100000,전표_원본!$O$5:$O$100000,$A52,전표_원본!$M$5:$M$100000,V$5))</f>
        <v/>
      </c>
      <c r="W52" s="35">
        <f>IF($A52="","",SUMIFS(전표_원본!$P$5:$P$100000,전표_원본!$O$5:$O$100000,$A52,전표_원본!$M$5:$M$100000,W$5))</f>
        <v/>
      </c>
      <c r="X52" s="35">
        <f>IF($A52="","",SUMIFS(전표_원본!$P$5:$P$100000,전표_원본!$O$5:$O$100000,$A52,전표_원본!$M$5:$M$100000,X$5))</f>
        <v/>
      </c>
      <c r="Y52" s="35">
        <f>IF($A52="","",SUMIFS(전표_원본!$P$5:$P$100000,전표_원본!$O$5:$O$100000,$A52,전표_원본!$M$5:$M$100000,Y$5))</f>
        <v/>
      </c>
      <c r="Z52" s="35">
        <f>IF($A52="","",SUMIFS(전표_원본!$P$5:$P$100000,전표_원본!$O$5:$O$100000,$A52,전표_원본!$M$5:$M$100000,Z$5))</f>
        <v/>
      </c>
      <c r="AB52" s="40">
        <f>IF(OR($A52="",1&gt;설정!$C$7),0,SUMIFS($C52:$Z52,$C$5:$Z$5,"&gt;="&amp;(설정!$C$6*12+1),$C$5:$Z$5,"&lt;="&amp;(설정!$C$6*12+1)))</f>
        <v/>
      </c>
      <c r="AC52" s="40">
        <f>IF(OR($A52="",2&gt;설정!$C$7),0,SUMIFS($C52:$Z52,$C$5:$Z$5,"&gt;="&amp;(설정!$C$6*12+1),$C$5:$Z$5,"&lt;="&amp;(설정!$C$6*12+2)))</f>
        <v/>
      </c>
      <c r="AD52" s="40">
        <f>IF(OR($A52="",3&gt;설정!$C$7),0,SUMIFS($C52:$Z52,$C$5:$Z$5,"&gt;="&amp;(설정!$C$6*12+1),$C$5:$Z$5,"&lt;="&amp;(설정!$C$6*12+3)))</f>
        <v/>
      </c>
      <c r="AE52" s="40">
        <f>IF(OR($A52="",4&gt;설정!$C$7),0,SUMIFS($C52:$Z52,$C$5:$Z$5,"&gt;="&amp;(설정!$C$6*12+1),$C$5:$Z$5,"&lt;="&amp;(설정!$C$6*12+4)))</f>
        <v/>
      </c>
      <c r="AF52" s="40">
        <f>IF(OR($A52="",5&gt;설정!$C$7),0,SUMIFS($C52:$Z52,$C$5:$Z$5,"&gt;="&amp;(설정!$C$6*12+1),$C$5:$Z$5,"&lt;="&amp;(설정!$C$6*12+5)))</f>
        <v/>
      </c>
      <c r="AG52" s="40">
        <f>IF(OR($A52="",6&gt;설정!$C$7),0,SUMIFS($C52:$Z52,$C$5:$Z$5,"&gt;="&amp;(설정!$C$6*12+1),$C$5:$Z$5,"&lt;="&amp;(설정!$C$6*12+6)))</f>
        <v/>
      </c>
      <c r="AH52" s="40">
        <f>IF(OR($A52="",7&gt;설정!$C$7),0,SUMIFS($C52:$Z52,$C$5:$Z$5,"&gt;="&amp;(설정!$C$6*12+1),$C$5:$Z$5,"&lt;="&amp;(설정!$C$6*12+7)))</f>
        <v/>
      </c>
      <c r="AI52" s="40">
        <f>IF(OR($A52="",8&gt;설정!$C$7),0,SUMIFS($C52:$Z52,$C$5:$Z$5,"&gt;="&amp;(설정!$C$6*12+1),$C$5:$Z$5,"&lt;="&amp;(설정!$C$6*12+8)))</f>
        <v/>
      </c>
      <c r="AJ52" s="40">
        <f>IF(OR($A52="",9&gt;설정!$C$7),0,SUMIFS($C52:$Z52,$C$5:$Z$5,"&gt;="&amp;(설정!$C$6*12+1),$C$5:$Z$5,"&lt;="&amp;(설정!$C$6*12+9)))</f>
        <v/>
      </c>
      <c r="AK52" s="40">
        <f>IF(OR($A52="",10&gt;설정!$C$7),0,SUMIFS($C52:$Z52,$C$5:$Z$5,"&gt;="&amp;(설정!$C$6*12+1),$C$5:$Z$5,"&lt;="&amp;(설정!$C$6*12+10)))</f>
        <v/>
      </c>
      <c r="AL52" s="40">
        <f>IF(OR($A52="",11&gt;설정!$C$7),0,SUMIFS($C52:$Z52,$C$5:$Z$5,"&gt;="&amp;(설정!$C$6*12+1),$C$5:$Z$5,"&lt;="&amp;(설정!$C$6*12+11)))</f>
        <v/>
      </c>
      <c r="AM52" s="40">
        <f>IF(OR($A52="",12&gt;설정!$C$7),0,SUMIFS($C52:$Z52,$C$5:$Z$5,"&gt;="&amp;(설정!$C$6*12+1),$C$5:$Z$5,"&lt;="&amp;(설정!$C$6*12+12)))</f>
        <v/>
      </c>
    </row>
    <row r="53">
      <c r="A53" s="26">
        <f>IF(변동분석!$A53="","",변동분석!$E53)</f>
        <v/>
      </c>
      <c r="B53" s="26">
        <f>IF($A53="","",변동분석!$B53&amp;" "&amp;변동분석!$D53)</f>
        <v/>
      </c>
      <c r="C53" s="35">
        <f>IF($A53="","",SUMIFS(전표_원본!$P$5:$P$100000,전표_원본!$O$5:$O$100000,$A53,전표_원본!$M$5:$M$100000,C$5))</f>
        <v/>
      </c>
      <c r="D53" s="35">
        <f>IF($A53="","",SUMIFS(전표_원본!$P$5:$P$100000,전표_원본!$O$5:$O$100000,$A53,전표_원본!$M$5:$M$100000,D$5))</f>
        <v/>
      </c>
      <c r="E53" s="35">
        <f>IF($A53="","",SUMIFS(전표_원본!$P$5:$P$100000,전표_원본!$O$5:$O$100000,$A53,전표_원본!$M$5:$M$100000,E$5))</f>
        <v/>
      </c>
      <c r="F53" s="35">
        <f>IF($A53="","",SUMIFS(전표_원본!$P$5:$P$100000,전표_원본!$O$5:$O$100000,$A53,전표_원본!$M$5:$M$100000,F$5))</f>
        <v/>
      </c>
      <c r="G53" s="35">
        <f>IF($A53="","",SUMIFS(전표_원본!$P$5:$P$100000,전표_원본!$O$5:$O$100000,$A53,전표_원본!$M$5:$M$100000,G$5))</f>
        <v/>
      </c>
      <c r="H53" s="35">
        <f>IF($A53="","",SUMIFS(전표_원본!$P$5:$P$100000,전표_원본!$O$5:$O$100000,$A53,전표_원본!$M$5:$M$100000,H$5))</f>
        <v/>
      </c>
      <c r="I53" s="35">
        <f>IF($A53="","",SUMIFS(전표_원본!$P$5:$P$100000,전표_원본!$O$5:$O$100000,$A53,전표_원본!$M$5:$M$100000,I$5))</f>
        <v/>
      </c>
      <c r="J53" s="35">
        <f>IF($A53="","",SUMIFS(전표_원본!$P$5:$P$100000,전표_원본!$O$5:$O$100000,$A53,전표_원본!$M$5:$M$100000,J$5))</f>
        <v/>
      </c>
      <c r="K53" s="35">
        <f>IF($A53="","",SUMIFS(전표_원본!$P$5:$P$100000,전표_원본!$O$5:$O$100000,$A53,전표_원본!$M$5:$M$100000,K$5))</f>
        <v/>
      </c>
      <c r="L53" s="35">
        <f>IF($A53="","",SUMIFS(전표_원본!$P$5:$P$100000,전표_원본!$O$5:$O$100000,$A53,전표_원본!$M$5:$M$100000,L$5))</f>
        <v/>
      </c>
      <c r="M53" s="35">
        <f>IF($A53="","",SUMIFS(전표_원본!$P$5:$P$100000,전표_원본!$O$5:$O$100000,$A53,전표_원본!$M$5:$M$100000,M$5))</f>
        <v/>
      </c>
      <c r="N53" s="35">
        <f>IF($A53="","",SUMIFS(전표_원본!$P$5:$P$100000,전표_원본!$O$5:$O$100000,$A53,전표_원본!$M$5:$M$100000,N$5))</f>
        <v/>
      </c>
      <c r="O53" s="35">
        <f>IF($A53="","",SUMIFS(전표_원본!$P$5:$P$100000,전표_원본!$O$5:$O$100000,$A53,전표_원본!$M$5:$M$100000,O$5))</f>
        <v/>
      </c>
      <c r="P53" s="35">
        <f>IF($A53="","",SUMIFS(전표_원본!$P$5:$P$100000,전표_원본!$O$5:$O$100000,$A53,전표_원본!$M$5:$M$100000,P$5))</f>
        <v/>
      </c>
      <c r="Q53" s="35">
        <f>IF($A53="","",SUMIFS(전표_원본!$P$5:$P$100000,전표_원본!$O$5:$O$100000,$A53,전표_원본!$M$5:$M$100000,Q$5))</f>
        <v/>
      </c>
      <c r="R53" s="35">
        <f>IF($A53="","",SUMIFS(전표_원본!$P$5:$P$100000,전표_원본!$O$5:$O$100000,$A53,전표_원본!$M$5:$M$100000,R$5))</f>
        <v/>
      </c>
      <c r="S53" s="35">
        <f>IF($A53="","",SUMIFS(전표_원본!$P$5:$P$100000,전표_원본!$O$5:$O$100000,$A53,전표_원본!$M$5:$M$100000,S$5))</f>
        <v/>
      </c>
      <c r="T53" s="35">
        <f>IF($A53="","",SUMIFS(전표_원본!$P$5:$P$100000,전표_원본!$O$5:$O$100000,$A53,전표_원본!$M$5:$M$100000,T$5))</f>
        <v/>
      </c>
      <c r="U53" s="35">
        <f>IF($A53="","",SUMIFS(전표_원본!$P$5:$P$100000,전표_원본!$O$5:$O$100000,$A53,전표_원본!$M$5:$M$100000,U$5))</f>
        <v/>
      </c>
      <c r="V53" s="35">
        <f>IF($A53="","",SUMIFS(전표_원본!$P$5:$P$100000,전표_원본!$O$5:$O$100000,$A53,전표_원본!$M$5:$M$100000,V$5))</f>
        <v/>
      </c>
      <c r="W53" s="35">
        <f>IF($A53="","",SUMIFS(전표_원본!$P$5:$P$100000,전표_원본!$O$5:$O$100000,$A53,전표_원본!$M$5:$M$100000,W$5))</f>
        <v/>
      </c>
      <c r="X53" s="35">
        <f>IF($A53="","",SUMIFS(전표_원본!$P$5:$P$100000,전표_원본!$O$5:$O$100000,$A53,전표_원본!$M$5:$M$100000,X$5))</f>
        <v/>
      </c>
      <c r="Y53" s="35">
        <f>IF($A53="","",SUMIFS(전표_원본!$P$5:$P$100000,전표_원본!$O$5:$O$100000,$A53,전표_원본!$M$5:$M$100000,Y$5))</f>
        <v/>
      </c>
      <c r="Z53" s="35">
        <f>IF($A53="","",SUMIFS(전표_원본!$P$5:$P$100000,전표_원본!$O$5:$O$100000,$A53,전표_원본!$M$5:$M$100000,Z$5))</f>
        <v/>
      </c>
      <c r="AB53" s="40">
        <f>IF(OR($A53="",1&gt;설정!$C$7),0,SUMIFS($C53:$Z53,$C$5:$Z$5,"&gt;="&amp;(설정!$C$6*12+1),$C$5:$Z$5,"&lt;="&amp;(설정!$C$6*12+1)))</f>
        <v/>
      </c>
      <c r="AC53" s="40">
        <f>IF(OR($A53="",2&gt;설정!$C$7),0,SUMIFS($C53:$Z53,$C$5:$Z$5,"&gt;="&amp;(설정!$C$6*12+1),$C$5:$Z$5,"&lt;="&amp;(설정!$C$6*12+2)))</f>
        <v/>
      </c>
      <c r="AD53" s="40">
        <f>IF(OR($A53="",3&gt;설정!$C$7),0,SUMIFS($C53:$Z53,$C$5:$Z$5,"&gt;="&amp;(설정!$C$6*12+1),$C$5:$Z$5,"&lt;="&amp;(설정!$C$6*12+3)))</f>
        <v/>
      </c>
      <c r="AE53" s="40">
        <f>IF(OR($A53="",4&gt;설정!$C$7),0,SUMIFS($C53:$Z53,$C$5:$Z$5,"&gt;="&amp;(설정!$C$6*12+1),$C$5:$Z$5,"&lt;="&amp;(설정!$C$6*12+4)))</f>
        <v/>
      </c>
      <c r="AF53" s="40">
        <f>IF(OR($A53="",5&gt;설정!$C$7),0,SUMIFS($C53:$Z53,$C$5:$Z$5,"&gt;="&amp;(설정!$C$6*12+1),$C$5:$Z$5,"&lt;="&amp;(설정!$C$6*12+5)))</f>
        <v/>
      </c>
      <c r="AG53" s="40">
        <f>IF(OR($A53="",6&gt;설정!$C$7),0,SUMIFS($C53:$Z53,$C$5:$Z$5,"&gt;="&amp;(설정!$C$6*12+1),$C$5:$Z$5,"&lt;="&amp;(설정!$C$6*12+6)))</f>
        <v/>
      </c>
      <c r="AH53" s="40">
        <f>IF(OR($A53="",7&gt;설정!$C$7),0,SUMIFS($C53:$Z53,$C$5:$Z$5,"&gt;="&amp;(설정!$C$6*12+1),$C$5:$Z$5,"&lt;="&amp;(설정!$C$6*12+7)))</f>
        <v/>
      </c>
      <c r="AI53" s="40">
        <f>IF(OR($A53="",8&gt;설정!$C$7),0,SUMIFS($C53:$Z53,$C$5:$Z$5,"&gt;="&amp;(설정!$C$6*12+1),$C$5:$Z$5,"&lt;="&amp;(설정!$C$6*12+8)))</f>
        <v/>
      </c>
      <c r="AJ53" s="40">
        <f>IF(OR($A53="",9&gt;설정!$C$7),0,SUMIFS($C53:$Z53,$C$5:$Z$5,"&gt;="&amp;(설정!$C$6*12+1),$C$5:$Z$5,"&lt;="&amp;(설정!$C$6*12+9)))</f>
        <v/>
      </c>
      <c r="AK53" s="40">
        <f>IF(OR($A53="",10&gt;설정!$C$7),0,SUMIFS($C53:$Z53,$C$5:$Z$5,"&gt;="&amp;(설정!$C$6*12+1),$C$5:$Z$5,"&lt;="&amp;(설정!$C$6*12+10)))</f>
        <v/>
      </c>
      <c r="AL53" s="40">
        <f>IF(OR($A53="",11&gt;설정!$C$7),0,SUMIFS($C53:$Z53,$C$5:$Z$5,"&gt;="&amp;(설정!$C$6*12+1),$C$5:$Z$5,"&lt;="&amp;(설정!$C$6*12+11)))</f>
        <v/>
      </c>
      <c r="AM53" s="40">
        <f>IF(OR($A53="",12&gt;설정!$C$7),0,SUMIFS($C53:$Z53,$C$5:$Z$5,"&gt;="&amp;(설정!$C$6*12+1),$C$5:$Z$5,"&lt;="&amp;(설정!$C$6*12+12)))</f>
        <v/>
      </c>
    </row>
    <row r="54">
      <c r="A54" s="26">
        <f>IF(변동분석!$A54="","",변동분석!$E54)</f>
        <v/>
      </c>
      <c r="B54" s="26">
        <f>IF($A54="","",변동분석!$B54&amp;" "&amp;변동분석!$D54)</f>
        <v/>
      </c>
      <c r="C54" s="35">
        <f>IF($A54="","",SUMIFS(전표_원본!$P$5:$P$100000,전표_원본!$O$5:$O$100000,$A54,전표_원본!$M$5:$M$100000,C$5))</f>
        <v/>
      </c>
      <c r="D54" s="35">
        <f>IF($A54="","",SUMIFS(전표_원본!$P$5:$P$100000,전표_원본!$O$5:$O$100000,$A54,전표_원본!$M$5:$M$100000,D$5))</f>
        <v/>
      </c>
      <c r="E54" s="35">
        <f>IF($A54="","",SUMIFS(전표_원본!$P$5:$P$100000,전표_원본!$O$5:$O$100000,$A54,전표_원본!$M$5:$M$100000,E$5))</f>
        <v/>
      </c>
      <c r="F54" s="35">
        <f>IF($A54="","",SUMIFS(전표_원본!$P$5:$P$100000,전표_원본!$O$5:$O$100000,$A54,전표_원본!$M$5:$M$100000,F$5))</f>
        <v/>
      </c>
      <c r="G54" s="35">
        <f>IF($A54="","",SUMIFS(전표_원본!$P$5:$P$100000,전표_원본!$O$5:$O$100000,$A54,전표_원본!$M$5:$M$100000,G$5))</f>
        <v/>
      </c>
      <c r="H54" s="35">
        <f>IF($A54="","",SUMIFS(전표_원본!$P$5:$P$100000,전표_원본!$O$5:$O$100000,$A54,전표_원본!$M$5:$M$100000,H$5))</f>
        <v/>
      </c>
      <c r="I54" s="35">
        <f>IF($A54="","",SUMIFS(전표_원본!$P$5:$P$100000,전표_원본!$O$5:$O$100000,$A54,전표_원본!$M$5:$M$100000,I$5))</f>
        <v/>
      </c>
      <c r="J54" s="35">
        <f>IF($A54="","",SUMIFS(전표_원본!$P$5:$P$100000,전표_원본!$O$5:$O$100000,$A54,전표_원본!$M$5:$M$100000,J$5))</f>
        <v/>
      </c>
      <c r="K54" s="35">
        <f>IF($A54="","",SUMIFS(전표_원본!$P$5:$P$100000,전표_원본!$O$5:$O$100000,$A54,전표_원본!$M$5:$M$100000,K$5))</f>
        <v/>
      </c>
      <c r="L54" s="35">
        <f>IF($A54="","",SUMIFS(전표_원본!$P$5:$P$100000,전표_원본!$O$5:$O$100000,$A54,전표_원본!$M$5:$M$100000,L$5))</f>
        <v/>
      </c>
      <c r="M54" s="35">
        <f>IF($A54="","",SUMIFS(전표_원본!$P$5:$P$100000,전표_원본!$O$5:$O$100000,$A54,전표_원본!$M$5:$M$100000,M$5))</f>
        <v/>
      </c>
      <c r="N54" s="35">
        <f>IF($A54="","",SUMIFS(전표_원본!$P$5:$P$100000,전표_원본!$O$5:$O$100000,$A54,전표_원본!$M$5:$M$100000,N$5))</f>
        <v/>
      </c>
      <c r="O54" s="35">
        <f>IF($A54="","",SUMIFS(전표_원본!$P$5:$P$100000,전표_원본!$O$5:$O$100000,$A54,전표_원본!$M$5:$M$100000,O$5))</f>
        <v/>
      </c>
      <c r="P54" s="35">
        <f>IF($A54="","",SUMIFS(전표_원본!$P$5:$P$100000,전표_원본!$O$5:$O$100000,$A54,전표_원본!$M$5:$M$100000,P$5))</f>
        <v/>
      </c>
      <c r="Q54" s="35">
        <f>IF($A54="","",SUMIFS(전표_원본!$P$5:$P$100000,전표_원본!$O$5:$O$100000,$A54,전표_원본!$M$5:$M$100000,Q$5))</f>
        <v/>
      </c>
      <c r="R54" s="35">
        <f>IF($A54="","",SUMIFS(전표_원본!$P$5:$P$100000,전표_원본!$O$5:$O$100000,$A54,전표_원본!$M$5:$M$100000,R$5))</f>
        <v/>
      </c>
      <c r="S54" s="35">
        <f>IF($A54="","",SUMIFS(전표_원본!$P$5:$P$100000,전표_원본!$O$5:$O$100000,$A54,전표_원본!$M$5:$M$100000,S$5))</f>
        <v/>
      </c>
      <c r="T54" s="35">
        <f>IF($A54="","",SUMIFS(전표_원본!$P$5:$P$100000,전표_원본!$O$5:$O$100000,$A54,전표_원본!$M$5:$M$100000,T$5))</f>
        <v/>
      </c>
      <c r="U54" s="35">
        <f>IF($A54="","",SUMIFS(전표_원본!$P$5:$P$100000,전표_원본!$O$5:$O$100000,$A54,전표_원본!$M$5:$M$100000,U$5))</f>
        <v/>
      </c>
      <c r="V54" s="35">
        <f>IF($A54="","",SUMIFS(전표_원본!$P$5:$P$100000,전표_원본!$O$5:$O$100000,$A54,전표_원본!$M$5:$M$100000,V$5))</f>
        <v/>
      </c>
      <c r="W54" s="35">
        <f>IF($A54="","",SUMIFS(전표_원본!$P$5:$P$100000,전표_원본!$O$5:$O$100000,$A54,전표_원본!$M$5:$M$100000,W$5))</f>
        <v/>
      </c>
      <c r="X54" s="35">
        <f>IF($A54="","",SUMIFS(전표_원본!$P$5:$P$100000,전표_원본!$O$5:$O$100000,$A54,전표_원본!$M$5:$M$100000,X$5))</f>
        <v/>
      </c>
      <c r="Y54" s="35">
        <f>IF($A54="","",SUMIFS(전표_원본!$P$5:$P$100000,전표_원본!$O$5:$O$100000,$A54,전표_원본!$M$5:$M$100000,Y$5))</f>
        <v/>
      </c>
      <c r="Z54" s="35">
        <f>IF($A54="","",SUMIFS(전표_원본!$P$5:$P$100000,전표_원본!$O$5:$O$100000,$A54,전표_원본!$M$5:$M$100000,Z$5))</f>
        <v/>
      </c>
      <c r="AB54" s="40">
        <f>IF(OR($A54="",1&gt;설정!$C$7),0,SUMIFS($C54:$Z54,$C$5:$Z$5,"&gt;="&amp;(설정!$C$6*12+1),$C$5:$Z$5,"&lt;="&amp;(설정!$C$6*12+1)))</f>
        <v/>
      </c>
      <c r="AC54" s="40">
        <f>IF(OR($A54="",2&gt;설정!$C$7),0,SUMIFS($C54:$Z54,$C$5:$Z$5,"&gt;="&amp;(설정!$C$6*12+1),$C$5:$Z$5,"&lt;="&amp;(설정!$C$6*12+2)))</f>
        <v/>
      </c>
      <c r="AD54" s="40">
        <f>IF(OR($A54="",3&gt;설정!$C$7),0,SUMIFS($C54:$Z54,$C$5:$Z$5,"&gt;="&amp;(설정!$C$6*12+1),$C$5:$Z$5,"&lt;="&amp;(설정!$C$6*12+3)))</f>
        <v/>
      </c>
      <c r="AE54" s="40">
        <f>IF(OR($A54="",4&gt;설정!$C$7),0,SUMIFS($C54:$Z54,$C$5:$Z$5,"&gt;="&amp;(설정!$C$6*12+1),$C$5:$Z$5,"&lt;="&amp;(설정!$C$6*12+4)))</f>
        <v/>
      </c>
      <c r="AF54" s="40">
        <f>IF(OR($A54="",5&gt;설정!$C$7),0,SUMIFS($C54:$Z54,$C$5:$Z$5,"&gt;="&amp;(설정!$C$6*12+1),$C$5:$Z$5,"&lt;="&amp;(설정!$C$6*12+5)))</f>
        <v/>
      </c>
      <c r="AG54" s="40">
        <f>IF(OR($A54="",6&gt;설정!$C$7),0,SUMIFS($C54:$Z54,$C$5:$Z$5,"&gt;="&amp;(설정!$C$6*12+1),$C$5:$Z$5,"&lt;="&amp;(설정!$C$6*12+6)))</f>
        <v/>
      </c>
      <c r="AH54" s="40">
        <f>IF(OR($A54="",7&gt;설정!$C$7),0,SUMIFS($C54:$Z54,$C$5:$Z$5,"&gt;="&amp;(설정!$C$6*12+1),$C$5:$Z$5,"&lt;="&amp;(설정!$C$6*12+7)))</f>
        <v/>
      </c>
      <c r="AI54" s="40">
        <f>IF(OR($A54="",8&gt;설정!$C$7),0,SUMIFS($C54:$Z54,$C$5:$Z$5,"&gt;="&amp;(설정!$C$6*12+1),$C$5:$Z$5,"&lt;="&amp;(설정!$C$6*12+8)))</f>
        <v/>
      </c>
      <c r="AJ54" s="40">
        <f>IF(OR($A54="",9&gt;설정!$C$7),0,SUMIFS($C54:$Z54,$C$5:$Z$5,"&gt;="&amp;(설정!$C$6*12+1),$C$5:$Z$5,"&lt;="&amp;(설정!$C$6*12+9)))</f>
        <v/>
      </c>
      <c r="AK54" s="40">
        <f>IF(OR($A54="",10&gt;설정!$C$7),0,SUMIFS($C54:$Z54,$C$5:$Z$5,"&gt;="&amp;(설정!$C$6*12+1),$C$5:$Z$5,"&lt;="&amp;(설정!$C$6*12+10)))</f>
        <v/>
      </c>
      <c r="AL54" s="40">
        <f>IF(OR($A54="",11&gt;설정!$C$7),0,SUMIFS($C54:$Z54,$C$5:$Z$5,"&gt;="&amp;(설정!$C$6*12+1),$C$5:$Z$5,"&lt;="&amp;(설정!$C$6*12+11)))</f>
        <v/>
      </c>
      <c r="AM54" s="40">
        <f>IF(OR($A54="",12&gt;설정!$C$7),0,SUMIFS($C54:$Z54,$C$5:$Z$5,"&gt;="&amp;(설정!$C$6*12+1),$C$5:$Z$5,"&lt;="&amp;(설정!$C$6*12+12)))</f>
        <v/>
      </c>
    </row>
    <row r="55">
      <c r="A55" s="26">
        <f>IF(변동분석!$A55="","",변동분석!$E55)</f>
        <v/>
      </c>
      <c r="B55" s="26">
        <f>IF($A55="","",변동분석!$B55&amp;" "&amp;변동분석!$D55)</f>
        <v/>
      </c>
      <c r="C55" s="35">
        <f>IF($A55="","",SUMIFS(전표_원본!$P$5:$P$100000,전표_원본!$O$5:$O$100000,$A55,전표_원본!$M$5:$M$100000,C$5))</f>
        <v/>
      </c>
      <c r="D55" s="35">
        <f>IF($A55="","",SUMIFS(전표_원본!$P$5:$P$100000,전표_원본!$O$5:$O$100000,$A55,전표_원본!$M$5:$M$100000,D$5))</f>
        <v/>
      </c>
      <c r="E55" s="35">
        <f>IF($A55="","",SUMIFS(전표_원본!$P$5:$P$100000,전표_원본!$O$5:$O$100000,$A55,전표_원본!$M$5:$M$100000,E$5))</f>
        <v/>
      </c>
      <c r="F55" s="35">
        <f>IF($A55="","",SUMIFS(전표_원본!$P$5:$P$100000,전표_원본!$O$5:$O$100000,$A55,전표_원본!$M$5:$M$100000,F$5))</f>
        <v/>
      </c>
      <c r="G55" s="35">
        <f>IF($A55="","",SUMIFS(전표_원본!$P$5:$P$100000,전표_원본!$O$5:$O$100000,$A55,전표_원본!$M$5:$M$100000,G$5))</f>
        <v/>
      </c>
      <c r="H55" s="35">
        <f>IF($A55="","",SUMIFS(전표_원본!$P$5:$P$100000,전표_원본!$O$5:$O$100000,$A55,전표_원본!$M$5:$M$100000,H$5))</f>
        <v/>
      </c>
      <c r="I55" s="35">
        <f>IF($A55="","",SUMIFS(전표_원본!$P$5:$P$100000,전표_원본!$O$5:$O$100000,$A55,전표_원본!$M$5:$M$100000,I$5))</f>
        <v/>
      </c>
      <c r="J55" s="35">
        <f>IF($A55="","",SUMIFS(전표_원본!$P$5:$P$100000,전표_원본!$O$5:$O$100000,$A55,전표_원본!$M$5:$M$100000,J$5))</f>
        <v/>
      </c>
      <c r="K55" s="35">
        <f>IF($A55="","",SUMIFS(전표_원본!$P$5:$P$100000,전표_원본!$O$5:$O$100000,$A55,전표_원본!$M$5:$M$100000,K$5))</f>
        <v/>
      </c>
      <c r="L55" s="35">
        <f>IF($A55="","",SUMIFS(전표_원본!$P$5:$P$100000,전표_원본!$O$5:$O$100000,$A55,전표_원본!$M$5:$M$100000,L$5))</f>
        <v/>
      </c>
      <c r="M55" s="35">
        <f>IF($A55="","",SUMIFS(전표_원본!$P$5:$P$100000,전표_원본!$O$5:$O$100000,$A55,전표_원본!$M$5:$M$100000,M$5))</f>
        <v/>
      </c>
      <c r="N55" s="35">
        <f>IF($A55="","",SUMIFS(전표_원본!$P$5:$P$100000,전표_원본!$O$5:$O$100000,$A55,전표_원본!$M$5:$M$100000,N$5))</f>
        <v/>
      </c>
      <c r="O55" s="35">
        <f>IF($A55="","",SUMIFS(전표_원본!$P$5:$P$100000,전표_원본!$O$5:$O$100000,$A55,전표_원본!$M$5:$M$100000,O$5))</f>
        <v/>
      </c>
      <c r="P55" s="35">
        <f>IF($A55="","",SUMIFS(전표_원본!$P$5:$P$100000,전표_원본!$O$5:$O$100000,$A55,전표_원본!$M$5:$M$100000,P$5))</f>
        <v/>
      </c>
      <c r="Q55" s="35">
        <f>IF($A55="","",SUMIFS(전표_원본!$P$5:$P$100000,전표_원본!$O$5:$O$100000,$A55,전표_원본!$M$5:$M$100000,Q$5))</f>
        <v/>
      </c>
      <c r="R55" s="35">
        <f>IF($A55="","",SUMIFS(전표_원본!$P$5:$P$100000,전표_원본!$O$5:$O$100000,$A55,전표_원본!$M$5:$M$100000,R$5))</f>
        <v/>
      </c>
      <c r="S55" s="35">
        <f>IF($A55="","",SUMIFS(전표_원본!$P$5:$P$100000,전표_원본!$O$5:$O$100000,$A55,전표_원본!$M$5:$M$100000,S$5))</f>
        <v/>
      </c>
      <c r="T55" s="35">
        <f>IF($A55="","",SUMIFS(전표_원본!$P$5:$P$100000,전표_원본!$O$5:$O$100000,$A55,전표_원본!$M$5:$M$100000,T$5))</f>
        <v/>
      </c>
      <c r="U55" s="35">
        <f>IF($A55="","",SUMIFS(전표_원본!$P$5:$P$100000,전표_원본!$O$5:$O$100000,$A55,전표_원본!$M$5:$M$100000,U$5))</f>
        <v/>
      </c>
      <c r="V55" s="35">
        <f>IF($A55="","",SUMIFS(전표_원본!$P$5:$P$100000,전표_원본!$O$5:$O$100000,$A55,전표_원본!$M$5:$M$100000,V$5))</f>
        <v/>
      </c>
      <c r="W55" s="35">
        <f>IF($A55="","",SUMIFS(전표_원본!$P$5:$P$100000,전표_원본!$O$5:$O$100000,$A55,전표_원본!$M$5:$M$100000,W$5))</f>
        <v/>
      </c>
      <c r="X55" s="35">
        <f>IF($A55="","",SUMIFS(전표_원본!$P$5:$P$100000,전표_원본!$O$5:$O$100000,$A55,전표_원본!$M$5:$M$100000,X$5))</f>
        <v/>
      </c>
      <c r="Y55" s="35">
        <f>IF($A55="","",SUMIFS(전표_원본!$P$5:$P$100000,전표_원본!$O$5:$O$100000,$A55,전표_원본!$M$5:$M$100000,Y$5))</f>
        <v/>
      </c>
      <c r="Z55" s="35">
        <f>IF($A55="","",SUMIFS(전표_원본!$P$5:$P$100000,전표_원본!$O$5:$O$100000,$A55,전표_원본!$M$5:$M$100000,Z$5))</f>
        <v/>
      </c>
      <c r="AB55" s="40">
        <f>IF(OR($A55="",1&gt;설정!$C$7),0,SUMIFS($C55:$Z55,$C$5:$Z$5,"&gt;="&amp;(설정!$C$6*12+1),$C$5:$Z$5,"&lt;="&amp;(설정!$C$6*12+1)))</f>
        <v/>
      </c>
      <c r="AC55" s="40">
        <f>IF(OR($A55="",2&gt;설정!$C$7),0,SUMIFS($C55:$Z55,$C$5:$Z$5,"&gt;="&amp;(설정!$C$6*12+1),$C$5:$Z$5,"&lt;="&amp;(설정!$C$6*12+2)))</f>
        <v/>
      </c>
      <c r="AD55" s="40">
        <f>IF(OR($A55="",3&gt;설정!$C$7),0,SUMIFS($C55:$Z55,$C$5:$Z$5,"&gt;="&amp;(설정!$C$6*12+1),$C$5:$Z$5,"&lt;="&amp;(설정!$C$6*12+3)))</f>
        <v/>
      </c>
      <c r="AE55" s="40">
        <f>IF(OR($A55="",4&gt;설정!$C$7),0,SUMIFS($C55:$Z55,$C$5:$Z$5,"&gt;="&amp;(설정!$C$6*12+1),$C$5:$Z$5,"&lt;="&amp;(설정!$C$6*12+4)))</f>
        <v/>
      </c>
      <c r="AF55" s="40">
        <f>IF(OR($A55="",5&gt;설정!$C$7),0,SUMIFS($C55:$Z55,$C$5:$Z$5,"&gt;="&amp;(설정!$C$6*12+1),$C$5:$Z$5,"&lt;="&amp;(설정!$C$6*12+5)))</f>
        <v/>
      </c>
      <c r="AG55" s="40">
        <f>IF(OR($A55="",6&gt;설정!$C$7),0,SUMIFS($C55:$Z55,$C$5:$Z$5,"&gt;="&amp;(설정!$C$6*12+1),$C$5:$Z$5,"&lt;="&amp;(설정!$C$6*12+6)))</f>
        <v/>
      </c>
      <c r="AH55" s="40">
        <f>IF(OR($A55="",7&gt;설정!$C$7),0,SUMIFS($C55:$Z55,$C$5:$Z$5,"&gt;="&amp;(설정!$C$6*12+1),$C$5:$Z$5,"&lt;="&amp;(설정!$C$6*12+7)))</f>
        <v/>
      </c>
      <c r="AI55" s="40">
        <f>IF(OR($A55="",8&gt;설정!$C$7),0,SUMIFS($C55:$Z55,$C$5:$Z$5,"&gt;="&amp;(설정!$C$6*12+1),$C$5:$Z$5,"&lt;="&amp;(설정!$C$6*12+8)))</f>
        <v/>
      </c>
      <c r="AJ55" s="40">
        <f>IF(OR($A55="",9&gt;설정!$C$7),0,SUMIFS($C55:$Z55,$C$5:$Z$5,"&gt;="&amp;(설정!$C$6*12+1),$C$5:$Z$5,"&lt;="&amp;(설정!$C$6*12+9)))</f>
        <v/>
      </c>
      <c r="AK55" s="40">
        <f>IF(OR($A55="",10&gt;설정!$C$7),0,SUMIFS($C55:$Z55,$C$5:$Z$5,"&gt;="&amp;(설정!$C$6*12+1),$C$5:$Z$5,"&lt;="&amp;(설정!$C$6*12+10)))</f>
        <v/>
      </c>
      <c r="AL55" s="40">
        <f>IF(OR($A55="",11&gt;설정!$C$7),0,SUMIFS($C55:$Z55,$C$5:$Z$5,"&gt;="&amp;(설정!$C$6*12+1),$C$5:$Z$5,"&lt;="&amp;(설정!$C$6*12+11)))</f>
        <v/>
      </c>
      <c r="AM55" s="40">
        <f>IF(OR($A55="",12&gt;설정!$C$7),0,SUMIFS($C55:$Z55,$C$5:$Z$5,"&gt;="&amp;(설정!$C$6*12+1),$C$5:$Z$5,"&lt;="&amp;(설정!$C$6*12+12)))</f>
        <v/>
      </c>
    </row>
    <row r="56">
      <c r="A56" s="26">
        <f>IF(변동분석!$A56="","",변동분석!$E56)</f>
        <v/>
      </c>
      <c r="B56" s="26">
        <f>IF($A56="","",변동분석!$B56&amp;" "&amp;변동분석!$D56)</f>
        <v/>
      </c>
      <c r="C56" s="35">
        <f>IF($A56="","",SUMIFS(전표_원본!$P$5:$P$100000,전표_원본!$O$5:$O$100000,$A56,전표_원본!$M$5:$M$100000,C$5))</f>
        <v/>
      </c>
      <c r="D56" s="35">
        <f>IF($A56="","",SUMIFS(전표_원본!$P$5:$P$100000,전표_원본!$O$5:$O$100000,$A56,전표_원본!$M$5:$M$100000,D$5))</f>
        <v/>
      </c>
      <c r="E56" s="35">
        <f>IF($A56="","",SUMIFS(전표_원본!$P$5:$P$100000,전표_원본!$O$5:$O$100000,$A56,전표_원본!$M$5:$M$100000,E$5))</f>
        <v/>
      </c>
      <c r="F56" s="35">
        <f>IF($A56="","",SUMIFS(전표_원본!$P$5:$P$100000,전표_원본!$O$5:$O$100000,$A56,전표_원본!$M$5:$M$100000,F$5))</f>
        <v/>
      </c>
      <c r="G56" s="35">
        <f>IF($A56="","",SUMIFS(전표_원본!$P$5:$P$100000,전표_원본!$O$5:$O$100000,$A56,전표_원본!$M$5:$M$100000,G$5))</f>
        <v/>
      </c>
      <c r="H56" s="35">
        <f>IF($A56="","",SUMIFS(전표_원본!$P$5:$P$100000,전표_원본!$O$5:$O$100000,$A56,전표_원본!$M$5:$M$100000,H$5))</f>
        <v/>
      </c>
      <c r="I56" s="35">
        <f>IF($A56="","",SUMIFS(전표_원본!$P$5:$P$100000,전표_원본!$O$5:$O$100000,$A56,전표_원본!$M$5:$M$100000,I$5))</f>
        <v/>
      </c>
      <c r="J56" s="35">
        <f>IF($A56="","",SUMIFS(전표_원본!$P$5:$P$100000,전표_원본!$O$5:$O$100000,$A56,전표_원본!$M$5:$M$100000,J$5))</f>
        <v/>
      </c>
      <c r="K56" s="35">
        <f>IF($A56="","",SUMIFS(전표_원본!$P$5:$P$100000,전표_원본!$O$5:$O$100000,$A56,전표_원본!$M$5:$M$100000,K$5))</f>
        <v/>
      </c>
      <c r="L56" s="35">
        <f>IF($A56="","",SUMIFS(전표_원본!$P$5:$P$100000,전표_원본!$O$5:$O$100000,$A56,전표_원본!$M$5:$M$100000,L$5))</f>
        <v/>
      </c>
      <c r="M56" s="35">
        <f>IF($A56="","",SUMIFS(전표_원본!$P$5:$P$100000,전표_원본!$O$5:$O$100000,$A56,전표_원본!$M$5:$M$100000,M$5))</f>
        <v/>
      </c>
      <c r="N56" s="35">
        <f>IF($A56="","",SUMIFS(전표_원본!$P$5:$P$100000,전표_원본!$O$5:$O$100000,$A56,전표_원본!$M$5:$M$100000,N$5))</f>
        <v/>
      </c>
      <c r="O56" s="35">
        <f>IF($A56="","",SUMIFS(전표_원본!$P$5:$P$100000,전표_원본!$O$5:$O$100000,$A56,전표_원본!$M$5:$M$100000,O$5))</f>
        <v/>
      </c>
      <c r="P56" s="35">
        <f>IF($A56="","",SUMIFS(전표_원본!$P$5:$P$100000,전표_원본!$O$5:$O$100000,$A56,전표_원본!$M$5:$M$100000,P$5))</f>
        <v/>
      </c>
      <c r="Q56" s="35">
        <f>IF($A56="","",SUMIFS(전표_원본!$P$5:$P$100000,전표_원본!$O$5:$O$100000,$A56,전표_원본!$M$5:$M$100000,Q$5))</f>
        <v/>
      </c>
      <c r="R56" s="35">
        <f>IF($A56="","",SUMIFS(전표_원본!$P$5:$P$100000,전표_원본!$O$5:$O$100000,$A56,전표_원본!$M$5:$M$100000,R$5))</f>
        <v/>
      </c>
      <c r="S56" s="35">
        <f>IF($A56="","",SUMIFS(전표_원본!$P$5:$P$100000,전표_원본!$O$5:$O$100000,$A56,전표_원본!$M$5:$M$100000,S$5))</f>
        <v/>
      </c>
      <c r="T56" s="35">
        <f>IF($A56="","",SUMIFS(전표_원본!$P$5:$P$100000,전표_원본!$O$5:$O$100000,$A56,전표_원본!$M$5:$M$100000,T$5))</f>
        <v/>
      </c>
      <c r="U56" s="35">
        <f>IF($A56="","",SUMIFS(전표_원본!$P$5:$P$100000,전표_원본!$O$5:$O$100000,$A56,전표_원본!$M$5:$M$100000,U$5))</f>
        <v/>
      </c>
      <c r="V56" s="35">
        <f>IF($A56="","",SUMIFS(전표_원본!$P$5:$P$100000,전표_원본!$O$5:$O$100000,$A56,전표_원본!$M$5:$M$100000,V$5))</f>
        <v/>
      </c>
      <c r="W56" s="35">
        <f>IF($A56="","",SUMIFS(전표_원본!$P$5:$P$100000,전표_원본!$O$5:$O$100000,$A56,전표_원본!$M$5:$M$100000,W$5))</f>
        <v/>
      </c>
      <c r="X56" s="35">
        <f>IF($A56="","",SUMIFS(전표_원본!$P$5:$P$100000,전표_원본!$O$5:$O$100000,$A56,전표_원본!$M$5:$M$100000,X$5))</f>
        <v/>
      </c>
      <c r="Y56" s="35">
        <f>IF($A56="","",SUMIFS(전표_원본!$P$5:$P$100000,전표_원본!$O$5:$O$100000,$A56,전표_원본!$M$5:$M$100000,Y$5))</f>
        <v/>
      </c>
      <c r="Z56" s="35">
        <f>IF($A56="","",SUMIFS(전표_원본!$P$5:$P$100000,전표_원본!$O$5:$O$100000,$A56,전표_원본!$M$5:$M$100000,Z$5))</f>
        <v/>
      </c>
      <c r="AB56" s="40">
        <f>IF(OR($A56="",1&gt;설정!$C$7),0,SUMIFS($C56:$Z56,$C$5:$Z$5,"&gt;="&amp;(설정!$C$6*12+1),$C$5:$Z$5,"&lt;="&amp;(설정!$C$6*12+1)))</f>
        <v/>
      </c>
      <c r="AC56" s="40">
        <f>IF(OR($A56="",2&gt;설정!$C$7),0,SUMIFS($C56:$Z56,$C$5:$Z$5,"&gt;="&amp;(설정!$C$6*12+1),$C$5:$Z$5,"&lt;="&amp;(설정!$C$6*12+2)))</f>
        <v/>
      </c>
      <c r="AD56" s="40">
        <f>IF(OR($A56="",3&gt;설정!$C$7),0,SUMIFS($C56:$Z56,$C$5:$Z$5,"&gt;="&amp;(설정!$C$6*12+1),$C$5:$Z$5,"&lt;="&amp;(설정!$C$6*12+3)))</f>
        <v/>
      </c>
      <c r="AE56" s="40">
        <f>IF(OR($A56="",4&gt;설정!$C$7),0,SUMIFS($C56:$Z56,$C$5:$Z$5,"&gt;="&amp;(설정!$C$6*12+1),$C$5:$Z$5,"&lt;="&amp;(설정!$C$6*12+4)))</f>
        <v/>
      </c>
      <c r="AF56" s="40">
        <f>IF(OR($A56="",5&gt;설정!$C$7),0,SUMIFS($C56:$Z56,$C$5:$Z$5,"&gt;="&amp;(설정!$C$6*12+1),$C$5:$Z$5,"&lt;="&amp;(설정!$C$6*12+5)))</f>
        <v/>
      </c>
      <c r="AG56" s="40">
        <f>IF(OR($A56="",6&gt;설정!$C$7),0,SUMIFS($C56:$Z56,$C$5:$Z$5,"&gt;="&amp;(설정!$C$6*12+1),$C$5:$Z$5,"&lt;="&amp;(설정!$C$6*12+6)))</f>
        <v/>
      </c>
      <c r="AH56" s="40">
        <f>IF(OR($A56="",7&gt;설정!$C$7),0,SUMIFS($C56:$Z56,$C$5:$Z$5,"&gt;="&amp;(설정!$C$6*12+1),$C$5:$Z$5,"&lt;="&amp;(설정!$C$6*12+7)))</f>
        <v/>
      </c>
      <c r="AI56" s="40">
        <f>IF(OR($A56="",8&gt;설정!$C$7),0,SUMIFS($C56:$Z56,$C$5:$Z$5,"&gt;="&amp;(설정!$C$6*12+1),$C$5:$Z$5,"&lt;="&amp;(설정!$C$6*12+8)))</f>
        <v/>
      </c>
      <c r="AJ56" s="40">
        <f>IF(OR($A56="",9&gt;설정!$C$7),0,SUMIFS($C56:$Z56,$C$5:$Z$5,"&gt;="&amp;(설정!$C$6*12+1),$C$5:$Z$5,"&lt;="&amp;(설정!$C$6*12+9)))</f>
        <v/>
      </c>
      <c r="AK56" s="40">
        <f>IF(OR($A56="",10&gt;설정!$C$7),0,SUMIFS($C56:$Z56,$C$5:$Z$5,"&gt;="&amp;(설정!$C$6*12+1),$C$5:$Z$5,"&lt;="&amp;(설정!$C$6*12+10)))</f>
        <v/>
      </c>
      <c r="AL56" s="40">
        <f>IF(OR($A56="",11&gt;설정!$C$7),0,SUMIFS($C56:$Z56,$C$5:$Z$5,"&gt;="&amp;(설정!$C$6*12+1),$C$5:$Z$5,"&lt;="&amp;(설정!$C$6*12+11)))</f>
        <v/>
      </c>
      <c r="AM56" s="40">
        <f>IF(OR($A56="",12&gt;설정!$C$7),0,SUMIFS($C56:$Z56,$C$5:$Z$5,"&gt;="&amp;(설정!$C$6*12+1),$C$5:$Z$5,"&lt;="&amp;(설정!$C$6*12+12)))</f>
        <v/>
      </c>
    </row>
    <row r="57">
      <c r="A57" s="26">
        <f>IF(변동분석!$A57="","",변동분석!$E57)</f>
        <v/>
      </c>
      <c r="B57" s="26">
        <f>IF($A57="","",변동분석!$B57&amp;" "&amp;변동분석!$D57)</f>
        <v/>
      </c>
      <c r="C57" s="35">
        <f>IF($A57="","",SUMIFS(전표_원본!$P$5:$P$100000,전표_원본!$O$5:$O$100000,$A57,전표_원본!$M$5:$M$100000,C$5))</f>
        <v/>
      </c>
      <c r="D57" s="35">
        <f>IF($A57="","",SUMIFS(전표_원본!$P$5:$P$100000,전표_원본!$O$5:$O$100000,$A57,전표_원본!$M$5:$M$100000,D$5))</f>
        <v/>
      </c>
      <c r="E57" s="35">
        <f>IF($A57="","",SUMIFS(전표_원본!$P$5:$P$100000,전표_원본!$O$5:$O$100000,$A57,전표_원본!$M$5:$M$100000,E$5))</f>
        <v/>
      </c>
      <c r="F57" s="35">
        <f>IF($A57="","",SUMIFS(전표_원본!$P$5:$P$100000,전표_원본!$O$5:$O$100000,$A57,전표_원본!$M$5:$M$100000,F$5))</f>
        <v/>
      </c>
      <c r="G57" s="35">
        <f>IF($A57="","",SUMIFS(전표_원본!$P$5:$P$100000,전표_원본!$O$5:$O$100000,$A57,전표_원본!$M$5:$M$100000,G$5))</f>
        <v/>
      </c>
      <c r="H57" s="35">
        <f>IF($A57="","",SUMIFS(전표_원본!$P$5:$P$100000,전표_원본!$O$5:$O$100000,$A57,전표_원본!$M$5:$M$100000,H$5))</f>
        <v/>
      </c>
      <c r="I57" s="35">
        <f>IF($A57="","",SUMIFS(전표_원본!$P$5:$P$100000,전표_원본!$O$5:$O$100000,$A57,전표_원본!$M$5:$M$100000,I$5))</f>
        <v/>
      </c>
      <c r="J57" s="35">
        <f>IF($A57="","",SUMIFS(전표_원본!$P$5:$P$100000,전표_원본!$O$5:$O$100000,$A57,전표_원본!$M$5:$M$100000,J$5))</f>
        <v/>
      </c>
      <c r="K57" s="35">
        <f>IF($A57="","",SUMIFS(전표_원본!$P$5:$P$100000,전표_원본!$O$5:$O$100000,$A57,전표_원본!$M$5:$M$100000,K$5))</f>
        <v/>
      </c>
      <c r="L57" s="35">
        <f>IF($A57="","",SUMIFS(전표_원본!$P$5:$P$100000,전표_원본!$O$5:$O$100000,$A57,전표_원본!$M$5:$M$100000,L$5))</f>
        <v/>
      </c>
      <c r="M57" s="35">
        <f>IF($A57="","",SUMIFS(전표_원본!$P$5:$P$100000,전표_원본!$O$5:$O$100000,$A57,전표_원본!$M$5:$M$100000,M$5))</f>
        <v/>
      </c>
      <c r="N57" s="35">
        <f>IF($A57="","",SUMIFS(전표_원본!$P$5:$P$100000,전표_원본!$O$5:$O$100000,$A57,전표_원본!$M$5:$M$100000,N$5))</f>
        <v/>
      </c>
      <c r="O57" s="35">
        <f>IF($A57="","",SUMIFS(전표_원본!$P$5:$P$100000,전표_원본!$O$5:$O$100000,$A57,전표_원본!$M$5:$M$100000,O$5))</f>
        <v/>
      </c>
      <c r="P57" s="35">
        <f>IF($A57="","",SUMIFS(전표_원본!$P$5:$P$100000,전표_원본!$O$5:$O$100000,$A57,전표_원본!$M$5:$M$100000,P$5))</f>
        <v/>
      </c>
      <c r="Q57" s="35">
        <f>IF($A57="","",SUMIFS(전표_원본!$P$5:$P$100000,전표_원본!$O$5:$O$100000,$A57,전표_원본!$M$5:$M$100000,Q$5))</f>
        <v/>
      </c>
      <c r="R57" s="35">
        <f>IF($A57="","",SUMIFS(전표_원본!$P$5:$P$100000,전표_원본!$O$5:$O$100000,$A57,전표_원본!$M$5:$M$100000,R$5))</f>
        <v/>
      </c>
      <c r="S57" s="35">
        <f>IF($A57="","",SUMIFS(전표_원본!$P$5:$P$100000,전표_원본!$O$5:$O$100000,$A57,전표_원본!$M$5:$M$100000,S$5))</f>
        <v/>
      </c>
      <c r="T57" s="35">
        <f>IF($A57="","",SUMIFS(전표_원본!$P$5:$P$100000,전표_원본!$O$5:$O$100000,$A57,전표_원본!$M$5:$M$100000,T$5))</f>
        <v/>
      </c>
      <c r="U57" s="35">
        <f>IF($A57="","",SUMIFS(전표_원본!$P$5:$P$100000,전표_원본!$O$5:$O$100000,$A57,전표_원본!$M$5:$M$100000,U$5))</f>
        <v/>
      </c>
      <c r="V57" s="35">
        <f>IF($A57="","",SUMIFS(전표_원본!$P$5:$P$100000,전표_원본!$O$5:$O$100000,$A57,전표_원본!$M$5:$M$100000,V$5))</f>
        <v/>
      </c>
      <c r="W57" s="35">
        <f>IF($A57="","",SUMIFS(전표_원본!$P$5:$P$100000,전표_원본!$O$5:$O$100000,$A57,전표_원본!$M$5:$M$100000,W$5))</f>
        <v/>
      </c>
      <c r="X57" s="35">
        <f>IF($A57="","",SUMIFS(전표_원본!$P$5:$P$100000,전표_원본!$O$5:$O$100000,$A57,전표_원본!$M$5:$M$100000,X$5))</f>
        <v/>
      </c>
      <c r="Y57" s="35">
        <f>IF($A57="","",SUMIFS(전표_원본!$P$5:$P$100000,전표_원본!$O$5:$O$100000,$A57,전표_원본!$M$5:$M$100000,Y$5))</f>
        <v/>
      </c>
      <c r="Z57" s="35">
        <f>IF($A57="","",SUMIFS(전표_원본!$P$5:$P$100000,전표_원본!$O$5:$O$100000,$A57,전표_원본!$M$5:$M$100000,Z$5))</f>
        <v/>
      </c>
      <c r="AB57" s="40">
        <f>IF(OR($A57="",1&gt;설정!$C$7),0,SUMIFS($C57:$Z57,$C$5:$Z$5,"&gt;="&amp;(설정!$C$6*12+1),$C$5:$Z$5,"&lt;="&amp;(설정!$C$6*12+1)))</f>
        <v/>
      </c>
      <c r="AC57" s="40">
        <f>IF(OR($A57="",2&gt;설정!$C$7),0,SUMIFS($C57:$Z57,$C$5:$Z$5,"&gt;="&amp;(설정!$C$6*12+1),$C$5:$Z$5,"&lt;="&amp;(설정!$C$6*12+2)))</f>
        <v/>
      </c>
      <c r="AD57" s="40">
        <f>IF(OR($A57="",3&gt;설정!$C$7),0,SUMIFS($C57:$Z57,$C$5:$Z$5,"&gt;="&amp;(설정!$C$6*12+1),$C$5:$Z$5,"&lt;="&amp;(설정!$C$6*12+3)))</f>
        <v/>
      </c>
      <c r="AE57" s="40">
        <f>IF(OR($A57="",4&gt;설정!$C$7),0,SUMIFS($C57:$Z57,$C$5:$Z$5,"&gt;="&amp;(설정!$C$6*12+1),$C$5:$Z$5,"&lt;="&amp;(설정!$C$6*12+4)))</f>
        <v/>
      </c>
      <c r="AF57" s="40">
        <f>IF(OR($A57="",5&gt;설정!$C$7),0,SUMIFS($C57:$Z57,$C$5:$Z$5,"&gt;="&amp;(설정!$C$6*12+1),$C$5:$Z$5,"&lt;="&amp;(설정!$C$6*12+5)))</f>
        <v/>
      </c>
      <c r="AG57" s="40">
        <f>IF(OR($A57="",6&gt;설정!$C$7),0,SUMIFS($C57:$Z57,$C$5:$Z$5,"&gt;="&amp;(설정!$C$6*12+1),$C$5:$Z$5,"&lt;="&amp;(설정!$C$6*12+6)))</f>
        <v/>
      </c>
      <c r="AH57" s="40">
        <f>IF(OR($A57="",7&gt;설정!$C$7),0,SUMIFS($C57:$Z57,$C$5:$Z$5,"&gt;="&amp;(설정!$C$6*12+1),$C$5:$Z$5,"&lt;="&amp;(설정!$C$6*12+7)))</f>
        <v/>
      </c>
      <c r="AI57" s="40">
        <f>IF(OR($A57="",8&gt;설정!$C$7),0,SUMIFS($C57:$Z57,$C$5:$Z$5,"&gt;="&amp;(설정!$C$6*12+1),$C$5:$Z$5,"&lt;="&amp;(설정!$C$6*12+8)))</f>
        <v/>
      </c>
      <c r="AJ57" s="40">
        <f>IF(OR($A57="",9&gt;설정!$C$7),0,SUMIFS($C57:$Z57,$C$5:$Z$5,"&gt;="&amp;(설정!$C$6*12+1),$C$5:$Z$5,"&lt;="&amp;(설정!$C$6*12+9)))</f>
        <v/>
      </c>
      <c r="AK57" s="40">
        <f>IF(OR($A57="",10&gt;설정!$C$7),0,SUMIFS($C57:$Z57,$C$5:$Z$5,"&gt;="&amp;(설정!$C$6*12+1),$C$5:$Z$5,"&lt;="&amp;(설정!$C$6*12+10)))</f>
        <v/>
      </c>
      <c r="AL57" s="40">
        <f>IF(OR($A57="",11&gt;설정!$C$7),0,SUMIFS($C57:$Z57,$C$5:$Z$5,"&gt;="&amp;(설정!$C$6*12+1),$C$5:$Z$5,"&lt;="&amp;(설정!$C$6*12+11)))</f>
        <v/>
      </c>
      <c r="AM57" s="40">
        <f>IF(OR($A57="",12&gt;설정!$C$7),0,SUMIFS($C57:$Z57,$C$5:$Z$5,"&gt;="&amp;(설정!$C$6*12+1),$C$5:$Z$5,"&lt;="&amp;(설정!$C$6*12+12)))</f>
        <v/>
      </c>
    </row>
    <row r="58">
      <c r="A58" s="26">
        <f>IF(변동분석!$A58="","",변동분석!$E58)</f>
        <v/>
      </c>
      <c r="B58" s="26">
        <f>IF($A58="","",변동분석!$B58&amp;" "&amp;변동분석!$D58)</f>
        <v/>
      </c>
      <c r="C58" s="35">
        <f>IF($A58="","",SUMIFS(전표_원본!$P$5:$P$100000,전표_원본!$O$5:$O$100000,$A58,전표_원본!$M$5:$M$100000,C$5))</f>
        <v/>
      </c>
      <c r="D58" s="35">
        <f>IF($A58="","",SUMIFS(전표_원본!$P$5:$P$100000,전표_원본!$O$5:$O$100000,$A58,전표_원본!$M$5:$M$100000,D$5))</f>
        <v/>
      </c>
      <c r="E58" s="35">
        <f>IF($A58="","",SUMIFS(전표_원본!$P$5:$P$100000,전표_원본!$O$5:$O$100000,$A58,전표_원본!$M$5:$M$100000,E$5))</f>
        <v/>
      </c>
      <c r="F58" s="35">
        <f>IF($A58="","",SUMIFS(전표_원본!$P$5:$P$100000,전표_원본!$O$5:$O$100000,$A58,전표_원본!$M$5:$M$100000,F$5))</f>
        <v/>
      </c>
      <c r="G58" s="35">
        <f>IF($A58="","",SUMIFS(전표_원본!$P$5:$P$100000,전표_원본!$O$5:$O$100000,$A58,전표_원본!$M$5:$M$100000,G$5))</f>
        <v/>
      </c>
      <c r="H58" s="35">
        <f>IF($A58="","",SUMIFS(전표_원본!$P$5:$P$100000,전표_원본!$O$5:$O$100000,$A58,전표_원본!$M$5:$M$100000,H$5))</f>
        <v/>
      </c>
      <c r="I58" s="35">
        <f>IF($A58="","",SUMIFS(전표_원본!$P$5:$P$100000,전표_원본!$O$5:$O$100000,$A58,전표_원본!$M$5:$M$100000,I$5))</f>
        <v/>
      </c>
      <c r="J58" s="35">
        <f>IF($A58="","",SUMIFS(전표_원본!$P$5:$P$100000,전표_원본!$O$5:$O$100000,$A58,전표_원본!$M$5:$M$100000,J$5))</f>
        <v/>
      </c>
      <c r="K58" s="35">
        <f>IF($A58="","",SUMIFS(전표_원본!$P$5:$P$100000,전표_원본!$O$5:$O$100000,$A58,전표_원본!$M$5:$M$100000,K$5))</f>
        <v/>
      </c>
      <c r="L58" s="35">
        <f>IF($A58="","",SUMIFS(전표_원본!$P$5:$P$100000,전표_원본!$O$5:$O$100000,$A58,전표_원본!$M$5:$M$100000,L$5))</f>
        <v/>
      </c>
      <c r="M58" s="35">
        <f>IF($A58="","",SUMIFS(전표_원본!$P$5:$P$100000,전표_원본!$O$5:$O$100000,$A58,전표_원본!$M$5:$M$100000,M$5))</f>
        <v/>
      </c>
      <c r="N58" s="35">
        <f>IF($A58="","",SUMIFS(전표_원본!$P$5:$P$100000,전표_원본!$O$5:$O$100000,$A58,전표_원본!$M$5:$M$100000,N$5))</f>
        <v/>
      </c>
      <c r="O58" s="35">
        <f>IF($A58="","",SUMIFS(전표_원본!$P$5:$P$100000,전표_원본!$O$5:$O$100000,$A58,전표_원본!$M$5:$M$100000,O$5))</f>
        <v/>
      </c>
      <c r="P58" s="35">
        <f>IF($A58="","",SUMIFS(전표_원본!$P$5:$P$100000,전표_원본!$O$5:$O$100000,$A58,전표_원본!$M$5:$M$100000,P$5))</f>
        <v/>
      </c>
      <c r="Q58" s="35">
        <f>IF($A58="","",SUMIFS(전표_원본!$P$5:$P$100000,전표_원본!$O$5:$O$100000,$A58,전표_원본!$M$5:$M$100000,Q$5))</f>
        <v/>
      </c>
      <c r="R58" s="35">
        <f>IF($A58="","",SUMIFS(전표_원본!$P$5:$P$100000,전표_원본!$O$5:$O$100000,$A58,전표_원본!$M$5:$M$100000,R$5))</f>
        <v/>
      </c>
      <c r="S58" s="35">
        <f>IF($A58="","",SUMIFS(전표_원본!$P$5:$P$100000,전표_원본!$O$5:$O$100000,$A58,전표_원본!$M$5:$M$100000,S$5))</f>
        <v/>
      </c>
      <c r="T58" s="35">
        <f>IF($A58="","",SUMIFS(전표_원본!$P$5:$P$100000,전표_원본!$O$5:$O$100000,$A58,전표_원본!$M$5:$M$100000,T$5))</f>
        <v/>
      </c>
      <c r="U58" s="35">
        <f>IF($A58="","",SUMIFS(전표_원본!$P$5:$P$100000,전표_원본!$O$5:$O$100000,$A58,전표_원본!$M$5:$M$100000,U$5))</f>
        <v/>
      </c>
      <c r="V58" s="35">
        <f>IF($A58="","",SUMIFS(전표_원본!$P$5:$P$100000,전표_원본!$O$5:$O$100000,$A58,전표_원본!$M$5:$M$100000,V$5))</f>
        <v/>
      </c>
      <c r="W58" s="35">
        <f>IF($A58="","",SUMIFS(전표_원본!$P$5:$P$100000,전표_원본!$O$5:$O$100000,$A58,전표_원본!$M$5:$M$100000,W$5))</f>
        <v/>
      </c>
      <c r="X58" s="35">
        <f>IF($A58="","",SUMIFS(전표_원본!$P$5:$P$100000,전표_원본!$O$5:$O$100000,$A58,전표_원본!$M$5:$M$100000,X$5))</f>
        <v/>
      </c>
      <c r="Y58" s="35">
        <f>IF($A58="","",SUMIFS(전표_원본!$P$5:$P$100000,전표_원본!$O$5:$O$100000,$A58,전표_원본!$M$5:$M$100000,Y$5))</f>
        <v/>
      </c>
      <c r="Z58" s="35">
        <f>IF($A58="","",SUMIFS(전표_원본!$P$5:$P$100000,전표_원본!$O$5:$O$100000,$A58,전표_원본!$M$5:$M$100000,Z$5))</f>
        <v/>
      </c>
      <c r="AB58" s="40">
        <f>IF(OR($A58="",1&gt;설정!$C$7),0,SUMIFS($C58:$Z58,$C$5:$Z$5,"&gt;="&amp;(설정!$C$6*12+1),$C$5:$Z$5,"&lt;="&amp;(설정!$C$6*12+1)))</f>
        <v/>
      </c>
      <c r="AC58" s="40">
        <f>IF(OR($A58="",2&gt;설정!$C$7),0,SUMIFS($C58:$Z58,$C$5:$Z$5,"&gt;="&amp;(설정!$C$6*12+1),$C$5:$Z$5,"&lt;="&amp;(설정!$C$6*12+2)))</f>
        <v/>
      </c>
      <c r="AD58" s="40">
        <f>IF(OR($A58="",3&gt;설정!$C$7),0,SUMIFS($C58:$Z58,$C$5:$Z$5,"&gt;="&amp;(설정!$C$6*12+1),$C$5:$Z$5,"&lt;="&amp;(설정!$C$6*12+3)))</f>
        <v/>
      </c>
      <c r="AE58" s="40">
        <f>IF(OR($A58="",4&gt;설정!$C$7),0,SUMIFS($C58:$Z58,$C$5:$Z$5,"&gt;="&amp;(설정!$C$6*12+1),$C$5:$Z$5,"&lt;="&amp;(설정!$C$6*12+4)))</f>
        <v/>
      </c>
      <c r="AF58" s="40">
        <f>IF(OR($A58="",5&gt;설정!$C$7),0,SUMIFS($C58:$Z58,$C$5:$Z$5,"&gt;="&amp;(설정!$C$6*12+1),$C$5:$Z$5,"&lt;="&amp;(설정!$C$6*12+5)))</f>
        <v/>
      </c>
      <c r="AG58" s="40">
        <f>IF(OR($A58="",6&gt;설정!$C$7),0,SUMIFS($C58:$Z58,$C$5:$Z$5,"&gt;="&amp;(설정!$C$6*12+1),$C$5:$Z$5,"&lt;="&amp;(설정!$C$6*12+6)))</f>
        <v/>
      </c>
      <c r="AH58" s="40">
        <f>IF(OR($A58="",7&gt;설정!$C$7),0,SUMIFS($C58:$Z58,$C$5:$Z$5,"&gt;="&amp;(설정!$C$6*12+1),$C$5:$Z$5,"&lt;="&amp;(설정!$C$6*12+7)))</f>
        <v/>
      </c>
      <c r="AI58" s="40">
        <f>IF(OR($A58="",8&gt;설정!$C$7),0,SUMIFS($C58:$Z58,$C$5:$Z$5,"&gt;="&amp;(설정!$C$6*12+1),$C$5:$Z$5,"&lt;="&amp;(설정!$C$6*12+8)))</f>
        <v/>
      </c>
      <c r="AJ58" s="40">
        <f>IF(OR($A58="",9&gt;설정!$C$7),0,SUMIFS($C58:$Z58,$C$5:$Z$5,"&gt;="&amp;(설정!$C$6*12+1),$C$5:$Z$5,"&lt;="&amp;(설정!$C$6*12+9)))</f>
        <v/>
      </c>
      <c r="AK58" s="40">
        <f>IF(OR($A58="",10&gt;설정!$C$7),0,SUMIFS($C58:$Z58,$C$5:$Z$5,"&gt;="&amp;(설정!$C$6*12+1),$C$5:$Z$5,"&lt;="&amp;(설정!$C$6*12+10)))</f>
        <v/>
      </c>
      <c r="AL58" s="40">
        <f>IF(OR($A58="",11&gt;설정!$C$7),0,SUMIFS($C58:$Z58,$C$5:$Z$5,"&gt;="&amp;(설정!$C$6*12+1),$C$5:$Z$5,"&lt;="&amp;(설정!$C$6*12+11)))</f>
        <v/>
      </c>
      <c r="AM58" s="40">
        <f>IF(OR($A58="",12&gt;설정!$C$7),0,SUMIFS($C58:$Z58,$C$5:$Z$5,"&gt;="&amp;(설정!$C$6*12+1),$C$5:$Z$5,"&lt;="&amp;(설정!$C$6*12+12)))</f>
        <v/>
      </c>
    </row>
    <row r="59">
      <c r="A59" s="26">
        <f>IF(변동분석!$A59="","",변동분석!$E59)</f>
        <v/>
      </c>
      <c r="B59" s="26">
        <f>IF($A59="","",변동분석!$B59&amp;" "&amp;변동분석!$D59)</f>
        <v/>
      </c>
      <c r="C59" s="35">
        <f>IF($A59="","",SUMIFS(전표_원본!$P$5:$P$100000,전표_원본!$O$5:$O$100000,$A59,전표_원본!$M$5:$M$100000,C$5))</f>
        <v/>
      </c>
      <c r="D59" s="35">
        <f>IF($A59="","",SUMIFS(전표_원본!$P$5:$P$100000,전표_원본!$O$5:$O$100000,$A59,전표_원본!$M$5:$M$100000,D$5))</f>
        <v/>
      </c>
      <c r="E59" s="35">
        <f>IF($A59="","",SUMIFS(전표_원본!$P$5:$P$100000,전표_원본!$O$5:$O$100000,$A59,전표_원본!$M$5:$M$100000,E$5))</f>
        <v/>
      </c>
      <c r="F59" s="35">
        <f>IF($A59="","",SUMIFS(전표_원본!$P$5:$P$100000,전표_원본!$O$5:$O$100000,$A59,전표_원본!$M$5:$M$100000,F$5))</f>
        <v/>
      </c>
      <c r="G59" s="35">
        <f>IF($A59="","",SUMIFS(전표_원본!$P$5:$P$100000,전표_원본!$O$5:$O$100000,$A59,전표_원본!$M$5:$M$100000,G$5))</f>
        <v/>
      </c>
      <c r="H59" s="35">
        <f>IF($A59="","",SUMIFS(전표_원본!$P$5:$P$100000,전표_원본!$O$5:$O$100000,$A59,전표_원본!$M$5:$M$100000,H$5))</f>
        <v/>
      </c>
      <c r="I59" s="35">
        <f>IF($A59="","",SUMIFS(전표_원본!$P$5:$P$100000,전표_원본!$O$5:$O$100000,$A59,전표_원본!$M$5:$M$100000,I$5))</f>
        <v/>
      </c>
      <c r="J59" s="35">
        <f>IF($A59="","",SUMIFS(전표_원본!$P$5:$P$100000,전표_원본!$O$5:$O$100000,$A59,전표_원본!$M$5:$M$100000,J$5))</f>
        <v/>
      </c>
      <c r="K59" s="35">
        <f>IF($A59="","",SUMIFS(전표_원본!$P$5:$P$100000,전표_원본!$O$5:$O$100000,$A59,전표_원본!$M$5:$M$100000,K$5))</f>
        <v/>
      </c>
      <c r="L59" s="35">
        <f>IF($A59="","",SUMIFS(전표_원본!$P$5:$P$100000,전표_원본!$O$5:$O$100000,$A59,전표_원본!$M$5:$M$100000,L$5))</f>
        <v/>
      </c>
      <c r="M59" s="35">
        <f>IF($A59="","",SUMIFS(전표_원본!$P$5:$P$100000,전표_원본!$O$5:$O$100000,$A59,전표_원본!$M$5:$M$100000,M$5))</f>
        <v/>
      </c>
      <c r="N59" s="35">
        <f>IF($A59="","",SUMIFS(전표_원본!$P$5:$P$100000,전표_원본!$O$5:$O$100000,$A59,전표_원본!$M$5:$M$100000,N$5))</f>
        <v/>
      </c>
      <c r="O59" s="35">
        <f>IF($A59="","",SUMIFS(전표_원본!$P$5:$P$100000,전표_원본!$O$5:$O$100000,$A59,전표_원본!$M$5:$M$100000,O$5))</f>
        <v/>
      </c>
      <c r="P59" s="35">
        <f>IF($A59="","",SUMIFS(전표_원본!$P$5:$P$100000,전표_원본!$O$5:$O$100000,$A59,전표_원본!$M$5:$M$100000,P$5))</f>
        <v/>
      </c>
      <c r="Q59" s="35">
        <f>IF($A59="","",SUMIFS(전표_원본!$P$5:$P$100000,전표_원본!$O$5:$O$100000,$A59,전표_원본!$M$5:$M$100000,Q$5))</f>
        <v/>
      </c>
      <c r="R59" s="35">
        <f>IF($A59="","",SUMIFS(전표_원본!$P$5:$P$100000,전표_원본!$O$5:$O$100000,$A59,전표_원본!$M$5:$M$100000,R$5))</f>
        <v/>
      </c>
      <c r="S59" s="35">
        <f>IF($A59="","",SUMIFS(전표_원본!$P$5:$P$100000,전표_원본!$O$5:$O$100000,$A59,전표_원본!$M$5:$M$100000,S$5))</f>
        <v/>
      </c>
      <c r="T59" s="35">
        <f>IF($A59="","",SUMIFS(전표_원본!$P$5:$P$100000,전표_원본!$O$5:$O$100000,$A59,전표_원본!$M$5:$M$100000,T$5))</f>
        <v/>
      </c>
      <c r="U59" s="35">
        <f>IF($A59="","",SUMIFS(전표_원본!$P$5:$P$100000,전표_원본!$O$5:$O$100000,$A59,전표_원본!$M$5:$M$100000,U$5))</f>
        <v/>
      </c>
      <c r="V59" s="35">
        <f>IF($A59="","",SUMIFS(전표_원본!$P$5:$P$100000,전표_원본!$O$5:$O$100000,$A59,전표_원본!$M$5:$M$100000,V$5))</f>
        <v/>
      </c>
      <c r="W59" s="35">
        <f>IF($A59="","",SUMIFS(전표_원본!$P$5:$P$100000,전표_원본!$O$5:$O$100000,$A59,전표_원본!$M$5:$M$100000,W$5))</f>
        <v/>
      </c>
      <c r="X59" s="35">
        <f>IF($A59="","",SUMIFS(전표_원본!$P$5:$P$100000,전표_원본!$O$5:$O$100000,$A59,전표_원본!$M$5:$M$100000,X$5))</f>
        <v/>
      </c>
      <c r="Y59" s="35">
        <f>IF($A59="","",SUMIFS(전표_원본!$P$5:$P$100000,전표_원본!$O$5:$O$100000,$A59,전표_원본!$M$5:$M$100000,Y$5))</f>
        <v/>
      </c>
      <c r="Z59" s="35">
        <f>IF($A59="","",SUMIFS(전표_원본!$P$5:$P$100000,전표_원본!$O$5:$O$100000,$A59,전표_원본!$M$5:$M$100000,Z$5))</f>
        <v/>
      </c>
      <c r="AB59" s="40">
        <f>IF(OR($A59="",1&gt;설정!$C$7),0,SUMIFS($C59:$Z59,$C$5:$Z$5,"&gt;="&amp;(설정!$C$6*12+1),$C$5:$Z$5,"&lt;="&amp;(설정!$C$6*12+1)))</f>
        <v/>
      </c>
      <c r="AC59" s="40">
        <f>IF(OR($A59="",2&gt;설정!$C$7),0,SUMIFS($C59:$Z59,$C$5:$Z$5,"&gt;="&amp;(설정!$C$6*12+1),$C$5:$Z$5,"&lt;="&amp;(설정!$C$6*12+2)))</f>
        <v/>
      </c>
      <c r="AD59" s="40">
        <f>IF(OR($A59="",3&gt;설정!$C$7),0,SUMIFS($C59:$Z59,$C$5:$Z$5,"&gt;="&amp;(설정!$C$6*12+1),$C$5:$Z$5,"&lt;="&amp;(설정!$C$6*12+3)))</f>
        <v/>
      </c>
      <c r="AE59" s="40">
        <f>IF(OR($A59="",4&gt;설정!$C$7),0,SUMIFS($C59:$Z59,$C$5:$Z$5,"&gt;="&amp;(설정!$C$6*12+1),$C$5:$Z$5,"&lt;="&amp;(설정!$C$6*12+4)))</f>
        <v/>
      </c>
      <c r="AF59" s="40">
        <f>IF(OR($A59="",5&gt;설정!$C$7),0,SUMIFS($C59:$Z59,$C$5:$Z$5,"&gt;="&amp;(설정!$C$6*12+1),$C$5:$Z$5,"&lt;="&amp;(설정!$C$6*12+5)))</f>
        <v/>
      </c>
      <c r="AG59" s="40">
        <f>IF(OR($A59="",6&gt;설정!$C$7),0,SUMIFS($C59:$Z59,$C$5:$Z$5,"&gt;="&amp;(설정!$C$6*12+1),$C$5:$Z$5,"&lt;="&amp;(설정!$C$6*12+6)))</f>
        <v/>
      </c>
      <c r="AH59" s="40">
        <f>IF(OR($A59="",7&gt;설정!$C$7),0,SUMIFS($C59:$Z59,$C$5:$Z$5,"&gt;="&amp;(설정!$C$6*12+1),$C$5:$Z$5,"&lt;="&amp;(설정!$C$6*12+7)))</f>
        <v/>
      </c>
      <c r="AI59" s="40">
        <f>IF(OR($A59="",8&gt;설정!$C$7),0,SUMIFS($C59:$Z59,$C$5:$Z$5,"&gt;="&amp;(설정!$C$6*12+1),$C$5:$Z$5,"&lt;="&amp;(설정!$C$6*12+8)))</f>
        <v/>
      </c>
      <c r="AJ59" s="40">
        <f>IF(OR($A59="",9&gt;설정!$C$7),0,SUMIFS($C59:$Z59,$C$5:$Z$5,"&gt;="&amp;(설정!$C$6*12+1),$C$5:$Z$5,"&lt;="&amp;(설정!$C$6*12+9)))</f>
        <v/>
      </c>
      <c r="AK59" s="40">
        <f>IF(OR($A59="",10&gt;설정!$C$7),0,SUMIFS($C59:$Z59,$C$5:$Z$5,"&gt;="&amp;(설정!$C$6*12+1),$C$5:$Z$5,"&lt;="&amp;(설정!$C$6*12+10)))</f>
        <v/>
      </c>
      <c r="AL59" s="40">
        <f>IF(OR($A59="",11&gt;설정!$C$7),0,SUMIFS($C59:$Z59,$C$5:$Z$5,"&gt;="&amp;(설정!$C$6*12+1),$C$5:$Z$5,"&lt;="&amp;(설정!$C$6*12+11)))</f>
        <v/>
      </c>
      <c r="AM59" s="40">
        <f>IF(OR($A59="",12&gt;설정!$C$7),0,SUMIFS($C59:$Z59,$C$5:$Z$5,"&gt;="&amp;(설정!$C$6*12+1),$C$5:$Z$5,"&lt;="&amp;(설정!$C$6*12+12)))</f>
        <v/>
      </c>
    </row>
    <row r="60">
      <c r="A60" s="26">
        <f>IF(변동분석!$A60="","",변동분석!$E60)</f>
        <v/>
      </c>
      <c r="B60" s="26">
        <f>IF($A60="","",변동분석!$B60&amp;" "&amp;변동분석!$D60)</f>
        <v/>
      </c>
      <c r="C60" s="35">
        <f>IF($A60="","",SUMIFS(전표_원본!$P$5:$P$100000,전표_원본!$O$5:$O$100000,$A60,전표_원본!$M$5:$M$100000,C$5))</f>
        <v/>
      </c>
      <c r="D60" s="35">
        <f>IF($A60="","",SUMIFS(전표_원본!$P$5:$P$100000,전표_원본!$O$5:$O$100000,$A60,전표_원본!$M$5:$M$100000,D$5))</f>
        <v/>
      </c>
      <c r="E60" s="35">
        <f>IF($A60="","",SUMIFS(전표_원본!$P$5:$P$100000,전표_원본!$O$5:$O$100000,$A60,전표_원본!$M$5:$M$100000,E$5))</f>
        <v/>
      </c>
      <c r="F60" s="35">
        <f>IF($A60="","",SUMIFS(전표_원본!$P$5:$P$100000,전표_원본!$O$5:$O$100000,$A60,전표_원본!$M$5:$M$100000,F$5))</f>
        <v/>
      </c>
      <c r="G60" s="35">
        <f>IF($A60="","",SUMIFS(전표_원본!$P$5:$P$100000,전표_원본!$O$5:$O$100000,$A60,전표_원본!$M$5:$M$100000,G$5))</f>
        <v/>
      </c>
      <c r="H60" s="35">
        <f>IF($A60="","",SUMIFS(전표_원본!$P$5:$P$100000,전표_원본!$O$5:$O$100000,$A60,전표_원본!$M$5:$M$100000,H$5))</f>
        <v/>
      </c>
      <c r="I60" s="35">
        <f>IF($A60="","",SUMIFS(전표_원본!$P$5:$P$100000,전표_원본!$O$5:$O$100000,$A60,전표_원본!$M$5:$M$100000,I$5))</f>
        <v/>
      </c>
      <c r="J60" s="35">
        <f>IF($A60="","",SUMIFS(전표_원본!$P$5:$P$100000,전표_원본!$O$5:$O$100000,$A60,전표_원본!$M$5:$M$100000,J$5))</f>
        <v/>
      </c>
      <c r="K60" s="35">
        <f>IF($A60="","",SUMIFS(전표_원본!$P$5:$P$100000,전표_원본!$O$5:$O$100000,$A60,전표_원본!$M$5:$M$100000,K$5))</f>
        <v/>
      </c>
      <c r="L60" s="35">
        <f>IF($A60="","",SUMIFS(전표_원본!$P$5:$P$100000,전표_원본!$O$5:$O$100000,$A60,전표_원본!$M$5:$M$100000,L$5))</f>
        <v/>
      </c>
      <c r="M60" s="35">
        <f>IF($A60="","",SUMIFS(전표_원본!$P$5:$P$100000,전표_원본!$O$5:$O$100000,$A60,전표_원본!$M$5:$M$100000,M$5))</f>
        <v/>
      </c>
      <c r="N60" s="35">
        <f>IF($A60="","",SUMIFS(전표_원본!$P$5:$P$100000,전표_원본!$O$5:$O$100000,$A60,전표_원본!$M$5:$M$100000,N$5))</f>
        <v/>
      </c>
      <c r="O60" s="35">
        <f>IF($A60="","",SUMIFS(전표_원본!$P$5:$P$100000,전표_원본!$O$5:$O$100000,$A60,전표_원본!$M$5:$M$100000,O$5))</f>
        <v/>
      </c>
      <c r="P60" s="35">
        <f>IF($A60="","",SUMIFS(전표_원본!$P$5:$P$100000,전표_원본!$O$5:$O$100000,$A60,전표_원본!$M$5:$M$100000,P$5))</f>
        <v/>
      </c>
      <c r="Q60" s="35">
        <f>IF($A60="","",SUMIFS(전표_원본!$P$5:$P$100000,전표_원본!$O$5:$O$100000,$A60,전표_원본!$M$5:$M$100000,Q$5))</f>
        <v/>
      </c>
      <c r="R60" s="35">
        <f>IF($A60="","",SUMIFS(전표_원본!$P$5:$P$100000,전표_원본!$O$5:$O$100000,$A60,전표_원본!$M$5:$M$100000,R$5))</f>
        <v/>
      </c>
      <c r="S60" s="35">
        <f>IF($A60="","",SUMIFS(전표_원본!$P$5:$P$100000,전표_원본!$O$5:$O$100000,$A60,전표_원본!$M$5:$M$100000,S$5))</f>
        <v/>
      </c>
      <c r="T60" s="35">
        <f>IF($A60="","",SUMIFS(전표_원본!$P$5:$P$100000,전표_원본!$O$5:$O$100000,$A60,전표_원본!$M$5:$M$100000,T$5))</f>
        <v/>
      </c>
      <c r="U60" s="35">
        <f>IF($A60="","",SUMIFS(전표_원본!$P$5:$P$100000,전표_원본!$O$5:$O$100000,$A60,전표_원본!$M$5:$M$100000,U$5))</f>
        <v/>
      </c>
      <c r="V60" s="35">
        <f>IF($A60="","",SUMIFS(전표_원본!$P$5:$P$100000,전표_원본!$O$5:$O$100000,$A60,전표_원본!$M$5:$M$100000,V$5))</f>
        <v/>
      </c>
      <c r="W60" s="35">
        <f>IF($A60="","",SUMIFS(전표_원본!$P$5:$P$100000,전표_원본!$O$5:$O$100000,$A60,전표_원본!$M$5:$M$100000,W$5))</f>
        <v/>
      </c>
      <c r="X60" s="35">
        <f>IF($A60="","",SUMIFS(전표_원본!$P$5:$P$100000,전표_원본!$O$5:$O$100000,$A60,전표_원본!$M$5:$M$100000,X$5))</f>
        <v/>
      </c>
      <c r="Y60" s="35">
        <f>IF($A60="","",SUMIFS(전표_원본!$P$5:$P$100000,전표_원본!$O$5:$O$100000,$A60,전표_원본!$M$5:$M$100000,Y$5))</f>
        <v/>
      </c>
      <c r="Z60" s="35">
        <f>IF($A60="","",SUMIFS(전표_원본!$P$5:$P$100000,전표_원본!$O$5:$O$100000,$A60,전표_원본!$M$5:$M$100000,Z$5))</f>
        <v/>
      </c>
      <c r="AB60" s="40">
        <f>IF(OR($A60="",1&gt;설정!$C$7),0,SUMIFS($C60:$Z60,$C$5:$Z$5,"&gt;="&amp;(설정!$C$6*12+1),$C$5:$Z$5,"&lt;="&amp;(설정!$C$6*12+1)))</f>
        <v/>
      </c>
      <c r="AC60" s="40">
        <f>IF(OR($A60="",2&gt;설정!$C$7),0,SUMIFS($C60:$Z60,$C$5:$Z$5,"&gt;="&amp;(설정!$C$6*12+1),$C$5:$Z$5,"&lt;="&amp;(설정!$C$6*12+2)))</f>
        <v/>
      </c>
      <c r="AD60" s="40">
        <f>IF(OR($A60="",3&gt;설정!$C$7),0,SUMIFS($C60:$Z60,$C$5:$Z$5,"&gt;="&amp;(설정!$C$6*12+1),$C$5:$Z$5,"&lt;="&amp;(설정!$C$6*12+3)))</f>
        <v/>
      </c>
      <c r="AE60" s="40">
        <f>IF(OR($A60="",4&gt;설정!$C$7),0,SUMIFS($C60:$Z60,$C$5:$Z$5,"&gt;="&amp;(설정!$C$6*12+1),$C$5:$Z$5,"&lt;="&amp;(설정!$C$6*12+4)))</f>
        <v/>
      </c>
      <c r="AF60" s="40">
        <f>IF(OR($A60="",5&gt;설정!$C$7),0,SUMIFS($C60:$Z60,$C$5:$Z$5,"&gt;="&amp;(설정!$C$6*12+1),$C$5:$Z$5,"&lt;="&amp;(설정!$C$6*12+5)))</f>
        <v/>
      </c>
      <c r="AG60" s="40">
        <f>IF(OR($A60="",6&gt;설정!$C$7),0,SUMIFS($C60:$Z60,$C$5:$Z$5,"&gt;="&amp;(설정!$C$6*12+1),$C$5:$Z$5,"&lt;="&amp;(설정!$C$6*12+6)))</f>
        <v/>
      </c>
      <c r="AH60" s="40">
        <f>IF(OR($A60="",7&gt;설정!$C$7),0,SUMIFS($C60:$Z60,$C$5:$Z$5,"&gt;="&amp;(설정!$C$6*12+1),$C$5:$Z$5,"&lt;="&amp;(설정!$C$6*12+7)))</f>
        <v/>
      </c>
      <c r="AI60" s="40">
        <f>IF(OR($A60="",8&gt;설정!$C$7),0,SUMIFS($C60:$Z60,$C$5:$Z$5,"&gt;="&amp;(설정!$C$6*12+1),$C$5:$Z$5,"&lt;="&amp;(설정!$C$6*12+8)))</f>
        <v/>
      </c>
      <c r="AJ60" s="40">
        <f>IF(OR($A60="",9&gt;설정!$C$7),0,SUMIFS($C60:$Z60,$C$5:$Z$5,"&gt;="&amp;(설정!$C$6*12+1),$C$5:$Z$5,"&lt;="&amp;(설정!$C$6*12+9)))</f>
        <v/>
      </c>
      <c r="AK60" s="40">
        <f>IF(OR($A60="",10&gt;설정!$C$7),0,SUMIFS($C60:$Z60,$C$5:$Z$5,"&gt;="&amp;(설정!$C$6*12+1),$C$5:$Z$5,"&lt;="&amp;(설정!$C$6*12+10)))</f>
        <v/>
      </c>
      <c r="AL60" s="40">
        <f>IF(OR($A60="",11&gt;설정!$C$7),0,SUMIFS($C60:$Z60,$C$5:$Z$5,"&gt;="&amp;(설정!$C$6*12+1),$C$5:$Z$5,"&lt;="&amp;(설정!$C$6*12+11)))</f>
        <v/>
      </c>
      <c r="AM60" s="40">
        <f>IF(OR($A60="",12&gt;설정!$C$7),0,SUMIFS($C60:$Z60,$C$5:$Z$5,"&gt;="&amp;(설정!$C$6*12+1),$C$5:$Z$5,"&lt;="&amp;(설정!$C$6*12+12)))</f>
        <v/>
      </c>
    </row>
    <row r="61">
      <c r="A61" s="26">
        <f>IF(변동분석!$A61="","",변동분석!$E61)</f>
        <v/>
      </c>
      <c r="B61" s="26">
        <f>IF($A61="","",변동분석!$B61&amp;" "&amp;변동분석!$D61)</f>
        <v/>
      </c>
      <c r="C61" s="35">
        <f>IF($A61="","",SUMIFS(전표_원본!$P$5:$P$100000,전표_원본!$O$5:$O$100000,$A61,전표_원본!$M$5:$M$100000,C$5))</f>
        <v/>
      </c>
      <c r="D61" s="35">
        <f>IF($A61="","",SUMIFS(전표_원본!$P$5:$P$100000,전표_원본!$O$5:$O$100000,$A61,전표_원본!$M$5:$M$100000,D$5))</f>
        <v/>
      </c>
      <c r="E61" s="35">
        <f>IF($A61="","",SUMIFS(전표_원본!$P$5:$P$100000,전표_원본!$O$5:$O$100000,$A61,전표_원본!$M$5:$M$100000,E$5))</f>
        <v/>
      </c>
      <c r="F61" s="35">
        <f>IF($A61="","",SUMIFS(전표_원본!$P$5:$P$100000,전표_원본!$O$5:$O$100000,$A61,전표_원본!$M$5:$M$100000,F$5))</f>
        <v/>
      </c>
      <c r="G61" s="35">
        <f>IF($A61="","",SUMIFS(전표_원본!$P$5:$P$100000,전표_원본!$O$5:$O$100000,$A61,전표_원본!$M$5:$M$100000,G$5))</f>
        <v/>
      </c>
      <c r="H61" s="35">
        <f>IF($A61="","",SUMIFS(전표_원본!$P$5:$P$100000,전표_원본!$O$5:$O$100000,$A61,전표_원본!$M$5:$M$100000,H$5))</f>
        <v/>
      </c>
      <c r="I61" s="35">
        <f>IF($A61="","",SUMIFS(전표_원본!$P$5:$P$100000,전표_원본!$O$5:$O$100000,$A61,전표_원본!$M$5:$M$100000,I$5))</f>
        <v/>
      </c>
      <c r="J61" s="35">
        <f>IF($A61="","",SUMIFS(전표_원본!$P$5:$P$100000,전표_원본!$O$5:$O$100000,$A61,전표_원본!$M$5:$M$100000,J$5))</f>
        <v/>
      </c>
      <c r="K61" s="35">
        <f>IF($A61="","",SUMIFS(전표_원본!$P$5:$P$100000,전표_원본!$O$5:$O$100000,$A61,전표_원본!$M$5:$M$100000,K$5))</f>
        <v/>
      </c>
      <c r="L61" s="35">
        <f>IF($A61="","",SUMIFS(전표_원본!$P$5:$P$100000,전표_원본!$O$5:$O$100000,$A61,전표_원본!$M$5:$M$100000,L$5))</f>
        <v/>
      </c>
      <c r="M61" s="35">
        <f>IF($A61="","",SUMIFS(전표_원본!$P$5:$P$100000,전표_원본!$O$5:$O$100000,$A61,전표_원본!$M$5:$M$100000,M$5))</f>
        <v/>
      </c>
      <c r="N61" s="35">
        <f>IF($A61="","",SUMIFS(전표_원본!$P$5:$P$100000,전표_원본!$O$5:$O$100000,$A61,전표_원본!$M$5:$M$100000,N$5))</f>
        <v/>
      </c>
      <c r="O61" s="35">
        <f>IF($A61="","",SUMIFS(전표_원본!$P$5:$P$100000,전표_원본!$O$5:$O$100000,$A61,전표_원본!$M$5:$M$100000,O$5))</f>
        <v/>
      </c>
      <c r="P61" s="35">
        <f>IF($A61="","",SUMIFS(전표_원본!$P$5:$P$100000,전표_원본!$O$5:$O$100000,$A61,전표_원본!$M$5:$M$100000,P$5))</f>
        <v/>
      </c>
      <c r="Q61" s="35">
        <f>IF($A61="","",SUMIFS(전표_원본!$P$5:$P$100000,전표_원본!$O$5:$O$100000,$A61,전표_원본!$M$5:$M$100000,Q$5))</f>
        <v/>
      </c>
      <c r="R61" s="35">
        <f>IF($A61="","",SUMIFS(전표_원본!$P$5:$P$100000,전표_원본!$O$5:$O$100000,$A61,전표_원본!$M$5:$M$100000,R$5))</f>
        <v/>
      </c>
      <c r="S61" s="35">
        <f>IF($A61="","",SUMIFS(전표_원본!$P$5:$P$100000,전표_원본!$O$5:$O$100000,$A61,전표_원본!$M$5:$M$100000,S$5))</f>
        <v/>
      </c>
      <c r="T61" s="35">
        <f>IF($A61="","",SUMIFS(전표_원본!$P$5:$P$100000,전표_원본!$O$5:$O$100000,$A61,전표_원본!$M$5:$M$100000,T$5))</f>
        <v/>
      </c>
      <c r="U61" s="35">
        <f>IF($A61="","",SUMIFS(전표_원본!$P$5:$P$100000,전표_원본!$O$5:$O$100000,$A61,전표_원본!$M$5:$M$100000,U$5))</f>
        <v/>
      </c>
      <c r="V61" s="35">
        <f>IF($A61="","",SUMIFS(전표_원본!$P$5:$P$100000,전표_원본!$O$5:$O$100000,$A61,전표_원본!$M$5:$M$100000,V$5))</f>
        <v/>
      </c>
      <c r="W61" s="35">
        <f>IF($A61="","",SUMIFS(전표_원본!$P$5:$P$100000,전표_원본!$O$5:$O$100000,$A61,전표_원본!$M$5:$M$100000,W$5))</f>
        <v/>
      </c>
      <c r="X61" s="35">
        <f>IF($A61="","",SUMIFS(전표_원본!$P$5:$P$100000,전표_원본!$O$5:$O$100000,$A61,전표_원본!$M$5:$M$100000,X$5))</f>
        <v/>
      </c>
      <c r="Y61" s="35">
        <f>IF($A61="","",SUMIFS(전표_원본!$P$5:$P$100000,전표_원본!$O$5:$O$100000,$A61,전표_원본!$M$5:$M$100000,Y$5))</f>
        <v/>
      </c>
      <c r="Z61" s="35">
        <f>IF($A61="","",SUMIFS(전표_원본!$P$5:$P$100000,전표_원본!$O$5:$O$100000,$A61,전표_원본!$M$5:$M$100000,Z$5))</f>
        <v/>
      </c>
      <c r="AB61" s="40">
        <f>IF(OR($A61="",1&gt;설정!$C$7),0,SUMIFS($C61:$Z61,$C$5:$Z$5,"&gt;="&amp;(설정!$C$6*12+1),$C$5:$Z$5,"&lt;="&amp;(설정!$C$6*12+1)))</f>
        <v/>
      </c>
      <c r="AC61" s="40">
        <f>IF(OR($A61="",2&gt;설정!$C$7),0,SUMIFS($C61:$Z61,$C$5:$Z$5,"&gt;="&amp;(설정!$C$6*12+1),$C$5:$Z$5,"&lt;="&amp;(설정!$C$6*12+2)))</f>
        <v/>
      </c>
      <c r="AD61" s="40">
        <f>IF(OR($A61="",3&gt;설정!$C$7),0,SUMIFS($C61:$Z61,$C$5:$Z$5,"&gt;="&amp;(설정!$C$6*12+1),$C$5:$Z$5,"&lt;="&amp;(설정!$C$6*12+3)))</f>
        <v/>
      </c>
      <c r="AE61" s="40">
        <f>IF(OR($A61="",4&gt;설정!$C$7),0,SUMIFS($C61:$Z61,$C$5:$Z$5,"&gt;="&amp;(설정!$C$6*12+1),$C$5:$Z$5,"&lt;="&amp;(설정!$C$6*12+4)))</f>
        <v/>
      </c>
      <c r="AF61" s="40">
        <f>IF(OR($A61="",5&gt;설정!$C$7),0,SUMIFS($C61:$Z61,$C$5:$Z$5,"&gt;="&amp;(설정!$C$6*12+1),$C$5:$Z$5,"&lt;="&amp;(설정!$C$6*12+5)))</f>
        <v/>
      </c>
      <c r="AG61" s="40">
        <f>IF(OR($A61="",6&gt;설정!$C$7),0,SUMIFS($C61:$Z61,$C$5:$Z$5,"&gt;="&amp;(설정!$C$6*12+1),$C$5:$Z$5,"&lt;="&amp;(설정!$C$6*12+6)))</f>
        <v/>
      </c>
      <c r="AH61" s="40">
        <f>IF(OR($A61="",7&gt;설정!$C$7),0,SUMIFS($C61:$Z61,$C$5:$Z$5,"&gt;="&amp;(설정!$C$6*12+1),$C$5:$Z$5,"&lt;="&amp;(설정!$C$6*12+7)))</f>
        <v/>
      </c>
      <c r="AI61" s="40">
        <f>IF(OR($A61="",8&gt;설정!$C$7),0,SUMIFS($C61:$Z61,$C$5:$Z$5,"&gt;="&amp;(설정!$C$6*12+1),$C$5:$Z$5,"&lt;="&amp;(설정!$C$6*12+8)))</f>
        <v/>
      </c>
      <c r="AJ61" s="40">
        <f>IF(OR($A61="",9&gt;설정!$C$7),0,SUMIFS($C61:$Z61,$C$5:$Z$5,"&gt;="&amp;(설정!$C$6*12+1),$C$5:$Z$5,"&lt;="&amp;(설정!$C$6*12+9)))</f>
        <v/>
      </c>
      <c r="AK61" s="40">
        <f>IF(OR($A61="",10&gt;설정!$C$7),0,SUMIFS($C61:$Z61,$C$5:$Z$5,"&gt;="&amp;(설정!$C$6*12+1),$C$5:$Z$5,"&lt;="&amp;(설정!$C$6*12+10)))</f>
        <v/>
      </c>
      <c r="AL61" s="40">
        <f>IF(OR($A61="",11&gt;설정!$C$7),0,SUMIFS($C61:$Z61,$C$5:$Z$5,"&gt;="&amp;(설정!$C$6*12+1),$C$5:$Z$5,"&lt;="&amp;(설정!$C$6*12+11)))</f>
        <v/>
      </c>
      <c r="AM61" s="40">
        <f>IF(OR($A61="",12&gt;설정!$C$7),0,SUMIFS($C61:$Z61,$C$5:$Z$5,"&gt;="&amp;(설정!$C$6*12+1),$C$5:$Z$5,"&lt;="&amp;(설정!$C$6*12+12)))</f>
        <v/>
      </c>
    </row>
    <row r="62">
      <c r="A62" s="26">
        <f>IF(변동분석!$A62="","",변동분석!$E62)</f>
        <v/>
      </c>
      <c r="B62" s="26">
        <f>IF($A62="","",변동분석!$B62&amp;" "&amp;변동분석!$D62)</f>
        <v/>
      </c>
      <c r="C62" s="35">
        <f>IF($A62="","",SUMIFS(전표_원본!$P$5:$P$100000,전표_원본!$O$5:$O$100000,$A62,전표_원본!$M$5:$M$100000,C$5))</f>
        <v/>
      </c>
      <c r="D62" s="35">
        <f>IF($A62="","",SUMIFS(전표_원본!$P$5:$P$100000,전표_원본!$O$5:$O$100000,$A62,전표_원본!$M$5:$M$100000,D$5))</f>
        <v/>
      </c>
      <c r="E62" s="35">
        <f>IF($A62="","",SUMIFS(전표_원본!$P$5:$P$100000,전표_원본!$O$5:$O$100000,$A62,전표_원본!$M$5:$M$100000,E$5))</f>
        <v/>
      </c>
      <c r="F62" s="35">
        <f>IF($A62="","",SUMIFS(전표_원본!$P$5:$P$100000,전표_원본!$O$5:$O$100000,$A62,전표_원본!$M$5:$M$100000,F$5))</f>
        <v/>
      </c>
      <c r="G62" s="35">
        <f>IF($A62="","",SUMIFS(전표_원본!$P$5:$P$100000,전표_원본!$O$5:$O$100000,$A62,전표_원본!$M$5:$M$100000,G$5))</f>
        <v/>
      </c>
      <c r="H62" s="35">
        <f>IF($A62="","",SUMIFS(전표_원본!$P$5:$P$100000,전표_원본!$O$5:$O$100000,$A62,전표_원본!$M$5:$M$100000,H$5))</f>
        <v/>
      </c>
      <c r="I62" s="35">
        <f>IF($A62="","",SUMIFS(전표_원본!$P$5:$P$100000,전표_원본!$O$5:$O$100000,$A62,전표_원본!$M$5:$M$100000,I$5))</f>
        <v/>
      </c>
      <c r="J62" s="35">
        <f>IF($A62="","",SUMIFS(전표_원본!$P$5:$P$100000,전표_원본!$O$5:$O$100000,$A62,전표_원본!$M$5:$M$100000,J$5))</f>
        <v/>
      </c>
      <c r="K62" s="35">
        <f>IF($A62="","",SUMIFS(전표_원본!$P$5:$P$100000,전표_원본!$O$5:$O$100000,$A62,전표_원본!$M$5:$M$100000,K$5))</f>
        <v/>
      </c>
      <c r="L62" s="35">
        <f>IF($A62="","",SUMIFS(전표_원본!$P$5:$P$100000,전표_원본!$O$5:$O$100000,$A62,전표_원본!$M$5:$M$100000,L$5))</f>
        <v/>
      </c>
      <c r="M62" s="35">
        <f>IF($A62="","",SUMIFS(전표_원본!$P$5:$P$100000,전표_원본!$O$5:$O$100000,$A62,전표_원본!$M$5:$M$100000,M$5))</f>
        <v/>
      </c>
      <c r="N62" s="35">
        <f>IF($A62="","",SUMIFS(전표_원본!$P$5:$P$100000,전표_원본!$O$5:$O$100000,$A62,전표_원본!$M$5:$M$100000,N$5))</f>
        <v/>
      </c>
      <c r="O62" s="35">
        <f>IF($A62="","",SUMIFS(전표_원본!$P$5:$P$100000,전표_원본!$O$5:$O$100000,$A62,전표_원본!$M$5:$M$100000,O$5))</f>
        <v/>
      </c>
      <c r="P62" s="35">
        <f>IF($A62="","",SUMIFS(전표_원본!$P$5:$P$100000,전표_원본!$O$5:$O$100000,$A62,전표_원본!$M$5:$M$100000,P$5))</f>
        <v/>
      </c>
      <c r="Q62" s="35">
        <f>IF($A62="","",SUMIFS(전표_원본!$P$5:$P$100000,전표_원본!$O$5:$O$100000,$A62,전표_원본!$M$5:$M$100000,Q$5))</f>
        <v/>
      </c>
      <c r="R62" s="35">
        <f>IF($A62="","",SUMIFS(전표_원본!$P$5:$P$100000,전표_원본!$O$5:$O$100000,$A62,전표_원본!$M$5:$M$100000,R$5))</f>
        <v/>
      </c>
      <c r="S62" s="35">
        <f>IF($A62="","",SUMIFS(전표_원본!$P$5:$P$100000,전표_원본!$O$5:$O$100000,$A62,전표_원본!$M$5:$M$100000,S$5))</f>
        <v/>
      </c>
      <c r="T62" s="35">
        <f>IF($A62="","",SUMIFS(전표_원본!$P$5:$P$100000,전표_원본!$O$5:$O$100000,$A62,전표_원본!$M$5:$M$100000,T$5))</f>
        <v/>
      </c>
      <c r="U62" s="35">
        <f>IF($A62="","",SUMIFS(전표_원본!$P$5:$P$100000,전표_원본!$O$5:$O$100000,$A62,전표_원본!$M$5:$M$100000,U$5))</f>
        <v/>
      </c>
      <c r="V62" s="35">
        <f>IF($A62="","",SUMIFS(전표_원본!$P$5:$P$100000,전표_원본!$O$5:$O$100000,$A62,전표_원본!$M$5:$M$100000,V$5))</f>
        <v/>
      </c>
      <c r="W62" s="35">
        <f>IF($A62="","",SUMIFS(전표_원본!$P$5:$P$100000,전표_원본!$O$5:$O$100000,$A62,전표_원본!$M$5:$M$100000,W$5))</f>
        <v/>
      </c>
      <c r="X62" s="35">
        <f>IF($A62="","",SUMIFS(전표_원본!$P$5:$P$100000,전표_원본!$O$5:$O$100000,$A62,전표_원본!$M$5:$M$100000,X$5))</f>
        <v/>
      </c>
      <c r="Y62" s="35">
        <f>IF($A62="","",SUMIFS(전표_원본!$P$5:$P$100000,전표_원본!$O$5:$O$100000,$A62,전표_원본!$M$5:$M$100000,Y$5))</f>
        <v/>
      </c>
      <c r="Z62" s="35">
        <f>IF($A62="","",SUMIFS(전표_원본!$P$5:$P$100000,전표_원본!$O$5:$O$100000,$A62,전표_원본!$M$5:$M$100000,Z$5))</f>
        <v/>
      </c>
      <c r="AB62" s="40">
        <f>IF(OR($A62="",1&gt;설정!$C$7),0,SUMIFS($C62:$Z62,$C$5:$Z$5,"&gt;="&amp;(설정!$C$6*12+1),$C$5:$Z$5,"&lt;="&amp;(설정!$C$6*12+1)))</f>
        <v/>
      </c>
      <c r="AC62" s="40">
        <f>IF(OR($A62="",2&gt;설정!$C$7),0,SUMIFS($C62:$Z62,$C$5:$Z$5,"&gt;="&amp;(설정!$C$6*12+1),$C$5:$Z$5,"&lt;="&amp;(설정!$C$6*12+2)))</f>
        <v/>
      </c>
      <c r="AD62" s="40">
        <f>IF(OR($A62="",3&gt;설정!$C$7),0,SUMIFS($C62:$Z62,$C$5:$Z$5,"&gt;="&amp;(설정!$C$6*12+1),$C$5:$Z$5,"&lt;="&amp;(설정!$C$6*12+3)))</f>
        <v/>
      </c>
      <c r="AE62" s="40">
        <f>IF(OR($A62="",4&gt;설정!$C$7),0,SUMIFS($C62:$Z62,$C$5:$Z$5,"&gt;="&amp;(설정!$C$6*12+1),$C$5:$Z$5,"&lt;="&amp;(설정!$C$6*12+4)))</f>
        <v/>
      </c>
      <c r="AF62" s="40">
        <f>IF(OR($A62="",5&gt;설정!$C$7),0,SUMIFS($C62:$Z62,$C$5:$Z$5,"&gt;="&amp;(설정!$C$6*12+1),$C$5:$Z$5,"&lt;="&amp;(설정!$C$6*12+5)))</f>
        <v/>
      </c>
      <c r="AG62" s="40">
        <f>IF(OR($A62="",6&gt;설정!$C$7),0,SUMIFS($C62:$Z62,$C$5:$Z$5,"&gt;="&amp;(설정!$C$6*12+1),$C$5:$Z$5,"&lt;="&amp;(설정!$C$6*12+6)))</f>
        <v/>
      </c>
      <c r="AH62" s="40">
        <f>IF(OR($A62="",7&gt;설정!$C$7),0,SUMIFS($C62:$Z62,$C$5:$Z$5,"&gt;="&amp;(설정!$C$6*12+1),$C$5:$Z$5,"&lt;="&amp;(설정!$C$6*12+7)))</f>
        <v/>
      </c>
      <c r="AI62" s="40">
        <f>IF(OR($A62="",8&gt;설정!$C$7),0,SUMIFS($C62:$Z62,$C$5:$Z$5,"&gt;="&amp;(설정!$C$6*12+1),$C$5:$Z$5,"&lt;="&amp;(설정!$C$6*12+8)))</f>
        <v/>
      </c>
      <c r="AJ62" s="40">
        <f>IF(OR($A62="",9&gt;설정!$C$7),0,SUMIFS($C62:$Z62,$C$5:$Z$5,"&gt;="&amp;(설정!$C$6*12+1),$C$5:$Z$5,"&lt;="&amp;(설정!$C$6*12+9)))</f>
        <v/>
      </c>
      <c r="AK62" s="40">
        <f>IF(OR($A62="",10&gt;설정!$C$7),0,SUMIFS($C62:$Z62,$C$5:$Z$5,"&gt;="&amp;(설정!$C$6*12+1),$C$5:$Z$5,"&lt;="&amp;(설정!$C$6*12+10)))</f>
        <v/>
      </c>
      <c r="AL62" s="40">
        <f>IF(OR($A62="",11&gt;설정!$C$7),0,SUMIFS($C62:$Z62,$C$5:$Z$5,"&gt;="&amp;(설정!$C$6*12+1),$C$5:$Z$5,"&lt;="&amp;(설정!$C$6*12+11)))</f>
        <v/>
      </c>
      <c r="AM62" s="40">
        <f>IF(OR($A62="",12&gt;설정!$C$7),0,SUMIFS($C62:$Z62,$C$5:$Z$5,"&gt;="&amp;(설정!$C$6*12+1),$C$5:$Z$5,"&lt;="&amp;(설정!$C$6*12+12)))</f>
        <v/>
      </c>
    </row>
    <row r="63">
      <c r="A63" s="26">
        <f>IF(변동분석!$A63="","",변동분석!$E63)</f>
        <v/>
      </c>
      <c r="B63" s="26">
        <f>IF($A63="","",변동분석!$B63&amp;" "&amp;변동분석!$D63)</f>
        <v/>
      </c>
      <c r="C63" s="35">
        <f>IF($A63="","",SUMIFS(전표_원본!$P$5:$P$100000,전표_원본!$O$5:$O$100000,$A63,전표_원본!$M$5:$M$100000,C$5))</f>
        <v/>
      </c>
      <c r="D63" s="35">
        <f>IF($A63="","",SUMIFS(전표_원본!$P$5:$P$100000,전표_원본!$O$5:$O$100000,$A63,전표_원본!$M$5:$M$100000,D$5))</f>
        <v/>
      </c>
      <c r="E63" s="35">
        <f>IF($A63="","",SUMIFS(전표_원본!$P$5:$P$100000,전표_원본!$O$5:$O$100000,$A63,전표_원본!$M$5:$M$100000,E$5))</f>
        <v/>
      </c>
      <c r="F63" s="35">
        <f>IF($A63="","",SUMIFS(전표_원본!$P$5:$P$100000,전표_원본!$O$5:$O$100000,$A63,전표_원본!$M$5:$M$100000,F$5))</f>
        <v/>
      </c>
      <c r="G63" s="35">
        <f>IF($A63="","",SUMIFS(전표_원본!$P$5:$P$100000,전표_원본!$O$5:$O$100000,$A63,전표_원본!$M$5:$M$100000,G$5))</f>
        <v/>
      </c>
      <c r="H63" s="35">
        <f>IF($A63="","",SUMIFS(전표_원본!$P$5:$P$100000,전표_원본!$O$5:$O$100000,$A63,전표_원본!$M$5:$M$100000,H$5))</f>
        <v/>
      </c>
      <c r="I63" s="35">
        <f>IF($A63="","",SUMIFS(전표_원본!$P$5:$P$100000,전표_원본!$O$5:$O$100000,$A63,전표_원본!$M$5:$M$100000,I$5))</f>
        <v/>
      </c>
      <c r="J63" s="35">
        <f>IF($A63="","",SUMIFS(전표_원본!$P$5:$P$100000,전표_원본!$O$5:$O$100000,$A63,전표_원본!$M$5:$M$100000,J$5))</f>
        <v/>
      </c>
      <c r="K63" s="35">
        <f>IF($A63="","",SUMIFS(전표_원본!$P$5:$P$100000,전표_원본!$O$5:$O$100000,$A63,전표_원본!$M$5:$M$100000,K$5))</f>
        <v/>
      </c>
      <c r="L63" s="35">
        <f>IF($A63="","",SUMIFS(전표_원본!$P$5:$P$100000,전표_원본!$O$5:$O$100000,$A63,전표_원본!$M$5:$M$100000,L$5))</f>
        <v/>
      </c>
      <c r="M63" s="35">
        <f>IF($A63="","",SUMIFS(전표_원본!$P$5:$P$100000,전표_원본!$O$5:$O$100000,$A63,전표_원본!$M$5:$M$100000,M$5))</f>
        <v/>
      </c>
      <c r="N63" s="35">
        <f>IF($A63="","",SUMIFS(전표_원본!$P$5:$P$100000,전표_원본!$O$5:$O$100000,$A63,전표_원본!$M$5:$M$100000,N$5))</f>
        <v/>
      </c>
      <c r="O63" s="35">
        <f>IF($A63="","",SUMIFS(전표_원본!$P$5:$P$100000,전표_원본!$O$5:$O$100000,$A63,전표_원본!$M$5:$M$100000,O$5))</f>
        <v/>
      </c>
      <c r="P63" s="35">
        <f>IF($A63="","",SUMIFS(전표_원본!$P$5:$P$100000,전표_원본!$O$5:$O$100000,$A63,전표_원본!$M$5:$M$100000,P$5))</f>
        <v/>
      </c>
      <c r="Q63" s="35">
        <f>IF($A63="","",SUMIFS(전표_원본!$P$5:$P$100000,전표_원본!$O$5:$O$100000,$A63,전표_원본!$M$5:$M$100000,Q$5))</f>
        <v/>
      </c>
      <c r="R63" s="35">
        <f>IF($A63="","",SUMIFS(전표_원본!$P$5:$P$100000,전표_원본!$O$5:$O$100000,$A63,전표_원본!$M$5:$M$100000,R$5))</f>
        <v/>
      </c>
      <c r="S63" s="35">
        <f>IF($A63="","",SUMIFS(전표_원본!$P$5:$P$100000,전표_원본!$O$5:$O$100000,$A63,전표_원본!$M$5:$M$100000,S$5))</f>
        <v/>
      </c>
      <c r="T63" s="35">
        <f>IF($A63="","",SUMIFS(전표_원본!$P$5:$P$100000,전표_원본!$O$5:$O$100000,$A63,전표_원본!$M$5:$M$100000,T$5))</f>
        <v/>
      </c>
      <c r="U63" s="35">
        <f>IF($A63="","",SUMIFS(전표_원본!$P$5:$P$100000,전표_원본!$O$5:$O$100000,$A63,전표_원본!$M$5:$M$100000,U$5))</f>
        <v/>
      </c>
      <c r="V63" s="35">
        <f>IF($A63="","",SUMIFS(전표_원본!$P$5:$P$100000,전표_원본!$O$5:$O$100000,$A63,전표_원본!$M$5:$M$100000,V$5))</f>
        <v/>
      </c>
      <c r="W63" s="35">
        <f>IF($A63="","",SUMIFS(전표_원본!$P$5:$P$100000,전표_원본!$O$5:$O$100000,$A63,전표_원본!$M$5:$M$100000,W$5))</f>
        <v/>
      </c>
      <c r="X63" s="35">
        <f>IF($A63="","",SUMIFS(전표_원본!$P$5:$P$100000,전표_원본!$O$5:$O$100000,$A63,전표_원본!$M$5:$M$100000,X$5))</f>
        <v/>
      </c>
      <c r="Y63" s="35">
        <f>IF($A63="","",SUMIFS(전표_원본!$P$5:$P$100000,전표_원본!$O$5:$O$100000,$A63,전표_원본!$M$5:$M$100000,Y$5))</f>
        <v/>
      </c>
      <c r="Z63" s="35">
        <f>IF($A63="","",SUMIFS(전표_원본!$P$5:$P$100000,전표_원본!$O$5:$O$100000,$A63,전표_원본!$M$5:$M$100000,Z$5))</f>
        <v/>
      </c>
      <c r="AB63" s="40">
        <f>IF(OR($A63="",1&gt;설정!$C$7),0,SUMIFS($C63:$Z63,$C$5:$Z$5,"&gt;="&amp;(설정!$C$6*12+1),$C$5:$Z$5,"&lt;="&amp;(설정!$C$6*12+1)))</f>
        <v/>
      </c>
      <c r="AC63" s="40">
        <f>IF(OR($A63="",2&gt;설정!$C$7),0,SUMIFS($C63:$Z63,$C$5:$Z$5,"&gt;="&amp;(설정!$C$6*12+1),$C$5:$Z$5,"&lt;="&amp;(설정!$C$6*12+2)))</f>
        <v/>
      </c>
      <c r="AD63" s="40">
        <f>IF(OR($A63="",3&gt;설정!$C$7),0,SUMIFS($C63:$Z63,$C$5:$Z$5,"&gt;="&amp;(설정!$C$6*12+1),$C$5:$Z$5,"&lt;="&amp;(설정!$C$6*12+3)))</f>
        <v/>
      </c>
      <c r="AE63" s="40">
        <f>IF(OR($A63="",4&gt;설정!$C$7),0,SUMIFS($C63:$Z63,$C$5:$Z$5,"&gt;="&amp;(설정!$C$6*12+1),$C$5:$Z$5,"&lt;="&amp;(설정!$C$6*12+4)))</f>
        <v/>
      </c>
      <c r="AF63" s="40">
        <f>IF(OR($A63="",5&gt;설정!$C$7),0,SUMIFS($C63:$Z63,$C$5:$Z$5,"&gt;="&amp;(설정!$C$6*12+1),$C$5:$Z$5,"&lt;="&amp;(설정!$C$6*12+5)))</f>
        <v/>
      </c>
      <c r="AG63" s="40">
        <f>IF(OR($A63="",6&gt;설정!$C$7),0,SUMIFS($C63:$Z63,$C$5:$Z$5,"&gt;="&amp;(설정!$C$6*12+1),$C$5:$Z$5,"&lt;="&amp;(설정!$C$6*12+6)))</f>
        <v/>
      </c>
      <c r="AH63" s="40">
        <f>IF(OR($A63="",7&gt;설정!$C$7),0,SUMIFS($C63:$Z63,$C$5:$Z$5,"&gt;="&amp;(설정!$C$6*12+1),$C$5:$Z$5,"&lt;="&amp;(설정!$C$6*12+7)))</f>
        <v/>
      </c>
      <c r="AI63" s="40">
        <f>IF(OR($A63="",8&gt;설정!$C$7),0,SUMIFS($C63:$Z63,$C$5:$Z$5,"&gt;="&amp;(설정!$C$6*12+1),$C$5:$Z$5,"&lt;="&amp;(설정!$C$6*12+8)))</f>
        <v/>
      </c>
      <c r="AJ63" s="40">
        <f>IF(OR($A63="",9&gt;설정!$C$7),0,SUMIFS($C63:$Z63,$C$5:$Z$5,"&gt;="&amp;(설정!$C$6*12+1),$C$5:$Z$5,"&lt;="&amp;(설정!$C$6*12+9)))</f>
        <v/>
      </c>
      <c r="AK63" s="40">
        <f>IF(OR($A63="",10&gt;설정!$C$7),0,SUMIFS($C63:$Z63,$C$5:$Z$5,"&gt;="&amp;(설정!$C$6*12+1),$C$5:$Z$5,"&lt;="&amp;(설정!$C$6*12+10)))</f>
        <v/>
      </c>
      <c r="AL63" s="40">
        <f>IF(OR($A63="",11&gt;설정!$C$7),0,SUMIFS($C63:$Z63,$C$5:$Z$5,"&gt;="&amp;(설정!$C$6*12+1),$C$5:$Z$5,"&lt;="&amp;(설정!$C$6*12+11)))</f>
        <v/>
      </c>
      <c r="AM63" s="40">
        <f>IF(OR($A63="",12&gt;설정!$C$7),0,SUMIFS($C63:$Z63,$C$5:$Z$5,"&gt;="&amp;(설정!$C$6*12+1),$C$5:$Z$5,"&lt;="&amp;(설정!$C$6*12+12)))</f>
        <v/>
      </c>
    </row>
    <row r="64">
      <c r="A64" s="26">
        <f>IF(변동분석!$A64="","",변동분석!$E64)</f>
        <v/>
      </c>
      <c r="B64" s="26">
        <f>IF($A64="","",변동분석!$B64&amp;" "&amp;변동분석!$D64)</f>
        <v/>
      </c>
      <c r="C64" s="35">
        <f>IF($A64="","",SUMIFS(전표_원본!$P$5:$P$100000,전표_원본!$O$5:$O$100000,$A64,전표_원본!$M$5:$M$100000,C$5))</f>
        <v/>
      </c>
      <c r="D64" s="35">
        <f>IF($A64="","",SUMIFS(전표_원본!$P$5:$P$100000,전표_원본!$O$5:$O$100000,$A64,전표_원본!$M$5:$M$100000,D$5))</f>
        <v/>
      </c>
      <c r="E64" s="35">
        <f>IF($A64="","",SUMIFS(전표_원본!$P$5:$P$100000,전표_원본!$O$5:$O$100000,$A64,전표_원본!$M$5:$M$100000,E$5))</f>
        <v/>
      </c>
      <c r="F64" s="35">
        <f>IF($A64="","",SUMIFS(전표_원본!$P$5:$P$100000,전표_원본!$O$5:$O$100000,$A64,전표_원본!$M$5:$M$100000,F$5))</f>
        <v/>
      </c>
      <c r="G64" s="35">
        <f>IF($A64="","",SUMIFS(전표_원본!$P$5:$P$100000,전표_원본!$O$5:$O$100000,$A64,전표_원본!$M$5:$M$100000,G$5))</f>
        <v/>
      </c>
      <c r="H64" s="35">
        <f>IF($A64="","",SUMIFS(전표_원본!$P$5:$P$100000,전표_원본!$O$5:$O$100000,$A64,전표_원본!$M$5:$M$100000,H$5))</f>
        <v/>
      </c>
      <c r="I64" s="35">
        <f>IF($A64="","",SUMIFS(전표_원본!$P$5:$P$100000,전표_원본!$O$5:$O$100000,$A64,전표_원본!$M$5:$M$100000,I$5))</f>
        <v/>
      </c>
      <c r="J64" s="35">
        <f>IF($A64="","",SUMIFS(전표_원본!$P$5:$P$100000,전표_원본!$O$5:$O$100000,$A64,전표_원본!$M$5:$M$100000,J$5))</f>
        <v/>
      </c>
      <c r="K64" s="35">
        <f>IF($A64="","",SUMIFS(전표_원본!$P$5:$P$100000,전표_원본!$O$5:$O$100000,$A64,전표_원본!$M$5:$M$100000,K$5))</f>
        <v/>
      </c>
      <c r="L64" s="35">
        <f>IF($A64="","",SUMIFS(전표_원본!$P$5:$P$100000,전표_원본!$O$5:$O$100000,$A64,전표_원본!$M$5:$M$100000,L$5))</f>
        <v/>
      </c>
      <c r="M64" s="35">
        <f>IF($A64="","",SUMIFS(전표_원본!$P$5:$P$100000,전표_원본!$O$5:$O$100000,$A64,전표_원본!$M$5:$M$100000,M$5))</f>
        <v/>
      </c>
      <c r="N64" s="35">
        <f>IF($A64="","",SUMIFS(전표_원본!$P$5:$P$100000,전표_원본!$O$5:$O$100000,$A64,전표_원본!$M$5:$M$100000,N$5))</f>
        <v/>
      </c>
      <c r="O64" s="35">
        <f>IF($A64="","",SUMIFS(전표_원본!$P$5:$P$100000,전표_원본!$O$5:$O$100000,$A64,전표_원본!$M$5:$M$100000,O$5))</f>
        <v/>
      </c>
      <c r="P64" s="35">
        <f>IF($A64="","",SUMIFS(전표_원본!$P$5:$P$100000,전표_원본!$O$5:$O$100000,$A64,전표_원본!$M$5:$M$100000,P$5))</f>
        <v/>
      </c>
      <c r="Q64" s="35">
        <f>IF($A64="","",SUMIFS(전표_원본!$P$5:$P$100000,전표_원본!$O$5:$O$100000,$A64,전표_원본!$M$5:$M$100000,Q$5))</f>
        <v/>
      </c>
      <c r="R64" s="35">
        <f>IF($A64="","",SUMIFS(전표_원본!$P$5:$P$100000,전표_원본!$O$5:$O$100000,$A64,전표_원본!$M$5:$M$100000,R$5))</f>
        <v/>
      </c>
      <c r="S64" s="35">
        <f>IF($A64="","",SUMIFS(전표_원본!$P$5:$P$100000,전표_원본!$O$5:$O$100000,$A64,전표_원본!$M$5:$M$100000,S$5))</f>
        <v/>
      </c>
      <c r="T64" s="35">
        <f>IF($A64="","",SUMIFS(전표_원본!$P$5:$P$100000,전표_원본!$O$5:$O$100000,$A64,전표_원본!$M$5:$M$100000,T$5))</f>
        <v/>
      </c>
      <c r="U64" s="35">
        <f>IF($A64="","",SUMIFS(전표_원본!$P$5:$P$100000,전표_원본!$O$5:$O$100000,$A64,전표_원본!$M$5:$M$100000,U$5))</f>
        <v/>
      </c>
      <c r="V64" s="35">
        <f>IF($A64="","",SUMIFS(전표_원본!$P$5:$P$100000,전표_원본!$O$5:$O$100000,$A64,전표_원본!$M$5:$M$100000,V$5))</f>
        <v/>
      </c>
      <c r="W64" s="35">
        <f>IF($A64="","",SUMIFS(전표_원본!$P$5:$P$100000,전표_원본!$O$5:$O$100000,$A64,전표_원본!$M$5:$M$100000,W$5))</f>
        <v/>
      </c>
      <c r="X64" s="35">
        <f>IF($A64="","",SUMIFS(전표_원본!$P$5:$P$100000,전표_원본!$O$5:$O$100000,$A64,전표_원본!$M$5:$M$100000,X$5))</f>
        <v/>
      </c>
      <c r="Y64" s="35">
        <f>IF($A64="","",SUMIFS(전표_원본!$P$5:$P$100000,전표_원본!$O$5:$O$100000,$A64,전표_원본!$M$5:$M$100000,Y$5))</f>
        <v/>
      </c>
      <c r="Z64" s="35">
        <f>IF($A64="","",SUMIFS(전표_원본!$P$5:$P$100000,전표_원본!$O$5:$O$100000,$A64,전표_원본!$M$5:$M$100000,Z$5))</f>
        <v/>
      </c>
      <c r="AB64" s="40">
        <f>IF(OR($A64="",1&gt;설정!$C$7),0,SUMIFS($C64:$Z64,$C$5:$Z$5,"&gt;="&amp;(설정!$C$6*12+1),$C$5:$Z$5,"&lt;="&amp;(설정!$C$6*12+1)))</f>
        <v/>
      </c>
      <c r="AC64" s="40">
        <f>IF(OR($A64="",2&gt;설정!$C$7),0,SUMIFS($C64:$Z64,$C$5:$Z$5,"&gt;="&amp;(설정!$C$6*12+1),$C$5:$Z$5,"&lt;="&amp;(설정!$C$6*12+2)))</f>
        <v/>
      </c>
      <c r="AD64" s="40">
        <f>IF(OR($A64="",3&gt;설정!$C$7),0,SUMIFS($C64:$Z64,$C$5:$Z$5,"&gt;="&amp;(설정!$C$6*12+1),$C$5:$Z$5,"&lt;="&amp;(설정!$C$6*12+3)))</f>
        <v/>
      </c>
      <c r="AE64" s="40">
        <f>IF(OR($A64="",4&gt;설정!$C$7),0,SUMIFS($C64:$Z64,$C$5:$Z$5,"&gt;="&amp;(설정!$C$6*12+1),$C$5:$Z$5,"&lt;="&amp;(설정!$C$6*12+4)))</f>
        <v/>
      </c>
      <c r="AF64" s="40">
        <f>IF(OR($A64="",5&gt;설정!$C$7),0,SUMIFS($C64:$Z64,$C$5:$Z$5,"&gt;="&amp;(설정!$C$6*12+1),$C$5:$Z$5,"&lt;="&amp;(설정!$C$6*12+5)))</f>
        <v/>
      </c>
      <c r="AG64" s="40">
        <f>IF(OR($A64="",6&gt;설정!$C$7),0,SUMIFS($C64:$Z64,$C$5:$Z$5,"&gt;="&amp;(설정!$C$6*12+1),$C$5:$Z$5,"&lt;="&amp;(설정!$C$6*12+6)))</f>
        <v/>
      </c>
      <c r="AH64" s="40">
        <f>IF(OR($A64="",7&gt;설정!$C$7),0,SUMIFS($C64:$Z64,$C$5:$Z$5,"&gt;="&amp;(설정!$C$6*12+1),$C$5:$Z$5,"&lt;="&amp;(설정!$C$6*12+7)))</f>
        <v/>
      </c>
      <c r="AI64" s="40">
        <f>IF(OR($A64="",8&gt;설정!$C$7),0,SUMIFS($C64:$Z64,$C$5:$Z$5,"&gt;="&amp;(설정!$C$6*12+1),$C$5:$Z$5,"&lt;="&amp;(설정!$C$6*12+8)))</f>
        <v/>
      </c>
      <c r="AJ64" s="40">
        <f>IF(OR($A64="",9&gt;설정!$C$7),0,SUMIFS($C64:$Z64,$C$5:$Z$5,"&gt;="&amp;(설정!$C$6*12+1),$C$5:$Z$5,"&lt;="&amp;(설정!$C$6*12+9)))</f>
        <v/>
      </c>
      <c r="AK64" s="40">
        <f>IF(OR($A64="",10&gt;설정!$C$7),0,SUMIFS($C64:$Z64,$C$5:$Z$5,"&gt;="&amp;(설정!$C$6*12+1),$C$5:$Z$5,"&lt;="&amp;(설정!$C$6*12+10)))</f>
        <v/>
      </c>
      <c r="AL64" s="40">
        <f>IF(OR($A64="",11&gt;설정!$C$7),0,SUMIFS($C64:$Z64,$C$5:$Z$5,"&gt;="&amp;(설정!$C$6*12+1),$C$5:$Z$5,"&lt;="&amp;(설정!$C$6*12+11)))</f>
        <v/>
      </c>
      <c r="AM64" s="40">
        <f>IF(OR($A64="",12&gt;설정!$C$7),0,SUMIFS($C64:$Z64,$C$5:$Z$5,"&gt;="&amp;(설정!$C$6*12+1),$C$5:$Z$5,"&lt;="&amp;(설정!$C$6*12+12)))</f>
        <v/>
      </c>
    </row>
    <row r="65">
      <c r="A65" s="26">
        <f>IF(변동분석!$A65="","",변동분석!$E65)</f>
        <v/>
      </c>
      <c r="B65" s="26">
        <f>IF($A65="","",변동분석!$B65&amp;" "&amp;변동분석!$D65)</f>
        <v/>
      </c>
      <c r="C65" s="35">
        <f>IF($A65="","",SUMIFS(전표_원본!$P$5:$P$100000,전표_원본!$O$5:$O$100000,$A65,전표_원본!$M$5:$M$100000,C$5))</f>
        <v/>
      </c>
      <c r="D65" s="35">
        <f>IF($A65="","",SUMIFS(전표_원본!$P$5:$P$100000,전표_원본!$O$5:$O$100000,$A65,전표_원본!$M$5:$M$100000,D$5))</f>
        <v/>
      </c>
      <c r="E65" s="35">
        <f>IF($A65="","",SUMIFS(전표_원본!$P$5:$P$100000,전표_원본!$O$5:$O$100000,$A65,전표_원본!$M$5:$M$100000,E$5))</f>
        <v/>
      </c>
      <c r="F65" s="35">
        <f>IF($A65="","",SUMIFS(전표_원본!$P$5:$P$100000,전표_원본!$O$5:$O$100000,$A65,전표_원본!$M$5:$M$100000,F$5))</f>
        <v/>
      </c>
      <c r="G65" s="35">
        <f>IF($A65="","",SUMIFS(전표_원본!$P$5:$P$100000,전표_원본!$O$5:$O$100000,$A65,전표_원본!$M$5:$M$100000,G$5))</f>
        <v/>
      </c>
      <c r="H65" s="35">
        <f>IF($A65="","",SUMIFS(전표_원본!$P$5:$P$100000,전표_원본!$O$5:$O$100000,$A65,전표_원본!$M$5:$M$100000,H$5))</f>
        <v/>
      </c>
      <c r="I65" s="35">
        <f>IF($A65="","",SUMIFS(전표_원본!$P$5:$P$100000,전표_원본!$O$5:$O$100000,$A65,전표_원본!$M$5:$M$100000,I$5))</f>
        <v/>
      </c>
      <c r="J65" s="35">
        <f>IF($A65="","",SUMIFS(전표_원본!$P$5:$P$100000,전표_원본!$O$5:$O$100000,$A65,전표_원본!$M$5:$M$100000,J$5))</f>
        <v/>
      </c>
      <c r="K65" s="35">
        <f>IF($A65="","",SUMIFS(전표_원본!$P$5:$P$100000,전표_원본!$O$5:$O$100000,$A65,전표_원본!$M$5:$M$100000,K$5))</f>
        <v/>
      </c>
      <c r="L65" s="35">
        <f>IF($A65="","",SUMIFS(전표_원본!$P$5:$P$100000,전표_원본!$O$5:$O$100000,$A65,전표_원본!$M$5:$M$100000,L$5))</f>
        <v/>
      </c>
      <c r="M65" s="35">
        <f>IF($A65="","",SUMIFS(전표_원본!$P$5:$P$100000,전표_원본!$O$5:$O$100000,$A65,전표_원본!$M$5:$M$100000,M$5))</f>
        <v/>
      </c>
      <c r="N65" s="35">
        <f>IF($A65="","",SUMIFS(전표_원본!$P$5:$P$100000,전표_원본!$O$5:$O$100000,$A65,전표_원본!$M$5:$M$100000,N$5))</f>
        <v/>
      </c>
      <c r="O65" s="35">
        <f>IF($A65="","",SUMIFS(전표_원본!$P$5:$P$100000,전표_원본!$O$5:$O$100000,$A65,전표_원본!$M$5:$M$100000,O$5))</f>
        <v/>
      </c>
      <c r="P65" s="35">
        <f>IF($A65="","",SUMIFS(전표_원본!$P$5:$P$100000,전표_원본!$O$5:$O$100000,$A65,전표_원본!$M$5:$M$100000,P$5))</f>
        <v/>
      </c>
      <c r="Q65" s="35">
        <f>IF($A65="","",SUMIFS(전표_원본!$P$5:$P$100000,전표_원본!$O$5:$O$100000,$A65,전표_원본!$M$5:$M$100000,Q$5))</f>
        <v/>
      </c>
      <c r="R65" s="35">
        <f>IF($A65="","",SUMIFS(전표_원본!$P$5:$P$100000,전표_원본!$O$5:$O$100000,$A65,전표_원본!$M$5:$M$100000,R$5))</f>
        <v/>
      </c>
      <c r="S65" s="35">
        <f>IF($A65="","",SUMIFS(전표_원본!$P$5:$P$100000,전표_원본!$O$5:$O$100000,$A65,전표_원본!$M$5:$M$100000,S$5))</f>
        <v/>
      </c>
      <c r="T65" s="35">
        <f>IF($A65="","",SUMIFS(전표_원본!$P$5:$P$100000,전표_원본!$O$5:$O$100000,$A65,전표_원본!$M$5:$M$100000,T$5))</f>
        <v/>
      </c>
      <c r="U65" s="35">
        <f>IF($A65="","",SUMIFS(전표_원본!$P$5:$P$100000,전표_원본!$O$5:$O$100000,$A65,전표_원본!$M$5:$M$100000,U$5))</f>
        <v/>
      </c>
      <c r="V65" s="35">
        <f>IF($A65="","",SUMIFS(전표_원본!$P$5:$P$100000,전표_원본!$O$5:$O$100000,$A65,전표_원본!$M$5:$M$100000,V$5))</f>
        <v/>
      </c>
      <c r="W65" s="35">
        <f>IF($A65="","",SUMIFS(전표_원본!$P$5:$P$100000,전표_원본!$O$5:$O$100000,$A65,전표_원본!$M$5:$M$100000,W$5))</f>
        <v/>
      </c>
      <c r="X65" s="35">
        <f>IF($A65="","",SUMIFS(전표_원본!$P$5:$P$100000,전표_원본!$O$5:$O$100000,$A65,전표_원본!$M$5:$M$100000,X$5))</f>
        <v/>
      </c>
      <c r="Y65" s="35">
        <f>IF($A65="","",SUMIFS(전표_원본!$P$5:$P$100000,전표_원본!$O$5:$O$100000,$A65,전표_원본!$M$5:$M$100000,Y$5))</f>
        <v/>
      </c>
      <c r="Z65" s="35">
        <f>IF($A65="","",SUMIFS(전표_원본!$P$5:$P$100000,전표_원본!$O$5:$O$100000,$A65,전표_원본!$M$5:$M$100000,Z$5))</f>
        <v/>
      </c>
      <c r="AB65" s="40">
        <f>IF(OR($A65="",1&gt;설정!$C$7),0,SUMIFS($C65:$Z65,$C$5:$Z$5,"&gt;="&amp;(설정!$C$6*12+1),$C$5:$Z$5,"&lt;="&amp;(설정!$C$6*12+1)))</f>
        <v/>
      </c>
      <c r="AC65" s="40">
        <f>IF(OR($A65="",2&gt;설정!$C$7),0,SUMIFS($C65:$Z65,$C$5:$Z$5,"&gt;="&amp;(설정!$C$6*12+1),$C$5:$Z$5,"&lt;="&amp;(설정!$C$6*12+2)))</f>
        <v/>
      </c>
      <c r="AD65" s="40">
        <f>IF(OR($A65="",3&gt;설정!$C$7),0,SUMIFS($C65:$Z65,$C$5:$Z$5,"&gt;="&amp;(설정!$C$6*12+1),$C$5:$Z$5,"&lt;="&amp;(설정!$C$6*12+3)))</f>
        <v/>
      </c>
      <c r="AE65" s="40">
        <f>IF(OR($A65="",4&gt;설정!$C$7),0,SUMIFS($C65:$Z65,$C$5:$Z$5,"&gt;="&amp;(설정!$C$6*12+1),$C$5:$Z$5,"&lt;="&amp;(설정!$C$6*12+4)))</f>
        <v/>
      </c>
      <c r="AF65" s="40">
        <f>IF(OR($A65="",5&gt;설정!$C$7),0,SUMIFS($C65:$Z65,$C$5:$Z$5,"&gt;="&amp;(설정!$C$6*12+1),$C$5:$Z$5,"&lt;="&amp;(설정!$C$6*12+5)))</f>
        <v/>
      </c>
      <c r="AG65" s="40">
        <f>IF(OR($A65="",6&gt;설정!$C$7),0,SUMIFS($C65:$Z65,$C$5:$Z$5,"&gt;="&amp;(설정!$C$6*12+1),$C$5:$Z$5,"&lt;="&amp;(설정!$C$6*12+6)))</f>
        <v/>
      </c>
      <c r="AH65" s="40">
        <f>IF(OR($A65="",7&gt;설정!$C$7),0,SUMIFS($C65:$Z65,$C$5:$Z$5,"&gt;="&amp;(설정!$C$6*12+1),$C$5:$Z$5,"&lt;="&amp;(설정!$C$6*12+7)))</f>
        <v/>
      </c>
      <c r="AI65" s="40">
        <f>IF(OR($A65="",8&gt;설정!$C$7),0,SUMIFS($C65:$Z65,$C$5:$Z$5,"&gt;="&amp;(설정!$C$6*12+1),$C$5:$Z$5,"&lt;="&amp;(설정!$C$6*12+8)))</f>
        <v/>
      </c>
      <c r="AJ65" s="40">
        <f>IF(OR($A65="",9&gt;설정!$C$7),0,SUMIFS($C65:$Z65,$C$5:$Z$5,"&gt;="&amp;(설정!$C$6*12+1),$C$5:$Z$5,"&lt;="&amp;(설정!$C$6*12+9)))</f>
        <v/>
      </c>
      <c r="AK65" s="40">
        <f>IF(OR($A65="",10&gt;설정!$C$7),0,SUMIFS($C65:$Z65,$C$5:$Z$5,"&gt;="&amp;(설정!$C$6*12+1),$C$5:$Z$5,"&lt;="&amp;(설정!$C$6*12+10)))</f>
        <v/>
      </c>
      <c r="AL65" s="40">
        <f>IF(OR($A65="",11&gt;설정!$C$7),0,SUMIFS($C65:$Z65,$C$5:$Z$5,"&gt;="&amp;(설정!$C$6*12+1),$C$5:$Z$5,"&lt;="&amp;(설정!$C$6*12+11)))</f>
        <v/>
      </c>
      <c r="AM65" s="40">
        <f>IF(OR($A65="",12&gt;설정!$C$7),0,SUMIFS($C65:$Z65,$C$5:$Z$5,"&gt;="&amp;(설정!$C$6*12+1),$C$5:$Z$5,"&lt;="&amp;(설정!$C$6*12+12)))</f>
        <v/>
      </c>
    </row>
    <row r="66">
      <c r="A66" s="26">
        <f>IF(변동분석!$A66="","",변동분석!$E66)</f>
        <v/>
      </c>
      <c r="B66" s="26">
        <f>IF($A66="","",변동분석!$B66&amp;" "&amp;변동분석!$D66)</f>
        <v/>
      </c>
      <c r="C66" s="35">
        <f>IF($A66="","",SUMIFS(전표_원본!$P$5:$P$100000,전표_원본!$O$5:$O$100000,$A66,전표_원본!$M$5:$M$100000,C$5))</f>
        <v/>
      </c>
      <c r="D66" s="35">
        <f>IF($A66="","",SUMIFS(전표_원본!$P$5:$P$100000,전표_원본!$O$5:$O$100000,$A66,전표_원본!$M$5:$M$100000,D$5))</f>
        <v/>
      </c>
      <c r="E66" s="35">
        <f>IF($A66="","",SUMIFS(전표_원본!$P$5:$P$100000,전표_원본!$O$5:$O$100000,$A66,전표_원본!$M$5:$M$100000,E$5))</f>
        <v/>
      </c>
      <c r="F66" s="35">
        <f>IF($A66="","",SUMIFS(전표_원본!$P$5:$P$100000,전표_원본!$O$5:$O$100000,$A66,전표_원본!$M$5:$M$100000,F$5))</f>
        <v/>
      </c>
      <c r="G66" s="35">
        <f>IF($A66="","",SUMIFS(전표_원본!$P$5:$P$100000,전표_원본!$O$5:$O$100000,$A66,전표_원본!$M$5:$M$100000,G$5))</f>
        <v/>
      </c>
      <c r="H66" s="35">
        <f>IF($A66="","",SUMIFS(전표_원본!$P$5:$P$100000,전표_원본!$O$5:$O$100000,$A66,전표_원본!$M$5:$M$100000,H$5))</f>
        <v/>
      </c>
      <c r="I66" s="35">
        <f>IF($A66="","",SUMIFS(전표_원본!$P$5:$P$100000,전표_원본!$O$5:$O$100000,$A66,전표_원본!$M$5:$M$100000,I$5))</f>
        <v/>
      </c>
      <c r="J66" s="35">
        <f>IF($A66="","",SUMIFS(전표_원본!$P$5:$P$100000,전표_원본!$O$5:$O$100000,$A66,전표_원본!$M$5:$M$100000,J$5))</f>
        <v/>
      </c>
      <c r="K66" s="35">
        <f>IF($A66="","",SUMIFS(전표_원본!$P$5:$P$100000,전표_원본!$O$5:$O$100000,$A66,전표_원본!$M$5:$M$100000,K$5))</f>
        <v/>
      </c>
      <c r="L66" s="35">
        <f>IF($A66="","",SUMIFS(전표_원본!$P$5:$P$100000,전표_원본!$O$5:$O$100000,$A66,전표_원본!$M$5:$M$100000,L$5))</f>
        <v/>
      </c>
      <c r="M66" s="35">
        <f>IF($A66="","",SUMIFS(전표_원본!$P$5:$P$100000,전표_원본!$O$5:$O$100000,$A66,전표_원본!$M$5:$M$100000,M$5))</f>
        <v/>
      </c>
      <c r="N66" s="35">
        <f>IF($A66="","",SUMIFS(전표_원본!$P$5:$P$100000,전표_원본!$O$5:$O$100000,$A66,전표_원본!$M$5:$M$100000,N$5))</f>
        <v/>
      </c>
      <c r="O66" s="35">
        <f>IF($A66="","",SUMIFS(전표_원본!$P$5:$P$100000,전표_원본!$O$5:$O$100000,$A66,전표_원본!$M$5:$M$100000,O$5))</f>
        <v/>
      </c>
      <c r="P66" s="35">
        <f>IF($A66="","",SUMIFS(전표_원본!$P$5:$P$100000,전표_원본!$O$5:$O$100000,$A66,전표_원본!$M$5:$M$100000,P$5))</f>
        <v/>
      </c>
      <c r="Q66" s="35">
        <f>IF($A66="","",SUMIFS(전표_원본!$P$5:$P$100000,전표_원본!$O$5:$O$100000,$A66,전표_원본!$M$5:$M$100000,Q$5))</f>
        <v/>
      </c>
      <c r="R66" s="35">
        <f>IF($A66="","",SUMIFS(전표_원본!$P$5:$P$100000,전표_원본!$O$5:$O$100000,$A66,전표_원본!$M$5:$M$100000,R$5))</f>
        <v/>
      </c>
      <c r="S66" s="35">
        <f>IF($A66="","",SUMIFS(전표_원본!$P$5:$P$100000,전표_원본!$O$5:$O$100000,$A66,전표_원본!$M$5:$M$100000,S$5))</f>
        <v/>
      </c>
      <c r="T66" s="35">
        <f>IF($A66="","",SUMIFS(전표_원본!$P$5:$P$100000,전표_원본!$O$5:$O$100000,$A66,전표_원본!$M$5:$M$100000,T$5))</f>
        <v/>
      </c>
      <c r="U66" s="35">
        <f>IF($A66="","",SUMIFS(전표_원본!$P$5:$P$100000,전표_원본!$O$5:$O$100000,$A66,전표_원본!$M$5:$M$100000,U$5))</f>
        <v/>
      </c>
      <c r="V66" s="35">
        <f>IF($A66="","",SUMIFS(전표_원본!$P$5:$P$100000,전표_원본!$O$5:$O$100000,$A66,전표_원본!$M$5:$M$100000,V$5))</f>
        <v/>
      </c>
      <c r="W66" s="35">
        <f>IF($A66="","",SUMIFS(전표_원본!$P$5:$P$100000,전표_원본!$O$5:$O$100000,$A66,전표_원본!$M$5:$M$100000,W$5))</f>
        <v/>
      </c>
      <c r="X66" s="35">
        <f>IF($A66="","",SUMIFS(전표_원본!$P$5:$P$100000,전표_원본!$O$5:$O$100000,$A66,전표_원본!$M$5:$M$100000,X$5))</f>
        <v/>
      </c>
      <c r="Y66" s="35">
        <f>IF($A66="","",SUMIFS(전표_원본!$P$5:$P$100000,전표_원본!$O$5:$O$100000,$A66,전표_원본!$M$5:$M$100000,Y$5))</f>
        <v/>
      </c>
      <c r="Z66" s="35">
        <f>IF($A66="","",SUMIFS(전표_원본!$P$5:$P$100000,전표_원본!$O$5:$O$100000,$A66,전표_원본!$M$5:$M$100000,Z$5))</f>
        <v/>
      </c>
      <c r="AB66" s="40">
        <f>IF(OR($A66="",1&gt;설정!$C$7),0,SUMIFS($C66:$Z66,$C$5:$Z$5,"&gt;="&amp;(설정!$C$6*12+1),$C$5:$Z$5,"&lt;="&amp;(설정!$C$6*12+1)))</f>
        <v/>
      </c>
      <c r="AC66" s="40">
        <f>IF(OR($A66="",2&gt;설정!$C$7),0,SUMIFS($C66:$Z66,$C$5:$Z$5,"&gt;="&amp;(설정!$C$6*12+1),$C$5:$Z$5,"&lt;="&amp;(설정!$C$6*12+2)))</f>
        <v/>
      </c>
      <c r="AD66" s="40">
        <f>IF(OR($A66="",3&gt;설정!$C$7),0,SUMIFS($C66:$Z66,$C$5:$Z$5,"&gt;="&amp;(설정!$C$6*12+1),$C$5:$Z$5,"&lt;="&amp;(설정!$C$6*12+3)))</f>
        <v/>
      </c>
      <c r="AE66" s="40">
        <f>IF(OR($A66="",4&gt;설정!$C$7),0,SUMIFS($C66:$Z66,$C$5:$Z$5,"&gt;="&amp;(설정!$C$6*12+1),$C$5:$Z$5,"&lt;="&amp;(설정!$C$6*12+4)))</f>
        <v/>
      </c>
      <c r="AF66" s="40">
        <f>IF(OR($A66="",5&gt;설정!$C$7),0,SUMIFS($C66:$Z66,$C$5:$Z$5,"&gt;="&amp;(설정!$C$6*12+1),$C$5:$Z$5,"&lt;="&amp;(설정!$C$6*12+5)))</f>
        <v/>
      </c>
      <c r="AG66" s="40">
        <f>IF(OR($A66="",6&gt;설정!$C$7),0,SUMIFS($C66:$Z66,$C$5:$Z$5,"&gt;="&amp;(설정!$C$6*12+1),$C$5:$Z$5,"&lt;="&amp;(설정!$C$6*12+6)))</f>
        <v/>
      </c>
      <c r="AH66" s="40">
        <f>IF(OR($A66="",7&gt;설정!$C$7),0,SUMIFS($C66:$Z66,$C$5:$Z$5,"&gt;="&amp;(설정!$C$6*12+1),$C$5:$Z$5,"&lt;="&amp;(설정!$C$6*12+7)))</f>
        <v/>
      </c>
      <c r="AI66" s="40">
        <f>IF(OR($A66="",8&gt;설정!$C$7),0,SUMIFS($C66:$Z66,$C$5:$Z$5,"&gt;="&amp;(설정!$C$6*12+1),$C$5:$Z$5,"&lt;="&amp;(설정!$C$6*12+8)))</f>
        <v/>
      </c>
      <c r="AJ66" s="40">
        <f>IF(OR($A66="",9&gt;설정!$C$7),0,SUMIFS($C66:$Z66,$C$5:$Z$5,"&gt;="&amp;(설정!$C$6*12+1),$C$5:$Z$5,"&lt;="&amp;(설정!$C$6*12+9)))</f>
        <v/>
      </c>
      <c r="AK66" s="40">
        <f>IF(OR($A66="",10&gt;설정!$C$7),0,SUMIFS($C66:$Z66,$C$5:$Z$5,"&gt;="&amp;(설정!$C$6*12+1),$C$5:$Z$5,"&lt;="&amp;(설정!$C$6*12+10)))</f>
        <v/>
      </c>
      <c r="AL66" s="40">
        <f>IF(OR($A66="",11&gt;설정!$C$7),0,SUMIFS($C66:$Z66,$C$5:$Z$5,"&gt;="&amp;(설정!$C$6*12+1),$C$5:$Z$5,"&lt;="&amp;(설정!$C$6*12+11)))</f>
        <v/>
      </c>
      <c r="AM66" s="40">
        <f>IF(OR($A66="",12&gt;설정!$C$7),0,SUMIFS($C66:$Z66,$C$5:$Z$5,"&gt;="&amp;(설정!$C$6*12+1),$C$5:$Z$5,"&lt;="&amp;(설정!$C$6*12+12)))</f>
        <v/>
      </c>
    </row>
    <row r="67">
      <c r="A67" s="26">
        <f>IF(변동분석!$A67="","",변동분석!$E67)</f>
        <v/>
      </c>
      <c r="B67" s="26">
        <f>IF($A67="","",변동분석!$B67&amp;" "&amp;변동분석!$D67)</f>
        <v/>
      </c>
      <c r="C67" s="35">
        <f>IF($A67="","",SUMIFS(전표_원본!$P$5:$P$100000,전표_원본!$O$5:$O$100000,$A67,전표_원본!$M$5:$M$100000,C$5))</f>
        <v/>
      </c>
      <c r="D67" s="35">
        <f>IF($A67="","",SUMIFS(전표_원본!$P$5:$P$100000,전표_원본!$O$5:$O$100000,$A67,전표_원본!$M$5:$M$100000,D$5))</f>
        <v/>
      </c>
      <c r="E67" s="35">
        <f>IF($A67="","",SUMIFS(전표_원본!$P$5:$P$100000,전표_원본!$O$5:$O$100000,$A67,전표_원본!$M$5:$M$100000,E$5))</f>
        <v/>
      </c>
      <c r="F67" s="35">
        <f>IF($A67="","",SUMIFS(전표_원본!$P$5:$P$100000,전표_원본!$O$5:$O$100000,$A67,전표_원본!$M$5:$M$100000,F$5))</f>
        <v/>
      </c>
      <c r="G67" s="35">
        <f>IF($A67="","",SUMIFS(전표_원본!$P$5:$P$100000,전표_원본!$O$5:$O$100000,$A67,전표_원본!$M$5:$M$100000,G$5))</f>
        <v/>
      </c>
      <c r="H67" s="35">
        <f>IF($A67="","",SUMIFS(전표_원본!$P$5:$P$100000,전표_원본!$O$5:$O$100000,$A67,전표_원본!$M$5:$M$100000,H$5))</f>
        <v/>
      </c>
      <c r="I67" s="35">
        <f>IF($A67="","",SUMIFS(전표_원본!$P$5:$P$100000,전표_원본!$O$5:$O$100000,$A67,전표_원본!$M$5:$M$100000,I$5))</f>
        <v/>
      </c>
      <c r="J67" s="35">
        <f>IF($A67="","",SUMIFS(전표_원본!$P$5:$P$100000,전표_원본!$O$5:$O$100000,$A67,전표_원본!$M$5:$M$100000,J$5))</f>
        <v/>
      </c>
      <c r="K67" s="35">
        <f>IF($A67="","",SUMIFS(전표_원본!$P$5:$P$100000,전표_원본!$O$5:$O$100000,$A67,전표_원본!$M$5:$M$100000,K$5))</f>
        <v/>
      </c>
      <c r="L67" s="35">
        <f>IF($A67="","",SUMIFS(전표_원본!$P$5:$P$100000,전표_원본!$O$5:$O$100000,$A67,전표_원본!$M$5:$M$100000,L$5))</f>
        <v/>
      </c>
      <c r="M67" s="35">
        <f>IF($A67="","",SUMIFS(전표_원본!$P$5:$P$100000,전표_원본!$O$5:$O$100000,$A67,전표_원본!$M$5:$M$100000,M$5))</f>
        <v/>
      </c>
      <c r="N67" s="35">
        <f>IF($A67="","",SUMIFS(전표_원본!$P$5:$P$100000,전표_원본!$O$5:$O$100000,$A67,전표_원본!$M$5:$M$100000,N$5))</f>
        <v/>
      </c>
      <c r="O67" s="35">
        <f>IF($A67="","",SUMIFS(전표_원본!$P$5:$P$100000,전표_원본!$O$5:$O$100000,$A67,전표_원본!$M$5:$M$100000,O$5))</f>
        <v/>
      </c>
      <c r="P67" s="35">
        <f>IF($A67="","",SUMIFS(전표_원본!$P$5:$P$100000,전표_원본!$O$5:$O$100000,$A67,전표_원본!$M$5:$M$100000,P$5))</f>
        <v/>
      </c>
      <c r="Q67" s="35">
        <f>IF($A67="","",SUMIFS(전표_원본!$P$5:$P$100000,전표_원본!$O$5:$O$100000,$A67,전표_원본!$M$5:$M$100000,Q$5))</f>
        <v/>
      </c>
      <c r="R67" s="35">
        <f>IF($A67="","",SUMIFS(전표_원본!$P$5:$P$100000,전표_원본!$O$5:$O$100000,$A67,전표_원본!$M$5:$M$100000,R$5))</f>
        <v/>
      </c>
      <c r="S67" s="35">
        <f>IF($A67="","",SUMIFS(전표_원본!$P$5:$P$100000,전표_원본!$O$5:$O$100000,$A67,전표_원본!$M$5:$M$100000,S$5))</f>
        <v/>
      </c>
      <c r="T67" s="35">
        <f>IF($A67="","",SUMIFS(전표_원본!$P$5:$P$100000,전표_원본!$O$5:$O$100000,$A67,전표_원본!$M$5:$M$100000,T$5))</f>
        <v/>
      </c>
      <c r="U67" s="35">
        <f>IF($A67="","",SUMIFS(전표_원본!$P$5:$P$100000,전표_원본!$O$5:$O$100000,$A67,전표_원본!$M$5:$M$100000,U$5))</f>
        <v/>
      </c>
      <c r="V67" s="35">
        <f>IF($A67="","",SUMIFS(전표_원본!$P$5:$P$100000,전표_원본!$O$5:$O$100000,$A67,전표_원본!$M$5:$M$100000,V$5))</f>
        <v/>
      </c>
      <c r="W67" s="35">
        <f>IF($A67="","",SUMIFS(전표_원본!$P$5:$P$100000,전표_원본!$O$5:$O$100000,$A67,전표_원본!$M$5:$M$100000,W$5))</f>
        <v/>
      </c>
      <c r="X67" s="35">
        <f>IF($A67="","",SUMIFS(전표_원본!$P$5:$P$100000,전표_원본!$O$5:$O$100000,$A67,전표_원본!$M$5:$M$100000,X$5))</f>
        <v/>
      </c>
      <c r="Y67" s="35">
        <f>IF($A67="","",SUMIFS(전표_원본!$P$5:$P$100000,전표_원본!$O$5:$O$100000,$A67,전표_원본!$M$5:$M$100000,Y$5))</f>
        <v/>
      </c>
      <c r="Z67" s="35">
        <f>IF($A67="","",SUMIFS(전표_원본!$P$5:$P$100000,전표_원본!$O$5:$O$100000,$A67,전표_원본!$M$5:$M$100000,Z$5))</f>
        <v/>
      </c>
      <c r="AB67" s="40">
        <f>IF(OR($A67="",1&gt;설정!$C$7),0,SUMIFS($C67:$Z67,$C$5:$Z$5,"&gt;="&amp;(설정!$C$6*12+1),$C$5:$Z$5,"&lt;="&amp;(설정!$C$6*12+1)))</f>
        <v/>
      </c>
      <c r="AC67" s="40">
        <f>IF(OR($A67="",2&gt;설정!$C$7),0,SUMIFS($C67:$Z67,$C$5:$Z$5,"&gt;="&amp;(설정!$C$6*12+1),$C$5:$Z$5,"&lt;="&amp;(설정!$C$6*12+2)))</f>
        <v/>
      </c>
      <c r="AD67" s="40">
        <f>IF(OR($A67="",3&gt;설정!$C$7),0,SUMIFS($C67:$Z67,$C$5:$Z$5,"&gt;="&amp;(설정!$C$6*12+1),$C$5:$Z$5,"&lt;="&amp;(설정!$C$6*12+3)))</f>
        <v/>
      </c>
      <c r="AE67" s="40">
        <f>IF(OR($A67="",4&gt;설정!$C$7),0,SUMIFS($C67:$Z67,$C$5:$Z$5,"&gt;="&amp;(설정!$C$6*12+1),$C$5:$Z$5,"&lt;="&amp;(설정!$C$6*12+4)))</f>
        <v/>
      </c>
      <c r="AF67" s="40">
        <f>IF(OR($A67="",5&gt;설정!$C$7),0,SUMIFS($C67:$Z67,$C$5:$Z$5,"&gt;="&amp;(설정!$C$6*12+1),$C$5:$Z$5,"&lt;="&amp;(설정!$C$6*12+5)))</f>
        <v/>
      </c>
      <c r="AG67" s="40">
        <f>IF(OR($A67="",6&gt;설정!$C$7),0,SUMIFS($C67:$Z67,$C$5:$Z$5,"&gt;="&amp;(설정!$C$6*12+1),$C$5:$Z$5,"&lt;="&amp;(설정!$C$6*12+6)))</f>
        <v/>
      </c>
      <c r="AH67" s="40">
        <f>IF(OR($A67="",7&gt;설정!$C$7),0,SUMIFS($C67:$Z67,$C$5:$Z$5,"&gt;="&amp;(설정!$C$6*12+1),$C$5:$Z$5,"&lt;="&amp;(설정!$C$6*12+7)))</f>
        <v/>
      </c>
      <c r="AI67" s="40">
        <f>IF(OR($A67="",8&gt;설정!$C$7),0,SUMIFS($C67:$Z67,$C$5:$Z$5,"&gt;="&amp;(설정!$C$6*12+1),$C$5:$Z$5,"&lt;="&amp;(설정!$C$6*12+8)))</f>
        <v/>
      </c>
      <c r="AJ67" s="40">
        <f>IF(OR($A67="",9&gt;설정!$C$7),0,SUMIFS($C67:$Z67,$C$5:$Z$5,"&gt;="&amp;(설정!$C$6*12+1),$C$5:$Z$5,"&lt;="&amp;(설정!$C$6*12+9)))</f>
        <v/>
      </c>
      <c r="AK67" s="40">
        <f>IF(OR($A67="",10&gt;설정!$C$7),0,SUMIFS($C67:$Z67,$C$5:$Z$5,"&gt;="&amp;(설정!$C$6*12+1),$C$5:$Z$5,"&lt;="&amp;(설정!$C$6*12+10)))</f>
        <v/>
      </c>
      <c r="AL67" s="40">
        <f>IF(OR($A67="",11&gt;설정!$C$7),0,SUMIFS($C67:$Z67,$C$5:$Z$5,"&gt;="&amp;(설정!$C$6*12+1),$C$5:$Z$5,"&lt;="&amp;(설정!$C$6*12+11)))</f>
        <v/>
      </c>
      <c r="AM67" s="40">
        <f>IF(OR($A67="",12&gt;설정!$C$7),0,SUMIFS($C67:$Z67,$C$5:$Z$5,"&gt;="&amp;(설정!$C$6*12+1),$C$5:$Z$5,"&lt;="&amp;(설정!$C$6*12+12)))</f>
        <v/>
      </c>
    </row>
    <row r="68">
      <c r="A68" s="26">
        <f>IF(변동분석!$A68="","",변동분석!$E68)</f>
        <v/>
      </c>
      <c r="B68" s="26">
        <f>IF($A68="","",변동분석!$B68&amp;" "&amp;변동분석!$D68)</f>
        <v/>
      </c>
      <c r="C68" s="35">
        <f>IF($A68="","",SUMIFS(전표_원본!$P$5:$P$100000,전표_원본!$O$5:$O$100000,$A68,전표_원본!$M$5:$M$100000,C$5))</f>
        <v/>
      </c>
      <c r="D68" s="35">
        <f>IF($A68="","",SUMIFS(전표_원본!$P$5:$P$100000,전표_원본!$O$5:$O$100000,$A68,전표_원본!$M$5:$M$100000,D$5))</f>
        <v/>
      </c>
      <c r="E68" s="35">
        <f>IF($A68="","",SUMIFS(전표_원본!$P$5:$P$100000,전표_원본!$O$5:$O$100000,$A68,전표_원본!$M$5:$M$100000,E$5))</f>
        <v/>
      </c>
      <c r="F68" s="35">
        <f>IF($A68="","",SUMIFS(전표_원본!$P$5:$P$100000,전표_원본!$O$5:$O$100000,$A68,전표_원본!$M$5:$M$100000,F$5))</f>
        <v/>
      </c>
      <c r="G68" s="35">
        <f>IF($A68="","",SUMIFS(전표_원본!$P$5:$P$100000,전표_원본!$O$5:$O$100000,$A68,전표_원본!$M$5:$M$100000,G$5))</f>
        <v/>
      </c>
      <c r="H68" s="35">
        <f>IF($A68="","",SUMIFS(전표_원본!$P$5:$P$100000,전표_원본!$O$5:$O$100000,$A68,전표_원본!$M$5:$M$100000,H$5))</f>
        <v/>
      </c>
      <c r="I68" s="35">
        <f>IF($A68="","",SUMIFS(전표_원본!$P$5:$P$100000,전표_원본!$O$5:$O$100000,$A68,전표_원본!$M$5:$M$100000,I$5))</f>
        <v/>
      </c>
      <c r="J68" s="35">
        <f>IF($A68="","",SUMIFS(전표_원본!$P$5:$P$100000,전표_원본!$O$5:$O$100000,$A68,전표_원본!$M$5:$M$100000,J$5))</f>
        <v/>
      </c>
      <c r="K68" s="35">
        <f>IF($A68="","",SUMIFS(전표_원본!$P$5:$P$100000,전표_원본!$O$5:$O$100000,$A68,전표_원본!$M$5:$M$100000,K$5))</f>
        <v/>
      </c>
      <c r="L68" s="35">
        <f>IF($A68="","",SUMIFS(전표_원본!$P$5:$P$100000,전표_원본!$O$5:$O$100000,$A68,전표_원본!$M$5:$M$100000,L$5))</f>
        <v/>
      </c>
      <c r="M68" s="35">
        <f>IF($A68="","",SUMIFS(전표_원본!$P$5:$P$100000,전표_원본!$O$5:$O$100000,$A68,전표_원본!$M$5:$M$100000,M$5))</f>
        <v/>
      </c>
      <c r="N68" s="35">
        <f>IF($A68="","",SUMIFS(전표_원본!$P$5:$P$100000,전표_원본!$O$5:$O$100000,$A68,전표_원본!$M$5:$M$100000,N$5))</f>
        <v/>
      </c>
      <c r="O68" s="35">
        <f>IF($A68="","",SUMIFS(전표_원본!$P$5:$P$100000,전표_원본!$O$5:$O$100000,$A68,전표_원본!$M$5:$M$100000,O$5))</f>
        <v/>
      </c>
      <c r="P68" s="35">
        <f>IF($A68="","",SUMIFS(전표_원본!$P$5:$P$100000,전표_원본!$O$5:$O$100000,$A68,전표_원본!$M$5:$M$100000,P$5))</f>
        <v/>
      </c>
      <c r="Q68" s="35">
        <f>IF($A68="","",SUMIFS(전표_원본!$P$5:$P$100000,전표_원본!$O$5:$O$100000,$A68,전표_원본!$M$5:$M$100000,Q$5))</f>
        <v/>
      </c>
      <c r="R68" s="35">
        <f>IF($A68="","",SUMIFS(전표_원본!$P$5:$P$100000,전표_원본!$O$5:$O$100000,$A68,전표_원본!$M$5:$M$100000,R$5))</f>
        <v/>
      </c>
      <c r="S68" s="35">
        <f>IF($A68="","",SUMIFS(전표_원본!$P$5:$P$100000,전표_원본!$O$5:$O$100000,$A68,전표_원본!$M$5:$M$100000,S$5))</f>
        <v/>
      </c>
      <c r="T68" s="35">
        <f>IF($A68="","",SUMIFS(전표_원본!$P$5:$P$100000,전표_원본!$O$5:$O$100000,$A68,전표_원본!$M$5:$M$100000,T$5))</f>
        <v/>
      </c>
      <c r="U68" s="35">
        <f>IF($A68="","",SUMIFS(전표_원본!$P$5:$P$100000,전표_원본!$O$5:$O$100000,$A68,전표_원본!$M$5:$M$100000,U$5))</f>
        <v/>
      </c>
      <c r="V68" s="35">
        <f>IF($A68="","",SUMIFS(전표_원본!$P$5:$P$100000,전표_원본!$O$5:$O$100000,$A68,전표_원본!$M$5:$M$100000,V$5))</f>
        <v/>
      </c>
      <c r="W68" s="35">
        <f>IF($A68="","",SUMIFS(전표_원본!$P$5:$P$100000,전표_원본!$O$5:$O$100000,$A68,전표_원본!$M$5:$M$100000,W$5))</f>
        <v/>
      </c>
      <c r="X68" s="35">
        <f>IF($A68="","",SUMIFS(전표_원본!$P$5:$P$100000,전표_원본!$O$5:$O$100000,$A68,전표_원본!$M$5:$M$100000,X$5))</f>
        <v/>
      </c>
      <c r="Y68" s="35">
        <f>IF($A68="","",SUMIFS(전표_원본!$P$5:$P$100000,전표_원본!$O$5:$O$100000,$A68,전표_원본!$M$5:$M$100000,Y$5))</f>
        <v/>
      </c>
      <c r="Z68" s="35">
        <f>IF($A68="","",SUMIFS(전표_원본!$P$5:$P$100000,전표_원본!$O$5:$O$100000,$A68,전표_원본!$M$5:$M$100000,Z$5))</f>
        <v/>
      </c>
      <c r="AB68" s="40">
        <f>IF(OR($A68="",1&gt;설정!$C$7),0,SUMIFS($C68:$Z68,$C$5:$Z$5,"&gt;="&amp;(설정!$C$6*12+1),$C$5:$Z$5,"&lt;="&amp;(설정!$C$6*12+1)))</f>
        <v/>
      </c>
      <c r="AC68" s="40">
        <f>IF(OR($A68="",2&gt;설정!$C$7),0,SUMIFS($C68:$Z68,$C$5:$Z$5,"&gt;="&amp;(설정!$C$6*12+1),$C$5:$Z$5,"&lt;="&amp;(설정!$C$6*12+2)))</f>
        <v/>
      </c>
      <c r="AD68" s="40">
        <f>IF(OR($A68="",3&gt;설정!$C$7),0,SUMIFS($C68:$Z68,$C$5:$Z$5,"&gt;="&amp;(설정!$C$6*12+1),$C$5:$Z$5,"&lt;="&amp;(설정!$C$6*12+3)))</f>
        <v/>
      </c>
      <c r="AE68" s="40">
        <f>IF(OR($A68="",4&gt;설정!$C$7),0,SUMIFS($C68:$Z68,$C$5:$Z$5,"&gt;="&amp;(설정!$C$6*12+1),$C$5:$Z$5,"&lt;="&amp;(설정!$C$6*12+4)))</f>
        <v/>
      </c>
      <c r="AF68" s="40">
        <f>IF(OR($A68="",5&gt;설정!$C$7),0,SUMIFS($C68:$Z68,$C$5:$Z$5,"&gt;="&amp;(설정!$C$6*12+1),$C$5:$Z$5,"&lt;="&amp;(설정!$C$6*12+5)))</f>
        <v/>
      </c>
      <c r="AG68" s="40">
        <f>IF(OR($A68="",6&gt;설정!$C$7),0,SUMIFS($C68:$Z68,$C$5:$Z$5,"&gt;="&amp;(설정!$C$6*12+1),$C$5:$Z$5,"&lt;="&amp;(설정!$C$6*12+6)))</f>
        <v/>
      </c>
      <c r="AH68" s="40">
        <f>IF(OR($A68="",7&gt;설정!$C$7),0,SUMIFS($C68:$Z68,$C$5:$Z$5,"&gt;="&amp;(설정!$C$6*12+1),$C$5:$Z$5,"&lt;="&amp;(설정!$C$6*12+7)))</f>
        <v/>
      </c>
      <c r="AI68" s="40">
        <f>IF(OR($A68="",8&gt;설정!$C$7),0,SUMIFS($C68:$Z68,$C$5:$Z$5,"&gt;="&amp;(설정!$C$6*12+1),$C$5:$Z$5,"&lt;="&amp;(설정!$C$6*12+8)))</f>
        <v/>
      </c>
      <c r="AJ68" s="40">
        <f>IF(OR($A68="",9&gt;설정!$C$7),0,SUMIFS($C68:$Z68,$C$5:$Z$5,"&gt;="&amp;(설정!$C$6*12+1),$C$5:$Z$5,"&lt;="&amp;(설정!$C$6*12+9)))</f>
        <v/>
      </c>
      <c r="AK68" s="40">
        <f>IF(OR($A68="",10&gt;설정!$C$7),0,SUMIFS($C68:$Z68,$C$5:$Z$5,"&gt;="&amp;(설정!$C$6*12+1),$C$5:$Z$5,"&lt;="&amp;(설정!$C$6*12+10)))</f>
        <v/>
      </c>
      <c r="AL68" s="40">
        <f>IF(OR($A68="",11&gt;설정!$C$7),0,SUMIFS($C68:$Z68,$C$5:$Z$5,"&gt;="&amp;(설정!$C$6*12+1),$C$5:$Z$5,"&lt;="&amp;(설정!$C$6*12+11)))</f>
        <v/>
      </c>
      <c r="AM68" s="40">
        <f>IF(OR($A68="",12&gt;설정!$C$7),0,SUMIFS($C68:$Z68,$C$5:$Z$5,"&gt;="&amp;(설정!$C$6*12+1),$C$5:$Z$5,"&lt;="&amp;(설정!$C$6*12+12)))</f>
        <v/>
      </c>
    </row>
    <row r="69">
      <c r="A69" s="26">
        <f>IF(변동분석!$A69="","",변동분석!$E69)</f>
        <v/>
      </c>
      <c r="B69" s="26">
        <f>IF($A69="","",변동분석!$B69&amp;" "&amp;변동분석!$D69)</f>
        <v/>
      </c>
      <c r="C69" s="35">
        <f>IF($A69="","",SUMIFS(전표_원본!$P$5:$P$100000,전표_원본!$O$5:$O$100000,$A69,전표_원본!$M$5:$M$100000,C$5))</f>
        <v/>
      </c>
      <c r="D69" s="35">
        <f>IF($A69="","",SUMIFS(전표_원본!$P$5:$P$100000,전표_원본!$O$5:$O$100000,$A69,전표_원본!$M$5:$M$100000,D$5))</f>
        <v/>
      </c>
      <c r="E69" s="35">
        <f>IF($A69="","",SUMIFS(전표_원본!$P$5:$P$100000,전표_원본!$O$5:$O$100000,$A69,전표_원본!$M$5:$M$100000,E$5))</f>
        <v/>
      </c>
      <c r="F69" s="35">
        <f>IF($A69="","",SUMIFS(전표_원본!$P$5:$P$100000,전표_원본!$O$5:$O$100000,$A69,전표_원본!$M$5:$M$100000,F$5))</f>
        <v/>
      </c>
      <c r="G69" s="35">
        <f>IF($A69="","",SUMIFS(전표_원본!$P$5:$P$100000,전표_원본!$O$5:$O$100000,$A69,전표_원본!$M$5:$M$100000,G$5))</f>
        <v/>
      </c>
      <c r="H69" s="35">
        <f>IF($A69="","",SUMIFS(전표_원본!$P$5:$P$100000,전표_원본!$O$5:$O$100000,$A69,전표_원본!$M$5:$M$100000,H$5))</f>
        <v/>
      </c>
      <c r="I69" s="35">
        <f>IF($A69="","",SUMIFS(전표_원본!$P$5:$P$100000,전표_원본!$O$5:$O$100000,$A69,전표_원본!$M$5:$M$100000,I$5))</f>
        <v/>
      </c>
      <c r="J69" s="35">
        <f>IF($A69="","",SUMIFS(전표_원본!$P$5:$P$100000,전표_원본!$O$5:$O$100000,$A69,전표_원본!$M$5:$M$100000,J$5))</f>
        <v/>
      </c>
      <c r="K69" s="35">
        <f>IF($A69="","",SUMIFS(전표_원본!$P$5:$P$100000,전표_원본!$O$5:$O$100000,$A69,전표_원본!$M$5:$M$100000,K$5))</f>
        <v/>
      </c>
      <c r="L69" s="35">
        <f>IF($A69="","",SUMIFS(전표_원본!$P$5:$P$100000,전표_원본!$O$5:$O$100000,$A69,전표_원본!$M$5:$M$100000,L$5))</f>
        <v/>
      </c>
      <c r="M69" s="35">
        <f>IF($A69="","",SUMIFS(전표_원본!$P$5:$P$100000,전표_원본!$O$5:$O$100000,$A69,전표_원본!$M$5:$M$100000,M$5))</f>
        <v/>
      </c>
      <c r="N69" s="35">
        <f>IF($A69="","",SUMIFS(전표_원본!$P$5:$P$100000,전표_원본!$O$5:$O$100000,$A69,전표_원본!$M$5:$M$100000,N$5))</f>
        <v/>
      </c>
      <c r="O69" s="35">
        <f>IF($A69="","",SUMIFS(전표_원본!$P$5:$P$100000,전표_원본!$O$5:$O$100000,$A69,전표_원본!$M$5:$M$100000,O$5))</f>
        <v/>
      </c>
      <c r="P69" s="35">
        <f>IF($A69="","",SUMIFS(전표_원본!$P$5:$P$100000,전표_원본!$O$5:$O$100000,$A69,전표_원본!$M$5:$M$100000,P$5))</f>
        <v/>
      </c>
      <c r="Q69" s="35">
        <f>IF($A69="","",SUMIFS(전표_원본!$P$5:$P$100000,전표_원본!$O$5:$O$100000,$A69,전표_원본!$M$5:$M$100000,Q$5))</f>
        <v/>
      </c>
      <c r="R69" s="35">
        <f>IF($A69="","",SUMIFS(전표_원본!$P$5:$P$100000,전표_원본!$O$5:$O$100000,$A69,전표_원본!$M$5:$M$100000,R$5))</f>
        <v/>
      </c>
      <c r="S69" s="35">
        <f>IF($A69="","",SUMIFS(전표_원본!$P$5:$P$100000,전표_원본!$O$5:$O$100000,$A69,전표_원본!$M$5:$M$100000,S$5))</f>
        <v/>
      </c>
      <c r="T69" s="35">
        <f>IF($A69="","",SUMIFS(전표_원본!$P$5:$P$100000,전표_원본!$O$5:$O$100000,$A69,전표_원본!$M$5:$M$100000,T$5))</f>
        <v/>
      </c>
      <c r="U69" s="35">
        <f>IF($A69="","",SUMIFS(전표_원본!$P$5:$P$100000,전표_원본!$O$5:$O$100000,$A69,전표_원본!$M$5:$M$100000,U$5))</f>
        <v/>
      </c>
      <c r="V69" s="35">
        <f>IF($A69="","",SUMIFS(전표_원본!$P$5:$P$100000,전표_원본!$O$5:$O$100000,$A69,전표_원본!$M$5:$M$100000,V$5))</f>
        <v/>
      </c>
      <c r="W69" s="35">
        <f>IF($A69="","",SUMIFS(전표_원본!$P$5:$P$100000,전표_원본!$O$5:$O$100000,$A69,전표_원본!$M$5:$M$100000,W$5))</f>
        <v/>
      </c>
      <c r="X69" s="35">
        <f>IF($A69="","",SUMIFS(전표_원본!$P$5:$P$100000,전표_원본!$O$5:$O$100000,$A69,전표_원본!$M$5:$M$100000,X$5))</f>
        <v/>
      </c>
      <c r="Y69" s="35">
        <f>IF($A69="","",SUMIFS(전표_원본!$P$5:$P$100000,전표_원본!$O$5:$O$100000,$A69,전표_원본!$M$5:$M$100000,Y$5))</f>
        <v/>
      </c>
      <c r="Z69" s="35">
        <f>IF($A69="","",SUMIFS(전표_원본!$P$5:$P$100000,전표_원본!$O$5:$O$100000,$A69,전표_원본!$M$5:$M$100000,Z$5))</f>
        <v/>
      </c>
      <c r="AB69" s="40">
        <f>IF(OR($A69="",1&gt;설정!$C$7),0,SUMIFS($C69:$Z69,$C$5:$Z$5,"&gt;="&amp;(설정!$C$6*12+1),$C$5:$Z$5,"&lt;="&amp;(설정!$C$6*12+1)))</f>
        <v/>
      </c>
      <c r="AC69" s="40">
        <f>IF(OR($A69="",2&gt;설정!$C$7),0,SUMIFS($C69:$Z69,$C$5:$Z$5,"&gt;="&amp;(설정!$C$6*12+1),$C$5:$Z$5,"&lt;="&amp;(설정!$C$6*12+2)))</f>
        <v/>
      </c>
      <c r="AD69" s="40">
        <f>IF(OR($A69="",3&gt;설정!$C$7),0,SUMIFS($C69:$Z69,$C$5:$Z$5,"&gt;="&amp;(설정!$C$6*12+1),$C$5:$Z$5,"&lt;="&amp;(설정!$C$6*12+3)))</f>
        <v/>
      </c>
      <c r="AE69" s="40">
        <f>IF(OR($A69="",4&gt;설정!$C$7),0,SUMIFS($C69:$Z69,$C$5:$Z$5,"&gt;="&amp;(설정!$C$6*12+1),$C$5:$Z$5,"&lt;="&amp;(설정!$C$6*12+4)))</f>
        <v/>
      </c>
      <c r="AF69" s="40">
        <f>IF(OR($A69="",5&gt;설정!$C$7),0,SUMIFS($C69:$Z69,$C$5:$Z$5,"&gt;="&amp;(설정!$C$6*12+1),$C$5:$Z$5,"&lt;="&amp;(설정!$C$6*12+5)))</f>
        <v/>
      </c>
      <c r="AG69" s="40">
        <f>IF(OR($A69="",6&gt;설정!$C$7),0,SUMIFS($C69:$Z69,$C$5:$Z$5,"&gt;="&amp;(설정!$C$6*12+1),$C$5:$Z$5,"&lt;="&amp;(설정!$C$6*12+6)))</f>
        <v/>
      </c>
      <c r="AH69" s="40">
        <f>IF(OR($A69="",7&gt;설정!$C$7),0,SUMIFS($C69:$Z69,$C$5:$Z$5,"&gt;="&amp;(설정!$C$6*12+1),$C$5:$Z$5,"&lt;="&amp;(설정!$C$6*12+7)))</f>
        <v/>
      </c>
      <c r="AI69" s="40">
        <f>IF(OR($A69="",8&gt;설정!$C$7),0,SUMIFS($C69:$Z69,$C$5:$Z$5,"&gt;="&amp;(설정!$C$6*12+1),$C$5:$Z$5,"&lt;="&amp;(설정!$C$6*12+8)))</f>
        <v/>
      </c>
      <c r="AJ69" s="40">
        <f>IF(OR($A69="",9&gt;설정!$C$7),0,SUMIFS($C69:$Z69,$C$5:$Z$5,"&gt;="&amp;(설정!$C$6*12+1),$C$5:$Z$5,"&lt;="&amp;(설정!$C$6*12+9)))</f>
        <v/>
      </c>
      <c r="AK69" s="40">
        <f>IF(OR($A69="",10&gt;설정!$C$7),0,SUMIFS($C69:$Z69,$C$5:$Z$5,"&gt;="&amp;(설정!$C$6*12+1),$C$5:$Z$5,"&lt;="&amp;(설정!$C$6*12+10)))</f>
        <v/>
      </c>
      <c r="AL69" s="40">
        <f>IF(OR($A69="",11&gt;설정!$C$7),0,SUMIFS($C69:$Z69,$C$5:$Z$5,"&gt;="&amp;(설정!$C$6*12+1),$C$5:$Z$5,"&lt;="&amp;(설정!$C$6*12+11)))</f>
        <v/>
      </c>
      <c r="AM69" s="40">
        <f>IF(OR($A69="",12&gt;설정!$C$7),0,SUMIFS($C69:$Z69,$C$5:$Z$5,"&gt;="&amp;(설정!$C$6*12+1),$C$5:$Z$5,"&lt;="&amp;(설정!$C$6*12+12)))</f>
        <v/>
      </c>
    </row>
    <row r="70">
      <c r="A70" s="26">
        <f>IF(변동분석!$A70="","",변동분석!$E70)</f>
        <v/>
      </c>
      <c r="B70" s="26">
        <f>IF($A70="","",변동분석!$B70&amp;" "&amp;변동분석!$D70)</f>
        <v/>
      </c>
      <c r="C70" s="35">
        <f>IF($A70="","",SUMIFS(전표_원본!$P$5:$P$100000,전표_원본!$O$5:$O$100000,$A70,전표_원본!$M$5:$M$100000,C$5))</f>
        <v/>
      </c>
      <c r="D70" s="35">
        <f>IF($A70="","",SUMIFS(전표_원본!$P$5:$P$100000,전표_원본!$O$5:$O$100000,$A70,전표_원본!$M$5:$M$100000,D$5))</f>
        <v/>
      </c>
      <c r="E70" s="35">
        <f>IF($A70="","",SUMIFS(전표_원본!$P$5:$P$100000,전표_원본!$O$5:$O$100000,$A70,전표_원본!$M$5:$M$100000,E$5))</f>
        <v/>
      </c>
      <c r="F70" s="35">
        <f>IF($A70="","",SUMIFS(전표_원본!$P$5:$P$100000,전표_원본!$O$5:$O$100000,$A70,전표_원본!$M$5:$M$100000,F$5))</f>
        <v/>
      </c>
      <c r="G70" s="35">
        <f>IF($A70="","",SUMIFS(전표_원본!$P$5:$P$100000,전표_원본!$O$5:$O$100000,$A70,전표_원본!$M$5:$M$100000,G$5))</f>
        <v/>
      </c>
      <c r="H70" s="35">
        <f>IF($A70="","",SUMIFS(전표_원본!$P$5:$P$100000,전표_원본!$O$5:$O$100000,$A70,전표_원본!$M$5:$M$100000,H$5))</f>
        <v/>
      </c>
      <c r="I70" s="35">
        <f>IF($A70="","",SUMIFS(전표_원본!$P$5:$P$100000,전표_원본!$O$5:$O$100000,$A70,전표_원본!$M$5:$M$100000,I$5))</f>
        <v/>
      </c>
      <c r="J70" s="35">
        <f>IF($A70="","",SUMIFS(전표_원본!$P$5:$P$100000,전표_원본!$O$5:$O$100000,$A70,전표_원본!$M$5:$M$100000,J$5))</f>
        <v/>
      </c>
      <c r="K70" s="35">
        <f>IF($A70="","",SUMIFS(전표_원본!$P$5:$P$100000,전표_원본!$O$5:$O$100000,$A70,전표_원본!$M$5:$M$100000,K$5))</f>
        <v/>
      </c>
      <c r="L70" s="35">
        <f>IF($A70="","",SUMIFS(전표_원본!$P$5:$P$100000,전표_원본!$O$5:$O$100000,$A70,전표_원본!$M$5:$M$100000,L$5))</f>
        <v/>
      </c>
      <c r="M70" s="35">
        <f>IF($A70="","",SUMIFS(전표_원본!$P$5:$P$100000,전표_원본!$O$5:$O$100000,$A70,전표_원본!$M$5:$M$100000,M$5))</f>
        <v/>
      </c>
      <c r="N70" s="35">
        <f>IF($A70="","",SUMIFS(전표_원본!$P$5:$P$100000,전표_원본!$O$5:$O$100000,$A70,전표_원본!$M$5:$M$100000,N$5))</f>
        <v/>
      </c>
      <c r="O70" s="35">
        <f>IF($A70="","",SUMIFS(전표_원본!$P$5:$P$100000,전표_원본!$O$5:$O$100000,$A70,전표_원본!$M$5:$M$100000,O$5))</f>
        <v/>
      </c>
      <c r="P70" s="35">
        <f>IF($A70="","",SUMIFS(전표_원본!$P$5:$P$100000,전표_원본!$O$5:$O$100000,$A70,전표_원본!$M$5:$M$100000,P$5))</f>
        <v/>
      </c>
      <c r="Q70" s="35">
        <f>IF($A70="","",SUMIFS(전표_원본!$P$5:$P$100000,전표_원본!$O$5:$O$100000,$A70,전표_원본!$M$5:$M$100000,Q$5))</f>
        <v/>
      </c>
      <c r="R70" s="35">
        <f>IF($A70="","",SUMIFS(전표_원본!$P$5:$P$100000,전표_원본!$O$5:$O$100000,$A70,전표_원본!$M$5:$M$100000,R$5))</f>
        <v/>
      </c>
      <c r="S70" s="35">
        <f>IF($A70="","",SUMIFS(전표_원본!$P$5:$P$100000,전표_원본!$O$5:$O$100000,$A70,전표_원본!$M$5:$M$100000,S$5))</f>
        <v/>
      </c>
      <c r="T70" s="35">
        <f>IF($A70="","",SUMIFS(전표_원본!$P$5:$P$100000,전표_원본!$O$5:$O$100000,$A70,전표_원본!$M$5:$M$100000,T$5))</f>
        <v/>
      </c>
      <c r="U70" s="35">
        <f>IF($A70="","",SUMIFS(전표_원본!$P$5:$P$100000,전표_원본!$O$5:$O$100000,$A70,전표_원본!$M$5:$M$100000,U$5))</f>
        <v/>
      </c>
      <c r="V70" s="35">
        <f>IF($A70="","",SUMIFS(전표_원본!$P$5:$P$100000,전표_원본!$O$5:$O$100000,$A70,전표_원본!$M$5:$M$100000,V$5))</f>
        <v/>
      </c>
      <c r="W70" s="35">
        <f>IF($A70="","",SUMIFS(전표_원본!$P$5:$P$100000,전표_원본!$O$5:$O$100000,$A70,전표_원본!$M$5:$M$100000,W$5))</f>
        <v/>
      </c>
      <c r="X70" s="35">
        <f>IF($A70="","",SUMIFS(전표_원본!$P$5:$P$100000,전표_원본!$O$5:$O$100000,$A70,전표_원본!$M$5:$M$100000,X$5))</f>
        <v/>
      </c>
      <c r="Y70" s="35">
        <f>IF($A70="","",SUMIFS(전표_원본!$P$5:$P$100000,전표_원본!$O$5:$O$100000,$A70,전표_원본!$M$5:$M$100000,Y$5))</f>
        <v/>
      </c>
      <c r="Z70" s="35">
        <f>IF($A70="","",SUMIFS(전표_원본!$P$5:$P$100000,전표_원본!$O$5:$O$100000,$A70,전표_원본!$M$5:$M$100000,Z$5))</f>
        <v/>
      </c>
      <c r="AB70" s="40">
        <f>IF(OR($A70="",1&gt;설정!$C$7),0,SUMIFS($C70:$Z70,$C$5:$Z$5,"&gt;="&amp;(설정!$C$6*12+1),$C$5:$Z$5,"&lt;="&amp;(설정!$C$6*12+1)))</f>
        <v/>
      </c>
      <c r="AC70" s="40">
        <f>IF(OR($A70="",2&gt;설정!$C$7),0,SUMIFS($C70:$Z70,$C$5:$Z$5,"&gt;="&amp;(설정!$C$6*12+1),$C$5:$Z$5,"&lt;="&amp;(설정!$C$6*12+2)))</f>
        <v/>
      </c>
      <c r="AD70" s="40">
        <f>IF(OR($A70="",3&gt;설정!$C$7),0,SUMIFS($C70:$Z70,$C$5:$Z$5,"&gt;="&amp;(설정!$C$6*12+1),$C$5:$Z$5,"&lt;="&amp;(설정!$C$6*12+3)))</f>
        <v/>
      </c>
      <c r="AE70" s="40">
        <f>IF(OR($A70="",4&gt;설정!$C$7),0,SUMIFS($C70:$Z70,$C$5:$Z$5,"&gt;="&amp;(설정!$C$6*12+1),$C$5:$Z$5,"&lt;="&amp;(설정!$C$6*12+4)))</f>
        <v/>
      </c>
      <c r="AF70" s="40">
        <f>IF(OR($A70="",5&gt;설정!$C$7),0,SUMIFS($C70:$Z70,$C$5:$Z$5,"&gt;="&amp;(설정!$C$6*12+1),$C$5:$Z$5,"&lt;="&amp;(설정!$C$6*12+5)))</f>
        <v/>
      </c>
      <c r="AG70" s="40">
        <f>IF(OR($A70="",6&gt;설정!$C$7),0,SUMIFS($C70:$Z70,$C$5:$Z$5,"&gt;="&amp;(설정!$C$6*12+1),$C$5:$Z$5,"&lt;="&amp;(설정!$C$6*12+6)))</f>
        <v/>
      </c>
      <c r="AH70" s="40">
        <f>IF(OR($A70="",7&gt;설정!$C$7),0,SUMIFS($C70:$Z70,$C$5:$Z$5,"&gt;="&amp;(설정!$C$6*12+1),$C$5:$Z$5,"&lt;="&amp;(설정!$C$6*12+7)))</f>
        <v/>
      </c>
      <c r="AI70" s="40">
        <f>IF(OR($A70="",8&gt;설정!$C$7),0,SUMIFS($C70:$Z70,$C$5:$Z$5,"&gt;="&amp;(설정!$C$6*12+1),$C$5:$Z$5,"&lt;="&amp;(설정!$C$6*12+8)))</f>
        <v/>
      </c>
      <c r="AJ70" s="40">
        <f>IF(OR($A70="",9&gt;설정!$C$7),0,SUMIFS($C70:$Z70,$C$5:$Z$5,"&gt;="&amp;(설정!$C$6*12+1),$C$5:$Z$5,"&lt;="&amp;(설정!$C$6*12+9)))</f>
        <v/>
      </c>
      <c r="AK70" s="40">
        <f>IF(OR($A70="",10&gt;설정!$C$7),0,SUMIFS($C70:$Z70,$C$5:$Z$5,"&gt;="&amp;(설정!$C$6*12+1),$C$5:$Z$5,"&lt;="&amp;(설정!$C$6*12+10)))</f>
        <v/>
      </c>
      <c r="AL70" s="40">
        <f>IF(OR($A70="",11&gt;설정!$C$7),0,SUMIFS($C70:$Z70,$C$5:$Z$5,"&gt;="&amp;(설정!$C$6*12+1),$C$5:$Z$5,"&lt;="&amp;(설정!$C$6*12+11)))</f>
        <v/>
      </c>
      <c r="AM70" s="40">
        <f>IF(OR($A70="",12&gt;설정!$C$7),0,SUMIFS($C70:$Z70,$C$5:$Z$5,"&gt;="&amp;(설정!$C$6*12+1),$C$5:$Z$5,"&lt;="&amp;(설정!$C$6*12+12)))</f>
        <v/>
      </c>
    </row>
    <row r="71">
      <c r="A71" s="26">
        <f>IF(변동분석!$A71="","",변동분석!$E71)</f>
        <v/>
      </c>
      <c r="B71" s="26">
        <f>IF($A71="","",변동분석!$B71&amp;" "&amp;변동분석!$D71)</f>
        <v/>
      </c>
      <c r="C71" s="35">
        <f>IF($A71="","",SUMIFS(전표_원본!$P$5:$P$100000,전표_원본!$O$5:$O$100000,$A71,전표_원본!$M$5:$M$100000,C$5))</f>
        <v/>
      </c>
      <c r="D71" s="35">
        <f>IF($A71="","",SUMIFS(전표_원본!$P$5:$P$100000,전표_원본!$O$5:$O$100000,$A71,전표_원본!$M$5:$M$100000,D$5))</f>
        <v/>
      </c>
      <c r="E71" s="35">
        <f>IF($A71="","",SUMIFS(전표_원본!$P$5:$P$100000,전표_원본!$O$5:$O$100000,$A71,전표_원본!$M$5:$M$100000,E$5))</f>
        <v/>
      </c>
      <c r="F71" s="35">
        <f>IF($A71="","",SUMIFS(전표_원본!$P$5:$P$100000,전표_원본!$O$5:$O$100000,$A71,전표_원본!$M$5:$M$100000,F$5))</f>
        <v/>
      </c>
      <c r="G71" s="35">
        <f>IF($A71="","",SUMIFS(전표_원본!$P$5:$P$100000,전표_원본!$O$5:$O$100000,$A71,전표_원본!$M$5:$M$100000,G$5))</f>
        <v/>
      </c>
      <c r="H71" s="35">
        <f>IF($A71="","",SUMIFS(전표_원본!$P$5:$P$100000,전표_원본!$O$5:$O$100000,$A71,전표_원본!$M$5:$M$100000,H$5))</f>
        <v/>
      </c>
      <c r="I71" s="35">
        <f>IF($A71="","",SUMIFS(전표_원본!$P$5:$P$100000,전표_원본!$O$5:$O$100000,$A71,전표_원본!$M$5:$M$100000,I$5))</f>
        <v/>
      </c>
      <c r="J71" s="35">
        <f>IF($A71="","",SUMIFS(전표_원본!$P$5:$P$100000,전표_원본!$O$5:$O$100000,$A71,전표_원본!$M$5:$M$100000,J$5))</f>
        <v/>
      </c>
      <c r="K71" s="35">
        <f>IF($A71="","",SUMIFS(전표_원본!$P$5:$P$100000,전표_원본!$O$5:$O$100000,$A71,전표_원본!$M$5:$M$100000,K$5))</f>
        <v/>
      </c>
      <c r="L71" s="35">
        <f>IF($A71="","",SUMIFS(전표_원본!$P$5:$P$100000,전표_원본!$O$5:$O$100000,$A71,전표_원본!$M$5:$M$100000,L$5))</f>
        <v/>
      </c>
      <c r="M71" s="35">
        <f>IF($A71="","",SUMIFS(전표_원본!$P$5:$P$100000,전표_원본!$O$5:$O$100000,$A71,전표_원본!$M$5:$M$100000,M$5))</f>
        <v/>
      </c>
      <c r="N71" s="35">
        <f>IF($A71="","",SUMIFS(전표_원본!$P$5:$P$100000,전표_원본!$O$5:$O$100000,$A71,전표_원본!$M$5:$M$100000,N$5))</f>
        <v/>
      </c>
      <c r="O71" s="35">
        <f>IF($A71="","",SUMIFS(전표_원본!$P$5:$P$100000,전표_원본!$O$5:$O$100000,$A71,전표_원본!$M$5:$M$100000,O$5))</f>
        <v/>
      </c>
      <c r="P71" s="35">
        <f>IF($A71="","",SUMIFS(전표_원본!$P$5:$P$100000,전표_원본!$O$5:$O$100000,$A71,전표_원본!$M$5:$M$100000,P$5))</f>
        <v/>
      </c>
      <c r="Q71" s="35">
        <f>IF($A71="","",SUMIFS(전표_원본!$P$5:$P$100000,전표_원본!$O$5:$O$100000,$A71,전표_원본!$M$5:$M$100000,Q$5))</f>
        <v/>
      </c>
      <c r="R71" s="35">
        <f>IF($A71="","",SUMIFS(전표_원본!$P$5:$P$100000,전표_원본!$O$5:$O$100000,$A71,전표_원본!$M$5:$M$100000,R$5))</f>
        <v/>
      </c>
      <c r="S71" s="35">
        <f>IF($A71="","",SUMIFS(전표_원본!$P$5:$P$100000,전표_원본!$O$5:$O$100000,$A71,전표_원본!$M$5:$M$100000,S$5))</f>
        <v/>
      </c>
      <c r="T71" s="35">
        <f>IF($A71="","",SUMIFS(전표_원본!$P$5:$P$100000,전표_원본!$O$5:$O$100000,$A71,전표_원본!$M$5:$M$100000,T$5))</f>
        <v/>
      </c>
      <c r="U71" s="35">
        <f>IF($A71="","",SUMIFS(전표_원본!$P$5:$P$100000,전표_원본!$O$5:$O$100000,$A71,전표_원본!$M$5:$M$100000,U$5))</f>
        <v/>
      </c>
      <c r="V71" s="35">
        <f>IF($A71="","",SUMIFS(전표_원본!$P$5:$P$100000,전표_원본!$O$5:$O$100000,$A71,전표_원본!$M$5:$M$100000,V$5))</f>
        <v/>
      </c>
      <c r="W71" s="35">
        <f>IF($A71="","",SUMIFS(전표_원본!$P$5:$P$100000,전표_원본!$O$5:$O$100000,$A71,전표_원본!$M$5:$M$100000,W$5))</f>
        <v/>
      </c>
      <c r="X71" s="35">
        <f>IF($A71="","",SUMIFS(전표_원본!$P$5:$P$100000,전표_원본!$O$5:$O$100000,$A71,전표_원본!$M$5:$M$100000,X$5))</f>
        <v/>
      </c>
      <c r="Y71" s="35">
        <f>IF($A71="","",SUMIFS(전표_원본!$P$5:$P$100000,전표_원본!$O$5:$O$100000,$A71,전표_원본!$M$5:$M$100000,Y$5))</f>
        <v/>
      </c>
      <c r="Z71" s="35">
        <f>IF($A71="","",SUMIFS(전표_원본!$P$5:$P$100000,전표_원본!$O$5:$O$100000,$A71,전표_원본!$M$5:$M$100000,Z$5))</f>
        <v/>
      </c>
      <c r="AB71" s="40">
        <f>IF(OR($A71="",1&gt;설정!$C$7),0,SUMIFS($C71:$Z71,$C$5:$Z$5,"&gt;="&amp;(설정!$C$6*12+1),$C$5:$Z$5,"&lt;="&amp;(설정!$C$6*12+1)))</f>
        <v/>
      </c>
      <c r="AC71" s="40">
        <f>IF(OR($A71="",2&gt;설정!$C$7),0,SUMIFS($C71:$Z71,$C$5:$Z$5,"&gt;="&amp;(설정!$C$6*12+1),$C$5:$Z$5,"&lt;="&amp;(설정!$C$6*12+2)))</f>
        <v/>
      </c>
      <c r="AD71" s="40">
        <f>IF(OR($A71="",3&gt;설정!$C$7),0,SUMIFS($C71:$Z71,$C$5:$Z$5,"&gt;="&amp;(설정!$C$6*12+1),$C$5:$Z$5,"&lt;="&amp;(설정!$C$6*12+3)))</f>
        <v/>
      </c>
      <c r="AE71" s="40">
        <f>IF(OR($A71="",4&gt;설정!$C$7),0,SUMIFS($C71:$Z71,$C$5:$Z$5,"&gt;="&amp;(설정!$C$6*12+1),$C$5:$Z$5,"&lt;="&amp;(설정!$C$6*12+4)))</f>
        <v/>
      </c>
      <c r="AF71" s="40">
        <f>IF(OR($A71="",5&gt;설정!$C$7),0,SUMIFS($C71:$Z71,$C$5:$Z$5,"&gt;="&amp;(설정!$C$6*12+1),$C$5:$Z$5,"&lt;="&amp;(설정!$C$6*12+5)))</f>
        <v/>
      </c>
      <c r="AG71" s="40">
        <f>IF(OR($A71="",6&gt;설정!$C$7),0,SUMIFS($C71:$Z71,$C$5:$Z$5,"&gt;="&amp;(설정!$C$6*12+1),$C$5:$Z$5,"&lt;="&amp;(설정!$C$6*12+6)))</f>
        <v/>
      </c>
      <c r="AH71" s="40">
        <f>IF(OR($A71="",7&gt;설정!$C$7),0,SUMIFS($C71:$Z71,$C$5:$Z$5,"&gt;="&amp;(설정!$C$6*12+1),$C$5:$Z$5,"&lt;="&amp;(설정!$C$6*12+7)))</f>
        <v/>
      </c>
      <c r="AI71" s="40">
        <f>IF(OR($A71="",8&gt;설정!$C$7),0,SUMIFS($C71:$Z71,$C$5:$Z$5,"&gt;="&amp;(설정!$C$6*12+1),$C$5:$Z$5,"&lt;="&amp;(설정!$C$6*12+8)))</f>
        <v/>
      </c>
      <c r="AJ71" s="40">
        <f>IF(OR($A71="",9&gt;설정!$C$7),0,SUMIFS($C71:$Z71,$C$5:$Z$5,"&gt;="&amp;(설정!$C$6*12+1),$C$5:$Z$5,"&lt;="&amp;(설정!$C$6*12+9)))</f>
        <v/>
      </c>
      <c r="AK71" s="40">
        <f>IF(OR($A71="",10&gt;설정!$C$7),0,SUMIFS($C71:$Z71,$C$5:$Z$5,"&gt;="&amp;(설정!$C$6*12+1),$C$5:$Z$5,"&lt;="&amp;(설정!$C$6*12+10)))</f>
        <v/>
      </c>
      <c r="AL71" s="40">
        <f>IF(OR($A71="",11&gt;설정!$C$7),0,SUMIFS($C71:$Z71,$C$5:$Z$5,"&gt;="&amp;(설정!$C$6*12+1),$C$5:$Z$5,"&lt;="&amp;(설정!$C$6*12+11)))</f>
        <v/>
      </c>
      <c r="AM71" s="40">
        <f>IF(OR($A71="",12&gt;설정!$C$7),0,SUMIFS($C71:$Z71,$C$5:$Z$5,"&gt;="&amp;(설정!$C$6*12+1),$C$5:$Z$5,"&lt;="&amp;(설정!$C$6*12+12)))</f>
        <v/>
      </c>
    </row>
    <row r="72">
      <c r="A72" s="26">
        <f>IF(변동분석!$A72="","",변동분석!$E72)</f>
        <v/>
      </c>
      <c r="B72" s="26">
        <f>IF($A72="","",변동분석!$B72&amp;" "&amp;변동분석!$D72)</f>
        <v/>
      </c>
      <c r="C72" s="35">
        <f>IF($A72="","",SUMIFS(전표_원본!$P$5:$P$100000,전표_원본!$O$5:$O$100000,$A72,전표_원본!$M$5:$M$100000,C$5))</f>
        <v/>
      </c>
      <c r="D72" s="35">
        <f>IF($A72="","",SUMIFS(전표_원본!$P$5:$P$100000,전표_원본!$O$5:$O$100000,$A72,전표_원본!$M$5:$M$100000,D$5))</f>
        <v/>
      </c>
      <c r="E72" s="35">
        <f>IF($A72="","",SUMIFS(전표_원본!$P$5:$P$100000,전표_원본!$O$5:$O$100000,$A72,전표_원본!$M$5:$M$100000,E$5))</f>
        <v/>
      </c>
      <c r="F72" s="35">
        <f>IF($A72="","",SUMIFS(전표_원본!$P$5:$P$100000,전표_원본!$O$5:$O$100000,$A72,전표_원본!$M$5:$M$100000,F$5))</f>
        <v/>
      </c>
      <c r="G72" s="35">
        <f>IF($A72="","",SUMIFS(전표_원본!$P$5:$P$100000,전표_원본!$O$5:$O$100000,$A72,전표_원본!$M$5:$M$100000,G$5))</f>
        <v/>
      </c>
      <c r="H72" s="35">
        <f>IF($A72="","",SUMIFS(전표_원본!$P$5:$P$100000,전표_원본!$O$5:$O$100000,$A72,전표_원본!$M$5:$M$100000,H$5))</f>
        <v/>
      </c>
      <c r="I72" s="35">
        <f>IF($A72="","",SUMIFS(전표_원본!$P$5:$P$100000,전표_원본!$O$5:$O$100000,$A72,전표_원본!$M$5:$M$100000,I$5))</f>
        <v/>
      </c>
      <c r="J72" s="35">
        <f>IF($A72="","",SUMIFS(전표_원본!$P$5:$P$100000,전표_원본!$O$5:$O$100000,$A72,전표_원본!$M$5:$M$100000,J$5))</f>
        <v/>
      </c>
      <c r="K72" s="35">
        <f>IF($A72="","",SUMIFS(전표_원본!$P$5:$P$100000,전표_원본!$O$5:$O$100000,$A72,전표_원본!$M$5:$M$100000,K$5))</f>
        <v/>
      </c>
      <c r="L72" s="35">
        <f>IF($A72="","",SUMIFS(전표_원본!$P$5:$P$100000,전표_원본!$O$5:$O$100000,$A72,전표_원본!$M$5:$M$100000,L$5))</f>
        <v/>
      </c>
      <c r="M72" s="35">
        <f>IF($A72="","",SUMIFS(전표_원본!$P$5:$P$100000,전표_원본!$O$5:$O$100000,$A72,전표_원본!$M$5:$M$100000,M$5))</f>
        <v/>
      </c>
      <c r="N72" s="35">
        <f>IF($A72="","",SUMIFS(전표_원본!$P$5:$P$100000,전표_원본!$O$5:$O$100000,$A72,전표_원본!$M$5:$M$100000,N$5))</f>
        <v/>
      </c>
      <c r="O72" s="35">
        <f>IF($A72="","",SUMIFS(전표_원본!$P$5:$P$100000,전표_원본!$O$5:$O$100000,$A72,전표_원본!$M$5:$M$100000,O$5))</f>
        <v/>
      </c>
      <c r="P72" s="35">
        <f>IF($A72="","",SUMIFS(전표_원본!$P$5:$P$100000,전표_원본!$O$5:$O$100000,$A72,전표_원본!$M$5:$M$100000,P$5))</f>
        <v/>
      </c>
      <c r="Q72" s="35">
        <f>IF($A72="","",SUMIFS(전표_원본!$P$5:$P$100000,전표_원본!$O$5:$O$100000,$A72,전표_원본!$M$5:$M$100000,Q$5))</f>
        <v/>
      </c>
      <c r="R72" s="35">
        <f>IF($A72="","",SUMIFS(전표_원본!$P$5:$P$100000,전표_원본!$O$5:$O$100000,$A72,전표_원본!$M$5:$M$100000,R$5))</f>
        <v/>
      </c>
      <c r="S72" s="35">
        <f>IF($A72="","",SUMIFS(전표_원본!$P$5:$P$100000,전표_원본!$O$5:$O$100000,$A72,전표_원본!$M$5:$M$100000,S$5))</f>
        <v/>
      </c>
      <c r="T72" s="35">
        <f>IF($A72="","",SUMIFS(전표_원본!$P$5:$P$100000,전표_원본!$O$5:$O$100000,$A72,전표_원본!$M$5:$M$100000,T$5))</f>
        <v/>
      </c>
      <c r="U72" s="35">
        <f>IF($A72="","",SUMIFS(전표_원본!$P$5:$P$100000,전표_원본!$O$5:$O$100000,$A72,전표_원본!$M$5:$M$100000,U$5))</f>
        <v/>
      </c>
      <c r="V72" s="35">
        <f>IF($A72="","",SUMIFS(전표_원본!$P$5:$P$100000,전표_원본!$O$5:$O$100000,$A72,전표_원본!$M$5:$M$100000,V$5))</f>
        <v/>
      </c>
      <c r="W72" s="35">
        <f>IF($A72="","",SUMIFS(전표_원본!$P$5:$P$100000,전표_원본!$O$5:$O$100000,$A72,전표_원본!$M$5:$M$100000,W$5))</f>
        <v/>
      </c>
      <c r="X72" s="35">
        <f>IF($A72="","",SUMIFS(전표_원본!$P$5:$P$100000,전표_원본!$O$5:$O$100000,$A72,전표_원본!$M$5:$M$100000,X$5))</f>
        <v/>
      </c>
      <c r="Y72" s="35">
        <f>IF($A72="","",SUMIFS(전표_원본!$P$5:$P$100000,전표_원본!$O$5:$O$100000,$A72,전표_원본!$M$5:$M$100000,Y$5))</f>
        <v/>
      </c>
      <c r="Z72" s="35">
        <f>IF($A72="","",SUMIFS(전표_원본!$P$5:$P$100000,전표_원본!$O$5:$O$100000,$A72,전표_원본!$M$5:$M$100000,Z$5))</f>
        <v/>
      </c>
      <c r="AB72" s="40">
        <f>IF(OR($A72="",1&gt;설정!$C$7),0,SUMIFS($C72:$Z72,$C$5:$Z$5,"&gt;="&amp;(설정!$C$6*12+1),$C$5:$Z$5,"&lt;="&amp;(설정!$C$6*12+1)))</f>
        <v/>
      </c>
      <c r="AC72" s="40">
        <f>IF(OR($A72="",2&gt;설정!$C$7),0,SUMIFS($C72:$Z72,$C$5:$Z$5,"&gt;="&amp;(설정!$C$6*12+1),$C$5:$Z$5,"&lt;="&amp;(설정!$C$6*12+2)))</f>
        <v/>
      </c>
      <c r="AD72" s="40">
        <f>IF(OR($A72="",3&gt;설정!$C$7),0,SUMIFS($C72:$Z72,$C$5:$Z$5,"&gt;="&amp;(설정!$C$6*12+1),$C$5:$Z$5,"&lt;="&amp;(설정!$C$6*12+3)))</f>
        <v/>
      </c>
      <c r="AE72" s="40">
        <f>IF(OR($A72="",4&gt;설정!$C$7),0,SUMIFS($C72:$Z72,$C$5:$Z$5,"&gt;="&amp;(설정!$C$6*12+1),$C$5:$Z$5,"&lt;="&amp;(설정!$C$6*12+4)))</f>
        <v/>
      </c>
      <c r="AF72" s="40">
        <f>IF(OR($A72="",5&gt;설정!$C$7),0,SUMIFS($C72:$Z72,$C$5:$Z$5,"&gt;="&amp;(설정!$C$6*12+1),$C$5:$Z$5,"&lt;="&amp;(설정!$C$6*12+5)))</f>
        <v/>
      </c>
      <c r="AG72" s="40">
        <f>IF(OR($A72="",6&gt;설정!$C$7),0,SUMIFS($C72:$Z72,$C$5:$Z$5,"&gt;="&amp;(설정!$C$6*12+1),$C$5:$Z$5,"&lt;="&amp;(설정!$C$6*12+6)))</f>
        <v/>
      </c>
      <c r="AH72" s="40">
        <f>IF(OR($A72="",7&gt;설정!$C$7),0,SUMIFS($C72:$Z72,$C$5:$Z$5,"&gt;="&amp;(설정!$C$6*12+1),$C$5:$Z$5,"&lt;="&amp;(설정!$C$6*12+7)))</f>
        <v/>
      </c>
      <c r="AI72" s="40">
        <f>IF(OR($A72="",8&gt;설정!$C$7),0,SUMIFS($C72:$Z72,$C$5:$Z$5,"&gt;="&amp;(설정!$C$6*12+1),$C$5:$Z$5,"&lt;="&amp;(설정!$C$6*12+8)))</f>
        <v/>
      </c>
      <c r="AJ72" s="40">
        <f>IF(OR($A72="",9&gt;설정!$C$7),0,SUMIFS($C72:$Z72,$C$5:$Z$5,"&gt;="&amp;(설정!$C$6*12+1),$C$5:$Z$5,"&lt;="&amp;(설정!$C$6*12+9)))</f>
        <v/>
      </c>
      <c r="AK72" s="40">
        <f>IF(OR($A72="",10&gt;설정!$C$7),0,SUMIFS($C72:$Z72,$C$5:$Z$5,"&gt;="&amp;(설정!$C$6*12+1),$C$5:$Z$5,"&lt;="&amp;(설정!$C$6*12+10)))</f>
        <v/>
      </c>
      <c r="AL72" s="40">
        <f>IF(OR($A72="",11&gt;설정!$C$7),0,SUMIFS($C72:$Z72,$C$5:$Z$5,"&gt;="&amp;(설정!$C$6*12+1),$C$5:$Z$5,"&lt;="&amp;(설정!$C$6*12+11)))</f>
        <v/>
      </c>
      <c r="AM72" s="40">
        <f>IF(OR($A72="",12&gt;설정!$C$7),0,SUMIFS($C72:$Z72,$C$5:$Z$5,"&gt;="&amp;(설정!$C$6*12+1),$C$5:$Z$5,"&lt;="&amp;(설정!$C$6*12+12)))</f>
        <v/>
      </c>
    </row>
    <row r="73">
      <c r="A73" s="26">
        <f>IF(변동분석!$A73="","",변동분석!$E73)</f>
        <v/>
      </c>
      <c r="B73" s="26">
        <f>IF($A73="","",변동분석!$B73&amp;" "&amp;변동분석!$D73)</f>
        <v/>
      </c>
      <c r="C73" s="35">
        <f>IF($A73="","",SUMIFS(전표_원본!$P$5:$P$100000,전표_원본!$O$5:$O$100000,$A73,전표_원본!$M$5:$M$100000,C$5))</f>
        <v/>
      </c>
      <c r="D73" s="35">
        <f>IF($A73="","",SUMIFS(전표_원본!$P$5:$P$100000,전표_원본!$O$5:$O$100000,$A73,전표_원본!$M$5:$M$100000,D$5))</f>
        <v/>
      </c>
      <c r="E73" s="35">
        <f>IF($A73="","",SUMIFS(전표_원본!$P$5:$P$100000,전표_원본!$O$5:$O$100000,$A73,전표_원본!$M$5:$M$100000,E$5))</f>
        <v/>
      </c>
      <c r="F73" s="35">
        <f>IF($A73="","",SUMIFS(전표_원본!$P$5:$P$100000,전표_원본!$O$5:$O$100000,$A73,전표_원본!$M$5:$M$100000,F$5))</f>
        <v/>
      </c>
      <c r="G73" s="35">
        <f>IF($A73="","",SUMIFS(전표_원본!$P$5:$P$100000,전표_원본!$O$5:$O$100000,$A73,전표_원본!$M$5:$M$100000,G$5))</f>
        <v/>
      </c>
      <c r="H73" s="35">
        <f>IF($A73="","",SUMIFS(전표_원본!$P$5:$P$100000,전표_원본!$O$5:$O$100000,$A73,전표_원본!$M$5:$M$100000,H$5))</f>
        <v/>
      </c>
      <c r="I73" s="35">
        <f>IF($A73="","",SUMIFS(전표_원본!$P$5:$P$100000,전표_원본!$O$5:$O$100000,$A73,전표_원본!$M$5:$M$100000,I$5))</f>
        <v/>
      </c>
      <c r="J73" s="35">
        <f>IF($A73="","",SUMIFS(전표_원본!$P$5:$P$100000,전표_원본!$O$5:$O$100000,$A73,전표_원본!$M$5:$M$100000,J$5))</f>
        <v/>
      </c>
      <c r="K73" s="35">
        <f>IF($A73="","",SUMIFS(전표_원본!$P$5:$P$100000,전표_원본!$O$5:$O$100000,$A73,전표_원본!$M$5:$M$100000,K$5))</f>
        <v/>
      </c>
      <c r="L73" s="35">
        <f>IF($A73="","",SUMIFS(전표_원본!$P$5:$P$100000,전표_원본!$O$5:$O$100000,$A73,전표_원본!$M$5:$M$100000,L$5))</f>
        <v/>
      </c>
      <c r="M73" s="35">
        <f>IF($A73="","",SUMIFS(전표_원본!$P$5:$P$100000,전표_원본!$O$5:$O$100000,$A73,전표_원본!$M$5:$M$100000,M$5))</f>
        <v/>
      </c>
      <c r="N73" s="35">
        <f>IF($A73="","",SUMIFS(전표_원본!$P$5:$P$100000,전표_원본!$O$5:$O$100000,$A73,전표_원본!$M$5:$M$100000,N$5))</f>
        <v/>
      </c>
      <c r="O73" s="35">
        <f>IF($A73="","",SUMIFS(전표_원본!$P$5:$P$100000,전표_원본!$O$5:$O$100000,$A73,전표_원본!$M$5:$M$100000,O$5))</f>
        <v/>
      </c>
      <c r="P73" s="35">
        <f>IF($A73="","",SUMIFS(전표_원본!$P$5:$P$100000,전표_원본!$O$5:$O$100000,$A73,전표_원본!$M$5:$M$100000,P$5))</f>
        <v/>
      </c>
      <c r="Q73" s="35">
        <f>IF($A73="","",SUMIFS(전표_원본!$P$5:$P$100000,전표_원본!$O$5:$O$100000,$A73,전표_원본!$M$5:$M$100000,Q$5))</f>
        <v/>
      </c>
      <c r="R73" s="35">
        <f>IF($A73="","",SUMIFS(전표_원본!$P$5:$P$100000,전표_원본!$O$5:$O$100000,$A73,전표_원본!$M$5:$M$100000,R$5))</f>
        <v/>
      </c>
      <c r="S73" s="35">
        <f>IF($A73="","",SUMIFS(전표_원본!$P$5:$P$100000,전표_원본!$O$5:$O$100000,$A73,전표_원본!$M$5:$M$100000,S$5))</f>
        <v/>
      </c>
      <c r="T73" s="35">
        <f>IF($A73="","",SUMIFS(전표_원본!$P$5:$P$100000,전표_원본!$O$5:$O$100000,$A73,전표_원본!$M$5:$M$100000,T$5))</f>
        <v/>
      </c>
      <c r="U73" s="35">
        <f>IF($A73="","",SUMIFS(전표_원본!$P$5:$P$100000,전표_원본!$O$5:$O$100000,$A73,전표_원본!$M$5:$M$100000,U$5))</f>
        <v/>
      </c>
      <c r="V73" s="35">
        <f>IF($A73="","",SUMIFS(전표_원본!$P$5:$P$100000,전표_원본!$O$5:$O$100000,$A73,전표_원본!$M$5:$M$100000,V$5))</f>
        <v/>
      </c>
      <c r="W73" s="35">
        <f>IF($A73="","",SUMIFS(전표_원본!$P$5:$P$100000,전표_원본!$O$5:$O$100000,$A73,전표_원본!$M$5:$M$100000,W$5))</f>
        <v/>
      </c>
      <c r="X73" s="35">
        <f>IF($A73="","",SUMIFS(전표_원본!$P$5:$P$100000,전표_원본!$O$5:$O$100000,$A73,전표_원본!$M$5:$M$100000,X$5))</f>
        <v/>
      </c>
      <c r="Y73" s="35">
        <f>IF($A73="","",SUMIFS(전표_원본!$P$5:$P$100000,전표_원본!$O$5:$O$100000,$A73,전표_원본!$M$5:$M$100000,Y$5))</f>
        <v/>
      </c>
      <c r="Z73" s="35">
        <f>IF($A73="","",SUMIFS(전표_원본!$P$5:$P$100000,전표_원본!$O$5:$O$100000,$A73,전표_원본!$M$5:$M$100000,Z$5))</f>
        <v/>
      </c>
      <c r="AB73" s="40">
        <f>IF(OR($A73="",1&gt;설정!$C$7),0,SUMIFS($C73:$Z73,$C$5:$Z$5,"&gt;="&amp;(설정!$C$6*12+1),$C$5:$Z$5,"&lt;="&amp;(설정!$C$6*12+1)))</f>
        <v/>
      </c>
      <c r="AC73" s="40">
        <f>IF(OR($A73="",2&gt;설정!$C$7),0,SUMIFS($C73:$Z73,$C$5:$Z$5,"&gt;="&amp;(설정!$C$6*12+1),$C$5:$Z$5,"&lt;="&amp;(설정!$C$6*12+2)))</f>
        <v/>
      </c>
      <c r="AD73" s="40">
        <f>IF(OR($A73="",3&gt;설정!$C$7),0,SUMIFS($C73:$Z73,$C$5:$Z$5,"&gt;="&amp;(설정!$C$6*12+1),$C$5:$Z$5,"&lt;="&amp;(설정!$C$6*12+3)))</f>
        <v/>
      </c>
      <c r="AE73" s="40">
        <f>IF(OR($A73="",4&gt;설정!$C$7),0,SUMIFS($C73:$Z73,$C$5:$Z$5,"&gt;="&amp;(설정!$C$6*12+1),$C$5:$Z$5,"&lt;="&amp;(설정!$C$6*12+4)))</f>
        <v/>
      </c>
      <c r="AF73" s="40">
        <f>IF(OR($A73="",5&gt;설정!$C$7),0,SUMIFS($C73:$Z73,$C$5:$Z$5,"&gt;="&amp;(설정!$C$6*12+1),$C$5:$Z$5,"&lt;="&amp;(설정!$C$6*12+5)))</f>
        <v/>
      </c>
      <c r="AG73" s="40">
        <f>IF(OR($A73="",6&gt;설정!$C$7),0,SUMIFS($C73:$Z73,$C$5:$Z$5,"&gt;="&amp;(설정!$C$6*12+1),$C$5:$Z$5,"&lt;="&amp;(설정!$C$6*12+6)))</f>
        <v/>
      </c>
      <c r="AH73" s="40">
        <f>IF(OR($A73="",7&gt;설정!$C$7),0,SUMIFS($C73:$Z73,$C$5:$Z$5,"&gt;="&amp;(설정!$C$6*12+1),$C$5:$Z$5,"&lt;="&amp;(설정!$C$6*12+7)))</f>
        <v/>
      </c>
      <c r="AI73" s="40">
        <f>IF(OR($A73="",8&gt;설정!$C$7),0,SUMIFS($C73:$Z73,$C$5:$Z$5,"&gt;="&amp;(설정!$C$6*12+1),$C$5:$Z$5,"&lt;="&amp;(설정!$C$6*12+8)))</f>
        <v/>
      </c>
      <c r="AJ73" s="40">
        <f>IF(OR($A73="",9&gt;설정!$C$7),0,SUMIFS($C73:$Z73,$C$5:$Z$5,"&gt;="&amp;(설정!$C$6*12+1),$C$5:$Z$5,"&lt;="&amp;(설정!$C$6*12+9)))</f>
        <v/>
      </c>
      <c r="AK73" s="40">
        <f>IF(OR($A73="",10&gt;설정!$C$7),0,SUMIFS($C73:$Z73,$C$5:$Z$5,"&gt;="&amp;(설정!$C$6*12+1),$C$5:$Z$5,"&lt;="&amp;(설정!$C$6*12+10)))</f>
        <v/>
      </c>
      <c r="AL73" s="40">
        <f>IF(OR($A73="",11&gt;설정!$C$7),0,SUMIFS($C73:$Z73,$C$5:$Z$5,"&gt;="&amp;(설정!$C$6*12+1),$C$5:$Z$5,"&lt;="&amp;(설정!$C$6*12+11)))</f>
        <v/>
      </c>
      <c r="AM73" s="40">
        <f>IF(OR($A73="",12&gt;설정!$C$7),0,SUMIFS($C73:$Z73,$C$5:$Z$5,"&gt;="&amp;(설정!$C$6*12+1),$C$5:$Z$5,"&lt;="&amp;(설정!$C$6*12+12)))</f>
        <v/>
      </c>
    </row>
    <row r="74">
      <c r="A74" s="26">
        <f>IF(변동분석!$A74="","",변동분석!$E74)</f>
        <v/>
      </c>
      <c r="B74" s="26">
        <f>IF($A74="","",변동분석!$B74&amp;" "&amp;변동분석!$D74)</f>
        <v/>
      </c>
      <c r="C74" s="35">
        <f>IF($A74="","",SUMIFS(전표_원본!$P$5:$P$100000,전표_원본!$O$5:$O$100000,$A74,전표_원본!$M$5:$M$100000,C$5))</f>
        <v/>
      </c>
      <c r="D74" s="35">
        <f>IF($A74="","",SUMIFS(전표_원본!$P$5:$P$100000,전표_원본!$O$5:$O$100000,$A74,전표_원본!$M$5:$M$100000,D$5))</f>
        <v/>
      </c>
      <c r="E74" s="35">
        <f>IF($A74="","",SUMIFS(전표_원본!$P$5:$P$100000,전표_원본!$O$5:$O$100000,$A74,전표_원본!$M$5:$M$100000,E$5))</f>
        <v/>
      </c>
      <c r="F74" s="35">
        <f>IF($A74="","",SUMIFS(전표_원본!$P$5:$P$100000,전표_원본!$O$5:$O$100000,$A74,전표_원본!$M$5:$M$100000,F$5))</f>
        <v/>
      </c>
      <c r="G74" s="35">
        <f>IF($A74="","",SUMIFS(전표_원본!$P$5:$P$100000,전표_원본!$O$5:$O$100000,$A74,전표_원본!$M$5:$M$100000,G$5))</f>
        <v/>
      </c>
      <c r="H74" s="35">
        <f>IF($A74="","",SUMIFS(전표_원본!$P$5:$P$100000,전표_원본!$O$5:$O$100000,$A74,전표_원본!$M$5:$M$100000,H$5))</f>
        <v/>
      </c>
      <c r="I74" s="35">
        <f>IF($A74="","",SUMIFS(전표_원본!$P$5:$P$100000,전표_원본!$O$5:$O$100000,$A74,전표_원본!$M$5:$M$100000,I$5))</f>
        <v/>
      </c>
      <c r="J74" s="35">
        <f>IF($A74="","",SUMIFS(전표_원본!$P$5:$P$100000,전표_원본!$O$5:$O$100000,$A74,전표_원본!$M$5:$M$100000,J$5))</f>
        <v/>
      </c>
      <c r="K74" s="35">
        <f>IF($A74="","",SUMIFS(전표_원본!$P$5:$P$100000,전표_원본!$O$5:$O$100000,$A74,전표_원본!$M$5:$M$100000,K$5))</f>
        <v/>
      </c>
      <c r="L74" s="35">
        <f>IF($A74="","",SUMIFS(전표_원본!$P$5:$P$100000,전표_원본!$O$5:$O$100000,$A74,전표_원본!$M$5:$M$100000,L$5))</f>
        <v/>
      </c>
      <c r="M74" s="35">
        <f>IF($A74="","",SUMIFS(전표_원본!$P$5:$P$100000,전표_원본!$O$5:$O$100000,$A74,전표_원본!$M$5:$M$100000,M$5))</f>
        <v/>
      </c>
      <c r="N74" s="35">
        <f>IF($A74="","",SUMIFS(전표_원본!$P$5:$P$100000,전표_원본!$O$5:$O$100000,$A74,전표_원본!$M$5:$M$100000,N$5))</f>
        <v/>
      </c>
      <c r="O74" s="35">
        <f>IF($A74="","",SUMIFS(전표_원본!$P$5:$P$100000,전표_원본!$O$5:$O$100000,$A74,전표_원본!$M$5:$M$100000,O$5))</f>
        <v/>
      </c>
      <c r="P74" s="35">
        <f>IF($A74="","",SUMIFS(전표_원본!$P$5:$P$100000,전표_원본!$O$5:$O$100000,$A74,전표_원본!$M$5:$M$100000,P$5))</f>
        <v/>
      </c>
      <c r="Q74" s="35">
        <f>IF($A74="","",SUMIFS(전표_원본!$P$5:$P$100000,전표_원본!$O$5:$O$100000,$A74,전표_원본!$M$5:$M$100000,Q$5))</f>
        <v/>
      </c>
      <c r="R74" s="35">
        <f>IF($A74="","",SUMIFS(전표_원본!$P$5:$P$100000,전표_원본!$O$5:$O$100000,$A74,전표_원본!$M$5:$M$100000,R$5))</f>
        <v/>
      </c>
      <c r="S74" s="35">
        <f>IF($A74="","",SUMIFS(전표_원본!$P$5:$P$100000,전표_원본!$O$5:$O$100000,$A74,전표_원본!$M$5:$M$100000,S$5))</f>
        <v/>
      </c>
      <c r="T74" s="35">
        <f>IF($A74="","",SUMIFS(전표_원본!$P$5:$P$100000,전표_원본!$O$5:$O$100000,$A74,전표_원본!$M$5:$M$100000,T$5))</f>
        <v/>
      </c>
      <c r="U74" s="35">
        <f>IF($A74="","",SUMIFS(전표_원본!$P$5:$P$100000,전표_원본!$O$5:$O$100000,$A74,전표_원본!$M$5:$M$100000,U$5))</f>
        <v/>
      </c>
      <c r="V74" s="35">
        <f>IF($A74="","",SUMIFS(전표_원본!$P$5:$P$100000,전표_원본!$O$5:$O$100000,$A74,전표_원본!$M$5:$M$100000,V$5))</f>
        <v/>
      </c>
      <c r="W74" s="35">
        <f>IF($A74="","",SUMIFS(전표_원본!$P$5:$P$100000,전표_원본!$O$5:$O$100000,$A74,전표_원본!$M$5:$M$100000,W$5))</f>
        <v/>
      </c>
      <c r="X74" s="35">
        <f>IF($A74="","",SUMIFS(전표_원본!$P$5:$P$100000,전표_원본!$O$5:$O$100000,$A74,전표_원본!$M$5:$M$100000,X$5))</f>
        <v/>
      </c>
      <c r="Y74" s="35">
        <f>IF($A74="","",SUMIFS(전표_원본!$P$5:$P$100000,전표_원본!$O$5:$O$100000,$A74,전표_원본!$M$5:$M$100000,Y$5))</f>
        <v/>
      </c>
      <c r="Z74" s="35">
        <f>IF($A74="","",SUMIFS(전표_원본!$P$5:$P$100000,전표_원본!$O$5:$O$100000,$A74,전표_원본!$M$5:$M$100000,Z$5))</f>
        <v/>
      </c>
      <c r="AB74" s="40">
        <f>IF(OR($A74="",1&gt;설정!$C$7),0,SUMIFS($C74:$Z74,$C$5:$Z$5,"&gt;="&amp;(설정!$C$6*12+1),$C$5:$Z$5,"&lt;="&amp;(설정!$C$6*12+1)))</f>
        <v/>
      </c>
      <c r="AC74" s="40">
        <f>IF(OR($A74="",2&gt;설정!$C$7),0,SUMIFS($C74:$Z74,$C$5:$Z$5,"&gt;="&amp;(설정!$C$6*12+1),$C$5:$Z$5,"&lt;="&amp;(설정!$C$6*12+2)))</f>
        <v/>
      </c>
      <c r="AD74" s="40">
        <f>IF(OR($A74="",3&gt;설정!$C$7),0,SUMIFS($C74:$Z74,$C$5:$Z$5,"&gt;="&amp;(설정!$C$6*12+1),$C$5:$Z$5,"&lt;="&amp;(설정!$C$6*12+3)))</f>
        <v/>
      </c>
      <c r="AE74" s="40">
        <f>IF(OR($A74="",4&gt;설정!$C$7),0,SUMIFS($C74:$Z74,$C$5:$Z$5,"&gt;="&amp;(설정!$C$6*12+1),$C$5:$Z$5,"&lt;="&amp;(설정!$C$6*12+4)))</f>
        <v/>
      </c>
      <c r="AF74" s="40">
        <f>IF(OR($A74="",5&gt;설정!$C$7),0,SUMIFS($C74:$Z74,$C$5:$Z$5,"&gt;="&amp;(설정!$C$6*12+1),$C$5:$Z$5,"&lt;="&amp;(설정!$C$6*12+5)))</f>
        <v/>
      </c>
      <c r="AG74" s="40">
        <f>IF(OR($A74="",6&gt;설정!$C$7),0,SUMIFS($C74:$Z74,$C$5:$Z$5,"&gt;="&amp;(설정!$C$6*12+1),$C$5:$Z$5,"&lt;="&amp;(설정!$C$6*12+6)))</f>
        <v/>
      </c>
      <c r="AH74" s="40">
        <f>IF(OR($A74="",7&gt;설정!$C$7),0,SUMIFS($C74:$Z74,$C$5:$Z$5,"&gt;="&amp;(설정!$C$6*12+1),$C$5:$Z$5,"&lt;="&amp;(설정!$C$6*12+7)))</f>
        <v/>
      </c>
      <c r="AI74" s="40">
        <f>IF(OR($A74="",8&gt;설정!$C$7),0,SUMIFS($C74:$Z74,$C$5:$Z$5,"&gt;="&amp;(설정!$C$6*12+1),$C$5:$Z$5,"&lt;="&amp;(설정!$C$6*12+8)))</f>
        <v/>
      </c>
      <c r="AJ74" s="40">
        <f>IF(OR($A74="",9&gt;설정!$C$7),0,SUMIFS($C74:$Z74,$C$5:$Z$5,"&gt;="&amp;(설정!$C$6*12+1),$C$5:$Z$5,"&lt;="&amp;(설정!$C$6*12+9)))</f>
        <v/>
      </c>
      <c r="AK74" s="40">
        <f>IF(OR($A74="",10&gt;설정!$C$7),0,SUMIFS($C74:$Z74,$C$5:$Z$5,"&gt;="&amp;(설정!$C$6*12+1),$C$5:$Z$5,"&lt;="&amp;(설정!$C$6*12+10)))</f>
        <v/>
      </c>
      <c r="AL74" s="40">
        <f>IF(OR($A74="",11&gt;설정!$C$7),0,SUMIFS($C74:$Z74,$C$5:$Z$5,"&gt;="&amp;(설정!$C$6*12+1),$C$5:$Z$5,"&lt;="&amp;(설정!$C$6*12+11)))</f>
        <v/>
      </c>
      <c r="AM74" s="40">
        <f>IF(OR($A74="",12&gt;설정!$C$7),0,SUMIFS($C74:$Z74,$C$5:$Z$5,"&gt;="&amp;(설정!$C$6*12+1),$C$5:$Z$5,"&lt;="&amp;(설정!$C$6*12+12)))</f>
        <v/>
      </c>
    </row>
    <row r="75">
      <c r="A75" s="26">
        <f>IF(변동분석!$A75="","",변동분석!$E75)</f>
        <v/>
      </c>
      <c r="B75" s="26">
        <f>IF($A75="","",변동분석!$B75&amp;" "&amp;변동분석!$D75)</f>
        <v/>
      </c>
      <c r="C75" s="35">
        <f>IF($A75="","",SUMIFS(전표_원본!$P$5:$P$100000,전표_원본!$O$5:$O$100000,$A75,전표_원본!$M$5:$M$100000,C$5))</f>
        <v/>
      </c>
      <c r="D75" s="35">
        <f>IF($A75="","",SUMIFS(전표_원본!$P$5:$P$100000,전표_원본!$O$5:$O$100000,$A75,전표_원본!$M$5:$M$100000,D$5))</f>
        <v/>
      </c>
      <c r="E75" s="35">
        <f>IF($A75="","",SUMIFS(전표_원본!$P$5:$P$100000,전표_원본!$O$5:$O$100000,$A75,전표_원본!$M$5:$M$100000,E$5))</f>
        <v/>
      </c>
      <c r="F75" s="35">
        <f>IF($A75="","",SUMIFS(전표_원본!$P$5:$P$100000,전표_원본!$O$5:$O$100000,$A75,전표_원본!$M$5:$M$100000,F$5))</f>
        <v/>
      </c>
      <c r="G75" s="35">
        <f>IF($A75="","",SUMIFS(전표_원본!$P$5:$P$100000,전표_원본!$O$5:$O$100000,$A75,전표_원본!$M$5:$M$100000,G$5))</f>
        <v/>
      </c>
      <c r="H75" s="35">
        <f>IF($A75="","",SUMIFS(전표_원본!$P$5:$P$100000,전표_원본!$O$5:$O$100000,$A75,전표_원본!$M$5:$M$100000,H$5))</f>
        <v/>
      </c>
      <c r="I75" s="35">
        <f>IF($A75="","",SUMIFS(전표_원본!$P$5:$P$100000,전표_원본!$O$5:$O$100000,$A75,전표_원본!$M$5:$M$100000,I$5))</f>
        <v/>
      </c>
      <c r="J75" s="35">
        <f>IF($A75="","",SUMIFS(전표_원본!$P$5:$P$100000,전표_원본!$O$5:$O$100000,$A75,전표_원본!$M$5:$M$100000,J$5))</f>
        <v/>
      </c>
      <c r="K75" s="35">
        <f>IF($A75="","",SUMIFS(전표_원본!$P$5:$P$100000,전표_원본!$O$5:$O$100000,$A75,전표_원본!$M$5:$M$100000,K$5))</f>
        <v/>
      </c>
      <c r="L75" s="35">
        <f>IF($A75="","",SUMIFS(전표_원본!$P$5:$P$100000,전표_원본!$O$5:$O$100000,$A75,전표_원본!$M$5:$M$100000,L$5))</f>
        <v/>
      </c>
      <c r="M75" s="35">
        <f>IF($A75="","",SUMIFS(전표_원본!$P$5:$P$100000,전표_원본!$O$5:$O$100000,$A75,전표_원본!$M$5:$M$100000,M$5))</f>
        <v/>
      </c>
      <c r="N75" s="35">
        <f>IF($A75="","",SUMIFS(전표_원본!$P$5:$P$100000,전표_원본!$O$5:$O$100000,$A75,전표_원본!$M$5:$M$100000,N$5))</f>
        <v/>
      </c>
      <c r="O75" s="35">
        <f>IF($A75="","",SUMIFS(전표_원본!$P$5:$P$100000,전표_원본!$O$5:$O$100000,$A75,전표_원본!$M$5:$M$100000,O$5))</f>
        <v/>
      </c>
      <c r="P75" s="35">
        <f>IF($A75="","",SUMIFS(전표_원본!$P$5:$P$100000,전표_원본!$O$5:$O$100000,$A75,전표_원본!$M$5:$M$100000,P$5))</f>
        <v/>
      </c>
      <c r="Q75" s="35">
        <f>IF($A75="","",SUMIFS(전표_원본!$P$5:$P$100000,전표_원본!$O$5:$O$100000,$A75,전표_원본!$M$5:$M$100000,Q$5))</f>
        <v/>
      </c>
      <c r="R75" s="35">
        <f>IF($A75="","",SUMIFS(전표_원본!$P$5:$P$100000,전표_원본!$O$5:$O$100000,$A75,전표_원본!$M$5:$M$100000,R$5))</f>
        <v/>
      </c>
      <c r="S75" s="35">
        <f>IF($A75="","",SUMIFS(전표_원본!$P$5:$P$100000,전표_원본!$O$5:$O$100000,$A75,전표_원본!$M$5:$M$100000,S$5))</f>
        <v/>
      </c>
      <c r="T75" s="35">
        <f>IF($A75="","",SUMIFS(전표_원본!$P$5:$P$100000,전표_원본!$O$5:$O$100000,$A75,전표_원본!$M$5:$M$100000,T$5))</f>
        <v/>
      </c>
      <c r="U75" s="35">
        <f>IF($A75="","",SUMIFS(전표_원본!$P$5:$P$100000,전표_원본!$O$5:$O$100000,$A75,전표_원본!$M$5:$M$100000,U$5))</f>
        <v/>
      </c>
      <c r="V75" s="35">
        <f>IF($A75="","",SUMIFS(전표_원본!$P$5:$P$100000,전표_원본!$O$5:$O$100000,$A75,전표_원본!$M$5:$M$100000,V$5))</f>
        <v/>
      </c>
      <c r="W75" s="35">
        <f>IF($A75="","",SUMIFS(전표_원본!$P$5:$P$100000,전표_원본!$O$5:$O$100000,$A75,전표_원본!$M$5:$M$100000,W$5))</f>
        <v/>
      </c>
      <c r="X75" s="35">
        <f>IF($A75="","",SUMIFS(전표_원본!$P$5:$P$100000,전표_원본!$O$5:$O$100000,$A75,전표_원본!$M$5:$M$100000,X$5))</f>
        <v/>
      </c>
      <c r="Y75" s="35">
        <f>IF($A75="","",SUMIFS(전표_원본!$P$5:$P$100000,전표_원본!$O$5:$O$100000,$A75,전표_원본!$M$5:$M$100000,Y$5))</f>
        <v/>
      </c>
      <c r="Z75" s="35">
        <f>IF($A75="","",SUMIFS(전표_원본!$P$5:$P$100000,전표_원본!$O$5:$O$100000,$A75,전표_원본!$M$5:$M$100000,Z$5))</f>
        <v/>
      </c>
      <c r="AB75" s="40">
        <f>IF(OR($A75="",1&gt;설정!$C$7),0,SUMIFS($C75:$Z75,$C$5:$Z$5,"&gt;="&amp;(설정!$C$6*12+1),$C$5:$Z$5,"&lt;="&amp;(설정!$C$6*12+1)))</f>
        <v/>
      </c>
      <c r="AC75" s="40">
        <f>IF(OR($A75="",2&gt;설정!$C$7),0,SUMIFS($C75:$Z75,$C$5:$Z$5,"&gt;="&amp;(설정!$C$6*12+1),$C$5:$Z$5,"&lt;="&amp;(설정!$C$6*12+2)))</f>
        <v/>
      </c>
      <c r="AD75" s="40">
        <f>IF(OR($A75="",3&gt;설정!$C$7),0,SUMIFS($C75:$Z75,$C$5:$Z$5,"&gt;="&amp;(설정!$C$6*12+1),$C$5:$Z$5,"&lt;="&amp;(설정!$C$6*12+3)))</f>
        <v/>
      </c>
      <c r="AE75" s="40">
        <f>IF(OR($A75="",4&gt;설정!$C$7),0,SUMIFS($C75:$Z75,$C$5:$Z$5,"&gt;="&amp;(설정!$C$6*12+1),$C$5:$Z$5,"&lt;="&amp;(설정!$C$6*12+4)))</f>
        <v/>
      </c>
      <c r="AF75" s="40">
        <f>IF(OR($A75="",5&gt;설정!$C$7),0,SUMIFS($C75:$Z75,$C$5:$Z$5,"&gt;="&amp;(설정!$C$6*12+1),$C$5:$Z$5,"&lt;="&amp;(설정!$C$6*12+5)))</f>
        <v/>
      </c>
      <c r="AG75" s="40">
        <f>IF(OR($A75="",6&gt;설정!$C$7),0,SUMIFS($C75:$Z75,$C$5:$Z$5,"&gt;="&amp;(설정!$C$6*12+1),$C$5:$Z$5,"&lt;="&amp;(설정!$C$6*12+6)))</f>
        <v/>
      </c>
      <c r="AH75" s="40">
        <f>IF(OR($A75="",7&gt;설정!$C$7),0,SUMIFS($C75:$Z75,$C$5:$Z$5,"&gt;="&amp;(설정!$C$6*12+1),$C$5:$Z$5,"&lt;="&amp;(설정!$C$6*12+7)))</f>
        <v/>
      </c>
      <c r="AI75" s="40">
        <f>IF(OR($A75="",8&gt;설정!$C$7),0,SUMIFS($C75:$Z75,$C$5:$Z$5,"&gt;="&amp;(설정!$C$6*12+1),$C$5:$Z$5,"&lt;="&amp;(설정!$C$6*12+8)))</f>
        <v/>
      </c>
      <c r="AJ75" s="40">
        <f>IF(OR($A75="",9&gt;설정!$C$7),0,SUMIFS($C75:$Z75,$C$5:$Z$5,"&gt;="&amp;(설정!$C$6*12+1),$C$5:$Z$5,"&lt;="&amp;(설정!$C$6*12+9)))</f>
        <v/>
      </c>
      <c r="AK75" s="40">
        <f>IF(OR($A75="",10&gt;설정!$C$7),0,SUMIFS($C75:$Z75,$C$5:$Z$5,"&gt;="&amp;(설정!$C$6*12+1),$C$5:$Z$5,"&lt;="&amp;(설정!$C$6*12+10)))</f>
        <v/>
      </c>
      <c r="AL75" s="40">
        <f>IF(OR($A75="",11&gt;설정!$C$7),0,SUMIFS($C75:$Z75,$C$5:$Z$5,"&gt;="&amp;(설정!$C$6*12+1),$C$5:$Z$5,"&lt;="&amp;(설정!$C$6*12+11)))</f>
        <v/>
      </c>
      <c r="AM75" s="40">
        <f>IF(OR($A75="",12&gt;설정!$C$7),0,SUMIFS($C75:$Z75,$C$5:$Z$5,"&gt;="&amp;(설정!$C$6*12+1),$C$5:$Z$5,"&lt;="&amp;(설정!$C$6*12+12)))</f>
        <v/>
      </c>
    </row>
    <row r="76">
      <c r="A76" s="26">
        <f>IF(변동분석!$A76="","",변동분석!$E76)</f>
        <v/>
      </c>
      <c r="B76" s="26">
        <f>IF($A76="","",변동분석!$B76&amp;" "&amp;변동분석!$D76)</f>
        <v/>
      </c>
      <c r="C76" s="35">
        <f>IF($A76="","",SUMIFS(전표_원본!$P$5:$P$100000,전표_원본!$O$5:$O$100000,$A76,전표_원본!$M$5:$M$100000,C$5))</f>
        <v/>
      </c>
      <c r="D76" s="35">
        <f>IF($A76="","",SUMIFS(전표_원본!$P$5:$P$100000,전표_원본!$O$5:$O$100000,$A76,전표_원본!$M$5:$M$100000,D$5))</f>
        <v/>
      </c>
      <c r="E76" s="35">
        <f>IF($A76="","",SUMIFS(전표_원본!$P$5:$P$100000,전표_원본!$O$5:$O$100000,$A76,전표_원본!$M$5:$M$100000,E$5))</f>
        <v/>
      </c>
      <c r="F76" s="35">
        <f>IF($A76="","",SUMIFS(전표_원본!$P$5:$P$100000,전표_원본!$O$5:$O$100000,$A76,전표_원본!$M$5:$M$100000,F$5))</f>
        <v/>
      </c>
      <c r="G76" s="35">
        <f>IF($A76="","",SUMIFS(전표_원본!$P$5:$P$100000,전표_원본!$O$5:$O$100000,$A76,전표_원본!$M$5:$M$100000,G$5))</f>
        <v/>
      </c>
      <c r="H76" s="35">
        <f>IF($A76="","",SUMIFS(전표_원본!$P$5:$P$100000,전표_원본!$O$5:$O$100000,$A76,전표_원본!$M$5:$M$100000,H$5))</f>
        <v/>
      </c>
      <c r="I76" s="35">
        <f>IF($A76="","",SUMIFS(전표_원본!$P$5:$P$100000,전표_원본!$O$5:$O$100000,$A76,전표_원본!$M$5:$M$100000,I$5))</f>
        <v/>
      </c>
      <c r="J76" s="35">
        <f>IF($A76="","",SUMIFS(전표_원본!$P$5:$P$100000,전표_원본!$O$5:$O$100000,$A76,전표_원본!$M$5:$M$100000,J$5))</f>
        <v/>
      </c>
      <c r="K76" s="35">
        <f>IF($A76="","",SUMIFS(전표_원본!$P$5:$P$100000,전표_원본!$O$5:$O$100000,$A76,전표_원본!$M$5:$M$100000,K$5))</f>
        <v/>
      </c>
      <c r="L76" s="35">
        <f>IF($A76="","",SUMIFS(전표_원본!$P$5:$P$100000,전표_원본!$O$5:$O$100000,$A76,전표_원본!$M$5:$M$100000,L$5))</f>
        <v/>
      </c>
      <c r="M76" s="35">
        <f>IF($A76="","",SUMIFS(전표_원본!$P$5:$P$100000,전표_원본!$O$5:$O$100000,$A76,전표_원본!$M$5:$M$100000,M$5))</f>
        <v/>
      </c>
      <c r="N76" s="35">
        <f>IF($A76="","",SUMIFS(전표_원본!$P$5:$P$100000,전표_원본!$O$5:$O$100000,$A76,전표_원본!$M$5:$M$100000,N$5))</f>
        <v/>
      </c>
      <c r="O76" s="35">
        <f>IF($A76="","",SUMIFS(전표_원본!$P$5:$P$100000,전표_원본!$O$5:$O$100000,$A76,전표_원본!$M$5:$M$100000,O$5))</f>
        <v/>
      </c>
      <c r="P76" s="35">
        <f>IF($A76="","",SUMIFS(전표_원본!$P$5:$P$100000,전표_원본!$O$5:$O$100000,$A76,전표_원본!$M$5:$M$100000,P$5))</f>
        <v/>
      </c>
      <c r="Q76" s="35">
        <f>IF($A76="","",SUMIFS(전표_원본!$P$5:$P$100000,전표_원본!$O$5:$O$100000,$A76,전표_원본!$M$5:$M$100000,Q$5))</f>
        <v/>
      </c>
      <c r="R76" s="35">
        <f>IF($A76="","",SUMIFS(전표_원본!$P$5:$P$100000,전표_원본!$O$5:$O$100000,$A76,전표_원본!$M$5:$M$100000,R$5))</f>
        <v/>
      </c>
      <c r="S76" s="35">
        <f>IF($A76="","",SUMIFS(전표_원본!$P$5:$P$100000,전표_원본!$O$5:$O$100000,$A76,전표_원본!$M$5:$M$100000,S$5))</f>
        <v/>
      </c>
      <c r="T76" s="35">
        <f>IF($A76="","",SUMIFS(전표_원본!$P$5:$P$100000,전표_원본!$O$5:$O$100000,$A76,전표_원본!$M$5:$M$100000,T$5))</f>
        <v/>
      </c>
      <c r="U76" s="35">
        <f>IF($A76="","",SUMIFS(전표_원본!$P$5:$P$100000,전표_원본!$O$5:$O$100000,$A76,전표_원본!$M$5:$M$100000,U$5))</f>
        <v/>
      </c>
      <c r="V76" s="35">
        <f>IF($A76="","",SUMIFS(전표_원본!$P$5:$P$100000,전표_원본!$O$5:$O$100000,$A76,전표_원본!$M$5:$M$100000,V$5))</f>
        <v/>
      </c>
      <c r="W76" s="35">
        <f>IF($A76="","",SUMIFS(전표_원본!$P$5:$P$100000,전표_원본!$O$5:$O$100000,$A76,전표_원본!$M$5:$M$100000,W$5))</f>
        <v/>
      </c>
      <c r="X76" s="35">
        <f>IF($A76="","",SUMIFS(전표_원본!$P$5:$P$100000,전표_원본!$O$5:$O$100000,$A76,전표_원본!$M$5:$M$100000,X$5))</f>
        <v/>
      </c>
      <c r="Y76" s="35">
        <f>IF($A76="","",SUMIFS(전표_원본!$P$5:$P$100000,전표_원본!$O$5:$O$100000,$A76,전표_원본!$M$5:$M$100000,Y$5))</f>
        <v/>
      </c>
      <c r="Z76" s="35">
        <f>IF($A76="","",SUMIFS(전표_원본!$P$5:$P$100000,전표_원본!$O$5:$O$100000,$A76,전표_원본!$M$5:$M$100000,Z$5))</f>
        <v/>
      </c>
      <c r="AB76" s="40">
        <f>IF(OR($A76="",1&gt;설정!$C$7),0,SUMIFS($C76:$Z76,$C$5:$Z$5,"&gt;="&amp;(설정!$C$6*12+1),$C$5:$Z$5,"&lt;="&amp;(설정!$C$6*12+1)))</f>
        <v/>
      </c>
      <c r="AC76" s="40">
        <f>IF(OR($A76="",2&gt;설정!$C$7),0,SUMIFS($C76:$Z76,$C$5:$Z$5,"&gt;="&amp;(설정!$C$6*12+1),$C$5:$Z$5,"&lt;="&amp;(설정!$C$6*12+2)))</f>
        <v/>
      </c>
      <c r="AD76" s="40">
        <f>IF(OR($A76="",3&gt;설정!$C$7),0,SUMIFS($C76:$Z76,$C$5:$Z$5,"&gt;="&amp;(설정!$C$6*12+1),$C$5:$Z$5,"&lt;="&amp;(설정!$C$6*12+3)))</f>
        <v/>
      </c>
      <c r="AE76" s="40">
        <f>IF(OR($A76="",4&gt;설정!$C$7),0,SUMIFS($C76:$Z76,$C$5:$Z$5,"&gt;="&amp;(설정!$C$6*12+1),$C$5:$Z$5,"&lt;="&amp;(설정!$C$6*12+4)))</f>
        <v/>
      </c>
      <c r="AF76" s="40">
        <f>IF(OR($A76="",5&gt;설정!$C$7),0,SUMIFS($C76:$Z76,$C$5:$Z$5,"&gt;="&amp;(설정!$C$6*12+1),$C$5:$Z$5,"&lt;="&amp;(설정!$C$6*12+5)))</f>
        <v/>
      </c>
      <c r="AG76" s="40">
        <f>IF(OR($A76="",6&gt;설정!$C$7),0,SUMIFS($C76:$Z76,$C$5:$Z$5,"&gt;="&amp;(설정!$C$6*12+1),$C$5:$Z$5,"&lt;="&amp;(설정!$C$6*12+6)))</f>
        <v/>
      </c>
      <c r="AH76" s="40">
        <f>IF(OR($A76="",7&gt;설정!$C$7),0,SUMIFS($C76:$Z76,$C$5:$Z$5,"&gt;="&amp;(설정!$C$6*12+1),$C$5:$Z$5,"&lt;="&amp;(설정!$C$6*12+7)))</f>
        <v/>
      </c>
      <c r="AI76" s="40">
        <f>IF(OR($A76="",8&gt;설정!$C$7),0,SUMIFS($C76:$Z76,$C$5:$Z$5,"&gt;="&amp;(설정!$C$6*12+1),$C$5:$Z$5,"&lt;="&amp;(설정!$C$6*12+8)))</f>
        <v/>
      </c>
      <c r="AJ76" s="40">
        <f>IF(OR($A76="",9&gt;설정!$C$7),0,SUMIFS($C76:$Z76,$C$5:$Z$5,"&gt;="&amp;(설정!$C$6*12+1),$C$5:$Z$5,"&lt;="&amp;(설정!$C$6*12+9)))</f>
        <v/>
      </c>
      <c r="AK76" s="40">
        <f>IF(OR($A76="",10&gt;설정!$C$7),0,SUMIFS($C76:$Z76,$C$5:$Z$5,"&gt;="&amp;(설정!$C$6*12+1),$C$5:$Z$5,"&lt;="&amp;(설정!$C$6*12+10)))</f>
        <v/>
      </c>
      <c r="AL76" s="40">
        <f>IF(OR($A76="",11&gt;설정!$C$7),0,SUMIFS($C76:$Z76,$C$5:$Z$5,"&gt;="&amp;(설정!$C$6*12+1),$C$5:$Z$5,"&lt;="&amp;(설정!$C$6*12+11)))</f>
        <v/>
      </c>
      <c r="AM76" s="40">
        <f>IF(OR($A76="",12&gt;설정!$C$7),0,SUMIFS($C76:$Z76,$C$5:$Z$5,"&gt;="&amp;(설정!$C$6*12+1),$C$5:$Z$5,"&lt;="&amp;(설정!$C$6*12+12)))</f>
        <v/>
      </c>
    </row>
    <row r="77">
      <c r="A77" s="26">
        <f>IF(변동분석!$A77="","",변동분석!$E77)</f>
        <v/>
      </c>
      <c r="B77" s="26">
        <f>IF($A77="","",변동분석!$B77&amp;" "&amp;변동분석!$D77)</f>
        <v/>
      </c>
      <c r="C77" s="35">
        <f>IF($A77="","",SUMIFS(전표_원본!$P$5:$P$100000,전표_원본!$O$5:$O$100000,$A77,전표_원본!$M$5:$M$100000,C$5))</f>
        <v/>
      </c>
      <c r="D77" s="35">
        <f>IF($A77="","",SUMIFS(전표_원본!$P$5:$P$100000,전표_원본!$O$5:$O$100000,$A77,전표_원본!$M$5:$M$100000,D$5))</f>
        <v/>
      </c>
      <c r="E77" s="35">
        <f>IF($A77="","",SUMIFS(전표_원본!$P$5:$P$100000,전표_원본!$O$5:$O$100000,$A77,전표_원본!$M$5:$M$100000,E$5))</f>
        <v/>
      </c>
      <c r="F77" s="35">
        <f>IF($A77="","",SUMIFS(전표_원본!$P$5:$P$100000,전표_원본!$O$5:$O$100000,$A77,전표_원본!$M$5:$M$100000,F$5))</f>
        <v/>
      </c>
      <c r="G77" s="35">
        <f>IF($A77="","",SUMIFS(전표_원본!$P$5:$P$100000,전표_원본!$O$5:$O$100000,$A77,전표_원본!$M$5:$M$100000,G$5))</f>
        <v/>
      </c>
      <c r="H77" s="35">
        <f>IF($A77="","",SUMIFS(전표_원본!$P$5:$P$100000,전표_원본!$O$5:$O$100000,$A77,전표_원본!$M$5:$M$100000,H$5))</f>
        <v/>
      </c>
      <c r="I77" s="35">
        <f>IF($A77="","",SUMIFS(전표_원본!$P$5:$P$100000,전표_원본!$O$5:$O$100000,$A77,전표_원본!$M$5:$M$100000,I$5))</f>
        <v/>
      </c>
      <c r="J77" s="35">
        <f>IF($A77="","",SUMIFS(전표_원본!$P$5:$P$100000,전표_원본!$O$5:$O$100000,$A77,전표_원본!$M$5:$M$100000,J$5))</f>
        <v/>
      </c>
      <c r="K77" s="35">
        <f>IF($A77="","",SUMIFS(전표_원본!$P$5:$P$100000,전표_원본!$O$5:$O$100000,$A77,전표_원본!$M$5:$M$100000,K$5))</f>
        <v/>
      </c>
      <c r="L77" s="35">
        <f>IF($A77="","",SUMIFS(전표_원본!$P$5:$P$100000,전표_원본!$O$5:$O$100000,$A77,전표_원본!$M$5:$M$100000,L$5))</f>
        <v/>
      </c>
      <c r="M77" s="35">
        <f>IF($A77="","",SUMIFS(전표_원본!$P$5:$P$100000,전표_원본!$O$5:$O$100000,$A77,전표_원본!$M$5:$M$100000,M$5))</f>
        <v/>
      </c>
      <c r="N77" s="35">
        <f>IF($A77="","",SUMIFS(전표_원본!$P$5:$P$100000,전표_원본!$O$5:$O$100000,$A77,전표_원본!$M$5:$M$100000,N$5))</f>
        <v/>
      </c>
      <c r="O77" s="35">
        <f>IF($A77="","",SUMIFS(전표_원본!$P$5:$P$100000,전표_원본!$O$5:$O$100000,$A77,전표_원본!$M$5:$M$100000,O$5))</f>
        <v/>
      </c>
      <c r="P77" s="35">
        <f>IF($A77="","",SUMIFS(전표_원본!$P$5:$P$100000,전표_원본!$O$5:$O$100000,$A77,전표_원본!$M$5:$M$100000,P$5))</f>
        <v/>
      </c>
      <c r="Q77" s="35">
        <f>IF($A77="","",SUMIFS(전표_원본!$P$5:$P$100000,전표_원본!$O$5:$O$100000,$A77,전표_원본!$M$5:$M$100000,Q$5))</f>
        <v/>
      </c>
      <c r="R77" s="35">
        <f>IF($A77="","",SUMIFS(전표_원본!$P$5:$P$100000,전표_원본!$O$5:$O$100000,$A77,전표_원본!$M$5:$M$100000,R$5))</f>
        <v/>
      </c>
      <c r="S77" s="35">
        <f>IF($A77="","",SUMIFS(전표_원본!$P$5:$P$100000,전표_원본!$O$5:$O$100000,$A77,전표_원본!$M$5:$M$100000,S$5))</f>
        <v/>
      </c>
      <c r="T77" s="35">
        <f>IF($A77="","",SUMIFS(전표_원본!$P$5:$P$100000,전표_원본!$O$5:$O$100000,$A77,전표_원본!$M$5:$M$100000,T$5))</f>
        <v/>
      </c>
      <c r="U77" s="35">
        <f>IF($A77="","",SUMIFS(전표_원본!$P$5:$P$100000,전표_원본!$O$5:$O$100000,$A77,전표_원본!$M$5:$M$100000,U$5))</f>
        <v/>
      </c>
      <c r="V77" s="35">
        <f>IF($A77="","",SUMIFS(전표_원본!$P$5:$P$100000,전표_원본!$O$5:$O$100000,$A77,전표_원본!$M$5:$M$100000,V$5))</f>
        <v/>
      </c>
      <c r="W77" s="35">
        <f>IF($A77="","",SUMIFS(전표_원본!$P$5:$P$100000,전표_원본!$O$5:$O$100000,$A77,전표_원본!$M$5:$M$100000,W$5))</f>
        <v/>
      </c>
      <c r="X77" s="35">
        <f>IF($A77="","",SUMIFS(전표_원본!$P$5:$P$100000,전표_원본!$O$5:$O$100000,$A77,전표_원본!$M$5:$M$100000,X$5))</f>
        <v/>
      </c>
      <c r="Y77" s="35">
        <f>IF($A77="","",SUMIFS(전표_원본!$P$5:$P$100000,전표_원본!$O$5:$O$100000,$A77,전표_원본!$M$5:$M$100000,Y$5))</f>
        <v/>
      </c>
      <c r="Z77" s="35">
        <f>IF($A77="","",SUMIFS(전표_원본!$P$5:$P$100000,전표_원본!$O$5:$O$100000,$A77,전표_원본!$M$5:$M$100000,Z$5))</f>
        <v/>
      </c>
      <c r="AB77" s="40">
        <f>IF(OR($A77="",1&gt;설정!$C$7),0,SUMIFS($C77:$Z77,$C$5:$Z$5,"&gt;="&amp;(설정!$C$6*12+1),$C$5:$Z$5,"&lt;="&amp;(설정!$C$6*12+1)))</f>
        <v/>
      </c>
      <c r="AC77" s="40">
        <f>IF(OR($A77="",2&gt;설정!$C$7),0,SUMIFS($C77:$Z77,$C$5:$Z$5,"&gt;="&amp;(설정!$C$6*12+1),$C$5:$Z$5,"&lt;="&amp;(설정!$C$6*12+2)))</f>
        <v/>
      </c>
      <c r="AD77" s="40">
        <f>IF(OR($A77="",3&gt;설정!$C$7),0,SUMIFS($C77:$Z77,$C$5:$Z$5,"&gt;="&amp;(설정!$C$6*12+1),$C$5:$Z$5,"&lt;="&amp;(설정!$C$6*12+3)))</f>
        <v/>
      </c>
      <c r="AE77" s="40">
        <f>IF(OR($A77="",4&gt;설정!$C$7),0,SUMIFS($C77:$Z77,$C$5:$Z$5,"&gt;="&amp;(설정!$C$6*12+1),$C$5:$Z$5,"&lt;="&amp;(설정!$C$6*12+4)))</f>
        <v/>
      </c>
      <c r="AF77" s="40">
        <f>IF(OR($A77="",5&gt;설정!$C$7),0,SUMIFS($C77:$Z77,$C$5:$Z$5,"&gt;="&amp;(설정!$C$6*12+1),$C$5:$Z$5,"&lt;="&amp;(설정!$C$6*12+5)))</f>
        <v/>
      </c>
      <c r="AG77" s="40">
        <f>IF(OR($A77="",6&gt;설정!$C$7),0,SUMIFS($C77:$Z77,$C$5:$Z$5,"&gt;="&amp;(설정!$C$6*12+1),$C$5:$Z$5,"&lt;="&amp;(설정!$C$6*12+6)))</f>
        <v/>
      </c>
      <c r="AH77" s="40">
        <f>IF(OR($A77="",7&gt;설정!$C$7),0,SUMIFS($C77:$Z77,$C$5:$Z$5,"&gt;="&amp;(설정!$C$6*12+1),$C$5:$Z$5,"&lt;="&amp;(설정!$C$6*12+7)))</f>
        <v/>
      </c>
      <c r="AI77" s="40">
        <f>IF(OR($A77="",8&gt;설정!$C$7),0,SUMIFS($C77:$Z77,$C$5:$Z$5,"&gt;="&amp;(설정!$C$6*12+1),$C$5:$Z$5,"&lt;="&amp;(설정!$C$6*12+8)))</f>
        <v/>
      </c>
      <c r="AJ77" s="40">
        <f>IF(OR($A77="",9&gt;설정!$C$7),0,SUMIFS($C77:$Z77,$C$5:$Z$5,"&gt;="&amp;(설정!$C$6*12+1),$C$5:$Z$5,"&lt;="&amp;(설정!$C$6*12+9)))</f>
        <v/>
      </c>
      <c r="AK77" s="40">
        <f>IF(OR($A77="",10&gt;설정!$C$7),0,SUMIFS($C77:$Z77,$C$5:$Z$5,"&gt;="&amp;(설정!$C$6*12+1),$C$5:$Z$5,"&lt;="&amp;(설정!$C$6*12+10)))</f>
        <v/>
      </c>
      <c r="AL77" s="40">
        <f>IF(OR($A77="",11&gt;설정!$C$7),0,SUMIFS($C77:$Z77,$C$5:$Z$5,"&gt;="&amp;(설정!$C$6*12+1),$C$5:$Z$5,"&lt;="&amp;(설정!$C$6*12+11)))</f>
        <v/>
      </c>
      <c r="AM77" s="40">
        <f>IF(OR($A77="",12&gt;설정!$C$7),0,SUMIFS($C77:$Z77,$C$5:$Z$5,"&gt;="&amp;(설정!$C$6*12+1),$C$5:$Z$5,"&lt;="&amp;(설정!$C$6*12+12)))</f>
        <v/>
      </c>
    </row>
    <row r="78">
      <c r="A78" s="26">
        <f>IF(변동분석!$A78="","",변동분석!$E78)</f>
        <v/>
      </c>
      <c r="B78" s="26">
        <f>IF($A78="","",변동분석!$B78&amp;" "&amp;변동분석!$D78)</f>
        <v/>
      </c>
      <c r="C78" s="35">
        <f>IF($A78="","",SUMIFS(전표_원본!$P$5:$P$100000,전표_원본!$O$5:$O$100000,$A78,전표_원본!$M$5:$M$100000,C$5))</f>
        <v/>
      </c>
      <c r="D78" s="35">
        <f>IF($A78="","",SUMIFS(전표_원본!$P$5:$P$100000,전표_원본!$O$5:$O$100000,$A78,전표_원본!$M$5:$M$100000,D$5))</f>
        <v/>
      </c>
      <c r="E78" s="35">
        <f>IF($A78="","",SUMIFS(전표_원본!$P$5:$P$100000,전표_원본!$O$5:$O$100000,$A78,전표_원본!$M$5:$M$100000,E$5))</f>
        <v/>
      </c>
      <c r="F78" s="35">
        <f>IF($A78="","",SUMIFS(전표_원본!$P$5:$P$100000,전표_원본!$O$5:$O$100000,$A78,전표_원본!$M$5:$M$100000,F$5))</f>
        <v/>
      </c>
      <c r="G78" s="35">
        <f>IF($A78="","",SUMIFS(전표_원본!$P$5:$P$100000,전표_원본!$O$5:$O$100000,$A78,전표_원본!$M$5:$M$100000,G$5))</f>
        <v/>
      </c>
      <c r="H78" s="35">
        <f>IF($A78="","",SUMIFS(전표_원본!$P$5:$P$100000,전표_원본!$O$5:$O$100000,$A78,전표_원본!$M$5:$M$100000,H$5))</f>
        <v/>
      </c>
      <c r="I78" s="35">
        <f>IF($A78="","",SUMIFS(전표_원본!$P$5:$P$100000,전표_원본!$O$5:$O$100000,$A78,전표_원본!$M$5:$M$100000,I$5))</f>
        <v/>
      </c>
      <c r="J78" s="35">
        <f>IF($A78="","",SUMIFS(전표_원본!$P$5:$P$100000,전표_원본!$O$5:$O$100000,$A78,전표_원본!$M$5:$M$100000,J$5))</f>
        <v/>
      </c>
      <c r="K78" s="35">
        <f>IF($A78="","",SUMIFS(전표_원본!$P$5:$P$100000,전표_원본!$O$5:$O$100000,$A78,전표_원본!$M$5:$M$100000,K$5))</f>
        <v/>
      </c>
      <c r="L78" s="35">
        <f>IF($A78="","",SUMIFS(전표_원본!$P$5:$P$100000,전표_원본!$O$5:$O$100000,$A78,전표_원본!$M$5:$M$100000,L$5))</f>
        <v/>
      </c>
      <c r="M78" s="35">
        <f>IF($A78="","",SUMIFS(전표_원본!$P$5:$P$100000,전표_원본!$O$5:$O$100000,$A78,전표_원본!$M$5:$M$100000,M$5))</f>
        <v/>
      </c>
      <c r="N78" s="35">
        <f>IF($A78="","",SUMIFS(전표_원본!$P$5:$P$100000,전표_원본!$O$5:$O$100000,$A78,전표_원본!$M$5:$M$100000,N$5))</f>
        <v/>
      </c>
      <c r="O78" s="35">
        <f>IF($A78="","",SUMIFS(전표_원본!$P$5:$P$100000,전표_원본!$O$5:$O$100000,$A78,전표_원본!$M$5:$M$100000,O$5))</f>
        <v/>
      </c>
      <c r="P78" s="35">
        <f>IF($A78="","",SUMIFS(전표_원본!$P$5:$P$100000,전표_원본!$O$5:$O$100000,$A78,전표_원본!$M$5:$M$100000,P$5))</f>
        <v/>
      </c>
      <c r="Q78" s="35">
        <f>IF($A78="","",SUMIFS(전표_원본!$P$5:$P$100000,전표_원본!$O$5:$O$100000,$A78,전표_원본!$M$5:$M$100000,Q$5))</f>
        <v/>
      </c>
      <c r="R78" s="35">
        <f>IF($A78="","",SUMIFS(전표_원본!$P$5:$P$100000,전표_원본!$O$5:$O$100000,$A78,전표_원본!$M$5:$M$100000,R$5))</f>
        <v/>
      </c>
      <c r="S78" s="35">
        <f>IF($A78="","",SUMIFS(전표_원본!$P$5:$P$100000,전표_원본!$O$5:$O$100000,$A78,전표_원본!$M$5:$M$100000,S$5))</f>
        <v/>
      </c>
      <c r="T78" s="35">
        <f>IF($A78="","",SUMIFS(전표_원본!$P$5:$P$100000,전표_원본!$O$5:$O$100000,$A78,전표_원본!$M$5:$M$100000,T$5))</f>
        <v/>
      </c>
      <c r="U78" s="35">
        <f>IF($A78="","",SUMIFS(전표_원본!$P$5:$P$100000,전표_원본!$O$5:$O$100000,$A78,전표_원본!$M$5:$M$100000,U$5))</f>
        <v/>
      </c>
      <c r="V78" s="35">
        <f>IF($A78="","",SUMIFS(전표_원본!$P$5:$P$100000,전표_원본!$O$5:$O$100000,$A78,전표_원본!$M$5:$M$100000,V$5))</f>
        <v/>
      </c>
      <c r="W78" s="35">
        <f>IF($A78="","",SUMIFS(전표_원본!$P$5:$P$100000,전표_원본!$O$5:$O$100000,$A78,전표_원본!$M$5:$M$100000,W$5))</f>
        <v/>
      </c>
      <c r="X78" s="35">
        <f>IF($A78="","",SUMIFS(전표_원본!$P$5:$P$100000,전표_원본!$O$5:$O$100000,$A78,전표_원본!$M$5:$M$100000,X$5))</f>
        <v/>
      </c>
      <c r="Y78" s="35">
        <f>IF($A78="","",SUMIFS(전표_원본!$P$5:$P$100000,전표_원본!$O$5:$O$100000,$A78,전표_원본!$M$5:$M$100000,Y$5))</f>
        <v/>
      </c>
      <c r="Z78" s="35">
        <f>IF($A78="","",SUMIFS(전표_원본!$P$5:$P$100000,전표_원본!$O$5:$O$100000,$A78,전표_원본!$M$5:$M$100000,Z$5))</f>
        <v/>
      </c>
      <c r="AB78" s="40">
        <f>IF(OR($A78="",1&gt;설정!$C$7),0,SUMIFS($C78:$Z78,$C$5:$Z$5,"&gt;="&amp;(설정!$C$6*12+1),$C$5:$Z$5,"&lt;="&amp;(설정!$C$6*12+1)))</f>
        <v/>
      </c>
      <c r="AC78" s="40">
        <f>IF(OR($A78="",2&gt;설정!$C$7),0,SUMIFS($C78:$Z78,$C$5:$Z$5,"&gt;="&amp;(설정!$C$6*12+1),$C$5:$Z$5,"&lt;="&amp;(설정!$C$6*12+2)))</f>
        <v/>
      </c>
      <c r="AD78" s="40">
        <f>IF(OR($A78="",3&gt;설정!$C$7),0,SUMIFS($C78:$Z78,$C$5:$Z$5,"&gt;="&amp;(설정!$C$6*12+1),$C$5:$Z$5,"&lt;="&amp;(설정!$C$6*12+3)))</f>
        <v/>
      </c>
      <c r="AE78" s="40">
        <f>IF(OR($A78="",4&gt;설정!$C$7),0,SUMIFS($C78:$Z78,$C$5:$Z$5,"&gt;="&amp;(설정!$C$6*12+1),$C$5:$Z$5,"&lt;="&amp;(설정!$C$6*12+4)))</f>
        <v/>
      </c>
      <c r="AF78" s="40">
        <f>IF(OR($A78="",5&gt;설정!$C$7),0,SUMIFS($C78:$Z78,$C$5:$Z$5,"&gt;="&amp;(설정!$C$6*12+1),$C$5:$Z$5,"&lt;="&amp;(설정!$C$6*12+5)))</f>
        <v/>
      </c>
      <c r="AG78" s="40">
        <f>IF(OR($A78="",6&gt;설정!$C$7),0,SUMIFS($C78:$Z78,$C$5:$Z$5,"&gt;="&amp;(설정!$C$6*12+1),$C$5:$Z$5,"&lt;="&amp;(설정!$C$6*12+6)))</f>
        <v/>
      </c>
      <c r="AH78" s="40">
        <f>IF(OR($A78="",7&gt;설정!$C$7),0,SUMIFS($C78:$Z78,$C$5:$Z$5,"&gt;="&amp;(설정!$C$6*12+1),$C$5:$Z$5,"&lt;="&amp;(설정!$C$6*12+7)))</f>
        <v/>
      </c>
      <c r="AI78" s="40">
        <f>IF(OR($A78="",8&gt;설정!$C$7),0,SUMIFS($C78:$Z78,$C$5:$Z$5,"&gt;="&amp;(설정!$C$6*12+1),$C$5:$Z$5,"&lt;="&amp;(설정!$C$6*12+8)))</f>
        <v/>
      </c>
      <c r="AJ78" s="40">
        <f>IF(OR($A78="",9&gt;설정!$C$7),0,SUMIFS($C78:$Z78,$C$5:$Z$5,"&gt;="&amp;(설정!$C$6*12+1),$C$5:$Z$5,"&lt;="&amp;(설정!$C$6*12+9)))</f>
        <v/>
      </c>
      <c r="AK78" s="40">
        <f>IF(OR($A78="",10&gt;설정!$C$7),0,SUMIFS($C78:$Z78,$C$5:$Z$5,"&gt;="&amp;(설정!$C$6*12+1),$C$5:$Z$5,"&lt;="&amp;(설정!$C$6*12+10)))</f>
        <v/>
      </c>
      <c r="AL78" s="40">
        <f>IF(OR($A78="",11&gt;설정!$C$7),0,SUMIFS($C78:$Z78,$C$5:$Z$5,"&gt;="&amp;(설정!$C$6*12+1),$C$5:$Z$5,"&lt;="&amp;(설정!$C$6*12+11)))</f>
        <v/>
      </c>
      <c r="AM78" s="40">
        <f>IF(OR($A78="",12&gt;설정!$C$7),0,SUMIFS($C78:$Z78,$C$5:$Z$5,"&gt;="&amp;(설정!$C$6*12+1),$C$5:$Z$5,"&lt;="&amp;(설정!$C$6*12+12)))</f>
        <v/>
      </c>
    </row>
    <row r="79">
      <c r="A79" s="26">
        <f>IF(변동분석!$A79="","",변동분석!$E79)</f>
        <v/>
      </c>
      <c r="B79" s="26">
        <f>IF($A79="","",변동분석!$B79&amp;" "&amp;변동분석!$D79)</f>
        <v/>
      </c>
      <c r="C79" s="35">
        <f>IF($A79="","",SUMIFS(전표_원본!$P$5:$P$100000,전표_원본!$O$5:$O$100000,$A79,전표_원본!$M$5:$M$100000,C$5))</f>
        <v/>
      </c>
      <c r="D79" s="35">
        <f>IF($A79="","",SUMIFS(전표_원본!$P$5:$P$100000,전표_원본!$O$5:$O$100000,$A79,전표_원본!$M$5:$M$100000,D$5))</f>
        <v/>
      </c>
      <c r="E79" s="35">
        <f>IF($A79="","",SUMIFS(전표_원본!$P$5:$P$100000,전표_원본!$O$5:$O$100000,$A79,전표_원본!$M$5:$M$100000,E$5))</f>
        <v/>
      </c>
      <c r="F79" s="35">
        <f>IF($A79="","",SUMIFS(전표_원본!$P$5:$P$100000,전표_원본!$O$5:$O$100000,$A79,전표_원본!$M$5:$M$100000,F$5))</f>
        <v/>
      </c>
      <c r="G79" s="35">
        <f>IF($A79="","",SUMIFS(전표_원본!$P$5:$P$100000,전표_원본!$O$5:$O$100000,$A79,전표_원본!$M$5:$M$100000,G$5))</f>
        <v/>
      </c>
      <c r="H79" s="35">
        <f>IF($A79="","",SUMIFS(전표_원본!$P$5:$P$100000,전표_원본!$O$5:$O$100000,$A79,전표_원본!$M$5:$M$100000,H$5))</f>
        <v/>
      </c>
      <c r="I79" s="35">
        <f>IF($A79="","",SUMIFS(전표_원본!$P$5:$P$100000,전표_원본!$O$5:$O$100000,$A79,전표_원본!$M$5:$M$100000,I$5))</f>
        <v/>
      </c>
      <c r="J79" s="35">
        <f>IF($A79="","",SUMIFS(전표_원본!$P$5:$P$100000,전표_원본!$O$5:$O$100000,$A79,전표_원본!$M$5:$M$100000,J$5))</f>
        <v/>
      </c>
      <c r="K79" s="35">
        <f>IF($A79="","",SUMIFS(전표_원본!$P$5:$P$100000,전표_원본!$O$5:$O$100000,$A79,전표_원본!$M$5:$M$100000,K$5))</f>
        <v/>
      </c>
      <c r="L79" s="35">
        <f>IF($A79="","",SUMIFS(전표_원본!$P$5:$P$100000,전표_원본!$O$5:$O$100000,$A79,전표_원본!$M$5:$M$100000,L$5))</f>
        <v/>
      </c>
      <c r="M79" s="35">
        <f>IF($A79="","",SUMIFS(전표_원본!$P$5:$P$100000,전표_원본!$O$5:$O$100000,$A79,전표_원본!$M$5:$M$100000,M$5))</f>
        <v/>
      </c>
      <c r="N79" s="35">
        <f>IF($A79="","",SUMIFS(전표_원본!$P$5:$P$100000,전표_원본!$O$5:$O$100000,$A79,전표_원본!$M$5:$M$100000,N$5))</f>
        <v/>
      </c>
      <c r="O79" s="35">
        <f>IF($A79="","",SUMIFS(전표_원본!$P$5:$P$100000,전표_원본!$O$5:$O$100000,$A79,전표_원본!$M$5:$M$100000,O$5))</f>
        <v/>
      </c>
      <c r="P79" s="35">
        <f>IF($A79="","",SUMIFS(전표_원본!$P$5:$P$100000,전표_원본!$O$5:$O$100000,$A79,전표_원본!$M$5:$M$100000,P$5))</f>
        <v/>
      </c>
      <c r="Q79" s="35">
        <f>IF($A79="","",SUMIFS(전표_원본!$P$5:$P$100000,전표_원본!$O$5:$O$100000,$A79,전표_원본!$M$5:$M$100000,Q$5))</f>
        <v/>
      </c>
      <c r="R79" s="35">
        <f>IF($A79="","",SUMIFS(전표_원본!$P$5:$P$100000,전표_원본!$O$5:$O$100000,$A79,전표_원본!$M$5:$M$100000,R$5))</f>
        <v/>
      </c>
      <c r="S79" s="35">
        <f>IF($A79="","",SUMIFS(전표_원본!$P$5:$P$100000,전표_원본!$O$5:$O$100000,$A79,전표_원본!$M$5:$M$100000,S$5))</f>
        <v/>
      </c>
      <c r="T79" s="35">
        <f>IF($A79="","",SUMIFS(전표_원본!$P$5:$P$100000,전표_원본!$O$5:$O$100000,$A79,전표_원본!$M$5:$M$100000,T$5))</f>
        <v/>
      </c>
      <c r="U79" s="35">
        <f>IF($A79="","",SUMIFS(전표_원본!$P$5:$P$100000,전표_원본!$O$5:$O$100000,$A79,전표_원본!$M$5:$M$100000,U$5))</f>
        <v/>
      </c>
      <c r="V79" s="35">
        <f>IF($A79="","",SUMIFS(전표_원본!$P$5:$P$100000,전표_원본!$O$5:$O$100000,$A79,전표_원본!$M$5:$M$100000,V$5))</f>
        <v/>
      </c>
      <c r="W79" s="35">
        <f>IF($A79="","",SUMIFS(전표_원본!$P$5:$P$100000,전표_원본!$O$5:$O$100000,$A79,전표_원본!$M$5:$M$100000,W$5))</f>
        <v/>
      </c>
      <c r="X79" s="35">
        <f>IF($A79="","",SUMIFS(전표_원본!$P$5:$P$100000,전표_원본!$O$5:$O$100000,$A79,전표_원본!$M$5:$M$100000,X$5))</f>
        <v/>
      </c>
      <c r="Y79" s="35">
        <f>IF($A79="","",SUMIFS(전표_원본!$P$5:$P$100000,전표_원본!$O$5:$O$100000,$A79,전표_원본!$M$5:$M$100000,Y$5))</f>
        <v/>
      </c>
      <c r="Z79" s="35">
        <f>IF($A79="","",SUMIFS(전표_원본!$P$5:$P$100000,전표_원본!$O$5:$O$100000,$A79,전표_원본!$M$5:$M$100000,Z$5))</f>
        <v/>
      </c>
      <c r="AB79" s="40">
        <f>IF(OR($A79="",1&gt;설정!$C$7),0,SUMIFS($C79:$Z79,$C$5:$Z$5,"&gt;="&amp;(설정!$C$6*12+1),$C$5:$Z$5,"&lt;="&amp;(설정!$C$6*12+1)))</f>
        <v/>
      </c>
      <c r="AC79" s="40">
        <f>IF(OR($A79="",2&gt;설정!$C$7),0,SUMIFS($C79:$Z79,$C$5:$Z$5,"&gt;="&amp;(설정!$C$6*12+1),$C$5:$Z$5,"&lt;="&amp;(설정!$C$6*12+2)))</f>
        <v/>
      </c>
      <c r="AD79" s="40">
        <f>IF(OR($A79="",3&gt;설정!$C$7),0,SUMIFS($C79:$Z79,$C$5:$Z$5,"&gt;="&amp;(설정!$C$6*12+1),$C$5:$Z$5,"&lt;="&amp;(설정!$C$6*12+3)))</f>
        <v/>
      </c>
      <c r="AE79" s="40">
        <f>IF(OR($A79="",4&gt;설정!$C$7),0,SUMIFS($C79:$Z79,$C$5:$Z$5,"&gt;="&amp;(설정!$C$6*12+1),$C$5:$Z$5,"&lt;="&amp;(설정!$C$6*12+4)))</f>
        <v/>
      </c>
      <c r="AF79" s="40">
        <f>IF(OR($A79="",5&gt;설정!$C$7),0,SUMIFS($C79:$Z79,$C$5:$Z$5,"&gt;="&amp;(설정!$C$6*12+1),$C$5:$Z$5,"&lt;="&amp;(설정!$C$6*12+5)))</f>
        <v/>
      </c>
      <c r="AG79" s="40">
        <f>IF(OR($A79="",6&gt;설정!$C$7),0,SUMIFS($C79:$Z79,$C$5:$Z$5,"&gt;="&amp;(설정!$C$6*12+1),$C$5:$Z$5,"&lt;="&amp;(설정!$C$6*12+6)))</f>
        <v/>
      </c>
      <c r="AH79" s="40">
        <f>IF(OR($A79="",7&gt;설정!$C$7),0,SUMIFS($C79:$Z79,$C$5:$Z$5,"&gt;="&amp;(설정!$C$6*12+1),$C$5:$Z$5,"&lt;="&amp;(설정!$C$6*12+7)))</f>
        <v/>
      </c>
      <c r="AI79" s="40">
        <f>IF(OR($A79="",8&gt;설정!$C$7),0,SUMIFS($C79:$Z79,$C$5:$Z$5,"&gt;="&amp;(설정!$C$6*12+1),$C$5:$Z$5,"&lt;="&amp;(설정!$C$6*12+8)))</f>
        <v/>
      </c>
      <c r="AJ79" s="40">
        <f>IF(OR($A79="",9&gt;설정!$C$7),0,SUMIFS($C79:$Z79,$C$5:$Z$5,"&gt;="&amp;(설정!$C$6*12+1),$C$5:$Z$5,"&lt;="&amp;(설정!$C$6*12+9)))</f>
        <v/>
      </c>
      <c r="AK79" s="40">
        <f>IF(OR($A79="",10&gt;설정!$C$7),0,SUMIFS($C79:$Z79,$C$5:$Z$5,"&gt;="&amp;(설정!$C$6*12+1),$C$5:$Z$5,"&lt;="&amp;(설정!$C$6*12+10)))</f>
        <v/>
      </c>
      <c r="AL79" s="40">
        <f>IF(OR($A79="",11&gt;설정!$C$7),0,SUMIFS($C79:$Z79,$C$5:$Z$5,"&gt;="&amp;(설정!$C$6*12+1),$C$5:$Z$5,"&lt;="&amp;(설정!$C$6*12+11)))</f>
        <v/>
      </c>
      <c r="AM79" s="40">
        <f>IF(OR($A79="",12&gt;설정!$C$7),0,SUMIFS($C79:$Z79,$C$5:$Z$5,"&gt;="&amp;(설정!$C$6*12+1),$C$5:$Z$5,"&lt;="&amp;(설정!$C$6*12+12)))</f>
        <v/>
      </c>
    </row>
    <row r="80">
      <c r="A80" s="26">
        <f>IF(변동분석!$A80="","",변동분석!$E80)</f>
        <v/>
      </c>
      <c r="B80" s="26">
        <f>IF($A80="","",변동분석!$B80&amp;" "&amp;변동분석!$D80)</f>
        <v/>
      </c>
      <c r="C80" s="35">
        <f>IF($A80="","",SUMIFS(전표_원본!$P$5:$P$100000,전표_원본!$O$5:$O$100000,$A80,전표_원본!$M$5:$M$100000,C$5))</f>
        <v/>
      </c>
      <c r="D80" s="35">
        <f>IF($A80="","",SUMIFS(전표_원본!$P$5:$P$100000,전표_원본!$O$5:$O$100000,$A80,전표_원본!$M$5:$M$100000,D$5))</f>
        <v/>
      </c>
      <c r="E80" s="35">
        <f>IF($A80="","",SUMIFS(전표_원본!$P$5:$P$100000,전표_원본!$O$5:$O$100000,$A80,전표_원본!$M$5:$M$100000,E$5))</f>
        <v/>
      </c>
      <c r="F80" s="35">
        <f>IF($A80="","",SUMIFS(전표_원본!$P$5:$P$100000,전표_원본!$O$5:$O$100000,$A80,전표_원본!$M$5:$M$100000,F$5))</f>
        <v/>
      </c>
      <c r="G80" s="35">
        <f>IF($A80="","",SUMIFS(전표_원본!$P$5:$P$100000,전표_원본!$O$5:$O$100000,$A80,전표_원본!$M$5:$M$100000,G$5))</f>
        <v/>
      </c>
      <c r="H80" s="35">
        <f>IF($A80="","",SUMIFS(전표_원본!$P$5:$P$100000,전표_원본!$O$5:$O$100000,$A80,전표_원본!$M$5:$M$100000,H$5))</f>
        <v/>
      </c>
      <c r="I80" s="35">
        <f>IF($A80="","",SUMIFS(전표_원본!$P$5:$P$100000,전표_원본!$O$5:$O$100000,$A80,전표_원본!$M$5:$M$100000,I$5))</f>
        <v/>
      </c>
      <c r="J80" s="35">
        <f>IF($A80="","",SUMIFS(전표_원본!$P$5:$P$100000,전표_원본!$O$5:$O$100000,$A80,전표_원본!$M$5:$M$100000,J$5))</f>
        <v/>
      </c>
      <c r="K80" s="35">
        <f>IF($A80="","",SUMIFS(전표_원본!$P$5:$P$100000,전표_원본!$O$5:$O$100000,$A80,전표_원본!$M$5:$M$100000,K$5))</f>
        <v/>
      </c>
      <c r="L80" s="35">
        <f>IF($A80="","",SUMIFS(전표_원본!$P$5:$P$100000,전표_원본!$O$5:$O$100000,$A80,전표_원본!$M$5:$M$100000,L$5))</f>
        <v/>
      </c>
      <c r="M80" s="35">
        <f>IF($A80="","",SUMIFS(전표_원본!$P$5:$P$100000,전표_원본!$O$5:$O$100000,$A80,전표_원본!$M$5:$M$100000,M$5))</f>
        <v/>
      </c>
      <c r="N80" s="35">
        <f>IF($A80="","",SUMIFS(전표_원본!$P$5:$P$100000,전표_원본!$O$5:$O$100000,$A80,전표_원본!$M$5:$M$100000,N$5))</f>
        <v/>
      </c>
      <c r="O80" s="35">
        <f>IF($A80="","",SUMIFS(전표_원본!$P$5:$P$100000,전표_원본!$O$5:$O$100000,$A80,전표_원본!$M$5:$M$100000,O$5))</f>
        <v/>
      </c>
      <c r="P80" s="35">
        <f>IF($A80="","",SUMIFS(전표_원본!$P$5:$P$100000,전표_원본!$O$5:$O$100000,$A80,전표_원본!$M$5:$M$100000,P$5))</f>
        <v/>
      </c>
      <c r="Q80" s="35">
        <f>IF($A80="","",SUMIFS(전표_원본!$P$5:$P$100000,전표_원본!$O$5:$O$100000,$A80,전표_원본!$M$5:$M$100000,Q$5))</f>
        <v/>
      </c>
      <c r="R80" s="35">
        <f>IF($A80="","",SUMIFS(전표_원본!$P$5:$P$100000,전표_원본!$O$5:$O$100000,$A80,전표_원본!$M$5:$M$100000,R$5))</f>
        <v/>
      </c>
      <c r="S80" s="35">
        <f>IF($A80="","",SUMIFS(전표_원본!$P$5:$P$100000,전표_원본!$O$5:$O$100000,$A80,전표_원본!$M$5:$M$100000,S$5))</f>
        <v/>
      </c>
      <c r="T80" s="35">
        <f>IF($A80="","",SUMIFS(전표_원본!$P$5:$P$100000,전표_원본!$O$5:$O$100000,$A80,전표_원본!$M$5:$M$100000,T$5))</f>
        <v/>
      </c>
      <c r="U80" s="35">
        <f>IF($A80="","",SUMIFS(전표_원본!$P$5:$P$100000,전표_원본!$O$5:$O$100000,$A80,전표_원본!$M$5:$M$100000,U$5))</f>
        <v/>
      </c>
      <c r="V80" s="35">
        <f>IF($A80="","",SUMIFS(전표_원본!$P$5:$P$100000,전표_원본!$O$5:$O$100000,$A80,전표_원본!$M$5:$M$100000,V$5))</f>
        <v/>
      </c>
      <c r="W80" s="35">
        <f>IF($A80="","",SUMIFS(전표_원본!$P$5:$P$100000,전표_원본!$O$5:$O$100000,$A80,전표_원본!$M$5:$M$100000,W$5))</f>
        <v/>
      </c>
      <c r="X80" s="35">
        <f>IF($A80="","",SUMIFS(전표_원본!$P$5:$P$100000,전표_원본!$O$5:$O$100000,$A80,전표_원본!$M$5:$M$100000,X$5))</f>
        <v/>
      </c>
      <c r="Y80" s="35">
        <f>IF($A80="","",SUMIFS(전표_원본!$P$5:$P$100000,전표_원본!$O$5:$O$100000,$A80,전표_원본!$M$5:$M$100000,Y$5))</f>
        <v/>
      </c>
      <c r="Z80" s="35">
        <f>IF($A80="","",SUMIFS(전표_원본!$P$5:$P$100000,전표_원본!$O$5:$O$100000,$A80,전표_원본!$M$5:$M$100000,Z$5))</f>
        <v/>
      </c>
      <c r="AB80" s="40">
        <f>IF(OR($A80="",1&gt;설정!$C$7),0,SUMIFS($C80:$Z80,$C$5:$Z$5,"&gt;="&amp;(설정!$C$6*12+1),$C$5:$Z$5,"&lt;="&amp;(설정!$C$6*12+1)))</f>
        <v/>
      </c>
      <c r="AC80" s="40">
        <f>IF(OR($A80="",2&gt;설정!$C$7),0,SUMIFS($C80:$Z80,$C$5:$Z$5,"&gt;="&amp;(설정!$C$6*12+1),$C$5:$Z$5,"&lt;="&amp;(설정!$C$6*12+2)))</f>
        <v/>
      </c>
      <c r="AD80" s="40">
        <f>IF(OR($A80="",3&gt;설정!$C$7),0,SUMIFS($C80:$Z80,$C$5:$Z$5,"&gt;="&amp;(설정!$C$6*12+1),$C$5:$Z$5,"&lt;="&amp;(설정!$C$6*12+3)))</f>
        <v/>
      </c>
      <c r="AE80" s="40">
        <f>IF(OR($A80="",4&gt;설정!$C$7),0,SUMIFS($C80:$Z80,$C$5:$Z$5,"&gt;="&amp;(설정!$C$6*12+1),$C$5:$Z$5,"&lt;="&amp;(설정!$C$6*12+4)))</f>
        <v/>
      </c>
      <c r="AF80" s="40">
        <f>IF(OR($A80="",5&gt;설정!$C$7),0,SUMIFS($C80:$Z80,$C$5:$Z$5,"&gt;="&amp;(설정!$C$6*12+1),$C$5:$Z$5,"&lt;="&amp;(설정!$C$6*12+5)))</f>
        <v/>
      </c>
      <c r="AG80" s="40">
        <f>IF(OR($A80="",6&gt;설정!$C$7),0,SUMIFS($C80:$Z80,$C$5:$Z$5,"&gt;="&amp;(설정!$C$6*12+1),$C$5:$Z$5,"&lt;="&amp;(설정!$C$6*12+6)))</f>
        <v/>
      </c>
      <c r="AH80" s="40">
        <f>IF(OR($A80="",7&gt;설정!$C$7),0,SUMIFS($C80:$Z80,$C$5:$Z$5,"&gt;="&amp;(설정!$C$6*12+1),$C$5:$Z$5,"&lt;="&amp;(설정!$C$6*12+7)))</f>
        <v/>
      </c>
      <c r="AI80" s="40">
        <f>IF(OR($A80="",8&gt;설정!$C$7),0,SUMIFS($C80:$Z80,$C$5:$Z$5,"&gt;="&amp;(설정!$C$6*12+1),$C$5:$Z$5,"&lt;="&amp;(설정!$C$6*12+8)))</f>
        <v/>
      </c>
      <c r="AJ80" s="40">
        <f>IF(OR($A80="",9&gt;설정!$C$7),0,SUMIFS($C80:$Z80,$C$5:$Z$5,"&gt;="&amp;(설정!$C$6*12+1),$C$5:$Z$5,"&lt;="&amp;(설정!$C$6*12+9)))</f>
        <v/>
      </c>
      <c r="AK80" s="40">
        <f>IF(OR($A80="",10&gt;설정!$C$7),0,SUMIFS($C80:$Z80,$C$5:$Z$5,"&gt;="&amp;(설정!$C$6*12+1),$C$5:$Z$5,"&lt;="&amp;(설정!$C$6*12+10)))</f>
        <v/>
      </c>
      <c r="AL80" s="40">
        <f>IF(OR($A80="",11&gt;설정!$C$7),0,SUMIFS($C80:$Z80,$C$5:$Z$5,"&gt;="&amp;(설정!$C$6*12+1),$C$5:$Z$5,"&lt;="&amp;(설정!$C$6*12+11)))</f>
        <v/>
      </c>
      <c r="AM80" s="40">
        <f>IF(OR($A80="",12&gt;설정!$C$7),0,SUMIFS($C80:$Z80,$C$5:$Z$5,"&gt;="&amp;(설정!$C$6*12+1),$C$5:$Z$5,"&lt;="&amp;(설정!$C$6*12+12)))</f>
        <v/>
      </c>
    </row>
    <row r="81">
      <c r="A81" s="26">
        <f>IF(변동분석!$A81="","",변동분석!$E81)</f>
        <v/>
      </c>
      <c r="B81" s="26">
        <f>IF($A81="","",변동분석!$B81&amp;" "&amp;변동분석!$D81)</f>
        <v/>
      </c>
      <c r="C81" s="35">
        <f>IF($A81="","",SUMIFS(전표_원본!$P$5:$P$100000,전표_원본!$O$5:$O$100000,$A81,전표_원본!$M$5:$M$100000,C$5))</f>
        <v/>
      </c>
      <c r="D81" s="35">
        <f>IF($A81="","",SUMIFS(전표_원본!$P$5:$P$100000,전표_원본!$O$5:$O$100000,$A81,전표_원본!$M$5:$M$100000,D$5))</f>
        <v/>
      </c>
      <c r="E81" s="35">
        <f>IF($A81="","",SUMIFS(전표_원본!$P$5:$P$100000,전표_원본!$O$5:$O$100000,$A81,전표_원본!$M$5:$M$100000,E$5))</f>
        <v/>
      </c>
      <c r="F81" s="35">
        <f>IF($A81="","",SUMIFS(전표_원본!$P$5:$P$100000,전표_원본!$O$5:$O$100000,$A81,전표_원본!$M$5:$M$100000,F$5))</f>
        <v/>
      </c>
      <c r="G81" s="35">
        <f>IF($A81="","",SUMIFS(전표_원본!$P$5:$P$100000,전표_원본!$O$5:$O$100000,$A81,전표_원본!$M$5:$M$100000,G$5))</f>
        <v/>
      </c>
      <c r="H81" s="35">
        <f>IF($A81="","",SUMIFS(전표_원본!$P$5:$P$100000,전표_원본!$O$5:$O$100000,$A81,전표_원본!$M$5:$M$100000,H$5))</f>
        <v/>
      </c>
      <c r="I81" s="35">
        <f>IF($A81="","",SUMIFS(전표_원본!$P$5:$P$100000,전표_원본!$O$5:$O$100000,$A81,전표_원본!$M$5:$M$100000,I$5))</f>
        <v/>
      </c>
      <c r="J81" s="35">
        <f>IF($A81="","",SUMIFS(전표_원본!$P$5:$P$100000,전표_원본!$O$5:$O$100000,$A81,전표_원본!$M$5:$M$100000,J$5))</f>
        <v/>
      </c>
      <c r="K81" s="35">
        <f>IF($A81="","",SUMIFS(전표_원본!$P$5:$P$100000,전표_원본!$O$5:$O$100000,$A81,전표_원본!$M$5:$M$100000,K$5))</f>
        <v/>
      </c>
      <c r="L81" s="35">
        <f>IF($A81="","",SUMIFS(전표_원본!$P$5:$P$100000,전표_원본!$O$5:$O$100000,$A81,전표_원본!$M$5:$M$100000,L$5))</f>
        <v/>
      </c>
      <c r="M81" s="35">
        <f>IF($A81="","",SUMIFS(전표_원본!$P$5:$P$100000,전표_원본!$O$5:$O$100000,$A81,전표_원본!$M$5:$M$100000,M$5))</f>
        <v/>
      </c>
      <c r="N81" s="35">
        <f>IF($A81="","",SUMIFS(전표_원본!$P$5:$P$100000,전표_원본!$O$5:$O$100000,$A81,전표_원본!$M$5:$M$100000,N$5))</f>
        <v/>
      </c>
      <c r="O81" s="35">
        <f>IF($A81="","",SUMIFS(전표_원본!$P$5:$P$100000,전표_원본!$O$5:$O$100000,$A81,전표_원본!$M$5:$M$100000,O$5))</f>
        <v/>
      </c>
      <c r="P81" s="35">
        <f>IF($A81="","",SUMIFS(전표_원본!$P$5:$P$100000,전표_원본!$O$5:$O$100000,$A81,전표_원본!$M$5:$M$100000,P$5))</f>
        <v/>
      </c>
      <c r="Q81" s="35">
        <f>IF($A81="","",SUMIFS(전표_원본!$P$5:$P$100000,전표_원본!$O$5:$O$100000,$A81,전표_원본!$M$5:$M$100000,Q$5))</f>
        <v/>
      </c>
      <c r="R81" s="35">
        <f>IF($A81="","",SUMIFS(전표_원본!$P$5:$P$100000,전표_원본!$O$5:$O$100000,$A81,전표_원본!$M$5:$M$100000,R$5))</f>
        <v/>
      </c>
      <c r="S81" s="35">
        <f>IF($A81="","",SUMIFS(전표_원본!$P$5:$P$100000,전표_원본!$O$5:$O$100000,$A81,전표_원본!$M$5:$M$100000,S$5))</f>
        <v/>
      </c>
      <c r="T81" s="35">
        <f>IF($A81="","",SUMIFS(전표_원본!$P$5:$P$100000,전표_원본!$O$5:$O$100000,$A81,전표_원본!$M$5:$M$100000,T$5))</f>
        <v/>
      </c>
      <c r="U81" s="35">
        <f>IF($A81="","",SUMIFS(전표_원본!$P$5:$P$100000,전표_원본!$O$5:$O$100000,$A81,전표_원본!$M$5:$M$100000,U$5))</f>
        <v/>
      </c>
      <c r="V81" s="35">
        <f>IF($A81="","",SUMIFS(전표_원본!$P$5:$P$100000,전표_원본!$O$5:$O$100000,$A81,전표_원본!$M$5:$M$100000,V$5))</f>
        <v/>
      </c>
      <c r="W81" s="35">
        <f>IF($A81="","",SUMIFS(전표_원본!$P$5:$P$100000,전표_원본!$O$5:$O$100000,$A81,전표_원본!$M$5:$M$100000,W$5))</f>
        <v/>
      </c>
      <c r="X81" s="35">
        <f>IF($A81="","",SUMIFS(전표_원본!$P$5:$P$100000,전표_원본!$O$5:$O$100000,$A81,전표_원본!$M$5:$M$100000,X$5))</f>
        <v/>
      </c>
      <c r="Y81" s="35">
        <f>IF($A81="","",SUMIFS(전표_원본!$P$5:$P$100000,전표_원본!$O$5:$O$100000,$A81,전표_원본!$M$5:$M$100000,Y$5))</f>
        <v/>
      </c>
      <c r="Z81" s="35">
        <f>IF($A81="","",SUMIFS(전표_원본!$P$5:$P$100000,전표_원본!$O$5:$O$100000,$A81,전표_원본!$M$5:$M$100000,Z$5))</f>
        <v/>
      </c>
      <c r="AB81" s="40">
        <f>IF(OR($A81="",1&gt;설정!$C$7),0,SUMIFS($C81:$Z81,$C$5:$Z$5,"&gt;="&amp;(설정!$C$6*12+1),$C$5:$Z$5,"&lt;="&amp;(설정!$C$6*12+1)))</f>
        <v/>
      </c>
      <c r="AC81" s="40">
        <f>IF(OR($A81="",2&gt;설정!$C$7),0,SUMIFS($C81:$Z81,$C$5:$Z$5,"&gt;="&amp;(설정!$C$6*12+1),$C$5:$Z$5,"&lt;="&amp;(설정!$C$6*12+2)))</f>
        <v/>
      </c>
      <c r="AD81" s="40">
        <f>IF(OR($A81="",3&gt;설정!$C$7),0,SUMIFS($C81:$Z81,$C$5:$Z$5,"&gt;="&amp;(설정!$C$6*12+1),$C$5:$Z$5,"&lt;="&amp;(설정!$C$6*12+3)))</f>
        <v/>
      </c>
      <c r="AE81" s="40">
        <f>IF(OR($A81="",4&gt;설정!$C$7),0,SUMIFS($C81:$Z81,$C$5:$Z$5,"&gt;="&amp;(설정!$C$6*12+1),$C$5:$Z$5,"&lt;="&amp;(설정!$C$6*12+4)))</f>
        <v/>
      </c>
      <c r="AF81" s="40">
        <f>IF(OR($A81="",5&gt;설정!$C$7),0,SUMIFS($C81:$Z81,$C$5:$Z$5,"&gt;="&amp;(설정!$C$6*12+1),$C$5:$Z$5,"&lt;="&amp;(설정!$C$6*12+5)))</f>
        <v/>
      </c>
      <c r="AG81" s="40">
        <f>IF(OR($A81="",6&gt;설정!$C$7),0,SUMIFS($C81:$Z81,$C$5:$Z$5,"&gt;="&amp;(설정!$C$6*12+1),$C$5:$Z$5,"&lt;="&amp;(설정!$C$6*12+6)))</f>
        <v/>
      </c>
      <c r="AH81" s="40">
        <f>IF(OR($A81="",7&gt;설정!$C$7),0,SUMIFS($C81:$Z81,$C$5:$Z$5,"&gt;="&amp;(설정!$C$6*12+1),$C$5:$Z$5,"&lt;="&amp;(설정!$C$6*12+7)))</f>
        <v/>
      </c>
      <c r="AI81" s="40">
        <f>IF(OR($A81="",8&gt;설정!$C$7),0,SUMIFS($C81:$Z81,$C$5:$Z$5,"&gt;="&amp;(설정!$C$6*12+1),$C$5:$Z$5,"&lt;="&amp;(설정!$C$6*12+8)))</f>
        <v/>
      </c>
      <c r="AJ81" s="40">
        <f>IF(OR($A81="",9&gt;설정!$C$7),0,SUMIFS($C81:$Z81,$C$5:$Z$5,"&gt;="&amp;(설정!$C$6*12+1),$C$5:$Z$5,"&lt;="&amp;(설정!$C$6*12+9)))</f>
        <v/>
      </c>
      <c r="AK81" s="40">
        <f>IF(OR($A81="",10&gt;설정!$C$7),0,SUMIFS($C81:$Z81,$C$5:$Z$5,"&gt;="&amp;(설정!$C$6*12+1),$C$5:$Z$5,"&lt;="&amp;(설정!$C$6*12+10)))</f>
        <v/>
      </c>
      <c r="AL81" s="40">
        <f>IF(OR($A81="",11&gt;설정!$C$7),0,SUMIFS($C81:$Z81,$C$5:$Z$5,"&gt;="&amp;(설정!$C$6*12+1),$C$5:$Z$5,"&lt;="&amp;(설정!$C$6*12+11)))</f>
        <v/>
      </c>
      <c r="AM81" s="40">
        <f>IF(OR($A81="",12&gt;설정!$C$7),0,SUMIFS($C81:$Z81,$C$5:$Z$5,"&gt;="&amp;(설정!$C$6*12+1),$C$5:$Z$5,"&lt;="&amp;(설정!$C$6*12+12)))</f>
        <v/>
      </c>
    </row>
    <row r="82">
      <c r="A82" s="26">
        <f>IF(변동분석!$A82="","",변동분석!$E82)</f>
        <v/>
      </c>
      <c r="B82" s="26">
        <f>IF($A82="","",변동분석!$B82&amp;" "&amp;변동분석!$D82)</f>
        <v/>
      </c>
      <c r="C82" s="35">
        <f>IF($A82="","",SUMIFS(전표_원본!$P$5:$P$100000,전표_원본!$O$5:$O$100000,$A82,전표_원본!$M$5:$M$100000,C$5))</f>
        <v/>
      </c>
      <c r="D82" s="35">
        <f>IF($A82="","",SUMIFS(전표_원본!$P$5:$P$100000,전표_원본!$O$5:$O$100000,$A82,전표_원본!$M$5:$M$100000,D$5))</f>
        <v/>
      </c>
      <c r="E82" s="35">
        <f>IF($A82="","",SUMIFS(전표_원본!$P$5:$P$100000,전표_원본!$O$5:$O$100000,$A82,전표_원본!$M$5:$M$100000,E$5))</f>
        <v/>
      </c>
      <c r="F82" s="35">
        <f>IF($A82="","",SUMIFS(전표_원본!$P$5:$P$100000,전표_원본!$O$5:$O$100000,$A82,전표_원본!$M$5:$M$100000,F$5))</f>
        <v/>
      </c>
      <c r="G82" s="35">
        <f>IF($A82="","",SUMIFS(전표_원본!$P$5:$P$100000,전표_원본!$O$5:$O$100000,$A82,전표_원본!$M$5:$M$100000,G$5))</f>
        <v/>
      </c>
      <c r="H82" s="35">
        <f>IF($A82="","",SUMIFS(전표_원본!$P$5:$P$100000,전표_원본!$O$5:$O$100000,$A82,전표_원본!$M$5:$M$100000,H$5))</f>
        <v/>
      </c>
      <c r="I82" s="35">
        <f>IF($A82="","",SUMIFS(전표_원본!$P$5:$P$100000,전표_원본!$O$5:$O$100000,$A82,전표_원본!$M$5:$M$100000,I$5))</f>
        <v/>
      </c>
      <c r="J82" s="35">
        <f>IF($A82="","",SUMIFS(전표_원본!$P$5:$P$100000,전표_원본!$O$5:$O$100000,$A82,전표_원본!$M$5:$M$100000,J$5))</f>
        <v/>
      </c>
      <c r="K82" s="35">
        <f>IF($A82="","",SUMIFS(전표_원본!$P$5:$P$100000,전표_원본!$O$5:$O$100000,$A82,전표_원본!$M$5:$M$100000,K$5))</f>
        <v/>
      </c>
      <c r="L82" s="35">
        <f>IF($A82="","",SUMIFS(전표_원본!$P$5:$P$100000,전표_원본!$O$5:$O$100000,$A82,전표_원본!$M$5:$M$100000,L$5))</f>
        <v/>
      </c>
      <c r="M82" s="35">
        <f>IF($A82="","",SUMIFS(전표_원본!$P$5:$P$100000,전표_원본!$O$5:$O$100000,$A82,전표_원본!$M$5:$M$100000,M$5))</f>
        <v/>
      </c>
      <c r="N82" s="35">
        <f>IF($A82="","",SUMIFS(전표_원본!$P$5:$P$100000,전표_원본!$O$5:$O$100000,$A82,전표_원본!$M$5:$M$100000,N$5))</f>
        <v/>
      </c>
      <c r="O82" s="35">
        <f>IF($A82="","",SUMIFS(전표_원본!$P$5:$P$100000,전표_원본!$O$5:$O$100000,$A82,전표_원본!$M$5:$M$100000,O$5))</f>
        <v/>
      </c>
      <c r="P82" s="35">
        <f>IF($A82="","",SUMIFS(전표_원본!$P$5:$P$100000,전표_원본!$O$5:$O$100000,$A82,전표_원본!$M$5:$M$100000,P$5))</f>
        <v/>
      </c>
      <c r="Q82" s="35">
        <f>IF($A82="","",SUMIFS(전표_원본!$P$5:$P$100000,전표_원본!$O$5:$O$100000,$A82,전표_원본!$M$5:$M$100000,Q$5))</f>
        <v/>
      </c>
      <c r="R82" s="35">
        <f>IF($A82="","",SUMIFS(전표_원본!$P$5:$P$100000,전표_원본!$O$5:$O$100000,$A82,전표_원본!$M$5:$M$100000,R$5))</f>
        <v/>
      </c>
      <c r="S82" s="35">
        <f>IF($A82="","",SUMIFS(전표_원본!$P$5:$P$100000,전표_원본!$O$5:$O$100000,$A82,전표_원본!$M$5:$M$100000,S$5))</f>
        <v/>
      </c>
      <c r="T82" s="35">
        <f>IF($A82="","",SUMIFS(전표_원본!$P$5:$P$100000,전표_원본!$O$5:$O$100000,$A82,전표_원본!$M$5:$M$100000,T$5))</f>
        <v/>
      </c>
      <c r="U82" s="35">
        <f>IF($A82="","",SUMIFS(전표_원본!$P$5:$P$100000,전표_원본!$O$5:$O$100000,$A82,전표_원본!$M$5:$M$100000,U$5))</f>
        <v/>
      </c>
      <c r="V82" s="35">
        <f>IF($A82="","",SUMIFS(전표_원본!$P$5:$P$100000,전표_원본!$O$5:$O$100000,$A82,전표_원본!$M$5:$M$100000,V$5))</f>
        <v/>
      </c>
      <c r="W82" s="35">
        <f>IF($A82="","",SUMIFS(전표_원본!$P$5:$P$100000,전표_원본!$O$5:$O$100000,$A82,전표_원본!$M$5:$M$100000,W$5))</f>
        <v/>
      </c>
      <c r="X82" s="35">
        <f>IF($A82="","",SUMIFS(전표_원본!$P$5:$P$100000,전표_원본!$O$5:$O$100000,$A82,전표_원본!$M$5:$M$100000,X$5))</f>
        <v/>
      </c>
      <c r="Y82" s="35">
        <f>IF($A82="","",SUMIFS(전표_원본!$P$5:$P$100000,전표_원본!$O$5:$O$100000,$A82,전표_원본!$M$5:$M$100000,Y$5))</f>
        <v/>
      </c>
      <c r="Z82" s="35">
        <f>IF($A82="","",SUMIFS(전표_원본!$P$5:$P$100000,전표_원본!$O$5:$O$100000,$A82,전표_원본!$M$5:$M$100000,Z$5))</f>
        <v/>
      </c>
      <c r="AB82" s="40">
        <f>IF(OR($A82="",1&gt;설정!$C$7),0,SUMIFS($C82:$Z82,$C$5:$Z$5,"&gt;="&amp;(설정!$C$6*12+1),$C$5:$Z$5,"&lt;="&amp;(설정!$C$6*12+1)))</f>
        <v/>
      </c>
      <c r="AC82" s="40">
        <f>IF(OR($A82="",2&gt;설정!$C$7),0,SUMIFS($C82:$Z82,$C$5:$Z$5,"&gt;="&amp;(설정!$C$6*12+1),$C$5:$Z$5,"&lt;="&amp;(설정!$C$6*12+2)))</f>
        <v/>
      </c>
      <c r="AD82" s="40">
        <f>IF(OR($A82="",3&gt;설정!$C$7),0,SUMIFS($C82:$Z82,$C$5:$Z$5,"&gt;="&amp;(설정!$C$6*12+1),$C$5:$Z$5,"&lt;="&amp;(설정!$C$6*12+3)))</f>
        <v/>
      </c>
      <c r="AE82" s="40">
        <f>IF(OR($A82="",4&gt;설정!$C$7),0,SUMIFS($C82:$Z82,$C$5:$Z$5,"&gt;="&amp;(설정!$C$6*12+1),$C$5:$Z$5,"&lt;="&amp;(설정!$C$6*12+4)))</f>
        <v/>
      </c>
      <c r="AF82" s="40">
        <f>IF(OR($A82="",5&gt;설정!$C$7),0,SUMIFS($C82:$Z82,$C$5:$Z$5,"&gt;="&amp;(설정!$C$6*12+1),$C$5:$Z$5,"&lt;="&amp;(설정!$C$6*12+5)))</f>
        <v/>
      </c>
      <c r="AG82" s="40">
        <f>IF(OR($A82="",6&gt;설정!$C$7),0,SUMIFS($C82:$Z82,$C$5:$Z$5,"&gt;="&amp;(설정!$C$6*12+1),$C$5:$Z$5,"&lt;="&amp;(설정!$C$6*12+6)))</f>
        <v/>
      </c>
      <c r="AH82" s="40">
        <f>IF(OR($A82="",7&gt;설정!$C$7),0,SUMIFS($C82:$Z82,$C$5:$Z$5,"&gt;="&amp;(설정!$C$6*12+1),$C$5:$Z$5,"&lt;="&amp;(설정!$C$6*12+7)))</f>
        <v/>
      </c>
      <c r="AI82" s="40">
        <f>IF(OR($A82="",8&gt;설정!$C$7),0,SUMIFS($C82:$Z82,$C$5:$Z$5,"&gt;="&amp;(설정!$C$6*12+1),$C$5:$Z$5,"&lt;="&amp;(설정!$C$6*12+8)))</f>
        <v/>
      </c>
      <c r="AJ82" s="40">
        <f>IF(OR($A82="",9&gt;설정!$C$7),0,SUMIFS($C82:$Z82,$C$5:$Z$5,"&gt;="&amp;(설정!$C$6*12+1),$C$5:$Z$5,"&lt;="&amp;(설정!$C$6*12+9)))</f>
        <v/>
      </c>
      <c r="AK82" s="40">
        <f>IF(OR($A82="",10&gt;설정!$C$7),0,SUMIFS($C82:$Z82,$C$5:$Z$5,"&gt;="&amp;(설정!$C$6*12+1),$C$5:$Z$5,"&lt;="&amp;(설정!$C$6*12+10)))</f>
        <v/>
      </c>
      <c r="AL82" s="40">
        <f>IF(OR($A82="",11&gt;설정!$C$7),0,SUMIFS($C82:$Z82,$C$5:$Z$5,"&gt;="&amp;(설정!$C$6*12+1),$C$5:$Z$5,"&lt;="&amp;(설정!$C$6*12+11)))</f>
        <v/>
      </c>
      <c r="AM82" s="40">
        <f>IF(OR($A82="",12&gt;설정!$C$7),0,SUMIFS($C82:$Z82,$C$5:$Z$5,"&gt;="&amp;(설정!$C$6*12+1),$C$5:$Z$5,"&lt;="&amp;(설정!$C$6*12+12)))</f>
        <v/>
      </c>
    </row>
    <row r="83">
      <c r="A83" s="26">
        <f>IF(변동분석!$A83="","",변동분석!$E83)</f>
        <v/>
      </c>
      <c r="B83" s="26">
        <f>IF($A83="","",변동분석!$B83&amp;" "&amp;변동분석!$D83)</f>
        <v/>
      </c>
      <c r="C83" s="35">
        <f>IF($A83="","",SUMIFS(전표_원본!$P$5:$P$100000,전표_원본!$O$5:$O$100000,$A83,전표_원본!$M$5:$M$100000,C$5))</f>
        <v/>
      </c>
      <c r="D83" s="35">
        <f>IF($A83="","",SUMIFS(전표_원본!$P$5:$P$100000,전표_원본!$O$5:$O$100000,$A83,전표_원본!$M$5:$M$100000,D$5))</f>
        <v/>
      </c>
      <c r="E83" s="35">
        <f>IF($A83="","",SUMIFS(전표_원본!$P$5:$P$100000,전표_원본!$O$5:$O$100000,$A83,전표_원본!$M$5:$M$100000,E$5))</f>
        <v/>
      </c>
      <c r="F83" s="35">
        <f>IF($A83="","",SUMIFS(전표_원본!$P$5:$P$100000,전표_원본!$O$5:$O$100000,$A83,전표_원본!$M$5:$M$100000,F$5))</f>
        <v/>
      </c>
      <c r="G83" s="35">
        <f>IF($A83="","",SUMIFS(전표_원본!$P$5:$P$100000,전표_원본!$O$5:$O$100000,$A83,전표_원본!$M$5:$M$100000,G$5))</f>
        <v/>
      </c>
      <c r="H83" s="35">
        <f>IF($A83="","",SUMIFS(전표_원본!$P$5:$P$100000,전표_원본!$O$5:$O$100000,$A83,전표_원본!$M$5:$M$100000,H$5))</f>
        <v/>
      </c>
      <c r="I83" s="35">
        <f>IF($A83="","",SUMIFS(전표_원본!$P$5:$P$100000,전표_원본!$O$5:$O$100000,$A83,전표_원본!$M$5:$M$100000,I$5))</f>
        <v/>
      </c>
      <c r="J83" s="35">
        <f>IF($A83="","",SUMIFS(전표_원본!$P$5:$P$100000,전표_원본!$O$5:$O$100000,$A83,전표_원본!$M$5:$M$100000,J$5))</f>
        <v/>
      </c>
      <c r="K83" s="35">
        <f>IF($A83="","",SUMIFS(전표_원본!$P$5:$P$100000,전표_원본!$O$5:$O$100000,$A83,전표_원본!$M$5:$M$100000,K$5))</f>
        <v/>
      </c>
      <c r="L83" s="35">
        <f>IF($A83="","",SUMIFS(전표_원본!$P$5:$P$100000,전표_원본!$O$5:$O$100000,$A83,전표_원본!$M$5:$M$100000,L$5))</f>
        <v/>
      </c>
      <c r="M83" s="35">
        <f>IF($A83="","",SUMIFS(전표_원본!$P$5:$P$100000,전표_원본!$O$5:$O$100000,$A83,전표_원본!$M$5:$M$100000,M$5))</f>
        <v/>
      </c>
      <c r="N83" s="35">
        <f>IF($A83="","",SUMIFS(전표_원본!$P$5:$P$100000,전표_원본!$O$5:$O$100000,$A83,전표_원본!$M$5:$M$100000,N$5))</f>
        <v/>
      </c>
      <c r="O83" s="35">
        <f>IF($A83="","",SUMIFS(전표_원본!$P$5:$P$100000,전표_원본!$O$5:$O$100000,$A83,전표_원본!$M$5:$M$100000,O$5))</f>
        <v/>
      </c>
      <c r="P83" s="35">
        <f>IF($A83="","",SUMIFS(전표_원본!$P$5:$P$100000,전표_원본!$O$5:$O$100000,$A83,전표_원본!$M$5:$M$100000,P$5))</f>
        <v/>
      </c>
      <c r="Q83" s="35">
        <f>IF($A83="","",SUMIFS(전표_원본!$P$5:$P$100000,전표_원본!$O$5:$O$100000,$A83,전표_원본!$M$5:$M$100000,Q$5))</f>
        <v/>
      </c>
      <c r="R83" s="35">
        <f>IF($A83="","",SUMIFS(전표_원본!$P$5:$P$100000,전표_원본!$O$5:$O$100000,$A83,전표_원본!$M$5:$M$100000,R$5))</f>
        <v/>
      </c>
      <c r="S83" s="35">
        <f>IF($A83="","",SUMIFS(전표_원본!$P$5:$P$100000,전표_원본!$O$5:$O$100000,$A83,전표_원본!$M$5:$M$100000,S$5))</f>
        <v/>
      </c>
      <c r="T83" s="35">
        <f>IF($A83="","",SUMIFS(전표_원본!$P$5:$P$100000,전표_원본!$O$5:$O$100000,$A83,전표_원본!$M$5:$M$100000,T$5))</f>
        <v/>
      </c>
      <c r="U83" s="35">
        <f>IF($A83="","",SUMIFS(전표_원본!$P$5:$P$100000,전표_원본!$O$5:$O$100000,$A83,전표_원본!$M$5:$M$100000,U$5))</f>
        <v/>
      </c>
      <c r="V83" s="35">
        <f>IF($A83="","",SUMIFS(전표_원본!$P$5:$P$100000,전표_원본!$O$5:$O$100000,$A83,전표_원본!$M$5:$M$100000,V$5))</f>
        <v/>
      </c>
      <c r="W83" s="35">
        <f>IF($A83="","",SUMIFS(전표_원본!$P$5:$P$100000,전표_원본!$O$5:$O$100000,$A83,전표_원본!$M$5:$M$100000,W$5))</f>
        <v/>
      </c>
      <c r="X83" s="35">
        <f>IF($A83="","",SUMIFS(전표_원본!$P$5:$P$100000,전표_원본!$O$5:$O$100000,$A83,전표_원본!$M$5:$M$100000,X$5))</f>
        <v/>
      </c>
      <c r="Y83" s="35">
        <f>IF($A83="","",SUMIFS(전표_원본!$P$5:$P$100000,전표_원본!$O$5:$O$100000,$A83,전표_원본!$M$5:$M$100000,Y$5))</f>
        <v/>
      </c>
      <c r="Z83" s="35">
        <f>IF($A83="","",SUMIFS(전표_원본!$P$5:$P$100000,전표_원본!$O$5:$O$100000,$A83,전표_원본!$M$5:$M$100000,Z$5))</f>
        <v/>
      </c>
      <c r="AB83" s="40">
        <f>IF(OR($A83="",1&gt;설정!$C$7),0,SUMIFS($C83:$Z83,$C$5:$Z$5,"&gt;="&amp;(설정!$C$6*12+1),$C$5:$Z$5,"&lt;="&amp;(설정!$C$6*12+1)))</f>
        <v/>
      </c>
      <c r="AC83" s="40">
        <f>IF(OR($A83="",2&gt;설정!$C$7),0,SUMIFS($C83:$Z83,$C$5:$Z$5,"&gt;="&amp;(설정!$C$6*12+1),$C$5:$Z$5,"&lt;="&amp;(설정!$C$6*12+2)))</f>
        <v/>
      </c>
      <c r="AD83" s="40">
        <f>IF(OR($A83="",3&gt;설정!$C$7),0,SUMIFS($C83:$Z83,$C$5:$Z$5,"&gt;="&amp;(설정!$C$6*12+1),$C$5:$Z$5,"&lt;="&amp;(설정!$C$6*12+3)))</f>
        <v/>
      </c>
      <c r="AE83" s="40">
        <f>IF(OR($A83="",4&gt;설정!$C$7),0,SUMIFS($C83:$Z83,$C$5:$Z$5,"&gt;="&amp;(설정!$C$6*12+1),$C$5:$Z$5,"&lt;="&amp;(설정!$C$6*12+4)))</f>
        <v/>
      </c>
      <c r="AF83" s="40">
        <f>IF(OR($A83="",5&gt;설정!$C$7),0,SUMIFS($C83:$Z83,$C$5:$Z$5,"&gt;="&amp;(설정!$C$6*12+1),$C$5:$Z$5,"&lt;="&amp;(설정!$C$6*12+5)))</f>
        <v/>
      </c>
      <c r="AG83" s="40">
        <f>IF(OR($A83="",6&gt;설정!$C$7),0,SUMIFS($C83:$Z83,$C$5:$Z$5,"&gt;="&amp;(설정!$C$6*12+1),$C$5:$Z$5,"&lt;="&amp;(설정!$C$6*12+6)))</f>
        <v/>
      </c>
      <c r="AH83" s="40">
        <f>IF(OR($A83="",7&gt;설정!$C$7),0,SUMIFS($C83:$Z83,$C$5:$Z$5,"&gt;="&amp;(설정!$C$6*12+1),$C$5:$Z$5,"&lt;="&amp;(설정!$C$6*12+7)))</f>
        <v/>
      </c>
      <c r="AI83" s="40">
        <f>IF(OR($A83="",8&gt;설정!$C$7),0,SUMIFS($C83:$Z83,$C$5:$Z$5,"&gt;="&amp;(설정!$C$6*12+1),$C$5:$Z$5,"&lt;="&amp;(설정!$C$6*12+8)))</f>
        <v/>
      </c>
      <c r="AJ83" s="40">
        <f>IF(OR($A83="",9&gt;설정!$C$7),0,SUMIFS($C83:$Z83,$C$5:$Z$5,"&gt;="&amp;(설정!$C$6*12+1),$C$5:$Z$5,"&lt;="&amp;(설정!$C$6*12+9)))</f>
        <v/>
      </c>
      <c r="AK83" s="40">
        <f>IF(OR($A83="",10&gt;설정!$C$7),0,SUMIFS($C83:$Z83,$C$5:$Z$5,"&gt;="&amp;(설정!$C$6*12+1),$C$5:$Z$5,"&lt;="&amp;(설정!$C$6*12+10)))</f>
        <v/>
      </c>
      <c r="AL83" s="40">
        <f>IF(OR($A83="",11&gt;설정!$C$7),0,SUMIFS($C83:$Z83,$C$5:$Z$5,"&gt;="&amp;(설정!$C$6*12+1),$C$5:$Z$5,"&lt;="&amp;(설정!$C$6*12+11)))</f>
        <v/>
      </c>
      <c r="AM83" s="40">
        <f>IF(OR($A83="",12&gt;설정!$C$7),0,SUMIFS($C83:$Z83,$C$5:$Z$5,"&gt;="&amp;(설정!$C$6*12+1),$C$5:$Z$5,"&lt;="&amp;(설정!$C$6*12+12)))</f>
        <v/>
      </c>
    </row>
    <row r="84">
      <c r="A84" s="26">
        <f>IF(변동분석!$A84="","",변동분석!$E84)</f>
        <v/>
      </c>
      <c r="B84" s="26">
        <f>IF($A84="","",변동분석!$B84&amp;" "&amp;변동분석!$D84)</f>
        <v/>
      </c>
      <c r="C84" s="35">
        <f>IF($A84="","",SUMIFS(전표_원본!$P$5:$P$100000,전표_원본!$O$5:$O$100000,$A84,전표_원본!$M$5:$M$100000,C$5))</f>
        <v/>
      </c>
      <c r="D84" s="35">
        <f>IF($A84="","",SUMIFS(전표_원본!$P$5:$P$100000,전표_원본!$O$5:$O$100000,$A84,전표_원본!$M$5:$M$100000,D$5))</f>
        <v/>
      </c>
      <c r="E84" s="35">
        <f>IF($A84="","",SUMIFS(전표_원본!$P$5:$P$100000,전표_원본!$O$5:$O$100000,$A84,전표_원본!$M$5:$M$100000,E$5))</f>
        <v/>
      </c>
      <c r="F84" s="35">
        <f>IF($A84="","",SUMIFS(전표_원본!$P$5:$P$100000,전표_원본!$O$5:$O$100000,$A84,전표_원본!$M$5:$M$100000,F$5))</f>
        <v/>
      </c>
      <c r="G84" s="35">
        <f>IF($A84="","",SUMIFS(전표_원본!$P$5:$P$100000,전표_원본!$O$5:$O$100000,$A84,전표_원본!$M$5:$M$100000,G$5))</f>
        <v/>
      </c>
      <c r="H84" s="35">
        <f>IF($A84="","",SUMIFS(전표_원본!$P$5:$P$100000,전표_원본!$O$5:$O$100000,$A84,전표_원본!$M$5:$M$100000,H$5))</f>
        <v/>
      </c>
      <c r="I84" s="35">
        <f>IF($A84="","",SUMIFS(전표_원본!$P$5:$P$100000,전표_원본!$O$5:$O$100000,$A84,전표_원본!$M$5:$M$100000,I$5))</f>
        <v/>
      </c>
      <c r="J84" s="35">
        <f>IF($A84="","",SUMIFS(전표_원본!$P$5:$P$100000,전표_원본!$O$5:$O$100000,$A84,전표_원본!$M$5:$M$100000,J$5))</f>
        <v/>
      </c>
      <c r="K84" s="35">
        <f>IF($A84="","",SUMIFS(전표_원본!$P$5:$P$100000,전표_원본!$O$5:$O$100000,$A84,전표_원본!$M$5:$M$100000,K$5))</f>
        <v/>
      </c>
      <c r="L84" s="35">
        <f>IF($A84="","",SUMIFS(전표_원본!$P$5:$P$100000,전표_원본!$O$5:$O$100000,$A84,전표_원본!$M$5:$M$100000,L$5))</f>
        <v/>
      </c>
      <c r="M84" s="35">
        <f>IF($A84="","",SUMIFS(전표_원본!$P$5:$P$100000,전표_원본!$O$5:$O$100000,$A84,전표_원본!$M$5:$M$100000,M$5))</f>
        <v/>
      </c>
      <c r="N84" s="35">
        <f>IF($A84="","",SUMIFS(전표_원본!$P$5:$P$100000,전표_원본!$O$5:$O$100000,$A84,전표_원본!$M$5:$M$100000,N$5))</f>
        <v/>
      </c>
      <c r="O84" s="35">
        <f>IF($A84="","",SUMIFS(전표_원본!$P$5:$P$100000,전표_원본!$O$5:$O$100000,$A84,전표_원본!$M$5:$M$100000,O$5))</f>
        <v/>
      </c>
      <c r="P84" s="35">
        <f>IF($A84="","",SUMIFS(전표_원본!$P$5:$P$100000,전표_원본!$O$5:$O$100000,$A84,전표_원본!$M$5:$M$100000,P$5))</f>
        <v/>
      </c>
      <c r="Q84" s="35">
        <f>IF($A84="","",SUMIFS(전표_원본!$P$5:$P$100000,전표_원본!$O$5:$O$100000,$A84,전표_원본!$M$5:$M$100000,Q$5))</f>
        <v/>
      </c>
      <c r="R84" s="35">
        <f>IF($A84="","",SUMIFS(전표_원본!$P$5:$P$100000,전표_원본!$O$5:$O$100000,$A84,전표_원본!$M$5:$M$100000,R$5))</f>
        <v/>
      </c>
      <c r="S84" s="35">
        <f>IF($A84="","",SUMIFS(전표_원본!$P$5:$P$100000,전표_원본!$O$5:$O$100000,$A84,전표_원본!$M$5:$M$100000,S$5))</f>
        <v/>
      </c>
      <c r="T84" s="35">
        <f>IF($A84="","",SUMIFS(전표_원본!$P$5:$P$100000,전표_원본!$O$5:$O$100000,$A84,전표_원본!$M$5:$M$100000,T$5))</f>
        <v/>
      </c>
      <c r="U84" s="35">
        <f>IF($A84="","",SUMIFS(전표_원본!$P$5:$P$100000,전표_원본!$O$5:$O$100000,$A84,전표_원본!$M$5:$M$100000,U$5))</f>
        <v/>
      </c>
      <c r="V84" s="35">
        <f>IF($A84="","",SUMIFS(전표_원본!$P$5:$P$100000,전표_원본!$O$5:$O$100000,$A84,전표_원본!$M$5:$M$100000,V$5))</f>
        <v/>
      </c>
      <c r="W84" s="35">
        <f>IF($A84="","",SUMIFS(전표_원본!$P$5:$P$100000,전표_원본!$O$5:$O$100000,$A84,전표_원본!$M$5:$M$100000,W$5))</f>
        <v/>
      </c>
      <c r="X84" s="35">
        <f>IF($A84="","",SUMIFS(전표_원본!$P$5:$P$100000,전표_원본!$O$5:$O$100000,$A84,전표_원본!$M$5:$M$100000,X$5))</f>
        <v/>
      </c>
      <c r="Y84" s="35">
        <f>IF($A84="","",SUMIFS(전표_원본!$P$5:$P$100000,전표_원본!$O$5:$O$100000,$A84,전표_원본!$M$5:$M$100000,Y$5))</f>
        <v/>
      </c>
      <c r="Z84" s="35">
        <f>IF($A84="","",SUMIFS(전표_원본!$P$5:$P$100000,전표_원본!$O$5:$O$100000,$A84,전표_원본!$M$5:$M$100000,Z$5))</f>
        <v/>
      </c>
      <c r="AB84" s="40">
        <f>IF(OR($A84="",1&gt;설정!$C$7),0,SUMIFS($C84:$Z84,$C$5:$Z$5,"&gt;="&amp;(설정!$C$6*12+1),$C$5:$Z$5,"&lt;="&amp;(설정!$C$6*12+1)))</f>
        <v/>
      </c>
      <c r="AC84" s="40">
        <f>IF(OR($A84="",2&gt;설정!$C$7),0,SUMIFS($C84:$Z84,$C$5:$Z$5,"&gt;="&amp;(설정!$C$6*12+1),$C$5:$Z$5,"&lt;="&amp;(설정!$C$6*12+2)))</f>
        <v/>
      </c>
      <c r="AD84" s="40">
        <f>IF(OR($A84="",3&gt;설정!$C$7),0,SUMIFS($C84:$Z84,$C$5:$Z$5,"&gt;="&amp;(설정!$C$6*12+1),$C$5:$Z$5,"&lt;="&amp;(설정!$C$6*12+3)))</f>
        <v/>
      </c>
      <c r="AE84" s="40">
        <f>IF(OR($A84="",4&gt;설정!$C$7),0,SUMIFS($C84:$Z84,$C$5:$Z$5,"&gt;="&amp;(설정!$C$6*12+1),$C$5:$Z$5,"&lt;="&amp;(설정!$C$6*12+4)))</f>
        <v/>
      </c>
      <c r="AF84" s="40">
        <f>IF(OR($A84="",5&gt;설정!$C$7),0,SUMIFS($C84:$Z84,$C$5:$Z$5,"&gt;="&amp;(설정!$C$6*12+1),$C$5:$Z$5,"&lt;="&amp;(설정!$C$6*12+5)))</f>
        <v/>
      </c>
      <c r="AG84" s="40">
        <f>IF(OR($A84="",6&gt;설정!$C$7),0,SUMIFS($C84:$Z84,$C$5:$Z$5,"&gt;="&amp;(설정!$C$6*12+1),$C$5:$Z$5,"&lt;="&amp;(설정!$C$6*12+6)))</f>
        <v/>
      </c>
      <c r="AH84" s="40">
        <f>IF(OR($A84="",7&gt;설정!$C$7),0,SUMIFS($C84:$Z84,$C$5:$Z$5,"&gt;="&amp;(설정!$C$6*12+1),$C$5:$Z$5,"&lt;="&amp;(설정!$C$6*12+7)))</f>
        <v/>
      </c>
      <c r="AI84" s="40">
        <f>IF(OR($A84="",8&gt;설정!$C$7),0,SUMIFS($C84:$Z84,$C$5:$Z$5,"&gt;="&amp;(설정!$C$6*12+1),$C$5:$Z$5,"&lt;="&amp;(설정!$C$6*12+8)))</f>
        <v/>
      </c>
      <c r="AJ84" s="40">
        <f>IF(OR($A84="",9&gt;설정!$C$7),0,SUMIFS($C84:$Z84,$C$5:$Z$5,"&gt;="&amp;(설정!$C$6*12+1),$C$5:$Z$5,"&lt;="&amp;(설정!$C$6*12+9)))</f>
        <v/>
      </c>
      <c r="AK84" s="40">
        <f>IF(OR($A84="",10&gt;설정!$C$7),0,SUMIFS($C84:$Z84,$C$5:$Z$5,"&gt;="&amp;(설정!$C$6*12+1),$C$5:$Z$5,"&lt;="&amp;(설정!$C$6*12+10)))</f>
        <v/>
      </c>
      <c r="AL84" s="40">
        <f>IF(OR($A84="",11&gt;설정!$C$7),0,SUMIFS($C84:$Z84,$C$5:$Z$5,"&gt;="&amp;(설정!$C$6*12+1),$C$5:$Z$5,"&lt;="&amp;(설정!$C$6*12+11)))</f>
        <v/>
      </c>
      <c r="AM84" s="40">
        <f>IF(OR($A84="",12&gt;설정!$C$7),0,SUMIFS($C84:$Z84,$C$5:$Z$5,"&gt;="&amp;(설정!$C$6*12+1),$C$5:$Z$5,"&lt;="&amp;(설정!$C$6*12+12)))</f>
        <v/>
      </c>
    </row>
    <row r="85">
      <c r="A85" s="26">
        <f>IF(변동분석!$A85="","",변동분석!$E85)</f>
        <v/>
      </c>
      <c r="B85" s="26">
        <f>IF($A85="","",변동분석!$B85&amp;" "&amp;변동분석!$D85)</f>
        <v/>
      </c>
      <c r="C85" s="35">
        <f>IF($A85="","",SUMIFS(전표_원본!$P$5:$P$100000,전표_원본!$O$5:$O$100000,$A85,전표_원본!$M$5:$M$100000,C$5))</f>
        <v/>
      </c>
      <c r="D85" s="35">
        <f>IF($A85="","",SUMIFS(전표_원본!$P$5:$P$100000,전표_원본!$O$5:$O$100000,$A85,전표_원본!$M$5:$M$100000,D$5))</f>
        <v/>
      </c>
      <c r="E85" s="35">
        <f>IF($A85="","",SUMIFS(전표_원본!$P$5:$P$100000,전표_원본!$O$5:$O$100000,$A85,전표_원본!$M$5:$M$100000,E$5))</f>
        <v/>
      </c>
      <c r="F85" s="35">
        <f>IF($A85="","",SUMIFS(전표_원본!$P$5:$P$100000,전표_원본!$O$5:$O$100000,$A85,전표_원본!$M$5:$M$100000,F$5))</f>
        <v/>
      </c>
      <c r="G85" s="35">
        <f>IF($A85="","",SUMIFS(전표_원본!$P$5:$P$100000,전표_원본!$O$5:$O$100000,$A85,전표_원본!$M$5:$M$100000,G$5))</f>
        <v/>
      </c>
      <c r="H85" s="35">
        <f>IF($A85="","",SUMIFS(전표_원본!$P$5:$P$100000,전표_원본!$O$5:$O$100000,$A85,전표_원본!$M$5:$M$100000,H$5))</f>
        <v/>
      </c>
      <c r="I85" s="35">
        <f>IF($A85="","",SUMIFS(전표_원본!$P$5:$P$100000,전표_원본!$O$5:$O$100000,$A85,전표_원본!$M$5:$M$100000,I$5))</f>
        <v/>
      </c>
      <c r="J85" s="35">
        <f>IF($A85="","",SUMIFS(전표_원본!$P$5:$P$100000,전표_원본!$O$5:$O$100000,$A85,전표_원본!$M$5:$M$100000,J$5))</f>
        <v/>
      </c>
      <c r="K85" s="35">
        <f>IF($A85="","",SUMIFS(전표_원본!$P$5:$P$100000,전표_원본!$O$5:$O$100000,$A85,전표_원본!$M$5:$M$100000,K$5))</f>
        <v/>
      </c>
      <c r="L85" s="35">
        <f>IF($A85="","",SUMIFS(전표_원본!$P$5:$P$100000,전표_원본!$O$5:$O$100000,$A85,전표_원본!$M$5:$M$100000,L$5))</f>
        <v/>
      </c>
      <c r="M85" s="35">
        <f>IF($A85="","",SUMIFS(전표_원본!$P$5:$P$100000,전표_원본!$O$5:$O$100000,$A85,전표_원본!$M$5:$M$100000,M$5))</f>
        <v/>
      </c>
      <c r="N85" s="35">
        <f>IF($A85="","",SUMIFS(전표_원본!$P$5:$P$100000,전표_원본!$O$5:$O$100000,$A85,전표_원본!$M$5:$M$100000,N$5))</f>
        <v/>
      </c>
      <c r="O85" s="35">
        <f>IF($A85="","",SUMIFS(전표_원본!$P$5:$P$100000,전표_원본!$O$5:$O$100000,$A85,전표_원본!$M$5:$M$100000,O$5))</f>
        <v/>
      </c>
      <c r="P85" s="35">
        <f>IF($A85="","",SUMIFS(전표_원본!$P$5:$P$100000,전표_원본!$O$5:$O$100000,$A85,전표_원본!$M$5:$M$100000,P$5))</f>
        <v/>
      </c>
      <c r="Q85" s="35">
        <f>IF($A85="","",SUMIFS(전표_원본!$P$5:$P$100000,전표_원본!$O$5:$O$100000,$A85,전표_원본!$M$5:$M$100000,Q$5))</f>
        <v/>
      </c>
      <c r="R85" s="35">
        <f>IF($A85="","",SUMIFS(전표_원본!$P$5:$P$100000,전표_원본!$O$5:$O$100000,$A85,전표_원본!$M$5:$M$100000,R$5))</f>
        <v/>
      </c>
      <c r="S85" s="35">
        <f>IF($A85="","",SUMIFS(전표_원본!$P$5:$P$100000,전표_원본!$O$5:$O$100000,$A85,전표_원본!$M$5:$M$100000,S$5))</f>
        <v/>
      </c>
      <c r="T85" s="35">
        <f>IF($A85="","",SUMIFS(전표_원본!$P$5:$P$100000,전표_원본!$O$5:$O$100000,$A85,전표_원본!$M$5:$M$100000,T$5))</f>
        <v/>
      </c>
      <c r="U85" s="35">
        <f>IF($A85="","",SUMIFS(전표_원본!$P$5:$P$100000,전표_원본!$O$5:$O$100000,$A85,전표_원본!$M$5:$M$100000,U$5))</f>
        <v/>
      </c>
      <c r="V85" s="35">
        <f>IF($A85="","",SUMIFS(전표_원본!$P$5:$P$100000,전표_원본!$O$5:$O$100000,$A85,전표_원본!$M$5:$M$100000,V$5))</f>
        <v/>
      </c>
      <c r="W85" s="35">
        <f>IF($A85="","",SUMIFS(전표_원본!$P$5:$P$100000,전표_원본!$O$5:$O$100000,$A85,전표_원본!$M$5:$M$100000,W$5))</f>
        <v/>
      </c>
      <c r="X85" s="35">
        <f>IF($A85="","",SUMIFS(전표_원본!$P$5:$P$100000,전표_원본!$O$5:$O$100000,$A85,전표_원본!$M$5:$M$100000,X$5))</f>
        <v/>
      </c>
      <c r="Y85" s="35">
        <f>IF($A85="","",SUMIFS(전표_원본!$P$5:$P$100000,전표_원본!$O$5:$O$100000,$A85,전표_원본!$M$5:$M$100000,Y$5))</f>
        <v/>
      </c>
      <c r="Z85" s="35">
        <f>IF($A85="","",SUMIFS(전표_원본!$P$5:$P$100000,전표_원본!$O$5:$O$100000,$A85,전표_원본!$M$5:$M$100000,Z$5))</f>
        <v/>
      </c>
      <c r="AB85" s="40">
        <f>IF(OR($A85="",1&gt;설정!$C$7),0,SUMIFS($C85:$Z85,$C$5:$Z$5,"&gt;="&amp;(설정!$C$6*12+1),$C$5:$Z$5,"&lt;="&amp;(설정!$C$6*12+1)))</f>
        <v/>
      </c>
      <c r="AC85" s="40">
        <f>IF(OR($A85="",2&gt;설정!$C$7),0,SUMIFS($C85:$Z85,$C$5:$Z$5,"&gt;="&amp;(설정!$C$6*12+1),$C$5:$Z$5,"&lt;="&amp;(설정!$C$6*12+2)))</f>
        <v/>
      </c>
      <c r="AD85" s="40">
        <f>IF(OR($A85="",3&gt;설정!$C$7),0,SUMIFS($C85:$Z85,$C$5:$Z$5,"&gt;="&amp;(설정!$C$6*12+1),$C$5:$Z$5,"&lt;="&amp;(설정!$C$6*12+3)))</f>
        <v/>
      </c>
      <c r="AE85" s="40">
        <f>IF(OR($A85="",4&gt;설정!$C$7),0,SUMIFS($C85:$Z85,$C$5:$Z$5,"&gt;="&amp;(설정!$C$6*12+1),$C$5:$Z$5,"&lt;="&amp;(설정!$C$6*12+4)))</f>
        <v/>
      </c>
      <c r="AF85" s="40">
        <f>IF(OR($A85="",5&gt;설정!$C$7),0,SUMIFS($C85:$Z85,$C$5:$Z$5,"&gt;="&amp;(설정!$C$6*12+1),$C$5:$Z$5,"&lt;="&amp;(설정!$C$6*12+5)))</f>
        <v/>
      </c>
      <c r="AG85" s="40">
        <f>IF(OR($A85="",6&gt;설정!$C$7),0,SUMIFS($C85:$Z85,$C$5:$Z$5,"&gt;="&amp;(설정!$C$6*12+1),$C$5:$Z$5,"&lt;="&amp;(설정!$C$6*12+6)))</f>
        <v/>
      </c>
      <c r="AH85" s="40">
        <f>IF(OR($A85="",7&gt;설정!$C$7),0,SUMIFS($C85:$Z85,$C$5:$Z$5,"&gt;="&amp;(설정!$C$6*12+1),$C$5:$Z$5,"&lt;="&amp;(설정!$C$6*12+7)))</f>
        <v/>
      </c>
      <c r="AI85" s="40">
        <f>IF(OR($A85="",8&gt;설정!$C$7),0,SUMIFS($C85:$Z85,$C$5:$Z$5,"&gt;="&amp;(설정!$C$6*12+1),$C$5:$Z$5,"&lt;="&amp;(설정!$C$6*12+8)))</f>
        <v/>
      </c>
      <c r="AJ85" s="40">
        <f>IF(OR($A85="",9&gt;설정!$C$7),0,SUMIFS($C85:$Z85,$C$5:$Z$5,"&gt;="&amp;(설정!$C$6*12+1),$C$5:$Z$5,"&lt;="&amp;(설정!$C$6*12+9)))</f>
        <v/>
      </c>
      <c r="AK85" s="40">
        <f>IF(OR($A85="",10&gt;설정!$C$7),0,SUMIFS($C85:$Z85,$C$5:$Z$5,"&gt;="&amp;(설정!$C$6*12+1),$C$5:$Z$5,"&lt;="&amp;(설정!$C$6*12+10)))</f>
        <v/>
      </c>
      <c r="AL85" s="40">
        <f>IF(OR($A85="",11&gt;설정!$C$7),0,SUMIFS($C85:$Z85,$C$5:$Z$5,"&gt;="&amp;(설정!$C$6*12+1),$C$5:$Z$5,"&lt;="&amp;(설정!$C$6*12+11)))</f>
        <v/>
      </c>
      <c r="AM85" s="40">
        <f>IF(OR($A85="",12&gt;설정!$C$7),0,SUMIFS($C85:$Z85,$C$5:$Z$5,"&gt;="&amp;(설정!$C$6*12+1),$C$5:$Z$5,"&lt;="&amp;(설정!$C$6*12+12)))</f>
        <v/>
      </c>
    </row>
    <row r="86">
      <c r="A86" s="26">
        <f>IF(변동분석!$A86="","",변동분석!$E86)</f>
        <v/>
      </c>
      <c r="B86" s="26">
        <f>IF($A86="","",변동분석!$B86&amp;" "&amp;변동분석!$D86)</f>
        <v/>
      </c>
      <c r="C86" s="35">
        <f>IF($A86="","",SUMIFS(전표_원본!$P$5:$P$100000,전표_원본!$O$5:$O$100000,$A86,전표_원본!$M$5:$M$100000,C$5))</f>
        <v/>
      </c>
      <c r="D86" s="35">
        <f>IF($A86="","",SUMIFS(전표_원본!$P$5:$P$100000,전표_원본!$O$5:$O$100000,$A86,전표_원본!$M$5:$M$100000,D$5))</f>
        <v/>
      </c>
      <c r="E86" s="35">
        <f>IF($A86="","",SUMIFS(전표_원본!$P$5:$P$100000,전표_원본!$O$5:$O$100000,$A86,전표_원본!$M$5:$M$100000,E$5))</f>
        <v/>
      </c>
      <c r="F86" s="35">
        <f>IF($A86="","",SUMIFS(전표_원본!$P$5:$P$100000,전표_원본!$O$5:$O$100000,$A86,전표_원본!$M$5:$M$100000,F$5))</f>
        <v/>
      </c>
      <c r="G86" s="35">
        <f>IF($A86="","",SUMIFS(전표_원본!$P$5:$P$100000,전표_원본!$O$5:$O$100000,$A86,전표_원본!$M$5:$M$100000,G$5))</f>
        <v/>
      </c>
      <c r="H86" s="35">
        <f>IF($A86="","",SUMIFS(전표_원본!$P$5:$P$100000,전표_원본!$O$5:$O$100000,$A86,전표_원본!$M$5:$M$100000,H$5))</f>
        <v/>
      </c>
      <c r="I86" s="35">
        <f>IF($A86="","",SUMIFS(전표_원본!$P$5:$P$100000,전표_원본!$O$5:$O$100000,$A86,전표_원본!$M$5:$M$100000,I$5))</f>
        <v/>
      </c>
      <c r="J86" s="35">
        <f>IF($A86="","",SUMIFS(전표_원본!$P$5:$P$100000,전표_원본!$O$5:$O$100000,$A86,전표_원본!$M$5:$M$100000,J$5))</f>
        <v/>
      </c>
      <c r="K86" s="35">
        <f>IF($A86="","",SUMIFS(전표_원본!$P$5:$P$100000,전표_원본!$O$5:$O$100000,$A86,전표_원본!$M$5:$M$100000,K$5))</f>
        <v/>
      </c>
      <c r="L86" s="35">
        <f>IF($A86="","",SUMIFS(전표_원본!$P$5:$P$100000,전표_원본!$O$5:$O$100000,$A86,전표_원본!$M$5:$M$100000,L$5))</f>
        <v/>
      </c>
      <c r="M86" s="35">
        <f>IF($A86="","",SUMIFS(전표_원본!$P$5:$P$100000,전표_원본!$O$5:$O$100000,$A86,전표_원본!$M$5:$M$100000,M$5))</f>
        <v/>
      </c>
      <c r="N86" s="35">
        <f>IF($A86="","",SUMIFS(전표_원본!$P$5:$P$100000,전표_원본!$O$5:$O$100000,$A86,전표_원본!$M$5:$M$100000,N$5))</f>
        <v/>
      </c>
      <c r="O86" s="35">
        <f>IF($A86="","",SUMIFS(전표_원본!$P$5:$P$100000,전표_원본!$O$5:$O$100000,$A86,전표_원본!$M$5:$M$100000,O$5))</f>
        <v/>
      </c>
      <c r="P86" s="35">
        <f>IF($A86="","",SUMIFS(전표_원본!$P$5:$P$100000,전표_원본!$O$5:$O$100000,$A86,전표_원본!$M$5:$M$100000,P$5))</f>
        <v/>
      </c>
      <c r="Q86" s="35">
        <f>IF($A86="","",SUMIFS(전표_원본!$P$5:$P$100000,전표_원본!$O$5:$O$100000,$A86,전표_원본!$M$5:$M$100000,Q$5))</f>
        <v/>
      </c>
      <c r="R86" s="35">
        <f>IF($A86="","",SUMIFS(전표_원본!$P$5:$P$100000,전표_원본!$O$5:$O$100000,$A86,전표_원본!$M$5:$M$100000,R$5))</f>
        <v/>
      </c>
      <c r="S86" s="35">
        <f>IF($A86="","",SUMIFS(전표_원본!$P$5:$P$100000,전표_원본!$O$5:$O$100000,$A86,전표_원본!$M$5:$M$100000,S$5))</f>
        <v/>
      </c>
      <c r="T86" s="35">
        <f>IF($A86="","",SUMIFS(전표_원본!$P$5:$P$100000,전표_원본!$O$5:$O$100000,$A86,전표_원본!$M$5:$M$100000,T$5))</f>
        <v/>
      </c>
      <c r="U86" s="35">
        <f>IF($A86="","",SUMIFS(전표_원본!$P$5:$P$100000,전표_원본!$O$5:$O$100000,$A86,전표_원본!$M$5:$M$100000,U$5))</f>
        <v/>
      </c>
      <c r="V86" s="35">
        <f>IF($A86="","",SUMIFS(전표_원본!$P$5:$P$100000,전표_원본!$O$5:$O$100000,$A86,전표_원본!$M$5:$M$100000,V$5))</f>
        <v/>
      </c>
      <c r="W86" s="35">
        <f>IF($A86="","",SUMIFS(전표_원본!$P$5:$P$100000,전표_원본!$O$5:$O$100000,$A86,전표_원본!$M$5:$M$100000,W$5))</f>
        <v/>
      </c>
      <c r="X86" s="35">
        <f>IF($A86="","",SUMIFS(전표_원본!$P$5:$P$100000,전표_원본!$O$5:$O$100000,$A86,전표_원본!$M$5:$M$100000,X$5))</f>
        <v/>
      </c>
      <c r="Y86" s="35">
        <f>IF($A86="","",SUMIFS(전표_원본!$P$5:$P$100000,전표_원본!$O$5:$O$100000,$A86,전표_원본!$M$5:$M$100000,Y$5))</f>
        <v/>
      </c>
      <c r="Z86" s="35">
        <f>IF($A86="","",SUMIFS(전표_원본!$P$5:$P$100000,전표_원본!$O$5:$O$100000,$A86,전표_원본!$M$5:$M$100000,Z$5))</f>
        <v/>
      </c>
      <c r="AB86" s="40">
        <f>IF(OR($A86="",1&gt;설정!$C$7),0,SUMIFS($C86:$Z86,$C$5:$Z$5,"&gt;="&amp;(설정!$C$6*12+1),$C$5:$Z$5,"&lt;="&amp;(설정!$C$6*12+1)))</f>
        <v/>
      </c>
      <c r="AC86" s="40">
        <f>IF(OR($A86="",2&gt;설정!$C$7),0,SUMIFS($C86:$Z86,$C$5:$Z$5,"&gt;="&amp;(설정!$C$6*12+1),$C$5:$Z$5,"&lt;="&amp;(설정!$C$6*12+2)))</f>
        <v/>
      </c>
      <c r="AD86" s="40">
        <f>IF(OR($A86="",3&gt;설정!$C$7),0,SUMIFS($C86:$Z86,$C$5:$Z$5,"&gt;="&amp;(설정!$C$6*12+1),$C$5:$Z$5,"&lt;="&amp;(설정!$C$6*12+3)))</f>
        <v/>
      </c>
      <c r="AE86" s="40">
        <f>IF(OR($A86="",4&gt;설정!$C$7),0,SUMIFS($C86:$Z86,$C$5:$Z$5,"&gt;="&amp;(설정!$C$6*12+1),$C$5:$Z$5,"&lt;="&amp;(설정!$C$6*12+4)))</f>
        <v/>
      </c>
      <c r="AF86" s="40">
        <f>IF(OR($A86="",5&gt;설정!$C$7),0,SUMIFS($C86:$Z86,$C$5:$Z$5,"&gt;="&amp;(설정!$C$6*12+1),$C$5:$Z$5,"&lt;="&amp;(설정!$C$6*12+5)))</f>
        <v/>
      </c>
      <c r="AG86" s="40">
        <f>IF(OR($A86="",6&gt;설정!$C$7),0,SUMIFS($C86:$Z86,$C$5:$Z$5,"&gt;="&amp;(설정!$C$6*12+1),$C$5:$Z$5,"&lt;="&amp;(설정!$C$6*12+6)))</f>
        <v/>
      </c>
      <c r="AH86" s="40">
        <f>IF(OR($A86="",7&gt;설정!$C$7),0,SUMIFS($C86:$Z86,$C$5:$Z$5,"&gt;="&amp;(설정!$C$6*12+1),$C$5:$Z$5,"&lt;="&amp;(설정!$C$6*12+7)))</f>
        <v/>
      </c>
      <c r="AI86" s="40">
        <f>IF(OR($A86="",8&gt;설정!$C$7),0,SUMIFS($C86:$Z86,$C$5:$Z$5,"&gt;="&amp;(설정!$C$6*12+1),$C$5:$Z$5,"&lt;="&amp;(설정!$C$6*12+8)))</f>
        <v/>
      </c>
      <c r="AJ86" s="40">
        <f>IF(OR($A86="",9&gt;설정!$C$7),0,SUMIFS($C86:$Z86,$C$5:$Z$5,"&gt;="&amp;(설정!$C$6*12+1),$C$5:$Z$5,"&lt;="&amp;(설정!$C$6*12+9)))</f>
        <v/>
      </c>
      <c r="AK86" s="40">
        <f>IF(OR($A86="",10&gt;설정!$C$7),0,SUMIFS($C86:$Z86,$C$5:$Z$5,"&gt;="&amp;(설정!$C$6*12+1),$C$5:$Z$5,"&lt;="&amp;(설정!$C$6*12+10)))</f>
        <v/>
      </c>
      <c r="AL86" s="40">
        <f>IF(OR($A86="",11&gt;설정!$C$7),0,SUMIFS($C86:$Z86,$C$5:$Z$5,"&gt;="&amp;(설정!$C$6*12+1),$C$5:$Z$5,"&lt;="&amp;(설정!$C$6*12+11)))</f>
        <v/>
      </c>
      <c r="AM86" s="40">
        <f>IF(OR($A86="",12&gt;설정!$C$7),0,SUMIFS($C86:$Z86,$C$5:$Z$5,"&gt;="&amp;(설정!$C$6*12+1),$C$5:$Z$5,"&lt;="&amp;(설정!$C$6*12+12)))</f>
        <v/>
      </c>
    </row>
    <row r="87">
      <c r="A87" s="26">
        <f>IF(변동분석!$A87="","",변동분석!$E87)</f>
        <v/>
      </c>
      <c r="B87" s="26">
        <f>IF($A87="","",변동분석!$B87&amp;" "&amp;변동분석!$D87)</f>
        <v/>
      </c>
      <c r="C87" s="35">
        <f>IF($A87="","",SUMIFS(전표_원본!$P$5:$P$100000,전표_원본!$O$5:$O$100000,$A87,전표_원본!$M$5:$M$100000,C$5))</f>
        <v/>
      </c>
      <c r="D87" s="35">
        <f>IF($A87="","",SUMIFS(전표_원본!$P$5:$P$100000,전표_원본!$O$5:$O$100000,$A87,전표_원본!$M$5:$M$100000,D$5))</f>
        <v/>
      </c>
      <c r="E87" s="35">
        <f>IF($A87="","",SUMIFS(전표_원본!$P$5:$P$100000,전표_원본!$O$5:$O$100000,$A87,전표_원본!$M$5:$M$100000,E$5))</f>
        <v/>
      </c>
      <c r="F87" s="35">
        <f>IF($A87="","",SUMIFS(전표_원본!$P$5:$P$100000,전표_원본!$O$5:$O$100000,$A87,전표_원본!$M$5:$M$100000,F$5))</f>
        <v/>
      </c>
      <c r="G87" s="35">
        <f>IF($A87="","",SUMIFS(전표_원본!$P$5:$P$100000,전표_원본!$O$5:$O$100000,$A87,전표_원본!$M$5:$M$100000,G$5))</f>
        <v/>
      </c>
      <c r="H87" s="35">
        <f>IF($A87="","",SUMIFS(전표_원본!$P$5:$P$100000,전표_원본!$O$5:$O$100000,$A87,전표_원본!$M$5:$M$100000,H$5))</f>
        <v/>
      </c>
      <c r="I87" s="35">
        <f>IF($A87="","",SUMIFS(전표_원본!$P$5:$P$100000,전표_원본!$O$5:$O$100000,$A87,전표_원본!$M$5:$M$100000,I$5))</f>
        <v/>
      </c>
      <c r="J87" s="35">
        <f>IF($A87="","",SUMIFS(전표_원본!$P$5:$P$100000,전표_원본!$O$5:$O$100000,$A87,전표_원본!$M$5:$M$100000,J$5))</f>
        <v/>
      </c>
      <c r="K87" s="35">
        <f>IF($A87="","",SUMIFS(전표_원본!$P$5:$P$100000,전표_원본!$O$5:$O$100000,$A87,전표_원본!$M$5:$M$100000,K$5))</f>
        <v/>
      </c>
      <c r="L87" s="35">
        <f>IF($A87="","",SUMIFS(전표_원본!$P$5:$P$100000,전표_원본!$O$5:$O$100000,$A87,전표_원본!$M$5:$M$100000,L$5))</f>
        <v/>
      </c>
      <c r="M87" s="35">
        <f>IF($A87="","",SUMIFS(전표_원본!$P$5:$P$100000,전표_원본!$O$5:$O$100000,$A87,전표_원본!$M$5:$M$100000,M$5))</f>
        <v/>
      </c>
      <c r="N87" s="35">
        <f>IF($A87="","",SUMIFS(전표_원본!$P$5:$P$100000,전표_원본!$O$5:$O$100000,$A87,전표_원본!$M$5:$M$100000,N$5))</f>
        <v/>
      </c>
      <c r="O87" s="35">
        <f>IF($A87="","",SUMIFS(전표_원본!$P$5:$P$100000,전표_원본!$O$5:$O$100000,$A87,전표_원본!$M$5:$M$100000,O$5))</f>
        <v/>
      </c>
      <c r="P87" s="35">
        <f>IF($A87="","",SUMIFS(전표_원본!$P$5:$P$100000,전표_원본!$O$5:$O$100000,$A87,전표_원본!$M$5:$M$100000,P$5))</f>
        <v/>
      </c>
      <c r="Q87" s="35">
        <f>IF($A87="","",SUMIFS(전표_원본!$P$5:$P$100000,전표_원본!$O$5:$O$100000,$A87,전표_원본!$M$5:$M$100000,Q$5))</f>
        <v/>
      </c>
      <c r="R87" s="35">
        <f>IF($A87="","",SUMIFS(전표_원본!$P$5:$P$100000,전표_원본!$O$5:$O$100000,$A87,전표_원본!$M$5:$M$100000,R$5))</f>
        <v/>
      </c>
      <c r="S87" s="35">
        <f>IF($A87="","",SUMIFS(전표_원본!$P$5:$P$100000,전표_원본!$O$5:$O$100000,$A87,전표_원본!$M$5:$M$100000,S$5))</f>
        <v/>
      </c>
      <c r="T87" s="35">
        <f>IF($A87="","",SUMIFS(전표_원본!$P$5:$P$100000,전표_원본!$O$5:$O$100000,$A87,전표_원본!$M$5:$M$100000,T$5))</f>
        <v/>
      </c>
      <c r="U87" s="35">
        <f>IF($A87="","",SUMIFS(전표_원본!$P$5:$P$100000,전표_원본!$O$5:$O$100000,$A87,전표_원본!$M$5:$M$100000,U$5))</f>
        <v/>
      </c>
      <c r="V87" s="35">
        <f>IF($A87="","",SUMIFS(전표_원본!$P$5:$P$100000,전표_원본!$O$5:$O$100000,$A87,전표_원본!$M$5:$M$100000,V$5))</f>
        <v/>
      </c>
      <c r="W87" s="35">
        <f>IF($A87="","",SUMIFS(전표_원본!$P$5:$P$100000,전표_원본!$O$5:$O$100000,$A87,전표_원본!$M$5:$M$100000,W$5))</f>
        <v/>
      </c>
      <c r="X87" s="35">
        <f>IF($A87="","",SUMIFS(전표_원본!$P$5:$P$100000,전표_원본!$O$5:$O$100000,$A87,전표_원본!$M$5:$M$100000,X$5))</f>
        <v/>
      </c>
      <c r="Y87" s="35">
        <f>IF($A87="","",SUMIFS(전표_원본!$P$5:$P$100000,전표_원본!$O$5:$O$100000,$A87,전표_원본!$M$5:$M$100000,Y$5))</f>
        <v/>
      </c>
      <c r="Z87" s="35">
        <f>IF($A87="","",SUMIFS(전표_원본!$P$5:$P$100000,전표_원본!$O$5:$O$100000,$A87,전표_원본!$M$5:$M$100000,Z$5))</f>
        <v/>
      </c>
      <c r="AB87" s="40">
        <f>IF(OR($A87="",1&gt;설정!$C$7),0,SUMIFS($C87:$Z87,$C$5:$Z$5,"&gt;="&amp;(설정!$C$6*12+1),$C$5:$Z$5,"&lt;="&amp;(설정!$C$6*12+1)))</f>
        <v/>
      </c>
      <c r="AC87" s="40">
        <f>IF(OR($A87="",2&gt;설정!$C$7),0,SUMIFS($C87:$Z87,$C$5:$Z$5,"&gt;="&amp;(설정!$C$6*12+1),$C$5:$Z$5,"&lt;="&amp;(설정!$C$6*12+2)))</f>
        <v/>
      </c>
      <c r="AD87" s="40">
        <f>IF(OR($A87="",3&gt;설정!$C$7),0,SUMIFS($C87:$Z87,$C$5:$Z$5,"&gt;="&amp;(설정!$C$6*12+1),$C$5:$Z$5,"&lt;="&amp;(설정!$C$6*12+3)))</f>
        <v/>
      </c>
      <c r="AE87" s="40">
        <f>IF(OR($A87="",4&gt;설정!$C$7),0,SUMIFS($C87:$Z87,$C$5:$Z$5,"&gt;="&amp;(설정!$C$6*12+1),$C$5:$Z$5,"&lt;="&amp;(설정!$C$6*12+4)))</f>
        <v/>
      </c>
      <c r="AF87" s="40">
        <f>IF(OR($A87="",5&gt;설정!$C$7),0,SUMIFS($C87:$Z87,$C$5:$Z$5,"&gt;="&amp;(설정!$C$6*12+1),$C$5:$Z$5,"&lt;="&amp;(설정!$C$6*12+5)))</f>
        <v/>
      </c>
      <c r="AG87" s="40">
        <f>IF(OR($A87="",6&gt;설정!$C$7),0,SUMIFS($C87:$Z87,$C$5:$Z$5,"&gt;="&amp;(설정!$C$6*12+1),$C$5:$Z$5,"&lt;="&amp;(설정!$C$6*12+6)))</f>
        <v/>
      </c>
      <c r="AH87" s="40">
        <f>IF(OR($A87="",7&gt;설정!$C$7),0,SUMIFS($C87:$Z87,$C$5:$Z$5,"&gt;="&amp;(설정!$C$6*12+1),$C$5:$Z$5,"&lt;="&amp;(설정!$C$6*12+7)))</f>
        <v/>
      </c>
      <c r="AI87" s="40">
        <f>IF(OR($A87="",8&gt;설정!$C$7),0,SUMIFS($C87:$Z87,$C$5:$Z$5,"&gt;="&amp;(설정!$C$6*12+1),$C$5:$Z$5,"&lt;="&amp;(설정!$C$6*12+8)))</f>
        <v/>
      </c>
      <c r="AJ87" s="40">
        <f>IF(OR($A87="",9&gt;설정!$C$7),0,SUMIFS($C87:$Z87,$C$5:$Z$5,"&gt;="&amp;(설정!$C$6*12+1),$C$5:$Z$5,"&lt;="&amp;(설정!$C$6*12+9)))</f>
        <v/>
      </c>
      <c r="AK87" s="40">
        <f>IF(OR($A87="",10&gt;설정!$C$7),0,SUMIFS($C87:$Z87,$C$5:$Z$5,"&gt;="&amp;(설정!$C$6*12+1),$C$5:$Z$5,"&lt;="&amp;(설정!$C$6*12+10)))</f>
        <v/>
      </c>
      <c r="AL87" s="40">
        <f>IF(OR($A87="",11&gt;설정!$C$7),0,SUMIFS($C87:$Z87,$C$5:$Z$5,"&gt;="&amp;(설정!$C$6*12+1),$C$5:$Z$5,"&lt;="&amp;(설정!$C$6*12+11)))</f>
        <v/>
      </c>
      <c r="AM87" s="40">
        <f>IF(OR($A87="",12&gt;설정!$C$7),0,SUMIFS($C87:$Z87,$C$5:$Z$5,"&gt;="&amp;(설정!$C$6*12+1),$C$5:$Z$5,"&lt;="&amp;(설정!$C$6*12+12)))</f>
        <v/>
      </c>
    </row>
    <row r="88">
      <c r="A88" s="26">
        <f>IF(변동분석!$A88="","",변동분석!$E88)</f>
        <v/>
      </c>
      <c r="B88" s="26">
        <f>IF($A88="","",변동분석!$B88&amp;" "&amp;변동분석!$D88)</f>
        <v/>
      </c>
      <c r="C88" s="35">
        <f>IF($A88="","",SUMIFS(전표_원본!$P$5:$P$100000,전표_원본!$O$5:$O$100000,$A88,전표_원본!$M$5:$M$100000,C$5))</f>
        <v/>
      </c>
      <c r="D88" s="35">
        <f>IF($A88="","",SUMIFS(전표_원본!$P$5:$P$100000,전표_원본!$O$5:$O$100000,$A88,전표_원본!$M$5:$M$100000,D$5))</f>
        <v/>
      </c>
      <c r="E88" s="35">
        <f>IF($A88="","",SUMIFS(전표_원본!$P$5:$P$100000,전표_원본!$O$5:$O$100000,$A88,전표_원본!$M$5:$M$100000,E$5))</f>
        <v/>
      </c>
      <c r="F88" s="35">
        <f>IF($A88="","",SUMIFS(전표_원본!$P$5:$P$100000,전표_원본!$O$5:$O$100000,$A88,전표_원본!$M$5:$M$100000,F$5))</f>
        <v/>
      </c>
      <c r="G88" s="35">
        <f>IF($A88="","",SUMIFS(전표_원본!$P$5:$P$100000,전표_원본!$O$5:$O$100000,$A88,전표_원본!$M$5:$M$100000,G$5))</f>
        <v/>
      </c>
      <c r="H88" s="35">
        <f>IF($A88="","",SUMIFS(전표_원본!$P$5:$P$100000,전표_원본!$O$5:$O$100000,$A88,전표_원본!$M$5:$M$100000,H$5))</f>
        <v/>
      </c>
      <c r="I88" s="35">
        <f>IF($A88="","",SUMIFS(전표_원본!$P$5:$P$100000,전표_원본!$O$5:$O$100000,$A88,전표_원본!$M$5:$M$100000,I$5))</f>
        <v/>
      </c>
      <c r="J88" s="35">
        <f>IF($A88="","",SUMIFS(전표_원본!$P$5:$P$100000,전표_원본!$O$5:$O$100000,$A88,전표_원본!$M$5:$M$100000,J$5))</f>
        <v/>
      </c>
      <c r="K88" s="35">
        <f>IF($A88="","",SUMIFS(전표_원본!$P$5:$P$100000,전표_원본!$O$5:$O$100000,$A88,전표_원본!$M$5:$M$100000,K$5))</f>
        <v/>
      </c>
      <c r="L88" s="35">
        <f>IF($A88="","",SUMIFS(전표_원본!$P$5:$P$100000,전표_원본!$O$5:$O$100000,$A88,전표_원본!$M$5:$M$100000,L$5))</f>
        <v/>
      </c>
      <c r="M88" s="35">
        <f>IF($A88="","",SUMIFS(전표_원본!$P$5:$P$100000,전표_원본!$O$5:$O$100000,$A88,전표_원본!$M$5:$M$100000,M$5))</f>
        <v/>
      </c>
      <c r="N88" s="35">
        <f>IF($A88="","",SUMIFS(전표_원본!$P$5:$P$100000,전표_원본!$O$5:$O$100000,$A88,전표_원본!$M$5:$M$100000,N$5))</f>
        <v/>
      </c>
      <c r="O88" s="35">
        <f>IF($A88="","",SUMIFS(전표_원본!$P$5:$P$100000,전표_원본!$O$5:$O$100000,$A88,전표_원본!$M$5:$M$100000,O$5))</f>
        <v/>
      </c>
      <c r="P88" s="35">
        <f>IF($A88="","",SUMIFS(전표_원본!$P$5:$P$100000,전표_원본!$O$5:$O$100000,$A88,전표_원본!$M$5:$M$100000,P$5))</f>
        <v/>
      </c>
      <c r="Q88" s="35">
        <f>IF($A88="","",SUMIFS(전표_원본!$P$5:$P$100000,전표_원본!$O$5:$O$100000,$A88,전표_원본!$M$5:$M$100000,Q$5))</f>
        <v/>
      </c>
      <c r="R88" s="35">
        <f>IF($A88="","",SUMIFS(전표_원본!$P$5:$P$100000,전표_원본!$O$5:$O$100000,$A88,전표_원본!$M$5:$M$100000,R$5))</f>
        <v/>
      </c>
      <c r="S88" s="35">
        <f>IF($A88="","",SUMIFS(전표_원본!$P$5:$P$100000,전표_원본!$O$5:$O$100000,$A88,전표_원본!$M$5:$M$100000,S$5))</f>
        <v/>
      </c>
      <c r="T88" s="35">
        <f>IF($A88="","",SUMIFS(전표_원본!$P$5:$P$100000,전표_원본!$O$5:$O$100000,$A88,전표_원본!$M$5:$M$100000,T$5))</f>
        <v/>
      </c>
      <c r="U88" s="35">
        <f>IF($A88="","",SUMIFS(전표_원본!$P$5:$P$100000,전표_원본!$O$5:$O$100000,$A88,전표_원본!$M$5:$M$100000,U$5))</f>
        <v/>
      </c>
      <c r="V88" s="35">
        <f>IF($A88="","",SUMIFS(전표_원본!$P$5:$P$100000,전표_원본!$O$5:$O$100000,$A88,전표_원본!$M$5:$M$100000,V$5))</f>
        <v/>
      </c>
      <c r="W88" s="35">
        <f>IF($A88="","",SUMIFS(전표_원본!$P$5:$P$100000,전표_원본!$O$5:$O$100000,$A88,전표_원본!$M$5:$M$100000,W$5))</f>
        <v/>
      </c>
      <c r="X88" s="35">
        <f>IF($A88="","",SUMIFS(전표_원본!$P$5:$P$100000,전표_원본!$O$5:$O$100000,$A88,전표_원본!$M$5:$M$100000,X$5))</f>
        <v/>
      </c>
      <c r="Y88" s="35">
        <f>IF($A88="","",SUMIFS(전표_원본!$P$5:$P$100000,전표_원본!$O$5:$O$100000,$A88,전표_원본!$M$5:$M$100000,Y$5))</f>
        <v/>
      </c>
      <c r="Z88" s="35">
        <f>IF($A88="","",SUMIFS(전표_원본!$P$5:$P$100000,전표_원본!$O$5:$O$100000,$A88,전표_원본!$M$5:$M$100000,Z$5))</f>
        <v/>
      </c>
      <c r="AB88" s="40">
        <f>IF(OR($A88="",1&gt;설정!$C$7),0,SUMIFS($C88:$Z88,$C$5:$Z$5,"&gt;="&amp;(설정!$C$6*12+1),$C$5:$Z$5,"&lt;="&amp;(설정!$C$6*12+1)))</f>
        <v/>
      </c>
      <c r="AC88" s="40">
        <f>IF(OR($A88="",2&gt;설정!$C$7),0,SUMIFS($C88:$Z88,$C$5:$Z$5,"&gt;="&amp;(설정!$C$6*12+1),$C$5:$Z$5,"&lt;="&amp;(설정!$C$6*12+2)))</f>
        <v/>
      </c>
      <c r="AD88" s="40">
        <f>IF(OR($A88="",3&gt;설정!$C$7),0,SUMIFS($C88:$Z88,$C$5:$Z$5,"&gt;="&amp;(설정!$C$6*12+1),$C$5:$Z$5,"&lt;="&amp;(설정!$C$6*12+3)))</f>
        <v/>
      </c>
      <c r="AE88" s="40">
        <f>IF(OR($A88="",4&gt;설정!$C$7),0,SUMIFS($C88:$Z88,$C$5:$Z$5,"&gt;="&amp;(설정!$C$6*12+1),$C$5:$Z$5,"&lt;="&amp;(설정!$C$6*12+4)))</f>
        <v/>
      </c>
      <c r="AF88" s="40">
        <f>IF(OR($A88="",5&gt;설정!$C$7),0,SUMIFS($C88:$Z88,$C$5:$Z$5,"&gt;="&amp;(설정!$C$6*12+1),$C$5:$Z$5,"&lt;="&amp;(설정!$C$6*12+5)))</f>
        <v/>
      </c>
      <c r="AG88" s="40">
        <f>IF(OR($A88="",6&gt;설정!$C$7),0,SUMIFS($C88:$Z88,$C$5:$Z$5,"&gt;="&amp;(설정!$C$6*12+1),$C$5:$Z$5,"&lt;="&amp;(설정!$C$6*12+6)))</f>
        <v/>
      </c>
      <c r="AH88" s="40">
        <f>IF(OR($A88="",7&gt;설정!$C$7),0,SUMIFS($C88:$Z88,$C$5:$Z$5,"&gt;="&amp;(설정!$C$6*12+1),$C$5:$Z$5,"&lt;="&amp;(설정!$C$6*12+7)))</f>
        <v/>
      </c>
      <c r="AI88" s="40">
        <f>IF(OR($A88="",8&gt;설정!$C$7),0,SUMIFS($C88:$Z88,$C$5:$Z$5,"&gt;="&amp;(설정!$C$6*12+1),$C$5:$Z$5,"&lt;="&amp;(설정!$C$6*12+8)))</f>
        <v/>
      </c>
      <c r="AJ88" s="40">
        <f>IF(OR($A88="",9&gt;설정!$C$7),0,SUMIFS($C88:$Z88,$C$5:$Z$5,"&gt;="&amp;(설정!$C$6*12+1),$C$5:$Z$5,"&lt;="&amp;(설정!$C$6*12+9)))</f>
        <v/>
      </c>
      <c r="AK88" s="40">
        <f>IF(OR($A88="",10&gt;설정!$C$7),0,SUMIFS($C88:$Z88,$C$5:$Z$5,"&gt;="&amp;(설정!$C$6*12+1),$C$5:$Z$5,"&lt;="&amp;(설정!$C$6*12+10)))</f>
        <v/>
      </c>
      <c r="AL88" s="40">
        <f>IF(OR($A88="",11&gt;설정!$C$7),0,SUMIFS($C88:$Z88,$C$5:$Z$5,"&gt;="&amp;(설정!$C$6*12+1),$C$5:$Z$5,"&lt;="&amp;(설정!$C$6*12+11)))</f>
        <v/>
      </c>
      <c r="AM88" s="40">
        <f>IF(OR($A88="",12&gt;설정!$C$7),0,SUMIFS($C88:$Z88,$C$5:$Z$5,"&gt;="&amp;(설정!$C$6*12+1),$C$5:$Z$5,"&lt;="&amp;(설정!$C$6*12+12)))</f>
        <v/>
      </c>
    </row>
    <row r="89">
      <c r="A89" s="26">
        <f>IF(변동분석!$A89="","",변동분석!$E89)</f>
        <v/>
      </c>
      <c r="B89" s="26">
        <f>IF($A89="","",변동분석!$B89&amp;" "&amp;변동분석!$D89)</f>
        <v/>
      </c>
      <c r="C89" s="35">
        <f>IF($A89="","",SUMIFS(전표_원본!$P$5:$P$100000,전표_원본!$O$5:$O$100000,$A89,전표_원본!$M$5:$M$100000,C$5))</f>
        <v/>
      </c>
      <c r="D89" s="35">
        <f>IF($A89="","",SUMIFS(전표_원본!$P$5:$P$100000,전표_원본!$O$5:$O$100000,$A89,전표_원본!$M$5:$M$100000,D$5))</f>
        <v/>
      </c>
      <c r="E89" s="35">
        <f>IF($A89="","",SUMIFS(전표_원본!$P$5:$P$100000,전표_원본!$O$5:$O$100000,$A89,전표_원본!$M$5:$M$100000,E$5))</f>
        <v/>
      </c>
      <c r="F89" s="35">
        <f>IF($A89="","",SUMIFS(전표_원본!$P$5:$P$100000,전표_원본!$O$5:$O$100000,$A89,전표_원본!$M$5:$M$100000,F$5))</f>
        <v/>
      </c>
      <c r="G89" s="35">
        <f>IF($A89="","",SUMIFS(전표_원본!$P$5:$P$100000,전표_원본!$O$5:$O$100000,$A89,전표_원본!$M$5:$M$100000,G$5))</f>
        <v/>
      </c>
      <c r="H89" s="35">
        <f>IF($A89="","",SUMIFS(전표_원본!$P$5:$P$100000,전표_원본!$O$5:$O$100000,$A89,전표_원본!$M$5:$M$100000,H$5))</f>
        <v/>
      </c>
      <c r="I89" s="35">
        <f>IF($A89="","",SUMIFS(전표_원본!$P$5:$P$100000,전표_원본!$O$5:$O$100000,$A89,전표_원본!$M$5:$M$100000,I$5))</f>
        <v/>
      </c>
      <c r="J89" s="35">
        <f>IF($A89="","",SUMIFS(전표_원본!$P$5:$P$100000,전표_원본!$O$5:$O$100000,$A89,전표_원본!$M$5:$M$100000,J$5))</f>
        <v/>
      </c>
      <c r="K89" s="35">
        <f>IF($A89="","",SUMIFS(전표_원본!$P$5:$P$100000,전표_원본!$O$5:$O$100000,$A89,전표_원본!$M$5:$M$100000,K$5))</f>
        <v/>
      </c>
      <c r="L89" s="35">
        <f>IF($A89="","",SUMIFS(전표_원본!$P$5:$P$100000,전표_원본!$O$5:$O$100000,$A89,전표_원본!$M$5:$M$100000,L$5))</f>
        <v/>
      </c>
      <c r="M89" s="35">
        <f>IF($A89="","",SUMIFS(전표_원본!$P$5:$P$100000,전표_원본!$O$5:$O$100000,$A89,전표_원본!$M$5:$M$100000,M$5))</f>
        <v/>
      </c>
      <c r="N89" s="35">
        <f>IF($A89="","",SUMIFS(전표_원본!$P$5:$P$100000,전표_원본!$O$5:$O$100000,$A89,전표_원본!$M$5:$M$100000,N$5))</f>
        <v/>
      </c>
      <c r="O89" s="35">
        <f>IF($A89="","",SUMIFS(전표_원본!$P$5:$P$100000,전표_원본!$O$5:$O$100000,$A89,전표_원본!$M$5:$M$100000,O$5))</f>
        <v/>
      </c>
      <c r="P89" s="35">
        <f>IF($A89="","",SUMIFS(전표_원본!$P$5:$P$100000,전표_원본!$O$5:$O$100000,$A89,전표_원본!$M$5:$M$100000,P$5))</f>
        <v/>
      </c>
      <c r="Q89" s="35">
        <f>IF($A89="","",SUMIFS(전표_원본!$P$5:$P$100000,전표_원본!$O$5:$O$100000,$A89,전표_원본!$M$5:$M$100000,Q$5))</f>
        <v/>
      </c>
      <c r="R89" s="35">
        <f>IF($A89="","",SUMIFS(전표_원본!$P$5:$P$100000,전표_원본!$O$5:$O$100000,$A89,전표_원본!$M$5:$M$100000,R$5))</f>
        <v/>
      </c>
      <c r="S89" s="35">
        <f>IF($A89="","",SUMIFS(전표_원본!$P$5:$P$100000,전표_원본!$O$5:$O$100000,$A89,전표_원본!$M$5:$M$100000,S$5))</f>
        <v/>
      </c>
      <c r="T89" s="35">
        <f>IF($A89="","",SUMIFS(전표_원본!$P$5:$P$100000,전표_원본!$O$5:$O$100000,$A89,전표_원본!$M$5:$M$100000,T$5))</f>
        <v/>
      </c>
      <c r="U89" s="35">
        <f>IF($A89="","",SUMIFS(전표_원본!$P$5:$P$100000,전표_원본!$O$5:$O$100000,$A89,전표_원본!$M$5:$M$100000,U$5))</f>
        <v/>
      </c>
      <c r="V89" s="35">
        <f>IF($A89="","",SUMIFS(전표_원본!$P$5:$P$100000,전표_원본!$O$5:$O$100000,$A89,전표_원본!$M$5:$M$100000,V$5))</f>
        <v/>
      </c>
      <c r="W89" s="35">
        <f>IF($A89="","",SUMIFS(전표_원본!$P$5:$P$100000,전표_원본!$O$5:$O$100000,$A89,전표_원본!$M$5:$M$100000,W$5))</f>
        <v/>
      </c>
      <c r="X89" s="35">
        <f>IF($A89="","",SUMIFS(전표_원본!$P$5:$P$100000,전표_원본!$O$5:$O$100000,$A89,전표_원본!$M$5:$M$100000,X$5))</f>
        <v/>
      </c>
      <c r="Y89" s="35">
        <f>IF($A89="","",SUMIFS(전표_원본!$P$5:$P$100000,전표_원본!$O$5:$O$100000,$A89,전표_원본!$M$5:$M$100000,Y$5))</f>
        <v/>
      </c>
      <c r="Z89" s="35">
        <f>IF($A89="","",SUMIFS(전표_원본!$P$5:$P$100000,전표_원본!$O$5:$O$100000,$A89,전표_원본!$M$5:$M$100000,Z$5))</f>
        <v/>
      </c>
      <c r="AB89" s="40">
        <f>IF(OR($A89="",1&gt;설정!$C$7),0,SUMIFS($C89:$Z89,$C$5:$Z$5,"&gt;="&amp;(설정!$C$6*12+1),$C$5:$Z$5,"&lt;="&amp;(설정!$C$6*12+1)))</f>
        <v/>
      </c>
      <c r="AC89" s="40">
        <f>IF(OR($A89="",2&gt;설정!$C$7),0,SUMIFS($C89:$Z89,$C$5:$Z$5,"&gt;="&amp;(설정!$C$6*12+1),$C$5:$Z$5,"&lt;="&amp;(설정!$C$6*12+2)))</f>
        <v/>
      </c>
      <c r="AD89" s="40">
        <f>IF(OR($A89="",3&gt;설정!$C$7),0,SUMIFS($C89:$Z89,$C$5:$Z$5,"&gt;="&amp;(설정!$C$6*12+1),$C$5:$Z$5,"&lt;="&amp;(설정!$C$6*12+3)))</f>
        <v/>
      </c>
      <c r="AE89" s="40">
        <f>IF(OR($A89="",4&gt;설정!$C$7),0,SUMIFS($C89:$Z89,$C$5:$Z$5,"&gt;="&amp;(설정!$C$6*12+1),$C$5:$Z$5,"&lt;="&amp;(설정!$C$6*12+4)))</f>
        <v/>
      </c>
      <c r="AF89" s="40">
        <f>IF(OR($A89="",5&gt;설정!$C$7),0,SUMIFS($C89:$Z89,$C$5:$Z$5,"&gt;="&amp;(설정!$C$6*12+1),$C$5:$Z$5,"&lt;="&amp;(설정!$C$6*12+5)))</f>
        <v/>
      </c>
      <c r="AG89" s="40">
        <f>IF(OR($A89="",6&gt;설정!$C$7),0,SUMIFS($C89:$Z89,$C$5:$Z$5,"&gt;="&amp;(설정!$C$6*12+1),$C$5:$Z$5,"&lt;="&amp;(설정!$C$6*12+6)))</f>
        <v/>
      </c>
      <c r="AH89" s="40">
        <f>IF(OR($A89="",7&gt;설정!$C$7),0,SUMIFS($C89:$Z89,$C$5:$Z$5,"&gt;="&amp;(설정!$C$6*12+1),$C$5:$Z$5,"&lt;="&amp;(설정!$C$6*12+7)))</f>
        <v/>
      </c>
      <c r="AI89" s="40">
        <f>IF(OR($A89="",8&gt;설정!$C$7),0,SUMIFS($C89:$Z89,$C$5:$Z$5,"&gt;="&amp;(설정!$C$6*12+1),$C$5:$Z$5,"&lt;="&amp;(설정!$C$6*12+8)))</f>
        <v/>
      </c>
      <c r="AJ89" s="40">
        <f>IF(OR($A89="",9&gt;설정!$C$7),0,SUMIFS($C89:$Z89,$C$5:$Z$5,"&gt;="&amp;(설정!$C$6*12+1),$C$5:$Z$5,"&lt;="&amp;(설정!$C$6*12+9)))</f>
        <v/>
      </c>
      <c r="AK89" s="40">
        <f>IF(OR($A89="",10&gt;설정!$C$7),0,SUMIFS($C89:$Z89,$C$5:$Z$5,"&gt;="&amp;(설정!$C$6*12+1),$C$5:$Z$5,"&lt;="&amp;(설정!$C$6*12+10)))</f>
        <v/>
      </c>
      <c r="AL89" s="40">
        <f>IF(OR($A89="",11&gt;설정!$C$7),0,SUMIFS($C89:$Z89,$C$5:$Z$5,"&gt;="&amp;(설정!$C$6*12+1),$C$5:$Z$5,"&lt;="&amp;(설정!$C$6*12+11)))</f>
        <v/>
      </c>
      <c r="AM89" s="40">
        <f>IF(OR($A89="",12&gt;설정!$C$7),0,SUMIFS($C89:$Z89,$C$5:$Z$5,"&gt;="&amp;(설정!$C$6*12+1),$C$5:$Z$5,"&lt;="&amp;(설정!$C$6*12+12)))</f>
        <v/>
      </c>
    </row>
    <row r="90">
      <c r="A90" s="26">
        <f>IF(변동분석!$A90="","",변동분석!$E90)</f>
        <v/>
      </c>
      <c r="B90" s="26">
        <f>IF($A90="","",변동분석!$B90&amp;" "&amp;변동분석!$D90)</f>
        <v/>
      </c>
      <c r="C90" s="35">
        <f>IF($A90="","",SUMIFS(전표_원본!$P$5:$P$100000,전표_원본!$O$5:$O$100000,$A90,전표_원본!$M$5:$M$100000,C$5))</f>
        <v/>
      </c>
      <c r="D90" s="35">
        <f>IF($A90="","",SUMIFS(전표_원본!$P$5:$P$100000,전표_원본!$O$5:$O$100000,$A90,전표_원본!$M$5:$M$100000,D$5))</f>
        <v/>
      </c>
      <c r="E90" s="35">
        <f>IF($A90="","",SUMIFS(전표_원본!$P$5:$P$100000,전표_원본!$O$5:$O$100000,$A90,전표_원본!$M$5:$M$100000,E$5))</f>
        <v/>
      </c>
      <c r="F90" s="35">
        <f>IF($A90="","",SUMIFS(전표_원본!$P$5:$P$100000,전표_원본!$O$5:$O$100000,$A90,전표_원본!$M$5:$M$100000,F$5))</f>
        <v/>
      </c>
      <c r="G90" s="35">
        <f>IF($A90="","",SUMIFS(전표_원본!$P$5:$P$100000,전표_원본!$O$5:$O$100000,$A90,전표_원본!$M$5:$M$100000,G$5))</f>
        <v/>
      </c>
      <c r="H90" s="35">
        <f>IF($A90="","",SUMIFS(전표_원본!$P$5:$P$100000,전표_원본!$O$5:$O$100000,$A90,전표_원본!$M$5:$M$100000,H$5))</f>
        <v/>
      </c>
      <c r="I90" s="35">
        <f>IF($A90="","",SUMIFS(전표_원본!$P$5:$P$100000,전표_원본!$O$5:$O$100000,$A90,전표_원본!$M$5:$M$100000,I$5))</f>
        <v/>
      </c>
      <c r="J90" s="35">
        <f>IF($A90="","",SUMIFS(전표_원본!$P$5:$P$100000,전표_원본!$O$5:$O$100000,$A90,전표_원본!$M$5:$M$100000,J$5))</f>
        <v/>
      </c>
      <c r="K90" s="35">
        <f>IF($A90="","",SUMIFS(전표_원본!$P$5:$P$100000,전표_원본!$O$5:$O$100000,$A90,전표_원본!$M$5:$M$100000,K$5))</f>
        <v/>
      </c>
      <c r="L90" s="35">
        <f>IF($A90="","",SUMIFS(전표_원본!$P$5:$P$100000,전표_원본!$O$5:$O$100000,$A90,전표_원본!$M$5:$M$100000,L$5))</f>
        <v/>
      </c>
      <c r="M90" s="35">
        <f>IF($A90="","",SUMIFS(전표_원본!$P$5:$P$100000,전표_원본!$O$5:$O$100000,$A90,전표_원본!$M$5:$M$100000,M$5))</f>
        <v/>
      </c>
      <c r="N90" s="35">
        <f>IF($A90="","",SUMIFS(전표_원본!$P$5:$P$100000,전표_원본!$O$5:$O$100000,$A90,전표_원본!$M$5:$M$100000,N$5))</f>
        <v/>
      </c>
      <c r="O90" s="35">
        <f>IF($A90="","",SUMIFS(전표_원본!$P$5:$P$100000,전표_원본!$O$5:$O$100000,$A90,전표_원본!$M$5:$M$100000,O$5))</f>
        <v/>
      </c>
      <c r="P90" s="35">
        <f>IF($A90="","",SUMIFS(전표_원본!$P$5:$P$100000,전표_원본!$O$5:$O$100000,$A90,전표_원본!$M$5:$M$100000,P$5))</f>
        <v/>
      </c>
      <c r="Q90" s="35">
        <f>IF($A90="","",SUMIFS(전표_원본!$P$5:$P$100000,전표_원본!$O$5:$O$100000,$A90,전표_원본!$M$5:$M$100000,Q$5))</f>
        <v/>
      </c>
      <c r="R90" s="35">
        <f>IF($A90="","",SUMIFS(전표_원본!$P$5:$P$100000,전표_원본!$O$5:$O$100000,$A90,전표_원본!$M$5:$M$100000,R$5))</f>
        <v/>
      </c>
      <c r="S90" s="35">
        <f>IF($A90="","",SUMIFS(전표_원본!$P$5:$P$100000,전표_원본!$O$5:$O$100000,$A90,전표_원본!$M$5:$M$100000,S$5))</f>
        <v/>
      </c>
      <c r="T90" s="35">
        <f>IF($A90="","",SUMIFS(전표_원본!$P$5:$P$100000,전표_원본!$O$5:$O$100000,$A90,전표_원본!$M$5:$M$100000,T$5))</f>
        <v/>
      </c>
      <c r="U90" s="35">
        <f>IF($A90="","",SUMIFS(전표_원본!$P$5:$P$100000,전표_원본!$O$5:$O$100000,$A90,전표_원본!$M$5:$M$100000,U$5))</f>
        <v/>
      </c>
      <c r="V90" s="35">
        <f>IF($A90="","",SUMIFS(전표_원본!$P$5:$P$100000,전표_원본!$O$5:$O$100000,$A90,전표_원본!$M$5:$M$100000,V$5))</f>
        <v/>
      </c>
      <c r="W90" s="35">
        <f>IF($A90="","",SUMIFS(전표_원본!$P$5:$P$100000,전표_원본!$O$5:$O$100000,$A90,전표_원본!$M$5:$M$100000,W$5))</f>
        <v/>
      </c>
      <c r="X90" s="35">
        <f>IF($A90="","",SUMIFS(전표_원본!$P$5:$P$100000,전표_원본!$O$5:$O$100000,$A90,전표_원본!$M$5:$M$100000,X$5))</f>
        <v/>
      </c>
      <c r="Y90" s="35">
        <f>IF($A90="","",SUMIFS(전표_원본!$P$5:$P$100000,전표_원본!$O$5:$O$100000,$A90,전표_원본!$M$5:$M$100000,Y$5))</f>
        <v/>
      </c>
      <c r="Z90" s="35">
        <f>IF($A90="","",SUMIFS(전표_원본!$P$5:$P$100000,전표_원본!$O$5:$O$100000,$A90,전표_원본!$M$5:$M$100000,Z$5))</f>
        <v/>
      </c>
      <c r="AB90" s="40">
        <f>IF(OR($A90="",1&gt;설정!$C$7),0,SUMIFS($C90:$Z90,$C$5:$Z$5,"&gt;="&amp;(설정!$C$6*12+1),$C$5:$Z$5,"&lt;="&amp;(설정!$C$6*12+1)))</f>
        <v/>
      </c>
      <c r="AC90" s="40">
        <f>IF(OR($A90="",2&gt;설정!$C$7),0,SUMIFS($C90:$Z90,$C$5:$Z$5,"&gt;="&amp;(설정!$C$6*12+1),$C$5:$Z$5,"&lt;="&amp;(설정!$C$6*12+2)))</f>
        <v/>
      </c>
      <c r="AD90" s="40">
        <f>IF(OR($A90="",3&gt;설정!$C$7),0,SUMIFS($C90:$Z90,$C$5:$Z$5,"&gt;="&amp;(설정!$C$6*12+1),$C$5:$Z$5,"&lt;="&amp;(설정!$C$6*12+3)))</f>
        <v/>
      </c>
      <c r="AE90" s="40">
        <f>IF(OR($A90="",4&gt;설정!$C$7),0,SUMIFS($C90:$Z90,$C$5:$Z$5,"&gt;="&amp;(설정!$C$6*12+1),$C$5:$Z$5,"&lt;="&amp;(설정!$C$6*12+4)))</f>
        <v/>
      </c>
      <c r="AF90" s="40">
        <f>IF(OR($A90="",5&gt;설정!$C$7),0,SUMIFS($C90:$Z90,$C$5:$Z$5,"&gt;="&amp;(설정!$C$6*12+1),$C$5:$Z$5,"&lt;="&amp;(설정!$C$6*12+5)))</f>
        <v/>
      </c>
      <c r="AG90" s="40">
        <f>IF(OR($A90="",6&gt;설정!$C$7),0,SUMIFS($C90:$Z90,$C$5:$Z$5,"&gt;="&amp;(설정!$C$6*12+1),$C$5:$Z$5,"&lt;="&amp;(설정!$C$6*12+6)))</f>
        <v/>
      </c>
      <c r="AH90" s="40">
        <f>IF(OR($A90="",7&gt;설정!$C$7),0,SUMIFS($C90:$Z90,$C$5:$Z$5,"&gt;="&amp;(설정!$C$6*12+1),$C$5:$Z$5,"&lt;="&amp;(설정!$C$6*12+7)))</f>
        <v/>
      </c>
      <c r="AI90" s="40">
        <f>IF(OR($A90="",8&gt;설정!$C$7),0,SUMIFS($C90:$Z90,$C$5:$Z$5,"&gt;="&amp;(설정!$C$6*12+1),$C$5:$Z$5,"&lt;="&amp;(설정!$C$6*12+8)))</f>
        <v/>
      </c>
      <c r="AJ90" s="40">
        <f>IF(OR($A90="",9&gt;설정!$C$7),0,SUMIFS($C90:$Z90,$C$5:$Z$5,"&gt;="&amp;(설정!$C$6*12+1),$C$5:$Z$5,"&lt;="&amp;(설정!$C$6*12+9)))</f>
        <v/>
      </c>
      <c r="AK90" s="40">
        <f>IF(OR($A90="",10&gt;설정!$C$7),0,SUMIFS($C90:$Z90,$C$5:$Z$5,"&gt;="&amp;(설정!$C$6*12+1),$C$5:$Z$5,"&lt;="&amp;(설정!$C$6*12+10)))</f>
        <v/>
      </c>
      <c r="AL90" s="40">
        <f>IF(OR($A90="",11&gt;설정!$C$7),0,SUMIFS($C90:$Z90,$C$5:$Z$5,"&gt;="&amp;(설정!$C$6*12+1),$C$5:$Z$5,"&lt;="&amp;(설정!$C$6*12+11)))</f>
        <v/>
      </c>
      <c r="AM90" s="40">
        <f>IF(OR($A90="",12&gt;설정!$C$7),0,SUMIFS($C90:$Z90,$C$5:$Z$5,"&gt;="&amp;(설정!$C$6*12+1),$C$5:$Z$5,"&lt;="&amp;(설정!$C$6*12+12)))</f>
        <v/>
      </c>
    </row>
    <row r="91">
      <c r="A91" s="26">
        <f>IF(변동분석!$A91="","",변동분석!$E91)</f>
        <v/>
      </c>
      <c r="B91" s="26">
        <f>IF($A91="","",변동분석!$B91&amp;" "&amp;변동분석!$D91)</f>
        <v/>
      </c>
      <c r="C91" s="35">
        <f>IF($A91="","",SUMIFS(전표_원본!$P$5:$P$100000,전표_원본!$O$5:$O$100000,$A91,전표_원본!$M$5:$M$100000,C$5))</f>
        <v/>
      </c>
      <c r="D91" s="35">
        <f>IF($A91="","",SUMIFS(전표_원본!$P$5:$P$100000,전표_원본!$O$5:$O$100000,$A91,전표_원본!$M$5:$M$100000,D$5))</f>
        <v/>
      </c>
      <c r="E91" s="35">
        <f>IF($A91="","",SUMIFS(전표_원본!$P$5:$P$100000,전표_원본!$O$5:$O$100000,$A91,전표_원본!$M$5:$M$100000,E$5))</f>
        <v/>
      </c>
      <c r="F91" s="35">
        <f>IF($A91="","",SUMIFS(전표_원본!$P$5:$P$100000,전표_원본!$O$5:$O$100000,$A91,전표_원본!$M$5:$M$100000,F$5))</f>
        <v/>
      </c>
      <c r="G91" s="35">
        <f>IF($A91="","",SUMIFS(전표_원본!$P$5:$P$100000,전표_원본!$O$5:$O$100000,$A91,전표_원본!$M$5:$M$100000,G$5))</f>
        <v/>
      </c>
      <c r="H91" s="35">
        <f>IF($A91="","",SUMIFS(전표_원본!$P$5:$P$100000,전표_원본!$O$5:$O$100000,$A91,전표_원본!$M$5:$M$100000,H$5))</f>
        <v/>
      </c>
      <c r="I91" s="35">
        <f>IF($A91="","",SUMIFS(전표_원본!$P$5:$P$100000,전표_원본!$O$5:$O$100000,$A91,전표_원본!$M$5:$M$100000,I$5))</f>
        <v/>
      </c>
      <c r="J91" s="35">
        <f>IF($A91="","",SUMIFS(전표_원본!$P$5:$P$100000,전표_원본!$O$5:$O$100000,$A91,전표_원본!$M$5:$M$100000,J$5))</f>
        <v/>
      </c>
      <c r="K91" s="35">
        <f>IF($A91="","",SUMIFS(전표_원본!$P$5:$P$100000,전표_원본!$O$5:$O$100000,$A91,전표_원본!$M$5:$M$100000,K$5))</f>
        <v/>
      </c>
      <c r="L91" s="35">
        <f>IF($A91="","",SUMIFS(전표_원본!$P$5:$P$100000,전표_원본!$O$5:$O$100000,$A91,전표_원본!$M$5:$M$100000,L$5))</f>
        <v/>
      </c>
      <c r="M91" s="35">
        <f>IF($A91="","",SUMIFS(전표_원본!$P$5:$P$100000,전표_원본!$O$5:$O$100000,$A91,전표_원본!$M$5:$M$100000,M$5))</f>
        <v/>
      </c>
      <c r="N91" s="35">
        <f>IF($A91="","",SUMIFS(전표_원본!$P$5:$P$100000,전표_원본!$O$5:$O$100000,$A91,전표_원본!$M$5:$M$100000,N$5))</f>
        <v/>
      </c>
      <c r="O91" s="35">
        <f>IF($A91="","",SUMIFS(전표_원본!$P$5:$P$100000,전표_원본!$O$5:$O$100000,$A91,전표_원본!$M$5:$M$100000,O$5))</f>
        <v/>
      </c>
      <c r="P91" s="35">
        <f>IF($A91="","",SUMIFS(전표_원본!$P$5:$P$100000,전표_원본!$O$5:$O$100000,$A91,전표_원본!$M$5:$M$100000,P$5))</f>
        <v/>
      </c>
      <c r="Q91" s="35">
        <f>IF($A91="","",SUMIFS(전표_원본!$P$5:$P$100000,전표_원본!$O$5:$O$100000,$A91,전표_원본!$M$5:$M$100000,Q$5))</f>
        <v/>
      </c>
      <c r="R91" s="35">
        <f>IF($A91="","",SUMIFS(전표_원본!$P$5:$P$100000,전표_원본!$O$5:$O$100000,$A91,전표_원본!$M$5:$M$100000,R$5))</f>
        <v/>
      </c>
      <c r="S91" s="35">
        <f>IF($A91="","",SUMIFS(전표_원본!$P$5:$P$100000,전표_원본!$O$5:$O$100000,$A91,전표_원본!$M$5:$M$100000,S$5))</f>
        <v/>
      </c>
      <c r="T91" s="35">
        <f>IF($A91="","",SUMIFS(전표_원본!$P$5:$P$100000,전표_원본!$O$5:$O$100000,$A91,전표_원본!$M$5:$M$100000,T$5))</f>
        <v/>
      </c>
      <c r="U91" s="35">
        <f>IF($A91="","",SUMIFS(전표_원본!$P$5:$P$100000,전표_원본!$O$5:$O$100000,$A91,전표_원본!$M$5:$M$100000,U$5))</f>
        <v/>
      </c>
      <c r="V91" s="35">
        <f>IF($A91="","",SUMIFS(전표_원본!$P$5:$P$100000,전표_원본!$O$5:$O$100000,$A91,전표_원본!$M$5:$M$100000,V$5))</f>
        <v/>
      </c>
      <c r="W91" s="35">
        <f>IF($A91="","",SUMIFS(전표_원본!$P$5:$P$100000,전표_원본!$O$5:$O$100000,$A91,전표_원본!$M$5:$M$100000,W$5))</f>
        <v/>
      </c>
      <c r="X91" s="35">
        <f>IF($A91="","",SUMIFS(전표_원본!$P$5:$P$100000,전표_원본!$O$5:$O$100000,$A91,전표_원본!$M$5:$M$100000,X$5))</f>
        <v/>
      </c>
      <c r="Y91" s="35">
        <f>IF($A91="","",SUMIFS(전표_원본!$P$5:$P$100000,전표_원본!$O$5:$O$100000,$A91,전표_원본!$M$5:$M$100000,Y$5))</f>
        <v/>
      </c>
      <c r="Z91" s="35">
        <f>IF($A91="","",SUMIFS(전표_원본!$P$5:$P$100000,전표_원본!$O$5:$O$100000,$A91,전표_원본!$M$5:$M$100000,Z$5))</f>
        <v/>
      </c>
      <c r="AB91" s="40">
        <f>IF(OR($A91="",1&gt;설정!$C$7),0,SUMIFS($C91:$Z91,$C$5:$Z$5,"&gt;="&amp;(설정!$C$6*12+1),$C$5:$Z$5,"&lt;="&amp;(설정!$C$6*12+1)))</f>
        <v/>
      </c>
      <c r="AC91" s="40">
        <f>IF(OR($A91="",2&gt;설정!$C$7),0,SUMIFS($C91:$Z91,$C$5:$Z$5,"&gt;="&amp;(설정!$C$6*12+1),$C$5:$Z$5,"&lt;="&amp;(설정!$C$6*12+2)))</f>
        <v/>
      </c>
      <c r="AD91" s="40">
        <f>IF(OR($A91="",3&gt;설정!$C$7),0,SUMIFS($C91:$Z91,$C$5:$Z$5,"&gt;="&amp;(설정!$C$6*12+1),$C$5:$Z$5,"&lt;="&amp;(설정!$C$6*12+3)))</f>
        <v/>
      </c>
      <c r="AE91" s="40">
        <f>IF(OR($A91="",4&gt;설정!$C$7),0,SUMIFS($C91:$Z91,$C$5:$Z$5,"&gt;="&amp;(설정!$C$6*12+1),$C$5:$Z$5,"&lt;="&amp;(설정!$C$6*12+4)))</f>
        <v/>
      </c>
      <c r="AF91" s="40">
        <f>IF(OR($A91="",5&gt;설정!$C$7),0,SUMIFS($C91:$Z91,$C$5:$Z$5,"&gt;="&amp;(설정!$C$6*12+1),$C$5:$Z$5,"&lt;="&amp;(설정!$C$6*12+5)))</f>
        <v/>
      </c>
      <c r="AG91" s="40">
        <f>IF(OR($A91="",6&gt;설정!$C$7),0,SUMIFS($C91:$Z91,$C$5:$Z$5,"&gt;="&amp;(설정!$C$6*12+1),$C$5:$Z$5,"&lt;="&amp;(설정!$C$6*12+6)))</f>
        <v/>
      </c>
      <c r="AH91" s="40">
        <f>IF(OR($A91="",7&gt;설정!$C$7),0,SUMIFS($C91:$Z91,$C$5:$Z$5,"&gt;="&amp;(설정!$C$6*12+1),$C$5:$Z$5,"&lt;="&amp;(설정!$C$6*12+7)))</f>
        <v/>
      </c>
      <c r="AI91" s="40">
        <f>IF(OR($A91="",8&gt;설정!$C$7),0,SUMIFS($C91:$Z91,$C$5:$Z$5,"&gt;="&amp;(설정!$C$6*12+1),$C$5:$Z$5,"&lt;="&amp;(설정!$C$6*12+8)))</f>
        <v/>
      </c>
      <c r="AJ91" s="40">
        <f>IF(OR($A91="",9&gt;설정!$C$7),0,SUMIFS($C91:$Z91,$C$5:$Z$5,"&gt;="&amp;(설정!$C$6*12+1),$C$5:$Z$5,"&lt;="&amp;(설정!$C$6*12+9)))</f>
        <v/>
      </c>
      <c r="AK91" s="40">
        <f>IF(OR($A91="",10&gt;설정!$C$7),0,SUMIFS($C91:$Z91,$C$5:$Z$5,"&gt;="&amp;(설정!$C$6*12+1),$C$5:$Z$5,"&lt;="&amp;(설정!$C$6*12+10)))</f>
        <v/>
      </c>
      <c r="AL91" s="40">
        <f>IF(OR($A91="",11&gt;설정!$C$7),0,SUMIFS($C91:$Z91,$C$5:$Z$5,"&gt;="&amp;(설정!$C$6*12+1),$C$5:$Z$5,"&lt;="&amp;(설정!$C$6*12+11)))</f>
        <v/>
      </c>
      <c r="AM91" s="40">
        <f>IF(OR($A91="",12&gt;설정!$C$7),0,SUMIFS($C91:$Z91,$C$5:$Z$5,"&gt;="&amp;(설정!$C$6*12+1),$C$5:$Z$5,"&lt;="&amp;(설정!$C$6*12+12)))</f>
        <v/>
      </c>
    </row>
    <row r="92">
      <c r="A92" s="26">
        <f>IF(변동분석!$A92="","",변동분석!$E92)</f>
        <v/>
      </c>
      <c r="B92" s="26">
        <f>IF($A92="","",변동분석!$B92&amp;" "&amp;변동분석!$D92)</f>
        <v/>
      </c>
      <c r="C92" s="35">
        <f>IF($A92="","",SUMIFS(전표_원본!$P$5:$P$100000,전표_원본!$O$5:$O$100000,$A92,전표_원본!$M$5:$M$100000,C$5))</f>
        <v/>
      </c>
      <c r="D92" s="35">
        <f>IF($A92="","",SUMIFS(전표_원본!$P$5:$P$100000,전표_원본!$O$5:$O$100000,$A92,전표_원본!$M$5:$M$100000,D$5))</f>
        <v/>
      </c>
      <c r="E92" s="35">
        <f>IF($A92="","",SUMIFS(전표_원본!$P$5:$P$100000,전표_원본!$O$5:$O$100000,$A92,전표_원본!$M$5:$M$100000,E$5))</f>
        <v/>
      </c>
      <c r="F92" s="35">
        <f>IF($A92="","",SUMIFS(전표_원본!$P$5:$P$100000,전표_원본!$O$5:$O$100000,$A92,전표_원본!$M$5:$M$100000,F$5))</f>
        <v/>
      </c>
      <c r="G92" s="35">
        <f>IF($A92="","",SUMIFS(전표_원본!$P$5:$P$100000,전표_원본!$O$5:$O$100000,$A92,전표_원본!$M$5:$M$100000,G$5))</f>
        <v/>
      </c>
      <c r="H92" s="35">
        <f>IF($A92="","",SUMIFS(전표_원본!$P$5:$P$100000,전표_원본!$O$5:$O$100000,$A92,전표_원본!$M$5:$M$100000,H$5))</f>
        <v/>
      </c>
      <c r="I92" s="35">
        <f>IF($A92="","",SUMIFS(전표_원본!$P$5:$P$100000,전표_원본!$O$5:$O$100000,$A92,전표_원본!$M$5:$M$100000,I$5))</f>
        <v/>
      </c>
      <c r="J92" s="35">
        <f>IF($A92="","",SUMIFS(전표_원본!$P$5:$P$100000,전표_원본!$O$5:$O$100000,$A92,전표_원본!$M$5:$M$100000,J$5))</f>
        <v/>
      </c>
      <c r="K92" s="35">
        <f>IF($A92="","",SUMIFS(전표_원본!$P$5:$P$100000,전표_원본!$O$5:$O$100000,$A92,전표_원본!$M$5:$M$100000,K$5))</f>
        <v/>
      </c>
      <c r="L92" s="35">
        <f>IF($A92="","",SUMIFS(전표_원본!$P$5:$P$100000,전표_원본!$O$5:$O$100000,$A92,전표_원본!$M$5:$M$100000,L$5))</f>
        <v/>
      </c>
      <c r="M92" s="35">
        <f>IF($A92="","",SUMIFS(전표_원본!$P$5:$P$100000,전표_원본!$O$5:$O$100000,$A92,전표_원본!$M$5:$M$100000,M$5))</f>
        <v/>
      </c>
      <c r="N92" s="35">
        <f>IF($A92="","",SUMIFS(전표_원본!$P$5:$P$100000,전표_원본!$O$5:$O$100000,$A92,전표_원본!$M$5:$M$100000,N$5))</f>
        <v/>
      </c>
      <c r="O92" s="35">
        <f>IF($A92="","",SUMIFS(전표_원본!$P$5:$P$100000,전표_원본!$O$5:$O$100000,$A92,전표_원본!$M$5:$M$100000,O$5))</f>
        <v/>
      </c>
      <c r="P92" s="35">
        <f>IF($A92="","",SUMIFS(전표_원본!$P$5:$P$100000,전표_원본!$O$5:$O$100000,$A92,전표_원본!$M$5:$M$100000,P$5))</f>
        <v/>
      </c>
      <c r="Q92" s="35">
        <f>IF($A92="","",SUMIFS(전표_원본!$P$5:$P$100000,전표_원본!$O$5:$O$100000,$A92,전표_원본!$M$5:$M$100000,Q$5))</f>
        <v/>
      </c>
      <c r="R92" s="35">
        <f>IF($A92="","",SUMIFS(전표_원본!$P$5:$P$100000,전표_원본!$O$5:$O$100000,$A92,전표_원본!$M$5:$M$100000,R$5))</f>
        <v/>
      </c>
      <c r="S92" s="35">
        <f>IF($A92="","",SUMIFS(전표_원본!$P$5:$P$100000,전표_원본!$O$5:$O$100000,$A92,전표_원본!$M$5:$M$100000,S$5))</f>
        <v/>
      </c>
      <c r="T92" s="35">
        <f>IF($A92="","",SUMIFS(전표_원본!$P$5:$P$100000,전표_원본!$O$5:$O$100000,$A92,전표_원본!$M$5:$M$100000,T$5))</f>
        <v/>
      </c>
      <c r="U92" s="35">
        <f>IF($A92="","",SUMIFS(전표_원본!$P$5:$P$100000,전표_원본!$O$5:$O$100000,$A92,전표_원본!$M$5:$M$100000,U$5))</f>
        <v/>
      </c>
      <c r="V92" s="35">
        <f>IF($A92="","",SUMIFS(전표_원본!$P$5:$P$100000,전표_원본!$O$5:$O$100000,$A92,전표_원본!$M$5:$M$100000,V$5))</f>
        <v/>
      </c>
      <c r="W92" s="35">
        <f>IF($A92="","",SUMIFS(전표_원본!$P$5:$P$100000,전표_원본!$O$5:$O$100000,$A92,전표_원본!$M$5:$M$100000,W$5))</f>
        <v/>
      </c>
      <c r="X92" s="35">
        <f>IF($A92="","",SUMIFS(전표_원본!$P$5:$P$100000,전표_원본!$O$5:$O$100000,$A92,전표_원본!$M$5:$M$100000,X$5))</f>
        <v/>
      </c>
      <c r="Y92" s="35">
        <f>IF($A92="","",SUMIFS(전표_원본!$P$5:$P$100000,전표_원본!$O$5:$O$100000,$A92,전표_원본!$M$5:$M$100000,Y$5))</f>
        <v/>
      </c>
      <c r="Z92" s="35">
        <f>IF($A92="","",SUMIFS(전표_원본!$P$5:$P$100000,전표_원본!$O$5:$O$100000,$A92,전표_원본!$M$5:$M$100000,Z$5))</f>
        <v/>
      </c>
      <c r="AB92" s="40">
        <f>IF(OR($A92="",1&gt;설정!$C$7),0,SUMIFS($C92:$Z92,$C$5:$Z$5,"&gt;="&amp;(설정!$C$6*12+1),$C$5:$Z$5,"&lt;="&amp;(설정!$C$6*12+1)))</f>
        <v/>
      </c>
      <c r="AC92" s="40">
        <f>IF(OR($A92="",2&gt;설정!$C$7),0,SUMIFS($C92:$Z92,$C$5:$Z$5,"&gt;="&amp;(설정!$C$6*12+1),$C$5:$Z$5,"&lt;="&amp;(설정!$C$6*12+2)))</f>
        <v/>
      </c>
      <c r="AD92" s="40">
        <f>IF(OR($A92="",3&gt;설정!$C$7),0,SUMIFS($C92:$Z92,$C$5:$Z$5,"&gt;="&amp;(설정!$C$6*12+1),$C$5:$Z$5,"&lt;="&amp;(설정!$C$6*12+3)))</f>
        <v/>
      </c>
      <c r="AE92" s="40">
        <f>IF(OR($A92="",4&gt;설정!$C$7),0,SUMIFS($C92:$Z92,$C$5:$Z$5,"&gt;="&amp;(설정!$C$6*12+1),$C$5:$Z$5,"&lt;="&amp;(설정!$C$6*12+4)))</f>
        <v/>
      </c>
      <c r="AF92" s="40">
        <f>IF(OR($A92="",5&gt;설정!$C$7),0,SUMIFS($C92:$Z92,$C$5:$Z$5,"&gt;="&amp;(설정!$C$6*12+1),$C$5:$Z$5,"&lt;="&amp;(설정!$C$6*12+5)))</f>
        <v/>
      </c>
      <c r="AG92" s="40">
        <f>IF(OR($A92="",6&gt;설정!$C$7),0,SUMIFS($C92:$Z92,$C$5:$Z$5,"&gt;="&amp;(설정!$C$6*12+1),$C$5:$Z$5,"&lt;="&amp;(설정!$C$6*12+6)))</f>
        <v/>
      </c>
      <c r="AH92" s="40">
        <f>IF(OR($A92="",7&gt;설정!$C$7),0,SUMIFS($C92:$Z92,$C$5:$Z$5,"&gt;="&amp;(설정!$C$6*12+1),$C$5:$Z$5,"&lt;="&amp;(설정!$C$6*12+7)))</f>
        <v/>
      </c>
      <c r="AI92" s="40">
        <f>IF(OR($A92="",8&gt;설정!$C$7),0,SUMIFS($C92:$Z92,$C$5:$Z$5,"&gt;="&amp;(설정!$C$6*12+1),$C$5:$Z$5,"&lt;="&amp;(설정!$C$6*12+8)))</f>
        <v/>
      </c>
      <c r="AJ92" s="40">
        <f>IF(OR($A92="",9&gt;설정!$C$7),0,SUMIFS($C92:$Z92,$C$5:$Z$5,"&gt;="&amp;(설정!$C$6*12+1),$C$5:$Z$5,"&lt;="&amp;(설정!$C$6*12+9)))</f>
        <v/>
      </c>
      <c r="AK92" s="40">
        <f>IF(OR($A92="",10&gt;설정!$C$7),0,SUMIFS($C92:$Z92,$C$5:$Z$5,"&gt;="&amp;(설정!$C$6*12+1),$C$5:$Z$5,"&lt;="&amp;(설정!$C$6*12+10)))</f>
        <v/>
      </c>
      <c r="AL92" s="40">
        <f>IF(OR($A92="",11&gt;설정!$C$7),0,SUMIFS($C92:$Z92,$C$5:$Z$5,"&gt;="&amp;(설정!$C$6*12+1),$C$5:$Z$5,"&lt;="&amp;(설정!$C$6*12+11)))</f>
        <v/>
      </c>
      <c r="AM92" s="40">
        <f>IF(OR($A92="",12&gt;설정!$C$7),0,SUMIFS($C92:$Z92,$C$5:$Z$5,"&gt;="&amp;(설정!$C$6*12+1),$C$5:$Z$5,"&lt;="&amp;(설정!$C$6*12+12)))</f>
        <v/>
      </c>
    </row>
    <row r="93">
      <c r="A93" s="26">
        <f>IF(변동분석!$A93="","",변동분석!$E93)</f>
        <v/>
      </c>
      <c r="B93" s="26">
        <f>IF($A93="","",변동분석!$B93&amp;" "&amp;변동분석!$D93)</f>
        <v/>
      </c>
      <c r="C93" s="35">
        <f>IF($A93="","",SUMIFS(전표_원본!$P$5:$P$100000,전표_원본!$O$5:$O$100000,$A93,전표_원본!$M$5:$M$100000,C$5))</f>
        <v/>
      </c>
      <c r="D93" s="35">
        <f>IF($A93="","",SUMIFS(전표_원본!$P$5:$P$100000,전표_원본!$O$5:$O$100000,$A93,전표_원본!$M$5:$M$100000,D$5))</f>
        <v/>
      </c>
      <c r="E93" s="35">
        <f>IF($A93="","",SUMIFS(전표_원본!$P$5:$P$100000,전표_원본!$O$5:$O$100000,$A93,전표_원본!$M$5:$M$100000,E$5))</f>
        <v/>
      </c>
      <c r="F93" s="35">
        <f>IF($A93="","",SUMIFS(전표_원본!$P$5:$P$100000,전표_원본!$O$5:$O$100000,$A93,전표_원본!$M$5:$M$100000,F$5))</f>
        <v/>
      </c>
      <c r="G93" s="35">
        <f>IF($A93="","",SUMIFS(전표_원본!$P$5:$P$100000,전표_원본!$O$5:$O$100000,$A93,전표_원본!$M$5:$M$100000,G$5))</f>
        <v/>
      </c>
      <c r="H93" s="35">
        <f>IF($A93="","",SUMIFS(전표_원본!$P$5:$P$100000,전표_원본!$O$5:$O$100000,$A93,전표_원본!$M$5:$M$100000,H$5))</f>
        <v/>
      </c>
      <c r="I93" s="35">
        <f>IF($A93="","",SUMIFS(전표_원본!$P$5:$P$100000,전표_원본!$O$5:$O$100000,$A93,전표_원본!$M$5:$M$100000,I$5))</f>
        <v/>
      </c>
      <c r="J93" s="35">
        <f>IF($A93="","",SUMIFS(전표_원본!$P$5:$P$100000,전표_원본!$O$5:$O$100000,$A93,전표_원본!$M$5:$M$100000,J$5))</f>
        <v/>
      </c>
      <c r="K93" s="35">
        <f>IF($A93="","",SUMIFS(전표_원본!$P$5:$P$100000,전표_원본!$O$5:$O$100000,$A93,전표_원본!$M$5:$M$100000,K$5))</f>
        <v/>
      </c>
      <c r="L93" s="35">
        <f>IF($A93="","",SUMIFS(전표_원본!$P$5:$P$100000,전표_원본!$O$5:$O$100000,$A93,전표_원본!$M$5:$M$100000,L$5))</f>
        <v/>
      </c>
      <c r="M93" s="35">
        <f>IF($A93="","",SUMIFS(전표_원본!$P$5:$P$100000,전표_원본!$O$5:$O$100000,$A93,전표_원본!$M$5:$M$100000,M$5))</f>
        <v/>
      </c>
      <c r="N93" s="35">
        <f>IF($A93="","",SUMIFS(전표_원본!$P$5:$P$100000,전표_원본!$O$5:$O$100000,$A93,전표_원본!$M$5:$M$100000,N$5))</f>
        <v/>
      </c>
      <c r="O93" s="35">
        <f>IF($A93="","",SUMIFS(전표_원본!$P$5:$P$100000,전표_원본!$O$5:$O$100000,$A93,전표_원본!$M$5:$M$100000,O$5))</f>
        <v/>
      </c>
      <c r="P93" s="35">
        <f>IF($A93="","",SUMIFS(전표_원본!$P$5:$P$100000,전표_원본!$O$5:$O$100000,$A93,전표_원본!$M$5:$M$100000,P$5))</f>
        <v/>
      </c>
      <c r="Q93" s="35">
        <f>IF($A93="","",SUMIFS(전표_원본!$P$5:$P$100000,전표_원본!$O$5:$O$100000,$A93,전표_원본!$M$5:$M$100000,Q$5))</f>
        <v/>
      </c>
      <c r="R93" s="35">
        <f>IF($A93="","",SUMIFS(전표_원본!$P$5:$P$100000,전표_원본!$O$5:$O$100000,$A93,전표_원본!$M$5:$M$100000,R$5))</f>
        <v/>
      </c>
      <c r="S93" s="35">
        <f>IF($A93="","",SUMIFS(전표_원본!$P$5:$P$100000,전표_원본!$O$5:$O$100000,$A93,전표_원본!$M$5:$M$100000,S$5))</f>
        <v/>
      </c>
      <c r="T93" s="35">
        <f>IF($A93="","",SUMIFS(전표_원본!$P$5:$P$100000,전표_원본!$O$5:$O$100000,$A93,전표_원본!$M$5:$M$100000,T$5))</f>
        <v/>
      </c>
      <c r="U93" s="35">
        <f>IF($A93="","",SUMIFS(전표_원본!$P$5:$P$100000,전표_원본!$O$5:$O$100000,$A93,전표_원본!$M$5:$M$100000,U$5))</f>
        <v/>
      </c>
      <c r="V93" s="35">
        <f>IF($A93="","",SUMIFS(전표_원본!$P$5:$P$100000,전표_원본!$O$5:$O$100000,$A93,전표_원본!$M$5:$M$100000,V$5))</f>
        <v/>
      </c>
      <c r="W93" s="35">
        <f>IF($A93="","",SUMIFS(전표_원본!$P$5:$P$100000,전표_원본!$O$5:$O$100000,$A93,전표_원본!$M$5:$M$100000,W$5))</f>
        <v/>
      </c>
      <c r="X93" s="35">
        <f>IF($A93="","",SUMIFS(전표_원본!$P$5:$P$100000,전표_원본!$O$5:$O$100000,$A93,전표_원본!$M$5:$M$100000,X$5))</f>
        <v/>
      </c>
      <c r="Y93" s="35">
        <f>IF($A93="","",SUMIFS(전표_원본!$P$5:$P$100000,전표_원본!$O$5:$O$100000,$A93,전표_원본!$M$5:$M$100000,Y$5))</f>
        <v/>
      </c>
      <c r="Z93" s="35">
        <f>IF($A93="","",SUMIFS(전표_원본!$P$5:$P$100000,전표_원본!$O$5:$O$100000,$A93,전표_원본!$M$5:$M$100000,Z$5))</f>
        <v/>
      </c>
      <c r="AB93" s="40">
        <f>IF(OR($A93="",1&gt;설정!$C$7),0,SUMIFS($C93:$Z93,$C$5:$Z$5,"&gt;="&amp;(설정!$C$6*12+1),$C$5:$Z$5,"&lt;="&amp;(설정!$C$6*12+1)))</f>
        <v/>
      </c>
      <c r="AC93" s="40">
        <f>IF(OR($A93="",2&gt;설정!$C$7),0,SUMIFS($C93:$Z93,$C$5:$Z$5,"&gt;="&amp;(설정!$C$6*12+1),$C$5:$Z$5,"&lt;="&amp;(설정!$C$6*12+2)))</f>
        <v/>
      </c>
      <c r="AD93" s="40">
        <f>IF(OR($A93="",3&gt;설정!$C$7),0,SUMIFS($C93:$Z93,$C$5:$Z$5,"&gt;="&amp;(설정!$C$6*12+1),$C$5:$Z$5,"&lt;="&amp;(설정!$C$6*12+3)))</f>
        <v/>
      </c>
      <c r="AE93" s="40">
        <f>IF(OR($A93="",4&gt;설정!$C$7),0,SUMIFS($C93:$Z93,$C$5:$Z$5,"&gt;="&amp;(설정!$C$6*12+1),$C$5:$Z$5,"&lt;="&amp;(설정!$C$6*12+4)))</f>
        <v/>
      </c>
      <c r="AF93" s="40">
        <f>IF(OR($A93="",5&gt;설정!$C$7),0,SUMIFS($C93:$Z93,$C$5:$Z$5,"&gt;="&amp;(설정!$C$6*12+1),$C$5:$Z$5,"&lt;="&amp;(설정!$C$6*12+5)))</f>
        <v/>
      </c>
      <c r="AG93" s="40">
        <f>IF(OR($A93="",6&gt;설정!$C$7),0,SUMIFS($C93:$Z93,$C$5:$Z$5,"&gt;="&amp;(설정!$C$6*12+1),$C$5:$Z$5,"&lt;="&amp;(설정!$C$6*12+6)))</f>
        <v/>
      </c>
      <c r="AH93" s="40">
        <f>IF(OR($A93="",7&gt;설정!$C$7),0,SUMIFS($C93:$Z93,$C$5:$Z$5,"&gt;="&amp;(설정!$C$6*12+1),$C$5:$Z$5,"&lt;="&amp;(설정!$C$6*12+7)))</f>
        <v/>
      </c>
      <c r="AI93" s="40">
        <f>IF(OR($A93="",8&gt;설정!$C$7),0,SUMIFS($C93:$Z93,$C$5:$Z$5,"&gt;="&amp;(설정!$C$6*12+1),$C$5:$Z$5,"&lt;="&amp;(설정!$C$6*12+8)))</f>
        <v/>
      </c>
      <c r="AJ93" s="40">
        <f>IF(OR($A93="",9&gt;설정!$C$7),0,SUMIFS($C93:$Z93,$C$5:$Z$5,"&gt;="&amp;(설정!$C$6*12+1),$C$5:$Z$5,"&lt;="&amp;(설정!$C$6*12+9)))</f>
        <v/>
      </c>
      <c r="AK93" s="40">
        <f>IF(OR($A93="",10&gt;설정!$C$7),0,SUMIFS($C93:$Z93,$C$5:$Z$5,"&gt;="&amp;(설정!$C$6*12+1),$C$5:$Z$5,"&lt;="&amp;(설정!$C$6*12+10)))</f>
        <v/>
      </c>
      <c r="AL93" s="40">
        <f>IF(OR($A93="",11&gt;설정!$C$7),0,SUMIFS($C93:$Z93,$C$5:$Z$5,"&gt;="&amp;(설정!$C$6*12+1),$C$5:$Z$5,"&lt;="&amp;(설정!$C$6*12+11)))</f>
        <v/>
      </c>
      <c r="AM93" s="40">
        <f>IF(OR($A93="",12&gt;설정!$C$7),0,SUMIFS($C93:$Z93,$C$5:$Z$5,"&gt;="&amp;(설정!$C$6*12+1),$C$5:$Z$5,"&lt;="&amp;(설정!$C$6*12+12)))</f>
        <v/>
      </c>
    </row>
    <row r="94">
      <c r="A94" s="26">
        <f>IF(변동분석!$A94="","",변동분석!$E94)</f>
        <v/>
      </c>
      <c r="B94" s="26">
        <f>IF($A94="","",변동분석!$B94&amp;" "&amp;변동분석!$D94)</f>
        <v/>
      </c>
      <c r="C94" s="35">
        <f>IF($A94="","",SUMIFS(전표_원본!$P$5:$P$100000,전표_원본!$O$5:$O$100000,$A94,전표_원본!$M$5:$M$100000,C$5))</f>
        <v/>
      </c>
      <c r="D94" s="35">
        <f>IF($A94="","",SUMIFS(전표_원본!$P$5:$P$100000,전표_원본!$O$5:$O$100000,$A94,전표_원본!$M$5:$M$100000,D$5))</f>
        <v/>
      </c>
      <c r="E94" s="35">
        <f>IF($A94="","",SUMIFS(전표_원본!$P$5:$P$100000,전표_원본!$O$5:$O$100000,$A94,전표_원본!$M$5:$M$100000,E$5))</f>
        <v/>
      </c>
      <c r="F94" s="35">
        <f>IF($A94="","",SUMIFS(전표_원본!$P$5:$P$100000,전표_원본!$O$5:$O$100000,$A94,전표_원본!$M$5:$M$100000,F$5))</f>
        <v/>
      </c>
      <c r="G94" s="35">
        <f>IF($A94="","",SUMIFS(전표_원본!$P$5:$P$100000,전표_원본!$O$5:$O$100000,$A94,전표_원본!$M$5:$M$100000,G$5))</f>
        <v/>
      </c>
      <c r="H94" s="35">
        <f>IF($A94="","",SUMIFS(전표_원본!$P$5:$P$100000,전표_원본!$O$5:$O$100000,$A94,전표_원본!$M$5:$M$100000,H$5))</f>
        <v/>
      </c>
      <c r="I94" s="35">
        <f>IF($A94="","",SUMIFS(전표_원본!$P$5:$P$100000,전표_원본!$O$5:$O$100000,$A94,전표_원본!$M$5:$M$100000,I$5))</f>
        <v/>
      </c>
      <c r="J94" s="35">
        <f>IF($A94="","",SUMIFS(전표_원본!$P$5:$P$100000,전표_원본!$O$5:$O$100000,$A94,전표_원본!$M$5:$M$100000,J$5))</f>
        <v/>
      </c>
      <c r="K94" s="35">
        <f>IF($A94="","",SUMIFS(전표_원본!$P$5:$P$100000,전표_원본!$O$5:$O$100000,$A94,전표_원본!$M$5:$M$100000,K$5))</f>
        <v/>
      </c>
      <c r="L94" s="35">
        <f>IF($A94="","",SUMIFS(전표_원본!$P$5:$P$100000,전표_원본!$O$5:$O$100000,$A94,전표_원본!$M$5:$M$100000,L$5))</f>
        <v/>
      </c>
      <c r="M94" s="35">
        <f>IF($A94="","",SUMIFS(전표_원본!$P$5:$P$100000,전표_원본!$O$5:$O$100000,$A94,전표_원본!$M$5:$M$100000,M$5))</f>
        <v/>
      </c>
      <c r="N94" s="35">
        <f>IF($A94="","",SUMIFS(전표_원본!$P$5:$P$100000,전표_원본!$O$5:$O$100000,$A94,전표_원본!$M$5:$M$100000,N$5))</f>
        <v/>
      </c>
      <c r="O94" s="35">
        <f>IF($A94="","",SUMIFS(전표_원본!$P$5:$P$100000,전표_원본!$O$5:$O$100000,$A94,전표_원본!$M$5:$M$100000,O$5))</f>
        <v/>
      </c>
      <c r="P94" s="35">
        <f>IF($A94="","",SUMIFS(전표_원본!$P$5:$P$100000,전표_원본!$O$5:$O$100000,$A94,전표_원본!$M$5:$M$100000,P$5))</f>
        <v/>
      </c>
      <c r="Q94" s="35">
        <f>IF($A94="","",SUMIFS(전표_원본!$P$5:$P$100000,전표_원본!$O$5:$O$100000,$A94,전표_원본!$M$5:$M$100000,Q$5))</f>
        <v/>
      </c>
      <c r="R94" s="35">
        <f>IF($A94="","",SUMIFS(전표_원본!$P$5:$P$100000,전표_원본!$O$5:$O$100000,$A94,전표_원본!$M$5:$M$100000,R$5))</f>
        <v/>
      </c>
      <c r="S94" s="35">
        <f>IF($A94="","",SUMIFS(전표_원본!$P$5:$P$100000,전표_원본!$O$5:$O$100000,$A94,전표_원본!$M$5:$M$100000,S$5))</f>
        <v/>
      </c>
      <c r="T94" s="35">
        <f>IF($A94="","",SUMIFS(전표_원본!$P$5:$P$100000,전표_원본!$O$5:$O$100000,$A94,전표_원본!$M$5:$M$100000,T$5))</f>
        <v/>
      </c>
      <c r="U94" s="35">
        <f>IF($A94="","",SUMIFS(전표_원본!$P$5:$P$100000,전표_원본!$O$5:$O$100000,$A94,전표_원본!$M$5:$M$100000,U$5))</f>
        <v/>
      </c>
      <c r="V94" s="35">
        <f>IF($A94="","",SUMIFS(전표_원본!$P$5:$P$100000,전표_원본!$O$5:$O$100000,$A94,전표_원본!$M$5:$M$100000,V$5))</f>
        <v/>
      </c>
      <c r="W94" s="35">
        <f>IF($A94="","",SUMIFS(전표_원본!$P$5:$P$100000,전표_원본!$O$5:$O$100000,$A94,전표_원본!$M$5:$M$100000,W$5))</f>
        <v/>
      </c>
      <c r="X94" s="35">
        <f>IF($A94="","",SUMIFS(전표_원본!$P$5:$P$100000,전표_원본!$O$5:$O$100000,$A94,전표_원본!$M$5:$M$100000,X$5))</f>
        <v/>
      </c>
      <c r="Y94" s="35">
        <f>IF($A94="","",SUMIFS(전표_원본!$P$5:$P$100000,전표_원본!$O$5:$O$100000,$A94,전표_원본!$M$5:$M$100000,Y$5))</f>
        <v/>
      </c>
      <c r="Z94" s="35">
        <f>IF($A94="","",SUMIFS(전표_원본!$P$5:$P$100000,전표_원본!$O$5:$O$100000,$A94,전표_원본!$M$5:$M$100000,Z$5))</f>
        <v/>
      </c>
      <c r="AB94" s="40">
        <f>IF(OR($A94="",1&gt;설정!$C$7),0,SUMIFS($C94:$Z94,$C$5:$Z$5,"&gt;="&amp;(설정!$C$6*12+1),$C$5:$Z$5,"&lt;="&amp;(설정!$C$6*12+1)))</f>
        <v/>
      </c>
      <c r="AC94" s="40">
        <f>IF(OR($A94="",2&gt;설정!$C$7),0,SUMIFS($C94:$Z94,$C$5:$Z$5,"&gt;="&amp;(설정!$C$6*12+1),$C$5:$Z$5,"&lt;="&amp;(설정!$C$6*12+2)))</f>
        <v/>
      </c>
      <c r="AD94" s="40">
        <f>IF(OR($A94="",3&gt;설정!$C$7),0,SUMIFS($C94:$Z94,$C$5:$Z$5,"&gt;="&amp;(설정!$C$6*12+1),$C$5:$Z$5,"&lt;="&amp;(설정!$C$6*12+3)))</f>
        <v/>
      </c>
      <c r="AE94" s="40">
        <f>IF(OR($A94="",4&gt;설정!$C$7),0,SUMIFS($C94:$Z94,$C$5:$Z$5,"&gt;="&amp;(설정!$C$6*12+1),$C$5:$Z$5,"&lt;="&amp;(설정!$C$6*12+4)))</f>
        <v/>
      </c>
      <c r="AF94" s="40">
        <f>IF(OR($A94="",5&gt;설정!$C$7),0,SUMIFS($C94:$Z94,$C$5:$Z$5,"&gt;="&amp;(설정!$C$6*12+1),$C$5:$Z$5,"&lt;="&amp;(설정!$C$6*12+5)))</f>
        <v/>
      </c>
      <c r="AG94" s="40">
        <f>IF(OR($A94="",6&gt;설정!$C$7),0,SUMIFS($C94:$Z94,$C$5:$Z$5,"&gt;="&amp;(설정!$C$6*12+1),$C$5:$Z$5,"&lt;="&amp;(설정!$C$6*12+6)))</f>
        <v/>
      </c>
      <c r="AH94" s="40">
        <f>IF(OR($A94="",7&gt;설정!$C$7),0,SUMIFS($C94:$Z94,$C$5:$Z$5,"&gt;="&amp;(설정!$C$6*12+1),$C$5:$Z$5,"&lt;="&amp;(설정!$C$6*12+7)))</f>
        <v/>
      </c>
      <c r="AI94" s="40">
        <f>IF(OR($A94="",8&gt;설정!$C$7),0,SUMIFS($C94:$Z94,$C$5:$Z$5,"&gt;="&amp;(설정!$C$6*12+1),$C$5:$Z$5,"&lt;="&amp;(설정!$C$6*12+8)))</f>
        <v/>
      </c>
      <c r="AJ94" s="40">
        <f>IF(OR($A94="",9&gt;설정!$C$7),0,SUMIFS($C94:$Z94,$C$5:$Z$5,"&gt;="&amp;(설정!$C$6*12+1),$C$5:$Z$5,"&lt;="&amp;(설정!$C$6*12+9)))</f>
        <v/>
      </c>
      <c r="AK94" s="40">
        <f>IF(OR($A94="",10&gt;설정!$C$7),0,SUMIFS($C94:$Z94,$C$5:$Z$5,"&gt;="&amp;(설정!$C$6*12+1),$C$5:$Z$5,"&lt;="&amp;(설정!$C$6*12+10)))</f>
        <v/>
      </c>
      <c r="AL94" s="40">
        <f>IF(OR($A94="",11&gt;설정!$C$7),0,SUMIFS($C94:$Z94,$C$5:$Z$5,"&gt;="&amp;(설정!$C$6*12+1),$C$5:$Z$5,"&lt;="&amp;(설정!$C$6*12+11)))</f>
        <v/>
      </c>
      <c r="AM94" s="40">
        <f>IF(OR($A94="",12&gt;설정!$C$7),0,SUMIFS($C94:$Z94,$C$5:$Z$5,"&gt;="&amp;(설정!$C$6*12+1),$C$5:$Z$5,"&lt;="&amp;(설정!$C$6*12+12)))</f>
        <v/>
      </c>
    </row>
    <row r="95">
      <c r="A95" s="26">
        <f>IF(변동분석!$A95="","",변동분석!$E95)</f>
        <v/>
      </c>
      <c r="B95" s="26">
        <f>IF($A95="","",변동분석!$B95&amp;" "&amp;변동분석!$D95)</f>
        <v/>
      </c>
      <c r="C95" s="35">
        <f>IF($A95="","",SUMIFS(전표_원본!$P$5:$P$100000,전표_원본!$O$5:$O$100000,$A95,전표_원본!$M$5:$M$100000,C$5))</f>
        <v/>
      </c>
      <c r="D95" s="35">
        <f>IF($A95="","",SUMIFS(전표_원본!$P$5:$P$100000,전표_원본!$O$5:$O$100000,$A95,전표_원본!$M$5:$M$100000,D$5))</f>
        <v/>
      </c>
      <c r="E95" s="35">
        <f>IF($A95="","",SUMIFS(전표_원본!$P$5:$P$100000,전표_원본!$O$5:$O$100000,$A95,전표_원본!$M$5:$M$100000,E$5))</f>
        <v/>
      </c>
      <c r="F95" s="35">
        <f>IF($A95="","",SUMIFS(전표_원본!$P$5:$P$100000,전표_원본!$O$5:$O$100000,$A95,전표_원본!$M$5:$M$100000,F$5))</f>
        <v/>
      </c>
      <c r="G95" s="35">
        <f>IF($A95="","",SUMIFS(전표_원본!$P$5:$P$100000,전표_원본!$O$5:$O$100000,$A95,전표_원본!$M$5:$M$100000,G$5))</f>
        <v/>
      </c>
      <c r="H95" s="35">
        <f>IF($A95="","",SUMIFS(전표_원본!$P$5:$P$100000,전표_원본!$O$5:$O$100000,$A95,전표_원본!$M$5:$M$100000,H$5))</f>
        <v/>
      </c>
      <c r="I95" s="35">
        <f>IF($A95="","",SUMIFS(전표_원본!$P$5:$P$100000,전표_원본!$O$5:$O$100000,$A95,전표_원본!$M$5:$M$100000,I$5))</f>
        <v/>
      </c>
      <c r="J95" s="35">
        <f>IF($A95="","",SUMIFS(전표_원본!$P$5:$P$100000,전표_원본!$O$5:$O$100000,$A95,전표_원본!$M$5:$M$100000,J$5))</f>
        <v/>
      </c>
      <c r="K95" s="35">
        <f>IF($A95="","",SUMIFS(전표_원본!$P$5:$P$100000,전표_원본!$O$5:$O$100000,$A95,전표_원본!$M$5:$M$100000,K$5))</f>
        <v/>
      </c>
      <c r="L95" s="35">
        <f>IF($A95="","",SUMIFS(전표_원본!$P$5:$P$100000,전표_원본!$O$5:$O$100000,$A95,전표_원본!$M$5:$M$100000,L$5))</f>
        <v/>
      </c>
      <c r="M95" s="35">
        <f>IF($A95="","",SUMIFS(전표_원본!$P$5:$P$100000,전표_원본!$O$5:$O$100000,$A95,전표_원본!$M$5:$M$100000,M$5))</f>
        <v/>
      </c>
      <c r="N95" s="35">
        <f>IF($A95="","",SUMIFS(전표_원본!$P$5:$P$100000,전표_원본!$O$5:$O$100000,$A95,전표_원본!$M$5:$M$100000,N$5))</f>
        <v/>
      </c>
      <c r="O95" s="35">
        <f>IF($A95="","",SUMIFS(전표_원본!$P$5:$P$100000,전표_원본!$O$5:$O$100000,$A95,전표_원본!$M$5:$M$100000,O$5))</f>
        <v/>
      </c>
      <c r="P95" s="35">
        <f>IF($A95="","",SUMIFS(전표_원본!$P$5:$P$100000,전표_원본!$O$5:$O$100000,$A95,전표_원본!$M$5:$M$100000,P$5))</f>
        <v/>
      </c>
      <c r="Q95" s="35">
        <f>IF($A95="","",SUMIFS(전표_원본!$P$5:$P$100000,전표_원본!$O$5:$O$100000,$A95,전표_원본!$M$5:$M$100000,Q$5))</f>
        <v/>
      </c>
      <c r="R95" s="35">
        <f>IF($A95="","",SUMIFS(전표_원본!$P$5:$P$100000,전표_원본!$O$5:$O$100000,$A95,전표_원본!$M$5:$M$100000,R$5))</f>
        <v/>
      </c>
      <c r="S95" s="35">
        <f>IF($A95="","",SUMIFS(전표_원본!$P$5:$P$100000,전표_원본!$O$5:$O$100000,$A95,전표_원본!$M$5:$M$100000,S$5))</f>
        <v/>
      </c>
      <c r="T95" s="35">
        <f>IF($A95="","",SUMIFS(전표_원본!$P$5:$P$100000,전표_원본!$O$5:$O$100000,$A95,전표_원본!$M$5:$M$100000,T$5))</f>
        <v/>
      </c>
      <c r="U95" s="35">
        <f>IF($A95="","",SUMIFS(전표_원본!$P$5:$P$100000,전표_원본!$O$5:$O$100000,$A95,전표_원본!$M$5:$M$100000,U$5))</f>
        <v/>
      </c>
      <c r="V95" s="35">
        <f>IF($A95="","",SUMIFS(전표_원본!$P$5:$P$100000,전표_원본!$O$5:$O$100000,$A95,전표_원본!$M$5:$M$100000,V$5))</f>
        <v/>
      </c>
      <c r="W95" s="35">
        <f>IF($A95="","",SUMIFS(전표_원본!$P$5:$P$100000,전표_원본!$O$5:$O$100000,$A95,전표_원본!$M$5:$M$100000,W$5))</f>
        <v/>
      </c>
      <c r="X95" s="35">
        <f>IF($A95="","",SUMIFS(전표_원본!$P$5:$P$100000,전표_원본!$O$5:$O$100000,$A95,전표_원본!$M$5:$M$100000,X$5))</f>
        <v/>
      </c>
      <c r="Y95" s="35">
        <f>IF($A95="","",SUMIFS(전표_원본!$P$5:$P$100000,전표_원본!$O$5:$O$100000,$A95,전표_원본!$M$5:$M$100000,Y$5))</f>
        <v/>
      </c>
      <c r="Z95" s="35">
        <f>IF($A95="","",SUMIFS(전표_원본!$P$5:$P$100000,전표_원본!$O$5:$O$100000,$A95,전표_원본!$M$5:$M$100000,Z$5))</f>
        <v/>
      </c>
      <c r="AB95" s="40">
        <f>IF(OR($A95="",1&gt;설정!$C$7),0,SUMIFS($C95:$Z95,$C$5:$Z$5,"&gt;="&amp;(설정!$C$6*12+1),$C$5:$Z$5,"&lt;="&amp;(설정!$C$6*12+1)))</f>
        <v/>
      </c>
      <c r="AC95" s="40">
        <f>IF(OR($A95="",2&gt;설정!$C$7),0,SUMIFS($C95:$Z95,$C$5:$Z$5,"&gt;="&amp;(설정!$C$6*12+1),$C$5:$Z$5,"&lt;="&amp;(설정!$C$6*12+2)))</f>
        <v/>
      </c>
      <c r="AD95" s="40">
        <f>IF(OR($A95="",3&gt;설정!$C$7),0,SUMIFS($C95:$Z95,$C$5:$Z$5,"&gt;="&amp;(설정!$C$6*12+1),$C$5:$Z$5,"&lt;="&amp;(설정!$C$6*12+3)))</f>
        <v/>
      </c>
      <c r="AE95" s="40">
        <f>IF(OR($A95="",4&gt;설정!$C$7),0,SUMIFS($C95:$Z95,$C$5:$Z$5,"&gt;="&amp;(설정!$C$6*12+1),$C$5:$Z$5,"&lt;="&amp;(설정!$C$6*12+4)))</f>
        <v/>
      </c>
      <c r="AF95" s="40">
        <f>IF(OR($A95="",5&gt;설정!$C$7),0,SUMIFS($C95:$Z95,$C$5:$Z$5,"&gt;="&amp;(설정!$C$6*12+1),$C$5:$Z$5,"&lt;="&amp;(설정!$C$6*12+5)))</f>
        <v/>
      </c>
      <c r="AG95" s="40">
        <f>IF(OR($A95="",6&gt;설정!$C$7),0,SUMIFS($C95:$Z95,$C$5:$Z$5,"&gt;="&amp;(설정!$C$6*12+1),$C$5:$Z$5,"&lt;="&amp;(설정!$C$6*12+6)))</f>
        <v/>
      </c>
      <c r="AH95" s="40">
        <f>IF(OR($A95="",7&gt;설정!$C$7),0,SUMIFS($C95:$Z95,$C$5:$Z$5,"&gt;="&amp;(설정!$C$6*12+1),$C$5:$Z$5,"&lt;="&amp;(설정!$C$6*12+7)))</f>
        <v/>
      </c>
      <c r="AI95" s="40">
        <f>IF(OR($A95="",8&gt;설정!$C$7),0,SUMIFS($C95:$Z95,$C$5:$Z$5,"&gt;="&amp;(설정!$C$6*12+1),$C$5:$Z$5,"&lt;="&amp;(설정!$C$6*12+8)))</f>
        <v/>
      </c>
      <c r="AJ95" s="40">
        <f>IF(OR($A95="",9&gt;설정!$C$7),0,SUMIFS($C95:$Z95,$C$5:$Z$5,"&gt;="&amp;(설정!$C$6*12+1),$C$5:$Z$5,"&lt;="&amp;(설정!$C$6*12+9)))</f>
        <v/>
      </c>
      <c r="AK95" s="40">
        <f>IF(OR($A95="",10&gt;설정!$C$7),0,SUMIFS($C95:$Z95,$C$5:$Z$5,"&gt;="&amp;(설정!$C$6*12+1),$C$5:$Z$5,"&lt;="&amp;(설정!$C$6*12+10)))</f>
        <v/>
      </c>
      <c r="AL95" s="40">
        <f>IF(OR($A95="",11&gt;설정!$C$7),0,SUMIFS($C95:$Z95,$C$5:$Z$5,"&gt;="&amp;(설정!$C$6*12+1),$C$5:$Z$5,"&lt;="&amp;(설정!$C$6*12+11)))</f>
        <v/>
      </c>
      <c r="AM95" s="40">
        <f>IF(OR($A95="",12&gt;설정!$C$7),0,SUMIFS($C95:$Z95,$C$5:$Z$5,"&gt;="&amp;(설정!$C$6*12+1),$C$5:$Z$5,"&lt;="&amp;(설정!$C$6*12+12)))</f>
        <v/>
      </c>
    </row>
    <row r="96">
      <c r="A96" s="26">
        <f>IF(변동분석!$A96="","",변동분석!$E96)</f>
        <v/>
      </c>
      <c r="B96" s="26">
        <f>IF($A96="","",변동분석!$B96&amp;" "&amp;변동분석!$D96)</f>
        <v/>
      </c>
      <c r="C96" s="35">
        <f>IF($A96="","",SUMIFS(전표_원본!$P$5:$P$100000,전표_원본!$O$5:$O$100000,$A96,전표_원본!$M$5:$M$100000,C$5))</f>
        <v/>
      </c>
      <c r="D96" s="35">
        <f>IF($A96="","",SUMIFS(전표_원본!$P$5:$P$100000,전표_원본!$O$5:$O$100000,$A96,전표_원본!$M$5:$M$100000,D$5))</f>
        <v/>
      </c>
      <c r="E96" s="35">
        <f>IF($A96="","",SUMIFS(전표_원본!$P$5:$P$100000,전표_원본!$O$5:$O$100000,$A96,전표_원본!$M$5:$M$100000,E$5))</f>
        <v/>
      </c>
      <c r="F96" s="35">
        <f>IF($A96="","",SUMIFS(전표_원본!$P$5:$P$100000,전표_원본!$O$5:$O$100000,$A96,전표_원본!$M$5:$M$100000,F$5))</f>
        <v/>
      </c>
      <c r="G96" s="35">
        <f>IF($A96="","",SUMIFS(전표_원본!$P$5:$P$100000,전표_원본!$O$5:$O$100000,$A96,전표_원본!$M$5:$M$100000,G$5))</f>
        <v/>
      </c>
      <c r="H96" s="35">
        <f>IF($A96="","",SUMIFS(전표_원본!$P$5:$P$100000,전표_원본!$O$5:$O$100000,$A96,전표_원본!$M$5:$M$100000,H$5))</f>
        <v/>
      </c>
      <c r="I96" s="35">
        <f>IF($A96="","",SUMIFS(전표_원본!$P$5:$P$100000,전표_원본!$O$5:$O$100000,$A96,전표_원본!$M$5:$M$100000,I$5))</f>
        <v/>
      </c>
      <c r="J96" s="35">
        <f>IF($A96="","",SUMIFS(전표_원본!$P$5:$P$100000,전표_원본!$O$5:$O$100000,$A96,전표_원본!$M$5:$M$100000,J$5))</f>
        <v/>
      </c>
      <c r="K96" s="35">
        <f>IF($A96="","",SUMIFS(전표_원본!$P$5:$P$100000,전표_원본!$O$5:$O$100000,$A96,전표_원본!$M$5:$M$100000,K$5))</f>
        <v/>
      </c>
      <c r="L96" s="35">
        <f>IF($A96="","",SUMIFS(전표_원본!$P$5:$P$100000,전표_원본!$O$5:$O$100000,$A96,전표_원본!$M$5:$M$100000,L$5))</f>
        <v/>
      </c>
      <c r="M96" s="35">
        <f>IF($A96="","",SUMIFS(전표_원본!$P$5:$P$100000,전표_원본!$O$5:$O$100000,$A96,전표_원본!$M$5:$M$100000,M$5))</f>
        <v/>
      </c>
      <c r="N96" s="35">
        <f>IF($A96="","",SUMIFS(전표_원본!$P$5:$P$100000,전표_원본!$O$5:$O$100000,$A96,전표_원본!$M$5:$M$100000,N$5))</f>
        <v/>
      </c>
      <c r="O96" s="35">
        <f>IF($A96="","",SUMIFS(전표_원본!$P$5:$P$100000,전표_원본!$O$5:$O$100000,$A96,전표_원본!$M$5:$M$100000,O$5))</f>
        <v/>
      </c>
      <c r="P96" s="35">
        <f>IF($A96="","",SUMIFS(전표_원본!$P$5:$P$100000,전표_원본!$O$5:$O$100000,$A96,전표_원본!$M$5:$M$100000,P$5))</f>
        <v/>
      </c>
      <c r="Q96" s="35">
        <f>IF($A96="","",SUMIFS(전표_원본!$P$5:$P$100000,전표_원본!$O$5:$O$100000,$A96,전표_원본!$M$5:$M$100000,Q$5))</f>
        <v/>
      </c>
      <c r="R96" s="35">
        <f>IF($A96="","",SUMIFS(전표_원본!$P$5:$P$100000,전표_원본!$O$5:$O$100000,$A96,전표_원본!$M$5:$M$100000,R$5))</f>
        <v/>
      </c>
      <c r="S96" s="35">
        <f>IF($A96="","",SUMIFS(전표_원본!$P$5:$P$100000,전표_원본!$O$5:$O$100000,$A96,전표_원본!$M$5:$M$100000,S$5))</f>
        <v/>
      </c>
      <c r="T96" s="35">
        <f>IF($A96="","",SUMIFS(전표_원본!$P$5:$P$100000,전표_원본!$O$5:$O$100000,$A96,전표_원본!$M$5:$M$100000,T$5))</f>
        <v/>
      </c>
      <c r="U96" s="35">
        <f>IF($A96="","",SUMIFS(전표_원본!$P$5:$P$100000,전표_원본!$O$5:$O$100000,$A96,전표_원본!$M$5:$M$100000,U$5))</f>
        <v/>
      </c>
      <c r="V96" s="35">
        <f>IF($A96="","",SUMIFS(전표_원본!$P$5:$P$100000,전표_원본!$O$5:$O$100000,$A96,전표_원본!$M$5:$M$100000,V$5))</f>
        <v/>
      </c>
      <c r="W96" s="35">
        <f>IF($A96="","",SUMIFS(전표_원본!$P$5:$P$100000,전표_원본!$O$5:$O$100000,$A96,전표_원본!$M$5:$M$100000,W$5))</f>
        <v/>
      </c>
      <c r="X96" s="35">
        <f>IF($A96="","",SUMIFS(전표_원본!$P$5:$P$100000,전표_원본!$O$5:$O$100000,$A96,전표_원본!$M$5:$M$100000,X$5))</f>
        <v/>
      </c>
      <c r="Y96" s="35">
        <f>IF($A96="","",SUMIFS(전표_원본!$P$5:$P$100000,전표_원본!$O$5:$O$100000,$A96,전표_원본!$M$5:$M$100000,Y$5))</f>
        <v/>
      </c>
      <c r="Z96" s="35">
        <f>IF($A96="","",SUMIFS(전표_원본!$P$5:$P$100000,전표_원본!$O$5:$O$100000,$A96,전표_원본!$M$5:$M$100000,Z$5))</f>
        <v/>
      </c>
      <c r="AB96" s="40">
        <f>IF(OR($A96="",1&gt;설정!$C$7),0,SUMIFS($C96:$Z96,$C$5:$Z$5,"&gt;="&amp;(설정!$C$6*12+1),$C$5:$Z$5,"&lt;="&amp;(설정!$C$6*12+1)))</f>
        <v/>
      </c>
      <c r="AC96" s="40">
        <f>IF(OR($A96="",2&gt;설정!$C$7),0,SUMIFS($C96:$Z96,$C$5:$Z$5,"&gt;="&amp;(설정!$C$6*12+1),$C$5:$Z$5,"&lt;="&amp;(설정!$C$6*12+2)))</f>
        <v/>
      </c>
      <c r="AD96" s="40">
        <f>IF(OR($A96="",3&gt;설정!$C$7),0,SUMIFS($C96:$Z96,$C$5:$Z$5,"&gt;="&amp;(설정!$C$6*12+1),$C$5:$Z$5,"&lt;="&amp;(설정!$C$6*12+3)))</f>
        <v/>
      </c>
      <c r="AE96" s="40">
        <f>IF(OR($A96="",4&gt;설정!$C$7),0,SUMIFS($C96:$Z96,$C$5:$Z$5,"&gt;="&amp;(설정!$C$6*12+1),$C$5:$Z$5,"&lt;="&amp;(설정!$C$6*12+4)))</f>
        <v/>
      </c>
      <c r="AF96" s="40">
        <f>IF(OR($A96="",5&gt;설정!$C$7),0,SUMIFS($C96:$Z96,$C$5:$Z$5,"&gt;="&amp;(설정!$C$6*12+1),$C$5:$Z$5,"&lt;="&amp;(설정!$C$6*12+5)))</f>
        <v/>
      </c>
      <c r="AG96" s="40">
        <f>IF(OR($A96="",6&gt;설정!$C$7),0,SUMIFS($C96:$Z96,$C$5:$Z$5,"&gt;="&amp;(설정!$C$6*12+1),$C$5:$Z$5,"&lt;="&amp;(설정!$C$6*12+6)))</f>
        <v/>
      </c>
      <c r="AH96" s="40">
        <f>IF(OR($A96="",7&gt;설정!$C$7),0,SUMIFS($C96:$Z96,$C$5:$Z$5,"&gt;="&amp;(설정!$C$6*12+1),$C$5:$Z$5,"&lt;="&amp;(설정!$C$6*12+7)))</f>
        <v/>
      </c>
      <c r="AI96" s="40">
        <f>IF(OR($A96="",8&gt;설정!$C$7),0,SUMIFS($C96:$Z96,$C$5:$Z$5,"&gt;="&amp;(설정!$C$6*12+1),$C$5:$Z$5,"&lt;="&amp;(설정!$C$6*12+8)))</f>
        <v/>
      </c>
      <c r="AJ96" s="40">
        <f>IF(OR($A96="",9&gt;설정!$C$7),0,SUMIFS($C96:$Z96,$C$5:$Z$5,"&gt;="&amp;(설정!$C$6*12+1),$C$5:$Z$5,"&lt;="&amp;(설정!$C$6*12+9)))</f>
        <v/>
      </c>
      <c r="AK96" s="40">
        <f>IF(OR($A96="",10&gt;설정!$C$7),0,SUMIFS($C96:$Z96,$C$5:$Z$5,"&gt;="&amp;(설정!$C$6*12+1),$C$5:$Z$5,"&lt;="&amp;(설정!$C$6*12+10)))</f>
        <v/>
      </c>
      <c r="AL96" s="40">
        <f>IF(OR($A96="",11&gt;설정!$C$7),0,SUMIFS($C96:$Z96,$C$5:$Z$5,"&gt;="&amp;(설정!$C$6*12+1),$C$5:$Z$5,"&lt;="&amp;(설정!$C$6*12+11)))</f>
        <v/>
      </c>
      <c r="AM96" s="40">
        <f>IF(OR($A96="",12&gt;설정!$C$7),0,SUMIFS($C96:$Z96,$C$5:$Z$5,"&gt;="&amp;(설정!$C$6*12+1),$C$5:$Z$5,"&lt;="&amp;(설정!$C$6*12+12)))</f>
        <v/>
      </c>
    </row>
    <row r="97">
      <c r="A97" s="26">
        <f>IF(변동분석!$A97="","",변동분석!$E97)</f>
        <v/>
      </c>
      <c r="B97" s="26">
        <f>IF($A97="","",변동분석!$B97&amp;" "&amp;변동분석!$D97)</f>
        <v/>
      </c>
      <c r="C97" s="35">
        <f>IF($A97="","",SUMIFS(전표_원본!$P$5:$P$100000,전표_원본!$O$5:$O$100000,$A97,전표_원본!$M$5:$M$100000,C$5))</f>
        <v/>
      </c>
      <c r="D97" s="35">
        <f>IF($A97="","",SUMIFS(전표_원본!$P$5:$P$100000,전표_원본!$O$5:$O$100000,$A97,전표_원본!$M$5:$M$100000,D$5))</f>
        <v/>
      </c>
      <c r="E97" s="35">
        <f>IF($A97="","",SUMIFS(전표_원본!$P$5:$P$100000,전표_원본!$O$5:$O$100000,$A97,전표_원본!$M$5:$M$100000,E$5))</f>
        <v/>
      </c>
      <c r="F97" s="35">
        <f>IF($A97="","",SUMIFS(전표_원본!$P$5:$P$100000,전표_원본!$O$5:$O$100000,$A97,전표_원본!$M$5:$M$100000,F$5))</f>
        <v/>
      </c>
      <c r="G97" s="35">
        <f>IF($A97="","",SUMIFS(전표_원본!$P$5:$P$100000,전표_원본!$O$5:$O$100000,$A97,전표_원본!$M$5:$M$100000,G$5))</f>
        <v/>
      </c>
      <c r="H97" s="35">
        <f>IF($A97="","",SUMIFS(전표_원본!$P$5:$P$100000,전표_원본!$O$5:$O$100000,$A97,전표_원본!$M$5:$M$100000,H$5))</f>
        <v/>
      </c>
      <c r="I97" s="35">
        <f>IF($A97="","",SUMIFS(전표_원본!$P$5:$P$100000,전표_원본!$O$5:$O$100000,$A97,전표_원본!$M$5:$M$100000,I$5))</f>
        <v/>
      </c>
      <c r="J97" s="35">
        <f>IF($A97="","",SUMIFS(전표_원본!$P$5:$P$100000,전표_원본!$O$5:$O$100000,$A97,전표_원본!$M$5:$M$100000,J$5))</f>
        <v/>
      </c>
      <c r="K97" s="35">
        <f>IF($A97="","",SUMIFS(전표_원본!$P$5:$P$100000,전표_원본!$O$5:$O$100000,$A97,전표_원본!$M$5:$M$100000,K$5))</f>
        <v/>
      </c>
      <c r="L97" s="35">
        <f>IF($A97="","",SUMIFS(전표_원본!$P$5:$P$100000,전표_원본!$O$5:$O$100000,$A97,전표_원본!$M$5:$M$100000,L$5))</f>
        <v/>
      </c>
      <c r="M97" s="35">
        <f>IF($A97="","",SUMIFS(전표_원본!$P$5:$P$100000,전표_원본!$O$5:$O$100000,$A97,전표_원본!$M$5:$M$100000,M$5))</f>
        <v/>
      </c>
      <c r="N97" s="35">
        <f>IF($A97="","",SUMIFS(전표_원본!$P$5:$P$100000,전표_원본!$O$5:$O$100000,$A97,전표_원본!$M$5:$M$100000,N$5))</f>
        <v/>
      </c>
      <c r="O97" s="35">
        <f>IF($A97="","",SUMIFS(전표_원본!$P$5:$P$100000,전표_원본!$O$5:$O$100000,$A97,전표_원본!$M$5:$M$100000,O$5))</f>
        <v/>
      </c>
      <c r="P97" s="35">
        <f>IF($A97="","",SUMIFS(전표_원본!$P$5:$P$100000,전표_원본!$O$5:$O$100000,$A97,전표_원본!$M$5:$M$100000,P$5))</f>
        <v/>
      </c>
      <c r="Q97" s="35">
        <f>IF($A97="","",SUMIFS(전표_원본!$P$5:$P$100000,전표_원본!$O$5:$O$100000,$A97,전표_원본!$M$5:$M$100000,Q$5))</f>
        <v/>
      </c>
      <c r="R97" s="35">
        <f>IF($A97="","",SUMIFS(전표_원본!$P$5:$P$100000,전표_원본!$O$5:$O$100000,$A97,전표_원본!$M$5:$M$100000,R$5))</f>
        <v/>
      </c>
      <c r="S97" s="35">
        <f>IF($A97="","",SUMIFS(전표_원본!$P$5:$P$100000,전표_원본!$O$5:$O$100000,$A97,전표_원본!$M$5:$M$100000,S$5))</f>
        <v/>
      </c>
      <c r="T97" s="35">
        <f>IF($A97="","",SUMIFS(전표_원본!$P$5:$P$100000,전표_원본!$O$5:$O$100000,$A97,전표_원본!$M$5:$M$100000,T$5))</f>
        <v/>
      </c>
      <c r="U97" s="35">
        <f>IF($A97="","",SUMIFS(전표_원본!$P$5:$P$100000,전표_원본!$O$5:$O$100000,$A97,전표_원본!$M$5:$M$100000,U$5))</f>
        <v/>
      </c>
      <c r="V97" s="35">
        <f>IF($A97="","",SUMIFS(전표_원본!$P$5:$P$100000,전표_원본!$O$5:$O$100000,$A97,전표_원본!$M$5:$M$100000,V$5))</f>
        <v/>
      </c>
      <c r="W97" s="35">
        <f>IF($A97="","",SUMIFS(전표_원본!$P$5:$P$100000,전표_원본!$O$5:$O$100000,$A97,전표_원본!$M$5:$M$100000,W$5))</f>
        <v/>
      </c>
      <c r="X97" s="35">
        <f>IF($A97="","",SUMIFS(전표_원본!$P$5:$P$100000,전표_원본!$O$5:$O$100000,$A97,전표_원본!$M$5:$M$100000,X$5))</f>
        <v/>
      </c>
      <c r="Y97" s="35">
        <f>IF($A97="","",SUMIFS(전표_원본!$P$5:$P$100000,전표_원본!$O$5:$O$100000,$A97,전표_원본!$M$5:$M$100000,Y$5))</f>
        <v/>
      </c>
      <c r="Z97" s="35">
        <f>IF($A97="","",SUMIFS(전표_원본!$P$5:$P$100000,전표_원본!$O$5:$O$100000,$A97,전표_원본!$M$5:$M$100000,Z$5))</f>
        <v/>
      </c>
      <c r="AB97" s="40">
        <f>IF(OR($A97="",1&gt;설정!$C$7),0,SUMIFS($C97:$Z97,$C$5:$Z$5,"&gt;="&amp;(설정!$C$6*12+1),$C$5:$Z$5,"&lt;="&amp;(설정!$C$6*12+1)))</f>
        <v/>
      </c>
      <c r="AC97" s="40">
        <f>IF(OR($A97="",2&gt;설정!$C$7),0,SUMIFS($C97:$Z97,$C$5:$Z$5,"&gt;="&amp;(설정!$C$6*12+1),$C$5:$Z$5,"&lt;="&amp;(설정!$C$6*12+2)))</f>
        <v/>
      </c>
      <c r="AD97" s="40">
        <f>IF(OR($A97="",3&gt;설정!$C$7),0,SUMIFS($C97:$Z97,$C$5:$Z$5,"&gt;="&amp;(설정!$C$6*12+1),$C$5:$Z$5,"&lt;="&amp;(설정!$C$6*12+3)))</f>
        <v/>
      </c>
      <c r="AE97" s="40">
        <f>IF(OR($A97="",4&gt;설정!$C$7),0,SUMIFS($C97:$Z97,$C$5:$Z$5,"&gt;="&amp;(설정!$C$6*12+1),$C$5:$Z$5,"&lt;="&amp;(설정!$C$6*12+4)))</f>
        <v/>
      </c>
      <c r="AF97" s="40">
        <f>IF(OR($A97="",5&gt;설정!$C$7),0,SUMIFS($C97:$Z97,$C$5:$Z$5,"&gt;="&amp;(설정!$C$6*12+1),$C$5:$Z$5,"&lt;="&amp;(설정!$C$6*12+5)))</f>
        <v/>
      </c>
      <c r="AG97" s="40">
        <f>IF(OR($A97="",6&gt;설정!$C$7),0,SUMIFS($C97:$Z97,$C$5:$Z$5,"&gt;="&amp;(설정!$C$6*12+1),$C$5:$Z$5,"&lt;="&amp;(설정!$C$6*12+6)))</f>
        <v/>
      </c>
      <c r="AH97" s="40">
        <f>IF(OR($A97="",7&gt;설정!$C$7),0,SUMIFS($C97:$Z97,$C$5:$Z$5,"&gt;="&amp;(설정!$C$6*12+1),$C$5:$Z$5,"&lt;="&amp;(설정!$C$6*12+7)))</f>
        <v/>
      </c>
      <c r="AI97" s="40">
        <f>IF(OR($A97="",8&gt;설정!$C$7),0,SUMIFS($C97:$Z97,$C$5:$Z$5,"&gt;="&amp;(설정!$C$6*12+1),$C$5:$Z$5,"&lt;="&amp;(설정!$C$6*12+8)))</f>
        <v/>
      </c>
      <c r="AJ97" s="40">
        <f>IF(OR($A97="",9&gt;설정!$C$7),0,SUMIFS($C97:$Z97,$C$5:$Z$5,"&gt;="&amp;(설정!$C$6*12+1),$C$5:$Z$5,"&lt;="&amp;(설정!$C$6*12+9)))</f>
        <v/>
      </c>
      <c r="AK97" s="40">
        <f>IF(OR($A97="",10&gt;설정!$C$7),0,SUMIFS($C97:$Z97,$C$5:$Z$5,"&gt;="&amp;(설정!$C$6*12+1),$C$5:$Z$5,"&lt;="&amp;(설정!$C$6*12+10)))</f>
        <v/>
      </c>
      <c r="AL97" s="40">
        <f>IF(OR($A97="",11&gt;설정!$C$7),0,SUMIFS($C97:$Z97,$C$5:$Z$5,"&gt;="&amp;(설정!$C$6*12+1),$C$5:$Z$5,"&lt;="&amp;(설정!$C$6*12+11)))</f>
        <v/>
      </c>
      <c r="AM97" s="40">
        <f>IF(OR($A97="",12&gt;설정!$C$7),0,SUMIFS($C97:$Z97,$C$5:$Z$5,"&gt;="&amp;(설정!$C$6*12+1),$C$5:$Z$5,"&lt;="&amp;(설정!$C$6*12+12)))</f>
        <v/>
      </c>
    </row>
    <row r="98">
      <c r="A98" s="26">
        <f>IF(변동분석!$A98="","",변동분석!$E98)</f>
        <v/>
      </c>
      <c r="B98" s="26">
        <f>IF($A98="","",변동분석!$B98&amp;" "&amp;변동분석!$D98)</f>
        <v/>
      </c>
      <c r="C98" s="35">
        <f>IF($A98="","",SUMIFS(전표_원본!$P$5:$P$100000,전표_원본!$O$5:$O$100000,$A98,전표_원본!$M$5:$M$100000,C$5))</f>
        <v/>
      </c>
      <c r="D98" s="35">
        <f>IF($A98="","",SUMIFS(전표_원본!$P$5:$P$100000,전표_원본!$O$5:$O$100000,$A98,전표_원본!$M$5:$M$100000,D$5))</f>
        <v/>
      </c>
      <c r="E98" s="35">
        <f>IF($A98="","",SUMIFS(전표_원본!$P$5:$P$100000,전표_원본!$O$5:$O$100000,$A98,전표_원본!$M$5:$M$100000,E$5))</f>
        <v/>
      </c>
      <c r="F98" s="35">
        <f>IF($A98="","",SUMIFS(전표_원본!$P$5:$P$100000,전표_원본!$O$5:$O$100000,$A98,전표_원본!$M$5:$M$100000,F$5))</f>
        <v/>
      </c>
      <c r="G98" s="35">
        <f>IF($A98="","",SUMIFS(전표_원본!$P$5:$P$100000,전표_원본!$O$5:$O$100000,$A98,전표_원본!$M$5:$M$100000,G$5))</f>
        <v/>
      </c>
      <c r="H98" s="35">
        <f>IF($A98="","",SUMIFS(전표_원본!$P$5:$P$100000,전표_원본!$O$5:$O$100000,$A98,전표_원본!$M$5:$M$100000,H$5))</f>
        <v/>
      </c>
      <c r="I98" s="35">
        <f>IF($A98="","",SUMIFS(전표_원본!$P$5:$P$100000,전표_원본!$O$5:$O$100000,$A98,전표_원본!$M$5:$M$100000,I$5))</f>
        <v/>
      </c>
      <c r="J98" s="35">
        <f>IF($A98="","",SUMIFS(전표_원본!$P$5:$P$100000,전표_원본!$O$5:$O$100000,$A98,전표_원본!$M$5:$M$100000,J$5))</f>
        <v/>
      </c>
      <c r="K98" s="35">
        <f>IF($A98="","",SUMIFS(전표_원본!$P$5:$P$100000,전표_원본!$O$5:$O$100000,$A98,전표_원본!$M$5:$M$100000,K$5))</f>
        <v/>
      </c>
      <c r="L98" s="35">
        <f>IF($A98="","",SUMIFS(전표_원본!$P$5:$P$100000,전표_원본!$O$5:$O$100000,$A98,전표_원본!$M$5:$M$100000,L$5))</f>
        <v/>
      </c>
      <c r="M98" s="35">
        <f>IF($A98="","",SUMIFS(전표_원본!$P$5:$P$100000,전표_원본!$O$5:$O$100000,$A98,전표_원본!$M$5:$M$100000,M$5))</f>
        <v/>
      </c>
      <c r="N98" s="35">
        <f>IF($A98="","",SUMIFS(전표_원본!$P$5:$P$100000,전표_원본!$O$5:$O$100000,$A98,전표_원본!$M$5:$M$100000,N$5))</f>
        <v/>
      </c>
      <c r="O98" s="35">
        <f>IF($A98="","",SUMIFS(전표_원본!$P$5:$P$100000,전표_원본!$O$5:$O$100000,$A98,전표_원본!$M$5:$M$100000,O$5))</f>
        <v/>
      </c>
      <c r="P98" s="35">
        <f>IF($A98="","",SUMIFS(전표_원본!$P$5:$P$100000,전표_원본!$O$5:$O$100000,$A98,전표_원본!$M$5:$M$100000,P$5))</f>
        <v/>
      </c>
      <c r="Q98" s="35">
        <f>IF($A98="","",SUMIFS(전표_원본!$P$5:$P$100000,전표_원본!$O$5:$O$100000,$A98,전표_원본!$M$5:$M$100000,Q$5))</f>
        <v/>
      </c>
      <c r="R98" s="35">
        <f>IF($A98="","",SUMIFS(전표_원본!$P$5:$P$100000,전표_원본!$O$5:$O$100000,$A98,전표_원본!$M$5:$M$100000,R$5))</f>
        <v/>
      </c>
      <c r="S98" s="35">
        <f>IF($A98="","",SUMIFS(전표_원본!$P$5:$P$100000,전표_원본!$O$5:$O$100000,$A98,전표_원본!$M$5:$M$100000,S$5))</f>
        <v/>
      </c>
      <c r="T98" s="35">
        <f>IF($A98="","",SUMIFS(전표_원본!$P$5:$P$100000,전표_원본!$O$5:$O$100000,$A98,전표_원본!$M$5:$M$100000,T$5))</f>
        <v/>
      </c>
      <c r="U98" s="35">
        <f>IF($A98="","",SUMIFS(전표_원본!$P$5:$P$100000,전표_원본!$O$5:$O$100000,$A98,전표_원본!$M$5:$M$100000,U$5))</f>
        <v/>
      </c>
      <c r="V98" s="35">
        <f>IF($A98="","",SUMIFS(전표_원본!$P$5:$P$100000,전표_원본!$O$5:$O$100000,$A98,전표_원본!$M$5:$M$100000,V$5))</f>
        <v/>
      </c>
      <c r="W98" s="35">
        <f>IF($A98="","",SUMIFS(전표_원본!$P$5:$P$100000,전표_원본!$O$5:$O$100000,$A98,전표_원본!$M$5:$M$100000,W$5))</f>
        <v/>
      </c>
      <c r="X98" s="35">
        <f>IF($A98="","",SUMIFS(전표_원본!$P$5:$P$100000,전표_원본!$O$5:$O$100000,$A98,전표_원본!$M$5:$M$100000,X$5))</f>
        <v/>
      </c>
      <c r="Y98" s="35">
        <f>IF($A98="","",SUMIFS(전표_원본!$P$5:$P$100000,전표_원본!$O$5:$O$100000,$A98,전표_원본!$M$5:$M$100000,Y$5))</f>
        <v/>
      </c>
      <c r="Z98" s="35">
        <f>IF($A98="","",SUMIFS(전표_원본!$P$5:$P$100000,전표_원본!$O$5:$O$100000,$A98,전표_원본!$M$5:$M$100000,Z$5))</f>
        <v/>
      </c>
      <c r="AB98" s="40">
        <f>IF(OR($A98="",1&gt;설정!$C$7),0,SUMIFS($C98:$Z98,$C$5:$Z$5,"&gt;="&amp;(설정!$C$6*12+1),$C$5:$Z$5,"&lt;="&amp;(설정!$C$6*12+1)))</f>
        <v/>
      </c>
      <c r="AC98" s="40">
        <f>IF(OR($A98="",2&gt;설정!$C$7),0,SUMIFS($C98:$Z98,$C$5:$Z$5,"&gt;="&amp;(설정!$C$6*12+1),$C$5:$Z$5,"&lt;="&amp;(설정!$C$6*12+2)))</f>
        <v/>
      </c>
      <c r="AD98" s="40">
        <f>IF(OR($A98="",3&gt;설정!$C$7),0,SUMIFS($C98:$Z98,$C$5:$Z$5,"&gt;="&amp;(설정!$C$6*12+1),$C$5:$Z$5,"&lt;="&amp;(설정!$C$6*12+3)))</f>
        <v/>
      </c>
      <c r="AE98" s="40">
        <f>IF(OR($A98="",4&gt;설정!$C$7),0,SUMIFS($C98:$Z98,$C$5:$Z$5,"&gt;="&amp;(설정!$C$6*12+1),$C$5:$Z$5,"&lt;="&amp;(설정!$C$6*12+4)))</f>
        <v/>
      </c>
      <c r="AF98" s="40">
        <f>IF(OR($A98="",5&gt;설정!$C$7),0,SUMIFS($C98:$Z98,$C$5:$Z$5,"&gt;="&amp;(설정!$C$6*12+1),$C$5:$Z$5,"&lt;="&amp;(설정!$C$6*12+5)))</f>
        <v/>
      </c>
      <c r="AG98" s="40">
        <f>IF(OR($A98="",6&gt;설정!$C$7),0,SUMIFS($C98:$Z98,$C$5:$Z$5,"&gt;="&amp;(설정!$C$6*12+1),$C$5:$Z$5,"&lt;="&amp;(설정!$C$6*12+6)))</f>
        <v/>
      </c>
      <c r="AH98" s="40">
        <f>IF(OR($A98="",7&gt;설정!$C$7),0,SUMIFS($C98:$Z98,$C$5:$Z$5,"&gt;="&amp;(설정!$C$6*12+1),$C$5:$Z$5,"&lt;="&amp;(설정!$C$6*12+7)))</f>
        <v/>
      </c>
      <c r="AI98" s="40">
        <f>IF(OR($A98="",8&gt;설정!$C$7),0,SUMIFS($C98:$Z98,$C$5:$Z$5,"&gt;="&amp;(설정!$C$6*12+1),$C$5:$Z$5,"&lt;="&amp;(설정!$C$6*12+8)))</f>
        <v/>
      </c>
      <c r="AJ98" s="40">
        <f>IF(OR($A98="",9&gt;설정!$C$7),0,SUMIFS($C98:$Z98,$C$5:$Z$5,"&gt;="&amp;(설정!$C$6*12+1),$C$5:$Z$5,"&lt;="&amp;(설정!$C$6*12+9)))</f>
        <v/>
      </c>
      <c r="AK98" s="40">
        <f>IF(OR($A98="",10&gt;설정!$C$7),0,SUMIFS($C98:$Z98,$C$5:$Z$5,"&gt;="&amp;(설정!$C$6*12+1),$C$5:$Z$5,"&lt;="&amp;(설정!$C$6*12+10)))</f>
        <v/>
      </c>
      <c r="AL98" s="40">
        <f>IF(OR($A98="",11&gt;설정!$C$7),0,SUMIFS($C98:$Z98,$C$5:$Z$5,"&gt;="&amp;(설정!$C$6*12+1),$C$5:$Z$5,"&lt;="&amp;(설정!$C$6*12+11)))</f>
        <v/>
      </c>
      <c r="AM98" s="40">
        <f>IF(OR($A98="",12&gt;설정!$C$7),0,SUMIFS($C98:$Z98,$C$5:$Z$5,"&gt;="&amp;(설정!$C$6*12+1),$C$5:$Z$5,"&lt;="&amp;(설정!$C$6*12+12)))</f>
        <v/>
      </c>
    </row>
    <row r="99">
      <c r="A99" s="26">
        <f>IF(변동분석!$A99="","",변동분석!$E99)</f>
        <v/>
      </c>
      <c r="B99" s="26">
        <f>IF($A99="","",변동분석!$B99&amp;" "&amp;변동분석!$D99)</f>
        <v/>
      </c>
      <c r="C99" s="35">
        <f>IF($A99="","",SUMIFS(전표_원본!$P$5:$P$100000,전표_원본!$O$5:$O$100000,$A99,전표_원본!$M$5:$M$100000,C$5))</f>
        <v/>
      </c>
      <c r="D99" s="35">
        <f>IF($A99="","",SUMIFS(전표_원본!$P$5:$P$100000,전표_원본!$O$5:$O$100000,$A99,전표_원본!$M$5:$M$100000,D$5))</f>
        <v/>
      </c>
      <c r="E99" s="35">
        <f>IF($A99="","",SUMIFS(전표_원본!$P$5:$P$100000,전표_원본!$O$5:$O$100000,$A99,전표_원본!$M$5:$M$100000,E$5))</f>
        <v/>
      </c>
      <c r="F99" s="35">
        <f>IF($A99="","",SUMIFS(전표_원본!$P$5:$P$100000,전표_원본!$O$5:$O$100000,$A99,전표_원본!$M$5:$M$100000,F$5))</f>
        <v/>
      </c>
      <c r="G99" s="35">
        <f>IF($A99="","",SUMIFS(전표_원본!$P$5:$P$100000,전표_원본!$O$5:$O$100000,$A99,전표_원본!$M$5:$M$100000,G$5))</f>
        <v/>
      </c>
      <c r="H99" s="35">
        <f>IF($A99="","",SUMIFS(전표_원본!$P$5:$P$100000,전표_원본!$O$5:$O$100000,$A99,전표_원본!$M$5:$M$100000,H$5))</f>
        <v/>
      </c>
      <c r="I99" s="35">
        <f>IF($A99="","",SUMIFS(전표_원본!$P$5:$P$100000,전표_원본!$O$5:$O$100000,$A99,전표_원본!$M$5:$M$100000,I$5))</f>
        <v/>
      </c>
      <c r="J99" s="35">
        <f>IF($A99="","",SUMIFS(전표_원본!$P$5:$P$100000,전표_원본!$O$5:$O$100000,$A99,전표_원본!$M$5:$M$100000,J$5))</f>
        <v/>
      </c>
      <c r="K99" s="35">
        <f>IF($A99="","",SUMIFS(전표_원본!$P$5:$P$100000,전표_원본!$O$5:$O$100000,$A99,전표_원본!$M$5:$M$100000,K$5))</f>
        <v/>
      </c>
      <c r="L99" s="35">
        <f>IF($A99="","",SUMIFS(전표_원본!$P$5:$P$100000,전표_원본!$O$5:$O$100000,$A99,전표_원본!$M$5:$M$100000,L$5))</f>
        <v/>
      </c>
      <c r="M99" s="35">
        <f>IF($A99="","",SUMIFS(전표_원본!$P$5:$P$100000,전표_원본!$O$5:$O$100000,$A99,전표_원본!$M$5:$M$100000,M$5))</f>
        <v/>
      </c>
      <c r="N99" s="35">
        <f>IF($A99="","",SUMIFS(전표_원본!$P$5:$P$100000,전표_원본!$O$5:$O$100000,$A99,전표_원본!$M$5:$M$100000,N$5))</f>
        <v/>
      </c>
      <c r="O99" s="35">
        <f>IF($A99="","",SUMIFS(전표_원본!$P$5:$P$100000,전표_원본!$O$5:$O$100000,$A99,전표_원본!$M$5:$M$100000,O$5))</f>
        <v/>
      </c>
      <c r="P99" s="35">
        <f>IF($A99="","",SUMIFS(전표_원본!$P$5:$P$100000,전표_원본!$O$5:$O$100000,$A99,전표_원본!$M$5:$M$100000,P$5))</f>
        <v/>
      </c>
      <c r="Q99" s="35">
        <f>IF($A99="","",SUMIFS(전표_원본!$P$5:$P$100000,전표_원본!$O$5:$O$100000,$A99,전표_원본!$M$5:$M$100000,Q$5))</f>
        <v/>
      </c>
      <c r="R99" s="35">
        <f>IF($A99="","",SUMIFS(전표_원본!$P$5:$P$100000,전표_원본!$O$5:$O$100000,$A99,전표_원본!$M$5:$M$100000,R$5))</f>
        <v/>
      </c>
      <c r="S99" s="35">
        <f>IF($A99="","",SUMIFS(전표_원본!$P$5:$P$100000,전표_원본!$O$5:$O$100000,$A99,전표_원본!$M$5:$M$100000,S$5))</f>
        <v/>
      </c>
      <c r="T99" s="35">
        <f>IF($A99="","",SUMIFS(전표_원본!$P$5:$P$100000,전표_원본!$O$5:$O$100000,$A99,전표_원본!$M$5:$M$100000,T$5))</f>
        <v/>
      </c>
      <c r="U99" s="35">
        <f>IF($A99="","",SUMIFS(전표_원본!$P$5:$P$100000,전표_원본!$O$5:$O$100000,$A99,전표_원본!$M$5:$M$100000,U$5))</f>
        <v/>
      </c>
      <c r="V99" s="35">
        <f>IF($A99="","",SUMIFS(전표_원본!$P$5:$P$100000,전표_원본!$O$5:$O$100000,$A99,전표_원본!$M$5:$M$100000,V$5))</f>
        <v/>
      </c>
      <c r="W99" s="35">
        <f>IF($A99="","",SUMIFS(전표_원본!$P$5:$P$100000,전표_원본!$O$5:$O$100000,$A99,전표_원본!$M$5:$M$100000,W$5))</f>
        <v/>
      </c>
      <c r="X99" s="35">
        <f>IF($A99="","",SUMIFS(전표_원본!$P$5:$P$100000,전표_원본!$O$5:$O$100000,$A99,전표_원본!$M$5:$M$100000,X$5))</f>
        <v/>
      </c>
      <c r="Y99" s="35">
        <f>IF($A99="","",SUMIFS(전표_원본!$P$5:$P$100000,전표_원본!$O$5:$O$100000,$A99,전표_원본!$M$5:$M$100000,Y$5))</f>
        <v/>
      </c>
      <c r="Z99" s="35">
        <f>IF($A99="","",SUMIFS(전표_원본!$P$5:$P$100000,전표_원본!$O$5:$O$100000,$A99,전표_원본!$M$5:$M$100000,Z$5))</f>
        <v/>
      </c>
      <c r="AB99" s="40">
        <f>IF(OR($A99="",1&gt;설정!$C$7),0,SUMIFS($C99:$Z99,$C$5:$Z$5,"&gt;="&amp;(설정!$C$6*12+1),$C$5:$Z$5,"&lt;="&amp;(설정!$C$6*12+1)))</f>
        <v/>
      </c>
      <c r="AC99" s="40">
        <f>IF(OR($A99="",2&gt;설정!$C$7),0,SUMIFS($C99:$Z99,$C$5:$Z$5,"&gt;="&amp;(설정!$C$6*12+1),$C$5:$Z$5,"&lt;="&amp;(설정!$C$6*12+2)))</f>
        <v/>
      </c>
      <c r="AD99" s="40">
        <f>IF(OR($A99="",3&gt;설정!$C$7),0,SUMIFS($C99:$Z99,$C$5:$Z$5,"&gt;="&amp;(설정!$C$6*12+1),$C$5:$Z$5,"&lt;="&amp;(설정!$C$6*12+3)))</f>
        <v/>
      </c>
      <c r="AE99" s="40">
        <f>IF(OR($A99="",4&gt;설정!$C$7),0,SUMIFS($C99:$Z99,$C$5:$Z$5,"&gt;="&amp;(설정!$C$6*12+1),$C$5:$Z$5,"&lt;="&amp;(설정!$C$6*12+4)))</f>
        <v/>
      </c>
      <c r="AF99" s="40">
        <f>IF(OR($A99="",5&gt;설정!$C$7),0,SUMIFS($C99:$Z99,$C$5:$Z$5,"&gt;="&amp;(설정!$C$6*12+1),$C$5:$Z$5,"&lt;="&amp;(설정!$C$6*12+5)))</f>
        <v/>
      </c>
      <c r="AG99" s="40">
        <f>IF(OR($A99="",6&gt;설정!$C$7),0,SUMIFS($C99:$Z99,$C$5:$Z$5,"&gt;="&amp;(설정!$C$6*12+1),$C$5:$Z$5,"&lt;="&amp;(설정!$C$6*12+6)))</f>
        <v/>
      </c>
      <c r="AH99" s="40">
        <f>IF(OR($A99="",7&gt;설정!$C$7),0,SUMIFS($C99:$Z99,$C$5:$Z$5,"&gt;="&amp;(설정!$C$6*12+1),$C$5:$Z$5,"&lt;="&amp;(설정!$C$6*12+7)))</f>
        <v/>
      </c>
      <c r="AI99" s="40">
        <f>IF(OR($A99="",8&gt;설정!$C$7),0,SUMIFS($C99:$Z99,$C$5:$Z$5,"&gt;="&amp;(설정!$C$6*12+1),$C$5:$Z$5,"&lt;="&amp;(설정!$C$6*12+8)))</f>
        <v/>
      </c>
      <c r="AJ99" s="40">
        <f>IF(OR($A99="",9&gt;설정!$C$7),0,SUMIFS($C99:$Z99,$C$5:$Z$5,"&gt;="&amp;(설정!$C$6*12+1),$C$5:$Z$5,"&lt;="&amp;(설정!$C$6*12+9)))</f>
        <v/>
      </c>
      <c r="AK99" s="40">
        <f>IF(OR($A99="",10&gt;설정!$C$7),0,SUMIFS($C99:$Z99,$C$5:$Z$5,"&gt;="&amp;(설정!$C$6*12+1),$C$5:$Z$5,"&lt;="&amp;(설정!$C$6*12+10)))</f>
        <v/>
      </c>
      <c r="AL99" s="40">
        <f>IF(OR($A99="",11&gt;설정!$C$7),0,SUMIFS($C99:$Z99,$C$5:$Z$5,"&gt;="&amp;(설정!$C$6*12+1),$C$5:$Z$5,"&lt;="&amp;(설정!$C$6*12+11)))</f>
        <v/>
      </c>
      <c r="AM99" s="40">
        <f>IF(OR($A99="",12&gt;설정!$C$7),0,SUMIFS($C99:$Z99,$C$5:$Z$5,"&gt;="&amp;(설정!$C$6*12+1),$C$5:$Z$5,"&lt;="&amp;(설정!$C$6*12+12)))</f>
        <v/>
      </c>
    </row>
    <row r="100">
      <c r="A100" s="26">
        <f>IF(변동분석!$A100="","",변동분석!$E100)</f>
        <v/>
      </c>
      <c r="B100" s="26">
        <f>IF($A100="","",변동분석!$B100&amp;" "&amp;변동분석!$D100)</f>
        <v/>
      </c>
      <c r="C100" s="35">
        <f>IF($A100="","",SUMIFS(전표_원본!$P$5:$P$100000,전표_원본!$O$5:$O$100000,$A100,전표_원본!$M$5:$M$100000,C$5))</f>
        <v/>
      </c>
      <c r="D100" s="35">
        <f>IF($A100="","",SUMIFS(전표_원본!$P$5:$P$100000,전표_원본!$O$5:$O$100000,$A100,전표_원본!$M$5:$M$100000,D$5))</f>
        <v/>
      </c>
      <c r="E100" s="35">
        <f>IF($A100="","",SUMIFS(전표_원본!$P$5:$P$100000,전표_원본!$O$5:$O$100000,$A100,전표_원본!$M$5:$M$100000,E$5))</f>
        <v/>
      </c>
      <c r="F100" s="35">
        <f>IF($A100="","",SUMIFS(전표_원본!$P$5:$P$100000,전표_원본!$O$5:$O$100000,$A100,전표_원본!$M$5:$M$100000,F$5))</f>
        <v/>
      </c>
      <c r="G100" s="35">
        <f>IF($A100="","",SUMIFS(전표_원본!$P$5:$P$100000,전표_원본!$O$5:$O$100000,$A100,전표_원본!$M$5:$M$100000,G$5))</f>
        <v/>
      </c>
      <c r="H100" s="35">
        <f>IF($A100="","",SUMIFS(전표_원본!$P$5:$P$100000,전표_원본!$O$5:$O$100000,$A100,전표_원본!$M$5:$M$100000,H$5))</f>
        <v/>
      </c>
      <c r="I100" s="35">
        <f>IF($A100="","",SUMIFS(전표_원본!$P$5:$P$100000,전표_원본!$O$5:$O$100000,$A100,전표_원본!$M$5:$M$100000,I$5))</f>
        <v/>
      </c>
      <c r="J100" s="35">
        <f>IF($A100="","",SUMIFS(전표_원본!$P$5:$P$100000,전표_원본!$O$5:$O$100000,$A100,전표_원본!$M$5:$M$100000,J$5))</f>
        <v/>
      </c>
      <c r="K100" s="35">
        <f>IF($A100="","",SUMIFS(전표_원본!$P$5:$P$100000,전표_원본!$O$5:$O$100000,$A100,전표_원본!$M$5:$M$100000,K$5))</f>
        <v/>
      </c>
      <c r="L100" s="35">
        <f>IF($A100="","",SUMIFS(전표_원본!$P$5:$P$100000,전표_원본!$O$5:$O$100000,$A100,전표_원본!$M$5:$M$100000,L$5))</f>
        <v/>
      </c>
      <c r="M100" s="35">
        <f>IF($A100="","",SUMIFS(전표_원본!$P$5:$P$100000,전표_원본!$O$5:$O$100000,$A100,전표_원본!$M$5:$M$100000,M$5))</f>
        <v/>
      </c>
      <c r="N100" s="35">
        <f>IF($A100="","",SUMIFS(전표_원본!$P$5:$P$100000,전표_원본!$O$5:$O$100000,$A100,전표_원본!$M$5:$M$100000,N$5))</f>
        <v/>
      </c>
      <c r="O100" s="35">
        <f>IF($A100="","",SUMIFS(전표_원본!$P$5:$P$100000,전표_원본!$O$5:$O$100000,$A100,전표_원본!$M$5:$M$100000,O$5))</f>
        <v/>
      </c>
      <c r="P100" s="35">
        <f>IF($A100="","",SUMIFS(전표_원본!$P$5:$P$100000,전표_원본!$O$5:$O$100000,$A100,전표_원본!$M$5:$M$100000,P$5))</f>
        <v/>
      </c>
      <c r="Q100" s="35">
        <f>IF($A100="","",SUMIFS(전표_원본!$P$5:$P$100000,전표_원본!$O$5:$O$100000,$A100,전표_원본!$M$5:$M$100000,Q$5))</f>
        <v/>
      </c>
      <c r="R100" s="35">
        <f>IF($A100="","",SUMIFS(전표_원본!$P$5:$P$100000,전표_원본!$O$5:$O$100000,$A100,전표_원본!$M$5:$M$100000,R$5))</f>
        <v/>
      </c>
      <c r="S100" s="35">
        <f>IF($A100="","",SUMIFS(전표_원본!$P$5:$P$100000,전표_원본!$O$5:$O$100000,$A100,전표_원본!$M$5:$M$100000,S$5))</f>
        <v/>
      </c>
      <c r="T100" s="35">
        <f>IF($A100="","",SUMIFS(전표_원본!$P$5:$P$100000,전표_원본!$O$5:$O$100000,$A100,전표_원본!$M$5:$M$100000,T$5))</f>
        <v/>
      </c>
      <c r="U100" s="35">
        <f>IF($A100="","",SUMIFS(전표_원본!$P$5:$P$100000,전표_원본!$O$5:$O$100000,$A100,전표_원본!$M$5:$M$100000,U$5))</f>
        <v/>
      </c>
      <c r="V100" s="35">
        <f>IF($A100="","",SUMIFS(전표_원본!$P$5:$P$100000,전표_원본!$O$5:$O$100000,$A100,전표_원본!$M$5:$M$100000,V$5))</f>
        <v/>
      </c>
      <c r="W100" s="35">
        <f>IF($A100="","",SUMIFS(전표_원본!$P$5:$P$100000,전표_원본!$O$5:$O$100000,$A100,전표_원본!$M$5:$M$100000,W$5))</f>
        <v/>
      </c>
      <c r="X100" s="35">
        <f>IF($A100="","",SUMIFS(전표_원본!$P$5:$P$100000,전표_원본!$O$5:$O$100000,$A100,전표_원본!$M$5:$M$100000,X$5))</f>
        <v/>
      </c>
      <c r="Y100" s="35">
        <f>IF($A100="","",SUMIFS(전표_원본!$P$5:$P$100000,전표_원본!$O$5:$O$100000,$A100,전표_원본!$M$5:$M$100000,Y$5))</f>
        <v/>
      </c>
      <c r="Z100" s="35">
        <f>IF($A100="","",SUMIFS(전표_원본!$P$5:$P$100000,전표_원본!$O$5:$O$100000,$A100,전표_원본!$M$5:$M$100000,Z$5))</f>
        <v/>
      </c>
      <c r="AB100" s="40">
        <f>IF(OR($A100="",1&gt;설정!$C$7),0,SUMIFS($C100:$Z100,$C$5:$Z$5,"&gt;="&amp;(설정!$C$6*12+1),$C$5:$Z$5,"&lt;="&amp;(설정!$C$6*12+1)))</f>
        <v/>
      </c>
      <c r="AC100" s="40">
        <f>IF(OR($A100="",2&gt;설정!$C$7),0,SUMIFS($C100:$Z100,$C$5:$Z$5,"&gt;="&amp;(설정!$C$6*12+1),$C$5:$Z$5,"&lt;="&amp;(설정!$C$6*12+2)))</f>
        <v/>
      </c>
      <c r="AD100" s="40">
        <f>IF(OR($A100="",3&gt;설정!$C$7),0,SUMIFS($C100:$Z100,$C$5:$Z$5,"&gt;="&amp;(설정!$C$6*12+1),$C$5:$Z$5,"&lt;="&amp;(설정!$C$6*12+3)))</f>
        <v/>
      </c>
      <c r="AE100" s="40">
        <f>IF(OR($A100="",4&gt;설정!$C$7),0,SUMIFS($C100:$Z100,$C$5:$Z$5,"&gt;="&amp;(설정!$C$6*12+1),$C$5:$Z$5,"&lt;="&amp;(설정!$C$6*12+4)))</f>
        <v/>
      </c>
      <c r="AF100" s="40">
        <f>IF(OR($A100="",5&gt;설정!$C$7),0,SUMIFS($C100:$Z100,$C$5:$Z$5,"&gt;="&amp;(설정!$C$6*12+1),$C$5:$Z$5,"&lt;="&amp;(설정!$C$6*12+5)))</f>
        <v/>
      </c>
      <c r="AG100" s="40">
        <f>IF(OR($A100="",6&gt;설정!$C$7),0,SUMIFS($C100:$Z100,$C$5:$Z$5,"&gt;="&amp;(설정!$C$6*12+1),$C$5:$Z$5,"&lt;="&amp;(설정!$C$6*12+6)))</f>
        <v/>
      </c>
      <c r="AH100" s="40">
        <f>IF(OR($A100="",7&gt;설정!$C$7),0,SUMIFS($C100:$Z100,$C$5:$Z$5,"&gt;="&amp;(설정!$C$6*12+1),$C$5:$Z$5,"&lt;="&amp;(설정!$C$6*12+7)))</f>
        <v/>
      </c>
      <c r="AI100" s="40">
        <f>IF(OR($A100="",8&gt;설정!$C$7),0,SUMIFS($C100:$Z100,$C$5:$Z$5,"&gt;="&amp;(설정!$C$6*12+1),$C$5:$Z$5,"&lt;="&amp;(설정!$C$6*12+8)))</f>
        <v/>
      </c>
      <c r="AJ100" s="40">
        <f>IF(OR($A100="",9&gt;설정!$C$7),0,SUMIFS($C100:$Z100,$C$5:$Z$5,"&gt;="&amp;(설정!$C$6*12+1),$C$5:$Z$5,"&lt;="&amp;(설정!$C$6*12+9)))</f>
        <v/>
      </c>
      <c r="AK100" s="40">
        <f>IF(OR($A100="",10&gt;설정!$C$7),0,SUMIFS($C100:$Z100,$C$5:$Z$5,"&gt;="&amp;(설정!$C$6*12+1),$C$5:$Z$5,"&lt;="&amp;(설정!$C$6*12+10)))</f>
        <v/>
      </c>
      <c r="AL100" s="40">
        <f>IF(OR($A100="",11&gt;설정!$C$7),0,SUMIFS($C100:$Z100,$C$5:$Z$5,"&gt;="&amp;(설정!$C$6*12+1),$C$5:$Z$5,"&lt;="&amp;(설정!$C$6*12+11)))</f>
        <v/>
      </c>
      <c r="AM100" s="40">
        <f>IF(OR($A100="",12&gt;설정!$C$7),0,SUMIFS($C100:$Z100,$C$5:$Z$5,"&gt;="&amp;(설정!$C$6*12+1),$C$5:$Z$5,"&lt;="&amp;(설정!$C$6*12+12)))</f>
        <v/>
      </c>
    </row>
    <row r="101">
      <c r="A101" s="26">
        <f>IF(변동분석!$A101="","",변동분석!$E101)</f>
        <v/>
      </c>
      <c r="B101" s="26">
        <f>IF($A101="","",변동분석!$B101&amp;" "&amp;변동분석!$D101)</f>
        <v/>
      </c>
      <c r="C101" s="35">
        <f>IF($A101="","",SUMIFS(전표_원본!$P$5:$P$100000,전표_원본!$O$5:$O$100000,$A101,전표_원본!$M$5:$M$100000,C$5))</f>
        <v/>
      </c>
      <c r="D101" s="35">
        <f>IF($A101="","",SUMIFS(전표_원본!$P$5:$P$100000,전표_원본!$O$5:$O$100000,$A101,전표_원본!$M$5:$M$100000,D$5))</f>
        <v/>
      </c>
      <c r="E101" s="35">
        <f>IF($A101="","",SUMIFS(전표_원본!$P$5:$P$100000,전표_원본!$O$5:$O$100000,$A101,전표_원본!$M$5:$M$100000,E$5))</f>
        <v/>
      </c>
      <c r="F101" s="35">
        <f>IF($A101="","",SUMIFS(전표_원본!$P$5:$P$100000,전표_원본!$O$5:$O$100000,$A101,전표_원본!$M$5:$M$100000,F$5))</f>
        <v/>
      </c>
      <c r="G101" s="35">
        <f>IF($A101="","",SUMIFS(전표_원본!$P$5:$P$100000,전표_원본!$O$5:$O$100000,$A101,전표_원본!$M$5:$M$100000,G$5))</f>
        <v/>
      </c>
      <c r="H101" s="35">
        <f>IF($A101="","",SUMIFS(전표_원본!$P$5:$P$100000,전표_원본!$O$5:$O$100000,$A101,전표_원본!$M$5:$M$100000,H$5))</f>
        <v/>
      </c>
      <c r="I101" s="35">
        <f>IF($A101="","",SUMIFS(전표_원본!$P$5:$P$100000,전표_원본!$O$5:$O$100000,$A101,전표_원본!$M$5:$M$100000,I$5))</f>
        <v/>
      </c>
      <c r="J101" s="35">
        <f>IF($A101="","",SUMIFS(전표_원본!$P$5:$P$100000,전표_원본!$O$5:$O$100000,$A101,전표_원본!$M$5:$M$100000,J$5))</f>
        <v/>
      </c>
      <c r="K101" s="35">
        <f>IF($A101="","",SUMIFS(전표_원본!$P$5:$P$100000,전표_원본!$O$5:$O$100000,$A101,전표_원본!$M$5:$M$100000,K$5))</f>
        <v/>
      </c>
      <c r="L101" s="35">
        <f>IF($A101="","",SUMIFS(전표_원본!$P$5:$P$100000,전표_원본!$O$5:$O$100000,$A101,전표_원본!$M$5:$M$100000,L$5))</f>
        <v/>
      </c>
      <c r="M101" s="35">
        <f>IF($A101="","",SUMIFS(전표_원본!$P$5:$P$100000,전표_원본!$O$5:$O$100000,$A101,전표_원본!$M$5:$M$100000,M$5))</f>
        <v/>
      </c>
      <c r="N101" s="35">
        <f>IF($A101="","",SUMIFS(전표_원본!$P$5:$P$100000,전표_원본!$O$5:$O$100000,$A101,전표_원본!$M$5:$M$100000,N$5))</f>
        <v/>
      </c>
      <c r="O101" s="35">
        <f>IF($A101="","",SUMIFS(전표_원본!$P$5:$P$100000,전표_원본!$O$5:$O$100000,$A101,전표_원본!$M$5:$M$100000,O$5))</f>
        <v/>
      </c>
      <c r="P101" s="35">
        <f>IF($A101="","",SUMIFS(전표_원본!$P$5:$P$100000,전표_원본!$O$5:$O$100000,$A101,전표_원본!$M$5:$M$100000,P$5))</f>
        <v/>
      </c>
      <c r="Q101" s="35">
        <f>IF($A101="","",SUMIFS(전표_원본!$P$5:$P$100000,전표_원본!$O$5:$O$100000,$A101,전표_원본!$M$5:$M$100000,Q$5))</f>
        <v/>
      </c>
      <c r="R101" s="35">
        <f>IF($A101="","",SUMIFS(전표_원본!$P$5:$P$100000,전표_원본!$O$5:$O$100000,$A101,전표_원본!$M$5:$M$100000,R$5))</f>
        <v/>
      </c>
      <c r="S101" s="35">
        <f>IF($A101="","",SUMIFS(전표_원본!$P$5:$P$100000,전표_원본!$O$5:$O$100000,$A101,전표_원본!$M$5:$M$100000,S$5))</f>
        <v/>
      </c>
      <c r="T101" s="35">
        <f>IF($A101="","",SUMIFS(전표_원본!$P$5:$P$100000,전표_원본!$O$5:$O$100000,$A101,전표_원본!$M$5:$M$100000,T$5))</f>
        <v/>
      </c>
      <c r="U101" s="35">
        <f>IF($A101="","",SUMIFS(전표_원본!$P$5:$P$100000,전표_원본!$O$5:$O$100000,$A101,전표_원본!$M$5:$M$100000,U$5))</f>
        <v/>
      </c>
      <c r="V101" s="35">
        <f>IF($A101="","",SUMIFS(전표_원본!$P$5:$P$100000,전표_원본!$O$5:$O$100000,$A101,전표_원본!$M$5:$M$100000,V$5))</f>
        <v/>
      </c>
      <c r="W101" s="35">
        <f>IF($A101="","",SUMIFS(전표_원본!$P$5:$P$100000,전표_원본!$O$5:$O$100000,$A101,전표_원본!$M$5:$M$100000,W$5))</f>
        <v/>
      </c>
      <c r="X101" s="35">
        <f>IF($A101="","",SUMIFS(전표_원본!$P$5:$P$100000,전표_원본!$O$5:$O$100000,$A101,전표_원본!$M$5:$M$100000,X$5))</f>
        <v/>
      </c>
      <c r="Y101" s="35">
        <f>IF($A101="","",SUMIFS(전표_원본!$P$5:$P$100000,전표_원본!$O$5:$O$100000,$A101,전표_원본!$M$5:$M$100000,Y$5))</f>
        <v/>
      </c>
      <c r="Z101" s="35">
        <f>IF($A101="","",SUMIFS(전표_원본!$P$5:$P$100000,전표_원본!$O$5:$O$100000,$A101,전표_원본!$M$5:$M$100000,Z$5))</f>
        <v/>
      </c>
      <c r="AB101" s="40">
        <f>IF(OR($A101="",1&gt;설정!$C$7),0,SUMIFS($C101:$Z101,$C$5:$Z$5,"&gt;="&amp;(설정!$C$6*12+1),$C$5:$Z$5,"&lt;="&amp;(설정!$C$6*12+1)))</f>
        <v/>
      </c>
      <c r="AC101" s="40">
        <f>IF(OR($A101="",2&gt;설정!$C$7),0,SUMIFS($C101:$Z101,$C$5:$Z$5,"&gt;="&amp;(설정!$C$6*12+1),$C$5:$Z$5,"&lt;="&amp;(설정!$C$6*12+2)))</f>
        <v/>
      </c>
      <c r="AD101" s="40">
        <f>IF(OR($A101="",3&gt;설정!$C$7),0,SUMIFS($C101:$Z101,$C$5:$Z$5,"&gt;="&amp;(설정!$C$6*12+1),$C$5:$Z$5,"&lt;="&amp;(설정!$C$6*12+3)))</f>
        <v/>
      </c>
      <c r="AE101" s="40">
        <f>IF(OR($A101="",4&gt;설정!$C$7),0,SUMIFS($C101:$Z101,$C$5:$Z$5,"&gt;="&amp;(설정!$C$6*12+1),$C$5:$Z$5,"&lt;="&amp;(설정!$C$6*12+4)))</f>
        <v/>
      </c>
      <c r="AF101" s="40">
        <f>IF(OR($A101="",5&gt;설정!$C$7),0,SUMIFS($C101:$Z101,$C$5:$Z$5,"&gt;="&amp;(설정!$C$6*12+1),$C$5:$Z$5,"&lt;="&amp;(설정!$C$6*12+5)))</f>
        <v/>
      </c>
      <c r="AG101" s="40">
        <f>IF(OR($A101="",6&gt;설정!$C$7),0,SUMIFS($C101:$Z101,$C$5:$Z$5,"&gt;="&amp;(설정!$C$6*12+1),$C$5:$Z$5,"&lt;="&amp;(설정!$C$6*12+6)))</f>
        <v/>
      </c>
      <c r="AH101" s="40">
        <f>IF(OR($A101="",7&gt;설정!$C$7),0,SUMIFS($C101:$Z101,$C$5:$Z$5,"&gt;="&amp;(설정!$C$6*12+1),$C$5:$Z$5,"&lt;="&amp;(설정!$C$6*12+7)))</f>
        <v/>
      </c>
      <c r="AI101" s="40">
        <f>IF(OR($A101="",8&gt;설정!$C$7),0,SUMIFS($C101:$Z101,$C$5:$Z$5,"&gt;="&amp;(설정!$C$6*12+1),$C$5:$Z$5,"&lt;="&amp;(설정!$C$6*12+8)))</f>
        <v/>
      </c>
      <c r="AJ101" s="40">
        <f>IF(OR($A101="",9&gt;설정!$C$7),0,SUMIFS($C101:$Z101,$C$5:$Z$5,"&gt;="&amp;(설정!$C$6*12+1),$C$5:$Z$5,"&lt;="&amp;(설정!$C$6*12+9)))</f>
        <v/>
      </c>
      <c r="AK101" s="40">
        <f>IF(OR($A101="",10&gt;설정!$C$7),0,SUMIFS($C101:$Z101,$C$5:$Z$5,"&gt;="&amp;(설정!$C$6*12+1),$C$5:$Z$5,"&lt;="&amp;(설정!$C$6*12+10)))</f>
        <v/>
      </c>
      <c r="AL101" s="40">
        <f>IF(OR($A101="",11&gt;설정!$C$7),0,SUMIFS($C101:$Z101,$C$5:$Z$5,"&gt;="&amp;(설정!$C$6*12+1),$C$5:$Z$5,"&lt;="&amp;(설정!$C$6*12+11)))</f>
        <v/>
      </c>
      <c r="AM101" s="40">
        <f>IF(OR($A101="",12&gt;설정!$C$7),0,SUMIFS($C101:$Z101,$C$5:$Z$5,"&gt;="&amp;(설정!$C$6*12+1),$C$5:$Z$5,"&lt;="&amp;(설정!$C$6*12+12)))</f>
        <v/>
      </c>
    </row>
    <row r="102">
      <c r="A102" s="26">
        <f>IF(변동분석!$A102="","",변동분석!$E102)</f>
        <v/>
      </c>
      <c r="B102" s="26">
        <f>IF($A102="","",변동분석!$B102&amp;" "&amp;변동분석!$D102)</f>
        <v/>
      </c>
      <c r="C102" s="35">
        <f>IF($A102="","",SUMIFS(전표_원본!$P$5:$P$100000,전표_원본!$O$5:$O$100000,$A102,전표_원본!$M$5:$M$100000,C$5))</f>
        <v/>
      </c>
      <c r="D102" s="35">
        <f>IF($A102="","",SUMIFS(전표_원본!$P$5:$P$100000,전표_원본!$O$5:$O$100000,$A102,전표_원본!$M$5:$M$100000,D$5))</f>
        <v/>
      </c>
      <c r="E102" s="35">
        <f>IF($A102="","",SUMIFS(전표_원본!$P$5:$P$100000,전표_원본!$O$5:$O$100000,$A102,전표_원본!$M$5:$M$100000,E$5))</f>
        <v/>
      </c>
      <c r="F102" s="35">
        <f>IF($A102="","",SUMIFS(전표_원본!$P$5:$P$100000,전표_원본!$O$5:$O$100000,$A102,전표_원본!$M$5:$M$100000,F$5))</f>
        <v/>
      </c>
      <c r="G102" s="35">
        <f>IF($A102="","",SUMIFS(전표_원본!$P$5:$P$100000,전표_원본!$O$5:$O$100000,$A102,전표_원본!$M$5:$M$100000,G$5))</f>
        <v/>
      </c>
      <c r="H102" s="35">
        <f>IF($A102="","",SUMIFS(전표_원본!$P$5:$P$100000,전표_원본!$O$5:$O$100000,$A102,전표_원본!$M$5:$M$100000,H$5))</f>
        <v/>
      </c>
      <c r="I102" s="35">
        <f>IF($A102="","",SUMIFS(전표_원본!$P$5:$P$100000,전표_원본!$O$5:$O$100000,$A102,전표_원본!$M$5:$M$100000,I$5))</f>
        <v/>
      </c>
      <c r="J102" s="35">
        <f>IF($A102="","",SUMIFS(전표_원본!$P$5:$P$100000,전표_원본!$O$5:$O$100000,$A102,전표_원본!$M$5:$M$100000,J$5))</f>
        <v/>
      </c>
      <c r="K102" s="35">
        <f>IF($A102="","",SUMIFS(전표_원본!$P$5:$P$100000,전표_원본!$O$5:$O$100000,$A102,전표_원본!$M$5:$M$100000,K$5))</f>
        <v/>
      </c>
      <c r="L102" s="35">
        <f>IF($A102="","",SUMIFS(전표_원본!$P$5:$P$100000,전표_원본!$O$5:$O$100000,$A102,전표_원본!$M$5:$M$100000,L$5))</f>
        <v/>
      </c>
      <c r="M102" s="35">
        <f>IF($A102="","",SUMIFS(전표_원본!$P$5:$P$100000,전표_원본!$O$5:$O$100000,$A102,전표_원본!$M$5:$M$100000,M$5))</f>
        <v/>
      </c>
      <c r="N102" s="35">
        <f>IF($A102="","",SUMIFS(전표_원본!$P$5:$P$100000,전표_원본!$O$5:$O$100000,$A102,전표_원본!$M$5:$M$100000,N$5))</f>
        <v/>
      </c>
      <c r="O102" s="35">
        <f>IF($A102="","",SUMIFS(전표_원본!$P$5:$P$100000,전표_원본!$O$5:$O$100000,$A102,전표_원본!$M$5:$M$100000,O$5))</f>
        <v/>
      </c>
      <c r="P102" s="35">
        <f>IF($A102="","",SUMIFS(전표_원본!$P$5:$P$100000,전표_원본!$O$5:$O$100000,$A102,전표_원본!$M$5:$M$100000,P$5))</f>
        <v/>
      </c>
      <c r="Q102" s="35">
        <f>IF($A102="","",SUMIFS(전표_원본!$P$5:$P$100000,전표_원본!$O$5:$O$100000,$A102,전표_원본!$M$5:$M$100000,Q$5))</f>
        <v/>
      </c>
      <c r="R102" s="35">
        <f>IF($A102="","",SUMIFS(전표_원본!$P$5:$P$100000,전표_원본!$O$5:$O$100000,$A102,전표_원본!$M$5:$M$100000,R$5))</f>
        <v/>
      </c>
      <c r="S102" s="35">
        <f>IF($A102="","",SUMIFS(전표_원본!$P$5:$P$100000,전표_원본!$O$5:$O$100000,$A102,전표_원본!$M$5:$M$100000,S$5))</f>
        <v/>
      </c>
      <c r="T102" s="35">
        <f>IF($A102="","",SUMIFS(전표_원본!$P$5:$P$100000,전표_원본!$O$5:$O$100000,$A102,전표_원본!$M$5:$M$100000,T$5))</f>
        <v/>
      </c>
      <c r="U102" s="35">
        <f>IF($A102="","",SUMIFS(전표_원본!$P$5:$P$100000,전표_원본!$O$5:$O$100000,$A102,전표_원본!$M$5:$M$100000,U$5))</f>
        <v/>
      </c>
      <c r="V102" s="35">
        <f>IF($A102="","",SUMIFS(전표_원본!$P$5:$P$100000,전표_원본!$O$5:$O$100000,$A102,전표_원본!$M$5:$M$100000,V$5))</f>
        <v/>
      </c>
      <c r="W102" s="35">
        <f>IF($A102="","",SUMIFS(전표_원본!$P$5:$P$100000,전표_원본!$O$5:$O$100000,$A102,전표_원본!$M$5:$M$100000,W$5))</f>
        <v/>
      </c>
      <c r="X102" s="35">
        <f>IF($A102="","",SUMIFS(전표_원본!$P$5:$P$100000,전표_원본!$O$5:$O$100000,$A102,전표_원본!$M$5:$M$100000,X$5))</f>
        <v/>
      </c>
      <c r="Y102" s="35">
        <f>IF($A102="","",SUMIFS(전표_원본!$P$5:$P$100000,전표_원본!$O$5:$O$100000,$A102,전표_원본!$M$5:$M$100000,Y$5))</f>
        <v/>
      </c>
      <c r="Z102" s="35">
        <f>IF($A102="","",SUMIFS(전표_원본!$P$5:$P$100000,전표_원본!$O$5:$O$100000,$A102,전표_원본!$M$5:$M$100000,Z$5))</f>
        <v/>
      </c>
      <c r="AB102" s="40">
        <f>IF(OR($A102="",1&gt;설정!$C$7),0,SUMIFS($C102:$Z102,$C$5:$Z$5,"&gt;="&amp;(설정!$C$6*12+1),$C$5:$Z$5,"&lt;="&amp;(설정!$C$6*12+1)))</f>
        <v/>
      </c>
      <c r="AC102" s="40">
        <f>IF(OR($A102="",2&gt;설정!$C$7),0,SUMIFS($C102:$Z102,$C$5:$Z$5,"&gt;="&amp;(설정!$C$6*12+1),$C$5:$Z$5,"&lt;="&amp;(설정!$C$6*12+2)))</f>
        <v/>
      </c>
      <c r="AD102" s="40">
        <f>IF(OR($A102="",3&gt;설정!$C$7),0,SUMIFS($C102:$Z102,$C$5:$Z$5,"&gt;="&amp;(설정!$C$6*12+1),$C$5:$Z$5,"&lt;="&amp;(설정!$C$6*12+3)))</f>
        <v/>
      </c>
      <c r="AE102" s="40">
        <f>IF(OR($A102="",4&gt;설정!$C$7),0,SUMIFS($C102:$Z102,$C$5:$Z$5,"&gt;="&amp;(설정!$C$6*12+1),$C$5:$Z$5,"&lt;="&amp;(설정!$C$6*12+4)))</f>
        <v/>
      </c>
      <c r="AF102" s="40">
        <f>IF(OR($A102="",5&gt;설정!$C$7),0,SUMIFS($C102:$Z102,$C$5:$Z$5,"&gt;="&amp;(설정!$C$6*12+1),$C$5:$Z$5,"&lt;="&amp;(설정!$C$6*12+5)))</f>
        <v/>
      </c>
      <c r="AG102" s="40">
        <f>IF(OR($A102="",6&gt;설정!$C$7),0,SUMIFS($C102:$Z102,$C$5:$Z$5,"&gt;="&amp;(설정!$C$6*12+1),$C$5:$Z$5,"&lt;="&amp;(설정!$C$6*12+6)))</f>
        <v/>
      </c>
      <c r="AH102" s="40">
        <f>IF(OR($A102="",7&gt;설정!$C$7),0,SUMIFS($C102:$Z102,$C$5:$Z$5,"&gt;="&amp;(설정!$C$6*12+1),$C$5:$Z$5,"&lt;="&amp;(설정!$C$6*12+7)))</f>
        <v/>
      </c>
      <c r="AI102" s="40">
        <f>IF(OR($A102="",8&gt;설정!$C$7),0,SUMIFS($C102:$Z102,$C$5:$Z$5,"&gt;="&amp;(설정!$C$6*12+1),$C$5:$Z$5,"&lt;="&amp;(설정!$C$6*12+8)))</f>
        <v/>
      </c>
      <c r="AJ102" s="40">
        <f>IF(OR($A102="",9&gt;설정!$C$7),0,SUMIFS($C102:$Z102,$C$5:$Z$5,"&gt;="&amp;(설정!$C$6*12+1),$C$5:$Z$5,"&lt;="&amp;(설정!$C$6*12+9)))</f>
        <v/>
      </c>
      <c r="AK102" s="40">
        <f>IF(OR($A102="",10&gt;설정!$C$7),0,SUMIFS($C102:$Z102,$C$5:$Z$5,"&gt;="&amp;(설정!$C$6*12+1),$C$5:$Z$5,"&lt;="&amp;(설정!$C$6*12+10)))</f>
        <v/>
      </c>
      <c r="AL102" s="40">
        <f>IF(OR($A102="",11&gt;설정!$C$7),0,SUMIFS($C102:$Z102,$C$5:$Z$5,"&gt;="&amp;(설정!$C$6*12+1),$C$5:$Z$5,"&lt;="&amp;(설정!$C$6*12+11)))</f>
        <v/>
      </c>
      <c r="AM102" s="40">
        <f>IF(OR($A102="",12&gt;설정!$C$7),0,SUMIFS($C102:$Z102,$C$5:$Z$5,"&gt;="&amp;(설정!$C$6*12+1),$C$5:$Z$5,"&lt;="&amp;(설정!$C$6*12+12)))</f>
        <v/>
      </c>
    </row>
    <row r="103">
      <c r="A103" s="26">
        <f>IF(변동분석!$A103="","",변동분석!$E103)</f>
        <v/>
      </c>
      <c r="B103" s="26">
        <f>IF($A103="","",변동분석!$B103&amp;" "&amp;변동분석!$D103)</f>
        <v/>
      </c>
      <c r="C103" s="35">
        <f>IF($A103="","",SUMIFS(전표_원본!$P$5:$P$100000,전표_원본!$O$5:$O$100000,$A103,전표_원본!$M$5:$M$100000,C$5))</f>
        <v/>
      </c>
      <c r="D103" s="35">
        <f>IF($A103="","",SUMIFS(전표_원본!$P$5:$P$100000,전표_원본!$O$5:$O$100000,$A103,전표_원본!$M$5:$M$100000,D$5))</f>
        <v/>
      </c>
      <c r="E103" s="35">
        <f>IF($A103="","",SUMIFS(전표_원본!$P$5:$P$100000,전표_원본!$O$5:$O$100000,$A103,전표_원본!$M$5:$M$100000,E$5))</f>
        <v/>
      </c>
      <c r="F103" s="35">
        <f>IF($A103="","",SUMIFS(전표_원본!$P$5:$P$100000,전표_원본!$O$5:$O$100000,$A103,전표_원본!$M$5:$M$100000,F$5))</f>
        <v/>
      </c>
      <c r="G103" s="35">
        <f>IF($A103="","",SUMIFS(전표_원본!$P$5:$P$100000,전표_원본!$O$5:$O$100000,$A103,전표_원본!$M$5:$M$100000,G$5))</f>
        <v/>
      </c>
      <c r="H103" s="35">
        <f>IF($A103="","",SUMIFS(전표_원본!$P$5:$P$100000,전표_원본!$O$5:$O$100000,$A103,전표_원본!$M$5:$M$100000,H$5))</f>
        <v/>
      </c>
      <c r="I103" s="35">
        <f>IF($A103="","",SUMIFS(전표_원본!$P$5:$P$100000,전표_원본!$O$5:$O$100000,$A103,전표_원본!$M$5:$M$100000,I$5))</f>
        <v/>
      </c>
      <c r="J103" s="35">
        <f>IF($A103="","",SUMIFS(전표_원본!$P$5:$P$100000,전표_원본!$O$5:$O$100000,$A103,전표_원본!$M$5:$M$100000,J$5))</f>
        <v/>
      </c>
      <c r="K103" s="35">
        <f>IF($A103="","",SUMIFS(전표_원본!$P$5:$P$100000,전표_원본!$O$5:$O$100000,$A103,전표_원본!$M$5:$M$100000,K$5))</f>
        <v/>
      </c>
      <c r="L103" s="35">
        <f>IF($A103="","",SUMIFS(전표_원본!$P$5:$P$100000,전표_원본!$O$5:$O$100000,$A103,전표_원본!$M$5:$M$100000,L$5))</f>
        <v/>
      </c>
      <c r="M103" s="35">
        <f>IF($A103="","",SUMIFS(전표_원본!$P$5:$P$100000,전표_원본!$O$5:$O$100000,$A103,전표_원본!$M$5:$M$100000,M$5))</f>
        <v/>
      </c>
      <c r="N103" s="35">
        <f>IF($A103="","",SUMIFS(전표_원본!$P$5:$P$100000,전표_원본!$O$5:$O$100000,$A103,전표_원본!$M$5:$M$100000,N$5))</f>
        <v/>
      </c>
      <c r="O103" s="35">
        <f>IF($A103="","",SUMIFS(전표_원본!$P$5:$P$100000,전표_원본!$O$5:$O$100000,$A103,전표_원본!$M$5:$M$100000,O$5))</f>
        <v/>
      </c>
      <c r="P103" s="35">
        <f>IF($A103="","",SUMIFS(전표_원본!$P$5:$P$100000,전표_원본!$O$5:$O$100000,$A103,전표_원본!$M$5:$M$100000,P$5))</f>
        <v/>
      </c>
      <c r="Q103" s="35">
        <f>IF($A103="","",SUMIFS(전표_원본!$P$5:$P$100000,전표_원본!$O$5:$O$100000,$A103,전표_원본!$M$5:$M$100000,Q$5))</f>
        <v/>
      </c>
      <c r="R103" s="35">
        <f>IF($A103="","",SUMIFS(전표_원본!$P$5:$P$100000,전표_원본!$O$5:$O$100000,$A103,전표_원본!$M$5:$M$100000,R$5))</f>
        <v/>
      </c>
      <c r="S103" s="35">
        <f>IF($A103="","",SUMIFS(전표_원본!$P$5:$P$100000,전표_원본!$O$5:$O$100000,$A103,전표_원본!$M$5:$M$100000,S$5))</f>
        <v/>
      </c>
      <c r="T103" s="35">
        <f>IF($A103="","",SUMIFS(전표_원본!$P$5:$P$100000,전표_원본!$O$5:$O$100000,$A103,전표_원본!$M$5:$M$100000,T$5))</f>
        <v/>
      </c>
      <c r="U103" s="35">
        <f>IF($A103="","",SUMIFS(전표_원본!$P$5:$P$100000,전표_원본!$O$5:$O$100000,$A103,전표_원본!$M$5:$M$100000,U$5))</f>
        <v/>
      </c>
      <c r="V103" s="35">
        <f>IF($A103="","",SUMIFS(전표_원본!$P$5:$P$100000,전표_원본!$O$5:$O$100000,$A103,전표_원본!$M$5:$M$100000,V$5))</f>
        <v/>
      </c>
      <c r="W103" s="35">
        <f>IF($A103="","",SUMIFS(전표_원본!$P$5:$P$100000,전표_원본!$O$5:$O$100000,$A103,전표_원본!$M$5:$M$100000,W$5))</f>
        <v/>
      </c>
      <c r="X103" s="35">
        <f>IF($A103="","",SUMIFS(전표_원본!$P$5:$P$100000,전표_원본!$O$5:$O$100000,$A103,전표_원본!$M$5:$M$100000,X$5))</f>
        <v/>
      </c>
      <c r="Y103" s="35">
        <f>IF($A103="","",SUMIFS(전표_원본!$P$5:$P$100000,전표_원본!$O$5:$O$100000,$A103,전표_원본!$M$5:$M$100000,Y$5))</f>
        <v/>
      </c>
      <c r="Z103" s="35">
        <f>IF($A103="","",SUMIFS(전표_원본!$P$5:$P$100000,전표_원본!$O$5:$O$100000,$A103,전표_원본!$M$5:$M$100000,Z$5))</f>
        <v/>
      </c>
      <c r="AB103" s="40">
        <f>IF(OR($A103="",1&gt;설정!$C$7),0,SUMIFS($C103:$Z103,$C$5:$Z$5,"&gt;="&amp;(설정!$C$6*12+1),$C$5:$Z$5,"&lt;="&amp;(설정!$C$6*12+1)))</f>
        <v/>
      </c>
      <c r="AC103" s="40">
        <f>IF(OR($A103="",2&gt;설정!$C$7),0,SUMIFS($C103:$Z103,$C$5:$Z$5,"&gt;="&amp;(설정!$C$6*12+1),$C$5:$Z$5,"&lt;="&amp;(설정!$C$6*12+2)))</f>
        <v/>
      </c>
      <c r="AD103" s="40">
        <f>IF(OR($A103="",3&gt;설정!$C$7),0,SUMIFS($C103:$Z103,$C$5:$Z$5,"&gt;="&amp;(설정!$C$6*12+1),$C$5:$Z$5,"&lt;="&amp;(설정!$C$6*12+3)))</f>
        <v/>
      </c>
      <c r="AE103" s="40">
        <f>IF(OR($A103="",4&gt;설정!$C$7),0,SUMIFS($C103:$Z103,$C$5:$Z$5,"&gt;="&amp;(설정!$C$6*12+1),$C$5:$Z$5,"&lt;="&amp;(설정!$C$6*12+4)))</f>
        <v/>
      </c>
      <c r="AF103" s="40">
        <f>IF(OR($A103="",5&gt;설정!$C$7),0,SUMIFS($C103:$Z103,$C$5:$Z$5,"&gt;="&amp;(설정!$C$6*12+1),$C$5:$Z$5,"&lt;="&amp;(설정!$C$6*12+5)))</f>
        <v/>
      </c>
      <c r="AG103" s="40">
        <f>IF(OR($A103="",6&gt;설정!$C$7),0,SUMIFS($C103:$Z103,$C$5:$Z$5,"&gt;="&amp;(설정!$C$6*12+1),$C$5:$Z$5,"&lt;="&amp;(설정!$C$6*12+6)))</f>
        <v/>
      </c>
      <c r="AH103" s="40">
        <f>IF(OR($A103="",7&gt;설정!$C$7),0,SUMIFS($C103:$Z103,$C$5:$Z$5,"&gt;="&amp;(설정!$C$6*12+1),$C$5:$Z$5,"&lt;="&amp;(설정!$C$6*12+7)))</f>
        <v/>
      </c>
      <c r="AI103" s="40">
        <f>IF(OR($A103="",8&gt;설정!$C$7),0,SUMIFS($C103:$Z103,$C$5:$Z$5,"&gt;="&amp;(설정!$C$6*12+1),$C$5:$Z$5,"&lt;="&amp;(설정!$C$6*12+8)))</f>
        <v/>
      </c>
      <c r="AJ103" s="40">
        <f>IF(OR($A103="",9&gt;설정!$C$7),0,SUMIFS($C103:$Z103,$C$5:$Z$5,"&gt;="&amp;(설정!$C$6*12+1),$C$5:$Z$5,"&lt;="&amp;(설정!$C$6*12+9)))</f>
        <v/>
      </c>
      <c r="AK103" s="40">
        <f>IF(OR($A103="",10&gt;설정!$C$7),0,SUMIFS($C103:$Z103,$C$5:$Z$5,"&gt;="&amp;(설정!$C$6*12+1),$C$5:$Z$5,"&lt;="&amp;(설정!$C$6*12+10)))</f>
        <v/>
      </c>
      <c r="AL103" s="40">
        <f>IF(OR($A103="",11&gt;설정!$C$7),0,SUMIFS($C103:$Z103,$C$5:$Z$5,"&gt;="&amp;(설정!$C$6*12+1),$C$5:$Z$5,"&lt;="&amp;(설정!$C$6*12+11)))</f>
        <v/>
      </c>
      <c r="AM103" s="40">
        <f>IF(OR($A103="",12&gt;설정!$C$7),0,SUMIFS($C103:$Z103,$C$5:$Z$5,"&gt;="&amp;(설정!$C$6*12+1),$C$5:$Z$5,"&lt;="&amp;(설정!$C$6*12+12)))</f>
        <v/>
      </c>
    </row>
    <row r="104">
      <c r="A104" s="26">
        <f>IF(변동분석!$A104="","",변동분석!$E104)</f>
        <v/>
      </c>
      <c r="B104" s="26">
        <f>IF($A104="","",변동분석!$B104&amp;" "&amp;변동분석!$D104)</f>
        <v/>
      </c>
      <c r="C104" s="35">
        <f>IF($A104="","",SUMIFS(전표_원본!$P$5:$P$100000,전표_원본!$O$5:$O$100000,$A104,전표_원본!$M$5:$M$100000,C$5))</f>
        <v/>
      </c>
      <c r="D104" s="35">
        <f>IF($A104="","",SUMIFS(전표_원본!$P$5:$P$100000,전표_원본!$O$5:$O$100000,$A104,전표_원본!$M$5:$M$100000,D$5))</f>
        <v/>
      </c>
      <c r="E104" s="35">
        <f>IF($A104="","",SUMIFS(전표_원본!$P$5:$P$100000,전표_원본!$O$5:$O$100000,$A104,전표_원본!$M$5:$M$100000,E$5))</f>
        <v/>
      </c>
      <c r="F104" s="35">
        <f>IF($A104="","",SUMIFS(전표_원본!$P$5:$P$100000,전표_원본!$O$5:$O$100000,$A104,전표_원본!$M$5:$M$100000,F$5))</f>
        <v/>
      </c>
      <c r="G104" s="35">
        <f>IF($A104="","",SUMIFS(전표_원본!$P$5:$P$100000,전표_원본!$O$5:$O$100000,$A104,전표_원본!$M$5:$M$100000,G$5))</f>
        <v/>
      </c>
      <c r="H104" s="35">
        <f>IF($A104="","",SUMIFS(전표_원본!$P$5:$P$100000,전표_원본!$O$5:$O$100000,$A104,전표_원본!$M$5:$M$100000,H$5))</f>
        <v/>
      </c>
      <c r="I104" s="35">
        <f>IF($A104="","",SUMIFS(전표_원본!$P$5:$P$100000,전표_원본!$O$5:$O$100000,$A104,전표_원본!$M$5:$M$100000,I$5))</f>
        <v/>
      </c>
      <c r="J104" s="35">
        <f>IF($A104="","",SUMIFS(전표_원본!$P$5:$P$100000,전표_원본!$O$5:$O$100000,$A104,전표_원본!$M$5:$M$100000,J$5))</f>
        <v/>
      </c>
      <c r="K104" s="35">
        <f>IF($A104="","",SUMIFS(전표_원본!$P$5:$P$100000,전표_원본!$O$5:$O$100000,$A104,전표_원본!$M$5:$M$100000,K$5))</f>
        <v/>
      </c>
      <c r="L104" s="35">
        <f>IF($A104="","",SUMIFS(전표_원본!$P$5:$P$100000,전표_원본!$O$5:$O$100000,$A104,전표_원본!$M$5:$M$100000,L$5))</f>
        <v/>
      </c>
      <c r="M104" s="35">
        <f>IF($A104="","",SUMIFS(전표_원본!$P$5:$P$100000,전표_원본!$O$5:$O$100000,$A104,전표_원본!$M$5:$M$100000,M$5))</f>
        <v/>
      </c>
      <c r="N104" s="35">
        <f>IF($A104="","",SUMIFS(전표_원본!$P$5:$P$100000,전표_원본!$O$5:$O$100000,$A104,전표_원본!$M$5:$M$100000,N$5))</f>
        <v/>
      </c>
      <c r="O104" s="35">
        <f>IF($A104="","",SUMIFS(전표_원본!$P$5:$P$100000,전표_원본!$O$5:$O$100000,$A104,전표_원본!$M$5:$M$100000,O$5))</f>
        <v/>
      </c>
      <c r="P104" s="35">
        <f>IF($A104="","",SUMIFS(전표_원본!$P$5:$P$100000,전표_원본!$O$5:$O$100000,$A104,전표_원본!$M$5:$M$100000,P$5))</f>
        <v/>
      </c>
      <c r="Q104" s="35">
        <f>IF($A104="","",SUMIFS(전표_원본!$P$5:$P$100000,전표_원본!$O$5:$O$100000,$A104,전표_원본!$M$5:$M$100000,Q$5))</f>
        <v/>
      </c>
      <c r="R104" s="35">
        <f>IF($A104="","",SUMIFS(전표_원본!$P$5:$P$100000,전표_원본!$O$5:$O$100000,$A104,전표_원본!$M$5:$M$100000,R$5))</f>
        <v/>
      </c>
      <c r="S104" s="35">
        <f>IF($A104="","",SUMIFS(전표_원본!$P$5:$P$100000,전표_원본!$O$5:$O$100000,$A104,전표_원본!$M$5:$M$100000,S$5))</f>
        <v/>
      </c>
      <c r="T104" s="35">
        <f>IF($A104="","",SUMIFS(전표_원본!$P$5:$P$100000,전표_원본!$O$5:$O$100000,$A104,전표_원본!$M$5:$M$100000,T$5))</f>
        <v/>
      </c>
      <c r="U104" s="35">
        <f>IF($A104="","",SUMIFS(전표_원본!$P$5:$P$100000,전표_원본!$O$5:$O$100000,$A104,전표_원본!$M$5:$M$100000,U$5))</f>
        <v/>
      </c>
      <c r="V104" s="35">
        <f>IF($A104="","",SUMIFS(전표_원본!$P$5:$P$100000,전표_원본!$O$5:$O$100000,$A104,전표_원본!$M$5:$M$100000,V$5))</f>
        <v/>
      </c>
      <c r="W104" s="35">
        <f>IF($A104="","",SUMIFS(전표_원본!$P$5:$P$100000,전표_원본!$O$5:$O$100000,$A104,전표_원본!$M$5:$M$100000,W$5))</f>
        <v/>
      </c>
      <c r="X104" s="35">
        <f>IF($A104="","",SUMIFS(전표_원본!$P$5:$P$100000,전표_원본!$O$5:$O$100000,$A104,전표_원본!$M$5:$M$100000,X$5))</f>
        <v/>
      </c>
      <c r="Y104" s="35">
        <f>IF($A104="","",SUMIFS(전표_원본!$P$5:$P$100000,전표_원본!$O$5:$O$100000,$A104,전표_원본!$M$5:$M$100000,Y$5))</f>
        <v/>
      </c>
      <c r="Z104" s="35">
        <f>IF($A104="","",SUMIFS(전표_원본!$P$5:$P$100000,전표_원본!$O$5:$O$100000,$A104,전표_원본!$M$5:$M$100000,Z$5))</f>
        <v/>
      </c>
      <c r="AB104" s="40">
        <f>IF(OR($A104="",1&gt;설정!$C$7),0,SUMIFS($C104:$Z104,$C$5:$Z$5,"&gt;="&amp;(설정!$C$6*12+1),$C$5:$Z$5,"&lt;="&amp;(설정!$C$6*12+1)))</f>
        <v/>
      </c>
      <c r="AC104" s="40">
        <f>IF(OR($A104="",2&gt;설정!$C$7),0,SUMIFS($C104:$Z104,$C$5:$Z$5,"&gt;="&amp;(설정!$C$6*12+1),$C$5:$Z$5,"&lt;="&amp;(설정!$C$6*12+2)))</f>
        <v/>
      </c>
      <c r="AD104" s="40">
        <f>IF(OR($A104="",3&gt;설정!$C$7),0,SUMIFS($C104:$Z104,$C$5:$Z$5,"&gt;="&amp;(설정!$C$6*12+1),$C$5:$Z$5,"&lt;="&amp;(설정!$C$6*12+3)))</f>
        <v/>
      </c>
      <c r="AE104" s="40">
        <f>IF(OR($A104="",4&gt;설정!$C$7),0,SUMIFS($C104:$Z104,$C$5:$Z$5,"&gt;="&amp;(설정!$C$6*12+1),$C$5:$Z$5,"&lt;="&amp;(설정!$C$6*12+4)))</f>
        <v/>
      </c>
      <c r="AF104" s="40">
        <f>IF(OR($A104="",5&gt;설정!$C$7),0,SUMIFS($C104:$Z104,$C$5:$Z$5,"&gt;="&amp;(설정!$C$6*12+1),$C$5:$Z$5,"&lt;="&amp;(설정!$C$6*12+5)))</f>
        <v/>
      </c>
      <c r="AG104" s="40">
        <f>IF(OR($A104="",6&gt;설정!$C$7),0,SUMIFS($C104:$Z104,$C$5:$Z$5,"&gt;="&amp;(설정!$C$6*12+1),$C$5:$Z$5,"&lt;="&amp;(설정!$C$6*12+6)))</f>
        <v/>
      </c>
      <c r="AH104" s="40">
        <f>IF(OR($A104="",7&gt;설정!$C$7),0,SUMIFS($C104:$Z104,$C$5:$Z$5,"&gt;="&amp;(설정!$C$6*12+1),$C$5:$Z$5,"&lt;="&amp;(설정!$C$6*12+7)))</f>
        <v/>
      </c>
      <c r="AI104" s="40">
        <f>IF(OR($A104="",8&gt;설정!$C$7),0,SUMIFS($C104:$Z104,$C$5:$Z$5,"&gt;="&amp;(설정!$C$6*12+1),$C$5:$Z$5,"&lt;="&amp;(설정!$C$6*12+8)))</f>
        <v/>
      </c>
      <c r="AJ104" s="40">
        <f>IF(OR($A104="",9&gt;설정!$C$7),0,SUMIFS($C104:$Z104,$C$5:$Z$5,"&gt;="&amp;(설정!$C$6*12+1),$C$5:$Z$5,"&lt;="&amp;(설정!$C$6*12+9)))</f>
        <v/>
      </c>
      <c r="AK104" s="40">
        <f>IF(OR($A104="",10&gt;설정!$C$7),0,SUMIFS($C104:$Z104,$C$5:$Z$5,"&gt;="&amp;(설정!$C$6*12+1),$C$5:$Z$5,"&lt;="&amp;(설정!$C$6*12+10)))</f>
        <v/>
      </c>
      <c r="AL104" s="40">
        <f>IF(OR($A104="",11&gt;설정!$C$7),0,SUMIFS($C104:$Z104,$C$5:$Z$5,"&gt;="&amp;(설정!$C$6*12+1),$C$5:$Z$5,"&lt;="&amp;(설정!$C$6*12+11)))</f>
        <v/>
      </c>
      <c r="AM104" s="40">
        <f>IF(OR($A104="",12&gt;설정!$C$7),0,SUMIFS($C104:$Z104,$C$5:$Z$5,"&gt;="&amp;(설정!$C$6*12+1),$C$5:$Z$5,"&lt;="&amp;(설정!$C$6*12+12)))</f>
        <v/>
      </c>
    </row>
    <row r="105">
      <c r="A105" s="26">
        <f>IF(변동분석!$A105="","",변동분석!$E105)</f>
        <v/>
      </c>
      <c r="B105" s="26">
        <f>IF($A105="","",변동분석!$B105&amp;" "&amp;변동분석!$D105)</f>
        <v/>
      </c>
      <c r="C105" s="35">
        <f>IF($A105="","",SUMIFS(전표_원본!$P$5:$P$100000,전표_원본!$O$5:$O$100000,$A105,전표_원본!$M$5:$M$100000,C$5))</f>
        <v/>
      </c>
      <c r="D105" s="35">
        <f>IF($A105="","",SUMIFS(전표_원본!$P$5:$P$100000,전표_원본!$O$5:$O$100000,$A105,전표_원본!$M$5:$M$100000,D$5))</f>
        <v/>
      </c>
      <c r="E105" s="35">
        <f>IF($A105="","",SUMIFS(전표_원본!$P$5:$P$100000,전표_원본!$O$5:$O$100000,$A105,전표_원본!$M$5:$M$100000,E$5))</f>
        <v/>
      </c>
      <c r="F105" s="35">
        <f>IF($A105="","",SUMIFS(전표_원본!$P$5:$P$100000,전표_원본!$O$5:$O$100000,$A105,전표_원본!$M$5:$M$100000,F$5))</f>
        <v/>
      </c>
      <c r="G105" s="35">
        <f>IF($A105="","",SUMIFS(전표_원본!$P$5:$P$100000,전표_원본!$O$5:$O$100000,$A105,전표_원본!$M$5:$M$100000,G$5))</f>
        <v/>
      </c>
      <c r="H105" s="35">
        <f>IF($A105="","",SUMIFS(전표_원본!$P$5:$P$100000,전표_원본!$O$5:$O$100000,$A105,전표_원본!$M$5:$M$100000,H$5))</f>
        <v/>
      </c>
      <c r="I105" s="35">
        <f>IF($A105="","",SUMIFS(전표_원본!$P$5:$P$100000,전표_원본!$O$5:$O$100000,$A105,전표_원본!$M$5:$M$100000,I$5))</f>
        <v/>
      </c>
      <c r="J105" s="35">
        <f>IF($A105="","",SUMIFS(전표_원본!$P$5:$P$100000,전표_원본!$O$5:$O$100000,$A105,전표_원본!$M$5:$M$100000,J$5))</f>
        <v/>
      </c>
      <c r="K105" s="35">
        <f>IF($A105="","",SUMIFS(전표_원본!$P$5:$P$100000,전표_원본!$O$5:$O$100000,$A105,전표_원본!$M$5:$M$100000,K$5))</f>
        <v/>
      </c>
      <c r="L105" s="35">
        <f>IF($A105="","",SUMIFS(전표_원본!$P$5:$P$100000,전표_원본!$O$5:$O$100000,$A105,전표_원본!$M$5:$M$100000,L$5))</f>
        <v/>
      </c>
      <c r="M105" s="35">
        <f>IF($A105="","",SUMIFS(전표_원본!$P$5:$P$100000,전표_원본!$O$5:$O$100000,$A105,전표_원본!$M$5:$M$100000,M$5))</f>
        <v/>
      </c>
      <c r="N105" s="35">
        <f>IF($A105="","",SUMIFS(전표_원본!$P$5:$P$100000,전표_원본!$O$5:$O$100000,$A105,전표_원본!$M$5:$M$100000,N$5))</f>
        <v/>
      </c>
      <c r="O105" s="35">
        <f>IF($A105="","",SUMIFS(전표_원본!$P$5:$P$100000,전표_원본!$O$5:$O$100000,$A105,전표_원본!$M$5:$M$100000,O$5))</f>
        <v/>
      </c>
      <c r="P105" s="35">
        <f>IF($A105="","",SUMIFS(전표_원본!$P$5:$P$100000,전표_원본!$O$5:$O$100000,$A105,전표_원본!$M$5:$M$100000,P$5))</f>
        <v/>
      </c>
      <c r="Q105" s="35">
        <f>IF($A105="","",SUMIFS(전표_원본!$P$5:$P$100000,전표_원본!$O$5:$O$100000,$A105,전표_원본!$M$5:$M$100000,Q$5))</f>
        <v/>
      </c>
      <c r="R105" s="35">
        <f>IF($A105="","",SUMIFS(전표_원본!$P$5:$P$100000,전표_원본!$O$5:$O$100000,$A105,전표_원본!$M$5:$M$100000,R$5))</f>
        <v/>
      </c>
      <c r="S105" s="35">
        <f>IF($A105="","",SUMIFS(전표_원본!$P$5:$P$100000,전표_원본!$O$5:$O$100000,$A105,전표_원본!$M$5:$M$100000,S$5))</f>
        <v/>
      </c>
      <c r="T105" s="35">
        <f>IF($A105="","",SUMIFS(전표_원본!$P$5:$P$100000,전표_원본!$O$5:$O$100000,$A105,전표_원본!$M$5:$M$100000,T$5))</f>
        <v/>
      </c>
      <c r="U105" s="35">
        <f>IF($A105="","",SUMIFS(전표_원본!$P$5:$P$100000,전표_원본!$O$5:$O$100000,$A105,전표_원본!$M$5:$M$100000,U$5))</f>
        <v/>
      </c>
      <c r="V105" s="35">
        <f>IF($A105="","",SUMIFS(전표_원본!$P$5:$P$100000,전표_원본!$O$5:$O$100000,$A105,전표_원본!$M$5:$M$100000,V$5))</f>
        <v/>
      </c>
      <c r="W105" s="35">
        <f>IF($A105="","",SUMIFS(전표_원본!$P$5:$P$100000,전표_원본!$O$5:$O$100000,$A105,전표_원본!$M$5:$M$100000,W$5))</f>
        <v/>
      </c>
      <c r="X105" s="35">
        <f>IF($A105="","",SUMIFS(전표_원본!$P$5:$P$100000,전표_원본!$O$5:$O$100000,$A105,전표_원본!$M$5:$M$100000,X$5))</f>
        <v/>
      </c>
      <c r="Y105" s="35">
        <f>IF($A105="","",SUMIFS(전표_원본!$P$5:$P$100000,전표_원본!$O$5:$O$100000,$A105,전표_원본!$M$5:$M$100000,Y$5))</f>
        <v/>
      </c>
      <c r="Z105" s="35">
        <f>IF($A105="","",SUMIFS(전표_원본!$P$5:$P$100000,전표_원본!$O$5:$O$100000,$A105,전표_원본!$M$5:$M$100000,Z$5))</f>
        <v/>
      </c>
      <c r="AB105" s="40">
        <f>IF(OR($A105="",1&gt;설정!$C$7),0,SUMIFS($C105:$Z105,$C$5:$Z$5,"&gt;="&amp;(설정!$C$6*12+1),$C$5:$Z$5,"&lt;="&amp;(설정!$C$6*12+1)))</f>
        <v/>
      </c>
      <c r="AC105" s="40">
        <f>IF(OR($A105="",2&gt;설정!$C$7),0,SUMIFS($C105:$Z105,$C$5:$Z$5,"&gt;="&amp;(설정!$C$6*12+1),$C$5:$Z$5,"&lt;="&amp;(설정!$C$6*12+2)))</f>
        <v/>
      </c>
      <c r="AD105" s="40">
        <f>IF(OR($A105="",3&gt;설정!$C$7),0,SUMIFS($C105:$Z105,$C$5:$Z$5,"&gt;="&amp;(설정!$C$6*12+1),$C$5:$Z$5,"&lt;="&amp;(설정!$C$6*12+3)))</f>
        <v/>
      </c>
      <c r="AE105" s="40">
        <f>IF(OR($A105="",4&gt;설정!$C$7),0,SUMIFS($C105:$Z105,$C$5:$Z$5,"&gt;="&amp;(설정!$C$6*12+1),$C$5:$Z$5,"&lt;="&amp;(설정!$C$6*12+4)))</f>
        <v/>
      </c>
      <c r="AF105" s="40">
        <f>IF(OR($A105="",5&gt;설정!$C$7),0,SUMIFS($C105:$Z105,$C$5:$Z$5,"&gt;="&amp;(설정!$C$6*12+1),$C$5:$Z$5,"&lt;="&amp;(설정!$C$6*12+5)))</f>
        <v/>
      </c>
      <c r="AG105" s="40">
        <f>IF(OR($A105="",6&gt;설정!$C$7),0,SUMIFS($C105:$Z105,$C$5:$Z$5,"&gt;="&amp;(설정!$C$6*12+1),$C$5:$Z$5,"&lt;="&amp;(설정!$C$6*12+6)))</f>
        <v/>
      </c>
      <c r="AH105" s="40">
        <f>IF(OR($A105="",7&gt;설정!$C$7),0,SUMIFS($C105:$Z105,$C$5:$Z$5,"&gt;="&amp;(설정!$C$6*12+1),$C$5:$Z$5,"&lt;="&amp;(설정!$C$6*12+7)))</f>
        <v/>
      </c>
      <c r="AI105" s="40">
        <f>IF(OR($A105="",8&gt;설정!$C$7),0,SUMIFS($C105:$Z105,$C$5:$Z$5,"&gt;="&amp;(설정!$C$6*12+1),$C$5:$Z$5,"&lt;="&amp;(설정!$C$6*12+8)))</f>
        <v/>
      </c>
      <c r="AJ105" s="40">
        <f>IF(OR($A105="",9&gt;설정!$C$7),0,SUMIFS($C105:$Z105,$C$5:$Z$5,"&gt;="&amp;(설정!$C$6*12+1),$C$5:$Z$5,"&lt;="&amp;(설정!$C$6*12+9)))</f>
        <v/>
      </c>
      <c r="AK105" s="40">
        <f>IF(OR($A105="",10&gt;설정!$C$7),0,SUMIFS($C105:$Z105,$C$5:$Z$5,"&gt;="&amp;(설정!$C$6*12+1),$C$5:$Z$5,"&lt;="&amp;(설정!$C$6*12+10)))</f>
        <v/>
      </c>
      <c r="AL105" s="40">
        <f>IF(OR($A105="",11&gt;설정!$C$7),0,SUMIFS($C105:$Z105,$C$5:$Z$5,"&gt;="&amp;(설정!$C$6*12+1),$C$5:$Z$5,"&lt;="&amp;(설정!$C$6*12+11)))</f>
        <v/>
      </c>
      <c r="AM105" s="40">
        <f>IF(OR($A105="",12&gt;설정!$C$7),0,SUMIFS($C105:$Z105,$C$5:$Z$5,"&gt;="&amp;(설정!$C$6*12+1),$C$5:$Z$5,"&lt;="&amp;(설정!$C$6*12+12)))</f>
        <v/>
      </c>
    </row>
    <row r="106">
      <c r="A106" s="26">
        <f>IF(변동분석!$A106="","",변동분석!$E106)</f>
        <v/>
      </c>
      <c r="B106" s="26">
        <f>IF($A106="","",변동분석!$B106&amp;" "&amp;변동분석!$D106)</f>
        <v/>
      </c>
      <c r="C106" s="35">
        <f>IF($A106="","",SUMIFS(전표_원본!$P$5:$P$100000,전표_원본!$O$5:$O$100000,$A106,전표_원본!$M$5:$M$100000,C$5))</f>
        <v/>
      </c>
      <c r="D106" s="35">
        <f>IF($A106="","",SUMIFS(전표_원본!$P$5:$P$100000,전표_원본!$O$5:$O$100000,$A106,전표_원본!$M$5:$M$100000,D$5))</f>
        <v/>
      </c>
      <c r="E106" s="35">
        <f>IF($A106="","",SUMIFS(전표_원본!$P$5:$P$100000,전표_원본!$O$5:$O$100000,$A106,전표_원본!$M$5:$M$100000,E$5))</f>
        <v/>
      </c>
      <c r="F106" s="35">
        <f>IF($A106="","",SUMIFS(전표_원본!$P$5:$P$100000,전표_원본!$O$5:$O$100000,$A106,전표_원본!$M$5:$M$100000,F$5))</f>
        <v/>
      </c>
      <c r="G106" s="35">
        <f>IF($A106="","",SUMIFS(전표_원본!$P$5:$P$100000,전표_원본!$O$5:$O$100000,$A106,전표_원본!$M$5:$M$100000,G$5))</f>
        <v/>
      </c>
      <c r="H106" s="35">
        <f>IF($A106="","",SUMIFS(전표_원본!$P$5:$P$100000,전표_원본!$O$5:$O$100000,$A106,전표_원본!$M$5:$M$100000,H$5))</f>
        <v/>
      </c>
      <c r="I106" s="35">
        <f>IF($A106="","",SUMIFS(전표_원본!$P$5:$P$100000,전표_원본!$O$5:$O$100000,$A106,전표_원본!$M$5:$M$100000,I$5))</f>
        <v/>
      </c>
      <c r="J106" s="35">
        <f>IF($A106="","",SUMIFS(전표_원본!$P$5:$P$100000,전표_원본!$O$5:$O$100000,$A106,전표_원본!$M$5:$M$100000,J$5))</f>
        <v/>
      </c>
      <c r="K106" s="35">
        <f>IF($A106="","",SUMIFS(전표_원본!$P$5:$P$100000,전표_원본!$O$5:$O$100000,$A106,전표_원본!$M$5:$M$100000,K$5))</f>
        <v/>
      </c>
      <c r="L106" s="35">
        <f>IF($A106="","",SUMIFS(전표_원본!$P$5:$P$100000,전표_원본!$O$5:$O$100000,$A106,전표_원본!$M$5:$M$100000,L$5))</f>
        <v/>
      </c>
      <c r="M106" s="35">
        <f>IF($A106="","",SUMIFS(전표_원본!$P$5:$P$100000,전표_원본!$O$5:$O$100000,$A106,전표_원본!$M$5:$M$100000,M$5))</f>
        <v/>
      </c>
      <c r="N106" s="35">
        <f>IF($A106="","",SUMIFS(전표_원본!$P$5:$P$100000,전표_원본!$O$5:$O$100000,$A106,전표_원본!$M$5:$M$100000,N$5))</f>
        <v/>
      </c>
      <c r="O106" s="35">
        <f>IF($A106="","",SUMIFS(전표_원본!$P$5:$P$100000,전표_원본!$O$5:$O$100000,$A106,전표_원본!$M$5:$M$100000,O$5))</f>
        <v/>
      </c>
      <c r="P106" s="35">
        <f>IF($A106="","",SUMIFS(전표_원본!$P$5:$P$100000,전표_원본!$O$5:$O$100000,$A106,전표_원본!$M$5:$M$100000,P$5))</f>
        <v/>
      </c>
      <c r="Q106" s="35">
        <f>IF($A106="","",SUMIFS(전표_원본!$P$5:$P$100000,전표_원본!$O$5:$O$100000,$A106,전표_원본!$M$5:$M$100000,Q$5))</f>
        <v/>
      </c>
      <c r="R106" s="35">
        <f>IF($A106="","",SUMIFS(전표_원본!$P$5:$P$100000,전표_원본!$O$5:$O$100000,$A106,전표_원본!$M$5:$M$100000,R$5))</f>
        <v/>
      </c>
      <c r="S106" s="35">
        <f>IF($A106="","",SUMIFS(전표_원본!$P$5:$P$100000,전표_원본!$O$5:$O$100000,$A106,전표_원본!$M$5:$M$100000,S$5))</f>
        <v/>
      </c>
      <c r="T106" s="35">
        <f>IF($A106="","",SUMIFS(전표_원본!$P$5:$P$100000,전표_원본!$O$5:$O$100000,$A106,전표_원본!$M$5:$M$100000,T$5))</f>
        <v/>
      </c>
      <c r="U106" s="35">
        <f>IF($A106="","",SUMIFS(전표_원본!$P$5:$P$100000,전표_원본!$O$5:$O$100000,$A106,전표_원본!$M$5:$M$100000,U$5))</f>
        <v/>
      </c>
      <c r="V106" s="35">
        <f>IF($A106="","",SUMIFS(전표_원본!$P$5:$P$100000,전표_원본!$O$5:$O$100000,$A106,전표_원본!$M$5:$M$100000,V$5))</f>
        <v/>
      </c>
      <c r="W106" s="35">
        <f>IF($A106="","",SUMIFS(전표_원본!$P$5:$P$100000,전표_원본!$O$5:$O$100000,$A106,전표_원본!$M$5:$M$100000,W$5))</f>
        <v/>
      </c>
      <c r="X106" s="35">
        <f>IF($A106="","",SUMIFS(전표_원본!$P$5:$P$100000,전표_원본!$O$5:$O$100000,$A106,전표_원본!$M$5:$M$100000,X$5))</f>
        <v/>
      </c>
      <c r="Y106" s="35">
        <f>IF($A106="","",SUMIFS(전표_원본!$P$5:$P$100000,전표_원본!$O$5:$O$100000,$A106,전표_원본!$M$5:$M$100000,Y$5))</f>
        <v/>
      </c>
      <c r="Z106" s="35">
        <f>IF($A106="","",SUMIFS(전표_원본!$P$5:$P$100000,전표_원본!$O$5:$O$100000,$A106,전표_원본!$M$5:$M$100000,Z$5))</f>
        <v/>
      </c>
      <c r="AB106" s="40">
        <f>IF(OR($A106="",1&gt;설정!$C$7),0,SUMIFS($C106:$Z106,$C$5:$Z$5,"&gt;="&amp;(설정!$C$6*12+1),$C$5:$Z$5,"&lt;="&amp;(설정!$C$6*12+1)))</f>
        <v/>
      </c>
      <c r="AC106" s="40">
        <f>IF(OR($A106="",2&gt;설정!$C$7),0,SUMIFS($C106:$Z106,$C$5:$Z$5,"&gt;="&amp;(설정!$C$6*12+1),$C$5:$Z$5,"&lt;="&amp;(설정!$C$6*12+2)))</f>
        <v/>
      </c>
      <c r="AD106" s="40">
        <f>IF(OR($A106="",3&gt;설정!$C$7),0,SUMIFS($C106:$Z106,$C$5:$Z$5,"&gt;="&amp;(설정!$C$6*12+1),$C$5:$Z$5,"&lt;="&amp;(설정!$C$6*12+3)))</f>
        <v/>
      </c>
      <c r="AE106" s="40">
        <f>IF(OR($A106="",4&gt;설정!$C$7),0,SUMIFS($C106:$Z106,$C$5:$Z$5,"&gt;="&amp;(설정!$C$6*12+1),$C$5:$Z$5,"&lt;="&amp;(설정!$C$6*12+4)))</f>
        <v/>
      </c>
      <c r="AF106" s="40">
        <f>IF(OR($A106="",5&gt;설정!$C$7),0,SUMIFS($C106:$Z106,$C$5:$Z$5,"&gt;="&amp;(설정!$C$6*12+1),$C$5:$Z$5,"&lt;="&amp;(설정!$C$6*12+5)))</f>
        <v/>
      </c>
      <c r="AG106" s="40">
        <f>IF(OR($A106="",6&gt;설정!$C$7),0,SUMIFS($C106:$Z106,$C$5:$Z$5,"&gt;="&amp;(설정!$C$6*12+1),$C$5:$Z$5,"&lt;="&amp;(설정!$C$6*12+6)))</f>
        <v/>
      </c>
      <c r="AH106" s="40">
        <f>IF(OR($A106="",7&gt;설정!$C$7),0,SUMIFS($C106:$Z106,$C$5:$Z$5,"&gt;="&amp;(설정!$C$6*12+1),$C$5:$Z$5,"&lt;="&amp;(설정!$C$6*12+7)))</f>
        <v/>
      </c>
      <c r="AI106" s="40">
        <f>IF(OR($A106="",8&gt;설정!$C$7),0,SUMIFS($C106:$Z106,$C$5:$Z$5,"&gt;="&amp;(설정!$C$6*12+1),$C$5:$Z$5,"&lt;="&amp;(설정!$C$6*12+8)))</f>
        <v/>
      </c>
      <c r="AJ106" s="40">
        <f>IF(OR($A106="",9&gt;설정!$C$7),0,SUMIFS($C106:$Z106,$C$5:$Z$5,"&gt;="&amp;(설정!$C$6*12+1),$C$5:$Z$5,"&lt;="&amp;(설정!$C$6*12+9)))</f>
        <v/>
      </c>
      <c r="AK106" s="40">
        <f>IF(OR($A106="",10&gt;설정!$C$7),0,SUMIFS($C106:$Z106,$C$5:$Z$5,"&gt;="&amp;(설정!$C$6*12+1),$C$5:$Z$5,"&lt;="&amp;(설정!$C$6*12+10)))</f>
        <v/>
      </c>
      <c r="AL106" s="40">
        <f>IF(OR($A106="",11&gt;설정!$C$7),0,SUMIFS($C106:$Z106,$C$5:$Z$5,"&gt;="&amp;(설정!$C$6*12+1),$C$5:$Z$5,"&lt;="&amp;(설정!$C$6*12+11)))</f>
        <v/>
      </c>
      <c r="AM106" s="40">
        <f>IF(OR($A106="",12&gt;설정!$C$7),0,SUMIFS($C106:$Z106,$C$5:$Z$5,"&gt;="&amp;(설정!$C$6*12+1),$C$5:$Z$5,"&lt;="&amp;(설정!$C$6*12+12)))</f>
        <v/>
      </c>
    </row>
    <row r="107">
      <c r="A107" s="26">
        <f>IF(변동분석!$A107="","",변동분석!$E107)</f>
        <v/>
      </c>
      <c r="B107" s="26">
        <f>IF($A107="","",변동분석!$B107&amp;" "&amp;변동분석!$D107)</f>
        <v/>
      </c>
      <c r="C107" s="35">
        <f>IF($A107="","",SUMIFS(전표_원본!$P$5:$P$100000,전표_원본!$O$5:$O$100000,$A107,전표_원본!$M$5:$M$100000,C$5))</f>
        <v/>
      </c>
      <c r="D107" s="35">
        <f>IF($A107="","",SUMIFS(전표_원본!$P$5:$P$100000,전표_원본!$O$5:$O$100000,$A107,전표_원본!$M$5:$M$100000,D$5))</f>
        <v/>
      </c>
      <c r="E107" s="35">
        <f>IF($A107="","",SUMIFS(전표_원본!$P$5:$P$100000,전표_원본!$O$5:$O$100000,$A107,전표_원본!$M$5:$M$100000,E$5))</f>
        <v/>
      </c>
      <c r="F107" s="35">
        <f>IF($A107="","",SUMIFS(전표_원본!$P$5:$P$100000,전표_원본!$O$5:$O$100000,$A107,전표_원본!$M$5:$M$100000,F$5))</f>
        <v/>
      </c>
      <c r="G107" s="35">
        <f>IF($A107="","",SUMIFS(전표_원본!$P$5:$P$100000,전표_원본!$O$5:$O$100000,$A107,전표_원본!$M$5:$M$100000,G$5))</f>
        <v/>
      </c>
      <c r="H107" s="35">
        <f>IF($A107="","",SUMIFS(전표_원본!$P$5:$P$100000,전표_원본!$O$5:$O$100000,$A107,전표_원본!$M$5:$M$100000,H$5))</f>
        <v/>
      </c>
      <c r="I107" s="35">
        <f>IF($A107="","",SUMIFS(전표_원본!$P$5:$P$100000,전표_원본!$O$5:$O$100000,$A107,전표_원본!$M$5:$M$100000,I$5))</f>
        <v/>
      </c>
      <c r="J107" s="35">
        <f>IF($A107="","",SUMIFS(전표_원본!$P$5:$P$100000,전표_원본!$O$5:$O$100000,$A107,전표_원본!$M$5:$M$100000,J$5))</f>
        <v/>
      </c>
      <c r="K107" s="35">
        <f>IF($A107="","",SUMIFS(전표_원본!$P$5:$P$100000,전표_원본!$O$5:$O$100000,$A107,전표_원본!$M$5:$M$100000,K$5))</f>
        <v/>
      </c>
      <c r="L107" s="35">
        <f>IF($A107="","",SUMIFS(전표_원본!$P$5:$P$100000,전표_원본!$O$5:$O$100000,$A107,전표_원본!$M$5:$M$100000,L$5))</f>
        <v/>
      </c>
      <c r="M107" s="35">
        <f>IF($A107="","",SUMIFS(전표_원본!$P$5:$P$100000,전표_원본!$O$5:$O$100000,$A107,전표_원본!$M$5:$M$100000,M$5))</f>
        <v/>
      </c>
      <c r="N107" s="35">
        <f>IF($A107="","",SUMIFS(전표_원본!$P$5:$P$100000,전표_원본!$O$5:$O$100000,$A107,전표_원본!$M$5:$M$100000,N$5))</f>
        <v/>
      </c>
      <c r="O107" s="35">
        <f>IF($A107="","",SUMIFS(전표_원본!$P$5:$P$100000,전표_원본!$O$5:$O$100000,$A107,전표_원본!$M$5:$M$100000,O$5))</f>
        <v/>
      </c>
      <c r="P107" s="35">
        <f>IF($A107="","",SUMIFS(전표_원본!$P$5:$P$100000,전표_원본!$O$5:$O$100000,$A107,전표_원본!$M$5:$M$100000,P$5))</f>
        <v/>
      </c>
      <c r="Q107" s="35">
        <f>IF($A107="","",SUMIFS(전표_원본!$P$5:$P$100000,전표_원본!$O$5:$O$100000,$A107,전표_원본!$M$5:$M$100000,Q$5))</f>
        <v/>
      </c>
      <c r="R107" s="35">
        <f>IF($A107="","",SUMIFS(전표_원본!$P$5:$P$100000,전표_원본!$O$5:$O$100000,$A107,전표_원본!$M$5:$M$100000,R$5))</f>
        <v/>
      </c>
      <c r="S107" s="35">
        <f>IF($A107="","",SUMIFS(전표_원본!$P$5:$P$100000,전표_원본!$O$5:$O$100000,$A107,전표_원본!$M$5:$M$100000,S$5))</f>
        <v/>
      </c>
      <c r="T107" s="35">
        <f>IF($A107="","",SUMIFS(전표_원본!$P$5:$P$100000,전표_원본!$O$5:$O$100000,$A107,전표_원본!$M$5:$M$100000,T$5))</f>
        <v/>
      </c>
      <c r="U107" s="35">
        <f>IF($A107="","",SUMIFS(전표_원본!$P$5:$P$100000,전표_원본!$O$5:$O$100000,$A107,전표_원본!$M$5:$M$100000,U$5))</f>
        <v/>
      </c>
      <c r="V107" s="35">
        <f>IF($A107="","",SUMIFS(전표_원본!$P$5:$P$100000,전표_원본!$O$5:$O$100000,$A107,전표_원본!$M$5:$M$100000,V$5))</f>
        <v/>
      </c>
      <c r="W107" s="35">
        <f>IF($A107="","",SUMIFS(전표_원본!$P$5:$P$100000,전표_원본!$O$5:$O$100000,$A107,전표_원본!$M$5:$M$100000,W$5))</f>
        <v/>
      </c>
      <c r="X107" s="35">
        <f>IF($A107="","",SUMIFS(전표_원본!$P$5:$P$100000,전표_원본!$O$5:$O$100000,$A107,전표_원본!$M$5:$M$100000,X$5))</f>
        <v/>
      </c>
      <c r="Y107" s="35">
        <f>IF($A107="","",SUMIFS(전표_원본!$P$5:$P$100000,전표_원본!$O$5:$O$100000,$A107,전표_원본!$M$5:$M$100000,Y$5))</f>
        <v/>
      </c>
      <c r="Z107" s="35">
        <f>IF($A107="","",SUMIFS(전표_원본!$P$5:$P$100000,전표_원본!$O$5:$O$100000,$A107,전표_원본!$M$5:$M$100000,Z$5))</f>
        <v/>
      </c>
      <c r="AB107" s="40">
        <f>IF(OR($A107="",1&gt;설정!$C$7),0,SUMIFS($C107:$Z107,$C$5:$Z$5,"&gt;="&amp;(설정!$C$6*12+1),$C$5:$Z$5,"&lt;="&amp;(설정!$C$6*12+1)))</f>
        <v/>
      </c>
      <c r="AC107" s="40">
        <f>IF(OR($A107="",2&gt;설정!$C$7),0,SUMIFS($C107:$Z107,$C$5:$Z$5,"&gt;="&amp;(설정!$C$6*12+1),$C$5:$Z$5,"&lt;="&amp;(설정!$C$6*12+2)))</f>
        <v/>
      </c>
      <c r="AD107" s="40">
        <f>IF(OR($A107="",3&gt;설정!$C$7),0,SUMIFS($C107:$Z107,$C$5:$Z$5,"&gt;="&amp;(설정!$C$6*12+1),$C$5:$Z$5,"&lt;="&amp;(설정!$C$6*12+3)))</f>
        <v/>
      </c>
      <c r="AE107" s="40">
        <f>IF(OR($A107="",4&gt;설정!$C$7),0,SUMIFS($C107:$Z107,$C$5:$Z$5,"&gt;="&amp;(설정!$C$6*12+1),$C$5:$Z$5,"&lt;="&amp;(설정!$C$6*12+4)))</f>
        <v/>
      </c>
      <c r="AF107" s="40">
        <f>IF(OR($A107="",5&gt;설정!$C$7),0,SUMIFS($C107:$Z107,$C$5:$Z$5,"&gt;="&amp;(설정!$C$6*12+1),$C$5:$Z$5,"&lt;="&amp;(설정!$C$6*12+5)))</f>
        <v/>
      </c>
      <c r="AG107" s="40">
        <f>IF(OR($A107="",6&gt;설정!$C$7),0,SUMIFS($C107:$Z107,$C$5:$Z$5,"&gt;="&amp;(설정!$C$6*12+1),$C$5:$Z$5,"&lt;="&amp;(설정!$C$6*12+6)))</f>
        <v/>
      </c>
      <c r="AH107" s="40">
        <f>IF(OR($A107="",7&gt;설정!$C$7),0,SUMIFS($C107:$Z107,$C$5:$Z$5,"&gt;="&amp;(설정!$C$6*12+1),$C$5:$Z$5,"&lt;="&amp;(설정!$C$6*12+7)))</f>
        <v/>
      </c>
      <c r="AI107" s="40">
        <f>IF(OR($A107="",8&gt;설정!$C$7),0,SUMIFS($C107:$Z107,$C$5:$Z$5,"&gt;="&amp;(설정!$C$6*12+1),$C$5:$Z$5,"&lt;="&amp;(설정!$C$6*12+8)))</f>
        <v/>
      </c>
      <c r="AJ107" s="40">
        <f>IF(OR($A107="",9&gt;설정!$C$7),0,SUMIFS($C107:$Z107,$C$5:$Z$5,"&gt;="&amp;(설정!$C$6*12+1),$C$5:$Z$5,"&lt;="&amp;(설정!$C$6*12+9)))</f>
        <v/>
      </c>
      <c r="AK107" s="40">
        <f>IF(OR($A107="",10&gt;설정!$C$7),0,SUMIFS($C107:$Z107,$C$5:$Z$5,"&gt;="&amp;(설정!$C$6*12+1),$C$5:$Z$5,"&lt;="&amp;(설정!$C$6*12+10)))</f>
        <v/>
      </c>
      <c r="AL107" s="40">
        <f>IF(OR($A107="",11&gt;설정!$C$7),0,SUMIFS($C107:$Z107,$C$5:$Z$5,"&gt;="&amp;(설정!$C$6*12+1),$C$5:$Z$5,"&lt;="&amp;(설정!$C$6*12+11)))</f>
        <v/>
      </c>
      <c r="AM107" s="40">
        <f>IF(OR($A107="",12&gt;설정!$C$7),0,SUMIFS($C107:$Z107,$C$5:$Z$5,"&gt;="&amp;(설정!$C$6*12+1),$C$5:$Z$5,"&lt;="&amp;(설정!$C$6*12+12)))</f>
        <v/>
      </c>
    </row>
    <row r="108">
      <c r="A108" s="26">
        <f>IF(변동분석!$A108="","",변동분석!$E108)</f>
        <v/>
      </c>
      <c r="B108" s="26">
        <f>IF($A108="","",변동분석!$B108&amp;" "&amp;변동분석!$D108)</f>
        <v/>
      </c>
      <c r="C108" s="35">
        <f>IF($A108="","",SUMIFS(전표_원본!$P$5:$P$100000,전표_원본!$O$5:$O$100000,$A108,전표_원본!$M$5:$M$100000,C$5))</f>
        <v/>
      </c>
      <c r="D108" s="35">
        <f>IF($A108="","",SUMIFS(전표_원본!$P$5:$P$100000,전표_원본!$O$5:$O$100000,$A108,전표_원본!$M$5:$M$100000,D$5))</f>
        <v/>
      </c>
      <c r="E108" s="35">
        <f>IF($A108="","",SUMIFS(전표_원본!$P$5:$P$100000,전표_원본!$O$5:$O$100000,$A108,전표_원본!$M$5:$M$100000,E$5))</f>
        <v/>
      </c>
      <c r="F108" s="35">
        <f>IF($A108="","",SUMIFS(전표_원본!$P$5:$P$100000,전표_원본!$O$5:$O$100000,$A108,전표_원본!$M$5:$M$100000,F$5))</f>
        <v/>
      </c>
      <c r="G108" s="35">
        <f>IF($A108="","",SUMIFS(전표_원본!$P$5:$P$100000,전표_원본!$O$5:$O$100000,$A108,전표_원본!$M$5:$M$100000,G$5))</f>
        <v/>
      </c>
      <c r="H108" s="35">
        <f>IF($A108="","",SUMIFS(전표_원본!$P$5:$P$100000,전표_원본!$O$5:$O$100000,$A108,전표_원본!$M$5:$M$100000,H$5))</f>
        <v/>
      </c>
      <c r="I108" s="35">
        <f>IF($A108="","",SUMIFS(전표_원본!$P$5:$P$100000,전표_원본!$O$5:$O$100000,$A108,전표_원본!$M$5:$M$100000,I$5))</f>
        <v/>
      </c>
      <c r="J108" s="35">
        <f>IF($A108="","",SUMIFS(전표_원본!$P$5:$P$100000,전표_원본!$O$5:$O$100000,$A108,전표_원본!$M$5:$M$100000,J$5))</f>
        <v/>
      </c>
      <c r="K108" s="35">
        <f>IF($A108="","",SUMIFS(전표_원본!$P$5:$P$100000,전표_원본!$O$5:$O$100000,$A108,전표_원본!$M$5:$M$100000,K$5))</f>
        <v/>
      </c>
      <c r="L108" s="35">
        <f>IF($A108="","",SUMIFS(전표_원본!$P$5:$P$100000,전표_원본!$O$5:$O$100000,$A108,전표_원본!$M$5:$M$100000,L$5))</f>
        <v/>
      </c>
      <c r="M108" s="35">
        <f>IF($A108="","",SUMIFS(전표_원본!$P$5:$P$100000,전표_원본!$O$5:$O$100000,$A108,전표_원본!$M$5:$M$100000,M$5))</f>
        <v/>
      </c>
      <c r="N108" s="35">
        <f>IF($A108="","",SUMIFS(전표_원본!$P$5:$P$100000,전표_원본!$O$5:$O$100000,$A108,전표_원본!$M$5:$M$100000,N$5))</f>
        <v/>
      </c>
      <c r="O108" s="35">
        <f>IF($A108="","",SUMIFS(전표_원본!$P$5:$P$100000,전표_원본!$O$5:$O$100000,$A108,전표_원본!$M$5:$M$100000,O$5))</f>
        <v/>
      </c>
      <c r="P108" s="35">
        <f>IF($A108="","",SUMIFS(전표_원본!$P$5:$P$100000,전표_원본!$O$5:$O$100000,$A108,전표_원본!$M$5:$M$100000,P$5))</f>
        <v/>
      </c>
      <c r="Q108" s="35">
        <f>IF($A108="","",SUMIFS(전표_원본!$P$5:$P$100000,전표_원본!$O$5:$O$100000,$A108,전표_원본!$M$5:$M$100000,Q$5))</f>
        <v/>
      </c>
      <c r="R108" s="35">
        <f>IF($A108="","",SUMIFS(전표_원본!$P$5:$P$100000,전표_원본!$O$5:$O$100000,$A108,전표_원본!$M$5:$M$100000,R$5))</f>
        <v/>
      </c>
      <c r="S108" s="35">
        <f>IF($A108="","",SUMIFS(전표_원본!$P$5:$P$100000,전표_원본!$O$5:$O$100000,$A108,전표_원본!$M$5:$M$100000,S$5))</f>
        <v/>
      </c>
      <c r="T108" s="35">
        <f>IF($A108="","",SUMIFS(전표_원본!$P$5:$P$100000,전표_원본!$O$5:$O$100000,$A108,전표_원본!$M$5:$M$100000,T$5))</f>
        <v/>
      </c>
      <c r="U108" s="35">
        <f>IF($A108="","",SUMIFS(전표_원본!$P$5:$P$100000,전표_원본!$O$5:$O$100000,$A108,전표_원본!$M$5:$M$100000,U$5))</f>
        <v/>
      </c>
      <c r="V108" s="35">
        <f>IF($A108="","",SUMIFS(전표_원본!$P$5:$P$100000,전표_원본!$O$5:$O$100000,$A108,전표_원본!$M$5:$M$100000,V$5))</f>
        <v/>
      </c>
      <c r="W108" s="35">
        <f>IF($A108="","",SUMIFS(전표_원본!$P$5:$P$100000,전표_원본!$O$5:$O$100000,$A108,전표_원본!$M$5:$M$100000,W$5))</f>
        <v/>
      </c>
      <c r="X108" s="35">
        <f>IF($A108="","",SUMIFS(전표_원본!$P$5:$P$100000,전표_원본!$O$5:$O$100000,$A108,전표_원본!$M$5:$M$100000,X$5))</f>
        <v/>
      </c>
      <c r="Y108" s="35">
        <f>IF($A108="","",SUMIFS(전표_원본!$P$5:$P$100000,전표_원본!$O$5:$O$100000,$A108,전표_원본!$M$5:$M$100000,Y$5))</f>
        <v/>
      </c>
      <c r="Z108" s="35">
        <f>IF($A108="","",SUMIFS(전표_원본!$P$5:$P$100000,전표_원본!$O$5:$O$100000,$A108,전표_원본!$M$5:$M$100000,Z$5))</f>
        <v/>
      </c>
      <c r="AB108" s="40">
        <f>IF(OR($A108="",1&gt;설정!$C$7),0,SUMIFS($C108:$Z108,$C$5:$Z$5,"&gt;="&amp;(설정!$C$6*12+1),$C$5:$Z$5,"&lt;="&amp;(설정!$C$6*12+1)))</f>
        <v/>
      </c>
      <c r="AC108" s="40">
        <f>IF(OR($A108="",2&gt;설정!$C$7),0,SUMIFS($C108:$Z108,$C$5:$Z$5,"&gt;="&amp;(설정!$C$6*12+1),$C$5:$Z$5,"&lt;="&amp;(설정!$C$6*12+2)))</f>
        <v/>
      </c>
      <c r="AD108" s="40">
        <f>IF(OR($A108="",3&gt;설정!$C$7),0,SUMIFS($C108:$Z108,$C$5:$Z$5,"&gt;="&amp;(설정!$C$6*12+1),$C$5:$Z$5,"&lt;="&amp;(설정!$C$6*12+3)))</f>
        <v/>
      </c>
      <c r="AE108" s="40">
        <f>IF(OR($A108="",4&gt;설정!$C$7),0,SUMIFS($C108:$Z108,$C$5:$Z$5,"&gt;="&amp;(설정!$C$6*12+1),$C$5:$Z$5,"&lt;="&amp;(설정!$C$6*12+4)))</f>
        <v/>
      </c>
      <c r="AF108" s="40">
        <f>IF(OR($A108="",5&gt;설정!$C$7),0,SUMIFS($C108:$Z108,$C$5:$Z$5,"&gt;="&amp;(설정!$C$6*12+1),$C$5:$Z$5,"&lt;="&amp;(설정!$C$6*12+5)))</f>
        <v/>
      </c>
      <c r="AG108" s="40">
        <f>IF(OR($A108="",6&gt;설정!$C$7),0,SUMIFS($C108:$Z108,$C$5:$Z$5,"&gt;="&amp;(설정!$C$6*12+1),$C$5:$Z$5,"&lt;="&amp;(설정!$C$6*12+6)))</f>
        <v/>
      </c>
      <c r="AH108" s="40">
        <f>IF(OR($A108="",7&gt;설정!$C$7),0,SUMIFS($C108:$Z108,$C$5:$Z$5,"&gt;="&amp;(설정!$C$6*12+1),$C$5:$Z$5,"&lt;="&amp;(설정!$C$6*12+7)))</f>
        <v/>
      </c>
      <c r="AI108" s="40">
        <f>IF(OR($A108="",8&gt;설정!$C$7),0,SUMIFS($C108:$Z108,$C$5:$Z$5,"&gt;="&amp;(설정!$C$6*12+1),$C$5:$Z$5,"&lt;="&amp;(설정!$C$6*12+8)))</f>
        <v/>
      </c>
      <c r="AJ108" s="40">
        <f>IF(OR($A108="",9&gt;설정!$C$7),0,SUMIFS($C108:$Z108,$C$5:$Z$5,"&gt;="&amp;(설정!$C$6*12+1),$C$5:$Z$5,"&lt;="&amp;(설정!$C$6*12+9)))</f>
        <v/>
      </c>
      <c r="AK108" s="40">
        <f>IF(OR($A108="",10&gt;설정!$C$7),0,SUMIFS($C108:$Z108,$C$5:$Z$5,"&gt;="&amp;(설정!$C$6*12+1),$C$5:$Z$5,"&lt;="&amp;(설정!$C$6*12+10)))</f>
        <v/>
      </c>
      <c r="AL108" s="40">
        <f>IF(OR($A108="",11&gt;설정!$C$7),0,SUMIFS($C108:$Z108,$C$5:$Z$5,"&gt;="&amp;(설정!$C$6*12+1),$C$5:$Z$5,"&lt;="&amp;(설정!$C$6*12+11)))</f>
        <v/>
      </c>
      <c r="AM108" s="40">
        <f>IF(OR($A108="",12&gt;설정!$C$7),0,SUMIFS($C108:$Z108,$C$5:$Z$5,"&gt;="&amp;(설정!$C$6*12+1),$C$5:$Z$5,"&lt;="&amp;(설정!$C$6*12+12)))</f>
        <v/>
      </c>
    </row>
    <row r="109">
      <c r="A109" s="26">
        <f>IF(변동분석!$A109="","",변동분석!$E109)</f>
        <v/>
      </c>
      <c r="B109" s="26">
        <f>IF($A109="","",변동분석!$B109&amp;" "&amp;변동분석!$D109)</f>
        <v/>
      </c>
      <c r="C109" s="35">
        <f>IF($A109="","",SUMIFS(전표_원본!$P$5:$P$100000,전표_원본!$O$5:$O$100000,$A109,전표_원본!$M$5:$M$100000,C$5))</f>
        <v/>
      </c>
      <c r="D109" s="35">
        <f>IF($A109="","",SUMIFS(전표_원본!$P$5:$P$100000,전표_원본!$O$5:$O$100000,$A109,전표_원본!$M$5:$M$100000,D$5))</f>
        <v/>
      </c>
      <c r="E109" s="35">
        <f>IF($A109="","",SUMIFS(전표_원본!$P$5:$P$100000,전표_원본!$O$5:$O$100000,$A109,전표_원본!$M$5:$M$100000,E$5))</f>
        <v/>
      </c>
      <c r="F109" s="35">
        <f>IF($A109="","",SUMIFS(전표_원본!$P$5:$P$100000,전표_원본!$O$5:$O$100000,$A109,전표_원본!$M$5:$M$100000,F$5))</f>
        <v/>
      </c>
      <c r="G109" s="35">
        <f>IF($A109="","",SUMIFS(전표_원본!$P$5:$P$100000,전표_원본!$O$5:$O$100000,$A109,전표_원본!$M$5:$M$100000,G$5))</f>
        <v/>
      </c>
      <c r="H109" s="35">
        <f>IF($A109="","",SUMIFS(전표_원본!$P$5:$P$100000,전표_원본!$O$5:$O$100000,$A109,전표_원본!$M$5:$M$100000,H$5))</f>
        <v/>
      </c>
      <c r="I109" s="35">
        <f>IF($A109="","",SUMIFS(전표_원본!$P$5:$P$100000,전표_원본!$O$5:$O$100000,$A109,전표_원본!$M$5:$M$100000,I$5))</f>
        <v/>
      </c>
      <c r="J109" s="35">
        <f>IF($A109="","",SUMIFS(전표_원본!$P$5:$P$100000,전표_원본!$O$5:$O$100000,$A109,전표_원본!$M$5:$M$100000,J$5))</f>
        <v/>
      </c>
      <c r="K109" s="35">
        <f>IF($A109="","",SUMIFS(전표_원본!$P$5:$P$100000,전표_원본!$O$5:$O$100000,$A109,전표_원본!$M$5:$M$100000,K$5))</f>
        <v/>
      </c>
      <c r="L109" s="35">
        <f>IF($A109="","",SUMIFS(전표_원본!$P$5:$P$100000,전표_원본!$O$5:$O$100000,$A109,전표_원본!$M$5:$M$100000,L$5))</f>
        <v/>
      </c>
      <c r="M109" s="35">
        <f>IF($A109="","",SUMIFS(전표_원본!$P$5:$P$100000,전표_원본!$O$5:$O$100000,$A109,전표_원본!$M$5:$M$100000,M$5))</f>
        <v/>
      </c>
      <c r="N109" s="35">
        <f>IF($A109="","",SUMIFS(전표_원본!$P$5:$P$100000,전표_원본!$O$5:$O$100000,$A109,전표_원본!$M$5:$M$100000,N$5))</f>
        <v/>
      </c>
      <c r="O109" s="35">
        <f>IF($A109="","",SUMIFS(전표_원본!$P$5:$P$100000,전표_원본!$O$5:$O$100000,$A109,전표_원본!$M$5:$M$100000,O$5))</f>
        <v/>
      </c>
      <c r="P109" s="35">
        <f>IF($A109="","",SUMIFS(전표_원본!$P$5:$P$100000,전표_원본!$O$5:$O$100000,$A109,전표_원본!$M$5:$M$100000,P$5))</f>
        <v/>
      </c>
      <c r="Q109" s="35">
        <f>IF($A109="","",SUMIFS(전표_원본!$P$5:$P$100000,전표_원본!$O$5:$O$100000,$A109,전표_원본!$M$5:$M$100000,Q$5))</f>
        <v/>
      </c>
      <c r="R109" s="35">
        <f>IF($A109="","",SUMIFS(전표_원본!$P$5:$P$100000,전표_원본!$O$5:$O$100000,$A109,전표_원본!$M$5:$M$100000,R$5))</f>
        <v/>
      </c>
      <c r="S109" s="35">
        <f>IF($A109="","",SUMIFS(전표_원본!$P$5:$P$100000,전표_원본!$O$5:$O$100000,$A109,전표_원본!$M$5:$M$100000,S$5))</f>
        <v/>
      </c>
      <c r="T109" s="35">
        <f>IF($A109="","",SUMIFS(전표_원본!$P$5:$P$100000,전표_원본!$O$5:$O$100000,$A109,전표_원본!$M$5:$M$100000,T$5))</f>
        <v/>
      </c>
      <c r="U109" s="35">
        <f>IF($A109="","",SUMIFS(전표_원본!$P$5:$P$100000,전표_원본!$O$5:$O$100000,$A109,전표_원본!$M$5:$M$100000,U$5))</f>
        <v/>
      </c>
      <c r="V109" s="35">
        <f>IF($A109="","",SUMIFS(전표_원본!$P$5:$P$100000,전표_원본!$O$5:$O$100000,$A109,전표_원본!$M$5:$M$100000,V$5))</f>
        <v/>
      </c>
      <c r="W109" s="35">
        <f>IF($A109="","",SUMIFS(전표_원본!$P$5:$P$100000,전표_원본!$O$5:$O$100000,$A109,전표_원본!$M$5:$M$100000,W$5))</f>
        <v/>
      </c>
      <c r="X109" s="35">
        <f>IF($A109="","",SUMIFS(전표_원본!$P$5:$P$100000,전표_원본!$O$5:$O$100000,$A109,전표_원본!$M$5:$M$100000,X$5))</f>
        <v/>
      </c>
      <c r="Y109" s="35">
        <f>IF($A109="","",SUMIFS(전표_원본!$P$5:$P$100000,전표_원본!$O$5:$O$100000,$A109,전표_원본!$M$5:$M$100000,Y$5))</f>
        <v/>
      </c>
      <c r="Z109" s="35">
        <f>IF($A109="","",SUMIFS(전표_원본!$P$5:$P$100000,전표_원본!$O$5:$O$100000,$A109,전표_원본!$M$5:$M$100000,Z$5))</f>
        <v/>
      </c>
      <c r="AB109" s="40">
        <f>IF(OR($A109="",1&gt;설정!$C$7),0,SUMIFS($C109:$Z109,$C$5:$Z$5,"&gt;="&amp;(설정!$C$6*12+1),$C$5:$Z$5,"&lt;="&amp;(설정!$C$6*12+1)))</f>
        <v/>
      </c>
      <c r="AC109" s="40">
        <f>IF(OR($A109="",2&gt;설정!$C$7),0,SUMIFS($C109:$Z109,$C$5:$Z$5,"&gt;="&amp;(설정!$C$6*12+1),$C$5:$Z$5,"&lt;="&amp;(설정!$C$6*12+2)))</f>
        <v/>
      </c>
      <c r="AD109" s="40">
        <f>IF(OR($A109="",3&gt;설정!$C$7),0,SUMIFS($C109:$Z109,$C$5:$Z$5,"&gt;="&amp;(설정!$C$6*12+1),$C$5:$Z$5,"&lt;="&amp;(설정!$C$6*12+3)))</f>
        <v/>
      </c>
      <c r="AE109" s="40">
        <f>IF(OR($A109="",4&gt;설정!$C$7),0,SUMIFS($C109:$Z109,$C$5:$Z$5,"&gt;="&amp;(설정!$C$6*12+1),$C$5:$Z$5,"&lt;="&amp;(설정!$C$6*12+4)))</f>
        <v/>
      </c>
      <c r="AF109" s="40">
        <f>IF(OR($A109="",5&gt;설정!$C$7),0,SUMIFS($C109:$Z109,$C$5:$Z$5,"&gt;="&amp;(설정!$C$6*12+1),$C$5:$Z$5,"&lt;="&amp;(설정!$C$6*12+5)))</f>
        <v/>
      </c>
      <c r="AG109" s="40">
        <f>IF(OR($A109="",6&gt;설정!$C$7),0,SUMIFS($C109:$Z109,$C$5:$Z$5,"&gt;="&amp;(설정!$C$6*12+1),$C$5:$Z$5,"&lt;="&amp;(설정!$C$6*12+6)))</f>
        <v/>
      </c>
      <c r="AH109" s="40">
        <f>IF(OR($A109="",7&gt;설정!$C$7),0,SUMIFS($C109:$Z109,$C$5:$Z$5,"&gt;="&amp;(설정!$C$6*12+1),$C$5:$Z$5,"&lt;="&amp;(설정!$C$6*12+7)))</f>
        <v/>
      </c>
      <c r="AI109" s="40">
        <f>IF(OR($A109="",8&gt;설정!$C$7),0,SUMIFS($C109:$Z109,$C$5:$Z$5,"&gt;="&amp;(설정!$C$6*12+1),$C$5:$Z$5,"&lt;="&amp;(설정!$C$6*12+8)))</f>
        <v/>
      </c>
      <c r="AJ109" s="40">
        <f>IF(OR($A109="",9&gt;설정!$C$7),0,SUMIFS($C109:$Z109,$C$5:$Z$5,"&gt;="&amp;(설정!$C$6*12+1),$C$5:$Z$5,"&lt;="&amp;(설정!$C$6*12+9)))</f>
        <v/>
      </c>
      <c r="AK109" s="40">
        <f>IF(OR($A109="",10&gt;설정!$C$7),0,SUMIFS($C109:$Z109,$C$5:$Z$5,"&gt;="&amp;(설정!$C$6*12+1),$C$5:$Z$5,"&lt;="&amp;(설정!$C$6*12+10)))</f>
        <v/>
      </c>
      <c r="AL109" s="40">
        <f>IF(OR($A109="",11&gt;설정!$C$7),0,SUMIFS($C109:$Z109,$C$5:$Z$5,"&gt;="&amp;(설정!$C$6*12+1),$C$5:$Z$5,"&lt;="&amp;(설정!$C$6*12+11)))</f>
        <v/>
      </c>
      <c r="AM109" s="40">
        <f>IF(OR($A109="",12&gt;설정!$C$7),0,SUMIFS($C109:$Z109,$C$5:$Z$5,"&gt;="&amp;(설정!$C$6*12+1),$C$5:$Z$5,"&lt;="&amp;(설정!$C$6*12+12)))</f>
        <v/>
      </c>
    </row>
    <row r="110">
      <c r="A110" s="26">
        <f>IF(변동분석!$A110="","",변동분석!$E110)</f>
        <v/>
      </c>
      <c r="B110" s="26">
        <f>IF($A110="","",변동분석!$B110&amp;" "&amp;변동분석!$D110)</f>
        <v/>
      </c>
      <c r="C110" s="35">
        <f>IF($A110="","",SUMIFS(전표_원본!$P$5:$P$100000,전표_원본!$O$5:$O$100000,$A110,전표_원본!$M$5:$M$100000,C$5))</f>
        <v/>
      </c>
      <c r="D110" s="35">
        <f>IF($A110="","",SUMIFS(전표_원본!$P$5:$P$100000,전표_원본!$O$5:$O$100000,$A110,전표_원본!$M$5:$M$100000,D$5))</f>
        <v/>
      </c>
      <c r="E110" s="35">
        <f>IF($A110="","",SUMIFS(전표_원본!$P$5:$P$100000,전표_원본!$O$5:$O$100000,$A110,전표_원본!$M$5:$M$100000,E$5))</f>
        <v/>
      </c>
      <c r="F110" s="35">
        <f>IF($A110="","",SUMIFS(전표_원본!$P$5:$P$100000,전표_원본!$O$5:$O$100000,$A110,전표_원본!$M$5:$M$100000,F$5))</f>
        <v/>
      </c>
      <c r="G110" s="35">
        <f>IF($A110="","",SUMIFS(전표_원본!$P$5:$P$100000,전표_원본!$O$5:$O$100000,$A110,전표_원본!$M$5:$M$100000,G$5))</f>
        <v/>
      </c>
      <c r="H110" s="35">
        <f>IF($A110="","",SUMIFS(전표_원본!$P$5:$P$100000,전표_원본!$O$5:$O$100000,$A110,전표_원본!$M$5:$M$100000,H$5))</f>
        <v/>
      </c>
      <c r="I110" s="35">
        <f>IF($A110="","",SUMIFS(전표_원본!$P$5:$P$100000,전표_원본!$O$5:$O$100000,$A110,전표_원본!$M$5:$M$100000,I$5))</f>
        <v/>
      </c>
      <c r="J110" s="35">
        <f>IF($A110="","",SUMIFS(전표_원본!$P$5:$P$100000,전표_원본!$O$5:$O$100000,$A110,전표_원본!$M$5:$M$100000,J$5))</f>
        <v/>
      </c>
      <c r="K110" s="35">
        <f>IF($A110="","",SUMIFS(전표_원본!$P$5:$P$100000,전표_원본!$O$5:$O$100000,$A110,전표_원본!$M$5:$M$100000,K$5))</f>
        <v/>
      </c>
      <c r="L110" s="35">
        <f>IF($A110="","",SUMIFS(전표_원본!$P$5:$P$100000,전표_원본!$O$5:$O$100000,$A110,전표_원본!$M$5:$M$100000,L$5))</f>
        <v/>
      </c>
      <c r="M110" s="35">
        <f>IF($A110="","",SUMIFS(전표_원본!$P$5:$P$100000,전표_원본!$O$5:$O$100000,$A110,전표_원본!$M$5:$M$100000,M$5))</f>
        <v/>
      </c>
      <c r="N110" s="35">
        <f>IF($A110="","",SUMIFS(전표_원본!$P$5:$P$100000,전표_원본!$O$5:$O$100000,$A110,전표_원본!$M$5:$M$100000,N$5))</f>
        <v/>
      </c>
      <c r="O110" s="35">
        <f>IF($A110="","",SUMIFS(전표_원본!$P$5:$P$100000,전표_원본!$O$5:$O$100000,$A110,전표_원본!$M$5:$M$100000,O$5))</f>
        <v/>
      </c>
      <c r="P110" s="35">
        <f>IF($A110="","",SUMIFS(전표_원본!$P$5:$P$100000,전표_원본!$O$5:$O$100000,$A110,전표_원본!$M$5:$M$100000,P$5))</f>
        <v/>
      </c>
      <c r="Q110" s="35">
        <f>IF($A110="","",SUMIFS(전표_원본!$P$5:$P$100000,전표_원본!$O$5:$O$100000,$A110,전표_원본!$M$5:$M$100000,Q$5))</f>
        <v/>
      </c>
      <c r="R110" s="35">
        <f>IF($A110="","",SUMIFS(전표_원본!$P$5:$P$100000,전표_원본!$O$5:$O$100000,$A110,전표_원본!$M$5:$M$100000,R$5))</f>
        <v/>
      </c>
      <c r="S110" s="35">
        <f>IF($A110="","",SUMIFS(전표_원본!$P$5:$P$100000,전표_원본!$O$5:$O$100000,$A110,전표_원본!$M$5:$M$100000,S$5))</f>
        <v/>
      </c>
      <c r="T110" s="35">
        <f>IF($A110="","",SUMIFS(전표_원본!$P$5:$P$100000,전표_원본!$O$5:$O$100000,$A110,전표_원본!$M$5:$M$100000,T$5))</f>
        <v/>
      </c>
      <c r="U110" s="35">
        <f>IF($A110="","",SUMIFS(전표_원본!$P$5:$P$100000,전표_원본!$O$5:$O$100000,$A110,전표_원본!$M$5:$M$100000,U$5))</f>
        <v/>
      </c>
      <c r="V110" s="35">
        <f>IF($A110="","",SUMIFS(전표_원본!$P$5:$P$100000,전표_원본!$O$5:$O$100000,$A110,전표_원본!$M$5:$M$100000,V$5))</f>
        <v/>
      </c>
      <c r="W110" s="35">
        <f>IF($A110="","",SUMIFS(전표_원본!$P$5:$P$100000,전표_원본!$O$5:$O$100000,$A110,전표_원본!$M$5:$M$100000,W$5))</f>
        <v/>
      </c>
      <c r="X110" s="35">
        <f>IF($A110="","",SUMIFS(전표_원본!$P$5:$P$100000,전표_원본!$O$5:$O$100000,$A110,전표_원본!$M$5:$M$100000,X$5))</f>
        <v/>
      </c>
      <c r="Y110" s="35">
        <f>IF($A110="","",SUMIFS(전표_원본!$P$5:$P$100000,전표_원본!$O$5:$O$100000,$A110,전표_원본!$M$5:$M$100000,Y$5))</f>
        <v/>
      </c>
      <c r="Z110" s="35">
        <f>IF($A110="","",SUMIFS(전표_원본!$P$5:$P$100000,전표_원본!$O$5:$O$100000,$A110,전표_원본!$M$5:$M$100000,Z$5))</f>
        <v/>
      </c>
      <c r="AB110" s="40">
        <f>IF(OR($A110="",1&gt;설정!$C$7),0,SUMIFS($C110:$Z110,$C$5:$Z$5,"&gt;="&amp;(설정!$C$6*12+1),$C$5:$Z$5,"&lt;="&amp;(설정!$C$6*12+1)))</f>
        <v/>
      </c>
      <c r="AC110" s="40">
        <f>IF(OR($A110="",2&gt;설정!$C$7),0,SUMIFS($C110:$Z110,$C$5:$Z$5,"&gt;="&amp;(설정!$C$6*12+1),$C$5:$Z$5,"&lt;="&amp;(설정!$C$6*12+2)))</f>
        <v/>
      </c>
      <c r="AD110" s="40">
        <f>IF(OR($A110="",3&gt;설정!$C$7),0,SUMIFS($C110:$Z110,$C$5:$Z$5,"&gt;="&amp;(설정!$C$6*12+1),$C$5:$Z$5,"&lt;="&amp;(설정!$C$6*12+3)))</f>
        <v/>
      </c>
      <c r="AE110" s="40">
        <f>IF(OR($A110="",4&gt;설정!$C$7),0,SUMIFS($C110:$Z110,$C$5:$Z$5,"&gt;="&amp;(설정!$C$6*12+1),$C$5:$Z$5,"&lt;="&amp;(설정!$C$6*12+4)))</f>
        <v/>
      </c>
      <c r="AF110" s="40">
        <f>IF(OR($A110="",5&gt;설정!$C$7),0,SUMIFS($C110:$Z110,$C$5:$Z$5,"&gt;="&amp;(설정!$C$6*12+1),$C$5:$Z$5,"&lt;="&amp;(설정!$C$6*12+5)))</f>
        <v/>
      </c>
      <c r="AG110" s="40">
        <f>IF(OR($A110="",6&gt;설정!$C$7),0,SUMIFS($C110:$Z110,$C$5:$Z$5,"&gt;="&amp;(설정!$C$6*12+1),$C$5:$Z$5,"&lt;="&amp;(설정!$C$6*12+6)))</f>
        <v/>
      </c>
      <c r="AH110" s="40">
        <f>IF(OR($A110="",7&gt;설정!$C$7),0,SUMIFS($C110:$Z110,$C$5:$Z$5,"&gt;="&amp;(설정!$C$6*12+1),$C$5:$Z$5,"&lt;="&amp;(설정!$C$6*12+7)))</f>
        <v/>
      </c>
      <c r="AI110" s="40">
        <f>IF(OR($A110="",8&gt;설정!$C$7),0,SUMIFS($C110:$Z110,$C$5:$Z$5,"&gt;="&amp;(설정!$C$6*12+1),$C$5:$Z$5,"&lt;="&amp;(설정!$C$6*12+8)))</f>
        <v/>
      </c>
      <c r="AJ110" s="40">
        <f>IF(OR($A110="",9&gt;설정!$C$7),0,SUMIFS($C110:$Z110,$C$5:$Z$5,"&gt;="&amp;(설정!$C$6*12+1),$C$5:$Z$5,"&lt;="&amp;(설정!$C$6*12+9)))</f>
        <v/>
      </c>
      <c r="AK110" s="40">
        <f>IF(OR($A110="",10&gt;설정!$C$7),0,SUMIFS($C110:$Z110,$C$5:$Z$5,"&gt;="&amp;(설정!$C$6*12+1),$C$5:$Z$5,"&lt;="&amp;(설정!$C$6*12+10)))</f>
        <v/>
      </c>
      <c r="AL110" s="40">
        <f>IF(OR($A110="",11&gt;설정!$C$7),0,SUMIFS($C110:$Z110,$C$5:$Z$5,"&gt;="&amp;(설정!$C$6*12+1),$C$5:$Z$5,"&lt;="&amp;(설정!$C$6*12+11)))</f>
        <v/>
      </c>
      <c r="AM110" s="40">
        <f>IF(OR($A110="",12&gt;설정!$C$7),0,SUMIFS($C110:$Z110,$C$5:$Z$5,"&gt;="&amp;(설정!$C$6*12+1),$C$5:$Z$5,"&lt;="&amp;(설정!$C$6*12+12)))</f>
        <v/>
      </c>
    </row>
    <row r="111">
      <c r="A111" s="26">
        <f>IF(변동분석!$A111="","",변동분석!$E111)</f>
        <v/>
      </c>
      <c r="B111" s="26">
        <f>IF($A111="","",변동분석!$B111&amp;" "&amp;변동분석!$D111)</f>
        <v/>
      </c>
      <c r="C111" s="35">
        <f>IF($A111="","",SUMIFS(전표_원본!$P$5:$P$100000,전표_원본!$O$5:$O$100000,$A111,전표_원본!$M$5:$M$100000,C$5))</f>
        <v/>
      </c>
      <c r="D111" s="35">
        <f>IF($A111="","",SUMIFS(전표_원본!$P$5:$P$100000,전표_원본!$O$5:$O$100000,$A111,전표_원본!$M$5:$M$100000,D$5))</f>
        <v/>
      </c>
      <c r="E111" s="35">
        <f>IF($A111="","",SUMIFS(전표_원본!$P$5:$P$100000,전표_원본!$O$5:$O$100000,$A111,전표_원본!$M$5:$M$100000,E$5))</f>
        <v/>
      </c>
      <c r="F111" s="35">
        <f>IF($A111="","",SUMIFS(전표_원본!$P$5:$P$100000,전표_원본!$O$5:$O$100000,$A111,전표_원본!$M$5:$M$100000,F$5))</f>
        <v/>
      </c>
      <c r="G111" s="35">
        <f>IF($A111="","",SUMIFS(전표_원본!$P$5:$P$100000,전표_원본!$O$5:$O$100000,$A111,전표_원본!$M$5:$M$100000,G$5))</f>
        <v/>
      </c>
      <c r="H111" s="35">
        <f>IF($A111="","",SUMIFS(전표_원본!$P$5:$P$100000,전표_원본!$O$5:$O$100000,$A111,전표_원본!$M$5:$M$100000,H$5))</f>
        <v/>
      </c>
      <c r="I111" s="35">
        <f>IF($A111="","",SUMIFS(전표_원본!$P$5:$P$100000,전표_원본!$O$5:$O$100000,$A111,전표_원본!$M$5:$M$100000,I$5))</f>
        <v/>
      </c>
      <c r="J111" s="35">
        <f>IF($A111="","",SUMIFS(전표_원본!$P$5:$P$100000,전표_원본!$O$5:$O$100000,$A111,전표_원본!$M$5:$M$100000,J$5))</f>
        <v/>
      </c>
      <c r="K111" s="35">
        <f>IF($A111="","",SUMIFS(전표_원본!$P$5:$P$100000,전표_원본!$O$5:$O$100000,$A111,전표_원본!$M$5:$M$100000,K$5))</f>
        <v/>
      </c>
      <c r="L111" s="35">
        <f>IF($A111="","",SUMIFS(전표_원본!$P$5:$P$100000,전표_원본!$O$5:$O$100000,$A111,전표_원본!$M$5:$M$100000,L$5))</f>
        <v/>
      </c>
      <c r="M111" s="35">
        <f>IF($A111="","",SUMIFS(전표_원본!$P$5:$P$100000,전표_원본!$O$5:$O$100000,$A111,전표_원본!$M$5:$M$100000,M$5))</f>
        <v/>
      </c>
      <c r="N111" s="35">
        <f>IF($A111="","",SUMIFS(전표_원본!$P$5:$P$100000,전표_원본!$O$5:$O$100000,$A111,전표_원본!$M$5:$M$100000,N$5))</f>
        <v/>
      </c>
      <c r="O111" s="35">
        <f>IF($A111="","",SUMIFS(전표_원본!$P$5:$P$100000,전표_원본!$O$5:$O$100000,$A111,전표_원본!$M$5:$M$100000,O$5))</f>
        <v/>
      </c>
      <c r="P111" s="35">
        <f>IF($A111="","",SUMIFS(전표_원본!$P$5:$P$100000,전표_원본!$O$5:$O$100000,$A111,전표_원본!$M$5:$M$100000,P$5))</f>
        <v/>
      </c>
      <c r="Q111" s="35">
        <f>IF($A111="","",SUMIFS(전표_원본!$P$5:$P$100000,전표_원본!$O$5:$O$100000,$A111,전표_원본!$M$5:$M$100000,Q$5))</f>
        <v/>
      </c>
      <c r="R111" s="35">
        <f>IF($A111="","",SUMIFS(전표_원본!$P$5:$P$100000,전표_원본!$O$5:$O$100000,$A111,전표_원본!$M$5:$M$100000,R$5))</f>
        <v/>
      </c>
      <c r="S111" s="35">
        <f>IF($A111="","",SUMIFS(전표_원본!$P$5:$P$100000,전표_원본!$O$5:$O$100000,$A111,전표_원본!$M$5:$M$100000,S$5))</f>
        <v/>
      </c>
      <c r="T111" s="35">
        <f>IF($A111="","",SUMIFS(전표_원본!$P$5:$P$100000,전표_원본!$O$5:$O$100000,$A111,전표_원본!$M$5:$M$100000,T$5))</f>
        <v/>
      </c>
      <c r="U111" s="35">
        <f>IF($A111="","",SUMIFS(전표_원본!$P$5:$P$100000,전표_원본!$O$5:$O$100000,$A111,전표_원본!$M$5:$M$100000,U$5))</f>
        <v/>
      </c>
      <c r="V111" s="35">
        <f>IF($A111="","",SUMIFS(전표_원본!$P$5:$P$100000,전표_원본!$O$5:$O$100000,$A111,전표_원본!$M$5:$M$100000,V$5))</f>
        <v/>
      </c>
      <c r="W111" s="35">
        <f>IF($A111="","",SUMIFS(전표_원본!$P$5:$P$100000,전표_원본!$O$5:$O$100000,$A111,전표_원본!$M$5:$M$100000,W$5))</f>
        <v/>
      </c>
      <c r="X111" s="35">
        <f>IF($A111="","",SUMIFS(전표_원본!$P$5:$P$100000,전표_원본!$O$5:$O$100000,$A111,전표_원본!$M$5:$M$100000,X$5))</f>
        <v/>
      </c>
      <c r="Y111" s="35">
        <f>IF($A111="","",SUMIFS(전표_원본!$P$5:$P$100000,전표_원본!$O$5:$O$100000,$A111,전표_원본!$M$5:$M$100000,Y$5))</f>
        <v/>
      </c>
      <c r="Z111" s="35">
        <f>IF($A111="","",SUMIFS(전표_원본!$P$5:$P$100000,전표_원본!$O$5:$O$100000,$A111,전표_원본!$M$5:$M$100000,Z$5))</f>
        <v/>
      </c>
      <c r="AB111" s="40">
        <f>IF(OR($A111="",1&gt;설정!$C$7),0,SUMIFS($C111:$Z111,$C$5:$Z$5,"&gt;="&amp;(설정!$C$6*12+1),$C$5:$Z$5,"&lt;="&amp;(설정!$C$6*12+1)))</f>
        <v/>
      </c>
      <c r="AC111" s="40">
        <f>IF(OR($A111="",2&gt;설정!$C$7),0,SUMIFS($C111:$Z111,$C$5:$Z$5,"&gt;="&amp;(설정!$C$6*12+1),$C$5:$Z$5,"&lt;="&amp;(설정!$C$6*12+2)))</f>
        <v/>
      </c>
      <c r="AD111" s="40">
        <f>IF(OR($A111="",3&gt;설정!$C$7),0,SUMIFS($C111:$Z111,$C$5:$Z$5,"&gt;="&amp;(설정!$C$6*12+1),$C$5:$Z$5,"&lt;="&amp;(설정!$C$6*12+3)))</f>
        <v/>
      </c>
      <c r="AE111" s="40">
        <f>IF(OR($A111="",4&gt;설정!$C$7),0,SUMIFS($C111:$Z111,$C$5:$Z$5,"&gt;="&amp;(설정!$C$6*12+1),$C$5:$Z$5,"&lt;="&amp;(설정!$C$6*12+4)))</f>
        <v/>
      </c>
      <c r="AF111" s="40">
        <f>IF(OR($A111="",5&gt;설정!$C$7),0,SUMIFS($C111:$Z111,$C$5:$Z$5,"&gt;="&amp;(설정!$C$6*12+1),$C$5:$Z$5,"&lt;="&amp;(설정!$C$6*12+5)))</f>
        <v/>
      </c>
      <c r="AG111" s="40">
        <f>IF(OR($A111="",6&gt;설정!$C$7),0,SUMIFS($C111:$Z111,$C$5:$Z$5,"&gt;="&amp;(설정!$C$6*12+1),$C$5:$Z$5,"&lt;="&amp;(설정!$C$6*12+6)))</f>
        <v/>
      </c>
      <c r="AH111" s="40">
        <f>IF(OR($A111="",7&gt;설정!$C$7),0,SUMIFS($C111:$Z111,$C$5:$Z$5,"&gt;="&amp;(설정!$C$6*12+1),$C$5:$Z$5,"&lt;="&amp;(설정!$C$6*12+7)))</f>
        <v/>
      </c>
      <c r="AI111" s="40">
        <f>IF(OR($A111="",8&gt;설정!$C$7),0,SUMIFS($C111:$Z111,$C$5:$Z$5,"&gt;="&amp;(설정!$C$6*12+1),$C$5:$Z$5,"&lt;="&amp;(설정!$C$6*12+8)))</f>
        <v/>
      </c>
      <c r="AJ111" s="40">
        <f>IF(OR($A111="",9&gt;설정!$C$7),0,SUMIFS($C111:$Z111,$C$5:$Z$5,"&gt;="&amp;(설정!$C$6*12+1),$C$5:$Z$5,"&lt;="&amp;(설정!$C$6*12+9)))</f>
        <v/>
      </c>
      <c r="AK111" s="40">
        <f>IF(OR($A111="",10&gt;설정!$C$7),0,SUMIFS($C111:$Z111,$C$5:$Z$5,"&gt;="&amp;(설정!$C$6*12+1),$C$5:$Z$5,"&lt;="&amp;(설정!$C$6*12+10)))</f>
        <v/>
      </c>
      <c r="AL111" s="40">
        <f>IF(OR($A111="",11&gt;설정!$C$7),0,SUMIFS($C111:$Z111,$C$5:$Z$5,"&gt;="&amp;(설정!$C$6*12+1),$C$5:$Z$5,"&lt;="&amp;(설정!$C$6*12+11)))</f>
        <v/>
      </c>
      <c r="AM111" s="40">
        <f>IF(OR($A111="",12&gt;설정!$C$7),0,SUMIFS($C111:$Z111,$C$5:$Z$5,"&gt;="&amp;(설정!$C$6*12+1),$C$5:$Z$5,"&lt;="&amp;(설정!$C$6*12+12)))</f>
        <v/>
      </c>
    </row>
    <row r="112">
      <c r="A112" s="26">
        <f>IF(변동분석!$A112="","",변동분석!$E112)</f>
        <v/>
      </c>
      <c r="B112" s="26">
        <f>IF($A112="","",변동분석!$B112&amp;" "&amp;변동분석!$D112)</f>
        <v/>
      </c>
      <c r="C112" s="35">
        <f>IF($A112="","",SUMIFS(전표_원본!$P$5:$P$100000,전표_원본!$O$5:$O$100000,$A112,전표_원본!$M$5:$M$100000,C$5))</f>
        <v/>
      </c>
      <c r="D112" s="35">
        <f>IF($A112="","",SUMIFS(전표_원본!$P$5:$P$100000,전표_원본!$O$5:$O$100000,$A112,전표_원본!$M$5:$M$100000,D$5))</f>
        <v/>
      </c>
      <c r="E112" s="35">
        <f>IF($A112="","",SUMIFS(전표_원본!$P$5:$P$100000,전표_원본!$O$5:$O$100000,$A112,전표_원본!$M$5:$M$100000,E$5))</f>
        <v/>
      </c>
      <c r="F112" s="35">
        <f>IF($A112="","",SUMIFS(전표_원본!$P$5:$P$100000,전표_원본!$O$5:$O$100000,$A112,전표_원본!$M$5:$M$100000,F$5))</f>
        <v/>
      </c>
      <c r="G112" s="35">
        <f>IF($A112="","",SUMIFS(전표_원본!$P$5:$P$100000,전표_원본!$O$5:$O$100000,$A112,전표_원본!$M$5:$M$100000,G$5))</f>
        <v/>
      </c>
      <c r="H112" s="35">
        <f>IF($A112="","",SUMIFS(전표_원본!$P$5:$P$100000,전표_원본!$O$5:$O$100000,$A112,전표_원본!$M$5:$M$100000,H$5))</f>
        <v/>
      </c>
      <c r="I112" s="35">
        <f>IF($A112="","",SUMIFS(전표_원본!$P$5:$P$100000,전표_원본!$O$5:$O$100000,$A112,전표_원본!$M$5:$M$100000,I$5))</f>
        <v/>
      </c>
      <c r="J112" s="35">
        <f>IF($A112="","",SUMIFS(전표_원본!$P$5:$P$100000,전표_원본!$O$5:$O$100000,$A112,전표_원본!$M$5:$M$100000,J$5))</f>
        <v/>
      </c>
      <c r="K112" s="35">
        <f>IF($A112="","",SUMIFS(전표_원본!$P$5:$P$100000,전표_원본!$O$5:$O$100000,$A112,전표_원본!$M$5:$M$100000,K$5))</f>
        <v/>
      </c>
      <c r="L112" s="35">
        <f>IF($A112="","",SUMIFS(전표_원본!$P$5:$P$100000,전표_원본!$O$5:$O$100000,$A112,전표_원본!$M$5:$M$100000,L$5))</f>
        <v/>
      </c>
      <c r="M112" s="35">
        <f>IF($A112="","",SUMIFS(전표_원본!$P$5:$P$100000,전표_원본!$O$5:$O$100000,$A112,전표_원본!$M$5:$M$100000,M$5))</f>
        <v/>
      </c>
      <c r="N112" s="35">
        <f>IF($A112="","",SUMIFS(전표_원본!$P$5:$P$100000,전표_원본!$O$5:$O$100000,$A112,전표_원본!$M$5:$M$100000,N$5))</f>
        <v/>
      </c>
      <c r="O112" s="35">
        <f>IF($A112="","",SUMIFS(전표_원본!$P$5:$P$100000,전표_원본!$O$5:$O$100000,$A112,전표_원본!$M$5:$M$100000,O$5))</f>
        <v/>
      </c>
      <c r="P112" s="35">
        <f>IF($A112="","",SUMIFS(전표_원본!$P$5:$P$100000,전표_원본!$O$5:$O$100000,$A112,전표_원본!$M$5:$M$100000,P$5))</f>
        <v/>
      </c>
      <c r="Q112" s="35">
        <f>IF($A112="","",SUMIFS(전표_원본!$P$5:$P$100000,전표_원본!$O$5:$O$100000,$A112,전표_원본!$M$5:$M$100000,Q$5))</f>
        <v/>
      </c>
      <c r="R112" s="35">
        <f>IF($A112="","",SUMIFS(전표_원본!$P$5:$P$100000,전표_원본!$O$5:$O$100000,$A112,전표_원본!$M$5:$M$100000,R$5))</f>
        <v/>
      </c>
      <c r="S112" s="35">
        <f>IF($A112="","",SUMIFS(전표_원본!$P$5:$P$100000,전표_원본!$O$5:$O$100000,$A112,전표_원본!$M$5:$M$100000,S$5))</f>
        <v/>
      </c>
      <c r="T112" s="35">
        <f>IF($A112="","",SUMIFS(전표_원본!$P$5:$P$100000,전표_원본!$O$5:$O$100000,$A112,전표_원본!$M$5:$M$100000,T$5))</f>
        <v/>
      </c>
      <c r="U112" s="35">
        <f>IF($A112="","",SUMIFS(전표_원본!$P$5:$P$100000,전표_원본!$O$5:$O$100000,$A112,전표_원본!$M$5:$M$100000,U$5))</f>
        <v/>
      </c>
      <c r="V112" s="35">
        <f>IF($A112="","",SUMIFS(전표_원본!$P$5:$P$100000,전표_원본!$O$5:$O$100000,$A112,전표_원본!$M$5:$M$100000,V$5))</f>
        <v/>
      </c>
      <c r="W112" s="35">
        <f>IF($A112="","",SUMIFS(전표_원본!$P$5:$P$100000,전표_원본!$O$5:$O$100000,$A112,전표_원본!$M$5:$M$100000,W$5))</f>
        <v/>
      </c>
      <c r="X112" s="35">
        <f>IF($A112="","",SUMIFS(전표_원본!$P$5:$P$100000,전표_원본!$O$5:$O$100000,$A112,전표_원본!$M$5:$M$100000,X$5))</f>
        <v/>
      </c>
      <c r="Y112" s="35">
        <f>IF($A112="","",SUMIFS(전표_원본!$P$5:$P$100000,전표_원본!$O$5:$O$100000,$A112,전표_원본!$M$5:$M$100000,Y$5))</f>
        <v/>
      </c>
      <c r="Z112" s="35">
        <f>IF($A112="","",SUMIFS(전표_원본!$P$5:$P$100000,전표_원본!$O$5:$O$100000,$A112,전표_원본!$M$5:$M$100000,Z$5))</f>
        <v/>
      </c>
      <c r="AB112" s="40">
        <f>IF(OR($A112="",1&gt;설정!$C$7),0,SUMIFS($C112:$Z112,$C$5:$Z$5,"&gt;="&amp;(설정!$C$6*12+1),$C$5:$Z$5,"&lt;="&amp;(설정!$C$6*12+1)))</f>
        <v/>
      </c>
      <c r="AC112" s="40">
        <f>IF(OR($A112="",2&gt;설정!$C$7),0,SUMIFS($C112:$Z112,$C$5:$Z$5,"&gt;="&amp;(설정!$C$6*12+1),$C$5:$Z$5,"&lt;="&amp;(설정!$C$6*12+2)))</f>
        <v/>
      </c>
      <c r="AD112" s="40">
        <f>IF(OR($A112="",3&gt;설정!$C$7),0,SUMIFS($C112:$Z112,$C$5:$Z$5,"&gt;="&amp;(설정!$C$6*12+1),$C$5:$Z$5,"&lt;="&amp;(설정!$C$6*12+3)))</f>
        <v/>
      </c>
      <c r="AE112" s="40">
        <f>IF(OR($A112="",4&gt;설정!$C$7),0,SUMIFS($C112:$Z112,$C$5:$Z$5,"&gt;="&amp;(설정!$C$6*12+1),$C$5:$Z$5,"&lt;="&amp;(설정!$C$6*12+4)))</f>
        <v/>
      </c>
      <c r="AF112" s="40">
        <f>IF(OR($A112="",5&gt;설정!$C$7),0,SUMIFS($C112:$Z112,$C$5:$Z$5,"&gt;="&amp;(설정!$C$6*12+1),$C$5:$Z$5,"&lt;="&amp;(설정!$C$6*12+5)))</f>
        <v/>
      </c>
      <c r="AG112" s="40">
        <f>IF(OR($A112="",6&gt;설정!$C$7),0,SUMIFS($C112:$Z112,$C$5:$Z$5,"&gt;="&amp;(설정!$C$6*12+1),$C$5:$Z$5,"&lt;="&amp;(설정!$C$6*12+6)))</f>
        <v/>
      </c>
      <c r="AH112" s="40">
        <f>IF(OR($A112="",7&gt;설정!$C$7),0,SUMIFS($C112:$Z112,$C$5:$Z$5,"&gt;="&amp;(설정!$C$6*12+1),$C$5:$Z$5,"&lt;="&amp;(설정!$C$6*12+7)))</f>
        <v/>
      </c>
      <c r="AI112" s="40">
        <f>IF(OR($A112="",8&gt;설정!$C$7),0,SUMIFS($C112:$Z112,$C$5:$Z$5,"&gt;="&amp;(설정!$C$6*12+1),$C$5:$Z$5,"&lt;="&amp;(설정!$C$6*12+8)))</f>
        <v/>
      </c>
      <c r="AJ112" s="40">
        <f>IF(OR($A112="",9&gt;설정!$C$7),0,SUMIFS($C112:$Z112,$C$5:$Z$5,"&gt;="&amp;(설정!$C$6*12+1),$C$5:$Z$5,"&lt;="&amp;(설정!$C$6*12+9)))</f>
        <v/>
      </c>
      <c r="AK112" s="40">
        <f>IF(OR($A112="",10&gt;설정!$C$7),0,SUMIFS($C112:$Z112,$C$5:$Z$5,"&gt;="&amp;(설정!$C$6*12+1),$C$5:$Z$5,"&lt;="&amp;(설정!$C$6*12+10)))</f>
        <v/>
      </c>
      <c r="AL112" s="40">
        <f>IF(OR($A112="",11&gt;설정!$C$7),0,SUMIFS($C112:$Z112,$C$5:$Z$5,"&gt;="&amp;(설정!$C$6*12+1),$C$5:$Z$5,"&lt;="&amp;(설정!$C$6*12+11)))</f>
        <v/>
      </c>
      <c r="AM112" s="40">
        <f>IF(OR($A112="",12&gt;설정!$C$7),0,SUMIFS($C112:$Z112,$C$5:$Z$5,"&gt;="&amp;(설정!$C$6*12+1),$C$5:$Z$5,"&lt;="&amp;(설정!$C$6*12+12)))</f>
        <v/>
      </c>
    </row>
    <row r="113">
      <c r="A113" s="26">
        <f>IF(변동분석!$A113="","",변동분석!$E113)</f>
        <v/>
      </c>
      <c r="B113" s="26">
        <f>IF($A113="","",변동분석!$B113&amp;" "&amp;변동분석!$D113)</f>
        <v/>
      </c>
      <c r="C113" s="35">
        <f>IF($A113="","",SUMIFS(전표_원본!$P$5:$P$100000,전표_원본!$O$5:$O$100000,$A113,전표_원본!$M$5:$M$100000,C$5))</f>
        <v/>
      </c>
      <c r="D113" s="35">
        <f>IF($A113="","",SUMIFS(전표_원본!$P$5:$P$100000,전표_원본!$O$5:$O$100000,$A113,전표_원본!$M$5:$M$100000,D$5))</f>
        <v/>
      </c>
      <c r="E113" s="35">
        <f>IF($A113="","",SUMIFS(전표_원본!$P$5:$P$100000,전표_원본!$O$5:$O$100000,$A113,전표_원본!$M$5:$M$100000,E$5))</f>
        <v/>
      </c>
      <c r="F113" s="35">
        <f>IF($A113="","",SUMIFS(전표_원본!$P$5:$P$100000,전표_원본!$O$5:$O$100000,$A113,전표_원본!$M$5:$M$100000,F$5))</f>
        <v/>
      </c>
      <c r="G113" s="35">
        <f>IF($A113="","",SUMIFS(전표_원본!$P$5:$P$100000,전표_원본!$O$5:$O$100000,$A113,전표_원본!$M$5:$M$100000,G$5))</f>
        <v/>
      </c>
      <c r="H113" s="35">
        <f>IF($A113="","",SUMIFS(전표_원본!$P$5:$P$100000,전표_원본!$O$5:$O$100000,$A113,전표_원본!$M$5:$M$100000,H$5))</f>
        <v/>
      </c>
      <c r="I113" s="35">
        <f>IF($A113="","",SUMIFS(전표_원본!$P$5:$P$100000,전표_원본!$O$5:$O$100000,$A113,전표_원본!$M$5:$M$100000,I$5))</f>
        <v/>
      </c>
      <c r="J113" s="35">
        <f>IF($A113="","",SUMIFS(전표_원본!$P$5:$P$100000,전표_원본!$O$5:$O$100000,$A113,전표_원본!$M$5:$M$100000,J$5))</f>
        <v/>
      </c>
      <c r="K113" s="35">
        <f>IF($A113="","",SUMIFS(전표_원본!$P$5:$P$100000,전표_원본!$O$5:$O$100000,$A113,전표_원본!$M$5:$M$100000,K$5))</f>
        <v/>
      </c>
      <c r="L113" s="35">
        <f>IF($A113="","",SUMIFS(전표_원본!$P$5:$P$100000,전표_원본!$O$5:$O$100000,$A113,전표_원본!$M$5:$M$100000,L$5))</f>
        <v/>
      </c>
      <c r="M113" s="35">
        <f>IF($A113="","",SUMIFS(전표_원본!$P$5:$P$100000,전표_원본!$O$5:$O$100000,$A113,전표_원본!$M$5:$M$100000,M$5))</f>
        <v/>
      </c>
      <c r="N113" s="35">
        <f>IF($A113="","",SUMIFS(전표_원본!$P$5:$P$100000,전표_원본!$O$5:$O$100000,$A113,전표_원본!$M$5:$M$100000,N$5))</f>
        <v/>
      </c>
      <c r="O113" s="35">
        <f>IF($A113="","",SUMIFS(전표_원본!$P$5:$P$100000,전표_원본!$O$5:$O$100000,$A113,전표_원본!$M$5:$M$100000,O$5))</f>
        <v/>
      </c>
      <c r="P113" s="35">
        <f>IF($A113="","",SUMIFS(전표_원본!$P$5:$P$100000,전표_원본!$O$5:$O$100000,$A113,전표_원본!$M$5:$M$100000,P$5))</f>
        <v/>
      </c>
      <c r="Q113" s="35">
        <f>IF($A113="","",SUMIFS(전표_원본!$P$5:$P$100000,전표_원본!$O$5:$O$100000,$A113,전표_원본!$M$5:$M$100000,Q$5))</f>
        <v/>
      </c>
      <c r="R113" s="35">
        <f>IF($A113="","",SUMIFS(전표_원본!$P$5:$P$100000,전표_원본!$O$5:$O$100000,$A113,전표_원본!$M$5:$M$100000,R$5))</f>
        <v/>
      </c>
      <c r="S113" s="35">
        <f>IF($A113="","",SUMIFS(전표_원본!$P$5:$P$100000,전표_원본!$O$5:$O$100000,$A113,전표_원본!$M$5:$M$100000,S$5))</f>
        <v/>
      </c>
      <c r="T113" s="35">
        <f>IF($A113="","",SUMIFS(전표_원본!$P$5:$P$100000,전표_원본!$O$5:$O$100000,$A113,전표_원본!$M$5:$M$100000,T$5))</f>
        <v/>
      </c>
      <c r="U113" s="35">
        <f>IF($A113="","",SUMIFS(전표_원본!$P$5:$P$100000,전표_원본!$O$5:$O$100000,$A113,전표_원본!$M$5:$M$100000,U$5))</f>
        <v/>
      </c>
      <c r="V113" s="35">
        <f>IF($A113="","",SUMIFS(전표_원본!$P$5:$P$100000,전표_원본!$O$5:$O$100000,$A113,전표_원본!$M$5:$M$100000,V$5))</f>
        <v/>
      </c>
      <c r="W113" s="35">
        <f>IF($A113="","",SUMIFS(전표_원본!$P$5:$P$100000,전표_원본!$O$5:$O$100000,$A113,전표_원본!$M$5:$M$100000,W$5))</f>
        <v/>
      </c>
      <c r="X113" s="35">
        <f>IF($A113="","",SUMIFS(전표_원본!$P$5:$P$100000,전표_원본!$O$5:$O$100000,$A113,전표_원본!$M$5:$M$100000,X$5))</f>
        <v/>
      </c>
      <c r="Y113" s="35">
        <f>IF($A113="","",SUMIFS(전표_원본!$P$5:$P$100000,전표_원본!$O$5:$O$100000,$A113,전표_원본!$M$5:$M$100000,Y$5))</f>
        <v/>
      </c>
      <c r="Z113" s="35">
        <f>IF($A113="","",SUMIFS(전표_원본!$P$5:$P$100000,전표_원본!$O$5:$O$100000,$A113,전표_원본!$M$5:$M$100000,Z$5))</f>
        <v/>
      </c>
      <c r="AB113" s="40">
        <f>IF(OR($A113="",1&gt;설정!$C$7),0,SUMIFS($C113:$Z113,$C$5:$Z$5,"&gt;="&amp;(설정!$C$6*12+1),$C$5:$Z$5,"&lt;="&amp;(설정!$C$6*12+1)))</f>
        <v/>
      </c>
      <c r="AC113" s="40">
        <f>IF(OR($A113="",2&gt;설정!$C$7),0,SUMIFS($C113:$Z113,$C$5:$Z$5,"&gt;="&amp;(설정!$C$6*12+1),$C$5:$Z$5,"&lt;="&amp;(설정!$C$6*12+2)))</f>
        <v/>
      </c>
      <c r="AD113" s="40">
        <f>IF(OR($A113="",3&gt;설정!$C$7),0,SUMIFS($C113:$Z113,$C$5:$Z$5,"&gt;="&amp;(설정!$C$6*12+1),$C$5:$Z$5,"&lt;="&amp;(설정!$C$6*12+3)))</f>
        <v/>
      </c>
      <c r="AE113" s="40">
        <f>IF(OR($A113="",4&gt;설정!$C$7),0,SUMIFS($C113:$Z113,$C$5:$Z$5,"&gt;="&amp;(설정!$C$6*12+1),$C$5:$Z$5,"&lt;="&amp;(설정!$C$6*12+4)))</f>
        <v/>
      </c>
      <c r="AF113" s="40">
        <f>IF(OR($A113="",5&gt;설정!$C$7),0,SUMIFS($C113:$Z113,$C$5:$Z$5,"&gt;="&amp;(설정!$C$6*12+1),$C$5:$Z$5,"&lt;="&amp;(설정!$C$6*12+5)))</f>
        <v/>
      </c>
      <c r="AG113" s="40">
        <f>IF(OR($A113="",6&gt;설정!$C$7),0,SUMIFS($C113:$Z113,$C$5:$Z$5,"&gt;="&amp;(설정!$C$6*12+1),$C$5:$Z$5,"&lt;="&amp;(설정!$C$6*12+6)))</f>
        <v/>
      </c>
      <c r="AH113" s="40">
        <f>IF(OR($A113="",7&gt;설정!$C$7),0,SUMIFS($C113:$Z113,$C$5:$Z$5,"&gt;="&amp;(설정!$C$6*12+1),$C$5:$Z$5,"&lt;="&amp;(설정!$C$6*12+7)))</f>
        <v/>
      </c>
      <c r="AI113" s="40">
        <f>IF(OR($A113="",8&gt;설정!$C$7),0,SUMIFS($C113:$Z113,$C$5:$Z$5,"&gt;="&amp;(설정!$C$6*12+1),$C$5:$Z$5,"&lt;="&amp;(설정!$C$6*12+8)))</f>
        <v/>
      </c>
      <c r="AJ113" s="40">
        <f>IF(OR($A113="",9&gt;설정!$C$7),0,SUMIFS($C113:$Z113,$C$5:$Z$5,"&gt;="&amp;(설정!$C$6*12+1),$C$5:$Z$5,"&lt;="&amp;(설정!$C$6*12+9)))</f>
        <v/>
      </c>
      <c r="AK113" s="40">
        <f>IF(OR($A113="",10&gt;설정!$C$7),0,SUMIFS($C113:$Z113,$C$5:$Z$5,"&gt;="&amp;(설정!$C$6*12+1),$C$5:$Z$5,"&lt;="&amp;(설정!$C$6*12+10)))</f>
        <v/>
      </c>
      <c r="AL113" s="40">
        <f>IF(OR($A113="",11&gt;설정!$C$7),0,SUMIFS($C113:$Z113,$C$5:$Z$5,"&gt;="&amp;(설정!$C$6*12+1),$C$5:$Z$5,"&lt;="&amp;(설정!$C$6*12+11)))</f>
        <v/>
      </c>
      <c r="AM113" s="40">
        <f>IF(OR($A113="",12&gt;설정!$C$7),0,SUMIFS($C113:$Z113,$C$5:$Z$5,"&gt;="&amp;(설정!$C$6*12+1),$C$5:$Z$5,"&lt;="&amp;(설정!$C$6*12+12)))</f>
        <v/>
      </c>
    </row>
    <row r="114">
      <c r="A114" s="26">
        <f>IF(변동분석!$A114="","",변동분석!$E114)</f>
        <v/>
      </c>
      <c r="B114" s="26">
        <f>IF($A114="","",변동분석!$B114&amp;" "&amp;변동분석!$D114)</f>
        <v/>
      </c>
      <c r="C114" s="35">
        <f>IF($A114="","",SUMIFS(전표_원본!$P$5:$P$100000,전표_원본!$O$5:$O$100000,$A114,전표_원본!$M$5:$M$100000,C$5))</f>
        <v/>
      </c>
      <c r="D114" s="35">
        <f>IF($A114="","",SUMIFS(전표_원본!$P$5:$P$100000,전표_원본!$O$5:$O$100000,$A114,전표_원본!$M$5:$M$100000,D$5))</f>
        <v/>
      </c>
      <c r="E114" s="35">
        <f>IF($A114="","",SUMIFS(전표_원본!$P$5:$P$100000,전표_원본!$O$5:$O$100000,$A114,전표_원본!$M$5:$M$100000,E$5))</f>
        <v/>
      </c>
      <c r="F114" s="35">
        <f>IF($A114="","",SUMIFS(전표_원본!$P$5:$P$100000,전표_원본!$O$5:$O$100000,$A114,전표_원본!$M$5:$M$100000,F$5))</f>
        <v/>
      </c>
      <c r="G114" s="35">
        <f>IF($A114="","",SUMIFS(전표_원본!$P$5:$P$100000,전표_원본!$O$5:$O$100000,$A114,전표_원본!$M$5:$M$100000,G$5))</f>
        <v/>
      </c>
      <c r="H114" s="35">
        <f>IF($A114="","",SUMIFS(전표_원본!$P$5:$P$100000,전표_원본!$O$5:$O$100000,$A114,전표_원본!$M$5:$M$100000,H$5))</f>
        <v/>
      </c>
      <c r="I114" s="35">
        <f>IF($A114="","",SUMIFS(전표_원본!$P$5:$P$100000,전표_원본!$O$5:$O$100000,$A114,전표_원본!$M$5:$M$100000,I$5))</f>
        <v/>
      </c>
      <c r="J114" s="35">
        <f>IF($A114="","",SUMIFS(전표_원본!$P$5:$P$100000,전표_원본!$O$5:$O$100000,$A114,전표_원본!$M$5:$M$100000,J$5))</f>
        <v/>
      </c>
      <c r="K114" s="35">
        <f>IF($A114="","",SUMIFS(전표_원본!$P$5:$P$100000,전표_원본!$O$5:$O$100000,$A114,전표_원본!$M$5:$M$100000,K$5))</f>
        <v/>
      </c>
      <c r="L114" s="35">
        <f>IF($A114="","",SUMIFS(전표_원본!$P$5:$P$100000,전표_원본!$O$5:$O$100000,$A114,전표_원본!$M$5:$M$100000,L$5))</f>
        <v/>
      </c>
      <c r="M114" s="35">
        <f>IF($A114="","",SUMIFS(전표_원본!$P$5:$P$100000,전표_원본!$O$5:$O$100000,$A114,전표_원본!$M$5:$M$100000,M$5))</f>
        <v/>
      </c>
      <c r="N114" s="35">
        <f>IF($A114="","",SUMIFS(전표_원본!$P$5:$P$100000,전표_원본!$O$5:$O$100000,$A114,전표_원본!$M$5:$M$100000,N$5))</f>
        <v/>
      </c>
      <c r="O114" s="35">
        <f>IF($A114="","",SUMIFS(전표_원본!$P$5:$P$100000,전표_원본!$O$5:$O$100000,$A114,전표_원본!$M$5:$M$100000,O$5))</f>
        <v/>
      </c>
      <c r="P114" s="35">
        <f>IF($A114="","",SUMIFS(전표_원본!$P$5:$P$100000,전표_원본!$O$5:$O$100000,$A114,전표_원본!$M$5:$M$100000,P$5))</f>
        <v/>
      </c>
      <c r="Q114" s="35">
        <f>IF($A114="","",SUMIFS(전표_원본!$P$5:$P$100000,전표_원본!$O$5:$O$100000,$A114,전표_원본!$M$5:$M$100000,Q$5))</f>
        <v/>
      </c>
      <c r="R114" s="35">
        <f>IF($A114="","",SUMIFS(전표_원본!$P$5:$P$100000,전표_원본!$O$5:$O$100000,$A114,전표_원본!$M$5:$M$100000,R$5))</f>
        <v/>
      </c>
      <c r="S114" s="35">
        <f>IF($A114="","",SUMIFS(전표_원본!$P$5:$P$100000,전표_원본!$O$5:$O$100000,$A114,전표_원본!$M$5:$M$100000,S$5))</f>
        <v/>
      </c>
      <c r="T114" s="35">
        <f>IF($A114="","",SUMIFS(전표_원본!$P$5:$P$100000,전표_원본!$O$5:$O$100000,$A114,전표_원본!$M$5:$M$100000,T$5))</f>
        <v/>
      </c>
      <c r="U114" s="35">
        <f>IF($A114="","",SUMIFS(전표_원본!$P$5:$P$100000,전표_원본!$O$5:$O$100000,$A114,전표_원본!$M$5:$M$100000,U$5))</f>
        <v/>
      </c>
      <c r="V114" s="35">
        <f>IF($A114="","",SUMIFS(전표_원본!$P$5:$P$100000,전표_원본!$O$5:$O$100000,$A114,전표_원본!$M$5:$M$100000,V$5))</f>
        <v/>
      </c>
      <c r="W114" s="35">
        <f>IF($A114="","",SUMIFS(전표_원본!$P$5:$P$100000,전표_원본!$O$5:$O$100000,$A114,전표_원본!$M$5:$M$100000,W$5))</f>
        <v/>
      </c>
      <c r="X114" s="35">
        <f>IF($A114="","",SUMIFS(전표_원본!$P$5:$P$100000,전표_원본!$O$5:$O$100000,$A114,전표_원본!$M$5:$M$100000,X$5))</f>
        <v/>
      </c>
      <c r="Y114" s="35">
        <f>IF($A114="","",SUMIFS(전표_원본!$P$5:$P$100000,전표_원본!$O$5:$O$100000,$A114,전표_원본!$M$5:$M$100000,Y$5))</f>
        <v/>
      </c>
      <c r="Z114" s="35">
        <f>IF($A114="","",SUMIFS(전표_원본!$P$5:$P$100000,전표_원본!$O$5:$O$100000,$A114,전표_원본!$M$5:$M$100000,Z$5))</f>
        <v/>
      </c>
      <c r="AB114" s="40">
        <f>IF(OR($A114="",1&gt;설정!$C$7),0,SUMIFS($C114:$Z114,$C$5:$Z$5,"&gt;="&amp;(설정!$C$6*12+1),$C$5:$Z$5,"&lt;="&amp;(설정!$C$6*12+1)))</f>
        <v/>
      </c>
      <c r="AC114" s="40">
        <f>IF(OR($A114="",2&gt;설정!$C$7),0,SUMIFS($C114:$Z114,$C$5:$Z$5,"&gt;="&amp;(설정!$C$6*12+1),$C$5:$Z$5,"&lt;="&amp;(설정!$C$6*12+2)))</f>
        <v/>
      </c>
      <c r="AD114" s="40">
        <f>IF(OR($A114="",3&gt;설정!$C$7),0,SUMIFS($C114:$Z114,$C$5:$Z$5,"&gt;="&amp;(설정!$C$6*12+1),$C$5:$Z$5,"&lt;="&amp;(설정!$C$6*12+3)))</f>
        <v/>
      </c>
      <c r="AE114" s="40">
        <f>IF(OR($A114="",4&gt;설정!$C$7),0,SUMIFS($C114:$Z114,$C$5:$Z$5,"&gt;="&amp;(설정!$C$6*12+1),$C$5:$Z$5,"&lt;="&amp;(설정!$C$6*12+4)))</f>
        <v/>
      </c>
      <c r="AF114" s="40">
        <f>IF(OR($A114="",5&gt;설정!$C$7),0,SUMIFS($C114:$Z114,$C$5:$Z$5,"&gt;="&amp;(설정!$C$6*12+1),$C$5:$Z$5,"&lt;="&amp;(설정!$C$6*12+5)))</f>
        <v/>
      </c>
      <c r="AG114" s="40">
        <f>IF(OR($A114="",6&gt;설정!$C$7),0,SUMIFS($C114:$Z114,$C$5:$Z$5,"&gt;="&amp;(설정!$C$6*12+1),$C$5:$Z$5,"&lt;="&amp;(설정!$C$6*12+6)))</f>
        <v/>
      </c>
      <c r="AH114" s="40">
        <f>IF(OR($A114="",7&gt;설정!$C$7),0,SUMIFS($C114:$Z114,$C$5:$Z$5,"&gt;="&amp;(설정!$C$6*12+1),$C$5:$Z$5,"&lt;="&amp;(설정!$C$6*12+7)))</f>
        <v/>
      </c>
      <c r="AI114" s="40">
        <f>IF(OR($A114="",8&gt;설정!$C$7),0,SUMIFS($C114:$Z114,$C$5:$Z$5,"&gt;="&amp;(설정!$C$6*12+1),$C$5:$Z$5,"&lt;="&amp;(설정!$C$6*12+8)))</f>
        <v/>
      </c>
      <c r="AJ114" s="40">
        <f>IF(OR($A114="",9&gt;설정!$C$7),0,SUMIFS($C114:$Z114,$C$5:$Z$5,"&gt;="&amp;(설정!$C$6*12+1),$C$5:$Z$5,"&lt;="&amp;(설정!$C$6*12+9)))</f>
        <v/>
      </c>
      <c r="AK114" s="40">
        <f>IF(OR($A114="",10&gt;설정!$C$7),0,SUMIFS($C114:$Z114,$C$5:$Z$5,"&gt;="&amp;(설정!$C$6*12+1),$C$5:$Z$5,"&lt;="&amp;(설정!$C$6*12+10)))</f>
        <v/>
      </c>
      <c r="AL114" s="40">
        <f>IF(OR($A114="",11&gt;설정!$C$7),0,SUMIFS($C114:$Z114,$C$5:$Z$5,"&gt;="&amp;(설정!$C$6*12+1),$C$5:$Z$5,"&lt;="&amp;(설정!$C$6*12+11)))</f>
        <v/>
      </c>
      <c r="AM114" s="40">
        <f>IF(OR($A114="",12&gt;설정!$C$7),0,SUMIFS($C114:$Z114,$C$5:$Z$5,"&gt;="&amp;(설정!$C$6*12+1),$C$5:$Z$5,"&lt;="&amp;(설정!$C$6*12+12)))</f>
        <v/>
      </c>
    </row>
    <row r="115">
      <c r="A115" s="26">
        <f>IF(변동분석!$A115="","",변동분석!$E115)</f>
        <v/>
      </c>
      <c r="B115" s="26">
        <f>IF($A115="","",변동분석!$B115&amp;" "&amp;변동분석!$D115)</f>
        <v/>
      </c>
      <c r="C115" s="35">
        <f>IF($A115="","",SUMIFS(전표_원본!$P$5:$P$100000,전표_원본!$O$5:$O$100000,$A115,전표_원본!$M$5:$M$100000,C$5))</f>
        <v/>
      </c>
      <c r="D115" s="35">
        <f>IF($A115="","",SUMIFS(전표_원본!$P$5:$P$100000,전표_원본!$O$5:$O$100000,$A115,전표_원본!$M$5:$M$100000,D$5))</f>
        <v/>
      </c>
      <c r="E115" s="35">
        <f>IF($A115="","",SUMIFS(전표_원본!$P$5:$P$100000,전표_원본!$O$5:$O$100000,$A115,전표_원본!$M$5:$M$100000,E$5))</f>
        <v/>
      </c>
      <c r="F115" s="35">
        <f>IF($A115="","",SUMIFS(전표_원본!$P$5:$P$100000,전표_원본!$O$5:$O$100000,$A115,전표_원본!$M$5:$M$100000,F$5))</f>
        <v/>
      </c>
      <c r="G115" s="35">
        <f>IF($A115="","",SUMIFS(전표_원본!$P$5:$P$100000,전표_원본!$O$5:$O$100000,$A115,전표_원본!$M$5:$M$100000,G$5))</f>
        <v/>
      </c>
      <c r="H115" s="35">
        <f>IF($A115="","",SUMIFS(전표_원본!$P$5:$P$100000,전표_원본!$O$5:$O$100000,$A115,전표_원본!$M$5:$M$100000,H$5))</f>
        <v/>
      </c>
      <c r="I115" s="35">
        <f>IF($A115="","",SUMIFS(전표_원본!$P$5:$P$100000,전표_원본!$O$5:$O$100000,$A115,전표_원본!$M$5:$M$100000,I$5))</f>
        <v/>
      </c>
      <c r="J115" s="35">
        <f>IF($A115="","",SUMIFS(전표_원본!$P$5:$P$100000,전표_원본!$O$5:$O$100000,$A115,전표_원본!$M$5:$M$100000,J$5))</f>
        <v/>
      </c>
      <c r="K115" s="35">
        <f>IF($A115="","",SUMIFS(전표_원본!$P$5:$P$100000,전표_원본!$O$5:$O$100000,$A115,전표_원본!$M$5:$M$100000,K$5))</f>
        <v/>
      </c>
      <c r="L115" s="35">
        <f>IF($A115="","",SUMIFS(전표_원본!$P$5:$P$100000,전표_원본!$O$5:$O$100000,$A115,전표_원본!$M$5:$M$100000,L$5))</f>
        <v/>
      </c>
      <c r="M115" s="35">
        <f>IF($A115="","",SUMIFS(전표_원본!$P$5:$P$100000,전표_원본!$O$5:$O$100000,$A115,전표_원본!$M$5:$M$100000,M$5))</f>
        <v/>
      </c>
      <c r="N115" s="35">
        <f>IF($A115="","",SUMIFS(전표_원본!$P$5:$P$100000,전표_원본!$O$5:$O$100000,$A115,전표_원본!$M$5:$M$100000,N$5))</f>
        <v/>
      </c>
      <c r="O115" s="35">
        <f>IF($A115="","",SUMIFS(전표_원본!$P$5:$P$100000,전표_원본!$O$5:$O$100000,$A115,전표_원본!$M$5:$M$100000,O$5))</f>
        <v/>
      </c>
      <c r="P115" s="35">
        <f>IF($A115="","",SUMIFS(전표_원본!$P$5:$P$100000,전표_원본!$O$5:$O$100000,$A115,전표_원본!$M$5:$M$100000,P$5))</f>
        <v/>
      </c>
      <c r="Q115" s="35">
        <f>IF($A115="","",SUMIFS(전표_원본!$P$5:$P$100000,전표_원본!$O$5:$O$100000,$A115,전표_원본!$M$5:$M$100000,Q$5))</f>
        <v/>
      </c>
      <c r="R115" s="35">
        <f>IF($A115="","",SUMIFS(전표_원본!$P$5:$P$100000,전표_원본!$O$5:$O$100000,$A115,전표_원본!$M$5:$M$100000,R$5))</f>
        <v/>
      </c>
      <c r="S115" s="35">
        <f>IF($A115="","",SUMIFS(전표_원본!$P$5:$P$100000,전표_원본!$O$5:$O$100000,$A115,전표_원본!$M$5:$M$100000,S$5))</f>
        <v/>
      </c>
      <c r="T115" s="35">
        <f>IF($A115="","",SUMIFS(전표_원본!$P$5:$P$100000,전표_원본!$O$5:$O$100000,$A115,전표_원본!$M$5:$M$100000,T$5))</f>
        <v/>
      </c>
      <c r="U115" s="35">
        <f>IF($A115="","",SUMIFS(전표_원본!$P$5:$P$100000,전표_원본!$O$5:$O$100000,$A115,전표_원본!$M$5:$M$100000,U$5))</f>
        <v/>
      </c>
      <c r="V115" s="35">
        <f>IF($A115="","",SUMIFS(전표_원본!$P$5:$P$100000,전표_원본!$O$5:$O$100000,$A115,전표_원본!$M$5:$M$100000,V$5))</f>
        <v/>
      </c>
      <c r="W115" s="35">
        <f>IF($A115="","",SUMIFS(전표_원본!$P$5:$P$100000,전표_원본!$O$5:$O$100000,$A115,전표_원본!$M$5:$M$100000,W$5))</f>
        <v/>
      </c>
      <c r="X115" s="35">
        <f>IF($A115="","",SUMIFS(전표_원본!$P$5:$P$100000,전표_원본!$O$5:$O$100000,$A115,전표_원본!$M$5:$M$100000,X$5))</f>
        <v/>
      </c>
      <c r="Y115" s="35">
        <f>IF($A115="","",SUMIFS(전표_원본!$P$5:$P$100000,전표_원본!$O$5:$O$100000,$A115,전표_원본!$M$5:$M$100000,Y$5))</f>
        <v/>
      </c>
      <c r="Z115" s="35">
        <f>IF($A115="","",SUMIFS(전표_원본!$P$5:$P$100000,전표_원본!$O$5:$O$100000,$A115,전표_원본!$M$5:$M$100000,Z$5))</f>
        <v/>
      </c>
      <c r="AB115" s="40">
        <f>IF(OR($A115="",1&gt;설정!$C$7),0,SUMIFS($C115:$Z115,$C$5:$Z$5,"&gt;="&amp;(설정!$C$6*12+1),$C$5:$Z$5,"&lt;="&amp;(설정!$C$6*12+1)))</f>
        <v/>
      </c>
      <c r="AC115" s="40">
        <f>IF(OR($A115="",2&gt;설정!$C$7),0,SUMIFS($C115:$Z115,$C$5:$Z$5,"&gt;="&amp;(설정!$C$6*12+1),$C$5:$Z$5,"&lt;="&amp;(설정!$C$6*12+2)))</f>
        <v/>
      </c>
      <c r="AD115" s="40">
        <f>IF(OR($A115="",3&gt;설정!$C$7),0,SUMIFS($C115:$Z115,$C$5:$Z$5,"&gt;="&amp;(설정!$C$6*12+1),$C$5:$Z$5,"&lt;="&amp;(설정!$C$6*12+3)))</f>
        <v/>
      </c>
      <c r="AE115" s="40">
        <f>IF(OR($A115="",4&gt;설정!$C$7),0,SUMIFS($C115:$Z115,$C$5:$Z$5,"&gt;="&amp;(설정!$C$6*12+1),$C$5:$Z$5,"&lt;="&amp;(설정!$C$6*12+4)))</f>
        <v/>
      </c>
      <c r="AF115" s="40">
        <f>IF(OR($A115="",5&gt;설정!$C$7),0,SUMIFS($C115:$Z115,$C$5:$Z$5,"&gt;="&amp;(설정!$C$6*12+1),$C$5:$Z$5,"&lt;="&amp;(설정!$C$6*12+5)))</f>
        <v/>
      </c>
      <c r="AG115" s="40">
        <f>IF(OR($A115="",6&gt;설정!$C$7),0,SUMIFS($C115:$Z115,$C$5:$Z$5,"&gt;="&amp;(설정!$C$6*12+1),$C$5:$Z$5,"&lt;="&amp;(설정!$C$6*12+6)))</f>
        <v/>
      </c>
      <c r="AH115" s="40">
        <f>IF(OR($A115="",7&gt;설정!$C$7),0,SUMIFS($C115:$Z115,$C$5:$Z$5,"&gt;="&amp;(설정!$C$6*12+1),$C$5:$Z$5,"&lt;="&amp;(설정!$C$6*12+7)))</f>
        <v/>
      </c>
      <c r="AI115" s="40">
        <f>IF(OR($A115="",8&gt;설정!$C$7),0,SUMIFS($C115:$Z115,$C$5:$Z$5,"&gt;="&amp;(설정!$C$6*12+1),$C$5:$Z$5,"&lt;="&amp;(설정!$C$6*12+8)))</f>
        <v/>
      </c>
      <c r="AJ115" s="40">
        <f>IF(OR($A115="",9&gt;설정!$C$7),0,SUMIFS($C115:$Z115,$C$5:$Z$5,"&gt;="&amp;(설정!$C$6*12+1),$C$5:$Z$5,"&lt;="&amp;(설정!$C$6*12+9)))</f>
        <v/>
      </c>
      <c r="AK115" s="40">
        <f>IF(OR($A115="",10&gt;설정!$C$7),0,SUMIFS($C115:$Z115,$C$5:$Z$5,"&gt;="&amp;(설정!$C$6*12+1),$C$5:$Z$5,"&lt;="&amp;(설정!$C$6*12+10)))</f>
        <v/>
      </c>
      <c r="AL115" s="40">
        <f>IF(OR($A115="",11&gt;설정!$C$7),0,SUMIFS($C115:$Z115,$C$5:$Z$5,"&gt;="&amp;(설정!$C$6*12+1),$C$5:$Z$5,"&lt;="&amp;(설정!$C$6*12+11)))</f>
        <v/>
      </c>
      <c r="AM115" s="40">
        <f>IF(OR($A115="",12&gt;설정!$C$7),0,SUMIFS($C115:$Z115,$C$5:$Z$5,"&gt;="&amp;(설정!$C$6*12+1),$C$5:$Z$5,"&lt;="&amp;(설정!$C$6*12+12)))</f>
        <v/>
      </c>
    </row>
    <row r="116">
      <c r="A116" s="26">
        <f>IF(변동분석!$A116="","",변동분석!$E116)</f>
        <v/>
      </c>
      <c r="B116" s="26">
        <f>IF($A116="","",변동분석!$B116&amp;" "&amp;변동분석!$D116)</f>
        <v/>
      </c>
      <c r="C116" s="35">
        <f>IF($A116="","",SUMIFS(전표_원본!$P$5:$P$100000,전표_원본!$O$5:$O$100000,$A116,전표_원본!$M$5:$M$100000,C$5))</f>
        <v/>
      </c>
      <c r="D116" s="35">
        <f>IF($A116="","",SUMIFS(전표_원본!$P$5:$P$100000,전표_원본!$O$5:$O$100000,$A116,전표_원본!$M$5:$M$100000,D$5))</f>
        <v/>
      </c>
      <c r="E116" s="35">
        <f>IF($A116="","",SUMIFS(전표_원본!$P$5:$P$100000,전표_원본!$O$5:$O$100000,$A116,전표_원본!$M$5:$M$100000,E$5))</f>
        <v/>
      </c>
      <c r="F116" s="35">
        <f>IF($A116="","",SUMIFS(전표_원본!$P$5:$P$100000,전표_원본!$O$5:$O$100000,$A116,전표_원본!$M$5:$M$100000,F$5))</f>
        <v/>
      </c>
      <c r="G116" s="35">
        <f>IF($A116="","",SUMIFS(전표_원본!$P$5:$P$100000,전표_원본!$O$5:$O$100000,$A116,전표_원본!$M$5:$M$100000,G$5))</f>
        <v/>
      </c>
      <c r="H116" s="35">
        <f>IF($A116="","",SUMIFS(전표_원본!$P$5:$P$100000,전표_원본!$O$5:$O$100000,$A116,전표_원본!$M$5:$M$100000,H$5))</f>
        <v/>
      </c>
      <c r="I116" s="35">
        <f>IF($A116="","",SUMIFS(전표_원본!$P$5:$P$100000,전표_원본!$O$5:$O$100000,$A116,전표_원본!$M$5:$M$100000,I$5))</f>
        <v/>
      </c>
      <c r="J116" s="35">
        <f>IF($A116="","",SUMIFS(전표_원본!$P$5:$P$100000,전표_원본!$O$5:$O$100000,$A116,전표_원본!$M$5:$M$100000,J$5))</f>
        <v/>
      </c>
      <c r="K116" s="35">
        <f>IF($A116="","",SUMIFS(전표_원본!$P$5:$P$100000,전표_원본!$O$5:$O$100000,$A116,전표_원본!$M$5:$M$100000,K$5))</f>
        <v/>
      </c>
      <c r="L116" s="35">
        <f>IF($A116="","",SUMIFS(전표_원본!$P$5:$P$100000,전표_원본!$O$5:$O$100000,$A116,전표_원본!$M$5:$M$100000,L$5))</f>
        <v/>
      </c>
      <c r="M116" s="35">
        <f>IF($A116="","",SUMIFS(전표_원본!$P$5:$P$100000,전표_원본!$O$5:$O$100000,$A116,전표_원본!$M$5:$M$100000,M$5))</f>
        <v/>
      </c>
      <c r="N116" s="35">
        <f>IF($A116="","",SUMIFS(전표_원본!$P$5:$P$100000,전표_원본!$O$5:$O$100000,$A116,전표_원본!$M$5:$M$100000,N$5))</f>
        <v/>
      </c>
      <c r="O116" s="35">
        <f>IF($A116="","",SUMIFS(전표_원본!$P$5:$P$100000,전표_원본!$O$5:$O$100000,$A116,전표_원본!$M$5:$M$100000,O$5))</f>
        <v/>
      </c>
      <c r="P116" s="35">
        <f>IF($A116="","",SUMIFS(전표_원본!$P$5:$P$100000,전표_원본!$O$5:$O$100000,$A116,전표_원본!$M$5:$M$100000,P$5))</f>
        <v/>
      </c>
      <c r="Q116" s="35">
        <f>IF($A116="","",SUMIFS(전표_원본!$P$5:$P$100000,전표_원본!$O$5:$O$100000,$A116,전표_원본!$M$5:$M$100000,Q$5))</f>
        <v/>
      </c>
      <c r="R116" s="35">
        <f>IF($A116="","",SUMIFS(전표_원본!$P$5:$P$100000,전표_원본!$O$5:$O$100000,$A116,전표_원본!$M$5:$M$100000,R$5))</f>
        <v/>
      </c>
      <c r="S116" s="35">
        <f>IF($A116="","",SUMIFS(전표_원본!$P$5:$P$100000,전표_원본!$O$5:$O$100000,$A116,전표_원본!$M$5:$M$100000,S$5))</f>
        <v/>
      </c>
      <c r="T116" s="35">
        <f>IF($A116="","",SUMIFS(전표_원본!$P$5:$P$100000,전표_원본!$O$5:$O$100000,$A116,전표_원본!$M$5:$M$100000,T$5))</f>
        <v/>
      </c>
      <c r="U116" s="35">
        <f>IF($A116="","",SUMIFS(전표_원본!$P$5:$P$100000,전표_원본!$O$5:$O$100000,$A116,전표_원본!$M$5:$M$100000,U$5))</f>
        <v/>
      </c>
      <c r="V116" s="35">
        <f>IF($A116="","",SUMIFS(전표_원본!$P$5:$P$100000,전표_원본!$O$5:$O$100000,$A116,전표_원본!$M$5:$M$100000,V$5))</f>
        <v/>
      </c>
      <c r="W116" s="35">
        <f>IF($A116="","",SUMIFS(전표_원본!$P$5:$P$100000,전표_원본!$O$5:$O$100000,$A116,전표_원본!$M$5:$M$100000,W$5))</f>
        <v/>
      </c>
      <c r="X116" s="35">
        <f>IF($A116="","",SUMIFS(전표_원본!$P$5:$P$100000,전표_원본!$O$5:$O$100000,$A116,전표_원본!$M$5:$M$100000,X$5))</f>
        <v/>
      </c>
      <c r="Y116" s="35">
        <f>IF($A116="","",SUMIFS(전표_원본!$P$5:$P$100000,전표_원본!$O$5:$O$100000,$A116,전표_원본!$M$5:$M$100000,Y$5))</f>
        <v/>
      </c>
      <c r="Z116" s="35">
        <f>IF($A116="","",SUMIFS(전표_원본!$P$5:$P$100000,전표_원본!$O$5:$O$100000,$A116,전표_원본!$M$5:$M$100000,Z$5))</f>
        <v/>
      </c>
      <c r="AB116" s="40">
        <f>IF(OR($A116="",1&gt;설정!$C$7),0,SUMIFS($C116:$Z116,$C$5:$Z$5,"&gt;="&amp;(설정!$C$6*12+1),$C$5:$Z$5,"&lt;="&amp;(설정!$C$6*12+1)))</f>
        <v/>
      </c>
      <c r="AC116" s="40">
        <f>IF(OR($A116="",2&gt;설정!$C$7),0,SUMIFS($C116:$Z116,$C$5:$Z$5,"&gt;="&amp;(설정!$C$6*12+1),$C$5:$Z$5,"&lt;="&amp;(설정!$C$6*12+2)))</f>
        <v/>
      </c>
      <c r="AD116" s="40">
        <f>IF(OR($A116="",3&gt;설정!$C$7),0,SUMIFS($C116:$Z116,$C$5:$Z$5,"&gt;="&amp;(설정!$C$6*12+1),$C$5:$Z$5,"&lt;="&amp;(설정!$C$6*12+3)))</f>
        <v/>
      </c>
      <c r="AE116" s="40">
        <f>IF(OR($A116="",4&gt;설정!$C$7),0,SUMIFS($C116:$Z116,$C$5:$Z$5,"&gt;="&amp;(설정!$C$6*12+1),$C$5:$Z$5,"&lt;="&amp;(설정!$C$6*12+4)))</f>
        <v/>
      </c>
      <c r="AF116" s="40">
        <f>IF(OR($A116="",5&gt;설정!$C$7),0,SUMIFS($C116:$Z116,$C$5:$Z$5,"&gt;="&amp;(설정!$C$6*12+1),$C$5:$Z$5,"&lt;="&amp;(설정!$C$6*12+5)))</f>
        <v/>
      </c>
      <c r="AG116" s="40">
        <f>IF(OR($A116="",6&gt;설정!$C$7),0,SUMIFS($C116:$Z116,$C$5:$Z$5,"&gt;="&amp;(설정!$C$6*12+1),$C$5:$Z$5,"&lt;="&amp;(설정!$C$6*12+6)))</f>
        <v/>
      </c>
      <c r="AH116" s="40">
        <f>IF(OR($A116="",7&gt;설정!$C$7),0,SUMIFS($C116:$Z116,$C$5:$Z$5,"&gt;="&amp;(설정!$C$6*12+1),$C$5:$Z$5,"&lt;="&amp;(설정!$C$6*12+7)))</f>
        <v/>
      </c>
      <c r="AI116" s="40">
        <f>IF(OR($A116="",8&gt;설정!$C$7),0,SUMIFS($C116:$Z116,$C$5:$Z$5,"&gt;="&amp;(설정!$C$6*12+1),$C$5:$Z$5,"&lt;="&amp;(설정!$C$6*12+8)))</f>
        <v/>
      </c>
      <c r="AJ116" s="40">
        <f>IF(OR($A116="",9&gt;설정!$C$7),0,SUMIFS($C116:$Z116,$C$5:$Z$5,"&gt;="&amp;(설정!$C$6*12+1),$C$5:$Z$5,"&lt;="&amp;(설정!$C$6*12+9)))</f>
        <v/>
      </c>
      <c r="AK116" s="40">
        <f>IF(OR($A116="",10&gt;설정!$C$7),0,SUMIFS($C116:$Z116,$C$5:$Z$5,"&gt;="&amp;(설정!$C$6*12+1),$C$5:$Z$5,"&lt;="&amp;(설정!$C$6*12+10)))</f>
        <v/>
      </c>
      <c r="AL116" s="40">
        <f>IF(OR($A116="",11&gt;설정!$C$7),0,SUMIFS($C116:$Z116,$C$5:$Z$5,"&gt;="&amp;(설정!$C$6*12+1),$C$5:$Z$5,"&lt;="&amp;(설정!$C$6*12+11)))</f>
        <v/>
      </c>
      <c r="AM116" s="40">
        <f>IF(OR($A116="",12&gt;설정!$C$7),0,SUMIFS($C116:$Z116,$C$5:$Z$5,"&gt;="&amp;(설정!$C$6*12+1),$C$5:$Z$5,"&lt;="&amp;(설정!$C$6*12+12)))</f>
        <v/>
      </c>
    </row>
    <row r="117">
      <c r="A117" s="26">
        <f>IF(변동분석!$A117="","",변동분석!$E117)</f>
        <v/>
      </c>
      <c r="B117" s="26">
        <f>IF($A117="","",변동분석!$B117&amp;" "&amp;변동분석!$D117)</f>
        <v/>
      </c>
      <c r="C117" s="35">
        <f>IF($A117="","",SUMIFS(전표_원본!$P$5:$P$100000,전표_원본!$O$5:$O$100000,$A117,전표_원본!$M$5:$M$100000,C$5))</f>
        <v/>
      </c>
      <c r="D117" s="35">
        <f>IF($A117="","",SUMIFS(전표_원본!$P$5:$P$100000,전표_원본!$O$5:$O$100000,$A117,전표_원본!$M$5:$M$100000,D$5))</f>
        <v/>
      </c>
      <c r="E117" s="35">
        <f>IF($A117="","",SUMIFS(전표_원본!$P$5:$P$100000,전표_원본!$O$5:$O$100000,$A117,전표_원본!$M$5:$M$100000,E$5))</f>
        <v/>
      </c>
      <c r="F117" s="35">
        <f>IF($A117="","",SUMIFS(전표_원본!$P$5:$P$100000,전표_원본!$O$5:$O$100000,$A117,전표_원본!$M$5:$M$100000,F$5))</f>
        <v/>
      </c>
      <c r="G117" s="35">
        <f>IF($A117="","",SUMIFS(전표_원본!$P$5:$P$100000,전표_원본!$O$5:$O$100000,$A117,전표_원본!$M$5:$M$100000,G$5))</f>
        <v/>
      </c>
      <c r="H117" s="35">
        <f>IF($A117="","",SUMIFS(전표_원본!$P$5:$P$100000,전표_원본!$O$5:$O$100000,$A117,전표_원본!$M$5:$M$100000,H$5))</f>
        <v/>
      </c>
      <c r="I117" s="35">
        <f>IF($A117="","",SUMIFS(전표_원본!$P$5:$P$100000,전표_원본!$O$5:$O$100000,$A117,전표_원본!$M$5:$M$100000,I$5))</f>
        <v/>
      </c>
      <c r="J117" s="35">
        <f>IF($A117="","",SUMIFS(전표_원본!$P$5:$P$100000,전표_원본!$O$5:$O$100000,$A117,전표_원본!$M$5:$M$100000,J$5))</f>
        <v/>
      </c>
      <c r="K117" s="35">
        <f>IF($A117="","",SUMIFS(전표_원본!$P$5:$P$100000,전표_원본!$O$5:$O$100000,$A117,전표_원본!$M$5:$M$100000,K$5))</f>
        <v/>
      </c>
      <c r="L117" s="35">
        <f>IF($A117="","",SUMIFS(전표_원본!$P$5:$P$100000,전표_원본!$O$5:$O$100000,$A117,전표_원본!$M$5:$M$100000,L$5))</f>
        <v/>
      </c>
      <c r="M117" s="35">
        <f>IF($A117="","",SUMIFS(전표_원본!$P$5:$P$100000,전표_원본!$O$5:$O$100000,$A117,전표_원본!$M$5:$M$100000,M$5))</f>
        <v/>
      </c>
      <c r="N117" s="35">
        <f>IF($A117="","",SUMIFS(전표_원본!$P$5:$P$100000,전표_원본!$O$5:$O$100000,$A117,전표_원본!$M$5:$M$100000,N$5))</f>
        <v/>
      </c>
      <c r="O117" s="35">
        <f>IF($A117="","",SUMIFS(전표_원본!$P$5:$P$100000,전표_원본!$O$5:$O$100000,$A117,전표_원본!$M$5:$M$100000,O$5))</f>
        <v/>
      </c>
      <c r="P117" s="35">
        <f>IF($A117="","",SUMIFS(전표_원본!$P$5:$P$100000,전표_원본!$O$5:$O$100000,$A117,전표_원본!$M$5:$M$100000,P$5))</f>
        <v/>
      </c>
      <c r="Q117" s="35">
        <f>IF($A117="","",SUMIFS(전표_원본!$P$5:$P$100000,전표_원본!$O$5:$O$100000,$A117,전표_원본!$M$5:$M$100000,Q$5))</f>
        <v/>
      </c>
      <c r="R117" s="35">
        <f>IF($A117="","",SUMIFS(전표_원본!$P$5:$P$100000,전표_원본!$O$5:$O$100000,$A117,전표_원본!$M$5:$M$100000,R$5))</f>
        <v/>
      </c>
      <c r="S117" s="35">
        <f>IF($A117="","",SUMIFS(전표_원본!$P$5:$P$100000,전표_원본!$O$5:$O$100000,$A117,전표_원본!$M$5:$M$100000,S$5))</f>
        <v/>
      </c>
      <c r="T117" s="35">
        <f>IF($A117="","",SUMIFS(전표_원본!$P$5:$P$100000,전표_원본!$O$5:$O$100000,$A117,전표_원본!$M$5:$M$100000,T$5))</f>
        <v/>
      </c>
      <c r="U117" s="35">
        <f>IF($A117="","",SUMIFS(전표_원본!$P$5:$P$100000,전표_원본!$O$5:$O$100000,$A117,전표_원본!$M$5:$M$100000,U$5))</f>
        <v/>
      </c>
      <c r="V117" s="35">
        <f>IF($A117="","",SUMIFS(전표_원본!$P$5:$P$100000,전표_원본!$O$5:$O$100000,$A117,전표_원본!$M$5:$M$100000,V$5))</f>
        <v/>
      </c>
      <c r="W117" s="35">
        <f>IF($A117="","",SUMIFS(전표_원본!$P$5:$P$100000,전표_원본!$O$5:$O$100000,$A117,전표_원본!$M$5:$M$100000,W$5))</f>
        <v/>
      </c>
      <c r="X117" s="35">
        <f>IF($A117="","",SUMIFS(전표_원본!$P$5:$P$100000,전표_원본!$O$5:$O$100000,$A117,전표_원본!$M$5:$M$100000,X$5))</f>
        <v/>
      </c>
      <c r="Y117" s="35">
        <f>IF($A117="","",SUMIFS(전표_원본!$P$5:$P$100000,전표_원본!$O$5:$O$100000,$A117,전표_원본!$M$5:$M$100000,Y$5))</f>
        <v/>
      </c>
      <c r="Z117" s="35">
        <f>IF($A117="","",SUMIFS(전표_원본!$P$5:$P$100000,전표_원본!$O$5:$O$100000,$A117,전표_원본!$M$5:$M$100000,Z$5))</f>
        <v/>
      </c>
      <c r="AB117" s="40">
        <f>IF(OR($A117="",1&gt;설정!$C$7),0,SUMIFS($C117:$Z117,$C$5:$Z$5,"&gt;="&amp;(설정!$C$6*12+1),$C$5:$Z$5,"&lt;="&amp;(설정!$C$6*12+1)))</f>
        <v/>
      </c>
      <c r="AC117" s="40">
        <f>IF(OR($A117="",2&gt;설정!$C$7),0,SUMIFS($C117:$Z117,$C$5:$Z$5,"&gt;="&amp;(설정!$C$6*12+1),$C$5:$Z$5,"&lt;="&amp;(설정!$C$6*12+2)))</f>
        <v/>
      </c>
      <c r="AD117" s="40">
        <f>IF(OR($A117="",3&gt;설정!$C$7),0,SUMIFS($C117:$Z117,$C$5:$Z$5,"&gt;="&amp;(설정!$C$6*12+1),$C$5:$Z$5,"&lt;="&amp;(설정!$C$6*12+3)))</f>
        <v/>
      </c>
      <c r="AE117" s="40">
        <f>IF(OR($A117="",4&gt;설정!$C$7),0,SUMIFS($C117:$Z117,$C$5:$Z$5,"&gt;="&amp;(설정!$C$6*12+1),$C$5:$Z$5,"&lt;="&amp;(설정!$C$6*12+4)))</f>
        <v/>
      </c>
      <c r="AF117" s="40">
        <f>IF(OR($A117="",5&gt;설정!$C$7),0,SUMIFS($C117:$Z117,$C$5:$Z$5,"&gt;="&amp;(설정!$C$6*12+1),$C$5:$Z$5,"&lt;="&amp;(설정!$C$6*12+5)))</f>
        <v/>
      </c>
      <c r="AG117" s="40">
        <f>IF(OR($A117="",6&gt;설정!$C$7),0,SUMIFS($C117:$Z117,$C$5:$Z$5,"&gt;="&amp;(설정!$C$6*12+1),$C$5:$Z$5,"&lt;="&amp;(설정!$C$6*12+6)))</f>
        <v/>
      </c>
      <c r="AH117" s="40">
        <f>IF(OR($A117="",7&gt;설정!$C$7),0,SUMIFS($C117:$Z117,$C$5:$Z$5,"&gt;="&amp;(설정!$C$6*12+1),$C$5:$Z$5,"&lt;="&amp;(설정!$C$6*12+7)))</f>
        <v/>
      </c>
      <c r="AI117" s="40">
        <f>IF(OR($A117="",8&gt;설정!$C$7),0,SUMIFS($C117:$Z117,$C$5:$Z$5,"&gt;="&amp;(설정!$C$6*12+1),$C$5:$Z$5,"&lt;="&amp;(설정!$C$6*12+8)))</f>
        <v/>
      </c>
      <c r="AJ117" s="40">
        <f>IF(OR($A117="",9&gt;설정!$C$7),0,SUMIFS($C117:$Z117,$C$5:$Z$5,"&gt;="&amp;(설정!$C$6*12+1),$C$5:$Z$5,"&lt;="&amp;(설정!$C$6*12+9)))</f>
        <v/>
      </c>
      <c r="AK117" s="40">
        <f>IF(OR($A117="",10&gt;설정!$C$7),0,SUMIFS($C117:$Z117,$C$5:$Z$5,"&gt;="&amp;(설정!$C$6*12+1),$C$5:$Z$5,"&lt;="&amp;(설정!$C$6*12+10)))</f>
        <v/>
      </c>
      <c r="AL117" s="40">
        <f>IF(OR($A117="",11&gt;설정!$C$7),0,SUMIFS($C117:$Z117,$C$5:$Z$5,"&gt;="&amp;(설정!$C$6*12+1),$C$5:$Z$5,"&lt;="&amp;(설정!$C$6*12+11)))</f>
        <v/>
      </c>
      <c r="AM117" s="40">
        <f>IF(OR($A117="",12&gt;설정!$C$7),0,SUMIFS($C117:$Z117,$C$5:$Z$5,"&gt;="&amp;(설정!$C$6*12+1),$C$5:$Z$5,"&lt;="&amp;(설정!$C$6*12+12)))</f>
        <v/>
      </c>
    </row>
    <row r="118">
      <c r="A118" s="26">
        <f>IF(변동분석!$A118="","",변동분석!$E118)</f>
        <v/>
      </c>
      <c r="B118" s="26">
        <f>IF($A118="","",변동분석!$B118&amp;" "&amp;변동분석!$D118)</f>
        <v/>
      </c>
      <c r="C118" s="35">
        <f>IF($A118="","",SUMIFS(전표_원본!$P$5:$P$100000,전표_원본!$O$5:$O$100000,$A118,전표_원본!$M$5:$M$100000,C$5))</f>
        <v/>
      </c>
      <c r="D118" s="35">
        <f>IF($A118="","",SUMIFS(전표_원본!$P$5:$P$100000,전표_원본!$O$5:$O$100000,$A118,전표_원본!$M$5:$M$100000,D$5))</f>
        <v/>
      </c>
      <c r="E118" s="35">
        <f>IF($A118="","",SUMIFS(전표_원본!$P$5:$P$100000,전표_원본!$O$5:$O$100000,$A118,전표_원본!$M$5:$M$100000,E$5))</f>
        <v/>
      </c>
      <c r="F118" s="35">
        <f>IF($A118="","",SUMIFS(전표_원본!$P$5:$P$100000,전표_원본!$O$5:$O$100000,$A118,전표_원본!$M$5:$M$100000,F$5))</f>
        <v/>
      </c>
      <c r="G118" s="35">
        <f>IF($A118="","",SUMIFS(전표_원본!$P$5:$P$100000,전표_원본!$O$5:$O$100000,$A118,전표_원본!$M$5:$M$100000,G$5))</f>
        <v/>
      </c>
      <c r="H118" s="35">
        <f>IF($A118="","",SUMIFS(전표_원본!$P$5:$P$100000,전표_원본!$O$5:$O$100000,$A118,전표_원본!$M$5:$M$100000,H$5))</f>
        <v/>
      </c>
      <c r="I118" s="35">
        <f>IF($A118="","",SUMIFS(전표_원본!$P$5:$P$100000,전표_원본!$O$5:$O$100000,$A118,전표_원본!$M$5:$M$100000,I$5))</f>
        <v/>
      </c>
      <c r="J118" s="35">
        <f>IF($A118="","",SUMIFS(전표_원본!$P$5:$P$100000,전표_원본!$O$5:$O$100000,$A118,전표_원본!$M$5:$M$100000,J$5))</f>
        <v/>
      </c>
      <c r="K118" s="35">
        <f>IF($A118="","",SUMIFS(전표_원본!$P$5:$P$100000,전표_원본!$O$5:$O$100000,$A118,전표_원본!$M$5:$M$100000,K$5))</f>
        <v/>
      </c>
      <c r="L118" s="35">
        <f>IF($A118="","",SUMIFS(전표_원본!$P$5:$P$100000,전표_원본!$O$5:$O$100000,$A118,전표_원본!$M$5:$M$100000,L$5))</f>
        <v/>
      </c>
      <c r="M118" s="35">
        <f>IF($A118="","",SUMIFS(전표_원본!$P$5:$P$100000,전표_원본!$O$5:$O$100000,$A118,전표_원본!$M$5:$M$100000,M$5))</f>
        <v/>
      </c>
      <c r="N118" s="35">
        <f>IF($A118="","",SUMIFS(전표_원본!$P$5:$P$100000,전표_원본!$O$5:$O$100000,$A118,전표_원본!$M$5:$M$100000,N$5))</f>
        <v/>
      </c>
      <c r="O118" s="35">
        <f>IF($A118="","",SUMIFS(전표_원본!$P$5:$P$100000,전표_원본!$O$5:$O$100000,$A118,전표_원본!$M$5:$M$100000,O$5))</f>
        <v/>
      </c>
      <c r="P118" s="35">
        <f>IF($A118="","",SUMIFS(전표_원본!$P$5:$P$100000,전표_원본!$O$5:$O$100000,$A118,전표_원본!$M$5:$M$100000,P$5))</f>
        <v/>
      </c>
      <c r="Q118" s="35">
        <f>IF($A118="","",SUMIFS(전표_원본!$P$5:$P$100000,전표_원본!$O$5:$O$100000,$A118,전표_원본!$M$5:$M$100000,Q$5))</f>
        <v/>
      </c>
      <c r="R118" s="35">
        <f>IF($A118="","",SUMIFS(전표_원본!$P$5:$P$100000,전표_원본!$O$5:$O$100000,$A118,전표_원본!$M$5:$M$100000,R$5))</f>
        <v/>
      </c>
      <c r="S118" s="35">
        <f>IF($A118="","",SUMIFS(전표_원본!$P$5:$P$100000,전표_원본!$O$5:$O$100000,$A118,전표_원본!$M$5:$M$100000,S$5))</f>
        <v/>
      </c>
      <c r="T118" s="35">
        <f>IF($A118="","",SUMIFS(전표_원본!$P$5:$P$100000,전표_원본!$O$5:$O$100000,$A118,전표_원본!$M$5:$M$100000,T$5))</f>
        <v/>
      </c>
      <c r="U118" s="35">
        <f>IF($A118="","",SUMIFS(전표_원본!$P$5:$P$100000,전표_원본!$O$5:$O$100000,$A118,전표_원본!$M$5:$M$100000,U$5))</f>
        <v/>
      </c>
      <c r="V118" s="35">
        <f>IF($A118="","",SUMIFS(전표_원본!$P$5:$P$100000,전표_원본!$O$5:$O$100000,$A118,전표_원본!$M$5:$M$100000,V$5))</f>
        <v/>
      </c>
      <c r="W118" s="35">
        <f>IF($A118="","",SUMIFS(전표_원본!$P$5:$P$100000,전표_원본!$O$5:$O$100000,$A118,전표_원본!$M$5:$M$100000,W$5))</f>
        <v/>
      </c>
      <c r="X118" s="35">
        <f>IF($A118="","",SUMIFS(전표_원본!$P$5:$P$100000,전표_원본!$O$5:$O$100000,$A118,전표_원본!$M$5:$M$100000,X$5))</f>
        <v/>
      </c>
      <c r="Y118" s="35">
        <f>IF($A118="","",SUMIFS(전표_원본!$P$5:$P$100000,전표_원본!$O$5:$O$100000,$A118,전표_원본!$M$5:$M$100000,Y$5))</f>
        <v/>
      </c>
      <c r="Z118" s="35">
        <f>IF($A118="","",SUMIFS(전표_원본!$P$5:$P$100000,전표_원본!$O$5:$O$100000,$A118,전표_원본!$M$5:$M$100000,Z$5))</f>
        <v/>
      </c>
      <c r="AB118" s="40">
        <f>IF(OR($A118="",1&gt;설정!$C$7),0,SUMIFS($C118:$Z118,$C$5:$Z$5,"&gt;="&amp;(설정!$C$6*12+1),$C$5:$Z$5,"&lt;="&amp;(설정!$C$6*12+1)))</f>
        <v/>
      </c>
      <c r="AC118" s="40">
        <f>IF(OR($A118="",2&gt;설정!$C$7),0,SUMIFS($C118:$Z118,$C$5:$Z$5,"&gt;="&amp;(설정!$C$6*12+1),$C$5:$Z$5,"&lt;="&amp;(설정!$C$6*12+2)))</f>
        <v/>
      </c>
      <c r="AD118" s="40">
        <f>IF(OR($A118="",3&gt;설정!$C$7),0,SUMIFS($C118:$Z118,$C$5:$Z$5,"&gt;="&amp;(설정!$C$6*12+1),$C$5:$Z$5,"&lt;="&amp;(설정!$C$6*12+3)))</f>
        <v/>
      </c>
      <c r="AE118" s="40">
        <f>IF(OR($A118="",4&gt;설정!$C$7),0,SUMIFS($C118:$Z118,$C$5:$Z$5,"&gt;="&amp;(설정!$C$6*12+1),$C$5:$Z$5,"&lt;="&amp;(설정!$C$6*12+4)))</f>
        <v/>
      </c>
      <c r="AF118" s="40">
        <f>IF(OR($A118="",5&gt;설정!$C$7),0,SUMIFS($C118:$Z118,$C$5:$Z$5,"&gt;="&amp;(설정!$C$6*12+1),$C$5:$Z$5,"&lt;="&amp;(설정!$C$6*12+5)))</f>
        <v/>
      </c>
      <c r="AG118" s="40">
        <f>IF(OR($A118="",6&gt;설정!$C$7),0,SUMIFS($C118:$Z118,$C$5:$Z$5,"&gt;="&amp;(설정!$C$6*12+1),$C$5:$Z$5,"&lt;="&amp;(설정!$C$6*12+6)))</f>
        <v/>
      </c>
      <c r="AH118" s="40">
        <f>IF(OR($A118="",7&gt;설정!$C$7),0,SUMIFS($C118:$Z118,$C$5:$Z$5,"&gt;="&amp;(설정!$C$6*12+1),$C$5:$Z$5,"&lt;="&amp;(설정!$C$6*12+7)))</f>
        <v/>
      </c>
      <c r="AI118" s="40">
        <f>IF(OR($A118="",8&gt;설정!$C$7),0,SUMIFS($C118:$Z118,$C$5:$Z$5,"&gt;="&amp;(설정!$C$6*12+1),$C$5:$Z$5,"&lt;="&amp;(설정!$C$6*12+8)))</f>
        <v/>
      </c>
      <c r="AJ118" s="40">
        <f>IF(OR($A118="",9&gt;설정!$C$7),0,SUMIFS($C118:$Z118,$C$5:$Z$5,"&gt;="&amp;(설정!$C$6*12+1),$C$5:$Z$5,"&lt;="&amp;(설정!$C$6*12+9)))</f>
        <v/>
      </c>
      <c r="AK118" s="40">
        <f>IF(OR($A118="",10&gt;설정!$C$7),0,SUMIFS($C118:$Z118,$C$5:$Z$5,"&gt;="&amp;(설정!$C$6*12+1),$C$5:$Z$5,"&lt;="&amp;(설정!$C$6*12+10)))</f>
        <v/>
      </c>
      <c r="AL118" s="40">
        <f>IF(OR($A118="",11&gt;설정!$C$7),0,SUMIFS($C118:$Z118,$C$5:$Z$5,"&gt;="&amp;(설정!$C$6*12+1),$C$5:$Z$5,"&lt;="&amp;(설정!$C$6*12+11)))</f>
        <v/>
      </c>
      <c r="AM118" s="40">
        <f>IF(OR($A118="",12&gt;설정!$C$7),0,SUMIFS($C118:$Z118,$C$5:$Z$5,"&gt;="&amp;(설정!$C$6*12+1),$C$5:$Z$5,"&lt;="&amp;(설정!$C$6*12+12)))</f>
        <v/>
      </c>
    </row>
    <row r="119">
      <c r="A119" s="26">
        <f>IF(변동분석!$A119="","",변동분석!$E119)</f>
        <v/>
      </c>
      <c r="B119" s="26">
        <f>IF($A119="","",변동분석!$B119&amp;" "&amp;변동분석!$D119)</f>
        <v/>
      </c>
      <c r="C119" s="35">
        <f>IF($A119="","",SUMIFS(전표_원본!$P$5:$P$100000,전표_원본!$O$5:$O$100000,$A119,전표_원본!$M$5:$M$100000,C$5))</f>
        <v/>
      </c>
      <c r="D119" s="35">
        <f>IF($A119="","",SUMIFS(전표_원본!$P$5:$P$100000,전표_원본!$O$5:$O$100000,$A119,전표_원본!$M$5:$M$100000,D$5))</f>
        <v/>
      </c>
      <c r="E119" s="35">
        <f>IF($A119="","",SUMIFS(전표_원본!$P$5:$P$100000,전표_원본!$O$5:$O$100000,$A119,전표_원본!$M$5:$M$100000,E$5))</f>
        <v/>
      </c>
      <c r="F119" s="35">
        <f>IF($A119="","",SUMIFS(전표_원본!$P$5:$P$100000,전표_원본!$O$5:$O$100000,$A119,전표_원본!$M$5:$M$100000,F$5))</f>
        <v/>
      </c>
      <c r="G119" s="35">
        <f>IF($A119="","",SUMIFS(전표_원본!$P$5:$P$100000,전표_원본!$O$5:$O$100000,$A119,전표_원본!$M$5:$M$100000,G$5))</f>
        <v/>
      </c>
      <c r="H119" s="35">
        <f>IF($A119="","",SUMIFS(전표_원본!$P$5:$P$100000,전표_원본!$O$5:$O$100000,$A119,전표_원본!$M$5:$M$100000,H$5))</f>
        <v/>
      </c>
      <c r="I119" s="35">
        <f>IF($A119="","",SUMIFS(전표_원본!$P$5:$P$100000,전표_원본!$O$5:$O$100000,$A119,전표_원본!$M$5:$M$100000,I$5))</f>
        <v/>
      </c>
      <c r="J119" s="35">
        <f>IF($A119="","",SUMIFS(전표_원본!$P$5:$P$100000,전표_원본!$O$5:$O$100000,$A119,전표_원본!$M$5:$M$100000,J$5))</f>
        <v/>
      </c>
      <c r="K119" s="35">
        <f>IF($A119="","",SUMIFS(전표_원본!$P$5:$P$100000,전표_원본!$O$5:$O$100000,$A119,전표_원본!$M$5:$M$100000,K$5))</f>
        <v/>
      </c>
      <c r="L119" s="35">
        <f>IF($A119="","",SUMIFS(전표_원본!$P$5:$P$100000,전표_원본!$O$5:$O$100000,$A119,전표_원본!$M$5:$M$100000,L$5))</f>
        <v/>
      </c>
      <c r="M119" s="35">
        <f>IF($A119="","",SUMIFS(전표_원본!$P$5:$P$100000,전표_원본!$O$5:$O$100000,$A119,전표_원본!$M$5:$M$100000,M$5))</f>
        <v/>
      </c>
      <c r="N119" s="35">
        <f>IF($A119="","",SUMIFS(전표_원본!$P$5:$P$100000,전표_원본!$O$5:$O$100000,$A119,전표_원본!$M$5:$M$100000,N$5))</f>
        <v/>
      </c>
      <c r="O119" s="35">
        <f>IF($A119="","",SUMIFS(전표_원본!$P$5:$P$100000,전표_원본!$O$5:$O$100000,$A119,전표_원본!$M$5:$M$100000,O$5))</f>
        <v/>
      </c>
      <c r="P119" s="35">
        <f>IF($A119="","",SUMIFS(전표_원본!$P$5:$P$100000,전표_원본!$O$5:$O$100000,$A119,전표_원본!$M$5:$M$100000,P$5))</f>
        <v/>
      </c>
      <c r="Q119" s="35">
        <f>IF($A119="","",SUMIFS(전표_원본!$P$5:$P$100000,전표_원본!$O$5:$O$100000,$A119,전표_원본!$M$5:$M$100000,Q$5))</f>
        <v/>
      </c>
      <c r="R119" s="35">
        <f>IF($A119="","",SUMIFS(전표_원본!$P$5:$P$100000,전표_원본!$O$5:$O$100000,$A119,전표_원본!$M$5:$M$100000,R$5))</f>
        <v/>
      </c>
      <c r="S119" s="35">
        <f>IF($A119="","",SUMIFS(전표_원본!$P$5:$P$100000,전표_원본!$O$5:$O$100000,$A119,전표_원본!$M$5:$M$100000,S$5))</f>
        <v/>
      </c>
      <c r="T119" s="35">
        <f>IF($A119="","",SUMIFS(전표_원본!$P$5:$P$100000,전표_원본!$O$5:$O$100000,$A119,전표_원본!$M$5:$M$100000,T$5))</f>
        <v/>
      </c>
      <c r="U119" s="35">
        <f>IF($A119="","",SUMIFS(전표_원본!$P$5:$P$100000,전표_원본!$O$5:$O$100000,$A119,전표_원본!$M$5:$M$100000,U$5))</f>
        <v/>
      </c>
      <c r="V119" s="35">
        <f>IF($A119="","",SUMIFS(전표_원본!$P$5:$P$100000,전표_원본!$O$5:$O$100000,$A119,전표_원본!$M$5:$M$100000,V$5))</f>
        <v/>
      </c>
      <c r="W119" s="35">
        <f>IF($A119="","",SUMIFS(전표_원본!$P$5:$P$100000,전표_원본!$O$5:$O$100000,$A119,전표_원본!$M$5:$M$100000,W$5))</f>
        <v/>
      </c>
      <c r="X119" s="35">
        <f>IF($A119="","",SUMIFS(전표_원본!$P$5:$P$100000,전표_원본!$O$5:$O$100000,$A119,전표_원본!$M$5:$M$100000,X$5))</f>
        <v/>
      </c>
      <c r="Y119" s="35">
        <f>IF($A119="","",SUMIFS(전표_원본!$P$5:$P$100000,전표_원본!$O$5:$O$100000,$A119,전표_원본!$M$5:$M$100000,Y$5))</f>
        <v/>
      </c>
      <c r="Z119" s="35">
        <f>IF($A119="","",SUMIFS(전표_원본!$P$5:$P$100000,전표_원본!$O$5:$O$100000,$A119,전표_원본!$M$5:$M$100000,Z$5))</f>
        <v/>
      </c>
      <c r="AB119" s="40">
        <f>IF(OR($A119="",1&gt;설정!$C$7),0,SUMIFS($C119:$Z119,$C$5:$Z$5,"&gt;="&amp;(설정!$C$6*12+1),$C$5:$Z$5,"&lt;="&amp;(설정!$C$6*12+1)))</f>
        <v/>
      </c>
      <c r="AC119" s="40">
        <f>IF(OR($A119="",2&gt;설정!$C$7),0,SUMIFS($C119:$Z119,$C$5:$Z$5,"&gt;="&amp;(설정!$C$6*12+1),$C$5:$Z$5,"&lt;="&amp;(설정!$C$6*12+2)))</f>
        <v/>
      </c>
      <c r="AD119" s="40">
        <f>IF(OR($A119="",3&gt;설정!$C$7),0,SUMIFS($C119:$Z119,$C$5:$Z$5,"&gt;="&amp;(설정!$C$6*12+1),$C$5:$Z$5,"&lt;="&amp;(설정!$C$6*12+3)))</f>
        <v/>
      </c>
      <c r="AE119" s="40">
        <f>IF(OR($A119="",4&gt;설정!$C$7),0,SUMIFS($C119:$Z119,$C$5:$Z$5,"&gt;="&amp;(설정!$C$6*12+1),$C$5:$Z$5,"&lt;="&amp;(설정!$C$6*12+4)))</f>
        <v/>
      </c>
      <c r="AF119" s="40">
        <f>IF(OR($A119="",5&gt;설정!$C$7),0,SUMIFS($C119:$Z119,$C$5:$Z$5,"&gt;="&amp;(설정!$C$6*12+1),$C$5:$Z$5,"&lt;="&amp;(설정!$C$6*12+5)))</f>
        <v/>
      </c>
      <c r="AG119" s="40">
        <f>IF(OR($A119="",6&gt;설정!$C$7),0,SUMIFS($C119:$Z119,$C$5:$Z$5,"&gt;="&amp;(설정!$C$6*12+1),$C$5:$Z$5,"&lt;="&amp;(설정!$C$6*12+6)))</f>
        <v/>
      </c>
      <c r="AH119" s="40">
        <f>IF(OR($A119="",7&gt;설정!$C$7),0,SUMIFS($C119:$Z119,$C$5:$Z$5,"&gt;="&amp;(설정!$C$6*12+1),$C$5:$Z$5,"&lt;="&amp;(설정!$C$6*12+7)))</f>
        <v/>
      </c>
      <c r="AI119" s="40">
        <f>IF(OR($A119="",8&gt;설정!$C$7),0,SUMIFS($C119:$Z119,$C$5:$Z$5,"&gt;="&amp;(설정!$C$6*12+1),$C$5:$Z$5,"&lt;="&amp;(설정!$C$6*12+8)))</f>
        <v/>
      </c>
      <c r="AJ119" s="40">
        <f>IF(OR($A119="",9&gt;설정!$C$7),0,SUMIFS($C119:$Z119,$C$5:$Z$5,"&gt;="&amp;(설정!$C$6*12+1),$C$5:$Z$5,"&lt;="&amp;(설정!$C$6*12+9)))</f>
        <v/>
      </c>
      <c r="AK119" s="40">
        <f>IF(OR($A119="",10&gt;설정!$C$7),0,SUMIFS($C119:$Z119,$C$5:$Z$5,"&gt;="&amp;(설정!$C$6*12+1),$C$5:$Z$5,"&lt;="&amp;(설정!$C$6*12+10)))</f>
        <v/>
      </c>
      <c r="AL119" s="40">
        <f>IF(OR($A119="",11&gt;설정!$C$7),0,SUMIFS($C119:$Z119,$C$5:$Z$5,"&gt;="&amp;(설정!$C$6*12+1),$C$5:$Z$5,"&lt;="&amp;(설정!$C$6*12+11)))</f>
        <v/>
      </c>
      <c r="AM119" s="40">
        <f>IF(OR($A119="",12&gt;설정!$C$7),0,SUMIFS($C119:$Z119,$C$5:$Z$5,"&gt;="&amp;(설정!$C$6*12+1),$C$5:$Z$5,"&lt;="&amp;(설정!$C$6*12+12)))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9" customWidth="1" min="9" max="9"/>
    <col width="11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</cols>
  <sheetData>
    <row r="1">
      <c r="A1" s="1" t="inlineStr">
        <is>
          <t>TRACE · 차트데이터</t>
        </is>
      </c>
    </row>
    <row r="2">
      <c r="A2" s="2" t="inlineStr">
        <is>
          <t>대시보드(엑셀·HTML) 원천 · 모두 수식 · 금액: 보고단위</t>
        </is>
      </c>
    </row>
    <row r="3">
      <c r="A3" s="38">
        <f>"기준: "&amp;INT((설정!$C$20-1)/12)&amp;"-"&amp;TEXT(MOD(설정!$C$20-1,12)+1,"00")&amp;" · 단위: "&amp;설정!$C$9</f>
        <v/>
      </c>
    </row>
    <row r="4" ht="30" customHeight="1">
      <c r="A4" s="4" t="inlineStr">
        <is>
          <t>월</t>
        </is>
      </c>
      <c r="B4" s="4" t="inlineStr">
        <is>
          <t>당해</t>
        </is>
      </c>
      <c r="C4" s="4" t="inlineStr">
        <is>
          <t>전년</t>
        </is>
      </c>
      <c r="D4" s="4" t="inlineStr">
        <is>
          <t>예산
(분기가용÷3)</t>
        </is>
      </c>
    </row>
    <row r="5">
      <c r="A5" s="22" t="inlineStr">
        <is>
          <t>1월</t>
        </is>
      </c>
      <c r="B5" s="35">
        <f>IF(1&gt;설정!$C$7,0,SUMIFS(전표_원본!$P$5:$P$100000,전표_원본!$M$5:$M$100000,설정!$C$6*12+1))</f>
        <v/>
      </c>
      <c r="C5" s="35">
        <f>SUMIFS(전표_원본!$P$5:$P$100000,전표_원본!$M$5:$M$100000,(설정!$C$6-1)*12+1)</f>
        <v/>
      </c>
      <c r="D5" s="35">
        <f>SUMIFS(예산판_원본!$O$5:$O$5000,예산판_원본!$M$5:$M$5000,설정!$C$6,예산판_원본!$N$5:$N$5000,ROUNDUP(1/3,0))/3</f>
        <v/>
      </c>
    </row>
    <row r="6">
      <c r="A6" s="22" t="inlineStr">
        <is>
          <t>2월</t>
        </is>
      </c>
      <c r="B6" s="35">
        <f>IF(2&gt;설정!$C$7,0,SUMIFS(전표_원본!$P$5:$P$100000,전표_원본!$M$5:$M$100000,설정!$C$6*12+2))</f>
        <v/>
      </c>
      <c r="C6" s="35">
        <f>SUMIFS(전표_원본!$P$5:$P$100000,전표_원본!$M$5:$M$100000,(설정!$C$6-1)*12+2)</f>
        <v/>
      </c>
      <c r="D6" s="35">
        <f>SUMIFS(예산판_원본!$O$5:$O$5000,예산판_원본!$M$5:$M$5000,설정!$C$6,예산판_원본!$N$5:$N$5000,ROUNDUP(2/3,0))/3</f>
        <v/>
      </c>
    </row>
    <row r="7">
      <c r="A7" s="22" t="inlineStr">
        <is>
          <t>3월</t>
        </is>
      </c>
      <c r="B7" s="35">
        <f>IF(3&gt;설정!$C$7,0,SUMIFS(전표_원본!$P$5:$P$100000,전표_원본!$M$5:$M$100000,설정!$C$6*12+3))</f>
        <v/>
      </c>
      <c r="C7" s="35">
        <f>SUMIFS(전표_원본!$P$5:$P$100000,전표_원본!$M$5:$M$100000,(설정!$C$6-1)*12+3)</f>
        <v/>
      </c>
      <c r="D7" s="35">
        <f>SUMIFS(예산판_원본!$O$5:$O$5000,예산판_원본!$M$5:$M$5000,설정!$C$6,예산판_원본!$N$5:$N$5000,ROUNDUP(3/3,0))/3</f>
        <v/>
      </c>
    </row>
    <row r="8">
      <c r="A8" s="22" t="inlineStr">
        <is>
          <t>4월</t>
        </is>
      </c>
      <c r="B8" s="35">
        <f>IF(4&gt;설정!$C$7,0,SUMIFS(전표_원본!$P$5:$P$100000,전표_원본!$M$5:$M$100000,설정!$C$6*12+4))</f>
        <v/>
      </c>
      <c r="C8" s="35">
        <f>SUMIFS(전표_원본!$P$5:$P$100000,전표_원본!$M$5:$M$100000,(설정!$C$6-1)*12+4)</f>
        <v/>
      </c>
      <c r="D8" s="35">
        <f>SUMIFS(예산판_원본!$O$5:$O$5000,예산판_원본!$M$5:$M$5000,설정!$C$6,예산판_원본!$N$5:$N$5000,ROUNDUP(4/3,0))/3</f>
        <v/>
      </c>
    </row>
    <row r="9">
      <c r="A9" s="22" t="inlineStr">
        <is>
          <t>5월</t>
        </is>
      </c>
      <c r="B9" s="35">
        <f>IF(5&gt;설정!$C$7,0,SUMIFS(전표_원본!$P$5:$P$100000,전표_원본!$M$5:$M$100000,설정!$C$6*12+5))</f>
        <v/>
      </c>
      <c r="C9" s="35">
        <f>SUMIFS(전표_원본!$P$5:$P$100000,전표_원본!$M$5:$M$100000,(설정!$C$6-1)*12+5)</f>
        <v/>
      </c>
      <c r="D9" s="35">
        <f>SUMIFS(예산판_원본!$O$5:$O$5000,예산판_원본!$M$5:$M$5000,설정!$C$6,예산판_원본!$N$5:$N$5000,ROUNDUP(5/3,0))/3</f>
        <v/>
      </c>
    </row>
    <row r="10">
      <c r="A10" s="22" t="inlineStr">
        <is>
          <t>6월</t>
        </is>
      </c>
      <c r="B10" s="35">
        <f>IF(6&gt;설정!$C$7,0,SUMIFS(전표_원본!$P$5:$P$100000,전표_원본!$M$5:$M$100000,설정!$C$6*12+6))</f>
        <v/>
      </c>
      <c r="C10" s="35">
        <f>SUMIFS(전표_원본!$P$5:$P$100000,전표_원본!$M$5:$M$100000,(설정!$C$6-1)*12+6)</f>
        <v/>
      </c>
      <c r="D10" s="35">
        <f>SUMIFS(예산판_원본!$O$5:$O$5000,예산판_원본!$M$5:$M$5000,설정!$C$6,예산판_원본!$N$5:$N$5000,ROUNDUP(6/3,0))/3</f>
        <v/>
      </c>
    </row>
    <row r="11">
      <c r="A11" s="22" t="inlineStr">
        <is>
          <t>7월</t>
        </is>
      </c>
      <c r="B11" s="35">
        <f>IF(7&gt;설정!$C$7,0,SUMIFS(전표_원본!$P$5:$P$100000,전표_원본!$M$5:$M$100000,설정!$C$6*12+7))</f>
        <v/>
      </c>
      <c r="C11" s="35">
        <f>SUMIFS(전표_원본!$P$5:$P$100000,전표_원본!$M$5:$M$100000,(설정!$C$6-1)*12+7)</f>
        <v/>
      </c>
      <c r="D11" s="35">
        <f>SUMIFS(예산판_원본!$O$5:$O$5000,예산판_원본!$M$5:$M$5000,설정!$C$6,예산판_원본!$N$5:$N$5000,ROUNDUP(7/3,0))/3</f>
        <v/>
      </c>
    </row>
    <row r="12">
      <c r="A12" s="22" t="inlineStr">
        <is>
          <t>8월</t>
        </is>
      </c>
      <c r="B12" s="35">
        <f>IF(8&gt;설정!$C$7,0,SUMIFS(전표_원본!$P$5:$P$100000,전표_원본!$M$5:$M$100000,설정!$C$6*12+8))</f>
        <v/>
      </c>
      <c r="C12" s="35">
        <f>SUMIFS(전표_원본!$P$5:$P$100000,전표_원본!$M$5:$M$100000,(설정!$C$6-1)*12+8)</f>
        <v/>
      </c>
      <c r="D12" s="35">
        <f>SUMIFS(예산판_원본!$O$5:$O$5000,예산판_원본!$M$5:$M$5000,설정!$C$6,예산판_원본!$N$5:$N$5000,ROUNDUP(8/3,0))/3</f>
        <v/>
      </c>
    </row>
    <row r="13">
      <c r="A13" s="22" t="inlineStr">
        <is>
          <t>9월</t>
        </is>
      </c>
      <c r="B13" s="35">
        <f>IF(9&gt;설정!$C$7,0,SUMIFS(전표_원본!$P$5:$P$100000,전표_원본!$M$5:$M$100000,설정!$C$6*12+9))</f>
        <v/>
      </c>
      <c r="C13" s="35">
        <f>SUMIFS(전표_원본!$P$5:$P$100000,전표_원본!$M$5:$M$100000,(설정!$C$6-1)*12+9)</f>
        <v/>
      </c>
      <c r="D13" s="35">
        <f>SUMIFS(예산판_원본!$O$5:$O$5000,예산판_원본!$M$5:$M$5000,설정!$C$6,예산판_원본!$N$5:$N$5000,ROUNDUP(9/3,0))/3</f>
        <v/>
      </c>
    </row>
    <row r="14">
      <c r="A14" s="22" t="inlineStr">
        <is>
          <t>10월</t>
        </is>
      </c>
      <c r="B14" s="35">
        <f>IF(10&gt;설정!$C$7,0,SUMIFS(전표_원본!$P$5:$P$100000,전표_원본!$M$5:$M$100000,설정!$C$6*12+10))</f>
        <v/>
      </c>
      <c r="C14" s="35">
        <f>SUMIFS(전표_원본!$P$5:$P$100000,전표_원본!$M$5:$M$100000,(설정!$C$6-1)*12+10)</f>
        <v/>
      </c>
      <c r="D14" s="35">
        <f>SUMIFS(예산판_원본!$O$5:$O$5000,예산판_원본!$M$5:$M$5000,설정!$C$6,예산판_원본!$N$5:$N$5000,ROUNDUP(10/3,0))/3</f>
        <v/>
      </c>
    </row>
    <row r="15">
      <c r="A15" s="22" t="inlineStr">
        <is>
          <t>11월</t>
        </is>
      </c>
      <c r="B15" s="35">
        <f>IF(11&gt;설정!$C$7,0,SUMIFS(전표_원본!$P$5:$P$100000,전표_원본!$M$5:$M$100000,설정!$C$6*12+11))</f>
        <v/>
      </c>
      <c r="C15" s="35">
        <f>SUMIFS(전표_원본!$P$5:$P$100000,전표_원본!$M$5:$M$100000,(설정!$C$6-1)*12+11)</f>
        <v/>
      </c>
      <c r="D15" s="35">
        <f>SUMIFS(예산판_원본!$O$5:$O$5000,예산판_원본!$M$5:$M$5000,설정!$C$6,예산판_원본!$N$5:$N$5000,ROUNDUP(11/3,0))/3</f>
        <v/>
      </c>
    </row>
    <row r="16">
      <c r="A16" s="22" t="inlineStr">
        <is>
          <t>12월</t>
        </is>
      </c>
      <c r="B16" s="35">
        <f>IF(12&gt;설정!$C$7,0,SUMIFS(전표_원본!$P$5:$P$100000,전표_원본!$M$5:$M$100000,설정!$C$6*12+12))</f>
        <v/>
      </c>
      <c r="C16" s="35">
        <f>SUMIFS(전표_원본!$P$5:$P$100000,전표_원본!$M$5:$M$100000,(설정!$C$6-1)*12+12)</f>
        <v/>
      </c>
      <c r="D16" s="35">
        <f>SUMIFS(예산판_원본!$O$5:$O$5000,예산판_원본!$M$5:$M$5000,설정!$C$6,예산판_원본!$N$5:$N$5000,ROUNDUP(12/3,0))/3</f>
        <v/>
      </c>
    </row>
    <row r="19" ht="30" customHeight="1">
      <c r="A19" s="4" t="inlineStr">
        <is>
          <t>부서코드</t>
        </is>
      </c>
      <c r="B19" s="4" t="inlineStr">
        <is>
          <t>부서명</t>
        </is>
      </c>
      <c r="C19" s="4" t="inlineStr">
        <is>
          <t>분기 한도</t>
        </is>
      </c>
      <c r="D19" s="4" t="inlineStr">
        <is>
          <t>분기 실적</t>
        </is>
      </c>
      <c r="E19" s="4" t="inlineStr">
        <is>
          <t>분기말 예상</t>
        </is>
      </c>
      <c r="F19" s="4" t="inlineStr">
        <is>
          <t>분기 소진율</t>
        </is>
      </c>
      <c r="G19" s="4" t="inlineStr">
        <is>
          <t>판정</t>
        </is>
      </c>
    </row>
    <row r="20">
      <c r="A20" s="12" t="inlineStr">
        <is>
          <t>D100</t>
        </is>
      </c>
      <c r="B20" s="26">
        <f>IFERROR(INDEX(부서매핑!$D$5:$D$504,MATCH($A20,부서매핑!$C$5:$C$504,0)),$A20)</f>
        <v/>
      </c>
      <c r="C20" s="35">
        <f>SUMIFS(변동분석!$AJ$7:$AJ$506,변동분석!$A$7:$A$506,$A20)</f>
        <v/>
      </c>
      <c r="D20" s="35">
        <f>SUMIFS(변동분석!$AK$7:$AK$506,변동분석!$A$7:$A$506,$A20)</f>
        <v/>
      </c>
      <c r="E20" s="35">
        <f>SUMIFS(변동분석!$AM$7:$AM$506,변동분석!$A$7:$A$506,$A20)</f>
        <v/>
      </c>
      <c r="F20" s="73">
        <f>IF(C20=0,0,E20/C20)</f>
        <v/>
      </c>
      <c r="G20" s="34">
        <f>IF(C20=0,"-",IF(D20&gt;C20,"한도 초과",IF(F20&gt;설정!$C$12,"초과 예상",IF(F20&gt;설정!$C$11,"주의","여유"))))</f>
        <v/>
      </c>
    </row>
    <row r="21">
      <c r="A21" s="12" t="inlineStr">
        <is>
          <t>D200</t>
        </is>
      </c>
      <c r="B21" s="26">
        <f>IFERROR(INDEX(부서매핑!$D$5:$D$504,MATCH($A21,부서매핑!$C$5:$C$504,0)),$A21)</f>
        <v/>
      </c>
      <c r="C21" s="35">
        <f>SUMIFS(변동분석!$AJ$7:$AJ$506,변동분석!$A$7:$A$506,$A21)</f>
        <v/>
      </c>
      <c r="D21" s="35">
        <f>SUMIFS(변동분석!$AK$7:$AK$506,변동분석!$A$7:$A$506,$A21)</f>
        <v/>
      </c>
      <c r="E21" s="35">
        <f>SUMIFS(변동분석!$AM$7:$AM$506,변동분석!$A$7:$A$506,$A21)</f>
        <v/>
      </c>
      <c r="F21" s="73">
        <f>IF(C21=0,0,E21/C21)</f>
        <v/>
      </c>
      <c r="G21" s="34">
        <f>IF(C21=0,"-",IF(D21&gt;C21,"한도 초과",IF(F21&gt;설정!$C$12,"초과 예상",IF(F21&gt;설정!$C$11,"주의","여유"))))</f>
        <v/>
      </c>
    </row>
    <row r="22">
      <c r="A22" s="12" t="inlineStr">
        <is>
          <t>D300</t>
        </is>
      </c>
      <c r="B22" s="26">
        <f>IFERROR(INDEX(부서매핑!$D$5:$D$504,MATCH($A22,부서매핑!$C$5:$C$504,0)),$A22)</f>
        <v/>
      </c>
      <c r="C22" s="35">
        <f>SUMIFS(변동분석!$AJ$7:$AJ$506,변동분석!$A$7:$A$506,$A22)</f>
        <v/>
      </c>
      <c r="D22" s="35">
        <f>SUMIFS(변동분석!$AK$7:$AK$506,변동분석!$A$7:$A$506,$A22)</f>
        <v/>
      </c>
      <c r="E22" s="35">
        <f>SUMIFS(변동분석!$AM$7:$AM$506,변동분석!$A$7:$A$506,$A22)</f>
        <v/>
      </c>
      <c r="F22" s="73">
        <f>IF(C22=0,0,E22/C22)</f>
        <v/>
      </c>
      <c r="G22" s="34">
        <f>IF(C22=0,"-",IF(D22&gt;C22,"한도 초과",IF(F22&gt;설정!$C$12,"초과 예상",IF(F22&gt;설정!$C$11,"주의","여유"))))</f>
        <v/>
      </c>
    </row>
    <row r="23">
      <c r="A23" s="12" t="inlineStr">
        <is>
          <t>D400</t>
        </is>
      </c>
      <c r="B23" s="26">
        <f>IFERROR(INDEX(부서매핑!$D$5:$D$504,MATCH($A23,부서매핑!$C$5:$C$504,0)),$A23)</f>
        <v/>
      </c>
      <c r="C23" s="35">
        <f>SUMIFS(변동분석!$AJ$7:$AJ$506,변동분석!$A$7:$A$506,$A23)</f>
        <v/>
      </c>
      <c r="D23" s="35">
        <f>SUMIFS(변동분석!$AK$7:$AK$506,변동분석!$A$7:$A$506,$A23)</f>
        <v/>
      </c>
      <c r="E23" s="35">
        <f>SUMIFS(변동분석!$AM$7:$AM$506,변동분석!$A$7:$A$506,$A23)</f>
        <v/>
      </c>
      <c r="F23" s="73">
        <f>IF(C23=0,0,E23/C23)</f>
        <v/>
      </c>
      <c r="G23" s="34">
        <f>IF(C23=0,"-",IF(D23&gt;C23,"한도 초과",IF(F23&gt;설정!$C$12,"초과 예상",IF(F23&gt;설정!$C$11,"주의","여유"))))</f>
        <v/>
      </c>
    </row>
    <row r="24">
      <c r="A24" s="12" t="inlineStr">
        <is>
          <t>D500</t>
        </is>
      </c>
      <c r="B24" s="26">
        <f>IFERROR(INDEX(부서매핑!$D$5:$D$504,MATCH($A24,부서매핑!$C$5:$C$504,0)),$A24)</f>
        <v/>
      </c>
      <c r="C24" s="35">
        <f>SUMIFS(변동분석!$AJ$7:$AJ$506,변동분석!$A$7:$A$506,$A24)</f>
        <v/>
      </c>
      <c r="D24" s="35">
        <f>SUMIFS(변동분석!$AK$7:$AK$506,변동분석!$A$7:$A$506,$A24)</f>
        <v/>
      </c>
      <c r="E24" s="35">
        <f>SUMIFS(변동분석!$AM$7:$AM$506,변동분석!$A$7:$A$506,$A24)</f>
        <v/>
      </c>
      <c r="F24" s="73">
        <f>IF(C24=0,0,E24/C24)</f>
        <v/>
      </c>
      <c r="G24" s="34">
        <f>IF(C24=0,"-",IF(D24&gt;C24,"한도 초과",IF(F24&gt;설정!$C$12,"초과 예상",IF(F24&gt;설정!$C$11,"주의","여유"))))</f>
        <v/>
      </c>
    </row>
    <row r="25">
      <c r="A25" s="12" t="inlineStr">
        <is>
          <t>D600</t>
        </is>
      </c>
      <c r="B25" s="26">
        <f>IFERROR(INDEX(부서매핑!$D$5:$D$504,MATCH($A25,부서매핑!$C$5:$C$504,0)),$A25)</f>
        <v/>
      </c>
      <c r="C25" s="35">
        <f>SUMIFS(변동분석!$AJ$7:$AJ$506,변동분석!$A$7:$A$506,$A25)</f>
        <v/>
      </c>
      <c r="D25" s="35">
        <f>SUMIFS(변동분석!$AK$7:$AK$506,변동분석!$A$7:$A$506,$A25)</f>
        <v/>
      </c>
      <c r="E25" s="35">
        <f>SUMIFS(변동분석!$AM$7:$AM$506,변동분석!$A$7:$A$506,$A25)</f>
        <v/>
      </c>
      <c r="F25" s="73">
        <f>IF(C25=0,0,E25/C25)</f>
        <v/>
      </c>
      <c r="G25" s="34">
        <f>IF(C25=0,"-",IF(D25&gt;C25,"한도 초과",IF(F25&gt;설정!$C$12,"초과 예상",IF(F25&gt;설정!$C$11,"주의","여유"))))</f>
        <v/>
      </c>
    </row>
    <row r="26">
      <c r="A26" s="12" t="inlineStr">
        <is>
          <t>D700</t>
        </is>
      </c>
      <c r="B26" s="26">
        <f>IFERROR(INDEX(부서매핑!$D$5:$D$504,MATCH($A26,부서매핑!$C$5:$C$504,0)),$A26)</f>
        <v/>
      </c>
      <c r="C26" s="35">
        <f>SUMIFS(변동분석!$AJ$7:$AJ$506,변동분석!$A$7:$A$506,$A26)</f>
        <v/>
      </c>
      <c r="D26" s="35">
        <f>SUMIFS(변동분석!$AK$7:$AK$506,변동분석!$A$7:$A$506,$A26)</f>
        <v/>
      </c>
      <c r="E26" s="35">
        <f>SUMIFS(변동분석!$AM$7:$AM$506,변동분석!$A$7:$A$506,$A26)</f>
        <v/>
      </c>
      <c r="F26" s="73">
        <f>IF(C26=0,0,E26/C26)</f>
        <v/>
      </c>
      <c r="G26" s="34">
        <f>IF(C26=0,"-",IF(D26&gt;C26,"한도 초과",IF(F26&gt;설정!$C$12,"초과 예상",IF(F26&gt;설정!$C$11,"주의","여유"))))</f>
        <v/>
      </c>
    </row>
    <row r="27">
      <c r="A27" s="12" t="inlineStr">
        <is>
          <t>D800</t>
        </is>
      </c>
      <c r="B27" s="26">
        <f>IFERROR(INDEX(부서매핑!$D$5:$D$504,MATCH($A27,부서매핑!$C$5:$C$504,0)),$A27)</f>
        <v/>
      </c>
      <c r="C27" s="35">
        <f>SUMIFS(변동분석!$AJ$7:$AJ$506,변동분석!$A$7:$A$506,$A27)</f>
        <v/>
      </c>
      <c r="D27" s="35">
        <f>SUMIFS(변동분석!$AK$7:$AK$506,변동분석!$A$7:$A$506,$A27)</f>
        <v/>
      </c>
      <c r="E27" s="35">
        <f>SUMIFS(변동분석!$AM$7:$AM$506,변동분석!$A$7:$A$506,$A27)</f>
        <v/>
      </c>
      <c r="F27" s="73">
        <f>IF(C27=0,0,E27/C27)</f>
        <v/>
      </c>
      <c r="G27" s="34">
        <f>IF(C27=0,"-",IF(D27&gt;C27,"한도 초과",IF(F27&gt;설정!$C$12,"초과 예상",IF(F27&gt;설정!$C$11,"주의","여유"))))</f>
        <v/>
      </c>
    </row>
    <row r="28">
      <c r="A28" s="12" t="inlineStr">
        <is>
          <t>D900</t>
        </is>
      </c>
      <c r="B28" s="26">
        <f>IFERROR(INDEX(부서매핑!$D$5:$D$504,MATCH($A28,부서매핑!$C$5:$C$504,0)),$A28)</f>
        <v/>
      </c>
      <c r="C28" s="35">
        <f>SUMIFS(변동분석!$AJ$7:$AJ$506,변동분석!$A$7:$A$506,$A28)</f>
        <v/>
      </c>
      <c r="D28" s="35">
        <f>SUMIFS(변동분석!$AK$7:$AK$506,변동분석!$A$7:$A$506,$A28)</f>
        <v/>
      </c>
      <c r="E28" s="35">
        <f>SUMIFS(변동분석!$AM$7:$AM$506,변동분석!$A$7:$A$506,$A28)</f>
        <v/>
      </c>
      <c r="F28" s="73">
        <f>IF(C28=0,0,E28/C28)</f>
        <v/>
      </c>
      <c r="G28" s="34">
        <f>IF(C28=0,"-",IF(D28&gt;C28,"한도 초과",IF(F28&gt;설정!$C$12,"초과 예상",IF(F28&gt;설정!$C$11,"주의","여유"))))</f>
        <v/>
      </c>
    </row>
    <row r="29">
      <c r="A29" s="12" t="inlineStr">
        <is>
          <t>D950</t>
        </is>
      </c>
      <c r="B29" s="26">
        <f>IFERROR(INDEX(부서매핑!$D$5:$D$504,MATCH($A29,부서매핑!$C$5:$C$504,0)),$A29)</f>
        <v/>
      </c>
      <c r="C29" s="35">
        <f>SUMIFS(변동분석!$AJ$7:$AJ$506,변동분석!$A$7:$A$506,$A29)</f>
        <v/>
      </c>
      <c r="D29" s="35">
        <f>SUMIFS(변동분석!$AK$7:$AK$506,변동분석!$A$7:$A$506,$A29)</f>
        <v/>
      </c>
      <c r="E29" s="35">
        <f>SUMIFS(변동분석!$AM$7:$AM$506,변동분석!$A$7:$A$506,$A29)</f>
        <v/>
      </c>
      <c r="F29" s="73">
        <f>IF(C29=0,0,E29/C29)</f>
        <v/>
      </c>
      <c r="G29" s="34">
        <f>IF(C29=0,"-",IF(D29&gt;C29,"한도 초과",IF(F29&gt;설정!$C$12,"초과 예상",IF(F29&gt;설정!$C$11,"주의","여유"))))</f>
        <v/>
      </c>
    </row>
    <row r="30" ht="20" customHeight="1">
      <c r="A30" s="4" t="inlineStr">
        <is>
          <t>분기 판정</t>
        </is>
      </c>
      <c r="B30" s="4" t="inlineStr">
        <is>
          <t>건수</t>
        </is>
      </c>
    </row>
    <row r="31">
      <c r="A31" s="22" t="inlineStr">
        <is>
          <t>여유</t>
        </is>
      </c>
      <c r="B31" s="81">
        <f>COUNTIF(변동분석!$AO$7:$AO$506,A31)</f>
        <v/>
      </c>
    </row>
    <row r="32">
      <c r="A32" s="22" t="inlineStr">
        <is>
          <t>주의</t>
        </is>
      </c>
      <c r="B32" s="81">
        <f>COUNTIF(변동분석!$AO$7:$AO$506,A32)</f>
        <v/>
      </c>
    </row>
    <row r="33">
      <c r="A33" s="22" t="inlineStr">
        <is>
          <t>초과 예상</t>
        </is>
      </c>
      <c r="B33" s="81">
        <f>COUNTIF(변동분석!$AO$7:$AO$506,A33)</f>
        <v/>
      </c>
    </row>
    <row r="34">
      <c r="A34" s="22" t="inlineStr">
        <is>
          <t>한도 초과</t>
        </is>
      </c>
      <c r="B34" s="81">
        <f>COUNTIF(변동분석!$AO$7:$AO$506,A34)</f>
        <v/>
      </c>
    </row>
    <row r="35">
      <c r="A35" s="22" t="inlineStr">
        <is>
          <t>무예산</t>
        </is>
      </c>
      <c r="B35" s="81">
        <f>COUNTIF(변동분석!$AO$7:$AO$506,A35)</f>
        <v/>
      </c>
    </row>
    <row r="37" ht="30" customHeight="1">
      <c r="A37" s="4" t="inlineStr">
        <is>
          <t>G/L 계정</t>
        </is>
      </c>
      <c r="B37" s="4" t="inlineStr">
        <is>
          <t>계정명</t>
        </is>
      </c>
      <c r="C37" s="4" t="inlineStr">
        <is>
          <t>당월</t>
        </is>
      </c>
      <c r="D37" s="4" t="inlineStr">
        <is>
          <t>전년동월</t>
        </is>
      </c>
      <c r="E37" s="4" t="inlineStr">
        <is>
          <t>증감</t>
        </is>
      </c>
      <c r="F37" s="4" t="inlineStr">
        <is>
          <t>전월</t>
        </is>
      </c>
      <c r="G37" s="4" t="inlineStr">
        <is>
          <t>당분기</t>
        </is>
      </c>
      <c r="H37" s="4" t="inlineStr">
        <is>
          <t>전분기</t>
        </is>
      </c>
      <c r="I37" s="4" t="inlineStr">
        <is>
          <t>당해 누계</t>
        </is>
      </c>
      <c r="J37" s="4" t="inlineStr">
        <is>
          <t>전년동기 누계</t>
        </is>
      </c>
    </row>
    <row r="38">
      <c r="A38" s="34">
        <f>계정변동!A6</f>
        <v/>
      </c>
      <c r="B38" s="26">
        <f>계정변동!B6</f>
        <v/>
      </c>
      <c r="C38" s="35">
        <f>SUMIFS(변동분석!$F$7:$F$506,변동분석!$C$7:$C$506,$A38&amp;"")</f>
        <v/>
      </c>
      <c r="D38" s="35">
        <f>SUMIFS(변동분석!$I$7:$I$506,변동분석!$C$7:$C$506,$A38&amp;"")</f>
        <v/>
      </c>
      <c r="E38" s="40">
        <f>C38-D38</f>
        <v/>
      </c>
      <c r="F38" s="35">
        <f>SUMIFS(변동분석!$G$7:$G$506,변동분석!$C$7:$C$506,$A38&amp;"")</f>
        <v/>
      </c>
      <c r="G38" s="35">
        <f>SUMIFS(변동분석!$K$7:$K$506,변동분석!$C$7:$C$506,$A38&amp;"")</f>
        <v/>
      </c>
      <c r="H38" s="35">
        <f>SUMIFS(변동분석!$L$7:$L$506,변동분석!$C$7:$C$506,$A38&amp;"")</f>
        <v/>
      </c>
      <c r="I38" s="35">
        <f>SUMIFS(변동분석!$Q$7:$Q$506,변동분석!$C$7:$C$506,$A38&amp;"")</f>
        <v/>
      </c>
      <c r="J38" s="35">
        <f>SUMIFS(변동분석!$AX$7:$AX$506,변동분석!$C$7:$C$506,$A38&amp;"")</f>
        <v/>
      </c>
    </row>
    <row r="39">
      <c r="A39" s="34">
        <f>계정변동!A7</f>
        <v/>
      </c>
      <c r="B39" s="26">
        <f>계정변동!B7</f>
        <v/>
      </c>
      <c r="C39" s="35">
        <f>SUMIFS(변동분석!$F$7:$F$506,변동분석!$C$7:$C$506,$A39&amp;"")</f>
        <v/>
      </c>
      <c r="D39" s="35">
        <f>SUMIFS(변동분석!$I$7:$I$506,변동분석!$C$7:$C$506,$A39&amp;"")</f>
        <v/>
      </c>
      <c r="E39" s="40">
        <f>C39-D39</f>
        <v/>
      </c>
      <c r="F39" s="35">
        <f>SUMIFS(변동분석!$G$7:$G$506,변동분석!$C$7:$C$506,$A39&amp;"")</f>
        <v/>
      </c>
      <c r="G39" s="35">
        <f>SUMIFS(변동분석!$K$7:$K$506,변동분석!$C$7:$C$506,$A39&amp;"")</f>
        <v/>
      </c>
      <c r="H39" s="35">
        <f>SUMIFS(변동분석!$L$7:$L$506,변동분석!$C$7:$C$506,$A39&amp;"")</f>
        <v/>
      </c>
      <c r="I39" s="35">
        <f>SUMIFS(변동분석!$Q$7:$Q$506,변동분석!$C$7:$C$506,$A39&amp;"")</f>
        <v/>
      </c>
      <c r="J39" s="35">
        <f>SUMIFS(변동분석!$AX$7:$AX$506,변동분석!$C$7:$C$506,$A39&amp;"")</f>
        <v/>
      </c>
    </row>
    <row r="40">
      <c r="A40" s="34">
        <f>계정변동!A8</f>
        <v/>
      </c>
      <c r="B40" s="26">
        <f>계정변동!B8</f>
        <v/>
      </c>
      <c r="C40" s="35">
        <f>SUMIFS(변동분석!$F$7:$F$506,변동분석!$C$7:$C$506,$A40&amp;"")</f>
        <v/>
      </c>
      <c r="D40" s="35">
        <f>SUMIFS(변동분석!$I$7:$I$506,변동분석!$C$7:$C$506,$A40&amp;"")</f>
        <v/>
      </c>
      <c r="E40" s="40">
        <f>C40-D40</f>
        <v/>
      </c>
      <c r="F40" s="35">
        <f>SUMIFS(변동분석!$G$7:$G$506,변동분석!$C$7:$C$506,$A40&amp;"")</f>
        <v/>
      </c>
      <c r="G40" s="35">
        <f>SUMIFS(변동분석!$K$7:$K$506,변동분석!$C$7:$C$506,$A40&amp;"")</f>
        <v/>
      </c>
      <c r="H40" s="35">
        <f>SUMIFS(변동분석!$L$7:$L$506,변동분석!$C$7:$C$506,$A40&amp;"")</f>
        <v/>
      </c>
      <c r="I40" s="35">
        <f>SUMIFS(변동분석!$Q$7:$Q$506,변동분석!$C$7:$C$506,$A40&amp;"")</f>
        <v/>
      </c>
      <c r="J40" s="35">
        <f>SUMIFS(변동분석!$AX$7:$AX$506,변동분석!$C$7:$C$506,$A40&amp;"")</f>
        <v/>
      </c>
    </row>
    <row r="41">
      <c r="A41" s="34">
        <f>계정변동!A9</f>
        <v/>
      </c>
      <c r="B41" s="26">
        <f>계정변동!B9</f>
        <v/>
      </c>
      <c r="C41" s="35">
        <f>SUMIFS(변동분석!$F$7:$F$506,변동분석!$C$7:$C$506,$A41&amp;"")</f>
        <v/>
      </c>
      <c r="D41" s="35">
        <f>SUMIFS(변동분석!$I$7:$I$506,변동분석!$C$7:$C$506,$A41&amp;"")</f>
        <v/>
      </c>
      <c r="E41" s="40">
        <f>C41-D41</f>
        <v/>
      </c>
      <c r="F41" s="35">
        <f>SUMIFS(변동분석!$G$7:$G$506,변동분석!$C$7:$C$506,$A41&amp;"")</f>
        <v/>
      </c>
      <c r="G41" s="35">
        <f>SUMIFS(변동분석!$K$7:$K$506,변동분석!$C$7:$C$506,$A41&amp;"")</f>
        <v/>
      </c>
      <c r="H41" s="35">
        <f>SUMIFS(변동분석!$L$7:$L$506,변동분석!$C$7:$C$506,$A41&amp;"")</f>
        <v/>
      </c>
      <c r="I41" s="35">
        <f>SUMIFS(변동분석!$Q$7:$Q$506,변동분석!$C$7:$C$506,$A41&amp;"")</f>
        <v/>
      </c>
      <c r="J41" s="35">
        <f>SUMIFS(변동분석!$AX$7:$AX$506,변동분석!$C$7:$C$506,$A41&amp;"")</f>
        <v/>
      </c>
    </row>
    <row r="42">
      <c r="A42" s="34">
        <f>계정변동!A10</f>
        <v/>
      </c>
      <c r="B42" s="26">
        <f>계정변동!B10</f>
        <v/>
      </c>
      <c r="C42" s="35">
        <f>SUMIFS(변동분석!$F$7:$F$506,변동분석!$C$7:$C$506,$A42&amp;"")</f>
        <v/>
      </c>
      <c r="D42" s="35">
        <f>SUMIFS(변동분석!$I$7:$I$506,변동분석!$C$7:$C$506,$A42&amp;"")</f>
        <v/>
      </c>
      <c r="E42" s="40">
        <f>C42-D42</f>
        <v/>
      </c>
      <c r="F42" s="35">
        <f>SUMIFS(변동분석!$G$7:$G$506,변동분석!$C$7:$C$506,$A42&amp;"")</f>
        <v/>
      </c>
      <c r="G42" s="35">
        <f>SUMIFS(변동분석!$K$7:$K$506,변동분석!$C$7:$C$506,$A42&amp;"")</f>
        <v/>
      </c>
      <c r="H42" s="35">
        <f>SUMIFS(변동분석!$L$7:$L$506,변동분석!$C$7:$C$506,$A42&amp;"")</f>
        <v/>
      </c>
      <c r="I42" s="35">
        <f>SUMIFS(변동분석!$Q$7:$Q$506,변동분석!$C$7:$C$506,$A42&amp;"")</f>
        <v/>
      </c>
      <c r="J42" s="35">
        <f>SUMIFS(변동분석!$AX$7:$AX$506,변동분석!$C$7:$C$506,$A42&amp;"")</f>
        <v/>
      </c>
    </row>
    <row r="43">
      <c r="A43" s="34">
        <f>계정변동!A11</f>
        <v/>
      </c>
      <c r="B43" s="26">
        <f>계정변동!B11</f>
        <v/>
      </c>
      <c r="C43" s="35">
        <f>SUMIFS(변동분석!$F$7:$F$506,변동분석!$C$7:$C$506,$A43&amp;"")</f>
        <v/>
      </c>
      <c r="D43" s="35">
        <f>SUMIFS(변동분석!$I$7:$I$506,변동분석!$C$7:$C$506,$A43&amp;"")</f>
        <v/>
      </c>
      <c r="E43" s="40">
        <f>C43-D43</f>
        <v/>
      </c>
      <c r="F43" s="35">
        <f>SUMIFS(변동분석!$G$7:$G$506,변동분석!$C$7:$C$506,$A43&amp;"")</f>
        <v/>
      </c>
      <c r="G43" s="35">
        <f>SUMIFS(변동분석!$K$7:$K$506,변동분석!$C$7:$C$506,$A43&amp;"")</f>
        <v/>
      </c>
      <c r="H43" s="35">
        <f>SUMIFS(변동분석!$L$7:$L$506,변동분석!$C$7:$C$506,$A43&amp;"")</f>
        <v/>
      </c>
      <c r="I43" s="35">
        <f>SUMIFS(변동분석!$Q$7:$Q$506,변동분석!$C$7:$C$506,$A43&amp;"")</f>
        <v/>
      </c>
      <c r="J43" s="35">
        <f>SUMIFS(변동분석!$AX$7:$AX$506,변동분석!$C$7:$C$506,$A43&amp;"")</f>
        <v/>
      </c>
    </row>
    <row r="44">
      <c r="A44" s="34">
        <f>계정변동!A12</f>
        <v/>
      </c>
      <c r="B44" s="26">
        <f>계정변동!B12</f>
        <v/>
      </c>
      <c r="C44" s="35">
        <f>SUMIFS(변동분석!$F$7:$F$506,변동분석!$C$7:$C$506,$A44&amp;"")</f>
        <v/>
      </c>
      <c r="D44" s="35">
        <f>SUMIFS(변동분석!$I$7:$I$506,변동분석!$C$7:$C$506,$A44&amp;"")</f>
        <v/>
      </c>
      <c r="E44" s="40">
        <f>C44-D44</f>
        <v/>
      </c>
      <c r="F44" s="35">
        <f>SUMIFS(변동분석!$G$7:$G$506,변동분석!$C$7:$C$506,$A44&amp;"")</f>
        <v/>
      </c>
      <c r="G44" s="35">
        <f>SUMIFS(변동분석!$K$7:$K$506,변동분석!$C$7:$C$506,$A44&amp;"")</f>
        <v/>
      </c>
      <c r="H44" s="35">
        <f>SUMIFS(변동분석!$L$7:$L$506,변동분석!$C$7:$C$506,$A44&amp;"")</f>
        <v/>
      </c>
      <c r="I44" s="35">
        <f>SUMIFS(변동분석!$Q$7:$Q$506,변동분석!$C$7:$C$506,$A44&amp;"")</f>
        <v/>
      </c>
      <c r="J44" s="35">
        <f>SUMIFS(변동분석!$AX$7:$AX$506,변동분석!$C$7:$C$506,$A44&amp;"")</f>
        <v/>
      </c>
    </row>
    <row r="45">
      <c r="A45" s="34">
        <f>계정변동!A13</f>
        <v/>
      </c>
      <c r="B45" s="26">
        <f>계정변동!B13</f>
        <v/>
      </c>
      <c r="C45" s="35">
        <f>SUMIFS(변동분석!$F$7:$F$506,변동분석!$C$7:$C$506,$A45&amp;"")</f>
        <v/>
      </c>
      <c r="D45" s="35">
        <f>SUMIFS(변동분석!$I$7:$I$506,변동분석!$C$7:$C$506,$A45&amp;"")</f>
        <v/>
      </c>
      <c r="E45" s="40">
        <f>C45-D45</f>
        <v/>
      </c>
      <c r="F45" s="35">
        <f>SUMIFS(변동분석!$G$7:$G$506,변동분석!$C$7:$C$506,$A45&amp;"")</f>
        <v/>
      </c>
      <c r="G45" s="35">
        <f>SUMIFS(변동분석!$K$7:$K$506,변동분석!$C$7:$C$506,$A45&amp;"")</f>
        <v/>
      </c>
      <c r="H45" s="35">
        <f>SUMIFS(변동분석!$L$7:$L$506,변동분석!$C$7:$C$506,$A45&amp;"")</f>
        <v/>
      </c>
      <c r="I45" s="35">
        <f>SUMIFS(변동분석!$Q$7:$Q$506,변동분석!$C$7:$C$506,$A45&amp;"")</f>
        <v/>
      </c>
      <c r="J45" s="35">
        <f>SUMIFS(변동분석!$AX$7:$AX$506,변동분석!$C$7:$C$506,$A45&amp;"")</f>
        <v/>
      </c>
    </row>
    <row r="46">
      <c r="A46" s="34">
        <f>계정변동!A14</f>
        <v/>
      </c>
      <c r="B46" s="26">
        <f>계정변동!B14</f>
        <v/>
      </c>
      <c r="C46" s="35">
        <f>SUMIFS(변동분석!$F$7:$F$506,변동분석!$C$7:$C$506,$A46&amp;"")</f>
        <v/>
      </c>
      <c r="D46" s="35">
        <f>SUMIFS(변동분석!$I$7:$I$506,변동분석!$C$7:$C$506,$A46&amp;"")</f>
        <v/>
      </c>
      <c r="E46" s="40">
        <f>C46-D46</f>
        <v/>
      </c>
      <c r="F46" s="35">
        <f>SUMIFS(변동분석!$G$7:$G$506,변동분석!$C$7:$C$506,$A46&amp;"")</f>
        <v/>
      </c>
      <c r="G46" s="35">
        <f>SUMIFS(변동분석!$K$7:$K$506,변동분석!$C$7:$C$506,$A46&amp;"")</f>
        <v/>
      </c>
      <c r="H46" s="35">
        <f>SUMIFS(변동분석!$L$7:$L$506,변동분석!$C$7:$C$506,$A46&amp;"")</f>
        <v/>
      </c>
      <c r="I46" s="35">
        <f>SUMIFS(변동분석!$Q$7:$Q$506,변동분석!$C$7:$C$506,$A46&amp;"")</f>
        <v/>
      </c>
      <c r="J46" s="35">
        <f>SUMIFS(변동분석!$AX$7:$AX$506,변동분석!$C$7:$C$506,$A46&amp;"")</f>
        <v/>
      </c>
    </row>
    <row r="47">
      <c r="A47" s="34">
        <f>계정변동!A15</f>
        <v/>
      </c>
      <c r="B47" s="26">
        <f>계정변동!B15</f>
        <v/>
      </c>
      <c r="C47" s="35">
        <f>SUMIFS(변동분석!$F$7:$F$506,변동분석!$C$7:$C$506,$A47&amp;"")</f>
        <v/>
      </c>
      <c r="D47" s="35">
        <f>SUMIFS(변동분석!$I$7:$I$506,변동분석!$C$7:$C$506,$A47&amp;"")</f>
        <v/>
      </c>
      <c r="E47" s="40">
        <f>C47-D47</f>
        <v/>
      </c>
      <c r="F47" s="35">
        <f>SUMIFS(변동분석!$G$7:$G$506,변동분석!$C$7:$C$506,$A47&amp;"")</f>
        <v/>
      </c>
      <c r="G47" s="35">
        <f>SUMIFS(변동분석!$K$7:$K$506,변동분석!$C$7:$C$506,$A47&amp;"")</f>
        <v/>
      </c>
      <c r="H47" s="35">
        <f>SUMIFS(변동분석!$L$7:$L$506,변동분석!$C$7:$C$506,$A47&amp;"")</f>
        <v/>
      </c>
      <c r="I47" s="35">
        <f>SUMIFS(변동분석!$Q$7:$Q$506,변동분석!$C$7:$C$506,$A47&amp;"")</f>
        <v/>
      </c>
      <c r="J47" s="35">
        <f>SUMIFS(변동분석!$AX$7:$AX$506,변동분석!$C$7:$C$506,$A47&amp;"")</f>
        <v/>
      </c>
    </row>
    <row r="48">
      <c r="A48" s="34">
        <f>계정변동!A16</f>
        <v/>
      </c>
      <c r="B48" s="26">
        <f>계정변동!B16</f>
        <v/>
      </c>
      <c r="C48" s="35">
        <f>SUMIFS(변동분석!$F$7:$F$506,변동분석!$C$7:$C$506,$A48&amp;"")</f>
        <v/>
      </c>
      <c r="D48" s="35">
        <f>SUMIFS(변동분석!$I$7:$I$506,변동분석!$C$7:$C$506,$A48&amp;"")</f>
        <v/>
      </c>
      <c r="E48" s="40">
        <f>C48-D48</f>
        <v/>
      </c>
      <c r="F48" s="35">
        <f>SUMIFS(변동분석!$G$7:$G$506,변동분석!$C$7:$C$506,$A48&amp;"")</f>
        <v/>
      </c>
      <c r="G48" s="35">
        <f>SUMIFS(변동분석!$K$7:$K$506,변동분석!$C$7:$C$506,$A48&amp;"")</f>
        <v/>
      </c>
      <c r="H48" s="35">
        <f>SUMIFS(변동분석!$L$7:$L$506,변동분석!$C$7:$C$506,$A48&amp;"")</f>
        <v/>
      </c>
      <c r="I48" s="35">
        <f>SUMIFS(변동분석!$Q$7:$Q$506,변동분석!$C$7:$C$506,$A48&amp;"")</f>
        <v/>
      </c>
      <c r="J48" s="35">
        <f>SUMIFS(변동분석!$AX$7:$AX$506,변동분석!$C$7:$C$506,$A48&amp;"")</f>
        <v/>
      </c>
    </row>
    <row r="49">
      <c r="A49" s="34">
        <f>계정변동!A17</f>
        <v/>
      </c>
      <c r="B49" s="26">
        <f>계정변동!B17</f>
        <v/>
      </c>
      <c r="C49" s="35">
        <f>SUMIFS(변동분석!$F$7:$F$506,변동분석!$C$7:$C$506,$A49&amp;"")</f>
        <v/>
      </c>
      <c r="D49" s="35">
        <f>SUMIFS(변동분석!$I$7:$I$506,변동분석!$C$7:$C$506,$A49&amp;"")</f>
        <v/>
      </c>
      <c r="E49" s="40">
        <f>C49-D49</f>
        <v/>
      </c>
      <c r="F49" s="35">
        <f>SUMIFS(변동분석!$G$7:$G$506,변동분석!$C$7:$C$506,$A49&amp;"")</f>
        <v/>
      </c>
      <c r="G49" s="35">
        <f>SUMIFS(변동분석!$K$7:$K$506,변동분석!$C$7:$C$506,$A49&amp;"")</f>
        <v/>
      </c>
      <c r="H49" s="35">
        <f>SUMIFS(변동분석!$L$7:$L$506,변동분석!$C$7:$C$506,$A49&amp;"")</f>
        <v/>
      </c>
      <c r="I49" s="35">
        <f>SUMIFS(변동분석!$Q$7:$Q$506,변동분석!$C$7:$C$506,$A49&amp;"")</f>
        <v/>
      </c>
      <c r="J49" s="35">
        <f>SUMIFS(변동분석!$AX$7:$AX$506,변동분석!$C$7:$C$506,$A49&amp;"")</f>
        <v/>
      </c>
    </row>
    <row r="50">
      <c r="A50" s="34">
        <f>계정변동!A18</f>
        <v/>
      </c>
      <c r="B50" s="26">
        <f>계정변동!B18</f>
        <v/>
      </c>
      <c r="C50" s="35">
        <f>SUMIFS(변동분석!$F$7:$F$506,변동분석!$C$7:$C$506,$A50&amp;"")</f>
        <v/>
      </c>
      <c r="D50" s="35">
        <f>SUMIFS(변동분석!$I$7:$I$506,변동분석!$C$7:$C$506,$A50&amp;"")</f>
        <v/>
      </c>
      <c r="E50" s="40">
        <f>C50-D50</f>
        <v/>
      </c>
      <c r="F50" s="35">
        <f>SUMIFS(변동분석!$G$7:$G$506,변동분석!$C$7:$C$506,$A50&amp;"")</f>
        <v/>
      </c>
      <c r="G50" s="35">
        <f>SUMIFS(변동분석!$K$7:$K$506,변동분석!$C$7:$C$506,$A50&amp;"")</f>
        <v/>
      </c>
      <c r="H50" s="35">
        <f>SUMIFS(변동분석!$L$7:$L$506,변동분석!$C$7:$C$506,$A50&amp;"")</f>
        <v/>
      </c>
      <c r="I50" s="35">
        <f>SUMIFS(변동분석!$Q$7:$Q$506,변동분석!$C$7:$C$506,$A50&amp;"")</f>
        <v/>
      </c>
      <c r="J50" s="35">
        <f>SUMIFS(변동분석!$AX$7:$AX$506,변동분석!$C$7:$C$506,$A50&amp;"")</f>
        <v/>
      </c>
    </row>
    <row r="51">
      <c r="A51" s="34">
        <f>계정변동!A19</f>
        <v/>
      </c>
      <c r="B51" s="26">
        <f>계정변동!B19</f>
        <v/>
      </c>
      <c r="C51" s="35">
        <f>SUMIFS(변동분석!$F$7:$F$506,변동분석!$C$7:$C$506,$A51&amp;"")</f>
        <v/>
      </c>
      <c r="D51" s="35">
        <f>SUMIFS(변동분석!$I$7:$I$506,변동분석!$C$7:$C$506,$A51&amp;"")</f>
        <v/>
      </c>
      <c r="E51" s="40">
        <f>C51-D51</f>
        <v/>
      </c>
      <c r="F51" s="35">
        <f>SUMIFS(변동분석!$G$7:$G$506,변동분석!$C$7:$C$506,$A51&amp;"")</f>
        <v/>
      </c>
      <c r="G51" s="35">
        <f>SUMIFS(변동분석!$K$7:$K$506,변동분석!$C$7:$C$506,$A51&amp;"")</f>
        <v/>
      </c>
      <c r="H51" s="35">
        <f>SUMIFS(변동분석!$L$7:$L$506,변동분석!$C$7:$C$506,$A51&amp;"")</f>
        <v/>
      </c>
      <c r="I51" s="35">
        <f>SUMIFS(변동분석!$Q$7:$Q$506,변동분석!$C$7:$C$506,$A51&amp;"")</f>
        <v/>
      </c>
      <c r="J51" s="35">
        <f>SUMIFS(변동분석!$AX$7:$AX$506,변동분석!$C$7:$C$506,$A51&amp;"")</f>
        <v/>
      </c>
    </row>
    <row r="52">
      <c r="A52" s="34">
        <f>계정변동!A20</f>
        <v/>
      </c>
      <c r="B52" s="26">
        <f>계정변동!B20</f>
        <v/>
      </c>
      <c r="C52" s="35">
        <f>SUMIFS(변동분석!$F$7:$F$506,변동분석!$C$7:$C$506,$A52&amp;"")</f>
        <v/>
      </c>
      <c r="D52" s="35">
        <f>SUMIFS(변동분석!$I$7:$I$506,변동분석!$C$7:$C$506,$A52&amp;"")</f>
        <v/>
      </c>
      <c r="E52" s="40">
        <f>C52-D52</f>
        <v/>
      </c>
      <c r="F52" s="35">
        <f>SUMIFS(변동분석!$G$7:$G$506,변동분석!$C$7:$C$506,$A52&amp;"")</f>
        <v/>
      </c>
      <c r="G52" s="35">
        <f>SUMIFS(변동분석!$K$7:$K$506,변동분석!$C$7:$C$506,$A52&amp;"")</f>
        <v/>
      </c>
      <c r="H52" s="35">
        <f>SUMIFS(변동분석!$L$7:$L$506,변동분석!$C$7:$C$506,$A52&amp;"")</f>
        <v/>
      </c>
      <c r="I52" s="35">
        <f>SUMIFS(변동분석!$Q$7:$Q$506,변동분석!$C$7:$C$506,$A52&amp;"")</f>
        <v/>
      </c>
      <c r="J52" s="35">
        <f>SUMIFS(변동분석!$AX$7:$AX$506,변동분석!$C$7:$C$506,$A52&amp;"")</f>
        <v/>
      </c>
    </row>
    <row r="53">
      <c r="A53" s="34">
        <f>계정변동!A21</f>
        <v/>
      </c>
      <c r="B53" s="26">
        <f>계정변동!B21</f>
        <v/>
      </c>
      <c r="C53" s="35">
        <f>SUMIFS(변동분석!$F$7:$F$506,변동분석!$C$7:$C$506,$A53&amp;"")</f>
        <v/>
      </c>
      <c r="D53" s="35">
        <f>SUMIFS(변동분석!$I$7:$I$506,변동분석!$C$7:$C$506,$A53&amp;"")</f>
        <v/>
      </c>
      <c r="E53" s="40">
        <f>C53-D53</f>
        <v/>
      </c>
      <c r="F53" s="35">
        <f>SUMIFS(변동분석!$G$7:$G$506,변동분석!$C$7:$C$506,$A53&amp;"")</f>
        <v/>
      </c>
      <c r="G53" s="35">
        <f>SUMIFS(변동분석!$K$7:$K$506,변동분석!$C$7:$C$506,$A53&amp;"")</f>
        <v/>
      </c>
      <c r="H53" s="35">
        <f>SUMIFS(변동분석!$L$7:$L$506,변동분석!$C$7:$C$506,$A53&amp;"")</f>
        <v/>
      </c>
      <c r="I53" s="35">
        <f>SUMIFS(변동분석!$Q$7:$Q$506,변동분석!$C$7:$C$506,$A53&amp;"")</f>
        <v/>
      </c>
      <c r="J53" s="35">
        <f>SUMIFS(변동분석!$AX$7:$AX$506,변동분석!$C$7:$C$506,$A53&amp;"")</f>
        <v/>
      </c>
    </row>
    <row r="54">
      <c r="A54" s="34">
        <f>계정변동!A22</f>
        <v/>
      </c>
      <c r="B54" s="26">
        <f>계정변동!B22</f>
        <v/>
      </c>
      <c r="C54" s="35">
        <f>SUMIFS(변동분석!$F$7:$F$506,변동분석!$C$7:$C$506,$A54&amp;"")</f>
        <v/>
      </c>
      <c r="D54" s="35">
        <f>SUMIFS(변동분석!$I$7:$I$506,변동분석!$C$7:$C$506,$A54&amp;"")</f>
        <v/>
      </c>
      <c r="E54" s="40">
        <f>C54-D54</f>
        <v/>
      </c>
      <c r="F54" s="35">
        <f>SUMIFS(변동분석!$G$7:$G$506,변동분석!$C$7:$C$506,$A54&amp;"")</f>
        <v/>
      </c>
      <c r="G54" s="35">
        <f>SUMIFS(변동분석!$K$7:$K$506,변동분석!$C$7:$C$506,$A54&amp;"")</f>
        <v/>
      </c>
      <c r="H54" s="35">
        <f>SUMIFS(변동분석!$L$7:$L$506,변동분석!$C$7:$C$506,$A54&amp;"")</f>
        <v/>
      </c>
      <c r="I54" s="35">
        <f>SUMIFS(변동분석!$Q$7:$Q$506,변동분석!$C$7:$C$506,$A54&amp;"")</f>
        <v/>
      </c>
      <c r="J54" s="35">
        <f>SUMIFS(변동분석!$AX$7:$AX$506,변동분석!$C$7:$C$506,$A54&amp;"")</f>
        <v/>
      </c>
    </row>
    <row r="55">
      <c r="A55" s="34">
        <f>계정변동!A23</f>
        <v/>
      </c>
      <c r="B55" s="26">
        <f>계정변동!B23</f>
        <v/>
      </c>
      <c r="C55" s="35">
        <f>SUMIFS(변동분석!$F$7:$F$506,변동분석!$C$7:$C$506,$A55&amp;"")</f>
        <v/>
      </c>
      <c r="D55" s="35">
        <f>SUMIFS(변동분석!$I$7:$I$506,변동분석!$C$7:$C$506,$A55&amp;"")</f>
        <v/>
      </c>
      <c r="E55" s="40">
        <f>C55-D55</f>
        <v/>
      </c>
      <c r="F55" s="35">
        <f>SUMIFS(변동분석!$G$7:$G$506,변동분석!$C$7:$C$506,$A55&amp;"")</f>
        <v/>
      </c>
      <c r="G55" s="35">
        <f>SUMIFS(변동분석!$K$7:$K$506,변동분석!$C$7:$C$506,$A55&amp;"")</f>
        <v/>
      </c>
      <c r="H55" s="35">
        <f>SUMIFS(변동분석!$L$7:$L$506,변동분석!$C$7:$C$506,$A55&amp;"")</f>
        <v/>
      </c>
      <c r="I55" s="35">
        <f>SUMIFS(변동분석!$Q$7:$Q$506,변동분석!$C$7:$C$506,$A55&amp;"")</f>
        <v/>
      </c>
      <c r="J55" s="35">
        <f>SUMIFS(변동분석!$AX$7:$AX$506,변동분석!$C$7:$C$506,$A55&amp;"")</f>
        <v/>
      </c>
    </row>
    <row r="56">
      <c r="A56" s="34">
        <f>계정변동!A24</f>
        <v/>
      </c>
      <c r="B56" s="26">
        <f>계정변동!B24</f>
        <v/>
      </c>
      <c r="C56" s="35">
        <f>SUMIFS(변동분석!$F$7:$F$506,변동분석!$C$7:$C$506,$A56&amp;"")</f>
        <v/>
      </c>
      <c r="D56" s="35">
        <f>SUMIFS(변동분석!$I$7:$I$506,변동분석!$C$7:$C$506,$A56&amp;"")</f>
        <v/>
      </c>
      <c r="E56" s="40">
        <f>C56-D56</f>
        <v/>
      </c>
      <c r="F56" s="35">
        <f>SUMIFS(변동분석!$G$7:$G$506,변동분석!$C$7:$C$506,$A56&amp;"")</f>
        <v/>
      </c>
      <c r="G56" s="35">
        <f>SUMIFS(변동분석!$K$7:$K$506,변동분석!$C$7:$C$506,$A56&amp;"")</f>
        <v/>
      </c>
      <c r="H56" s="35">
        <f>SUMIFS(변동분석!$L$7:$L$506,변동분석!$C$7:$C$506,$A56&amp;"")</f>
        <v/>
      </c>
      <c r="I56" s="35">
        <f>SUMIFS(변동분석!$Q$7:$Q$506,변동분석!$C$7:$C$506,$A56&amp;"")</f>
        <v/>
      </c>
      <c r="J56" s="35">
        <f>SUMIFS(변동분석!$AX$7:$AX$506,변동분석!$C$7:$C$506,$A56&amp;"")</f>
        <v/>
      </c>
    </row>
    <row r="60" ht="30" customHeight="1">
      <c r="A60" s="4" t="inlineStr">
        <is>
          <t>기간번호</t>
        </is>
      </c>
      <c r="B60" s="4" t="inlineStr">
        <is>
          <t>기간</t>
        </is>
      </c>
      <c r="C60" s="4" t="inlineStr">
        <is>
          <t>자산총계</t>
        </is>
      </c>
      <c r="D60" s="4" t="inlineStr">
        <is>
          <t>부채총계</t>
        </is>
      </c>
      <c r="E60" s="4" t="inlineStr">
        <is>
          <t>자본총계</t>
        </is>
      </c>
      <c r="F60" s="4" t="inlineStr">
        <is>
          <t>보험계약마진
(CSM)</t>
        </is>
      </c>
      <c r="G60" s="4" t="inlineStr">
        <is>
          <t>운용자산</t>
        </is>
      </c>
    </row>
    <row r="61">
      <c r="A61" s="86">
        <f>설정!$C$20-11</f>
        <v/>
      </c>
      <c r="B61" s="22">
        <f>INT((A61-1)/12)&amp;"-"&amp;TEXT(MOD(A61-1,12)+1,"00")</f>
        <v/>
      </c>
      <c r="C61" s="52">
        <f>SUMIFS(BS_원본!$K$5:$K$20000,BS_원본!$J$5:$J$20000,"A000",BS_원본!$I$5:$I$20000,$A61)</f>
        <v/>
      </c>
      <c r="D61" s="52">
        <f>SUMIFS(BS_원본!$K$5:$K$20000,BS_원본!$J$5:$J$20000,"L000",BS_원본!$I$5:$I$20000,$A61)</f>
        <v/>
      </c>
      <c r="E61" s="52">
        <f>SUMIFS(BS_원본!$K$5:$K$20000,BS_원본!$J$5:$J$20000,"E000",BS_원본!$I$5:$I$20000,$A61)</f>
        <v/>
      </c>
      <c r="F61" s="52">
        <f>SUMIFS(BS_원본!$K$5:$K$20000,BS_원본!$J$5:$J$20000,"L130",BS_원본!$I$5:$I$20000,$A61)</f>
        <v/>
      </c>
      <c r="G61" s="52">
        <f>SUMIFS(BS_원본!$K$5:$K$20000,BS_원본!$J$5:$J$20000,"A100",BS_원본!$I$5:$I$20000,$A61)</f>
        <v/>
      </c>
    </row>
    <row r="62">
      <c r="A62" s="86">
        <f>설정!$C$20-10</f>
        <v/>
      </c>
      <c r="B62" s="22">
        <f>INT((A62-1)/12)&amp;"-"&amp;TEXT(MOD(A62-1,12)+1,"00")</f>
        <v/>
      </c>
      <c r="C62" s="52">
        <f>SUMIFS(BS_원본!$K$5:$K$20000,BS_원본!$J$5:$J$20000,"A000",BS_원본!$I$5:$I$20000,$A62)</f>
        <v/>
      </c>
      <c r="D62" s="52">
        <f>SUMIFS(BS_원본!$K$5:$K$20000,BS_원본!$J$5:$J$20000,"L000",BS_원본!$I$5:$I$20000,$A62)</f>
        <v/>
      </c>
      <c r="E62" s="52">
        <f>SUMIFS(BS_원본!$K$5:$K$20000,BS_원본!$J$5:$J$20000,"E000",BS_원본!$I$5:$I$20000,$A62)</f>
        <v/>
      </c>
      <c r="F62" s="52">
        <f>SUMIFS(BS_원본!$K$5:$K$20000,BS_원본!$J$5:$J$20000,"L130",BS_원본!$I$5:$I$20000,$A62)</f>
        <v/>
      </c>
      <c r="G62" s="52">
        <f>SUMIFS(BS_원본!$K$5:$K$20000,BS_원본!$J$5:$J$20000,"A100",BS_원본!$I$5:$I$20000,$A62)</f>
        <v/>
      </c>
    </row>
    <row r="63">
      <c r="A63" s="86">
        <f>설정!$C$20-9</f>
        <v/>
      </c>
      <c r="B63" s="22">
        <f>INT((A63-1)/12)&amp;"-"&amp;TEXT(MOD(A63-1,12)+1,"00")</f>
        <v/>
      </c>
      <c r="C63" s="52">
        <f>SUMIFS(BS_원본!$K$5:$K$20000,BS_원본!$J$5:$J$20000,"A000",BS_원본!$I$5:$I$20000,$A63)</f>
        <v/>
      </c>
      <c r="D63" s="52">
        <f>SUMIFS(BS_원본!$K$5:$K$20000,BS_원본!$J$5:$J$20000,"L000",BS_원본!$I$5:$I$20000,$A63)</f>
        <v/>
      </c>
      <c r="E63" s="52">
        <f>SUMIFS(BS_원본!$K$5:$K$20000,BS_원본!$J$5:$J$20000,"E000",BS_원본!$I$5:$I$20000,$A63)</f>
        <v/>
      </c>
      <c r="F63" s="52">
        <f>SUMIFS(BS_원본!$K$5:$K$20000,BS_원본!$J$5:$J$20000,"L130",BS_원본!$I$5:$I$20000,$A63)</f>
        <v/>
      </c>
      <c r="G63" s="52">
        <f>SUMIFS(BS_원본!$K$5:$K$20000,BS_원본!$J$5:$J$20000,"A100",BS_원본!$I$5:$I$20000,$A63)</f>
        <v/>
      </c>
    </row>
    <row r="64">
      <c r="A64" s="86">
        <f>설정!$C$20-8</f>
        <v/>
      </c>
      <c r="B64" s="22">
        <f>INT((A64-1)/12)&amp;"-"&amp;TEXT(MOD(A64-1,12)+1,"00")</f>
        <v/>
      </c>
      <c r="C64" s="52">
        <f>SUMIFS(BS_원본!$K$5:$K$20000,BS_원본!$J$5:$J$20000,"A000",BS_원본!$I$5:$I$20000,$A64)</f>
        <v/>
      </c>
      <c r="D64" s="52">
        <f>SUMIFS(BS_원본!$K$5:$K$20000,BS_원본!$J$5:$J$20000,"L000",BS_원본!$I$5:$I$20000,$A64)</f>
        <v/>
      </c>
      <c r="E64" s="52">
        <f>SUMIFS(BS_원본!$K$5:$K$20000,BS_원본!$J$5:$J$20000,"E000",BS_원본!$I$5:$I$20000,$A64)</f>
        <v/>
      </c>
      <c r="F64" s="52">
        <f>SUMIFS(BS_원본!$K$5:$K$20000,BS_원본!$J$5:$J$20000,"L130",BS_원본!$I$5:$I$20000,$A64)</f>
        <v/>
      </c>
      <c r="G64" s="52">
        <f>SUMIFS(BS_원본!$K$5:$K$20000,BS_원본!$J$5:$J$20000,"A100",BS_원본!$I$5:$I$20000,$A64)</f>
        <v/>
      </c>
    </row>
    <row r="65">
      <c r="A65" s="86">
        <f>설정!$C$20-7</f>
        <v/>
      </c>
      <c r="B65" s="22">
        <f>INT((A65-1)/12)&amp;"-"&amp;TEXT(MOD(A65-1,12)+1,"00")</f>
        <v/>
      </c>
      <c r="C65" s="52">
        <f>SUMIFS(BS_원본!$K$5:$K$20000,BS_원본!$J$5:$J$20000,"A000",BS_원본!$I$5:$I$20000,$A65)</f>
        <v/>
      </c>
      <c r="D65" s="52">
        <f>SUMIFS(BS_원본!$K$5:$K$20000,BS_원본!$J$5:$J$20000,"L000",BS_원본!$I$5:$I$20000,$A65)</f>
        <v/>
      </c>
      <c r="E65" s="52">
        <f>SUMIFS(BS_원본!$K$5:$K$20000,BS_원본!$J$5:$J$20000,"E000",BS_원본!$I$5:$I$20000,$A65)</f>
        <v/>
      </c>
      <c r="F65" s="52">
        <f>SUMIFS(BS_원본!$K$5:$K$20000,BS_원본!$J$5:$J$20000,"L130",BS_원본!$I$5:$I$20000,$A65)</f>
        <v/>
      </c>
      <c r="G65" s="52">
        <f>SUMIFS(BS_원본!$K$5:$K$20000,BS_원본!$J$5:$J$20000,"A100",BS_원본!$I$5:$I$20000,$A65)</f>
        <v/>
      </c>
    </row>
    <row r="66">
      <c r="A66" s="86">
        <f>설정!$C$20-6</f>
        <v/>
      </c>
      <c r="B66" s="22">
        <f>INT((A66-1)/12)&amp;"-"&amp;TEXT(MOD(A66-1,12)+1,"00")</f>
        <v/>
      </c>
      <c r="C66" s="52">
        <f>SUMIFS(BS_원본!$K$5:$K$20000,BS_원본!$J$5:$J$20000,"A000",BS_원본!$I$5:$I$20000,$A66)</f>
        <v/>
      </c>
      <c r="D66" s="52">
        <f>SUMIFS(BS_원본!$K$5:$K$20000,BS_원본!$J$5:$J$20000,"L000",BS_원본!$I$5:$I$20000,$A66)</f>
        <v/>
      </c>
      <c r="E66" s="52">
        <f>SUMIFS(BS_원본!$K$5:$K$20000,BS_원본!$J$5:$J$20000,"E000",BS_원본!$I$5:$I$20000,$A66)</f>
        <v/>
      </c>
      <c r="F66" s="52">
        <f>SUMIFS(BS_원본!$K$5:$K$20000,BS_원본!$J$5:$J$20000,"L130",BS_원본!$I$5:$I$20000,$A66)</f>
        <v/>
      </c>
      <c r="G66" s="52">
        <f>SUMIFS(BS_원본!$K$5:$K$20000,BS_원본!$J$5:$J$20000,"A100",BS_원본!$I$5:$I$20000,$A66)</f>
        <v/>
      </c>
    </row>
    <row r="67">
      <c r="A67" s="86">
        <f>설정!$C$20-5</f>
        <v/>
      </c>
      <c r="B67" s="22">
        <f>INT((A67-1)/12)&amp;"-"&amp;TEXT(MOD(A67-1,12)+1,"00")</f>
        <v/>
      </c>
      <c r="C67" s="52">
        <f>SUMIFS(BS_원본!$K$5:$K$20000,BS_원본!$J$5:$J$20000,"A000",BS_원본!$I$5:$I$20000,$A67)</f>
        <v/>
      </c>
      <c r="D67" s="52">
        <f>SUMIFS(BS_원본!$K$5:$K$20000,BS_원본!$J$5:$J$20000,"L000",BS_원본!$I$5:$I$20000,$A67)</f>
        <v/>
      </c>
      <c r="E67" s="52">
        <f>SUMIFS(BS_원본!$K$5:$K$20000,BS_원본!$J$5:$J$20000,"E000",BS_원본!$I$5:$I$20000,$A67)</f>
        <v/>
      </c>
      <c r="F67" s="52">
        <f>SUMIFS(BS_원본!$K$5:$K$20000,BS_원본!$J$5:$J$20000,"L130",BS_원본!$I$5:$I$20000,$A67)</f>
        <v/>
      </c>
      <c r="G67" s="52">
        <f>SUMIFS(BS_원본!$K$5:$K$20000,BS_원본!$J$5:$J$20000,"A100",BS_원본!$I$5:$I$20000,$A67)</f>
        <v/>
      </c>
    </row>
    <row r="68">
      <c r="A68" s="86">
        <f>설정!$C$20-4</f>
        <v/>
      </c>
      <c r="B68" s="22">
        <f>INT((A68-1)/12)&amp;"-"&amp;TEXT(MOD(A68-1,12)+1,"00")</f>
        <v/>
      </c>
      <c r="C68" s="52">
        <f>SUMIFS(BS_원본!$K$5:$K$20000,BS_원본!$J$5:$J$20000,"A000",BS_원본!$I$5:$I$20000,$A68)</f>
        <v/>
      </c>
      <c r="D68" s="52">
        <f>SUMIFS(BS_원본!$K$5:$K$20000,BS_원본!$J$5:$J$20000,"L000",BS_원본!$I$5:$I$20000,$A68)</f>
        <v/>
      </c>
      <c r="E68" s="52">
        <f>SUMIFS(BS_원본!$K$5:$K$20000,BS_원본!$J$5:$J$20000,"E000",BS_원본!$I$5:$I$20000,$A68)</f>
        <v/>
      </c>
      <c r="F68" s="52">
        <f>SUMIFS(BS_원본!$K$5:$K$20000,BS_원본!$J$5:$J$20000,"L130",BS_원본!$I$5:$I$20000,$A68)</f>
        <v/>
      </c>
      <c r="G68" s="52">
        <f>SUMIFS(BS_원본!$K$5:$K$20000,BS_원본!$J$5:$J$20000,"A100",BS_원본!$I$5:$I$20000,$A68)</f>
        <v/>
      </c>
    </row>
    <row r="69">
      <c r="A69" s="86">
        <f>설정!$C$20-3</f>
        <v/>
      </c>
      <c r="B69" s="22">
        <f>INT((A69-1)/12)&amp;"-"&amp;TEXT(MOD(A69-1,12)+1,"00")</f>
        <v/>
      </c>
      <c r="C69" s="52">
        <f>SUMIFS(BS_원본!$K$5:$K$20000,BS_원본!$J$5:$J$20000,"A000",BS_원본!$I$5:$I$20000,$A69)</f>
        <v/>
      </c>
      <c r="D69" s="52">
        <f>SUMIFS(BS_원본!$K$5:$K$20000,BS_원본!$J$5:$J$20000,"L000",BS_원본!$I$5:$I$20000,$A69)</f>
        <v/>
      </c>
      <c r="E69" s="52">
        <f>SUMIFS(BS_원본!$K$5:$K$20000,BS_원본!$J$5:$J$20000,"E000",BS_원본!$I$5:$I$20000,$A69)</f>
        <v/>
      </c>
      <c r="F69" s="52">
        <f>SUMIFS(BS_원본!$K$5:$K$20000,BS_원본!$J$5:$J$20000,"L130",BS_원본!$I$5:$I$20000,$A69)</f>
        <v/>
      </c>
      <c r="G69" s="52">
        <f>SUMIFS(BS_원본!$K$5:$K$20000,BS_원본!$J$5:$J$20000,"A100",BS_원본!$I$5:$I$20000,$A69)</f>
        <v/>
      </c>
    </row>
    <row r="70">
      <c r="A70" s="86">
        <f>설정!$C$20-2</f>
        <v/>
      </c>
      <c r="B70" s="22">
        <f>INT((A70-1)/12)&amp;"-"&amp;TEXT(MOD(A70-1,12)+1,"00")</f>
        <v/>
      </c>
      <c r="C70" s="52">
        <f>SUMIFS(BS_원본!$K$5:$K$20000,BS_원본!$J$5:$J$20000,"A000",BS_원본!$I$5:$I$20000,$A70)</f>
        <v/>
      </c>
      <c r="D70" s="52">
        <f>SUMIFS(BS_원본!$K$5:$K$20000,BS_원본!$J$5:$J$20000,"L000",BS_원본!$I$5:$I$20000,$A70)</f>
        <v/>
      </c>
      <c r="E70" s="52">
        <f>SUMIFS(BS_원본!$K$5:$K$20000,BS_원본!$J$5:$J$20000,"E000",BS_원본!$I$5:$I$20000,$A70)</f>
        <v/>
      </c>
      <c r="F70" s="52">
        <f>SUMIFS(BS_원본!$K$5:$K$20000,BS_원본!$J$5:$J$20000,"L130",BS_원본!$I$5:$I$20000,$A70)</f>
        <v/>
      </c>
      <c r="G70" s="52">
        <f>SUMIFS(BS_원본!$K$5:$K$20000,BS_원본!$J$5:$J$20000,"A100",BS_원본!$I$5:$I$20000,$A70)</f>
        <v/>
      </c>
    </row>
    <row r="71">
      <c r="A71" s="86">
        <f>설정!$C$20-1</f>
        <v/>
      </c>
      <c r="B71" s="22">
        <f>INT((A71-1)/12)&amp;"-"&amp;TEXT(MOD(A71-1,12)+1,"00")</f>
        <v/>
      </c>
      <c r="C71" s="52">
        <f>SUMIFS(BS_원본!$K$5:$K$20000,BS_원본!$J$5:$J$20000,"A000",BS_원본!$I$5:$I$20000,$A71)</f>
        <v/>
      </c>
      <c r="D71" s="52">
        <f>SUMIFS(BS_원본!$K$5:$K$20000,BS_원본!$J$5:$J$20000,"L000",BS_원본!$I$5:$I$20000,$A71)</f>
        <v/>
      </c>
      <c r="E71" s="52">
        <f>SUMIFS(BS_원본!$K$5:$K$20000,BS_원본!$J$5:$J$20000,"E000",BS_원본!$I$5:$I$20000,$A71)</f>
        <v/>
      </c>
      <c r="F71" s="52">
        <f>SUMIFS(BS_원본!$K$5:$K$20000,BS_원본!$J$5:$J$20000,"L130",BS_원본!$I$5:$I$20000,$A71)</f>
        <v/>
      </c>
      <c r="G71" s="52">
        <f>SUMIFS(BS_원본!$K$5:$K$20000,BS_원본!$J$5:$J$20000,"A100",BS_원본!$I$5:$I$20000,$A71)</f>
        <v/>
      </c>
    </row>
    <row r="72">
      <c r="A72" s="86">
        <f>설정!$C$20-0</f>
        <v/>
      </c>
      <c r="B72" s="22">
        <f>INT((A72-1)/12)&amp;"-"&amp;TEXT(MOD(A72-1,12)+1,"00")</f>
        <v/>
      </c>
      <c r="C72" s="52">
        <f>SUMIFS(BS_원본!$K$5:$K$20000,BS_원본!$J$5:$J$20000,"A000",BS_원본!$I$5:$I$20000,$A72)</f>
        <v/>
      </c>
      <c r="D72" s="52">
        <f>SUMIFS(BS_원본!$K$5:$K$20000,BS_원본!$J$5:$J$20000,"L000",BS_원본!$I$5:$I$20000,$A72)</f>
        <v/>
      </c>
      <c r="E72" s="52">
        <f>SUMIFS(BS_원본!$K$5:$K$20000,BS_원본!$J$5:$J$20000,"E000",BS_원본!$I$5:$I$20000,$A72)</f>
        <v/>
      </c>
      <c r="F72" s="52">
        <f>SUMIFS(BS_원본!$K$5:$K$20000,BS_원본!$J$5:$J$20000,"L130",BS_원본!$I$5:$I$20000,$A72)</f>
        <v/>
      </c>
      <c r="G72" s="52">
        <f>SUMIFS(BS_원본!$K$5:$K$20000,BS_원본!$J$5:$J$20000,"A100",BS_원본!$I$5:$I$20000,$A72)</f>
        <v/>
      </c>
    </row>
    <row r="75" ht="30" customHeight="1">
      <c r="A75" s="4" t="inlineStr">
        <is>
          <t>월</t>
        </is>
      </c>
      <c r="B75" s="4" t="inlineStr">
        <is>
          <t>당기순이익
당해</t>
        </is>
      </c>
      <c r="C75" s="4" t="inlineStr">
        <is>
          <t>당기순이익
전년</t>
        </is>
      </c>
      <c r="D75" s="4" t="inlineStr">
        <is>
          <t>보험손익
당해</t>
        </is>
      </c>
      <c r="E75" s="4" t="inlineStr">
        <is>
          <t>투자손익
당해</t>
        </is>
      </c>
      <c r="F75" s="4" t="inlineStr">
        <is>
          <t>사업비
당해</t>
        </is>
      </c>
      <c r="G75" s="4" t="inlineStr">
        <is>
          <t>보험손익
전년</t>
        </is>
      </c>
    </row>
    <row r="76">
      <c r="A76" s="22" t="inlineStr">
        <is>
          <t>1월</t>
        </is>
      </c>
      <c r="B76" s="52">
        <f>IF(1&gt;설정!$C$7,0,SUMIFS(PL_원본!$L$5:$L$20000,PL_원본!$K$5:$K$20000,"P600",PL_원본!$J$5:$J$20000,설정!$C$6*12+1))</f>
        <v/>
      </c>
      <c r="C76" s="52">
        <f>SUMIFS(PL_원본!$L$5:$L$20000,PL_원본!$K$5:$K$20000,"P600",PL_원본!$J$5:$J$20000,(설정!$C$6-1)*12+1)</f>
        <v/>
      </c>
      <c r="D76" s="52">
        <f>IF(1&gt;설정!$C$7,0,SUMIFS(PL_원본!$L$5:$L$20000,PL_원본!$K$5:$K$20000,"P100",PL_원본!$J$5:$J$20000,설정!$C$6*12+1))</f>
        <v/>
      </c>
      <c r="E76" s="52">
        <f>IF(1&gt;설정!$C$7,0,SUMIFS(PL_원본!$L$5:$L$20000,PL_원본!$K$5:$K$20000,"P200",PL_원본!$J$5:$J$20000,설정!$C$6*12+1))</f>
        <v/>
      </c>
      <c r="F76" s="52">
        <f>IF(1&gt;설정!$C$7,0,SUMIFS(PL_원본!$L$5:$L$20000,PL_원본!$K$5:$K$20000,"P300",PL_원본!$J$5:$J$20000,설정!$C$6*12+1))</f>
        <v/>
      </c>
      <c r="G76" s="52">
        <f>SUMIFS(PL_원본!$L$5:$L$20000,PL_원본!$K$5:$K$20000,"P100",PL_원본!$J$5:$J$20000,(설정!$C$6-1)*12+1)</f>
        <v/>
      </c>
    </row>
    <row r="77">
      <c r="A77" s="22" t="inlineStr">
        <is>
          <t>2월</t>
        </is>
      </c>
      <c r="B77" s="52">
        <f>IF(2&gt;설정!$C$7,0,SUMIFS(PL_원본!$L$5:$L$20000,PL_원본!$K$5:$K$20000,"P600",PL_원본!$J$5:$J$20000,설정!$C$6*12+2))</f>
        <v/>
      </c>
      <c r="C77" s="52">
        <f>SUMIFS(PL_원본!$L$5:$L$20000,PL_원본!$K$5:$K$20000,"P600",PL_원본!$J$5:$J$20000,(설정!$C$6-1)*12+2)</f>
        <v/>
      </c>
      <c r="D77" s="52">
        <f>IF(2&gt;설정!$C$7,0,SUMIFS(PL_원본!$L$5:$L$20000,PL_원본!$K$5:$K$20000,"P100",PL_원본!$J$5:$J$20000,설정!$C$6*12+2))</f>
        <v/>
      </c>
      <c r="E77" s="52">
        <f>IF(2&gt;설정!$C$7,0,SUMIFS(PL_원본!$L$5:$L$20000,PL_원본!$K$5:$K$20000,"P200",PL_원본!$J$5:$J$20000,설정!$C$6*12+2))</f>
        <v/>
      </c>
      <c r="F77" s="52">
        <f>IF(2&gt;설정!$C$7,0,SUMIFS(PL_원본!$L$5:$L$20000,PL_원본!$K$5:$K$20000,"P300",PL_원본!$J$5:$J$20000,설정!$C$6*12+2))</f>
        <v/>
      </c>
      <c r="G77" s="52">
        <f>SUMIFS(PL_원본!$L$5:$L$20000,PL_원본!$K$5:$K$20000,"P100",PL_원본!$J$5:$J$20000,(설정!$C$6-1)*12+2)</f>
        <v/>
      </c>
    </row>
    <row r="78">
      <c r="A78" s="22" t="inlineStr">
        <is>
          <t>3월</t>
        </is>
      </c>
      <c r="B78" s="52">
        <f>IF(3&gt;설정!$C$7,0,SUMIFS(PL_원본!$L$5:$L$20000,PL_원본!$K$5:$K$20000,"P600",PL_원본!$J$5:$J$20000,설정!$C$6*12+3))</f>
        <v/>
      </c>
      <c r="C78" s="52">
        <f>SUMIFS(PL_원본!$L$5:$L$20000,PL_원본!$K$5:$K$20000,"P600",PL_원본!$J$5:$J$20000,(설정!$C$6-1)*12+3)</f>
        <v/>
      </c>
      <c r="D78" s="52">
        <f>IF(3&gt;설정!$C$7,0,SUMIFS(PL_원본!$L$5:$L$20000,PL_원본!$K$5:$K$20000,"P100",PL_원본!$J$5:$J$20000,설정!$C$6*12+3))</f>
        <v/>
      </c>
      <c r="E78" s="52">
        <f>IF(3&gt;설정!$C$7,0,SUMIFS(PL_원본!$L$5:$L$20000,PL_원본!$K$5:$K$20000,"P200",PL_원본!$J$5:$J$20000,설정!$C$6*12+3))</f>
        <v/>
      </c>
      <c r="F78" s="52">
        <f>IF(3&gt;설정!$C$7,0,SUMIFS(PL_원본!$L$5:$L$20000,PL_원본!$K$5:$K$20000,"P300",PL_원본!$J$5:$J$20000,설정!$C$6*12+3))</f>
        <v/>
      </c>
      <c r="G78" s="52">
        <f>SUMIFS(PL_원본!$L$5:$L$20000,PL_원본!$K$5:$K$20000,"P100",PL_원본!$J$5:$J$20000,(설정!$C$6-1)*12+3)</f>
        <v/>
      </c>
    </row>
    <row r="79">
      <c r="A79" s="22" t="inlineStr">
        <is>
          <t>4월</t>
        </is>
      </c>
      <c r="B79" s="52">
        <f>IF(4&gt;설정!$C$7,0,SUMIFS(PL_원본!$L$5:$L$20000,PL_원본!$K$5:$K$20000,"P600",PL_원본!$J$5:$J$20000,설정!$C$6*12+4))</f>
        <v/>
      </c>
      <c r="C79" s="52">
        <f>SUMIFS(PL_원본!$L$5:$L$20000,PL_원본!$K$5:$K$20000,"P600",PL_원본!$J$5:$J$20000,(설정!$C$6-1)*12+4)</f>
        <v/>
      </c>
      <c r="D79" s="52">
        <f>IF(4&gt;설정!$C$7,0,SUMIFS(PL_원본!$L$5:$L$20000,PL_원본!$K$5:$K$20000,"P100",PL_원본!$J$5:$J$20000,설정!$C$6*12+4))</f>
        <v/>
      </c>
      <c r="E79" s="52">
        <f>IF(4&gt;설정!$C$7,0,SUMIFS(PL_원본!$L$5:$L$20000,PL_원본!$K$5:$K$20000,"P200",PL_원본!$J$5:$J$20000,설정!$C$6*12+4))</f>
        <v/>
      </c>
      <c r="F79" s="52">
        <f>IF(4&gt;설정!$C$7,0,SUMIFS(PL_원본!$L$5:$L$20000,PL_원본!$K$5:$K$20000,"P300",PL_원본!$J$5:$J$20000,설정!$C$6*12+4))</f>
        <v/>
      </c>
      <c r="G79" s="52">
        <f>SUMIFS(PL_원본!$L$5:$L$20000,PL_원본!$K$5:$K$20000,"P100",PL_원본!$J$5:$J$20000,(설정!$C$6-1)*12+4)</f>
        <v/>
      </c>
    </row>
    <row r="80">
      <c r="A80" s="22" t="inlineStr">
        <is>
          <t>5월</t>
        </is>
      </c>
      <c r="B80" s="52">
        <f>IF(5&gt;설정!$C$7,0,SUMIFS(PL_원본!$L$5:$L$20000,PL_원본!$K$5:$K$20000,"P600",PL_원본!$J$5:$J$20000,설정!$C$6*12+5))</f>
        <v/>
      </c>
      <c r="C80" s="52">
        <f>SUMIFS(PL_원본!$L$5:$L$20000,PL_원본!$K$5:$K$20000,"P600",PL_원본!$J$5:$J$20000,(설정!$C$6-1)*12+5)</f>
        <v/>
      </c>
      <c r="D80" s="52">
        <f>IF(5&gt;설정!$C$7,0,SUMIFS(PL_원본!$L$5:$L$20000,PL_원본!$K$5:$K$20000,"P100",PL_원본!$J$5:$J$20000,설정!$C$6*12+5))</f>
        <v/>
      </c>
      <c r="E80" s="52">
        <f>IF(5&gt;설정!$C$7,0,SUMIFS(PL_원본!$L$5:$L$20000,PL_원본!$K$5:$K$20000,"P200",PL_원본!$J$5:$J$20000,설정!$C$6*12+5))</f>
        <v/>
      </c>
      <c r="F80" s="52">
        <f>IF(5&gt;설정!$C$7,0,SUMIFS(PL_원본!$L$5:$L$20000,PL_원본!$K$5:$K$20000,"P300",PL_원본!$J$5:$J$20000,설정!$C$6*12+5))</f>
        <v/>
      </c>
      <c r="G80" s="52">
        <f>SUMIFS(PL_원본!$L$5:$L$20000,PL_원본!$K$5:$K$20000,"P100",PL_원본!$J$5:$J$20000,(설정!$C$6-1)*12+5)</f>
        <v/>
      </c>
    </row>
    <row r="81">
      <c r="A81" s="22" t="inlineStr">
        <is>
          <t>6월</t>
        </is>
      </c>
      <c r="B81" s="52">
        <f>IF(6&gt;설정!$C$7,0,SUMIFS(PL_원본!$L$5:$L$20000,PL_원본!$K$5:$K$20000,"P600",PL_원본!$J$5:$J$20000,설정!$C$6*12+6))</f>
        <v/>
      </c>
      <c r="C81" s="52">
        <f>SUMIFS(PL_원본!$L$5:$L$20000,PL_원본!$K$5:$K$20000,"P600",PL_원본!$J$5:$J$20000,(설정!$C$6-1)*12+6)</f>
        <v/>
      </c>
      <c r="D81" s="52">
        <f>IF(6&gt;설정!$C$7,0,SUMIFS(PL_원본!$L$5:$L$20000,PL_원본!$K$5:$K$20000,"P100",PL_원본!$J$5:$J$20000,설정!$C$6*12+6))</f>
        <v/>
      </c>
      <c r="E81" s="52">
        <f>IF(6&gt;설정!$C$7,0,SUMIFS(PL_원본!$L$5:$L$20000,PL_원본!$K$5:$K$20000,"P200",PL_원본!$J$5:$J$20000,설정!$C$6*12+6))</f>
        <v/>
      </c>
      <c r="F81" s="52">
        <f>IF(6&gt;설정!$C$7,0,SUMIFS(PL_원본!$L$5:$L$20000,PL_원본!$K$5:$K$20000,"P300",PL_원본!$J$5:$J$20000,설정!$C$6*12+6))</f>
        <v/>
      </c>
      <c r="G81" s="52">
        <f>SUMIFS(PL_원본!$L$5:$L$20000,PL_원본!$K$5:$K$20000,"P100",PL_원본!$J$5:$J$20000,(설정!$C$6-1)*12+6)</f>
        <v/>
      </c>
    </row>
    <row r="82">
      <c r="A82" s="22" t="inlineStr">
        <is>
          <t>7월</t>
        </is>
      </c>
      <c r="B82" s="52">
        <f>IF(7&gt;설정!$C$7,0,SUMIFS(PL_원본!$L$5:$L$20000,PL_원본!$K$5:$K$20000,"P600",PL_원본!$J$5:$J$20000,설정!$C$6*12+7))</f>
        <v/>
      </c>
      <c r="C82" s="52">
        <f>SUMIFS(PL_원본!$L$5:$L$20000,PL_원본!$K$5:$K$20000,"P600",PL_원본!$J$5:$J$20000,(설정!$C$6-1)*12+7)</f>
        <v/>
      </c>
      <c r="D82" s="52">
        <f>IF(7&gt;설정!$C$7,0,SUMIFS(PL_원본!$L$5:$L$20000,PL_원본!$K$5:$K$20000,"P100",PL_원본!$J$5:$J$20000,설정!$C$6*12+7))</f>
        <v/>
      </c>
      <c r="E82" s="52">
        <f>IF(7&gt;설정!$C$7,0,SUMIFS(PL_원본!$L$5:$L$20000,PL_원본!$K$5:$K$20000,"P200",PL_원본!$J$5:$J$20000,설정!$C$6*12+7))</f>
        <v/>
      </c>
      <c r="F82" s="52">
        <f>IF(7&gt;설정!$C$7,0,SUMIFS(PL_원본!$L$5:$L$20000,PL_원본!$K$5:$K$20000,"P300",PL_원본!$J$5:$J$20000,설정!$C$6*12+7))</f>
        <v/>
      </c>
      <c r="G82" s="52">
        <f>SUMIFS(PL_원본!$L$5:$L$20000,PL_원본!$K$5:$K$20000,"P100",PL_원본!$J$5:$J$20000,(설정!$C$6-1)*12+7)</f>
        <v/>
      </c>
    </row>
    <row r="83">
      <c r="A83" s="22" t="inlineStr">
        <is>
          <t>8월</t>
        </is>
      </c>
      <c r="B83" s="52">
        <f>IF(8&gt;설정!$C$7,0,SUMIFS(PL_원본!$L$5:$L$20000,PL_원본!$K$5:$K$20000,"P600",PL_원본!$J$5:$J$20000,설정!$C$6*12+8))</f>
        <v/>
      </c>
      <c r="C83" s="52">
        <f>SUMIFS(PL_원본!$L$5:$L$20000,PL_원본!$K$5:$K$20000,"P600",PL_원본!$J$5:$J$20000,(설정!$C$6-1)*12+8)</f>
        <v/>
      </c>
      <c r="D83" s="52">
        <f>IF(8&gt;설정!$C$7,0,SUMIFS(PL_원본!$L$5:$L$20000,PL_원본!$K$5:$K$20000,"P100",PL_원본!$J$5:$J$20000,설정!$C$6*12+8))</f>
        <v/>
      </c>
      <c r="E83" s="52">
        <f>IF(8&gt;설정!$C$7,0,SUMIFS(PL_원본!$L$5:$L$20000,PL_원본!$K$5:$K$20000,"P200",PL_원본!$J$5:$J$20000,설정!$C$6*12+8))</f>
        <v/>
      </c>
      <c r="F83" s="52">
        <f>IF(8&gt;설정!$C$7,0,SUMIFS(PL_원본!$L$5:$L$20000,PL_원본!$K$5:$K$20000,"P300",PL_원본!$J$5:$J$20000,설정!$C$6*12+8))</f>
        <v/>
      </c>
      <c r="G83" s="52">
        <f>SUMIFS(PL_원본!$L$5:$L$20000,PL_원본!$K$5:$K$20000,"P100",PL_원본!$J$5:$J$20000,(설정!$C$6-1)*12+8)</f>
        <v/>
      </c>
    </row>
    <row r="84">
      <c r="A84" s="22" t="inlineStr">
        <is>
          <t>9월</t>
        </is>
      </c>
      <c r="B84" s="52">
        <f>IF(9&gt;설정!$C$7,0,SUMIFS(PL_원본!$L$5:$L$20000,PL_원본!$K$5:$K$20000,"P600",PL_원본!$J$5:$J$20000,설정!$C$6*12+9))</f>
        <v/>
      </c>
      <c r="C84" s="52">
        <f>SUMIFS(PL_원본!$L$5:$L$20000,PL_원본!$K$5:$K$20000,"P600",PL_원본!$J$5:$J$20000,(설정!$C$6-1)*12+9)</f>
        <v/>
      </c>
      <c r="D84" s="52">
        <f>IF(9&gt;설정!$C$7,0,SUMIFS(PL_원본!$L$5:$L$20000,PL_원본!$K$5:$K$20000,"P100",PL_원본!$J$5:$J$20000,설정!$C$6*12+9))</f>
        <v/>
      </c>
      <c r="E84" s="52">
        <f>IF(9&gt;설정!$C$7,0,SUMIFS(PL_원본!$L$5:$L$20000,PL_원본!$K$5:$K$20000,"P200",PL_원본!$J$5:$J$20000,설정!$C$6*12+9))</f>
        <v/>
      </c>
      <c r="F84" s="52">
        <f>IF(9&gt;설정!$C$7,0,SUMIFS(PL_원본!$L$5:$L$20000,PL_원본!$K$5:$K$20000,"P300",PL_원본!$J$5:$J$20000,설정!$C$6*12+9))</f>
        <v/>
      </c>
      <c r="G84" s="52">
        <f>SUMIFS(PL_원본!$L$5:$L$20000,PL_원본!$K$5:$K$20000,"P100",PL_원본!$J$5:$J$20000,(설정!$C$6-1)*12+9)</f>
        <v/>
      </c>
    </row>
    <row r="85">
      <c r="A85" s="22" t="inlineStr">
        <is>
          <t>10월</t>
        </is>
      </c>
      <c r="B85" s="52">
        <f>IF(10&gt;설정!$C$7,0,SUMIFS(PL_원본!$L$5:$L$20000,PL_원본!$K$5:$K$20000,"P600",PL_원본!$J$5:$J$20000,설정!$C$6*12+10))</f>
        <v/>
      </c>
      <c r="C85" s="52">
        <f>SUMIFS(PL_원본!$L$5:$L$20000,PL_원본!$K$5:$K$20000,"P600",PL_원본!$J$5:$J$20000,(설정!$C$6-1)*12+10)</f>
        <v/>
      </c>
      <c r="D85" s="52">
        <f>IF(10&gt;설정!$C$7,0,SUMIFS(PL_원본!$L$5:$L$20000,PL_원본!$K$5:$K$20000,"P100",PL_원본!$J$5:$J$20000,설정!$C$6*12+10))</f>
        <v/>
      </c>
      <c r="E85" s="52">
        <f>IF(10&gt;설정!$C$7,0,SUMIFS(PL_원본!$L$5:$L$20000,PL_원본!$K$5:$K$20000,"P200",PL_원본!$J$5:$J$20000,설정!$C$6*12+10))</f>
        <v/>
      </c>
      <c r="F85" s="52">
        <f>IF(10&gt;설정!$C$7,0,SUMIFS(PL_원본!$L$5:$L$20000,PL_원본!$K$5:$K$20000,"P300",PL_원본!$J$5:$J$20000,설정!$C$6*12+10))</f>
        <v/>
      </c>
      <c r="G85" s="52">
        <f>SUMIFS(PL_원본!$L$5:$L$20000,PL_원본!$K$5:$K$20000,"P100",PL_원본!$J$5:$J$20000,(설정!$C$6-1)*12+10)</f>
        <v/>
      </c>
    </row>
    <row r="86">
      <c r="A86" s="22" t="inlineStr">
        <is>
          <t>11월</t>
        </is>
      </c>
      <c r="B86" s="52">
        <f>IF(11&gt;설정!$C$7,0,SUMIFS(PL_원본!$L$5:$L$20000,PL_원본!$K$5:$K$20000,"P600",PL_원본!$J$5:$J$20000,설정!$C$6*12+11))</f>
        <v/>
      </c>
      <c r="C86" s="52">
        <f>SUMIFS(PL_원본!$L$5:$L$20000,PL_원본!$K$5:$K$20000,"P600",PL_원본!$J$5:$J$20000,(설정!$C$6-1)*12+11)</f>
        <v/>
      </c>
      <c r="D86" s="52">
        <f>IF(11&gt;설정!$C$7,0,SUMIFS(PL_원본!$L$5:$L$20000,PL_원본!$K$5:$K$20000,"P100",PL_원본!$J$5:$J$20000,설정!$C$6*12+11))</f>
        <v/>
      </c>
      <c r="E86" s="52">
        <f>IF(11&gt;설정!$C$7,0,SUMIFS(PL_원본!$L$5:$L$20000,PL_원본!$K$5:$K$20000,"P200",PL_원본!$J$5:$J$20000,설정!$C$6*12+11))</f>
        <v/>
      </c>
      <c r="F86" s="52">
        <f>IF(11&gt;설정!$C$7,0,SUMIFS(PL_원본!$L$5:$L$20000,PL_원본!$K$5:$K$20000,"P300",PL_원본!$J$5:$J$20000,설정!$C$6*12+11))</f>
        <v/>
      </c>
      <c r="G86" s="52">
        <f>SUMIFS(PL_원본!$L$5:$L$20000,PL_원본!$K$5:$K$20000,"P100",PL_원본!$J$5:$J$20000,(설정!$C$6-1)*12+11)</f>
        <v/>
      </c>
    </row>
    <row r="87">
      <c r="A87" s="22" t="inlineStr">
        <is>
          <t>12월</t>
        </is>
      </c>
      <c r="B87" s="52">
        <f>IF(12&gt;설정!$C$7,0,SUMIFS(PL_원본!$L$5:$L$20000,PL_원본!$K$5:$K$20000,"P600",PL_원본!$J$5:$J$20000,설정!$C$6*12+12))</f>
        <v/>
      </c>
      <c r="C87" s="52">
        <f>SUMIFS(PL_원본!$L$5:$L$20000,PL_원본!$K$5:$K$20000,"P600",PL_원본!$J$5:$J$20000,(설정!$C$6-1)*12+12)</f>
        <v/>
      </c>
      <c r="D87" s="52">
        <f>IF(12&gt;설정!$C$7,0,SUMIFS(PL_원본!$L$5:$L$20000,PL_원본!$K$5:$K$20000,"P100",PL_원본!$J$5:$J$20000,설정!$C$6*12+12))</f>
        <v/>
      </c>
      <c r="E87" s="52">
        <f>IF(12&gt;설정!$C$7,0,SUMIFS(PL_원본!$L$5:$L$20000,PL_원본!$K$5:$K$20000,"P200",PL_원본!$J$5:$J$20000,설정!$C$6*12+12))</f>
        <v/>
      </c>
      <c r="F87" s="52">
        <f>IF(12&gt;설정!$C$7,0,SUMIFS(PL_원본!$L$5:$L$20000,PL_원본!$K$5:$K$20000,"P300",PL_원본!$J$5:$J$20000,설정!$C$6*12+12))</f>
        <v/>
      </c>
      <c r="G87" s="52">
        <f>SUMIFS(PL_원본!$L$5:$L$20000,PL_원본!$K$5:$K$20000,"P100",PL_원본!$J$5:$J$20000,(설정!$C$6-1)*12+12)</f>
        <v/>
      </c>
    </row>
    <row r="90" ht="20" customHeight="1">
      <c r="A90" s="4" t="inlineStr">
        <is>
          <t>지표</t>
        </is>
      </c>
      <c r="B90" s="4" t="inlineStr">
        <is>
          <t>값</t>
        </is>
      </c>
      <c r="C90" s="4" t="inlineStr">
        <is>
          <t>비교값</t>
        </is>
      </c>
      <c r="D90" s="4" t="inlineStr">
        <is>
          <t>증감률</t>
        </is>
      </c>
      <c r="E90" s="4" t="inlineStr">
        <is>
          <t>비교 기준</t>
        </is>
      </c>
    </row>
    <row r="91">
      <c r="A91" s="6" t="inlineStr">
        <is>
          <t>총자산</t>
        </is>
      </c>
      <c r="B91" s="52">
        <f>SUMIFS(BS_원본!$K$5:$K$20000,BS_원본!$J$5:$J$20000,"A000",BS_원본!$I$5:$I$20000,설정!$C$20)</f>
        <v/>
      </c>
      <c r="C91" s="52">
        <f>SUMIFS(BS_원본!$K$5:$K$20000,BS_원본!$J$5:$J$20000,"A000",BS_원본!$I$5:$I$20000,설정!$C$20-12)</f>
        <v/>
      </c>
      <c r="D91" s="80">
        <f>IF(C91&lt;=0,0,B91/C91-1)</f>
        <v/>
      </c>
      <c r="E91" s="7" t="inlineStr">
        <is>
          <t>전년동월말</t>
        </is>
      </c>
    </row>
    <row r="92">
      <c r="A92" s="6" t="inlineStr">
        <is>
          <t>자본총계</t>
        </is>
      </c>
      <c r="B92" s="52">
        <f>SUMIFS(BS_원본!$K$5:$K$20000,BS_원본!$J$5:$J$20000,"E000",BS_원본!$I$5:$I$20000,설정!$C$20)</f>
        <v/>
      </c>
      <c r="C92" s="52">
        <f>SUMIFS(BS_원본!$K$5:$K$20000,BS_원본!$J$5:$J$20000,"E000",BS_원본!$I$5:$I$20000,설정!$C$20-12)</f>
        <v/>
      </c>
      <c r="D92" s="80">
        <f>IF(C92&lt;=0,0,B92/C92-1)</f>
        <v/>
      </c>
      <c r="E92" s="7" t="inlineStr">
        <is>
          <t>전년동월말</t>
        </is>
      </c>
    </row>
    <row r="93">
      <c r="A93" s="6" t="inlineStr">
        <is>
          <t>보험계약마진(CSM)</t>
        </is>
      </c>
      <c r="B93" s="52">
        <f>SUMIFS(BS_원본!$K$5:$K$20000,BS_원본!$J$5:$J$20000,"L130",BS_원본!$I$5:$I$20000,설정!$C$20)</f>
        <v/>
      </c>
      <c r="C93" s="52">
        <f>SUMIFS(BS_원본!$K$5:$K$20000,BS_원본!$J$5:$J$20000,"L130",BS_원본!$I$5:$I$20000,설정!$C$20-12)</f>
        <v/>
      </c>
      <c r="D93" s="80">
        <f>IF(C93&lt;=0,0,B93/C93-1)</f>
        <v/>
      </c>
      <c r="E93" s="7" t="inlineStr">
        <is>
          <t>전년동월말</t>
        </is>
      </c>
    </row>
    <row r="94">
      <c r="A94" s="6" t="inlineStr">
        <is>
          <t>당기순이익 누계</t>
        </is>
      </c>
      <c r="B94" s="52">
        <f>SUMIFS(PL_원본!$M$5:$M$20000,PL_원본!$K$5:$K$20000,"P600",PL_원본!$J$5:$J$20000,설정!$C$20)</f>
        <v/>
      </c>
      <c r="C94" s="52">
        <f>SUMIFS(PL_원본!$M$5:$M$20000,PL_원본!$K$5:$K$20000,"P600",PL_원본!$J$5:$J$20000,설정!$C$20-12)</f>
        <v/>
      </c>
      <c r="D94" s="80">
        <f>IF(C94&lt;=0,0,B94/C94-1)</f>
        <v/>
      </c>
      <c r="E94" s="7" t="inlineStr">
        <is>
          <t>전년 누계</t>
        </is>
      </c>
    </row>
    <row r="95">
      <c r="A95" s="6" t="inlineStr">
        <is>
          <t>사업비 누계</t>
        </is>
      </c>
      <c r="B95" s="52">
        <f>SUMIFS(전표_원본!$P$5:$P$100000,전표_원본!$M$5:$M$100000,"&gt;="&amp;(설정!$C$6*12+1),전표_원본!$M$5:$M$100000,"&lt;="&amp;설정!$C$20)</f>
        <v/>
      </c>
      <c r="C95" s="52">
        <f>SUMIFS(전표_원본!$P$5:$P$100000,전표_원본!$M$5:$M$100000,"&gt;="&amp;((설정!$C$6-1)*12+1),전표_원본!$M$5:$M$100000,"&lt;="&amp;(설정!$C$20-12))</f>
        <v/>
      </c>
      <c r="D95" s="80">
        <f>IF(C95&lt;=0,0,B95/C95-1)</f>
        <v/>
      </c>
      <c r="E95" s="7" t="inlineStr">
        <is>
          <t>전년 누계</t>
        </is>
      </c>
    </row>
    <row r="96">
      <c r="A96" s="6" t="inlineStr">
        <is>
          <t>사업비 당월</t>
        </is>
      </c>
      <c r="B96" s="52">
        <f>월별집계!Z6</f>
        <v/>
      </c>
      <c r="C96" s="52">
        <f>월별집계!Y6</f>
        <v/>
      </c>
      <c r="D96" s="80">
        <f>IF(C96&lt;=0,0,B96/C96-1)</f>
        <v/>
      </c>
      <c r="E96" s="7" t="inlineStr">
        <is>
          <t>전월</t>
        </is>
      </c>
    </row>
    <row r="97">
      <c r="A97" s="6" t="inlineStr">
        <is>
          <t>사업비 당분기</t>
        </is>
      </c>
      <c r="B97" s="52">
        <f>SUM(변동분석!$K$7:$K$506)</f>
        <v/>
      </c>
      <c r="C97" s="52">
        <f>SUM(변동분석!$L$7:$L$506)</f>
        <v/>
      </c>
      <c r="D97" s="80">
        <f>IF(C97&lt;=0,0,B97/C97-1)</f>
        <v/>
      </c>
      <c r="E97" s="7" t="inlineStr">
        <is>
          <t>전분기</t>
        </is>
      </c>
    </row>
    <row r="98">
      <c r="A98" s="6" t="inlineStr">
        <is>
          <t>분기 한도 초과(예상)</t>
        </is>
      </c>
      <c r="B98" s="81">
        <f>COUNTIF(변동분석!$AO$7:$AO$506,"한도 초과")+COUNTIF(변동분석!$AO$7:$AO$506,"초과 예상")</f>
        <v/>
      </c>
      <c r="C98" s="81">
        <f>COUNTIF(변동분석!$AO$7:$AO$506,"주의")</f>
        <v/>
      </c>
      <c r="D98" s="80" t="inlineStr"/>
      <c r="E98" s="7" t="inlineStr">
        <is>
          <t>주의 건수</t>
        </is>
      </c>
    </row>
    <row r="100" ht="30" customHeight="1">
      <c r="A100" s="4" t="inlineStr">
        <is>
          <t>고갈 순위</t>
        </is>
      </c>
      <c r="B100" s="4" t="inlineStr">
        <is>
          <t>부서</t>
        </is>
      </c>
      <c r="C100" s="4" t="inlineStr">
        <is>
          <t>계정</t>
        </is>
      </c>
      <c r="D100" s="4" t="inlineStr">
        <is>
          <t>연간가용</t>
        </is>
      </c>
      <c r="E100" s="4" t="inlineStr">
        <is>
          <t>누계실적</t>
        </is>
      </c>
      <c r="F100" s="4" t="inlineStr">
        <is>
          <t>월 소진속도</t>
        </is>
      </c>
      <c r="G100" s="4" t="inlineStr">
        <is>
          <t>절편</t>
        </is>
      </c>
      <c r="H100" s="4" t="inlineStr">
        <is>
          <t>추세
연말 누계</t>
        </is>
      </c>
      <c r="I100" s="4" t="inlineStr">
        <is>
          <t>고갈
예상(개월)</t>
        </is>
      </c>
      <c r="J100" s="4" t="inlineStr">
        <is>
          <t>고갈
예상일</t>
        </is>
      </c>
      <c r="K100" s="4" t="inlineStr">
        <is>
          <t>추세 판정</t>
        </is>
      </c>
      <c r="L100" s="4" t="inlineStr">
        <is>
          <t>분기 고갈
예상일</t>
        </is>
      </c>
      <c r="M100" s="4" t="inlineStr">
        <is>
          <t>누계
1월</t>
        </is>
      </c>
      <c r="N100" s="4" t="inlineStr">
        <is>
          <t>누계
2월</t>
        </is>
      </c>
      <c r="O100" s="4" t="inlineStr">
        <is>
          <t>누계
3월</t>
        </is>
      </c>
      <c r="P100" s="4" t="inlineStr">
        <is>
          <t>누계
4월</t>
        </is>
      </c>
      <c r="Q100" s="4" t="inlineStr">
        <is>
          <t>누계
5월</t>
        </is>
      </c>
      <c r="R100" s="4" t="inlineStr">
        <is>
          <t>누계
6월</t>
        </is>
      </c>
      <c r="S100" s="4" t="inlineStr">
        <is>
          <t>누계
7월</t>
        </is>
      </c>
      <c r="T100" s="4" t="inlineStr">
        <is>
          <t>누계
8월</t>
        </is>
      </c>
      <c r="U100" s="4" t="inlineStr">
        <is>
          <t>누계
9월</t>
        </is>
      </c>
      <c r="V100" s="4" t="inlineStr">
        <is>
          <t>누계
10월</t>
        </is>
      </c>
      <c r="W100" s="4" t="inlineStr">
        <is>
          <t>누계
11월</t>
        </is>
      </c>
      <c r="X100" s="4" t="inlineStr">
        <is>
          <t>누계
12월</t>
        </is>
      </c>
      <c r="Y100" s="87" t="inlineStr">
        <is>
          <t>변동분석
행</t>
        </is>
      </c>
      <c r="Z100" s="87" t="inlineStr">
        <is>
          <t>분기 한도</t>
        </is>
      </c>
      <c r="AA100" s="87" t="inlineStr">
        <is>
          <t>분기 실적</t>
        </is>
      </c>
      <c r="AB100" s="87" t="inlineStr">
        <is>
          <t>전년 남은기간
월평균</t>
        </is>
      </c>
    </row>
    <row r="101">
      <c r="A101" s="5" t="inlineStr">
        <is>
          <t>전사</t>
        </is>
      </c>
      <c r="B101" s="6" t="inlineStr">
        <is>
          <t>전사</t>
        </is>
      </c>
      <c r="C101" s="6" t="inlineStr">
        <is>
          <t>사업비 합계</t>
        </is>
      </c>
      <c r="D101" s="35">
        <f>SUM(변동분석!$P$7:$P$506)</f>
        <v/>
      </c>
      <c r="E101" s="35">
        <f>SUM(변동분석!$Q$7:$Q$506)</f>
        <v/>
      </c>
      <c r="F101" s="35">
        <f>IF($A101="","",IF(설정!$C$19="최근월",(INDEX($M101:$X101,설정!$C$7)-INDEX($M101:$X101,MAX(1,설정!$C$7-1))*(설정!$C$7&gt;1)),IF(설정!$C$19="최근분기",((INDEX($M101:$X101,설정!$C$7)-INDEX($M101:$X101,MAX(1,설정!$C$7-3))*(설정!$C$7&gt;3))/MIN(3,설정!$C$7)),IF(설정!$C$19="전년추세",AB101,((설정!$C$7+1)*SUMPRODUCT(월별집계!$AB$5:$AM$5,$M101:$X101)-(설정!$C$7*(설정!$C$7+1)/2)*SUM($M101:$X101))/((설정!$C$7+1)*(설정!$C$7*(설정!$C$7+1)*(2*설정!$C$7+1)/6)-(설정!$C$7*(설정!$C$7+1)/2)^2)))))</f>
        <v/>
      </c>
      <c r="G101" s="35">
        <f>IF($A101="","",IF(설정!$C$19="연내누적",(SUM($M101:$X101)-F101*(설정!$C$7*(설정!$C$7+1)/2))/(설정!$C$7+1),INDEX($M101:$X101,설정!$C$7)-F101*설정!$C$7))</f>
        <v/>
      </c>
      <c r="H101" s="40">
        <f>IF($A101="","",G101+F101*12)</f>
        <v/>
      </c>
      <c r="I101" s="82">
        <f>IF($A101="","",IF(OR(D101&lt;=0,E101&gt;=D101,F101&lt;=0),"",MAX(설정!$C$7,(D101-G101)/F101)))</f>
        <v/>
      </c>
      <c r="J101" s="22">
        <f>IF($A101="","",IF(I101="",IF(K101="이미 소진","소진됨",""),YEAR((DATE(설정!$C$6,1,1)+ROUND(I101*365/12,0)-1))&amp;"-"&amp;TEXT(MONTH((DATE(설정!$C$6,1,1)+ROUND(I101*365/12,0)-1)),"00")&amp;"-"&amp;TEXT(DAY((DATE(설정!$C$6,1,1)+ROUND(I101*365/12,0)-1)),"00")))</f>
        <v/>
      </c>
      <c r="K101" s="34">
        <f>IF($A101="","",IF(AND(D101&lt;=0,E101&gt;0),"무예산",IF(D101&lt;=0,"-",IF(E101&gt;=D101,"이미 소진",IF(F101&lt;=0,"소진 안 됨",IF(I101&lt;=12,"연내 고갈","연내 여유"))))))</f>
        <v/>
      </c>
      <c r="L101" s="34">
        <f>IF(Z101&lt;=0,"",IF(AA101&gt;=Z101,"한도 소진",IF(AA101&lt;=0,"",IF(Z101/(AA101/(설정!$C$20-설정!$C$22+1))&gt;3,"분기 내 여유",YEAR((DATE(설정!$C$6,설정!$C$22-설정!$C$6*12,1)+ROUND(MAX((설정!$C$20-설정!$C$22+1),Z101/(AA101/(설정!$C$20-설정!$C$22+1)))*365/12,0)-1))&amp;"-"&amp;TEXT(MONTH((DATE(설정!$C$6,설정!$C$22-설정!$C$6*12,1)+ROUND(MAX((설정!$C$20-설정!$C$22+1),Z101/(AA101/(설정!$C$20-설정!$C$22+1)))*365/12,0)-1)),"00")&amp;"-"&amp;TEXT(DAY((DATE(설정!$C$6,설정!$C$22-설정!$C$6*12,1)+ROUND(MAX((설정!$C$20-설정!$C$22+1),Z101/(AA101/(설정!$C$20-설정!$C$22+1)))*365/12,0)-1)),"00")))))</f>
        <v/>
      </c>
      <c r="M101" s="35">
        <f>월별집계!AB6</f>
        <v/>
      </c>
      <c r="N101" s="35">
        <f>월별집계!AC6</f>
        <v/>
      </c>
      <c r="O101" s="35">
        <f>월별집계!AD6</f>
        <v/>
      </c>
      <c r="P101" s="35">
        <f>월별집계!AE6</f>
        <v/>
      </c>
      <c r="Q101" s="35">
        <f>월별집계!AF6</f>
        <v/>
      </c>
      <c r="R101" s="35">
        <f>월별집계!AG6</f>
        <v/>
      </c>
      <c r="S101" s="35">
        <f>월별집계!AH6</f>
        <v/>
      </c>
      <c r="T101" s="35">
        <f>월별집계!AI6</f>
        <v/>
      </c>
      <c r="U101" s="35">
        <f>월별집계!AJ6</f>
        <v/>
      </c>
      <c r="V101" s="35">
        <f>월별집계!AK6</f>
        <v/>
      </c>
      <c r="W101" s="35">
        <f>월별집계!AL6</f>
        <v/>
      </c>
      <c r="X101" s="35">
        <f>월별집계!AM6</f>
        <v/>
      </c>
      <c r="Z101" s="35">
        <f>SUM(변동분석!$AJ$7:$AJ$506)</f>
        <v/>
      </c>
      <c r="AA101" s="35">
        <f>SUM(변동분석!$AK$7:$AK$506)</f>
        <v/>
      </c>
      <c r="AB101" s="35">
        <f>SUMIFS(월별집계!$C$6:$Z$6,월별집계!$C$5:$Z$5,"&gt;"&amp;(설정!$C$20-12),월별집계!$C$5:$Z$5,"&lt;="&amp;((설정!$C$6-1)*12+12))/MAX(1,12-설정!$C$7)</f>
        <v/>
      </c>
    </row>
    <row r="102">
      <c r="A102" s="22">
        <f>IF($Y102="","",1)</f>
        <v/>
      </c>
      <c r="B102" s="26">
        <f>IF($Y102="","",INDEX(변동분석!$B$7:$B$506,$Y102))</f>
        <v/>
      </c>
      <c r="C102" s="26">
        <f>IF($Y102="","",INDEX(변동분석!$D$7:$D$506,$Y102))</f>
        <v/>
      </c>
      <c r="D102" s="35">
        <f>IF($Y102="","",INDEX(변동분석!$P$7:$P$506,$Y102))</f>
        <v/>
      </c>
      <c r="E102" s="35">
        <f>IF($Y102="","",INDEX(변동분석!$Q$7:$Q$506,$Y102))</f>
        <v/>
      </c>
      <c r="F102" s="35">
        <f>IF($Y102="","",INDEX(변동분석!$AP$7:$AP$506,$Y102))</f>
        <v/>
      </c>
      <c r="G102" s="35">
        <f>IF($Y102="","",INDEX(변동분석!$AQ$7:$AQ$506,$Y102))</f>
        <v/>
      </c>
      <c r="H102" s="35">
        <f>IF($Y102="","",INDEX(변동분석!$AR$7:$AR$506,$Y102))</f>
        <v/>
      </c>
      <c r="I102" s="62">
        <f>IF($Y102="","",INDEX(변동분석!$AS$7:$AS$506,$Y102))</f>
        <v/>
      </c>
      <c r="J102" s="34">
        <f>IF($Y102="","",INDEX(변동분석!$AT$7:$AT$506,$Y102))</f>
        <v/>
      </c>
      <c r="K102" s="34">
        <f>IF($Y102="","",INDEX(변동분석!$AU$7:$AU$506,$Y102))</f>
        <v/>
      </c>
      <c r="L102" s="34">
        <f>IF($Y102="","",INDEX(변동분석!$AV$7:$AV$506,$Y102))</f>
        <v/>
      </c>
      <c r="M102" s="35">
        <f>IF($Y102="","",INDEX(월별집계!$AB$7:$AB$506,$Y102))</f>
        <v/>
      </c>
      <c r="N102" s="35">
        <f>IF($Y102="","",INDEX(월별집계!$AC$7:$AC$506,$Y102))</f>
        <v/>
      </c>
      <c r="O102" s="35">
        <f>IF($Y102="","",INDEX(월별집계!$AD$7:$AD$506,$Y102))</f>
        <v/>
      </c>
      <c r="P102" s="35">
        <f>IF($Y102="","",INDEX(월별집계!$AE$7:$AE$506,$Y102))</f>
        <v/>
      </c>
      <c r="Q102" s="35">
        <f>IF($Y102="","",INDEX(월별집계!$AF$7:$AF$506,$Y102))</f>
        <v/>
      </c>
      <c r="R102" s="35">
        <f>IF($Y102="","",INDEX(월별집계!$AG$7:$AG$506,$Y102))</f>
        <v/>
      </c>
      <c r="S102" s="35">
        <f>IF($Y102="","",INDEX(월별집계!$AH$7:$AH$506,$Y102))</f>
        <v/>
      </c>
      <c r="T102" s="35">
        <f>IF($Y102="","",INDEX(월별집계!$AI$7:$AI$506,$Y102))</f>
        <v/>
      </c>
      <c r="U102" s="35">
        <f>IF($Y102="","",INDEX(월별집계!$AJ$7:$AJ$506,$Y102))</f>
        <v/>
      </c>
      <c r="V102" s="35">
        <f>IF($Y102="","",INDEX(월별집계!$AK$7:$AK$506,$Y102))</f>
        <v/>
      </c>
      <c r="W102" s="35">
        <f>IF($Y102="","",INDEX(월별집계!$AL$7:$AL$506,$Y102))</f>
        <v/>
      </c>
      <c r="X102" s="35">
        <f>IF($Y102="","",INDEX(월별집계!$AM$7:$AM$506,$Y102))</f>
        <v/>
      </c>
      <c r="Y102" s="86">
        <f>IFERROR(IF(SMALL(변동분석!$AW$7:$AW$506,1)&gt;=99,"",MATCH(SMALL(변동분석!$AW$7:$AW$506,1),변동분석!$AW$7:$AW$506,0)),"")</f>
        <v/>
      </c>
      <c r="Z102" s="35">
        <f>IF($Y102="","",INDEX(변동분석!$AJ$7:$AJ$506,$Y102))</f>
        <v/>
      </c>
      <c r="AA102" s="35">
        <f>IF($Y102="","",INDEX(변동분석!$AK$7:$AK$506,$Y102))</f>
        <v/>
      </c>
      <c r="AB102" s="35">
        <f>IF($Y102="","",INDEX(변동분석!$AZ$7:$AZ$506,$Y102))</f>
        <v/>
      </c>
    </row>
    <row r="103">
      <c r="A103" s="22">
        <f>IF($Y103="","",2)</f>
        <v/>
      </c>
      <c r="B103" s="26">
        <f>IF($Y103="","",INDEX(변동분석!$B$7:$B$506,$Y103))</f>
        <v/>
      </c>
      <c r="C103" s="26">
        <f>IF($Y103="","",INDEX(변동분석!$D$7:$D$506,$Y103))</f>
        <v/>
      </c>
      <c r="D103" s="35">
        <f>IF($Y103="","",INDEX(변동분석!$P$7:$P$506,$Y103))</f>
        <v/>
      </c>
      <c r="E103" s="35">
        <f>IF($Y103="","",INDEX(변동분석!$Q$7:$Q$506,$Y103))</f>
        <v/>
      </c>
      <c r="F103" s="35">
        <f>IF($Y103="","",INDEX(변동분석!$AP$7:$AP$506,$Y103))</f>
        <v/>
      </c>
      <c r="G103" s="35">
        <f>IF($Y103="","",INDEX(변동분석!$AQ$7:$AQ$506,$Y103))</f>
        <v/>
      </c>
      <c r="H103" s="35">
        <f>IF($Y103="","",INDEX(변동분석!$AR$7:$AR$506,$Y103))</f>
        <v/>
      </c>
      <c r="I103" s="62">
        <f>IF($Y103="","",INDEX(변동분석!$AS$7:$AS$506,$Y103))</f>
        <v/>
      </c>
      <c r="J103" s="34">
        <f>IF($Y103="","",INDEX(변동분석!$AT$7:$AT$506,$Y103))</f>
        <v/>
      </c>
      <c r="K103" s="34">
        <f>IF($Y103="","",INDEX(변동분석!$AU$7:$AU$506,$Y103))</f>
        <v/>
      </c>
      <c r="L103" s="34">
        <f>IF($Y103="","",INDEX(변동분석!$AV$7:$AV$506,$Y103))</f>
        <v/>
      </c>
      <c r="M103" s="35">
        <f>IF($Y103="","",INDEX(월별집계!$AB$7:$AB$506,$Y103))</f>
        <v/>
      </c>
      <c r="N103" s="35">
        <f>IF($Y103="","",INDEX(월별집계!$AC$7:$AC$506,$Y103))</f>
        <v/>
      </c>
      <c r="O103" s="35">
        <f>IF($Y103="","",INDEX(월별집계!$AD$7:$AD$506,$Y103))</f>
        <v/>
      </c>
      <c r="P103" s="35">
        <f>IF($Y103="","",INDEX(월별집계!$AE$7:$AE$506,$Y103))</f>
        <v/>
      </c>
      <c r="Q103" s="35">
        <f>IF($Y103="","",INDEX(월별집계!$AF$7:$AF$506,$Y103))</f>
        <v/>
      </c>
      <c r="R103" s="35">
        <f>IF($Y103="","",INDEX(월별집계!$AG$7:$AG$506,$Y103))</f>
        <v/>
      </c>
      <c r="S103" s="35">
        <f>IF($Y103="","",INDEX(월별집계!$AH$7:$AH$506,$Y103))</f>
        <v/>
      </c>
      <c r="T103" s="35">
        <f>IF($Y103="","",INDEX(월별집계!$AI$7:$AI$506,$Y103))</f>
        <v/>
      </c>
      <c r="U103" s="35">
        <f>IF($Y103="","",INDEX(월별집계!$AJ$7:$AJ$506,$Y103))</f>
        <v/>
      </c>
      <c r="V103" s="35">
        <f>IF($Y103="","",INDEX(월별집계!$AK$7:$AK$506,$Y103))</f>
        <v/>
      </c>
      <c r="W103" s="35">
        <f>IF($Y103="","",INDEX(월별집계!$AL$7:$AL$506,$Y103))</f>
        <v/>
      </c>
      <c r="X103" s="35">
        <f>IF($Y103="","",INDEX(월별집계!$AM$7:$AM$506,$Y103))</f>
        <v/>
      </c>
      <c r="Y103" s="86">
        <f>IFERROR(IF(SMALL(변동분석!$AW$7:$AW$506,2)&gt;=99,"",MATCH(SMALL(변동분석!$AW$7:$AW$506,2),변동분석!$AW$7:$AW$506,0)),"")</f>
        <v/>
      </c>
      <c r="Z103" s="35">
        <f>IF($Y103="","",INDEX(변동분석!$AJ$7:$AJ$506,$Y103))</f>
        <v/>
      </c>
      <c r="AA103" s="35">
        <f>IF($Y103="","",INDEX(변동분석!$AK$7:$AK$506,$Y103))</f>
        <v/>
      </c>
      <c r="AB103" s="35">
        <f>IF($Y103="","",INDEX(변동분석!$AZ$7:$AZ$506,$Y103))</f>
        <v/>
      </c>
    </row>
    <row r="104">
      <c r="A104" s="22">
        <f>IF($Y104="","",3)</f>
        <v/>
      </c>
      <c r="B104" s="26">
        <f>IF($Y104="","",INDEX(변동분석!$B$7:$B$506,$Y104))</f>
        <v/>
      </c>
      <c r="C104" s="26">
        <f>IF($Y104="","",INDEX(변동분석!$D$7:$D$506,$Y104))</f>
        <v/>
      </c>
      <c r="D104" s="35">
        <f>IF($Y104="","",INDEX(변동분석!$P$7:$P$506,$Y104))</f>
        <v/>
      </c>
      <c r="E104" s="35">
        <f>IF($Y104="","",INDEX(변동분석!$Q$7:$Q$506,$Y104))</f>
        <v/>
      </c>
      <c r="F104" s="35">
        <f>IF($Y104="","",INDEX(변동분석!$AP$7:$AP$506,$Y104))</f>
        <v/>
      </c>
      <c r="G104" s="35">
        <f>IF($Y104="","",INDEX(변동분석!$AQ$7:$AQ$506,$Y104))</f>
        <v/>
      </c>
      <c r="H104" s="35">
        <f>IF($Y104="","",INDEX(변동분석!$AR$7:$AR$506,$Y104))</f>
        <v/>
      </c>
      <c r="I104" s="62">
        <f>IF($Y104="","",INDEX(변동분석!$AS$7:$AS$506,$Y104))</f>
        <v/>
      </c>
      <c r="J104" s="34">
        <f>IF($Y104="","",INDEX(변동분석!$AT$7:$AT$506,$Y104))</f>
        <v/>
      </c>
      <c r="K104" s="34">
        <f>IF($Y104="","",INDEX(변동분석!$AU$7:$AU$506,$Y104))</f>
        <v/>
      </c>
      <c r="L104" s="34">
        <f>IF($Y104="","",INDEX(변동분석!$AV$7:$AV$506,$Y104))</f>
        <v/>
      </c>
      <c r="M104" s="35">
        <f>IF($Y104="","",INDEX(월별집계!$AB$7:$AB$506,$Y104))</f>
        <v/>
      </c>
      <c r="N104" s="35">
        <f>IF($Y104="","",INDEX(월별집계!$AC$7:$AC$506,$Y104))</f>
        <v/>
      </c>
      <c r="O104" s="35">
        <f>IF($Y104="","",INDEX(월별집계!$AD$7:$AD$506,$Y104))</f>
        <v/>
      </c>
      <c r="P104" s="35">
        <f>IF($Y104="","",INDEX(월별집계!$AE$7:$AE$506,$Y104))</f>
        <v/>
      </c>
      <c r="Q104" s="35">
        <f>IF($Y104="","",INDEX(월별집계!$AF$7:$AF$506,$Y104))</f>
        <v/>
      </c>
      <c r="R104" s="35">
        <f>IF($Y104="","",INDEX(월별집계!$AG$7:$AG$506,$Y104))</f>
        <v/>
      </c>
      <c r="S104" s="35">
        <f>IF($Y104="","",INDEX(월별집계!$AH$7:$AH$506,$Y104))</f>
        <v/>
      </c>
      <c r="T104" s="35">
        <f>IF($Y104="","",INDEX(월별집계!$AI$7:$AI$506,$Y104))</f>
        <v/>
      </c>
      <c r="U104" s="35">
        <f>IF($Y104="","",INDEX(월별집계!$AJ$7:$AJ$506,$Y104))</f>
        <v/>
      </c>
      <c r="V104" s="35">
        <f>IF($Y104="","",INDEX(월별집계!$AK$7:$AK$506,$Y104))</f>
        <v/>
      </c>
      <c r="W104" s="35">
        <f>IF($Y104="","",INDEX(월별집계!$AL$7:$AL$506,$Y104))</f>
        <v/>
      </c>
      <c r="X104" s="35">
        <f>IF($Y104="","",INDEX(월별집계!$AM$7:$AM$506,$Y104))</f>
        <v/>
      </c>
      <c r="Y104" s="86">
        <f>IFERROR(IF(SMALL(변동분석!$AW$7:$AW$506,3)&gt;=99,"",MATCH(SMALL(변동분석!$AW$7:$AW$506,3),변동분석!$AW$7:$AW$506,0)),"")</f>
        <v/>
      </c>
      <c r="Z104" s="35">
        <f>IF($Y104="","",INDEX(변동분석!$AJ$7:$AJ$506,$Y104))</f>
        <v/>
      </c>
      <c r="AA104" s="35">
        <f>IF($Y104="","",INDEX(변동분석!$AK$7:$AK$506,$Y104))</f>
        <v/>
      </c>
      <c r="AB104" s="35">
        <f>IF($Y104="","",INDEX(변동분석!$AZ$7:$AZ$506,$Y104))</f>
        <v/>
      </c>
    </row>
    <row r="105">
      <c r="A105" s="22">
        <f>IF($Y105="","",4)</f>
        <v/>
      </c>
      <c r="B105" s="26">
        <f>IF($Y105="","",INDEX(변동분석!$B$7:$B$506,$Y105))</f>
        <v/>
      </c>
      <c r="C105" s="26">
        <f>IF($Y105="","",INDEX(변동분석!$D$7:$D$506,$Y105))</f>
        <v/>
      </c>
      <c r="D105" s="35">
        <f>IF($Y105="","",INDEX(변동분석!$P$7:$P$506,$Y105))</f>
        <v/>
      </c>
      <c r="E105" s="35">
        <f>IF($Y105="","",INDEX(변동분석!$Q$7:$Q$506,$Y105))</f>
        <v/>
      </c>
      <c r="F105" s="35">
        <f>IF($Y105="","",INDEX(변동분석!$AP$7:$AP$506,$Y105))</f>
        <v/>
      </c>
      <c r="G105" s="35">
        <f>IF($Y105="","",INDEX(변동분석!$AQ$7:$AQ$506,$Y105))</f>
        <v/>
      </c>
      <c r="H105" s="35">
        <f>IF($Y105="","",INDEX(변동분석!$AR$7:$AR$506,$Y105))</f>
        <v/>
      </c>
      <c r="I105" s="62">
        <f>IF($Y105="","",INDEX(변동분석!$AS$7:$AS$506,$Y105))</f>
        <v/>
      </c>
      <c r="J105" s="34">
        <f>IF($Y105="","",INDEX(변동분석!$AT$7:$AT$506,$Y105))</f>
        <v/>
      </c>
      <c r="K105" s="34">
        <f>IF($Y105="","",INDEX(변동분석!$AU$7:$AU$506,$Y105))</f>
        <v/>
      </c>
      <c r="L105" s="34">
        <f>IF($Y105="","",INDEX(변동분석!$AV$7:$AV$506,$Y105))</f>
        <v/>
      </c>
      <c r="M105" s="35">
        <f>IF($Y105="","",INDEX(월별집계!$AB$7:$AB$506,$Y105))</f>
        <v/>
      </c>
      <c r="N105" s="35">
        <f>IF($Y105="","",INDEX(월별집계!$AC$7:$AC$506,$Y105))</f>
        <v/>
      </c>
      <c r="O105" s="35">
        <f>IF($Y105="","",INDEX(월별집계!$AD$7:$AD$506,$Y105))</f>
        <v/>
      </c>
      <c r="P105" s="35">
        <f>IF($Y105="","",INDEX(월별집계!$AE$7:$AE$506,$Y105))</f>
        <v/>
      </c>
      <c r="Q105" s="35">
        <f>IF($Y105="","",INDEX(월별집계!$AF$7:$AF$506,$Y105))</f>
        <v/>
      </c>
      <c r="R105" s="35">
        <f>IF($Y105="","",INDEX(월별집계!$AG$7:$AG$506,$Y105))</f>
        <v/>
      </c>
      <c r="S105" s="35">
        <f>IF($Y105="","",INDEX(월별집계!$AH$7:$AH$506,$Y105))</f>
        <v/>
      </c>
      <c r="T105" s="35">
        <f>IF($Y105="","",INDEX(월별집계!$AI$7:$AI$506,$Y105))</f>
        <v/>
      </c>
      <c r="U105" s="35">
        <f>IF($Y105="","",INDEX(월별집계!$AJ$7:$AJ$506,$Y105))</f>
        <v/>
      </c>
      <c r="V105" s="35">
        <f>IF($Y105="","",INDEX(월별집계!$AK$7:$AK$506,$Y105))</f>
        <v/>
      </c>
      <c r="W105" s="35">
        <f>IF($Y105="","",INDEX(월별집계!$AL$7:$AL$506,$Y105))</f>
        <v/>
      </c>
      <c r="X105" s="35">
        <f>IF($Y105="","",INDEX(월별집계!$AM$7:$AM$506,$Y105))</f>
        <v/>
      </c>
      <c r="Y105" s="86">
        <f>IFERROR(IF(SMALL(변동분석!$AW$7:$AW$506,4)&gt;=99,"",MATCH(SMALL(변동분석!$AW$7:$AW$506,4),변동분석!$AW$7:$AW$506,0)),"")</f>
        <v/>
      </c>
      <c r="Z105" s="35">
        <f>IF($Y105="","",INDEX(변동분석!$AJ$7:$AJ$506,$Y105))</f>
        <v/>
      </c>
      <c r="AA105" s="35">
        <f>IF($Y105="","",INDEX(변동분석!$AK$7:$AK$506,$Y105))</f>
        <v/>
      </c>
      <c r="AB105" s="35">
        <f>IF($Y105="","",INDEX(변동분석!$AZ$7:$AZ$506,$Y105))</f>
        <v/>
      </c>
    </row>
    <row r="106">
      <c r="A106" s="22">
        <f>IF($Y106="","",5)</f>
        <v/>
      </c>
      <c r="B106" s="26">
        <f>IF($Y106="","",INDEX(변동분석!$B$7:$B$506,$Y106))</f>
        <v/>
      </c>
      <c r="C106" s="26">
        <f>IF($Y106="","",INDEX(변동분석!$D$7:$D$506,$Y106))</f>
        <v/>
      </c>
      <c r="D106" s="35">
        <f>IF($Y106="","",INDEX(변동분석!$P$7:$P$506,$Y106))</f>
        <v/>
      </c>
      <c r="E106" s="35">
        <f>IF($Y106="","",INDEX(변동분석!$Q$7:$Q$506,$Y106))</f>
        <v/>
      </c>
      <c r="F106" s="35">
        <f>IF($Y106="","",INDEX(변동분석!$AP$7:$AP$506,$Y106))</f>
        <v/>
      </c>
      <c r="G106" s="35">
        <f>IF($Y106="","",INDEX(변동분석!$AQ$7:$AQ$506,$Y106))</f>
        <v/>
      </c>
      <c r="H106" s="35">
        <f>IF($Y106="","",INDEX(변동분석!$AR$7:$AR$506,$Y106))</f>
        <v/>
      </c>
      <c r="I106" s="62">
        <f>IF($Y106="","",INDEX(변동분석!$AS$7:$AS$506,$Y106))</f>
        <v/>
      </c>
      <c r="J106" s="34">
        <f>IF($Y106="","",INDEX(변동분석!$AT$7:$AT$506,$Y106))</f>
        <v/>
      </c>
      <c r="K106" s="34">
        <f>IF($Y106="","",INDEX(변동분석!$AU$7:$AU$506,$Y106))</f>
        <v/>
      </c>
      <c r="L106" s="34">
        <f>IF($Y106="","",INDEX(변동분석!$AV$7:$AV$506,$Y106))</f>
        <v/>
      </c>
      <c r="M106" s="35">
        <f>IF($Y106="","",INDEX(월별집계!$AB$7:$AB$506,$Y106))</f>
        <v/>
      </c>
      <c r="N106" s="35">
        <f>IF($Y106="","",INDEX(월별집계!$AC$7:$AC$506,$Y106))</f>
        <v/>
      </c>
      <c r="O106" s="35">
        <f>IF($Y106="","",INDEX(월별집계!$AD$7:$AD$506,$Y106))</f>
        <v/>
      </c>
      <c r="P106" s="35">
        <f>IF($Y106="","",INDEX(월별집계!$AE$7:$AE$506,$Y106))</f>
        <v/>
      </c>
      <c r="Q106" s="35">
        <f>IF($Y106="","",INDEX(월별집계!$AF$7:$AF$506,$Y106))</f>
        <v/>
      </c>
      <c r="R106" s="35">
        <f>IF($Y106="","",INDEX(월별집계!$AG$7:$AG$506,$Y106))</f>
        <v/>
      </c>
      <c r="S106" s="35">
        <f>IF($Y106="","",INDEX(월별집계!$AH$7:$AH$506,$Y106))</f>
        <v/>
      </c>
      <c r="T106" s="35">
        <f>IF($Y106="","",INDEX(월별집계!$AI$7:$AI$506,$Y106))</f>
        <v/>
      </c>
      <c r="U106" s="35">
        <f>IF($Y106="","",INDEX(월별집계!$AJ$7:$AJ$506,$Y106))</f>
        <v/>
      </c>
      <c r="V106" s="35">
        <f>IF($Y106="","",INDEX(월별집계!$AK$7:$AK$506,$Y106))</f>
        <v/>
      </c>
      <c r="W106" s="35">
        <f>IF($Y106="","",INDEX(월별집계!$AL$7:$AL$506,$Y106))</f>
        <v/>
      </c>
      <c r="X106" s="35">
        <f>IF($Y106="","",INDEX(월별집계!$AM$7:$AM$506,$Y106))</f>
        <v/>
      </c>
      <c r="Y106" s="86">
        <f>IFERROR(IF(SMALL(변동분석!$AW$7:$AW$506,5)&gt;=99,"",MATCH(SMALL(변동분석!$AW$7:$AW$506,5),변동분석!$AW$7:$AW$506,0)),"")</f>
        <v/>
      </c>
      <c r="Z106" s="35">
        <f>IF($Y106="","",INDEX(변동분석!$AJ$7:$AJ$506,$Y106))</f>
        <v/>
      </c>
      <c r="AA106" s="35">
        <f>IF($Y106="","",INDEX(변동분석!$AK$7:$AK$506,$Y106))</f>
        <v/>
      </c>
      <c r="AB106" s="35">
        <f>IF($Y106="","",INDEX(변동분석!$AZ$7:$AZ$506,$Y106))</f>
        <v/>
      </c>
    </row>
    <row r="107">
      <c r="A107" s="22">
        <f>IF($Y107="","",6)</f>
        <v/>
      </c>
      <c r="B107" s="26">
        <f>IF($Y107="","",INDEX(변동분석!$B$7:$B$506,$Y107))</f>
        <v/>
      </c>
      <c r="C107" s="26">
        <f>IF($Y107="","",INDEX(변동분석!$D$7:$D$506,$Y107))</f>
        <v/>
      </c>
      <c r="D107" s="35">
        <f>IF($Y107="","",INDEX(변동분석!$P$7:$P$506,$Y107))</f>
        <v/>
      </c>
      <c r="E107" s="35">
        <f>IF($Y107="","",INDEX(변동분석!$Q$7:$Q$506,$Y107))</f>
        <v/>
      </c>
      <c r="F107" s="35">
        <f>IF($Y107="","",INDEX(변동분석!$AP$7:$AP$506,$Y107))</f>
        <v/>
      </c>
      <c r="G107" s="35">
        <f>IF($Y107="","",INDEX(변동분석!$AQ$7:$AQ$506,$Y107))</f>
        <v/>
      </c>
      <c r="H107" s="35">
        <f>IF($Y107="","",INDEX(변동분석!$AR$7:$AR$506,$Y107))</f>
        <v/>
      </c>
      <c r="I107" s="62">
        <f>IF($Y107="","",INDEX(변동분석!$AS$7:$AS$506,$Y107))</f>
        <v/>
      </c>
      <c r="J107" s="34">
        <f>IF($Y107="","",INDEX(변동분석!$AT$7:$AT$506,$Y107))</f>
        <v/>
      </c>
      <c r="K107" s="34">
        <f>IF($Y107="","",INDEX(변동분석!$AU$7:$AU$506,$Y107))</f>
        <v/>
      </c>
      <c r="L107" s="34">
        <f>IF($Y107="","",INDEX(변동분석!$AV$7:$AV$506,$Y107))</f>
        <v/>
      </c>
      <c r="M107" s="35">
        <f>IF($Y107="","",INDEX(월별집계!$AB$7:$AB$506,$Y107))</f>
        <v/>
      </c>
      <c r="N107" s="35">
        <f>IF($Y107="","",INDEX(월별집계!$AC$7:$AC$506,$Y107))</f>
        <v/>
      </c>
      <c r="O107" s="35">
        <f>IF($Y107="","",INDEX(월별집계!$AD$7:$AD$506,$Y107))</f>
        <v/>
      </c>
      <c r="P107" s="35">
        <f>IF($Y107="","",INDEX(월별집계!$AE$7:$AE$506,$Y107))</f>
        <v/>
      </c>
      <c r="Q107" s="35">
        <f>IF($Y107="","",INDEX(월별집계!$AF$7:$AF$506,$Y107))</f>
        <v/>
      </c>
      <c r="R107" s="35">
        <f>IF($Y107="","",INDEX(월별집계!$AG$7:$AG$506,$Y107))</f>
        <v/>
      </c>
      <c r="S107" s="35">
        <f>IF($Y107="","",INDEX(월별집계!$AH$7:$AH$506,$Y107))</f>
        <v/>
      </c>
      <c r="T107" s="35">
        <f>IF($Y107="","",INDEX(월별집계!$AI$7:$AI$506,$Y107))</f>
        <v/>
      </c>
      <c r="U107" s="35">
        <f>IF($Y107="","",INDEX(월별집계!$AJ$7:$AJ$506,$Y107))</f>
        <v/>
      </c>
      <c r="V107" s="35">
        <f>IF($Y107="","",INDEX(월별집계!$AK$7:$AK$506,$Y107))</f>
        <v/>
      </c>
      <c r="W107" s="35">
        <f>IF($Y107="","",INDEX(월별집계!$AL$7:$AL$506,$Y107))</f>
        <v/>
      </c>
      <c r="X107" s="35">
        <f>IF($Y107="","",INDEX(월별집계!$AM$7:$AM$506,$Y107))</f>
        <v/>
      </c>
      <c r="Y107" s="86">
        <f>IFERROR(IF(SMALL(변동분석!$AW$7:$AW$506,6)&gt;=99,"",MATCH(SMALL(변동분석!$AW$7:$AW$506,6),변동분석!$AW$7:$AW$506,0)),"")</f>
        <v/>
      </c>
      <c r="Z107" s="35">
        <f>IF($Y107="","",INDEX(변동분석!$AJ$7:$AJ$506,$Y107))</f>
        <v/>
      </c>
      <c r="AA107" s="35">
        <f>IF($Y107="","",INDEX(변동분석!$AK$7:$AK$506,$Y107))</f>
        <v/>
      </c>
      <c r="AB107" s="35">
        <f>IF($Y107="","",INDEX(변동분석!$AZ$7:$AZ$506,$Y107))</f>
        <v/>
      </c>
    </row>
    <row r="108">
      <c r="A108" s="22">
        <f>IF($Y108="","",7)</f>
        <v/>
      </c>
      <c r="B108" s="26">
        <f>IF($Y108="","",INDEX(변동분석!$B$7:$B$506,$Y108))</f>
        <v/>
      </c>
      <c r="C108" s="26">
        <f>IF($Y108="","",INDEX(변동분석!$D$7:$D$506,$Y108))</f>
        <v/>
      </c>
      <c r="D108" s="35">
        <f>IF($Y108="","",INDEX(변동분석!$P$7:$P$506,$Y108))</f>
        <v/>
      </c>
      <c r="E108" s="35">
        <f>IF($Y108="","",INDEX(변동분석!$Q$7:$Q$506,$Y108))</f>
        <v/>
      </c>
      <c r="F108" s="35">
        <f>IF($Y108="","",INDEX(변동분석!$AP$7:$AP$506,$Y108))</f>
        <v/>
      </c>
      <c r="G108" s="35">
        <f>IF($Y108="","",INDEX(변동분석!$AQ$7:$AQ$506,$Y108))</f>
        <v/>
      </c>
      <c r="H108" s="35">
        <f>IF($Y108="","",INDEX(변동분석!$AR$7:$AR$506,$Y108))</f>
        <v/>
      </c>
      <c r="I108" s="62">
        <f>IF($Y108="","",INDEX(변동분석!$AS$7:$AS$506,$Y108))</f>
        <v/>
      </c>
      <c r="J108" s="34">
        <f>IF($Y108="","",INDEX(변동분석!$AT$7:$AT$506,$Y108))</f>
        <v/>
      </c>
      <c r="K108" s="34">
        <f>IF($Y108="","",INDEX(변동분석!$AU$7:$AU$506,$Y108))</f>
        <v/>
      </c>
      <c r="L108" s="34">
        <f>IF($Y108="","",INDEX(변동분석!$AV$7:$AV$506,$Y108))</f>
        <v/>
      </c>
      <c r="M108" s="35">
        <f>IF($Y108="","",INDEX(월별집계!$AB$7:$AB$506,$Y108))</f>
        <v/>
      </c>
      <c r="N108" s="35">
        <f>IF($Y108="","",INDEX(월별집계!$AC$7:$AC$506,$Y108))</f>
        <v/>
      </c>
      <c r="O108" s="35">
        <f>IF($Y108="","",INDEX(월별집계!$AD$7:$AD$506,$Y108))</f>
        <v/>
      </c>
      <c r="P108" s="35">
        <f>IF($Y108="","",INDEX(월별집계!$AE$7:$AE$506,$Y108))</f>
        <v/>
      </c>
      <c r="Q108" s="35">
        <f>IF($Y108="","",INDEX(월별집계!$AF$7:$AF$506,$Y108))</f>
        <v/>
      </c>
      <c r="R108" s="35">
        <f>IF($Y108="","",INDEX(월별집계!$AG$7:$AG$506,$Y108))</f>
        <v/>
      </c>
      <c r="S108" s="35">
        <f>IF($Y108="","",INDEX(월별집계!$AH$7:$AH$506,$Y108))</f>
        <v/>
      </c>
      <c r="T108" s="35">
        <f>IF($Y108="","",INDEX(월별집계!$AI$7:$AI$506,$Y108))</f>
        <v/>
      </c>
      <c r="U108" s="35">
        <f>IF($Y108="","",INDEX(월별집계!$AJ$7:$AJ$506,$Y108))</f>
        <v/>
      </c>
      <c r="V108" s="35">
        <f>IF($Y108="","",INDEX(월별집계!$AK$7:$AK$506,$Y108))</f>
        <v/>
      </c>
      <c r="W108" s="35">
        <f>IF($Y108="","",INDEX(월별집계!$AL$7:$AL$506,$Y108))</f>
        <v/>
      </c>
      <c r="X108" s="35">
        <f>IF($Y108="","",INDEX(월별집계!$AM$7:$AM$506,$Y108))</f>
        <v/>
      </c>
      <c r="Y108" s="86">
        <f>IFERROR(IF(SMALL(변동분석!$AW$7:$AW$506,7)&gt;=99,"",MATCH(SMALL(변동분석!$AW$7:$AW$506,7),변동분석!$AW$7:$AW$506,0)),"")</f>
        <v/>
      </c>
      <c r="Z108" s="35">
        <f>IF($Y108="","",INDEX(변동분석!$AJ$7:$AJ$506,$Y108))</f>
        <v/>
      </c>
      <c r="AA108" s="35">
        <f>IF($Y108="","",INDEX(변동분석!$AK$7:$AK$506,$Y108))</f>
        <v/>
      </c>
      <c r="AB108" s="35">
        <f>IF($Y108="","",INDEX(변동분석!$AZ$7:$AZ$506,$Y108))</f>
        <v/>
      </c>
    </row>
    <row r="109">
      <c r="A109" s="22">
        <f>IF($Y109="","",8)</f>
        <v/>
      </c>
      <c r="B109" s="26">
        <f>IF($Y109="","",INDEX(변동분석!$B$7:$B$506,$Y109))</f>
        <v/>
      </c>
      <c r="C109" s="26">
        <f>IF($Y109="","",INDEX(변동분석!$D$7:$D$506,$Y109))</f>
        <v/>
      </c>
      <c r="D109" s="35">
        <f>IF($Y109="","",INDEX(변동분석!$P$7:$P$506,$Y109))</f>
        <v/>
      </c>
      <c r="E109" s="35">
        <f>IF($Y109="","",INDEX(변동분석!$Q$7:$Q$506,$Y109))</f>
        <v/>
      </c>
      <c r="F109" s="35">
        <f>IF($Y109="","",INDEX(변동분석!$AP$7:$AP$506,$Y109))</f>
        <v/>
      </c>
      <c r="G109" s="35">
        <f>IF($Y109="","",INDEX(변동분석!$AQ$7:$AQ$506,$Y109))</f>
        <v/>
      </c>
      <c r="H109" s="35">
        <f>IF($Y109="","",INDEX(변동분석!$AR$7:$AR$506,$Y109))</f>
        <v/>
      </c>
      <c r="I109" s="62">
        <f>IF($Y109="","",INDEX(변동분석!$AS$7:$AS$506,$Y109))</f>
        <v/>
      </c>
      <c r="J109" s="34">
        <f>IF($Y109="","",INDEX(변동분석!$AT$7:$AT$506,$Y109))</f>
        <v/>
      </c>
      <c r="K109" s="34">
        <f>IF($Y109="","",INDEX(변동분석!$AU$7:$AU$506,$Y109))</f>
        <v/>
      </c>
      <c r="L109" s="34">
        <f>IF($Y109="","",INDEX(변동분석!$AV$7:$AV$506,$Y109))</f>
        <v/>
      </c>
      <c r="M109" s="35">
        <f>IF($Y109="","",INDEX(월별집계!$AB$7:$AB$506,$Y109))</f>
        <v/>
      </c>
      <c r="N109" s="35">
        <f>IF($Y109="","",INDEX(월별집계!$AC$7:$AC$506,$Y109))</f>
        <v/>
      </c>
      <c r="O109" s="35">
        <f>IF($Y109="","",INDEX(월별집계!$AD$7:$AD$506,$Y109))</f>
        <v/>
      </c>
      <c r="P109" s="35">
        <f>IF($Y109="","",INDEX(월별집계!$AE$7:$AE$506,$Y109))</f>
        <v/>
      </c>
      <c r="Q109" s="35">
        <f>IF($Y109="","",INDEX(월별집계!$AF$7:$AF$506,$Y109))</f>
        <v/>
      </c>
      <c r="R109" s="35">
        <f>IF($Y109="","",INDEX(월별집계!$AG$7:$AG$506,$Y109))</f>
        <v/>
      </c>
      <c r="S109" s="35">
        <f>IF($Y109="","",INDEX(월별집계!$AH$7:$AH$506,$Y109))</f>
        <v/>
      </c>
      <c r="T109" s="35">
        <f>IF($Y109="","",INDEX(월별집계!$AI$7:$AI$506,$Y109))</f>
        <v/>
      </c>
      <c r="U109" s="35">
        <f>IF($Y109="","",INDEX(월별집계!$AJ$7:$AJ$506,$Y109))</f>
        <v/>
      </c>
      <c r="V109" s="35">
        <f>IF($Y109="","",INDEX(월별집계!$AK$7:$AK$506,$Y109))</f>
        <v/>
      </c>
      <c r="W109" s="35">
        <f>IF($Y109="","",INDEX(월별집계!$AL$7:$AL$506,$Y109))</f>
        <v/>
      </c>
      <c r="X109" s="35">
        <f>IF($Y109="","",INDEX(월별집계!$AM$7:$AM$506,$Y109))</f>
        <v/>
      </c>
      <c r="Y109" s="86">
        <f>IFERROR(IF(SMALL(변동분석!$AW$7:$AW$506,8)&gt;=99,"",MATCH(SMALL(변동분석!$AW$7:$AW$506,8),변동분석!$AW$7:$AW$506,0)),"")</f>
        <v/>
      </c>
      <c r="Z109" s="35">
        <f>IF($Y109="","",INDEX(변동분석!$AJ$7:$AJ$506,$Y109))</f>
        <v/>
      </c>
      <c r="AA109" s="35">
        <f>IF($Y109="","",INDEX(변동분석!$AK$7:$AK$506,$Y109))</f>
        <v/>
      </c>
      <c r="AB109" s="35">
        <f>IF($Y109="","",INDEX(변동분석!$AZ$7:$AZ$506,$Y109))</f>
        <v/>
      </c>
    </row>
    <row r="110">
      <c r="A110" s="22">
        <f>IF($Y110="","",9)</f>
        <v/>
      </c>
      <c r="B110" s="26">
        <f>IF($Y110="","",INDEX(변동분석!$B$7:$B$506,$Y110))</f>
        <v/>
      </c>
      <c r="C110" s="26">
        <f>IF($Y110="","",INDEX(변동분석!$D$7:$D$506,$Y110))</f>
        <v/>
      </c>
      <c r="D110" s="35">
        <f>IF($Y110="","",INDEX(변동분석!$P$7:$P$506,$Y110))</f>
        <v/>
      </c>
      <c r="E110" s="35">
        <f>IF($Y110="","",INDEX(변동분석!$Q$7:$Q$506,$Y110))</f>
        <v/>
      </c>
      <c r="F110" s="35">
        <f>IF($Y110="","",INDEX(변동분석!$AP$7:$AP$506,$Y110))</f>
        <v/>
      </c>
      <c r="G110" s="35">
        <f>IF($Y110="","",INDEX(변동분석!$AQ$7:$AQ$506,$Y110))</f>
        <v/>
      </c>
      <c r="H110" s="35">
        <f>IF($Y110="","",INDEX(변동분석!$AR$7:$AR$506,$Y110))</f>
        <v/>
      </c>
      <c r="I110" s="62">
        <f>IF($Y110="","",INDEX(변동분석!$AS$7:$AS$506,$Y110))</f>
        <v/>
      </c>
      <c r="J110" s="34">
        <f>IF($Y110="","",INDEX(변동분석!$AT$7:$AT$506,$Y110))</f>
        <v/>
      </c>
      <c r="K110" s="34">
        <f>IF($Y110="","",INDEX(변동분석!$AU$7:$AU$506,$Y110))</f>
        <v/>
      </c>
      <c r="L110" s="34">
        <f>IF($Y110="","",INDEX(변동분석!$AV$7:$AV$506,$Y110))</f>
        <v/>
      </c>
      <c r="M110" s="35">
        <f>IF($Y110="","",INDEX(월별집계!$AB$7:$AB$506,$Y110))</f>
        <v/>
      </c>
      <c r="N110" s="35">
        <f>IF($Y110="","",INDEX(월별집계!$AC$7:$AC$506,$Y110))</f>
        <v/>
      </c>
      <c r="O110" s="35">
        <f>IF($Y110="","",INDEX(월별집계!$AD$7:$AD$506,$Y110))</f>
        <v/>
      </c>
      <c r="P110" s="35">
        <f>IF($Y110="","",INDEX(월별집계!$AE$7:$AE$506,$Y110))</f>
        <v/>
      </c>
      <c r="Q110" s="35">
        <f>IF($Y110="","",INDEX(월별집계!$AF$7:$AF$506,$Y110))</f>
        <v/>
      </c>
      <c r="R110" s="35">
        <f>IF($Y110="","",INDEX(월별집계!$AG$7:$AG$506,$Y110))</f>
        <v/>
      </c>
      <c r="S110" s="35">
        <f>IF($Y110="","",INDEX(월별집계!$AH$7:$AH$506,$Y110))</f>
        <v/>
      </c>
      <c r="T110" s="35">
        <f>IF($Y110="","",INDEX(월별집계!$AI$7:$AI$506,$Y110))</f>
        <v/>
      </c>
      <c r="U110" s="35">
        <f>IF($Y110="","",INDEX(월별집계!$AJ$7:$AJ$506,$Y110))</f>
        <v/>
      </c>
      <c r="V110" s="35">
        <f>IF($Y110="","",INDEX(월별집계!$AK$7:$AK$506,$Y110))</f>
        <v/>
      </c>
      <c r="W110" s="35">
        <f>IF($Y110="","",INDEX(월별집계!$AL$7:$AL$506,$Y110))</f>
        <v/>
      </c>
      <c r="X110" s="35">
        <f>IF($Y110="","",INDEX(월별집계!$AM$7:$AM$506,$Y110))</f>
        <v/>
      </c>
      <c r="Y110" s="86">
        <f>IFERROR(IF(SMALL(변동분석!$AW$7:$AW$506,9)&gt;=99,"",MATCH(SMALL(변동분석!$AW$7:$AW$506,9),변동분석!$AW$7:$AW$506,0)),"")</f>
        <v/>
      </c>
      <c r="Z110" s="35">
        <f>IF($Y110="","",INDEX(변동분석!$AJ$7:$AJ$506,$Y110))</f>
        <v/>
      </c>
      <c r="AA110" s="35">
        <f>IF($Y110="","",INDEX(변동분석!$AK$7:$AK$506,$Y110))</f>
        <v/>
      </c>
      <c r="AB110" s="35">
        <f>IF($Y110="","",INDEX(변동분석!$AZ$7:$AZ$506,$Y110))</f>
        <v/>
      </c>
    </row>
    <row r="111">
      <c r="A111" s="22">
        <f>IF($Y111="","",10)</f>
        <v/>
      </c>
      <c r="B111" s="26">
        <f>IF($Y111="","",INDEX(변동분석!$B$7:$B$506,$Y111))</f>
        <v/>
      </c>
      <c r="C111" s="26">
        <f>IF($Y111="","",INDEX(변동분석!$D$7:$D$506,$Y111))</f>
        <v/>
      </c>
      <c r="D111" s="35">
        <f>IF($Y111="","",INDEX(변동분석!$P$7:$P$506,$Y111))</f>
        <v/>
      </c>
      <c r="E111" s="35">
        <f>IF($Y111="","",INDEX(변동분석!$Q$7:$Q$506,$Y111))</f>
        <v/>
      </c>
      <c r="F111" s="35">
        <f>IF($Y111="","",INDEX(변동분석!$AP$7:$AP$506,$Y111))</f>
        <v/>
      </c>
      <c r="G111" s="35">
        <f>IF($Y111="","",INDEX(변동분석!$AQ$7:$AQ$506,$Y111))</f>
        <v/>
      </c>
      <c r="H111" s="35">
        <f>IF($Y111="","",INDEX(변동분석!$AR$7:$AR$506,$Y111))</f>
        <v/>
      </c>
      <c r="I111" s="62">
        <f>IF($Y111="","",INDEX(변동분석!$AS$7:$AS$506,$Y111))</f>
        <v/>
      </c>
      <c r="J111" s="34">
        <f>IF($Y111="","",INDEX(변동분석!$AT$7:$AT$506,$Y111))</f>
        <v/>
      </c>
      <c r="K111" s="34">
        <f>IF($Y111="","",INDEX(변동분석!$AU$7:$AU$506,$Y111))</f>
        <v/>
      </c>
      <c r="L111" s="34">
        <f>IF($Y111="","",INDEX(변동분석!$AV$7:$AV$506,$Y111))</f>
        <v/>
      </c>
      <c r="M111" s="35">
        <f>IF($Y111="","",INDEX(월별집계!$AB$7:$AB$506,$Y111))</f>
        <v/>
      </c>
      <c r="N111" s="35">
        <f>IF($Y111="","",INDEX(월별집계!$AC$7:$AC$506,$Y111))</f>
        <v/>
      </c>
      <c r="O111" s="35">
        <f>IF($Y111="","",INDEX(월별집계!$AD$7:$AD$506,$Y111))</f>
        <v/>
      </c>
      <c r="P111" s="35">
        <f>IF($Y111="","",INDEX(월별집계!$AE$7:$AE$506,$Y111))</f>
        <v/>
      </c>
      <c r="Q111" s="35">
        <f>IF($Y111="","",INDEX(월별집계!$AF$7:$AF$506,$Y111))</f>
        <v/>
      </c>
      <c r="R111" s="35">
        <f>IF($Y111="","",INDEX(월별집계!$AG$7:$AG$506,$Y111))</f>
        <v/>
      </c>
      <c r="S111" s="35">
        <f>IF($Y111="","",INDEX(월별집계!$AH$7:$AH$506,$Y111))</f>
        <v/>
      </c>
      <c r="T111" s="35">
        <f>IF($Y111="","",INDEX(월별집계!$AI$7:$AI$506,$Y111))</f>
        <v/>
      </c>
      <c r="U111" s="35">
        <f>IF($Y111="","",INDEX(월별집계!$AJ$7:$AJ$506,$Y111))</f>
        <v/>
      </c>
      <c r="V111" s="35">
        <f>IF($Y111="","",INDEX(월별집계!$AK$7:$AK$506,$Y111))</f>
        <v/>
      </c>
      <c r="W111" s="35">
        <f>IF($Y111="","",INDEX(월별집계!$AL$7:$AL$506,$Y111))</f>
        <v/>
      </c>
      <c r="X111" s="35">
        <f>IF($Y111="","",INDEX(월별집계!$AM$7:$AM$506,$Y111))</f>
        <v/>
      </c>
      <c r="Y111" s="86">
        <f>IFERROR(IF(SMALL(변동분석!$AW$7:$AW$506,10)&gt;=99,"",MATCH(SMALL(변동분석!$AW$7:$AW$506,10),변동분석!$AW$7:$AW$506,0)),"")</f>
        <v/>
      </c>
      <c r="Z111" s="35">
        <f>IF($Y111="","",INDEX(변동분석!$AJ$7:$AJ$506,$Y111))</f>
        <v/>
      </c>
      <c r="AA111" s="35">
        <f>IF($Y111="","",INDEX(변동분석!$AK$7:$AK$506,$Y111))</f>
        <v/>
      </c>
      <c r="AB111" s="35">
        <f>IF($Y111="","",INDEX(변동분석!$AZ$7:$AZ$506,$Y111))</f>
        <v/>
      </c>
    </row>
    <row r="112">
      <c r="A112" s="22">
        <f>IF($Y112="","",11)</f>
        <v/>
      </c>
      <c r="B112" s="26">
        <f>IF($Y112="","",INDEX(변동분석!$B$7:$B$506,$Y112))</f>
        <v/>
      </c>
      <c r="C112" s="26">
        <f>IF($Y112="","",INDEX(변동분석!$D$7:$D$506,$Y112))</f>
        <v/>
      </c>
      <c r="D112" s="35">
        <f>IF($Y112="","",INDEX(변동분석!$P$7:$P$506,$Y112))</f>
        <v/>
      </c>
      <c r="E112" s="35">
        <f>IF($Y112="","",INDEX(변동분석!$Q$7:$Q$506,$Y112))</f>
        <v/>
      </c>
      <c r="F112" s="35">
        <f>IF($Y112="","",INDEX(변동분석!$AP$7:$AP$506,$Y112))</f>
        <v/>
      </c>
      <c r="G112" s="35">
        <f>IF($Y112="","",INDEX(변동분석!$AQ$7:$AQ$506,$Y112))</f>
        <v/>
      </c>
      <c r="H112" s="35">
        <f>IF($Y112="","",INDEX(변동분석!$AR$7:$AR$506,$Y112))</f>
        <v/>
      </c>
      <c r="I112" s="62">
        <f>IF($Y112="","",INDEX(변동분석!$AS$7:$AS$506,$Y112))</f>
        <v/>
      </c>
      <c r="J112" s="34">
        <f>IF($Y112="","",INDEX(변동분석!$AT$7:$AT$506,$Y112))</f>
        <v/>
      </c>
      <c r="K112" s="34">
        <f>IF($Y112="","",INDEX(변동분석!$AU$7:$AU$506,$Y112))</f>
        <v/>
      </c>
      <c r="L112" s="34">
        <f>IF($Y112="","",INDEX(변동분석!$AV$7:$AV$506,$Y112))</f>
        <v/>
      </c>
      <c r="M112" s="35">
        <f>IF($Y112="","",INDEX(월별집계!$AB$7:$AB$506,$Y112))</f>
        <v/>
      </c>
      <c r="N112" s="35">
        <f>IF($Y112="","",INDEX(월별집계!$AC$7:$AC$506,$Y112))</f>
        <v/>
      </c>
      <c r="O112" s="35">
        <f>IF($Y112="","",INDEX(월별집계!$AD$7:$AD$506,$Y112))</f>
        <v/>
      </c>
      <c r="P112" s="35">
        <f>IF($Y112="","",INDEX(월별집계!$AE$7:$AE$506,$Y112))</f>
        <v/>
      </c>
      <c r="Q112" s="35">
        <f>IF($Y112="","",INDEX(월별집계!$AF$7:$AF$506,$Y112))</f>
        <v/>
      </c>
      <c r="R112" s="35">
        <f>IF($Y112="","",INDEX(월별집계!$AG$7:$AG$506,$Y112))</f>
        <v/>
      </c>
      <c r="S112" s="35">
        <f>IF($Y112="","",INDEX(월별집계!$AH$7:$AH$506,$Y112))</f>
        <v/>
      </c>
      <c r="T112" s="35">
        <f>IF($Y112="","",INDEX(월별집계!$AI$7:$AI$506,$Y112))</f>
        <v/>
      </c>
      <c r="U112" s="35">
        <f>IF($Y112="","",INDEX(월별집계!$AJ$7:$AJ$506,$Y112))</f>
        <v/>
      </c>
      <c r="V112" s="35">
        <f>IF($Y112="","",INDEX(월별집계!$AK$7:$AK$506,$Y112))</f>
        <v/>
      </c>
      <c r="W112" s="35">
        <f>IF($Y112="","",INDEX(월별집계!$AL$7:$AL$506,$Y112))</f>
        <v/>
      </c>
      <c r="X112" s="35">
        <f>IF($Y112="","",INDEX(월별집계!$AM$7:$AM$506,$Y112))</f>
        <v/>
      </c>
      <c r="Y112" s="86">
        <f>IFERROR(IF(SMALL(변동분석!$AW$7:$AW$506,11)&gt;=99,"",MATCH(SMALL(변동분석!$AW$7:$AW$506,11),변동분석!$AW$7:$AW$506,0)),"")</f>
        <v/>
      </c>
      <c r="Z112" s="35">
        <f>IF($Y112="","",INDEX(변동분석!$AJ$7:$AJ$506,$Y112))</f>
        <v/>
      </c>
      <c r="AA112" s="35">
        <f>IF($Y112="","",INDEX(변동분석!$AK$7:$AK$506,$Y112))</f>
        <v/>
      </c>
      <c r="AB112" s="35">
        <f>IF($Y112="","",INDEX(변동분석!$AZ$7:$AZ$506,$Y112))</f>
        <v/>
      </c>
    </row>
    <row r="113">
      <c r="A113" s="22">
        <f>IF($Y113="","",12)</f>
        <v/>
      </c>
      <c r="B113" s="26">
        <f>IF($Y113="","",INDEX(변동분석!$B$7:$B$506,$Y113))</f>
        <v/>
      </c>
      <c r="C113" s="26">
        <f>IF($Y113="","",INDEX(변동분석!$D$7:$D$506,$Y113))</f>
        <v/>
      </c>
      <c r="D113" s="35">
        <f>IF($Y113="","",INDEX(변동분석!$P$7:$P$506,$Y113))</f>
        <v/>
      </c>
      <c r="E113" s="35">
        <f>IF($Y113="","",INDEX(변동분석!$Q$7:$Q$506,$Y113))</f>
        <v/>
      </c>
      <c r="F113" s="35">
        <f>IF($Y113="","",INDEX(변동분석!$AP$7:$AP$506,$Y113))</f>
        <v/>
      </c>
      <c r="G113" s="35">
        <f>IF($Y113="","",INDEX(변동분석!$AQ$7:$AQ$506,$Y113))</f>
        <v/>
      </c>
      <c r="H113" s="35">
        <f>IF($Y113="","",INDEX(변동분석!$AR$7:$AR$506,$Y113))</f>
        <v/>
      </c>
      <c r="I113" s="62">
        <f>IF($Y113="","",INDEX(변동분석!$AS$7:$AS$506,$Y113))</f>
        <v/>
      </c>
      <c r="J113" s="34">
        <f>IF($Y113="","",INDEX(변동분석!$AT$7:$AT$506,$Y113))</f>
        <v/>
      </c>
      <c r="K113" s="34">
        <f>IF($Y113="","",INDEX(변동분석!$AU$7:$AU$506,$Y113))</f>
        <v/>
      </c>
      <c r="L113" s="34">
        <f>IF($Y113="","",INDEX(변동분석!$AV$7:$AV$506,$Y113))</f>
        <v/>
      </c>
      <c r="M113" s="35">
        <f>IF($Y113="","",INDEX(월별집계!$AB$7:$AB$506,$Y113))</f>
        <v/>
      </c>
      <c r="N113" s="35">
        <f>IF($Y113="","",INDEX(월별집계!$AC$7:$AC$506,$Y113))</f>
        <v/>
      </c>
      <c r="O113" s="35">
        <f>IF($Y113="","",INDEX(월별집계!$AD$7:$AD$506,$Y113))</f>
        <v/>
      </c>
      <c r="P113" s="35">
        <f>IF($Y113="","",INDEX(월별집계!$AE$7:$AE$506,$Y113))</f>
        <v/>
      </c>
      <c r="Q113" s="35">
        <f>IF($Y113="","",INDEX(월별집계!$AF$7:$AF$506,$Y113))</f>
        <v/>
      </c>
      <c r="R113" s="35">
        <f>IF($Y113="","",INDEX(월별집계!$AG$7:$AG$506,$Y113))</f>
        <v/>
      </c>
      <c r="S113" s="35">
        <f>IF($Y113="","",INDEX(월별집계!$AH$7:$AH$506,$Y113))</f>
        <v/>
      </c>
      <c r="T113" s="35">
        <f>IF($Y113="","",INDEX(월별집계!$AI$7:$AI$506,$Y113))</f>
        <v/>
      </c>
      <c r="U113" s="35">
        <f>IF($Y113="","",INDEX(월별집계!$AJ$7:$AJ$506,$Y113))</f>
        <v/>
      </c>
      <c r="V113" s="35">
        <f>IF($Y113="","",INDEX(월별집계!$AK$7:$AK$506,$Y113))</f>
        <v/>
      </c>
      <c r="W113" s="35">
        <f>IF($Y113="","",INDEX(월별집계!$AL$7:$AL$506,$Y113))</f>
        <v/>
      </c>
      <c r="X113" s="35">
        <f>IF($Y113="","",INDEX(월별집계!$AM$7:$AM$506,$Y113))</f>
        <v/>
      </c>
      <c r="Y113" s="86">
        <f>IFERROR(IF(SMALL(변동분석!$AW$7:$AW$506,12)&gt;=99,"",MATCH(SMALL(변동분석!$AW$7:$AW$506,12),변동분석!$AW$7:$AW$506,0)),"")</f>
        <v/>
      </c>
      <c r="Z113" s="35">
        <f>IF($Y113="","",INDEX(변동분석!$AJ$7:$AJ$506,$Y113))</f>
        <v/>
      </c>
      <c r="AA113" s="35">
        <f>IF($Y113="","",INDEX(변동분석!$AK$7:$AK$506,$Y113))</f>
        <v/>
      </c>
      <c r="AB113" s="35">
        <f>IF($Y113="","",INDEX(변동분석!$AZ$7:$AZ$506,$Y113))</f>
        <v/>
      </c>
    </row>
    <row r="114">
      <c r="A114" s="22">
        <f>IF($Y114="","",13)</f>
        <v/>
      </c>
      <c r="B114" s="26">
        <f>IF($Y114="","",INDEX(변동분석!$B$7:$B$506,$Y114))</f>
        <v/>
      </c>
      <c r="C114" s="26">
        <f>IF($Y114="","",INDEX(변동분석!$D$7:$D$506,$Y114))</f>
        <v/>
      </c>
      <c r="D114" s="35">
        <f>IF($Y114="","",INDEX(변동분석!$P$7:$P$506,$Y114))</f>
        <v/>
      </c>
      <c r="E114" s="35">
        <f>IF($Y114="","",INDEX(변동분석!$Q$7:$Q$506,$Y114))</f>
        <v/>
      </c>
      <c r="F114" s="35">
        <f>IF($Y114="","",INDEX(변동분석!$AP$7:$AP$506,$Y114))</f>
        <v/>
      </c>
      <c r="G114" s="35">
        <f>IF($Y114="","",INDEX(변동분석!$AQ$7:$AQ$506,$Y114))</f>
        <v/>
      </c>
      <c r="H114" s="35">
        <f>IF($Y114="","",INDEX(변동분석!$AR$7:$AR$506,$Y114))</f>
        <v/>
      </c>
      <c r="I114" s="62">
        <f>IF($Y114="","",INDEX(변동분석!$AS$7:$AS$506,$Y114))</f>
        <v/>
      </c>
      <c r="J114" s="34">
        <f>IF($Y114="","",INDEX(변동분석!$AT$7:$AT$506,$Y114))</f>
        <v/>
      </c>
      <c r="K114" s="34">
        <f>IF($Y114="","",INDEX(변동분석!$AU$7:$AU$506,$Y114))</f>
        <v/>
      </c>
      <c r="L114" s="34">
        <f>IF($Y114="","",INDEX(변동분석!$AV$7:$AV$506,$Y114))</f>
        <v/>
      </c>
      <c r="M114" s="35">
        <f>IF($Y114="","",INDEX(월별집계!$AB$7:$AB$506,$Y114))</f>
        <v/>
      </c>
      <c r="N114" s="35">
        <f>IF($Y114="","",INDEX(월별집계!$AC$7:$AC$506,$Y114))</f>
        <v/>
      </c>
      <c r="O114" s="35">
        <f>IF($Y114="","",INDEX(월별집계!$AD$7:$AD$506,$Y114))</f>
        <v/>
      </c>
      <c r="P114" s="35">
        <f>IF($Y114="","",INDEX(월별집계!$AE$7:$AE$506,$Y114))</f>
        <v/>
      </c>
      <c r="Q114" s="35">
        <f>IF($Y114="","",INDEX(월별집계!$AF$7:$AF$506,$Y114))</f>
        <v/>
      </c>
      <c r="R114" s="35">
        <f>IF($Y114="","",INDEX(월별집계!$AG$7:$AG$506,$Y114))</f>
        <v/>
      </c>
      <c r="S114" s="35">
        <f>IF($Y114="","",INDEX(월별집계!$AH$7:$AH$506,$Y114))</f>
        <v/>
      </c>
      <c r="T114" s="35">
        <f>IF($Y114="","",INDEX(월별집계!$AI$7:$AI$506,$Y114))</f>
        <v/>
      </c>
      <c r="U114" s="35">
        <f>IF($Y114="","",INDEX(월별집계!$AJ$7:$AJ$506,$Y114))</f>
        <v/>
      </c>
      <c r="V114" s="35">
        <f>IF($Y114="","",INDEX(월별집계!$AK$7:$AK$506,$Y114))</f>
        <v/>
      </c>
      <c r="W114" s="35">
        <f>IF($Y114="","",INDEX(월별집계!$AL$7:$AL$506,$Y114))</f>
        <v/>
      </c>
      <c r="X114" s="35">
        <f>IF($Y114="","",INDEX(월별집계!$AM$7:$AM$506,$Y114))</f>
        <v/>
      </c>
      <c r="Y114" s="86">
        <f>IFERROR(IF(SMALL(변동분석!$AW$7:$AW$506,13)&gt;=99,"",MATCH(SMALL(변동분석!$AW$7:$AW$506,13),변동분석!$AW$7:$AW$506,0)),"")</f>
        <v/>
      </c>
      <c r="Z114" s="35">
        <f>IF($Y114="","",INDEX(변동분석!$AJ$7:$AJ$506,$Y114))</f>
        <v/>
      </c>
      <c r="AA114" s="35">
        <f>IF($Y114="","",INDEX(변동분석!$AK$7:$AK$506,$Y114))</f>
        <v/>
      </c>
      <c r="AB114" s="35">
        <f>IF($Y114="","",INDEX(변동분석!$AZ$7:$AZ$506,$Y114))</f>
        <v/>
      </c>
    </row>
    <row r="115">
      <c r="A115" s="22">
        <f>IF($Y115="","",14)</f>
        <v/>
      </c>
      <c r="B115" s="26">
        <f>IF($Y115="","",INDEX(변동분석!$B$7:$B$506,$Y115))</f>
        <v/>
      </c>
      <c r="C115" s="26">
        <f>IF($Y115="","",INDEX(변동분석!$D$7:$D$506,$Y115))</f>
        <v/>
      </c>
      <c r="D115" s="35">
        <f>IF($Y115="","",INDEX(변동분석!$P$7:$P$506,$Y115))</f>
        <v/>
      </c>
      <c r="E115" s="35">
        <f>IF($Y115="","",INDEX(변동분석!$Q$7:$Q$506,$Y115))</f>
        <v/>
      </c>
      <c r="F115" s="35">
        <f>IF($Y115="","",INDEX(변동분석!$AP$7:$AP$506,$Y115))</f>
        <v/>
      </c>
      <c r="G115" s="35">
        <f>IF($Y115="","",INDEX(변동분석!$AQ$7:$AQ$506,$Y115))</f>
        <v/>
      </c>
      <c r="H115" s="35">
        <f>IF($Y115="","",INDEX(변동분석!$AR$7:$AR$506,$Y115))</f>
        <v/>
      </c>
      <c r="I115" s="62">
        <f>IF($Y115="","",INDEX(변동분석!$AS$7:$AS$506,$Y115))</f>
        <v/>
      </c>
      <c r="J115" s="34">
        <f>IF($Y115="","",INDEX(변동분석!$AT$7:$AT$506,$Y115))</f>
        <v/>
      </c>
      <c r="K115" s="34">
        <f>IF($Y115="","",INDEX(변동분석!$AU$7:$AU$506,$Y115))</f>
        <v/>
      </c>
      <c r="L115" s="34">
        <f>IF($Y115="","",INDEX(변동분석!$AV$7:$AV$506,$Y115))</f>
        <v/>
      </c>
      <c r="M115" s="35">
        <f>IF($Y115="","",INDEX(월별집계!$AB$7:$AB$506,$Y115))</f>
        <v/>
      </c>
      <c r="N115" s="35">
        <f>IF($Y115="","",INDEX(월별집계!$AC$7:$AC$506,$Y115))</f>
        <v/>
      </c>
      <c r="O115" s="35">
        <f>IF($Y115="","",INDEX(월별집계!$AD$7:$AD$506,$Y115))</f>
        <v/>
      </c>
      <c r="P115" s="35">
        <f>IF($Y115="","",INDEX(월별집계!$AE$7:$AE$506,$Y115))</f>
        <v/>
      </c>
      <c r="Q115" s="35">
        <f>IF($Y115="","",INDEX(월별집계!$AF$7:$AF$506,$Y115))</f>
        <v/>
      </c>
      <c r="R115" s="35">
        <f>IF($Y115="","",INDEX(월별집계!$AG$7:$AG$506,$Y115))</f>
        <v/>
      </c>
      <c r="S115" s="35">
        <f>IF($Y115="","",INDEX(월별집계!$AH$7:$AH$506,$Y115))</f>
        <v/>
      </c>
      <c r="T115" s="35">
        <f>IF($Y115="","",INDEX(월별집계!$AI$7:$AI$506,$Y115))</f>
        <v/>
      </c>
      <c r="U115" s="35">
        <f>IF($Y115="","",INDEX(월별집계!$AJ$7:$AJ$506,$Y115))</f>
        <v/>
      </c>
      <c r="V115" s="35">
        <f>IF($Y115="","",INDEX(월별집계!$AK$7:$AK$506,$Y115))</f>
        <v/>
      </c>
      <c r="W115" s="35">
        <f>IF($Y115="","",INDEX(월별집계!$AL$7:$AL$506,$Y115))</f>
        <v/>
      </c>
      <c r="X115" s="35">
        <f>IF($Y115="","",INDEX(월별집계!$AM$7:$AM$506,$Y115))</f>
        <v/>
      </c>
      <c r="Y115" s="86">
        <f>IFERROR(IF(SMALL(변동분석!$AW$7:$AW$506,14)&gt;=99,"",MATCH(SMALL(변동분석!$AW$7:$AW$506,14),변동분석!$AW$7:$AW$506,0)),"")</f>
        <v/>
      </c>
      <c r="Z115" s="35">
        <f>IF($Y115="","",INDEX(변동분석!$AJ$7:$AJ$506,$Y115))</f>
        <v/>
      </c>
      <c r="AA115" s="35">
        <f>IF($Y115="","",INDEX(변동분석!$AK$7:$AK$506,$Y115))</f>
        <v/>
      </c>
      <c r="AB115" s="35">
        <f>IF($Y115="","",INDEX(변동분석!$AZ$7:$AZ$506,$Y115))</f>
        <v/>
      </c>
    </row>
    <row r="116">
      <c r="A116" s="22">
        <f>IF($Y116="","",15)</f>
        <v/>
      </c>
      <c r="B116" s="26">
        <f>IF($Y116="","",INDEX(변동분석!$B$7:$B$506,$Y116))</f>
        <v/>
      </c>
      <c r="C116" s="26">
        <f>IF($Y116="","",INDEX(변동분석!$D$7:$D$506,$Y116))</f>
        <v/>
      </c>
      <c r="D116" s="35">
        <f>IF($Y116="","",INDEX(변동분석!$P$7:$P$506,$Y116))</f>
        <v/>
      </c>
      <c r="E116" s="35">
        <f>IF($Y116="","",INDEX(변동분석!$Q$7:$Q$506,$Y116))</f>
        <v/>
      </c>
      <c r="F116" s="35">
        <f>IF($Y116="","",INDEX(변동분석!$AP$7:$AP$506,$Y116))</f>
        <v/>
      </c>
      <c r="G116" s="35">
        <f>IF($Y116="","",INDEX(변동분석!$AQ$7:$AQ$506,$Y116))</f>
        <v/>
      </c>
      <c r="H116" s="35">
        <f>IF($Y116="","",INDEX(변동분석!$AR$7:$AR$506,$Y116))</f>
        <v/>
      </c>
      <c r="I116" s="62">
        <f>IF($Y116="","",INDEX(변동분석!$AS$7:$AS$506,$Y116))</f>
        <v/>
      </c>
      <c r="J116" s="34">
        <f>IF($Y116="","",INDEX(변동분석!$AT$7:$AT$506,$Y116))</f>
        <v/>
      </c>
      <c r="K116" s="34">
        <f>IF($Y116="","",INDEX(변동분석!$AU$7:$AU$506,$Y116))</f>
        <v/>
      </c>
      <c r="L116" s="34">
        <f>IF($Y116="","",INDEX(변동분석!$AV$7:$AV$506,$Y116))</f>
        <v/>
      </c>
      <c r="M116" s="35">
        <f>IF($Y116="","",INDEX(월별집계!$AB$7:$AB$506,$Y116))</f>
        <v/>
      </c>
      <c r="N116" s="35">
        <f>IF($Y116="","",INDEX(월별집계!$AC$7:$AC$506,$Y116))</f>
        <v/>
      </c>
      <c r="O116" s="35">
        <f>IF($Y116="","",INDEX(월별집계!$AD$7:$AD$506,$Y116))</f>
        <v/>
      </c>
      <c r="P116" s="35">
        <f>IF($Y116="","",INDEX(월별집계!$AE$7:$AE$506,$Y116))</f>
        <v/>
      </c>
      <c r="Q116" s="35">
        <f>IF($Y116="","",INDEX(월별집계!$AF$7:$AF$506,$Y116))</f>
        <v/>
      </c>
      <c r="R116" s="35">
        <f>IF($Y116="","",INDEX(월별집계!$AG$7:$AG$506,$Y116))</f>
        <v/>
      </c>
      <c r="S116" s="35">
        <f>IF($Y116="","",INDEX(월별집계!$AH$7:$AH$506,$Y116))</f>
        <v/>
      </c>
      <c r="T116" s="35">
        <f>IF($Y116="","",INDEX(월별집계!$AI$7:$AI$506,$Y116))</f>
        <v/>
      </c>
      <c r="U116" s="35">
        <f>IF($Y116="","",INDEX(월별집계!$AJ$7:$AJ$506,$Y116))</f>
        <v/>
      </c>
      <c r="V116" s="35">
        <f>IF($Y116="","",INDEX(월별집계!$AK$7:$AK$506,$Y116))</f>
        <v/>
      </c>
      <c r="W116" s="35">
        <f>IF($Y116="","",INDEX(월별집계!$AL$7:$AL$506,$Y116))</f>
        <v/>
      </c>
      <c r="X116" s="35">
        <f>IF($Y116="","",INDEX(월별집계!$AM$7:$AM$506,$Y116))</f>
        <v/>
      </c>
      <c r="Y116" s="86">
        <f>IFERROR(IF(SMALL(변동분석!$AW$7:$AW$506,15)&gt;=99,"",MATCH(SMALL(변동분석!$AW$7:$AW$506,15),변동분석!$AW$7:$AW$506,0)),"")</f>
        <v/>
      </c>
      <c r="Z116" s="35">
        <f>IF($Y116="","",INDEX(변동분석!$AJ$7:$AJ$506,$Y116))</f>
        <v/>
      </c>
      <c r="AA116" s="35">
        <f>IF($Y116="","",INDEX(변동분석!$AK$7:$AK$506,$Y116))</f>
        <v/>
      </c>
      <c r="AB116" s="35">
        <f>IF($Y116="","",INDEX(변동분석!$AZ$7:$AZ$506,$Y116))</f>
        <v/>
      </c>
    </row>
    <row r="119" ht="30" customHeight="1">
      <c r="A119" s="4" t="inlineStr">
        <is>
          <t>사업비 구분</t>
        </is>
      </c>
      <c r="B119" s="4" t="inlineStr">
        <is>
          <t>1월</t>
        </is>
      </c>
      <c r="C119" s="4" t="inlineStr">
        <is>
          <t>2월</t>
        </is>
      </c>
      <c r="D119" s="4" t="inlineStr">
        <is>
          <t>3월</t>
        </is>
      </c>
      <c r="E119" s="4" t="inlineStr">
        <is>
          <t>4월</t>
        </is>
      </c>
      <c r="F119" s="4" t="inlineStr">
        <is>
          <t>5월</t>
        </is>
      </c>
      <c r="G119" s="4" t="inlineStr">
        <is>
          <t>6월</t>
        </is>
      </c>
      <c r="H119" s="4" t="inlineStr">
        <is>
          <t>7월</t>
        </is>
      </c>
      <c r="I119" s="4" t="inlineStr">
        <is>
          <t>8월</t>
        </is>
      </c>
      <c r="J119" s="4" t="inlineStr">
        <is>
          <t>9월</t>
        </is>
      </c>
      <c r="K119" s="4" t="inlineStr">
        <is>
          <t>10월</t>
        </is>
      </c>
      <c r="L119" s="4" t="inlineStr">
        <is>
          <t>11월</t>
        </is>
      </c>
      <c r="M119" s="4" t="inlineStr">
        <is>
          <t>12월</t>
        </is>
      </c>
      <c r="N119" s="4" t="inlineStr">
        <is>
          <t>당해 누계</t>
        </is>
      </c>
      <c r="O119" s="4" t="inlineStr">
        <is>
          <t>구성비</t>
        </is>
      </c>
      <c r="P119" s="4" t="inlineStr">
        <is>
          <t>전년동기
누계</t>
        </is>
      </c>
      <c r="Q119" s="4" t="inlineStr">
        <is>
          <t>증감액</t>
        </is>
      </c>
      <c r="R119" s="4" t="inlineStr">
        <is>
          <t>증감률</t>
        </is>
      </c>
    </row>
    <row r="120">
      <c r="A120" s="6" t="inlineStr">
        <is>
          <t>직접신계약비-무관</t>
        </is>
      </c>
      <c r="B120" s="35">
        <f>IF(1&gt;설정!$C$7,0,SUMIFS(전표_원본!$P$5:$P$100000,전표_원본!$M$5:$M$100000,설정!$C$6*12+1,전표_원본!$AE$5:$AE$100000,"직접",전표_원본!$AF$5:$AF$100000,"비귀속"))</f>
        <v/>
      </c>
      <c r="C120" s="35">
        <f>IF(2&gt;설정!$C$7,0,SUMIFS(전표_원본!$P$5:$P$100000,전표_원본!$M$5:$M$100000,설정!$C$6*12+2,전표_원본!$AE$5:$AE$100000,"직접",전표_원본!$AF$5:$AF$100000,"비귀속"))</f>
        <v/>
      </c>
      <c r="D120" s="35">
        <f>IF(3&gt;설정!$C$7,0,SUMIFS(전표_원본!$P$5:$P$100000,전표_원본!$M$5:$M$100000,설정!$C$6*12+3,전표_원본!$AE$5:$AE$100000,"직접",전표_원본!$AF$5:$AF$100000,"비귀속"))</f>
        <v/>
      </c>
      <c r="E120" s="35">
        <f>IF(4&gt;설정!$C$7,0,SUMIFS(전표_원본!$P$5:$P$100000,전표_원본!$M$5:$M$100000,설정!$C$6*12+4,전표_원본!$AE$5:$AE$100000,"직접",전표_원본!$AF$5:$AF$100000,"비귀속"))</f>
        <v/>
      </c>
      <c r="F120" s="35">
        <f>IF(5&gt;설정!$C$7,0,SUMIFS(전표_원본!$P$5:$P$100000,전표_원본!$M$5:$M$100000,설정!$C$6*12+5,전표_원본!$AE$5:$AE$100000,"직접",전표_원본!$AF$5:$AF$100000,"비귀속"))</f>
        <v/>
      </c>
      <c r="G120" s="35">
        <f>IF(6&gt;설정!$C$7,0,SUMIFS(전표_원본!$P$5:$P$100000,전표_원본!$M$5:$M$100000,설정!$C$6*12+6,전표_원본!$AE$5:$AE$100000,"직접",전표_원본!$AF$5:$AF$100000,"비귀속"))</f>
        <v/>
      </c>
      <c r="H120" s="35">
        <f>IF(7&gt;설정!$C$7,0,SUMIFS(전표_원본!$P$5:$P$100000,전표_원본!$M$5:$M$100000,설정!$C$6*12+7,전표_원본!$AE$5:$AE$100000,"직접",전표_원본!$AF$5:$AF$100000,"비귀속"))</f>
        <v/>
      </c>
      <c r="I120" s="35">
        <f>IF(8&gt;설정!$C$7,0,SUMIFS(전표_원본!$P$5:$P$100000,전표_원본!$M$5:$M$100000,설정!$C$6*12+8,전표_원본!$AE$5:$AE$100000,"직접",전표_원본!$AF$5:$AF$100000,"비귀속"))</f>
        <v/>
      </c>
      <c r="J120" s="35">
        <f>IF(9&gt;설정!$C$7,0,SUMIFS(전표_원본!$P$5:$P$100000,전표_원본!$M$5:$M$100000,설정!$C$6*12+9,전표_원본!$AE$5:$AE$100000,"직접",전표_원본!$AF$5:$AF$100000,"비귀속"))</f>
        <v/>
      </c>
      <c r="K120" s="35">
        <f>IF(10&gt;설정!$C$7,0,SUMIFS(전표_원본!$P$5:$P$100000,전표_원본!$M$5:$M$100000,설정!$C$6*12+10,전표_원본!$AE$5:$AE$100000,"직접",전표_원본!$AF$5:$AF$100000,"비귀속"))</f>
        <v/>
      </c>
      <c r="L120" s="35">
        <f>IF(11&gt;설정!$C$7,0,SUMIFS(전표_원본!$P$5:$P$100000,전표_원본!$M$5:$M$100000,설정!$C$6*12+11,전표_원본!$AE$5:$AE$100000,"직접",전표_원본!$AF$5:$AF$100000,"비귀속"))</f>
        <v/>
      </c>
      <c r="M120" s="35">
        <f>IF(12&gt;설정!$C$7,0,SUMIFS(전표_원본!$P$5:$P$100000,전표_원본!$M$5:$M$100000,설정!$C$6*12+12,전표_원본!$AE$5:$AE$100000,"직접",전표_원본!$AF$5:$AF$100000,"비귀속"))</f>
        <v/>
      </c>
      <c r="N120" s="40">
        <f>SUM(B120:M120)</f>
        <v/>
      </c>
      <c r="O120" s="73">
        <f>IF($N$127=0,0,N120/$N$127)</f>
        <v/>
      </c>
      <c r="P120" s="35">
        <f>SUMIFS(전표_원본!$P$5:$P$100000,전표_원본!$M$5:$M$100000,"&gt;="&amp;((설정!$C$6-1)*12+1),전표_원본!$M$5:$M$100000,"&lt;="&amp;(설정!$C$20-12),전표_원본!$AE$5:$AE$100000,"직접",전표_원본!$AF$5:$AF$100000,"비귀속")</f>
        <v/>
      </c>
      <c r="Q120" s="40">
        <f>N120-P120</f>
        <v/>
      </c>
      <c r="R120" s="80">
        <f>IF(P120&lt;=0,0,N120/P120-1)</f>
        <v/>
      </c>
    </row>
    <row r="121">
      <c r="A121" s="6" t="inlineStr">
        <is>
          <t>직접신계약비-유관(CSM)</t>
        </is>
      </c>
      <c r="B121" s="35">
        <f>IF(1&gt;설정!$C$7,0,SUMIFS(전표_원본!$P$5:$P$100000,전표_원본!$M$5:$M$100000,설정!$C$6*12+1,전표_원본!$AE$5:$AE$100000,"직접",전표_원본!$AF$5:$AF$100000,"신계약비"))</f>
        <v/>
      </c>
      <c r="C121" s="35">
        <f>IF(2&gt;설정!$C$7,0,SUMIFS(전표_원본!$P$5:$P$100000,전표_원본!$M$5:$M$100000,설정!$C$6*12+2,전표_원본!$AE$5:$AE$100000,"직접",전표_원본!$AF$5:$AF$100000,"신계약비"))</f>
        <v/>
      </c>
      <c r="D121" s="35">
        <f>IF(3&gt;설정!$C$7,0,SUMIFS(전표_원본!$P$5:$P$100000,전표_원본!$M$5:$M$100000,설정!$C$6*12+3,전표_원본!$AE$5:$AE$100000,"직접",전표_원본!$AF$5:$AF$100000,"신계약비"))</f>
        <v/>
      </c>
      <c r="E121" s="35">
        <f>IF(4&gt;설정!$C$7,0,SUMIFS(전표_원본!$P$5:$P$100000,전표_원본!$M$5:$M$100000,설정!$C$6*12+4,전표_원본!$AE$5:$AE$100000,"직접",전표_원본!$AF$5:$AF$100000,"신계약비"))</f>
        <v/>
      </c>
      <c r="F121" s="35">
        <f>IF(5&gt;설정!$C$7,0,SUMIFS(전표_원본!$P$5:$P$100000,전표_원본!$M$5:$M$100000,설정!$C$6*12+5,전표_원본!$AE$5:$AE$100000,"직접",전표_원본!$AF$5:$AF$100000,"신계약비"))</f>
        <v/>
      </c>
      <c r="G121" s="35">
        <f>IF(6&gt;설정!$C$7,0,SUMIFS(전표_원본!$P$5:$P$100000,전표_원본!$M$5:$M$100000,설정!$C$6*12+6,전표_원본!$AE$5:$AE$100000,"직접",전표_원본!$AF$5:$AF$100000,"신계약비"))</f>
        <v/>
      </c>
      <c r="H121" s="35">
        <f>IF(7&gt;설정!$C$7,0,SUMIFS(전표_원본!$P$5:$P$100000,전표_원본!$M$5:$M$100000,설정!$C$6*12+7,전표_원본!$AE$5:$AE$100000,"직접",전표_원본!$AF$5:$AF$100000,"신계약비"))</f>
        <v/>
      </c>
      <c r="I121" s="35">
        <f>IF(8&gt;설정!$C$7,0,SUMIFS(전표_원본!$P$5:$P$100000,전표_원본!$M$5:$M$100000,설정!$C$6*12+8,전표_원본!$AE$5:$AE$100000,"직접",전표_원본!$AF$5:$AF$100000,"신계약비"))</f>
        <v/>
      </c>
      <c r="J121" s="35">
        <f>IF(9&gt;설정!$C$7,0,SUMIFS(전표_원본!$P$5:$P$100000,전표_원본!$M$5:$M$100000,설정!$C$6*12+9,전표_원본!$AE$5:$AE$100000,"직접",전표_원본!$AF$5:$AF$100000,"신계약비"))</f>
        <v/>
      </c>
      <c r="K121" s="35">
        <f>IF(10&gt;설정!$C$7,0,SUMIFS(전표_원본!$P$5:$P$100000,전표_원본!$M$5:$M$100000,설정!$C$6*12+10,전표_원본!$AE$5:$AE$100000,"직접",전표_원본!$AF$5:$AF$100000,"신계약비"))</f>
        <v/>
      </c>
      <c r="L121" s="35">
        <f>IF(11&gt;설정!$C$7,0,SUMIFS(전표_원본!$P$5:$P$100000,전표_원본!$M$5:$M$100000,설정!$C$6*12+11,전표_원본!$AE$5:$AE$100000,"직접",전표_원본!$AF$5:$AF$100000,"신계약비"))</f>
        <v/>
      </c>
      <c r="M121" s="35">
        <f>IF(12&gt;설정!$C$7,0,SUMIFS(전표_원본!$P$5:$P$100000,전표_원본!$M$5:$M$100000,설정!$C$6*12+12,전표_원본!$AE$5:$AE$100000,"직접",전표_원본!$AF$5:$AF$100000,"신계약비"))</f>
        <v/>
      </c>
      <c r="N121" s="40">
        <f>SUM(B121:M121)</f>
        <v/>
      </c>
      <c r="O121" s="73">
        <f>IF($N$127=0,0,N121/$N$127)</f>
        <v/>
      </c>
      <c r="P121" s="35">
        <f>SUMIFS(전표_원본!$P$5:$P$100000,전표_원본!$M$5:$M$100000,"&gt;="&amp;((설정!$C$6-1)*12+1),전표_원본!$M$5:$M$100000,"&lt;="&amp;(설정!$C$20-12),전표_원본!$AE$5:$AE$100000,"직접",전표_원본!$AF$5:$AF$100000,"신계약비")</f>
        <v/>
      </c>
      <c r="Q121" s="40">
        <f>N121-P121</f>
        <v/>
      </c>
      <c r="R121" s="80">
        <f>IF(P121&lt;=0,0,N121/P121-1)</f>
        <v/>
      </c>
    </row>
    <row r="122">
      <c r="A122" s="6" t="inlineStr">
        <is>
          <t>직접유지비</t>
        </is>
      </c>
      <c r="B122" s="35">
        <f>IF(1&gt;설정!$C$7,0,SUMIFS(전표_원본!$P$5:$P$100000,전표_원본!$M$5:$M$100000,설정!$C$6*12+1,전표_원본!$AE$5:$AE$100000,"직접",전표_원본!$AF$5:$AF$100000,"유지비")+SUMIFS(전표_원본!$P$5:$P$100000,전표_원본!$M$5:$M$100000,설정!$C$6*12+1,전표_원본!$AE$5:$AE$100000,"직접",전표_원본!$AF$5:$AF$100000,"수금비"))</f>
        <v/>
      </c>
      <c r="C122" s="35">
        <f>IF(2&gt;설정!$C$7,0,SUMIFS(전표_원본!$P$5:$P$100000,전표_원본!$M$5:$M$100000,설정!$C$6*12+2,전표_원본!$AE$5:$AE$100000,"직접",전표_원본!$AF$5:$AF$100000,"유지비")+SUMIFS(전표_원본!$P$5:$P$100000,전표_원본!$M$5:$M$100000,설정!$C$6*12+2,전표_원본!$AE$5:$AE$100000,"직접",전표_원본!$AF$5:$AF$100000,"수금비"))</f>
        <v/>
      </c>
      <c r="D122" s="35">
        <f>IF(3&gt;설정!$C$7,0,SUMIFS(전표_원본!$P$5:$P$100000,전표_원본!$M$5:$M$100000,설정!$C$6*12+3,전표_원본!$AE$5:$AE$100000,"직접",전표_원본!$AF$5:$AF$100000,"유지비")+SUMIFS(전표_원본!$P$5:$P$100000,전표_원본!$M$5:$M$100000,설정!$C$6*12+3,전표_원본!$AE$5:$AE$100000,"직접",전표_원본!$AF$5:$AF$100000,"수금비"))</f>
        <v/>
      </c>
      <c r="E122" s="35">
        <f>IF(4&gt;설정!$C$7,0,SUMIFS(전표_원본!$P$5:$P$100000,전표_원본!$M$5:$M$100000,설정!$C$6*12+4,전표_원본!$AE$5:$AE$100000,"직접",전표_원본!$AF$5:$AF$100000,"유지비")+SUMIFS(전표_원본!$P$5:$P$100000,전표_원본!$M$5:$M$100000,설정!$C$6*12+4,전표_원본!$AE$5:$AE$100000,"직접",전표_원본!$AF$5:$AF$100000,"수금비"))</f>
        <v/>
      </c>
      <c r="F122" s="35">
        <f>IF(5&gt;설정!$C$7,0,SUMIFS(전표_원본!$P$5:$P$100000,전표_원본!$M$5:$M$100000,설정!$C$6*12+5,전표_원본!$AE$5:$AE$100000,"직접",전표_원본!$AF$5:$AF$100000,"유지비")+SUMIFS(전표_원본!$P$5:$P$100000,전표_원본!$M$5:$M$100000,설정!$C$6*12+5,전표_원본!$AE$5:$AE$100000,"직접",전표_원본!$AF$5:$AF$100000,"수금비"))</f>
        <v/>
      </c>
      <c r="G122" s="35">
        <f>IF(6&gt;설정!$C$7,0,SUMIFS(전표_원본!$P$5:$P$100000,전표_원본!$M$5:$M$100000,설정!$C$6*12+6,전표_원본!$AE$5:$AE$100000,"직접",전표_원본!$AF$5:$AF$100000,"유지비")+SUMIFS(전표_원본!$P$5:$P$100000,전표_원본!$M$5:$M$100000,설정!$C$6*12+6,전표_원본!$AE$5:$AE$100000,"직접",전표_원본!$AF$5:$AF$100000,"수금비"))</f>
        <v/>
      </c>
      <c r="H122" s="35">
        <f>IF(7&gt;설정!$C$7,0,SUMIFS(전표_원본!$P$5:$P$100000,전표_원본!$M$5:$M$100000,설정!$C$6*12+7,전표_원본!$AE$5:$AE$100000,"직접",전표_원본!$AF$5:$AF$100000,"유지비")+SUMIFS(전표_원본!$P$5:$P$100000,전표_원본!$M$5:$M$100000,설정!$C$6*12+7,전표_원본!$AE$5:$AE$100000,"직접",전표_원본!$AF$5:$AF$100000,"수금비"))</f>
        <v/>
      </c>
      <c r="I122" s="35">
        <f>IF(8&gt;설정!$C$7,0,SUMIFS(전표_원본!$P$5:$P$100000,전표_원본!$M$5:$M$100000,설정!$C$6*12+8,전표_원본!$AE$5:$AE$100000,"직접",전표_원본!$AF$5:$AF$100000,"유지비")+SUMIFS(전표_원본!$P$5:$P$100000,전표_원본!$M$5:$M$100000,설정!$C$6*12+8,전표_원본!$AE$5:$AE$100000,"직접",전표_원본!$AF$5:$AF$100000,"수금비"))</f>
        <v/>
      </c>
      <c r="J122" s="35">
        <f>IF(9&gt;설정!$C$7,0,SUMIFS(전표_원본!$P$5:$P$100000,전표_원본!$M$5:$M$100000,설정!$C$6*12+9,전표_원본!$AE$5:$AE$100000,"직접",전표_원본!$AF$5:$AF$100000,"유지비")+SUMIFS(전표_원본!$P$5:$P$100000,전표_원본!$M$5:$M$100000,설정!$C$6*12+9,전표_원본!$AE$5:$AE$100000,"직접",전표_원본!$AF$5:$AF$100000,"수금비"))</f>
        <v/>
      </c>
      <c r="K122" s="35">
        <f>IF(10&gt;설정!$C$7,0,SUMIFS(전표_원본!$P$5:$P$100000,전표_원본!$M$5:$M$100000,설정!$C$6*12+10,전표_원본!$AE$5:$AE$100000,"직접",전표_원본!$AF$5:$AF$100000,"유지비")+SUMIFS(전표_원본!$P$5:$P$100000,전표_원본!$M$5:$M$100000,설정!$C$6*12+10,전표_원본!$AE$5:$AE$100000,"직접",전표_원본!$AF$5:$AF$100000,"수금비"))</f>
        <v/>
      </c>
      <c r="L122" s="35">
        <f>IF(11&gt;설정!$C$7,0,SUMIFS(전표_원본!$P$5:$P$100000,전표_원본!$M$5:$M$100000,설정!$C$6*12+11,전표_원본!$AE$5:$AE$100000,"직접",전표_원본!$AF$5:$AF$100000,"유지비")+SUMIFS(전표_원본!$P$5:$P$100000,전표_원본!$M$5:$M$100000,설정!$C$6*12+11,전표_원본!$AE$5:$AE$100000,"직접",전표_원본!$AF$5:$AF$100000,"수금비"))</f>
        <v/>
      </c>
      <c r="M122" s="35">
        <f>IF(12&gt;설정!$C$7,0,SUMIFS(전표_원본!$P$5:$P$100000,전표_원본!$M$5:$M$100000,설정!$C$6*12+12,전표_원본!$AE$5:$AE$100000,"직접",전표_원본!$AF$5:$AF$100000,"유지비")+SUMIFS(전표_원본!$P$5:$P$100000,전표_원본!$M$5:$M$100000,설정!$C$6*12+12,전표_원본!$AE$5:$AE$100000,"직접",전표_원본!$AF$5:$AF$100000,"수금비"))</f>
        <v/>
      </c>
      <c r="N122" s="40">
        <f>SUM(B122:M122)</f>
        <v/>
      </c>
      <c r="O122" s="73">
        <f>IF($N$127=0,0,N122/$N$127)</f>
        <v/>
      </c>
      <c r="P122" s="35">
        <f>SUMIFS(전표_원본!$P$5:$P$100000,전표_원본!$M$5:$M$100000,"&gt;="&amp;((설정!$C$6-1)*12+1),전표_원본!$M$5:$M$100000,"&lt;="&amp;(설정!$C$20-12),전표_원본!$AE$5:$AE$100000,"직접",전표_원본!$AF$5:$AF$100000,"유지비")+SUMIFS(전표_원본!$P$5:$P$100000,전표_원본!$M$5:$M$100000,"&gt;="&amp;((설정!$C$6-1)*12+1),전표_원본!$M$5:$M$100000,"&lt;="&amp;(설정!$C$20-12),전표_원본!$AE$5:$AE$100000,"직접",전표_원본!$AF$5:$AF$100000,"수금비")</f>
        <v/>
      </c>
      <c r="Q122" s="40">
        <f>N122-P122</f>
        <v/>
      </c>
      <c r="R122" s="80">
        <f>IF(P122&lt;=0,0,N122/P122-1)</f>
        <v/>
      </c>
    </row>
    <row r="123">
      <c r="A123" s="6" t="inlineStr">
        <is>
          <t>직접손해조사비</t>
        </is>
      </c>
      <c r="B123" s="35">
        <f>IF(1&gt;설정!$C$7,0,SUMIFS(전표_원본!$P$5:$P$100000,전표_원본!$M$5:$M$100000,설정!$C$6*12+1,전표_원본!$AE$5:$AE$100000,"직접",전표_원본!$AF$5:$AF$100000,"손해조사비"))</f>
        <v/>
      </c>
      <c r="C123" s="35">
        <f>IF(2&gt;설정!$C$7,0,SUMIFS(전표_원본!$P$5:$P$100000,전표_원본!$M$5:$M$100000,설정!$C$6*12+2,전표_원본!$AE$5:$AE$100000,"직접",전표_원본!$AF$5:$AF$100000,"손해조사비"))</f>
        <v/>
      </c>
      <c r="D123" s="35">
        <f>IF(3&gt;설정!$C$7,0,SUMIFS(전표_원본!$P$5:$P$100000,전표_원본!$M$5:$M$100000,설정!$C$6*12+3,전표_원본!$AE$5:$AE$100000,"직접",전표_원본!$AF$5:$AF$100000,"손해조사비"))</f>
        <v/>
      </c>
      <c r="E123" s="35">
        <f>IF(4&gt;설정!$C$7,0,SUMIFS(전표_원본!$P$5:$P$100000,전표_원본!$M$5:$M$100000,설정!$C$6*12+4,전표_원본!$AE$5:$AE$100000,"직접",전표_원본!$AF$5:$AF$100000,"손해조사비"))</f>
        <v/>
      </c>
      <c r="F123" s="35">
        <f>IF(5&gt;설정!$C$7,0,SUMIFS(전표_원본!$P$5:$P$100000,전표_원본!$M$5:$M$100000,설정!$C$6*12+5,전표_원본!$AE$5:$AE$100000,"직접",전표_원본!$AF$5:$AF$100000,"손해조사비"))</f>
        <v/>
      </c>
      <c r="G123" s="35">
        <f>IF(6&gt;설정!$C$7,0,SUMIFS(전표_원본!$P$5:$P$100000,전표_원본!$M$5:$M$100000,설정!$C$6*12+6,전표_원본!$AE$5:$AE$100000,"직접",전표_원본!$AF$5:$AF$100000,"손해조사비"))</f>
        <v/>
      </c>
      <c r="H123" s="35">
        <f>IF(7&gt;설정!$C$7,0,SUMIFS(전표_원본!$P$5:$P$100000,전표_원본!$M$5:$M$100000,설정!$C$6*12+7,전표_원본!$AE$5:$AE$100000,"직접",전표_원본!$AF$5:$AF$100000,"손해조사비"))</f>
        <v/>
      </c>
      <c r="I123" s="35">
        <f>IF(8&gt;설정!$C$7,0,SUMIFS(전표_원본!$P$5:$P$100000,전표_원본!$M$5:$M$100000,설정!$C$6*12+8,전표_원본!$AE$5:$AE$100000,"직접",전표_원본!$AF$5:$AF$100000,"손해조사비"))</f>
        <v/>
      </c>
      <c r="J123" s="35">
        <f>IF(9&gt;설정!$C$7,0,SUMIFS(전표_원본!$P$5:$P$100000,전표_원본!$M$5:$M$100000,설정!$C$6*12+9,전표_원본!$AE$5:$AE$100000,"직접",전표_원본!$AF$5:$AF$100000,"손해조사비"))</f>
        <v/>
      </c>
      <c r="K123" s="35">
        <f>IF(10&gt;설정!$C$7,0,SUMIFS(전표_원본!$P$5:$P$100000,전표_원본!$M$5:$M$100000,설정!$C$6*12+10,전표_원본!$AE$5:$AE$100000,"직접",전표_원본!$AF$5:$AF$100000,"손해조사비"))</f>
        <v/>
      </c>
      <c r="L123" s="35">
        <f>IF(11&gt;설정!$C$7,0,SUMIFS(전표_원본!$P$5:$P$100000,전표_원본!$M$5:$M$100000,설정!$C$6*12+11,전표_원본!$AE$5:$AE$100000,"직접",전표_원본!$AF$5:$AF$100000,"손해조사비"))</f>
        <v/>
      </c>
      <c r="M123" s="35">
        <f>IF(12&gt;설정!$C$7,0,SUMIFS(전표_원본!$P$5:$P$100000,전표_원본!$M$5:$M$100000,설정!$C$6*12+12,전표_원본!$AE$5:$AE$100000,"직접",전표_원본!$AF$5:$AF$100000,"손해조사비"))</f>
        <v/>
      </c>
      <c r="N123" s="40">
        <f>SUM(B123:M123)</f>
        <v/>
      </c>
      <c r="O123" s="73">
        <f>IF($N$127=0,0,N123/$N$127)</f>
        <v/>
      </c>
      <c r="P123" s="35">
        <f>SUMIFS(전표_원본!$P$5:$P$100000,전표_원본!$M$5:$M$100000,"&gt;="&amp;((설정!$C$6-1)*12+1),전표_원본!$M$5:$M$100000,"&lt;="&amp;(설정!$C$20-12),전표_원본!$AE$5:$AE$100000,"직접",전표_원본!$AF$5:$AF$100000,"손해조사비")</f>
        <v/>
      </c>
      <c r="Q123" s="40">
        <f>N123-P123</f>
        <v/>
      </c>
      <c r="R123" s="80">
        <f>IF(P123&lt;=0,0,N123/P123-1)</f>
        <v/>
      </c>
    </row>
    <row r="124">
      <c r="A124" s="6" t="inlineStr">
        <is>
          <t>재산관리비-약대</t>
        </is>
      </c>
      <c r="B124" s="35">
        <f>IF(1&gt;설정!$C$7,0,SUMIFS(전표_원본!$AD$5:$AD$100000,전표_원본!$M$5:$M$100000,설정!$C$6*12+1,전표_원본!$AH$5:$AH$100000,"Y"))</f>
        <v/>
      </c>
      <c r="C124" s="35">
        <f>IF(2&gt;설정!$C$7,0,SUMIFS(전표_원본!$AD$5:$AD$100000,전표_원본!$M$5:$M$100000,설정!$C$6*12+2,전표_원본!$AH$5:$AH$100000,"Y"))</f>
        <v/>
      </c>
      <c r="D124" s="35">
        <f>IF(3&gt;설정!$C$7,0,SUMIFS(전표_원본!$AD$5:$AD$100000,전표_원본!$M$5:$M$100000,설정!$C$6*12+3,전표_원본!$AH$5:$AH$100000,"Y"))</f>
        <v/>
      </c>
      <c r="E124" s="35">
        <f>IF(4&gt;설정!$C$7,0,SUMIFS(전표_원본!$AD$5:$AD$100000,전표_원본!$M$5:$M$100000,설정!$C$6*12+4,전표_원본!$AH$5:$AH$100000,"Y"))</f>
        <v/>
      </c>
      <c r="F124" s="35">
        <f>IF(5&gt;설정!$C$7,0,SUMIFS(전표_원본!$AD$5:$AD$100000,전표_원본!$M$5:$M$100000,설정!$C$6*12+5,전표_원본!$AH$5:$AH$100000,"Y"))</f>
        <v/>
      </c>
      <c r="G124" s="35">
        <f>IF(6&gt;설정!$C$7,0,SUMIFS(전표_원본!$AD$5:$AD$100000,전표_원본!$M$5:$M$100000,설정!$C$6*12+6,전표_원본!$AH$5:$AH$100000,"Y"))</f>
        <v/>
      </c>
      <c r="H124" s="35">
        <f>IF(7&gt;설정!$C$7,0,SUMIFS(전표_원본!$AD$5:$AD$100000,전표_원본!$M$5:$M$100000,설정!$C$6*12+7,전표_원본!$AH$5:$AH$100000,"Y"))</f>
        <v/>
      </c>
      <c r="I124" s="35">
        <f>IF(8&gt;설정!$C$7,0,SUMIFS(전표_원본!$AD$5:$AD$100000,전표_원본!$M$5:$M$100000,설정!$C$6*12+8,전표_원본!$AH$5:$AH$100000,"Y"))</f>
        <v/>
      </c>
      <c r="J124" s="35">
        <f>IF(9&gt;설정!$C$7,0,SUMIFS(전표_원본!$AD$5:$AD$100000,전표_원본!$M$5:$M$100000,설정!$C$6*12+9,전표_원본!$AH$5:$AH$100000,"Y"))</f>
        <v/>
      </c>
      <c r="K124" s="35">
        <f>IF(10&gt;설정!$C$7,0,SUMIFS(전표_원본!$AD$5:$AD$100000,전표_원본!$M$5:$M$100000,설정!$C$6*12+10,전표_원본!$AH$5:$AH$100000,"Y"))</f>
        <v/>
      </c>
      <c r="L124" s="35">
        <f>IF(11&gt;설정!$C$7,0,SUMIFS(전표_원본!$AD$5:$AD$100000,전표_원본!$M$5:$M$100000,설정!$C$6*12+11,전표_원본!$AH$5:$AH$100000,"Y"))</f>
        <v/>
      </c>
      <c r="M124" s="35">
        <f>IF(12&gt;설정!$C$7,0,SUMIFS(전표_원본!$AD$5:$AD$100000,전표_원본!$M$5:$M$100000,설정!$C$6*12+12,전표_원본!$AH$5:$AH$100000,"Y"))</f>
        <v/>
      </c>
      <c r="N124" s="40">
        <f>SUM(B124:M124)</f>
        <v/>
      </c>
      <c r="O124" s="73">
        <f>IF($N$127=0,0,N124/$N$127)</f>
        <v/>
      </c>
      <c r="P124" s="35">
        <f>SUMIFS(전표_원본!$AD$5:$AD$100000,전표_원본!$M$5:$M$100000,"&gt;="&amp;((설정!$C$6-1)*12+1),전표_원본!$M$5:$M$100000,"&lt;="&amp;(설정!$C$20-12),전표_원본!$AH$5:$AH$100000,"Y")</f>
        <v/>
      </c>
      <c r="Q124" s="40">
        <f>N124-P124</f>
        <v/>
      </c>
      <c r="R124" s="80">
        <f>IF(P124&lt;=0,0,N124/P124-1)</f>
        <v/>
      </c>
    </row>
    <row r="125">
      <c r="A125" s="6" t="inlineStr">
        <is>
          <t>재산관리비-기타</t>
        </is>
      </c>
      <c r="B125" s="35">
        <f>IF(1&gt;설정!$C$7,0,SUMIFS(전표_원본!$AD$5:$AD$100000,전표_원본!$M$5:$M$100000,설정!$C$6*12+1)-SUMIFS(전표_원본!$AD$5:$AD$100000,전표_원본!$M$5:$M$100000,설정!$C$6*12+1,전표_원본!$AH$5:$AH$100000,"Y"))</f>
        <v/>
      </c>
      <c r="C125" s="35">
        <f>IF(2&gt;설정!$C$7,0,SUMIFS(전표_원본!$AD$5:$AD$100000,전표_원본!$M$5:$M$100000,설정!$C$6*12+2)-SUMIFS(전표_원본!$AD$5:$AD$100000,전표_원본!$M$5:$M$100000,설정!$C$6*12+2,전표_원본!$AH$5:$AH$100000,"Y"))</f>
        <v/>
      </c>
      <c r="D125" s="35">
        <f>IF(3&gt;설정!$C$7,0,SUMIFS(전표_원본!$AD$5:$AD$100000,전표_원본!$M$5:$M$100000,설정!$C$6*12+3)-SUMIFS(전표_원본!$AD$5:$AD$100000,전표_원본!$M$5:$M$100000,설정!$C$6*12+3,전표_원본!$AH$5:$AH$100000,"Y"))</f>
        <v/>
      </c>
      <c r="E125" s="35">
        <f>IF(4&gt;설정!$C$7,0,SUMIFS(전표_원본!$AD$5:$AD$100000,전표_원본!$M$5:$M$100000,설정!$C$6*12+4)-SUMIFS(전표_원본!$AD$5:$AD$100000,전표_원본!$M$5:$M$100000,설정!$C$6*12+4,전표_원본!$AH$5:$AH$100000,"Y"))</f>
        <v/>
      </c>
      <c r="F125" s="35">
        <f>IF(5&gt;설정!$C$7,0,SUMIFS(전표_원본!$AD$5:$AD$100000,전표_원본!$M$5:$M$100000,설정!$C$6*12+5)-SUMIFS(전표_원본!$AD$5:$AD$100000,전표_원본!$M$5:$M$100000,설정!$C$6*12+5,전표_원본!$AH$5:$AH$100000,"Y"))</f>
        <v/>
      </c>
      <c r="G125" s="35">
        <f>IF(6&gt;설정!$C$7,0,SUMIFS(전표_원본!$AD$5:$AD$100000,전표_원본!$M$5:$M$100000,설정!$C$6*12+6)-SUMIFS(전표_원본!$AD$5:$AD$100000,전표_원본!$M$5:$M$100000,설정!$C$6*12+6,전표_원본!$AH$5:$AH$100000,"Y"))</f>
        <v/>
      </c>
      <c r="H125" s="35">
        <f>IF(7&gt;설정!$C$7,0,SUMIFS(전표_원본!$AD$5:$AD$100000,전표_원본!$M$5:$M$100000,설정!$C$6*12+7)-SUMIFS(전표_원본!$AD$5:$AD$100000,전표_원본!$M$5:$M$100000,설정!$C$6*12+7,전표_원본!$AH$5:$AH$100000,"Y"))</f>
        <v/>
      </c>
      <c r="I125" s="35">
        <f>IF(8&gt;설정!$C$7,0,SUMIFS(전표_원본!$AD$5:$AD$100000,전표_원본!$M$5:$M$100000,설정!$C$6*12+8)-SUMIFS(전표_원본!$AD$5:$AD$100000,전표_원본!$M$5:$M$100000,설정!$C$6*12+8,전표_원본!$AH$5:$AH$100000,"Y"))</f>
        <v/>
      </c>
      <c r="J125" s="35">
        <f>IF(9&gt;설정!$C$7,0,SUMIFS(전표_원본!$AD$5:$AD$100000,전표_원본!$M$5:$M$100000,설정!$C$6*12+9)-SUMIFS(전표_원본!$AD$5:$AD$100000,전표_원본!$M$5:$M$100000,설정!$C$6*12+9,전표_원본!$AH$5:$AH$100000,"Y"))</f>
        <v/>
      </c>
      <c r="K125" s="35">
        <f>IF(10&gt;설정!$C$7,0,SUMIFS(전표_원본!$AD$5:$AD$100000,전표_원본!$M$5:$M$100000,설정!$C$6*12+10)-SUMIFS(전표_원본!$AD$5:$AD$100000,전표_원본!$M$5:$M$100000,설정!$C$6*12+10,전표_원본!$AH$5:$AH$100000,"Y"))</f>
        <v/>
      </c>
      <c r="L125" s="35">
        <f>IF(11&gt;설정!$C$7,0,SUMIFS(전표_원본!$AD$5:$AD$100000,전표_원본!$M$5:$M$100000,설정!$C$6*12+11)-SUMIFS(전표_원본!$AD$5:$AD$100000,전표_원본!$M$5:$M$100000,설정!$C$6*12+11,전표_원본!$AH$5:$AH$100000,"Y"))</f>
        <v/>
      </c>
      <c r="M125" s="35">
        <f>IF(12&gt;설정!$C$7,0,SUMIFS(전표_원본!$AD$5:$AD$100000,전표_원본!$M$5:$M$100000,설정!$C$6*12+12)-SUMIFS(전표_원본!$AD$5:$AD$100000,전표_원본!$M$5:$M$100000,설정!$C$6*12+12,전표_원본!$AH$5:$AH$100000,"Y"))</f>
        <v/>
      </c>
      <c r="N125" s="40">
        <f>SUM(B125:M125)</f>
        <v/>
      </c>
      <c r="O125" s="73">
        <f>IF($N$127=0,0,N125/$N$127)</f>
        <v/>
      </c>
      <c r="P125" s="35">
        <f>SUMIFS(전표_원본!$AD$5:$AD$100000,전표_원본!$M$5:$M$100000,"&gt;="&amp;((설정!$C$6-1)*12+1),전표_원본!$M$5:$M$100000,"&lt;="&amp;(설정!$C$20-12))-SUMIFS(전표_원본!$AD$5:$AD$100000,전표_원본!$M$5:$M$100000,"&gt;="&amp;((설정!$C$6-1)*12+1),전표_원본!$M$5:$M$100000,"&lt;="&amp;(설정!$C$20-12),전표_원본!$AH$5:$AH$100000,"Y")</f>
        <v/>
      </c>
      <c r="Q125" s="40">
        <f>N125-P125</f>
        <v/>
      </c>
      <c r="R125" s="80">
        <f>IF(P125&lt;=0,0,N125/P125-1)</f>
        <v/>
      </c>
    </row>
    <row r="126">
      <c r="A126" s="6" t="inlineStr">
        <is>
          <t>간접비</t>
        </is>
      </c>
      <c r="B126" s="35">
        <f>IF(1&gt;설정!$C$7,0,SUMIFS(전표_원본!$P$5:$P$100000,전표_원본!$M$5:$M$100000,설정!$C$6*12+1,전표_원본!$AE$5:$AE$100000,"&lt;&gt;직접")-SUMIFS(전표_원본!$AD$5:$AD$100000,전표_원본!$M$5:$M$100000,설정!$C$6*12+1))</f>
        <v/>
      </c>
      <c r="C126" s="35">
        <f>IF(2&gt;설정!$C$7,0,SUMIFS(전표_원본!$P$5:$P$100000,전표_원본!$M$5:$M$100000,설정!$C$6*12+2,전표_원본!$AE$5:$AE$100000,"&lt;&gt;직접")-SUMIFS(전표_원본!$AD$5:$AD$100000,전표_원본!$M$5:$M$100000,설정!$C$6*12+2))</f>
        <v/>
      </c>
      <c r="D126" s="35">
        <f>IF(3&gt;설정!$C$7,0,SUMIFS(전표_원본!$P$5:$P$100000,전표_원본!$M$5:$M$100000,설정!$C$6*12+3,전표_원본!$AE$5:$AE$100000,"&lt;&gt;직접")-SUMIFS(전표_원본!$AD$5:$AD$100000,전표_원본!$M$5:$M$100000,설정!$C$6*12+3))</f>
        <v/>
      </c>
      <c r="E126" s="35">
        <f>IF(4&gt;설정!$C$7,0,SUMIFS(전표_원본!$P$5:$P$100000,전표_원본!$M$5:$M$100000,설정!$C$6*12+4,전표_원본!$AE$5:$AE$100000,"&lt;&gt;직접")-SUMIFS(전표_원본!$AD$5:$AD$100000,전표_원본!$M$5:$M$100000,설정!$C$6*12+4))</f>
        <v/>
      </c>
      <c r="F126" s="35">
        <f>IF(5&gt;설정!$C$7,0,SUMIFS(전표_원본!$P$5:$P$100000,전표_원본!$M$5:$M$100000,설정!$C$6*12+5,전표_원본!$AE$5:$AE$100000,"&lt;&gt;직접")-SUMIFS(전표_원본!$AD$5:$AD$100000,전표_원본!$M$5:$M$100000,설정!$C$6*12+5))</f>
        <v/>
      </c>
      <c r="G126" s="35">
        <f>IF(6&gt;설정!$C$7,0,SUMIFS(전표_원본!$P$5:$P$100000,전표_원본!$M$5:$M$100000,설정!$C$6*12+6,전표_원본!$AE$5:$AE$100000,"&lt;&gt;직접")-SUMIFS(전표_원본!$AD$5:$AD$100000,전표_원본!$M$5:$M$100000,설정!$C$6*12+6))</f>
        <v/>
      </c>
      <c r="H126" s="35">
        <f>IF(7&gt;설정!$C$7,0,SUMIFS(전표_원본!$P$5:$P$100000,전표_원본!$M$5:$M$100000,설정!$C$6*12+7,전표_원본!$AE$5:$AE$100000,"&lt;&gt;직접")-SUMIFS(전표_원본!$AD$5:$AD$100000,전표_원본!$M$5:$M$100000,설정!$C$6*12+7))</f>
        <v/>
      </c>
      <c r="I126" s="35">
        <f>IF(8&gt;설정!$C$7,0,SUMIFS(전표_원본!$P$5:$P$100000,전표_원본!$M$5:$M$100000,설정!$C$6*12+8,전표_원본!$AE$5:$AE$100000,"&lt;&gt;직접")-SUMIFS(전표_원본!$AD$5:$AD$100000,전표_원본!$M$5:$M$100000,설정!$C$6*12+8))</f>
        <v/>
      </c>
      <c r="J126" s="35">
        <f>IF(9&gt;설정!$C$7,0,SUMIFS(전표_원본!$P$5:$P$100000,전표_원본!$M$5:$M$100000,설정!$C$6*12+9,전표_원본!$AE$5:$AE$100000,"&lt;&gt;직접")-SUMIFS(전표_원본!$AD$5:$AD$100000,전표_원본!$M$5:$M$100000,설정!$C$6*12+9))</f>
        <v/>
      </c>
      <c r="K126" s="35">
        <f>IF(10&gt;설정!$C$7,0,SUMIFS(전표_원본!$P$5:$P$100000,전표_원본!$M$5:$M$100000,설정!$C$6*12+10,전표_원본!$AE$5:$AE$100000,"&lt;&gt;직접")-SUMIFS(전표_원본!$AD$5:$AD$100000,전표_원본!$M$5:$M$100000,설정!$C$6*12+10))</f>
        <v/>
      </c>
      <c r="L126" s="35">
        <f>IF(11&gt;설정!$C$7,0,SUMIFS(전표_원본!$P$5:$P$100000,전표_원본!$M$5:$M$100000,설정!$C$6*12+11,전표_원본!$AE$5:$AE$100000,"&lt;&gt;직접")-SUMIFS(전표_원본!$AD$5:$AD$100000,전표_원본!$M$5:$M$100000,설정!$C$6*12+11))</f>
        <v/>
      </c>
      <c r="M126" s="35">
        <f>IF(12&gt;설정!$C$7,0,SUMIFS(전표_원본!$P$5:$P$100000,전표_원본!$M$5:$M$100000,설정!$C$6*12+12,전표_원본!$AE$5:$AE$100000,"&lt;&gt;직접")-SUMIFS(전표_원본!$AD$5:$AD$100000,전표_원본!$M$5:$M$100000,설정!$C$6*12+12))</f>
        <v/>
      </c>
      <c r="N126" s="40">
        <f>SUM(B126:M126)</f>
        <v/>
      </c>
      <c r="O126" s="73">
        <f>IF($N$127=0,0,N126/$N$127)</f>
        <v/>
      </c>
      <c r="P126" s="35">
        <f>SUMIFS(전표_원본!$P$5:$P$100000,전표_원본!$M$5:$M$100000,"&gt;="&amp;((설정!$C$6-1)*12+1),전표_원본!$M$5:$M$100000,"&lt;="&amp;(설정!$C$20-12),전표_원본!$AE$5:$AE$100000,"&lt;&gt;직접")-SUMIFS(전표_원본!$AD$5:$AD$100000,전표_원본!$M$5:$M$100000,"&gt;="&amp;((설정!$C$6-1)*12+1),전표_원본!$M$5:$M$100000,"&lt;="&amp;(설정!$C$20-12))</f>
        <v/>
      </c>
      <c r="Q126" s="40">
        <f>N126-P126</f>
        <v/>
      </c>
      <c r="R126" s="80">
        <f>IF(P126&lt;=0,0,N126/P126-1)</f>
        <v/>
      </c>
    </row>
    <row r="127">
      <c r="A127" s="43" t="inlineStr">
        <is>
          <t>합계</t>
        </is>
      </c>
      <c r="B127" s="44">
        <f>SUM(B120:B126)</f>
        <v/>
      </c>
      <c r="C127" s="44">
        <f>SUM(C120:C126)</f>
        <v/>
      </c>
      <c r="D127" s="44">
        <f>SUM(D120:D126)</f>
        <v/>
      </c>
      <c r="E127" s="44">
        <f>SUM(E120:E126)</f>
        <v/>
      </c>
      <c r="F127" s="44">
        <f>SUM(F120:F126)</f>
        <v/>
      </c>
      <c r="G127" s="44">
        <f>SUM(G120:G126)</f>
        <v/>
      </c>
      <c r="H127" s="44">
        <f>SUM(H120:H126)</f>
        <v/>
      </c>
      <c r="I127" s="44">
        <f>SUM(I120:I126)</f>
        <v/>
      </c>
      <c r="J127" s="44">
        <f>SUM(J120:J126)</f>
        <v/>
      </c>
      <c r="K127" s="44">
        <f>SUM(K120:K126)</f>
        <v/>
      </c>
      <c r="L127" s="44">
        <f>SUM(L120:L126)</f>
        <v/>
      </c>
      <c r="M127" s="44">
        <f>SUM(M120:M126)</f>
        <v/>
      </c>
      <c r="N127" s="44">
        <f>SUM(N120:N126)</f>
        <v/>
      </c>
      <c r="O127" s="88">
        <f>SUM(O120:O126)</f>
        <v/>
      </c>
      <c r="P127" s="44">
        <f>SUM(P120:P126)</f>
        <v/>
      </c>
      <c r="Q127" s="44">
        <f>SUM(Q120:Q126)</f>
        <v/>
      </c>
      <c r="R127" s="83">
        <f>IF(P127&lt;=0,0,N127/P127-1)</f>
        <v/>
      </c>
    </row>
    <row r="128">
      <c r="A128" s="2" t="inlineStr">
        <is>
          <t>직접유지비에 직접 수금비 포함 · 손해조사비는 IFRS 17 배분에서 유지비 열로 감 · 약대 구분은 계정대체기준 5번 표 · 간접비 = 공통비 중 재산관리비로 넘기지 않은 금액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9" customWidth="1" min="3" max="3"/>
    <col width="11" customWidth="1" min="4" max="4"/>
    <col width="14" customWidth="1" min="5" max="5"/>
    <col width="60" customWidth="1" min="6" max="6"/>
    <col width="16" customWidth="1" min="7" max="7"/>
    <col width="11" customWidth="1" min="8" max="8"/>
    <col width="22" customWidth="1" min="9" max="9"/>
  </cols>
  <sheetData>
    <row r="1">
      <c r="A1" s="1" t="inlineStr">
        <is>
          <t>TRACE · 확인된 원인·조치</t>
        </is>
      </c>
    </row>
    <row r="2">
      <c r="A2" s="2" t="inlineStr">
        <is>
          <t>담당 부서 확인 결과를 월별로 누적 · 기준연도·기준월이 같은 코멘트가 주의대상·리포트에 표시</t>
        </is>
      </c>
    </row>
    <row r="4" ht="30" customHeight="1">
      <c r="A4" s="4" t="inlineStr">
        <is>
          <t>연도</t>
        </is>
      </c>
      <c r="B4" s="4" t="inlineStr">
        <is>
          <t>월</t>
        </is>
      </c>
      <c r="C4" s="4" t="inlineStr">
        <is>
          <t>부서코드</t>
        </is>
      </c>
      <c r="D4" s="4" t="inlineStr">
        <is>
          <t>G/L 계정</t>
        </is>
      </c>
      <c r="E4" s="4" t="inlineStr">
        <is>
          <t>원인 유형</t>
        </is>
      </c>
      <c r="F4" s="4" t="inlineStr">
        <is>
          <t>확인된 원인·조치</t>
        </is>
      </c>
      <c r="G4" s="4" t="inlineStr">
        <is>
          <t>작성자</t>
        </is>
      </c>
      <c r="H4" s="4" t="inlineStr">
        <is>
          <t>작성일</t>
        </is>
      </c>
      <c r="I4" s="39" t="inlineStr">
        <is>
          <t>키</t>
        </is>
      </c>
    </row>
    <row r="5">
      <c r="A5" s="12" t="n">
        <v>2026</v>
      </c>
      <c r="B5" s="12" t="n">
        <v>9</v>
      </c>
      <c r="C5" s="12" t="inlineStr">
        <is>
          <t>D500</t>
        </is>
      </c>
      <c r="D5" s="79" t="inlineStr">
        <is>
          <t>62701000</t>
        </is>
      </c>
      <c r="E5" s="12" t="inlineStr">
        <is>
          <t>일회성 대형</t>
        </is>
      </c>
      <c r="F5" s="21" t="inlineStr">
        <is>
          <t>3분기 신상품 TV캠페인 집행을 앞당김. 4분기 집행분에서 조정 예정</t>
        </is>
      </c>
      <c r="G5" s="21" t="inlineStr">
        <is>
          <t>마케팅팀 김OO</t>
        </is>
      </c>
      <c r="H5" s="89" t="n">
        <v>46303</v>
      </c>
      <c r="I5" s="90">
        <f>IF($A5="","",$A5&amp;"|"&amp;$B5&amp;"|"&amp;$C5&amp;"|"&amp;$D5)</f>
        <v/>
      </c>
    </row>
    <row r="6">
      <c r="A6" s="12" t="n">
        <v>2026</v>
      </c>
      <c r="B6" s="12" t="n">
        <v>9</v>
      </c>
      <c r="C6" s="12" t="inlineStr">
        <is>
          <t>D200</t>
        </is>
      </c>
      <c r="D6" s="79" t="inlineStr">
        <is>
          <t>62901000</t>
        </is>
      </c>
      <c r="E6" s="12" t="inlineStr">
        <is>
          <t>재분류</t>
        </is>
      </c>
      <c r="F6" s="21" t="inlineStr">
        <is>
          <t>8월 경영기획팀에 잘못 귀속된 회계자문료를 재분류. 실제 증가 아님</t>
        </is>
      </c>
      <c r="G6" s="21" t="inlineStr">
        <is>
          <t>재무회계팀 이OO</t>
        </is>
      </c>
      <c r="H6" s="89" t="n">
        <v>46303</v>
      </c>
      <c r="I6" s="90">
        <f>IF($A6="","",$A6&amp;"|"&amp;$B6&amp;"|"&amp;$C6&amp;"|"&amp;$D6)</f>
        <v/>
      </c>
    </row>
    <row r="7">
      <c r="I7" s="90">
        <f>IF($A7="","",$A7&amp;"|"&amp;$B7&amp;"|"&amp;$C7&amp;"|"&amp;$D7)</f>
        <v/>
      </c>
    </row>
    <row r="8">
      <c r="I8" s="90">
        <f>IF($A8="","",$A8&amp;"|"&amp;$B8&amp;"|"&amp;$C8&amp;"|"&amp;$D8)</f>
        <v/>
      </c>
    </row>
    <row r="9">
      <c r="I9" s="90">
        <f>IF($A9="","",$A9&amp;"|"&amp;$B9&amp;"|"&amp;$C9&amp;"|"&amp;$D9)</f>
        <v/>
      </c>
    </row>
    <row r="10">
      <c r="I10" s="90">
        <f>IF($A10="","",$A10&amp;"|"&amp;$B10&amp;"|"&amp;$C10&amp;"|"&amp;$D10)</f>
        <v/>
      </c>
    </row>
    <row r="11">
      <c r="I11" s="90">
        <f>IF($A11="","",$A11&amp;"|"&amp;$B11&amp;"|"&amp;$C11&amp;"|"&amp;$D11)</f>
        <v/>
      </c>
    </row>
    <row r="12">
      <c r="I12" s="90">
        <f>IF($A12="","",$A12&amp;"|"&amp;$B12&amp;"|"&amp;$C12&amp;"|"&amp;$D12)</f>
        <v/>
      </c>
    </row>
    <row r="13">
      <c r="I13" s="90">
        <f>IF($A13="","",$A13&amp;"|"&amp;$B13&amp;"|"&amp;$C13&amp;"|"&amp;$D13)</f>
        <v/>
      </c>
    </row>
    <row r="14">
      <c r="I14" s="90">
        <f>IF($A14="","",$A14&amp;"|"&amp;$B14&amp;"|"&amp;$C14&amp;"|"&amp;$D14)</f>
        <v/>
      </c>
    </row>
    <row r="15">
      <c r="I15" s="90">
        <f>IF($A15="","",$A15&amp;"|"&amp;$B15&amp;"|"&amp;$C15&amp;"|"&amp;$D15)</f>
        <v/>
      </c>
    </row>
    <row r="16">
      <c r="I16" s="90">
        <f>IF($A16="","",$A16&amp;"|"&amp;$B16&amp;"|"&amp;$C16&amp;"|"&amp;$D16)</f>
        <v/>
      </c>
    </row>
    <row r="17">
      <c r="I17" s="90">
        <f>IF($A17="","",$A17&amp;"|"&amp;$B17&amp;"|"&amp;$C17&amp;"|"&amp;$D17)</f>
        <v/>
      </c>
    </row>
    <row r="18">
      <c r="I18" s="90">
        <f>IF($A18="","",$A18&amp;"|"&amp;$B18&amp;"|"&amp;$C18&amp;"|"&amp;$D18)</f>
        <v/>
      </c>
    </row>
    <row r="19">
      <c r="I19" s="90">
        <f>IF($A19="","",$A19&amp;"|"&amp;$B19&amp;"|"&amp;$C19&amp;"|"&amp;$D19)</f>
        <v/>
      </c>
    </row>
    <row r="20">
      <c r="I20" s="90">
        <f>IF($A20="","",$A20&amp;"|"&amp;$B20&amp;"|"&amp;$C20&amp;"|"&amp;$D20)</f>
        <v/>
      </c>
    </row>
    <row r="21">
      <c r="I21" s="90">
        <f>IF($A21="","",$A21&amp;"|"&amp;$B21&amp;"|"&amp;$C21&amp;"|"&amp;$D21)</f>
        <v/>
      </c>
    </row>
    <row r="22">
      <c r="I22" s="90">
        <f>IF($A22="","",$A22&amp;"|"&amp;$B22&amp;"|"&amp;$C22&amp;"|"&amp;$D22)</f>
        <v/>
      </c>
    </row>
    <row r="23">
      <c r="I23" s="90">
        <f>IF($A23="","",$A23&amp;"|"&amp;$B23&amp;"|"&amp;$C23&amp;"|"&amp;$D23)</f>
        <v/>
      </c>
    </row>
    <row r="24">
      <c r="I24" s="90">
        <f>IF($A24="","",$A24&amp;"|"&amp;$B24&amp;"|"&amp;$C24&amp;"|"&amp;$D24)</f>
        <v/>
      </c>
    </row>
    <row r="25">
      <c r="I25" s="90">
        <f>IF($A25="","",$A25&amp;"|"&amp;$B25&amp;"|"&amp;$C25&amp;"|"&amp;$D25)</f>
        <v/>
      </c>
    </row>
    <row r="26">
      <c r="I26" s="90">
        <f>IF($A26="","",$A26&amp;"|"&amp;$B26&amp;"|"&amp;$C26&amp;"|"&amp;$D26)</f>
        <v/>
      </c>
    </row>
    <row r="27">
      <c r="I27" s="90">
        <f>IF($A27="","",$A27&amp;"|"&amp;$B27&amp;"|"&amp;$C27&amp;"|"&amp;$D27)</f>
        <v/>
      </c>
    </row>
    <row r="28">
      <c r="I28" s="90">
        <f>IF($A28="","",$A28&amp;"|"&amp;$B28&amp;"|"&amp;$C28&amp;"|"&amp;$D28)</f>
        <v/>
      </c>
    </row>
    <row r="29">
      <c r="I29" s="90">
        <f>IF($A29="","",$A29&amp;"|"&amp;$B29&amp;"|"&amp;$C29&amp;"|"&amp;$D29)</f>
        <v/>
      </c>
    </row>
    <row r="30">
      <c r="I30" s="90">
        <f>IF($A30="","",$A30&amp;"|"&amp;$B30&amp;"|"&amp;$C30&amp;"|"&amp;$D30)</f>
        <v/>
      </c>
    </row>
    <row r="31">
      <c r="I31" s="90">
        <f>IF($A31="","",$A31&amp;"|"&amp;$B31&amp;"|"&amp;$C31&amp;"|"&amp;$D31)</f>
        <v/>
      </c>
    </row>
    <row r="32">
      <c r="I32" s="90">
        <f>IF($A32="","",$A32&amp;"|"&amp;$B32&amp;"|"&amp;$C32&amp;"|"&amp;$D32)</f>
        <v/>
      </c>
    </row>
    <row r="33">
      <c r="I33" s="90">
        <f>IF($A33="","",$A33&amp;"|"&amp;$B33&amp;"|"&amp;$C33&amp;"|"&amp;$D33)</f>
        <v/>
      </c>
    </row>
    <row r="34">
      <c r="I34" s="90">
        <f>IF($A34="","",$A34&amp;"|"&amp;$B34&amp;"|"&amp;$C34&amp;"|"&amp;$D34)</f>
        <v/>
      </c>
    </row>
    <row r="35">
      <c r="I35" s="90">
        <f>IF($A35="","",$A35&amp;"|"&amp;$B35&amp;"|"&amp;$C35&amp;"|"&amp;$D35)</f>
        <v/>
      </c>
    </row>
    <row r="36">
      <c r="I36" s="90">
        <f>IF($A36="","",$A36&amp;"|"&amp;$B36&amp;"|"&amp;$C36&amp;"|"&amp;$D36)</f>
        <v/>
      </c>
    </row>
    <row r="37">
      <c r="I37" s="90">
        <f>IF($A37="","",$A37&amp;"|"&amp;$B37&amp;"|"&amp;$C37&amp;"|"&amp;$D37)</f>
        <v/>
      </c>
    </row>
    <row r="38">
      <c r="I38" s="90">
        <f>IF($A38="","",$A38&amp;"|"&amp;$B38&amp;"|"&amp;$C38&amp;"|"&amp;$D38)</f>
        <v/>
      </c>
    </row>
    <row r="39">
      <c r="I39" s="90">
        <f>IF($A39="","",$A39&amp;"|"&amp;$B39&amp;"|"&amp;$C39&amp;"|"&amp;$D39)</f>
        <v/>
      </c>
    </row>
    <row r="40">
      <c r="I40" s="90">
        <f>IF($A40="","",$A40&amp;"|"&amp;$B40&amp;"|"&amp;$C40&amp;"|"&amp;$D40)</f>
        <v/>
      </c>
    </row>
    <row r="41">
      <c r="I41" s="90">
        <f>IF($A41="","",$A41&amp;"|"&amp;$B41&amp;"|"&amp;$C41&amp;"|"&amp;$D41)</f>
        <v/>
      </c>
    </row>
    <row r="42">
      <c r="I42" s="90">
        <f>IF($A42="","",$A42&amp;"|"&amp;$B42&amp;"|"&amp;$C42&amp;"|"&amp;$D42)</f>
        <v/>
      </c>
    </row>
    <row r="43">
      <c r="I43" s="90">
        <f>IF($A43="","",$A43&amp;"|"&amp;$B43&amp;"|"&amp;$C43&amp;"|"&amp;$D43)</f>
        <v/>
      </c>
    </row>
    <row r="44">
      <c r="I44" s="90">
        <f>IF($A44="","",$A44&amp;"|"&amp;$B44&amp;"|"&amp;$C44&amp;"|"&amp;$D44)</f>
        <v/>
      </c>
    </row>
    <row r="45">
      <c r="I45" s="90">
        <f>IF($A45="","",$A45&amp;"|"&amp;$B45&amp;"|"&amp;$C45&amp;"|"&amp;$D45)</f>
        <v/>
      </c>
    </row>
    <row r="46">
      <c r="I46" s="90">
        <f>IF($A46="","",$A46&amp;"|"&amp;$B46&amp;"|"&amp;$C46&amp;"|"&amp;$D46)</f>
        <v/>
      </c>
    </row>
    <row r="47">
      <c r="I47" s="90">
        <f>IF($A47="","",$A47&amp;"|"&amp;$B47&amp;"|"&amp;$C47&amp;"|"&amp;$D47)</f>
        <v/>
      </c>
    </row>
    <row r="48">
      <c r="I48" s="90">
        <f>IF($A48="","",$A48&amp;"|"&amp;$B48&amp;"|"&amp;$C48&amp;"|"&amp;$D48)</f>
        <v/>
      </c>
    </row>
    <row r="49">
      <c r="I49" s="90">
        <f>IF($A49="","",$A49&amp;"|"&amp;$B49&amp;"|"&amp;$C49&amp;"|"&amp;$D49)</f>
        <v/>
      </c>
    </row>
    <row r="50">
      <c r="I50" s="90">
        <f>IF($A50="","",$A50&amp;"|"&amp;$B50&amp;"|"&amp;$C50&amp;"|"&amp;$D50)</f>
        <v/>
      </c>
    </row>
    <row r="51">
      <c r="I51" s="90">
        <f>IF($A51="","",$A51&amp;"|"&amp;$B51&amp;"|"&amp;$C51&amp;"|"&amp;$D51)</f>
        <v/>
      </c>
    </row>
    <row r="52">
      <c r="I52" s="90">
        <f>IF($A52="","",$A52&amp;"|"&amp;$B52&amp;"|"&amp;$C52&amp;"|"&amp;$D52)</f>
        <v/>
      </c>
    </row>
    <row r="53">
      <c r="I53" s="90">
        <f>IF($A53="","",$A53&amp;"|"&amp;$B53&amp;"|"&amp;$C53&amp;"|"&amp;$D53)</f>
        <v/>
      </c>
    </row>
    <row r="54">
      <c r="I54" s="90">
        <f>IF($A54="","",$A54&amp;"|"&amp;$B54&amp;"|"&amp;$C54&amp;"|"&amp;$D54)</f>
        <v/>
      </c>
    </row>
    <row r="55">
      <c r="I55" s="90">
        <f>IF($A55="","",$A55&amp;"|"&amp;$B55&amp;"|"&amp;$C55&amp;"|"&amp;$D55)</f>
        <v/>
      </c>
    </row>
    <row r="56">
      <c r="I56" s="90">
        <f>IF($A56="","",$A56&amp;"|"&amp;$B56&amp;"|"&amp;$C56&amp;"|"&amp;$D56)</f>
        <v/>
      </c>
    </row>
    <row r="57">
      <c r="I57" s="90">
        <f>IF($A57="","",$A57&amp;"|"&amp;$B57&amp;"|"&amp;$C57&amp;"|"&amp;$D57)</f>
        <v/>
      </c>
    </row>
    <row r="58">
      <c r="I58" s="90">
        <f>IF($A58="","",$A58&amp;"|"&amp;$B58&amp;"|"&amp;$C58&amp;"|"&amp;$D58)</f>
        <v/>
      </c>
    </row>
    <row r="59">
      <c r="I59" s="90">
        <f>IF($A59="","",$A59&amp;"|"&amp;$B59&amp;"|"&amp;$C59&amp;"|"&amp;$D59)</f>
        <v/>
      </c>
    </row>
    <row r="60">
      <c r="I60" s="90">
        <f>IF($A60="","",$A60&amp;"|"&amp;$B60&amp;"|"&amp;$C60&amp;"|"&amp;$D60)</f>
        <v/>
      </c>
    </row>
    <row r="61">
      <c r="I61" s="90">
        <f>IF($A61="","",$A61&amp;"|"&amp;$B61&amp;"|"&amp;$C61&amp;"|"&amp;$D61)</f>
        <v/>
      </c>
    </row>
    <row r="62">
      <c r="I62" s="90">
        <f>IF($A62="","",$A62&amp;"|"&amp;$B62&amp;"|"&amp;$C62&amp;"|"&amp;$D62)</f>
        <v/>
      </c>
    </row>
    <row r="63">
      <c r="I63" s="90">
        <f>IF($A63="","",$A63&amp;"|"&amp;$B63&amp;"|"&amp;$C63&amp;"|"&amp;$D63)</f>
        <v/>
      </c>
    </row>
    <row r="64">
      <c r="I64" s="90">
        <f>IF($A64="","",$A64&amp;"|"&amp;$B64&amp;"|"&amp;$C64&amp;"|"&amp;$D64)</f>
        <v/>
      </c>
    </row>
    <row r="65">
      <c r="I65" s="90">
        <f>IF($A65="","",$A65&amp;"|"&amp;$B65&amp;"|"&amp;$C65&amp;"|"&amp;$D65)</f>
        <v/>
      </c>
    </row>
    <row r="66">
      <c r="I66" s="90">
        <f>IF($A66="","",$A66&amp;"|"&amp;$B66&amp;"|"&amp;$C66&amp;"|"&amp;$D66)</f>
        <v/>
      </c>
    </row>
    <row r="67">
      <c r="I67" s="90">
        <f>IF($A67="","",$A67&amp;"|"&amp;$B67&amp;"|"&amp;$C67&amp;"|"&amp;$D67)</f>
        <v/>
      </c>
    </row>
    <row r="68">
      <c r="I68" s="90">
        <f>IF($A68="","",$A68&amp;"|"&amp;$B68&amp;"|"&amp;$C68&amp;"|"&amp;$D68)</f>
        <v/>
      </c>
    </row>
    <row r="69">
      <c r="I69" s="90">
        <f>IF($A69="","",$A69&amp;"|"&amp;$B69&amp;"|"&amp;$C69&amp;"|"&amp;$D69)</f>
        <v/>
      </c>
    </row>
    <row r="70">
      <c r="I70" s="90">
        <f>IF($A70="","",$A70&amp;"|"&amp;$B70&amp;"|"&amp;$C70&amp;"|"&amp;$D70)</f>
        <v/>
      </c>
    </row>
    <row r="71">
      <c r="I71" s="90">
        <f>IF($A71="","",$A71&amp;"|"&amp;$B71&amp;"|"&amp;$C71&amp;"|"&amp;$D71)</f>
        <v/>
      </c>
    </row>
    <row r="72">
      <c r="I72" s="90">
        <f>IF($A72="","",$A72&amp;"|"&amp;$B72&amp;"|"&amp;$C72&amp;"|"&amp;$D72)</f>
        <v/>
      </c>
    </row>
    <row r="73">
      <c r="I73" s="90">
        <f>IF($A73="","",$A73&amp;"|"&amp;$B73&amp;"|"&amp;$C73&amp;"|"&amp;$D73)</f>
        <v/>
      </c>
    </row>
    <row r="74">
      <c r="I74" s="90">
        <f>IF($A74="","",$A74&amp;"|"&amp;$B74&amp;"|"&amp;$C74&amp;"|"&amp;$D74)</f>
        <v/>
      </c>
    </row>
    <row r="75">
      <c r="I75" s="90">
        <f>IF($A75="","",$A75&amp;"|"&amp;$B75&amp;"|"&amp;$C75&amp;"|"&amp;$D75)</f>
        <v/>
      </c>
    </row>
    <row r="76">
      <c r="I76" s="90">
        <f>IF($A76="","",$A76&amp;"|"&amp;$B76&amp;"|"&amp;$C76&amp;"|"&amp;$D76)</f>
        <v/>
      </c>
    </row>
    <row r="77">
      <c r="I77" s="90">
        <f>IF($A77="","",$A77&amp;"|"&amp;$B77&amp;"|"&amp;$C77&amp;"|"&amp;$D77)</f>
        <v/>
      </c>
    </row>
    <row r="78">
      <c r="I78" s="90">
        <f>IF($A78="","",$A78&amp;"|"&amp;$B78&amp;"|"&amp;$C78&amp;"|"&amp;$D78)</f>
        <v/>
      </c>
    </row>
    <row r="79">
      <c r="I79" s="90">
        <f>IF($A79="","",$A79&amp;"|"&amp;$B79&amp;"|"&amp;$C79&amp;"|"&amp;$D79)</f>
        <v/>
      </c>
    </row>
    <row r="80">
      <c r="I80" s="90">
        <f>IF($A80="","",$A80&amp;"|"&amp;$B80&amp;"|"&amp;$C80&amp;"|"&amp;$D80)</f>
        <v/>
      </c>
    </row>
    <row r="81">
      <c r="I81" s="90">
        <f>IF($A81="","",$A81&amp;"|"&amp;$B81&amp;"|"&amp;$C81&amp;"|"&amp;$D81)</f>
        <v/>
      </c>
    </row>
    <row r="82">
      <c r="I82" s="90">
        <f>IF($A82="","",$A82&amp;"|"&amp;$B82&amp;"|"&amp;$C82&amp;"|"&amp;$D82)</f>
        <v/>
      </c>
    </row>
    <row r="83">
      <c r="I83" s="90">
        <f>IF($A83="","",$A83&amp;"|"&amp;$B83&amp;"|"&amp;$C83&amp;"|"&amp;$D83)</f>
        <v/>
      </c>
    </row>
    <row r="84">
      <c r="I84" s="90">
        <f>IF($A84="","",$A84&amp;"|"&amp;$B84&amp;"|"&amp;$C84&amp;"|"&amp;$D84)</f>
        <v/>
      </c>
    </row>
    <row r="85">
      <c r="I85" s="90">
        <f>IF($A85="","",$A85&amp;"|"&amp;$B85&amp;"|"&amp;$C85&amp;"|"&amp;$D85)</f>
        <v/>
      </c>
    </row>
    <row r="86">
      <c r="I86" s="90">
        <f>IF($A86="","",$A86&amp;"|"&amp;$B86&amp;"|"&amp;$C86&amp;"|"&amp;$D86)</f>
        <v/>
      </c>
    </row>
    <row r="87">
      <c r="I87" s="90">
        <f>IF($A87="","",$A87&amp;"|"&amp;$B87&amp;"|"&amp;$C87&amp;"|"&amp;$D87)</f>
        <v/>
      </c>
    </row>
    <row r="88">
      <c r="I88" s="90">
        <f>IF($A88="","",$A88&amp;"|"&amp;$B88&amp;"|"&amp;$C88&amp;"|"&amp;$D88)</f>
        <v/>
      </c>
    </row>
    <row r="89">
      <c r="I89" s="90">
        <f>IF($A89="","",$A89&amp;"|"&amp;$B89&amp;"|"&amp;$C89&amp;"|"&amp;$D89)</f>
        <v/>
      </c>
    </row>
    <row r="90">
      <c r="I90" s="90">
        <f>IF($A90="","",$A90&amp;"|"&amp;$B90&amp;"|"&amp;$C90&amp;"|"&amp;$D90)</f>
        <v/>
      </c>
    </row>
    <row r="91">
      <c r="I91" s="90">
        <f>IF($A91="","",$A91&amp;"|"&amp;$B91&amp;"|"&amp;$C91&amp;"|"&amp;$D91)</f>
        <v/>
      </c>
    </row>
    <row r="92">
      <c r="I92" s="90">
        <f>IF($A92="","",$A92&amp;"|"&amp;$B92&amp;"|"&amp;$C92&amp;"|"&amp;$D92)</f>
        <v/>
      </c>
    </row>
    <row r="93">
      <c r="I93" s="90">
        <f>IF($A93="","",$A93&amp;"|"&amp;$B93&amp;"|"&amp;$C93&amp;"|"&amp;$D93)</f>
        <v/>
      </c>
    </row>
    <row r="94">
      <c r="I94" s="90">
        <f>IF($A94="","",$A94&amp;"|"&amp;$B94&amp;"|"&amp;$C94&amp;"|"&amp;$D94)</f>
        <v/>
      </c>
    </row>
    <row r="95">
      <c r="I95" s="90">
        <f>IF($A95="","",$A95&amp;"|"&amp;$B95&amp;"|"&amp;$C95&amp;"|"&amp;$D95)</f>
        <v/>
      </c>
    </row>
    <row r="96">
      <c r="I96" s="90">
        <f>IF($A96="","",$A96&amp;"|"&amp;$B96&amp;"|"&amp;$C96&amp;"|"&amp;$D96)</f>
        <v/>
      </c>
    </row>
    <row r="97">
      <c r="I97" s="90">
        <f>IF($A97="","",$A97&amp;"|"&amp;$B97&amp;"|"&amp;$C97&amp;"|"&amp;$D97)</f>
        <v/>
      </c>
    </row>
    <row r="98">
      <c r="I98" s="90">
        <f>IF($A98="","",$A98&amp;"|"&amp;$B98&amp;"|"&amp;$C98&amp;"|"&amp;$D98)</f>
        <v/>
      </c>
    </row>
    <row r="99">
      <c r="I99" s="90">
        <f>IF($A99="","",$A99&amp;"|"&amp;$B99&amp;"|"&amp;$C99&amp;"|"&amp;$D99)</f>
        <v/>
      </c>
    </row>
    <row r="100">
      <c r="I100" s="90">
        <f>IF($A100="","",$A100&amp;"|"&amp;$B100&amp;"|"&amp;$C100&amp;"|"&amp;$D100)</f>
        <v/>
      </c>
    </row>
    <row r="101">
      <c r="I101" s="90">
        <f>IF($A101="","",$A101&amp;"|"&amp;$B101&amp;"|"&amp;$C101&amp;"|"&amp;$D101)</f>
        <v/>
      </c>
    </row>
    <row r="102">
      <c r="I102" s="90">
        <f>IF($A102="","",$A102&amp;"|"&amp;$B102&amp;"|"&amp;$C102&amp;"|"&amp;$D102)</f>
        <v/>
      </c>
    </row>
    <row r="103">
      <c r="I103" s="90">
        <f>IF($A103="","",$A103&amp;"|"&amp;$B103&amp;"|"&amp;$C103&amp;"|"&amp;$D103)</f>
        <v/>
      </c>
    </row>
    <row r="104">
      <c r="I104" s="90">
        <f>IF($A104="","",$A104&amp;"|"&amp;$B104&amp;"|"&amp;$C104&amp;"|"&amp;$D104)</f>
        <v/>
      </c>
    </row>
    <row r="105">
      <c r="I105" s="90">
        <f>IF($A105="","",$A105&amp;"|"&amp;$B105&amp;"|"&amp;$C105&amp;"|"&amp;$D105)</f>
        <v/>
      </c>
    </row>
    <row r="106">
      <c r="I106" s="90">
        <f>IF($A106="","",$A106&amp;"|"&amp;$B106&amp;"|"&amp;$C106&amp;"|"&amp;$D106)</f>
        <v/>
      </c>
    </row>
    <row r="107">
      <c r="I107" s="90">
        <f>IF($A107="","",$A107&amp;"|"&amp;$B107&amp;"|"&amp;$C107&amp;"|"&amp;$D107)</f>
        <v/>
      </c>
    </row>
    <row r="108">
      <c r="I108" s="90">
        <f>IF($A108="","",$A108&amp;"|"&amp;$B108&amp;"|"&amp;$C108&amp;"|"&amp;$D108)</f>
        <v/>
      </c>
    </row>
    <row r="109">
      <c r="I109" s="90">
        <f>IF($A109="","",$A109&amp;"|"&amp;$B109&amp;"|"&amp;$C109&amp;"|"&amp;$D109)</f>
        <v/>
      </c>
    </row>
    <row r="110">
      <c r="I110" s="90">
        <f>IF($A110="","",$A110&amp;"|"&amp;$B110&amp;"|"&amp;$C110&amp;"|"&amp;$D110)</f>
        <v/>
      </c>
    </row>
    <row r="111">
      <c r="I111" s="90">
        <f>IF($A111="","",$A111&amp;"|"&amp;$B111&amp;"|"&amp;$C111&amp;"|"&amp;$D111)</f>
        <v/>
      </c>
    </row>
    <row r="112">
      <c r="I112" s="90">
        <f>IF($A112="","",$A112&amp;"|"&amp;$B112&amp;"|"&amp;$C112&amp;"|"&amp;$D112)</f>
        <v/>
      </c>
    </row>
    <row r="113">
      <c r="I113" s="90">
        <f>IF($A113="","",$A113&amp;"|"&amp;$B113&amp;"|"&amp;$C113&amp;"|"&amp;$D113)</f>
        <v/>
      </c>
    </row>
    <row r="114">
      <c r="I114" s="90">
        <f>IF($A114="","",$A114&amp;"|"&amp;$B114&amp;"|"&amp;$C114&amp;"|"&amp;$D114)</f>
        <v/>
      </c>
    </row>
    <row r="115">
      <c r="I115" s="90">
        <f>IF($A115="","",$A115&amp;"|"&amp;$B115&amp;"|"&amp;$C115&amp;"|"&amp;$D115)</f>
        <v/>
      </c>
    </row>
    <row r="116">
      <c r="I116" s="90">
        <f>IF($A116="","",$A116&amp;"|"&amp;$B116&amp;"|"&amp;$C116&amp;"|"&amp;$D116)</f>
        <v/>
      </c>
    </row>
    <row r="117">
      <c r="I117" s="90">
        <f>IF($A117="","",$A117&amp;"|"&amp;$B117&amp;"|"&amp;$C117&amp;"|"&amp;$D117)</f>
        <v/>
      </c>
    </row>
    <row r="118">
      <c r="I118" s="90">
        <f>IF($A118="","",$A118&amp;"|"&amp;$B118&amp;"|"&amp;$C118&amp;"|"&amp;$D118)</f>
        <v/>
      </c>
    </row>
    <row r="119">
      <c r="I119" s="90">
        <f>IF($A119="","",$A119&amp;"|"&amp;$B119&amp;"|"&amp;$C119&amp;"|"&amp;$D119)</f>
        <v/>
      </c>
    </row>
    <row r="120">
      <c r="I120" s="90">
        <f>IF($A120="","",$A120&amp;"|"&amp;$B120&amp;"|"&amp;$C120&amp;"|"&amp;$D120)</f>
        <v/>
      </c>
    </row>
    <row r="121">
      <c r="I121" s="90">
        <f>IF($A121="","",$A121&amp;"|"&amp;$B121&amp;"|"&amp;$C121&amp;"|"&amp;$D121)</f>
        <v/>
      </c>
    </row>
    <row r="122">
      <c r="I122" s="90">
        <f>IF($A122="","",$A122&amp;"|"&amp;$B122&amp;"|"&amp;$C122&amp;"|"&amp;$D122)</f>
        <v/>
      </c>
    </row>
    <row r="123">
      <c r="I123" s="90">
        <f>IF($A123="","",$A123&amp;"|"&amp;$B123&amp;"|"&amp;$C123&amp;"|"&amp;$D123)</f>
        <v/>
      </c>
    </row>
    <row r="124">
      <c r="I124" s="90">
        <f>IF($A124="","",$A124&amp;"|"&amp;$B124&amp;"|"&amp;$C124&amp;"|"&amp;$D124)</f>
        <v/>
      </c>
    </row>
    <row r="125">
      <c r="I125" s="90">
        <f>IF($A125="","",$A125&amp;"|"&amp;$B125&amp;"|"&amp;$C125&amp;"|"&amp;$D125)</f>
        <v/>
      </c>
    </row>
    <row r="126">
      <c r="I126" s="90">
        <f>IF($A126="","",$A126&amp;"|"&amp;$B126&amp;"|"&amp;$C126&amp;"|"&amp;$D126)</f>
        <v/>
      </c>
    </row>
    <row r="127">
      <c r="I127" s="90">
        <f>IF($A127="","",$A127&amp;"|"&amp;$B127&amp;"|"&amp;$C127&amp;"|"&amp;$D127)</f>
        <v/>
      </c>
    </row>
    <row r="128">
      <c r="I128" s="90">
        <f>IF($A128="","",$A128&amp;"|"&amp;$B128&amp;"|"&amp;$C128&amp;"|"&amp;$D128)</f>
        <v/>
      </c>
    </row>
    <row r="129">
      <c r="I129" s="90">
        <f>IF($A129="","",$A129&amp;"|"&amp;$B129&amp;"|"&amp;$C129&amp;"|"&amp;$D129)</f>
        <v/>
      </c>
    </row>
    <row r="130">
      <c r="I130" s="90">
        <f>IF($A130="","",$A130&amp;"|"&amp;$B130&amp;"|"&amp;$C130&amp;"|"&amp;$D130)</f>
        <v/>
      </c>
    </row>
    <row r="131">
      <c r="I131" s="90">
        <f>IF($A131="","",$A131&amp;"|"&amp;$B131&amp;"|"&amp;$C131&amp;"|"&amp;$D131)</f>
        <v/>
      </c>
    </row>
    <row r="132">
      <c r="I132" s="90">
        <f>IF($A132="","",$A132&amp;"|"&amp;$B132&amp;"|"&amp;$C132&amp;"|"&amp;$D132)</f>
        <v/>
      </c>
    </row>
    <row r="133">
      <c r="I133" s="90">
        <f>IF($A133="","",$A133&amp;"|"&amp;$B133&amp;"|"&amp;$C133&amp;"|"&amp;$D133)</f>
        <v/>
      </c>
    </row>
    <row r="134">
      <c r="I134" s="90">
        <f>IF($A134="","",$A134&amp;"|"&amp;$B134&amp;"|"&amp;$C134&amp;"|"&amp;$D134)</f>
        <v/>
      </c>
    </row>
    <row r="135">
      <c r="I135" s="90">
        <f>IF($A135="","",$A135&amp;"|"&amp;$B135&amp;"|"&amp;$C135&amp;"|"&amp;$D135)</f>
        <v/>
      </c>
    </row>
    <row r="136">
      <c r="I136" s="90">
        <f>IF($A136="","",$A136&amp;"|"&amp;$B136&amp;"|"&amp;$C136&amp;"|"&amp;$D136)</f>
        <v/>
      </c>
    </row>
    <row r="137">
      <c r="I137" s="90">
        <f>IF($A137="","",$A137&amp;"|"&amp;$B137&amp;"|"&amp;$C137&amp;"|"&amp;$D137)</f>
        <v/>
      </c>
    </row>
    <row r="138">
      <c r="I138" s="90">
        <f>IF($A138="","",$A138&amp;"|"&amp;$B138&amp;"|"&amp;$C138&amp;"|"&amp;$D138)</f>
        <v/>
      </c>
    </row>
    <row r="139">
      <c r="I139" s="90">
        <f>IF($A139="","",$A139&amp;"|"&amp;$B139&amp;"|"&amp;$C139&amp;"|"&amp;$D139)</f>
        <v/>
      </c>
    </row>
    <row r="140">
      <c r="I140" s="90">
        <f>IF($A140="","",$A140&amp;"|"&amp;$B140&amp;"|"&amp;$C140&amp;"|"&amp;$D140)</f>
        <v/>
      </c>
    </row>
    <row r="141">
      <c r="I141" s="90">
        <f>IF($A141="","",$A141&amp;"|"&amp;$B141&amp;"|"&amp;$C141&amp;"|"&amp;$D141)</f>
        <v/>
      </c>
    </row>
    <row r="142">
      <c r="I142" s="90">
        <f>IF($A142="","",$A142&amp;"|"&amp;$B142&amp;"|"&amp;$C142&amp;"|"&amp;$D142)</f>
        <v/>
      </c>
    </row>
    <row r="143">
      <c r="I143" s="90">
        <f>IF($A143="","",$A143&amp;"|"&amp;$B143&amp;"|"&amp;$C143&amp;"|"&amp;$D143)</f>
        <v/>
      </c>
    </row>
    <row r="144">
      <c r="I144" s="90">
        <f>IF($A144="","",$A144&amp;"|"&amp;$B144&amp;"|"&amp;$C144&amp;"|"&amp;$D144)</f>
        <v/>
      </c>
    </row>
    <row r="145">
      <c r="I145" s="90">
        <f>IF($A145="","",$A145&amp;"|"&amp;$B145&amp;"|"&amp;$C145&amp;"|"&amp;$D145)</f>
        <v/>
      </c>
    </row>
    <row r="146">
      <c r="I146" s="90">
        <f>IF($A146="","",$A146&amp;"|"&amp;$B146&amp;"|"&amp;$C146&amp;"|"&amp;$D146)</f>
        <v/>
      </c>
    </row>
    <row r="147">
      <c r="I147" s="90">
        <f>IF($A147="","",$A147&amp;"|"&amp;$B147&amp;"|"&amp;$C147&amp;"|"&amp;$D147)</f>
        <v/>
      </c>
    </row>
    <row r="148">
      <c r="I148" s="90">
        <f>IF($A148="","",$A148&amp;"|"&amp;$B148&amp;"|"&amp;$C148&amp;"|"&amp;$D148)</f>
        <v/>
      </c>
    </row>
    <row r="149">
      <c r="I149" s="90">
        <f>IF($A149="","",$A149&amp;"|"&amp;$B149&amp;"|"&amp;$C149&amp;"|"&amp;$D149)</f>
        <v/>
      </c>
    </row>
    <row r="150">
      <c r="I150" s="90">
        <f>IF($A150="","",$A150&amp;"|"&amp;$B150&amp;"|"&amp;$C150&amp;"|"&amp;$D150)</f>
        <v/>
      </c>
    </row>
    <row r="151">
      <c r="I151" s="90">
        <f>IF($A151="","",$A151&amp;"|"&amp;$B151&amp;"|"&amp;$C151&amp;"|"&amp;$D151)</f>
        <v/>
      </c>
    </row>
    <row r="152">
      <c r="I152" s="90">
        <f>IF($A152="","",$A152&amp;"|"&amp;$B152&amp;"|"&amp;$C152&amp;"|"&amp;$D152)</f>
        <v/>
      </c>
    </row>
    <row r="153">
      <c r="I153" s="90">
        <f>IF($A153="","",$A153&amp;"|"&amp;$B153&amp;"|"&amp;$C153&amp;"|"&amp;$D153)</f>
        <v/>
      </c>
    </row>
    <row r="154">
      <c r="I154" s="90">
        <f>IF($A154="","",$A154&amp;"|"&amp;$B154&amp;"|"&amp;$C154&amp;"|"&amp;$D154)</f>
        <v/>
      </c>
    </row>
    <row r="155">
      <c r="I155" s="90">
        <f>IF($A155="","",$A155&amp;"|"&amp;$B155&amp;"|"&amp;$C155&amp;"|"&amp;$D155)</f>
        <v/>
      </c>
    </row>
    <row r="156">
      <c r="I156" s="90">
        <f>IF($A156="","",$A156&amp;"|"&amp;$B156&amp;"|"&amp;$C156&amp;"|"&amp;$D156)</f>
        <v/>
      </c>
    </row>
    <row r="157">
      <c r="I157" s="90">
        <f>IF($A157="","",$A157&amp;"|"&amp;$B157&amp;"|"&amp;$C157&amp;"|"&amp;$D157)</f>
        <v/>
      </c>
    </row>
    <row r="158">
      <c r="I158" s="90">
        <f>IF($A158="","",$A158&amp;"|"&amp;$B158&amp;"|"&amp;$C158&amp;"|"&amp;$D158)</f>
        <v/>
      </c>
    </row>
    <row r="159">
      <c r="I159" s="90">
        <f>IF($A159="","",$A159&amp;"|"&amp;$B159&amp;"|"&amp;$C159&amp;"|"&amp;$D159)</f>
        <v/>
      </c>
    </row>
    <row r="160">
      <c r="I160" s="90">
        <f>IF($A160="","",$A160&amp;"|"&amp;$B160&amp;"|"&amp;$C160&amp;"|"&amp;$D160)</f>
        <v/>
      </c>
    </row>
    <row r="161">
      <c r="I161" s="90">
        <f>IF($A161="","",$A161&amp;"|"&amp;$B161&amp;"|"&amp;$C161&amp;"|"&amp;$D161)</f>
        <v/>
      </c>
    </row>
    <row r="162">
      <c r="I162" s="90">
        <f>IF($A162="","",$A162&amp;"|"&amp;$B162&amp;"|"&amp;$C162&amp;"|"&amp;$D162)</f>
        <v/>
      </c>
    </row>
    <row r="163">
      <c r="I163" s="90">
        <f>IF($A163="","",$A163&amp;"|"&amp;$B163&amp;"|"&amp;$C163&amp;"|"&amp;$D163)</f>
        <v/>
      </c>
    </row>
    <row r="164">
      <c r="I164" s="90">
        <f>IF($A164="","",$A164&amp;"|"&amp;$B164&amp;"|"&amp;$C164&amp;"|"&amp;$D164)</f>
        <v/>
      </c>
    </row>
    <row r="165">
      <c r="I165" s="90">
        <f>IF($A165="","",$A165&amp;"|"&amp;$B165&amp;"|"&amp;$C165&amp;"|"&amp;$D165)</f>
        <v/>
      </c>
    </row>
    <row r="166">
      <c r="I166" s="90">
        <f>IF($A166="","",$A166&amp;"|"&amp;$B166&amp;"|"&amp;$C166&amp;"|"&amp;$D166)</f>
        <v/>
      </c>
    </row>
    <row r="167">
      <c r="I167" s="90">
        <f>IF($A167="","",$A167&amp;"|"&amp;$B167&amp;"|"&amp;$C167&amp;"|"&amp;$D167)</f>
        <v/>
      </c>
    </row>
    <row r="168">
      <c r="I168" s="90">
        <f>IF($A168="","",$A168&amp;"|"&amp;$B168&amp;"|"&amp;$C168&amp;"|"&amp;$D168)</f>
        <v/>
      </c>
    </row>
    <row r="169">
      <c r="I169" s="90">
        <f>IF($A169="","",$A169&amp;"|"&amp;$B169&amp;"|"&amp;$C169&amp;"|"&amp;$D169)</f>
        <v/>
      </c>
    </row>
    <row r="170">
      <c r="I170" s="90">
        <f>IF($A170="","",$A170&amp;"|"&amp;$B170&amp;"|"&amp;$C170&amp;"|"&amp;$D170)</f>
        <v/>
      </c>
    </row>
    <row r="171">
      <c r="I171" s="90">
        <f>IF($A171="","",$A171&amp;"|"&amp;$B171&amp;"|"&amp;$C171&amp;"|"&amp;$D171)</f>
        <v/>
      </c>
    </row>
    <row r="172">
      <c r="I172" s="90">
        <f>IF($A172="","",$A172&amp;"|"&amp;$B172&amp;"|"&amp;$C172&amp;"|"&amp;$D172)</f>
        <v/>
      </c>
    </row>
    <row r="173">
      <c r="I173" s="90">
        <f>IF($A173="","",$A173&amp;"|"&amp;$B173&amp;"|"&amp;$C173&amp;"|"&amp;$D173)</f>
        <v/>
      </c>
    </row>
    <row r="174">
      <c r="I174" s="90">
        <f>IF($A174="","",$A174&amp;"|"&amp;$B174&amp;"|"&amp;$C174&amp;"|"&amp;$D174)</f>
        <v/>
      </c>
    </row>
    <row r="175">
      <c r="I175" s="90">
        <f>IF($A175="","",$A175&amp;"|"&amp;$B175&amp;"|"&amp;$C175&amp;"|"&amp;$D175)</f>
        <v/>
      </c>
    </row>
    <row r="176">
      <c r="I176" s="90">
        <f>IF($A176="","",$A176&amp;"|"&amp;$B176&amp;"|"&amp;$C176&amp;"|"&amp;$D176)</f>
        <v/>
      </c>
    </row>
    <row r="177">
      <c r="I177" s="90">
        <f>IF($A177="","",$A177&amp;"|"&amp;$B177&amp;"|"&amp;$C177&amp;"|"&amp;$D177)</f>
        <v/>
      </c>
    </row>
    <row r="178">
      <c r="I178" s="90">
        <f>IF($A178="","",$A178&amp;"|"&amp;$B178&amp;"|"&amp;$C178&amp;"|"&amp;$D178)</f>
        <v/>
      </c>
    </row>
    <row r="179">
      <c r="I179" s="90">
        <f>IF($A179="","",$A179&amp;"|"&amp;$B179&amp;"|"&amp;$C179&amp;"|"&amp;$D179)</f>
        <v/>
      </c>
    </row>
    <row r="180">
      <c r="I180" s="90">
        <f>IF($A180="","",$A180&amp;"|"&amp;$B180&amp;"|"&amp;$C180&amp;"|"&amp;$D180)</f>
        <v/>
      </c>
    </row>
    <row r="181">
      <c r="I181" s="90">
        <f>IF($A181="","",$A181&amp;"|"&amp;$B181&amp;"|"&amp;$C181&amp;"|"&amp;$D181)</f>
        <v/>
      </c>
    </row>
    <row r="182">
      <c r="I182" s="90">
        <f>IF($A182="","",$A182&amp;"|"&amp;$B182&amp;"|"&amp;$C182&amp;"|"&amp;$D182)</f>
        <v/>
      </c>
    </row>
    <row r="183">
      <c r="I183" s="90">
        <f>IF($A183="","",$A183&amp;"|"&amp;$B183&amp;"|"&amp;$C183&amp;"|"&amp;$D183)</f>
        <v/>
      </c>
    </row>
    <row r="184">
      <c r="I184" s="90">
        <f>IF($A184="","",$A184&amp;"|"&amp;$B184&amp;"|"&amp;$C184&amp;"|"&amp;$D184)</f>
        <v/>
      </c>
    </row>
    <row r="185">
      <c r="I185" s="90">
        <f>IF($A185="","",$A185&amp;"|"&amp;$B185&amp;"|"&amp;$C185&amp;"|"&amp;$D185)</f>
        <v/>
      </c>
    </row>
    <row r="186">
      <c r="I186" s="90">
        <f>IF($A186="","",$A186&amp;"|"&amp;$B186&amp;"|"&amp;$C186&amp;"|"&amp;$D186)</f>
        <v/>
      </c>
    </row>
    <row r="187">
      <c r="I187" s="90">
        <f>IF($A187="","",$A187&amp;"|"&amp;$B187&amp;"|"&amp;$C187&amp;"|"&amp;$D187)</f>
        <v/>
      </c>
    </row>
    <row r="188">
      <c r="I188" s="90">
        <f>IF($A188="","",$A188&amp;"|"&amp;$B188&amp;"|"&amp;$C188&amp;"|"&amp;$D188)</f>
        <v/>
      </c>
    </row>
    <row r="189">
      <c r="I189" s="90">
        <f>IF($A189="","",$A189&amp;"|"&amp;$B189&amp;"|"&amp;$C189&amp;"|"&amp;$D189)</f>
        <v/>
      </c>
    </row>
    <row r="190">
      <c r="I190" s="90">
        <f>IF($A190="","",$A190&amp;"|"&amp;$B190&amp;"|"&amp;$C190&amp;"|"&amp;$D190)</f>
        <v/>
      </c>
    </row>
    <row r="191">
      <c r="I191" s="90">
        <f>IF($A191="","",$A191&amp;"|"&amp;$B191&amp;"|"&amp;$C191&amp;"|"&amp;$D191)</f>
        <v/>
      </c>
    </row>
    <row r="192">
      <c r="I192" s="90">
        <f>IF($A192="","",$A192&amp;"|"&amp;$B192&amp;"|"&amp;$C192&amp;"|"&amp;$D192)</f>
        <v/>
      </c>
    </row>
    <row r="193">
      <c r="I193" s="90">
        <f>IF($A193="","",$A193&amp;"|"&amp;$B193&amp;"|"&amp;$C193&amp;"|"&amp;$D193)</f>
        <v/>
      </c>
    </row>
    <row r="194">
      <c r="I194" s="90">
        <f>IF($A194="","",$A194&amp;"|"&amp;$B194&amp;"|"&amp;$C194&amp;"|"&amp;$D194)</f>
        <v/>
      </c>
    </row>
    <row r="195">
      <c r="I195" s="90">
        <f>IF($A195="","",$A195&amp;"|"&amp;$B195&amp;"|"&amp;$C195&amp;"|"&amp;$D195)</f>
        <v/>
      </c>
    </row>
    <row r="196">
      <c r="I196" s="90">
        <f>IF($A196="","",$A196&amp;"|"&amp;$B196&amp;"|"&amp;$C196&amp;"|"&amp;$D196)</f>
        <v/>
      </c>
    </row>
    <row r="197">
      <c r="I197" s="90">
        <f>IF($A197="","",$A197&amp;"|"&amp;$B197&amp;"|"&amp;$C197&amp;"|"&amp;$D197)</f>
        <v/>
      </c>
    </row>
    <row r="198">
      <c r="I198" s="90">
        <f>IF($A198="","",$A198&amp;"|"&amp;$B198&amp;"|"&amp;$C198&amp;"|"&amp;$D198)</f>
        <v/>
      </c>
    </row>
    <row r="199">
      <c r="I199" s="90">
        <f>IF($A199="","",$A199&amp;"|"&amp;$B199&amp;"|"&amp;$C199&amp;"|"&amp;$D199)</f>
        <v/>
      </c>
    </row>
    <row r="200">
      <c r="I200" s="90">
        <f>IF($A200="","",$A200&amp;"|"&amp;$B200&amp;"|"&amp;$C200&amp;"|"&amp;$D200)</f>
        <v/>
      </c>
    </row>
    <row r="201">
      <c r="I201" s="90">
        <f>IF($A201="","",$A201&amp;"|"&amp;$B201&amp;"|"&amp;$C201&amp;"|"&amp;$D201)</f>
        <v/>
      </c>
    </row>
    <row r="202">
      <c r="I202" s="90">
        <f>IF($A202="","",$A202&amp;"|"&amp;$B202&amp;"|"&amp;$C202&amp;"|"&amp;$D202)</f>
        <v/>
      </c>
    </row>
    <row r="203">
      <c r="I203" s="90">
        <f>IF($A203="","",$A203&amp;"|"&amp;$B203&amp;"|"&amp;$C203&amp;"|"&amp;$D203)</f>
        <v/>
      </c>
    </row>
    <row r="204">
      <c r="I204" s="90">
        <f>IF($A204="","",$A204&amp;"|"&amp;$B204&amp;"|"&amp;$C204&amp;"|"&amp;$D204)</f>
        <v/>
      </c>
    </row>
    <row r="205">
      <c r="I205" s="90">
        <f>IF($A205="","",$A205&amp;"|"&amp;$B205&amp;"|"&amp;$C205&amp;"|"&amp;$D205)</f>
        <v/>
      </c>
    </row>
    <row r="206">
      <c r="I206" s="90">
        <f>IF($A206="","",$A206&amp;"|"&amp;$B206&amp;"|"&amp;$C206&amp;"|"&amp;$D206)</f>
        <v/>
      </c>
    </row>
    <row r="207">
      <c r="I207" s="90">
        <f>IF($A207="","",$A207&amp;"|"&amp;$B207&amp;"|"&amp;$C207&amp;"|"&amp;$D207)</f>
        <v/>
      </c>
    </row>
    <row r="208">
      <c r="I208" s="90">
        <f>IF($A208="","",$A208&amp;"|"&amp;$B208&amp;"|"&amp;$C208&amp;"|"&amp;$D208)</f>
        <v/>
      </c>
    </row>
    <row r="209">
      <c r="I209" s="90">
        <f>IF($A209="","",$A209&amp;"|"&amp;$B209&amp;"|"&amp;$C209&amp;"|"&amp;$D209)</f>
        <v/>
      </c>
    </row>
    <row r="210">
      <c r="I210" s="90">
        <f>IF($A210="","",$A210&amp;"|"&amp;$B210&amp;"|"&amp;$C210&amp;"|"&amp;$D210)</f>
        <v/>
      </c>
    </row>
    <row r="211">
      <c r="I211" s="90">
        <f>IF($A211="","",$A211&amp;"|"&amp;$B211&amp;"|"&amp;$C211&amp;"|"&amp;$D211)</f>
        <v/>
      </c>
    </row>
    <row r="212">
      <c r="I212" s="90">
        <f>IF($A212="","",$A212&amp;"|"&amp;$B212&amp;"|"&amp;$C212&amp;"|"&amp;$D212)</f>
        <v/>
      </c>
    </row>
    <row r="213">
      <c r="I213" s="90">
        <f>IF($A213="","",$A213&amp;"|"&amp;$B213&amp;"|"&amp;$C213&amp;"|"&amp;$D213)</f>
        <v/>
      </c>
    </row>
    <row r="214">
      <c r="I214" s="90">
        <f>IF($A214="","",$A214&amp;"|"&amp;$B214&amp;"|"&amp;$C214&amp;"|"&amp;$D214)</f>
        <v/>
      </c>
    </row>
    <row r="215">
      <c r="I215" s="90">
        <f>IF($A215="","",$A215&amp;"|"&amp;$B215&amp;"|"&amp;$C215&amp;"|"&amp;$D215)</f>
        <v/>
      </c>
    </row>
    <row r="216">
      <c r="I216" s="90">
        <f>IF($A216="","",$A216&amp;"|"&amp;$B216&amp;"|"&amp;$C216&amp;"|"&amp;$D216)</f>
        <v/>
      </c>
    </row>
    <row r="217">
      <c r="I217" s="90">
        <f>IF($A217="","",$A217&amp;"|"&amp;$B217&amp;"|"&amp;$C217&amp;"|"&amp;$D217)</f>
        <v/>
      </c>
    </row>
    <row r="218">
      <c r="I218" s="90">
        <f>IF($A218="","",$A218&amp;"|"&amp;$B218&amp;"|"&amp;$C218&amp;"|"&amp;$D218)</f>
        <v/>
      </c>
    </row>
    <row r="219">
      <c r="I219" s="90">
        <f>IF($A219="","",$A219&amp;"|"&amp;$B219&amp;"|"&amp;$C219&amp;"|"&amp;$D219)</f>
        <v/>
      </c>
    </row>
    <row r="220">
      <c r="I220" s="90">
        <f>IF($A220="","",$A220&amp;"|"&amp;$B220&amp;"|"&amp;$C220&amp;"|"&amp;$D220)</f>
        <v/>
      </c>
    </row>
    <row r="221">
      <c r="I221" s="90">
        <f>IF($A221="","",$A221&amp;"|"&amp;$B221&amp;"|"&amp;$C221&amp;"|"&amp;$D221)</f>
        <v/>
      </c>
    </row>
    <row r="222">
      <c r="I222" s="90">
        <f>IF($A222="","",$A222&amp;"|"&amp;$B222&amp;"|"&amp;$C222&amp;"|"&amp;$D222)</f>
        <v/>
      </c>
    </row>
    <row r="223">
      <c r="I223" s="90">
        <f>IF($A223="","",$A223&amp;"|"&amp;$B223&amp;"|"&amp;$C223&amp;"|"&amp;$D223)</f>
        <v/>
      </c>
    </row>
    <row r="224">
      <c r="I224" s="90">
        <f>IF($A224="","",$A224&amp;"|"&amp;$B224&amp;"|"&amp;$C224&amp;"|"&amp;$D224)</f>
        <v/>
      </c>
    </row>
    <row r="225">
      <c r="I225" s="90">
        <f>IF($A225="","",$A225&amp;"|"&amp;$B225&amp;"|"&amp;$C225&amp;"|"&amp;$D225)</f>
        <v/>
      </c>
    </row>
    <row r="226">
      <c r="I226" s="90">
        <f>IF($A226="","",$A226&amp;"|"&amp;$B226&amp;"|"&amp;$C226&amp;"|"&amp;$D226)</f>
        <v/>
      </c>
    </row>
    <row r="227">
      <c r="I227" s="90">
        <f>IF($A227="","",$A227&amp;"|"&amp;$B227&amp;"|"&amp;$C227&amp;"|"&amp;$D227)</f>
        <v/>
      </c>
    </row>
    <row r="228">
      <c r="I228" s="90">
        <f>IF($A228="","",$A228&amp;"|"&amp;$B228&amp;"|"&amp;$C228&amp;"|"&amp;$D228)</f>
        <v/>
      </c>
    </row>
    <row r="229">
      <c r="I229" s="90">
        <f>IF($A229="","",$A229&amp;"|"&amp;$B229&amp;"|"&amp;$C229&amp;"|"&amp;$D229)</f>
        <v/>
      </c>
    </row>
    <row r="230">
      <c r="I230" s="90">
        <f>IF($A230="","",$A230&amp;"|"&amp;$B230&amp;"|"&amp;$C230&amp;"|"&amp;$D230)</f>
        <v/>
      </c>
    </row>
    <row r="231">
      <c r="I231" s="90">
        <f>IF($A231="","",$A231&amp;"|"&amp;$B231&amp;"|"&amp;$C231&amp;"|"&amp;$D231)</f>
        <v/>
      </c>
    </row>
    <row r="232">
      <c r="I232" s="90">
        <f>IF($A232="","",$A232&amp;"|"&amp;$B232&amp;"|"&amp;$C232&amp;"|"&amp;$D232)</f>
        <v/>
      </c>
    </row>
    <row r="233">
      <c r="I233" s="90">
        <f>IF($A233="","",$A233&amp;"|"&amp;$B233&amp;"|"&amp;$C233&amp;"|"&amp;$D233)</f>
        <v/>
      </c>
    </row>
    <row r="234">
      <c r="I234" s="90">
        <f>IF($A234="","",$A234&amp;"|"&amp;$B234&amp;"|"&amp;$C234&amp;"|"&amp;$D234)</f>
        <v/>
      </c>
    </row>
    <row r="235">
      <c r="I235" s="90">
        <f>IF($A235="","",$A235&amp;"|"&amp;$B235&amp;"|"&amp;$C235&amp;"|"&amp;$D235)</f>
        <v/>
      </c>
    </row>
    <row r="236">
      <c r="I236" s="90">
        <f>IF($A236="","",$A236&amp;"|"&amp;$B236&amp;"|"&amp;$C236&amp;"|"&amp;$D236)</f>
        <v/>
      </c>
    </row>
    <row r="237">
      <c r="I237" s="90">
        <f>IF($A237="","",$A237&amp;"|"&amp;$B237&amp;"|"&amp;$C237&amp;"|"&amp;$D237)</f>
        <v/>
      </c>
    </row>
    <row r="238">
      <c r="I238" s="90">
        <f>IF($A238="","",$A238&amp;"|"&amp;$B238&amp;"|"&amp;$C238&amp;"|"&amp;$D238)</f>
        <v/>
      </c>
    </row>
    <row r="239">
      <c r="I239" s="90">
        <f>IF($A239="","",$A239&amp;"|"&amp;$B239&amp;"|"&amp;$C239&amp;"|"&amp;$D239)</f>
        <v/>
      </c>
    </row>
    <row r="240">
      <c r="I240" s="90">
        <f>IF($A240="","",$A240&amp;"|"&amp;$B240&amp;"|"&amp;$C240&amp;"|"&amp;$D240)</f>
        <v/>
      </c>
    </row>
    <row r="241">
      <c r="I241" s="90">
        <f>IF($A241="","",$A241&amp;"|"&amp;$B241&amp;"|"&amp;$C241&amp;"|"&amp;$D241)</f>
        <v/>
      </c>
    </row>
    <row r="242">
      <c r="I242" s="90">
        <f>IF($A242="","",$A242&amp;"|"&amp;$B242&amp;"|"&amp;$C242&amp;"|"&amp;$D242)</f>
        <v/>
      </c>
    </row>
    <row r="243">
      <c r="I243" s="90">
        <f>IF($A243="","",$A243&amp;"|"&amp;$B243&amp;"|"&amp;$C243&amp;"|"&amp;$D243)</f>
        <v/>
      </c>
    </row>
    <row r="244">
      <c r="I244" s="90">
        <f>IF($A244="","",$A244&amp;"|"&amp;$B244&amp;"|"&amp;$C244&amp;"|"&amp;$D244)</f>
        <v/>
      </c>
    </row>
    <row r="245">
      <c r="I245" s="90">
        <f>IF($A245="","",$A245&amp;"|"&amp;$B245&amp;"|"&amp;$C245&amp;"|"&amp;$D245)</f>
        <v/>
      </c>
    </row>
    <row r="246">
      <c r="I246" s="90">
        <f>IF($A246="","",$A246&amp;"|"&amp;$B246&amp;"|"&amp;$C246&amp;"|"&amp;$D246)</f>
        <v/>
      </c>
    </row>
    <row r="247">
      <c r="I247" s="90">
        <f>IF($A247="","",$A247&amp;"|"&amp;$B247&amp;"|"&amp;$C247&amp;"|"&amp;$D247)</f>
        <v/>
      </c>
    </row>
    <row r="248">
      <c r="I248" s="90">
        <f>IF($A248="","",$A248&amp;"|"&amp;$B248&amp;"|"&amp;$C248&amp;"|"&amp;$D248)</f>
        <v/>
      </c>
    </row>
    <row r="249">
      <c r="I249" s="90">
        <f>IF($A249="","",$A249&amp;"|"&amp;$B249&amp;"|"&amp;$C249&amp;"|"&amp;$D249)</f>
        <v/>
      </c>
    </row>
    <row r="250">
      <c r="I250" s="90">
        <f>IF($A250="","",$A250&amp;"|"&amp;$B250&amp;"|"&amp;$C250&amp;"|"&amp;$D250)</f>
        <v/>
      </c>
    </row>
    <row r="251">
      <c r="I251" s="90">
        <f>IF($A251="","",$A251&amp;"|"&amp;$B251&amp;"|"&amp;$C251&amp;"|"&amp;$D251)</f>
        <v/>
      </c>
    </row>
    <row r="252">
      <c r="I252" s="90">
        <f>IF($A252="","",$A252&amp;"|"&amp;$B252&amp;"|"&amp;$C252&amp;"|"&amp;$D252)</f>
        <v/>
      </c>
    </row>
    <row r="253">
      <c r="I253" s="90">
        <f>IF($A253="","",$A253&amp;"|"&amp;$B253&amp;"|"&amp;$C253&amp;"|"&amp;$D253)</f>
        <v/>
      </c>
    </row>
    <row r="254">
      <c r="I254" s="90">
        <f>IF($A254="","",$A254&amp;"|"&amp;$B254&amp;"|"&amp;$C254&amp;"|"&amp;$D254)</f>
        <v/>
      </c>
    </row>
    <row r="255">
      <c r="I255" s="90">
        <f>IF($A255="","",$A255&amp;"|"&amp;$B255&amp;"|"&amp;$C255&amp;"|"&amp;$D255)</f>
        <v/>
      </c>
    </row>
    <row r="256">
      <c r="I256" s="90">
        <f>IF($A256="","",$A256&amp;"|"&amp;$B256&amp;"|"&amp;$C256&amp;"|"&amp;$D256)</f>
        <v/>
      </c>
    </row>
    <row r="257">
      <c r="I257" s="90">
        <f>IF($A257="","",$A257&amp;"|"&amp;$B257&amp;"|"&amp;$C257&amp;"|"&amp;$D257)</f>
        <v/>
      </c>
    </row>
    <row r="258">
      <c r="I258" s="90">
        <f>IF($A258="","",$A258&amp;"|"&amp;$B258&amp;"|"&amp;$C258&amp;"|"&amp;$D258)</f>
        <v/>
      </c>
    </row>
    <row r="259">
      <c r="I259" s="90">
        <f>IF($A259="","",$A259&amp;"|"&amp;$B259&amp;"|"&amp;$C259&amp;"|"&amp;$D259)</f>
        <v/>
      </c>
    </row>
    <row r="260">
      <c r="I260" s="90">
        <f>IF($A260="","",$A260&amp;"|"&amp;$B260&amp;"|"&amp;$C260&amp;"|"&amp;$D260)</f>
        <v/>
      </c>
    </row>
    <row r="261">
      <c r="I261" s="90">
        <f>IF($A261="","",$A261&amp;"|"&amp;$B261&amp;"|"&amp;$C261&amp;"|"&amp;$D261)</f>
        <v/>
      </c>
    </row>
    <row r="262">
      <c r="I262" s="90">
        <f>IF($A262="","",$A262&amp;"|"&amp;$B262&amp;"|"&amp;$C262&amp;"|"&amp;$D262)</f>
        <v/>
      </c>
    </row>
    <row r="263">
      <c r="I263" s="90">
        <f>IF($A263="","",$A263&amp;"|"&amp;$B263&amp;"|"&amp;$C263&amp;"|"&amp;$D263)</f>
        <v/>
      </c>
    </row>
    <row r="264">
      <c r="I264" s="90">
        <f>IF($A264="","",$A264&amp;"|"&amp;$B264&amp;"|"&amp;$C264&amp;"|"&amp;$D264)</f>
        <v/>
      </c>
    </row>
    <row r="265">
      <c r="I265" s="90">
        <f>IF($A265="","",$A265&amp;"|"&amp;$B265&amp;"|"&amp;$C265&amp;"|"&amp;$D265)</f>
        <v/>
      </c>
    </row>
    <row r="266">
      <c r="I266" s="90">
        <f>IF($A266="","",$A266&amp;"|"&amp;$B266&amp;"|"&amp;$C266&amp;"|"&amp;$D266)</f>
        <v/>
      </c>
    </row>
    <row r="267">
      <c r="I267" s="90">
        <f>IF($A267="","",$A267&amp;"|"&amp;$B267&amp;"|"&amp;$C267&amp;"|"&amp;$D267)</f>
        <v/>
      </c>
    </row>
    <row r="268">
      <c r="I268" s="90">
        <f>IF($A268="","",$A268&amp;"|"&amp;$B268&amp;"|"&amp;$C268&amp;"|"&amp;$D268)</f>
        <v/>
      </c>
    </row>
    <row r="269">
      <c r="I269" s="90">
        <f>IF($A269="","",$A269&amp;"|"&amp;$B269&amp;"|"&amp;$C269&amp;"|"&amp;$D269)</f>
        <v/>
      </c>
    </row>
    <row r="270">
      <c r="I270" s="90">
        <f>IF($A270="","",$A270&amp;"|"&amp;$B270&amp;"|"&amp;$C270&amp;"|"&amp;$D270)</f>
        <v/>
      </c>
    </row>
    <row r="271">
      <c r="I271" s="90">
        <f>IF($A271="","",$A271&amp;"|"&amp;$B271&amp;"|"&amp;$C271&amp;"|"&amp;$D271)</f>
        <v/>
      </c>
    </row>
    <row r="272">
      <c r="I272" s="90">
        <f>IF($A272="","",$A272&amp;"|"&amp;$B272&amp;"|"&amp;$C272&amp;"|"&amp;$D272)</f>
        <v/>
      </c>
    </row>
    <row r="273">
      <c r="I273" s="90">
        <f>IF($A273="","",$A273&amp;"|"&amp;$B273&amp;"|"&amp;$C273&amp;"|"&amp;$D273)</f>
        <v/>
      </c>
    </row>
    <row r="274">
      <c r="I274" s="90">
        <f>IF($A274="","",$A274&amp;"|"&amp;$B274&amp;"|"&amp;$C274&amp;"|"&amp;$D274)</f>
        <v/>
      </c>
    </row>
    <row r="275">
      <c r="I275" s="90">
        <f>IF($A275="","",$A275&amp;"|"&amp;$B275&amp;"|"&amp;$C275&amp;"|"&amp;$D275)</f>
        <v/>
      </c>
    </row>
    <row r="276">
      <c r="I276" s="90">
        <f>IF($A276="","",$A276&amp;"|"&amp;$B276&amp;"|"&amp;$C276&amp;"|"&amp;$D276)</f>
        <v/>
      </c>
    </row>
    <row r="277">
      <c r="I277" s="90">
        <f>IF($A277="","",$A277&amp;"|"&amp;$B277&amp;"|"&amp;$C277&amp;"|"&amp;$D277)</f>
        <v/>
      </c>
    </row>
    <row r="278">
      <c r="I278" s="90">
        <f>IF($A278="","",$A278&amp;"|"&amp;$B278&amp;"|"&amp;$C278&amp;"|"&amp;$D278)</f>
        <v/>
      </c>
    </row>
    <row r="279">
      <c r="I279" s="90">
        <f>IF($A279="","",$A279&amp;"|"&amp;$B279&amp;"|"&amp;$C279&amp;"|"&amp;$D279)</f>
        <v/>
      </c>
    </row>
    <row r="280">
      <c r="I280" s="90">
        <f>IF($A280="","",$A280&amp;"|"&amp;$B280&amp;"|"&amp;$C280&amp;"|"&amp;$D280)</f>
        <v/>
      </c>
    </row>
    <row r="281">
      <c r="I281" s="90">
        <f>IF($A281="","",$A281&amp;"|"&amp;$B281&amp;"|"&amp;$C281&amp;"|"&amp;$D281)</f>
        <v/>
      </c>
    </row>
    <row r="282">
      <c r="I282" s="90">
        <f>IF($A282="","",$A282&amp;"|"&amp;$B282&amp;"|"&amp;$C282&amp;"|"&amp;$D282)</f>
        <v/>
      </c>
    </row>
    <row r="283">
      <c r="I283" s="90">
        <f>IF($A283="","",$A283&amp;"|"&amp;$B283&amp;"|"&amp;$C283&amp;"|"&amp;$D283)</f>
        <v/>
      </c>
    </row>
    <row r="284">
      <c r="I284" s="90">
        <f>IF($A284="","",$A284&amp;"|"&amp;$B284&amp;"|"&amp;$C284&amp;"|"&amp;$D284)</f>
        <v/>
      </c>
    </row>
    <row r="285">
      <c r="I285" s="90">
        <f>IF($A285="","",$A285&amp;"|"&amp;$B285&amp;"|"&amp;$C285&amp;"|"&amp;$D285)</f>
        <v/>
      </c>
    </row>
    <row r="286">
      <c r="I286" s="90">
        <f>IF($A286="","",$A286&amp;"|"&amp;$B286&amp;"|"&amp;$C286&amp;"|"&amp;$D286)</f>
        <v/>
      </c>
    </row>
    <row r="287">
      <c r="I287" s="90">
        <f>IF($A287="","",$A287&amp;"|"&amp;$B287&amp;"|"&amp;$C287&amp;"|"&amp;$D287)</f>
        <v/>
      </c>
    </row>
    <row r="288">
      <c r="I288" s="90">
        <f>IF($A288="","",$A288&amp;"|"&amp;$B288&amp;"|"&amp;$C288&amp;"|"&amp;$D288)</f>
        <v/>
      </c>
    </row>
    <row r="289">
      <c r="I289" s="90">
        <f>IF($A289="","",$A289&amp;"|"&amp;$B289&amp;"|"&amp;$C289&amp;"|"&amp;$D289)</f>
        <v/>
      </c>
    </row>
    <row r="290">
      <c r="I290" s="90">
        <f>IF($A290="","",$A290&amp;"|"&amp;$B290&amp;"|"&amp;$C290&amp;"|"&amp;$D290)</f>
        <v/>
      </c>
    </row>
    <row r="291">
      <c r="I291" s="90">
        <f>IF($A291="","",$A291&amp;"|"&amp;$B291&amp;"|"&amp;$C291&amp;"|"&amp;$D291)</f>
        <v/>
      </c>
    </row>
    <row r="292">
      <c r="I292" s="90">
        <f>IF($A292="","",$A292&amp;"|"&amp;$B292&amp;"|"&amp;$C292&amp;"|"&amp;$D292)</f>
        <v/>
      </c>
    </row>
    <row r="293">
      <c r="I293" s="90">
        <f>IF($A293="","",$A293&amp;"|"&amp;$B293&amp;"|"&amp;$C293&amp;"|"&amp;$D293)</f>
        <v/>
      </c>
    </row>
    <row r="294">
      <c r="I294" s="90">
        <f>IF($A294="","",$A294&amp;"|"&amp;$B294&amp;"|"&amp;$C294&amp;"|"&amp;$D294)</f>
        <v/>
      </c>
    </row>
    <row r="295">
      <c r="I295" s="90">
        <f>IF($A295="","",$A295&amp;"|"&amp;$B295&amp;"|"&amp;$C295&amp;"|"&amp;$D295)</f>
        <v/>
      </c>
    </row>
    <row r="296">
      <c r="I296" s="90">
        <f>IF($A296="","",$A296&amp;"|"&amp;$B296&amp;"|"&amp;$C296&amp;"|"&amp;$D296)</f>
        <v/>
      </c>
    </row>
    <row r="297">
      <c r="I297" s="90">
        <f>IF($A297="","",$A297&amp;"|"&amp;$B297&amp;"|"&amp;$C297&amp;"|"&amp;$D297)</f>
        <v/>
      </c>
    </row>
    <row r="298">
      <c r="I298" s="90">
        <f>IF($A298="","",$A298&amp;"|"&amp;$B298&amp;"|"&amp;$C298&amp;"|"&amp;$D298)</f>
        <v/>
      </c>
    </row>
    <row r="299">
      <c r="I299" s="90">
        <f>IF($A299="","",$A299&amp;"|"&amp;$B299&amp;"|"&amp;$C299&amp;"|"&amp;$D299)</f>
        <v/>
      </c>
    </row>
    <row r="300">
      <c r="I300" s="90">
        <f>IF($A300="","",$A300&amp;"|"&amp;$B300&amp;"|"&amp;$C300&amp;"|"&amp;$D300)</f>
        <v/>
      </c>
    </row>
    <row r="301">
      <c r="I301" s="90">
        <f>IF($A301="","",$A301&amp;"|"&amp;$B301&amp;"|"&amp;$C301&amp;"|"&amp;$D301)</f>
        <v/>
      </c>
    </row>
    <row r="302">
      <c r="I302" s="90">
        <f>IF($A302="","",$A302&amp;"|"&amp;$B302&amp;"|"&amp;$C302&amp;"|"&amp;$D302)</f>
        <v/>
      </c>
    </row>
    <row r="303">
      <c r="I303" s="90">
        <f>IF($A303="","",$A303&amp;"|"&amp;$B303&amp;"|"&amp;$C303&amp;"|"&amp;$D303)</f>
        <v/>
      </c>
    </row>
    <row r="304">
      <c r="I304" s="90">
        <f>IF($A304="","",$A304&amp;"|"&amp;$B304&amp;"|"&amp;$C304&amp;"|"&amp;$D304)</f>
        <v/>
      </c>
    </row>
    <row r="305">
      <c r="I305" s="90">
        <f>IF($A305="","",$A305&amp;"|"&amp;$B305&amp;"|"&amp;$C305&amp;"|"&amp;$D305)</f>
        <v/>
      </c>
    </row>
    <row r="306">
      <c r="I306" s="90">
        <f>IF($A306="","",$A306&amp;"|"&amp;$B306&amp;"|"&amp;$C306&amp;"|"&amp;$D306)</f>
        <v/>
      </c>
    </row>
    <row r="307">
      <c r="I307" s="90">
        <f>IF($A307="","",$A307&amp;"|"&amp;$B307&amp;"|"&amp;$C307&amp;"|"&amp;$D307)</f>
        <v/>
      </c>
    </row>
    <row r="308">
      <c r="I308" s="90">
        <f>IF($A308="","",$A308&amp;"|"&amp;$B308&amp;"|"&amp;$C308&amp;"|"&amp;$D308)</f>
        <v/>
      </c>
    </row>
    <row r="309">
      <c r="I309" s="90">
        <f>IF($A309="","",$A309&amp;"|"&amp;$B309&amp;"|"&amp;$C309&amp;"|"&amp;$D309)</f>
        <v/>
      </c>
    </row>
    <row r="310">
      <c r="I310" s="90">
        <f>IF($A310="","",$A310&amp;"|"&amp;$B310&amp;"|"&amp;$C310&amp;"|"&amp;$D310)</f>
        <v/>
      </c>
    </row>
    <row r="311">
      <c r="I311" s="90">
        <f>IF($A311="","",$A311&amp;"|"&amp;$B311&amp;"|"&amp;$C311&amp;"|"&amp;$D311)</f>
        <v/>
      </c>
    </row>
    <row r="312">
      <c r="I312" s="90">
        <f>IF($A312="","",$A312&amp;"|"&amp;$B312&amp;"|"&amp;$C312&amp;"|"&amp;$D312)</f>
        <v/>
      </c>
    </row>
    <row r="313">
      <c r="I313" s="90">
        <f>IF($A313="","",$A313&amp;"|"&amp;$B313&amp;"|"&amp;$C313&amp;"|"&amp;$D313)</f>
        <v/>
      </c>
    </row>
    <row r="314">
      <c r="I314" s="90">
        <f>IF($A314="","",$A314&amp;"|"&amp;$B314&amp;"|"&amp;$C314&amp;"|"&amp;$D314)</f>
        <v/>
      </c>
    </row>
    <row r="315">
      <c r="I315" s="90">
        <f>IF($A315="","",$A315&amp;"|"&amp;$B315&amp;"|"&amp;$C315&amp;"|"&amp;$D315)</f>
        <v/>
      </c>
    </row>
    <row r="316">
      <c r="I316" s="90">
        <f>IF($A316="","",$A316&amp;"|"&amp;$B316&amp;"|"&amp;$C316&amp;"|"&amp;$D316)</f>
        <v/>
      </c>
    </row>
    <row r="317">
      <c r="I317" s="90">
        <f>IF($A317="","",$A317&amp;"|"&amp;$B317&amp;"|"&amp;$C317&amp;"|"&amp;$D317)</f>
        <v/>
      </c>
    </row>
    <row r="318">
      <c r="I318" s="90">
        <f>IF($A318="","",$A318&amp;"|"&amp;$B318&amp;"|"&amp;$C318&amp;"|"&amp;$D318)</f>
        <v/>
      </c>
    </row>
    <row r="319">
      <c r="I319" s="90">
        <f>IF($A319="","",$A319&amp;"|"&amp;$B319&amp;"|"&amp;$C319&amp;"|"&amp;$D319)</f>
        <v/>
      </c>
    </row>
    <row r="320">
      <c r="I320" s="90">
        <f>IF($A320="","",$A320&amp;"|"&amp;$B320&amp;"|"&amp;$C320&amp;"|"&amp;$D320)</f>
        <v/>
      </c>
    </row>
    <row r="321">
      <c r="I321" s="90">
        <f>IF($A321="","",$A321&amp;"|"&amp;$B321&amp;"|"&amp;$C321&amp;"|"&amp;$D321)</f>
        <v/>
      </c>
    </row>
    <row r="322">
      <c r="I322" s="90">
        <f>IF($A322="","",$A322&amp;"|"&amp;$B322&amp;"|"&amp;$C322&amp;"|"&amp;$D322)</f>
        <v/>
      </c>
    </row>
    <row r="323">
      <c r="I323" s="90">
        <f>IF($A323="","",$A323&amp;"|"&amp;$B323&amp;"|"&amp;$C323&amp;"|"&amp;$D323)</f>
        <v/>
      </c>
    </row>
    <row r="324">
      <c r="I324" s="90">
        <f>IF($A324="","",$A324&amp;"|"&amp;$B324&amp;"|"&amp;$C324&amp;"|"&amp;$D324)</f>
        <v/>
      </c>
    </row>
    <row r="325">
      <c r="I325" s="90">
        <f>IF($A325="","",$A325&amp;"|"&amp;$B325&amp;"|"&amp;$C325&amp;"|"&amp;$D325)</f>
        <v/>
      </c>
    </row>
    <row r="326">
      <c r="I326" s="90">
        <f>IF($A326="","",$A326&amp;"|"&amp;$B326&amp;"|"&amp;$C326&amp;"|"&amp;$D326)</f>
        <v/>
      </c>
    </row>
    <row r="327">
      <c r="I327" s="90">
        <f>IF($A327="","",$A327&amp;"|"&amp;$B327&amp;"|"&amp;$C327&amp;"|"&amp;$D327)</f>
        <v/>
      </c>
    </row>
    <row r="328">
      <c r="I328" s="90">
        <f>IF($A328="","",$A328&amp;"|"&amp;$B328&amp;"|"&amp;$C328&amp;"|"&amp;$D328)</f>
        <v/>
      </c>
    </row>
    <row r="329">
      <c r="I329" s="90">
        <f>IF($A329="","",$A329&amp;"|"&amp;$B329&amp;"|"&amp;$C329&amp;"|"&amp;$D329)</f>
        <v/>
      </c>
    </row>
    <row r="330">
      <c r="I330" s="90">
        <f>IF($A330="","",$A330&amp;"|"&amp;$B330&amp;"|"&amp;$C330&amp;"|"&amp;$D330)</f>
        <v/>
      </c>
    </row>
    <row r="331">
      <c r="I331" s="90">
        <f>IF($A331="","",$A331&amp;"|"&amp;$B331&amp;"|"&amp;$C331&amp;"|"&amp;$D331)</f>
        <v/>
      </c>
    </row>
    <row r="332">
      <c r="I332" s="90">
        <f>IF($A332="","",$A332&amp;"|"&amp;$B332&amp;"|"&amp;$C332&amp;"|"&amp;$D332)</f>
        <v/>
      </c>
    </row>
    <row r="333">
      <c r="I333" s="90">
        <f>IF($A333="","",$A333&amp;"|"&amp;$B333&amp;"|"&amp;$C333&amp;"|"&amp;$D333)</f>
        <v/>
      </c>
    </row>
    <row r="334">
      <c r="I334" s="90">
        <f>IF($A334="","",$A334&amp;"|"&amp;$B334&amp;"|"&amp;$C334&amp;"|"&amp;$D334)</f>
        <v/>
      </c>
    </row>
    <row r="335">
      <c r="I335" s="90">
        <f>IF($A335="","",$A335&amp;"|"&amp;$B335&amp;"|"&amp;$C335&amp;"|"&amp;$D335)</f>
        <v/>
      </c>
    </row>
    <row r="336">
      <c r="I336" s="90">
        <f>IF($A336="","",$A336&amp;"|"&amp;$B336&amp;"|"&amp;$C336&amp;"|"&amp;$D336)</f>
        <v/>
      </c>
    </row>
    <row r="337">
      <c r="I337" s="90">
        <f>IF($A337="","",$A337&amp;"|"&amp;$B337&amp;"|"&amp;$C337&amp;"|"&amp;$D337)</f>
        <v/>
      </c>
    </row>
    <row r="338">
      <c r="I338" s="90">
        <f>IF($A338="","",$A338&amp;"|"&amp;$B338&amp;"|"&amp;$C338&amp;"|"&amp;$D338)</f>
        <v/>
      </c>
    </row>
    <row r="339">
      <c r="I339" s="90">
        <f>IF($A339="","",$A339&amp;"|"&amp;$B339&amp;"|"&amp;$C339&amp;"|"&amp;$D339)</f>
        <v/>
      </c>
    </row>
    <row r="340">
      <c r="I340" s="90">
        <f>IF($A340="","",$A340&amp;"|"&amp;$B340&amp;"|"&amp;$C340&amp;"|"&amp;$D340)</f>
        <v/>
      </c>
    </row>
    <row r="341">
      <c r="I341" s="90">
        <f>IF($A341="","",$A341&amp;"|"&amp;$B341&amp;"|"&amp;$C341&amp;"|"&amp;$D341)</f>
        <v/>
      </c>
    </row>
    <row r="342">
      <c r="I342" s="90">
        <f>IF($A342="","",$A342&amp;"|"&amp;$B342&amp;"|"&amp;$C342&amp;"|"&amp;$D342)</f>
        <v/>
      </c>
    </row>
    <row r="343">
      <c r="I343" s="90">
        <f>IF($A343="","",$A343&amp;"|"&amp;$B343&amp;"|"&amp;$C343&amp;"|"&amp;$D343)</f>
        <v/>
      </c>
    </row>
    <row r="344">
      <c r="I344" s="90">
        <f>IF($A344="","",$A344&amp;"|"&amp;$B344&amp;"|"&amp;$C344&amp;"|"&amp;$D344)</f>
        <v/>
      </c>
    </row>
    <row r="345">
      <c r="I345" s="90">
        <f>IF($A345="","",$A345&amp;"|"&amp;$B345&amp;"|"&amp;$C345&amp;"|"&amp;$D345)</f>
        <v/>
      </c>
    </row>
    <row r="346">
      <c r="I346" s="90">
        <f>IF($A346="","",$A346&amp;"|"&amp;$B346&amp;"|"&amp;$C346&amp;"|"&amp;$D346)</f>
        <v/>
      </c>
    </row>
    <row r="347">
      <c r="I347" s="90">
        <f>IF($A347="","",$A347&amp;"|"&amp;$B347&amp;"|"&amp;$C347&amp;"|"&amp;$D347)</f>
        <v/>
      </c>
    </row>
    <row r="348">
      <c r="I348" s="90">
        <f>IF($A348="","",$A348&amp;"|"&amp;$B348&amp;"|"&amp;$C348&amp;"|"&amp;$D348)</f>
        <v/>
      </c>
    </row>
    <row r="349">
      <c r="I349" s="90">
        <f>IF($A349="","",$A349&amp;"|"&amp;$B349&amp;"|"&amp;$C349&amp;"|"&amp;$D349)</f>
        <v/>
      </c>
    </row>
    <row r="350">
      <c r="I350" s="90">
        <f>IF($A350="","",$A350&amp;"|"&amp;$B350&amp;"|"&amp;$C350&amp;"|"&amp;$D350)</f>
        <v/>
      </c>
    </row>
    <row r="351">
      <c r="I351" s="90">
        <f>IF($A351="","",$A351&amp;"|"&amp;$B351&amp;"|"&amp;$C351&amp;"|"&amp;$D351)</f>
        <v/>
      </c>
    </row>
    <row r="352">
      <c r="I352" s="90">
        <f>IF($A352="","",$A352&amp;"|"&amp;$B352&amp;"|"&amp;$C352&amp;"|"&amp;$D352)</f>
        <v/>
      </c>
    </row>
    <row r="353">
      <c r="I353" s="90">
        <f>IF($A353="","",$A353&amp;"|"&amp;$B353&amp;"|"&amp;$C353&amp;"|"&amp;$D353)</f>
        <v/>
      </c>
    </row>
    <row r="354">
      <c r="I354" s="90">
        <f>IF($A354="","",$A354&amp;"|"&amp;$B354&amp;"|"&amp;$C354&amp;"|"&amp;$D354)</f>
        <v/>
      </c>
    </row>
    <row r="355">
      <c r="I355" s="90">
        <f>IF($A355="","",$A355&amp;"|"&amp;$B355&amp;"|"&amp;$C355&amp;"|"&amp;$D355)</f>
        <v/>
      </c>
    </row>
    <row r="356">
      <c r="I356" s="90">
        <f>IF($A356="","",$A356&amp;"|"&amp;$B356&amp;"|"&amp;$C356&amp;"|"&amp;$D356)</f>
        <v/>
      </c>
    </row>
    <row r="357">
      <c r="I357" s="90">
        <f>IF($A357="","",$A357&amp;"|"&amp;$B357&amp;"|"&amp;$C357&amp;"|"&amp;$D357)</f>
        <v/>
      </c>
    </row>
    <row r="358">
      <c r="I358" s="90">
        <f>IF($A358="","",$A358&amp;"|"&amp;$B358&amp;"|"&amp;$C358&amp;"|"&amp;$D358)</f>
        <v/>
      </c>
    </row>
    <row r="359">
      <c r="I359" s="90">
        <f>IF($A359="","",$A359&amp;"|"&amp;$B359&amp;"|"&amp;$C359&amp;"|"&amp;$D359)</f>
        <v/>
      </c>
    </row>
    <row r="360">
      <c r="I360" s="90">
        <f>IF($A360="","",$A360&amp;"|"&amp;$B360&amp;"|"&amp;$C360&amp;"|"&amp;$D360)</f>
        <v/>
      </c>
    </row>
    <row r="361">
      <c r="I361" s="90">
        <f>IF($A361="","",$A361&amp;"|"&amp;$B361&amp;"|"&amp;$C361&amp;"|"&amp;$D361)</f>
        <v/>
      </c>
    </row>
    <row r="362">
      <c r="I362" s="90">
        <f>IF($A362="","",$A362&amp;"|"&amp;$B362&amp;"|"&amp;$C362&amp;"|"&amp;$D362)</f>
        <v/>
      </c>
    </row>
    <row r="363">
      <c r="I363" s="90">
        <f>IF($A363="","",$A363&amp;"|"&amp;$B363&amp;"|"&amp;$C363&amp;"|"&amp;$D363)</f>
        <v/>
      </c>
    </row>
    <row r="364">
      <c r="I364" s="90">
        <f>IF($A364="","",$A364&amp;"|"&amp;$B364&amp;"|"&amp;$C364&amp;"|"&amp;$D364)</f>
        <v/>
      </c>
    </row>
    <row r="365">
      <c r="I365" s="90">
        <f>IF($A365="","",$A365&amp;"|"&amp;$B365&amp;"|"&amp;$C365&amp;"|"&amp;$D365)</f>
        <v/>
      </c>
    </row>
    <row r="366">
      <c r="I366" s="90">
        <f>IF($A366="","",$A366&amp;"|"&amp;$B366&amp;"|"&amp;$C366&amp;"|"&amp;$D366)</f>
        <v/>
      </c>
    </row>
    <row r="367">
      <c r="I367" s="90">
        <f>IF($A367="","",$A367&amp;"|"&amp;$B367&amp;"|"&amp;$C367&amp;"|"&amp;$D367)</f>
        <v/>
      </c>
    </row>
    <row r="368">
      <c r="I368" s="90">
        <f>IF($A368="","",$A368&amp;"|"&amp;$B368&amp;"|"&amp;$C368&amp;"|"&amp;$D368)</f>
        <v/>
      </c>
    </row>
    <row r="369">
      <c r="I369" s="90">
        <f>IF($A369="","",$A369&amp;"|"&amp;$B369&amp;"|"&amp;$C369&amp;"|"&amp;$D369)</f>
        <v/>
      </c>
    </row>
    <row r="370">
      <c r="I370" s="90">
        <f>IF($A370="","",$A370&amp;"|"&amp;$B370&amp;"|"&amp;$C370&amp;"|"&amp;$D370)</f>
        <v/>
      </c>
    </row>
    <row r="371">
      <c r="I371" s="90">
        <f>IF($A371="","",$A371&amp;"|"&amp;$B371&amp;"|"&amp;$C371&amp;"|"&amp;$D371)</f>
        <v/>
      </c>
    </row>
    <row r="372">
      <c r="I372" s="90">
        <f>IF($A372="","",$A372&amp;"|"&amp;$B372&amp;"|"&amp;$C372&amp;"|"&amp;$D372)</f>
        <v/>
      </c>
    </row>
    <row r="373">
      <c r="I373" s="90">
        <f>IF($A373="","",$A373&amp;"|"&amp;$B373&amp;"|"&amp;$C373&amp;"|"&amp;$D373)</f>
        <v/>
      </c>
    </row>
    <row r="374">
      <c r="I374" s="90">
        <f>IF($A374="","",$A374&amp;"|"&amp;$B374&amp;"|"&amp;$C374&amp;"|"&amp;$D374)</f>
        <v/>
      </c>
    </row>
    <row r="375">
      <c r="I375" s="90">
        <f>IF($A375="","",$A375&amp;"|"&amp;$B375&amp;"|"&amp;$C375&amp;"|"&amp;$D375)</f>
        <v/>
      </c>
    </row>
    <row r="376">
      <c r="I376" s="90">
        <f>IF($A376="","",$A376&amp;"|"&amp;$B376&amp;"|"&amp;$C376&amp;"|"&amp;$D376)</f>
        <v/>
      </c>
    </row>
    <row r="377">
      <c r="I377" s="90">
        <f>IF($A377="","",$A377&amp;"|"&amp;$B377&amp;"|"&amp;$C377&amp;"|"&amp;$D377)</f>
        <v/>
      </c>
    </row>
    <row r="378">
      <c r="I378" s="90">
        <f>IF($A378="","",$A378&amp;"|"&amp;$B378&amp;"|"&amp;$C378&amp;"|"&amp;$D378)</f>
        <v/>
      </c>
    </row>
    <row r="379">
      <c r="I379" s="90">
        <f>IF($A379="","",$A379&amp;"|"&amp;$B379&amp;"|"&amp;$C379&amp;"|"&amp;$D379)</f>
        <v/>
      </c>
    </row>
    <row r="380">
      <c r="I380" s="90">
        <f>IF($A380="","",$A380&amp;"|"&amp;$B380&amp;"|"&amp;$C380&amp;"|"&amp;$D380)</f>
        <v/>
      </c>
    </row>
    <row r="381">
      <c r="I381" s="90">
        <f>IF($A381="","",$A381&amp;"|"&amp;$B381&amp;"|"&amp;$C381&amp;"|"&amp;$D381)</f>
        <v/>
      </c>
    </row>
    <row r="382">
      <c r="I382" s="90">
        <f>IF($A382="","",$A382&amp;"|"&amp;$B382&amp;"|"&amp;$C382&amp;"|"&amp;$D382)</f>
        <v/>
      </c>
    </row>
    <row r="383">
      <c r="I383" s="90">
        <f>IF($A383="","",$A383&amp;"|"&amp;$B383&amp;"|"&amp;$C383&amp;"|"&amp;$D383)</f>
        <v/>
      </c>
    </row>
    <row r="384">
      <c r="I384" s="90">
        <f>IF($A384="","",$A384&amp;"|"&amp;$B384&amp;"|"&amp;$C384&amp;"|"&amp;$D384)</f>
        <v/>
      </c>
    </row>
    <row r="385">
      <c r="I385" s="90">
        <f>IF($A385="","",$A385&amp;"|"&amp;$B385&amp;"|"&amp;$C385&amp;"|"&amp;$D385)</f>
        <v/>
      </c>
    </row>
    <row r="386">
      <c r="I386" s="90">
        <f>IF($A386="","",$A386&amp;"|"&amp;$B386&amp;"|"&amp;$C386&amp;"|"&amp;$D386)</f>
        <v/>
      </c>
    </row>
    <row r="387">
      <c r="I387" s="90">
        <f>IF($A387="","",$A387&amp;"|"&amp;$B387&amp;"|"&amp;$C387&amp;"|"&amp;$D387)</f>
        <v/>
      </c>
    </row>
    <row r="388">
      <c r="I388" s="90">
        <f>IF($A388="","",$A388&amp;"|"&amp;$B388&amp;"|"&amp;$C388&amp;"|"&amp;$D388)</f>
        <v/>
      </c>
    </row>
    <row r="389">
      <c r="I389" s="90">
        <f>IF($A389="","",$A389&amp;"|"&amp;$B389&amp;"|"&amp;$C389&amp;"|"&amp;$D389)</f>
        <v/>
      </c>
    </row>
    <row r="390">
      <c r="I390" s="90">
        <f>IF($A390="","",$A390&amp;"|"&amp;$B390&amp;"|"&amp;$C390&amp;"|"&amp;$D390)</f>
        <v/>
      </c>
    </row>
    <row r="391">
      <c r="I391" s="90">
        <f>IF($A391="","",$A391&amp;"|"&amp;$B391&amp;"|"&amp;$C391&amp;"|"&amp;$D391)</f>
        <v/>
      </c>
    </row>
    <row r="392">
      <c r="I392" s="90">
        <f>IF($A392="","",$A392&amp;"|"&amp;$B392&amp;"|"&amp;$C392&amp;"|"&amp;$D392)</f>
        <v/>
      </c>
    </row>
    <row r="393">
      <c r="I393" s="90">
        <f>IF($A393="","",$A393&amp;"|"&amp;$B393&amp;"|"&amp;$C393&amp;"|"&amp;$D393)</f>
        <v/>
      </c>
    </row>
    <row r="394">
      <c r="I394" s="90">
        <f>IF($A394="","",$A394&amp;"|"&amp;$B394&amp;"|"&amp;$C394&amp;"|"&amp;$D394)</f>
        <v/>
      </c>
    </row>
    <row r="395">
      <c r="I395" s="90">
        <f>IF($A395="","",$A395&amp;"|"&amp;$B395&amp;"|"&amp;$C395&amp;"|"&amp;$D395)</f>
        <v/>
      </c>
    </row>
    <row r="396">
      <c r="I396" s="90">
        <f>IF($A396="","",$A396&amp;"|"&amp;$B396&amp;"|"&amp;$C396&amp;"|"&amp;$D396)</f>
        <v/>
      </c>
    </row>
    <row r="397">
      <c r="I397" s="90">
        <f>IF($A397="","",$A397&amp;"|"&amp;$B397&amp;"|"&amp;$C397&amp;"|"&amp;$D397)</f>
        <v/>
      </c>
    </row>
    <row r="398">
      <c r="I398" s="90">
        <f>IF($A398="","",$A398&amp;"|"&amp;$B398&amp;"|"&amp;$C398&amp;"|"&amp;$D398)</f>
        <v/>
      </c>
    </row>
    <row r="399">
      <c r="I399" s="90">
        <f>IF($A399="","",$A399&amp;"|"&amp;$B399&amp;"|"&amp;$C399&amp;"|"&amp;$D399)</f>
        <v/>
      </c>
    </row>
    <row r="400">
      <c r="I400" s="90">
        <f>IF($A400="","",$A400&amp;"|"&amp;$B400&amp;"|"&amp;$C400&amp;"|"&amp;$D400)</f>
        <v/>
      </c>
    </row>
    <row r="401">
      <c r="I401" s="90">
        <f>IF($A401="","",$A401&amp;"|"&amp;$B401&amp;"|"&amp;$C401&amp;"|"&amp;$D401)</f>
        <v/>
      </c>
    </row>
    <row r="402">
      <c r="I402" s="90">
        <f>IF($A402="","",$A402&amp;"|"&amp;$B402&amp;"|"&amp;$C402&amp;"|"&amp;$D402)</f>
        <v/>
      </c>
    </row>
    <row r="403">
      <c r="I403" s="90">
        <f>IF($A403="","",$A403&amp;"|"&amp;$B403&amp;"|"&amp;$C403&amp;"|"&amp;$D403)</f>
        <v/>
      </c>
    </row>
    <row r="404">
      <c r="I404" s="90">
        <f>IF($A404="","",$A404&amp;"|"&amp;$B404&amp;"|"&amp;$C404&amp;"|"&amp;$D404)</f>
        <v/>
      </c>
    </row>
    <row r="405">
      <c r="I405" s="90">
        <f>IF($A405="","",$A405&amp;"|"&amp;$B405&amp;"|"&amp;$C405&amp;"|"&amp;$D405)</f>
        <v/>
      </c>
    </row>
    <row r="406">
      <c r="I406" s="90">
        <f>IF($A406="","",$A406&amp;"|"&amp;$B406&amp;"|"&amp;$C406&amp;"|"&amp;$D406)</f>
        <v/>
      </c>
    </row>
    <row r="407">
      <c r="I407" s="90">
        <f>IF($A407="","",$A407&amp;"|"&amp;$B407&amp;"|"&amp;$C407&amp;"|"&amp;$D407)</f>
        <v/>
      </c>
    </row>
    <row r="408">
      <c r="I408" s="90">
        <f>IF($A408="","",$A408&amp;"|"&amp;$B408&amp;"|"&amp;$C408&amp;"|"&amp;$D408)</f>
        <v/>
      </c>
    </row>
    <row r="409">
      <c r="I409" s="90">
        <f>IF($A409="","",$A409&amp;"|"&amp;$B409&amp;"|"&amp;$C409&amp;"|"&amp;$D409)</f>
        <v/>
      </c>
    </row>
    <row r="410">
      <c r="I410" s="90">
        <f>IF($A410="","",$A410&amp;"|"&amp;$B410&amp;"|"&amp;$C410&amp;"|"&amp;$D410)</f>
        <v/>
      </c>
    </row>
    <row r="411">
      <c r="I411" s="90">
        <f>IF($A411="","",$A411&amp;"|"&amp;$B411&amp;"|"&amp;$C411&amp;"|"&amp;$D411)</f>
        <v/>
      </c>
    </row>
    <row r="412">
      <c r="I412" s="90">
        <f>IF($A412="","",$A412&amp;"|"&amp;$B412&amp;"|"&amp;$C412&amp;"|"&amp;$D412)</f>
        <v/>
      </c>
    </row>
    <row r="413">
      <c r="I413" s="90">
        <f>IF($A413="","",$A413&amp;"|"&amp;$B413&amp;"|"&amp;$C413&amp;"|"&amp;$D413)</f>
        <v/>
      </c>
    </row>
    <row r="414">
      <c r="I414" s="90">
        <f>IF($A414="","",$A414&amp;"|"&amp;$B414&amp;"|"&amp;$C414&amp;"|"&amp;$D414)</f>
        <v/>
      </c>
    </row>
    <row r="415">
      <c r="I415" s="90">
        <f>IF($A415="","",$A415&amp;"|"&amp;$B415&amp;"|"&amp;$C415&amp;"|"&amp;$D415)</f>
        <v/>
      </c>
    </row>
    <row r="416">
      <c r="I416" s="90">
        <f>IF($A416="","",$A416&amp;"|"&amp;$B416&amp;"|"&amp;$C416&amp;"|"&amp;$D416)</f>
        <v/>
      </c>
    </row>
    <row r="417">
      <c r="I417" s="90">
        <f>IF($A417="","",$A417&amp;"|"&amp;$B417&amp;"|"&amp;$C417&amp;"|"&amp;$D417)</f>
        <v/>
      </c>
    </row>
    <row r="418">
      <c r="I418" s="90">
        <f>IF($A418="","",$A418&amp;"|"&amp;$B418&amp;"|"&amp;$C418&amp;"|"&amp;$D418)</f>
        <v/>
      </c>
    </row>
    <row r="419">
      <c r="I419" s="90">
        <f>IF($A419="","",$A419&amp;"|"&amp;$B419&amp;"|"&amp;$C419&amp;"|"&amp;$D419)</f>
        <v/>
      </c>
    </row>
    <row r="420">
      <c r="I420" s="90">
        <f>IF($A420="","",$A420&amp;"|"&amp;$B420&amp;"|"&amp;$C420&amp;"|"&amp;$D420)</f>
        <v/>
      </c>
    </row>
    <row r="421">
      <c r="I421" s="90">
        <f>IF($A421="","",$A421&amp;"|"&amp;$B421&amp;"|"&amp;$C421&amp;"|"&amp;$D421)</f>
        <v/>
      </c>
    </row>
    <row r="422">
      <c r="I422" s="90">
        <f>IF($A422="","",$A422&amp;"|"&amp;$B422&amp;"|"&amp;$C422&amp;"|"&amp;$D422)</f>
        <v/>
      </c>
    </row>
    <row r="423">
      <c r="I423" s="90">
        <f>IF($A423="","",$A423&amp;"|"&amp;$B423&amp;"|"&amp;$C423&amp;"|"&amp;$D423)</f>
        <v/>
      </c>
    </row>
    <row r="424">
      <c r="I424" s="90">
        <f>IF($A424="","",$A424&amp;"|"&amp;$B424&amp;"|"&amp;$C424&amp;"|"&amp;$D424)</f>
        <v/>
      </c>
    </row>
    <row r="425">
      <c r="I425" s="90">
        <f>IF($A425="","",$A425&amp;"|"&amp;$B425&amp;"|"&amp;$C425&amp;"|"&amp;$D425)</f>
        <v/>
      </c>
    </row>
    <row r="426">
      <c r="I426" s="90">
        <f>IF($A426="","",$A426&amp;"|"&amp;$B426&amp;"|"&amp;$C426&amp;"|"&amp;$D426)</f>
        <v/>
      </c>
    </row>
    <row r="427">
      <c r="I427" s="90">
        <f>IF($A427="","",$A427&amp;"|"&amp;$B427&amp;"|"&amp;$C427&amp;"|"&amp;$D427)</f>
        <v/>
      </c>
    </row>
    <row r="428">
      <c r="I428" s="90">
        <f>IF($A428="","",$A428&amp;"|"&amp;$B428&amp;"|"&amp;$C428&amp;"|"&amp;$D428)</f>
        <v/>
      </c>
    </row>
    <row r="429">
      <c r="I429" s="90">
        <f>IF($A429="","",$A429&amp;"|"&amp;$B429&amp;"|"&amp;$C429&amp;"|"&amp;$D429)</f>
        <v/>
      </c>
    </row>
    <row r="430">
      <c r="I430" s="90">
        <f>IF($A430="","",$A430&amp;"|"&amp;$B430&amp;"|"&amp;$C430&amp;"|"&amp;$D430)</f>
        <v/>
      </c>
    </row>
    <row r="431">
      <c r="I431" s="90">
        <f>IF($A431="","",$A431&amp;"|"&amp;$B431&amp;"|"&amp;$C431&amp;"|"&amp;$D431)</f>
        <v/>
      </c>
    </row>
    <row r="432">
      <c r="I432" s="90">
        <f>IF($A432="","",$A432&amp;"|"&amp;$B432&amp;"|"&amp;$C432&amp;"|"&amp;$D432)</f>
        <v/>
      </c>
    </row>
    <row r="433">
      <c r="I433" s="90">
        <f>IF($A433="","",$A433&amp;"|"&amp;$B433&amp;"|"&amp;$C433&amp;"|"&amp;$D433)</f>
        <v/>
      </c>
    </row>
    <row r="434">
      <c r="I434" s="90">
        <f>IF($A434="","",$A434&amp;"|"&amp;$B434&amp;"|"&amp;$C434&amp;"|"&amp;$D434)</f>
        <v/>
      </c>
    </row>
    <row r="435">
      <c r="I435" s="90">
        <f>IF($A435="","",$A435&amp;"|"&amp;$B435&amp;"|"&amp;$C435&amp;"|"&amp;$D435)</f>
        <v/>
      </c>
    </row>
    <row r="436">
      <c r="I436" s="90">
        <f>IF($A436="","",$A436&amp;"|"&amp;$B436&amp;"|"&amp;$C436&amp;"|"&amp;$D436)</f>
        <v/>
      </c>
    </row>
    <row r="437">
      <c r="I437" s="90">
        <f>IF($A437="","",$A437&amp;"|"&amp;$B437&amp;"|"&amp;$C437&amp;"|"&amp;$D437)</f>
        <v/>
      </c>
    </row>
    <row r="438">
      <c r="I438" s="90">
        <f>IF($A438="","",$A438&amp;"|"&amp;$B438&amp;"|"&amp;$C438&amp;"|"&amp;$D438)</f>
        <v/>
      </c>
    </row>
    <row r="439">
      <c r="I439" s="90">
        <f>IF($A439="","",$A439&amp;"|"&amp;$B439&amp;"|"&amp;$C439&amp;"|"&amp;$D439)</f>
        <v/>
      </c>
    </row>
    <row r="440">
      <c r="I440" s="90">
        <f>IF($A440="","",$A440&amp;"|"&amp;$B440&amp;"|"&amp;$C440&amp;"|"&amp;$D440)</f>
        <v/>
      </c>
    </row>
    <row r="441">
      <c r="I441" s="90">
        <f>IF($A441="","",$A441&amp;"|"&amp;$B441&amp;"|"&amp;$C441&amp;"|"&amp;$D441)</f>
        <v/>
      </c>
    </row>
    <row r="442">
      <c r="I442" s="90">
        <f>IF($A442="","",$A442&amp;"|"&amp;$B442&amp;"|"&amp;$C442&amp;"|"&amp;$D442)</f>
        <v/>
      </c>
    </row>
    <row r="443">
      <c r="I443" s="90">
        <f>IF($A443="","",$A443&amp;"|"&amp;$B443&amp;"|"&amp;$C443&amp;"|"&amp;$D443)</f>
        <v/>
      </c>
    </row>
    <row r="444">
      <c r="I444" s="90">
        <f>IF($A444="","",$A444&amp;"|"&amp;$B444&amp;"|"&amp;$C444&amp;"|"&amp;$D444)</f>
        <v/>
      </c>
    </row>
    <row r="445">
      <c r="I445" s="90">
        <f>IF($A445="","",$A445&amp;"|"&amp;$B445&amp;"|"&amp;$C445&amp;"|"&amp;$D445)</f>
        <v/>
      </c>
    </row>
    <row r="446">
      <c r="I446" s="90">
        <f>IF($A446="","",$A446&amp;"|"&amp;$B446&amp;"|"&amp;$C446&amp;"|"&amp;$D446)</f>
        <v/>
      </c>
    </row>
    <row r="447">
      <c r="I447" s="90">
        <f>IF($A447="","",$A447&amp;"|"&amp;$B447&amp;"|"&amp;$C447&amp;"|"&amp;$D447)</f>
        <v/>
      </c>
    </row>
    <row r="448">
      <c r="I448" s="90">
        <f>IF($A448="","",$A448&amp;"|"&amp;$B448&amp;"|"&amp;$C448&amp;"|"&amp;$D448)</f>
        <v/>
      </c>
    </row>
    <row r="449">
      <c r="I449" s="90">
        <f>IF($A449="","",$A449&amp;"|"&amp;$B449&amp;"|"&amp;$C449&amp;"|"&amp;$D449)</f>
        <v/>
      </c>
    </row>
    <row r="450">
      <c r="I450" s="90">
        <f>IF($A450="","",$A450&amp;"|"&amp;$B450&amp;"|"&amp;$C450&amp;"|"&amp;$D450)</f>
        <v/>
      </c>
    </row>
    <row r="451">
      <c r="I451" s="90">
        <f>IF($A451="","",$A451&amp;"|"&amp;$B451&amp;"|"&amp;$C451&amp;"|"&amp;$D451)</f>
        <v/>
      </c>
    </row>
    <row r="452">
      <c r="I452" s="90">
        <f>IF($A452="","",$A452&amp;"|"&amp;$B452&amp;"|"&amp;$C452&amp;"|"&amp;$D452)</f>
        <v/>
      </c>
    </row>
    <row r="453">
      <c r="I453" s="90">
        <f>IF($A453="","",$A453&amp;"|"&amp;$B453&amp;"|"&amp;$C453&amp;"|"&amp;$D453)</f>
        <v/>
      </c>
    </row>
    <row r="454">
      <c r="I454" s="90">
        <f>IF($A454="","",$A454&amp;"|"&amp;$B454&amp;"|"&amp;$C454&amp;"|"&amp;$D454)</f>
        <v/>
      </c>
    </row>
    <row r="455">
      <c r="I455" s="90">
        <f>IF($A455="","",$A455&amp;"|"&amp;$B455&amp;"|"&amp;$C455&amp;"|"&amp;$D455)</f>
        <v/>
      </c>
    </row>
    <row r="456">
      <c r="I456" s="90">
        <f>IF($A456="","",$A456&amp;"|"&amp;$B456&amp;"|"&amp;$C456&amp;"|"&amp;$D456)</f>
        <v/>
      </c>
    </row>
    <row r="457">
      <c r="I457" s="90">
        <f>IF($A457="","",$A457&amp;"|"&amp;$B457&amp;"|"&amp;$C457&amp;"|"&amp;$D457)</f>
        <v/>
      </c>
    </row>
    <row r="458">
      <c r="I458" s="90">
        <f>IF($A458="","",$A458&amp;"|"&amp;$B458&amp;"|"&amp;$C458&amp;"|"&amp;$D458)</f>
        <v/>
      </c>
    </row>
    <row r="459">
      <c r="I459" s="90">
        <f>IF($A459="","",$A459&amp;"|"&amp;$B459&amp;"|"&amp;$C459&amp;"|"&amp;$D459)</f>
        <v/>
      </c>
    </row>
    <row r="460">
      <c r="I460" s="90">
        <f>IF($A460="","",$A460&amp;"|"&amp;$B460&amp;"|"&amp;$C460&amp;"|"&amp;$D460)</f>
        <v/>
      </c>
    </row>
    <row r="461">
      <c r="I461" s="90">
        <f>IF($A461="","",$A461&amp;"|"&amp;$B461&amp;"|"&amp;$C461&amp;"|"&amp;$D461)</f>
        <v/>
      </c>
    </row>
    <row r="462">
      <c r="I462" s="90">
        <f>IF($A462="","",$A462&amp;"|"&amp;$B462&amp;"|"&amp;$C462&amp;"|"&amp;$D462)</f>
        <v/>
      </c>
    </row>
    <row r="463">
      <c r="I463" s="90">
        <f>IF($A463="","",$A463&amp;"|"&amp;$B463&amp;"|"&amp;$C463&amp;"|"&amp;$D463)</f>
        <v/>
      </c>
    </row>
    <row r="464">
      <c r="I464" s="90">
        <f>IF($A464="","",$A464&amp;"|"&amp;$B464&amp;"|"&amp;$C464&amp;"|"&amp;$D464)</f>
        <v/>
      </c>
    </row>
    <row r="465">
      <c r="I465" s="90">
        <f>IF($A465="","",$A465&amp;"|"&amp;$B465&amp;"|"&amp;$C465&amp;"|"&amp;$D465)</f>
        <v/>
      </c>
    </row>
    <row r="466">
      <c r="I466" s="90">
        <f>IF($A466="","",$A466&amp;"|"&amp;$B466&amp;"|"&amp;$C466&amp;"|"&amp;$D466)</f>
        <v/>
      </c>
    </row>
    <row r="467">
      <c r="I467" s="90">
        <f>IF($A467="","",$A467&amp;"|"&amp;$B467&amp;"|"&amp;$C467&amp;"|"&amp;$D467)</f>
        <v/>
      </c>
    </row>
    <row r="468">
      <c r="I468" s="90">
        <f>IF($A468="","",$A468&amp;"|"&amp;$B468&amp;"|"&amp;$C468&amp;"|"&amp;$D468)</f>
        <v/>
      </c>
    </row>
    <row r="469">
      <c r="I469" s="90">
        <f>IF($A469="","",$A469&amp;"|"&amp;$B469&amp;"|"&amp;$C469&amp;"|"&amp;$D469)</f>
        <v/>
      </c>
    </row>
    <row r="470">
      <c r="I470" s="90">
        <f>IF($A470="","",$A470&amp;"|"&amp;$B470&amp;"|"&amp;$C470&amp;"|"&amp;$D470)</f>
        <v/>
      </c>
    </row>
    <row r="471">
      <c r="I471" s="90">
        <f>IF($A471="","",$A471&amp;"|"&amp;$B471&amp;"|"&amp;$C471&amp;"|"&amp;$D471)</f>
        <v/>
      </c>
    </row>
    <row r="472">
      <c r="I472" s="90">
        <f>IF($A472="","",$A472&amp;"|"&amp;$B472&amp;"|"&amp;$C472&amp;"|"&amp;$D472)</f>
        <v/>
      </c>
    </row>
    <row r="473">
      <c r="I473" s="90">
        <f>IF($A473="","",$A473&amp;"|"&amp;$B473&amp;"|"&amp;$C473&amp;"|"&amp;$D473)</f>
        <v/>
      </c>
    </row>
    <row r="474">
      <c r="I474" s="90">
        <f>IF($A474="","",$A474&amp;"|"&amp;$B474&amp;"|"&amp;$C474&amp;"|"&amp;$D474)</f>
        <v/>
      </c>
    </row>
    <row r="475">
      <c r="I475" s="90">
        <f>IF($A475="","",$A475&amp;"|"&amp;$B475&amp;"|"&amp;$C475&amp;"|"&amp;$D475)</f>
        <v/>
      </c>
    </row>
    <row r="476">
      <c r="I476" s="90">
        <f>IF($A476="","",$A476&amp;"|"&amp;$B476&amp;"|"&amp;$C476&amp;"|"&amp;$D476)</f>
        <v/>
      </c>
    </row>
    <row r="477">
      <c r="I477" s="90">
        <f>IF($A477="","",$A477&amp;"|"&amp;$B477&amp;"|"&amp;$C477&amp;"|"&amp;$D477)</f>
        <v/>
      </c>
    </row>
    <row r="478">
      <c r="I478" s="90">
        <f>IF($A478="","",$A478&amp;"|"&amp;$B478&amp;"|"&amp;$C478&amp;"|"&amp;$D478)</f>
        <v/>
      </c>
    </row>
    <row r="479">
      <c r="I479" s="90">
        <f>IF($A479="","",$A479&amp;"|"&amp;$B479&amp;"|"&amp;$C479&amp;"|"&amp;$D479)</f>
        <v/>
      </c>
    </row>
    <row r="480">
      <c r="I480" s="90">
        <f>IF($A480="","",$A480&amp;"|"&amp;$B480&amp;"|"&amp;$C480&amp;"|"&amp;$D480)</f>
        <v/>
      </c>
    </row>
    <row r="481">
      <c r="I481" s="90">
        <f>IF($A481="","",$A481&amp;"|"&amp;$B481&amp;"|"&amp;$C481&amp;"|"&amp;$D481)</f>
        <v/>
      </c>
    </row>
    <row r="482">
      <c r="I482" s="90">
        <f>IF($A482="","",$A482&amp;"|"&amp;$B482&amp;"|"&amp;$C482&amp;"|"&amp;$D482)</f>
        <v/>
      </c>
    </row>
    <row r="483">
      <c r="I483" s="90">
        <f>IF($A483="","",$A483&amp;"|"&amp;$B483&amp;"|"&amp;$C483&amp;"|"&amp;$D483)</f>
        <v/>
      </c>
    </row>
    <row r="484">
      <c r="I484" s="90">
        <f>IF($A484="","",$A484&amp;"|"&amp;$B484&amp;"|"&amp;$C484&amp;"|"&amp;$D484)</f>
        <v/>
      </c>
    </row>
    <row r="485">
      <c r="I485" s="90">
        <f>IF($A485="","",$A485&amp;"|"&amp;$B485&amp;"|"&amp;$C485&amp;"|"&amp;$D485)</f>
        <v/>
      </c>
    </row>
    <row r="486">
      <c r="I486" s="90">
        <f>IF($A486="","",$A486&amp;"|"&amp;$B486&amp;"|"&amp;$C486&amp;"|"&amp;$D486)</f>
        <v/>
      </c>
    </row>
    <row r="487">
      <c r="I487" s="90">
        <f>IF($A487="","",$A487&amp;"|"&amp;$B487&amp;"|"&amp;$C487&amp;"|"&amp;$D487)</f>
        <v/>
      </c>
    </row>
    <row r="488">
      <c r="I488" s="90">
        <f>IF($A488="","",$A488&amp;"|"&amp;$B488&amp;"|"&amp;$C488&amp;"|"&amp;$D488)</f>
        <v/>
      </c>
    </row>
    <row r="489">
      <c r="I489" s="90">
        <f>IF($A489="","",$A489&amp;"|"&amp;$B489&amp;"|"&amp;$C489&amp;"|"&amp;$D489)</f>
        <v/>
      </c>
    </row>
    <row r="490">
      <c r="I490" s="90">
        <f>IF($A490="","",$A490&amp;"|"&amp;$B490&amp;"|"&amp;$C490&amp;"|"&amp;$D490)</f>
        <v/>
      </c>
    </row>
    <row r="491">
      <c r="I491" s="90">
        <f>IF($A491="","",$A491&amp;"|"&amp;$B491&amp;"|"&amp;$C491&amp;"|"&amp;$D491)</f>
        <v/>
      </c>
    </row>
    <row r="492">
      <c r="I492" s="90">
        <f>IF($A492="","",$A492&amp;"|"&amp;$B492&amp;"|"&amp;$C492&amp;"|"&amp;$D492)</f>
        <v/>
      </c>
    </row>
    <row r="493">
      <c r="I493" s="90">
        <f>IF($A493="","",$A493&amp;"|"&amp;$B493&amp;"|"&amp;$C493&amp;"|"&amp;$D493)</f>
        <v/>
      </c>
    </row>
    <row r="494">
      <c r="I494" s="90">
        <f>IF($A494="","",$A494&amp;"|"&amp;$B494&amp;"|"&amp;$C494&amp;"|"&amp;$D494)</f>
        <v/>
      </c>
    </row>
    <row r="495">
      <c r="I495" s="90">
        <f>IF($A495="","",$A495&amp;"|"&amp;$B495&amp;"|"&amp;$C495&amp;"|"&amp;$D495)</f>
        <v/>
      </c>
    </row>
    <row r="496">
      <c r="I496" s="90">
        <f>IF($A496="","",$A496&amp;"|"&amp;$B496&amp;"|"&amp;$C496&amp;"|"&amp;$D496)</f>
        <v/>
      </c>
    </row>
    <row r="497">
      <c r="I497" s="90">
        <f>IF($A497="","",$A497&amp;"|"&amp;$B497&amp;"|"&amp;$C497&amp;"|"&amp;$D497)</f>
        <v/>
      </c>
    </row>
    <row r="498">
      <c r="I498" s="90">
        <f>IF($A498="","",$A498&amp;"|"&amp;$B498&amp;"|"&amp;$C498&amp;"|"&amp;$D498)</f>
        <v/>
      </c>
    </row>
    <row r="499">
      <c r="I499" s="90">
        <f>IF($A499="","",$A499&amp;"|"&amp;$B499&amp;"|"&amp;$C499&amp;"|"&amp;$D499)</f>
        <v/>
      </c>
    </row>
    <row r="500">
      <c r="I500" s="90">
        <f>IF($A500="","",$A500&amp;"|"&amp;$B500&amp;"|"&amp;$C500&amp;"|"&amp;$D500)</f>
        <v/>
      </c>
    </row>
    <row r="501">
      <c r="I501" s="90">
        <f>IF($A501="","",$A501&amp;"|"&amp;$B501&amp;"|"&amp;$C501&amp;"|"&amp;$D501)</f>
        <v/>
      </c>
    </row>
    <row r="502">
      <c r="I502" s="90">
        <f>IF($A502="","",$A502&amp;"|"&amp;$B502&amp;"|"&amp;$C502&amp;"|"&amp;$D502)</f>
        <v/>
      </c>
    </row>
    <row r="503">
      <c r="I503" s="90">
        <f>IF($A503="","",$A503&amp;"|"&amp;$B503&amp;"|"&amp;$C503&amp;"|"&amp;$D503)</f>
        <v/>
      </c>
    </row>
    <row r="504">
      <c r="I504" s="90">
        <f>IF($A504="","",$A504&amp;"|"&amp;$B504&amp;"|"&amp;$C504&amp;"|"&amp;$D504)</f>
        <v/>
      </c>
    </row>
    <row r="505">
      <c r="I505" s="90">
        <f>IF($A505="","",$A505&amp;"|"&amp;$B505&amp;"|"&amp;$C505&amp;"|"&amp;$D505)</f>
        <v/>
      </c>
    </row>
    <row r="506">
      <c r="I506" s="90">
        <f>IF($A506="","",$A506&amp;"|"&amp;$B506&amp;"|"&amp;$C506&amp;"|"&amp;$D506)</f>
        <v/>
      </c>
    </row>
    <row r="507">
      <c r="I507" s="90">
        <f>IF($A507="","",$A507&amp;"|"&amp;$B507&amp;"|"&amp;$C507&amp;"|"&amp;$D507)</f>
        <v/>
      </c>
    </row>
    <row r="508">
      <c r="I508" s="90">
        <f>IF($A508="","",$A508&amp;"|"&amp;$B508&amp;"|"&amp;$C508&amp;"|"&amp;$D508)</f>
        <v/>
      </c>
    </row>
    <row r="509">
      <c r="I509" s="90">
        <f>IF($A509="","",$A509&amp;"|"&amp;$B509&amp;"|"&amp;$C509&amp;"|"&amp;$D509)</f>
        <v/>
      </c>
    </row>
    <row r="510">
      <c r="I510" s="90">
        <f>IF($A510="","",$A510&amp;"|"&amp;$B510&amp;"|"&amp;$C510&amp;"|"&amp;$D510)</f>
        <v/>
      </c>
    </row>
    <row r="511">
      <c r="I511" s="90">
        <f>IF($A511="","",$A511&amp;"|"&amp;$B511&amp;"|"&amp;$C511&amp;"|"&amp;$D511)</f>
        <v/>
      </c>
    </row>
    <row r="512">
      <c r="I512" s="90">
        <f>IF($A512="","",$A512&amp;"|"&amp;$B512&amp;"|"&amp;$C512&amp;"|"&amp;$D512)</f>
        <v/>
      </c>
    </row>
    <row r="513">
      <c r="I513" s="90">
        <f>IF($A513="","",$A513&amp;"|"&amp;$B513&amp;"|"&amp;$C513&amp;"|"&amp;$D513)</f>
        <v/>
      </c>
    </row>
    <row r="514">
      <c r="I514" s="90">
        <f>IF($A514="","",$A514&amp;"|"&amp;$B514&amp;"|"&amp;$C514&amp;"|"&amp;$D514)</f>
        <v/>
      </c>
    </row>
    <row r="515">
      <c r="I515" s="90">
        <f>IF($A515="","",$A515&amp;"|"&amp;$B515&amp;"|"&amp;$C515&amp;"|"&amp;$D515)</f>
        <v/>
      </c>
    </row>
    <row r="516">
      <c r="I516" s="90">
        <f>IF($A516="","",$A516&amp;"|"&amp;$B516&amp;"|"&amp;$C516&amp;"|"&amp;$D516)</f>
        <v/>
      </c>
    </row>
    <row r="517">
      <c r="I517" s="90">
        <f>IF($A517="","",$A517&amp;"|"&amp;$B517&amp;"|"&amp;$C517&amp;"|"&amp;$D517)</f>
        <v/>
      </c>
    </row>
    <row r="518">
      <c r="I518" s="90">
        <f>IF($A518="","",$A518&amp;"|"&amp;$B518&amp;"|"&amp;$C518&amp;"|"&amp;$D518)</f>
        <v/>
      </c>
    </row>
    <row r="519">
      <c r="I519" s="90">
        <f>IF($A519="","",$A519&amp;"|"&amp;$B519&amp;"|"&amp;$C519&amp;"|"&amp;$D519)</f>
        <v/>
      </c>
    </row>
    <row r="520">
      <c r="I520" s="90">
        <f>IF($A520="","",$A520&amp;"|"&amp;$B520&amp;"|"&amp;$C520&amp;"|"&amp;$D520)</f>
        <v/>
      </c>
    </row>
    <row r="521">
      <c r="I521" s="90">
        <f>IF($A521="","",$A521&amp;"|"&amp;$B521&amp;"|"&amp;$C521&amp;"|"&amp;$D521)</f>
        <v/>
      </c>
    </row>
    <row r="522">
      <c r="I522" s="90">
        <f>IF($A522="","",$A522&amp;"|"&amp;$B522&amp;"|"&amp;$C522&amp;"|"&amp;$D522)</f>
        <v/>
      </c>
    </row>
    <row r="523">
      <c r="I523" s="90">
        <f>IF($A523="","",$A523&amp;"|"&amp;$B523&amp;"|"&amp;$C523&amp;"|"&amp;$D523)</f>
        <v/>
      </c>
    </row>
    <row r="524">
      <c r="I524" s="90">
        <f>IF($A524="","",$A524&amp;"|"&amp;$B524&amp;"|"&amp;$C524&amp;"|"&amp;$D524)</f>
        <v/>
      </c>
    </row>
    <row r="525">
      <c r="I525" s="90">
        <f>IF($A525="","",$A525&amp;"|"&amp;$B525&amp;"|"&amp;$C525&amp;"|"&amp;$D525)</f>
        <v/>
      </c>
    </row>
    <row r="526">
      <c r="I526" s="90">
        <f>IF($A526="","",$A526&amp;"|"&amp;$B526&amp;"|"&amp;$C526&amp;"|"&amp;$D526)</f>
        <v/>
      </c>
    </row>
    <row r="527">
      <c r="I527" s="90">
        <f>IF($A527="","",$A527&amp;"|"&amp;$B527&amp;"|"&amp;$C527&amp;"|"&amp;$D527)</f>
        <v/>
      </c>
    </row>
    <row r="528">
      <c r="I528" s="90">
        <f>IF($A528="","",$A528&amp;"|"&amp;$B528&amp;"|"&amp;$C528&amp;"|"&amp;$D528)</f>
        <v/>
      </c>
    </row>
    <row r="529">
      <c r="I529" s="90">
        <f>IF($A529="","",$A529&amp;"|"&amp;$B529&amp;"|"&amp;$C529&amp;"|"&amp;$D529)</f>
        <v/>
      </c>
    </row>
    <row r="530">
      <c r="I530" s="90">
        <f>IF($A530="","",$A530&amp;"|"&amp;$B530&amp;"|"&amp;$C530&amp;"|"&amp;$D530)</f>
        <v/>
      </c>
    </row>
    <row r="531">
      <c r="I531" s="90">
        <f>IF($A531="","",$A531&amp;"|"&amp;$B531&amp;"|"&amp;$C531&amp;"|"&amp;$D531)</f>
        <v/>
      </c>
    </row>
    <row r="532">
      <c r="I532" s="90">
        <f>IF($A532="","",$A532&amp;"|"&amp;$B532&amp;"|"&amp;$C532&amp;"|"&amp;$D532)</f>
        <v/>
      </c>
    </row>
    <row r="533">
      <c r="I533" s="90">
        <f>IF($A533="","",$A533&amp;"|"&amp;$B533&amp;"|"&amp;$C533&amp;"|"&amp;$D533)</f>
        <v/>
      </c>
    </row>
    <row r="534">
      <c r="I534" s="90">
        <f>IF($A534="","",$A534&amp;"|"&amp;$B534&amp;"|"&amp;$C534&amp;"|"&amp;$D534)</f>
        <v/>
      </c>
    </row>
    <row r="535">
      <c r="I535" s="90">
        <f>IF($A535="","",$A535&amp;"|"&amp;$B535&amp;"|"&amp;$C535&amp;"|"&amp;$D535)</f>
        <v/>
      </c>
    </row>
    <row r="536">
      <c r="I536" s="90">
        <f>IF($A536="","",$A536&amp;"|"&amp;$B536&amp;"|"&amp;$C536&amp;"|"&amp;$D536)</f>
        <v/>
      </c>
    </row>
    <row r="537">
      <c r="I537" s="90">
        <f>IF($A537="","",$A537&amp;"|"&amp;$B537&amp;"|"&amp;$C537&amp;"|"&amp;$D537)</f>
        <v/>
      </c>
    </row>
    <row r="538">
      <c r="I538" s="90">
        <f>IF($A538="","",$A538&amp;"|"&amp;$B538&amp;"|"&amp;$C538&amp;"|"&amp;$D538)</f>
        <v/>
      </c>
    </row>
    <row r="539">
      <c r="I539" s="90">
        <f>IF($A539="","",$A539&amp;"|"&amp;$B539&amp;"|"&amp;$C539&amp;"|"&amp;$D539)</f>
        <v/>
      </c>
    </row>
    <row r="540">
      <c r="I540" s="90">
        <f>IF($A540="","",$A540&amp;"|"&amp;$B540&amp;"|"&amp;$C540&amp;"|"&amp;$D540)</f>
        <v/>
      </c>
    </row>
    <row r="541">
      <c r="I541" s="90">
        <f>IF($A541="","",$A541&amp;"|"&amp;$B541&amp;"|"&amp;$C541&amp;"|"&amp;$D541)</f>
        <v/>
      </c>
    </row>
    <row r="542">
      <c r="I542" s="90">
        <f>IF($A542="","",$A542&amp;"|"&amp;$B542&amp;"|"&amp;$C542&amp;"|"&amp;$D542)</f>
        <v/>
      </c>
    </row>
    <row r="543">
      <c r="I543" s="90">
        <f>IF($A543="","",$A543&amp;"|"&amp;$B543&amp;"|"&amp;$C543&amp;"|"&amp;$D543)</f>
        <v/>
      </c>
    </row>
    <row r="544">
      <c r="I544" s="90">
        <f>IF($A544="","",$A544&amp;"|"&amp;$B544&amp;"|"&amp;$C544&amp;"|"&amp;$D544)</f>
        <v/>
      </c>
    </row>
    <row r="545">
      <c r="I545" s="90">
        <f>IF($A545="","",$A545&amp;"|"&amp;$B545&amp;"|"&amp;$C545&amp;"|"&amp;$D545)</f>
        <v/>
      </c>
    </row>
    <row r="546">
      <c r="I546" s="90">
        <f>IF($A546="","",$A546&amp;"|"&amp;$B546&amp;"|"&amp;$C546&amp;"|"&amp;$D546)</f>
        <v/>
      </c>
    </row>
    <row r="547">
      <c r="I547" s="90">
        <f>IF($A547="","",$A547&amp;"|"&amp;$B547&amp;"|"&amp;$C547&amp;"|"&amp;$D547)</f>
        <v/>
      </c>
    </row>
    <row r="548">
      <c r="I548" s="90">
        <f>IF($A548="","",$A548&amp;"|"&amp;$B548&amp;"|"&amp;$C548&amp;"|"&amp;$D548)</f>
        <v/>
      </c>
    </row>
    <row r="549">
      <c r="I549" s="90">
        <f>IF($A549="","",$A549&amp;"|"&amp;$B549&amp;"|"&amp;$C549&amp;"|"&amp;$D549)</f>
        <v/>
      </c>
    </row>
    <row r="550">
      <c r="I550" s="90">
        <f>IF($A550="","",$A550&amp;"|"&amp;$B550&amp;"|"&amp;$C550&amp;"|"&amp;$D550)</f>
        <v/>
      </c>
    </row>
    <row r="551">
      <c r="I551" s="90">
        <f>IF($A551="","",$A551&amp;"|"&amp;$B551&amp;"|"&amp;$C551&amp;"|"&amp;$D551)</f>
        <v/>
      </c>
    </row>
    <row r="552">
      <c r="I552" s="90">
        <f>IF($A552="","",$A552&amp;"|"&amp;$B552&amp;"|"&amp;$C552&amp;"|"&amp;$D552)</f>
        <v/>
      </c>
    </row>
    <row r="553">
      <c r="I553" s="90">
        <f>IF($A553="","",$A553&amp;"|"&amp;$B553&amp;"|"&amp;$C553&amp;"|"&amp;$D553)</f>
        <v/>
      </c>
    </row>
    <row r="554">
      <c r="I554" s="90">
        <f>IF($A554="","",$A554&amp;"|"&amp;$B554&amp;"|"&amp;$C554&amp;"|"&amp;$D554)</f>
        <v/>
      </c>
    </row>
    <row r="555">
      <c r="I555" s="90">
        <f>IF($A555="","",$A555&amp;"|"&amp;$B555&amp;"|"&amp;$C555&amp;"|"&amp;$D555)</f>
        <v/>
      </c>
    </row>
    <row r="556">
      <c r="I556" s="90">
        <f>IF($A556="","",$A556&amp;"|"&amp;$B556&amp;"|"&amp;$C556&amp;"|"&amp;$D556)</f>
        <v/>
      </c>
    </row>
    <row r="557">
      <c r="I557" s="90">
        <f>IF($A557="","",$A557&amp;"|"&amp;$B557&amp;"|"&amp;$C557&amp;"|"&amp;$D557)</f>
        <v/>
      </c>
    </row>
    <row r="558">
      <c r="I558" s="90">
        <f>IF($A558="","",$A558&amp;"|"&amp;$B558&amp;"|"&amp;$C558&amp;"|"&amp;$D558)</f>
        <v/>
      </c>
    </row>
    <row r="559">
      <c r="I559" s="90">
        <f>IF($A559="","",$A559&amp;"|"&amp;$B559&amp;"|"&amp;$C559&amp;"|"&amp;$D559)</f>
        <v/>
      </c>
    </row>
    <row r="560">
      <c r="I560" s="90">
        <f>IF($A560="","",$A560&amp;"|"&amp;$B560&amp;"|"&amp;$C560&amp;"|"&amp;$D560)</f>
        <v/>
      </c>
    </row>
    <row r="561">
      <c r="I561" s="90">
        <f>IF($A561="","",$A561&amp;"|"&amp;$B561&amp;"|"&amp;$C561&amp;"|"&amp;$D561)</f>
        <v/>
      </c>
    </row>
    <row r="562">
      <c r="I562" s="90">
        <f>IF($A562="","",$A562&amp;"|"&amp;$B562&amp;"|"&amp;$C562&amp;"|"&amp;$D562)</f>
        <v/>
      </c>
    </row>
    <row r="563">
      <c r="I563" s="90">
        <f>IF($A563="","",$A563&amp;"|"&amp;$B563&amp;"|"&amp;$C563&amp;"|"&amp;$D563)</f>
        <v/>
      </c>
    </row>
    <row r="564">
      <c r="I564" s="90">
        <f>IF($A564="","",$A564&amp;"|"&amp;$B564&amp;"|"&amp;$C564&amp;"|"&amp;$D564)</f>
        <v/>
      </c>
    </row>
    <row r="565">
      <c r="I565" s="90">
        <f>IF($A565="","",$A565&amp;"|"&amp;$B565&amp;"|"&amp;$C565&amp;"|"&amp;$D565)</f>
        <v/>
      </c>
    </row>
    <row r="566">
      <c r="I566" s="90">
        <f>IF($A566="","",$A566&amp;"|"&amp;$B566&amp;"|"&amp;$C566&amp;"|"&amp;$D566)</f>
        <v/>
      </c>
    </row>
    <row r="567">
      <c r="I567" s="90">
        <f>IF($A567="","",$A567&amp;"|"&amp;$B567&amp;"|"&amp;$C567&amp;"|"&amp;$D567)</f>
        <v/>
      </c>
    </row>
    <row r="568">
      <c r="I568" s="90">
        <f>IF($A568="","",$A568&amp;"|"&amp;$B568&amp;"|"&amp;$C568&amp;"|"&amp;$D568)</f>
        <v/>
      </c>
    </row>
    <row r="569">
      <c r="I569" s="90">
        <f>IF($A569="","",$A569&amp;"|"&amp;$B569&amp;"|"&amp;$C569&amp;"|"&amp;$D569)</f>
        <v/>
      </c>
    </row>
    <row r="570">
      <c r="I570" s="90">
        <f>IF($A570="","",$A570&amp;"|"&amp;$B570&amp;"|"&amp;$C570&amp;"|"&amp;$D570)</f>
        <v/>
      </c>
    </row>
    <row r="571">
      <c r="I571" s="90">
        <f>IF($A571="","",$A571&amp;"|"&amp;$B571&amp;"|"&amp;$C571&amp;"|"&amp;$D571)</f>
        <v/>
      </c>
    </row>
    <row r="572">
      <c r="I572" s="90">
        <f>IF($A572="","",$A572&amp;"|"&amp;$B572&amp;"|"&amp;$C572&amp;"|"&amp;$D572)</f>
        <v/>
      </c>
    </row>
    <row r="573">
      <c r="I573" s="90">
        <f>IF($A573="","",$A573&amp;"|"&amp;$B573&amp;"|"&amp;$C573&amp;"|"&amp;$D573)</f>
        <v/>
      </c>
    </row>
    <row r="574">
      <c r="I574" s="90">
        <f>IF($A574="","",$A574&amp;"|"&amp;$B574&amp;"|"&amp;$C574&amp;"|"&amp;$D574)</f>
        <v/>
      </c>
    </row>
    <row r="575">
      <c r="I575" s="90">
        <f>IF($A575="","",$A575&amp;"|"&amp;$B575&amp;"|"&amp;$C575&amp;"|"&amp;$D575)</f>
        <v/>
      </c>
    </row>
    <row r="576">
      <c r="I576" s="90">
        <f>IF($A576="","",$A576&amp;"|"&amp;$B576&amp;"|"&amp;$C576&amp;"|"&amp;$D576)</f>
        <v/>
      </c>
    </row>
    <row r="577">
      <c r="I577" s="90">
        <f>IF($A577="","",$A577&amp;"|"&amp;$B577&amp;"|"&amp;$C577&amp;"|"&amp;$D577)</f>
        <v/>
      </c>
    </row>
    <row r="578">
      <c r="I578" s="90">
        <f>IF($A578="","",$A578&amp;"|"&amp;$B578&amp;"|"&amp;$C578&amp;"|"&amp;$D578)</f>
        <v/>
      </c>
    </row>
    <row r="579">
      <c r="I579" s="90">
        <f>IF($A579="","",$A579&amp;"|"&amp;$B579&amp;"|"&amp;$C579&amp;"|"&amp;$D579)</f>
        <v/>
      </c>
    </row>
    <row r="580">
      <c r="I580" s="90">
        <f>IF($A580="","",$A580&amp;"|"&amp;$B580&amp;"|"&amp;$C580&amp;"|"&amp;$D580)</f>
        <v/>
      </c>
    </row>
    <row r="581">
      <c r="I581" s="90">
        <f>IF($A581="","",$A581&amp;"|"&amp;$B581&amp;"|"&amp;$C581&amp;"|"&amp;$D581)</f>
        <v/>
      </c>
    </row>
    <row r="582">
      <c r="I582" s="90">
        <f>IF($A582="","",$A582&amp;"|"&amp;$B582&amp;"|"&amp;$C582&amp;"|"&amp;$D582)</f>
        <v/>
      </c>
    </row>
    <row r="583">
      <c r="I583" s="90">
        <f>IF($A583="","",$A583&amp;"|"&amp;$B583&amp;"|"&amp;$C583&amp;"|"&amp;$D583)</f>
        <v/>
      </c>
    </row>
    <row r="584">
      <c r="I584" s="90">
        <f>IF($A584="","",$A584&amp;"|"&amp;$B584&amp;"|"&amp;$C584&amp;"|"&amp;$D584)</f>
        <v/>
      </c>
    </row>
    <row r="585">
      <c r="I585" s="90">
        <f>IF($A585="","",$A585&amp;"|"&amp;$B585&amp;"|"&amp;$C585&amp;"|"&amp;$D585)</f>
        <v/>
      </c>
    </row>
    <row r="586">
      <c r="I586" s="90">
        <f>IF($A586="","",$A586&amp;"|"&amp;$B586&amp;"|"&amp;$C586&amp;"|"&amp;$D586)</f>
        <v/>
      </c>
    </row>
    <row r="587">
      <c r="I587" s="90">
        <f>IF($A587="","",$A587&amp;"|"&amp;$B587&amp;"|"&amp;$C587&amp;"|"&amp;$D587)</f>
        <v/>
      </c>
    </row>
    <row r="588">
      <c r="I588" s="90">
        <f>IF($A588="","",$A588&amp;"|"&amp;$B588&amp;"|"&amp;$C588&amp;"|"&amp;$D588)</f>
        <v/>
      </c>
    </row>
    <row r="589">
      <c r="I589" s="90">
        <f>IF($A589="","",$A589&amp;"|"&amp;$B589&amp;"|"&amp;$C589&amp;"|"&amp;$D589)</f>
        <v/>
      </c>
    </row>
    <row r="590">
      <c r="I590" s="90">
        <f>IF($A590="","",$A590&amp;"|"&amp;$B590&amp;"|"&amp;$C590&amp;"|"&amp;$D590)</f>
        <v/>
      </c>
    </row>
    <row r="591">
      <c r="I591" s="90">
        <f>IF($A591="","",$A591&amp;"|"&amp;$B591&amp;"|"&amp;$C591&amp;"|"&amp;$D591)</f>
        <v/>
      </c>
    </row>
    <row r="592">
      <c r="I592" s="90">
        <f>IF($A592="","",$A592&amp;"|"&amp;$B592&amp;"|"&amp;$C592&amp;"|"&amp;$D592)</f>
        <v/>
      </c>
    </row>
    <row r="593">
      <c r="I593" s="90">
        <f>IF($A593="","",$A593&amp;"|"&amp;$B593&amp;"|"&amp;$C593&amp;"|"&amp;$D593)</f>
        <v/>
      </c>
    </row>
    <row r="594">
      <c r="I594" s="90">
        <f>IF($A594="","",$A594&amp;"|"&amp;$B594&amp;"|"&amp;$C594&amp;"|"&amp;$D594)</f>
        <v/>
      </c>
    </row>
    <row r="595">
      <c r="I595" s="90">
        <f>IF($A595="","",$A595&amp;"|"&amp;$B595&amp;"|"&amp;$C595&amp;"|"&amp;$D595)</f>
        <v/>
      </c>
    </row>
    <row r="596">
      <c r="I596" s="90">
        <f>IF($A596="","",$A596&amp;"|"&amp;$B596&amp;"|"&amp;$C596&amp;"|"&amp;$D596)</f>
        <v/>
      </c>
    </row>
    <row r="597">
      <c r="I597" s="90">
        <f>IF($A597="","",$A597&amp;"|"&amp;$B597&amp;"|"&amp;$C597&amp;"|"&amp;$D597)</f>
        <v/>
      </c>
    </row>
    <row r="598">
      <c r="I598" s="90">
        <f>IF($A598="","",$A598&amp;"|"&amp;$B598&amp;"|"&amp;$C598&amp;"|"&amp;$D598)</f>
        <v/>
      </c>
    </row>
    <row r="599">
      <c r="I599" s="90">
        <f>IF($A599="","",$A599&amp;"|"&amp;$B599&amp;"|"&amp;$C599&amp;"|"&amp;$D599)</f>
        <v/>
      </c>
    </row>
    <row r="600">
      <c r="I600" s="90">
        <f>IF($A600="","",$A600&amp;"|"&amp;$B600&amp;"|"&amp;$C600&amp;"|"&amp;$D600)</f>
        <v/>
      </c>
    </row>
    <row r="601">
      <c r="I601" s="90">
        <f>IF($A601="","",$A601&amp;"|"&amp;$B601&amp;"|"&amp;$C601&amp;"|"&amp;$D601)</f>
        <v/>
      </c>
    </row>
    <row r="602">
      <c r="I602" s="90">
        <f>IF($A602="","",$A602&amp;"|"&amp;$B602&amp;"|"&amp;$C602&amp;"|"&amp;$D602)</f>
        <v/>
      </c>
    </row>
    <row r="603">
      <c r="I603" s="90">
        <f>IF($A603="","",$A603&amp;"|"&amp;$B603&amp;"|"&amp;$C603&amp;"|"&amp;$D603)</f>
        <v/>
      </c>
    </row>
    <row r="604">
      <c r="I604" s="90">
        <f>IF($A604="","",$A604&amp;"|"&amp;$B604&amp;"|"&amp;$C604&amp;"|"&amp;$D604)</f>
        <v/>
      </c>
    </row>
    <row r="605">
      <c r="I605" s="90">
        <f>IF($A605="","",$A605&amp;"|"&amp;$B605&amp;"|"&amp;$C605&amp;"|"&amp;$D605)</f>
        <v/>
      </c>
    </row>
    <row r="606">
      <c r="I606" s="90">
        <f>IF($A606="","",$A606&amp;"|"&amp;$B606&amp;"|"&amp;$C606&amp;"|"&amp;$D606)</f>
        <v/>
      </c>
    </row>
    <row r="607">
      <c r="I607" s="90">
        <f>IF($A607="","",$A607&amp;"|"&amp;$B607&amp;"|"&amp;$C607&amp;"|"&amp;$D607)</f>
        <v/>
      </c>
    </row>
    <row r="608">
      <c r="I608" s="90">
        <f>IF($A608="","",$A608&amp;"|"&amp;$B608&amp;"|"&amp;$C608&amp;"|"&amp;$D608)</f>
        <v/>
      </c>
    </row>
    <row r="609">
      <c r="I609" s="90">
        <f>IF($A609="","",$A609&amp;"|"&amp;$B609&amp;"|"&amp;$C609&amp;"|"&amp;$D609)</f>
        <v/>
      </c>
    </row>
    <row r="610">
      <c r="I610" s="90">
        <f>IF($A610="","",$A610&amp;"|"&amp;$B610&amp;"|"&amp;$C610&amp;"|"&amp;$D610)</f>
        <v/>
      </c>
    </row>
    <row r="611">
      <c r="I611" s="90">
        <f>IF($A611="","",$A611&amp;"|"&amp;$B611&amp;"|"&amp;$C611&amp;"|"&amp;$D611)</f>
        <v/>
      </c>
    </row>
    <row r="612">
      <c r="I612" s="90">
        <f>IF($A612="","",$A612&amp;"|"&amp;$B612&amp;"|"&amp;$C612&amp;"|"&amp;$D612)</f>
        <v/>
      </c>
    </row>
    <row r="613">
      <c r="I613" s="90">
        <f>IF($A613="","",$A613&amp;"|"&amp;$B613&amp;"|"&amp;$C613&amp;"|"&amp;$D613)</f>
        <v/>
      </c>
    </row>
    <row r="614">
      <c r="I614" s="90">
        <f>IF($A614="","",$A614&amp;"|"&amp;$B614&amp;"|"&amp;$C614&amp;"|"&amp;$D614)</f>
        <v/>
      </c>
    </row>
    <row r="615">
      <c r="I615" s="90">
        <f>IF($A615="","",$A615&amp;"|"&amp;$B615&amp;"|"&amp;$C615&amp;"|"&amp;$D615)</f>
        <v/>
      </c>
    </row>
    <row r="616">
      <c r="I616" s="90">
        <f>IF($A616="","",$A616&amp;"|"&amp;$B616&amp;"|"&amp;$C616&amp;"|"&amp;$D616)</f>
        <v/>
      </c>
    </row>
    <row r="617">
      <c r="I617" s="90">
        <f>IF($A617="","",$A617&amp;"|"&amp;$B617&amp;"|"&amp;$C617&amp;"|"&amp;$D617)</f>
        <v/>
      </c>
    </row>
    <row r="618">
      <c r="I618" s="90">
        <f>IF($A618="","",$A618&amp;"|"&amp;$B618&amp;"|"&amp;$C618&amp;"|"&amp;$D618)</f>
        <v/>
      </c>
    </row>
    <row r="619">
      <c r="I619" s="90">
        <f>IF($A619="","",$A619&amp;"|"&amp;$B619&amp;"|"&amp;$C619&amp;"|"&amp;$D619)</f>
        <v/>
      </c>
    </row>
    <row r="620">
      <c r="I620" s="90">
        <f>IF($A620="","",$A620&amp;"|"&amp;$B620&amp;"|"&amp;$C620&amp;"|"&amp;$D620)</f>
        <v/>
      </c>
    </row>
    <row r="621">
      <c r="I621" s="90">
        <f>IF($A621="","",$A621&amp;"|"&amp;$B621&amp;"|"&amp;$C621&amp;"|"&amp;$D621)</f>
        <v/>
      </c>
    </row>
    <row r="622">
      <c r="I622" s="90">
        <f>IF($A622="","",$A622&amp;"|"&amp;$B622&amp;"|"&amp;$C622&amp;"|"&amp;$D622)</f>
        <v/>
      </c>
    </row>
    <row r="623">
      <c r="I623" s="90">
        <f>IF($A623="","",$A623&amp;"|"&amp;$B623&amp;"|"&amp;$C623&amp;"|"&amp;$D623)</f>
        <v/>
      </c>
    </row>
    <row r="624">
      <c r="I624" s="90">
        <f>IF($A624="","",$A624&amp;"|"&amp;$B624&amp;"|"&amp;$C624&amp;"|"&amp;$D624)</f>
        <v/>
      </c>
    </row>
    <row r="625">
      <c r="I625" s="90">
        <f>IF($A625="","",$A625&amp;"|"&amp;$B625&amp;"|"&amp;$C625&amp;"|"&amp;$D625)</f>
        <v/>
      </c>
    </row>
    <row r="626">
      <c r="I626" s="90">
        <f>IF($A626="","",$A626&amp;"|"&amp;$B626&amp;"|"&amp;$C626&amp;"|"&amp;$D626)</f>
        <v/>
      </c>
    </row>
    <row r="627">
      <c r="I627" s="90">
        <f>IF($A627="","",$A627&amp;"|"&amp;$B627&amp;"|"&amp;$C627&amp;"|"&amp;$D627)</f>
        <v/>
      </c>
    </row>
    <row r="628">
      <c r="I628" s="90">
        <f>IF($A628="","",$A628&amp;"|"&amp;$B628&amp;"|"&amp;$C628&amp;"|"&amp;$D628)</f>
        <v/>
      </c>
    </row>
    <row r="629">
      <c r="I629" s="90">
        <f>IF($A629="","",$A629&amp;"|"&amp;$B629&amp;"|"&amp;$C629&amp;"|"&amp;$D629)</f>
        <v/>
      </c>
    </row>
    <row r="630">
      <c r="I630" s="90">
        <f>IF($A630="","",$A630&amp;"|"&amp;$B630&amp;"|"&amp;$C630&amp;"|"&amp;$D630)</f>
        <v/>
      </c>
    </row>
    <row r="631">
      <c r="I631" s="90">
        <f>IF($A631="","",$A631&amp;"|"&amp;$B631&amp;"|"&amp;$C631&amp;"|"&amp;$D631)</f>
        <v/>
      </c>
    </row>
    <row r="632">
      <c r="I632" s="90">
        <f>IF($A632="","",$A632&amp;"|"&amp;$B632&amp;"|"&amp;$C632&amp;"|"&amp;$D632)</f>
        <v/>
      </c>
    </row>
    <row r="633">
      <c r="I633" s="90">
        <f>IF($A633="","",$A633&amp;"|"&amp;$B633&amp;"|"&amp;$C633&amp;"|"&amp;$D633)</f>
        <v/>
      </c>
    </row>
    <row r="634">
      <c r="I634" s="90">
        <f>IF($A634="","",$A634&amp;"|"&amp;$B634&amp;"|"&amp;$C634&amp;"|"&amp;$D634)</f>
        <v/>
      </c>
    </row>
    <row r="635">
      <c r="I635" s="90">
        <f>IF($A635="","",$A635&amp;"|"&amp;$B635&amp;"|"&amp;$C635&amp;"|"&amp;$D635)</f>
        <v/>
      </c>
    </row>
    <row r="636">
      <c r="I636" s="90">
        <f>IF($A636="","",$A636&amp;"|"&amp;$B636&amp;"|"&amp;$C636&amp;"|"&amp;$D636)</f>
        <v/>
      </c>
    </row>
    <row r="637">
      <c r="I637" s="90">
        <f>IF($A637="","",$A637&amp;"|"&amp;$B637&amp;"|"&amp;$C637&amp;"|"&amp;$D637)</f>
        <v/>
      </c>
    </row>
    <row r="638">
      <c r="I638" s="90">
        <f>IF($A638="","",$A638&amp;"|"&amp;$B638&amp;"|"&amp;$C638&amp;"|"&amp;$D638)</f>
        <v/>
      </c>
    </row>
    <row r="639">
      <c r="I639" s="90">
        <f>IF($A639="","",$A639&amp;"|"&amp;$B639&amp;"|"&amp;$C639&amp;"|"&amp;$D639)</f>
        <v/>
      </c>
    </row>
    <row r="640">
      <c r="I640" s="90">
        <f>IF($A640="","",$A640&amp;"|"&amp;$B640&amp;"|"&amp;$C640&amp;"|"&amp;$D640)</f>
        <v/>
      </c>
    </row>
    <row r="641">
      <c r="I641" s="90">
        <f>IF($A641="","",$A641&amp;"|"&amp;$B641&amp;"|"&amp;$C641&amp;"|"&amp;$D641)</f>
        <v/>
      </c>
    </row>
    <row r="642">
      <c r="I642" s="90">
        <f>IF($A642="","",$A642&amp;"|"&amp;$B642&amp;"|"&amp;$C642&amp;"|"&amp;$D642)</f>
        <v/>
      </c>
    </row>
    <row r="643">
      <c r="I643" s="90">
        <f>IF($A643="","",$A643&amp;"|"&amp;$B643&amp;"|"&amp;$C643&amp;"|"&amp;$D643)</f>
        <v/>
      </c>
    </row>
    <row r="644">
      <c r="I644" s="90">
        <f>IF($A644="","",$A644&amp;"|"&amp;$B644&amp;"|"&amp;$C644&amp;"|"&amp;$D644)</f>
        <v/>
      </c>
    </row>
    <row r="645">
      <c r="I645" s="90">
        <f>IF($A645="","",$A645&amp;"|"&amp;$B645&amp;"|"&amp;$C645&amp;"|"&amp;$D645)</f>
        <v/>
      </c>
    </row>
    <row r="646">
      <c r="I646" s="90">
        <f>IF($A646="","",$A646&amp;"|"&amp;$B646&amp;"|"&amp;$C646&amp;"|"&amp;$D646)</f>
        <v/>
      </c>
    </row>
    <row r="647">
      <c r="I647" s="90">
        <f>IF($A647="","",$A647&amp;"|"&amp;$B647&amp;"|"&amp;$C647&amp;"|"&amp;$D647)</f>
        <v/>
      </c>
    </row>
    <row r="648">
      <c r="I648" s="90">
        <f>IF($A648="","",$A648&amp;"|"&amp;$B648&amp;"|"&amp;$C648&amp;"|"&amp;$D648)</f>
        <v/>
      </c>
    </row>
    <row r="649">
      <c r="I649" s="90">
        <f>IF($A649="","",$A649&amp;"|"&amp;$B649&amp;"|"&amp;$C649&amp;"|"&amp;$D649)</f>
        <v/>
      </c>
    </row>
    <row r="650">
      <c r="I650" s="90">
        <f>IF($A650="","",$A650&amp;"|"&amp;$B650&amp;"|"&amp;$C650&amp;"|"&amp;$D650)</f>
        <v/>
      </c>
    </row>
    <row r="651">
      <c r="I651" s="90">
        <f>IF($A651="","",$A651&amp;"|"&amp;$B651&amp;"|"&amp;$C651&amp;"|"&amp;$D651)</f>
        <v/>
      </c>
    </row>
    <row r="652">
      <c r="I652" s="90">
        <f>IF($A652="","",$A652&amp;"|"&amp;$B652&amp;"|"&amp;$C652&amp;"|"&amp;$D652)</f>
        <v/>
      </c>
    </row>
    <row r="653">
      <c r="I653" s="90">
        <f>IF($A653="","",$A653&amp;"|"&amp;$B653&amp;"|"&amp;$C653&amp;"|"&amp;$D653)</f>
        <v/>
      </c>
    </row>
    <row r="654">
      <c r="I654" s="90">
        <f>IF($A654="","",$A654&amp;"|"&amp;$B654&amp;"|"&amp;$C654&amp;"|"&amp;$D654)</f>
        <v/>
      </c>
    </row>
    <row r="655">
      <c r="I655" s="90">
        <f>IF($A655="","",$A655&amp;"|"&amp;$B655&amp;"|"&amp;$C655&amp;"|"&amp;$D655)</f>
        <v/>
      </c>
    </row>
    <row r="656">
      <c r="I656" s="90">
        <f>IF($A656="","",$A656&amp;"|"&amp;$B656&amp;"|"&amp;$C656&amp;"|"&amp;$D656)</f>
        <v/>
      </c>
    </row>
    <row r="657">
      <c r="I657" s="90">
        <f>IF($A657="","",$A657&amp;"|"&amp;$B657&amp;"|"&amp;$C657&amp;"|"&amp;$D657)</f>
        <v/>
      </c>
    </row>
    <row r="658">
      <c r="I658" s="90">
        <f>IF($A658="","",$A658&amp;"|"&amp;$B658&amp;"|"&amp;$C658&amp;"|"&amp;$D658)</f>
        <v/>
      </c>
    </row>
    <row r="659">
      <c r="I659" s="90">
        <f>IF($A659="","",$A659&amp;"|"&amp;$B659&amp;"|"&amp;$C659&amp;"|"&amp;$D659)</f>
        <v/>
      </c>
    </row>
    <row r="660">
      <c r="I660" s="90">
        <f>IF($A660="","",$A660&amp;"|"&amp;$B660&amp;"|"&amp;$C660&amp;"|"&amp;$D660)</f>
        <v/>
      </c>
    </row>
    <row r="661">
      <c r="I661" s="90">
        <f>IF($A661="","",$A661&amp;"|"&amp;$B661&amp;"|"&amp;$C661&amp;"|"&amp;$D661)</f>
        <v/>
      </c>
    </row>
    <row r="662">
      <c r="I662" s="90">
        <f>IF($A662="","",$A662&amp;"|"&amp;$B662&amp;"|"&amp;$C662&amp;"|"&amp;$D662)</f>
        <v/>
      </c>
    </row>
    <row r="663">
      <c r="I663" s="90">
        <f>IF($A663="","",$A663&amp;"|"&amp;$B663&amp;"|"&amp;$C663&amp;"|"&amp;$D663)</f>
        <v/>
      </c>
    </row>
    <row r="664">
      <c r="I664" s="90">
        <f>IF($A664="","",$A664&amp;"|"&amp;$B664&amp;"|"&amp;$C664&amp;"|"&amp;$D664)</f>
        <v/>
      </c>
    </row>
    <row r="665">
      <c r="I665" s="90">
        <f>IF($A665="","",$A665&amp;"|"&amp;$B665&amp;"|"&amp;$C665&amp;"|"&amp;$D665)</f>
        <v/>
      </c>
    </row>
    <row r="666">
      <c r="I666" s="90">
        <f>IF($A666="","",$A666&amp;"|"&amp;$B666&amp;"|"&amp;$C666&amp;"|"&amp;$D666)</f>
        <v/>
      </c>
    </row>
    <row r="667">
      <c r="I667" s="90">
        <f>IF($A667="","",$A667&amp;"|"&amp;$B667&amp;"|"&amp;$C667&amp;"|"&amp;$D667)</f>
        <v/>
      </c>
    </row>
    <row r="668">
      <c r="I668" s="90">
        <f>IF($A668="","",$A668&amp;"|"&amp;$B668&amp;"|"&amp;$C668&amp;"|"&amp;$D668)</f>
        <v/>
      </c>
    </row>
    <row r="669">
      <c r="I669" s="90">
        <f>IF($A669="","",$A669&amp;"|"&amp;$B669&amp;"|"&amp;$C669&amp;"|"&amp;$D669)</f>
        <v/>
      </c>
    </row>
    <row r="670">
      <c r="I670" s="90">
        <f>IF($A670="","",$A670&amp;"|"&amp;$B670&amp;"|"&amp;$C670&amp;"|"&amp;$D670)</f>
        <v/>
      </c>
    </row>
    <row r="671">
      <c r="I671" s="90">
        <f>IF($A671="","",$A671&amp;"|"&amp;$B671&amp;"|"&amp;$C671&amp;"|"&amp;$D671)</f>
        <v/>
      </c>
    </row>
    <row r="672">
      <c r="I672" s="90">
        <f>IF($A672="","",$A672&amp;"|"&amp;$B672&amp;"|"&amp;$C672&amp;"|"&amp;$D672)</f>
        <v/>
      </c>
    </row>
    <row r="673">
      <c r="I673" s="90">
        <f>IF($A673="","",$A673&amp;"|"&amp;$B673&amp;"|"&amp;$C673&amp;"|"&amp;$D673)</f>
        <v/>
      </c>
    </row>
    <row r="674">
      <c r="I674" s="90">
        <f>IF($A674="","",$A674&amp;"|"&amp;$B674&amp;"|"&amp;$C674&amp;"|"&amp;$D674)</f>
        <v/>
      </c>
    </row>
    <row r="675">
      <c r="I675" s="90">
        <f>IF($A675="","",$A675&amp;"|"&amp;$B675&amp;"|"&amp;$C675&amp;"|"&amp;$D675)</f>
        <v/>
      </c>
    </row>
    <row r="676">
      <c r="I676" s="90">
        <f>IF($A676="","",$A676&amp;"|"&amp;$B676&amp;"|"&amp;$C676&amp;"|"&amp;$D676)</f>
        <v/>
      </c>
    </row>
    <row r="677">
      <c r="I677" s="90">
        <f>IF($A677="","",$A677&amp;"|"&amp;$B677&amp;"|"&amp;$C677&amp;"|"&amp;$D677)</f>
        <v/>
      </c>
    </row>
    <row r="678">
      <c r="I678" s="90">
        <f>IF($A678="","",$A678&amp;"|"&amp;$B678&amp;"|"&amp;$C678&amp;"|"&amp;$D678)</f>
        <v/>
      </c>
    </row>
    <row r="679">
      <c r="I679" s="90">
        <f>IF($A679="","",$A679&amp;"|"&amp;$B679&amp;"|"&amp;$C679&amp;"|"&amp;$D679)</f>
        <v/>
      </c>
    </row>
    <row r="680">
      <c r="I680" s="90">
        <f>IF($A680="","",$A680&amp;"|"&amp;$B680&amp;"|"&amp;$C680&amp;"|"&amp;$D680)</f>
        <v/>
      </c>
    </row>
    <row r="681">
      <c r="I681" s="90">
        <f>IF($A681="","",$A681&amp;"|"&amp;$B681&amp;"|"&amp;$C681&amp;"|"&amp;$D681)</f>
        <v/>
      </c>
    </row>
    <row r="682">
      <c r="I682" s="90">
        <f>IF($A682="","",$A682&amp;"|"&amp;$B682&amp;"|"&amp;$C682&amp;"|"&amp;$D682)</f>
        <v/>
      </c>
    </row>
    <row r="683">
      <c r="I683" s="90">
        <f>IF($A683="","",$A683&amp;"|"&amp;$B683&amp;"|"&amp;$C683&amp;"|"&amp;$D683)</f>
        <v/>
      </c>
    </row>
    <row r="684">
      <c r="I684" s="90">
        <f>IF($A684="","",$A684&amp;"|"&amp;$B684&amp;"|"&amp;$C684&amp;"|"&amp;$D684)</f>
        <v/>
      </c>
    </row>
    <row r="685">
      <c r="I685" s="90">
        <f>IF($A685="","",$A685&amp;"|"&amp;$B685&amp;"|"&amp;$C685&amp;"|"&amp;$D685)</f>
        <v/>
      </c>
    </row>
    <row r="686">
      <c r="I686" s="90">
        <f>IF($A686="","",$A686&amp;"|"&amp;$B686&amp;"|"&amp;$C686&amp;"|"&amp;$D686)</f>
        <v/>
      </c>
    </row>
    <row r="687">
      <c r="I687" s="90">
        <f>IF($A687="","",$A687&amp;"|"&amp;$B687&amp;"|"&amp;$C687&amp;"|"&amp;$D687)</f>
        <v/>
      </c>
    </row>
    <row r="688">
      <c r="I688" s="90">
        <f>IF($A688="","",$A688&amp;"|"&amp;$B688&amp;"|"&amp;$C688&amp;"|"&amp;$D688)</f>
        <v/>
      </c>
    </row>
    <row r="689">
      <c r="I689" s="90">
        <f>IF($A689="","",$A689&amp;"|"&amp;$B689&amp;"|"&amp;$C689&amp;"|"&amp;$D689)</f>
        <v/>
      </c>
    </row>
    <row r="690">
      <c r="I690" s="90">
        <f>IF($A690="","",$A690&amp;"|"&amp;$B690&amp;"|"&amp;$C690&amp;"|"&amp;$D690)</f>
        <v/>
      </c>
    </row>
    <row r="691">
      <c r="I691" s="90">
        <f>IF($A691="","",$A691&amp;"|"&amp;$B691&amp;"|"&amp;$C691&amp;"|"&amp;$D691)</f>
        <v/>
      </c>
    </row>
    <row r="692">
      <c r="I692" s="90">
        <f>IF($A692="","",$A692&amp;"|"&amp;$B692&amp;"|"&amp;$C692&amp;"|"&amp;$D692)</f>
        <v/>
      </c>
    </row>
    <row r="693">
      <c r="I693" s="90">
        <f>IF($A693="","",$A693&amp;"|"&amp;$B693&amp;"|"&amp;$C693&amp;"|"&amp;$D693)</f>
        <v/>
      </c>
    </row>
    <row r="694">
      <c r="I694" s="90">
        <f>IF($A694="","",$A694&amp;"|"&amp;$B694&amp;"|"&amp;$C694&amp;"|"&amp;$D694)</f>
        <v/>
      </c>
    </row>
    <row r="695">
      <c r="I695" s="90">
        <f>IF($A695="","",$A695&amp;"|"&amp;$B695&amp;"|"&amp;$C695&amp;"|"&amp;$D695)</f>
        <v/>
      </c>
    </row>
    <row r="696">
      <c r="I696" s="90">
        <f>IF($A696="","",$A696&amp;"|"&amp;$B696&amp;"|"&amp;$C696&amp;"|"&amp;$D696)</f>
        <v/>
      </c>
    </row>
    <row r="697">
      <c r="I697" s="90">
        <f>IF($A697="","",$A697&amp;"|"&amp;$B697&amp;"|"&amp;$C697&amp;"|"&amp;$D697)</f>
        <v/>
      </c>
    </row>
    <row r="698">
      <c r="I698" s="90">
        <f>IF($A698="","",$A698&amp;"|"&amp;$B698&amp;"|"&amp;$C698&amp;"|"&amp;$D698)</f>
        <v/>
      </c>
    </row>
    <row r="699">
      <c r="I699" s="90">
        <f>IF($A699="","",$A699&amp;"|"&amp;$B699&amp;"|"&amp;$C699&amp;"|"&amp;$D699)</f>
        <v/>
      </c>
    </row>
    <row r="700">
      <c r="I700" s="90">
        <f>IF($A700="","",$A700&amp;"|"&amp;$B700&amp;"|"&amp;$C700&amp;"|"&amp;$D700)</f>
        <v/>
      </c>
    </row>
    <row r="701">
      <c r="I701" s="90">
        <f>IF($A701="","",$A701&amp;"|"&amp;$B701&amp;"|"&amp;$C701&amp;"|"&amp;$D701)</f>
        <v/>
      </c>
    </row>
    <row r="702">
      <c r="I702" s="90">
        <f>IF($A702="","",$A702&amp;"|"&amp;$B702&amp;"|"&amp;$C702&amp;"|"&amp;$D702)</f>
        <v/>
      </c>
    </row>
    <row r="703">
      <c r="I703" s="90">
        <f>IF($A703="","",$A703&amp;"|"&amp;$B703&amp;"|"&amp;$C703&amp;"|"&amp;$D703)</f>
        <v/>
      </c>
    </row>
    <row r="704">
      <c r="I704" s="90">
        <f>IF($A704="","",$A704&amp;"|"&amp;$B704&amp;"|"&amp;$C704&amp;"|"&amp;$D704)</f>
        <v/>
      </c>
    </row>
    <row r="705">
      <c r="I705" s="90">
        <f>IF($A705="","",$A705&amp;"|"&amp;$B705&amp;"|"&amp;$C705&amp;"|"&amp;$D705)</f>
        <v/>
      </c>
    </row>
    <row r="706">
      <c r="I706" s="90">
        <f>IF($A706="","",$A706&amp;"|"&amp;$B706&amp;"|"&amp;$C706&amp;"|"&amp;$D706)</f>
        <v/>
      </c>
    </row>
    <row r="707">
      <c r="I707" s="90">
        <f>IF($A707="","",$A707&amp;"|"&amp;$B707&amp;"|"&amp;$C707&amp;"|"&amp;$D707)</f>
        <v/>
      </c>
    </row>
    <row r="708">
      <c r="I708" s="90">
        <f>IF($A708="","",$A708&amp;"|"&amp;$B708&amp;"|"&amp;$C708&amp;"|"&amp;$D708)</f>
        <v/>
      </c>
    </row>
    <row r="709">
      <c r="I709" s="90">
        <f>IF($A709="","",$A709&amp;"|"&amp;$B709&amp;"|"&amp;$C709&amp;"|"&amp;$D709)</f>
        <v/>
      </c>
    </row>
    <row r="710">
      <c r="I710" s="90">
        <f>IF($A710="","",$A710&amp;"|"&amp;$B710&amp;"|"&amp;$C710&amp;"|"&amp;$D710)</f>
        <v/>
      </c>
    </row>
    <row r="711">
      <c r="I711" s="90">
        <f>IF($A711="","",$A711&amp;"|"&amp;$B711&amp;"|"&amp;$C711&amp;"|"&amp;$D711)</f>
        <v/>
      </c>
    </row>
    <row r="712">
      <c r="I712" s="90">
        <f>IF($A712="","",$A712&amp;"|"&amp;$B712&amp;"|"&amp;$C712&amp;"|"&amp;$D712)</f>
        <v/>
      </c>
    </row>
    <row r="713">
      <c r="I713" s="90">
        <f>IF($A713="","",$A713&amp;"|"&amp;$B713&amp;"|"&amp;$C713&amp;"|"&amp;$D713)</f>
        <v/>
      </c>
    </row>
    <row r="714">
      <c r="I714" s="90">
        <f>IF($A714="","",$A714&amp;"|"&amp;$B714&amp;"|"&amp;$C714&amp;"|"&amp;$D714)</f>
        <v/>
      </c>
    </row>
    <row r="715">
      <c r="I715" s="90">
        <f>IF($A715="","",$A715&amp;"|"&amp;$B715&amp;"|"&amp;$C715&amp;"|"&amp;$D715)</f>
        <v/>
      </c>
    </row>
    <row r="716">
      <c r="I716" s="90">
        <f>IF($A716="","",$A716&amp;"|"&amp;$B716&amp;"|"&amp;$C716&amp;"|"&amp;$D716)</f>
        <v/>
      </c>
    </row>
    <row r="717">
      <c r="I717" s="90">
        <f>IF($A717="","",$A717&amp;"|"&amp;$B717&amp;"|"&amp;$C717&amp;"|"&amp;$D717)</f>
        <v/>
      </c>
    </row>
    <row r="718">
      <c r="I718" s="90">
        <f>IF($A718="","",$A718&amp;"|"&amp;$B718&amp;"|"&amp;$C718&amp;"|"&amp;$D718)</f>
        <v/>
      </c>
    </row>
    <row r="719">
      <c r="I719" s="90">
        <f>IF($A719="","",$A719&amp;"|"&amp;$B719&amp;"|"&amp;$C719&amp;"|"&amp;$D719)</f>
        <v/>
      </c>
    </row>
    <row r="720">
      <c r="I720" s="90">
        <f>IF($A720="","",$A720&amp;"|"&amp;$B720&amp;"|"&amp;$C720&amp;"|"&amp;$D720)</f>
        <v/>
      </c>
    </row>
    <row r="721">
      <c r="I721" s="90">
        <f>IF($A721="","",$A721&amp;"|"&amp;$B721&amp;"|"&amp;$C721&amp;"|"&amp;$D721)</f>
        <v/>
      </c>
    </row>
    <row r="722">
      <c r="I722" s="90">
        <f>IF($A722="","",$A722&amp;"|"&amp;$B722&amp;"|"&amp;$C722&amp;"|"&amp;$D722)</f>
        <v/>
      </c>
    </row>
    <row r="723">
      <c r="I723" s="90">
        <f>IF($A723="","",$A723&amp;"|"&amp;$B723&amp;"|"&amp;$C723&amp;"|"&amp;$D723)</f>
        <v/>
      </c>
    </row>
    <row r="724">
      <c r="I724" s="90">
        <f>IF($A724="","",$A724&amp;"|"&amp;$B724&amp;"|"&amp;$C724&amp;"|"&amp;$D724)</f>
        <v/>
      </c>
    </row>
    <row r="725">
      <c r="I725" s="90">
        <f>IF($A725="","",$A725&amp;"|"&amp;$B725&amp;"|"&amp;$C725&amp;"|"&amp;$D725)</f>
        <v/>
      </c>
    </row>
    <row r="726">
      <c r="I726" s="90">
        <f>IF($A726="","",$A726&amp;"|"&amp;$B726&amp;"|"&amp;$C726&amp;"|"&amp;$D726)</f>
        <v/>
      </c>
    </row>
    <row r="727">
      <c r="I727" s="90">
        <f>IF($A727="","",$A727&amp;"|"&amp;$B727&amp;"|"&amp;$C727&amp;"|"&amp;$D727)</f>
        <v/>
      </c>
    </row>
    <row r="728">
      <c r="I728" s="90">
        <f>IF($A728="","",$A728&amp;"|"&amp;$B728&amp;"|"&amp;$C728&amp;"|"&amp;$D728)</f>
        <v/>
      </c>
    </row>
    <row r="729">
      <c r="I729" s="90">
        <f>IF($A729="","",$A729&amp;"|"&amp;$B729&amp;"|"&amp;$C729&amp;"|"&amp;$D729)</f>
        <v/>
      </c>
    </row>
    <row r="730">
      <c r="I730" s="90">
        <f>IF($A730="","",$A730&amp;"|"&amp;$B730&amp;"|"&amp;$C730&amp;"|"&amp;$D730)</f>
        <v/>
      </c>
    </row>
    <row r="731">
      <c r="I731" s="90">
        <f>IF($A731="","",$A731&amp;"|"&amp;$B731&amp;"|"&amp;$C731&amp;"|"&amp;$D731)</f>
        <v/>
      </c>
    </row>
    <row r="732">
      <c r="I732" s="90">
        <f>IF($A732="","",$A732&amp;"|"&amp;$B732&amp;"|"&amp;$C732&amp;"|"&amp;$D732)</f>
        <v/>
      </c>
    </row>
    <row r="733">
      <c r="I733" s="90">
        <f>IF($A733="","",$A733&amp;"|"&amp;$B733&amp;"|"&amp;$C733&amp;"|"&amp;$D733)</f>
        <v/>
      </c>
    </row>
    <row r="734">
      <c r="I734" s="90">
        <f>IF($A734="","",$A734&amp;"|"&amp;$B734&amp;"|"&amp;$C734&amp;"|"&amp;$D734)</f>
        <v/>
      </c>
    </row>
    <row r="735">
      <c r="I735" s="90">
        <f>IF($A735="","",$A735&amp;"|"&amp;$B735&amp;"|"&amp;$C735&amp;"|"&amp;$D735)</f>
        <v/>
      </c>
    </row>
    <row r="736">
      <c r="I736" s="90">
        <f>IF($A736="","",$A736&amp;"|"&amp;$B736&amp;"|"&amp;$C736&amp;"|"&amp;$D736)</f>
        <v/>
      </c>
    </row>
    <row r="737">
      <c r="I737" s="90">
        <f>IF($A737="","",$A737&amp;"|"&amp;$B737&amp;"|"&amp;$C737&amp;"|"&amp;$D737)</f>
        <v/>
      </c>
    </row>
    <row r="738">
      <c r="I738" s="90">
        <f>IF($A738="","",$A738&amp;"|"&amp;$B738&amp;"|"&amp;$C738&amp;"|"&amp;$D738)</f>
        <v/>
      </c>
    </row>
    <row r="739">
      <c r="I739" s="90">
        <f>IF($A739="","",$A739&amp;"|"&amp;$B739&amp;"|"&amp;$C739&amp;"|"&amp;$D739)</f>
        <v/>
      </c>
    </row>
    <row r="740">
      <c r="I740" s="90">
        <f>IF($A740="","",$A740&amp;"|"&amp;$B740&amp;"|"&amp;$C740&amp;"|"&amp;$D740)</f>
        <v/>
      </c>
    </row>
    <row r="741">
      <c r="I741" s="90">
        <f>IF($A741="","",$A741&amp;"|"&amp;$B741&amp;"|"&amp;$C741&amp;"|"&amp;$D741)</f>
        <v/>
      </c>
    </row>
    <row r="742">
      <c r="I742" s="90">
        <f>IF($A742="","",$A742&amp;"|"&amp;$B742&amp;"|"&amp;$C742&amp;"|"&amp;$D742)</f>
        <v/>
      </c>
    </row>
    <row r="743">
      <c r="I743" s="90">
        <f>IF($A743="","",$A743&amp;"|"&amp;$B743&amp;"|"&amp;$C743&amp;"|"&amp;$D743)</f>
        <v/>
      </c>
    </row>
    <row r="744">
      <c r="I744" s="90">
        <f>IF($A744="","",$A744&amp;"|"&amp;$B744&amp;"|"&amp;$C744&amp;"|"&amp;$D744)</f>
        <v/>
      </c>
    </row>
    <row r="745">
      <c r="I745" s="90">
        <f>IF($A745="","",$A745&amp;"|"&amp;$B745&amp;"|"&amp;$C745&amp;"|"&amp;$D745)</f>
        <v/>
      </c>
    </row>
    <row r="746">
      <c r="I746" s="90">
        <f>IF($A746="","",$A746&amp;"|"&amp;$B746&amp;"|"&amp;$C746&amp;"|"&amp;$D746)</f>
        <v/>
      </c>
    </row>
    <row r="747">
      <c r="I747" s="90">
        <f>IF($A747="","",$A747&amp;"|"&amp;$B747&amp;"|"&amp;$C747&amp;"|"&amp;$D747)</f>
        <v/>
      </c>
    </row>
    <row r="748">
      <c r="I748" s="90">
        <f>IF($A748="","",$A748&amp;"|"&amp;$B748&amp;"|"&amp;$C748&amp;"|"&amp;$D748)</f>
        <v/>
      </c>
    </row>
    <row r="749">
      <c r="I749" s="90">
        <f>IF($A749="","",$A749&amp;"|"&amp;$B749&amp;"|"&amp;$C749&amp;"|"&amp;$D749)</f>
        <v/>
      </c>
    </row>
    <row r="750">
      <c r="I750" s="90">
        <f>IF($A750="","",$A750&amp;"|"&amp;$B750&amp;"|"&amp;$C750&amp;"|"&amp;$D750)</f>
        <v/>
      </c>
    </row>
    <row r="751">
      <c r="I751" s="90">
        <f>IF($A751="","",$A751&amp;"|"&amp;$B751&amp;"|"&amp;$C751&amp;"|"&amp;$D751)</f>
        <v/>
      </c>
    </row>
    <row r="752">
      <c r="I752" s="90">
        <f>IF($A752="","",$A752&amp;"|"&amp;$B752&amp;"|"&amp;$C752&amp;"|"&amp;$D752)</f>
        <v/>
      </c>
    </row>
    <row r="753">
      <c r="I753" s="90">
        <f>IF($A753="","",$A753&amp;"|"&amp;$B753&amp;"|"&amp;$C753&amp;"|"&amp;$D753)</f>
        <v/>
      </c>
    </row>
    <row r="754">
      <c r="I754" s="90">
        <f>IF($A754="","",$A754&amp;"|"&amp;$B754&amp;"|"&amp;$C754&amp;"|"&amp;$D754)</f>
        <v/>
      </c>
    </row>
    <row r="755">
      <c r="I755" s="90">
        <f>IF($A755="","",$A755&amp;"|"&amp;$B755&amp;"|"&amp;$C755&amp;"|"&amp;$D755)</f>
        <v/>
      </c>
    </row>
    <row r="756">
      <c r="I756" s="90">
        <f>IF($A756="","",$A756&amp;"|"&amp;$B756&amp;"|"&amp;$C756&amp;"|"&amp;$D756)</f>
        <v/>
      </c>
    </row>
    <row r="757">
      <c r="I757" s="90">
        <f>IF($A757="","",$A757&amp;"|"&amp;$B757&amp;"|"&amp;$C757&amp;"|"&amp;$D757)</f>
        <v/>
      </c>
    </row>
    <row r="758">
      <c r="I758" s="90">
        <f>IF($A758="","",$A758&amp;"|"&amp;$B758&amp;"|"&amp;$C758&amp;"|"&amp;$D758)</f>
        <v/>
      </c>
    </row>
    <row r="759">
      <c r="I759" s="90">
        <f>IF($A759="","",$A759&amp;"|"&amp;$B759&amp;"|"&amp;$C759&amp;"|"&amp;$D759)</f>
        <v/>
      </c>
    </row>
    <row r="760">
      <c r="I760" s="90">
        <f>IF($A760="","",$A760&amp;"|"&amp;$B760&amp;"|"&amp;$C760&amp;"|"&amp;$D760)</f>
        <v/>
      </c>
    </row>
    <row r="761">
      <c r="I761" s="90">
        <f>IF($A761="","",$A761&amp;"|"&amp;$B761&amp;"|"&amp;$C761&amp;"|"&amp;$D761)</f>
        <v/>
      </c>
    </row>
    <row r="762">
      <c r="I762" s="90">
        <f>IF($A762="","",$A762&amp;"|"&amp;$B762&amp;"|"&amp;$C762&amp;"|"&amp;$D762)</f>
        <v/>
      </c>
    </row>
    <row r="763">
      <c r="I763" s="90">
        <f>IF($A763="","",$A763&amp;"|"&amp;$B763&amp;"|"&amp;$C763&amp;"|"&amp;$D763)</f>
        <v/>
      </c>
    </row>
    <row r="764">
      <c r="I764" s="90">
        <f>IF($A764="","",$A764&amp;"|"&amp;$B764&amp;"|"&amp;$C764&amp;"|"&amp;$D764)</f>
        <v/>
      </c>
    </row>
    <row r="765">
      <c r="I765" s="90">
        <f>IF($A765="","",$A765&amp;"|"&amp;$B765&amp;"|"&amp;$C765&amp;"|"&amp;$D765)</f>
        <v/>
      </c>
    </row>
    <row r="766">
      <c r="I766" s="90">
        <f>IF($A766="","",$A766&amp;"|"&amp;$B766&amp;"|"&amp;$C766&amp;"|"&amp;$D766)</f>
        <v/>
      </c>
    </row>
    <row r="767">
      <c r="I767" s="90">
        <f>IF($A767="","",$A767&amp;"|"&amp;$B767&amp;"|"&amp;$C767&amp;"|"&amp;$D767)</f>
        <v/>
      </c>
    </row>
    <row r="768">
      <c r="I768" s="90">
        <f>IF($A768="","",$A768&amp;"|"&amp;$B768&amp;"|"&amp;$C768&amp;"|"&amp;$D768)</f>
        <v/>
      </c>
    </row>
    <row r="769">
      <c r="I769" s="90">
        <f>IF($A769="","",$A769&amp;"|"&amp;$B769&amp;"|"&amp;$C769&amp;"|"&amp;$D769)</f>
        <v/>
      </c>
    </row>
    <row r="770">
      <c r="I770" s="90">
        <f>IF($A770="","",$A770&amp;"|"&amp;$B770&amp;"|"&amp;$C770&amp;"|"&amp;$D770)</f>
        <v/>
      </c>
    </row>
    <row r="771">
      <c r="I771" s="90">
        <f>IF($A771="","",$A771&amp;"|"&amp;$B771&amp;"|"&amp;$C771&amp;"|"&amp;$D771)</f>
        <v/>
      </c>
    </row>
    <row r="772">
      <c r="I772" s="90">
        <f>IF($A772="","",$A772&amp;"|"&amp;$B772&amp;"|"&amp;$C772&amp;"|"&amp;$D772)</f>
        <v/>
      </c>
    </row>
    <row r="773">
      <c r="I773" s="90">
        <f>IF($A773="","",$A773&amp;"|"&amp;$B773&amp;"|"&amp;$C773&amp;"|"&amp;$D773)</f>
        <v/>
      </c>
    </row>
    <row r="774">
      <c r="I774" s="90">
        <f>IF($A774="","",$A774&amp;"|"&amp;$B774&amp;"|"&amp;$C774&amp;"|"&amp;$D774)</f>
        <v/>
      </c>
    </row>
    <row r="775">
      <c r="I775" s="90">
        <f>IF($A775="","",$A775&amp;"|"&amp;$B775&amp;"|"&amp;$C775&amp;"|"&amp;$D775)</f>
        <v/>
      </c>
    </row>
    <row r="776">
      <c r="I776" s="90">
        <f>IF($A776="","",$A776&amp;"|"&amp;$B776&amp;"|"&amp;$C776&amp;"|"&amp;$D776)</f>
        <v/>
      </c>
    </row>
    <row r="777">
      <c r="I777" s="90">
        <f>IF($A777="","",$A777&amp;"|"&amp;$B777&amp;"|"&amp;$C777&amp;"|"&amp;$D777)</f>
        <v/>
      </c>
    </row>
    <row r="778">
      <c r="I778" s="90">
        <f>IF($A778="","",$A778&amp;"|"&amp;$B778&amp;"|"&amp;$C778&amp;"|"&amp;$D778)</f>
        <v/>
      </c>
    </row>
    <row r="779">
      <c r="I779" s="90">
        <f>IF($A779="","",$A779&amp;"|"&amp;$B779&amp;"|"&amp;$C779&amp;"|"&amp;$D779)</f>
        <v/>
      </c>
    </row>
    <row r="780">
      <c r="I780" s="90">
        <f>IF($A780="","",$A780&amp;"|"&amp;$B780&amp;"|"&amp;$C780&amp;"|"&amp;$D780)</f>
        <v/>
      </c>
    </row>
    <row r="781">
      <c r="I781" s="90">
        <f>IF($A781="","",$A781&amp;"|"&amp;$B781&amp;"|"&amp;$C781&amp;"|"&amp;$D781)</f>
        <v/>
      </c>
    </row>
    <row r="782">
      <c r="I782" s="90">
        <f>IF($A782="","",$A782&amp;"|"&amp;$B782&amp;"|"&amp;$C782&amp;"|"&amp;$D782)</f>
        <v/>
      </c>
    </row>
    <row r="783">
      <c r="I783" s="90">
        <f>IF($A783="","",$A783&amp;"|"&amp;$B783&amp;"|"&amp;$C783&amp;"|"&amp;$D783)</f>
        <v/>
      </c>
    </row>
    <row r="784">
      <c r="I784" s="90">
        <f>IF($A784="","",$A784&amp;"|"&amp;$B784&amp;"|"&amp;$C784&amp;"|"&amp;$D784)</f>
        <v/>
      </c>
    </row>
    <row r="785">
      <c r="I785" s="90">
        <f>IF($A785="","",$A785&amp;"|"&amp;$B785&amp;"|"&amp;$C785&amp;"|"&amp;$D785)</f>
        <v/>
      </c>
    </row>
    <row r="786">
      <c r="I786" s="90">
        <f>IF($A786="","",$A786&amp;"|"&amp;$B786&amp;"|"&amp;$C786&amp;"|"&amp;$D786)</f>
        <v/>
      </c>
    </row>
    <row r="787">
      <c r="I787" s="90">
        <f>IF($A787="","",$A787&amp;"|"&amp;$B787&amp;"|"&amp;$C787&amp;"|"&amp;$D787)</f>
        <v/>
      </c>
    </row>
    <row r="788">
      <c r="I788" s="90">
        <f>IF($A788="","",$A788&amp;"|"&amp;$B788&amp;"|"&amp;$C788&amp;"|"&amp;$D788)</f>
        <v/>
      </c>
    </row>
    <row r="789">
      <c r="I789" s="90">
        <f>IF($A789="","",$A789&amp;"|"&amp;$B789&amp;"|"&amp;$C789&amp;"|"&amp;$D789)</f>
        <v/>
      </c>
    </row>
    <row r="790">
      <c r="I790" s="90">
        <f>IF($A790="","",$A790&amp;"|"&amp;$B790&amp;"|"&amp;$C790&amp;"|"&amp;$D790)</f>
        <v/>
      </c>
    </row>
    <row r="791">
      <c r="I791" s="90">
        <f>IF($A791="","",$A791&amp;"|"&amp;$B791&amp;"|"&amp;$C791&amp;"|"&amp;$D791)</f>
        <v/>
      </c>
    </row>
    <row r="792">
      <c r="I792" s="90">
        <f>IF($A792="","",$A792&amp;"|"&amp;$B792&amp;"|"&amp;$C792&amp;"|"&amp;$D792)</f>
        <v/>
      </c>
    </row>
    <row r="793">
      <c r="I793" s="90">
        <f>IF($A793="","",$A793&amp;"|"&amp;$B793&amp;"|"&amp;$C793&amp;"|"&amp;$D793)</f>
        <v/>
      </c>
    </row>
    <row r="794">
      <c r="I794" s="90">
        <f>IF($A794="","",$A794&amp;"|"&amp;$B794&amp;"|"&amp;$C794&amp;"|"&amp;$D794)</f>
        <v/>
      </c>
    </row>
    <row r="795">
      <c r="I795" s="90">
        <f>IF($A795="","",$A795&amp;"|"&amp;$B795&amp;"|"&amp;$C795&amp;"|"&amp;$D795)</f>
        <v/>
      </c>
    </row>
    <row r="796">
      <c r="I796" s="90">
        <f>IF($A796="","",$A796&amp;"|"&amp;$B796&amp;"|"&amp;$C796&amp;"|"&amp;$D796)</f>
        <v/>
      </c>
    </row>
    <row r="797">
      <c r="I797" s="90">
        <f>IF($A797="","",$A797&amp;"|"&amp;$B797&amp;"|"&amp;$C797&amp;"|"&amp;$D797)</f>
        <v/>
      </c>
    </row>
    <row r="798">
      <c r="I798" s="90">
        <f>IF($A798="","",$A798&amp;"|"&amp;$B798&amp;"|"&amp;$C798&amp;"|"&amp;$D798)</f>
        <v/>
      </c>
    </row>
    <row r="799">
      <c r="I799" s="90">
        <f>IF($A799="","",$A799&amp;"|"&amp;$B799&amp;"|"&amp;$C799&amp;"|"&amp;$D799)</f>
        <v/>
      </c>
    </row>
    <row r="800">
      <c r="I800" s="90">
        <f>IF($A800="","",$A800&amp;"|"&amp;$B800&amp;"|"&amp;$C800&amp;"|"&amp;$D800)</f>
        <v/>
      </c>
    </row>
    <row r="801">
      <c r="I801" s="90">
        <f>IF($A801="","",$A801&amp;"|"&amp;$B801&amp;"|"&amp;$C801&amp;"|"&amp;$D801)</f>
        <v/>
      </c>
    </row>
    <row r="802">
      <c r="I802" s="90">
        <f>IF($A802="","",$A802&amp;"|"&amp;$B802&amp;"|"&amp;$C802&amp;"|"&amp;$D802)</f>
        <v/>
      </c>
    </row>
    <row r="803">
      <c r="I803" s="90">
        <f>IF($A803="","",$A803&amp;"|"&amp;$B803&amp;"|"&amp;$C803&amp;"|"&amp;$D803)</f>
        <v/>
      </c>
    </row>
    <row r="804">
      <c r="I804" s="90">
        <f>IF($A804="","",$A804&amp;"|"&amp;$B804&amp;"|"&amp;$C804&amp;"|"&amp;$D804)</f>
        <v/>
      </c>
    </row>
    <row r="805">
      <c r="I805" s="90">
        <f>IF($A805="","",$A805&amp;"|"&amp;$B805&amp;"|"&amp;$C805&amp;"|"&amp;$D805)</f>
        <v/>
      </c>
    </row>
    <row r="806">
      <c r="I806" s="90">
        <f>IF($A806="","",$A806&amp;"|"&amp;$B806&amp;"|"&amp;$C806&amp;"|"&amp;$D806)</f>
        <v/>
      </c>
    </row>
    <row r="807">
      <c r="I807" s="90">
        <f>IF($A807="","",$A807&amp;"|"&amp;$B807&amp;"|"&amp;$C807&amp;"|"&amp;$D807)</f>
        <v/>
      </c>
    </row>
    <row r="808">
      <c r="I808" s="90">
        <f>IF($A808="","",$A808&amp;"|"&amp;$B808&amp;"|"&amp;$C808&amp;"|"&amp;$D808)</f>
        <v/>
      </c>
    </row>
    <row r="809">
      <c r="I809" s="90">
        <f>IF($A809="","",$A809&amp;"|"&amp;$B809&amp;"|"&amp;$C809&amp;"|"&amp;$D809)</f>
        <v/>
      </c>
    </row>
    <row r="810">
      <c r="I810" s="90">
        <f>IF($A810="","",$A810&amp;"|"&amp;$B810&amp;"|"&amp;$C810&amp;"|"&amp;$D810)</f>
        <v/>
      </c>
    </row>
    <row r="811">
      <c r="I811" s="90">
        <f>IF($A811="","",$A811&amp;"|"&amp;$B811&amp;"|"&amp;$C811&amp;"|"&amp;$D811)</f>
        <v/>
      </c>
    </row>
    <row r="812">
      <c r="I812" s="90">
        <f>IF($A812="","",$A812&amp;"|"&amp;$B812&amp;"|"&amp;$C812&amp;"|"&amp;$D812)</f>
        <v/>
      </c>
    </row>
    <row r="813">
      <c r="I813" s="90">
        <f>IF($A813="","",$A813&amp;"|"&amp;$B813&amp;"|"&amp;$C813&amp;"|"&amp;$D813)</f>
        <v/>
      </c>
    </row>
    <row r="814">
      <c r="I814" s="90">
        <f>IF($A814="","",$A814&amp;"|"&amp;$B814&amp;"|"&amp;$C814&amp;"|"&amp;$D814)</f>
        <v/>
      </c>
    </row>
    <row r="815">
      <c r="I815" s="90">
        <f>IF($A815="","",$A815&amp;"|"&amp;$B815&amp;"|"&amp;$C815&amp;"|"&amp;$D815)</f>
        <v/>
      </c>
    </row>
    <row r="816">
      <c r="I816" s="90">
        <f>IF($A816="","",$A816&amp;"|"&amp;$B816&amp;"|"&amp;$C816&amp;"|"&amp;$D816)</f>
        <v/>
      </c>
    </row>
    <row r="817">
      <c r="I817" s="90">
        <f>IF($A817="","",$A817&amp;"|"&amp;$B817&amp;"|"&amp;$C817&amp;"|"&amp;$D817)</f>
        <v/>
      </c>
    </row>
    <row r="818">
      <c r="I818" s="90">
        <f>IF($A818="","",$A818&amp;"|"&amp;$B818&amp;"|"&amp;$C818&amp;"|"&amp;$D818)</f>
        <v/>
      </c>
    </row>
    <row r="819">
      <c r="I819" s="90">
        <f>IF($A819="","",$A819&amp;"|"&amp;$B819&amp;"|"&amp;$C819&amp;"|"&amp;$D819)</f>
        <v/>
      </c>
    </row>
    <row r="820">
      <c r="I820" s="90">
        <f>IF($A820="","",$A820&amp;"|"&amp;$B820&amp;"|"&amp;$C820&amp;"|"&amp;$D820)</f>
        <v/>
      </c>
    </row>
    <row r="821">
      <c r="I821" s="90">
        <f>IF($A821="","",$A821&amp;"|"&amp;$B821&amp;"|"&amp;$C821&amp;"|"&amp;$D821)</f>
        <v/>
      </c>
    </row>
    <row r="822">
      <c r="I822" s="90">
        <f>IF($A822="","",$A822&amp;"|"&amp;$B822&amp;"|"&amp;$C822&amp;"|"&amp;$D822)</f>
        <v/>
      </c>
    </row>
    <row r="823">
      <c r="I823" s="90">
        <f>IF($A823="","",$A823&amp;"|"&amp;$B823&amp;"|"&amp;$C823&amp;"|"&amp;$D823)</f>
        <v/>
      </c>
    </row>
    <row r="824">
      <c r="I824" s="90">
        <f>IF($A824="","",$A824&amp;"|"&amp;$B824&amp;"|"&amp;$C824&amp;"|"&amp;$D824)</f>
        <v/>
      </c>
    </row>
    <row r="825">
      <c r="I825" s="90">
        <f>IF($A825="","",$A825&amp;"|"&amp;$B825&amp;"|"&amp;$C825&amp;"|"&amp;$D825)</f>
        <v/>
      </c>
    </row>
    <row r="826">
      <c r="I826" s="90">
        <f>IF($A826="","",$A826&amp;"|"&amp;$B826&amp;"|"&amp;$C826&amp;"|"&amp;$D826)</f>
        <v/>
      </c>
    </row>
    <row r="827">
      <c r="I827" s="90">
        <f>IF($A827="","",$A827&amp;"|"&amp;$B827&amp;"|"&amp;$C827&amp;"|"&amp;$D827)</f>
        <v/>
      </c>
    </row>
    <row r="828">
      <c r="I828" s="90">
        <f>IF($A828="","",$A828&amp;"|"&amp;$B828&amp;"|"&amp;$C828&amp;"|"&amp;$D828)</f>
        <v/>
      </c>
    </row>
    <row r="829">
      <c r="I829" s="90">
        <f>IF($A829="","",$A829&amp;"|"&amp;$B829&amp;"|"&amp;$C829&amp;"|"&amp;$D829)</f>
        <v/>
      </c>
    </row>
    <row r="830">
      <c r="I830" s="90">
        <f>IF($A830="","",$A830&amp;"|"&amp;$B830&amp;"|"&amp;$C830&amp;"|"&amp;$D830)</f>
        <v/>
      </c>
    </row>
    <row r="831">
      <c r="I831" s="90">
        <f>IF($A831="","",$A831&amp;"|"&amp;$B831&amp;"|"&amp;$C831&amp;"|"&amp;$D831)</f>
        <v/>
      </c>
    </row>
    <row r="832">
      <c r="I832" s="90">
        <f>IF($A832="","",$A832&amp;"|"&amp;$B832&amp;"|"&amp;$C832&amp;"|"&amp;$D832)</f>
        <v/>
      </c>
    </row>
    <row r="833">
      <c r="I833" s="90">
        <f>IF($A833="","",$A833&amp;"|"&amp;$B833&amp;"|"&amp;$C833&amp;"|"&amp;$D833)</f>
        <v/>
      </c>
    </row>
    <row r="834">
      <c r="I834" s="90">
        <f>IF($A834="","",$A834&amp;"|"&amp;$B834&amp;"|"&amp;$C834&amp;"|"&amp;$D834)</f>
        <v/>
      </c>
    </row>
    <row r="835">
      <c r="I835" s="90">
        <f>IF($A835="","",$A835&amp;"|"&amp;$B835&amp;"|"&amp;$C835&amp;"|"&amp;$D835)</f>
        <v/>
      </c>
    </row>
    <row r="836">
      <c r="I836" s="90">
        <f>IF($A836="","",$A836&amp;"|"&amp;$B836&amp;"|"&amp;$C836&amp;"|"&amp;$D836)</f>
        <v/>
      </c>
    </row>
    <row r="837">
      <c r="I837" s="90">
        <f>IF($A837="","",$A837&amp;"|"&amp;$B837&amp;"|"&amp;$C837&amp;"|"&amp;$D837)</f>
        <v/>
      </c>
    </row>
    <row r="838">
      <c r="I838" s="90">
        <f>IF($A838="","",$A838&amp;"|"&amp;$B838&amp;"|"&amp;$C838&amp;"|"&amp;$D838)</f>
        <v/>
      </c>
    </row>
    <row r="839">
      <c r="I839" s="90">
        <f>IF($A839="","",$A839&amp;"|"&amp;$B839&amp;"|"&amp;$C839&amp;"|"&amp;$D839)</f>
        <v/>
      </c>
    </row>
    <row r="840">
      <c r="I840" s="90">
        <f>IF($A840="","",$A840&amp;"|"&amp;$B840&amp;"|"&amp;$C840&amp;"|"&amp;$D840)</f>
        <v/>
      </c>
    </row>
    <row r="841">
      <c r="I841" s="90">
        <f>IF($A841="","",$A841&amp;"|"&amp;$B841&amp;"|"&amp;$C841&amp;"|"&amp;$D841)</f>
        <v/>
      </c>
    </row>
    <row r="842">
      <c r="I842" s="90">
        <f>IF($A842="","",$A842&amp;"|"&amp;$B842&amp;"|"&amp;$C842&amp;"|"&amp;$D842)</f>
        <v/>
      </c>
    </row>
    <row r="843">
      <c r="I843" s="90">
        <f>IF($A843="","",$A843&amp;"|"&amp;$B843&amp;"|"&amp;$C843&amp;"|"&amp;$D843)</f>
        <v/>
      </c>
    </row>
    <row r="844">
      <c r="I844" s="90">
        <f>IF($A844="","",$A844&amp;"|"&amp;$B844&amp;"|"&amp;$C844&amp;"|"&amp;$D844)</f>
        <v/>
      </c>
    </row>
    <row r="845">
      <c r="I845" s="90">
        <f>IF($A845="","",$A845&amp;"|"&amp;$B845&amp;"|"&amp;$C845&amp;"|"&amp;$D845)</f>
        <v/>
      </c>
    </row>
    <row r="846">
      <c r="I846" s="90">
        <f>IF($A846="","",$A846&amp;"|"&amp;$B846&amp;"|"&amp;$C846&amp;"|"&amp;$D846)</f>
        <v/>
      </c>
    </row>
    <row r="847">
      <c r="I847" s="90">
        <f>IF($A847="","",$A847&amp;"|"&amp;$B847&amp;"|"&amp;$C847&amp;"|"&amp;$D847)</f>
        <v/>
      </c>
    </row>
    <row r="848">
      <c r="I848" s="90">
        <f>IF($A848="","",$A848&amp;"|"&amp;$B848&amp;"|"&amp;$C848&amp;"|"&amp;$D848)</f>
        <v/>
      </c>
    </row>
    <row r="849">
      <c r="I849" s="90">
        <f>IF($A849="","",$A849&amp;"|"&amp;$B849&amp;"|"&amp;$C849&amp;"|"&amp;$D849)</f>
        <v/>
      </c>
    </row>
    <row r="850">
      <c r="I850" s="90">
        <f>IF($A850="","",$A850&amp;"|"&amp;$B850&amp;"|"&amp;$C850&amp;"|"&amp;$D850)</f>
        <v/>
      </c>
    </row>
    <row r="851">
      <c r="I851" s="90">
        <f>IF($A851="","",$A851&amp;"|"&amp;$B851&amp;"|"&amp;$C851&amp;"|"&amp;$D851)</f>
        <v/>
      </c>
    </row>
    <row r="852">
      <c r="I852" s="90">
        <f>IF($A852="","",$A852&amp;"|"&amp;$B852&amp;"|"&amp;$C852&amp;"|"&amp;$D852)</f>
        <v/>
      </c>
    </row>
    <row r="853">
      <c r="I853" s="90">
        <f>IF($A853="","",$A853&amp;"|"&amp;$B853&amp;"|"&amp;$C853&amp;"|"&amp;$D853)</f>
        <v/>
      </c>
    </row>
    <row r="854">
      <c r="I854" s="90">
        <f>IF($A854="","",$A854&amp;"|"&amp;$B854&amp;"|"&amp;$C854&amp;"|"&amp;$D854)</f>
        <v/>
      </c>
    </row>
    <row r="855">
      <c r="I855" s="90">
        <f>IF($A855="","",$A855&amp;"|"&amp;$B855&amp;"|"&amp;$C855&amp;"|"&amp;$D855)</f>
        <v/>
      </c>
    </row>
    <row r="856">
      <c r="I856" s="90">
        <f>IF($A856="","",$A856&amp;"|"&amp;$B856&amp;"|"&amp;$C856&amp;"|"&amp;$D856)</f>
        <v/>
      </c>
    </row>
    <row r="857">
      <c r="I857" s="90">
        <f>IF($A857="","",$A857&amp;"|"&amp;$B857&amp;"|"&amp;$C857&amp;"|"&amp;$D857)</f>
        <v/>
      </c>
    </row>
    <row r="858">
      <c r="I858" s="90">
        <f>IF($A858="","",$A858&amp;"|"&amp;$B858&amp;"|"&amp;$C858&amp;"|"&amp;$D858)</f>
        <v/>
      </c>
    </row>
    <row r="859">
      <c r="I859" s="90">
        <f>IF($A859="","",$A859&amp;"|"&amp;$B859&amp;"|"&amp;$C859&amp;"|"&amp;$D859)</f>
        <v/>
      </c>
    </row>
    <row r="860">
      <c r="I860" s="90">
        <f>IF($A860="","",$A860&amp;"|"&amp;$B860&amp;"|"&amp;$C860&amp;"|"&amp;$D860)</f>
        <v/>
      </c>
    </row>
    <row r="861">
      <c r="I861" s="90">
        <f>IF($A861="","",$A861&amp;"|"&amp;$B861&amp;"|"&amp;$C861&amp;"|"&amp;$D861)</f>
        <v/>
      </c>
    </row>
    <row r="862">
      <c r="I862" s="90">
        <f>IF($A862="","",$A862&amp;"|"&amp;$B862&amp;"|"&amp;$C862&amp;"|"&amp;$D862)</f>
        <v/>
      </c>
    </row>
    <row r="863">
      <c r="I863" s="90">
        <f>IF($A863="","",$A863&amp;"|"&amp;$B863&amp;"|"&amp;$C863&amp;"|"&amp;$D863)</f>
        <v/>
      </c>
    </row>
    <row r="864">
      <c r="I864" s="90">
        <f>IF($A864="","",$A864&amp;"|"&amp;$B864&amp;"|"&amp;$C864&amp;"|"&amp;$D864)</f>
        <v/>
      </c>
    </row>
    <row r="865">
      <c r="I865" s="90">
        <f>IF($A865="","",$A865&amp;"|"&amp;$B865&amp;"|"&amp;$C865&amp;"|"&amp;$D865)</f>
        <v/>
      </c>
    </row>
    <row r="866">
      <c r="I866" s="90">
        <f>IF($A866="","",$A866&amp;"|"&amp;$B866&amp;"|"&amp;$C866&amp;"|"&amp;$D866)</f>
        <v/>
      </c>
    </row>
    <row r="867">
      <c r="I867" s="90">
        <f>IF($A867="","",$A867&amp;"|"&amp;$B867&amp;"|"&amp;$C867&amp;"|"&amp;$D867)</f>
        <v/>
      </c>
    </row>
    <row r="868">
      <c r="I868" s="90">
        <f>IF($A868="","",$A868&amp;"|"&amp;$B868&amp;"|"&amp;$C868&amp;"|"&amp;$D868)</f>
        <v/>
      </c>
    </row>
    <row r="869">
      <c r="I869" s="90">
        <f>IF($A869="","",$A869&amp;"|"&amp;$B869&amp;"|"&amp;$C869&amp;"|"&amp;$D869)</f>
        <v/>
      </c>
    </row>
    <row r="870">
      <c r="I870" s="90">
        <f>IF($A870="","",$A870&amp;"|"&amp;$B870&amp;"|"&amp;$C870&amp;"|"&amp;$D870)</f>
        <v/>
      </c>
    </row>
    <row r="871">
      <c r="I871" s="90">
        <f>IF($A871="","",$A871&amp;"|"&amp;$B871&amp;"|"&amp;$C871&amp;"|"&amp;$D871)</f>
        <v/>
      </c>
    </row>
    <row r="872">
      <c r="I872" s="90">
        <f>IF($A872="","",$A872&amp;"|"&amp;$B872&amp;"|"&amp;$C872&amp;"|"&amp;$D872)</f>
        <v/>
      </c>
    </row>
    <row r="873">
      <c r="I873" s="90">
        <f>IF($A873="","",$A873&amp;"|"&amp;$B873&amp;"|"&amp;$C873&amp;"|"&amp;$D873)</f>
        <v/>
      </c>
    </row>
    <row r="874">
      <c r="I874" s="90">
        <f>IF($A874="","",$A874&amp;"|"&amp;$B874&amp;"|"&amp;$C874&amp;"|"&amp;$D874)</f>
        <v/>
      </c>
    </row>
    <row r="875">
      <c r="I875" s="90">
        <f>IF($A875="","",$A875&amp;"|"&amp;$B875&amp;"|"&amp;$C875&amp;"|"&amp;$D875)</f>
        <v/>
      </c>
    </row>
    <row r="876">
      <c r="I876" s="90">
        <f>IF($A876="","",$A876&amp;"|"&amp;$B876&amp;"|"&amp;$C876&amp;"|"&amp;$D876)</f>
        <v/>
      </c>
    </row>
    <row r="877">
      <c r="I877" s="90">
        <f>IF($A877="","",$A877&amp;"|"&amp;$B877&amp;"|"&amp;$C877&amp;"|"&amp;$D877)</f>
        <v/>
      </c>
    </row>
    <row r="878">
      <c r="I878" s="90">
        <f>IF($A878="","",$A878&amp;"|"&amp;$B878&amp;"|"&amp;$C878&amp;"|"&amp;$D878)</f>
        <v/>
      </c>
    </row>
    <row r="879">
      <c r="I879" s="90">
        <f>IF($A879="","",$A879&amp;"|"&amp;$B879&amp;"|"&amp;$C879&amp;"|"&amp;$D879)</f>
        <v/>
      </c>
    </row>
    <row r="880">
      <c r="I880" s="90">
        <f>IF($A880="","",$A880&amp;"|"&amp;$B880&amp;"|"&amp;$C880&amp;"|"&amp;$D880)</f>
        <v/>
      </c>
    </row>
    <row r="881">
      <c r="I881" s="90">
        <f>IF($A881="","",$A881&amp;"|"&amp;$B881&amp;"|"&amp;$C881&amp;"|"&amp;$D881)</f>
        <v/>
      </c>
    </row>
    <row r="882">
      <c r="I882" s="90">
        <f>IF($A882="","",$A882&amp;"|"&amp;$B882&amp;"|"&amp;$C882&amp;"|"&amp;$D882)</f>
        <v/>
      </c>
    </row>
    <row r="883">
      <c r="I883" s="90">
        <f>IF($A883="","",$A883&amp;"|"&amp;$B883&amp;"|"&amp;$C883&amp;"|"&amp;$D883)</f>
        <v/>
      </c>
    </row>
    <row r="884">
      <c r="I884" s="90">
        <f>IF($A884="","",$A884&amp;"|"&amp;$B884&amp;"|"&amp;$C884&amp;"|"&amp;$D884)</f>
        <v/>
      </c>
    </row>
    <row r="885">
      <c r="I885" s="90">
        <f>IF($A885="","",$A885&amp;"|"&amp;$B885&amp;"|"&amp;$C885&amp;"|"&amp;$D885)</f>
        <v/>
      </c>
    </row>
    <row r="886">
      <c r="I886" s="90">
        <f>IF($A886="","",$A886&amp;"|"&amp;$B886&amp;"|"&amp;$C886&amp;"|"&amp;$D886)</f>
        <v/>
      </c>
    </row>
    <row r="887">
      <c r="I887" s="90">
        <f>IF($A887="","",$A887&amp;"|"&amp;$B887&amp;"|"&amp;$C887&amp;"|"&amp;$D887)</f>
        <v/>
      </c>
    </row>
    <row r="888">
      <c r="I888" s="90">
        <f>IF($A888="","",$A888&amp;"|"&amp;$B888&amp;"|"&amp;$C888&amp;"|"&amp;$D888)</f>
        <v/>
      </c>
    </row>
    <row r="889">
      <c r="I889" s="90">
        <f>IF($A889="","",$A889&amp;"|"&amp;$B889&amp;"|"&amp;$C889&amp;"|"&amp;$D889)</f>
        <v/>
      </c>
    </row>
    <row r="890">
      <c r="I890" s="90">
        <f>IF($A890="","",$A890&amp;"|"&amp;$B890&amp;"|"&amp;$C890&amp;"|"&amp;$D890)</f>
        <v/>
      </c>
    </row>
    <row r="891">
      <c r="I891" s="90">
        <f>IF($A891="","",$A891&amp;"|"&amp;$B891&amp;"|"&amp;$C891&amp;"|"&amp;$D891)</f>
        <v/>
      </c>
    </row>
    <row r="892">
      <c r="I892" s="90">
        <f>IF($A892="","",$A892&amp;"|"&amp;$B892&amp;"|"&amp;$C892&amp;"|"&amp;$D892)</f>
        <v/>
      </c>
    </row>
    <row r="893">
      <c r="I893" s="90">
        <f>IF($A893="","",$A893&amp;"|"&amp;$B893&amp;"|"&amp;$C893&amp;"|"&amp;$D893)</f>
        <v/>
      </c>
    </row>
    <row r="894">
      <c r="I894" s="90">
        <f>IF($A894="","",$A894&amp;"|"&amp;$B894&amp;"|"&amp;$C894&amp;"|"&amp;$D894)</f>
        <v/>
      </c>
    </row>
    <row r="895">
      <c r="I895" s="90">
        <f>IF($A895="","",$A895&amp;"|"&amp;$B895&amp;"|"&amp;$C895&amp;"|"&amp;$D895)</f>
        <v/>
      </c>
    </row>
    <row r="896">
      <c r="I896" s="90">
        <f>IF($A896="","",$A896&amp;"|"&amp;$B896&amp;"|"&amp;$C896&amp;"|"&amp;$D896)</f>
        <v/>
      </c>
    </row>
    <row r="897">
      <c r="I897" s="90">
        <f>IF($A897="","",$A897&amp;"|"&amp;$B897&amp;"|"&amp;$C897&amp;"|"&amp;$D897)</f>
        <v/>
      </c>
    </row>
    <row r="898">
      <c r="I898" s="90">
        <f>IF($A898="","",$A898&amp;"|"&amp;$B898&amp;"|"&amp;$C898&amp;"|"&amp;$D898)</f>
        <v/>
      </c>
    </row>
    <row r="899">
      <c r="I899" s="90">
        <f>IF($A899="","",$A899&amp;"|"&amp;$B899&amp;"|"&amp;$C899&amp;"|"&amp;$D899)</f>
        <v/>
      </c>
    </row>
    <row r="900">
      <c r="I900" s="90">
        <f>IF($A900="","",$A900&amp;"|"&amp;$B900&amp;"|"&amp;$C900&amp;"|"&amp;$D900)</f>
        <v/>
      </c>
    </row>
    <row r="901">
      <c r="I901" s="90">
        <f>IF($A901="","",$A901&amp;"|"&amp;$B901&amp;"|"&amp;$C901&amp;"|"&amp;$D901)</f>
        <v/>
      </c>
    </row>
    <row r="902">
      <c r="I902" s="90">
        <f>IF($A902="","",$A902&amp;"|"&amp;$B902&amp;"|"&amp;$C902&amp;"|"&amp;$D902)</f>
        <v/>
      </c>
    </row>
    <row r="903">
      <c r="I903" s="90">
        <f>IF($A903="","",$A903&amp;"|"&amp;$B903&amp;"|"&amp;$C903&amp;"|"&amp;$D903)</f>
        <v/>
      </c>
    </row>
    <row r="904">
      <c r="I904" s="90">
        <f>IF($A904="","",$A904&amp;"|"&amp;$B904&amp;"|"&amp;$C904&amp;"|"&amp;$D904)</f>
        <v/>
      </c>
    </row>
    <row r="905">
      <c r="I905" s="90">
        <f>IF($A905="","",$A905&amp;"|"&amp;$B905&amp;"|"&amp;$C905&amp;"|"&amp;$D905)</f>
        <v/>
      </c>
    </row>
    <row r="906">
      <c r="I906" s="90">
        <f>IF($A906="","",$A906&amp;"|"&amp;$B906&amp;"|"&amp;$C906&amp;"|"&amp;$D906)</f>
        <v/>
      </c>
    </row>
    <row r="907">
      <c r="I907" s="90">
        <f>IF($A907="","",$A907&amp;"|"&amp;$B907&amp;"|"&amp;$C907&amp;"|"&amp;$D907)</f>
        <v/>
      </c>
    </row>
    <row r="908">
      <c r="I908" s="90">
        <f>IF($A908="","",$A908&amp;"|"&amp;$B908&amp;"|"&amp;$C908&amp;"|"&amp;$D908)</f>
        <v/>
      </c>
    </row>
    <row r="909">
      <c r="I909" s="90">
        <f>IF($A909="","",$A909&amp;"|"&amp;$B909&amp;"|"&amp;$C909&amp;"|"&amp;$D909)</f>
        <v/>
      </c>
    </row>
    <row r="910">
      <c r="I910" s="90">
        <f>IF($A910="","",$A910&amp;"|"&amp;$B910&amp;"|"&amp;$C910&amp;"|"&amp;$D910)</f>
        <v/>
      </c>
    </row>
    <row r="911">
      <c r="I911" s="90">
        <f>IF($A911="","",$A911&amp;"|"&amp;$B911&amp;"|"&amp;$C911&amp;"|"&amp;$D911)</f>
        <v/>
      </c>
    </row>
    <row r="912">
      <c r="I912" s="90">
        <f>IF($A912="","",$A912&amp;"|"&amp;$B912&amp;"|"&amp;$C912&amp;"|"&amp;$D912)</f>
        <v/>
      </c>
    </row>
    <row r="913">
      <c r="I913" s="90">
        <f>IF($A913="","",$A913&amp;"|"&amp;$B913&amp;"|"&amp;$C913&amp;"|"&amp;$D913)</f>
        <v/>
      </c>
    </row>
    <row r="914">
      <c r="I914" s="90">
        <f>IF($A914="","",$A914&amp;"|"&amp;$B914&amp;"|"&amp;$C914&amp;"|"&amp;$D914)</f>
        <v/>
      </c>
    </row>
    <row r="915">
      <c r="I915" s="90">
        <f>IF($A915="","",$A915&amp;"|"&amp;$B915&amp;"|"&amp;$C915&amp;"|"&amp;$D915)</f>
        <v/>
      </c>
    </row>
    <row r="916">
      <c r="I916" s="90">
        <f>IF($A916="","",$A916&amp;"|"&amp;$B916&amp;"|"&amp;$C916&amp;"|"&amp;$D916)</f>
        <v/>
      </c>
    </row>
    <row r="917">
      <c r="I917" s="90">
        <f>IF($A917="","",$A917&amp;"|"&amp;$B917&amp;"|"&amp;$C917&amp;"|"&amp;$D917)</f>
        <v/>
      </c>
    </row>
    <row r="918">
      <c r="I918" s="90">
        <f>IF($A918="","",$A918&amp;"|"&amp;$B918&amp;"|"&amp;$C918&amp;"|"&amp;$D918)</f>
        <v/>
      </c>
    </row>
    <row r="919">
      <c r="I919" s="90">
        <f>IF($A919="","",$A919&amp;"|"&amp;$B919&amp;"|"&amp;$C919&amp;"|"&amp;$D919)</f>
        <v/>
      </c>
    </row>
    <row r="920">
      <c r="I920" s="90">
        <f>IF($A920="","",$A920&amp;"|"&amp;$B920&amp;"|"&amp;$C920&amp;"|"&amp;$D920)</f>
        <v/>
      </c>
    </row>
    <row r="921">
      <c r="I921" s="90">
        <f>IF($A921="","",$A921&amp;"|"&amp;$B921&amp;"|"&amp;$C921&amp;"|"&amp;$D921)</f>
        <v/>
      </c>
    </row>
    <row r="922">
      <c r="I922" s="90">
        <f>IF($A922="","",$A922&amp;"|"&amp;$B922&amp;"|"&amp;$C922&amp;"|"&amp;$D922)</f>
        <v/>
      </c>
    </row>
    <row r="923">
      <c r="I923" s="90">
        <f>IF($A923="","",$A923&amp;"|"&amp;$B923&amp;"|"&amp;$C923&amp;"|"&amp;$D923)</f>
        <v/>
      </c>
    </row>
    <row r="924">
      <c r="I924" s="90">
        <f>IF($A924="","",$A924&amp;"|"&amp;$B924&amp;"|"&amp;$C924&amp;"|"&amp;$D924)</f>
        <v/>
      </c>
    </row>
    <row r="925">
      <c r="I925" s="90">
        <f>IF($A925="","",$A925&amp;"|"&amp;$B925&amp;"|"&amp;$C925&amp;"|"&amp;$D925)</f>
        <v/>
      </c>
    </row>
    <row r="926">
      <c r="I926" s="90">
        <f>IF($A926="","",$A926&amp;"|"&amp;$B926&amp;"|"&amp;$C926&amp;"|"&amp;$D926)</f>
        <v/>
      </c>
    </row>
    <row r="927">
      <c r="I927" s="90">
        <f>IF($A927="","",$A927&amp;"|"&amp;$B927&amp;"|"&amp;$C927&amp;"|"&amp;$D927)</f>
        <v/>
      </c>
    </row>
    <row r="928">
      <c r="I928" s="90">
        <f>IF($A928="","",$A928&amp;"|"&amp;$B928&amp;"|"&amp;$C928&amp;"|"&amp;$D928)</f>
        <v/>
      </c>
    </row>
    <row r="929">
      <c r="I929" s="90">
        <f>IF($A929="","",$A929&amp;"|"&amp;$B929&amp;"|"&amp;$C929&amp;"|"&amp;$D929)</f>
        <v/>
      </c>
    </row>
    <row r="930">
      <c r="I930" s="90">
        <f>IF($A930="","",$A930&amp;"|"&amp;$B930&amp;"|"&amp;$C930&amp;"|"&amp;$D930)</f>
        <v/>
      </c>
    </row>
    <row r="931">
      <c r="I931" s="90">
        <f>IF($A931="","",$A931&amp;"|"&amp;$B931&amp;"|"&amp;$C931&amp;"|"&amp;$D931)</f>
        <v/>
      </c>
    </row>
    <row r="932">
      <c r="I932" s="90">
        <f>IF($A932="","",$A932&amp;"|"&amp;$B932&amp;"|"&amp;$C932&amp;"|"&amp;$D932)</f>
        <v/>
      </c>
    </row>
    <row r="933">
      <c r="I933" s="90">
        <f>IF($A933="","",$A933&amp;"|"&amp;$B933&amp;"|"&amp;$C933&amp;"|"&amp;$D933)</f>
        <v/>
      </c>
    </row>
    <row r="934">
      <c r="I934" s="90">
        <f>IF($A934="","",$A934&amp;"|"&amp;$B934&amp;"|"&amp;$C934&amp;"|"&amp;$D934)</f>
        <v/>
      </c>
    </row>
    <row r="935">
      <c r="I935" s="90">
        <f>IF($A935="","",$A935&amp;"|"&amp;$B935&amp;"|"&amp;$C935&amp;"|"&amp;$D935)</f>
        <v/>
      </c>
    </row>
    <row r="936">
      <c r="I936" s="90">
        <f>IF($A936="","",$A936&amp;"|"&amp;$B936&amp;"|"&amp;$C936&amp;"|"&amp;$D936)</f>
        <v/>
      </c>
    </row>
    <row r="937">
      <c r="I937" s="90">
        <f>IF($A937="","",$A937&amp;"|"&amp;$B937&amp;"|"&amp;$C937&amp;"|"&amp;$D937)</f>
        <v/>
      </c>
    </row>
    <row r="938">
      <c r="I938" s="90">
        <f>IF($A938="","",$A938&amp;"|"&amp;$B938&amp;"|"&amp;$C938&amp;"|"&amp;$D938)</f>
        <v/>
      </c>
    </row>
    <row r="939">
      <c r="I939" s="90">
        <f>IF($A939="","",$A939&amp;"|"&amp;$B939&amp;"|"&amp;$C939&amp;"|"&amp;$D939)</f>
        <v/>
      </c>
    </row>
    <row r="940">
      <c r="I940" s="90">
        <f>IF($A940="","",$A940&amp;"|"&amp;$B940&amp;"|"&amp;$C940&amp;"|"&amp;$D940)</f>
        <v/>
      </c>
    </row>
    <row r="941">
      <c r="I941" s="90">
        <f>IF($A941="","",$A941&amp;"|"&amp;$B941&amp;"|"&amp;$C941&amp;"|"&amp;$D941)</f>
        <v/>
      </c>
    </row>
    <row r="942">
      <c r="I942" s="90">
        <f>IF($A942="","",$A942&amp;"|"&amp;$B942&amp;"|"&amp;$C942&amp;"|"&amp;$D942)</f>
        <v/>
      </c>
    </row>
    <row r="943">
      <c r="I943" s="90">
        <f>IF($A943="","",$A943&amp;"|"&amp;$B943&amp;"|"&amp;$C943&amp;"|"&amp;$D943)</f>
        <v/>
      </c>
    </row>
    <row r="944">
      <c r="I944" s="90">
        <f>IF($A944="","",$A944&amp;"|"&amp;$B944&amp;"|"&amp;$C944&amp;"|"&amp;$D944)</f>
        <v/>
      </c>
    </row>
    <row r="945">
      <c r="I945" s="90">
        <f>IF($A945="","",$A945&amp;"|"&amp;$B945&amp;"|"&amp;$C945&amp;"|"&amp;$D945)</f>
        <v/>
      </c>
    </row>
    <row r="946">
      <c r="I946" s="90">
        <f>IF($A946="","",$A946&amp;"|"&amp;$B946&amp;"|"&amp;$C946&amp;"|"&amp;$D946)</f>
        <v/>
      </c>
    </row>
    <row r="947">
      <c r="I947" s="90">
        <f>IF($A947="","",$A947&amp;"|"&amp;$B947&amp;"|"&amp;$C947&amp;"|"&amp;$D947)</f>
        <v/>
      </c>
    </row>
    <row r="948">
      <c r="I948" s="90">
        <f>IF($A948="","",$A948&amp;"|"&amp;$B948&amp;"|"&amp;$C948&amp;"|"&amp;$D948)</f>
        <v/>
      </c>
    </row>
    <row r="949">
      <c r="I949" s="90">
        <f>IF($A949="","",$A949&amp;"|"&amp;$B949&amp;"|"&amp;$C949&amp;"|"&amp;$D949)</f>
        <v/>
      </c>
    </row>
    <row r="950">
      <c r="I950" s="90">
        <f>IF($A950="","",$A950&amp;"|"&amp;$B950&amp;"|"&amp;$C950&amp;"|"&amp;$D950)</f>
        <v/>
      </c>
    </row>
    <row r="951">
      <c r="I951" s="90">
        <f>IF($A951="","",$A951&amp;"|"&amp;$B951&amp;"|"&amp;$C951&amp;"|"&amp;$D951)</f>
        <v/>
      </c>
    </row>
    <row r="952">
      <c r="I952" s="90">
        <f>IF($A952="","",$A952&amp;"|"&amp;$B952&amp;"|"&amp;$C952&amp;"|"&amp;$D952)</f>
        <v/>
      </c>
    </row>
    <row r="953">
      <c r="I953" s="90">
        <f>IF($A953="","",$A953&amp;"|"&amp;$B953&amp;"|"&amp;$C953&amp;"|"&amp;$D953)</f>
        <v/>
      </c>
    </row>
    <row r="954">
      <c r="I954" s="90">
        <f>IF($A954="","",$A954&amp;"|"&amp;$B954&amp;"|"&amp;$C954&amp;"|"&amp;$D954)</f>
        <v/>
      </c>
    </row>
    <row r="955">
      <c r="I955" s="90">
        <f>IF($A955="","",$A955&amp;"|"&amp;$B955&amp;"|"&amp;$C955&amp;"|"&amp;$D955)</f>
        <v/>
      </c>
    </row>
    <row r="956">
      <c r="I956" s="90">
        <f>IF($A956="","",$A956&amp;"|"&amp;$B956&amp;"|"&amp;$C956&amp;"|"&amp;$D956)</f>
        <v/>
      </c>
    </row>
    <row r="957">
      <c r="I957" s="90">
        <f>IF($A957="","",$A957&amp;"|"&amp;$B957&amp;"|"&amp;$C957&amp;"|"&amp;$D957)</f>
        <v/>
      </c>
    </row>
    <row r="958">
      <c r="I958" s="90">
        <f>IF($A958="","",$A958&amp;"|"&amp;$B958&amp;"|"&amp;$C958&amp;"|"&amp;$D958)</f>
        <v/>
      </c>
    </row>
    <row r="959">
      <c r="I959" s="90">
        <f>IF($A959="","",$A959&amp;"|"&amp;$B959&amp;"|"&amp;$C959&amp;"|"&amp;$D959)</f>
        <v/>
      </c>
    </row>
    <row r="960">
      <c r="I960" s="90">
        <f>IF($A960="","",$A960&amp;"|"&amp;$B960&amp;"|"&amp;$C960&amp;"|"&amp;$D960)</f>
        <v/>
      </c>
    </row>
    <row r="961">
      <c r="I961" s="90">
        <f>IF($A961="","",$A961&amp;"|"&amp;$B961&amp;"|"&amp;$C961&amp;"|"&amp;$D961)</f>
        <v/>
      </c>
    </row>
    <row r="962">
      <c r="I962" s="90">
        <f>IF($A962="","",$A962&amp;"|"&amp;$B962&amp;"|"&amp;$C962&amp;"|"&amp;$D962)</f>
        <v/>
      </c>
    </row>
    <row r="963">
      <c r="I963" s="90">
        <f>IF($A963="","",$A963&amp;"|"&amp;$B963&amp;"|"&amp;$C963&amp;"|"&amp;$D963)</f>
        <v/>
      </c>
    </row>
    <row r="964">
      <c r="I964" s="90">
        <f>IF($A964="","",$A964&amp;"|"&amp;$B964&amp;"|"&amp;$C964&amp;"|"&amp;$D964)</f>
        <v/>
      </c>
    </row>
    <row r="965">
      <c r="I965" s="90">
        <f>IF($A965="","",$A965&amp;"|"&amp;$B965&amp;"|"&amp;$C965&amp;"|"&amp;$D965)</f>
        <v/>
      </c>
    </row>
    <row r="966">
      <c r="I966" s="90">
        <f>IF($A966="","",$A966&amp;"|"&amp;$B966&amp;"|"&amp;$C966&amp;"|"&amp;$D966)</f>
        <v/>
      </c>
    </row>
    <row r="967">
      <c r="I967" s="90">
        <f>IF($A967="","",$A967&amp;"|"&amp;$B967&amp;"|"&amp;$C967&amp;"|"&amp;$D967)</f>
        <v/>
      </c>
    </row>
    <row r="968">
      <c r="I968" s="90">
        <f>IF($A968="","",$A968&amp;"|"&amp;$B968&amp;"|"&amp;$C968&amp;"|"&amp;$D968)</f>
        <v/>
      </c>
    </row>
    <row r="969">
      <c r="I969" s="90">
        <f>IF($A969="","",$A969&amp;"|"&amp;$B969&amp;"|"&amp;$C969&amp;"|"&amp;$D969)</f>
        <v/>
      </c>
    </row>
    <row r="970">
      <c r="I970" s="90">
        <f>IF($A970="","",$A970&amp;"|"&amp;$B970&amp;"|"&amp;$C970&amp;"|"&amp;$D970)</f>
        <v/>
      </c>
    </row>
    <row r="971">
      <c r="I971" s="90">
        <f>IF($A971="","",$A971&amp;"|"&amp;$B971&amp;"|"&amp;$C971&amp;"|"&amp;$D971)</f>
        <v/>
      </c>
    </row>
    <row r="972">
      <c r="I972" s="90">
        <f>IF($A972="","",$A972&amp;"|"&amp;$B972&amp;"|"&amp;$C972&amp;"|"&amp;$D972)</f>
        <v/>
      </c>
    </row>
    <row r="973">
      <c r="I973" s="90">
        <f>IF($A973="","",$A973&amp;"|"&amp;$B973&amp;"|"&amp;$C973&amp;"|"&amp;$D973)</f>
        <v/>
      </c>
    </row>
    <row r="974">
      <c r="I974" s="90">
        <f>IF($A974="","",$A974&amp;"|"&amp;$B974&amp;"|"&amp;$C974&amp;"|"&amp;$D974)</f>
        <v/>
      </c>
    </row>
    <row r="975">
      <c r="I975" s="90">
        <f>IF($A975="","",$A975&amp;"|"&amp;$B975&amp;"|"&amp;$C975&amp;"|"&amp;$D975)</f>
        <v/>
      </c>
    </row>
    <row r="976">
      <c r="I976" s="90">
        <f>IF($A976="","",$A976&amp;"|"&amp;$B976&amp;"|"&amp;$C976&amp;"|"&amp;$D976)</f>
        <v/>
      </c>
    </row>
    <row r="977">
      <c r="I977" s="90">
        <f>IF($A977="","",$A977&amp;"|"&amp;$B977&amp;"|"&amp;$C977&amp;"|"&amp;$D977)</f>
        <v/>
      </c>
    </row>
    <row r="978">
      <c r="I978" s="90">
        <f>IF($A978="","",$A978&amp;"|"&amp;$B978&amp;"|"&amp;$C978&amp;"|"&amp;$D978)</f>
        <v/>
      </c>
    </row>
    <row r="979">
      <c r="I979" s="90">
        <f>IF($A979="","",$A979&amp;"|"&amp;$B979&amp;"|"&amp;$C979&amp;"|"&amp;$D979)</f>
        <v/>
      </c>
    </row>
    <row r="980">
      <c r="I980" s="90">
        <f>IF($A980="","",$A980&amp;"|"&amp;$B980&amp;"|"&amp;$C980&amp;"|"&amp;$D980)</f>
        <v/>
      </c>
    </row>
    <row r="981">
      <c r="I981" s="90">
        <f>IF($A981="","",$A981&amp;"|"&amp;$B981&amp;"|"&amp;$C981&amp;"|"&amp;$D981)</f>
        <v/>
      </c>
    </row>
    <row r="982">
      <c r="I982" s="90">
        <f>IF($A982="","",$A982&amp;"|"&amp;$B982&amp;"|"&amp;$C982&amp;"|"&amp;$D982)</f>
        <v/>
      </c>
    </row>
    <row r="983">
      <c r="I983" s="90">
        <f>IF($A983="","",$A983&amp;"|"&amp;$B983&amp;"|"&amp;$C983&amp;"|"&amp;$D983)</f>
        <v/>
      </c>
    </row>
    <row r="984">
      <c r="I984" s="90">
        <f>IF($A984="","",$A984&amp;"|"&amp;$B984&amp;"|"&amp;$C984&amp;"|"&amp;$D984)</f>
        <v/>
      </c>
    </row>
    <row r="985">
      <c r="I985" s="90">
        <f>IF($A985="","",$A985&amp;"|"&amp;$B985&amp;"|"&amp;$C985&amp;"|"&amp;$D985)</f>
        <v/>
      </c>
    </row>
    <row r="986">
      <c r="I986" s="90">
        <f>IF($A986="","",$A986&amp;"|"&amp;$B986&amp;"|"&amp;$C986&amp;"|"&amp;$D986)</f>
        <v/>
      </c>
    </row>
    <row r="987">
      <c r="I987" s="90">
        <f>IF($A987="","",$A987&amp;"|"&amp;$B987&amp;"|"&amp;$C987&amp;"|"&amp;$D987)</f>
        <v/>
      </c>
    </row>
    <row r="988">
      <c r="I988" s="90">
        <f>IF($A988="","",$A988&amp;"|"&amp;$B988&amp;"|"&amp;$C988&amp;"|"&amp;$D988)</f>
        <v/>
      </c>
    </row>
    <row r="989">
      <c r="I989" s="90">
        <f>IF($A989="","",$A989&amp;"|"&amp;$B989&amp;"|"&amp;$C989&amp;"|"&amp;$D989)</f>
        <v/>
      </c>
    </row>
    <row r="990">
      <c r="I990" s="90">
        <f>IF($A990="","",$A990&amp;"|"&amp;$B990&amp;"|"&amp;$C990&amp;"|"&amp;$D990)</f>
        <v/>
      </c>
    </row>
    <row r="991">
      <c r="I991" s="90">
        <f>IF($A991="","",$A991&amp;"|"&amp;$B991&amp;"|"&amp;$C991&amp;"|"&amp;$D991)</f>
        <v/>
      </c>
    </row>
    <row r="992">
      <c r="I992" s="90">
        <f>IF($A992="","",$A992&amp;"|"&amp;$B992&amp;"|"&amp;$C992&amp;"|"&amp;$D992)</f>
        <v/>
      </c>
    </row>
    <row r="993">
      <c r="I993" s="90">
        <f>IF($A993="","",$A993&amp;"|"&amp;$B993&amp;"|"&amp;$C993&amp;"|"&amp;$D993)</f>
        <v/>
      </c>
    </row>
    <row r="994">
      <c r="I994" s="90">
        <f>IF($A994="","",$A994&amp;"|"&amp;$B994&amp;"|"&amp;$C994&amp;"|"&amp;$D994)</f>
        <v/>
      </c>
    </row>
    <row r="995">
      <c r="I995" s="90">
        <f>IF($A995="","",$A995&amp;"|"&amp;$B995&amp;"|"&amp;$C995&amp;"|"&amp;$D995)</f>
        <v/>
      </c>
    </row>
    <row r="996">
      <c r="I996" s="90">
        <f>IF($A996="","",$A996&amp;"|"&amp;$B996&amp;"|"&amp;$C996&amp;"|"&amp;$D996)</f>
        <v/>
      </c>
    </row>
    <row r="997">
      <c r="I997" s="90">
        <f>IF($A997="","",$A997&amp;"|"&amp;$B997&amp;"|"&amp;$C997&amp;"|"&amp;$D997)</f>
        <v/>
      </c>
    </row>
    <row r="998">
      <c r="I998" s="90">
        <f>IF($A998="","",$A998&amp;"|"&amp;$B998&amp;"|"&amp;$C998&amp;"|"&amp;$D998)</f>
        <v/>
      </c>
    </row>
    <row r="999">
      <c r="I999" s="90">
        <f>IF($A999="","",$A999&amp;"|"&amp;$B999&amp;"|"&amp;$C999&amp;"|"&amp;$D999)</f>
        <v/>
      </c>
    </row>
    <row r="1000">
      <c r="I1000" s="90">
        <f>IF($A1000="","",$A1000&amp;"|"&amp;$B1000&amp;"|"&amp;$C1000&amp;"|"&amp;$D1000)</f>
        <v/>
      </c>
    </row>
    <row r="1001">
      <c r="I1001" s="90">
        <f>IF($A1001="","",$A1001&amp;"|"&amp;$B1001&amp;"|"&amp;$C1001&amp;"|"&amp;$D1001)</f>
        <v/>
      </c>
    </row>
    <row r="1002">
      <c r="I1002" s="90">
        <f>IF($A1002="","",$A1002&amp;"|"&amp;$B1002&amp;"|"&amp;$C1002&amp;"|"&amp;$D1002)</f>
        <v/>
      </c>
    </row>
    <row r="1003">
      <c r="I1003" s="90">
        <f>IF($A1003="","",$A1003&amp;"|"&amp;$B1003&amp;"|"&amp;$C1003&amp;"|"&amp;$D1003)</f>
        <v/>
      </c>
    </row>
    <row r="1004">
      <c r="I1004" s="90">
        <f>IF($A1004="","",$A1004&amp;"|"&amp;$B1004&amp;"|"&amp;$C1004&amp;"|"&amp;$D1004)</f>
        <v/>
      </c>
    </row>
    <row r="1005">
      <c r="I1005" s="90">
        <f>IF($A1005="","",$A1005&amp;"|"&amp;$B1005&amp;"|"&amp;$C1005&amp;"|"&amp;$D1005)</f>
        <v/>
      </c>
    </row>
    <row r="1006">
      <c r="I1006" s="90">
        <f>IF($A1006="","",$A1006&amp;"|"&amp;$B1006&amp;"|"&amp;$C1006&amp;"|"&amp;$D1006)</f>
        <v/>
      </c>
    </row>
    <row r="1007">
      <c r="I1007" s="90">
        <f>IF($A1007="","",$A1007&amp;"|"&amp;$B1007&amp;"|"&amp;$C1007&amp;"|"&amp;$D1007)</f>
        <v/>
      </c>
    </row>
    <row r="1008">
      <c r="I1008" s="90">
        <f>IF($A1008="","",$A1008&amp;"|"&amp;$B1008&amp;"|"&amp;$C1008&amp;"|"&amp;$D1008)</f>
        <v/>
      </c>
    </row>
    <row r="1009">
      <c r="I1009" s="90">
        <f>IF($A1009="","",$A1009&amp;"|"&amp;$B1009&amp;"|"&amp;$C1009&amp;"|"&amp;$D1009)</f>
        <v/>
      </c>
    </row>
    <row r="1010">
      <c r="I1010" s="90">
        <f>IF($A1010="","",$A1010&amp;"|"&amp;$B1010&amp;"|"&amp;$C1010&amp;"|"&amp;$D1010)</f>
        <v/>
      </c>
    </row>
    <row r="1011">
      <c r="I1011" s="90">
        <f>IF($A1011="","",$A1011&amp;"|"&amp;$B1011&amp;"|"&amp;$C1011&amp;"|"&amp;$D1011)</f>
        <v/>
      </c>
    </row>
    <row r="1012">
      <c r="I1012" s="90">
        <f>IF($A1012="","",$A1012&amp;"|"&amp;$B1012&amp;"|"&amp;$C1012&amp;"|"&amp;$D1012)</f>
        <v/>
      </c>
    </row>
    <row r="1013">
      <c r="I1013" s="90">
        <f>IF($A1013="","",$A1013&amp;"|"&amp;$B1013&amp;"|"&amp;$C1013&amp;"|"&amp;$D1013)</f>
        <v/>
      </c>
    </row>
    <row r="1014">
      <c r="I1014" s="90">
        <f>IF($A1014="","",$A1014&amp;"|"&amp;$B1014&amp;"|"&amp;$C1014&amp;"|"&amp;$D1014)</f>
        <v/>
      </c>
    </row>
    <row r="1015">
      <c r="I1015" s="90">
        <f>IF($A1015="","",$A1015&amp;"|"&amp;$B1015&amp;"|"&amp;$C1015&amp;"|"&amp;$D1015)</f>
        <v/>
      </c>
    </row>
    <row r="1016">
      <c r="I1016" s="90">
        <f>IF($A1016="","",$A1016&amp;"|"&amp;$B1016&amp;"|"&amp;$C1016&amp;"|"&amp;$D1016)</f>
        <v/>
      </c>
    </row>
    <row r="1017">
      <c r="I1017" s="90">
        <f>IF($A1017="","",$A1017&amp;"|"&amp;$B1017&amp;"|"&amp;$C1017&amp;"|"&amp;$D1017)</f>
        <v/>
      </c>
    </row>
    <row r="1018">
      <c r="I1018" s="90">
        <f>IF($A1018="","",$A1018&amp;"|"&amp;$B1018&amp;"|"&amp;$C1018&amp;"|"&amp;$D1018)</f>
        <v/>
      </c>
    </row>
    <row r="1019">
      <c r="I1019" s="90">
        <f>IF($A1019="","",$A1019&amp;"|"&amp;$B1019&amp;"|"&amp;$C1019&amp;"|"&amp;$D1019)</f>
        <v/>
      </c>
    </row>
    <row r="1020">
      <c r="I1020" s="90">
        <f>IF($A1020="","",$A1020&amp;"|"&amp;$B1020&amp;"|"&amp;$C1020&amp;"|"&amp;$D1020)</f>
        <v/>
      </c>
    </row>
    <row r="1021">
      <c r="I1021" s="90">
        <f>IF($A1021="","",$A1021&amp;"|"&amp;$B1021&amp;"|"&amp;$C1021&amp;"|"&amp;$D1021)</f>
        <v/>
      </c>
    </row>
    <row r="1022">
      <c r="I1022" s="90">
        <f>IF($A1022="","",$A1022&amp;"|"&amp;$B1022&amp;"|"&amp;$C1022&amp;"|"&amp;$D1022)</f>
        <v/>
      </c>
    </row>
    <row r="1023">
      <c r="I1023" s="90">
        <f>IF($A1023="","",$A1023&amp;"|"&amp;$B1023&amp;"|"&amp;$C1023&amp;"|"&amp;$D1023)</f>
        <v/>
      </c>
    </row>
    <row r="1024">
      <c r="I1024" s="90">
        <f>IF($A1024="","",$A1024&amp;"|"&amp;$B1024&amp;"|"&amp;$C1024&amp;"|"&amp;$D1024)</f>
        <v/>
      </c>
    </row>
    <row r="1025">
      <c r="I1025" s="90">
        <f>IF($A1025="","",$A1025&amp;"|"&amp;$B1025&amp;"|"&amp;$C1025&amp;"|"&amp;$D1025)</f>
        <v/>
      </c>
    </row>
    <row r="1026">
      <c r="I1026" s="90">
        <f>IF($A1026="","",$A1026&amp;"|"&amp;$B1026&amp;"|"&amp;$C1026&amp;"|"&amp;$D1026)</f>
        <v/>
      </c>
    </row>
    <row r="1027">
      <c r="I1027" s="90">
        <f>IF($A1027="","",$A1027&amp;"|"&amp;$B1027&amp;"|"&amp;$C1027&amp;"|"&amp;$D1027)</f>
        <v/>
      </c>
    </row>
    <row r="1028">
      <c r="I1028" s="90">
        <f>IF($A1028="","",$A1028&amp;"|"&amp;$B1028&amp;"|"&amp;$C1028&amp;"|"&amp;$D1028)</f>
        <v/>
      </c>
    </row>
    <row r="1029">
      <c r="I1029" s="90">
        <f>IF($A1029="","",$A1029&amp;"|"&amp;$B1029&amp;"|"&amp;$C1029&amp;"|"&amp;$D1029)</f>
        <v/>
      </c>
    </row>
    <row r="1030">
      <c r="I1030" s="90">
        <f>IF($A1030="","",$A1030&amp;"|"&amp;$B1030&amp;"|"&amp;$C1030&amp;"|"&amp;$D1030)</f>
        <v/>
      </c>
    </row>
    <row r="1031">
      <c r="I1031" s="90">
        <f>IF($A1031="","",$A1031&amp;"|"&amp;$B1031&amp;"|"&amp;$C1031&amp;"|"&amp;$D1031)</f>
        <v/>
      </c>
    </row>
    <row r="1032">
      <c r="I1032" s="90">
        <f>IF($A1032="","",$A1032&amp;"|"&amp;$B1032&amp;"|"&amp;$C1032&amp;"|"&amp;$D1032)</f>
        <v/>
      </c>
    </row>
    <row r="1033">
      <c r="I1033" s="90">
        <f>IF($A1033="","",$A1033&amp;"|"&amp;$B1033&amp;"|"&amp;$C1033&amp;"|"&amp;$D1033)</f>
        <v/>
      </c>
    </row>
    <row r="1034">
      <c r="I1034" s="90">
        <f>IF($A1034="","",$A1034&amp;"|"&amp;$B1034&amp;"|"&amp;$C1034&amp;"|"&amp;$D1034)</f>
        <v/>
      </c>
    </row>
    <row r="1035">
      <c r="I1035" s="90">
        <f>IF($A1035="","",$A1035&amp;"|"&amp;$B1035&amp;"|"&amp;$C1035&amp;"|"&amp;$D1035)</f>
        <v/>
      </c>
    </row>
    <row r="1036">
      <c r="I1036" s="90">
        <f>IF($A1036="","",$A1036&amp;"|"&amp;$B1036&amp;"|"&amp;$C1036&amp;"|"&amp;$D1036)</f>
        <v/>
      </c>
    </row>
    <row r="1037">
      <c r="I1037" s="90">
        <f>IF($A1037="","",$A1037&amp;"|"&amp;$B1037&amp;"|"&amp;$C1037&amp;"|"&amp;$D1037)</f>
        <v/>
      </c>
    </row>
    <row r="1038">
      <c r="I1038" s="90">
        <f>IF($A1038="","",$A1038&amp;"|"&amp;$B1038&amp;"|"&amp;$C1038&amp;"|"&amp;$D1038)</f>
        <v/>
      </c>
    </row>
    <row r="1039">
      <c r="I1039" s="90">
        <f>IF($A1039="","",$A1039&amp;"|"&amp;$B1039&amp;"|"&amp;$C1039&amp;"|"&amp;$D1039)</f>
        <v/>
      </c>
    </row>
    <row r="1040">
      <c r="I1040" s="90">
        <f>IF($A1040="","",$A1040&amp;"|"&amp;$B1040&amp;"|"&amp;$C1040&amp;"|"&amp;$D1040)</f>
        <v/>
      </c>
    </row>
    <row r="1041">
      <c r="I1041" s="90">
        <f>IF($A1041="","",$A1041&amp;"|"&amp;$B1041&amp;"|"&amp;$C1041&amp;"|"&amp;$D1041)</f>
        <v/>
      </c>
    </row>
    <row r="1042">
      <c r="I1042" s="90">
        <f>IF($A1042="","",$A1042&amp;"|"&amp;$B1042&amp;"|"&amp;$C1042&amp;"|"&amp;$D1042)</f>
        <v/>
      </c>
    </row>
    <row r="1043">
      <c r="I1043" s="90">
        <f>IF($A1043="","",$A1043&amp;"|"&amp;$B1043&amp;"|"&amp;$C1043&amp;"|"&amp;$D1043)</f>
        <v/>
      </c>
    </row>
    <row r="1044">
      <c r="I1044" s="90">
        <f>IF($A1044="","",$A1044&amp;"|"&amp;$B1044&amp;"|"&amp;$C1044&amp;"|"&amp;$D1044)</f>
        <v/>
      </c>
    </row>
    <row r="1045">
      <c r="I1045" s="90">
        <f>IF($A1045="","",$A1045&amp;"|"&amp;$B1045&amp;"|"&amp;$C1045&amp;"|"&amp;$D1045)</f>
        <v/>
      </c>
    </row>
    <row r="1046">
      <c r="I1046" s="90">
        <f>IF($A1046="","",$A1046&amp;"|"&amp;$B1046&amp;"|"&amp;$C1046&amp;"|"&amp;$D1046)</f>
        <v/>
      </c>
    </row>
    <row r="1047">
      <c r="I1047" s="90">
        <f>IF($A1047="","",$A1047&amp;"|"&amp;$B1047&amp;"|"&amp;$C1047&amp;"|"&amp;$D1047)</f>
        <v/>
      </c>
    </row>
    <row r="1048">
      <c r="I1048" s="90">
        <f>IF($A1048="","",$A1048&amp;"|"&amp;$B1048&amp;"|"&amp;$C1048&amp;"|"&amp;$D1048)</f>
        <v/>
      </c>
    </row>
    <row r="1049">
      <c r="I1049" s="90">
        <f>IF($A1049="","",$A1049&amp;"|"&amp;$B1049&amp;"|"&amp;$C1049&amp;"|"&amp;$D1049)</f>
        <v/>
      </c>
    </row>
    <row r="1050">
      <c r="I1050" s="90">
        <f>IF($A1050="","",$A1050&amp;"|"&amp;$B1050&amp;"|"&amp;$C1050&amp;"|"&amp;$D1050)</f>
        <v/>
      </c>
    </row>
    <row r="1051">
      <c r="I1051" s="90">
        <f>IF($A1051="","",$A1051&amp;"|"&amp;$B1051&amp;"|"&amp;$C1051&amp;"|"&amp;$D1051)</f>
        <v/>
      </c>
    </row>
    <row r="1052">
      <c r="I1052" s="90">
        <f>IF($A1052="","",$A1052&amp;"|"&amp;$B1052&amp;"|"&amp;$C1052&amp;"|"&amp;$D1052)</f>
        <v/>
      </c>
    </row>
    <row r="1053">
      <c r="I1053" s="90">
        <f>IF($A1053="","",$A1053&amp;"|"&amp;$B1053&amp;"|"&amp;$C1053&amp;"|"&amp;$D1053)</f>
        <v/>
      </c>
    </row>
    <row r="1054">
      <c r="I1054" s="90">
        <f>IF($A1054="","",$A1054&amp;"|"&amp;$B1054&amp;"|"&amp;$C1054&amp;"|"&amp;$D1054)</f>
        <v/>
      </c>
    </row>
    <row r="1055">
      <c r="I1055" s="90">
        <f>IF($A1055="","",$A1055&amp;"|"&amp;$B1055&amp;"|"&amp;$C1055&amp;"|"&amp;$D1055)</f>
        <v/>
      </c>
    </row>
    <row r="1056">
      <c r="I1056" s="90">
        <f>IF($A1056="","",$A1056&amp;"|"&amp;$B1056&amp;"|"&amp;$C1056&amp;"|"&amp;$D1056)</f>
        <v/>
      </c>
    </row>
    <row r="1057">
      <c r="I1057" s="90">
        <f>IF($A1057="","",$A1057&amp;"|"&amp;$B1057&amp;"|"&amp;$C1057&amp;"|"&amp;$D1057)</f>
        <v/>
      </c>
    </row>
    <row r="1058">
      <c r="I1058" s="90">
        <f>IF($A1058="","",$A1058&amp;"|"&amp;$B1058&amp;"|"&amp;$C1058&amp;"|"&amp;$D1058)</f>
        <v/>
      </c>
    </row>
    <row r="1059">
      <c r="I1059" s="90">
        <f>IF($A1059="","",$A1059&amp;"|"&amp;$B1059&amp;"|"&amp;$C1059&amp;"|"&amp;$D1059)</f>
        <v/>
      </c>
    </row>
    <row r="1060">
      <c r="I1060" s="90">
        <f>IF($A1060="","",$A1060&amp;"|"&amp;$B1060&amp;"|"&amp;$C1060&amp;"|"&amp;$D1060)</f>
        <v/>
      </c>
    </row>
    <row r="1061">
      <c r="I1061" s="90">
        <f>IF($A1061="","",$A1061&amp;"|"&amp;$B1061&amp;"|"&amp;$C1061&amp;"|"&amp;$D1061)</f>
        <v/>
      </c>
    </row>
    <row r="1062">
      <c r="I1062" s="90">
        <f>IF($A1062="","",$A1062&amp;"|"&amp;$B1062&amp;"|"&amp;$C1062&amp;"|"&amp;$D1062)</f>
        <v/>
      </c>
    </row>
    <row r="1063">
      <c r="I1063" s="90">
        <f>IF($A1063="","",$A1063&amp;"|"&amp;$B1063&amp;"|"&amp;$C1063&amp;"|"&amp;$D1063)</f>
        <v/>
      </c>
    </row>
    <row r="1064">
      <c r="I1064" s="90">
        <f>IF($A1064="","",$A1064&amp;"|"&amp;$B1064&amp;"|"&amp;$C1064&amp;"|"&amp;$D1064)</f>
        <v/>
      </c>
    </row>
    <row r="1065">
      <c r="I1065" s="90">
        <f>IF($A1065="","",$A1065&amp;"|"&amp;$B1065&amp;"|"&amp;$C1065&amp;"|"&amp;$D1065)</f>
        <v/>
      </c>
    </row>
    <row r="1066">
      <c r="I1066" s="90">
        <f>IF($A1066="","",$A1066&amp;"|"&amp;$B1066&amp;"|"&amp;$C1066&amp;"|"&amp;$D1066)</f>
        <v/>
      </c>
    </row>
    <row r="1067">
      <c r="I1067" s="90">
        <f>IF($A1067="","",$A1067&amp;"|"&amp;$B1067&amp;"|"&amp;$C1067&amp;"|"&amp;$D1067)</f>
        <v/>
      </c>
    </row>
    <row r="1068">
      <c r="I1068" s="90">
        <f>IF($A1068="","",$A1068&amp;"|"&amp;$B1068&amp;"|"&amp;$C1068&amp;"|"&amp;$D1068)</f>
        <v/>
      </c>
    </row>
    <row r="1069">
      <c r="I1069" s="90">
        <f>IF($A1069="","",$A1069&amp;"|"&amp;$B1069&amp;"|"&amp;$C1069&amp;"|"&amp;$D1069)</f>
        <v/>
      </c>
    </row>
    <row r="1070">
      <c r="I1070" s="90">
        <f>IF($A1070="","",$A1070&amp;"|"&amp;$B1070&amp;"|"&amp;$C1070&amp;"|"&amp;$D1070)</f>
        <v/>
      </c>
    </row>
    <row r="1071">
      <c r="I1071" s="90">
        <f>IF($A1071="","",$A1071&amp;"|"&amp;$B1071&amp;"|"&amp;$C1071&amp;"|"&amp;$D1071)</f>
        <v/>
      </c>
    </row>
    <row r="1072">
      <c r="I1072" s="90">
        <f>IF($A1072="","",$A1072&amp;"|"&amp;$B1072&amp;"|"&amp;$C1072&amp;"|"&amp;$D1072)</f>
        <v/>
      </c>
    </row>
    <row r="1073">
      <c r="I1073" s="90">
        <f>IF($A1073="","",$A1073&amp;"|"&amp;$B1073&amp;"|"&amp;$C1073&amp;"|"&amp;$D1073)</f>
        <v/>
      </c>
    </row>
    <row r="1074">
      <c r="I1074" s="90">
        <f>IF($A1074="","",$A1074&amp;"|"&amp;$B1074&amp;"|"&amp;$C1074&amp;"|"&amp;$D1074)</f>
        <v/>
      </c>
    </row>
    <row r="1075">
      <c r="I1075" s="90">
        <f>IF($A1075="","",$A1075&amp;"|"&amp;$B1075&amp;"|"&amp;$C1075&amp;"|"&amp;$D1075)</f>
        <v/>
      </c>
    </row>
    <row r="1076">
      <c r="I1076" s="90">
        <f>IF($A1076="","",$A1076&amp;"|"&amp;$B1076&amp;"|"&amp;$C1076&amp;"|"&amp;$D1076)</f>
        <v/>
      </c>
    </row>
    <row r="1077">
      <c r="I1077" s="90">
        <f>IF($A1077="","",$A1077&amp;"|"&amp;$B1077&amp;"|"&amp;$C1077&amp;"|"&amp;$D1077)</f>
        <v/>
      </c>
    </row>
    <row r="1078">
      <c r="I1078" s="90">
        <f>IF($A1078="","",$A1078&amp;"|"&amp;$B1078&amp;"|"&amp;$C1078&amp;"|"&amp;$D1078)</f>
        <v/>
      </c>
    </row>
    <row r="1079">
      <c r="I1079" s="90">
        <f>IF($A1079="","",$A1079&amp;"|"&amp;$B1079&amp;"|"&amp;$C1079&amp;"|"&amp;$D1079)</f>
        <v/>
      </c>
    </row>
    <row r="1080">
      <c r="I1080" s="90">
        <f>IF($A1080="","",$A1080&amp;"|"&amp;$B1080&amp;"|"&amp;$C1080&amp;"|"&amp;$D1080)</f>
        <v/>
      </c>
    </row>
    <row r="1081">
      <c r="I1081" s="90">
        <f>IF($A1081="","",$A1081&amp;"|"&amp;$B1081&amp;"|"&amp;$C1081&amp;"|"&amp;$D1081)</f>
        <v/>
      </c>
    </row>
    <row r="1082">
      <c r="I1082" s="90">
        <f>IF($A1082="","",$A1082&amp;"|"&amp;$B1082&amp;"|"&amp;$C1082&amp;"|"&amp;$D1082)</f>
        <v/>
      </c>
    </row>
    <row r="1083">
      <c r="I1083" s="90">
        <f>IF($A1083="","",$A1083&amp;"|"&amp;$B1083&amp;"|"&amp;$C1083&amp;"|"&amp;$D1083)</f>
        <v/>
      </c>
    </row>
    <row r="1084">
      <c r="I1084" s="90">
        <f>IF($A1084="","",$A1084&amp;"|"&amp;$B1084&amp;"|"&amp;$C1084&amp;"|"&amp;$D1084)</f>
        <v/>
      </c>
    </row>
    <row r="1085">
      <c r="I1085" s="90">
        <f>IF($A1085="","",$A1085&amp;"|"&amp;$B1085&amp;"|"&amp;$C1085&amp;"|"&amp;$D1085)</f>
        <v/>
      </c>
    </row>
    <row r="1086">
      <c r="I1086" s="90">
        <f>IF($A1086="","",$A1086&amp;"|"&amp;$B1086&amp;"|"&amp;$C1086&amp;"|"&amp;$D1086)</f>
        <v/>
      </c>
    </row>
    <row r="1087">
      <c r="I1087" s="90">
        <f>IF($A1087="","",$A1087&amp;"|"&amp;$B1087&amp;"|"&amp;$C1087&amp;"|"&amp;$D1087)</f>
        <v/>
      </c>
    </row>
    <row r="1088">
      <c r="I1088" s="90">
        <f>IF($A1088="","",$A1088&amp;"|"&amp;$B1088&amp;"|"&amp;$C1088&amp;"|"&amp;$D1088)</f>
        <v/>
      </c>
    </row>
    <row r="1089">
      <c r="I1089" s="90">
        <f>IF($A1089="","",$A1089&amp;"|"&amp;$B1089&amp;"|"&amp;$C1089&amp;"|"&amp;$D1089)</f>
        <v/>
      </c>
    </row>
    <row r="1090">
      <c r="I1090" s="90">
        <f>IF($A1090="","",$A1090&amp;"|"&amp;$B1090&amp;"|"&amp;$C1090&amp;"|"&amp;$D1090)</f>
        <v/>
      </c>
    </row>
    <row r="1091">
      <c r="I1091" s="90">
        <f>IF($A1091="","",$A1091&amp;"|"&amp;$B1091&amp;"|"&amp;$C1091&amp;"|"&amp;$D1091)</f>
        <v/>
      </c>
    </row>
    <row r="1092">
      <c r="I1092" s="90">
        <f>IF($A1092="","",$A1092&amp;"|"&amp;$B1092&amp;"|"&amp;$C1092&amp;"|"&amp;$D1092)</f>
        <v/>
      </c>
    </row>
    <row r="1093">
      <c r="I1093" s="90">
        <f>IF($A1093="","",$A1093&amp;"|"&amp;$B1093&amp;"|"&amp;$C1093&amp;"|"&amp;$D1093)</f>
        <v/>
      </c>
    </row>
    <row r="1094">
      <c r="I1094" s="90">
        <f>IF($A1094="","",$A1094&amp;"|"&amp;$B1094&amp;"|"&amp;$C1094&amp;"|"&amp;$D1094)</f>
        <v/>
      </c>
    </row>
    <row r="1095">
      <c r="I1095" s="90">
        <f>IF($A1095="","",$A1095&amp;"|"&amp;$B1095&amp;"|"&amp;$C1095&amp;"|"&amp;$D1095)</f>
        <v/>
      </c>
    </row>
    <row r="1096">
      <c r="I1096" s="90">
        <f>IF($A1096="","",$A1096&amp;"|"&amp;$B1096&amp;"|"&amp;$C1096&amp;"|"&amp;$D1096)</f>
        <v/>
      </c>
    </row>
    <row r="1097">
      <c r="I1097" s="90">
        <f>IF($A1097="","",$A1097&amp;"|"&amp;$B1097&amp;"|"&amp;$C1097&amp;"|"&amp;$D1097)</f>
        <v/>
      </c>
    </row>
    <row r="1098">
      <c r="I1098" s="90">
        <f>IF($A1098="","",$A1098&amp;"|"&amp;$B1098&amp;"|"&amp;$C1098&amp;"|"&amp;$D1098)</f>
        <v/>
      </c>
    </row>
    <row r="1099">
      <c r="I1099" s="90">
        <f>IF($A1099="","",$A1099&amp;"|"&amp;$B1099&amp;"|"&amp;$C1099&amp;"|"&amp;$D1099)</f>
        <v/>
      </c>
    </row>
    <row r="1100">
      <c r="I1100" s="90">
        <f>IF($A1100="","",$A1100&amp;"|"&amp;$B1100&amp;"|"&amp;$C1100&amp;"|"&amp;$D1100)</f>
        <v/>
      </c>
    </row>
    <row r="1101">
      <c r="I1101" s="90">
        <f>IF($A1101="","",$A1101&amp;"|"&amp;$B1101&amp;"|"&amp;$C1101&amp;"|"&amp;$D1101)</f>
        <v/>
      </c>
    </row>
    <row r="1102">
      <c r="I1102" s="90">
        <f>IF($A1102="","",$A1102&amp;"|"&amp;$B1102&amp;"|"&amp;$C1102&amp;"|"&amp;$D1102)</f>
        <v/>
      </c>
    </row>
    <row r="1103">
      <c r="I1103" s="90">
        <f>IF($A1103="","",$A1103&amp;"|"&amp;$B1103&amp;"|"&amp;$C1103&amp;"|"&amp;$D1103)</f>
        <v/>
      </c>
    </row>
    <row r="1104">
      <c r="I1104" s="90">
        <f>IF($A1104="","",$A1104&amp;"|"&amp;$B1104&amp;"|"&amp;$C1104&amp;"|"&amp;$D1104)</f>
        <v/>
      </c>
    </row>
    <row r="1105">
      <c r="I1105" s="90">
        <f>IF($A1105="","",$A1105&amp;"|"&amp;$B1105&amp;"|"&amp;$C1105&amp;"|"&amp;$D1105)</f>
        <v/>
      </c>
    </row>
    <row r="1106">
      <c r="I1106" s="90">
        <f>IF($A1106="","",$A1106&amp;"|"&amp;$B1106&amp;"|"&amp;$C1106&amp;"|"&amp;$D1106)</f>
        <v/>
      </c>
    </row>
    <row r="1107">
      <c r="I1107" s="90">
        <f>IF($A1107="","",$A1107&amp;"|"&amp;$B1107&amp;"|"&amp;$C1107&amp;"|"&amp;$D1107)</f>
        <v/>
      </c>
    </row>
    <row r="1108">
      <c r="I1108" s="90">
        <f>IF($A1108="","",$A1108&amp;"|"&amp;$B1108&amp;"|"&amp;$C1108&amp;"|"&amp;$D1108)</f>
        <v/>
      </c>
    </row>
    <row r="1109">
      <c r="I1109" s="90">
        <f>IF($A1109="","",$A1109&amp;"|"&amp;$B1109&amp;"|"&amp;$C1109&amp;"|"&amp;$D1109)</f>
        <v/>
      </c>
    </row>
    <row r="1110">
      <c r="I1110" s="90">
        <f>IF($A1110="","",$A1110&amp;"|"&amp;$B1110&amp;"|"&amp;$C1110&amp;"|"&amp;$D1110)</f>
        <v/>
      </c>
    </row>
    <row r="1111">
      <c r="I1111" s="90">
        <f>IF($A1111="","",$A1111&amp;"|"&amp;$B1111&amp;"|"&amp;$C1111&amp;"|"&amp;$D1111)</f>
        <v/>
      </c>
    </row>
    <row r="1112">
      <c r="I1112" s="90">
        <f>IF($A1112="","",$A1112&amp;"|"&amp;$B1112&amp;"|"&amp;$C1112&amp;"|"&amp;$D1112)</f>
        <v/>
      </c>
    </row>
    <row r="1113">
      <c r="I1113" s="90">
        <f>IF($A1113="","",$A1113&amp;"|"&amp;$B1113&amp;"|"&amp;$C1113&amp;"|"&amp;$D1113)</f>
        <v/>
      </c>
    </row>
    <row r="1114">
      <c r="I1114" s="90">
        <f>IF($A1114="","",$A1114&amp;"|"&amp;$B1114&amp;"|"&amp;$C1114&amp;"|"&amp;$D1114)</f>
        <v/>
      </c>
    </row>
    <row r="1115">
      <c r="I1115" s="90">
        <f>IF($A1115="","",$A1115&amp;"|"&amp;$B1115&amp;"|"&amp;$C1115&amp;"|"&amp;$D1115)</f>
        <v/>
      </c>
    </row>
    <row r="1116">
      <c r="I1116" s="90">
        <f>IF($A1116="","",$A1116&amp;"|"&amp;$B1116&amp;"|"&amp;$C1116&amp;"|"&amp;$D1116)</f>
        <v/>
      </c>
    </row>
    <row r="1117">
      <c r="I1117" s="90">
        <f>IF($A1117="","",$A1117&amp;"|"&amp;$B1117&amp;"|"&amp;$C1117&amp;"|"&amp;$D1117)</f>
        <v/>
      </c>
    </row>
    <row r="1118">
      <c r="I1118" s="90">
        <f>IF($A1118="","",$A1118&amp;"|"&amp;$B1118&amp;"|"&amp;$C1118&amp;"|"&amp;$D1118)</f>
        <v/>
      </c>
    </row>
    <row r="1119">
      <c r="I1119" s="90">
        <f>IF($A1119="","",$A1119&amp;"|"&amp;$B1119&amp;"|"&amp;$C1119&amp;"|"&amp;$D1119)</f>
        <v/>
      </c>
    </row>
    <row r="1120">
      <c r="I1120" s="90">
        <f>IF($A1120="","",$A1120&amp;"|"&amp;$B1120&amp;"|"&amp;$C1120&amp;"|"&amp;$D1120)</f>
        <v/>
      </c>
    </row>
    <row r="1121">
      <c r="I1121" s="90">
        <f>IF($A1121="","",$A1121&amp;"|"&amp;$B1121&amp;"|"&amp;$C1121&amp;"|"&amp;$D1121)</f>
        <v/>
      </c>
    </row>
    <row r="1122">
      <c r="I1122" s="90">
        <f>IF($A1122="","",$A1122&amp;"|"&amp;$B1122&amp;"|"&amp;$C1122&amp;"|"&amp;$D1122)</f>
        <v/>
      </c>
    </row>
    <row r="1123">
      <c r="I1123" s="90">
        <f>IF($A1123="","",$A1123&amp;"|"&amp;$B1123&amp;"|"&amp;$C1123&amp;"|"&amp;$D1123)</f>
        <v/>
      </c>
    </row>
    <row r="1124">
      <c r="I1124" s="90">
        <f>IF($A1124="","",$A1124&amp;"|"&amp;$B1124&amp;"|"&amp;$C1124&amp;"|"&amp;$D1124)</f>
        <v/>
      </c>
    </row>
    <row r="1125">
      <c r="I1125" s="90">
        <f>IF($A1125="","",$A1125&amp;"|"&amp;$B1125&amp;"|"&amp;$C1125&amp;"|"&amp;$D1125)</f>
        <v/>
      </c>
    </row>
    <row r="1126">
      <c r="I1126" s="90">
        <f>IF($A1126="","",$A1126&amp;"|"&amp;$B1126&amp;"|"&amp;$C1126&amp;"|"&amp;$D1126)</f>
        <v/>
      </c>
    </row>
    <row r="1127">
      <c r="I1127" s="90">
        <f>IF($A1127="","",$A1127&amp;"|"&amp;$B1127&amp;"|"&amp;$C1127&amp;"|"&amp;$D1127)</f>
        <v/>
      </c>
    </row>
    <row r="1128">
      <c r="I1128" s="90">
        <f>IF($A1128="","",$A1128&amp;"|"&amp;$B1128&amp;"|"&amp;$C1128&amp;"|"&amp;$D1128)</f>
        <v/>
      </c>
    </row>
    <row r="1129">
      <c r="I1129" s="90">
        <f>IF($A1129="","",$A1129&amp;"|"&amp;$B1129&amp;"|"&amp;$C1129&amp;"|"&amp;$D1129)</f>
        <v/>
      </c>
    </row>
    <row r="1130">
      <c r="I1130" s="90">
        <f>IF($A1130="","",$A1130&amp;"|"&amp;$B1130&amp;"|"&amp;$C1130&amp;"|"&amp;$D1130)</f>
        <v/>
      </c>
    </row>
    <row r="1131">
      <c r="I1131" s="90">
        <f>IF($A1131="","",$A1131&amp;"|"&amp;$B1131&amp;"|"&amp;$C1131&amp;"|"&amp;$D1131)</f>
        <v/>
      </c>
    </row>
    <row r="1132">
      <c r="I1132" s="90">
        <f>IF($A1132="","",$A1132&amp;"|"&amp;$B1132&amp;"|"&amp;$C1132&amp;"|"&amp;$D1132)</f>
        <v/>
      </c>
    </row>
    <row r="1133">
      <c r="I1133" s="90">
        <f>IF($A1133="","",$A1133&amp;"|"&amp;$B1133&amp;"|"&amp;$C1133&amp;"|"&amp;$D1133)</f>
        <v/>
      </c>
    </row>
    <row r="1134">
      <c r="I1134" s="90">
        <f>IF($A1134="","",$A1134&amp;"|"&amp;$B1134&amp;"|"&amp;$C1134&amp;"|"&amp;$D1134)</f>
        <v/>
      </c>
    </row>
    <row r="1135">
      <c r="I1135" s="90">
        <f>IF($A1135="","",$A1135&amp;"|"&amp;$B1135&amp;"|"&amp;$C1135&amp;"|"&amp;$D1135)</f>
        <v/>
      </c>
    </row>
    <row r="1136">
      <c r="I1136" s="90">
        <f>IF($A1136="","",$A1136&amp;"|"&amp;$B1136&amp;"|"&amp;$C1136&amp;"|"&amp;$D1136)</f>
        <v/>
      </c>
    </row>
    <row r="1137">
      <c r="I1137" s="90">
        <f>IF($A1137="","",$A1137&amp;"|"&amp;$B1137&amp;"|"&amp;$C1137&amp;"|"&amp;$D1137)</f>
        <v/>
      </c>
    </row>
    <row r="1138">
      <c r="I1138" s="90">
        <f>IF($A1138="","",$A1138&amp;"|"&amp;$B1138&amp;"|"&amp;$C1138&amp;"|"&amp;$D1138)</f>
        <v/>
      </c>
    </row>
    <row r="1139">
      <c r="I1139" s="90">
        <f>IF($A1139="","",$A1139&amp;"|"&amp;$B1139&amp;"|"&amp;$C1139&amp;"|"&amp;$D1139)</f>
        <v/>
      </c>
    </row>
    <row r="1140">
      <c r="I1140" s="90">
        <f>IF($A1140="","",$A1140&amp;"|"&amp;$B1140&amp;"|"&amp;$C1140&amp;"|"&amp;$D1140)</f>
        <v/>
      </c>
    </row>
    <row r="1141">
      <c r="I1141" s="90">
        <f>IF($A1141="","",$A1141&amp;"|"&amp;$B1141&amp;"|"&amp;$C1141&amp;"|"&amp;$D1141)</f>
        <v/>
      </c>
    </row>
    <row r="1142">
      <c r="I1142" s="90">
        <f>IF($A1142="","",$A1142&amp;"|"&amp;$B1142&amp;"|"&amp;$C1142&amp;"|"&amp;$D1142)</f>
        <v/>
      </c>
    </row>
    <row r="1143">
      <c r="I1143" s="90">
        <f>IF($A1143="","",$A1143&amp;"|"&amp;$B1143&amp;"|"&amp;$C1143&amp;"|"&amp;$D1143)</f>
        <v/>
      </c>
    </row>
    <row r="1144">
      <c r="I1144" s="90">
        <f>IF($A1144="","",$A1144&amp;"|"&amp;$B1144&amp;"|"&amp;$C1144&amp;"|"&amp;$D1144)</f>
        <v/>
      </c>
    </row>
    <row r="1145">
      <c r="I1145" s="90">
        <f>IF($A1145="","",$A1145&amp;"|"&amp;$B1145&amp;"|"&amp;$C1145&amp;"|"&amp;$D1145)</f>
        <v/>
      </c>
    </row>
    <row r="1146">
      <c r="I1146" s="90">
        <f>IF($A1146="","",$A1146&amp;"|"&amp;$B1146&amp;"|"&amp;$C1146&amp;"|"&amp;$D1146)</f>
        <v/>
      </c>
    </row>
    <row r="1147">
      <c r="I1147" s="90">
        <f>IF($A1147="","",$A1147&amp;"|"&amp;$B1147&amp;"|"&amp;$C1147&amp;"|"&amp;$D1147)</f>
        <v/>
      </c>
    </row>
    <row r="1148">
      <c r="I1148" s="90">
        <f>IF($A1148="","",$A1148&amp;"|"&amp;$B1148&amp;"|"&amp;$C1148&amp;"|"&amp;$D1148)</f>
        <v/>
      </c>
    </row>
    <row r="1149">
      <c r="I1149" s="90">
        <f>IF($A1149="","",$A1149&amp;"|"&amp;$B1149&amp;"|"&amp;$C1149&amp;"|"&amp;$D1149)</f>
        <v/>
      </c>
    </row>
    <row r="1150">
      <c r="I1150" s="90">
        <f>IF($A1150="","",$A1150&amp;"|"&amp;$B1150&amp;"|"&amp;$C1150&amp;"|"&amp;$D1150)</f>
        <v/>
      </c>
    </row>
    <row r="1151">
      <c r="I1151" s="90">
        <f>IF($A1151="","",$A1151&amp;"|"&amp;$B1151&amp;"|"&amp;$C1151&amp;"|"&amp;$D1151)</f>
        <v/>
      </c>
    </row>
    <row r="1152">
      <c r="I1152" s="90">
        <f>IF($A1152="","",$A1152&amp;"|"&amp;$B1152&amp;"|"&amp;$C1152&amp;"|"&amp;$D1152)</f>
        <v/>
      </c>
    </row>
    <row r="1153">
      <c r="I1153" s="90">
        <f>IF($A1153="","",$A1153&amp;"|"&amp;$B1153&amp;"|"&amp;$C1153&amp;"|"&amp;$D1153)</f>
        <v/>
      </c>
    </row>
    <row r="1154">
      <c r="I1154" s="90">
        <f>IF($A1154="","",$A1154&amp;"|"&amp;$B1154&amp;"|"&amp;$C1154&amp;"|"&amp;$D1154)</f>
        <v/>
      </c>
    </row>
    <row r="1155">
      <c r="I1155" s="90">
        <f>IF($A1155="","",$A1155&amp;"|"&amp;$B1155&amp;"|"&amp;$C1155&amp;"|"&amp;$D1155)</f>
        <v/>
      </c>
    </row>
    <row r="1156">
      <c r="I1156" s="90">
        <f>IF($A1156="","",$A1156&amp;"|"&amp;$B1156&amp;"|"&amp;$C1156&amp;"|"&amp;$D1156)</f>
        <v/>
      </c>
    </row>
    <row r="1157">
      <c r="I1157" s="90">
        <f>IF($A1157="","",$A1157&amp;"|"&amp;$B1157&amp;"|"&amp;$C1157&amp;"|"&amp;$D1157)</f>
        <v/>
      </c>
    </row>
    <row r="1158">
      <c r="I1158" s="90">
        <f>IF($A1158="","",$A1158&amp;"|"&amp;$B1158&amp;"|"&amp;$C1158&amp;"|"&amp;$D1158)</f>
        <v/>
      </c>
    </row>
    <row r="1159">
      <c r="I1159" s="90">
        <f>IF($A1159="","",$A1159&amp;"|"&amp;$B1159&amp;"|"&amp;$C1159&amp;"|"&amp;$D1159)</f>
        <v/>
      </c>
    </row>
    <row r="1160">
      <c r="I1160" s="90">
        <f>IF($A1160="","",$A1160&amp;"|"&amp;$B1160&amp;"|"&amp;$C1160&amp;"|"&amp;$D1160)</f>
        <v/>
      </c>
    </row>
    <row r="1161">
      <c r="I1161" s="90">
        <f>IF($A1161="","",$A1161&amp;"|"&amp;$B1161&amp;"|"&amp;$C1161&amp;"|"&amp;$D1161)</f>
        <v/>
      </c>
    </row>
    <row r="1162">
      <c r="I1162" s="90">
        <f>IF($A1162="","",$A1162&amp;"|"&amp;$B1162&amp;"|"&amp;$C1162&amp;"|"&amp;$D1162)</f>
        <v/>
      </c>
    </row>
    <row r="1163">
      <c r="I1163" s="90">
        <f>IF($A1163="","",$A1163&amp;"|"&amp;$B1163&amp;"|"&amp;$C1163&amp;"|"&amp;$D1163)</f>
        <v/>
      </c>
    </row>
    <row r="1164">
      <c r="I1164" s="90">
        <f>IF($A1164="","",$A1164&amp;"|"&amp;$B1164&amp;"|"&amp;$C1164&amp;"|"&amp;$D1164)</f>
        <v/>
      </c>
    </row>
    <row r="1165">
      <c r="I1165" s="90">
        <f>IF($A1165="","",$A1165&amp;"|"&amp;$B1165&amp;"|"&amp;$C1165&amp;"|"&amp;$D1165)</f>
        <v/>
      </c>
    </row>
    <row r="1166">
      <c r="I1166" s="90">
        <f>IF($A1166="","",$A1166&amp;"|"&amp;$B1166&amp;"|"&amp;$C1166&amp;"|"&amp;$D1166)</f>
        <v/>
      </c>
    </row>
    <row r="1167">
      <c r="I1167" s="90">
        <f>IF($A1167="","",$A1167&amp;"|"&amp;$B1167&amp;"|"&amp;$C1167&amp;"|"&amp;$D1167)</f>
        <v/>
      </c>
    </row>
    <row r="1168">
      <c r="I1168" s="90">
        <f>IF($A1168="","",$A1168&amp;"|"&amp;$B1168&amp;"|"&amp;$C1168&amp;"|"&amp;$D1168)</f>
        <v/>
      </c>
    </row>
    <row r="1169">
      <c r="I1169" s="90">
        <f>IF($A1169="","",$A1169&amp;"|"&amp;$B1169&amp;"|"&amp;$C1169&amp;"|"&amp;$D1169)</f>
        <v/>
      </c>
    </row>
    <row r="1170">
      <c r="I1170" s="90">
        <f>IF($A1170="","",$A1170&amp;"|"&amp;$B1170&amp;"|"&amp;$C1170&amp;"|"&amp;$D1170)</f>
        <v/>
      </c>
    </row>
    <row r="1171">
      <c r="I1171" s="90">
        <f>IF($A1171="","",$A1171&amp;"|"&amp;$B1171&amp;"|"&amp;$C1171&amp;"|"&amp;$D1171)</f>
        <v/>
      </c>
    </row>
    <row r="1172">
      <c r="I1172" s="90">
        <f>IF($A1172="","",$A1172&amp;"|"&amp;$B1172&amp;"|"&amp;$C1172&amp;"|"&amp;$D1172)</f>
        <v/>
      </c>
    </row>
    <row r="1173">
      <c r="I1173" s="90">
        <f>IF($A1173="","",$A1173&amp;"|"&amp;$B1173&amp;"|"&amp;$C1173&amp;"|"&amp;$D1173)</f>
        <v/>
      </c>
    </row>
    <row r="1174">
      <c r="I1174" s="90">
        <f>IF($A1174="","",$A1174&amp;"|"&amp;$B1174&amp;"|"&amp;$C1174&amp;"|"&amp;$D1174)</f>
        <v/>
      </c>
    </row>
    <row r="1175">
      <c r="I1175" s="90">
        <f>IF($A1175="","",$A1175&amp;"|"&amp;$B1175&amp;"|"&amp;$C1175&amp;"|"&amp;$D1175)</f>
        <v/>
      </c>
    </row>
    <row r="1176">
      <c r="I1176" s="90">
        <f>IF($A1176="","",$A1176&amp;"|"&amp;$B1176&amp;"|"&amp;$C1176&amp;"|"&amp;$D1176)</f>
        <v/>
      </c>
    </row>
    <row r="1177">
      <c r="I1177" s="90">
        <f>IF($A1177="","",$A1177&amp;"|"&amp;$B1177&amp;"|"&amp;$C1177&amp;"|"&amp;$D1177)</f>
        <v/>
      </c>
    </row>
    <row r="1178">
      <c r="I1178" s="90">
        <f>IF($A1178="","",$A1178&amp;"|"&amp;$B1178&amp;"|"&amp;$C1178&amp;"|"&amp;$D1178)</f>
        <v/>
      </c>
    </row>
    <row r="1179">
      <c r="I1179" s="90">
        <f>IF($A1179="","",$A1179&amp;"|"&amp;$B1179&amp;"|"&amp;$C1179&amp;"|"&amp;$D1179)</f>
        <v/>
      </c>
    </row>
    <row r="1180">
      <c r="I1180" s="90">
        <f>IF($A1180="","",$A1180&amp;"|"&amp;$B1180&amp;"|"&amp;$C1180&amp;"|"&amp;$D1180)</f>
        <v/>
      </c>
    </row>
    <row r="1181">
      <c r="I1181" s="90">
        <f>IF($A1181="","",$A1181&amp;"|"&amp;$B1181&amp;"|"&amp;$C1181&amp;"|"&amp;$D1181)</f>
        <v/>
      </c>
    </row>
    <row r="1182">
      <c r="I1182" s="90">
        <f>IF($A1182="","",$A1182&amp;"|"&amp;$B1182&amp;"|"&amp;$C1182&amp;"|"&amp;$D1182)</f>
        <v/>
      </c>
    </row>
    <row r="1183">
      <c r="I1183" s="90">
        <f>IF($A1183="","",$A1183&amp;"|"&amp;$B1183&amp;"|"&amp;$C1183&amp;"|"&amp;$D1183)</f>
        <v/>
      </c>
    </row>
    <row r="1184">
      <c r="I1184" s="90">
        <f>IF($A1184="","",$A1184&amp;"|"&amp;$B1184&amp;"|"&amp;$C1184&amp;"|"&amp;$D1184)</f>
        <v/>
      </c>
    </row>
    <row r="1185">
      <c r="I1185" s="90">
        <f>IF($A1185="","",$A1185&amp;"|"&amp;$B1185&amp;"|"&amp;$C1185&amp;"|"&amp;$D1185)</f>
        <v/>
      </c>
    </row>
    <row r="1186">
      <c r="I1186" s="90">
        <f>IF($A1186="","",$A1186&amp;"|"&amp;$B1186&amp;"|"&amp;$C1186&amp;"|"&amp;$D1186)</f>
        <v/>
      </c>
    </row>
    <row r="1187">
      <c r="I1187" s="90">
        <f>IF($A1187="","",$A1187&amp;"|"&amp;$B1187&amp;"|"&amp;$C1187&amp;"|"&amp;$D1187)</f>
        <v/>
      </c>
    </row>
    <row r="1188">
      <c r="I1188" s="90">
        <f>IF($A1188="","",$A1188&amp;"|"&amp;$B1188&amp;"|"&amp;$C1188&amp;"|"&amp;$D1188)</f>
        <v/>
      </c>
    </row>
    <row r="1189">
      <c r="I1189" s="90">
        <f>IF($A1189="","",$A1189&amp;"|"&amp;$B1189&amp;"|"&amp;$C1189&amp;"|"&amp;$D1189)</f>
        <v/>
      </c>
    </row>
    <row r="1190">
      <c r="I1190" s="90">
        <f>IF($A1190="","",$A1190&amp;"|"&amp;$B1190&amp;"|"&amp;$C1190&amp;"|"&amp;$D1190)</f>
        <v/>
      </c>
    </row>
    <row r="1191">
      <c r="I1191" s="90">
        <f>IF($A1191="","",$A1191&amp;"|"&amp;$B1191&amp;"|"&amp;$C1191&amp;"|"&amp;$D1191)</f>
        <v/>
      </c>
    </row>
    <row r="1192">
      <c r="I1192" s="90">
        <f>IF($A1192="","",$A1192&amp;"|"&amp;$B1192&amp;"|"&amp;$C1192&amp;"|"&amp;$D1192)</f>
        <v/>
      </c>
    </row>
    <row r="1193">
      <c r="I1193" s="90">
        <f>IF($A1193="","",$A1193&amp;"|"&amp;$B1193&amp;"|"&amp;$C1193&amp;"|"&amp;$D1193)</f>
        <v/>
      </c>
    </row>
    <row r="1194">
      <c r="I1194" s="90">
        <f>IF($A1194="","",$A1194&amp;"|"&amp;$B1194&amp;"|"&amp;$C1194&amp;"|"&amp;$D1194)</f>
        <v/>
      </c>
    </row>
    <row r="1195">
      <c r="I1195" s="90">
        <f>IF($A1195="","",$A1195&amp;"|"&amp;$B1195&amp;"|"&amp;$C1195&amp;"|"&amp;$D1195)</f>
        <v/>
      </c>
    </row>
    <row r="1196">
      <c r="I1196" s="90">
        <f>IF($A1196="","",$A1196&amp;"|"&amp;$B1196&amp;"|"&amp;$C1196&amp;"|"&amp;$D1196)</f>
        <v/>
      </c>
    </row>
    <row r="1197">
      <c r="I1197" s="90">
        <f>IF($A1197="","",$A1197&amp;"|"&amp;$B1197&amp;"|"&amp;$C1197&amp;"|"&amp;$D1197)</f>
        <v/>
      </c>
    </row>
    <row r="1198">
      <c r="I1198" s="90">
        <f>IF($A1198="","",$A1198&amp;"|"&amp;$B1198&amp;"|"&amp;$C1198&amp;"|"&amp;$D1198)</f>
        <v/>
      </c>
    </row>
    <row r="1199">
      <c r="I1199" s="90">
        <f>IF($A1199="","",$A1199&amp;"|"&amp;$B1199&amp;"|"&amp;$C1199&amp;"|"&amp;$D1199)</f>
        <v/>
      </c>
    </row>
    <row r="1200">
      <c r="I1200" s="90">
        <f>IF($A1200="","",$A1200&amp;"|"&amp;$B1200&amp;"|"&amp;$C1200&amp;"|"&amp;$D1200)</f>
        <v/>
      </c>
    </row>
    <row r="1201">
      <c r="I1201" s="90">
        <f>IF($A1201="","",$A1201&amp;"|"&amp;$B1201&amp;"|"&amp;$C1201&amp;"|"&amp;$D1201)</f>
        <v/>
      </c>
    </row>
    <row r="1202">
      <c r="I1202" s="90">
        <f>IF($A1202="","",$A1202&amp;"|"&amp;$B1202&amp;"|"&amp;$C1202&amp;"|"&amp;$D1202)</f>
        <v/>
      </c>
    </row>
    <row r="1203">
      <c r="I1203" s="90">
        <f>IF($A1203="","",$A1203&amp;"|"&amp;$B1203&amp;"|"&amp;$C1203&amp;"|"&amp;$D1203)</f>
        <v/>
      </c>
    </row>
    <row r="1204">
      <c r="I1204" s="90">
        <f>IF($A1204="","",$A1204&amp;"|"&amp;$B1204&amp;"|"&amp;$C1204&amp;"|"&amp;$D1204)</f>
        <v/>
      </c>
    </row>
    <row r="1205">
      <c r="I1205" s="90">
        <f>IF($A1205="","",$A1205&amp;"|"&amp;$B1205&amp;"|"&amp;$C1205&amp;"|"&amp;$D1205)</f>
        <v/>
      </c>
    </row>
    <row r="1206">
      <c r="I1206" s="90">
        <f>IF($A1206="","",$A1206&amp;"|"&amp;$B1206&amp;"|"&amp;$C1206&amp;"|"&amp;$D1206)</f>
        <v/>
      </c>
    </row>
    <row r="1207">
      <c r="I1207" s="90">
        <f>IF($A1207="","",$A1207&amp;"|"&amp;$B1207&amp;"|"&amp;$C1207&amp;"|"&amp;$D1207)</f>
        <v/>
      </c>
    </row>
    <row r="1208">
      <c r="I1208" s="90">
        <f>IF($A1208="","",$A1208&amp;"|"&amp;$B1208&amp;"|"&amp;$C1208&amp;"|"&amp;$D1208)</f>
        <v/>
      </c>
    </row>
    <row r="1209">
      <c r="I1209" s="90">
        <f>IF($A1209="","",$A1209&amp;"|"&amp;$B1209&amp;"|"&amp;$C1209&amp;"|"&amp;$D1209)</f>
        <v/>
      </c>
    </row>
    <row r="1210">
      <c r="I1210" s="90">
        <f>IF($A1210="","",$A1210&amp;"|"&amp;$B1210&amp;"|"&amp;$C1210&amp;"|"&amp;$D1210)</f>
        <v/>
      </c>
    </row>
    <row r="1211">
      <c r="I1211" s="90">
        <f>IF($A1211="","",$A1211&amp;"|"&amp;$B1211&amp;"|"&amp;$C1211&amp;"|"&amp;$D1211)</f>
        <v/>
      </c>
    </row>
    <row r="1212">
      <c r="I1212" s="90">
        <f>IF($A1212="","",$A1212&amp;"|"&amp;$B1212&amp;"|"&amp;$C1212&amp;"|"&amp;$D1212)</f>
        <v/>
      </c>
    </row>
    <row r="1213">
      <c r="I1213" s="90">
        <f>IF($A1213="","",$A1213&amp;"|"&amp;$B1213&amp;"|"&amp;$C1213&amp;"|"&amp;$D1213)</f>
        <v/>
      </c>
    </row>
    <row r="1214">
      <c r="I1214" s="90">
        <f>IF($A1214="","",$A1214&amp;"|"&amp;$B1214&amp;"|"&amp;$C1214&amp;"|"&amp;$D1214)</f>
        <v/>
      </c>
    </row>
    <row r="1215">
      <c r="I1215" s="90">
        <f>IF($A1215="","",$A1215&amp;"|"&amp;$B1215&amp;"|"&amp;$C1215&amp;"|"&amp;$D1215)</f>
        <v/>
      </c>
    </row>
    <row r="1216">
      <c r="I1216" s="90">
        <f>IF($A1216="","",$A1216&amp;"|"&amp;$B1216&amp;"|"&amp;$C1216&amp;"|"&amp;$D1216)</f>
        <v/>
      </c>
    </row>
    <row r="1217">
      <c r="I1217" s="90">
        <f>IF($A1217="","",$A1217&amp;"|"&amp;$B1217&amp;"|"&amp;$C1217&amp;"|"&amp;$D1217)</f>
        <v/>
      </c>
    </row>
    <row r="1218">
      <c r="I1218" s="90">
        <f>IF($A1218="","",$A1218&amp;"|"&amp;$B1218&amp;"|"&amp;$C1218&amp;"|"&amp;$D1218)</f>
        <v/>
      </c>
    </row>
    <row r="1219">
      <c r="I1219" s="90">
        <f>IF($A1219="","",$A1219&amp;"|"&amp;$B1219&amp;"|"&amp;$C1219&amp;"|"&amp;$D1219)</f>
        <v/>
      </c>
    </row>
    <row r="1220">
      <c r="I1220" s="90">
        <f>IF($A1220="","",$A1220&amp;"|"&amp;$B1220&amp;"|"&amp;$C1220&amp;"|"&amp;$D1220)</f>
        <v/>
      </c>
    </row>
    <row r="1221">
      <c r="I1221" s="90">
        <f>IF($A1221="","",$A1221&amp;"|"&amp;$B1221&amp;"|"&amp;$C1221&amp;"|"&amp;$D1221)</f>
        <v/>
      </c>
    </row>
    <row r="1222">
      <c r="I1222" s="90">
        <f>IF($A1222="","",$A1222&amp;"|"&amp;$B1222&amp;"|"&amp;$C1222&amp;"|"&amp;$D1222)</f>
        <v/>
      </c>
    </row>
    <row r="1223">
      <c r="I1223" s="90">
        <f>IF($A1223="","",$A1223&amp;"|"&amp;$B1223&amp;"|"&amp;$C1223&amp;"|"&amp;$D1223)</f>
        <v/>
      </c>
    </row>
    <row r="1224">
      <c r="I1224" s="90">
        <f>IF($A1224="","",$A1224&amp;"|"&amp;$B1224&amp;"|"&amp;$C1224&amp;"|"&amp;$D1224)</f>
        <v/>
      </c>
    </row>
    <row r="1225">
      <c r="I1225" s="90">
        <f>IF($A1225="","",$A1225&amp;"|"&amp;$B1225&amp;"|"&amp;$C1225&amp;"|"&amp;$D1225)</f>
        <v/>
      </c>
    </row>
    <row r="1226">
      <c r="I1226" s="90">
        <f>IF($A1226="","",$A1226&amp;"|"&amp;$B1226&amp;"|"&amp;$C1226&amp;"|"&amp;$D1226)</f>
        <v/>
      </c>
    </row>
    <row r="1227">
      <c r="I1227" s="90">
        <f>IF($A1227="","",$A1227&amp;"|"&amp;$B1227&amp;"|"&amp;$C1227&amp;"|"&amp;$D1227)</f>
        <v/>
      </c>
    </row>
    <row r="1228">
      <c r="I1228" s="90">
        <f>IF($A1228="","",$A1228&amp;"|"&amp;$B1228&amp;"|"&amp;$C1228&amp;"|"&amp;$D1228)</f>
        <v/>
      </c>
    </row>
    <row r="1229">
      <c r="I1229" s="90">
        <f>IF($A1229="","",$A1229&amp;"|"&amp;$B1229&amp;"|"&amp;$C1229&amp;"|"&amp;$D1229)</f>
        <v/>
      </c>
    </row>
    <row r="1230">
      <c r="I1230" s="90">
        <f>IF($A1230="","",$A1230&amp;"|"&amp;$B1230&amp;"|"&amp;$C1230&amp;"|"&amp;$D1230)</f>
        <v/>
      </c>
    </row>
    <row r="1231">
      <c r="I1231" s="90">
        <f>IF($A1231="","",$A1231&amp;"|"&amp;$B1231&amp;"|"&amp;$C1231&amp;"|"&amp;$D1231)</f>
        <v/>
      </c>
    </row>
    <row r="1232">
      <c r="I1232" s="90">
        <f>IF($A1232="","",$A1232&amp;"|"&amp;$B1232&amp;"|"&amp;$C1232&amp;"|"&amp;$D1232)</f>
        <v/>
      </c>
    </row>
    <row r="1233">
      <c r="I1233" s="90">
        <f>IF($A1233="","",$A1233&amp;"|"&amp;$B1233&amp;"|"&amp;$C1233&amp;"|"&amp;$D1233)</f>
        <v/>
      </c>
    </row>
    <row r="1234">
      <c r="I1234" s="90">
        <f>IF($A1234="","",$A1234&amp;"|"&amp;$B1234&amp;"|"&amp;$C1234&amp;"|"&amp;$D1234)</f>
        <v/>
      </c>
    </row>
    <row r="1235">
      <c r="I1235" s="90">
        <f>IF($A1235="","",$A1235&amp;"|"&amp;$B1235&amp;"|"&amp;$C1235&amp;"|"&amp;$D1235)</f>
        <v/>
      </c>
    </row>
    <row r="1236">
      <c r="I1236" s="90">
        <f>IF($A1236="","",$A1236&amp;"|"&amp;$B1236&amp;"|"&amp;$C1236&amp;"|"&amp;$D1236)</f>
        <v/>
      </c>
    </row>
    <row r="1237">
      <c r="I1237" s="90">
        <f>IF($A1237="","",$A1237&amp;"|"&amp;$B1237&amp;"|"&amp;$C1237&amp;"|"&amp;$D1237)</f>
        <v/>
      </c>
    </row>
    <row r="1238">
      <c r="I1238" s="90">
        <f>IF($A1238="","",$A1238&amp;"|"&amp;$B1238&amp;"|"&amp;$C1238&amp;"|"&amp;$D1238)</f>
        <v/>
      </c>
    </row>
    <row r="1239">
      <c r="I1239" s="90">
        <f>IF($A1239="","",$A1239&amp;"|"&amp;$B1239&amp;"|"&amp;$C1239&amp;"|"&amp;$D1239)</f>
        <v/>
      </c>
    </row>
    <row r="1240">
      <c r="I1240" s="90">
        <f>IF($A1240="","",$A1240&amp;"|"&amp;$B1240&amp;"|"&amp;$C1240&amp;"|"&amp;$D1240)</f>
        <v/>
      </c>
    </row>
    <row r="1241">
      <c r="I1241" s="90">
        <f>IF($A1241="","",$A1241&amp;"|"&amp;$B1241&amp;"|"&amp;$C1241&amp;"|"&amp;$D1241)</f>
        <v/>
      </c>
    </row>
    <row r="1242">
      <c r="I1242" s="90">
        <f>IF($A1242="","",$A1242&amp;"|"&amp;$B1242&amp;"|"&amp;$C1242&amp;"|"&amp;$D1242)</f>
        <v/>
      </c>
    </row>
    <row r="1243">
      <c r="I1243" s="90">
        <f>IF($A1243="","",$A1243&amp;"|"&amp;$B1243&amp;"|"&amp;$C1243&amp;"|"&amp;$D1243)</f>
        <v/>
      </c>
    </row>
    <row r="1244">
      <c r="I1244" s="90">
        <f>IF($A1244="","",$A1244&amp;"|"&amp;$B1244&amp;"|"&amp;$C1244&amp;"|"&amp;$D1244)</f>
        <v/>
      </c>
    </row>
    <row r="1245">
      <c r="I1245" s="90">
        <f>IF($A1245="","",$A1245&amp;"|"&amp;$B1245&amp;"|"&amp;$C1245&amp;"|"&amp;$D1245)</f>
        <v/>
      </c>
    </row>
    <row r="1246">
      <c r="I1246" s="90">
        <f>IF($A1246="","",$A1246&amp;"|"&amp;$B1246&amp;"|"&amp;$C1246&amp;"|"&amp;$D1246)</f>
        <v/>
      </c>
    </row>
    <row r="1247">
      <c r="I1247" s="90">
        <f>IF($A1247="","",$A1247&amp;"|"&amp;$B1247&amp;"|"&amp;$C1247&amp;"|"&amp;$D1247)</f>
        <v/>
      </c>
    </row>
    <row r="1248">
      <c r="I1248" s="90">
        <f>IF($A1248="","",$A1248&amp;"|"&amp;$B1248&amp;"|"&amp;$C1248&amp;"|"&amp;$D1248)</f>
        <v/>
      </c>
    </row>
    <row r="1249">
      <c r="I1249" s="90">
        <f>IF($A1249="","",$A1249&amp;"|"&amp;$B1249&amp;"|"&amp;$C1249&amp;"|"&amp;$D1249)</f>
        <v/>
      </c>
    </row>
    <row r="1250">
      <c r="I1250" s="90">
        <f>IF($A1250="","",$A1250&amp;"|"&amp;$B1250&amp;"|"&amp;$C1250&amp;"|"&amp;$D1250)</f>
        <v/>
      </c>
    </row>
    <row r="1251">
      <c r="I1251" s="90">
        <f>IF($A1251="","",$A1251&amp;"|"&amp;$B1251&amp;"|"&amp;$C1251&amp;"|"&amp;$D1251)</f>
        <v/>
      </c>
    </row>
    <row r="1252">
      <c r="I1252" s="90">
        <f>IF($A1252="","",$A1252&amp;"|"&amp;$B1252&amp;"|"&amp;$C1252&amp;"|"&amp;$D1252)</f>
        <v/>
      </c>
    </row>
    <row r="1253">
      <c r="I1253" s="90">
        <f>IF($A1253="","",$A1253&amp;"|"&amp;$B1253&amp;"|"&amp;$C1253&amp;"|"&amp;$D1253)</f>
        <v/>
      </c>
    </row>
    <row r="1254">
      <c r="I1254" s="90">
        <f>IF($A1254="","",$A1254&amp;"|"&amp;$B1254&amp;"|"&amp;$C1254&amp;"|"&amp;$D1254)</f>
        <v/>
      </c>
    </row>
    <row r="1255">
      <c r="I1255" s="90">
        <f>IF($A1255="","",$A1255&amp;"|"&amp;$B1255&amp;"|"&amp;$C1255&amp;"|"&amp;$D1255)</f>
        <v/>
      </c>
    </row>
    <row r="1256">
      <c r="I1256" s="90">
        <f>IF($A1256="","",$A1256&amp;"|"&amp;$B1256&amp;"|"&amp;$C1256&amp;"|"&amp;$D1256)</f>
        <v/>
      </c>
    </row>
    <row r="1257">
      <c r="I1257" s="90">
        <f>IF($A1257="","",$A1257&amp;"|"&amp;$B1257&amp;"|"&amp;$C1257&amp;"|"&amp;$D1257)</f>
        <v/>
      </c>
    </row>
    <row r="1258">
      <c r="I1258" s="90">
        <f>IF($A1258="","",$A1258&amp;"|"&amp;$B1258&amp;"|"&amp;$C1258&amp;"|"&amp;$D1258)</f>
        <v/>
      </c>
    </row>
    <row r="1259">
      <c r="I1259" s="90">
        <f>IF($A1259="","",$A1259&amp;"|"&amp;$B1259&amp;"|"&amp;$C1259&amp;"|"&amp;$D1259)</f>
        <v/>
      </c>
    </row>
    <row r="1260">
      <c r="I1260" s="90">
        <f>IF($A1260="","",$A1260&amp;"|"&amp;$B1260&amp;"|"&amp;$C1260&amp;"|"&amp;$D1260)</f>
        <v/>
      </c>
    </row>
    <row r="1261">
      <c r="I1261" s="90">
        <f>IF($A1261="","",$A1261&amp;"|"&amp;$B1261&amp;"|"&amp;$C1261&amp;"|"&amp;$D1261)</f>
        <v/>
      </c>
    </row>
    <row r="1262">
      <c r="I1262" s="90">
        <f>IF($A1262="","",$A1262&amp;"|"&amp;$B1262&amp;"|"&amp;$C1262&amp;"|"&amp;$D1262)</f>
        <v/>
      </c>
    </row>
    <row r="1263">
      <c r="I1263" s="90">
        <f>IF($A1263="","",$A1263&amp;"|"&amp;$B1263&amp;"|"&amp;$C1263&amp;"|"&amp;$D1263)</f>
        <v/>
      </c>
    </row>
    <row r="1264">
      <c r="I1264" s="90">
        <f>IF($A1264="","",$A1264&amp;"|"&amp;$B1264&amp;"|"&amp;$C1264&amp;"|"&amp;$D1264)</f>
        <v/>
      </c>
    </row>
    <row r="1265">
      <c r="I1265" s="90">
        <f>IF($A1265="","",$A1265&amp;"|"&amp;$B1265&amp;"|"&amp;$C1265&amp;"|"&amp;$D1265)</f>
        <v/>
      </c>
    </row>
    <row r="1266">
      <c r="I1266" s="90">
        <f>IF($A1266="","",$A1266&amp;"|"&amp;$B1266&amp;"|"&amp;$C1266&amp;"|"&amp;$D1266)</f>
        <v/>
      </c>
    </row>
    <row r="1267">
      <c r="I1267" s="90">
        <f>IF($A1267="","",$A1267&amp;"|"&amp;$B1267&amp;"|"&amp;$C1267&amp;"|"&amp;$D1267)</f>
        <v/>
      </c>
    </row>
    <row r="1268">
      <c r="I1268" s="90">
        <f>IF($A1268="","",$A1268&amp;"|"&amp;$B1268&amp;"|"&amp;$C1268&amp;"|"&amp;$D1268)</f>
        <v/>
      </c>
    </row>
    <row r="1269">
      <c r="I1269" s="90">
        <f>IF($A1269="","",$A1269&amp;"|"&amp;$B1269&amp;"|"&amp;$C1269&amp;"|"&amp;$D1269)</f>
        <v/>
      </c>
    </row>
    <row r="1270">
      <c r="I1270" s="90">
        <f>IF($A1270="","",$A1270&amp;"|"&amp;$B1270&amp;"|"&amp;$C1270&amp;"|"&amp;$D1270)</f>
        <v/>
      </c>
    </row>
    <row r="1271">
      <c r="I1271" s="90">
        <f>IF($A1271="","",$A1271&amp;"|"&amp;$B1271&amp;"|"&amp;$C1271&amp;"|"&amp;$D1271)</f>
        <v/>
      </c>
    </row>
    <row r="1272">
      <c r="I1272" s="90">
        <f>IF($A1272="","",$A1272&amp;"|"&amp;$B1272&amp;"|"&amp;$C1272&amp;"|"&amp;$D1272)</f>
        <v/>
      </c>
    </row>
    <row r="1273">
      <c r="I1273" s="90">
        <f>IF($A1273="","",$A1273&amp;"|"&amp;$B1273&amp;"|"&amp;$C1273&amp;"|"&amp;$D1273)</f>
        <v/>
      </c>
    </row>
    <row r="1274">
      <c r="I1274" s="90">
        <f>IF($A1274="","",$A1274&amp;"|"&amp;$B1274&amp;"|"&amp;$C1274&amp;"|"&amp;$D1274)</f>
        <v/>
      </c>
    </row>
    <row r="1275">
      <c r="I1275" s="90">
        <f>IF($A1275="","",$A1275&amp;"|"&amp;$B1275&amp;"|"&amp;$C1275&amp;"|"&amp;$D1275)</f>
        <v/>
      </c>
    </row>
    <row r="1276">
      <c r="I1276" s="90">
        <f>IF($A1276="","",$A1276&amp;"|"&amp;$B1276&amp;"|"&amp;$C1276&amp;"|"&amp;$D1276)</f>
        <v/>
      </c>
    </row>
    <row r="1277">
      <c r="I1277" s="90">
        <f>IF($A1277="","",$A1277&amp;"|"&amp;$B1277&amp;"|"&amp;$C1277&amp;"|"&amp;$D1277)</f>
        <v/>
      </c>
    </row>
    <row r="1278">
      <c r="I1278" s="90">
        <f>IF($A1278="","",$A1278&amp;"|"&amp;$B1278&amp;"|"&amp;$C1278&amp;"|"&amp;$D1278)</f>
        <v/>
      </c>
    </row>
    <row r="1279">
      <c r="I1279" s="90">
        <f>IF($A1279="","",$A1279&amp;"|"&amp;$B1279&amp;"|"&amp;$C1279&amp;"|"&amp;$D1279)</f>
        <v/>
      </c>
    </row>
    <row r="1280">
      <c r="I1280" s="90">
        <f>IF($A1280="","",$A1280&amp;"|"&amp;$B1280&amp;"|"&amp;$C1280&amp;"|"&amp;$D1280)</f>
        <v/>
      </c>
    </row>
    <row r="1281">
      <c r="I1281" s="90">
        <f>IF($A1281="","",$A1281&amp;"|"&amp;$B1281&amp;"|"&amp;$C1281&amp;"|"&amp;$D1281)</f>
        <v/>
      </c>
    </row>
    <row r="1282">
      <c r="I1282" s="90">
        <f>IF($A1282="","",$A1282&amp;"|"&amp;$B1282&amp;"|"&amp;$C1282&amp;"|"&amp;$D1282)</f>
        <v/>
      </c>
    </row>
    <row r="1283">
      <c r="I1283" s="90">
        <f>IF($A1283="","",$A1283&amp;"|"&amp;$B1283&amp;"|"&amp;$C1283&amp;"|"&amp;$D1283)</f>
        <v/>
      </c>
    </row>
    <row r="1284">
      <c r="I1284" s="90">
        <f>IF($A1284="","",$A1284&amp;"|"&amp;$B1284&amp;"|"&amp;$C1284&amp;"|"&amp;$D1284)</f>
        <v/>
      </c>
    </row>
    <row r="1285">
      <c r="I1285" s="90">
        <f>IF($A1285="","",$A1285&amp;"|"&amp;$B1285&amp;"|"&amp;$C1285&amp;"|"&amp;$D1285)</f>
        <v/>
      </c>
    </row>
    <row r="1286">
      <c r="I1286" s="90">
        <f>IF($A1286="","",$A1286&amp;"|"&amp;$B1286&amp;"|"&amp;$C1286&amp;"|"&amp;$D1286)</f>
        <v/>
      </c>
    </row>
    <row r="1287">
      <c r="I1287" s="90">
        <f>IF($A1287="","",$A1287&amp;"|"&amp;$B1287&amp;"|"&amp;$C1287&amp;"|"&amp;$D1287)</f>
        <v/>
      </c>
    </row>
    <row r="1288">
      <c r="I1288" s="90">
        <f>IF($A1288="","",$A1288&amp;"|"&amp;$B1288&amp;"|"&amp;$C1288&amp;"|"&amp;$D1288)</f>
        <v/>
      </c>
    </row>
    <row r="1289">
      <c r="I1289" s="90">
        <f>IF($A1289="","",$A1289&amp;"|"&amp;$B1289&amp;"|"&amp;$C1289&amp;"|"&amp;$D1289)</f>
        <v/>
      </c>
    </row>
    <row r="1290">
      <c r="I1290" s="90">
        <f>IF($A1290="","",$A1290&amp;"|"&amp;$B1290&amp;"|"&amp;$C1290&amp;"|"&amp;$D1290)</f>
        <v/>
      </c>
    </row>
    <row r="1291">
      <c r="I1291" s="90">
        <f>IF($A1291="","",$A1291&amp;"|"&amp;$B1291&amp;"|"&amp;$C1291&amp;"|"&amp;$D1291)</f>
        <v/>
      </c>
    </row>
    <row r="1292">
      <c r="I1292" s="90">
        <f>IF($A1292="","",$A1292&amp;"|"&amp;$B1292&amp;"|"&amp;$C1292&amp;"|"&amp;$D1292)</f>
        <v/>
      </c>
    </row>
    <row r="1293">
      <c r="I1293" s="90">
        <f>IF($A1293="","",$A1293&amp;"|"&amp;$B1293&amp;"|"&amp;$C1293&amp;"|"&amp;$D1293)</f>
        <v/>
      </c>
    </row>
    <row r="1294">
      <c r="I1294" s="90">
        <f>IF($A1294="","",$A1294&amp;"|"&amp;$B1294&amp;"|"&amp;$C1294&amp;"|"&amp;$D1294)</f>
        <v/>
      </c>
    </row>
    <row r="1295">
      <c r="I1295" s="90">
        <f>IF($A1295="","",$A1295&amp;"|"&amp;$B1295&amp;"|"&amp;$C1295&amp;"|"&amp;$D1295)</f>
        <v/>
      </c>
    </row>
    <row r="1296">
      <c r="I1296" s="90">
        <f>IF($A1296="","",$A1296&amp;"|"&amp;$B1296&amp;"|"&amp;$C1296&amp;"|"&amp;$D1296)</f>
        <v/>
      </c>
    </row>
    <row r="1297">
      <c r="I1297" s="90">
        <f>IF($A1297="","",$A1297&amp;"|"&amp;$B1297&amp;"|"&amp;$C1297&amp;"|"&amp;$D1297)</f>
        <v/>
      </c>
    </row>
    <row r="1298">
      <c r="I1298" s="90">
        <f>IF($A1298="","",$A1298&amp;"|"&amp;$B1298&amp;"|"&amp;$C1298&amp;"|"&amp;$D1298)</f>
        <v/>
      </c>
    </row>
    <row r="1299">
      <c r="I1299" s="90">
        <f>IF($A1299="","",$A1299&amp;"|"&amp;$B1299&amp;"|"&amp;$C1299&amp;"|"&amp;$D1299)</f>
        <v/>
      </c>
    </row>
    <row r="1300">
      <c r="I1300" s="90">
        <f>IF($A1300="","",$A1300&amp;"|"&amp;$B1300&amp;"|"&amp;$C1300&amp;"|"&amp;$D1300)</f>
        <v/>
      </c>
    </row>
    <row r="1301">
      <c r="I1301" s="90">
        <f>IF($A1301="","",$A1301&amp;"|"&amp;$B1301&amp;"|"&amp;$C1301&amp;"|"&amp;$D1301)</f>
        <v/>
      </c>
    </row>
    <row r="1302">
      <c r="I1302" s="90">
        <f>IF($A1302="","",$A1302&amp;"|"&amp;$B1302&amp;"|"&amp;$C1302&amp;"|"&amp;$D1302)</f>
        <v/>
      </c>
    </row>
    <row r="1303">
      <c r="I1303" s="90">
        <f>IF($A1303="","",$A1303&amp;"|"&amp;$B1303&amp;"|"&amp;$C1303&amp;"|"&amp;$D1303)</f>
        <v/>
      </c>
    </row>
    <row r="1304">
      <c r="I1304" s="90">
        <f>IF($A1304="","",$A1304&amp;"|"&amp;$B1304&amp;"|"&amp;$C1304&amp;"|"&amp;$D1304)</f>
        <v/>
      </c>
    </row>
    <row r="1305">
      <c r="I1305" s="90">
        <f>IF($A1305="","",$A1305&amp;"|"&amp;$B1305&amp;"|"&amp;$C1305&amp;"|"&amp;$D1305)</f>
        <v/>
      </c>
    </row>
    <row r="1306">
      <c r="I1306" s="90">
        <f>IF($A1306="","",$A1306&amp;"|"&amp;$B1306&amp;"|"&amp;$C1306&amp;"|"&amp;$D1306)</f>
        <v/>
      </c>
    </row>
    <row r="1307">
      <c r="I1307" s="90">
        <f>IF($A1307="","",$A1307&amp;"|"&amp;$B1307&amp;"|"&amp;$C1307&amp;"|"&amp;$D1307)</f>
        <v/>
      </c>
    </row>
    <row r="1308">
      <c r="I1308" s="90">
        <f>IF($A1308="","",$A1308&amp;"|"&amp;$B1308&amp;"|"&amp;$C1308&amp;"|"&amp;$D1308)</f>
        <v/>
      </c>
    </row>
    <row r="1309">
      <c r="I1309" s="90">
        <f>IF($A1309="","",$A1309&amp;"|"&amp;$B1309&amp;"|"&amp;$C1309&amp;"|"&amp;$D1309)</f>
        <v/>
      </c>
    </row>
    <row r="1310">
      <c r="I1310" s="90">
        <f>IF($A1310="","",$A1310&amp;"|"&amp;$B1310&amp;"|"&amp;$C1310&amp;"|"&amp;$D1310)</f>
        <v/>
      </c>
    </row>
    <row r="1311">
      <c r="I1311" s="90">
        <f>IF($A1311="","",$A1311&amp;"|"&amp;$B1311&amp;"|"&amp;$C1311&amp;"|"&amp;$D1311)</f>
        <v/>
      </c>
    </row>
    <row r="1312">
      <c r="I1312" s="90">
        <f>IF($A1312="","",$A1312&amp;"|"&amp;$B1312&amp;"|"&amp;$C1312&amp;"|"&amp;$D1312)</f>
        <v/>
      </c>
    </row>
    <row r="1313">
      <c r="I1313" s="90">
        <f>IF($A1313="","",$A1313&amp;"|"&amp;$B1313&amp;"|"&amp;$C1313&amp;"|"&amp;$D1313)</f>
        <v/>
      </c>
    </row>
    <row r="1314">
      <c r="I1314" s="90">
        <f>IF($A1314="","",$A1314&amp;"|"&amp;$B1314&amp;"|"&amp;$C1314&amp;"|"&amp;$D1314)</f>
        <v/>
      </c>
    </row>
    <row r="1315">
      <c r="I1315" s="90">
        <f>IF($A1315="","",$A1315&amp;"|"&amp;$B1315&amp;"|"&amp;$C1315&amp;"|"&amp;$D1315)</f>
        <v/>
      </c>
    </row>
    <row r="1316">
      <c r="I1316" s="90">
        <f>IF($A1316="","",$A1316&amp;"|"&amp;$B1316&amp;"|"&amp;$C1316&amp;"|"&amp;$D1316)</f>
        <v/>
      </c>
    </row>
    <row r="1317">
      <c r="I1317" s="90">
        <f>IF($A1317="","",$A1317&amp;"|"&amp;$B1317&amp;"|"&amp;$C1317&amp;"|"&amp;$D1317)</f>
        <v/>
      </c>
    </row>
    <row r="1318">
      <c r="I1318" s="90">
        <f>IF($A1318="","",$A1318&amp;"|"&amp;$B1318&amp;"|"&amp;$C1318&amp;"|"&amp;$D1318)</f>
        <v/>
      </c>
    </row>
    <row r="1319">
      <c r="I1319" s="90">
        <f>IF($A1319="","",$A1319&amp;"|"&amp;$B1319&amp;"|"&amp;$C1319&amp;"|"&amp;$D1319)</f>
        <v/>
      </c>
    </row>
    <row r="1320">
      <c r="I1320" s="90">
        <f>IF($A1320="","",$A1320&amp;"|"&amp;$B1320&amp;"|"&amp;$C1320&amp;"|"&amp;$D1320)</f>
        <v/>
      </c>
    </row>
    <row r="1321">
      <c r="I1321" s="90">
        <f>IF($A1321="","",$A1321&amp;"|"&amp;$B1321&amp;"|"&amp;$C1321&amp;"|"&amp;$D1321)</f>
        <v/>
      </c>
    </row>
    <row r="1322">
      <c r="I1322" s="90">
        <f>IF($A1322="","",$A1322&amp;"|"&amp;$B1322&amp;"|"&amp;$C1322&amp;"|"&amp;$D1322)</f>
        <v/>
      </c>
    </row>
    <row r="1323">
      <c r="I1323" s="90">
        <f>IF($A1323="","",$A1323&amp;"|"&amp;$B1323&amp;"|"&amp;$C1323&amp;"|"&amp;$D1323)</f>
        <v/>
      </c>
    </row>
    <row r="1324">
      <c r="I1324" s="90">
        <f>IF($A1324="","",$A1324&amp;"|"&amp;$B1324&amp;"|"&amp;$C1324&amp;"|"&amp;$D1324)</f>
        <v/>
      </c>
    </row>
    <row r="1325">
      <c r="I1325" s="90">
        <f>IF($A1325="","",$A1325&amp;"|"&amp;$B1325&amp;"|"&amp;$C1325&amp;"|"&amp;$D1325)</f>
        <v/>
      </c>
    </row>
    <row r="1326">
      <c r="I1326" s="90">
        <f>IF($A1326="","",$A1326&amp;"|"&amp;$B1326&amp;"|"&amp;$C1326&amp;"|"&amp;$D1326)</f>
        <v/>
      </c>
    </row>
    <row r="1327">
      <c r="I1327" s="90">
        <f>IF($A1327="","",$A1327&amp;"|"&amp;$B1327&amp;"|"&amp;$C1327&amp;"|"&amp;$D1327)</f>
        <v/>
      </c>
    </row>
    <row r="1328">
      <c r="I1328" s="90">
        <f>IF($A1328="","",$A1328&amp;"|"&amp;$B1328&amp;"|"&amp;$C1328&amp;"|"&amp;$D1328)</f>
        <v/>
      </c>
    </row>
    <row r="1329">
      <c r="I1329" s="90">
        <f>IF($A1329="","",$A1329&amp;"|"&amp;$B1329&amp;"|"&amp;$C1329&amp;"|"&amp;$D1329)</f>
        <v/>
      </c>
    </row>
    <row r="1330">
      <c r="I1330" s="90">
        <f>IF($A1330="","",$A1330&amp;"|"&amp;$B1330&amp;"|"&amp;$C1330&amp;"|"&amp;$D1330)</f>
        <v/>
      </c>
    </row>
    <row r="1331">
      <c r="I1331" s="90">
        <f>IF($A1331="","",$A1331&amp;"|"&amp;$B1331&amp;"|"&amp;$C1331&amp;"|"&amp;$D1331)</f>
        <v/>
      </c>
    </row>
    <row r="1332">
      <c r="I1332" s="90">
        <f>IF($A1332="","",$A1332&amp;"|"&amp;$B1332&amp;"|"&amp;$C1332&amp;"|"&amp;$D1332)</f>
        <v/>
      </c>
    </row>
    <row r="1333">
      <c r="I1333" s="90">
        <f>IF($A1333="","",$A1333&amp;"|"&amp;$B1333&amp;"|"&amp;$C1333&amp;"|"&amp;$D1333)</f>
        <v/>
      </c>
    </row>
    <row r="1334">
      <c r="I1334" s="90">
        <f>IF($A1334="","",$A1334&amp;"|"&amp;$B1334&amp;"|"&amp;$C1334&amp;"|"&amp;$D1334)</f>
        <v/>
      </c>
    </row>
    <row r="1335">
      <c r="I1335" s="90">
        <f>IF($A1335="","",$A1335&amp;"|"&amp;$B1335&amp;"|"&amp;$C1335&amp;"|"&amp;$D1335)</f>
        <v/>
      </c>
    </row>
    <row r="1336">
      <c r="I1336" s="90">
        <f>IF($A1336="","",$A1336&amp;"|"&amp;$B1336&amp;"|"&amp;$C1336&amp;"|"&amp;$D1336)</f>
        <v/>
      </c>
    </row>
    <row r="1337">
      <c r="I1337" s="90">
        <f>IF($A1337="","",$A1337&amp;"|"&amp;$B1337&amp;"|"&amp;$C1337&amp;"|"&amp;$D1337)</f>
        <v/>
      </c>
    </row>
    <row r="1338">
      <c r="I1338" s="90">
        <f>IF($A1338="","",$A1338&amp;"|"&amp;$B1338&amp;"|"&amp;$C1338&amp;"|"&amp;$D1338)</f>
        <v/>
      </c>
    </row>
    <row r="1339">
      <c r="I1339" s="90">
        <f>IF($A1339="","",$A1339&amp;"|"&amp;$B1339&amp;"|"&amp;$C1339&amp;"|"&amp;$D1339)</f>
        <v/>
      </c>
    </row>
    <row r="1340">
      <c r="I1340" s="90">
        <f>IF($A1340="","",$A1340&amp;"|"&amp;$B1340&amp;"|"&amp;$C1340&amp;"|"&amp;$D1340)</f>
        <v/>
      </c>
    </row>
    <row r="1341">
      <c r="I1341" s="90">
        <f>IF($A1341="","",$A1341&amp;"|"&amp;$B1341&amp;"|"&amp;$C1341&amp;"|"&amp;$D1341)</f>
        <v/>
      </c>
    </row>
    <row r="1342">
      <c r="I1342" s="90">
        <f>IF($A1342="","",$A1342&amp;"|"&amp;$B1342&amp;"|"&amp;$C1342&amp;"|"&amp;$D1342)</f>
        <v/>
      </c>
    </row>
    <row r="1343">
      <c r="I1343" s="90">
        <f>IF($A1343="","",$A1343&amp;"|"&amp;$B1343&amp;"|"&amp;$C1343&amp;"|"&amp;$D1343)</f>
        <v/>
      </c>
    </row>
    <row r="1344">
      <c r="I1344" s="90">
        <f>IF($A1344="","",$A1344&amp;"|"&amp;$B1344&amp;"|"&amp;$C1344&amp;"|"&amp;$D1344)</f>
        <v/>
      </c>
    </row>
    <row r="1345">
      <c r="I1345" s="90">
        <f>IF($A1345="","",$A1345&amp;"|"&amp;$B1345&amp;"|"&amp;$C1345&amp;"|"&amp;$D1345)</f>
        <v/>
      </c>
    </row>
    <row r="1346">
      <c r="I1346" s="90">
        <f>IF($A1346="","",$A1346&amp;"|"&amp;$B1346&amp;"|"&amp;$C1346&amp;"|"&amp;$D1346)</f>
        <v/>
      </c>
    </row>
    <row r="1347">
      <c r="I1347" s="90">
        <f>IF($A1347="","",$A1347&amp;"|"&amp;$B1347&amp;"|"&amp;$C1347&amp;"|"&amp;$D1347)</f>
        <v/>
      </c>
    </row>
    <row r="1348">
      <c r="I1348" s="90">
        <f>IF($A1348="","",$A1348&amp;"|"&amp;$B1348&amp;"|"&amp;$C1348&amp;"|"&amp;$D1348)</f>
        <v/>
      </c>
    </row>
    <row r="1349">
      <c r="I1349" s="90">
        <f>IF($A1349="","",$A1349&amp;"|"&amp;$B1349&amp;"|"&amp;$C1349&amp;"|"&amp;$D1349)</f>
        <v/>
      </c>
    </row>
    <row r="1350">
      <c r="I1350" s="90">
        <f>IF($A1350="","",$A1350&amp;"|"&amp;$B1350&amp;"|"&amp;$C1350&amp;"|"&amp;$D1350)</f>
        <v/>
      </c>
    </row>
    <row r="1351">
      <c r="I1351" s="90">
        <f>IF($A1351="","",$A1351&amp;"|"&amp;$B1351&amp;"|"&amp;$C1351&amp;"|"&amp;$D1351)</f>
        <v/>
      </c>
    </row>
    <row r="1352">
      <c r="I1352" s="90">
        <f>IF($A1352="","",$A1352&amp;"|"&amp;$B1352&amp;"|"&amp;$C1352&amp;"|"&amp;$D1352)</f>
        <v/>
      </c>
    </row>
    <row r="1353">
      <c r="I1353" s="90">
        <f>IF($A1353="","",$A1353&amp;"|"&amp;$B1353&amp;"|"&amp;$C1353&amp;"|"&amp;$D1353)</f>
        <v/>
      </c>
    </row>
    <row r="1354">
      <c r="I1354" s="90">
        <f>IF($A1354="","",$A1354&amp;"|"&amp;$B1354&amp;"|"&amp;$C1354&amp;"|"&amp;$D1354)</f>
        <v/>
      </c>
    </row>
    <row r="1355">
      <c r="I1355" s="90">
        <f>IF($A1355="","",$A1355&amp;"|"&amp;$B1355&amp;"|"&amp;$C1355&amp;"|"&amp;$D1355)</f>
        <v/>
      </c>
    </row>
    <row r="1356">
      <c r="I1356" s="90">
        <f>IF($A1356="","",$A1356&amp;"|"&amp;$B1356&amp;"|"&amp;$C1356&amp;"|"&amp;$D1356)</f>
        <v/>
      </c>
    </row>
    <row r="1357">
      <c r="I1357" s="90">
        <f>IF($A1357="","",$A1357&amp;"|"&amp;$B1357&amp;"|"&amp;$C1357&amp;"|"&amp;$D1357)</f>
        <v/>
      </c>
    </row>
    <row r="1358">
      <c r="I1358" s="90">
        <f>IF($A1358="","",$A1358&amp;"|"&amp;$B1358&amp;"|"&amp;$C1358&amp;"|"&amp;$D1358)</f>
        <v/>
      </c>
    </row>
    <row r="1359">
      <c r="I1359" s="90">
        <f>IF($A1359="","",$A1359&amp;"|"&amp;$B1359&amp;"|"&amp;$C1359&amp;"|"&amp;$D1359)</f>
        <v/>
      </c>
    </row>
    <row r="1360">
      <c r="I1360" s="90">
        <f>IF($A1360="","",$A1360&amp;"|"&amp;$B1360&amp;"|"&amp;$C1360&amp;"|"&amp;$D1360)</f>
        <v/>
      </c>
    </row>
    <row r="1361">
      <c r="I1361" s="90">
        <f>IF($A1361="","",$A1361&amp;"|"&amp;$B1361&amp;"|"&amp;$C1361&amp;"|"&amp;$D1361)</f>
        <v/>
      </c>
    </row>
    <row r="1362">
      <c r="I1362" s="90">
        <f>IF($A1362="","",$A1362&amp;"|"&amp;$B1362&amp;"|"&amp;$C1362&amp;"|"&amp;$D1362)</f>
        <v/>
      </c>
    </row>
    <row r="1363">
      <c r="I1363" s="90">
        <f>IF($A1363="","",$A1363&amp;"|"&amp;$B1363&amp;"|"&amp;$C1363&amp;"|"&amp;$D1363)</f>
        <v/>
      </c>
    </row>
    <row r="1364">
      <c r="I1364" s="90">
        <f>IF($A1364="","",$A1364&amp;"|"&amp;$B1364&amp;"|"&amp;$C1364&amp;"|"&amp;$D1364)</f>
        <v/>
      </c>
    </row>
    <row r="1365">
      <c r="I1365" s="90">
        <f>IF($A1365="","",$A1365&amp;"|"&amp;$B1365&amp;"|"&amp;$C1365&amp;"|"&amp;$D1365)</f>
        <v/>
      </c>
    </row>
    <row r="1366">
      <c r="I1366" s="90">
        <f>IF($A1366="","",$A1366&amp;"|"&amp;$B1366&amp;"|"&amp;$C1366&amp;"|"&amp;$D1366)</f>
        <v/>
      </c>
    </row>
    <row r="1367">
      <c r="I1367" s="90">
        <f>IF($A1367="","",$A1367&amp;"|"&amp;$B1367&amp;"|"&amp;$C1367&amp;"|"&amp;$D1367)</f>
        <v/>
      </c>
    </row>
    <row r="1368">
      <c r="I1368" s="90">
        <f>IF($A1368="","",$A1368&amp;"|"&amp;$B1368&amp;"|"&amp;$C1368&amp;"|"&amp;$D1368)</f>
        <v/>
      </c>
    </row>
    <row r="1369">
      <c r="I1369" s="90">
        <f>IF($A1369="","",$A1369&amp;"|"&amp;$B1369&amp;"|"&amp;$C1369&amp;"|"&amp;$D1369)</f>
        <v/>
      </c>
    </row>
    <row r="1370">
      <c r="I1370" s="90">
        <f>IF($A1370="","",$A1370&amp;"|"&amp;$B1370&amp;"|"&amp;$C1370&amp;"|"&amp;$D1370)</f>
        <v/>
      </c>
    </row>
    <row r="1371">
      <c r="I1371" s="90">
        <f>IF($A1371="","",$A1371&amp;"|"&amp;$B1371&amp;"|"&amp;$C1371&amp;"|"&amp;$D1371)</f>
        <v/>
      </c>
    </row>
    <row r="1372">
      <c r="I1372" s="90">
        <f>IF($A1372="","",$A1372&amp;"|"&amp;$B1372&amp;"|"&amp;$C1372&amp;"|"&amp;$D1372)</f>
        <v/>
      </c>
    </row>
    <row r="1373">
      <c r="I1373" s="90">
        <f>IF($A1373="","",$A1373&amp;"|"&amp;$B1373&amp;"|"&amp;$C1373&amp;"|"&amp;$D1373)</f>
        <v/>
      </c>
    </row>
    <row r="1374">
      <c r="I1374" s="90">
        <f>IF($A1374="","",$A1374&amp;"|"&amp;$B1374&amp;"|"&amp;$C1374&amp;"|"&amp;$D1374)</f>
        <v/>
      </c>
    </row>
    <row r="1375">
      <c r="I1375" s="90">
        <f>IF($A1375="","",$A1375&amp;"|"&amp;$B1375&amp;"|"&amp;$C1375&amp;"|"&amp;$D1375)</f>
        <v/>
      </c>
    </row>
    <row r="1376">
      <c r="I1376" s="90">
        <f>IF($A1376="","",$A1376&amp;"|"&amp;$B1376&amp;"|"&amp;$C1376&amp;"|"&amp;$D1376)</f>
        <v/>
      </c>
    </row>
    <row r="1377">
      <c r="I1377" s="90">
        <f>IF($A1377="","",$A1377&amp;"|"&amp;$B1377&amp;"|"&amp;$C1377&amp;"|"&amp;$D1377)</f>
        <v/>
      </c>
    </row>
    <row r="1378">
      <c r="I1378" s="90">
        <f>IF($A1378="","",$A1378&amp;"|"&amp;$B1378&amp;"|"&amp;$C1378&amp;"|"&amp;$D1378)</f>
        <v/>
      </c>
    </row>
    <row r="1379">
      <c r="I1379" s="90">
        <f>IF($A1379="","",$A1379&amp;"|"&amp;$B1379&amp;"|"&amp;$C1379&amp;"|"&amp;$D1379)</f>
        <v/>
      </c>
    </row>
    <row r="1380">
      <c r="I1380" s="90">
        <f>IF($A1380="","",$A1380&amp;"|"&amp;$B1380&amp;"|"&amp;$C1380&amp;"|"&amp;$D1380)</f>
        <v/>
      </c>
    </row>
    <row r="1381">
      <c r="I1381" s="90">
        <f>IF($A1381="","",$A1381&amp;"|"&amp;$B1381&amp;"|"&amp;$C1381&amp;"|"&amp;$D1381)</f>
        <v/>
      </c>
    </row>
    <row r="1382">
      <c r="I1382" s="90">
        <f>IF($A1382="","",$A1382&amp;"|"&amp;$B1382&amp;"|"&amp;$C1382&amp;"|"&amp;$D1382)</f>
        <v/>
      </c>
    </row>
    <row r="1383">
      <c r="I1383" s="90">
        <f>IF($A1383="","",$A1383&amp;"|"&amp;$B1383&amp;"|"&amp;$C1383&amp;"|"&amp;$D1383)</f>
        <v/>
      </c>
    </row>
    <row r="1384">
      <c r="I1384" s="90">
        <f>IF($A1384="","",$A1384&amp;"|"&amp;$B1384&amp;"|"&amp;$C1384&amp;"|"&amp;$D1384)</f>
        <v/>
      </c>
    </row>
    <row r="1385">
      <c r="I1385" s="90">
        <f>IF($A1385="","",$A1385&amp;"|"&amp;$B1385&amp;"|"&amp;$C1385&amp;"|"&amp;$D1385)</f>
        <v/>
      </c>
    </row>
    <row r="1386">
      <c r="I1386" s="90">
        <f>IF($A1386="","",$A1386&amp;"|"&amp;$B1386&amp;"|"&amp;$C1386&amp;"|"&amp;$D1386)</f>
        <v/>
      </c>
    </row>
    <row r="1387">
      <c r="I1387" s="90">
        <f>IF($A1387="","",$A1387&amp;"|"&amp;$B1387&amp;"|"&amp;$C1387&amp;"|"&amp;$D1387)</f>
        <v/>
      </c>
    </row>
    <row r="1388">
      <c r="I1388" s="90">
        <f>IF($A1388="","",$A1388&amp;"|"&amp;$B1388&amp;"|"&amp;$C1388&amp;"|"&amp;$D1388)</f>
        <v/>
      </c>
    </row>
    <row r="1389">
      <c r="I1389" s="90">
        <f>IF($A1389="","",$A1389&amp;"|"&amp;$B1389&amp;"|"&amp;$C1389&amp;"|"&amp;$D1389)</f>
        <v/>
      </c>
    </row>
    <row r="1390">
      <c r="I1390" s="90">
        <f>IF($A1390="","",$A1390&amp;"|"&amp;$B1390&amp;"|"&amp;$C1390&amp;"|"&amp;$D1390)</f>
        <v/>
      </c>
    </row>
    <row r="1391">
      <c r="I1391" s="90">
        <f>IF($A1391="","",$A1391&amp;"|"&amp;$B1391&amp;"|"&amp;$C1391&amp;"|"&amp;$D1391)</f>
        <v/>
      </c>
    </row>
    <row r="1392">
      <c r="I1392" s="90">
        <f>IF($A1392="","",$A1392&amp;"|"&amp;$B1392&amp;"|"&amp;$C1392&amp;"|"&amp;$D1392)</f>
        <v/>
      </c>
    </row>
    <row r="1393">
      <c r="I1393" s="90">
        <f>IF($A1393="","",$A1393&amp;"|"&amp;$B1393&amp;"|"&amp;$C1393&amp;"|"&amp;$D1393)</f>
        <v/>
      </c>
    </row>
    <row r="1394">
      <c r="I1394" s="90">
        <f>IF($A1394="","",$A1394&amp;"|"&amp;$B1394&amp;"|"&amp;$C1394&amp;"|"&amp;$D1394)</f>
        <v/>
      </c>
    </row>
    <row r="1395">
      <c r="I1395" s="90">
        <f>IF($A1395="","",$A1395&amp;"|"&amp;$B1395&amp;"|"&amp;$C1395&amp;"|"&amp;$D1395)</f>
        <v/>
      </c>
    </row>
    <row r="1396">
      <c r="I1396" s="90">
        <f>IF($A1396="","",$A1396&amp;"|"&amp;$B1396&amp;"|"&amp;$C1396&amp;"|"&amp;$D1396)</f>
        <v/>
      </c>
    </row>
    <row r="1397">
      <c r="I1397" s="90">
        <f>IF($A1397="","",$A1397&amp;"|"&amp;$B1397&amp;"|"&amp;$C1397&amp;"|"&amp;$D1397)</f>
        <v/>
      </c>
    </row>
    <row r="1398">
      <c r="I1398" s="90">
        <f>IF($A1398="","",$A1398&amp;"|"&amp;$B1398&amp;"|"&amp;$C1398&amp;"|"&amp;$D1398)</f>
        <v/>
      </c>
    </row>
    <row r="1399">
      <c r="I1399" s="90">
        <f>IF($A1399="","",$A1399&amp;"|"&amp;$B1399&amp;"|"&amp;$C1399&amp;"|"&amp;$D1399)</f>
        <v/>
      </c>
    </row>
    <row r="1400">
      <c r="I1400" s="90">
        <f>IF($A1400="","",$A1400&amp;"|"&amp;$B1400&amp;"|"&amp;$C1400&amp;"|"&amp;$D1400)</f>
        <v/>
      </c>
    </row>
    <row r="1401">
      <c r="I1401" s="90">
        <f>IF($A1401="","",$A1401&amp;"|"&amp;$B1401&amp;"|"&amp;$C1401&amp;"|"&amp;$D1401)</f>
        <v/>
      </c>
    </row>
    <row r="1402">
      <c r="I1402" s="90">
        <f>IF($A1402="","",$A1402&amp;"|"&amp;$B1402&amp;"|"&amp;$C1402&amp;"|"&amp;$D1402)</f>
        <v/>
      </c>
    </row>
    <row r="1403">
      <c r="I1403" s="90">
        <f>IF($A1403="","",$A1403&amp;"|"&amp;$B1403&amp;"|"&amp;$C1403&amp;"|"&amp;$D1403)</f>
        <v/>
      </c>
    </row>
    <row r="1404">
      <c r="I1404" s="90">
        <f>IF($A1404="","",$A1404&amp;"|"&amp;$B1404&amp;"|"&amp;$C1404&amp;"|"&amp;$D1404)</f>
        <v/>
      </c>
    </row>
    <row r="1405">
      <c r="I1405" s="90">
        <f>IF($A1405="","",$A1405&amp;"|"&amp;$B1405&amp;"|"&amp;$C1405&amp;"|"&amp;$D1405)</f>
        <v/>
      </c>
    </row>
    <row r="1406">
      <c r="I1406" s="90">
        <f>IF($A1406="","",$A1406&amp;"|"&amp;$B1406&amp;"|"&amp;$C1406&amp;"|"&amp;$D1406)</f>
        <v/>
      </c>
    </row>
    <row r="1407">
      <c r="I1407" s="90">
        <f>IF($A1407="","",$A1407&amp;"|"&amp;$B1407&amp;"|"&amp;$C1407&amp;"|"&amp;$D1407)</f>
        <v/>
      </c>
    </row>
    <row r="1408">
      <c r="I1408" s="90">
        <f>IF($A1408="","",$A1408&amp;"|"&amp;$B1408&amp;"|"&amp;$C1408&amp;"|"&amp;$D1408)</f>
        <v/>
      </c>
    </row>
    <row r="1409">
      <c r="I1409" s="90">
        <f>IF($A1409="","",$A1409&amp;"|"&amp;$B1409&amp;"|"&amp;$C1409&amp;"|"&amp;$D1409)</f>
        <v/>
      </c>
    </row>
    <row r="1410">
      <c r="I1410" s="90">
        <f>IF($A1410="","",$A1410&amp;"|"&amp;$B1410&amp;"|"&amp;$C1410&amp;"|"&amp;$D1410)</f>
        <v/>
      </c>
    </row>
    <row r="1411">
      <c r="I1411" s="90">
        <f>IF($A1411="","",$A1411&amp;"|"&amp;$B1411&amp;"|"&amp;$C1411&amp;"|"&amp;$D1411)</f>
        <v/>
      </c>
    </row>
    <row r="1412">
      <c r="I1412" s="90">
        <f>IF($A1412="","",$A1412&amp;"|"&amp;$B1412&amp;"|"&amp;$C1412&amp;"|"&amp;$D1412)</f>
        <v/>
      </c>
    </row>
    <row r="1413">
      <c r="I1413" s="90">
        <f>IF($A1413="","",$A1413&amp;"|"&amp;$B1413&amp;"|"&amp;$C1413&amp;"|"&amp;$D1413)</f>
        <v/>
      </c>
    </row>
    <row r="1414">
      <c r="I1414" s="90">
        <f>IF($A1414="","",$A1414&amp;"|"&amp;$B1414&amp;"|"&amp;$C1414&amp;"|"&amp;$D1414)</f>
        <v/>
      </c>
    </row>
    <row r="1415">
      <c r="I1415" s="90">
        <f>IF($A1415="","",$A1415&amp;"|"&amp;$B1415&amp;"|"&amp;$C1415&amp;"|"&amp;$D1415)</f>
        <v/>
      </c>
    </row>
    <row r="1416">
      <c r="I1416" s="90">
        <f>IF($A1416="","",$A1416&amp;"|"&amp;$B1416&amp;"|"&amp;$C1416&amp;"|"&amp;$D1416)</f>
        <v/>
      </c>
    </row>
    <row r="1417">
      <c r="I1417" s="90">
        <f>IF($A1417="","",$A1417&amp;"|"&amp;$B1417&amp;"|"&amp;$C1417&amp;"|"&amp;$D1417)</f>
        <v/>
      </c>
    </row>
    <row r="1418">
      <c r="I1418" s="90">
        <f>IF($A1418="","",$A1418&amp;"|"&amp;$B1418&amp;"|"&amp;$C1418&amp;"|"&amp;$D1418)</f>
        <v/>
      </c>
    </row>
    <row r="1419">
      <c r="I1419" s="90">
        <f>IF($A1419="","",$A1419&amp;"|"&amp;$B1419&amp;"|"&amp;$C1419&amp;"|"&amp;$D1419)</f>
        <v/>
      </c>
    </row>
    <row r="1420">
      <c r="I1420" s="90">
        <f>IF($A1420="","",$A1420&amp;"|"&amp;$B1420&amp;"|"&amp;$C1420&amp;"|"&amp;$D1420)</f>
        <v/>
      </c>
    </row>
    <row r="1421">
      <c r="I1421" s="90">
        <f>IF($A1421="","",$A1421&amp;"|"&amp;$B1421&amp;"|"&amp;$C1421&amp;"|"&amp;$D1421)</f>
        <v/>
      </c>
    </row>
    <row r="1422">
      <c r="I1422" s="90">
        <f>IF($A1422="","",$A1422&amp;"|"&amp;$B1422&amp;"|"&amp;$C1422&amp;"|"&amp;$D1422)</f>
        <v/>
      </c>
    </row>
    <row r="1423">
      <c r="I1423" s="90">
        <f>IF($A1423="","",$A1423&amp;"|"&amp;$B1423&amp;"|"&amp;$C1423&amp;"|"&amp;$D1423)</f>
        <v/>
      </c>
    </row>
    <row r="1424">
      <c r="I1424" s="90">
        <f>IF($A1424="","",$A1424&amp;"|"&amp;$B1424&amp;"|"&amp;$C1424&amp;"|"&amp;$D1424)</f>
        <v/>
      </c>
    </row>
    <row r="1425">
      <c r="I1425" s="90">
        <f>IF($A1425="","",$A1425&amp;"|"&amp;$B1425&amp;"|"&amp;$C1425&amp;"|"&amp;$D1425)</f>
        <v/>
      </c>
    </row>
    <row r="1426">
      <c r="I1426" s="90">
        <f>IF($A1426="","",$A1426&amp;"|"&amp;$B1426&amp;"|"&amp;$C1426&amp;"|"&amp;$D1426)</f>
        <v/>
      </c>
    </row>
    <row r="1427">
      <c r="I1427" s="90">
        <f>IF($A1427="","",$A1427&amp;"|"&amp;$B1427&amp;"|"&amp;$C1427&amp;"|"&amp;$D1427)</f>
        <v/>
      </c>
    </row>
    <row r="1428">
      <c r="I1428" s="90">
        <f>IF($A1428="","",$A1428&amp;"|"&amp;$B1428&amp;"|"&amp;$C1428&amp;"|"&amp;$D1428)</f>
        <v/>
      </c>
    </row>
    <row r="1429">
      <c r="I1429" s="90">
        <f>IF($A1429="","",$A1429&amp;"|"&amp;$B1429&amp;"|"&amp;$C1429&amp;"|"&amp;$D1429)</f>
        <v/>
      </c>
    </row>
    <row r="1430">
      <c r="I1430" s="90">
        <f>IF($A1430="","",$A1430&amp;"|"&amp;$B1430&amp;"|"&amp;$C1430&amp;"|"&amp;$D1430)</f>
        <v/>
      </c>
    </row>
    <row r="1431">
      <c r="I1431" s="90">
        <f>IF($A1431="","",$A1431&amp;"|"&amp;$B1431&amp;"|"&amp;$C1431&amp;"|"&amp;$D1431)</f>
        <v/>
      </c>
    </row>
    <row r="1432">
      <c r="I1432" s="90">
        <f>IF($A1432="","",$A1432&amp;"|"&amp;$B1432&amp;"|"&amp;$C1432&amp;"|"&amp;$D1432)</f>
        <v/>
      </c>
    </row>
    <row r="1433">
      <c r="I1433" s="90">
        <f>IF($A1433="","",$A1433&amp;"|"&amp;$B1433&amp;"|"&amp;$C1433&amp;"|"&amp;$D1433)</f>
        <v/>
      </c>
    </row>
    <row r="1434">
      <c r="I1434" s="90">
        <f>IF($A1434="","",$A1434&amp;"|"&amp;$B1434&amp;"|"&amp;$C1434&amp;"|"&amp;$D1434)</f>
        <v/>
      </c>
    </row>
    <row r="1435">
      <c r="I1435" s="90">
        <f>IF($A1435="","",$A1435&amp;"|"&amp;$B1435&amp;"|"&amp;$C1435&amp;"|"&amp;$D1435)</f>
        <v/>
      </c>
    </row>
    <row r="1436">
      <c r="I1436" s="90">
        <f>IF($A1436="","",$A1436&amp;"|"&amp;$B1436&amp;"|"&amp;$C1436&amp;"|"&amp;$D1436)</f>
        <v/>
      </c>
    </row>
    <row r="1437">
      <c r="I1437" s="90">
        <f>IF($A1437="","",$A1437&amp;"|"&amp;$B1437&amp;"|"&amp;$C1437&amp;"|"&amp;$D1437)</f>
        <v/>
      </c>
    </row>
    <row r="1438">
      <c r="I1438" s="90">
        <f>IF($A1438="","",$A1438&amp;"|"&amp;$B1438&amp;"|"&amp;$C1438&amp;"|"&amp;$D1438)</f>
        <v/>
      </c>
    </row>
    <row r="1439">
      <c r="I1439" s="90">
        <f>IF($A1439="","",$A1439&amp;"|"&amp;$B1439&amp;"|"&amp;$C1439&amp;"|"&amp;$D1439)</f>
        <v/>
      </c>
    </row>
    <row r="1440">
      <c r="I1440" s="90">
        <f>IF($A1440="","",$A1440&amp;"|"&amp;$B1440&amp;"|"&amp;$C1440&amp;"|"&amp;$D1440)</f>
        <v/>
      </c>
    </row>
    <row r="1441">
      <c r="I1441" s="90">
        <f>IF($A1441="","",$A1441&amp;"|"&amp;$B1441&amp;"|"&amp;$C1441&amp;"|"&amp;$D1441)</f>
        <v/>
      </c>
    </row>
    <row r="1442">
      <c r="I1442" s="90">
        <f>IF($A1442="","",$A1442&amp;"|"&amp;$B1442&amp;"|"&amp;$C1442&amp;"|"&amp;$D1442)</f>
        <v/>
      </c>
    </row>
    <row r="1443">
      <c r="I1443" s="90">
        <f>IF($A1443="","",$A1443&amp;"|"&amp;$B1443&amp;"|"&amp;$C1443&amp;"|"&amp;$D1443)</f>
        <v/>
      </c>
    </row>
    <row r="1444">
      <c r="I1444" s="90">
        <f>IF($A1444="","",$A1444&amp;"|"&amp;$B1444&amp;"|"&amp;$C1444&amp;"|"&amp;$D1444)</f>
        <v/>
      </c>
    </row>
    <row r="1445">
      <c r="I1445" s="90">
        <f>IF($A1445="","",$A1445&amp;"|"&amp;$B1445&amp;"|"&amp;$C1445&amp;"|"&amp;$D1445)</f>
        <v/>
      </c>
    </row>
    <row r="1446">
      <c r="I1446" s="90">
        <f>IF($A1446="","",$A1446&amp;"|"&amp;$B1446&amp;"|"&amp;$C1446&amp;"|"&amp;$D1446)</f>
        <v/>
      </c>
    </row>
    <row r="1447">
      <c r="I1447" s="90">
        <f>IF($A1447="","",$A1447&amp;"|"&amp;$B1447&amp;"|"&amp;$C1447&amp;"|"&amp;$D1447)</f>
        <v/>
      </c>
    </row>
    <row r="1448">
      <c r="I1448" s="90">
        <f>IF($A1448="","",$A1448&amp;"|"&amp;$B1448&amp;"|"&amp;$C1448&amp;"|"&amp;$D1448)</f>
        <v/>
      </c>
    </row>
    <row r="1449">
      <c r="I1449" s="90">
        <f>IF($A1449="","",$A1449&amp;"|"&amp;$B1449&amp;"|"&amp;$C1449&amp;"|"&amp;$D1449)</f>
        <v/>
      </c>
    </row>
    <row r="1450">
      <c r="I1450" s="90">
        <f>IF($A1450="","",$A1450&amp;"|"&amp;$B1450&amp;"|"&amp;$C1450&amp;"|"&amp;$D1450)</f>
        <v/>
      </c>
    </row>
    <row r="1451">
      <c r="I1451" s="90">
        <f>IF($A1451="","",$A1451&amp;"|"&amp;$B1451&amp;"|"&amp;$C1451&amp;"|"&amp;$D1451)</f>
        <v/>
      </c>
    </row>
    <row r="1452">
      <c r="I1452" s="90">
        <f>IF($A1452="","",$A1452&amp;"|"&amp;$B1452&amp;"|"&amp;$C1452&amp;"|"&amp;$D1452)</f>
        <v/>
      </c>
    </row>
    <row r="1453">
      <c r="I1453" s="90">
        <f>IF($A1453="","",$A1453&amp;"|"&amp;$B1453&amp;"|"&amp;$C1453&amp;"|"&amp;$D1453)</f>
        <v/>
      </c>
    </row>
    <row r="1454">
      <c r="I1454" s="90">
        <f>IF($A1454="","",$A1454&amp;"|"&amp;$B1454&amp;"|"&amp;$C1454&amp;"|"&amp;$D1454)</f>
        <v/>
      </c>
    </row>
    <row r="1455">
      <c r="I1455" s="90">
        <f>IF($A1455="","",$A1455&amp;"|"&amp;$B1455&amp;"|"&amp;$C1455&amp;"|"&amp;$D1455)</f>
        <v/>
      </c>
    </row>
    <row r="1456">
      <c r="I1456" s="90">
        <f>IF($A1456="","",$A1456&amp;"|"&amp;$B1456&amp;"|"&amp;$C1456&amp;"|"&amp;$D1456)</f>
        <v/>
      </c>
    </row>
    <row r="1457">
      <c r="I1457" s="90">
        <f>IF($A1457="","",$A1457&amp;"|"&amp;$B1457&amp;"|"&amp;$C1457&amp;"|"&amp;$D1457)</f>
        <v/>
      </c>
    </row>
    <row r="1458">
      <c r="I1458" s="90">
        <f>IF($A1458="","",$A1458&amp;"|"&amp;$B1458&amp;"|"&amp;$C1458&amp;"|"&amp;$D1458)</f>
        <v/>
      </c>
    </row>
    <row r="1459">
      <c r="I1459" s="90">
        <f>IF($A1459="","",$A1459&amp;"|"&amp;$B1459&amp;"|"&amp;$C1459&amp;"|"&amp;$D1459)</f>
        <v/>
      </c>
    </row>
    <row r="1460">
      <c r="I1460" s="90">
        <f>IF($A1460="","",$A1460&amp;"|"&amp;$B1460&amp;"|"&amp;$C1460&amp;"|"&amp;$D1460)</f>
        <v/>
      </c>
    </row>
    <row r="1461">
      <c r="I1461" s="90">
        <f>IF($A1461="","",$A1461&amp;"|"&amp;$B1461&amp;"|"&amp;$C1461&amp;"|"&amp;$D1461)</f>
        <v/>
      </c>
    </row>
    <row r="1462">
      <c r="I1462" s="90">
        <f>IF($A1462="","",$A1462&amp;"|"&amp;$B1462&amp;"|"&amp;$C1462&amp;"|"&amp;$D1462)</f>
        <v/>
      </c>
    </row>
    <row r="1463">
      <c r="I1463" s="90">
        <f>IF($A1463="","",$A1463&amp;"|"&amp;$B1463&amp;"|"&amp;$C1463&amp;"|"&amp;$D1463)</f>
        <v/>
      </c>
    </row>
    <row r="1464">
      <c r="I1464" s="90">
        <f>IF($A1464="","",$A1464&amp;"|"&amp;$B1464&amp;"|"&amp;$C1464&amp;"|"&amp;$D1464)</f>
        <v/>
      </c>
    </row>
    <row r="1465">
      <c r="I1465" s="90">
        <f>IF($A1465="","",$A1465&amp;"|"&amp;$B1465&amp;"|"&amp;$C1465&amp;"|"&amp;$D1465)</f>
        <v/>
      </c>
    </row>
    <row r="1466">
      <c r="I1466" s="90">
        <f>IF($A1466="","",$A1466&amp;"|"&amp;$B1466&amp;"|"&amp;$C1466&amp;"|"&amp;$D1466)</f>
        <v/>
      </c>
    </row>
    <row r="1467">
      <c r="I1467" s="90">
        <f>IF($A1467="","",$A1467&amp;"|"&amp;$B1467&amp;"|"&amp;$C1467&amp;"|"&amp;$D1467)</f>
        <v/>
      </c>
    </row>
    <row r="1468">
      <c r="I1468" s="90">
        <f>IF($A1468="","",$A1468&amp;"|"&amp;$B1468&amp;"|"&amp;$C1468&amp;"|"&amp;$D1468)</f>
        <v/>
      </c>
    </row>
    <row r="1469">
      <c r="I1469" s="90">
        <f>IF($A1469="","",$A1469&amp;"|"&amp;$B1469&amp;"|"&amp;$C1469&amp;"|"&amp;$D1469)</f>
        <v/>
      </c>
    </row>
    <row r="1470">
      <c r="I1470" s="90">
        <f>IF($A1470="","",$A1470&amp;"|"&amp;$B1470&amp;"|"&amp;$C1470&amp;"|"&amp;$D1470)</f>
        <v/>
      </c>
    </row>
    <row r="1471">
      <c r="I1471" s="90">
        <f>IF($A1471="","",$A1471&amp;"|"&amp;$B1471&amp;"|"&amp;$C1471&amp;"|"&amp;$D1471)</f>
        <v/>
      </c>
    </row>
    <row r="1472">
      <c r="I1472" s="90">
        <f>IF($A1472="","",$A1472&amp;"|"&amp;$B1472&amp;"|"&amp;$C1472&amp;"|"&amp;$D1472)</f>
        <v/>
      </c>
    </row>
    <row r="1473">
      <c r="I1473" s="90">
        <f>IF($A1473="","",$A1473&amp;"|"&amp;$B1473&amp;"|"&amp;$C1473&amp;"|"&amp;$D1473)</f>
        <v/>
      </c>
    </row>
    <row r="1474">
      <c r="I1474" s="90">
        <f>IF($A1474="","",$A1474&amp;"|"&amp;$B1474&amp;"|"&amp;$C1474&amp;"|"&amp;$D1474)</f>
        <v/>
      </c>
    </row>
    <row r="1475">
      <c r="I1475" s="90">
        <f>IF($A1475="","",$A1475&amp;"|"&amp;$B1475&amp;"|"&amp;$C1475&amp;"|"&amp;$D1475)</f>
        <v/>
      </c>
    </row>
    <row r="1476">
      <c r="I1476" s="90">
        <f>IF($A1476="","",$A1476&amp;"|"&amp;$B1476&amp;"|"&amp;$C1476&amp;"|"&amp;$D1476)</f>
        <v/>
      </c>
    </row>
    <row r="1477">
      <c r="I1477" s="90">
        <f>IF($A1477="","",$A1477&amp;"|"&amp;$B1477&amp;"|"&amp;$C1477&amp;"|"&amp;$D1477)</f>
        <v/>
      </c>
    </row>
    <row r="1478">
      <c r="I1478" s="90">
        <f>IF($A1478="","",$A1478&amp;"|"&amp;$B1478&amp;"|"&amp;$C1478&amp;"|"&amp;$D1478)</f>
        <v/>
      </c>
    </row>
    <row r="1479">
      <c r="I1479" s="90">
        <f>IF($A1479="","",$A1479&amp;"|"&amp;$B1479&amp;"|"&amp;$C1479&amp;"|"&amp;$D1479)</f>
        <v/>
      </c>
    </row>
    <row r="1480">
      <c r="I1480" s="90">
        <f>IF($A1480="","",$A1480&amp;"|"&amp;$B1480&amp;"|"&amp;$C1480&amp;"|"&amp;$D1480)</f>
        <v/>
      </c>
    </row>
    <row r="1481">
      <c r="I1481" s="90">
        <f>IF($A1481="","",$A1481&amp;"|"&amp;$B1481&amp;"|"&amp;$C1481&amp;"|"&amp;$D1481)</f>
        <v/>
      </c>
    </row>
    <row r="1482">
      <c r="I1482" s="90">
        <f>IF($A1482="","",$A1482&amp;"|"&amp;$B1482&amp;"|"&amp;$C1482&amp;"|"&amp;$D1482)</f>
        <v/>
      </c>
    </row>
    <row r="1483">
      <c r="I1483" s="90">
        <f>IF($A1483="","",$A1483&amp;"|"&amp;$B1483&amp;"|"&amp;$C1483&amp;"|"&amp;$D1483)</f>
        <v/>
      </c>
    </row>
    <row r="1484">
      <c r="I1484" s="90">
        <f>IF($A1484="","",$A1484&amp;"|"&amp;$B1484&amp;"|"&amp;$C1484&amp;"|"&amp;$D1484)</f>
        <v/>
      </c>
    </row>
    <row r="1485">
      <c r="I1485" s="90">
        <f>IF($A1485="","",$A1485&amp;"|"&amp;$B1485&amp;"|"&amp;$C1485&amp;"|"&amp;$D1485)</f>
        <v/>
      </c>
    </row>
    <row r="1486">
      <c r="I1486" s="90">
        <f>IF($A1486="","",$A1486&amp;"|"&amp;$B1486&amp;"|"&amp;$C1486&amp;"|"&amp;$D1486)</f>
        <v/>
      </c>
    </row>
    <row r="1487">
      <c r="I1487" s="90">
        <f>IF($A1487="","",$A1487&amp;"|"&amp;$B1487&amp;"|"&amp;$C1487&amp;"|"&amp;$D1487)</f>
        <v/>
      </c>
    </row>
    <row r="1488">
      <c r="I1488" s="90">
        <f>IF($A1488="","",$A1488&amp;"|"&amp;$B1488&amp;"|"&amp;$C1488&amp;"|"&amp;$D1488)</f>
        <v/>
      </c>
    </row>
    <row r="1489">
      <c r="I1489" s="90">
        <f>IF($A1489="","",$A1489&amp;"|"&amp;$B1489&amp;"|"&amp;$C1489&amp;"|"&amp;$D1489)</f>
        <v/>
      </c>
    </row>
    <row r="1490">
      <c r="I1490" s="90">
        <f>IF($A1490="","",$A1490&amp;"|"&amp;$B1490&amp;"|"&amp;$C1490&amp;"|"&amp;$D1490)</f>
        <v/>
      </c>
    </row>
    <row r="1491">
      <c r="I1491" s="90">
        <f>IF($A1491="","",$A1491&amp;"|"&amp;$B1491&amp;"|"&amp;$C1491&amp;"|"&amp;$D1491)</f>
        <v/>
      </c>
    </row>
    <row r="1492">
      <c r="I1492" s="90">
        <f>IF($A1492="","",$A1492&amp;"|"&amp;$B1492&amp;"|"&amp;$C1492&amp;"|"&amp;$D1492)</f>
        <v/>
      </c>
    </row>
    <row r="1493">
      <c r="I1493" s="90">
        <f>IF($A1493="","",$A1493&amp;"|"&amp;$B1493&amp;"|"&amp;$C1493&amp;"|"&amp;$D1493)</f>
        <v/>
      </c>
    </row>
    <row r="1494">
      <c r="I1494" s="90">
        <f>IF($A1494="","",$A1494&amp;"|"&amp;$B1494&amp;"|"&amp;$C1494&amp;"|"&amp;$D1494)</f>
        <v/>
      </c>
    </row>
    <row r="1495">
      <c r="I1495" s="90">
        <f>IF($A1495="","",$A1495&amp;"|"&amp;$B1495&amp;"|"&amp;$C1495&amp;"|"&amp;$D1495)</f>
        <v/>
      </c>
    </row>
    <row r="1496">
      <c r="I1496" s="90">
        <f>IF($A1496="","",$A1496&amp;"|"&amp;$B1496&amp;"|"&amp;$C1496&amp;"|"&amp;$D1496)</f>
        <v/>
      </c>
    </row>
    <row r="1497">
      <c r="I1497" s="90">
        <f>IF($A1497="","",$A1497&amp;"|"&amp;$B1497&amp;"|"&amp;$C1497&amp;"|"&amp;$D1497)</f>
        <v/>
      </c>
    </row>
    <row r="1498">
      <c r="I1498" s="90">
        <f>IF($A1498="","",$A1498&amp;"|"&amp;$B1498&amp;"|"&amp;$C1498&amp;"|"&amp;$D1498)</f>
        <v/>
      </c>
    </row>
    <row r="1499">
      <c r="I1499" s="90">
        <f>IF($A1499="","",$A1499&amp;"|"&amp;$B1499&amp;"|"&amp;$C1499&amp;"|"&amp;$D1499)</f>
        <v/>
      </c>
    </row>
    <row r="1500">
      <c r="I1500" s="90">
        <f>IF($A1500="","",$A1500&amp;"|"&amp;$B1500&amp;"|"&amp;$C1500&amp;"|"&amp;$D1500)</f>
        <v/>
      </c>
    </row>
    <row r="1501">
      <c r="I1501" s="90">
        <f>IF($A1501="","",$A1501&amp;"|"&amp;$B1501&amp;"|"&amp;$C1501&amp;"|"&amp;$D1501)</f>
        <v/>
      </c>
    </row>
    <row r="1502">
      <c r="I1502" s="90">
        <f>IF($A1502="","",$A1502&amp;"|"&amp;$B1502&amp;"|"&amp;$C1502&amp;"|"&amp;$D1502)</f>
        <v/>
      </c>
    </row>
    <row r="1503">
      <c r="I1503" s="90">
        <f>IF($A1503="","",$A1503&amp;"|"&amp;$B1503&amp;"|"&amp;$C1503&amp;"|"&amp;$D1503)</f>
        <v/>
      </c>
    </row>
    <row r="1504">
      <c r="I1504" s="90">
        <f>IF($A1504="","",$A1504&amp;"|"&amp;$B1504&amp;"|"&amp;$C1504&amp;"|"&amp;$D1504)</f>
        <v/>
      </c>
    </row>
    <row r="1505">
      <c r="I1505" s="90">
        <f>IF($A1505="","",$A1505&amp;"|"&amp;$B1505&amp;"|"&amp;$C1505&amp;"|"&amp;$D1505)</f>
        <v/>
      </c>
    </row>
    <row r="1506">
      <c r="I1506" s="90">
        <f>IF($A1506="","",$A1506&amp;"|"&amp;$B1506&amp;"|"&amp;$C1506&amp;"|"&amp;$D1506)</f>
        <v/>
      </c>
    </row>
    <row r="1507">
      <c r="I1507" s="90">
        <f>IF($A1507="","",$A1507&amp;"|"&amp;$B1507&amp;"|"&amp;$C1507&amp;"|"&amp;$D1507)</f>
        <v/>
      </c>
    </row>
    <row r="1508">
      <c r="I1508" s="90">
        <f>IF($A1508="","",$A1508&amp;"|"&amp;$B1508&amp;"|"&amp;$C1508&amp;"|"&amp;$D1508)</f>
        <v/>
      </c>
    </row>
    <row r="1509">
      <c r="I1509" s="90">
        <f>IF($A1509="","",$A1509&amp;"|"&amp;$B1509&amp;"|"&amp;$C1509&amp;"|"&amp;$D1509)</f>
        <v/>
      </c>
    </row>
    <row r="1510">
      <c r="I1510" s="90">
        <f>IF($A1510="","",$A1510&amp;"|"&amp;$B1510&amp;"|"&amp;$C1510&amp;"|"&amp;$D1510)</f>
        <v/>
      </c>
    </row>
    <row r="1511">
      <c r="I1511" s="90">
        <f>IF($A1511="","",$A1511&amp;"|"&amp;$B1511&amp;"|"&amp;$C1511&amp;"|"&amp;$D1511)</f>
        <v/>
      </c>
    </row>
    <row r="1512">
      <c r="I1512" s="90">
        <f>IF($A1512="","",$A1512&amp;"|"&amp;$B1512&amp;"|"&amp;$C1512&amp;"|"&amp;$D1512)</f>
        <v/>
      </c>
    </row>
    <row r="1513">
      <c r="I1513" s="90">
        <f>IF($A1513="","",$A1513&amp;"|"&amp;$B1513&amp;"|"&amp;$C1513&amp;"|"&amp;$D1513)</f>
        <v/>
      </c>
    </row>
    <row r="1514">
      <c r="I1514" s="90">
        <f>IF($A1514="","",$A1514&amp;"|"&amp;$B1514&amp;"|"&amp;$C1514&amp;"|"&amp;$D1514)</f>
        <v/>
      </c>
    </row>
    <row r="1515">
      <c r="I1515" s="90">
        <f>IF($A1515="","",$A1515&amp;"|"&amp;$B1515&amp;"|"&amp;$C1515&amp;"|"&amp;$D1515)</f>
        <v/>
      </c>
    </row>
    <row r="1516">
      <c r="I1516" s="90">
        <f>IF($A1516="","",$A1516&amp;"|"&amp;$B1516&amp;"|"&amp;$C1516&amp;"|"&amp;$D1516)</f>
        <v/>
      </c>
    </row>
    <row r="1517">
      <c r="I1517" s="90">
        <f>IF($A1517="","",$A1517&amp;"|"&amp;$B1517&amp;"|"&amp;$C1517&amp;"|"&amp;$D1517)</f>
        <v/>
      </c>
    </row>
    <row r="1518">
      <c r="I1518" s="90">
        <f>IF($A1518="","",$A1518&amp;"|"&amp;$B1518&amp;"|"&amp;$C1518&amp;"|"&amp;$D1518)</f>
        <v/>
      </c>
    </row>
    <row r="1519">
      <c r="I1519" s="90">
        <f>IF($A1519="","",$A1519&amp;"|"&amp;$B1519&amp;"|"&amp;$C1519&amp;"|"&amp;$D1519)</f>
        <v/>
      </c>
    </row>
    <row r="1520">
      <c r="I1520" s="90">
        <f>IF($A1520="","",$A1520&amp;"|"&amp;$B1520&amp;"|"&amp;$C1520&amp;"|"&amp;$D1520)</f>
        <v/>
      </c>
    </row>
    <row r="1521">
      <c r="I1521" s="90">
        <f>IF($A1521="","",$A1521&amp;"|"&amp;$B1521&amp;"|"&amp;$C1521&amp;"|"&amp;$D1521)</f>
        <v/>
      </c>
    </row>
    <row r="1522">
      <c r="I1522" s="90">
        <f>IF($A1522="","",$A1522&amp;"|"&amp;$B1522&amp;"|"&amp;$C1522&amp;"|"&amp;$D1522)</f>
        <v/>
      </c>
    </row>
    <row r="1523">
      <c r="I1523" s="90">
        <f>IF($A1523="","",$A1523&amp;"|"&amp;$B1523&amp;"|"&amp;$C1523&amp;"|"&amp;$D1523)</f>
        <v/>
      </c>
    </row>
    <row r="1524">
      <c r="I1524" s="90">
        <f>IF($A1524="","",$A1524&amp;"|"&amp;$B1524&amp;"|"&amp;$C1524&amp;"|"&amp;$D1524)</f>
        <v/>
      </c>
    </row>
    <row r="1525">
      <c r="I1525" s="90">
        <f>IF($A1525="","",$A1525&amp;"|"&amp;$B1525&amp;"|"&amp;$C1525&amp;"|"&amp;$D1525)</f>
        <v/>
      </c>
    </row>
    <row r="1526">
      <c r="I1526" s="90">
        <f>IF($A1526="","",$A1526&amp;"|"&amp;$B1526&amp;"|"&amp;$C1526&amp;"|"&amp;$D1526)</f>
        <v/>
      </c>
    </row>
    <row r="1527">
      <c r="I1527" s="90">
        <f>IF($A1527="","",$A1527&amp;"|"&amp;$B1527&amp;"|"&amp;$C1527&amp;"|"&amp;$D1527)</f>
        <v/>
      </c>
    </row>
    <row r="1528">
      <c r="I1528" s="90">
        <f>IF($A1528="","",$A1528&amp;"|"&amp;$B1528&amp;"|"&amp;$C1528&amp;"|"&amp;$D1528)</f>
        <v/>
      </c>
    </row>
    <row r="1529">
      <c r="I1529" s="90">
        <f>IF($A1529="","",$A1529&amp;"|"&amp;$B1529&amp;"|"&amp;$C1529&amp;"|"&amp;$D1529)</f>
        <v/>
      </c>
    </row>
    <row r="1530">
      <c r="I1530" s="90">
        <f>IF($A1530="","",$A1530&amp;"|"&amp;$B1530&amp;"|"&amp;$C1530&amp;"|"&amp;$D1530)</f>
        <v/>
      </c>
    </row>
    <row r="1531">
      <c r="I1531" s="90">
        <f>IF($A1531="","",$A1531&amp;"|"&amp;$B1531&amp;"|"&amp;$C1531&amp;"|"&amp;$D1531)</f>
        <v/>
      </c>
    </row>
    <row r="1532">
      <c r="I1532" s="90">
        <f>IF($A1532="","",$A1532&amp;"|"&amp;$B1532&amp;"|"&amp;$C1532&amp;"|"&amp;$D1532)</f>
        <v/>
      </c>
    </row>
    <row r="1533">
      <c r="I1533" s="90">
        <f>IF($A1533="","",$A1533&amp;"|"&amp;$B1533&amp;"|"&amp;$C1533&amp;"|"&amp;$D1533)</f>
        <v/>
      </c>
    </row>
    <row r="1534">
      <c r="I1534" s="90">
        <f>IF($A1534="","",$A1534&amp;"|"&amp;$B1534&amp;"|"&amp;$C1534&amp;"|"&amp;$D1534)</f>
        <v/>
      </c>
    </row>
    <row r="1535">
      <c r="I1535" s="90">
        <f>IF($A1535="","",$A1535&amp;"|"&amp;$B1535&amp;"|"&amp;$C1535&amp;"|"&amp;$D1535)</f>
        <v/>
      </c>
    </row>
    <row r="1536">
      <c r="I1536" s="90">
        <f>IF($A1536="","",$A1536&amp;"|"&amp;$B1536&amp;"|"&amp;$C1536&amp;"|"&amp;$D1536)</f>
        <v/>
      </c>
    </row>
    <row r="1537">
      <c r="I1537" s="90">
        <f>IF($A1537="","",$A1537&amp;"|"&amp;$B1537&amp;"|"&amp;$C1537&amp;"|"&amp;$D1537)</f>
        <v/>
      </c>
    </row>
    <row r="1538">
      <c r="I1538" s="90">
        <f>IF($A1538="","",$A1538&amp;"|"&amp;$B1538&amp;"|"&amp;$C1538&amp;"|"&amp;$D1538)</f>
        <v/>
      </c>
    </row>
    <row r="1539">
      <c r="I1539" s="90">
        <f>IF($A1539="","",$A1539&amp;"|"&amp;$B1539&amp;"|"&amp;$C1539&amp;"|"&amp;$D1539)</f>
        <v/>
      </c>
    </row>
    <row r="1540">
      <c r="I1540" s="90">
        <f>IF($A1540="","",$A1540&amp;"|"&amp;$B1540&amp;"|"&amp;$C1540&amp;"|"&amp;$D1540)</f>
        <v/>
      </c>
    </row>
    <row r="1541">
      <c r="I1541" s="90">
        <f>IF($A1541="","",$A1541&amp;"|"&amp;$B1541&amp;"|"&amp;$C1541&amp;"|"&amp;$D1541)</f>
        <v/>
      </c>
    </row>
    <row r="1542">
      <c r="I1542" s="90">
        <f>IF($A1542="","",$A1542&amp;"|"&amp;$B1542&amp;"|"&amp;$C1542&amp;"|"&amp;$D1542)</f>
        <v/>
      </c>
    </row>
    <row r="1543">
      <c r="I1543" s="90">
        <f>IF($A1543="","",$A1543&amp;"|"&amp;$B1543&amp;"|"&amp;$C1543&amp;"|"&amp;$D1543)</f>
        <v/>
      </c>
    </row>
    <row r="1544">
      <c r="I1544" s="90">
        <f>IF($A1544="","",$A1544&amp;"|"&amp;$B1544&amp;"|"&amp;$C1544&amp;"|"&amp;$D1544)</f>
        <v/>
      </c>
    </row>
    <row r="1545">
      <c r="I1545" s="90">
        <f>IF($A1545="","",$A1545&amp;"|"&amp;$B1545&amp;"|"&amp;$C1545&amp;"|"&amp;$D1545)</f>
        <v/>
      </c>
    </row>
    <row r="1546">
      <c r="I1546" s="90">
        <f>IF($A1546="","",$A1546&amp;"|"&amp;$B1546&amp;"|"&amp;$C1546&amp;"|"&amp;$D1546)</f>
        <v/>
      </c>
    </row>
    <row r="1547">
      <c r="I1547" s="90">
        <f>IF($A1547="","",$A1547&amp;"|"&amp;$B1547&amp;"|"&amp;$C1547&amp;"|"&amp;$D1547)</f>
        <v/>
      </c>
    </row>
    <row r="1548">
      <c r="I1548" s="90">
        <f>IF($A1548="","",$A1548&amp;"|"&amp;$B1548&amp;"|"&amp;$C1548&amp;"|"&amp;$D1548)</f>
        <v/>
      </c>
    </row>
    <row r="1549">
      <c r="I1549" s="90">
        <f>IF($A1549="","",$A1549&amp;"|"&amp;$B1549&amp;"|"&amp;$C1549&amp;"|"&amp;$D1549)</f>
        <v/>
      </c>
    </row>
    <row r="1550">
      <c r="I1550" s="90">
        <f>IF($A1550="","",$A1550&amp;"|"&amp;$B1550&amp;"|"&amp;$C1550&amp;"|"&amp;$D1550)</f>
        <v/>
      </c>
    </row>
    <row r="1551">
      <c r="I1551" s="90">
        <f>IF($A1551="","",$A1551&amp;"|"&amp;$B1551&amp;"|"&amp;$C1551&amp;"|"&amp;$D1551)</f>
        <v/>
      </c>
    </row>
    <row r="1552">
      <c r="I1552" s="90">
        <f>IF($A1552="","",$A1552&amp;"|"&amp;$B1552&amp;"|"&amp;$C1552&amp;"|"&amp;$D1552)</f>
        <v/>
      </c>
    </row>
    <row r="1553">
      <c r="I1553" s="90">
        <f>IF($A1553="","",$A1553&amp;"|"&amp;$B1553&amp;"|"&amp;$C1553&amp;"|"&amp;$D1553)</f>
        <v/>
      </c>
    </row>
    <row r="1554">
      <c r="I1554" s="90">
        <f>IF($A1554="","",$A1554&amp;"|"&amp;$B1554&amp;"|"&amp;$C1554&amp;"|"&amp;$D1554)</f>
        <v/>
      </c>
    </row>
    <row r="1555">
      <c r="I1555" s="90">
        <f>IF($A1555="","",$A1555&amp;"|"&amp;$B1555&amp;"|"&amp;$C1555&amp;"|"&amp;$D1555)</f>
        <v/>
      </c>
    </row>
    <row r="1556">
      <c r="I1556" s="90">
        <f>IF($A1556="","",$A1556&amp;"|"&amp;$B1556&amp;"|"&amp;$C1556&amp;"|"&amp;$D1556)</f>
        <v/>
      </c>
    </row>
    <row r="1557">
      <c r="I1557" s="90">
        <f>IF($A1557="","",$A1557&amp;"|"&amp;$B1557&amp;"|"&amp;$C1557&amp;"|"&amp;$D1557)</f>
        <v/>
      </c>
    </row>
    <row r="1558">
      <c r="I1558" s="90">
        <f>IF($A1558="","",$A1558&amp;"|"&amp;$B1558&amp;"|"&amp;$C1558&amp;"|"&amp;$D1558)</f>
        <v/>
      </c>
    </row>
    <row r="1559">
      <c r="I1559" s="90">
        <f>IF($A1559="","",$A1559&amp;"|"&amp;$B1559&amp;"|"&amp;$C1559&amp;"|"&amp;$D1559)</f>
        <v/>
      </c>
    </row>
    <row r="1560">
      <c r="I1560" s="90">
        <f>IF($A1560="","",$A1560&amp;"|"&amp;$B1560&amp;"|"&amp;$C1560&amp;"|"&amp;$D1560)</f>
        <v/>
      </c>
    </row>
    <row r="1561">
      <c r="I1561" s="90">
        <f>IF($A1561="","",$A1561&amp;"|"&amp;$B1561&amp;"|"&amp;$C1561&amp;"|"&amp;$D1561)</f>
        <v/>
      </c>
    </row>
    <row r="1562">
      <c r="I1562" s="90">
        <f>IF($A1562="","",$A1562&amp;"|"&amp;$B1562&amp;"|"&amp;$C1562&amp;"|"&amp;$D1562)</f>
        <v/>
      </c>
    </row>
    <row r="1563">
      <c r="I1563" s="90">
        <f>IF($A1563="","",$A1563&amp;"|"&amp;$B1563&amp;"|"&amp;$C1563&amp;"|"&amp;$D1563)</f>
        <v/>
      </c>
    </row>
    <row r="1564">
      <c r="I1564" s="90">
        <f>IF($A1564="","",$A1564&amp;"|"&amp;$B1564&amp;"|"&amp;$C1564&amp;"|"&amp;$D1564)</f>
        <v/>
      </c>
    </row>
    <row r="1565">
      <c r="I1565" s="90">
        <f>IF($A1565="","",$A1565&amp;"|"&amp;$B1565&amp;"|"&amp;$C1565&amp;"|"&amp;$D1565)</f>
        <v/>
      </c>
    </row>
    <row r="1566">
      <c r="I1566" s="90">
        <f>IF($A1566="","",$A1566&amp;"|"&amp;$B1566&amp;"|"&amp;$C1566&amp;"|"&amp;$D1566)</f>
        <v/>
      </c>
    </row>
    <row r="1567">
      <c r="I1567" s="90">
        <f>IF($A1567="","",$A1567&amp;"|"&amp;$B1567&amp;"|"&amp;$C1567&amp;"|"&amp;$D1567)</f>
        <v/>
      </c>
    </row>
    <row r="1568">
      <c r="I1568" s="90">
        <f>IF($A1568="","",$A1568&amp;"|"&amp;$B1568&amp;"|"&amp;$C1568&amp;"|"&amp;$D1568)</f>
        <v/>
      </c>
    </row>
    <row r="1569">
      <c r="I1569" s="90">
        <f>IF($A1569="","",$A1569&amp;"|"&amp;$B1569&amp;"|"&amp;$C1569&amp;"|"&amp;$D1569)</f>
        <v/>
      </c>
    </row>
    <row r="1570">
      <c r="I1570" s="90">
        <f>IF($A1570="","",$A1570&amp;"|"&amp;$B1570&amp;"|"&amp;$C1570&amp;"|"&amp;$D1570)</f>
        <v/>
      </c>
    </row>
    <row r="1571">
      <c r="I1571" s="90">
        <f>IF($A1571="","",$A1571&amp;"|"&amp;$B1571&amp;"|"&amp;$C1571&amp;"|"&amp;$D1571)</f>
        <v/>
      </c>
    </row>
    <row r="1572">
      <c r="I1572" s="90">
        <f>IF($A1572="","",$A1572&amp;"|"&amp;$B1572&amp;"|"&amp;$C1572&amp;"|"&amp;$D1572)</f>
        <v/>
      </c>
    </row>
    <row r="1573">
      <c r="I1573" s="90">
        <f>IF($A1573="","",$A1573&amp;"|"&amp;$B1573&amp;"|"&amp;$C1573&amp;"|"&amp;$D1573)</f>
        <v/>
      </c>
    </row>
    <row r="1574">
      <c r="I1574" s="90">
        <f>IF($A1574="","",$A1574&amp;"|"&amp;$B1574&amp;"|"&amp;$C1574&amp;"|"&amp;$D1574)</f>
        <v/>
      </c>
    </row>
    <row r="1575">
      <c r="I1575" s="90">
        <f>IF($A1575="","",$A1575&amp;"|"&amp;$B1575&amp;"|"&amp;$C1575&amp;"|"&amp;$D1575)</f>
        <v/>
      </c>
    </row>
    <row r="1576">
      <c r="I1576" s="90">
        <f>IF($A1576="","",$A1576&amp;"|"&amp;$B1576&amp;"|"&amp;$C1576&amp;"|"&amp;$D1576)</f>
        <v/>
      </c>
    </row>
    <row r="1577">
      <c r="I1577" s="90">
        <f>IF($A1577="","",$A1577&amp;"|"&amp;$B1577&amp;"|"&amp;$C1577&amp;"|"&amp;$D1577)</f>
        <v/>
      </c>
    </row>
    <row r="1578">
      <c r="I1578" s="90">
        <f>IF($A1578="","",$A1578&amp;"|"&amp;$B1578&amp;"|"&amp;$C1578&amp;"|"&amp;$D1578)</f>
        <v/>
      </c>
    </row>
    <row r="1579">
      <c r="I1579" s="90">
        <f>IF($A1579="","",$A1579&amp;"|"&amp;$B1579&amp;"|"&amp;$C1579&amp;"|"&amp;$D1579)</f>
        <v/>
      </c>
    </row>
    <row r="1580">
      <c r="I1580" s="90">
        <f>IF($A1580="","",$A1580&amp;"|"&amp;$B1580&amp;"|"&amp;$C1580&amp;"|"&amp;$D1580)</f>
        <v/>
      </c>
    </row>
    <row r="1581">
      <c r="I1581" s="90">
        <f>IF($A1581="","",$A1581&amp;"|"&amp;$B1581&amp;"|"&amp;$C1581&amp;"|"&amp;$D1581)</f>
        <v/>
      </c>
    </row>
    <row r="1582">
      <c r="I1582" s="90">
        <f>IF($A1582="","",$A1582&amp;"|"&amp;$B1582&amp;"|"&amp;$C1582&amp;"|"&amp;$D1582)</f>
        <v/>
      </c>
    </row>
    <row r="1583">
      <c r="I1583" s="90">
        <f>IF($A1583="","",$A1583&amp;"|"&amp;$B1583&amp;"|"&amp;$C1583&amp;"|"&amp;$D1583)</f>
        <v/>
      </c>
    </row>
    <row r="1584">
      <c r="I1584" s="90">
        <f>IF($A1584="","",$A1584&amp;"|"&amp;$B1584&amp;"|"&amp;$C1584&amp;"|"&amp;$D1584)</f>
        <v/>
      </c>
    </row>
    <row r="1585">
      <c r="I1585" s="90">
        <f>IF($A1585="","",$A1585&amp;"|"&amp;$B1585&amp;"|"&amp;$C1585&amp;"|"&amp;$D1585)</f>
        <v/>
      </c>
    </row>
    <row r="1586">
      <c r="I1586" s="90">
        <f>IF($A1586="","",$A1586&amp;"|"&amp;$B1586&amp;"|"&amp;$C1586&amp;"|"&amp;$D1586)</f>
        <v/>
      </c>
    </row>
    <row r="1587">
      <c r="I1587" s="90">
        <f>IF($A1587="","",$A1587&amp;"|"&amp;$B1587&amp;"|"&amp;$C1587&amp;"|"&amp;$D1587)</f>
        <v/>
      </c>
    </row>
    <row r="1588">
      <c r="I1588" s="90">
        <f>IF($A1588="","",$A1588&amp;"|"&amp;$B1588&amp;"|"&amp;$C1588&amp;"|"&amp;$D1588)</f>
        <v/>
      </c>
    </row>
    <row r="1589">
      <c r="I1589" s="90">
        <f>IF($A1589="","",$A1589&amp;"|"&amp;$B1589&amp;"|"&amp;$C1589&amp;"|"&amp;$D1589)</f>
        <v/>
      </c>
    </row>
    <row r="1590">
      <c r="I1590" s="90">
        <f>IF($A1590="","",$A1590&amp;"|"&amp;$B1590&amp;"|"&amp;$C1590&amp;"|"&amp;$D1590)</f>
        <v/>
      </c>
    </row>
    <row r="1591">
      <c r="I1591" s="90">
        <f>IF($A1591="","",$A1591&amp;"|"&amp;$B1591&amp;"|"&amp;$C1591&amp;"|"&amp;$D1591)</f>
        <v/>
      </c>
    </row>
    <row r="1592">
      <c r="I1592" s="90">
        <f>IF($A1592="","",$A1592&amp;"|"&amp;$B1592&amp;"|"&amp;$C1592&amp;"|"&amp;$D1592)</f>
        <v/>
      </c>
    </row>
    <row r="1593">
      <c r="I1593" s="90">
        <f>IF($A1593="","",$A1593&amp;"|"&amp;$B1593&amp;"|"&amp;$C1593&amp;"|"&amp;$D1593)</f>
        <v/>
      </c>
    </row>
    <row r="1594">
      <c r="I1594" s="90">
        <f>IF($A1594="","",$A1594&amp;"|"&amp;$B1594&amp;"|"&amp;$C1594&amp;"|"&amp;$D1594)</f>
        <v/>
      </c>
    </row>
    <row r="1595">
      <c r="I1595" s="90">
        <f>IF($A1595="","",$A1595&amp;"|"&amp;$B1595&amp;"|"&amp;$C1595&amp;"|"&amp;$D1595)</f>
        <v/>
      </c>
    </row>
    <row r="1596">
      <c r="I1596" s="90">
        <f>IF($A1596="","",$A1596&amp;"|"&amp;$B1596&amp;"|"&amp;$C1596&amp;"|"&amp;$D1596)</f>
        <v/>
      </c>
    </row>
    <row r="1597">
      <c r="I1597" s="90">
        <f>IF($A1597="","",$A1597&amp;"|"&amp;$B1597&amp;"|"&amp;$C1597&amp;"|"&amp;$D1597)</f>
        <v/>
      </c>
    </row>
    <row r="1598">
      <c r="I1598" s="90">
        <f>IF($A1598="","",$A1598&amp;"|"&amp;$B1598&amp;"|"&amp;$C1598&amp;"|"&amp;$D1598)</f>
        <v/>
      </c>
    </row>
    <row r="1599">
      <c r="I1599" s="90">
        <f>IF($A1599="","",$A1599&amp;"|"&amp;$B1599&amp;"|"&amp;$C1599&amp;"|"&amp;$D1599)</f>
        <v/>
      </c>
    </row>
    <row r="1600">
      <c r="I1600" s="90">
        <f>IF($A1600="","",$A1600&amp;"|"&amp;$B1600&amp;"|"&amp;$C1600&amp;"|"&amp;$D1600)</f>
        <v/>
      </c>
    </row>
    <row r="1601">
      <c r="I1601" s="90">
        <f>IF($A1601="","",$A1601&amp;"|"&amp;$B1601&amp;"|"&amp;$C1601&amp;"|"&amp;$D1601)</f>
        <v/>
      </c>
    </row>
    <row r="1602">
      <c r="I1602" s="90">
        <f>IF($A1602="","",$A1602&amp;"|"&amp;$B1602&amp;"|"&amp;$C1602&amp;"|"&amp;$D1602)</f>
        <v/>
      </c>
    </row>
    <row r="1603">
      <c r="I1603" s="90">
        <f>IF($A1603="","",$A1603&amp;"|"&amp;$B1603&amp;"|"&amp;$C1603&amp;"|"&amp;$D1603)</f>
        <v/>
      </c>
    </row>
    <row r="1604">
      <c r="I1604" s="90">
        <f>IF($A1604="","",$A1604&amp;"|"&amp;$B1604&amp;"|"&amp;$C1604&amp;"|"&amp;$D1604)</f>
        <v/>
      </c>
    </row>
    <row r="1605">
      <c r="I1605" s="90">
        <f>IF($A1605="","",$A1605&amp;"|"&amp;$B1605&amp;"|"&amp;$C1605&amp;"|"&amp;$D1605)</f>
        <v/>
      </c>
    </row>
    <row r="1606">
      <c r="I1606" s="90">
        <f>IF($A1606="","",$A1606&amp;"|"&amp;$B1606&amp;"|"&amp;$C1606&amp;"|"&amp;$D1606)</f>
        <v/>
      </c>
    </row>
    <row r="1607">
      <c r="I1607" s="90">
        <f>IF($A1607="","",$A1607&amp;"|"&amp;$B1607&amp;"|"&amp;$C1607&amp;"|"&amp;$D1607)</f>
        <v/>
      </c>
    </row>
    <row r="1608">
      <c r="I1608" s="90">
        <f>IF($A1608="","",$A1608&amp;"|"&amp;$B1608&amp;"|"&amp;$C1608&amp;"|"&amp;$D1608)</f>
        <v/>
      </c>
    </row>
    <row r="1609">
      <c r="I1609" s="90">
        <f>IF($A1609="","",$A1609&amp;"|"&amp;$B1609&amp;"|"&amp;$C1609&amp;"|"&amp;$D1609)</f>
        <v/>
      </c>
    </row>
    <row r="1610">
      <c r="I1610" s="90">
        <f>IF($A1610="","",$A1610&amp;"|"&amp;$B1610&amp;"|"&amp;$C1610&amp;"|"&amp;$D1610)</f>
        <v/>
      </c>
    </row>
    <row r="1611">
      <c r="I1611" s="90">
        <f>IF($A1611="","",$A1611&amp;"|"&amp;$B1611&amp;"|"&amp;$C1611&amp;"|"&amp;$D1611)</f>
        <v/>
      </c>
    </row>
    <row r="1612">
      <c r="I1612" s="90">
        <f>IF($A1612="","",$A1612&amp;"|"&amp;$B1612&amp;"|"&amp;$C1612&amp;"|"&amp;$D1612)</f>
        <v/>
      </c>
    </row>
    <row r="1613">
      <c r="I1613" s="90">
        <f>IF($A1613="","",$A1613&amp;"|"&amp;$B1613&amp;"|"&amp;$C1613&amp;"|"&amp;$D1613)</f>
        <v/>
      </c>
    </row>
    <row r="1614">
      <c r="I1614" s="90">
        <f>IF($A1614="","",$A1614&amp;"|"&amp;$B1614&amp;"|"&amp;$C1614&amp;"|"&amp;$D1614)</f>
        <v/>
      </c>
    </row>
    <row r="1615">
      <c r="I1615" s="90">
        <f>IF($A1615="","",$A1615&amp;"|"&amp;$B1615&amp;"|"&amp;$C1615&amp;"|"&amp;$D1615)</f>
        <v/>
      </c>
    </row>
    <row r="1616">
      <c r="I1616" s="90">
        <f>IF($A1616="","",$A1616&amp;"|"&amp;$B1616&amp;"|"&amp;$C1616&amp;"|"&amp;$D1616)</f>
        <v/>
      </c>
    </row>
    <row r="1617">
      <c r="I1617" s="90">
        <f>IF($A1617="","",$A1617&amp;"|"&amp;$B1617&amp;"|"&amp;$C1617&amp;"|"&amp;$D1617)</f>
        <v/>
      </c>
    </row>
    <row r="1618">
      <c r="I1618" s="90">
        <f>IF($A1618="","",$A1618&amp;"|"&amp;$B1618&amp;"|"&amp;$C1618&amp;"|"&amp;$D1618)</f>
        <v/>
      </c>
    </row>
    <row r="1619">
      <c r="I1619" s="90">
        <f>IF($A1619="","",$A1619&amp;"|"&amp;$B1619&amp;"|"&amp;$C1619&amp;"|"&amp;$D1619)</f>
        <v/>
      </c>
    </row>
    <row r="1620">
      <c r="I1620" s="90">
        <f>IF($A1620="","",$A1620&amp;"|"&amp;$B1620&amp;"|"&amp;$C1620&amp;"|"&amp;$D1620)</f>
        <v/>
      </c>
    </row>
    <row r="1621">
      <c r="I1621" s="90">
        <f>IF($A1621="","",$A1621&amp;"|"&amp;$B1621&amp;"|"&amp;$C1621&amp;"|"&amp;$D1621)</f>
        <v/>
      </c>
    </row>
    <row r="1622">
      <c r="I1622" s="90">
        <f>IF($A1622="","",$A1622&amp;"|"&amp;$B1622&amp;"|"&amp;$C1622&amp;"|"&amp;$D1622)</f>
        <v/>
      </c>
    </row>
    <row r="1623">
      <c r="I1623" s="90">
        <f>IF($A1623="","",$A1623&amp;"|"&amp;$B1623&amp;"|"&amp;$C1623&amp;"|"&amp;$D1623)</f>
        <v/>
      </c>
    </row>
    <row r="1624">
      <c r="I1624" s="90">
        <f>IF($A1624="","",$A1624&amp;"|"&amp;$B1624&amp;"|"&amp;$C1624&amp;"|"&amp;$D1624)</f>
        <v/>
      </c>
    </row>
    <row r="1625">
      <c r="I1625" s="90">
        <f>IF($A1625="","",$A1625&amp;"|"&amp;$B1625&amp;"|"&amp;$C1625&amp;"|"&amp;$D1625)</f>
        <v/>
      </c>
    </row>
    <row r="1626">
      <c r="I1626" s="90">
        <f>IF($A1626="","",$A1626&amp;"|"&amp;$B1626&amp;"|"&amp;$C1626&amp;"|"&amp;$D1626)</f>
        <v/>
      </c>
    </row>
    <row r="1627">
      <c r="I1627" s="90">
        <f>IF($A1627="","",$A1627&amp;"|"&amp;$B1627&amp;"|"&amp;$C1627&amp;"|"&amp;$D1627)</f>
        <v/>
      </c>
    </row>
    <row r="1628">
      <c r="I1628" s="90">
        <f>IF($A1628="","",$A1628&amp;"|"&amp;$B1628&amp;"|"&amp;$C1628&amp;"|"&amp;$D1628)</f>
        <v/>
      </c>
    </row>
    <row r="1629">
      <c r="I1629" s="90">
        <f>IF($A1629="","",$A1629&amp;"|"&amp;$B1629&amp;"|"&amp;$C1629&amp;"|"&amp;$D1629)</f>
        <v/>
      </c>
    </row>
    <row r="1630">
      <c r="I1630" s="90">
        <f>IF($A1630="","",$A1630&amp;"|"&amp;$B1630&amp;"|"&amp;$C1630&amp;"|"&amp;$D1630)</f>
        <v/>
      </c>
    </row>
    <row r="1631">
      <c r="I1631" s="90">
        <f>IF($A1631="","",$A1631&amp;"|"&amp;$B1631&amp;"|"&amp;$C1631&amp;"|"&amp;$D1631)</f>
        <v/>
      </c>
    </row>
    <row r="1632">
      <c r="I1632" s="90">
        <f>IF($A1632="","",$A1632&amp;"|"&amp;$B1632&amp;"|"&amp;$C1632&amp;"|"&amp;$D1632)</f>
        <v/>
      </c>
    </row>
    <row r="1633">
      <c r="I1633" s="90">
        <f>IF($A1633="","",$A1633&amp;"|"&amp;$B1633&amp;"|"&amp;$C1633&amp;"|"&amp;$D1633)</f>
        <v/>
      </c>
    </row>
    <row r="1634">
      <c r="I1634" s="90">
        <f>IF($A1634="","",$A1634&amp;"|"&amp;$B1634&amp;"|"&amp;$C1634&amp;"|"&amp;$D1634)</f>
        <v/>
      </c>
    </row>
    <row r="1635">
      <c r="I1635" s="90">
        <f>IF($A1635="","",$A1635&amp;"|"&amp;$B1635&amp;"|"&amp;$C1635&amp;"|"&amp;$D1635)</f>
        <v/>
      </c>
    </row>
    <row r="1636">
      <c r="I1636" s="90">
        <f>IF($A1636="","",$A1636&amp;"|"&amp;$B1636&amp;"|"&amp;$C1636&amp;"|"&amp;$D1636)</f>
        <v/>
      </c>
    </row>
    <row r="1637">
      <c r="I1637" s="90">
        <f>IF($A1637="","",$A1637&amp;"|"&amp;$B1637&amp;"|"&amp;$C1637&amp;"|"&amp;$D1637)</f>
        <v/>
      </c>
    </row>
    <row r="1638">
      <c r="I1638" s="90">
        <f>IF($A1638="","",$A1638&amp;"|"&amp;$B1638&amp;"|"&amp;$C1638&amp;"|"&amp;$D1638)</f>
        <v/>
      </c>
    </row>
    <row r="1639">
      <c r="I1639" s="90">
        <f>IF($A1639="","",$A1639&amp;"|"&amp;$B1639&amp;"|"&amp;$C1639&amp;"|"&amp;$D1639)</f>
        <v/>
      </c>
    </row>
    <row r="1640">
      <c r="I1640" s="90">
        <f>IF($A1640="","",$A1640&amp;"|"&amp;$B1640&amp;"|"&amp;$C1640&amp;"|"&amp;$D1640)</f>
        <v/>
      </c>
    </row>
    <row r="1641">
      <c r="I1641" s="90">
        <f>IF($A1641="","",$A1641&amp;"|"&amp;$B1641&amp;"|"&amp;$C1641&amp;"|"&amp;$D1641)</f>
        <v/>
      </c>
    </row>
    <row r="1642">
      <c r="I1642" s="90">
        <f>IF($A1642="","",$A1642&amp;"|"&amp;$B1642&amp;"|"&amp;$C1642&amp;"|"&amp;$D1642)</f>
        <v/>
      </c>
    </row>
    <row r="1643">
      <c r="I1643" s="90">
        <f>IF($A1643="","",$A1643&amp;"|"&amp;$B1643&amp;"|"&amp;$C1643&amp;"|"&amp;$D1643)</f>
        <v/>
      </c>
    </row>
    <row r="1644">
      <c r="I1644" s="90">
        <f>IF($A1644="","",$A1644&amp;"|"&amp;$B1644&amp;"|"&amp;$C1644&amp;"|"&amp;$D1644)</f>
        <v/>
      </c>
    </row>
    <row r="1645">
      <c r="I1645" s="90">
        <f>IF($A1645="","",$A1645&amp;"|"&amp;$B1645&amp;"|"&amp;$C1645&amp;"|"&amp;$D1645)</f>
        <v/>
      </c>
    </row>
    <row r="1646">
      <c r="I1646" s="90">
        <f>IF($A1646="","",$A1646&amp;"|"&amp;$B1646&amp;"|"&amp;$C1646&amp;"|"&amp;$D1646)</f>
        <v/>
      </c>
    </row>
    <row r="1647">
      <c r="I1647" s="90">
        <f>IF($A1647="","",$A1647&amp;"|"&amp;$B1647&amp;"|"&amp;$C1647&amp;"|"&amp;$D1647)</f>
        <v/>
      </c>
    </row>
    <row r="1648">
      <c r="I1648" s="90">
        <f>IF($A1648="","",$A1648&amp;"|"&amp;$B1648&amp;"|"&amp;$C1648&amp;"|"&amp;$D1648)</f>
        <v/>
      </c>
    </row>
    <row r="1649">
      <c r="I1649" s="90">
        <f>IF($A1649="","",$A1649&amp;"|"&amp;$B1649&amp;"|"&amp;$C1649&amp;"|"&amp;$D1649)</f>
        <v/>
      </c>
    </row>
    <row r="1650">
      <c r="I1650" s="90">
        <f>IF($A1650="","",$A1650&amp;"|"&amp;$B1650&amp;"|"&amp;$C1650&amp;"|"&amp;$D1650)</f>
        <v/>
      </c>
    </row>
    <row r="1651">
      <c r="I1651" s="90">
        <f>IF($A1651="","",$A1651&amp;"|"&amp;$B1651&amp;"|"&amp;$C1651&amp;"|"&amp;$D1651)</f>
        <v/>
      </c>
    </row>
    <row r="1652">
      <c r="I1652" s="90">
        <f>IF($A1652="","",$A1652&amp;"|"&amp;$B1652&amp;"|"&amp;$C1652&amp;"|"&amp;$D1652)</f>
        <v/>
      </c>
    </row>
    <row r="1653">
      <c r="I1653" s="90">
        <f>IF($A1653="","",$A1653&amp;"|"&amp;$B1653&amp;"|"&amp;$C1653&amp;"|"&amp;$D1653)</f>
        <v/>
      </c>
    </row>
    <row r="1654">
      <c r="I1654" s="90">
        <f>IF($A1654="","",$A1654&amp;"|"&amp;$B1654&amp;"|"&amp;$C1654&amp;"|"&amp;$D1654)</f>
        <v/>
      </c>
    </row>
    <row r="1655">
      <c r="I1655" s="90">
        <f>IF($A1655="","",$A1655&amp;"|"&amp;$B1655&amp;"|"&amp;$C1655&amp;"|"&amp;$D1655)</f>
        <v/>
      </c>
    </row>
    <row r="1656">
      <c r="I1656" s="90">
        <f>IF($A1656="","",$A1656&amp;"|"&amp;$B1656&amp;"|"&amp;$C1656&amp;"|"&amp;$D1656)</f>
        <v/>
      </c>
    </row>
    <row r="1657">
      <c r="I1657" s="90">
        <f>IF($A1657="","",$A1657&amp;"|"&amp;$B1657&amp;"|"&amp;$C1657&amp;"|"&amp;$D1657)</f>
        <v/>
      </c>
    </row>
    <row r="1658">
      <c r="I1658" s="90">
        <f>IF($A1658="","",$A1658&amp;"|"&amp;$B1658&amp;"|"&amp;$C1658&amp;"|"&amp;$D1658)</f>
        <v/>
      </c>
    </row>
    <row r="1659">
      <c r="I1659" s="90">
        <f>IF($A1659="","",$A1659&amp;"|"&amp;$B1659&amp;"|"&amp;$C1659&amp;"|"&amp;$D1659)</f>
        <v/>
      </c>
    </row>
    <row r="1660">
      <c r="I1660" s="90">
        <f>IF($A1660="","",$A1660&amp;"|"&amp;$B1660&amp;"|"&amp;$C1660&amp;"|"&amp;$D1660)</f>
        <v/>
      </c>
    </row>
    <row r="1661">
      <c r="I1661" s="90">
        <f>IF($A1661="","",$A1661&amp;"|"&amp;$B1661&amp;"|"&amp;$C1661&amp;"|"&amp;$D1661)</f>
        <v/>
      </c>
    </row>
    <row r="1662">
      <c r="I1662" s="90">
        <f>IF($A1662="","",$A1662&amp;"|"&amp;$B1662&amp;"|"&amp;$C1662&amp;"|"&amp;$D1662)</f>
        <v/>
      </c>
    </row>
    <row r="1663">
      <c r="I1663" s="90">
        <f>IF($A1663="","",$A1663&amp;"|"&amp;$B1663&amp;"|"&amp;$C1663&amp;"|"&amp;$D1663)</f>
        <v/>
      </c>
    </row>
    <row r="1664">
      <c r="I1664" s="90">
        <f>IF($A1664="","",$A1664&amp;"|"&amp;$B1664&amp;"|"&amp;$C1664&amp;"|"&amp;$D1664)</f>
        <v/>
      </c>
    </row>
    <row r="1665">
      <c r="I1665" s="90">
        <f>IF($A1665="","",$A1665&amp;"|"&amp;$B1665&amp;"|"&amp;$C1665&amp;"|"&amp;$D1665)</f>
        <v/>
      </c>
    </row>
    <row r="1666">
      <c r="I1666" s="90">
        <f>IF($A1666="","",$A1666&amp;"|"&amp;$B1666&amp;"|"&amp;$C1666&amp;"|"&amp;$D1666)</f>
        <v/>
      </c>
    </row>
    <row r="1667">
      <c r="I1667" s="90">
        <f>IF($A1667="","",$A1667&amp;"|"&amp;$B1667&amp;"|"&amp;$C1667&amp;"|"&amp;$D1667)</f>
        <v/>
      </c>
    </row>
    <row r="1668">
      <c r="I1668" s="90">
        <f>IF($A1668="","",$A1668&amp;"|"&amp;$B1668&amp;"|"&amp;$C1668&amp;"|"&amp;$D1668)</f>
        <v/>
      </c>
    </row>
    <row r="1669">
      <c r="I1669" s="90">
        <f>IF($A1669="","",$A1669&amp;"|"&amp;$B1669&amp;"|"&amp;$C1669&amp;"|"&amp;$D1669)</f>
        <v/>
      </c>
    </row>
    <row r="1670">
      <c r="I1670" s="90">
        <f>IF($A1670="","",$A1670&amp;"|"&amp;$B1670&amp;"|"&amp;$C1670&amp;"|"&amp;$D1670)</f>
        <v/>
      </c>
    </row>
    <row r="1671">
      <c r="I1671" s="90">
        <f>IF($A1671="","",$A1671&amp;"|"&amp;$B1671&amp;"|"&amp;$C1671&amp;"|"&amp;$D1671)</f>
        <v/>
      </c>
    </row>
    <row r="1672">
      <c r="I1672" s="90">
        <f>IF($A1672="","",$A1672&amp;"|"&amp;$B1672&amp;"|"&amp;$C1672&amp;"|"&amp;$D1672)</f>
        <v/>
      </c>
    </row>
    <row r="1673">
      <c r="I1673" s="90">
        <f>IF($A1673="","",$A1673&amp;"|"&amp;$B1673&amp;"|"&amp;$C1673&amp;"|"&amp;$D1673)</f>
        <v/>
      </c>
    </row>
    <row r="1674">
      <c r="I1674" s="90">
        <f>IF($A1674="","",$A1674&amp;"|"&amp;$B1674&amp;"|"&amp;$C1674&amp;"|"&amp;$D1674)</f>
        <v/>
      </c>
    </row>
    <row r="1675">
      <c r="I1675" s="90">
        <f>IF($A1675="","",$A1675&amp;"|"&amp;$B1675&amp;"|"&amp;$C1675&amp;"|"&amp;$D1675)</f>
        <v/>
      </c>
    </row>
    <row r="1676">
      <c r="I1676" s="90">
        <f>IF($A1676="","",$A1676&amp;"|"&amp;$B1676&amp;"|"&amp;$C1676&amp;"|"&amp;$D1676)</f>
        <v/>
      </c>
    </row>
    <row r="1677">
      <c r="I1677" s="90">
        <f>IF($A1677="","",$A1677&amp;"|"&amp;$B1677&amp;"|"&amp;$C1677&amp;"|"&amp;$D1677)</f>
        <v/>
      </c>
    </row>
    <row r="1678">
      <c r="I1678" s="90">
        <f>IF($A1678="","",$A1678&amp;"|"&amp;$B1678&amp;"|"&amp;$C1678&amp;"|"&amp;$D1678)</f>
        <v/>
      </c>
    </row>
    <row r="1679">
      <c r="I1679" s="90">
        <f>IF($A1679="","",$A1679&amp;"|"&amp;$B1679&amp;"|"&amp;$C1679&amp;"|"&amp;$D1679)</f>
        <v/>
      </c>
    </row>
    <row r="1680">
      <c r="I1680" s="90">
        <f>IF($A1680="","",$A1680&amp;"|"&amp;$B1680&amp;"|"&amp;$C1680&amp;"|"&amp;$D1680)</f>
        <v/>
      </c>
    </row>
    <row r="1681">
      <c r="I1681" s="90">
        <f>IF($A1681="","",$A1681&amp;"|"&amp;$B1681&amp;"|"&amp;$C1681&amp;"|"&amp;$D1681)</f>
        <v/>
      </c>
    </row>
    <row r="1682">
      <c r="I1682" s="90">
        <f>IF($A1682="","",$A1682&amp;"|"&amp;$B1682&amp;"|"&amp;$C1682&amp;"|"&amp;$D1682)</f>
        <v/>
      </c>
    </row>
    <row r="1683">
      <c r="I1683" s="90">
        <f>IF($A1683="","",$A1683&amp;"|"&amp;$B1683&amp;"|"&amp;$C1683&amp;"|"&amp;$D1683)</f>
        <v/>
      </c>
    </row>
    <row r="1684">
      <c r="I1684" s="90">
        <f>IF($A1684="","",$A1684&amp;"|"&amp;$B1684&amp;"|"&amp;$C1684&amp;"|"&amp;$D1684)</f>
        <v/>
      </c>
    </row>
    <row r="1685">
      <c r="I1685" s="90">
        <f>IF($A1685="","",$A1685&amp;"|"&amp;$B1685&amp;"|"&amp;$C1685&amp;"|"&amp;$D1685)</f>
        <v/>
      </c>
    </row>
    <row r="1686">
      <c r="I1686" s="90">
        <f>IF($A1686="","",$A1686&amp;"|"&amp;$B1686&amp;"|"&amp;$C1686&amp;"|"&amp;$D1686)</f>
        <v/>
      </c>
    </row>
    <row r="1687">
      <c r="I1687" s="90">
        <f>IF($A1687="","",$A1687&amp;"|"&amp;$B1687&amp;"|"&amp;$C1687&amp;"|"&amp;$D1687)</f>
        <v/>
      </c>
    </row>
    <row r="1688">
      <c r="I1688" s="90">
        <f>IF($A1688="","",$A1688&amp;"|"&amp;$B1688&amp;"|"&amp;$C1688&amp;"|"&amp;$D1688)</f>
        <v/>
      </c>
    </row>
    <row r="1689">
      <c r="I1689" s="90">
        <f>IF($A1689="","",$A1689&amp;"|"&amp;$B1689&amp;"|"&amp;$C1689&amp;"|"&amp;$D1689)</f>
        <v/>
      </c>
    </row>
    <row r="1690">
      <c r="I1690" s="90">
        <f>IF($A1690="","",$A1690&amp;"|"&amp;$B1690&amp;"|"&amp;$C1690&amp;"|"&amp;$D1690)</f>
        <v/>
      </c>
    </row>
    <row r="1691">
      <c r="I1691" s="90">
        <f>IF($A1691="","",$A1691&amp;"|"&amp;$B1691&amp;"|"&amp;$C1691&amp;"|"&amp;$D1691)</f>
        <v/>
      </c>
    </row>
    <row r="1692">
      <c r="I1692" s="90">
        <f>IF($A1692="","",$A1692&amp;"|"&amp;$B1692&amp;"|"&amp;$C1692&amp;"|"&amp;$D1692)</f>
        <v/>
      </c>
    </row>
    <row r="1693">
      <c r="I1693" s="90">
        <f>IF($A1693="","",$A1693&amp;"|"&amp;$B1693&amp;"|"&amp;$C1693&amp;"|"&amp;$D1693)</f>
        <v/>
      </c>
    </row>
    <row r="1694">
      <c r="I1694" s="90">
        <f>IF($A1694="","",$A1694&amp;"|"&amp;$B1694&amp;"|"&amp;$C1694&amp;"|"&amp;$D1694)</f>
        <v/>
      </c>
    </row>
    <row r="1695">
      <c r="I1695" s="90">
        <f>IF($A1695="","",$A1695&amp;"|"&amp;$B1695&amp;"|"&amp;$C1695&amp;"|"&amp;$D1695)</f>
        <v/>
      </c>
    </row>
    <row r="1696">
      <c r="I1696" s="90">
        <f>IF($A1696="","",$A1696&amp;"|"&amp;$B1696&amp;"|"&amp;$C1696&amp;"|"&amp;$D1696)</f>
        <v/>
      </c>
    </row>
    <row r="1697">
      <c r="I1697" s="90">
        <f>IF($A1697="","",$A1697&amp;"|"&amp;$B1697&amp;"|"&amp;$C1697&amp;"|"&amp;$D1697)</f>
        <v/>
      </c>
    </row>
    <row r="1698">
      <c r="I1698" s="90">
        <f>IF($A1698="","",$A1698&amp;"|"&amp;$B1698&amp;"|"&amp;$C1698&amp;"|"&amp;$D1698)</f>
        <v/>
      </c>
    </row>
    <row r="1699">
      <c r="I1699" s="90">
        <f>IF($A1699="","",$A1699&amp;"|"&amp;$B1699&amp;"|"&amp;$C1699&amp;"|"&amp;$D1699)</f>
        <v/>
      </c>
    </row>
    <row r="1700">
      <c r="I1700" s="90">
        <f>IF($A1700="","",$A1700&amp;"|"&amp;$B1700&amp;"|"&amp;$C1700&amp;"|"&amp;$D1700)</f>
        <v/>
      </c>
    </row>
    <row r="1701">
      <c r="I1701" s="90">
        <f>IF($A1701="","",$A1701&amp;"|"&amp;$B1701&amp;"|"&amp;$C1701&amp;"|"&amp;$D1701)</f>
        <v/>
      </c>
    </row>
    <row r="1702">
      <c r="I1702" s="90">
        <f>IF($A1702="","",$A1702&amp;"|"&amp;$B1702&amp;"|"&amp;$C1702&amp;"|"&amp;$D1702)</f>
        <v/>
      </c>
    </row>
    <row r="1703">
      <c r="I1703" s="90">
        <f>IF($A1703="","",$A1703&amp;"|"&amp;$B1703&amp;"|"&amp;$C1703&amp;"|"&amp;$D1703)</f>
        <v/>
      </c>
    </row>
    <row r="1704">
      <c r="I1704" s="90">
        <f>IF($A1704="","",$A1704&amp;"|"&amp;$B1704&amp;"|"&amp;$C1704&amp;"|"&amp;$D1704)</f>
        <v/>
      </c>
    </row>
    <row r="1705">
      <c r="I1705" s="90">
        <f>IF($A1705="","",$A1705&amp;"|"&amp;$B1705&amp;"|"&amp;$C1705&amp;"|"&amp;$D1705)</f>
        <v/>
      </c>
    </row>
    <row r="1706">
      <c r="I1706" s="90">
        <f>IF($A1706="","",$A1706&amp;"|"&amp;$B1706&amp;"|"&amp;$C1706&amp;"|"&amp;$D1706)</f>
        <v/>
      </c>
    </row>
    <row r="1707">
      <c r="I1707" s="90">
        <f>IF($A1707="","",$A1707&amp;"|"&amp;$B1707&amp;"|"&amp;$C1707&amp;"|"&amp;$D1707)</f>
        <v/>
      </c>
    </row>
    <row r="1708">
      <c r="I1708" s="90">
        <f>IF($A1708="","",$A1708&amp;"|"&amp;$B1708&amp;"|"&amp;$C1708&amp;"|"&amp;$D1708)</f>
        <v/>
      </c>
    </row>
    <row r="1709">
      <c r="I1709" s="90">
        <f>IF($A1709="","",$A1709&amp;"|"&amp;$B1709&amp;"|"&amp;$C1709&amp;"|"&amp;$D1709)</f>
        <v/>
      </c>
    </row>
    <row r="1710">
      <c r="I1710" s="90">
        <f>IF($A1710="","",$A1710&amp;"|"&amp;$B1710&amp;"|"&amp;$C1710&amp;"|"&amp;$D1710)</f>
        <v/>
      </c>
    </row>
    <row r="1711">
      <c r="I1711" s="90">
        <f>IF($A1711="","",$A1711&amp;"|"&amp;$B1711&amp;"|"&amp;$C1711&amp;"|"&amp;$D1711)</f>
        <v/>
      </c>
    </row>
    <row r="1712">
      <c r="I1712" s="90">
        <f>IF($A1712="","",$A1712&amp;"|"&amp;$B1712&amp;"|"&amp;$C1712&amp;"|"&amp;$D1712)</f>
        <v/>
      </c>
    </row>
    <row r="1713">
      <c r="I1713" s="90">
        <f>IF($A1713="","",$A1713&amp;"|"&amp;$B1713&amp;"|"&amp;$C1713&amp;"|"&amp;$D1713)</f>
        <v/>
      </c>
    </row>
    <row r="1714">
      <c r="I1714" s="90">
        <f>IF($A1714="","",$A1714&amp;"|"&amp;$B1714&amp;"|"&amp;$C1714&amp;"|"&amp;$D1714)</f>
        <v/>
      </c>
    </row>
    <row r="1715">
      <c r="I1715" s="90">
        <f>IF($A1715="","",$A1715&amp;"|"&amp;$B1715&amp;"|"&amp;$C1715&amp;"|"&amp;$D1715)</f>
        <v/>
      </c>
    </row>
    <row r="1716">
      <c r="I1716" s="90">
        <f>IF($A1716="","",$A1716&amp;"|"&amp;$B1716&amp;"|"&amp;$C1716&amp;"|"&amp;$D1716)</f>
        <v/>
      </c>
    </row>
    <row r="1717">
      <c r="I1717" s="90">
        <f>IF($A1717="","",$A1717&amp;"|"&amp;$B1717&amp;"|"&amp;$C1717&amp;"|"&amp;$D1717)</f>
        <v/>
      </c>
    </row>
    <row r="1718">
      <c r="I1718" s="90">
        <f>IF($A1718="","",$A1718&amp;"|"&amp;$B1718&amp;"|"&amp;$C1718&amp;"|"&amp;$D1718)</f>
        <v/>
      </c>
    </row>
    <row r="1719">
      <c r="I1719" s="90">
        <f>IF($A1719="","",$A1719&amp;"|"&amp;$B1719&amp;"|"&amp;$C1719&amp;"|"&amp;$D1719)</f>
        <v/>
      </c>
    </row>
    <row r="1720">
      <c r="I1720" s="90">
        <f>IF($A1720="","",$A1720&amp;"|"&amp;$B1720&amp;"|"&amp;$C1720&amp;"|"&amp;$D1720)</f>
        <v/>
      </c>
    </row>
    <row r="1721">
      <c r="I1721" s="90">
        <f>IF($A1721="","",$A1721&amp;"|"&amp;$B1721&amp;"|"&amp;$C1721&amp;"|"&amp;$D1721)</f>
        <v/>
      </c>
    </row>
    <row r="1722">
      <c r="I1722" s="90">
        <f>IF($A1722="","",$A1722&amp;"|"&amp;$B1722&amp;"|"&amp;$C1722&amp;"|"&amp;$D1722)</f>
        <v/>
      </c>
    </row>
    <row r="1723">
      <c r="I1723" s="90">
        <f>IF($A1723="","",$A1723&amp;"|"&amp;$B1723&amp;"|"&amp;$C1723&amp;"|"&amp;$D1723)</f>
        <v/>
      </c>
    </row>
    <row r="1724">
      <c r="I1724" s="90">
        <f>IF($A1724="","",$A1724&amp;"|"&amp;$B1724&amp;"|"&amp;$C1724&amp;"|"&amp;$D1724)</f>
        <v/>
      </c>
    </row>
    <row r="1725">
      <c r="I1725" s="90">
        <f>IF($A1725="","",$A1725&amp;"|"&amp;$B1725&amp;"|"&amp;$C1725&amp;"|"&amp;$D1725)</f>
        <v/>
      </c>
    </row>
    <row r="1726">
      <c r="I1726" s="90">
        <f>IF($A1726="","",$A1726&amp;"|"&amp;$B1726&amp;"|"&amp;$C1726&amp;"|"&amp;$D1726)</f>
        <v/>
      </c>
    </row>
    <row r="1727">
      <c r="I1727" s="90">
        <f>IF($A1727="","",$A1727&amp;"|"&amp;$B1727&amp;"|"&amp;$C1727&amp;"|"&amp;$D1727)</f>
        <v/>
      </c>
    </row>
    <row r="1728">
      <c r="I1728" s="90">
        <f>IF($A1728="","",$A1728&amp;"|"&amp;$B1728&amp;"|"&amp;$C1728&amp;"|"&amp;$D1728)</f>
        <v/>
      </c>
    </row>
    <row r="1729">
      <c r="I1729" s="90">
        <f>IF($A1729="","",$A1729&amp;"|"&amp;$B1729&amp;"|"&amp;$C1729&amp;"|"&amp;$D1729)</f>
        <v/>
      </c>
    </row>
    <row r="1730">
      <c r="I1730" s="90">
        <f>IF($A1730="","",$A1730&amp;"|"&amp;$B1730&amp;"|"&amp;$C1730&amp;"|"&amp;$D1730)</f>
        <v/>
      </c>
    </row>
    <row r="1731">
      <c r="I1731" s="90">
        <f>IF($A1731="","",$A1731&amp;"|"&amp;$B1731&amp;"|"&amp;$C1731&amp;"|"&amp;$D1731)</f>
        <v/>
      </c>
    </row>
    <row r="1732">
      <c r="I1732" s="90">
        <f>IF($A1732="","",$A1732&amp;"|"&amp;$B1732&amp;"|"&amp;$C1732&amp;"|"&amp;$D1732)</f>
        <v/>
      </c>
    </row>
    <row r="1733">
      <c r="I1733" s="90">
        <f>IF($A1733="","",$A1733&amp;"|"&amp;$B1733&amp;"|"&amp;$C1733&amp;"|"&amp;$D1733)</f>
        <v/>
      </c>
    </row>
    <row r="1734">
      <c r="I1734" s="90">
        <f>IF($A1734="","",$A1734&amp;"|"&amp;$B1734&amp;"|"&amp;$C1734&amp;"|"&amp;$D1734)</f>
        <v/>
      </c>
    </row>
    <row r="1735">
      <c r="I1735" s="90">
        <f>IF($A1735="","",$A1735&amp;"|"&amp;$B1735&amp;"|"&amp;$C1735&amp;"|"&amp;$D1735)</f>
        <v/>
      </c>
    </row>
    <row r="1736">
      <c r="I1736" s="90">
        <f>IF($A1736="","",$A1736&amp;"|"&amp;$B1736&amp;"|"&amp;$C1736&amp;"|"&amp;$D1736)</f>
        <v/>
      </c>
    </row>
    <row r="1737">
      <c r="I1737" s="90">
        <f>IF($A1737="","",$A1737&amp;"|"&amp;$B1737&amp;"|"&amp;$C1737&amp;"|"&amp;$D1737)</f>
        <v/>
      </c>
    </row>
    <row r="1738">
      <c r="I1738" s="90">
        <f>IF($A1738="","",$A1738&amp;"|"&amp;$B1738&amp;"|"&amp;$C1738&amp;"|"&amp;$D1738)</f>
        <v/>
      </c>
    </row>
    <row r="1739">
      <c r="I1739" s="90">
        <f>IF($A1739="","",$A1739&amp;"|"&amp;$B1739&amp;"|"&amp;$C1739&amp;"|"&amp;$D1739)</f>
        <v/>
      </c>
    </row>
    <row r="1740">
      <c r="I1740" s="90">
        <f>IF($A1740="","",$A1740&amp;"|"&amp;$B1740&amp;"|"&amp;$C1740&amp;"|"&amp;$D1740)</f>
        <v/>
      </c>
    </row>
    <row r="1741">
      <c r="I1741" s="90">
        <f>IF($A1741="","",$A1741&amp;"|"&amp;$B1741&amp;"|"&amp;$C1741&amp;"|"&amp;$D1741)</f>
        <v/>
      </c>
    </row>
    <row r="1742">
      <c r="I1742" s="90">
        <f>IF($A1742="","",$A1742&amp;"|"&amp;$B1742&amp;"|"&amp;$C1742&amp;"|"&amp;$D1742)</f>
        <v/>
      </c>
    </row>
    <row r="1743">
      <c r="I1743" s="90">
        <f>IF($A1743="","",$A1743&amp;"|"&amp;$B1743&amp;"|"&amp;$C1743&amp;"|"&amp;$D1743)</f>
        <v/>
      </c>
    </row>
    <row r="1744">
      <c r="I1744" s="90">
        <f>IF($A1744="","",$A1744&amp;"|"&amp;$B1744&amp;"|"&amp;$C1744&amp;"|"&amp;$D1744)</f>
        <v/>
      </c>
    </row>
    <row r="1745">
      <c r="I1745" s="90">
        <f>IF($A1745="","",$A1745&amp;"|"&amp;$B1745&amp;"|"&amp;$C1745&amp;"|"&amp;$D1745)</f>
        <v/>
      </c>
    </row>
    <row r="1746">
      <c r="I1746" s="90">
        <f>IF($A1746="","",$A1746&amp;"|"&amp;$B1746&amp;"|"&amp;$C1746&amp;"|"&amp;$D1746)</f>
        <v/>
      </c>
    </row>
    <row r="1747">
      <c r="I1747" s="90">
        <f>IF($A1747="","",$A1747&amp;"|"&amp;$B1747&amp;"|"&amp;$C1747&amp;"|"&amp;$D1747)</f>
        <v/>
      </c>
    </row>
    <row r="1748">
      <c r="I1748" s="90">
        <f>IF($A1748="","",$A1748&amp;"|"&amp;$B1748&amp;"|"&amp;$C1748&amp;"|"&amp;$D1748)</f>
        <v/>
      </c>
    </row>
    <row r="1749">
      <c r="I1749" s="90">
        <f>IF($A1749="","",$A1749&amp;"|"&amp;$B1749&amp;"|"&amp;$C1749&amp;"|"&amp;$D1749)</f>
        <v/>
      </c>
    </row>
    <row r="1750">
      <c r="I1750" s="90">
        <f>IF($A1750="","",$A1750&amp;"|"&amp;$B1750&amp;"|"&amp;$C1750&amp;"|"&amp;$D1750)</f>
        <v/>
      </c>
    </row>
    <row r="1751">
      <c r="I1751" s="90">
        <f>IF($A1751="","",$A1751&amp;"|"&amp;$B1751&amp;"|"&amp;$C1751&amp;"|"&amp;$D1751)</f>
        <v/>
      </c>
    </row>
    <row r="1752">
      <c r="I1752" s="90">
        <f>IF($A1752="","",$A1752&amp;"|"&amp;$B1752&amp;"|"&amp;$C1752&amp;"|"&amp;$D1752)</f>
        <v/>
      </c>
    </row>
    <row r="1753">
      <c r="I1753" s="90">
        <f>IF($A1753="","",$A1753&amp;"|"&amp;$B1753&amp;"|"&amp;$C1753&amp;"|"&amp;$D1753)</f>
        <v/>
      </c>
    </row>
    <row r="1754">
      <c r="I1754" s="90">
        <f>IF($A1754="","",$A1754&amp;"|"&amp;$B1754&amp;"|"&amp;$C1754&amp;"|"&amp;$D1754)</f>
        <v/>
      </c>
    </row>
    <row r="1755">
      <c r="I1755" s="90">
        <f>IF($A1755="","",$A1755&amp;"|"&amp;$B1755&amp;"|"&amp;$C1755&amp;"|"&amp;$D1755)</f>
        <v/>
      </c>
    </row>
    <row r="1756">
      <c r="I1756" s="90">
        <f>IF($A1756="","",$A1756&amp;"|"&amp;$B1756&amp;"|"&amp;$C1756&amp;"|"&amp;$D1756)</f>
        <v/>
      </c>
    </row>
    <row r="1757">
      <c r="I1757" s="90">
        <f>IF($A1757="","",$A1757&amp;"|"&amp;$B1757&amp;"|"&amp;$C1757&amp;"|"&amp;$D1757)</f>
        <v/>
      </c>
    </row>
    <row r="1758">
      <c r="I1758" s="90">
        <f>IF($A1758="","",$A1758&amp;"|"&amp;$B1758&amp;"|"&amp;$C1758&amp;"|"&amp;$D1758)</f>
        <v/>
      </c>
    </row>
    <row r="1759">
      <c r="I1759" s="90">
        <f>IF($A1759="","",$A1759&amp;"|"&amp;$B1759&amp;"|"&amp;$C1759&amp;"|"&amp;$D1759)</f>
        <v/>
      </c>
    </row>
    <row r="1760">
      <c r="I1760" s="90">
        <f>IF($A1760="","",$A1760&amp;"|"&amp;$B1760&amp;"|"&amp;$C1760&amp;"|"&amp;$D1760)</f>
        <v/>
      </c>
    </row>
    <row r="1761">
      <c r="I1761" s="90">
        <f>IF($A1761="","",$A1761&amp;"|"&amp;$B1761&amp;"|"&amp;$C1761&amp;"|"&amp;$D1761)</f>
        <v/>
      </c>
    </row>
    <row r="1762">
      <c r="I1762" s="90">
        <f>IF($A1762="","",$A1762&amp;"|"&amp;$B1762&amp;"|"&amp;$C1762&amp;"|"&amp;$D1762)</f>
        <v/>
      </c>
    </row>
    <row r="1763">
      <c r="I1763" s="90">
        <f>IF($A1763="","",$A1763&amp;"|"&amp;$B1763&amp;"|"&amp;$C1763&amp;"|"&amp;$D1763)</f>
        <v/>
      </c>
    </row>
    <row r="1764">
      <c r="I1764" s="90">
        <f>IF($A1764="","",$A1764&amp;"|"&amp;$B1764&amp;"|"&amp;$C1764&amp;"|"&amp;$D1764)</f>
        <v/>
      </c>
    </row>
    <row r="1765">
      <c r="I1765" s="90">
        <f>IF($A1765="","",$A1765&amp;"|"&amp;$B1765&amp;"|"&amp;$C1765&amp;"|"&amp;$D1765)</f>
        <v/>
      </c>
    </row>
    <row r="1766">
      <c r="I1766" s="90">
        <f>IF($A1766="","",$A1766&amp;"|"&amp;$B1766&amp;"|"&amp;$C1766&amp;"|"&amp;$D1766)</f>
        <v/>
      </c>
    </row>
    <row r="1767">
      <c r="I1767" s="90">
        <f>IF($A1767="","",$A1767&amp;"|"&amp;$B1767&amp;"|"&amp;$C1767&amp;"|"&amp;$D1767)</f>
        <v/>
      </c>
    </row>
    <row r="1768">
      <c r="I1768" s="90">
        <f>IF($A1768="","",$A1768&amp;"|"&amp;$B1768&amp;"|"&amp;$C1768&amp;"|"&amp;$D1768)</f>
        <v/>
      </c>
    </row>
    <row r="1769">
      <c r="I1769" s="90">
        <f>IF($A1769="","",$A1769&amp;"|"&amp;$B1769&amp;"|"&amp;$C1769&amp;"|"&amp;$D1769)</f>
        <v/>
      </c>
    </row>
    <row r="1770">
      <c r="I1770" s="90">
        <f>IF($A1770="","",$A1770&amp;"|"&amp;$B1770&amp;"|"&amp;$C1770&amp;"|"&amp;$D1770)</f>
        <v/>
      </c>
    </row>
    <row r="1771">
      <c r="I1771" s="90">
        <f>IF($A1771="","",$A1771&amp;"|"&amp;$B1771&amp;"|"&amp;$C1771&amp;"|"&amp;$D1771)</f>
        <v/>
      </c>
    </row>
    <row r="1772">
      <c r="I1772" s="90">
        <f>IF($A1772="","",$A1772&amp;"|"&amp;$B1772&amp;"|"&amp;$C1772&amp;"|"&amp;$D1772)</f>
        <v/>
      </c>
    </row>
    <row r="1773">
      <c r="I1773" s="90">
        <f>IF($A1773="","",$A1773&amp;"|"&amp;$B1773&amp;"|"&amp;$C1773&amp;"|"&amp;$D1773)</f>
        <v/>
      </c>
    </row>
    <row r="1774">
      <c r="I1774" s="90">
        <f>IF($A1774="","",$A1774&amp;"|"&amp;$B1774&amp;"|"&amp;$C1774&amp;"|"&amp;$D1774)</f>
        <v/>
      </c>
    </row>
    <row r="1775">
      <c r="I1775" s="90">
        <f>IF($A1775="","",$A1775&amp;"|"&amp;$B1775&amp;"|"&amp;$C1775&amp;"|"&amp;$D1775)</f>
        <v/>
      </c>
    </row>
    <row r="1776">
      <c r="I1776" s="90">
        <f>IF($A1776="","",$A1776&amp;"|"&amp;$B1776&amp;"|"&amp;$C1776&amp;"|"&amp;$D1776)</f>
        <v/>
      </c>
    </row>
    <row r="1777">
      <c r="I1777" s="90">
        <f>IF($A1777="","",$A1777&amp;"|"&amp;$B1777&amp;"|"&amp;$C1777&amp;"|"&amp;$D1777)</f>
        <v/>
      </c>
    </row>
    <row r="1778">
      <c r="I1778" s="90">
        <f>IF($A1778="","",$A1778&amp;"|"&amp;$B1778&amp;"|"&amp;$C1778&amp;"|"&amp;$D1778)</f>
        <v/>
      </c>
    </row>
    <row r="1779">
      <c r="I1779" s="90">
        <f>IF($A1779="","",$A1779&amp;"|"&amp;$B1779&amp;"|"&amp;$C1779&amp;"|"&amp;$D1779)</f>
        <v/>
      </c>
    </row>
    <row r="1780">
      <c r="I1780" s="90">
        <f>IF($A1780="","",$A1780&amp;"|"&amp;$B1780&amp;"|"&amp;$C1780&amp;"|"&amp;$D1780)</f>
        <v/>
      </c>
    </row>
    <row r="1781">
      <c r="I1781" s="90">
        <f>IF($A1781="","",$A1781&amp;"|"&amp;$B1781&amp;"|"&amp;$C1781&amp;"|"&amp;$D1781)</f>
        <v/>
      </c>
    </row>
    <row r="1782">
      <c r="I1782" s="90">
        <f>IF($A1782="","",$A1782&amp;"|"&amp;$B1782&amp;"|"&amp;$C1782&amp;"|"&amp;$D1782)</f>
        <v/>
      </c>
    </row>
    <row r="1783">
      <c r="I1783" s="90">
        <f>IF($A1783="","",$A1783&amp;"|"&amp;$B1783&amp;"|"&amp;$C1783&amp;"|"&amp;$D1783)</f>
        <v/>
      </c>
    </row>
    <row r="1784">
      <c r="I1784" s="90">
        <f>IF($A1784="","",$A1784&amp;"|"&amp;$B1784&amp;"|"&amp;$C1784&amp;"|"&amp;$D1784)</f>
        <v/>
      </c>
    </row>
    <row r="1785">
      <c r="I1785" s="90">
        <f>IF($A1785="","",$A1785&amp;"|"&amp;$B1785&amp;"|"&amp;$C1785&amp;"|"&amp;$D1785)</f>
        <v/>
      </c>
    </row>
    <row r="1786">
      <c r="I1786" s="90">
        <f>IF($A1786="","",$A1786&amp;"|"&amp;$B1786&amp;"|"&amp;$C1786&amp;"|"&amp;$D1786)</f>
        <v/>
      </c>
    </row>
    <row r="1787">
      <c r="I1787" s="90">
        <f>IF($A1787="","",$A1787&amp;"|"&amp;$B1787&amp;"|"&amp;$C1787&amp;"|"&amp;$D1787)</f>
        <v/>
      </c>
    </row>
    <row r="1788">
      <c r="I1788" s="90">
        <f>IF($A1788="","",$A1788&amp;"|"&amp;$B1788&amp;"|"&amp;$C1788&amp;"|"&amp;$D1788)</f>
        <v/>
      </c>
    </row>
    <row r="1789">
      <c r="I1789" s="90">
        <f>IF($A1789="","",$A1789&amp;"|"&amp;$B1789&amp;"|"&amp;$C1789&amp;"|"&amp;$D1789)</f>
        <v/>
      </c>
    </row>
    <row r="1790">
      <c r="I1790" s="90">
        <f>IF($A1790="","",$A1790&amp;"|"&amp;$B1790&amp;"|"&amp;$C1790&amp;"|"&amp;$D1790)</f>
        <v/>
      </c>
    </row>
    <row r="1791">
      <c r="I1791" s="90">
        <f>IF($A1791="","",$A1791&amp;"|"&amp;$B1791&amp;"|"&amp;$C1791&amp;"|"&amp;$D1791)</f>
        <v/>
      </c>
    </row>
    <row r="1792">
      <c r="I1792" s="90">
        <f>IF($A1792="","",$A1792&amp;"|"&amp;$B1792&amp;"|"&amp;$C1792&amp;"|"&amp;$D1792)</f>
        <v/>
      </c>
    </row>
    <row r="1793">
      <c r="I1793" s="90">
        <f>IF($A1793="","",$A1793&amp;"|"&amp;$B1793&amp;"|"&amp;$C1793&amp;"|"&amp;$D1793)</f>
        <v/>
      </c>
    </row>
    <row r="1794">
      <c r="I1794" s="90">
        <f>IF($A1794="","",$A1794&amp;"|"&amp;$B1794&amp;"|"&amp;$C1794&amp;"|"&amp;$D1794)</f>
        <v/>
      </c>
    </row>
    <row r="1795">
      <c r="I1795" s="90">
        <f>IF($A1795="","",$A1795&amp;"|"&amp;$B1795&amp;"|"&amp;$C1795&amp;"|"&amp;$D1795)</f>
        <v/>
      </c>
    </row>
    <row r="1796">
      <c r="I1796" s="90">
        <f>IF($A1796="","",$A1796&amp;"|"&amp;$B1796&amp;"|"&amp;$C1796&amp;"|"&amp;$D1796)</f>
        <v/>
      </c>
    </row>
    <row r="1797">
      <c r="I1797" s="90">
        <f>IF($A1797="","",$A1797&amp;"|"&amp;$B1797&amp;"|"&amp;$C1797&amp;"|"&amp;$D1797)</f>
        <v/>
      </c>
    </row>
    <row r="1798">
      <c r="I1798" s="90">
        <f>IF($A1798="","",$A1798&amp;"|"&amp;$B1798&amp;"|"&amp;$C1798&amp;"|"&amp;$D1798)</f>
        <v/>
      </c>
    </row>
    <row r="1799">
      <c r="I1799" s="90">
        <f>IF($A1799="","",$A1799&amp;"|"&amp;$B1799&amp;"|"&amp;$C1799&amp;"|"&amp;$D1799)</f>
        <v/>
      </c>
    </row>
    <row r="1800">
      <c r="I1800" s="90">
        <f>IF($A1800="","",$A1800&amp;"|"&amp;$B1800&amp;"|"&amp;$C1800&amp;"|"&amp;$D1800)</f>
        <v/>
      </c>
    </row>
    <row r="1801">
      <c r="I1801" s="90">
        <f>IF($A1801="","",$A1801&amp;"|"&amp;$B1801&amp;"|"&amp;$C1801&amp;"|"&amp;$D1801)</f>
        <v/>
      </c>
    </row>
    <row r="1802">
      <c r="I1802" s="90">
        <f>IF($A1802="","",$A1802&amp;"|"&amp;$B1802&amp;"|"&amp;$C1802&amp;"|"&amp;$D1802)</f>
        <v/>
      </c>
    </row>
    <row r="1803">
      <c r="I1803" s="90">
        <f>IF($A1803="","",$A1803&amp;"|"&amp;$B1803&amp;"|"&amp;$C1803&amp;"|"&amp;$D1803)</f>
        <v/>
      </c>
    </row>
    <row r="1804">
      <c r="I1804" s="90">
        <f>IF($A1804="","",$A1804&amp;"|"&amp;$B1804&amp;"|"&amp;$C1804&amp;"|"&amp;$D1804)</f>
        <v/>
      </c>
    </row>
    <row r="1805">
      <c r="I1805" s="90">
        <f>IF($A1805="","",$A1805&amp;"|"&amp;$B1805&amp;"|"&amp;$C1805&amp;"|"&amp;$D1805)</f>
        <v/>
      </c>
    </row>
    <row r="1806">
      <c r="I1806" s="90">
        <f>IF($A1806="","",$A1806&amp;"|"&amp;$B1806&amp;"|"&amp;$C1806&amp;"|"&amp;$D1806)</f>
        <v/>
      </c>
    </row>
    <row r="1807">
      <c r="I1807" s="90">
        <f>IF($A1807="","",$A1807&amp;"|"&amp;$B1807&amp;"|"&amp;$C1807&amp;"|"&amp;$D1807)</f>
        <v/>
      </c>
    </row>
    <row r="1808">
      <c r="I1808" s="90">
        <f>IF($A1808="","",$A1808&amp;"|"&amp;$B1808&amp;"|"&amp;$C1808&amp;"|"&amp;$D1808)</f>
        <v/>
      </c>
    </row>
    <row r="1809">
      <c r="I1809" s="90">
        <f>IF($A1809="","",$A1809&amp;"|"&amp;$B1809&amp;"|"&amp;$C1809&amp;"|"&amp;$D1809)</f>
        <v/>
      </c>
    </row>
    <row r="1810">
      <c r="I1810" s="90">
        <f>IF($A1810="","",$A1810&amp;"|"&amp;$B1810&amp;"|"&amp;$C1810&amp;"|"&amp;$D1810)</f>
        <v/>
      </c>
    </row>
    <row r="1811">
      <c r="I1811" s="90">
        <f>IF($A1811="","",$A1811&amp;"|"&amp;$B1811&amp;"|"&amp;$C1811&amp;"|"&amp;$D1811)</f>
        <v/>
      </c>
    </row>
    <row r="1812">
      <c r="I1812" s="90">
        <f>IF($A1812="","",$A1812&amp;"|"&amp;$B1812&amp;"|"&amp;$C1812&amp;"|"&amp;$D1812)</f>
        <v/>
      </c>
    </row>
    <row r="1813">
      <c r="I1813" s="90">
        <f>IF($A1813="","",$A1813&amp;"|"&amp;$B1813&amp;"|"&amp;$C1813&amp;"|"&amp;$D1813)</f>
        <v/>
      </c>
    </row>
    <row r="1814">
      <c r="I1814" s="90">
        <f>IF($A1814="","",$A1814&amp;"|"&amp;$B1814&amp;"|"&amp;$C1814&amp;"|"&amp;$D1814)</f>
        <v/>
      </c>
    </row>
    <row r="1815">
      <c r="I1815" s="90">
        <f>IF($A1815="","",$A1815&amp;"|"&amp;$B1815&amp;"|"&amp;$C1815&amp;"|"&amp;$D1815)</f>
        <v/>
      </c>
    </row>
    <row r="1816">
      <c r="I1816" s="90">
        <f>IF($A1816="","",$A1816&amp;"|"&amp;$B1816&amp;"|"&amp;$C1816&amp;"|"&amp;$D1816)</f>
        <v/>
      </c>
    </row>
    <row r="1817">
      <c r="I1817" s="90">
        <f>IF($A1817="","",$A1817&amp;"|"&amp;$B1817&amp;"|"&amp;$C1817&amp;"|"&amp;$D1817)</f>
        <v/>
      </c>
    </row>
    <row r="1818">
      <c r="I1818" s="90">
        <f>IF($A1818="","",$A1818&amp;"|"&amp;$B1818&amp;"|"&amp;$C1818&amp;"|"&amp;$D1818)</f>
        <v/>
      </c>
    </row>
    <row r="1819">
      <c r="I1819" s="90">
        <f>IF($A1819="","",$A1819&amp;"|"&amp;$B1819&amp;"|"&amp;$C1819&amp;"|"&amp;$D1819)</f>
        <v/>
      </c>
    </row>
    <row r="1820">
      <c r="I1820" s="90">
        <f>IF($A1820="","",$A1820&amp;"|"&amp;$B1820&amp;"|"&amp;$C1820&amp;"|"&amp;$D1820)</f>
        <v/>
      </c>
    </row>
    <row r="1821">
      <c r="I1821" s="90">
        <f>IF($A1821="","",$A1821&amp;"|"&amp;$B1821&amp;"|"&amp;$C1821&amp;"|"&amp;$D1821)</f>
        <v/>
      </c>
    </row>
    <row r="1822">
      <c r="I1822" s="90">
        <f>IF($A1822="","",$A1822&amp;"|"&amp;$B1822&amp;"|"&amp;$C1822&amp;"|"&amp;$D1822)</f>
        <v/>
      </c>
    </row>
    <row r="1823">
      <c r="I1823" s="90">
        <f>IF($A1823="","",$A1823&amp;"|"&amp;$B1823&amp;"|"&amp;$C1823&amp;"|"&amp;$D1823)</f>
        <v/>
      </c>
    </row>
    <row r="1824">
      <c r="I1824" s="90">
        <f>IF($A1824="","",$A1824&amp;"|"&amp;$B1824&amp;"|"&amp;$C1824&amp;"|"&amp;$D1824)</f>
        <v/>
      </c>
    </row>
    <row r="1825">
      <c r="I1825" s="90">
        <f>IF($A1825="","",$A1825&amp;"|"&amp;$B1825&amp;"|"&amp;$C1825&amp;"|"&amp;$D1825)</f>
        <v/>
      </c>
    </row>
    <row r="1826">
      <c r="I1826" s="90">
        <f>IF($A1826="","",$A1826&amp;"|"&amp;$B1826&amp;"|"&amp;$C1826&amp;"|"&amp;$D1826)</f>
        <v/>
      </c>
    </row>
    <row r="1827">
      <c r="I1827" s="90">
        <f>IF($A1827="","",$A1827&amp;"|"&amp;$B1827&amp;"|"&amp;$C1827&amp;"|"&amp;$D1827)</f>
        <v/>
      </c>
    </row>
    <row r="1828">
      <c r="I1828" s="90">
        <f>IF($A1828="","",$A1828&amp;"|"&amp;$B1828&amp;"|"&amp;$C1828&amp;"|"&amp;$D1828)</f>
        <v/>
      </c>
    </row>
    <row r="1829">
      <c r="I1829" s="90">
        <f>IF($A1829="","",$A1829&amp;"|"&amp;$B1829&amp;"|"&amp;$C1829&amp;"|"&amp;$D1829)</f>
        <v/>
      </c>
    </row>
    <row r="1830">
      <c r="I1830" s="90">
        <f>IF($A1830="","",$A1830&amp;"|"&amp;$B1830&amp;"|"&amp;$C1830&amp;"|"&amp;$D1830)</f>
        <v/>
      </c>
    </row>
    <row r="1831">
      <c r="I1831" s="90">
        <f>IF($A1831="","",$A1831&amp;"|"&amp;$B1831&amp;"|"&amp;$C1831&amp;"|"&amp;$D1831)</f>
        <v/>
      </c>
    </row>
    <row r="1832">
      <c r="I1832" s="90">
        <f>IF($A1832="","",$A1832&amp;"|"&amp;$B1832&amp;"|"&amp;$C1832&amp;"|"&amp;$D1832)</f>
        <v/>
      </c>
    </row>
    <row r="1833">
      <c r="I1833" s="90">
        <f>IF($A1833="","",$A1833&amp;"|"&amp;$B1833&amp;"|"&amp;$C1833&amp;"|"&amp;$D1833)</f>
        <v/>
      </c>
    </row>
    <row r="1834">
      <c r="I1834" s="90">
        <f>IF($A1834="","",$A1834&amp;"|"&amp;$B1834&amp;"|"&amp;$C1834&amp;"|"&amp;$D1834)</f>
        <v/>
      </c>
    </row>
    <row r="1835">
      <c r="I1835" s="90">
        <f>IF($A1835="","",$A1835&amp;"|"&amp;$B1835&amp;"|"&amp;$C1835&amp;"|"&amp;$D1835)</f>
        <v/>
      </c>
    </row>
    <row r="1836">
      <c r="I1836" s="90">
        <f>IF($A1836="","",$A1836&amp;"|"&amp;$B1836&amp;"|"&amp;$C1836&amp;"|"&amp;$D1836)</f>
        <v/>
      </c>
    </row>
    <row r="1837">
      <c r="I1837" s="90">
        <f>IF($A1837="","",$A1837&amp;"|"&amp;$B1837&amp;"|"&amp;$C1837&amp;"|"&amp;$D1837)</f>
        <v/>
      </c>
    </row>
    <row r="1838">
      <c r="I1838" s="90">
        <f>IF($A1838="","",$A1838&amp;"|"&amp;$B1838&amp;"|"&amp;$C1838&amp;"|"&amp;$D1838)</f>
        <v/>
      </c>
    </row>
    <row r="1839">
      <c r="I1839" s="90">
        <f>IF($A1839="","",$A1839&amp;"|"&amp;$B1839&amp;"|"&amp;$C1839&amp;"|"&amp;$D1839)</f>
        <v/>
      </c>
    </row>
    <row r="1840">
      <c r="I1840" s="90">
        <f>IF($A1840="","",$A1840&amp;"|"&amp;$B1840&amp;"|"&amp;$C1840&amp;"|"&amp;$D1840)</f>
        <v/>
      </c>
    </row>
    <row r="1841">
      <c r="I1841" s="90">
        <f>IF($A1841="","",$A1841&amp;"|"&amp;$B1841&amp;"|"&amp;$C1841&amp;"|"&amp;$D1841)</f>
        <v/>
      </c>
    </row>
    <row r="1842">
      <c r="I1842" s="90">
        <f>IF($A1842="","",$A1842&amp;"|"&amp;$B1842&amp;"|"&amp;$C1842&amp;"|"&amp;$D1842)</f>
        <v/>
      </c>
    </row>
    <row r="1843">
      <c r="I1843" s="90">
        <f>IF($A1843="","",$A1843&amp;"|"&amp;$B1843&amp;"|"&amp;$C1843&amp;"|"&amp;$D1843)</f>
        <v/>
      </c>
    </row>
    <row r="1844">
      <c r="I1844" s="90">
        <f>IF($A1844="","",$A1844&amp;"|"&amp;$B1844&amp;"|"&amp;$C1844&amp;"|"&amp;$D1844)</f>
        <v/>
      </c>
    </row>
    <row r="1845">
      <c r="I1845" s="90">
        <f>IF($A1845="","",$A1845&amp;"|"&amp;$B1845&amp;"|"&amp;$C1845&amp;"|"&amp;$D1845)</f>
        <v/>
      </c>
    </row>
    <row r="1846">
      <c r="I1846" s="90">
        <f>IF($A1846="","",$A1846&amp;"|"&amp;$B1846&amp;"|"&amp;$C1846&amp;"|"&amp;$D1846)</f>
        <v/>
      </c>
    </row>
    <row r="1847">
      <c r="I1847" s="90">
        <f>IF($A1847="","",$A1847&amp;"|"&amp;$B1847&amp;"|"&amp;$C1847&amp;"|"&amp;$D1847)</f>
        <v/>
      </c>
    </row>
    <row r="1848">
      <c r="I1848" s="90">
        <f>IF($A1848="","",$A1848&amp;"|"&amp;$B1848&amp;"|"&amp;$C1848&amp;"|"&amp;$D1848)</f>
        <v/>
      </c>
    </row>
    <row r="1849">
      <c r="I1849" s="90">
        <f>IF($A1849="","",$A1849&amp;"|"&amp;$B1849&amp;"|"&amp;$C1849&amp;"|"&amp;$D1849)</f>
        <v/>
      </c>
    </row>
    <row r="1850">
      <c r="I1850" s="90">
        <f>IF($A1850="","",$A1850&amp;"|"&amp;$B1850&amp;"|"&amp;$C1850&amp;"|"&amp;$D1850)</f>
        <v/>
      </c>
    </row>
    <row r="1851">
      <c r="I1851" s="90">
        <f>IF($A1851="","",$A1851&amp;"|"&amp;$B1851&amp;"|"&amp;$C1851&amp;"|"&amp;$D1851)</f>
        <v/>
      </c>
    </row>
    <row r="1852">
      <c r="I1852" s="90">
        <f>IF($A1852="","",$A1852&amp;"|"&amp;$B1852&amp;"|"&amp;$C1852&amp;"|"&amp;$D1852)</f>
        <v/>
      </c>
    </row>
    <row r="1853">
      <c r="I1853" s="90">
        <f>IF($A1853="","",$A1853&amp;"|"&amp;$B1853&amp;"|"&amp;$C1853&amp;"|"&amp;$D1853)</f>
        <v/>
      </c>
    </row>
    <row r="1854">
      <c r="I1854" s="90">
        <f>IF($A1854="","",$A1854&amp;"|"&amp;$B1854&amp;"|"&amp;$C1854&amp;"|"&amp;$D1854)</f>
        <v/>
      </c>
    </row>
    <row r="1855">
      <c r="I1855" s="90">
        <f>IF($A1855="","",$A1855&amp;"|"&amp;$B1855&amp;"|"&amp;$C1855&amp;"|"&amp;$D1855)</f>
        <v/>
      </c>
    </row>
    <row r="1856">
      <c r="I1856" s="90">
        <f>IF($A1856="","",$A1856&amp;"|"&amp;$B1856&amp;"|"&amp;$C1856&amp;"|"&amp;$D1856)</f>
        <v/>
      </c>
    </row>
    <row r="1857">
      <c r="I1857" s="90">
        <f>IF($A1857="","",$A1857&amp;"|"&amp;$B1857&amp;"|"&amp;$C1857&amp;"|"&amp;$D1857)</f>
        <v/>
      </c>
    </row>
    <row r="1858">
      <c r="I1858" s="90">
        <f>IF($A1858="","",$A1858&amp;"|"&amp;$B1858&amp;"|"&amp;$C1858&amp;"|"&amp;$D1858)</f>
        <v/>
      </c>
    </row>
    <row r="1859">
      <c r="I1859" s="90">
        <f>IF($A1859="","",$A1859&amp;"|"&amp;$B1859&amp;"|"&amp;$C1859&amp;"|"&amp;$D1859)</f>
        <v/>
      </c>
    </row>
    <row r="1860">
      <c r="I1860" s="90">
        <f>IF($A1860="","",$A1860&amp;"|"&amp;$B1860&amp;"|"&amp;$C1860&amp;"|"&amp;$D1860)</f>
        <v/>
      </c>
    </row>
    <row r="1861">
      <c r="I1861" s="90">
        <f>IF($A1861="","",$A1861&amp;"|"&amp;$B1861&amp;"|"&amp;$C1861&amp;"|"&amp;$D1861)</f>
        <v/>
      </c>
    </row>
    <row r="1862">
      <c r="I1862" s="90">
        <f>IF($A1862="","",$A1862&amp;"|"&amp;$B1862&amp;"|"&amp;$C1862&amp;"|"&amp;$D1862)</f>
        <v/>
      </c>
    </row>
    <row r="1863">
      <c r="I1863" s="90">
        <f>IF($A1863="","",$A1863&amp;"|"&amp;$B1863&amp;"|"&amp;$C1863&amp;"|"&amp;$D1863)</f>
        <v/>
      </c>
    </row>
    <row r="1864">
      <c r="I1864" s="90">
        <f>IF($A1864="","",$A1864&amp;"|"&amp;$B1864&amp;"|"&amp;$C1864&amp;"|"&amp;$D1864)</f>
        <v/>
      </c>
    </row>
    <row r="1865">
      <c r="I1865" s="90">
        <f>IF($A1865="","",$A1865&amp;"|"&amp;$B1865&amp;"|"&amp;$C1865&amp;"|"&amp;$D1865)</f>
        <v/>
      </c>
    </row>
    <row r="1866">
      <c r="I1866" s="90">
        <f>IF($A1866="","",$A1866&amp;"|"&amp;$B1866&amp;"|"&amp;$C1866&amp;"|"&amp;$D1866)</f>
        <v/>
      </c>
    </row>
    <row r="1867">
      <c r="I1867" s="90">
        <f>IF($A1867="","",$A1867&amp;"|"&amp;$B1867&amp;"|"&amp;$C1867&amp;"|"&amp;$D1867)</f>
        <v/>
      </c>
    </row>
    <row r="1868">
      <c r="I1868" s="90">
        <f>IF($A1868="","",$A1868&amp;"|"&amp;$B1868&amp;"|"&amp;$C1868&amp;"|"&amp;$D1868)</f>
        <v/>
      </c>
    </row>
    <row r="1869">
      <c r="I1869" s="90">
        <f>IF($A1869="","",$A1869&amp;"|"&amp;$B1869&amp;"|"&amp;$C1869&amp;"|"&amp;$D1869)</f>
        <v/>
      </c>
    </row>
    <row r="1870">
      <c r="I1870" s="90">
        <f>IF($A1870="","",$A1870&amp;"|"&amp;$B1870&amp;"|"&amp;$C1870&amp;"|"&amp;$D1870)</f>
        <v/>
      </c>
    </row>
    <row r="1871">
      <c r="I1871" s="90">
        <f>IF($A1871="","",$A1871&amp;"|"&amp;$B1871&amp;"|"&amp;$C1871&amp;"|"&amp;$D1871)</f>
        <v/>
      </c>
    </row>
    <row r="1872">
      <c r="I1872" s="90">
        <f>IF($A1872="","",$A1872&amp;"|"&amp;$B1872&amp;"|"&amp;$C1872&amp;"|"&amp;$D1872)</f>
        <v/>
      </c>
    </row>
    <row r="1873">
      <c r="I1873" s="90">
        <f>IF($A1873="","",$A1873&amp;"|"&amp;$B1873&amp;"|"&amp;$C1873&amp;"|"&amp;$D1873)</f>
        <v/>
      </c>
    </row>
    <row r="1874">
      <c r="I1874" s="90">
        <f>IF($A1874="","",$A1874&amp;"|"&amp;$B1874&amp;"|"&amp;$C1874&amp;"|"&amp;$D1874)</f>
        <v/>
      </c>
    </row>
    <row r="1875">
      <c r="I1875" s="90">
        <f>IF($A1875="","",$A1875&amp;"|"&amp;$B1875&amp;"|"&amp;$C1875&amp;"|"&amp;$D1875)</f>
        <v/>
      </c>
    </row>
    <row r="1876">
      <c r="I1876" s="90">
        <f>IF($A1876="","",$A1876&amp;"|"&amp;$B1876&amp;"|"&amp;$C1876&amp;"|"&amp;$D1876)</f>
        <v/>
      </c>
    </row>
    <row r="1877">
      <c r="I1877" s="90">
        <f>IF($A1877="","",$A1877&amp;"|"&amp;$B1877&amp;"|"&amp;$C1877&amp;"|"&amp;$D1877)</f>
        <v/>
      </c>
    </row>
    <row r="1878">
      <c r="I1878" s="90">
        <f>IF($A1878="","",$A1878&amp;"|"&amp;$B1878&amp;"|"&amp;$C1878&amp;"|"&amp;$D1878)</f>
        <v/>
      </c>
    </row>
    <row r="1879">
      <c r="I1879" s="90">
        <f>IF($A1879="","",$A1879&amp;"|"&amp;$B1879&amp;"|"&amp;$C1879&amp;"|"&amp;$D1879)</f>
        <v/>
      </c>
    </row>
    <row r="1880">
      <c r="I1880" s="90">
        <f>IF($A1880="","",$A1880&amp;"|"&amp;$B1880&amp;"|"&amp;$C1880&amp;"|"&amp;$D1880)</f>
        <v/>
      </c>
    </row>
    <row r="1881">
      <c r="I1881" s="90">
        <f>IF($A1881="","",$A1881&amp;"|"&amp;$B1881&amp;"|"&amp;$C1881&amp;"|"&amp;$D1881)</f>
        <v/>
      </c>
    </row>
    <row r="1882">
      <c r="I1882" s="90">
        <f>IF($A1882="","",$A1882&amp;"|"&amp;$B1882&amp;"|"&amp;$C1882&amp;"|"&amp;$D1882)</f>
        <v/>
      </c>
    </row>
    <row r="1883">
      <c r="I1883" s="90">
        <f>IF($A1883="","",$A1883&amp;"|"&amp;$B1883&amp;"|"&amp;$C1883&amp;"|"&amp;$D1883)</f>
        <v/>
      </c>
    </row>
    <row r="1884">
      <c r="I1884" s="90">
        <f>IF($A1884="","",$A1884&amp;"|"&amp;$B1884&amp;"|"&amp;$C1884&amp;"|"&amp;$D1884)</f>
        <v/>
      </c>
    </row>
    <row r="1885">
      <c r="I1885" s="90">
        <f>IF($A1885="","",$A1885&amp;"|"&amp;$B1885&amp;"|"&amp;$C1885&amp;"|"&amp;$D1885)</f>
        <v/>
      </c>
    </row>
    <row r="1886">
      <c r="I1886" s="90">
        <f>IF($A1886="","",$A1886&amp;"|"&amp;$B1886&amp;"|"&amp;$C1886&amp;"|"&amp;$D1886)</f>
        <v/>
      </c>
    </row>
    <row r="1887">
      <c r="I1887" s="90">
        <f>IF($A1887="","",$A1887&amp;"|"&amp;$B1887&amp;"|"&amp;$C1887&amp;"|"&amp;$D1887)</f>
        <v/>
      </c>
    </row>
    <row r="1888">
      <c r="I1888" s="90">
        <f>IF($A1888="","",$A1888&amp;"|"&amp;$B1888&amp;"|"&amp;$C1888&amp;"|"&amp;$D1888)</f>
        <v/>
      </c>
    </row>
    <row r="1889">
      <c r="I1889" s="90">
        <f>IF($A1889="","",$A1889&amp;"|"&amp;$B1889&amp;"|"&amp;$C1889&amp;"|"&amp;$D1889)</f>
        <v/>
      </c>
    </row>
    <row r="1890">
      <c r="I1890" s="90">
        <f>IF($A1890="","",$A1890&amp;"|"&amp;$B1890&amp;"|"&amp;$C1890&amp;"|"&amp;$D1890)</f>
        <v/>
      </c>
    </row>
    <row r="1891">
      <c r="I1891" s="90">
        <f>IF($A1891="","",$A1891&amp;"|"&amp;$B1891&amp;"|"&amp;$C1891&amp;"|"&amp;$D1891)</f>
        <v/>
      </c>
    </row>
    <row r="1892">
      <c r="I1892" s="90">
        <f>IF($A1892="","",$A1892&amp;"|"&amp;$B1892&amp;"|"&amp;$C1892&amp;"|"&amp;$D1892)</f>
        <v/>
      </c>
    </row>
    <row r="1893">
      <c r="I1893" s="90">
        <f>IF($A1893="","",$A1893&amp;"|"&amp;$B1893&amp;"|"&amp;$C1893&amp;"|"&amp;$D1893)</f>
        <v/>
      </c>
    </row>
    <row r="1894">
      <c r="I1894" s="90">
        <f>IF($A1894="","",$A1894&amp;"|"&amp;$B1894&amp;"|"&amp;$C1894&amp;"|"&amp;$D1894)</f>
        <v/>
      </c>
    </row>
    <row r="1895">
      <c r="I1895" s="90">
        <f>IF($A1895="","",$A1895&amp;"|"&amp;$B1895&amp;"|"&amp;$C1895&amp;"|"&amp;$D1895)</f>
        <v/>
      </c>
    </row>
    <row r="1896">
      <c r="I1896" s="90">
        <f>IF($A1896="","",$A1896&amp;"|"&amp;$B1896&amp;"|"&amp;$C1896&amp;"|"&amp;$D1896)</f>
        <v/>
      </c>
    </row>
    <row r="1897">
      <c r="I1897" s="90">
        <f>IF($A1897="","",$A1897&amp;"|"&amp;$B1897&amp;"|"&amp;$C1897&amp;"|"&amp;$D1897)</f>
        <v/>
      </c>
    </row>
    <row r="1898">
      <c r="I1898" s="90">
        <f>IF($A1898="","",$A1898&amp;"|"&amp;$B1898&amp;"|"&amp;$C1898&amp;"|"&amp;$D1898)</f>
        <v/>
      </c>
    </row>
    <row r="1899">
      <c r="I1899" s="90">
        <f>IF($A1899="","",$A1899&amp;"|"&amp;$B1899&amp;"|"&amp;$C1899&amp;"|"&amp;$D1899)</f>
        <v/>
      </c>
    </row>
    <row r="1900">
      <c r="I1900" s="90">
        <f>IF($A1900="","",$A1900&amp;"|"&amp;$B1900&amp;"|"&amp;$C1900&amp;"|"&amp;$D1900)</f>
        <v/>
      </c>
    </row>
    <row r="1901">
      <c r="I1901" s="90">
        <f>IF($A1901="","",$A1901&amp;"|"&amp;$B1901&amp;"|"&amp;$C1901&amp;"|"&amp;$D1901)</f>
        <v/>
      </c>
    </row>
    <row r="1902">
      <c r="I1902" s="90">
        <f>IF($A1902="","",$A1902&amp;"|"&amp;$B1902&amp;"|"&amp;$C1902&amp;"|"&amp;$D1902)</f>
        <v/>
      </c>
    </row>
    <row r="1903">
      <c r="I1903" s="90">
        <f>IF($A1903="","",$A1903&amp;"|"&amp;$B1903&amp;"|"&amp;$C1903&amp;"|"&amp;$D1903)</f>
        <v/>
      </c>
    </row>
    <row r="1904">
      <c r="I1904" s="90">
        <f>IF($A1904="","",$A1904&amp;"|"&amp;$B1904&amp;"|"&amp;$C1904&amp;"|"&amp;$D1904)</f>
        <v/>
      </c>
    </row>
    <row r="1905">
      <c r="I1905" s="90">
        <f>IF($A1905="","",$A1905&amp;"|"&amp;$B1905&amp;"|"&amp;$C1905&amp;"|"&amp;$D1905)</f>
        <v/>
      </c>
    </row>
    <row r="1906">
      <c r="I1906" s="90">
        <f>IF($A1906="","",$A1906&amp;"|"&amp;$B1906&amp;"|"&amp;$C1906&amp;"|"&amp;$D1906)</f>
        <v/>
      </c>
    </row>
    <row r="1907">
      <c r="I1907" s="90">
        <f>IF($A1907="","",$A1907&amp;"|"&amp;$B1907&amp;"|"&amp;$C1907&amp;"|"&amp;$D1907)</f>
        <v/>
      </c>
    </row>
    <row r="1908">
      <c r="I1908" s="90">
        <f>IF($A1908="","",$A1908&amp;"|"&amp;$B1908&amp;"|"&amp;$C1908&amp;"|"&amp;$D1908)</f>
        <v/>
      </c>
    </row>
    <row r="1909">
      <c r="I1909" s="90">
        <f>IF($A1909="","",$A1909&amp;"|"&amp;$B1909&amp;"|"&amp;$C1909&amp;"|"&amp;$D1909)</f>
        <v/>
      </c>
    </row>
    <row r="1910">
      <c r="I1910" s="90">
        <f>IF($A1910="","",$A1910&amp;"|"&amp;$B1910&amp;"|"&amp;$C1910&amp;"|"&amp;$D1910)</f>
        <v/>
      </c>
    </row>
    <row r="1911">
      <c r="I1911" s="90">
        <f>IF($A1911="","",$A1911&amp;"|"&amp;$B1911&amp;"|"&amp;$C1911&amp;"|"&amp;$D1911)</f>
        <v/>
      </c>
    </row>
    <row r="1912">
      <c r="I1912" s="90">
        <f>IF($A1912="","",$A1912&amp;"|"&amp;$B1912&amp;"|"&amp;$C1912&amp;"|"&amp;$D1912)</f>
        <v/>
      </c>
    </row>
    <row r="1913">
      <c r="I1913" s="90">
        <f>IF($A1913="","",$A1913&amp;"|"&amp;$B1913&amp;"|"&amp;$C1913&amp;"|"&amp;$D1913)</f>
        <v/>
      </c>
    </row>
    <row r="1914">
      <c r="I1914" s="90">
        <f>IF($A1914="","",$A1914&amp;"|"&amp;$B1914&amp;"|"&amp;$C1914&amp;"|"&amp;$D1914)</f>
        <v/>
      </c>
    </row>
    <row r="1915">
      <c r="I1915" s="90">
        <f>IF($A1915="","",$A1915&amp;"|"&amp;$B1915&amp;"|"&amp;$C1915&amp;"|"&amp;$D1915)</f>
        <v/>
      </c>
    </row>
    <row r="1916">
      <c r="I1916" s="90">
        <f>IF($A1916="","",$A1916&amp;"|"&amp;$B1916&amp;"|"&amp;$C1916&amp;"|"&amp;$D1916)</f>
        <v/>
      </c>
    </row>
    <row r="1917">
      <c r="I1917" s="90">
        <f>IF($A1917="","",$A1917&amp;"|"&amp;$B1917&amp;"|"&amp;$C1917&amp;"|"&amp;$D1917)</f>
        <v/>
      </c>
    </row>
    <row r="1918">
      <c r="I1918" s="90">
        <f>IF($A1918="","",$A1918&amp;"|"&amp;$B1918&amp;"|"&amp;$C1918&amp;"|"&amp;$D1918)</f>
        <v/>
      </c>
    </row>
    <row r="1919">
      <c r="I1919" s="90">
        <f>IF($A1919="","",$A1919&amp;"|"&amp;$B1919&amp;"|"&amp;$C1919&amp;"|"&amp;$D1919)</f>
        <v/>
      </c>
    </row>
    <row r="1920">
      <c r="I1920" s="90">
        <f>IF($A1920="","",$A1920&amp;"|"&amp;$B1920&amp;"|"&amp;$C1920&amp;"|"&amp;$D1920)</f>
        <v/>
      </c>
    </row>
    <row r="1921">
      <c r="I1921" s="90">
        <f>IF($A1921="","",$A1921&amp;"|"&amp;$B1921&amp;"|"&amp;$C1921&amp;"|"&amp;$D1921)</f>
        <v/>
      </c>
    </row>
    <row r="1922">
      <c r="I1922" s="90">
        <f>IF($A1922="","",$A1922&amp;"|"&amp;$B1922&amp;"|"&amp;$C1922&amp;"|"&amp;$D1922)</f>
        <v/>
      </c>
    </row>
    <row r="1923">
      <c r="I1923" s="90">
        <f>IF($A1923="","",$A1923&amp;"|"&amp;$B1923&amp;"|"&amp;$C1923&amp;"|"&amp;$D1923)</f>
        <v/>
      </c>
    </row>
    <row r="1924">
      <c r="I1924" s="90">
        <f>IF($A1924="","",$A1924&amp;"|"&amp;$B1924&amp;"|"&amp;$C1924&amp;"|"&amp;$D1924)</f>
        <v/>
      </c>
    </row>
    <row r="1925">
      <c r="I1925" s="90">
        <f>IF($A1925="","",$A1925&amp;"|"&amp;$B1925&amp;"|"&amp;$C1925&amp;"|"&amp;$D1925)</f>
        <v/>
      </c>
    </row>
    <row r="1926">
      <c r="I1926" s="90">
        <f>IF($A1926="","",$A1926&amp;"|"&amp;$B1926&amp;"|"&amp;$C1926&amp;"|"&amp;$D1926)</f>
        <v/>
      </c>
    </row>
    <row r="1927">
      <c r="I1927" s="90">
        <f>IF($A1927="","",$A1927&amp;"|"&amp;$B1927&amp;"|"&amp;$C1927&amp;"|"&amp;$D1927)</f>
        <v/>
      </c>
    </row>
    <row r="1928">
      <c r="I1928" s="90">
        <f>IF($A1928="","",$A1928&amp;"|"&amp;$B1928&amp;"|"&amp;$C1928&amp;"|"&amp;$D1928)</f>
        <v/>
      </c>
    </row>
    <row r="1929">
      <c r="I1929" s="90">
        <f>IF($A1929="","",$A1929&amp;"|"&amp;$B1929&amp;"|"&amp;$C1929&amp;"|"&amp;$D1929)</f>
        <v/>
      </c>
    </row>
    <row r="1930">
      <c r="I1930" s="90">
        <f>IF($A1930="","",$A1930&amp;"|"&amp;$B1930&amp;"|"&amp;$C1930&amp;"|"&amp;$D1930)</f>
        <v/>
      </c>
    </row>
    <row r="1931">
      <c r="I1931" s="90">
        <f>IF($A1931="","",$A1931&amp;"|"&amp;$B1931&amp;"|"&amp;$C1931&amp;"|"&amp;$D1931)</f>
        <v/>
      </c>
    </row>
    <row r="1932">
      <c r="I1932" s="90">
        <f>IF($A1932="","",$A1932&amp;"|"&amp;$B1932&amp;"|"&amp;$C1932&amp;"|"&amp;$D1932)</f>
        <v/>
      </c>
    </row>
    <row r="1933">
      <c r="I1933" s="90">
        <f>IF($A1933="","",$A1933&amp;"|"&amp;$B1933&amp;"|"&amp;$C1933&amp;"|"&amp;$D1933)</f>
        <v/>
      </c>
    </row>
    <row r="1934">
      <c r="I1934" s="90">
        <f>IF($A1934="","",$A1934&amp;"|"&amp;$B1934&amp;"|"&amp;$C1934&amp;"|"&amp;$D1934)</f>
        <v/>
      </c>
    </row>
    <row r="1935">
      <c r="I1935" s="90">
        <f>IF($A1935="","",$A1935&amp;"|"&amp;$B1935&amp;"|"&amp;$C1935&amp;"|"&amp;$D1935)</f>
        <v/>
      </c>
    </row>
    <row r="1936">
      <c r="I1936" s="90">
        <f>IF($A1936="","",$A1936&amp;"|"&amp;$B1936&amp;"|"&amp;$C1936&amp;"|"&amp;$D1936)</f>
        <v/>
      </c>
    </row>
    <row r="1937">
      <c r="I1937" s="90">
        <f>IF($A1937="","",$A1937&amp;"|"&amp;$B1937&amp;"|"&amp;$C1937&amp;"|"&amp;$D1937)</f>
        <v/>
      </c>
    </row>
    <row r="1938">
      <c r="I1938" s="90">
        <f>IF($A1938="","",$A1938&amp;"|"&amp;$B1938&amp;"|"&amp;$C1938&amp;"|"&amp;$D1938)</f>
        <v/>
      </c>
    </row>
    <row r="1939">
      <c r="I1939" s="90">
        <f>IF($A1939="","",$A1939&amp;"|"&amp;$B1939&amp;"|"&amp;$C1939&amp;"|"&amp;$D1939)</f>
        <v/>
      </c>
    </row>
    <row r="1940">
      <c r="I1940" s="90">
        <f>IF($A1940="","",$A1940&amp;"|"&amp;$B1940&amp;"|"&amp;$C1940&amp;"|"&amp;$D1940)</f>
        <v/>
      </c>
    </row>
    <row r="1941">
      <c r="I1941" s="90">
        <f>IF($A1941="","",$A1941&amp;"|"&amp;$B1941&amp;"|"&amp;$C1941&amp;"|"&amp;$D1941)</f>
        <v/>
      </c>
    </row>
    <row r="1942">
      <c r="I1942" s="90">
        <f>IF($A1942="","",$A1942&amp;"|"&amp;$B1942&amp;"|"&amp;$C1942&amp;"|"&amp;$D1942)</f>
        <v/>
      </c>
    </row>
    <row r="1943">
      <c r="I1943" s="90">
        <f>IF($A1943="","",$A1943&amp;"|"&amp;$B1943&amp;"|"&amp;$C1943&amp;"|"&amp;$D1943)</f>
        <v/>
      </c>
    </row>
    <row r="1944">
      <c r="I1944" s="90">
        <f>IF($A1944="","",$A1944&amp;"|"&amp;$B1944&amp;"|"&amp;$C1944&amp;"|"&amp;$D1944)</f>
        <v/>
      </c>
    </row>
    <row r="1945">
      <c r="I1945" s="90">
        <f>IF($A1945="","",$A1945&amp;"|"&amp;$B1945&amp;"|"&amp;$C1945&amp;"|"&amp;$D1945)</f>
        <v/>
      </c>
    </row>
    <row r="1946">
      <c r="I1946" s="90">
        <f>IF($A1946="","",$A1946&amp;"|"&amp;$B1946&amp;"|"&amp;$C1946&amp;"|"&amp;$D1946)</f>
        <v/>
      </c>
    </row>
    <row r="1947">
      <c r="I1947" s="90">
        <f>IF($A1947="","",$A1947&amp;"|"&amp;$B1947&amp;"|"&amp;$C1947&amp;"|"&amp;$D1947)</f>
        <v/>
      </c>
    </row>
    <row r="1948">
      <c r="I1948" s="90">
        <f>IF($A1948="","",$A1948&amp;"|"&amp;$B1948&amp;"|"&amp;$C1948&amp;"|"&amp;$D1948)</f>
        <v/>
      </c>
    </row>
    <row r="1949">
      <c r="I1949" s="90">
        <f>IF($A1949="","",$A1949&amp;"|"&amp;$B1949&amp;"|"&amp;$C1949&amp;"|"&amp;$D1949)</f>
        <v/>
      </c>
    </row>
    <row r="1950">
      <c r="I1950" s="90">
        <f>IF($A1950="","",$A1950&amp;"|"&amp;$B1950&amp;"|"&amp;$C1950&amp;"|"&amp;$D1950)</f>
        <v/>
      </c>
    </row>
    <row r="1951">
      <c r="I1951" s="90">
        <f>IF($A1951="","",$A1951&amp;"|"&amp;$B1951&amp;"|"&amp;$C1951&amp;"|"&amp;$D1951)</f>
        <v/>
      </c>
    </row>
    <row r="1952">
      <c r="I1952" s="90">
        <f>IF($A1952="","",$A1952&amp;"|"&amp;$B1952&amp;"|"&amp;$C1952&amp;"|"&amp;$D1952)</f>
        <v/>
      </c>
    </row>
    <row r="1953">
      <c r="I1953" s="90">
        <f>IF($A1953="","",$A1953&amp;"|"&amp;$B1953&amp;"|"&amp;$C1953&amp;"|"&amp;$D1953)</f>
        <v/>
      </c>
    </row>
    <row r="1954">
      <c r="I1954" s="90">
        <f>IF($A1954="","",$A1954&amp;"|"&amp;$B1954&amp;"|"&amp;$C1954&amp;"|"&amp;$D1954)</f>
        <v/>
      </c>
    </row>
    <row r="1955">
      <c r="I1955" s="90">
        <f>IF($A1955="","",$A1955&amp;"|"&amp;$B1955&amp;"|"&amp;$C1955&amp;"|"&amp;$D1955)</f>
        <v/>
      </c>
    </row>
    <row r="1956">
      <c r="I1956" s="90">
        <f>IF($A1956="","",$A1956&amp;"|"&amp;$B1956&amp;"|"&amp;$C1956&amp;"|"&amp;$D1956)</f>
        <v/>
      </c>
    </row>
    <row r="1957">
      <c r="I1957" s="90">
        <f>IF($A1957="","",$A1957&amp;"|"&amp;$B1957&amp;"|"&amp;$C1957&amp;"|"&amp;$D1957)</f>
        <v/>
      </c>
    </row>
    <row r="1958">
      <c r="I1958" s="90">
        <f>IF($A1958="","",$A1958&amp;"|"&amp;$B1958&amp;"|"&amp;$C1958&amp;"|"&amp;$D1958)</f>
        <v/>
      </c>
    </row>
    <row r="1959">
      <c r="I1959" s="90">
        <f>IF($A1959="","",$A1959&amp;"|"&amp;$B1959&amp;"|"&amp;$C1959&amp;"|"&amp;$D1959)</f>
        <v/>
      </c>
    </row>
    <row r="1960">
      <c r="I1960" s="90">
        <f>IF($A1960="","",$A1960&amp;"|"&amp;$B1960&amp;"|"&amp;$C1960&amp;"|"&amp;$D1960)</f>
        <v/>
      </c>
    </row>
    <row r="1961">
      <c r="I1961" s="90">
        <f>IF($A1961="","",$A1961&amp;"|"&amp;$B1961&amp;"|"&amp;$C1961&amp;"|"&amp;$D1961)</f>
        <v/>
      </c>
    </row>
    <row r="1962">
      <c r="I1962" s="90">
        <f>IF($A1962="","",$A1962&amp;"|"&amp;$B1962&amp;"|"&amp;$C1962&amp;"|"&amp;$D1962)</f>
        <v/>
      </c>
    </row>
    <row r="1963">
      <c r="I1963" s="90">
        <f>IF($A1963="","",$A1963&amp;"|"&amp;$B1963&amp;"|"&amp;$C1963&amp;"|"&amp;$D1963)</f>
        <v/>
      </c>
    </row>
    <row r="1964">
      <c r="I1964" s="90">
        <f>IF($A1964="","",$A1964&amp;"|"&amp;$B1964&amp;"|"&amp;$C1964&amp;"|"&amp;$D1964)</f>
        <v/>
      </c>
    </row>
    <row r="1965">
      <c r="I1965" s="90">
        <f>IF($A1965="","",$A1965&amp;"|"&amp;$B1965&amp;"|"&amp;$C1965&amp;"|"&amp;$D1965)</f>
        <v/>
      </c>
    </row>
    <row r="1966">
      <c r="I1966" s="90">
        <f>IF($A1966="","",$A1966&amp;"|"&amp;$B1966&amp;"|"&amp;$C1966&amp;"|"&amp;$D1966)</f>
        <v/>
      </c>
    </row>
    <row r="1967">
      <c r="I1967" s="90">
        <f>IF($A1967="","",$A1967&amp;"|"&amp;$B1967&amp;"|"&amp;$C1967&amp;"|"&amp;$D1967)</f>
        <v/>
      </c>
    </row>
    <row r="1968">
      <c r="I1968" s="90">
        <f>IF($A1968="","",$A1968&amp;"|"&amp;$B1968&amp;"|"&amp;$C1968&amp;"|"&amp;$D1968)</f>
        <v/>
      </c>
    </row>
    <row r="1969">
      <c r="I1969" s="90">
        <f>IF($A1969="","",$A1969&amp;"|"&amp;$B1969&amp;"|"&amp;$C1969&amp;"|"&amp;$D1969)</f>
        <v/>
      </c>
    </row>
    <row r="1970">
      <c r="I1970" s="90">
        <f>IF($A1970="","",$A1970&amp;"|"&amp;$B1970&amp;"|"&amp;$C1970&amp;"|"&amp;$D1970)</f>
        <v/>
      </c>
    </row>
    <row r="1971">
      <c r="I1971" s="90">
        <f>IF($A1971="","",$A1971&amp;"|"&amp;$B1971&amp;"|"&amp;$C1971&amp;"|"&amp;$D1971)</f>
        <v/>
      </c>
    </row>
    <row r="1972">
      <c r="I1972" s="90">
        <f>IF($A1972="","",$A1972&amp;"|"&amp;$B1972&amp;"|"&amp;$C1972&amp;"|"&amp;$D1972)</f>
        <v/>
      </c>
    </row>
    <row r="1973">
      <c r="I1973" s="90">
        <f>IF($A1973="","",$A1973&amp;"|"&amp;$B1973&amp;"|"&amp;$C1973&amp;"|"&amp;$D1973)</f>
        <v/>
      </c>
    </row>
    <row r="1974">
      <c r="I1974" s="90">
        <f>IF($A1974="","",$A1974&amp;"|"&amp;$B1974&amp;"|"&amp;$C1974&amp;"|"&amp;$D1974)</f>
        <v/>
      </c>
    </row>
    <row r="1975">
      <c r="I1975" s="90">
        <f>IF($A1975="","",$A1975&amp;"|"&amp;$B1975&amp;"|"&amp;$C1975&amp;"|"&amp;$D1975)</f>
        <v/>
      </c>
    </row>
    <row r="1976">
      <c r="I1976" s="90">
        <f>IF($A1976="","",$A1976&amp;"|"&amp;$B1976&amp;"|"&amp;$C1976&amp;"|"&amp;$D1976)</f>
        <v/>
      </c>
    </row>
    <row r="1977">
      <c r="I1977" s="90">
        <f>IF($A1977="","",$A1977&amp;"|"&amp;$B1977&amp;"|"&amp;$C1977&amp;"|"&amp;$D1977)</f>
        <v/>
      </c>
    </row>
    <row r="1978">
      <c r="I1978" s="90">
        <f>IF($A1978="","",$A1978&amp;"|"&amp;$B1978&amp;"|"&amp;$C1978&amp;"|"&amp;$D1978)</f>
        <v/>
      </c>
    </row>
    <row r="1979">
      <c r="I1979" s="90">
        <f>IF($A1979="","",$A1979&amp;"|"&amp;$B1979&amp;"|"&amp;$C1979&amp;"|"&amp;$D1979)</f>
        <v/>
      </c>
    </row>
    <row r="1980">
      <c r="I1980" s="90">
        <f>IF($A1980="","",$A1980&amp;"|"&amp;$B1980&amp;"|"&amp;$C1980&amp;"|"&amp;$D1980)</f>
        <v/>
      </c>
    </row>
    <row r="1981">
      <c r="I1981" s="90">
        <f>IF($A1981="","",$A1981&amp;"|"&amp;$B1981&amp;"|"&amp;$C1981&amp;"|"&amp;$D1981)</f>
        <v/>
      </c>
    </row>
    <row r="1982">
      <c r="I1982" s="90">
        <f>IF($A1982="","",$A1982&amp;"|"&amp;$B1982&amp;"|"&amp;$C1982&amp;"|"&amp;$D1982)</f>
        <v/>
      </c>
    </row>
    <row r="1983">
      <c r="I1983" s="90">
        <f>IF($A1983="","",$A1983&amp;"|"&amp;$B1983&amp;"|"&amp;$C1983&amp;"|"&amp;$D1983)</f>
        <v/>
      </c>
    </row>
    <row r="1984">
      <c r="I1984" s="90">
        <f>IF($A1984="","",$A1984&amp;"|"&amp;$B1984&amp;"|"&amp;$C1984&amp;"|"&amp;$D1984)</f>
        <v/>
      </c>
    </row>
    <row r="1985">
      <c r="I1985" s="90">
        <f>IF($A1985="","",$A1985&amp;"|"&amp;$B1985&amp;"|"&amp;$C1985&amp;"|"&amp;$D1985)</f>
        <v/>
      </c>
    </row>
    <row r="1986">
      <c r="I1986" s="90">
        <f>IF($A1986="","",$A1986&amp;"|"&amp;$B1986&amp;"|"&amp;$C1986&amp;"|"&amp;$D1986)</f>
        <v/>
      </c>
    </row>
    <row r="1987">
      <c r="I1987" s="90">
        <f>IF($A1987="","",$A1987&amp;"|"&amp;$B1987&amp;"|"&amp;$C1987&amp;"|"&amp;$D1987)</f>
        <v/>
      </c>
    </row>
    <row r="1988">
      <c r="I1988" s="90">
        <f>IF($A1988="","",$A1988&amp;"|"&amp;$B1988&amp;"|"&amp;$C1988&amp;"|"&amp;$D1988)</f>
        <v/>
      </c>
    </row>
    <row r="1989">
      <c r="I1989" s="90">
        <f>IF($A1989="","",$A1989&amp;"|"&amp;$B1989&amp;"|"&amp;$C1989&amp;"|"&amp;$D1989)</f>
        <v/>
      </c>
    </row>
    <row r="1990">
      <c r="I1990" s="90">
        <f>IF($A1990="","",$A1990&amp;"|"&amp;$B1990&amp;"|"&amp;$C1990&amp;"|"&amp;$D1990)</f>
        <v/>
      </c>
    </row>
    <row r="1991">
      <c r="I1991" s="90">
        <f>IF($A1991="","",$A1991&amp;"|"&amp;$B1991&amp;"|"&amp;$C1991&amp;"|"&amp;$D1991)</f>
        <v/>
      </c>
    </row>
    <row r="1992">
      <c r="I1992" s="90">
        <f>IF($A1992="","",$A1992&amp;"|"&amp;$B1992&amp;"|"&amp;$C1992&amp;"|"&amp;$D1992)</f>
        <v/>
      </c>
    </row>
    <row r="1993">
      <c r="I1993" s="90">
        <f>IF($A1993="","",$A1993&amp;"|"&amp;$B1993&amp;"|"&amp;$C1993&amp;"|"&amp;$D1993)</f>
        <v/>
      </c>
    </row>
    <row r="1994">
      <c r="I1994" s="90">
        <f>IF($A1994="","",$A1994&amp;"|"&amp;$B1994&amp;"|"&amp;$C1994&amp;"|"&amp;$D1994)</f>
        <v/>
      </c>
    </row>
    <row r="1995">
      <c r="I1995" s="90">
        <f>IF($A1995="","",$A1995&amp;"|"&amp;$B1995&amp;"|"&amp;$C1995&amp;"|"&amp;$D1995)</f>
        <v/>
      </c>
    </row>
    <row r="1996">
      <c r="I1996" s="90">
        <f>IF($A1996="","",$A1996&amp;"|"&amp;$B1996&amp;"|"&amp;$C1996&amp;"|"&amp;$D1996)</f>
        <v/>
      </c>
    </row>
    <row r="1997">
      <c r="I1997" s="90">
        <f>IF($A1997="","",$A1997&amp;"|"&amp;$B1997&amp;"|"&amp;$C1997&amp;"|"&amp;$D1997)</f>
        <v/>
      </c>
    </row>
    <row r="1998">
      <c r="I1998" s="90">
        <f>IF($A1998="","",$A1998&amp;"|"&amp;$B1998&amp;"|"&amp;$C1998&amp;"|"&amp;$D1998)</f>
        <v/>
      </c>
    </row>
    <row r="1999">
      <c r="I1999" s="90">
        <f>IF($A1999="","",$A1999&amp;"|"&amp;$B1999&amp;"|"&amp;$C1999&amp;"|"&amp;$D1999)</f>
        <v/>
      </c>
    </row>
    <row r="2000">
      <c r="I2000" s="90">
        <f>IF($A2000="","",$A2000&amp;"|"&amp;$B2000&amp;"|"&amp;$C2000&amp;"|"&amp;$D2000)</f>
        <v/>
      </c>
    </row>
    <row r="2001">
      <c r="I2001" s="90">
        <f>IF($A2001="","",$A2001&amp;"|"&amp;$B2001&amp;"|"&amp;$C2001&amp;"|"&amp;$D2001)</f>
        <v/>
      </c>
    </row>
    <row r="2002">
      <c r="I2002" s="90">
        <f>IF($A2002="","",$A2002&amp;"|"&amp;$B2002&amp;"|"&amp;$C2002&amp;"|"&amp;$D2002)</f>
        <v/>
      </c>
    </row>
    <row r="2003">
      <c r="I2003" s="90">
        <f>IF($A2003="","",$A2003&amp;"|"&amp;$B2003&amp;"|"&amp;$C2003&amp;"|"&amp;$D2003)</f>
        <v/>
      </c>
    </row>
    <row r="2004">
      <c r="I2004" s="90">
        <f>IF($A2004="","",$A2004&amp;"|"&amp;$B2004&amp;"|"&amp;$C2004&amp;"|"&amp;$D2004)</f>
        <v/>
      </c>
    </row>
  </sheetData>
  <dataValidations count="1">
    <dataValidation sqref="E5:E2004" showDropDown="0" showInputMessage="0" showErrorMessage="0" allowBlank="1" type="list">
      <formula1>"일회성 대형,신규 거래처,단가 인상,계상 시점 이동,정정·역분개,재분류,연간 일괄 계상,물량 증가,기타"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52" customWidth="1" min="7" max="7"/>
    <col width="12" customWidth="1" min="8" max="8"/>
    <col width="10" customWidth="1" min="9" max="9"/>
  </cols>
  <sheetData>
    <row r="1">
      <c r="A1" s="1" t="inlineStr">
        <is>
          <t>TRACE · 적요 키워드 사전</t>
        </is>
      </c>
    </row>
    <row r="2">
      <c r="A2" s="2" t="inlineStr">
        <is>
          <t>원인분석의 '키워드' 패턴이 사용 · 확인된 표현을 계속 추가하세요 (빈 칸은 무시)</t>
        </is>
      </c>
    </row>
    <row r="3">
      <c r="A3" s="38">
        <f>"현재 원인분석 선택: "&amp;원인분석!$E$9</f>
        <v/>
      </c>
    </row>
    <row r="4" ht="30" customHeight="1">
      <c r="A4" s="4" t="inlineStr">
        <is>
          <t>원인 유형</t>
        </is>
      </c>
      <c r="B4" s="4" t="inlineStr">
        <is>
          <t>키워드1</t>
        </is>
      </c>
      <c r="C4" s="4" t="inlineStr">
        <is>
          <t>키워드2</t>
        </is>
      </c>
      <c r="D4" s="4" t="inlineStr">
        <is>
          <t>키워드3</t>
        </is>
      </c>
      <c r="E4" s="4" t="inlineStr">
        <is>
          <t>키워드4</t>
        </is>
      </c>
      <c r="F4" s="4" t="inlineStr">
        <is>
          <t>키워드5</t>
        </is>
      </c>
      <c r="G4" s="4" t="inlineStr">
        <is>
          <t>원인 설명 (출력 문장에 사용)</t>
        </is>
      </c>
      <c r="H4" s="4" t="inlineStr">
        <is>
          <t>당기 해당 금액</t>
        </is>
      </c>
      <c r="I4" s="4" t="inlineStr">
        <is>
          <t>증가분 대비</t>
        </is>
      </c>
    </row>
    <row r="5">
      <c r="A5" s="91" t="inlineStr">
        <is>
          <t>연간 일괄 계상</t>
        </is>
      </c>
      <c r="B5" s="21" t="inlineStr">
        <is>
          <t>연간</t>
        </is>
      </c>
      <c r="C5" s="21" t="inlineStr">
        <is>
          <t>일시</t>
        </is>
      </c>
      <c r="D5" s="21" t="inlineStr">
        <is>
          <t>선급</t>
        </is>
      </c>
      <c r="E5" s="21" t="inlineStr">
        <is>
          <t>1년</t>
        </is>
      </c>
      <c r="F5" s="21" t="inlineStr">
        <is>
          <t>반기</t>
        </is>
      </c>
      <c r="G5" s="21" t="inlineStr">
        <is>
          <t>연간·반기 계약을 한 번에 계상했을 가능성. 월할 안분 대상인지 확인</t>
        </is>
      </c>
      <c r="H5" s="35">
        <f>IF($A5="","",SUMPRODUCT(MAX(($B5:$F5&lt;&gt;"")*SUMIFS(전표_원본!$P$5:$P$100000,전표_원본!$Q$5:$Q$100000,"당기",전표_원본!$I$5:$I$100000,"*"&amp;$B5:$F5&amp;"*"))))</f>
        <v/>
      </c>
      <c r="I5" s="60">
        <f>IF(OR($A5="",원인분석!$C$16&lt;=0),"",H5/원인분석!$C$16)</f>
        <v/>
      </c>
    </row>
    <row r="6">
      <c r="A6" s="91" t="inlineStr">
        <is>
          <t>캠페인·행사</t>
        </is>
      </c>
      <c r="B6" s="21" t="inlineStr">
        <is>
          <t>캠페인</t>
        </is>
      </c>
      <c r="C6" s="21" t="inlineStr">
        <is>
          <t>행사</t>
        </is>
      </c>
      <c r="D6" s="21" t="inlineStr">
        <is>
          <t>이벤트</t>
        </is>
      </c>
      <c r="E6" s="21" t="inlineStr">
        <is>
          <t>프로모션</t>
        </is>
      </c>
      <c r="F6" s="21" t="inlineStr">
        <is>
          <t>박람회</t>
        </is>
      </c>
      <c r="G6" s="21" t="inlineStr">
        <is>
          <t>일회성 캠페인·행사 비용일 가능성</t>
        </is>
      </c>
      <c r="H6" s="35">
        <f>IF($A6="","",SUMPRODUCT(MAX(($B6:$F6&lt;&gt;"")*SUMIFS(전표_원본!$P$5:$P$100000,전표_원본!$Q$5:$Q$100000,"당기",전표_원본!$I$5:$I$100000,"*"&amp;$B6:$F6&amp;"*"))))</f>
        <v/>
      </c>
      <c r="I6" s="60">
        <f>IF(OR($A6="",원인분석!$C$16&lt;=0),"",H6/원인분석!$C$16)</f>
        <v/>
      </c>
    </row>
    <row r="7">
      <c r="A7" s="91" t="inlineStr">
        <is>
          <t>정정·취소</t>
        </is>
      </c>
      <c r="B7" s="21" t="inlineStr">
        <is>
          <t>정정</t>
        </is>
      </c>
      <c r="C7" s="21" t="inlineStr">
        <is>
          <t>취소</t>
        </is>
      </c>
      <c r="D7" s="21" t="inlineStr">
        <is>
          <t>역분개</t>
        </is>
      </c>
      <c r="E7" s="21" t="inlineStr">
        <is>
          <t>오류</t>
        </is>
      </c>
      <c r="F7" s="21" t="inlineStr">
        <is>
          <t>환입</t>
        </is>
      </c>
      <c r="G7" s="21" t="inlineStr">
        <is>
          <t>정정 전표 영향. 순액 기준으로 다시 확인</t>
        </is>
      </c>
      <c r="H7" s="35">
        <f>IF($A7="","",SUMPRODUCT(MAX(($B7:$F7&lt;&gt;"")*SUMIFS(전표_원본!$P$5:$P$100000,전표_원본!$Q$5:$Q$100000,"당기",전표_원본!$I$5:$I$100000,"*"&amp;$B7:$F7&amp;"*"))))</f>
        <v/>
      </c>
      <c r="I7" s="60">
        <f>IF(OR($A7="",원인분석!$C$16&lt;=0),"",H7/원인분석!$C$16)</f>
        <v/>
      </c>
    </row>
    <row r="8">
      <c r="A8" s="91" t="inlineStr">
        <is>
          <t>이관·재분류</t>
        </is>
      </c>
      <c r="B8" s="21" t="inlineStr">
        <is>
          <t>재분류</t>
        </is>
      </c>
      <c r="C8" s="21" t="inlineStr">
        <is>
          <t>이관</t>
        </is>
      </c>
      <c r="D8" s="21" t="inlineStr">
        <is>
          <t>대체</t>
        </is>
      </c>
      <c r="E8" s="21" t="inlineStr">
        <is>
          <t>귀속변경</t>
        </is>
      </c>
      <c r="F8" s="21" t="n"/>
      <c r="G8" s="21" t="inlineStr">
        <is>
          <t>다른 부서·계정에서 넘어온 금액일 가능성</t>
        </is>
      </c>
      <c r="H8" s="35">
        <f>IF($A8="","",SUMPRODUCT(MAX(($B8:$F8&lt;&gt;"")*SUMIFS(전표_원본!$P$5:$P$100000,전표_원본!$Q$5:$Q$100000,"당기",전표_원본!$I$5:$I$100000,"*"&amp;$B8:$F8&amp;"*"))))</f>
        <v/>
      </c>
      <c r="I8" s="60">
        <f>IF(OR($A8="",원인분석!$C$16&lt;=0),"",H8/원인분석!$C$16)</f>
        <v/>
      </c>
    </row>
    <row r="9">
      <c r="A9" s="91" t="inlineStr">
        <is>
          <t>추정 계상</t>
        </is>
      </c>
      <c r="B9" s="21" t="inlineStr">
        <is>
          <t>미지급</t>
        </is>
      </c>
      <c r="C9" s="21" t="inlineStr">
        <is>
          <t>추정</t>
        </is>
      </c>
      <c r="D9" s="21" t="inlineStr">
        <is>
          <t>선계상</t>
        </is>
      </c>
      <c r="E9" s="21" t="n"/>
      <c r="F9" s="21" t="n"/>
      <c r="G9" s="21" t="inlineStr">
        <is>
          <t>월말 추정 계상분. 다음 달 역분개 여부 확인</t>
        </is>
      </c>
      <c r="H9" s="35">
        <f>IF($A9="","",SUMPRODUCT(MAX(($B9:$F9&lt;&gt;"")*SUMIFS(전표_원본!$P$5:$P$100000,전표_원본!$Q$5:$Q$100000,"당기",전표_원본!$I$5:$I$100000,"*"&amp;$B9:$F9&amp;"*"))))</f>
        <v/>
      </c>
      <c r="I9" s="60">
        <f>IF(OR($A9="",원인분석!$C$16&lt;=0),"",H9/원인분석!$C$16)</f>
        <v/>
      </c>
    </row>
    <row r="10">
      <c r="A10" s="91" t="inlineStr">
        <is>
          <t>소급·정산</t>
        </is>
      </c>
      <c r="B10" s="21" t="inlineStr">
        <is>
          <t>소급</t>
        </is>
      </c>
      <c r="C10" s="21" t="inlineStr">
        <is>
          <t>정산</t>
        </is>
      </c>
      <c r="D10" s="21" t="inlineStr">
        <is>
          <t>추가청구</t>
        </is>
      </c>
      <c r="E10" s="21" t="inlineStr">
        <is>
          <t>차액</t>
        </is>
      </c>
      <c r="F10" s="21" t="n"/>
      <c r="G10" s="21" t="inlineStr">
        <is>
          <t>과거분 정산·소급 지급일 가능성</t>
        </is>
      </c>
      <c r="H10" s="35">
        <f>IF($A10="","",SUMPRODUCT(MAX(($B10:$F10&lt;&gt;"")*SUMIFS(전표_원본!$P$5:$P$100000,전표_원본!$Q$5:$Q$100000,"당기",전표_원본!$I$5:$I$100000,"*"&amp;$B10:$F10&amp;"*"))))</f>
        <v/>
      </c>
      <c r="I10" s="60">
        <f>IF(OR($A10="",원인분석!$C$16&lt;=0),"",H10/원인분석!$C$16)</f>
        <v/>
      </c>
    </row>
    <row r="11">
      <c r="A11" s="91" t="inlineStr">
        <is>
          <t>판매시책·추가수수료</t>
        </is>
      </c>
      <c r="B11" s="21" t="inlineStr">
        <is>
          <t>시책</t>
        </is>
      </c>
      <c r="C11" s="21" t="inlineStr">
        <is>
          <t>추가 수수료</t>
        </is>
      </c>
      <c r="D11" s="21" t="inlineStr">
        <is>
          <t>인센티브</t>
        </is>
      </c>
      <c r="E11" s="21" t="inlineStr">
        <is>
          <t>특별수당</t>
        </is>
      </c>
      <c r="F11" s="21" t="n"/>
      <c r="G11" s="21" t="inlineStr">
        <is>
          <t>판매 시책비·추가 수수료. 신계약비 경험차이로 GMM CSM에 영향 가능</t>
        </is>
      </c>
      <c r="H11" s="35">
        <f>IF($A11="","",SUMPRODUCT(MAX(($B11:$F11&lt;&gt;"")*SUMIFS(전표_원본!$P$5:$P$100000,전표_원본!$Q$5:$Q$100000,"당기",전표_원본!$I$5:$I$100000,"*"&amp;$B11:$F11&amp;"*"))))</f>
        <v/>
      </c>
      <c r="I11" s="60">
        <f>IF(OR($A11="",원인분석!$C$16&lt;=0),"",H11/원인분석!$C$16)</f>
        <v/>
      </c>
    </row>
    <row r="12">
      <c r="A12" s="21" t="n"/>
      <c r="B12" s="21" t="n"/>
      <c r="C12" s="21" t="n"/>
      <c r="D12" s="21" t="n"/>
      <c r="E12" s="21" t="n"/>
      <c r="F12" s="21" t="n"/>
      <c r="G12" s="21" t="n"/>
      <c r="H12" s="35">
        <f>IF($A12="","",SUMPRODUCT(MAX(($B12:$F12&lt;&gt;"")*SUMIFS(전표_원본!$P$5:$P$100000,전표_원본!$Q$5:$Q$100000,"당기",전표_원본!$I$5:$I$100000,"*"&amp;$B12:$F12&amp;"*"))))</f>
        <v/>
      </c>
      <c r="I12" s="60">
        <f>IF(OR($A12="",원인분석!$C$16&lt;=0),"",H12/원인분석!$C$16)</f>
        <v/>
      </c>
    </row>
    <row r="13">
      <c r="A13" s="21" t="n"/>
      <c r="B13" s="21" t="n"/>
      <c r="C13" s="21" t="n"/>
      <c r="D13" s="21" t="n"/>
      <c r="E13" s="21" t="n"/>
      <c r="F13" s="21" t="n"/>
      <c r="G13" s="21" t="n"/>
      <c r="H13" s="35">
        <f>IF($A13="","",SUMPRODUCT(MAX(($B13:$F13&lt;&gt;"")*SUMIFS(전표_원본!$P$5:$P$100000,전표_원본!$Q$5:$Q$100000,"당기",전표_원본!$I$5:$I$100000,"*"&amp;$B13:$F13&amp;"*"))))</f>
        <v/>
      </c>
      <c r="I13" s="60">
        <f>IF(OR($A13="",원인분석!$C$16&lt;=0),"",H13/원인분석!$C$16)</f>
        <v/>
      </c>
    </row>
    <row r="14">
      <c r="A14" s="21" t="n"/>
      <c r="B14" s="21" t="n"/>
      <c r="C14" s="21" t="n"/>
      <c r="D14" s="21" t="n"/>
      <c r="E14" s="21" t="n"/>
      <c r="F14" s="21" t="n"/>
      <c r="G14" s="21" t="n"/>
      <c r="H14" s="35">
        <f>IF($A14="","",SUMPRODUCT(MAX(($B14:$F14&lt;&gt;"")*SUMIFS(전표_원본!$P$5:$P$100000,전표_원본!$Q$5:$Q$100000,"당기",전표_원본!$I$5:$I$100000,"*"&amp;$B14:$F14&amp;"*"))))</f>
        <v/>
      </c>
      <c r="I14" s="60">
        <f>IF(OR($A14="",원인분석!$C$16&lt;=0),"",H14/원인분석!$C$16)</f>
        <v/>
      </c>
    </row>
    <row r="15">
      <c r="A15" s="21" t="n"/>
      <c r="B15" s="21" t="n"/>
      <c r="C15" s="21" t="n"/>
      <c r="D15" s="21" t="n"/>
      <c r="E15" s="21" t="n"/>
      <c r="F15" s="21" t="n"/>
      <c r="G15" s="21" t="n"/>
      <c r="H15" s="35">
        <f>IF($A15="","",SUMPRODUCT(MAX(($B15:$F15&lt;&gt;"")*SUMIFS(전표_원본!$P$5:$P$100000,전표_원본!$Q$5:$Q$100000,"당기",전표_원본!$I$5:$I$100000,"*"&amp;$B15:$F15&amp;"*"))))</f>
        <v/>
      </c>
      <c r="I15" s="60">
        <f>IF(OR($A15="",원인분석!$C$16&lt;=0),"",H15/원인분석!$C$16)</f>
        <v/>
      </c>
    </row>
    <row r="16">
      <c r="A16" s="21" t="n"/>
      <c r="B16" s="21" t="n"/>
      <c r="C16" s="21" t="n"/>
      <c r="D16" s="21" t="n"/>
      <c r="E16" s="21" t="n"/>
      <c r="F16" s="21" t="n"/>
      <c r="G16" s="21" t="n"/>
      <c r="H16" s="35">
        <f>IF($A16="","",SUMPRODUCT(MAX(($B16:$F16&lt;&gt;"")*SUMIFS(전표_원본!$P$5:$P$100000,전표_원본!$Q$5:$Q$100000,"당기",전표_원본!$I$5:$I$100000,"*"&amp;$B16:$F16&amp;"*"))))</f>
        <v/>
      </c>
      <c r="I16" s="60">
        <f>IF(OR($A16="",원인분석!$C$16&lt;=0),"",H16/원인분석!$C$16)</f>
        <v/>
      </c>
    </row>
    <row r="17">
      <c r="A17" s="21" t="n"/>
      <c r="B17" s="21" t="n"/>
      <c r="C17" s="21" t="n"/>
      <c r="D17" s="21" t="n"/>
      <c r="E17" s="21" t="n"/>
      <c r="F17" s="21" t="n"/>
      <c r="G17" s="21" t="n"/>
      <c r="H17" s="35">
        <f>IF($A17="","",SUMPRODUCT(MAX(($B17:$F17&lt;&gt;"")*SUMIFS(전표_원본!$P$5:$P$100000,전표_원본!$Q$5:$Q$100000,"당기",전표_원본!$I$5:$I$100000,"*"&amp;$B17:$F17&amp;"*"))))</f>
        <v/>
      </c>
      <c r="I17" s="60">
        <f>IF(OR($A17="",원인분석!$C$16&lt;=0),"",H17/원인분석!$C$16)</f>
        <v/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35">
        <f>IF($A18="","",SUMPRODUCT(MAX(($B18:$F18&lt;&gt;"")*SUMIFS(전표_원본!$P$5:$P$100000,전표_원본!$Q$5:$Q$100000,"당기",전표_원본!$I$5:$I$100000,"*"&amp;$B18:$F18&amp;"*"))))</f>
        <v/>
      </c>
      <c r="I18" s="60">
        <f>IF(OR($A18="",원인분석!$C$16&lt;=0),"",H18/원인분석!$C$16)</f>
        <v/>
      </c>
    </row>
    <row r="19">
      <c r="A19" s="21" t="n"/>
      <c r="B19" s="21" t="n"/>
      <c r="C19" s="21" t="n"/>
      <c r="D19" s="21" t="n"/>
      <c r="E19" s="21" t="n"/>
      <c r="F19" s="21" t="n"/>
      <c r="G19" s="21" t="n"/>
      <c r="H19" s="35">
        <f>IF($A19="","",SUMPRODUCT(MAX(($B19:$F19&lt;&gt;"")*SUMIFS(전표_원본!$P$5:$P$100000,전표_원본!$Q$5:$Q$100000,"당기",전표_원본!$I$5:$I$100000,"*"&amp;$B19:$F19&amp;"*"))))</f>
        <v/>
      </c>
      <c r="I19" s="60">
        <f>IF(OR($A19="",원인분석!$C$16&lt;=0),"",H19/원인분석!$C$16)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B9BD5"/>
    <outlinePr summaryBelow="1" summaryRight="1"/>
    <pageSetUpPr/>
  </sheetPr>
  <dimension ref="A1:R2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20" customWidth="1" min="5" max="5"/>
    <col width="6" customWidth="1" min="6" max="6"/>
    <col width="14" customWidth="1" min="7" max="7"/>
    <col width="12" customWidth="1" min="8" max="8"/>
    <col width="14" customWidth="1" min="9" max="9"/>
    <col width="14" customWidth="1" min="10" max="10"/>
    <col width="2" customWidth="1" min="11" max="11"/>
    <col width="15" customWidth="1" min="12" max="12"/>
    <col width="6" customWidth="1" min="13" max="13"/>
    <col width="5" customWidth="1" min="14" max="14"/>
    <col width="11" customWidth="1" min="15" max="15"/>
    <col width="11" customWidth="1" min="16" max="16"/>
    <col width="8" customWidth="1" min="17" max="17"/>
    <col width="10" customWidth="1" min="18" max="18"/>
  </cols>
  <sheetData>
    <row r="1">
      <c r="A1" s="1" t="inlineStr">
        <is>
          <t>TRACE · 예산판 원본 (부서 × 계정 × 분기)</t>
        </is>
      </c>
    </row>
    <row r="2">
      <c r="A2" s="2" t="inlineStr">
        <is>
          <t>A~J: 붙여넣기 · L~R: 보조수식 · 분기는 1~4, Q1, 1분기 모두 인식</t>
        </is>
      </c>
    </row>
    <row r="4" ht="30" customHeight="1">
      <c r="A4" s="4" t="inlineStr">
        <is>
          <t>회계연도</t>
        </is>
      </c>
      <c r="B4" s="4" t="inlineStr">
        <is>
          <t>부서코드</t>
        </is>
      </c>
      <c r="C4" s="4" t="inlineStr">
        <is>
          <t>부서명</t>
        </is>
      </c>
      <c r="D4" s="4" t="inlineStr">
        <is>
          <t>G/L계정</t>
        </is>
      </c>
      <c r="E4" s="4" t="inlineStr">
        <is>
          <t>계정명</t>
        </is>
      </c>
      <c r="F4" s="4" t="inlineStr">
        <is>
          <t>분기</t>
        </is>
      </c>
      <c r="G4" s="4" t="inlineStr">
        <is>
          <t>배정</t>
        </is>
      </c>
      <c r="H4" s="4" t="inlineStr">
        <is>
          <t>조정</t>
        </is>
      </c>
      <c r="I4" s="4" t="inlineStr">
        <is>
          <t>실적</t>
        </is>
      </c>
      <c r="J4" s="4" t="inlineStr">
        <is>
          <t>잔여</t>
        </is>
      </c>
      <c r="L4" s="39" t="inlineStr">
        <is>
          <t>키</t>
        </is>
      </c>
      <c r="M4" s="39" t="inlineStr">
        <is>
          <t>연도</t>
        </is>
      </c>
      <c r="N4" s="39" t="inlineStr">
        <is>
          <t>분기</t>
        </is>
      </c>
      <c r="O4" s="39" t="inlineStr">
        <is>
          <t>가용
(보고단위)</t>
        </is>
      </c>
      <c r="P4" s="39" t="inlineStr">
        <is>
          <t>실적
(보고단위)</t>
        </is>
      </c>
      <c r="Q4" s="39" t="inlineStr">
        <is>
          <t>목록포함</t>
        </is>
      </c>
      <c r="R4" s="39" t="inlineStr">
        <is>
          <t>G/L텍스트</t>
        </is>
      </c>
    </row>
    <row r="5">
      <c r="A5" s="92" t="n">
        <v>2026</v>
      </c>
      <c r="B5" s="92" t="inlineStr">
        <is>
          <t>D100</t>
        </is>
      </c>
      <c r="C5" s="92" t="inlineStr">
        <is>
          <t>경영기획팀</t>
        </is>
      </c>
      <c r="D5" s="92" t="n">
        <v>62101000</v>
      </c>
      <c r="E5" s="92" t="inlineStr">
        <is>
          <t>여비교통비-국내</t>
        </is>
      </c>
      <c r="F5" s="92" t="n">
        <v>1</v>
      </c>
      <c r="G5" s="93" t="n">
        <v>7650000</v>
      </c>
      <c r="H5" s="93" t="n">
        <v>0</v>
      </c>
      <c r="I5" s="93" t="n">
        <v>6849000</v>
      </c>
      <c r="J5" s="93" t="n">
        <v>801000</v>
      </c>
      <c r="L5" s="9">
        <f>IF($A5="","",$B5&amp;"|"&amp;$D5)</f>
        <v/>
      </c>
      <c r="M5" s="9">
        <f>IF($A5="","",VALUE($A5&amp;""))</f>
        <v/>
      </c>
      <c r="N5" s="9">
        <f>IF($A5="","",VALUE(SUBSTITUTE(SUBSTITUTE(SUBSTITUTE(UPPER($F5&amp;""),"Q",""),"분기","")," ","")))</f>
        <v/>
      </c>
      <c r="O5" s="94">
        <f>IF($A5="",0,($G5+$H5)*설정!$C$23)</f>
        <v/>
      </c>
      <c r="P5" s="94">
        <f>IF($A5="",0,$I5*설정!$C$23)</f>
        <v/>
      </c>
      <c r="Q5" s="64">
        <f>IF($A5="","",IF(COUNTIF(변동분석!$E$7:$E$506,L5)&gt;0,"Y","N"))</f>
        <v/>
      </c>
      <c r="R5" s="9">
        <f>IF($A5="","",$D5&amp;"")</f>
        <v/>
      </c>
    </row>
    <row r="6">
      <c r="A6" s="92" t="n">
        <v>2026</v>
      </c>
      <c r="B6" s="92" t="inlineStr">
        <is>
          <t>D100</t>
        </is>
      </c>
      <c r="C6" s="92" t="inlineStr">
        <is>
          <t>경영기획팀</t>
        </is>
      </c>
      <c r="D6" s="92" t="n">
        <v>62101000</v>
      </c>
      <c r="E6" s="92" t="inlineStr">
        <is>
          <t>여비교통비-국내</t>
        </is>
      </c>
      <c r="F6" s="92" t="n">
        <v>2</v>
      </c>
      <c r="G6" s="93" t="n">
        <v>7650000</v>
      </c>
      <c r="H6" s="93" t="n">
        <v>0</v>
      </c>
      <c r="I6" s="93" t="n">
        <v>6789000</v>
      </c>
      <c r="J6" s="93" t="n">
        <v>861000</v>
      </c>
      <c r="L6" s="9">
        <f>IF($A6="","",$B6&amp;"|"&amp;$D6)</f>
        <v/>
      </c>
      <c r="M6" s="9">
        <f>IF($A6="","",VALUE($A6&amp;""))</f>
        <v/>
      </c>
      <c r="N6" s="9">
        <f>IF($A6="","",VALUE(SUBSTITUTE(SUBSTITUTE(SUBSTITUTE(UPPER($F6&amp;""),"Q",""),"분기","")," ","")))</f>
        <v/>
      </c>
      <c r="O6" s="94">
        <f>IF($A6="",0,($G6+$H6)*설정!$C$23)</f>
        <v/>
      </c>
      <c r="P6" s="94">
        <f>IF($A6="",0,$I6*설정!$C$23)</f>
        <v/>
      </c>
      <c r="Q6" s="64">
        <f>IF($A6="","",IF(COUNTIF(변동분석!$E$7:$E$506,L6)&gt;0,"Y","N"))</f>
        <v/>
      </c>
      <c r="R6" s="9">
        <f>IF($A6="","",$D6&amp;"")</f>
        <v/>
      </c>
    </row>
    <row r="7">
      <c r="A7" s="92" t="n">
        <v>2026</v>
      </c>
      <c r="B7" s="92" t="inlineStr">
        <is>
          <t>D100</t>
        </is>
      </c>
      <c r="C7" s="92" t="inlineStr">
        <is>
          <t>경영기획팀</t>
        </is>
      </c>
      <c r="D7" s="92" t="n">
        <v>62101000</v>
      </c>
      <c r="E7" s="92" t="inlineStr">
        <is>
          <t>여비교통비-국내</t>
        </is>
      </c>
      <c r="F7" s="92" t="n">
        <v>3</v>
      </c>
      <c r="G7" s="93" t="n">
        <v>7650000</v>
      </c>
      <c r="H7" s="93" t="n">
        <v>0</v>
      </c>
      <c r="I7" s="93" t="n">
        <v>6747000</v>
      </c>
      <c r="J7" s="93" t="n">
        <v>903000</v>
      </c>
      <c r="L7" s="9">
        <f>IF($A7="","",$B7&amp;"|"&amp;$D7)</f>
        <v/>
      </c>
      <c r="M7" s="9">
        <f>IF($A7="","",VALUE($A7&amp;""))</f>
        <v/>
      </c>
      <c r="N7" s="9">
        <f>IF($A7="","",VALUE(SUBSTITUTE(SUBSTITUTE(SUBSTITUTE(UPPER($F7&amp;""),"Q",""),"분기","")," ","")))</f>
        <v/>
      </c>
      <c r="O7" s="94">
        <f>IF($A7="",0,($G7+$H7)*설정!$C$23)</f>
        <v/>
      </c>
      <c r="P7" s="94">
        <f>IF($A7="",0,$I7*설정!$C$23)</f>
        <v/>
      </c>
      <c r="Q7" s="64">
        <f>IF($A7="","",IF(COUNTIF(변동분석!$E$7:$E$506,L7)&gt;0,"Y","N"))</f>
        <v/>
      </c>
      <c r="R7" s="9">
        <f>IF($A7="","",$D7&amp;"")</f>
        <v/>
      </c>
    </row>
    <row r="8">
      <c r="A8" s="92" t="n">
        <v>2026</v>
      </c>
      <c r="B8" s="92" t="inlineStr">
        <is>
          <t>D100</t>
        </is>
      </c>
      <c r="C8" s="92" t="inlineStr">
        <is>
          <t>경영기획팀</t>
        </is>
      </c>
      <c r="D8" s="92" t="n">
        <v>62101000</v>
      </c>
      <c r="E8" s="92" t="inlineStr">
        <is>
          <t>여비교통비-국내</t>
        </is>
      </c>
      <c r="F8" s="92" t="n">
        <v>4</v>
      </c>
      <c r="G8" s="93" t="n">
        <v>7650000</v>
      </c>
      <c r="H8" s="93" t="n">
        <v>0</v>
      </c>
      <c r="I8" s="93" t="n">
        <v>0</v>
      </c>
      <c r="J8" s="93" t="n">
        <v>7650000</v>
      </c>
      <c r="L8" s="9">
        <f>IF($A8="","",$B8&amp;"|"&amp;$D8)</f>
        <v/>
      </c>
      <c r="M8" s="9">
        <f>IF($A8="","",VALUE($A8&amp;""))</f>
        <v/>
      </c>
      <c r="N8" s="9">
        <f>IF($A8="","",VALUE(SUBSTITUTE(SUBSTITUTE(SUBSTITUTE(UPPER($F8&amp;""),"Q",""),"분기","")," ","")))</f>
        <v/>
      </c>
      <c r="O8" s="94">
        <f>IF($A8="",0,($G8+$H8)*설정!$C$23)</f>
        <v/>
      </c>
      <c r="P8" s="94">
        <f>IF($A8="",0,$I8*설정!$C$23)</f>
        <v/>
      </c>
      <c r="Q8" s="64">
        <f>IF($A8="","",IF(COUNTIF(변동분석!$E$7:$E$506,L8)&gt;0,"Y","N"))</f>
        <v/>
      </c>
      <c r="R8" s="9">
        <f>IF($A8="","",$D8&amp;"")</f>
        <v/>
      </c>
    </row>
    <row r="9">
      <c r="A9" s="92" t="n">
        <v>2026</v>
      </c>
      <c r="B9" s="92" t="inlineStr">
        <is>
          <t>D100</t>
        </is>
      </c>
      <c r="C9" s="92" t="inlineStr">
        <is>
          <t>경영기획팀</t>
        </is>
      </c>
      <c r="D9" s="92" t="n">
        <v>62102000</v>
      </c>
      <c r="E9" s="92" t="inlineStr">
        <is>
          <t>여비교통비-해외</t>
        </is>
      </c>
      <c r="F9" s="92" t="n">
        <v>1</v>
      </c>
      <c r="G9" s="93" t="n">
        <v>1350000</v>
      </c>
      <c r="H9" s="93" t="n">
        <v>0</v>
      </c>
      <c r="I9" s="93" t="n">
        <v>1142000</v>
      </c>
      <c r="J9" s="93" t="n">
        <v>208000</v>
      </c>
      <c r="L9" s="9">
        <f>IF($A9="","",$B9&amp;"|"&amp;$D9)</f>
        <v/>
      </c>
      <c r="M9" s="9">
        <f>IF($A9="","",VALUE($A9&amp;""))</f>
        <v/>
      </c>
      <c r="N9" s="9">
        <f>IF($A9="","",VALUE(SUBSTITUTE(SUBSTITUTE(SUBSTITUTE(UPPER($F9&amp;""),"Q",""),"분기","")," ","")))</f>
        <v/>
      </c>
      <c r="O9" s="94">
        <f>IF($A9="",0,($G9+$H9)*설정!$C$23)</f>
        <v/>
      </c>
      <c r="P9" s="94">
        <f>IF($A9="",0,$I9*설정!$C$23)</f>
        <v/>
      </c>
      <c r="Q9" s="64">
        <f>IF($A9="","",IF(COUNTIF(변동분석!$E$7:$E$506,L9)&gt;0,"Y","N"))</f>
        <v/>
      </c>
      <c r="R9" s="9">
        <f>IF($A9="","",$D9&amp;"")</f>
        <v/>
      </c>
    </row>
    <row r="10">
      <c r="A10" s="92" t="n">
        <v>2026</v>
      </c>
      <c r="B10" s="92" t="inlineStr">
        <is>
          <t>D100</t>
        </is>
      </c>
      <c r="C10" s="92" t="inlineStr">
        <is>
          <t>경영기획팀</t>
        </is>
      </c>
      <c r="D10" s="92" t="n">
        <v>62102000</v>
      </c>
      <c r="E10" s="92" t="inlineStr">
        <is>
          <t>여비교통비-해외</t>
        </is>
      </c>
      <c r="F10" s="92" t="n">
        <v>2</v>
      </c>
      <c r="G10" s="93" t="n">
        <v>1350000</v>
      </c>
      <c r="H10" s="93" t="n">
        <v>0</v>
      </c>
      <c r="I10" s="93" t="n">
        <v>1108000</v>
      </c>
      <c r="J10" s="93" t="n">
        <v>242000</v>
      </c>
      <c r="L10" s="9">
        <f>IF($A10="","",$B10&amp;"|"&amp;$D10)</f>
        <v/>
      </c>
      <c r="M10" s="9">
        <f>IF($A10="","",VALUE($A10&amp;""))</f>
        <v/>
      </c>
      <c r="N10" s="9">
        <f>IF($A10="","",VALUE(SUBSTITUTE(SUBSTITUTE(SUBSTITUTE(UPPER($F10&amp;""),"Q",""),"분기","")," ","")))</f>
        <v/>
      </c>
      <c r="O10" s="94">
        <f>IF($A10="",0,($G10+$H10)*설정!$C$23)</f>
        <v/>
      </c>
      <c r="P10" s="94">
        <f>IF($A10="",0,$I10*설정!$C$23)</f>
        <v/>
      </c>
      <c r="Q10" s="64">
        <f>IF($A10="","",IF(COUNTIF(변동분석!$E$7:$E$506,L10)&gt;0,"Y","N"))</f>
        <v/>
      </c>
      <c r="R10" s="9">
        <f>IF($A10="","",$D10&amp;"")</f>
        <v/>
      </c>
    </row>
    <row r="11">
      <c r="A11" s="92" t="n">
        <v>2026</v>
      </c>
      <c r="B11" s="92" t="inlineStr">
        <is>
          <t>D100</t>
        </is>
      </c>
      <c r="C11" s="92" t="inlineStr">
        <is>
          <t>경영기획팀</t>
        </is>
      </c>
      <c r="D11" s="92" t="n">
        <v>62102000</v>
      </c>
      <c r="E11" s="92" t="inlineStr">
        <is>
          <t>여비교통비-해외</t>
        </is>
      </c>
      <c r="F11" s="92" t="n">
        <v>3</v>
      </c>
      <c r="G11" s="93" t="n">
        <v>1350000</v>
      </c>
      <c r="H11" s="93" t="n">
        <v>0</v>
      </c>
      <c r="I11" s="93" t="n">
        <v>1152000</v>
      </c>
      <c r="J11" s="93" t="n">
        <v>198000</v>
      </c>
      <c r="L11" s="9">
        <f>IF($A11="","",$B11&amp;"|"&amp;$D11)</f>
        <v/>
      </c>
      <c r="M11" s="9">
        <f>IF($A11="","",VALUE($A11&amp;""))</f>
        <v/>
      </c>
      <c r="N11" s="9">
        <f>IF($A11="","",VALUE(SUBSTITUTE(SUBSTITUTE(SUBSTITUTE(UPPER($F11&amp;""),"Q",""),"분기","")," ","")))</f>
        <v/>
      </c>
      <c r="O11" s="94">
        <f>IF($A11="",0,($G11+$H11)*설정!$C$23)</f>
        <v/>
      </c>
      <c r="P11" s="94">
        <f>IF($A11="",0,$I11*설정!$C$23)</f>
        <v/>
      </c>
      <c r="Q11" s="64">
        <f>IF($A11="","",IF(COUNTIF(변동분석!$E$7:$E$506,L11)&gt;0,"Y","N"))</f>
        <v/>
      </c>
      <c r="R11" s="9">
        <f>IF($A11="","",$D11&amp;"")</f>
        <v/>
      </c>
    </row>
    <row r="12">
      <c r="A12" s="92" t="n">
        <v>2026</v>
      </c>
      <c r="B12" s="92" t="inlineStr">
        <is>
          <t>D100</t>
        </is>
      </c>
      <c r="C12" s="92" t="inlineStr">
        <is>
          <t>경영기획팀</t>
        </is>
      </c>
      <c r="D12" s="92" t="n">
        <v>62102000</v>
      </c>
      <c r="E12" s="92" t="inlineStr">
        <is>
          <t>여비교통비-해외</t>
        </is>
      </c>
      <c r="F12" s="92" t="n">
        <v>4</v>
      </c>
      <c r="G12" s="93" t="n">
        <v>1350000</v>
      </c>
      <c r="H12" s="93" t="n">
        <v>0</v>
      </c>
      <c r="I12" s="93" t="n">
        <v>0</v>
      </c>
      <c r="J12" s="93" t="n">
        <v>1350000</v>
      </c>
      <c r="L12" s="9">
        <f>IF($A12="","",$B12&amp;"|"&amp;$D12)</f>
        <v/>
      </c>
      <c r="M12" s="9">
        <f>IF($A12="","",VALUE($A12&amp;""))</f>
        <v/>
      </c>
      <c r="N12" s="9">
        <f>IF($A12="","",VALUE(SUBSTITUTE(SUBSTITUTE(SUBSTITUTE(UPPER($F12&amp;""),"Q",""),"분기","")," ","")))</f>
        <v/>
      </c>
      <c r="O12" s="94">
        <f>IF($A12="",0,($G12+$H12)*설정!$C$23)</f>
        <v/>
      </c>
      <c r="P12" s="94">
        <f>IF($A12="",0,$I12*설정!$C$23)</f>
        <v/>
      </c>
      <c r="Q12" s="64">
        <f>IF($A12="","",IF(COUNTIF(변동분석!$E$7:$E$506,L12)&gt;0,"Y","N"))</f>
        <v/>
      </c>
      <c r="R12" s="9">
        <f>IF($A12="","",$D12&amp;"")</f>
        <v/>
      </c>
    </row>
    <row r="13">
      <c r="A13" s="92" t="n">
        <v>2026</v>
      </c>
      <c r="B13" s="92" t="inlineStr">
        <is>
          <t>D100</t>
        </is>
      </c>
      <c r="C13" s="92" t="inlineStr">
        <is>
          <t>경영기획팀</t>
        </is>
      </c>
      <c r="D13" s="92" t="n">
        <v>62201000</v>
      </c>
      <c r="E13" s="92" t="inlineStr">
        <is>
          <t>통신비</t>
        </is>
      </c>
      <c r="F13" s="92" t="n">
        <v>1</v>
      </c>
      <c r="G13" s="93" t="n">
        <v>2400000</v>
      </c>
      <c r="H13" s="93" t="n">
        <v>0</v>
      </c>
      <c r="I13" s="93" t="n">
        <v>2237000</v>
      </c>
      <c r="J13" s="93" t="n">
        <v>163000</v>
      </c>
      <c r="L13" s="9">
        <f>IF($A13="","",$B13&amp;"|"&amp;$D13)</f>
        <v/>
      </c>
      <c r="M13" s="9">
        <f>IF($A13="","",VALUE($A13&amp;""))</f>
        <v/>
      </c>
      <c r="N13" s="9">
        <f>IF($A13="","",VALUE(SUBSTITUTE(SUBSTITUTE(SUBSTITUTE(UPPER($F13&amp;""),"Q",""),"분기","")," ","")))</f>
        <v/>
      </c>
      <c r="O13" s="94">
        <f>IF($A13="",0,($G13+$H13)*설정!$C$23)</f>
        <v/>
      </c>
      <c r="P13" s="94">
        <f>IF($A13="",0,$I13*설정!$C$23)</f>
        <v/>
      </c>
      <c r="Q13" s="64">
        <f>IF($A13="","",IF(COUNTIF(변동분석!$E$7:$E$506,L13)&gt;0,"Y","N"))</f>
        <v/>
      </c>
      <c r="R13" s="9">
        <f>IF($A13="","",$D13&amp;"")</f>
        <v/>
      </c>
    </row>
    <row r="14">
      <c r="A14" s="92" t="n">
        <v>2026</v>
      </c>
      <c r="B14" s="92" t="inlineStr">
        <is>
          <t>D100</t>
        </is>
      </c>
      <c r="C14" s="92" t="inlineStr">
        <is>
          <t>경영기획팀</t>
        </is>
      </c>
      <c r="D14" s="92" t="n">
        <v>62201000</v>
      </c>
      <c r="E14" s="92" t="inlineStr">
        <is>
          <t>통신비</t>
        </is>
      </c>
      <c r="F14" s="92" t="n">
        <v>2</v>
      </c>
      <c r="G14" s="93" t="n">
        <v>2400000</v>
      </c>
      <c r="H14" s="93" t="n">
        <v>0</v>
      </c>
      <c r="I14" s="93" t="n">
        <v>2267000</v>
      </c>
      <c r="J14" s="93" t="n">
        <v>133000</v>
      </c>
      <c r="L14" s="9">
        <f>IF($A14="","",$B14&amp;"|"&amp;$D14)</f>
        <v/>
      </c>
      <c r="M14" s="9">
        <f>IF($A14="","",VALUE($A14&amp;""))</f>
        <v/>
      </c>
      <c r="N14" s="9">
        <f>IF($A14="","",VALUE(SUBSTITUTE(SUBSTITUTE(SUBSTITUTE(UPPER($F14&amp;""),"Q",""),"분기","")," ","")))</f>
        <v/>
      </c>
      <c r="O14" s="94">
        <f>IF($A14="",0,($G14+$H14)*설정!$C$23)</f>
        <v/>
      </c>
      <c r="P14" s="94">
        <f>IF($A14="",0,$I14*설정!$C$23)</f>
        <v/>
      </c>
      <c r="Q14" s="64">
        <f>IF($A14="","",IF(COUNTIF(변동분석!$E$7:$E$506,L14)&gt;0,"Y","N"))</f>
        <v/>
      </c>
      <c r="R14" s="9">
        <f>IF($A14="","",$D14&amp;"")</f>
        <v/>
      </c>
    </row>
    <row r="15">
      <c r="A15" s="92" t="n">
        <v>2026</v>
      </c>
      <c r="B15" s="92" t="inlineStr">
        <is>
          <t>D100</t>
        </is>
      </c>
      <c r="C15" s="92" t="inlineStr">
        <is>
          <t>경영기획팀</t>
        </is>
      </c>
      <c r="D15" s="92" t="n">
        <v>62201000</v>
      </c>
      <c r="E15" s="92" t="inlineStr">
        <is>
          <t>통신비</t>
        </is>
      </c>
      <c r="F15" s="92" t="n">
        <v>3</v>
      </c>
      <c r="G15" s="93" t="n">
        <v>2400000</v>
      </c>
      <c r="H15" s="93" t="n">
        <v>0</v>
      </c>
      <c r="I15" s="93" t="n">
        <v>2241000</v>
      </c>
      <c r="J15" s="93" t="n">
        <v>159000</v>
      </c>
      <c r="L15" s="9">
        <f>IF($A15="","",$B15&amp;"|"&amp;$D15)</f>
        <v/>
      </c>
      <c r="M15" s="9">
        <f>IF($A15="","",VALUE($A15&amp;""))</f>
        <v/>
      </c>
      <c r="N15" s="9">
        <f>IF($A15="","",VALUE(SUBSTITUTE(SUBSTITUTE(SUBSTITUTE(UPPER($F15&amp;""),"Q",""),"분기","")," ","")))</f>
        <v/>
      </c>
      <c r="O15" s="94">
        <f>IF($A15="",0,($G15+$H15)*설정!$C$23)</f>
        <v/>
      </c>
      <c r="P15" s="94">
        <f>IF($A15="",0,$I15*설정!$C$23)</f>
        <v/>
      </c>
      <c r="Q15" s="64">
        <f>IF($A15="","",IF(COUNTIF(변동분석!$E$7:$E$506,L15)&gt;0,"Y","N"))</f>
        <v/>
      </c>
      <c r="R15" s="9">
        <f>IF($A15="","",$D15&amp;"")</f>
        <v/>
      </c>
    </row>
    <row r="16">
      <c r="A16" s="92" t="n">
        <v>2026</v>
      </c>
      <c r="B16" s="92" t="inlineStr">
        <is>
          <t>D100</t>
        </is>
      </c>
      <c r="C16" s="92" t="inlineStr">
        <is>
          <t>경영기획팀</t>
        </is>
      </c>
      <c r="D16" s="92" t="n">
        <v>62201000</v>
      </c>
      <c r="E16" s="92" t="inlineStr">
        <is>
          <t>통신비</t>
        </is>
      </c>
      <c r="F16" s="92" t="n">
        <v>4</v>
      </c>
      <c r="G16" s="93" t="n">
        <v>2400000</v>
      </c>
      <c r="H16" s="93" t="n">
        <v>0</v>
      </c>
      <c r="I16" s="93" t="n">
        <v>0</v>
      </c>
      <c r="J16" s="93" t="n">
        <v>2400000</v>
      </c>
      <c r="L16" s="9">
        <f>IF($A16="","",$B16&amp;"|"&amp;$D16)</f>
        <v/>
      </c>
      <c r="M16" s="9">
        <f>IF($A16="","",VALUE($A16&amp;""))</f>
        <v/>
      </c>
      <c r="N16" s="9">
        <f>IF($A16="","",VALUE(SUBSTITUTE(SUBSTITUTE(SUBSTITUTE(UPPER($F16&amp;""),"Q",""),"분기","")," ","")))</f>
        <v/>
      </c>
      <c r="O16" s="94">
        <f>IF($A16="",0,($G16+$H16)*설정!$C$23)</f>
        <v/>
      </c>
      <c r="P16" s="94">
        <f>IF($A16="",0,$I16*설정!$C$23)</f>
        <v/>
      </c>
      <c r="Q16" s="64">
        <f>IF($A16="","",IF(COUNTIF(변동분석!$E$7:$E$506,L16)&gt;0,"Y","N"))</f>
        <v/>
      </c>
      <c r="R16" s="9">
        <f>IF($A16="","",$D16&amp;"")</f>
        <v/>
      </c>
    </row>
    <row r="17">
      <c r="A17" s="92" t="n">
        <v>2026</v>
      </c>
      <c r="B17" s="92" t="inlineStr">
        <is>
          <t>D100</t>
        </is>
      </c>
      <c r="C17" s="92" t="inlineStr">
        <is>
          <t>경영기획팀</t>
        </is>
      </c>
      <c r="D17" s="92" t="n">
        <v>62301000</v>
      </c>
      <c r="E17" s="92" t="inlineStr">
        <is>
          <t>소모품비</t>
        </is>
      </c>
      <c r="F17" s="92" t="n">
        <v>1</v>
      </c>
      <c r="G17" s="93" t="n">
        <v>1500000</v>
      </c>
      <c r="H17" s="93" t="n">
        <v>0</v>
      </c>
      <c r="I17" s="93" t="n">
        <v>1443000</v>
      </c>
      <c r="J17" s="93" t="n">
        <v>57000</v>
      </c>
      <c r="L17" s="9">
        <f>IF($A17="","",$B17&amp;"|"&amp;$D17)</f>
        <v/>
      </c>
      <c r="M17" s="9">
        <f>IF($A17="","",VALUE($A17&amp;""))</f>
        <v/>
      </c>
      <c r="N17" s="9">
        <f>IF($A17="","",VALUE(SUBSTITUTE(SUBSTITUTE(SUBSTITUTE(UPPER($F17&amp;""),"Q",""),"분기","")," ","")))</f>
        <v/>
      </c>
      <c r="O17" s="94">
        <f>IF($A17="",0,($G17+$H17)*설정!$C$23)</f>
        <v/>
      </c>
      <c r="P17" s="94">
        <f>IF($A17="",0,$I17*설정!$C$23)</f>
        <v/>
      </c>
      <c r="Q17" s="64">
        <f>IF($A17="","",IF(COUNTIF(변동분석!$E$7:$E$506,L17)&gt;0,"Y","N"))</f>
        <v/>
      </c>
      <c r="R17" s="9">
        <f>IF($A17="","",$D17&amp;"")</f>
        <v/>
      </c>
    </row>
    <row r="18">
      <c r="A18" s="92" t="n">
        <v>2026</v>
      </c>
      <c r="B18" s="92" t="inlineStr">
        <is>
          <t>D100</t>
        </is>
      </c>
      <c r="C18" s="92" t="inlineStr">
        <is>
          <t>경영기획팀</t>
        </is>
      </c>
      <c r="D18" s="92" t="n">
        <v>62301000</v>
      </c>
      <c r="E18" s="92" t="inlineStr">
        <is>
          <t>소모품비</t>
        </is>
      </c>
      <c r="F18" s="92" t="n">
        <v>2</v>
      </c>
      <c r="G18" s="93" t="n">
        <v>1500000</v>
      </c>
      <c r="H18" s="93" t="n">
        <v>0</v>
      </c>
      <c r="I18" s="93" t="n">
        <v>1402000</v>
      </c>
      <c r="J18" s="93" t="n">
        <v>98000</v>
      </c>
      <c r="L18" s="9">
        <f>IF($A18="","",$B18&amp;"|"&amp;$D18)</f>
        <v/>
      </c>
      <c r="M18" s="9">
        <f>IF($A18="","",VALUE($A18&amp;""))</f>
        <v/>
      </c>
      <c r="N18" s="9">
        <f>IF($A18="","",VALUE(SUBSTITUTE(SUBSTITUTE(SUBSTITUTE(UPPER($F18&amp;""),"Q",""),"분기","")," ","")))</f>
        <v/>
      </c>
      <c r="O18" s="94">
        <f>IF($A18="",0,($G18+$H18)*설정!$C$23)</f>
        <v/>
      </c>
      <c r="P18" s="94">
        <f>IF($A18="",0,$I18*설정!$C$23)</f>
        <v/>
      </c>
      <c r="Q18" s="64">
        <f>IF($A18="","",IF(COUNTIF(변동분석!$E$7:$E$506,L18)&gt;0,"Y","N"))</f>
        <v/>
      </c>
      <c r="R18" s="9">
        <f>IF($A18="","",$D18&amp;"")</f>
        <v/>
      </c>
    </row>
    <row r="19">
      <c r="A19" s="92" t="n">
        <v>2026</v>
      </c>
      <c r="B19" s="92" t="inlineStr">
        <is>
          <t>D100</t>
        </is>
      </c>
      <c r="C19" s="92" t="inlineStr">
        <is>
          <t>경영기획팀</t>
        </is>
      </c>
      <c r="D19" s="92" t="n">
        <v>62301000</v>
      </c>
      <c r="E19" s="92" t="inlineStr">
        <is>
          <t>소모품비</t>
        </is>
      </c>
      <c r="F19" s="92" t="n">
        <v>3</v>
      </c>
      <c r="G19" s="93" t="n">
        <v>1500000</v>
      </c>
      <c r="H19" s="93" t="n">
        <v>0</v>
      </c>
      <c r="I19" s="93" t="n">
        <v>1429000</v>
      </c>
      <c r="J19" s="93" t="n">
        <v>71000</v>
      </c>
      <c r="L19" s="9">
        <f>IF($A19="","",$B19&amp;"|"&amp;$D19)</f>
        <v/>
      </c>
      <c r="M19" s="9">
        <f>IF($A19="","",VALUE($A19&amp;""))</f>
        <v/>
      </c>
      <c r="N19" s="9">
        <f>IF($A19="","",VALUE(SUBSTITUTE(SUBSTITUTE(SUBSTITUTE(UPPER($F19&amp;""),"Q",""),"분기","")," ","")))</f>
        <v/>
      </c>
      <c r="O19" s="94">
        <f>IF($A19="",0,($G19+$H19)*설정!$C$23)</f>
        <v/>
      </c>
      <c r="P19" s="94">
        <f>IF($A19="",0,$I19*설정!$C$23)</f>
        <v/>
      </c>
      <c r="Q19" s="64">
        <f>IF($A19="","",IF(COUNTIF(변동분석!$E$7:$E$506,L19)&gt;0,"Y","N"))</f>
        <v/>
      </c>
      <c r="R19" s="9">
        <f>IF($A19="","",$D19&amp;"")</f>
        <v/>
      </c>
    </row>
    <row r="20">
      <c r="A20" s="92" t="n">
        <v>2026</v>
      </c>
      <c r="B20" s="92" t="inlineStr">
        <is>
          <t>D100</t>
        </is>
      </c>
      <c r="C20" s="92" t="inlineStr">
        <is>
          <t>경영기획팀</t>
        </is>
      </c>
      <c r="D20" s="92" t="n">
        <v>62301000</v>
      </c>
      <c r="E20" s="92" t="inlineStr">
        <is>
          <t>소모품비</t>
        </is>
      </c>
      <c r="F20" s="92" t="n">
        <v>4</v>
      </c>
      <c r="G20" s="93" t="n">
        <v>1500000</v>
      </c>
      <c r="H20" s="93" t="n">
        <v>0</v>
      </c>
      <c r="I20" s="93" t="n">
        <v>0</v>
      </c>
      <c r="J20" s="93" t="n">
        <v>1500000</v>
      </c>
      <c r="L20" s="9">
        <f>IF($A20="","",$B20&amp;"|"&amp;$D20)</f>
        <v/>
      </c>
      <c r="M20" s="9">
        <f>IF($A20="","",VALUE($A20&amp;""))</f>
        <v/>
      </c>
      <c r="N20" s="9">
        <f>IF($A20="","",VALUE(SUBSTITUTE(SUBSTITUTE(SUBSTITUTE(UPPER($F20&amp;""),"Q",""),"분기","")," ","")))</f>
        <v/>
      </c>
      <c r="O20" s="94">
        <f>IF($A20="",0,($G20+$H20)*설정!$C$23)</f>
        <v/>
      </c>
      <c r="P20" s="94">
        <f>IF($A20="",0,$I20*설정!$C$23)</f>
        <v/>
      </c>
      <c r="Q20" s="64">
        <f>IF($A20="","",IF(COUNTIF(변동분석!$E$7:$E$506,L20)&gt;0,"Y","N"))</f>
        <v/>
      </c>
      <c r="R20" s="9">
        <f>IF($A20="","",$D20&amp;"")</f>
        <v/>
      </c>
    </row>
    <row r="21">
      <c r="A21" s="92" t="n">
        <v>2026</v>
      </c>
      <c r="B21" s="92" t="inlineStr">
        <is>
          <t>D100</t>
        </is>
      </c>
      <c r="C21" s="92" t="inlineStr">
        <is>
          <t>경영기획팀</t>
        </is>
      </c>
      <c r="D21" s="92" t="n">
        <v>62501000</v>
      </c>
      <c r="E21" s="92" t="inlineStr">
        <is>
          <t>회의비</t>
        </is>
      </c>
      <c r="F21" s="92" t="n">
        <v>1</v>
      </c>
      <c r="G21" s="93" t="n">
        <v>3000000</v>
      </c>
      <c r="H21" s="93" t="n">
        <v>0</v>
      </c>
      <c r="I21" s="93" t="n">
        <v>2398000</v>
      </c>
      <c r="J21" s="93" t="n">
        <v>602000</v>
      </c>
      <c r="L21" s="9">
        <f>IF($A21="","",$B21&amp;"|"&amp;$D21)</f>
        <v/>
      </c>
      <c r="M21" s="9">
        <f>IF($A21="","",VALUE($A21&amp;""))</f>
        <v/>
      </c>
      <c r="N21" s="9">
        <f>IF($A21="","",VALUE(SUBSTITUTE(SUBSTITUTE(SUBSTITUTE(UPPER($F21&amp;""),"Q",""),"분기","")," ","")))</f>
        <v/>
      </c>
      <c r="O21" s="94">
        <f>IF($A21="",0,($G21+$H21)*설정!$C$23)</f>
        <v/>
      </c>
      <c r="P21" s="94">
        <f>IF($A21="",0,$I21*설정!$C$23)</f>
        <v/>
      </c>
      <c r="Q21" s="64">
        <f>IF($A21="","",IF(COUNTIF(변동분석!$E$7:$E$506,L21)&gt;0,"Y","N"))</f>
        <v/>
      </c>
      <c r="R21" s="9">
        <f>IF($A21="","",$D21&amp;"")</f>
        <v/>
      </c>
    </row>
    <row r="22">
      <c r="A22" s="92" t="n">
        <v>2026</v>
      </c>
      <c r="B22" s="92" t="inlineStr">
        <is>
          <t>D100</t>
        </is>
      </c>
      <c r="C22" s="92" t="inlineStr">
        <is>
          <t>경영기획팀</t>
        </is>
      </c>
      <c r="D22" s="92" t="n">
        <v>62501000</v>
      </c>
      <c r="E22" s="92" t="inlineStr">
        <is>
          <t>회의비</t>
        </is>
      </c>
      <c r="F22" s="92" t="n">
        <v>2</v>
      </c>
      <c r="G22" s="93" t="n">
        <v>3000000</v>
      </c>
      <c r="H22" s="93" t="n">
        <v>0</v>
      </c>
      <c r="I22" s="93" t="n">
        <v>2457000</v>
      </c>
      <c r="J22" s="93" t="n">
        <v>543000</v>
      </c>
      <c r="L22" s="9">
        <f>IF($A22="","",$B22&amp;"|"&amp;$D22)</f>
        <v/>
      </c>
      <c r="M22" s="9">
        <f>IF($A22="","",VALUE($A22&amp;""))</f>
        <v/>
      </c>
      <c r="N22" s="9">
        <f>IF($A22="","",VALUE(SUBSTITUTE(SUBSTITUTE(SUBSTITUTE(UPPER($F22&amp;""),"Q",""),"분기","")," ","")))</f>
        <v/>
      </c>
      <c r="O22" s="94">
        <f>IF($A22="",0,($G22+$H22)*설정!$C$23)</f>
        <v/>
      </c>
      <c r="P22" s="94">
        <f>IF($A22="",0,$I22*설정!$C$23)</f>
        <v/>
      </c>
      <c r="Q22" s="64">
        <f>IF($A22="","",IF(COUNTIF(변동분석!$E$7:$E$506,L22)&gt;0,"Y","N"))</f>
        <v/>
      </c>
      <c r="R22" s="9">
        <f>IF($A22="","",$D22&amp;"")</f>
        <v/>
      </c>
    </row>
    <row r="23">
      <c r="A23" s="92" t="n">
        <v>2026</v>
      </c>
      <c r="B23" s="92" t="inlineStr">
        <is>
          <t>D100</t>
        </is>
      </c>
      <c r="C23" s="92" t="inlineStr">
        <is>
          <t>경영기획팀</t>
        </is>
      </c>
      <c r="D23" s="92" t="n">
        <v>62501000</v>
      </c>
      <c r="E23" s="92" t="inlineStr">
        <is>
          <t>회의비</t>
        </is>
      </c>
      <c r="F23" s="92" t="n">
        <v>3</v>
      </c>
      <c r="G23" s="93" t="n">
        <v>3000000</v>
      </c>
      <c r="H23" s="93" t="n">
        <v>0</v>
      </c>
      <c r="I23" s="93" t="n">
        <v>2601000</v>
      </c>
      <c r="J23" s="93" t="n">
        <v>399000</v>
      </c>
      <c r="L23" s="9">
        <f>IF($A23="","",$B23&amp;"|"&amp;$D23)</f>
        <v/>
      </c>
      <c r="M23" s="9">
        <f>IF($A23="","",VALUE($A23&amp;""))</f>
        <v/>
      </c>
      <c r="N23" s="9">
        <f>IF($A23="","",VALUE(SUBSTITUTE(SUBSTITUTE(SUBSTITUTE(UPPER($F23&amp;""),"Q",""),"분기","")," ","")))</f>
        <v/>
      </c>
      <c r="O23" s="94">
        <f>IF($A23="",0,($G23+$H23)*설정!$C$23)</f>
        <v/>
      </c>
      <c r="P23" s="94">
        <f>IF($A23="",0,$I23*설정!$C$23)</f>
        <v/>
      </c>
      <c r="Q23" s="64">
        <f>IF($A23="","",IF(COUNTIF(변동분석!$E$7:$E$506,L23)&gt;0,"Y","N"))</f>
        <v/>
      </c>
      <c r="R23" s="9">
        <f>IF($A23="","",$D23&amp;"")</f>
        <v/>
      </c>
    </row>
    <row r="24">
      <c r="A24" s="92" t="n">
        <v>2026</v>
      </c>
      <c r="B24" s="92" t="inlineStr">
        <is>
          <t>D100</t>
        </is>
      </c>
      <c r="C24" s="92" t="inlineStr">
        <is>
          <t>경영기획팀</t>
        </is>
      </c>
      <c r="D24" s="92" t="n">
        <v>62501000</v>
      </c>
      <c r="E24" s="92" t="inlineStr">
        <is>
          <t>회의비</t>
        </is>
      </c>
      <c r="F24" s="92" t="n">
        <v>4</v>
      </c>
      <c r="G24" s="93" t="n">
        <v>3000000</v>
      </c>
      <c r="H24" s="93" t="n">
        <v>0</v>
      </c>
      <c r="I24" s="93" t="n">
        <v>0</v>
      </c>
      <c r="J24" s="93" t="n">
        <v>3000000</v>
      </c>
      <c r="L24" s="9">
        <f>IF($A24="","",$B24&amp;"|"&amp;$D24)</f>
        <v/>
      </c>
      <c r="M24" s="9">
        <f>IF($A24="","",VALUE($A24&amp;""))</f>
        <v/>
      </c>
      <c r="N24" s="9">
        <f>IF($A24="","",VALUE(SUBSTITUTE(SUBSTITUTE(SUBSTITUTE(UPPER($F24&amp;""),"Q",""),"분기","")," ","")))</f>
        <v/>
      </c>
      <c r="O24" s="94">
        <f>IF($A24="",0,($G24+$H24)*설정!$C$23)</f>
        <v/>
      </c>
      <c r="P24" s="94">
        <f>IF($A24="",0,$I24*설정!$C$23)</f>
        <v/>
      </c>
      <c r="Q24" s="64">
        <f>IF($A24="","",IF(COUNTIF(변동분석!$E$7:$E$506,L24)&gt;0,"Y","N"))</f>
        <v/>
      </c>
      <c r="R24" s="9">
        <f>IF($A24="","",$D24&amp;"")</f>
        <v/>
      </c>
    </row>
    <row r="25">
      <c r="A25" s="92" t="n">
        <v>2026</v>
      </c>
      <c r="B25" s="92" t="inlineStr">
        <is>
          <t>D100</t>
        </is>
      </c>
      <c r="C25" s="92" t="inlineStr">
        <is>
          <t>경영기획팀</t>
        </is>
      </c>
      <c r="D25" s="92" t="n">
        <v>62601000</v>
      </c>
      <c r="E25" s="92" t="inlineStr">
        <is>
          <t>업무추진비</t>
        </is>
      </c>
      <c r="F25" s="92" t="n">
        <v>1</v>
      </c>
      <c r="G25" s="93" t="n">
        <v>12000000</v>
      </c>
      <c r="H25" s="93" t="n">
        <v>0</v>
      </c>
      <c r="I25" s="93" t="n">
        <v>10945000</v>
      </c>
      <c r="J25" s="93" t="n">
        <v>1055000</v>
      </c>
      <c r="L25" s="9">
        <f>IF($A25="","",$B25&amp;"|"&amp;$D25)</f>
        <v/>
      </c>
      <c r="M25" s="9">
        <f>IF($A25="","",VALUE($A25&amp;""))</f>
        <v/>
      </c>
      <c r="N25" s="9">
        <f>IF($A25="","",VALUE(SUBSTITUTE(SUBSTITUTE(SUBSTITUTE(UPPER($F25&amp;""),"Q",""),"분기","")," ","")))</f>
        <v/>
      </c>
      <c r="O25" s="94">
        <f>IF($A25="",0,($G25+$H25)*설정!$C$23)</f>
        <v/>
      </c>
      <c r="P25" s="94">
        <f>IF($A25="",0,$I25*설정!$C$23)</f>
        <v/>
      </c>
      <c r="Q25" s="64">
        <f>IF($A25="","",IF(COUNTIF(변동분석!$E$7:$E$506,L25)&gt;0,"Y","N"))</f>
        <v/>
      </c>
      <c r="R25" s="9">
        <f>IF($A25="","",$D25&amp;"")</f>
        <v/>
      </c>
    </row>
    <row r="26">
      <c r="A26" s="92" t="n">
        <v>2026</v>
      </c>
      <c r="B26" s="92" t="inlineStr">
        <is>
          <t>D100</t>
        </is>
      </c>
      <c r="C26" s="92" t="inlineStr">
        <is>
          <t>경영기획팀</t>
        </is>
      </c>
      <c r="D26" s="92" t="n">
        <v>62601000</v>
      </c>
      <c r="E26" s="92" t="inlineStr">
        <is>
          <t>업무추진비</t>
        </is>
      </c>
      <c r="F26" s="92" t="n">
        <v>2</v>
      </c>
      <c r="G26" s="93" t="n">
        <v>12000000</v>
      </c>
      <c r="H26" s="93" t="n">
        <v>0</v>
      </c>
      <c r="I26" s="93" t="n">
        <v>10360000</v>
      </c>
      <c r="J26" s="93" t="n">
        <v>1640000</v>
      </c>
      <c r="L26" s="9">
        <f>IF($A26="","",$B26&amp;"|"&amp;$D26)</f>
        <v/>
      </c>
      <c r="M26" s="9">
        <f>IF($A26="","",VALUE($A26&amp;""))</f>
        <v/>
      </c>
      <c r="N26" s="9">
        <f>IF($A26="","",VALUE(SUBSTITUTE(SUBSTITUTE(SUBSTITUTE(UPPER($F26&amp;""),"Q",""),"분기","")," ","")))</f>
        <v/>
      </c>
      <c r="O26" s="94">
        <f>IF($A26="",0,($G26+$H26)*설정!$C$23)</f>
        <v/>
      </c>
      <c r="P26" s="94">
        <f>IF($A26="",0,$I26*설정!$C$23)</f>
        <v/>
      </c>
      <c r="Q26" s="64">
        <f>IF($A26="","",IF(COUNTIF(변동분석!$E$7:$E$506,L26)&gt;0,"Y","N"))</f>
        <v/>
      </c>
      <c r="R26" s="9">
        <f>IF($A26="","",$D26&amp;"")</f>
        <v/>
      </c>
    </row>
    <row r="27">
      <c r="A27" s="92" t="n">
        <v>2026</v>
      </c>
      <c r="B27" s="92" t="inlineStr">
        <is>
          <t>D100</t>
        </is>
      </c>
      <c r="C27" s="92" t="inlineStr">
        <is>
          <t>경영기획팀</t>
        </is>
      </c>
      <c r="D27" s="92" t="n">
        <v>62601000</v>
      </c>
      <c r="E27" s="92" t="inlineStr">
        <is>
          <t>업무추진비</t>
        </is>
      </c>
      <c r="F27" s="92" t="n">
        <v>3</v>
      </c>
      <c r="G27" s="93" t="n">
        <v>12000000</v>
      </c>
      <c r="H27" s="93" t="n">
        <v>0</v>
      </c>
      <c r="I27" s="93" t="n">
        <v>11376000</v>
      </c>
      <c r="J27" s="93" t="n">
        <v>624000</v>
      </c>
      <c r="L27" s="9">
        <f>IF($A27="","",$B27&amp;"|"&amp;$D27)</f>
        <v/>
      </c>
      <c r="M27" s="9">
        <f>IF($A27="","",VALUE($A27&amp;""))</f>
        <v/>
      </c>
      <c r="N27" s="9">
        <f>IF($A27="","",VALUE(SUBSTITUTE(SUBSTITUTE(SUBSTITUTE(UPPER($F27&amp;""),"Q",""),"분기","")," ","")))</f>
        <v/>
      </c>
      <c r="O27" s="94">
        <f>IF($A27="",0,($G27+$H27)*설정!$C$23)</f>
        <v/>
      </c>
      <c r="P27" s="94">
        <f>IF($A27="",0,$I27*설정!$C$23)</f>
        <v/>
      </c>
      <c r="Q27" s="64">
        <f>IF($A27="","",IF(COUNTIF(변동분석!$E$7:$E$506,L27)&gt;0,"Y","N"))</f>
        <v/>
      </c>
      <c r="R27" s="9">
        <f>IF($A27="","",$D27&amp;"")</f>
        <v/>
      </c>
    </row>
    <row r="28">
      <c r="A28" s="92" t="n">
        <v>2026</v>
      </c>
      <c r="B28" s="92" t="inlineStr">
        <is>
          <t>D100</t>
        </is>
      </c>
      <c r="C28" s="92" t="inlineStr">
        <is>
          <t>경영기획팀</t>
        </is>
      </c>
      <c r="D28" s="92" t="n">
        <v>62601000</v>
      </c>
      <c r="E28" s="92" t="inlineStr">
        <is>
          <t>업무추진비</t>
        </is>
      </c>
      <c r="F28" s="92" t="n">
        <v>4</v>
      </c>
      <c r="G28" s="93" t="n">
        <v>12000000</v>
      </c>
      <c r="H28" s="93" t="n">
        <v>0</v>
      </c>
      <c r="I28" s="93" t="n">
        <v>0</v>
      </c>
      <c r="J28" s="93" t="n">
        <v>12000000</v>
      </c>
      <c r="L28" s="9">
        <f>IF($A28="","",$B28&amp;"|"&amp;$D28)</f>
        <v/>
      </c>
      <c r="M28" s="9">
        <f>IF($A28="","",VALUE($A28&amp;""))</f>
        <v/>
      </c>
      <c r="N28" s="9">
        <f>IF($A28="","",VALUE(SUBSTITUTE(SUBSTITUTE(SUBSTITUTE(UPPER($F28&amp;""),"Q",""),"분기","")," ","")))</f>
        <v/>
      </c>
      <c r="O28" s="94">
        <f>IF($A28="",0,($G28+$H28)*설정!$C$23)</f>
        <v/>
      </c>
      <c r="P28" s="94">
        <f>IF($A28="",0,$I28*설정!$C$23)</f>
        <v/>
      </c>
      <c r="Q28" s="64">
        <f>IF($A28="","",IF(COUNTIF(변동분석!$E$7:$E$506,L28)&gt;0,"Y","N"))</f>
        <v/>
      </c>
      <c r="R28" s="9">
        <f>IF($A28="","",$D28&amp;"")</f>
        <v/>
      </c>
    </row>
    <row r="29">
      <c r="A29" s="92" t="n">
        <v>2026</v>
      </c>
      <c r="B29" s="92" t="inlineStr">
        <is>
          <t>D100</t>
        </is>
      </c>
      <c r="C29" s="92" t="inlineStr">
        <is>
          <t>경영기획팀</t>
        </is>
      </c>
      <c r="D29" s="92" t="n">
        <v>62901000</v>
      </c>
      <c r="E29" s="92" t="inlineStr">
        <is>
          <t>지급수수료-컨설팅</t>
        </is>
      </c>
      <c r="F29" s="92" t="n">
        <v>1</v>
      </c>
      <c r="G29" s="93" t="n">
        <v>42000000</v>
      </c>
      <c r="H29" s="93" t="n">
        <v>0</v>
      </c>
      <c r="I29" s="93" t="n">
        <v>34126000</v>
      </c>
      <c r="J29" s="93" t="n">
        <v>7874000</v>
      </c>
      <c r="L29" s="9">
        <f>IF($A29="","",$B29&amp;"|"&amp;$D29)</f>
        <v/>
      </c>
      <c r="M29" s="9">
        <f>IF($A29="","",VALUE($A29&amp;""))</f>
        <v/>
      </c>
      <c r="N29" s="9">
        <f>IF($A29="","",VALUE(SUBSTITUTE(SUBSTITUTE(SUBSTITUTE(UPPER($F29&amp;""),"Q",""),"분기","")," ","")))</f>
        <v/>
      </c>
      <c r="O29" s="94">
        <f>IF($A29="",0,($G29+$H29)*설정!$C$23)</f>
        <v/>
      </c>
      <c r="P29" s="94">
        <f>IF($A29="",0,$I29*설정!$C$23)</f>
        <v/>
      </c>
      <c r="Q29" s="64">
        <f>IF($A29="","",IF(COUNTIF(변동분석!$E$7:$E$506,L29)&gt;0,"Y","N"))</f>
        <v/>
      </c>
      <c r="R29" s="9">
        <f>IF($A29="","",$D29&amp;"")</f>
        <v/>
      </c>
    </row>
    <row r="30">
      <c r="A30" s="92" t="n">
        <v>2026</v>
      </c>
      <c r="B30" s="92" t="inlineStr">
        <is>
          <t>D100</t>
        </is>
      </c>
      <c r="C30" s="92" t="inlineStr">
        <is>
          <t>경영기획팀</t>
        </is>
      </c>
      <c r="D30" s="92" t="n">
        <v>62901000</v>
      </c>
      <c r="E30" s="92" t="inlineStr">
        <is>
          <t>지급수수료-컨설팅</t>
        </is>
      </c>
      <c r="F30" s="92" t="n">
        <v>2</v>
      </c>
      <c r="G30" s="93" t="n">
        <v>42000000</v>
      </c>
      <c r="H30" s="93" t="n">
        <v>0</v>
      </c>
      <c r="I30" s="93" t="n">
        <v>32549000</v>
      </c>
      <c r="J30" s="93" t="n">
        <v>9451000</v>
      </c>
      <c r="L30" s="9">
        <f>IF($A30="","",$B30&amp;"|"&amp;$D30)</f>
        <v/>
      </c>
      <c r="M30" s="9">
        <f>IF($A30="","",VALUE($A30&amp;""))</f>
        <v/>
      </c>
      <c r="N30" s="9">
        <f>IF($A30="","",VALUE(SUBSTITUTE(SUBSTITUTE(SUBSTITUTE(UPPER($F30&amp;""),"Q",""),"분기","")," ","")))</f>
        <v/>
      </c>
      <c r="O30" s="94">
        <f>IF($A30="",0,($G30+$H30)*설정!$C$23)</f>
        <v/>
      </c>
      <c r="P30" s="94">
        <f>IF($A30="",0,$I30*설정!$C$23)</f>
        <v/>
      </c>
      <c r="Q30" s="64">
        <f>IF($A30="","",IF(COUNTIF(변동분석!$E$7:$E$506,L30)&gt;0,"Y","N"))</f>
        <v/>
      </c>
      <c r="R30" s="9">
        <f>IF($A30="","",$D30&amp;"")</f>
        <v/>
      </c>
    </row>
    <row r="31">
      <c r="A31" s="92" t="n">
        <v>2026</v>
      </c>
      <c r="B31" s="92" t="inlineStr">
        <is>
          <t>D100</t>
        </is>
      </c>
      <c r="C31" s="92" t="inlineStr">
        <is>
          <t>경영기획팀</t>
        </is>
      </c>
      <c r="D31" s="92" t="n">
        <v>62901000</v>
      </c>
      <c r="E31" s="92" t="inlineStr">
        <is>
          <t>지급수수료-컨설팅</t>
        </is>
      </c>
      <c r="F31" s="92" t="n">
        <v>3</v>
      </c>
      <c r="G31" s="93" t="n">
        <v>42000000</v>
      </c>
      <c r="H31" s="93" t="n">
        <v>0</v>
      </c>
      <c r="I31" s="93" t="n">
        <v>8538000</v>
      </c>
      <c r="J31" s="93" t="n">
        <v>33462000</v>
      </c>
      <c r="L31" s="9">
        <f>IF($A31="","",$B31&amp;"|"&amp;$D31)</f>
        <v/>
      </c>
      <c r="M31" s="9">
        <f>IF($A31="","",VALUE($A31&amp;""))</f>
        <v/>
      </c>
      <c r="N31" s="9">
        <f>IF($A31="","",VALUE(SUBSTITUTE(SUBSTITUTE(SUBSTITUTE(UPPER($F31&amp;""),"Q",""),"분기","")," ","")))</f>
        <v/>
      </c>
      <c r="O31" s="94">
        <f>IF($A31="",0,($G31+$H31)*설정!$C$23)</f>
        <v/>
      </c>
      <c r="P31" s="94">
        <f>IF($A31="",0,$I31*설정!$C$23)</f>
        <v/>
      </c>
      <c r="Q31" s="64">
        <f>IF($A31="","",IF(COUNTIF(변동분석!$E$7:$E$506,L31)&gt;0,"Y","N"))</f>
        <v/>
      </c>
      <c r="R31" s="9">
        <f>IF($A31="","",$D31&amp;"")</f>
        <v/>
      </c>
    </row>
    <row r="32">
      <c r="A32" s="92" t="n">
        <v>2026</v>
      </c>
      <c r="B32" s="92" t="inlineStr">
        <is>
          <t>D100</t>
        </is>
      </c>
      <c r="C32" s="92" t="inlineStr">
        <is>
          <t>경영기획팀</t>
        </is>
      </c>
      <c r="D32" s="92" t="n">
        <v>62901000</v>
      </c>
      <c r="E32" s="92" t="inlineStr">
        <is>
          <t>지급수수료-컨설팅</t>
        </is>
      </c>
      <c r="F32" s="92" t="n">
        <v>4</v>
      </c>
      <c r="G32" s="93" t="n">
        <v>42000000</v>
      </c>
      <c r="H32" s="93" t="n">
        <v>0</v>
      </c>
      <c r="I32" s="93" t="n">
        <v>0</v>
      </c>
      <c r="J32" s="93" t="n">
        <v>42000000</v>
      </c>
      <c r="L32" s="9">
        <f>IF($A32="","",$B32&amp;"|"&amp;$D32)</f>
        <v/>
      </c>
      <c r="M32" s="9">
        <f>IF($A32="","",VALUE($A32&amp;""))</f>
        <v/>
      </c>
      <c r="N32" s="9">
        <f>IF($A32="","",VALUE(SUBSTITUTE(SUBSTITUTE(SUBSTITUTE(UPPER($F32&amp;""),"Q",""),"분기","")," ","")))</f>
        <v/>
      </c>
      <c r="O32" s="94">
        <f>IF($A32="",0,($G32+$H32)*설정!$C$23)</f>
        <v/>
      </c>
      <c r="P32" s="94">
        <f>IF($A32="",0,$I32*설정!$C$23)</f>
        <v/>
      </c>
      <c r="Q32" s="64">
        <f>IF($A32="","",IF(COUNTIF(변동분석!$E$7:$E$506,L32)&gt;0,"Y","N"))</f>
        <v/>
      </c>
      <c r="R32" s="9">
        <f>IF($A32="","",$D32&amp;"")</f>
        <v/>
      </c>
    </row>
    <row r="33">
      <c r="A33" s="92" t="n">
        <v>2026</v>
      </c>
      <c r="B33" s="92" t="inlineStr">
        <is>
          <t>D100</t>
        </is>
      </c>
      <c r="C33" s="92" t="inlineStr">
        <is>
          <t>경영기획팀</t>
        </is>
      </c>
      <c r="D33" s="92" t="n">
        <v>62902000</v>
      </c>
      <c r="E33" s="92" t="inlineStr">
        <is>
          <t>지급수수료-기타</t>
        </is>
      </c>
      <c r="F33" s="92" t="n">
        <v>1</v>
      </c>
      <c r="G33" s="93" t="n">
        <v>18000000</v>
      </c>
      <c r="H33" s="93" t="n">
        <v>0</v>
      </c>
      <c r="I33" s="93" t="n">
        <v>15913000</v>
      </c>
      <c r="J33" s="93" t="n">
        <v>2087000</v>
      </c>
      <c r="L33" s="9">
        <f>IF($A33="","",$B33&amp;"|"&amp;$D33)</f>
        <v/>
      </c>
      <c r="M33" s="9">
        <f>IF($A33="","",VALUE($A33&amp;""))</f>
        <v/>
      </c>
      <c r="N33" s="9">
        <f>IF($A33="","",VALUE(SUBSTITUTE(SUBSTITUTE(SUBSTITUTE(UPPER($F33&amp;""),"Q",""),"분기","")," ","")))</f>
        <v/>
      </c>
      <c r="O33" s="94">
        <f>IF($A33="",0,($G33+$H33)*설정!$C$23)</f>
        <v/>
      </c>
      <c r="P33" s="94">
        <f>IF($A33="",0,$I33*설정!$C$23)</f>
        <v/>
      </c>
      <c r="Q33" s="64">
        <f>IF($A33="","",IF(COUNTIF(변동분석!$E$7:$E$506,L33)&gt;0,"Y","N"))</f>
        <v/>
      </c>
      <c r="R33" s="9">
        <f>IF($A33="","",$D33&amp;"")</f>
        <v/>
      </c>
    </row>
    <row r="34">
      <c r="A34" s="92" t="n">
        <v>2026</v>
      </c>
      <c r="B34" s="92" t="inlineStr">
        <is>
          <t>D100</t>
        </is>
      </c>
      <c r="C34" s="92" t="inlineStr">
        <is>
          <t>경영기획팀</t>
        </is>
      </c>
      <c r="D34" s="92" t="n">
        <v>62902000</v>
      </c>
      <c r="E34" s="92" t="inlineStr">
        <is>
          <t>지급수수료-기타</t>
        </is>
      </c>
      <c r="F34" s="92" t="n">
        <v>2</v>
      </c>
      <c r="G34" s="93" t="n">
        <v>18000000</v>
      </c>
      <c r="H34" s="93" t="n">
        <v>0</v>
      </c>
      <c r="I34" s="93" t="n">
        <v>15656000</v>
      </c>
      <c r="J34" s="93" t="n">
        <v>2344000</v>
      </c>
      <c r="L34" s="9">
        <f>IF($A34="","",$B34&amp;"|"&amp;$D34)</f>
        <v/>
      </c>
      <c r="M34" s="9">
        <f>IF($A34="","",VALUE($A34&amp;""))</f>
        <v/>
      </c>
      <c r="N34" s="9">
        <f>IF($A34="","",VALUE(SUBSTITUTE(SUBSTITUTE(SUBSTITUTE(UPPER($F34&amp;""),"Q",""),"분기","")," ","")))</f>
        <v/>
      </c>
      <c r="O34" s="94">
        <f>IF($A34="",0,($G34+$H34)*설정!$C$23)</f>
        <v/>
      </c>
      <c r="P34" s="94">
        <f>IF($A34="",0,$I34*설정!$C$23)</f>
        <v/>
      </c>
      <c r="Q34" s="64">
        <f>IF($A34="","",IF(COUNTIF(변동분석!$E$7:$E$506,L34)&gt;0,"Y","N"))</f>
        <v/>
      </c>
      <c r="R34" s="9">
        <f>IF($A34="","",$D34&amp;"")</f>
        <v/>
      </c>
    </row>
    <row r="35">
      <c r="A35" s="92" t="n">
        <v>2026</v>
      </c>
      <c r="B35" s="92" t="inlineStr">
        <is>
          <t>D100</t>
        </is>
      </c>
      <c r="C35" s="92" t="inlineStr">
        <is>
          <t>경영기획팀</t>
        </is>
      </c>
      <c r="D35" s="92" t="n">
        <v>62902000</v>
      </c>
      <c r="E35" s="92" t="inlineStr">
        <is>
          <t>지급수수료-기타</t>
        </is>
      </c>
      <c r="F35" s="92" t="n">
        <v>3</v>
      </c>
      <c r="G35" s="93" t="n">
        <v>18000000</v>
      </c>
      <c r="H35" s="93" t="n">
        <v>0</v>
      </c>
      <c r="I35" s="93" t="n">
        <v>16268000</v>
      </c>
      <c r="J35" s="93" t="n">
        <v>1732000</v>
      </c>
      <c r="L35" s="9">
        <f>IF($A35="","",$B35&amp;"|"&amp;$D35)</f>
        <v/>
      </c>
      <c r="M35" s="9">
        <f>IF($A35="","",VALUE($A35&amp;""))</f>
        <v/>
      </c>
      <c r="N35" s="9">
        <f>IF($A35="","",VALUE(SUBSTITUTE(SUBSTITUTE(SUBSTITUTE(UPPER($F35&amp;""),"Q",""),"분기","")," ","")))</f>
        <v/>
      </c>
      <c r="O35" s="94">
        <f>IF($A35="",0,($G35+$H35)*설정!$C$23)</f>
        <v/>
      </c>
      <c r="P35" s="94">
        <f>IF($A35="",0,$I35*설정!$C$23)</f>
        <v/>
      </c>
      <c r="Q35" s="64">
        <f>IF($A35="","",IF(COUNTIF(변동분석!$E$7:$E$506,L35)&gt;0,"Y","N"))</f>
        <v/>
      </c>
      <c r="R35" s="9">
        <f>IF($A35="","",$D35&amp;"")</f>
        <v/>
      </c>
    </row>
    <row r="36">
      <c r="A36" s="92" t="n">
        <v>2026</v>
      </c>
      <c r="B36" s="92" t="inlineStr">
        <is>
          <t>D100</t>
        </is>
      </c>
      <c r="C36" s="92" t="inlineStr">
        <is>
          <t>경영기획팀</t>
        </is>
      </c>
      <c r="D36" s="92" t="n">
        <v>62902000</v>
      </c>
      <c r="E36" s="92" t="inlineStr">
        <is>
          <t>지급수수료-기타</t>
        </is>
      </c>
      <c r="F36" s="92" t="n">
        <v>4</v>
      </c>
      <c r="G36" s="93" t="n">
        <v>18000000</v>
      </c>
      <c r="H36" s="93" t="n">
        <v>0</v>
      </c>
      <c r="I36" s="93" t="n">
        <v>0</v>
      </c>
      <c r="J36" s="93" t="n">
        <v>18000000</v>
      </c>
      <c r="L36" s="9">
        <f>IF($A36="","",$B36&amp;"|"&amp;$D36)</f>
        <v/>
      </c>
      <c r="M36" s="9">
        <f>IF($A36="","",VALUE($A36&amp;""))</f>
        <v/>
      </c>
      <c r="N36" s="9">
        <f>IF($A36="","",VALUE(SUBSTITUTE(SUBSTITUTE(SUBSTITUTE(UPPER($F36&amp;""),"Q",""),"분기","")," ","")))</f>
        <v/>
      </c>
      <c r="O36" s="94">
        <f>IF($A36="",0,($G36+$H36)*설정!$C$23)</f>
        <v/>
      </c>
      <c r="P36" s="94">
        <f>IF($A36="",0,$I36*설정!$C$23)</f>
        <v/>
      </c>
      <c r="Q36" s="64">
        <f>IF($A36="","",IF(COUNTIF(변동분석!$E$7:$E$506,L36)&gt;0,"Y","N"))</f>
        <v/>
      </c>
      <c r="R36" s="9">
        <f>IF($A36="","",$D36&amp;"")</f>
        <v/>
      </c>
    </row>
    <row r="37">
      <c r="A37" s="92" t="n">
        <v>2026</v>
      </c>
      <c r="B37" s="92" t="inlineStr">
        <is>
          <t>D200</t>
        </is>
      </c>
      <c r="C37" s="92" t="inlineStr">
        <is>
          <t>재무회계팀</t>
        </is>
      </c>
      <c r="D37" s="92" t="n">
        <v>62101000</v>
      </c>
      <c r="E37" s="92" t="inlineStr">
        <is>
          <t>여비교통비-국내</t>
        </is>
      </c>
      <c r="F37" s="92" t="n">
        <v>1</v>
      </c>
      <c r="G37" s="93" t="n">
        <v>3825000</v>
      </c>
      <c r="H37" s="93" t="n">
        <v>0</v>
      </c>
      <c r="I37" s="93" t="n">
        <v>3636000</v>
      </c>
      <c r="J37" s="93" t="n">
        <v>189000</v>
      </c>
      <c r="L37" s="9">
        <f>IF($A37="","",$B37&amp;"|"&amp;$D37)</f>
        <v/>
      </c>
      <c r="M37" s="9">
        <f>IF($A37="","",VALUE($A37&amp;""))</f>
        <v/>
      </c>
      <c r="N37" s="9">
        <f>IF($A37="","",VALUE(SUBSTITUTE(SUBSTITUTE(SUBSTITUTE(UPPER($F37&amp;""),"Q",""),"분기","")," ","")))</f>
        <v/>
      </c>
      <c r="O37" s="94">
        <f>IF($A37="",0,($G37+$H37)*설정!$C$23)</f>
        <v/>
      </c>
      <c r="P37" s="94">
        <f>IF($A37="",0,$I37*설정!$C$23)</f>
        <v/>
      </c>
      <c r="Q37" s="64">
        <f>IF($A37="","",IF(COUNTIF(변동분석!$E$7:$E$506,L37)&gt;0,"Y","N"))</f>
        <v/>
      </c>
      <c r="R37" s="9">
        <f>IF($A37="","",$D37&amp;"")</f>
        <v/>
      </c>
    </row>
    <row r="38">
      <c r="A38" s="92" t="n">
        <v>2026</v>
      </c>
      <c r="B38" s="92" t="inlineStr">
        <is>
          <t>D200</t>
        </is>
      </c>
      <c r="C38" s="92" t="inlineStr">
        <is>
          <t>재무회계팀</t>
        </is>
      </c>
      <c r="D38" s="92" t="n">
        <v>62101000</v>
      </c>
      <c r="E38" s="92" t="inlineStr">
        <is>
          <t>여비교통비-국내</t>
        </is>
      </c>
      <c r="F38" s="92" t="n">
        <v>2</v>
      </c>
      <c r="G38" s="93" t="n">
        <v>3825000</v>
      </c>
      <c r="H38" s="93" t="n">
        <v>0</v>
      </c>
      <c r="I38" s="93" t="n">
        <v>3202000</v>
      </c>
      <c r="J38" s="93" t="n">
        <v>623000</v>
      </c>
      <c r="L38" s="9">
        <f>IF($A38="","",$B38&amp;"|"&amp;$D38)</f>
        <v/>
      </c>
      <c r="M38" s="9">
        <f>IF($A38="","",VALUE($A38&amp;""))</f>
        <v/>
      </c>
      <c r="N38" s="9">
        <f>IF($A38="","",VALUE(SUBSTITUTE(SUBSTITUTE(SUBSTITUTE(UPPER($F38&amp;""),"Q",""),"분기","")," ","")))</f>
        <v/>
      </c>
      <c r="O38" s="94">
        <f>IF($A38="",0,($G38+$H38)*설정!$C$23)</f>
        <v/>
      </c>
      <c r="P38" s="94">
        <f>IF($A38="",0,$I38*설정!$C$23)</f>
        <v/>
      </c>
      <c r="Q38" s="64">
        <f>IF($A38="","",IF(COUNTIF(변동분석!$E$7:$E$506,L38)&gt;0,"Y","N"))</f>
        <v/>
      </c>
      <c r="R38" s="9">
        <f>IF($A38="","",$D38&amp;"")</f>
        <v/>
      </c>
    </row>
    <row r="39">
      <c r="A39" s="92" t="n">
        <v>2026</v>
      </c>
      <c r="B39" s="92" t="inlineStr">
        <is>
          <t>D200</t>
        </is>
      </c>
      <c r="C39" s="92" t="inlineStr">
        <is>
          <t>재무회계팀</t>
        </is>
      </c>
      <c r="D39" s="92" t="n">
        <v>62101000</v>
      </c>
      <c r="E39" s="92" t="inlineStr">
        <is>
          <t>여비교통비-국내</t>
        </is>
      </c>
      <c r="F39" s="92" t="n">
        <v>3</v>
      </c>
      <c r="G39" s="93" t="n">
        <v>3825000</v>
      </c>
      <c r="H39" s="93" t="n">
        <v>0</v>
      </c>
      <c r="I39" s="93" t="n">
        <v>3343000</v>
      </c>
      <c r="J39" s="93" t="n">
        <v>482000</v>
      </c>
      <c r="L39" s="9">
        <f>IF($A39="","",$B39&amp;"|"&amp;$D39)</f>
        <v/>
      </c>
      <c r="M39" s="9">
        <f>IF($A39="","",VALUE($A39&amp;""))</f>
        <v/>
      </c>
      <c r="N39" s="9">
        <f>IF($A39="","",VALUE(SUBSTITUTE(SUBSTITUTE(SUBSTITUTE(UPPER($F39&amp;""),"Q",""),"분기","")," ","")))</f>
        <v/>
      </c>
      <c r="O39" s="94">
        <f>IF($A39="",0,($G39+$H39)*설정!$C$23)</f>
        <v/>
      </c>
      <c r="P39" s="94">
        <f>IF($A39="",0,$I39*설정!$C$23)</f>
        <v/>
      </c>
      <c r="Q39" s="64">
        <f>IF($A39="","",IF(COUNTIF(변동분석!$E$7:$E$506,L39)&gt;0,"Y","N"))</f>
        <v/>
      </c>
      <c r="R39" s="9">
        <f>IF($A39="","",$D39&amp;"")</f>
        <v/>
      </c>
    </row>
    <row r="40">
      <c r="A40" s="92" t="n">
        <v>2026</v>
      </c>
      <c r="B40" s="92" t="inlineStr">
        <is>
          <t>D200</t>
        </is>
      </c>
      <c r="C40" s="92" t="inlineStr">
        <is>
          <t>재무회계팀</t>
        </is>
      </c>
      <c r="D40" s="92" t="n">
        <v>62101000</v>
      </c>
      <c r="E40" s="92" t="inlineStr">
        <is>
          <t>여비교통비-국내</t>
        </is>
      </c>
      <c r="F40" s="92" t="n">
        <v>4</v>
      </c>
      <c r="G40" s="93" t="n">
        <v>3825000</v>
      </c>
      <c r="H40" s="93" t="n">
        <v>0</v>
      </c>
      <c r="I40" s="93" t="n">
        <v>0</v>
      </c>
      <c r="J40" s="93" t="n">
        <v>3825000</v>
      </c>
      <c r="L40" s="9">
        <f>IF($A40="","",$B40&amp;"|"&amp;$D40)</f>
        <v/>
      </c>
      <c r="M40" s="9">
        <f>IF($A40="","",VALUE($A40&amp;""))</f>
        <v/>
      </c>
      <c r="N40" s="9">
        <f>IF($A40="","",VALUE(SUBSTITUTE(SUBSTITUTE(SUBSTITUTE(UPPER($F40&amp;""),"Q",""),"분기","")," ","")))</f>
        <v/>
      </c>
      <c r="O40" s="94">
        <f>IF($A40="",0,($G40+$H40)*설정!$C$23)</f>
        <v/>
      </c>
      <c r="P40" s="94">
        <f>IF($A40="",0,$I40*설정!$C$23)</f>
        <v/>
      </c>
      <c r="Q40" s="64">
        <f>IF($A40="","",IF(COUNTIF(변동분석!$E$7:$E$506,L40)&gt;0,"Y","N"))</f>
        <v/>
      </c>
      <c r="R40" s="9">
        <f>IF($A40="","",$D40&amp;"")</f>
        <v/>
      </c>
    </row>
    <row r="41">
      <c r="A41" s="92" t="n">
        <v>2026</v>
      </c>
      <c r="B41" s="92" t="inlineStr">
        <is>
          <t>D200</t>
        </is>
      </c>
      <c r="C41" s="92" t="inlineStr">
        <is>
          <t>재무회계팀</t>
        </is>
      </c>
      <c r="D41" s="92" t="n">
        <v>62102000</v>
      </c>
      <c r="E41" s="92" t="inlineStr">
        <is>
          <t>여비교통비-해외</t>
        </is>
      </c>
      <c r="F41" s="92" t="n">
        <v>1</v>
      </c>
      <c r="G41" s="93" t="n">
        <v>675000</v>
      </c>
      <c r="H41" s="93" t="n">
        <v>0</v>
      </c>
      <c r="I41" s="93" t="n">
        <v>570000</v>
      </c>
      <c r="J41" s="93" t="n">
        <v>105000</v>
      </c>
      <c r="L41" s="9">
        <f>IF($A41="","",$B41&amp;"|"&amp;$D41)</f>
        <v/>
      </c>
      <c r="M41" s="9">
        <f>IF($A41="","",VALUE($A41&amp;""))</f>
        <v/>
      </c>
      <c r="N41" s="9">
        <f>IF($A41="","",VALUE(SUBSTITUTE(SUBSTITUTE(SUBSTITUTE(UPPER($F41&amp;""),"Q",""),"분기","")," ","")))</f>
        <v/>
      </c>
      <c r="O41" s="94">
        <f>IF($A41="",0,($G41+$H41)*설정!$C$23)</f>
        <v/>
      </c>
      <c r="P41" s="94">
        <f>IF($A41="",0,$I41*설정!$C$23)</f>
        <v/>
      </c>
      <c r="Q41" s="64">
        <f>IF($A41="","",IF(COUNTIF(변동분석!$E$7:$E$506,L41)&gt;0,"Y","N"))</f>
        <v/>
      </c>
      <c r="R41" s="9">
        <f>IF($A41="","",$D41&amp;"")</f>
        <v/>
      </c>
    </row>
    <row r="42">
      <c r="A42" s="92" t="n">
        <v>2026</v>
      </c>
      <c r="B42" s="92" t="inlineStr">
        <is>
          <t>D200</t>
        </is>
      </c>
      <c r="C42" s="92" t="inlineStr">
        <is>
          <t>재무회계팀</t>
        </is>
      </c>
      <c r="D42" s="92" t="n">
        <v>62102000</v>
      </c>
      <c r="E42" s="92" t="inlineStr">
        <is>
          <t>여비교통비-해외</t>
        </is>
      </c>
      <c r="F42" s="92" t="n">
        <v>2</v>
      </c>
      <c r="G42" s="93" t="n">
        <v>675000</v>
      </c>
      <c r="H42" s="93" t="n">
        <v>0</v>
      </c>
      <c r="I42" s="93" t="n">
        <v>646000</v>
      </c>
      <c r="J42" s="93" t="n">
        <v>29000</v>
      </c>
      <c r="L42" s="9">
        <f>IF($A42="","",$B42&amp;"|"&amp;$D42)</f>
        <v/>
      </c>
      <c r="M42" s="9">
        <f>IF($A42="","",VALUE($A42&amp;""))</f>
        <v/>
      </c>
      <c r="N42" s="9">
        <f>IF($A42="","",VALUE(SUBSTITUTE(SUBSTITUTE(SUBSTITUTE(UPPER($F42&amp;""),"Q",""),"분기","")," ","")))</f>
        <v/>
      </c>
      <c r="O42" s="94">
        <f>IF($A42="",0,($G42+$H42)*설정!$C$23)</f>
        <v/>
      </c>
      <c r="P42" s="94">
        <f>IF($A42="",0,$I42*설정!$C$23)</f>
        <v/>
      </c>
      <c r="Q42" s="64">
        <f>IF($A42="","",IF(COUNTIF(변동분석!$E$7:$E$506,L42)&gt;0,"Y","N"))</f>
        <v/>
      </c>
      <c r="R42" s="9">
        <f>IF($A42="","",$D42&amp;"")</f>
        <v/>
      </c>
    </row>
    <row r="43">
      <c r="A43" s="92" t="n">
        <v>2026</v>
      </c>
      <c r="B43" s="92" t="inlineStr">
        <is>
          <t>D200</t>
        </is>
      </c>
      <c r="C43" s="92" t="inlineStr">
        <is>
          <t>재무회계팀</t>
        </is>
      </c>
      <c r="D43" s="92" t="n">
        <v>62102000</v>
      </c>
      <c r="E43" s="92" t="inlineStr">
        <is>
          <t>여비교통비-해외</t>
        </is>
      </c>
      <c r="F43" s="92" t="n">
        <v>3</v>
      </c>
      <c r="G43" s="93" t="n">
        <v>675000</v>
      </c>
      <c r="H43" s="93" t="n">
        <v>0</v>
      </c>
      <c r="I43" s="93" t="n">
        <v>636000</v>
      </c>
      <c r="J43" s="93" t="n">
        <v>39000</v>
      </c>
      <c r="L43" s="9">
        <f>IF($A43="","",$B43&amp;"|"&amp;$D43)</f>
        <v/>
      </c>
      <c r="M43" s="9">
        <f>IF($A43="","",VALUE($A43&amp;""))</f>
        <v/>
      </c>
      <c r="N43" s="9">
        <f>IF($A43="","",VALUE(SUBSTITUTE(SUBSTITUTE(SUBSTITUTE(UPPER($F43&amp;""),"Q",""),"분기","")," ","")))</f>
        <v/>
      </c>
      <c r="O43" s="94">
        <f>IF($A43="",0,($G43+$H43)*설정!$C$23)</f>
        <v/>
      </c>
      <c r="P43" s="94">
        <f>IF($A43="",0,$I43*설정!$C$23)</f>
        <v/>
      </c>
      <c r="Q43" s="64">
        <f>IF($A43="","",IF(COUNTIF(변동분석!$E$7:$E$506,L43)&gt;0,"Y","N"))</f>
        <v/>
      </c>
      <c r="R43" s="9">
        <f>IF($A43="","",$D43&amp;"")</f>
        <v/>
      </c>
    </row>
    <row r="44">
      <c r="A44" s="92" t="n">
        <v>2026</v>
      </c>
      <c r="B44" s="92" t="inlineStr">
        <is>
          <t>D200</t>
        </is>
      </c>
      <c r="C44" s="92" t="inlineStr">
        <is>
          <t>재무회계팀</t>
        </is>
      </c>
      <c r="D44" s="92" t="n">
        <v>62102000</v>
      </c>
      <c r="E44" s="92" t="inlineStr">
        <is>
          <t>여비교통비-해외</t>
        </is>
      </c>
      <c r="F44" s="92" t="n">
        <v>4</v>
      </c>
      <c r="G44" s="93" t="n">
        <v>675000</v>
      </c>
      <c r="H44" s="93" t="n">
        <v>0</v>
      </c>
      <c r="I44" s="93" t="n">
        <v>0</v>
      </c>
      <c r="J44" s="93" t="n">
        <v>675000</v>
      </c>
      <c r="L44" s="9">
        <f>IF($A44="","",$B44&amp;"|"&amp;$D44)</f>
        <v/>
      </c>
      <c r="M44" s="9">
        <f>IF($A44="","",VALUE($A44&amp;""))</f>
        <v/>
      </c>
      <c r="N44" s="9">
        <f>IF($A44="","",VALUE(SUBSTITUTE(SUBSTITUTE(SUBSTITUTE(UPPER($F44&amp;""),"Q",""),"분기","")," ","")))</f>
        <v/>
      </c>
      <c r="O44" s="94">
        <f>IF($A44="",0,($G44+$H44)*설정!$C$23)</f>
        <v/>
      </c>
      <c r="P44" s="94">
        <f>IF($A44="",0,$I44*설정!$C$23)</f>
        <v/>
      </c>
      <c r="Q44" s="64">
        <f>IF($A44="","",IF(COUNTIF(변동분석!$E$7:$E$506,L44)&gt;0,"Y","N"))</f>
        <v/>
      </c>
      <c r="R44" s="9">
        <f>IF($A44="","",$D44&amp;"")</f>
        <v/>
      </c>
    </row>
    <row r="45">
      <c r="A45" s="92" t="n">
        <v>2026</v>
      </c>
      <c r="B45" s="92" t="inlineStr">
        <is>
          <t>D200</t>
        </is>
      </c>
      <c r="C45" s="92" t="inlineStr">
        <is>
          <t>재무회계팀</t>
        </is>
      </c>
      <c r="D45" s="92" t="n">
        <v>62201000</v>
      </c>
      <c r="E45" s="92" t="inlineStr">
        <is>
          <t>통신비</t>
        </is>
      </c>
      <c r="F45" s="92" t="n">
        <v>1</v>
      </c>
      <c r="G45" s="93" t="n">
        <v>1800000</v>
      </c>
      <c r="H45" s="93" t="n">
        <v>0</v>
      </c>
      <c r="I45" s="93" t="n">
        <v>1589000</v>
      </c>
      <c r="J45" s="93" t="n">
        <v>211000</v>
      </c>
      <c r="L45" s="9">
        <f>IF($A45="","",$B45&amp;"|"&amp;$D45)</f>
        <v/>
      </c>
      <c r="M45" s="9">
        <f>IF($A45="","",VALUE($A45&amp;""))</f>
        <v/>
      </c>
      <c r="N45" s="9">
        <f>IF($A45="","",VALUE(SUBSTITUTE(SUBSTITUTE(SUBSTITUTE(UPPER($F45&amp;""),"Q",""),"분기","")," ","")))</f>
        <v/>
      </c>
      <c r="O45" s="94">
        <f>IF($A45="",0,($G45+$H45)*설정!$C$23)</f>
        <v/>
      </c>
      <c r="P45" s="94">
        <f>IF($A45="",0,$I45*설정!$C$23)</f>
        <v/>
      </c>
      <c r="Q45" s="64">
        <f>IF($A45="","",IF(COUNTIF(변동분석!$E$7:$E$506,L45)&gt;0,"Y","N"))</f>
        <v/>
      </c>
      <c r="R45" s="9">
        <f>IF($A45="","",$D45&amp;"")</f>
        <v/>
      </c>
    </row>
    <row r="46">
      <c r="A46" s="92" t="n">
        <v>2026</v>
      </c>
      <c r="B46" s="92" t="inlineStr">
        <is>
          <t>D200</t>
        </is>
      </c>
      <c r="C46" s="92" t="inlineStr">
        <is>
          <t>재무회계팀</t>
        </is>
      </c>
      <c r="D46" s="92" t="n">
        <v>62201000</v>
      </c>
      <c r="E46" s="92" t="inlineStr">
        <is>
          <t>통신비</t>
        </is>
      </c>
      <c r="F46" s="92" t="n">
        <v>2</v>
      </c>
      <c r="G46" s="93" t="n">
        <v>1800000</v>
      </c>
      <c r="H46" s="93" t="n">
        <v>0</v>
      </c>
      <c r="I46" s="93" t="n">
        <v>1540000</v>
      </c>
      <c r="J46" s="93" t="n">
        <v>260000</v>
      </c>
      <c r="L46" s="9">
        <f>IF($A46="","",$B46&amp;"|"&amp;$D46)</f>
        <v/>
      </c>
      <c r="M46" s="9">
        <f>IF($A46="","",VALUE($A46&amp;""))</f>
        <v/>
      </c>
      <c r="N46" s="9">
        <f>IF($A46="","",VALUE(SUBSTITUTE(SUBSTITUTE(SUBSTITUTE(UPPER($F46&amp;""),"Q",""),"분기","")," ","")))</f>
        <v/>
      </c>
      <c r="O46" s="94">
        <f>IF($A46="",0,($G46+$H46)*설정!$C$23)</f>
        <v/>
      </c>
      <c r="P46" s="94">
        <f>IF($A46="",0,$I46*설정!$C$23)</f>
        <v/>
      </c>
      <c r="Q46" s="64">
        <f>IF($A46="","",IF(COUNTIF(변동분석!$E$7:$E$506,L46)&gt;0,"Y","N"))</f>
        <v/>
      </c>
      <c r="R46" s="9">
        <f>IF($A46="","",$D46&amp;"")</f>
        <v/>
      </c>
    </row>
    <row r="47">
      <c r="A47" s="92" t="n">
        <v>2026</v>
      </c>
      <c r="B47" s="92" t="inlineStr">
        <is>
          <t>D200</t>
        </is>
      </c>
      <c r="C47" s="92" t="inlineStr">
        <is>
          <t>재무회계팀</t>
        </is>
      </c>
      <c r="D47" s="92" t="n">
        <v>62201000</v>
      </c>
      <c r="E47" s="92" t="inlineStr">
        <is>
          <t>통신비</t>
        </is>
      </c>
      <c r="F47" s="92" t="n">
        <v>3</v>
      </c>
      <c r="G47" s="93" t="n">
        <v>1800000</v>
      </c>
      <c r="H47" s="93" t="n">
        <v>0</v>
      </c>
      <c r="I47" s="93" t="n">
        <v>1507000</v>
      </c>
      <c r="J47" s="93" t="n">
        <v>293000</v>
      </c>
      <c r="L47" s="9">
        <f>IF($A47="","",$B47&amp;"|"&amp;$D47)</f>
        <v/>
      </c>
      <c r="M47" s="9">
        <f>IF($A47="","",VALUE($A47&amp;""))</f>
        <v/>
      </c>
      <c r="N47" s="9">
        <f>IF($A47="","",VALUE(SUBSTITUTE(SUBSTITUTE(SUBSTITUTE(UPPER($F47&amp;""),"Q",""),"분기","")," ","")))</f>
        <v/>
      </c>
      <c r="O47" s="94">
        <f>IF($A47="",0,($G47+$H47)*설정!$C$23)</f>
        <v/>
      </c>
      <c r="P47" s="94">
        <f>IF($A47="",0,$I47*설정!$C$23)</f>
        <v/>
      </c>
      <c r="Q47" s="64">
        <f>IF($A47="","",IF(COUNTIF(변동분석!$E$7:$E$506,L47)&gt;0,"Y","N"))</f>
        <v/>
      </c>
      <c r="R47" s="9">
        <f>IF($A47="","",$D47&amp;"")</f>
        <v/>
      </c>
    </row>
    <row r="48">
      <c r="A48" s="92" t="n">
        <v>2026</v>
      </c>
      <c r="B48" s="92" t="inlineStr">
        <is>
          <t>D200</t>
        </is>
      </c>
      <c r="C48" s="92" t="inlineStr">
        <is>
          <t>재무회계팀</t>
        </is>
      </c>
      <c r="D48" s="92" t="n">
        <v>62201000</v>
      </c>
      <c r="E48" s="92" t="inlineStr">
        <is>
          <t>통신비</t>
        </is>
      </c>
      <c r="F48" s="92" t="n">
        <v>4</v>
      </c>
      <c r="G48" s="93" t="n">
        <v>1800000</v>
      </c>
      <c r="H48" s="93" t="n">
        <v>0</v>
      </c>
      <c r="I48" s="93" t="n">
        <v>0</v>
      </c>
      <c r="J48" s="93" t="n">
        <v>1800000</v>
      </c>
      <c r="L48" s="9">
        <f>IF($A48="","",$B48&amp;"|"&amp;$D48)</f>
        <v/>
      </c>
      <c r="M48" s="9">
        <f>IF($A48="","",VALUE($A48&amp;""))</f>
        <v/>
      </c>
      <c r="N48" s="9">
        <f>IF($A48="","",VALUE(SUBSTITUTE(SUBSTITUTE(SUBSTITUTE(UPPER($F48&amp;""),"Q",""),"분기","")," ","")))</f>
        <v/>
      </c>
      <c r="O48" s="94">
        <f>IF($A48="",0,($G48+$H48)*설정!$C$23)</f>
        <v/>
      </c>
      <c r="P48" s="94">
        <f>IF($A48="",0,$I48*설정!$C$23)</f>
        <v/>
      </c>
      <c r="Q48" s="64">
        <f>IF($A48="","",IF(COUNTIF(변동분석!$E$7:$E$506,L48)&gt;0,"Y","N"))</f>
        <v/>
      </c>
      <c r="R48" s="9">
        <f>IF($A48="","",$D48&amp;"")</f>
        <v/>
      </c>
    </row>
    <row r="49">
      <c r="A49" s="92" t="n">
        <v>2026</v>
      </c>
      <c r="B49" s="92" t="inlineStr">
        <is>
          <t>D200</t>
        </is>
      </c>
      <c r="C49" s="92" t="inlineStr">
        <is>
          <t>재무회계팀</t>
        </is>
      </c>
      <c r="D49" s="92" t="n">
        <v>62301000</v>
      </c>
      <c r="E49" s="92" t="inlineStr">
        <is>
          <t>소모품비</t>
        </is>
      </c>
      <c r="F49" s="92" t="n">
        <v>1</v>
      </c>
      <c r="G49" s="93" t="n">
        <v>1800000</v>
      </c>
      <c r="H49" s="93" t="n">
        <v>0</v>
      </c>
      <c r="I49" s="93" t="n">
        <v>1586000</v>
      </c>
      <c r="J49" s="93" t="n">
        <v>214000</v>
      </c>
      <c r="L49" s="9">
        <f>IF($A49="","",$B49&amp;"|"&amp;$D49)</f>
        <v/>
      </c>
      <c r="M49" s="9">
        <f>IF($A49="","",VALUE($A49&amp;""))</f>
        <v/>
      </c>
      <c r="N49" s="9">
        <f>IF($A49="","",VALUE(SUBSTITUTE(SUBSTITUTE(SUBSTITUTE(UPPER($F49&amp;""),"Q",""),"분기","")," ","")))</f>
        <v/>
      </c>
      <c r="O49" s="94">
        <f>IF($A49="",0,($G49+$H49)*설정!$C$23)</f>
        <v/>
      </c>
      <c r="P49" s="94">
        <f>IF($A49="",0,$I49*설정!$C$23)</f>
        <v/>
      </c>
      <c r="Q49" s="64">
        <f>IF($A49="","",IF(COUNTIF(변동분석!$E$7:$E$506,L49)&gt;0,"Y","N"))</f>
        <v/>
      </c>
      <c r="R49" s="9">
        <f>IF($A49="","",$D49&amp;"")</f>
        <v/>
      </c>
    </row>
    <row r="50">
      <c r="A50" s="92" t="n">
        <v>2026</v>
      </c>
      <c r="B50" s="92" t="inlineStr">
        <is>
          <t>D200</t>
        </is>
      </c>
      <c r="C50" s="92" t="inlineStr">
        <is>
          <t>재무회계팀</t>
        </is>
      </c>
      <c r="D50" s="92" t="n">
        <v>62301000</v>
      </c>
      <c r="E50" s="92" t="inlineStr">
        <is>
          <t>소모품비</t>
        </is>
      </c>
      <c r="F50" s="92" t="n">
        <v>2</v>
      </c>
      <c r="G50" s="93" t="n">
        <v>1800000</v>
      </c>
      <c r="H50" s="93" t="n">
        <v>0</v>
      </c>
      <c r="I50" s="93" t="n">
        <v>1620000</v>
      </c>
      <c r="J50" s="93" t="n">
        <v>180000</v>
      </c>
      <c r="L50" s="9">
        <f>IF($A50="","",$B50&amp;"|"&amp;$D50)</f>
        <v/>
      </c>
      <c r="M50" s="9">
        <f>IF($A50="","",VALUE($A50&amp;""))</f>
        <v/>
      </c>
      <c r="N50" s="9">
        <f>IF($A50="","",VALUE(SUBSTITUTE(SUBSTITUTE(SUBSTITUTE(UPPER($F50&amp;""),"Q",""),"분기","")," ","")))</f>
        <v/>
      </c>
      <c r="O50" s="94">
        <f>IF($A50="",0,($G50+$H50)*설정!$C$23)</f>
        <v/>
      </c>
      <c r="P50" s="94">
        <f>IF($A50="",0,$I50*설정!$C$23)</f>
        <v/>
      </c>
      <c r="Q50" s="64">
        <f>IF($A50="","",IF(COUNTIF(변동분석!$E$7:$E$506,L50)&gt;0,"Y","N"))</f>
        <v/>
      </c>
      <c r="R50" s="9">
        <f>IF($A50="","",$D50&amp;"")</f>
        <v/>
      </c>
    </row>
    <row r="51">
      <c r="A51" s="92" t="n">
        <v>2026</v>
      </c>
      <c r="B51" s="92" t="inlineStr">
        <is>
          <t>D200</t>
        </is>
      </c>
      <c r="C51" s="92" t="inlineStr">
        <is>
          <t>재무회계팀</t>
        </is>
      </c>
      <c r="D51" s="92" t="n">
        <v>62301000</v>
      </c>
      <c r="E51" s="92" t="inlineStr">
        <is>
          <t>소모품비</t>
        </is>
      </c>
      <c r="F51" s="92" t="n">
        <v>3</v>
      </c>
      <c r="G51" s="93" t="n">
        <v>1800000</v>
      </c>
      <c r="H51" s="93" t="n">
        <v>0</v>
      </c>
      <c r="I51" s="93" t="n">
        <v>1685000</v>
      </c>
      <c r="J51" s="93" t="n">
        <v>115000</v>
      </c>
      <c r="L51" s="9">
        <f>IF($A51="","",$B51&amp;"|"&amp;$D51)</f>
        <v/>
      </c>
      <c r="M51" s="9">
        <f>IF($A51="","",VALUE($A51&amp;""))</f>
        <v/>
      </c>
      <c r="N51" s="9">
        <f>IF($A51="","",VALUE(SUBSTITUTE(SUBSTITUTE(SUBSTITUTE(UPPER($F51&amp;""),"Q",""),"분기","")," ","")))</f>
        <v/>
      </c>
      <c r="O51" s="94">
        <f>IF($A51="",0,($G51+$H51)*설정!$C$23)</f>
        <v/>
      </c>
      <c r="P51" s="94">
        <f>IF($A51="",0,$I51*설정!$C$23)</f>
        <v/>
      </c>
      <c r="Q51" s="64">
        <f>IF($A51="","",IF(COUNTIF(변동분석!$E$7:$E$506,L51)&gt;0,"Y","N"))</f>
        <v/>
      </c>
      <c r="R51" s="9">
        <f>IF($A51="","",$D51&amp;"")</f>
        <v/>
      </c>
    </row>
    <row r="52">
      <c r="A52" s="92" t="n">
        <v>2026</v>
      </c>
      <c r="B52" s="92" t="inlineStr">
        <is>
          <t>D200</t>
        </is>
      </c>
      <c r="C52" s="92" t="inlineStr">
        <is>
          <t>재무회계팀</t>
        </is>
      </c>
      <c r="D52" s="92" t="n">
        <v>62301000</v>
      </c>
      <c r="E52" s="92" t="inlineStr">
        <is>
          <t>소모품비</t>
        </is>
      </c>
      <c r="F52" s="92" t="n">
        <v>4</v>
      </c>
      <c r="G52" s="93" t="n">
        <v>1800000</v>
      </c>
      <c r="H52" s="93" t="n">
        <v>0</v>
      </c>
      <c r="I52" s="93" t="n">
        <v>0</v>
      </c>
      <c r="J52" s="93" t="n">
        <v>1800000</v>
      </c>
      <c r="L52" s="9">
        <f>IF($A52="","",$B52&amp;"|"&amp;$D52)</f>
        <v/>
      </c>
      <c r="M52" s="9">
        <f>IF($A52="","",VALUE($A52&amp;""))</f>
        <v/>
      </c>
      <c r="N52" s="9">
        <f>IF($A52="","",VALUE(SUBSTITUTE(SUBSTITUTE(SUBSTITUTE(UPPER($F52&amp;""),"Q",""),"분기","")," ","")))</f>
        <v/>
      </c>
      <c r="O52" s="94">
        <f>IF($A52="",0,($G52+$H52)*설정!$C$23)</f>
        <v/>
      </c>
      <c r="P52" s="94">
        <f>IF($A52="",0,$I52*설정!$C$23)</f>
        <v/>
      </c>
      <c r="Q52" s="64">
        <f>IF($A52="","",IF(COUNTIF(변동분석!$E$7:$E$506,L52)&gt;0,"Y","N"))</f>
        <v/>
      </c>
      <c r="R52" s="9">
        <f>IF($A52="","",$D52&amp;"")</f>
        <v/>
      </c>
    </row>
    <row r="53">
      <c r="A53" s="92" t="n">
        <v>2026</v>
      </c>
      <c r="B53" s="92" t="inlineStr">
        <is>
          <t>D200</t>
        </is>
      </c>
      <c r="C53" s="92" t="inlineStr">
        <is>
          <t>재무회계팀</t>
        </is>
      </c>
      <c r="D53" s="92" t="n">
        <v>62501000</v>
      </c>
      <c r="E53" s="92" t="inlineStr">
        <is>
          <t>회의비</t>
        </is>
      </c>
      <c r="F53" s="92" t="n">
        <v>1</v>
      </c>
      <c r="G53" s="93" t="n">
        <v>1500000</v>
      </c>
      <c r="H53" s="93" t="n">
        <v>0</v>
      </c>
      <c r="I53" s="93" t="n">
        <v>1315000</v>
      </c>
      <c r="J53" s="93" t="n">
        <v>185000</v>
      </c>
      <c r="L53" s="9">
        <f>IF($A53="","",$B53&amp;"|"&amp;$D53)</f>
        <v/>
      </c>
      <c r="M53" s="9">
        <f>IF($A53="","",VALUE($A53&amp;""))</f>
        <v/>
      </c>
      <c r="N53" s="9">
        <f>IF($A53="","",VALUE(SUBSTITUTE(SUBSTITUTE(SUBSTITUTE(UPPER($F53&amp;""),"Q",""),"분기","")," ","")))</f>
        <v/>
      </c>
      <c r="O53" s="94">
        <f>IF($A53="",0,($G53+$H53)*설정!$C$23)</f>
        <v/>
      </c>
      <c r="P53" s="94">
        <f>IF($A53="",0,$I53*설정!$C$23)</f>
        <v/>
      </c>
      <c r="Q53" s="64">
        <f>IF($A53="","",IF(COUNTIF(변동분석!$E$7:$E$506,L53)&gt;0,"Y","N"))</f>
        <v/>
      </c>
      <c r="R53" s="9">
        <f>IF($A53="","",$D53&amp;"")</f>
        <v/>
      </c>
    </row>
    <row r="54">
      <c r="A54" s="92" t="n">
        <v>2026</v>
      </c>
      <c r="B54" s="92" t="inlineStr">
        <is>
          <t>D200</t>
        </is>
      </c>
      <c r="C54" s="92" t="inlineStr">
        <is>
          <t>재무회계팀</t>
        </is>
      </c>
      <c r="D54" s="92" t="n">
        <v>62501000</v>
      </c>
      <c r="E54" s="92" t="inlineStr">
        <is>
          <t>회의비</t>
        </is>
      </c>
      <c r="F54" s="92" t="n">
        <v>2</v>
      </c>
      <c r="G54" s="93" t="n">
        <v>1500000</v>
      </c>
      <c r="H54" s="93" t="n">
        <v>0</v>
      </c>
      <c r="I54" s="93" t="n">
        <v>1333000</v>
      </c>
      <c r="J54" s="93" t="n">
        <v>167000</v>
      </c>
      <c r="L54" s="9">
        <f>IF($A54="","",$B54&amp;"|"&amp;$D54)</f>
        <v/>
      </c>
      <c r="M54" s="9">
        <f>IF($A54="","",VALUE($A54&amp;""))</f>
        <v/>
      </c>
      <c r="N54" s="9">
        <f>IF($A54="","",VALUE(SUBSTITUTE(SUBSTITUTE(SUBSTITUTE(UPPER($F54&amp;""),"Q",""),"분기","")," ","")))</f>
        <v/>
      </c>
      <c r="O54" s="94">
        <f>IF($A54="",0,($G54+$H54)*설정!$C$23)</f>
        <v/>
      </c>
      <c r="P54" s="94">
        <f>IF($A54="",0,$I54*설정!$C$23)</f>
        <v/>
      </c>
      <c r="Q54" s="64">
        <f>IF($A54="","",IF(COUNTIF(변동분석!$E$7:$E$506,L54)&gt;0,"Y","N"))</f>
        <v/>
      </c>
      <c r="R54" s="9">
        <f>IF($A54="","",$D54&amp;"")</f>
        <v/>
      </c>
    </row>
    <row r="55">
      <c r="A55" s="92" t="n">
        <v>2026</v>
      </c>
      <c r="B55" s="92" t="inlineStr">
        <is>
          <t>D200</t>
        </is>
      </c>
      <c r="C55" s="92" t="inlineStr">
        <is>
          <t>재무회계팀</t>
        </is>
      </c>
      <c r="D55" s="92" t="n">
        <v>62501000</v>
      </c>
      <c r="E55" s="92" t="inlineStr">
        <is>
          <t>회의비</t>
        </is>
      </c>
      <c r="F55" s="92" t="n">
        <v>3</v>
      </c>
      <c r="G55" s="93" t="n">
        <v>1500000</v>
      </c>
      <c r="H55" s="93" t="n">
        <v>0</v>
      </c>
      <c r="I55" s="93" t="n">
        <v>1265000</v>
      </c>
      <c r="J55" s="93" t="n">
        <v>235000</v>
      </c>
      <c r="L55" s="9">
        <f>IF($A55="","",$B55&amp;"|"&amp;$D55)</f>
        <v/>
      </c>
      <c r="M55" s="9">
        <f>IF($A55="","",VALUE($A55&amp;""))</f>
        <v/>
      </c>
      <c r="N55" s="9">
        <f>IF($A55="","",VALUE(SUBSTITUTE(SUBSTITUTE(SUBSTITUTE(UPPER($F55&amp;""),"Q",""),"분기","")," ","")))</f>
        <v/>
      </c>
      <c r="O55" s="94">
        <f>IF($A55="",0,($G55+$H55)*설정!$C$23)</f>
        <v/>
      </c>
      <c r="P55" s="94">
        <f>IF($A55="",0,$I55*설정!$C$23)</f>
        <v/>
      </c>
      <c r="Q55" s="64">
        <f>IF($A55="","",IF(COUNTIF(변동분석!$E$7:$E$506,L55)&gt;0,"Y","N"))</f>
        <v/>
      </c>
      <c r="R55" s="9">
        <f>IF($A55="","",$D55&amp;"")</f>
        <v/>
      </c>
    </row>
    <row r="56">
      <c r="A56" s="92" t="n">
        <v>2026</v>
      </c>
      <c r="B56" s="92" t="inlineStr">
        <is>
          <t>D200</t>
        </is>
      </c>
      <c r="C56" s="92" t="inlineStr">
        <is>
          <t>재무회계팀</t>
        </is>
      </c>
      <c r="D56" s="92" t="n">
        <v>62501000</v>
      </c>
      <c r="E56" s="92" t="inlineStr">
        <is>
          <t>회의비</t>
        </is>
      </c>
      <c r="F56" s="92" t="n">
        <v>4</v>
      </c>
      <c r="G56" s="93" t="n">
        <v>1500000</v>
      </c>
      <c r="H56" s="93" t="n">
        <v>0</v>
      </c>
      <c r="I56" s="93" t="n">
        <v>0</v>
      </c>
      <c r="J56" s="93" t="n">
        <v>1500000</v>
      </c>
      <c r="L56" s="9">
        <f>IF($A56="","",$B56&amp;"|"&amp;$D56)</f>
        <v/>
      </c>
      <c r="M56" s="9">
        <f>IF($A56="","",VALUE($A56&amp;""))</f>
        <v/>
      </c>
      <c r="N56" s="9">
        <f>IF($A56="","",VALUE(SUBSTITUTE(SUBSTITUTE(SUBSTITUTE(UPPER($F56&amp;""),"Q",""),"분기","")," ","")))</f>
        <v/>
      </c>
      <c r="O56" s="94">
        <f>IF($A56="",0,($G56+$H56)*설정!$C$23)</f>
        <v/>
      </c>
      <c r="P56" s="94">
        <f>IF($A56="",0,$I56*설정!$C$23)</f>
        <v/>
      </c>
      <c r="Q56" s="64">
        <f>IF($A56="","",IF(COUNTIF(변동분석!$E$7:$E$506,L56)&gt;0,"Y","N"))</f>
        <v/>
      </c>
      <c r="R56" s="9">
        <f>IF($A56="","",$D56&amp;"")</f>
        <v/>
      </c>
    </row>
    <row r="57">
      <c r="A57" s="92" t="n">
        <v>2026</v>
      </c>
      <c r="B57" s="92" t="inlineStr">
        <is>
          <t>D200</t>
        </is>
      </c>
      <c r="C57" s="92" t="inlineStr">
        <is>
          <t>재무회계팀</t>
        </is>
      </c>
      <c r="D57" s="92" t="n">
        <v>62901000</v>
      </c>
      <c r="E57" s="92" t="inlineStr">
        <is>
          <t>지급수수료-컨설팅</t>
        </is>
      </c>
      <c r="F57" s="92" t="n">
        <v>1</v>
      </c>
      <c r="G57" s="93" t="n">
        <v>73500000</v>
      </c>
      <c r="H57" s="93" t="n">
        <v>0</v>
      </c>
      <c r="I57" s="93" t="n">
        <v>62065000</v>
      </c>
      <c r="J57" s="93" t="n">
        <v>11435000</v>
      </c>
      <c r="L57" s="9">
        <f>IF($A57="","",$B57&amp;"|"&amp;$D57)</f>
        <v/>
      </c>
      <c r="M57" s="9">
        <f>IF($A57="","",VALUE($A57&amp;""))</f>
        <v/>
      </c>
      <c r="N57" s="9">
        <f>IF($A57="","",VALUE(SUBSTITUTE(SUBSTITUTE(SUBSTITUTE(UPPER($F57&amp;""),"Q",""),"분기","")," ","")))</f>
        <v/>
      </c>
      <c r="O57" s="94">
        <f>IF($A57="",0,($G57+$H57)*설정!$C$23)</f>
        <v/>
      </c>
      <c r="P57" s="94">
        <f>IF($A57="",0,$I57*설정!$C$23)</f>
        <v/>
      </c>
      <c r="Q57" s="64">
        <f>IF($A57="","",IF(COUNTIF(변동분석!$E$7:$E$506,L57)&gt;0,"Y","N"))</f>
        <v/>
      </c>
      <c r="R57" s="9">
        <f>IF($A57="","",$D57&amp;"")</f>
        <v/>
      </c>
    </row>
    <row r="58">
      <c r="A58" s="92" t="n">
        <v>2026</v>
      </c>
      <c r="B58" s="92" t="inlineStr">
        <is>
          <t>D200</t>
        </is>
      </c>
      <c r="C58" s="92" t="inlineStr">
        <is>
          <t>재무회계팀</t>
        </is>
      </c>
      <c r="D58" s="92" t="n">
        <v>62901000</v>
      </c>
      <c r="E58" s="92" t="inlineStr">
        <is>
          <t>지급수수료-컨설팅</t>
        </is>
      </c>
      <c r="F58" s="92" t="n">
        <v>2</v>
      </c>
      <c r="G58" s="93" t="n">
        <v>73500000</v>
      </c>
      <c r="H58" s="93" t="n">
        <v>0</v>
      </c>
      <c r="I58" s="93" t="n">
        <v>60567000</v>
      </c>
      <c r="J58" s="93" t="n">
        <v>12933000</v>
      </c>
      <c r="L58" s="9">
        <f>IF($A58="","",$B58&amp;"|"&amp;$D58)</f>
        <v/>
      </c>
      <c r="M58" s="9">
        <f>IF($A58="","",VALUE($A58&amp;""))</f>
        <v/>
      </c>
      <c r="N58" s="9">
        <f>IF($A58="","",VALUE(SUBSTITUTE(SUBSTITUTE(SUBSTITUTE(UPPER($F58&amp;""),"Q",""),"분기","")," ","")))</f>
        <v/>
      </c>
      <c r="O58" s="94">
        <f>IF($A58="",0,($G58+$H58)*설정!$C$23)</f>
        <v/>
      </c>
      <c r="P58" s="94">
        <f>IF($A58="",0,$I58*설정!$C$23)</f>
        <v/>
      </c>
      <c r="Q58" s="64">
        <f>IF($A58="","",IF(COUNTIF(변동분석!$E$7:$E$506,L58)&gt;0,"Y","N"))</f>
        <v/>
      </c>
      <c r="R58" s="9">
        <f>IF($A58="","",$D58&amp;"")</f>
        <v/>
      </c>
    </row>
    <row r="59">
      <c r="A59" s="92" t="n">
        <v>2026</v>
      </c>
      <c r="B59" s="92" t="inlineStr">
        <is>
          <t>D200</t>
        </is>
      </c>
      <c r="C59" s="92" t="inlineStr">
        <is>
          <t>재무회계팀</t>
        </is>
      </c>
      <c r="D59" s="92" t="n">
        <v>62901000</v>
      </c>
      <c r="E59" s="92" t="inlineStr">
        <is>
          <t>지급수수료-컨설팅</t>
        </is>
      </c>
      <c r="F59" s="92" t="n">
        <v>3</v>
      </c>
      <c r="G59" s="93" t="n">
        <v>73500000</v>
      </c>
      <c r="H59" s="93" t="n">
        <v>0</v>
      </c>
      <c r="I59" s="93" t="n">
        <v>90925000</v>
      </c>
      <c r="J59" s="93" t="n">
        <v>-17425000</v>
      </c>
      <c r="L59" s="9">
        <f>IF($A59="","",$B59&amp;"|"&amp;$D59)</f>
        <v/>
      </c>
      <c r="M59" s="9">
        <f>IF($A59="","",VALUE($A59&amp;""))</f>
        <v/>
      </c>
      <c r="N59" s="9">
        <f>IF($A59="","",VALUE(SUBSTITUTE(SUBSTITUTE(SUBSTITUTE(UPPER($F59&amp;""),"Q",""),"분기","")," ","")))</f>
        <v/>
      </c>
      <c r="O59" s="94">
        <f>IF($A59="",0,($G59+$H59)*설정!$C$23)</f>
        <v/>
      </c>
      <c r="P59" s="94">
        <f>IF($A59="",0,$I59*설정!$C$23)</f>
        <v/>
      </c>
      <c r="Q59" s="64">
        <f>IF($A59="","",IF(COUNTIF(변동분석!$E$7:$E$506,L59)&gt;0,"Y","N"))</f>
        <v/>
      </c>
      <c r="R59" s="9">
        <f>IF($A59="","",$D59&amp;"")</f>
        <v/>
      </c>
    </row>
    <row r="60">
      <c r="A60" s="92" t="n">
        <v>2026</v>
      </c>
      <c r="B60" s="92" t="inlineStr">
        <is>
          <t>D200</t>
        </is>
      </c>
      <c r="C60" s="92" t="inlineStr">
        <is>
          <t>재무회계팀</t>
        </is>
      </c>
      <c r="D60" s="92" t="n">
        <v>62901000</v>
      </c>
      <c r="E60" s="92" t="inlineStr">
        <is>
          <t>지급수수료-컨설팅</t>
        </is>
      </c>
      <c r="F60" s="92" t="n">
        <v>4</v>
      </c>
      <c r="G60" s="93" t="n">
        <v>73500000</v>
      </c>
      <c r="H60" s="93" t="n">
        <v>0</v>
      </c>
      <c r="I60" s="93" t="n">
        <v>0</v>
      </c>
      <c r="J60" s="93" t="n">
        <v>73500000</v>
      </c>
      <c r="L60" s="9">
        <f>IF($A60="","",$B60&amp;"|"&amp;$D60)</f>
        <v/>
      </c>
      <c r="M60" s="9">
        <f>IF($A60="","",VALUE($A60&amp;""))</f>
        <v/>
      </c>
      <c r="N60" s="9">
        <f>IF($A60="","",VALUE(SUBSTITUTE(SUBSTITUTE(SUBSTITUTE(UPPER($F60&amp;""),"Q",""),"분기","")," ","")))</f>
        <v/>
      </c>
      <c r="O60" s="94">
        <f>IF($A60="",0,($G60+$H60)*설정!$C$23)</f>
        <v/>
      </c>
      <c r="P60" s="94">
        <f>IF($A60="",0,$I60*설정!$C$23)</f>
        <v/>
      </c>
      <c r="Q60" s="64">
        <f>IF($A60="","",IF(COUNTIF(변동분석!$E$7:$E$506,L60)&gt;0,"Y","N"))</f>
        <v/>
      </c>
      <c r="R60" s="9">
        <f>IF($A60="","",$D60&amp;"")</f>
        <v/>
      </c>
    </row>
    <row r="61">
      <c r="A61" s="92" t="n">
        <v>2026</v>
      </c>
      <c r="B61" s="92" t="inlineStr">
        <is>
          <t>D200</t>
        </is>
      </c>
      <c r="C61" s="92" t="inlineStr">
        <is>
          <t>재무회계팀</t>
        </is>
      </c>
      <c r="D61" s="92" t="n">
        <v>62902000</v>
      </c>
      <c r="E61" s="92" t="inlineStr">
        <is>
          <t>지급수수료-기타</t>
        </is>
      </c>
      <c r="F61" s="92" t="n">
        <v>1</v>
      </c>
      <c r="G61" s="93" t="n">
        <v>31500000</v>
      </c>
      <c r="H61" s="93" t="n">
        <v>0</v>
      </c>
      <c r="I61" s="93" t="n">
        <v>31077000</v>
      </c>
      <c r="J61" s="93" t="n">
        <v>423000</v>
      </c>
      <c r="L61" s="9">
        <f>IF($A61="","",$B61&amp;"|"&amp;$D61)</f>
        <v/>
      </c>
      <c r="M61" s="9">
        <f>IF($A61="","",VALUE($A61&amp;""))</f>
        <v/>
      </c>
      <c r="N61" s="9">
        <f>IF($A61="","",VALUE(SUBSTITUTE(SUBSTITUTE(SUBSTITUTE(UPPER($F61&amp;""),"Q",""),"분기","")," ","")))</f>
        <v/>
      </c>
      <c r="O61" s="94">
        <f>IF($A61="",0,($G61+$H61)*설정!$C$23)</f>
        <v/>
      </c>
      <c r="P61" s="94">
        <f>IF($A61="",0,$I61*설정!$C$23)</f>
        <v/>
      </c>
      <c r="Q61" s="64">
        <f>IF($A61="","",IF(COUNTIF(변동분석!$E$7:$E$506,L61)&gt;0,"Y","N"))</f>
        <v/>
      </c>
      <c r="R61" s="9">
        <f>IF($A61="","",$D61&amp;"")</f>
        <v/>
      </c>
    </row>
    <row r="62">
      <c r="A62" s="92" t="n">
        <v>2026</v>
      </c>
      <c r="B62" s="92" t="inlineStr">
        <is>
          <t>D200</t>
        </is>
      </c>
      <c r="C62" s="92" t="inlineStr">
        <is>
          <t>재무회계팀</t>
        </is>
      </c>
      <c r="D62" s="92" t="n">
        <v>62902000</v>
      </c>
      <c r="E62" s="92" t="inlineStr">
        <is>
          <t>지급수수료-기타</t>
        </is>
      </c>
      <c r="F62" s="92" t="n">
        <v>2</v>
      </c>
      <c r="G62" s="93" t="n">
        <v>31500000</v>
      </c>
      <c r="H62" s="93" t="n">
        <v>0</v>
      </c>
      <c r="I62" s="93" t="n">
        <v>29563000</v>
      </c>
      <c r="J62" s="93" t="n">
        <v>1937000</v>
      </c>
      <c r="L62" s="9">
        <f>IF($A62="","",$B62&amp;"|"&amp;$D62)</f>
        <v/>
      </c>
      <c r="M62" s="9">
        <f>IF($A62="","",VALUE($A62&amp;""))</f>
        <v/>
      </c>
      <c r="N62" s="9">
        <f>IF($A62="","",VALUE(SUBSTITUTE(SUBSTITUTE(SUBSTITUTE(UPPER($F62&amp;""),"Q",""),"분기","")," ","")))</f>
        <v/>
      </c>
      <c r="O62" s="94">
        <f>IF($A62="",0,($G62+$H62)*설정!$C$23)</f>
        <v/>
      </c>
      <c r="P62" s="94">
        <f>IF($A62="",0,$I62*설정!$C$23)</f>
        <v/>
      </c>
      <c r="Q62" s="64">
        <f>IF($A62="","",IF(COUNTIF(변동분석!$E$7:$E$506,L62)&gt;0,"Y","N"))</f>
        <v/>
      </c>
      <c r="R62" s="9">
        <f>IF($A62="","",$D62&amp;"")</f>
        <v/>
      </c>
    </row>
    <row r="63">
      <c r="A63" s="92" t="n">
        <v>2026</v>
      </c>
      <c r="B63" s="92" t="inlineStr">
        <is>
          <t>D200</t>
        </is>
      </c>
      <c r="C63" s="92" t="inlineStr">
        <is>
          <t>재무회계팀</t>
        </is>
      </c>
      <c r="D63" s="92" t="n">
        <v>62902000</v>
      </c>
      <c r="E63" s="92" t="inlineStr">
        <is>
          <t>지급수수료-기타</t>
        </is>
      </c>
      <c r="F63" s="92" t="n">
        <v>3</v>
      </c>
      <c r="G63" s="93" t="n">
        <v>31500000</v>
      </c>
      <c r="H63" s="93" t="n">
        <v>0</v>
      </c>
      <c r="I63" s="93" t="n">
        <v>27175000</v>
      </c>
      <c r="J63" s="93" t="n">
        <v>4325000</v>
      </c>
      <c r="L63" s="9">
        <f>IF($A63="","",$B63&amp;"|"&amp;$D63)</f>
        <v/>
      </c>
      <c r="M63" s="9">
        <f>IF($A63="","",VALUE($A63&amp;""))</f>
        <v/>
      </c>
      <c r="N63" s="9">
        <f>IF($A63="","",VALUE(SUBSTITUTE(SUBSTITUTE(SUBSTITUTE(UPPER($F63&amp;""),"Q",""),"분기","")," ","")))</f>
        <v/>
      </c>
      <c r="O63" s="94">
        <f>IF($A63="",0,($G63+$H63)*설정!$C$23)</f>
        <v/>
      </c>
      <c r="P63" s="94">
        <f>IF($A63="",0,$I63*설정!$C$23)</f>
        <v/>
      </c>
      <c r="Q63" s="64">
        <f>IF($A63="","",IF(COUNTIF(변동분석!$E$7:$E$506,L63)&gt;0,"Y","N"))</f>
        <v/>
      </c>
      <c r="R63" s="9">
        <f>IF($A63="","",$D63&amp;"")</f>
        <v/>
      </c>
    </row>
    <row r="64">
      <c r="A64" s="92" t="n">
        <v>2026</v>
      </c>
      <c r="B64" s="92" t="inlineStr">
        <is>
          <t>D200</t>
        </is>
      </c>
      <c r="C64" s="92" t="inlineStr">
        <is>
          <t>재무회계팀</t>
        </is>
      </c>
      <c r="D64" s="92" t="n">
        <v>62902000</v>
      </c>
      <c r="E64" s="92" t="inlineStr">
        <is>
          <t>지급수수료-기타</t>
        </is>
      </c>
      <c r="F64" s="92" t="n">
        <v>4</v>
      </c>
      <c r="G64" s="93" t="n">
        <v>31500000</v>
      </c>
      <c r="H64" s="93" t="n">
        <v>0</v>
      </c>
      <c r="I64" s="93" t="n">
        <v>0</v>
      </c>
      <c r="J64" s="93" t="n">
        <v>31500000</v>
      </c>
      <c r="L64" s="9">
        <f>IF($A64="","",$B64&amp;"|"&amp;$D64)</f>
        <v/>
      </c>
      <c r="M64" s="9">
        <f>IF($A64="","",VALUE($A64&amp;""))</f>
        <v/>
      </c>
      <c r="N64" s="9">
        <f>IF($A64="","",VALUE(SUBSTITUTE(SUBSTITUTE(SUBSTITUTE(UPPER($F64&amp;""),"Q",""),"분기","")," ","")))</f>
        <v/>
      </c>
      <c r="O64" s="94">
        <f>IF($A64="",0,($G64+$H64)*설정!$C$23)</f>
        <v/>
      </c>
      <c r="P64" s="94">
        <f>IF($A64="",0,$I64*설정!$C$23)</f>
        <v/>
      </c>
      <c r="Q64" s="64">
        <f>IF($A64="","",IF(COUNTIF(변동분석!$E$7:$E$506,L64)&gt;0,"Y","N"))</f>
        <v/>
      </c>
      <c r="R64" s="9">
        <f>IF($A64="","",$D64&amp;"")</f>
        <v/>
      </c>
    </row>
    <row r="65">
      <c r="A65" s="92" t="n">
        <v>2026</v>
      </c>
      <c r="B65" s="92" t="inlineStr">
        <is>
          <t>D300</t>
        </is>
      </c>
      <c r="C65" s="92" t="inlineStr">
        <is>
          <t>인사팀</t>
        </is>
      </c>
      <c r="D65" s="92" t="n">
        <v>62101000</v>
      </c>
      <c r="E65" s="92" t="inlineStr">
        <is>
          <t>여비교통비-국내</t>
        </is>
      </c>
      <c r="F65" s="92" t="n">
        <v>1</v>
      </c>
      <c r="G65" s="93" t="n">
        <v>5100000</v>
      </c>
      <c r="H65" s="93" t="n">
        <v>0</v>
      </c>
      <c r="I65" s="93" t="n">
        <v>4747000</v>
      </c>
      <c r="J65" s="93" t="n">
        <v>353000</v>
      </c>
      <c r="L65" s="9">
        <f>IF($A65="","",$B65&amp;"|"&amp;$D65)</f>
        <v/>
      </c>
      <c r="M65" s="9">
        <f>IF($A65="","",VALUE($A65&amp;""))</f>
        <v/>
      </c>
      <c r="N65" s="9">
        <f>IF($A65="","",VALUE(SUBSTITUTE(SUBSTITUTE(SUBSTITUTE(UPPER($F65&amp;""),"Q",""),"분기","")," ","")))</f>
        <v/>
      </c>
      <c r="O65" s="94">
        <f>IF($A65="",0,($G65+$H65)*설정!$C$23)</f>
        <v/>
      </c>
      <c r="P65" s="94">
        <f>IF($A65="",0,$I65*설정!$C$23)</f>
        <v/>
      </c>
      <c r="Q65" s="64">
        <f>IF($A65="","",IF(COUNTIF(변동분석!$E$7:$E$506,L65)&gt;0,"Y","N"))</f>
        <v/>
      </c>
      <c r="R65" s="9">
        <f>IF($A65="","",$D65&amp;"")</f>
        <v/>
      </c>
    </row>
    <row r="66">
      <c r="A66" s="92" t="n">
        <v>2026</v>
      </c>
      <c r="B66" s="92" t="inlineStr">
        <is>
          <t>D300</t>
        </is>
      </c>
      <c r="C66" s="92" t="inlineStr">
        <is>
          <t>인사팀</t>
        </is>
      </c>
      <c r="D66" s="92" t="n">
        <v>62101000</v>
      </c>
      <c r="E66" s="92" t="inlineStr">
        <is>
          <t>여비교통비-국내</t>
        </is>
      </c>
      <c r="F66" s="92" t="n">
        <v>2</v>
      </c>
      <c r="G66" s="93" t="n">
        <v>5100000</v>
      </c>
      <c r="H66" s="93" t="n">
        <v>0</v>
      </c>
      <c r="I66" s="93" t="n">
        <v>4697000</v>
      </c>
      <c r="J66" s="93" t="n">
        <v>403000</v>
      </c>
      <c r="L66" s="9">
        <f>IF($A66="","",$B66&amp;"|"&amp;$D66)</f>
        <v/>
      </c>
      <c r="M66" s="9">
        <f>IF($A66="","",VALUE($A66&amp;""))</f>
        <v/>
      </c>
      <c r="N66" s="9">
        <f>IF($A66="","",VALUE(SUBSTITUTE(SUBSTITUTE(SUBSTITUTE(UPPER($F66&amp;""),"Q",""),"분기","")," ","")))</f>
        <v/>
      </c>
      <c r="O66" s="94">
        <f>IF($A66="",0,($G66+$H66)*설정!$C$23)</f>
        <v/>
      </c>
      <c r="P66" s="94">
        <f>IF($A66="",0,$I66*설정!$C$23)</f>
        <v/>
      </c>
      <c r="Q66" s="64">
        <f>IF($A66="","",IF(COUNTIF(변동분석!$E$7:$E$506,L66)&gt;0,"Y","N"))</f>
        <v/>
      </c>
      <c r="R66" s="9">
        <f>IF($A66="","",$D66&amp;"")</f>
        <v/>
      </c>
    </row>
    <row r="67">
      <c r="A67" s="92" t="n">
        <v>2026</v>
      </c>
      <c r="B67" s="92" t="inlineStr">
        <is>
          <t>D300</t>
        </is>
      </c>
      <c r="C67" s="92" t="inlineStr">
        <is>
          <t>인사팀</t>
        </is>
      </c>
      <c r="D67" s="92" t="n">
        <v>62101000</v>
      </c>
      <c r="E67" s="92" t="inlineStr">
        <is>
          <t>여비교통비-국내</t>
        </is>
      </c>
      <c r="F67" s="92" t="n">
        <v>3</v>
      </c>
      <c r="G67" s="93" t="n">
        <v>5100000</v>
      </c>
      <c r="H67" s="93" t="n">
        <v>0</v>
      </c>
      <c r="I67" s="93" t="n">
        <v>4620000</v>
      </c>
      <c r="J67" s="93" t="n">
        <v>480000</v>
      </c>
      <c r="L67" s="9">
        <f>IF($A67="","",$B67&amp;"|"&amp;$D67)</f>
        <v/>
      </c>
      <c r="M67" s="9">
        <f>IF($A67="","",VALUE($A67&amp;""))</f>
        <v/>
      </c>
      <c r="N67" s="9">
        <f>IF($A67="","",VALUE(SUBSTITUTE(SUBSTITUTE(SUBSTITUTE(UPPER($F67&amp;""),"Q",""),"분기","")," ","")))</f>
        <v/>
      </c>
      <c r="O67" s="94">
        <f>IF($A67="",0,($G67+$H67)*설정!$C$23)</f>
        <v/>
      </c>
      <c r="P67" s="94">
        <f>IF($A67="",0,$I67*설정!$C$23)</f>
        <v/>
      </c>
      <c r="Q67" s="64">
        <f>IF($A67="","",IF(COUNTIF(변동분석!$E$7:$E$506,L67)&gt;0,"Y","N"))</f>
        <v/>
      </c>
      <c r="R67" s="9">
        <f>IF($A67="","",$D67&amp;"")</f>
        <v/>
      </c>
    </row>
    <row r="68">
      <c r="A68" s="92" t="n">
        <v>2026</v>
      </c>
      <c r="B68" s="92" t="inlineStr">
        <is>
          <t>D300</t>
        </is>
      </c>
      <c r="C68" s="92" t="inlineStr">
        <is>
          <t>인사팀</t>
        </is>
      </c>
      <c r="D68" s="92" t="n">
        <v>62101000</v>
      </c>
      <c r="E68" s="92" t="inlineStr">
        <is>
          <t>여비교통비-국내</t>
        </is>
      </c>
      <c r="F68" s="92" t="n">
        <v>4</v>
      </c>
      <c r="G68" s="93" t="n">
        <v>5100000</v>
      </c>
      <c r="H68" s="93" t="n">
        <v>0</v>
      </c>
      <c r="I68" s="93" t="n">
        <v>0</v>
      </c>
      <c r="J68" s="93" t="n">
        <v>5100000</v>
      </c>
      <c r="L68" s="9">
        <f>IF($A68="","",$B68&amp;"|"&amp;$D68)</f>
        <v/>
      </c>
      <c r="M68" s="9">
        <f>IF($A68="","",VALUE($A68&amp;""))</f>
        <v/>
      </c>
      <c r="N68" s="9">
        <f>IF($A68="","",VALUE(SUBSTITUTE(SUBSTITUTE(SUBSTITUTE(UPPER($F68&amp;""),"Q",""),"분기","")," ","")))</f>
        <v/>
      </c>
      <c r="O68" s="94">
        <f>IF($A68="",0,($G68+$H68)*설정!$C$23)</f>
        <v/>
      </c>
      <c r="P68" s="94">
        <f>IF($A68="",0,$I68*설정!$C$23)</f>
        <v/>
      </c>
      <c r="Q68" s="64">
        <f>IF($A68="","",IF(COUNTIF(변동분석!$E$7:$E$506,L68)&gt;0,"Y","N"))</f>
        <v/>
      </c>
      <c r="R68" s="9">
        <f>IF($A68="","",$D68&amp;"")</f>
        <v/>
      </c>
    </row>
    <row r="69">
      <c r="A69" s="92" t="n">
        <v>2026</v>
      </c>
      <c r="B69" s="92" t="inlineStr">
        <is>
          <t>D300</t>
        </is>
      </c>
      <c r="C69" s="92" t="inlineStr">
        <is>
          <t>인사팀</t>
        </is>
      </c>
      <c r="D69" s="92" t="n">
        <v>62102000</v>
      </c>
      <c r="E69" s="92" t="inlineStr">
        <is>
          <t>여비교통비-해외</t>
        </is>
      </c>
      <c r="F69" s="92" t="n">
        <v>1</v>
      </c>
      <c r="G69" s="93" t="n">
        <v>900000</v>
      </c>
      <c r="H69" s="93" t="n">
        <v>0</v>
      </c>
      <c r="I69" s="93" t="n">
        <v>826000</v>
      </c>
      <c r="J69" s="93" t="n">
        <v>74000</v>
      </c>
      <c r="L69" s="9">
        <f>IF($A69="","",$B69&amp;"|"&amp;$D69)</f>
        <v/>
      </c>
      <c r="M69" s="9">
        <f>IF($A69="","",VALUE($A69&amp;""))</f>
        <v/>
      </c>
      <c r="N69" s="9">
        <f>IF($A69="","",VALUE(SUBSTITUTE(SUBSTITUTE(SUBSTITUTE(UPPER($F69&amp;""),"Q",""),"분기","")," ","")))</f>
        <v/>
      </c>
      <c r="O69" s="94">
        <f>IF($A69="",0,($G69+$H69)*설정!$C$23)</f>
        <v/>
      </c>
      <c r="P69" s="94">
        <f>IF($A69="",0,$I69*설정!$C$23)</f>
        <v/>
      </c>
      <c r="Q69" s="64">
        <f>IF($A69="","",IF(COUNTIF(변동분석!$E$7:$E$506,L69)&gt;0,"Y","N"))</f>
        <v/>
      </c>
      <c r="R69" s="9">
        <f>IF($A69="","",$D69&amp;"")</f>
        <v/>
      </c>
    </row>
    <row r="70">
      <c r="A70" s="92" t="n">
        <v>2026</v>
      </c>
      <c r="B70" s="92" t="inlineStr">
        <is>
          <t>D300</t>
        </is>
      </c>
      <c r="C70" s="92" t="inlineStr">
        <is>
          <t>인사팀</t>
        </is>
      </c>
      <c r="D70" s="92" t="n">
        <v>62102000</v>
      </c>
      <c r="E70" s="92" t="inlineStr">
        <is>
          <t>여비교통비-해외</t>
        </is>
      </c>
      <c r="F70" s="92" t="n">
        <v>2</v>
      </c>
      <c r="G70" s="93" t="n">
        <v>900000</v>
      </c>
      <c r="H70" s="93" t="n">
        <v>0</v>
      </c>
      <c r="I70" s="93" t="n">
        <v>783000</v>
      </c>
      <c r="J70" s="93" t="n">
        <v>117000</v>
      </c>
      <c r="L70" s="9">
        <f>IF($A70="","",$B70&amp;"|"&amp;$D70)</f>
        <v/>
      </c>
      <c r="M70" s="9">
        <f>IF($A70="","",VALUE($A70&amp;""))</f>
        <v/>
      </c>
      <c r="N70" s="9">
        <f>IF($A70="","",VALUE(SUBSTITUTE(SUBSTITUTE(SUBSTITUTE(UPPER($F70&amp;""),"Q",""),"분기","")," ","")))</f>
        <v/>
      </c>
      <c r="O70" s="94">
        <f>IF($A70="",0,($G70+$H70)*설정!$C$23)</f>
        <v/>
      </c>
      <c r="P70" s="94">
        <f>IF($A70="",0,$I70*설정!$C$23)</f>
        <v/>
      </c>
      <c r="Q70" s="64">
        <f>IF($A70="","",IF(COUNTIF(변동분석!$E$7:$E$506,L70)&gt;0,"Y","N"))</f>
        <v/>
      </c>
      <c r="R70" s="9">
        <f>IF($A70="","",$D70&amp;"")</f>
        <v/>
      </c>
    </row>
    <row r="71">
      <c r="A71" s="92" t="n">
        <v>2026</v>
      </c>
      <c r="B71" s="92" t="inlineStr">
        <is>
          <t>D300</t>
        </is>
      </c>
      <c r="C71" s="92" t="inlineStr">
        <is>
          <t>인사팀</t>
        </is>
      </c>
      <c r="D71" s="92" t="n">
        <v>62102000</v>
      </c>
      <c r="E71" s="92" t="inlineStr">
        <is>
          <t>여비교통비-해외</t>
        </is>
      </c>
      <c r="F71" s="92" t="n">
        <v>3</v>
      </c>
      <c r="G71" s="93" t="n">
        <v>900000</v>
      </c>
      <c r="H71" s="93" t="n">
        <v>0</v>
      </c>
      <c r="I71" s="93" t="n">
        <v>861000</v>
      </c>
      <c r="J71" s="93" t="n">
        <v>39000</v>
      </c>
      <c r="L71" s="9">
        <f>IF($A71="","",$B71&amp;"|"&amp;$D71)</f>
        <v/>
      </c>
      <c r="M71" s="9">
        <f>IF($A71="","",VALUE($A71&amp;""))</f>
        <v/>
      </c>
      <c r="N71" s="9">
        <f>IF($A71="","",VALUE(SUBSTITUTE(SUBSTITUTE(SUBSTITUTE(UPPER($F71&amp;""),"Q",""),"분기","")," ","")))</f>
        <v/>
      </c>
      <c r="O71" s="94">
        <f>IF($A71="",0,($G71+$H71)*설정!$C$23)</f>
        <v/>
      </c>
      <c r="P71" s="94">
        <f>IF($A71="",0,$I71*설정!$C$23)</f>
        <v/>
      </c>
      <c r="Q71" s="64">
        <f>IF($A71="","",IF(COUNTIF(변동분석!$E$7:$E$506,L71)&gt;0,"Y","N"))</f>
        <v/>
      </c>
      <c r="R71" s="9">
        <f>IF($A71="","",$D71&amp;"")</f>
        <v/>
      </c>
    </row>
    <row r="72">
      <c r="A72" s="92" t="n">
        <v>2026</v>
      </c>
      <c r="B72" s="92" t="inlineStr">
        <is>
          <t>D300</t>
        </is>
      </c>
      <c r="C72" s="92" t="inlineStr">
        <is>
          <t>인사팀</t>
        </is>
      </c>
      <c r="D72" s="92" t="n">
        <v>62102000</v>
      </c>
      <c r="E72" s="92" t="inlineStr">
        <is>
          <t>여비교통비-해외</t>
        </is>
      </c>
      <c r="F72" s="92" t="n">
        <v>4</v>
      </c>
      <c r="G72" s="93" t="n">
        <v>900000</v>
      </c>
      <c r="H72" s="93" t="n">
        <v>0</v>
      </c>
      <c r="I72" s="93" t="n">
        <v>0</v>
      </c>
      <c r="J72" s="93" t="n">
        <v>900000</v>
      </c>
      <c r="L72" s="9">
        <f>IF($A72="","",$B72&amp;"|"&amp;$D72)</f>
        <v/>
      </c>
      <c r="M72" s="9">
        <f>IF($A72="","",VALUE($A72&amp;""))</f>
        <v/>
      </c>
      <c r="N72" s="9">
        <f>IF($A72="","",VALUE(SUBSTITUTE(SUBSTITUTE(SUBSTITUTE(UPPER($F72&amp;""),"Q",""),"분기","")," ","")))</f>
        <v/>
      </c>
      <c r="O72" s="94">
        <f>IF($A72="",0,($G72+$H72)*설정!$C$23)</f>
        <v/>
      </c>
      <c r="P72" s="94">
        <f>IF($A72="",0,$I72*설정!$C$23)</f>
        <v/>
      </c>
      <c r="Q72" s="64">
        <f>IF($A72="","",IF(COUNTIF(변동분석!$E$7:$E$506,L72)&gt;0,"Y","N"))</f>
        <v/>
      </c>
      <c r="R72" s="9">
        <f>IF($A72="","",$D72&amp;"")</f>
        <v/>
      </c>
    </row>
    <row r="73">
      <c r="A73" s="92" t="n">
        <v>2026</v>
      </c>
      <c r="B73" s="92" t="inlineStr">
        <is>
          <t>D300</t>
        </is>
      </c>
      <c r="C73" s="92" t="inlineStr">
        <is>
          <t>인사팀</t>
        </is>
      </c>
      <c r="D73" s="92" t="n">
        <v>62201000</v>
      </c>
      <c r="E73" s="92" t="inlineStr">
        <is>
          <t>통신비</t>
        </is>
      </c>
      <c r="F73" s="92" t="n">
        <v>1</v>
      </c>
      <c r="G73" s="93" t="n">
        <v>2100000</v>
      </c>
      <c r="H73" s="93" t="n">
        <v>0</v>
      </c>
      <c r="I73" s="93" t="n">
        <v>1748000</v>
      </c>
      <c r="J73" s="93" t="n">
        <v>352000</v>
      </c>
      <c r="L73" s="9">
        <f>IF($A73="","",$B73&amp;"|"&amp;$D73)</f>
        <v/>
      </c>
      <c r="M73" s="9">
        <f>IF($A73="","",VALUE($A73&amp;""))</f>
        <v/>
      </c>
      <c r="N73" s="9">
        <f>IF($A73="","",VALUE(SUBSTITUTE(SUBSTITUTE(SUBSTITUTE(UPPER($F73&amp;""),"Q",""),"분기","")," ","")))</f>
        <v/>
      </c>
      <c r="O73" s="94">
        <f>IF($A73="",0,($G73+$H73)*설정!$C$23)</f>
        <v/>
      </c>
      <c r="P73" s="94">
        <f>IF($A73="",0,$I73*설정!$C$23)</f>
        <v/>
      </c>
      <c r="Q73" s="64">
        <f>IF($A73="","",IF(COUNTIF(변동분석!$E$7:$E$506,L73)&gt;0,"Y","N"))</f>
        <v/>
      </c>
      <c r="R73" s="9">
        <f>IF($A73="","",$D73&amp;"")</f>
        <v/>
      </c>
    </row>
    <row r="74">
      <c r="A74" s="92" t="n">
        <v>2026</v>
      </c>
      <c r="B74" s="92" t="inlineStr">
        <is>
          <t>D300</t>
        </is>
      </c>
      <c r="C74" s="92" t="inlineStr">
        <is>
          <t>인사팀</t>
        </is>
      </c>
      <c r="D74" s="92" t="n">
        <v>62201000</v>
      </c>
      <c r="E74" s="92" t="inlineStr">
        <is>
          <t>통신비</t>
        </is>
      </c>
      <c r="F74" s="92" t="n">
        <v>2</v>
      </c>
      <c r="G74" s="93" t="n">
        <v>2100000</v>
      </c>
      <c r="H74" s="93" t="n">
        <v>0</v>
      </c>
      <c r="I74" s="93" t="n">
        <v>1708000</v>
      </c>
      <c r="J74" s="93" t="n">
        <v>392000</v>
      </c>
      <c r="L74" s="9">
        <f>IF($A74="","",$B74&amp;"|"&amp;$D74)</f>
        <v/>
      </c>
      <c r="M74" s="9">
        <f>IF($A74="","",VALUE($A74&amp;""))</f>
        <v/>
      </c>
      <c r="N74" s="9">
        <f>IF($A74="","",VALUE(SUBSTITUTE(SUBSTITUTE(SUBSTITUTE(UPPER($F74&amp;""),"Q",""),"분기","")," ","")))</f>
        <v/>
      </c>
      <c r="O74" s="94">
        <f>IF($A74="",0,($G74+$H74)*설정!$C$23)</f>
        <v/>
      </c>
      <c r="P74" s="94">
        <f>IF($A74="",0,$I74*설정!$C$23)</f>
        <v/>
      </c>
      <c r="Q74" s="64">
        <f>IF($A74="","",IF(COUNTIF(변동분석!$E$7:$E$506,L74)&gt;0,"Y","N"))</f>
        <v/>
      </c>
      <c r="R74" s="9">
        <f>IF($A74="","",$D74&amp;"")</f>
        <v/>
      </c>
    </row>
    <row r="75">
      <c r="A75" s="92" t="n">
        <v>2026</v>
      </c>
      <c r="B75" s="92" t="inlineStr">
        <is>
          <t>D300</t>
        </is>
      </c>
      <c r="C75" s="92" t="inlineStr">
        <is>
          <t>인사팀</t>
        </is>
      </c>
      <c r="D75" s="92" t="n">
        <v>62201000</v>
      </c>
      <c r="E75" s="92" t="inlineStr">
        <is>
          <t>통신비</t>
        </is>
      </c>
      <c r="F75" s="92" t="n">
        <v>3</v>
      </c>
      <c r="G75" s="93" t="n">
        <v>2100000</v>
      </c>
      <c r="H75" s="93" t="n">
        <v>0</v>
      </c>
      <c r="I75" s="93" t="n">
        <v>1853000</v>
      </c>
      <c r="J75" s="93" t="n">
        <v>247000</v>
      </c>
      <c r="L75" s="9">
        <f>IF($A75="","",$B75&amp;"|"&amp;$D75)</f>
        <v/>
      </c>
      <c r="M75" s="9">
        <f>IF($A75="","",VALUE($A75&amp;""))</f>
        <v/>
      </c>
      <c r="N75" s="9">
        <f>IF($A75="","",VALUE(SUBSTITUTE(SUBSTITUTE(SUBSTITUTE(UPPER($F75&amp;""),"Q",""),"분기","")," ","")))</f>
        <v/>
      </c>
      <c r="O75" s="94">
        <f>IF($A75="",0,($G75+$H75)*설정!$C$23)</f>
        <v/>
      </c>
      <c r="P75" s="94">
        <f>IF($A75="",0,$I75*설정!$C$23)</f>
        <v/>
      </c>
      <c r="Q75" s="64">
        <f>IF($A75="","",IF(COUNTIF(변동분석!$E$7:$E$506,L75)&gt;0,"Y","N"))</f>
        <v/>
      </c>
      <c r="R75" s="9">
        <f>IF($A75="","",$D75&amp;"")</f>
        <v/>
      </c>
    </row>
    <row r="76">
      <c r="A76" s="92" t="n">
        <v>2026</v>
      </c>
      <c r="B76" s="92" t="inlineStr">
        <is>
          <t>D300</t>
        </is>
      </c>
      <c r="C76" s="92" t="inlineStr">
        <is>
          <t>인사팀</t>
        </is>
      </c>
      <c r="D76" s="92" t="n">
        <v>62201000</v>
      </c>
      <c r="E76" s="92" t="inlineStr">
        <is>
          <t>통신비</t>
        </is>
      </c>
      <c r="F76" s="92" t="n">
        <v>4</v>
      </c>
      <c r="G76" s="93" t="n">
        <v>2100000</v>
      </c>
      <c r="H76" s="93" t="n">
        <v>0</v>
      </c>
      <c r="I76" s="93" t="n">
        <v>0</v>
      </c>
      <c r="J76" s="93" t="n">
        <v>2100000</v>
      </c>
      <c r="L76" s="9">
        <f>IF($A76="","",$B76&amp;"|"&amp;$D76)</f>
        <v/>
      </c>
      <c r="M76" s="9">
        <f>IF($A76="","",VALUE($A76&amp;""))</f>
        <v/>
      </c>
      <c r="N76" s="9">
        <f>IF($A76="","",VALUE(SUBSTITUTE(SUBSTITUTE(SUBSTITUTE(UPPER($F76&amp;""),"Q",""),"분기","")," ","")))</f>
        <v/>
      </c>
      <c r="O76" s="94">
        <f>IF($A76="",0,($G76+$H76)*설정!$C$23)</f>
        <v/>
      </c>
      <c r="P76" s="94">
        <f>IF($A76="",0,$I76*설정!$C$23)</f>
        <v/>
      </c>
      <c r="Q76" s="64">
        <f>IF($A76="","",IF(COUNTIF(변동분석!$E$7:$E$506,L76)&gt;0,"Y","N"))</f>
        <v/>
      </c>
      <c r="R76" s="9">
        <f>IF($A76="","",$D76&amp;"")</f>
        <v/>
      </c>
    </row>
    <row r="77">
      <c r="A77" s="92" t="n">
        <v>2026</v>
      </c>
      <c r="B77" s="92" t="inlineStr">
        <is>
          <t>D300</t>
        </is>
      </c>
      <c r="C77" s="92" t="inlineStr">
        <is>
          <t>인사팀</t>
        </is>
      </c>
      <c r="D77" s="92" t="n">
        <v>62301000</v>
      </c>
      <c r="E77" s="92" t="inlineStr">
        <is>
          <t>소모품비</t>
        </is>
      </c>
      <c r="F77" s="92" t="n">
        <v>1</v>
      </c>
      <c r="G77" s="93" t="n">
        <v>2400000</v>
      </c>
      <c r="H77" s="93" t="n">
        <v>0</v>
      </c>
      <c r="I77" s="93" t="n">
        <v>2331000</v>
      </c>
      <c r="J77" s="93" t="n">
        <v>69000</v>
      </c>
      <c r="L77" s="9">
        <f>IF($A77="","",$B77&amp;"|"&amp;$D77)</f>
        <v/>
      </c>
      <c r="M77" s="9">
        <f>IF($A77="","",VALUE($A77&amp;""))</f>
        <v/>
      </c>
      <c r="N77" s="9">
        <f>IF($A77="","",VALUE(SUBSTITUTE(SUBSTITUTE(SUBSTITUTE(UPPER($F77&amp;""),"Q",""),"분기","")," ","")))</f>
        <v/>
      </c>
      <c r="O77" s="94">
        <f>IF($A77="",0,($G77+$H77)*설정!$C$23)</f>
        <v/>
      </c>
      <c r="P77" s="94">
        <f>IF($A77="",0,$I77*설정!$C$23)</f>
        <v/>
      </c>
      <c r="Q77" s="64">
        <f>IF($A77="","",IF(COUNTIF(변동분석!$E$7:$E$506,L77)&gt;0,"Y","N"))</f>
        <v/>
      </c>
      <c r="R77" s="9">
        <f>IF($A77="","",$D77&amp;"")</f>
        <v/>
      </c>
    </row>
    <row r="78">
      <c r="A78" s="92" t="n">
        <v>2026</v>
      </c>
      <c r="B78" s="92" t="inlineStr">
        <is>
          <t>D300</t>
        </is>
      </c>
      <c r="C78" s="92" t="inlineStr">
        <is>
          <t>인사팀</t>
        </is>
      </c>
      <c r="D78" s="92" t="n">
        <v>62301000</v>
      </c>
      <c r="E78" s="92" t="inlineStr">
        <is>
          <t>소모품비</t>
        </is>
      </c>
      <c r="F78" s="92" t="n">
        <v>2</v>
      </c>
      <c r="G78" s="93" t="n">
        <v>2400000</v>
      </c>
      <c r="H78" s="93" t="n">
        <v>0</v>
      </c>
      <c r="I78" s="93" t="n">
        <v>2250000</v>
      </c>
      <c r="J78" s="93" t="n">
        <v>150000</v>
      </c>
      <c r="L78" s="9">
        <f>IF($A78="","",$B78&amp;"|"&amp;$D78)</f>
        <v/>
      </c>
      <c r="M78" s="9">
        <f>IF($A78="","",VALUE($A78&amp;""))</f>
        <v/>
      </c>
      <c r="N78" s="9">
        <f>IF($A78="","",VALUE(SUBSTITUTE(SUBSTITUTE(SUBSTITUTE(UPPER($F78&amp;""),"Q",""),"분기","")," ","")))</f>
        <v/>
      </c>
      <c r="O78" s="94">
        <f>IF($A78="",0,($G78+$H78)*설정!$C$23)</f>
        <v/>
      </c>
      <c r="P78" s="94">
        <f>IF($A78="",0,$I78*설정!$C$23)</f>
        <v/>
      </c>
      <c r="Q78" s="64">
        <f>IF($A78="","",IF(COUNTIF(변동분석!$E$7:$E$506,L78)&gt;0,"Y","N"))</f>
        <v/>
      </c>
      <c r="R78" s="9">
        <f>IF($A78="","",$D78&amp;"")</f>
        <v/>
      </c>
    </row>
    <row r="79">
      <c r="A79" s="92" t="n">
        <v>2026</v>
      </c>
      <c r="B79" s="92" t="inlineStr">
        <is>
          <t>D300</t>
        </is>
      </c>
      <c r="C79" s="92" t="inlineStr">
        <is>
          <t>인사팀</t>
        </is>
      </c>
      <c r="D79" s="92" t="n">
        <v>62301000</v>
      </c>
      <c r="E79" s="92" t="inlineStr">
        <is>
          <t>소모품비</t>
        </is>
      </c>
      <c r="F79" s="92" t="n">
        <v>3</v>
      </c>
      <c r="G79" s="93" t="n">
        <v>2400000</v>
      </c>
      <c r="H79" s="93" t="n">
        <v>0</v>
      </c>
      <c r="I79" s="93" t="n">
        <v>2352000</v>
      </c>
      <c r="J79" s="93" t="n">
        <v>48000</v>
      </c>
      <c r="L79" s="9">
        <f>IF($A79="","",$B79&amp;"|"&amp;$D79)</f>
        <v/>
      </c>
      <c r="M79" s="9">
        <f>IF($A79="","",VALUE($A79&amp;""))</f>
        <v/>
      </c>
      <c r="N79" s="9">
        <f>IF($A79="","",VALUE(SUBSTITUTE(SUBSTITUTE(SUBSTITUTE(UPPER($F79&amp;""),"Q",""),"분기","")," ","")))</f>
        <v/>
      </c>
      <c r="O79" s="94">
        <f>IF($A79="",0,($G79+$H79)*설정!$C$23)</f>
        <v/>
      </c>
      <c r="P79" s="94">
        <f>IF($A79="",0,$I79*설정!$C$23)</f>
        <v/>
      </c>
      <c r="Q79" s="64">
        <f>IF($A79="","",IF(COUNTIF(변동분석!$E$7:$E$506,L79)&gt;0,"Y","N"))</f>
        <v/>
      </c>
      <c r="R79" s="9">
        <f>IF($A79="","",$D79&amp;"")</f>
        <v/>
      </c>
    </row>
    <row r="80">
      <c r="A80" s="92" t="n">
        <v>2026</v>
      </c>
      <c r="B80" s="92" t="inlineStr">
        <is>
          <t>D300</t>
        </is>
      </c>
      <c r="C80" s="92" t="inlineStr">
        <is>
          <t>인사팀</t>
        </is>
      </c>
      <c r="D80" s="92" t="n">
        <v>62301000</v>
      </c>
      <c r="E80" s="92" t="inlineStr">
        <is>
          <t>소모품비</t>
        </is>
      </c>
      <c r="F80" s="92" t="n">
        <v>4</v>
      </c>
      <c r="G80" s="93" t="n">
        <v>2400000</v>
      </c>
      <c r="H80" s="93" t="n">
        <v>0</v>
      </c>
      <c r="I80" s="93" t="n">
        <v>0</v>
      </c>
      <c r="J80" s="93" t="n">
        <v>2400000</v>
      </c>
      <c r="L80" s="9">
        <f>IF($A80="","",$B80&amp;"|"&amp;$D80)</f>
        <v/>
      </c>
      <c r="M80" s="9">
        <f>IF($A80="","",VALUE($A80&amp;""))</f>
        <v/>
      </c>
      <c r="N80" s="9">
        <f>IF($A80="","",VALUE(SUBSTITUTE(SUBSTITUTE(SUBSTITUTE(UPPER($F80&amp;""),"Q",""),"분기","")," ","")))</f>
        <v/>
      </c>
      <c r="O80" s="94">
        <f>IF($A80="",0,($G80+$H80)*설정!$C$23)</f>
        <v/>
      </c>
      <c r="P80" s="94">
        <f>IF($A80="",0,$I80*설정!$C$23)</f>
        <v/>
      </c>
      <c r="Q80" s="64">
        <f>IF($A80="","",IF(COUNTIF(변동분석!$E$7:$E$506,L80)&gt;0,"Y","N"))</f>
        <v/>
      </c>
      <c r="R80" s="9">
        <f>IF($A80="","",$D80&amp;"")</f>
        <v/>
      </c>
    </row>
    <row r="81">
      <c r="A81" s="92" t="n">
        <v>2026</v>
      </c>
      <c r="B81" s="92" t="inlineStr">
        <is>
          <t>D300</t>
        </is>
      </c>
      <c r="C81" s="92" t="inlineStr">
        <is>
          <t>인사팀</t>
        </is>
      </c>
      <c r="D81" s="92" t="n">
        <v>62501000</v>
      </c>
      <c r="E81" s="92" t="inlineStr">
        <is>
          <t>회의비</t>
        </is>
      </c>
      <c r="F81" s="92" t="n">
        <v>1</v>
      </c>
      <c r="G81" s="93" t="n">
        <v>2400000</v>
      </c>
      <c r="H81" s="93" t="n">
        <v>0</v>
      </c>
      <c r="I81" s="93" t="n">
        <v>2057000</v>
      </c>
      <c r="J81" s="93" t="n">
        <v>343000</v>
      </c>
      <c r="L81" s="9">
        <f>IF($A81="","",$B81&amp;"|"&amp;$D81)</f>
        <v/>
      </c>
      <c r="M81" s="9">
        <f>IF($A81="","",VALUE($A81&amp;""))</f>
        <v/>
      </c>
      <c r="N81" s="9">
        <f>IF($A81="","",VALUE(SUBSTITUTE(SUBSTITUTE(SUBSTITUTE(UPPER($F81&amp;""),"Q",""),"분기","")," ","")))</f>
        <v/>
      </c>
      <c r="O81" s="94">
        <f>IF($A81="",0,($G81+$H81)*설정!$C$23)</f>
        <v/>
      </c>
      <c r="P81" s="94">
        <f>IF($A81="",0,$I81*설정!$C$23)</f>
        <v/>
      </c>
      <c r="Q81" s="64">
        <f>IF($A81="","",IF(COUNTIF(변동분석!$E$7:$E$506,L81)&gt;0,"Y","N"))</f>
        <v/>
      </c>
      <c r="R81" s="9">
        <f>IF($A81="","",$D81&amp;"")</f>
        <v/>
      </c>
    </row>
    <row r="82">
      <c r="A82" s="92" t="n">
        <v>2026</v>
      </c>
      <c r="B82" s="92" t="inlineStr">
        <is>
          <t>D300</t>
        </is>
      </c>
      <c r="C82" s="92" t="inlineStr">
        <is>
          <t>인사팀</t>
        </is>
      </c>
      <c r="D82" s="92" t="n">
        <v>62501000</v>
      </c>
      <c r="E82" s="92" t="inlineStr">
        <is>
          <t>회의비</t>
        </is>
      </c>
      <c r="F82" s="92" t="n">
        <v>2</v>
      </c>
      <c r="G82" s="93" t="n">
        <v>2400000</v>
      </c>
      <c r="H82" s="93" t="n">
        <v>0</v>
      </c>
      <c r="I82" s="93" t="n">
        <v>2100000</v>
      </c>
      <c r="J82" s="93" t="n">
        <v>300000</v>
      </c>
      <c r="L82" s="9">
        <f>IF($A82="","",$B82&amp;"|"&amp;$D82)</f>
        <v/>
      </c>
      <c r="M82" s="9">
        <f>IF($A82="","",VALUE($A82&amp;""))</f>
        <v/>
      </c>
      <c r="N82" s="9">
        <f>IF($A82="","",VALUE(SUBSTITUTE(SUBSTITUTE(SUBSTITUTE(UPPER($F82&amp;""),"Q",""),"분기","")," ","")))</f>
        <v/>
      </c>
      <c r="O82" s="94">
        <f>IF($A82="",0,($G82+$H82)*설정!$C$23)</f>
        <v/>
      </c>
      <c r="P82" s="94">
        <f>IF($A82="",0,$I82*설정!$C$23)</f>
        <v/>
      </c>
      <c r="Q82" s="64">
        <f>IF($A82="","",IF(COUNTIF(변동분석!$E$7:$E$506,L82)&gt;0,"Y","N"))</f>
        <v/>
      </c>
      <c r="R82" s="9">
        <f>IF($A82="","",$D82&amp;"")</f>
        <v/>
      </c>
    </row>
    <row r="83">
      <c r="A83" s="92" t="n">
        <v>2026</v>
      </c>
      <c r="B83" s="92" t="inlineStr">
        <is>
          <t>D300</t>
        </is>
      </c>
      <c r="C83" s="92" t="inlineStr">
        <is>
          <t>인사팀</t>
        </is>
      </c>
      <c r="D83" s="92" t="n">
        <v>62501000</v>
      </c>
      <c r="E83" s="92" t="inlineStr">
        <is>
          <t>회의비</t>
        </is>
      </c>
      <c r="F83" s="92" t="n">
        <v>3</v>
      </c>
      <c r="G83" s="93" t="n">
        <v>2400000</v>
      </c>
      <c r="H83" s="93" t="n">
        <v>0</v>
      </c>
      <c r="I83" s="93" t="n">
        <v>2117000</v>
      </c>
      <c r="J83" s="93" t="n">
        <v>283000</v>
      </c>
      <c r="L83" s="9">
        <f>IF($A83="","",$B83&amp;"|"&amp;$D83)</f>
        <v/>
      </c>
      <c r="M83" s="9">
        <f>IF($A83="","",VALUE($A83&amp;""))</f>
        <v/>
      </c>
      <c r="N83" s="9">
        <f>IF($A83="","",VALUE(SUBSTITUTE(SUBSTITUTE(SUBSTITUTE(UPPER($F83&amp;""),"Q",""),"분기","")," ","")))</f>
        <v/>
      </c>
      <c r="O83" s="94">
        <f>IF($A83="",0,($G83+$H83)*설정!$C$23)</f>
        <v/>
      </c>
      <c r="P83" s="94">
        <f>IF($A83="",0,$I83*설정!$C$23)</f>
        <v/>
      </c>
      <c r="Q83" s="64">
        <f>IF($A83="","",IF(COUNTIF(변동분석!$E$7:$E$506,L83)&gt;0,"Y","N"))</f>
        <v/>
      </c>
      <c r="R83" s="9">
        <f>IF($A83="","",$D83&amp;"")</f>
        <v/>
      </c>
    </row>
    <row r="84">
      <c r="A84" s="92" t="n">
        <v>2026</v>
      </c>
      <c r="B84" s="92" t="inlineStr">
        <is>
          <t>D300</t>
        </is>
      </c>
      <c r="C84" s="92" t="inlineStr">
        <is>
          <t>인사팀</t>
        </is>
      </c>
      <c r="D84" s="92" t="n">
        <v>62501000</v>
      </c>
      <c r="E84" s="92" t="inlineStr">
        <is>
          <t>회의비</t>
        </is>
      </c>
      <c r="F84" s="92" t="n">
        <v>4</v>
      </c>
      <c r="G84" s="93" t="n">
        <v>2400000</v>
      </c>
      <c r="H84" s="93" t="n">
        <v>0</v>
      </c>
      <c r="I84" s="93" t="n">
        <v>0</v>
      </c>
      <c r="J84" s="93" t="n">
        <v>2400000</v>
      </c>
      <c r="L84" s="9">
        <f>IF($A84="","",$B84&amp;"|"&amp;$D84)</f>
        <v/>
      </c>
      <c r="M84" s="9">
        <f>IF($A84="","",VALUE($A84&amp;""))</f>
        <v/>
      </c>
      <c r="N84" s="9">
        <f>IF($A84="","",VALUE(SUBSTITUTE(SUBSTITUTE(SUBSTITUTE(UPPER($F84&amp;""),"Q",""),"분기","")," ","")))</f>
        <v/>
      </c>
      <c r="O84" s="94">
        <f>IF($A84="",0,($G84+$H84)*설정!$C$23)</f>
        <v/>
      </c>
      <c r="P84" s="94">
        <f>IF($A84="",0,$I84*설정!$C$23)</f>
        <v/>
      </c>
      <c r="Q84" s="64">
        <f>IF($A84="","",IF(COUNTIF(변동분석!$E$7:$E$506,L84)&gt;0,"Y","N"))</f>
        <v/>
      </c>
      <c r="R84" s="9">
        <f>IF($A84="","",$D84&amp;"")</f>
        <v/>
      </c>
    </row>
    <row r="85">
      <c r="A85" s="92" t="n">
        <v>2026</v>
      </c>
      <c r="B85" s="92" t="inlineStr">
        <is>
          <t>D300</t>
        </is>
      </c>
      <c r="C85" s="92" t="inlineStr">
        <is>
          <t>인사팀</t>
        </is>
      </c>
      <c r="D85" s="92" t="n">
        <v>62601000</v>
      </c>
      <c r="E85" s="92" t="inlineStr">
        <is>
          <t>업무추진비</t>
        </is>
      </c>
      <c r="F85" s="92" t="n">
        <v>1</v>
      </c>
      <c r="G85" s="93" t="n">
        <v>6000000</v>
      </c>
      <c r="H85" s="93" t="n">
        <v>0</v>
      </c>
      <c r="I85" s="93" t="n">
        <v>5003000</v>
      </c>
      <c r="J85" s="93" t="n">
        <v>997000</v>
      </c>
      <c r="L85" s="9">
        <f>IF($A85="","",$B85&amp;"|"&amp;$D85)</f>
        <v/>
      </c>
      <c r="M85" s="9">
        <f>IF($A85="","",VALUE($A85&amp;""))</f>
        <v/>
      </c>
      <c r="N85" s="9">
        <f>IF($A85="","",VALUE(SUBSTITUTE(SUBSTITUTE(SUBSTITUTE(UPPER($F85&amp;""),"Q",""),"분기","")," ","")))</f>
        <v/>
      </c>
      <c r="O85" s="94">
        <f>IF($A85="",0,($G85+$H85)*설정!$C$23)</f>
        <v/>
      </c>
      <c r="P85" s="94">
        <f>IF($A85="",0,$I85*설정!$C$23)</f>
        <v/>
      </c>
      <c r="Q85" s="64">
        <f>IF($A85="","",IF(COUNTIF(변동분석!$E$7:$E$506,L85)&gt;0,"Y","N"))</f>
        <v/>
      </c>
      <c r="R85" s="9">
        <f>IF($A85="","",$D85&amp;"")</f>
        <v/>
      </c>
    </row>
    <row r="86">
      <c r="A86" s="92" t="n">
        <v>2026</v>
      </c>
      <c r="B86" s="92" t="inlineStr">
        <is>
          <t>D300</t>
        </is>
      </c>
      <c r="C86" s="92" t="inlineStr">
        <is>
          <t>인사팀</t>
        </is>
      </c>
      <c r="D86" s="92" t="n">
        <v>62601000</v>
      </c>
      <c r="E86" s="92" t="inlineStr">
        <is>
          <t>업무추진비</t>
        </is>
      </c>
      <c r="F86" s="92" t="n">
        <v>2</v>
      </c>
      <c r="G86" s="93" t="n">
        <v>6000000</v>
      </c>
      <c r="H86" s="93" t="n">
        <v>0</v>
      </c>
      <c r="I86" s="93" t="n">
        <v>5131000</v>
      </c>
      <c r="J86" s="93" t="n">
        <v>869000</v>
      </c>
      <c r="L86" s="9">
        <f>IF($A86="","",$B86&amp;"|"&amp;$D86)</f>
        <v/>
      </c>
      <c r="M86" s="9">
        <f>IF($A86="","",VALUE($A86&amp;""))</f>
        <v/>
      </c>
      <c r="N86" s="9">
        <f>IF($A86="","",VALUE(SUBSTITUTE(SUBSTITUTE(SUBSTITUTE(UPPER($F86&amp;""),"Q",""),"분기","")," ","")))</f>
        <v/>
      </c>
      <c r="O86" s="94">
        <f>IF($A86="",0,($G86+$H86)*설정!$C$23)</f>
        <v/>
      </c>
      <c r="P86" s="94">
        <f>IF($A86="",0,$I86*설정!$C$23)</f>
        <v/>
      </c>
      <c r="Q86" s="64">
        <f>IF($A86="","",IF(COUNTIF(변동분석!$E$7:$E$506,L86)&gt;0,"Y","N"))</f>
        <v/>
      </c>
      <c r="R86" s="9">
        <f>IF($A86="","",$D86&amp;"")</f>
        <v/>
      </c>
    </row>
    <row r="87">
      <c r="A87" s="92" t="n">
        <v>2026</v>
      </c>
      <c r="B87" s="92" t="inlineStr">
        <is>
          <t>D300</t>
        </is>
      </c>
      <c r="C87" s="92" t="inlineStr">
        <is>
          <t>인사팀</t>
        </is>
      </c>
      <c r="D87" s="92" t="n">
        <v>62601000</v>
      </c>
      <c r="E87" s="92" t="inlineStr">
        <is>
          <t>업무추진비</t>
        </is>
      </c>
      <c r="F87" s="92" t="n">
        <v>3</v>
      </c>
      <c r="G87" s="93" t="n">
        <v>6000000</v>
      </c>
      <c r="H87" s="93" t="n">
        <v>0</v>
      </c>
      <c r="I87" s="93" t="n">
        <v>4873000</v>
      </c>
      <c r="J87" s="93" t="n">
        <v>1127000</v>
      </c>
      <c r="L87" s="9">
        <f>IF($A87="","",$B87&amp;"|"&amp;$D87)</f>
        <v/>
      </c>
      <c r="M87" s="9">
        <f>IF($A87="","",VALUE($A87&amp;""))</f>
        <v/>
      </c>
      <c r="N87" s="9">
        <f>IF($A87="","",VALUE(SUBSTITUTE(SUBSTITUTE(SUBSTITUTE(UPPER($F87&amp;""),"Q",""),"분기","")," ","")))</f>
        <v/>
      </c>
      <c r="O87" s="94">
        <f>IF($A87="",0,($G87+$H87)*설정!$C$23)</f>
        <v/>
      </c>
      <c r="P87" s="94">
        <f>IF($A87="",0,$I87*설정!$C$23)</f>
        <v/>
      </c>
      <c r="Q87" s="64">
        <f>IF($A87="","",IF(COUNTIF(변동분석!$E$7:$E$506,L87)&gt;0,"Y","N"))</f>
        <v/>
      </c>
      <c r="R87" s="9">
        <f>IF($A87="","",$D87&amp;"")</f>
        <v/>
      </c>
    </row>
    <row r="88">
      <c r="A88" s="92" t="n">
        <v>2026</v>
      </c>
      <c r="B88" s="92" t="inlineStr">
        <is>
          <t>D300</t>
        </is>
      </c>
      <c r="C88" s="92" t="inlineStr">
        <is>
          <t>인사팀</t>
        </is>
      </c>
      <c r="D88" s="92" t="n">
        <v>62601000</v>
      </c>
      <c r="E88" s="92" t="inlineStr">
        <is>
          <t>업무추진비</t>
        </is>
      </c>
      <c r="F88" s="92" t="n">
        <v>4</v>
      </c>
      <c r="G88" s="93" t="n">
        <v>6000000</v>
      </c>
      <c r="H88" s="93" t="n">
        <v>0</v>
      </c>
      <c r="I88" s="93" t="n">
        <v>0</v>
      </c>
      <c r="J88" s="93" t="n">
        <v>6000000</v>
      </c>
      <c r="L88" s="9">
        <f>IF($A88="","",$B88&amp;"|"&amp;$D88)</f>
        <v/>
      </c>
      <c r="M88" s="9">
        <f>IF($A88="","",VALUE($A88&amp;""))</f>
        <v/>
      </c>
      <c r="N88" s="9">
        <f>IF($A88="","",VALUE(SUBSTITUTE(SUBSTITUTE(SUBSTITUTE(UPPER($F88&amp;""),"Q",""),"분기","")," ","")))</f>
        <v/>
      </c>
      <c r="O88" s="94">
        <f>IF($A88="",0,($G88+$H88)*설정!$C$23)</f>
        <v/>
      </c>
      <c r="P88" s="94">
        <f>IF($A88="",0,$I88*설정!$C$23)</f>
        <v/>
      </c>
      <c r="Q88" s="64">
        <f>IF($A88="","",IF(COUNTIF(변동분석!$E$7:$E$506,L88)&gt;0,"Y","N"))</f>
        <v/>
      </c>
      <c r="R88" s="9">
        <f>IF($A88="","",$D88&amp;"")</f>
        <v/>
      </c>
    </row>
    <row r="89">
      <c r="A89" s="92" t="n">
        <v>2026</v>
      </c>
      <c r="B89" s="92" t="inlineStr">
        <is>
          <t>D300</t>
        </is>
      </c>
      <c r="C89" s="92" t="inlineStr">
        <is>
          <t>인사팀</t>
        </is>
      </c>
      <c r="D89" s="92" t="n">
        <v>62801000</v>
      </c>
      <c r="E89" s="92" t="inlineStr">
        <is>
          <t>교육훈련비-사내</t>
        </is>
      </c>
      <c r="F89" s="92" t="n">
        <v>1</v>
      </c>
      <c r="G89" s="93" t="n">
        <v>48000000</v>
      </c>
      <c r="H89" s="93" t="n">
        <v>0</v>
      </c>
      <c r="I89" s="93" t="n">
        <v>42294000</v>
      </c>
      <c r="J89" s="93" t="n">
        <v>5706000</v>
      </c>
      <c r="L89" s="9">
        <f>IF($A89="","",$B89&amp;"|"&amp;$D89)</f>
        <v/>
      </c>
      <c r="M89" s="9">
        <f>IF($A89="","",VALUE($A89&amp;""))</f>
        <v/>
      </c>
      <c r="N89" s="9">
        <f>IF($A89="","",VALUE(SUBSTITUTE(SUBSTITUTE(SUBSTITUTE(UPPER($F89&amp;""),"Q",""),"분기","")," ","")))</f>
        <v/>
      </c>
      <c r="O89" s="94">
        <f>IF($A89="",0,($G89+$H89)*설정!$C$23)</f>
        <v/>
      </c>
      <c r="P89" s="94">
        <f>IF($A89="",0,$I89*설정!$C$23)</f>
        <v/>
      </c>
      <c r="Q89" s="64">
        <f>IF($A89="","",IF(COUNTIF(변동분석!$E$7:$E$506,L89)&gt;0,"Y","N"))</f>
        <v/>
      </c>
      <c r="R89" s="9">
        <f>IF($A89="","",$D89&amp;"")</f>
        <v/>
      </c>
    </row>
    <row r="90">
      <c r="A90" s="92" t="n">
        <v>2026</v>
      </c>
      <c r="B90" s="92" t="inlineStr">
        <is>
          <t>D300</t>
        </is>
      </c>
      <c r="C90" s="92" t="inlineStr">
        <is>
          <t>인사팀</t>
        </is>
      </c>
      <c r="D90" s="92" t="n">
        <v>62801000</v>
      </c>
      <c r="E90" s="92" t="inlineStr">
        <is>
          <t>교육훈련비-사내</t>
        </is>
      </c>
      <c r="F90" s="92" t="n">
        <v>2</v>
      </c>
      <c r="G90" s="93" t="n">
        <v>48000000</v>
      </c>
      <c r="H90" s="93" t="n">
        <v>0</v>
      </c>
      <c r="I90" s="93" t="n">
        <v>44575000</v>
      </c>
      <c r="J90" s="93" t="n">
        <v>3425000</v>
      </c>
      <c r="L90" s="9">
        <f>IF($A90="","",$B90&amp;"|"&amp;$D90)</f>
        <v/>
      </c>
      <c r="M90" s="9">
        <f>IF($A90="","",VALUE($A90&amp;""))</f>
        <v/>
      </c>
      <c r="N90" s="9">
        <f>IF($A90="","",VALUE(SUBSTITUTE(SUBSTITUTE(SUBSTITUTE(UPPER($F90&amp;""),"Q",""),"분기","")," ","")))</f>
        <v/>
      </c>
      <c r="O90" s="94">
        <f>IF($A90="",0,($G90+$H90)*설정!$C$23)</f>
        <v/>
      </c>
      <c r="P90" s="94">
        <f>IF($A90="",0,$I90*설정!$C$23)</f>
        <v/>
      </c>
      <c r="Q90" s="64">
        <f>IF($A90="","",IF(COUNTIF(변동분석!$E$7:$E$506,L90)&gt;0,"Y","N"))</f>
        <v/>
      </c>
      <c r="R90" s="9">
        <f>IF($A90="","",$D90&amp;"")</f>
        <v/>
      </c>
    </row>
    <row r="91">
      <c r="A91" s="92" t="n">
        <v>2026</v>
      </c>
      <c r="B91" s="92" t="inlineStr">
        <is>
          <t>D300</t>
        </is>
      </c>
      <c r="C91" s="92" t="inlineStr">
        <is>
          <t>인사팀</t>
        </is>
      </c>
      <c r="D91" s="92" t="n">
        <v>62801000</v>
      </c>
      <c r="E91" s="92" t="inlineStr">
        <is>
          <t>교육훈련비-사내</t>
        </is>
      </c>
      <c r="F91" s="92" t="n">
        <v>3</v>
      </c>
      <c r="G91" s="93" t="n">
        <v>48000000</v>
      </c>
      <c r="H91" s="93" t="n">
        <v>0</v>
      </c>
      <c r="I91" s="93" t="n">
        <v>40264000</v>
      </c>
      <c r="J91" s="93" t="n">
        <v>7736000</v>
      </c>
      <c r="L91" s="9">
        <f>IF($A91="","",$B91&amp;"|"&amp;$D91)</f>
        <v/>
      </c>
      <c r="M91" s="9">
        <f>IF($A91="","",VALUE($A91&amp;""))</f>
        <v/>
      </c>
      <c r="N91" s="9">
        <f>IF($A91="","",VALUE(SUBSTITUTE(SUBSTITUTE(SUBSTITUTE(UPPER($F91&amp;""),"Q",""),"분기","")," ","")))</f>
        <v/>
      </c>
      <c r="O91" s="94">
        <f>IF($A91="",0,($G91+$H91)*설정!$C$23)</f>
        <v/>
      </c>
      <c r="P91" s="94">
        <f>IF($A91="",0,$I91*설정!$C$23)</f>
        <v/>
      </c>
      <c r="Q91" s="64">
        <f>IF($A91="","",IF(COUNTIF(변동분석!$E$7:$E$506,L91)&gt;0,"Y","N"))</f>
        <v/>
      </c>
      <c r="R91" s="9">
        <f>IF($A91="","",$D91&amp;"")</f>
        <v/>
      </c>
    </row>
    <row r="92">
      <c r="A92" s="92" t="n">
        <v>2026</v>
      </c>
      <c r="B92" s="92" t="inlineStr">
        <is>
          <t>D300</t>
        </is>
      </c>
      <c r="C92" s="92" t="inlineStr">
        <is>
          <t>인사팀</t>
        </is>
      </c>
      <c r="D92" s="92" t="n">
        <v>62801000</v>
      </c>
      <c r="E92" s="92" t="inlineStr">
        <is>
          <t>교육훈련비-사내</t>
        </is>
      </c>
      <c r="F92" s="92" t="n">
        <v>4</v>
      </c>
      <c r="G92" s="93" t="n">
        <v>48000000</v>
      </c>
      <c r="H92" s="93" t="n">
        <v>0</v>
      </c>
      <c r="I92" s="93" t="n">
        <v>0</v>
      </c>
      <c r="J92" s="93" t="n">
        <v>48000000</v>
      </c>
      <c r="L92" s="9">
        <f>IF($A92="","",$B92&amp;"|"&amp;$D92)</f>
        <v/>
      </c>
      <c r="M92" s="9">
        <f>IF($A92="","",VALUE($A92&amp;""))</f>
        <v/>
      </c>
      <c r="N92" s="9">
        <f>IF($A92="","",VALUE(SUBSTITUTE(SUBSTITUTE(SUBSTITUTE(UPPER($F92&amp;""),"Q",""),"분기","")," ","")))</f>
        <v/>
      </c>
      <c r="O92" s="94">
        <f>IF($A92="",0,($G92+$H92)*설정!$C$23)</f>
        <v/>
      </c>
      <c r="P92" s="94">
        <f>IF($A92="",0,$I92*설정!$C$23)</f>
        <v/>
      </c>
      <c r="Q92" s="64">
        <f>IF($A92="","",IF(COUNTIF(변동분석!$E$7:$E$506,L92)&gt;0,"Y","N"))</f>
        <v/>
      </c>
      <c r="R92" s="9">
        <f>IF($A92="","",$D92&amp;"")</f>
        <v/>
      </c>
    </row>
    <row r="93">
      <c r="A93" s="92" t="n">
        <v>2026</v>
      </c>
      <c r="B93" s="92" t="inlineStr">
        <is>
          <t>D300</t>
        </is>
      </c>
      <c r="C93" s="92" t="inlineStr">
        <is>
          <t>인사팀</t>
        </is>
      </c>
      <c r="D93" s="92" t="n">
        <v>62802000</v>
      </c>
      <c r="E93" s="92" t="inlineStr">
        <is>
          <t>교육훈련비-외부위탁</t>
        </is>
      </c>
      <c r="F93" s="92" t="n">
        <v>1</v>
      </c>
      <c r="G93" s="93" t="n">
        <v>72000000</v>
      </c>
      <c r="H93" s="93" t="n">
        <v>0</v>
      </c>
      <c r="I93" s="93" t="n">
        <v>32078000</v>
      </c>
      <c r="J93" s="93" t="n">
        <v>39922000</v>
      </c>
      <c r="L93" s="9">
        <f>IF($A93="","",$B93&amp;"|"&amp;$D93)</f>
        <v/>
      </c>
      <c r="M93" s="9">
        <f>IF($A93="","",VALUE($A93&amp;""))</f>
        <v/>
      </c>
      <c r="N93" s="9">
        <f>IF($A93="","",VALUE(SUBSTITUTE(SUBSTITUTE(SUBSTITUTE(UPPER($F93&amp;""),"Q",""),"분기","")," ","")))</f>
        <v/>
      </c>
      <c r="O93" s="94">
        <f>IF($A93="",0,($G93+$H93)*설정!$C$23)</f>
        <v/>
      </c>
      <c r="P93" s="94">
        <f>IF($A93="",0,$I93*설정!$C$23)</f>
        <v/>
      </c>
      <c r="Q93" s="64">
        <f>IF($A93="","",IF(COUNTIF(변동분석!$E$7:$E$506,L93)&gt;0,"Y","N"))</f>
        <v/>
      </c>
      <c r="R93" s="9">
        <f>IF($A93="","",$D93&amp;"")</f>
        <v/>
      </c>
    </row>
    <row r="94">
      <c r="A94" s="92" t="n">
        <v>2026</v>
      </c>
      <c r="B94" s="92" t="inlineStr">
        <is>
          <t>D300</t>
        </is>
      </c>
      <c r="C94" s="92" t="inlineStr">
        <is>
          <t>인사팀</t>
        </is>
      </c>
      <c r="D94" s="92" t="n">
        <v>62802000</v>
      </c>
      <c r="E94" s="92" t="inlineStr">
        <is>
          <t>교육훈련비-외부위탁</t>
        </is>
      </c>
      <c r="F94" s="92" t="n">
        <v>2</v>
      </c>
      <c r="G94" s="93" t="n">
        <v>72000000</v>
      </c>
      <c r="H94" s="93" t="n">
        <v>0</v>
      </c>
      <c r="I94" s="93" t="n">
        <v>34487000</v>
      </c>
      <c r="J94" s="93" t="n">
        <v>37513000</v>
      </c>
      <c r="L94" s="9">
        <f>IF($A94="","",$B94&amp;"|"&amp;$D94)</f>
        <v/>
      </c>
      <c r="M94" s="9">
        <f>IF($A94="","",VALUE($A94&amp;""))</f>
        <v/>
      </c>
      <c r="N94" s="9">
        <f>IF($A94="","",VALUE(SUBSTITUTE(SUBSTITUTE(SUBSTITUTE(UPPER($F94&amp;""),"Q",""),"분기","")," ","")))</f>
        <v/>
      </c>
      <c r="O94" s="94">
        <f>IF($A94="",0,($G94+$H94)*설정!$C$23)</f>
        <v/>
      </c>
      <c r="P94" s="94">
        <f>IF($A94="",0,$I94*설정!$C$23)</f>
        <v/>
      </c>
      <c r="Q94" s="64">
        <f>IF($A94="","",IF(COUNTIF(변동분석!$E$7:$E$506,L94)&gt;0,"Y","N"))</f>
        <v/>
      </c>
      <c r="R94" s="9">
        <f>IF($A94="","",$D94&amp;"")</f>
        <v/>
      </c>
    </row>
    <row r="95">
      <c r="A95" s="92" t="n">
        <v>2026</v>
      </c>
      <c r="B95" s="92" t="inlineStr">
        <is>
          <t>D300</t>
        </is>
      </c>
      <c r="C95" s="92" t="inlineStr">
        <is>
          <t>인사팀</t>
        </is>
      </c>
      <c r="D95" s="92" t="n">
        <v>62802000</v>
      </c>
      <c r="E95" s="92" t="inlineStr">
        <is>
          <t>교육훈련비-외부위탁</t>
        </is>
      </c>
      <c r="F95" s="92" t="n">
        <v>3</v>
      </c>
      <c r="G95" s="93" t="n">
        <v>72000000</v>
      </c>
      <c r="H95" s="93" t="n">
        <v>-20000000</v>
      </c>
      <c r="I95" s="93" t="n">
        <v>93470000</v>
      </c>
      <c r="J95" s="93" t="n">
        <v>-41470000</v>
      </c>
      <c r="L95" s="9">
        <f>IF($A95="","",$B95&amp;"|"&amp;$D95)</f>
        <v/>
      </c>
      <c r="M95" s="9">
        <f>IF($A95="","",VALUE($A95&amp;""))</f>
        <v/>
      </c>
      <c r="N95" s="9">
        <f>IF($A95="","",VALUE(SUBSTITUTE(SUBSTITUTE(SUBSTITUTE(UPPER($F95&amp;""),"Q",""),"분기","")," ","")))</f>
        <v/>
      </c>
      <c r="O95" s="94">
        <f>IF($A95="",0,($G95+$H95)*설정!$C$23)</f>
        <v/>
      </c>
      <c r="P95" s="94">
        <f>IF($A95="",0,$I95*설정!$C$23)</f>
        <v/>
      </c>
      <c r="Q95" s="64">
        <f>IF($A95="","",IF(COUNTIF(변동분석!$E$7:$E$506,L95)&gt;0,"Y","N"))</f>
        <v/>
      </c>
      <c r="R95" s="9">
        <f>IF($A95="","",$D95&amp;"")</f>
        <v/>
      </c>
    </row>
    <row r="96">
      <c r="A96" s="92" t="n">
        <v>2026</v>
      </c>
      <c r="B96" s="92" t="inlineStr">
        <is>
          <t>D300</t>
        </is>
      </c>
      <c r="C96" s="92" t="inlineStr">
        <is>
          <t>인사팀</t>
        </is>
      </c>
      <c r="D96" s="92" t="n">
        <v>62802000</v>
      </c>
      <c r="E96" s="92" t="inlineStr">
        <is>
          <t>교육훈련비-외부위탁</t>
        </is>
      </c>
      <c r="F96" s="92" t="n">
        <v>4</v>
      </c>
      <c r="G96" s="93" t="n">
        <v>72000000</v>
      </c>
      <c r="H96" s="93" t="n">
        <v>0</v>
      </c>
      <c r="I96" s="93" t="n">
        <v>0</v>
      </c>
      <c r="J96" s="93" t="n">
        <v>72000000</v>
      </c>
      <c r="L96" s="9">
        <f>IF($A96="","",$B96&amp;"|"&amp;$D96)</f>
        <v/>
      </c>
      <c r="M96" s="9">
        <f>IF($A96="","",VALUE($A96&amp;""))</f>
        <v/>
      </c>
      <c r="N96" s="9">
        <f>IF($A96="","",VALUE(SUBSTITUTE(SUBSTITUTE(SUBSTITUTE(UPPER($F96&amp;""),"Q",""),"분기","")," ","")))</f>
        <v/>
      </c>
      <c r="O96" s="94">
        <f>IF($A96="",0,($G96+$H96)*설정!$C$23)</f>
        <v/>
      </c>
      <c r="P96" s="94">
        <f>IF($A96="",0,$I96*설정!$C$23)</f>
        <v/>
      </c>
      <c r="Q96" s="64">
        <f>IF($A96="","",IF(COUNTIF(변동분석!$E$7:$E$506,L96)&gt;0,"Y","N"))</f>
        <v/>
      </c>
      <c r="R96" s="9">
        <f>IF($A96="","",$D96&amp;"")</f>
        <v/>
      </c>
    </row>
    <row r="97">
      <c r="A97" s="92" t="n">
        <v>2026</v>
      </c>
      <c r="B97" s="92" t="inlineStr">
        <is>
          <t>D400</t>
        </is>
      </c>
      <c r="C97" s="92" t="inlineStr">
        <is>
          <t>상품개발팀</t>
        </is>
      </c>
      <c r="D97" s="92" t="n">
        <v>62101000</v>
      </c>
      <c r="E97" s="92" t="inlineStr">
        <is>
          <t>여비교통비-국내</t>
        </is>
      </c>
      <c r="F97" s="92" t="n">
        <v>1</v>
      </c>
      <c r="G97" s="93" t="n">
        <v>6375000</v>
      </c>
      <c r="H97" s="93" t="n">
        <v>0</v>
      </c>
      <c r="I97" s="93" t="n">
        <v>5880000</v>
      </c>
      <c r="J97" s="93" t="n">
        <v>495000</v>
      </c>
      <c r="L97" s="9">
        <f>IF($A97="","",$B97&amp;"|"&amp;$D97)</f>
        <v/>
      </c>
      <c r="M97" s="9">
        <f>IF($A97="","",VALUE($A97&amp;""))</f>
        <v/>
      </c>
      <c r="N97" s="9">
        <f>IF($A97="","",VALUE(SUBSTITUTE(SUBSTITUTE(SUBSTITUTE(UPPER($F97&amp;""),"Q",""),"분기","")," ","")))</f>
        <v/>
      </c>
      <c r="O97" s="94">
        <f>IF($A97="",0,($G97+$H97)*설정!$C$23)</f>
        <v/>
      </c>
      <c r="P97" s="94">
        <f>IF($A97="",0,$I97*설정!$C$23)</f>
        <v/>
      </c>
      <c r="Q97" s="64">
        <f>IF($A97="","",IF(COUNTIF(변동분석!$E$7:$E$506,L97)&gt;0,"Y","N"))</f>
        <v/>
      </c>
      <c r="R97" s="9">
        <f>IF($A97="","",$D97&amp;"")</f>
        <v/>
      </c>
    </row>
    <row r="98">
      <c r="A98" s="92" t="n">
        <v>2026</v>
      </c>
      <c r="B98" s="92" t="inlineStr">
        <is>
          <t>D400</t>
        </is>
      </c>
      <c r="C98" s="92" t="inlineStr">
        <is>
          <t>상품개발팀</t>
        </is>
      </c>
      <c r="D98" s="92" t="n">
        <v>62101000</v>
      </c>
      <c r="E98" s="92" t="inlineStr">
        <is>
          <t>여비교통비-국내</t>
        </is>
      </c>
      <c r="F98" s="92" t="n">
        <v>2</v>
      </c>
      <c r="G98" s="93" t="n">
        <v>6375000</v>
      </c>
      <c r="H98" s="93" t="n">
        <v>0</v>
      </c>
      <c r="I98" s="93" t="n">
        <v>5520000</v>
      </c>
      <c r="J98" s="93" t="n">
        <v>855000</v>
      </c>
      <c r="L98" s="9">
        <f>IF($A98="","",$B98&amp;"|"&amp;$D98)</f>
        <v/>
      </c>
      <c r="M98" s="9">
        <f>IF($A98="","",VALUE($A98&amp;""))</f>
        <v/>
      </c>
      <c r="N98" s="9">
        <f>IF($A98="","",VALUE(SUBSTITUTE(SUBSTITUTE(SUBSTITUTE(UPPER($F98&amp;""),"Q",""),"분기","")," ","")))</f>
        <v/>
      </c>
      <c r="O98" s="94">
        <f>IF($A98="",0,($G98+$H98)*설정!$C$23)</f>
        <v/>
      </c>
      <c r="P98" s="94">
        <f>IF($A98="",0,$I98*설정!$C$23)</f>
        <v/>
      </c>
      <c r="Q98" s="64">
        <f>IF($A98="","",IF(COUNTIF(변동분석!$E$7:$E$506,L98)&gt;0,"Y","N"))</f>
        <v/>
      </c>
      <c r="R98" s="9">
        <f>IF($A98="","",$D98&amp;"")</f>
        <v/>
      </c>
    </row>
    <row r="99">
      <c r="A99" s="92" t="n">
        <v>2026</v>
      </c>
      <c r="B99" s="92" t="inlineStr">
        <is>
          <t>D400</t>
        </is>
      </c>
      <c r="C99" s="92" t="inlineStr">
        <is>
          <t>상품개발팀</t>
        </is>
      </c>
      <c r="D99" s="92" t="n">
        <v>62101000</v>
      </c>
      <c r="E99" s="92" t="inlineStr">
        <is>
          <t>여비교통비-국내</t>
        </is>
      </c>
      <c r="F99" s="92" t="n">
        <v>3</v>
      </c>
      <c r="G99" s="93" t="n">
        <v>6375000</v>
      </c>
      <c r="H99" s="93" t="n">
        <v>0</v>
      </c>
      <c r="I99" s="93" t="n">
        <v>5616000</v>
      </c>
      <c r="J99" s="93" t="n">
        <v>759000</v>
      </c>
      <c r="L99" s="9">
        <f>IF($A99="","",$B99&amp;"|"&amp;$D99)</f>
        <v/>
      </c>
      <c r="M99" s="9">
        <f>IF($A99="","",VALUE($A99&amp;""))</f>
        <v/>
      </c>
      <c r="N99" s="9">
        <f>IF($A99="","",VALUE(SUBSTITUTE(SUBSTITUTE(SUBSTITUTE(UPPER($F99&amp;""),"Q",""),"분기","")," ","")))</f>
        <v/>
      </c>
      <c r="O99" s="94">
        <f>IF($A99="",0,($G99+$H99)*설정!$C$23)</f>
        <v/>
      </c>
      <c r="P99" s="94">
        <f>IF($A99="",0,$I99*설정!$C$23)</f>
        <v/>
      </c>
      <c r="Q99" s="64">
        <f>IF($A99="","",IF(COUNTIF(변동분석!$E$7:$E$506,L99)&gt;0,"Y","N"))</f>
        <v/>
      </c>
      <c r="R99" s="9">
        <f>IF($A99="","",$D99&amp;"")</f>
        <v/>
      </c>
    </row>
    <row r="100">
      <c r="A100" s="92" t="n">
        <v>2026</v>
      </c>
      <c r="B100" s="92" t="inlineStr">
        <is>
          <t>D400</t>
        </is>
      </c>
      <c r="C100" s="92" t="inlineStr">
        <is>
          <t>상품개발팀</t>
        </is>
      </c>
      <c r="D100" s="92" t="n">
        <v>62101000</v>
      </c>
      <c r="E100" s="92" t="inlineStr">
        <is>
          <t>여비교통비-국내</t>
        </is>
      </c>
      <c r="F100" s="92" t="n">
        <v>4</v>
      </c>
      <c r="G100" s="93" t="n">
        <v>6375000</v>
      </c>
      <c r="H100" s="93" t="n">
        <v>0</v>
      </c>
      <c r="I100" s="93" t="n">
        <v>0</v>
      </c>
      <c r="J100" s="93" t="n">
        <v>6375000</v>
      </c>
      <c r="L100" s="9">
        <f>IF($A100="","",$B100&amp;"|"&amp;$D100)</f>
        <v/>
      </c>
      <c r="M100" s="9">
        <f>IF($A100="","",VALUE($A100&amp;""))</f>
        <v/>
      </c>
      <c r="N100" s="9">
        <f>IF($A100="","",VALUE(SUBSTITUTE(SUBSTITUTE(SUBSTITUTE(UPPER($F100&amp;""),"Q",""),"분기","")," ","")))</f>
        <v/>
      </c>
      <c r="O100" s="94">
        <f>IF($A100="",0,($G100+$H100)*설정!$C$23)</f>
        <v/>
      </c>
      <c r="P100" s="94">
        <f>IF($A100="",0,$I100*설정!$C$23)</f>
        <v/>
      </c>
      <c r="Q100" s="64">
        <f>IF($A100="","",IF(COUNTIF(변동분석!$E$7:$E$506,L100)&gt;0,"Y","N"))</f>
        <v/>
      </c>
      <c r="R100" s="9">
        <f>IF($A100="","",$D100&amp;"")</f>
        <v/>
      </c>
    </row>
    <row r="101">
      <c r="A101" s="92" t="n">
        <v>2026</v>
      </c>
      <c r="B101" s="92" t="inlineStr">
        <is>
          <t>D400</t>
        </is>
      </c>
      <c r="C101" s="92" t="inlineStr">
        <is>
          <t>상품개발팀</t>
        </is>
      </c>
      <c r="D101" s="92" t="n">
        <v>62102000</v>
      </c>
      <c r="E101" s="92" t="inlineStr">
        <is>
          <t>여비교통비-해외</t>
        </is>
      </c>
      <c r="F101" s="92" t="n">
        <v>1</v>
      </c>
      <c r="G101" s="93" t="n">
        <v>1125000</v>
      </c>
      <c r="H101" s="93" t="n">
        <v>0</v>
      </c>
      <c r="I101" s="93" t="n">
        <v>956000</v>
      </c>
      <c r="J101" s="93" t="n">
        <v>169000</v>
      </c>
      <c r="L101" s="9">
        <f>IF($A101="","",$B101&amp;"|"&amp;$D101)</f>
        <v/>
      </c>
      <c r="M101" s="9">
        <f>IF($A101="","",VALUE($A101&amp;""))</f>
        <v/>
      </c>
      <c r="N101" s="9">
        <f>IF($A101="","",VALUE(SUBSTITUTE(SUBSTITUTE(SUBSTITUTE(UPPER($F101&amp;""),"Q",""),"분기","")," ","")))</f>
        <v/>
      </c>
      <c r="O101" s="94">
        <f>IF($A101="",0,($G101+$H101)*설정!$C$23)</f>
        <v/>
      </c>
      <c r="P101" s="94">
        <f>IF($A101="",0,$I101*설정!$C$23)</f>
        <v/>
      </c>
      <c r="Q101" s="64">
        <f>IF($A101="","",IF(COUNTIF(변동분석!$E$7:$E$506,L101)&gt;0,"Y","N"))</f>
        <v/>
      </c>
      <c r="R101" s="9">
        <f>IF($A101="","",$D101&amp;"")</f>
        <v/>
      </c>
    </row>
    <row r="102">
      <c r="A102" s="92" t="n">
        <v>2026</v>
      </c>
      <c r="B102" s="92" t="inlineStr">
        <is>
          <t>D400</t>
        </is>
      </c>
      <c r="C102" s="92" t="inlineStr">
        <is>
          <t>상품개발팀</t>
        </is>
      </c>
      <c r="D102" s="92" t="n">
        <v>62102000</v>
      </c>
      <c r="E102" s="92" t="inlineStr">
        <is>
          <t>여비교통비-해외</t>
        </is>
      </c>
      <c r="F102" s="92" t="n">
        <v>2</v>
      </c>
      <c r="G102" s="93" t="n">
        <v>1125000</v>
      </c>
      <c r="H102" s="93" t="n">
        <v>0</v>
      </c>
      <c r="I102" s="93" t="n">
        <v>922000</v>
      </c>
      <c r="J102" s="93" t="n">
        <v>203000</v>
      </c>
      <c r="L102" s="9">
        <f>IF($A102="","",$B102&amp;"|"&amp;$D102)</f>
        <v/>
      </c>
      <c r="M102" s="9">
        <f>IF($A102="","",VALUE($A102&amp;""))</f>
        <v/>
      </c>
      <c r="N102" s="9">
        <f>IF($A102="","",VALUE(SUBSTITUTE(SUBSTITUTE(SUBSTITUTE(UPPER($F102&amp;""),"Q",""),"분기","")," ","")))</f>
        <v/>
      </c>
      <c r="O102" s="94">
        <f>IF($A102="",0,($G102+$H102)*설정!$C$23)</f>
        <v/>
      </c>
      <c r="P102" s="94">
        <f>IF($A102="",0,$I102*설정!$C$23)</f>
        <v/>
      </c>
      <c r="Q102" s="64">
        <f>IF($A102="","",IF(COUNTIF(변동분석!$E$7:$E$506,L102)&gt;0,"Y","N"))</f>
        <v/>
      </c>
      <c r="R102" s="9">
        <f>IF($A102="","",$D102&amp;"")</f>
        <v/>
      </c>
    </row>
    <row r="103">
      <c r="A103" s="92" t="n">
        <v>2026</v>
      </c>
      <c r="B103" s="92" t="inlineStr">
        <is>
          <t>D400</t>
        </is>
      </c>
      <c r="C103" s="92" t="inlineStr">
        <is>
          <t>상품개발팀</t>
        </is>
      </c>
      <c r="D103" s="92" t="n">
        <v>62102000</v>
      </c>
      <c r="E103" s="92" t="inlineStr">
        <is>
          <t>여비교통비-해외</t>
        </is>
      </c>
      <c r="F103" s="92" t="n">
        <v>3</v>
      </c>
      <c r="G103" s="93" t="n">
        <v>1125000</v>
      </c>
      <c r="H103" s="93" t="n">
        <v>0</v>
      </c>
      <c r="I103" s="93" t="n">
        <v>1000000</v>
      </c>
      <c r="J103" s="93" t="n">
        <v>125000</v>
      </c>
      <c r="L103" s="9">
        <f>IF($A103="","",$B103&amp;"|"&amp;$D103)</f>
        <v/>
      </c>
      <c r="M103" s="9">
        <f>IF($A103="","",VALUE($A103&amp;""))</f>
        <v/>
      </c>
      <c r="N103" s="9">
        <f>IF($A103="","",VALUE(SUBSTITUTE(SUBSTITUTE(SUBSTITUTE(UPPER($F103&amp;""),"Q",""),"분기","")," ","")))</f>
        <v/>
      </c>
      <c r="O103" s="94">
        <f>IF($A103="",0,($G103+$H103)*설정!$C$23)</f>
        <v/>
      </c>
      <c r="P103" s="94">
        <f>IF($A103="",0,$I103*설정!$C$23)</f>
        <v/>
      </c>
      <c r="Q103" s="64">
        <f>IF($A103="","",IF(COUNTIF(변동분석!$E$7:$E$506,L103)&gt;0,"Y","N"))</f>
        <v/>
      </c>
      <c r="R103" s="9">
        <f>IF($A103="","",$D103&amp;"")</f>
        <v/>
      </c>
    </row>
    <row r="104">
      <c r="A104" s="92" t="n">
        <v>2026</v>
      </c>
      <c r="B104" s="92" t="inlineStr">
        <is>
          <t>D400</t>
        </is>
      </c>
      <c r="C104" s="92" t="inlineStr">
        <is>
          <t>상품개발팀</t>
        </is>
      </c>
      <c r="D104" s="92" t="n">
        <v>62102000</v>
      </c>
      <c r="E104" s="92" t="inlineStr">
        <is>
          <t>여비교통비-해외</t>
        </is>
      </c>
      <c r="F104" s="92" t="n">
        <v>4</v>
      </c>
      <c r="G104" s="93" t="n">
        <v>1125000</v>
      </c>
      <c r="H104" s="93" t="n">
        <v>0</v>
      </c>
      <c r="I104" s="93" t="n">
        <v>0</v>
      </c>
      <c r="J104" s="93" t="n">
        <v>1125000</v>
      </c>
      <c r="L104" s="9">
        <f>IF($A104="","",$B104&amp;"|"&amp;$D104)</f>
        <v/>
      </c>
      <c r="M104" s="9">
        <f>IF($A104="","",VALUE($A104&amp;""))</f>
        <v/>
      </c>
      <c r="N104" s="9">
        <f>IF($A104="","",VALUE(SUBSTITUTE(SUBSTITUTE(SUBSTITUTE(UPPER($F104&amp;""),"Q",""),"분기","")," ","")))</f>
        <v/>
      </c>
      <c r="O104" s="94">
        <f>IF($A104="",0,($G104+$H104)*설정!$C$23)</f>
        <v/>
      </c>
      <c r="P104" s="94">
        <f>IF($A104="",0,$I104*설정!$C$23)</f>
        <v/>
      </c>
      <c r="Q104" s="64">
        <f>IF($A104="","",IF(COUNTIF(변동분석!$E$7:$E$506,L104)&gt;0,"Y","N"))</f>
        <v/>
      </c>
      <c r="R104" s="9">
        <f>IF($A104="","",$D104&amp;"")</f>
        <v/>
      </c>
    </row>
    <row r="105">
      <c r="A105" s="92" t="n">
        <v>2026</v>
      </c>
      <c r="B105" s="92" t="inlineStr">
        <is>
          <t>D400</t>
        </is>
      </c>
      <c r="C105" s="92" t="inlineStr">
        <is>
          <t>상품개발팀</t>
        </is>
      </c>
      <c r="D105" s="92" t="n">
        <v>62201000</v>
      </c>
      <c r="E105" s="92" t="inlineStr">
        <is>
          <t>통신비</t>
        </is>
      </c>
      <c r="F105" s="92" t="n">
        <v>1</v>
      </c>
      <c r="G105" s="93" t="n">
        <v>1800000</v>
      </c>
      <c r="H105" s="93" t="n">
        <v>0</v>
      </c>
      <c r="I105" s="93" t="n">
        <v>1703000</v>
      </c>
      <c r="J105" s="93" t="n">
        <v>97000</v>
      </c>
      <c r="L105" s="9">
        <f>IF($A105="","",$B105&amp;"|"&amp;$D105)</f>
        <v/>
      </c>
      <c r="M105" s="9">
        <f>IF($A105="","",VALUE($A105&amp;""))</f>
        <v/>
      </c>
      <c r="N105" s="9">
        <f>IF($A105="","",VALUE(SUBSTITUTE(SUBSTITUTE(SUBSTITUTE(UPPER($F105&amp;""),"Q",""),"분기","")," ","")))</f>
        <v/>
      </c>
      <c r="O105" s="94">
        <f>IF($A105="",0,($G105+$H105)*설정!$C$23)</f>
        <v/>
      </c>
      <c r="P105" s="94">
        <f>IF($A105="",0,$I105*설정!$C$23)</f>
        <v/>
      </c>
      <c r="Q105" s="64">
        <f>IF($A105="","",IF(COUNTIF(변동분석!$E$7:$E$506,L105)&gt;0,"Y","N"))</f>
        <v/>
      </c>
      <c r="R105" s="9">
        <f>IF($A105="","",$D105&amp;"")</f>
        <v/>
      </c>
    </row>
    <row r="106">
      <c r="A106" s="92" t="n">
        <v>2026</v>
      </c>
      <c r="B106" s="92" t="inlineStr">
        <is>
          <t>D400</t>
        </is>
      </c>
      <c r="C106" s="92" t="inlineStr">
        <is>
          <t>상품개발팀</t>
        </is>
      </c>
      <c r="D106" s="92" t="n">
        <v>62201000</v>
      </c>
      <c r="E106" s="92" t="inlineStr">
        <is>
          <t>통신비</t>
        </is>
      </c>
      <c r="F106" s="92" t="n">
        <v>2</v>
      </c>
      <c r="G106" s="93" t="n">
        <v>1800000</v>
      </c>
      <c r="H106" s="93" t="n">
        <v>0</v>
      </c>
      <c r="I106" s="93" t="n">
        <v>1485000</v>
      </c>
      <c r="J106" s="93" t="n">
        <v>315000</v>
      </c>
      <c r="L106" s="9">
        <f>IF($A106="","",$B106&amp;"|"&amp;$D106)</f>
        <v/>
      </c>
      <c r="M106" s="9">
        <f>IF($A106="","",VALUE($A106&amp;""))</f>
        <v/>
      </c>
      <c r="N106" s="9">
        <f>IF($A106="","",VALUE(SUBSTITUTE(SUBSTITUTE(SUBSTITUTE(UPPER($F106&amp;""),"Q",""),"분기","")," ","")))</f>
        <v/>
      </c>
      <c r="O106" s="94">
        <f>IF($A106="",0,($G106+$H106)*설정!$C$23)</f>
        <v/>
      </c>
      <c r="P106" s="94">
        <f>IF($A106="",0,$I106*설정!$C$23)</f>
        <v/>
      </c>
      <c r="Q106" s="64">
        <f>IF($A106="","",IF(COUNTIF(변동분석!$E$7:$E$506,L106)&gt;0,"Y","N"))</f>
        <v/>
      </c>
      <c r="R106" s="9">
        <f>IF($A106="","",$D106&amp;"")</f>
        <v/>
      </c>
    </row>
    <row r="107">
      <c r="A107" s="92" t="n">
        <v>2026</v>
      </c>
      <c r="B107" s="92" t="inlineStr">
        <is>
          <t>D400</t>
        </is>
      </c>
      <c r="C107" s="92" t="inlineStr">
        <is>
          <t>상품개발팀</t>
        </is>
      </c>
      <c r="D107" s="92" t="n">
        <v>62201000</v>
      </c>
      <c r="E107" s="92" t="inlineStr">
        <is>
          <t>통신비</t>
        </is>
      </c>
      <c r="F107" s="92" t="n">
        <v>3</v>
      </c>
      <c r="G107" s="93" t="n">
        <v>1800000</v>
      </c>
      <c r="H107" s="93" t="n">
        <v>0</v>
      </c>
      <c r="I107" s="93" t="n">
        <v>1608000</v>
      </c>
      <c r="J107" s="93" t="n">
        <v>192000</v>
      </c>
      <c r="L107" s="9">
        <f>IF($A107="","",$B107&amp;"|"&amp;$D107)</f>
        <v/>
      </c>
      <c r="M107" s="9">
        <f>IF($A107="","",VALUE($A107&amp;""))</f>
        <v/>
      </c>
      <c r="N107" s="9">
        <f>IF($A107="","",VALUE(SUBSTITUTE(SUBSTITUTE(SUBSTITUTE(UPPER($F107&amp;""),"Q",""),"분기","")," ","")))</f>
        <v/>
      </c>
      <c r="O107" s="94">
        <f>IF($A107="",0,($G107+$H107)*설정!$C$23)</f>
        <v/>
      </c>
      <c r="P107" s="94">
        <f>IF($A107="",0,$I107*설정!$C$23)</f>
        <v/>
      </c>
      <c r="Q107" s="64">
        <f>IF($A107="","",IF(COUNTIF(변동분석!$E$7:$E$506,L107)&gt;0,"Y","N"))</f>
        <v/>
      </c>
      <c r="R107" s="9">
        <f>IF($A107="","",$D107&amp;"")</f>
        <v/>
      </c>
    </row>
    <row r="108">
      <c r="A108" s="92" t="n">
        <v>2026</v>
      </c>
      <c r="B108" s="92" t="inlineStr">
        <is>
          <t>D400</t>
        </is>
      </c>
      <c r="C108" s="92" t="inlineStr">
        <is>
          <t>상품개발팀</t>
        </is>
      </c>
      <c r="D108" s="92" t="n">
        <v>62201000</v>
      </c>
      <c r="E108" s="92" t="inlineStr">
        <is>
          <t>통신비</t>
        </is>
      </c>
      <c r="F108" s="92" t="n">
        <v>4</v>
      </c>
      <c r="G108" s="93" t="n">
        <v>1800000</v>
      </c>
      <c r="H108" s="93" t="n">
        <v>0</v>
      </c>
      <c r="I108" s="93" t="n">
        <v>0</v>
      </c>
      <c r="J108" s="93" t="n">
        <v>1800000</v>
      </c>
      <c r="L108" s="9">
        <f>IF($A108="","",$B108&amp;"|"&amp;$D108)</f>
        <v/>
      </c>
      <c r="M108" s="9">
        <f>IF($A108="","",VALUE($A108&amp;""))</f>
        <v/>
      </c>
      <c r="N108" s="9">
        <f>IF($A108="","",VALUE(SUBSTITUTE(SUBSTITUTE(SUBSTITUTE(UPPER($F108&amp;""),"Q",""),"분기","")," ","")))</f>
        <v/>
      </c>
      <c r="O108" s="94">
        <f>IF($A108="",0,($G108+$H108)*설정!$C$23)</f>
        <v/>
      </c>
      <c r="P108" s="94">
        <f>IF($A108="",0,$I108*설정!$C$23)</f>
        <v/>
      </c>
      <c r="Q108" s="64">
        <f>IF($A108="","",IF(COUNTIF(변동분석!$E$7:$E$506,L108)&gt;0,"Y","N"))</f>
        <v/>
      </c>
      <c r="R108" s="9">
        <f>IF($A108="","",$D108&amp;"")</f>
        <v/>
      </c>
    </row>
    <row r="109">
      <c r="A109" s="92" t="n">
        <v>2026</v>
      </c>
      <c r="B109" s="92" t="inlineStr">
        <is>
          <t>D400</t>
        </is>
      </c>
      <c r="C109" s="92" t="inlineStr">
        <is>
          <t>상품개발팀</t>
        </is>
      </c>
      <c r="D109" s="92" t="n">
        <v>62301000</v>
      </c>
      <c r="E109" s="92" t="inlineStr">
        <is>
          <t>소모품비</t>
        </is>
      </c>
      <c r="F109" s="92" t="n">
        <v>1</v>
      </c>
      <c r="G109" s="93" t="n">
        <v>1200000</v>
      </c>
      <c r="H109" s="93" t="n">
        <v>0</v>
      </c>
      <c r="I109" s="93" t="n">
        <v>1083000</v>
      </c>
      <c r="J109" s="93" t="n">
        <v>117000</v>
      </c>
      <c r="L109" s="9">
        <f>IF($A109="","",$B109&amp;"|"&amp;$D109)</f>
        <v/>
      </c>
      <c r="M109" s="9">
        <f>IF($A109="","",VALUE($A109&amp;""))</f>
        <v/>
      </c>
      <c r="N109" s="9">
        <f>IF($A109="","",VALUE(SUBSTITUTE(SUBSTITUTE(SUBSTITUTE(UPPER($F109&amp;""),"Q",""),"분기","")," ","")))</f>
        <v/>
      </c>
      <c r="O109" s="94">
        <f>IF($A109="",0,($G109+$H109)*설정!$C$23)</f>
        <v/>
      </c>
      <c r="P109" s="94">
        <f>IF($A109="",0,$I109*설정!$C$23)</f>
        <v/>
      </c>
      <c r="Q109" s="64">
        <f>IF($A109="","",IF(COUNTIF(변동분석!$E$7:$E$506,L109)&gt;0,"Y","N"))</f>
        <v/>
      </c>
      <c r="R109" s="9">
        <f>IF($A109="","",$D109&amp;"")</f>
        <v/>
      </c>
    </row>
    <row r="110">
      <c r="A110" s="92" t="n">
        <v>2026</v>
      </c>
      <c r="B110" s="92" t="inlineStr">
        <is>
          <t>D400</t>
        </is>
      </c>
      <c r="C110" s="92" t="inlineStr">
        <is>
          <t>상품개발팀</t>
        </is>
      </c>
      <c r="D110" s="92" t="n">
        <v>62301000</v>
      </c>
      <c r="E110" s="92" t="inlineStr">
        <is>
          <t>소모품비</t>
        </is>
      </c>
      <c r="F110" s="92" t="n">
        <v>2</v>
      </c>
      <c r="G110" s="93" t="n">
        <v>1200000</v>
      </c>
      <c r="H110" s="93" t="n">
        <v>0</v>
      </c>
      <c r="I110" s="93" t="n">
        <v>1051000</v>
      </c>
      <c r="J110" s="93" t="n">
        <v>149000</v>
      </c>
      <c r="L110" s="9">
        <f>IF($A110="","",$B110&amp;"|"&amp;$D110)</f>
        <v/>
      </c>
      <c r="M110" s="9">
        <f>IF($A110="","",VALUE($A110&amp;""))</f>
        <v/>
      </c>
      <c r="N110" s="9">
        <f>IF($A110="","",VALUE(SUBSTITUTE(SUBSTITUTE(SUBSTITUTE(UPPER($F110&amp;""),"Q",""),"분기","")," ","")))</f>
        <v/>
      </c>
      <c r="O110" s="94">
        <f>IF($A110="",0,($G110+$H110)*설정!$C$23)</f>
        <v/>
      </c>
      <c r="P110" s="94">
        <f>IF($A110="",0,$I110*설정!$C$23)</f>
        <v/>
      </c>
      <c r="Q110" s="64">
        <f>IF($A110="","",IF(COUNTIF(변동분석!$E$7:$E$506,L110)&gt;0,"Y","N"))</f>
        <v/>
      </c>
      <c r="R110" s="9">
        <f>IF($A110="","",$D110&amp;"")</f>
        <v/>
      </c>
    </row>
    <row r="111">
      <c r="A111" s="92" t="n">
        <v>2026</v>
      </c>
      <c r="B111" s="92" t="inlineStr">
        <is>
          <t>D400</t>
        </is>
      </c>
      <c r="C111" s="92" t="inlineStr">
        <is>
          <t>상품개발팀</t>
        </is>
      </c>
      <c r="D111" s="92" t="n">
        <v>62301000</v>
      </c>
      <c r="E111" s="92" t="inlineStr">
        <is>
          <t>소모품비</t>
        </is>
      </c>
      <c r="F111" s="92" t="n">
        <v>3</v>
      </c>
      <c r="G111" s="93" t="n">
        <v>1200000</v>
      </c>
      <c r="H111" s="93" t="n">
        <v>0</v>
      </c>
      <c r="I111" s="93" t="n">
        <v>1148000</v>
      </c>
      <c r="J111" s="93" t="n">
        <v>52000</v>
      </c>
      <c r="L111" s="9">
        <f>IF($A111="","",$B111&amp;"|"&amp;$D111)</f>
        <v/>
      </c>
      <c r="M111" s="9">
        <f>IF($A111="","",VALUE($A111&amp;""))</f>
        <v/>
      </c>
      <c r="N111" s="9">
        <f>IF($A111="","",VALUE(SUBSTITUTE(SUBSTITUTE(SUBSTITUTE(UPPER($F111&amp;""),"Q",""),"분기","")," ","")))</f>
        <v/>
      </c>
      <c r="O111" s="94">
        <f>IF($A111="",0,($G111+$H111)*설정!$C$23)</f>
        <v/>
      </c>
      <c r="P111" s="94">
        <f>IF($A111="",0,$I111*설정!$C$23)</f>
        <v/>
      </c>
      <c r="Q111" s="64">
        <f>IF($A111="","",IF(COUNTIF(변동분석!$E$7:$E$506,L111)&gt;0,"Y","N"))</f>
        <v/>
      </c>
      <c r="R111" s="9">
        <f>IF($A111="","",$D111&amp;"")</f>
        <v/>
      </c>
    </row>
    <row r="112">
      <c r="A112" s="92" t="n">
        <v>2026</v>
      </c>
      <c r="B112" s="92" t="inlineStr">
        <is>
          <t>D400</t>
        </is>
      </c>
      <c r="C112" s="92" t="inlineStr">
        <is>
          <t>상품개발팀</t>
        </is>
      </c>
      <c r="D112" s="92" t="n">
        <v>62301000</v>
      </c>
      <c r="E112" s="92" t="inlineStr">
        <is>
          <t>소모품비</t>
        </is>
      </c>
      <c r="F112" s="92" t="n">
        <v>4</v>
      </c>
      <c r="G112" s="93" t="n">
        <v>1200000</v>
      </c>
      <c r="H112" s="93" t="n">
        <v>0</v>
      </c>
      <c r="I112" s="93" t="n">
        <v>0</v>
      </c>
      <c r="J112" s="93" t="n">
        <v>1200000</v>
      </c>
      <c r="L112" s="9">
        <f>IF($A112="","",$B112&amp;"|"&amp;$D112)</f>
        <v/>
      </c>
      <c r="M112" s="9">
        <f>IF($A112="","",VALUE($A112&amp;""))</f>
        <v/>
      </c>
      <c r="N112" s="9">
        <f>IF($A112="","",VALUE(SUBSTITUTE(SUBSTITUTE(SUBSTITUTE(UPPER($F112&amp;""),"Q",""),"분기","")," ","")))</f>
        <v/>
      </c>
      <c r="O112" s="94">
        <f>IF($A112="",0,($G112+$H112)*설정!$C$23)</f>
        <v/>
      </c>
      <c r="P112" s="94">
        <f>IF($A112="",0,$I112*설정!$C$23)</f>
        <v/>
      </c>
      <c r="Q112" s="64">
        <f>IF($A112="","",IF(COUNTIF(변동분석!$E$7:$E$506,L112)&gt;0,"Y","N"))</f>
        <v/>
      </c>
      <c r="R112" s="9">
        <f>IF($A112="","",$D112&amp;"")</f>
        <v/>
      </c>
    </row>
    <row r="113">
      <c r="A113" s="92" t="n">
        <v>2026</v>
      </c>
      <c r="B113" s="92" t="inlineStr">
        <is>
          <t>D400</t>
        </is>
      </c>
      <c r="C113" s="92" t="inlineStr">
        <is>
          <t>상품개발팀</t>
        </is>
      </c>
      <c r="D113" s="92" t="n">
        <v>62401000</v>
      </c>
      <c r="E113" s="92" t="inlineStr">
        <is>
          <t>도서인쇄비</t>
        </is>
      </c>
      <c r="F113" s="92" t="n">
        <v>1</v>
      </c>
      <c r="G113" s="93" t="n">
        <v>3000000</v>
      </c>
      <c r="H113" s="93" t="n">
        <v>0</v>
      </c>
      <c r="I113" s="93" t="n">
        <v>2799000</v>
      </c>
      <c r="J113" s="93" t="n">
        <v>201000</v>
      </c>
      <c r="L113" s="9">
        <f>IF($A113="","",$B113&amp;"|"&amp;$D113)</f>
        <v/>
      </c>
      <c r="M113" s="9">
        <f>IF($A113="","",VALUE($A113&amp;""))</f>
        <v/>
      </c>
      <c r="N113" s="9">
        <f>IF($A113="","",VALUE(SUBSTITUTE(SUBSTITUTE(SUBSTITUTE(UPPER($F113&amp;""),"Q",""),"분기","")," ","")))</f>
        <v/>
      </c>
      <c r="O113" s="94">
        <f>IF($A113="",0,($G113+$H113)*설정!$C$23)</f>
        <v/>
      </c>
      <c r="P113" s="94">
        <f>IF($A113="",0,$I113*설정!$C$23)</f>
        <v/>
      </c>
      <c r="Q113" s="64">
        <f>IF($A113="","",IF(COUNTIF(변동분석!$E$7:$E$506,L113)&gt;0,"Y","N"))</f>
        <v/>
      </c>
      <c r="R113" s="9">
        <f>IF($A113="","",$D113&amp;"")</f>
        <v/>
      </c>
    </row>
    <row r="114">
      <c r="A114" s="92" t="n">
        <v>2026</v>
      </c>
      <c r="B114" s="92" t="inlineStr">
        <is>
          <t>D400</t>
        </is>
      </c>
      <c r="C114" s="92" t="inlineStr">
        <is>
          <t>상품개발팀</t>
        </is>
      </c>
      <c r="D114" s="92" t="n">
        <v>62401000</v>
      </c>
      <c r="E114" s="92" t="inlineStr">
        <is>
          <t>도서인쇄비</t>
        </is>
      </c>
      <c r="F114" s="92" t="n">
        <v>2</v>
      </c>
      <c r="G114" s="93" t="n">
        <v>3000000</v>
      </c>
      <c r="H114" s="93" t="n">
        <v>0</v>
      </c>
      <c r="I114" s="93" t="n">
        <v>2721000</v>
      </c>
      <c r="J114" s="93" t="n">
        <v>279000</v>
      </c>
      <c r="L114" s="9">
        <f>IF($A114="","",$B114&amp;"|"&amp;$D114)</f>
        <v/>
      </c>
      <c r="M114" s="9">
        <f>IF($A114="","",VALUE($A114&amp;""))</f>
        <v/>
      </c>
      <c r="N114" s="9">
        <f>IF($A114="","",VALUE(SUBSTITUTE(SUBSTITUTE(SUBSTITUTE(UPPER($F114&amp;""),"Q",""),"분기","")," ","")))</f>
        <v/>
      </c>
      <c r="O114" s="94">
        <f>IF($A114="",0,($G114+$H114)*설정!$C$23)</f>
        <v/>
      </c>
      <c r="P114" s="94">
        <f>IF($A114="",0,$I114*설정!$C$23)</f>
        <v/>
      </c>
      <c r="Q114" s="64">
        <f>IF($A114="","",IF(COUNTIF(변동분석!$E$7:$E$506,L114)&gt;0,"Y","N"))</f>
        <v/>
      </c>
      <c r="R114" s="9">
        <f>IF($A114="","",$D114&amp;"")</f>
        <v/>
      </c>
    </row>
    <row r="115">
      <c r="A115" s="92" t="n">
        <v>2026</v>
      </c>
      <c r="B115" s="92" t="inlineStr">
        <is>
          <t>D400</t>
        </is>
      </c>
      <c r="C115" s="92" t="inlineStr">
        <is>
          <t>상품개발팀</t>
        </is>
      </c>
      <c r="D115" s="92" t="n">
        <v>62401000</v>
      </c>
      <c r="E115" s="92" t="inlineStr">
        <is>
          <t>도서인쇄비</t>
        </is>
      </c>
      <c r="F115" s="92" t="n">
        <v>3</v>
      </c>
      <c r="G115" s="93" t="n">
        <v>3000000</v>
      </c>
      <c r="H115" s="93" t="n">
        <v>0</v>
      </c>
      <c r="I115" s="93" t="n">
        <v>2619000</v>
      </c>
      <c r="J115" s="93" t="n">
        <v>381000</v>
      </c>
      <c r="L115" s="9">
        <f>IF($A115="","",$B115&amp;"|"&amp;$D115)</f>
        <v/>
      </c>
      <c r="M115" s="9">
        <f>IF($A115="","",VALUE($A115&amp;""))</f>
        <v/>
      </c>
      <c r="N115" s="9">
        <f>IF($A115="","",VALUE(SUBSTITUTE(SUBSTITUTE(SUBSTITUTE(UPPER($F115&amp;""),"Q",""),"분기","")," ","")))</f>
        <v/>
      </c>
      <c r="O115" s="94">
        <f>IF($A115="",0,($G115+$H115)*설정!$C$23)</f>
        <v/>
      </c>
      <c r="P115" s="94">
        <f>IF($A115="",0,$I115*설정!$C$23)</f>
        <v/>
      </c>
      <c r="Q115" s="64">
        <f>IF($A115="","",IF(COUNTIF(변동분석!$E$7:$E$506,L115)&gt;0,"Y","N"))</f>
        <v/>
      </c>
      <c r="R115" s="9">
        <f>IF($A115="","",$D115&amp;"")</f>
        <v/>
      </c>
    </row>
    <row r="116">
      <c r="A116" s="92" t="n">
        <v>2026</v>
      </c>
      <c r="B116" s="92" t="inlineStr">
        <is>
          <t>D400</t>
        </is>
      </c>
      <c r="C116" s="92" t="inlineStr">
        <is>
          <t>상품개발팀</t>
        </is>
      </c>
      <c r="D116" s="92" t="n">
        <v>62401000</v>
      </c>
      <c r="E116" s="92" t="inlineStr">
        <is>
          <t>도서인쇄비</t>
        </is>
      </c>
      <c r="F116" s="92" t="n">
        <v>4</v>
      </c>
      <c r="G116" s="93" t="n">
        <v>3000000</v>
      </c>
      <c r="H116" s="93" t="n">
        <v>0</v>
      </c>
      <c r="I116" s="93" t="n">
        <v>0</v>
      </c>
      <c r="J116" s="93" t="n">
        <v>3000000</v>
      </c>
      <c r="L116" s="9">
        <f>IF($A116="","",$B116&amp;"|"&amp;$D116)</f>
        <v/>
      </c>
      <c r="M116" s="9">
        <f>IF($A116="","",VALUE($A116&amp;""))</f>
        <v/>
      </c>
      <c r="N116" s="9">
        <f>IF($A116="","",VALUE(SUBSTITUTE(SUBSTITUTE(SUBSTITUTE(UPPER($F116&amp;""),"Q",""),"분기","")," ","")))</f>
        <v/>
      </c>
      <c r="O116" s="94">
        <f>IF($A116="",0,($G116+$H116)*설정!$C$23)</f>
        <v/>
      </c>
      <c r="P116" s="94">
        <f>IF($A116="",0,$I116*설정!$C$23)</f>
        <v/>
      </c>
      <c r="Q116" s="64">
        <f>IF($A116="","",IF(COUNTIF(변동분석!$E$7:$E$506,L116)&gt;0,"Y","N"))</f>
        <v/>
      </c>
      <c r="R116" s="9">
        <f>IF($A116="","",$D116&amp;"")</f>
        <v/>
      </c>
    </row>
    <row r="117">
      <c r="A117" s="92" t="n">
        <v>2026</v>
      </c>
      <c r="B117" s="92" t="inlineStr">
        <is>
          <t>D400</t>
        </is>
      </c>
      <c r="C117" s="92" t="inlineStr">
        <is>
          <t>상품개발팀</t>
        </is>
      </c>
      <c r="D117" s="92" t="n">
        <v>62501000</v>
      </c>
      <c r="E117" s="92" t="inlineStr">
        <is>
          <t>회의비</t>
        </is>
      </c>
      <c r="F117" s="92" t="n">
        <v>1</v>
      </c>
      <c r="G117" s="93" t="n">
        <v>1800000</v>
      </c>
      <c r="H117" s="93" t="n">
        <v>0</v>
      </c>
      <c r="I117" s="93" t="n">
        <v>1531000</v>
      </c>
      <c r="J117" s="93" t="n">
        <v>269000</v>
      </c>
      <c r="L117" s="9">
        <f>IF($A117="","",$B117&amp;"|"&amp;$D117)</f>
        <v/>
      </c>
      <c r="M117" s="9">
        <f>IF($A117="","",VALUE($A117&amp;""))</f>
        <v/>
      </c>
      <c r="N117" s="9">
        <f>IF($A117="","",VALUE(SUBSTITUTE(SUBSTITUTE(SUBSTITUTE(UPPER($F117&amp;""),"Q",""),"분기","")," ","")))</f>
        <v/>
      </c>
      <c r="O117" s="94">
        <f>IF($A117="",0,($G117+$H117)*설정!$C$23)</f>
        <v/>
      </c>
      <c r="P117" s="94">
        <f>IF($A117="",0,$I117*설정!$C$23)</f>
        <v/>
      </c>
      <c r="Q117" s="64">
        <f>IF($A117="","",IF(COUNTIF(변동분석!$E$7:$E$506,L117)&gt;0,"Y","N"))</f>
        <v/>
      </c>
      <c r="R117" s="9">
        <f>IF($A117="","",$D117&amp;"")</f>
        <v/>
      </c>
    </row>
    <row r="118">
      <c r="A118" s="92" t="n">
        <v>2026</v>
      </c>
      <c r="B118" s="92" t="inlineStr">
        <is>
          <t>D400</t>
        </is>
      </c>
      <c r="C118" s="92" t="inlineStr">
        <is>
          <t>상품개발팀</t>
        </is>
      </c>
      <c r="D118" s="92" t="n">
        <v>62501000</v>
      </c>
      <c r="E118" s="92" t="inlineStr">
        <is>
          <t>회의비</t>
        </is>
      </c>
      <c r="F118" s="92" t="n">
        <v>2</v>
      </c>
      <c r="G118" s="93" t="n">
        <v>1800000</v>
      </c>
      <c r="H118" s="93" t="n">
        <v>0</v>
      </c>
      <c r="I118" s="93" t="n">
        <v>1544000</v>
      </c>
      <c r="J118" s="93" t="n">
        <v>256000</v>
      </c>
      <c r="L118" s="9">
        <f>IF($A118="","",$B118&amp;"|"&amp;$D118)</f>
        <v/>
      </c>
      <c r="M118" s="9">
        <f>IF($A118="","",VALUE($A118&amp;""))</f>
        <v/>
      </c>
      <c r="N118" s="9">
        <f>IF($A118="","",VALUE(SUBSTITUTE(SUBSTITUTE(SUBSTITUTE(UPPER($F118&amp;""),"Q",""),"분기","")," ","")))</f>
        <v/>
      </c>
      <c r="O118" s="94">
        <f>IF($A118="",0,($G118+$H118)*설정!$C$23)</f>
        <v/>
      </c>
      <c r="P118" s="94">
        <f>IF($A118="",0,$I118*설정!$C$23)</f>
        <v/>
      </c>
      <c r="Q118" s="64">
        <f>IF($A118="","",IF(COUNTIF(변동분석!$E$7:$E$506,L118)&gt;0,"Y","N"))</f>
        <v/>
      </c>
      <c r="R118" s="9">
        <f>IF($A118="","",$D118&amp;"")</f>
        <v/>
      </c>
    </row>
    <row r="119">
      <c r="A119" s="92" t="n">
        <v>2026</v>
      </c>
      <c r="B119" s="92" t="inlineStr">
        <is>
          <t>D400</t>
        </is>
      </c>
      <c r="C119" s="92" t="inlineStr">
        <is>
          <t>상품개발팀</t>
        </is>
      </c>
      <c r="D119" s="92" t="n">
        <v>62501000</v>
      </c>
      <c r="E119" s="92" t="inlineStr">
        <is>
          <t>회의비</t>
        </is>
      </c>
      <c r="F119" s="92" t="n">
        <v>3</v>
      </c>
      <c r="G119" s="93" t="n">
        <v>1800000</v>
      </c>
      <c r="H119" s="93" t="n">
        <v>0</v>
      </c>
      <c r="I119" s="93" t="n">
        <v>1551000</v>
      </c>
      <c r="J119" s="93" t="n">
        <v>249000</v>
      </c>
      <c r="L119" s="9">
        <f>IF($A119="","",$B119&amp;"|"&amp;$D119)</f>
        <v/>
      </c>
      <c r="M119" s="9">
        <f>IF($A119="","",VALUE($A119&amp;""))</f>
        <v/>
      </c>
      <c r="N119" s="9">
        <f>IF($A119="","",VALUE(SUBSTITUTE(SUBSTITUTE(SUBSTITUTE(UPPER($F119&amp;""),"Q",""),"분기","")," ","")))</f>
        <v/>
      </c>
      <c r="O119" s="94">
        <f>IF($A119="",0,($G119+$H119)*설정!$C$23)</f>
        <v/>
      </c>
      <c r="P119" s="94">
        <f>IF($A119="",0,$I119*설정!$C$23)</f>
        <v/>
      </c>
      <c r="Q119" s="64">
        <f>IF($A119="","",IF(COUNTIF(변동분석!$E$7:$E$506,L119)&gt;0,"Y","N"))</f>
        <v/>
      </c>
      <c r="R119" s="9">
        <f>IF($A119="","",$D119&amp;"")</f>
        <v/>
      </c>
    </row>
    <row r="120">
      <c r="A120" s="92" t="n">
        <v>2026</v>
      </c>
      <c r="B120" s="92" t="inlineStr">
        <is>
          <t>D400</t>
        </is>
      </c>
      <c r="C120" s="92" t="inlineStr">
        <is>
          <t>상품개발팀</t>
        </is>
      </c>
      <c r="D120" s="92" t="n">
        <v>62501000</v>
      </c>
      <c r="E120" s="92" t="inlineStr">
        <is>
          <t>회의비</t>
        </is>
      </c>
      <c r="F120" s="92" t="n">
        <v>4</v>
      </c>
      <c r="G120" s="93" t="n">
        <v>1800000</v>
      </c>
      <c r="H120" s="93" t="n">
        <v>0</v>
      </c>
      <c r="I120" s="93" t="n">
        <v>0</v>
      </c>
      <c r="J120" s="93" t="n">
        <v>1800000</v>
      </c>
      <c r="L120" s="9">
        <f>IF($A120="","",$B120&amp;"|"&amp;$D120)</f>
        <v/>
      </c>
      <c r="M120" s="9">
        <f>IF($A120="","",VALUE($A120&amp;""))</f>
        <v/>
      </c>
      <c r="N120" s="9">
        <f>IF($A120="","",VALUE(SUBSTITUTE(SUBSTITUTE(SUBSTITUTE(UPPER($F120&amp;""),"Q",""),"분기","")," ","")))</f>
        <v/>
      </c>
      <c r="O120" s="94">
        <f>IF($A120="",0,($G120+$H120)*설정!$C$23)</f>
        <v/>
      </c>
      <c r="P120" s="94">
        <f>IF($A120="",0,$I120*설정!$C$23)</f>
        <v/>
      </c>
      <c r="Q120" s="64">
        <f>IF($A120="","",IF(COUNTIF(변동분석!$E$7:$E$506,L120)&gt;0,"Y","N"))</f>
        <v/>
      </c>
      <c r="R120" s="9">
        <f>IF($A120="","",$D120&amp;"")</f>
        <v/>
      </c>
    </row>
    <row r="121">
      <c r="A121" s="92" t="n">
        <v>2026</v>
      </c>
      <c r="B121" s="92" t="inlineStr">
        <is>
          <t>D400</t>
        </is>
      </c>
      <c r="C121" s="92" t="inlineStr">
        <is>
          <t>상품개발팀</t>
        </is>
      </c>
      <c r="D121" s="92" t="n">
        <v>62901000</v>
      </c>
      <c r="E121" s="92" t="inlineStr">
        <is>
          <t>지급수수료-컨설팅</t>
        </is>
      </c>
      <c r="F121" s="92" t="n">
        <v>1</v>
      </c>
      <c r="G121" s="93" t="n">
        <v>63000000</v>
      </c>
      <c r="H121" s="93" t="n">
        <v>0</v>
      </c>
      <c r="I121" s="93" t="n">
        <v>55215000</v>
      </c>
      <c r="J121" s="93" t="n">
        <v>7785000</v>
      </c>
      <c r="L121" s="9">
        <f>IF($A121="","",$B121&amp;"|"&amp;$D121)</f>
        <v/>
      </c>
      <c r="M121" s="9">
        <f>IF($A121="","",VALUE($A121&amp;""))</f>
        <v/>
      </c>
      <c r="N121" s="9">
        <f>IF($A121="","",VALUE(SUBSTITUTE(SUBSTITUTE(SUBSTITUTE(UPPER($F121&amp;""),"Q",""),"분기","")," ","")))</f>
        <v/>
      </c>
      <c r="O121" s="94">
        <f>IF($A121="",0,($G121+$H121)*설정!$C$23)</f>
        <v/>
      </c>
      <c r="P121" s="94">
        <f>IF($A121="",0,$I121*설정!$C$23)</f>
        <v/>
      </c>
      <c r="Q121" s="64">
        <f>IF($A121="","",IF(COUNTIF(변동분석!$E$7:$E$506,L121)&gt;0,"Y","N"))</f>
        <v/>
      </c>
      <c r="R121" s="9">
        <f>IF($A121="","",$D121&amp;"")</f>
        <v/>
      </c>
    </row>
    <row r="122">
      <c r="A122" s="92" t="n">
        <v>2026</v>
      </c>
      <c r="B122" s="92" t="inlineStr">
        <is>
          <t>D400</t>
        </is>
      </c>
      <c r="C122" s="92" t="inlineStr">
        <is>
          <t>상품개발팀</t>
        </is>
      </c>
      <c r="D122" s="92" t="n">
        <v>62901000</v>
      </c>
      <c r="E122" s="92" t="inlineStr">
        <is>
          <t>지급수수료-컨설팅</t>
        </is>
      </c>
      <c r="F122" s="92" t="n">
        <v>2</v>
      </c>
      <c r="G122" s="93" t="n">
        <v>63000000</v>
      </c>
      <c r="H122" s="93" t="n">
        <v>0</v>
      </c>
      <c r="I122" s="93" t="n">
        <v>56497000</v>
      </c>
      <c r="J122" s="93" t="n">
        <v>6503000</v>
      </c>
      <c r="L122" s="9">
        <f>IF($A122="","",$B122&amp;"|"&amp;$D122)</f>
        <v/>
      </c>
      <c r="M122" s="9">
        <f>IF($A122="","",VALUE($A122&amp;""))</f>
        <v/>
      </c>
      <c r="N122" s="9">
        <f>IF($A122="","",VALUE(SUBSTITUTE(SUBSTITUTE(SUBSTITUTE(UPPER($F122&amp;""),"Q",""),"분기","")," ","")))</f>
        <v/>
      </c>
      <c r="O122" s="94">
        <f>IF($A122="",0,($G122+$H122)*설정!$C$23)</f>
        <v/>
      </c>
      <c r="P122" s="94">
        <f>IF($A122="",0,$I122*설정!$C$23)</f>
        <v/>
      </c>
      <c r="Q122" s="64">
        <f>IF($A122="","",IF(COUNTIF(변동분석!$E$7:$E$506,L122)&gt;0,"Y","N"))</f>
        <v/>
      </c>
      <c r="R122" s="9">
        <f>IF($A122="","",$D122&amp;"")</f>
        <v/>
      </c>
    </row>
    <row r="123">
      <c r="A123" s="92" t="n">
        <v>2026</v>
      </c>
      <c r="B123" s="92" t="inlineStr">
        <is>
          <t>D400</t>
        </is>
      </c>
      <c r="C123" s="92" t="inlineStr">
        <is>
          <t>상품개발팀</t>
        </is>
      </c>
      <c r="D123" s="92" t="n">
        <v>62901000</v>
      </c>
      <c r="E123" s="92" t="inlineStr">
        <is>
          <t>지급수수료-컨설팅</t>
        </is>
      </c>
      <c r="F123" s="92" t="n">
        <v>3</v>
      </c>
      <c r="G123" s="93" t="n">
        <v>63000000</v>
      </c>
      <c r="H123" s="93" t="n">
        <v>0</v>
      </c>
      <c r="I123" s="93" t="n">
        <v>55807000</v>
      </c>
      <c r="J123" s="93" t="n">
        <v>7193000</v>
      </c>
      <c r="L123" s="9">
        <f>IF($A123="","",$B123&amp;"|"&amp;$D123)</f>
        <v/>
      </c>
      <c r="M123" s="9">
        <f>IF($A123="","",VALUE($A123&amp;""))</f>
        <v/>
      </c>
      <c r="N123" s="9">
        <f>IF($A123="","",VALUE(SUBSTITUTE(SUBSTITUTE(SUBSTITUTE(UPPER($F123&amp;""),"Q",""),"분기","")," ","")))</f>
        <v/>
      </c>
      <c r="O123" s="94">
        <f>IF($A123="",0,($G123+$H123)*설정!$C$23)</f>
        <v/>
      </c>
      <c r="P123" s="94">
        <f>IF($A123="",0,$I123*설정!$C$23)</f>
        <v/>
      </c>
      <c r="Q123" s="64">
        <f>IF($A123="","",IF(COUNTIF(변동분석!$E$7:$E$506,L123)&gt;0,"Y","N"))</f>
        <v/>
      </c>
      <c r="R123" s="9">
        <f>IF($A123="","",$D123&amp;"")</f>
        <v/>
      </c>
    </row>
    <row r="124">
      <c r="A124" s="92" t="n">
        <v>2026</v>
      </c>
      <c r="B124" s="92" t="inlineStr">
        <is>
          <t>D400</t>
        </is>
      </c>
      <c r="C124" s="92" t="inlineStr">
        <is>
          <t>상품개발팀</t>
        </is>
      </c>
      <c r="D124" s="92" t="n">
        <v>62901000</v>
      </c>
      <c r="E124" s="92" t="inlineStr">
        <is>
          <t>지급수수료-컨설팅</t>
        </is>
      </c>
      <c r="F124" s="92" t="n">
        <v>4</v>
      </c>
      <c r="G124" s="93" t="n">
        <v>63000000</v>
      </c>
      <c r="H124" s="93" t="n">
        <v>0</v>
      </c>
      <c r="I124" s="93" t="n">
        <v>0</v>
      </c>
      <c r="J124" s="93" t="n">
        <v>63000000</v>
      </c>
      <c r="L124" s="9">
        <f>IF($A124="","",$B124&amp;"|"&amp;$D124)</f>
        <v/>
      </c>
      <c r="M124" s="9">
        <f>IF($A124="","",VALUE($A124&amp;""))</f>
        <v/>
      </c>
      <c r="N124" s="9">
        <f>IF($A124="","",VALUE(SUBSTITUTE(SUBSTITUTE(SUBSTITUTE(UPPER($F124&amp;""),"Q",""),"분기","")," ","")))</f>
        <v/>
      </c>
      <c r="O124" s="94">
        <f>IF($A124="",0,($G124+$H124)*설정!$C$23)</f>
        <v/>
      </c>
      <c r="P124" s="94">
        <f>IF($A124="",0,$I124*설정!$C$23)</f>
        <v/>
      </c>
      <c r="Q124" s="64">
        <f>IF($A124="","",IF(COUNTIF(변동분석!$E$7:$E$506,L124)&gt;0,"Y","N"))</f>
        <v/>
      </c>
      <c r="R124" s="9">
        <f>IF($A124="","",$D124&amp;"")</f>
        <v/>
      </c>
    </row>
    <row r="125">
      <c r="A125" s="92" t="n">
        <v>2026</v>
      </c>
      <c r="B125" s="92" t="inlineStr">
        <is>
          <t>D400</t>
        </is>
      </c>
      <c r="C125" s="92" t="inlineStr">
        <is>
          <t>상품개발팀</t>
        </is>
      </c>
      <c r="D125" s="92" t="n">
        <v>62902000</v>
      </c>
      <c r="E125" s="92" t="inlineStr">
        <is>
          <t>지급수수료-기타</t>
        </is>
      </c>
      <c r="F125" s="92" t="n">
        <v>1</v>
      </c>
      <c r="G125" s="93" t="n">
        <v>27000000</v>
      </c>
      <c r="H125" s="93" t="n">
        <v>0</v>
      </c>
      <c r="I125" s="93" t="n">
        <v>23927000</v>
      </c>
      <c r="J125" s="93" t="n">
        <v>3073000</v>
      </c>
      <c r="L125" s="9">
        <f>IF($A125="","",$B125&amp;"|"&amp;$D125)</f>
        <v/>
      </c>
      <c r="M125" s="9">
        <f>IF($A125="","",VALUE($A125&amp;""))</f>
        <v/>
      </c>
      <c r="N125" s="9">
        <f>IF($A125="","",VALUE(SUBSTITUTE(SUBSTITUTE(SUBSTITUTE(UPPER($F125&amp;""),"Q",""),"분기","")," ","")))</f>
        <v/>
      </c>
      <c r="O125" s="94">
        <f>IF($A125="",0,($G125+$H125)*설정!$C$23)</f>
        <v/>
      </c>
      <c r="P125" s="94">
        <f>IF($A125="",0,$I125*설정!$C$23)</f>
        <v/>
      </c>
      <c r="Q125" s="64">
        <f>IF($A125="","",IF(COUNTIF(변동분석!$E$7:$E$506,L125)&gt;0,"Y","N"))</f>
        <v/>
      </c>
      <c r="R125" s="9">
        <f>IF($A125="","",$D125&amp;"")</f>
        <v/>
      </c>
    </row>
    <row r="126">
      <c r="A126" s="92" t="n">
        <v>2026</v>
      </c>
      <c r="B126" s="92" t="inlineStr">
        <is>
          <t>D400</t>
        </is>
      </c>
      <c r="C126" s="92" t="inlineStr">
        <is>
          <t>상품개발팀</t>
        </is>
      </c>
      <c r="D126" s="92" t="n">
        <v>62902000</v>
      </c>
      <c r="E126" s="92" t="inlineStr">
        <is>
          <t>지급수수료-기타</t>
        </is>
      </c>
      <c r="F126" s="92" t="n">
        <v>2</v>
      </c>
      <c r="G126" s="93" t="n">
        <v>27000000</v>
      </c>
      <c r="H126" s="93" t="n">
        <v>0</v>
      </c>
      <c r="I126" s="93" t="n">
        <v>21877000</v>
      </c>
      <c r="J126" s="93" t="n">
        <v>5123000</v>
      </c>
      <c r="L126" s="9">
        <f>IF($A126="","",$B126&amp;"|"&amp;$D126)</f>
        <v/>
      </c>
      <c r="M126" s="9">
        <f>IF($A126="","",VALUE($A126&amp;""))</f>
        <v/>
      </c>
      <c r="N126" s="9">
        <f>IF($A126="","",VALUE(SUBSTITUTE(SUBSTITUTE(SUBSTITUTE(UPPER($F126&amp;""),"Q",""),"분기","")," ","")))</f>
        <v/>
      </c>
      <c r="O126" s="94">
        <f>IF($A126="",0,($G126+$H126)*설정!$C$23)</f>
        <v/>
      </c>
      <c r="P126" s="94">
        <f>IF($A126="",0,$I126*설정!$C$23)</f>
        <v/>
      </c>
      <c r="Q126" s="64">
        <f>IF($A126="","",IF(COUNTIF(변동분석!$E$7:$E$506,L126)&gt;0,"Y","N"))</f>
        <v/>
      </c>
      <c r="R126" s="9">
        <f>IF($A126="","",$D126&amp;"")</f>
        <v/>
      </c>
    </row>
    <row r="127">
      <c r="A127" s="92" t="n">
        <v>2026</v>
      </c>
      <c r="B127" s="92" t="inlineStr">
        <is>
          <t>D400</t>
        </is>
      </c>
      <c r="C127" s="92" t="inlineStr">
        <is>
          <t>상품개발팀</t>
        </is>
      </c>
      <c r="D127" s="92" t="n">
        <v>62902000</v>
      </c>
      <c r="E127" s="92" t="inlineStr">
        <is>
          <t>지급수수료-기타</t>
        </is>
      </c>
      <c r="F127" s="92" t="n">
        <v>3</v>
      </c>
      <c r="G127" s="93" t="n">
        <v>27000000</v>
      </c>
      <c r="H127" s="93" t="n">
        <v>0</v>
      </c>
      <c r="I127" s="93" t="n">
        <v>21492000</v>
      </c>
      <c r="J127" s="93" t="n">
        <v>5508000</v>
      </c>
      <c r="L127" s="9">
        <f>IF($A127="","",$B127&amp;"|"&amp;$D127)</f>
        <v/>
      </c>
      <c r="M127" s="9">
        <f>IF($A127="","",VALUE($A127&amp;""))</f>
        <v/>
      </c>
      <c r="N127" s="9">
        <f>IF($A127="","",VALUE(SUBSTITUTE(SUBSTITUTE(SUBSTITUTE(UPPER($F127&amp;""),"Q",""),"분기","")," ","")))</f>
        <v/>
      </c>
      <c r="O127" s="94">
        <f>IF($A127="",0,($G127+$H127)*설정!$C$23)</f>
        <v/>
      </c>
      <c r="P127" s="94">
        <f>IF($A127="",0,$I127*설정!$C$23)</f>
        <v/>
      </c>
      <c r="Q127" s="64">
        <f>IF($A127="","",IF(COUNTIF(변동분석!$E$7:$E$506,L127)&gt;0,"Y","N"))</f>
        <v/>
      </c>
      <c r="R127" s="9">
        <f>IF($A127="","",$D127&amp;"")</f>
        <v/>
      </c>
    </row>
    <row r="128">
      <c r="A128" s="92" t="n">
        <v>2026</v>
      </c>
      <c r="B128" s="92" t="inlineStr">
        <is>
          <t>D400</t>
        </is>
      </c>
      <c r="C128" s="92" t="inlineStr">
        <is>
          <t>상품개발팀</t>
        </is>
      </c>
      <c r="D128" s="92" t="n">
        <v>62902000</v>
      </c>
      <c r="E128" s="92" t="inlineStr">
        <is>
          <t>지급수수료-기타</t>
        </is>
      </c>
      <c r="F128" s="92" t="n">
        <v>4</v>
      </c>
      <c r="G128" s="93" t="n">
        <v>27000000</v>
      </c>
      <c r="H128" s="93" t="n">
        <v>0</v>
      </c>
      <c r="I128" s="93" t="n">
        <v>0</v>
      </c>
      <c r="J128" s="93" t="n">
        <v>27000000</v>
      </c>
      <c r="L128" s="9">
        <f>IF($A128="","",$B128&amp;"|"&amp;$D128)</f>
        <v/>
      </c>
      <c r="M128" s="9">
        <f>IF($A128="","",VALUE($A128&amp;""))</f>
        <v/>
      </c>
      <c r="N128" s="9">
        <f>IF($A128="","",VALUE(SUBSTITUTE(SUBSTITUTE(SUBSTITUTE(UPPER($F128&amp;""),"Q",""),"분기","")," ","")))</f>
        <v/>
      </c>
      <c r="O128" s="94">
        <f>IF($A128="",0,($G128+$H128)*설정!$C$23)</f>
        <v/>
      </c>
      <c r="P128" s="94">
        <f>IF($A128="",0,$I128*설정!$C$23)</f>
        <v/>
      </c>
      <c r="Q128" s="64">
        <f>IF($A128="","",IF(COUNTIF(변동분석!$E$7:$E$506,L128)&gt;0,"Y","N"))</f>
        <v/>
      </c>
      <c r="R128" s="9">
        <f>IF($A128="","",$D128&amp;"")</f>
        <v/>
      </c>
    </row>
    <row r="129">
      <c r="A129" s="92" t="n">
        <v>2026</v>
      </c>
      <c r="B129" s="92" t="inlineStr">
        <is>
          <t>D500</t>
        </is>
      </c>
      <c r="C129" s="92" t="inlineStr">
        <is>
          <t>마케팅팀</t>
        </is>
      </c>
      <c r="D129" s="92" t="n">
        <v>62101000</v>
      </c>
      <c r="E129" s="92" t="inlineStr">
        <is>
          <t>여비교통비-국내</t>
        </is>
      </c>
      <c r="F129" s="92" t="n">
        <v>1</v>
      </c>
      <c r="G129" s="93" t="n">
        <v>8925000</v>
      </c>
      <c r="H129" s="93" t="n">
        <v>0</v>
      </c>
      <c r="I129" s="93" t="n">
        <v>7037000</v>
      </c>
      <c r="J129" s="93" t="n">
        <v>1888000</v>
      </c>
      <c r="L129" s="9">
        <f>IF($A129="","",$B129&amp;"|"&amp;$D129)</f>
        <v/>
      </c>
      <c r="M129" s="9">
        <f>IF($A129="","",VALUE($A129&amp;""))</f>
        <v/>
      </c>
      <c r="N129" s="9">
        <f>IF($A129="","",VALUE(SUBSTITUTE(SUBSTITUTE(SUBSTITUTE(UPPER($F129&amp;""),"Q",""),"분기","")," ","")))</f>
        <v/>
      </c>
      <c r="O129" s="94">
        <f>IF($A129="",0,($G129+$H129)*설정!$C$23)</f>
        <v/>
      </c>
      <c r="P129" s="94">
        <f>IF($A129="",0,$I129*설정!$C$23)</f>
        <v/>
      </c>
      <c r="Q129" s="64">
        <f>IF($A129="","",IF(COUNTIF(변동분석!$E$7:$E$506,L129)&gt;0,"Y","N"))</f>
        <v/>
      </c>
      <c r="R129" s="9">
        <f>IF($A129="","",$D129&amp;"")</f>
        <v/>
      </c>
    </row>
    <row r="130">
      <c r="A130" s="92" t="n">
        <v>2026</v>
      </c>
      <c r="B130" s="92" t="inlineStr">
        <is>
          <t>D500</t>
        </is>
      </c>
      <c r="C130" s="92" t="inlineStr">
        <is>
          <t>마케팅팀</t>
        </is>
      </c>
      <c r="D130" s="92" t="n">
        <v>62101000</v>
      </c>
      <c r="E130" s="92" t="inlineStr">
        <is>
          <t>여비교통비-국내</t>
        </is>
      </c>
      <c r="F130" s="92" t="n">
        <v>2</v>
      </c>
      <c r="G130" s="93" t="n">
        <v>8925000</v>
      </c>
      <c r="H130" s="93" t="n">
        <v>0</v>
      </c>
      <c r="I130" s="93" t="n">
        <v>7799000</v>
      </c>
      <c r="J130" s="93" t="n">
        <v>1126000</v>
      </c>
      <c r="L130" s="9">
        <f>IF($A130="","",$B130&amp;"|"&amp;$D130)</f>
        <v/>
      </c>
      <c r="M130" s="9">
        <f>IF($A130="","",VALUE($A130&amp;""))</f>
        <v/>
      </c>
      <c r="N130" s="9">
        <f>IF($A130="","",VALUE(SUBSTITUTE(SUBSTITUTE(SUBSTITUTE(UPPER($F130&amp;""),"Q",""),"분기","")," ","")))</f>
        <v/>
      </c>
      <c r="O130" s="94">
        <f>IF($A130="",0,($G130+$H130)*설정!$C$23)</f>
        <v/>
      </c>
      <c r="P130" s="94">
        <f>IF($A130="",0,$I130*설정!$C$23)</f>
        <v/>
      </c>
      <c r="Q130" s="64">
        <f>IF($A130="","",IF(COUNTIF(변동분석!$E$7:$E$506,L130)&gt;0,"Y","N"))</f>
        <v/>
      </c>
      <c r="R130" s="9">
        <f>IF($A130="","",$D130&amp;"")</f>
        <v/>
      </c>
    </row>
    <row r="131">
      <c r="A131" s="92" t="n">
        <v>2026</v>
      </c>
      <c r="B131" s="92" t="inlineStr">
        <is>
          <t>D500</t>
        </is>
      </c>
      <c r="C131" s="92" t="inlineStr">
        <is>
          <t>마케팅팀</t>
        </is>
      </c>
      <c r="D131" s="92" t="n">
        <v>62101000</v>
      </c>
      <c r="E131" s="92" t="inlineStr">
        <is>
          <t>여비교통비-국내</t>
        </is>
      </c>
      <c r="F131" s="92" t="n">
        <v>3</v>
      </c>
      <c r="G131" s="93" t="n">
        <v>8925000</v>
      </c>
      <c r="H131" s="93" t="n">
        <v>0</v>
      </c>
      <c r="I131" s="93" t="n">
        <v>8129000</v>
      </c>
      <c r="J131" s="93" t="n">
        <v>796000</v>
      </c>
      <c r="L131" s="9">
        <f>IF($A131="","",$B131&amp;"|"&amp;$D131)</f>
        <v/>
      </c>
      <c r="M131" s="9">
        <f>IF($A131="","",VALUE($A131&amp;""))</f>
        <v/>
      </c>
      <c r="N131" s="9">
        <f>IF($A131="","",VALUE(SUBSTITUTE(SUBSTITUTE(SUBSTITUTE(UPPER($F131&amp;""),"Q",""),"분기","")," ","")))</f>
        <v/>
      </c>
      <c r="O131" s="94">
        <f>IF($A131="",0,($G131+$H131)*설정!$C$23)</f>
        <v/>
      </c>
      <c r="P131" s="94">
        <f>IF($A131="",0,$I131*설정!$C$23)</f>
        <v/>
      </c>
      <c r="Q131" s="64">
        <f>IF($A131="","",IF(COUNTIF(변동분석!$E$7:$E$506,L131)&gt;0,"Y","N"))</f>
        <v/>
      </c>
      <c r="R131" s="9">
        <f>IF($A131="","",$D131&amp;"")</f>
        <v/>
      </c>
    </row>
    <row r="132">
      <c r="A132" s="92" t="n">
        <v>2026</v>
      </c>
      <c r="B132" s="92" t="inlineStr">
        <is>
          <t>D500</t>
        </is>
      </c>
      <c r="C132" s="92" t="inlineStr">
        <is>
          <t>마케팅팀</t>
        </is>
      </c>
      <c r="D132" s="92" t="n">
        <v>62101000</v>
      </c>
      <c r="E132" s="92" t="inlineStr">
        <is>
          <t>여비교통비-국내</t>
        </is>
      </c>
      <c r="F132" s="92" t="n">
        <v>4</v>
      </c>
      <c r="G132" s="93" t="n">
        <v>8925000</v>
      </c>
      <c r="H132" s="93" t="n">
        <v>0</v>
      </c>
      <c r="I132" s="93" t="n">
        <v>0</v>
      </c>
      <c r="J132" s="93" t="n">
        <v>8925000</v>
      </c>
      <c r="L132" s="9">
        <f>IF($A132="","",$B132&amp;"|"&amp;$D132)</f>
        <v/>
      </c>
      <c r="M132" s="9">
        <f>IF($A132="","",VALUE($A132&amp;""))</f>
        <v/>
      </c>
      <c r="N132" s="9">
        <f>IF($A132="","",VALUE(SUBSTITUTE(SUBSTITUTE(SUBSTITUTE(UPPER($F132&amp;""),"Q",""),"분기","")," ","")))</f>
        <v/>
      </c>
      <c r="O132" s="94">
        <f>IF($A132="",0,($G132+$H132)*설정!$C$23)</f>
        <v/>
      </c>
      <c r="P132" s="94">
        <f>IF($A132="",0,$I132*설정!$C$23)</f>
        <v/>
      </c>
      <c r="Q132" s="64">
        <f>IF($A132="","",IF(COUNTIF(변동분석!$E$7:$E$506,L132)&gt;0,"Y","N"))</f>
        <v/>
      </c>
      <c r="R132" s="9">
        <f>IF($A132="","",$D132&amp;"")</f>
        <v/>
      </c>
    </row>
    <row r="133">
      <c r="A133" s="92" t="n">
        <v>2026</v>
      </c>
      <c r="B133" s="92" t="inlineStr">
        <is>
          <t>D500</t>
        </is>
      </c>
      <c r="C133" s="92" t="inlineStr">
        <is>
          <t>마케팅팀</t>
        </is>
      </c>
      <c r="D133" s="92" t="n">
        <v>62102000</v>
      </c>
      <c r="E133" s="92" t="inlineStr">
        <is>
          <t>여비교통비-해외</t>
        </is>
      </c>
      <c r="F133" s="92" t="n">
        <v>1</v>
      </c>
      <c r="G133" s="93" t="n">
        <v>1575000</v>
      </c>
      <c r="H133" s="93" t="n">
        <v>0</v>
      </c>
      <c r="I133" s="93" t="n">
        <v>1459000</v>
      </c>
      <c r="J133" s="93" t="n">
        <v>116000</v>
      </c>
      <c r="L133" s="9">
        <f>IF($A133="","",$B133&amp;"|"&amp;$D133)</f>
        <v/>
      </c>
      <c r="M133" s="9">
        <f>IF($A133="","",VALUE($A133&amp;""))</f>
        <v/>
      </c>
      <c r="N133" s="9">
        <f>IF($A133="","",VALUE(SUBSTITUTE(SUBSTITUTE(SUBSTITUTE(UPPER($F133&amp;""),"Q",""),"분기","")," ","")))</f>
        <v/>
      </c>
      <c r="O133" s="94">
        <f>IF($A133="",0,($G133+$H133)*설정!$C$23)</f>
        <v/>
      </c>
      <c r="P133" s="94">
        <f>IF($A133="",0,$I133*설정!$C$23)</f>
        <v/>
      </c>
      <c r="Q133" s="64">
        <f>IF($A133="","",IF(COUNTIF(변동분석!$E$7:$E$506,L133)&gt;0,"Y","N"))</f>
        <v/>
      </c>
      <c r="R133" s="9">
        <f>IF($A133="","",$D133&amp;"")</f>
        <v/>
      </c>
    </row>
    <row r="134">
      <c r="A134" s="92" t="n">
        <v>2026</v>
      </c>
      <c r="B134" s="92" t="inlineStr">
        <is>
          <t>D500</t>
        </is>
      </c>
      <c r="C134" s="92" t="inlineStr">
        <is>
          <t>마케팅팀</t>
        </is>
      </c>
      <c r="D134" s="92" t="n">
        <v>62102000</v>
      </c>
      <c r="E134" s="92" t="inlineStr">
        <is>
          <t>여비교통비-해외</t>
        </is>
      </c>
      <c r="F134" s="92" t="n">
        <v>2</v>
      </c>
      <c r="G134" s="93" t="n">
        <v>1575000</v>
      </c>
      <c r="H134" s="93" t="n">
        <v>0</v>
      </c>
      <c r="I134" s="93" t="n">
        <v>1401000</v>
      </c>
      <c r="J134" s="93" t="n">
        <v>174000</v>
      </c>
      <c r="L134" s="9">
        <f>IF($A134="","",$B134&amp;"|"&amp;$D134)</f>
        <v/>
      </c>
      <c r="M134" s="9">
        <f>IF($A134="","",VALUE($A134&amp;""))</f>
        <v/>
      </c>
      <c r="N134" s="9">
        <f>IF($A134="","",VALUE(SUBSTITUTE(SUBSTITUTE(SUBSTITUTE(UPPER($F134&amp;""),"Q",""),"분기","")," ","")))</f>
        <v/>
      </c>
      <c r="O134" s="94">
        <f>IF($A134="",0,($G134+$H134)*설정!$C$23)</f>
        <v/>
      </c>
      <c r="P134" s="94">
        <f>IF($A134="",0,$I134*설정!$C$23)</f>
        <v/>
      </c>
      <c r="Q134" s="64">
        <f>IF($A134="","",IF(COUNTIF(변동분석!$E$7:$E$506,L134)&gt;0,"Y","N"))</f>
        <v/>
      </c>
      <c r="R134" s="9">
        <f>IF($A134="","",$D134&amp;"")</f>
        <v/>
      </c>
    </row>
    <row r="135">
      <c r="A135" s="92" t="n">
        <v>2026</v>
      </c>
      <c r="B135" s="92" t="inlineStr">
        <is>
          <t>D500</t>
        </is>
      </c>
      <c r="C135" s="92" t="inlineStr">
        <is>
          <t>마케팅팀</t>
        </is>
      </c>
      <c r="D135" s="92" t="n">
        <v>62102000</v>
      </c>
      <c r="E135" s="92" t="inlineStr">
        <is>
          <t>여비교통비-해외</t>
        </is>
      </c>
      <c r="F135" s="92" t="n">
        <v>3</v>
      </c>
      <c r="G135" s="93" t="n">
        <v>1575000</v>
      </c>
      <c r="H135" s="93" t="n">
        <v>0</v>
      </c>
      <c r="I135" s="93" t="n">
        <v>1368000</v>
      </c>
      <c r="J135" s="93" t="n">
        <v>207000</v>
      </c>
      <c r="L135" s="9">
        <f>IF($A135="","",$B135&amp;"|"&amp;$D135)</f>
        <v/>
      </c>
      <c r="M135" s="9">
        <f>IF($A135="","",VALUE($A135&amp;""))</f>
        <v/>
      </c>
      <c r="N135" s="9">
        <f>IF($A135="","",VALUE(SUBSTITUTE(SUBSTITUTE(SUBSTITUTE(UPPER($F135&amp;""),"Q",""),"분기","")," ","")))</f>
        <v/>
      </c>
      <c r="O135" s="94">
        <f>IF($A135="",0,($G135+$H135)*설정!$C$23)</f>
        <v/>
      </c>
      <c r="P135" s="94">
        <f>IF($A135="",0,$I135*설정!$C$23)</f>
        <v/>
      </c>
      <c r="Q135" s="64">
        <f>IF($A135="","",IF(COUNTIF(변동분석!$E$7:$E$506,L135)&gt;0,"Y","N"))</f>
        <v/>
      </c>
      <c r="R135" s="9">
        <f>IF($A135="","",$D135&amp;"")</f>
        <v/>
      </c>
    </row>
    <row r="136">
      <c r="A136" s="92" t="n">
        <v>2026</v>
      </c>
      <c r="B136" s="92" t="inlineStr">
        <is>
          <t>D500</t>
        </is>
      </c>
      <c r="C136" s="92" t="inlineStr">
        <is>
          <t>마케팅팀</t>
        </is>
      </c>
      <c r="D136" s="92" t="n">
        <v>62102000</v>
      </c>
      <c r="E136" s="92" t="inlineStr">
        <is>
          <t>여비교통비-해외</t>
        </is>
      </c>
      <c r="F136" s="92" t="n">
        <v>4</v>
      </c>
      <c r="G136" s="93" t="n">
        <v>1575000</v>
      </c>
      <c r="H136" s="93" t="n">
        <v>0</v>
      </c>
      <c r="I136" s="93" t="n">
        <v>0</v>
      </c>
      <c r="J136" s="93" t="n">
        <v>1575000</v>
      </c>
      <c r="L136" s="9">
        <f>IF($A136="","",$B136&amp;"|"&amp;$D136)</f>
        <v/>
      </c>
      <c r="M136" s="9">
        <f>IF($A136="","",VALUE($A136&amp;""))</f>
        <v/>
      </c>
      <c r="N136" s="9">
        <f>IF($A136="","",VALUE(SUBSTITUTE(SUBSTITUTE(SUBSTITUTE(UPPER($F136&amp;""),"Q",""),"분기","")," ","")))</f>
        <v/>
      </c>
      <c r="O136" s="94">
        <f>IF($A136="",0,($G136+$H136)*설정!$C$23)</f>
        <v/>
      </c>
      <c r="P136" s="94">
        <f>IF($A136="",0,$I136*설정!$C$23)</f>
        <v/>
      </c>
      <c r="Q136" s="64">
        <f>IF($A136="","",IF(COUNTIF(변동분석!$E$7:$E$506,L136)&gt;0,"Y","N"))</f>
        <v/>
      </c>
      <c r="R136" s="9">
        <f>IF($A136="","",$D136&amp;"")</f>
        <v/>
      </c>
    </row>
    <row r="137">
      <c r="A137" s="92" t="n">
        <v>2026</v>
      </c>
      <c r="B137" s="92" t="inlineStr">
        <is>
          <t>D500</t>
        </is>
      </c>
      <c r="C137" s="92" t="inlineStr">
        <is>
          <t>마케팅팀</t>
        </is>
      </c>
      <c r="D137" s="92" t="n">
        <v>62201000</v>
      </c>
      <c r="E137" s="92" t="inlineStr">
        <is>
          <t>통신비</t>
        </is>
      </c>
      <c r="F137" s="92" t="n">
        <v>1</v>
      </c>
      <c r="G137" s="93" t="n">
        <v>3000000</v>
      </c>
      <c r="H137" s="93" t="n">
        <v>0</v>
      </c>
      <c r="I137" s="93" t="n">
        <v>2798000</v>
      </c>
      <c r="J137" s="93" t="n">
        <v>202000</v>
      </c>
      <c r="L137" s="9">
        <f>IF($A137="","",$B137&amp;"|"&amp;$D137)</f>
        <v/>
      </c>
      <c r="M137" s="9">
        <f>IF($A137="","",VALUE($A137&amp;""))</f>
        <v/>
      </c>
      <c r="N137" s="9">
        <f>IF($A137="","",VALUE(SUBSTITUTE(SUBSTITUTE(SUBSTITUTE(UPPER($F137&amp;""),"Q",""),"분기","")," ","")))</f>
        <v/>
      </c>
      <c r="O137" s="94">
        <f>IF($A137="",0,($G137+$H137)*설정!$C$23)</f>
        <v/>
      </c>
      <c r="P137" s="94">
        <f>IF($A137="",0,$I137*설정!$C$23)</f>
        <v/>
      </c>
      <c r="Q137" s="64">
        <f>IF($A137="","",IF(COUNTIF(변동분석!$E$7:$E$506,L137)&gt;0,"Y","N"))</f>
        <v/>
      </c>
      <c r="R137" s="9">
        <f>IF($A137="","",$D137&amp;"")</f>
        <v/>
      </c>
    </row>
    <row r="138">
      <c r="A138" s="92" t="n">
        <v>2026</v>
      </c>
      <c r="B138" s="92" t="inlineStr">
        <is>
          <t>D500</t>
        </is>
      </c>
      <c r="C138" s="92" t="inlineStr">
        <is>
          <t>마케팅팀</t>
        </is>
      </c>
      <c r="D138" s="92" t="n">
        <v>62201000</v>
      </c>
      <c r="E138" s="92" t="inlineStr">
        <is>
          <t>통신비</t>
        </is>
      </c>
      <c r="F138" s="92" t="n">
        <v>2</v>
      </c>
      <c r="G138" s="93" t="n">
        <v>3000000</v>
      </c>
      <c r="H138" s="93" t="n">
        <v>0</v>
      </c>
      <c r="I138" s="93" t="n">
        <v>2734000</v>
      </c>
      <c r="J138" s="93" t="n">
        <v>266000</v>
      </c>
      <c r="L138" s="9">
        <f>IF($A138="","",$B138&amp;"|"&amp;$D138)</f>
        <v/>
      </c>
      <c r="M138" s="9">
        <f>IF($A138="","",VALUE($A138&amp;""))</f>
        <v/>
      </c>
      <c r="N138" s="9">
        <f>IF($A138="","",VALUE(SUBSTITUTE(SUBSTITUTE(SUBSTITUTE(UPPER($F138&amp;""),"Q",""),"분기","")," ","")))</f>
        <v/>
      </c>
      <c r="O138" s="94">
        <f>IF($A138="",0,($G138+$H138)*설정!$C$23)</f>
        <v/>
      </c>
      <c r="P138" s="94">
        <f>IF($A138="",0,$I138*설정!$C$23)</f>
        <v/>
      </c>
      <c r="Q138" s="64">
        <f>IF($A138="","",IF(COUNTIF(변동분석!$E$7:$E$506,L138)&gt;0,"Y","N"))</f>
        <v/>
      </c>
      <c r="R138" s="9">
        <f>IF($A138="","",$D138&amp;"")</f>
        <v/>
      </c>
    </row>
    <row r="139">
      <c r="A139" s="92" t="n">
        <v>2026</v>
      </c>
      <c r="B139" s="92" t="inlineStr">
        <is>
          <t>D500</t>
        </is>
      </c>
      <c r="C139" s="92" t="inlineStr">
        <is>
          <t>마케팅팀</t>
        </is>
      </c>
      <c r="D139" s="92" t="n">
        <v>62201000</v>
      </c>
      <c r="E139" s="92" t="inlineStr">
        <is>
          <t>통신비</t>
        </is>
      </c>
      <c r="F139" s="92" t="n">
        <v>3</v>
      </c>
      <c r="G139" s="93" t="n">
        <v>3000000</v>
      </c>
      <c r="H139" s="93" t="n">
        <v>0</v>
      </c>
      <c r="I139" s="93" t="n">
        <v>2877000</v>
      </c>
      <c r="J139" s="93" t="n">
        <v>123000</v>
      </c>
      <c r="L139" s="9">
        <f>IF($A139="","",$B139&amp;"|"&amp;$D139)</f>
        <v/>
      </c>
      <c r="M139" s="9">
        <f>IF($A139="","",VALUE($A139&amp;""))</f>
        <v/>
      </c>
      <c r="N139" s="9">
        <f>IF($A139="","",VALUE(SUBSTITUTE(SUBSTITUTE(SUBSTITUTE(UPPER($F139&amp;""),"Q",""),"분기","")," ","")))</f>
        <v/>
      </c>
      <c r="O139" s="94">
        <f>IF($A139="",0,($G139+$H139)*설정!$C$23)</f>
        <v/>
      </c>
      <c r="P139" s="94">
        <f>IF($A139="",0,$I139*설정!$C$23)</f>
        <v/>
      </c>
      <c r="Q139" s="64">
        <f>IF($A139="","",IF(COUNTIF(변동분석!$E$7:$E$506,L139)&gt;0,"Y","N"))</f>
        <v/>
      </c>
      <c r="R139" s="9">
        <f>IF($A139="","",$D139&amp;"")</f>
        <v/>
      </c>
    </row>
    <row r="140">
      <c r="A140" s="92" t="n">
        <v>2026</v>
      </c>
      <c r="B140" s="92" t="inlineStr">
        <is>
          <t>D500</t>
        </is>
      </c>
      <c r="C140" s="92" t="inlineStr">
        <is>
          <t>마케팅팀</t>
        </is>
      </c>
      <c r="D140" s="92" t="n">
        <v>62201000</v>
      </c>
      <c r="E140" s="92" t="inlineStr">
        <is>
          <t>통신비</t>
        </is>
      </c>
      <c r="F140" s="92" t="n">
        <v>4</v>
      </c>
      <c r="G140" s="93" t="n">
        <v>3000000</v>
      </c>
      <c r="H140" s="93" t="n">
        <v>0</v>
      </c>
      <c r="I140" s="93" t="n">
        <v>0</v>
      </c>
      <c r="J140" s="93" t="n">
        <v>3000000</v>
      </c>
      <c r="L140" s="9">
        <f>IF($A140="","",$B140&amp;"|"&amp;$D140)</f>
        <v/>
      </c>
      <c r="M140" s="9">
        <f>IF($A140="","",VALUE($A140&amp;""))</f>
        <v/>
      </c>
      <c r="N140" s="9">
        <f>IF($A140="","",VALUE(SUBSTITUTE(SUBSTITUTE(SUBSTITUTE(UPPER($F140&amp;""),"Q",""),"분기","")," ","")))</f>
        <v/>
      </c>
      <c r="O140" s="94">
        <f>IF($A140="",0,($G140+$H140)*설정!$C$23)</f>
        <v/>
      </c>
      <c r="P140" s="94">
        <f>IF($A140="",0,$I140*설정!$C$23)</f>
        <v/>
      </c>
      <c r="Q140" s="64">
        <f>IF($A140="","",IF(COUNTIF(변동분석!$E$7:$E$506,L140)&gt;0,"Y","N"))</f>
        <v/>
      </c>
      <c r="R140" s="9">
        <f>IF($A140="","",$D140&amp;"")</f>
        <v/>
      </c>
    </row>
    <row r="141">
      <c r="A141" s="92" t="n">
        <v>2026</v>
      </c>
      <c r="B141" s="92" t="inlineStr">
        <is>
          <t>D500</t>
        </is>
      </c>
      <c r="C141" s="92" t="inlineStr">
        <is>
          <t>마케팅팀</t>
        </is>
      </c>
      <c r="D141" s="92" t="n">
        <v>62301000</v>
      </c>
      <c r="E141" s="92" t="inlineStr">
        <is>
          <t>소모품비</t>
        </is>
      </c>
      <c r="F141" s="92" t="n">
        <v>1</v>
      </c>
      <c r="G141" s="93" t="n">
        <v>2400000</v>
      </c>
      <c r="H141" s="93" t="n">
        <v>0</v>
      </c>
      <c r="I141" s="93" t="n">
        <v>1867000</v>
      </c>
      <c r="J141" s="93" t="n">
        <v>533000</v>
      </c>
      <c r="L141" s="9">
        <f>IF($A141="","",$B141&amp;"|"&amp;$D141)</f>
        <v/>
      </c>
      <c r="M141" s="9">
        <f>IF($A141="","",VALUE($A141&amp;""))</f>
        <v/>
      </c>
      <c r="N141" s="9">
        <f>IF($A141="","",VALUE(SUBSTITUTE(SUBSTITUTE(SUBSTITUTE(UPPER($F141&amp;""),"Q",""),"분기","")," ","")))</f>
        <v/>
      </c>
      <c r="O141" s="94">
        <f>IF($A141="",0,($G141+$H141)*설정!$C$23)</f>
        <v/>
      </c>
      <c r="P141" s="94">
        <f>IF($A141="",0,$I141*설정!$C$23)</f>
        <v/>
      </c>
      <c r="Q141" s="64">
        <f>IF($A141="","",IF(COUNTIF(변동분석!$E$7:$E$506,L141)&gt;0,"Y","N"))</f>
        <v/>
      </c>
      <c r="R141" s="9">
        <f>IF($A141="","",$D141&amp;"")</f>
        <v/>
      </c>
    </row>
    <row r="142">
      <c r="A142" s="92" t="n">
        <v>2026</v>
      </c>
      <c r="B142" s="92" t="inlineStr">
        <is>
          <t>D500</t>
        </is>
      </c>
      <c r="C142" s="92" t="inlineStr">
        <is>
          <t>마케팅팀</t>
        </is>
      </c>
      <c r="D142" s="92" t="n">
        <v>62301000</v>
      </c>
      <c r="E142" s="92" t="inlineStr">
        <is>
          <t>소모품비</t>
        </is>
      </c>
      <c r="F142" s="92" t="n">
        <v>2</v>
      </c>
      <c r="G142" s="93" t="n">
        <v>2400000</v>
      </c>
      <c r="H142" s="93" t="n">
        <v>0</v>
      </c>
      <c r="I142" s="93" t="n">
        <v>2003000</v>
      </c>
      <c r="J142" s="93" t="n">
        <v>397000</v>
      </c>
      <c r="L142" s="9">
        <f>IF($A142="","",$B142&amp;"|"&amp;$D142)</f>
        <v/>
      </c>
      <c r="M142" s="9">
        <f>IF($A142="","",VALUE($A142&amp;""))</f>
        <v/>
      </c>
      <c r="N142" s="9">
        <f>IF($A142="","",VALUE(SUBSTITUTE(SUBSTITUTE(SUBSTITUTE(UPPER($F142&amp;""),"Q",""),"분기","")," ","")))</f>
        <v/>
      </c>
      <c r="O142" s="94">
        <f>IF($A142="",0,($G142+$H142)*설정!$C$23)</f>
        <v/>
      </c>
      <c r="P142" s="94">
        <f>IF($A142="",0,$I142*설정!$C$23)</f>
        <v/>
      </c>
      <c r="Q142" s="64">
        <f>IF($A142="","",IF(COUNTIF(변동분석!$E$7:$E$506,L142)&gt;0,"Y","N"))</f>
        <v/>
      </c>
      <c r="R142" s="9">
        <f>IF($A142="","",$D142&amp;"")</f>
        <v/>
      </c>
    </row>
    <row r="143">
      <c r="A143" s="92" t="n">
        <v>2026</v>
      </c>
      <c r="B143" s="92" t="inlineStr">
        <is>
          <t>D500</t>
        </is>
      </c>
      <c r="C143" s="92" t="inlineStr">
        <is>
          <t>마케팅팀</t>
        </is>
      </c>
      <c r="D143" s="92" t="n">
        <v>62301000</v>
      </c>
      <c r="E143" s="92" t="inlineStr">
        <is>
          <t>소모품비</t>
        </is>
      </c>
      <c r="F143" s="92" t="n">
        <v>3</v>
      </c>
      <c r="G143" s="93" t="n">
        <v>2400000</v>
      </c>
      <c r="H143" s="93" t="n">
        <v>0</v>
      </c>
      <c r="I143" s="93" t="n">
        <v>2178000</v>
      </c>
      <c r="J143" s="93" t="n">
        <v>222000</v>
      </c>
      <c r="L143" s="9">
        <f>IF($A143="","",$B143&amp;"|"&amp;$D143)</f>
        <v/>
      </c>
      <c r="M143" s="9">
        <f>IF($A143="","",VALUE($A143&amp;""))</f>
        <v/>
      </c>
      <c r="N143" s="9">
        <f>IF($A143="","",VALUE(SUBSTITUTE(SUBSTITUTE(SUBSTITUTE(UPPER($F143&amp;""),"Q",""),"분기","")," ","")))</f>
        <v/>
      </c>
      <c r="O143" s="94">
        <f>IF($A143="",0,($G143+$H143)*설정!$C$23)</f>
        <v/>
      </c>
      <c r="P143" s="94">
        <f>IF($A143="",0,$I143*설정!$C$23)</f>
        <v/>
      </c>
      <c r="Q143" s="64">
        <f>IF($A143="","",IF(COUNTIF(변동분석!$E$7:$E$506,L143)&gt;0,"Y","N"))</f>
        <v/>
      </c>
      <c r="R143" s="9">
        <f>IF($A143="","",$D143&amp;"")</f>
        <v/>
      </c>
    </row>
    <row r="144">
      <c r="A144" s="92" t="n">
        <v>2026</v>
      </c>
      <c r="B144" s="92" t="inlineStr">
        <is>
          <t>D500</t>
        </is>
      </c>
      <c r="C144" s="92" t="inlineStr">
        <is>
          <t>마케팅팀</t>
        </is>
      </c>
      <c r="D144" s="92" t="n">
        <v>62301000</v>
      </c>
      <c r="E144" s="92" t="inlineStr">
        <is>
          <t>소모품비</t>
        </is>
      </c>
      <c r="F144" s="92" t="n">
        <v>4</v>
      </c>
      <c r="G144" s="93" t="n">
        <v>2400000</v>
      </c>
      <c r="H144" s="93" t="n">
        <v>0</v>
      </c>
      <c r="I144" s="93" t="n">
        <v>0</v>
      </c>
      <c r="J144" s="93" t="n">
        <v>2400000</v>
      </c>
      <c r="L144" s="9">
        <f>IF($A144="","",$B144&amp;"|"&amp;$D144)</f>
        <v/>
      </c>
      <c r="M144" s="9">
        <f>IF($A144="","",VALUE($A144&amp;""))</f>
        <v/>
      </c>
      <c r="N144" s="9">
        <f>IF($A144="","",VALUE(SUBSTITUTE(SUBSTITUTE(SUBSTITUTE(UPPER($F144&amp;""),"Q",""),"분기","")," ","")))</f>
        <v/>
      </c>
      <c r="O144" s="94">
        <f>IF($A144="",0,($G144+$H144)*설정!$C$23)</f>
        <v/>
      </c>
      <c r="P144" s="94">
        <f>IF($A144="",0,$I144*설정!$C$23)</f>
        <v/>
      </c>
      <c r="Q144" s="64">
        <f>IF($A144="","",IF(COUNTIF(변동분석!$E$7:$E$506,L144)&gt;0,"Y","N"))</f>
        <v/>
      </c>
      <c r="R144" s="9">
        <f>IF($A144="","",$D144&amp;"")</f>
        <v/>
      </c>
    </row>
    <row r="145">
      <c r="A145" s="92" t="n">
        <v>2026</v>
      </c>
      <c r="B145" s="92" t="inlineStr">
        <is>
          <t>D500</t>
        </is>
      </c>
      <c r="C145" s="92" t="inlineStr">
        <is>
          <t>마케팅팀</t>
        </is>
      </c>
      <c r="D145" s="92" t="n">
        <v>62401000</v>
      </c>
      <c r="E145" s="92" t="inlineStr">
        <is>
          <t>도서인쇄비</t>
        </is>
      </c>
      <c r="F145" s="92" t="n">
        <v>1</v>
      </c>
      <c r="G145" s="93" t="n">
        <v>21000000</v>
      </c>
      <c r="H145" s="93" t="n">
        <v>0</v>
      </c>
      <c r="I145" s="93" t="n">
        <v>17182000</v>
      </c>
      <c r="J145" s="93" t="n">
        <v>3818000</v>
      </c>
      <c r="L145" s="9">
        <f>IF($A145="","",$B145&amp;"|"&amp;$D145)</f>
        <v/>
      </c>
      <c r="M145" s="9">
        <f>IF($A145="","",VALUE($A145&amp;""))</f>
        <v/>
      </c>
      <c r="N145" s="9">
        <f>IF($A145="","",VALUE(SUBSTITUTE(SUBSTITUTE(SUBSTITUTE(UPPER($F145&amp;""),"Q",""),"분기","")," ","")))</f>
        <v/>
      </c>
      <c r="O145" s="94">
        <f>IF($A145="",0,($G145+$H145)*설정!$C$23)</f>
        <v/>
      </c>
      <c r="P145" s="94">
        <f>IF($A145="",0,$I145*설정!$C$23)</f>
        <v/>
      </c>
      <c r="Q145" s="64">
        <f>IF($A145="","",IF(COUNTIF(변동분석!$E$7:$E$506,L145)&gt;0,"Y","N"))</f>
        <v/>
      </c>
      <c r="R145" s="9">
        <f>IF($A145="","",$D145&amp;"")</f>
        <v/>
      </c>
    </row>
    <row r="146">
      <c r="A146" s="92" t="n">
        <v>2026</v>
      </c>
      <c r="B146" s="92" t="inlineStr">
        <is>
          <t>D500</t>
        </is>
      </c>
      <c r="C146" s="92" t="inlineStr">
        <is>
          <t>마케팅팀</t>
        </is>
      </c>
      <c r="D146" s="92" t="n">
        <v>62401000</v>
      </c>
      <c r="E146" s="92" t="inlineStr">
        <is>
          <t>도서인쇄비</t>
        </is>
      </c>
      <c r="F146" s="92" t="n">
        <v>2</v>
      </c>
      <c r="G146" s="93" t="n">
        <v>21000000</v>
      </c>
      <c r="H146" s="93" t="n">
        <v>0</v>
      </c>
      <c r="I146" s="93" t="n">
        <v>17786000</v>
      </c>
      <c r="J146" s="93" t="n">
        <v>3214000</v>
      </c>
      <c r="L146" s="9">
        <f>IF($A146="","",$B146&amp;"|"&amp;$D146)</f>
        <v/>
      </c>
      <c r="M146" s="9">
        <f>IF($A146="","",VALUE($A146&amp;""))</f>
        <v/>
      </c>
      <c r="N146" s="9">
        <f>IF($A146="","",VALUE(SUBSTITUTE(SUBSTITUTE(SUBSTITUTE(UPPER($F146&amp;""),"Q",""),"분기","")," ","")))</f>
        <v/>
      </c>
      <c r="O146" s="94">
        <f>IF($A146="",0,($G146+$H146)*설정!$C$23)</f>
        <v/>
      </c>
      <c r="P146" s="94">
        <f>IF($A146="",0,$I146*설정!$C$23)</f>
        <v/>
      </c>
      <c r="Q146" s="64">
        <f>IF($A146="","",IF(COUNTIF(변동분석!$E$7:$E$506,L146)&gt;0,"Y","N"))</f>
        <v/>
      </c>
      <c r="R146" s="9">
        <f>IF($A146="","",$D146&amp;"")</f>
        <v/>
      </c>
    </row>
    <row r="147">
      <c r="A147" s="92" t="n">
        <v>2026</v>
      </c>
      <c r="B147" s="92" t="inlineStr">
        <is>
          <t>D500</t>
        </is>
      </c>
      <c r="C147" s="92" t="inlineStr">
        <is>
          <t>마케팅팀</t>
        </is>
      </c>
      <c r="D147" s="92" t="n">
        <v>62401000</v>
      </c>
      <c r="E147" s="92" t="inlineStr">
        <is>
          <t>도서인쇄비</t>
        </is>
      </c>
      <c r="F147" s="92" t="n">
        <v>3</v>
      </c>
      <c r="G147" s="93" t="n">
        <v>21000000</v>
      </c>
      <c r="H147" s="93" t="n">
        <v>0</v>
      </c>
      <c r="I147" s="93" t="n">
        <v>17629000</v>
      </c>
      <c r="J147" s="93" t="n">
        <v>3371000</v>
      </c>
      <c r="L147" s="9">
        <f>IF($A147="","",$B147&amp;"|"&amp;$D147)</f>
        <v/>
      </c>
      <c r="M147" s="9">
        <f>IF($A147="","",VALUE($A147&amp;""))</f>
        <v/>
      </c>
      <c r="N147" s="9">
        <f>IF($A147="","",VALUE(SUBSTITUTE(SUBSTITUTE(SUBSTITUTE(UPPER($F147&amp;""),"Q",""),"분기","")," ","")))</f>
        <v/>
      </c>
      <c r="O147" s="94">
        <f>IF($A147="",0,($G147+$H147)*설정!$C$23)</f>
        <v/>
      </c>
      <c r="P147" s="94">
        <f>IF($A147="",0,$I147*설정!$C$23)</f>
        <v/>
      </c>
      <c r="Q147" s="64">
        <f>IF($A147="","",IF(COUNTIF(변동분석!$E$7:$E$506,L147)&gt;0,"Y","N"))</f>
        <v/>
      </c>
      <c r="R147" s="9">
        <f>IF($A147="","",$D147&amp;"")</f>
        <v/>
      </c>
    </row>
    <row r="148">
      <c r="A148" s="92" t="n">
        <v>2026</v>
      </c>
      <c r="B148" s="92" t="inlineStr">
        <is>
          <t>D500</t>
        </is>
      </c>
      <c r="C148" s="92" t="inlineStr">
        <is>
          <t>마케팅팀</t>
        </is>
      </c>
      <c r="D148" s="92" t="n">
        <v>62401000</v>
      </c>
      <c r="E148" s="92" t="inlineStr">
        <is>
          <t>도서인쇄비</t>
        </is>
      </c>
      <c r="F148" s="92" t="n">
        <v>4</v>
      </c>
      <c r="G148" s="93" t="n">
        <v>21000000</v>
      </c>
      <c r="H148" s="93" t="n">
        <v>0</v>
      </c>
      <c r="I148" s="93" t="n">
        <v>0</v>
      </c>
      <c r="J148" s="93" t="n">
        <v>21000000</v>
      </c>
      <c r="L148" s="9">
        <f>IF($A148="","",$B148&amp;"|"&amp;$D148)</f>
        <v/>
      </c>
      <c r="M148" s="9">
        <f>IF($A148="","",VALUE($A148&amp;""))</f>
        <v/>
      </c>
      <c r="N148" s="9">
        <f>IF($A148="","",VALUE(SUBSTITUTE(SUBSTITUTE(SUBSTITUTE(UPPER($F148&amp;""),"Q",""),"분기","")," ","")))</f>
        <v/>
      </c>
      <c r="O148" s="94">
        <f>IF($A148="",0,($G148+$H148)*설정!$C$23)</f>
        <v/>
      </c>
      <c r="P148" s="94">
        <f>IF($A148="",0,$I148*설정!$C$23)</f>
        <v/>
      </c>
      <c r="Q148" s="64">
        <f>IF($A148="","",IF(COUNTIF(변동분석!$E$7:$E$506,L148)&gt;0,"Y","N"))</f>
        <v/>
      </c>
      <c r="R148" s="9">
        <f>IF($A148="","",$D148&amp;"")</f>
        <v/>
      </c>
    </row>
    <row r="149">
      <c r="A149" s="92" t="n">
        <v>2026</v>
      </c>
      <c r="B149" s="92" t="inlineStr">
        <is>
          <t>D500</t>
        </is>
      </c>
      <c r="C149" s="92" t="inlineStr">
        <is>
          <t>마케팅팀</t>
        </is>
      </c>
      <c r="D149" s="92" t="n">
        <v>62501000</v>
      </c>
      <c r="E149" s="92" t="inlineStr">
        <is>
          <t>회의비</t>
        </is>
      </c>
      <c r="F149" s="92" t="n">
        <v>1</v>
      </c>
      <c r="G149" s="93" t="n">
        <v>3600000</v>
      </c>
      <c r="H149" s="93" t="n">
        <v>0</v>
      </c>
      <c r="I149" s="93" t="n">
        <v>3078000</v>
      </c>
      <c r="J149" s="93" t="n">
        <v>522000</v>
      </c>
      <c r="L149" s="9">
        <f>IF($A149="","",$B149&amp;"|"&amp;$D149)</f>
        <v/>
      </c>
      <c r="M149" s="9">
        <f>IF($A149="","",VALUE($A149&amp;""))</f>
        <v/>
      </c>
      <c r="N149" s="9">
        <f>IF($A149="","",VALUE(SUBSTITUTE(SUBSTITUTE(SUBSTITUTE(UPPER($F149&amp;""),"Q",""),"분기","")," ","")))</f>
        <v/>
      </c>
      <c r="O149" s="94">
        <f>IF($A149="",0,($G149+$H149)*설정!$C$23)</f>
        <v/>
      </c>
      <c r="P149" s="94">
        <f>IF($A149="",0,$I149*설정!$C$23)</f>
        <v/>
      </c>
      <c r="Q149" s="64">
        <f>IF($A149="","",IF(COUNTIF(변동분석!$E$7:$E$506,L149)&gt;0,"Y","N"))</f>
        <v/>
      </c>
      <c r="R149" s="9">
        <f>IF($A149="","",$D149&amp;"")</f>
        <v/>
      </c>
    </row>
    <row r="150">
      <c r="A150" s="92" t="n">
        <v>2026</v>
      </c>
      <c r="B150" s="92" t="inlineStr">
        <is>
          <t>D500</t>
        </is>
      </c>
      <c r="C150" s="92" t="inlineStr">
        <is>
          <t>마케팅팀</t>
        </is>
      </c>
      <c r="D150" s="92" t="n">
        <v>62501000</v>
      </c>
      <c r="E150" s="92" t="inlineStr">
        <is>
          <t>회의비</t>
        </is>
      </c>
      <c r="F150" s="92" t="n">
        <v>2</v>
      </c>
      <c r="G150" s="93" t="n">
        <v>3600000</v>
      </c>
      <c r="H150" s="93" t="n">
        <v>0</v>
      </c>
      <c r="I150" s="93" t="n">
        <v>3125000</v>
      </c>
      <c r="J150" s="93" t="n">
        <v>475000</v>
      </c>
      <c r="L150" s="9">
        <f>IF($A150="","",$B150&amp;"|"&amp;$D150)</f>
        <v/>
      </c>
      <c r="M150" s="9">
        <f>IF($A150="","",VALUE($A150&amp;""))</f>
        <v/>
      </c>
      <c r="N150" s="9">
        <f>IF($A150="","",VALUE(SUBSTITUTE(SUBSTITUTE(SUBSTITUTE(UPPER($F150&amp;""),"Q",""),"분기","")," ","")))</f>
        <v/>
      </c>
      <c r="O150" s="94">
        <f>IF($A150="",0,($G150+$H150)*설정!$C$23)</f>
        <v/>
      </c>
      <c r="P150" s="94">
        <f>IF($A150="",0,$I150*설정!$C$23)</f>
        <v/>
      </c>
      <c r="Q150" s="64">
        <f>IF($A150="","",IF(COUNTIF(변동분석!$E$7:$E$506,L150)&gt;0,"Y","N"))</f>
        <v/>
      </c>
      <c r="R150" s="9">
        <f>IF($A150="","",$D150&amp;"")</f>
        <v/>
      </c>
    </row>
    <row r="151">
      <c r="A151" s="92" t="n">
        <v>2026</v>
      </c>
      <c r="B151" s="92" t="inlineStr">
        <is>
          <t>D500</t>
        </is>
      </c>
      <c r="C151" s="92" t="inlineStr">
        <is>
          <t>마케팅팀</t>
        </is>
      </c>
      <c r="D151" s="92" t="n">
        <v>62501000</v>
      </c>
      <c r="E151" s="92" t="inlineStr">
        <is>
          <t>회의비</t>
        </is>
      </c>
      <c r="F151" s="92" t="n">
        <v>3</v>
      </c>
      <c r="G151" s="93" t="n">
        <v>3600000</v>
      </c>
      <c r="H151" s="93" t="n">
        <v>0</v>
      </c>
      <c r="I151" s="93" t="n">
        <v>3041000</v>
      </c>
      <c r="J151" s="93" t="n">
        <v>559000</v>
      </c>
      <c r="L151" s="9">
        <f>IF($A151="","",$B151&amp;"|"&amp;$D151)</f>
        <v/>
      </c>
      <c r="M151" s="9">
        <f>IF($A151="","",VALUE($A151&amp;""))</f>
        <v/>
      </c>
      <c r="N151" s="9">
        <f>IF($A151="","",VALUE(SUBSTITUTE(SUBSTITUTE(SUBSTITUTE(UPPER($F151&amp;""),"Q",""),"분기","")," ","")))</f>
        <v/>
      </c>
      <c r="O151" s="94">
        <f>IF($A151="",0,($G151+$H151)*설정!$C$23)</f>
        <v/>
      </c>
      <c r="P151" s="94">
        <f>IF($A151="",0,$I151*설정!$C$23)</f>
        <v/>
      </c>
      <c r="Q151" s="64">
        <f>IF($A151="","",IF(COUNTIF(변동분석!$E$7:$E$506,L151)&gt;0,"Y","N"))</f>
        <v/>
      </c>
      <c r="R151" s="9">
        <f>IF($A151="","",$D151&amp;"")</f>
        <v/>
      </c>
    </row>
    <row r="152">
      <c r="A152" s="92" t="n">
        <v>2026</v>
      </c>
      <c r="B152" s="92" t="inlineStr">
        <is>
          <t>D500</t>
        </is>
      </c>
      <c r="C152" s="92" t="inlineStr">
        <is>
          <t>마케팅팀</t>
        </is>
      </c>
      <c r="D152" s="92" t="n">
        <v>62501000</v>
      </c>
      <c r="E152" s="92" t="inlineStr">
        <is>
          <t>회의비</t>
        </is>
      </c>
      <c r="F152" s="92" t="n">
        <v>4</v>
      </c>
      <c r="G152" s="93" t="n">
        <v>3600000</v>
      </c>
      <c r="H152" s="93" t="n">
        <v>0</v>
      </c>
      <c r="I152" s="93" t="n">
        <v>0</v>
      </c>
      <c r="J152" s="93" t="n">
        <v>3600000</v>
      </c>
      <c r="L152" s="9">
        <f>IF($A152="","",$B152&amp;"|"&amp;$D152)</f>
        <v/>
      </c>
      <c r="M152" s="9">
        <f>IF($A152="","",VALUE($A152&amp;""))</f>
        <v/>
      </c>
      <c r="N152" s="9">
        <f>IF($A152="","",VALUE(SUBSTITUTE(SUBSTITUTE(SUBSTITUTE(UPPER($F152&amp;""),"Q",""),"분기","")," ","")))</f>
        <v/>
      </c>
      <c r="O152" s="94">
        <f>IF($A152="",0,($G152+$H152)*설정!$C$23)</f>
        <v/>
      </c>
      <c r="P152" s="94">
        <f>IF($A152="",0,$I152*설정!$C$23)</f>
        <v/>
      </c>
      <c r="Q152" s="64">
        <f>IF($A152="","",IF(COUNTIF(변동분석!$E$7:$E$506,L152)&gt;0,"Y","N"))</f>
        <v/>
      </c>
      <c r="R152" s="9">
        <f>IF($A152="","",$D152&amp;"")</f>
        <v/>
      </c>
    </row>
    <row r="153">
      <c r="A153" s="92" t="n">
        <v>2026</v>
      </c>
      <c r="B153" s="92" t="inlineStr">
        <is>
          <t>D500</t>
        </is>
      </c>
      <c r="C153" s="92" t="inlineStr">
        <is>
          <t>마케팅팀</t>
        </is>
      </c>
      <c r="D153" s="92" t="n">
        <v>62601000</v>
      </c>
      <c r="E153" s="92" t="inlineStr">
        <is>
          <t>업무추진비</t>
        </is>
      </c>
      <c r="F153" s="92" t="n">
        <v>1</v>
      </c>
      <c r="G153" s="93" t="n">
        <v>9000000</v>
      </c>
      <c r="H153" s="93" t="n">
        <v>0</v>
      </c>
      <c r="I153" s="93" t="n">
        <v>7823000</v>
      </c>
      <c r="J153" s="93" t="n">
        <v>1177000</v>
      </c>
      <c r="L153" s="9">
        <f>IF($A153="","",$B153&amp;"|"&amp;$D153)</f>
        <v/>
      </c>
      <c r="M153" s="9">
        <f>IF($A153="","",VALUE($A153&amp;""))</f>
        <v/>
      </c>
      <c r="N153" s="9">
        <f>IF($A153="","",VALUE(SUBSTITUTE(SUBSTITUTE(SUBSTITUTE(UPPER($F153&amp;""),"Q",""),"분기","")," ","")))</f>
        <v/>
      </c>
      <c r="O153" s="94">
        <f>IF($A153="",0,($G153+$H153)*설정!$C$23)</f>
        <v/>
      </c>
      <c r="P153" s="94">
        <f>IF($A153="",0,$I153*설정!$C$23)</f>
        <v/>
      </c>
      <c r="Q153" s="64">
        <f>IF($A153="","",IF(COUNTIF(변동분석!$E$7:$E$506,L153)&gt;0,"Y","N"))</f>
        <v/>
      </c>
      <c r="R153" s="9">
        <f>IF($A153="","",$D153&amp;"")</f>
        <v/>
      </c>
    </row>
    <row r="154">
      <c r="A154" s="92" t="n">
        <v>2026</v>
      </c>
      <c r="B154" s="92" t="inlineStr">
        <is>
          <t>D500</t>
        </is>
      </c>
      <c r="C154" s="92" t="inlineStr">
        <is>
          <t>마케팅팀</t>
        </is>
      </c>
      <c r="D154" s="92" t="n">
        <v>62601000</v>
      </c>
      <c r="E154" s="92" t="inlineStr">
        <is>
          <t>업무추진비</t>
        </is>
      </c>
      <c r="F154" s="92" t="n">
        <v>2</v>
      </c>
      <c r="G154" s="93" t="n">
        <v>9000000</v>
      </c>
      <c r="H154" s="93" t="n">
        <v>0</v>
      </c>
      <c r="I154" s="93" t="n">
        <v>8634000</v>
      </c>
      <c r="J154" s="93" t="n">
        <v>366000</v>
      </c>
      <c r="L154" s="9">
        <f>IF($A154="","",$B154&amp;"|"&amp;$D154)</f>
        <v/>
      </c>
      <c r="M154" s="9">
        <f>IF($A154="","",VALUE($A154&amp;""))</f>
        <v/>
      </c>
      <c r="N154" s="9">
        <f>IF($A154="","",VALUE(SUBSTITUTE(SUBSTITUTE(SUBSTITUTE(UPPER($F154&amp;""),"Q",""),"분기","")," ","")))</f>
        <v/>
      </c>
      <c r="O154" s="94">
        <f>IF($A154="",0,($G154+$H154)*설정!$C$23)</f>
        <v/>
      </c>
      <c r="P154" s="94">
        <f>IF($A154="",0,$I154*설정!$C$23)</f>
        <v/>
      </c>
      <c r="Q154" s="64">
        <f>IF($A154="","",IF(COUNTIF(변동분석!$E$7:$E$506,L154)&gt;0,"Y","N"))</f>
        <v/>
      </c>
      <c r="R154" s="9">
        <f>IF($A154="","",$D154&amp;"")</f>
        <v/>
      </c>
    </row>
    <row r="155">
      <c r="A155" s="92" t="n">
        <v>2026</v>
      </c>
      <c r="B155" s="92" t="inlineStr">
        <is>
          <t>D500</t>
        </is>
      </c>
      <c r="C155" s="92" t="inlineStr">
        <is>
          <t>마케팅팀</t>
        </is>
      </c>
      <c r="D155" s="92" t="n">
        <v>62601000</v>
      </c>
      <c r="E155" s="92" t="inlineStr">
        <is>
          <t>업무추진비</t>
        </is>
      </c>
      <c r="F155" s="92" t="n">
        <v>3</v>
      </c>
      <c r="G155" s="93" t="n">
        <v>9000000</v>
      </c>
      <c r="H155" s="93" t="n">
        <v>0</v>
      </c>
      <c r="I155" s="93" t="n">
        <v>8021000</v>
      </c>
      <c r="J155" s="93" t="n">
        <v>979000</v>
      </c>
      <c r="L155" s="9">
        <f>IF($A155="","",$B155&amp;"|"&amp;$D155)</f>
        <v/>
      </c>
      <c r="M155" s="9">
        <f>IF($A155="","",VALUE($A155&amp;""))</f>
        <v/>
      </c>
      <c r="N155" s="9">
        <f>IF($A155="","",VALUE(SUBSTITUTE(SUBSTITUTE(SUBSTITUTE(UPPER($F155&amp;""),"Q",""),"분기","")," ","")))</f>
        <v/>
      </c>
      <c r="O155" s="94">
        <f>IF($A155="",0,($G155+$H155)*설정!$C$23)</f>
        <v/>
      </c>
      <c r="P155" s="94">
        <f>IF($A155="",0,$I155*설정!$C$23)</f>
        <v/>
      </c>
      <c r="Q155" s="64">
        <f>IF($A155="","",IF(COUNTIF(변동분석!$E$7:$E$506,L155)&gt;0,"Y","N"))</f>
        <v/>
      </c>
      <c r="R155" s="9">
        <f>IF($A155="","",$D155&amp;"")</f>
        <v/>
      </c>
    </row>
    <row r="156">
      <c r="A156" s="92" t="n">
        <v>2026</v>
      </c>
      <c r="B156" s="92" t="inlineStr">
        <is>
          <t>D500</t>
        </is>
      </c>
      <c r="C156" s="92" t="inlineStr">
        <is>
          <t>마케팅팀</t>
        </is>
      </c>
      <c r="D156" s="92" t="n">
        <v>62601000</v>
      </c>
      <c r="E156" s="92" t="inlineStr">
        <is>
          <t>업무추진비</t>
        </is>
      </c>
      <c r="F156" s="92" t="n">
        <v>4</v>
      </c>
      <c r="G156" s="93" t="n">
        <v>9000000</v>
      </c>
      <c r="H156" s="93" t="n">
        <v>0</v>
      </c>
      <c r="I156" s="93" t="n">
        <v>0</v>
      </c>
      <c r="J156" s="93" t="n">
        <v>9000000</v>
      </c>
      <c r="L156" s="9">
        <f>IF($A156="","",$B156&amp;"|"&amp;$D156)</f>
        <v/>
      </c>
      <c r="M156" s="9">
        <f>IF($A156="","",VALUE($A156&amp;""))</f>
        <v/>
      </c>
      <c r="N156" s="9">
        <f>IF($A156="","",VALUE(SUBSTITUTE(SUBSTITUTE(SUBSTITUTE(UPPER($F156&amp;""),"Q",""),"분기","")," ","")))</f>
        <v/>
      </c>
      <c r="O156" s="94">
        <f>IF($A156="",0,($G156+$H156)*설정!$C$23)</f>
        <v/>
      </c>
      <c r="P156" s="94">
        <f>IF($A156="",0,$I156*설정!$C$23)</f>
        <v/>
      </c>
      <c r="Q156" s="64">
        <f>IF($A156="","",IF(COUNTIF(변동분석!$E$7:$E$506,L156)&gt;0,"Y","N"))</f>
        <v/>
      </c>
      <c r="R156" s="9">
        <f>IF($A156="","",$D156&amp;"")</f>
        <v/>
      </c>
    </row>
    <row r="157">
      <c r="A157" s="92" t="n">
        <v>2026</v>
      </c>
      <c r="B157" s="92" t="inlineStr">
        <is>
          <t>D500</t>
        </is>
      </c>
      <c r="C157" s="92" t="inlineStr">
        <is>
          <t>마케팅팀</t>
        </is>
      </c>
      <c r="D157" s="92" t="n">
        <v>62701000</v>
      </c>
      <c r="E157" s="92" t="inlineStr">
        <is>
          <t>광고선전비</t>
        </is>
      </c>
      <c r="F157" s="92" t="n">
        <v>1</v>
      </c>
      <c r="G157" s="93" t="n">
        <v>420000000</v>
      </c>
      <c r="H157" s="93" t="n">
        <v>0</v>
      </c>
      <c r="I157" s="93" t="n">
        <v>570000000</v>
      </c>
      <c r="J157" s="93" t="n">
        <v>-150000000</v>
      </c>
      <c r="L157" s="9">
        <f>IF($A157="","",$B157&amp;"|"&amp;$D157)</f>
        <v/>
      </c>
      <c r="M157" s="9">
        <f>IF($A157="","",VALUE($A157&amp;""))</f>
        <v/>
      </c>
      <c r="N157" s="9">
        <f>IF($A157="","",VALUE(SUBSTITUTE(SUBSTITUTE(SUBSTITUTE(UPPER($F157&amp;""),"Q",""),"분기","")," ","")))</f>
        <v/>
      </c>
      <c r="O157" s="94">
        <f>IF($A157="",0,($G157+$H157)*설정!$C$23)</f>
        <v/>
      </c>
      <c r="P157" s="94">
        <f>IF($A157="",0,$I157*설정!$C$23)</f>
        <v/>
      </c>
      <c r="Q157" s="64">
        <f>IF($A157="","",IF(COUNTIF(변동분석!$E$7:$E$506,L157)&gt;0,"Y","N"))</f>
        <v/>
      </c>
      <c r="R157" s="9">
        <f>IF($A157="","",$D157&amp;"")</f>
        <v/>
      </c>
    </row>
    <row r="158">
      <c r="A158" s="92" t="n">
        <v>2026</v>
      </c>
      <c r="B158" s="92" t="inlineStr">
        <is>
          <t>D500</t>
        </is>
      </c>
      <c r="C158" s="92" t="inlineStr">
        <is>
          <t>마케팅팀</t>
        </is>
      </c>
      <c r="D158" s="92" t="n">
        <v>62701000</v>
      </c>
      <c r="E158" s="92" t="inlineStr">
        <is>
          <t>광고선전비</t>
        </is>
      </c>
      <c r="F158" s="92" t="n">
        <v>2</v>
      </c>
      <c r="G158" s="93" t="n">
        <v>450000000</v>
      </c>
      <c r="H158" s="93" t="n">
        <v>0</v>
      </c>
      <c r="I158" s="93" t="n">
        <v>410000000</v>
      </c>
      <c r="J158" s="93" t="n">
        <v>40000000</v>
      </c>
      <c r="L158" s="9">
        <f>IF($A158="","",$B158&amp;"|"&amp;$D158)</f>
        <v/>
      </c>
      <c r="M158" s="9">
        <f>IF($A158="","",VALUE($A158&amp;""))</f>
        <v/>
      </c>
      <c r="N158" s="9">
        <f>IF($A158="","",VALUE(SUBSTITUTE(SUBSTITUTE(SUBSTITUTE(UPPER($F158&amp;""),"Q",""),"분기","")," ","")))</f>
        <v/>
      </c>
      <c r="O158" s="94">
        <f>IF($A158="",0,($G158+$H158)*설정!$C$23)</f>
        <v/>
      </c>
      <c r="P158" s="94">
        <f>IF($A158="",0,$I158*설정!$C$23)</f>
        <v/>
      </c>
      <c r="Q158" s="64">
        <f>IF($A158="","",IF(COUNTIF(변동분석!$E$7:$E$506,L158)&gt;0,"Y","N"))</f>
        <v/>
      </c>
      <c r="R158" s="9">
        <f>IF($A158="","",$D158&amp;"")</f>
        <v/>
      </c>
    </row>
    <row r="159">
      <c r="A159" s="92" t="n">
        <v>2026</v>
      </c>
      <c r="B159" s="92" t="inlineStr">
        <is>
          <t>D500</t>
        </is>
      </c>
      <c r="C159" s="92" t="inlineStr">
        <is>
          <t>마케팅팀</t>
        </is>
      </c>
      <c r="D159" s="92" t="n">
        <v>62701000</v>
      </c>
      <c r="E159" s="92" t="inlineStr">
        <is>
          <t>광고선전비</t>
        </is>
      </c>
      <c r="F159" s="92" t="n">
        <v>3</v>
      </c>
      <c r="G159" s="93" t="n">
        <v>435000000</v>
      </c>
      <c r="H159" s="93" t="n">
        <v>0</v>
      </c>
      <c r="I159" s="93" t="n">
        <v>600001000</v>
      </c>
      <c r="J159" s="93" t="n">
        <v>-165001000</v>
      </c>
      <c r="L159" s="9">
        <f>IF($A159="","",$B159&amp;"|"&amp;$D159)</f>
        <v/>
      </c>
      <c r="M159" s="9">
        <f>IF($A159="","",VALUE($A159&amp;""))</f>
        <v/>
      </c>
      <c r="N159" s="9">
        <f>IF($A159="","",VALUE(SUBSTITUTE(SUBSTITUTE(SUBSTITUTE(UPPER($F159&amp;""),"Q",""),"분기","")," ","")))</f>
        <v/>
      </c>
      <c r="O159" s="94">
        <f>IF($A159="",0,($G159+$H159)*설정!$C$23)</f>
        <v/>
      </c>
      <c r="P159" s="94">
        <f>IF($A159="",0,$I159*설정!$C$23)</f>
        <v/>
      </c>
      <c r="Q159" s="64">
        <f>IF($A159="","",IF(COUNTIF(변동분석!$E$7:$E$506,L159)&gt;0,"Y","N"))</f>
        <v/>
      </c>
      <c r="R159" s="9">
        <f>IF($A159="","",$D159&amp;"")</f>
        <v/>
      </c>
    </row>
    <row r="160">
      <c r="A160" s="92" t="n">
        <v>2026</v>
      </c>
      <c r="B160" s="92" t="inlineStr">
        <is>
          <t>D500</t>
        </is>
      </c>
      <c r="C160" s="92" t="inlineStr">
        <is>
          <t>마케팅팀</t>
        </is>
      </c>
      <c r="D160" s="92" t="n">
        <v>62701000</v>
      </c>
      <c r="E160" s="92" t="inlineStr">
        <is>
          <t>광고선전비</t>
        </is>
      </c>
      <c r="F160" s="92" t="n">
        <v>4</v>
      </c>
      <c r="G160" s="93" t="n">
        <v>495000000</v>
      </c>
      <c r="H160" s="93" t="n">
        <v>0</v>
      </c>
      <c r="I160" s="93" t="n">
        <v>0</v>
      </c>
      <c r="J160" s="93" t="n">
        <v>495000000</v>
      </c>
      <c r="L160" s="9">
        <f>IF($A160="","",$B160&amp;"|"&amp;$D160)</f>
        <v/>
      </c>
      <c r="M160" s="9">
        <f>IF($A160="","",VALUE($A160&amp;""))</f>
        <v/>
      </c>
      <c r="N160" s="9">
        <f>IF($A160="","",VALUE(SUBSTITUTE(SUBSTITUTE(SUBSTITUTE(UPPER($F160&amp;""),"Q",""),"분기","")," ","")))</f>
        <v/>
      </c>
      <c r="O160" s="94">
        <f>IF($A160="",0,($G160+$H160)*설정!$C$23)</f>
        <v/>
      </c>
      <c r="P160" s="94">
        <f>IF($A160="",0,$I160*설정!$C$23)</f>
        <v/>
      </c>
      <c r="Q160" s="64">
        <f>IF($A160="","",IF(COUNTIF(변동분석!$E$7:$E$506,L160)&gt;0,"Y","N"))</f>
        <v/>
      </c>
      <c r="R160" s="9">
        <f>IF($A160="","",$D160&amp;"")</f>
        <v/>
      </c>
    </row>
    <row r="161">
      <c r="A161" s="92" t="n">
        <v>2026</v>
      </c>
      <c r="B161" s="92" t="inlineStr">
        <is>
          <t>D600</t>
        </is>
      </c>
      <c r="C161" s="92" t="inlineStr">
        <is>
          <t>영업지원팀</t>
        </is>
      </c>
      <c r="D161" s="92" t="n">
        <v>62101000</v>
      </c>
      <c r="E161" s="92" t="inlineStr">
        <is>
          <t>여비교통비-국내</t>
        </is>
      </c>
      <c r="F161" s="92" t="n">
        <v>1</v>
      </c>
      <c r="G161" s="93" t="n">
        <v>20400000</v>
      </c>
      <c r="H161" s="93" t="n">
        <v>0</v>
      </c>
      <c r="I161" s="93" t="n">
        <v>16699000</v>
      </c>
      <c r="J161" s="93" t="n">
        <v>3701000</v>
      </c>
      <c r="L161" s="9">
        <f>IF($A161="","",$B161&amp;"|"&amp;$D161)</f>
        <v/>
      </c>
      <c r="M161" s="9">
        <f>IF($A161="","",VALUE($A161&amp;""))</f>
        <v/>
      </c>
      <c r="N161" s="9">
        <f>IF($A161="","",VALUE(SUBSTITUTE(SUBSTITUTE(SUBSTITUTE(UPPER($F161&amp;""),"Q",""),"분기","")," ","")))</f>
        <v/>
      </c>
      <c r="O161" s="94">
        <f>IF($A161="",0,($G161+$H161)*설정!$C$23)</f>
        <v/>
      </c>
      <c r="P161" s="94">
        <f>IF($A161="",0,$I161*설정!$C$23)</f>
        <v/>
      </c>
      <c r="Q161" s="64">
        <f>IF($A161="","",IF(COUNTIF(변동분석!$E$7:$E$506,L161)&gt;0,"Y","N"))</f>
        <v/>
      </c>
      <c r="R161" s="9">
        <f>IF($A161="","",$D161&amp;"")</f>
        <v/>
      </c>
    </row>
    <row r="162">
      <c r="A162" s="92" t="n">
        <v>2026</v>
      </c>
      <c r="B162" s="92" t="inlineStr">
        <is>
          <t>D600</t>
        </is>
      </c>
      <c r="C162" s="92" t="inlineStr">
        <is>
          <t>영업지원팀</t>
        </is>
      </c>
      <c r="D162" s="92" t="n">
        <v>62101000</v>
      </c>
      <c r="E162" s="92" t="inlineStr">
        <is>
          <t>여비교통비-국내</t>
        </is>
      </c>
      <c r="F162" s="92" t="n">
        <v>2</v>
      </c>
      <c r="G162" s="93" t="n">
        <v>20400000</v>
      </c>
      <c r="H162" s="93" t="n">
        <v>0</v>
      </c>
      <c r="I162" s="93" t="n">
        <v>17220000</v>
      </c>
      <c r="J162" s="93" t="n">
        <v>3180000</v>
      </c>
      <c r="L162" s="9">
        <f>IF($A162="","",$B162&amp;"|"&amp;$D162)</f>
        <v/>
      </c>
      <c r="M162" s="9">
        <f>IF($A162="","",VALUE($A162&amp;""))</f>
        <v/>
      </c>
      <c r="N162" s="9">
        <f>IF($A162="","",VALUE(SUBSTITUTE(SUBSTITUTE(SUBSTITUTE(UPPER($F162&amp;""),"Q",""),"분기","")," ","")))</f>
        <v/>
      </c>
      <c r="O162" s="94">
        <f>IF($A162="",0,($G162+$H162)*설정!$C$23)</f>
        <v/>
      </c>
      <c r="P162" s="94">
        <f>IF($A162="",0,$I162*설정!$C$23)</f>
        <v/>
      </c>
      <c r="Q162" s="64">
        <f>IF($A162="","",IF(COUNTIF(변동분석!$E$7:$E$506,L162)&gt;0,"Y","N"))</f>
        <v/>
      </c>
      <c r="R162" s="9">
        <f>IF($A162="","",$D162&amp;"")</f>
        <v/>
      </c>
    </row>
    <row r="163">
      <c r="A163" s="92" t="n">
        <v>2026</v>
      </c>
      <c r="B163" s="92" t="inlineStr">
        <is>
          <t>D600</t>
        </is>
      </c>
      <c r="C163" s="92" t="inlineStr">
        <is>
          <t>영업지원팀</t>
        </is>
      </c>
      <c r="D163" s="92" t="n">
        <v>62101000</v>
      </c>
      <c r="E163" s="92" t="inlineStr">
        <is>
          <t>여비교통비-국내</t>
        </is>
      </c>
      <c r="F163" s="92" t="n">
        <v>3</v>
      </c>
      <c r="G163" s="93" t="n">
        <v>20400000</v>
      </c>
      <c r="H163" s="93" t="n">
        <v>0</v>
      </c>
      <c r="I163" s="93" t="n">
        <v>16124000</v>
      </c>
      <c r="J163" s="93" t="n">
        <v>4276000</v>
      </c>
      <c r="L163" s="9">
        <f>IF($A163="","",$B163&amp;"|"&amp;$D163)</f>
        <v/>
      </c>
      <c r="M163" s="9">
        <f>IF($A163="","",VALUE($A163&amp;""))</f>
        <v/>
      </c>
      <c r="N163" s="9">
        <f>IF($A163="","",VALUE(SUBSTITUTE(SUBSTITUTE(SUBSTITUTE(UPPER($F163&amp;""),"Q",""),"분기","")," ","")))</f>
        <v/>
      </c>
      <c r="O163" s="94">
        <f>IF($A163="",0,($G163+$H163)*설정!$C$23)</f>
        <v/>
      </c>
      <c r="P163" s="94">
        <f>IF($A163="",0,$I163*설정!$C$23)</f>
        <v/>
      </c>
      <c r="Q163" s="64">
        <f>IF($A163="","",IF(COUNTIF(변동분석!$E$7:$E$506,L163)&gt;0,"Y","N"))</f>
        <v/>
      </c>
      <c r="R163" s="9">
        <f>IF($A163="","",$D163&amp;"")</f>
        <v/>
      </c>
    </row>
    <row r="164">
      <c r="A164" s="92" t="n">
        <v>2026</v>
      </c>
      <c r="B164" s="92" t="inlineStr">
        <is>
          <t>D600</t>
        </is>
      </c>
      <c r="C164" s="92" t="inlineStr">
        <is>
          <t>영업지원팀</t>
        </is>
      </c>
      <c r="D164" s="92" t="n">
        <v>62101000</v>
      </c>
      <c r="E164" s="92" t="inlineStr">
        <is>
          <t>여비교통비-국내</t>
        </is>
      </c>
      <c r="F164" s="92" t="n">
        <v>4</v>
      </c>
      <c r="G164" s="93" t="n">
        <v>20400000</v>
      </c>
      <c r="H164" s="93" t="n">
        <v>0</v>
      </c>
      <c r="I164" s="93" t="n">
        <v>0</v>
      </c>
      <c r="J164" s="93" t="n">
        <v>20400000</v>
      </c>
      <c r="L164" s="9">
        <f>IF($A164="","",$B164&amp;"|"&amp;$D164)</f>
        <v/>
      </c>
      <c r="M164" s="9">
        <f>IF($A164="","",VALUE($A164&amp;""))</f>
        <v/>
      </c>
      <c r="N164" s="9">
        <f>IF($A164="","",VALUE(SUBSTITUTE(SUBSTITUTE(SUBSTITUTE(UPPER($F164&amp;""),"Q",""),"분기","")," ","")))</f>
        <v/>
      </c>
      <c r="O164" s="94">
        <f>IF($A164="",0,($G164+$H164)*설정!$C$23)</f>
        <v/>
      </c>
      <c r="P164" s="94">
        <f>IF($A164="",0,$I164*설정!$C$23)</f>
        <v/>
      </c>
      <c r="Q164" s="64">
        <f>IF($A164="","",IF(COUNTIF(변동분석!$E$7:$E$506,L164)&gt;0,"Y","N"))</f>
        <v/>
      </c>
      <c r="R164" s="9">
        <f>IF($A164="","",$D164&amp;"")</f>
        <v/>
      </c>
    </row>
    <row r="165">
      <c r="A165" s="92" t="n">
        <v>2026</v>
      </c>
      <c r="B165" s="92" t="inlineStr">
        <is>
          <t>D600</t>
        </is>
      </c>
      <c r="C165" s="92" t="inlineStr">
        <is>
          <t>영업지원팀</t>
        </is>
      </c>
      <c r="D165" s="92" t="n">
        <v>62102000</v>
      </c>
      <c r="E165" s="92" t="inlineStr">
        <is>
          <t>여비교통비-해외</t>
        </is>
      </c>
      <c r="F165" s="92" t="n">
        <v>1</v>
      </c>
      <c r="G165" s="93" t="n">
        <v>3600000</v>
      </c>
      <c r="H165" s="93" t="n">
        <v>0</v>
      </c>
      <c r="I165" s="93" t="n">
        <v>3084000</v>
      </c>
      <c r="J165" s="93" t="n">
        <v>516000</v>
      </c>
      <c r="L165" s="9">
        <f>IF($A165="","",$B165&amp;"|"&amp;$D165)</f>
        <v/>
      </c>
      <c r="M165" s="9">
        <f>IF($A165="","",VALUE($A165&amp;""))</f>
        <v/>
      </c>
      <c r="N165" s="9">
        <f>IF($A165="","",VALUE(SUBSTITUTE(SUBSTITUTE(SUBSTITUTE(UPPER($F165&amp;""),"Q",""),"분기","")," ","")))</f>
        <v/>
      </c>
      <c r="O165" s="94">
        <f>IF($A165="",0,($G165+$H165)*설정!$C$23)</f>
        <v/>
      </c>
      <c r="P165" s="94">
        <f>IF($A165="",0,$I165*설정!$C$23)</f>
        <v/>
      </c>
      <c r="Q165" s="64">
        <f>IF($A165="","",IF(COUNTIF(변동분석!$E$7:$E$506,L165)&gt;0,"Y","N"))</f>
        <v/>
      </c>
      <c r="R165" s="9">
        <f>IF($A165="","",$D165&amp;"")</f>
        <v/>
      </c>
    </row>
    <row r="166">
      <c r="A166" s="92" t="n">
        <v>2026</v>
      </c>
      <c r="B166" s="92" t="inlineStr">
        <is>
          <t>D600</t>
        </is>
      </c>
      <c r="C166" s="92" t="inlineStr">
        <is>
          <t>영업지원팀</t>
        </is>
      </c>
      <c r="D166" s="92" t="n">
        <v>62102000</v>
      </c>
      <c r="E166" s="92" t="inlineStr">
        <is>
          <t>여비교통비-해외</t>
        </is>
      </c>
      <c r="F166" s="92" t="n">
        <v>2</v>
      </c>
      <c r="G166" s="93" t="n">
        <v>3600000</v>
      </c>
      <c r="H166" s="93" t="n">
        <v>0</v>
      </c>
      <c r="I166" s="93" t="n">
        <v>2977000</v>
      </c>
      <c r="J166" s="93" t="n">
        <v>623000</v>
      </c>
      <c r="L166" s="9">
        <f>IF($A166="","",$B166&amp;"|"&amp;$D166)</f>
        <v/>
      </c>
      <c r="M166" s="9">
        <f>IF($A166="","",VALUE($A166&amp;""))</f>
        <v/>
      </c>
      <c r="N166" s="9">
        <f>IF($A166="","",VALUE(SUBSTITUTE(SUBSTITUTE(SUBSTITUTE(UPPER($F166&amp;""),"Q",""),"분기","")," ","")))</f>
        <v/>
      </c>
      <c r="O166" s="94">
        <f>IF($A166="",0,($G166+$H166)*설정!$C$23)</f>
        <v/>
      </c>
      <c r="P166" s="94">
        <f>IF($A166="",0,$I166*설정!$C$23)</f>
        <v/>
      </c>
      <c r="Q166" s="64">
        <f>IF($A166="","",IF(COUNTIF(변동분석!$E$7:$E$506,L166)&gt;0,"Y","N"))</f>
        <v/>
      </c>
      <c r="R166" s="9">
        <f>IF($A166="","",$D166&amp;"")</f>
        <v/>
      </c>
    </row>
    <row r="167">
      <c r="A167" s="92" t="n">
        <v>2026</v>
      </c>
      <c r="B167" s="92" t="inlineStr">
        <is>
          <t>D600</t>
        </is>
      </c>
      <c r="C167" s="92" t="inlineStr">
        <is>
          <t>영업지원팀</t>
        </is>
      </c>
      <c r="D167" s="92" t="n">
        <v>62102000</v>
      </c>
      <c r="E167" s="92" t="inlineStr">
        <is>
          <t>여비교통비-해외</t>
        </is>
      </c>
      <c r="F167" s="92" t="n">
        <v>3</v>
      </c>
      <c r="G167" s="93" t="n">
        <v>3600000</v>
      </c>
      <c r="H167" s="93" t="n">
        <v>0</v>
      </c>
      <c r="I167" s="93" t="n">
        <v>2896000</v>
      </c>
      <c r="J167" s="93" t="n">
        <v>704000</v>
      </c>
      <c r="L167" s="9">
        <f>IF($A167="","",$B167&amp;"|"&amp;$D167)</f>
        <v/>
      </c>
      <c r="M167" s="9">
        <f>IF($A167="","",VALUE($A167&amp;""))</f>
        <v/>
      </c>
      <c r="N167" s="9">
        <f>IF($A167="","",VALUE(SUBSTITUTE(SUBSTITUTE(SUBSTITUTE(UPPER($F167&amp;""),"Q",""),"분기","")," ","")))</f>
        <v/>
      </c>
      <c r="O167" s="94">
        <f>IF($A167="",0,($G167+$H167)*설정!$C$23)</f>
        <v/>
      </c>
      <c r="P167" s="94">
        <f>IF($A167="",0,$I167*설정!$C$23)</f>
        <v/>
      </c>
      <c r="Q167" s="64">
        <f>IF($A167="","",IF(COUNTIF(변동분석!$E$7:$E$506,L167)&gt;0,"Y","N"))</f>
        <v/>
      </c>
      <c r="R167" s="9">
        <f>IF($A167="","",$D167&amp;"")</f>
        <v/>
      </c>
    </row>
    <row r="168">
      <c r="A168" s="92" t="n">
        <v>2026</v>
      </c>
      <c r="B168" s="92" t="inlineStr">
        <is>
          <t>D600</t>
        </is>
      </c>
      <c r="C168" s="92" t="inlineStr">
        <is>
          <t>영업지원팀</t>
        </is>
      </c>
      <c r="D168" s="92" t="n">
        <v>62102000</v>
      </c>
      <c r="E168" s="92" t="inlineStr">
        <is>
          <t>여비교통비-해외</t>
        </is>
      </c>
      <c r="F168" s="92" t="n">
        <v>4</v>
      </c>
      <c r="G168" s="93" t="n">
        <v>3600000</v>
      </c>
      <c r="H168" s="93" t="n">
        <v>0</v>
      </c>
      <c r="I168" s="93" t="n">
        <v>0</v>
      </c>
      <c r="J168" s="93" t="n">
        <v>3600000</v>
      </c>
      <c r="L168" s="9">
        <f>IF($A168="","",$B168&amp;"|"&amp;$D168)</f>
        <v/>
      </c>
      <c r="M168" s="9">
        <f>IF($A168="","",VALUE($A168&amp;""))</f>
        <v/>
      </c>
      <c r="N168" s="9">
        <f>IF($A168="","",VALUE(SUBSTITUTE(SUBSTITUTE(SUBSTITUTE(UPPER($F168&amp;""),"Q",""),"분기","")," ","")))</f>
        <v/>
      </c>
      <c r="O168" s="94">
        <f>IF($A168="",0,($G168+$H168)*설정!$C$23)</f>
        <v/>
      </c>
      <c r="P168" s="94">
        <f>IF($A168="",0,$I168*설정!$C$23)</f>
        <v/>
      </c>
      <c r="Q168" s="64">
        <f>IF($A168="","",IF(COUNTIF(변동분석!$E$7:$E$506,L168)&gt;0,"Y","N"))</f>
        <v/>
      </c>
      <c r="R168" s="9">
        <f>IF($A168="","",$D168&amp;"")</f>
        <v/>
      </c>
    </row>
    <row r="169">
      <c r="A169" s="92" t="n">
        <v>2026</v>
      </c>
      <c r="B169" s="92" t="inlineStr">
        <is>
          <t>D600</t>
        </is>
      </c>
      <c r="C169" s="92" t="inlineStr">
        <is>
          <t>영업지원팀</t>
        </is>
      </c>
      <c r="D169" s="92" t="n">
        <v>62201000</v>
      </c>
      <c r="E169" s="92" t="inlineStr">
        <is>
          <t>통신비</t>
        </is>
      </c>
      <c r="F169" s="92" t="n">
        <v>1</v>
      </c>
      <c r="G169" s="93" t="n">
        <v>6600000</v>
      </c>
      <c r="H169" s="93" t="n">
        <v>0</v>
      </c>
      <c r="I169" s="93" t="n">
        <v>6060000</v>
      </c>
      <c r="J169" s="93" t="n">
        <v>540000</v>
      </c>
      <c r="L169" s="9">
        <f>IF($A169="","",$B169&amp;"|"&amp;$D169)</f>
        <v/>
      </c>
      <c r="M169" s="9">
        <f>IF($A169="","",VALUE($A169&amp;""))</f>
        <v/>
      </c>
      <c r="N169" s="9">
        <f>IF($A169="","",VALUE(SUBSTITUTE(SUBSTITUTE(SUBSTITUTE(UPPER($F169&amp;""),"Q",""),"분기","")," ","")))</f>
        <v/>
      </c>
      <c r="O169" s="94">
        <f>IF($A169="",0,($G169+$H169)*설정!$C$23)</f>
        <v/>
      </c>
      <c r="P169" s="94">
        <f>IF($A169="",0,$I169*설정!$C$23)</f>
        <v/>
      </c>
      <c r="Q169" s="64">
        <f>IF($A169="","",IF(COUNTIF(변동분석!$E$7:$E$506,L169)&gt;0,"Y","N"))</f>
        <v/>
      </c>
      <c r="R169" s="9">
        <f>IF($A169="","",$D169&amp;"")</f>
        <v/>
      </c>
    </row>
    <row r="170">
      <c r="A170" s="92" t="n">
        <v>2026</v>
      </c>
      <c r="B170" s="92" t="inlineStr">
        <is>
          <t>D600</t>
        </is>
      </c>
      <c r="C170" s="92" t="inlineStr">
        <is>
          <t>영업지원팀</t>
        </is>
      </c>
      <c r="D170" s="92" t="n">
        <v>62201000</v>
      </c>
      <c r="E170" s="92" t="inlineStr">
        <is>
          <t>통신비</t>
        </is>
      </c>
      <c r="F170" s="92" t="n">
        <v>2</v>
      </c>
      <c r="G170" s="93" t="n">
        <v>6600000</v>
      </c>
      <c r="H170" s="93" t="n">
        <v>0</v>
      </c>
      <c r="I170" s="93" t="n">
        <v>5853000</v>
      </c>
      <c r="J170" s="93" t="n">
        <v>747000</v>
      </c>
      <c r="L170" s="9">
        <f>IF($A170="","",$B170&amp;"|"&amp;$D170)</f>
        <v/>
      </c>
      <c r="M170" s="9">
        <f>IF($A170="","",VALUE($A170&amp;""))</f>
        <v/>
      </c>
      <c r="N170" s="9">
        <f>IF($A170="","",VALUE(SUBSTITUTE(SUBSTITUTE(SUBSTITUTE(UPPER($F170&amp;""),"Q",""),"분기","")," ","")))</f>
        <v/>
      </c>
      <c r="O170" s="94">
        <f>IF($A170="",0,($G170+$H170)*설정!$C$23)</f>
        <v/>
      </c>
      <c r="P170" s="94">
        <f>IF($A170="",0,$I170*설정!$C$23)</f>
        <v/>
      </c>
      <c r="Q170" s="64">
        <f>IF($A170="","",IF(COUNTIF(변동분석!$E$7:$E$506,L170)&gt;0,"Y","N"))</f>
        <v/>
      </c>
      <c r="R170" s="9">
        <f>IF($A170="","",$D170&amp;"")</f>
        <v/>
      </c>
    </row>
    <row r="171">
      <c r="A171" s="92" t="n">
        <v>2026</v>
      </c>
      <c r="B171" s="92" t="inlineStr">
        <is>
          <t>D600</t>
        </is>
      </c>
      <c r="C171" s="92" t="inlineStr">
        <is>
          <t>영업지원팀</t>
        </is>
      </c>
      <c r="D171" s="92" t="n">
        <v>62201000</v>
      </c>
      <c r="E171" s="92" t="inlineStr">
        <is>
          <t>통신비</t>
        </is>
      </c>
      <c r="F171" s="92" t="n">
        <v>3</v>
      </c>
      <c r="G171" s="93" t="n">
        <v>6600000</v>
      </c>
      <c r="H171" s="93" t="n">
        <v>0</v>
      </c>
      <c r="I171" s="93" t="n">
        <v>5661000</v>
      </c>
      <c r="J171" s="93" t="n">
        <v>939000</v>
      </c>
      <c r="L171" s="9">
        <f>IF($A171="","",$B171&amp;"|"&amp;$D171)</f>
        <v/>
      </c>
      <c r="M171" s="9">
        <f>IF($A171="","",VALUE($A171&amp;""))</f>
        <v/>
      </c>
      <c r="N171" s="9">
        <f>IF($A171="","",VALUE(SUBSTITUTE(SUBSTITUTE(SUBSTITUTE(UPPER($F171&amp;""),"Q",""),"분기","")," ","")))</f>
        <v/>
      </c>
      <c r="O171" s="94">
        <f>IF($A171="",0,($G171+$H171)*설정!$C$23)</f>
        <v/>
      </c>
      <c r="P171" s="94">
        <f>IF($A171="",0,$I171*설정!$C$23)</f>
        <v/>
      </c>
      <c r="Q171" s="64">
        <f>IF($A171="","",IF(COUNTIF(변동분석!$E$7:$E$506,L171)&gt;0,"Y","N"))</f>
        <v/>
      </c>
      <c r="R171" s="9">
        <f>IF($A171="","",$D171&amp;"")</f>
        <v/>
      </c>
    </row>
    <row r="172">
      <c r="A172" s="92" t="n">
        <v>2026</v>
      </c>
      <c r="B172" s="92" t="inlineStr">
        <is>
          <t>D600</t>
        </is>
      </c>
      <c r="C172" s="92" t="inlineStr">
        <is>
          <t>영업지원팀</t>
        </is>
      </c>
      <c r="D172" s="92" t="n">
        <v>62201000</v>
      </c>
      <c r="E172" s="92" t="inlineStr">
        <is>
          <t>통신비</t>
        </is>
      </c>
      <c r="F172" s="92" t="n">
        <v>4</v>
      </c>
      <c r="G172" s="93" t="n">
        <v>6600000</v>
      </c>
      <c r="H172" s="93" t="n">
        <v>0</v>
      </c>
      <c r="I172" s="93" t="n">
        <v>0</v>
      </c>
      <c r="J172" s="93" t="n">
        <v>6600000</v>
      </c>
      <c r="L172" s="9">
        <f>IF($A172="","",$B172&amp;"|"&amp;$D172)</f>
        <v/>
      </c>
      <c r="M172" s="9">
        <f>IF($A172="","",VALUE($A172&amp;""))</f>
        <v/>
      </c>
      <c r="N172" s="9">
        <f>IF($A172="","",VALUE(SUBSTITUTE(SUBSTITUTE(SUBSTITUTE(UPPER($F172&amp;""),"Q",""),"분기","")," ","")))</f>
        <v/>
      </c>
      <c r="O172" s="94">
        <f>IF($A172="",0,($G172+$H172)*설정!$C$23)</f>
        <v/>
      </c>
      <c r="P172" s="94">
        <f>IF($A172="",0,$I172*설정!$C$23)</f>
        <v/>
      </c>
      <c r="Q172" s="64">
        <f>IF($A172="","",IF(COUNTIF(변동분석!$E$7:$E$506,L172)&gt;0,"Y","N"))</f>
        <v/>
      </c>
      <c r="R172" s="9">
        <f>IF($A172="","",$D172&amp;"")</f>
        <v/>
      </c>
    </row>
    <row r="173">
      <c r="A173" s="92" t="n">
        <v>2026</v>
      </c>
      <c r="B173" s="92" t="inlineStr">
        <is>
          <t>D600</t>
        </is>
      </c>
      <c r="C173" s="92" t="inlineStr">
        <is>
          <t>영업지원팀</t>
        </is>
      </c>
      <c r="D173" s="92" t="n">
        <v>62301000</v>
      </c>
      <c r="E173" s="92" t="inlineStr">
        <is>
          <t>소모품비</t>
        </is>
      </c>
      <c r="F173" s="92" t="n">
        <v>1</v>
      </c>
      <c r="G173" s="93" t="n">
        <v>3600000</v>
      </c>
      <c r="H173" s="93" t="n">
        <v>0</v>
      </c>
      <c r="I173" s="93" t="n">
        <v>2846000</v>
      </c>
      <c r="J173" s="93" t="n">
        <v>754000</v>
      </c>
      <c r="L173" s="9">
        <f>IF($A173="","",$B173&amp;"|"&amp;$D173)</f>
        <v/>
      </c>
      <c r="M173" s="9">
        <f>IF($A173="","",VALUE($A173&amp;""))</f>
        <v/>
      </c>
      <c r="N173" s="9">
        <f>IF($A173="","",VALUE(SUBSTITUTE(SUBSTITUTE(SUBSTITUTE(UPPER($F173&amp;""),"Q",""),"분기","")," ","")))</f>
        <v/>
      </c>
      <c r="O173" s="94">
        <f>IF($A173="",0,($G173+$H173)*설정!$C$23)</f>
        <v/>
      </c>
      <c r="P173" s="94">
        <f>IF($A173="",0,$I173*설정!$C$23)</f>
        <v/>
      </c>
      <c r="Q173" s="64">
        <f>IF($A173="","",IF(COUNTIF(변동분석!$E$7:$E$506,L173)&gt;0,"Y","N"))</f>
        <v/>
      </c>
      <c r="R173" s="9">
        <f>IF($A173="","",$D173&amp;"")</f>
        <v/>
      </c>
    </row>
    <row r="174">
      <c r="A174" s="92" t="n">
        <v>2026</v>
      </c>
      <c r="B174" s="92" t="inlineStr">
        <is>
          <t>D600</t>
        </is>
      </c>
      <c r="C174" s="92" t="inlineStr">
        <is>
          <t>영업지원팀</t>
        </is>
      </c>
      <c r="D174" s="92" t="n">
        <v>62301000</v>
      </c>
      <c r="E174" s="92" t="inlineStr">
        <is>
          <t>소모품비</t>
        </is>
      </c>
      <c r="F174" s="92" t="n">
        <v>2</v>
      </c>
      <c r="G174" s="93" t="n">
        <v>3600000</v>
      </c>
      <c r="H174" s="93" t="n">
        <v>0</v>
      </c>
      <c r="I174" s="93" t="n">
        <v>3186000</v>
      </c>
      <c r="J174" s="93" t="n">
        <v>414000</v>
      </c>
      <c r="L174" s="9">
        <f>IF($A174="","",$B174&amp;"|"&amp;$D174)</f>
        <v/>
      </c>
      <c r="M174" s="9">
        <f>IF($A174="","",VALUE($A174&amp;""))</f>
        <v/>
      </c>
      <c r="N174" s="9">
        <f>IF($A174="","",VALUE(SUBSTITUTE(SUBSTITUTE(SUBSTITUTE(UPPER($F174&amp;""),"Q",""),"분기","")," ","")))</f>
        <v/>
      </c>
      <c r="O174" s="94">
        <f>IF($A174="",0,($G174+$H174)*설정!$C$23)</f>
        <v/>
      </c>
      <c r="P174" s="94">
        <f>IF($A174="",0,$I174*설정!$C$23)</f>
        <v/>
      </c>
      <c r="Q174" s="64">
        <f>IF($A174="","",IF(COUNTIF(변동분석!$E$7:$E$506,L174)&gt;0,"Y","N"))</f>
        <v/>
      </c>
      <c r="R174" s="9">
        <f>IF($A174="","",$D174&amp;"")</f>
        <v/>
      </c>
    </row>
    <row r="175">
      <c r="A175" s="92" t="n">
        <v>2026</v>
      </c>
      <c r="B175" s="92" t="inlineStr">
        <is>
          <t>D600</t>
        </is>
      </c>
      <c r="C175" s="92" t="inlineStr">
        <is>
          <t>영업지원팀</t>
        </is>
      </c>
      <c r="D175" s="92" t="n">
        <v>62301000</v>
      </c>
      <c r="E175" s="92" t="inlineStr">
        <is>
          <t>소모품비</t>
        </is>
      </c>
      <c r="F175" s="92" t="n">
        <v>3</v>
      </c>
      <c r="G175" s="93" t="n">
        <v>3600000</v>
      </c>
      <c r="H175" s="93" t="n">
        <v>0</v>
      </c>
      <c r="I175" s="93" t="n">
        <v>2838000</v>
      </c>
      <c r="J175" s="93" t="n">
        <v>762000</v>
      </c>
      <c r="L175" s="9">
        <f>IF($A175="","",$B175&amp;"|"&amp;$D175)</f>
        <v/>
      </c>
      <c r="M175" s="9">
        <f>IF($A175="","",VALUE($A175&amp;""))</f>
        <v/>
      </c>
      <c r="N175" s="9">
        <f>IF($A175="","",VALUE(SUBSTITUTE(SUBSTITUTE(SUBSTITUTE(UPPER($F175&amp;""),"Q",""),"분기","")," ","")))</f>
        <v/>
      </c>
      <c r="O175" s="94">
        <f>IF($A175="",0,($G175+$H175)*설정!$C$23)</f>
        <v/>
      </c>
      <c r="P175" s="94">
        <f>IF($A175="",0,$I175*설정!$C$23)</f>
        <v/>
      </c>
      <c r="Q175" s="64">
        <f>IF($A175="","",IF(COUNTIF(변동분석!$E$7:$E$506,L175)&gt;0,"Y","N"))</f>
        <v/>
      </c>
      <c r="R175" s="9">
        <f>IF($A175="","",$D175&amp;"")</f>
        <v/>
      </c>
    </row>
    <row r="176">
      <c r="A176" s="92" t="n">
        <v>2026</v>
      </c>
      <c r="B176" s="92" t="inlineStr">
        <is>
          <t>D600</t>
        </is>
      </c>
      <c r="C176" s="92" t="inlineStr">
        <is>
          <t>영업지원팀</t>
        </is>
      </c>
      <c r="D176" s="92" t="n">
        <v>62301000</v>
      </c>
      <c r="E176" s="92" t="inlineStr">
        <is>
          <t>소모품비</t>
        </is>
      </c>
      <c r="F176" s="92" t="n">
        <v>4</v>
      </c>
      <c r="G176" s="93" t="n">
        <v>3600000</v>
      </c>
      <c r="H176" s="93" t="n">
        <v>0</v>
      </c>
      <c r="I176" s="93" t="n">
        <v>0</v>
      </c>
      <c r="J176" s="93" t="n">
        <v>3600000</v>
      </c>
      <c r="L176" s="9">
        <f>IF($A176="","",$B176&amp;"|"&amp;$D176)</f>
        <v/>
      </c>
      <c r="M176" s="9">
        <f>IF($A176="","",VALUE($A176&amp;""))</f>
        <v/>
      </c>
      <c r="N176" s="9">
        <f>IF($A176="","",VALUE(SUBSTITUTE(SUBSTITUTE(SUBSTITUTE(UPPER($F176&amp;""),"Q",""),"분기","")," ","")))</f>
        <v/>
      </c>
      <c r="O176" s="94">
        <f>IF($A176="",0,($G176+$H176)*설정!$C$23)</f>
        <v/>
      </c>
      <c r="P176" s="94">
        <f>IF($A176="",0,$I176*설정!$C$23)</f>
        <v/>
      </c>
      <c r="Q176" s="64">
        <f>IF($A176="","",IF(COUNTIF(변동분석!$E$7:$E$506,L176)&gt;0,"Y","N"))</f>
        <v/>
      </c>
      <c r="R176" s="9">
        <f>IF($A176="","",$D176&amp;"")</f>
        <v/>
      </c>
    </row>
    <row r="177">
      <c r="A177" s="92" t="n">
        <v>2026</v>
      </c>
      <c r="B177" s="92" t="inlineStr">
        <is>
          <t>D600</t>
        </is>
      </c>
      <c r="C177" s="92" t="inlineStr">
        <is>
          <t>영업지원팀</t>
        </is>
      </c>
      <c r="D177" s="92" t="n">
        <v>62501000</v>
      </c>
      <c r="E177" s="92" t="inlineStr">
        <is>
          <t>회의비</t>
        </is>
      </c>
      <c r="F177" s="92" t="n">
        <v>1</v>
      </c>
      <c r="G177" s="93" t="n">
        <v>4500000</v>
      </c>
      <c r="H177" s="93" t="n">
        <v>0</v>
      </c>
      <c r="I177" s="93" t="n">
        <v>3898000</v>
      </c>
      <c r="J177" s="93" t="n">
        <v>602000</v>
      </c>
      <c r="L177" s="9">
        <f>IF($A177="","",$B177&amp;"|"&amp;$D177)</f>
        <v/>
      </c>
      <c r="M177" s="9">
        <f>IF($A177="","",VALUE($A177&amp;""))</f>
        <v/>
      </c>
      <c r="N177" s="9">
        <f>IF($A177="","",VALUE(SUBSTITUTE(SUBSTITUTE(SUBSTITUTE(UPPER($F177&amp;""),"Q",""),"분기","")," ","")))</f>
        <v/>
      </c>
      <c r="O177" s="94">
        <f>IF($A177="",0,($G177+$H177)*설정!$C$23)</f>
        <v/>
      </c>
      <c r="P177" s="94">
        <f>IF($A177="",0,$I177*설정!$C$23)</f>
        <v/>
      </c>
      <c r="Q177" s="64">
        <f>IF($A177="","",IF(COUNTIF(변동분석!$E$7:$E$506,L177)&gt;0,"Y","N"))</f>
        <v/>
      </c>
      <c r="R177" s="9">
        <f>IF($A177="","",$D177&amp;"")</f>
        <v/>
      </c>
    </row>
    <row r="178">
      <c r="A178" s="92" t="n">
        <v>2026</v>
      </c>
      <c r="B178" s="92" t="inlineStr">
        <is>
          <t>D600</t>
        </is>
      </c>
      <c r="C178" s="92" t="inlineStr">
        <is>
          <t>영업지원팀</t>
        </is>
      </c>
      <c r="D178" s="92" t="n">
        <v>62501000</v>
      </c>
      <c r="E178" s="92" t="inlineStr">
        <is>
          <t>회의비</t>
        </is>
      </c>
      <c r="F178" s="92" t="n">
        <v>2</v>
      </c>
      <c r="G178" s="93" t="n">
        <v>4500000</v>
      </c>
      <c r="H178" s="93" t="n">
        <v>0</v>
      </c>
      <c r="I178" s="93" t="n">
        <v>3938000</v>
      </c>
      <c r="J178" s="93" t="n">
        <v>562000</v>
      </c>
      <c r="L178" s="9">
        <f>IF($A178="","",$B178&amp;"|"&amp;$D178)</f>
        <v/>
      </c>
      <c r="M178" s="9">
        <f>IF($A178="","",VALUE($A178&amp;""))</f>
        <v/>
      </c>
      <c r="N178" s="9">
        <f>IF($A178="","",VALUE(SUBSTITUTE(SUBSTITUTE(SUBSTITUTE(UPPER($F178&amp;""),"Q",""),"분기","")," ","")))</f>
        <v/>
      </c>
      <c r="O178" s="94">
        <f>IF($A178="",0,($G178+$H178)*설정!$C$23)</f>
        <v/>
      </c>
      <c r="P178" s="94">
        <f>IF($A178="",0,$I178*설정!$C$23)</f>
        <v/>
      </c>
      <c r="Q178" s="64">
        <f>IF($A178="","",IF(COUNTIF(변동분석!$E$7:$E$506,L178)&gt;0,"Y","N"))</f>
        <v/>
      </c>
      <c r="R178" s="9">
        <f>IF($A178="","",$D178&amp;"")</f>
        <v/>
      </c>
    </row>
    <row r="179">
      <c r="A179" s="92" t="n">
        <v>2026</v>
      </c>
      <c r="B179" s="92" t="inlineStr">
        <is>
          <t>D600</t>
        </is>
      </c>
      <c r="C179" s="92" t="inlineStr">
        <is>
          <t>영업지원팀</t>
        </is>
      </c>
      <c r="D179" s="92" t="n">
        <v>62501000</v>
      </c>
      <c r="E179" s="92" t="inlineStr">
        <is>
          <t>회의비</t>
        </is>
      </c>
      <c r="F179" s="92" t="n">
        <v>3</v>
      </c>
      <c r="G179" s="93" t="n">
        <v>4500000</v>
      </c>
      <c r="H179" s="93" t="n">
        <v>0</v>
      </c>
      <c r="I179" s="93" t="n">
        <v>3802000</v>
      </c>
      <c r="J179" s="93" t="n">
        <v>698000</v>
      </c>
      <c r="L179" s="9">
        <f>IF($A179="","",$B179&amp;"|"&amp;$D179)</f>
        <v/>
      </c>
      <c r="M179" s="9">
        <f>IF($A179="","",VALUE($A179&amp;""))</f>
        <v/>
      </c>
      <c r="N179" s="9">
        <f>IF($A179="","",VALUE(SUBSTITUTE(SUBSTITUTE(SUBSTITUTE(UPPER($F179&amp;""),"Q",""),"분기","")," ","")))</f>
        <v/>
      </c>
      <c r="O179" s="94">
        <f>IF($A179="",0,($G179+$H179)*설정!$C$23)</f>
        <v/>
      </c>
      <c r="P179" s="94">
        <f>IF($A179="",0,$I179*설정!$C$23)</f>
        <v/>
      </c>
      <c r="Q179" s="64">
        <f>IF($A179="","",IF(COUNTIF(변동분석!$E$7:$E$506,L179)&gt;0,"Y","N"))</f>
        <v/>
      </c>
      <c r="R179" s="9">
        <f>IF($A179="","",$D179&amp;"")</f>
        <v/>
      </c>
    </row>
    <row r="180">
      <c r="A180" s="92" t="n">
        <v>2026</v>
      </c>
      <c r="B180" s="92" t="inlineStr">
        <is>
          <t>D600</t>
        </is>
      </c>
      <c r="C180" s="92" t="inlineStr">
        <is>
          <t>영업지원팀</t>
        </is>
      </c>
      <c r="D180" s="92" t="n">
        <v>62501000</v>
      </c>
      <c r="E180" s="92" t="inlineStr">
        <is>
          <t>회의비</t>
        </is>
      </c>
      <c r="F180" s="92" t="n">
        <v>4</v>
      </c>
      <c r="G180" s="93" t="n">
        <v>4500000</v>
      </c>
      <c r="H180" s="93" t="n">
        <v>0</v>
      </c>
      <c r="I180" s="93" t="n">
        <v>0</v>
      </c>
      <c r="J180" s="93" t="n">
        <v>4500000</v>
      </c>
      <c r="L180" s="9">
        <f>IF($A180="","",$B180&amp;"|"&amp;$D180)</f>
        <v/>
      </c>
      <c r="M180" s="9">
        <f>IF($A180="","",VALUE($A180&amp;""))</f>
        <v/>
      </c>
      <c r="N180" s="9">
        <f>IF($A180="","",VALUE(SUBSTITUTE(SUBSTITUTE(SUBSTITUTE(UPPER($F180&amp;""),"Q",""),"분기","")," ","")))</f>
        <v/>
      </c>
      <c r="O180" s="94">
        <f>IF($A180="",0,($G180+$H180)*설정!$C$23)</f>
        <v/>
      </c>
      <c r="P180" s="94">
        <f>IF($A180="",0,$I180*설정!$C$23)</f>
        <v/>
      </c>
      <c r="Q180" s="64">
        <f>IF($A180="","",IF(COUNTIF(변동분석!$E$7:$E$506,L180)&gt;0,"Y","N"))</f>
        <v/>
      </c>
      <c r="R180" s="9">
        <f>IF($A180="","",$D180&amp;"")</f>
        <v/>
      </c>
    </row>
    <row r="181">
      <c r="A181" s="92" t="n">
        <v>2026</v>
      </c>
      <c r="B181" s="92" t="inlineStr">
        <is>
          <t>D600</t>
        </is>
      </c>
      <c r="C181" s="92" t="inlineStr">
        <is>
          <t>영업지원팀</t>
        </is>
      </c>
      <c r="D181" s="92" t="n">
        <v>62601000</v>
      </c>
      <c r="E181" s="92" t="inlineStr">
        <is>
          <t>업무추진비</t>
        </is>
      </c>
      <c r="F181" s="92" t="n">
        <v>1</v>
      </c>
      <c r="G181" s="93" t="n">
        <v>10500000</v>
      </c>
      <c r="H181" s="93" t="n">
        <v>0</v>
      </c>
      <c r="I181" s="93" t="n">
        <v>9242000</v>
      </c>
      <c r="J181" s="93" t="n">
        <v>1258000</v>
      </c>
      <c r="L181" s="9">
        <f>IF($A181="","",$B181&amp;"|"&amp;$D181)</f>
        <v/>
      </c>
      <c r="M181" s="9">
        <f>IF($A181="","",VALUE($A181&amp;""))</f>
        <v/>
      </c>
      <c r="N181" s="9">
        <f>IF($A181="","",VALUE(SUBSTITUTE(SUBSTITUTE(SUBSTITUTE(UPPER($F181&amp;""),"Q",""),"분기","")," ","")))</f>
        <v/>
      </c>
      <c r="O181" s="94">
        <f>IF($A181="",0,($G181+$H181)*설정!$C$23)</f>
        <v/>
      </c>
      <c r="P181" s="94">
        <f>IF($A181="",0,$I181*설정!$C$23)</f>
        <v/>
      </c>
      <c r="Q181" s="64">
        <f>IF($A181="","",IF(COUNTIF(변동분석!$E$7:$E$506,L181)&gt;0,"Y","N"))</f>
        <v/>
      </c>
      <c r="R181" s="9">
        <f>IF($A181="","",$D181&amp;"")</f>
        <v/>
      </c>
    </row>
    <row r="182">
      <c r="A182" s="92" t="n">
        <v>2026</v>
      </c>
      <c r="B182" s="92" t="inlineStr">
        <is>
          <t>D600</t>
        </is>
      </c>
      <c r="C182" s="92" t="inlineStr">
        <is>
          <t>영업지원팀</t>
        </is>
      </c>
      <c r="D182" s="92" t="n">
        <v>62601000</v>
      </c>
      <c r="E182" s="92" t="inlineStr">
        <is>
          <t>업무추진비</t>
        </is>
      </c>
      <c r="F182" s="92" t="n">
        <v>2</v>
      </c>
      <c r="G182" s="93" t="n">
        <v>10500000</v>
      </c>
      <c r="H182" s="93" t="n">
        <v>0</v>
      </c>
      <c r="I182" s="93" t="n">
        <v>9437000</v>
      </c>
      <c r="J182" s="93" t="n">
        <v>1063000</v>
      </c>
      <c r="L182" s="9">
        <f>IF($A182="","",$B182&amp;"|"&amp;$D182)</f>
        <v/>
      </c>
      <c r="M182" s="9">
        <f>IF($A182="","",VALUE($A182&amp;""))</f>
        <v/>
      </c>
      <c r="N182" s="9">
        <f>IF($A182="","",VALUE(SUBSTITUTE(SUBSTITUTE(SUBSTITUTE(UPPER($F182&amp;""),"Q",""),"분기","")," ","")))</f>
        <v/>
      </c>
      <c r="O182" s="94">
        <f>IF($A182="",0,($G182+$H182)*설정!$C$23)</f>
        <v/>
      </c>
      <c r="P182" s="94">
        <f>IF($A182="",0,$I182*설정!$C$23)</f>
        <v/>
      </c>
      <c r="Q182" s="64">
        <f>IF($A182="","",IF(COUNTIF(변동분석!$E$7:$E$506,L182)&gt;0,"Y","N"))</f>
        <v/>
      </c>
      <c r="R182" s="9">
        <f>IF($A182="","",$D182&amp;"")</f>
        <v/>
      </c>
    </row>
    <row r="183">
      <c r="A183" s="92" t="n">
        <v>2026</v>
      </c>
      <c r="B183" s="92" t="inlineStr">
        <is>
          <t>D600</t>
        </is>
      </c>
      <c r="C183" s="92" t="inlineStr">
        <is>
          <t>영업지원팀</t>
        </is>
      </c>
      <c r="D183" s="92" t="n">
        <v>62601000</v>
      </c>
      <c r="E183" s="92" t="inlineStr">
        <is>
          <t>업무추진비</t>
        </is>
      </c>
      <c r="F183" s="92" t="n">
        <v>3</v>
      </c>
      <c r="G183" s="93" t="n">
        <v>10500000</v>
      </c>
      <c r="H183" s="93" t="n">
        <v>0</v>
      </c>
      <c r="I183" s="93" t="n">
        <v>9129000</v>
      </c>
      <c r="J183" s="93" t="n">
        <v>1371000</v>
      </c>
      <c r="L183" s="9">
        <f>IF($A183="","",$B183&amp;"|"&amp;$D183)</f>
        <v/>
      </c>
      <c r="M183" s="9">
        <f>IF($A183="","",VALUE($A183&amp;""))</f>
        <v/>
      </c>
      <c r="N183" s="9">
        <f>IF($A183="","",VALUE(SUBSTITUTE(SUBSTITUTE(SUBSTITUTE(UPPER($F183&amp;""),"Q",""),"분기","")," ","")))</f>
        <v/>
      </c>
      <c r="O183" s="94">
        <f>IF($A183="",0,($G183+$H183)*설정!$C$23)</f>
        <v/>
      </c>
      <c r="P183" s="94">
        <f>IF($A183="",0,$I183*설정!$C$23)</f>
        <v/>
      </c>
      <c r="Q183" s="64">
        <f>IF($A183="","",IF(COUNTIF(변동분석!$E$7:$E$506,L183)&gt;0,"Y","N"))</f>
        <v/>
      </c>
      <c r="R183" s="9">
        <f>IF($A183="","",$D183&amp;"")</f>
        <v/>
      </c>
    </row>
    <row r="184">
      <c r="A184" s="92" t="n">
        <v>2026</v>
      </c>
      <c r="B184" s="92" t="inlineStr">
        <is>
          <t>D600</t>
        </is>
      </c>
      <c r="C184" s="92" t="inlineStr">
        <is>
          <t>영업지원팀</t>
        </is>
      </c>
      <c r="D184" s="92" t="n">
        <v>62601000</v>
      </c>
      <c r="E184" s="92" t="inlineStr">
        <is>
          <t>업무추진비</t>
        </is>
      </c>
      <c r="F184" s="92" t="n">
        <v>4</v>
      </c>
      <c r="G184" s="93" t="n">
        <v>10500000</v>
      </c>
      <c r="H184" s="93" t="n">
        <v>0</v>
      </c>
      <c r="I184" s="93" t="n">
        <v>0</v>
      </c>
      <c r="J184" s="93" t="n">
        <v>10500000</v>
      </c>
      <c r="L184" s="9">
        <f>IF($A184="","",$B184&amp;"|"&amp;$D184)</f>
        <v/>
      </c>
      <c r="M184" s="9">
        <f>IF($A184="","",VALUE($A184&amp;""))</f>
        <v/>
      </c>
      <c r="N184" s="9">
        <f>IF($A184="","",VALUE(SUBSTITUTE(SUBSTITUTE(SUBSTITUTE(UPPER($F184&amp;""),"Q",""),"분기","")," ","")))</f>
        <v/>
      </c>
      <c r="O184" s="94">
        <f>IF($A184="",0,($G184+$H184)*설정!$C$23)</f>
        <v/>
      </c>
      <c r="P184" s="94">
        <f>IF($A184="",0,$I184*설정!$C$23)</f>
        <v/>
      </c>
      <c r="Q184" s="64">
        <f>IF($A184="","",IF(COUNTIF(변동분석!$E$7:$E$506,L184)&gt;0,"Y","N"))</f>
        <v/>
      </c>
      <c r="R184" s="9">
        <f>IF($A184="","",$D184&amp;"")</f>
        <v/>
      </c>
    </row>
    <row r="185">
      <c r="A185" s="92" t="n">
        <v>2026</v>
      </c>
      <c r="B185" s="92" t="inlineStr">
        <is>
          <t>D600</t>
        </is>
      </c>
      <c r="C185" s="92" t="inlineStr">
        <is>
          <t>영업지원팀</t>
        </is>
      </c>
      <c r="D185" s="92" t="n">
        <v>63101000</v>
      </c>
      <c r="E185" s="92" t="inlineStr">
        <is>
          <t>임차료</t>
        </is>
      </c>
      <c r="F185" s="92" t="n">
        <v>1</v>
      </c>
      <c r="G185" s="93" t="n">
        <v>54000000</v>
      </c>
      <c r="H185" s="93" t="n">
        <v>0</v>
      </c>
      <c r="I185" s="93" t="n">
        <v>46685000</v>
      </c>
      <c r="J185" s="93" t="n">
        <v>7315000</v>
      </c>
      <c r="L185" s="9">
        <f>IF($A185="","",$B185&amp;"|"&amp;$D185)</f>
        <v/>
      </c>
      <c r="M185" s="9">
        <f>IF($A185="","",VALUE($A185&amp;""))</f>
        <v/>
      </c>
      <c r="N185" s="9">
        <f>IF($A185="","",VALUE(SUBSTITUTE(SUBSTITUTE(SUBSTITUTE(UPPER($F185&amp;""),"Q",""),"분기","")," ","")))</f>
        <v/>
      </c>
      <c r="O185" s="94">
        <f>IF($A185="",0,($G185+$H185)*설정!$C$23)</f>
        <v/>
      </c>
      <c r="P185" s="94">
        <f>IF($A185="",0,$I185*설정!$C$23)</f>
        <v/>
      </c>
      <c r="Q185" s="64">
        <f>IF($A185="","",IF(COUNTIF(변동분석!$E$7:$E$506,L185)&gt;0,"Y","N"))</f>
        <v/>
      </c>
      <c r="R185" s="9">
        <f>IF($A185="","",$D185&amp;"")</f>
        <v/>
      </c>
    </row>
    <row r="186">
      <c r="A186" s="92" t="n">
        <v>2026</v>
      </c>
      <c r="B186" s="92" t="inlineStr">
        <is>
          <t>D600</t>
        </is>
      </c>
      <c r="C186" s="92" t="inlineStr">
        <is>
          <t>영업지원팀</t>
        </is>
      </c>
      <c r="D186" s="92" t="n">
        <v>63101000</v>
      </c>
      <c r="E186" s="92" t="inlineStr">
        <is>
          <t>임차료</t>
        </is>
      </c>
      <c r="F186" s="92" t="n">
        <v>2</v>
      </c>
      <c r="G186" s="93" t="n">
        <v>54000000</v>
      </c>
      <c r="H186" s="93" t="n">
        <v>0</v>
      </c>
      <c r="I186" s="93" t="n">
        <v>46937000</v>
      </c>
      <c r="J186" s="93" t="n">
        <v>7063000</v>
      </c>
      <c r="L186" s="9">
        <f>IF($A186="","",$B186&amp;"|"&amp;$D186)</f>
        <v/>
      </c>
      <c r="M186" s="9">
        <f>IF($A186="","",VALUE($A186&amp;""))</f>
        <v/>
      </c>
      <c r="N186" s="9">
        <f>IF($A186="","",VALUE(SUBSTITUTE(SUBSTITUTE(SUBSTITUTE(UPPER($F186&amp;""),"Q",""),"분기","")," ","")))</f>
        <v/>
      </c>
      <c r="O186" s="94">
        <f>IF($A186="",0,($G186+$H186)*설정!$C$23)</f>
        <v/>
      </c>
      <c r="P186" s="94">
        <f>IF($A186="",0,$I186*설정!$C$23)</f>
        <v/>
      </c>
      <c r="Q186" s="64">
        <f>IF($A186="","",IF(COUNTIF(변동분석!$E$7:$E$506,L186)&gt;0,"Y","N"))</f>
        <v/>
      </c>
      <c r="R186" s="9">
        <f>IF($A186="","",$D186&amp;"")</f>
        <v/>
      </c>
    </row>
    <row r="187">
      <c r="A187" s="92" t="n">
        <v>2026</v>
      </c>
      <c r="B187" s="92" t="inlineStr">
        <is>
          <t>D600</t>
        </is>
      </c>
      <c r="C187" s="92" t="inlineStr">
        <is>
          <t>영업지원팀</t>
        </is>
      </c>
      <c r="D187" s="92" t="n">
        <v>63101000</v>
      </c>
      <c r="E187" s="92" t="inlineStr">
        <is>
          <t>임차료</t>
        </is>
      </c>
      <c r="F187" s="92" t="n">
        <v>3</v>
      </c>
      <c r="G187" s="93" t="n">
        <v>54000000</v>
      </c>
      <c r="H187" s="93" t="n">
        <v>0</v>
      </c>
      <c r="I187" s="93" t="n">
        <v>44685000</v>
      </c>
      <c r="J187" s="93" t="n">
        <v>9315000</v>
      </c>
      <c r="L187" s="9">
        <f>IF($A187="","",$B187&amp;"|"&amp;$D187)</f>
        <v/>
      </c>
      <c r="M187" s="9">
        <f>IF($A187="","",VALUE($A187&amp;""))</f>
        <v/>
      </c>
      <c r="N187" s="9">
        <f>IF($A187="","",VALUE(SUBSTITUTE(SUBSTITUTE(SUBSTITUTE(UPPER($F187&amp;""),"Q",""),"분기","")," ","")))</f>
        <v/>
      </c>
      <c r="O187" s="94">
        <f>IF($A187="",0,($G187+$H187)*설정!$C$23)</f>
        <v/>
      </c>
      <c r="P187" s="94">
        <f>IF($A187="",0,$I187*설정!$C$23)</f>
        <v/>
      </c>
      <c r="Q187" s="64">
        <f>IF($A187="","",IF(COUNTIF(변동분석!$E$7:$E$506,L187)&gt;0,"Y","N"))</f>
        <v/>
      </c>
      <c r="R187" s="9">
        <f>IF($A187="","",$D187&amp;"")</f>
        <v/>
      </c>
    </row>
    <row r="188">
      <c r="A188" s="92" t="n">
        <v>2026</v>
      </c>
      <c r="B188" s="92" t="inlineStr">
        <is>
          <t>D600</t>
        </is>
      </c>
      <c r="C188" s="92" t="inlineStr">
        <is>
          <t>영업지원팀</t>
        </is>
      </c>
      <c r="D188" s="92" t="n">
        <v>63101000</v>
      </c>
      <c r="E188" s="92" t="inlineStr">
        <is>
          <t>임차료</t>
        </is>
      </c>
      <c r="F188" s="92" t="n">
        <v>4</v>
      </c>
      <c r="G188" s="93" t="n">
        <v>54000000</v>
      </c>
      <c r="H188" s="93" t="n">
        <v>0</v>
      </c>
      <c r="I188" s="93" t="n">
        <v>0</v>
      </c>
      <c r="J188" s="93" t="n">
        <v>54000000</v>
      </c>
      <c r="L188" s="9">
        <f>IF($A188="","",$B188&amp;"|"&amp;$D188)</f>
        <v/>
      </c>
      <c r="M188" s="9">
        <f>IF($A188="","",VALUE($A188&amp;""))</f>
        <v/>
      </c>
      <c r="N188" s="9">
        <f>IF($A188="","",VALUE(SUBSTITUTE(SUBSTITUTE(SUBSTITUTE(UPPER($F188&amp;""),"Q",""),"분기","")," ","")))</f>
        <v/>
      </c>
      <c r="O188" s="94">
        <f>IF($A188="",0,($G188+$H188)*설정!$C$23)</f>
        <v/>
      </c>
      <c r="P188" s="94">
        <f>IF($A188="",0,$I188*설정!$C$23)</f>
        <v/>
      </c>
      <c r="Q188" s="64">
        <f>IF($A188="","",IF(COUNTIF(변동분석!$E$7:$E$506,L188)&gt;0,"Y","N"))</f>
        <v/>
      </c>
      <c r="R188" s="9">
        <f>IF($A188="","",$D188&amp;"")</f>
        <v/>
      </c>
    </row>
    <row r="189">
      <c r="A189" s="92" t="n">
        <v>2026</v>
      </c>
      <c r="B189" s="92" t="inlineStr">
        <is>
          <t>D600</t>
        </is>
      </c>
      <c r="C189" s="92" t="inlineStr">
        <is>
          <t>영업지원팀</t>
        </is>
      </c>
      <c r="D189" s="92" t="n">
        <v>63201000</v>
      </c>
      <c r="E189" s="92" t="inlineStr">
        <is>
          <t>차량유지비</t>
        </is>
      </c>
      <c r="F189" s="92" t="n">
        <v>1</v>
      </c>
      <c r="G189" s="93" t="n">
        <v>24000000</v>
      </c>
      <c r="H189" s="93" t="n">
        <v>0</v>
      </c>
      <c r="I189" s="93" t="n">
        <v>23995000</v>
      </c>
      <c r="J189" s="93" t="n">
        <v>5000</v>
      </c>
      <c r="L189" s="9">
        <f>IF($A189="","",$B189&amp;"|"&amp;$D189)</f>
        <v/>
      </c>
      <c r="M189" s="9">
        <f>IF($A189="","",VALUE($A189&amp;""))</f>
        <v/>
      </c>
      <c r="N189" s="9">
        <f>IF($A189="","",VALUE(SUBSTITUTE(SUBSTITUTE(SUBSTITUTE(UPPER($F189&amp;""),"Q",""),"분기","")," ","")))</f>
        <v/>
      </c>
      <c r="O189" s="94">
        <f>IF($A189="",0,($G189+$H189)*설정!$C$23)</f>
        <v/>
      </c>
      <c r="P189" s="94">
        <f>IF($A189="",0,$I189*설정!$C$23)</f>
        <v/>
      </c>
      <c r="Q189" s="64">
        <f>IF($A189="","",IF(COUNTIF(변동분석!$E$7:$E$506,L189)&gt;0,"Y","N"))</f>
        <v/>
      </c>
      <c r="R189" s="9">
        <f>IF($A189="","",$D189&amp;"")</f>
        <v/>
      </c>
    </row>
    <row r="190">
      <c r="A190" s="92" t="n">
        <v>2026</v>
      </c>
      <c r="B190" s="92" t="inlineStr">
        <is>
          <t>D600</t>
        </is>
      </c>
      <c r="C190" s="92" t="inlineStr">
        <is>
          <t>영업지원팀</t>
        </is>
      </c>
      <c r="D190" s="92" t="n">
        <v>63201000</v>
      </c>
      <c r="E190" s="92" t="inlineStr">
        <is>
          <t>차량유지비</t>
        </is>
      </c>
      <c r="F190" s="92" t="n">
        <v>2</v>
      </c>
      <c r="G190" s="93" t="n">
        <v>24000000</v>
      </c>
      <c r="H190" s="93" t="n">
        <v>0</v>
      </c>
      <c r="I190" s="93" t="n">
        <v>23621000</v>
      </c>
      <c r="J190" s="93" t="n">
        <v>379000</v>
      </c>
      <c r="L190" s="9">
        <f>IF($A190="","",$B190&amp;"|"&amp;$D190)</f>
        <v/>
      </c>
      <c r="M190" s="9">
        <f>IF($A190="","",VALUE($A190&amp;""))</f>
        <v/>
      </c>
      <c r="N190" s="9">
        <f>IF($A190="","",VALUE(SUBSTITUTE(SUBSTITUTE(SUBSTITUTE(UPPER($F190&amp;""),"Q",""),"분기","")," ","")))</f>
        <v/>
      </c>
      <c r="O190" s="94">
        <f>IF($A190="",0,($G190+$H190)*설정!$C$23)</f>
        <v/>
      </c>
      <c r="P190" s="94">
        <f>IF($A190="",0,$I190*설정!$C$23)</f>
        <v/>
      </c>
      <c r="Q190" s="64">
        <f>IF($A190="","",IF(COUNTIF(변동분석!$E$7:$E$506,L190)&gt;0,"Y","N"))</f>
        <v/>
      </c>
      <c r="R190" s="9">
        <f>IF($A190="","",$D190&amp;"")</f>
        <v/>
      </c>
    </row>
    <row r="191">
      <c r="A191" s="92" t="n">
        <v>2026</v>
      </c>
      <c r="B191" s="92" t="inlineStr">
        <is>
          <t>D600</t>
        </is>
      </c>
      <c r="C191" s="92" t="inlineStr">
        <is>
          <t>영업지원팀</t>
        </is>
      </c>
      <c r="D191" s="92" t="n">
        <v>63201000</v>
      </c>
      <c r="E191" s="92" t="inlineStr">
        <is>
          <t>차량유지비</t>
        </is>
      </c>
      <c r="F191" s="92" t="n">
        <v>3</v>
      </c>
      <c r="G191" s="93" t="n">
        <v>24000000</v>
      </c>
      <c r="H191" s="93" t="n">
        <v>0</v>
      </c>
      <c r="I191" s="93" t="n">
        <v>24122000</v>
      </c>
      <c r="J191" s="93" t="n">
        <v>-122000</v>
      </c>
      <c r="L191" s="9">
        <f>IF($A191="","",$B191&amp;"|"&amp;$D191)</f>
        <v/>
      </c>
      <c r="M191" s="9">
        <f>IF($A191="","",VALUE($A191&amp;""))</f>
        <v/>
      </c>
      <c r="N191" s="9">
        <f>IF($A191="","",VALUE(SUBSTITUTE(SUBSTITUTE(SUBSTITUTE(UPPER($F191&amp;""),"Q",""),"분기","")," ","")))</f>
        <v/>
      </c>
      <c r="O191" s="94">
        <f>IF($A191="",0,($G191+$H191)*설정!$C$23)</f>
        <v/>
      </c>
      <c r="P191" s="94">
        <f>IF($A191="",0,$I191*설정!$C$23)</f>
        <v/>
      </c>
      <c r="Q191" s="64">
        <f>IF($A191="","",IF(COUNTIF(변동분석!$E$7:$E$506,L191)&gt;0,"Y","N"))</f>
        <v/>
      </c>
      <c r="R191" s="9">
        <f>IF($A191="","",$D191&amp;"")</f>
        <v/>
      </c>
    </row>
    <row r="192">
      <c r="A192" s="92" t="n">
        <v>2026</v>
      </c>
      <c r="B192" s="92" t="inlineStr">
        <is>
          <t>D600</t>
        </is>
      </c>
      <c r="C192" s="92" t="inlineStr">
        <is>
          <t>영업지원팀</t>
        </is>
      </c>
      <c r="D192" s="92" t="n">
        <v>63201000</v>
      </c>
      <c r="E192" s="92" t="inlineStr">
        <is>
          <t>차량유지비</t>
        </is>
      </c>
      <c r="F192" s="92" t="n">
        <v>4</v>
      </c>
      <c r="G192" s="93" t="n">
        <v>24000000</v>
      </c>
      <c r="H192" s="93" t="n">
        <v>0</v>
      </c>
      <c r="I192" s="93" t="n">
        <v>0</v>
      </c>
      <c r="J192" s="93" t="n">
        <v>24000000</v>
      </c>
      <c r="L192" s="9">
        <f>IF($A192="","",$B192&amp;"|"&amp;$D192)</f>
        <v/>
      </c>
      <c r="M192" s="9">
        <f>IF($A192="","",VALUE($A192&amp;""))</f>
        <v/>
      </c>
      <c r="N192" s="9">
        <f>IF($A192="","",VALUE(SUBSTITUTE(SUBSTITUTE(SUBSTITUTE(UPPER($F192&amp;""),"Q",""),"분기","")," ","")))</f>
        <v/>
      </c>
      <c r="O192" s="94">
        <f>IF($A192="",0,($G192+$H192)*설정!$C$23)</f>
        <v/>
      </c>
      <c r="P192" s="94">
        <f>IF($A192="",0,$I192*설정!$C$23)</f>
        <v/>
      </c>
      <c r="Q192" s="64">
        <f>IF($A192="","",IF(COUNTIF(변동분석!$E$7:$E$506,L192)&gt;0,"Y","N"))</f>
        <v/>
      </c>
      <c r="R192" s="9">
        <f>IF($A192="","",$D192&amp;"")</f>
        <v/>
      </c>
    </row>
    <row r="193">
      <c r="A193" s="92" t="n">
        <v>2026</v>
      </c>
      <c r="B193" s="92" t="inlineStr">
        <is>
          <t>D700</t>
        </is>
      </c>
      <c r="C193" s="92" t="inlineStr">
        <is>
          <t>IT운영팀</t>
        </is>
      </c>
      <c r="D193" s="92" t="n">
        <v>62101000</v>
      </c>
      <c r="E193" s="92" t="inlineStr">
        <is>
          <t>여비교통비-국내</t>
        </is>
      </c>
      <c r="F193" s="92" t="n">
        <v>1</v>
      </c>
      <c r="G193" s="93" t="n">
        <v>3060000</v>
      </c>
      <c r="H193" s="93" t="n">
        <v>0</v>
      </c>
      <c r="I193" s="93" t="n">
        <v>2607000</v>
      </c>
      <c r="J193" s="93" t="n">
        <v>453000</v>
      </c>
      <c r="L193" s="9">
        <f>IF($A193="","",$B193&amp;"|"&amp;$D193)</f>
        <v/>
      </c>
      <c r="M193" s="9">
        <f>IF($A193="","",VALUE($A193&amp;""))</f>
        <v/>
      </c>
      <c r="N193" s="9">
        <f>IF($A193="","",VALUE(SUBSTITUTE(SUBSTITUTE(SUBSTITUTE(UPPER($F193&amp;""),"Q",""),"분기","")," ","")))</f>
        <v/>
      </c>
      <c r="O193" s="94">
        <f>IF($A193="",0,($G193+$H193)*설정!$C$23)</f>
        <v/>
      </c>
      <c r="P193" s="94">
        <f>IF($A193="",0,$I193*설정!$C$23)</f>
        <v/>
      </c>
      <c r="Q193" s="64">
        <f>IF($A193="","",IF(COUNTIF(변동분석!$E$7:$E$506,L193)&gt;0,"Y","N"))</f>
        <v/>
      </c>
      <c r="R193" s="9">
        <f>IF($A193="","",$D193&amp;"")</f>
        <v/>
      </c>
    </row>
    <row r="194">
      <c r="A194" s="92" t="n">
        <v>2026</v>
      </c>
      <c r="B194" s="92" t="inlineStr">
        <is>
          <t>D700</t>
        </is>
      </c>
      <c r="C194" s="92" t="inlineStr">
        <is>
          <t>IT운영팀</t>
        </is>
      </c>
      <c r="D194" s="92" t="n">
        <v>62101000</v>
      </c>
      <c r="E194" s="92" t="inlineStr">
        <is>
          <t>여비교통비-국내</t>
        </is>
      </c>
      <c r="F194" s="92" t="n">
        <v>2</v>
      </c>
      <c r="G194" s="93" t="n">
        <v>3060000</v>
      </c>
      <c r="H194" s="93" t="n">
        <v>0</v>
      </c>
      <c r="I194" s="93" t="n">
        <v>2762000</v>
      </c>
      <c r="J194" s="93" t="n">
        <v>298000</v>
      </c>
      <c r="L194" s="9">
        <f>IF($A194="","",$B194&amp;"|"&amp;$D194)</f>
        <v/>
      </c>
      <c r="M194" s="9">
        <f>IF($A194="","",VALUE($A194&amp;""))</f>
        <v/>
      </c>
      <c r="N194" s="9">
        <f>IF($A194="","",VALUE(SUBSTITUTE(SUBSTITUTE(SUBSTITUTE(UPPER($F194&amp;""),"Q",""),"분기","")," ","")))</f>
        <v/>
      </c>
      <c r="O194" s="94">
        <f>IF($A194="",0,($G194+$H194)*설정!$C$23)</f>
        <v/>
      </c>
      <c r="P194" s="94">
        <f>IF($A194="",0,$I194*설정!$C$23)</f>
        <v/>
      </c>
      <c r="Q194" s="64">
        <f>IF($A194="","",IF(COUNTIF(변동분석!$E$7:$E$506,L194)&gt;0,"Y","N"))</f>
        <v/>
      </c>
      <c r="R194" s="9">
        <f>IF($A194="","",$D194&amp;"")</f>
        <v/>
      </c>
    </row>
    <row r="195">
      <c r="A195" s="92" t="n">
        <v>2026</v>
      </c>
      <c r="B195" s="92" t="inlineStr">
        <is>
          <t>D700</t>
        </is>
      </c>
      <c r="C195" s="92" t="inlineStr">
        <is>
          <t>IT운영팀</t>
        </is>
      </c>
      <c r="D195" s="92" t="n">
        <v>62101000</v>
      </c>
      <c r="E195" s="92" t="inlineStr">
        <is>
          <t>여비교통비-국내</t>
        </is>
      </c>
      <c r="F195" s="92" t="n">
        <v>3</v>
      </c>
      <c r="G195" s="93" t="n">
        <v>3060000</v>
      </c>
      <c r="H195" s="93" t="n">
        <v>0</v>
      </c>
      <c r="I195" s="93" t="n">
        <v>2700000</v>
      </c>
      <c r="J195" s="93" t="n">
        <v>360000</v>
      </c>
      <c r="L195" s="9">
        <f>IF($A195="","",$B195&amp;"|"&amp;$D195)</f>
        <v/>
      </c>
      <c r="M195" s="9">
        <f>IF($A195="","",VALUE($A195&amp;""))</f>
        <v/>
      </c>
      <c r="N195" s="9">
        <f>IF($A195="","",VALUE(SUBSTITUTE(SUBSTITUTE(SUBSTITUTE(UPPER($F195&amp;""),"Q",""),"분기","")," ","")))</f>
        <v/>
      </c>
      <c r="O195" s="94">
        <f>IF($A195="",0,($G195+$H195)*설정!$C$23)</f>
        <v/>
      </c>
      <c r="P195" s="94">
        <f>IF($A195="",0,$I195*설정!$C$23)</f>
        <v/>
      </c>
      <c r="Q195" s="64">
        <f>IF($A195="","",IF(COUNTIF(변동분석!$E$7:$E$506,L195)&gt;0,"Y","N"))</f>
        <v/>
      </c>
      <c r="R195" s="9">
        <f>IF($A195="","",$D195&amp;"")</f>
        <v/>
      </c>
    </row>
    <row r="196">
      <c r="A196" s="92" t="n">
        <v>2026</v>
      </c>
      <c r="B196" s="92" t="inlineStr">
        <is>
          <t>D700</t>
        </is>
      </c>
      <c r="C196" s="92" t="inlineStr">
        <is>
          <t>IT운영팀</t>
        </is>
      </c>
      <c r="D196" s="92" t="n">
        <v>62101000</v>
      </c>
      <c r="E196" s="92" t="inlineStr">
        <is>
          <t>여비교통비-국내</t>
        </is>
      </c>
      <c r="F196" s="92" t="n">
        <v>4</v>
      </c>
      <c r="G196" s="93" t="n">
        <v>3060000</v>
      </c>
      <c r="H196" s="93" t="n">
        <v>0</v>
      </c>
      <c r="I196" s="93" t="n">
        <v>0</v>
      </c>
      <c r="J196" s="93" t="n">
        <v>3060000</v>
      </c>
      <c r="L196" s="9">
        <f>IF($A196="","",$B196&amp;"|"&amp;$D196)</f>
        <v/>
      </c>
      <c r="M196" s="9">
        <f>IF($A196="","",VALUE($A196&amp;""))</f>
        <v/>
      </c>
      <c r="N196" s="9">
        <f>IF($A196="","",VALUE(SUBSTITUTE(SUBSTITUTE(SUBSTITUTE(UPPER($F196&amp;""),"Q",""),"분기","")," ","")))</f>
        <v/>
      </c>
      <c r="O196" s="94">
        <f>IF($A196="",0,($G196+$H196)*설정!$C$23)</f>
        <v/>
      </c>
      <c r="P196" s="94">
        <f>IF($A196="",0,$I196*설정!$C$23)</f>
        <v/>
      </c>
      <c r="Q196" s="64">
        <f>IF($A196="","",IF(COUNTIF(변동분석!$E$7:$E$506,L196)&gt;0,"Y","N"))</f>
        <v/>
      </c>
      <c r="R196" s="9">
        <f>IF($A196="","",$D196&amp;"")</f>
        <v/>
      </c>
    </row>
    <row r="197">
      <c r="A197" s="92" t="n">
        <v>2026</v>
      </c>
      <c r="B197" s="92" t="inlineStr">
        <is>
          <t>D700</t>
        </is>
      </c>
      <c r="C197" s="92" t="inlineStr">
        <is>
          <t>IT운영팀</t>
        </is>
      </c>
      <c r="D197" s="92" t="n">
        <v>62102000</v>
      </c>
      <c r="E197" s="92" t="inlineStr">
        <is>
          <t>여비교통비-해외</t>
        </is>
      </c>
      <c r="F197" s="92" t="n">
        <v>1</v>
      </c>
      <c r="G197" s="93" t="n">
        <v>540000</v>
      </c>
      <c r="H197" s="93" t="n">
        <v>0</v>
      </c>
      <c r="I197" s="93" t="n">
        <v>482000</v>
      </c>
      <c r="J197" s="93" t="n">
        <v>58000</v>
      </c>
      <c r="L197" s="9">
        <f>IF($A197="","",$B197&amp;"|"&amp;$D197)</f>
        <v/>
      </c>
      <c r="M197" s="9">
        <f>IF($A197="","",VALUE($A197&amp;""))</f>
        <v/>
      </c>
      <c r="N197" s="9">
        <f>IF($A197="","",VALUE(SUBSTITUTE(SUBSTITUTE(SUBSTITUTE(UPPER($F197&amp;""),"Q",""),"분기","")," ","")))</f>
        <v/>
      </c>
      <c r="O197" s="94">
        <f>IF($A197="",0,($G197+$H197)*설정!$C$23)</f>
        <v/>
      </c>
      <c r="P197" s="94">
        <f>IF($A197="",0,$I197*설정!$C$23)</f>
        <v/>
      </c>
      <c r="Q197" s="64">
        <f>IF($A197="","",IF(COUNTIF(변동분석!$E$7:$E$506,L197)&gt;0,"Y","N"))</f>
        <v/>
      </c>
      <c r="R197" s="9">
        <f>IF($A197="","",$D197&amp;"")</f>
        <v/>
      </c>
    </row>
    <row r="198">
      <c r="A198" s="92" t="n">
        <v>2026</v>
      </c>
      <c r="B198" s="92" t="inlineStr">
        <is>
          <t>D700</t>
        </is>
      </c>
      <c r="C198" s="92" t="inlineStr">
        <is>
          <t>IT운영팀</t>
        </is>
      </c>
      <c r="D198" s="92" t="n">
        <v>62102000</v>
      </c>
      <c r="E198" s="92" t="inlineStr">
        <is>
          <t>여비교통비-해외</t>
        </is>
      </c>
      <c r="F198" s="92" t="n">
        <v>2</v>
      </c>
      <c r="G198" s="93" t="n">
        <v>540000</v>
      </c>
      <c r="H198" s="93" t="n">
        <v>0</v>
      </c>
      <c r="I198" s="93" t="n">
        <v>460000</v>
      </c>
      <c r="J198" s="93" t="n">
        <v>80000</v>
      </c>
      <c r="L198" s="9">
        <f>IF($A198="","",$B198&amp;"|"&amp;$D198)</f>
        <v/>
      </c>
      <c r="M198" s="9">
        <f>IF($A198="","",VALUE($A198&amp;""))</f>
        <v/>
      </c>
      <c r="N198" s="9">
        <f>IF($A198="","",VALUE(SUBSTITUTE(SUBSTITUTE(SUBSTITUTE(UPPER($F198&amp;""),"Q",""),"분기","")," ","")))</f>
        <v/>
      </c>
      <c r="O198" s="94">
        <f>IF($A198="",0,($G198+$H198)*설정!$C$23)</f>
        <v/>
      </c>
      <c r="P198" s="94">
        <f>IF($A198="",0,$I198*설정!$C$23)</f>
        <v/>
      </c>
      <c r="Q198" s="64">
        <f>IF($A198="","",IF(COUNTIF(변동분석!$E$7:$E$506,L198)&gt;0,"Y","N"))</f>
        <v/>
      </c>
      <c r="R198" s="9">
        <f>IF($A198="","",$D198&amp;"")</f>
        <v/>
      </c>
    </row>
    <row r="199">
      <c r="A199" s="92" t="n">
        <v>2026</v>
      </c>
      <c r="B199" s="92" t="inlineStr">
        <is>
          <t>D700</t>
        </is>
      </c>
      <c r="C199" s="92" t="inlineStr">
        <is>
          <t>IT운영팀</t>
        </is>
      </c>
      <c r="D199" s="92" t="n">
        <v>62102000</v>
      </c>
      <c r="E199" s="92" t="inlineStr">
        <is>
          <t>여비교통비-해외</t>
        </is>
      </c>
      <c r="F199" s="92" t="n">
        <v>3</v>
      </c>
      <c r="G199" s="93" t="n">
        <v>540000</v>
      </c>
      <c r="H199" s="93" t="n">
        <v>0</v>
      </c>
      <c r="I199" s="93" t="n">
        <v>491000</v>
      </c>
      <c r="J199" s="93" t="n">
        <v>49000</v>
      </c>
      <c r="L199" s="9">
        <f>IF($A199="","",$B199&amp;"|"&amp;$D199)</f>
        <v/>
      </c>
      <c r="M199" s="9">
        <f>IF($A199="","",VALUE($A199&amp;""))</f>
        <v/>
      </c>
      <c r="N199" s="9">
        <f>IF($A199="","",VALUE(SUBSTITUTE(SUBSTITUTE(SUBSTITUTE(UPPER($F199&amp;""),"Q",""),"분기","")," ","")))</f>
        <v/>
      </c>
      <c r="O199" s="94">
        <f>IF($A199="",0,($G199+$H199)*설정!$C$23)</f>
        <v/>
      </c>
      <c r="P199" s="94">
        <f>IF($A199="",0,$I199*설정!$C$23)</f>
        <v/>
      </c>
      <c r="Q199" s="64">
        <f>IF($A199="","",IF(COUNTIF(변동분석!$E$7:$E$506,L199)&gt;0,"Y","N"))</f>
        <v/>
      </c>
      <c r="R199" s="9">
        <f>IF($A199="","",$D199&amp;"")</f>
        <v/>
      </c>
    </row>
    <row r="200">
      <c r="A200" s="92" t="n">
        <v>2026</v>
      </c>
      <c r="B200" s="92" t="inlineStr">
        <is>
          <t>D700</t>
        </is>
      </c>
      <c r="C200" s="92" t="inlineStr">
        <is>
          <t>IT운영팀</t>
        </is>
      </c>
      <c r="D200" s="92" t="n">
        <v>62102000</v>
      </c>
      <c r="E200" s="92" t="inlineStr">
        <is>
          <t>여비교통비-해외</t>
        </is>
      </c>
      <c r="F200" s="92" t="n">
        <v>4</v>
      </c>
      <c r="G200" s="93" t="n">
        <v>540000</v>
      </c>
      <c r="H200" s="93" t="n">
        <v>0</v>
      </c>
      <c r="I200" s="93" t="n">
        <v>0</v>
      </c>
      <c r="J200" s="93" t="n">
        <v>540000</v>
      </c>
      <c r="L200" s="9">
        <f>IF($A200="","",$B200&amp;"|"&amp;$D200)</f>
        <v/>
      </c>
      <c r="M200" s="9">
        <f>IF($A200="","",VALUE($A200&amp;""))</f>
        <v/>
      </c>
      <c r="N200" s="9">
        <f>IF($A200="","",VALUE(SUBSTITUTE(SUBSTITUTE(SUBSTITUTE(UPPER($F200&amp;""),"Q",""),"분기","")," ","")))</f>
        <v/>
      </c>
      <c r="O200" s="94">
        <f>IF($A200="",0,($G200+$H200)*설정!$C$23)</f>
        <v/>
      </c>
      <c r="P200" s="94">
        <f>IF($A200="",0,$I200*설정!$C$23)</f>
        <v/>
      </c>
      <c r="Q200" s="64">
        <f>IF($A200="","",IF(COUNTIF(변동분석!$E$7:$E$506,L200)&gt;0,"Y","N"))</f>
        <v/>
      </c>
      <c r="R200" s="9">
        <f>IF($A200="","",$D200&amp;"")</f>
        <v/>
      </c>
    </row>
    <row r="201">
      <c r="A201" s="92" t="n">
        <v>2026</v>
      </c>
      <c r="B201" s="92" t="inlineStr">
        <is>
          <t>D700</t>
        </is>
      </c>
      <c r="C201" s="92" t="inlineStr">
        <is>
          <t>IT운영팀</t>
        </is>
      </c>
      <c r="D201" s="92" t="n">
        <v>62201000</v>
      </c>
      <c r="E201" s="92" t="inlineStr">
        <is>
          <t>통신비</t>
        </is>
      </c>
      <c r="F201" s="92" t="n">
        <v>1</v>
      </c>
      <c r="G201" s="93" t="n">
        <v>45000000</v>
      </c>
      <c r="H201" s="93" t="n">
        <v>0</v>
      </c>
      <c r="I201" s="93" t="n">
        <v>39589000</v>
      </c>
      <c r="J201" s="93" t="n">
        <v>5411000</v>
      </c>
      <c r="L201" s="9">
        <f>IF($A201="","",$B201&amp;"|"&amp;$D201)</f>
        <v/>
      </c>
      <c r="M201" s="9">
        <f>IF($A201="","",VALUE($A201&amp;""))</f>
        <v/>
      </c>
      <c r="N201" s="9">
        <f>IF($A201="","",VALUE(SUBSTITUTE(SUBSTITUTE(SUBSTITUTE(UPPER($F201&amp;""),"Q",""),"분기","")," ","")))</f>
        <v/>
      </c>
      <c r="O201" s="94">
        <f>IF($A201="",0,($G201+$H201)*설정!$C$23)</f>
        <v/>
      </c>
      <c r="P201" s="94">
        <f>IF($A201="",0,$I201*설정!$C$23)</f>
        <v/>
      </c>
      <c r="Q201" s="64">
        <f>IF($A201="","",IF(COUNTIF(변동분석!$E$7:$E$506,L201)&gt;0,"Y","N"))</f>
        <v/>
      </c>
      <c r="R201" s="9">
        <f>IF($A201="","",$D201&amp;"")</f>
        <v/>
      </c>
    </row>
    <row r="202">
      <c r="A202" s="92" t="n">
        <v>2026</v>
      </c>
      <c r="B202" s="92" t="inlineStr">
        <is>
          <t>D700</t>
        </is>
      </c>
      <c r="C202" s="92" t="inlineStr">
        <is>
          <t>IT운영팀</t>
        </is>
      </c>
      <c r="D202" s="92" t="n">
        <v>62201000</v>
      </c>
      <c r="E202" s="92" t="inlineStr">
        <is>
          <t>통신비</t>
        </is>
      </c>
      <c r="F202" s="92" t="n">
        <v>2</v>
      </c>
      <c r="G202" s="93" t="n">
        <v>45000000</v>
      </c>
      <c r="H202" s="93" t="n">
        <v>0</v>
      </c>
      <c r="I202" s="93" t="n">
        <v>38718000</v>
      </c>
      <c r="J202" s="93" t="n">
        <v>6282000</v>
      </c>
      <c r="L202" s="9">
        <f>IF($A202="","",$B202&amp;"|"&amp;$D202)</f>
        <v/>
      </c>
      <c r="M202" s="9">
        <f>IF($A202="","",VALUE($A202&amp;""))</f>
        <v/>
      </c>
      <c r="N202" s="9">
        <f>IF($A202="","",VALUE(SUBSTITUTE(SUBSTITUTE(SUBSTITUTE(UPPER($F202&amp;""),"Q",""),"분기","")," ","")))</f>
        <v/>
      </c>
      <c r="O202" s="94">
        <f>IF($A202="",0,($G202+$H202)*설정!$C$23)</f>
        <v/>
      </c>
      <c r="P202" s="94">
        <f>IF($A202="",0,$I202*설정!$C$23)</f>
        <v/>
      </c>
      <c r="Q202" s="64">
        <f>IF($A202="","",IF(COUNTIF(변동분석!$E$7:$E$506,L202)&gt;0,"Y","N"))</f>
        <v/>
      </c>
      <c r="R202" s="9">
        <f>IF($A202="","",$D202&amp;"")</f>
        <v/>
      </c>
    </row>
    <row r="203">
      <c r="A203" s="92" t="n">
        <v>2026</v>
      </c>
      <c r="B203" s="92" t="inlineStr">
        <is>
          <t>D700</t>
        </is>
      </c>
      <c r="C203" s="92" t="inlineStr">
        <is>
          <t>IT운영팀</t>
        </is>
      </c>
      <c r="D203" s="92" t="n">
        <v>62201000</v>
      </c>
      <c r="E203" s="92" t="inlineStr">
        <is>
          <t>통신비</t>
        </is>
      </c>
      <c r="F203" s="92" t="n">
        <v>3</v>
      </c>
      <c r="G203" s="93" t="n">
        <v>45000000</v>
      </c>
      <c r="H203" s="93" t="n">
        <v>0</v>
      </c>
      <c r="I203" s="93" t="n">
        <v>38012000</v>
      </c>
      <c r="J203" s="93" t="n">
        <v>6988000</v>
      </c>
      <c r="L203" s="9">
        <f>IF($A203="","",$B203&amp;"|"&amp;$D203)</f>
        <v/>
      </c>
      <c r="M203" s="9">
        <f>IF($A203="","",VALUE($A203&amp;""))</f>
        <v/>
      </c>
      <c r="N203" s="9">
        <f>IF($A203="","",VALUE(SUBSTITUTE(SUBSTITUTE(SUBSTITUTE(UPPER($F203&amp;""),"Q",""),"분기","")," ","")))</f>
        <v/>
      </c>
      <c r="O203" s="94">
        <f>IF($A203="",0,($G203+$H203)*설정!$C$23)</f>
        <v/>
      </c>
      <c r="P203" s="94">
        <f>IF($A203="",0,$I203*설정!$C$23)</f>
        <v/>
      </c>
      <c r="Q203" s="64">
        <f>IF($A203="","",IF(COUNTIF(변동분석!$E$7:$E$506,L203)&gt;0,"Y","N"))</f>
        <v/>
      </c>
      <c r="R203" s="9">
        <f>IF($A203="","",$D203&amp;"")</f>
        <v/>
      </c>
    </row>
    <row r="204">
      <c r="A204" s="92" t="n">
        <v>2026</v>
      </c>
      <c r="B204" s="92" t="inlineStr">
        <is>
          <t>D700</t>
        </is>
      </c>
      <c r="C204" s="92" t="inlineStr">
        <is>
          <t>IT운영팀</t>
        </is>
      </c>
      <c r="D204" s="92" t="n">
        <v>62201000</v>
      </c>
      <c r="E204" s="92" t="inlineStr">
        <is>
          <t>통신비</t>
        </is>
      </c>
      <c r="F204" s="92" t="n">
        <v>4</v>
      </c>
      <c r="G204" s="93" t="n">
        <v>45000000</v>
      </c>
      <c r="H204" s="93" t="n">
        <v>0</v>
      </c>
      <c r="I204" s="93" t="n">
        <v>0</v>
      </c>
      <c r="J204" s="93" t="n">
        <v>45000000</v>
      </c>
      <c r="L204" s="9">
        <f>IF($A204="","",$B204&amp;"|"&amp;$D204)</f>
        <v/>
      </c>
      <c r="M204" s="9">
        <f>IF($A204="","",VALUE($A204&amp;""))</f>
        <v/>
      </c>
      <c r="N204" s="9">
        <f>IF($A204="","",VALUE(SUBSTITUTE(SUBSTITUTE(SUBSTITUTE(UPPER($F204&amp;""),"Q",""),"분기","")," ","")))</f>
        <v/>
      </c>
      <c r="O204" s="94">
        <f>IF($A204="",0,($G204+$H204)*설정!$C$23)</f>
        <v/>
      </c>
      <c r="P204" s="94">
        <f>IF($A204="",0,$I204*설정!$C$23)</f>
        <v/>
      </c>
      <c r="Q204" s="64">
        <f>IF($A204="","",IF(COUNTIF(변동분석!$E$7:$E$506,L204)&gt;0,"Y","N"))</f>
        <v/>
      </c>
      <c r="R204" s="9">
        <f>IF($A204="","",$D204&amp;"")</f>
        <v/>
      </c>
    </row>
    <row r="205">
      <c r="A205" s="92" t="n">
        <v>2026</v>
      </c>
      <c r="B205" s="92" t="inlineStr">
        <is>
          <t>D700</t>
        </is>
      </c>
      <c r="C205" s="92" t="inlineStr">
        <is>
          <t>IT운영팀</t>
        </is>
      </c>
      <c r="D205" s="92" t="n">
        <v>62301000</v>
      </c>
      <c r="E205" s="92" t="inlineStr">
        <is>
          <t>소모품비</t>
        </is>
      </c>
      <c r="F205" s="92" t="n">
        <v>1</v>
      </c>
      <c r="G205" s="93" t="n">
        <v>3000000</v>
      </c>
      <c r="H205" s="93" t="n">
        <v>0</v>
      </c>
      <c r="I205" s="93" t="n">
        <v>2520000</v>
      </c>
      <c r="J205" s="93" t="n">
        <v>480000</v>
      </c>
      <c r="L205" s="9">
        <f>IF($A205="","",$B205&amp;"|"&amp;$D205)</f>
        <v/>
      </c>
      <c r="M205" s="9">
        <f>IF($A205="","",VALUE($A205&amp;""))</f>
        <v/>
      </c>
      <c r="N205" s="9">
        <f>IF($A205="","",VALUE(SUBSTITUTE(SUBSTITUTE(SUBSTITUTE(UPPER($F205&amp;""),"Q",""),"분기","")," ","")))</f>
        <v/>
      </c>
      <c r="O205" s="94">
        <f>IF($A205="",0,($G205+$H205)*설정!$C$23)</f>
        <v/>
      </c>
      <c r="P205" s="94">
        <f>IF($A205="",0,$I205*설정!$C$23)</f>
        <v/>
      </c>
      <c r="Q205" s="64">
        <f>IF($A205="","",IF(COUNTIF(변동분석!$E$7:$E$506,L205)&gt;0,"Y","N"))</f>
        <v/>
      </c>
      <c r="R205" s="9">
        <f>IF($A205="","",$D205&amp;"")</f>
        <v/>
      </c>
    </row>
    <row r="206">
      <c r="A206" s="92" t="n">
        <v>2026</v>
      </c>
      <c r="B206" s="92" t="inlineStr">
        <is>
          <t>D700</t>
        </is>
      </c>
      <c r="C206" s="92" t="inlineStr">
        <is>
          <t>IT운영팀</t>
        </is>
      </c>
      <c r="D206" s="92" t="n">
        <v>62301000</v>
      </c>
      <c r="E206" s="92" t="inlineStr">
        <is>
          <t>소모품비</t>
        </is>
      </c>
      <c r="F206" s="92" t="n">
        <v>2</v>
      </c>
      <c r="G206" s="93" t="n">
        <v>3000000</v>
      </c>
      <c r="H206" s="93" t="n">
        <v>0</v>
      </c>
      <c r="I206" s="93" t="n">
        <v>2545000</v>
      </c>
      <c r="J206" s="93" t="n">
        <v>455000</v>
      </c>
      <c r="L206" s="9">
        <f>IF($A206="","",$B206&amp;"|"&amp;$D206)</f>
        <v/>
      </c>
      <c r="M206" s="9">
        <f>IF($A206="","",VALUE($A206&amp;""))</f>
        <v/>
      </c>
      <c r="N206" s="9">
        <f>IF($A206="","",VALUE(SUBSTITUTE(SUBSTITUTE(SUBSTITUTE(UPPER($F206&amp;""),"Q",""),"분기","")," ","")))</f>
        <v/>
      </c>
      <c r="O206" s="94">
        <f>IF($A206="",0,($G206+$H206)*설정!$C$23)</f>
        <v/>
      </c>
      <c r="P206" s="94">
        <f>IF($A206="",0,$I206*설정!$C$23)</f>
        <v/>
      </c>
      <c r="Q206" s="64">
        <f>IF($A206="","",IF(COUNTIF(변동분석!$E$7:$E$506,L206)&gt;0,"Y","N"))</f>
        <v/>
      </c>
      <c r="R206" s="9">
        <f>IF($A206="","",$D206&amp;"")</f>
        <v/>
      </c>
    </row>
    <row r="207">
      <c r="A207" s="92" t="n">
        <v>2026</v>
      </c>
      <c r="B207" s="92" t="inlineStr">
        <is>
          <t>D700</t>
        </is>
      </c>
      <c r="C207" s="92" t="inlineStr">
        <is>
          <t>IT운영팀</t>
        </is>
      </c>
      <c r="D207" s="92" t="n">
        <v>62301000</v>
      </c>
      <c r="E207" s="92" t="inlineStr">
        <is>
          <t>소모품비</t>
        </is>
      </c>
      <c r="F207" s="92" t="n">
        <v>3</v>
      </c>
      <c r="G207" s="93" t="n">
        <v>3000000</v>
      </c>
      <c r="H207" s="93" t="n">
        <v>0</v>
      </c>
      <c r="I207" s="93" t="n">
        <v>2469000</v>
      </c>
      <c r="J207" s="93" t="n">
        <v>531000</v>
      </c>
      <c r="L207" s="9">
        <f>IF($A207="","",$B207&amp;"|"&amp;$D207)</f>
        <v/>
      </c>
      <c r="M207" s="9">
        <f>IF($A207="","",VALUE($A207&amp;""))</f>
        <v/>
      </c>
      <c r="N207" s="9">
        <f>IF($A207="","",VALUE(SUBSTITUTE(SUBSTITUTE(SUBSTITUTE(UPPER($F207&amp;""),"Q",""),"분기","")," ","")))</f>
        <v/>
      </c>
      <c r="O207" s="94">
        <f>IF($A207="",0,($G207+$H207)*설정!$C$23)</f>
        <v/>
      </c>
      <c r="P207" s="94">
        <f>IF($A207="",0,$I207*설정!$C$23)</f>
        <v/>
      </c>
      <c r="Q207" s="64">
        <f>IF($A207="","",IF(COUNTIF(변동분석!$E$7:$E$506,L207)&gt;0,"Y","N"))</f>
        <v/>
      </c>
      <c r="R207" s="9">
        <f>IF($A207="","",$D207&amp;"")</f>
        <v/>
      </c>
    </row>
    <row r="208">
      <c r="A208" s="92" t="n">
        <v>2026</v>
      </c>
      <c r="B208" s="92" t="inlineStr">
        <is>
          <t>D700</t>
        </is>
      </c>
      <c r="C208" s="92" t="inlineStr">
        <is>
          <t>IT운영팀</t>
        </is>
      </c>
      <c r="D208" s="92" t="n">
        <v>62301000</v>
      </c>
      <c r="E208" s="92" t="inlineStr">
        <is>
          <t>소모품비</t>
        </is>
      </c>
      <c r="F208" s="92" t="n">
        <v>4</v>
      </c>
      <c r="G208" s="93" t="n">
        <v>3000000</v>
      </c>
      <c r="H208" s="93" t="n">
        <v>0</v>
      </c>
      <c r="I208" s="93" t="n">
        <v>0</v>
      </c>
      <c r="J208" s="93" t="n">
        <v>3000000</v>
      </c>
      <c r="L208" s="9">
        <f>IF($A208="","",$B208&amp;"|"&amp;$D208)</f>
        <v/>
      </c>
      <c r="M208" s="9">
        <f>IF($A208="","",VALUE($A208&amp;""))</f>
        <v/>
      </c>
      <c r="N208" s="9">
        <f>IF($A208="","",VALUE(SUBSTITUTE(SUBSTITUTE(SUBSTITUTE(UPPER($F208&amp;""),"Q",""),"분기","")," ","")))</f>
        <v/>
      </c>
      <c r="O208" s="94">
        <f>IF($A208="",0,($G208+$H208)*설정!$C$23)</f>
        <v/>
      </c>
      <c r="P208" s="94">
        <f>IF($A208="",0,$I208*설정!$C$23)</f>
        <v/>
      </c>
      <c r="Q208" s="64">
        <f>IF($A208="","",IF(COUNTIF(변동분석!$E$7:$E$506,L208)&gt;0,"Y","N"))</f>
        <v/>
      </c>
      <c r="R208" s="9">
        <f>IF($A208="","",$D208&amp;"")</f>
        <v/>
      </c>
    </row>
    <row r="209">
      <c r="A209" s="92" t="n">
        <v>2026</v>
      </c>
      <c r="B209" s="92" t="inlineStr">
        <is>
          <t>D700</t>
        </is>
      </c>
      <c r="C209" s="92" t="inlineStr">
        <is>
          <t>IT운영팀</t>
        </is>
      </c>
      <c r="D209" s="92" t="n">
        <v>62501000</v>
      </c>
      <c r="E209" s="92" t="inlineStr">
        <is>
          <t>회의비</t>
        </is>
      </c>
      <c r="F209" s="92" t="n">
        <v>1</v>
      </c>
      <c r="G209" s="93" t="n">
        <v>1200000</v>
      </c>
      <c r="H209" s="93" t="n">
        <v>0</v>
      </c>
      <c r="I209" s="93" t="n">
        <v>1035000</v>
      </c>
      <c r="J209" s="93" t="n">
        <v>165000</v>
      </c>
      <c r="L209" s="9">
        <f>IF($A209="","",$B209&amp;"|"&amp;$D209)</f>
        <v/>
      </c>
      <c r="M209" s="9">
        <f>IF($A209="","",VALUE($A209&amp;""))</f>
        <v/>
      </c>
      <c r="N209" s="9">
        <f>IF($A209="","",VALUE(SUBSTITUTE(SUBSTITUTE(SUBSTITUTE(UPPER($F209&amp;""),"Q",""),"분기","")," ","")))</f>
        <v/>
      </c>
      <c r="O209" s="94">
        <f>IF($A209="",0,($G209+$H209)*설정!$C$23)</f>
        <v/>
      </c>
      <c r="P209" s="94">
        <f>IF($A209="",0,$I209*설정!$C$23)</f>
        <v/>
      </c>
      <c r="Q209" s="64">
        <f>IF($A209="","",IF(COUNTIF(변동분석!$E$7:$E$506,L209)&gt;0,"Y","N"))</f>
        <v/>
      </c>
      <c r="R209" s="9">
        <f>IF($A209="","",$D209&amp;"")</f>
        <v/>
      </c>
    </row>
    <row r="210">
      <c r="A210" s="92" t="n">
        <v>2026</v>
      </c>
      <c r="B210" s="92" t="inlineStr">
        <is>
          <t>D700</t>
        </is>
      </c>
      <c r="C210" s="92" t="inlineStr">
        <is>
          <t>IT운영팀</t>
        </is>
      </c>
      <c r="D210" s="92" t="n">
        <v>62501000</v>
      </c>
      <c r="E210" s="92" t="inlineStr">
        <is>
          <t>회의비</t>
        </is>
      </c>
      <c r="F210" s="92" t="n">
        <v>2</v>
      </c>
      <c r="G210" s="93" t="n">
        <v>1200000</v>
      </c>
      <c r="H210" s="93" t="n">
        <v>0</v>
      </c>
      <c r="I210" s="93" t="n">
        <v>1007000</v>
      </c>
      <c r="J210" s="93" t="n">
        <v>193000</v>
      </c>
      <c r="L210" s="9">
        <f>IF($A210="","",$B210&amp;"|"&amp;$D210)</f>
        <v/>
      </c>
      <c r="M210" s="9">
        <f>IF($A210="","",VALUE($A210&amp;""))</f>
        <v/>
      </c>
      <c r="N210" s="9">
        <f>IF($A210="","",VALUE(SUBSTITUTE(SUBSTITUTE(SUBSTITUTE(UPPER($F210&amp;""),"Q",""),"분기","")," ","")))</f>
        <v/>
      </c>
      <c r="O210" s="94">
        <f>IF($A210="",0,($G210+$H210)*설정!$C$23)</f>
        <v/>
      </c>
      <c r="P210" s="94">
        <f>IF($A210="",0,$I210*설정!$C$23)</f>
        <v/>
      </c>
      <c r="Q210" s="64">
        <f>IF($A210="","",IF(COUNTIF(변동분석!$E$7:$E$506,L210)&gt;0,"Y","N"))</f>
        <v/>
      </c>
      <c r="R210" s="9">
        <f>IF($A210="","",$D210&amp;"")</f>
        <v/>
      </c>
    </row>
    <row r="211">
      <c r="A211" s="92" t="n">
        <v>2026</v>
      </c>
      <c r="B211" s="92" t="inlineStr">
        <is>
          <t>D700</t>
        </is>
      </c>
      <c r="C211" s="92" t="inlineStr">
        <is>
          <t>IT운영팀</t>
        </is>
      </c>
      <c r="D211" s="92" t="n">
        <v>62501000</v>
      </c>
      <c r="E211" s="92" t="inlineStr">
        <is>
          <t>회의비</t>
        </is>
      </c>
      <c r="F211" s="92" t="n">
        <v>3</v>
      </c>
      <c r="G211" s="93" t="n">
        <v>1200000</v>
      </c>
      <c r="H211" s="93" t="n">
        <v>0</v>
      </c>
      <c r="I211" s="93" t="n">
        <v>1035000</v>
      </c>
      <c r="J211" s="93" t="n">
        <v>165000</v>
      </c>
      <c r="L211" s="9">
        <f>IF($A211="","",$B211&amp;"|"&amp;$D211)</f>
        <v/>
      </c>
      <c r="M211" s="9">
        <f>IF($A211="","",VALUE($A211&amp;""))</f>
        <v/>
      </c>
      <c r="N211" s="9">
        <f>IF($A211="","",VALUE(SUBSTITUTE(SUBSTITUTE(SUBSTITUTE(UPPER($F211&amp;""),"Q",""),"분기","")," ","")))</f>
        <v/>
      </c>
      <c r="O211" s="94">
        <f>IF($A211="",0,($G211+$H211)*설정!$C$23)</f>
        <v/>
      </c>
      <c r="P211" s="94">
        <f>IF($A211="",0,$I211*설정!$C$23)</f>
        <v/>
      </c>
      <c r="Q211" s="64">
        <f>IF($A211="","",IF(COUNTIF(변동분석!$E$7:$E$506,L211)&gt;0,"Y","N"))</f>
        <v/>
      </c>
      <c r="R211" s="9">
        <f>IF($A211="","",$D211&amp;"")</f>
        <v/>
      </c>
    </row>
    <row r="212">
      <c r="A212" s="92" t="n">
        <v>2026</v>
      </c>
      <c r="B212" s="92" t="inlineStr">
        <is>
          <t>D700</t>
        </is>
      </c>
      <c r="C212" s="92" t="inlineStr">
        <is>
          <t>IT운영팀</t>
        </is>
      </c>
      <c r="D212" s="92" t="n">
        <v>62501000</v>
      </c>
      <c r="E212" s="92" t="inlineStr">
        <is>
          <t>회의비</t>
        </is>
      </c>
      <c r="F212" s="92" t="n">
        <v>4</v>
      </c>
      <c r="G212" s="93" t="n">
        <v>1200000</v>
      </c>
      <c r="H212" s="93" t="n">
        <v>0</v>
      </c>
      <c r="I212" s="93" t="n">
        <v>0</v>
      </c>
      <c r="J212" s="93" t="n">
        <v>1200000</v>
      </c>
      <c r="L212" s="9">
        <f>IF($A212="","",$B212&amp;"|"&amp;$D212)</f>
        <v/>
      </c>
      <c r="M212" s="9">
        <f>IF($A212="","",VALUE($A212&amp;""))</f>
        <v/>
      </c>
      <c r="N212" s="9">
        <f>IF($A212="","",VALUE(SUBSTITUTE(SUBSTITUTE(SUBSTITUTE(UPPER($F212&amp;""),"Q",""),"분기","")," ","")))</f>
        <v/>
      </c>
      <c r="O212" s="94">
        <f>IF($A212="",0,($G212+$H212)*설정!$C$23)</f>
        <v/>
      </c>
      <c r="P212" s="94">
        <f>IF($A212="",0,$I212*설정!$C$23)</f>
        <v/>
      </c>
      <c r="Q212" s="64">
        <f>IF($A212="","",IF(COUNTIF(변동분석!$E$7:$E$506,L212)&gt;0,"Y","N"))</f>
        <v/>
      </c>
      <c r="R212" s="9">
        <f>IF($A212="","",$D212&amp;"")</f>
        <v/>
      </c>
    </row>
    <row r="213">
      <c r="A213" s="92" t="n">
        <v>2026</v>
      </c>
      <c r="B213" s="92" t="inlineStr">
        <is>
          <t>D700</t>
        </is>
      </c>
      <c r="C213" s="92" t="inlineStr">
        <is>
          <t>IT운영팀</t>
        </is>
      </c>
      <c r="D213" s="92" t="n">
        <v>63001000</v>
      </c>
      <c r="E213" s="92" t="inlineStr">
        <is>
          <t>전산운영비-SW유지보수</t>
        </is>
      </c>
      <c r="F213" s="92" t="n">
        <v>1</v>
      </c>
      <c r="G213" s="93" t="n">
        <v>330000000</v>
      </c>
      <c r="H213" s="93" t="n">
        <v>0</v>
      </c>
      <c r="I213" s="93" t="n">
        <v>292424000</v>
      </c>
      <c r="J213" s="93" t="n">
        <v>37576000</v>
      </c>
      <c r="L213" s="9">
        <f>IF($A213="","",$B213&amp;"|"&amp;$D213)</f>
        <v/>
      </c>
      <c r="M213" s="9">
        <f>IF($A213="","",VALUE($A213&amp;""))</f>
        <v/>
      </c>
      <c r="N213" s="9">
        <f>IF($A213="","",VALUE(SUBSTITUTE(SUBSTITUTE(SUBSTITUTE(UPPER($F213&amp;""),"Q",""),"분기","")," ","")))</f>
        <v/>
      </c>
      <c r="O213" s="94">
        <f>IF($A213="",0,($G213+$H213)*설정!$C$23)</f>
        <v/>
      </c>
      <c r="P213" s="94">
        <f>IF($A213="",0,$I213*설정!$C$23)</f>
        <v/>
      </c>
      <c r="Q213" s="64">
        <f>IF($A213="","",IF(COUNTIF(변동분석!$E$7:$E$506,L213)&gt;0,"Y","N"))</f>
        <v/>
      </c>
      <c r="R213" s="9">
        <f>IF($A213="","",$D213&amp;"")</f>
        <v/>
      </c>
    </row>
    <row r="214">
      <c r="A214" s="92" t="n">
        <v>2026</v>
      </c>
      <c r="B214" s="92" t="inlineStr">
        <is>
          <t>D700</t>
        </is>
      </c>
      <c r="C214" s="92" t="inlineStr">
        <is>
          <t>IT운영팀</t>
        </is>
      </c>
      <c r="D214" s="92" t="n">
        <v>63001000</v>
      </c>
      <c r="E214" s="92" t="inlineStr">
        <is>
          <t>전산운영비-SW유지보수</t>
        </is>
      </c>
      <c r="F214" s="92" t="n">
        <v>2</v>
      </c>
      <c r="G214" s="93" t="n">
        <v>330000000</v>
      </c>
      <c r="H214" s="93" t="n">
        <v>0</v>
      </c>
      <c r="I214" s="93" t="n">
        <v>275743000</v>
      </c>
      <c r="J214" s="93" t="n">
        <v>54257000</v>
      </c>
      <c r="L214" s="9">
        <f>IF($A214="","",$B214&amp;"|"&amp;$D214)</f>
        <v/>
      </c>
      <c r="M214" s="9">
        <f>IF($A214="","",VALUE($A214&amp;""))</f>
        <v/>
      </c>
      <c r="N214" s="9">
        <f>IF($A214="","",VALUE(SUBSTITUTE(SUBSTITUTE(SUBSTITUTE(UPPER($F214&amp;""),"Q",""),"분기","")," ","")))</f>
        <v/>
      </c>
      <c r="O214" s="94">
        <f>IF($A214="",0,($G214+$H214)*설정!$C$23)</f>
        <v/>
      </c>
      <c r="P214" s="94">
        <f>IF($A214="",0,$I214*설정!$C$23)</f>
        <v/>
      </c>
      <c r="Q214" s="64">
        <f>IF($A214="","",IF(COUNTIF(변동분석!$E$7:$E$506,L214)&gt;0,"Y","N"))</f>
        <v/>
      </c>
      <c r="R214" s="9">
        <f>IF($A214="","",$D214&amp;"")</f>
        <v/>
      </c>
    </row>
    <row r="215">
      <c r="A215" s="92" t="n">
        <v>2026</v>
      </c>
      <c r="B215" s="92" t="inlineStr">
        <is>
          <t>D700</t>
        </is>
      </c>
      <c r="C215" s="92" t="inlineStr">
        <is>
          <t>IT운영팀</t>
        </is>
      </c>
      <c r="D215" s="92" t="n">
        <v>63001000</v>
      </c>
      <c r="E215" s="92" t="inlineStr">
        <is>
          <t>전산운영비-SW유지보수</t>
        </is>
      </c>
      <c r="F215" s="92" t="n">
        <v>3</v>
      </c>
      <c r="G215" s="93" t="n">
        <v>330000000</v>
      </c>
      <c r="H215" s="93" t="n">
        <v>0</v>
      </c>
      <c r="I215" s="93" t="n">
        <v>281736000</v>
      </c>
      <c r="J215" s="93" t="n">
        <v>48264000</v>
      </c>
      <c r="L215" s="9">
        <f>IF($A215="","",$B215&amp;"|"&amp;$D215)</f>
        <v/>
      </c>
      <c r="M215" s="9">
        <f>IF($A215="","",VALUE($A215&amp;""))</f>
        <v/>
      </c>
      <c r="N215" s="9">
        <f>IF($A215="","",VALUE(SUBSTITUTE(SUBSTITUTE(SUBSTITUTE(UPPER($F215&amp;""),"Q",""),"분기","")," ","")))</f>
        <v/>
      </c>
      <c r="O215" s="94">
        <f>IF($A215="",0,($G215+$H215)*설정!$C$23)</f>
        <v/>
      </c>
      <c r="P215" s="94">
        <f>IF($A215="",0,$I215*설정!$C$23)</f>
        <v/>
      </c>
      <c r="Q215" s="64">
        <f>IF($A215="","",IF(COUNTIF(변동분석!$E$7:$E$506,L215)&gt;0,"Y","N"))</f>
        <v/>
      </c>
      <c r="R215" s="9">
        <f>IF($A215="","",$D215&amp;"")</f>
        <v/>
      </c>
    </row>
    <row r="216">
      <c r="A216" s="92" t="n">
        <v>2026</v>
      </c>
      <c r="B216" s="92" t="inlineStr">
        <is>
          <t>D700</t>
        </is>
      </c>
      <c r="C216" s="92" t="inlineStr">
        <is>
          <t>IT운영팀</t>
        </is>
      </c>
      <c r="D216" s="92" t="n">
        <v>63001000</v>
      </c>
      <c r="E216" s="92" t="inlineStr">
        <is>
          <t>전산운영비-SW유지보수</t>
        </is>
      </c>
      <c r="F216" s="92" t="n">
        <v>4</v>
      </c>
      <c r="G216" s="93" t="n">
        <v>330000000</v>
      </c>
      <c r="H216" s="93" t="n">
        <v>0</v>
      </c>
      <c r="I216" s="93" t="n">
        <v>0</v>
      </c>
      <c r="J216" s="93" t="n">
        <v>330000000</v>
      </c>
      <c r="L216" s="9">
        <f>IF($A216="","",$B216&amp;"|"&amp;$D216)</f>
        <v/>
      </c>
      <c r="M216" s="9">
        <f>IF($A216="","",VALUE($A216&amp;""))</f>
        <v/>
      </c>
      <c r="N216" s="9">
        <f>IF($A216="","",VALUE(SUBSTITUTE(SUBSTITUTE(SUBSTITUTE(UPPER($F216&amp;""),"Q",""),"분기","")," ","")))</f>
        <v/>
      </c>
      <c r="O216" s="94">
        <f>IF($A216="",0,($G216+$H216)*설정!$C$23)</f>
        <v/>
      </c>
      <c r="P216" s="94">
        <f>IF($A216="",0,$I216*설정!$C$23)</f>
        <v/>
      </c>
      <c r="Q216" s="64">
        <f>IF($A216="","",IF(COUNTIF(변동분석!$E$7:$E$506,L216)&gt;0,"Y","N"))</f>
        <v/>
      </c>
      <c r="R216" s="9">
        <f>IF($A216="","",$D216&amp;"")</f>
        <v/>
      </c>
    </row>
    <row r="217">
      <c r="A217" s="92" t="n">
        <v>2026</v>
      </c>
      <c r="B217" s="92" t="inlineStr">
        <is>
          <t>D700</t>
        </is>
      </c>
      <c r="C217" s="92" t="inlineStr">
        <is>
          <t>IT운영팀</t>
        </is>
      </c>
      <c r="D217" s="92" t="n">
        <v>63002000</v>
      </c>
      <c r="E217" s="92" t="inlineStr">
        <is>
          <t>전산운영비-클라우드</t>
        </is>
      </c>
      <c r="F217" s="92" t="n">
        <v>1</v>
      </c>
      <c r="G217" s="93" t="n">
        <v>270000000</v>
      </c>
      <c r="H217" s="93" t="n">
        <v>0</v>
      </c>
      <c r="I217" s="93" t="n">
        <v>235000000</v>
      </c>
      <c r="J217" s="93" t="n">
        <v>35000000</v>
      </c>
      <c r="L217" s="9">
        <f>IF($A217="","",$B217&amp;"|"&amp;$D217)</f>
        <v/>
      </c>
      <c r="M217" s="9">
        <f>IF($A217="","",VALUE($A217&amp;""))</f>
        <v/>
      </c>
      <c r="N217" s="9">
        <f>IF($A217="","",VALUE(SUBSTITUTE(SUBSTITUTE(SUBSTITUTE(UPPER($F217&amp;""),"Q",""),"분기","")," ","")))</f>
        <v/>
      </c>
      <c r="O217" s="94">
        <f>IF($A217="",0,($G217+$H217)*설정!$C$23)</f>
        <v/>
      </c>
      <c r="P217" s="94">
        <f>IF($A217="",0,$I217*설정!$C$23)</f>
        <v/>
      </c>
      <c r="Q217" s="64">
        <f>IF($A217="","",IF(COUNTIF(변동분석!$E$7:$E$506,L217)&gt;0,"Y","N"))</f>
        <v/>
      </c>
      <c r="R217" s="9">
        <f>IF($A217="","",$D217&amp;"")</f>
        <v/>
      </c>
    </row>
    <row r="218">
      <c r="A218" s="92" t="n">
        <v>2026</v>
      </c>
      <c r="B218" s="92" t="inlineStr">
        <is>
          <t>D700</t>
        </is>
      </c>
      <c r="C218" s="92" t="inlineStr">
        <is>
          <t>IT운영팀</t>
        </is>
      </c>
      <c r="D218" s="92" t="n">
        <v>63002000</v>
      </c>
      <c r="E218" s="92" t="inlineStr">
        <is>
          <t>전산운영비-클라우드</t>
        </is>
      </c>
      <c r="F218" s="92" t="n">
        <v>2</v>
      </c>
      <c r="G218" s="93" t="n">
        <v>270000000</v>
      </c>
      <c r="H218" s="93" t="n">
        <v>0</v>
      </c>
      <c r="I218" s="93" t="n">
        <v>239000000</v>
      </c>
      <c r="J218" s="93" t="n">
        <v>31000000</v>
      </c>
      <c r="L218" s="9">
        <f>IF($A218="","",$B218&amp;"|"&amp;$D218)</f>
        <v/>
      </c>
      <c r="M218" s="9">
        <f>IF($A218="","",VALUE($A218&amp;""))</f>
        <v/>
      </c>
      <c r="N218" s="9">
        <f>IF($A218="","",VALUE(SUBSTITUTE(SUBSTITUTE(SUBSTITUTE(UPPER($F218&amp;""),"Q",""),"분기","")," ","")))</f>
        <v/>
      </c>
      <c r="O218" s="94">
        <f>IF($A218="",0,($G218+$H218)*설정!$C$23)</f>
        <v/>
      </c>
      <c r="P218" s="94">
        <f>IF($A218="",0,$I218*설정!$C$23)</f>
        <v/>
      </c>
      <c r="Q218" s="64">
        <f>IF($A218="","",IF(COUNTIF(변동분석!$E$7:$E$506,L218)&gt;0,"Y","N"))</f>
        <v/>
      </c>
      <c r="R218" s="9">
        <f>IF($A218="","",$D218&amp;"")</f>
        <v/>
      </c>
    </row>
    <row r="219">
      <c r="A219" s="92" t="n">
        <v>2026</v>
      </c>
      <c r="B219" s="92" t="inlineStr">
        <is>
          <t>D700</t>
        </is>
      </c>
      <c r="C219" s="92" t="inlineStr">
        <is>
          <t>IT운영팀</t>
        </is>
      </c>
      <c r="D219" s="92" t="n">
        <v>63002000</v>
      </c>
      <c r="E219" s="92" t="inlineStr">
        <is>
          <t>전산운영비-클라우드</t>
        </is>
      </c>
      <c r="F219" s="92" t="n">
        <v>3</v>
      </c>
      <c r="G219" s="93" t="n">
        <v>270000000</v>
      </c>
      <c r="H219" s="93" t="n">
        <v>50000000</v>
      </c>
      <c r="I219" s="93" t="n">
        <v>280000000</v>
      </c>
      <c r="J219" s="93" t="n">
        <v>40000000</v>
      </c>
      <c r="L219" s="9">
        <f>IF($A219="","",$B219&amp;"|"&amp;$D219)</f>
        <v/>
      </c>
      <c r="M219" s="9">
        <f>IF($A219="","",VALUE($A219&amp;""))</f>
        <v/>
      </c>
      <c r="N219" s="9">
        <f>IF($A219="","",VALUE(SUBSTITUTE(SUBSTITUTE(SUBSTITUTE(UPPER($F219&amp;""),"Q",""),"분기","")," ","")))</f>
        <v/>
      </c>
      <c r="O219" s="94">
        <f>IF($A219="",0,($G219+$H219)*설정!$C$23)</f>
        <v/>
      </c>
      <c r="P219" s="94">
        <f>IF($A219="",0,$I219*설정!$C$23)</f>
        <v/>
      </c>
      <c r="Q219" s="64">
        <f>IF($A219="","",IF(COUNTIF(변동분석!$E$7:$E$506,L219)&gt;0,"Y","N"))</f>
        <v/>
      </c>
      <c r="R219" s="9">
        <f>IF($A219="","",$D219&amp;"")</f>
        <v/>
      </c>
    </row>
    <row r="220">
      <c r="A220" s="92" t="n">
        <v>2026</v>
      </c>
      <c r="B220" s="92" t="inlineStr">
        <is>
          <t>D700</t>
        </is>
      </c>
      <c r="C220" s="92" t="inlineStr">
        <is>
          <t>IT운영팀</t>
        </is>
      </c>
      <c r="D220" s="92" t="n">
        <v>63002000</v>
      </c>
      <c r="E220" s="92" t="inlineStr">
        <is>
          <t>전산운영비-클라우드</t>
        </is>
      </c>
      <c r="F220" s="92" t="n">
        <v>4</v>
      </c>
      <c r="G220" s="93" t="n">
        <v>270000000</v>
      </c>
      <c r="H220" s="93" t="n">
        <v>0</v>
      </c>
      <c r="I220" s="93" t="n">
        <v>0</v>
      </c>
      <c r="J220" s="93" t="n">
        <v>270000000</v>
      </c>
      <c r="L220" s="9">
        <f>IF($A220="","",$B220&amp;"|"&amp;$D220)</f>
        <v/>
      </c>
      <c r="M220" s="9">
        <f>IF($A220="","",VALUE($A220&amp;""))</f>
        <v/>
      </c>
      <c r="N220" s="9">
        <f>IF($A220="","",VALUE(SUBSTITUTE(SUBSTITUTE(SUBSTITUTE(UPPER($F220&amp;""),"Q",""),"분기","")," ","")))</f>
        <v/>
      </c>
      <c r="O220" s="94">
        <f>IF($A220="",0,($G220+$H220)*설정!$C$23)</f>
        <v/>
      </c>
      <c r="P220" s="94">
        <f>IF($A220="",0,$I220*설정!$C$23)</f>
        <v/>
      </c>
      <c r="Q220" s="64">
        <f>IF($A220="","",IF(COUNTIF(변동분석!$E$7:$E$506,L220)&gt;0,"Y","N"))</f>
        <v/>
      </c>
      <c r="R220" s="9">
        <f>IF($A220="","",$D220&amp;"")</f>
        <v/>
      </c>
    </row>
    <row r="221">
      <c r="A221" s="92" t="n">
        <v>2026</v>
      </c>
      <c r="B221" s="92" t="inlineStr">
        <is>
          <t>D800</t>
        </is>
      </c>
      <c r="C221" s="92" t="inlineStr">
        <is>
          <t>고객서비스팀</t>
        </is>
      </c>
      <c r="D221" s="92" t="n">
        <v>62101000</v>
      </c>
      <c r="E221" s="92" t="inlineStr">
        <is>
          <t>여비교통비-국내</t>
        </is>
      </c>
      <c r="F221" s="92" t="n">
        <v>1</v>
      </c>
      <c r="G221" s="93" t="n">
        <v>2550000</v>
      </c>
      <c r="H221" s="93" t="n">
        <v>0</v>
      </c>
      <c r="I221" s="93" t="n">
        <v>2262000</v>
      </c>
      <c r="J221" s="93" t="n">
        <v>288000</v>
      </c>
      <c r="L221" s="9">
        <f>IF($A221="","",$B221&amp;"|"&amp;$D221)</f>
        <v/>
      </c>
      <c r="M221" s="9">
        <f>IF($A221="","",VALUE($A221&amp;""))</f>
        <v/>
      </c>
      <c r="N221" s="9">
        <f>IF($A221="","",VALUE(SUBSTITUTE(SUBSTITUTE(SUBSTITUTE(UPPER($F221&amp;""),"Q",""),"분기","")," ","")))</f>
        <v/>
      </c>
      <c r="O221" s="94">
        <f>IF($A221="",0,($G221+$H221)*설정!$C$23)</f>
        <v/>
      </c>
      <c r="P221" s="94">
        <f>IF($A221="",0,$I221*설정!$C$23)</f>
        <v/>
      </c>
      <c r="Q221" s="64">
        <f>IF($A221="","",IF(COUNTIF(변동분석!$E$7:$E$506,L221)&gt;0,"Y","N"))</f>
        <v/>
      </c>
      <c r="R221" s="9">
        <f>IF($A221="","",$D221&amp;"")</f>
        <v/>
      </c>
    </row>
    <row r="222">
      <c r="A222" s="92" t="n">
        <v>2026</v>
      </c>
      <c r="B222" s="92" t="inlineStr">
        <is>
          <t>D800</t>
        </is>
      </c>
      <c r="C222" s="92" t="inlineStr">
        <is>
          <t>고객서비스팀</t>
        </is>
      </c>
      <c r="D222" s="92" t="n">
        <v>62101000</v>
      </c>
      <c r="E222" s="92" t="inlineStr">
        <is>
          <t>여비교통비-국내</t>
        </is>
      </c>
      <c r="F222" s="92" t="n">
        <v>2</v>
      </c>
      <c r="G222" s="93" t="n">
        <v>2550000</v>
      </c>
      <c r="H222" s="93" t="n">
        <v>0</v>
      </c>
      <c r="I222" s="93" t="n">
        <v>2460000</v>
      </c>
      <c r="J222" s="93" t="n">
        <v>90000</v>
      </c>
      <c r="L222" s="9">
        <f>IF($A222="","",$B222&amp;"|"&amp;$D222)</f>
        <v/>
      </c>
      <c r="M222" s="9">
        <f>IF($A222="","",VALUE($A222&amp;""))</f>
        <v/>
      </c>
      <c r="N222" s="9">
        <f>IF($A222="","",VALUE(SUBSTITUTE(SUBSTITUTE(SUBSTITUTE(UPPER($F222&amp;""),"Q",""),"분기","")," ","")))</f>
        <v/>
      </c>
      <c r="O222" s="94">
        <f>IF($A222="",0,($G222+$H222)*설정!$C$23)</f>
        <v/>
      </c>
      <c r="P222" s="94">
        <f>IF($A222="",0,$I222*설정!$C$23)</f>
        <v/>
      </c>
      <c r="Q222" s="64">
        <f>IF($A222="","",IF(COUNTIF(변동분석!$E$7:$E$506,L222)&gt;0,"Y","N"))</f>
        <v/>
      </c>
      <c r="R222" s="9">
        <f>IF($A222="","",$D222&amp;"")</f>
        <v/>
      </c>
    </row>
    <row r="223">
      <c r="A223" s="92" t="n">
        <v>2026</v>
      </c>
      <c r="B223" s="92" t="inlineStr">
        <is>
          <t>D800</t>
        </is>
      </c>
      <c r="C223" s="92" t="inlineStr">
        <is>
          <t>고객서비스팀</t>
        </is>
      </c>
      <c r="D223" s="92" t="n">
        <v>62101000</v>
      </c>
      <c r="E223" s="92" t="inlineStr">
        <is>
          <t>여비교통비-국내</t>
        </is>
      </c>
      <c r="F223" s="92" t="n">
        <v>3</v>
      </c>
      <c r="G223" s="93" t="n">
        <v>2550000</v>
      </c>
      <c r="H223" s="93" t="n">
        <v>0</v>
      </c>
      <c r="I223" s="93" t="n">
        <v>2291000</v>
      </c>
      <c r="J223" s="93" t="n">
        <v>259000</v>
      </c>
      <c r="L223" s="9">
        <f>IF($A223="","",$B223&amp;"|"&amp;$D223)</f>
        <v/>
      </c>
      <c r="M223" s="9">
        <f>IF($A223="","",VALUE($A223&amp;""))</f>
        <v/>
      </c>
      <c r="N223" s="9">
        <f>IF($A223="","",VALUE(SUBSTITUTE(SUBSTITUTE(SUBSTITUTE(UPPER($F223&amp;""),"Q",""),"분기","")," ","")))</f>
        <v/>
      </c>
      <c r="O223" s="94">
        <f>IF($A223="",0,($G223+$H223)*설정!$C$23)</f>
        <v/>
      </c>
      <c r="P223" s="94">
        <f>IF($A223="",0,$I223*설정!$C$23)</f>
        <v/>
      </c>
      <c r="Q223" s="64">
        <f>IF($A223="","",IF(COUNTIF(변동분석!$E$7:$E$506,L223)&gt;0,"Y","N"))</f>
        <v/>
      </c>
      <c r="R223" s="9">
        <f>IF($A223="","",$D223&amp;"")</f>
        <v/>
      </c>
    </row>
    <row r="224">
      <c r="A224" s="92" t="n">
        <v>2026</v>
      </c>
      <c r="B224" s="92" t="inlineStr">
        <is>
          <t>D800</t>
        </is>
      </c>
      <c r="C224" s="92" t="inlineStr">
        <is>
          <t>고객서비스팀</t>
        </is>
      </c>
      <c r="D224" s="92" t="n">
        <v>62101000</v>
      </c>
      <c r="E224" s="92" t="inlineStr">
        <is>
          <t>여비교통비-국내</t>
        </is>
      </c>
      <c r="F224" s="92" t="n">
        <v>4</v>
      </c>
      <c r="G224" s="93" t="n">
        <v>2550000</v>
      </c>
      <c r="H224" s="93" t="n">
        <v>0</v>
      </c>
      <c r="I224" s="93" t="n">
        <v>0</v>
      </c>
      <c r="J224" s="93" t="n">
        <v>2550000</v>
      </c>
      <c r="L224" s="9">
        <f>IF($A224="","",$B224&amp;"|"&amp;$D224)</f>
        <v/>
      </c>
      <c r="M224" s="9">
        <f>IF($A224="","",VALUE($A224&amp;""))</f>
        <v/>
      </c>
      <c r="N224" s="9">
        <f>IF($A224="","",VALUE(SUBSTITUTE(SUBSTITUTE(SUBSTITUTE(UPPER($F224&amp;""),"Q",""),"분기","")," ","")))</f>
        <v/>
      </c>
      <c r="O224" s="94">
        <f>IF($A224="",0,($G224+$H224)*설정!$C$23)</f>
        <v/>
      </c>
      <c r="P224" s="94">
        <f>IF($A224="",0,$I224*설정!$C$23)</f>
        <v/>
      </c>
      <c r="Q224" s="64">
        <f>IF($A224="","",IF(COUNTIF(변동분석!$E$7:$E$506,L224)&gt;0,"Y","N"))</f>
        <v/>
      </c>
      <c r="R224" s="9">
        <f>IF($A224="","",$D224&amp;"")</f>
        <v/>
      </c>
    </row>
    <row r="225">
      <c r="A225" s="92" t="n">
        <v>2026</v>
      </c>
      <c r="B225" s="92" t="inlineStr">
        <is>
          <t>D800</t>
        </is>
      </c>
      <c r="C225" s="92" t="inlineStr">
        <is>
          <t>고객서비스팀</t>
        </is>
      </c>
      <c r="D225" s="92" t="n">
        <v>62102000</v>
      </c>
      <c r="E225" s="92" t="inlineStr">
        <is>
          <t>여비교통비-해외</t>
        </is>
      </c>
      <c r="F225" s="92" t="n">
        <v>1</v>
      </c>
      <c r="G225" s="93" t="n">
        <v>450000</v>
      </c>
      <c r="H225" s="93" t="n">
        <v>0</v>
      </c>
      <c r="I225" s="93" t="n">
        <v>361000</v>
      </c>
      <c r="J225" s="93" t="n">
        <v>89000</v>
      </c>
      <c r="L225" s="9">
        <f>IF($A225="","",$B225&amp;"|"&amp;$D225)</f>
        <v/>
      </c>
      <c r="M225" s="9">
        <f>IF($A225="","",VALUE($A225&amp;""))</f>
        <v/>
      </c>
      <c r="N225" s="9">
        <f>IF($A225="","",VALUE(SUBSTITUTE(SUBSTITUTE(SUBSTITUTE(UPPER($F225&amp;""),"Q",""),"분기","")," ","")))</f>
        <v/>
      </c>
      <c r="O225" s="94">
        <f>IF($A225="",0,($G225+$H225)*설정!$C$23)</f>
        <v/>
      </c>
      <c r="P225" s="94">
        <f>IF($A225="",0,$I225*설정!$C$23)</f>
        <v/>
      </c>
      <c r="Q225" s="64">
        <f>IF($A225="","",IF(COUNTIF(변동분석!$E$7:$E$506,L225)&gt;0,"Y","N"))</f>
        <v/>
      </c>
      <c r="R225" s="9">
        <f>IF($A225="","",$D225&amp;"")</f>
        <v/>
      </c>
    </row>
    <row r="226">
      <c r="A226" s="92" t="n">
        <v>2026</v>
      </c>
      <c r="B226" s="92" t="inlineStr">
        <is>
          <t>D800</t>
        </is>
      </c>
      <c r="C226" s="92" t="inlineStr">
        <is>
          <t>고객서비스팀</t>
        </is>
      </c>
      <c r="D226" s="92" t="n">
        <v>62102000</v>
      </c>
      <c r="E226" s="92" t="inlineStr">
        <is>
          <t>여비교통비-해외</t>
        </is>
      </c>
      <c r="F226" s="92" t="n">
        <v>2</v>
      </c>
      <c r="G226" s="93" t="n">
        <v>450000</v>
      </c>
      <c r="H226" s="93" t="n">
        <v>0</v>
      </c>
      <c r="I226" s="93" t="n">
        <v>358000</v>
      </c>
      <c r="J226" s="93" t="n">
        <v>92000</v>
      </c>
      <c r="L226" s="9">
        <f>IF($A226="","",$B226&amp;"|"&amp;$D226)</f>
        <v/>
      </c>
      <c r="M226" s="9">
        <f>IF($A226="","",VALUE($A226&amp;""))</f>
        <v/>
      </c>
      <c r="N226" s="9">
        <f>IF($A226="","",VALUE(SUBSTITUTE(SUBSTITUTE(SUBSTITUTE(UPPER($F226&amp;""),"Q",""),"분기","")," ","")))</f>
        <v/>
      </c>
      <c r="O226" s="94">
        <f>IF($A226="",0,($G226+$H226)*설정!$C$23)</f>
        <v/>
      </c>
      <c r="P226" s="94">
        <f>IF($A226="",0,$I226*설정!$C$23)</f>
        <v/>
      </c>
      <c r="Q226" s="64">
        <f>IF($A226="","",IF(COUNTIF(변동분석!$E$7:$E$506,L226)&gt;0,"Y","N"))</f>
        <v/>
      </c>
      <c r="R226" s="9">
        <f>IF($A226="","",$D226&amp;"")</f>
        <v/>
      </c>
    </row>
    <row r="227">
      <c r="A227" s="92" t="n">
        <v>2026</v>
      </c>
      <c r="B227" s="92" t="inlineStr">
        <is>
          <t>D800</t>
        </is>
      </c>
      <c r="C227" s="92" t="inlineStr">
        <is>
          <t>고객서비스팀</t>
        </is>
      </c>
      <c r="D227" s="92" t="n">
        <v>62102000</v>
      </c>
      <c r="E227" s="92" t="inlineStr">
        <is>
          <t>여비교통비-해외</t>
        </is>
      </c>
      <c r="F227" s="92" t="n">
        <v>3</v>
      </c>
      <c r="G227" s="93" t="n">
        <v>450000</v>
      </c>
      <c r="H227" s="93" t="n">
        <v>0</v>
      </c>
      <c r="I227" s="93" t="n">
        <v>370000</v>
      </c>
      <c r="J227" s="93" t="n">
        <v>80000</v>
      </c>
      <c r="L227" s="9">
        <f>IF($A227="","",$B227&amp;"|"&amp;$D227)</f>
        <v/>
      </c>
      <c r="M227" s="9">
        <f>IF($A227="","",VALUE($A227&amp;""))</f>
        <v/>
      </c>
      <c r="N227" s="9">
        <f>IF($A227="","",VALUE(SUBSTITUTE(SUBSTITUTE(SUBSTITUTE(UPPER($F227&amp;""),"Q",""),"분기","")," ","")))</f>
        <v/>
      </c>
      <c r="O227" s="94">
        <f>IF($A227="",0,($G227+$H227)*설정!$C$23)</f>
        <v/>
      </c>
      <c r="P227" s="94">
        <f>IF($A227="",0,$I227*설정!$C$23)</f>
        <v/>
      </c>
      <c r="Q227" s="64">
        <f>IF($A227="","",IF(COUNTIF(변동분석!$E$7:$E$506,L227)&gt;0,"Y","N"))</f>
        <v/>
      </c>
      <c r="R227" s="9">
        <f>IF($A227="","",$D227&amp;"")</f>
        <v/>
      </c>
    </row>
    <row r="228">
      <c r="A228" s="92" t="n">
        <v>2026</v>
      </c>
      <c r="B228" s="92" t="inlineStr">
        <is>
          <t>D800</t>
        </is>
      </c>
      <c r="C228" s="92" t="inlineStr">
        <is>
          <t>고객서비스팀</t>
        </is>
      </c>
      <c r="D228" s="92" t="n">
        <v>62102000</v>
      </c>
      <c r="E228" s="92" t="inlineStr">
        <is>
          <t>여비교통비-해외</t>
        </is>
      </c>
      <c r="F228" s="92" t="n">
        <v>4</v>
      </c>
      <c r="G228" s="93" t="n">
        <v>450000</v>
      </c>
      <c r="H228" s="93" t="n">
        <v>0</v>
      </c>
      <c r="I228" s="93" t="n">
        <v>0</v>
      </c>
      <c r="J228" s="93" t="n">
        <v>450000</v>
      </c>
      <c r="L228" s="9">
        <f>IF($A228="","",$B228&amp;"|"&amp;$D228)</f>
        <v/>
      </c>
      <c r="M228" s="9">
        <f>IF($A228="","",VALUE($A228&amp;""))</f>
        <v/>
      </c>
      <c r="N228" s="9">
        <f>IF($A228="","",VALUE(SUBSTITUTE(SUBSTITUTE(SUBSTITUTE(UPPER($F228&amp;""),"Q",""),"분기","")," ","")))</f>
        <v/>
      </c>
      <c r="O228" s="94">
        <f>IF($A228="",0,($G228+$H228)*설정!$C$23)</f>
        <v/>
      </c>
      <c r="P228" s="94">
        <f>IF($A228="",0,$I228*설정!$C$23)</f>
        <v/>
      </c>
      <c r="Q228" s="64">
        <f>IF($A228="","",IF(COUNTIF(변동분석!$E$7:$E$506,L228)&gt;0,"Y","N"))</f>
        <v/>
      </c>
      <c r="R228" s="9">
        <f>IF($A228="","",$D228&amp;"")</f>
        <v/>
      </c>
    </row>
    <row r="229">
      <c r="A229" s="92" t="n">
        <v>2026</v>
      </c>
      <c r="B229" s="92" t="inlineStr">
        <is>
          <t>D800</t>
        </is>
      </c>
      <c r="C229" s="92" t="inlineStr">
        <is>
          <t>고객서비스팀</t>
        </is>
      </c>
      <c r="D229" s="92" t="n">
        <v>62201000</v>
      </c>
      <c r="E229" s="92" t="inlineStr">
        <is>
          <t>통신비</t>
        </is>
      </c>
      <c r="F229" s="92" t="n">
        <v>1</v>
      </c>
      <c r="G229" s="93" t="n">
        <v>60000000</v>
      </c>
      <c r="H229" s="93" t="n">
        <v>0</v>
      </c>
      <c r="I229" s="93" t="n">
        <v>49657000</v>
      </c>
      <c r="J229" s="93" t="n">
        <v>10343000</v>
      </c>
      <c r="L229" s="9">
        <f>IF($A229="","",$B229&amp;"|"&amp;$D229)</f>
        <v/>
      </c>
      <c r="M229" s="9">
        <f>IF($A229="","",VALUE($A229&amp;""))</f>
        <v/>
      </c>
      <c r="N229" s="9">
        <f>IF($A229="","",VALUE(SUBSTITUTE(SUBSTITUTE(SUBSTITUTE(UPPER($F229&amp;""),"Q",""),"분기","")," ","")))</f>
        <v/>
      </c>
      <c r="O229" s="94">
        <f>IF($A229="",0,($G229+$H229)*설정!$C$23)</f>
        <v/>
      </c>
      <c r="P229" s="94">
        <f>IF($A229="",0,$I229*설정!$C$23)</f>
        <v/>
      </c>
      <c r="Q229" s="64">
        <f>IF($A229="","",IF(COUNTIF(변동분석!$E$7:$E$506,L229)&gt;0,"Y","N"))</f>
        <v/>
      </c>
      <c r="R229" s="9">
        <f>IF($A229="","",$D229&amp;"")</f>
        <v/>
      </c>
    </row>
    <row r="230">
      <c r="A230" s="92" t="n">
        <v>2026</v>
      </c>
      <c r="B230" s="92" t="inlineStr">
        <is>
          <t>D800</t>
        </is>
      </c>
      <c r="C230" s="92" t="inlineStr">
        <is>
          <t>고객서비스팀</t>
        </is>
      </c>
      <c r="D230" s="92" t="n">
        <v>62201000</v>
      </c>
      <c r="E230" s="92" t="inlineStr">
        <is>
          <t>통신비</t>
        </is>
      </c>
      <c r="F230" s="92" t="n">
        <v>2</v>
      </c>
      <c r="G230" s="93" t="n">
        <v>60000000</v>
      </c>
      <c r="H230" s="93" t="n">
        <v>0</v>
      </c>
      <c r="I230" s="93" t="n">
        <v>51673000</v>
      </c>
      <c r="J230" s="93" t="n">
        <v>8327000</v>
      </c>
      <c r="L230" s="9">
        <f>IF($A230="","",$B230&amp;"|"&amp;$D230)</f>
        <v/>
      </c>
      <c r="M230" s="9">
        <f>IF($A230="","",VALUE($A230&amp;""))</f>
        <v/>
      </c>
      <c r="N230" s="9">
        <f>IF($A230="","",VALUE(SUBSTITUTE(SUBSTITUTE(SUBSTITUTE(UPPER($F230&amp;""),"Q",""),"분기","")," ","")))</f>
        <v/>
      </c>
      <c r="O230" s="94">
        <f>IF($A230="",0,($G230+$H230)*설정!$C$23)</f>
        <v/>
      </c>
      <c r="P230" s="94">
        <f>IF($A230="",0,$I230*설정!$C$23)</f>
        <v/>
      </c>
      <c r="Q230" s="64">
        <f>IF($A230="","",IF(COUNTIF(변동분석!$E$7:$E$506,L230)&gt;0,"Y","N"))</f>
        <v/>
      </c>
      <c r="R230" s="9">
        <f>IF($A230="","",$D230&amp;"")</f>
        <v/>
      </c>
    </row>
    <row r="231">
      <c r="A231" s="92" t="n">
        <v>2026</v>
      </c>
      <c r="B231" s="92" t="inlineStr">
        <is>
          <t>D800</t>
        </is>
      </c>
      <c r="C231" s="92" t="inlineStr">
        <is>
          <t>고객서비스팀</t>
        </is>
      </c>
      <c r="D231" s="92" t="n">
        <v>62201000</v>
      </c>
      <c r="E231" s="92" t="inlineStr">
        <is>
          <t>통신비</t>
        </is>
      </c>
      <c r="F231" s="92" t="n">
        <v>3</v>
      </c>
      <c r="G231" s="93" t="n">
        <v>60000000</v>
      </c>
      <c r="H231" s="93" t="n">
        <v>0</v>
      </c>
      <c r="I231" s="93" t="n">
        <v>52636000</v>
      </c>
      <c r="J231" s="93" t="n">
        <v>7364000</v>
      </c>
      <c r="L231" s="9">
        <f>IF($A231="","",$B231&amp;"|"&amp;$D231)</f>
        <v/>
      </c>
      <c r="M231" s="9">
        <f>IF($A231="","",VALUE($A231&amp;""))</f>
        <v/>
      </c>
      <c r="N231" s="9">
        <f>IF($A231="","",VALUE(SUBSTITUTE(SUBSTITUTE(SUBSTITUTE(UPPER($F231&amp;""),"Q",""),"분기","")," ","")))</f>
        <v/>
      </c>
      <c r="O231" s="94">
        <f>IF($A231="",0,($G231+$H231)*설정!$C$23)</f>
        <v/>
      </c>
      <c r="P231" s="94">
        <f>IF($A231="",0,$I231*설정!$C$23)</f>
        <v/>
      </c>
      <c r="Q231" s="64">
        <f>IF($A231="","",IF(COUNTIF(변동분석!$E$7:$E$506,L231)&gt;0,"Y","N"))</f>
        <v/>
      </c>
      <c r="R231" s="9">
        <f>IF($A231="","",$D231&amp;"")</f>
        <v/>
      </c>
    </row>
    <row r="232">
      <c r="A232" s="92" t="n">
        <v>2026</v>
      </c>
      <c r="B232" s="92" t="inlineStr">
        <is>
          <t>D800</t>
        </is>
      </c>
      <c r="C232" s="92" t="inlineStr">
        <is>
          <t>고객서비스팀</t>
        </is>
      </c>
      <c r="D232" s="92" t="n">
        <v>62201000</v>
      </c>
      <c r="E232" s="92" t="inlineStr">
        <is>
          <t>통신비</t>
        </is>
      </c>
      <c r="F232" s="92" t="n">
        <v>4</v>
      </c>
      <c r="G232" s="93" t="n">
        <v>60000000</v>
      </c>
      <c r="H232" s="93" t="n">
        <v>0</v>
      </c>
      <c r="I232" s="93" t="n">
        <v>0</v>
      </c>
      <c r="J232" s="93" t="n">
        <v>60000000</v>
      </c>
      <c r="L232" s="9">
        <f>IF($A232="","",$B232&amp;"|"&amp;$D232)</f>
        <v/>
      </c>
      <c r="M232" s="9">
        <f>IF($A232="","",VALUE($A232&amp;""))</f>
        <v/>
      </c>
      <c r="N232" s="9">
        <f>IF($A232="","",VALUE(SUBSTITUTE(SUBSTITUTE(SUBSTITUTE(UPPER($F232&amp;""),"Q",""),"분기","")," ","")))</f>
        <v/>
      </c>
      <c r="O232" s="94">
        <f>IF($A232="",0,($G232+$H232)*설정!$C$23)</f>
        <v/>
      </c>
      <c r="P232" s="94">
        <f>IF($A232="",0,$I232*설정!$C$23)</f>
        <v/>
      </c>
      <c r="Q232" s="64">
        <f>IF($A232="","",IF(COUNTIF(변동분석!$E$7:$E$506,L232)&gt;0,"Y","N"))</f>
        <v/>
      </c>
      <c r="R232" s="9">
        <f>IF($A232="","",$D232&amp;"")</f>
        <v/>
      </c>
    </row>
    <row r="233">
      <c r="A233" s="92" t="n">
        <v>2026</v>
      </c>
      <c r="B233" s="92" t="inlineStr">
        <is>
          <t>D800</t>
        </is>
      </c>
      <c r="C233" s="92" t="inlineStr">
        <is>
          <t>고객서비스팀</t>
        </is>
      </c>
      <c r="D233" s="92" t="n">
        <v>62301000</v>
      </c>
      <c r="E233" s="92" t="inlineStr">
        <is>
          <t>소모품비</t>
        </is>
      </c>
      <c r="F233" s="92" t="n">
        <v>1</v>
      </c>
      <c r="G233" s="93" t="n">
        <v>4500000</v>
      </c>
      <c r="H233" s="93" t="n">
        <v>0</v>
      </c>
      <c r="I233" s="93" t="n">
        <v>3642000</v>
      </c>
      <c r="J233" s="93" t="n">
        <v>858000</v>
      </c>
      <c r="L233" s="9">
        <f>IF($A233="","",$B233&amp;"|"&amp;$D233)</f>
        <v/>
      </c>
      <c r="M233" s="9">
        <f>IF($A233="","",VALUE($A233&amp;""))</f>
        <v/>
      </c>
      <c r="N233" s="9">
        <f>IF($A233="","",VALUE(SUBSTITUTE(SUBSTITUTE(SUBSTITUTE(UPPER($F233&amp;""),"Q",""),"분기","")," ","")))</f>
        <v/>
      </c>
      <c r="O233" s="94">
        <f>IF($A233="",0,($G233+$H233)*설정!$C$23)</f>
        <v/>
      </c>
      <c r="P233" s="94">
        <f>IF($A233="",0,$I233*설정!$C$23)</f>
        <v/>
      </c>
      <c r="Q233" s="64">
        <f>IF($A233="","",IF(COUNTIF(변동분석!$E$7:$E$506,L233)&gt;0,"Y","N"))</f>
        <v/>
      </c>
      <c r="R233" s="9">
        <f>IF($A233="","",$D233&amp;"")</f>
        <v/>
      </c>
    </row>
    <row r="234">
      <c r="A234" s="92" t="n">
        <v>2026</v>
      </c>
      <c r="B234" s="92" t="inlineStr">
        <is>
          <t>D800</t>
        </is>
      </c>
      <c r="C234" s="92" t="inlineStr">
        <is>
          <t>고객서비스팀</t>
        </is>
      </c>
      <c r="D234" s="92" t="n">
        <v>62301000</v>
      </c>
      <c r="E234" s="92" t="inlineStr">
        <is>
          <t>소모품비</t>
        </is>
      </c>
      <c r="F234" s="92" t="n">
        <v>2</v>
      </c>
      <c r="G234" s="93" t="n">
        <v>4500000</v>
      </c>
      <c r="H234" s="93" t="n">
        <v>0</v>
      </c>
      <c r="I234" s="93" t="n">
        <v>3669000</v>
      </c>
      <c r="J234" s="93" t="n">
        <v>831000</v>
      </c>
      <c r="L234" s="9">
        <f>IF($A234="","",$B234&amp;"|"&amp;$D234)</f>
        <v/>
      </c>
      <c r="M234" s="9">
        <f>IF($A234="","",VALUE($A234&amp;""))</f>
        <v/>
      </c>
      <c r="N234" s="9">
        <f>IF($A234="","",VALUE(SUBSTITUTE(SUBSTITUTE(SUBSTITUTE(UPPER($F234&amp;""),"Q",""),"분기","")," ","")))</f>
        <v/>
      </c>
      <c r="O234" s="94">
        <f>IF($A234="",0,($G234+$H234)*설정!$C$23)</f>
        <v/>
      </c>
      <c r="P234" s="94">
        <f>IF($A234="",0,$I234*설정!$C$23)</f>
        <v/>
      </c>
      <c r="Q234" s="64">
        <f>IF($A234="","",IF(COUNTIF(변동분석!$E$7:$E$506,L234)&gt;0,"Y","N"))</f>
        <v/>
      </c>
      <c r="R234" s="9">
        <f>IF($A234="","",$D234&amp;"")</f>
        <v/>
      </c>
    </row>
    <row r="235">
      <c r="A235" s="92" t="n">
        <v>2026</v>
      </c>
      <c r="B235" s="92" t="inlineStr">
        <is>
          <t>D800</t>
        </is>
      </c>
      <c r="C235" s="92" t="inlineStr">
        <is>
          <t>고객서비스팀</t>
        </is>
      </c>
      <c r="D235" s="92" t="n">
        <v>62301000</v>
      </c>
      <c r="E235" s="92" t="inlineStr">
        <is>
          <t>소모품비</t>
        </is>
      </c>
      <c r="F235" s="92" t="n">
        <v>3</v>
      </c>
      <c r="G235" s="93" t="n">
        <v>4500000</v>
      </c>
      <c r="H235" s="93" t="n">
        <v>0</v>
      </c>
      <c r="I235" s="93" t="n">
        <v>3744000</v>
      </c>
      <c r="J235" s="93" t="n">
        <v>756000</v>
      </c>
      <c r="L235" s="9">
        <f>IF($A235="","",$B235&amp;"|"&amp;$D235)</f>
        <v/>
      </c>
      <c r="M235" s="9">
        <f>IF($A235="","",VALUE($A235&amp;""))</f>
        <v/>
      </c>
      <c r="N235" s="9">
        <f>IF($A235="","",VALUE(SUBSTITUTE(SUBSTITUTE(SUBSTITUTE(UPPER($F235&amp;""),"Q",""),"분기","")," ","")))</f>
        <v/>
      </c>
      <c r="O235" s="94">
        <f>IF($A235="",0,($G235+$H235)*설정!$C$23)</f>
        <v/>
      </c>
      <c r="P235" s="94">
        <f>IF($A235="",0,$I235*설정!$C$23)</f>
        <v/>
      </c>
      <c r="Q235" s="64">
        <f>IF($A235="","",IF(COUNTIF(변동분석!$E$7:$E$506,L235)&gt;0,"Y","N"))</f>
        <v/>
      </c>
      <c r="R235" s="9">
        <f>IF($A235="","",$D235&amp;"")</f>
        <v/>
      </c>
    </row>
    <row r="236">
      <c r="A236" s="92" t="n">
        <v>2026</v>
      </c>
      <c r="B236" s="92" t="inlineStr">
        <is>
          <t>D800</t>
        </is>
      </c>
      <c r="C236" s="92" t="inlineStr">
        <is>
          <t>고객서비스팀</t>
        </is>
      </c>
      <c r="D236" s="92" t="n">
        <v>62301000</v>
      </c>
      <c r="E236" s="92" t="inlineStr">
        <is>
          <t>소모품비</t>
        </is>
      </c>
      <c r="F236" s="92" t="n">
        <v>4</v>
      </c>
      <c r="G236" s="93" t="n">
        <v>4500000</v>
      </c>
      <c r="H236" s="93" t="n">
        <v>0</v>
      </c>
      <c r="I236" s="93" t="n">
        <v>0</v>
      </c>
      <c r="J236" s="93" t="n">
        <v>4500000</v>
      </c>
      <c r="L236" s="9">
        <f>IF($A236="","",$B236&amp;"|"&amp;$D236)</f>
        <v/>
      </c>
      <c r="M236" s="9">
        <f>IF($A236="","",VALUE($A236&amp;""))</f>
        <v/>
      </c>
      <c r="N236" s="9">
        <f>IF($A236="","",VALUE(SUBSTITUTE(SUBSTITUTE(SUBSTITUTE(UPPER($F236&amp;""),"Q",""),"분기","")," ","")))</f>
        <v/>
      </c>
      <c r="O236" s="94">
        <f>IF($A236="",0,($G236+$H236)*설정!$C$23)</f>
        <v/>
      </c>
      <c r="P236" s="94">
        <f>IF($A236="",0,$I236*설정!$C$23)</f>
        <v/>
      </c>
      <c r="Q236" s="64">
        <f>IF($A236="","",IF(COUNTIF(변동분석!$E$7:$E$506,L236)&gt;0,"Y","N"))</f>
        <v/>
      </c>
      <c r="R236" s="9">
        <f>IF($A236="","",$D236&amp;"")</f>
        <v/>
      </c>
    </row>
    <row r="237">
      <c r="A237" s="92" t="n">
        <v>2026</v>
      </c>
      <c r="B237" s="92" t="inlineStr">
        <is>
          <t>D800</t>
        </is>
      </c>
      <c r="C237" s="92" t="inlineStr">
        <is>
          <t>고객서비스팀</t>
        </is>
      </c>
      <c r="D237" s="92" t="n">
        <v>62401000</v>
      </c>
      <c r="E237" s="92" t="inlineStr">
        <is>
          <t>도서인쇄비</t>
        </is>
      </c>
      <c r="F237" s="92" t="n">
        <v>1</v>
      </c>
      <c r="G237" s="93" t="n">
        <v>24000000</v>
      </c>
      <c r="H237" s="93" t="n">
        <v>0</v>
      </c>
      <c r="I237" s="93" t="n">
        <v>18570000</v>
      </c>
      <c r="J237" s="93" t="n">
        <v>5430000</v>
      </c>
      <c r="L237" s="9">
        <f>IF($A237="","",$B237&amp;"|"&amp;$D237)</f>
        <v/>
      </c>
      <c r="M237" s="9">
        <f>IF($A237="","",VALUE($A237&amp;""))</f>
        <v/>
      </c>
      <c r="N237" s="9">
        <f>IF($A237="","",VALUE(SUBSTITUTE(SUBSTITUTE(SUBSTITUTE(UPPER($F237&amp;""),"Q",""),"분기","")," ","")))</f>
        <v/>
      </c>
      <c r="O237" s="94">
        <f>IF($A237="",0,($G237+$H237)*설정!$C$23)</f>
        <v/>
      </c>
      <c r="P237" s="94">
        <f>IF($A237="",0,$I237*설정!$C$23)</f>
        <v/>
      </c>
      <c r="Q237" s="64">
        <f>IF($A237="","",IF(COUNTIF(변동분석!$E$7:$E$506,L237)&gt;0,"Y","N"))</f>
        <v/>
      </c>
      <c r="R237" s="9">
        <f>IF($A237="","",$D237&amp;"")</f>
        <v/>
      </c>
    </row>
    <row r="238">
      <c r="A238" s="92" t="n">
        <v>2026</v>
      </c>
      <c r="B238" s="92" t="inlineStr">
        <is>
          <t>D800</t>
        </is>
      </c>
      <c r="C238" s="92" t="inlineStr">
        <is>
          <t>고객서비스팀</t>
        </is>
      </c>
      <c r="D238" s="92" t="n">
        <v>62401000</v>
      </c>
      <c r="E238" s="92" t="inlineStr">
        <is>
          <t>도서인쇄비</t>
        </is>
      </c>
      <c r="F238" s="92" t="n">
        <v>2</v>
      </c>
      <c r="G238" s="93" t="n">
        <v>24000000</v>
      </c>
      <c r="H238" s="93" t="n">
        <v>0</v>
      </c>
      <c r="I238" s="93" t="n">
        <v>18095000</v>
      </c>
      <c r="J238" s="93" t="n">
        <v>5905000</v>
      </c>
      <c r="L238" s="9">
        <f>IF($A238="","",$B238&amp;"|"&amp;$D238)</f>
        <v/>
      </c>
      <c r="M238" s="9">
        <f>IF($A238="","",VALUE($A238&amp;""))</f>
        <v/>
      </c>
      <c r="N238" s="9">
        <f>IF($A238="","",VALUE(SUBSTITUTE(SUBSTITUTE(SUBSTITUTE(UPPER($F238&amp;""),"Q",""),"분기","")," ","")))</f>
        <v/>
      </c>
      <c r="O238" s="94">
        <f>IF($A238="",0,($G238+$H238)*설정!$C$23)</f>
        <v/>
      </c>
      <c r="P238" s="94">
        <f>IF($A238="",0,$I238*설정!$C$23)</f>
        <v/>
      </c>
      <c r="Q238" s="64">
        <f>IF($A238="","",IF(COUNTIF(변동분석!$E$7:$E$506,L238)&gt;0,"Y","N"))</f>
        <v/>
      </c>
      <c r="R238" s="9">
        <f>IF($A238="","",$D238&amp;"")</f>
        <v/>
      </c>
    </row>
    <row r="239">
      <c r="A239" s="92" t="n">
        <v>2026</v>
      </c>
      <c r="B239" s="92" t="inlineStr">
        <is>
          <t>D800</t>
        </is>
      </c>
      <c r="C239" s="92" t="inlineStr">
        <is>
          <t>고객서비스팀</t>
        </is>
      </c>
      <c r="D239" s="92" t="n">
        <v>62401000</v>
      </c>
      <c r="E239" s="92" t="inlineStr">
        <is>
          <t>도서인쇄비</t>
        </is>
      </c>
      <c r="F239" s="92" t="n">
        <v>3</v>
      </c>
      <c r="G239" s="93" t="n">
        <v>24000000</v>
      </c>
      <c r="H239" s="93" t="n">
        <v>0</v>
      </c>
      <c r="I239" s="93" t="n">
        <v>21636000</v>
      </c>
      <c r="J239" s="93" t="n">
        <v>2364000</v>
      </c>
      <c r="L239" s="9">
        <f>IF($A239="","",$B239&amp;"|"&amp;$D239)</f>
        <v/>
      </c>
      <c r="M239" s="9">
        <f>IF($A239="","",VALUE($A239&amp;""))</f>
        <v/>
      </c>
      <c r="N239" s="9">
        <f>IF($A239="","",VALUE(SUBSTITUTE(SUBSTITUTE(SUBSTITUTE(UPPER($F239&amp;""),"Q",""),"분기","")," ","")))</f>
        <v/>
      </c>
      <c r="O239" s="94">
        <f>IF($A239="",0,($G239+$H239)*설정!$C$23)</f>
        <v/>
      </c>
      <c r="P239" s="94">
        <f>IF($A239="",0,$I239*설정!$C$23)</f>
        <v/>
      </c>
      <c r="Q239" s="64">
        <f>IF($A239="","",IF(COUNTIF(변동분석!$E$7:$E$506,L239)&gt;0,"Y","N"))</f>
        <v/>
      </c>
      <c r="R239" s="9">
        <f>IF($A239="","",$D239&amp;"")</f>
        <v/>
      </c>
    </row>
    <row r="240">
      <c r="A240" s="92" t="n">
        <v>2026</v>
      </c>
      <c r="B240" s="92" t="inlineStr">
        <is>
          <t>D800</t>
        </is>
      </c>
      <c r="C240" s="92" t="inlineStr">
        <is>
          <t>고객서비스팀</t>
        </is>
      </c>
      <c r="D240" s="92" t="n">
        <v>62401000</v>
      </c>
      <c r="E240" s="92" t="inlineStr">
        <is>
          <t>도서인쇄비</t>
        </is>
      </c>
      <c r="F240" s="92" t="n">
        <v>4</v>
      </c>
      <c r="G240" s="93" t="n">
        <v>24000000</v>
      </c>
      <c r="H240" s="93" t="n">
        <v>0</v>
      </c>
      <c r="I240" s="93" t="n">
        <v>0</v>
      </c>
      <c r="J240" s="93" t="n">
        <v>24000000</v>
      </c>
      <c r="L240" s="9">
        <f>IF($A240="","",$B240&amp;"|"&amp;$D240)</f>
        <v/>
      </c>
      <c r="M240" s="9">
        <f>IF($A240="","",VALUE($A240&amp;""))</f>
        <v/>
      </c>
      <c r="N240" s="9">
        <f>IF($A240="","",VALUE(SUBSTITUTE(SUBSTITUTE(SUBSTITUTE(UPPER($F240&amp;""),"Q",""),"분기","")," ","")))</f>
        <v/>
      </c>
      <c r="O240" s="94">
        <f>IF($A240="",0,($G240+$H240)*설정!$C$23)</f>
        <v/>
      </c>
      <c r="P240" s="94">
        <f>IF($A240="",0,$I240*설정!$C$23)</f>
        <v/>
      </c>
      <c r="Q240" s="64">
        <f>IF($A240="","",IF(COUNTIF(변동분석!$E$7:$E$506,L240)&gt;0,"Y","N"))</f>
        <v/>
      </c>
      <c r="R240" s="9">
        <f>IF($A240="","",$D240&amp;"")</f>
        <v/>
      </c>
    </row>
    <row r="241">
      <c r="A241" s="92" t="n">
        <v>2026</v>
      </c>
      <c r="B241" s="92" t="inlineStr">
        <is>
          <t>D800</t>
        </is>
      </c>
      <c r="C241" s="92" t="inlineStr">
        <is>
          <t>고객서비스팀</t>
        </is>
      </c>
      <c r="D241" s="92" t="n">
        <v>62501000</v>
      </c>
      <c r="E241" s="92" t="inlineStr">
        <is>
          <t>회의비</t>
        </is>
      </c>
      <c r="F241" s="92" t="n">
        <v>1</v>
      </c>
      <c r="G241" s="93" t="n">
        <v>1500000</v>
      </c>
      <c r="H241" s="93" t="n">
        <v>0</v>
      </c>
      <c r="I241" s="93" t="n">
        <v>1214000</v>
      </c>
      <c r="J241" s="93" t="n">
        <v>286000</v>
      </c>
      <c r="L241" s="9">
        <f>IF($A241="","",$B241&amp;"|"&amp;$D241)</f>
        <v/>
      </c>
      <c r="M241" s="9">
        <f>IF($A241="","",VALUE($A241&amp;""))</f>
        <v/>
      </c>
      <c r="N241" s="9">
        <f>IF($A241="","",VALUE(SUBSTITUTE(SUBSTITUTE(SUBSTITUTE(UPPER($F241&amp;""),"Q",""),"분기","")," ","")))</f>
        <v/>
      </c>
      <c r="O241" s="94">
        <f>IF($A241="",0,($G241+$H241)*설정!$C$23)</f>
        <v/>
      </c>
      <c r="P241" s="94">
        <f>IF($A241="",0,$I241*설정!$C$23)</f>
        <v/>
      </c>
      <c r="Q241" s="64">
        <f>IF($A241="","",IF(COUNTIF(변동분석!$E$7:$E$506,L241)&gt;0,"Y","N"))</f>
        <v/>
      </c>
      <c r="R241" s="9">
        <f>IF($A241="","",$D241&amp;"")</f>
        <v/>
      </c>
    </row>
    <row r="242">
      <c r="A242" s="92" t="n">
        <v>2026</v>
      </c>
      <c r="B242" s="92" t="inlineStr">
        <is>
          <t>D800</t>
        </is>
      </c>
      <c r="C242" s="92" t="inlineStr">
        <is>
          <t>고객서비스팀</t>
        </is>
      </c>
      <c r="D242" s="92" t="n">
        <v>62501000</v>
      </c>
      <c r="E242" s="92" t="inlineStr">
        <is>
          <t>회의비</t>
        </is>
      </c>
      <c r="F242" s="92" t="n">
        <v>2</v>
      </c>
      <c r="G242" s="93" t="n">
        <v>1500000</v>
      </c>
      <c r="H242" s="93" t="n">
        <v>0</v>
      </c>
      <c r="I242" s="93" t="n">
        <v>1251000</v>
      </c>
      <c r="J242" s="93" t="n">
        <v>249000</v>
      </c>
      <c r="L242" s="9">
        <f>IF($A242="","",$B242&amp;"|"&amp;$D242)</f>
        <v/>
      </c>
      <c r="M242" s="9">
        <f>IF($A242="","",VALUE($A242&amp;""))</f>
        <v/>
      </c>
      <c r="N242" s="9">
        <f>IF($A242="","",VALUE(SUBSTITUTE(SUBSTITUTE(SUBSTITUTE(UPPER($F242&amp;""),"Q",""),"분기","")," ","")))</f>
        <v/>
      </c>
      <c r="O242" s="94">
        <f>IF($A242="",0,($G242+$H242)*설정!$C$23)</f>
        <v/>
      </c>
      <c r="P242" s="94">
        <f>IF($A242="",0,$I242*설정!$C$23)</f>
        <v/>
      </c>
      <c r="Q242" s="64">
        <f>IF($A242="","",IF(COUNTIF(변동분석!$E$7:$E$506,L242)&gt;0,"Y","N"))</f>
        <v/>
      </c>
      <c r="R242" s="9">
        <f>IF($A242="","",$D242&amp;"")</f>
        <v/>
      </c>
    </row>
    <row r="243">
      <c r="A243" s="92" t="n">
        <v>2026</v>
      </c>
      <c r="B243" s="92" t="inlineStr">
        <is>
          <t>D800</t>
        </is>
      </c>
      <c r="C243" s="92" t="inlineStr">
        <is>
          <t>고객서비스팀</t>
        </is>
      </c>
      <c r="D243" s="92" t="n">
        <v>62501000</v>
      </c>
      <c r="E243" s="92" t="inlineStr">
        <is>
          <t>회의비</t>
        </is>
      </c>
      <c r="F243" s="92" t="n">
        <v>3</v>
      </c>
      <c r="G243" s="93" t="n">
        <v>1500000</v>
      </c>
      <c r="H243" s="93" t="n">
        <v>0</v>
      </c>
      <c r="I243" s="93" t="n">
        <v>1304000</v>
      </c>
      <c r="J243" s="93" t="n">
        <v>196000</v>
      </c>
      <c r="L243" s="9">
        <f>IF($A243="","",$B243&amp;"|"&amp;$D243)</f>
        <v/>
      </c>
      <c r="M243" s="9">
        <f>IF($A243="","",VALUE($A243&amp;""))</f>
        <v/>
      </c>
      <c r="N243" s="9">
        <f>IF($A243="","",VALUE(SUBSTITUTE(SUBSTITUTE(SUBSTITUTE(UPPER($F243&amp;""),"Q",""),"분기","")," ","")))</f>
        <v/>
      </c>
      <c r="O243" s="94">
        <f>IF($A243="",0,($G243+$H243)*설정!$C$23)</f>
        <v/>
      </c>
      <c r="P243" s="94">
        <f>IF($A243="",0,$I243*설정!$C$23)</f>
        <v/>
      </c>
      <c r="Q243" s="64">
        <f>IF($A243="","",IF(COUNTIF(변동분석!$E$7:$E$506,L243)&gt;0,"Y","N"))</f>
        <v/>
      </c>
      <c r="R243" s="9">
        <f>IF($A243="","",$D243&amp;"")</f>
        <v/>
      </c>
    </row>
    <row r="244">
      <c r="A244" s="92" t="n">
        <v>2026</v>
      </c>
      <c r="B244" s="92" t="inlineStr">
        <is>
          <t>D800</t>
        </is>
      </c>
      <c r="C244" s="92" t="inlineStr">
        <is>
          <t>고객서비스팀</t>
        </is>
      </c>
      <c r="D244" s="92" t="n">
        <v>62501000</v>
      </c>
      <c r="E244" s="92" t="inlineStr">
        <is>
          <t>회의비</t>
        </is>
      </c>
      <c r="F244" s="92" t="n">
        <v>4</v>
      </c>
      <c r="G244" s="93" t="n">
        <v>1500000</v>
      </c>
      <c r="H244" s="93" t="n">
        <v>0</v>
      </c>
      <c r="I244" s="93" t="n">
        <v>0</v>
      </c>
      <c r="J244" s="93" t="n">
        <v>1500000</v>
      </c>
      <c r="L244" s="9">
        <f>IF($A244="","",$B244&amp;"|"&amp;$D244)</f>
        <v/>
      </c>
      <c r="M244" s="9">
        <f>IF($A244="","",VALUE($A244&amp;""))</f>
        <v/>
      </c>
      <c r="N244" s="9">
        <f>IF($A244="","",VALUE(SUBSTITUTE(SUBSTITUTE(SUBSTITUTE(UPPER($F244&amp;""),"Q",""),"분기","")," ","")))</f>
        <v/>
      </c>
      <c r="O244" s="94">
        <f>IF($A244="",0,($G244+$H244)*설정!$C$23)</f>
        <v/>
      </c>
      <c r="P244" s="94">
        <f>IF($A244="",0,$I244*설정!$C$23)</f>
        <v/>
      </c>
      <c r="Q244" s="64">
        <f>IF($A244="","",IF(COUNTIF(변동분석!$E$7:$E$506,L244)&gt;0,"Y","N"))</f>
        <v/>
      </c>
      <c r="R244" s="9">
        <f>IF($A244="","",$D244&amp;"")</f>
        <v/>
      </c>
    </row>
    <row r="245">
      <c r="A245" s="92" t="n">
        <v>2026</v>
      </c>
      <c r="B245" s="92" t="inlineStr">
        <is>
          <t>D800</t>
        </is>
      </c>
      <c r="C245" s="92" t="inlineStr">
        <is>
          <t>고객서비스팀</t>
        </is>
      </c>
      <c r="D245" s="92" t="n">
        <v>62901000</v>
      </c>
      <c r="E245" s="92" t="inlineStr">
        <is>
          <t>지급수수료-컨설팅</t>
        </is>
      </c>
      <c r="F245" s="92" t="n">
        <v>1</v>
      </c>
      <c r="G245" s="93" t="n">
        <v>105000000</v>
      </c>
      <c r="H245" s="93" t="n">
        <v>0</v>
      </c>
      <c r="I245" s="93" t="n">
        <v>94753000</v>
      </c>
      <c r="J245" s="93" t="n">
        <v>10247000</v>
      </c>
      <c r="L245" s="9">
        <f>IF($A245="","",$B245&amp;"|"&amp;$D245)</f>
        <v/>
      </c>
      <c r="M245" s="9">
        <f>IF($A245="","",VALUE($A245&amp;""))</f>
        <v/>
      </c>
      <c r="N245" s="9">
        <f>IF($A245="","",VALUE(SUBSTITUTE(SUBSTITUTE(SUBSTITUTE(UPPER($F245&amp;""),"Q",""),"분기","")," ","")))</f>
        <v/>
      </c>
      <c r="O245" s="94">
        <f>IF($A245="",0,($G245+$H245)*설정!$C$23)</f>
        <v/>
      </c>
      <c r="P245" s="94">
        <f>IF($A245="",0,$I245*설정!$C$23)</f>
        <v/>
      </c>
      <c r="Q245" s="64">
        <f>IF($A245="","",IF(COUNTIF(변동분석!$E$7:$E$506,L245)&gt;0,"Y","N"))</f>
        <v/>
      </c>
      <c r="R245" s="9">
        <f>IF($A245="","",$D245&amp;"")</f>
        <v/>
      </c>
    </row>
    <row r="246">
      <c r="A246" s="92" t="n">
        <v>2026</v>
      </c>
      <c r="B246" s="92" t="inlineStr">
        <is>
          <t>D800</t>
        </is>
      </c>
      <c r="C246" s="92" t="inlineStr">
        <is>
          <t>고객서비스팀</t>
        </is>
      </c>
      <c r="D246" s="92" t="n">
        <v>62901000</v>
      </c>
      <c r="E246" s="92" t="inlineStr">
        <is>
          <t>지급수수료-컨설팅</t>
        </is>
      </c>
      <c r="F246" s="92" t="n">
        <v>2</v>
      </c>
      <c r="G246" s="93" t="n">
        <v>105000000</v>
      </c>
      <c r="H246" s="93" t="n">
        <v>0</v>
      </c>
      <c r="I246" s="93" t="n">
        <v>93229000</v>
      </c>
      <c r="J246" s="93" t="n">
        <v>11771000</v>
      </c>
      <c r="L246" s="9">
        <f>IF($A246="","",$B246&amp;"|"&amp;$D246)</f>
        <v/>
      </c>
      <c r="M246" s="9">
        <f>IF($A246="","",VALUE($A246&amp;""))</f>
        <v/>
      </c>
      <c r="N246" s="9">
        <f>IF($A246="","",VALUE(SUBSTITUTE(SUBSTITUTE(SUBSTITUTE(UPPER($F246&amp;""),"Q",""),"분기","")," ","")))</f>
        <v/>
      </c>
      <c r="O246" s="94">
        <f>IF($A246="",0,($G246+$H246)*설정!$C$23)</f>
        <v/>
      </c>
      <c r="P246" s="94">
        <f>IF($A246="",0,$I246*설정!$C$23)</f>
        <v/>
      </c>
      <c r="Q246" s="64">
        <f>IF($A246="","",IF(COUNTIF(변동분석!$E$7:$E$506,L246)&gt;0,"Y","N"))</f>
        <v/>
      </c>
      <c r="R246" s="9">
        <f>IF($A246="","",$D246&amp;"")</f>
        <v/>
      </c>
    </row>
    <row r="247">
      <c r="A247" s="92" t="n">
        <v>2026</v>
      </c>
      <c r="B247" s="92" t="inlineStr">
        <is>
          <t>D800</t>
        </is>
      </c>
      <c r="C247" s="92" t="inlineStr">
        <is>
          <t>고객서비스팀</t>
        </is>
      </c>
      <c r="D247" s="92" t="n">
        <v>62901000</v>
      </c>
      <c r="E247" s="92" t="inlineStr">
        <is>
          <t>지급수수료-컨설팅</t>
        </is>
      </c>
      <c r="F247" s="92" t="n">
        <v>3</v>
      </c>
      <c r="G247" s="93" t="n">
        <v>105000000</v>
      </c>
      <c r="H247" s="93" t="n">
        <v>0</v>
      </c>
      <c r="I247" s="93" t="n">
        <v>95668000</v>
      </c>
      <c r="J247" s="93" t="n">
        <v>9332000</v>
      </c>
      <c r="L247" s="9">
        <f>IF($A247="","",$B247&amp;"|"&amp;$D247)</f>
        <v/>
      </c>
      <c r="M247" s="9">
        <f>IF($A247="","",VALUE($A247&amp;""))</f>
        <v/>
      </c>
      <c r="N247" s="9">
        <f>IF($A247="","",VALUE(SUBSTITUTE(SUBSTITUTE(SUBSTITUTE(UPPER($F247&amp;""),"Q",""),"분기","")," ","")))</f>
        <v/>
      </c>
      <c r="O247" s="94">
        <f>IF($A247="",0,($G247+$H247)*설정!$C$23)</f>
        <v/>
      </c>
      <c r="P247" s="94">
        <f>IF($A247="",0,$I247*설정!$C$23)</f>
        <v/>
      </c>
      <c r="Q247" s="64">
        <f>IF($A247="","",IF(COUNTIF(변동분석!$E$7:$E$506,L247)&gt;0,"Y","N"))</f>
        <v/>
      </c>
      <c r="R247" s="9">
        <f>IF($A247="","",$D247&amp;"")</f>
        <v/>
      </c>
    </row>
    <row r="248">
      <c r="A248" s="92" t="n">
        <v>2026</v>
      </c>
      <c r="B248" s="92" t="inlineStr">
        <is>
          <t>D800</t>
        </is>
      </c>
      <c r="C248" s="92" t="inlineStr">
        <is>
          <t>고객서비스팀</t>
        </is>
      </c>
      <c r="D248" s="92" t="n">
        <v>62901000</v>
      </c>
      <c r="E248" s="92" t="inlineStr">
        <is>
          <t>지급수수료-컨설팅</t>
        </is>
      </c>
      <c r="F248" s="92" t="n">
        <v>4</v>
      </c>
      <c r="G248" s="93" t="n">
        <v>105000000</v>
      </c>
      <c r="H248" s="93" t="n">
        <v>0</v>
      </c>
      <c r="I248" s="93" t="n">
        <v>0</v>
      </c>
      <c r="J248" s="93" t="n">
        <v>105000000</v>
      </c>
      <c r="L248" s="9">
        <f>IF($A248="","",$B248&amp;"|"&amp;$D248)</f>
        <v/>
      </c>
      <c r="M248" s="9">
        <f>IF($A248="","",VALUE($A248&amp;""))</f>
        <v/>
      </c>
      <c r="N248" s="9">
        <f>IF($A248="","",VALUE(SUBSTITUTE(SUBSTITUTE(SUBSTITUTE(UPPER($F248&amp;""),"Q",""),"분기","")," ","")))</f>
        <v/>
      </c>
      <c r="O248" s="94">
        <f>IF($A248="",0,($G248+$H248)*설정!$C$23)</f>
        <v/>
      </c>
      <c r="P248" s="94">
        <f>IF($A248="",0,$I248*설정!$C$23)</f>
        <v/>
      </c>
      <c r="Q248" s="64">
        <f>IF($A248="","",IF(COUNTIF(변동분석!$E$7:$E$506,L248)&gt;0,"Y","N"))</f>
        <v/>
      </c>
      <c r="R248" s="9">
        <f>IF($A248="","",$D248&amp;"")</f>
        <v/>
      </c>
    </row>
    <row r="249">
      <c r="A249" s="92" t="n">
        <v>2026</v>
      </c>
      <c r="B249" s="92" t="inlineStr">
        <is>
          <t>D800</t>
        </is>
      </c>
      <c r="C249" s="92" t="inlineStr">
        <is>
          <t>고객서비스팀</t>
        </is>
      </c>
      <c r="D249" s="92" t="n">
        <v>62902000</v>
      </c>
      <c r="E249" s="92" t="inlineStr">
        <is>
          <t>지급수수료-기타</t>
        </is>
      </c>
      <c r="F249" s="92" t="n">
        <v>1</v>
      </c>
      <c r="G249" s="93" t="n">
        <v>45000000</v>
      </c>
      <c r="H249" s="93" t="n">
        <v>0</v>
      </c>
      <c r="I249" s="93" t="n">
        <v>63093000</v>
      </c>
      <c r="J249" s="93" t="n">
        <v>-18093000</v>
      </c>
      <c r="L249" s="9">
        <f>IF($A249="","",$B249&amp;"|"&amp;$D249)</f>
        <v/>
      </c>
      <c r="M249" s="9">
        <f>IF($A249="","",VALUE($A249&amp;""))</f>
        <v/>
      </c>
      <c r="N249" s="9">
        <f>IF($A249="","",VALUE(SUBSTITUTE(SUBSTITUTE(SUBSTITUTE(UPPER($F249&amp;""),"Q",""),"분기","")," ","")))</f>
        <v/>
      </c>
      <c r="O249" s="94">
        <f>IF($A249="",0,($G249+$H249)*설정!$C$23)</f>
        <v/>
      </c>
      <c r="P249" s="94">
        <f>IF($A249="",0,$I249*설정!$C$23)</f>
        <v/>
      </c>
      <c r="Q249" s="64">
        <f>IF($A249="","",IF(COUNTIF(변동분석!$E$7:$E$506,L249)&gt;0,"Y","N"))</f>
        <v/>
      </c>
      <c r="R249" s="9">
        <f>IF($A249="","",$D249&amp;"")</f>
        <v/>
      </c>
    </row>
    <row r="250">
      <c r="A250" s="92" t="n">
        <v>2026</v>
      </c>
      <c r="B250" s="92" t="inlineStr">
        <is>
          <t>D800</t>
        </is>
      </c>
      <c r="C250" s="92" t="inlineStr">
        <is>
          <t>고객서비스팀</t>
        </is>
      </c>
      <c r="D250" s="92" t="n">
        <v>62902000</v>
      </c>
      <c r="E250" s="92" t="inlineStr">
        <is>
          <t>지급수수료-기타</t>
        </is>
      </c>
      <c r="F250" s="92" t="n">
        <v>2</v>
      </c>
      <c r="G250" s="93" t="n">
        <v>45000000</v>
      </c>
      <c r="H250" s="93" t="n">
        <v>0</v>
      </c>
      <c r="I250" s="93" t="n">
        <v>63077000</v>
      </c>
      <c r="J250" s="93" t="n">
        <v>-18077000</v>
      </c>
      <c r="L250" s="9">
        <f>IF($A250="","",$B250&amp;"|"&amp;$D250)</f>
        <v/>
      </c>
      <c r="M250" s="9">
        <f>IF($A250="","",VALUE($A250&amp;""))</f>
        <v/>
      </c>
      <c r="N250" s="9">
        <f>IF($A250="","",VALUE(SUBSTITUTE(SUBSTITUTE(SUBSTITUTE(UPPER($F250&amp;""),"Q",""),"분기","")," ","")))</f>
        <v/>
      </c>
      <c r="O250" s="94">
        <f>IF($A250="",0,($G250+$H250)*설정!$C$23)</f>
        <v/>
      </c>
      <c r="P250" s="94">
        <f>IF($A250="",0,$I250*설정!$C$23)</f>
        <v/>
      </c>
      <c r="Q250" s="64">
        <f>IF($A250="","",IF(COUNTIF(변동분석!$E$7:$E$506,L250)&gt;0,"Y","N"))</f>
        <v/>
      </c>
      <c r="R250" s="9">
        <f>IF($A250="","",$D250&amp;"")</f>
        <v/>
      </c>
    </row>
    <row r="251">
      <c r="A251" s="92" t="n">
        <v>2026</v>
      </c>
      <c r="B251" s="92" t="inlineStr">
        <is>
          <t>D800</t>
        </is>
      </c>
      <c r="C251" s="92" t="inlineStr">
        <is>
          <t>고객서비스팀</t>
        </is>
      </c>
      <c r="D251" s="92" t="n">
        <v>62902000</v>
      </c>
      <c r="E251" s="92" t="inlineStr">
        <is>
          <t>지급수수료-기타</t>
        </is>
      </c>
      <c r="F251" s="92" t="n">
        <v>3</v>
      </c>
      <c r="G251" s="93" t="n">
        <v>45000000</v>
      </c>
      <c r="H251" s="93" t="n">
        <v>0</v>
      </c>
      <c r="I251" s="93" t="n">
        <v>69868000</v>
      </c>
      <c r="J251" s="93" t="n">
        <v>-24868000</v>
      </c>
      <c r="L251" s="9">
        <f>IF($A251="","",$B251&amp;"|"&amp;$D251)</f>
        <v/>
      </c>
      <c r="M251" s="9">
        <f>IF($A251="","",VALUE($A251&amp;""))</f>
        <v/>
      </c>
      <c r="N251" s="9">
        <f>IF($A251="","",VALUE(SUBSTITUTE(SUBSTITUTE(SUBSTITUTE(UPPER($F251&amp;""),"Q",""),"분기","")," ","")))</f>
        <v/>
      </c>
      <c r="O251" s="94">
        <f>IF($A251="",0,($G251+$H251)*설정!$C$23)</f>
        <v/>
      </c>
      <c r="P251" s="94">
        <f>IF($A251="",0,$I251*설정!$C$23)</f>
        <v/>
      </c>
      <c r="Q251" s="64">
        <f>IF($A251="","",IF(COUNTIF(변동분석!$E$7:$E$506,L251)&gt;0,"Y","N"))</f>
        <v/>
      </c>
      <c r="R251" s="9">
        <f>IF($A251="","",$D251&amp;"")</f>
        <v/>
      </c>
    </row>
    <row r="252">
      <c r="A252" s="92" t="n">
        <v>2026</v>
      </c>
      <c r="B252" s="92" t="inlineStr">
        <is>
          <t>D800</t>
        </is>
      </c>
      <c r="C252" s="92" t="inlineStr">
        <is>
          <t>고객서비스팀</t>
        </is>
      </c>
      <c r="D252" s="92" t="n">
        <v>62902000</v>
      </c>
      <c r="E252" s="92" t="inlineStr">
        <is>
          <t>지급수수료-기타</t>
        </is>
      </c>
      <c r="F252" s="92" t="n">
        <v>4</v>
      </c>
      <c r="G252" s="93" t="n">
        <v>45000000</v>
      </c>
      <c r="H252" s="93" t="n">
        <v>0</v>
      </c>
      <c r="I252" s="93" t="n">
        <v>0</v>
      </c>
      <c r="J252" s="93" t="n">
        <v>45000000</v>
      </c>
      <c r="L252" s="9">
        <f>IF($A252="","",$B252&amp;"|"&amp;$D252)</f>
        <v/>
      </c>
      <c r="M252" s="9">
        <f>IF($A252="","",VALUE($A252&amp;""))</f>
        <v/>
      </c>
      <c r="N252" s="9">
        <f>IF($A252="","",VALUE(SUBSTITUTE(SUBSTITUTE(SUBSTITUTE(UPPER($F252&amp;""),"Q",""),"분기","")," ","")))</f>
        <v/>
      </c>
      <c r="O252" s="94">
        <f>IF($A252="",0,($G252+$H252)*설정!$C$23)</f>
        <v/>
      </c>
      <c r="P252" s="94">
        <f>IF($A252="",0,$I252*설정!$C$23)</f>
        <v/>
      </c>
      <c r="Q252" s="64">
        <f>IF($A252="","",IF(COUNTIF(변동분석!$E$7:$E$506,L252)&gt;0,"Y","N"))</f>
        <v/>
      </c>
      <c r="R252" s="9">
        <f>IF($A252="","",$D252&amp;"")</f>
        <v/>
      </c>
    </row>
    <row r="253">
      <c r="A253" s="92" t="n">
        <v>2026</v>
      </c>
      <c r="B253" s="92" t="inlineStr">
        <is>
          <t>D800</t>
        </is>
      </c>
      <c r="C253" s="92" t="inlineStr">
        <is>
          <t>고객서비스팀</t>
        </is>
      </c>
      <c r="D253" s="92" t="n">
        <v>63601000</v>
      </c>
      <c r="E253" s="92" t="inlineStr">
        <is>
          <t>손해조사비</t>
        </is>
      </c>
      <c r="F253" s="92" t="n">
        <v>1</v>
      </c>
      <c r="G253" s="93" t="n">
        <v>105000000</v>
      </c>
      <c r="H253" s="93" t="n">
        <v>0</v>
      </c>
      <c r="I253" s="93" t="n">
        <v>91617000</v>
      </c>
      <c r="J253" s="93" t="n">
        <v>13383000</v>
      </c>
      <c r="L253" s="9">
        <f>IF($A253="","",$B253&amp;"|"&amp;$D253)</f>
        <v/>
      </c>
      <c r="M253" s="9">
        <f>IF($A253="","",VALUE($A253&amp;""))</f>
        <v/>
      </c>
      <c r="N253" s="9">
        <f>IF($A253="","",VALUE(SUBSTITUTE(SUBSTITUTE(SUBSTITUTE(UPPER($F253&amp;""),"Q",""),"분기","")," ","")))</f>
        <v/>
      </c>
      <c r="O253" s="94">
        <f>IF($A253="",0,($G253+$H253)*설정!$C$23)</f>
        <v/>
      </c>
      <c r="P253" s="94">
        <f>IF($A253="",0,$I253*설정!$C$23)</f>
        <v/>
      </c>
      <c r="Q253" s="64">
        <f>IF($A253="","",IF(COUNTIF(변동분석!$E$7:$E$506,L253)&gt;0,"Y","N"))</f>
        <v/>
      </c>
      <c r="R253" s="9">
        <f>IF($A253="","",$D253&amp;"")</f>
        <v/>
      </c>
    </row>
    <row r="254">
      <c r="A254" s="92" t="n">
        <v>2026</v>
      </c>
      <c r="B254" s="92" t="inlineStr">
        <is>
          <t>D800</t>
        </is>
      </c>
      <c r="C254" s="92" t="inlineStr">
        <is>
          <t>고객서비스팀</t>
        </is>
      </c>
      <c r="D254" s="92" t="n">
        <v>63601000</v>
      </c>
      <c r="E254" s="92" t="inlineStr">
        <is>
          <t>손해조사비</t>
        </is>
      </c>
      <c r="F254" s="92" t="n">
        <v>2</v>
      </c>
      <c r="G254" s="93" t="n">
        <v>105000000</v>
      </c>
      <c r="H254" s="93" t="n">
        <v>0</v>
      </c>
      <c r="I254" s="93" t="n">
        <v>90446000</v>
      </c>
      <c r="J254" s="93" t="n">
        <v>14554000</v>
      </c>
      <c r="L254" s="9">
        <f>IF($A254="","",$B254&amp;"|"&amp;$D254)</f>
        <v/>
      </c>
      <c r="M254" s="9">
        <f>IF($A254="","",VALUE($A254&amp;""))</f>
        <v/>
      </c>
      <c r="N254" s="9">
        <f>IF($A254="","",VALUE(SUBSTITUTE(SUBSTITUTE(SUBSTITUTE(UPPER($F254&amp;""),"Q",""),"분기","")," ","")))</f>
        <v/>
      </c>
      <c r="O254" s="94">
        <f>IF($A254="",0,($G254+$H254)*설정!$C$23)</f>
        <v/>
      </c>
      <c r="P254" s="94">
        <f>IF($A254="",0,$I254*설정!$C$23)</f>
        <v/>
      </c>
      <c r="Q254" s="64">
        <f>IF($A254="","",IF(COUNTIF(변동분석!$E$7:$E$506,L254)&gt;0,"Y","N"))</f>
        <v/>
      </c>
      <c r="R254" s="9">
        <f>IF($A254="","",$D254&amp;"")</f>
        <v/>
      </c>
    </row>
    <row r="255">
      <c r="A255" s="92" t="n">
        <v>2026</v>
      </c>
      <c r="B255" s="92" t="inlineStr">
        <is>
          <t>D800</t>
        </is>
      </c>
      <c r="C255" s="92" t="inlineStr">
        <is>
          <t>고객서비스팀</t>
        </is>
      </c>
      <c r="D255" s="92" t="n">
        <v>63601000</v>
      </c>
      <c r="E255" s="92" t="inlineStr">
        <is>
          <t>손해조사비</t>
        </is>
      </c>
      <c r="F255" s="92" t="n">
        <v>3</v>
      </c>
      <c r="G255" s="93" t="n">
        <v>105000000</v>
      </c>
      <c r="H255" s="93" t="n">
        <v>0</v>
      </c>
      <c r="I255" s="93" t="n">
        <v>89924000</v>
      </c>
      <c r="J255" s="93" t="n">
        <v>15076000</v>
      </c>
      <c r="L255" s="9">
        <f>IF($A255="","",$B255&amp;"|"&amp;$D255)</f>
        <v/>
      </c>
      <c r="M255" s="9">
        <f>IF($A255="","",VALUE($A255&amp;""))</f>
        <v/>
      </c>
      <c r="N255" s="9">
        <f>IF($A255="","",VALUE(SUBSTITUTE(SUBSTITUTE(SUBSTITUTE(UPPER($F255&amp;""),"Q",""),"분기","")," ","")))</f>
        <v/>
      </c>
      <c r="O255" s="94">
        <f>IF($A255="",0,($G255+$H255)*설정!$C$23)</f>
        <v/>
      </c>
      <c r="P255" s="94">
        <f>IF($A255="",0,$I255*설정!$C$23)</f>
        <v/>
      </c>
      <c r="Q255" s="64">
        <f>IF($A255="","",IF(COUNTIF(변동분석!$E$7:$E$506,L255)&gt;0,"Y","N"))</f>
        <v/>
      </c>
      <c r="R255" s="9">
        <f>IF($A255="","",$D255&amp;"")</f>
        <v/>
      </c>
    </row>
    <row r="256">
      <c r="A256" s="92" t="n">
        <v>2026</v>
      </c>
      <c r="B256" s="92" t="inlineStr">
        <is>
          <t>D800</t>
        </is>
      </c>
      <c r="C256" s="92" t="inlineStr">
        <is>
          <t>고객서비스팀</t>
        </is>
      </c>
      <c r="D256" s="92" t="n">
        <v>63601000</v>
      </c>
      <c r="E256" s="92" t="inlineStr">
        <is>
          <t>손해조사비</t>
        </is>
      </c>
      <c r="F256" s="92" t="n">
        <v>4</v>
      </c>
      <c r="G256" s="93" t="n">
        <v>105000000</v>
      </c>
      <c r="H256" s="93" t="n">
        <v>0</v>
      </c>
      <c r="I256" s="93" t="n">
        <v>0</v>
      </c>
      <c r="J256" s="93" t="n">
        <v>105000000</v>
      </c>
      <c r="L256" s="9">
        <f>IF($A256="","",$B256&amp;"|"&amp;$D256)</f>
        <v/>
      </c>
      <c r="M256" s="9">
        <f>IF($A256="","",VALUE($A256&amp;""))</f>
        <v/>
      </c>
      <c r="N256" s="9">
        <f>IF($A256="","",VALUE(SUBSTITUTE(SUBSTITUTE(SUBSTITUTE(UPPER($F256&amp;""),"Q",""),"분기","")," ","")))</f>
        <v/>
      </c>
      <c r="O256" s="94">
        <f>IF($A256="",0,($G256+$H256)*설정!$C$23)</f>
        <v/>
      </c>
      <c r="P256" s="94">
        <f>IF($A256="",0,$I256*설정!$C$23)</f>
        <v/>
      </c>
      <c r="Q256" s="64">
        <f>IF($A256="","",IF(COUNTIF(변동분석!$E$7:$E$506,L256)&gt;0,"Y","N"))</f>
        <v/>
      </c>
      <c r="R256" s="9">
        <f>IF($A256="","",$D256&amp;"")</f>
        <v/>
      </c>
    </row>
    <row r="257">
      <c r="A257" s="92" t="n">
        <v>2026</v>
      </c>
      <c r="B257" s="92" t="inlineStr">
        <is>
          <t>D900</t>
        </is>
      </c>
      <c r="C257" s="92" t="inlineStr">
        <is>
          <t>영업채널팀</t>
        </is>
      </c>
      <c r="D257" s="92" t="n">
        <v>63501000</v>
      </c>
      <c r="E257" s="92" t="inlineStr">
        <is>
          <t>모집수수료</t>
        </is>
      </c>
      <c r="F257" s="92" t="n">
        <v>1</v>
      </c>
      <c r="G257" s="93" t="n">
        <v>6000000000</v>
      </c>
      <c r="H257" s="93" t="n">
        <v>0</v>
      </c>
      <c r="I257" s="93" t="n">
        <v>5379883000</v>
      </c>
      <c r="J257" s="93" t="n">
        <v>620117000</v>
      </c>
      <c r="L257" s="9">
        <f>IF($A257="","",$B257&amp;"|"&amp;$D257)</f>
        <v/>
      </c>
      <c r="M257" s="9">
        <f>IF($A257="","",VALUE($A257&amp;""))</f>
        <v/>
      </c>
      <c r="N257" s="9">
        <f>IF($A257="","",VALUE(SUBSTITUTE(SUBSTITUTE(SUBSTITUTE(UPPER($F257&amp;""),"Q",""),"분기","")," ","")))</f>
        <v/>
      </c>
      <c r="O257" s="94">
        <f>IF($A257="",0,($G257+$H257)*설정!$C$23)</f>
        <v/>
      </c>
      <c r="P257" s="94">
        <f>IF($A257="",0,$I257*설정!$C$23)</f>
        <v/>
      </c>
      <c r="Q257" s="64">
        <f>IF($A257="","",IF(COUNTIF(변동분석!$E$7:$E$506,L257)&gt;0,"Y","N"))</f>
        <v/>
      </c>
      <c r="R257" s="9">
        <f>IF($A257="","",$D257&amp;"")</f>
        <v/>
      </c>
    </row>
    <row r="258">
      <c r="A258" s="92" t="n">
        <v>2026</v>
      </c>
      <c r="B258" s="92" t="inlineStr">
        <is>
          <t>D900</t>
        </is>
      </c>
      <c r="C258" s="92" t="inlineStr">
        <is>
          <t>영업채널팀</t>
        </is>
      </c>
      <c r="D258" s="92" t="n">
        <v>63501000</v>
      </c>
      <c r="E258" s="92" t="inlineStr">
        <is>
          <t>모집수수료</t>
        </is>
      </c>
      <c r="F258" s="92" t="n">
        <v>2</v>
      </c>
      <c r="G258" s="93" t="n">
        <v>6000000000</v>
      </c>
      <c r="H258" s="93" t="n">
        <v>0</v>
      </c>
      <c r="I258" s="93" t="n">
        <v>5338965000</v>
      </c>
      <c r="J258" s="93" t="n">
        <v>661035000</v>
      </c>
      <c r="L258" s="9">
        <f>IF($A258="","",$B258&amp;"|"&amp;$D258)</f>
        <v/>
      </c>
      <c r="M258" s="9">
        <f>IF($A258="","",VALUE($A258&amp;""))</f>
        <v/>
      </c>
      <c r="N258" s="9">
        <f>IF($A258="","",VALUE(SUBSTITUTE(SUBSTITUTE(SUBSTITUTE(UPPER($F258&amp;""),"Q",""),"분기","")," ","")))</f>
        <v/>
      </c>
      <c r="O258" s="94">
        <f>IF($A258="",0,($G258+$H258)*설정!$C$23)</f>
        <v/>
      </c>
      <c r="P258" s="94">
        <f>IF($A258="",0,$I258*설정!$C$23)</f>
        <v/>
      </c>
      <c r="Q258" s="64">
        <f>IF($A258="","",IF(COUNTIF(변동분석!$E$7:$E$506,L258)&gt;0,"Y","N"))</f>
        <v/>
      </c>
      <c r="R258" s="9">
        <f>IF($A258="","",$D258&amp;"")</f>
        <v/>
      </c>
    </row>
    <row r="259">
      <c r="A259" s="92" t="n">
        <v>2026</v>
      </c>
      <c r="B259" s="92" t="inlineStr">
        <is>
          <t>D900</t>
        </is>
      </c>
      <c r="C259" s="92" t="inlineStr">
        <is>
          <t>영업채널팀</t>
        </is>
      </c>
      <c r="D259" s="92" t="n">
        <v>63501000</v>
      </c>
      <c r="E259" s="92" t="inlineStr">
        <is>
          <t>모집수수료</t>
        </is>
      </c>
      <c r="F259" s="92" t="n">
        <v>3</v>
      </c>
      <c r="G259" s="93" t="n">
        <v>6000000000</v>
      </c>
      <c r="H259" s="93" t="n">
        <v>0</v>
      </c>
      <c r="I259" s="93" t="n">
        <v>6062923000</v>
      </c>
      <c r="J259" s="93" t="n">
        <v>-62923000</v>
      </c>
      <c r="L259" s="9">
        <f>IF($A259="","",$B259&amp;"|"&amp;$D259)</f>
        <v/>
      </c>
      <c r="M259" s="9">
        <f>IF($A259="","",VALUE($A259&amp;""))</f>
        <v/>
      </c>
      <c r="N259" s="9">
        <f>IF($A259="","",VALUE(SUBSTITUTE(SUBSTITUTE(SUBSTITUTE(UPPER($F259&amp;""),"Q",""),"분기","")," ","")))</f>
        <v/>
      </c>
      <c r="O259" s="94">
        <f>IF($A259="",0,($G259+$H259)*설정!$C$23)</f>
        <v/>
      </c>
      <c r="P259" s="94">
        <f>IF($A259="",0,$I259*설정!$C$23)</f>
        <v/>
      </c>
      <c r="Q259" s="64">
        <f>IF($A259="","",IF(COUNTIF(변동분석!$E$7:$E$506,L259)&gt;0,"Y","N"))</f>
        <v/>
      </c>
      <c r="R259" s="9">
        <f>IF($A259="","",$D259&amp;"")</f>
        <v/>
      </c>
    </row>
    <row r="260">
      <c r="A260" s="92" t="n">
        <v>2026</v>
      </c>
      <c r="B260" s="92" t="inlineStr">
        <is>
          <t>D900</t>
        </is>
      </c>
      <c r="C260" s="92" t="inlineStr">
        <is>
          <t>영업채널팀</t>
        </is>
      </c>
      <c r="D260" s="92" t="n">
        <v>63501000</v>
      </c>
      <c r="E260" s="92" t="inlineStr">
        <is>
          <t>모집수수료</t>
        </is>
      </c>
      <c r="F260" s="92" t="n">
        <v>4</v>
      </c>
      <c r="G260" s="93" t="n">
        <v>6000000000</v>
      </c>
      <c r="H260" s="93" t="n">
        <v>0</v>
      </c>
      <c r="I260" s="93" t="n">
        <v>0</v>
      </c>
      <c r="J260" s="93" t="n">
        <v>6000000000</v>
      </c>
      <c r="L260" s="9">
        <f>IF($A260="","",$B260&amp;"|"&amp;$D260)</f>
        <v/>
      </c>
      <c r="M260" s="9">
        <f>IF($A260="","",VALUE($A260&amp;""))</f>
        <v/>
      </c>
      <c r="N260" s="9">
        <f>IF($A260="","",VALUE(SUBSTITUTE(SUBSTITUTE(SUBSTITUTE(UPPER($F260&amp;""),"Q",""),"분기","")," ","")))</f>
        <v/>
      </c>
      <c r="O260" s="94">
        <f>IF($A260="",0,($G260+$H260)*설정!$C$23)</f>
        <v/>
      </c>
      <c r="P260" s="94">
        <f>IF($A260="",0,$I260*설정!$C$23)</f>
        <v/>
      </c>
      <c r="Q260" s="64">
        <f>IF($A260="","",IF(COUNTIF(변동분석!$E$7:$E$506,L260)&gt;0,"Y","N"))</f>
        <v/>
      </c>
      <c r="R260" s="9">
        <f>IF($A260="","",$D260&amp;"")</f>
        <v/>
      </c>
    </row>
    <row r="261">
      <c r="A261" s="92" t="n">
        <v>2026</v>
      </c>
      <c r="B261" s="92" t="inlineStr">
        <is>
          <t>D900</t>
        </is>
      </c>
      <c r="C261" s="92" t="inlineStr">
        <is>
          <t>영업채널팀</t>
        </is>
      </c>
      <c r="D261" s="92" t="n">
        <v>63502000</v>
      </c>
      <c r="E261" s="92" t="inlineStr">
        <is>
          <t>유지수수료</t>
        </is>
      </c>
      <c r="F261" s="92" t="n">
        <v>1</v>
      </c>
      <c r="G261" s="93" t="n">
        <v>1500000000</v>
      </c>
      <c r="H261" s="93" t="n">
        <v>0</v>
      </c>
      <c r="I261" s="93" t="n">
        <v>1340423000</v>
      </c>
      <c r="J261" s="93" t="n">
        <v>159577000</v>
      </c>
      <c r="L261" s="9">
        <f>IF($A261="","",$B261&amp;"|"&amp;$D261)</f>
        <v/>
      </c>
      <c r="M261" s="9">
        <f>IF($A261="","",VALUE($A261&amp;""))</f>
        <v/>
      </c>
      <c r="N261" s="9">
        <f>IF($A261="","",VALUE(SUBSTITUTE(SUBSTITUTE(SUBSTITUTE(UPPER($F261&amp;""),"Q",""),"분기","")," ","")))</f>
        <v/>
      </c>
      <c r="O261" s="94">
        <f>IF($A261="",0,($G261+$H261)*설정!$C$23)</f>
        <v/>
      </c>
      <c r="P261" s="94">
        <f>IF($A261="",0,$I261*설정!$C$23)</f>
        <v/>
      </c>
      <c r="Q261" s="64">
        <f>IF($A261="","",IF(COUNTIF(변동분석!$E$7:$E$506,L261)&gt;0,"Y","N"))</f>
        <v/>
      </c>
      <c r="R261" s="9">
        <f>IF($A261="","",$D261&amp;"")</f>
        <v/>
      </c>
    </row>
    <row r="262">
      <c r="A262" s="92" t="n">
        <v>2026</v>
      </c>
      <c r="B262" s="92" t="inlineStr">
        <is>
          <t>D900</t>
        </is>
      </c>
      <c r="C262" s="92" t="inlineStr">
        <is>
          <t>영업채널팀</t>
        </is>
      </c>
      <c r="D262" s="92" t="n">
        <v>63502000</v>
      </c>
      <c r="E262" s="92" t="inlineStr">
        <is>
          <t>유지수수료</t>
        </is>
      </c>
      <c r="F262" s="92" t="n">
        <v>2</v>
      </c>
      <c r="G262" s="93" t="n">
        <v>1500000000</v>
      </c>
      <c r="H262" s="93" t="n">
        <v>0</v>
      </c>
      <c r="I262" s="93" t="n">
        <v>1348877000</v>
      </c>
      <c r="J262" s="93" t="n">
        <v>151123000</v>
      </c>
      <c r="L262" s="9">
        <f>IF($A262="","",$B262&amp;"|"&amp;$D262)</f>
        <v/>
      </c>
      <c r="M262" s="9">
        <f>IF($A262="","",VALUE($A262&amp;""))</f>
        <v/>
      </c>
      <c r="N262" s="9">
        <f>IF($A262="","",VALUE(SUBSTITUTE(SUBSTITUTE(SUBSTITUTE(UPPER($F262&amp;""),"Q",""),"분기","")," ","")))</f>
        <v/>
      </c>
      <c r="O262" s="94">
        <f>IF($A262="",0,($G262+$H262)*설정!$C$23)</f>
        <v/>
      </c>
      <c r="P262" s="94">
        <f>IF($A262="",0,$I262*설정!$C$23)</f>
        <v/>
      </c>
      <c r="Q262" s="64">
        <f>IF($A262="","",IF(COUNTIF(변동분석!$E$7:$E$506,L262)&gt;0,"Y","N"))</f>
        <v/>
      </c>
      <c r="R262" s="9">
        <f>IF($A262="","",$D262&amp;"")</f>
        <v/>
      </c>
    </row>
    <row r="263">
      <c r="A263" s="92" t="n">
        <v>2026</v>
      </c>
      <c r="B263" s="92" t="inlineStr">
        <is>
          <t>D900</t>
        </is>
      </c>
      <c r="C263" s="92" t="inlineStr">
        <is>
          <t>영업채널팀</t>
        </is>
      </c>
      <c r="D263" s="92" t="n">
        <v>63502000</v>
      </c>
      <c r="E263" s="92" t="inlineStr">
        <is>
          <t>유지수수료</t>
        </is>
      </c>
      <c r="F263" s="92" t="n">
        <v>3</v>
      </c>
      <c r="G263" s="93" t="n">
        <v>1500000000</v>
      </c>
      <c r="H263" s="93" t="n">
        <v>0</v>
      </c>
      <c r="I263" s="93" t="n">
        <v>1350731000</v>
      </c>
      <c r="J263" s="93" t="n">
        <v>149269000</v>
      </c>
      <c r="L263" s="9">
        <f>IF($A263="","",$B263&amp;"|"&amp;$D263)</f>
        <v/>
      </c>
      <c r="M263" s="9">
        <f>IF($A263="","",VALUE($A263&amp;""))</f>
        <v/>
      </c>
      <c r="N263" s="9">
        <f>IF($A263="","",VALUE(SUBSTITUTE(SUBSTITUTE(SUBSTITUTE(UPPER($F263&amp;""),"Q",""),"분기","")," ","")))</f>
        <v/>
      </c>
      <c r="O263" s="94">
        <f>IF($A263="",0,($G263+$H263)*설정!$C$23)</f>
        <v/>
      </c>
      <c r="P263" s="94">
        <f>IF($A263="",0,$I263*설정!$C$23)</f>
        <v/>
      </c>
      <c r="Q263" s="64">
        <f>IF($A263="","",IF(COUNTIF(변동분석!$E$7:$E$506,L263)&gt;0,"Y","N"))</f>
        <v/>
      </c>
      <c r="R263" s="9">
        <f>IF($A263="","",$D263&amp;"")</f>
        <v/>
      </c>
    </row>
    <row r="264">
      <c r="A264" s="92" t="n">
        <v>2026</v>
      </c>
      <c r="B264" s="92" t="inlineStr">
        <is>
          <t>D900</t>
        </is>
      </c>
      <c r="C264" s="92" t="inlineStr">
        <is>
          <t>영업채널팀</t>
        </is>
      </c>
      <c r="D264" s="92" t="n">
        <v>63502000</v>
      </c>
      <c r="E264" s="92" t="inlineStr">
        <is>
          <t>유지수수료</t>
        </is>
      </c>
      <c r="F264" s="92" t="n">
        <v>4</v>
      </c>
      <c r="G264" s="93" t="n">
        <v>1500000000</v>
      </c>
      <c r="H264" s="93" t="n">
        <v>0</v>
      </c>
      <c r="I264" s="93" t="n">
        <v>0</v>
      </c>
      <c r="J264" s="93" t="n">
        <v>1500000000</v>
      </c>
      <c r="L264" s="9">
        <f>IF($A264="","",$B264&amp;"|"&amp;$D264)</f>
        <v/>
      </c>
      <c r="M264" s="9">
        <f>IF($A264="","",VALUE($A264&amp;""))</f>
        <v/>
      </c>
      <c r="N264" s="9">
        <f>IF($A264="","",VALUE(SUBSTITUTE(SUBSTITUTE(SUBSTITUTE(UPPER($F264&amp;""),"Q",""),"분기","")," ","")))</f>
        <v/>
      </c>
      <c r="O264" s="94">
        <f>IF($A264="",0,($G264+$H264)*설정!$C$23)</f>
        <v/>
      </c>
      <c r="P264" s="94">
        <f>IF($A264="",0,$I264*설정!$C$23)</f>
        <v/>
      </c>
      <c r="Q264" s="64">
        <f>IF($A264="","",IF(COUNTIF(변동분석!$E$7:$E$506,L264)&gt;0,"Y","N"))</f>
        <v/>
      </c>
      <c r="R264" s="9">
        <f>IF($A264="","",$D264&amp;"")</f>
        <v/>
      </c>
    </row>
    <row r="265">
      <c r="A265" s="92" t="n">
        <v>2026</v>
      </c>
      <c r="B265" s="92" t="inlineStr">
        <is>
          <t>D950</t>
        </is>
      </c>
      <c r="C265" s="92" t="inlineStr">
        <is>
          <t>자산운용팀</t>
        </is>
      </c>
      <c r="D265" s="92" t="n">
        <v>62101000</v>
      </c>
      <c r="E265" s="92" t="inlineStr">
        <is>
          <t>여비교통비-국내</t>
        </is>
      </c>
      <c r="F265" s="92" t="n">
        <v>1</v>
      </c>
      <c r="G265" s="93" t="n">
        <v>5100000</v>
      </c>
      <c r="H265" s="93" t="n">
        <v>0</v>
      </c>
      <c r="I265" s="93" t="n">
        <v>4431000</v>
      </c>
      <c r="J265" s="93" t="n">
        <v>669000</v>
      </c>
      <c r="L265" s="9">
        <f>IF($A265="","",$B265&amp;"|"&amp;$D265)</f>
        <v/>
      </c>
      <c r="M265" s="9">
        <f>IF($A265="","",VALUE($A265&amp;""))</f>
        <v/>
      </c>
      <c r="N265" s="9">
        <f>IF($A265="","",VALUE(SUBSTITUTE(SUBSTITUTE(SUBSTITUTE(UPPER($F265&amp;""),"Q",""),"분기","")," ","")))</f>
        <v/>
      </c>
      <c r="O265" s="94">
        <f>IF($A265="",0,($G265+$H265)*설정!$C$23)</f>
        <v/>
      </c>
      <c r="P265" s="94">
        <f>IF($A265="",0,$I265*설정!$C$23)</f>
        <v/>
      </c>
      <c r="Q265" s="64">
        <f>IF($A265="","",IF(COUNTIF(변동분석!$E$7:$E$506,L265)&gt;0,"Y","N"))</f>
        <v/>
      </c>
      <c r="R265" s="9">
        <f>IF($A265="","",$D265&amp;"")</f>
        <v/>
      </c>
    </row>
    <row r="266">
      <c r="A266" s="92" t="n">
        <v>2026</v>
      </c>
      <c r="B266" s="92" t="inlineStr">
        <is>
          <t>D950</t>
        </is>
      </c>
      <c r="C266" s="92" t="inlineStr">
        <is>
          <t>자산운용팀</t>
        </is>
      </c>
      <c r="D266" s="92" t="n">
        <v>62101000</v>
      </c>
      <c r="E266" s="92" t="inlineStr">
        <is>
          <t>여비교통비-국내</t>
        </is>
      </c>
      <c r="F266" s="92" t="n">
        <v>2</v>
      </c>
      <c r="G266" s="93" t="n">
        <v>5100000</v>
      </c>
      <c r="H266" s="93" t="n">
        <v>0</v>
      </c>
      <c r="I266" s="93" t="n">
        <v>4542000</v>
      </c>
      <c r="J266" s="93" t="n">
        <v>558000</v>
      </c>
      <c r="L266" s="9">
        <f>IF($A266="","",$B266&amp;"|"&amp;$D266)</f>
        <v/>
      </c>
      <c r="M266" s="9">
        <f>IF($A266="","",VALUE($A266&amp;""))</f>
        <v/>
      </c>
      <c r="N266" s="9">
        <f>IF($A266="","",VALUE(SUBSTITUTE(SUBSTITUTE(SUBSTITUTE(UPPER($F266&amp;""),"Q",""),"분기","")," ","")))</f>
        <v/>
      </c>
      <c r="O266" s="94">
        <f>IF($A266="",0,($G266+$H266)*설정!$C$23)</f>
        <v/>
      </c>
      <c r="P266" s="94">
        <f>IF($A266="",0,$I266*설정!$C$23)</f>
        <v/>
      </c>
      <c r="Q266" s="64">
        <f>IF($A266="","",IF(COUNTIF(변동분석!$E$7:$E$506,L266)&gt;0,"Y","N"))</f>
        <v/>
      </c>
      <c r="R266" s="9">
        <f>IF($A266="","",$D266&amp;"")</f>
        <v/>
      </c>
    </row>
    <row r="267">
      <c r="A267" s="92" t="n">
        <v>2026</v>
      </c>
      <c r="B267" s="92" t="inlineStr">
        <is>
          <t>D950</t>
        </is>
      </c>
      <c r="C267" s="92" t="inlineStr">
        <is>
          <t>자산운용팀</t>
        </is>
      </c>
      <c r="D267" s="92" t="n">
        <v>62101000</v>
      </c>
      <c r="E267" s="92" t="inlineStr">
        <is>
          <t>여비교통비-국내</t>
        </is>
      </c>
      <c r="F267" s="92" t="n">
        <v>3</v>
      </c>
      <c r="G267" s="93" t="n">
        <v>5100000</v>
      </c>
      <c r="H267" s="93" t="n">
        <v>0</v>
      </c>
      <c r="I267" s="93" t="n">
        <v>4424000</v>
      </c>
      <c r="J267" s="93" t="n">
        <v>676000</v>
      </c>
      <c r="L267" s="9">
        <f>IF($A267="","",$B267&amp;"|"&amp;$D267)</f>
        <v/>
      </c>
      <c r="M267" s="9">
        <f>IF($A267="","",VALUE($A267&amp;""))</f>
        <v/>
      </c>
      <c r="N267" s="9">
        <f>IF($A267="","",VALUE(SUBSTITUTE(SUBSTITUTE(SUBSTITUTE(UPPER($F267&amp;""),"Q",""),"분기","")," ","")))</f>
        <v/>
      </c>
      <c r="O267" s="94">
        <f>IF($A267="",0,($G267+$H267)*설정!$C$23)</f>
        <v/>
      </c>
      <c r="P267" s="94">
        <f>IF($A267="",0,$I267*설정!$C$23)</f>
        <v/>
      </c>
      <c r="Q267" s="64">
        <f>IF($A267="","",IF(COUNTIF(변동분석!$E$7:$E$506,L267)&gt;0,"Y","N"))</f>
        <v/>
      </c>
      <c r="R267" s="9">
        <f>IF($A267="","",$D267&amp;"")</f>
        <v/>
      </c>
    </row>
    <row r="268">
      <c r="A268" s="92" t="n">
        <v>2026</v>
      </c>
      <c r="B268" s="92" t="inlineStr">
        <is>
          <t>D950</t>
        </is>
      </c>
      <c r="C268" s="92" t="inlineStr">
        <is>
          <t>자산운용팀</t>
        </is>
      </c>
      <c r="D268" s="92" t="n">
        <v>62101000</v>
      </c>
      <c r="E268" s="92" t="inlineStr">
        <is>
          <t>여비교통비-국내</t>
        </is>
      </c>
      <c r="F268" s="92" t="n">
        <v>4</v>
      </c>
      <c r="G268" s="93" t="n">
        <v>5100000</v>
      </c>
      <c r="H268" s="93" t="n">
        <v>0</v>
      </c>
      <c r="I268" s="93" t="n">
        <v>0</v>
      </c>
      <c r="J268" s="93" t="n">
        <v>5100000</v>
      </c>
      <c r="L268" s="9">
        <f>IF($A268="","",$B268&amp;"|"&amp;$D268)</f>
        <v/>
      </c>
      <c r="M268" s="9">
        <f>IF($A268="","",VALUE($A268&amp;""))</f>
        <v/>
      </c>
      <c r="N268" s="9">
        <f>IF($A268="","",VALUE(SUBSTITUTE(SUBSTITUTE(SUBSTITUTE(UPPER($F268&amp;""),"Q",""),"분기","")," ","")))</f>
        <v/>
      </c>
      <c r="O268" s="94">
        <f>IF($A268="",0,($G268+$H268)*설정!$C$23)</f>
        <v/>
      </c>
      <c r="P268" s="94">
        <f>IF($A268="",0,$I268*설정!$C$23)</f>
        <v/>
      </c>
      <c r="Q268" s="64">
        <f>IF($A268="","",IF(COUNTIF(변동분석!$E$7:$E$506,L268)&gt;0,"Y","N"))</f>
        <v/>
      </c>
      <c r="R268" s="9">
        <f>IF($A268="","",$D268&amp;"")</f>
        <v/>
      </c>
    </row>
    <row r="269">
      <c r="A269" s="92" t="n">
        <v>2026</v>
      </c>
      <c r="B269" s="92" t="inlineStr">
        <is>
          <t>D950</t>
        </is>
      </c>
      <c r="C269" s="92" t="inlineStr">
        <is>
          <t>자산운용팀</t>
        </is>
      </c>
      <c r="D269" s="92" t="n">
        <v>62102000</v>
      </c>
      <c r="E269" s="92" t="inlineStr">
        <is>
          <t>여비교통비-해외</t>
        </is>
      </c>
      <c r="F269" s="92" t="n">
        <v>1</v>
      </c>
      <c r="G269" s="93" t="n">
        <v>900000</v>
      </c>
      <c r="H269" s="93" t="n">
        <v>0</v>
      </c>
      <c r="I269" s="93" t="n">
        <v>806000</v>
      </c>
      <c r="J269" s="93" t="n">
        <v>94000</v>
      </c>
      <c r="L269" s="9">
        <f>IF($A269="","",$B269&amp;"|"&amp;$D269)</f>
        <v/>
      </c>
      <c r="M269" s="9">
        <f>IF($A269="","",VALUE($A269&amp;""))</f>
        <v/>
      </c>
      <c r="N269" s="9">
        <f>IF($A269="","",VALUE(SUBSTITUTE(SUBSTITUTE(SUBSTITUTE(UPPER($F269&amp;""),"Q",""),"분기","")," ","")))</f>
        <v/>
      </c>
      <c r="O269" s="94">
        <f>IF($A269="",0,($G269+$H269)*설정!$C$23)</f>
        <v/>
      </c>
      <c r="P269" s="94">
        <f>IF($A269="",0,$I269*설정!$C$23)</f>
        <v/>
      </c>
      <c r="Q269" s="64">
        <f>IF($A269="","",IF(COUNTIF(변동분석!$E$7:$E$506,L269)&gt;0,"Y","N"))</f>
        <v/>
      </c>
      <c r="R269" s="9">
        <f>IF($A269="","",$D269&amp;"")</f>
        <v/>
      </c>
    </row>
    <row r="270">
      <c r="A270" s="92" t="n">
        <v>2026</v>
      </c>
      <c r="B270" s="92" t="inlineStr">
        <is>
          <t>D950</t>
        </is>
      </c>
      <c r="C270" s="92" t="inlineStr">
        <is>
          <t>자산운용팀</t>
        </is>
      </c>
      <c r="D270" s="92" t="n">
        <v>62102000</v>
      </c>
      <c r="E270" s="92" t="inlineStr">
        <is>
          <t>여비교통비-해외</t>
        </is>
      </c>
      <c r="F270" s="92" t="n">
        <v>2</v>
      </c>
      <c r="G270" s="93" t="n">
        <v>900000</v>
      </c>
      <c r="H270" s="93" t="n">
        <v>0</v>
      </c>
      <c r="I270" s="93" t="n">
        <v>767000</v>
      </c>
      <c r="J270" s="93" t="n">
        <v>133000</v>
      </c>
      <c r="L270" s="9">
        <f>IF($A270="","",$B270&amp;"|"&amp;$D270)</f>
        <v/>
      </c>
      <c r="M270" s="9">
        <f>IF($A270="","",VALUE($A270&amp;""))</f>
        <v/>
      </c>
      <c r="N270" s="9">
        <f>IF($A270="","",VALUE(SUBSTITUTE(SUBSTITUTE(SUBSTITUTE(UPPER($F270&amp;""),"Q",""),"분기","")," ","")))</f>
        <v/>
      </c>
      <c r="O270" s="94">
        <f>IF($A270="",0,($G270+$H270)*설정!$C$23)</f>
        <v/>
      </c>
      <c r="P270" s="94">
        <f>IF($A270="",0,$I270*설정!$C$23)</f>
        <v/>
      </c>
      <c r="Q270" s="64">
        <f>IF($A270="","",IF(COUNTIF(변동분석!$E$7:$E$506,L270)&gt;0,"Y","N"))</f>
        <v/>
      </c>
      <c r="R270" s="9">
        <f>IF($A270="","",$D270&amp;"")</f>
        <v/>
      </c>
    </row>
    <row r="271">
      <c r="A271" s="92" t="n">
        <v>2026</v>
      </c>
      <c r="B271" s="92" t="inlineStr">
        <is>
          <t>D950</t>
        </is>
      </c>
      <c r="C271" s="92" t="inlineStr">
        <is>
          <t>자산운용팀</t>
        </is>
      </c>
      <c r="D271" s="92" t="n">
        <v>62102000</v>
      </c>
      <c r="E271" s="92" t="inlineStr">
        <is>
          <t>여비교통비-해외</t>
        </is>
      </c>
      <c r="F271" s="92" t="n">
        <v>3</v>
      </c>
      <c r="G271" s="93" t="n">
        <v>900000</v>
      </c>
      <c r="H271" s="93" t="n">
        <v>0</v>
      </c>
      <c r="I271" s="93" t="n">
        <v>790000</v>
      </c>
      <c r="J271" s="93" t="n">
        <v>110000</v>
      </c>
      <c r="L271" s="9">
        <f>IF($A271="","",$B271&amp;"|"&amp;$D271)</f>
        <v/>
      </c>
      <c r="M271" s="9">
        <f>IF($A271="","",VALUE($A271&amp;""))</f>
        <v/>
      </c>
      <c r="N271" s="9">
        <f>IF($A271="","",VALUE(SUBSTITUTE(SUBSTITUTE(SUBSTITUTE(UPPER($F271&amp;""),"Q",""),"분기","")," ","")))</f>
        <v/>
      </c>
      <c r="O271" s="94">
        <f>IF($A271="",0,($G271+$H271)*설정!$C$23)</f>
        <v/>
      </c>
      <c r="P271" s="94">
        <f>IF($A271="",0,$I271*설정!$C$23)</f>
        <v/>
      </c>
      <c r="Q271" s="64">
        <f>IF($A271="","",IF(COUNTIF(변동분석!$E$7:$E$506,L271)&gt;0,"Y","N"))</f>
        <v/>
      </c>
      <c r="R271" s="9">
        <f>IF($A271="","",$D271&amp;"")</f>
        <v/>
      </c>
    </row>
    <row r="272">
      <c r="A272" s="92" t="n">
        <v>2026</v>
      </c>
      <c r="B272" s="92" t="inlineStr">
        <is>
          <t>D950</t>
        </is>
      </c>
      <c r="C272" s="92" t="inlineStr">
        <is>
          <t>자산운용팀</t>
        </is>
      </c>
      <c r="D272" s="92" t="n">
        <v>62102000</v>
      </c>
      <c r="E272" s="92" t="inlineStr">
        <is>
          <t>여비교통비-해외</t>
        </is>
      </c>
      <c r="F272" s="92" t="n">
        <v>4</v>
      </c>
      <c r="G272" s="93" t="n">
        <v>900000</v>
      </c>
      <c r="H272" s="93" t="n">
        <v>0</v>
      </c>
      <c r="I272" s="93" t="n">
        <v>0</v>
      </c>
      <c r="J272" s="93" t="n">
        <v>900000</v>
      </c>
      <c r="L272" s="9">
        <f>IF($A272="","",$B272&amp;"|"&amp;$D272)</f>
        <v/>
      </c>
      <c r="M272" s="9">
        <f>IF($A272="","",VALUE($A272&amp;""))</f>
        <v/>
      </c>
      <c r="N272" s="9">
        <f>IF($A272="","",VALUE(SUBSTITUTE(SUBSTITUTE(SUBSTITUTE(UPPER($F272&amp;""),"Q",""),"분기","")," ","")))</f>
        <v/>
      </c>
      <c r="O272" s="94">
        <f>IF($A272="",0,($G272+$H272)*설정!$C$23)</f>
        <v/>
      </c>
      <c r="P272" s="94">
        <f>IF($A272="",0,$I272*설정!$C$23)</f>
        <v/>
      </c>
      <c r="Q272" s="64">
        <f>IF($A272="","",IF(COUNTIF(변동분석!$E$7:$E$506,L272)&gt;0,"Y","N"))</f>
        <v/>
      </c>
      <c r="R272" s="9">
        <f>IF($A272="","",$D272&amp;"")</f>
        <v/>
      </c>
    </row>
    <row r="273">
      <c r="A273" s="92" t="n">
        <v>2026</v>
      </c>
      <c r="B273" s="92" t="inlineStr">
        <is>
          <t>D950</t>
        </is>
      </c>
      <c r="C273" s="92" t="inlineStr">
        <is>
          <t>자산운용팀</t>
        </is>
      </c>
      <c r="D273" s="92" t="n">
        <v>62201000</v>
      </c>
      <c r="E273" s="92" t="inlineStr">
        <is>
          <t>통신비</t>
        </is>
      </c>
      <c r="F273" s="92" t="n">
        <v>1</v>
      </c>
      <c r="G273" s="93" t="n">
        <v>3000000</v>
      </c>
      <c r="H273" s="93" t="n">
        <v>0</v>
      </c>
      <c r="I273" s="93" t="n">
        <v>2633000</v>
      </c>
      <c r="J273" s="93" t="n">
        <v>367000</v>
      </c>
      <c r="L273" s="9">
        <f>IF($A273="","",$B273&amp;"|"&amp;$D273)</f>
        <v/>
      </c>
      <c r="M273" s="9">
        <f>IF($A273="","",VALUE($A273&amp;""))</f>
        <v/>
      </c>
      <c r="N273" s="9">
        <f>IF($A273="","",VALUE(SUBSTITUTE(SUBSTITUTE(SUBSTITUTE(UPPER($F273&amp;""),"Q",""),"분기","")," ","")))</f>
        <v/>
      </c>
      <c r="O273" s="94">
        <f>IF($A273="",0,($G273+$H273)*설정!$C$23)</f>
        <v/>
      </c>
      <c r="P273" s="94">
        <f>IF($A273="",0,$I273*설정!$C$23)</f>
        <v/>
      </c>
      <c r="Q273" s="64">
        <f>IF($A273="","",IF(COUNTIF(변동분석!$E$7:$E$506,L273)&gt;0,"Y","N"))</f>
        <v/>
      </c>
      <c r="R273" s="9">
        <f>IF($A273="","",$D273&amp;"")</f>
        <v/>
      </c>
    </row>
    <row r="274">
      <c r="A274" s="92" t="n">
        <v>2026</v>
      </c>
      <c r="B274" s="92" t="inlineStr">
        <is>
          <t>D950</t>
        </is>
      </c>
      <c r="C274" s="92" t="inlineStr">
        <is>
          <t>자산운용팀</t>
        </is>
      </c>
      <c r="D274" s="92" t="n">
        <v>62201000</v>
      </c>
      <c r="E274" s="92" t="inlineStr">
        <is>
          <t>통신비</t>
        </is>
      </c>
      <c r="F274" s="92" t="n">
        <v>2</v>
      </c>
      <c r="G274" s="93" t="n">
        <v>3000000</v>
      </c>
      <c r="H274" s="93" t="n">
        <v>0</v>
      </c>
      <c r="I274" s="93" t="n">
        <v>2687000</v>
      </c>
      <c r="J274" s="93" t="n">
        <v>313000</v>
      </c>
      <c r="L274" s="9">
        <f>IF($A274="","",$B274&amp;"|"&amp;$D274)</f>
        <v/>
      </c>
      <c r="M274" s="9">
        <f>IF($A274="","",VALUE($A274&amp;""))</f>
        <v/>
      </c>
      <c r="N274" s="9">
        <f>IF($A274="","",VALUE(SUBSTITUTE(SUBSTITUTE(SUBSTITUTE(UPPER($F274&amp;""),"Q",""),"분기","")," ","")))</f>
        <v/>
      </c>
      <c r="O274" s="94">
        <f>IF($A274="",0,($G274+$H274)*설정!$C$23)</f>
        <v/>
      </c>
      <c r="P274" s="94">
        <f>IF($A274="",0,$I274*설정!$C$23)</f>
        <v/>
      </c>
      <c r="Q274" s="64">
        <f>IF($A274="","",IF(COUNTIF(변동분석!$E$7:$E$506,L274)&gt;0,"Y","N"))</f>
        <v/>
      </c>
      <c r="R274" s="9">
        <f>IF($A274="","",$D274&amp;"")</f>
        <v/>
      </c>
    </row>
    <row r="275">
      <c r="A275" s="92" t="n">
        <v>2026</v>
      </c>
      <c r="B275" s="92" t="inlineStr">
        <is>
          <t>D950</t>
        </is>
      </c>
      <c r="C275" s="92" t="inlineStr">
        <is>
          <t>자산운용팀</t>
        </is>
      </c>
      <c r="D275" s="92" t="n">
        <v>62201000</v>
      </c>
      <c r="E275" s="92" t="inlineStr">
        <is>
          <t>통신비</t>
        </is>
      </c>
      <c r="F275" s="92" t="n">
        <v>3</v>
      </c>
      <c r="G275" s="93" t="n">
        <v>3000000</v>
      </c>
      <c r="H275" s="93" t="n">
        <v>0</v>
      </c>
      <c r="I275" s="93" t="n">
        <v>2648000</v>
      </c>
      <c r="J275" s="93" t="n">
        <v>352000</v>
      </c>
      <c r="L275" s="9">
        <f>IF($A275="","",$B275&amp;"|"&amp;$D275)</f>
        <v/>
      </c>
      <c r="M275" s="9">
        <f>IF($A275="","",VALUE($A275&amp;""))</f>
        <v/>
      </c>
      <c r="N275" s="9">
        <f>IF($A275="","",VALUE(SUBSTITUTE(SUBSTITUTE(SUBSTITUTE(UPPER($F275&amp;""),"Q",""),"분기","")," ","")))</f>
        <v/>
      </c>
      <c r="O275" s="94">
        <f>IF($A275="",0,($G275+$H275)*설정!$C$23)</f>
        <v/>
      </c>
      <c r="P275" s="94">
        <f>IF($A275="",0,$I275*설정!$C$23)</f>
        <v/>
      </c>
      <c r="Q275" s="64">
        <f>IF($A275="","",IF(COUNTIF(변동분석!$E$7:$E$506,L275)&gt;0,"Y","N"))</f>
        <v/>
      </c>
      <c r="R275" s="9">
        <f>IF($A275="","",$D275&amp;"")</f>
        <v/>
      </c>
    </row>
    <row r="276">
      <c r="A276" s="92" t="n">
        <v>2026</v>
      </c>
      <c r="B276" s="92" t="inlineStr">
        <is>
          <t>D950</t>
        </is>
      </c>
      <c r="C276" s="92" t="inlineStr">
        <is>
          <t>자산운용팀</t>
        </is>
      </c>
      <c r="D276" s="92" t="n">
        <v>62201000</v>
      </c>
      <c r="E276" s="92" t="inlineStr">
        <is>
          <t>통신비</t>
        </is>
      </c>
      <c r="F276" s="92" t="n">
        <v>4</v>
      </c>
      <c r="G276" s="93" t="n">
        <v>3000000</v>
      </c>
      <c r="H276" s="93" t="n">
        <v>0</v>
      </c>
      <c r="I276" s="93" t="n">
        <v>0</v>
      </c>
      <c r="J276" s="93" t="n">
        <v>3000000</v>
      </c>
      <c r="L276" s="9">
        <f>IF($A276="","",$B276&amp;"|"&amp;$D276)</f>
        <v/>
      </c>
      <c r="M276" s="9">
        <f>IF($A276="","",VALUE($A276&amp;""))</f>
        <v/>
      </c>
      <c r="N276" s="9">
        <f>IF($A276="","",VALUE(SUBSTITUTE(SUBSTITUTE(SUBSTITUTE(UPPER($F276&amp;""),"Q",""),"분기","")," ","")))</f>
        <v/>
      </c>
      <c r="O276" s="94">
        <f>IF($A276="",0,($G276+$H276)*설정!$C$23)</f>
        <v/>
      </c>
      <c r="P276" s="94">
        <f>IF($A276="",0,$I276*설정!$C$23)</f>
        <v/>
      </c>
      <c r="Q276" s="64">
        <f>IF($A276="","",IF(COUNTIF(변동분석!$E$7:$E$506,L276)&gt;0,"Y","N"))</f>
        <v/>
      </c>
      <c r="R276" s="9">
        <f>IF($A276="","",$D276&amp;"")</f>
        <v/>
      </c>
    </row>
    <row r="277">
      <c r="A277" s="92" t="n">
        <v>2026</v>
      </c>
      <c r="B277" s="92" t="inlineStr">
        <is>
          <t>D950</t>
        </is>
      </c>
      <c r="C277" s="92" t="inlineStr">
        <is>
          <t>자산운용팀</t>
        </is>
      </c>
      <c r="D277" s="92" t="n">
        <v>62901000</v>
      </c>
      <c r="E277" s="92" t="inlineStr">
        <is>
          <t>지급수수료-컨설팅</t>
        </is>
      </c>
      <c r="F277" s="92" t="n">
        <v>1</v>
      </c>
      <c r="G277" s="93" t="n">
        <v>63000000</v>
      </c>
      <c r="H277" s="93" t="n">
        <v>0</v>
      </c>
      <c r="I277" s="93" t="n">
        <v>56761000</v>
      </c>
      <c r="J277" s="93" t="n">
        <v>6239000</v>
      </c>
      <c r="L277" s="9">
        <f>IF($A277="","",$B277&amp;"|"&amp;$D277)</f>
        <v/>
      </c>
      <c r="M277" s="9">
        <f>IF($A277="","",VALUE($A277&amp;""))</f>
        <v/>
      </c>
      <c r="N277" s="9">
        <f>IF($A277="","",VALUE(SUBSTITUTE(SUBSTITUTE(SUBSTITUTE(UPPER($F277&amp;""),"Q",""),"분기","")," ","")))</f>
        <v/>
      </c>
      <c r="O277" s="94">
        <f>IF($A277="",0,($G277+$H277)*설정!$C$23)</f>
        <v/>
      </c>
      <c r="P277" s="94">
        <f>IF($A277="",0,$I277*설정!$C$23)</f>
        <v/>
      </c>
      <c r="Q277" s="64">
        <f>IF($A277="","",IF(COUNTIF(변동분석!$E$7:$E$506,L277)&gt;0,"Y","N"))</f>
        <v/>
      </c>
      <c r="R277" s="9">
        <f>IF($A277="","",$D277&amp;"")</f>
        <v/>
      </c>
    </row>
    <row r="278">
      <c r="A278" s="92" t="n">
        <v>2026</v>
      </c>
      <c r="B278" s="92" t="inlineStr">
        <is>
          <t>D950</t>
        </is>
      </c>
      <c r="C278" s="92" t="inlineStr">
        <is>
          <t>자산운용팀</t>
        </is>
      </c>
      <c r="D278" s="92" t="n">
        <v>62901000</v>
      </c>
      <c r="E278" s="92" t="inlineStr">
        <is>
          <t>지급수수료-컨설팅</t>
        </is>
      </c>
      <c r="F278" s="92" t="n">
        <v>2</v>
      </c>
      <c r="G278" s="93" t="n">
        <v>63000000</v>
      </c>
      <c r="H278" s="93" t="n">
        <v>0</v>
      </c>
      <c r="I278" s="93" t="n">
        <v>54851000</v>
      </c>
      <c r="J278" s="93" t="n">
        <v>8149000</v>
      </c>
      <c r="L278" s="9">
        <f>IF($A278="","",$B278&amp;"|"&amp;$D278)</f>
        <v/>
      </c>
      <c r="M278" s="9">
        <f>IF($A278="","",VALUE($A278&amp;""))</f>
        <v/>
      </c>
      <c r="N278" s="9">
        <f>IF($A278="","",VALUE(SUBSTITUTE(SUBSTITUTE(SUBSTITUTE(UPPER($F278&amp;""),"Q",""),"분기","")," ","")))</f>
        <v/>
      </c>
      <c r="O278" s="94">
        <f>IF($A278="",0,($G278+$H278)*설정!$C$23)</f>
        <v/>
      </c>
      <c r="P278" s="94">
        <f>IF($A278="",0,$I278*설정!$C$23)</f>
        <v/>
      </c>
      <c r="Q278" s="64">
        <f>IF($A278="","",IF(COUNTIF(변동분석!$E$7:$E$506,L278)&gt;0,"Y","N"))</f>
        <v/>
      </c>
      <c r="R278" s="9">
        <f>IF($A278="","",$D278&amp;"")</f>
        <v/>
      </c>
    </row>
    <row r="279">
      <c r="A279" s="92" t="n">
        <v>2026</v>
      </c>
      <c r="B279" s="92" t="inlineStr">
        <is>
          <t>D950</t>
        </is>
      </c>
      <c r="C279" s="92" t="inlineStr">
        <is>
          <t>자산운용팀</t>
        </is>
      </c>
      <c r="D279" s="92" t="n">
        <v>62901000</v>
      </c>
      <c r="E279" s="92" t="inlineStr">
        <is>
          <t>지급수수료-컨설팅</t>
        </is>
      </c>
      <c r="F279" s="92" t="n">
        <v>3</v>
      </c>
      <c r="G279" s="93" t="n">
        <v>63000000</v>
      </c>
      <c r="H279" s="93" t="n">
        <v>0</v>
      </c>
      <c r="I279" s="93" t="n">
        <v>55218000</v>
      </c>
      <c r="J279" s="93" t="n">
        <v>7782000</v>
      </c>
      <c r="L279" s="9">
        <f>IF($A279="","",$B279&amp;"|"&amp;$D279)</f>
        <v/>
      </c>
      <c r="M279" s="9">
        <f>IF($A279="","",VALUE($A279&amp;""))</f>
        <v/>
      </c>
      <c r="N279" s="9">
        <f>IF($A279="","",VALUE(SUBSTITUTE(SUBSTITUTE(SUBSTITUTE(UPPER($F279&amp;""),"Q",""),"분기","")," ","")))</f>
        <v/>
      </c>
      <c r="O279" s="94">
        <f>IF($A279="",0,($G279+$H279)*설정!$C$23)</f>
        <v/>
      </c>
      <c r="P279" s="94">
        <f>IF($A279="",0,$I279*설정!$C$23)</f>
        <v/>
      </c>
      <c r="Q279" s="64">
        <f>IF($A279="","",IF(COUNTIF(변동분석!$E$7:$E$506,L279)&gt;0,"Y","N"))</f>
        <v/>
      </c>
      <c r="R279" s="9">
        <f>IF($A279="","",$D279&amp;"")</f>
        <v/>
      </c>
    </row>
    <row r="280">
      <c r="A280" s="92" t="n">
        <v>2026</v>
      </c>
      <c r="B280" s="92" t="inlineStr">
        <is>
          <t>D950</t>
        </is>
      </c>
      <c r="C280" s="92" t="inlineStr">
        <is>
          <t>자산운용팀</t>
        </is>
      </c>
      <c r="D280" s="92" t="n">
        <v>62901000</v>
      </c>
      <c r="E280" s="92" t="inlineStr">
        <is>
          <t>지급수수료-컨설팅</t>
        </is>
      </c>
      <c r="F280" s="92" t="n">
        <v>4</v>
      </c>
      <c r="G280" s="93" t="n">
        <v>63000000</v>
      </c>
      <c r="H280" s="93" t="n">
        <v>0</v>
      </c>
      <c r="I280" s="93" t="n">
        <v>0</v>
      </c>
      <c r="J280" s="93" t="n">
        <v>63000000</v>
      </c>
      <c r="L280" s="9">
        <f>IF($A280="","",$B280&amp;"|"&amp;$D280)</f>
        <v/>
      </c>
      <c r="M280" s="9">
        <f>IF($A280="","",VALUE($A280&amp;""))</f>
        <v/>
      </c>
      <c r="N280" s="9">
        <f>IF($A280="","",VALUE(SUBSTITUTE(SUBSTITUTE(SUBSTITUTE(UPPER($F280&amp;""),"Q",""),"분기","")," ","")))</f>
        <v/>
      </c>
      <c r="O280" s="94">
        <f>IF($A280="",0,($G280+$H280)*설정!$C$23)</f>
        <v/>
      </c>
      <c r="P280" s="94">
        <f>IF($A280="",0,$I280*설정!$C$23)</f>
        <v/>
      </c>
      <c r="Q280" s="64">
        <f>IF($A280="","",IF(COUNTIF(변동분석!$E$7:$E$506,L280)&gt;0,"Y","N"))</f>
        <v/>
      </c>
      <c r="R280" s="9">
        <f>IF($A280="","",$D280&amp;"")</f>
        <v/>
      </c>
    </row>
    <row r="281">
      <c r="A281" s="92" t="n">
        <v>2026</v>
      </c>
      <c r="B281" s="92" t="inlineStr">
        <is>
          <t>D950</t>
        </is>
      </c>
      <c r="C281" s="92" t="inlineStr">
        <is>
          <t>자산운용팀</t>
        </is>
      </c>
      <c r="D281" s="92" t="n">
        <v>62902000</v>
      </c>
      <c r="E281" s="92" t="inlineStr">
        <is>
          <t>지급수수료-기타</t>
        </is>
      </c>
      <c r="F281" s="92" t="n">
        <v>1</v>
      </c>
      <c r="G281" s="93" t="n">
        <v>27000000</v>
      </c>
      <c r="H281" s="93" t="n">
        <v>0</v>
      </c>
      <c r="I281" s="93" t="n">
        <v>22900000</v>
      </c>
      <c r="J281" s="93" t="n">
        <v>4100000</v>
      </c>
      <c r="L281" s="9">
        <f>IF($A281="","",$B281&amp;"|"&amp;$D281)</f>
        <v/>
      </c>
      <c r="M281" s="9">
        <f>IF($A281="","",VALUE($A281&amp;""))</f>
        <v/>
      </c>
      <c r="N281" s="9">
        <f>IF($A281="","",VALUE(SUBSTITUTE(SUBSTITUTE(SUBSTITUTE(UPPER($F281&amp;""),"Q",""),"분기","")," ","")))</f>
        <v/>
      </c>
      <c r="O281" s="94">
        <f>IF($A281="",0,($G281+$H281)*설정!$C$23)</f>
        <v/>
      </c>
      <c r="P281" s="94">
        <f>IF($A281="",0,$I281*설정!$C$23)</f>
        <v/>
      </c>
      <c r="Q281" s="64">
        <f>IF($A281="","",IF(COUNTIF(변동분석!$E$7:$E$506,L281)&gt;0,"Y","N"))</f>
        <v/>
      </c>
      <c r="R281" s="9">
        <f>IF($A281="","",$D281&amp;"")</f>
        <v/>
      </c>
    </row>
    <row r="282">
      <c r="A282" s="92" t="n">
        <v>2026</v>
      </c>
      <c r="B282" s="92" t="inlineStr">
        <is>
          <t>D950</t>
        </is>
      </c>
      <c r="C282" s="92" t="inlineStr">
        <is>
          <t>자산운용팀</t>
        </is>
      </c>
      <c r="D282" s="92" t="n">
        <v>62902000</v>
      </c>
      <c r="E282" s="92" t="inlineStr">
        <is>
          <t>지급수수료-기타</t>
        </is>
      </c>
      <c r="F282" s="92" t="n">
        <v>2</v>
      </c>
      <c r="G282" s="93" t="n">
        <v>27000000</v>
      </c>
      <c r="H282" s="93" t="n">
        <v>0</v>
      </c>
      <c r="I282" s="93" t="n">
        <v>24098000</v>
      </c>
      <c r="J282" s="93" t="n">
        <v>2902000</v>
      </c>
      <c r="L282" s="9">
        <f>IF($A282="","",$B282&amp;"|"&amp;$D282)</f>
        <v/>
      </c>
      <c r="M282" s="9">
        <f>IF($A282="","",VALUE($A282&amp;""))</f>
        <v/>
      </c>
      <c r="N282" s="9">
        <f>IF($A282="","",VALUE(SUBSTITUTE(SUBSTITUTE(SUBSTITUTE(UPPER($F282&amp;""),"Q",""),"분기","")," ","")))</f>
        <v/>
      </c>
      <c r="O282" s="94">
        <f>IF($A282="",0,($G282+$H282)*설정!$C$23)</f>
        <v/>
      </c>
      <c r="P282" s="94">
        <f>IF($A282="",0,$I282*설정!$C$23)</f>
        <v/>
      </c>
      <c r="Q282" s="64">
        <f>IF($A282="","",IF(COUNTIF(변동분석!$E$7:$E$506,L282)&gt;0,"Y","N"))</f>
        <v/>
      </c>
      <c r="R282" s="9">
        <f>IF($A282="","",$D282&amp;"")</f>
        <v/>
      </c>
    </row>
    <row r="283">
      <c r="A283" s="92" t="n">
        <v>2026</v>
      </c>
      <c r="B283" s="92" t="inlineStr">
        <is>
          <t>D950</t>
        </is>
      </c>
      <c r="C283" s="92" t="inlineStr">
        <is>
          <t>자산운용팀</t>
        </is>
      </c>
      <c r="D283" s="92" t="n">
        <v>62902000</v>
      </c>
      <c r="E283" s="92" t="inlineStr">
        <is>
          <t>지급수수료-기타</t>
        </is>
      </c>
      <c r="F283" s="92" t="n">
        <v>3</v>
      </c>
      <c r="G283" s="93" t="n">
        <v>27000000</v>
      </c>
      <c r="H283" s="93" t="n">
        <v>0</v>
      </c>
      <c r="I283" s="93" t="n">
        <v>23563000</v>
      </c>
      <c r="J283" s="93" t="n">
        <v>3437000</v>
      </c>
      <c r="L283" s="9">
        <f>IF($A283="","",$B283&amp;"|"&amp;$D283)</f>
        <v/>
      </c>
      <c r="M283" s="9">
        <f>IF($A283="","",VALUE($A283&amp;""))</f>
        <v/>
      </c>
      <c r="N283" s="9">
        <f>IF($A283="","",VALUE(SUBSTITUTE(SUBSTITUTE(SUBSTITUTE(UPPER($F283&amp;""),"Q",""),"분기","")," ","")))</f>
        <v/>
      </c>
      <c r="O283" s="94">
        <f>IF($A283="",0,($G283+$H283)*설정!$C$23)</f>
        <v/>
      </c>
      <c r="P283" s="94">
        <f>IF($A283="",0,$I283*설정!$C$23)</f>
        <v/>
      </c>
      <c r="Q283" s="64">
        <f>IF($A283="","",IF(COUNTIF(변동분석!$E$7:$E$506,L283)&gt;0,"Y","N"))</f>
        <v/>
      </c>
      <c r="R283" s="9">
        <f>IF($A283="","",$D283&amp;"")</f>
        <v/>
      </c>
    </row>
    <row r="284">
      <c r="A284" s="92" t="n">
        <v>2026</v>
      </c>
      <c r="B284" s="92" t="inlineStr">
        <is>
          <t>D950</t>
        </is>
      </c>
      <c r="C284" s="92" t="inlineStr">
        <is>
          <t>자산운용팀</t>
        </is>
      </c>
      <c r="D284" s="92" t="n">
        <v>62902000</v>
      </c>
      <c r="E284" s="92" t="inlineStr">
        <is>
          <t>지급수수료-기타</t>
        </is>
      </c>
      <c r="F284" s="92" t="n">
        <v>4</v>
      </c>
      <c r="G284" s="93" t="n">
        <v>27000000</v>
      </c>
      <c r="H284" s="93" t="n">
        <v>0</v>
      </c>
      <c r="I284" s="93" t="n">
        <v>0</v>
      </c>
      <c r="J284" s="93" t="n">
        <v>27000000</v>
      </c>
      <c r="L284" s="9">
        <f>IF($A284="","",$B284&amp;"|"&amp;$D284)</f>
        <v/>
      </c>
      <c r="M284" s="9">
        <f>IF($A284="","",VALUE($A284&amp;""))</f>
        <v/>
      </c>
      <c r="N284" s="9">
        <f>IF($A284="","",VALUE(SUBSTITUTE(SUBSTITUTE(SUBSTITUTE(UPPER($F284&amp;""),"Q",""),"분기","")," ","")))</f>
        <v/>
      </c>
      <c r="O284" s="94">
        <f>IF($A284="",0,($G284+$H284)*설정!$C$23)</f>
        <v/>
      </c>
      <c r="P284" s="94">
        <f>IF($A284="",0,$I284*설정!$C$23)</f>
        <v/>
      </c>
      <c r="Q284" s="64">
        <f>IF($A284="","",IF(COUNTIF(변동분석!$E$7:$E$506,L284)&gt;0,"Y","N"))</f>
        <v/>
      </c>
      <c r="R284" s="9">
        <f>IF($A284="","",$D284&amp;"")</f>
        <v/>
      </c>
    </row>
    <row r="285">
      <c r="A285" s="92" t="n">
        <v>2026</v>
      </c>
      <c r="B285" s="92" t="inlineStr">
        <is>
          <t>D950</t>
        </is>
      </c>
      <c r="C285" s="92" t="inlineStr">
        <is>
          <t>자산운용팀</t>
        </is>
      </c>
      <c r="D285" s="92" t="n">
        <v>63001000</v>
      </c>
      <c r="E285" s="92" t="inlineStr">
        <is>
          <t>전산운영비-SW유지보수</t>
        </is>
      </c>
      <c r="F285" s="92" t="n">
        <v>1</v>
      </c>
      <c r="G285" s="93" t="n">
        <v>33000000</v>
      </c>
      <c r="H285" s="93" t="n">
        <v>0</v>
      </c>
      <c r="I285" s="93" t="n">
        <v>28828000</v>
      </c>
      <c r="J285" s="93" t="n">
        <v>4172000</v>
      </c>
      <c r="L285" s="9">
        <f>IF($A285="","",$B285&amp;"|"&amp;$D285)</f>
        <v/>
      </c>
      <c r="M285" s="9">
        <f>IF($A285="","",VALUE($A285&amp;""))</f>
        <v/>
      </c>
      <c r="N285" s="9">
        <f>IF($A285="","",VALUE(SUBSTITUTE(SUBSTITUTE(SUBSTITUTE(UPPER($F285&amp;""),"Q",""),"분기","")," ","")))</f>
        <v/>
      </c>
      <c r="O285" s="94">
        <f>IF($A285="",0,($G285+$H285)*설정!$C$23)</f>
        <v/>
      </c>
      <c r="P285" s="94">
        <f>IF($A285="",0,$I285*설정!$C$23)</f>
        <v/>
      </c>
      <c r="Q285" s="64">
        <f>IF($A285="","",IF(COUNTIF(변동분석!$E$7:$E$506,L285)&gt;0,"Y","N"))</f>
        <v/>
      </c>
      <c r="R285" s="9">
        <f>IF($A285="","",$D285&amp;"")</f>
        <v/>
      </c>
    </row>
    <row r="286">
      <c r="A286" s="92" t="n">
        <v>2026</v>
      </c>
      <c r="B286" s="92" t="inlineStr">
        <is>
          <t>D950</t>
        </is>
      </c>
      <c r="C286" s="92" t="inlineStr">
        <is>
          <t>자산운용팀</t>
        </is>
      </c>
      <c r="D286" s="92" t="n">
        <v>63001000</v>
      </c>
      <c r="E286" s="92" t="inlineStr">
        <is>
          <t>전산운영비-SW유지보수</t>
        </is>
      </c>
      <c r="F286" s="92" t="n">
        <v>2</v>
      </c>
      <c r="G286" s="93" t="n">
        <v>33000000</v>
      </c>
      <c r="H286" s="93" t="n">
        <v>0</v>
      </c>
      <c r="I286" s="93" t="n">
        <v>28329000</v>
      </c>
      <c r="J286" s="93" t="n">
        <v>4671000</v>
      </c>
      <c r="L286" s="9">
        <f>IF($A286="","",$B286&amp;"|"&amp;$D286)</f>
        <v/>
      </c>
      <c r="M286" s="9">
        <f>IF($A286="","",VALUE($A286&amp;""))</f>
        <v/>
      </c>
      <c r="N286" s="9">
        <f>IF($A286="","",VALUE(SUBSTITUTE(SUBSTITUTE(SUBSTITUTE(UPPER($F286&amp;""),"Q",""),"분기","")," ","")))</f>
        <v/>
      </c>
      <c r="O286" s="94">
        <f>IF($A286="",0,($G286+$H286)*설정!$C$23)</f>
        <v/>
      </c>
      <c r="P286" s="94">
        <f>IF($A286="",0,$I286*설정!$C$23)</f>
        <v/>
      </c>
      <c r="Q286" s="64">
        <f>IF($A286="","",IF(COUNTIF(변동분석!$E$7:$E$506,L286)&gt;0,"Y","N"))</f>
        <v/>
      </c>
      <c r="R286" s="9">
        <f>IF($A286="","",$D286&amp;"")</f>
        <v/>
      </c>
    </row>
    <row r="287">
      <c r="A287" s="92" t="n">
        <v>2026</v>
      </c>
      <c r="B287" s="92" t="inlineStr">
        <is>
          <t>D950</t>
        </is>
      </c>
      <c r="C287" s="92" t="inlineStr">
        <is>
          <t>자산운용팀</t>
        </is>
      </c>
      <c r="D287" s="92" t="n">
        <v>63001000</v>
      </c>
      <c r="E287" s="92" t="inlineStr">
        <is>
          <t>전산운영비-SW유지보수</t>
        </is>
      </c>
      <c r="F287" s="92" t="n">
        <v>3</v>
      </c>
      <c r="G287" s="93" t="n">
        <v>33000000</v>
      </c>
      <c r="H287" s="93" t="n">
        <v>0</v>
      </c>
      <c r="I287" s="93" t="n">
        <v>28648000</v>
      </c>
      <c r="J287" s="93" t="n">
        <v>4352000</v>
      </c>
      <c r="L287" s="9">
        <f>IF($A287="","",$B287&amp;"|"&amp;$D287)</f>
        <v/>
      </c>
      <c r="M287" s="9">
        <f>IF($A287="","",VALUE($A287&amp;""))</f>
        <v/>
      </c>
      <c r="N287" s="9">
        <f>IF($A287="","",VALUE(SUBSTITUTE(SUBSTITUTE(SUBSTITUTE(UPPER($F287&amp;""),"Q",""),"분기","")," ","")))</f>
        <v/>
      </c>
      <c r="O287" s="94">
        <f>IF($A287="",0,($G287+$H287)*설정!$C$23)</f>
        <v/>
      </c>
      <c r="P287" s="94">
        <f>IF($A287="",0,$I287*설정!$C$23)</f>
        <v/>
      </c>
      <c r="Q287" s="64">
        <f>IF($A287="","",IF(COUNTIF(변동분석!$E$7:$E$506,L287)&gt;0,"Y","N"))</f>
        <v/>
      </c>
      <c r="R287" s="9">
        <f>IF($A287="","",$D287&amp;"")</f>
        <v/>
      </c>
    </row>
    <row r="288">
      <c r="A288" s="92" t="n">
        <v>2026</v>
      </c>
      <c r="B288" s="92" t="inlineStr">
        <is>
          <t>D950</t>
        </is>
      </c>
      <c r="C288" s="92" t="inlineStr">
        <is>
          <t>자산운용팀</t>
        </is>
      </c>
      <c r="D288" s="92" t="n">
        <v>63001000</v>
      </c>
      <c r="E288" s="92" t="inlineStr">
        <is>
          <t>전산운영비-SW유지보수</t>
        </is>
      </c>
      <c r="F288" s="92" t="n">
        <v>4</v>
      </c>
      <c r="G288" s="93" t="n">
        <v>33000000</v>
      </c>
      <c r="H288" s="93" t="n">
        <v>0</v>
      </c>
      <c r="I288" s="93" t="n">
        <v>0</v>
      </c>
      <c r="J288" s="93" t="n">
        <v>33000000</v>
      </c>
      <c r="L288" s="9">
        <f>IF($A288="","",$B288&amp;"|"&amp;$D288)</f>
        <v/>
      </c>
      <c r="M288" s="9">
        <f>IF($A288="","",VALUE($A288&amp;""))</f>
        <v/>
      </c>
      <c r="N288" s="9">
        <f>IF($A288="","",VALUE(SUBSTITUTE(SUBSTITUTE(SUBSTITUTE(UPPER($F288&amp;""),"Q",""),"분기","")," ","")))</f>
        <v/>
      </c>
      <c r="O288" s="94">
        <f>IF($A288="",0,($G288+$H288)*설정!$C$23)</f>
        <v/>
      </c>
      <c r="P288" s="94">
        <f>IF($A288="",0,$I288*설정!$C$23)</f>
        <v/>
      </c>
      <c r="Q288" s="64">
        <f>IF($A288="","",IF(COUNTIF(변동분석!$E$7:$E$506,L288)&gt;0,"Y","N"))</f>
        <v/>
      </c>
      <c r="R288" s="9">
        <f>IF($A288="","",$D288&amp;"")</f>
        <v/>
      </c>
    </row>
    <row r="289">
      <c r="A289" s="92" t="n">
        <v>2026</v>
      </c>
      <c r="B289" s="92" t="inlineStr">
        <is>
          <t>D950</t>
        </is>
      </c>
      <c r="C289" s="92" t="inlineStr">
        <is>
          <t>자산운용팀</t>
        </is>
      </c>
      <c r="D289" s="92" t="n">
        <v>63002000</v>
      </c>
      <c r="E289" s="92" t="inlineStr">
        <is>
          <t>전산운영비-클라우드</t>
        </is>
      </c>
      <c r="F289" s="92" t="n">
        <v>1</v>
      </c>
      <c r="G289" s="93" t="n">
        <v>27000000</v>
      </c>
      <c r="H289" s="93" t="n">
        <v>0</v>
      </c>
      <c r="I289" s="93" t="n">
        <v>24179000</v>
      </c>
      <c r="J289" s="93" t="n">
        <v>2821000</v>
      </c>
      <c r="L289" s="9">
        <f>IF($A289="","",$B289&amp;"|"&amp;$D289)</f>
        <v/>
      </c>
      <c r="M289" s="9">
        <f>IF($A289="","",VALUE($A289&amp;""))</f>
        <v/>
      </c>
      <c r="N289" s="9">
        <f>IF($A289="","",VALUE(SUBSTITUTE(SUBSTITUTE(SUBSTITUTE(UPPER($F289&amp;""),"Q",""),"분기","")," ","")))</f>
        <v/>
      </c>
      <c r="O289" s="94">
        <f>IF($A289="",0,($G289+$H289)*설정!$C$23)</f>
        <v/>
      </c>
      <c r="P289" s="94">
        <f>IF($A289="",0,$I289*설정!$C$23)</f>
        <v/>
      </c>
      <c r="Q289" s="64">
        <f>IF($A289="","",IF(COUNTIF(변동분석!$E$7:$E$506,L289)&gt;0,"Y","N"))</f>
        <v/>
      </c>
      <c r="R289" s="9">
        <f>IF($A289="","",$D289&amp;"")</f>
        <v/>
      </c>
    </row>
    <row r="290">
      <c r="A290" s="92" t="n">
        <v>2026</v>
      </c>
      <c r="B290" s="92" t="inlineStr">
        <is>
          <t>D950</t>
        </is>
      </c>
      <c r="C290" s="92" t="inlineStr">
        <is>
          <t>자산운용팀</t>
        </is>
      </c>
      <c r="D290" s="92" t="n">
        <v>63002000</v>
      </c>
      <c r="E290" s="92" t="inlineStr">
        <is>
          <t>전산운영비-클라우드</t>
        </is>
      </c>
      <c r="F290" s="92" t="n">
        <v>2</v>
      </c>
      <c r="G290" s="93" t="n">
        <v>27000000</v>
      </c>
      <c r="H290" s="93" t="n">
        <v>0</v>
      </c>
      <c r="I290" s="93" t="n">
        <v>23668000</v>
      </c>
      <c r="J290" s="93" t="n">
        <v>3332000</v>
      </c>
      <c r="L290" s="9">
        <f>IF($A290="","",$B290&amp;"|"&amp;$D290)</f>
        <v/>
      </c>
      <c r="M290" s="9">
        <f>IF($A290="","",VALUE($A290&amp;""))</f>
        <v/>
      </c>
      <c r="N290" s="9">
        <f>IF($A290="","",VALUE(SUBSTITUTE(SUBSTITUTE(SUBSTITUTE(UPPER($F290&amp;""),"Q",""),"분기","")," ","")))</f>
        <v/>
      </c>
      <c r="O290" s="94">
        <f>IF($A290="",0,($G290+$H290)*설정!$C$23)</f>
        <v/>
      </c>
      <c r="P290" s="94">
        <f>IF($A290="",0,$I290*설정!$C$23)</f>
        <v/>
      </c>
      <c r="Q290" s="64">
        <f>IF($A290="","",IF(COUNTIF(변동분석!$E$7:$E$506,L290)&gt;0,"Y","N"))</f>
        <v/>
      </c>
      <c r="R290" s="9">
        <f>IF($A290="","",$D290&amp;"")</f>
        <v/>
      </c>
    </row>
    <row r="291">
      <c r="A291" s="92" t="n">
        <v>2026</v>
      </c>
      <c r="B291" s="92" t="inlineStr">
        <is>
          <t>D950</t>
        </is>
      </c>
      <c r="C291" s="92" t="inlineStr">
        <is>
          <t>자산운용팀</t>
        </is>
      </c>
      <c r="D291" s="92" t="n">
        <v>63002000</v>
      </c>
      <c r="E291" s="92" t="inlineStr">
        <is>
          <t>전산운영비-클라우드</t>
        </is>
      </c>
      <c r="F291" s="92" t="n">
        <v>3</v>
      </c>
      <c r="G291" s="93" t="n">
        <v>27000000</v>
      </c>
      <c r="H291" s="93" t="n">
        <v>0</v>
      </c>
      <c r="I291" s="93" t="n">
        <v>24510000</v>
      </c>
      <c r="J291" s="93" t="n">
        <v>2490000</v>
      </c>
      <c r="L291" s="9">
        <f>IF($A291="","",$B291&amp;"|"&amp;$D291)</f>
        <v/>
      </c>
      <c r="M291" s="9">
        <f>IF($A291="","",VALUE($A291&amp;""))</f>
        <v/>
      </c>
      <c r="N291" s="9">
        <f>IF($A291="","",VALUE(SUBSTITUTE(SUBSTITUTE(SUBSTITUTE(UPPER($F291&amp;""),"Q",""),"분기","")," ","")))</f>
        <v/>
      </c>
      <c r="O291" s="94">
        <f>IF($A291="",0,($G291+$H291)*설정!$C$23)</f>
        <v/>
      </c>
      <c r="P291" s="94">
        <f>IF($A291="",0,$I291*설정!$C$23)</f>
        <v/>
      </c>
      <c r="Q291" s="64">
        <f>IF($A291="","",IF(COUNTIF(변동분석!$E$7:$E$506,L291)&gt;0,"Y","N"))</f>
        <v/>
      </c>
      <c r="R291" s="9">
        <f>IF($A291="","",$D291&amp;"")</f>
        <v/>
      </c>
    </row>
    <row r="292">
      <c r="A292" s="92" t="n">
        <v>2026</v>
      </c>
      <c r="B292" s="92" t="inlineStr">
        <is>
          <t>D950</t>
        </is>
      </c>
      <c r="C292" s="92" t="inlineStr">
        <is>
          <t>자산운용팀</t>
        </is>
      </c>
      <c r="D292" s="92" t="n">
        <v>63002000</v>
      </c>
      <c r="E292" s="92" t="inlineStr">
        <is>
          <t>전산운영비-클라우드</t>
        </is>
      </c>
      <c r="F292" s="92" t="n">
        <v>4</v>
      </c>
      <c r="G292" s="93" t="n">
        <v>27000000</v>
      </c>
      <c r="H292" s="93" t="n">
        <v>0</v>
      </c>
      <c r="I292" s="93" t="n">
        <v>0</v>
      </c>
      <c r="J292" s="93" t="n">
        <v>27000000</v>
      </c>
      <c r="L292" s="9">
        <f>IF($A292="","",$B292&amp;"|"&amp;$D292)</f>
        <v/>
      </c>
      <c r="M292" s="9">
        <f>IF($A292="","",VALUE($A292&amp;""))</f>
        <v/>
      </c>
      <c r="N292" s="9">
        <f>IF($A292="","",VALUE(SUBSTITUTE(SUBSTITUTE(SUBSTITUTE(UPPER($F292&amp;""),"Q",""),"분기","")," ","")))</f>
        <v/>
      </c>
      <c r="O292" s="94">
        <f>IF($A292="",0,($G292+$H292)*설정!$C$23)</f>
        <v/>
      </c>
      <c r="P292" s="94">
        <f>IF($A292="",0,$I292*설정!$C$23)</f>
        <v/>
      </c>
      <c r="Q292" s="64">
        <f>IF($A292="","",IF(COUNTIF(변동분석!$E$7:$E$506,L292)&gt;0,"Y","N"))</f>
        <v/>
      </c>
      <c r="R292" s="9">
        <f>IF($A292="","",$D292&amp;"")</f>
        <v/>
      </c>
    </row>
    <row r="293">
      <c r="A293" s="92" t="n">
        <v>2026</v>
      </c>
      <c r="B293" s="92" t="inlineStr">
        <is>
          <t>D300</t>
        </is>
      </c>
      <c r="C293" s="92" t="inlineStr">
        <is>
          <t>인사팀</t>
        </is>
      </c>
      <c r="D293" s="92" t="n">
        <v>62701000</v>
      </c>
      <c r="E293" s="92" t="inlineStr">
        <is>
          <t>광고선전비</t>
        </is>
      </c>
      <c r="F293" s="92" t="n">
        <v>1</v>
      </c>
      <c r="G293" s="93" t="n">
        <v>0</v>
      </c>
      <c r="H293" s="93" t="n">
        <v>0</v>
      </c>
      <c r="I293" s="93" t="n">
        <v>4800000</v>
      </c>
      <c r="J293" s="93" t="n">
        <v>-4800000</v>
      </c>
      <c r="L293" s="9">
        <f>IF($A293="","",$B293&amp;"|"&amp;$D293)</f>
        <v/>
      </c>
      <c r="M293" s="9">
        <f>IF($A293="","",VALUE($A293&amp;""))</f>
        <v/>
      </c>
      <c r="N293" s="9">
        <f>IF($A293="","",VALUE(SUBSTITUTE(SUBSTITUTE(SUBSTITUTE(UPPER($F293&amp;""),"Q",""),"분기","")," ","")))</f>
        <v/>
      </c>
      <c r="O293" s="94">
        <f>IF($A293="",0,($G293+$H293)*설정!$C$23)</f>
        <v/>
      </c>
      <c r="P293" s="94">
        <f>IF($A293="",0,$I293*설정!$C$23)</f>
        <v/>
      </c>
      <c r="Q293" s="64">
        <f>IF($A293="","",IF(COUNTIF(변동분석!$E$7:$E$506,L293)&gt;0,"Y","N"))</f>
        <v/>
      </c>
      <c r="R293" s="9">
        <f>IF($A293="","",$D293&amp;"")</f>
        <v/>
      </c>
    </row>
    <row r="294">
      <c r="A294" s="92" t="n">
        <v>2026</v>
      </c>
      <c r="B294" s="92" t="inlineStr">
        <is>
          <t>D300</t>
        </is>
      </c>
      <c r="C294" s="92" t="inlineStr">
        <is>
          <t>인사팀</t>
        </is>
      </c>
      <c r="D294" s="92" t="n">
        <v>62701000</v>
      </c>
      <c r="E294" s="92" t="inlineStr">
        <is>
          <t>광고선전비</t>
        </is>
      </c>
      <c r="F294" s="92" t="n">
        <v>2</v>
      </c>
      <c r="G294" s="93" t="n">
        <v>0</v>
      </c>
      <c r="H294" s="93" t="n">
        <v>0</v>
      </c>
      <c r="I294" s="93" t="n">
        <v>3200000</v>
      </c>
      <c r="J294" s="93" t="n">
        <v>-3200000</v>
      </c>
      <c r="L294" s="9">
        <f>IF($A294="","",$B294&amp;"|"&amp;$D294)</f>
        <v/>
      </c>
      <c r="M294" s="9">
        <f>IF($A294="","",VALUE($A294&amp;""))</f>
        <v/>
      </c>
      <c r="N294" s="9">
        <f>IF($A294="","",VALUE(SUBSTITUTE(SUBSTITUTE(SUBSTITUTE(UPPER($F294&amp;""),"Q",""),"분기","")," ","")))</f>
        <v/>
      </c>
      <c r="O294" s="94">
        <f>IF($A294="",0,($G294+$H294)*설정!$C$23)</f>
        <v/>
      </c>
      <c r="P294" s="94">
        <f>IF($A294="",0,$I294*설정!$C$23)</f>
        <v/>
      </c>
      <c r="Q294" s="64">
        <f>IF($A294="","",IF(COUNTIF(변동분석!$E$7:$E$506,L294)&gt;0,"Y","N"))</f>
        <v/>
      </c>
      <c r="R294" s="9">
        <f>IF($A294="","",$D294&amp;"")</f>
        <v/>
      </c>
    </row>
    <row r="295">
      <c r="A295" s="92" t="n">
        <v>2026</v>
      </c>
      <c r="B295" s="92" t="inlineStr">
        <is>
          <t>D300</t>
        </is>
      </c>
      <c r="C295" s="92" t="inlineStr">
        <is>
          <t>인사팀</t>
        </is>
      </c>
      <c r="D295" s="92" t="n">
        <v>62701000</v>
      </c>
      <c r="E295" s="92" t="inlineStr">
        <is>
          <t>광고선전비</t>
        </is>
      </c>
      <c r="F295" s="92" t="n">
        <v>3</v>
      </c>
      <c r="G295" s="93" t="n">
        <v>0</v>
      </c>
      <c r="H295" s="93" t="n">
        <v>0</v>
      </c>
      <c r="I295" s="93" t="n">
        <v>5500000</v>
      </c>
      <c r="J295" s="93" t="n">
        <v>-5500000</v>
      </c>
      <c r="L295" s="9">
        <f>IF($A295="","",$B295&amp;"|"&amp;$D295)</f>
        <v/>
      </c>
      <c r="M295" s="9">
        <f>IF($A295="","",VALUE($A295&amp;""))</f>
        <v/>
      </c>
      <c r="N295" s="9">
        <f>IF($A295="","",VALUE(SUBSTITUTE(SUBSTITUTE(SUBSTITUTE(UPPER($F295&amp;""),"Q",""),"분기","")," ","")))</f>
        <v/>
      </c>
      <c r="O295" s="94">
        <f>IF($A295="",0,($G295+$H295)*설정!$C$23)</f>
        <v/>
      </c>
      <c r="P295" s="94">
        <f>IF($A295="",0,$I295*설정!$C$23)</f>
        <v/>
      </c>
      <c r="Q295" s="64">
        <f>IF($A295="","",IF(COUNTIF(변동분석!$E$7:$E$506,L295)&gt;0,"Y","N"))</f>
        <v/>
      </c>
      <c r="R295" s="9">
        <f>IF($A295="","",$D295&amp;"")</f>
        <v/>
      </c>
    </row>
    <row r="296">
      <c r="A296" s="92" t="n">
        <v>2026</v>
      </c>
      <c r="B296" s="92" t="inlineStr">
        <is>
          <t>D300</t>
        </is>
      </c>
      <c r="C296" s="92" t="inlineStr">
        <is>
          <t>인사팀</t>
        </is>
      </c>
      <c r="D296" s="92" t="n">
        <v>62701000</v>
      </c>
      <c r="E296" s="92" t="inlineStr">
        <is>
          <t>광고선전비</t>
        </is>
      </c>
      <c r="F296" s="92" t="n">
        <v>4</v>
      </c>
      <c r="G296" s="93" t="n">
        <v>0</v>
      </c>
      <c r="H296" s="93" t="n">
        <v>0</v>
      </c>
      <c r="I296" s="93" t="n">
        <v>0</v>
      </c>
      <c r="J296" s="93" t="n">
        <v>0</v>
      </c>
      <c r="L296" s="9">
        <f>IF($A296="","",$B296&amp;"|"&amp;$D296)</f>
        <v/>
      </c>
      <c r="M296" s="9">
        <f>IF($A296="","",VALUE($A296&amp;""))</f>
        <v/>
      </c>
      <c r="N296" s="9">
        <f>IF($A296="","",VALUE(SUBSTITUTE(SUBSTITUTE(SUBSTITUTE(UPPER($F296&amp;""),"Q",""),"분기","")," ","")))</f>
        <v/>
      </c>
      <c r="O296" s="94">
        <f>IF($A296="",0,($G296+$H296)*설정!$C$23)</f>
        <v/>
      </c>
      <c r="P296" s="94">
        <f>IF($A296="",0,$I296*설정!$C$23)</f>
        <v/>
      </c>
      <c r="Q296" s="64">
        <f>IF($A296="","",IF(COUNTIF(변동분석!$E$7:$E$506,L296)&gt;0,"Y","N"))</f>
        <v/>
      </c>
      <c r="R296" s="9">
        <f>IF($A296="","",$D296&amp;"")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B9BD5"/>
    <outlinePr summaryBelow="1" summaryRight="1"/>
    <pageSetUpPr/>
  </sheetPr>
  <dimension ref="A1:K4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1" customWidth="1" min="3" max="3"/>
    <col width="22" customWidth="1" min="4" max="4"/>
    <col width="15" customWidth="1" min="5" max="5"/>
    <col width="13" customWidth="1" min="6" max="6"/>
    <col width="15" customWidth="1" min="7" max="7"/>
    <col width="2" customWidth="1" min="8" max="8"/>
    <col width="8" customWidth="1" min="9" max="9"/>
    <col width="10" customWidth="1" min="10" max="10"/>
    <col width="11" customWidth="1" min="11" max="11"/>
  </cols>
  <sheetData>
    <row r="1">
      <c r="A1" s="1" t="inlineStr">
        <is>
          <t>TRACE · TB 원본 (월별 시산표)</t>
        </is>
      </c>
    </row>
    <row r="2">
      <c r="A2" s="2" t="inlineStr">
        <is>
          <t>A~G: 붙여넣기 · I~K: 보조수식 · 당해와 전년을 함께 넣으세요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G/L계정</t>
        </is>
      </c>
      <c r="D4" s="4" t="inlineStr">
        <is>
          <t>계정명</t>
        </is>
      </c>
      <c r="E4" s="4" t="inlineStr">
        <is>
          <t>당기차변</t>
        </is>
      </c>
      <c r="F4" s="4" t="inlineStr">
        <is>
          <t>당기대변</t>
        </is>
      </c>
      <c r="G4" s="4" t="inlineStr">
        <is>
          <t>기말잔액</t>
        </is>
      </c>
      <c r="I4" s="39" t="inlineStr">
        <is>
          <t>기간번호</t>
        </is>
      </c>
      <c r="J4" s="39" t="inlineStr">
        <is>
          <t>G/L텍스트</t>
        </is>
      </c>
      <c r="K4" s="39" t="inlineStr">
        <is>
          <t>당월증감
(보고단위)</t>
        </is>
      </c>
    </row>
    <row r="5">
      <c r="A5" s="92" t="n">
        <v>2025</v>
      </c>
      <c r="B5" s="92" t="n">
        <v>1</v>
      </c>
      <c r="C5" s="92" t="n">
        <v>62101000</v>
      </c>
      <c r="D5" s="92" t="inlineStr">
        <is>
          <t>여비교통비-국내</t>
        </is>
      </c>
      <c r="E5" s="93" t="n">
        <v>18760000</v>
      </c>
      <c r="F5" s="93" t="n">
        <v>0</v>
      </c>
      <c r="G5" s="93" t="n">
        <v>18760000</v>
      </c>
      <c r="I5" s="9">
        <f>IF($A5="","",VALUE($A5&amp;"")*12+VALUE($B5&amp;""))</f>
        <v/>
      </c>
      <c r="J5" s="9">
        <f>IF($A5="","",$C5&amp;"")</f>
        <v/>
      </c>
      <c r="K5" s="94">
        <f>IF($A5="",0,($E5-$F5)*설정!$C$23)</f>
        <v/>
      </c>
    </row>
    <row r="6">
      <c r="A6" s="92" t="n">
        <v>2025</v>
      </c>
      <c r="B6" s="92" t="n">
        <v>1</v>
      </c>
      <c r="C6" s="92" t="n">
        <v>62102000</v>
      </c>
      <c r="D6" s="92" t="inlineStr">
        <is>
          <t>여비교통비-해외</t>
        </is>
      </c>
      <c r="E6" s="93" t="n">
        <v>3166000</v>
      </c>
      <c r="F6" s="93" t="n">
        <v>0</v>
      </c>
      <c r="G6" s="93" t="n">
        <v>3166000</v>
      </c>
      <c r="I6" s="9">
        <f>IF($A6="","",VALUE($A6&amp;"")*12+VALUE($B6&amp;""))</f>
        <v/>
      </c>
      <c r="J6" s="9">
        <f>IF($A6="","",$C6&amp;"")</f>
        <v/>
      </c>
      <c r="K6" s="94">
        <f>IF($A6="",0,($E6-$F6)*설정!$C$23)</f>
        <v/>
      </c>
    </row>
    <row r="7">
      <c r="A7" s="92" t="n">
        <v>2025</v>
      </c>
      <c r="B7" s="92" t="n">
        <v>1</v>
      </c>
      <c r="C7" s="92" t="n">
        <v>62201000</v>
      </c>
      <c r="D7" s="92" t="inlineStr">
        <is>
          <t>통신비</t>
        </is>
      </c>
      <c r="E7" s="93" t="n">
        <v>36302000</v>
      </c>
      <c r="F7" s="93" t="n">
        <v>0</v>
      </c>
      <c r="G7" s="93" t="n">
        <v>36302000</v>
      </c>
      <c r="I7" s="9">
        <f>IF($A7="","",VALUE($A7&amp;"")*12+VALUE($B7&amp;""))</f>
        <v/>
      </c>
      <c r="J7" s="9">
        <f>IF($A7="","",$C7&amp;"")</f>
        <v/>
      </c>
      <c r="K7" s="94">
        <f>IF($A7="",0,($E7-$F7)*설정!$C$23)</f>
        <v/>
      </c>
    </row>
    <row r="8">
      <c r="A8" s="92" t="n">
        <v>2025</v>
      </c>
      <c r="B8" s="92" t="n">
        <v>1</v>
      </c>
      <c r="C8" s="92" t="n">
        <v>62301000</v>
      </c>
      <c r="D8" s="92" t="inlineStr">
        <is>
          <t>소모품비</t>
        </is>
      </c>
      <c r="E8" s="93" t="n">
        <v>6062000</v>
      </c>
      <c r="F8" s="93" t="n">
        <v>0</v>
      </c>
      <c r="G8" s="93" t="n">
        <v>6062000</v>
      </c>
      <c r="I8" s="9">
        <f>IF($A8="","",VALUE($A8&amp;"")*12+VALUE($B8&amp;""))</f>
        <v/>
      </c>
      <c r="J8" s="9">
        <f>IF($A8="","",$C8&amp;"")</f>
        <v/>
      </c>
      <c r="K8" s="94">
        <f>IF($A8="",0,($E8-$F8)*설정!$C$23)</f>
        <v/>
      </c>
    </row>
    <row r="9">
      <c r="A9" s="92" t="n">
        <v>2025</v>
      </c>
      <c r="B9" s="92" t="n">
        <v>1</v>
      </c>
      <c r="C9" s="92" t="n">
        <v>62401000</v>
      </c>
      <c r="D9" s="92" t="inlineStr">
        <is>
          <t>도서인쇄비</t>
        </is>
      </c>
      <c r="E9" s="93" t="n">
        <v>13103000</v>
      </c>
      <c r="F9" s="93" t="n">
        <v>0</v>
      </c>
      <c r="G9" s="93" t="n">
        <v>13103000</v>
      </c>
      <c r="I9" s="9">
        <f>IF($A9="","",VALUE($A9&amp;"")*12+VALUE($B9&amp;""))</f>
        <v/>
      </c>
      <c r="J9" s="9">
        <f>IF($A9="","",$C9&amp;"")</f>
        <v/>
      </c>
      <c r="K9" s="94">
        <f>IF($A9="",0,($E9-$F9)*설정!$C$23)</f>
        <v/>
      </c>
    </row>
    <row r="10">
      <c r="A10" s="92" t="n">
        <v>2025</v>
      </c>
      <c r="B10" s="92" t="n">
        <v>1</v>
      </c>
      <c r="C10" s="92" t="n">
        <v>62501000</v>
      </c>
      <c r="D10" s="92" t="inlineStr">
        <is>
          <t>회의비</t>
        </is>
      </c>
      <c r="E10" s="93" t="n">
        <v>5347000</v>
      </c>
      <c r="F10" s="93" t="n">
        <v>0</v>
      </c>
      <c r="G10" s="93" t="n">
        <v>5347000</v>
      </c>
      <c r="I10" s="9">
        <f>IF($A10="","",VALUE($A10&amp;"")*12+VALUE($B10&amp;""))</f>
        <v/>
      </c>
      <c r="J10" s="9">
        <f>IF($A10="","",$C10&amp;"")</f>
        <v/>
      </c>
      <c r="K10" s="94">
        <f>IF($A10="",0,($E10-$F10)*설정!$C$23)</f>
        <v/>
      </c>
    </row>
    <row r="11">
      <c r="A11" s="92" t="n">
        <v>2025</v>
      </c>
      <c r="B11" s="92" t="n">
        <v>1</v>
      </c>
      <c r="C11" s="92" t="n">
        <v>62601000</v>
      </c>
      <c r="D11" s="92" t="inlineStr">
        <is>
          <t>업무추진비</t>
        </is>
      </c>
      <c r="E11" s="93" t="n">
        <v>10111000</v>
      </c>
      <c r="F11" s="93" t="n">
        <v>0</v>
      </c>
      <c r="G11" s="93" t="n">
        <v>10111000</v>
      </c>
      <c r="I11" s="9">
        <f>IF($A11="","",VALUE($A11&amp;"")*12+VALUE($B11&amp;""))</f>
        <v/>
      </c>
      <c r="J11" s="9">
        <f>IF($A11="","",$C11&amp;"")</f>
        <v/>
      </c>
      <c r="K11" s="94">
        <f>IF($A11="",0,($E11-$F11)*설정!$C$23)</f>
        <v/>
      </c>
    </row>
    <row r="12">
      <c r="A12" s="92" t="n">
        <v>2025</v>
      </c>
      <c r="B12" s="92" t="n">
        <v>1</v>
      </c>
      <c r="C12" s="92" t="n">
        <v>62701000</v>
      </c>
      <c r="D12" s="92" t="inlineStr">
        <is>
          <t>광고선전비</t>
        </is>
      </c>
      <c r="E12" s="93" t="n">
        <v>150000000</v>
      </c>
      <c r="F12" s="93" t="n">
        <v>0</v>
      </c>
      <c r="G12" s="93" t="n">
        <v>150000000</v>
      </c>
      <c r="I12" s="9">
        <f>IF($A12="","",VALUE($A12&amp;"")*12+VALUE($B12&amp;""))</f>
        <v/>
      </c>
      <c r="J12" s="9">
        <f>IF($A12="","",$C12&amp;"")</f>
        <v/>
      </c>
      <c r="K12" s="94">
        <f>IF($A12="",0,($E12-$F12)*설정!$C$23)</f>
        <v/>
      </c>
    </row>
    <row r="13">
      <c r="A13" s="92" t="n">
        <v>2025</v>
      </c>
      <c r="B13" s="92" t="n">
        <v>1</v>
      </c>
      <c r="C13" s="92" t="n">
        <v>62801000</v>
      </c>
      <c r="D13" s="92" t="inlineStr">
        <is>
          <t>교육훈련비-사내</t>
        </is>
      </c>
      <c r="E13" s="93" t="n">
        <v>11552000</v>
      </c>
      <c r="F13" s="93" t="n">
        <v>0</v>
      </c>
      <c r="G13" s="93" t="n">
        <v>11552000</v>
      </c>
      <c r="I13" s="9">
        <f>IF($A13="","",VALUE($A13&amp;"")*12+VALUE($B13&amp;""))</f>
        <v/>
      </c>
      <c r="J13" s="9">
        <f>IF($A13="","",$C13&amp;"")</f>
        <v/>
      </c>
      <c r="K13" s="94">
        <f>IF($A13="",0,($E13-$F13)*설정!$C$23)</f>
        <v/>
      </c>
    </row>
    <row r="14">
      <c r="A14" s="92" t="n">
        <v>2025</v>
      </c>
      <c r="B14" s="92" t="n">
        <v>1</v>
      </c>
      <c r="C14" s="92" t="n">
        <v>62802000</v>
      </c>
      <c r="D14" s="92" t="inlineStr">
        <is>
          <t>교육훈련비-외부위탁</t>
        </is>
      </c>
      <c r="E14" s="93" t="n">
        <v>15188000</v>
      </c>
      <c r="F14" s="93" t="n">
        <v>0</v>
      </c>
      <c r="G14" s="93" t="n">
        <v>15188000</v>
      </c>
      <c r="I14" s="9">
        <f>IF($A14="","",VALUE($A14&amp;"")*12+VALUE($B14&amp;""))</f>
        <v/>
      </c>
      <c r="J14" s="9">
        <f>IF($A14="","",$C14&amp;"")</f>
        <v/>
      </c>
      <c r="K14" s="94">
        <f>IF($A14="",0,($E14-$F14)*설정!$C$23)</f>
        <v/>
      </c>
    </row>
    <row r="15">
      <c r="A15" s="92" t="n">
        <v>2025</v>
      </c>
      <c r="B15" s="92" t="n">
        <v>1</v>
      </c>
      <c r="C15" s="92" t="n">
        <v>62901000</v>
      </c>
      <c r="D15" s="92" t="inlineStr">
        <is>
          <t>지급수수료-컨설팅</t>
        </is>
      </c>
      <c r="E15" s="93" t="n">
        <v>102665000</v>
      </c>
      <c r="F15" s="93" t="n">
        <v>0</v>
      </c>
      <c r="G15" s="93" t="n">
        <v>102665000</v>
      </c>
      <c r="I15" s="9">
        <f>IF($A15="","",VALUE($A15&amp;"")*12+VALUE($B15&amp;""))</f>
        <v/>
      </c>
      <c r="J15" s="9">
        <f>IF($A15="","",$C15&amp;"")</f>
        <v/>
      </c>
      <c r="K15" s="94">
        <f>IF($A15="",0,($E15-$F15)*설정!$C$23)</f>
        <v/>
      </c>
    </row>
    <row r="16">
      <c r="A16" s="92" t="n">
        <v>2025</v>
      </c>
      <c r="B16" s="92" t="n">
        <v>1</v>
      </c>
      <c r="C16" s="92" t="n">
        <v>62902000</v>
      </c>
      <c r="D16" s="92" t="inlineStr">
        <is>
          <t>지급수수료-기타</t>
        </is>
      </c>
      <c r="E16" s="93" t="n">
        <v>48436000</v>
      </c>
      <c r="F16" s="93" t="n">
        <v>0</v>
      </c>
      <c r="G16" s="93" t="n">
        <v>48436000</v>
      </c>
      <c r="I16" s="9">
        <f>IF($A16="","",VALUE($A16&amp;"")*12+VALUE($B16&amp;""))</f>
        <v/>
      </c>
      <c r="J16" s="9">
        <f>IF($A16="","",$C16&amp;"")</f>
        <v/>
      </c>
      <c r="K16" s="94">
        <f>IF($A16="",0,($E16-$F16)*설정!$C$23)</f>
        <v/>
      </c>
    </row>
    <row r="17">
      <c r="A17" s="92" t="n">
        <v>2025</v>
      </c>
      <c r="B17" s="92" t="n">
        <v>1</v>
      </c>
      <c r="C17" s="92" t="n">
        <v>63001000</v>
      </c>
      <c r="D17" s="92" t="inlineStr">
        <is>
          <t>전산운영비-SW유지보수</t>
        </is>
      </c>
      <c r="E17" s="93" t="n">
        <v>95572000</v>
      </c>
      <c r="F17" s="93" t="n">
        <v>0</v>
      </c>
      <c r="G17" s="93" t="n">
        <v>95572000</v>
      </c>
      <c r="I17" s="9">
        <f>IF($A17="","",VALUE($A17&amp;"")*12+VALUE($B17&amp;""))</f>
        <v/>
      </c>
      <c r="J17" s="9">
        <f>IF($A17="","",$C17&amp;"")</f>
        <v/>
      </c>
      <c r="K17" s="94">
        <f>IF($A17="",0,($E17-$F17)*설정!$C$23)</f>
        <v/>
      </c>
    </row>
    <row r="18">
      <c r="A18" s="92" t="n">
        <v>2025</v>
      </c>
      <c r="B18" s="92" t="n">
        <v>1</v>
      </c>
      <c r="C18" s="92" t="n">
        <v>63002000</v>
      </c>
      <c r="D18" s="92" t="inlineStr">
        <is>
          <t>전산운영비-클라우드</t>
        </is>
      </c>
      <c r="E18" s="93" t="n">
        <v>72013000</v>
      </c>
      <c r="F18" s="93" t="n">
        <v>0</v>
      </c>
      <c r="G18" s="93" t="n">
        <v>72013000</v>
      </c>
      <c r="I18" s="9">
        <f>IF($A18="","",VALUE($A18&amp;"")*12+VALUE($B18&amp;""))</f>
        <v/>
      </c>
      <c r="J18" s="9">
        <f>IF($A18="","",$C18&amp;"")</f>
        <v/>
      </c>
      <c r="K18" s="94">
        <f>IF($A18="",0,($E18-$F18)*설정!$C$23)</f>
        <v/>
      </c>
    </row>
    <row r="19">
      <c r="A19" s="92" t="n">
        <v>2025</v>
      </c>
      <c r="B19" s="92" t="n">
        <v>1</v>
      </c>
      <c r="C19" s="92" t="n">
        <v>63101000</v>
      </c>
      <c r="D19" s="92" t="inlineStr">
        <is>
          <t>임차료</t>
        </is>
      </c>
      <c r="E19" s="93" t="n">
        <v>13617000</v>
      </c>
      <c r="F19" s="93" t="n">
        <v>0</v>
      </c>
      <c r="G19" s="93" t="n">
        <v>13617000</v>
      </c>
      <c r="I19" s="9">
        <f>IF($A19="","",VALUE($A19&amp;"")*12+VALUE($B19&amp;""))</f>
        <v/>
      </c>
      <c r="J19" s="9">
        <f>IF($A19="","",$C19&amp;"")</f>
        <v/>
      </c>
      <c r="K19" s="94">
        <f>IF($A19="",0,($E19-$F19)*설정!$C$23)</f>
        <v/>
      </c>
    </row>
    <row r="20">
      <c r="A20" s="92" t="n">
        <v>2025</v>
      </c>
      <c r="B20" s="92" t="n">
        <v>1</v>
      </c>
      <c r="C20" s="92" t="n">
        <v>63201000</v>
      </c>
      <c r="D20" s="92" t="inlineStr">
        <is>
          <t>차량유지비</t>
        </is>
      </c>
      <c r="E20" s="93" t="n">
        <v>7277000</v>
      </c>
      <c r="F20" s="93" t="n">
        <v>0</v>
      </c>
      <c r="G20" s="93" t="n">
        <v>7277000</v>
      </c>
      <c r="I20" s="9">
        <f>IF($A20="","",VALUE($A20&amp;"")*12+VALUE($B20&amp;""))</f>
        <v/>
      </c>
      <c r="J20" s="9">
        <f>IF($A20="","",$C20&amp;"")</f>
        <v/>
      </c>
      <c r="K20" s="94">
        <f>IF($A20="",0,($E20-$F20)*설정!$C$23)</f>
        <v/>
      </c>
    </row>
    <row r="21">
      <c r="A21" s="92" t="n">
        <v>2025</v>
      </c>
      <c r="B21" s="92" t="n">
        <v>1</v>
      </c>
      <c r="C21" s="92" t="n">
        <v>63501000</v>
      </c>
      <c r="D21" s="92" t="inlineStr">
        <is>
          <t>모집수수료</t>
        </is>
      </c>
      <c r="E21" s="93" t="n">
        <v>1694833000</v>
      </c>
      <c r="F21" s="93" t="n">
        <v>0</v>
      </c>
      <c r="G21" s="93" t="n">
        <v>1694833000</v>
      </c>
      <c r="I21" s="9">
        <f>IF($A21="","",VALUE($A21&amp;"")*12+VALUE($B21&amp;""))</f>
        <v/>
      </c>
      <c r="J21" s="9">
        <f>IF($A21="","",$C21&amp;"")</f>
        <v/>
      </c>
      <c r="K21" s="94">
        <f>IF($A21="",0,($E21-$F21)*설정!$C$23)</f>
        <v/>
      </c>
    </row>
    <row r="22">
      <c r="A22" s="92" t="n">
        <v>2025</v>
      </c>
      <c r="B22" s="92" t="n">
        <v>1</v>
      </c>
      <c r="C22" s="92" t="n">
        <v>63502000</v>
      </c>
      <c r="D22" s="92" t="inlineStr">
        <is>
          <t>유지수수료</t>
        </is>
      </c>
      <c r="E22" s="93" t="n">
        <v>425393000</v>
      </c>
      <c r="F22" s="93" t="n">
        <v>0</v>
      </c>
      <c r="G22" s="93" t="n">
        <v>425393000</v>
      </c>
      <c r="I22" s="9">
        <f>IF($A22="","",VALUE($A22&amp;"")*12+VALUE($B22&amp;""))</f>
        <v/>
      </c>
      <c r="J22" s="9">
        <f>IF($A22="","",$C22&amp;"")</f>
        <v/>
      </c>
      <c r="K22" s="94">
        <f>IF($A22="",0,($E22-$F22)*설정!$C$23)</f>
        <v/>
      </c>
    </row>
    <row r="23">
      <c r="A23" s="92" t="n">
        <v>2025</v>
      </c>
      <c r="B23" s="92" t="n">
        <v>1</v>
      </c>
      <c r="C23" s="92" t="n">
        <v>63601000</v>
      </c>
      <c r="D23" s="92" t="inlineStr">
        <is>
          <t>손해조사비</t>
        </is>
      </c>
      <c r="E23" s="93" t="n">
        <v>27501000</v>
      </c>
      <c r="F23" s="93" t="n">
        <v>0</v>
      </c>
      <c r="G23" s="93" t="n">
        <v>27501000</v>
      </c>
      <c r="I23" s="9">
        <f>IF($A23="","",VALUE($A23&amp;"")*12+VALUE($B23&amp;""))</f>
        <v/>
      </c>
      <c r="J23" s="9">
        <f>IF($A23="","",$C23&amp;"")</f>
        <v/>
      </c>
      <c r="K23" s="94">
        <f>IF($A23="",0,($E23-$F23)*설정!$C$23)</f>
        <v/>
      </c>
    </row>
    <row r="24">
      <c r="A24" s="92" t="n">
        <v>2025</v>
      </c>
      <c r="B24" s="92" t="n">
        <v>1</v>
      </c>
      <c r="C24" s="92" t="n">
        <v>61101000</v>
      </c>
      <c r="D24" s="92" t="inlineStr">
        <is>
          <t>급여</t>
        </is>
      </c>
      <c r="E24" s="93" t="n">
        <v>813504000</v>
      </c>
      <c r="F24" s="93" t="n">
        <v>0</v>
      </c>
      <c r="G24" s="93" t="n">
        <v>813504000</v>
      </c>
      <c r="I24" s="9">
        <f>IF($A24="","",VALUE($A24&amp;"")*12+VALUE($B24&amp;""))</f>
        <v/>
      </c>
      <c r="J24" s="9">
        <f>IF($A24="","",$C24&amp;"")</f>
        <v/>
      </c>
      <c r="K24" s="94">
        <f>IF($A24="",0,($E24-$F24)*설정!$C$23)</f>
        <v/>
      </c>
    </row>
    <row r="25">
      <c r="A25" s="92" t="n">
        <v>2025</v>
      </c>
      <c r="B25" s="92" t="n">
        <v>1</v>
      </c>
      <c r="C25" s="92" t="n">
        <v>61201000</v>
      </c>
      <c r="D25" s="92" t="inlineStr">
        <is>
          <t>복리후생비</t>
        </is>
      </c>
      <c r="E25" s="93" t="n">
        <v>118492000</v>
      </c>
      <c r="F25" s="93" t="n">
        <v>0</v>
      </c>
      <c r="G25" s="93" t="n">
        <v>118492000</v>
      </c>
      <c r="I25" s="9">
        <f>IF($A25="","",VALUE($A25&amp;"")*12+VALUE($B25&amp;""))</f>
        <v/>
      </c>
      <c r="J25" s="9">
        <f>IF($A25="","",$C25&amp;"")</f>
        <v/>
      </c>
      <c r="K25" s="94">
        <f>IF($A25="",0,($E25-$F25)*설정!$C$23)</f>
        <v/>
      </c>
    </row>
    <row r="26">
      <c r="A26" s="92" t="n">
        <v>2025</v>
      </c>
      <c r="B26" s="92" t="n">
        <v>2</v>
      </c>
      <c r="C26" s="92" t="n">
        <v>62101000</v>
      </c>
      <c r="D26" s="92" t="inlineStr">
        <is>
          <t>여비교통비-국내</t>
        </is>
      </c>
      <c r="E26" s="93" t="n">
        <v>17882000</v>
      </c>
      <c r="F26" s="93" t="n">
        <v>0</v>
      </c>
      <c r="G26" s="93" t="n">
        <v>36642000</v>
      </c>
      <c r="I26" s="9">
        <f>IF($A26="","",VALUE($A26&amp;"")*12+VALUE($B26&amp;""))</f>
        <v/>
      </c>
      <c r="J26" s="9">
        <f>IF($A26="","",$C26&amp;"")</f>
        <v/>
      </c>
      <c r="K26" s="94">
        <f>IF($A26="",0,($E26-$F26)*설정!$C$23)</f>
        <v/>
      </c>
    </row>
    <row r="27">
      <c r="A27" s="92" t="n">
        <v>2025</v>
      </c>
      <c r="B27" s="92" t="n">
        <v>2</v>
      </c>
      <c r="C27" s="92" t="n">
        <v>62102000</v>
      </c>
      <c r="D27" s="92" t="inlineStr">
        <is>
          <t>여비교통비-해외</t>
        </is>
      </c>
      <c r="E27" s="93" t="n">
        <v>3421000</v>
      </c>
      <c r="F27" s="93" t="n">
        <v>0</v>
      </c>
      <c r="G27" s="93" t="n">
        <v>6587000</v>
      </c>
      <c r="I27" s="9">
        <f>IF($A27="","",VALUE($A27&amp;"")*12+VALUE($B27&amp;""))</f>
        <v/>
      </c>
      <c r="J27" s="9">
        <f>IF($A27="","",$C27&amp;"")</f>
        <v/>
      </c>
      <c r="K27" s="94">
        <f>IF($A27="",0,($E27-$F27)*설정!$C$23)</f>
        <v/>
      </c>
    </row>
    <row r="28">
      <c r="A28" s="92" t="n">
        <v>2025</v>
      </c>
      <c r="B28" s="92" t="n">
        <v>2</v>
      </c>
      <c r="C28" s="92" t="n">
        <v>62201000</v>
      </c>
      <c r="D28" s="92" t="inlineStr">
        <is>
          <t>통신비</t>
        </is>
      </c>
      <c r="E28" s="93" t="n">
        <v>32526000</v>
      </c>
      <c r="F28" s="93" t="n">
        <v>0</v>
      </c>
      <c r="G28" s="93" t="n">
        <v>68828000</v>
      </c>
      <c r="I28" s="9">
        <f>IF($A28="","",VALUE($A28&amp;"")*12+VALUE($B28&amp;""))</f>
        <v/>
      </c>
      <c r="J28" s="9">
        <f>IF($A28="","",$C28&amp;"")</f>
        <v/>
      </c>
      <c r="K28" s="94">
        <f>IF($A28="",0,($E28-$F28)*설정!$C$23)</f>
        <v/>
      </c>
    </row>
    <row r="29">
      <c r="A29" s="92" t="n">
        <v>2025</v>
      </c>
      <c r="B29" s="92" t="n">
        <v>2</v>
      </c>
      <c r="C29" s="92" t="n">
        <v>62301000</v>
      </c>
      <c r="D29" s="92" t="inlineStr">
        <is>
          <t>소모품비</t>
        </is>
      </c>
      <c r="E29" s="93" t="n">
        <v>5785000</v>
      </c>
      <c r="F29" s="93" t="n">
        <v>0</v>
      </c>
      <c r="G29" s="93" t="n">
        <v>11847000</v>
      </c>
      <c r="I29" s="9">
        <f>IF($A29="","",VALUE($A29&amp;"")*12+VALUE($B29&amp;""))</f>
        <v/>
      </c>
      <c r="J29" s="9">
        <f>IF($A29="","",$C29&amp;"")</f>
        <v/>
      </c>
      <c r="K29" s="94">
        <f>IF($A29="",0,($E29-$F29)*설정!$C$23)</f>
        <v/>
      </c>
    </row>
    <row r="30">
      <c r="A30" s="92" t="n">
        <v>2025</v>
      </c>
      <c r="B30" s="92" t="n">
        <v>2</v>
      </c>
      <c r="C30" s="92" t="n">
        <v>62401000</v>
      </c>
      <c r="D30" s="92" t="inlineStr">
        <is>
          <t>도서인쇄비</t>
        </is>
      </c>
      <c r="E30" s="93" t="n">
        <v>13965000</v>
      </c>
      <c r="F30" s="93" t="n">
        <v>0</v>
      </c>
      <c r="G30" s="93" t="n">
        <v>27068000</v>
      </c>
      <c r="I30" s="9">
        <f>IF($A30="","",VALUE($A30&amp;"")*12+VALUE($B30&amp;""))</f>
        <v/>
      </c>
      <c r="J30" s="9">
        <f>IF($A30="","",$C30&amp;"")</f>
        <v/>
      </c>
      <c r="K30" s="94">
        <f>IF($A30="",0,($E30-$F30)*설정!$C$23)</f>
        <v/>
      </c>
    </row>
    <row r="31">
      <c r="A31" s="92" t="n">
        <v>2025</v>
      </c>
      <c r="B31" s="92" t="n">
        <v>2</v>
      </c>
      <c r="C31" s="92" t="n">
        <v>62501000</v>
      </c>
      <c r="D31" s="92" t="inlineStr">
        <is>
          <t>회의비</t>
        </is>
      </c>
      <c r="E31" s="93" t="n">
        <v>5570000</v>
      </c>
      <c r="F31" s="93" t="n">
        <v>0</v>
      </c>
      <c r="G31" s="93" t="n">
        <v>10917000</v>
      </c>
      <c r="I31" s="9">
        <f>IF($A31="","",VALUE($A31&amp;"")*12+VALUE($B31&amp;""))</f>
        <v/>
      </c>
      <c r="J31" s="9">
        <f>IF($A31="","",$C31&amp;"")</f>
        <v/>
      </c>
      <c r="K31" s="94">
        <f>IF($A31="",0,($E31-$F31)*설정!$C$23)</f>
        <v/>
      </c>
    </row>
    <row r="32">
      <c r="A32" s="92" t="n">
        <v>2025</v>
      </c>
      <c r="B32" s="92" t="n">
        <v>2</v>
      </c>
      <c r="C32" s="92" t="n">
        <v>62601000</v>
      </c>
      <c r="D32" s="92" t="inlineStr">
        <is>
          <t>업무추진비</t>
        </is>
      </c>
      <c r="E32" s="93" t="n">
        <v>10870000</v>
      </c>
      <c r="F32" s="93" t="n">
        <v>0</v>
      </c>
      <c r="G32" s="93" t="n">
        <v>20981000</v>
      </c>
      <c r="I32" s="9">
        <f>IF($A32="","",VALUE($A32&amp;"")*12+VALUE($B32&amp;""))</f>
        <v/>
      </c>
      <c r="J32" s="9">
        <f>IF($A32="","",$C32&amp;"")</f>
        <v/>
      </c>
      <c r="K32" s="94">
        <f>IF($A32="",0,($E32-$F32)*설정!$C$23)</f>
        <v/>
      </c>
    </row>
    <row r="33">
      <c r="A33" s="92" t="n">
        <v>2025</v>
      </c>
      <c r="B33" s="92" t="n">
        <v>2</v>
      </c>
      <c r="C33" s="92" t="n">
        <v>62701000</v>
      </c>
      <c r="D33" s="92" t="inlineStr">
        <is>
          <t>광고선전비</t>
        </is>
      </c>
      <c r="E33" s="93" t="n">
        <v>140000000</v>
      </c>
      <c r="F33" s="93" t="n">
        <v>0</v>
      </c>
      <c r="G33" s="93" t="n">
        <v>290000000</v>
      </c>
      <c r="I33" s="9">
        <f>IF($A33="","",VALUE($A33&amp;"")*12+VALUE($B33&amp;""))</f>
        <v/>
      </c>
      <c r="J33" s="9">
        <f>IF($A33="","",$C33&amp;"")</f>
        <v/>
      </c>
      <c r="K33" s="94">
        <f>IF($A33="",0,($E33-$F33)*설정!$C$23)</f>
        <v/>
      </c>
    </row>
    <row r="34">
      <c r="A34" s="92" t="n">
        <v>2025</v>
      </c>
      <c r="B34" s="92" t="n">
        <v>2</v>
      </c>
      <c r="C34" s="92" t="n">
        <v>62801000</v>
      </c>
      <c r="D34" s="92" t="inlineStr">
        <is>
          <t>교육훈련비-사내</t>
        </is>
      </c>
      <c r="E34" s="93" t="n">
        <v>11908000</v>
      </c>
      <c r="F34" s="93" t="n">
        <v>0</v>
      </c>
      <c r="G34" s="93" t="n">
        <v>23460000</v>
      </c>
      <c r="I34" s="9">
        <f>IF($A34="","",VALUE($A34&amp;"")*12+VALUE($B34&amp;""))</f>
        <v/>
      </c>
      <c r="J34" s="9">
        <f>IF($A34="","",$C34&amp;"")</f>
        <v/>
      </c>
      <c r="K34" s="94">
        <f>IF($A34="",0,($E34-$F34)*설정!$C$23)</f>
        <v/>
      </c>
    </row>
    <row r="35">
      <c r="A35" s="92" t="n">
        <v>2025</v>
      </c>
      <c r="B35" s="92" t="n">
        <v>2</v>
      </c>
      <c r="C35" s="92" t="n">
        <v>62802000</v>
      </c>
      <c r="D35" s="92" t="inlineStr">
        <is>
          <t>교육훈련비-외부위탁</t>
        </is>
      </c>
      <c r="E35" s="93" t="n">
        <v>14323000</v>
      </c>
      <c r="F35" s="93" t="n">
        <v>0</v>
      </c>
      <c r="G35" s="93" t="n">
        <v>29511000</v>
      </c>
      <c r="I35" s="9">
        <f>IF($A35="","",VALUE($A35&amp;"")*12+VALUE($B35&amp;""))</f>
        <v/>
      </c>
      <c r="J35" s="9">
        <f>IF($A35="","",$C35&amp;"")</f>
        <v/>
      </c>
      <c r="K35" s="94">
        <f>IF($A35="",0,($E35-$F35)*설정!$C$23)</f>
        <v/>
      </c>
    </row>
    <row r="36">
      <c r="A36" s="92" t="n">
        <v>2025</v>
      </c>
      <c r="B36" s="92" t="n">
        <v>2</v>
      </c>
      <c r="C36" s="92" t="n">
        <v>62901000</v>
      </c>
      <c r="D36" s="92" t="inlineStr">
        <is>
          <t>지급수수료-컨설팅</t>
        </is>
      </c>
      <c r="E36" s="93" t="n">
        <v>95223000</v>
      </c>
      <c r="F36" s="93" t="n">
        <v>0</v>
      </c>
      <c r="G36" s="93" t="n">
        <v>197888000</v>
      </c>
      <c r="I36" s="9">
        <f>IF($A36="","",VALUE($A36&amp;"")*12+VALUE($B36&amp;""))</f>
        <v/>
      </c>
      <c r="J36" s="9">
        <f>IF($A36="","",$C36&amp;"")</f>
        <v/>
      </c>
      <c r="K36" s="94">
        <f>IF($A36="",0,($E36-$F36)*설정!$C$23)</f>
        <v/>
      </c>
    </row>
    <row r="37">
      <c r="A37" s="92" t="n">
        <v>2025</v>
      </c>
      <c r="B37" s="92" t="n">
        <v>2</v>
      </c>
      <c r="C37" s="92" t="n">
        <v>62902000</v>
      </c>
      <c r="D37" s="92" t="inlineStr">
        <is>
          <t>지급수수료-기타</t>
        </is>
      </c>
      <c r="E37" s="93" t="n">
        <v>48813000</v>
      </c>
      <c r="F37" s="93" t="n">
        <v>0</v>
      </c>
      <c r="G37" s="93" t="n">
        <v>97249000</v>
      </c>
      <c r="I37" s="9">
        <f>IF($A37="","",VALUE($A37&amp;"")*12+VALUE($B37&amp;""))</f>
        <v/>
      </c>
      <c r="J37" s="9">
        <f>IF($A37="","",$C37&amp;"")</f>
        <v/>
      </c>
      <c r="K37" s="94">
        <f>IF($A37="",0,($E37-$F37)*설정!$C$23)</f>
        <v/>
      </c>
    </row>
    <row r="38">
      <c r="A38" s="92" t="n">
        <v>2025</v>
      </c>
      <c r="B38" s="92" t="n">
        <v>2</v>
      </c>
      <c r="C38" s="92" t="n">
        <v>63001000</v>
      </c>
      <c r="D38" s="92" t="inlineStr">
        <is>
          <t>전산운영비-SW유지보수</t>
        </is>
      </c>
      <c r="E38" s="93" t="n">
        <v>99241000</v>
      </c>
      <c r="F38" s="93" t="n">
        <v>0</v>
      </c>
      <c r="G38" s="93" t="n">
        <v>194813000</v>
      </c>
      <c r="I38" s="9">
        <f>IF($A38="","",VALUE($A38&amp;"")*12+VALUE($B38&amp;""))</f>
        <v/>
      </c>
      <c r="J38" s="9">
        <f>IF($A38="","",$C38&amp;"")</f>
        <v/>
      </c>
      <c r="K38" s="94">
        <f>IF($A38="",0,($E38-$F38)*설정!$C$23)</f>
        <v/>
      </c>
    </row>
    <row r="39">
      <c r="A39" s="92" t="n">
        <v>2025</v>
      </c>
      <c r="B39" s="92" t="n">
        <v>2</v>
      </c>
      <c r="C39" s="92" t="n">
        <v>63002000</v>
      </c>
      <c r="D39" s="92" t="inlineStr">
        <is>
          <t>전산운영비-클라우드</t>
        </is>
      </c>
      <c r="E39" s="93" t="n">
        <v>72281000</v>
      </c>
      <c r="F39" s="93" t="n">
        <v>0</v>
      </c>
      <c r="G39" s="93" t="n">
        <v>144294000</v>
      </c>
      <c r="I39" s="9">
        <f>IF($A39="","",VALUE($A39&amp;"")*12+VALUE($B39&amp;""))</f>
        <v/>
      </c>
      <c r="J39" s="9">
        <f>IF($A39="","",$C39&amp;"")</f>
        <v/>
      </c>
      <c r="K39" s="94">
        <f>IF($A39="",0,($E39-$F39)*설정!$C$23)</f>
        <v/>
      </c>
    </row>
    <row r="40">
      <c r="A40" s="92" t="n">
        <v>2025</v>
      </c>
      <c r="B40" s="92" t="n">
        <v>2</v>
      </c>
      <c r="C40" s="92" t="n">
        <v>63101000</v>
      </c>
      <c r="D40" s="92" t="inlineStr">
        <is>
          <t>임차료</t>
        </is>
      </c>
      <c r="E40" s="93" t="n">
        <v>16932000</v>
      </c>
      <c r="F40" s="93" t="n">
        <v>0</v>
      </c>
      <c r="G40" s="93" t="n">
        <v>30549000</v>
      </c>
      <c r="I40" s="9">
        <f>IF($A40="","",VALUE($A40&amp;"")*12+VALUE($B40&amp;""))</f>
        <v/>
      </c>
      <c r="J40" s="9">
        <f>IF($A40="","",$C40&amp;"")</f>
        <v/>
      </c>
      <c r="K40" s="94">
        <f>IF($A40="",0,($E40-$F40)*설정!$C$23)</f>
        <v/>
      </c>
    </row>
    <row r="41">
      <c r="A41" s="92" t="n">
        <v>2025</v>
      </c>
      <c r="B41" s="92" t="n">
        <v>2</v>
      </c>
      <c r="C41" s="92" t="n">
        <v>63201000</v>
      </c>
      <c r="D41" s="92" t="inlineStr">
        <is>
          <t>차량유지비</t>
        </is>
      </c>
      <c r="E41" s="93" t="n">
        <v>7370000</v>
      </c>
      <c r="F41" s="93" t="n">
        <v>0</v>
      </c>
      <c r="G41" s="93" t="n">
        <v>14647000</v>
      </c>
      <c r="I41" s="9">
        <f>IF($A41="","",VALUE($A41&amp;"")*12+VALUE($B41&amp;""))</f>
        <v/>
      </c>
      <c r="J41" s="9">
        <f>IF($A41="","",$C41&amp;"")</f>
        <v/>
      </c>
      <c r="K41" s="94">
        <f>IF($A41="",0,($E41-$F41)*설정!$C$23)</f>
        <v/>
      </c>
    </row>
    <row r="42">
      <c r="A42" s="92" t="n">
        <v>2025</v>
      </c>
      <c r="B42" s="92" t="n">
        <v>2</v>
      </c>
      <c r="C42" s="92" t="n">
        <v>63501000</v>
      </c>
      <c r="D42" s="92" t="inlineStr">
        <is>
          <t>모집수수료</t>
        </is>
      </c>
      <c r="E42" s="93" t="n">
        <v>1721346000</v>
      </c>
      <c r="F42" s="93" t="n">
        <v>0</v>
      </c>
      <c r="G42" s="93" t="n">
        <v>3416179000</v>
      </c>
      <c r="I42" s="9">
        <f>IF($A42="","",VALUE($A42&amp;"")*12+VALUE($B42&amp;""))</f>
        <v/>
      </c>
      <c r="J42" s="9">
        <f>IF($A42="","",$C42&amp;"")</f>
        <v/>
      </c>
      <c r="K42" s="94">
        <f>IF($A42="",0,($E42-$F42)*설정!$C$23)</f>
        <v/>
      </c>
    </row>
    <row r="43">
      <c r="A43" s="92" t="n">
        <v>2025</v>
      </c>
      <c r="B43" s="92" t="n">
        <v>2</v>
      </c>
      <c r="C43" s="92" t="n">
        <v>63502000</v>
      </c>
      <c r="D43" s="92" t="inlineStr">
        <is>
          <t>유지수수료</t>
        </is>
      </c>
      <c r="E43" s="93" t="n">
        <v>426126000</v>
      </c>
      <c r="F43" s="93" t="n">
        <v>0</v>
      </c>
      <c r="G43" s="93" t="n">
        <v>851519000</v>
      </c>
      <c r="I43" s="9">
        <f>IF($A43="","",VALUE($A43&amp;"")*12+VALUE($B43&amp;""))</f>
        <v/>
      </c>
      <c r="J43" s="9">
        <f>IF($A43="","",$C43&amp;"")</f>
        <v/>
      </c>
      <c r="K43" s="94">
        <f>IF($A43="",0,($E43-$F43)*설정!$C$23)</f>
        <v/>
      </c>
    </row>
    <row r="44">
      <c r="A44" s="92" t="n">
        <v>2025</v>
      </c>
      <c r="B44" s="92" t="n">
        <v>2</v>
      </c>
      <c r="C44" s="92" t="n">
        <v>63601000</v>
      </c>
      <c r="D44" s="92" t="inlineStr">
        <is>
          <t>손해조사비</t>
        </is>
      </c>
      <c r="E44" s="93" t="n">
        <v>30849000</v>
      </c>
      <c r="F44" s="93" t="n">
        <v>0</v>
      </c>
      <c r="G44" s="93" t="n">
        <v>58350000</v>
      </c>
      <c r="I44" s="9">
        <f>IF($A44="","",VALUE($A44&amp;"")*12+VALUE($B44&amp;""))</f>
        <v/>
      </c>
      <c r="J44" s="9">
        <f>IF($A44="","",$C44&amp;"")</f>
        <v/>
      </c>
      <c r="K44" s="94">
        <f>IF($A44="",0,($E44-$F44)*설정!$C$23)</f>
        <v/>
      </c>
    </row>
    <row r="45">
      <c r="A45" s="92" t="n">
        <v>2025</v>
      </c>
      <c r="B45" s="92" t="n">
        <v>2</v>
      </c>
      <c r="C45" s="92" t="n">
        <v>61101000</v>
      </c>
      <c r="D45" s="92" t="inlineStr">
        <is>
          <t>급여</t>
        </is>
      </c>
      <c r="E45" s="93" t="n">
        <v>813470000</v>
      </c>
      <c r="F45" s="93" t="n">
        <v>0</v>
      </c>
      <c r="G45" s="93" t="n">
        <v>1626974000</v>
      </c>
      <c r="I45" s="9">
        <f>IF($A45="","",VALUE($A45&amp;"")*12+VALUE($B45&amp;""))</f>
        <v/>
      </c>
      <c r="J45" s="9">
        <f>IF($A45="","",$C45&amp;"")</f>
        <v/>
      </c>
      <c r="K45" s="94">
        <f>IF($A45="",0,($E45-$F45)*설정!$C$23)</f>
        <v/>
      </c>
    </row>
    <row r="46">
      <c r="A46" s="92" t="n">
        <v>2025</v>
      </c>
      <c r="B46" s="92" t="n">
        <v>2</v>
      </c>
      <c r="C46" s="92" t="n">
        <v>61201000</v>
      </c>
      <c r="D46" s="92" t="inlineStr">
        <is>
          <t>복리후생비</t>
        </is>
      </c>
      <c r="E46" s="93" t="n">
        <v>121143000</v>
      </c>
      <c r="F46" s="93" t="n">
        <v>0</v>
      </c>
      <c r="G46" s="93" t="n">
        <v>239635000</v>
      </c>
      <c r="I46" s="9">
        <f>IF($A46="","",VALUE($A46&amp;"")*12+VALUE($B46&amp;""))</f>
        <v/>
      </c>
      <c r="J46" s="9">
        <f>IF($A46="","",$C46&amp;"")</f>
        <v/>
      </c>
      <c r="K46" s="94">
        <f>IF($A46="",0,($E46-$F46)*설정!$C$23)</f>
        <v/>
      </c>
    </row>
    <row r="47">
      <c r="A47" s="92" t="n">
        <v>2025</v>
      </c>
      <c r="B47" s="92" t="n">
        <v>3</v>
      </c>
      <c r="C47" s="92" t="n">
        <v>62101000</v>
      </c>
      <c r="D47" s="92" t="inlineStr">
        <is>
          <t>여비교통비-국내</t>
        </is>
      </c>
      <c r="E47" s="93" t="n">
        <v>16981000</v>
      </c>
      <c r="F47" s="93" t="n">
        <v>0</v>
      </c>
      <c r="G47" s="93" t="n">
        <v>53623000</v>
      </c>
      <c r="I47" s="9">
        <f>IF($A47="","",VALUE($A47&amp;"")*12+VALUE($B47&amp;""))</f>
        <v/>
      </c>
      <c r="J47" s="9">
        <f>IF($A47="","",$C47&amp;"")</f>
        <v/>
      </c>
      <c r="K47" s="94">
        <f>IF($A47="",0,($E47-$F47)*설정!$C$23)</f>
        <v/>
      </c>
    </row>
    <row r="48">
      <c r="A48" s="92" t="n">
        <v>2025</v>
      </c>
      <c r="B48" s="92" t="n">
        <v>3</v>
      </c>
      <c r="C48" s="92" t="n">
        <v>62102000</v>
      </c>
      <c r="D48" s="92" t="inlineStr">
        <is>
          <t>여비교통비-해외</t>
        </is>
      </c>
      <c r="E48" s="93" t="n">
        <v>3177000</v>
      </c>
      <c r="F48" s="93" t="n">
        <v>0</v>
      </c>
      <c r="G48" s="93" t="n">
        <v>9764000</v>
      </c>
      <c r="I48" s="9">
        <f>IF($A48="","",VALUE($A48&amp;"")*12+VALUE($B48&amp;""))</f>
        <v/>
      </c>
      <c r="J48" s="9">
        <f>IF($A48="","",$C48&amp;"")</f>
        <v/>
      </c>
      <c r="K48" s="94">
        <f>IF($A48="",0,($E48-$F48)*설정!$C$23)</f>
        <v/>
      </c>
    </row>
    <row r="49">
      <c r="A49" s="92" t="n">
        <v>2025</v>
      </c>
      <c r="B49" s="92" t="n">
        <v>3</v>
      </c>
      <c r="C49" s="92" t="n">
        <v>62201000</v>
      </c>
      <c r="D49" s="92" t="inlineStr">
        <is>
          <t>통신비</t>
        </is>
      </c>
      <c r="E49" s="93" t="n">
        <v>37105000</v>
      </c>
      <c r="F49" s="93" t="n">
        <v>0</v>
      </c>
      <c r="G49" s="93" t="n">
        <v>105933000</v>
      </c>
      <c r="I49" s="9">
        <f>IF($A49="","",VALUE($A49&amp;"")*12+VALUE($B49&amp;""))</f>
        <v/>
      </c>
      <c r="J49" s="9">
        <f>IF($A49="","",$C49&amp;"")</f>
        <v/>
      </c>
      <c r="K49" s="94">
        <f>IF($A49="",0,($E49-$F49)*설정!$C$23)</f>
        <v/>
      </c>
    </row>
    <row r="50">
      <c r="A50" s="92" t="n">
        <v>2025</v>
      </c>
      <c r="B50" s="92" t="n">
        <v>3</v>
      </c>
      <c r="C50" s="92" t="n">
        <v>62301000</v>
      </c>
      <c r="D50" s="92" t="inlineStr">
        <is>
          <t>소모품비</t>
        </is>
      </c>
      <c r="E50" s="93" t="n">
        <v>5841000</v>
      </c>
      <c r="F50" s="93" t="n">
        <v>0</v>
      </c>
      <c r="G50" s="93" t="n">
        <v>17688000</v>
      </c>
      <c r="I50" s="9">
        <f>IF($A50="","",VALUE($A50&amp;"")*12+VALUE($B50&amp;""))</f>
        <v/>
      </c>
      <c r="J50" s="9">
        <f>IF($A50="","",$C50&amp;"")</f>
        <v/>
      </c>
      <c r="K50" s="94">
        <f>IF($A50="",0,($E50-$F50)*설정!$C$23)</f>
        <v/>
      </c>
    </row>
    <row r="51">
      <c r="A51" s="92" t="n">
        <v>2025</v>
      </c>
      <c r="B51" s="92" t="n">
        <v>3</v>
      </c>
      <c r="C51" s="92" t="n">
        <v>62401000</v>
      </c>
      <c r="D51" s="92" t="inlineStr">
        <is>
          <t>도서인쇄비</t>
        </is>
      </c>
      <c r="E51" s="93" t="n">
        <v>13827000</v>
      </c>
      <c r="F51" s="93" t="n">
        <v>0</v>
      </c>
      <c r="G51" s="93" t="n">
        <v>40895000</v>
      </c>
      <c r="I51" s="9">
        <f>IF($A51="","",VALUE($A51&amp;"")*12+VALUE($B51&amp;""))</f>
        <v/>
      </c>
      <c r="J51" s="9">
        <f>IF($A51="","",$C51&amp;"")</f>
        <v/>
      </c>
      <c r="K51" s="94">
        <f>IF($A51="",0,($E51-$F51)*설정!$C$23)</f>
        <v/>
      </c>
    </row>
    <row r="52">
      <c r="A52" s="92" t="n">
        <v>2025</v>
      </c>
      <c r="B52" s="92" t="n">
        <v>3</v>
      </c>
      <c r="C52" s="92" t="n">
        <v>62501000</v>
      </c>
      <c r="D52" s="92" t="inlineStr">
        <is>
          <t>회의비</t>
        </is>
      </c>
      <c r="E52" s="93" t="n">
        <v>5204000</v>
      </c>
      <c r="F52" s="93" t="n">
        <v>0</v>
      </c>
      <c r="G52" s="93" t="n">
        <v>16121000</v>
      </c>
      <c r="I52" s="9">
        <f>IF($A52="","",VALUE($A52&amp;"")*12+VALUE($B52&amp;""))</f>
        <v/>
      </c>
      <c r="J52" s="9">
        <f>IF($A52="","",$C52&amp;"")</f>
        <v/>
      </c>
      <c r="K52" s="94">
        <f>IF($A52="",0,($E52-$F52)*설정!$C$23)</f>
        <v/>
      </c>
    </row>
    <row r="53">
      <c r="A53" s="92" t="n">
        <v>2025</v>
      </c>
      <c r="B53" s="92" t="n">
        <v>3</v>
      </c>
      <c r="C53" s="92" t="n">
        <v>62601000</v>
      </c>
      <c r="D53" s="92" t="inlineStr">
        <is>
          <t>업무추진비</t>
        </is>
      </c>
      <c r="E53" s="93" t="n">
        <v>11107000</v>
      </c>
      <c r="F53" s="93" t="n">
        <v>0</v>
      </c>
      <c r="G53" s="93" t="n">
        <v>32088000</v>
      </c>
      <c r="I53" s="9">
        <f>IF($A53="","",VALUE($A53&amp;"")*12+VALUE($B53&amp;""))</f>
        <v/>
      </c>
      <c r="J53" s="9">
        <f>IF($A53="","",$C53&amp;"")</f>
        <v/>
      </c>
      <c r="K53" s="94">
        <f>IF($A53="",0,($E53-$F53)*설정!$C$23)</f>
        <v/>
      </c>
    </row>
    <row r="54">
      <c r="A54" s="92" t="n">
        <v>2025</v>
      </c>
      <c r="B54" s="92" t="n">
        <v>3</v>
      </c>
      <c r="C54" s="92" t="n">
        <v>62701000</v>
      </c>
      <c r="D54" s="92" t="inlineStr">
        <is>
          <t>광고선전비</t>
        </is>
      </c>
      <c r="E54" s="93" t="n">
        <v>160000000</v>
      </c>
      <c r="F54" s="93" t="n">
        <v>0</v>
      </c>
      <c r="G54" s="93" t="n">
        <v>450000000</v>
      </c>
      <c r="I54" s="9">
        <f>IF($A54="","",VALUE($A54&amp;"")*12+VALUE($B54&amp;""))</f>
        <v/>
      </c>
      <c r="J54" s="9">
        <f>IF($A54="","",$C54&amp;"")</f>
        <v/>
      </c>
      <c r="K54" s="94">
        <f>IF($A54="",0,($E54-$F54)*설정!$C$23)</f>
        <v/>
      </c>
    </row>
    <row r="55">
      <c r="A55" s="92" t="n">
        <v>2025</v>
      </c>
      <c r="B55" s="92" t="n">
        <v>3</v>
      </c>
      <c r="C55" s="92" t="n">
        <v>62801000</v>
      </c>
      <c r="D55" s="92" t="inlineStr">
        <is>
          <t>교육훈련비-사내</t>
        </is>
      </c>
      <c r="E55" s="93" t="n">
        <v>11242000</v>
      </c>
      <c r="F55" s="93" t="n">
        <v>0</v>
      </c>
      <c r="G55" s="93" t="n">
        <v>34702000</v>
      </c>
      <c r="I55" s="9">
        <f>IF($A55="","",VALUE($A55&amp;"")*12+VALUE($B55&amp;""))</f>
        <v/>
      </c>
      <c r="J55" s="9">
        <f>IF($A55="","",$C55&amp;"")</f>
        <v/>
      </c>
      <c r="K55" s="94">
        <f>IF($A55="",0,($E55-$F55)*설정!$C$23)</f>
        <v/>
      </c>
    </row>
    <row r="56">
      <c r="A56" s="92" t="n">
        <v>2025</v>
      </c>
      <c r="B56" s="92" t="n">
        <v>3</v>
      </c>
      <c r="C56" s="92" t="n">
        <v>62802000</v>
      </c>
      <c r="D56" s="92" t="inlineStr">
        <is>
          <t>교육훈련비-외부위탁</t>
        </is>
      </c>
      <c r="E56" s="93" t="n">
        <v>14086000</v>
      </c>
      <c r="F56" s="93" t="n">
        <v>0</v>
      </c>
      <c r="G56" s="93" t="n">
        <v>43597000</v>
      </c>
      <c r="I56" s="9">
        <f>IF($A56="","",VALUE($A56&amp;"")*12+VALUE($B56&amp;""))</f>
        <v/>
      </c>
      <c r="J56" s="9">
        <f>IF($A56="","",$C56&amp;"")</f>
        <v/>
      </c>
      <c r="K56" s="94">
        <f>IF($A56="",0,($E56-$F56)*설정!$C$23)</f>
        <v/>
      </c>
    </row>
    <row r="57">
      <c r="A57" s="92" t="n">
        <v>2025</v>
      </c>
      <c r="B57" s="92" t="n">
        <v>3</v>
      </c>
      <c r="C57" s="92" t="n">
        <v>62901000</v>
      </c>
      <c r="D57" s="92" t="inlineStr">
        <is>
          <t>지급수수료-컨설팅</t>
        </is>
      </c>
      <c r="E57" s="93" t="n">
        <v>100708000</v>
      </c>
      <c r="F57" s="93" t="n">
        <v>0</v>
      </c>
      <c r="G57" s="93" t="n">
        <v>298596000</v>
      </c>
      <c r="I57" s="9">
        <f>IF($A57="","",VALUE($A57&amp;"")*12+VALUE($B57&amp;""))</f>
        <v/>
      </c>
      <c r="J57" s="9">
        <f>IF($A57="","",$C57&amp;"")</f>
        <v/>
      </c>
      <c r="K57" s="94">
        <f>IF($A57="",0,($E57-$F57)*설정!$C$23)</f>
        <v/>
      </c>
    </row>
    <row r="58">
      <c r="A58" s="92" t="n">
        <v>2025</v>
      </c>
      <c r="B58" s="92" t="n">
        <v>3</v>
      </c>
      <c r="C58" s="92" t="n">
        <v>62902000</v>
      </c>
      <c r="D58" s="92" t="inlineStr">
        <is>
          <t>지급수수료-기타</t>
        </is>
      </c>
      <c r="E58" s="93" t="n">
        <v>49410000</v>
      </c>
      <c r="F58" s="93" t="n">
        <v>0</v>
      </c>
      <c r="G58" s="93" t="n">
        <v>146659000</v>
      </c>
      <c r="I58" s="9">
        <f>IF($A58="","",VALUE($A58&amp;"")*12+VALUE($B58&amp;""))</f>
        <v/>
      </c>
      <c r="J58" s="9">
        <f>IF($A58="","",$C58&amp;"")</f>
        <v/>
      </c>
      <c r="K58" s="94">
        <f>IF($A58="",0,($E58-$F58)*설정!$C$23)</f>
        <v/>
      </c>
    </row>
    <row r="59">
      <c r="A59" s="92" t="n">
        <v>2025</v>
      </c>
      <c r="B59" s="92" t="n">
        <v>3</v>
      </c>
      <c r="C59" s="92" t="n">
        <v>63001000</v>
      </c>
      <c r="D59" s="92" t="inlineStr">
        <is>
          <t>전산운영비-SW유지보수</t>
        </is>
      </c>
      <c r="E59" s="93" t="n">
        <v>100557000</v>
      </c>
      <c r="F59" s="93" t="n">
        <v>0</v>
      </c>
      <c r="G59" s="93" t="n">
        <v>295370000</v>
      </c>
      <c r="I59" s="9">
        <f>IF($A59="","",VALUE($A59&amp;"")*12+VALUE($B59&amp;""))</f>
        <v/>
      </c>
      <c r="J59" s="9">
        <f>IF($A59="","",$C59&amp;"")</f>
        <v/>
      </c>
      <c r="K59" s="94">
        <f>IF($A59="",0,($E59-$F59)*설정!$C$23)</f>
        <v/>
      </c>
    </row>
    <row r="60">
      <c r="A60" s="92" t="n">
        <v>2025</v>
      </c>
      <c r="B60" s="92" t="n">
        <v>3</v>
      </c>
      <c r="C60" s="92" t="n">
        <v>63002000</v>
      </c>
      <c r="D60" s="92" t="inlineStr">
        <is>
          <t>전산운영비-클라우드</t>
        </is>
      </c>
      <c r="E60" s="93" t="n">
        <v>74019000</v>
      </c>
      <c r="F60" s="93" t="n">
        <v>0</v>
      </c>
      <c r="G60" s="93" t="n">
        <v>218313000</v>
      </c>
      <c r="I60" s="9">
        <f>IF($A60="","",VALUE($A60&amp;"")*12+VALUE($B60&amp;""))</f>
        <v/>
      </c>
      <c r="J60" s="9">
        <f>IF($A60="","",$C60&amp;"")</f>
        <v/>
      </c>
      <c r="K60" s="94">
        <f>IF($A60="",0,($E60-$F60)*설정!$C$23)</f>
        <v/>
      </c>
    </row>
    <row r="61">
      <c r="A61" s="92" t="n">
        <v>2025</v>
      </c>
      <c r="B61" s="92" t="n">
        <v>3</v>
      </c>
      <c r="C61" s="92" t="n">
        <v>63101000</v>
      </c>
      <c r="D61" s="92" t="inlineStr">
        <is>
          <t>임차료</t>
        </is>
      </c>
      <c r="E61" s="93" t="n">
        <v>15584000</v>
      </c>
      <c r="F61" s="93" t="n">
        <v>0</v>
      </c>
      <c r="G61" s="93" t="n">
        <v>46133000</v>
      </c>
      <c r="I61" s="9">
        <f>IF($A61="","",VALUE($A61&amp;"")*12+VALUE($B61&amp;""))</f>
        <v/>
      </c>
      <c r="J61" s="9">
        <f>IF($A61="","",$C61&amp;"")</f>
        <v/>
      </c>
      <c r="K61" s="94">
        <f>IF($A61="",0,($E61-$F61)*설정!$C$23)</f>
        <v/>
      </c>
    </row>
    <row r="62">
      <c r="A62" s="92" t="n">
        <v>2025</v>
      </c>
      <c r="B62" s="92" t="n">
        <v>3</v>
      </c>
      <c r="C62" s="92" t="n">
        <v>63201000</v>
      </c>
      <c r="D62" s="92" t="inlineStr">
        <is>
          <t>차량유지비</t>
        </is>
      </c>
      <c r="E62" s="93" t="n">
        <v>7067000</v>
      </c>
      <c r="F62" s="93" t="n">
        <v>0</v>
      </c>
      <c r="G62" s="93" t="n">
        <v>21714000</v>
      </c>
      <c r="I62" s="9">
        <f>IF($A62="","",VALUE($A62&amp;"")*12+VALUE($B62&amp;""))</f>
        <v/>
      </c>
      <c r="J62" s="9">
        <f>IF($A62="","",$C62&amp;"")</f>
        <v/>
      </c>
      <c r="K62" s="94">
        <f>IF($A62="",0,($E62-$F62)*설정!$C$23)</f>
        <v/>
      </c>
    </row>
    <row r="63">
      <c r="A63" s="92" t="n">
        <v>2025</v>
      </c>
      <c r="B63" s="92" t="n">
        <v>3</v>
      </c>
      <c r="C63" s="92" t="n">
        <v>63501000</v>
      </c>
      <c r="D63" s="92" t="inlineStr">
        <is>
          <t>모집수수료</t>
        </is>
      </c>
      <c r="E63" s="93" t="n">
        <v>1705393000</v>
      </c>
      <c r="F63" s="93" t="n">
        <v>0</v>
      </c>
      <c r="G63" s="93" t="n">
        <v>5121572000</v>
      </c>
      <c r="I63" s="9">
        <f>IF($A63="","",VALUE($A63&amp;"")*12+VALUE($B63&amp;""))</f>
        <v/>
      </c>
      <c r="J63" s="9">
        <f>IF($A63="","",$C63&amp;"")</f>
        <v/>
      </c>
      <c r="K63" s="94">
        <f>IF($A63="",0,($E63-$F63)*설정!$C$23)</f>
        <v/>
      </c>
    </row>
    <row r="64">
      <c r="A64" s="92" t="n">
        <v>2025</v>
      </c>
      <c r="B64" s="92" t="n">
        <v>3</v>
      </c>
      <c r="C64" s="92" t="n">
        <v>63502000</v>
      </c>
      <c r="D64" s="92" t="inlineStr">
        <is>
          <t>유지수수료</t>
        </is>
      </c>
      <c r="E64" s="93" t="n">
        <v>435706000</v>
      </c>
      <c r="F64" s="93" t="n">
        <v>0</v>
      </c>
      <c r="G64" s="93" t="n">
        <v>1287225000</v>
      </c>
      <c r="I64" s="9">
        <f>IF($A64="","",VALUE($A64&amp;"")*12+VALUE($B64&amp;""))</f>
        <v/>
      </c>
      <c r="J64" s="9">
        <f>IF($A64="","",$C64&amp;"")</f>
        <v/>
      </c>
      <c r="K64" s="94">
        <f>IF($A64="",0,($E64-$F64)*설정!$C$23)</f>
        <v/>
      </c>
    </row>
    <row r="65">
      <c r="A65" s="92" t="n">
        <v>2025</v>
      </c>
      <c r="B65" s="92" t="n">
        <v>3</v>
      </c>
      <c r="C65" s="92" t="n">
        <v>63601000</v>
      </c>
      <c r="D65" s="92" t="inlineStr">
        <is>
          <t>손해조사비</t>
        </is>
      </c>
      <c r="E65" s="93" t="n">
        <v>28090000</v>
      </c>
      <c r="F65" s="93" t="n">
        <v>0</v>
      </c>
      <c r="G65" s="93" t="n">
        <v>86440000</v>
      </c>
      <c r="I65" s="9">
        <f>IF($A65="","",VALUE($A65&amp;"")*12+VALUE($B65&amp;""))</f>
        <v/>
      </c>
      <c r="J65" s="9">
        <f>IF($A65="","",$C65&amp;"")</f>
        <v/>
      </c>
      <c r="K65" s="94">
        <f>IF($A65="",0,($E65-$F65)*설정!$C$23)</f>
        <v/>
      </c>
    </row>
    <row r="66">
      <c r="A66" s="92" t="n">
        <v>2025</v>
      </c>
      <c r="B66" s="92" t="n">
        <v>3</v>
      </c>
      <c r="C66" s="92" t="n">
        <v>61101000</v>
      </c>
      <c r="D66" s="92" t="inlineStr">
        <is>
          <t>급여</t>
        </is>
      </c>
      <c r="E66" s="93" t="n">
        <v>776635000</v>
      </c>
      <c r="F66" s="93" t="n">
        <v>0</v>
      </c>
      <c r="G66" s="93" t="n">
        <v>2403609000</v>
      </c>
      <c r="I66" s="9">
        <f>IF($A66="","",VALUE($A66&amp;"")*12+VALUE($B66&amp;""))</f>
        <v/>
      </c>
      <c r="J66" s="9">
        <f>IF($A66="","",$C66&amp;"")</f>
        <v/>
      </c>
      <c r="K66" s="94">
        <f>IF($A66="",0,($E66-$F66)*설정!$C$23)</f>
        <v/>
      </c>
    </row>
    <row r="67">
      <c r="A67" s="92" t="n">
        <v>2025</v>
      </c>
      <c r="B67" s="92" t="n">
        <v>3</v>
      </c>
      <c r="C67" s="92" t="n">
        <v>61201000</v>
      </c>
      <c r="D67" s="92" t="inlineStr">
        <is>
          <t>복리후생비</t>
        </is>
      </c>
      <c r="E67" s="93" t="n">
        <v>118480000</v>
      </c>
      <c r="F67" s="93" t="n">
        <v>0</v>
      </c>
      <c r="G67" s="93" t="n">
        <v>358115000</v>
      </c>
      <c r="I67" s="9">
        <f>IF($A67="","",VALUE($A67&amp;"")*12+VALUE($B67&amp;""))</f>
        <v/>
      </c>
      <c r="J67" s="9">
        <f>IF($A67="","",$C67&amp;"")</f>
        <v/>
      </c>
      <c r="K67" s="94">
        <f>IF($A67="",0,($E67-$F67)*설정!$C$23)</f>
        <v/>
      </c>
    </row>
    <row r="68">
      <c r="A68" s="92" t="n">
        <v>2025</v>
      </c>
      <c r="B68" s="92" t="n">
        <v>4</v>
      </c>
      <c r="C68" s="92" t="n">
        <v>62101000</v>
      </c>
      <c r="D68" s="92" t="inlineStr">
        <is>
          <t>여비교통비-국내</t>
        </is>
      </c>
      <c r="E68" s="93" t="n">
        <v>18036000</v>
      </c>
      <c r="F68" s="93" t="n">
        <v>0</v>
      </c>
      <c r="G68" s="93" t="n">
        <v>71659000</v>
      </c>
      <c r="I68" s="9">
        <f>IF($A68="","",VALUE($A68&amp;"")*12+VALUE($B68&amp;""))</f>
        <v/>
      </c>
      <c r="J68" s="9">
        <f>IF($A68="","",$C68&amp;"")</f>
        <v/>
      </c>
      <c r="K68" s="94">
        <f>IF($A68="",0,($E68-$F68)*설정!$C$23)</f>
        <v/>
      </c>
    </row>
    <row r="69">
      <c r="A69" s="92" t="n">
        <v>2025</v>
      </c>
      <c r="B69" s="92" t="n">
        <v>4</v>
      </c>
      <c r="C69" s="92" t="n">
        <v>62102000</v>
      </c>
      <c r="D69" s="92" t="inlineStr">
        <is>
          <t>여비교통비-해외</t>
        </is>
      </c>
      <c r="E69" s="93" t="n">
        <v>3131000</v>
      </c>
      <c r="F69" s="93" t="n">
        <v>0</v>
      </c>
      <c r="G69" s="93" t="n">
        <v>12895000</v>
      </c>
      <c r="I69" s="9">
        <f>IF($A69="","",VALUE($A69&amp;"")*12+VALUE($B69&amp;""))</f>
        <v/>
      </c>
      <c r="J69" s="9">
        <f>IF($A69="","",$C69&amp;"")</f>
        <v/>
      </c>
      <c r="K69" s="94">
        <f>IF($A69="",0,($E69-$F69)*설정!$C$23)</f>
        <v/>
      </c>
    </row>
    <row r="70">
      <c r="A70" s="92" t="n">
        <v>2025</v>
      </c>
      <c r="B70" s="92" t="n">
        <v>4</v>
      </c>
      <c r="C70" s="92" t="n">
        <v>62201000</v>
      </c>
      <c r="D70" s="92" t="inlineStr">
        <is>
          <t>통신비</t>
        </is>
      </c>
      <c r="E70" s="93" t="n">
        <v>36403000</v>
      </c>
      <c r="F70" s="93" t="n">
        <v>0</v>
      </c>
      <c r="G70" s="93" t="n">
        <v>142336000</v>
      </c>
      <c r="I70" s="9">
        <f>IF($A70="","",VALUE($A70&amp;"")*12+VALUE($B70&amp;""))</f>
        <v/>
      </c>
      <c r="J70" s="9">
        <f>IF($A70="","",$C70&amp;"")</f>
        <v/>
      </c>
      <c r="K70" s="94">
        <f>IF($A70="",0,($E70-$F70)*설정!$C$23)</f>
        <v/>
      </c>
    </row>
    <row r="71">
      <c r="A71" s="92" t="n">
        <v>2025</v>
      </c>
      <c r="B71" s="92" t="n">
        <v>4</v>
      </c>
      <c r="C71" s="92" t="n">
        <v>62301000</v>
      </c>
      <c r="D71" s="92" t="inlineStr">
        <is>
          <t>소모품비</t>
        </is>
      </c>
      <c r="E71" s="93" t="n">
        <v>6137000</v>
      </c>
      <c r="F71" s="93" t="n">
        <v>0</v>
      </c>
      <c r="G71" s="93" t="n">
        <v>23825000</v>
      </c>
      <c r="I71" s="9">
        <f>IF($A71="","",VALUE($A71&amp;"")*12+VALUE($B71&amp;""))</f>
        <v/>
      </c>
      <c r="J71" s="9">
        <f>IF($A71="","",$C71&amp;"")</f>
        <v/>
      </c>
      <c r="K71" s="94">
        <f>IF($A71="",0,($E71-$F71)*설정!$C$23)</f>
        <v/>
      </c>
    </row>
    <row r="72">
      <c r="A72" s="92" t="n">
        <v>2025</v>
      </c>
      <c r="B72" s="92" t="n">
        <v>4</v>
      </c>
      <c r="C72" s="92" t="n">
        <v>62401000</v>
      </c>
      <c r="D72" s="92" t="inlineStr">
        <is>
          <t>도서인쇄비</t>
        </is>
      </c>
      <c r="E72" s="93" t="n">
        <v>13963000</v>
      </c>
      <c r="F72" s="93" t="n">
        <v>0</v>
      </c>
      <c r="G72" s="93" t="n">
        <v>54858000</v>
      </c>
      <c r="I72" s="9">
        <f>IF($A72="","",VALUE($A72&amp;"")*12+VALUE($B72&amp;""))</f>
        <v/>
      </c>
      <c r="J72" s="9">
        <f>IF($A72="","",$C72&amp;"")</f>
        <v/>
      </c>
      <c r="K72" s="94">
        <f>IF($A72="",0,($E72-$F72)*설정!$C$23)</f>
        <v/>
      </c>
    </row>
    <row r="73">
      <c r="A73" s="92" t="n">
        <v>2025</v>
      </c>
      <c r="B73" s="92" t="n">
        <v>4</v>
      </c>
      <c r="C73" s="92" t="n">
        <v>62501000</v>
      </c>
      <c r="D73" s="92" t="inlineStr">
        <is>
          <t>회의비</t>
        </is>
      </c>
      <c r="E73" s="93" t="n">
        <v>5422000</v>
      </c>
      <c r="F73" s="93" t="n">
        <v>0</v>
      </c>
      <c r="G73" s="93" t="n">
        <v>21543000</v>
      </c>
      <c r="I73" s="9">
        <f>IF($A73="","",VALUE($A73&amp;"")*12+VALUE($B73&amp;""))</f>
        <v/>
      </c>
      <c r="J73" s="9">
        <f>IF($A73="","",$C73&amp;"")</f>
        <v/>
      </c>
      <c r="K73" s="94">
        <f>IF($A73="",0,($E73-$F73)*설정!$C$23)</f>
        <v/>
      </c>
    </row>
    <row r="74">
      <c r="A74" s="92" t="n">
        <v>2025</v>
      </c>
      <c r="B74" s="92" t="n">
        <v>4</v>
      </c>
      <c r="C74" s="92" t="n">
        <v>62601000</v>
      </c>
      <c r="D74" s="92" t="inlineStr">
        <is>
          <t>업무추진비</t>
        </is>
      </c>
      <c r="E74" s="93" t="n">
        <v>10466000</v>
      </c>
      <c r="F74" s="93" t="n">
        <v>0</v>
      </c>
      <c r="G74" s="93" t="n">
        <v>42554000</v>
      </c>
      <c r="I74" s="9">
        <f>IF($A74="","",VALUE($A74&amp;"")*12+VALUE($B74&amp;""))</f>
        <v/>
      </c>
      <c r="J74" s="9">
        <f>IF($A74="","",$C74&amp;"")</f>
        <v/>
      </c>
      <c r="K74" s="94">
        <f>IF($A74="",0,($E74-$F74)*설정!$C$23)</f>
        <v/>
      </c>
    </row>
    <row r="75">
      <c r="A75" s="92" t="n">
        <v>2025</v>
      </c>
      <c r="B75" s="92" t="n">
        <v>4</v>
      </c>
      <c r="C75" s="92" t="n">
        <v>62701000</v>
      </c>
      <c r="D75" s="92" t="inlineStr">
        <is>
          <t>광고선전비</t>
        </is>
      </c>
      <c r="E75" s="93" t="n">
        <v>150000000</v>
      </c>
      <c r="F75" s="93" t="n">
        <v>0</v>
      </c>
      <c r="G75" s="93" t="n">
        <v>600000000</v>
      </c>
      <c r="I75" s="9">
        <f>IF($A75="","",VALUE($A75&amp;"")*12+VALUE($B75&amp;""))</f>
        <v/>
      </c>
      <c r="J75" s="9">
        <f>IF($A75="","",$C75&amp;"")</f>
        <v/>
      </c>
      <c r="K75" s="94">
        <f>IF($A75="",0,($E75-$F75)*설정!$C$23)</f>
        <v/>
      </c>
    </row>
    <row r="76">
      <c r="A76" s="92" t="n">
        <v>2025</v>
      </c>
      <c r="B76" s="92" t="n">
        <v>4</v>
      </c>
      <c r="C76" s="92" t="n">
        <v>62801000</v>
      </c>
      <c r="D76" s="92" t="inlineStr">
        <is>
          <t>교육훈련비-사내</t>
        </is>
      </c>
      <c r="E76" s="93" t="n">
        <v>13399000</v>
      </c>
      <c r="F76" s="93" t="n">
        <v>0</v>
      </c>
      <c r="G76" s="93" t="n">
        <v>48101000</v>
      </c>
      <c r="I76" s="9">
        <f>IF($A76="","",VALUE($A76&amp;"")*12+VALUE($B76&amp;""))</f>
        <v/>
      </c>
      <c r="J76" s="9">
        <f>IF($A76="","",$C76&amp;"")</f>
        <v/>
      </c>
      <c r="K76" s="94">
        <f>IF($A76="",0,($E76-$F76)*설정!$C$23)</f>
        <v/>
      </c>
    </row>
    <row r="77">
      <c r="A77" s="92" t="n">
        <v>2025</v>
      </c>
      <c r="B77" s="92" t="n">
        <v>4</v>
      </c>
      <c r="C77" s="92" t="n">
        <v>62802000</v>
      </c>
      <c r="D77" s="92" t="inlineStr">
        <is>
          <t>교육훈련비-외부위탁</t>
        </is>
      </c>
      <c r="E77" s="93" t="n">
        <v>12672000</v>
      </c>
      <c r="F77" s="93" t="n">
        <v>0</v>
      </c>
      <c r="G77" s="93" t="n">
        <v>56269000</v>
      </c>
      <c r="I77" s="9">
        <f>IF($A77="","",VALUE($A77&amp;"")*12+VALUE($B77&amp;""))</f>
        <v/>
      </c>
      <c r="J77" s="9">
        <f>IF($A77="","",$C77&amp;"")</f>
        <v/>
      </c>
      <c r="K77" s="94">
        <f>IF($A77="",0,($E77-$F77)*설정!$C$23)</f>
        <v/>
      </c>
    </row>
    <row r="78">
      <c r="A78" s="92" t="n">
        <v>2025</v>
      </c>
      <c r="B78" s="92" t="n">
        <v>4</v>
      </c>
      <c r="C78" s="92" t="n">
        <v>62901000</v>
      </c>
      <c r="D78" s="92" t="inlineStr">
        <is>
          <t>지급수수료-컨설팅</t>
        </is>
      </c>
      <c r="E78" s="93" t="n">
        <v>99509000</v>
      </c>
      <c r="F78" s="93" t="n">
        <v>0</v>
      </c>
      <c r="G78" s="93" t="n">
        <v>398105000</v>
      </c>
      <c r="I78" s="9">
        <f>IF($A78="","",VALUE($A78&amp;"")*12+VALUE($B78&amp;""))</f>
        <v/>
      </c>
      <c r="J78" s="9">
        <f>IF($A78="","",$C78&amp;"")</f>
        <v/>
      </c>
      <c r="K78" s="94">
        <f>IF($A78="",0,($E78-$F78)*설정!$C$23)</f>
        <v/>
      </c>
    </row>
    <row r="79">
      <c r="A79" s="92" t="n">
        <v>2025</v>
      </c>
      <c r="B79" s="92" t="n">
        <v>4</v>
      </c>
      <c r="C79" s="92" t="n">
        <v>62902000</v>
      </c>
      <c r="D79" s="92" t="inlineStr">
        <is>
          <t>지급수수료-기타</t>
        </is>
      </c>
      <c r="E79" s="93" t="n">
        <v>48628000</v>
      </c>
      <c r="F79" s="93" t="n">
        <v>0</v>
      </c>
      <c r="G79" s="93" t="n">
        <v>195287000</v>
      </c>
      <c r="I79" s="9">
        <f>IF($A79="","",VALUE($A79&amp;"")*12+VALUE($B79&amp;""))</f>
        <v/>
      </c>
      <c r="J79" s="9">
        <f>IF($A79="","",$C79&amp;"")</f>
        <v/>
      </c>
      <c r="K79" s="94">
        <f>IF($A79="",0,($E79-$F79)*설정!$C$23)</f>
        <v/>
      </c>
    </row>
    <row r="80">
      <c r="A80" s="92" t="n">
        <v>2025</v>
      </c>
      <c r="B80" s="92" t="n">
        <v>4</v>
      </c>
      <c r="C80" s="92" t="n">
        <v>63001000</v>
      </c>
      <c r="D80" s="92" t="inlineStr">
        <is>
          <t>전산운영비-SW유지보수</t>
        </is>
      </c>
      <c r="E80" s="93" t="n">
        <v>105196000</v>
      </c>
      <c r="F80" s="93" t="n">
        <v>0</v>
      </c>
      <c r="G80" s="93" t="n">
        <v>400566000</v>
      </c>
      <c r="I80" s="9">
        <f>IF($A80="","",VALUE($A80&amp;"")*12+VALUE($B80&amp;""))</f>
        <v/>
      </c>
      <c r="J80" s="9">
        <f>IF($A80="","",$C80&amp;"")</f>
        <v/>
      </c>
      <c r="K80" s="94">
        <f>IF($A80="",0,($E80-$F80)*설정!$C$23)</f>
        <v/>
      </c>
    </row>
    <row r="81">
      <c r="A81" s="92" t="n">
        <v>2025</v>
      </c>
      <c r="B81" s="92" t="n">
        <v>4</v>
      </c>
      <c r="C81" s="92" t="n">
        <v>63002000</v>
      </c>
      <c r="D81" s="92" t="inlineStr">
        <is>
          <t>전산운영비-클라우드</t>
        </is>
      </c>
      <c r="E81" s="93" t="n">
        <v>73913000</v>
      </c>
      <c r="F81" s="93" t="n">
        <v>0</v>
      </c>
      <c r="G81" s="93" t="n">
        <v>292226000</v>
      </c>
      <c r="I81" s="9">
        <f>IF($A81="","",VALUE($A81&amp;"")*12+VALUE($B81&amp;""))</f>
        <v/>
      </c>
      <c r="J81" s="9">
        <f>IF($A81="","",$C81&amp;"")</f>
        <v/>
      </c>
      <c r="K81" s="94">
        <f>IF($A81="",0,($E81-$F81)*설정!$C$23)</f>
        <v/>
      </c>
    </row>
    <row r="82">
      <c r="A82" s="92" t="n">
        <v>2025</v>
      </c>
      <c r="B82" s="92" t="n">
        <v>4</v>
      </c>
      <c r="C82" s="92" t="n">
        <v>63101000</v>
      </c>
      <c r="D82" s="92" t="inlineStr">
        <is>
          <t>임차료</t>
        </is>
      </c>
      <c r="E82" s="93" t="n">
        <v>15389000</v>
      </c>
      <c r="F82" s="93" t="n">
        <v>0</v>
      </c>
      <c r="G82" s="93" t="n">
        <v>61522000</v>
      </c>
      <c r="I82" s="9">
        <f>IF($A82="","",VALUE($A82&amp;"")*12+VALUE($B82&amp;""))</f>
        <v/>
      </c>
      <c r="J82" s="9">
        <f>IF($A82="","",$C82&amp;"")</f>
        <v/>
      </c>
      <c r="K82" s="94">
        <f>IF($A82="",0,($E82-$F82)*설정!$C$23)</f>
        <v/>
      </c>
    </row>
    <row r="83">
      <c r="A83" s="92" t="n">
        <v>2025</v>
      </c>
      <c r="B83" s="92" t="n">
        <v>4</v>
      </c>
      <c r="C83" s="92" t="n">
        <v>63201000</v>
      </c>
      <c r="D83" s="92" t="inlineStr">
        <is>
          <t>차량유지비</t>
        </is>
      </c>
      <c r="E83" s="93" t="n">
        <v>7224000</v>
      </c>
      <c r="F83" s="93" t="n">
        <v>0</v>
      </c>
      <c r="G83" s="93" t="n">
        <v>28938000</v>
      </c>
      <c r="I83" s="9">
        <f>IF($A83="","",VALUE($A83&amp;"")*12+VALUE($B83&amp;""))</f>
        <v/>
      </c>
      <c r="J83" s="9">
        <f>IF($A83="","",$C83&amp;"")</f>
        <v/>
      </c>
      <c r="K83" s="94">
        <f>IF($A83="",0,($E83-$F83)*설정!$C$23)</f>
        <v/>
      </c>
    </row>
    <row r="84">
      <c r="A84" s="92" t="n">
        <v>2025</v>
      </c>
      <c r="B84" s="92" t="n">
        <v>4</v>
      </c>
      <c r="C84" s="92" t="n">
        <v>63501000</v>
      </c>
      <c r="D84" s="92" t="inlineStr">
        <is>
          <t>모집수수료</t>
        </is>
      </c>
      <c r="E84" s="93" t="n">
        <v>1705467000</v>
      </c>
      <c r="F84" s="93" t="n">
        <v>0</v>
      </c>
      <c r="G84" s="93" t="n">
        <v>6827039000</v>
      </c>
      <c r="I84" s="9">
        <f>IF($A84="","",VALUE($A84&amp;"")*12+VALUE($B84&amp;""))</f>
        <v/>
      </c>
      <c r="J84" s="9">
        <f>IF($A84="","",$C84&amp;"")</f>
        <v/>
      </c>
      <c r="K84" s="94">
        <f>IF($A84="",0,($E84-$F84)*설정!$C$23)</f>
        <v/>
      </c>
    </row>
    <row r="85">
      <c r="A85" s="92" t="n">
        <v>2025</v>
      </c>
      <c r="B85" s="92" t="n">
        <v>4</v>
      </c>
      <c r="C85" s="92" t="n">
        <v>63502000</v>
      </c>
      <c r="D85" s="92" t="inlineStr">
        <is>
          <t>유지수수료</t>
        </is>
      </c>
      <c r="E85" s="93" t="n">
        <v>423792000</v>
      </c>
      <c r="F85" s="93" t="n">
        <v>0</v>
      </c>
      <c r="G85" s="93" t="n">
        <v>1711017000</v>
      </c>
      <c r="I85" s="9">
        <f>IF($A85="","",VALUE($A85&amp;"")*12+VALUE($B85&amp;""))</f>
        <v/>
      </c>
      <c r="J85" s="9">
        <f>IF($A85="","",$C85&amp;"")</f>
        <v/>
      </c>
      <c r="K85" s="94">
        <f>IF($A85="",0,($E85-$F85)*설정!$C$23)</f>
        <v/>
      </c>
    </row>
    <row r="86">
      <c r="A86" s="92" t="n">
        <v>2025</v>
      </c>
      <c r="B86" s="92" t="n">
        <v>4</v>
      </c>
      <c r="C86" s="92" t="n">
        <v>63601000</v>
      </c>
      <c r="D86" s="92" t="inlineStr">
        <is>
          <t>손해조사비</t>
        </is>
      </c>
      <c r="E86" s="93" t="n">
        <v>27659000</v>
      </c>
      <c r="F86" s="93" t="n">
        <v>0</v>
      </c>
      <c r="G86" s="93" t="n">
        <v>114099000</v>
      </c>
      <c r="I86" s="9">
        <f>IF($A86="","",VALUE($A86&amp;"")*12+VALUE($B86&amp;""))</f>
        <v/>
      </c>
      <c r="J86" s="9">
        <f>IF($A86="","",$C86&amp;"")</f>
        <v/>
      </c>
      <c r="K86" s="94">
        <f>IF($A86="",0,($E86-$F86)*설정!$C$23)</f>
        <v/>
      </c>
    </row>
    <row r="87">
      <c r="A87" s="92" t="n">
        <v>2025</v>
      </c>
      <c r="B87" s="92" t="n">
        <v>4</v>
      </c>
      <c r="C87" s="92" t="n">
        <v>61101000</v>
      </c>
      <c r="D87" s="92" t="inlineStr">
        <is>
          <t>급여</t>
        </is>
      </c>
      <c r="E87" s="93" t="n">
        <v>822399000</v>
      </c>
      <c r="F87" s="93" t="n">
        <v>0</v>
      </c>
      <c r="G87" s="93" t="n">
        <v>3226008000</v>
      </c>
      <c r="I87" s="9">
        <f>IF($A87="","",VALUE($A87&amp;"")*12+VALUE($B87&amp;""))</f>
        <v/>
      </c>
      <c r="J87" s="9">
        <f>IF($A87="","",$C87&amp;"")</f>
        <v/>
      </c>
      <c r="K87" s="94">
        <f>IF($A87="",0,($E87-$F87)*설정!$C$23)</f>
        <v/>
      </c>
    </row>
    <row r="88">
      <c r="A88" s="92" t="n">
        <v>2025</v>
      </c>
      <c r="B88" s="92" t="n">
        <v>4</v>
      </c>
      <c r="C88" s="92" t="n">
        <v>61201000</v>
      </c>
      <c r="D88" s="92" t="inlineStr">
        <is>
          <t>복리후생비</t>
        </is>
      </c>
      <c r="E88" s="93" t="n">
        <v>116551000</v>
      </c>
      <c r="F88" s="93" t="n">
        <v>0</v>
      </c>
      <c r="G88" s="93" t="n">
        <v>474666000</v>
      </c>
      <c r="I88" s="9">
        <f>IF($A88="","",VALUE($A88&amp;"")*12+VALUE($B88&amp;""))</f>
        <v/>
      </c>
      <c r="J88" s="9">
        <f>IF($A88="","",$C88&amp;"")</f>
        <v/>
      </c>
      <c r="K88" s="94">
        <f>IF($A88="",0,($E88-$F88)*설정!$C$23)</f>
        <v/>
      </c>
    </row>
    <row r="89">
      <c r="A89" s="92" t="n">
        <v>2025</v>
      </c>
      <c r="B89" s="92" t="n">
        <v>5</v>
      </c>
      <c r="C89" s="92" t="n">
        <v>62101000</v>
      </c>
      <c r="D89" s="92" t="inlineStr">
        <is>
          <t>여비교통비-국내</t>
        </is>
      </c>
      <c r="E89" s="93" t="n">
        <v>17751000</v>
      </c>
      <c r="F89" s="93" t="n">
        <v>0</v>
      </c>
      <c r="G89" s="93" t="n">
        <v>89410000</v>
      </c>
      <c r="I89" s="9">
        <f>IF($A89="","",VALUE($A89&amp;"")*12+VALUE($B89&amp;""))</f>
        <v/>
      </c>
      <c r="J89" s="9">
        <f>IF($A89="","",$C89&amp;"")</f>
        <v/>
      </c>
      <c r="K89" s="94">
        <f>IF($A89="",0,($E89-$F89)*설정!$C$23)</f>
        <v/>
      </c>
    </row>
    <row r="90">
      <c r="A90" s="92" t="n">
        <v>2025</v>
      </c>
      <c r="B90" s="92" t="n">
        <v>5</v>
      </c>
      <c r="C90" s="92" t="n">
        <v>62102000</v>
      </c>
      <c r="D90" s="92" t="inlineStr">
        <is>
          <t>여비교통비-해외</t>
        </is>
      </c>
      <c r="E90" s="93" t="n">
        <v>3216000</v>
      </c>
      <c r="F90" s="93" t="n">
        <v>0</v>
      </c>
      <c r="G90" s="93" t="n">
        <v>16111000</v>
      </c>
      <c r="I90" s="9">
        <f>IF($A90="","",VALUE($A90&amp;"")*12+VALUE($B90&amp;""))</f>
        <v/>
      </c>
      <c r="J90" s="9">
        <f>IF($A90="","",$C90&amp;"")</f>
        <v/>
      </c>
      <c r="K90" s="94">
        <f>IF($A90="",0,($E90-$F90)*설정!$C$23)</f>
        <v/>
      </c>
    </row>
    <row r="91">
      <c r="A91" s="92" t="n">
        <v>2025</v>
      </c>
      <c r="B91" s="92" t="n">
        <v>5</v>
      </c>
      <c r="C91" s="92" t="n">
        <v>62201000</v>
      </c>
      <c r="D91" s="92" t="inlineStr">
        <is>
          <t>통신비</t>
        </is>
      </c>
      <c r="E91" s="93" t="n">
        <v>34720000</v>
      </c>
      <c r="F91" s="93" t="n">
        <v>0</v>
      </c>
      <c r="G91" s="93" t="n">
        <v>177056000</v>
      </c>
      <c r="I91" s="9">
        <f>IF($A91="","",VALUE($A91&amp;"")*12+VALUE($B91&amp;""))</f>
        <v/>
      </c>
      <c r="J91" s="9">
        <f>IF($A91="","",$C91&amp;"")</f>
        <v/>
      </c>
      <c r="K91" s="94">
        <f>IF($A91="",0,($E91-$F91)*설정!$C$23)</f>
        <v/>
      </c>
    </row>
    <row r="92">
      <c r="A92" s="92" t="n">
        <v>2025</v>
      </c>
      <c r="B92" s="92" t="n">
        <v>5</v>
      </c>
      <c r="C92" s="92" t="n">
        <v>62301000</v>
      </c>
      <c r="D92" s="92" t="inlineStr">
        <is>
          <t>소모품비</t>
        </is>
      </c>
      <c r="E92" s="93" t="n">
        <v>6071000</v>
      </c>
      <c r="F92" s="93" t="n">
        <v>0</v>
      </c>
      <c r="G92" s="93" t="n">
        <v>29896000</v>
      </c>
      <c r="I92" s="9">
        <f>IF($A92="","",VALUE($A92&amp;"")*12+VALUE($B92&amp;""))</f>
        <v/>
      </c>
      <c r="J92" s="9">
        <f>IF($A92="","",$C92&amp;"")</f>
        <v/>
      </c>
      <c r="K92" s="94">
        <f>IF($A92="",0,($E92-$F92)*설정!$C$23)</f>
        <v/>
      </c>
    </row>
    <row r="93">
      <c r="A93" s="92" t="n">
        <v>2025</v>
      </c>
      <c r="B93" s="92" t="n">
        <v>5</v>
      </c>
      <c r="C93" s="92" t="n">
        <v>62401000</v>
      </c>
      <c r="D93" s="92" t="inlineStr">
        <is>
          <t>도서인쇄비</t>
        </is>
      </c>
      <c r="E93" s="93" t="n">
        <v>13710000</v>
      </c>
      <c r="F93" s="93" t="n">
        <v>0</v>
      </c>
      <c r="G93" s="93" t="n">
        <v>68568000</v>
      </c>
      <c r="I93" s="9">
        <f>IF($A93="","",VALUE($A93&amp;"")*12+VALUE($B93&amp;""))</f>
        <v/>
      </c>
      <c r="J93" s="9">
        <f>IF($A93="","",$C93&amp;"")</f>
        <v/>
      </c>
      <c r="K93" s="94">
        <f>IF($A93="",0,($E93-$F93)*설정!$C$23)</f>
        <v/>
      </c>
    </row>
    <row r="94">
      <c r="A94" s="92" t="n">
        <v>2025</v>
      </c>
      <c r="B94" s="92" t="n">
        <v>5</v>
      </c>
      <c r="C94" s="92" t="n">
        <v>62501000</v>
      </c>
      <c r="D94" s="92" t="inlineStr">
        <is>
          <t>회의비</t>
        </is>
      </c>
      <c r="E94" s="93" t="n">
        <v>5669000</v>
      </c>
      <c r="F94" s="93" t="n">
        <v>0</v>
      </c>
      <c r="G94" s="93" t="n">
        <v>27212000</v>
      </c>
      <c r="I94" s="9">
        <f>IF($A94="","",VALUE($A94&amp;"")*12+VALUE($B94&amp;""))</f>
        <v/>
      </c>
      <c r="J94" s="9">
        <f>IF($A94="","",$C94&amp;"")</f>
        <v/>
      </c>
      <c r="K94" s="94">
        <f>IF($A94="",0,($E94-$F94)*설정!$C$23)</f>
        <v/>
      </c>
    </row>
    <row r="95">
      <c r="A95" s="92" t="n">
        <v>2025</v>
      </c>
      <c r="B95" s="92" t="n">
        <v>5</v>
      </c>
      <c r="C95" s="92" t="n">
        <v>62601000</v>
      </c>
      <c r="D95" s="92" t="inlineStr">
        <is>
          <t>업무추진비</t>
        </is>
      </c>
      <c r="E95" s="93" t="n">
        <v>10213000</v>
      </c>
      <c r="F95" s="93" t="n">
        <v>0</v>
      </c>
      <c r="G95" s="93" t="n">
        <v>52767000</v>
      </c>
      <c r="I95" s="9">
        <f>IF($A95="","",VALUE($A95&amp;"")*12+VALUE($B95&amp;""))</f>
        <v/>
      </c>
      <c r="J95" s="9">
        <f>IF($A95="","",$C95&amp;"")</f>
        <v/>
      </c>
      <c r="K95" s="94">
        <f>IF($A95="",0,($E95-$F95)*설정!$C$23)</f>
        <v/>
      </c>
    </row>
    <row r="96">
      <c r="A96" s="92" t="n">
        <v>2025</v>
      </c>
      <c r="B96" s="92" t="n">
        <v>5</v>
      </c>
      <c r="C96" s="92" t="n">
        <v>62701000</v>
      </c>
      <c r="D96" s="92" t="inlineStr">
        <is>
          <t>광고선전비</t>
        </is>
      </c>
      <c r="E96" s="93" t="n">
        <v>140001000</v>
      </c>
      <c r="F96" s="93" t="n">
        <v>0</v>
      </c>
      <c r="G96" s="93" t="n">
        <v>740001000</v>
      </c>
      <c r="I96" s="9">
        <f>IF($A96="","",VALUE($A96&amp;"")*12+VALUE($B96&amp;""))</f>
        <v/>
      </c>
      <c r="J96" s="9">
        <f>IF($A96="","",$C96&amp;"")</f>
        <v/>
      </c>
      <c r="K96" s="94">
        <f>IF($A96="",0,($E96-$F96)*설정!$C$23)</f>
        <v/>
      </c>
    </row>
    <row r="97">
      <c r="A97" s="92" t="n">
        <v>2025</v>
      </c>
      <c r="B97" s="92" t="n">
        <v>5</v>
      </c>
      <c r="C97" s="92" t="n">
        <v>62801000</v>
      </c>
      <c r="D97" s="92" t="inlineStr">
        <is>
          <t>교육훈련비-사내</t>
        </is>
      </c>
      <c r="E97" s="93" t="n">
        <v>12410000</v>
      </c>
      <c r="F97" s="93" t="n">
        <v>0</v>
      </c>
      <c r="G97" s="93" t="n">
        <v>60511000</v>
      </c>
      <c r="I97" s="9">
        <f>IF($A97="","",VALUE($A97&amp;"")*12+VALUE($B97&amp;""))</f>
        <v/>
      </c>
      <c r="J97" s="9">
        <f>IF($A97="","",$C97&amp;"")</f>
        <v/>
      </c>
      <c r="K97" s="94">
        <f>IF($A97="",0,($E97-$F97)*설정!$C$23)</f>
        <v/>
      </c>
    </row>
    <row r="98">
      <c r="A98" s="92" t="n">
        <v>2025</v>
      </c>
      <c r="B98" s="92" t="n">
        <v>5</v>
      </c>
      <c r="C98" s="92" t="n">
        <v>62802000</v>
      </c>
      <c r="D98" s="92" t="inlineStr">
        <is>
          <t>교육훈련비-외부위탁</t>
        </is>
      </c>
      <c r="E98" s="93" t="n">
        <v>13418000</v>
      </c>
      <c r="F98" s="93" t="n">
        <v>0</v>
      </c>
      <c r="G98" s="93" t="n">
        <v>69687000</v>
      </c>
      <c r="I98" s="9">
        <f>IF($A98="","",VALUE($A98&amp;"")*12+VALUE($B98&amp;""))</f>
        <v/>
      </c>
      <c r="J98" s="9">
        <f>IF($A98="","",$C98&amp;"")</f>
        <v/>
      </c>
      <c r="K98" s="94">
        <f>IF($A98="",0,($E98-$F98)*설정!$C$23)</f>
        <v/>
      </c>
    </row>
    <row r="99">
      <c r="A99" s="92" t="n">
        <v>2025</v>
      </c>
      <c r="B99" s="92" t="n">
        <v>5</v>
      </c>
      <c r="C99" s="92" t="n">
        <v>62901000</v>
      </c>
      <c r="D99" s="92" t="inlineStr">
        <is>
          <t>지급수수료-컨설팅</t>
        </is>
      </c>
      <c r="E99" s="93" t="n">
        <v>91374000</v>
      </c>
      <c r="F99" s="93" t="n">
        <v>0</v>
      </c>
      <c r="G99" s="93" t="n">
        <v>489479000</v>
      </c>
      <c r="I99" s="9">
        <f>IF($A99="","",VALUE($A99&amp;"")*12+VALUE($B99&amp;""))</f>
        <v/>
      </c>
      <c r="J99" s="9">
        <f>IF($A99="","",$C99&amp;"")</f>
        <v/>
      </c>
      <c r="K99" s="94">
        <f>IF($A99="",0,($E99-$F99)*설정!$C$23)</f>
        <v/>
      </c>
    </row>
    <row r="100">
      <c r="A100" s="92" t="n">
        <v>2025</v>
      </c>
      <c r="B100" s="92" t="n">
        <v>5</v>
      </c>
      <c r="C100" s="92" t="n">
        <v>62902000</v>
      </c>
      <c r="D100" s="92" t="inlineStr">
        <is>
          <t>지급수수료-기타</t>
        </is>
      </c>
      <c r="E100" s="93" t="n">
        <v>49807000</v>
      </c>
      <c r="F100" s="93" t="n">
        <v>0</v>
      </c>
      <c r="G100" s="93" t="n">
        <v>245094000</v>
      </c>
      <c r="I100" s="9">
        <f>IF($A100="","",VALUE($A100&amp;"")*12+VALUE($B100&amp;""))</f>
        <v/>
      </c>
      <c r="J100" s="9">
        <f>IF($A100="","",$C100&amp;"")</f>
        <v/>
      </c>
      <c r="K100" s="94">
        <f>IF($A100="",0,($E100-$F100)*설정!$C$23)</f>
        <v/>
      </c>
    </row>
    <row r="101">
      <c r="A101" s="92" t="n">
        <v>2025</v>
      </c>
      <c r="B101" s="92" t="n">
        <v>5</v>
      </c>
      <c r="C101" s="92" t="n">
        <v>63001000</v>
      </c>
      <c r="D101" s="92" t="inlineStr">
        <is>
          <t>전산운영비-SW유지보수</t>
        </is>
      </c>
      <c r="E101" s="93" t="n">
        <v>105535000</v>
      </c>
      <c r="F101" s="93" t="n">
        <v>0</v>
      </c>
      <c r="G101" s="93" t="n">
        <v>506101000</v>
      </c>
      <c r="I101" s="9">
        <f>IF($A101="","",VALUE($A101&amp;"")*12+VALUE($B101&amp;""))</f>
        <v/>
      </c>
      <c r="J101" s="9">
        <f>IF($A101="","",$C101&amp;"")</f>
        <v/>
      </c>
      <c r="K101" s="94">
        <f>IF($A101="",0,($E101-$F101)*설정!$C$23)</f>
        <v/>
      </c>
    </row>
    <row r="102">
      <c r="A102" s="92" t="n">
        <v>2025</v>
      </c>
      <c r="B102" s="92" t="n">
        <v>5</v>
      </c>
      <c r="C102" s="92" t="n">
        <v>63002000</v>
      </c>
      <c r="D102" s="92" t="inlineStr">
        <is>
          <t>전산운영비-클라우드</t>
        </is>
      </c>
      <c r="E102" s="93" t="n">
        <v>74493000</v>
      </c>
      <c r="F102" s="93" t="n">
        <v>0</v>
      </c>
      <c r="G102" s="93" t="n">
        <v>366719000</v>
      </c>
      <c r="I102" s="9">
        <f>IF($A102="","",VALUE($A102&amp;"")*12+VALUE($B102&amp;""))</f>
        <v/>
      </c>
      <c r="J102" s="9">
        <f>IF($A102="","",$C102&amp;"")</f>
        <v/>
      </c>
      <c r="K102" s="94">
        <f>IF($A102="",0,($E102-$F102)*설정!$C$23)</f>
        <v/>
      </c>
    </row>
    <row r="103">
      <c r="A103" s="92" t="n">
        <v>2025</v>
      </c>
      <c r="B103" s="92" t="n">
        <v>5</v>
      </c>
      <c r="C103" s="92" t="n">
        <v>63101000</v>
      </c>
      <c r="D103" s="92" t="inlineStr">
        <is>
          <t>임차료</t>
        </is>
      </c>
      <c r="E103" s="93" t="n">
        <v>15226000</v>
      </c>
      <c r="F103" s="93" t="n">
        <v>0</v>
      </c>
      <c r="G103" s="93" t="n">
        <v>76748000</v>
      </c>
      <c r="I103" s="9">
        <f>IF($A103="","",VALUE($A103&amp;"")*12+VALUE($B103&amp;""))</f>
        <v/>
      </c>
      <c r="J103" s="9">
        <f>IF($A103="","",$C103&amp;"")</f>
        <v/>
      </c>
      <c r="K103" s="94">
        <f>IF($A103="",0,($E103-$F103)*설정!$C$23)</f>
        <v/>
      </c>
    </row>
    <row r="104">
      <c r="A104" s="92" t="n">
        <v>2025</v>
      </c>
      <c r="B104" s="92" t="n">
        <v>5</v>
      </c>
      <c r="C104" s="92" t="n">
        <v>63201000</v>
      </c>
      <c r="D104" s="92" t="inlineStr">
        <is>
          <t>차량유지비</t>
        </is>
      </c>
      <c r="E104" s="93" t="n">
        <v>7247000</v>
      </c>
      <c r="F104" s="93" t="n">
        <v>0</v>
      </c>
      <c r="G104" s="93" t="n">
        <v>36185000</v>
      </c>
      <c r="I104" s="9">
        <f>IF($A104="","",VALUE($A104&amp;"")*12+VALUE($B104&amp;""))</f>
        <v/>
      </c>
      <c r="J104" s="9">
        <f>IF($A104="","",$C104&amp;"")</f>
        <v/>
      </c>
      <c r="K104" s="94">
        <f>IF($A104="",0,($E104-$F104)*설정!$C$23)</f>
        <v/>
      </c>
    </row>
    <row r="105">
      <c r="A105" s="92" t="n">
        <v>2025</v>
      </c>
      <c r="B105" s="92" t="n">
        <v>5</v>
      </c>
      <c r="C105" s="92" t="n">
        <v>63501000</v>
      </c>
      <c r="D105" s="92" t="inlineStr">
        <is>
          <t>모집수수료</t>
        </is>
      </c>
      <c r="E105" s="93" t="n">
        <v>1740455000</v>
      </c>
      <c r="F105" s="93" t="n">
        <v>0</v>
      </c>
      <c r="G105" s="93" t="n">
        <v>8567494000</v>
      </c>
      <c r="I105" s="9">
        <f>IF($A105="","",VALUE($A105&amp;"")*12+VALUE($B105&amp;""))</f>
        <v/>
      </c>
      <c r="J105" s="9">
        <f>IF($A105="","",$C105&amp;"")</f>
        <v/>
      </c>
      <c r="K105" s="94">
        <f>IF($A105="",0,($E105-$F105)*설정!$C$23)</f>
        <v/>
      </c>
    </row>
    <row r="106">
      <c r="A106" s="92" t="n">
        <v>2025</v>
      </c>
      <c r="B106" s="92" t="n">
        <v>5</v>
      </c>
      <c r="C106" s="92" t="n">
        <v>63502000</v>
      </c>
      <c r="D106" s="92" t="inlineStr">
        <is>
          <t>유지수수료</t>
        </is>
      </c>
      <c r="E106" s="93" t="n">
        <v>424390000</v>
      </c>
      <c r="F106" s="93" t="n">
        <v>0</v>
      </c>
      <c r="G106" s="93" t="n">
        <v>2135407000</v>
      </c>
      <c r="I106" s="9">
        <f>IF($A106="","",VALUE($A106&amp;"")*12+VALUE($B106&amp;""))</f>
        <v/>
      </c>
      <c r="J106" s="9">
        <f>IF($A106="","",$C106&amp;"")</f>
        <v/>
      </c>
      <c r="K106" s="94">
        <f>IF($A106="",0,($E106-$F106)*설정!$C$23)</f>
        <v/>
      </c>
    </row>
    <row r="107">
      <c r="A107" s="92" t="n">
        <v>2025</v>
      </c>
      <c r="B107" s="92" t="n">
        <v>5</v>
      </c>
      <c r="C107" s="92" t="n">
        <v>63601000</v>
      </c>
      <c r="D107" s="92" t="inlineStr">
        <is>
          <t>손해조사비</t>
        </is>
      </c>
      <c r="E107" s="93" t="n">
        <v>29519000</v>
      </c>
      <c r="F107" s="93" t="n">
        <v>0</v>
      </c>
      <c r="G107" s="93" t="n">
        <v>143618000</v>
      </c>
      <c r="I107" s="9">
        <f>IF($A107="","",VALUE($A107&amp;"")*12+VALUE($B107&amp;""))</f>
        <v/>
      </c>
      <c r="J107" s="9">
        <f>IF($A107="","",$C107&amp;"")</f>
        <v/>
      </c>
      <c r="K107" s="94">
        <f>IF($A107="",0,($E107-$F107)*설정!$C$23)</f>
        <v/>
      </c>
    </row>
    <row r="108">
      <c r="A108" s="92" t="n">
        <v>2025</v>
      </c>
      <c r="B108" s="92" t="n">
        <v>5</v>
      </c>
      <c r="C108" s="92" t="n">
        <v>61101000</v>
      </c>
      <c r="D108" s="92" t="inlineStr">
        <is>
          <t>급여</t>
        </is>
      </c>
      <c r="E108" s="93" t="n">
        <v>781805000</v>
      </c>
      <c r="F108" s="93" t="n">
        <v>0</v>
      </c>
      <c r="G108" s="93" t="n">
        <v>4007813000</v>
      </c>
      <c r="I108" s="9">
        <f>IF($A108="","",VALUE($A108&amp;"")*12+VALUE($B108&amp;""))</f>
        <v/>
      </c>
      <c r="J108" s="9">
        <f>IF($A108="","",$C108&amp;"")</f>
        <v/>
      </c>
      <c r="K108" s="94">
        <f>IF($A108="",0,($E108-$F108)*설정!$C$23)</f>
        <v/>
      </c>
    </row>
    <row r="109">
      <c r="A109" s="92" t="n">
        <v>2025</v>
      </c>
      <c r="B109" s="92" t="n">
        <v>5</v>
      </c>
      <c r="C109" s="92" t="n">
        <v>61201000</v>
      </c>
      <c r="D109" s="92" t="inlineStr">
        <is>
          <t>복리후생비</t>
        </is>
      </c>
      <c r="E109" s="93" t="n">
        <v>118790000</v>
      </c>
      <c r="F109" s="93" t="n">
        <v>0</v>
      </c>
      <c r="G109" s="93" t="n">
        <v>593456000</v>
      </c>
      <c r="I109" s="9">
        <f>IF($A109="","",VALUE($A109&amp;"")*12+VALUE($B109&amp;""))</f>
        <v/>
      </c>
      <c r="J109" s="9">
        <f>IF($A109="","",$C109&amp;"")</f>
        <v/>
      </c>
      <c r="K109" s="94">
        <f>IF($A109="",0,($E109-$F109)*설정!$C$23)</f>
        <v/>
      </c>
    </row>
    <row r="110">
      <c r="A110" s="92" t="n">
        <v>2025</v>
      </c>
      <c r="B110" s="92" t="n">
        <v>6</v>
      </c>
      <c r="C110" s="92" t="n">
        <v>62101000</v>
      </c>
      <c r="D110" s="92" t="inlineStr">
        <is>
          <t>여비교통비-국내</t>
        </is>
      </c>
      <c r="E110" s="93" t="n">
        <v>18047000</v>
      </c>
      <c r="F110" s="93" t="n">
        <v>0</v>
      </c>
      <c r="G110" s="93" t="n">
        <v>107457000</v>
      </c>
      <c r="I110" s="9">
        <f>IF($A110="","",VALUE($A110&amp;"")*12+VALUE($B110&amp;""))</f>
        <v/>
      </c>
      <c r="J110" s="9">
        <f>IF($A110="","",$C110&amp;"")</f>
        <v/>
      </c>
      <c r="K110" s="94">
        <f>IF($A110="",0,($E110-$F110)*설정!$C$23)</f>
        <v/>
      </c>
    </row>
    <row r="111">
      <c r="A111" s="92" t="n">
        <v>2025</v>
      </c>
      <c r="B111" s="92" t="n">
        <v>6</v>
      </c>
      <c r="C111" s="92" t="n">
        <v>62102000</v>
      </c>
      <c r="D111" s="92" t="inlineStr">
        <is>
          <t>여비교통비-해외</t>
        </is>
      </c>
      <c r="E111" s="93" t="n">
        <v>3221000</v>
      </c>
      <c r="F111" s="93" t="n">
        <v>0</v>
      </c>
      <c r="G111" s="93" t="n">
        <v>19332000</v>
      </c>
      <c r="I111" s="9">
        <f>IF($A111="","",VALUE($A111&amp;"")*12+VALUE($B111&amp;""))</f>
        <v/>
      </c>
      <c r="J111" s="9">
        <f>IF($A111="","",$C111&amp;"")</f>
        <v/>
      </c>
      <c r="K111" s="94">
        <f>IF($A111="",0,($E111-$F111)*설정!$C$23)</f>
        <v/>
      </c>
    </row>
    <row r="112">
      <c r="A112" s="92" t="n">
        <v>2025</v>
      </c>
      <c r="B112" s="92" t="n">
        <v>6</v>
      </c>
      <c r="C112" s="92" t="n">
        <v>62201000</v>
      </c>
      <c r="D112" s="92" t="inlineStr">
        <is>
          <t>통신비</t>
        </is>
      </c>
      <c r="E112" s="93" t="n">
        <v>33416000</v>
      </c>
      <c r="F112" s="93" t="n">
        <v>0</v>
      </c>
      <c r="G112" s="93" t="n">
        <v>210472000</v>
      </c>
      <c r="I112" s="9">
        <f>IF($A112="","",VALUE($A112&amp;"")*12+VALUE($B112&amp;""))</f>
        <v/>
      </c>
      <c r="J112" s="9">
        <f>IF($A112="","",$C112&amp;"")</f>
        <v/>
      </c>
      <c r="K112" s="94">
        <f>IF($A112="",0,($E112-$F112)*설정!$C$23)</f>
        <v/>
      </c>
    </row>
    <row r="113">
      <c r="A113" s="92" t="n">
        <v>2025</v>
      </c>
      <c r="B113" s="92" t="n">
        <v>6</v>
      </c>
      <c r="C113" s="92" t="n">
        <v>62301000</v>
      </c>
      <c r="D113" s="92" t="inlineStr">
        <is>
          <t>소모품비</t>
        </is>
      </c>
      <c r="E113" s="93" t="n">
        <v>6291000</v>
      </c>
      <c r="F113" s="93" t="n">
        <v>0</v>
      </c>
      <c r="G113" s="93" t="n">
        <v>36187000</v>
      </c>
      <c r="I113" s="9">
        <f>IF($A113="","",VALUE($A113&amp;"")*12+VALUE($B113&amp;""))</f>
        <v/>
      </c>
      <c r="J113" s="9">
        <f>IF($A113="","",$C113&amp;"")</f>
        <v/>
      </c>
      <c r="K113" s="94">
        <f>IF($A113="",0,($E113-$F113)*설정!$C$23)</f>
        <v/>
      </c>
    </row>
    <row r="114">
      <c r="A114" s="92" t="n">
        <v>2025</v>
      </c>
      <c r="B114" s="92" t="n">
        <v>6</v>
      </c>
      <c r="C114" s="92" t="n">
        <v>62401000</v>
      </c>
      <c r="D114" s="92" t="inlineStr">
        <is>
          <t>도서인쇄비</t>
        </is>
      </c>
      <c r="E114" s="93" t="n">
        <v>14598000</v>
      </c>
      <c r="F114" s="93" t="n">
        <v>0</v>
      </c>
      <c r="G114" s="93" t="n">
        <v>83166000</v>
      </c>
      <c r="I114" s="9">
        <f>IF($A114="","",VALUE($A114&amp;"")*12+VALUE($B114&amp;""))</f>
        <v/>
      </c>
      <c r="J114" s="9">
        <f>IF($A114="","",$C114&amp;"")</f>
        <v/>
      </c>
      <c r="K114" s="94">
        <f>IF($A114="",0,($E114-$F114)*설정!$C$23)</f>
        <v/>
      </c>
    </row>
    <row r="115">
      <c r="A115" s="92" t="n">
        <v>2025</v>
      </c>
      <c r="B115" s="92" t="n">
        <v>6</v>
      </c>
      <c r="C115" s="92" t="n">
        <v>62501000</v>
      </c>
      <c r="D115" s="92" t="inlineStr">
        <is>
          <t>회의비</t>
        </is>
      </c>
      <c r="E115" s="93" t="n">
        <v>5635000</v>
      </c>
      <c r="F115" s="93" t="n">
        <v>0</v>
      </c>
      <c r="G115" s="93" t="n">
        <v>32847000</v>
      </c>
      <c r="I115" s="9">
        <f>IF($A115="","",VALUE($A115&amp;"")*12+VALUE($B115&amp;""))</f>
        <v/>
      </c>
      <c r="J115" s="9">
        <f>IF($A115="","",$C115&amp;"")</f>
        <v/>
      </c>
      <c r="K115" s="94">
        <f>IF($A115="",0,($E115-$F115)*설정!$C$23)</f>
        <v/>
      </c>
    </row>
    <row r="116">
      <c r="A116" s="92" t="n">
        <v>2025</v>
      </c>
      <c r="B116" s="92" t="n">
        <v>6</v>
      </c>
      <c r="C116" s="92" t="n">
        <v>62601000</v>
      </c>
      <c r="D116" s="92" t="inlineStr">
        <is>
          <t>업무추진비</t>
        </is>
      </c>
      <c r="E116" s="93" t="n">
        <v>11059000</v>
      </c>
      <c r="F116" s="93" t="n">
        <v>0</v>
      </c>
      <c r="G116" s="93" t="n">
        <v>63826000</v>
      </c>
      <c r="I116" s="9">
        <f>IF($A116="","",VALUE($A116&amp;"")*12+VALUE($B116&amp;""))</f>
        <v/>
      </c>
      <c r="J116" s="9">
        <f>IF($A116="","",$C116&amp;"")</f>
        <v/>
      </c>
      <c r="K116" s="94">
        <f>IF($A116="",0,($E116-$F116)*설정!$C$23)</f>
        <v/>
      </c>
    </row>
    <row r="117">
      <c r="A117" s="92" t="n">
        <v>2025</v>
      </c>
      <c r="B117" s="92" t="n">
        <v>6</v>
      </c>
      <c r="C117" s="92" t="n">
        <v>62701000</v>
      </c>
      <c r="D117" s="92" t="inlineStr">
        <is>
          <t>광고선전비</t>
        </is>
      </c>
      <c r="E117" s="93" t="n">
        <v>150000000</v>
      </c>
      <c r="F117" s="93" t="n">
        <v>0</v>
      </c>
      <c r="G117" s="93" t="n">
        <v>890001000</v>
      </c>
      <c r="I117" s="9">
        <f>IF($A117="","",VALUE($A117&amp;"")*12+VALUE($B117&amp;""))</f>
        <v/>
      </c>
      <c r="J117" s="9">
        <f>IF($A117="","",$C117&amp;"")</f>
        <v/>
      </c>
      <c r="K117" s="94">
        <f>IF($A117="",0,($E117-$F117)*설정!$C$23)</f>
        <v/>
      </c>
    </row>
    <row r="118">
      <c r="A118" s="92" t="n">
        <v>2025</v>
      </c>
      <c r="B118" s="92" t="n">
        <v>6</v>
      </c>
      <c r="C118" s="92" t="n">
        <v>62801000</v>
      </c>
      <c r="D118" s="92" t="inlineStr">
        <is>
          <t>교육훈련비-사내</t>
        </is>
      </c>
      <c r="E118" s="93" t="n">
        <v>13960000</v>
      </c>
      <c r="F118" s="93" t="n">
        <v>0</v>
      </c>
      <c r="G118" s="93" t="n">
        <v>74471000</v>
      </c>
      <c r="I118" s="9">
        <f>IF($A118="","",VALUE($A118&amp;"")*12+VALUE($B118&amp;""))</f>
        <v/>
      </c>
      <c r="J118" s="9">
        <f>IF($A118="","",$C118&amp;"")</f>
        <v/>
      </c>
      <c r="K118" s="94">
        <f>IF($A118="",0,($E118-$F118)*설정!$C$23)</f>
        <v/>
      </c>
    </row>
    <row r="119">
      <c r="A119" s="92" t="n">
        <v>2025</v>
      </c>
      <c r="B119" s="92" t="n">
        <v>6</v>
      </c>
      <c r="C119" s="92" t="n">
        <v>62802000</v>
      </c>
      <c r="D119" s="92" t="inlineStr">
        <is>
          <t>교육훈련비-외부위탁</t>
        </is>
      </c>
      <c r="E119" s="93" t="n">
        <v>15342000</v>
      </c>
      <c r="F119" s="93" t="n">
        <v>0</v>
      </c>
      <c r="G119" s="93" t="n">
        <v>85029000</v>
      </c>
      <c r="I119" s="9">
        <f>IF($A119="","",VALUE($A119&amp;"")*12+VALUE($B119&amp;""))</f>
        <v/>
      </c>
      <c r="J119" s="9">
        <f>IF($A119="","",$C119&amp;"")</f>
        <v/>
      </c>
      <c r="K119" s="94">
        <f>IF($A119="",0,($E119-$F119)*설정!$C$23)</f>
        <v/>
      </c>
    </row>
    <row r="120">
      <c r="A120" s="92" t="n">
        <v>2025</v>
      </c>
      <c r="B120" s="92" t="n">
        <v>6</v>
      </c>
      <c r="C120" s="92" t="n">
        <v>62901000</v>
      </c>
      <c r="D120" s="92" t="inlineStr">
        <is>
          <t>지급수수료-컨설팅</t>
        </is>
      </c>
      <c r="E120" s="93" t="n">
        <v>96200000</v>
      </c>
      <c r="F120" s="93" t="n">
        <v>0</v>
      </c>
      <c r="G120" s="93" t="n">
        <v>585679000</v>
      </c>
      <c r="I120" s="9">
        <f>IF($A120="","",VALUE($A120&amp;"")*12+VALUE($B120&amp;""))</f>
        <v/>
      </c>
      <c r="J120" s="9">
        <f>IF($A120="","",$C120&amp;"")</f>
        <v/>
      </c>
      <c r="K120" s="94">
        <f>IF($A120="",0,($E120-$F120)*설정!$C$23)</f>
        <v/>
      </c>
    </row>
    <row r="121">
      <c r="A121" s="92" t="n">
        <v>2025</v>
      </c>
      <c r="B121" s="92" t="n">
        <v>6</v>
      </c>
      <c r="C121" s="92" t="n">
        <v>62902000</v>
      </c>
      <c r="D121" s="92" t="inlineStr">
        <is>
          <t>지급수수료-기타</t>
        </is>
      </c>
      <c r="E121" s="93" t="n">
        <v>49710000</v>
      </c>
      <c r="F121" s="93" t="n">
        <v>0</v>
      </c>
      <c r="G121" s="93" t="n">
        <v>294804000</v>
      </c>
      <c r="I121" s="9">
        <f>IF($A121="","",VALUE($A121&amp;"")*12+VALUE($B121&amp;""))</f>
        <v/>
      </c>
      <c r="J121" s="9">
        <f>IF($A121="","",$C121&amp;"")</f>
        <v/>
      </c>
      <c r="K121" s="94">
        <f>IF($A121="",0,($E121-$F121)*설정!$C$23)</f>
        <v/>
      </c>
    </row>
    <row r="122">
      <c r="A122" s="92" t="n">
        <v>2025</v>
      </c>
      <c r="B122" s="92" t="n">
        <v>6</v>
      </c>
      <c r="C122" s="92" t="n">
        <v>63001000</v>
      </c>
      <c r="D122" s="92" t="inlineStr">
        <is>
          <t>전산운영비-SW유지보수</t>
        </is>
      </c>
      <c r="E122" s="93" t="n">
        <v>89022000</v>
      </c>
      <c r="F122" s="93" t="n">
        <v>0</v>
      </c>
      <c r="G122" s="93" t="n">
        <v>595123000</v>
      </c>
      <c r="I122" s="9">
        <f>IF($A122="","",VALUE($A122&amp;"")*12+VALUE($B122&amp;""))</f>
        <v/>
      </c>
      <c r="J122" s="9">
        <f>IF($A122="","",$C122&amp;"")</f>
        <v/>
      </c>
      <c r="K122" s="94">
        <f>IF($A122="",0,($E122-$F122)*설정!$C$23)</f>
        <v/>
      </c>
    </row>
    <row r="123">
      <c r="A123" s="92" t="n">
        <v>2025</v>
      </c>
      <c r="B123" s="92" t="n">
        <v>6</v>
      </c>
      <c r="C123" s="92" t="n">
        <v>63002000</v>
      </c>
      <c r="D123" s="92" t="inlineStr">
        <is>
          <t>전산운영비-클라우드</t>
        </is>
      </c>
      <c r="E123" s="93" t="n">
        <v>75821000</v>
      </c>
      <c r="F123" s="93" t="n">
        <v>0</v>
      </c>
      <c r="G123" s="93" t="n">
        <v>442540000</v>
      </c>
      <c r="I123" s="9">
        <f>IF($A123="","",VALUE($A123&amp;"")*12+VALUE($B123&amp;""))</f>
        <v/>
      </c>
      <c r="J123" s="9">
        <f>IF($A123="","",$C123&amp;"")</f>
        <v/>
      </c>
      <c r="K123" s="94">
        <f>IF($A123="",0,($E123-$F123)*설정!$C$23)</f>
        <v/>
      </c>
    </row>
    <row r="124">
      <c r="A124" s="92" t="n">
        <v>2025</v>
      </c>
      <c r="B124" s="92" t="n">
        <v>6</v>
      </c>
      <c r="C124" s="92" t="n">
        <v>63101000</v>
      </c>
      <c r="D124" s="92" t="inlineStr">
        <is>
          <t>임차료</t>
        </is>
      </c>
      <c r="E124" s="93" t="n">
        <v>15999000</v>
      </c>
      <c r="F124" s="93" t="n">
        <v>0</v>
      </c>
      <c r="G124" s="93" t="n">
        <v>92747000</v>
      </c>
      <c r="I124" s="9">
        <f>IF($A124="","",VALUE($A124&amp;"")*12+VALUE($B124&amp;""))</f>
        <v/>
      </c>
      <c r="J124" s="9">
        <f>IF($A124="","",$C124&amp;"")</f>
        <v/>
      </c>
      <c r="K124" s="94">
        <f>IF($A124="",0,($E124-$F124)*설정!$C$23)</f>
        <v/>
      </c>
    </row>
    <row r="125">
      <c r="A125" s="92" t="n">
        <v>2025</v>
      </c>
      <c r="B125" s="92" t="n">
        <v>6</v>
      </c>
      <c r="C125" s="92" t="n">
        <v>63201000</v>
      </c>
      <c r="D125" s="92" t="inlineStr">
        <is>
          <t>차량유지비</t>
        </is>
      </c>
      <c r="E125" s="93" t="n">
        <v>7442000</v>
      </c>
      <c r="F125" s="93" t="n">
        <v>0</v>
      </c>
      <c r="G125" s="93" t="n">
        <v>43627000</v>
      </c>
      <c r="I125" s="9">
        <f>IF($A125="","",VALUE($A125&amp;"")*12+VALUE($B125&amp;""))</f>
        <v/>
      </c>
      <c r="J125" s="9">
        <f>IF($A125="","",$C125&amp;"")</f>
        <v/>
      </c>
      <c r="K125" s="94">
        <f>IF($A125="",0,($E125-$F125)*설정!$C$23)</f>
        <v/>
      </c>
    </row>
    <row r="126">
      <c r="A126" s="92" t="n">
        <v>2025</v>
      </c>
      <c r="B126" s="92" t="n">
        <v>6</v>
      </c>
      <c r="C126" s="92" t="n">
        <v>63501000</v>
      </c>
      <c r="D126" s="92" t="inlineStr">
        <is>
          <t>모집수수료</t>
        </is>
      </c>
      <c r="E126" s="93" t="n">
        <v>1704655000</v>
      </c>
      <c r="F126" s="93" t="n">
        <v>0</v>
      </c>
      <c r="G126" s="93" t="n">
        <v>10272149000</v>
      </c>
      <c r="I126" s="9">
        <f>IF($A126="","",VALUE($A126&amp;"")*12+VALUE($B126&amp;""))</f>
        <v/>
      </c>
      <c r="J126" s="9">
        <f>IF($A126="","",$C126&amp;"")</f>
        <v/>
      </c>
      <c r="K126" s="94">
        <f>IF($A126="",0,($E126-$F126)*설정!$C$23)</f>
        <v/>
      </c>
    </row>
    <row r="127">
      <c r="A127" s="92" t="n">
        <v>2025</v>
      </c>
      <c r="B127" s="92" t="n">
        <v>6</v>
      </c>
      <c r="C127" s="92" t="n">
        <v>63502000</v>
      </c>
      <c r="D127" s="92" t="inlineStr">
        <is>
          <t>유지수수료</t>
        </is>
      </c>
      <c r="E127" s="93" t="n">
        <v>435154000</v>
      </c>
      <c r="F127" s="93" t="n">
        <v>0</v>
      </c>
      <c r="G127" s="93" t="n">
        <v>2570561000</v>
      </c>
      <c r="I127" s="9">
        <f>IF($A127="","",VALUE($A127&amp;"")*12+VALUE($B127&amp;""))</f>
        <v/>
      </c>
      <c r="J127" s="9">
        <f>IF($A127="","",$C127&amp;"")</f>
        <v/>
      </c>
      <c r="K127" s="94">
        <f>IF($A127="",0,($E127-$F127)*설정!$C$23)</f>
        <v/>
      </c>
    </row>
    <row r="128">
      <c r="A128" s="92" t="n">
        <v>2025</v>
      </c>
      <c r="B128" s="92" t="n">
        <v>6</v>
      </c>
      <c r="C128" s="92" t="n">
        <v>63601000</v>
      </c>
      <c r="D128" s="92" t="inlineStr">
        <is>
          <t>손해조사비</t>
        </is>
      </c>
      <c r="E128" s="93" t="n">
        <v>31431000</v>
      </c>
      <c r="F128" s="93" t="n">
        <v>0</v>
      </c>
      <c r="G128" s="93" t="n">
        <v>175049000</v>
      </c>
      <c r="I128" s="9">
        <f>IF($A128="","",VALUE($A128&amp;"")*12+VALUE($B128&amp;""))</f>
        <v/>
      </c>
      <c r="J128" s="9">
        <f>IF($A128="","",$C128&amp;"")</f>
        <v/>
      </c>
      <c r="K128" s="94">
        <f>IF($A128="",0,($E128-$F128)*설정!$C$23)</f>
        <v/>
      </c>
    </row>
    <row r="129">
      <c r="A129" s="92" t="n">
        <v>2025</v>
      </c>
      <c r="B129" s="92" t="n">
        <v>6</v>
      </c>
      <c r="C129" s="92" t="n">
        <v>61101000</v>
      </c>
      <c r="D129" s="92" t="inlineStr">
        <is>
          <t>급여</t>
        </is>
      </c>
      <c r="E129" s="93" t="n">
        <v>800479000</v>
      </c>
      <c r="F129" s="93" t="n">
        <v>0</v>
      </c>
      <c r="G129" s="93" t="n">
        <v>4808292000</v>
      </c>
      <c r="I129" s="9">
        <f>IF($A129="","",VALUE($A129&amp;"")*12+VALUE($B129&amp;""))</f>
        <v/>
      </c>
      <c r="J129" s="9">
        <f>IF($A129="","",$C129&amp;"")</f>
        <v/>
      </c>
      <c r="K129" s="94">
        <f>IF($A129="",0,($E129-$F129)*설정!$C$23)</f>
        <v/>
      </c>
    </row>
    <row r="130">
      <c r="A130" s="92" t="n">
        <v>2025</v>
      </c>
      <c r="B130" s="92" t="n">
        <v>6</v>
      </c>
      <c r="C130" s="92" t="n">
        <v>61201000</v>
      </c>
      <c r="D130" s="92" t="inlineStr">
        <is>
          <t>복리후생비</t>
        </is>
      </c>
      <c r="E130" s="93" t="n">
        <v>121877000</v>
      </c>
      <c r="F130" s="93" t="n">
        <v>0</v>
      </c>
      <c r="G130" s="93" t="n">
        <v>715333000</v>
      </c>
      <c r="I130" s="9">
        <f>IF($A130="","",VALUE($A130&amp;"")*12+VALUE($B130&amp;""))</f>
        <v/>
      </c>
      <c r="J130" s="9">
        <f>IF($A130="","",$C130&amp;"")</f>
        <v/>
      </c>
      <c r="K130" s="94">
        <f>IF($A130="",0,($E130-$F130)*설정!$C$23)</f>
        <v/>
      </c>
    </row>
    <row r="131">
      <c r="A131" s="92" t="n">
        <v>2025</v>
      </c>
      <c r="B131" s="92" t="n">
        <v>7</v>
      </c>
      <c r="C131" s="92" t="n">
        <v>62101000</v>
      </c>
      <c r="D131" s="92" t="inlineStr">
        <is>
          <t>여비교통비-국내</t>
        </is>
      </c>
      <c r="E131" s="93" t="n">
        <v>16718000</v>
      </c>
      <c r="F131" s="93" t="n">
        <v>0</v>
      </c>
      <c r="G131" s="93" t="n">
        <v>124175000</v>
      </c>
      <c r="I131" s="9">
        <f>IF($A131="","",VALUE($A131&amp;"")*12+VALUE($B131&amp;""))</f>
        <v/>
      </c>
      <c r="J131" s="9">
        <f>IF($A131="","",$C131&amp;"")</f>
        <v/>
      </c>
      <c r="K131" s="94">
        <f>IF($A131="",0,($E131-$F131)*설정!$C$23)</f>
        <v/>
      </c>
    </row>
    <row r="132">
      <c r="A132" s="92" t="n">
        <v>2025</v>
      </c>
      <c r="B132" s="92" t="n">
        <v>7</v>
      </c>
      <c r="C132" s="92" t="n">
        <v>62102000</v>
      </c>
      <c r="D132" s="92" t="inlineStr">
        <is>
          <t>여비교통비-해외</t>
        </is>
      </c>
      <c r="E132" s="93" t="n">
        <v>3035000</v>
      </c>
      <c r="F132" s="93" t="n">
        <v>0</v>
      </c>
      <c r="G132" s="93" t="n">
        <v>22367000</v>
      </c>
      <c r="I132" s="9">
        <f>IF($A132="","",VALUE($A132&amp;"")*12+VALUE($B132&amp;""))</f>
        <v/>
      </c>
      <c r="J132" s="9">
        <f>IF($A132="","",$C132&amp;"")</f>
        <v/>
      </c>
      <c r="K132" s="94">
        <f>IF($A132="",0,($E132-$F132)*설정!$C$23)</f>
        <v/>
      </c>
    </row>
    <row r="133">
      <c r="A133" s="92" t="n">
        <v>2025</v>
      </c>
      <c r="B133" s="92" t="n">
        <v>7</v>
      </c>
      <c r="C133" s="92" t="n">
        <v>62201000</v>
      </c>
      <c r="D133" s="92" t="inlineStr">
        <is>
          <t>통신비</t>
        </is>
      </c>
      <c r="E133" s="93" t="n">
        <v>37325000</v>
      </c>
      <c r="F133" s="93" t="n">
        <v>0</v>
      </c>
      <c r="G133" s="93" t="n">
        <v>247797000</v>
      </c>
      <c r="I133" s="9">
        <f>IF($A133="","",VALUE($A133&amp;"")*12+VALUE($B133&amp;""))</f>
        <v/>
      </c>
      <c r="J133" s="9">
        <f>IF($A133="","",$C133&amp;"")</f>
        <v/>
      </c>
      <c r="K133" s="94">
        <f>IF($A133="",0,($E133-$F133)*설정!$C$23)</f>
        <v/>
      </c>
    </row>
    <row r="134">
      <c r="A134" s="92" t="n">
        <v>2025</v>
      </c>
      <c r="B134" s="92" t="n">
        <v>7</v>
      </c>
      <c r="C134" s="92" t="n">
        <v>62301000</v>
      </c>
      <c r="D134" s="92" t="inlineStr">
        <is>
          <t>소모품비</t>
        </is>
      </c>
      <c r="E134" s="93" t="n">
        <v>5994000</v>
      </c>
      <c r="F134" s="93" t="n">
        <v>0</v>
      </c>
      <c r="G134" s="93" t="n">
        <v>42181000</v>
      </c>
      <c r="I134" s="9">
        <f>IF($A134="","",VALUE($A134&amp;"")*12+VALUE($B134&amp;""))</f>
        <v/>
      </c>
      <c r="J134" s="9">
        <f>IF($A134="","",$C134&amp;"")</f>
        <v/>
      </c>
      <c r="K134" s="94">
        <f>IF($A134="",0,($E134-$F134)*설정!$C$23)</f>
        <v/>
      </c>
    </row>
    <row r="135">
      <c r="A135" s="92" t="n">
        <v>2025</v>
      </c>
      <c r="B135" s="92" t="n">
        <v>7</v>
      </c>
      <c r="C135" s="92" t="n">
        <v>62401000</v>
      </c>
      <c r="D135" s="92" t="inlineStr">
        <is>
          <t>도서인쇄비</t>
        </is>
      </c>
      <c r="E135" s="93" t="n">
        <v>12740000</v>
      </c>
      <c r="F135" s="93" t="n">
        <v>0</v>
      </c>
      <c r="G135" s="93" t="n">
        <v>95906000</v>
      </c>
      <c r="I135" s="9">
        <f>IF($A135="","",VALUE($A135&amp;"")*12+VALUE($B135&amp;""))</f>
        <v/>
      </c>
      <c r="J135" s="9">
        <f>IF($A135="","",$C135&amp;"")</f>
        <v/>
      </c>
      <c r="K135" s="94">
        <f>IF($A135="",0,($E135-$F135)*설정!$C$23)</f>
        <v/>
      </c>
    </row>
    <row r="136">
      <c r="A136" s="92" t="n">
        <v>2025</v>
      </c>
      <c r="B136" s="92" t="n">
        <v>7</v>
      </c>
      <c r="C136" s="92" t="n">
        <v>62501000</v>
      </c>
      <c r="D136" s="92" t="inlineStr">
        <is>
          <t>회의비</t>
        </is>
      </c>
      <c r="E136" s="93" t="n">
        <v>5569000</v>
      </c>
      <c r="F136" s="93" t="n">
        <v>0</v>
      </c>
      <c r="G136" s="93" t="n">
        <v>38416000</v>
      </c>
      <c r="I136" s="9">
        <f>IF($A136="","",VALUE($A136&amp;"")*12+VALUE($B136&amp;""))</f>
        <v/>
      </c>
      <c r="J136" s="9">
        <f>IF($A136="","",$C136&amp;"")</f>
        <v/>
      </c>
      <c r="K136" s="94">
        <f>IF($A136="",0,($E136-$F136)*설정!$C$23)</f>
        <v/>
      </c>
    </row>
    <row r="137">
      <c r="A137" s="92" t="n">
        <v>2025</v>
      </c>
      <c r="B137" s="92" t="n">
        <v>7</v>
      </c>
      <c r="C137" s="92" t="n">
        <v>62601000</v>
      </c>
      <c r="D137" s="92" t="inlineStr">
        <is>
          <t>업무추진비</t>
        </is>
      </c>
      <c r="E137" s="93" t="n">
        <v>10632000</v>
      </c>
      <c r="F137" s="93" t="n">
        <v>0</v>
      </c>
      <c r="G137" s="93" t="n">
        <v>74458000</v>
      </c>
      <c r="I137" s="9">
        <f>IF($A137="","",VALUE($A137&amp;"")*12+VALUE($B137&amp;""))</f>
        <v/>
      </c>
      <c r="J137" s="9">
        <f>IF($A137="","",$C137&amp;"")</f>
        <v/>
      </c>
      <c r="K137" s="94">
        <f>IF($A137="",0,($E137-$F137)*설정!$C$23)</f>
        <v/>
      </c>
    </row>
    <row r="138">
      <c r="A138" s="92" t="n">
        <v>2025</v>
      </c>
      <c r="B138" s="92" t="n">
        <v>7</v>
      </c>
      <c r="C138" s="92" t="n">
        <v>62701000</v>
      </c>
      <c r="D138" s="92" t="inlineStr">
        <is>
          <t>광고선전비</t>
        </is>
      </c>
      <c r="E138" s="93" t="n">
        <v>160000000</v>
      </c>
      <c r="F138" s="93" t="n">
        <v>0</v>
      </c>
      <c r="G138" s="93" t="n">
        <v>1050001000</v>
      </c>
      <c r="I138" s="9">
        <f>IF($A138="","",VALUE($A138&amp;"")*12+VALUE($B138&amp;""))</f>
        <v/>
      </c>
      <c r="J138" s="9">
        <f>IF($A138="","",$C138&amp;"")</f>
        <v/>
      </c>
      <c r="K138" s="94">
        <f>IF($A138="",0,($E138-$F138)*설정!$C$23)</f>
        <v/>
      </c>
    </row>
    <row r="139">
      <c r="A139" s="92" t="n">
        <v>2025</v>
      </c>
      <c r="B139" s="92" t="n">
        <v>7</v>
      </c>
      <c r="C139" s="92" t="n">
        <v>62801000</v>
      </c>
      <c r="D139" s="92" t="inlineStr">
        <is>
          <t>교육훈련비-사내</t>
        </is>
      </c>
      <c r="E139" s="93" t="n">
        <v>12898000</v>
      </c>
      <c r="F139" s="93" t="n">
        <v>0</v>
      </c>
      <c r="G139" s="93" t="n">
        <v>87369000</v>
      </c>
      <c r="I139" s="9">
        <f>IF($A139="","",VALUE($A139&amp;"")*12+VALUE($B139&amp;""))</f>
        <v/>
      </c>
      <c r="J139" s="9">
        <f>IF($A139="","",$C139&amp;"")</f>
        <v/>
      </c>
      <c r="K139" s="94">
        <f>IF($A139="",0,($E139-$F139)*설정!$C$23)</f>
        <v/>
      </c>
    </row>
    <row r="140">
      <c r="A140" s="92" t="n">
        <v>2025</v>
      </c>
      <c r="B140" s="92" t="n">
        <v>7</v>
      </c>
      <c r="C140" s="92" t="n">
        <v>62802000</v>
      </c>
      <c r="D140" s="92" t="inlineStr">
        <is>
          <t>교육훈련비-외부위탁</t>
        </is>
      </c>
      <c r="E140" s="93" t="n">
        <v>12878000</v>
      </c>
      <c r="F140" s="93" t="n">
        <v>0</v>
      </c>
      <c r="G140" s="93" t="n">
        <v>97907000</v>
      </c>
      <c r="I140" s="9">
        <f>IF($A140="","",VALUE($A140&amp;"")*12+VALUE($B140&amp;""))</f>
        <v/>
      </c>
      <c r="J140" s="9">
        <f>IF($A140="","",$C140&amp;"")</f>
        <v/>
      </c>
      <c r="K140" s="94">
        <f>IF($A140="",0,($E140-$F140)*설정!$C$23)</f>
        <v/>
      </c>
    </row>
    <row r="141">
      <c r="A141" s="92" t="n">
        <v>2025</v>
      </c>
      <c r="B141" s="92" t="n">
        <v>7</v>
      </c>
      <c r="C141" s="92" t="n">
        <v>62901000</v>
      </c>
      <c r="D141" s="92" t="inlineStr">
        <is>
          <t>지급수수료-컨설팅</t>
        </is>
      </c>
      <c r="E141" s="93" t="n">
        <v>95328000</v>
      </c>
      <c r="F141" s="93" t="n">
        <v>0</v>
      </c>
      <c r="G141" s="93" t="n">
        <v>681007000</v>
      </c>
      <c r="I141" s="9">
        <f>IF($A141="","",VALUE($A141&amp;"")*12+VALUE($B141&amp;""))</f>
        <v/>
      </c>
      <c r="J141" s="9">
        <f>IF($A141="","",$C141&amp;"")</f>
        <v/>
      </c>
      <c r="K141" s="94">
        <f>IF($A141="",0,($E141-$F141)*설정!$C$23)</f>
        <v/>
      </c>
    </row>
    <row r="142">
      <c r="A142" s="92" t="n">
        <v>2025</v>
      </c>
      <c r="B142" s="92" t="n">
        <v>7</v>
      </c>
      <c r="C142" s="92" t="n">
        <v>62902000</v>
      </c>
      <c r="D142" s="92" t="inlineStr">
        <is>
          <t>지급수수료-기타</t>
        </is>
      </c>
      <c r="E142" s="93" t="n">
        <v>48220000</v>
      </c>
      <c r="F142" s="93" t="n">
        <v>0</v>
      </c>
      <c r="G142" s="93" t="n">
        <v>343024000</v>
      </c>
      <c r="I142" s="9">
        <f>IF($A142="","",VALUE($A142&amp;"")*12+VALUE($B142&amp;""))</f>
        <v/>
      </c>
      <c r="J142" s="9">
        <f>IF($A142="","",$C142&amp;"")</f>
        <v/>
      </c>
      <c r="K142" s="94">
        <f>IF($A142="",0,($E142-$F142)*설정!$C$23)</f>
        <v/>
      </c>
    </row>
    <row r="143">
      <c r="A143" s="92" t="n">
        <v>2025</v>
      </c>
      <c r="B143" s="92" t="n">
        <v>7</v>
      </c>
      <c r="C143" s="92" t="n">
        <v>63001000</v>
      </c>
      <c r="D143" s="92" t="inlineStr">
        <is>
          <t>전산운영비-SW유지보수</t>
        </is>
      </c>
      <c r="E143" s="93" t="n">
        <v>101190000</v>
      </c>
      <c r="F143" s="93" t="n">
        <v>0</v>
      </c>
      <c r="G143" s="93" t="n">
        <v>696313000</v>
      </c>
      <c r="I143" s="9">
        <f>IF($A143="","",VALUE($A143&amp;"")*12+VALUE($B143&amp;""))</f>
        <v/>
      </c>
      <c r="J143" s="9">
        <f>IF($A143="","",$C143&amp;"")</f>
        <v/>
      </c>
      <c r="K143" s="94">
        <f>IF($A143="",0,($E143-$F143)*설정!$C$23)</f>
        <v/>
      </c>
    </row>
    <row r="144">
      <c r="A144" s="92" t="n">
        <v>2025</v>
      </c>
      <c r="B144" s="92" t="n">
        <v>7</v>
      </c>
      <c r="C144" s="92" t="n">
        <v>63002000</v>
      </c>
      <c r="D144" s="92" t="inlineStr">
        <is>
          <t>전산운영비-클라우드</t>
        </is>
      </c>
      <c r="E144" s="93" t="n">
        <v>75677000</v>
      </c>
      <c r="F144" s="93" t="n">
        <v>0</v>
      </c>
      <c r="G144" s="93" t="n">
        <v>518217000</v>
      </c>
      <c r="I144" s="9">
        <f>IF($A144="","",VALUE($A144&amp;"")*12+VALUE($B144&amp;""))</f>
        <v/>
      </c>
      <c r="J144" s="9">
        <f>IF($A144="","",$C144&amp;"")</f>
        <v/>
      </c>
      <c r="K144" s="94">
        <f>IF($A144="",0,($E144-$F144)*설정!$C$23)</f>
        <v/>
      </c>
    </row>
    <row r="145">
      <c r="A145" s="92" t="n">
        <v>2025</v>
      </c>
      <c r="B145" s="92" t="n">
        <v>7</v>
      </c>
      <c r="C145" s="92" t="n">
        <v>63101000</v>
      </c>
      <c r="D145" s="92" t="inlineStr">
        <is>
          <t>임차료</t>
        </is>
      </c>
      <c r="E145" s="93" t="n">
        <v>15714000</v>
      </c>
      <c r="F145" s="93" t="n">
        <v>0</v>
      </c>
      <c r="G145" s="93" t="n">
        <v>108461000</v>
      </c>
      <c r="I145" s="9">
        <f>IF($A145="","",VALUE($A145&amp;"")*12+VALUE($B145&amp;""))</f>
        <v/>
      </c>
      <c r="J145" s="9">
        <f>IF($A145="","",$C145&amp;"")</f>
        <v/>
      </c>
      <c r="K145" s="94">
        <f>IF($A145="",0,($E145-$F145)*설정!$C$23)</f>
        <v/>
      </c>
    </row>
    <row r="146">
      <c r="A146" s="92" t="n">
        <v>2025</v>
      </c>
      <c r="B146" s="92" t="n">
        <v>7</v>
      </c>
      <c r="C146" s="92" t="n">
        <v>63201000</v>
      </c>
      <c r="D146" s="92" t="inlineStr">
        <is>
          <t>차량유지비</t>
        </is>
      </c>
      <c r="E146" s="93" t="n">
        <v>7323000</v>
      </c>
      <c r="F146" s="93" t="n">
        <v>0</v>
      </c>
      <c r="G146" s="93" t="n">
        <v>50950000</v>
      </c>
      <c r="I146" s="9">
        <f>IF($A146="","",VALUE($A146&amp;"")*12+VALUE($B146&amp;""))</f>
        <v/>
      </c>
      <c r="J146" s="9">
        <f>IF($A146="","",$C146&amp;"")</f>
        <v/>
      </c>
      <c r="K146" s="94">
        <f>IF($A146="",0,($E146-$F146)*설정!$C$23)</f>
        <v/>
      </c>
    </row>
    <row r="147">
      <c r="A147" s="92" t="n">
        <v>2025</v>
      </c>
      <c r="B147" s="92" t="n">
        <v>7</v>
      </c>
      <c r="C147" s="92" t="n">
        <v>63501000</v>
      </c>
      <c r="D147" s="92" t="inlineStr">
        <is>
          <t>모집수수료</t>
        </is>
      </c>
      <c r="E147" s="93" t="n">
        <v>1719497000</v>
      </c>
      <c r="F147" s="93" t="n">
        <v>0</v>
      </c>
      <c r="G147" s="93" t="n">
        <v>11991646000</v>
      </c>
      <c r="I147" s="9">
        <f>IF($A147="","",VALUE($A147&amp;"")*12+VALUE($B147&amp;""))</f>
        <v/>
      </c>
      <c r="J147" s="9">
        <f>IF($A147="","",$C147&amp;"")</f>
        <v/>
      </c>
      <c r="K147" s="94">
        <f>IF($A147="",0,($E147-$F147)*설정!$C$23)</f>
        <v/>
      </c>
    </row>
    <row r="148">
      <c r="A148" s="92" t="n">
        <v>2025</v>
      </c>
      <c r="B148" s="92" t="n">
        <v>7</v>
      </c>
      <c r="C148" s="92" t="n">
        <v>63502000</v>
      </c>
      <c r="D148" s="92" t="inlineStr">
        <is>
          <t>유지수수료</t>
        </is>
      </c>
      <c r="E148" s="93" t="n">
        <v>426945000</v>
      </c>
      <c r="F148" s="93" t="n">
        <v>0</v>
      </c>
      <c r="G148" s="93" t="n">
        <v>2997506000</v>
      </c>
      <c r="I148" s="9">
        <f>IF($A148="","",VALUE($A148&amp;"")*12+VALUE($B148&amp;""))</f>
        <v/>
      </c>
      <c r="J148" s="9">
        <f>IF($A148="","",$C148&amp;"")</f>
        <v/>
      </c>
      <c r="K148" s="94">
        <f>IF($A148="",0,($E148-$F148)*설정!$C$23)</f>
        <v/>
      </c>
    </row>
    <row r="149">
      <c r="A149" s="92" t="n">
        <v>2025</v>
      </c>
      <c r="B149" s="92" t="n">
        <v>7</v>
      </c>
      <c r="C149" s="92" t="n">
        <v>63601000</v>
      </c>
      <c r="D149" s="92" t="inlineStr">
        <is>
          <t>손해조사비</t>
        </is>
      </c>
      <c r="E149" s="93" t="n">
        <v>28816000</v>
      </c>
      <c r="F149" s="93" t="n">
        <v>0</v>
      </c>
      <c r="G149" s="93" t="n">
        <v>203865000</v>
      </c>
      <c r="I149" s="9">
        <f>IF($A149="","",VALUE($A149&amp;"")*12+VALUE($B149&amp;""))</f>
        <v/>
      </c>
      <c r="J149" s="9">
        <f>IF($A149="","",$C149&amp;"")</f>
        <v/>
      </c>
      <c r="K149" s="94">
        <f>IF($A149="",0,($E149-$F149)*설정!$C$23)</f>
        <v/>
      </c>
    </row>
    <row r="150">
      <c r="A150" s="92" t="n">
        <v>2025</v>
      </c>
      <c r="B150" s="92" t="n">
        <v>7</v>
      </c>
      <c r="C150" s="92" t="n">
        <v>61101000</v>
      </c>
      <c r="D150" s="92" t="inlineStr">
        <is>
          <t>급여</t>
        </is>
      </c>
      <c r="E150" s="93" t="n">
        <v>783668000</v>
      </c>
      <c r="F150" s="93" t="n">
        <v>0</v>
      </c>
      <c r="G150" s="93" t="n">
        <v>5591960000</v>
      </c>
      <c r="I150" s="9">
        <f>IF($A150="","",VALUE($A150&amp;"")*12+VALUE($B150&amp;""))</f>
        <v/>
      </c>
      <c r="J150" s="9">
        <f>IF($A150="","",$C150&amp;"")</f>
        <v/>
      </c>
      <c r="K150" s="94">
        <f>IF($A150="",0,($E150-$F150)*설정!$C$23)</f>
        <v/>
      </c>
    </row>
    <row r="151">
      <c r="A151" s="92" t="n">
        <v>2025</v>
      </c>
      <c r="B151" s="92" t="n">
        <v>7</v>
      </c>
      <c r="C151" s="92" t="n">
        <v>61201000</v>
      </c>
      <c r="D151" s="92" t="inlineStr">
        <is>
          <t>복리후생비</t>
        </is>
      </c>
      <c r="E151" s="93" t="n">
        <v>121527000</v>
      </c>
      <c r="F151" s="93" t="n">
        <v>0</v>
      </c>
      <c r="G151" s="93" t="n">
        <v>836860000</v>
      </c>
      <c r="I151" s="9">
        <f>IF($A151="","",VALUE($A151&amp;"")*12+VALUE($B151&amp;""))</f>
        <v/>
      </c>
      <c r="J151" s="9">
        <f>IF($A151="","",$C151&amp;"")</f>
        <v/>
      </c>
      <c r="K151" s="94">
        <f>IF($A151="",0,($E151-$F151)*설정!$C$23)</f>
        <v/>
      </c>
    </row>
    <row r="152">
      <c r="A152" s="92" t="n">
        <v>2025</v>
      </c>
      <c r="B152" s="92" t="n">
        <v>8</v>
      </c>
      <c r="C152" s="92" t="n">
        <v>62101000</v>
      </c>
      <c r="D152" s="92" t="inlineStr">
        <is>
          <t>여비교통비-국내</t>
        </is>
      </c>
      <c r="E152" s="93" t="n">
        <v>17438000</v>
      </c>
      <c r="F152" s="93" t="n">
        <v>0</v>
      </c>
      <c r="G152" s="93" t="n">
        <v>141613000</v>
      </c>
      <c r="I152" s="9">
        <f>IF($A152="","",VALUE($A152&amp;"")*12+VALUE($B152&amp;""))</f>
        <v/>
      </c>
      <c r="J152" s="9">
        <f>IF($A152="","",$C152&amp;"")</f>
        <v/>
      </c>
      <c r="K152" s="94">
        <f>IF($A152="",0,($E152-$F152)*설정!$C$23)</f>
        <v/>
      </c>
    </row>
    <row r="153">
      <c r="A153" s="92" t="n">
        <v>2025</v>
      </c>
      <c r="B153" s="92" t="n">
        <v>8</v>
      </c>
      <c r="C153" s="92" t="n">
        <v>62102000</v>
      </c>
      <c r="D153" s="92" t="inlineStr">
        <is>
          <t>여비교통비-해외</t>
        </is>
      </c>
      <c r="E153" s="93" t="n">
        <v>3180000</v>
      </c>
      <c r="F153" s="93" t="n">
        <v>0</v>
      </c>
      <c r="G153" s="93" t="n">
        <v>25547000</v>
      </c>
      <c r="I153" s="9">
        <f>IF($A153="","",VALUE($A153&amp;"")*12+VALUE($B153&amp;""))</f>
        <v/>
      </c>
      <c r="J153" s="9">
        <f>IF($A153="","",$C153&amp;"")</f>
        <v/>
      </c>
      <c r="K153" s="94">
        <f>IF($A153="",0,($E153-$F153)*설정!$C$23)</f>
        <v/>
      </c>
    </row>
    <row r="154">
      <c r="A154" s="92" t="n">
        <v>2025</v>
      </c>
      <c r="B154" s="92" t="n">
        <v>8</v>
      </c>
      <c r="C154" s="92" t="n">
        <v>62201000</v>
      </c>
      <c r="D154" s="92" t="inlineStr">
        <is>
          <t>통신비</t>
        </is>
      </c>
      <c r="E154" s="93" t="n">
        <v>35489000</v>
      </c>
      <c r="F154" s="93" t="n">
        <v>0</v>
      </c>
      <c r="G154" s="93" t="n">
        <v>283286000</v>
      </c>
      <c r="I154" s="9">
        <f>IF($A154="","",VALUE($A154&amp;"")*12+VALUE($B154&amp;""))</f>
        <v/>
      </c>
      <c r="J154" s="9">
        <f>IF($A154="","",$C154&amp;"")</f>
        <v/>
      </c>
      <c r="K154" s="94">
        <f>IF($A154="",0,($E154-$F154)*설정!$C$23)</f>
        <v/>
      </c>
    </row>
    <row r="155">
      <c r="A155" s="92" t="n">
        <v>2025</v>
      </c>
      <c r="B155" s="92" t="n">
        <v>8</v>
      </c>
      <c r="C155" s="92" t="n">
        <v>62301000</v>
      </c>
      <c r="D155" s="92" t="inlineStr">
        <is>
          <t>소모품비</t>
        </is>
      </c>
      <c r="E155" s="93" t="n">
        <v>6178000</v>
      </c>
      <c r="F155" s="93" t="n">
        <v>0</v>
      </c>
      <c r="G155" s="93" t="n">
        <v>48359000</v>
      </c>
      <c r="I155" s="9">
        <f>IF($A155="","",VALUE($A155&amp;"")*12+VALUE($B155&amp;""))</f>
        <v/>
      </c>
      <c r="J155" s="9">
        <f>IF($A155="","",$C155&amp;"")</f>
        <v/>
      </c>
      <c r="K155" s="94">
        <f>IF($A155="",0,($E155-$F155)*설정!$C$23)</f>
        <v/>
      </c>
    </row>
    <row r="156">
      <c r="A156" s="92" t="n">
        <v>2025</v>
      </c>
      <c r="B156" s="92" t="n">
        <v>8</v>
      </c>
      <c r="C156" s="92" t="n">
        <v>62401000</v>
      </c>
      <c r="D156" s="92" t="inlineStr">
        <is>
          <t>도서인쇄비</t>
        </is>
      </c>
      <c r="E156" s="93" t="n">
        <v>13801000</v>
      </c>
      <c r="F156" s="93" t="n">
        <v>0</v>
      </c>
      <c r="G156" s="93" t="n">
        <v>109707000</v>
      </c>
      <c r="I156" s="9">
        <f>IF($A156="","",VALUE($A156&amp;"")*12+VALUE($B156&amp;""))</f>
        <v/>
      </c>
      <c r="J156" s="9">
        <f>IF($A156="","",$C156&amp;"")</f>
        <v/>
      </c>
      <c r="K156" s="94">
        <f>IF($A156="",0,($E156-$F156)*설정!$C$23)</f>
        <v/>
      </c>
    </row>
    <row r="157">
      <c r="A157" s="92" t="n">
        <v>2025</v>
      </c>
      <c r="B157" s="92" t="n">
        <v>8</v>
      </c>
      <c r="C157" s="92" t="n">
        <v>62501000</v>
      </c>
      <c r="D157" s="92" t="inlineStr">
        <is>
          <t>회의비</t>
        </is>
      </c>
      <c r="E157" s="93" t="n">
        <v>5397000</v>
      </c>
      <c r="F157" s="93" t="n">
        <v>0</v>
      </c>
      <c r="G157" s="93" t="n">
        <v>43813000</v>
      </c>
      <c r="I157" s="9">
        <f>IF($A157="","",VALUE($A157&amp;"")*12+VALUE($B157&amp;""))</f>
        <v/>
      </c>
      <c r="J157" s="9">
        <f>IF($A157="","",$C157&amp;"")</f>
        <v/>
      </c>
      <c r="K157" s="94">
        <f>IF($A157="",0,($E157-$F157)*설정!$C$23)</f>
        <v/>
      </c>
    </row>
    <row r="158">
      <c r="A158" s="92" t="n">
        <v>2025</v>
      </c>
      <c r="B158" s="92" t="n">
        <v>8</v>
      </c>
      <c r="C158" s="92" t="n">
        <v>62601000</v>
      </c>
      <c r="D158" s="92" t="inlineStr">
        <is>
          <t>업무추진비</t>
        </is>
      </c>
      <c r="E158" s="93" t="n">
        <v>10199000</v>
      </c>
      <c r="F158" s="93" t="n">
        <v>0</v>
      </c>
      <c r="G158" s="93" t="n">
        <v>84657000</v>
      </c>
      <c r="I158" s="9">
        <f>IF($A158="","",VALUE($A158&amp;"")*12+VALUE($B158&amp;""))</f>
        <v/>
      </c>
      <c r="J158" s="9">
        <f>IF($A158="","",$C158&amp;"")</f>
        <v/>
      </c>
      <c r="K158" s="94">
        <f>IF($A158="",0,($E158-$F158)*설정!$C$23)</f>
        <v/>
      </c>
    </row>
    <row r="159">
      <c r="A159" s="92" t="n">
        <v>2025</v>
      </c>
      <c r="B159" s="92" t="n">
        <v>8</v>
      </c>
      <c r="C159" s="92" t="n">
        <v>62701000</v>
      </c>
      <c r="D159" s="92" t="inlineStr">
        <is>
          <t>광고선전비</t>
        </is>
      </c>
      <c r="E159" s="93" t="n">
        <v>150000000</v>
      </c>
      <c r="F159" s="93" t="n">
        <v>0</v>
      </c>
      <c r="G159" s="93" t="n">
        <v>1200001000</v>
      </c>
      <c r="I159" s="9">
        <f>IF($A159="","",VALUE($A159&amp;"")*12+VALUE($B159&amp;""))</f>
        <v/>
      </c>
      <c r="J159" s="9">
        <f>IF($A159="","",$C159&amp;"")</f>
        <v/>
      </c>
      <c r="K159" s="94">
        <f>IF($A159="",0,($E159-$F159)*설정!$C$23)</f>
        <v/>
      </c>
    </row>
    <row r="160">
      <c r="A160" s="92" t="n">
        <v>2025</v>
      </c>
      <c r="B160" s="92" t="n">
        <v>8</v>
      </c>
      <c r="C160" s="92" t="n">
        <v>62801000</v>
      </c>
      <c r="D160" s="92" t="inlineStr">
        <is>
          <t>교육훈련비-사내</t>
        </is>
      </c>
      <c r="E160" s="93" t="n">
        <v>13343000</v>
      </c>
      <c r="F160" s="93" t="n">
        <v>0</v>
      </c>
      <c r="G160" s="93" t="n">
        <v>100712000</v>
      </c>
      <c r="I160" s="9">
        <f>IF($A160="","",VALUE($A160&amp;"")*12+VALUE($B160&amp;""))</f>
        <v/>
      </c>
      <c r="J160" s="9">
        <f>IF($A160="","",$C160&amp;"")</f>
        <v/>
      </c>
      <c r="K160" s="94">
        <f>IF($A160="",0,($E160-$F160)*설정!$C$23)</f>
        <v/>
      </c>
    </row>
    <row r="161">
      <c r="A161" s="92" t="n">
        <v>2025</v>
      </c>
      <c r="B161" s="92" t="n">
        <v>8</v>
      </c>
      <c r="C161" s="92" t="n">
        <v>62802000</v>
      </c>
      <c r="D161" s="92" t="inlineStr">
        <is>
          <t>교육훈련비-외부위탁</t>
        </is>
      </c>
      <c r="E161" s="93" t="n">
        <v>14333000</v>
      </c>
      <c r="F161" s="93" t="n">
        <v>0</v>
      </c>
      <c r="G161" s="93" t="n">
        <v>112240000</v>
      </c>
      <c r="I161" s="9">
        <f>IF($A161="","",VALUE($A161&amp;"")*12+VALUE($B161&amp;""))</f>
        <v/>
      </c>
      <c r="J161" s="9">
        <f>IF($A161="","",$C161&amp;"")</f>
        <v/>
      </c>
      <c r="K161" s="94">
        <f>IF($A161="",0,($E161-$F161)*설정!$C$23)</f>
        <v/>
      </c>
    </row>
    <row r="162">
      <c r="A162" s="92" t="n">
        <v>2025</v>
      </c>
      <c r="B162" s="92" t="n">
        <v>8</v>
      </c>
      <c r="C162" s="92" t="n">
        <v>62901000</v>
      </c>
      <c r="D162" s="92" t="inlineStr">
        <is>
          <t>지급수수료-컨설팅</t>
        </is>
      </c>
      <c r="E162" s="93" t="n">
        <v>95317000</v>
      </c>
      <c r="F162" s="93" t="n">
        <v>0</v>
      </c>
      <c r="G162" s="93" t="n">
        <v>776324000</v>
      </c>
      <c r="I162" s="9">
        <f>IF($A162="","",VALUE($A162&amp;"")*12+VALUE($B162&amp;""))</f>
        <v/>
      </c>
      <c r="J162" s="9">
        <f>IF($A162="","",$C162&amp;"")</f>
        <v/>
      </c>
      <c r="K162" s="94">
        <f>IF($A162="",0,($E162-$F162)*설정!$C$23)</f>
        <v/>
      </c>
    </row>
    <row r="163">
      <c r="A163" s="92" t="n">
        <v>2025</v>
      </c>
      <c r="B163" s="92" t="n">
        <v>8</v>
      </c>
      <c r="C163" s="92" t="n">
        <v>62902000</v>
      </c>
      <c r="D163" s="92" t="inlineStr">
        <is>
          <t>지급수수료-기타</t>
        </is>
      </c>
      <c r="E163" s="93" t="n">
        <v>49233000</v>
      </c>
      <c r="F163" s="93" t="n">
        <v>0</v>
      </c>
      <c r="G163" s="93" t="n">
        <v>392257000</v>
      </c>
      <c r="I163" s="9">
        <f>IF($A163="","",VALUE($A163&amp;"")*12+VALUE($B163&amp;""))</f>
        <v/>
      </c>
      <c r="J163" s="9">
        <f>IF($A163="","",$C163&amp;"")</f>
        <v/>
      </c>
      <c r="K163" s="94">
        <f>IF($A163="",0,($E163-$F163)*설정!$C$23)</f>
        <v/>
      </c>
    </row>
    <row r="164">
      <c r="A164" s="92" t="n">
        <v>2025</v>
      </c>
      <c r="B164" s="92" t="n">
        <v>8</v>
      </c>
      <c r="C164" s="92" t="n">
        <v>63001000</v>
      </c>
      <c r="D164" s="92" t="inlineStr">
        <is>
          <t>전산운영비-SW유지보수</t>
        </is>
      </c>
      <c r="E164" s="93" t="n">
        <v>103168000</v>
      </c>
      <c r="F164" s="93" t="n">
        <v>0</v>
      </c>
      <c r="G164" s="93" t="n">
        <v>799481000</v>
      </c>
      <c r="I164" s="9">
        <f>IF($A164="","",VALUE($A164&amp;"")*12+VALUE($B164&amp;""))</f>
        <v/>
      </c>
      <c r="J164" s="9">
        <f>IF($A164="","",$C164&amp;"")</f>
        <v/>
      </c>
      <c r="K164" s="94">
        <f>IF($A164="",0,($E164-$F164)*설정!$C$23)</f>
        <v/>
      </c>
    </row>
    <row r="165">
      <c r="A165" s="92" t="n">
        <v>2025</v>
      </c>
      <c r="B165" s="92" t="n">
        <v>8</v>
      </c>
      <c r="C165" s="92" t="n">
        <v>63002000</v>
      </c>
      <c r="D165" s="92" t="inlineStr">
        <is>
          <t>전산운영비-클라우드</t>
        </is>
      </c>
      <c r="E165" s="93" t="n">
        <v>76878000</v>
      </c>
      <c r="F165" s="93" t="n">
        <v>0</v>
      </c>
      <c r="G165" s="93" t="n">
        <v>595095000</v>
      </c>
      <c r="I165" s="9">
        <f>IF($A165="","",VALUE($A165&amp;"")*12+VALUE($B165&amp;""))</f>
        <v/>
      </c>
      <c r="J165" s="9">
        <f>IF($A165="","",$C165&amp;"")</f>
        <v/>
      </c>
      <c r="K165" s="94">
        <f>IF($A165="",0,($E165-$F165)*설정!$C$23)</f>
        <v/>
      </c>
    </row>
    <row r="166">
      <c r="A166" s="92" t="n">
        <v>2025</v>
      </c>
      <c r="B166" s="92" t="n">
        <v>8</v>
      </c>
      <c r="C166" s="92" t="n">
        <v>63101000</v>
      </c>
      <c r="D166" s="92" t="inlineStr">
        <is>
          <t>임차료</t>
        </is>
      </c>
      <c r="E166" s="93" t="n">
        <v>15674000</v>
      </c>
      <c r="F166" s="93" t="n">
        <v>0</v>
      </c>
      <c r="G166" s="93" t="n">
        <v>124135000</v>
      </c>
      <c r="I166" s="9">
        <f>IF($A166="","",VALUE($A166&amp;"")*12+VALUE($B166&amp;""))</f>
        <v/>
      </c>
      <c r="J166" s="9">
        <f>IF($A166="","",$C166&amp;"")</f>
        <v/>
      </c>
      <c r="K166" s="94">
        <f>IF($A166="",0,($E166-$F166)*설정!$C$23)</f>
        <v/>
      </c>
    </row>
    <row r="167">
      <c r="A167" s="92" t="n">
        <v>2025</v>
      </c>
      <c r="B167" s="92" t="n">
        <v>8</v>
      </c>
      <c r="C167" s="92" t="n">
        <v>63201000</v>
      </c>
      <c r="D167" s="92" t="inlineStr">
        <is>
          <t>차량유지비</t>
        </is>
      </c>
      <c r="E167" s="93" t="n">
        <v>7159000</v>
      </c>
      <c r="F167" s="93" t="n">
        <v>0</v>
      </c>
      <c r="G167" s="93" t="n">
        <v>58109000</v>
      </c>
      <c r="I167" s="9">
        <f>IF($A167="","",VALUE($A167&amp;"")*12+VALUE($B167&amp;""))</f>
        <v/>
      </c>
      <c r="J167" s="9">
        <f>IF($A167="","",$C167&amp;"")</f>
        <v/>
      </c>
      <c r="K167" s="94">
        <f>IF($A167="",0,($E167-$F167)*설정!$C$23)</f>
        <v/>
      </c>
    </row>
    <row r="168">
      <c r="A168" s="92" t="n">
        <v>2025</v>
      </c>
      <c r="B168" s="92" t="n">
        <v>8</v>
      </c>
      <c r="C168" s="92" t="n">
        <v>63501000</v>
      </c>
      <c r="D168" s="92" t="inlineStr">
        <is>
          <t>모집수수료</t>
        </is>
      </c>
      <c r="E168" s="93" t="n">
        <v>1724267000</v>
      </c>
      <c r="F168" s="93" t="n">
        <v>0</v>
      </c>
      <c r="G168" s="93" t="n">
        <v>13715913000</v>
      </c>
      <c r="I168" s="9">
        <f>IF($A168="","",VALUE($A168&amp;"")*12+VALUE($B168&amp;""))</f>
        <v/>
      </c>
      <c r="J168" s="9">
        <f>IF($A168="","",$C168&amp;"")</f>
        <v/>
      </c>
      <c r="K168" s="94">
        <f>IF($A168="",0,($E168-$F168)*설정!$C$23)</f>
        <v/>
      </c>
    </row>
    <row r="169">
      <c r="A169" s="92" t="n">
        <v>2025</v>
      </c>
      <c r="B169" s="92" t="n">
        <v>8</v>
      </c>
      <c r="C169" s="92" t="n">
        <v>63502000</v>
      </c>
      <c r="D169" s="92" t="inlineStr">
        <is>
          <t>유지수수료</t>
        </is>
      </c>
      <c r="E169" s="93" t="n">
        <v>424907000</v>
      </c>
      <c r="F169" s="93" t="n">
        <v>0</v>
      </c>
      <c r="G169" s="93" t="n">
        <v>3422413000</v>
      </c>
      <c r="I169" s="9">
        <f>IF($A169="","",VALUE($A169&amp;"")*12+VALUE($B169&amp;""))</f>
        <v/>
      </c>
      <c r="J169" s="9">
        <f>IF($A169="","",$C169&amp;"")</f>
        <v/>
      </c>
      <c r="K169" s="94">
        <f>IF($A169="",0,($E169-$F169)*설정!$C$23)</f>
        <v/>
      </c>
    </row>
    <row r="170">
      <c r="A170" s="92" t="n">
        <v>2025</v>
      </c>
      <c r="B170" s="92" t="n">
        <v>8</v>
      </c>
      <c r="C170" s="92" t="n">
        <v>63601000</v>
      </c>
      <c r="D170" s="92" t="inlineStr">
        <is>
          <t>손해조사비</t>
        </is>
      </c>
      <c r="E170" s="93" t="n">
        <v>27945000</v>
      </c>
      <c r="F170" s="93" t="n">
        <v>0</v>
      </c>
      <c r="G170" s="93" t="n">
        <v>231810000</v>
      </c>
      <c r="I170" s="9">
        <f>IF($A170="","",VALUE($A170&amp;"")*12+VALUE($B170&amp;""))</f>
        <v/>
      </c>
      <c r="J170" s="9">
        <f>IF($A170="","",$C170&amp;"")</f>
        <v/>
      </c>
      <c r="K170" s="94">
        <f>IF($A170="",0,($E170-$F170)*설정!$C$23)</f>
        <v/>
      </c>
    </row>
    <row r="171">
      <c r="A171" s="92" t="n">
        <v>2025</v>
      </c>
      <c r="B171" s="92" t="n">
        <v>8</v>
      </c>
      <c r="C171" s="92" t="n">
        <v>61101000</v>
      </c>
      <c r="D171" s="92" t="inlineStr">
        <is>
          <t>급여</t>
        </is>
      </c>
      <c r="E171" s="93" t="n">
        <v>788570000</v>
      </c>
      <c r="F171" s="93" t="n">
        <v>0</v>
      </c>
      <c r="G171" s="93" t="n">
        <v>6380530000</v>
      </c>
      <c r="I171" s="9">
        <f>IF($A171="","",VALUE($A171&amp;"")*12+VALUE($B171&amp;""))</f>
        <v/>
      </c>
      <c r="J171" s="9">
        <f>IF($A171="","",$C171&amp;"")</f>
        <v/>
      </c>
      <c r="K171" s="94">
        <f>IF($A171="",0,($E171-$F171)*설정!$C$23)</f>
        <v/>
      </c>
    </row>
    <row r="172">
      <c r="A172" s="92" t="n">
        <v>2025</v>
      </c>
      <c r="B172" s="92" t="n">
        <v>8</v>
      </c>
      <c r="C172" s="92" t="n">
        <v>61201000</v>
      </c>
      <c r="D172" s="92" t="inlineStr">
        <is>
          <t>복리후생비</t>
        </is>
      </c>
      <c r="E172" s="93" t="n">
        <v>119294000</v>
      </c>
      <c r="F172" s="93" t="n">
        <v>0</v>
      </c>
      <c r="G172" s="93" t="n">
        <v>956154000</v>
      </c>
      <c r="I172" s="9">
        <f>IF($A172="","",VALUE($A172&amp;"")*12+VALUE($B172&amp;""))</f>
        <v/>
      </c>
      <c r="J172" s="9">
        <f>IF($A172="","",$C172&amp;"")</f>
        <v/>
      </c>
      <c r="K172" s="94">
        <f>IF($A172="",0,($E172-$F172)*설정!$C$23)</f>
        <v/>
      </c>
    </row>
    <row r="173">
      <c r="A173" s="92" t="n">
        <v>2025</v>
      </c>
      <c r="B173" s="92" t="n">
        <v>9</v>
      </c>
      <c r="C173" s="92" t="n">
        <v>62101000</v>
      </c>
      <c r="D173" s="92" t="inlineStr">
        <is>
          <t>여비교통비-국내</t>
        </is>
      </c>
      <c r="E173" s="93" t="n">
        <v>17201000</v>
      </c>
      <c r="F173" s="93" t="n">
        <v>0</v>
      </c>
      <c r="G173" s="93" t="n">
        <v>158814000</v>
      </c>
      <c r="I173" s="9">
        <f>IF($A173="","",VALUE($A173&amp;"")*12+VALUE($B173&amp;""))</f>
        <v/>
      </c>
      <c r="J173" s="9">
        <f>IF($A173="","",$C173&amp;"")</f>
        <v/>
      </c>
      <c r="K173" s="94">
        <f>IF($A173="",0,($E173-$F173)*설정!$C$23)</f>
        <v/>
      </c>
    </row>
    <row r="174">
      <c r="A174" s="92" t="n">
        <v>2025</v>
      </c>
      <c r="B174" s="92" t="n">
        <v>9</v>
      </c>
      <c r="C174" s="92" t="n">
        <v>62102000</v>
      </c>
      <c r="D174" s="92" t="inlineStr">
        <is>
          <t>여비교통비-해외</t>
        </is>
      </c>
      <c r="E174" s="93" t="n">
        <v>3147000</v>
      </c>
      <c r="F174" s="93" t="n">
        <v>0</v>
      </c>
      <c r="G174" s="93" t="n">
        <v>28694000</v>
      </c>
      <c r="I174" s="9">
        <f>IF($A174="","",VALUE($A174&amp;"")*12+VALUE($B174&amp;""))</f>
        <v/>
      </c>
      <c r="J174" s="9">
        <f>IF($A174="","",$C174&amp;"")</f>
        <v/>
      </c>
      <c r="K174" s="94">
        <f>IF($A174="",0,($E174-$F174)*설정!$C$23)</f>
        <v/>
      </c>
    </row>
    <row r="175">
      <c r="A175" s="92" t="n">
        <v>2025</v>
      </c>
      <c r="B175" s="92" t="n">
        <v>9</v>
      </c>
      <c r="C175" s="92" t="n">
        <v>62201000</v>
      </c>
      <c r="D175" s="92" t="inlineStr">
        <is>
          <t>통신비</t>
        </is>
      </c>
      <c r="E175" s="93" t="n">
        <v>37390000</v>
      </c>
      <c r="F175" s="93" t="n">
        <v>0</v>
      </c>
      <c r="G175" s="93" t="n">
        <v>320676000</v>
      </c>
      <c r="I175" s="9">
        <f>IF($A175="","",VALUE($A175&amp;"")*12+VALUE($B175&amp;""))</f>
        <v/>
      </c>
      <c r="J175" s="9">
        <f>IF($A175="","",$C175&amp;"")</f>
        <v/>
      </c>
      <c r="K175" s="94">
        <f>IF($A175="",0,($E175-$F175)*설정!$C$23)</f>
        <v/>
      </c>
    </row>
    <row r="176">
      <c r="A176" s="92" t="n">
        <v>2025</v>
      </c>
      <c r="B176" s="92" t="n">
        <v>9</v>
      </c>
      <c r="C176" s="92" t="n">
        <v>62301000</v>
      </c>
      <c r="D176" s="92" t="inlineStr">
        <is>
          <t>소모품비</t>
        </is>
      </c>
      <c r="E176" s="93" t="n">
        <v>6173000</v>
      </c>
      <c r="F176" s="93" t="n">
        <v>0</v>
      </c>
      <c r="G176" s="93" t="n">
        <v>54532000</v>
      </c>
      <c r="I176" s="9">
        <f>IF($A176="","",VALUE($A176&amp;"")*12+VALUE($B176&amp;""))</f>
        <v/>
      </c>
      <c r="J176" s="9">
        <f>IF($A176="","",$C176&amp;"")</f>
        <v/>
      </c>
      <c r="K176" s="94">
        <f>IF($A176="",0,($E176-$F176)*설정!$C$23)</f>
        <v/>
      </c>
    </row>
    <row r="177">
      <c r="A177" s="92" t="n">
        <v>2025</v>
      </c>
      <c r="B177" s="92" t="n">
        <v>9</v>
      </c>
      <c r="C177" s="92" t="n">
        <v>62401000</v>
      </c>
      <c r="D177" s="92" t="inlineStr">
        <is>
          <t>도서인쇄비</t>
        </is>
      </c>
      <c r="E177" s="93" t="n">
        <v>14242000</v>
      </c>
      <c r="F177" s="93" t="n">
        <v>0</v>
      </c>
      <c r="G177" s="93" t="n">
        <v>123949000</v>
      </c>
      <c r="I177" s="9">
        <f>IF($A177="","",VALUE($A177&amp;"")*12+VALUE($B177&amp;""))</f>
        <v/>
      </c>
      <c r="J177" s="9">
        <f>IF($A177="","",$C177&amp;"")</f>
        <v/>
      </c>
      <c r="K177" s="94">
        <f>IF($A177="",0,($E177-$F177)*설정!$C$23)</f>
        <v/>
      </c>
    </row>
    <row r="178">
      <c r="A178" s="92" t="n">
        <v>2025</v>
      </c>
      <c r="B178" s="92" t="n">
        <v>9</v>
      </c>
      <c r="C178" s="92" t="n">
        <v>62501000</v>
      </c>
      <c r="D178" s="92" t="inlineStr">
        <is>
          <t>회의비</t>
        </is>
      </c>
      <c r="E178" s="93" t="n">
        <v>5399000</v>
      </c>
      <c r="F178" s="93" t="n">
        <v>0</v>
      </c>
      <c r="G178" s="93" t="n">
        <v>49212000</v>
      </c>
      <c r="I178" s="9">
        <f>IF($A178="","",VALUE($A178&amp;"")*12+VALUE($B178&amp;""))</f>
        <v/>
      </c>
      <c r="J178" s="9">
        <f>IF($A178="","",$C178&amp;"")</f>
        <v/>
      </c>
      <c r="K178" s="94">
        <f>IF($A178="",0,($E178-$F178)*설정!$C$23)</f>
        <v/>
      </c>
    </row>
    <row r="179">
      <c r="A179" s="92" t="n">
        <v>2025</v>
      </c>
      <c r="B179" s="92" t="n">
        <v>9</v>
      </c>
      <c r="C179" s="92" t="n">
        <v>62601000</v>
      </c>
      <c r="D179" s="92" t="inlineStr">
        <is>
          <t>업무추진비</t>
        </is>
      </c>
      <c r="E179" s="93" t="n">
        <v>10559000</v>
      </c>
      <c r="F179" s="93" t="n">
        <v>0</v>
      </c>
      <c r="G179" s="93" t="n">
        <v>95216000</v>
      </c>
      <c r="I179" s="9">
        <f>IF($A179="","",VALUE($A179&amp;"")*12+VALUE($B179&amp;""))</f>
        <v/>
      </c>
      <c r="J179" s="9">
        <f>IF($A179="","",$C179&amp;"")</f>
        <v/>
      </c>
      <c r="K179" s="94">
        <f>IF($A179="",0,($E179-$F179)*설정!$C$23)</f>
        <v/>
      </c>
    </row>
    <row r="180">
      <c r="A180" s="92" t="n">
        <v>2025</v>
      </c>
      <c r="B180" s="92" t="n">
        <v>9</v>
      </c>
      <c r="C180" s="92" t="n">
        <v>62701000</v>
      </c>
      <c r="D180" s="92" t="inlineStr">
        <is>
          <t>광고선전비</t>
        </is>
      </c>
      <c r="E180" s="93" t="n">
        <v>180000000</v>
      </c>
      <c r="F180" s="93" t="n">
        <v>0</v>
      </c>
      <c r="G180" s="93" t="n">
        <v>1380001000</v>
      </c>
      <c r="I180" s="9">
        <f>IF($A180="","",VALUE($A180&amp;"")*12+VALUE($B180&amp;""))</f>
        <v/>
      </c>
      <c r="J180" s="9">
        <f>IF($A180="","",$C180&amp;"")</f>
        <v/>
      </c>
      <c r="K180" s="94">
        <f>IF($A180="",0,($E180-$F180)*설정!$C$23)</f>
        <v/>
      </c>
    </row>
    <row r="181">
      <c r="A181" s="92" t="n">
        <v>2025</v>
      </c>
      <c r="B181" s="92" t="n">
        <v>9</v>
      </c>
      <c r="C181" s="92" t="n">
        <v>62801000</v>
      </c>
      <c r="D181" s="92" t="inlineStr">
        <is>
          <t>교육훈련비-사내</t>
        </is>
      </c>
      <c r="E181" s="93" t="n">
        <v>13131000</v>
      </c>
      <c r="F181" s="93" t="n">
        <v>0</v>
      </c>
      <c r="G181" s="93" t="n">
        <v>113843000</v>
      </c>
      <c r="I181" s="9">
        <f>IF($A181="","",VALUE($A181&amp;"")*12+VALUE($B181&amp;""))</f>
        <v/>
      </c>
      <c r="J181" s="9">
        <f>IF($A181="","",$C181&amp;"")</f>
        <v/>
      </c>
      <c r="K181" s="94">
        <f>IF($A181="",0,($E181-$F181)*설정!$C$23)</f>
        <v/>
      </c>
    </row>
    <row r="182">
      <c r="A182" s="92" t="n">
        <v>2025</v>
      </c>
      <c r="B182" s="92" t="n">
        <v>9</v>
      </c>
      <c r="C182" s="92" t="n">
        <v>62802000</v>
      </c>
      <c r="D182" s="92" t="inlineStr">
        <is>
          <t>교육훈련비-외부위탁</t>
        </is>
      </c>
      <c r="E182" s="93" t="n">
        <v>14063000</v>
      </c>
      <c r="F182" s="93" t="n">
        <v>0</v>
      </c>
      <c r="G182" s="93" t="n">
        <v>126303000</v>
      </c>
      <c r="I182" s="9">
        <f>IF($A182="","",VALUE($A182&amp;"")*12+VALUE($B182&amp;""))</f>
        <v/>
      </c>
      <c r="J182" s="9">
        <f>IF($A182="","",$C182&amp;"")</f>
        <v/>
      </c>
      <c r="K182" s="94">
        <f>IF($A182="",0,($E182-$F182)*설정!$C$23)</f>
        <v/>
      </c>
    </row>
    <row r="183">
      <c r="A183" s="92" t="n">
        <v>2025</v>
      </c>
      <c r="B183" s="92" t="n">
        <v>9</v>
      </c>
      <c r="C183" s="92" t="n">
        <v>62901000</v>
      </c>
      <c r="D183" s="92" t="inlineStr">
        <is>
          <t>지급수수료-컨설팅</t>
        </is>
      </c>
      <c r="E183" s="93" t="n">
        <v>94844000</v>
      </c>
      <c r="F183" s="93" t="n">
        <v>0</v>
      </c>
      <c r="G183" s="93" t="n">
        <v>871168000</v>
      </c>
      <c r="I183" s="9">
        <f>IF($A183="","",VALUE($A183&amp;"")*12+VALUE($B183&amp;""))</f>
        <v/>
      </c>
      <c r="J183" s="9">
        <f>IF($A183="","",$C183&amp;"")</f>
        <v/>
      </c>
      <c r="K183" s="94">
        <f>IF($A183="",0,($E183-$F183)*설정!$C$23)</f>
        <v/>
      </c>
    </row>
    <row r="184">
      <c r="A184" s="92" t="n">
        <v>2025</v>
      </c>
      <c r="B184" s="92" t="n">
        <v>9</v>
      </c>
      <c r="C184" s="92" t="n">
        <v>62902000</v>
      </c>
      <c r="D184" s="92" t="inlineStr">
        <is>
          <t>지급수수료-기타</t>
        </is>
      </c>
      <c r="E184" s="93" t="n">
        <v>49447000</v>
      </c>
      <c r="F184" s="93" t="n">
        <v>0</v>
      </c>
      <c r="G184" s="93" t="n">
        <v>441704000</v>
      </c>
      <c r="I184" s="9">
        <f>IF($A184="","",VALUE($A184&amp;"")*12+VALUE($B184&amp;""))</f>
        <v/>
      </c>
      <c r="J184" s="9">
        <f>IF($A184="","",$C184&amp;"")</f>
        <v/>
      </c>
      <c r="K184" s="94">
        <f>IF($A184="",0,($E184-$F184)*설정!$C$23)</f>
        <v/>
      </c>
    </row>
    <row r="185">
      <c r="A185" s="92" t="n">
        <v>2025</v>
      </c>
      <c r="B185" s="92" t="n">
        <v>9</v>
      </c>
      <c r="C185" s="92" t="n">
        <v>63001000</v>
      </c>
      <c r="D185" s="92" t="inlineStr">
        <is>
          <t>전산운영비-SW유지보수</t>
        </is>
      </c>
      <c r="E185" s="93" t="n">
        <v>103811000</v>
      </c>
      <c r="F185" s="93" t="n">
        <v>0</v>
      </c>
      <c r="G185" s="93" t="n">
        <v>903292000</v>
      </c>
      <c r="I185" s="9">
        <f>IF($A185="","",VALUE($A185&amp;"")*12+VALUE($B185&amp;""))</f>
        <v/>
      </c>
      <c r="J185" s="9">
        <f>IF($A185="","",$C185&amp;"")</f>
        <v/>
      </c>
      <c r="K185" s="94">
        <f>IF($A185="",0,($E185-$F185)*설정!$C$23)</f>
        <v/>
      </c>
    </row>
    <row r="186">
      <c r="A186" s="92" t="n">
        <v>2025</v>
      </c>
      <c r="B186" s="92" t="n">
        <v>9</v>
      </c>
      <c r="C186" s="92" t="n">
        <v>63002000</v>
      </c>
      <c r="D186" s="92" t="inlineStr">
        <is>
          <t>전산운영비-클라우드</t>
        </is>
      </c>
      <c r="E186" s="93" t="n">
        <v>77422000</v>
      </c>
      <c r="F186" s="93" t="n">
        <v>0</v>
      </c>
      <c r="G186" s="93" t="n">
        <v>672517000</v>
      </c>
      <c r="I186" s="9">
        <f>IF($A186="","",VALUE($A186&amp;"")*12+VALUE($B186&amp;""))</f>
        <v/>
      </c>
      <c r="J186" s="9">
        <f>IF($A186="","",$C186&amp;"")</f>
        <v/>
      </c>
      <c r="K186" s="94">
        <f>IF($A186="",0,($E186-$F186)*설정!$C$23)</f>
        <v/>
      </c>
    </row>
    <row r="187">
      <c r="A187" s="92" t="n">
        <v>2025</v>
      </c>
      <c r="B187" s="92" t="n">
        <v>9</v>
      </c>
      <c r="C187" s="92" t="n">
        <v>63101000</v>
      </c>
      <c r="D187" s="92" t="inlineStr">
        <is>
          <t>임차료</t>
        </is>
      </c>
      <c r="E187" s="93" t="n">
        <v>15470000</v>
      </c>
      <c r="F187" s="93" t="n">
        <v>0</v>
      </c>
      <c r="G187" s="93" t="n">
        <v>139605000</v>
      </c>
      <c r="I187" s="9">
        <f>IF($A187="","",VALUE($A187&amp;"")*12+VALUE($B187&amp;""))</f>
        <v/>
      </c>
      <c r="J187" s="9">
        <f>IF($A187="","",$C187&amp;"")</f>
        <v/>
      </c>
      <c r="K187" s="94">
        <f>IF($A187="",0,($E187-$F187)*설정!$C$23)</f>
        <v/>
      </c>
    </row>
    <row r="188">
      <c r="A188" s="92" t="n">
        <v>2025</v>
      </c>
      <c r="B188" s="92" t="n">
        <v>9</v>
      </c>
      <c r="C188" s="92" t="n">
        <v>63201000</v>
      </c>
      <c r="D188" s="92" t="inlineStr">
        <is>
          <t>차량유지비</t>
        </is>
      </c>
      <c r="E188" s="93" t="n">
        <v>7172000</v>
      </c>
      <c r="F188" s="93" t="n">
        <v>0</v>
      </c>
      <c r="G188" s="93" t="n">
        <v>65281000</v>
      </c>
      <c r="I188" s="9">
        <f>IF($A188="","",VALUE($A188&amp;"")*12+VALUE($B188&amp;""))</f>
        <v/>
      </c>
      <c r="J188" s="9">
        <f>IF($A188="","",$C188&amp;"")</f>
        <v/>
      </c>
      <c r="K188" s="94">
        <f>IF($A188="",0,($E188-$F188)*설정!$C$23)</f>
        <v/>
      </c>
    </row>
    <row r="189">
      <c r="A189" s="92" t="n">
        <v>2025</v>
      </c>
      <c r="B189" s="92" t="n">
        <v>9</v>
      </c>
      <c r="C189" s="92" t="n">
        <v>63501000</v>
      </c>
      <c r="D189" s="92" t="inlineStr">
        <is>
          <t>모집수수료</t>
        </is>
      </c>
      <c r="E189" s="93" t="n">
        <v>1730816000</v>
      </c>
      <c r="F189" s="93" t="n">
        <v>0</v>
      </c>
      <c r="G189" s="93" t="n">
        <v>15446729000</v>
      </c>
      <c r="I189" s="9">
        <f>IF($A189="","",VALUE($A189&amp;"")*12+VALUE($B189&amp;""))</f>
        <v/>
      </c>
      <c r="J189" s="9">
        <f>IF($A189="","",$C189&amp;"")</f>
        <v/>
      </c>
      <c r="K189" s="94">
        <f>IF($A189="",0,($E189-$F189)*설정!$C$23)</f>
        <v/>
      </c>
    </row>
    <row r="190">
      <c r="A190" s="92" t="n">
        <v>2025</v>
      </c>
      <c r="B190" s="92" t="n">
        <v>9</v>
      </c>
      <c r="C190" s="92" t="n">
        <v>63502000</v>
      </c>
      <c r="D190" s="92" t="inlineStr">
        <is>
          <t>유지수수료</t>
        </is>
      </c>
      <c r="E190" s="93" t="n">
        <v>435861000</v>
      </c>
      <c r="F190" s="93" t="n">
        <v>0</v>
      </c>
      <c r="G190" s="93" t="n">
        <v>3858274000</v>
      </c>
      <c r="I190" s="9">
        <f>IF($A190="","",VALUE($A190&amp;"")*12+VALUE($B190&amp;""))</f>
        <v/>
      </c>
      <c r="J190" s="9">
        <f>IF($A190="","",$C190&amp;"")</f>
        <v/>
      </c>
      <c r="K190" s="94">
        <f>IF($A190="",0,($E190-$F190)*설정!$C$23)</f>
        <v/>
      </c>
    </row>
    <row r="191">
      <c r="A191" s="92" t="n">
        <v>2025</v>
      </c>
      <c r="B191" s="92" t="n">
        <v>9</v>
      </c>
      <c r="C191" s="92" t="n">
        <v>63601000</v>
      </c>
      <c r="D191" s="92" t="inlineStr">
        <is>
          <t>손해조사비</t>
        </is>
      </c>
      <c r="E191" s="93" t="n">
        <v>30295000</v>
      </c>
      <c r="F191" s="93" t="n">
        <v>0</v>
      </c>
      <c r="G191" s="93" t="n">
        <v>262105000</v>
      </c>
      <c r="I191" s="9">
        <f>IF($A191="","",VALUE($A191&amp;"")*12+VALUE($B191&amp;""))</f>
        <v/>
      </c>
      <c r="J191" s="9">
        <f>IF($A191="","",$C191&amp;"")</f>
        <v/>
      </c>
      <c r="K191" s="94">
        <f>IF($A191="",0,($E191-$F191)*설정!$C$23)</f>
        <v/>
      </c>
    </row>
    <row r="192">
      <c r="A192" s="92" t="n">
        <v>2025</v>
      </c>
      <c r="B192" s="92" t="n">
        <v>9</v>
      </c>
      <c r="C192" s="92" t="n">
        <v>61101000</v>
      </c>
      <c r="D192" s="92" t="inlineStr">
        <is>
          <t>급여</t>
        </is>
      </c>
      <c r="E192" s="93" t="n">
        <v>795655000</v>
      </c>
      <c r="F192" s="93" t="n">
        <v>0</v>
      </c>
      <c r="G192" s="93" t="n">
        <v>7176185000</v>
      </c>
      <c r="I192" s="9">
        <f>IF($A192="","",VALUE($A192&amp;"")*12+VALUE($B192&amp;""))</f>
        <v/>
      </c>
      <c r="J192" s="9">
        <f>IF($A192="","",$C192&amp;"")</f>
        <v/>
      </c>
      <c r="K192" s="94">
        <f>IF($A192="",0,($E192-$F192)*설정!$C$23)</f>
        <v/>
      </c>
    </row>
    <row r="193">
      <c r="A193" s="92" t="n">
        <v>2025</v>
      </c>
      <c r="B193" s="92" t="n">
        <v>9</v>
      </c>
      <c r="C193" s="92" t="n">
        <v>61201000</v>
      </c>
      <c r="D193" s="92" t="inlineStr">
        <is>
          <t>복리후생비</t>
        </is>
      </c>
      <c r="E193" s="93" t="n">
        <v>118909000</v>
      </c>
      <c r="F193" s="93" t="n">
        <v>0</v>
      </c>
      <c r="G193" s="93" t="n">
        <v>1075063000</v>
      </c>
      <c r="I193" s="9">
        <f>IF($A193="","",VALUE($A193&amp;"")*12+VALUE($B193&amp;""))</f>
        <v/>
      </c>
      <c r="J193" s="9">
        <f>IF($A193="","",$C193&amp;"")</f>
        <v/>
      </c>
      <c r="K193" s="94">
        <f>IF($A193="",0,($E193-$F193)*설정!$C$23)</f>
        <v/>
      </c>
    </row>
    <row r="194">
      <c r="A194" s="92" t="n">
        <v>2025</v>
      </c>
      <c r="B194" s="92" t="n">
        <v>10</v>
      </c>
      <c r="C194" s="92" t="n">
        <v>62101000</v>
      </c>
      <c r="D194" s="92" t="inlineStr">
        <is>
          <t>여비교통비-국내</t>
        </is>
      </c>
      <c r="E194" s="93" t="n">
        <v>18087000</v>
      </c>
      <c r="F194" s="93" t="n">
        <v>0</v>
      </c>
      <c r="G194" s="93" t="n">
        <v>176901000</v>
      </c>
      <c r="I194" s="9">
        <f>IF($A194="","",VALUE($A194&amp;"")*12+VALUE($B194&amp;""))</f>
        <v/>
      </c>
      <c r="J194" s="9">
        <f>IF($A194="","",$C194&amp;"")</f>
        <v/>
      </c>
      <c r="K194" s="94">
        <f>IF($A194="",0,($E194-$F194)*설정!$C$23)</f>
        <v/>
      </c>
    </row>
    <row r="195">
      <c r="A195" s="92" t="n">
        <v>2025</v>
      </c>
      <c r="B195" s="92" t="n">
        <v>10</v>
      </c>
      <c r="C195" s="92" t="n">
        <v>62102000</v>
      </c>
      <c r="D195" s="92" t="inlineStr">
        <is>
          <t>여비교통비-해외</t>
        </is>
      </c>
      <c r="E195" s="93" t="n">
        <v>3194000</v>
      </c>
      <c r="F195" s="93" t="n">
        <v>0</v>
      </c>
      <c r="G195" s="93" t="n">
        <v>31888000</v>
      </c>
      <c r="I195" s="9">
        <f>IF($A195="","",VALUE($A195&amp;"")*12+VALUE($B195&amp;""))</f>
        <v/>
      </c>
      <c r="J195" s="9">
        <f>IF($A195="","",$C195&amp;"")</f>
        <v/>
      </c>
      <c r="K195" s="94">
        <f>IF($A195="",0,($E195-$F195)*설정!$C$23)</f>
        <v/>
      </c>
    </row>
    <row r="196">
      <c r="A196" s="92" t="n">
        <v>2025</v>
      </c>
      <c r="B196" s="92" t="n">
        <v>10</v>
      </c>
      <c r="C196" s="92" t="n">
        <v>62201000</v>
      </c>
      <c r="D196" s="92" t="inlineStr">
        <is>
          <t>통신비</t>
        </is>
      </c>
      <c r="E196" s="93" t="n">
        <v>38620000</v>
      </c>
      <c r="F196" s="93" t="n">
        <v>0</v>
      </c>
      <c r="G196" s="93" t="n">
        <v>359296000</v>
      </c>
      <c r="I196" s="9">
        <f>IF($A196="","",VALUE($A196&amp;"")*12+VALUE($B196&amp;""))</f>
        <v/>
      </c>
      <c r="J196" s="9">
        <f>IF($A196="","",$C196&amp;"")</f>
        <v/>
      </c>
      <c r="K196" s="94">
        <f>IF($A196="",0,($E196-$F196)*설정!$C$23)</f>
        <v/>
      </c>
    </row>
    <row r="197">
      <c r="A197" s="92" t="n">
        <v>2025</v>
      </c>
      <c r="B197" s="92" t="n">
        <v>10</v>
      </c>
      <c r="C197" s="92" t="n">
        <v>62301000</v>
      </c>
      <c r="D197" s="92" t="inlineStr">
        <is>
          <t>소모품비</t>
        </is>
      </c>
      <c r="E197" s="93" t="n">
        <v>6170000</v>
      </c>
      <c r="F197" s="93" t="n">
        <v>0</v>
      </c>
      <c r="G197" s="93" t="n">
        <v>60702000</v>
      </c>
      <c r="I197" s="9">
        <f>IF($A197="","",VALUE($A197&amp;"")*12+VALUE($B197&amp;""))</f>
        <v/>
      </c>
      <c r="J197" s="9">
        <f>IF($A197="","",$C197&amp;"")</f>
        <v/>
      </c>
      <c r="K197" s="94">
        <f>IF($A197="",0,($E197-$F197)*설정!$C$23)</f>
        <v/>
      </c>
    </row>
    <row r="198">
      <c r="A198" s="92" t="n">
        <v>2025</v>
      </c>
      <c r="B198" s="92" t="n">
        <v>10</v>
      </c>
      <c r="C198" s="92" t="n">
        <v>62401000</v>
      </c>
      <c r="D198" s="92" t="inlineStr">
        <is>
          <t>도서인쇄비</t>
        </is>
      </c>
      <c r="E198" s="93" t="n">
        <v>13699000</v>
      </c>
      <c r="F198" s="93" t="n">
        <v>0</v>
      </c>
      <c r="G198" s="93" t="n">
        <v>137648000</v>
      </c>
      <c r="I198" s="9">
        <f>IF($A198="","",VALUE($A198&amp;"")*12+VALUE($B198&amp;""))</f>
        <v/>
      </c>
      <c r="J198" s="9">
        <f>IF($A198="","",$C198&amp;"")</f>
        <v/>
      </c>
      <c r="K198" s="94">
        <f>IF($A198="",0,($E198-$F198)*설정!$C$23)</f>
        <v/>
      </c>
    </row>
    <row r="199">
      <c r="A199" s="92" t="n">
        <v>2025</v>
      </c>
      <c r="B199" s="92" t="n">
        <v>10</v>
      </c>
      <c r="C199" s="92" t="n">
        <v>62501000</v>
      </c>
      <c r="D199" s="92" t="inlineStr">
        <is>
          <t>회의비</t>
        </is>
      </c>
      <c r="E199" s="93" t="n">
        <v>5334000</v>
      </c>
      <c r="F199" s="93" t="n">
        <v>0</v>
      </c>
      <c r="G199" s="93" t="n">
        <v>54546000</v>
      </c>
      <c r="I199" s="9">
        <f>IF($A199="","",VALUE($A199&amp;"")*12+VALUE($B199&amp;""))</f>
        <v/>
      </c>
      <c r="J199" s="9">
        <f>IF($A199="","",$C199&amp;"")</f>
        <v/>
      </c>
      <c r="K199" s="94">
        <f>IF($A199="",0,($E199-$F199)*설정!$C$23)</f>
        <v/>
      </c>
    </row>
    <row r="200">
      <c r="A200" s="92" t="n">
        <v>2025</v>
      </c>
      <c r="B200" s="92" t="n">
        <v>10</v>
      </c>
      <c r="C200" s="92" t="n">
        <v>62601000</v>
      </c>
      <c r="D200" s="92" t="inlineStr">
        <is>
          <t>업무추진비</t>
        </is>
      </c>
      <c r="E200" s="93" t="n">
        <v>10721000</v>
      </c>
      <c r="F200" s="93" t="n">
        <v>0</v>
      </c>
      <c r="G200" s="93" t="n">
        <v>105937000</v>
      </c>
      <c r="I200" s="9">
        <f>IF($A200="","",VALUE($A200&amp;"")*12+VALUE($B200&amp;""))</f>
        <v/>
      </c>
      <c r="J200" s="9">
        <f>IF($A200="","",$C200&amp;"")</f>
        <v/>
      </c>
      <c r="K200" s="94">
        <f>IF($A200="",0,($E200-$F200)*설정!$C$23)</f>
        <v/>
      </c>
    </row>
    <row r="201">
      <c r="A201" s="92" t="n">
        <v>2025</v>
      </c>
      <c r="B201" s="92" t="n">
        <v>10</v>
      </c>
      <c r="C201" s="92" t="n">
        <v>62701000</v>
      </c>
      <c r="D201" s="92" t="inlineStr">
        <is>
          <t>광고선전비</t>
        </is>
      </c>
      <c r="E201" s="93" t="n">
        <v>190000000</v>
      </c>
      <c r="F201" s="93" t="n">
        <v>0</v>
      </c>
      <c r="G201" s="93" t="n">
        <v>1570001000</v>
      </c>
      <c r="I201" s="9">
        <f>IF($A201="","",VALUE($A201&amp;"")*12+VALUE($B201&amp;""))</f>
        <v/>
      </c>
      <c r="J201" s="9">
        <f>IF($A201="","",$C201&amp;"")</f>
        <v/>
      </c>
      <c r="K201" s="94">
        <f>IF($A201="",0,($E201-$F201)*설정!$C$23)</f>
        <v/>
      </c>
    </row>
    <row r="202">
      <c r="A202" s="92" t="n">
        <v>2025</v>
      </c>
      <c r="B202" s="92" t="n">
        <v>10</v>
      </c>
      <c r="C202" s="92" t="n">
        <v>62801000</v>
      </c>
      <c r="D202" s="92" t="inlineStr">
        <is>
          <t>교육훈련비-사내</t>
        </is>
      </c>
      <c r="E202" s="93" t="n">
        <v>11913000</v>
      </c>
      <c r="F202" s="93" t="n">
        <v>0</v>
      </c>
      <c r="G202" s="93" t="n">
        <v>125756000</v>
      </c>
      <c r="I202" s="9">
        <f>IF($A202="","",VALUE($A202&amp;"")*12+VALUE($B202&amp;""))</f>
        <v/>
      </c>
      <c r="J202" s="9">
        <f>IF($A202="","",$C202&amp;"")</f>
        <v/>
      </c>
      <c r="K202" s="94">
        <f>IF($A202="",0,($E202-$F202)*설정!$C$23)</f>
        <v/>
      </c>
    </row>
    <row r="203">
      <c r="A203" s="92" t="n">
        <v>2025</v>
      </c>
      <c r="B203" s="92" t="n">
        <v>10</v>
      </c>
      <c r="C203" s="92" t="n">
        <v>62802000</v>
      </c>
      <c r="D203" s="92" t="inlineStr">
        <is>
          <t>교육훈련비-외부위탁</t>
        </is>
      </c>
      <c r="E203" s="93" t="n">
        <v>14310000</v>
      </c>
      <c r="F203" s="93" t="n">
        <v>0</v>
      </c>
      <c r="G203" s="93" t="n">
        <v>140613000</v>
      </c>
      <c r="I203" s="9">
        <f>IF($A203="","",VALUE($A203&amp;"")*12+VALUE($B203&amp;""))</f>
        <v/>
      </c>
      <c r="J203" s="9">
        <f>IF($A203="","",$C203&amp;"")</f>
        <v/>
      </c>
      <c r="K203" s="94">
        <f>IF($A203="",0,($E203-$F203)*설정!$C$23)</f>
        <v/>
      </c>
    </row>
    <row r="204">
      <c r="A204" s="92" t="n">
        <v>2025</v>
      </c>
      <c r="B204" s="92" t="n">
        <v>10</v>
      </c>
      <c r="C204" s="92" t="n">
        <v>62901000</v>
      </c>
      <c r="D204" s="92" t="inlineStr">
        <is>
          <t>지급수수료-컨설팅</t>
        </is>
      </c>
      <c r="E204" s="93" t="n">
        <v>96615000</v>
      </c>
      <c r="F204" s="93" t="n">
        <v>0</v>
      </c>
      <c r="G204" s="93" t="n">
        <v>967783000</v>
      </c>
      <c r="I204" s="9">
        <f>IF($A204="","",VALUE($A204&amp;"")*12+VALUE($B204&amp;""))</f>
        <v/>
      </c>
      <c r="J204" s="9">
        <f>IF($A204="","",$C204&amp;"")</f>
        <v/>
      </c>
      <c r="K204" s="94">
        <f>IF($A204="",0,($E204-$F204)*설정!$C$23)</f>
        <v/>
      </c>
    </row>
    <row r="205">
      <c r="A205" s="92" t="n">
        <v>2025</v>
      </c>
      <c r="B205" s="92" t="n">
        <v>10</v>
      </c>
      <c r="C205" s="92" t="n">
        <v>62902000</v>
      </c>
      <c r="D205" s="92" t="inlineStr">
        <is>
          <t>지급수수료-기타</t>
        </is>
      </c>
      <c r="E205" s="93" t="n">
        <v>48773000</v>
      </c>
      <c r="F205" s="93" t="n">
        <v>0</v>
      </c>
      <c r="G205" s="93" t="n">
        <v>490477000</v>
      </c>
      <c r="I205" s="9">
        <f>IF($A205="","",VALUE($A205&amp;"")*12+VALUE($B205&amp;""))</f>
        <v/>
      </c>
      <c r="J205" s="9">
        <f>IF($A205="","",$C205&amp;"")</f>
        <v/>
      </c>
      <c r="K205" s="94">
        <f>IF($A205="",0,($E205-$F205)*설정!$C$23)</f>
        <v/>
      </c>
    </row>
    <row r="206">
      <c r="A206" s="92" t="n">
        <v>2025</v>
      </c>
      <c r="B206" s="92" t="n">
        <v>10</v>
      </c>
      <c r="C206" s="92" t="n">
        <v>63001000</v>
      </c>
      <c r="D206" s="92" t="inlineStr">
        <is>
          <t>전산운영비-SW유지보수</t>
        </is>
      </c>
      <c r="E206" s="93" t="n">
        <v>107315000</v>
      </c>
      <c r="F206" s="93" t="n">
        <v>0</v>
      </c>
      <c r="G206" s="93" t="n">
        <v>1010607000</v>
      </c>
      <c r="I206" s="9">
        <f>IF($A206="","",VALUE($A206&amp;"")*12+VALUE($B206&amp;""))</f>
        <v/>
      </c>
      <c r="J206" s="9">
        <f>IF($A206="","",$C206&amp;"")</f>
        <v/>
      </c>
      <c r="K206" s="94">
        <f>IF($A206="",0,($E206-$F206)*설정!$C$23)</f>
        <v/>
      </c>
    </row>
    <row r="207">
      <c r="A207" s="92" t="n">
        <v>2025</v>
      </c>
      <c r="B207" s="92" t="n">
        <v>10</v>
      </c>
      <c r="C207" s="92" t="n">
        <v>63002000</v>
      </c>
      <c r="D207" s="92" t="inlineStr">
        <is>
          <t>전산운영비-클라우드</t>
        </is>
      </c>
      <c r="E207" s="93" t="n">
        <v>77299000</v>
      </c>
      <c r="F207" s="93" t="n">
        <v>0</v>
      </c>
      <c r="G207" s="93" t="n">
        <v>749816000</v>
      </c>
      <c r="I207" s="9">
        <f>IF($A207="","",VALUE($A207&amp;"")*12+VALUE($B207&amp;""))</f>
        <v/>
      </c>
      <c r="J207" s="9">
        <f>IF($A207="","",$C207&amp;"")</f>
        <v/>
      </c>
      <c r="K207" s="94">
        <f>IF($A207="",0,($E207-$F207)*설정!$C$23)</f>
        <v/>
      </c>
    </row>
    <row r="208">
      <c r="A208" s="92" t="n">
        <v>2025</v>
      </c>
      <c r="B208" s="92" t="n">
        <v>10</v>
      </c>
      <c r="C208" s="92" t="n">
        <v>63101000</v>
      </c>
      <c r="D208" s="92" t="inlineStr">
        <is>
          <t>임차료</t>
        </is>
      </c>
      <c r="E208" s="93" t="n">
        <v>15797000</v>
      </c>
      <c r="F208" s="93" t="n">
        <v>0</v>
      </c>
      <c r="G208" s="93" t="n">
        <v>155402000</v>
      </c>
      <c r="I208" s="9">
        <f>IF($A208="","",VALUE($A208&amp;"")*12+VALUE($B208&amp;""))</f>
        <v/>
      </c>
      <c r="J208" s="9">
        <f>IF($A208="","",$C208&amp;"")</f>
        <v/>
      </c>
      <c r="K208" s="94">
        <f>IF($A208="",0,($E208-$F208)*설정!$C$23)</f>
        <v/>
      </c>
    </row>
    <row r="209">
      <c r="A209" s="92" t="n">
        <v>2025</v>
      </c>
      <c r="B209" s="92" t="n">
        <v>10</v>
      </c>
      <c r="C209" s="92" t="n">
        <v>63201000</v>
      </c>
      <c r="D209" s="92" t="inlineStr">
        <is>
          <t>차량유지비</t>
        </is>
      </c>
      <c r="E209" s="93" t="n">
        <v>7488000</v>
      </c>
      <c r="F209" s="93" t="n">
        <v>0</v>
      </c>
      <c r="G209" s="93" t="n">
        <v>72769000</v>
      </c>
      <c r="I209" s="9">
        <f>IF($A209="","",VALUE($A209&amp;"")*12+VALUE($B209&amp;""))</f>
        <v/>
      </c>
      <c r="J209" s="9">
        <f>IF($A209="","",$C209&amp;"")</f>
        <v/>
      </c>
      <c r="K209" s="94">
        <f>IF($A209="",0,($E209-$F209)*설정!$C$23)</f>
        <v/>
      </c>
    </row>
    <row r="210">
      <c r="A210" s="92" t="n">
        <v>2025</v>
      </c>
      <c r="B210" s="92" t="n">
        <v>10</v>
      </c>
      <c r="C210" s="92" t="n">
        <v>63501000</v>
      </c>
      <c r="D210" s="92" t="inlineStr">
        <is>
          <t>모집수수료</t>
        </is>
      </c>
      <c r="E210" s="93" t="n">
        <v>1724115000</v>
      </c>
      <c r="F210" s="93" t="n">
        <v>0</v>
      </c>
      <c r="G210" s="93" t="n">
        <v>17170844000</v>
      </c>
      <c r="I210" s="9">
        <f>IF($A210="","",VALUE($A210&amp;"")*12+VALUE($B210&amp;""))</f>
        <v/>
      </c>
      <c r="J210" s="9">
        <f>IF($A210="","",$C210&amp;"")</f>
        <v/>
      </c>
      <c r="K210" s="94">
        <f>IF($A210="",0,($E210-$F210)*설정!$C$23)</f>
        <v/>
      </c>
    </row>
    <row r="211">
      <c r="A211" s="92" t="n">
        <v>2025</v>
      </c>
      <c r="B211" s="92" t="n">
        <v>10</v>
      </c>
      <c r="C211" s="92" t="n">
        <v>63502000</v>
      </c>
      <c r="D211" s="92" t="inlineStr">
        <is>
          <t>유지수수료</t>
        </is>
      </c>
      <c r="E211" s="93" t="n">
        <v>430139000</v>
      </c>
      <c r="F211" s="93" t="n">
        <v>0</v>
      </c>
      <c r="G211" s="93" t="n">
        <v>4288413000</v>
      </c>
      <c r="I211" s="9">
        <f>IF($A211="","",VALUE($A211&amp;"")*12+VALUE($B211&amp;""))</f>
        <v/>
      </c>
      <c r="J211" s="9">
        <f>IF($A211="","",$C211&amp;"")</f>
        <v/>
      </c>
      <c r="K211" s="94">
        <f>IF($A211="",0,($E211-$F211)*설정!$C$23)</f>
        <v/>
      </c>
    </row>
    <row r="212">
      <c r="A212" s="92" t="n">
        <v>2025</v>
      </c>
      <c r="B212" s="92" t="n">
        <v>10</v>
      </c>
      <c r="C212" s="92" t="n">
        <v>63601000</v>
      </c>
      <c r="D212" s="92" t="inlineStr">
        <is>
          <t>손해조사비</t>
        </is>
      </c>
      <c r="E212" s="93" t="n">
        <v>30162000</v>
      </c>
      <c r="F212" s="93" t="n">
        <v>0</v>
      </c>
      <c r="G212" s="93" t="n">
        <v>292267000</v>
      </c>
      <c r="I212" s="9">
        <f>IF($A212="","",VALUE($A212&amp;"")*12+VALUE($B212&amp;""))</f>
        <v/>
      </c>
      <c r="J212" s="9">
        <f>IF($A212="","",$C212&amp;"")</f>
        <v/>
      </c>
      <c r="K212" s="94">
        <f>IF($A212="",0,($E212-$F212)*설정!$C$23)</f>
        <v/>
      </c>
    </row>
    <row r="213">
      <c r="A213" s="92" t="n">
        <v>2025</v>
      </c>
      <c r="B213" s="92" t="n">
        <v>10</v>
      </c>
      <c r="C213" s="92" t="n">
        <v>61101000</v>
      </c>
      <c r="D213" s="92" t="inlineStr">
        <is>
          <t>급여</t>
        </is>
      </c>
      <c r="E213" s="93" t="n">
        <v>782600000</v>
      </c>
      <c r="F213" s="93" t="n">
        <v>0</v>
      </c>
      <c r="G213" s="93" t="n">
        <v>7958785000</v>
      </c>
      <c r="I213" s="9">
        <f>IF($A213="","",VALUE($A213&amp;"")*12+VALUE($B213&amp;""))</f>
        <v/>
      </c>
      <c r="J213" s="9">
        <f>IF($A213="","",$C213&amp;"")</f>
        <v/>
      </c>
      <c r="K213" s="94">
        <f>IF($A213="",0,($E213-$F213)*설정!$C$23)</f>
        <v/>
      </c>
    </row>
    <row r="214">
      <c r="A214" s="92" t="n">
        <v>2025</v>
      </c>
      <c r="B214" s="92" t="n">
        <v>10</v>
      </c>
      <c r="C214" s="92" t="n">
        <v>61201000</v>
      </c>
      <c r="D214" s="92" t="inlineStr">
        <is>
          <t>복리후생비</t>
        </is>
      </c>
      <c r="E214" s="93" t="n">
        <v>119139000</v>
      </c>
      <c r="F214" s="93" t="n">
        <v>0</v>
      </c>
      <c r="G214" s="93" t="n">
        <v>1194202000</v>
      </c>
      <c r="I214" s="9">
        <f>IF($A214="","",VALUE($A214&amp;"")*12+VALUE($B214&amp;""))</f>
        <v/>
      </c>
      <c r="J214" s="9">
        <f>IF($A214="","",$C214&amp;"")</f>
        <v/>
      </c>
      <c r="K214" s="94">
        <f>IF($A214="",0,($E214-$F214)*설정!$C$23)</f>
        <v/>
      </c>
    </row>
    <row r="215">
      <c r="A215" s="92" t="n">
        <v>2025</v>
      </c>
      <c r="B215" s="92" t="n">
        <v>11</v>
      </c>
      <c r="C215" s="92" t="n">
        <v>62101000</v>
      </c>
      <c r="D215" s="92" t="inlineStr">
        <is>
          <t>여비교통비-국내</t>
        </is>
      </c>
      <c r="E215" s="93" t="n">
        <v>17348000</v>
      </c>
      <c r="F215" s="93" t="n">
        <v>0</v>
      </c>
      <c r="G215" s="93" t="n">
        <v>194249000</v>
      </c>
      <c r="I215" s="9">
        <f>IF($A215="","",VALUE($A215&amp;"")*12+VALUE($B215&amp;""))</f>
        <v/>
      </c>
      <c r="J215" s="9">
        <f>IF($A215="","",$C215&amp;"")</f>
        <v/>
      </c>
      <c r="K215" s="94">
        <f>IF($A215="",0,($E215-$F215)*설정!$C$23)</f>
        <v/>
      </c>
    </row>
    <row r="216">
      <c r="A216" s="92" t="n">
        <v>2025</v>
      </c>
      <c r="B216" s="92" t="n">
        <v>11</v>
      </c>
      <c r="C216" s="92" t="n">
        <v>62102000</v>
      </c>
      <c r="D216" s="92" t="inlineStr">
        <is>
          <t>여비교통비-해외</t>
        </is>
      </c>
      <c r="E216" s="93" t="n">
        <v>3249000</v>
      </c>
      <c r="F216" s="93" t="n">
        <v>0</v>
      </c>
      <c r="G216" s="93" t="n">
        <v>35137000</v>
      </c>
      <c r="I216" s="9">
        <f>IF($A216="","",VALUE($A216&amp;"")*12+VALUE($B216&amp;""))</f>
        <v/>
      </c>
      <c r="J216" s="9">
        <f>IF($A216="","",$C216&amp;"")</f>
        <v/>
      </c>
      <c r="K216" s="94">
        <f>IF($A216="",0,($E216-$F216)*설정!$C$23)</f>
        <v/>
      </c>
    </row>
    <row r="217">
      <c r="A217" s="92" t="n">
        <v>2025</v>
      </c>
      <c r="B217" s="92" t="n">
        <v>11</v>
      </c>
      <c r="C217" s="92" t="n">
        <v>62201000</v>
      </c>
      <c r="D217" s="92" t="inlineStr">
        <is>
          <t>통신비</t>
        </is>
      </c>
      <c r="E217" s="93" t="n">
        <v>35121000</v>
      </c>
      <c r="F217" s="93" t="n">
        <v>0</v>
      </c>
      <c r="G217" s="93" t="n">
        <v>394417000</v>
      </c>
      <c r="I217" s="9">
        <f>IF($A217="","",VALUE($A217&amp;"")*12+VALUE($B217&amp;""))</f>
        <v/>
      </c>
      <c r="J217" s="9">
        <f>IF($A217="","",$C217&amp;"")</f>
        <v/>
      </c>
      <c r="K217" s="94">
        <f>IF($A217="",0,($E217-$F217)*설정!$C$23)</f>
        <v/>
      </c>
    </row>
    <row r="218">
      <c r="A218" s="92" t="n">
        <v>2025</v>
      </c>
      <c r="B218" s="92" t="n">
        <v>11</v>
      </c>
      <c r="C218" s="92" t="n">
        <v>62301000</v>
      </c>
      <c r="D218" s="92" t="inlineStr">
        <is>
          <t>소모품비</t>
        </is>
      </c>
      <c r="E218" s="93" t="n">
        <v>5839000</v>
      </c>
      <c r="F218" s="93" t="n">
        <v>0</v>
      </c>
      <c r="G218" s="93" t="n">
        <v>66541000</v>
      </c>
      <c r="I218" s="9">
        <f>IF($A218="","",VALUE($A218&amp;"")*12+VALUE($B218&amp;""))</f>
        <v/>
      </c>
      <c r="J218" s="9">
        <f>IF($A218="","",$C218&amp;"")</f>
        <v/>
      </c>
      <c r="K218" s="94">
        <f>IF($A218="",0,($E218-$F218)*설정!$C$23)</f>
        <v/>
      </c>
    </row>
    <row r="219">
      <c r="A219" s="92" t="n">
        <v>2025</v>
      </c>
      <c r="B219" s="92" t="n">
        <v>11</v>
      </c>
      <c r="C219" s="92" t="n">
        <v>62401000</v>
      </c>
      <c r="D219" s="92" t="inlineStr">
        <is>
          <t>도서인쇄비</t>
        </is>
      </c>
      <c r="E219" s="93" t="n">
        <v>15160000</v>
      </c>
      <c r="F219" s="93" t="n">
        <v>0</v>
      </c>
      <c r="G219" s="93" t="n">
        <v>152808000</v>
      </c>
      <c r="I219" s="9">
        <f>IF($A219="","",VALUE($A219&amp;"")*12+VALUE($B219&amp;""))</f>
        <v/>
      </c>
      <c r="J219" s="9">
        <f>IF($A219="","",$C219&amp;"")</f>
        <v/>
      </c>
      <c r="K219" s="94">
        <f>IF($A219="",0,($E219-$F219)*설정!$C$23)</f>
        <v/>
      </c>
    </row>
    <row r="220">
      <c r="A220" s="92" t="n">
        <v>2025</v>
      </c>
      <c r="B220" s="92" t="n">
        <v>11</v>
      </c>
      <c r="C220" s="92" t="n">
        <v>62501000</v>
      </c>
      <c r="D220" s="92" t="inlineStr">
        <is>
          <t>회의비</t>
        </is>
      </c>
      <c r="E220" s="93" t="n">
        <v>5263000</v>
      </c>
      <c r="F220" s="93" t="n">
        <v>0</v>
      </c>
      <c r="G220" s="93" t="n">
        <v>59809000</v>
      </c>
      <c r="I220" s="9">
        <f>IF($A220="","",VALUE($A220&amp;"")*12+VALUE($B220&amp;""))</f>
        <v/>
      </c>
      <c r="J220" s="9">
        <f>IF($A220="","",$C220&amp;"")</f>
        <v/>
      </c>
      <c r="K220" s="94">
        <f>IF($A220="",0,($E220-$F220)*설정!$C$23)</f>
        <v/>
      </c>
    </row>
    <row r="221">
      <c r="A221" s="92" t="n">
        <v>2025</v>
      </c>
      <c r="B221" s="92" t="n">
        <v>11</v>
      </c>
      <c r="C221" s="92" t="n">
        <v>62601000</v>
      </c>
      <c r="D221" s="92" t="inlineStr">
        <is>
          <t>업무추진비</t>
        </is>
      </c>
      <c r="E221" s="93" t="n">
        <v>10259000</v>
      </c>
      <c r="F221" s="93" t="n">
        <v>0</v>
      </c>
      <c r="G221" s="93" t="n">
        <v>116196000</v>
      </c>
      <c r="I221" s="9">
        <f>IF($A221="","",VALUE($A221&amp;"")*12+VALUE($B221&amp;""))</f>
        <v/>
      </c>
      <c r="J221" s="9">
        <f>IF($A221="","",$C221&amp;"")</f>
        <v/>
      </c>
      <c r="K221" s="94">
        <f>IF($A221="",0,($E221-$F221)*설정!$C$23)</f>
        <v/>
      </c>
    </row>
    <row r="222">
      <c r="A222" s="92" t="n">
        <v>2025</v>
      </c>
      <c r="B222" s="92" t="n">
        <v>11</v>
      </c>
      <c r="C222" s="92" t="n">
        <v>62701000</v>
      </c>
      <c r="D222" s="92" t="inlineStr">
        <is>
          <t>광고선전비</t>
        </is>
      </c>
      <c r="E222" s="93" t="n">
        <v>199999000</v>
      </c>
      <c r="F222" s="93" t="n">
        <v>0</v>
      </c>
      <c r="G222" s="93" t="n">
        <v>1770000000</v>
      </c>
      <c r="I222" s="9">
        <f>IF($A222="","",VALUE($A222&amp;"")*12+VALUE($B222&amp;""))</f>
        <v/>
      </c>
      <c r="J222" s="9">
        <f>IF($A222="","",$C222&amp;"")</f>
        <v/>
      </c>
      <c r="K222" s="94">
        <f>IF($A222="",0,($E222-$F222)*설정!$C$23)</f>
        <v/>
      </c>
    </row>
    <row r="223">
      <c r="A223" s="92" t="n">
        <v>2025</v>
      </c>
      <c r="B223" s="92" t="n">
        <v>11</v>
      </c>
      <c r="C223" s="92" t="n">
        <v>62801000</v>
      </c>
      <c r="D223" s="92" t="inlineStr">
        <is>
          <t>교육훈련비-사내</t>
        </is>
      </c>
      <c r="E223" s="93" t="n">
        <v>12522000</v>
      </c>
      <c r="F223" s="93" t="n">
        <v>0</v>
      </c>
      <c r="G223" s="93" t="n">
        <v>138278000</v>
      </c>
      <c r="I223" s="9">
        <f>IF($A223="","",VALUE($A223&amp;"")*12+VALUE($B223&amp;""))</f>
        <v/>
      </c>
      <c r="J223" s="9">
        <f>IF($A223="","",$C223&amp;"")</f>
        <v/>
      </c>
      <c r="K223" s="94">
        <f>IF($A223="",0,($E223-$F223)*설정!$C$23)</f>
        <v/>
      </c>
    </row>
    <row r="224">
      <c r="A224" s="92" t="n">
        <v>2025</v>
      </c>
      <c r="B224" s="92" t="n">
        <v>11</v>
      </c>
      <c r="C224" s="92" t="n">
        <v>62802000</v>
      </c>
      <c r="D224" s="92" t="inlineStr">
        <is>
          <t>교육훈련비-외부위탁</t>
        </is>
      </c>
      <c r="E224" s="93" t="n">
        <v>13259000</v>
      </c>
      <c r="F224" s="93" t="n">
        <v>0</v>
      </c>
      <c r="G224" s="93" t="n">
        <v>153872000</v>
      </c>
      <c r="I224" s="9">
        <f>IF($A224="","",VALUE($A224&amp;"")*12+VALUE($B224&amp;""))</f>
        <v/>
      </c>
      <c r="J224" s="9">
        <f>IF($A224="","",$C224&amp;"")</f>
        <v/>
      </c>
      <c r="K224" s="94">
        <f>IF($A224="",0,($E224-$F224)*설정!$C$23)</f>
        <v/>
      </c>
    </row>
    <row r="225">
      <c r="A225" s="92" t="n">
        <v>2025</v>
      </c>
      <c r="B225" s="92" t="n">
        <v>11</v>
      </c>
      <c r="C225" s="92" t="n">
        <v>62901000</v>
      </c>
      <c r="D225" s="92" t="inlineStr">
        <is>
          <t>지급수수료-컨설팅</t>
        </is>
      </c>
      <c r="E225" s="93" t="n">
        <v>95768000</v>
      </c>
      <c r="F225" s="93" t="n">
        <v>0</v>
      </c>
      <c r="G225" s="93" t="n">
        <v>1063551000</v>
      </c>
      <c r="I225" s="9">
        <f>IF($A225="","",VALUE($A225&amp;"")*12+VALUE($B225&amp;""))</f>
        <v/>
      </c>
      <c r="J225" s="9">
        <f>IF($A225="","",$C225&amp;"")</f>
        <v/>
      </c>
      <c r="K225" s="94">
        <f>IF($A225="",0,($E225-$F225)*설정!$C$23)</f>
        <v/>
      </c>
    </row>
    <row r="226">
      <c r="A226" s="92" t="n">
        <v>2025</v>
      </c>
      <c r="B226" s="92" t="n">
        <v>11</v>
      </c>
      <c r="C226" s="92" t="n">
        <v>62902000</v>
      </c>
      <c r="D226" s="92" t="inlineStr">
        <is>
          <t>지급수수료-기타</t>
        </is>
      </c>
      <c r="E226" s="93" t="n">
        <v>48534000</v>
      </c>
      <c r="F226" s="93" t="n">
        <v>0</v>
      </c>
      <c r="G226" s="93" t="n">
        <v>539011000</v>
      </c>
      <c r="I226" s="9">
        <f>IF($A226="","",VALUE($A226&amp;"")*12+VALUE($B226&amp;""))</f>
        <v/>
      </c>
      <c r="J226" s="9">
        <f>IF($A226="","",$C226&amp;"")</f>
        <v/>
      </c>
      <c r="K226" s="94">
        <f>IF($A226="",0,($E226-$F226)*설정!$C$23)</f>
        <v/>
      </c>
    </row>
    <row r="227">
      <c r="A227" s="92" t="n">
        <v>2025</v>
      </c>
      <c r="B227" s="92" t="n">
        <v>11</v>
      </c>
      <c r="C227" s="92" t="n">
        <v>63001000</v>
      </c>
      <c r="D227" s="92" t="inlineStr">
        <is>
          <t>전산운영비-SW유지보수</t>
        </is>
      </c>
      <c r="E227" s="93" t="n">
        <v>98229000</v>
      </c>
      <c r="F227" s="93" t="n">
        <v>0</v>
      </c>
      <c r="G227" s="93" t="n">
        <v>1108836000</v>
      </c>
      <c r="I227" s="9">
        <f>IF($A227="","",VALUE($A227&amp;"")*12+VALUE($B227&amp;""))</f>
        <v/>
      </c>
      <c r="J227" s="9">
        <f>IF($A227="","",$C227&amp;"")</f>
        <v/>
      </c>
      <c r="K227" s="94">
        <f>IF($A227="",0,($E227-$F227)*설정!$C$23)</f>
        <v/>
      </c>
    </row>
    <row r="228">
      <c r="A228" s="92" t="n">
        <v>2025</v>
      </c>
      <c r="B228" s="92" t="n">
        <v>11</v>
      </c>
      <c r="C228" s="92" t="n">
        <v>63002000</v>
      </c>
      <c r="D228" s="92" t="inlineStr">
        <is>
          <t>전산운영비-클라우드</t>
        </is>
      </c>
      <c r="E228" s="93" t="n">
        <v>78620000</v>
      </c>
      <c r="F228" s="93" t="n">
        <v>0</v>
      </c>
      <c r="G228" s="93" t="n">
        <v>828436000</v>
      </c>
      <c r="I228" s="9">
        <f>IF($A228="","",VALUE($A228&amp;"")*12+VALUE($B228&amp;""))</f>
        <v/>
      </c>
      <c r="J228" s="9">
        <f>IF($A228="","",$C228&amp;"")</f>
        <v/>
      </c>
      <c r="K228" s="94">
        <f>IF($A228="",0,($E228-$F228)*설정!$C$23)</f>
        <v/>
      </c>
    </row>
    <row r="229">
      <c r="A229" s="92" t="n">
        <v>2025</v>
      </c>
      <c r="B229" s="92" t="n">
        <v>11</v>
      </c>
      <c r="C229" s="92" t="n">
        <v>63101000</v>
      </c>
      <c r="D229" s="92" t="inlineStr">
        <is>
          <t>임차료</t>
        </is>
      </c>
      <c r="E229" s="93" t="n">
        <v>16398000</v>
      </c>
      <c r="F229" s="93" t="n">
        <v>0</v>
      </c>
      <c r="G229" s="93" t="n">
        <v>171800000</v>
      </c>
      <c r="I229" s="9">
        <f>IF($A229="","",VALUE($A229&amp;"")*12+VALUE($B229&amp;""))</f>
        <v/>
      </c>
      <c r="J229" s="9">
        <f>IF($A229="","",$C229&amp;"")</f>
        <v/>
      </c>
      <c r="K229" s="94">
        <f>IF($A229="",0,($E229-$F229)*설정!$C$23)</f>
        <v/>
      </c>
    </row>
    <row r="230">
      <c r="A230" s="92" t="n">
        <v>2025</v>
      </c>
      <c r="B230" s="92" t="n">
        <v>11</v>
      </c>
      <c r="C230" s="92" t="n">
        <v>63201000</v>
      </c>
      <c r="D230" s="92" t="inlineStr">
        <is>
          <t>차량유지비</t>
        </is>
      </c>
      <c r="E230" s="93" t="n">
        <v>7410000</v>
      </c>
      <c r="F230" s="93" t="n">
        <v>0</v>
      </c>
      <c r="G230" s="93" t="n">
        <v>80179000</v>
      </c>
      <c r="I230" s="9">
        <f>IF($A230="","",VALUE($A230&amp;"")*12+VALUE($B230&amp;""))</f>
        <v/>
      </c>
      <c r="J230" s="9">
        <f>IF($A230="","",$C230&amp;"")</f>
        <v/>
      </c>
      <c r="K230" s="94">
        <f>IF($A230="",0,($E230-$F230)*설정!$C$23)</f>
        <v/>
      </c>
    </row>
    <row r="231">
      <c r="A231" s="92" t="n">
        <v>2025</v>
      </c>
      <c r="B231" s="92" t="n">
        <v>11</v>
      </c>
      <c r="C231" s="92" t="n">
        <v>63501000</v>
      </c>
      <c r="D231" s="92" t="inlineStr">
        <is>
          <t>모집수수료</t>
        </is>
      </c>
      <c r="E231" s="93" t="n">
        <v>1734388000</v>
      </c>
      <c r="F231" s="93" t="n">
        <v>0</v>
      </c>
      <c r="G231" s="93" t="n">
        <v>18905232000</v>
      </c>
      <c r="I231" s="9">
        <f>IF($A231="","",VALUE($A231&amp;"")*12+VALUE($B231&amp;""))</f>
        <v/>
      </c>
      <c r="J231" s="9">
        <f>IF($A231="","",$C231&amp;"")</f>
        <v/>
      </c>
      <c r="K231" s="94">
        <f>IF($A231="",0,($E231-$F231)*설정!$C$23)</f>
        <v/>
      </c>
    </row>
    <row r="232">
      <c r="A232" s="92" t="n">
        <v>2025</v>
      </c>
      <c r="B232" s="92" t="n">
        <v>11</v>
      </c>
      <c r="C232" s="92" t="n">
        <v>63502000</v>
      </c>
      <c r="D232" s="92" t="inlineStr">
        <is>
          <t>유지수수료</t>
        </is>
      </c>
      <c r="E232" s="93" t="n">
        <v>429392000</v>
      </c>
      <c r="F232" s="93" t="n">
        <v>0</v>
      </c>
      <c r="G232" s="93" t="n">
        <v>4717805000</v>
      </c>
      <c r="I232" s="9">
        <f>IF($A232="","",VALUE($A232&amp;"")*12+VALUE($B232&amp;""))</f>
        <v/>
      </c>
      <c r="J232" s="9">
        <f>IF($A232="","",$C232&amp;"")</f>
        <v/>
      </c>
      <c r="K232" s="94">
        <f>IF($A232="",0,($E232-$F232)*설정!$C$23)</f>
        <v/>
      </c>
    </row>
    <row r="233">
      <c r="A233" s="92" t="n">
        <v>2025</v>
      </c>
      <c r="B233" s="92" t="n">
        <v>11</v>
      </c>
      <c r="C233" s="92" t="n">
        <v>63601000</v>
      </c>
      <c r="D233" s="92" t="inlineStr">
        <is>
          <t>손해조사비</t>
        </is>
      </c>
      <c r="E233" s="93" t="n">
        <v>31289000</v>
      </c>
      <c r="F233" s="93" t="n">
        <v>0</v>
      </c>
      <c r="G233" s="93" t="n">
        <v>323556000</v>
      </c>
      <c r="I233" s="9">
        <f>IF($A233="","",VALUE($A233&amp;"")*12+VALUE($B233&amp;""))</f>
        <v/>
      </c>
      <c r="J233" s="9">
        <f>IF($A233="","",$C233&amp;"")</f>
        <v/>
      </c>
      <c r="K233" s="94">
        <f>IF($A233="",0,($E233-$F233)*설정!$C$23)</f>
        <v/>
      </c>
    </row>
    <row r="234">
      <c r="A234" s="92" t="n">
        <v>2025</v>
      </c>
      <c r="B234" s="92" t="n">
        <v>11</v>
      </c>
      <c r="C234" s="92" t="n">
        <v>61101000</v>
      </c>
      <c r="D234" s="92" t="inlineStr">
        <is>
          <t>급여</t>
        </is>
      </c>
      <c r="E234" s="93" t="n">
        <v>778283000</v>
      </c>
      <c r="F234" s="93" t="n">
        <v>0</v>
      </c>
      <c r="G234" s="93" t="n">
        <v>8737068000</v>
      </c>
      <c r="I234" s="9">
        <f>IF($A234="","",VALUE($A234&amp;"")*12+VALUE($B234&amp;""))</f>
        <v/>
      </c>
      <c r="J234" s="9">
        <f>IF($A234="","",$C234&amp;"")</f>
        <v/>
      </c>
      <c r="K234" s="94">
        <f>IF($A234="",0,($E234-$F234)*설정!$C$23)</f>
        <v/>
      </c>
    </row>
    <row r="235">
      <c r="A235" s="92" t="n">
        <v>2025</v>
      </c>
      <c r="B235" s="92" t="n">
        <v>11</v>
      </c>
      <c r="C235" s="92" t="n">
        <v>61201000</v>
      </c>
      <c r="D235" s="92" t="inlineStr">
        <is>
          <t>복리후생비</t>
        </is>
      </c>
      <c r="E235" s="93" t="n">
        <v>116513000</v>
      </c>
      <c r="F235" s="93" t="n">
        <v>0</v>
      </c>
      <c r="G235" s="93" t="n">
        <v>1310715000</v>
      </c>
      <c r="I235" s="9">
        <f>IF($A235="","",VALUE($A235&amp;"")*12+VALUE($B235&amp;""))</f>
        <v/>
      </c>
      <c r="J235" s="9">
        <f>IF($A235="","",$C235&amp;"")</f>
        <v/>
      </c>
      <c r="K235" s="94">
        <f>IF($A235="",0,($E235-$F235)*설정!$C$23)</f>
        <v/>
      </c>
    </row>
    <row r="236">
      <c r="A236" s="92" t="n">
        <v>2025</v>
      </c>
      <c r="B236" s="92" t="n">
        <v>12</v>
      </c>
      <c r="C236" s="92" t="n">
        <v>62101000</v>
      </c>
      <c r="D236" s="92" t="inlineStr">
        <is>
          <t>여비교통비-국내</t>
        </is>
      </c>
      <c r="E236" s="93" t="n">
        <v>17367000</v>
      </c>
      <c r="F236" s="93" t="n">
        <v>0</v>
      </c>
      <c r="G236" s="93" t="n">
        <v>211616000</v>
      </c>
      <c r="I236" s="9">
        <f>IF($A236="","",VALUE($A236&amp;"")*12+VALUE($B236&amp;""))</f>
        <v/>
      </c>
      <c r="J236" s="9">
        <f>IF($A236="","",$C236&amp;"")</f>
        <v/>
      </c>
      <c r="K236" s="94">
        <f>IF($A236="",0,($E236-$F236)*설정!$C$23)</f>
        <v/>
      </c>
    </row>
    <row r="237">
      <c r="A237" s="92" t="n">
        <v>2025</v>
      </c>
      <c r="B237" s="92" t="n">
        <v>12</v>
      </c>
      <c r="C237" s="92" t="n">
        <v>62102000</v>
      </c>
      <c r="D237" s="92" t="inlineStr">
        <is>
          <t>여비교통비-해외</t>
        </is>
      </c>
      <c r="E237" s="93" t="n">
        <v>3098000</v>
      </c>
      <c r="F237" s="93" t="n">
        <v>0</v>
      </c>
      <c r="G237" s="93" t="n">
        <v>38235000</v>
      </c>
      <c r="I237" s="9">
        <f>IF($A237="","",VALUE($A237&amp;"")*12+VALUE($B237&amp;""))</f>
        <v/>
      </c>
      <c r="J237" s="9">
        <f>IF($A237="","",$C237&amp;"")</f>
        <v/>
      </c>
      <c r="K237" s="94">
        <f>IF($A237="",0,($E237-$F237)*설정!$C$23)</f>
        <v/>
      </c>
    </row>
    <row r="238">
      <c r="A238" s="92" t="n">
        <v>2025</v>
      </c>
      <c r="B238" s="92" t="n">
        <v>12</v>
      </c>
      <c r="C238" s="92" t="n">
        <v>62201000</v>
      </c>
      <c r="D238" s="92" t="inlineStr">
        <is>
          <t>통신비</t>
        </is>
      </c>
      <c r="E238" s="93" t="n">
        <v>35465000</v>
      </c>
      <c r="F238" s="93" t="n">
        <v>0</v>
      </c>
      <c r="G238" s="93" t="n">
        <v>429882000</v>
      </c>
      <c r="I238" s="9">
        <f>IF($A238="","",VALUE($A238&amp;"")*12+VALUE($B238&amp;""))</f>
        <v/>
      </c>
      <c r="J238" s="9">
        <f>IF($A238="","",$C238&amp;"")</f>
        <v/>
      </c>
      <c r="K238" s="94">
        <f>IF($A238="",0,($E238-$F238)*설정!$C$23)</f>
        <v/>
      </c>
    </row>
    <row r="239">
      <c r="A239" s="92" t="n">
        <v>2025</v>
      </c>
      <c r="B239" s="92" t="n">
        <v>12</v>
      </c>
      <c r="C239" s="92" t="n">
        <v>62301000</v>
      </c>
      <c r="D239" s="92" t="inlineStr">
        <is>
          <t>소모품비</t>
        </is>
      </c>
      <c r="E239" s="93" t="n">
        <v>6096000</v>
      </c>
      <c r="F239" s="93" t="n">
        <v>0</v>
      </c>
      <c r="G239" s="93" t="n">
        <v>72637000</v>
      </c>
      <c r="I239" s="9">
        <f>IF($A239="","",VALUE($A239&amp;"")*12+VALUE($B239&amp;""))</f>
        <v/>
      </c>
      <c r="J239" s="9">
        <f>IF($A239="","",$C239&amp;"")</f>
        <v/>
      </c>
      <c r="K239" s="94">
        <f>IF($A239="",0,($E239-$F239)*설정!$C$23)</f>
        <v/>
      </c>
    </row>
    <row r="240">
      <c r="A240" s="92" t="n">
        <v>2025</v>
      </c>
      <c r="B240" s="92" t="n">
        <v>12</v>
      </c>
      <c r="C240" s="92" t="n">
        <v>62401000</v>
      </c>
      <c r="D240" s="92" t="inlineStr">
        <is>
          <t>도서인쇄비</t>
        </is>
      </c>
      <c r="E240" s="93" t="n">
        <v>13828000</v>
      </c>
      <c r="F240" s="93" t="n">
        <v>0</v>
      </c>
      <c r="G240" s="93" t="n">
        <v>166636000</v>
      </c>
      <c r="I240" s="9">
        <f>IF($A240="","",VALUE($A240&amp;"")*12+VALUE($B240&amp;""))</f>
        <v/>
      </c>
      <c r="J240" s="9">
        <f>IF($A240="","",$C240&amp;"")</f>
        <v/>
      </c>
      <c r="K240" s="94">
        <f>IF($A240="",0,($E240-$F240)*설정!$C$23)</f>
        <v/>
      </c>
    </row>
    <row r="241">
      <c r="A241" s="92" t="n">
        <v>2025</v>
      </c>
      <c r="B241" s="92" t="n">
        <v>12</v>
      </c>
      <c r="C241" s="92" t="n">
        <v>62501000</v>
      </c>
      <c r="D241" s="92" t="inlineStr">
        <is>
          <t>회의비</t>
        </is>
      </c>
      <c r="E241" s="93" t="n">
        <v>5524000</v>
      </c>
      <c r="F241" s="93" t="n">
        <v>0</v>
      </c>
      <c r="G241" s="93" t="n">
        <v>65333000</v>
      </c>
      <c r="I241" s="9">
        <f>IF($A241="","",VALUE($A241&amp;"")*12+VALUE($B241&amp;""))</f>
        <v/>
      </c>
      <c r="J241" s="9">
        <f>IF($A241="","",$C241&amp;"")</f>
        <v/>
      </c>
      <c r="K241" s="94">
        <f>IF($A241="",0,($E241-$F241)*설정!$C$23)</f>
        <v/>
      </c>
    </row>
    <row r="242">
      <c r="A242" s="92" t="n">
        <v>2025</v>
      </c>
      <c r="B242" s="92" t="n">
        <v>12</v>
      </c>
      <c r="C242" s="92" t="n">
        <v>62601000</v>
      </c>
      <c r="D242" s="92" t="inlineStr">
        <is>
          <t>업무추진비</t>
        </is>
      </c>
      <c r="E242" s="93" t="n">
        <v>10731000</v>
      </c>
      <c r="F242" s="93" t="n">
        <v>0</v>
      </c>
      <c r="G242" s="93" t="n">
        <v>126927000</v>
      </c>
      <c r="I242" s="9">
        <f>IF($A242="","",VALUE($A242&amp;"")*12+VALUE($B242&amp;""))</f>
        <v/>
      </c>
      <c r="J242" s="9">
        <f>IF($A242="","",$C242&amp;"")</f>
        <v/>
      </c>
      <c r="K242" s="94">
        <f>IF($A242="",0,($E242-$F242)*설정!$C$23)</f>
        <v/>
      </c>
    </row>
    <row r="243">
      <c r="A243" s="92" t="n">
        <v>2025</v>
      </c>
      <c r="B243" s="92" t="n">
        <v>12</v>
      </c>
      <c r="C243" s="92" t="n">
        <v>62701000</v>
      </c>
      <c r="D243" s="92" t="inlineStr">
        <is>
          <t>광고선전비</t>
        </is>
      </c>
      <c r="E243" s="93" t="n">
        <v>201400000</v>
      </c>
      <c r="F243" s="93" t="n">
        <v>0</v>
      </c>
      <c r="G243" s="93" t="n">
        <v>1971400000</v>
      </c>
      <c r="I243" s="9">
        <f>IF($A243="","",VALUE($A243&amp;"")*12+VALUE($B243&amp;""))</f>
        <v/>
      </c>
      <c r="J243" s="9">
        <f>IF($A243="","",$C243&amp;"")</f>
        <v/>
      </c>
      <c r="K243" s="94">
        <f>IF($A243="",0,($E243-$F243)*설정!$C$23)</f>
        <v/>
      </c>
    </row>
    <row r="244">
      <c r="A244" s="92" t="n">
        <v>2025</v>
      </c>
      <c r="B244" s="92" t="n">
        <v>12</v>
      </c>
      <c r="C244" s="92" t="n">
        <v>62801000</v>
      </c>
      <c r="D244" s="92" t="inlineStr">
        <is>
          <t>교육훈련비-사내</t>
        </is>
      </c>
      <c r="E244" s="93" t="n">
        <v>13589000</v>
      </c>
      <c r="F244" s="93" t="n">
        <v>0</v>
      </c>
      <c r="G244" s="93" t="n">
        <v>151867000</v>
      </c>
      <c r="I244" s="9">
        <f>IF($A244="","",VALUE($A244&amp;"")*12+VALUE($B244&amp;""))</f>
        <v/>
      </c>
      <c r="J244" s="9">
        <f>IF($A244="","",$C244&amp;"")</f>
        <v/>
      </c>
      <c r="K244" s="94">
        <f>IF($A244="",0,($E244-$F244)*설정!$C$23)</f>
        <v/>
      </c>
    </row>
    <row r="245">
      <c r="A245" s="92" t="n">
        <v>2025</v>
      </c>
      <c r="B245" s="92" t="n">
        <v>12</v>
      </c>
      <c r="C245" s="92" t="n">
        <v>62802000</v>
      </c>
      <c r="D245" s="92" t="inlineStr">
        <is>
          <t>교육훈련비-외부위탁</t>
        </is>
      </c>
      <c r="E245" s="93" t="n">
        <v>14775000</v>
      </c>
      <c r="F245" s="93" t="n">
        <v>0</v>
      </c>
      <c r="G245" s="93" t="n">
        <v>168647000</v>
      </c>
      <c r="I245" s="9">
        <f>IF($A245="","",VALUE($A245&amp;"")*12+VALUE($B245&amp;""))</f>
        <v/>
      </c>
      <c r="J245" s="9">
        <f>IF($A245="","",$C245&amp;"")</f>
        <v/>
      </c>
      <c r="K245" s="94">
        <f>IF($A245="",0,($E245-$F245)*설정!$C$23)</f>
        <v/>
      </c>
    </row>
    <row r="246">
      <c r="A246" s="92" t="n">
        <v>2025</v>
      </c>
      <c r="B246" s="92" t="n">
        <v>12</v>
      </c>
      <c r="C246" s="92" t="n">
        <v>62901000</v>
      </c>
      <c r="D246" s="92" t="inlineStr">
        <is>
          <t>지급수수료-컨설팅</t>
        </is>
      </c>
      <c r="E246" s="93" t="n">
        <v>96672000</v>
      </c>
      <c r="F246" s="93" t="n">
        <v>0</v>
      </c>
      <c r="G246" s="93" t="n">
        <v>1160223000</v>
      </c>
      <c r="I246" s="9">
        <f>IF($A246="","",VALUE($A246&amp;"")*12+VALUE($B246&amp;""))</f>
        <v/>
      </c>
      <c r="J246" s="9">
        <f>IF($A246="","",$C246&amp;"")</f>
        <v/>
      </c>
      <c r="K246" s="94">
        <f>IF($A246="",0,($E246-$F246)*설정!$C$23)</f>
        <v/>
      </c>
    </row>
    <row r="247">
      <c r="A247" s="92" t="n">
        <v>2025</v>
      </c>
      <c r="B247" s="92" t="n">
        <v>12</v>
      </c>
      <c r="C247" s="92" t="n">
        <v>62902000</v>
      </c>
      <c r="D247" s="92" t="inlineStr">
        <is>
          <t>지급수수료-기타</t>
        </is>
      </c>
      <c r="E247" s="93" t="n">
        <v>49705000</v>
      </c>
      <c r="F247" s="93" t="n">
        <v>0</v>
      </c>
      <c r="G247" s="93" t="n">
        <v>588716000</v>
      </c>
      <c r="I247" s="9">
        <f>IF($A247="","",VALUE($A247&amp;"")*12+VALUE($B247&amp;""))</f>
        <v/>
      </c>
      <c r="J247" s="9">
        <f>IF($A247="","",$C247&amp;"")</f>
        <v/>
      </c>
      <c r="K247" s="94">
        <f>IF($A247="",0,($E247-$F247)*설정!$C$23)</f>
        <v/>
      </c>
    </row>
    <row r="248">
      <c r="A248" s="92" t="n">
        <v>2025</v>
      </c>
      <c r="B248" s="92" t="n">
        <v>12</v>
      </c>
      <c r="C248" s="92" t="n">
        <v>63001000</v>
      </c>
      <c r="D248" s="92" t="inlineStr">
        <is>
          <t>전산운영비-SW유지보수</t>
        </is>
      </c>
      <c r="E248" s="93" t="n">
        <v>90619000</v>
      </c>
      <c r="F248" s="93" t="n">
        <v>0</v>
      </c>
      <c r="G248" s="93" t="n">
        <v>1199455000</v>
      </c>
      <c r="I248" s="9">
        <f>IF($A248="","",VALUE($A248&amp;"")*12+VALUE($B248&amp;""))</f>
        <v/>
      </c>
      <c r="J248" s="9">
        <f>IF($A248="","",$C248&amp;"")</f>
        <v/>
      </c>
      <c r="K248" s="94">
        <f>IF($A248="",0,($E248-$F248)*설정!$C$23)</f>
        <v/>
      </c>
    </row>
    <row r="249">
      <c r="A249" s="92" t="n">
        <v>2025</v>
      </c>
      <c r="B249" s="92" t="n">
        <v>12</v>
      </c>
      <c r="C249" s="92" t="n">
        <v>63002000</v>
      </c>
      <c r="D249" s="92" t="inlineStr">
        <is>
          <t>전산운영비-클라우드</t>
        </is>
      </c>
      <c r="E249" s="93" t="n">
        <v>79662000</v>
      </c>
      <c r="F249" s="93" t="n">
        <v>0</v>
      </c>
      <c r="G249" s="93" t="n">
        <v>908098000</v>
      </c>
      <c r="I249" s="9">
        <f>IF($A249="","",VALUE($A249&amp;"")*12+VALUE($B249&amp;""))</f>
        <v/>
      </c>
      <c r="J249" s="9">
        <f>IF($A249="","",$C249&amp;"")</f>
        <v/>
      </c>
      <c r="K249" s="94">
        <f>IF($A249="",0,($E249-$F249)*설정!$C$23)</f>
        <v/>
      </c>
    </row>
    <row r="250">
      <c r="A250" s="92" t="n">
        <v>2025</v>
      </c>
      <c r="B250" s="92" t="n">
        <v>12</v>
      </c>
      <c r="C250" s="92" t="n">
        <v>63101000</v>
      </c>
      <c r="D250" s="92" t="inlineStr">
        <is>
          <t>임차료</t>
        </is>
      </c>
      <c r="E250" s="93" t="n">
        <v>16856000</v>
      </c>
      <c r="F250" s="93" t="n">
        <v>0</v>
      </c>
      <c r="G250" s="93" t="n">
        <v>188656000</v>
      </c>
      <c r="I250" s="9">
        <f>IF($A250="","",VALUE($A250&amp;"")*12+VALUE($B250&amp;""))</f>
        <v/>
      </c>
      <c r="J250" s="9">
        <f>IF($A250="","",$C250&amp;"")</f>
        <v/>
      </c>
      <c r="K250" s="94">
        <f>IF($A250="",0,($E250-$F250)*설정!$C$23)</f>
        <v/>
      </c>
    </row>
    <row r="251">
      <c r="A251" s="92" t="n">
        <v>2025</v>
      </c>
      <c r="B251" s="92" t="n">
        <v>12</v>
      </c>
      <c r="C251" s="92" t="n">
        <v>63201000</v>
      </c>
      <c r="D251" s="92" t="inlineStr">
        <is>
          <t>차량유지비</t>
        </is>
      </c>
      <c r="E251" s="93" t="n">
        <v>7356000</v>
      </c>
      <c r="F251" s="93" t="n">
        <v>0</v>
      </c>
      <c r="G251" s="93" t="n">
        <v>87535000</v>
      </c>
      <c r="I251" s="9">
        <f>IF($A251="","",VALUE($A251&amp;"")*12+VALUE($B251&amp;""))</f>
        <v/>
      </c>
      <c r="J251" s="9">
        <f>IF($A251="","",$C251&amp;"")</f>
        <v/>
      </c>
      <c r="K251" s="94">
        <f>IF($A251="",0,($E251-$F251)*설정!$C$23)</f>
        <v/>
      </c>
    </row>
    <row r="252">
      <c r="A252" s="92" t="n">
        <v>2025</v>
      </c>
      <c r="B252" s="92" t="n">
        <v>12</v>
      </c>
      <c r="C252" s="92" t="n">
        <v>63501000</v>
      </c>
      <c r="D252" s="92" t="inlineStr">
        <is>
          <t>모집수수료</t>
        </is>
      </c>
      <c r="E252" s="93" t="n">
        <v>1710815000</v>
      </c>
      <c r="F252" s="93" t="n">
        <v>0</v>
      </c>
      <c r="G252" s="93" t="n">
        <v>20616047000</v>
      </c>
      <c r="I252" s="9">
        <f>IF($A252="","",VALUE($A252&amp;"")*12+VALUE($B252&amp;""))</f>
        <v/>
      </c>
      <c r="J252" s="9">
        <f>IF($A252="","",$C252&amp;"")</f>
        <v/>
      </c>
      <c r="K252" s="94">
        <f>IF($A252="",0,($E252-$F252)*설정!$C$23)</f>
        <v/>
      </c>
    </row>
    <row r="253">
      <c r="A253" s="92" t="n">
        <v>2025</v>
      </c>
      <c r="B253" s="92" t="n">
        <v>12</v>
      </c>
      <c r="C253" s="92" t="n">
        <v>63502000</v>
      </c>
      <c r="D253" s="92" t="inlineStr">
        <is>
          <t>유지수수료</t>
        </is>
      </c>
      <c r="E253" s="93" t="n">
        <v>424004000</v>
      </c>
      <c r="F253" s="93" t="n">
        <v>0</v>
      </c>
      <c r="G253" s="93" t="n">
        <v>5141809000</v>
      </c>
      <c r="I253" s="9">
        <f>IF($A253="","",VALUE($A253&amp;"")*12+VALUE($B253&amp;""))</f>
        <v/>
      </c>
      <c r="J253" s="9">
        <f>IF($A253="","",$C253&amp;"")</f>
        <v/>
      </c>
      <c r="K253" s="94">
        <f>IF($A253="",0,($E253-$F253)*설정!$C$23)</f>
        <v/>
      </c>
    </row>
    <row r="254">
      <c r="A254" s="92" t="n">
        <v>2025</v>
      </c>
      <c r="B254" s="92" t="n">
        <v>12</v>
      </c>
      <c r="C254" s="92" t="n">
        <v>63601000</v>
      </c>
      <c r="D254" s="92" t="inlineStr">
        <is>
          <t>손해조사비</t>
        </is>
      </c>
      <c r="E254" s="93" t="n">
        <v>29589000</v>
      </c>
      <c r="F254" s="93" t="n">
        <v>0</v>
      </c>
      <c r="G254" s="93" t="n">
        <v>353145000</v>
      </c>
      <c r="I254" s="9">
        <f>IF($A254="","",VALUE($A254&amp;"")*12+VALUE($B254&amp;""))</f>
        <v/>
      </c>
      <c r="J254" s="9">
        <f>IF($A254="","",$C254&amp;"")</f>
        <v/>
      </c>
      <c r="K254" s="94">
        <f>IF($A254="",0,($E254-$F254)*설정!$C$23)</f>
        <v/>
      </c>
    </row>
    <row r="255">
      <c r="A255" s="92" t="n">
        <v>2025</v>
      </c>
      <c r="B255" s="92" t="n">
        <v>12</v>
      </c>
      <c r="C255" s="92" t="n">
        <v>61101000</v>
      </c>
      <c r="D255" s="92" t="inlineStr">
        <is>
          <t>급여</t>
        </is>
      </c>
      <c r="E255" s="93" t="n">
        <v>810732000</v>
      </c>
      <c r="F255" s="93" t="n">
        <v>0</v>
      </c>
      <c r="G255" s="93" t="n">
        <v>9547800000</v>
      </c>
      <c r="I255" s="9">
        <f>IF($A255="","",VALUE($A255&amp;"")*12+VALUE($B255&amp;""))</f>
        <v/>
      </c>
      <c r="J255" s="9">
        <f>IF($A255="","",$C255&amp;"")</f>
        <v/>
      </c>
      <c r="K255" s="94">
        <f>IF($A255="",0,($E255-$F255)*설정!$C$23)</f>
        <v/>
      </c>
    </row>
    <row r="256">
      <c r="A256" s="92" t="n">
        <v>2025</v>
      </c>
      <c r="B256" s="92" t="n">
        <v>12</v>
      </c>
      <c r="C256" s="92" t="n">
        <v>61201000</v>
      </c>
      <c r="D256" s="92" t="inlineStr">
        <is>
          <t>복리후생비</t>
        </is>
      </c>
      <c r="E256" s="93" t="n">
        <v>118149000</v>
      </c>
      <c r="F256" s="93" t="n">
        <v>0</v>
      </c>
      <c r="G256" s="93" t="n">
        <v>1428864000</v>
      </c>
      <c r="I256" s="9">
        <f>IF($A256="","",VALUE($A256&amp;"")*12+VALUE($B256&amp;""))</f>
        <v/>
      </c>
      <c r="J256" s="9">
        <f>IF($A256="","",$C256&amp;"")</f>
        <v/>
      </c>
      <c r="K256" s="94">
        <f>IF($A256="",0,($E256-$F256)*설정!$C$23)</f>
        <v/>
      </c>
    </row>
    <row r="257">
      <c r="A257" s="92" t="n">
        <v>2026</v>
      </c>
      <c r="B257" s="92" t="n">
        <v>1</v>
      </c>
      <c r="C257" s="92" t="n">
        <v>62101000</v>
      </c>
      <c r="D257" s="92" t="inlineStr">
        <is>
          <t>여비교통비-국내</t>
        </is>
      </c>
      <c r="E257" s="93" t="n">
        <v>18042000</v>
      </c>
      <c r="F257" s="93" t="n">
        <v>0</v>
      </c>
      <c r="G257" s="93" t="n">
        <v>18042000</v>
      </c>
      <c r="I257" s="9">
        <f>IF($A257="","",VALUE($A257&amp;"")*12+VALUE($B257&amp;""))</f>
        <v/>
      </c>
      <c r="J257" s="9">
        <f>IF($A257="","",$C257&amp;"")</f>
        <v/>
      </c>
      <c r="K257" s="94">
        <f>IF($A257="",0,($E257-$F257)*설정!$C$23)</f>
        <v/>
      </c>
    </row>
    <row r="258">
      <c r="A258" s="92" t="n">
        <v>2026</v>
      </c>
      <c r="B258" s="92" t="n">
        <v>1</v>
      </c>
      <c r="C258" s="92" t="n">
        <v>62102000</v>
      </c>
      <c r="D258" s="92" t="inlineStr">
        <is>
          <t>여비교통비-해외</t>
        </is>
      </c>
      <c r="E258" s="93" t="n">
        <v>3221000</v>
      </c>
      <c r="F258" s="93" t="n">
        <v>0</v>
      </c>
      <c r="G258" s="93" t="n">
        <v>3221000</v>
      </c>
      <c r="I258" s="9">
        <f>IF($A258="","",VALUE($A258&amp;"")*12+VALUE($B258&amp;""))</f>
        <v/>
      </c>
      <c r="J258" s="9">
        <f>IF($A258="","",$C258&amp;"")</f>
        <v/>
      </c>
      <c r="K258" s="94">
        <f>IF($A258="",0,($E258-$F258)*설정!$C$23)</f>
        <v/>
      </c>
    </row>
    <row r="259">
      <c r="A259" s="92" t="n">
        <v>2026</v>
      </c>
      <c r="B259" s="92" t="n">
        <v>1</v>
      </c>
      <c r="C259" s="92" t="n">
        <v>62201000</v>
      </c>
      <c r="D259" s="92" t="inlineStr">
        <is>
          <t>통신비</t>
        </is>
      </c>
      <c r="E259" s="93" t="n">
        <v>36212000</v>
      </c>
      <c r="F259" s="93" t="n">
        <v>0</v>
      </c>
      <c r="G259" s="93" t="n">
        <v>36212000</v>
      </c>
      <c r="I259" s="9">
        <f>IF($A259="","",VALUE($A259&amp;"")*12+VALUE($B259&amp;""))</f>
        <v/>
      </c>
      <c r="J259" s="9">
        <f>IF($A259="","",$C259&amp;"")</f>
        <v/>
      </c>
      <c r="K259" s="94">
        <f>IF($A259="",0,($E259-$F259)*설정!$C$23)</f>
        <v/>
      </c>
    </row>
    <row r="260">
      <c r="A260" s="92" t="n">
        <v>2026</v>
      </c>
      <c r="B260" s="92" t="n">
        <v>1</v>
      </c>
      <c r="C260" s="92" t="n">
        <v>62301000</v>
      </c>
      <c r="D260" s="92" t="inlineStr">
        <is>
          <t>소모품비</t>
        </is>
      </c>
      <c r="E260" s="93" t="n">
        <v>5527000</v>
      </c>
      <c r="F260" s="93" t="n">
        <v>0</v>
      </c>
      <c r="G260" s="93" t="n">
        <v>5527000</v>
      </c>
      <c r="I260" s="9">
        <f>IF($A260="","",VALUE($A260&amp;"")*12+VALUE($B260&amp;""))</f>
        <v/>
      </c>
      <c r="J260" s="9">
        <f>IF($A260="","",$C260&amp;"")</f>
        <v/>
      </c>
      <c r="K260" s="94">
        <f>IF($A260="",0,($E260-$F260)*설정!$C$23)</f>
        <v/>
      </c>
    </row>
    <row r="261">
      <c r="A261" s="92" t="n">
        <v>2026</v>
      </c>
      <c r="B261" s="92" t="n">
        <v>1</v>
      </c>
      <c r="C261" s="92" t="n">
        <v>62401000</v>
      </c>
      <c r="D261" s="92" t="inlineStr">
        <is>
          <t>도서인쇄비</t>
        </is>
      </c>
      <c r="E261" s="93" t="n">
        <v>13934000</v>
      </c>
      <c r="F261" s="93" t="n">
        <v>0</v>
      </c>
      <c r="G261" s="93" t="n">
        <v>13934000</v>
      </c>
      <c r="I261" s="9">
        <f>IF($A261="","",VALUE($A261&amp;"")*12+VALUE($B261&amp;""))</f>
        <v/>
      </c>
      <c r="J261" s="9">
        <f>IF($A261="","",$C261&amp;"")</f>
        <v/>
      </c>
      <c r="K261" s="94">
        <f>IF($A261="",0,($E261-$F261)*설정!$C$23)</f>
        <v/>
      </c>
    </row>
    <row r="262">
      <c r="A262" s="92" t="n">
        <v>2026</v>
      </c>
      <c r="B262" s="92" t="n">
        <v>1</v>
      </c>
      <c r="C262" s="92" t="n">
        <v>62501000</v>
      </c>
      <c r="D262" s="92" t="inlineStr">
        <is>
          <t>회의비</t>
        </is>
      </c>
      <c r="E262" s="93" t="n">
        <v>5788000</v>
      </c>
      <c r="F262" s="93" t="n">
        <v>0</v>
      </c>
      <c r="G262" s="93" t="n">
        <v>5788000</v>
      </c>
      <c r="I262" s="9">
        <f>IF($A262="","",VALUE($A262&amp;"")*12+VALUE($B262&amp;""))</f>
        <v/>
      </c>
      <c r="J262" s="9">
        <f>IF($A262="","",$C262&amp;"")</f>
        <v/>
      </c>
      <c r="K262" s="94">
        <f>IF($A262="",0,($E262-$F262)*설정!$C$23)</f>
        <v/>
      </c>
    </row>
    <row r="263">
      <c r="A263" s="92" t="n">
        <v>2026</v>
      </c>
      <c r="B263" s="92" t="n">
        <v>1</v>
      </c>
      <c r="C263" s="92" t="n">
        <v>62601000</v>
      </c>
      <c r="D263" s="92" t="inlineStr">
        <is>
          <t>업무추진비</t>
        </is>
      </c>
      <c r="E263" s="93" t="n">
        <v>11139000</v>
      </c>
      <c r="F263" s="93" t="n">
        <v>0</v>
      </c>
      <c r="G263" s="93" t="n">
        <v>11139000</v>
      </c>
      <c r="I263" s="9">
        <f>IF($A263="","",VALUE($A263&amp;"")*12+VALUE($B263&amp;""))</f>
        <v/>
      </c>
      <c r="J263" s="9">
        <f>IF($A263="","",$C263&amp;"")</f>
        <v/>
      </c>
      <c r="K263" s="94">
        <f>IF($A263="",0,($E263-$F263)*설정!$C$23)</f>
        <v/>
      </c>
    </row>
    <row r="264">
      <c r="A264" s="92" t="n">
        <v>2026</v>
      </c>
      <c r="B264" s="92" t="n">
        <v>1</v>
      </c>
      <c r="C264" s="92" t="n">
        <v>62701000</v>
      </c>
      <c r="D264" s="92" t="inlineStr">
        <is>
          <t>광고선전비</t>
        </is>
      </c>
      <c r="E264" s="93" t="n">
        <v>190000000</v>
      </c>
      <c r="F264" s="93" t="n">
        <v>0</v>
      </c>
      <c r="G264" s="93" t="n">
        <v>190000000</v>
      </c>
      <c r="I264" s="9">
        <f>IF($A264="","",VALUE($A264&amp;"")*12+VALUE($B264&amp;""))</f>
        <v/>
      </c>
      <c r="J264" s="9">
        <f>IF($A264="","",$C264&amp;"")</f>
        <v/>
      </c>
      <c r="K264" s="94">
        <f>IF($A264="",0,($E264-$F264)*설정!$C$23)</f>
        <v/>
      </c>
    </row>
    <row r="265">
      <c r="A265" s="92" t="n">
        <v>2026</v>
      </c>
      <c r="B265" s="92" t="n">
        <v>1</v>
      </c>
      <c r="C265" s="92" t="n">
        <v>62801000</v>
      </c>
      <c r="D265" s="92" t="inlineStr">
        <is>
          <t>교육훈련비-사내</t>
        </is>
      </c>
      <c r="E265" s="93" t="n">
        <v>13372000</v>
      </c>
      <c r="F265" s="93" t="n">
        <v>0</v>
      </c>
      <c r="G265" s="93" t="n">
        <v>13372000</v>
      </c>
      <c r="I265" s="9">
        <f>IF($A265="","",VALUE($A265&amp;"")*12+VALUE($B265&amp;""))</f>
        <v/>
      </c>
      <c r="J265" s="9">
        <f>IF($A265="","",$C265&amp;"")</f>
        <v/>
      </c>
      <c r="K265" s="94">
        <f>IF($A265="",0,($E265-$F265)*설정!$C$23)</f>
        <v/>
      </c>
    </row>
    <row r="266">
      <c r="A266" s="92" t="n">
        <v>2026</v>
      </c>
      <c r="B266" s="92" t="n">
        <v>1</v>
      </c>
      <c r="C266" s="92" t="n">
        <v>62802000</v>
      </c>
      <c r="D266" s="92" t="inlineStr">
        <is>
          <t>교육훈련비-외부위탁</t>
        </is>
      </c>
      <c r="E266" s="93" t="n">
        <v>10807000</v>
      </c>
      <c r="F266" s="93" t="n">
        <v>0</v>
      </c>
      <c r="G266" s="93" t="n">
        <v>10807000</v>
      </c>
      <c r="I266" s="9">
        <f>IF($A266="","",VALUE($A266&amp;"")*12+VALUE($B266&amp;""))</f>
        <v/>
      </c>
      <c r="J266" s="9">
        <f>IF($A266="","",$C266&amp;"")</f>
        <v/>
      </c>
      <c r="K266" s="94">
        <f>IF($A266="",0,($E266-$F266)*설정!$C$23)</f>
        <v/>
      </c>
    </row>
    <row r="267">
      <c r="A267" s="92" t="n">
        <v>2026</v>
      </c>
      <c r="B267" s="92" t="n">
        <v>1</v>
      </c>
      <c r="C267" s="92" t="n">
        <v>62901000</v>
      </c>
      <c r="D267" s="92" t="inlineStr">
        <is>
          <t>지급수수료-컨설팅</t>
        </is>
      </c>
      <c r="E267" s="93" t="n">
        <v>97045000</v>
      </c>
      <c r="F267" s="93" t="n">
        <v>0</v>
      </c>
      <c r="G267" s="93" t="n">
        <v>97045000</v>
      </c>
      <c r="I267" s="9">
        <f>IF($A267="","",VALUE($A267&amp;"")*12+VALUE($B267&amp;""))</f>
        <v/>
      </c>
      <c r="J267" s="9">
        <f>IF($A267="","",$C267&amp;"")</f>
        <v/>
      </c>
      <c r="K267" s="94">
        <f>IF($A267="",0,($E267-$F267)*설정!$C$23)</f>
        <v/>
      </c>
    </row>
    <row r="268">
      <c r="A268" s="92" t="n">
        <v>2026</v>
      </c>
      <c r="B268" s="92" t="n">
        <v>1</v>
      </c>
      <c r="C268" s="92" t="n">
        <v>62902000</v>
      </c>
      <c r="D268" s="92" t="inlineStr">
        <is>
          <t>지급수수료-기타</t>
        </is>
      </c>
      <c r="E268" s="93" t="n">
        <v>52715000</v>
      </c>
      <c r="F268" s="93" t="n">
        <v>0</v>
      </c>
      <c r="G268" s="93" t="n">
        <v>52715000</v>
      </c>
      <c r="I268" s="9">
        <f>IF($A268="","",VALUE($A268&amp;"")*12+VALUE($B268&amp;""))</f>
        <v/>
      </c>
      <c r="J268" s="9">
        <f>IF($A268="","",$C268&amp;"")</f>
        <v/>
      </c>
      <c r="K268" s="94">
        <f>IF($A268="",0,($E268-$F268)*설정!$C$23)</f>
        <v/>
      </c>
    </row>
    <row r="269">
      <c r="A269" s="92" t="n">
        <v>2026</v>
      </c>
      <c r="B269" s="92" t="n">
        <v>1</v>
      </c>
      <c r="C269" s="92" t="n">
        <v>63001000</v>
      </c>
      <c r="D269" s="92" t="inlineStr">
        <is>
          <t>전산운영비-SW유지보수</t>
        </is>
      </c>
      <c r="E269" s="93" t="n">
        <v>109432000</v>
      </c>
      <c r="F269" s="93" t="n">
        <v>0</v>
      </c>
      <c r="G269" s="93" t="n">
        <v>109432000</v>
      </c>
      <c r="I269" s="9">
        <f>IF($A269="","",VALUE($A269&amp;"")*12+VALUE($B269&amp;""))</f>
        <v/>
      </c>
      <c r="J269" s="9">
        <f>IF($A269="","",$C269&amp;"")</f>
        <v/>
      </c>
      <c r="K269" s="94">
        <f>IF($A269="",0,($E269-$F269)*설정!$C$23)</f>
        <v/>
      </c>
    </row>
    <row r="270">
      <c r="A270" s="92" t="n">
        <v>2026</v>
      </c>
      <c r="B270" s="92" t="n">
        <v>1</v>
      </c>
      <c r="C270" s="92" t="n">
        <v>63002000</v>
      </c>
      <c r="D270" s="92" t="inlineStr">
        <is>
          <t>전산운영비-클라우드</t>
        </is>
      </c>
      <c r="E270" s="93" t="n">
        <v>85997000</v>
      </c>
      <c r="F270" s="93" t="n">
        <v>0</v>
      </c>
      <c r="G270" s="93" t="n">
        <v>85997000</v>
      </c>
      <c r="I270" s="9">
        <f>IF($A270="","",VALUE($A270&amp;"")*12+VALUE($B270&amp;""))</f>
        <v/>
      </c>
      <c r="J270" s="9">
        <f>IF($A270="","",$C270&amp;"")</f>
        <v/>
      </c>
      <c r="K270" s="94">
        <f>IF($A270="",0,($E270-$F270)*설정!$C$23)</f>
        <v/>
      </c>
    </row>
    <row r="271">
      <c r="A271" s="92" t="n">
        <v>2026</v>
      </c>
      <c r="B271" s="92" t="n">
        <v>1</v>
      </c>
      <c r="C271" s="92" t="n">
        <v>63101000</v>
      </c>
      <c r="D271" s="92" t="inlineStr">
        <is>
          <t>임차료</t>
        </is>
      </c>
      <c r="E271" s="93" t="n">
        <v>17551000</v>
      </c>
      <c r="F271" s="93" t="n">
        <v>0</v>
      </c>
      <c r="G271" s="93" t="n">
        <v>17551000</v>
      </c>
      <c r="I271" s="9">
        <f>IF($A271="","",VALUE($A271&amp;"")*12+VALUE($B271&amp;""))</f>
        <v/>
      </c>
      <c r="J271" s="9">
        <f>IF($A271="","",$C271&amp;"")</f>
        <v/>
      </c>
      <c r="K271" s="94">
        <f>IF($A271="",0,($E271-$F271)*설정!$C$23)</f>
        <v/>
      </c>
    </row>
    <row r="272">
      <c r="A272" s="92" t="n">
        <v>2026</v>
      </c>
      <c r="B272" s="92" t="n">
        <v>1</v>
      </c>
      <c r="C272" s="92" t="n">
        <v>63201000</v>
      </c>
      <c r="D272" s="92" t="inlineStr">
        <is>
          <t>차량유지비</t>
        </is>
      </c>
      <c r="E272" s="93" t="n">
        <v>8257000</v>
      </c>
      <c r="F272" s="93" t="n">
        <v>0</v>
      </c>
      <c r="G272" s="93" t="n">
        <v>8257000</v>
      </c>
      <c r="I272" s="9">
        <f>IF($A272="","",VALUE($A272&amp;"")*12+VALUE($B272&amp;""))</f>
        <v/>
      </c>
      <c r="J272" s="9">
        <f>IF($A272="","",$C272&amp;"")</f>
        <v/>
      </c>
      <c r="K272" s="94">
        <f>IF($A272="",0,($E272-$F272)*설정!$C$23)</f>
        <v/>
      </c>
    </row>
    <row r="273">
      <c r="A273" s="92" t="n">
        <v>2026</v>
      </c>
      <c r="B273" s="92" t="n">
        <v>1</v>
      </c>
      <c r="C273" s="92" t="n">
        <v>63501000</v>
      </c>
      <c r="D273" s="92" t="inlineStr">
        <is>
          <t>모집수수료</t>
        </is>
      </c>
      <c r="E273" s="93" t="n">
        <v>1817923000</v>
      </c>
      <c r="F273" s="93" t="n">
        <v>0</v>
      </c>
      <c r="G273" s="93" t="n">
        <v>1817923000</v>
      </c>
      <c r="I273" s="9">
        <f>IF($A273="","",VALUE($A273&amp;"")*12+VALUE($B273&amp;""))</f>
        <v/>
      </c>
      <c r="J273" s="9">
        <f>IF($A273="","",$C273&amp;"")</f>
        <v/>
      </c>
      <c r="K273" s="94">
        <f>IF($A273="",0,($E273-$F273)*설정!$C$23)</f>
        <v/>
      </c>
    </row>
    <row r="274">
      <c r="A274" s="92" t="n">
        <v>2026</v>
      </c>
      <c r="B274" s="92" t="n">
        <v>1</v>
      </c>
      <c r="C274" s="92" t="n">
        <v>63502000</v>
      </c>
      <c r="D274" s="92" t="inlineStr">
        <is>
          <t>유지수수료</t>
        </is>
      </c>
      <c r="E274" s="93" t="n">
        <v>452397000</v>
      </c>
      <c r="F274" s="93" t="n">
        <v>0</v>
      </c>
      <c r="G274" s="93" t="n">
        <v>452397000</v>
      </c>
      <c r="I274" s="9">
        <f>IF($A274="","",VALUE($A274&amp;"")*12+VALUE($B274&amp;""))</f>
        <v/>
      </c>
      <c r="J274" s="9">
        <f>IF($A274="","",$C274&amp;"")</f>
        <v/>
      </c>
      <c r="K274" s="94">
        <f>IF($A274="",0,($E274-$F274)*설정!$C$23)</f>
        <v/>
      </c>
    </row>
    <row r="275">
      <c r="A275" s="92" t="n">
        <v>2026</v>
      </c>
      <c r="B275" s="92" t="n">
        <v>1</v>
      </c>
      <c r="C275" s="92" t="n">
        <v>63601000</v>
      </c>
      <c r="D275" s="92" t="inlineStr">
        <is>
          <t>손해조사비</t>
        </is>
      </c>
      <c r="E275" s="93" t="n">
        <v>30089000</v>
      </c>
      <c r="F275" s="93" t="n">
        <v>0</v>
      </c>
      <c r="G275" s="93" t="n">
        <v>30089000</v>
      </c>
      <c r="I275" s="9">
        <f>IF($A275="","",VALUE($A275&amp;"")*12+VALUE($B275&amp;""))</f>
        <v/>
      </c>
      <c r="J275" s="9">
        <f>IF($A275="","",$C275&amp;"")</f>
        <v/>
      </c>
      <c r="K275" s="94">
        <f>IF($A275="",0,($E275-$F275)*설정!$C$23)</f>
        <v/>
      </c>
    </row>
    <row r="276">
      <c r="A276" s="92" t="n">
        <v>2026</v>
      </c>
      <c r="B276" s="92" t="n">
        <v>1</v>
      </c>
      <c r="C276" s="92" t="n">
        <v>61101000</v>
      </c>
      <c r="D276" s="92" t="inlineStr">
        <is>
          <t>급여</t>
        </is>
      </c>
      <c r="E276" s="93" t="n">
        <v>818796000</v>
      </c>
      <c r="F276" s="93" t="n">
        <v>0</v>
      </c>
      <c r="G276" s="93" t="n">
        <v>818796000</v>
      </c>
      <c r="I276" s="9">
        <f>IF($A276="","",VALUE($A276&amp;"")*12+VALUE($B276&amp;""))</f>
        <v/>
      </c>
      <c r="J276" s="9">
        <f>IF($A276="","",$C276&amp;"")</f>
        <v/>
      </c>
      <c r="K276" s="94">
        <f>IF($A276="",0,($E276-$F276)*설정!$C$23)</f>
        <v/>
      </c>
    </row>
    <row r="277">
      <c r="A277" s="92" t="n">
        <v>2026</v>
      </c>
      <c r="B277" s="92" t="n">
        <v>1</v>
      </c>
      <c r="C277" s="92" t="n">
        <v>61201000</v>
      </c>
      <c r="D277" s="92" t="inlineStr">
        <is>
          <t>복리후생비</t>
        </is>
      </c>
      <c r="E277" s="93" t="n">
        <v>123498000</v>
      </c>
      <c r="F277" s="93" t="n">
        <v>0</v>
      </c>
      <c r="G277" s="93" t="n">
        <v>123498000</v>
      </c>
      <c r="I277" s="9">
        <f>IF($A277="","",VALUE($A277&amp;"")*12+VALUE($B277&amp;""))</f>
        <v/>
      </c>
      <c r="J277" s="9">
        <f>IF($A277="","",$C277&amp;"")</f>
        <v/>
      </c>
      <c r="K277" s="94">
        <f>IF($A277="",0,($E277-$F277)*설정!$C$23)</f>
        <v/>
      </c>
    </row>
    <row r="278">
      <c r="A278" s="92" t="n">
        <v>2026</v>
      </c>
      <c r="B278" s="92" t="n">
        <v>2</v>
      </c>
      <c r="C278" s="92" t="n">
        <v>62101000</v>
      </c>
      <c r="D278" s="92" t="inlineStr">
        <is>
          <t>여비교통비-국내</t>
        </is>
      </c>
      <c r="E278" s="93" t="n">
        <v>18914000</v>
      </c>
      <c r="F278" s="93" t="n">
        <v>0</v>
      </c>
      <c r="G278" s="93" t="n">
        <v>36956000</v>
      </c>
      <c r="I278" s="9">
        <f>IF($A278="","",VALUE($A278&amp;"")*12+VALUE($B278&amp;""))</f>
        <v/>
      </c>
      <c r="J278" s="9">
        <f>IF($A278="","",$C278&amp;"")</f>
        <v/>
      </c>
      <c r="K278" s="94">
        <f>IF($A278="",0,($E278-$F278)*설정!$C$23)</f>
        <v/>
      </c>
    </row>
    <row r="279">
      <c r="A279" s="92" t="n">
        <v>2026</v>
      </c>
      <c r="B279" s="92" t="n">
        <v>2</v>
      </c>
      <c r="C279" s="92" t="n">
        <v>62102000</v>
      </c>
      <c r="D279" s="92" t="inlineStr">
        <is>
          <t>여비교통비-해외</t>
        </is>
      </c>
      <c r="E279" s="93" t="n">
        <v>3217000</v>
      </c>
      <c r="F279" s="93" t="n">
        <v>0</v>
      </c>
      <c r="G279" s="93" t="n">
        <v>6438000</v>
      </c>
      <c r="I279" s="9">
        <f>IF($A279="","",VALUE($A279&amp;"")*12+VALUE($B279&amp;""))</f>
        <v/>
      </c>
      <c r="J279" s="9">
        <f>IF($A279="","",$C279&amp;"")</f>
        <v/>
      </c>
      <c r="K279" s="94">
        <f>IF($A279="",0,($E279-$F279)*설정!$C$23)</f>
        <v/>
      </c>
    </row>
    <row r="280">
      <c r="A280" s="92" t="n">
        <v>2026</v>
      </c>
      <c r="B280" s="92" t="n">
        <v>2</v>
      </c>
      <c r="C280" s="92" t="n">
        <v>62201000</v>
      </c>
      <c r="D280" s="92" t="inlineStr">
        <is>
          <t>통신비</t>
        </is>
      </c>
      <c r="E280" s="93" t="n">
        <v>36035000</v>
      </c>
      <c r="F280" s="93" t="n">
        <v>0</v>
      </c>
      <c r="G280" s="93" t="n">
        <v>72247000</v>
      </c>
      <c r="I280" s="9">
        <f>IF($A280="","",VALUE($A280&amp;"")*12+VALUE($B280&amp;""))</f>
        <v/>
      </c>
      <c r="J280" s="9">
        <f>IF($A280="","",$C280&amp;"")</f>
        <v/>
      </c>
      <c r="K280" s="94">
        <f>IF($A280="",0,($E280-$F280)*설정!$C$23)</f>
        <v/>
      </c>
    </row>
    <row r="281">
      <c r="A281" s="92" t="n">
        <v>2026</v>
      </c>
      <c r="B281" s="92" t="n">
        <v>2</v>
      </c>
      <c r="C281" s="92" t="n">
        <v>62301000</v>
      </c>
      <c r="D281" s="92" t="inlineStr">
        <is>
          <t>소모품비</t>
        </is>
      </c>
      <c r="E281" s="93" t="n">
        <v>5914000</v>
      </c>
      <c r="F281" s="93" t="n">
        <v>0</v>
      </c>
      <c r="G281" s="93" t="n">
        <v>11441000</v>
      </c>
      <c r="I281" s="9">
        <f>IF($A281="","",VALUE($A281&amp;"")*12+VALUE($B281&amp;""))</f>
        <v/>
      </c>
      <c r="J281" s="9">
        <f>IF($A281="","",$C281&amp;"")</f>
        <v/>
      </c>
      <c r="K281" s="94">
        <f>IF($A281="",0,($E281-$F281)*설정!$C$23)</f>
        <v/>
      </c>
    </row>
    <row r="282">
      <c r="A282" s="92" t="n">
        <v>2026</v>
      </c>
      <c r="B282" s="92" t="n">
        <v>2</v>
      </c>
      <c r="C282" s="92" t="n">
        <v>62401000</v>
      </c>
      <c r="D282" s="92" t="inlineStr">
        <is>
          <t>도서인쇄비</t>
        </is>
      </c>
      <c r="E282" s="93" t="n">
        <v>12191000</v>
      </c>
      <c r="F282" s="93" t="n">
        <v>0</v>
      </c>
      <c r="G282" s="93" t="n">
        <v>26125000</v>
      </c>
      <c r="I282" s="9">
        <f>IF($A282="","",VALUE($A282&amp;"")*12+VALUE($B282&amp;""))</f>
        <v/>
      </c>
      <c r="J282" s="9">
        <f>IF($A282="","",$C282&amp;"")</f>
        <v/>
      </c>
      <c r="K282" s="94">
        <f>IF($A282="",0,($E282-$F282)*설정!$C$23)</f>
        <v/>
      </c>
    </row>
    <row r="283">
      <c r="A283" s="92" t="n">
        <v>2026</v>
      </c>
      <c r="B283" s="92" t="n">
        <v>2</v>
      </c>
      <c r="C283" s="92" t="n">
        <v>62501000</v>
      </c>
      <c r="D283" s="92" t="inlineStr">
        <is>
          <t>회의비</t>
        </is>
      </c>
      <c r="E283" s="93" t="n">
        <v>5315000</v>
      </c>
      <c r="F283" s="93" t="n">
        <v>0</v>
      </c>
      <c r="G283" s="93" t="n">
        <v>11103000</v>
      </c>
      <c r="I283" s="9">
        <f>IF($A283="","",VALUE($A283&amp;"")*12+VALUE($B283&amp;""))</f>
        <v/>
      </c>
      <c r="J283" s="9">
        <f>IF($A283="","",$C283&amp;"")</f>
        <v/>
      </c>
      <c r="K283" s="94">
        <f>IF($A283="",0,($E283-$F283)*설정!$C$23)</f>
        <v/>
      </c>
    </row>
    <row r="284">
      <c r="A284" s="92" t="n">
        <v>2026</v>
      </c>
      <c r="B284" s="92" t="n">
        <v>2</v>
      </c>
      <c r="C284" s="92" t="n">
        <v>62601000</v>
      </c>
      <c r="D284" s="92" t="inlineStr">
        <is>
          <t>업무추진비</t>
        </is>
      </c>
      <c r="E284" s="93" t="n">
        <v>10793000</v>
      </c>
      <c r="F284" s="93" t="n">
        <v>0</v>
      </c>
      <c r="G284" s="93" t="n">
        <v>21932000</v>
      </c>
      <c r="I284" s="9">
        <f>IF($A284="","",VALUE($A284&amp;"")*12+VALUE($B284&amp;""))</f>
        <v/>
      </c>
      <c r="J284" s="9">
        <f>IF($A284="","",$C284&amp;"")</f>
        <v/>
      </c>
      <c r="K284" s="94">
        <f>IF($A284="",0,($E284-$F284)*설정!$C$23)</f>
        <v/>
      </c>
    </row>
    <row r="285">
      <c r="A285" s="92" t="n">
        <v>2026</v>
      </c>
      <c r="B285" s="92" t="n">
        <v>2</v>
      </c>
      <c r="C285" s="92" t="n">
        <v>62701000</v>
      </c>
      <c r="D285" s="92" t="inlineStr">
        <is>
          <t>광고선전비</t>
        </is>
      </c>
      <c r="E285" s="93" t="n">
        <v>190000000</v>
      </c>
      <c r="F285" s="93" t="n">
        <v>0</v>
      </c>
      <c r="G285" s="93" t="n">
        <v>380000000</v>
      </c>
      <c r="I285" s="9">
        <f>IF($A285="","",VALUE($A285&amp;"")*12+VALUE($B285&amp;""))</f>
        <v/>
      </c>
      <c r="J285" s="9">
        <f>IF($A285="","",$C285&amp;"")</f>
        <v/>
      </c>
      <c r="K285" s="94">
        <f>IF($A285="",0,($E285-$F285)*설정!$C$23)</f>
        <v/>
      </c>
    </row>
    <row r="286">
      <c r="A286" s="92" t="n">
        <v>2026</v>
      </c>
      <c r="B286" s="92" t="n">
        <v>2</v>
      </c>
      <c r="C286" s="92" t="n">
        <v>62801000</v>
      </c>
      <c r="D286" s="92" t="inlineStr">
        <is>
          <t>교육훈련비-사내</t>
        </is>
      </c>
      <c r="E286" s="93" t="n">
        <v>14375000</v>
      </c>
      <c r="F286" s="93" t="n">
        <v>0</v>
      </c>
      <c r="G286" s="93" t="n">
        <v>27747000</v>
      </c>
      <c r="I286" s="9">
        <f>IF($A286="","",VALUE($A286&amp;"")*12+VALUE($B286&amp;""))</f>
        <v/>
      </c>
      <c r="J286" s="9">
        <f>IF($A286="","",$C286&amp;"")</f>
        <v/>
      </c>
      <c r="K286" s="94">
        <f>IF($A286="",0,($E286-$F286)*설정!$C$23)</f>
        <v/>
      </c>
    </row>
    <row r="287">
      <c r="A287" s="92" t="n">
        <v>2026</v>
      </c>
      <c r="B287" s="92" t="n">
        <v>2</v>
      </c>
      <c r="C287" s="92" t="n">
        <v>62802000</v>
      </c>
      <c r="D287" s="92" t="inlineStr">
        <is>
          <t>교육훈련비-외부위탁</t>
        </is>
      </c>
      <c r="E287" s="93" t="n">
        <v>11364000</v>
      </c>
      <c r="F287" s="93" t="n">
        <v>0</v>
      </c>
      <c r="G287" s="93" t="n">
        <v>22171000</v>
      </c>
      <c r="I287" s="9">
        <f>IF($A287="","",VALUE($A287&amp;"")*12+VALUE($B287&amp;""))</f>
        <v/>
      </c>
      <c r="J287" s="9">
        <f>IF($A287="","",$C287&amp;"")</f>
        <v/>
      </c>
      <c r="K287" s="94">
        <f>IF($A287="",0,($E287-$F287)*설정!$C$23)</f>
        <v/>
      </c>
    </row>
    <row r="288">
      <c r="A288" s="92" t="n">
        <v>2026</v>
      </c>
      <c r="B288" s="92" t="n">
        <v>2</v>
      </c>
      <c r="C288" s="92" t="n">
        <v>62901000</v>
      </c>
      <c r="D288" s="92" t="inlineStr">
        <is>
          <t>지급수수료-컨설팅</t>
        </is>
      </c>
      <c r="E288" s="93" t="n">
        <v>102311000</v>
      </c>
      <c r="F288" s="93" t="n">
        <v>0</v>
      </c>
      <c r="G288" s="93" t="n">
        <v>199356000</v>
      </c>
      <c r="I288" s="9">
        <f>IF($A288="","",VALUE($A288&amp;"")*12+VALUE($B288&amp;""))</f>
        <v/>
      </c>
      <c r="J288" s="9">
        <f>IF($A288="","",$C288&amp;"")</f>
        <v/>
      </c>
      <c r="K288" s="94">
        <f>IF($A288="",0,($E288-$F288)*설정!$C$23)</f>
        <v/>
      </c>
    </row>
    <row r="289">
      <c r="A289" s="92" t="n">
        <v>2026</v>
      </c>
      <c r="B289" s="92" t="n">
        <v>2</v>
      </c>
      <c r="C289" s="92" t="n">
        <v>62902000</v>
      </c>
      <c r="D289" s="92" t="inlineStr">
        <is>
          <t>지급수수료-기타</t>
        </is>
      </c>
      <c r="E289" s="93" t="n">
        <v>52967000</v>
      </c>
      <c r="F289" s="93" t="n">
        <v>0</v>
      </c>
      <c r="G289" s="93" t="n">
        <v>105682000</v>
      </c>
      <c r="I289" s="9">
        <f>IF($A289="","",VALUE($A289&amp;"")*12+VALUE($B289&amp;""))</f>
        <v/>
      </c>
      <c r="J289" s="9">
        <f>IF($A289="","",$C289&amp;"")</f>
        <v/>
      </c>
      <c r="K289" s="94">
        <f>IF($A289="",0,($E289-$F289)*설정!$C$23)</f>
        <v/>
      </c>
    </row>
    <row r="290">
      <c r="A290" s="92" t="n">
        <v>2026</v>
      </c>
      <c r="B290" s="92" t="n">
        <v>2</v>
      </c>
      <c r="C290" s="92" t="n">
        <v>63001000</v>
      </c>
      <c r="D290" s="92" t="inlineStr">
        <is>
          <t>전산운영비-SW유지보수</t>
        </is>
      </c>
      <c r="E290" s="93" t="n">
        <v>101147000</v>
      </c>
      <c r="F290" s="93" t="n">
        <v>0</v>
      </c>
      <c r="G290" s="93" t="n">
        <v>210579000</v>
      </c>
      <c r="I290" s="9">
        <f>IF($A290="","",VALUE($A290&amp;"")*12+VALUE($B290&amp;""))</f>
        <v/>
      </c>
      <c r="J290" s="9">
        <f>IF($A290="","",$C290&amp;"")</f>
        <v/>
      </c>
      <c r="K290" s="94">
        <f>IF($A290="",0,($E290-$F290)*설정!$C$23)</f>
        <v/>
      </c>
    </row>
    <row r="291">
      <c r="A291" s="92" t="n">
        <v>2026</v>
      </c>
      <c r="B291" s="92" t="n">
        <v>2</v>
      </c>
      <c r="C291" s="92" t="n">
        <v>63002000</v>
      </c>
      <c r="D291" s="92" t="inlineStr">
        <is>
          <t>전산운영비-클라우드</t>
        </is>
      </c>
      <c r="E291" s="93" t="n">
        <v>86884000</v>
      </c>
      <c r="F291" s="93" t="n">
        <v>0</v>
      </c>
      <c r="G291" s="93" t="n">
        <v>172881000</v>
      </c>
      <c r="I291" s="9">
        <f>IF($A291="","",VALUE($A291&amp;"")*12+VALUE($B291&amp;""))</f>
        <v/>
      </c>
      <c r="J291" s="9">
        <f>IF($A291="","",$C291&amp;"")</f>
        <v/>
      </c>
      <c r="K291" s="94">
        <f>IF($A291="",0,($E291-$F291)*설정!$C$23)</f>
        <v/>
      </c>
    </row>
    <row r="292">
      <c r="A292" s="92" t="n">
        <v>2026</v>
      </c>
      <c r="B292" s="92" t="n">
        <v>2</v>
      </c>
      <c r="C292" s="92" t="n">
        <v>63101000</v>
      </c>
      <c r="D292" s="92" t="inlineStr">
        <is>
          <t>임차료</t>
        </is>
      </c>
      <c r="E292" s="93" t="n">
        <v>14146000</v>
      </c>
      <c r="F292" s="93" t="n">
        <v>0</v>
      </c>
      <c r="G292" s="93" t="n">
        <v>31697000</v>
      </c>
      <c r="I292" s="9">
        <f>IF($A292="","",VALUE($A292&amp;"")*12+VALUE($B292&amp;""))</f>
        <v/>
      </c>
      <c r="J292" s="9">
        <f>IF($A292="","",$C292&amp;"")</f>
        <v/>
      </c>
      <c r="K292" s="94">
        <f>IF($A292="",0,($E292-$F292)*설정!$C$23)</f>
        <v/>
      </c>
    </row>
    <row r="293">
      <c r="A293" s="92" t="n">
        <v>2026</v>
      </c>
      <c r="B293" s="92" t="n">
        <v>2</v>
      </c>
      <c r="C293" s="92" t="n">
        <v>63201000</v>
      </c>
      <c r="D293" s="92" t="inlineStr">
        <is>
          <t>차량유지비</t>
        </is>
      </c>
      <c r="E293" s="93" t="n">
        <v>7693000</v>
      </c>
      <c r="F293" s="93" t="n">
        <v>0</v>
      </c>
      <c r="G293" s="93" t="n">
        <v>15950000</v>
      </c>
      <c r="I293" s="9">
        <f>IF($A293="","",VALUE($A293&amp;"")*12+VALUE($B293&amp;""))</f>
        <v/>
      </c>
      <c r="J293" s="9">
        <f>IF($A293="","",$C293&amp;"")</f>
        <v/>
      </c>
      <c r="K293" s="94">
        <f>IF($A293="",0,($E293-$F293)*설정!$C$23)</f>
        <v/>
      </c>
    </row>
    <row r="294">
      <c r="A294" s="92" t="n">
        <v>2026</v>
      </c>
      <c r="B294" s="92" t="n">
        <v>2</v>
      </c>
      <c r="C294" s="92" t="n">
        <v>63501000</v>
      </c>
      <c r="D294" s="92" t="inlineStr">
        <is>
          <t>모집수수료</t>
        </is>
      </c>
      <c r="E294" s="93" t="n">
        <v>1783130000</v>
      </c>
      <c r="F294" s="93" t="n">
        <v>0</v>
      </c>
      <c r="G294" s="93" t="n">
        <v>3601053000</v>
      </c>
      <c r="I294" s="9">
        <f>IF($A294="","",VALUE($A294&amp;"")*12+VALUE($B294&amp;""))</f>
        <v/>
      </c>
      <c r="J294" s="9">
        <f>IF($A294="","",$C294&amp;"")</f>
        <v/>
      </c>
      <c r="K294" s="94">
        <f>IF($A294="",0,($E294-$F294)*설정!$C$23)</f>
        <v/>
      </c>
    </row>
    <row r="295">
      <c r="A295" s="92" t="n">
        <v>2026</v>
      </c>
      <c r="B295" s="92" t="n">
        <v>2</v>
      </c>
      <c r="C295" s="92" t="n">
        <v>63502000</v>
      </c>
      <c r="D295" s="92" t="inlineStr">
        <is>
          <t>유지수수료</t>
        </is>
      </c>
      <c r="E295" s="93" t="n">
        <v>444171000</v>
      </c>
      <c r="F295" s="93" t="n">
        <v>0</v>
      </c>
      <c r="G295" s="93" t="n">
        <v>896568000</v>
      </c>
      <c r="I295" s="9">
        <f>IF($A295="","",VALUE($A295&amp;"")*12+VALUE($B295&amp;""))</f>
        <v/>
      </c>
      <c r="J295" s="9">
        <f>IF($A295="","",$C295&amp;"")</f>
        <v/>
      </c>
      <c r="K295" s="94">
        <f>IF($A295="",0,($E295-$F295)*설정!$C$23)</f>
        <v/>
      </c>
    </row>
    <row r="296">
      <c r="A296" s="92" t="n">
        <v>2026</v>
      </c>
      <c r="B296" s="92" t="n">
        <v>2</v>
      </c>
      <c r="C296" s="92" t="n">
        <v>63601000</v>
      </c>
      <c r="D296" s="92" t="inlineStr">
        <is>
          <t>손해조사비</t>
        </is>
      </c>
      <c r="E296" s="93" t="n">
        <v>30361000</v>
      </c>
      <c r="F296" s="93" t="n">
        <v>0</v>
      </c>
      <c r="G296" s="93" t="n">
        <v>60450000</v>
      </c>
      <c r="I296" s="9">
        <f>IF($A296="","",VALUE($A296&amp;"")*12+VALUE($B296&amp;""))</f>
        <v/>
      </c>
      <c r="J296" s="9">
        <f>IF($A296="","",$C296&amp;"")</f>
        <v/>
      </c>
      <c r="K296" s="94">
        <f>IF($A296="",0,($E296-$F296)*설정!$C$23)</f>
        <v/>
      </c>
    </row>
    <row r="297">
      <c r="A297" s="92" t="n">
        <v>2026</v>
      </c>
      <c r="B297" s="92" t="n">
        <v>2</v>
      </c>
      <c r="C297" s="92" t="n">
        <v>61101000</v>
      </c>
      <c r="D297" s="92" t="inlineStr">
        <is>
          <t>급여</t>
        </is>
      </c>
      <c r="E297" s="93" t="n">
        <v>790109000</v>
      </c>
      <c r="F297" s="93" t="n">
        <v>0</v>
      </c>
      <c r="G297" s="93" t="n">
        <v>1608905000</v>
      </c>
      <c r="I297" s="9">
        <f>IF($A297="","",VALUE($A297&amp;"")*12+VALUE($B297&amp;""))</f>
        <v/>
      </c>
      <c r="J297" s="9">
        <f>IF($A297="","",$C297&amp;"")</f>
        <v/>
      </c>
      <c r="K297" s="94">
        <f>IF($A297="",0,($E297-$F297)*설정!$C$23)</f>
        <v/>
      </c>
    </row>
    <row r="298">
      <c r="A298" s="92" t="n">
        <v>2026</v>
      </c>
      <c r="B298" s="92" t="n">
        <v>2</v>
      </c>
      <c r="C298" s="92" t="n">
        <v>61201000</v>
      </c>
      <c r="D298" s="92" t="inlineStr">
        <is>
          <t>복리후생비</t>
        </is>
      </c>
      <c r="E298" s="93" t="n">
        <v>117525000</v>
      </c>
      <c r="F298" s="93" t="n">
        <v>0</v>
      </c>
      <c r="G298" s="93" t="n">
        <v>241023000</v>
      </c>
      <c r="I298" s="9">
        <f>IF($A298="","",VALUE($A298&amp;"")*12+VALUE($B298&amp;""))</f>
        <v/>
      </c>
      <c r="J298" s="9">
        <f>IF($A298="","",$C298&amp;"")</f>
        <v/>
      </c>
      <c r="K298" s="94">
        <f>IF($A298="",0,($E298-$F298)*설정!$C$23)</f>
        <v/>
      </c>
    </row>
    <row r="299">
      <c r="A299" s="92" t="n">
        <v>2026</v>
      </c>
      <c r="B299" s="92" t="n">
        <v>3</v>
      </c>
      <c r="C299" s="92" t="n">
        <v>62101000</v>
      </c>
      <c r="D299" s="92" t="inlineStr">
        <is>
          <t>여비교통비-국내</t>
        </is>
      </c>
      <c r="E299" s="93" t="n">
        <v>17192000</v>
      </c>
      <c r="F299" s="93" t="n">
        <v>0</v>
      </c>
      <c r="G299" s="93" t="n">
        <v>54148000</v>
      </c>
      <c r="I299" s="9">
        <f>IF($A299="","",VALUE($A299&amp;"")*12+VALUE($B299&amp;""))</f>
        <v/>
      </c>
      <c r="J299" s="9">
        <f>IF($A299="","",$C299&amp;"")</f>
        <v/>
      </c>
      <c r="K299" s="94">
        <f>IF($A299="",0,($E299-$F299)*설정!$C$23)</f>
        <v/>
      </c>
    </row>
    <row r="300">
      <c r="A300" s="92" t="n">
        <v>2026</v>
      </c>
      <c r="B300" s="92" t="n">
        <v>3</v>
      </c>
      <c r="C300" s="92" t="n">
        <v>62102000</v>
      </c>
      <c r="D300" s="92" t="inlineStr">
        <is>
          <t>여비교통비-해외</t>
        </is>
      </c>
      <c r="E300" s="93" t="n">
        <v>3248000</v>
      </c>
      <c r="F300" s="93" t="n">
        <v>0</v>
      </c>
      <c r="G300" s="93" t="n">
        <v>9686000</v>
      </c>
      <c r="I300" s="9">
        <f>IF($A300="","",VALUE($A300&amp;"")*12+VALUE($B300&amp;""))</f>
        <v/>
      </c>
      <c r="J300" s="9">
        <f>IF($A300="","",$C300&amp;"")</f>
        <v/>
      </c>
      <c r="K300" s="94">
        <f>IF($A300="",0,($E300-$F300)*설정!$C$23)</f>
        <v/>
      </c>
    </row>
    <row r="301">
      <c r="A301" s="92" t="n">
        <v>2026</v>
      </c>
      <c r="B301" s="92" t="n">
        <v>3</v>
      </c>
      <c r="C301" s="92" t="n">
        <v>62201000</v>
      </c>
      <c r="D301" s="92" t="inlineStr">
        <is>
          <t>통신비</t>
        </is>
      </c>
      <c r="E301" s="93" t="n">
        <v>35767000</v>
      </c>
      <c r="F301" s="93" t="n">
        <v>0</v>
      </c>
      <c r="G301" s="93" t="n">
        <v>108014000</v>
      </c>
      <c r="I301" s="9">
        <f>IF($A301="","",VALUE($A301&amp;"")*12+VALUE($B301&amp;""))</f>
        <v/>
      </c>
      <c r="J301" s="9">
        <f>IF($A301="","",$C301&amp;"")</f>
        <v/>
      </c>
      <c r="K301" s="94">
        <f>IF($A301="",0,($E301-$F301)*설정!$C$23)</f>
        <v/>
      </c>
    </row>
    <row r="302">
      <c r="A302" s="92" t="n">
        <v>2026</v>
      </c>
      <c r="B302" s="92" t="n">
        <v>3</v>
      </c>
      <c r="C302" s="92" t="n">
        <v>62301000</v>
      </c>
      <c r="D302" s="92" t="inlineStr">
        <is>
          <t>소모품비</t>
        </is>
      </c>
      <c r="E302" s="93" t="n">
        <v>5877000</v>
      </c>
      <c r="F302" s="93" t="n">
        <v>0</v>
      </c>
      <c r="G302" s="93" t="n">
        <v>17318000</v>
      </c>
      <c r="I302" s="9">
        <f>IF($A302="","",VALUE($A302&amp;"")*12+VALUE($B302&amp;""))</f>
        <v/>
      </c>
      <c r="J302" s="9">
        <f>IF($A302="","",$C302&amp;"")</f>
        <v/>
      </c>
      <c r="K302" s="94">
        <f>IF($A302="",0,($E302-$F302)*설정!$C$23)</f>
        <v/>
      </c>
    </row>
    <row r="303">
      <c r="A303" s="92" t="n">
        <v>2026</v>
      </c>
      <c r="B303" s="92" t="n">
        <v>3</v>
      </c>
      <c r="C303" s="92" t="n">
        <v>62401000</v>
      </c>
      <c r="D303" s="92" t="inlineStr">
        <is>
          <t>도서인쇄비</t>
        </is>
      </c>
      <c r="E303" s="93" t="n">
        <v>12426000</v>
      </c>
      <c r="F303" s="93" t="n">
        <v>0</v>
      </c>
      <c r="G303" s="93" t="n">
        <v>38551000</v>
      </c>
      <c r="I303" s="9">
        <f>IF($A303="","",VALUE($A303&amp;"")*12+VALUE($B303&amp;""))</f>
        <v/>
      </c>
      <c r="J303" s="9">
        <f>IF($A303="","",$C303&amp;"")</f>
        <v/>
      </c>
      <c r="K303" s="94">
        <f>IF($A303="",0,($E303-$F303)*설정!$C$23)</f>
        <v/>
      </c>
    </row>
    <row r="304">
      <c r="A304" s="92" t="n">
        <v>2026</v>
      </c>
      <c r="B304" s="92" t="n">
        <v>3</v>
      </c>
      <c r="C304" s="92" t="n">
        <v>62501000</v>
      </c>
      <c r="D304" s="92" t="inlineStr">
        <is>
          <t>회의비</t>
        </is>
      </c>
      <c r="E304" s="93" t="n">
        <v>5423000</v>
      </c>
      <c r="F304" s="93" t="n">
        <v>0</v>
      </c>
      <c r="G304" s="93" t="n">
        <v>16526000</v>
      </c>
      <c r="I304" s="9">
        <f>IF($A304="","",VALUE($A304&amp;"")*12+VALUE($B304&amp;""))</f>
        <v/>
      </c>
      <c r="J304" s="9">
        <f>IF($A304="","",$C304&amp;"")</f>
        <v/>
      </c>
      <c r="K304" s="94">
        <f>IF($A304="",0,($E304-$F304)*설정!$C$23)</f>
        <v/>
      </c>
    </row>
    <row r="305">
      <c r="A305" s="92" t="n">
        <v>2026</v>
      </c>
      <c r="B305" s="92" t="n">
        <v>3</v>
      </c>
      <c r="C305" s="92" t="n">
        <v>62601000</v>
      </c>
      <c r="D305" s="92" t="inlineStr">
        <is>
          <t>업무추진비</t>
        </is>
      </c>
      <c r="E305" s="93" t="n">
        <v>11081000</v>
      </c>
      <c r="F305" s="93" t="n">
        <v>0</v>
      </c>
      <c r="G305" s="93" t="n">
        <v>33013000</v>
      </c>
      <c r="I305" s="9">
        <f>IF($A305="","",VALUE($A305&amp;"")*12+VALUE($B305&amp;""))</f>
        <v/>
      </c>
      <c r="J305" s="9">
        <f>IF($A305="","",$C305&amp;"")</f>
        <v/>
      </c>
      <c r="K305" s="94">
        <f>IF($A305="",0,($E305-$F305)*설정!$C$23)</f>
        <v/>
      </c>
    </row>
    <row r="306">
      <c r="A306" s="92" t="n">
        <v>2026</v>
      </c>
      <c r="B306" s="92" t="n">
        <v>3</v>
      </c>
      <c r="C306" s="92" t="n">
        <v>62701000</v>
      </c>
      <c r="D306" s="92" t="inlineStr">
        <is>
          <t>광고선전비</t>
        </is>
      </c>
      <c r="E306" s="93" t="n">
        <v>194800000</v>
      </c>
      <c r="F306" s="93" t="n">
        <v>0</v>
      </c>
      <c r="G306" s="93" t="n">
        <v>574800000</v>
      </c>
      <c r="I306" s="9">
        <f>IF($A306="","",VALUE($A306&amp;"")*12+VALUE($B306&amp;""))</f>
        <v/>
      </c>
      <c r="J306" s="9">
        <f>IF($A306="","",$C306&amp;"")</f>
        <v/>
      </c>
      <c r="K306" s="94">
        <f>IF($A306="",0,($E306-$F306)*설정!$C$23)</f>
        <v/>
      </c>
    </row>
    <row r="307">
      <c r="A307" s="92" t="n">
        <v>2026</v>
      </c>
      <c r="B307" s="92" t="n">
        <v>3</v>
      </c>
      <c r="C307" s="92" t="n">
        <v>62801000</v>
      </c>
      <c r="D307" s="92" t="inlineStr">
        <is>
          <t>교육훈련비-사내</t>
        </is>
      </c>
      <c r="E307" s="93" t="n">
        <v>14547000</v>
      </c>
      <c r="F307" s="93" t="n">
        <v>0</v>
      </c>
      <c r="G307" s="93" t="n">
        <v>42294000</v>
      </c>
      <c r="I307" s="9">
        <f>IF($A307="","",VALUE($A307&amp;"")*12+VALUE($B307&amp;""))</f>
        <v/>
      </c>
      <c r="J307" s="9">
        <f>IF($A307="","",$C307&amp;"")</f>
        <v/>
      </c>
      <c r="K307" s="94">
        <f>IF($A307="",0,($E307-$F307)*설정!$C$23)</f>
        <v/>
      </c>
    </row>
    <row r="308">
      <c r="A308" s="92" t="n">
        <v>2026</v>
      </c>
      <c r="B308" s="92" t="n">
        <v>3</v>
      </c>
      <c r="C308" s="92" t="n">
        <v>62802000</v>
      </c>
      <c r="D308" s="92" t="inlineStr">
        <is>
          <t>교육훈련비-외부위탁</t>
        </is>
      </c>
      <c r="E308" s="93" t="n">
        <v>9907000</v>
      </c>
      <c r="F308" s="93" t="n">
        <v>0</v>
      </c>
      <c r="G308" s="93" t="n">
        <v>32078000</v>
      </c>
      <c r="I308" s="9">
        <f>IF($A308="","",VALUE($A308&amp;"")*12+VALUE($B308&amp;""))</f>
        <v/>
      </c>
      <c r="J308" s="9">
        <f>IF($A308="","",$C308&amp;"")</f>
        <v/>
      </c>
      <c r="K308" s="94">
        <f>IF($A308="",0,($E308-$F308)*설정!$C$23)</f>
        <v/>
      </c>
    </row>
    <row r="309">
      <c r="A309" s="92" t="n">
        <v>2026</v>
      </c>
      <c r="B309" s="92" t="n">
        <v>3</v>
      </c>
      <c r="C309" s="92" t="n">
        <v>62901000</v>
      </c>
      <c r="D309" s="92" t="inlineStr">
        <is>
          <t>지급수수료-컨설팅</t>
        </is>
      </c>
      <c r="E309" s="93" t="n">
        <v>103564000</v>
      </c>
      <c r="F309" s="93" t="n">
        <v>0</v>
      </c>
      <c r="G309" s="93" t="n">
        <v>302920000</v>
      </c>
      <c r="I309" s="9">
        <f>IF($A309="","",VALUE($A309&amp;"")*12+VALUE($B309&amp;""))</f>
        <v/>
      </c>
      <c r="J309" s="9">
        <f>IF($A309="","",$C309&amp;"")</f>
        <v/>
      </c>
      <c r="K309" s="94">
        <f>IF($A309="",0,($E309-$F309)*설정!$C$23)</f>
        <v/>
      </c>
    </row>
    <row r="310">
      <c r="A310" s="92" t="n">
        <v>2026</v>
      </c>
      <c r="B310" s="92" t="n">
        <v>3</v>
      </c>
      <c r="C310" s="92" t="n">
        <v>62902000</v>
      </c>
      <c r="D310" s="92" t="inlineStr">
        <is>
          <t>지급수수료-기타</t>
        </is>
      </c>
      <c r="E310" s="93" t="n">
        <v>51228000</v>
      </c>
      <c r="F310" s="93" t="n">
        <v>0</v>
      </c>
      <c r="G310" s="93" t="n">
        <v>156910000</v>
      </c>
      <c r="I310" s="9">
        <f>IF($A310="","",VALUE($A310&amp;"")*12+VALUE($B310&amp;""))</f>
        <v/>
      </c>
      <c r="J310" s="9">
        <f>IF($A310="","",$C310&amp;"")</f>
        <v/>
      </c>
      <c r="K310" s="94">
        <f>IF($A310="",0,($E310-$F310)*설정!$C$23)</f>
        <v/>
      </c>
    </row>
    <row r="311">
      <c r="A311" s="92" t="n">
        <v>2026</v>
      </c>
      <c r="B311" s="92" t="n">
        <v>3</v>
      </c>
      <c r="C311" s="92" t="n">
        <v>63001000</v>
      </c>
      <c r="D311" s="92" t="inlineStr">
        <is>
          <t>전산운영비-SW유지보수</t>
        </is>
      </c>
      <c r="E311" s="93" t="n">
        <v>110673000</v>
      </c>
      <c r="F311" s="93" t="n">
        <v>0</v>
      </c>
      <c r="G311" s="93" t="n">
        <v>321252000</v>
      </c>
      <c r="I311" s="9">
        <f>IF($A311="","",VALUE($A311&amp;"")*12+VALUE($B311&amp;""))</f>
        <v/>
      </c>
      <c r="J311" s="9">
        <f>IF($A311="","",$C311&amp;"")</f>
        <v/>
      </c>
      <c r="K311" s="94">
        <f>IF($A311="",0,($E311-$F311)*설정!$C$23)</f>
        <v/>
      </c>
    </row>
    <row r="312">
      <c r="A312" s="92" t="n">
        <v>2026</v>
      </c>
      <c r="B312" s="92" t="n">
        <v>3</v>
      </c>
      <c r="C312" s="92" t="n">
        <v>63002000</v>
      </c>
      <c r="D312" s="92" t="inlineStr">
        <is>
          <t>전산운영비-클라우드</t>
        </is>
      </c>
      <c r="E312" s="93" t="n">
        <v>86298000</v>
      </c>
      <c r="F312" s="93" t="n">
        <v>0</v>
      </c>
      <c r="G312" s="93" t="n">
        <v>259179000</v>
      </c>
      <c r="I312" s="9">
        <f>IF($A312="","",VALUE($A312&amp;"")*12+VALUE($B312&amp;""))</f>
        <v/>
      </c>
      <c r="J312" s="9">
        <f>IF($A312="","",$C312&amp;"")</f>
        <v/>
      </c>
      <c r="K312" s="94">
        <f>IF($A312="",0,($E312-$F312)*설정!$C$23)</f>
        <v/>
      </c>
    </row>
    <row r="313">
      <c r="A313" s="92" t="n">
        <v>2026</v>
      </c>
      <c r="B313" s="92" t="n">
        <v>3</v>
      </c>
      <c r="C313" s="92" t="n">
        <v>63101000</v>
      </c>
      <c r="D313" s="92" t="inlineStr">
        <is>
          <t>임차료</t>
        </is>
      </c>
      <c r="E313" s="93" t="n">
        <v>14988000</v>
      </c>
      <c r="F313" s="93" t="n">
        <v>0</v>
      </c>
      <c r="G313" s="93" t="n">
        <v>46685000</v>
      </c>
      <c r="I313" s="9">
        <f>IF($A313="","",VALUE($A313&amp;"")*12+VALUE($B313&amp;""))</f>
        <v/>
      </c>
      <c r="J313" s="9">
        <f>IF($A313="","",$C313&amp;"")</f>
        <v/>
      </c>
      <c r="K313" s="94">
        <f>IF($A313="",0,($E313-$F313)*설정!$C$23)</f>
        <v/>
      </c>
    </row>
    <row r="314">
      <c r="A314" s="92" t="n">
        <v>2026</v>
      </c>
      <c r="B314" s="92" t="n">
        <v>3</v>
      </c>
      <c r="C314" s="92" t="n">
        <v>63201000</v>
      </c>
      <c r="D314" s="92" t="inlineStr">
        <is>
          <t>차량유지비</t>
        </is>
      </c>
      <c r="E314" s="93" t="n">
        <v>8045000</v>
      </c>
      <c r="F314" s="93" t="n">
        <v>0</v>
      </c>
      <c r="G314" s="93" t="n">
        <v>23995000</v>
      </c>
      <c r="I314" s="9">
        <f>IF($A314="","",VALUE($A314&amp;"")*12+VALUE($B314&amp;""))</f>
        <v/>
      </c>
      <c r="J314" s="9">
        <f>IF($A314="","",$C314&amp;"")</f>
        <v/>
      </c>
      <c r="K314" s="94">
        <f>IF($A314="",0,($E314-$F314)*설정!$C$23)</f>
        <v/>
      </c>
    </row>
    <row r="315">
      <c r="A315" s="92" t="n">
        <v>2026</v>
      </c>
      <c r="B315" s="92" t="n">
        <v>3</v>
      </c>
      <c r="C315" s="92" t="n">
        <v>63501000</v>
      </c>
      <c r="D315" s="92" t="inlineStr">
        <is>
          <t>모집수수료</t>
        </is>
      </c>
      <c r="E315" s="93" t="n">
        <v>1778830000</v>
      </c>
      <c r="F315" s="93" t="n">
        <v>0</v>
      </c>
      <c r="G315" s="93" t="n">
        <v>5379883000</v>
      </c>
      <c r="I315" s="9">
        <f>IF($A315="","",VALUE($A315&amp;"")*12+VALUE($B315&amp;""))</f>
        <v/>
      </c>
      <c r="J315" s="9">
        <f>IF($A315="","",$C315&amp;"")</f>
        <v/>
      </c>
      <c r="K315" s="94">
        <f>IF($A315="",0,($E315-$F315)*설정!$C$23)</f>
        <v/>
      </c>
    </row>
    <row r="316">
      <c r="A316" s="92" t="n">
        <v>2026</v>
      </c>
      <c r="B316" s="92" t="n">
        <v>3</v>
      </c>
      <c r="C316" s="92" t="n">
        <v>63502000</v>
      </c>
      <c r="D316" s="92" t="inlineStr">
        <is>
          <t>유지수수료</t>
        </is>
      </c>
      <c r="E316" s="93" t="n">
        <v>443855000</v>
      </c>
      <c r="F316" s="93" t="n">
        <v>0</v>
      </c>
      <c r="G316" s="93" t="n">
        <v>1340423000</v>
      </c>
      <c r="I316" s="9">
        <f>IF($A316="","",VALUE($A316&amp;"")*12+VALUE($B316&amp;""))</f>
        <v/>
      </c>
      <c r="J316" s="9">
        <f>IF($A316="","",$C316&amp;"")</f>
        <v/>
      </c>
      <c r="K316" s="94">
        <f>IF($A316="",0,($E316-$F316)*설정!$C$23)</f>
        <v/>
      </c>
    </row>
    <row r="317">
      <c r="A317" s="92" t="n">
        <v>2026</v>
      </c>
      <c r="B317" s="92" t="n">
        <v>3</v>
      </c>
      <c r="C317" s="92" t="n">
        <v>63601000</v>
      </c>
      <c r="D317" s="92" t="inlineStr">
        <is>
          <t>손해조사비</t>
        </is>
      </c>
      <c r="E317" s="93" t="n">
        <v>31167000</v>
      </c>
      <c r="F317" s="93" t="n">
        <v>0</v>
      </c>
      <c r="G317" s="93" t="n">
        <v>91617000</v>
      </c>
      <c r="I317" s="9">
        <f>IF($A317="","",VALUE($A317&amp;"")*12+VALUE($B317&amp;""))</f>
        <v/>
      </c>
      <c r="J317" s="9">
        <f>IF($A317="","",$C317&amp;"")</f>
        <v/>
      </c>
      <c r="K317" s="94">
        <f>IF($A317="",0,($E317-$F317)*설정!$C$23)</f>
        <v/>
      </c>
    </row>
    <row r="318">
      <c r="A318" s="92" t="n">
        <v>2026</v>
      </c>
      <c r="B318" s="92" t="n">
        <v>3</v>
      </c>
      <c r="C318" s="92" t="n">
        <v>61101000</v>
      </c>
      <c r="D318" s="92" t="inlineStr">
        <is>
          <t>급여</t>
        </is>
      </c>
      <c r="E318" s="93" t="n">
        <v>822340000</v>
      </c>
      <c r="F318" s="93" t="n">
        <v>0</v>
      </c>
      <c r="G318" s="93" t="n">
        <v>2431245000</v>
      </c>
      <c r="I318" s="9">
        <f>IF($A318="","",VALUE($A318&amp;"")*12+VALUE($B318&amp;""))</f>
        <v/>
      </c>
      <c r="J318" s="9">
        <f>IF($A318="","",$C318&amp;"")</f>
        <v/>
      </c>
      <c r="K318" s="94">
        <f>IF($A318="",0,($E318-$F318)*설정!$C$23)</f>
        <v/>
      </c>
    </row>
    <row r="319">
      <c r="A319" s="92" t="n">
        <v>2026</v>
      </c>
      <c r="B319" s="92" t="n">
        <v>3</v>
      </c>
      <c r="C319" s="92" t="n">
        <v>61201000</v>
      </c>
      <c r="D319" s="92" t="inlineStr">
        <is>
          <t>복리후생비</t>
        </is>
      </c>
      <c r="E319" s="93" t="n">
        <v>117976000</v>
      </c>
      <c r="F319" s="93" t="n">
        <v>0</v>
      </c>
      <c r="G319" s="93" t="n">
        <v>358999000</v>
      </c>
      <c r="I319" s="9">
        <f>IF($A319="","",VALUE($A319&amp;"")*12+VALUE($B319&amp;""))</f>
        <v/>
      </c>
      <c r="J319" s="9">
        <f>IF($A319="","",$C319&amp;"")</f>
        <v/>
      </c>
      <c r="K319" s="94">
        <f>IF($A319="",0,($E319-$F319)*설정!$C$23)</f>
        <v/>
      </c>
    </row>
    <row r="320">
      <c r="A320" s="92" t="n">
        <v>2026</v>
      </c>
      <c r="B320" s="92" t="n">
        <v>4</v>
      </c>
      <c r="C320" s="92" t="n">
        <v>62101000</v>
      </c>
      <c r="D320" s="92" t="inlineStr">
        <is>
          <t>여비교통비-국내</t>
        </is>
      </c>
      <c r="E320" s="93" t="n">
        <v>18153000</v>
      </c>
      <c r="F320" s="93" t="n">
        <v>0</v>
      </c>
      <c r="G320" s="93" t="n">
        <v>72301000</v>
      </c>
      <c r="I320" s="9">
        <f>IF($A320="","",VALUE($A320&amp;"")*12+VALUE($B320&amp;""))</f>
        <v/>
      </c>
      <c r="J320" s="9">
        <f>IF($A320="","",$C320&amp;"")</f>
        <v/>
      </c>
      <c r="K320" s="94">
        <f>IF($A320="",0,($E320-$F320)*설정!$C$23)</f>
        <v/>
      </c>
    </row>
    <row r="321">
      <c r="A321" s="92" t="n">
        <v>2026</v>
      </c>
      <c r="B321" s="92" t="n">
        <v>4</v>
      </c>
      <c r="C321" s="92" t="n">
        <v>62102000</v>
      </c>
      <c r="D321" s="92" t="inlineStr">
        <is>
          <t>여비교통비-해외</t>
        </is>
      </c>
      <c r="E321" s="93" t="n">
        <v>3082000</v>
      </c>
      <c r="F321" s="93" t="n">
        <v>0</v>
      </c>
      <c r="G321" s="93" t="n">
        <v>12768000</v>
      </c>
      <c r="I321" s="9">
        <f>IF($A321="","",VALUE($A321&amp;"")*12+VALUE($B321&amp;""))</f>
        <v/>
      </c>
      <c r="J321" s="9">
        <f>IF($A321="","",$C321&amp;"")</f>
        <v/>
      </c>
      <c r="K321" s="94">
        <f>IF($A321="",0,($E321-$F321)*설정!$C$23)</f>
        <v/>
      </c>
    </row>
    <row r="322">
      <c r="A322" s="92" t="n">
        <v>2026</v>
      </c>
      <c r="B322" s="92" t="n">
        <v>4</v>
      </c>
      <c r="C322" s="92" t="n">
        <v>62201000</v>
      </c>
      <c r="D322" s="92" t="inlineStr">
        <is>
          <t>통신비</t>
        </is>
      </c>
      <c r="E322" s="93" t="n">
        <v>34445000</v>
      </c>
      <c r="F322" s="93" t="n">
        <v>0</v>
      </c>
      <c r="G322" s="93" t="n">
        <v>142459000</v>
      </c>
      <c r="I322" s="9">
        <f>IF($A322="","",VALUE($A322&amp;"")*12+VALUE($B322&amp;""))</f>
        <v/>
      </c>
      <c r="J322" s="9">
        <f>IF($A322="","",$C322&amp;"")</f>
        <v/>
      </c>
      <c r="K322" s="94">
        <f>IF($A322="",0,($E322-$F322)*설정!$C$23)</f>
        <v/>
      </c>
    </row>
    <row r="323">
      <c r="A323" s="92" t="n">
        <v>2026</v>
      </c>
      <c r="B323" s="92" t="n">
        <v>4</v>
      </c>
      <c r="C323" s="92" t="n">
        <v>62301000</v>
      </c>
      <c r="D323" s="92" t="inlineStr">
        <is>
          <t>소모품비</t>
        </is>
      </c>
      <c r="E323" s="93" t="n">
        <v>5944000</v>
      </c>
      <c r="F323" s="93" t="n">
        <v>0</v>
      </c>
      <c r="G323" s="93" t="n">
        <v>23262000</v>
      </c>
      <c r="I323" s="9">
        <f>IF($A323="","",VALUE($A323&amp;"")*12+VALUE($B323&amp;""))</f>
        <v/>
      </c>
      <c r="J323" s="9">
        <f>IF($A323="","",$C323&amp;"")</f>
        <v/>
      </c>
      <c r="K323" s="94">
        <f>IF($A323="",0,($E323-$F323)*설정!$C$23)</f>
        <v/>
      </c>
    </row>
    <row r="324">
      <c r="A324" s="92" t="n">
        <v>2026</v>
      </c>
      <c r="B324" s="92" t="n">
        <v>4</v>
      </c>
      <c r="C324" s="92" t="n">
        <v>62401000</v>
      </c>
      <c r="D324" s="92" t="inlineStr">
        <is>
          <t>도서인쇄비</t>
        </is>
      </c>
      <c r="E324" s="93" t="n">
        <v>12683000</v>
      </c>
      <c r="F324" s="93" t="n">
        <v>0</v>
      </c>
      <c r="G324" s="93" t="n">
        <v>51234000</v>
      </c>
      <c r="I324" s="9">
        <f>IF($A324="","",VALUE($A324&amp;"")*12+VALUE($B324&amp;""))</f>
        <v/>
      </c>
      <c r="J324" s="9">
        <f>IF($A324="","",$C324&amp;"")</f>
        <v/>
      </c>
      <c r="K324" s="94">
        <f>IF($A324="",0,($E324-$F324)*설정!$C$23)</f>
        <v/>
      </c>
    </row>
    <row r="325">
      <c r="A325" s="92" t="n">
        <v>2026</v>
      </c>
      <c r="B325" s="92" t="n">
        <v>4</v>
      </c>
      <c r="C325" s="92" t="n">
        <v>62501000</v>
      </c>
      <c r="D325" s="92" t="inlineStr">
        <is>
          <t>회의비</t>
        </is>
      </c>
      <c r="E325" s="93" t="n">
        <v>5689000</v>
      </c>
      <c r="F325" s="93" t="n">
        <v>0</v>
      </c>
      <c r="G325" s="93" t="n">
        <v>22215000</v>
      </c>
      <c r="I325" s="9">
        <f>IF($A325="","",VALUE($A325&amp;"")*12+VALUE($B325&amp;""))</f>
        <v/>
      </c>
      <c r="J325" s="9">
        <f>IF($A325="","",$C325&amp;"")</f>
        <v/>
      </c>
      <c r="K325" s="94">
        <f>IF($A325="",0,($E325-$F325)*설정!$C$23)</f>
        <v/>
      </c>
    </row>
    <row r="326">
      <c r="A326" s="92" t="n">
        <v>2026</v>
      </c>
      <c r="B326" s="92" t="n">
        <v>4</v>
      </c>
      <c r="C326" s="92" t="n">
        <v>62601000</v>
      </c>
      <c r="D326" s="92" t="inlineStr">
        <is>
          <t>업무추진비</t>
        </is>
      </c>
      <c r="E326" s="93" t="n">
        <v>10951000</v>
      </c>
      <c r="F326" s="93" t="n">
        <v>0</v>
      </c>
      <c r="G326" s="93" t="n">
        <v>43964000</v>
      </c>
      <c r="I326" s="9">
        <f>IF($A326="","",VALUE($A326&amp;"")*12+VALUE($B326&amp;""))</f>
        <v/>
      </c>
      <c r="J326" s="9">
        <f>IF($A326="","",$C326&amp;"")</f>
        <v/>
      </c>
      <c r="K326" s="94">
        <f>IF($A326="",0,($E326-$F326)*설정!$C$23)</f>
        <v/>
      </c>
    </row>
    <row r="327">
      <c r="A327" s="92" t="n">
        <v>2026</v>
      </c>
      <c r="B327" s="92" t="n">
        <v>4</v>
      </c>
      <c r="C327" s="92" t="n">
        <v>62701000</v>
      </c>
      <c r="D327" s="92" t="inlineStr">
        <is>
          <t>광고선전비</t>
        </is>
      </c>
      <c r="E327" s="93" t="n">
        <v>143200000</v>
      </c>
      <c r="F327" s="93" t="n">
        <v>0</v>
      </c>
      <c r="G327" s="93" t="n">
        <v>718000000</v>
      </c>
      <c r="I327" s="9">
        <f>IF($A327="","",VALUE($A327&amp;"")*12+VALUE($B327&amp;""))</f>
        <v/>
      </c>
      <c r="J327" s="9">
        <f>IF($A327="","",$C327&amp;"")</f>
        <v/>
      </c>
      <c r="K327" s="94">
        <f>IF($A327="",0,($E327-$F327)*설정!$C$23)</f>
        <v/>
      </c>
    </row>
    <row r="328">
      <c r="A328" s="92" t="n">
        <v>2026</v>
      </c>
      <c r="B328" s="92" t="n">
        <v>4</v>
      </c>
      <c r="C328" s="92" t="n">
        <v>62801000</v>
      </c>
      <c r="D328" s="92" t="inlineStr">
        <is>
          <t>교육훈련비-사내</t>
        </is>
      </c>
      <c r="E328" s="93" t="n">
        <v>13414000</v>
      </c>
      <c r="F328" s="93" t="n">
        <v>0</v>
      </c>
      <c r="G328" s="93" t="n">
        <v>55708000</v>
      </c>
      <c r="I328" s="9">
        <f>IF($A328="","",VALUE($A328&amp;"")*12+VALUE($B328&amp;""))</f>
        <v/>
      </c>
      <c r="J328" s="9">
        <f>IF($A328="","",$C328&amp;"")</f>
        <v/>
      </c>
      <c r="K328" s="94">
        <f>IF($A328="",0,($E328-$F328)*설정!$C$23)</f>
        <v/>
      </c>
    </row>
    <row r="329">
      <c r="A329" s="92" t="n">
        <v>2026</v>
      </c>
      <c r="B329" s="92" t="n">
        <v>4</v>
      </c>
      <c r="C329" s="92" t="n">
        <v>62802000</v>
      </c>
      <c r="D329" s="92" t="inlineStr">
        <is>
          <t>교육훈련비-외부위탁</t>
        </is>
      </c>
      <c r="E329" s="93" t="n">
        <v>12071000</v>
      </c>
      <c r="F329" s="93" t="n">
        <v>0</v>
      </c>
      <c r="G329" s="93" t="n">
        <v>44149000</v>
      </c>
      <c r="I329" s="9">
        <f>IF($A329="","",VALUE($A329&amp;"")*12+VALUE($B329&amp;""))</f>
        <v/>
      </c>
      <c r="J329" s="9">
        <f>IF($A329="","",$C329&amp;"")</f>
        <v/>
      </c>
      <c r="K329" s="94">
        <f>IF($A329="",0,($E329-$F329)*설정!$C$23)</f>
        <v/>
      </c>
    </row>
    <row r="330">
      <c r="A330" s="92" t="n">
        <v>2026</v>
      </c>
      <c r="B330" s="92" t="n">
        <v>4</v>
      </c>
      <c r="C330" s="92" t="n">
        <v>62901000</v>
      </c>
      <c r="D330" s="92" t="inlineStr">
        <is>
          <t>지급수수료-컨설팅</t>
        </is>
      </c>
      <c r="E330" s="93" t="n">
        <v>97052000</v>
      </c>
      <c r="F330" s="93" t="n">
        <v>0</v>
      </c>
      <c r="G330" s="93" t="n">
        <v>399972000</v>
      </c>
      <c r="I330" s="9">
        <f>IF($A330="","",VALUE($A330&amp;"")*12+VALUE($B330&amp;""))</f>
        <v/>
      </c>
      <c r="J330" s="9">
        <f>IF($A330="","",$C330&amp;"")</f>
        <v/>
      </c>
      <c r="K330" s="94">
        <f>IF($A330="",0,($E330-$F330)*설정!$C$23)</f>
        <v/>
      </c>
    </row>
    <row r="331">
      <c r="A331" s="92" t="n">
        <v>2026</v>
      </c>
      <c r="B331" s="92" t="n">
        <v>4</v>
      </c>
      <c r="C331" s="92" t="n">
        <v>62902000</v>
      </c>
      <c r="D331" s="92" t="inlineStr">
        <is>
          <t>지급수수료-기타</t>
        </is>
      </c>
      <c r="E331" s="93" t="n">
        <v>52204000</v>
      </c>
      <c r="F331" s="93" t="n">
        <v>0</v>
      </c>
      <c r="G331" s="93" t="n">
        <v>209114000</v>
      </c>
      <c r="I331" s="9">
        <f>IF($A331="","",VALUE($A331&amp;"")*12+VALUE($B331&amp;""))</f>
        <v/>
      </c>
      <c r="J331" s="9">
        <f>IF($A331="","",$C331&amp;"")</f>
        <v/>
      </c>
      <c r="K331" s="94">
        <f>IF($A331="",0,($E331-$F331)*설정!$C$23)</f>
        <v/>
      </c>
    </row>
    <row r="332">
      <c r="A332" s="92" t="n">
        <v>2026</v>
      </c>
      <c r="B332" s="92" t="n">
        <v>4</v>
      </c>
      <c r="C332" s="92" t="n">
        <v>63001000</v>
      </c>
      <c r="D332" s="92" t="inlineStr">
        <is>
          <t>전산운영비-SW유지보수</t>
        </is>
      </c>
      <c r="E332" s="93" t="n">
        <v>97774000</v>
      </c>
      <c r="F332" s="93" t="n">
        <v>0</v>
      </c>
      <c r="G332" s="93" t="n">
        <v>419026000</v>
      </c>
      <c r="I332" s="9">
        <f>IF($A332="","",VALUE($A332&amp;"")*12+VALUE($B332&amp;""))</f>
        <v/>
      </c>
      <c r="J332" s="9">
        <f>IF($A332="","",$C332&amp;"")</f>
        <v/>
      </c>
      <c r="K332" s="94">
        <f>IF($A332="",0,($E332-$F332)*설정!$C$23)</f>
        <v/>
      </c>
    </row>
    <row r="333">
      <c r="A333" s="92" t="n">
        <v>2026</v>
      </c>
      <c r="B333" s="92" t="n">
        <v>4</v>
      </c>
      <c r="C333" s="92" t="n">
        <v>63002000</v>
      </c>
      <c r="D333" s="92" t="inlineStr">
        <is>
          <t>전산운영비-클라우드</t>
        </is>
      </c>
      <c r="E333" s="93" t="n">
        <v>87777000</v>
      </c>
      <c r="F333" s="93" t="n">
        <v>0</v>
      </c>
      <c r="G333" s="93" t="n">
        <v>346956000</v>
      </c>
      <c r="I333" s="9">
        <f>IF($A333="","",VALUE($A333&amp;"")*12+VALUE($B333&amp;""))</f>
        <v/>
      </c>
      <c r="J333" s="9">
        <f>IF($A333="","",$C333&amp;"")</f>
        <v/>
      </c>
      <c r="K333" s="94">
        <f>IF($A333="",0,($E333-$F333)*설정!$C$23)</f>
        <v/>
      </c>
    </row>
    <row r="334">
      <c r="A334" s="92" t="n">
        <v>2026</v>
      </c>
      <c r="B334" s="92" t="n">
        <v>4</v>
      </c>
      <c r="C334" s="92" t="n">
        <v>63101000</v>
      </c>
      <c r="D334" s="92" t="inlineStr">
        <is>
          <t>임차료</t>
        </is>
      </c>
      <c r="E334" s="93" t="n">
        <v>15340000</v>
      </c>
      <c r="F334" s="93" t="n">
        <v>0</v>
      </c>
      <c r="G334" s="93" t="n">
        <v>62025000</v>
      </c>
      <c r="I334" s="9">
        <f>IF($A334="","",VALUE($A334&amp;"")*12+VALUE($B334&amp;""))</f>
        <v/>
      </c>
      <c r="J334" s="9">
        <f>IF($A334="","",$C334&amp;"")</f>
        <v/>
      </c>
      <c r="K334" s="94">
        <f>IF($A334="",0,($E334-$F334)*설정!$C$23)</f>
        <v/>
      </c>
    </row>
    <row r="335">
      <c r="A335" s="92" t="n">
        <v>2026</v>
      </c>
      <c r="B335" s="92" t="n">
        <v>4</v>
      </c>
      <c r="C335" s="92" t="n">
        <v>63201000</v>
      </c>
      <c r="D335" s="92" t="inlineStr">
        <is>
          <t>차량유지비</t>
        </is>
      </c>
      <c r="E335" s="93" t="n">
        <v>7870000</v>
      </c>
      <c r="F335" s="93" t="n">
        <v>0</v>
      </c>
      <c r="G335" s="93" t="n">
        <v>31865000</v>
      </c>
      <c r="I335" s="9">
        <f>IF($A335="","",VALUE($A335&amp;"")*12+VALUE($B335&amp;""))</f>
        <v/>
      </c>
      <c r="J335" s="9">
        <f>IF($A335="","",$C335&amp;"")</f>
        <v/>
      </c>
      <c r="K335" s="94">
        <f>IF($A335="",0,($E335-$F335)*설정!$C$23)</f>
        <v/>
      </c>
    </row>
    <row r="336">
      <c r="A336" s="92" t="n">
        <v>2026</v>
      </c>
      <c r="B336" s="92" t="n">
        <v>4</v>
      </c>
      <c r="C336" s="92" t="n">
        <v>63501000</v>
      </c>
      <c r="D336" s="92" t="inlineStr">
        <is>
          <t>모집수수료</t>
        </is>
      </c>
      <c r="E336" s="93" t="n">
        <v>1777139000</v>
      </c>
      <c r="F336" s="93" t="n">
        <v>0</v>
      </c>
      <c r="G336" s="93" t="n">
        <v>7157022000</v>
      </c>
      <c r="I336" s="9">
        <f>IF($A336="","",VALUE($A336&amp;"")*12+VALUE($B336&amp;""))</f>
        <v/>
      </c>
      <c r="J336" s="9">
        <f>IF($A336="","",$C336&amp;"")</f>
        <v/>
      </c>
      <c r="K336" s="94">
        <f>IF($A336="",0,($E336-$F336)*설정!$C$23)</f>
        <v/>
      </c>
    </row>
    <row r="337">
      <c r="A337" s="92" t="n">
        <v>2026</v>
      </c>
      <c r="B337" s="92" t="n">
        <v>4</v>
      </c>
      <c r="C337" s="92" t="n">
        <v>63502000</v>
      </c>
      <c r="D337" s="92" t="inlineStr">
        <is>
          <t>유지수수료</t>
        </is>
      </c>
      <c r="E337" s="93" t="n">
        <v>447602000</v>
      </c>
      <c r="F337" s="93" t="n">
        <v>0</v>
      </c>
      <c r="G337" s="93" t="n">
        <v>1788025000</v>
      </c>
      <c r="I337" s="9">
        <f>IF($A337="","",VALUE($A337&amp;"")*12+VALUE($B337&amp;""))</f>
        <v/>
      </c>
      <c r="J337" s="9">
        <f>IF($A337="","",$C337&amp;"")</f>
        <v/>
      </c>
      <c r="K337" s="94">
        <f>IF($A337="",0,($E337-$F337)*설정!$C$23)</f>
        <v/>
      </c>
    </row>
    <row r="338">
      <c r="A338" s="92" t="n">
        <v>2026</v>
      </c>
      <c r="B338" s="92" t="n">
        <v>4</v>
      </c>
      <c r="C338" s="92" t="n">
        <v>63601000</v>
      </c>
      <c r="D338" s="92" t="inlineStr">
        <is>
          <t>손해조사비</t>
        </is>
      </c>
      <c r="E338" s="93" t="n">
        <v>30935000</v>
      </c>
      <c r="F338" s="93" t="n">
        <v>0</v>
      </c>
      <c r="G338" s="93" t="n">
        <v>122552000</v>
      </c>
      <c r="I338" s="9">
        <f>IF($A338="","",VALUE($A338&amp;"")*12+VALUE($B338&amp;""))</f>
        <v/>
      </c>
      <c r="J338" s="9">
        <f>IF($A338="","",$C338&amp;"")</f>
        <v/>
      </c>
      <c r="K338" s="94">
        <f>IF($A338="",0,($E338-$F338)*설정!$C$23)</f>
        <v/>
      </c>
    </row>
    <row r="339">
      <c r="A339" s="92" t="n">
        <v>2026</v>
      </c>
      <c r="B339" s="92" t="n">
        <v>4</v>
      </c>
      <c r="C339" s="92" t="n">
        <v>61101000</v>
      </c>
      <c r="D339" s="92" t="inlineStr">
        <is>
          <t>급여</t>
        </is>
      </c>
      <c r="E339" s="93" t="n">
        <v>819386000</v>
      </c>
      <c r="F339" s="93" t="n">
        <v>0</v>
      </c>
      <c r="G339" s="93" t="n">
        <v>3250631000</v>
      </c>
      <c r="I339" s="9">
        <f>IF($A339="","",VALUE($A339&amp;"")*12+VALUE($B339&amp;""))</f>
        <v/>
      </c>
      <c r="J339" s="9">
        <f>IF($A339="","",$C339&amp;"")</f>
        <v/>
      </c>
      <c r="K339" s="94">
        <f>IF($A339="",0,($E339-$F339)*설정!$C$23)</f>
        <v/>
      </c>
    </row>
    <row r="340">
      <c r="A340" s="92" t="n">
        <v>2026</v>
      </c>
      <c r="B340" s="92" t="n">
        <v>4</v>
      </c>
      <c r="C340" s="92" t="n">
        <v>61201000</v>
      </c>
      <c r="D340" s="92" t="inlineStr">
        <is>
          <t>복리후생비</t>
        </is>
      </c>
      <c r="E340" s="93" t="n">
        <v>122617000</v>
      </c>
      <c r="F340" s="93" t="n">
        <v>0</v>
      </c>
      <c r="G340" s="93" t="n">
        <v>481616000</v>
      </c>
      <c r="I340" s="9">
        <f>IF($A340="","",VALUE($A340&amp;"")*12+VALUE($B340&amp;""))</f>
        <v/>
      </c>
      <c r="J340" s="9">
        <f>IF($A340="","",$C340&amp;"")</f>
        <v/>
      </c>
      <c r="K340" s="94">
        <f>IF($A340="",0,($E340-$F340)*설정!$C$23)</f>
        <v/>
      </c>
    </row>
    <row r="341">
      <c r="A341" s="92" t="n">
        <v>2026</v>
      </c>
      <c r="B341" s="92" t="n">
        <v>5</v>
      </c>
      <c r="C341" s="92" t="n">
        <v>62101000</v>
      </c>
      <c r="D341" s="92" t="inlineStr">
        <is>
          <t>여비교통비-국내</t>
        </is>
      </c>
      <c r="E341" s="93" t="n">
        <v>18278000</v>
      </c>
      <c r="F341" s="93" t="n">
        <v>0</v>
      </c>
      <c r="G341" s="93" t="n">
        <v>90579000</v>
      </c>
      <c r="I341" s="9">
        <f>IF($A341="","",VALUE($A341&amp;"")*12+VALUE($B341&amp;""))</f>
        <v/>
      </c>
      <c r="J341" s="9">
        <f>IF($A341="","",$C341&amp;"")</f>
        <v/>
      </c>
      <c r="K341" s="94">
        <f>IF($A341="",0,($E341-$F341)*설정!$C$23)</f>
        <v/>
      </c>
    </row>
    <row r="342">
      <c r="A342" s="92" t="n">
        <v>2026</v>
      </c>
      <c r="B342" s="92" t="n">
        <v>5</v>
      </c>
      <c r="C342" s="92" t="n">
        <v>62102000</v>
      </c>
      <c r="D342" s="92" t="inlineStr">
        <is>
          <t>여비교통비-해외</t>
        </is>
      </c>
      <c r="E342" s="93" t="n">
        <v>3045000</v>
      </c>
      <c r="F342" s="93" t="n">
        <v>0</v>
      </c>
      <c r="G342" s="93" t="n">
        <v>15813000</v>
      </c>
      <c r="I342" s="9">
        <f>IF($A342="","",VALUE($A342&amp;"")*12+VALUE($B342&amp;""))</f>
        <v/>
      </c>
      <c r="J342" s="9">
        <f>IF($A342="","",$C342&amp;"")</f>
        <v/>
      </c>
      <c r="K342" s="94">
        <f>IF($A342="",0,($E342-$F342)*설정!$C$23)</f>
        <v/>
      </c>
    </row>
    <row r="343">
      <c r="A343" s="92" t="n">
        <v>2026</v>
      </c>
      <c r="B343" s="92" t="n">
        <v>5</v>
      </c>
      <c r="C343" s="92" t="n">
        <v>62201000</v>
      </c>
      <c r="D343" s="92" t="inlineStr">
        <is>
          <t>통신비</t>
        </is>
      </c>
      <c r="E343" s="93" t="n">
        <v>38390000</v>
      </c>
      <c r="F343" s="93" t="n">
        <v>0</v>
      </c>
      <c r="G343" s="93" t="n">
        <v>180849000</v>
      </c>
      <c r="I343" s="9">
        <f>IF($A343="","",VALUE($A343&amp;"")*12+VALUE($B343&amp;""))</f>
        <v/>
      </c>
      <c r="J343" s="9">
        <f>IF($A343="","",$C343&amp;"")</f>
        <v/>
      </c>
      <c r="K343" s="94">
        <f>IF($A343="",0,($E343-$F343)*설정!$C$23)</f>
        <v/>
      </c>
    </row>
    <row r="344">
      <c r="A344" s="92" t="n">
        <v>2026</v>
      </c>
      <c r="B344" s="92" t="n">
        <v>5</v>
      </c>
      <c r="C344" s="92" t="n">
        <v>62301000</v>
      </c>
      <c r="D344" s="92" t="inlineStr">
        <is>
          <t>소모품비</t>
        </is>
      </c>
      <c r="E344" s="93" t="n">
        <v>5711000</v>
      </c>
      <c r="F344" s="93" t="n">
        <v>0</v>
      </c>
      <c r="G344" s="93" t="n">
        <v>28973000</v>
      </c>
      <c r="I344" s="9">
        <f>IF($A344="","",VALUE($A344&amp;"")*12+VALUE($B344&amp;""))</f>
        <v/>
      </c>
      <c r="J344" s="9">
        <f>IF($A344="","",$C344&amp;"")</f>
        <v/>
      </c>
      <c r="K344" s="94">
        <f>IF($A344="",0,($E344-$F344)*설정!$C$23)</f>
        <v/>
      </c>
    </row>
    <row r="345">
      <c r="A345" s="92" t="n">
        <v>2026</v>
      </c>
      <c r="B345" s="92" t="n">
        <v>5</v>
      </c>
      <c r="C345" s="92" t="n">
        <v>62401000</v>
      </c>
      <c r="D345" s="92" t="inlineStr">
        <is>
          <t>도서인쇄비</t>
        </is>
      </c>
      <c r="E345" s="93" t="n">
        <v>12604000</v>
      </c>
      <c r="F345" s="93" t="n">
        <v>0</v>
      </c>
      <c r="G345" s="93" t="n">
        <v>63838000</v>
      </c>
      <c r="I345" s="9">
        <f>IF($A345="","",VALUE($A345&amp;"")*12+VALUE($B345&amp;""))</f>
        <v/>
      </c>
      <c r="J345" s="9">
        <f>IF($A345="","",$C345&amp;"")</f>
        <v/>
      </c>
      <c r="K345" s="94">
        <f>IF($A345="",0,($E345-$F345)*설정!$C$23)</f>
        <v/>
      </c>
    </row>
    <row r="346">
      <c r="A346" s="92" t="n">
        <v>2026</v>
      </c>
      <c r="B346" s="92" t="n">
        <v>5</v>
      </c>
      <c r="C346" s="92" t="n">
        <v>62501000</v>
      </c>
      <c r="D346" s="92" t="inlineStr">
        <is>
          <t>회의비</t>
        </is>
      </c>
      <c r="E346" s="93" t="n">
        <v>5403000</v>
      </c>
      <c r="F346" s="93" t="n">
        <v>0</v>
      </c>
      <c r="G346" s="93" t="n">
        <v>27618000</v>
      </c>
      <c r="I346" s="9">
        <f>IF($A346="","",VALUE($A346&amp;"")*12+VALUE($B346&amp;""))</f>
        <v/>
      </c>
      <c r="J346" s="9">
        <f>IF($A346="","",$C346&amp;"")</f>
        <v/>
      </c>
      <c r="K346" s="94">
        <f>IF($A346="",0,($E346-$F346)*설정!$C$23)</f>
        <v/>
      </c>
    </row>
    <row r="347">
      <c r="A347" s="92" t="n">
        <v>2026</v>
      </c>
      <c r="B347" s="92" t="n">
        <v>5</v>
      </c>
      <c r="C347" s="92" t="n">
        <v>62601000</v>
      </c>
      <c r="D347" s="92" t="inlineStr">
        <is>
          <t>업무추진비</t>
        </is>
      </c>
      <c r="E347" s="93" t="n">
        <v>11134000</v>
      </c>
      <c r="F347" s="93" t="n">
        <v>0</v>
      </c>
      <c r="G347" s="93" t="n">
        <v>55098000</v>
      </c>
      <c r="I347" s="9">
        <f>IF($A347="","",VALUE($A347&amp;"")*12+VALUE($B347&amp;""))</f>
        <v/>
      </c>
      <c r="J347" s="9">
        <f>IF($A347="","",$C347&amp;"")</f>
        <v/>
      </c>
      <c r="K347" s="94">
        <f>IF($A347="",0,($E347-$F347)*설정!$C$23)</f>
        <v/>
      </c>
    </row>
    <row r="348">
      <c r="A348" s="92" t="n">
        <v>2026</v>
      </c>
      <c r="B348" s="92" t="n">
        <v>5</v>
      </c>
      <c r="C348" s="92" t="n">
        <v>62701000</v>
      </c>
      <c r="D348" s="92" t="inlineStr">
        <is>
          <t>광고선전비</t>
        </is>
      </c>
      <c r="E348" s="93" t="n">
        <v>130001000</v>
      </c>
      <c r="F348" s="93" t="n">
        <v>0</v>
      </c>
      <c r="G348" s="93" t="n">
        <v>848001000</v>
      </c>
      <c r="I348" s="9">
        <f>IF($A348="","",VALUE($A348&amp;"")*12+VALUE($B348&amp;""))</f>
        <v/>
      </c>
      <c r="J348" s="9">
        <f>IF($A348="","",$C348&amp;"")</f>
        <v/>
      </c>
      <c r="K348" s="94">
        <f>IF($A348="",0,($E348-$F348)*설정!$C$23)</f>
        <v/>
      </c>
    </row>
    <row r="349">
      <c r="A349" s="92" t="n">
        <v>2026</v>
      </c>
      <c r="B349" s="92" t="n">
        <v>5</v>
      </c>
      <c r="C349" s="92" t="n">
        <v>62801000</v>
      </c>
      <c r="D349" s="92" t="inlineStr">
        <is>
          <t>교육훈련비-사내</t>
        </is>
      </c>
      <c r="E349" s="93" t="n">
        <v>15264000</v>
      </c>
      <c r="F349" s="93" t="n">
        <v>0</v>
      </c>
      <c r="G349" s="93" t="n">
        <v>70972000</v>
      </c>
      <c r="I349" s="9">
        <f>IF($A349="","",VALUE($A349&amp;"")*12+VALUE($B349&amp;""))</f>
        <v/>
      </c>
      <c r="J349" s="9">
        <f>IF($A349="","",$C349&amp;"")</f>
        <v/>
      </c>
      <c r="K349" s="94">
        <f>IF($A349="",0,($E349-$F349)*설정!$C$23)</f>
        <v/>
      </c>
    </row>
    <row r="350">
      <c r="A350" s="92" t="n">
        <v>2026</v>
      </c>
      <c r="B350" s="92" t="n">
        <v>5</v>
      </c>
      <c r="C350" s="92" t="n">
        <v>62802000</v>
      </c>
      <c r="D350" s="92" t="inlineStr">
        <is>
          <t>교육훈련비-외부위탁</t>
        </is>
      </c>
      <c r="E350" s="93" t="n">
        <v>11444000</v>
      </c>
      <c r="F350" s="93" t="n">
        <v>0</v>
      </c>
      <c r="G350" s="93" t="n">
        <v>55593000</v>
      </c>
      <c r="I350" s="9">
        <f>IF($A350="","",VALUE($A350&amp;"")*12+VALUE($B350&amp;""))</f>
        <v/>
      </c>
      <c r="J350" s="9">
        <f>IF($A350="","",$C350&amp;"")</f>
        <v/>
      </c>
      <c r="K350" s="94">
        <f>IF($A350="",0,($E350-$F350)*설정!$C$23)</f>
        <v/>
      </c>
    </row>
    <row r="351">
      <c r="A351" s="92" t="n">
        <v>2026</v>
      </c>
      <c r="B351" s="92" t="n">
        <v>5</v>
      </c>
      <c r="C351" s="92" t="n">
        <v>62901000</v>
      </c>
      <c r="D351" s="92" t="inlineStr">
        <is>
          <t>지급수수료-컨설팅</t>
        </is>
      </c>
      <c r="E351" s="93" t="n">
        <v>102982000</v>
      </c>
      <c r="F351" s="93" t="n">
        <v>0</v>
      </c>
      <c r="G351" s="93" t="n">
        <v>502954000</v>
      </c>
      <c r="I351" s="9">
        <f>IF($A351="","",VALUE($A351&amp;"")*12+VALUE($B351&amp;""))</f>
        <v/>
      </c>
      <c r="J351" s="9">
        <f>IF($A351="","",$C351&amp;"")</f>
        <v/>
      </c>
      <c r="K351" s="94">
        <f>IF($A351="",0,($E351-$F351)*설정!$C$23)</f>
        <v/>
      </c>
    </row>
    <row r="352">
      <c r="A352" s="92" t="n">
        <v>2026</v>
      </c>
      <c r="B352" s="92" t="n">
        <v>5</v>
      </c>
      <c r="C352" s="92" t="n">
        <v>62902000</v>
      </c>
      <c r="D352" s="92" t="inlineStr">
        <is>
          <t>지급수수료-기타</t>
        </is>
      </c>
      <c r="E352" s="93" t="n">
        <v>50684000</v>
      </c>
      <c r="F352" s="93" t="n">
        <v>0</v>
      </c>
      <c r="G352" s="93" t="n">
        <v>259798000</v>
      </c>
      <c r="I352" s="9">
        <f>IF($A352="","",VALUE($A352&amp;"")*12+VALUE($B352&amp;""))</f>
        <v/>
      </c>
      <c r="J352" s="9">
        <f>IF($A352="","",$C352&amp;"")</f>
        <v/>
      </c>
      <c r="K352" s="94">
        <f>IF($A352="",0,($E352-$F352)*설정!$C$23)</f>
        <v/>
      </c>
    </row>
    <row r="353">
      <c r="A353" s="92" t="n">
        <v>2026</v>
      </c>
      <c r="B353" s="92" t="n">
        <v>5</v>
      </c>
      <c r="C353" s="92" t="n">
        <v>63001000</v>
      </c>
      <c r="D353" s="92" t="inlineStr">
        <is>
          <t>전산운영비-SW유지보수</t>
        </is>
      </c>
      <c r="E353" s="93" t="n">
        <v>99457000</v>
      </c>
      <c r="F353" s="93" t="n">
        <v>0</v>
      </c>
      <c r="G353" s="93" t="n">
        <v>518483000</v>
      </c>
      <c r="I353" s="9">
        <f>IF($A353="","",VALUE($A353&amp;"")*12+VALUE($B353&amp;""))</f>
        <v/>
      </c>
      <c r="J353" s="9">
        <f>IF($A353="","",$C353&amp;"")</f>
        <v/>
      </c>
      <c r="K353" s="94">
        <f>IF($A353="",0,($E353-$F353)*설정!$C$23)</f>
        <v/>
      </c>
    </row>
    <row r="354">
      <c r="A354" s="92" t="n">
        <v>2026</v>
      </c>
      <c r="B354" s="92" t="n">
        <v>5</v>
      </c>
      <c r="C354" s="92" t="n">
        <v>63002000</v>
      </c>
      <c r="D354" s="92" t="inlineStr">
        <is>
          <t>전산운영비-클라우드</t>
        </is>
      </c>
      <c r="E354" s="93" t="n">
        <v>87178000</v>
      </c>
      <c r="F354" s="93" t="n">
        <v>0</v>
      </c>
      <c r="G354" s="93" t="n">
        <v>434134000</v>
      </c>
      <c r="I354" s="9">
        <f>IF($A354="","",VALUE($A354&amp;"")*12+VALUE($B354&amp;""))</f>
        <v/>
      </c>
      <c r="J354" s="9">
        <f>IF($A354="","",$C354&amp;"")</f>
        <v/>
      </c>
      <c r="K354" s="94">
        <f>IF($A354="",0,($E354-$F354)*설정!$C$23)</f>
        <v/>
      </c>
    </row>
    <row r="355">
      <c r="A355" s="92" t="n">
        <v>2026</v>
      </c>
      <c r="B355" s="92" t="n">
        <v>5</v>
      </c>
      <c r="C355" s="92" t="n">
        <v>63101000</v>
      </c>
      <c r="D355" s="92" t="inlineStr">
        <is>
          <t>임차료</t>
        </is>
      </c>
      <c r="E355" s="93" t="n">
        <v>16666000</v>
      </c>
      <c r="F355" s="93" t="n">
        <v>0</v>
      </c>
      <c r="G355" s="93" t="n">
        <v>78691000</v>
      </c>
      <c r="I355" s="9">
        <f>IF($A355="","",VALUE($A355&amp;"")*12+VALUE($B355&amp;""))</f>
        <v/>
      </c>
      <c r="J355" s="9">
        <f>IF($A355="","",$C355&amp;"")</f>
        <v/>
      </c>
      <c r="K355" s="94">
        <f>IF($A355="",0,($E355-$F355)*설정!$C$23)</f>
        <v/>
      </c>
    </row>
    <row r="356">
      <c r="A356" s="92" t="n">
        <v>2026</v>
      </c>
      <c r="B356" s="92" t="n">
        <v>5</v>
      </c>
      <c r="C356" s="92" t="n">
        <v>63201000</v>
      </c>
      <c r="D356" s="92" t="inlineStr">
        <is>
          <t>차량유지비</t>
        </is>
      </c>
      <c r="E356" s="93" t="n">
        <v>7705000</v>
      </c>
      <c r="F356" s="93" t="n">
        <v>0</v>
      </c>
      <c r="G356" s="93" t="n">
        <v>39570000</v>
      </c>
      <c r="I356" s="9">
        <f>IF($A356="","",VALUE($A356&amp;"")*12+VALUE($B356&amp;""))</f>
        <v/>
      </c>
      <c r="J356" s="9">
        <f>IF($A356="","",$C356&amp;"")</f>
        <v/>
      </c>
      <c r="K356" s="94">
        <f>IF($A356="",0,($E356-$F356)*설정!$C$23)</f>
        <v/>
      </c>
    </row>
    <row r="357">
      <c r="A357" s="92" t="n">
        <v>2026</v>
      </c>
      <c r="B357" s="92" t="n">
        <v>5</v>
      </c>
      <c r="C357" s="92" t="n">
        <v>63501000</v>
      </c>
      <c r="D357" s="92" t="inlineStr">
        <is>
          <t>모집수수료</t>
        </is>
      </c>
      <c r="E357" s="93" t="n">
        <v>1783917000</v>
      </c>
      <c r="F357" s="93" t="n">
        <v>0</v>
      </c>
      <c r="G357" s="93" t="n">
        <v>8940939000</v>
      </c>
      <c r="I357" s="9">
        <f>IF($A357="","",VALUE($A357&amp;"")*12+VALUE($B357&amp;""))</f>
        <v/>
      </c>
      <c r="J357" s="9">
        <f>IF($A357="","",$C357&amp;"")</f>
        <v/>
      </c>
      <c r="K357" s="94">
        <f>IF($A357="",0,($E357-$F357)*설정!$C$23)</f>
        <v/>
      </c>
    </row>
    <row r="358">
      <c r="A358" s="92" t="n">
        <v>2026</v>
      </c>
      <c r="B358" s="92" t="n">
        <v>5</v>
      </c>
      <c r="C358" s="92" t="n">
        <v>63502000</v>
      </c>
      <c r="D358" s="92" t="inlineStr">
        <is>
          <t>유지수수료</t>
        </is>
      </c>
      <c r="E358" s="93" t="n">
        <v>449604000</v>
      </c>
      <c r="F358" s="93" t="n">
        <v>0</v>
      </c>
      <c r="G358" s="93" t="n">
        <v>2237629000</v>
      </c>
      <c r="I358" s="9">
        <f>IF($A358="","",VALUE($A358&amp;"")*12+VALUE($B358&amp;""))</f>
        <v/>
      </c>
      <c r="J358" s="9">
        <f>IF($A358="","",$C358&amp;"")</f>
        <v/>
      </c>
      <c r="K358" s="94">
        <f>IF($A358="",0,($E358-$F358)*설정!$C$23)</f>
        <v/>
      </c>
    </row>
    <row r="359">
      <c r="A359" s="92" t="n">
        <v>2026</v>
      </c>
      <c r="B359" s="92" t="n">
        <v>5</v>
      </c>
      <c r="C359" s="92" t="n">
        <v>63601000</v>
      </c>
      <c r="D359" s="92" t="inlineStr">
        <is>
          <t>손해조사비</t>
        </is>
      </c>
      <c r="E359" s="93" t="n">
        <v>29305000</v>
      </c>
      <c r="F359" s="93" t="n">
        <v>0</v>
      </c>
      <c r="G359" s="93" t="n">
        <v>151857000</v>
      </c>
      <c r="I359" s="9">
        <f>IF($A359="","",VALUE($A359&amp;"")*12+VALUE($B359&amp;""))</f>
        <v/>
      </c>
      <c r="J359" s="9">
        <f>IF($A359="","",$C359&amp;"")</f>
        <v/>
      </c>
      <c r="K359" s="94">
        <f>IF($A359="",0,($E359-$F359)*설정!$C$23)</f>
        <v/>
      </c>
    </row>
    <row r="360">
      <c r="A360" s="92" t="n">
        <v>2026</v>
      </c>
      <c r="B360" s="92" t="n">
        <v>5</v>
      </c>
      <c r="C360" s="92" t="n">
        <v>61101000</v>
      </c>
      <c r="D360" s="92" t="inlineStr">
        <is>
          <t>급여</t>
        </is>
      </c>
      <c r="E360" s="93" t="n">
        <v>802827000</v>
      </c>
      <c r="F360" s="93" t="n">
        <v>0</v>
      </c>
      <c r="G360" s="93" t="n">
        <v>4053458000</v>
      </c>
      <c r="I360" s="9">
        <f>IF($A360="","",VALUE($A360&amp;"")*12+VALUE($B360&amp;""))</f>
        <v/>
      </c>
      <c r="J360" s="9">
        <f>IF($A360="","",$C360&amp;"")</f>
        <v/>
      </c>
      <c r="K360" s="94">
        <f>IF($A360="",0,($E360-$F360)*설정!$C$23)</f>
        <v/>
      </c>
    </row>
    <row r="361">
      <c r="A361" s="92" t="n">
        <v>2026</v>
      </c>
      <c r="B361" s="92" t="n">
        <v>5</v>
      </c>
      <c r="C361" s="92" t="n">
        <v>61201000</v>
      </c>
      <c r="D361" s="92" t="inlineStr">
        <is>
          <t>복리후생비</t>
        </is>
      </c>
      <c r="E361" s="93" t="n">
        <v>118038000</v>
      </c>
      <c r="F361" s="93" t="n">
        <v>0</v>
      </c>
      <c r="G361" s="93" t="n">
        <v>599654000</v>
      </c>
      <c r="I361" s="9">
        <f>IF($A361="","",VALUE($A361&amp;"")*12+VALUE($B361&amp;""))</f>
        <v/>
      </c>
      <c r="J361" s="9">
        <f>IF($A361="","",$C361&amp;"")</f>
        <v/>
      </c>
      <c r="K361" s="94">
        <f>IF($A361="",0,($E361-$F361)*설정!$C$23)</f>
        <v/>
      </c>
    </row>
    <row r="362">
      <c r="A362" s="92" t="n">
        <v>2026</v>
      </c>
      <c r="B362" s="92" t="n">
        <v>6</v>
      </c>
      <c r="C362" s="92" t="n">
        <v>62101000</v>
      </c>
      <c r="D362" s="92" t="inlineStr">
        <is>
          <t>여비교통비-국내</t>
        </is>
      </c>
      <c r="E362" s="93" t="n">
        <v>18560000</v>
      </c>
      <c r="F362" s="93" t="n">
        <v>0</v>
      </c>
      <c r="G362" s="93" t="n">
        <v>109139000</v>
      </c>
      <c r="I362" s="9">
        <f>IF($A362="","",VALUE($A362&amp;"")*12+VALUE($B362&amp;""))</f>
        <v/>
      </c>
      <c r="J362" s="9">
        <f>IF($A362="","",$C362&amp;"")</f>
        <v/>
      </c>
      <c r="K362" s="94">
        <f>IF($A362="",0,($E362-$F362)*설정!$C$23)</f>
        <v/>
      </c>
    </row>
    <row r="363">
      <c r="A363" s="92" t="n">
        <v>2026</v>
      </c>
      <c r="B363" s="92" t="n">
        <v>6</v>
      </c>
      <c r="C363" s="92" t="n">
        <v>62102000</v>
      </c>
      <c r="D363" s="92" t="inlineStr">
        <is>
          <t>여비교통비-해외</t>
        </is>
      </c>
      <c r="E363" s="93" t="n">
        <v>3295000</v>
      </c>
      <c r="F363" s="93" t="n">
        <v>0</v>
      </c>
      <c r="G363" s="93" t="n">
        <v>19108000</v>
      </c>
      <c r="I363" s="9">
        <f>IF($A363="","",VALUE($A363&amp;"")*12+VALUE($B363&amp;""))</f>
        <v/>
      </c>
      <c r="J363" s="9">
        <f>IF($A363="","",$C363&amp;"")</f>
        <v/>
      </c>
      <c r="K363" s="94">
        <f>IF($A363="",0,($E363-$F363)*설정!$C$23)</f>
        <v/>
      </c>
    </row>
    <row r="364">
      <c r="A364" s="92" t="n">
        <v>2026</v>
      </c>
      <c r="B364" s="92" t="n">
        <v>6</v>
      </c>
      <c r="C364" s="92" t="n">
        <v>62201000</v>
      </c>
      <c r="D364" s="92" t="inlineStr">
        <is>
          <t>통신비</t>
        </is>
      </c>
      <c r="E364" s="93" t="n">
        <v>35830000</v>
      </c>
      <c r="F364" s="93" t="n">
        <v>0</v>
      </c>
      <c r="G364" s="93" t="n">
        <v>216679000</v>
      </c>
      <c r="I364" s="9">
        <f>IF($A364="","",VALUE($A364&amp;"")*12+VALUE($B364&amp;""))</f>
        <v/>
      </c>
      <c r="J364" s="9">
        <f>IF($A364="","",$C364&amp;"")</f>
        <v/>
      </c>
      <c r="K364" s="94">
        <f>IF($A364="",0,($E364-$F364)*설정!$C$23)</f>
        <v/>
      </c>
    </row>
    <row r="365">
      <c r="A365" s="92" t="n">
        <v>2026</v>
      </c>
      <c r="B365" s="92" t="n">
        <v>6</v>
      </c>
      <c r="C365" s="92" t="n">
        <v>62301000</v>
      </c>
      <c r="D365" s="92" t="inlineStr">
        <is>
          <t>소모품비</t>
        </is>
      </c>
      <c r="E365" s="93" t="n">
        <v>6071000</v>
      </c>
      <c r="F365" s="93" t="n">
        <v>0</v>
      </c>
      <c r="G365" s="93" t="n">
        <v>35044000</v>
      </c>
      <c r="I365" s="9">
        <f>IF($A365="","",VALUE($A365&amp;"")*12+VALUE($B365&amp;""))</f>
        <v/>
      </c>
      <c r="J365" s="9">
        <f>IF($A365="","",$C365&amp;"")</f>
        <v/>
      </c>
      <c r="K365" s="94">
        <f>IF($A365="",0,($E365-$F365)*설정!$C$23)</f>
        <v/>
      </c>
    </row>
    <row r="366">
      <c r="A366" s="92" t="n">
        <v>2026</v>
      </c>
      <c r="B366" s="92" t="n">
        <v>6</v>
      </c>
      <c r="C366" s="92" t="n">
        <v>62401000</v>
      </c>
      <c r="D366" s="92" t="inlineStr">
        <is>
          <t>도서인쇄비</t>
        </is>
      </c>
      <c r="E366" s="93" t="n">
        <v>13315000</v>
      </c>
      <c r="F366" s="93" t="n">
        <v>0</v>
      </c>
      <c r="G366" s="93" t="n">
        <v>77153000</v>
      </c>
      <c r="I366" s="9">
        <f>IF($A366="","",VALUE($A366&amp;"")*12+VALUE($B366&amp;""))</f>
        <v/>
      </c>
      <c r="J366" s="9">
        <f>IF($A366="","",$C366&amp;"")</f>
        <v/>
      </c>
      <c r="K366" s="94">
        <f>IF($A366="",0,($E366-$F366)*설정!$C$23)</f>
        <v/>
      </c>
    </row>
    <row r="367">
      <c r="A367" s="92" t="n">
        <v>2026</v>
      </c>
      <c r="B367" s="92" t="n">
        <v>6</v>
      </c>
      <c r="C367" s="92" t="n">
        <v>62501000</v>
      </c>
      <c r="D367" s="92" t="inlineStr">
        <is>
          <t>회의비</t>
        </is>
      </c>
      <c r="E367" s="93" t="n">
        <v>5663000</v>
      </c>
      <c r="F367" s="93" t="n">
        <v>0</v>
      </c>
      <c r="G367" s="93" t="n">
        <v>33281000</v>
      </c>
      <c r="I367" s="9">
        <f>IF($A367="","",VALUE($A367&amp;"")*12+VALUE($B367&amp;""))</f>
        <v/>
      </c>
      <c r="J367" s="9">
        <f>IF($A367="","",$C367&amp;"")</f>
        <v/>
      </c>
      <c r="K367" s="94">
        <f>IF($A367="",0,($E367-$F367)*설정!$C$23)</f>
        <v/>
      </c>
    </row>
    <row r="368">
      <c r="A368" s="92" t="n">
        <v>2026</v>
      </c>
      <c r="B368" s="92" t="n">
        <v>6</v>
      </c>
      <c r="C368" s="92" t="n">
        <v>62601000</v>
      </c>
      <c r="D368" s="92" t="inlineStr">
        <is>
          <t>업무추진비</t>
        </is>
      </c>
      <c r="E368" s="93" t="n">
        <v>11477000</v>
      </c>
      <c r="F368" s="93" t="n">
        <v>0</v>
      </c>
      <c r="G368" s="93" t="n">
        <v>66575000</v>
      </c>
      <c r="I368" s="9">
        <f>IF($A368="","",VALUE($A368&amp;"")*12+VALUE($B368&amp;""))</f>
        <v/>
      </c>
      <c r="J368" s="9">
        <f>IF($A368="","",$C368&amp;"")</f>
        <v/>
      </c>
      <c r="K368" s="94">
        <f>IF($A368="",0,($E368-$F368)*설정!$C$23)</f>
        <v/>
      </c>
    </row>
    <row r="369">
      <c r="A369" s="92" t="n">
        <v>2026</v>
      </c>
      <c r="B369" s="92" t="n">
        <v>6</v>
      </c>
      <c r="C369" s="92" t="n">
        <v>62701000</v>
      </c>
      <c r="D369" s="92" t="inlineStr">
        <is>
          <t>광고선전비</t>
        </is>
      </c>
      <c r="E369" s="93" t="n">
        <v>139999000</v>
      </c>
      <c r="F369" s="93" t="n">
        <v>0</v>
      </c>
      <c r="G369" s="93" t="n">
        <v>988000000</v>
      </c>
      <c r="I369" s="9">
        <f>IF($A369="","",VALUE($A369&amp;"")*12+VALUE($B369&amp;""))</f>
        <v/>
      </c>
      <c r="J369" s="9">
        <f>IF($A369="","",$C369&amp;"")</f>
        <v/>
      </c>
      <c r="K369" s="94">
        <f>IF($A369="",0,($E369-$F369)*설정!$C$23)</f>
        <v/>
      </c>
    </row>
    <row r="370">
      <c r="A370" s="92" t="n">
        <v>2026</v>
      </c>
      <c r="B370" s="92" t="n">
        <v>6</v>
      </c>
      <c r="C370" s="92" t="n">
        <v>62801000</v>
      </c>
      <c r="D370" s="92" t="inlineStr">
        <is>
          <t>교육훈련비-사내</t>
        </is>
      </c>
      <c r="E370" s="93" t="n">
        <v>15897000</v>
      </c>
      <c r="F370" s="93" t="n">
        <v>0</v>
      </c>
      <c r="G370" s="93" t="n">
        <v>86869000</v>
      </c>
      <c r="I370" s="9">
        <f>IF($A370="","",VALUE($A370&amp;"")*12+VALUE($B370&amp;""))</f>
        <v/>
      </c>
      <c r="J370" s="9">
        <f>IF($A370="","",$C370&amp;"")</f>
        <v/>
      </c>
      <c r="K370" s="94">
        <f>IF($A370="",0,($E370-$F370)*설정!$C$23)</f>
        <v/>
      </c>
    </row>
    <row r="371">
      <c r="A371" s="92" t="n">
        <v>2026</v>
      </c>
      <c r="B371" s="92" t="n">
        <v>6</v>
      </c>
      <c r="C371" s="92" t="n">
        <v>62802000</v>
      </c>
      <c r="D371" s="92" t="inlineStr">
        <is>
          <t>교육훈련비-외부위탁</t>
        </is>
      </c>
      <c r="E371" s="93" t="n">
        <v>10972000</v>
      </c>
      <c r="F371" s="93" t="n">
        <v>0</v>
      </c>
      <c r="G371" s="93" t="n">
        <v>66565000</v>
      </c>
      <c r="I371" s="9">
        <f>IF($A371="","",VALUE($A371&amp;"")*12+VALUE($B371&amp;""))</f>
        <v/>
      </c>
      <c r="J371" s="9">
        <f>IF($A371="","",$C371&amp;"")</f>
        <v/>
      </c>
      <c r="K371" s="94">
        <f>IF($A371="",0,($E371-$F371)*설정!$C$23)</f>
        <v/>
      </c>
    </row>
    <row r="372">
      <c r="A372" s="92" t="n">
        <v>2026</v>
      </c>
      <c r="B372" s="92" t="n">
        <v>6</v>
      </c>
      <c r="C372" s="92" t="n">
        <v>62901000</v>
      </c>
      <c r="D372" s="92" t="inlineStr">
        <is>
          <t>지급수수료-컨설팅</t>
        </is>
      </c>
      <c r="E372" s="93" t="n">
        <v>97659000</v>
      </c>
      <c r="F372" s="93" t="n">
        <v>0</v>
      </c>
      <c r="G372" s="93" t="n">
        <v>600613000</v>
      </c>
      <c r="I372" s="9">
        <f>IF($A372="","",VALUE($A372&amp;"")*12+VALUE($B372&amp;""))</f>
        <v/>
      </c>
      <c r="J372" s="9">
        <f>IF($A372="","",$C372&amp;"")</f>
        <v/>
      </c>
      <c r="K372" s="94">
        <f>IF($A372="",0,($E372-$F372)*설정!$C$23)</f>
        <v/>
      </c>
    </row>
    <row r="373">
      <c r="A373" s="92" t="n">
        <v>2026</v>
      </c>
      <c r="B373" s="92" t="n">
        <v>6</v>
      </c>
      <c r="C373" s="92" t="n">
        <v>62902000</v>
      </c>
      <c r="D373" s="92" t="inlineStr">
        <is>
          <t>지급수수료-기타</t>
        </is>
      </c>
      <c r="E373" s="93" t="n">
        <v>51383000</v>
      </c>
      <c r="F373" s="93" t="n">
        <v>0</v>
      </c>
      <c r="G373" s="93" t="n">
        <v>311181000</v>
      </c>
      <c r="I373" s="9">
        <f>IF($A373="","",VALUE($A373&amp;"")*12+VALUE($B373&amp;""))</f>
        <v/>
      </c>
      <c r="J373" s="9">
        <f>IF($A373="","",$C373&amp;"")</f>
        <v/>
      </c>
      <c r="K373" s="94">
        <f>IF($A373="",0,($E373-$F373)*설정!$C$23)</f>
        <v/>
      </c>
    </row>
    <row r="374">
      <c r="A374" s="92" t="n">
        <v>2026</v>
      </c>
      <c r="B374" s="92" t="n">
        <v>6</v>
      </c>
      <c r="C374" s="92" t="n">
        <v>63001000</v>
      </c>
      <c r="D374" s="92" t="inlineStr">
        <is>
          <t>전산운영비-SW유지보수</t>
        </is>
      </c>
      <c r="E374" s="93" t="n">
        <v>106841000</v>
      </c>
      <c r="F374" s="93" t="n">
        <v>0</v>
      </c>
      <c r="G374" s="93" t="n">
        <v>625324000</v>
      </c>
      <c r="I374" s="9">
        <f>IF($A374="","",VALUE($A374&amp;"")*12+VALUE($B374&amp;""))</f>
        <v/>
      </c>
      <c r="J374" s="9">
        <f>IF($A374="","",$C374&amp;"")</f>
        <v/>
      </c>
      <c r="K374" s="94">
        <f>IF($A374="",0,($E374-$F374)*설정!$C$23)</f>
        <v/>
      </c>
    </row>
    <row r="375">
      <c r="A375" s="92" t="n">
        <v>2026</v>
      </c>
      <c r="B375" s="92" t="n">
        <v>6</v>
      </c>
      <c r="C375" s="92" t="n">
        <v>63002000</v>
      </c>
      <c r="D375" s="92" t="inlineStr">
        <is>
          <t>전산운영비-클라우드</t>
        </is>
      </c>
      <c r="E375" s="93" t="n">
        <v>87713000</v>
      </c>
      <c r="F375" s="93" t="n">
        <v>0</v>
      </c>
      <c r="G375" s="93" t="n">
        <v>521847000</v>
      </c>
      <c r="I375" s="9">
        <f>IF($A375="","",VALUE($A375&amp;"")*12+VALUE($B375&amp;""))</f>
        <v/>
      </c>
      <c r="J375" s="9">
        <f>IF($A375="","",$C375&amp;"")</f>
        <v/>
      </c>
      <c r="K375" s="94">
        <f>IF($A375="",0,($E375-$F375)*설정!$C$23)</f>
        <v/>
      </c>
    </row>
    <row r="376">
      <c r="A376" s="92" t="n">
        <v>2026</v>
      </c>
      <c r="B376" s="92" t="n">
        <v>6</v>
      </c>
      <c r="C376" s="92" t="n">
        <v>63101000</v>
      </c>
      <c r="D376" s="92" t="inlineStr">
        <is>
          <t>임차료</t>
        </is>
      </c>
      <c r="E376" s="93" t="n">
        <v>14931000</v>
      </c>
      <c r="F376" s="93" t="n">
        <v>0</v>
      </c>
      <c r="G376" s="93" t="n">
        <v>93622000</v>
      </c>
      <c r="I376" s="9">
        <f>IF($A376="","",VALUE($A376&amp;"")*12+VALUE($B376&amp;""))</f>
        <v/>
      </c>
      <c r="J376" s="9">
        <f>IF($A376="","",$C376&amp;"")</f>
        <v/>
      </c>
      <c r="K376" s="94">
        <f>IF($A376="",0,($E376-$F376)*설정!$C$23)</f>
        <v/>
      </c>
    </row>
    <row r="377">
      <c r="A377" s="92" t="n">
        <v>2026</v>
      </c>
      <c r="B377" s="92" t="n">
        <v>6</v>
      </c>
      <c r="C377" s="92" t="n">
        <v>63201000</v>
      </c>
      <c r="D377" s="92" t="inlineStr">
        <is>
          <t>차량유지비</t>
        </is>
      </c>
      <c r="E377" s="93" t="n">
        <v>8046000</v>
      </c>
      <c r="F377" s="93" t="n">
        <v>0</v>
      </c>
      <c r="G377" s="93" t="n">
        <v>47616000</v>
      </c>
      <c r="I377" s="9">
        <f>IF($A377="","",VALUE($A377&amp;"")*12+VALUE($B377&amp;""))</f>
        <v/>
      </c>
      <c r="J377" s="9">
        <f>IF($A377="","",$C377&amp;"")</f>
        <v/>
      </c>
      <c r="K377" s="94">
        <f>IF($A377="",0,($E377-$F377)*설정!$C$23)</f>
        <v/>
      </c>
    </row>
    <row r="378">
      <c r="A378" s="92" t="n">
        <v>2026</v>
      </c>
      <c r="B378" s="92" t="n">
        <v>6</v>
      </c>
      <c r="C378" s="92" t="n">
        <v>63501000</v>
      </c>
      <c r="D378" s="92" t="inlineStr">
        <is>
          <t>모집수수료</t>
        </is>
      </c>
      <c r="E378" s="93" t="n">
        <v>1777909000</v>
      </c>
      <c r="F378" s="93" t="n">
        <v>0</v>
      </c>
      <c r="G378" s="93" t="n">
        <v>10718848000</v>
      </c>
      <c r="I378" s="9">
        <f>IF($A378="","",VALUE($A378&amp;"")*12+VALUE($B378&amp;""))</f>
        <v/>
      </c>
      <c r="J378" s="9">
        <f>IF($A378="","",$C378&amp;"")</f>
        <v/>
      </c>
      <c r="K378" s="94">
        <f>IF($A378="",0,($E378-$F378)*설정!$C$23)</f>
        <v/>
      </c>
    </row>
    <row r="379">
      <c r="A379" s="92" t="n">
        <v>2026</v>
      </c>
      <c r="B379" s="92" t="n">
        <v>6</v>
      </c>
      <c r="C379" s="92" t="n">
        <v>63502000</v>
      </c>
      <c r="D379" s="92" t="inlineStr">
        <is>
          <t>유지수수료</t>
        </is>
      </c>
      <c r="E379" s="93" t="n">
        <v>451671000</v>
      </c>
      <c r="F379" s="93" t="n">
        <v>0</v>
      </c>
      <c r="G379" s="93" t="n">
        <v>2689300000</v>
      </c>
      <c r="I379" s="9">
        <f>IF($A379="","",VALUE($A379&amp;"")*12+VALUE($B379&amp;""))</f>
        <v/>
      </c>
      <c r="J379" s="9">
        <f>IF($A379="","",$C379&amp;"")</f>
        <v/>
      </c>
      <c r="K379" s="94">
        <f>IF($A379="",0,($E379-$F379)*설정!$C$23)</f>
        <v/>
      </c>
    </row>
    <row r="380">
      <c r="A380" s="92" t="n">
        <v>2026</v>
      </c>
      <c r="B380" s="92" t="n">
        <v>6</v>
      </c>
      <c r="C380" s="92" t="n">
        <v>63601000</v>
      </c>
      <c r="D380" s="92" t="inlineStr">
        <is>
          <t>손해조사비</t>
        </is>
      </c>
      <c r="E380" s="93" t="n">
        <v>30206000</v>
      </c>
      <c r="F380" s="93" t="n">
        <v>0</v>
      </c>
      <c r="G380" s="93" t="n">
        <v>182063000</v>
      </c>
      <c r="I380" s="9">
        <f>IF($A380="","",VALUE($A380&amp;"")*12+VALUE($B380&amp;""))</f>
        <v/>
      </c>
      <c r="J380" s="9">
        <f>IF($A380="","",$C380&amp;"")</f>
        <v/>
      </c>
      <c r="K380" s="94">
        <f>IF($A380="",0,($E380-$F380)*설정!$C$23)</f>
        <v/>
      </c>
    </row>
    <row r="381">
      <c r="A381" s="92" t="n">
        <v>2026</v>
      </c>
      <c r="B381" s="92" t="n">
        <v>6</v>
      </c>
      <c r="C381" s="92" t="n">
        <v>61101000</v>
      </c>
      <c r="D381" s="92" t="inlineStr">
        <is>
          <t>급여</t>
        </is>
      </c>
      <c r="E381" s="93" t="n">
        <v>788962000</v>
      </c>
      <c r="F381" s="93" t="n">
        <v>0</v>
      </c>
      <c r="G381" s="93" t="n">
        <v>4842420000</v>
      </c>
      <c r="I381" s="9">
        <f>IF($A381="","",VALUE($A381&amp;"")*12+VALUE($B381&amp;""))</f>
        <v/>
      </c>
      <c r="J381" s="9">
        <f>IF($A381="","",$C381&amp;"")</f>
        <v/>
      </c>
      <c r="K381" s="94">
        <f>IF($A381="",0,($E381-$F381)*설정!$C$23)</f>
        <v/>
      </c>
    </row>
    <row r="382">
      <c r="A382" s="92" t="n">
        <v>2026</v>
      </c>
      <c r="B382" s="92" t="n">
        <v>6</v>
      </c>
      <c r="C382" s="92" t="n">
        <v>61201000</v>
      </c>
      <c r="D382" s="92" t="inlineStr">
        <is>
          <t>복리후생비</t>
        </is>
      </c>
      <c r="E382" s="93" t="n">
        <v>123493000</v>
      </c>
      <c r="F382" s="93" t="n">
        <v>0</v>
      </c>
      <c r="G382" s="93" t="n">
        <v>723147000</v>
      </c>
      <c r="I382" s="9">
        <f>IF($A382="","",VALUE($A382&amp;"")*12+VALUE($B382&amp;""))</f>
        <v/>
      </c>
      <c r="J382" s="9">
        <f>IF($A382="","",$C382&amp;"")</f>
        <v/>
      </c>
      <c r="K382" s="94">
        <f>IF($A382="",0,($E382-$F382)*설정!$C$23)</f>
        <v/>
      </c>
    </row>
    <row r="383">
      <c r="A383" s="92" t="n">
        <v>2026</v>
      </c>
      <c r="B383" s="92" t="n">
        <v>7</v>
      </c>
      <c r="C383" s="92" t="n">
        <v>62101000</v>
      </c>
      <c r="D383" s="92" t="inlineStr">
        <is>
          <t>여비교통비-국내</t>
        </is>
      </c>
      <c r="E383" s="93" t="n">
        <v>17481000</v>
      </c>
      <c r="F383" s="93" t="n">
        <v>0</v>
      </c>
      <c r="G383" s="93" t="n">
        <v>126620000</v>
      </c>
      <c r="I383" s="9">
        <f>IF($A383="","",VALUE($A383&amp;"")*12+VALUE($B383&amp;""))</f>
        <v/>
      </c>
      <c r="J383" s="9">
        <f>IF($A383="","",$C383&amp;"")</f>
        <v/>
      </c>
      <c r="K383" s="94">
        <f>IF($A383="",0,($E383-$F383)*설정!$C$23)</f>
        <v/>
      </c>
    </row>
    <row r="384">
      <c r="A384" s="92" t="n">
        <v>2026</v>
      </c>
      <c r="B384" s="92" t="n">
        <v>7</v>
      </c>
      <c r="C384" s="92" t="n">
        <v>62102000</v>
      </c>
      <c r="D384" s="92" t="inlineStr">
        <is>
          <t>여비교통비-해외</t>
        </is>
      </c>
      <c r="E384" s="93" t="n">
        <v>3238000</v>
      </c>
      <c r="F384" s="93" t="n">
        <v>0</v>
      </c>
      <c r="G384" s="93" t="n">
        <v>22346000</v>
      </c>
      <c r="I384" s="9">
        <f>IF($A384="","",VALUE($A384&amp;"")*12+VALUE($B384&amp;""))</f>
        <v/>
      </c>
      <c r="J384" s="9">
        <f>IF($A384="","",$C384&amp;"")</f>
        <v/>
      </c>
      <c r="K384" s="94">
        <f>IF($A384="",0,($E384-$F384)*설정!$C$23)</f>
        <v/>
      </c>
    </row>
    <row r="385">
      <c r="A385" s="92" t="n">
        <v>2026</v>
      </c>
      <c r="B385" s="92" t="n">
        <v>7</v>
      </c>
      <c r="C385" s="92" t="n">
        <v>62201000</v>
      </c>
      <c r="D385" s="92" t="inlineStr">
        <is>
          <t>통신비</t>
        </is>
      </c>
      <c r="E385" s="93" t="n">
        <v>36585000</v>
      </c>
      <c r="F385" s="93" t="n">
        <v>0</v>
      </c>
      <c r="G385" s="93" t="n">
        <v>253264000</v>
      </c>
      <c r="I385" s="9">
        <f>IF($A385="","",VALUE($A385&amp;"")*12+VALUE($B385&amp;""))</f>
        <v/>
      </c>
      <c r="J385" s="9">
        <f>IF($A385="","",$C385&amp;"")</f>
        <v/>
      </c>
      <c r="K385" s="94">
        <f>IF($A385="",0,($E385-$F385)*설정!$C$23)</f>
        <v/>
      </c>
    </row>
    <row r="386">
      <c r="A386" s="92" t="n">
        <v>2026</v>
      </c>
      <c r="B386" s="92" t="n">
        <v>7</v>
      </c>
      <c r="C386" s="92" t="n">
        <v>62301000</v>
      </c>
      <c r="D386" s="92" t="inlineStr">
        <is>
          <t>소모품비</t>
        </is>
      </c>
      <c r="E386" s="93" t="n">
        <v>5958000</v>
      </c>
      <c r="F386" s="93" t="n">
        <v>0</v>
      </c>
      <c r="G386" s="93" t="n">
        <v>41002000</v>
      </c>
      <c r="I386" s="9">
        <f>IF($A386="","",VALUE($A386&amp;"")*12+VALUE($B386&amp;""))</f>
        <v/>
      </c>
      <c r="J386" s="9">
        <f>IF($A386="","",$C386&amp;"")</f>
        <v/>
      </c>
      <c r="K386" s="94">
        <f>IF($A386="",0,($E386-$F386)*설정!$C$23)</f>
        <v/>
      </c>
    </row>
    <row r="387">
      <c r="A387" s="92" t="n">
        <v>2026</v>
      </c>
      <c r="B387" s="92" t="n">
        <v>7</v>
      </c>
      <c r="C387" s="92" t="n">
        <v>62401000</v>
      </c>
      <c r="D387" s="92" t="inlineStr">
        <is>
          <t>도서인쇄비</t>
        </is>
      </c>
      <c r="E387" s="93" t="n">
        <v>14454000</v>
      </c>
      <c r="F387" s="93" t="n">
        <v>0</v>
      </c>
      <c r="G387" s="93" t="n">
        <v>91607000</v>
      </c>
      <c r="I387" s="9">
        <f>IF($A387="","",VALUE($A387&amp;"")*12+VALUE($B387&amp;""))</f>
        <v/>
      </c>
      <c r="J387" s="9">
        <f>IF($A387="","",$C387&amp;"")</f>
        <v/>
      </c>
      <c r="K387" s="94">
        <f>IF($A387="",0,($E387-$F387)*설정!$C$23)</f>
        <v/>
      </c>
    </row>
    <row r="388">
      <c r="A388" s="92" t="n">
        <v>2026</v>
      </c>
      <c r="B388" s="92" t="n">
        <v>7</v>
      </c>
      <c r="C388" s="92" t="n">
        <v>62501000</v>
      </c>
      <c r="D388" s="92" t="inlineStr">
        <is>
          <t>회의비</t>
        </is>
      </c>
      <c r="E388" s="93" t="n">
        <v>5789000</v>
      </c>
      <c r="F388" s="93" t="n">
        <v>0</v>
      </c>
      <c r="G388" s="93" t="n">
        <v>39070000</v>
      </c>
      <c r="I388" s="9">
        <f>IF($A388="","",VALUE($A388&amp;"")*12+VALUE($B388&amp;""))</f>
        <v/>
      </c>
      <c r="J388" s="9">
        <f>IF($A388="","",$C388&amp;"")</f>
        <v/>
      </c>
      <c r="K388" s="94">
        <f>IF($A388="",0,($E388-$F388)*설정!$C$23)</f>
        <v/>
      </c>
    </row>
    <row r="389">
      <c r="A389" s="92" t="n">
        <v>2026</v>
      </c>
      <c r="B389" s="92" t="n">
        <v>7</v>
      </c>
      <c r="C389" s="92" t="n">
        <v>62601000</v>
      </c>
      <c r="D389" s="92" t="inlineStr">
        <is>
          <t>업무추진비</t>
        </is>
      </c>
      <c r="E389" s="93" t="n">
        <v>10603000</v>
      </c>
      <c r="F389" s="93" t="n">
        <v>0</v>
      </c>
      <c r="G389" s="93" t="n">
        <v>77178000</v>
      </c>
      <c r="I389" s="9">
        <f>IF($A389="","",VALUE($A389&amp;"")*12+VALUE($B389&amp;""))</f>
        <v/>
      </c>
      <c r="J389" s="9">
        <f>IF($A389="","",$C389&amp;"")</f>
        <v/>
      </c>
      <c r="K389" s="94">
        <f>IF($A389="",0,($E389-$F389)*설정!$C$23)</f>
        <v/>
      </c>
    </row>
    <row r="390">
      <c r="A390" s="92" t="n">
        <v>2026</v>
      </c>
      <c r="B390" s="92" t="n">
        <v>7</v>
      </c>
      <c r="C390" s="92" t="n">
        <v>62701000</v>
      </c>
      <c r="D390" s="92" t="inlineStr">
        <is>
          <t>광고선전비</t>
        </is>
      </c>
      <c r="E390" s="93" t="n">
        <v>190001000</v>
      </c>
      <c r="F390" s="93" t="n">
        <v>0</v>
      </c>
      <c r="G390" s="93" t="n">
        <v>1178001000</v>
      </c>
      <c r="I390" s="9">
        <f>IF($A390="","",VALUE($A390&amp;"")*12+VALUE($B390&amp;""))</f>
        <v/>
      </c>
      <c r="J390" s="9">
        <f>IF($A390="","",$C390&amp;"")</f>
        <v/>
      </c>
      <c r="K390" s="94">
        <f>IF($A390="",0,($E390-$F390)*설정!$C$23)</f>
        <v/>
      </c>
    </row>
    <row r="391">
      <c r="A391" s="92" t="n">
        <v>2026</v>
      </c>
      <c r="B391" s="92" t="n">
        <v>7</v>
      </c>
      <c r="C391" s="92" t="n">
        <v>62801000</v>
      </c>
      <c r="D391" s="92" t="inlineStr">
        <is>
          <t>교육훈련비-사내</t>
        </is>
      </c>
      <c r="E391" s="93" t="n">
        <v>14216000</v>
      </c>
      <c r="F391" s="93" t="n">
        <v>0</v>
      </c>
      <c r="G391" s="93" t="n">
        <v>101085000</v>
      </c>
      <c r="I391" s="9">
        <f>IF($A391="","",VALUE($A391&amp;"")*12+VALUE($B391&amp;""))</f>
        <v/>
      </c>
      <c r="J391" s="9">
        <f>IF($A391="","",$C391&amp;"")</f>
        <v/>
      </c>
      <c r="K391" s="94">
        <f>IF($A391="",0,($E391-$F391)*설정!$C$23)</f>
        <v/>
      </c>
    </row>
    <row r="392">
      <c r="A392" s="92" t="n">
        <v>2026</v>
      </c>
      <c r="B392" s="92" t="n">
        <v>7</v>
      </c>
      <c r="C392" s="92" t="n">
        <v>62802000</v>
      </c>
      <c r="D392" s="92" t="inlineStr">
        <is>
          <t>교육훈련비-외부위탁</t>
        </is>
      </c>
      <c r="E392" s="93" t="n">
        <v>12087000</v>
      </c>
      <c r="F392" s="93" t="n">
        <v>0</v>
      </c>
      <c r="G392" s="93" t="n">
        <v>78652000</v>
      </c>
      <c r="I392" s="9">
        <f>IF($A392="","",VALUE($A392&amp;"")*12+VALUE($B392&amp;""))</f>
        <v/>
      </c>
      <c r="J392" s="9">
        <f>IF($A392="","",$C392&amp;"")</f>
        <v/>
      </c>
      <c r="K392" s="94">
        <f>IF($A392="",0,($E392-$F392)*설정!$C$23)</f>
        <v/>
      </c>
    </row>
    <row r="393">
      <c r="A393" s="92" t="n">
        <v>2026</v>
      </c>
      <c r="B393" s="92" t="n">
        <v>7</v>
      </c>
      <c r="C393" s="92" t="n">
        <v>62901000</v>
      </c>
      <c r="D393" s="92" t="inlineStr">
        <is>
          <t>지급수수료-컨설팅</t>
        </is>
      </c>
      <c r="E393" s="93" t="n">
        <v>102267000</v>
      </c>
      <c r="F393" s="93" t="n">
        <v>0</v>
      </c>
      <c r="G393" s="93" t="n">
        <v>702880000</v>
      </c>
      <c r="I393" s="9">
        <f>IF($A393="","",VALUE($A393&amp;"")*12+VALUE($B393&amp;""))</f>
        <v/>
      </c>
      <c r="J393" s="9">
        <f>IF($A393="","",$C393&amp;"")</f>
        <v/>
      </c>
      <c r="K393" s="94">
        <f>IF($A393="",0,($E393-$F393)*설정!$C$23)</f>
        <v/>
      </c>
    </row>
    <row r="394">
      <c r="A394" s="92" t="n">
        <v>2026</v>
      </c>
      <c r="B394" s="92" t="n">
        <v>7</v>
      </c>
      <c r="C394" s="92" t="n">
        <v>62902000</v>
      </c>
      <c r="D394" s="92" t="inlineStr">
        <is>
          <t>지급수수료-기타</t>
        </is>
      </c>
      <c r="E394" s="93" t="n">
        <v>50247000</v>
      </c>
      <c r="F394" s="93" t="n">
        <v>0</v>
      </c>
      <c r="G394" s="93" t="n">
        <v>361428000</v>
      </c>
      <c r="I394" s="9">
        <f>IF($A394="","",VALUE($A394&amp;"")*12+VALUE($B394&amp;""))</f>
        <v/>
      </c>
      <c r="J394" s="9">
        <f>IF($A394="","",$C394&amp;"")</f>
        <v/>
      </c>
      <c r="K394" s="94">
        <f>IF($A394="",0,($E394-$F394)*설정!$C$23)</f>
        <v/>
      </c>
    </row>
    <row r="395">
      <c r="A395" s="92" t="n">
        <v>2026</v>
      </c>
      <c r="B395" s="92" t="n">
        <v>7</v>
      </c>
      <c r="C395" s="92" t="n">
        <v>63001000</v>
      </c>
      <c r="D395" s="92" t="inlineStr">
        <is>
          <t>전산운영비-SW유지보수</t>
        </is>
      </c>
      <c r="E395" s="93" t="n">
        <v>100649000</v>
      </c>
      <c r="F395" s="93" t="n">
        <v>0</v>
      </c>
      <c r="G395" s="93" t="n">
        <v>725973000</v>
      </c>
      <c r="I395" s="9">
        <f>IF($A395="","",VALUE($A395&amp;"")*12+VALUE($B395&amp;""))</f>
        <v/>
      </c>
      <c r="J395" s="9">
        <f>IF($A395="","",$C395&amp;"")</f>
        <v/>
      </c>
      <c r="K395" s="94">
        <f>IF($A395="",0,($E395-$F395)*설정!$C$23)</f>
        <v/>
      </c>
    </row>
    <row r="396">
      <c r="A396" s="92" t="n">
        <v>2026</v>
      </c>
      <c r="B396" s="92" t="n">
        <v>7</v>
      </c>
      <c r="C396" s="92" t="n">
        <v>63002000</v>
      </c>
      <c r="D396" s="92" t="inlineStr">
        <is>
          <t>전산운영비-클라우드</t>
        </is>
      </c>
      <c r="E396" s="93" t="n">
        <v>94288000</v>
      </c>
      <c r="F396" s="93" t="n">
        <v>0</v>
      </c>
      <c r="G396" s="93" t="n">
        <v>616135000</v>
      </c>
      <c r="I396" s="9">
        <f>IF($A396="","",VALUE($A396&amp;"")*12+VALUE($B396&amp;""))</f>
        <v/>
      </c>
      <c r="J396" s="9">
        <f>IF($A396="","",$C396&amp;"")</f>
        <v/>
      </c>
      <c r="K396" s="94">
        <f>IF($A396="",0,($E396-$F396)*설정!$C$23)</f>
        <v/>
      </c>
    </row>
    <row r="397">
      <c r="A397" s="92" t="n">
        <v>2026</v>
      </c>
      <c r="B397" s="92" t="n">
        <v>7</v>
      </c>
      <c r="C397" s="92" t="n">
        <v>63101000</v>
      </c>
      <c r="D397" s="92" t="inlineStr">
        <is>
          <t>임차료</t>
        </is>
      </c>
      <c r="E397" s="93" t="n">
        <v>14543000</v>
      </c>
      <c r="F397" s="93" t="n">
        <v>0</v>
      </c>
      <c r="G397" s="93" t="n">
        <v>108165000</v>
      </c>
      <c r="I397" s="9">
        <f>IF($A397="","",VALUE($A397&amp;"")*12+VALUE($B397&amp;""))</f>
        <v/>
      </c>
      <c r="J397" s="9">
        <f>IF($A397="","",$C397&amp;"")</f>
        <v/>
      </c>
      <c r="K397" s="94">
        <f>IF($A397="",0,($E397-$F397)*설정!$C$23)</f>
        <v/>
      </c>
    </row>
    <row r="398">
      <c r="A398" s="92" t="n">
        <v>2026</v>
      </c>
      <c r="B398" s="92" t="n">
        <v>7</v>
      </c>
      <c r="C398" s="92" t="n">
        <v>63201000</v>
      </c>
      <c r="D398" s="92" t="inlineStr">
        <is>
          <t>차량유지비</t>
        </is>
      </c>
      <c r="E398" s="93" t="n">
        <v>7803000</v>
      </c>
      <c r="F398" s="93" t="n">
        <v>0</v>
      </c>
      <c r="G398" s="93" t="n">
        <v>55419000</v>
      </c>
      <c r="I398" s="9">
        <f>IF($A398="","",VALUE($A398&amp;"")*12+VALUE($B398&amp;""))</f>
        <v/>
      </c>
      <c r="J398" s="9">
        <f>IF($A398="","",$C398&amp;"")</f>
        <v/>
      </c>
      <c r="K398" s="94">
        <f>IF($A398="",0,($E398-$F398)*설정!$C$23)</f>
        <v/>
      </c>
    </row>
    <row r="399">
      <c r="A399" s="92" t="n">
        <v>2026</v>
      </c>
      <c r="B399" s="92" t="n">
        <v>7</v>
      </c>
      <c r="C399" s="92" t="n">
        <v>63501000</v>
      </c>
      <c r="D399" s="92" t="inlineStr">
        <is>
          <t>모집수수료</t>
        </is>
      </c>
      <c r="E399" s="93" t="n">
        <v>1817322000</v>
      </c>
      <c r="F399" s="93" t="n">
        <v>0</v>
      </c>
      <c r="G399" s="93" t="n">
        <v>12536170000</v>
      </c>
      <c r="I399" s="9">
        <f>IF($A399="","",VALUE($A399&amp;"")*12+VALUE($B399&amp;""))</f>
        <v/>
      </c>
      <c r="J399" s="9">
        <f>IF($A399="","",$C399&amp;"")</f>
        <v/>
      </c>
      <c r="K399" s="94">
        <f>IF($A399="",0,($E399-$F399)*설정!$C$23)</f>
        <v/>
      </c>
    </row>
    <row r="400">
      <c r="A400" s="92" t="n">
        <v>2026</v>
      </c>
      <c r="B400" s="92" t="n">
        <v>7</v>
      </c>
      <c r="C400" s="92" t="n">
        <v>63502000</v>
      </c>
      <c r="D400" s="92" t="inlineStr">
        <is>
          <t>유지수수료</t>
        </is>
      </c>
      <c r="E400" s="93" t="n">
        <v>448546000</v>
      </c>
      <c r="F400" s="93" t="n">
        <v>0</v>
      </c>
      <c r="G400" s="93" t="n">
        <v>3137846000</v>
      </c>
      <c r="I400" s="9">
        <f>IF($A400="","",VALUE($A400&amp;"")*12+VALUE($B400&amp;""))</f>
        <v/>
      </c>
      <c r="J400" s="9">
        <f>IF($A400="","",$C400&amp;"")</f>
        <v/>
      </c>
      <c r="K400" s="94">
        <f>IF($A400="",0,($E400-$F400)*설정!$C$23)</f>
        <v/>
      </c>
    </row>
    <row r="401">
      <c r="A401" s="92" t="n">
        <v>2026</v>
      </c>
      <c r="B401" s="92" t="n">
        <v>7</v>
      </c>
      <c r="C401" s="92" t="n">
        <v>63601000</v>
      </c>
      <c r="D401" s="92" t="inlineStr">
        <is>
          <t>손해조사비</t>
        </is>
      </c>
      <c r="E401" s="93" t="n">
        <v>29915000</v>
      </c>
      <c r="F401" s="93" t="n">
        <v>0</v>
      </c>
      <c r="G401" s="93" t="n">
        <v>211978000</v>
      </c>
      <c r="I401" s="9">
        <f>IF($A401="","",VALUE($A401&amp;"")*12+VALUE($B401&amp;""))</f>
        <v/>
      </c>
      <c r="J401" s="9">
        <f>IF($A401="","",$C401&amp;"")</f>
        <v/>
      </c>
      <c r="K401" s="94">
        <f>IF($A401="",0,($E401-$F401)*설정!$C$23)</f>
        <v/>
      </c>
    </row>
    <row r="402">
      <c r="A402" s="92" t="n">
        <v>2026</v>
      </c>
      <c r="B402" s="92" t="n">
        <v>7</v>
      </c>
      <c r="C402" s="92" t="n">
        <v>61101000</v>
      </c>
      <c r="D402" s="92" t="inlineStr">
        <is>
          <t>급여</t>
        </is>
      </c>
      <c r="E402" s="93" t="n">
        <v>812070000</v>
      </c>
      <c r="F402" s="93" t="n">
        <v>0</v>
      </c>
      <c r="G402" s="93" t="n">
        <v>5654490000</v>
      </c>
      <c r="I402" s="9">
        <f>IF($A402="","",VALUE($A402&amp;"")*12+VALUE($B402&amp;""))</f>
        <v/>
      </c>
      <c r="J402" s="9">
        <f>IF($A402="","",$C402&amp;"")</f>
        <v/>
      </c>
      <c r="K402" s="94">
        <f>IF($A402="",0,($E402-$F402)*설정!$C$23)</f>
        <v/>
      </c>
    </row>
    <row r="403">
      <c r="A403" s="92" t="n">
        <v>2026</v>
      </c>
      <c r="B403" s="92" t="n">
        <v>7</v>
      </c>
      <c r="C403" s="92" t="n">
        <v>61201000</v>
      </c>
      <c r="D403" s="92" t="inlineStr">
        <is>
          <t>복리후생비</t>
        </is>
      </c>
      <c r="E403" s="93" t="n">
        <v>118965000</v>
      </c>
      <c r="F403" s="93" t="n">
        <v>0</v>
      </c>
      <c r="G403" s="93" t="n">
        <v>842112000</v>
      </c>
      <c r="I403" s="9">
        <f>IF($A403="","",VALUE($A403&amp;"")*12+VALUE($B403&amp;""))</f>
        <v/>
      </c>
      <c r="J403" s="9">
        <f>IF($A403="","",$C403&amp;"")</f>
        <v/>
      </c>
      <c r="K403" s="94">
        <f>IF($A403="",0,($E403-$F403)*설정!$C$23)</f>
        <v/>
      </c>
    </row>
    <row r="404">
      <c r="A404" s="92" t="n">
        <v>2026</v>
      </c>
      <c r="B404" s="92" t="n">
        <v>8</v>
      </c>
      <c r="C404" s="92" t="n">
        <v>62101000</v>
      </c>
      <c r="D404" s="92" t="inlineStr">
        <is>
          <t>여비교통비-국내</t>
        </is>
      </c>
      <c r="E404" s="93" t="n">
        <v>18991000</v>
      </c>
      <c r="F404" s="93" t="n">
        <v>0</v>
      </c>
      <c r="G404" s="93" t="n">
        <v>145611000</v>
      </c>
      <c r="I404" s="9">
        <f>IF($A404="","",VALUE($A404&amp;"")*12+VALUE($B404&amp;""))</f>
        <v/>
      </c>
      <c r="J404" s="9">
        <f>IF($A404="","",$C404&amp;"")</f>
        <v/>
      </c>
      <c r="K404" s="94">
        <f>IF($A404="",0,($E404-$F404)*설정!$C$23)</f>
        <v/>
      </c>
    </row>
    <row r="405">
      <c r="A405" s="92" t="n">
        <v>2026</v>
      </c>
      <c r="B405" s="92" t="n">
        <v>8</v>
      </c>
      <c r="C405" s="92" t="n">
        <v>62102000</v>
      </c>
      <c r="D405" s="92" t="inlineStr">
        <is>
          <t>여비교통비-해외</t>
        </is>
      </c>
      <c r="E405" s="93" t="n">
        <v>3170000</v>
      </c>
      <c r="F405" s="93" t="n">
        <v>0</v>
      </c>
      <c r="G405" s="93" t="n">
        <v>25516000</v>
      </c>
      <c r="I405" s="9">
        <f>IF($A405="","",VALUE($A405&amp;"")*12+VALUE($B405&amp;""))</f>
        <v/>
      </c>
      <c r="J405" s="9">
        <f>IF($A405="","",$C405&amp;"")</f>
        <v/>
      </c>
      <c r="K405" s="94">
        <f>IF($A405="",0,($E405-$F405)*설정!$C$23)</f>
        <v/>
      </c>
    </row>
    <row r="406">
      <c r="A406" s="92" t="n">
        <v>2026</v>
      </c>
      <c r="B406" s="92" t="n">
        <v>8</v>
      </c>
      <c r="C406" s="92" t="n">
        <v>62201000</v>
      </c>
      <c r="D406" s="92" t="inlineStr">
        <is>
          <t>통신비</t>
        </is>
      </c>
      <c r="E406" s="93" t="n">
        <v>36238000</v>
      </c>
      <c r="F406" s="93" t="n">
        <v>0</v>
      </c>
      <c r="G406" s="93" t="n">
        <v>289502000</v>
      </c>
      <c r="I406" s="9">
        <f>IF($A406="","",VALUE($A406&amp;"")*12+VALUE($B406&amp;""))</f>
        <v/>
      </c>
      <c r="J406" s="9">
        <f>IF($A406="","",$C406&amp;"")</f>
        <v/>
      </c>
      <c r="K406" s="94">
        <f>IF($A406="",0,($E406-$F406)*설정!$C$23)</f>
        <v/>
      </c>
    </row>
    <row r="407">
      <c r="A407" s="92" t="n">
        <v>2026</v>
      </c>
      <c r="B407" s="92" t="n">
        <v>8</v>
      </c>
      <c r="C407" s="92" t="n">
        <v>62301000</v>
      </c>
      <c r="D407" s="92" t="inlineStr">
        <is>
          <t>소모품비</t>
        </is>
      </c>
      <c r="E407" s="93" t="n">
        <v>5862000</v>
      </c>
      <c r="F407" s="93" t="n">
        <v>0</v>
      </c>
      <c r="G407" s="93" t="n">
        <v>46864000</v>
      </c>
      <c r="I407" s="9">
        <f>IF($A407="","",VALUE($A407&amp;"")*12+VALUE($B407&amp;""))</f>
        <v/>
      </c>
      <c r="J407" s="9">
        <f>IF($A407="","",$C407&amp;"")</f>
        <v/>
      </c>
      <c r="K407" s="94">
        <f>IF($A407="",0,($E407-$F407)*설정!$C$23)</f>
        <v/>
      </c>
    </row>
    <row r="408">
      <c r="A408" s="92" t="n">
        <v>2026</v>
      </c>
      <c r="B408" s="92" t="n">
        <v>8</v>
      </c>
      <c r="C408" s="92" t="n">
        <v>62401000</v>
      </c>
      <c r="D408" s="92" t="inlineStr">
        <is>
          <t>도서인쇄비</t>
        </is>
      </c>
      <c r="E408" s="93" t="n">
        <v>13670000</v>
      </c>
      <c r="F408" s="93" t="n">
        <v>0</v>
      </c>
      <c r="G408" s="93" t="n">
        <v>105277000</v>
      </c>
      <c r="I408" s="9">
        <f>IF($A408="","",VALUE($A408&amp;"")*12+VALUE($B408&amp;""))</f>
        <v/>
      </c>
      <c r="J408" s="9">
        <f>IF($A408="","",$C408&amp;"")</f>
        <v/>
      </c>
      <c r="K408" s="94">
        <f>IF($A408="",0,($E408-$F408)*설정!$C$23)</f>
        <v/>
      </c>
    </row>
    <row r="409">
      <c r="A409" s="92" t="n">
        <v>2026</v>
      </c>
      <c r="B409" s="92" t="n">
        <v>8</v>
      </c>
      <c r="C409" s="92" t="n">
        <v>62501000</v>
      </c>
      <c r="D409" s="92" t="inlineStr">
        <is>
          <t>회의비</t>
        </is>
      </c>
      <c r="E409" s="93" t="n">
        <v>5443000</v>
      </c>
      <c r="F409" s="93" t="n">
        <v>0</v>
      </c>
      <c r="G409" s="93" t="n">
        <v>44513000</v>
      </c>
      <c r="I409" s="9">
        <f>IF($A409="","",VALUE($A409&amp;"")*12+VALUE($B409&amp;""))</f>
        <v/>
      </c>
      <c r="J409" s="9">
        <f>IF($A409="","",$C409&amp;"")</f>
        <v/>
      </c>
      <c r="K409" s="94">
        <f>IF($A409="",0,($E409-$F409)*설정!$C$23)</f>
        <v/>
      </c>
    </row>
    <row r="410">
      <c r="A410" s="92" t="n">
        <v>2026</v>
      </c>
      <c r="B410" s="92" t="n">
        <v>8</v>
      </c>
      <c r="C410" s="92" t="n">
        <v>62601000</v>
      </c>
      <c r="D410" s="92" t="inlineStr">
        <is>
          <t>업무추진비</t>
        </is>
      </c>
      <c r="E410" s="93" t="n">
        <v>11090000</v>
      </c>
      <c r="F410" s="93" t="n">
        <v>0</v>
      </c>
      <c r="G410" s="93" t="n">
        <v>88268000</v>
      </c>
      <c r="I410" s="9">
        <f>IF($A410="","",VALUE($A410&amp;"")*12+VALUE($B410&amp;""))</f>
        <v/>
      </c>
      <c r="J410" s="9">
        <f>IF($A410="","",$C410&amp;"")</f>
        <v/>
      </c>
      <c r="K410" s="94">
        <f>IF($A410="",0,($E410-$F410)*설정!$C$23)</f>
        <v/>
      </c>
    </row>
    <row r="411">
      <c r="A411" s="92" t="n">
        <v>2026</v>
      </c>
      <c r="B411" s="92" t="n">
        <v>8</v>
      </c>
      <c r="C411" s="92" t="n">
        <v>62701000</v>
      </c>
      <c r="D411" s="92" t="inlineStr">
        <is>
          <t>광고선전비</t>
        </is>
      </c>
      <c r="E411" s="93" t="n">
        <v>120000000</v>
      </c>
      <c r="F411" s="93" t="n">
        <v>0</v>
      </c>
      <c r="G411" s="93" t="n">
        <v>1298001000</v>
      </c>
      <c r="I411" s="9">
        <f>IF($A411="","",VALUE($A411&amp;"")*12+VALUE($B411&amp;""))</f>
        <v/>
      </c>
      <c r="J411" s="9">
        <f>IF($A411="","",$C411&amp;"")</f>
        <v/>
      </c>
      <c r="K411" s="94">
        <f>IF($A411="",0,($E411-$F411)*설정!$C$23)</f>
        <v/>
      </c>
    </row>
    <row r="412">
      <c r="A412" s="92" t="n">
        <v>2026</v>
      </c>
      <c r="B412" s="92" t="n">
        <v>8</v>
      </c>
      <c r="C412" s="92" t="n">
        <v>62801000</v>
      </c>
      <c r="D412" s="92" t="inlineStr">
        <is>
          <t>교육훈련비-사내</t>
        </is>
      </c>
      <c r="E412" s="93" t="n">
        <v>12679000</v>
      </c>
      <c r="F412" s="93" t="n">
        <v>0</v>
      </c>
      <c r="G412" s="93" t="n">
        <v>113764000</v>
      </c>
      <c r="I412" s="9">
        <f>IF($A412="","",VALUE($A412&amp;"")*12+VALUE($B412&amp;""))</f>
        <v/>
      </c>
      <c r="J412" s="9">
        <f>IF($A412="","",$C412&amp;"")</f>
        <v/>
      </c>
      <c r="K412" s="94">
        <f>IF($A412="",0,($E412-$F412)*설정!$C$23)</f>
        <v/>
      </c>
    </row>
    <row r="413">
      <c r="A413" s="92" t="n">
        <v>2026</v>
      </c>
      <c r="B413" s="92" t="n">
        <v>8</v>
      </c>
      <c r="C413" s="92" t="n">
        <v>62802000</v>
      </c>
      <c r="D413" s="92" t="inlineStr">
        <is>
          <t>교육훈련비-외부위탁</t>
        </is>
      </c>
      <c r="E413" s="93" t="n">
        <v>11475000</v>
      </c>
      <c r="F413" s="93" t="n">
        <v>0</v>
      </c>
      <c r="G413" s="93" t="n">
        <v>90127000</v>
      </c>
      <c r="I413" s="9">
        <f>IF($A413="","",VALUE($A413&amp;"")*12+VALUE($B413&amp;""))</f>
        <v/>
      </c>
      <c r="J413" s="9">
        <f>IF($A413="","",$C413&amp;"")</f>
        <v/>
      </c>
      <c r="K413" s="94">
        <f>IF($A413="",0,($E413-$F413)*설정!$C$23)</f>
        <v/>
      </c>
    </row>
    <row r="414">
      <c r="A414" s="92" t="n">
        <v>2026</v>
      </c>
      <c r="B414" s="92" t="n">
        <v>8</v>
      </c>
      <c r="C414" s="92" t="n">
        <v>62901000</v>
      </c>
      <c r="D414" s="92" t="inlineStr">
        <is>
          <t>지급수수료-컨설팅</t>
        </is>
      </c>
      <c r="E414" s="93" t="n">
        <v>100255000</v>
      </c>
      <c r="F414" s="93" t="n">
        <v>0</v>
      </c>
      <c r="G414" s="93" t="n">
        <v>803135000</v>
      </c>
      <c r="I414" s="9">
        <f>IF($A414="","",VALUE($A414&amp;"")*12+VALUE($B414&amp;""))</f>
        <v/>
      </c>
      <c r="J414" s="9">
        <f>IF($A414="","",$C414&amp;"")</f>
        <v/>
      </c>
      <c r="K414" s="94">
        <f>IF($A414="",0,($E414-$F414)*설정!$C$23)</f>
        <v/>
      </c>
    </row>
    <row r="415">
      <c r="A415" s="92" t="n">
        <v>2026</v>
      </c>
      <c r="B415" s="92" t="n">
        <v>8</v>
      </c>
      <c r="C415" s="92" t="n">
        <v>62902000</v>
      </c>
      <c r="D415" s="92" t="inlineStr">
        <is>
          <t>지급수수료-기타</t>
        </is>
      </c>
      <c r="E415" s="93" t="n">
        <v>49784000</v>
      </c>
      <c r="F415" s="93" t="n">
        <v>0</v>
      </c>
      <c r="G415" s="93" t="n">
        <v>411212000</v>
      </c>
      <c r="I415" s="9">
        <f>IF($A415="","",VALUE($A415&amp;"")*12+VALUE($B415&amp;""))</f>
        <v/>
      </c>
      <c r="J415" s="9">
        <f>IF($A415="","",$C415&amp;"")</f>
        <v/>
      </c>
      <c r="K415" s="94">
        <f>IF($A415="",0,($E415-$F415)*설정!$C$23)</f>
        <v/>
      </c>
    </row>
    <row r="416">
      <c r="A416" s="92" t="n">
        <v>2026</v>
      </c>
      <c r="B416" s="92" t="n">
        <v>8</v>
      </c>
      <c r="C416" s="92" t="n">
        <v>63001000</v>
      </c>
      <c r="D416" s="92" t="inlineStr">
        <is>
          <t>전산운영비-SW유지보수</t>
        </is>
      </c>
      <c r="E416" s="93" t="n">
        <v>111391000</v>
      </c>
      <c r="F416" s="93" t="n">
        <v>0</v>
      </c>
      <c r="G416" s="93" t="n">
        <v>837364000</v>
      </c>
      <c r="I416" s="9">
        <f>IF($A416="","",VALUE($A416&amp;"")*12+VALUE($B416&amp;""))</f>
        <v/>
      </c>
      <c r="J416" s="9">
        <f>IF($A416="","",$C416&amp;"")</f>
        <v/>
      </c>
      <c r="K416" s="94">
        <f>IF($A416="",0,($E416-$F416)*설정!$C$23)</f>
        <v/>
      </c>
    </row>
    <row r="417">
      <c r="A417" s="92" t="n">
        <v>2026</v>
      </c>
      <c r="B417" s="92" t="n">
        <v>8</v>
      </c>
      <c r="C417" s="92" t="n">
        <v>63002000</v>
      </c>
      <c r="D417" s="92" t="inlineStr">
        <is>
          <t>전산운영비-클라우드</t>
        </is>
      </c>
      <c r="E417" s="93" t="n">
        <v>101107000</v>
      </c>
      <c r="F417" s="93" t="n">
        <v>0</v>
      </c>
      <c r="G417" s="93" t="n">
        <v>717242000</v>
      </c>
      <c r="I417" s="9">
        <f>IF($A417="","",VALUE($A417&amp;"")*12+VALUE($B417&amp;""))</f>
        <v/>
      </c>
      <c r="J417" s="9">
        <f>IF($A417="","",$C417&amp;"")</f>
        <v/>
      </c>
      <c r="K417" s="94">
        <f>IF($A417="",0,($E417-$F417)*설정!$C$23)</f>
        <v/>
      </c>
    </row>
    <row r="418">
      <c r="A418" s="92" t="n">
        <v>2026</v>
      </c>
      <c r="B418" s="92" t="n">
        <v>8</v>
      </c>
      <c r="C418" s="92" t="n">
        <v>63101000</v>
      </c>
      <c r="D418" s="92" t="inlineStr">
        <is>
          <t>임차료</t>
        </is>
      </c>
      <c r="E418" s="93" t="n">
        <v>15294000</v>
      </c>
      <c r="F418" s="93" t="n">
        <v>0</v>
      </c>
      <c r="G418" s="93" t="n">
        <v>123459000</v>
      </c>
      <c r="I418" s="9">
        <f>IF($A418="","",VALUE($A418&amp;"")*12+VALUE($B418&amp;""))</f>
        <v/>
      </c>
      <c r="J418" s="9">
        <f>IF($A418="","",$C418&amp;"")</f>
        <v/>
      </c>
      <c r="K418" s="94">
        <f>IF($A418="",0,($E418-$F418)*설정!$C$23)</f>
        <v/>
      </c>
    </row>
    <row r="419">
      <c r="A419" s="92" t="n">
        <v>2026</v>
      </c>
      <c r="B419" s="92" t="n">
        <v>8</v>
      </c>
      <c r="C419" s="92" t="n">
        <v>63201000</v>
      </c>
      <c r="D419" s="92" t="inlineStr">
        <is>
          <t>차량유지비</t>
        </is>
      </c>
      <c r="E419" s="93" t="n">
        <v>2004000</v>
      </c>
      <c r="F419" s="93" t="n">
        <v>0</v>
      </c>
      <c r="G419" s="93" t="n">
        <v>57423000</v>
      </c>
      <c r="I419" s="9">
        <f>IF($A419="","",VALUE($A419&amp;"")*12+VALUE($B419&amp;""))</f>
        <v/>
      </c>
      <c r="J419" s="9">
        <f>IF($A419="","",$C419&amp;"")</f>
        <v/>
      </c>
      <c r="K419" s="94">
        <f>IF($A419="",0,($E419-$F419)*설정!$C$23)</f>
        <v/>
      </c>
    </row>
    <row r="420">
      <c r="A420" s="92" t="n">
        <v>2026</v>
      </c>
      <c r="B420" s="92" t="n">
        <v>8</v>
      </c>
      <c r="C420" s="92" t="n">
        <v>63501000</v>
      </c>
      <c r="D420" s="92" t="inlineStr">
        <is>
          <t>모집수수료</t>
        </is>
      </c>
      <c r="E420" s="93" t="n">
        <v>1791019000</v>
      </c>
      <c r="F420" s="93" t="n">
        <v>0</v>
      </c>
      <c r="G420" s="93" t="n">
        <v>14327189000</v>
      </c>
      <c r="I420" s="9">
        <f>IF($A420="","",VALUE($A420&amp;"")*12+VALUE($B420&amp;""))</f>
        <v/>
      </c>
      <c r="J420" s="9">
        <f>IF($A420="","",$C420&amp;"")</f>
        <v/>
      </c>
      <c r="K420" s="94">
        <f>IF($A420="",0,($E420-$F420)*설정!$C$23)</f>
        <v/>
      </c>
    </row>
    <row r="421">
      <c r="A421" s="92" t="n">
        <v>2026</v>
      </c>
      <c r="B421" s="92" t="n">
        <v>8</v>
      </c>
      <c r="C421" s="92" t="n">
        <v>63502000</v>
      </c>
      <c r="D421" s="92" t="inlineStr">
        <is>
          <t>유지수수료</t>
        </is>
      </c>
      <c r="E421" s="93" t="n">
        <v>448443000</v>
      </c>
      <c r="F421" s="93" t="n">
        <v>0</v>
      </c>
      <c r="G421" s="93" t="n">
        <v>3586289000</v>
      </c>
      <c r="I421" s="9">
        <f>IF($A421="","",VALUE($A421&amp;"")*12+VALUE($B421&amp;""))</f>
        <v/>
      </c>
      <c r="J421" s="9">
        <f>IF($A421="","",$C421&amp;"")</f>
        <v/>
      </c>
      <c r="K421" s="94">
        <f>IF($A421="",0,($E421-$F421)*설정!$C$23)</f>
        <v/>
      </c>
    </row>
    <row r="422">
      <c r="A422" s="92" t="n">
        <v>2026</v>
      </c>
      <c r="B422" s="92" t="n">
        <v>8</v>
      </c>
      <c r="C422" s="92" t="n">
        <v>63601000</v>
      </c>
      <c r="D422" s="92" t="inlineStr">
        <is>
          <t>손해조사비</t>
        </is>
      </c>
      <c r="E422" s="93" t="n">
        <v>31249000</v>
      </c>
      <c r="F422" s="93" t="n">
        <v>0</v>
      </c>
      <c r="G422" s="93" t="n">
        <v>243227000</v>
      </c>
      <c r="I422" s="9">
        <f>IF($A422="","",VALUE($A422&amp;"")*12+VALUE($B422&amp;""))</f>
        <v/>
      </c>
      <c r="J422" s="9">
        <f>IF($A422="","",$C422&amp;"")</f>
        <v/>
      </c>
      <c r="K422" s="94">
        <f>IF($A422="",0,($E422-$F422)*설정!$C$23)</f>
        <v/>
      </c>
    </row>
    <row r="423">
      <c r="A423" s="92" t="n">
        <v>2026</v>
      </c>
      <c r="B423" s="92" t="n">
        <v>8</v>
      </c>
      <c r="C423" s="92" t="n">
        <v>61101000</v>
      </c>
      <c r="D423" s="92" t="inlineStr">
        <is>
          <t>급여</t>
        </is>
      </c>
      <c r="E423" s="93" t="n">
        <v>818866000</v>
      </c>
      <c r="F423" s="93" t="n">
        <v>0</v>
      </c>
      <c r="G423" s="93" t="n">
        <v>6473356000</v>
      </c>
      <c r="I423" s="9">
        <f>IF($A423="","",VALUE($A423&amp;"")*12+VALUE($B423&amp;""))</f>
        <v/>
      </c>
      <c r="J423" s="9">
        <f>IF($A423="","",$C423&amp;"")</f>
        <v/>
      </c>
      <c r="K423" s="94">
        <f>IF($A423="",0,($E423-$F423)*설정!$C$23)</f>
        <v/>
      </c>
    </row>
    <row r="424">
      <c r="A424" s="92" t="n">
        <v>2026</v>
      </c>
      <c r="B424" s="92" t="n">
        <v>8</v>
      </c>
      <c r="C424" s="92" t="n">
        <v>61201000</v>
      </c>
      <c r="D424" s="92" t="inlineStr">
        <is>
          <t>복리후생비</t>
        </is>
      </c>
      <c r="E424" s="93" t="n">
        <v>122095000</v>
      </c>
      <c r="F424" s="93" t="n">
        <v>0</v>
      </c>
      <c r="G424" s="93" t="n">
        <v>964207000</v>
      </c>
      <c r="I424" s="9">
        <f>IF($A424="","",VALUE($A424&amp;"")*12+VALUE($B424&amp;""))</f>
        <v/>
      </c>
      <c r="J424" s="9">
        <f>IF($A424="","",$C424&amp;"")</f>
        <v/>
      </c>
      <c r="K424" s="94">
        <f>IF($A424="",0,($E424-$F424)*설정!$C$23)</f>
        <v/>
      </c>
    </row>
    <row r="425">
      <c r="A425" s="92" t="n">
        <v>2026</v>
      </c>
      <c r="B425" s="92" t="n">
        <v>9</v>
      </c>
      <c r="C425" s="92" t="n">
        <v>62101000</v>
      </c>
      <c r="D425" s="92" t="inlineStr">
        <is>
          <t>여비교통비-국내</t>
        </is>
      </c>
      <c r="E425" s="93" t="n">
        <v>17522000</v>
      </c>
      <c r="F425" s="93" t="n">
        <v>0</v>
      </c>
      <c r="G425" s="93" t="n">
        <v>163133000</v>
      </c>
      <c r="I425" s="9">
        <f>IF($A425="","",VALUE($A425&amp;"")*12+VALUE($B425&amp;""))</f>
        <v/>
      </c>
      <c r="J425" s="9">
        <f>IF($A425="","",$C425&amp;"")</f>
        <v/>
      </c>
      <c r="K425" s="94">
        <f>IF($A425="",0,($E425-$F425)*설정!$C$23)</f>
        <v/>
      </c>
    </row>
    <row r="426">
      <c r="A426" s="92" t="n">
        <v>2026</v>
      </c>
      <c r="B426" s="92" t="n">
        <v>9</v>
      </c>
      <c r="C426" s="92" t="n">
        <v>62102000</v>
      </c>
      <c r="D426" s="92" t="inlineStr">
        <is>
          <t>여비교통비-해외</t>
        </is>
      </c>
      <c r="E426" s="93" t="n">
        <v>3156000</v>
      </c>
      <c r="F426" s="93" t="n">
        <v>0</v>
      </c>
      <c r="G426" s="93" t="n">
        <v>28672000</v>
      </c>
      <c r="I426" s="9">
        <f>IF($A426="","",VALUE($A426&amp;"")*12+VALUE($B426&amp;""))</f>
        <v/>
      </c>
      <c r="J426" s="9">
        <f>IF($A426="","",$C426&amp;"")</f>
        <v/>
      </c>
      <c r="K426" s="94">
        <f>IF($A426="",0,($E426-$F426)*설정!$C$23)</f>
        <v/>
      </c>
    </row>
    <row r="427">
      <c r="A427" s="92" t="n">
        <v>2026</v>
      </c>
      <c r="B427" s="92" t="n">
        <v>9</v>
      </c>
      <c r="C427" s="92" t="n">
        <v>62201000</v>
      </c>
      <c r="D427" s="92" t="inlineStr">
        <is>
          <t>통신비</t>
        </is>
      </c>
      <c r="E427" s="93" t="n">
        <v>36220000</v>
      </c>
      <c r="F427" s="93" t="n">
        <v>0</v>
      </c>
      <c r="G427" s="93" t="n">
        <v>325722000</v>
      </c>
      <c r="I427" s="9">
        <f>IF($A427="","",VALUE($A427&amp;"")*12+VALUE($B427&amp;""))</f>
        <v/>
      </c>
      <c r="J427" s="9">
        <f>IF($A427="","",$C427&amp;"")</f>
        <v/>
      </c>
      <c r="K427" s="94">
        <f>IF($A427="",0,($E427-$F427)*설정!$C$23)</f>
        <v/>
      </c>
    </row>
    <row r="428">
      <c r="A428" s="92" t="n">
        <v>2026</v>
      </c>
      <c r="B428" s="92" t="n">
        <v>9</v>
      </c>
      <c r="C428" s="92" t="n">
        <v>62301000</v>
      </c>
      <c r="D428" s="92" t="inlineStr">
        <is>
          <t>소모품비</t>
        </is>
      </c>
      <c r="E428" s="93" t="n">
        <v>6023000</v>
      </c>
      <c r="F428" s="93" t="n">
        <v>0</v>
      </c>
      <c r="G428" s="93" t="n">
        <v>52887000</v>
      </c>
      <c r="I428" s="9">
        <f>IF($A428="","",VALUE($A428&amp;"")*12+VALUE($B428&amp;""))</f>
        <v/>
      </c>
      <c r="J428" s="9">
        <f>IF($A428="","",$C428&amp;"")</f>
        <v/>
      </c>
      <c r="K428" s="94">
        <f>IF($A428="",0,($E428-$F428)*설정!$C$23)</f>
        <v/>
      </c>
    </row>
    <row r="429">
      <c r="A429" s="92" t="n">
        <v>2026</v>
      </c>
      <c r="B429" s="92" t="n">
        <v>9</v>
      </c>
      <c r="C429" s="92" t="n">
        <v>62401000</v>
      </c>
      <c r="D429" s="92" t="inlineStr">
        <is>
          <t>도서인쇄비</t>
        </is>
      </c>
      <c r="E429" s="93" t="n">
        <v>13760000</v>
      </c>
      <c r="F429" s="93" t="n">
        <v>0</v>
      </c>
      <c r="G429" s="93" t="n">
        <v>119037000</v>
      </c>
      <c r="I429" s="9">
        <f>IF($A429="","",VALUE($A429&amp;"")*12+VALUE($B429&amp;""))</f>
        <v/>
      </c>
      <c r="J429" s="9">
        <f>IF($A429="","",$C429&amp;"")</f>
        <v/>
      </c>
      <c r="K429" s="94">
        <f>IF($A429="",0,($E429-$F429)*설정!$C$23)</f>
        <v/>
      </c>
    </row>
    <row r="430">
      <c r="A430" s="92" t="n">
        <v>2026</v>
      </c>
      <c r="B430" s="92" t="n">
        <v>9</v>
      </c>
      <c r="C430" s="92" t="n">
        <v>62501000</v>
      </c>
      <c r="D430" s="92" t="inlineStr">
        <is>
          <t>회의비</t>
        </is>
      </c>
      <c r="E430" s="93" t="n">
        <v>5484000</v>
      </c>
      <c r="F430" s="93" t="n">
        <v>0</v>
      </c>
      <c r="G430" s="93" t="n">
        <v>49997000</v>
      </c>
      <c r="I430" s="9">
        <f>IF($A430="","",VALUE($A430&amp;"")*12+VALUE($B430&amp;""))</f>
        <v/>
      </c>
      <c r="J430" s="9">
        <f>IF($A430="","",$C430&amp;"")</f>
        <v/>
      </c>
      <c r="K430" s="94">
        <f>IF($A430="",0,($E430-$F430)*설정!$C$23)</f>
        <v/>
      </c>
    </row>
    <row r="431">
      <c r="A431" s="92" t="n">
        <v>2026</v>
      </c>
      <c r="B431" s="92" t="n">
        <v>9</v>
      </c>
      <c r="C431" s="92" t="n">
        <v>62601000</v>
      </c>
      <c r="D431" s="92" t="inlineStr">
        <is>
          <t>업무추진비</t>
        </is>
      </c>
      <c r="E431" s="93" t="n">
        <v>11706000</v>
      </c>
      <c r="F431" s="93" t="n">
        <v>0</v>
      </c>
      <c r="G431" s="93" t="n">
        <v>99974000</v>
      </c>
      <c r="I431" s="9">
        <f>IF($A431="","",VALUE($A431&amp;"")*12+VALUE($B431&amp;""))</f>
        <v/>
      </c>
      <c r="J431" s="9">
        <f>IF($A431="","",$C431&amp;"")</f>
        <v/>
      </c>
      <c r="K431" s="94">
        <f>IF($A431="",0,($E431-$F431)*설정!$C$23)</f>
        <v/>
      </c>
    </row>
    <row r="432">
      <c r="A432" s="92" t="n">
        <v>2026</v>
      </c>
      <c r="B432" s="92" t="n">
        <v>9</v>
      </c>
      <c r="C432" s="92" t="n">
        <v>62701000</v>
      </c>
      <c r="D432" s="92" t="inlineStr">
        <is>
          <t>광고선전비</t>
        </is>
      </c>
      <c r="E432" s="93" t="n">
        <v>295500000</v>
      </c>
      <c r="F432" s="93" t="n">
        <v>0</v>
      </c>
      <c r="G432" s="93" t="n">
        <v>1593501000</v>
      </c>
      <c r="I432" s="9">
        <f>IF($A432="","",VALUE($A432&amp;"")*12+VALUE($B432&amp;""))</f>
        <v/>
      </c>
      <c r="J432" s="9">
        <f>IF($A432="","",$C432&amp;"")</f>
        <v/>
      </c>
      <c r="K432" s="94">
        <f>IF($A432="",0,($E432-$F432)*설정!$C$23)</f>
        <v/>
      </c>
    </row>
    <row r="433">
      <c r="A433" s="92" t="n">
        <v>2026</v>
      </c>
      <c r="B433" s="92" t="n">
        <v>9</v>
      </c>
      <c r="C433" s="92" t="n">
        <v>62801000</v>
      </c>
      <c r="D433" s="92" t="inlineStr">
        <is>
          <t>교육훈련비-사내</t>
        </is>
      </c>
      <c r="E433" s="93" t="n">
        <v>13369000</v>
      </c>
      <c r="F433" s="93" t="n">
        <v>0</v>
      </c>
      <c r="G433" s="93" t="n">
        <v>127133000</v>
      </c>
      <c r="I433" s="9">
        <f>IF($A433="","",VALUE($A433&amp;"")*12+VALUE($B433&amp;""))</f>
        <v/>
      </c>
      <c r="J433" s="9">
        <f>IF($A433="","",$C433&amp;"")</f>
        <v/>
      </c>
      <c r="K433" s="94">
        <f>IF($A433="",0,($E433-$F433)*설정!$C$23)</f>
        <v/>
      </c>
    </row>
    <row r="434">
      <c r="A434" s="92" t="n">
        <v>2026</v>
      </c>
      <c r="B434" s="92" t="n">
        <v>9</v>
      </c>
      <c r="C434" s="92" t="n">
        <v>62802000</v>
      </c>
      <c r="D434" s="92" t="inlineStr">
        <is>
          <t>교육훈련비-외부위탁</t>
        </is>
      </c>
      <c r="E434" s="93" t="n">
        <v>69908000</v>
      </c>
      <c r="F434" s="93" t="n">
        <v>0</v>
      </c>
      <c r="G434" s="93" t="n">
        <v>160035000</v>
      </c>
      <c r="I434" s="9">
        <f>IF($A434="","",VALUE($A434&amp;"")*12+VALUE($B434&amp;""))</f>
        <v/>
      </c>
      <c r="J434" s="9">
        <f>IF($A434="","",$C434&amp;"")</f>
        <v/>
      </c>
      <c r="K434" s="94">
        <f>IF($A434="",0,($E434-$F434)*설정!$C$23)</f>
        <v/>
      </c>
    </row>
    <row r="435">
      <c r="A435" s="92" t="n">
        <v>2026</v>
      </c>
      <c r="B435" s="92" t="n">
        <v>9</v>
      </c>
      <c r="C435" s="92" t="n">
        <v>62901000</v>
      </c>
      <c r="D435" s="92" t="inlineStr">
        <is>
          <t>지급수수료-컨설팅</t>
        </is>
      </c>
      <c r="E435" s="93" t="n">
        <v>136634000</v>
      </c>
      <c r="F435" s="93" t="n">
        <v>33000000</v>
      </c>
      <c r="G435" s="93" t="n">
        <v>906769000</v>
      </c>
      <c r="I435" s="9">
        <f>IF($A435="","",VALUE($A435&amp;"")*12+VALUE($B435&amp;""))</f>
        <v/>
      </c>
      <c r="J435" s="9">
        <f>IF($A435="","",$C435&amp;"")</f>
        <v/>
      </c>
      <c r="K435" s="94">
        <f>IF($A435="",0,($E435-$F435)*설정!$C$23)</f>
        <v/>
      </c>
    </row>
    <row r="436">
      <c r="A436" s="92" t="n">
        <v>2026</v>
      </c>
      <c r="B436" s="92" t="n">
        <v>9</v>
      </c>
      <c r="C436" s="92" t="n">
        <v>62902000</v>
      </c>
      <c r="D436" s="92" t="inlineStr">
        <is>
          <t>지급수수료-기타</t>
        </is>
      </c>
      <c r="E436" s="93" t="n">
        <v>58335000</v>
      </c>
      <c r="F436" s="93" t="n">
        <v>0</v>
      </c>
      <c r="G436" s="93" t="n">
        <v>469547000</v>
      </c>
      <c r="I436" s="9">
        <f>IF($A436="","",VALUE($A436&amp;"")*12+VALUE($B436&amp;""))</f>
        <v/>
      </c>
      <c r="J436" s="9">
        <f>IF($A436="","",$C436&amp;"")</f>
        <v/>
      </c>
      <c r="K436" s="94">
        <f>IF($A436="",0,($E436-$F436)*설정!$C$23)</f>
        <v/>
      </c>
    </row>
    <row r="437">
      <c r="A437" s="92" t="n">
        <v>2026</v>
      </c>
      <c r="B437" s="92" t="n">
        <v>9</v>
      </c>
      <c r="C437" s="92" t="n">
        <v>63001000</v>
      </c>
      <c r="D437" s="92" t="inlineStr">
        <is>
          <t>전산운영비-SW유지보수</t>
        </is>
      </c>
      <c r="E437" s="93" t="n">
        <v>98344000</v>
      </c>
      <c r="F437" s="93" t="n">
        <v>0</v>
      </c>
      <c r="G437" s="93" t="n">
        <v>935708000</v>
      </c>
      <c r="I437" s="9">
        <f>IF($A437="","",VALUE($A437&amp;"")*12+VALUE($B437&amp;""))</f>
        <v/>
      </c>
      <c r="J437" s="9">
        <f>IF($A437="","",$C437&amp;"")</f>
        <v/>
      </c>
      <c r="K437" s="94">
        <f>IF($A437="",0,($E437-$F437)*설정!$C$23)</f>
        <v/>
      </c>
    </row>
    <row r="438">
      <c r="A438" s="92" t="n">
        <v>2026</v>
      </c>
      <c r="B438" s="92" t="n">
        <v>9</v>
      </c>
      <c r="C438" s="92" t="n">
        <v>63002000</v>
      </c>
      <c r="D438" s="92" t="inlineStr">
        <is>
          <t>전산운영비-클라우드</t>
        </is>
      </c>
      <c r="E438" s="93" t="n">
        <v>109115000</v>
      </c>
      <c r="F438" s="93" t="n">
        <v>0</v>
      </c>
      <c r="G438" s="93" t="n">
        <v>826357000</v>
      </c>
      <c r="I438" s="9">
        <f>IF($A438="","",VALUE($A438&amp;"")*12+VALUE($B438&amp;""))</f>
        <v/>
      </c>
      <c r="J438" s="9">
        <f>IF($A438="","",$C438&amp;"")</f>
        <v/>
      </c>
      <c r="K438" s="94">
        <f>IF($A438="",0,($E438-$F438)*설정!$C$23)</f>
        <v/>
      </c>
    </row>
    <row r="439">
      <c r="A439" s="92" t="n">
        <v>2026</v>
      </c>
      <c r="B439" s="92" t="n">
        <v>9</v>
      </c>
      <c r="C439" s="92" t="n">
        <v>63101000</v>
      </c>
      <c r="D439" s="92" t="inlineStr">
        <is>
          <t>임차료</t>
        </is>
      </c>
      <c r="E439" s="93" t="n">
        <v>14848000</v>
      </c>
      <c r="F439" s="93" t="n">
        <v>0</v>
      </c>
      <c r="G439" s="93" t="n">
        <v>138307000</v>
      </c>
      <c r="I439" s="9">
        <f>IF($A439="","",VALUE($A439&amp;"")*12+VALUE($B439&amp;""))</f>
        <v/>
      </c>
      <c r="J439" s="9">
        <f>IF($A439="","",$C439&amp;"")</f>
        <v/>
      </c>
      <c r="K439" s="94">
        <f>IF($A439="",0,($E439-$F439)*설정!$C$23)</f>
        <v/>
      </c>
    </row>
    <row r="440">
      <c r="A440" s="92" t="n">
        <v>2026</v>
      </c>
      <c r="B440" s="92" t="n">
        <v>9</v>
      </c>
      <c r="C440" s="92" t="n">
        <v>63201000</v>
      </c>
      <c r="D440" s="92" t="inlineStr">
        <is>
          <t>차량유지비</t>
        </is>
      </c>
      <c r="E440" s="93" t="n">
        <v>14315000</v>
      </c>
      <c r="F440" s="93" t="n">
        <v>0</v>
      </c>
      <c r="G440" s="93" t="n">
        <v>71738000</v>
      </c>
      <c r="I440" s="9">
        <f>IF($A440="","",VALUE($A440&amp;"")*12+VALUE($B440&amp;""))</f>
        <v/>
      </c>
      <c r="J440" s="9">
        <f>IF($A440="","",$C440&amp;"")</f>
        <v/>
      </c>
      <c r="K440" s="94">
        <f>IF($A440="",0,($E440-$F440)*설정!$C$23)</f>
        <v/>
      </c>
    </row>
    <row r="441">
      <c r="A441" s="92" t="n">
        <v>2026</v>
      </c>
      <c r="B441" s="92" t="n">
        <v>9</v>
      </c>
      <c r="C441" s="92" t="n">
        <v>63501000</v>
      </c>
      <c r="D441" s="92" t="inlineStr">
        <is>
          <t>모집수수료</t>
        </is>
      </c>
      <c r="E441" s="93" t="n">
        <v>2454582000</v>
      </c>
      <c r="F441" s="93" t="n">
        <v>0</v>
      </c>
      <c r="G441" s="93" t="n">
        <v>16781771000</v>
      </c>
      <c r="I441" s="9">
        <f>IF($A441="","",VALUE($A441&amp;"")*12+VALUE($B441&amp;""))</f>
        <v/>
      </c>
      <c r="J441" s="9">
        <f>IF($A441="","",$C441&amp;"")</f>
        <v/>
      </c>
      <c r="K441" s="94">
        <f>IF($A441="",0,($E441-$F441)*설정!$C$23)</f>
        <v/>
      </c>
    </row>
    <row r="442">
      <c r="A442" s="92" t="n">
        <v>2026</v>
      </c>
      <c r="B442" s="92" t="n">
        <v>9</v>
      </c>
      <c r="C442" s="92" t="n">
        <v>63502000</v>
      </c>
      <c r="D442" s="92" t="inlineStr">
        <is>
          <t>유지수수료</t>
        </is>
      </c>
      <c r="E442" s="93" t="n">
        <v>453742000</v>
      </c>
      <c r="F442" s="93" t="n">
        <v>0</v>
      </c>
      <c r="G442" s="93" t="n">
        <v>4040031000</v>
      </c>
      <c r="I442" s="9">
        <f>IF($A442="","",VALUE($A442&amp;"")*12+VALUE($B442&amp;""))</f>
        <v/>
      </c>
      <c r="J442" s="9">
        <f>IF($A442="","",$C442&amp;"")</f>
        <v/>
      </c>
      <c r="K442" s="94">
        <f>IF($A442="",0,($E442-$F442)*설정!$C$23)</f>
        <v/>
      </c>
    </row>
    <row r="443">
      <c r="A443" s="92" t="n">
        <v>2026</v>
      </c>
      <c r="B443" s="92" t="n">
        <v>9</v>
      </c>
      <c r="C443" s="92" t="n">
        <v>63601000</v>
      </c>
      <c r="D443" s="92" t="inlineStr">
        <is>
          <t>손해조사비</t>
        </is>
      </c>
      <c r="E443" s="93" t="n">
        <v>28760000</v>
      </c>
      <c r="F443" s="93" t="n">
        <v>0</v>
      </c>
      <c r="G443" s="93" t="n">
        <v>271987000</v>
      </c>
      <c r="I443" s="9">
        <f>IF($A443="","",VALUE($A443&amp;"")*12+VALUE($B443&amp;""))</f>
        <v/>
      </c>
      <c r="J443" s="9">
        <f>IF($A443="","",$C443&amp;"")</f>
        <v/>
      </c>
      <c r="K443" s="94">
        <f>IF($A443="",0,($E443-$F443)*설정!$C$23)</f>
        <v/>
      </c>
    </row>
    <row r="444">
      <c r="A444" s="92" t="n">
        <v>2026</v>
      </c>
      <c r="B444" s="92" t="n">
        <v>9</v>
      </c>
      <c r="C444" s="92" t="n">
        <v>61101000</v>
      </c>
      <c r="D444" s="92" t="inlineStr">
        <is>
          <t>급여</t>
        </is>
      </c>
      <c r="E444" s="93" t="n">
        <v>814302000</v>
      </c>
      <c r="F444" s="93" t="n">
        <v>0</v>
      </c>
      <c r="G444" s="93" t="n">
        <v>7287658000</v>
      </c>
      <c r="I444" s="9">
        <f>IF($A444="","",VALUE($A444&amp;"")*12+VALUE($B444&amp;""))</f>
        <v/>
      </c>
      <c r="J444" s="9">
        <f>IF($A444="","",$C444&amp;"")</f>
        <v/>
      </c>
      <c r="K444" s="94">
        <f>IF($A444="",0,($E444-$F444)*설정!$C$23)</f>
        <v/>
      </c>
    </row>
    <row r="445">
      <c r="A445" s="92" t="n">
        <v>2026</v>
      </c>
      <c r="B445" s="92" t="n">
        <v>9</v>
      </c>
      <c r="C445" s="92" t="n">
        <v>61201000</v>
      </c>
      <c r="D445" s="92" t="inlineStr">
        <is>
          <t>복리후생비</t>
        </is>
      </c>
      <c r="E445" s="93" t="n">
        <v>122200000</v>
      </c>
      <c r="F445" s="93" t="n">
        <v>0</v>
      </c>
      <c r="G445" s="93" t="n">
        <v>1086407000</v>
      </c>
      <c r="I445" s="9">
        <f>IF($A445="","",VALUE($A445&amp;"")*12+VALUE($B445&amp;""))</f>
        <v/>
      </c>
      <c r="J445" s="9">
        <f>IF($A445="","",$C445&amp;"")</f>
        <v/>
      </c>
      <c r="K445" s="94">
        <f>IF($A445="",0,($E445-$F445)*설정!$C$23)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B9BD5"/>
    <outlinePr summaryBelow="1" summaryRight="1"/>
    <pageSetUpPr/>
  </sheetPr>
  <dimension ref="A1:AH47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1" customWidth="1" min="4" max="4"/>
    <col width="7" customWidth="1" min="5" max="5"/>
    <col width="10" customWidth="1" min="6" max="6"/>
    <col width="9" customWidth="1" min="7" max="7"/>
    <col width="13" customWidth="1" min="8" max="8"/>
    <col width="40" customWidth="1" min="9" max="9"/>
    <col width="9" customWidth="1" min="10" max="10"/>
    <col width="13" customWidth="1" min="11" max="11"/>
    <col width="2" customWidth="1" min="12" max="12"/>
    <col width="8" customWidth="1" min="13" max="13"/>
    <col width="8" customWidth="1" min="14" max="14"/>
    <col width="14" customWidth="1" min="15" max="15"/>
    <col width="10" customWidth="1" min="16" max="16"/>
    <col width="8" customWidth="1" min="17" max="17"/>
    <col width="12" customWidth="1" min="18" max="18"/>
    <col width="8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8" customWidth="1" min="31" max="31"/>
    <col width="9" customWidth="1" min="32" max="32"/>
    <col width="9" customWidth="1" min="33" max="33"/>
    <col width="9" customWidth="1" min="34" max="34"/>
  </cols>
  <sheetData>
    <row r="1">
      <c r="A1" s="1" t="inlineStr">
        <is>
          <t>TRACE · 전표 원본 (사업비 계정 전표 라인)</t>
        </is>
      </c>
    </row>
    <row r="2">
      <c r="A2" s="2" t="inlineStr">
        <is>
          <t>A~K: 붙여넣기 · M~X: 보조수식 (회색, 수정 금지) · 최근 24개월 권장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전표번호</t>
        </is>
      </c>
      <c r="D4" s="4" t="inlineStr">
        <is>
          <t>전기일</t>
        </is>
      </c>
      <c r="E4" s="4" t="inlineStr">
        <is>
          <t>전표유형</t>
        </is>
      </c>
      <c r="F4" s="4" t="inlineStr">
        <is>
          <t>G/L계정</t>
        </is>
      </c>
      <c r="G4" s="4" t="inlineStr">
        <is>
          <t>코스트센터</t>
        </is>
      </c>
      <c r="H4" s="4" t="inlineStr">
        <is>
          <t>금액</t>
        </is>
      </c>
      <c r="I4" s="4" t="inlineStr">
        <is>
          <t>적요</t>
        </is>
      </c>
      <c r="J4" s="4" t="inlineStr">
        <is>
          <t>거래처코드</t>
        </is>
      </c>
      <c r="K4" s="4" t="inlineStr">
        <is>
          <t>거래처명</t>
        </is>
      </c>
      <c r="M4" s="39" t="inlineStr">
        <is>
          <t>기간번호</t>
        </is>
      </c>
      <c r="N4" s="39" t="inlineStr">
        <is>
          <t>부서코드</t>
        </is>
      </c>
      <c r="O4" s="39" t="inlineStr">
        <is>
          <t>키</t>
        </is>
      </c>
      <c r="P4" s="39" t="inlineStr">
        <is>
          <t>금액
(보고단위)</t>
        </is>
      </c>
      <c r="Q4" s="39" t="inlineStr">
        <is>
          <t>선택구분</t>
        </is>
      </c>
      <c r="R4" s="39" t="inlineStr">
        <is>
          <t>선택거래처</t>
        </is>
      </c>
      <c r="S4" s="39" t="inlineStr">
        <is>
          <t>첫등장행</t>
        </is>
      </c>
      <c r="T4" s="39" t="inlineStr">
        <is>
          <t>당기
근거점수</t>
        </is>
      </c>
      <c r="U4" s="39" t="inlineStr">
        <is>
          <t>비교
근거점수</t>
        </is>
      </c>
      <c r="V4" s="39" t="inlineStr">
        <is>
          <t>목록포함</t>
        </is>
      </c>
      <c r="W4" s="39" t="inlineStr">
        <is>
          <t>사업비여부</t>
        </is>
      </c>
      <c r="X4" s="39" t="inlineStr">
        <is>
          <t>G/L텍스트</t>
        </is>
      </c>
      <c r="Y4" s="39" t="inlineStr">
        <is>
          <t>비귀속</t>
        </is>
      </c>
      <c r="Z4" s="39" t="inlineStr">
        <is>
          <t>신계약비</t>
        </is>
      </c>
      <c r="AA4" s="39" t="inlineStr">
        <is>
          <t>유지비</t>
        </is>
      </c>
      <c r="AB4" s="39" t="inlineStr">
        <is>
          <t>수금비</t>
        </is>
      </c>
      <c r="AC4" s="39" t="inlineStr">
        <is>
          <t>신계약
근거점수</t>
        </is>
      </c>
      <c r="AD4" s="39" t="inlineStr">
        <is>
          <t>재산관리비</t>
        </is>
      </c>
      <c r="AE4" s="39" t="inlineStr">
        <is>
          <t>대체구분</t>
        </is>
      </c>
      <c r="AF4" s="39" t="inlineStr">
        <is>
          <t>직접대체
계정</t>
        </is>
      </c>
      <c r="AG4" s="39" t="inlineStr">
        <is>
          <t>재산관리비
비율</t>
        </is>
      </c>
      <c r="AH4" s="39" t="inlineStr">
        <is>
          <t>재산관리비
약대</t>
        </is>
      </c>
    </row>
    <row r="5">
      <c r="A5" s="92" t="n">
        <v>2025</v>
      </c>
      <c r="B5" s="92" t="n">
        <v>1</v>
      </c>
      <c r="C5" s="92" t="inlineStr">
        <is>
          <t>5100000001</t>
        </is>
      </c>
      <c r="D5" s="95" t="n">
        <v>45659</v>
      </c>
      <c r="E5" s="92" t="inlineStr">
        <is>
          <t>KR</t>
        </is>
      </c>
      <c r="F5" s="92" t="n">
        <v>62101000</v>
      </c>
      <c r="G5" s="92" t="n">
        <v>1401</v>
      </c>
      <c r="H5" s="93" t="n">
        <v>511000</v>
      </c>
      <c r="I5" s="92" t="inlineStr">
        <is>
          <t>1월 국내출장 - M항공</t>
        </is>
      </c>
      <c r="J5" s="92" t="inlineStr">
        <is>
          <t>V10001</t>
        </is>
      </c>
      <c r="K5" s="92" t="inlineStr">
        <is>
          <t>M항공</t>
        </is>
      </c>
      <c r="M5" s="9">
        <f>IF($A5="","",VALUE($A5&amp;"")*12+VALUE($B5&amp;""))</f>
        <v/>
      </c>
      <c r="N5" s="64">
        <f>IF($A5="","",IFERROR(INDEX(부서매핑!$C$5:$C$504,MATCH($G5&amp;"",부서매핑!$A$5:$A$504,0)),"미매핑"))</f>
        <v/>
      </c>
      <c r="O5" s="9">
        <f>IF($A5="","",N5&amp;"|"&amp;$F5)</f>
        <v/>
      </c>
      <c r="P5" s="94">
        <f>IF($A5="",0,$H5*설정!$C$23)</f>
        <v/>
      </c>
      <c r="Q5" s="64">
        <f>IF($A5="","",IF(O5&lt;&gt;원인분석!$C$9,"",IF(AND(M5&gt;=원인분석!$C$10,M5&lt;=원인분석!$C$11),"당기",IF(AND(M5&gt;=원인분석!$C$12,M5&lt;=원인분석!$C$13),"비교",""))))</f>
        <v/>
      </c>
      <c r="R5" s="9">
        <f>IF(Q5="","",$K5&amp;"")</f>
        <v/>
      </c>
      <c r="S5" s="9">
        <f>IF(Q5="","",IF(MATCH(R5,$R$5:$R$100000,0)=ROW()-4,ROW(),""))</f>
        <v/>
      </c>
      <c r="T5" s="9">
        <f>IF(Q5="당기",ABS(P5)+ROW()/1000000000,"")</f>
        <v/>
      </c>
      <c r="U5" s="9">
        <f>IF(Q5="비교",ABS(P5)+ROW()/1000000000,"")</f>
        <v/>
      </c>
      <c r="V5" s="64">
        <f>IF($A5="","",IF(COUNTIF(변동분석!$E$7:$E$506,O5)&gt;0,"Y","N"))</f>
        <v/>
      </c>
      <c r="W5" s="64">
        <f>IF($A5="","",IFERROR(INDEX(계정매핑!$D$5:$D$504,MATCH($F5&amp;"",계정매핑!$A$5:$A$504,0)),"미매핑"))</f>
        <v/>
      </c>
      <c r="X5" s="9">
        <f>IF($A5="","",$F5&amp;"")</f>
        <v/>
      </c>
      <c r="Y5" s="94">
        <f>IF($A5="",0,IF(AE5="직접",IF(AF5="비귀속",$P5,0),$P5*(1-AG5)*IFERROR(INDEX(계정대체기준!$F$20:$F$49,MATCH($N5,계정대체기준!$A$20:$A$49,0)),1)))</f>
        <v/>
      </c>
      <c r="Z5" s="94">
        <f>IF($A5="",0,IF(AE5="직접",IF(AF5="신계약비",$P5,0),$P5*(1-AG5)*IFERROR(INDEX(계정대체기준!$C$20:$C$49,MATCH($N5,계정대체기준!$A$20:$A$49,0)),0)))</f>
        <v/>
      </c>
      <c r="AA5" s="94">
        <f>IF($A5="",0,IF(AE5="직접",IF(OR(AF5="유지비",AF5="손해조사비"),$P5,0),$P5*(1-AG5)*IFERROR(INDEX(계정대체기준!$D$20:$D$49,MATCH($N5,계정대체기준!$A$20:$A$49,0)),0)))</f>
        <v/>
      </c>
      <c r="AB5" s="94">
        <f>IF($A5="",0,IF(AE5="직접",IF(AF5="수금비",$P5,0),$P5*(1-AG5)*IFERROR(INDEX(계정대체기준!$E$20:$E$49,MATCH($N5,계정대체기준!$A$20:$A$49,0)),0)))</f>
        <v/>
      </c>
      <c r="AC5" s="9">
        <f>IF(AND($A5&lt;&gt;"",M5=설정!$C$20,Z5&gt;0),Z5+ROW()/1000000000,"")</f>
        <v/>
      </c>
      <c r="AD5" s="94">
        <f>IF($A5="",0,$P5*AG5)</f>
        <v/>
      </c>
      <c r="AE5" s="64">
        <f>IF($A5="","",IFERROR(INDEX(계정매핑!$E$5:$E$504,MATCH($F5&amp;"",계정매핑!$A$5:$A$504,0))&amp;"","공통비"))</f>
        <v/>
      </c>
      <c r="AF5" s="64">
        <f>IF($A5="","",IF(AE5="직접",IFERROR(INDEX(계정매핑!$F$5:$F$504,MATCH($F5&amp;"",계정매핑!$A$5:$A$504,0))&amp;"","비귀속"),""))</f>
        <v/>
      </c>
      <c r="AG5" s="96">
        <f>IF($A5="",0,IF(AND(AE5&lt;&gt;"직접",IFERROR(INDEX(계정매핑!$G$5:$G$504,MATCH($F5&amp;"",계정매핑!$A$5:$A$504,0))&amp;"","")="유지비",COUNTIF(계정대체기준!$A$6:$A$15,$N5)&gt;0),IFERROR(INDEX(계정대체기준!$E$6:$E$15,MATCH(VALUE($A5&amp;""),계정대체기준!$D$6:$D$15,0)),0),0))</f>
        <v/>
      </c>
      <c r="AH5" s="64">
        <f>IF($A5="","",IF(AD5=0,"",IF(OR(COUNTIF(계정대체기준!$A$77:$A$86,$N5)&gt;0,ISNUMBER(MATCH($X5,계정대체기준!$D$77:$D$86,0)),ISNUMBER(MATCH($F5,계정대체기준!$D$77:$D$86,0))),"Y","N")))</f>
        <v/>
      </c>
    </row>
    <row r="6">
      <c r="A6" s="92" t="n">
        <v>2025</v>
      </c>
      <c r="B6" s="92" t="n">
        <v>1</v>
      </c>
      <c r="C6" s="92" t="inlineStr">
        <is>
          <t>5100000002</t>
        </is>
      </c>
      <c r="D6" s="95" t="n">
        <v>45659</v>
      </c>
      <c r="E6" s="92" t="inlineStr">
        <is>
          <t>KR</t>
        </is>
      </c>
      <c r="F6" s="92" t="n">
        <v>62201000</v>
      </c>
      <c r="G6" s="92" t="n">
        <v>1801</v>
      </c>
      <c r="H6" s="93" t="n">
        <v>3584000</v>
      </c>
      <c r="I6" s="92" t="inlineStr">
        <is>
          <t>1월 통신요금 - O텔레콤</t>
        </is>
      </c>
      <c r="J6" s="92" t="inlineStr">
        <is>
          <t>V10002</t>
        </is>
      </c>
      <c r="K6" s="92" t="inlineStr">
        <is>
          <t>O텔레콤</t>
        </is>
      </c>
      <c r="M6" s="9">
        <f>IF($A6="","",VALUE($A6&amp;"")*12+VALUE($B6&amp;""))</f>
        <v/>
      </c>
      <c r="N6" s="64">
        <f>IF($A6="","",IFERROR(INDEX(부서매핑!$C$5:$C$504,MATCH($G6&amp;"",부서매핑!$A$5:$A$504,0)),"미매핑"))</f>
        <v/>
      </c>
      <c r="O6" s="9">
        <f>IF($A6="","",N6&amp;"|"&amp;$F6)</f>
        <v/>
      </c>
      <c r="P6" s="94">
        <f>IF($A6="",0,$H6*설정!$C$23)</f>
        <v/>
      </c>
      <c r="Q6" s="64">
        <f>IF($A6="","",IF(O6&lt;&gt;원인분석!$C$9,"",IF(AND(M6&gt;=원인분석!$C$10,M6&lt;=원인분석!$C$11),"당기",IF(AND(M6&gt;=원인분석!$C$12,M6&lt;=원인분석!$C$13),"비교",""))))</f>
        <v/>
      </c>
      <c r="R6" s="9">
        <f>IF(Q6="","",$K6&amp;"")</f>
        <v/>
      </c>
      <c r="S6" s="9">
        <f>IF(Q6="","",IF(MATCH(R6,$R$5:$R$100000,0)=ROW()-4,ROW(),""))</f>
        <v/>
      </c>
      <c r="T6" s="9">
        <f>IF(Q6="당기",ABS(P6)+ROW()/1000000000,"")</f>
        <v/>
      </c>
      <c r="U6" s="9">
        <f>IF(Q6="비교",ABS(P6)+ROW()/1000000000,"")</f>
        <v/>
      </c>
      <c r="V6" s="64">
        <f>IF($A6="","",IF(COUNTIF(변동분석!$E$7:$E$506,O6)&gt;0,"Y","N"))</f>
        <v/>
      </c>
      <c r="W6" s="64">
        <f>IF($A6="","",IFERROR(INDEX(계정매핑!$D$5:$D$504,MATCH($F6&amp;"",계정매핑!$A$5:$A$504,0)),"미매핑"))</f>
        <v/>
      </c>
      <c r="X6" s="9">
        <f>IF($A6="","",$F6&amp;"")</f>
        <v/>
      </c>
      <c r="Y6" s="94">
        <f>IF($A6="",0,IF(AE6="직접",IF(AF6="비귀속",$P6,0),$P6*(1-AG6)*IFERROR(INDEX(계정대체기준!$F$20:$F$49,MATCH($N6,계정대체기준!$A$20:$A$49,0)),1)))</f>
        <v/>
      </c>
      <c r="Z6" s="94">
        <f>IF($A6="",0,IF(AE6="직접",IF(AF6="신계약비",$P6,0),$P6*(1-AG6)*IFERROR(INDEX(계정대체기준!$C$20:$C$49,MATCH($N6,계정대체기준!$A$20:$A$49,0)),0)))</f>
        <v/>
      </c>
      <c r="AA6" s="94">
        <f>IF($A6="",0,IF(AE6="직접",IF(OR(AF6="유지비",AF6="손해조사비"),$P6,0),$P6*(1-AG6)*IFERROR(INDEX(계정대체기준!$D$20:$D$49,MATCH($N6,계정대체기준!$A$20:$A$49,0)),0)))</f>
        <v/>
      </c>
      <c r="AB6" s="94">
        <f>IF($A6="",0,IF(AE6="직접",IF(AF6="수금비",$P6,0),$P6*(1-AG6)*IFERROR(INDEX(계정대체기준!$E$20:$E$49,MATCH($N6,계정대체기준!$A$20:$A$49,0)),0)))</f>
        <v/>
      </c>
      <c r="AC6" s="9">
        <f>IF(AND($A6&lt;&gt;"",M6=설정!$C$20,Z6&gt;0),Z6+ROW()/1000000000,"")</f>
        <v/>
      </c>
      <c r="AD6" s="94">
        <f>IF($A6="",0,$P6*AG6)</f>
        <v/>
      </c>
      <c r="AE6" s="64">
        <f>IF($A6="","",IFERROR(INDEX(계정매핑!$E$5:$E$504,MATCH($F6&amp;"",계정매핑!$A$5:$A$504,0))&amp;"","공통비"))</f>
        <v/>
      </c>
      <c r="AF6" s="64">
        <f>IF($A6="","",IF(AE6="직접",IFERROR(INDEX(계정매핑!$F$5:$F$504,MATCH($F6&amp;"",계정매핑!$A$5:$A$504,0))&amp;"","비귀속"),""))</f>
        <v/>
      </c>
      <c r="AG6" s="96">
        <f>IF($A6="",0,IF(AND(AE6&lt;&gt;"직접",IFERROR(INDEX(계정매핑!$G$5:$G$504,MATCH($F6&amp;"",계정매핑!$A$5:$A$504,0))&amp;"","")="유지비",COUNTIF(계정대체기준!$A$6:$A$15,$N6)&gt;0),IFERROR(INDEX(계정대체기준!$E$6:$E$15,MATCH(VALUE($A6&amp;""),계정대체기준!$D$6:$D$15,0)),0),0))</f>
        <v/>
      </c>
      <c r="AH6" s="64">
        <f>IF($A6="","",IF(AD6=0,"",IF(OR(COUNTIF(계정대체기준!$A$77:$A$86,$N6)&gt;0,ISNUMBER(MATCH($X6,계정대체기준!$D$77:$D$86,0)),ISNUMBER(MATCH($F6,계정대체기준!$D$77:$D$86,0))),"Y","N")))</f>
        <v/>
      </c>
    </row>
    <row r="7">
      <c r="A7" s="92" t="n">
        <v>2025</v>
      </c>
      <c r="B7" s="92" t="n">
        <v>1</v>
      </c>
      <c r="C7" s="92" t="inlineStr">
        <is>
          <t>5100000003</t>
        </is>
      </c>
      <c r="D7" s="95" t="n">
        <v>45659</v>
      </c>
      <c r="E7" s="92" t="inlineStr">
        <is>
          <t>KR</t>
        </is>
      </c>
      <c r="F7" s="92" t="n">
        <v>62301000</v>
      </c>
      <c r="G7" s="92" t="n">
        <v>1201</v>
      </c>
      <c r="H7" s="93" t="n">
        <v>263000</v>
      </c>
      <c r="I7" s="92" t="inlineStr">
        <is>
          <t>1월 소모품 구입 - Q오피스</t>
        </is>
      </c>
      <c r="J7" s="92" t="inlineStr">
        <is>
          <t>V10003</t>
        </is>
      </c>
      <c r="K7" s="92" t="inlineStr">
        <is>
          <t>Q오피스</t>
        </is>
      </c>
      <c r="M7" s="9">
        <f>IF($A7="","",VALUE($A7&amp;"")*12+VALUE($B7&amp;""))</f>
        <v/>
      </c>
      <c r="N7" s="64">
        <f>IF($A7="","",IFERROR(INDEX(부서매핑!$C$5:$C$504,MATCH($G7&amp;"",부서매핑!$A$5:$A$504,0)),"미매핑"))</f>
        <v/>
      </c>
      <c r="O7" s="9">
        <f>IF($A7="","",N7&amp;"|"&amp;$F7)</f>
        <v/>
      </c>
      <c r="P7" s="94">
        <f>IF($A7="",0,$H7*설정!$C$23)</f>
        <v/>
      </c>
      <c r="Q7" s="64">
        <f>IF($A7="","",IF(O7&lt;&gt;원인분석!$C$9,"",IF(AND(M7&gt;=원인분석!$C$10,M7&lt;=원인분석!$C$11),"당기",IF(AND(M7&gt;=원인분석!$C$12,M7&lt;=원인분석!$C$13),"비교",""))))</f>
        <v/>
      </c>
      <c r="R7" s="9">
        <f>IF(Q7="","",$K7&amp;"")</f>
        <v/>
      </c>
      <c r="S7" s="9">
        <f>IF(Q7="","",IF(MATCH(R7,$R$5:$R$100000,0)=ROW()-4,ROW(),""))</f>
        <v/>
      </c>
      <c r="T7" s="9">
        <f>IF(Q7="당기",ABS(P7)+ROW()/1000000000,"")</f>
        <v/>
      </c>
      <c r="U7" s="9">
        <f>IF(Q7="비교",ABS(P7)+ROW()/1000000000,"")</f>
        <v/>
      </c>
      <c r="V7" s="64">
        <f>IF($A7="","",IF(COUNTIF(변동분석!$E$7:$E$506,O7)&gt;0,"Y","N"))</f>
        <v/>
      </c>
      <c r="W7" s="64">
        <f>IF($A7="","",IFERROR(INDEX(계정매핑!$D$5:$D$504,MATCH($F7&amp;"",계정매핑!$A$5:$A$504,0)),"미매핑"))</f>
        <v/>
      </c>
      <c r="X7" s="9">
        <f>IF($A7="","",$F7&amp;"")</f>
        <v/>
      </c>
      <c r="Y7" s="94">
        <f>IF($A7="",0,IF(AE7="직접",IF(AF7="비귀속",$P7,0),$P7*(1-AG7)*IFERROR(INDEX(계정대체기준!$F$20:$F$49,MATCH($N7,계정대체기준!$A$20:$A$49,0)),1)))</f>
        <v/>
      </c>
      <c r="Z7" s="94">
        <f>IF($A7="",0,IF(AE7="직접",IF(AF7="신계약비",$P7,0),$P7*(1-AG7)*IFERROR(INDEX(계정대체기준!$C$20:$C$49,MATCH($N7,계정대체기준!$A$20:$A$49,0)),0)))</f>
        <v/>
      </c>
      <c r="AA7" s="94">
        <f>IF($A7="",0,IF(AE7="직접",IF(OR(AF7="유지비",AF7="손해조사비"),$P7,0),$P7*(1-AG7)*IFERROR(INDEX(계정대체기준!$D$20:$D$49,MATCH($N7,계정대체기준!$A$20:$A$49,0)),0)))</f>
        <v/>
      </c>
      <c r="AB7" s="94">
        <f>IF($A7="",0,IF(AE7="직접",IF(AF7="수금비",$P7,0),$P7*(1-AG7)*IFERROR(INDEX(계정대체기준!$E$20:$E$49,MATCH($N7,계정대체기준!$A$20:$A$49,0)),0)))</f>
        <v/>
      </c>
      <c r="AC7" s="9">
        <f>IF(AND($A7&lt;&gt;"",M7=설정!$C$20,Z7&gt;0),Z7+ROW()/1000000000,"")</f>
        <v/>
      </c>
      <c r="AD7" s="94">
        <f>IF($A7="",0,$P7*AG7)</f>
        <v/>
      </c>
      <c r="AE7" s="64">
        <f>IF($A7="","",IFERROR(INDEX(계정매핑!$E$5:$E$504,MATCH($F7&amp;"",계정매핑!$A$5:$A$504,0))&amp;"","공통비"))</f>
        <v/>
      </c>
      <c r="AF7" s="64">
        <f>IF($A7="","",IF(AE7="직접",IFERROR(INDEX(계정매핑!$F$5:$F$504,MATCH($F7&amp;"",계정매핑!$A$5:$A$504,0))&amp;"","비귀속"),""))</f>
        <v/>
      </c>
      <c r="AG7" s="96">
        <f>IF($A7="",0,IF(AND(AE7&lt;&gt;"직접",IFERROR(INDEX(계정매핑!$G$5:$G$504,MATCH($F7&amp;"",계정매핑!$A$5:$A$504,0))&amp;"","")="유지비",COUNTIF(계정대체기준!$A$6:$A$15,$N7)&gt;0),IFERROR(INDEX(계정대체기준!$E$6:$E$15,MATCH(VALUE($A7&amp;""),계정대체기준!$D$6:$D$15,0)),0),0))</f>
        <v/>
      </c>
      <c r="AH7" s="64">
        <f>IF($A7="","",IF(AD7=0,"",IF(OR(COUNTIF(계정대체기준!$A$77:$A$86,$N7)&gt;0,ISNUMBER(MATCH($X7,계정대체기준!$D$77:$D$86,0)),ISNUMBER(MATCH($F7,계정대체기준!$D$77:$D$86,0))),"Y","N")))</f>
        <v/>
      </c>
    </row>
    <row r="8">
      <c r="A8" s="92" t="n">
        <v>2025</v>
      </c>
      <c r="B8" s="92" t="n">
        <v>1</v>
      </c>
      <c r="C8" s="92" t="inlineStr">
        <is>
          <t>5100000004</t>
        </is>
      </c>
      <c r="D8" s="95" t="n">
        <v>45659</v>
      </c>
      <c r="E8" s="92" t="inlineStr">
        <is>
          <t>KR</t>
        </is>
      </c>
      <c r="F8" s="92" t="n">
        <v>62401000</v>
      </c>
      <c r="G8" s="92" t="n">
        <v>1401</v>
      </c>
      <c r="H8" s="93" t="n">
        <v>343000</v>
      </c>
      <c r="I8" s="92" t="inlineStr">
        <is>
          <t>1월 인쇄물 제작 - G인쇄</t>
        </is>
      </c>
      <c r="J8" s="92" t="inlineStr">
        <is>
          <t>V10004</t>
        </is>
      </c>
      <c r="K8" s="92" t="inlineStr">
        <is>
          <t>G인쇄</t>
        </is>
      </c>
      <c r="M8" s="9">
        <f>IF($A8="","",VALUE($A8&amp;"")*12+VALUE($B8&amp;""))</f>
        <v/>
      </c>
      <c r="N8" s="64">
        <f>IF($A8="","",IFERROR(INDEX(부서매핑!$C$5:$C$504,MATCH($G8&amp;"",부서매핑!$A$5:$A$504,0)),"미매핑"))</f>
        <v/>
      </c>
      <c r="O8" s="9">
        <f>IF($A8="","",N8&amp;"|"&amp;$F8)</f>
        <v/>
      </c>
      <c r="P8" s="94">
        <f>IF($A8="",0,$H8*설정!$C$23)</f>
        <v/>
      </c>
      <c r="Q8" s="64">
        <f>IF($A8="","",IF(O8&lt;&gt;원인분석!$C$9,"",IF(AND(M8&gt;=원인분석!$C$10,M8&lt;=원인분석!$C$11),"당기",IF(AND(M8&gt;=원인분석!$C$12,M8&lt;=원인분석!$C$13),"비교",""))))</f>
        <v/>
      </c>
      <c r="R8" s="9">
        <f>IF(Q8="","",$K8&amp;"")</f>
        <v/>
      </c>
      <c r="S8" s="9">
        <f>IF(Q8="","",IF(MATCH(R8,$R$5:$R$100000,0)=ROW()-4,ROW(),""))</f>
        <v/>
      </c>
      <c r="T8" s="9">
        <f>IF(Q8="당기",ABS(P8)+ROW()/1000000000,"")</f>
        <v/>
      </c>
      <c r="U8" s="9">
        <f>IF(Q8="비교",ABS(P8)+ROW()/1000000000,"")</f>
        <v/>
      </c>
      <c r="V8" s="64">
        <f>IF($A8="","",IF(COUNTIF(변동분석!$E$7:$E$506,O8)&gt;0,"Y","N"))</f>
        <v/>
      </c>
      <c r="W8" s="64">
        <f>IF($A8="","",IFERROR(INDEX(계정매핑!$D$5:$D$504,MATCH($F8&amp;"",계정매핑!$A$5:$A$504,0)),"미매핑"))</f>
        <v/>
      </c>
      <c r="X8" s="9">
        <f>IF($A8="","",$F8&amp;"")</f>
        <v/>
      </c>
      <c r="Y8" s="94">
        <f>IF($A8="",0,IF(AE8="직접",IF(AF8="비귀속",$P8,0),$P8*(1-AG8)*IFERROR(INDEX(계정대체기준!$F$20:$F$49,MATCH($N8,계정대체기준!$A$20:$A$49,0)),1)))</f>
        <v/>
      </c>
      <c r="Z8" s="94">
        <f>IF($A8="",0,IF(AE8="직접",IF(AF8="신계약비",$P8,0),$P8*(1-AG8)*IFERROR(INDEX(계정대체기준!$C$20:$C$49,MATCH($N8,계정대체기준!$A$20:$A$49,0)),0)))</f>
        <v/>
      </c>
      <c r="AA8" s="94">
        <f>IF($A8="",0,IF(AE8="직접",IF(OR(AF8="유지비",AF8="손해조사비"),$P8,0),$P8*(1-AG8)*IFERROR(INDEX(계정대체기준!$D$20:$D$49,MATCH($N8,계정대체기준!$A$20:$A$49,0)),0)))</f>
        <v/>
      </c>
      <c r="AB8" s="94">
        <f>IF($A8="",0,IF(AE8="직접",IF(AF8="수금비",$P8,0),$P8*(1-AG8)*IFERROR(INDEX(계정대체기준!$E$20:$E$49,MATCH($N8,계정대체기준!$A$20:$A$49,0)),0)))</f>
        <v/>
      </c>
      <c r="AC8" s="9">
        <f>IF(AND($A8&lt;&gt;"",M8=설정!$C$20,Z8&gt;0),Z8+ROW()/1000000000,"")</f>
        <v/>
      </c>
      <c r="AD8" s="94">
        <f>IF($A8="",0,$P8*AG8)</f>
        <v/>
      </c>
      <c r="AE8" s="64">
        <f>IF($A8="","",IFERROR(INDEX(계정매핑!$E$5:$E$504,MATCH($F8&amp;"",계정매핑!$A$5:$A$504,0))&amp;"","공통비"))</f>
        <v/>
      </c>
      <c r="AF8" s="64">
        <f>IF($A8="","",IF(AE8="직접",IFERROR(INDEX(계정매핑!$F$5:$F$504,MATCH($F8&amp;"",계정매핑!$A$5:$A$504,0))&amp;"","비귀속"),""))</f>
        <v/>
      </c>
      <c r="AG8" s="96">
        <f>IF($A8="",0,IF(AND(AE8&lt;&gt;"직접",IFERROR(INDEX(계정매핑!$G$5:$G$504,MATCH($F8&amp;"",계정매핑!$A$5:$A$504,0))&amp;"","")="유지비",COUNTIF(계정대체기준!$A$6:$A$15,$N8)&gt;0),IFERROR(INDEX(계정대체기준!$E$6:$E$15,MATCH(VALUE($A8&amp;""),계정대체기준!$D$6:$D$15,0)),0),0))</f>
        <v/>
      </c>
      <c r="AH8" s="64">
        <f>IF($A8="","",IF(AD8=0,"",IF(OR(COUNTIF(계정대체기준!$A$77:$A$86,$N8)&gt;0,ISNUMBER(MATCH($X8,계정대체기준!$D$77:$D$86,0)),ISNUMBER(MATCH($F8,계정대체기준!$D$77:$D$86,0))),"Y","N")))</f>
        <v/>
      </c>
    </row>
    <row r="9">
      <c r="A9" s="92" t="n">
        <v>2025</v>
      </c>
      <c r="B9" s="92" t="n">
        <v>1</v>
      </c>
      <c r="C9" s="92" t="inlineStr">
        <is>
          <t>5100000005</t>
        </is>
      </c>
      <c r="D9" s="95" t="n">
        <v>45659</v>
      </c>
      <c r="E9" s="92" t="inlineStr">
        <is>
          <t>KR</t>
        </is>
      </c>
      <c r="F9" s="92" t="n">
        <v>62501000</v>
      </c>
      <c r="G9" s="92" t="n">
        <v>1602</v>
      </c>
      <c r="H9" s="93" t="n">
        <v>356000</v>
      </c>
      <c r="I9" s="92" t="inlineStr">
        <is>
          <t>1월 회의 다과 - T케이터링</t>
        </is>
      </c>
      <c r="J9" s="92" t="inlineStr">
        <is>
          <t>V10005</t>
        </is>
      </c>
      <c r="K9" s="92" t="inlineStr">
        <is>
          <t>T케이터링</t>
        </is>
      </c>
      <c r="M9" s="9">
        <f>IF($A9="","",VALUE($A9&amp;"")*12+VALUE($B9&amp;""))</f>
        <v/>
      </c>
      <c r="N9" s="64">
        <f>IF($A9="","",IFERROR(INDEX(부서매핑!$C$5:$C$504,MATCH($G9&amp;"",부서매핑!$A$5:$A$504,0)),"미매핑"))</f>
        <v/>
      </c>
      <c r="O9" s="9">
        <f>IF($A9="","",N9&amp;"|"&amp;$F9)</f>
        <v/>
      </c>
      <c r="P9" s="94">
        <f>IF($A9="",0,$H9*설정!$C$23)</f>
        <v/>
      </c>
      <c r="Q9" s="64">
        <f>IF($A9="","",IF(O9&lt;&gt;원인분석!$C$9,"",IF(AND(M9&gt;=원인분석!$C$10,M9&lt;=원인분석!$C$11),"당기",IF(AND(M9&gt;=원인분석!$C$12,M9&lt;=원인분석!$C$13),"비교",""))))</f>
        <v/>
      </c>
      <c r="R9" s="9">
        <f>IF(Q9="","",$K9&amp;"")</f>
        <v/>
      </c>
      <c r="S9" s="9">
        <f>IF(Q9="","",IF(MATCH(R9,$R$5:$R$100000,0)=ROW()-4,ROW(),""))</f>
        <v/>
      </c>
      <c r="T9" s="9">
        <f>IF(Q9="당기",ABS(P9)+ROW()/1000000000,"")</f>
        <v/>
      </c>
      <c r="U9" s="9">
        <f>IF(Q9="비교",ABS(P9)+ROW()/1000000000,"")</f>
        <v/>
      </c>
      <c r="V9" s="64">
        <f>IF($A9="","",IF(COUNTIF(변동분석!$E$7:$E$506,O9)&gt;0,"Y","N"))</f>
        <v/>
      </c>
      <c r="W9" s="64">
        <f>IF($A9="","",IFERROR(INDEX(계정매핑!$D$5:$D$504,MATCH($F9&amp;"",계정매핑!$A$5:$A$504,0)),"미매핑"))</f>
        <v/>
      </c>
      <c r="X9" s="9">
        <f>IF($A9="","",$F9&amp;"")</f>
        <v/>
      </c>
      <c r="Y9" s="94">
        <f>IF($A9="",0,IF(AE9="직접",IF(AF9="비귀속",$P9,0),$P9*(1-AG9)*IFERROR(INDEX(계정대체기준!$F$20:$F$49,MATCH($N9,계정대체기준!$A$20:$A$49,0)),1)))</f>
        <v/>
      </c>
      <c r="Z9" s="94">
        <f>IF($A9="",0,IF(AE9="직접",IF(AF9="신계약비",$P9,0),$P9*(1-AG9)*IFERROR(INDEX(계정대체기준!$C$20:$C$49,MATCH($N9,계정대체기준!$A$20:$A$49,0)),0)))</f>
        <v/>
      </c>
      <c r="AA9" s="94">
        <f>IF($A9="",0,IF(AE9="직접",IF(OR(AF9="유지비",AF9="손해조사비"),$P9,0),$P9*(1-AG9)*IFERROR(INDEX(계정대체기준!$D$20:$D$49,MATCH($N9,계정대체기준!$A$20:$A$49,0)),0)))</f>
        <v/>
      </c>
      <c r="AB9" s="94">
        <f>IF($A9="",0,IF(AE9="직접",IF(AF9="수금비",$P9,0),$P9*(1-AG9)*IFERROR(INDEX(계정대체기준!$E$20:$E$49,MATCH($N9,계정대체기준!$A$20:$A$49,0)),0)))</f>
        <v/>
      </c>
      <c r="AC9" s="9">
        <f>IF(AND($A9&lt;&gt;"",M9=설정!$C$20,Z9&gt;0),Z9+ROW()/1000000000,"")</f>
        <v/>
      </c>
      <c r="AD9" s="94">
        <f>IF($A9="",0,$P9*AG9)</f>
        <v/>
      </c>
      <c r="AE9" s="64">
        <f>IF($A9="","",IFERROR(INDEX(계정매핑!$E$5:$E$504,MATCH($F9&amp;"",계정매핑!$A$5:$A$504,0))&amp;"","공통비"))</f>
        <v/>
      </c>
      <c r="AF9" s="64">
        <f>IF($A9="","",IF(AE9="직접",IFERROR(INDEX(계정매핑!$F$5:$F$504,MATCH($F9&amp;"",계정매핑!$A$5:$A$504,0))&amp;"","비귀속"),""))</f>
        <v/>
      </c>
      <c r="AG9" s="96">
        <f>IF($A9="",0,IF(AND(AE9&lt;&gt;"직접",IFERROR(INDEX(계정매핑!$G$5:$G$504,MATCH($F9&amp;"",계정매핑!$A$5:$A$504,0))&amp;"","")="유지비",COUNTIF(계정대체기준!$A$6:$A$15,$N9)&gt;0),IFERROR(INDEX(계정대체기준!$E$6:$E$15,MATCH(VALUE($A9&amp;""),계정대체기준!$D$6:$D$15,0)),0),0))</f>
        <v/>
      </c>
      <c r="AH9" s="64">
        <f>IF($A9="","",IF(AD9=0,"",IF(OR(COUNTIF(계정대체기준!$A$77:$A$86,$N9)&gt;0,ISNUMBER(MATCH($X9,계정대체기준!$D$77:$D$86,0)),ISNUMBER(MATCH($F9,계정대체기준!$D$77:$D$86,0))),"Y","N")))</f>
        <v/>
      </c>
    </row>
    <row r="10">
      <c r="A10" s="92" t="n">
        <v>2025</v>
      </c>
      <c r="B10" s="92" t="n">
        <v>1</v>
      </c>
      <c r="C10" s="92" t="inlineStr">
        <is>
          <t>5100000006</t>
        </is>
      </c>
      <c r="D10" s="95" t="n">
        <v>45659</v>
      </c>
      <c r="E10" s="92" t="inlineStr">
        <is>
          <t>KR</t>
        </is>
      </c>
      <c r="F10" s="92" t="n">
        <v>62901000</v>
      </c>
      <c r="G10" s="92" t="n">
        <v>1951</v>
      </c>
      <c r="H10" s="93" t="n">
        <v>5727000</v>
      </c>
      <c r="I10" s="92" t="inlineStr">
        <is>
          <t>1월 자문 수수료 - W컨설팅</t>
        </is>
      </c>
      <c r="J10" s="92" t="inlineStr">
        <is>
          <t>V10006</t>
        </is>
      </c>
      <c r="K10" s="92" t="inlineStr">
        <is>
          <t>W컨설팅</t>
        </is>
      </c>
      <c r="M10" s="9">
        <f>IF($A10="","",VALUE($A10&amp;"")*12+VALUE($B10&amp;""))</f>
        <v/>
      </c>
      <c r="N10" s="64">
        <f>IF($A10="","",IFERROR(INDEX(부서매핑!$C$5:$C$504,MATCH($G10&amp;"",부서매핑!$A$5:$A$504,0)),"미매핑"))</f>
        <v/>
      </c>
      <c r="O10" s="9">
        <f>IF($A10="","",N10&amp;"|"&amp;$F10)</f>
        <v/>
      </c>
      <c r="P10" s="94">
        <f>IF($A10="",0,$H10*설정!$C$23)</f>
        <v/>
      </c>
      <c r="Q10" s="64">
        <f>IF($A10="","",IF(O10&lt;&gt;원인분석!$C$9,"",IF(AND(M10&gt;=원인분석!$C$10,M10&lt;=원인분석!$C$11),"당기",IF(AND(M10&gt;=원인분석!$C$12,M10&lt;=원인분석!$C$13),"비교",""))))</f>
        <v/>
      </c>
      <c r="R10" s="9">
        <f>IF(Q10="","",$K10&amp;"")</f>
        <v/>
      </c>
      <c r="S10" s="9">
        <f>IF(Q10="","",IF(MATCH(R10,$R$5:$R$100000,0)=ROW()-4,ROW(),""))</f>
        <v/>
      </c>
      <c r="T10" s="9">
        <f>IF(Q10="당기",ABS(P10)+ROW()/1000000000,"")</f>
        <v/>
      </c>
      <c r="U10" s="9">
        <f>IF(Q10="비교",ABS(P10)+ROW()/1000000000,"")</f>
        <v/>
      </c>
      <c r="V10" s="64">
        <f>IF($A10="","",IF(COUNTIF(변동분석!$E$7:$E$506,O10)&gt;0,"Y","N"))</f>
        <v/>
      </c>
      <c r="W10" s="64">
        <f>IF($A10="","",IFERROR(INDEX(계정매핑!$D$5:$D$504,MATCH($F10&amp;"",계정매핑!$A$5:$A$504,0)),"미매핑"))</f>
        <v/>
      </c>
      <c r="X10" s="9">
        <f>IF($A10="","",$F10&amp;"")</f>
        <v/>
      </c>
      <c r="Y10" s="94">
        <f>IF($A10="",0,IF(AE10="직접",IF(AF10="비귀속",$P10,0),$P10*(1-AG10)*IFERROR(INDEX(계정대체기준!$F$20:$F$49,MATCH($N10,계정대체기준!$A$20:$A$49,0)),1)))</f>
        <v/>
      </c>
      <c r="Z10" s="94">
        <f>IF($A10="",0,IF(AE10="직접",IF(AF10="신계약비",$P10,0),$P10*(1-AG10)*IFERROR(INDEX(계정대체기준!$C$20:$C$49,MATCH($N10,계정대체기준!$A$20:$A$49,0)),0)))</f>
        <v/>
      </c>
      <c r="AA10" s="94">
        <f>IF($A10="",0,IF(AE10="직접",IF(OR(AF10="유지비",AF10="손해조사비"),$P10,0),$P10*(1-AG10)*IFERROR(INDEX(계정대체기준!$D$20:$D$49,MATCH($N10,계정대체기준!$A$20:$A$49,0)),0)))</f>
        <v/>
      </c>
      <c r="AB10" s="94">
        <f>IF($A10="",0,IF(AE10="직접",IF(AF10="수금비",$P10,0),$P10*(1-AG10)*IFERROR(INDEX(계정대체기준!$E$20:$E$49,MATCH($N10,계정대체기준!$A$20:$A$49,0)),0)))</f>
        <v/>
      </c>
      <c r="AC10" s="9">
        <f>IF(AND($A10&lt;&gt;"",M10=설정!$C$20,Z10&gt;0),Z10+ROW()/1000000000,"")</f>
        <v/>
      </c>
      <c r="AD10" s="94">
        <f>IF($A10="",0,$P10*AG10)</f>
        <v/>
      </c>
      <c r="AE10" s="64">
        <f>IF($A10="","",IFERROR(INDEX(계정매핑!$E$5:$E$504,MATCH($F10&amp;"",계정매핑!$A$5:$A$504,0))&amp;"","공통비"))</f>
        <v/>
      </c>
      <c r="AF10" s="64">
        <f>IF($A10="","",IF(AE10="직접",IFERROR(INDEX(계정매핑!$F$5:$F$504,MATCH($F10&amp;"",계정매핑!$A$5:$A$504,0))&amp;"","비귀속"),""))</f>
        <v/>
      </c>
      <c r="AG10" s="96">
        <f>IF($A10="",0,IF(AND(AE10&lt;&gt;"직접",IFERROR(INDEX(계정매핑!$G$5:$G$504,MATCH($F10&amp;"",계정매핑!$A$5:$A$504,0))&amp;"","")="유지비",COUNTIF(계정대체기준!$A$6:$A$15,$N10)&gt;0),IFERROR(INDEX(계정대체기준!$E$6:$E$15,MATCH(VALUE($A10&amp;""),계정대체기준!$D$6:$D$15,0)),0),0))</f>
        <v/>
      </c>
      <c r="AH10" s="64">
        <f>IF($A10="","",IF(AD10=0,"",IF(OR(COUNTIF(계정대체기준!$A$77:$A$86,$N10)&gt;0,ISNUMBER(MATCH($X10,계정대체기준!$D$77:$D$86,0)),ISNUMBER(MATCH($F10,계정대체기준!$D$77:$D$86,0))),"Y","N")))</f>
        <v/>
      </c>
    </row>
    <row r="11">
      <c r="A11" s="92" t="n">
        <v>2025</v>
      </c>
      <c r="B11" s="92" t="n">
        <v>1</v>
      </c>
      <c r="C11" s="92" t="inlineStr">
        <is>
          <t>5100000007</t>
        </is>
      </c>
      <c r="D11" s="95" t="n">
        <v>45659</v>
      </c>
      <c r="E11" s="92" t="inlineStr">
        <is>
          <t>KR</t>
        </is>
      </c>
      <c r="F11" s="92" t="n">
        <v>63101000</v>
      </c>
      <c r="G11" s="92" t="n">
        <v>1601</v>
      </c>
      <c r="H11" s="93" t="n">
        <v>4840000</v>
      </c>
      <c r="I11" s="92" t="inlineStr">
        <is>
          <t>1월 사무실 임차료 - AA빌딩</t>
        </is>
      </c>
      <c r="J11" s="92" t="inlineStr">
        <is>
          <t>V10007</t>
        </is>
      </c>
      <c r="K11" s="92" t="inlineStr">
        <is>
          <t>AA빌딩</t>
        </is>
      </c>
      <c r="M11" s="9">
        <f>IF($A11="","",VALUE($A11&amp;"")*12+VALUE($B11&amp;""))</f>
        <v/>
      </c>
      <c r="N11" s="64">
        <f>IF($A11="","",IFERROR(INDEX(부서매핑!$C$5:$C$504,MATCH($G11&amp;"",부서매핑!$A$5:$A$504,0)),"미매핑"))</f>
        <v/>
      </c>
      <c r="O11" s="9">
        <f>IF($A11="","",N11&amp;"|"&amp;$F11)</f>
        <v/>
      </c>
      <c r="P11" s="94">
        <f>IF($A11="",0,$H11*설정!$C$23)</f>
        <v/>
      </c>
      <c r="Q11" s="64">
        <f>IF($A11="","",IF(O11&lt;&gt;원인분석!$C$9,"",IF(AND(M11&gt;=원인분석!$C$10,M11&lt;=원인분석!$C$11),"당기",IF(AND(M11&gt;=원인분석!$C$12,M11&lt;=원인분석!$C$13),"비교",""))))</f>
        <v/>
      </c>
      <c r="R11" s="9">
        <f>IF(Q11="","",$K11&amp;"")</f>
        <v/>
      </c>
      <c r="S11" s="9">
        <f>IF(Q11="","",IF(MATCH(R11,$R$5:$R$100000,0)=ROW()-4,ROW(),""))</f>
        <v/>
      </c>
      <c r="T11" s="9">
        <f>IF(Q11="당기",ABS(P11)+ROW()/1000000000,"")</f>
        <v/>
      </c>
      <c r="U11" s="9">
        <f>IF(Q11="비교",ABS(P11)+ROW()/1000000000,"")</f>
        <v/>
      </c>
      <c r="V11" s="64">
        <f>IF($A11="","",IF(COUNTIF(변동분석!$E$7:$E$506,O11)&gt;0,"Y","N"))</f>
        <v/>
      </c>
      <c r="W11" s="64">
        <f>IF($A11="","",IFERROR(INDEX(계정매핑!$D$5:$D$504,MATCH($F11&amp;"",계정매핑!$A$5:$A$504,0)),"미매핑"))</f>
        <v/>
      </c>
      <c r="X11" s="9">
        <f>IF($A11="","",$F11&amp;"")</f>
        <v/>
      </c>
      <c r="Y11" s="94">
        <f>IF($A11="",0,IF(AE11="직접",IF(AF11="비귀속",$P11,0),$P11*(1-AG11)*IFERROR(INDEX(계정대체기준!$F$20:$F$49,MATCH($N11,계정대체기준!$A$20:$A$49,0)),1)))</f>
        <v/>
      </c>
      <c r="Z11" s="94">
        <f>IF($A11="",0,IF(AE11="직접",IF(AF11="신계약비",$P11,0),$P11*(1-AG11)*IFERROR(INDEX(계정대체기준!$C$20:$C$49,MATCH($N11,계정대체기준!$A$20:$A$49,0)),0)))</f>
        <v/>
      </c>
      <c r="AA11" s="94">
        <f>IF($A11="",0,IF(AE11="직접",IF(OR(AF11="유지비",AF11="손해조사비"),$P11,0),$P11*(1-AG11)*IFERROR(INDEX(계정대체기준!$D$20:$D$49,MATCH($N11,계정대체기준!$A$20:$A$49,0)),0)))</f>
        <v/>
      </c>
      <c r="AB11" s="94">
        <f>IF($A11="",0,IF(AE11="직접",IF(AF11="수금비",$P11,0),$P11*(1-AG11)*IFERROR(INDEX(계정대체기준!$E$20:$E$49,MATCH($N11,계정대체기준!$A$20:$A$49,0)),0)))</f>
        <v/>
      </c>
      <c r="AC11" s="9">
        <f>IF(AND($A11&lt;&gt;"",M11=설정!$C$20,Z11&gt;0),Z11+ROW()/1000000000,"")</f>
        <v/>
      </c>
      <c r="AD11" s="94">
        <f>IF($A11="",0,$P11*AG11)</f>
        <v/>
      </c>
      <c r="AE11" s="64">
        <f>IF($A11="","",IFERROR(INDEX(계정매핑!$E$5:$E$504,MATCH($F11&amp;"",계정매핑!$A$5:$A$504,0))&amp;"","공통비"))</f>
        <v/>
      </c>
      <c r="AF11" s="64">
        <f>IF($A11="","",IF(AE11="직접",IFERROR(INDEX(계정매핑!$F$5:$F$504,MATCH($F11&amp;"",계정매핑!$A$5:$A$504,0))&amp;"","비귀속"),""))</f>
        <v/>
      </c>
      <c r="AG11" s="96">
        <f>IF($A11="",0,IF(AND(AE11&lt;&gt;"직접",IFERROR(INDEX(계정매핑!$G$5:$G$504,MATCH($F11&amp;"",계정매핑!$A$5:$A$504,0))&amp;"","")="유지비",COUNTIF(계정대체기준!$A$6:$A$15,$N11)&gt;0),IFERROR(INDEX(계정대체기준!$E$6:$E$15,MATCH(VALUE($A11&amp;""),계정대체기준!$D$6:$D$15,0)),0),0))</f>
        <v/>
      </c>
      <c r="AH11" s="64">
        <f>IF($A11="","",IF(AD11=0,"",IF(OR(COUNTIF(계정대체기준!$A$77:$A$86,$N11)&gt;0,ISNUMBER(MATCH($X11,계정대체기준!$D$77:$D$86,0)),ISNUMBER(MATCH($F11,계정대체기준!$D$77:$D$86,0))),"Y","N")))</f>
        <v/>
      </c>
    </row>
    <row r="12">
      <c r="A12" s="92" t="n">
        <v>2025</v>
      </c>
      <c r="B12" s="92" t="n">
        <v>1</v>
      </c>
      <c r="C12" s="92" t="inlineStr">
        <is>
          <t>5100000008</t>
        </is>
      </c>
      <c r="D12" s="95" t="n">
        <v>45659</v>
      </c>
      <c r="E12" s="92" t="inlineStr">
        <is>
          <t>KR</t>
        </is>
      </c>
      <c r="F12" s="92" t="n">
        <v>63601000</v>
      </c>
      <c r="G12" s="92" t="n">
        <v>1801</v>
      </c>
      <c r="H12" s="93" t="n">
        <v>11666000</v>
      </c>
      <c r="I12" s="92" t="inlineStr">
        <is>
          <t>1월 손해사정 수수료 - EE손해사정</t>
        </is>
      </c>
      <c r="J12" s="92" t="inlineStr">
        <is>
          <t>V10008</t>
        </is>
      </c>
      <c r="K12" s="92" t="inlineStr">
        <is>
          <t>EE손해사정</t>
        </is>
      </c>
      <c r="M12" s="9">
        <f>IF($A12="","",VALUE($A12&amp;"")*12+VALUE($B12&amp;""))</f>
        <v/>
      </c>
      <c r="N12" s="64">
        <f>IF($A12="","",IFERROR(INDEX(부서매핑!$C$5:$C$504,MATCH($G12&amp;"",부서매핑!$A$5:$A$504,0)),"미매핑"))</f>
        <v/>
      </c>
      <c r="O12" s="9">
        <f>IF($A12="","",N12&amp;"|"&amp;$F12)</f>
        <v/>
      </c>
      <c r="P12" s="94">
        <f>IF($A12="",0,$H12*설정!$C$23)</f>
        <v/>
      </c>
      <c r="Q12" s="64">
        <f>IF($A12="","",IF(O12&lt;&gt;원인분석!$C$9,"",IF(AND(M12&gt;=원인분석!$C$10,M12&lt;=원인분석!$C$11),"당기",IF(AND(M12&gt;=원인분석!$C$12,M12&lt;=원인분석!$C$13),"비교",""))))</f>
        <v/>
      </c>
      <c r="R12" s="9">
        <f>IF(Q12="","",$K12&amp;"")</f>
        <v/>
      </c>
      <c r="S12" s="9">
        <f>IF(Q12="","",IF(MATCH(R12,$R$5:$R$100000,0)=ROW()-4,ROW(),""))</f>
        <v/>
      </c>
      <c r="T12" s="9">
        <f>IF(Q12="당기",ABS(P12)+ROW()/1000000000,"")</f>
        <v/>
      </c>
      <c r="U12" s="9">
        <f>IF(Q12="비교",ABS(P12)+ROW()/1000000000,"")</f>
        <v/>
      </c>
      <c r="V12" s="64">
        <f>IF($A12="","",IF(COUNTIF(변동분석!$E$7:$E$506,O12)&gt;0,"Y","N"))</f>
        <v/>
      </c>
      <c r="W12" s="64">
        <f>IF($A12="","",IFERROR(INDEX(계정매핑!$D$5:$D$504,MATCH($F12&amp;"",계정매핑!$A$5:$A$504,0)),"미매핑"))</f>
        <v/>
      </c>
      <c r="X12" s="9">
        <f>IF($A12="","",$F12&amp;"")</f>
        <v/>
      </c>
      <c r="Y12" s="94">
        <f>IF($A12="",0,IF(AE12="직접",IF(AF12="비귀속",$P12,0),$P12*(1-AG12)*IFERROR(INDEX(계정대체기준!$F$20:$F$49,MATCH($N12,계정대체기준!$A$20:$A$49,0)),1)))</f>
        <v/>
      </c>
      <c r="Z12" s="94">
        <f>IF($A12="",0,IF(AE12="직접",IF(AF12="신계약비",$P12,0),$P12*(1-AG12)*IFERROR(INDEX(계정대체기준!$C$20:$C$49,MATCH($N12,계정대체기준!$A$20:$A$49,0)),0)))</f>
        <v/>
      </c>
      <c r="AA12" s="94">
        <f>IF($A12="",0,IF(AE12="직접",IF(OR(AF12="유지비",AF12="손해조사비"),$P12,0),$P12*(1-AG12)*IFERROR(INDEX(계정대체기준!$D$20:$D$49,MATCH($N12,계정대체기준!$A$20:$A$49,0)),0)))</f>
        <v/>
      </c>
      <c r="AB12" s="94">
        <f>IF($A12="",0,IF(AE12="직접",IF(AF12="수금비",$P12,0),$P12*(1-AG12)*IFERROR(INDEX(계정대체기준!$E$20:$E$49,MATCH($N12,계정대체기준!$A$20:$A$49,0)),0)))</f>
        <v/>
      </c>
      <c r="AC12" s="9">
        <f>IF(AND($A12&lt;&gt;"",M12=설정!$C$20,Z12&gt;0),Z12+ROW()/1000000000,"")</f>
        <v/>
      </c>
      <c r="AD12" s="94">
        <f>IF($A12="",0,$P12*AG12)</f>
        <v/>
      </c>
      <c r="AE12" s="64">
        <f>IF($A12="","",IFERROR(INDEX(계정매핑!$E$5:$E$504,MATCH($F12&amp;"",계정매핑!$A$5:$A$504,0))&amp;"","공통비"))</f>
        <v/>
      </c>
      <c r="AF12" s="64">
        <f>IF($A12="","",IF(AE12="직접",IFERROR(INDEX(계정매핑!$F$5:$F$504,MATCH($F12&amp;"",계정매핑!$A$5:$A$504,0))&amp;"","비귀속"),""))</f>
        <v/>
      </c>
      <c r="AG12" s="96">
        <f>IF($A12="",0,IF(AND(AE12&lt;&gt;"직접",IFERROR(INDEX(계정매핑!$G$5:$G$504,MATCH($F12&amp;"",계정매핑!$A$5:$A$504,0))&amp;"","")="유지비",COUNTIF(계정대체기준!$A$6:$A$15,$N12)&gt;0),IFERROR(INDEX(계정대체기준!$E$6:$E$15,MATCH(VALUE($A12&amp;""),계정대체기준!$D$6:$D$15,0)),0),0))</f>
        <v/>
      </c>
      <c r="AH12" s="64">
        <f>IF($A12="","",IF(AD12=0,"",IF(OR(COUNTIF(계정대체기준!$A$77:$A$86,$N12)&gt;0,ISNUMBER(MATCH($X12,계정대체기준!$D$77:$D$86,0)),ISNUMBER(MATCH($F12,계정대체기준!$D$77:$D$86,0))),"Y","N")))</f>
        <v/>
      </c>
    </row>
    <row r="13">
      <c r="A13" s="92" t="n">
        <v>2025</v>
      </c>
      <c r="B13" s="92" t="n">
        <v>1</v>
      </c>
      <c r="C13" s="92" t="inlineStr">
        <is>
          <t>5100000009</t>
        </is>
      </c>
      <c r="D13" s="95" t="n">
        <v>45660</v>
      </c>
      <c r="E13" s="92" t="inlineStr">
        <is>
          <t>KR</t>
        </is>
      </c>
      <c r="F13" s="92" t="n">
        <v>62101000</v>
      </c>
      <c r="G13" s="92" t="n">
        <v>1501</v>
      </c>
      <c r="H13" s="93" t="n">
        <v>620000</v>
      </c>
      <c r="I13" s="92" t="inlineStr">
        <is>
          <t>1월 국내출장 - M항공</t>
        </is>
      </c>
      <c r="J13" s="92" t="inlineStr">
        <is>
          <t>V10001</t>
        </is>
      </c>
      <c r="K13" s="92" t="inlineStr">
        <is>
          <t>M항공</t>
        </is>
      </c>
      <c r="M13" s="9">
        <f>IF($A13="","",VALUE($A13&amp;"")*12+VALUE($B13&amp;""))</f>
        <v/>
      </c>
      <c r="N13" s="64">
        <f>IF($A13="","",IFERROR(INDEX(부서매핑!$C$5:$C$504,MATCH($G13&amp;"",부서매핑!$A$5:$A$504,0)),"미매핑"))</f>
        <v/>
      </c>
      <c r="O13" s="9">
        <f>IF($A13="","",N13&amp;"|"&amp;$F13)</f>
        <v/>
      </c>
      <c r="P13" s="94">
        <f>IF($A13="",0,$H13*설정!$C$23)</f>
        <v/>
      </c>
      <c r="Q13" s="64">
        <f>IF($A13="","",IF(O13&lt;&gt;원인분석!$C$9,"",IF(AND(M13&gt;=원인분석!$C$10,M13&lt;=원인분석!$C$11),"당기",IF(AND(M13&gt;=원인분석!$C$12,M13&lt;=원인분석!$C$13),"비교",""))))</f>
        <v/>
      </c>
      <c r="R13" s="9">
        <f>IF(Q13="","",$K13&amp;"")</f>
        <v/>
      </c>
      <c r="S13" s="9">
        <f>IF(Q13="","",IF(MATCH(R13,$R$5:$R$100000,0)=ROW()-4,ROW(),""))</f>
        <v/>
      </c>
      <c r="T13" s="9">
        <f>IF(Q13="당기",ABS(P13)+ROW()/1000000000,"")</f>
        <v/>
      </c>
      <c r="U13" s="9">
        <f>IF(Q13="비교",ABS(P13)+ROW()/1000000000,"")</f>
        <v/>
      </c>
      <c r="V13" s="64">
        <f>IF($A13="","",IF(COUNTIF(변동분석!$E$7:$E$506,O13)&gt;0,"Y","N"))</f>
        <v/>
      </c>
      <c r="W13" s="64">
        <f>IF($A13="","",IFERROR(INDEX(계정매핑!$D$5:$D$504,MATCH($F13&amp;"",계정매핑!$A$5:$A$504,0)),"미매핑"))</f>
        <v/>
      </c>
      <c r="X13" s="9">
        <f>IF($A13="","",$F13&amp;"")</f>
        <v/>
      </c>
      <c r="Y13" s="94">
        <f>IF($A13="",0,IF(AE13="직접",IF(AF13="비귀속",$P13,0),$P13*(1-AG13)*IFERROR(INDEX(계정대체기준!$F$20:$F$49,MATCH($N13,계정대체기준!$A$20:$A$49,0)),1)))</f>
        <v/>
      </c>
      <c r="Z13" s="94">
        <f>IF($A13="",0,IF(AE13="직접",IF(AF13="신계약비",$P13,0),$P13*(1-AG13)*IFERROR(INDEX(계정대체기준!$C$20:$C$49,MATCH($N13,계정대체기준!$A$20:$A$49,0)),0)))</f>
        <v/>
      </c>
      <c r="AA13" s="94">
        <f>IF($A13="",0,IF(AE13="직접",IF(OR(AF13="유지비",AF13="손해조사비"),$P13,0),$P13*(1-AG13)*IFERROR(INDEX(계정대체기준!$D$20:$D$49,MATCH($N13,계정대체기준!$A$20:$A$49,0)),0)))</f>
        <v/>
      </c>
      <c r="AB13" s="94">
        <f>IF($A13="",0,IF(AE13="직접",IF(AF13="수금비",$P13,0),$P13*(1-AG13)*IFERROR(INDEX(계정대체기준!$E$20:$E$49,MATCH($N13,계정대체기준!$A$20:$A$49,0)),0)))</f>
        <v/>
      </c>
      <c r="AC13" s="9">
        <f>IF(AND($A13&lt;&gt;"",M13=설정!$C$20,Z13&gt;0),Z13+ROW()/1000000000,"")</f>
        <v/>
      </c>
      <c r="AD13" s="94">
        <f>IF($A13="",0,$P13*AG13)</f>
        <v/>
      </c>
      <c r="AE13" s="64">
        <f>IF($A13="","",IFERROR(INDEX(계정매핑!$E$5:$E$504,MATCH($F13&amp;"",계정매핑!$A$5:$A$504,0))&amp;"","공통비"))</f>
        <v/>
      </c>
      <c r="AF13" s="64">
        <f>IF($A13="","",IF(AE13="직접",IFERROR(INDEX(계정매핑!$F$5:$F$504,MATCH($F13&amp;"",계정매핑!$A$5:$A$504,0))&amp;"","비귀속"),""))</f>
        <v/>
      </c>
      <c r="AG13" s="96">
        <f>IF($A13="",0,IF(AND(AE13&lt;&gt;"직접",IFERROR(INDEX(계정매핑!$G$5:$G$504,MATCH($F13&amp;"",계정매핑!$A$5:$A$504,0))&amp;"","")="유지비",COUNTIF(계정대체기준!$A$6:$A$15,$N13)&gt;0),IFERROR(INDEX(계정대체기준!$E$6:$E$15,MATCH(VALUE($A13&amp;""),계정대체기준!$D$6:$D$15,0)),0),0))</f>
        <v/>
      </c>
      <c r="AH13" s="64">
        <f>IF($A13="","",IF(AD13=0,"",IF(OR(COUNTIF(계정대체기준!$A$77:$A$86,$N13)&gt;0,ISNUMBER(MATCH($X13,계정대체기준!$D$77:$D$86,0)),ISNUMBER(MATCH($F13,계정대체기준!$D$77:$D$86,0))),"Y","N")))</f>
        <v/>
      </c>
    </row>
    <row r="14">
      <c r="A14" s="92" t="n">
        <v>2025</v>
      </c>
      <c r="B14" s="92" t="n">
        <v>1</v>
      </c>
      <c r="C14" s="92" t="inlineStr">
        <is>
          <t>5100000010</t>
        </is>
      </c>
      <c r="D14" s="95" t="n">
        <v>45660</v>
      </c>
      <c r="E14" s="92" t="inlineStr">
        <is>
          <t>KR</t>
        </is>
      </c>
      <c r="F14" s="92" t="n">
        <v>62102000</v>
      </c>
      <c r="G14" s="92" t="n">
        <v>1801</v>
      </c>
      <c r="H14" s="93" t="n">
        <v>56000</v>
      </c>
      <c r="I14" s="92" t="inlineStr">
        <is>
          <t>1월 해외출장 - N호텔</t>
        </is>
      </c>
      <c r="J14" s="92" t="inlineStr">
        <is>
          <t>V10009</t>
        </is>
      </c>
      <c r="K14" s="92" t="inlineStr">
        <is>
          <t>N호텔</t>
        </is>
      </c>
      <c r="M14" s="9">
        <f>IF($A14="","",VALUE($A14&amp;"")*12+VALUE($B14&amp;""))</f>
        <v/>
      </c>
      <c r="N14" s="64">
        <f>IF($A14="","",IFERROR(INDEX(부서매핑!$C$5:$C$504,MATCH($G14&amp;"",부서매핑!$A$5:$A$504,0)),"미매핑"))</f>
        <v/>
      </c>
      <c r="O14" s="9">
        <f>IF($A14="","",N14&amp;"|"&amp;$F14)</f>
        <v/>
      </c>
      <c r="P14" s="94">
        <f>IF($A14="",0,$H14*설정!$C$23)</f>
        <v/>
      </c>
      <c r="Q14" s="64">
        <f>IF($A14="","",IF(O14&lt;&gt;원인분석!$C$9,"",IF(AND(M14&gt;=원인분석!$C$10,M14&lt;=원인분석!$C$11),"당기",IF(AND(M14&gt;=원인분석!$C$12,M14&lt;=원인분석!$C$13),"비교",""))))</f>
        <v/>
      </c>
      <c r="R14" s="9">
        <f>IF(Q14="","",$K14&amp;"")</f>
        <v/>
      </c>
      <c r="S14" s="9">
        <f>IF(Q14="","",IF(MATCH(R14,$R$5:$R$100000,0)=ROW()-4,ROW(),""))</f>
        <v/>
      </c>
      <c r="T14" s="9">
        <f>IF(Q14="당기",ABS(P14)+ROW()/1000000000,"")</f>
        <v/>
      </c>
      <c r="U14" s="9">
        <f>IF(Q14="비교",ABS(P14)+ROW()/1000000000,"")</f>
        <v/>
      </c>
      <c r="V14" s="64">
        <f>IF($A14="","",IF(COUNTIF(변동분석!$E$7:$E$506,O14)&gt;0,"Y","N"))</f>
        <v/>
      </c>
      <c r="W14" s="64">
        <f>IF($A14="","",IFERROR(INDEX(계정매핑!$D$5:$D$504,MATCH($F14&amp;"",계정매핑!$A$5:$A$504,0)),"미매핑"))</f>
        <v/>
      </c>
      <c r="X14" s="9">
        <f>IF($A14="","",$F14&amp;"")</f>
        <v/>
      </c>
      <c r="Y14" s="94">
        <f>IF($A14="",0,IF(AE14="직접",IF(AF14="비귀속",$P14,0),$P14*(1-AG14)*IFERROR(INDEX(계정대체기준!$F$20:$F$49,MATCH($N14,계정대체기준!$A$20:$A$49,0)),1)))</f>
        <v/>
      </c>
      <c r="Z14" s="94">
        <f>IF($A14="",0,IF(AE14="직접",IF(AF14="신계약비",$P14,0),$P14*(1-AG14)*IFERROR(INDEX(계정대체기준!$C$20:$C$49,MATCH($N14,계정대체기준!$A$20:$A$49,0)),0)))</f>
        <v/>
      </c>
      <c r="AA14" s="94">
        <f>IF($A14="",0,IF(AE14="직접",IF(OR(AF14="유지비",AF14="손해조사비"),$P14,0),$P14*(1-AG14)*IFERROR(INDEX(계정대체기준!$D$20:$D$49,MATCH($N14,계정대체기준!$A$20:$A$49,0)),0)))</f>
        <v/>
      </c>
      <c r="AB14" s="94">
        <f>IF($A14="",0,IF(AE14="직접",IF(AF14="수금비",$P14,0),$P14*(1-AG14)*IFERROR(INDEX(계정대체기준!$E$20:$E$49,MATCH($N14,계정대체기준!$A$20:$A$49,0)),0)))</f>
        <v/>
      </c>
      <c r="AC14" s="9">
        <f>IF(AND($A14&lt;&gt;"",M14=설정!$C$20,Z14&gt;0),Z14+ROW()/1000000000,"")</f>
        <v/>
      </c>
      <c r="AD14" s="94">
        <f>IF($A14="",0,$P14*AG14)</f>
        <v/>
      </c>
      <c r="AE14" s="64">
        <f>IF($A14="","",IFERROR(INDEX(계정매핑!$E$5:$E$504,MATCH($F14&amp;"",계정매핑!$A$5:$A$504,0))&amp;"","공통비"))</f>
        <v/>
      </c>
      <c r="AF14" s="64">
        <f>IF($A14="","",IF(AE14="직접",IFERROR(INDEX(계정매핑!$F$5:$F$504,MATCH($F14&amp;"",계정매핑!$A$5:$A$504,0))&amp;"","비귀속"),""))</f>
        <v/>
      </c>
      <c r="AG14" s="96">
        <f>IF($A14="",0,IF(AND(AE14&lt;&gt;"직접",IFERROR(INDEX(계정매핑!$G$5:$G$504,MATCH($F14&amp;"",계정매핑!$A$5:$A$504,0))&amp;"","")="유지비",COUNTIF(계정대체기준!$A$6:$A$15,$N14)&gt;0),IFERROR(INDEX(계정대체기준!$E$6:$E$15,MATCH(VALUE($A14&amp;""),계정대체기준!$D$6:$D$15,0)),0),0))</f>
        <v/>
      </c>
      <c r="AH14" s="64">
        <f>IF($A14="","",IF(AD14=0,"",IF(OR(COUNTIF(계정대체기준!$A$77:$A$86,$N14)&gt;0,ISNUMBER(MATCH($X14,계정대체기준!$D$77:$D$86,0)),ISNUMBER(MATCH($F14,계정대체기준!$D$77:$D$86,0))),"Y","N")))</f>
        <v/>
      </c>
    </row>
    <row r="15">
      <c r="A15" s="92" t="n">
        <v>2025</v>
      </c>
      <c r="B15" s="92" t="n">
        <v>1</v>
      </c>
      <c r="C15" s="92" t="inlineStr">
        <is>
          <t>5100000011</t>
        </is>
      </c>
      <c r="D15" s="95" t="n">
        <v>45660</v>
      </c>
      <c r="E15" s="92" t="inlineStr">
        <is>
          <t>KR</t>
        </is>
      </c>
      <c r="F15" s="92" t="n">
        <v>62201000</v>
      </c>
      <c r="G15" s="92" t="n">
        <v>1701</v>
      </c>
      <c r="H15" s="93" t="n">
        <v>6587000</v>
      </c>
      <c r="I15" s="92" t="inlineStr">
        <is>
          <t>1월 통신요금 - O텔레콤</t>
        </is>
      </c>
      <c r="J15" s="92" t="inlineStr">
        <is>
          <t>V10002</t>
        </is>
      </c>
      <c r="K15" s="92" t="inlineStr">
        <is>
          <t>O텔레콤</t>
        </is>
      </c>
      <c r="M15" s="9">
        <f>IF($A15="","",VALUE($A15&amp;"")*12+VALUE($B15&amp;""))</f>
        <v/>
      </c>
      <c r="N15" s="64">
        <f>IF($A15="","",IFERROR(INDEX(부서매핑!$C$5:$C$504,MATCH($G15&amp;"",부서매핑!$A$5:$A$504,0)),"미매핑"))</f>
        <v/>
      </c>
      <c r="O15" s="9">
        <f>IF($A15="","",N15&amp;"|"&amp;$F15)</f>
        <v/>
      </c>
      <c r="P15" s="94">
        <f>IF($A15="",0,$H15*설정!$C$23)</f>
        <v/>
      </c>
      <c r="Q15" s="64">
        <f>IF($A15="","",IF(O15&lt;&gt;원인분석!$C$9,"",IF(AND(M15&gt;=원인분석!$C$10,M15&lt;=원인분석!$C$11),"당기",IF(AND(M15&gt;=원인분석!$C$12,M15&lt;=원인분석!$C$13),"비교",""))))</f>
        <v/>
      </c>
      <c r="R15" s="9">
        <f>IF(Q15="","",$K15&amp;"")</f>
        <v/>
      </c>
      <c r="S15" s="9">
        <f>IF(Q15="","",IF(MATCH(R15,$R$5:$R$100000,0)=ROW()-4,ROW(),""))</f>
        <v/>
      </c>
      <c r="T15" s="9">
        <f>IF(Q15="당기",ABS(P15)+ROW()/1000000000,"")</f>
        <v/>
      </c>
      <c r="U15" s="9">
        <f>IF(Q15="비교",ABS(P15)+ROW()/1000000000,"")</f>
        <v/>
      </c>
      <c r="V15" s="64">
        <f>IF($A15="","",IF(COUNTIF(변동분석!$E$7:$E$506,O15)&gt;0,"Y","N"))</f>
        <v/>
      </c>
      <c r="W15" s="64">
        <f>IF($A15="","",IFERROR(INDEX(계정매핑!$D$5:$D$504,MATCH($F15&amp;"",계정매핑!$A$5:$A$504,0)),"미매핑"))</f>
        <v/>
      </c>
      <c r="X15" s="9">
        <f>IF($A15="","",$F15&amp;"")</f>
        <v/>
      </c>
      <c r="Y15" s="94">
        <f>IF($A15="",0,IF(AE15="직접",IF(AF15="비귀속",$P15,0),$P15*(1-AG15)*IFERROR(INDEX(계정대체기준!$F$20:$F$49,MATCH($N15,계정대체기준!$A$20:$A$49,0)),1)))</f>
        <v/>
      </c>
      <c r="Z15" s="94">
        <f>IF($A15="",0,IF(AE15="직접",IF(AF15="신계약비",$P15,0),$P15*(1-AG15)*IFERROR(INDEX(계정대체기준!$C$20:$C$49,MATCH($N15,계정대체기준!$A$20:$A$49,0)),0)))</f>
        <v/>
      </c>
      <c r="AA15" s="94">
        <f>IF($A15="",0,IF(AE15="직접",IF(OR(AF15="유지비",AF15="손해조사비"),$P15,0),$P15*(1-AG15)*IFERROR(INDEX(계정대체기준!$D$20:$D$49,MATCH($N15,계정대체기준!$A$20:$A$49,0)),0)))</f>
        <v/>
      </c>
      <c r="AB15" s="94">
        <f>IF($A15="",0,IF(AE15="직접",IF(AF15="수금비",$P15,0),$P15*(1-AG15)*IFERROR(INDEX(계정대체기준!$E$20:$E$49,MATCH($N15,계정대체기준!$A$20:$A$49,0)),0)))</f>
        <v/>
      </c>
      <c r="AC15" s="9">
        <f>IF(AND($A15&lt;&gt;"",M15=설정!$C$20,Z15&gt;0),Z15+ROW()/1000000000,"")</f>
        <v/>
      </c>
      <c r="AD15" s="94">
        <f>IF($A15="",0,$P15*AG15)</f>
        <v/>
      </c>
      <c r="AE15" s="64">
        <f>IF($A15="","",IFERROR(INDEX(계정매핑!$E$5:$E$504,MATCH($F15&amp;"",계정매핑!$A$5:$A$504,0))&amp;"","공통비"))</f>
        <v/>
      </c>
      <c r="AF15" s="64">
        <f>IF($A15="","",IF(AE15="직접",IFERROR(INDEX(계정매핑!$F$5:$F$504,MATCH($F15&amp;"",계정매핑!$A$5:$A$504,0))&amp;"","비귀속"),""))</f>
        <v/>
      </c>
      <c r="AG15" s="96">
        <f>IF($A15="",0,IF(AND(AE15&lt;&gt;"직접",IFERROR(INDEX(계정매핑!$G$5:$G$504,MATCH($F15&amp;"",계정매핑!$A$5:$A$504,0))&amp;"","")="유지비",COUNTIF(계정대체기준!$A$6:$A$15,$N15)&gt;0),IFERROR(INDEX(계정대체기준!$E$6:$E$15,MATCH(VALUE($A15&amp;""),계정대체기준!$D$6:$D$15,0)),0),0))</f>
        <v/>
      </c>
      <c r="AH15" s="64">
        <f>IF($A15="","",IF(AD15=0,"",IF(OR(COUNTIF(계정대체기준!$A$77:$A$86,$N15)&gt;0,ISNUMBER(MATCH($X15,계정대체기준!$D$77:$D$86,0)),ISNUMBER(MATCH($F15,계정대체기준!$D$77:$D$86,0))),"Y","N")))</f>
        <v/>
      </c>
    </row>
    <row r="16">
      <c r="A16" s="92" t="n">
        <v>2025</v>
      </c>
      <c r="B16" s="92" t="n">
        <v>1</v>
      </c>
      <c r="C16" s="92" t="inlineStr">
        <is>
          <t>5100000012</t>
        </is>
      </c>
      <c r="D16" s="95" t="n">
        <v>45660</v>
      </c>
      <c r="E16" s="92" t="inlineStr">
        <is>
          <t>KR</t>
        </is>
      </c>
      <c r="F16" s="92" t="n">
        <v>62301000</v>
      </c>
      <c r="G16" s="92" t="n">
        <v>1701</v>
      </c>
      <c r="H16" s="93" t="n">
        <v>281000</v>
      </c>
      <c r="I16" s="92" t="inlineStr">
        <is>
          <t>1월 소모품 구입 - Q오피스</t>
        </is>
      </c>
      <c r="J16" s="92" t="inlineStr">
        <is>
          <t>V10003</t>
        </is>
      </c>
      <c r="K16" s="92" t="inlineStr">
        <is>
          <t>Q오피스</t>
        </is>
      </c>
      <c r="M16" s="9">
        <f>IF($A16="","",VALUE($A16&amp;"")*12+VALUE($B16&amp;""))</f>
        <v/>
      </c>
      <c r="N16" s="64">
        <f>IF($A16="","",IFERROR(INDEX(부서매핑!$C$5:$C$504,MATCH($G16&amp;"",부서매핑!$A$5:$A$504,0)),"미매핑"))</f>
        <v/>
      </c>
      <c r="O16" s="9">
        <f>IF($A16="","",N16&amp;"|"&amp;$F16)</f>
        <v/>
      </c>
      <c r="P16" s="94">
        <f>IF($A16="",0,$H16*설정!$C$23)</f>
        <v/>
      </c>
      <c r="Q16" s="64">
        <f>IF($A16="","",IF(O16&lt;&gt;원인분석!$C$9,"",IF(AND(M16&gt;=원인분석!$C$10,M16&lt;=원인분석!$C$11),"당기",IF(AND(M16&gt;=원인분석!$C$12,M16&lt;=원인분석!$C$13),"비교",""))))</f>
        <v/>
      </c>
      <c r="R16" s="9">
        <f>IF(Q16="","",$K16&amp;"")</f>
        <v/>
      </c>
      <c r="S16" s="9">
        <f>IF(Q16="","",IF(MATCH(R16,$R$5:$R$100000,0)=ROW()-4,ROW(),""))</f>
        <v/>
      </c>
      <c r="T16" s="9">
        <f>IF(Q16="당기",ABS(P16)+ROW()/1000000000,"")</f>
        <v/>
      </c>
      <c r="U16" s="9">
        <f>IF(Q16="비교",ABS(P16)+ROW()/1000000000,"")</f>
        <v/>
      </c>
      <c r="V16" s="64">
        <f>IF($A16="","",IF(COUNTIF(변동분석!$E$7:$E$506,O16)&gt;0,"Y","N"))</f>
        <v/>
      </c>
      <c r="W16" s="64">
        <f>IF($A16="","",IFERROR(INDEX(계정매핑!$D$5:$D$504,MATCH($F16&amp;"",계정매핑!$A$5:$A$504,0)),"미매핑"))</f>
        <v/>
      </c>
      <c r="X16" s="9">
        <f>IF($A16="","",$F16&amp;"")</f>
        <v/>
      </c>
      <c r="Y16" s="94">
        <f>IF($A16="",0,IF(AE16="직접",IF(AF16="비귀속",$P16,0),$P16*(1-AG16)*IFERROR(INDEX(계정대체기준!$F$20:$F$49,MATCH($N16,계정대체기준!$A$20:$A$49,0)),1)))</f>
        <v/>
      </c>
      <c r="Z16" s="94">
        <f>IF($A16="",0,IF(AE16="직접",IF(AF16="신계약비",$P16,0),$P16*(1-AG16)*IFERROR(INDEX(계정대체기준!$C$20:$C$49,MATCH($N16,계정대체기준!$A$20:$A$49,0)),0)))</f>
        <v/>
      </c>
      <c r="AA16" s="94">
        <f>IF($A16="",0,IF(AE16="직접",IF(OR(AF16="유지비",AF16="손해조사비"),$P16,0),$P16*(1-AG16)*IFERROR(INDEX(계정대체기준!$D$20:$D$49,MATCH($N16,계정대체기준!$A$20:$A$49,0)),0)))</f>
        <v/>
      </c>
      <c r="AB16" s="94">
        <f>IF($A16="",0,IF(AE16="직접",IF(AF16="수금비",$P16,0),$P16*(1-AG16)*IFERROR(INDEX(계정대체기준!$E$20:$E$49,MATCH($N16,계정대체기준!$A$20:$A$49,0)),0)))</f>
        <v/>
      </c>
      <c r="AC16" s="9">
        <f>IF(AND($A16&lt;&gt;"",M16=설정!$C$20,Z16&gt;0),Z16+ROW()/1000000000,"")</f>
        <v/>
      </c>
      <c r="AD16" s="94">
        <f>IF($A16="",0,$P16*AG16)</f>
        <v/>
      </c>
      <c r="AE16" s="64">
        <f>IF($A16="","",IFERROR(INDEX(계정매핑!$E$5:$E$504,MATCH($F16&amp;"",계정매핑!$A$5:$A$504,0))&amp;"","공통비"))</f>
        <v/>
      </c>
      <c r="AF16" s="64">
        <f>IF($A16="","",IF(AE16="직접",IFERROR(INDEX(계정매핑!$F$5:$F$504,MATCH($F16&amp;"",계정매핑!$A$5:$A$504,0))&amp;"","비귀속"),""))</f>
        <v/>
      </c>
      <c r="AG16" s="96">
        <f>IF($A16="",0,IF(AND(AE16&lt;&gt;"직접",IFERROR(INDEX(계정매핑!$G$5:$G$504,MATCH($F16&amp;"",계정매핑!$A$5:$A$504,0))&amp;"","")="유지비",COUNTIF(계정대체기준!$A$6:$A$15,$N16)&gt;0),IFERROR(INDEX(계정대체기준!$E$6:$E$15,MATCH(VALUE($A16&amp;""),계정대체기준!$D$6:$D$15,0)),0),0))</f>
        <v/>
      </c>
      <c r="AH16" s="64">
        <f>IF($A16="","",IF(AD16=0,"",IF(OR(COUNTIF(계정대체기준!$A$77:$A$86,$N16)&gt;0,ISNUMBER(MATCH($X16,계정대체기준!$D$77:$D$86,0)),ISNUMBER(MATCH($F16,계정대체기준!$D$77:$D$86,0))),"Y","N")))</f>
        <v/>
      </c>
    </row>
    <row r="17">
      <c r="A17" s="92" t="n">
        <v>2025</v>
      </c>
      <c r="B17" s="92" t="n">
        <v>1</v>
      </c>
      <c r="C17" s="92" t="inlineStr">
        <is>
          <t>5100000013</t>
        </is>
      </c>
      <c r="D17" s="95" t="n">
        <v>45660</v>
      </c>
      <c r="E17" s="92" t="inlineStr">
        <is>
          <t>KR</t>
        </is>
      </c>
      <c r="F17" s="92" t="n">
        <v>62301000</v>
      </c>
      <c r="G17" s="92" t="n">
        <v>1701</v>
      </c>
      <c r="H17" s="93" t="n">
        <v>323000</v>
      </c>
      <c r="I17" s="92" t="inlineStr">
        <is>
          <t>1월 소모품 구입 - Q오피스</t>
        </is>
      </c>
      <c r="J17" s="92" t="inlineStr">
        <is>
          <t>V10003</t>
        </is>
      </c>
      <c r="K17" s="92" t="inlineStr">
        <is>
          <t>Q오피스</t>
        </is>
      </c>
      <c r="M17" s="9">
        <f>IF($A17="","",VALUE($A17&amp;"")*12+VALUE($B17&amp;""))</f>
        <v/>
      </c>
      <c r="N17" s="64">
        <f>IF($A17="","",IFERROR(INDEX(부서매핑!$C$5:$C$504,MATCH($G17&amp;"",부서매핑!$A$5:$A$504,0)),"미매핑"))</f>
        <v/>
      </c>
      <c r="O17" s="9">
        <f>IF($A17="","",N17&amp;"|"&amp;$F17)</f>
        <v/>
      </c>
      <c r="P17" s="94">
        <f>IF($A17="",0,$H17*설정!$C$23)</f>
        <v/>
      </c>
      <c r="Q17" s="64">
        <f>IF($A17="","",IF(O17&lt;&gt;원인분석!$C$9,"",IF(AND(M17&gt;=원인분석!$C$10,M17&lt;=원인분석!$C$11),"당기",IF(AND(M17&gt;=원인분석!$C$12,M17&lt;=원인분석!$C$13),"비교",""))))</f>
        <v/>
      </c>
      <c r="R17" s="9">
        <f>IF(Q17="","",$K17&amp;"")</f>
        <v/>
      </c>
      <c r="S17" s="9">
        <f>IF(Q17="","",IF(MATCH(R17,$R$5:$R$100000,0)=ROW()-4,ROW(),""))</f>
        <v/>
      </c>
      <c r="T17" s="9">
        <f>IF(Q17="당기",ABS(P17)+ROW()/1000000000,"")</f>
        <v/>
      </c>
      <c r="U17" s="9">
        <f>IF(Q17="비교",ABS(P17)+ROW()/1000000000,"")</f>
        <v/>
      </c>
      <c r="V17" s="64">
        <f>IF($A17="","",IF(COUNTIF(변동분석!$E$7:$E$506,O17)&gt;0,"Y","N"))</f>
        <v/>
      </c>
      <c r="W17" s="64">
        <f>IF($A17="","",IFERROR(INDEX(계정매핑!$D$5:$D$504,MATCH($F17&amp;"",계정매핑!$A$5:$A$504,0)),"미매핑"))</f>
        <v/>
      </c>
      <c r="X17" s="9">
        <f>IF($A17="","",$F17&amp;"")</f>
        <v/>
      </c>
      <c r="Y17" s="94">
        <f>IF($A17="",0,IF(AE17="직접",IF(AF17="비귀속",$P17,0),$P17*(1-AG17)*IFERROR(INDEX(계정대체기준!$F$20:$F$49,MATCH($N17,계정대체기준!$A$20:$A$49,0)),1)))</f>
        <v/>
      </c>
      <c r="Z17" s="94">
        <f>IF($A17="",0,IF(AE17="직접",IF(AF17="신계약비",$P17,0),$P17*(1-AG17)*IFERROR(INDEX(계정대체기준!$C$20:$C$49,MATCH($N17,계정대체기준!$A$20:$A$49,0)),0)))</f>
        <v/>
      </c>
      <c r="AA17" s="94">
        <f>IF($A17="",0,IF(AE17="직접",IF(OR(AF17="유지비",AF17="손해조사비"),$P17,0),$P17*(1-AG17)*IFERROR(INDEX(계정대체기준!$D$20:$D$49,MATCH($N17,계정대체기준!$A$20:$A$49,0)),0)))</f>
        <v/>
      </c>
      <c r="AB17" s="94">
        <f>IF($A17="",0,IF(AE17="직접",IF(AF17="수금비",$P17,0),$P17*(1-AG17)*IFERROR(INDEX(계정대체기준!$E$20:$E$49,MATCH($N17,계정대체기준!$A$20:$A$49,0)),0)))</f>
        <v/>
      </c>
      <c r="AC17" s="9">
        <f>IF(AND($A17&lt;&gt;"",M17=설정!$C$20,Z17&gt;0),Z17+ROW()/1000000000,"")</f>
        <v/>
      </c>
      <c r="AD17" s="94">
        <f>IF($A17="",0,$P17*AG17)</f>
        <v/>
      </c>
      <c r="AE17" s="64">
        <f>IF($A17="","",IFERROR(INDEX(계정매핑!$E$5:$E$504,MATCH($F17&amp;"",계정매핑!$A$5:$A$504,0))&amp;"","공통비"))</f>
        <v/>
      </c>
      <c r="AF17" s="64">
        <f>IF($A17="","",IF(AE17="직접",IFERROR(INDEX(계정매핑!$F$5:$F$504,MATCH($F17&amp;"",계정매핑!$A$5:$A$504,0))&amp;"","비귀속"),""))</f>
        <v/>
      </c>
      <c r="AG17" s="96">
        <f>IF($A17="",0,IF(AND(AE17&lt;&gt;"직접",IFERROR(INDEX(계정매핑!$G$5:$G$504,MATCH($F17&amp;"",계정매핑!$A$5:$A$504,0))&amp;"","")="유지비",COUNTIF(계정대체기준!$A$6:$A$15,$N17)&gt;0),IFERROR(INDEX(계정대체기준!$E$6:$E$15,MATCH(VALUE($A17&amp;""),계정대체기준!$D$6:$D$15,0)),0),0))</f>
        <v/>
      </c>
      <c r="AH17" s="64">
        <f>IF($A17="","",IF(AD17=0,"",IF(OR(COUNTIF(계정대체기준!$A$77:$A$86,$N17)&gt;0,ISNUMBER(MATCH($X17,계정대체기준!$D$77:$D$86,0)),ISNUMBER(MATCH($F17,계정대체기준!$D$77:$D$86,0))),"Y","N")))</f>
        <v/>
      </c>
    </row>
    <row r="18">
      <c r="A18" s="92" t="n">
        <v>2025</v>
      </c>
      <c r="B18" s="92" t="n">
        <v>1</v>
      </c>
      <c r="C18" s="92" t="inlineStr">
        <is>
          <t>5100000014</t>
        </is>
      </c>
      <c r="D18" s="95" t="n">
        <v>45660</v>
      </c>
      <c r="E18" s="92" t="inlineStr">
        <is>
          <t>KR</t>
        </is>
      </c>
      <c r="F18" s="92" t="n">
        <v>62501000</v>
      </c>
      <c r="G18" s="92" t="n">
        <v>1201</v>
      </c>
      <c r="H18" s="93" t="n">
        <v>103000</v>
      </c>
      <c r="I18" s="92" t="inlineStr">
        <is>
          <t>1월 회의 다과 - (법인카드)</t>
        </is>
      </c>
      <c r="J18" s="92" t="inlineStr">
        <is>
          <t>V10010</t>
        </is>
      </c>
      <c r="K18" s="92" t="inlineStr">
        <is>
          <t>(법인카드)</t>
        </is>
      </c>
      <c r="M18" s="9">
        <f>IF($A18="","",VALUE($A18&amp;"")*12+VALUE($B18&amp;""))</f>
        <v/>
      </c>
      <c r="N18" s="64">
        <f>IF($A18="","",IFERROR(INDEX(부서매핑!$C$5:$C$504,MATCH($G18&amp;"",부서매핑!$A$5:$A$504,0)),"미매핑"))</f>
        <v/>
      </c>
      <c r="O18" s="9">
        <f>IF($A18="","",N18&amp;"|"&amp;$F18)</f>
        <v/>
      </c>
      <c r="P18" s="94">
        <f>IF($A18="",0,$H18*설정!$C$23)</f>
        <v/>
      </c>
      <c r="Q18" s="64">
        <f>IF($A18="","",IF(O18&lt;&gt;원인분석!$C$9,"",IF(AND(M18&gt;=원인분석!$C$10,M18&lt;=원인분석!$C$11),"당기",IF(AND(M18&gt;=원인분석!$C$12,M18&lt;=원인분석!$C$13),"비교",""))))</f>
        <v/>
      </c>
      <c r="R18" s="9">
        <f>IF(Q18="","",$K18&amp;"")</f>
        <v/>
      </c>
      <c r="S18" s="9">
        <f>IF(Q18="","",IF(MATCH(R18,$R$5:$R$100000,0)=ROW()-4,ROW(),""))</f>
        <v/>
      </c>
      <c r="T18" s="9">
        <f>IF(Q18="당기",ABS(P18)+ROW()/1000000000,"")</f>
        <v/>
      </c>
      <c r="U18" s="9">
        <f>IF(Q18="비교",ABS(P18)+ROW()/1000000000,"")</f>
        <v/>
      </c>
      <c r="V18" s="64">
        <f>IF($A18="","",IF(COUNTIF(변동분석!$E$7:$E$506,O18)&gt;0,"Y","N"))</f>
        <v/>
      </c>
      <c r="W18" s="64">
        <f>IF($A18="","",IFERROR(INDEX(계정매핑!$D$5:$D$504,MATCH($F18&amp;"",계정매핑!$A$5:$A$504,0)),"미매핑"))</f>
        <v/>
      </c>
      <c r="X18" s="9">
        <f>IF($A18="","",$F18&amp;"")</f>
        <v/>
      </c>
      <c r="Y18" s="94">
        <f>IF($A18="",0,IF(AE18="직접",IF(AF18="비귀속",$P18,0),$P18*(1-AG18)*IFERROR(INDEX(계정대체기준!$F$20:$F$49,MATCH($N18,계정대체기준!$A$20:$A$49,0)),1)))</f>
        <v/>
      </c>
      <c r="Z18" s="94">
        <f>IF($A18="",0,IF(AE18="직접",IF(AF18="신계약비",$P18,0),$P18*(1-AG18)*IFERROR(INDEX(계정대체기준!$C$20:$C$49,MATCH($N18,계정대체기준!$A$20:$A$49,0)),0)))</f>
        <v/>
      </c>
      <c r="AA18" s="94">
        <f>IF($A18="",0,IF(AE18="직접",IF(OR(AF18="유지비",AF18="손해조사비"),$P18,0),$P18*(1-AG18)*IFERROR(INDEX(계정대체기준!$D$20:$D$49,MATCH($N18,계정대체기준!$A$20:$A$49,0)),0)))</f>
        <v/>
      </c>
      <c r="AB18" s="94">
        <f>IF($A18="",0,IF(AE18="직접",IF(AF18="수금비",$P18,0),$P18*(1-AG18)*IFERROR(INDEX(계정대체기준!$E$20:$E$49,MATCH($N18,계정대체기준!$A$20:$A$49,0)),0)))</f>
        <v/>
      </c>
      <c r="AC18" s="9">
        <f>IF(AND($A18&lt;&gt;"",M18=설정!$C$20,Z18&gt;0),Z18+ROW()/1000000000,"")</f>
        <v/>
      </c>
      <c r="AD18" s="94">
        <f>IF($A18="",0,$P18*AG18)</f>
        <v/>
      </c>
      <c r="AE18" s="64">
        <f>IF($A18="","",IFERROR(INDEX(계정매핑!$E$5:$E$504,MATCH($F18&amp;"",계정매핑!$A$5:$A$504,0))&amp;"","공통비"))</f>
        <v/>
      </c>
      <c r="AF18" s="64">
        <f>IF($A18="","",IF(AE18="직접",IFERROR(INDEX(계정매핑!$F$5:$F$504,MATCH($F18&amp;"",계정매핑!$A$5:$A$504,0))&amp;"","비귀속"),""))</f>
        <v/>
      </c>
      <c r="AG18" s="96">
        <f>IF($A18="",0,IF(AND(AE18&lt;&gt;"직접",IFERROR(INDEX(계정매핑!$G$5:$G$504,MATCH($F18&amp;"",계정매핑!$A$5:$A$504,0))&amp;"","")="유지비",COUNTIF(계정대체기준!$A$6:$A$15,$N18)&gt;0),IFERROR(INDEX(계정대체기준!$E$6:$E$15,MATCH(VALUE($A18&amp;""),계정대체기준!$D$6:$D$15,0)),0),0))</f>
        <v/>
      </c>
      <c r="AH18" s="64">
        <f>IF($A18="","",IF(AD18=0,"",IF(OR(COUNTIF(계정대체기준!$A$77:$A$86,$N18)&gt;0,ISNUMBER(MATCH($X18,계정대체기준!$D$77:$D$86,0)),ISNUMBER(MATCH($F18,계정대체기준!$D$77:$D$86,0))),"Y","N")))</f>
        <v/>
      </c>
    </row>
    <row r="19">
      <c r="A19" s="92" t="n">
        <v>2025</v>
      </c>
      <c r="B19" s="92" t="n">
        <v>1</v>
      </c>
      <c r="C19" s="92" t="inlineStr">
        <is>
          <t>5100000015</t>
        </is>
      </c>
      <c r="D19" s="95" t="n">
        <v>45660</v>
      </c>
      <c r="E19" s="92" t="inlineStr">
        <is>
          <t>KR</t>
        </is>
      </c>
      <c r="F19" s="92" t="n">
        <v>62501000</v>
      </c>
      <c r="G19" s="92" t="n">
        <v>1801</v>
      </c>
      <c r="H19" s="93" t="n">
        <v>175000</v>
      </c>
      <c r="I19" s="92" t="inlineStr">
        <is>
          <t>1월 회의 다과 - (법인카드)</t>
        </is>
      </c>
      <c r="J19" s="92" t="inlineStr">
        <is>
          <t>V10010</t>
        </is>
      </c>
      <c r="K19" s="92" t="inlineStr">
        <is>
          <t>(법인카드)</t>
        </is>
      </c>
      <c r="M19" s="9">
        <f>IF($A19="","",VALUE($A19&amp;"")*12+VALUE($B19&amp;""))</f>
        <v/>
      </c>
      <c r="N19" s="64">
        <f>IF($A19="","",IFERROR(INDEX(부서매핑!$C$5:$C$504,MATCH($G19&amp;"",부서매핑!$A$5:$A$504,0)),"미매핑"))</f>
        <v/>
      </c>
      <c r="O19" s="9">
        <f>IF($A19="","",N19&amp;"|"&amp;$F19)</f>
        <v/>
      </c>
      <c r="P19" s="94">
        <f>IF($A19="",0,$H19*설정!$C$23)</f>
        <v/>
      </c>
      <c r="Q19" s="64">
        <f>IF($A19="","",IF(O19&lt;&gt;원인분석!$C$9,"",IF(AND(M19&gt;=원인분석!$C$10,M19&lt;=원인분석!$C$11),"당기",IF(AND(M19&gt;=원인분석!$C$12,M19&lt;=원인분석!$C$13),"비교",""))))</f>
        <v/>
      </c>
      <c r="R19" s="9">
        <f>IF(Q19="","",$K19&amp;"")</f>
        <v/>
      </c>
      <c r="S19" s="9">
        <f>IF(Q19="","",IF(MATCH(R19,$R$5:$R$100000,0)=ROW()-4,ROW(),""))</f>
        <v/>
      </c>
      <c r="T19" s="9">
        <f>IF(Q19="당기",ABS(P19)+ROW()/1000000000,"")</f>
        <v/>
      </c>
      <c r="U19" s="9">
        <f>IF(Q19="비교",ABS(P19)+ROW()/1000000000,"")</f>
        <v/>
      </c>
      <c r="V19" s="64">
        <f>IF($A19="","",IF(COUNTIF(변동분석!$E$7:$E$506,O19)&gt;0,"Y","N"))</f>
        <v/>
      </c>
      <c r="W19" s="64">
        <f>IF($A19="","",IFERROR(INDEX(계정매핑!$D$5:$D$504,MATCH($F19&amp;"",계정매핑!$A$5:$A$504,0)),"미매핑"))</f>
        <v/>
      </c>
      <c r="X19" s="9">
        <f>IF($A19="","",$F19&amp;"")</f>
        <v/>
      </c>
      <c r="Y19" s="94">
        <f>IF($A19="",0,IF(AE19="직접",IF(AF19="비귀속",$P19,0),$P19*(1-AG19)*IFERROR(INDEX(계정대체기준!$F$20:$F$49,MATCH($N19,계정대체기준!$A$20:$A$49,0)),1)))</f>
        <v/>
      </c>
      <c r="Z19" s="94">
        <f>IF($A19="",0,IF(AE19="직접",IF(AF19="신계약비",$P19,0),$P19*(1-AG19)*IFERROR(INDEX(계정대체기준!$C$20:$C$49,MATCH($N19,계정대체기준!$A$20:$A$49,0)),0)))</f>
        <v/>
      </c>
      <c r="AA19" s="94">
        <f>IF($A19="",0,IF(AE19="직접",IF(OR(AF19="유지비",AF19="손해조사비"),$P19,0),$P19*(1-AG19)*IFERROR(INDEX(계정대체기준!$D$20:$D$49,MATCH($N19,계정대체기준!$A$20:$A$49,0)),0)))</f>
        <v/>
      </c>
      <c r="AB19" s="94">
        <f>IF($A19="",0,IF(AE19="직접",IF(AF19="수금비",$P19,0),$P19*(1-AG19)*IFERROR(INDEX(계정대체기준!$E$20:$E$49,MATCH($N19,계정대체기준!$A$20:$A$49,0)),0)))</f>
        <v/>
      </c>
      <c r="AC19" s="9">
        <f>IF(AND($A19&lt;&gt;"",M19=설정!$C$20,Z19&gt;0),Z19+ROW()/1000000000,"")</f>
        <v/>
      </c>
      <c r="AD19" s="94">
        <f>IF($A19="",0,$P19*AG19)</f>
        <v/>
      </c>
      <c r="AE19" s="64">
        <f>IF($A19="","",IFERROR(INDEX(계정매핑!$E$5:$E$504,MATCH($F19&amp;"",계정매핑!$A$5:$A$504,0))&amp;"","공통비"))</f>
        <v/>
      </c>
      <c r="AF19" s="64">
        <f>IF($A19="","",IF(AE19="직접",IFERROR(INDEX(계정매핑!$F$5:$F$504,MATCH($F19&amp;"",계정매핑!$A$5:$A$504,0))&amp;"","비귀속"),""))</f>
        <v/>
      </c>
      <c r="AG19" s="96">
        <f>IF($A19="",0,IF(AND(AE19&lt;&gt;"직접",IFERROR(INDEX(계정매핑!$G$5:$G$504,MATCH($F19&amp;"",계정매핑!$A$5:$A$504,0))&amp;"","")="유지비",COUNTIF(계정대체기준!$A$6:$A$15,$N19)&gt;0),IFERROR(INDEX(계정대체기준!$E$6:$E$15,MATCH(VALUE($A19&amp;""),계정대체기준!$D$6:$D$15,0)),0),0))</f>
        <v/>
      </c>
      <c r="AH19" s="64">
        <f>IF($A19="","",IF(AD19=0,"",IF(OR(COUNTIF(계정대체기준!$A$77:$A$86,$N19)&gt;0,ISNUMBER(MATCH($X19,계정대체기준!$D$77:$D$86,0)),ISNUMBER(MATCH($F19,계정대체기준!$D$77:$D$86,0))),"Y","N")))</f>
        <v/>
      </c>
    </row>
    <row r="20">
      <c r="A20" s="92" t="n">
        <v>2025</v>
      </c>
      <c r="B20" s="92" t="n">
        <v>1</v>
      </c>
      <c r="C20" s="92" t="inlineStr">
        <is>
          <t>5100000016</t>
        </is>
      </c>
      <c r="D20" s="95" t="n">
        <v>45660</v>
      </c>
      <c r="E20" s="92" t="inlineStr">
        <is>
          <t>KR</t>
        </is>
      </c>
      <c r="F20" s="92" t="n">
        <v>62901000</v>
      </c>
      <c r="G20" s="92" t="n">
        <v>1201</v>
      </c>
      <c r="H20" s="93" t="n">
        <v>9302000</v>
      </c>
      <c r="I20" s="92" t="inlineStr">
        <is>
          <t>1월 자문 수수료 - W컨설팅</t>
        </is>
      </c>
      <c r="J20" s="92" t="inlineStr">
        <is>
          <t>V10006</t>
        </is>
      </c>
      <c r="K20" s="92" t="inlineStr">
        <is>
          <t>W컨설팅</t>
        </is>
      </c>
      <c r="M20" s="9">
        <f>IF($A20="","",VALUE($A20&amp;"")*12+VALUE($B20&amp;""))</f>
        <v/>
      </c>
      <c r="N20" s="64">
        <f>IF($A20="","",IFERROR(INDEX(부서매핑!$C$5:$C$504,MATCH($G20&amp;"",부서매핑!$A$5:$A$504,0)),"미매핑"))</f>
        <v/>
      </c>
      <c r="O20" s="9">
        <f>IF($A20="","",N20&amp;"|"&amp;$F20)</f>
        <v/>
      </c>
      <c r="P20" s="94">
        <f>IF($A20="",0,$H20*설정!$C$23)</f>
        <v/>
      </c>
      <c r="Q20" s="64">
        <f>IF($A20="","",IF(O20&lt;&gt;원인분석!$C$9,"",IF(AND(M20&gt;=원인분석!$C$10,M20&lt;=원인분석!$C$11),"당기",IF(AND(M20&gt;=원인분석!$C$12,M20&lt;=원인분석!$C$13),"비교",""))))</f>
        <v/>
      </c>
      <c r="R20" s="9">
        <f>IF(Q20="","",$K20&amp;"")</f>
        <v/>
      </c>
      <c r="S20" s="9">
        <f>IF(Q20="","",IF(MATCH(R20,$R$5:$R$100000,0)=ROW()-4,ROW(),""))</f>
        <v/>
      </c>
      <c r="T20" s="9">
        <f>IF(Q20="당기",ABS(P20)+ROW()/1000000000,"")</f>
        <v/>
      </c>
      <c r="U20" s="9">
        <f>IF(Q20="비교",ABS(P20)+ROW()/1000000000,"")</f>
        <v/>
      </c>
      <c r="V20" s="64">
        <f>IF($A20="","",IF(COUNTIF(변동분석!$E$7:$E$506,O20)&gt;0,"Y","N"))</f>
        <v/>
      </c>
      <c r="W20" s="64">
        <f>IF($A20="","",IFERROR(INDEX(계정매핑!$D$5:$D$504,MATCH($F20&amp;"",계정매핑!$A$5:$A$504,0)),"미매핑"))</f>
        <v/>
      </c>
      <c r="X20" s="9">
        <f>IF($A20="","",$F20&amp;"")</f>
        <v/>
      </c>
      <c r="Y20" s="94">
        <f>IF($A20="",0,IF(AE20="직접",IF(AF20="비귀속",$P20,0),$P20*(1-AG20)*IFERROR(INDEX(계정대체기준!$F$20:$F$49,MATCH($N20,계정대체기준!$A$20:$A$49,0)),1)))</f>
        <v/>
      </c>
      <c r="Z20" s="94">
        <f>IF($A20="",0,IF(AE20="직접",IF(AF20="신계약비",$P20,0),$P20*(1-AG20)*IFERROR(INDEX(계정대체기준!$C$20:$C$49,MATCH($N20,계정대체기준!$A$20:$A$49,0)),0)))</f>
        <v/>
      </c>
      <c r="AA20" s="94">
        <f>IF($A20="",0,IF(AE20="직접",IF(OR(AF20="유지비",AF20="손해조사비"),$P20,0),$P20*(1-AG20)*IFERROR(INDEX(계정대체기준!$D$20:$D$49,MATCH($N20,계정대체기준!$A$20:$A$49,0)),0)))</f>
        <v/>
      </c>
      <c r="AB20" s="94">
        <f>IF($A20="",0,IF(AE20="직접",IF(AF20="수금비",$P20,0),$P20*(1-AG20)*IFERROR(INDEX(계정대체기준!$E$20:$E$49,MATCH($N20,계정대체기준!$A$20:$A$49,0)),0)))</f>
        <v/>
      </c>
      <c r="AC20" s="9">
        <f>IF(AND($A20&lt;&gt;"",M20=설정!$C$20,Z20&gt;0),Z20+ROW()/1000000000,"")</f>
        <v/>
      </c>
      <c r="AD20" s="94">
        <f>IF($A20="",0,$P20*AG20)</f>
        <v/>
      </c>
      <c r="AE20" s="64">
        <f>IF($A20="","",IFERROR(INDEX(계정매핑!$E$5:$E$504,MATCH($F20&amp;"",계정매핑!$A$5:$A$504,0))&amp;"","공통비"))</f>
        <v/>
      </c>
      <c r="AF20" s="64">
        <f>IF($A20="","",IF(AE20="직접",IFERROR(INDEX(계정매핑!$F$5:$F$504,MATCH($F20&amp;"",계정매핑!$A$5:$A$504,0))&amp;"","비귀속"),""))</f>
        <v/>
      </c>
      <c r="AG20" s="96">
        <f>IF($A20="",0,IF(AND(AE20&lt;&gt;"직접",IFERROR(INDEX(계정매핑!$G$5:$G$504,MATCH($F20&amp;"",계정매핑!$A$5:$A$504,0))&amp;"","")="유지비",COUNTIF(계정대체기준!$A$6:$A$15,$N20)&gt;0),IFERROR(INDEX(계정대체기준!$E$6:$E$15,MATCH(VALUE($A20&amp;""),계정대체기준!$D$6:$D$15,0)),0),0))</f>
        <v/>
      </c>
      <c r="AH20" s="64">
        <f>IF($A20="","",IF(AD20=0,"",IF(OR(COUNTIF(계정대체기준!$A$77:$A$86,$N20)&gt;0,ISNUMBER(MATCH($X20,계정대체기준!$D$77:$D$86,0)),ISNUMBER(MATCH($F20,계정대체기준!$D$77:$D$86,0))),"Y","N")))</f>
        <v/>
      </c>
    </row>
    <row r="21">
      <c r="A21" s="92" t="n">
        <v>2025</v>
      </c>
      <c r="B21" s="92" t="n">
        <v>1</v>
      </c>
      <c r="C21" s="92" t="inlineStr">
        <is>
          <t>5100000017</t>
        </is>
      </c>
      <c r="D21" s="95" t="n">
        <v>45660</v>
      </c>
      <c r="E21" s="92" t="inlineStr">
        <is>
          <t>KR</t>
        </is>
      </c>
      <c r="F21" s="92" t="n">
        <v>62901000</v>
      </c>
      <c r="G21" s="92" t="n">
        <v>1401</v>
      </c>
      <c r="H21" s="93" t="n">
        <v>6945000</v>
      </c>
      <c r="I21" s="92" t="inlineStr">
        <is>
          <t>1월 자문 수수료 - K회계법인</t>
        </is>
      </c>
      <c r="J21" s="92" t="inlineStr">
        <is>
          <t>V10011</t>
        </is>
      </c>
      <c r="K21" s="92" t="inlineStr">
        <is>
          <t>K회계법인</t>
        </is>
      </c>
      <c r="M21" s="9">
        <f>IF($A21="","",VALUE($A21&amp;"")*12+VALUE($B21&amp;""))</f>
        <v/>
      </c>
      <c r="N21" s="64">
        <f>IF($A21="","",IFERROR(INDEX(부서매핑!$C$5:$C$504,MATCH($G21&amp;"",부서매핑!$A$5:$A$504,0)),"미매핑"))</f>
        <v/>
      </c>
      <c r="O21" s="9">
        <f>IF($A21="","",N21&amp;"|"&amp;$F21)</f>
        <v/>
      </c>
      <c r="P21" s="94">
        <f>IF($A21="",0,$H21*설정!$C$23)</f>
        <v/>
      </c>
      <c r="Q21" s="64">
        <f>IF($A21="","",IF(O21&lt;&gt;원인분석!$C$9,"",IF(AND(M21&gt;=원인분석!$C$10,M21&lt;=원인분석!$C$11),"당기",IF(AND(M21&gt;=원인분석!$C$12,M21&lt;=원인분석!$C$13),"비교",""))))</f>
        <v/>
      </c>
      <c r="R21" s="9">
        <f>IF(Q21="","",$K21&amp;"")</f>
        <v/>
      </c>
      <c r="S21" s="9">
        <f>IF(Q21="","",IF(MATCH(R21,$R$5:$R$100000,0)=ROW()-4,ROW(),""))</f>
        <v/>
      </c>
      <c r="T21" s="9">
        <f>IF(Q21="당기",ABS(P21)+ROW()/1000000000,"")</f>
        <v/>
      </c>
      <c r="U21" s="9">
        <f>IF(Q21="비교",ABS(P21)+ROW()/1000000000,"")</f>
        <v/>
      </c>
      <c r="V21" s="64">
        <f>IF($A21="","",IF(COUNTIF(변동분석!$E$7:$E$506,O21)&gt;0,"Y","N"))</f>
        <v/>
      </c>
      <c r="W21" s="64">
        <f>IF($A21="","",IFERROR(INDEX(계정매핑!$D$5:$D$504,MATCH($F21&amp;"",계정매핑!$A$5:$A$504,0)),"미매핑"))</f>
        <v/>
      </c>
      <c r="X21" s="9">
        <f>IF($A21="","",$F21&amp;"")</f>
        <v/>
      </c>
      <c r="Y21" s="94">
        <f>IF($A21="",0,IF(AE21="직접",IF(AF21="비귀속",$P21,0),$P21*(1-AG21)*IFERROR(INDEX(계정대체기준!$F$20:$F$49,MATCH($N21,계정대체기준!$A$20:$A$49,0)),1)))</f>
        <v/>
      </c>
      <c r="Z21" s="94">
        <f>IF($A21="",0,IF(AE21="직접",IF(AF21="신계약비",$P21,0),$P21*(1-AG21)*IFERROR(INDEX(계정대체기준!$C$20:$C$49,MATCH($N21,계정대체기준!$A$20:$A$49,0)),0)))</f>
        <v/>
      </c>
      <c r="AA21" s="94">
        <f>IF($A21="",0,IF(AE21="직접",IF(OR(AF21="유지비",AF21="손해조사비"),$P21,0),$P21*(1-AG21)*IFERROR(INDEX(계정대체기준!$D$20:$D$49,MATCH($N21,계정대체기준!$A$20:$A$49,0)),0)))</f>
        <v/>
      </c>
      <c r="AB21" s="94">
        <f>IF($A21="",0,IF(AE21="직접",IF(AF21="수금비",$P21,0),$P21*(1-AG21)*IFERROR(INDEX(계정대체기준!$E$20:$E$49,MATCH($N21,계정대체기준!$A$20:$A$49,0)),0)))</f>
        <v/>
      </c>
      <c r="AC21" s="9">
        <f>IF(AND($A21&lt;&gt;"",M21=설정!$C$20,Z21&gt;0),Z21+ROW()/1000000000,"")</f>
        <v/>
      </c>
      <c r="AD21" s="94">
        <f>IF($A21="",0,$P21*AG21)</f>
        <v/>
      </c>
      <c r="AE21" s="64">
        <f>IF($A21="","",IFERROR(INDEX(계정매핑!$E$5:$E$504,MATCH($F21&amp;"",계정매핑!$A$5:$A$504,0))&amp;"","공통비"))</f>
        <v/>
      </c>
      <c r="AF21" s="64">
        <f>IF($A21="","",IF(AE21="직접",IFERROR(INDEX(계정매핑!$F$5:$F$504,MATCH($F21&amp;"",계정매핑!$A$5:$A$504,0))&amp;"","비귀속"),""))</f>
        <v/>
      </c>
      <c r="AG21" s="96">
        <f>IF($A21="",0,IF(AND(AE21&lt;&gt;"직접",IFERROR(INDEX(계정매핑!$G$5:$G$504,MATCH($F21&amp;"",계정매핑!$A$5:$A$504,0))&amp;"","")="유지비",COUNTIF(계정대체기준!$A$6:$A$15,$N21)&gt;0),IFERROR(INDEX(계정대체기준!$E$6:$E$15,MATCH(VALUE($A21&amp;""),계정대체기준!$D$6:$D$15,0)),0),0))</f>
        <v/>
      </c>
      <c r="AH21" s="64">
        <f>IF($A21="","",IF(AD21=0,"",IF(OR(COUNTIF(계정대체기준!$A$77:$A$86,$N21)&gt;0,ISNUMBER(MATCH($X21,계정대체기준!$D$77:$D$86,0)),ISNUMBER(MATCH($F21,계정대체기준!$D$77:$D$86,0))),"Y","N")))</f>
        <v/>
      </c>
    </row>
    <row r="22">
      <c r="A22" s="92" t="n">
        <v>2025</v>
      </c>
      <c r="B22" s="92" t="n">
        <v>1</v>
      </c>
      <c r="C22" s="92" t="inlineStr">
        <is>
          <t>5100000018</t>
        </is>
      </c>
      <c r="D22" s="95" t="n">
        <v>45660</v>
      </c>
      <c r="E22" s="92" t="inlineStr">
        <is>
          <t>KR</t>
        </is>
      </c>
      <c r="F22" s="92" t="n">
        <v>62901000</v>
      </c>
      <c r="G22" s="92" t="n">
        <v>1401</v>
      </c>
      <c r="H22" s="93" t="n">
        <v>4391000</v>
      </c>
      <c r="I22" s="92" t="inlineStr">
        <is>
          <t>1월 자문 수수료 - W컨설팅</t>
        </is>
      </c>
      <c r="J22" s="92" t="inlineStr">
        <is>
          <t>V10006</t>
        </is>
      </c>
      <c r="K22" s="92" t="inlineStr">
        <is>
          <t>W컨설팅</t>
        </is>
      </c>
      <c r="M22" s="9">
        <f>IF($A22="","",VALUE($A22&amp;"")*12+VALUE($B22&amp;""))</f>
        <v/>
      </c>
      <c r="N22" s="64">
        <f>IF($A22="","",IFERROR(INDEX(부서매핑!$C$5:$C$504,MATCH($G22&amp;"",부서매핑!$A$5:$A$504,0)),"미매핑"))</f>
        <v/>
      </c>
      <c r="O22" s="9">
        <f>IF($A22="","",N22&amp;"|"&amp;$F22)</f>
        <v/>
      </c>
      <c r="P22" s="94">
        <f>IF($A22="",0,$H22*설정!$C$23)</f>
        <v/>
      </c>
      <c r="Q22" s="64">
        <f>IF($A22="","",IF(O22&lt;&gt;원인분석!$C$9,"",IF(AND(M22&gt;=원인분석!$C$10,M22&lt;=원인분석!$C$11),"당기",IF(AND(M22&gt;=원인분석!$C$12,M22&lt;=원인분석!$C$13),"비교",""))))</f>
        <v/>
      </c>
      <c r="R22" s="9">
        <f>IF(Q22="","",$K22&amp;"")</f>
        <v/>
      </c>
      <c r="S22" s="9">
        <f>IF(Q22="","",IF(MATCH(R22,$R$5:$R$100000,0)=ROW()-4,ROW(),""))</f>
        <v/>
      </c>
      <c r="T22" s="9">
        <f>IF(Q22="당기",ABS(P22)+ROW()/1000000000,"")</f>
        <v/>
      </c>
      <c r="U22" s="9">
        <f>IF(Q22="비교",ABS(P22)+ROW()/1000000000,"")</f>
        <v/>
      </c>
      <c r="V22" s="64">
        <f>IF($A22="","",IF(COUNTIF(변동분석!$E$7:$E$506,O22)&gt;0,"Y","N"))</f>
        <v/>
      </c>
      <c r="W22" s="64">
        <f>IF($A22="","",IFERROR(INDEX(계정매핑!$D$5:$D$504,MATCH($F22&amp;"",계정매핑!$A$5:$A$504,0)),"미매핑"))</f>
        <v/>
      </c>
      <c r="X22" s="9">
        <f>IF($A22="","",$F22&amp;"")</f>
        <v/>
      </c>
      <c r="Y22" s="94">
        <f>IF($A22="",0,IF(AE22="직접",IF(AF22="비귀속",$P22,0),$P22*(1-AG22)*IFERROR(INDEX(계정대체기준!$F$20:$F$49,MATCH($N22,계정대체기준!$A$20:$A$49,0)),1)))</f>
        <v/>
      </c>
      <c r="Z22" s="94">
        <f>IF($A22="",0,IF(AE22="직접",IF(AF22="신계약비",$P22,0),$P22*(1-AG22)*IFERROR(INDEX(계정대체기준!$C$20:$C$49,MATCH($N22,계정대체기준!$A$20:$A$49,0)),0)))</f>
        <v/>
      </c>
      <c r="AA22" s="94">
        <f>IF($A22="",0,IF(AE22="직접",IF(OR(AF22="유지비",AF22="손해조사비"),$P22,0),$P22*(1-AG22)*IFERROR(INDEX(계정대체기준!$D$20:$D$49,MATCH($N22,계정대체기준!$A$20:$A$49,0)),0)))</f>
        <v/>
      </c>
      <c r="AB22" s="94">
        <f>IF($A22="",0,IF(AE22="직접",IF(AF22="수금비",$P22,0),$P22*(1-AG22)*IFERROR(INDEX(계정대체기준!$E$20:$E$49,MATCH($N22,계정대체기준!$A$20:$A$49,0)),0)))</f>
        <v/>
      </c>
      <c r="AC22" s="9">
        <f>IF(AND($A22&lt;&gt;"",M22=설정!$C$20,Z22&gt;0),Z22+ROW()/1000000000,"")</f>
        <v/>
      </c>
      <c r="AD22" s="94">
        <f>IF($A22="",0,$P22*AG22)</f>
        <v/>
      </c>
      <c r="AE22" s="64">
        <f>IF($A22="","",IFERROR(INDEX(계정매핑!$E$5:$E$504,MATCH($F22&amp;"",계정매핑!$A$5:$A$504,0))&amp;"","공통비"))</f>
        <v/>
      </c>
      <c r="AF22" s="64">
        <f>IF($A22="","",IF(AE22="직접",IFERROR(INDEX(계정매핑!$F$5:$F$504,MATCH($F22&amp;"",계정매핑!$A$5:$A$504,0))&amp;"","비귀속"),""))</f>
        <v/>
      </c>
      <c r="AG22" s="96">
        <f>IF($A22="",0,IF(AND(AE22&lt;&gt;"직접",IFERROR(INDEX(계정매핑!$G$5:$G$504,MATCH($F22&amp;"",계정매핑!$A$5:$A$504,0))&amp;"","")="유지비",COUNTIF(계정대체기준!$A$6:$A$15,$N22)&gt;0),IFERROR(INDEX(계정대체기준!$E$6:$E$15,MATCH(VALUE($A22&amp;""),계정대체기준!$D$6:$D$15,0)),0),0))</f>
        <v/>
      </c>
      <c r="AH22" s="64">
        <f>IF($A22="","",IF(AD22=0,"",IF(OR(COUNTIF(계정대체기준!$A$77:$A$86,$N22)&gt;0,ISNUMBER(MATCH($X22,계정대체기준!$D$77:$D$86,0)),ISNUMBER(MATCH($F22,계정대체기준!$D$77:$D$86,0))),"Y","N")))</f>
        <v/>
      </c>
    </row>
    <row r="23">
      <c r="A23" s="92" t="n">
        <v>2025</v>
      </c>
      <c r="B23" s="92" t="n">
        <v>1</v>
      </c>
      <c r="C23" s="92" t="inlineStr">
        <is>
          <t>5100000019</t>
        </is>
      </c>
      <c r="D23" s="95" t="n">
        <v>45660</v>
      </c>
      <c r="E23" s="92" t="inlineStr">
        <is>
          <t>KR</t>
        </is>
      </c>
      <c r="F23" s="92" t="n">
        <v>63001000</v>
      </c>
      <c r="G23" s="92" t="n">
        <v>1951</v>
      </c>
      <c r="H23" s="93" t="n">
        <v>3760000</v>
      </c>
      <c r="I23" s="92" t="inlineStr">
        <is>
          <t>1월 SW 유지보수 - Z시스템</t>
        </is>
      </c>
      <c r="J23" s="92" t="inlineStr">
        <is>
          <t>V10012</t>
        </is>
      </c>
      <c r="K23" s="92" t="inlineStr">
        <is>
          <t>Z시스템</t>
        </is>
      </c>
      <c r="M23" s="9">
        <f>IF($A23="","",VALUE($A23&amp;"")*12+VALUE($B23&amp;""))</f>
        <v/>
      </c>
      <c r="N23" s="64">
        <f>IF($A23="","",IFERROR(INDEX(부서매핑!$C$5:$C$504,MATCH($G23&amp;"",부서매핑!$A$5:$A$504,0)),"미매핑"))</f>
        <v/>
      </c>
      <c r="O23" s="9">
        <f>IF($A23="","",N23&amp;"|"&amp;$F23)</f>
        <v/>
      </c>
      <c r="P23" s="94">
        <f>IF($A23="",0,$H23*설정!$C$23)</f>
        <v/>
      </c>
      <c r="Q23" s="64">
        <f>IF($A23="","",IF(O23&lt;&gt;원인분석!$C$9,"",IF(AND(M23&gt;=원인분석!$C$10,M23&lt;=원인분석!$C$11),"당기",IF(AND(M23&gt;=원인분석!$C$12,M23&lt;=원인분석!$C$13),"비교",""))))</f>
        <v/>
      </c>
      <c r="R23" s="9">
        <f>IF(Q23="","",$K23&amp;"")</f>
        <v/>
      </c>
      <c r="S23" s="9">
        <f>IF(Q23="","",IF(MATCH(R23,$R$5:$R$100000,0)=ROW()-4,ROW(),""))</f>
        <v/>
      </c>
      <c r="T23" s="9">
        <f>IF(Q23="당기",ABS(P23)+ROW()/1000000000,"")</f>
        <v/>
      </c>
      <c r="U23" s="9">
        <f>IF(Q23="비교",ABS(P23)+ROW()/1000000000,"")</f>
        <v/>
      </c>
      <c r="V23" s="64">
        <f>IF($A23="","",IF(COUNTIF(변동분석!$E$7:$E$506,O23)&gt;0,"Y","N"))</f>
        <v/>
      </c>
      <c r="W23" s="64">
        <f>IF($A23="","",IFERROR(INDEX(계정매핑!$D$5:$D$504,MATCH($F23&amp;"",계정매핑!$A$5:$A$504,0)),"미매핑"))</f>
        <v/>
      </c>
      <c r="X23" s="9">
        <f>IF($A23="","",$F23&amp;"")</f>
        <v/>
      </c>
      <c r="Y23" s="94">
        <f>IF($A23="",0,IF(AE23="직접",IF(AF23="비귀속",$P23,0),$P23*(1-AG23)*IFERROR(INDEX(계정대체기준!$F$20:$F$49,MATCH($N23,계정대체기준!$A$20:$A$49,0)),1)))</f>
        <v/>
      </c>
      <c r="Z23" s="94">
        <f>IF($A23="",0,IF(AE23="직접",IF(AF23="신계약비",$P23,0),$P23*(1-AG23)*IFERROR(INDEX(계정대체기준!$C$20:$C$49,MATCH($N23,계정대체기준!$A$20:$A$49,0)),0)))</f>
        <v/>
      </c>
      <c r="AA23" s="94">
        <f>IF($A23="",0,IF(AE23="직접",IF(OR(AF23="유지비",AF23="손해조사비"),$P23,0),$P23*(1-AG23)*IFERROR(INDEX(계정대체기준!$D$20:$D$49,MATCH($N23,계정대체기준!$A$20:$A$49,0)),0)))</f>
        <v/>
      </c>
      <c r="AB23" s="94">
        <f>IF($A23="",0,IF(AE23="직접",IF(AF23="수금비",$P23,0),$P23*(1-AG23)*IFERROR(INDEX(계정대체기준!$E$20:$E$49,MATCH($N23,계정대체기준!$A$20:$A$49,0)),0)))</f>
        <v/>
      </c>
      <c r="AC23" s="9">
        <f>IF(AND($A23&lt;&gt;"",M23=설정!$C$20,Z23&gt;0),Z23+ROW()/1000000000,"")</f>
        <v/>
      </c>
      <c r="AD23" s="94">
        <f>IF($A23="",0,$P23*AG23)</f>
        <v/>
      </c>
      <c r="AE23" s="64">
        <f>IF($A23="","",IFERROR(INDEX(계정매핑!$E$5:$E$504,MATCH($F23&amp;"",계정매핑!$A$5:$A$504,0))&amp;"","공통비"))</f>
        <v/>
      </c>
      <c r="AF23" s="64">
        <f>IF($A23="","",IF(AE23="직접",IFERROR(INDEX(계정매핑!$F$5:$F$504,MATCH($F23&amp;"",계정매핑!$A$5:$A$504,0))&amp;"","비귀속"),""))</f>
        <v/>
      </c>
      <c r="AG23" s="96">
        <f>IF($A23="",0,IF(AND(AE23&lt;&gt;"직접",IFERROR(INDEX(계정매핑!$G$5:$G$504,MATCH($F23&amp;"",계정매핑!$A$5:$A$504,0))&amp;"","")="유지비",COUNTIF(계정대체기준!$A$6:$A$15,$N23)&gt;0),IFERROR(INDEX(계정대체기준!$E$6:$E$15,MATCH(VALUE($A23&amp;""),계정대체기준!$D$6:$D$15,0)),0),0))</f>
        <v/>
      </c>
      <c r="AH23" s="64">
        <f>IF($A23="","",IF(AD23=0,"",IF(OR(COUNTIF(계정대체기준!$A$77:$A$86,$N23)&gt;0,ISNUMBER(MATCH($X23,계정대체기준!$D$77:$D$86,0)),ISNUMBER(MATCH($F23,계정대체기준!$D$77:$D$86,0))),"Y","N")))</f>
        <v/>
      </c>
    </row>
    <row r="24">
      <c r="A24" s="92" t="n">
        <v>2025</v>
      </c>
      <c r="B24" s="92" t="n">
        <v>1</v>
      </c>
      <c r="C24" s="92" t="inlineStr">
        <is>
          <t>5100000020</t>
        </is>
      </c>
      <c r="D24" s="95" t="n">
        <v>45660</v>
      </c>
      <c r="E24" s="92" t="inlineStr">
        <is>
          <t>KR</t>
        </is>
      </c>
      <c r="F24" s="92" t="n">
        <v>63501000</v>
      </c>
      <c r="G24" s="92" t="n">
        <v>1901</v>
      </c>
      <c r="H24" s="93" t="n">
        <v>350796000</v>
      </c>
      <c r="I24" s="92" t="inlineStr">
        <is>
          <t>1월 모집수수료 - BB에셋</t>
        </is>
      </c>
      <c r="J24" s="92" t="inlineStr">
        <is>
          <t>V10013</t>
        </is>
      </c>
      <c r="K24" s="92" t="inlineStr">
        <is>
          <t>BB에셋</t>
        </is>
      </c>
      <c r="M24" s="9">
        <f>IF($A24="","",VALUE($A24&amp;"")*12+VALUE($B24&amp;""))</f>
        <v/>
      </c>
      <c r="N24" s="64">
        <f>IF($A24="","",IFERROR(INDEX(부서매핑!$C$5:$C$504,MATCH($G24&amp;"",부서매핑!$A$5:$A$504,0)),"미매핑"))</f>
        <v/>
      </c>
      <c r="O24" s="9">
        <f>IF($A24="","",N24&amp;"|"&amp;$F24)</f>
        <v/>
      </c>
      <c r="P24" s="94">
        <f>IF($A24="",0,$H24*설정!$C$23)</f>
        <v/>
      </c>
      <c r="Q24" s="64">
        <f>IF($A24="","",IF(O24&lt;&gt;원인분석!$C$9,"",IF(AND(M24&gt;=원인분석!$C$10,M24&lt;=원인분석!$C$11),"당기",IF(AND(M24&gt;=원인분석!$C$12,M24&lt;=원인분석!$C$13),"비교",""))))</f>
        <v/>
      </c>
      <c r="R24" s="9">
        <f>IF(Q24="","",$K24&amp;"")</f>
        <v/>
      </c>
      <c r="S24" s="9">
        <f>IF(Q24="","",IF(MATCH(R24,$R$5:$R$100000,0)=ROW()-4,ROW(),""))</f>
        <v/>
      </c>
      <c r="T24" s="9">
        <f>IF(Q24="당기",ABS(P24)+ROW()/1000000000,"")</f>
        <v/>
      </c>
      <c r="U24" s="9">
        <f>IF(Q24="비교",ABS(P24)+ROW()/1000000000,"")</f>
        <v/>
      </c>
      <c r="V24" s="64">
        <f>IF($A24="","",IF(COUNTIF(변동분석!$E$7:$E$506,O24)&gt;0,"Y","N"))</f>
        <v/>
      </c>
      <c r="W24" s="64">
        <f>IF($A24="","",IFERROR(INDEX(계정매핑!$D$5:$D$504,MATCH($F24&amp;"",계정매핑!$A$5:$A$504,0)),"미매핑"))</f>
        <v/>
      </c>
      <c r="X24" s="9">
        <f>IF($A24="","",$F24&amp;"")</f>
        <v/>
      </c>
      <c r="Y24" s="94">
        <f>IF($A24="",0,IF(AE24="직접",IF(AF24="비귀속",$P24,0),$P24*(1-AG24)*IFERROR(INDEX(계정대체기준!$F$20:$F$49,MATCH($N24,계정대체기준!$A$20:$A$49,0)),1)))</f>
        <v/>
      </c>
      <c r="Z24" s="94">
        <f>IF($A24="",0,IF(AE24="직접",IF(AF24="신계약비",$P24,0),$P24*(1-AG24)*IFERROR(INDEX(계정대체기준!$C$20:$C$49,MATCH($N24,계정대체기준!$A$20:$A$49,0)),0)))</f>
        <v/>
      </c>
      <c r="AA24" s="94">
        <f>IF($A24="",0,IF(AE24="직접",IF(OR(AF24="유지비",AF24="손해조사비"),$P24,0),$P24*(1-AG24)*IFERROR(INDEX(계정대체기준!$D$20:$D$49,MATCH($N24,계정대체기준!$A$20:$A$49,0)),0)))</f>
        <v/>
      </c>
      <c r="AB24" s="94">
        <f>IF($A24="",0,IF(AE24="직접",IF(AF24="수금비",$P24,0),$P24*(1-AG24)*IFERROR(INDEX(계정대체기준!$E$20:$E$49,MATCH($N24,계정대체기준!$A$20:$A$49,0)),0)))</f>
        <v/>
      </c>
      <c r="AC24" s="9">
        <f>IF(AND($A24&lt;&gt;"",M24=설정!$C$20,Z24&gt;0),Z24+ROW()/1000000000,"")</f>
        <v/>
      </c>
      <c r="AD24" s="94">
        <f>IF($A24="",0,$P24*AG24)</f>
        <v/>
      </c>
      <c r="AE24" s="64">
        <f>IF($A24="","",IFERROR(INDEX(계정매핑!$E$5:$E$504,MATCH($F24&amp;"",계정매핑!$A$5:$A$504,0))&amp;"","공통비"))</f>
        <v/>
      </c>
      <c r="AF24" s="64">
        <f>IF($A24="","",IF(AE24="직접",IFERROR(INDEX(계정매핑!$F$5:$F$504,MATCH($F24&amp;"",계정매핑!$A$5:$A$504,0))&amp;"","비귀속"),""))</f>
        <v/>
      </c>
      <c r="AG24" s="96">
        <f>IF($A24="",0,IF(AND(AE24&lt;&gt;"직접",IFERROR(INDEX(계정매핑!$G$5:$G$504,MATCH($F24&amp;"",계정매핑!$A$5:$A$504,0))&amp;"","")="유지비",COUNTIF(계정대체기준!$A$6:$A$15,$N24)&gt;0),IFERROR(INDEX(계정대체기준!$E$6:$E$15,MATCH(VALUE($A24&amp;""),계정대체기준!$D$6:$D$15,0)),0),0))</f>
        <v/>
      </c>
      <c r="AH24" s="64">
        <f>IF($A24="","",IF(AD24=0,"",IF(OR(COUNTIF(계정대체기준!$A$77:$A$86,$N24)&gt;0,ISNUMBER(MATCH($X24,계정대체기준!$D$77:$D$86,0)),ISNUMBER(MATCH($F24,계정대체기준!$D$77:$D$86,0))),"Y","N")))</f>
        <v/>
      </c>
    </row>
    <row r="25">
      <c r="A25" s="92" t="n">
        <v>2025</v>
      </c>
      <c r="B25" s="92" t="n">
        <v>1</v>
      </c>
      <c r="C25" s="92" t="inlineStr">
        <is>
          <t>5100000021</t>
        </is>
      </c>
      <c r="D25" s="95" t="n">
        <v>45661</v>
      </c>
      <c r="E25" s="92" t="inlineStr">
        <is>
          <t>KR</t>
        </is>
      </c>
      <c r="F25" s="92" t="n">
        <v>62101000</v>
      </c>
      <c r="G25" s="92" t="n">
        <v>1401</v>
      </c>
      <c r="H25" s="93" t="n">
        <v>460000</v>
      </c>
      <c r="I25" s="92" t="inlineStr">
        <is>
          <t>1월 국내출장 - M항공</t>
        </is>
      </c>
      <c r="J25" s="92" t="inlineStr">
        <is>
          <t>V10001</t>
        </is>
      </c>
      <c r="K25" s="92" t="inlineStr">
        <is>
          <t>M항공</t>
        </is>
      </c>
      <c r="M25" s="9">
        <f>IF($A25="","",VALUE($A25&amp;"")*12+VALUE($B25&amp;""))</f>
        <v/>
      </c>
      <c r="N25" s="64">
        <f>IF($A25="","",IFERROR(INDEX(부서매핑!$C$5:$C$504,MATCH($G25&amp;"",부서매핑!$A$5:$A$504,0)),"미매핑"))</f>
        <v/>
      </c>
      <c r="O25" s="9">
        <f>IF($A25="","",N25&amp;"|"&amp;$F25)</f>
        <v/>
      </c>
      <c r="P25" s="94">
        <f>IF($A25="",0,$H25*설정!$C$23)</f>
        <v/>
      </c>
      <c r="Q25" s="64">
        <f>IF($A25="","",IF(O25&lt;&gt;원인분석!$C$9,"",IF(AND(M25&gt;=원인분석!$C$10,M25&lt;=원인분석!$C$11),"당기",IF(AND(M25&gt;=원인분석!$C$12,M25&lt;=원인분석!$C$13),"비교",""))))</f>
        <v/>
      </c>
      <c r="R25" s="9">
        <f>IF(Q25="","",$K25&amp;"")</f>
        <v/>
      </c>
      <c r="S25" s="9">
        <f>IF(Q25="","",IF(MATCH(R25,$R$5:$R$100000,0)=ROW()-4,ROW(),""))</f>
        <v/>
      </c>
      <c r="T25" s="9">
        <f>IF(Q25="당기",ABS(P25)+ROW()/1000000000,"")</f>
        <v/>
      </c>
      <c r="U25" s="9">
        <f>IF(Q25="비교",ABS(P25)+ROW()/1000000000,"")</f>
        <v/>
      </c>
      <c r="V25" s="64">
        <f>IF($A25="","",IF(COUNTIF(변동분석!$E$7:$E$506,O25)&gt;0,"Y","N"))</f>
        <v/>
      </c>
      <c r="W25" s="64">
        <f>IF($A25="","",IFERROR(INDEX(계정매핑!$D$5:$D$504,MATCH($F25&amp;"",계정매핑!$A$5:$A$504,0)),"미매핑"))</f>
        <v/>
      </c>
      <c r="X25" s="9">
        <f>IF($A25="","",$F25&amp;"")</f>
        <v/>
      </c>
      <c r="Y25" s="94">
        <f>IF($A25="",0,IF(AE25="직접",IF(AF25="비귀속",$P25,0),$P25*(1-AG25)*IFERROR(INDEX(계정대체기준!$F$20:$F$49,MATCH($N25,계정대체기준!$A$20:$A$49,0)),1)))</f>
        <v/>
      </c>
      <c r="Z25" s="94">
        <f>IF($A25="",0,IF(AE25="직접",IF(AF25="신계약비",$P25,0),$P25*(1-AG25)*IFERROR(INDEX(계정대체기준!$C$20:$C$49,MATCH($N25,계정대체기준!$A$20:$A$49,0)),0)))</f>
        <v/>
      </c>
      <c r="AA25" s="94">
        <f>IF($A25="",0,IF(AE25="직접",IF(OR(AF25="유지비",AF25="손해조사비"),$P25,0),$P25*(1-AG25)*IFERROR(INDEX(계정대체기준!$D$20:$D$49,MATCH($N25,계정대체기준!$A$20:$A$49,0)),0)))</f>
        <v/>
      </c>
      <c r="AB25" s="94">
        <f>IF($A25="",0,IF(AE25="직접",IF(AF25="수금비",$P25,0),$P25*(1-AG25)*IFERROR(INDEX(계정대체기준!$E$20:$E$49,MATCH($N25,계정대체기준!$A$20:$A$49,0)),0)))</f>
        <v/>
      </c>
      <c r="AC25" s="9">
        <f>IF(AND($A25&lt;&gt;"",M25=설정!$C$20,Z25&gt;0),Z25+ROW()/1000000000,"")</f>
        <v/>
      </c>
      <c r="AD25" s="94">
        <f>IF($A25="",0,$P25*AG25)</f>
        <v/>
      </c>
      <c r="AE25" s="64">
        <f>IF($A25="","",IFERROR(INDEX(계정매핑!$E$5:$E$504,MATCH($F25&amp;"",계정매핑!$A$5:$A$504,0))&amp;"","공통비"))</f>
        <v/>
      </c>
      <c r="AF25" s="64">
        <f>IF($A25="","",IF(AE25="직접",IFERROR(INDEX(계정매핑!$F$5:$F$504,MATCH($F25&amp;"",계정매핑!$A$5:$A$504,0))&amp;"","비귀속"),""))</f>
        <v/>
      </c>
      <c r="AG25" s="96">
        <f>IF($A25="",0,IF(AND(AE25&lt;&gt;"직접",IFERROR(INDEX(계정매핑!$G$5:$G$504,MATCH($F25&amp;"",계정매핑!$A$5:$A$504,0))&amp;"","")="유지비",COUNTIF(계정대체기준!$A$6:$A$15,$N25)&gt;0),IFERROR(INDEX(계정대체기준!$E$6:$E$15,MATCH(VALUE($A25&amp;""),계정대체기준!$D$6:$D$15,0)),0),0))</f>
        <v/>
      </c>
      <c r="AH25" s="64">
        <f>IF($A25="","",IF(AD25=0,"",IF(OR(COUNTIF(계정대체기준!$A$77:$A$86,$N25)&gt;0,ISNUMBER(MATCH($X25,계정대체기준!$D$77:$D$86,0)),ISNUMBER(MATCH($F25,계정대체기준!$D$77:$D$86,0))),"Y","N")))</f>
        <v/>
      </c>
    </row>
    <row r="26">
      <c r="A26" s="92" t="n">
        <v>2025</v>
      </c>
      <c r="B26" s="92" t="n">
        <v>1</v>
      </c>
      <c r="C26" s="92" t="inlineStr">
        <is>
          <t>5100000022</t>
        </is>
      </c>
      <c r="D26" s="95" t="n">
        <v>45661</v>
      </c>
      <c r="E26" s="92" t="inlineStr">
        <is>
          <t>KR</t>
        </is>
      </c>
      <c r="F26" s="92" t="n">
        <v>62101000</v>
      </c>
      <c r="G26" s="92" t="n">
        <v>1701</v>
      </c>
      <c r="H26" s="93" t="n">
        <v>191000</v>
      </c>
      <c r="I26" s="92" t="inlineStr">
        <is>
          <t>1월 국내출장 - (법인카드)</t>
        </is>
      </c>
      <c r="J26" s="92" t="inlineStr">
        <is>
          <t>V10010</t>
        </is>
      </c>
      <c r="K26" s="92" t="inlineStr">
        <is>
          <t>(법인카드)</t>
        </is>
      </c>
      <c r="M26" s="9">
        <f>IF($A26="","",VALUE($A26&amp;"")*12+VALUE($B26&amp;""))</f>
        <v/>
      </c>
      <c r="N26" s="64">
        <f>IF($A26="","",IFERROR(INDEX(부서매핑!$C$5:$C$504,MATCH($G26&amp;"",부서매핑!$A$5:$A$504,0)),"미매핑"))</f>
        <v/>
      </c>
      <c r="O26" s="9">
        <f>IF($A26="","",N26&amp;"|"&amp;$F26)</f>
        <v/>
      </c>
      <c r="P26" s="94">
        <f>IF($A26="",0,$H26*설정!$C$23)</f>
        <v/>
      </c>
      <c r="Q26" s="64">
        <f>IF($A26="","",IF(O26&lt;&gt;원인분석!$C$9,"",IF(AND(M26&gt;=원인분석!$C$10,M26&lt;=원인분석!$C$11),"당기",IF(AND(M26&gt;=원인분석!$C$12,M26&lt;=원인분석!$C$13),"비교",""))))</f>
        <v/>
      </c>
      <c r="R26" s="9">
        <f>IF(Q26="","",$K26&amp;"")</f>
        <v/>
      </c>
      <c r="S26" s="9">
        <f>IF(Q26="","",IF(MATCH(R26,$R$5:$R$100000,0)=ROW()-4,ROW(),""))</f>
        <v/>
      </c>
      <c r="T26" s="9">
        <f>IF(Q26="당기",ABS(P26)+ROW()/1000000000,"")</f>
        <v/>
      </c>
      <c r="U26" s="9">
        <f>IF(Q26="비교",ABS(P26)+ROW()/1000000000,"")</f>
        <v/>
      </c>
      <c r="V26" s="64">
        <f>IF($A26="","",IF(COUNTIF(변동분석!$E$7:$E$506,O26)&gt;0,"Y","N"))</f>
        <v/>
      </c>
      <c r="W26" s="64">
        <f>IF($A26="","",IFERROR(INDEX(계정매핑!$D$5:$D$504,MATCH($F26&amp;"",계정매핑!$A$5:$A$504,0)),"미매핑"))</f>
        <v/>
      </c>
      <c r="X26" s="9">
        <f>IF($A26="","",$F26&amp;"")</f>
        <v/>
      </c>
      <c r="Y26" s="94">
        <f>IF($A26="",0,IF(AE26="직접",IF(AF26="비귀속",$P26,0),$P26*(1-AG26)*IFERROR(INDEX(계정대체기준!$F$20:$F$49,MATCH($N26,계정대체기준!$A$20:$A$49,0)),1)))</f>
        <v/>
      </c>
      <c r="Z26" s="94">
        <f>IF($A26="",0,IF(AE26="직접",IF(AF26="신계약비",$P26,0),$P26*(1-AG26)*IFERROR(INDEX(계정대체기준!$C$20:$C$49,MATCH($N26,계정대체기준!$A$20:$A$49,0)),0)))</f>
        <v/>
      </c>
      <c r="AA26" s="94">
        <f>IF($A26="",0,IF(AE26="직접",IF(OR(AF26="유지비",AF26="손해조사비"),$P26,0),$P26*(1-AG26)*IFERROR(INDEX(계정대체기준!$D$20:$D$49,MATCH($N26,계정대체기준!$A$20:$A$49,0)),0)))</f>
        <v/>
      </c>
      <c r="AB26" s="94">
        <f>IF($A26="",0,IF(AE26="직접",IF(AF26="수금비",$P26,0),$P26*(1-AG26)*IFERROR(INDEX(계정대체기준!$E$20:$E$49,MATCH($N26,계정대체기준!$A$20:$A$49,0)),0)))</f>
        <v/>
      </c>
      <c r="AC26" s="9">
        <f>IF(AND($A26&lt;&gt;"",M26=설정!$C$20,Z26&gt;0),Z26+ROW()/1000000000,"")</f>
        <v/>
      </c>
      <c r="AD26" s="94">
        <f>IF($A26="",0,$P26*AG26)</f>
        <v/>
      </c>
      <c r="AE26" s="64">
        <f>IF($A26="","",IFERROR(INDEX(계정매핑!$E$5:$E$504,MATCH($F26&amp;"",계정매핑!$A$5:$A$504,0))&amp;"","공통비"))</f>
        <v/>
      </c>
      <c r="AF26" s="64">
        <f>IF($A26="","",IF(AE26="직접",IFERROR(INDEX(계정매핑!$F$5:$F$504,MATCH($F26&amp;"",계정매핑!$A$5:$A$504,0))&amp;"","비귀속"),""))</f>
        <v/>
      </c>
      <c r="AG26" s="96">
        <f>IF($A26="",0,IF(AND(AE26&lt;&gt;"직접",IFERROR(INDEX(계정매핑!$G$5:$G$504,MATCH($F26&amp;"",계정매핑!$A$5:$A$504,0))&amp;"","")="유지비",COUNTIF(계정대체기준!$A$6:$A$15,$N26)&gt;0),IFERROR(INDEX(계정대체기준!$E$6:$E$15,MATCH(VALUE($A26&amp;""),계정대체기준!$D$6:$D$15,0)),0),0))</f>
        <v/>
      </c>
      <c r="AH26" s="64">
        <f>IF($A26="","",IF(AD26=0,"",IF(OR(COUNTIF(계정대체기준!$A$77:$A$86,$N26)&gt;0,ISNUMBER(MATCH($X26,계정대체기준!$D$77:$D$86,0)),ISNUMBER(MATCH($F26,계정대체기준!$D$77:$D$86,0))),"Y","N")))</f>
        <v/>
      </c>
    </row>
    <row r="27">
      <c r="A27" s="92" t="n">
        <v>2025</v>
      </c>
      <c r="B27" s="92" t="n">
        <v>1</v>
      </c>
      <c r="C27" s="92" t="inlineStr">
        <is>
          <t>5100000023</t>
        </is>
      </c>
      <c r="D27" s="95" t="n">
        <v>45661</v>
      </c>
      <c r="E27" s="92" t="inlineStr">
        <is>
          <t>KR</t>
        </is>
      </c>
      <c r="F27" s="92" t="n">
        <v>62201000</v>
      </c>
      <c r="G27" s="92" t="n">
        <v>1502</v>
      </c>
      <c r="H27" s="93" t="n">
        <v>269000</v>
      </c>
      <c r="I27" s="92" t="inlineStr">
        <is>
          <t>1월 통신요금 - P통신</t>
        </is>
      </c>
      <c r="J27" s="92" t="inlineStr">
        <is>
          <t>V10014</t>
        </is>
      </c>
      <c r="K27" s="92" t="inlineStr">
        <is>
          <t>P통신</t>
        </is>
      </c>
      <c r="M27" s="9">
        <f>IF($A27="","",VALUE($A27&amp;"")*12+VALUE($B27&amp;""))</f>
        <v/>
      </c>
      <c r="N27" s="64">
        <f>IF($A27="","",IFERROR(INDEX(부서매핑!$C$5:$C$504,MATCH($G27&amp;"",부서매핑!$A$5:$A$504,0)),"미매핑"))</f>
        <v/>
      </c>
      <c r="O27" s="9">
        <f>IF($A27="","",N27&amp;"|"&amp;$F27)</f>
        <v/>
      </c>
      <c r="P27" s="94">
        <f>IF($A27="",0,$H27*설정!$C$23)</f>
        <v/>
      </c>
      <c r="Q27" s="64">
        <f>IF($A27="","",IF(O27&lt;&gt;원인분석!$C$9,"",IF(AND(M27&gt;=원인분석!$C$10,M27&lt;=원인분석!$C$11),"당기",IF(AND(M27&gt;=원인분석!$C$12,M27&lt;=원인분석!$C$13),"비교",""))))</f>
        <v/>
      </c>
      <c r="R27" s="9">
        <f>IF(Q27="","",$K27&amp;"")</f>
        <v/>
      </c>
      <c r="S27" s="9">
        <f>IF(Q27="","",IF(MATCH(R27,$R$5:$R$100000,0)=ROW()-4,ROW(),""))</f>
        <v/>
      </c>
      <c r="T27" s="9">
        <f>IF(Q27="당기",ABS(P27)+ROW()/1000000000,"")</f>
        <v/>
      </c>
      <c r="U27" s="9">
        <f>IF(Q27="비교",ABS(P27)+ROW()/1000000000,"")</f>
        <v/>
      </c>
      <c r="V27" s="64">
        <f>IF($A27="","",IF(COUNTIF(변동분석!$E$7:$E$506,O27)&gt;0,"Y","N"))</f>
        <v/>
      </c>
      <c r="W27" s="64">
        <f>IF($A27="","",IFERROR(INDEX(계정매핑!$D$5:$D$504,MATCH($F27&amp;"",계정매핑!$A$5:$A$504,0)),"미매핑"))</f>
        <v/>
      </c>
      <c r="X27" s="9">
        <f>IF($A27="","",$F27&amp;"")</f>
        <v/>
      </c>
      <c r="Y27" s="94">
        <f>IF($A27="",0,IF(AE27="직접",IF(AF27="비귀속",$P27,0),$P27*(1-AG27)*IFERROR(INDEX(계정대체기준!$F$20:$F$49,MATCH($N27,계정대체기준!$A$20:$A$49,0)),1)))</f>
        <v/>
      </c>
      <c r="Z27" s="94">
        <f>IF($A27="",0,IF(AE27="직접",IF(AF27="신계약비",$P27,0),$P27*(1-AG27)*IFERROR(INDEX(계정대체기준!$C$20:$C$49,MATCH($N27,계정대체기준!$A$20:$A$49,0)),0)))</f>
        <v/>
      </c>
      <c r="AA27" s="94">
        <f>IF($A27="",0,IF(AE27="직접",IF(OR(AF27="유지비",AF27="손해조사비"),$P27,0),$P27*(1-AG27)*IFERROR(INDEX(계정대체기준!$D$20:$D$49,MATCH($N27,계정대체기준!$A$20:$A$49,0)),0)))</f>
        <v/>
      </c>
      <c r="AB27" s="94">
        <f>IF($A27="",0,IF(AE27="직접",IF(AF27="수금비",$P27,0),$P27*(1-AG27)*IFERROR(INDEX(계정대체기준!$E$20:$E$49,MATCH($N27,계정대체기준!$A$20:$A$49,0)),0)))</f>
        <v/>
      </c>
      <c r="AC27" s="9">
        <f>IF(AND($A27&lt;&gt;"",M27=설정!$C$20,Z27&gt;0),Z27+ROW()/1000000000,"")</f>
        <v/>
      </c>
      <c r="AD27" s="94">
        <f>IF($A27="",0,$P27*AG27)</f>
        <v/>
      </c>
      <c r="AE27" s="64">
        <f>IF($A27="","",IFERROR(INDEX(계정매핑!$E$5:$E$504,MATCH($F27&amp;"",계정매핑!$A$5:$A$504,0))&amp;"","공통비"))</f>
        <v/>
      </c>
      <c r="AF27" s="64">
        <f>IF($A27="","",IF(AE27="직접",IFERROR(INDEX(계정매핑!$F$5:$F$504,MATCH($F27&amp;"",계정매핑!$A$5:$A$504,0))&amp;"","비귀속"),""))</f>
        <v/>
      </c>
      <c r="AG27" s="96">
        <f>IF($A27="",0,IF(AND(AE27&lt;&gt;"직접",IFERROR(INDEX(계정매핑!$G$5:$G$504,MATCH($F27&amp;"",계정매핑!$A$5:$A$504,0))&amp;"","")="유지비",COUNTIF(계정대체기준!$A$6:$A$15,$N27)&gt;0),IFERROR(INDEX(계정대체기준!$E$6:$E$15,MATCH(VALUE($A27&amp;""),계정대체기준!$D$6:$D$15,0)),0),0))</f>
        <v/>
      </c>
      <c r="AH27" s="64">
        <f>IF($A27="","",IF(AD27=0,"",IF(OR(COUNTIF(계정대체기준!$A$77:$A$86,$N27)&gt;0,ISNUMBER(MATCH($X27,계정대체기준!$D$77:$D$86,0)),ISNUMBER(MATCH($F27,계정대체기준!$D$77:$D$86,0))),"Y","N")))</f>
        <v/>
      </c>
    </row>
    <row r="28">
      <c r="A28" s="92" t="n">
        <v>2025</v>
      </c>
      <c r="B28" s="92" t="n">
        <v>1</v>
      </c>
      <c r="C28" s="92" t="inlineStr">
        <is>
          <t>5100000024</t>
        </is>
      </c>
      <c r="D28" s="95" t="n">
        <v>45661</v>
      </c>
      <c r="E28" s="92" t="inlineStr">
        <is>
          <t>KR</t>
        </is>
      </c>
      <c r="F28" s="92" t="n">
        <v>62401000</v>
      </c>
      <c r="G28" s="92" t="n">
        <v>1401</v>
      </c>
      <c r="H28" s="93" t="n">
        <v>235000</v>
      </c>
      <c r="I28" s="92" t="inlineStr">
        <is>
          <t>1월 인쇄물 제작 - S출판</t>
        </is>
      </c>
      <c r="J28" s="92" t="inlineStr">
        <is>
          <t>V10015</t>
        </is>
      </c>
      <c r="K28" s="92" t="inlineStr">
        <is>
          <t>S출판</t>
        </is>
      </c>
      <c r="M28" s="9">
        <f>IF($A28="","",VALUE($A28&amp;"")*12+VALUE($B28&amp;""))</f>
        <v/>
      </c>
      <c r="N28" s="64">
        <f>IF($A28="","",IFERROR(INDEX(부서매핑!$C$5:$C$504,MATCH($G28&amp;"",부서매핑!$A$5:$A$504,0)),"미매핑"))</f>
        <v/>
      </c>
      <c r="O28" s="9">
        <f>IF($A28="","",N28&amp;"|"&amp;$F28)</f>
        <v/>
      </c>
      <c r="P28" s="94">
        <f>IF($A28="",0,$H28*설정!$C$23)</f>
        <v/>
      </c>
      <c r="Q28" s="64">
        <f>IF($A28="","",IF(O28&lt;&gt;원인분석!$C$9,"",IF(AND(M28&gt;=원인분석!$C$10,M28&lt;=원인분석!$C$11),"당기",IF(AND(M28&gt;=원인분석!$C$12,M28&lt;=원인분석!$C$13),"비교",""))))</f>
        <v/>
      </c>
      <c r="R28" s="9">
        <f>IF(Q28="","",$K28&amp;"")</f>
        <v/>
      </c>
      <c r="S28" s="9">
        <f>IF(Q28="","",IF(MATCH(R28,$R$5:$R$100000,0)=ROW()-4,ROW(),""))</f>
        <v/>
      </c>
      <c r="T28" s="9">
        <f>IF(Q28="당기",ABS(P28)+ROW()/1000000000,"")</f>
        <v/>
      </c>
      <c r="U28" s="9">
        <f>IF(Q28="비교",ABS(P28)+ROW()/1000000000,"")</f>
        <v/>
      </c>
      <c r="V28" s="64">
        <f>IF($A28="","",IF(COUNTIF(변동분석!$E$7:$E$506,O28)&gt;0,"Y","N"))</f>
        <v/>
      </c>
      <c r="W28" s="64">
        <f>IF($A28="","",IFERROR(INDEX(계정매핑!$D$5:$D$504,MATCH($F28&amp;"",계정매핑!$A$5:$A$504,0)),"미매핑"))</f>
        <v/>
      </c>
      <c r="X28" s="9">
        <f>IF($A28="","",$F28&amp;"")</f>
        <v/>
      </c>
      <c r="Y28" s="94">
        <f>IF($A28="",0,IF(AE28="직접",IF(AF28="비귀속",$P28,0),$P28*(1-AG28)*IFERROR(INDEX(계정대체기준!$F$20:$F$49,MATCH($N28,계정대체기준!$A$20:$A$49,0)),1)))</f>
        <v/>
      </c>
      <c r="Z28" s="94">
        <f>IF($A28="",0,IF(AE28="직접",IF(AF28="신계약비",$P28,0),$P28*(1-AG28)*IFERROR(INDEX(계정대체기준!$C$20:$C$49,MATCH($N28,계정대체기준!$A$20:$A$49,0)),0)))</f>
        <v/>
      </c>
      <c r="AA28" s="94">
        <f>IF($A28="",0,IF(AE28="직접",IF(OR(AF28="유지비",AF28="손해조사비"),$P28,0),$P28*(1-AG28)*IFERROR(INDEX(계정대체기준!$D$20:$D$49,MATCH($N28,계정대체기준!$A$20:$A$49,0)),0)))</f>
        <v/>
      </c>
      <c r="AB28" s="94">
        <f>IF($A28="",0,IF(AE28="직접",IF(AF28="수금비",$P28,0),$P28*(1-AG28)*IFERROR(INDEX(계정대체기준!$E$20:$E$49,MATCH($N28,계정대체기준!$A$20:$A$49,0)),0)))</f>
        <v/>
      </c>
      <c r="AC28" s="9">
        <f>IF(AND($A28&lt;&gt;"",M28=설정!$C$20,Z28&gt;0),Z28+ROW()/1000000000,"")</f>
        <v/>
      </c>
      <c r="AD28" s="94">
        <f>IF($A28="",0,$P28*AG28)</f>
        <v/>
      </c>
      <c r="AE28" s="64">
        <f>IF($A28="","",IFERROR(INDEX(계정매핑!$E$5:$E$504,MATCH($F28&amp;"",계정매핑!$A$5:$A$504,0))&amp;"","공통비"))</f>
        <v/>
      </c>
      <c r="AF28" s="64">
        <f>IF($A28="","",IF(AE28="직접",IFERROR(INDEX(계정매핑!$F$5:$F$504,MATCH($F28&amp;"",계정매핑!$A$5:$A$504,0))&amp;"","비귀속"),""))</f>
        <v/>
      </c>
      <c r="AG28" s="96">
        <f>IF($A28="",0,IF(AND(AE28&lt;&gt;"직접",IFERROR(INDEX(계정매핑!$G$5:$G$504,MATCH($F28&amp;"",계정매핑!$A$5:$A$504,0))&amp;"","")="유지비",COUNTIF(계정대체기준!$A$6:$A$15,$N28)&gt;0),IFERROR(INDEX(계정대체기준!$E$6:$E$15,MATCH(VALUE($A28&amp;""),계정대체기준!$D$6:$D$15,0)),0),0))</f>
        <v/>
      </c>
      <c r="AH28" s="64">
        <f>IF($A28="","",IF(AD28=0,"",IF(OR(COUNTIF(계정대체기준!$A$77:$A$86,$N28)&gt;0,ISNUMBER(MATCH($X28,계정대체기준!$D$77:$D$86,0)),ISNUMBER(MATCH($F28,계정대체기준!$D$77:$D$86,0))),"Y","N")))</f>
        <v/>
      </c>
    </row>
    <row r="29">
      <c r="A29" s="92" t="n">
        <v>2025</v>
      </c>
      <c r="B29" s="92" t="n">
        <v>1</v>
      </c>
      <c r="C29" s="92" t="inlineStr">
        <is>
          <t>5100000025</t>
        </is>
      </c>
      <c r="D29" s="95" t="n">
        <v>45661</v>
      </c>
      <c r="E29" s="92" t="inlineStr">
        <is>
          <t>KR</t>
        </is>
      </c>
      <c r="F29" s="92" t="n">
        <v>62901000</v>
      </c>
      <c r="G29" s="92" t="n">
        <v>1801</v>
      </c>
      <c r="H29" s="93" t="n">
        <v>18507000</v>
      </c>
      <c r="I29" s="92" t="inlineStr">
        <is>
          <t>1월 자문 수수료 - W컨설팅</t>
        </is>
      </c>
      <c r="J29" s="92" t="inlineStr">
        <is>
          <t>V10006</t>
        </is>
      </c>
      <c r="K29" s="92" t="inlineStr">
        <is>
          <t>W컨설팅</t>
        </is>
      </c>
      <c r="M29" s="9">
        <f>IF($A29="","",VALUE($A29&amp;"")*12+VALUE($B29&amp;""))</f>
        <v/>
      </c>
      <c r="N29" s="64">
        <f>IF($A29="","",IFERROR(INDEX(부서매핑!$C$5:$C$504,MATCH($G29&amp;"",부서매핑!$A$5:$A$504,0)),"미매핑"))</f>
        <v/>
      </c>
      <c r="O29" s="9">
        <f>IF($A29="","",N29&amp;"|"&amp;$F29)</f>
        <v/>
      </c>
      <c r="P29" s="94">
        <f>IF($A29="",0,$H29*설정!$C$23)</f>
        <v/>
      </c>
      <c r="Q29" s="64">
        <f>IF($A29="","",IF(O29&lt;&gt;원인분석!$C$9,"",IF(AND(M29&gt;=원인분석!$C$10,M29&lt;=원인분석!$C$11),"당기",IF(AND(M29&gt;=원인분석!$C$12,M29&lt;=원인분석!$C$13),"비교",""))))</f>
        <v/>
      </c>
      <c r="R29" s="9">
        <f>IF(Q29="","",$K29&amp;"")</f>
        <v/>
      </c>
      <c r="S29" s="9">
        <f>IF(Q29="","",IF(MATCH(R29,$R$5:$R$100000,0)=ROW()-4,ROW(),""))</f>
        <v/>
      </c>
      <c r="T29" s="9">
        <f>IF(Q29="당기",ABS(P29)+ROW()/1000000000,"")</f>
        <v/>
      </c>
      <c r="U29" s="9">
        <f>IF(Q29="비교",ABS(P29)+ROW()/1000000000,"")</f>
        <v/>
      </c>
      <c r="V29" s="64">
        <f>IF($A29="","",IF(COUNTIF(변동분석!$E$7:$E$506,O29)&gt;0,"Y","N"))</f>
        <v/>
      </c>
      <c r="W29" s="64">
        <f>IF($A29="","",IFERROR(INDEX(계정매핑!$D$5:$D$504,MATCH($F29&amp;"",계정매핑!$A$5:$A$504,0)),"미매핑"))</f>
        <v/>
      </c>
      <c r="X29" s="9">
        <f>IF($A29="","",$F29&amp;"")</f>
        <v/>
      </c>
      <c r="Y29" s="94">
        <f>IF($A29="",0,IF(AE29="직접",IF(AF29="비귀속",$P29,0),$P29*(1-AG29)*IFERROR(INDEX(계정대체기준!$F$20:$F$49,MATCH($N29,계정대체기준!$A$20:$A$49,0)),1)))</f>
        <v/>
      </c>
      <c r="Z29" s="94">
        <f>IF($A29="",0,IF(AE29="직접",IF(AF29="신계약비",$P29,0),$P29*(1-AG29)*IFERROR(INDEX(계정대체기준!$C$20:$C$49,MATCH($N29,계정대체기준!$A$20:$A$49,0)),0)))</f>
        <v/>
      </c>
      <c r="AA29" s="94">
        <f>IF($A29="",0,IF(AE29="직접",IF(OR(AF29="유지비",AF29="손해조사비"),$P29,0),$P29*(1-AG29)*IFERROR(INDEX(계정대체기준!$D$20:$D$49,MATCH($N29,계정대체기준!$A$20:$A$49,0)),0)))</f>
        <v/>
      </c>
      <c r="AB29" s="94">
        <f>IF($A29="",0,IF(AE29="직접",IF(AF29="수금비",$P29,0),$P29*(1-AG29)*IFERROR(INDEX(계정대체기준!$E$20:$E$49,MATCH($N29,계정대체기준!$A$20:$A$49,0)),0)))</f>
        <v/>
      </c>
      <c r="AC29" s="9">
        <f>IF(AND($A29&lt;&gt;"",M29=설정!$C$20,Z29&gt;0),Z29+ROW()/1000000000,"")</f>
        <v/>
      </c>
      <c r="AD29" s="94">
        <f>IF($A29="",0,$P29*AG29)</f>
        <v/>
      </c>
      <c r="AE29" s="64">
        <f>IF($A29="","",IFERROR(INDEX(계정매핑!$E$5:$E$504,MATCH($F29&amp;"",계정매핑!$A$5:$A$504,0))&amp;"","공통비"))</f>
        <v/>
      </c>
      <c r="AF29" s="64">
        <f>IF($A29="","",IF(AE29="직접",IFERROR(INDEX(계정매핑!$F$5:$F$504,MATCH($F29&amp;"",계정매핑!$A$5:$A$504,0))&amp;"","비귀속"),""))</f>
        <v/>
      </c>
      <c r="AG29" s="96">
        <f>IF($A29="",0,IF(AND(AE29&lt;&gt;"직접",IFERROR(INDEX(계정매핑!$G$5:$G$504,MATCH($F29&amp;"",계정매핑!$A$5:$A$504,0))&amp;"","")="유지비",COUNTIF(계정대체기준!$A$6:$A$15,$N29)&gt;0),IFERROR(INDEX(계정대체기준!$E$6:$E$15,MATCH(VALUE($A29&amp;""),계정대체기준!$D$6:$D$15,0)),0),0))</f>
        <v/>
      </c>
      <c r="AH29" s="64">
        <f>IF($A29="","",IF(AD29=0,"",IF(OR(COUNTIF(계정대체기준!$A$77:$A$86,$N29)&gt;0,ISNUMBER(MATCH($X29,계정대체기준!$D$77:$D$86,0)),ISNUMBER(MATCH($F29,계정대체기준!$D$77:$D$86,0))),"Y","N")))</f>
        <v/>
      </c>
    </row>
    <row r="30">
      <c r="A30" s="92" t="n">
        <v>2025</v>
      </c>
      <c r="B30" s="92" t="n">
        <v>1</v>
      </c>
      <c r="C30" s="92" t="inlineStr">
        <is>
          <t>5100000026</t>
        </is>
      </c>
      <c r="D30" s="95" t="n">
        <v>45661</v>
      </c>
      <c r="E30" s="92" t="inlineStr">
        <is>
          <t>KR</t>
        </is>
      </c>
      <c r="F30" s="92" t="n">
        <v>62902000</v>
      </c>
      <c r="G30" s="92" t="n">
        <v>1801</v>
      </c>
      <c r="H30" s="93" t="n">
        <v>1790000</v>
      </c>
      <c r="I30" s="92" t="inlineStr">
        <is>
          <t>1월 콜 위탁 수수료(건별)</t>
        </is>
      </c>
      <c r="J30" s="92" t="inlineStr">
        <is>
          <t>V10016</t>
        </is>
      </c>
      <c r="K30" s="92" t="inlineStr">
        <is>
          <t>J콜센터</t>
        </is>
      </c>
      <c r="M30" s="9">
        <f>IF($A30="","",VALUE($A30&amp;"")*12+VALUE($B30&amp;""))</f>
        <v/>
      </c>
      <c r="N30" s="64">
        <f>IF($A30="","",IFERROR(INDEX(부서매핑!$C$5:$C$504,MATCH($G30&amp;"",부서매핑!$A$5:$A$504,0)),"미매핑"))</f>
        <v/>
      </c>
      <c r="O30" s="9">
        <f>IF($A30="","",N30&amp;"|"&amp;$F30)</f>
        <v/>
      </c>
      <c r="P30" s="94">
        <f>IF($A30="",0,$H30*설정!$C$23)</f>
        <v/>
      </c>
      <c r="Q30" s="64">
        <f>IF($A30="","",IF(O30&lt;&gt;원인분석!$C$9,"",IF(AND(M30&gt;=원인분석!$C$10,M30&lt;=원인분석!$C$11),"당기",IF(AND(M30&gt;=원인분석!$C$12,M30&lt;=원인분석!$C$13),"비교",""))))</f>
        <v/>
      </c>
      <c r="R30" s="9">
        <f>IF(Q30="","",$K30&amp;"")</f>
        <v/>
      </c>
      <c r="S30" s="9">
        <f>IF(Q30="","",IF(MATCH(R30,$R$5:$R$100000,0)=ROW()-4,ROW(),""))</f>
        <v/>
      </c>
      <c r="T30" s="9">
        <f>IF(Q30="당기",ABS(P30)+ROW()/1000000000,"")</f>
        <v/>
      </c>
      <c r="U30" s="9">
        <f>IF(Q30="비교",ABS(P30)+ROW()/1000000000,"")</f>
        <v/>
      </c>
      <c r="V30" s="64">
        <f>IF($A30="","",IF(COUNTIF(변동분석!$E$7:$E$506,O30)&gt;0,"Y","N"))</f>
        <v/>
      </c>
      <c r="W30" s="64">
        <f>IF($A30="","",IFERROR(INDEX(계정매핑!$D$5:$D$504,MATCH($F30&amp;"",계정매핑!$A$5:$A$504,0)),"미매핑"))</f>
        <v/>
      </c>
      <c r="X30" s="9">
        <f>IF($A30="","",$F30&amp;"")</f>
        <v/>
      </c>
      <c r="Y30" s="94">
        <f>IF($A30="",0,IF(AE30="직접",IF(AF30="비귀속",$P30,0),$P30*(1-AG30)*IFERROR(INDEX(계정대체기준!$F$20:$F$49,MATCH($N30,계정대체기준!$A$20:$A$49,0)),1)))</f>
        <v/>
      </c>
      <c r="Z30" s="94">
        <f>IF($A30="",0,IF(AE30="직접",IF(AF30="신계약비",$P30,0),$P30*(1-AG30)*IFERROR(INDEX(계정대체기준!$C$20:$C$49,MATCH($N30,계정대체기준!$A$20:$A$49,0)),0)))</f>
        <v/>
      </c>
      <c r="AA30" s="94">
        <f>IF($A30="",0,IF(AE30="직접",IF(OR(AF30="유지비",AF30="손해조사비"),$P30,0),$P30*(1-AG30)*IFERROR(INDEX(계정대체기준!$D$20:$D$49,MATCH($N30,계정대체기준!$A$20:$A$49,0)),0)))</f>
        <v/>
      </c>
      <c r="AB30" s="94">
        <f>IF($A30="",0,IF(AE30="직접",IF(AF30="수금비",$P30,0),$P30*(1-AG30)*IFERROR(INDEX(계정대체기준!$E$20:$E$49,MATCH($N30,계정대체기준!$A$20:$A$49,0)),0)))</f>
        <v/>
      </c>
      <c r="AC30" s="9">
        <f>IF(AND($A30&lt;&gt;"",M30=설정!$C$20,Z30&gt;0),Z30+ROW()/1000000000,"")</f>
        <v/>
      </c>
      <c r="AD30" s="94">
        <f>IF($A30="",0,$P30*AG30)</f>
        <v/>
      </c>
      <c r="AE30" s="64">
        <f>IF($A30="","",IFERROR(INDEX(계정매핑!$E$5:$E$504,MATCH($F30&amp;"",계정매핑!$A$5:$A$504,0))&amp;"","공통비"))</f>
        <v/>
      </c>
      <c r="AF30" s="64">
        <f>IF($A30="","",IF(AE30="직접",IFERROR(INDEX(계정매핑!$F$5:$F$504,MATCH($F30&amp;"",계정매핑!$A$5:$A$504,0))&amp;"","비귀속"),""))</f>
        <v/>
      </c>
      <c r="AG30" s="96">
        <f>IF($A30="",0,IF(AND(AE30&lt;&gt;"직접",IFERROR(INDEX(계정매핑!$G$5:$G$504,MATCH($F30&amp;"",계정매핑!$A$5:$A$504,0))&amp;"","")="유지비",COUNTIF(계정대체기준!$A$6:$A$15,$N30)&gt;0),IFERROR(INDEX(계정대체기준!$E$6:$E$15,MATCH(VALUE($A30&amp;""),계정대체기준!$D$6:$D$15,0)),0),0))</f>
        <v/>
      </c>
      <c r="AH30" s="64">
        <f>IF($A30="","",IF(AD30=0,"",IF(OR(COUNTIF(계정대체기준!$A$77:$A$86,$N30)&gt;0,ISNUMBER(MATCH($X30,계정대체기준!$D$77:$D$86,0)),ISNUMBER(MATCH($F30,계정대체기준!$D$77:$D$86,0))),"Y","N")))</f>
        <v/>
      </c>
    </row>
    <row r="31">
      <c r="A31" s="92" t="n">
        <v>2025</v>
      </c>
      <c r="B31" s="92" t="n">
        <v>1</v>
      </c>
      <c r="C31" s="92" t="inlineStr">
        <is>
          <t>5100000027</t>
        </is>
      </c>
      <c r="D31" s="95" t="n">
        <v>45661</v>
      </c>
      <c r="E31" s="92" t="inlineStr">
        <is>
          <t>KR</t>
        </is>
      </c>
      <c r="F31" s="92" t="n">
        <v>63001000</v>
      </c>
      <c r="G31" s="92" t="n">
        <v>1951</v>
      </c>
      <c r="H31" s="93" t="n">
        <v>2223000</v>
      </c>
      <c r="I31" s="92" t="inlineStr">
        <is>
          <t>1월 SW 유지보수 - Y소프트</t>
        </is>
      </c>
      <c r="J31" s="92" t="inlineStr">
        <is>
          <t>V10017</t>
        </is>
      </c>
      <c r="K31" s="92" t="inlineStr">
        <is>
          <t>Y소프트</t>
        </is>
      </c>
      <c r="M31" s="9">
        <f>IF($A31="","",VALUE($A31&amp;"")*12+VALUE($B31&amp;""))</f>
        <v/>
      </c>
      <c r="N31" s="64">
        <f>IF($A31="","",IFERROR(INDEX(부서매핑!$C$5:$C$504,MATCH($G31&amp;"",부서매핑!$A$5:$A$504,0)),"미매핑"))</f>
        <v/>
      </c>
      <c r="O31" s="9">
        <f>IF($A31="","",N31&amp;"|"&amp;$F31)</f>
        <v/>
      </c>
      <c r="P31" s="94">
        <f>IF($A31="",0,$H31*설정!$C$23)</f>
        <v/>
      </c>
      <c r="Q31" s="64">
        <f>IF($A31="","",IF(O31&lt;&gt;원인분석!$C$9,"",IF(AND(M31&gt;=원인분석!$C$10,M31&lt;=원인분석!$C$11),"당기",IF(AND(M31&gt;=원인분석!$C$12,M31&lt;=원인분석!$C$13),"비교",""))))</f>
        <v/>
      </c>
      <c r="R31" s="9">
        <f>IF(Q31="","",$K31&amp;"")</f>
        <v/>
      </c>
      <c r="S31" s="9">
        <f>IF(Q31="","",IF(MATCH(R31,$R$5:$R$100000,0)=ROW()-4,ROW(),""))</f>
        <v/>
      </c>
      <c r="T31" s="9">
        <f>IF(Q31="당기",ABS(P31)+ROW()/1000000000,"")</f>
        <v/>
      </c>
      <c r="U31" s="9">
        <f>IF(Q31="비교",ABS(P31)+ROW()/1000000000,"")</f>
        <v/>
      </c>
      <c r="V31" s="64">
        <f>IF($A31="","",IF(COUNTIF(변동분석!$E$7:$E$506,O31)&gt;0,"Y","N"))</f>
        <v/>
      </c>
      <c r="W31" s="64">
        <f>IF($A31="","",IFERROR(INDEX(계정매핑!$D$5:$D$504,MATCH($F31&amp;"",계정매핑!$A$5:$A$504,0)),"미매핑"))</f>
        <v/>
      </c>
      <c r="X31" s="9">
        <f>IF($A31="","",$F31&amp;"")</f>
        <v/>
      </c>
      <c r="Y31" s="94">
        <f>IF($A31="",0,IF(AE31="직접",IF(AF31="비귀속",$P31,0),$P31*(1-AG31)*IFERROR(INDEX(계정대체기준!$F$20:$F$49,MATCH($N31,계정대체기준!$A$20:$A$49,0)),1)))</f>
        <v/>
      </c>
      <c r="Z31" s="94">
        <f>IF($A31="",0,IF(AE31="직접",IF(AF31="신계약비",$P31,0),$P31*(1-AG31)*IFERROR(INDEX(계정대체기준!$C$20:$C$49,MATCH($N31,계정대체기준!$A$20:$A$49,0)),0)))</f>
        <v/>
      </c>
      <c r="AA31" s="94">
        <f>IF($A31="",0,IF(AE31="직접",IF(OR(AF31="유지비",AF31="손해조사비"),$P31,0),$P31*(1-AG31)*IFERROR(INDEX(계정대체기준!$D$20:$D$49,MATCH($N31,계정대체기준!$A$20:$A$49,0)),0)))</f>
        <v/>
      </c>
      <c r="AB31" s="94">
        <f>IF($A31="",0,IF(AE31="직접",IF(AF31="수금비",$P31,0),$P31*(1-AG31)*IFERROR(INDEX(계정대체기준!$E$20:$E$49,MATCH($N31,계정대체기준!$A$20:$A$49,0)),0)))</f>
        <v/>
      </c>
      <c r="AC31" s="9">
        <f>IF(AND($A31&lt;&gt;"",M31=설정!$C$20,Z31&gt;0),Z31+ROW()/1000000000,"")</f>
        <v/>
      </c>
      <c r="AD31" s="94">
        <f>IF($A31="",0,$P31*AG31)</f>
        <v/>
      </c>
      <c r="AE31" s="64">
        <f>IF($A31="","",IFERROR(INDEX(계정매핑!$E$5:$E$504,MATCH($F31&amp;"",계정매핑!$A$5:$A$504,0))&amp;"","공통비"))</f>
        <v/>
      </c>
      <c r="AF31" s="64">
        <f>IF($A31="","",IF(AE31="직접",IFERROR(INDEX(계정매핑!$F$5:$F$504,MATCH($F31&amp;"",계정매핑!$A$5:$A$504,0))&amp;"","비귀속"),""))</f>
        <v/>
      </c>
      <c r="AG31" s="96">
        <f>IF($A31="",0,IF(AND(AE31&lt;&gt;"직접",IFERROR(INDEX(계정매핑!$G$5:$G$504,MATCH($F31&amp;"",계정매핑!$A$5:$A$504,0))&amp;"","")="유지비",COUNTIF(계정대체기준!$A$6:$A$15,$N31)&gt;0),IFERROR(INDEX(계정대체기준!$E$6:$E$15,MATCH(VALUE($A31&amp;""),계정대체기준!$D$6:$D$15,0)),0),0))</f>
        <v/>
      </c>
      <c r="AH31" s="64">
        <f>IF($A31="","",IF(AD31=0,"",IF(OR(COUNTIF(계정대체기준!$A$77:$A$86,$N31)&gt;0,ISNUMBER(MATCH($X31,계정대체기준!$D$77:$D$86,0)),ISNUMBER(MATCH($F31,계정대체기준!$D$77:$D$86,0))),"Y","N")))</f>
        <v/>
      </c>
    </row>
    <row r="32">
      <c r="A32" s="92" t="n">
        <v>2025</v>
      </c>
      <c r="B32" s="92" t="n">
        <v>1</v>
      </c>
      <c r="C32" s="92" t="inlineStr">
        <is>
          <t>5100000028</t>
        </is>
      </c>
      <c r="D32" s="95" t="n">
        <v>45662</v>
      </c>
      <c r="E32" s="92" t="inlineStr">
        <is>
          <t>KR</t>
        </is>
      </c>
      <c r="F32" s="92" t="n">
        <v>62101000</v>
      </c>
      <c r="G32" s="92" t="n">
        <v>1201</v>
      </c>
      <c r="H32" s="93" t="n">
        <v>145000</v>
      </c>
      <c r="I32" s="92" t="inlineStr">
        <is>
          <t>1월 국내출장 - (법인카드)</t>
        </is>
      </c>
      <c r="J32" s="92" t="inlineStr">
        <is>
          <t>V10010</t>
        </is>
      </c>
      <c r="K32" s="92" t="inlineStr">
        <is>
          <t>(법인카드)</t>
        </is>
      </c>
      <c r="M32" s="9">
        <f>IF($A32="","",VALUE($A32&amp;"")*12+VALUE($B32&amp;""))</f>
        <v/>
      </c>
      <c r="N32" s="64">
        <f>IF($A32="","",IFERROR(INDEX(부서매핑!$C$5:$C$504,MATCH($G32&amp;"",부서매핑!$A$5:$A$504,0)),"미매핑"))</f>
        <v/>
      </c>
      <c r="O32" s="9">
        <f>IF($A32="","",N32&amp;"|"&amp;$F32)</f>
        <v/>
      </c>
      <c r="P32" s="94">
        <f>IF($A32="",0,$H32*설정!$C$23)</f>
        <v/>
      </c>
      <c r="Q32" s="64">
        <f>IF($A32="","",IF(O32&lt;&gt;원인분석!$C$9,"",IF(AND(M32&gt;=원인분석!$C$10,M32&lt;=원인분석!$C$11),"당기",IF(AND(M32&gt;=원인분석!$C$12,M32&lt;=원인분석!$C$13),"비교",""))))</f>
        <v/>
      </c>
      <c r="R32" s="9">
        <f>IF(Q32="","",$K32&amp;"")</f>
        <v/>
      </c>
      <c r="S32" s="9">
        <f>IF(Q32="","",IF(MATCH(R32,$R$5:$R$100000,0)=ROW()-4,ROW(),""))</f>
        <v/>
      </c>
      <c r="T32" s="9">
        <f>IF(Q32="당기",ABS(P32)+ROW()/1000000000,"")</f>
        <v/>
      </c>
      <c r="U32" s="9">
        <f>IF(Q32="비교",ABS(P32)+ROW()/1000000000,"")</f>
        <v/>
      </c>
      <c r="V32" s="64">
        <f>IF($A32="","",IF(COUNTIF(변동분석!$E$7:$E$506,O32)&gt;0,"Y","N"))</f>
        <v/>
      </c>
      <c r="W32" s="64">
        <f>IF($A32="","",IFERROR(INDEX(계정매핑!$D$5:$D$504,MATCH($F32&amp;"",계정매핑!$A$5:$A$504,0)),"미매핑"))</f>
        <v/>
      </c>
      <c r="X32" s="9">
        <f>IF($A32="","",$F32&amp;"")</f>
        <v/>
      </c>
      <c r="Y32" s="94">
        <f>IF($A32="",0,IF(AE32="직접",IF(AF32="비귀속",$P32,0),$P32*(1-AG32)*IFERROR(INDEX(계정대체기준!$F$20:$F$49,MATCH($N32,계정대체기준!$A$20:$A$49,0)),1)))</f>
        <v/>
      </c>
      <c r="Z32" s="94">
        <f>IF($A32="",0,IF(AE32="직접",IF(AF32="신계약비",$P32,0),$P32*(1-AG32)*IFERROR(INDEX(계정대체기준!$C$20:$C$49,MATCH($N32,계정대체기준!$A$20:$A$49,0)),0)))</f>
        <v/>
      </c>
      <c r="AA32" s="94">
        <f>IF($A32="",0,IF(AE32="직접",IF(OR(AF32="유지비",AF32="손해조사비"),$P32,0),$P32*(1-AG32)*IFERROR(INDEX(계정대체기준!$D$20:$D$49,MATCH($N32,계정대체기준!$A$20:$A$49,0)),0)))</f>
        <v/>
      </c>
      <c r="AB32" s="94">
        <f>IF($A32="",0,IF(AE32="직접",IF(AF32="수금비",$P32,0),$P32*(1-AG32)*IFERROR(INDEX(계정대체기준!$E$20:$E$49,MATCH($N32,계정대체기준!$A$20:$A$49,0)),0)))</f>
        <v/>
      </c>
      <c r="AC32" s="9">
        <f>IF(AND($A32&lt;&gt;"",M32=설정!$C$20,Z32&gt;0),Z32+ROW()/1000000000,"")</f>
        <v/>
      </c>
      <c r="AD32" s="94">
        <f>IF($A32="",0,$P32*AG32)</f>
        <v/>
      </c>
      <c r="AE32" s="64">
        <f>IF($A32="","",IFERROR(INDEX(계정매핑!$E$5:$E$504,MATCH($F32&amp;"",계정매핑!$A$5:$A$504,0))&amp;"","공통비"))</f>
        <v/>
      </c>
      <c r="AF32" s="64">
        <f>IF($A32="","",IF(AE32="직접",IFERROR(INDEX(계정매핑!$F$5:$F$504,MATCH($F32&amp;"",계정매핑!$A$5:$A$504,0))&amp;"","비귀속"),""))</f>
        <v/>
      </c>
      <c r="AG32" s="96">
        <f>IF($A32="",0,IF(AND(AE32&lt;&gt;"직접",IFERROR(INDEX(계정매핑!$G$5:$G$504,MATCH($F32&amp;"",계정매핑!$A$5:$A$504,0))&amp;"","")="유지비",COUNTIF(계정대체기준!$A$6:$A$15,$N32)&gt;0),IFERROR(INDEX(계정대체기준!$E$6:$E$15,MATCH(VALUE($A32&amp;""),계정대체기준!$D$6:$D$15,0)),0),0))</f>
        <v/>
      </c>
      <c r="AH32" s="64">
        <f>IF($A32="","",IF(AD32=0,"",IF(OR(COUNTIF(계정대체기준!$A$77:$A$86,$N32)&gt;0,ISNUMBER(MATCH($X32,계정대체기준!$D$77:$D$86,0)),ISNUMBER(MATCH($F32,계정대체기준!$D$77:$D$86,0))),"Y","N")))</f>
        <v/>
      </c>
    </row>
    <row r="33">
      <c r="A33" s="92" t="n">
        <v>2025</v>
      </c>
      <c r="B33" s="92" t="n">
        <v>1</v>
      </c>
      <c r="C33" s="92" t="inlineStr">
        <is>
          <t>5100000029</t>
        </is>
      </c>
      <c r="D33" s="95" t="n">
        <v>45662</v>
      </c>
      <c r="E33" s="92" t="inlineStr">
        <is>
          <t>KR</t>
        </is>
      </c>
      <c r="F33" s="92" t="n">
        <v>62101000</v>
      </c>
      <c r="G33" s="92" t="n">
        <v>1301</v>
      </c>
      <c r="H33" s="93" t="n">
        <v>230000</v>
      </c>
      <c r="I33" s="92" t="inlineStr">
        <is>
          <t>1월 국내출장 - (법인카드)</t>
        </is>
      </c>
      <c r="J33" s="92" t="inlineStr">
        <is>
          <t>V10010</t>
        </is>
      </c>
      <c r="K33" s="92" t="inlineStr">
        <is>
          <t>(법인카드)</t>
        </is>
      </c>
      <c r="M33" s="9">
        <f>IF($A33="","",VALUE($A33&amp;"")*12+VALUE($B33&amp;""))</f>
        <v/>
      </c>
      <c r="N33" s="64">
        <f>IF($A33="","",IFERROR(INDEX(부서매핑!$C$5:$C$504,MATCH($G33&amp;"",부서매핑!$A$5:$A$504,0)),"미매핑"))</f>
        <v/>
      </c>
      <c r="O33" s="9">
        <f>IF($A33="","",N33&amp;"|"&amp;$F33)</f>
        <v/>
      </c>
      <c r="P33" s="94">
        <f>IF($A33="",0,$H33*설정!$C$23)</f>
        <v/>
      </c>
      <c r="Q33" s="64">
        <f>IF($A33="","",IF(O33&lt;&gt;원인분석!$C$9,"",IF(AND(M33&gt;=원인분석!$C$10,M33&lt;=원인분석!$C$11),"당기",IF(AND(M33&gt;=원인분석!$C$12,M33&lt;=원인분석!$C$13),"비교",""))))</f>
        <v/>
      </c>
      <c r="R33" s="9">
        <f>IF(Q33="","",$K33&amp;"")</f>
        <v/>
      </c>
      <c r="S33" s="9">
        <f>IF(Q33="","",IF(MATCH(R33,$R$5:$R$100000,0)=ROW()-4,ROW(),""))</f>
        <v/>
      </c>
      <c r="T33" s="9">
        <f>IF(Q33="당기",ABS(P33)+ROW()/1000000000,"")</f>
        <v/>
      </c>
      <c r="U33" s="9">
        <f>IF(Q33="비교",ABS(P33)+ROW()/1000000000,"")</f>
        <v/>
      </c>
      <c r="V33" s="64">
        <f>IF($A33="","",IF(COUNTIF(변동분석!$E$7:$E$506,O33)&gt;0,"Y","N"))</f>
        <v/>
      </c>
      <c r="W33" s="64">
        <f>IF($A33="","",IFERROR(INDEX(계정매핑!$D$5:$D$504,MATCH($F33&amp;"",계정매핑!$A$5:$A$504,0)),"미매핑"))</f>
        <v/>
      </c>
      <c r="X33" s="9">
        <f>IF($A33="","",$F33&amp;"")</f>
        <v/>
      </c>
      <c r="Y33" s="94">
        <f>IF($A33="",0,IF(AE33="직접",IF(AF33="비귀속",$P33,0),$P33*(1-AG33)*IFERROR(INDEX(계정대체기준!$F$20:$F$49,MATCH($N33,계정대체기준!$A$20:$A$49,0)),1)))</f>
        <v/>
      </c>
      <c r="Z33" s="94">
        <f>IF($A33="",0,IF(AE33="직접",IF(AF33="신계약비",$P33,0),$P33*(1-AG33)*IFERROR(INDEX(계정대체기준!$C$20:$C$49,MATCH($N33,계정대체기준!$A$20:$A$49,0)),0)))</f>
        <v/>
      </c>
      <c r="AA33" s="94">
        <f>IF($A33="",0,IF(AE33="직접",IF(OR(AF33="유지비",AF33="손해조사비"),$P33,0),$P33*(1-AG33)*IFERROR(INDEX(계정대체기준!$D$20:$D$49,MATCH($N33,계정대체기준!$A$20:$A$49,0)),0)))</f>
        <v/>
      </c>
      <c r="AB33" s="94">
        <f>IF($A33="",0,IF(AE33="직접",IF(AF33="수금비",$P33,0),$P33*(1-AG33)*IFERROR(INDEX(계정대체기준!$E$20:$E$49,MATCH($N33,계정대체기준!$A$20:$A$49,0)),0)))</f>
        <v/>
      </c>
      <c r="AC33" s="9">
        <f>IF(AND($A33&lt;&gt;"",M33=설정!$C$20,Z33&gt;0),Z33+ROW()/1000000000,"")</f>
        <v/>
      </c>
      <c r="AD33" s="94">
        <f>IF($A33="",0,$P33*AG33)</f>
        <v/>
      </c>
      <c r="AE33" s="64">
        <f>IF($A33="","",IFERROR(INDEX(계정매핑!$E$5:$E$504,MATCH($F33&amp;"",계정매핑!$A$5:$A$504,0))&amp;"","공통비"))</f>
        <v/>
      </c>
      <c r="AF33" s="64">
        <f>IF($A33="","",IF(AE33="직접",IFERROR(INDEX(계정매핑!$F$5:$F$504,MATCH($F33&amp;"",계정매핑!$A$5:$A$504,0))&amp;"","비귀속"),""))</f>
        <v/>
      </c>
      <c r="AG33" s="96">
        <f>IF($A33="",0,IF(AND(AE33&lt;&gt;"직접",IFERROR(INDEX(계정매핑!$G$5:$G$504,MATCH($F33&amp;"",계정매핑!$A$5:$A$504,0))&amp;"","")="유지비",COUNTIF(계정대체기준!$A$6:$A$15,$N33)&gt;0),IFERROR(INDEX(계정대체기준!$E$6:$E$15,MATCH(VALUE($A33&amp;""),계정대체기준!$D$6:$D$15,0)),0),0))</f>
        <v/>
      </c>
      <c r="AH33" s="64">
        <f>IF($A33="","",IF(AD33=0,"",IF(OR(COUNTIF(계정대체기준!$A$77:$A$86,$N33)&gt;0,ISNUMBER(MATCH($X33,계정대체기준!$D$77:$D$86,0)),ISNUMBER(MATCH($F33,계정대체기준!$D$77:$D$86,0))),"Y","N")))</f>
        <v/>
      </c>
    </row>
    <row r="34">
      <c r="A34" s="92" t="n">
        <v>2025</v>
      </c>
      <c r="B34" s="92" t="n">
        <v>1</v>
      </c>
      <c r="C34" s="92" t="inlineStr">
        <is>
          <t>5100000030</t>
        </is>
      </c>
      <c r="D34" s="95" t="n">
        <v>45662</v>
      </c>
      <c r="E34" s="92" t="inlineStr">
        <is>
          <t>KR</t>
        </is>
      </c>
      <c r="F34" s="92" t="n">
        <v>62101000</v>
      </c>
      <c r="G34" s="92" t="n">
        <v>1401</v>
      </c>
      <c r="H34" s="93" t="n">
        <v>389000</v>
      </c>
      <c r="I34" s="92" t="inlineStr">
        <is>
          <t>1월 국내출장 - (법인카드)</t>
        </is>
      </c>
      <c r="J34" s="92" t="inlineStr">
        <is>
          <t>V10010</t>
        </is>
      </c>
      <c r="K34" s="92" t="inlineStr">
        <is>
          <t>(법인카드)</t>
        </is>
      </c>
      <c r="M34" s="9">
        <f>IF($A34="","",VALUE($A34&amp;"")*12+VALUE($B34&amp;""))</f>
        <v/>
      </c>
      <c r="N34" s="64">
        <f>IF($A34="","",IFERROR(INDEX(부서매핑!$C$5:$C$504,MATCH($G34&amp;"",부서매핑!$A$5:$A$504,0)),"미매핑"))</f>
        <v/>
      </c>
      <c r="O34" s="9">
        <f>IF($A34="","",N34&amp;"|"&amp;$F34)</f>
        <v/>
      </c>
      <c r="P34" s="94">
        <f>IF($A34="",0,$H34*설정!$C$23)</f>
        <v/>
      </c>
      <c r="Q34" s="64">
        <f>IF($A34="","",IF(O34&lt;&gt;원인분석!$C$9,"",IF(AND(M34&gt;=원인분석!$C$10,M34&lt;=원인분석!$C$11),"당기",IF(AND(M34&gt;=원인분석!$C$12,M34&lt;=원인분석!$C$13),"비교",""))))</f>
        <v/>
      </c>
      <c r="R34" s="9">
        <f>IF(Q34="","",$K34&amp;"")</f>
        <v/>
      </c>
      <c r="S34" s="9">
        <f>IF(Q34="","",IF(MATCH(R34,$R$5:$R$100000,0)=ROW()-4,ROW(),""))</f>
        <v/>
      </c>
      <c r="T34" s="9">
        <f>IF(Q34="당기",ABS(P34)+ROW()/1000000000,"")</f>
        <v/>
      </c>
      <c r="U34" s="9">
        <f>IF(Q34="비교",ABS(P34)+ROW()/1000000000,"")</f>
        <v/>
      </c>
      <c r="V34" s="64">
        <f>IF($A34="","",IF(COUNTIF(변동분석!$E$7:$E$506,O34)&gt;0,"Y","N"))</f>
        <v/>
      </c>
      <c r="W34" s="64">
        <f>IF($A34="","",IFERROR(INDEX(계정매핑!$D$5:$D$504,MATCH($F34&amp;"",계정매핑!$A$5:$A$504,0)),"미매핑"))</f>
        <v/>
      </c>
      <c r="X34" s="9">
        <f>IF($A34="","",$F34&amp;"")</f>
        <v/>
      </c>
      <c r="Y34" s="94">
        <f>IF($A34="",0,IF(AE34="직접",IF(AF34="비귀속",$P34,0),$P34*(1-AG34)*IFERROR(INDEX(계정대체기준!$F$20:$F$49,MATCH($N34,계정대체기준!$A$20:$A$49,0)),1)))</f>
        <v/>
      </c>
      <c r="Z34" s="94">
        <f>IF($A34="",0,IF(AE34="직접",IF(AF34="신계약비",$P34,0),$P34*(1-AG34)*IFERROR(INDEX(계정대체기준!$C$20:$C$49,MATCH($N34,계정대체기준!$A$20:$A$49,0)),0)))</f>
        <v/>
      </c>
      <c r="AA34" s="94">
        <f>IF($A34="",0,IF(AE34="직접",IF(OR(AF34="유지비",AF34="손해조사비"),$P34,0),$P34*(1-AG34)*IFERROR(INDEX(계정대체기준!$D$20:$D$49,MATCH($N34,계정대체기준!$A$20:$A$49,0)),0)))</f>
        <v/>
      </c>
      <c r="AB34" s="94">
        <f>IF($A34="",0,IF(AE34="직접",IF(AF34="수금비",$P34,0),$P34*(1-AG34)*IFERROR(INDEX(계정대체기준!$E$20:$E$49,MATCH($N34,계정대체기준!$A$20:$A$49,0)),0)))</f>
        <v/>
      </c>
      <c r="AC34" s="9">
        <f>IF(AND($A34&lt;&gt;"",M34=설정!$C$20,Z34&gt;0),Z34+ROW()/1000000000,"")</f>
        <v/>
      </c>
      <c r="AD34" s="94">
        <f>IF($A34="",0,$P34*AG34)</f>
        <v/>
      </c>
      <c r="AE34" s="64">
        <f>IF($A34="","",IFERROR(INDEX(계정매핑!$E$5:$E$504,MATCH($F34&amp;"",계정매핑!$A$5:$A$504,0))&amp;"","공통비"))</f>
        <v/>
      </c>
      <c r="AF34" s="64">
        <f>IF($A34="","",IF(AE34="직접",IFERROR(INDEX(계정매핑!$F$5:$F$504,MATCH($F34&amp;"",계정매핑!$A$5:$A$504,0))&amp;"","비귀속"),""))</f>
        <v/>
      </c>
      <c r="AG34" s="96">
        <f>IF($A34="",0,IF(AND(AE34&lt;&gt;"직접",IFERROR(INDEX(계정매핑!$G$5:$G$504,MATCH($F34&amp;"",계정매핑!$A$5:$A$504,0))&amp;"","")="유지비",COUNTIF(계정대체기준!$A$6:$A$15,$N34)&gt;0),IFERROR(INDEX(계정대체기준!$E$6:$E$15,MATCH(VALUE($A34&amp;""),계정대체기준!$D$6:$D$15,0)),0),0))</f>
        <v/>
      </c>
      <c r="AH34" s="64">
        <f>IF($A34="","",IF(AD34=0,"",IF(OR(COUNTIF(계정대체기준!$A$77:$A$86,$N34)&gt;0,ISNUMBER(MATCH($X34,계정대체기준!$D$77:$D$86,0)),ISNUMBER(MATCH($F34,계정대체기준!$D$77:$D$86,0))),"Y","N")))</f>
        <v/>
      </c>
    </row>
    <row r="35">
      <c r="A35" s="92" t="n">
        <v>2025</v>
      </c>
      <c r="B35" s="92" t="n">
        <v>1</v>
      </c>
      <c r="C35" s="92" t="inlineStr">
        <is>
          <t>5100000031</t>
        </is>
      </c>
      <c r="D35" s="95" t="n">
        <v>45662</v>
      </c>
      <c r="E35" s="92" t="inlineStr">
        <is>
          <t>KR</t>
        </is>
      </c>
      <c r="F35" s="92" t="n">
        <v>62102000</v>
      </c>
      <c r="G35" s="92" t="n">
        <v>1501</v>
      </c>
      <c r="H35" s="93" t="n">
        <v>115000</v>
      </c>
      <c r="I35" s="92" t="inlineStr">
        <is>
          <t>1월 해외출장 - N호텔</t>
        </is>
      </c>
      <c r="J35" s="92" t="inlineStr">
        <is>
          <t>V10009</t>
        </is>
      </c>
      <c r="K35" s="92" t="inlineStr">
        <is>
          <t>N호텔</t>
        </is>
      </c>
      <c r="M35" s="9">
        <f>IF($A35="","",VALUE($A35&amp;"")*12+VALUE($B35&amp;""))</f>
        <v/>
      </c>
      <c r="N35" s="64">
        <f>IF($A35="","",IFERROR(INDEX(부서매핑!$C$5:$C$504,MATCH($G35&amp;"",부서매핑!$A$5:$A$504,0)),"미매핑"))</f>
        <v/>
      </c>
      <c r="O35" s="9">
        <f>IF($A35="","",N35&amp;"|"&amp;$F35)</f>
        <v/>
      </c>
      <c r="P35" s="94">
        <f>IF($A35="",0,$H35*설정!$C$23)</f>
        <v/>
      </c>
      <c r="Q35" s="64">
        <f>IF($A35="","",IF(O35&lt;&gt;원인분석!$C$9,"",IF(AND(M35&gt;=원인분석!$C$10,M35&lt;=원인분석!$C$11),"당기",IF(AND(M35&gt;=원인분석!$C$12,M35&lt;=원인분석!$C$13),"비교",""))))</f>
        <v/>
      </c>
      <c r="R35" s="9">
        <f>IF(Q35="","",$K35&amp;"")</f>
        <v/>
      </c>
      <c r="S35" s="9">
        <f>IF(Q35="","",IF(MATCH(R35,$R$5:$R$100000,0)=ROW()-4,ROW(),""))</f>
        <v/>
      </c>
      <c r="T35" s="9">
        <f>IF(Q35="당기",ABS(P35)+ROW()/1000000000,"")</f>
        <v/>
      </c>
      <c r="U35" s="9">
        <f>IF(Q35="비교",ABS(P35)+ROW()/1000000000,"")</f>
        <v/>
      </c>
      <c r="V35" s="64">
        <f>IF($A35="","",IF(COUNTIF(변동분석!$E$7:$E$506,O35)&gt;0,"Y","N"))</f>
        <v/>
      </c>
      <c r="W35" s="64">
        <f>IF($A35="","",IFERROR(INDEX(계정매핑!$D$5:$D$504,MATCH($F35&amp;"",계정매핑!$A$5:$A$504,0)),"미매핑"))</f>
        <v/>
      </c>
      <c r="X35" s="9">
        <f>IF($A35="","",$F35&amp;"")</f>
        <v/>
      </c>
      <c r="Y35" s="94">
        <f>IF($A35="",0,IF(AE35="직접",IF(AF35="비귀속",$P35,0),$P35*(1-AG35)*IFERROR(INDEX(계정대체기준!$F$20:$F$49,MATCH($N35,계정대체기준!$A$20:$A$49,0)),1)))</f>
        <v/>
      </c>
      <c r="Z35" s="94">
        <f>IF($A35="",0,IF(AE35="직접",IF(AF35="신계약비",$P35,0),$P35*(1-AG35)*IFERROR(INDEX(계정대체기준!$C$20:$C$49,MATCH($N35,계정대체기준!$A$20:$A$49,0)),0)))</f>
        <v/>
      </c>
      <c r="AA35" s="94">
        <f>IF($A35="",0,IF(AE35="직접",IF(OR(AF35="유지비",AF35="손해조사비"),$P35,0),$P35*(1-AG35)*IFERROR(INDEX(계정대체기준!$D$20:$D$49,MATCH($N35,계정대체기준!$A$20:$A$49,0)),0)))</f>
        <v/>
      </c>
      <c r="AB35" s="94">
        <f>IF($A35="",0,IF(AE35="직접",IF(AF35="수금비",$P35,0),$P35*(1-AG35)*IFERROR(INDEX(계정대체기준!$E$20:$E$49,MATCH($N35,계정대체기준!$A$20:$A$49,0)),0)))</f>
        <v/>
      </c>
      <c r="AC35" s="9">
        <f>IF(AND($A35&lt;&gt;"",M35=설정!$C$20,Z35&gt;0),Z35+ROW()/1000000000,"")</f>
        <v/>
      </c>
      <c r="AD35" s="94">
        <f>IF($A35="",0,$P35*AG35)</f>
        <v/>
      </c>
      <c r="AE35" s="64">
        <f>IF($A35="","",IFERROR(INDEX(계정매핑!$E$5:$E$504,MATCH($F35&amp;"",계정매핑!$A$5:$A$504,0))&amp;"","공통비"))</f>
        <v/>
      </c>
      <c r="AF35" s="64">
        <f>IF($A35="","",IF(AE35="직접",IFERROR(INDEX(계정매핑!$F$5:$F$504,MATCH($F35&amp;"",계정매핑!$A$5:$A$504,0))&amp;"","비귀속"),""))</f>
        <v/>
      </c>
      <c r="AG35" s="96">
        <f>IF($A35="",0,IF(AND(AE35&lt;&gt;"직접",IFERROR(INDEX(계정매핑!$G$5:$G$504,MATCH($F35&amp;"",계정매핑!$A$5:$A$504,0))&amp;"","")="유지비",COUNTIF(계정대체기준!$A$6:$A$15,$N35)&gt;0),IFERROR(INDEX(계정대체기준!$E$6:$E$15,MATCH(VALUE($A35&amp;""),계정대체기준!$D$6:$D$15,0)),0),0))</f>
        <v/>
      </c>
      <c r="AH35" s="64">
        <f>IF($A35="","",IF(AD35=0,"",IF(OR(COUNTIF(계정대체기준!$A$77:$A$86,$N35)&gt;0,ISNUMBER(MATCH($X35,계정대체기준!$D$77:$D$86,0)),ISNUMBER(MATCH($F35,계정대체기준!$D$77:$D$86,0))),"Y","N")))</f>
        <v/>
      </c>
    </row>
    <row r="36">
      <c r="A36" s="92" t="n">
        <v>2025</v>
      </c>
      <c r="B36" s="92" t="n">
        <v>1</v>
      </c>
      <c r="C36" s="92" t="inlineStr">
        <is>
          <t>5100000032</t>
        </is>
      </c>
      <c r="D36" s="95" t="n">
        <v>45662</v>
      </c>
      <c r="E36" s="92" t="inlineStr">
        <is>
          <t>KR</t>
        </is>
      </c>
      <c r="F36" s="92" t="n">
        <v>62201000</v>
      </c>
      <c r="G36" s="92" t="n">
        <v>1801</v>
      </c>
      <c r="H36" s="93" t="n">
        <v>4801000</v>
      </c>
      <c r="I36" s="92" t="inlineStr">
        <is>
          <t>1월 통신요금 - O텔레콤</t>
        </is>
      </c>
      <c r="J36" s="92" t="inlineStr">
        <is>
          <t>V10002</t>
        </is>
      </c>
      <c r="K36" s="92" t="inlineStr">
        <is>
          <t>O텔레콤</t>
        </is>
      </c>
      <c r="M36" s="9">
        <f>IF($A36="","",VALUE($A36&amp;"")*12+VALUE($B36&amp;""))</f>
        <v/>
      </c>
      <c r="N36" s="64">
        <f>IF($A36="","",IFERROR(INDEX(부서매핑!$C$5:$C$504,MATCH($G36&amp;"",부서매핑!$A$5:$A$504,0)),"미매핑"))</f>
        <v/>
      </c>
      <c r="O36" s="9">
        <f>IF($A36="","",N36&amp;"|"&amp;$F36)</f>
        <v/>
      </c>
      <c r="P36" s="94">
        <f>IF($A36="",0,$H36*설정!$C$23)</f>
        <v/>
      </c>
      <c r="Q36" s="64">
        <f>IF($A36="","",IF(O36&lt;&gt;원인분석!$C$9,"",IF(AND(M36&gt;=원인분석!$C$10,M36&lt;=원인분석!$C$11),"당기",IF(AND(M36&gt;=원인분석!$C$12,M36&lt;=원인분석!$C$13),"비교",""))))</f>
        <v/>
      </c>
      <c r="R36" s="9">
        <f>IF(Q36="","",$K36&amp;"")</f>
        <v/>
      </c>
      <c r="S36" s="9">
        <f>IF(Q36="","",IF(MATCH(R36,$R$5:$R$100000,0)=ROW()-4,ROW(),""))</f>
        <v/>
      </c>
      <c r="T36" s="9">
        <f>IF(Q36="당기",ABS(P36)+ROW()/1000000000,"")</f>
        <v/>
      </c>
      <c r="U36" s="9">
        <f>IF(Q36="비교",ABS(P36)+ROW()/1000000000,"")</f>
        <v/>
      </c>
      <c r="V36" s="64">
        <f>IF($A36="","",IF(COUNTIF(변동분석!$E$7:$E$506,O36)&gt;0,"Y","N"))</f>
        <v/>
      </c>
      <c r="W36" s="64">
        <f>IF($A36="","",IFERROR(INDEX(계정매핑!$D$5:$D$504,MATCH($F36&amp;"",계정매핑!$A$5:$A$504,0)),"미매핑"))</f>
        <v/>
      </c>
      <c r="X36" s="9">
        <f>IF($A36="","",$F36&amp;"")</f>
        <v/>
      </c>
      <c r="Y36" s="94">
        <f>IF($A36="",0,IF(AE36="직접",IF(AF36="비귀속",$P36,0),$P36*(1-AG36)*IFERROR(INDEX(계정대체기준!$F$20:$F$49,MATCH($N36,계정대체기준!$A$20:$A$49,0)),1)))</f>
        <v/>
      </c>
      <c r="Z36" s="94">
        <f>IF($A36="",0,IF(AE36="직접",IF(AF36="신계약비",$P36,0),$P36*(1-AG36)*IFERROR(INDEX(계정대체기준!$C$20:$C$49,MATCH($N36,계정대체기준!$A$20:$A$49,0)),0)))</f>
        <v/>
      </c>
      <c r="AA36" s="94">
        <f>IF($A36="",0,IF(AE36="직접",IF(OR(AF36="유지비",AF36="손해조사비"),$P36,0),$P36*(1-AG36)*IFERROR(INDEX(계정대체기준!$D$20:$D$49,MATCH($N36,계정대체기준!$A$20:$A$49,0)),0)))</f>
        <v/>
      </c>
      <c r="AB36" s="94">
        <f>IF($A36="",0,IF(AE36="직접",IF(AF36="수금비",$P36,0),$P36*(1-AG36)*IFERROR(INDEX(계정대체기준!$E$20:$E$49,MATCH($N36,계정대체기준!$A$20:$A$49,0)),0)))</f>
        <v/>
      </c>
      <c r="AC36" s="9">
        <f>IF(AND($A36&lt;&gt;"",M36=설정!$C$20,Z36&gt;0),Z36+ROW()/1000000000,"")</f>
        <v/>
      </c>
      <c r="AD36" s="94">
        <f>IF($A36="",0,$P36*AG36)</f>
        <v/>
      </c>
      <c r="AE36" s="64">
        <f>IF($A36="","",IFERROR(INDEX(계정매핑!$E$5:$E$504,MATCH($F36&amp;"",계정매핑!$A$5:$A$504,0))&amp;"","공통비"))</f>
        <v/>
      </c>
      <c r="AF36" s="64">
        <f>IF($A36="","",IF(AE36="직접",IFERROR(INDEX(계정매핑!$F$5:$F$504,MATCH($F36&amp;"",계정매핑!$A$5:$A$504,0))&amp;"","비귀속"),""))</f>
        <v/>
      </c>
      <c r="AG36" s="96">
        <f>IF($A36="",0,IF(AND(AE36&lt;&gt;"직접",IFERROR(INDEX(계정매핑!$G$5:$G$504,MATCH($F36&amp;"",계정매핑!$A$5:$A$504,0))&amp;"","")="유지비",COUNTIF(계정대체기준!$A$6:$A$15,$N36)&gt;0),IFERROR(INDEX(계정대체기준!$E$6:$E$15,MATCH(VALUE($A36&amp;""),계정대체기준!$D$6:$D$15,0)),0),0))</f>
        <v/>
      </c>
      <c r="AH36" s="64">
        <f>IF($A36="","",IF(AD36=0,"",IF(OR(COUNTIF(계정대체기준!$A$77:$A$86,$N36)&gt;0,ISNUMBER(MATCH($X36,계정대체기준!$D$77:$D$86,0)),ISNUMBER(MATCH($F36,계정대체기준!$D$77:$D$86,0))),"Y","N")))</f>
        <v/>
      </c>
    </row>
    <row r="37">
      <c r="A37" s="92" t="n">
        <v>2025</v>
      </c>
      <c r="B37" s="92" t="n">
        <v>1</v>
      </c>
      <c r="C37" s="92" t="inlineStr">
        <is>
          <t>5100000033</t>
        </is>
      </c>
      <c r="D37" s="95" t="n">
        <v>45662</v>
      </c>
      <c r="E37" s="92" t="inlineStr">
        <is>
          <t>KR</t>
        </is>
      </c>
      <c r="F37" s="92" t="n">
        <v>62401000</v>
      </c>
      <c r="G37" s="92" t="n">
        <v>1502</v>
      </c>
      <c r="H37" s="93" t="n">
        <v>1165000</v>
      </c>
      <c r="I37" s="92" t="inlineStr">
        <is>
          <t>1월 인쇄물 제작 - S출판</t>
        </is>
      </c>
      <c r="J37" s="92" t="inlineStr">
        <is>
          <t>V10015</t>
        </is>
      </c>
      <c r="K37" s="92" t="inlineStr">
        <is>
          <t>S출판</t>
        </is>
      </c>
      <c r="M37" s="9">
        <f>IF($A37="","",VALUE($A37&amp;"")*12+VALUE($B37&amp;""))</f>
        <v/>
      </c>
      <c r="N37" s="64">
        <f>IF($A37="","",IFERROR(INDEX(부서매핑!$C$5:$C$504,MATCH($G37&amp;"",부서매핑!$A$5:$A$504,0)),"미매핑"))</f>
        <v/>
      </c>
      <c r="O37" s="9">
        <f>IF($A37="","",N37&amp;"|"&amp;$F37)</f>
        <v/>
      </c>
      <c r="P37" s="94">
        <f>IF($A37="",0,$H37*설정!$C$23)</f>
        <v/>
      </c>
      <c r="Q37" s="64">
        <f>IF($A37="","",IF(O37&lt;&gt;원인분석!$C$9,"",IF(AND(M37&gt;=원인분석!$C$10,M37&lt;=원인분석!$C$11),"당기",IF(AND(M37&gt;=원인분석!$C$12,M37&lt;=원인분석!$C$13),"비교",""))))</f>
        <v/>
      </c>
      <c r="R37" s="9">
        <f>IF(Q37="","",$K37&amp;"")</f>
        <v/>
      </c>
      <c r="S37" s="9">
        <f>IF(Q37="","",IF(MATCH(R37,$R$5:$R$100000,0)=ROW()-4,ROW(),""))</f>
        <v/>
      </c>
      <c r="T37" s="9">
        <f>IF(Q37="당기",ABS(P37)+ROW()/1000000000,"")</f>
        <v/>
      </c>
      <c r="U37" s="9">
        <f>IF(Q37="비교",ABS(P37)+ROW()/1000000000,"")</f>
        <v/>
      </c>
      <c r="V37" s="64">
        <f>IF($A37="","",IF(COUNTIF(변동분석!$E$7:$E$506,O37)&gt;0,"Y","N"))</f>
        <v/>
      </c>
      <c r="W37" s="64">
        <f>IF($A37="","",IFERROR(INDEX(계정매핑!$D$5:$D$504,MATCH($F37&amp;"",계정매핑!$A$5:$A$504,0)),"미매핑"))</f>
        <v/>
      </c>
      <c r="X37" s="9">
        <f>IF($A37="","",$F37&amp;"")</f>
        <v/>
      </c>
      <c r="Y37" s="94">
        <f>IF($A37="",0,IF(AE37="직접",IF(AF37="비귀속",$P37,0),$P37*(1-AG37)*IFERROR(INDEX(계정대체기준!$F$20:$F$49,MATCH($N37,계정대체기준!$A$20:$A$49,0)),1)))</f>
        <v/>
      </c>
      <c r="Z37" s="94">
        <f>IF($A37="",0,IF(AE37="직접",IF(AF37="신계약비",$P37,0),$P37*(1-AG37)*IFERROR(INDEX(계정대체기준!$C$20:$C$49,MATCH($N37,계정대체기준!$A$20:$A$49,0)),0)))</f>
        <v/>
      </c>
      <c r="AA37" s="94">
        <f>IF($A37="",0,IF(AE37="직접",IF(OR(AF37="유지비",AF37="손해조사비"),$P37,0),$P37*(1-AG37)*IFERROR(INDEX(계정대체기준!$D$20:$D$49,MATCH($N37,계정대체기준!$A$20:$A$49,0)),0)))</f>
        <v/>
      </c>
      <c r="AB37" s="94">
        <f>IF($A37="",0,IF(AE37="직접",IF(AF37="수금비",$P37,0),$P37*(1-AG37)*IFERROR(INDEX(계정대체기준!$E$20:$E$49,MATCH($N37,계정대체기준!$A$20:$A$49,0)),0)))</f>
        <v/>
      </c>
      <c r="AC37" s="9">
        <f>IF(AND($A37&lt;&gt;"",M37=설정!$C$20,Z37&gt;0),Z37+ROW()/1000000000,"")</f>
        <v/>
      </c>
      <c r="AD37" s="94">
        <f>IF($A37="",0,$P37*AG37)</f>
        <v/>
      </c>
      <c r="AE37" s="64">
        <f>IF($A37="","",IFERROR(INDEX(계정매핑!$E$5:$E$504,MATCH($F37&amp;"",계정매핑!$A$5:$A$504,0))&amp;"","공통비"))</f>
        <v/>
      </c>
      <c r="AF37" s="64">
        <f>IF($A37="","",IF(AE37="직접",IFERROR(INDEX(계정매핑!$F$5:$F$504,MATCH($F37&amp;"",계정매핑!$A$5:$A$504,0))&amp;"","비귀속"),""))</f>
        <v/>
      </c>
      <c r="AG37" s="96">
        <f>IF($A37="",0,IF(AND(AE37&lt;&gt;"직접",IFERROR(INDEX(계정매핑!$G$5:$G$504,MATCH($F37&amp;"",계정매핑!$A$5:$A$504,0))&amp;"","")="유지비",COUNTIF(계정대체기준!$A$6:$A$15,$N37)&gt;0),IFERROR(INDEX(계정대체기준!$E$6:$E$15,MATCH(VALUE($A37&amp;""),계정대체기준!$D$6:$D$15,0)),0),0))</f>
        <v/>
      </c>
      <c r="AH37" s="64">
        <f>IF($A37="","",IF(AD37=0,"",IF(OR(COUNTIF(계정대체기준!$A$77:$A$86,$N37)&gt;0,ISNUMBER(MATCH($X37,계정대체기준!$D$77:$D$86,0)),ISNUMBER(MATCH($F37,계정대체기준!$D$77:$D$86,0))),"Y","N")))</f>
        <v/>
      </c>
    </row>
    <row r="38">
      <c r="A38" s="92" t="n">
        <v>2025</v>
      </c>
      <c r="B38" s="92" t="n">
        <v>1</v>
      </c>
      <c r="C38" s="92" t="inlineStr">
        <is>
          <t>5100000034</t>
        </is>
      </c>
      <c r="D38" s="95" t="n">
        <v>45662</v>
      </c>
      <c r="E38" s="92" t="inlineStr">
        <is>
          <t>KR</t>
        </is>
      </c>
      <c r="F38" s="92" t="n">
        <v>62501000</v>
      </c>
      <c r="G38" s="92" t="n">
        <v>1301</v>
      </c>
      <c r="H38" s="93" t="n">
        <v>114000</v>
      </c>
      <c r="I38" s="92" t="inlineStr">
        <is>
          <t>1월 회의 다과 - (법인카드)</t>
        </is>
      </c>
      <c r="J38" s="92" t="inlineStr">
        <is>
          <t>V10010</t>
        </is>
      </c>
      <c r="K38" s="92" t="inlineStr">
        <is>
          <t>(법인카드)</t>
        </is>
      </c>
      <c r="M38" s="9">
        <f>IF($A38="","",VALUE($A38&amp;"")*12+VALUE($B38&amp;""))</f>
        <v/>
      </c>
      <c r="N38" s="64">
        <f>IF($A38="","",IFERROR(INDEX(부서매핑!$C$5:$C$504,MATCH($G38&amp;"",부서매핑!$A$5:$A$504,0)),"미매핑"))</f>
        <v/>
      </c>
      <c r="O38" s="9">
        <f>IF($A38="","",N38&amp;"|"&amp;$F38)</f>
        <v/>
      </c>
      <c r="P38" s="94">
        <f>IF($A38="",0,$H38*설정!$C$23)</f>
        <v/>
      </c>
      <c r="Q38" s="64">
        <f>IF($A38="","",IF(O38&lt;&gt;원인분석!$C$9,"",IF(AND(M38&gt;=원인분석!$C$10,M38&lt;=원인분석!$C$11),"당기",IF(AND(M38&gt;=원인분석!$C$12,M38&lt;=원인분석!$C$13),"비교",""))))</f>
        <v/>
      </c>
      <c r="R38" s="9">
        <f>IF(Q38="","",$K38&amp;"")</f>
        <v/>
      </c>
      <c r="S38" s="9">
        <f>IF(Q38="","",IF(MATCH(R38,$R$5:$R$100000,0)=ROW()-4,ROW(),""))</f>
        <v/>
      </c>
      <c r="T38" s="9">
        <f>IF(Q38="당기",ABS(P38)+ROW()/1000000000,"")</f>
        <v/>
      </c>
      <c r="U38" s="9">
        <f>IF(Q38="비교",ABS(P38)+ROW()/1000000000,"")</f>
        <v/>
      </c>
      <c r="V38" s="64">
        <f>IF($A38="","",IF(COUNTIF(변동분석!$E$7:$E$506,O38)&gt;0,"Y","N"))</f>
        <v/>
      </c>
      <c r="W38" s="64">
        <f>IF($A38="","",IFERROR(INDEX(계정매핑!$D$5:$D$504,MATCH($F38&amp;"",계정매핑!$A$5:$A$504,0)),"미매핑"))</f>
        <v/>
      </c>
      <c r="X38" s="9">
        <f>IF($A38="","",$F38&amp;"")</f>
        <v/>
      </c>
      <c r="Y38" s="94">
        <f>IF($A38="",0,IF(AE38="직접",IF(AF38="비귀속",$P38,0),$P38*(1-AG38)*IFERROR(INDEX(계정대체기준!$F$20:$F$49,MATCH($N38,계정대체기준!$A$20:$A$49,0)),1)))</f>
        <v/>
      </c>
      <c r="Z38" s="94">
        <f>IF($A38="",0,IF(AE38="직접",IF(AF38="신계약비",$P38,0),$P38*(1-AG38)*IFERROR(INDEX(계정대체기준!$C$20:$C$49,MATCH($N38,계정대체기준!$A$20:$A$49,0)),0)))</f>
        <v/>
      </c>
      <c r="AA38" s="94">
        <f>IF($A38="",0,IF(AE38="직접",IF(OR(AF38="유지비",AF38="손해조사비"),$P38,0),$P38*(1-AG38)*IFERROR(INDEX(계정대체기준!$D$20:$D$49,MATCH($N38,계정대체기준!$A$20:$A$49,0)),0)))</f>
        <v/>
      </c>
      <c r="AB38" s="94">
        <f>IF($A38="",0,IF(AE38="직접",IF(AF38="수금비",$P38,0),$P38*(1-AG38)*IFERROR(INDEX(계정대체기준!$E$20:$E$49,MATCH($N38,계정대체기준!$A$20:$A$49,0)),0)))</f>
        <v/>
      </c>
      <c r="AC38" s="9">
        <f>IF(AND($A38&lt;&gt;"",M38=설정!$C$20,Z38&gt;0),Z38+ROW()/1000000000,"")</f>
        <v/>
      </c>
      <c r="AD38" s="94">
        <f>IF($A38="",0,$P38*AG38)</f>
        <v/>
      </c>
      <c r="AE38" s="64">
        <f>IF($A38="","",IFERROR(INDEX(계정매핑!$E$5:$E$504,MATCH($F38&amp;"",계정매핑!$A$5:$A$504,0))&amp;"","공통비"))</f>
        <v/>
      </c>
      <c r="AF38" s="64">
        <f>IF($A38="","",IF(AE38="직접",IFERROR(INDEX(계정매핑!$F$5:$F$504,MATCH($F38&amp;"",계정매핑!$A$5:$A$504,0))&amp;"","비귀속"),""))</f>
        <v/>
      </c>
      <c r="AG38" s="96">
        <f>IF($A38="",0,IF(AND(AE38&lt;&gt;"직접",IFERROR(INDEX(계정매핑!$G$5:$G$504,MATCH($F38&amp;"",계정매핑!$A$5:$A$504,0))&amp;"","")="유지비",COUNTIF(계정대체기준!$A$6:$A$15,$N38)&gt;0),IFERROR(INDEX(계정대체기준!$E$6:$E$15,MATCH(VALUE($A38&amp;""),계정대체기준!$D$6:$D$15,0)),0),0))</f>
        <v/>
      </c>
      <c r="AH38" s="64">
        <f>IF($A38="","",IF(AD38=0,"",IF(OR(COUNTIF(계정대체기준!$A$77:$A$86,$N38)&gt;0,ISNUMBER(MATCH($X38,계정대체기준!$D$77:$D$86,0)),ISNUMBER(MATCH($F38,계정대체기준!$D$77:$D$86,0))),"Y","N")))</f>
        <v/>
      </c>
    </row>
    <row r="39">
      <c r="A39" s="92" t="n">
        <v>2025</v>
      </c>
      <c r="B39" s="92" t="n">
        <v>1</v>
      </c>
      <c r="C39" s="92" t="inlineStr">
        <is>
          <t>5100000035</t>
        </is>
      </c>
      <c r="D39" s="95" t="n">
        <v>45662</v>
      </c>
      <c r="E39" s="92" t="inlineStr">
        <is>
          <t>KR</t>
        </is>
      </c>
      <c r="F39" s="92" t="n">
        <v>62501000</v>
      </c>
      <c r="G39" s="92" t="n">
        <v>1701</v>
      </c>
      <c r="H39" s="93" t="n">
        <v>114000</v>
      </c>
      <c r="I39" s="92" t="inlineStr">
        <is>
          <t>1월 회의 다과 - T케이터링</t>
        </is>
      </c>
      <c r="J39" s="92" t="inlineStr">
        <is>
          <t>V10005</t>
        </is>
      </c>
      <c r="K39" s="92" t="inlineStr">
        <is>
          <t>T케이터링</t>
        </is>
      </c>
      <c r="M39" s="9">
        <f>IF($A39="","",VALUE($A39&amp;"")*12+VALUE($B39&amp;""))</f>
        <v/>
      </c>
      <c r="N39" s="64">
        <f>IF($A39="","",IFERROR(INDEX(부서매핑!$C$5:$C$504,MATCH($G39&amp;"",부서매핑!$A$5:$A$504,0)),"미매핑"))</f>
        <v/>
      </c>
      <c r="O39" s="9">
        <f>IF($A39="","",N39&amp;"|"&amp;$F39)</f>
        <v/>
      </c>
      <c r="P39" s="94">
        <f>IF($A39="",0,$H39*설정!$C$23)</f>
        <v/>
      </c>
      <c r="Q39" s="64">
        <f>IF($A39="","",IF(O39&lt;&gt;원인분석!$C$9,"",IF(AND(M39&gt;=원인분석!$C$10,M39&lt;=원인분석!$C$11),"당기",IF(AND(M39&gt;=원인분석!$C$12,M39&lt;=원인분석!$C$13),"비교",""))))</f>
        <v/>
      </c>
      <c r="R39" s="9">
        <f>IF(Q39="","",$K39&amp;"")</f>
        <v/>
      </c>
      <c r="S39" s="9">
        <f>IF(Q39="","",IF(MATCH(R39,$R$5:$R$100000,0)=ROW()-4,ROW(),""))</f>
        <v/>
      </c>
      <c r="T39" s="9">
        <f>IF(Q39="당기",ABS(P39)+ROW()/1000000000,"")</f>
        <v/>
      </c>
      <c r="U39" s="9">
        <f>IF(Q39="비교",ABS(P39)+ROW()/1000000000,"")</f>
        <v/>
      </c>
      <c r="V39" s="64">
        <f>IF($A39="","",IF(COUNTIF(변동분석!$E$7:$E$506,O39)&gt;0,"Y","N"))</f>
        <v/>
      </c>
      <c r="W39" s="64">
        <f>IF($A39="","",IFERROR(INDEX(계정매핑!$D$5:$D$504,MATCH($F39&amp;"",계정매핑!$A$5:$A$504,0)),"미매핑"))</f>
        <v/>
      </c>
      <c r="X39" s="9">
        <f>IF($A39="","",$F39&amp;"")</f>
        <v/>
      </c>
      <c r="Y39" s="94">
        <f>IF($A39="",0,IF(AE39="직접",IF(AF39="비귀속",$P39,0),$P39*(1-AG39)*IFERROR(INDEX(계정대체기준!$F$20:$F$49,MATCH($N39,계정대체기준!$A$20:$A$49,0)),1)))</f>
        <v/>
      </c>
      <c r="Z39" s="94">
        <f>IF($A39="",0,IF(AE39="직접",IF(AF39="신계약비",$P39,0),$P39*(1-AG39)*IFERROR(INDEX(계정대체기준!$C$20:$C$49,MATCH($N39,계정대체기준!$A$20:$A$49,0)),0)))</f>
        <v/>
      </c>
      <c r="AA39" s="94">
        <f>IF($A39="",0,IF(AE39="직접",IF(OR(AF39="유지비",AF39="손해조사비"),$P39,0),$P39*(1-AG39)*IFERROR(INDEX(계정대체기준!$D$20:$D$49,MATCH($N39,계정대체기준!$A$20:$A$49,0)),0)))</f>
        <v/>
      </c>
      <c r="AB39" s="94">
        <f>IF($A39="",0,IF(AE39="직접",IF(AF39="수금비",$P39,0),$P39*(1-AG39)*IFERROR(INDEX(계정대체기준!$E$20:$E$49,MATCH($N39,계정대체기준!$A$20:$A$49,0)),0)))</f>
        <v/>
      </c>
      <c r="AC39" s="9">
        <f>IF(AND($A39&lt;&gt;"",M39=설정!$C$20,Z39&gt;0),Z39+ROW()/1000000000,"")</f>
        <v/>
      </c>
      <c r="AD39" s="94">
        <f>IF($A39="",0,$P39*AG39)</f>
        <v/>
      </c>
      <c r="AE39" s="64">
        <f>IF($A39="","",IFERROR(INDEX(계정매핑!$E$5:$E$504,MATCH($F39&amp;"",계정매핑!$A$5:$A$504,0))&amp;"","공통비"))</f>
        <v/>
      </c>
      <c r="AF39" s="64">
        <f>IF($A39="","",IF(AE39="직접",IFERROR(INDEX(계정매핑!$F$5:$F$504,MATCH($F39&amp;"",계정매핑!$A$5:$A$504,0))&amp;"","비귀속"),""))</f>
        <v/>
      </c>
      <c r="AG39" s="96">
        <f>IF($A39="",0,IF(AND(AE39&lt;&gt;"직접",IFERROR(INDEX(계정매핑!$G$5:$G$504,MATCH($F39&amp;"",계정매핑!$A$5:$A$504,0))&amp;"","")="유지비",COUNTIF(계정대체기준!$A$6:$A$15,$N39)&gt;0),IFERROR(INDEX(계정대체기준!$E$6:$E$15,MATCH(VALUE($A39&amp;""),계정대체기준!$D$6:$D$15,0)),0),0))</f>
        <v/>
      </c>
      <c r="AH39" s="64">
        <f>IF($A39="","",IF(AD39=0,"",IF(OR(COUNTIF(계정대체기준!$A$77:$A$86,$N39)&gt;0,ISNUMBER(MATCH($X39,계정대체기준!$D$77:$D$86,0)),ISNUMBER(MATCH($F39,계정대체기준!$D$77:$D$86,0))),"Y","N")))</f>
        <v/>
      </c>
    </row>
    <row r="40">
      <c r="A40" s="92" t="n">
        <v>2025</v>
      </c>
      <c r="B40" s="92" t="n">
        <v>1</v>
      </c>
      <c r="C40" s="92" t="inlineStr">
        <is>
          <t>5100000036</t>
        </is>
      </c>
      <c r="D40" s="95" t="n">
        <v>45662</v>
      </c>
      <c r="E40" s="92" t="inlineStr">
        <is>
          <t>KR</t>
        </is>
      </c>
      <c r="F40" s="92" t="n">
        <v>62902000</v>
      </c>
      <c r="G40" s="92" t="n">
        <v>1101</v>
      </c>
      <c r="H40" s="93" t="n">
        <v>1277000</v>
      </c>
      <c r="I40" s="92" t="inlineStr">
        <is>
          <t>1월 업무 위탁 수수료 - J콜센터</t>
        </is>
      </c>
      <c r="J40" s="92" t="inlineStr">
        <is>
          <t>V10016</t>
        </is>
      </c>
      <c r="K40" s="92" t="inlineStr">
        <is>
          <t>J콜센터</t>
        </is>
      </c>
      <c r="M40" s="9">
        <f>IF($A40="","",VALUE($A40&amp;"")*12+VALUE($B40&amp;""))</f>
        <v/>
      </c>
      <c r="N40" s="64">
        <f>IF($A40="","",IFERROR(INDEX(부서매핑!$C$5:$C$504,MATCH($G40&amp;"",부서매핑!$A$5:$A$504,0)),"미매핑"))</f>
        <v/>
      </c>
      <c r="O40" s="9">
        <f>IF($A40="","",N40&amp;"|"&amp;$F40)</f>
        <v/>
      </c>
      <c r="P40" s="94">
        <f>IF($A40="",0,$H40*설정!$C$23)</f>
        <v/>
      </c>
      <c r="Q40" s="64">
        <f>IF($A40="","",IF(O40&lt;&gt;원인분석!$C$9,"",IF(AND(M40&gt;=원인분석!$C$10,M40&lt;=원인분석!$C$11),"당기",IF(AND(M40&gt;=원인분석!$C$12,M40&lt;=원인분석!$C$13),"비교",""))))</f>
        <v/>
      </c>
      <c r="R40" s="9">
        <f>IF(Q40="","",$K40&amp;"")</f>
        <v/>
      </c>
      <c r="S40" s="9">
        <f>IF(Q40="","",IF(MATCH(R40,$R$5:$R$100000,0)=ROW()-4,ROW(),""))</f>
        <v/>
      </c>
      <c r="T40" s="9">
        <f>IF(Q40="당기",ABS(P40)+ROW()/1000000000,"")</f>
        <v/>
      </c>
      <c r="U40" s="9">
        <f>IF(Q40="비교",ABS(P40)+ROW()/1000000000,"")</f>
        <v/>
      </c>
      <c r="V40" s="64">
        <f>IF($A40="","",IF(COUNTIF(변동분석!$E$7:$E$506,O40)&gt;0,"Y","N"))</f>
        <v/>
      </c>
      <c r="W40" s="64">
        <f>IF($A40="","",IFERROR(INDEX(계정매핑!$D$5:$D$504,MATCH($F40&amp;"",계정매핑!$A$5:$A$504,0)),"미매핑"))</f>
        <v/>
      </c>
      <c r="X40" s="9">
        <f>IF($A40="","",$F40&amp;"")</f>
        <v/>
      </c>
      <c r="Y40" s="94">
        <f>IF($A40="",0,IF(AE40="직접",IF(AF40="비귀속",$P40,0),$P40*(1-AG40)*IFERROR(INDEX(계정대체기준!$F$20:$F$49,MATCH($N40,계정대체기준!$A$20:$A$49,0)),1)))</f>
        <v/>
      </c>
      <c r="Z40" s="94">
        <f>IF($A40="",0,IF(AE40="직접",IF(AF40="신계약비",$P40,0),$P40*(1-AG40)*IFERROR(INDEX(계정대체기준!$C$20:$C$49,MATCH($N40,계정대체기준!$A$20:$A$49,0)),0)))</f>
        <v/>
      </c>
      <c r="AA40" s="94">
        <f>IF($A40="",0,IF(AE40="직접",IF(OR(AF40="유지비",AF40="손해조사비"),$P40,0),$P40*(1-AG40)*IFERROR(INDEX(계정대체기준!$D$20:$D$49,MATCH($N40,계정대체기준!$A$20:$A$49,0)),0)))</f>
        <v/>
      </c>
      <c r="AB40" s="94">
        <f>IF($A40="",0,IF(AE40="직접",IF(AF40="수금비",$P40,0),$P40*(1-AG40)*IFERROR(INDEX(계정대체기준!$E$20:$E$49,MATCH($N40,계정대체기준!$A$20:$A$49,0)),0)))</f>
        <v/>
      </c>
      <c r="AC40" s="9">
        <f>IF(AND($A40&lt;&gt;"",M40=설정!$C$20,Z40&gt;0),Z40+ROW()/1000000000,"")</f>
        <v/>
      </c>
      <c r="AD40" s="94">
        <f>IF($A40="",0,$P40*AG40)</f>
        <v/>
      </c>
      <c r="AE40" s="64">
        <f>IF($A40="","",IFERROR(INDEX(계정매핑!$E$5:$E$504,MATCH($F40&amp;"",계정매핑!$A$5:$A$504,0))&amp;"","공통비"))</f>
        <v/>
      </c>
      <c r="AF40" s="64">
        <f>IF($A40="","",IF(AE40="직접",IFERROR(INDEX(계정매핑!$F$5:$F$504,MATCH($F40&amp;"",계정매핑!$A$5:$A$504,0))&amp;"","비귀속"),""))</f>
        <v/>
      </c>
      <c r="AG40" s="96">
        <f>IF($A40="",0,IF(AND(AE40&lt;&gt;"직접",IFERROR(INDEX(계정매핑!$G$5:$G$504,MATCH($F40&amp;"",계정매핑!$A$5:$A$504,0))&amp;"","")="유지비",COUNTIF(계정대체기준!$A$6:$A$15,$N40)&gt;0),IFERROR(INDEX(계정대체기준!$E$6:$E$15,MATCH(VALUE($A40&amp;""),계정대체기준!$D$6:$D$15,0)),0),0))</f>
        <v/>
      </c>
      <c r="AH40" s="64">
        <f>IF($A40="","",IF(AD40=0,"",IF(OR(COUNTIF(계정대체기준!$A$77:$A$86,$N40)&gt;0,ISNUMBER(MATCH($X40,계정대체기준!$D$77:$D$86,0)),ISNUMBER(MATCH($F40,계정대체기준!$D$77:$D$86,0))),"Y","N")))</f>
        <v/>
      </c>
    </row>
    <row r="41">
      <c r="A41" s="92" t="n">
        <v>2025</v>
      </c>
      <c r="B41" s="92" t="n">
        <v>1</v>
      </c>
      <c r="C41" s="92" t="inlineStr">
        <is>
          <t>5100000037</t>
        </is>
      </c>
      <c r="D41" s="95" t="n">
        <v>45662</v>
      </c>
      <c r="E41" s="92" t="inlineStr">
        <is>
          <t>KR</t>
        </is>
      </c>
      <c r="F41" s="92" t="n">
        <v>62902000</v>
      </c>
      <c r="G41" s="92" t="n">
        <v>1401</v>
      </c>
      <c r="H41" s="93" t="n">
        <v>3166000</v>
      </c>
      <c r="I41" s="92" t="inlineStr">
        <is>
          <t>1월 업무 위탁 수수료 - J콜센터</t>
        </is>
      </c>
      <c r="J41" s="92" t="inlineStr">
        <is>
          <t>V10016</t>
        </is>
      </c>
      <c r="K41" s="92" t="inlineStr">
        <is>
          <t>J콜센터</t>
        </is>
      </c>
      <c r="M41" s="9">
        <f>IF($A41="","",VALUE($A41&amp;"")*12+VALUE($B41&amp;""))</f>
        <v/>
      </c>
      <c r="N41" s="64">
        <f>IF($A41="","",IFERROR(INDEX(부서매핑!$C$5:$C$504,MATCH($G41&amp;"",부서매핑!$A$5:$A$504,0)),"미매핑"))</f>
        <v/>
      </c>
      <c r="O41" s="9">
        <f>IF($A41="","",N41&amp;"|"&amp;$F41)</f>
        <v/>
      </c>
      <c r="P41" s="94">
        <f>IF($A41="",0,$H41*설정!$C$23)</f>
        <v/>
      </c>
      <c r="Q41" s="64">
        <f>IF($A41="","",IF(O41&lt;&gt;원인분석!$C$9,"",IF(AND(M41&gt;=원인분석!$C$10,M41&lt;=원인분석!$C$11),"당기",IF(AND(M41&gt;=원인분석!$C$12,M41&lt;=원인분석!$C$13),"비교",""))))</f>
        <v/>
      </c>
      <c r="R41" s="9">
        <f>IF(Q41="","",$K41&amp;"")</f>
        <v/>
      </c>
      <c r="S41" s="9">
        <f>IF(Q41="","",IF(MATCH(R41,$R$5:$R$100000,0)=ROW()-4,ROW(),""))</f>
        <v/>
      </c>
      <c r="T41" s="9">
        <f>IF(Q41="당기",ABS(P41)+ROW()/1000000000,"")</f>
        <v/>
      </c>
      <c r="U41" s="9">
        <f>IF(Q41="비교",ABS(P41)+ROW()/1000000000,"")</f>
        <v/>
      </c>
      <c r="V41" s="64">
        <f>IF($A41="","",IF(COUNTIF(변동분석!$E$7:$E$506,O41)&gt;0,"Y","N"))</f>
        <v/>
      </c>
      <c r="W41" s="64">
        <f>IF($A41="","",IFERROR(INDEX(계정매핑!$D$5:$D$504,MATCH($F41&amp;"",계정매핑!$A$5:$A$504,0)),"미매핑"))</f>
        <v/>
      </c>
      <c r="X41" s="9">
        <f>IF($A41="","",$F41&amp;"")</f>
        <v/>
      </c>
      <c r="Y41" s="94">
        <f>IF($A41="",0,IF(AE41="직접",IF(AF41="비귀속",$P41,0),$P41*(1-AG41)*IFERROR(INDEX(계정대체기준!$F$20:$F$49,MATCH($N41,계정대체기준!$A$20:$A$49,0)),1)))</f>
        <v/>
      </c>
      <c r="Z41" s="94">
        <f>IF($A41="",0,IF(AE41="직접",IF(AF41="신계약비",$P41,0),$P41*(1-AG41)*IFERROR(INDEX(계정대체기준!$C$20:$C$49,MATCH($N41,계정대체기준!$A$20:$A$49,0)),0)))</f>
        <v/>
      </c>
      <c r="AA41" s="94">
        <f>IF($A41="",0,IF(AE41="직접",IF(OR(AF41="유지비",AF41="손해조사비"),$P41,0),$P41*(1-AG41)*IFERROR(INDEX(계정대체기준!$D$20:$D$49,MATCH($N41,계정대체기준!$A$20:$A$49,0)),0)))</f>
        <v/>
      </c>
      <c r="AB41" s="94">
        <f>IF($A41="",0,IF(AE41="직접",IF(AF41="수금비",$P41,0),$P41*(1-AG41)*IFERROR(INDEX(계정대체기준!$E$20:$E$49,MATCH($N41,계정대체기준!$A$20:$A$49,0)),0)))</f>
        <v/>
      </c>
      <c r="AC41" s="9">
        <f>IF(AND($A41&lt;&gt;"",M41=설정!$C$20,Z41&gt;0),Z41+ROW()/1000000000,"")</f>
        <v/>
      </c>
      <c r="AD41" s="94">
        <f>IF($A41="",0,$P41*AG41)</f>
        <v/>
      </c>
      <c r="AE41" s="64">
        <f>IF($A41="","",IFERROR(INDEX(계정매핑!$E$5:$E$504,MATCH($F41&amp;"",계정매핑!$A$5:$A$504,0))&amp;"","공통비"))</f>
        <v/>
      </c>
      <c r="AF41" s="64">
        <f>IF($A41="","",IF(AE41="직접",IFERROR(INDEX(계정매핑!$F$5:$F$504,MATCH($F41&amp;"",계정매핑!$A$5:$A$504,0))&amp;"","비귀속"),""))</f>
        <v/>
      </c>
      <c r="AG41" s="96">
        <f>IF($A41="",0,IF(AND(AE41&lt;&gt;"직접",IFERROR(INDEX(계정매핑!$G$5:$G$504,MATCH($F41&amp;"",계정매핑!$A$5:$A$504,0))&amp;"","")="유지비",COUNTIF(계정대체기준!$A$6:$A$15,$N41)&gt;0),IFERROR(INDEX(계정대체기준!$E$6:$E$15,MATCH(VALUE($A41&amp;""),계정대체기준!$D$6:$D$15,0)),0),0))</f>
        <v/>
      </c>
      <c r="AH41" s="64">
        <f>IF($A41="","",IF(AD41=0,"",IF(OR(COUNTIF(계정대체기준!$A$77:$A$86,$N41)&gt;0,ISNUMBER(MATCH($X41,계정대체기준!$D$77:$D$86,0)),ISNUMBER(MATCH($F41,계정대체기준!$D$77:$D$86,0))),"Y","N")))</f>
        <v/>
      </c>
    </row>
    <row r="42">
      <c r="A42" s="92" t="n">
        <v>2025</v>
      </c>
      <c r="B42" s="92" t="n">
        <v>1</v>
      </c>
      <c r="C42" s="92" t="inlineStr">
        <is>
          <t>5100000038</t>
        </is>
      </c>
      <c r="D42" s="95" t="n">
        <v>45663</v>
      </c>
      <c r="E42" s="92" t="inlineStr">
        <is>
          <t>KR</t>
        </is>
      </c>
      <c r="F42" s="92" t="n">
        <v>62101000</v>
      </c>
      <c r="G42" s="92" t="n">
        <v>1801</v>
      </c>
      <c r="H42" s="93" t="n">
        <v>202000</v>
      </c>
      <c r="I42" s="92" t="inlineStr">
        <is>
          <t>1월 국내출장 - L여행사</t>
        </is>
      </c>
      <c r="J42" s="92" t="inlineStr">
        <is>
          <t>V10018</t>
        </is>
      </c>
      <c r="K42" s="92" t="inlineStr">
        <is>
          <t>L여행사</t>
        </is>
      </c>
      <c r="M42" s="9">
        <f>IF($A42="","",VALUE($A42&amp;"")*12+VALUE($B42&amp;""))</f>
        <v/>
      </c>
      <c r="N42" s="64">
        <f>IF($A42="","",IFERROR(INDEX(부서매핑!$C$5:$C$504,MATCH($G42&amp;"",부서매핑!$A$5:$A$504,0)),"미매핑"))</f>
        <v/>
      </c>
      <c r="O42" s="9">
        <f>IF($A42="","",N42&amp;"|"&amp;$F42)</f>
        <v/>
      </c>
      <c r="P42" s="94">
        <f>IF($A42="",0,$H42*설정!$C$23)</f>
        <v/>
      </c>
      <c r="Q42" s="64">
        <f>IF($A42="","",IF(O42&lt;&gt;원인분석!$C$9,"",IF(AND(M42&gt;=원인분석!$C$10,M42&lt;=원인분석!$C$11),"당기",IF(AND(M42&gt;=원인분석!$C$12,M42&lt;=원인분석!$C$13),"비교",""))))</f>
        <v/>
      </c>
      <c r="R42" s="9">
        <f>IF(Q42="","",$K42&amp;"")</f>
        <v/>
      </c>
      <c r="S42" s="9">
        <f>IF(Q42="","",IF(MATCH(R42,$R$5:$R$100000,0)=ROW()-4,ROW(),""))</f>
        <v/>
      </c>
      <c r="T42" s="9">
        <f>IF(Q42="당기",ABS(P42)+ROW()/1000000000,"")</f>
        <v/>
      </c>
      <c r="U42" s="9">
        <f>IF(Q42="비교",ABS(P42)+ROW()/1000000000,"")</f>
        <v/>
      </c>
      <c r="V42" s="64">
        <f>IF($A42="","",IF(COUNTIF(변동분석!$E$7:$E$506,O42)&gt;0,"Y","N"))</f>
        <v/>
      </c>
      <c r="W42" s="64">
        <f>IF($A42="","",IFERROR(INDEX(계정매핑!$D$5:$D$504,MATCH($F42&amp;"",계정매핑!$A$5:$A$504,0)),"미매핑"))</f>
        <v/>
      </c>
      <c r="X42" s="9">
        <f>IF($A42="","",$F42&amp;"")</f>
        <v/>
      </c>
      <c r="Y42" s="94">
        <f>IF($A42="",0,IF(AE42="직접",IF(AF42="비귀속",$P42,0),$P42*(1-AG42)*IFERROR(INDEX(계정대체기준!$F$20:$F$49,MATCH($N42,계정대체기준!$A$20:$A$49,0)),1)))</f>
        <v/>
      </c>
      <c r="Z42" s="94">
        <f>IF($A42="",0,IF(AE42="직접",IF(AF42="신계약비",$P42,0),$P42*(1-AG42)*IFERROR(INDEX(계정대체기준!$C$20:$C$49,MATCH($N42,계정대체기준!$A$20:$A$49,0)),0)))</f>
        <v/>
      </c>
      <c r="AA42" s="94">
        <f>IF($A42="",0,IF(AE42="직접",IF(OR(AF42="유지비",AF42="손해조사비"),$P42,0),$P42*(1-AG42)*IFERROR(INDEX(계정대체기준!$D$20:$D$49,MATCH($N42,계정대체기준!$A$20:$A$49,0)),0)))</f>
        <v/>
      </c>
      <c r="AB42" s="94">
        <f>IF($A42="",0,IF(AE42="직접",IF(AF42="수금비",$P42,0),$P42*(1-AG42)*IFERROR(INDEX(계정대체기준!$E$20:$E$49,MATCH($N42,계정대체기준!$A$20:$A$49,0)),0)))</f>
        <v/>
      </c>
      <c r="AC42" s="9">
        <f>IF(AND($A42&lt;&gt;"",M42=설정!$C$20,Z42&gt;0),Z42+ROW()/1000000000,"")</f>
        <v/>
      </c>
      <c r="AD42" s="94">
        <f>IF($A42="",0,$P42*AG42)</f>
        <v/>
      </c>
      <c r="AE42" s="64">
        <f>IF($A42="","",IFERROR(INDEX(계정매핑!$E$5:$E$504,MATCH($F42&amp;"",계정매핑!$A$5:$A$504,0))&amp;"","공통비"))</f>
        <v/>
      </c>
      <c r="AF42" s="64">
        <f>IF($A42="","",IF(AE42="직접",IFERROR(INDEX(계정매핑!$F$5:$F$504,MATCH($F42&amp;"",계정매핑!$A$5:$A$504,0))&amp;"","비귀속"),""))</f>
        <v/>
      </c>
      <c r="AG42" s="96">
        <f>IF($A42="",0,IF(AND(AE42&lt;&gt;"직접",IFERROR(INDEX(계정매핑!$G$5:$G$504,MATCH($F42&amp;"",계정매핑!$A$5:$A$504,0))&amp;"","")="유지비",COUNTIF(계정대체기준!$A$6:$A$15,$N42)&gt;0),IFERROR(INDEX(계정대체기준!$E$6:$E$15,MATCH(VALUE($A42&amp;""),계정대체기준!$D$6:$D$15,0)),0),0))</f>
        <v/>
      </c>
      <c r="AH42" s="64">
        <f>IF($A42="","",IF(AD42=0,"",IF(OR(COUNTIF(계정대체기준!$A$77:$A$86,$N42)&gt;0,ISNUMBER(MATCH($X42,계정대체기준!$D$77:$D$86,0)),ISNUMBER(MATCH($F42,계정대체기준!$D$77:$D$86,0))),"Y","N")))</f>
        <v/>
      </c>
    </row>
    <row r="43">
      <c r="A43" s="92" t="n">
        <v>2025</v>
      </c>
      <c r="B43" s="92" t="n">
        <v>1</v>
      </c>
      <c r="C43" s="92" t="inlineStr">
        <is>
          <t>5100000039</t>
        </is>
      </c>
      <c r="D43" s="95" t="n">
        <v>45663</v>
      </c>
      <c r="E43" s="92" t="inlineStr">
        <is>
          <t>KR</t>
        </is>
      </c>
      <c r="F43" s="92" t="n">
        <v>62102000</v>
      </c>
      <c r="G43" s="92" t="n">
        <v>1201</v>
      </c>
      <c r="H43" s="93" t="n">
        <v>32000</v>
      </c>
      <c r="I43" s="92" t="inlineStr">
        <is>
          <t>1월 해외출장 - M항공</t>
        </is>
      </c>
      <c r="J43" s="92" t="inlineStr">
        <is>
          <t>V10001</t>
        </is>
      </c>
      <c r="K43" s="92" t="inlineStr">
        <is>
          <t>M항공</t>
        </is>
      </c>
      <c r="M43" s="9">
        <f>IF($A43="","",VALUE($A43&amp;"")*12+VALUE($B43&amp;""))</f>
        <v/>
      </c>
      <c r="N43" s="64">
        <f>IF($A43="","",IFERROR(INDEX(부서매핑!$C$5:$C$504,MATCH($G43&amp;"",부서매핑!$A$5:$A$504,0)),"미매핑"))</f>
        <v/>
      </c>
      <c r="O43" s="9">
        <f>IF($A43="","",N43&amp;"|"&amp;$F43)</f>
        <v/>
      </c>
      <c r="P43" s="94">
        <f>IF($A43="",0,$H43*설정!$C$23)</f>
        <v/>
      </c>
      <c r="Q43" s="64">
        <f>IF($A43="","",IF(O43&lt;&gt;원인분석!$C$9,"",IF(AND(M43&gt;=원인분석!$C$10,M43&lt;=원인분석!$C$11),"당기",IF(AND(M43&gt;=원인분석!$C$12,M43&lt;=원인분석!$C$13),"비교",""))))</f>
        <v/>
      </c>
      <c r="R43" s="9">
        <f>IF(Q43="","",$K43&amp;"")</f>
        <v/>
      </c>
      <c r="S43" s="9">
        <f>IF(Q43="","",IF(MATCH(R43,$R$5:$R$100000,0)=ROW()-4,ROW(),""))</f>
        <v/>
      </c>
      <c r="T43" s="9">
        <f>IF(Q43="당기",ABS(P43)+ROW()/1000000000,"")</f>
        <v/>
      </c>
      <c r="U43" s="9">
        <f>IF(Q43="비교",ABS(P43)+ROW()/1000000000,"")</f>
        <v/>
      </c>
      <c r="V43" s="64">
        <f>IF($A43="","",IF(COUNTIF(변동분석!$E$7:$E$506,O43)&gt;0,"Y","N"))</f>
        <v/>
      </c>
      <c r="W43" s="64">
        <f>IF($A43="","",IFERROR(INDEX(계정매핑!$D$5:$D$504,MATCH($F43&amp;"",계정매핑!$A$5:$A$504,0)),"미매핑"))</f>
        <v/>
      </c>
      <c r="X43" s="9">
        <f>IF($A43="","",$F43&amp;"")</f>
        <v/>
      </c>
      <c r="Y43" s="94">
        <f>IF($A43="",0,IF(AE43="직접",IF(AF43="비귀속",$P43,0),$P43*(1-AG43)*IFERROR(INDEX(계정대체기준!$F$20:$F$49,MATCH($N43,계정대체기준!$A$20:$A$49,0)),1)))</f>
        <v/>
      </c>
      <c r="Z43" s="94">
        <f>IF($A43="",0,IF(AE43="직접",IF(AF43="신계약비",$P43,0),$P43*(1-AG43)*IFERROR(INDEX(계정대체기준!$C$20:$C$49,MATCH($N43,계정대체기준!$A$20:$A$49,0)),0)))</f>
        <v/>
      </c>
      <c r="AA43" s="94">
        <f>IF($A43="",0,IF(AE43="직접",IF(OR(AF43="유지비",AF43="손해조사비"),$P43,0),$P43*(1-AG43)*IFERROR(INDEX(계정대체기준!$D$20:$D$49,MATCH($N43,계정대체기준!$A$20:$A$49,0)),0)))</f>
        <v/>
      </c>
      <c r="AB43" s="94">
        <f>IF($A43="",0,IF(AE43="직접",IF(AF43="수금비",$P43,0),$P43*(1-AG43)*IFERROR(INDEX(계정대체기준!$E$20:$E$49,MATCH($N43,계정대체기준!$A$20:$A$49,0)),0)))</f>
        <v/>
      </c>
      <c r="AC43" s="9">
        <f>IF(AND($A43&lt;&gt;"",M43=설정!$C$20,Z43&gt;0),Z43+ROW()/1000000000,"")</f>
        <v/>
      </c>
      <c r="AD43" s="94">
        <f>IF($A43="",0,$P43*AG43)</f>
        <v/>
      </c>
      <c r="AE43" s="64">
        <f>IF($A43="","",IFERROR(INDEX(계정매핑!$E$5:$E$504,MATCH($F43&amp;"",계정매핑!$A$5:$A$504,0))&amp;"","공통비"))</f>
        <v/>
      </c>
      <c r="AF43" s="64">
        <f>IF($A43="","",IF(AE43="직접",IFERROR(INDEX(계정매핑!$F$5:$F$504,MATCH($F43&amp;"",계정매핑!$A$5:$A$504,0))&amp;"","비귀속"),""))</f>
        <v/>
      </c>
      <c r="AG43" s="96">
        <f>IF($A43="",0,IF(AND(AE43&lt;&gt;"직접",IFERROR(INDEX(계정매핑!$G$5:$G$504,MATCH($F43&amp;"",계정매핑!$A$5:$A$504,0))&amp;"","")="유지비",COUNTIF(계정대체기준!$A$6:$A$15,$N43)&gt;0),IFERROR(INDEX(계정대체기준!$E$6:$E$15,MATCH(VALUE($A43&amp;""),계정대체기준!$D$6:$D$15,0)),0),0))</f>
        <v/>
      </c>
      <c r="AH43" s="64">
        <f>IF($A43="","",IF(AD43=0,"",IF(OR(COUNTIF(계정대체기준!$A$77:$A$86,$N43)&gt;0,ISNUMBER(MATCH($X43,계정대체기준!$D$77:$D$86,0)),ISNUMBER(MATCH($F43,계정대체기준!$D$77:$D$86,0))),"Y","N")))</f>
        <v/>
      </c>
    </row>
    <row r="44">
      <c r="A44" s="92" t="n">
        <v>2025</v>
      </c>
      <c r="B44" s="92" t="n">
        <v>1</v>
      </c>
      <c r="C44" s="92" t="inlineStr">
        <is>
          <t>5100000040</t>
        </is>
      </c>
      <c r="D44" s="95" t="n">
        <v>45663</v>
      </c>
      <c r="E44" s="92" t="inlineStr">
        <is>
          <t>KR</t>
        </is>
      </c>
      <c r="F44" s="92" t="n">
        <v>62102000</v>
      </c>
      <c r="G44" s="92" t="n">
        <v>1301</v>
      </c>
      <c r="H44" s="93" t="n">
        <v>123000</v>
      </c>
      <c r="I44" s="92" t="inlineStr">
        <is>
          <t>1월 해외출장 - M항공</t>
        </is>
      </c>
      <c r="J44" s="92" t="inlineStr">
        <is>
          <t>V10001</t>
        </is>
      </c>
      <c r="K44" s="92" t="inlineStr">
        <is>
          <t>M항공</t>
        </is>
      </c>
      <c r="M44" s="9">
        <f>IF($A44="","",VALUE($A44&amp;"")*12+VALUE($B44&amp;""))</f>
        <v/>
      </c>
      <c r="N44" s="64">
        <f>IF($A44="","",IFERROR(INDEX(부서매핑!$C$5:$C$504,MATCH($G44&amp;"",부서매핑!$A$5:$A$504,0)),"미매핑"))</f>
        <v/>
      </c>
      <c r="O44" s="9">
        <f>IF($A44="","",N44&amp;"|"&amp;$F44)</f>
        <v/>
      </c>
      <c r="P44" s="94">
        <f>IF($A44="",0,$H44*설정!$C$23)</f>
        <v/>
      </c>
      <c r="Q44" s="64">
        <f>IF($A44="","",IF(O44&lt;&gt;원인분석!$C$9,"",IF(AND(M44&gt;=원인분석!$C$10,M44&lt;=원인분석!$C$11),"당기",IF(AND(M44&gt;=원인분석!$C$12,M44&lt;=원인분석!$C$13),"비교",""))))</f>
        <v/>
      </c>
      <c r="R44" s="9">
        <f>IF(Q44="","",$K44&amp;"")</f>
        <v/>
      </c>
      <c r="S44" s="9">
        <f>IF(Q44="","",IF(MATCH(R44,$R$5:$R$100000,0)=ROW()-4,ROW(),""))</f>
        <v/>
      </c>
      <c r="T44" s="9">
        <f>IF(Q44="당기",ABS(P44)+ROW()/1000000000,"")</f>
        <v/>
      </c>
      <c r="U44" s="9">
        <f>IF(Q44="비교",ABS(P44)+ROW()/1000000000,"")</f>
        <v/>
      </c>
      <c r="V44" s="64">
        <f>IF($A44="","",IF(COUNTIF(변동분석!$E$7:$E$506,O44)&gt;0,"Y","N"))</f>
        <v/>
      </c>
      <c r="W44" s="64">
        <f>IF($A44="","",IFERROR(INDEX(계정매핑!$D$5:$D$504,MATCH($F44&amp;"",계정매핑!$A$5:$A$504,0)),"미매핑"))</f>
        <v/>
      </c>
      <c r="X44" s="9">
        <f>IF($A44="","",$F44&amp;"")</f>
        <v/>
      </c>
      <c r="Y44" s="94">
        <f>IF($A44="",0,IF(AE44="직접",IF(AF44="비귀속",$P44,0),$P44*(1-AG44)*IFERROR(INDEX(계정대체기준!$F$20:$F$49,MATCH($N44,계정대체기준!$A$20:$A$49,0)),1)))</f>
        <v/>
      </c>
      <c r="Z44" s="94">
        <f>IF($A44="",0,IF(AE44="직접",IF(AF44="신계약비",$P44,0),$P44*(1-AG44)*IFERROR(INDEX(계정대체기준!$C$20:$C$49,MATCH($N44,계정대체기준!$A$20:$A$49,0)),0)))</f>
        <v/>
      </c>
      <c r="AA44" s="94">
        <f>IF($A44="",0,IF(AE44="직접",IF(OR(AF44="유지비",AF44="손해조사비"),$P44,0),$P44*(1-AG44)*IFERROR(INDEX(계정대체기준!$D$20:$D$49,MATCH($N44,계정대체기준!$A$20:$A$49,0)),0)))</f>
        <v/>
      </c>
      <c r="AB44" s="94">
        <f>IF($A44="",0,IF(AE44="직접",IF(AF44="수금비",$P44,0),$P44*(1-AG44)*IFERROR(INDEX(계정대체기준!$E$20:$E$49,MATCH($N44,계정대체기준!$A$20:$A$49,0)),0)))</f>
        <v/>
      </c>
      <c r="AC44" s="9">
        <f>IF(AND($A44&lt;&gt;"",M44=설정!$C$20,Z44&gt;0),Z44+ROW()/1000000000,"")</f>
        <v/>
      </c>
      <c r="AD44" s="94">
        <f>IF($A44="",0,$P44*AG44)</f>
        <v/>
      </c>
      <c r="AE44" s="64">
        <f>IF($A44="","",IFERROR(INDEX(계정매핑!$E$5:$E$504,MATCH($F44&amp;"",계정매핑!$A$5:$A$504,0))&amp;"","공통비"))</f>
        <v/>
      </c>
      <c r="AF44" s="64">
        <f>IF($A44="","",IF(AE44="직접",IFERROR(INDEX(계정매핑!$F$5:$F$504,MATCH($F44&amp;"",계정매핑!$A$5:$A$504,0))&amp;"","비귀속"),""))</f>
        <v/>
      </c>
      <c r="AG44" s="96">
        <f>IF($A44="",0,IF(AND(AE44&lt;&gt;"직접",IFERROR(INDEX(계정매핑!$G$5:$G$504,MATCH($F44&amp;"",계정매핑!$A$5:$A$504,0))&amp;"","")="유지비",COUNTIF(계정대체기준!$A$6:$A$15,$N44)&gt;0),IFERROR(INDEX(계정대체기준!$E$6:$E$15,MATCH(VALUE($A44&amp;""),계정대체기준!$D$6:$D$15,0)),0),0))</f>
        <v/>
      </c>
      <c r="AH44" s="64">
        <f>IF($A44="","",IF(AD44=0,"",IF(OR(COUNTIF(계정대체기준!$A$77:$A$86,$N44)&gt;0,ISNUMBER(MATCH($X44,계정대체기준!$D$77:$D$86,0)),ISNUMBER(MATCH($F44,계정대체기준!$D$77:$D$86,0))),"Y","N")))</f>
        <v/>
      </c>
    </row>
    <row r="45">
      <c r="A45" s="92" t="n">
        <v>2025</v>
      </c>
      <c r="B45" s="92" t="n">
        <v>1</v>
      </c>
      <c r="C45" s="92" t="inlineStr">
        <is>
          <t>5100000041</t>
        </is>
      </c>
      <c r="D45" s="95" t="n">
        <v>45663</v>
      </c>
      <c r="E45" s="92" t="inlineStr">
        <is>
          <t>KR</t>
        </is>
      </c>
      <c r="F45" s="92" t="n">
        <v>62102000</v>
      </c>
      <c r="G45" s="92" t="n">
        <v>1502</v>
      </c>
      <c r="H45" s="93" t="n">
        <v>109000</v>
      </c>
      <c r="I45" s="92" t="inlineStr">
        <is>
          <t>1월 해외출장 - N호텔</t>
        </is>
      </c>
      <c r="J45" s="92" t="inlineStr">
        <is>
          <t>V10009</t>
        </is>
      </c>
      <c r="K45" s="92" t="inlineStr">
        <is>
          <t>N호텔</t>
        </is>
      </c>
      <c r="M45" s="9">
        <f>IF($A45="","",VALUE($A45&amp;"")*12+VALUE($B45&amp;""))</f>
        <v/>
      </c>
      <c r="N45" s="64">
        <f>IF($A45="","",IFERROR(INDEX(부서매핑!$C$5:$C$504,MATCH($G45&amp;"",부서매핑!$A$5:$A$504,0)),"미매핑"))</f>
        <v/>
      </c>
      <c r="O45" s="9">
        <f>IF($A45="","",N45&amp;"|"&amp;$F45)</f>
        <v/>
      </c>
      <c r="P45" s="94">
        <f>IF($A45="",0,$H45*설정!$C$23)</f>
        <v/>
      </c>
      <c r="Q45" s="64">
        <f>IF($A45="","",IF(O45&lt;&gt;원인분석!$C$9,"",IF(AND(M45&gt;=원인분석!$C$10,M45&lt;=원인분석!$C$11),"당기",IF(AND(M45&gt;=원인분석!$C$12,M45&lt;=원인분석!$C$13),"비교",""))))</f>
        <v/>
      </c>
      <c r="R45" s="9">
        <f>IF(Q45="","",$K45&amp;"")</f>
        <v/>
      </c>
      <c r="S45" s="9">
        <f>IF(Q45="","",IF(MATCH(R45,$R$5:$R$100000,0)=ROW()-4,ROW(),""))</f>
        <v/>
      </c>
      <c r="T45" s="9">
        <f>IF(Q45="당기",ABS(P45)+ROW()/1000000000,"")</f>
        <v/>
      </c>
      <c r="U45" s="9">
        <f>IF(Q45="비교",ABS(P45)+ROW()/1000000000,"")</f>
        <v/>
      </c>
      <c r="V45" s="64">
        <f>IF($A45="","",IF(COUNTIF(변동분석!$E$7:$E$506,O45)&gt;0,"Y","N"))</f>
        <v/>
      </c>
      <c r="W45" s="64">
        <f>IF($A45="","",IFERROR(INDEX(계정매핑!$D$5:$D$504,MATCH($F45&amp;"",계정매핑!$A$5:$A$504,0)),"미매핑"))</f>
        <v/>
      </c>
      <c r="X45" s="9">
        <f>IF($A45="","",$F45&amp;"")</f>
        <v/>
      </c>
      <c r="Y45" s="94">
        <f>IF($A45="",0,IF(AE45="직접",IF(AF45="비귀속",$P45,0),$P45*(1-AG45)*IFERROR(INDEX(계정대체기준!$F$20:$F$49,MATCH($N45,계정대체기준!$A$20:$A$49,0)),1)))</f>
        <v/>
      </c>
      <c r="Z45" s="94">
        <f>IF($A45="",0,IF(AE45="직접",IF(AF45="신계약비",$P45,0),$P45*(1-AG45)*IFERROR(INDEX(계정대체기준!$C$20:$C$49,MATCH($N45,계정대체기준!$A$20:$A$49,0)),0)))</f>
        <v/>
      </c>
      <c r="AA45" s="94">
        <f>IF($A45="",0,IF(AE45="직접",IF(OR(AF45="유지비",AF45="손해조사비"),$P45,0),$P45*(1-AG45)*IFERROR(INDEX(계정대체기준!$D$20:$D$49,MATCH($N45,계정대체기준!$A$20:$A$49,0)),0)))</f>
        <v/>
      </c>
      <c r="AB45" s="94">
        <f>IF($A45="",0,IF(AE45="직접",IF(AF45="수금비",$P45,0),$P45*(1-AG45)*IFERROR(INDEX(계정대체기준!$E$20:$E$49,MATCH($N45,계정대체기준!$A$20:$A$49,0)),0)))</f>
        <v/>
      </c>
      <c r="AC45" s="9">
        <f>IF(AND($A45&lt;&gt;"",M45=설정!$C$20,Z45&gt;0),Z45+ROW()/1000000000,"")</f>
        <v/>
      </c>
      <c r="AD45" s="94">
        <f>IF($A45="",0,$P45*AG45)</f>
        <v/>
      </c>
      <c r="AE45" s="64">
        <f>IF($A45="","",IFERROR(INDEX(계정매핑!$E$5:$E$504,MATCH($F45&amp;"",계정매핑!$A$5:$A$504,0))&amp;"","공통비"))</f>
        <v/>
      </c>
      <c r="AF45" s="64">
        <f>IF($A45="","",IF(AE45="직접",IFERROR(INDEX(계정매핑!$F$5:$F$504,MATCH($F45&amp;"",계정매핑!$A$5:$A$504,0))&amp;"","비귀속"),""))</f>
        <v/>
      </c>
      <c r="AG45" s="96">
        <f>IF($A45="",0,IF(AND(AE45&lt;&gt;"직접",IFERROR(INDEX(계정매핑!$G$5:$G$504,MATCH($F45&amp;"",계정매핑!$A$5:$A$504,0))&amp;"","")="유지비",COUNTIF(계정대체기준!$A$6:$A$15,$N45)&gt;0),IFERROR(INDEX(계정대체기준!$E$6:$E$15,MATCH(VALUE($A45&amp;""),계정대체기준!$D$6:$D$15,0)),0),0))</f>
        <v/>
      </c>
      <c r="AH45" s="64">
        <f>IF($A45="","",IF(AD45=0,"",IF(OR(COUNTIF(계정대체기준!$A$77:$A$86,$N45)&gt;0,ISNUMBER(MATCH($X45,계정대체기준!$D$77:$D$86,0)),ISNUMBER(MATCH($F45,계정대체기준!$D$77:$D$86,0))),"Y","N")))</f>
        <v/>
      </c>
    </row>
    <row r="46">
      <c r="A46" s="92" t="n">
        <v>2025</v>
      </c>
      <c r="B46" s="92" t="n">
        <v>1</v>
      </c>
      <c r="C46" s="92" t="inlineStr">
        <is>
          <t>5100000042</t>
        </is>
      </c>
      <c r="D46" s="95" t="n">
        <v>45663</v>
      </c>
      <c r="E46" s="92" t="inlineStr">
        <is>
          <t>KR</t>
        </is>
      </c>
      <c r="F46" s="92" t="n">
        <v>62201000</v>
      </c>
      <c r="G46" s="92" t="n">
        <v>1601</v>
      </c>
      <c r="H46" s="93" t="n">
        <v>524000</v>
      </c>
      <c r="I46" s="92" t="inlineStr">
        <is>
          <t>1월 통신요금 - O텔레콤</t>
        </is>
      </c>
      <c r="J46" s="92" t="inlineStr">
        <is>
          <t>V10002</t>
        </is>
      </c>
      <c r="K46" s="92" t="inlineStr">
        <is>
          <t>O텔레콤</t>
        </is>
      </c>
      <c r="M46" s="9">
        <f>IF($A46="","",VALUE($A46&amp;"")*12+VALUE($B46&amp;""))</f>
        <v/>
      </c>
      <c r="N46" s="64">
        <f>IF($A46="","",IFERROR(INDEX(부서매핑!$C$5:$C$504,MATCH($G46&amp;"",부서매핑!$A$5:$A$504,0)),"미매핑"))</f>
        <v/>
      </c>
      <c r="O46" s="9">
        <f>IF($A46="","",N46&amp;"|"&amp;$F46)</f>
        <v/>
      </c>
      <c r="P46" s="94">
        <f>IF($A46="",0,$H46*설정!$C$23)</f>
        <v/>
      </c>
      <c r="Q46" s="64">
        <f>IF($A46="","",IF(O46&lt;&gt;원인분석!$C$9,"",IF(AND(M46&gt;=원인분석!$C$10,M46&lt;=원인분석!$C$11),"당기",IF(AND(M46&gt;=원인분석!$C$12,M46&lt;=원인분석!$C$13),"비교",""))))</f>
        <v/>
      </c>
      <c r="R46" s="9">
        <f>IF(Q46="","",$K46&amp;"")</f>
        <v/>
      </c>
      <c r="S46" s="9">
        <f>IF(Q46="","",IF(MATCH(R46,$R$5:$R$100000,0)=ROW()-4,ROW(),""))</f>
        <v/>
      </c>
      <c r="T46" s="9">
        <f>IF(Q46="당기",ABS(P46)+ROW()/1000000000,"")</f>
        <v/>
      </c>
      <c r="U46" s="9">
        <f>IF(Q46="비교",ABS(P46)+ROW()/1000000000,"")</f>
        <v/>
      </c>
      <c r="V46" s="64">
        <f>IF($A46="","",IF(COUNTIF(변동분석!$E$7:$E$506,O46)&gt;0,"Y","N"))</f>
        <v/>
      </c>
      <c r="W46" s="64">
        <f>IF($A46="","",IFERROR(INDEX(계정매핑!$D$5:$D$504,MATCH($F46&amp;"",계정매핑!$A$5:$A$504,0)),"미매핑"))</f>
        <v/>
      </c>
      <c r="X46" s="9">
        <f>IF($A46="","",$F46&amp;"")</f>
        <v/>
      </c>
      <c r="Y46" s="94">
        <f>IF($A46="",0,IF(AE46="직접",IF(AF46="비귀속",$P46,0),$P46*(1-AG46)*IFERROR(INDEX(계정대체기준!$F$20:$F$49,MATCH($N46,계정대체기준!$A$20:$A$49,0)),1)))</f>
        <v/>
      </c>
      <c r="Z46" s="94">
        <f>IF($A46="",0,IF(AE46="직접",IF(AF46="신계약비",$P46,0),$P46*(1-AG46)*IFERROR(INDEX(계정대체기준!$C$20:$C$49,MATCH($N46,계정대체기준!$A$20:$A$49,0)),0)))</f>
        <v/>
      </c>
      <c r="AA46" s="94">
        <f>IF($A46="",0,IF(AE46="직접",IF(OR(AF46="유지비",AF46="손해조사비"),$P46,0),$P46*(1-AG46)*IFERROR(INDEX(계정대체기준!$D$20:$D$49,MATCH($N46,계정대체기준!$A$20:$A$49,0)),0)))</f>
        <v/>
      </c>
      <c r="AB46" s="94">
        <f>IF($A46="",0,IF(AE46="직접",IF(AF46="수금비",$P46,0),$P46*(1-AG46)*IFERROR(INDEX(계정대체기준!$E$20:$E$49,MATCH($N46,계정대체기준!$A$20:$A$49,0)),0)))</f>
        <v/>
      </c>
      <c r="AC46" s="9">
        <f>IF(AND($A46&lt;&gt;"",M46=설정!$C$20,Z46&gt;0),Z46+ROW()/1000000000,"")</f>
        <v/>
      </c>
      <c r="AD46" s="94">
        <f>IF($A46="",0,$P46*AG46)</f>
        <v/>
      </c>
      <c r="AE46" s="64">
        <f>IF($A46="","",IFERROR(INDEX(계정매핑!$E$5:$E$504,MATCH($F46&amp;"",계정매핑!$A$5:$A$504,0))&amp;"","공통비"))</f>
        <v/>
      </c>
      <c r="AF46" s="64">
        <f>IF($A46="","",IF(AE46="직접",IFERROR(INDEX(계정매핑!$F$5:$F$504,MATCH($F46&amp;"",계정매핑!$A$5:$A$504,0))&amp;"","비귀속"),""))</f>
        <v/>
      </c>
      <c r="AG46" s="96">
        <f>IF($A46="",0,IF(AND(AE46&lt;&gt;"직접",IFERROR(INDEX(계정매핑!$G$5:$G$504,MATCH($F46&amp;"",계정매핑!$A$5:$A$504,0))&amp;"","")="유지비",COUNTIF(계정대체기준!$A$6:$A$15,$N46)&gt;0),IFERROR(INDEX(계정대체기준!$E$6:$E$15,MATCH(VALUE($A46&amp;""),계정대체기준!$D$6:$D$15,0)),0),0))</f>
        <v/>
      </c>
      <c r="AH46" s="64">
        <f>IF($A46="","",IF(AD46=0,"",IF(OR(COUNTIF(계정대체기준!$A$77:$A$86,$N46)&gt;0,ISNUMBER(MATCH($X46,계정대체기준!$D$77:$D$86,0)),ISNUMBER(MATCH($F46,계정대체기준!$D$77:$D$86,0))),"Y","N")))</f>
        <v/>
      </c>
    </row>
    <row r="47">
      <c r="A47" s="92" t="n">
        <v>2025</v>
      </c>
      <c r="B47" s="92" t="n">
        <v>1</v>
      </c>
      <c r="C47" s="92" t="inlineStr">
        <is>
          <t>5100000043</t>
        </is>
      </c>
      <c r="D47" s="95" t="n">
        <v>45663</v>
      </c>
      <c r="E47" s="92" t="inlineStr">
        <is>
          <t>KR</t>
        </is>
      </c>
      <c r="F47" s="92" t="n">
        <v>62201000</v>
      </c>
      <c r="G47" s="92" t="n">
        <v>1602</v>
      </c>
      <c r="H47" s="93" t="n">
        <v>762000</v>
      </c>
      <c r="I47" s="92" t="inlineStr">
        <is>
          <t>1월 통신요금 - P통신</t>
        </is>
      </c>
      <c r="J47" s="92" t="inlineStr">
        <is>
          <t>V10014</t>
        </is>
      </c>
      <c r="K47" s="92" t="inlineStr">
        <is>
          <t>P통신</t>
        </is>
      </c>
      <c r="M47" s="9">
        <f>IF($A47="","",VALUE($A47&amp;"")*12+VALUE($B47&amp;""))</f>
        <v/>
      </c>
      <c r="N47" s="64">
        <f>IF($A47="","",IFERROR(INDEX(부서매핑!$C$5:$C$504,MATCH($G47&amp;"",부서매핑!$A$5:$A$504,0)),"미매핑"))</f>
        <v/>
      </c>
      <c r="O47" s="9">
        <f>IF($A47="","",N47&amp;"|"&amp;$F47)</f>
        <v/>
      </c>
      <c r="P47" s="94">
        <f>IF($A47="",0,$H47*설정!$C$23)</f>
        <v/>
      </c>
      <c r="Q47" s="64">
        <f>IF($A47="","",IF(O47&lt;&gt;원인분석!$C$9,"",IF(AND(M47&gt;=원인분석!$C$10,M47&lt;=원인분석!$C$11),"당기",IF(AND(M47&gt;=원인분석!$C$12,M47&lt;=원인분석!$C$13),"비교",""))))</f>
        <v/>
      </c>
      <c r="R47" s="9">
        <f>IF(Q47="","",$K47&amp;"")</f>
        <v/>
      </c>
      <c r="S47" s="9">
        <f>IF(Q47="","",IF(MATCH(R47,$R$5:$R$100000,0)=ROW()-4,ROW(),""))</f>
        <v/>
      </c>
      <c r="T47" s="9">
        <f>IF(Q47="당기",ABS(P47)+ROW()/1000000000,"")</f>
        <v/>
      </c>
      <c r="U47" s="9">
        <f>IF(Q47="비교",ABS(P47)+ROW()/1000000000,"")</f>
        <v/>
      </c>
      <c r="V47" s="64">
        <f>IF($A47="","",IF(COUNTIF(변동분석!$E$7:$E$506,O47)&gt;0,"Y","N"))</f>
        <v/>
      </c>
      <c r="W47" s="64">
        <f>IF($A47="","",IFERROR(INDEX(계정매핑!$D$5:$D$504,MATCH($F47&amp;"",계정매핑!$A$5:$A$504,0)),"미매핑"))</f>
        <v/>
      </c>
      <c r="X47" s="9">
        <f>IF($A47="","",$F47&amp;"")</f>
        <v/>
      </c>
      <c r="Y47" s="94">
        <f>IF($A47="",0,IF(AE47="직접",IF(AF47="비귀속",$P47,0),$P47*(1-AG47)*IFERROR(INDEX(계정대체기준!$F$20:$F$49,MATCH($N47,계정대체기준!$A$20:$A$49,0)),1)))</f>
        <v/>
      </c>
      <c r="Z47" s="94">
        <f>IF($A47="",0,IF(AE47="직접",IF(AF47="신계약비",$P47,0),$P47*(1-AG47)*IFERROR(INDEX(계정대체기준!$C$20:$C$49,MATCH($N47,계정대체기준!$A$20:$A$49,0)),0)))</f>
        <v/>
      </c>
      <c r="AA47" s="94">
        <f>IF($A47="",0,IF(AE47="직접",IF(OR(AF47="유지비",AF47="손해조사비"),$P47,0),$P47*(1-AG47)*IFERROR(INDEX(계정대체기준!$D$20:$D$49,MATCH($N47,계정대체기준!$A$20:$A$49,0)),0)))</f>
        <v/>
      </c>
      <c r="AB47" s="94">
        <f>IF($A47="",0,IF(AE47="직접",IF(AF47="수금비",$P47,0),$P47*(1-AG47)*IFERROR(INDEX(계정대체기준!$E$20:$E$49,MATCH($N47,계정대체기준!$A$20:$A$49,0)),0)))</f>
        <v/>
      </c>
      <c r="AC47" s="9">
        <f>IF(AND($A47&lt;&gt;"",M47=설정!$C$20,Z47&gt;0),Z47+ROW()/1000000000,"")</f>
        <v/>
      </c>
      <c r="AD47" s="94">
        <f>IF($A47="",0,$P47*AG47)</f>
        <v/>
      </c>
      <c r="AE47" s="64">
        <f>IF($A47="","",IFERROR(INDEX(계정매핑!$E$5:$E$504,MATCH($F47&amp;"",계정매핑!$A$5:$A$504,0))&amp;"","공통비"))</f>
        <v/>
      </c>
      <c r="AF47" s="64">
        <f>IF($A47="","",IF(AE47="직접",IFERROR(INDEX(계정매핑!$F$5:$F$504,MATCH($F47&amp;"",계정매핑!$A$5:$A$504,0))&amp;"","비귀속"),""))</f>
        <v/>
      </c>
      <c r="AG47" s="96">
        <f>IF($A47="",0,IF(AND(AE47&lt;&gt;"직접",IFERROR(INDEX(계정매핑!$G$5:$G$504,MATCH($F47&amp;"",계정매핑!$A$5:$A$504,0))&amp;"","")="유지비",COUNTIF(계정대체기준!$A$6:$A$15,$N47)&gt;0),IFERROR(INDEX(계정대체기준!$E$6:$E$15,MATCH(VALUE($A47&amp;""),계정대체기준!$D$6:$D$15,0)),0),0))</f>
        <v/>
      </c>
      <c r="AH47" s="64">
        <f>IF($A47="","",IF(AD47=0,"",IF(OR(COUNTIF(계정대체기준!$A$77:$A$86,$N47)&gt;0,ISNUMBER(MATCH($X47,계정대체기준!$D$77:$D$86,0)),ISNUMBER(MATCH($F47,계정대체기준!$D$77:$D$86,0))),"Y","N")))</f>
        <v/>
      </c>
    </row>
    <row r="48">
      <c r="A48" s="92" t="n">
        <v>2025</v>
      </c>
      <c r="B48" s="92" t="n">
        <v>1</v>
      </c>
      <c r="C48" s="92" t="inlineStr">
        <is>
          <t>5100000044</t>
        </is>
      </c>
      <c r="D48" s="95" t="n">
        <v>45663</v>
      </c>
      <c r="E48" s="92" t="inlineStr">
        <is>
          <t>KR</t>
        </is>
      </c>
      <c r="F48" s="92" t="n">
        <v>62401000</v>
      </c>
      <c r="G48" s="92" t="n">
        <v>1801</v>
      </c>
      <c r="H48" s="93" t="n">
        <v>3075000</v>
      </c>
      <c r="I48" s="92" t="inlineStr">
        <is>
          <t>1월 인쇄물 제작 - S출판</t>
        </is>
      </c>
      <c r="J48" s="92" t="inlineStr">
        <is>
          <t>V10015</t>
        </is>
      </c>
      <c r="K48" s="92" t="inlineStr">
        <is>
          <t>S출판</t>
        </is>
      </c>
      <c r="M48" s="9">
        <f>IF($A48="","",VALUE($A48&amp;"")*12+VALUE($B48&amp;""))</f>
        <v/>
      </c>
      <c r="N48" s="64">
        <f>IF($A48="","",IFERROR(INDEX(부서매핑!$C$5:$C$504,MATCH($G48&amp;"",부서매핑!$A$5:$A$504,0)),"미매핑"))</f>
        <v/>
      </c>
      <c r="O48" s="9">
        <f>IF($A48="","",N48&amp;"|"&amp;$F48)</f>
        <v/>
      </c>
      <c r="P48" s="94">
        <f>IF($A48="",0,$H48*설정!$C$23)</f>
        <v/>
      </c>
      <c r="Q48" s="64">
        <f>IF($A48="","",IF(O48&lt;&gt;원인분석!$C$9,"",IF(AND(M48&gt;=원인분석!$C$10,M48&lt;=원인분석!$C$11),"당기",IF(AND(M48&gt;=원인분석!$C$12,M48&lt;=원인분석!$C$13),"비교",""))))</f>
        <v/>
      </c>
      <c r="R48" s="9">
        <f>IF(Q48="","",$K48&amp;"")</f>
        <v/>
      </c>
      <c r="S48" s="9">
        <f>IF(Q48="","",IF(MATCH(R48,$R$5:$R$100000,0)=ROW()-4,ROW(),""))</f>
        <v/>
      </c>
      <c r="T48" s="9">
        <f>IF(Q48="당기",ABS(P48)+ROW()/1000000000,"")</f>
        <v/>
      </c>
      <c r="U48" s="9">
        <f>IF(Q48="비교",ABS(P48)+ROW()/1000000000,"")</f>
        <v/>
      </c>
      <c r="V48" s="64">
        <f>IF($A48="","",IF(COUNTIF(변동분석!$E$7:$E$506,O48)&gt;0,"Y","N"))</f>
        <v/>
      </c>
      <c r="W48" s="64">
        <f>IF($A48="","",IFERROR(INDEX(계정매핑!$D$5:$D$504,MATCH($F48&amp;"",계정매핑!$A$5:$A$504,0)),"미매핑"))</f>
        <v/>
      </c>
      <c r="X48" s="9">
        <f>IF($A48="","",$F48&amp;"")</f>
        <v/>
      </c>
      <c r="Y48" s="94">
        <f>IF($A48="",0,IF(AE48="직접",IF(AF48="비귀속",$P48,0),$P48*(1-AG48)*IFERROR(INDEX(계정대체기준!$F$20:$F$49,MATCH($N48,계정대체기준!$A$20:$A$49,0)),1)))</f>
        <v/>
      </c>
      <c r="Z48" s="94">
        <f>IF($A48="",0,IF(AE48="직접",IF(AF48="신계약비",$P48,0),$P48*(1-AG48)*IFERROR(INDEX(계정대체기준!$C$20:$C$49,MATCH($N48,계정대체기준!$A$20:$A$49,0)),0)))</f>
        <v/>
      </c>
      <c r="AA48" s="94">
        <f>IF($A48="",0,IF(AE48="직접",IF(OR(AF48="유지비",AF48="손해조사비"),$P48,0),$P48*(1-AG48)*IFERROR(INDEX(계정대체기준!$D$20:$D$49,MATCH($N48,계정대체기준!$A$20:$A$49,0)),0)))</f>
        <v/>
      </c>
      <c r="AB48" s="94">
        <f>IF($A48="",0,IF(AE48="직접",IF(AF48="수금비",$P48,0),$P48*(1-AG48)*IFERROR(INDEX(계정대체기준!$E$20:$E$49,MATCH($N48,계정대체기준!$A$20:$A$49,0)),0)))</f>
        <v/>
      </c>
      <c r="AC48" s="9">
        <f>IF(AND($A48&lt;&gt;"",M48=설정!$C$20,Z48&gt;0),Z48+ROW()/1000000000,"")</f>
        <v/>
      </c>
      <c r="AD48" s="94">
        <f>IF($A48="",0,$P48*AG48)</f>
        <v/>
      </c>
      <c r="AE48" s="64">
        <f>IF($A48="","",IFERROR(INDEX(계정매핑!$E$5:$E$504,MATCH($F48&amp;"",계정매핑!$A$5:$A$504,0))&amp;"","공통비"))</f>
        <v/>
      </c>
      <c r="AF48" s="64">
        <f>IF($A48="","",IF(AE48="직접",IFERROR(INDEX(계정매핑!$F$5:$F$504,MATCH($F48&amp;"",계정매핑!$A$5:$A$504,0))&amp;"","비귀속"),""))</f>
        <v/>
      </c>
      <c r="AG48" s="96">
        <f>IF($A48="",0,IF(AND(AE48&lt;&gt;"직접",IFERROR(INDEX(계정매핑!$G$5:$G$504,MATCH($F48&amp;"",계정매핑!$A$5:$A$504,0))&amp;"","")="유지비",COUNTIF(계정대체기준!$A$6:$A$15,$N48)&gt;0),IFERROR(INDEX(계정대체기준!$E$6:$E$15,MATCH(VALUE($A48&amp;""),계정대체기준!$D$6:$D$15,0)),0),0))</f>
        <v/>
      </c>
      <c r="AH48" s="64">
        <f>IF($A48="","",IF(AD48=0,"",IF(OR(COUNTIF(계정대체기준!$A$77:$A$86,$N48)&gt;0,ISNUMBER(MATCH($X48,계정대체기준!$D$77:$D$86,0)),ISNUMBER(MATCH($F48,계정대체기준!$D$77:$D$86,0))),"Y","N")))</f>
        <v/>
      </c>
    </row>
    <row r="49">
      <c r="A49" s="92" t="n">
        <v>2025</v>
      </c>
      <c r="B49" s="92" t="n">
        <v>1</v>
      </c>
      <c r="C49" s="92" t="inlineStr">
        <is>
          <t>5100000045</t>
        </is>
      </c>
      <c r="D49" s="95" t="n">
        <v>45663</v>
      </c>
      <c r="E49" s="92" t="inlineStr">
        <is>
          <t>KR</t>
        </is>
      </c>
      <c r="F49" s="92" t="n">
        <v>62802000</v>
      </c>
      <c r="G49" s="92" t="n">
        <v>1301</v>
      </c>
      <c r="H49" s="93" t="n">
        <v>5790000</v>
      </c>
      <c r="I49" s="92" t="inlineStr">
        <is>
          <t>1월 위탁교육 - I교육원</t>
        </is>
      </c>
      <c r="J49" s="92" t="inlineStr">
        <is>
          <t>V10019</t>
        </is>
      </c>
      <c r="K49" s="92" t="inlineStr">
        <is>
          <t>I교육원</t>
        </is>
      </c>
      <c r="M49" s="9">
        <f>IF($A49="","",VALUE($A49&amp;"")*12+VALUE($B49&amp;""))</f>
        <v/>
      </c>
      <c r="N49" s="64">
        <f>IF($A49="","",IFERROR(INDEX(부서매핑!$C$5:$C$504,MATCH($G49&amp;"",부서매핑!$A$5:$A$504,0)),"미매핑"))</f>
        <v/>
      </c>
      <c r="O49" s="9">
        <f>IF($A49="","",N49&amp;"|"&amp;$F49)</f>
        <v/>
      </c>
      <c r="P49" s="94">
        <f>IF($A49="",0,$H49*설정!$C$23)</f>
        <v/>
      </c>
      <c r="Q49" s="64">
        <f>IF($A49="","",IF(O49&lt;&gt;원인분석!$C$9,"",IF(AND(M49&gt;=원인분석!$C$10,M49&lt;=원인분석!$C$11),"당기",IF(AND(M49&gt;=원인분석!$C$12,M49&lt;=원인분석!$C$13),"비교",""))))</f>
        <v/>
      </c>
      <c r="R49" s="9">
        <f>IF(Q49="","",$K49&amp;"")</f>
        <v/>
      </c>
      <c r="S49" s="9">
        <f>IF(Q49="","",IF(MATCH(R49,$R$5:$R$100000,0)=ROW()-4,ROW(),""))</f>
        <v/>
      </c>
      <c r="T49" s="9">
        <f>IF(Q49="당기",ABS(P49)+ROW()/1000000000,"")</f>
        <v/>
      </c>
      <c r="U49" s="9">
        <f>IF(Q49="비교",ABS(P49)+ROW()/1000000000,"")</f>
        <v/>
      </c>
      <c r="V49" s="64">
        <f>IF($A49="","",IF(COUNTIF(변동분석!$E$7:$E$506,O49)&gt;0,"Y","N"))</f>
        <v/>
      </c>
      <c r="W49" s="64">
        <f>IF($A49="","",IFERROR(INDEX(계정매핑!$D$5:$D$504,MATCH($F49&amp;"",계정매핑!$A$5:$A$504,0)),"미매핑"))</f>
        <v/>
      </c>
      <c r="X49" s="9">
        <f>IF($A49="","",$F49&amp;"")</f>
        <v/>
      </c>
      <c r="Y49" s="94">
        <f>IF($A49="",0,IF(AE49="직접",IF(AF49="비귀속",$P49,0),$P49*(1-AG49)*IFERROR(INDEX(계정대체기준!$F$20:$F$49,MATCH($N49,계정대체기준!$A$20:$A$49,0)),1)))</f>
        <v/>
      </c>
      <c r="Z49" s="94">
        <f>IF($A49="",0,IF(AE49="직접",IF(AF49="신계약비",$P49,0),$P49*(1-AG49)*IFERROR(INDEX(계정대체기준!$C$20:$C$49,MATCH($N49,계정대체기준!$A$20:$A$49,0)),0)))</f>
        <v/>
      </c>
      <c r="AA49" s="94">
        <f>IF($A49="",0,IF(AE49="직접",IF(OR(AF49="유지비",AF49="손해조사비"),$P49,0),$P49*(1-AG49)*IFERROR(INDEX(계정대체기준!$D$20:$D$49,MATCH($N49,계정대체기준!$A$20:$A$49,0)),0)))</f>
        <v/>
      </c>
      <c r="AB49" s="94">
        <f>IF($A49="",0,IF(AE49="직접",IF(AF49="수금비",$P49,0),$P49*(1-AG49)*IFERROR(INDEX(계정대체기준!$E$20:$E$49,MATCH($N49,계정대체기준!$A$20:$A$49,0)),0)))</f>
        <v/>
      </c>
      <c r="AC49" s="9">
        <f>IF(AND($A49&lt;&gt;"",M49=설정!$C$20,Z49&gt;0),Z49+ROW()/1000000000,"")</f>
        <v/>
      </c>
      <c r="AD49" s="94">
        <f>IF($A49="",0,$P49*AG49)</f>
        <v/>
      </c>
      <c r="AE49" s="64">
        <f>IF($A49="","",IFERROR(INDEX(계정매핑!$E$5:$E$504,MATCH($F49&amp;"",계정매핑!$A$5:$A$504,0))&amp;"","공통비"))</f>
        <v/>
      </c>
      <c r="AF49" s="64">
        <f>IF($A49="","",IF(AE49="직접",IFERROR(INDEX(계정매핑!$F$5:$F$504,MATCH($F49&amp;"",계정매핑!$A$5:$A$504,0))&amp;"","비귀속"),""))</f>
        <v/>
      </c>
      <c r="AG49" s="96">
        <f>IF($A49="",0,IF(AND(AE49&lt;&gt;"직접",IFERROR(INDEX(계정매핑!$G$5:$G$504,MATCH($F49&amp;"",계정매핑!$A$5:$A$504,0))&amp;"","")="유지비",COUNTIF(계정대체기준!$A$6:$A$15,$N49)&gt;0),IFERROR(INDEX(계정대체기준!$E$6:$E$15,MATCH(VALUE($A49&amp;""),계정대체기준!$D$6:$D$15,0)),0),0))</f>
        <v/>
      </c>
      <c r="AH49" s="64">
        <f>IF($A49="","",IF(AD49=0,"",IF(OR(COUNTIF(계정대체기준!$A$77:$A$86,$N49)&gt;0,ISNUMBER(MATCH($X49,계정대체기준!$D$77:$D$86,0)),ISNUMBER(MATCH($F49,계정대체기준!$D$77:$D$86,0))),"Y","N")))</f>
        <v/>
      </c>
    </row>
    <row r="50">
      <c r="A50" s="92" t="n">
        <v>2025</v>
      </c>
      <c r="B50" s="92" t="n">
        <v>1</v>
      </c>
      <c r="C50" s="92" t="inlineStr">
        <is>
          <t>5100000046</t>
        </is>
      </c>
      <c r="D50" s="95" t="n">
        <v>45663</v>
      </c>
      <c r="E50" s="92" t="inlineStr">
        <is>
          <t>KR</t>
        </is>
      </c>
      <c r="F50" s="92" t="n">
        <v>62902000</v>
      </c>
      <c r="G50" s="92" t="n">
        <v>1101</v>
      </c>
      <c r="H50" s="93" t="n">
        <v>1240000</v>
      </c>
      <c r="I50" s="92" t="inlineStr">
        <is>
          <t>1월 업무 위탁 수수료 - X서비스</t>
        </is>
      </c>
      <c r="J50" s="92" t="inlineStr">
        <is>
          <t>V10020</t>
        </is>
      </c>
      <c r="K50" s="92" t="inlineStr">
        <is>
          <t>X서비스</t>
        </is>
      </c>
      <c r="M50" s="9">
        <f>IF($A50="","",VALUE($A50&amp;"")*12+VALUE($B50&amp;""))</f>
        <v/>
      </c>
      <c r="N50" s="64">
        <f>IF($A50="","",IFERROR(INDEX(부서매핑!$C$5:$C$504,MATCH($G50&amp;"",부서매핑!$A$5:$A$504,0)),"미매핑"))</f>
        <v/>
      </c>
      <c r="O50" s="9">
        <f>IF($A50="","",N50&amp;"|"&amp;$F50)</f>
        <v/>
      </c>
      <c r="P50" s="94">
        <f>IF($A50="",0,$H50*설정!$C$23)</f>
        <v/>
      </c>
      <c r="Q50" s="64">
        <f>IF($A50="","",IF(O50&lt;&gt;원인분석!$C$9,"",IF(AND(M50&gt;=원인분석!$C$10,M50&lt;=원인분석!$C$11),"당기",IF(AND(M50&gt;=원인분석!$C$12,M50&lt;=원인분석!$C$13),"비교",""))))</f>
        <v/>
      </c>
      <c r="R50" s="9">
        <f>IF(Q50="","",$K50&amp;"")</f>
        <v/>
      </c>
      <c r="S50" s="9">
        <f>IF(Q50="","",IF(MATCH(R50,$R$5:$R$100000,0)=ROW()-4,ROW(),""))</f>
        <v/>
      </c>
      <c r="T50" s="9">
        <f>IF(Q50="당기",ABS(P50)+ROW()/1000000000,"")</f>
        <v/>
      </c>
      <c r="U50" s="9">
        <f>IF(Q50="비교",ABS(P50)+ROW()/1000000000,"")</f>
        <v/>
      </c>
      <c r="V50" s="64">
        <f>IF($A50="","",IF(COUNTIF(변동분석!$E$7:$E$506,O50)&gt;0,"Y","N"))</f>
        <v/>
      </c>
      <c r="W50" s="64">
        <f>IF($A50="","",IFERROR(INDEX(계정매핑!$D$5:$D$504,MATCH($F50&amp;"",계정매핑!$A$5:$A$504,0)),"미매핑"))</f>
        <v/>
      </c>
      <c r="X50" s="9">
        <f>IF($A50="","",$F50&amp;"")</f>
        <v/>
      </c>
      <c r="Y50" s="94">
        <f>IF($A50="",0,IF(AE50="직접",IF(AF50="비귀속",$P50,0),$P50*(1-AG50)*IFERROR(INDEX(계정대체기준!$F$20:$F$49,MATCH($N50,계정대체기준!$A$20:$A$49,0)),1)))</f>
        <v/>
      </c>
      <c r="Z50" s="94">
        <f>IF($A50="",0,IF(AE50="직접",IF(AF50="신계약비",$P50,0),$P50*(1-AG50)*IFERROR(INDEX(계정대체기준!$C$20:$C$49,MATCH($N50,계정대체기준!$A$20:$A$49,0)),0)))</f>
        <v/>
      </c>
      <c r="AA50" s="94">
        <f>IF($A50="",0,IF(AE50="직접",IF(OR(AF50="유지비",AF50="손해조사비"),$P50,0),$P50*(1-AG50)*IFERROR(INDEX(계정대체기준!$D$20:$D$49,MATCH($N50,계정대체기준!$A$20:$A$49,0)),0)))</f>
        <v/>
      </c>
      <c r="AB50" s="94">
        <f>IF($A50="",0,IF(AE50="직접",IF(AF50="수금비",$P50,0),$P50*(1-AG50)*IFERROR(INDEX(계정대체기준!$E$20:$E$49,MATCH($N50,계정대체기준!$A$20:$A$49,0)),0)))</f>
        <v/>
      </c>
      <c r="AC50" s="9">
        <f>IF(AND($A50&lt;&gt;"",M50=설정!$C$20,Z50&gt;0),Z50+ROW()/1000000000,"")</f>
        <v/>
      </c>
      <c r="AD50" s="94">
        <f>IF($A50="",0,$P50*AG50)</f>
        <v/>
      </c>
      <c r="AE50" s="64">
        <f>IF($A50="","",IFERROR(INDEX(계정매핑!$E$5:$E$504,MATCH($F50&amp;"",계정매핑!$A$5:$A$504,0))&amp;"","공통비"))</f>
        <v/>
      </c>
      <c r="AF50" s="64">
        <f>IF($A50="","",IF(AE50="직접",IFERROR(INDEX(계정매핑!$F$5:$F$504,MATCH($F50&amp;"",계정매핑!$A$5:$A$504,0))&amp;"","비귀속"),""))</f>
        <v/>
      </c>
      <c r="AG50" s="96">
        <f>IF($A50="",0,IF(AND(AE50&lt;&gt;"직접",IFERROR(INDEX(계정매핑!$G$5:$G$504,MATCH($F50&amp;"",계정매핑!$A$5:$A$504,0))&amp;"","")="유지비",COUNTIF(계정대체기준!$A$6:$A$15,$N50)&gt;0),IFERROR(INDEX(계정대체기준!$E$6:$E$15,MATCH(VALUE($A50&amp;""),계정대체기준!$D$6:$D$15,0)),0),0))</f>
        <v/>
      </c>
      <c r="AH50" s="64">
        <f>IF($A50="","",IF(AD50=0,"",IF(OR(COUNTIF(계정대체기준!$A$77:$A$86,$N50)&gt;0,ISNUMBER(MATCH($X50,계정대체기준!$D$77:$D$86,0)),ISNUMBER(MATCH($F50,계정대체기준!$D$77:$D$86,0))),"Y","N")))</f>
        <v/>
      </c>
    </row>
    <row r="51">
      <c r="A51" s="92" t="n">
        <v>2025</v>
      </c>
      <c r="B51" s="92" t="n">
        <v>1</v>
      </c>
      <c r="C51" s="92" t="inlineStr">
        <is>
          <t>5100000047</t>
        </is>
      </c>
      <c r="D51" s="95" t="n">
        <v>45663</v>
      </c>
      <c r="E51" s="92" t="inlineStr">
        <is>
          <t>KR</t>
        </is>
      </c>
      <c r="F51" s="92" t="n">
        <v>62902000</v>
      </c>
      <c r="G51" s="92" t="n">
        <v>1951</v>
      </c>
      <c r="H51" s="93" t="n">
        <v>2140000</v>
      </c>
      <c r="I51" s="92" t="inlineStr">
        <is>
          <t>1월 업무 위탁 수수료 - X서비스</t>
        </is>
      </c>
      <c r="J51" s="92" t="inlineStr">
        <is>
          <t>V10020</t>
        </is>
      </c>
      <c r="K51" s="92" t="inlineStr">
        <is>
          <t>X서비스</t>
        </is>
      </c>
      <c r="M51" s="9">
        <f>IF($A51="","",VALUE($A51&amp;"")*12+VALUE($B51&amp;""))</f>
        <v/>
      </c>
      <c r="N51" s="64">
        <f>IF($A51="","",IFERROR(INDEX(부서매핑!$C$5:$C$504,MATCH($G51&amp;"",부서매핑!$A$5:$A$504,0)),"미매핑"))</f>
        <v/>
      </c>
      <c r="O51" s="9">
        <f>IF($A51="","",N51&amp;"|"&amp;$F51)</f>
        <v/>
      </c>
      <c r="P51" s="94">
        <f>IF($A51="",0,$H51*설정!$C$23)</f>
        <v/>
      </c>
      <c r="Q51" s="64">
        <f>IF($A51="","",IF(O51&lt;&gt;원인분석!$C$9,"",IF(AND(M51&gt;=원인분석!$C$10,M51&lt;=원인분석!$C$11),"당기",IF(AND(M51&gt;=원인분석!$C$12,M51&lt;=원인분석!$C$13),"비교",""))))</f>
        <v/>
      </c>
      <c r="R51" s="9">
        <f>IF(Q51="","",$K51&amp;"")</f>
        <v/>
      </c>
      <c r="S51" s="9">
        <f>IF(Q51="","",IF(MATCH(R51,$R$5:$R$100000,0)=ROW()-4,ROW(),""))</f>
        <v/>
      </c>
      <c r="T51" s="9">
        <f>IF(Q51="당기",ABS(P51)+ROW()/1000000000,"")</f>
        <v/>
      </c>
      <c r="U51" s="9">
        <f>IF(Q51="비교",ABS(P51)+ROW()/1000000000,"")</f>
        <v/>
      </c>
      <c r="V51" s="64">
        <f>IF($A51="","",IF(COUNTIF(변동분석!$E$7:$E$506,O51)&gt;0,"Y","N"))</f>
        <v/>
      </c>
      <c r="W51" s="64">
        <f>IF($A51="","",IFERROR(INDEX(계정매핑!$D$5:$D$504,MATCH($F51&amp;"",계정매핑!$A$5:$A$504,0)),"미매핑"))</f>
        <v/>
      </c>
      <c r="X51" s="9">
        <f>IF($A51="","",$F51&amp;"")</f>
        <v/>
      </c>
      <c r="Y51" s="94">
        <f>IF($A51="",0,IF(AE51="직접",IF(AF51="비귀속",$P51,0),$P51*(1-AG51)*IFERROR(INDEX(계정대체기준!$F$20:$F$49,MATCH($N51,계정대체기준!$A$20:$A$49,0)),1)))</f>
        <v/>
      </c>
      <c r="Z51" s="94">
        <f>IF($A51="",0,IF(AE51="직접",IF(AF51="신계약비",$P51,0),$P51*(1-AG51)*IFERROR(INDEX(계정대체기준!$C$20:$C$49,MATCH($N51,계정대체기준!$A$20:$A$49,0)),0)))</f>
        <v/>
      </c>
      <c r="AA51" s="94">
        <f>IF($A51="",0,IF(AE51="직접",IF(OR(AF51="유지비",AF51="손해조사비"),$P51,0),$P51*(1-AG51)*IFERROR(INDEX(계정대체기준!$D$20:$D$49,MATCH($N51,계정대체기준!$A$20:$A$49,0)),0)))</f>
        <v/>
      </c>
      <c r="AB51" s="94">
        <f>IF($A51="",0,IF(AE51="직접",IF(AF51="수금비",$P51,0),$P51*(1-AG51)*IFERROR(INDEX(계정대체기준!$E$20:$E$49,MATCH($N51,계정대체기준!$A$20:$A$49,0)),0)))</f>
        <v/>
      </c>
      <c r="AC51" s="9">
        <f>IF(AND($A51&lt;&gt;"",M51=설정!$C$20,Z51&gt;0),Z51+ROW()/1000000000,"")</f>
        <v/>
      </c>
      <c r="AD51" s="94">
        <f>IF($A51="",0,$P51*AG51)</f>
        <v/>
      </c>
      <c r="AE51" s="64">
        <f>IF($A51="","",IFERROR(INDEX(계정매핑!$E$5:$E$504,MATCH($F51&amp;"",계정매핑!$A$5:$A$504,0))&amp;"","공통비"))</f>
        <v/>
      </c>
      <c r="AF51" s="64">
        <f>IF($A51="","",IF(AE51="직접",IFERROR(INDEX(계정매핑!$F$5:$F$504,MATCH($F51&amp;"",계정매핑!$A$5:$A$504,0))&amp;"","비귀속"),""))</f>
        <v/>
      </c>
      <c r="AG51" s="96">
        <f>IF($A51="",0,IF(AND(AE51&lt;&gt;"직접",IFERROR(INDEX(계정매핑!$G$5:$G$504,MATCH($F51&amp;"",계정매핑!$A$5:$A$504,0))&amp;"","")="유지비",COUNTIF(계정대체기준!$A$6:$A$15,$N51)&gt;0),IFERROR(INDEX(계정대체기준!$E$6:$E$15,MATCH(VALUE($A51&amp;""),계정대체기준!$D$6:$D$15,0)),0),0))</f>
        <v/>
      </c>
      <c r="AH51" s="64">
        <f>IF($A51="","",IF(AD51=0,"",IF(OR(COUNTIF(계정대체기준!$A$77:$A$86,$N51)&gt;0,ISNUMBER(MATCH($X51,계정대체기준!$D$77:$D$86,0)),ISNUMBER(MATCH($F51,계정대체기준!$D$77:$D$86,0))),"Y","N")))</f>
        <v/>
      </c>
    </row>
    <row r="52">
      <c r="A52" s="92" t="n">
        <v>2025</v>
      </c>
      <c r="B52" s="92" t="n">
        <v>1</v>
      </c>
      <c r="C52" s="92" t="inlineStr">
        <is>
          <t>5100000048</t>
        </is>
      </c>
      <c r="D52" s="95" t="n">
        <v>45663</v>
      </c>
      <c r="E52" s="92" t="inlineStr">
        <is>
          <t>KR</t>
        </is>
      </c>
      <c r="F52" s="92" t="n">
        <v>63001000</v>
      </c>
      <c r="G52" s="92" t="n">
        <v>1701</v>
      </c>
      <c r="H52" s="93" t="n">
        <v>17436000</v>
      </c>
      <c r="I52" s="92" t="inlineStr">
        <is>
          <t>1월 SW 유지보수 - Y소프트</t>
        </is>
      </c>
      <c r="J52" s="92" t="inlineStr">
        <is>
          <t>V10017</t>
        </is>
      </c>
      <c r="K52" s="92" t="inlineStr">
        <is>
          <t>Y소프트</t>
        </is>
      </c>
      <c r="M52" s="9">
        <f>IF($A52="","",VALUE($A52&amp;"")*12+VALUE($B52&amp;""))</f>
        <v/>
      </c>
      <c r="N52" s="64">
        <f>IF($A52="","",IFERROR(INDEX(부서매핑!$C$5:$C$504,MATCH($G52&amp;"",부서매핑!$A$5:$A$504,0)),"미매핑"))</f>
        <v/>
      </c>
      <c r="O52" s="9">
        <f>IF($A52="","",N52&amp;"|"&amp;$F52)</f>
        <v/>
      </c>
      <c r="P52" s="94">
        <f>IF($A52="",0,$H52*설정!$C$23)</f>
        <v/>
      </c>
      <c r="Q52" s="64">
        <f>IF($A52="","",IF(O52&lt;&gt;원인분석!$C$9,"",IF(AND(M52&gt;=원인분석!$C$10,M52&lt;=원인분석!$C$11),"당기",IF(AND(M52&gt;=원인분석!$C$12,M52&lt;=원인분석!$C$13),"비교",""))))</f>
        <v/>
      </c>
      <c r="R52" s="9">
        <f>IF(Q52="","",$K52&amp;"")</f>
        <v/>
      </c>
      <c r="S52" s="9">
        <f>IF(Q52="","",IF(MATCH(R52,$R$5:$R$100000,0)=ROW()-4,ROW(),""))</f>
        <v/>
      </c>
      <c r="T52" s="9">
        <f>IF(Q52="당기",ABS(P52)+ROW()/1000000000,"")</f>
        <v/>
      </c>
      <c r="U52" s="9">
        <f>IF(Q52="비교",ABS(P52)+ROW()/1000000000,"")</f>
        <v/>
      </c>
      <c r="V52" s="64">
        <f>IF($A52="","",IF(COUNTIF(변동분석!$E$7:$E$506,O52)&gt;0,"Y","N"))</f>
        <v/>
      </c>
      <c r="W52" s="64">
        <f>IF($A52="","",IFERROR(INDEX(계정매핑!$D$5:$D$504,MATCH($F52&amp;"",계정매핑!$A$5:$A$504,0)),"미매핑"))</f>
        <v/>
      </c>
      <c r="X52" s="9">
        <f>IF($A52="","",$F52&amp;"")</f>
        <v/>
      </c>
      <c r="Y52" s="94">
        <f>IF($A52="",0,IF(AE52="직접",IF(AF52="비귀속",$P52,0),$P52*(1-AG52)*IFERROR(INDEX(계정대체기준!$F$20:$F$49,MATCH($N52,계정대체기준!$A$20:$A$49,0)),1)))</f>
        <v/>
      </c>
      <c r="Z52" s="94">
        <f>IF($A52="",0,IF(AE52="직접",IF(AF52="신계약비",$P52,0),$P52*(1-AG52)*IFERROR(INDEX(계정대체기준!$C$20:$C$49,MATCH($N52,계정대체기준!$A$20:$A$49,0)),0)))</f>
        <v/>
      </c>
      <c r="AA52" s="94">
        <f>IF($A52="",0,IF(AE52="직접",IF(OR(AF52="유지비",AF52="손해조사비"),$P52,0),$P52*(1-AG52)*IFERROR(INDEX(계정대체기준!$D$20:$D$49,MATCH($N52,계정대체기준!$A$20:$A$49,0)),0)))</f>
        <v/>
      </c>
      <c r="AB52" s="94">
        <f>IF($A52="",0,IF(AE52="직접",IF(AF52="수금비",$P52,0),$P52*(1-AG52)*IFERROR(INDEX(계정대체기준!$E$20:$E$49,MATCH($N52,계정대체기준!$A$20:$A$49,0)),0)))</f>
        <v/>
      </c>
      <c r="AC52" s="9">
        <f>IF(AND($A52&lt;&gt;"",M52=설정!$C$20,Z52&gt;0),Z52+ROW()/1000000000,"")</f>
        <v/>
      </c>
      <c r="AD52" s="94">
        <f>IF($A52="",0,$P52*AG52)</f>
        <v/>
      </c>
      <c r="AE52" s="64">
        <f>IF($A52="","",IFERROR(INDEX(계정매핑!$E$5:$E$504,MATCH($F52&amp;"",계정매핑!$A$5:$A$504,0))&amp;"","공통비"))</f>
        <v/>
      </c>
      <c r="AF52" s="64">
        <f>IF($A52="","",IF(AE52="직접",IFERROR(INDEX(계정매핑!$F$5:$F$504,MATCH($F52&amp;"",계정매핑!$A$5:$A$504,0))&amp;"","비귀속"),""))</f>
        <v/>
      </c>
      <c r="AG52" s="96">
        <f>IF($A52="",0,IF(AND(AE52&lt;&gt;"직접",IFERROR(INDEX(계정매핑!$G$5:$G$504,MATCH($F52&amp;"",계정매핑!$A$5:$A$504,0))&amp;"","")="유지비",COUNTIF(계정대체기준!$A$6:$A$15,$N52)&gt;0),IFERROR(INDEX(계정대체기준!$E$6:$E$15,MATCH(VALUE($A52&amp;""),계정대체기준!$D$6:$D$15,0)),0),0))</f>
        <v/>
      </c>
      <c r="AH52" s="64">
        <f>IF($A52="","",IF(AD52=0,"",IF(OR(COUNTIF(계정대체기준!$A$77:$A$86,$N52)&gt;0,ISNUMBER(MATCH($X52,계정대체기준!$D$77:$D$86,0)),ISNUMBER(MATCH($F52,계정대체기준!$D$77:$D$86,0))),"Y","N")))</f>
        <v/>
      </c>
    </row>
    <row r="53">
      <c r="A53" s="92" t="n">
        <v>2025</v>
      </c>
      <c r="B53" s="92" t="n">
        <v>1</v>
      </c>
      <c r="C53" s="92" t="inlineStr">
        <is>
          <t>5100000049</t>
        </is>
      </c>
      <c r="D53" s="95" t="n">
        <v>45663</v>
      </c>
      <c r="E53" s="92" t="inlineStr">
        <is>
          <t>KR</t>
        </is>
      </c>
      <c r="F53" s="92" t="n">
        <v>63502000</v>
      </c>
      <c r="G53" s="92" t="n">
        <v>1902</v>
      </c>
      <c r="H53" s="93" t="n">
        <v>153070000</v>
      </c>
      <c r="I53" s="92" t="inlineStr">
        <is>
          <t>1월 유지수수료 - (전속설계사)</t>
        </is>
      </c>
      <c r="J53" s="92" t="inlineStr">
        <is>
          <t>V10021</t>
        </is>
      </c>
      <c r="K53" s="92" t="inlineStr">
        <is>
          <t>(전속설계사)</t>
        </is>
      </c>
      <c r="M53" s="9">
        <f>IF($A53="","",VALUE($A53&amp;"")*12+VALUE($B53&amp;""))</f>
        <v/>
      </c>
      <c r="N53" s="64">
        <f>IF($A53="","",IFERROR(INDEX(부서매핑!$C$5:$C$504,MATCH($G53&amp;"",부서매핑!$A$5:$A$504,0)),"미매핑"))</f>
        <v/>
      </c>
      <c r="O53" s="9">
        <f>IF($A53="","",N53&amp;"|"&amp;$F53)</f>
        <v/>
      </c>
      <c r="P53" s="94">
        <f>IF($A53="",0,$H53*설정!$C$23)</f>
        <v/>
      </c>
      <c r="Q53" s="64">
        <f>IF($A53="","",IF(O53&lt;&gt;원인분석!$C$9,"",IF(AND(M53&gt;=원인분석!$C$10,M53&lt;=원인분석!$C$11),"당기",IF(AND(M53&gt;=원인분석!$C$12,M53&lt;=원인분석!$C$13),"비교",""))))</f>
        <v/>
      </c>
      <c r="R53" s="9">
        <f>IF(Q53="","",$K53&amp;"")</f>
        <v/>
      </c>
      <c r="S53" s="9">
        <f>IF(Q53="","",IF(MATCH(R53,$R$5:$R$100000,0)=ROW()-4,ROW(),""))</f>
        <v/>
      </c>
      <c r="T53" s="9">
        <f>IF(Q53="당기",ABS(P53)+ROW()/1000000000,"")</f>
        <v/>
      </c>
      <c r="U53" s="9">
        <f>IF(Q53="비교",ABS(P53)+ROW()/1000000000,"")</f>
        <v/>
      </c>
      <c r="V53" s="64">
        <f>IF($A53="","",IF(COUNTIF(변동분석!$E$7:$E$506,O53)&gt;0,"Y","N"))</f>
        <v/>
      </c>
      <c r="W53" s="64">
        <f>IF($A53="","",IFERROR(INDEX(계정매핑!$D$5:$D$504,MATCH($F53&amp;"",계정매핑!$A$5:$A$504,0)),"미매핑"))</f>
        <v/>
      </c>
      <c r="X53" s="9">
        <f>IF($A53="","",$F53&amp;"")</f>
        <v/>
      </c>
      <c r="Y53" s="94">
        <f>IF($A53="",0,IF(AE53="직접",IF(AF53="비귀속",$P53,0),$P53*(1-AG53)*IFERROR(INDEX(계정대체기준!$F$20:$F$49,MATCH($N53,계정대체기준!$A$20:$A$49,0)),1)))</f>
        <v/>
      </c>
      <c r="Z53" s="94">
        <f>IF($A53="",0,IF(AE53="직접",IF(AF53="신계약비",$P53,0),$P53*(1-AG53)*IFERROR(INDEX(계정대체기준!$C$20:$C$49,MATCH($N53,계정대체기준!$A$20:$A$49,0)),0)))</f>
        <v/>
      </c>
      <c r="AA53" s="94">
        <f>IF($A53="",0,IF(AE53="직접",IF(OR(AF53="유지비",AF53="손해조사비"),$P53,0),$P53*(1-AG53)*IFERROR(INDEX(계정대체기준!$D$20:$D$49,MATCH($N53,계정대체기준!$A$20:$A$49,0)),0)))</f>
        <v/>
      </c>
      <c r="AB53" s="94">
        <f>IF($A53="",0,IF(AE53="직접",IF(AF53="수금비",$P53,0),$P53*(1-AG53)*IFERROR(INDEX(계정대체기준!$E$20:$E$49,MATCH($N53,계정대체기준!$A$20:$A$49,0)),0)))</f>
        <v/>
      </c>
      <c r="AC53" s="9">
        <f>IF(AND($A53&lt;&gt;"",M53=설정!$C$20,Z53&gt;0),Z53+ROW()/1000000000,"")</f>
        <v/>
      </c>
      <c r="AD53" s="94">
        <f>IF($A53="",0,$P53*AG53)</f>
        <v/>
      </c>
      <c r="AE53" s="64">
        <f>IF($A53="","",IFERROR(INDEX(계정매핑!$E$5:$E$504,MATCH($F53&amp;"",계정매핑!$A$5:$A$504,0))&amp;"","공통비"))</f>
        <v/>
      </c>
      <c r="AF53" s="64">
        <f>IF($A53="","",IF(AE53="직접",IFERROR(INDEX(계정매핑!$F$5:$F$504,MATCH($F53&amp;"",계정매핑!$A$5:$A$504,0))&amp;"","비귀속"),""))</f>
        <v/>
      </c>
      <c r="AG53" s="96">
        <f>IF($A53="",0,IF(AND(AE53&lt;&gt;"직접",IFERROR(INDEX(계정매핑!$G$5:$G$504,MATCH($F53&amp;"",계정매핑!$A$5:$A$504,0))&amp;"","")="유지비",COUNTIF(계정대체기준!$A$6:$A$15,$N53)&gt;0),IFERROR(INDEX(계정대체기준!$E$6:$E$15,MATCH(VALUE($A53&amp;""),계정대체기준!$D$6:$D$15,0)),0),0))</f>
        <v/>
      </c>
      <c r="AH53" s="64">
        <f>IF($A53="","",IF(AD53=0,"",IF(OR(COUNTIF(계정대체기준!$A$77:$A$86,$N53)&gt;0,ISNUMBER(MATCH($X53,계정대체기준!$D$77:$D$86,0)),ISNUMBER(MATCH($F53,계정대체기준!$D$77:$D$86,0))),"Y","N")))</f>
        <v/>
      </c>
    </row>
    <row r="54">
      <c r="A54" s="92" t="n">
        <v>2025</v>
      </c>
      <c r="B54" s="92" t="n">
        <v>1</v>
      </c>
      <c r="C54" s="92" t="inlineStr">
        <is>
          <t>5100000050</t>
        </is>
      </c>
      <c r="D54" s="95" t="n">
        <v>45664</v>
      </c>
      <c r="E54" s="92" t="inlineStr">
        <is>
          <t>KR</t>
        </is>
      </c>
      <c r="F54" s="92" t="n">
        <v>62101000</v>
      </c>
      <c r="G54" s="92" t="n">
        <v>1701</v>
      </c>
      <c r="H54" s="93" t="n">
        <v>196000</v>
      </c>
      <c r="I54" s="92" t="inlineStr">
        <is>
          <t>1월 국내출장 - L여행사</t>
        </is>
      </c>
      <c r="J54" s="92" t="inlineStr">
        <is>
          <t>V10018</t>
        </is>
      </c>
      <c r="K54" s="92" t="inlineStr">
        <is>
          <t>L여행사</t>
        </is>
      </c>
      <c r="M54" s="9">
        <f>IF($A54="","",VALUE($A54&amp;"")*12+VALUE($B54&amp;""))</f>
        <v/>
      </c>
      <c r="N54" s="64">
        <f>IF($A54="","",IFERROR(INDEX(부서매핑!$C$5:$C$504,MATCH($G54&amp;"",부서매핑!$A$5:$A$504,0)),"미매핑"))</f>
        <v/>
      </c>
      <c r="O54" s="9">
        <f>IF($A54="","",N54&amp;"|"&amp;$F54)</f>
        <v/>
      </c>
      <c r="P54" s="94">
        <f>IF($A54="",0,$H54*설정!$C$23)</f>
        <v/>
      </c>
      <c r="Q54" s="64">
        <f>IF($A54="","",IF(O54&lt;&gt;원인분석!$C$9,"",IF(AND(M54&gt;=원인분석!$C$10,M54&lt;=원인분석!$C$11),"당기",IF(AND(M54&gt;=원인분석!$C$12,M54&lt;=원인분석!$C$13),"비교",""))))</f>
        <v/>
      </c>
      <c r="R54" s="9">
        <f>IF(Q54="","",$K54&amp;"")</f>
        <v/>
      </c>
      <c r="S54" s="9">
        <f>IF(Q54="","",IF(MATCH(R54,$R$5:$R$100000,0)=ROW()-4,ROW(),""))</f>
        <v/>
      </c>
      <c r="T54" s="9">
        <f>IF(Q54="당기",ABS(P54)+ROW()/1000000000,"")</f>
        <v/>
      </c>
      <c r="U54" s="9">
        <f>IF(Q54="비교",ABS(P54)+ROW()/1000000000,"")</f>
        <v/>
      </c>
      <c r="V54" s="64">
        <f>IF($A54="","",IF(COUNTIF(변동분석!$E$7:$E$506,O54)&gt;0,"Y","N"))</f>
        <v/>
      </c>
      <c r="W54" s="64">
        <f>IF($A54="","",IFERROR(INDEX(계정매핑!$D$5:$D$504,MATCH($F54&amp;"",계정매핑!$A$5:$A$504,0)),"미매핑"))</f>
        <v/>
      </c>
      <c r="X54" s="9">
        <f>IF($A54="","",$F54&amp;"")</f>
        <v/>
      </c>
      <c r="Y54" s="94">
        <f>IF($A54="",0,IF(AE54="직접",IF(AF54="비귀속",$P54,0),$P54*(1-AG54)*IFERROR(INDEX(계정대체기준!$F$20:$F$49,MATCH($N54,계정대체기준!$A$20:$A$49,0)),1)))</f>
        <v/>
      </c>
      <c r="Z54" s="94">
        <f>IF($A54="",0,IF(AE54="직접",IF(AF54="신계약비",$P54,0),$P54*(1-AG54)*IFERROR(INDEX(계정대체기준!$C$20:$C$49,MATCH($N54,계정대체기준!$A$20:$A$49,0)),0)))</f>
        <v/>
      </c>
      <c r="AA54" s="94">
        <f>IF($A54="",0,IF(AE54="직접",IF(OR(AF54="유지비",AF54="손해조사비"),$P54,0),$P54*(1-AG54)*IFERROR(INDEX(계정대체기준!$D$20:$D$49,MATCH($N54,계정대체기준!$A$20:$A$49,0)),0)))</f>
        <v/>
      </c>
      <c r="AB54" s="94">
        <f>IF($A54="",0,IF(AE54="직접",IF(AF54="수금비",$P54,0),$P54*(1-AG54)*IFERROR(INDEX(계정대체기준!$E$20:$E$49,MATCH($N54,계정대체기준!$A$20:$A$49,0)),0)))</f>
        <v/>
      </c>
      <c r="AC54" s="9">
        <f>IF(AND($A54&lt;&gt;"",M54=설정!$C$20,Z54&gt;0),Z54+ROW()/1000000000,"")</f>
        <v/>
      </c>
      <c r="AD54" s="94">
        <f>IF($A54="",0,$P54*AG54)</f>
        <v/>
      </c>
      <c r="AE54" s="64">
        <f>IF($A54="","",IFERROR(INDEX(계정매핑!$E$5:$E$504,MATCH($F54&amp;"",계정매핑!$A$5:$A$504,0))&amp;"","공통비"))</f>
        <v/>
      </c>
      <c r="AF54" s="64">
        <f>IF($A54="","",IF(AE54="직접",IFERROR(INDEX(계정매핑!$F$5:$F$504,MATCH($F54&amp;"",계정매핑!$A$5:$A$504,0))&amp;"","비귀속"),""))</f>
        <v/>
      </c>
      <c r="AG54" s="96">
        <f>IF($A54="",0,IF(AND(AE54&lt;&gt;"직접",IFERROR(INDEX(계정매핑!$G$5:$G$504,MATCH($F54&amp;"",계정매핑!$A$5:$A$504,0))&amp;"","")="유지비",COUNTIF(계정대체기준!$A$6:$A$15,$N54)&gt;0),IFERROR(INDEX(계정대체기준!$E$6:$E$15,MATCH(VALUE($A54&amp;""),계정대체기준!$D$6:$D$15,0)),0),0))</f>
        <v/>
      </c>
      <c r="AH54" s="64">
        <f>IF($A54="","",IF(AD54=0,"",IF(OR(COUNTIF(계정대체기준!$A$77:$A$86,$N54)&gt;0,ISNUMBER(MATCH($X54,계정대체기준!$D$77:$D$86,0)),ISNUMBER(MATCH($F54,계정대체기준!$D$77:$D$86,0))),"Y","N")))</f>
        <v/>
      </c>
    </row>
    <row r="55">
      <c r="A55" s="92" t="n">
        <v>2025</v>
      </c>
      <c r="B55" s="92" t="n">
        <v>1</v>
      </c>
      <c r="C55" s="92" t="inlineStr">
        <is>
          <t>5100000051</t>
        </is>
      </c>
      <c r="D55" s="95" t="n">
        <v>45664</v>
      </c>
      <c r="E55" s="92" t="inlineStr">
        <is>
          <t>KR</t>
        </is>
      </c>
      <c r="F55" s="92" t="n">
        <v>62101000</v>
      </c>
      <c r="G55" s="92" t="n">
        <v>1801</v>
      </c>
      <c r="H55" s="93" t="n">
        <v>200000</v>
      </c>
      <c r="I55" s="92" t="inlineStr">
        <is>
          <t>1월 국내출장 - L여행사</t>
        </is>
      </c>
      <c r="J55" s="92" t="inlineStr">
        <is>
          <t>V10018</t>
        </is>
      </c>
      <c r="K55" s="92" t="inlineStr">
        <is>
          <t>L여행사</t>
        </is>
      </c>
      <c r="M55" s="9">
        <f>IF($A55="","",VALUE($A55&amp;"")*12+VALUE($B55&amp;""))</f>
        <v/>
      </c>
      <c r="N55" s="64">
        <f>IF($A55="","",IFERROR(INDEX(부서매핑!$C$5:$C$504,MATCH($G55&amp;"",부서매핑!$A$5:$A$504,0)),"미매핑"))</f>
        <v/>
      </c>
      <c r="O55" s="9">
        <f>IF($A55="","",N55&amp;"|"&amp;$F55)</f>
        <v/>
      </c>
      <c r="P55" s="94">
        <f>IF($A55="",0,$H55*설정!$C$23)</f>
        <v/>
      </c>
      <c r="Q55" s="64">
        <f>IF($A55="","",IF(O55&lt;&gt;원인분석!$C$9,"",IF(AND(M55&gt;=원인분석!$C$10,M55&lt;=원인분석!$C$11),"당기",IF(AND(M55&gt;=원인분석!$C$12,M55&lt;=원인분석!$C$13),"비교",""))))</f>
        <v/>
      </c>
      <c r="R55" s="9">
        <f>IF(Q55="","",$K55&amp;"")</f>
        <v/>
      </c>
      <c r="S55" s="9">
        <f>IF(Q55="","",IF(MATCH(R55,$R$5:$R$100000,0)=ROW()-4,ROW(),""))</f>
        <v/>
      </c>
      <c r="T55" s="9">
        <f>IF(Q55="당기",ABS(P55)+ROW()/1000000000,"")</f>
        <v/>
      </c>
      <c r="U55" s="9">
        <f>IF(Q55="비교",ABS(P55)+ROW()/1000000000,"")</f>
        <v/>
      </c>
      <c r="V55" s="64">
        <f>IF($A55="","",IF(COUNTIF(변동분석!$E$7:$E$506,O55)&gt;0,"Y","N"))</f>
        <v/>
      </c>
      <c r="W55" s="64">
        <f>IF($A55="","",IFERROR(INDEX(계정매핑!$D$5:$D$504,MATCH($F55&amp;"",계정매핑!$A$5:$A$504,0)),"미매핑"))</f>
        <v/>
      </c>
      <c r="X55" s="9">
        <f>IF($A55="","",$F55&amp;"")</f>
        <v/>
      </c>
      <c r="Y55" s="94">
        <f>IF($A55="",0,IF(AE55="직접",IF(AF55="비귀속",$P55,0),$P55*(1-AG55)*IFERROR(INDEX(계정대체기준!$F$20:$F$49,MATCH($N55,계정대체기준!$A$20:$A$49,0)),1)))</f>
        <v/>
      </c>
      <c r="Z55" s="94">
        <f>IF($A55="",0,IF(AE55="직접",IF(AF55="신계약비",$P55,0),$P55*(1-AG55)*IFERROR(INDEX(계정대체기준!$C$20:$C$49,MATCH($N55,계정대체기준!$A$20:$A$49,0)),0)))</f>
        <v/>
      </c>
      <c r="AA55" s="94">
        <f>IF($A55="",0,IF(AE55="직접",IF(OR(AF55="유지비",AF55="손해조사비"),$P55,0),$P55*(1-AG55)*IFERROR(INDEX(계정대체기준!$D$20:$D$49,MATCH($N55,계정대체기준!$A$20:$A$49,0)),0)))</f>
        <v/>
      </c>
      <c r="AB55" s="94">
        <f>IF($A55="",0,IF(AE55="직접",IF(AF55="수금비",$P55,0),$P55*(1-AG55)*IFERROR(INDEX(계정대체기준!$E$20:$E$49,MATCH($N55,계정대체기준!$A$20:$A$49,0)),0)))</f>
        <v/>
      </c>
      <c r="AC55" s="9">
        <f>IF(AND($A55&lt;&gt;"",M55=설정!$C$20,Z55&gt;0),Z55+ROW()/1000000000,"")</f>
        <v/>
      </c>
      <c r="AD55" s="94">
        <f>IF($A55="",0,$P55*AG55)</f>
        <v/>
      </c>
      <c r="AE55" s="64">
        <f>IF($A55="","",IFERROR(INDEX(계정매핑!$E$5:$E$504,MATCH($F55&amp;"",계정매핑!$A$5:$A$504,0))&amp;"","공통비"))</f>
        <v/>
      </c>
      <c r="AF55" s="64">
        <f>IF($A55="","",IF(AE55="직접",IFERROR(INDEX(계정매핑!$F$5:$F$504,MATCH($F55&amp;"",계정매핑!$A$5:$A$504,0))&amp;"","비귀속"),""))</f>
        <v/>
      </c>
      <c r="AG55" s="96">
        <f>IF($A55="",0,IF(AND(AE55&lt;&gt;"직접",IFERROR(INDEX(계정매핑!$G$5:$G$504,MATCH($F55&amp;"",계정매핑!$A$5:$A$504,0))&amp;"","")="유지비",COUNTIF(계정대체기준!$A$6:$A$15,$N55)&gt;0),IFERROR(INDEX(계정대체기준!$E$6:$E$15,MATCH(VALUE($A55&amp;""),계정대체기준!$D$6:$D$15,0)),0),0))</f>
        <v/>
      </c>
      <c r="AH55" s="64">
        <f>IF($A55="","",IF(AD55=0,"",IF(OR(COUNTIF(계정대체기준!$A$77:$A$86,$N55)&gt;0,ISNUMBER(MATCH($X55,계정대체기준!$D$77:$D$86,0)),ISNUMBER(MATCH($F55,계정대체기준!$D$77:$D$86,0))),"Y","N")))</f>
        <v/>
      </c>
    </row>
    <row r="56">
      <c r="A56" s="92" t="n">
        <v>2025</v>
      </c>
      <c r="B56" s="92" t="n">
        <v>1</v>
      </c>
      <c r="C56" s="92" t="inlineStr">
        <is>
          <t>5100000052</t>
        </is>
      </c>
      <c r="D56" s="95" t="n">
        <v>45664</v>
      </c>
      <c r="E56" s="92" t="inlineStr">
        <is>
          <t>KR</t>
        </is>
      </c>
      <c r="F56" s="92" t="n">
        <v>62201000</v>
      </c>
      <c r="G56" s="92" t="n">
        <v>1101</v>
      </c>
      <c r="H56" s="93" t="n">
        <v>447000</v>
      </c>
      <c r="I56" s="92" t="inlineStr">
        <is>
          <t>1월 통신요금 - P통신</t>
        </is>
      </c>
      <c r="J56" s="92" t="inlineStr">
        <is>
          <t>V10014</t>
        </is>
      </c>
      <c r="K56" s="92" t="inlineStr">
        <is>
          <t>P통신</t>
        </is>
      </c>
      <c r="M56" s="9">
        <f>IF($A56="","",VALUE($A56&amp;"")*12+VALUE($B56&amp;""))</f>
        <v/>
      </c>
      <c r="N56" s="64">
        <f>IF($A56="","",IFERROR(INDEX(부서매핑!$C$5:$C$504,MATCH($G56&amp;"",부서매핑!$A$5:$A$504,0)),"미매핑"))</f>
        <v/>
      </c>
      <c r="O56" s="9">
        <f>IF($A56="","",N56&amp;"|"&amp;$F56)</f>
        <v/>
      </c>
      <c r="P56" s="94">
        <f>IF($A56="",0,$H56*설정!$C$23)</f>
        <v/>
      </c>
      <c r="Q56" s="64">
        <f>IF($A56="","",IF(O56&lt;&gt;원인분석!$C$9,"",IF(AND(M56&gt;=원인분석!$C$10,M56&lt;=원인분석!$C$11),"당기",IF(AND(M56&gt;=원인분석!$C$12,M56&lt;=원인분석!$C$13),"비교",""))))</f>
        <v/>
      </c>
      <c r="R56" s="9">
        <f>IF(Q56="","",$K56&amp;"")</f>
        <v/>
      </c>
      <c r="S56" s="9">
        <f>IF(Q56="","",IF(MATCH(R56,$R$5:$R$100000,0)=ROW()-4,ROW(),""))</f>
        <v/>
      </c>
      <c r="T56" s="9">
        <f>IF(Q56="당기",ABS(P56)+ROW()/1000000000,"")</f>
        <v/>
      </c>
      <c r="U56" s="9">
        <f>IF(Q56="비교",ABS(P56)+ROW()/1000000000,"")</f>
        <v/>
      </c>
      <c r="V56" s="64">
        <f>IF($A56="","",IF(COUNTIF(변동분석!$E$7:$E$506,O56)&gt;0,"Y","N"))</f>
        <v/>
      </c>
      <c r="W56" s="64">
        <f>IF($A56="","",IFERROR(INDEX(계정매핑!$D$5:$D$504,MATCH($F56&amp;"",계정매핑!$A$5:$A$504,0)),"미매핑"))</f>
        <v/>
      </c>
      <c r="X56" s="9">
        <f>IF($A56="","",$F56&amp;"")</f>
        <v/>
      </c>
      <c r="Y56" s="94">
        <f>IF($A56="",0,IF(AE56="직접",IF(AF56="비귀속",$P56,0),$P56*(1-AG56)*IFERROR(INDEX(계정대체기준!$F$20:$F$49,MATCH($N56,계정대체기준!$A$20:$A$49,0)),1)))</f>
        <v/>
      </c>
      <c r="Z56" s="94">
        <f>IF($A56="",0,IF(AE56="직접",IF(AF56="신계약비",$P56,0),$P56*(1-AG56)*IFERROR(INDEX(계정대체기준!$C$20:$C$49,MATCH($N56,계정대체기준!$A$20:$A$49,0)),0)))</f>
        <v/>
      </c>
      <c r="AA56" s="94">
        <f>IF($A56="",0,IF(AE56="직접",IF(OR(AF56="유지비",AF56="손해조사비"),$P56,0),$P56*(1-AG56)*IFERROR(INDEX(계정대체기준!$D$20:$D$49,MATCH($N56,계정대체기준!$A$20:$A$49,0)),0)))</f>
        <v/>
      </c>
      <c r="AB56" s="94">
        <f>IF($A56="",0,IF(AE56="직접",IF(AF56="수금비",$P56,0),$P56*(1-AG56)*IFERROR(INDEX(계정대체기준!$E$20:$E$49,MATCH($N56,계정대체기준!$A$20:$A$49,0)),0)))</f>
        <v/>
      </c>
      <c r="AC56" s="9">
        <f>IF(AND($A56&lt;&gt;"",M56=설정!$C$20,Z56&gt;0),Z56+ROW()/1000000000,"")</f>
        <v/>
      </c>
      <c r="AD56" s="94">
        <f>IF($A56="",0,$P56*AG56)</f>
        <v/>
      </c>
      <c r="AE56" s="64">
        <f>IF($A56="","",IFERROR(INDEX(계정매핑!$E$5:$E$504,MATCH($F56&amp;"",계정매핑!$A$5:$A$504,0))&amp;"","공통비"))</f>
        <v/>
      </c>
      <c r="AF56" s="64">
        <f>IF($A56="","",IF(AE56="직접",IFERROR(INDEX(계정매핑!$F$5:$F$504,MATCH($F56&amp;"",계정매핑!$A$5:$A$504,0))&amp;"","비귀속"),""))</f>
        <v/>
      </c>
      <c r="AG56" s="96">
        <f>IF($A56="",0,IF(AND(AE56&lt;&gt;"직접",IFERROR(INDEX(계정매핑!$G$5:$G$504,MATCH($F56&amp;"",계정매핑!$A$5:$A$504,0))&amp;"","")="유지비",COUNTIF(계정대체기준!$A$6:$A$15,$N56)&gt;0),IFERROR(INDEX(계정대체기준!$E$6:$E$15,MATCH(VALUE($A56&amp;""),계정대체기준!$D$6:$D$15,0)),0),0))</f>
        <v/>
      </c>
      <c r="AH56" s="64">
        <f>IF($A56="","",IF(AD56=0,"",IF(OR(COUNTIF(계정대체기준!$A$77:$A$86,$N56)&gt;0,ISNUMBER(MATCH($X56,계정대체기준!$D$77:$D$86,0)),ISNUMBER(MATCH($F56,계정대체기준!$D$77:$D$86,0))),"Y","N")))</f>
        <v/>
      </c>
    </row>
    <row r="57">
      <c r="A57" s="92" t="n">
        <v>2025</v>
      </c>
      <c r="B57" s="92" t="n">
        <v>1</v>
      </c>
      <c r="C57" s="92" t="inlineStr">
        <is>
          <t>5100000053</t>
        </is>
      </c>
      <c r="D57" s="95" t="n">
        <v>45664</v>
      </c>
      <c r="E57" s="92" t="inlineStr">
        <is>
          <t>KR</t>
        </is>
      </c>
      <c r="F57" s="92" t="n">
        <v>62301000</v>
      </c>
      <c r="G57" s="92" t="n">
        <v>1101</v>
      </c>
      <c r="H57" s="93" t="n">
        <v>242000</v>
      </c>
      <c r="I57" s="92" t="inlineStr">
        <is>
          <t>1월 소모품 구입 - Q오피스</t>
        </is>
      </c>
      <c r="J57" s="92" t="inlineStr">
        <is>
          <t>V10003</t>
        </is>
      </c>
      <c r="K57" s="92" t="inlineStr">
        <is>
          <t>Q오피스</t>
        </is>
      </c>
      <c r="M57" s="9">
        <f>IF($A57="","",VALUE($A57&amp;"")*12+VALUE($B57&amp;""))</f>
        <v/>
      </c>
      <c r="N57" s="64">
        <f>IF($A57="","",IFERROR(INDEX(부서매핑!$C$5:$C$504,MATCH($G57&amp;"",부서매핑!$A$5:$A$504,0)),"미매핑"))</f>
        <v/>
      </c>
      <c r="O57" s="9">
        <f>IF($A57="","",N57&amp;"|"&amp;$F57)</f>
        <v/>
      </c>
      <c r="P57" s="94">
        <f>IF($A57="",0,$H57*설정!$C$23)</f>
        <v/>
      </c>
      <c r="Q57" s="64">
        <f>IF($A57="","",IF(O57&lt;&gt;원인분석!$C$9,"",IF(AND(M57&gt;=원인분석!$C$10,M57&lt;=원인분석!$C$11),"당기",IF(AND(M57&gt;=원인분석!$C$12,M57&lt;=원인분석!$C$13),"비교",""))))</f>
        <v/>
      </c>
      <c r="R57" s="9">
        <f>IF(Q57="","",$K57&amp;"")</f>
        <v/>
      </c>
      <c r="S57" s="9">
        <f>IF(Q57="","",IF(MATCH(R57,$R$5:$R$100000,0)=ROW()-4,ROW(),""))</f>
        <v/>
      </c>
      <c r="T57" s="9">
        <f>IF(Q57="당기",ABS(P57)+ROW()/1000000000,"")</f>
        <v/>
      </c>
      <c r="U57" s="9">
        <f>IF(Q57="비교",ABS(P57)+ROW()/1000000000,"")</f>
        <v/>
      </c>
      <c r="V57" s="64">
        <f>IF($A57="","",IF(COUNTIF(변동분석!$E$7:$E$506,O57)&gt;0,"Y","N"))</f>
        <v/>
      </c>
      <c r="W57" s="64">
        <f>IF($A57="","",IFERROR(INDEX(계정매핑!$D$5:$D$504,MATCH($F57&amp;"",계정매핑!$A$5:$A$504,0)),"미매핑"))</f>
        <v/>
      </c>
      <c r="X57" s="9">
        <f>IF($A57="","",$F57&amp;"")</f>
        <v/>
      </c>
      <c r="Y57" s="94">
        <f>IF($A57="",0,IF(AE57="직접",IF(AF57="비귀속",$P57,0),$P57*(1-AG57)*IFERROR(INDEX(계정대체기준!$F$20:$F$49,MATCH($N57,계정대체기준!$A$20:$A$49,0)),1)))</f>
        <v/>
      </c>
      <c r="Z57" s="94">
        <f>IF($A57="",0,IF(AE57="직접",IF(AF57="신계약비",$P57,0),$P57*(1-AG57)*IFERROR(INDEX(계정대체기준!$C$20:$C$49,MATCH($N57,계정대체기준!$A$20:$A$49,0)),0)))</f>
        <v/>
      </c>
      <c r="AA57" s="94">
        <f>IF($A57="",0,IF(AE57="직접",IF(OR(AF57="유지비",AF57="손해조사비"),$P57,0),$P57*(1-AG57)*IFERROR(INDEX(계정대체기준!$D$20:$D$49,MATCH($N57,계정대체기준!$A$20:$A$49,0)),0)))</f>
        <v/>
      </c>
      <c r="AB57" s="94">
        <f>IF($A57="",0,IF(AE57="직접",IF(AF57="수금비",$P57,0),$P57*(1-AG57)*IFERROR(INDEX(계정대체기준!$E$20:$E$49,MATCH($N57,계정대체기준!$A$20:$A$49,0)),0)))</f>
        <v/>
      </c>
      <c r="AC57" s="9">
        <f>IF(AND($A57&lt;&gt;"",M57=설정!$C$20,Z57&gt;0),Z57+ROW()/1000000000,"")</f>
        <v/>
      </c>
      <c r="AD57" s="94">
        <f>IF($A57="",0,$P57*AG57)</f>
        <v/>
      </c>
      <c r="AE57" s="64">
        <f>IF($A57="","",IFERROR(INDEX(계정매핑!$E$5:$E$504,MATCH($F57&amp;"",계정매핑!$A$5:$A$504,0))&amp;"","공통비"))</f>
        <v/>
      </c>
      <c r="AF57" s="64">
        <f>IF($A57="","",IF(AE57="직접",IFERROR(INDEX(계정매핑!$F$5:$F$504,MATCH($F57&amp;"",계정매핑!$A$5:$A$504,0))&amp;"","비귀속"),""))</f>
        <v/>
      </c>
      <c r="AG57" s="96">
        <f>IF($A57="",0,IF(AND(AE57&lt;&gt;"직접",IFERROR(INDEX(계정매핑!$G$5:$G$504,MATCH($F57&amp;"",계정매핑!$A$5:$A$504,0))&amp;"","")="유지비",COUNTIF(계정대체기준!$A$6:$A$15,$N57)&gt;0),IFERROR(INDEX(계정대체기준!$E$6:$E$15,MATCH(VALUE($A57&amp;""),계정대체기준!$D$6:$D$15,0)),0),0))</f>
        <v/>
      </c>
      <c r="AH57" s="64">
        <f>IF($A57="","",IF(AD57=0,"",IF(OR(COUNTIF(계정대체기준!$A$77:$A$86,$N57)&gt;0,ISNUMBER(MATCH($X57,계정대체기준!$D$77:$D$86,0)),ISNUMBER(MATCH($F57,계정대체기준!$D$77:$D$86,0))),"Y","N")))</f>
        <v/>
      </c>
    </row>
    <row r="58">
      <c r="A58" s="92" t="n">
        <v>2025</v>
      </c>
      <c r="B58" s="92" t="n">
        <v>1</v>
      </c>
      <c r="C58" s="92" t="inlineStr">
        <is>
          <t>5100000054</t>
        </is>
      </c>
      <c r="D58" s="95" t="n">
        <v>45664</v>
      </c>
      <c r="E58" s="92" t="inlineStr">
        <is>
          <t>KR</t>
        </is>
      </c>
      <c r="F58" s="92" t="n">
        <v>62301000</v>
      </c>
      <c r="G58" s="92" t="n">
        <v>1502</v>
      </c>
      <c r="H58" s="93" t="n">
        <v>377000</v>
      </c>
      <c r="I58" s="92" t="inlineStr">
        <is>
          <t>1월 소모품 구입 - R문구</t>
        </is>
      </c>
      <c r="J58" s="92" t="inlineStr">
        <is>
          <t>V10022</t>
        </is>
      </c>
      <c r="K58" s="92" t="inlineStr">
        <is>
          <t>R문구</t>
        </is>
      </c>
      <c r="M58" s="9">
        <f>IF($A58="","",VALUE($A58&amp;"")*12+VALUE($B58&amp;""))</f>
        <v/>
      </c>
      <c r="N58" s="64">
        <f>IF($A58="","",IFERROR(INDEX(부서매핑!$C$5:$C$504,MATCH($G58&amp;"",부서매핑!$A$5:$A$504,0)),"미매핑"))</f>
        <v/>
      </c>
      <c r="O58" s="9">
        <f>IF($A58="","",N58&amp;"|"&amp;$F58)</f>
        <v/>
      </c>
      <c r="P58" s="94">
        <f>IF($A58="",0,$H58*설정!$C$23)</f>
        <v/>
      </c>
      <c r="Q58" s="64">
        <f>IF($A58="","",IF(O58&lt;&gt;원인분석!$C$9,"",IF(AND(M58&gt;=원인분석!$C$10,M58&lt;=원인분석!$C$11),"당기",IF(AND(M58&gt;=원인분석!$C$12,M58&lt;=원인분석!$C$13),"비교",""))))</f>
        <v/>
      </c>
      <c r="R58" s="9">
        <f>IF(Q58="","",$K58&amp;"")</f>
        <v/>
      </c>
      <c r="S58" s="9">
        <f>IF(Q58="","",IF(MATCH(R58,$R$5:$R$100000,0)=ROW()-4,ROW(),""))</f>
        <v/>
      </c>
      <c r="T58" s="9">
        <f>IF(Q58="당기",ABS(P58)+ROW()/1000000000,"")</f>
        <v/>
      </c>
      <c r="U58" s="9">
        <f>IF(Q58="비교",ABS(P58)+ROW()/1000000000,"")</f>
        <v/>
      </c>
      <c r="V58" s="64">
        <f>IF($A58="","",IF(COUNTIF(변동분석!$E$7:$E$506,O58)&gt;0,"Y","N"))</f>
        <v/>
      </c>
      <c r="W58" s="64">
        <f>IF($A58="","",IFERROR(INDEX(계정매핑!$D$5:$D$504,MATCH($F58&amp;"",계정매핑!$A$5:$A$504,0)),"미매핑"))</f>
        <v/>
      </c>
      <c r="X58" s="9">
        <f>IF($A58="","",$F58&amp;"")</f>
        <v/>
      </c>
      <c r="Y58" s="94">
        <f>IF($A58="",0,IF(AE58="직접",IF(AF58="비귀속",$P58,0),$P58*(1-AG58)*IFERROR(INDEX(계정대체기준!$F$20:$F$49,MATCH($N58,계정대체기준!$A$20:$A$49,0)),1)))</f>
        <v/>
      </c>
      <c r="Z58" s="94">
        <f>IF($A58="",0,IF(AE58="직접",IF(AF58="신계약비",$P58,0),$P58*(1-AG58)*IFERROR(INDEX(계정대체기준!$C$20:$C$49,MATCH($N58,계정대체기준!$A$20:$A$49,0)),0)))</f>
        <v/>
      </c>
      <c r="AA58" s="94">
        <f>IF($A58="",0,IF(AE58="직접",IF(OR(AF58="유지비",AF58="손해조사비"),$P58,0),$P58*(1-AG58)*IFERROR(INDEX(계정대체기준!$D$20:$D$49,MATCH($N58,계정대체기준!$A$20:$A$49,0)),0)))</f>
        <v/>
      </c>
      <c r="AB58" s="94">
        <f>IF($A58="",0,IF(AE58="직접",IF(AF58="수금비",$P58,0),$P58*(1-AG58)*IFERROR(INDEX(계정대체기준!$E$20:$E$49,MATCH($N58,계정대체기준!$A$20:$A$49,0)),0)))</f>
        <v/>
      </c>
      <c r="AC58" s="9">
        <f>IF(AND($A58&lt;&gt;"",M58=설정!$C$20,Z58&gt;0),Z58+ROW()/1000000000,"")</f>
        <v/>
      </c>
      <c r="AD58" s="94">
        <f>IF($A58="",0,$P58*AG58)</f>
        <v/>
      </c>
      <c r="AE58" s="64">
        <f>IF($A58="","",IFERROR(INDEX(계정매핑!$E$5:$E$504,MATCH($F58&amp;"",계정매핑!$A$5:$A$504,0))&amp;"","공통비"))</f>
        <v/>
      </c>
      <c r="AF58" s="64">
        <f>IF($A58="","",IF(AE58="직접",IFERROR(INDEX(계정매핑!$F$5:$F$504,MATCH($F58&amp;"",계정매핑!$A$5:$A$504,0))&amp;"","비귀속"),""))</f>
        <v/>
      </c>
      <c r="AG58" s="96">
        <f>IF($A58="",0,IF(AND(AE58&lt;&gt;"직접",IFERROR(INDEX(계정매핑!$G$5:$G$504,MATCH($F58&amp;"",계정매핑!$A$5:$A$504,0))&amp;"","")="유지비",COUNTIF(계정대체기준!$A$6:$A$15,$N58)&gt;0),IFERROR(INDEX(계정대체기준!$E$6:$E$15,MATCH(VALUE($A58&amp;""),계정대체기준!$D$6:$D$15,0)),0),0))</f>
        <v/>
      </c>
      <c r="AH58" s="64">
        <f>IF($A58="","",IF(AD58=0,"",IF(OR(COUNTIF(계정대체기준!$A$77:$A$86,$N58)&gt;0,ISNUMBER(MATCH($X58,계정대체기준!$D$77:$D$86,0)),ISNUMBER(MATCH($F58,계정대체기준!$D$77:$D$86,0))),"Y","N")))</f>
        <v/>
      </c>
    </row>
    <row r="59">
      <c r="A59" s="92" t="n">
        <v>2025</v>
      </c>
      <c r="B59" s="92" t="n">
        <v>1</v>
      </c>
      <c r="C59" s="92" t="inlineStr">
        <is>
          <t>5100000055</t>
        </is>
      </c>
      <c r="D59" s="95" t="n">
        <v>45664</v>
      </c>
      <c r="E59" s="92" t="inlineStr">
        <is>
          <t>KR</t>
        </is>
      </c>
      <c r="F59" s="92" t="n">
        <v>62901000</v>
      </c>
      <c r="G59" s="92" t="n">
        <v>1951</v>
      </c>
      <c r="H59" s="93" t="n">
        <v>3507000</v>
      </c>
      <c r="I59" s="92" t="inlineStr">
        <is>
          <t>1월 자문 수수료 - K회계법인</t>
        </is>
      </c>
      <c r="J59" s="92" t="inlineStr">
        <is>
          <t>V10011</t>
        </is>
      </c>
      <c r="K59" s="92" t="inlineStr">
        <is>
          <t>K회계법인</t>
        </is>
      </c>
      <c r="M59" s="9">
        <f>IF($A59="","",VALUE($A59&amp;"")*12+VALUE($B59&amp;""))</f>
        <v/>
      </c>
      <c r="N59" s="64">
        <f>IF($A59="","",IFERROR(INDEX(부서매핑!$C$5:$C$504,MATCH($G59&amp;"",부서매핑!$A$5:$A$504,0)),"미매핑"))</f>
        <v/>
      </c>
      <c r="O59" s="9">
        <f>IF($A59="","",N59&amp;"|"&amp;$F59)</f>
        <v/>
      </c>
      <c r="P59" s="94">
        <f>IF($A59="",0,$H59*설정!$C$23)</f>
        <v/>
      </c>
      <c r="Q59" s="64">
        <f>IF($A59="","",IF(O59&lt;&gt;원인분석!$C$9,"",IF(AND(M59&gt;=원인분석!$C$10,M59&lt;=원인분석!$C$11),"당기",IF(AND(M59&gt;=원인분석!$C$12,M59&lt;=원인분석!$C$13),"비교",""))))</f>
        <v/>
      </c>
      <c r="R59" s="9">
        <f>IF(Q59="","",$K59&amp;"")</f>
        <v/>
      </c>
      <c r="S59" s="9">
        <f>IF(Q59="","",IF(MATCH(R59,$R$5:$R$100000,0)=ROW()-4,ROW(),""))</f>
        <v/>
      </c>
      <c r="T59" s="9">
        <f>IF(Q59="당기",ABS(P59)+ROW()/1000000000,"")</f>
        <v/>
      </c>
      <c r="U59" s="9">
        <f>IF(Q59="비교",ABS(P59)+ROW()/1000000000,"")</f>
        <v/>
      </c>
      <c r="V59" s="64">
        <f>IF($A59="","",IF(COUNTIF(변동분석!$E$7:$E$506,O59)&gt;0,"Y","N"))</f>
        <v/>
      </c>
      <c r="W59" s="64">
        <f>IF($A59="","",IFERROR(INDEX(계정매핑!$D$5:$D$504,MATCH($F59&amp;"",계정매핑!$A$5:$A$504,0)),"미매핑"))</f>
        <v/>
      </c>
      <c r="X59" s="9">
        <f>IF($A59="","",$F59&amp;"")</f>
        <v/>
      </c>
      <c r="Y59" s="94">
        <f>IF($A59="",0,IF(AE59="직접",IF(AF59="비귀속",$P59,0),$P59*(1-AG59)*IFERROR(INDEX(계정대체기준!$F$20:$F$49,MATCH($N59,계정대체기준!$A$20:$A$49,0)),1)))</f>
        <v/>
      </c>
      <c r="Z59" s="94">
        <f>IF($A59="",0,IF(AE59="직접",IF(AF59="신계약비",$P59,0),$P59*(1-AG59)*IFERROR(INDEX(계정대체기준!$C$20:$C$49,MATCH($N59,계정대체기준!$A$20:$A$49,0)),0)))</f>
        <v/>
      </c>
      <c r="AA59" s="94">
        <f>IF($A59="",0,IF(AE59="직접",IF(OR(AF59="유지비",AF59="손해조사비"),$P59,0),$P59*(1-AG59)*IFERROR(INDEX(계정대체기준!$D$20:$D$49,MATCH($N59,계정대체기준!$A$20:$A$49,0)),0)))</f>
        <v/>
      </c>
      <c r="AB59" s="94">
        <f>IF($A59="",0,IF(AE59="직접",IF(AF59="수금비",$P59,0),$P59*(1-AG59)*IFERROR(INDEX(계정대체기준!$E$20:$E$49,MATCH($N59,계정대체기준!$A$20:$A$49,0)),0)))</f>
        <v/>
      </c>
      <c r="AC59" s="9">
        <f>IF(AND($A59&lt;&gt;"",M59=설정!$C$20,Z59&gt;0),Z59+ROW()/1000000000,"")</f>
        <v/>
      </c>
      <c r="AD59" s="94">
        <f>IF($A59="",0,$P59*AG59)</f>
        <v/>
      </c>
      <c r="AE59" s="64">
        <f>IF($A59="","",IFERROR(INDEX(계정매핑!$E$5:$E$504,MATCH($F59&amp;"",계정매핑!$A$5:$A$504,0))&amp;"","공통비"))</f>
        <v/>
      </c>
      <c r="AF59" s="64">
        <f>IF($A59="","",IF(AE59="직접",IFERROR(INDEX(계정매핑!$F$5:$F$504,MATCH($F59&amp;"",계정매핑!$A$5:$A$504,0))&amp;"","비귀속"),""))</f>
        <v/>
      </c>
      <c r="AG59" s="96">
        <f>IF($A59="",0,IF(AND(AE59&lt;&gt;"직접",IFERROR(INDEX(계정매핑!$G$5:$G$504,MATCH($F59&amp;"",계정매핑!$A$5:$A$504,0))&amp;"","")="유지비",COUNTIF(계정대체기준!$A$6:$A$15,$N59)&gt;0),IFERROR(INDEX(계정대체기준!$E$6:$E$15,MATCH(VALUE($A59&amp;""),계정대체기준!$D$6:$D$15,0)),0),0))</f>
        <v/>
      </c>
      <c r="AH59" s="64">
        <f>IF($A59="","",IF(AD59=0,"",IF(OR(COUNTIF(계정대체기준!$A$77:$A$86,$N59)&gt;0,ISNUMBER(MATCH($X59,계정대체기준!$D$77:$D$86,0)),ISNUMBER(MATCH($F59,계정대체기준!$D$77:$D$86,0))),"Y","N")))</f>
        <v/>
      </c>
    </row>
    <row r="60">
      <c r="A60" s="92" t="n">
        <v>2025</v>
      </c>
      <c r="B60" s="92" t="n">
        <v>1</v>
      </c>
      <c r="C60" s="92" t="inlineStr">
        <is>
          <t>5100000056</t>
        </is>
      </c>
      <c r="D60" s="95" t="n">
        <v>45664</v>
      </c>
      <c r="E60" s="92" t="inlineStr">
        <is>
          <t>KR</t>
        </is>
      </c>
      <c r="F60" s="92" t="n">
        <v>62902000</v>
      </c>
      <c r="G60" s="92" t="n">
        <v>1201</v>
      </c>
      <c r="H60" s="93" t="n">
        <v>1831000</v>
      </c>
      <c r="I60" s="92" t="inlineStr">
        <is>
          <t>1월 업무 위탁 수수료 - X서비스</t>
        </is>
      </c>
      <c r="J60" s="92" t="inlineStr">
        <is>
          <t>V10020</t>
        </is>
      </c>
      <c r="K60" s="92" t="inlineStr">
        <is>
          <t>X서비스</t>
        </is>
      </c>
      <c r="M60" s="9">
        <f>IF($A60="","",VALUE($A60&amp;"")*12+VALUE($B60&amp;""))</f>
        <v/>
      </c>
      <c r="N60" s="64">
        <f>IF($A60="","",IFERROR(INDEX(부서매핑!$C$5:$C$504,MATCH($G60&amp;"",부서매핑!$A$5:$A$504,0)),"미매핑"))</f>
        <v/>
      </c>
      <c r="O60" s="9">
        <f>IF($A60="","",N60&amp;"|"&amp;$F60)</f>
        <v/>
      </c>
      <c r="P60" s="94">
        <f>IF($A60="",0,$H60*설정!$C$23)</f>
        <v/>
      </c>
      <c r="Q60" s="64">
        <f>IF($A60="","",IF(O60&lt;&gt;원인분석!$C$9,"",IF(AND(M60&gt;=원인분석!$C$10,M60&lt;=원인분석!$C$11),"당기",IF(AND(M60&gt;=원인분석!$C$12,M60&lt;=원인분석!$C$13),"비교",""))))</f>
        <v/>
      </c>
      <c r="R60" s="9">
        <f>IF(Q60="","",$K60&amp;"")</f>
        <v/>
      </c>
      <c r="S60" s="9">
        <f>IF(Q60="","",IF(MATCH(R60,$R$5:$R$100000,0)=ROW()-4,ROW(),""))</f>
        <v/>
      </c>
      <c r="T60" s="9">
        <f>IF(Q60="당기",ABS(P60)+ROW()/1000000000,"")</f>
        <v/>
      </c>
      <c r="U60" s="9">
        <f>IF(Q60="비교",ABS(P60)+ROW()/1000000000,"")</f>
        <v/>
      </c>
      <c r="V60" s="64">
        <f>IF($A60="","",IF(COUNTIF(변동분석!$E$7:$E$506,O60)&gt;0,"Y","N"))</f>
        <v/>
      </c>
      <c r="W60" s="64">
        <f>IF($A60="","",IFERROR(INDEX(계정매핑!$D$5:$D$504,MATCH($F60&amp;"",계정매핑!$A$5:$A$504,0)),"미매핑"))</f>
        <v/>
      </c>
      <c r="X60" s="9">
        <f>IF($A60="","",$F60&amp;"")</f>
        <v/>
      </c>
      <c r="Y60" s="94">
        <f>IF($A60="",0,IF(AE60="직접",IF(AF60="비귀속",$P60,0),$P60*(1-AG60)*IFERROR(INDEX(계정대체기준!$F$20:$F$49,MATCH($N60,계정대체기준!$A$20:$A$49,0)),1)))</f>
        <v/>
      </c>
      <c r="Z60" s="94">
        <f>IF($A60="",0,IF(AE60="직접",IF(AF60="신계약비",$P60,0),$P60*(1-AG60)*IFERROR(INDEX(계정대체기준!$C$20:$C$49,MATCH($N60,계정대체기준!$A$20:$A$49,0)),0)))</f>
        <v/>
      </c>
      <c r="AA60" s="94">
        <f>IF($A60="",0,IF(AE60="직접",IF(OR(AF60="유지비",AF60="손해조사비"),$P60,0),$P60*(1-AG60)*IFERROR(INDEX(계정대체기준!$D$20:$D$49,MATCH($N60,계정대체기준!$A$20:$A$49,0)),0)))</f>
        <v/>
      </c>
      <c r="AB60" s="94">
        <f>IF($A60="",0,IF(AE60="직접",IF(AF60="수금비",$P60,0),$P60*(1-AG60)*IFERROR(INDEX(계정대체기준!$E$20:$E$49,MATCH($N60,계정대체기준!$A$20:$A$49,0)),0)))</f>
        <v/>
      </c>
      <c r="AC60" s="9">
        <f>IF(AND($A60&lt;&gt;"",M60=설정!$C$20,Z60&gt;0),Z60+ROW()/1000000000,"")</f>
        <v/>
      </c>
      <c r="AD60" s="94">
        <f>IF($A60="",0,$P60*AG60)</f>
        <v/>
      </c>
      <c r="AE60" s="64">
        <f>IF($A60="","",IFERROR(INDEX(계정매핑!$E$5:$E$504,MATCH($F60&amp;"",계정매핑!$A$5:$A$504,0))&amp;"","공통비"))</f>
        <v/>
      </c>
      <c r="AF60" s="64">
        <f>IF($A60="","",IF(AE60="직접",IFERROR(INDEX(계정매핑!$F$5:$F$504,MATCH($F60&amp;"",계정매핑!$A$5:$A$504,0))&amp;"","비귀속"),""))</f>
        <v/>
      </c>
      <c r="AG60" s="96">
        <f>IF($A60="",0,IF(AND(AE60&lt;&gt;"직접",IFERROR(INDEX(계정매핑!$G$5:$G$504,MATCH($F60&amp;"",계정매핑!$A$5:$A$504,0))&amp;"","")="유지비",COUNTIF(계정대체기준!$A$6:$A$15,$N60)&gt;0),IFERROR(INDEX(계정대체기준!$E$6:$E$15,MATCH(VALUE($A60&amp;""),계정대체기준!$D$6:$D$15,0)),0),0))</f>
        <v/>
      </c>
      <c r="AH60" s="64">
        <f>IF($A60="","",IF(AD60=0,"",IF(OR(COUNTIF(계정대체기준!$A$77:$A$86,$N60)&gt;0,ISNUMBER(MATCH($X60,계정대체기준!$D$77:$D$86,0)),ISNUMBER(MATCH($F60,계정대체기준!$D$77:$D$86,0))),"Y","N")))</f>
        <v/>
      </c>
    </row>
    <row r="61">
      <c r="A61" s="92" t="n">
        <v>2025</v>
      </c>
      <c r="B61" s="92" t="n">
        <v>1</v>
      </c>
      <c r="C61" s="92" t="inlineStr">
        <is>
          <t>5100000057</t>
        </is>
      </c>
      <c r="D61" s="95" t="n">
        <v>45664</v>
      </c>
      <c r="E61" s="92" t="inlineStr">
        <is>
          <t>KR</t>
        </is>
      </c>
      <c r="F61" s="92" t="n">
        <v>62902000</v>
      </c>
      <c r="G61" s="92" t="n">
        <v>1801</v>
      </c>
      <c r="H61" s="93" t="n">
        <v>1786000</v>
      </c>
      <c r="I61" s="92" t="inlineStr">
        <is>
          <t>1월 콜 위탁 수수료(건별)</t>
        </is>
      </c>
      <c r="J61" s="92" t="inlineStr">
        <is>
          <t>V10016</t>
        </is>
      </c>
      <c r="K61" s="92" t="inlineStr">
        <is>
          <t>J콜센터</t>
        </is>
      </c>
      <c r="M61" s="9">
        <f>IF($A61="","",VALUE($A61&amp;"")*12+VALUE($B61&amp;""))</f>
        <v/>
      </c>
      <c r="N61" s="64">
        <f>IF($A61="","",IFERROR(INDEX(부서매핑!$C$5:$C$504,MATCH($G61&amp;"",부서매핑!$A$5:$A$504,0)),"미매핑"))</f>
        <v/>
      </c>
      <c r="O61" s="9">
        <f>IF($A61="","",N61&amp;"|"&amp;$F61)</f>
        <v/>
      </c>
      <c r="P61" s="94">
        <f>IF($A61="",0,$H61*설정!$C$23)</f>
        <v/>
      </c>
      <c r="Q61" s="64">
        <f>IF($A61="","",IF(O61&lt;&gt;원인분석!$C$9,"",IF(AND(M61&gt;=원인분석!$C$10,M61&lt;=원인분석!$C$11),"당기",IF(AND(M61&gt;=원인분석!$C$12,M61&lt;=원인분석!$C$13),"비교",""))))</f>
        <v/>
      </c>
      <c r="R61" s="9">
        <f>IF(Q61="","",$K61&amp;"")</f>
        <v/>
      </c>
      <c r="S61" s="9">
        <f>IF(Q61="","",IF(MATCH(R61,$R$5:$R$100000,0)=ROW()-4,ROW(),""))</f>
        <v/>
      </c>
      <c r="T61" s="9">
        <f>IF(Q61="당기",ABS(P61)+ROW()/1000000000,"")</f>
        <v/>
      </c>
      <c r="U61" s="9">
        <f>IF(Q61="비교",ABS(P61)+ROW()/1000000000,"")</f>
        <v/>
      </c>
      <c r="V61" s="64">
        <f>IF($A61="","",IF(COUNTIF(변동분석!$E$7:$E$506,O61)&gt;0,"Y","N"))</f>
        <v/>
      </c>
      <c r="W61" s="64">
        <f>IF($A61="","",IFERROR(INDEX(계정매핑!$D$5:$D$504,MATCH($F61&amp;"",계정매핑!$A$5:$A$504,0)),"미매핑"))</f>
        <v/>
      </c>
      <c r="X61" s="9">
        <f>IF($A61="","",$F61&amp;"")</f>
        <v/>
      </c>
      <c r="Y61" s="94">
        <f>IF($A61="",0,IF(AE61="직접",IF(AF61="비귀속",$P61,0),$P61*(1-AG61)*IFERROR(INDEX(계정대체기준!$F$20:$F$49,MATCH($N61,계정대체기준!$A$20:$A$49,0)),1)))</f>
        <v/>
      </c>
      <c r="Z61" s="94">
        <f>IF($A61="",0,IF(AE61="직접",IF(AF61="신계약비",$P61,0),$P61*(1-AG61)*IFERROR(INDEX(계정대체기준!$C$20:$C$49,MATCH($N61,계정대체기준!$A$20:$A$49,0)),0)))</f>
        <v/>
      </c>
      <c r="AA61" s="94">
        <f>IF($A61="",0,IF(AE61="직접",IF(OR(AF61="유지비",AF61="손해조사비"),$P61,0),$P61*(1-AG61)*IFERROR(INDEX(계정대체기준!$D$20:$D$49,MATCH($N61,계정대체기준!$A$20:$A$49,0)),0)))</f>
        <v/>
      </c>
      <c r="AB61" s="94">
        <f>IF($A61="",0,IF(AE61="직접",IF(AF61="수금비",$P61,0),$P61*(1-AG61)*IFERROR(INDEX(계정대체기준!$E$20:$E$49,MATCH($N61,계정대체기준!$A$20:$A$49,0)),0)))</f>
        <v/>
      </c>
      <c r="AC61" s="9">
        <f>IF(AND($A61&lt;&gt;"",M61=설정!$C$20,Z61&gt;0),Z61+ROW()/1000000000,"")</f>
        <v/>
      </c>
      <c r="AD61" s="94">
        <f>IF($A61="",0,$P61*AG61)</f>
        <v/>
      </c>
      <c r="AE61" s="64">
        <f>IF($A61="","",IFERROR(INDEX(계정매핑!$E$5:$E$504,MATCH($F61&amp;"",계정매핑!$A$5:$A$504,0))&amp;"","공통비"))</f>
        <v/>
      </c>
      <c r="AF61" s="64">
        <f>IF($A61="","",IF(AE61="직접",IFERROR(INDEX(계정매핑!$F$5:$F$504,MATCH($F61&amp;"",계정매핑!$A$5:$A$504,0))&amp;"","비귀속"),""))</f>
        <v/>
      </c>
      <c r="AG61" s="96">
        <f>IF($A61="",0,IF(AND(AE61&lt;&gt;"직접",IFERROR(INDEX(계정매핑!$G$5:$G$504,MATCH($F61&amp;"",계정매핑!$A$5:$A$504,0))&amp;"","")="유지비",COUNTIF(계정대체기준!$A$6:$A$15,$N61)&gt;0),IFERROR(INDEX(계정대체기준!$E$6:$E$15,MATCH(VALUE($A61&amp;""),계정대체기준!$D$6:$D$15,0)),0),0))</f>
        <v/>
      </c>
      <c r="AH61" s="64">
        <f>IF($A61="","",IF(AD61=0,"",IF(OR(COUNTIF(계정대체기준!$A$77:$A$86,$N61)&gt;0,ISNUMBER(MATCH($X61,계정대체기준!$D$77:$D$86,0)),ISNUMBER(MATCH($F61,계정대체기준!$D$77:$D$86,0))),"Y","N")))</f>
        <v/>
      </c>
    </row>
    <row r="62">
      <c r="A62" s="92" t="n">
        <v>2025</v>
      </c>
      <c r="B62" s="92" t="n">
        <v>1</v>
      </c>
      <c r="C62" s="92" t="inlineStr">
        <is>
          <t>5100000058</t>
        </is>
      </c>
      <c r="D62" s="95" t="n">
        <v>45665</v>
      </c>
      <c r="E62" s="92" t="inlineStr">
        <is>
          <t>KR</t>
        </is>
      </c>
      <c r="F62" s="92" t="n">
        <v>62101000</v>
      </c>
      <c r="G62" s="92" t="n">
        <v>1602</v>
      </c>
      <c r="H62" s="93" t="n">
        <v>1454000</v>
      </c>
      <c r="I62" s="92" t="inlineStr">
        <is>
          <t>1월 국내출장 - L여행사</t>
        </is>
      </c>
      <c r="J62" s="92" t="inlineStr">
        <is>
          <t>V10018</t>
        </is>
      </c>
      <c r="K62" s="92" t="inlineStr">
        <is>
          <t>L여행사</t>
        </is>
      </c>
      <c r="M62" s="9">
        <f>IF($A62="","",VALUE($A62&amp;"")*12+VALUE($B62&amp;""))</f>
        <v/>
      </c>
      <c r="N62" s="64">
        <f>IF($A62="","",IFERROR(INDEX(부서매핑!$C$5:$C$504,MATCH($G62&amp;"",부서매핑!$A$5:$A$504,0)),"미매핑"))</f>
        <v/>
      </c>
      <c r="O62" s="9">
        <f>IF($A62="","",N62&amp;"|"&amp;$F62)</f>
        <v/>
      </c>
      <c r="P62" s="94">
        <f>IF($A62="",0,$H62*설정!$C$23)</f>
        <v/>
      </c>
      <c r="Q62" s="64">
        <f>IF($A62="","",IF(O62&lt;&gt;원인분석!$C$9,"",IF(AND(M62&gt;=원인분석!$C$10,M62&lt;=원인분석!$C$11),"당기",IF(AND(M62&gt;=원인분석!$C$12,M62&lt;=원인분석!$C$13),"비교",""))))</f>
        <v/>
      </c>
      <c r="R62" s="9">
        <f>IF(Q62="","",$K62&amp;"")</f>
        <v/>
      </c>
      <c r="S62" s="9">
        <f>IF(Q62="","",IF(MATCH(R62,$R$5:$R$100000,0)=ROW()-4,ROW(),""))</f>
        <v/>
      </c>
      <c r="T62" s="9">
        <f>IF(Q62="당기",ABS(P62)+ROW()/1000000000,"")</f>
        <v/>
      </c>
      <c r="U62" s="9">
        <f>IF(Q62="비교",ABS(P62)+ROW()/1000000000,"")</f>
        <v/>
      </c>
      <c r="V62" s="64">
        <f>IF($A62="","",IF(COUNTIF(변동분석!$E$7:$E$506,O62)&gt;0,"Y","N"))</f>
        <v/>
      </c>
      <c r="W62" s="64">
        <f>IF($A62="","",IFERROR(INDEX(계정매핑!$D$5:$D$504,MATCH($F62&amp;"",계정매핑!$A$5:$A$504,0)),"미매핑"))</f>
        <v/>
      </c>
      <c r="X62" s="9">
        <f>IF($A62="","",$F62&amp;"")</f>
        <v/>
      </c>
      <c r="Y62" s="94">
        <f>IF($A62="",0,IF(AE62="직접",IF(AF62="비귀속",$P62,0),$P62*(1-AG62)*IFERROR(INDEX(계정대체기준!$F$20:$F$49,MATCH($N62,계정대체기준!$A$20:$A$49,0)),1)))</f>
        <v/>
      </c>
      <c r="Z62" s="94">
        <f>IF($A62="",0,IF(AE62="직접",IF(AF62="신계약비",$P62,0),$P62*(1-AG62)*IFERROR(INDEX(계정대체기준!$C$20:$C$49,MATCH($N62,계정대체기준!$A$20:$A$49,0)),0)))</f>
        <v/>
      </c>
      <c r="AA62" s="94">
        <f>IF($A62="",0,IF(AE62="직접",IF(OR(AF62="유지비",AF62="손해조사비"),$P62,0),$P62*(1-AG62)*IFERROR(INDEX(계정대체기준!$D$20:$D$49,MATCH($N62,계정대체기준!$A$20:$A$49,0)),0)))</f>
        <v/>
      </c>
      <c r="AB62" s="94">
        <f>IF($A62="",0,IF(AE62="직접",IF(AF62="수금비",$P62,0),$P62*(1-AG62)*IFERROR(INDEX(계정대체기준!$E$20:$E$49,MATCH($N62,계정대체기준!$A$20:$A$49,0)),0)))</f>
        <v/>
      </c>
      <c r="AC62" s="9">
        <f>IF(AND($A62&lt;&gt;"",M62=설정!$C$20,Z62&gt;0),Z62+ROW()/1000000000,"")</f>
        <v/>
      </c>
      <c r="AD62" s="94">
        <f>IF($A62="",0,$P62*AG62)</f>
        <v/>
      </c>
      <c r="AE62" s="64">
        <f>IF($A62="","",IFERROR(INDEX(계정매핑!$E$5:$E$504,MATCH($F62&amp;"",계정매핑!$A$5:$A$504,0))&amp;"","공통비"))</f>
        <v/>
      </c>
      <c r="AF62" s="64">
        <f>IF($A62="","",IF(AE62="직접",IFERROR(INDEX(계정매핑!$F$5:$F$504,MATCH($F62&amp;"",계정매핑!$A$5:$A$504,0))&amp;"","비귀속"),""))</f>
        <v/>
      </c>
      <c r="AG62" s="96">
        <f>IF($A62="",0,IF(AND(AE62&lt;&gt;"직접",IFERROR(INDEX(계정매핑!$G$5:$G$504,MATCH($F62&amp;"",계정매핑!$A$5:$A$504,0))&amp;"","")="유지비",COUNTIF(계정대체기준!$A$6:$A$15,$N62)&gt;0),IFERROR(INDEX(계정대체기준!$E$6:$E$15,MATCH(VALUE($A62&amp;""),계정대체기준!$D$6:$D$15,0)),0),0))</f>
        <v/>
      </c>
      <c r="AH62" s="64">
        <f>IF($A62="","",IF(AD62=0,"",IF(OR(COUNTIF(계정대체기준!$A$77:$A$86,$N62)&gt;0,ISNUMBER(MATCH($X62,계정대체기준!$D$77:$D$86,0)),ISNUMBER(MATCH($F62,계정대체기준!$D$77:$D$86,0))),"Y","N")))</f>
        <v/>
      </c>
    </row>
    <row r="63">
      <c r="A63" s="92" t="n">
        <v>2025</v>
      </c>
      <c r="B63" s="92" t="n">
        <v>1</v>
      </c>
      <c r="C63" s="92" t="inlineStr">
        <is>
          <t>5100000059</t>
        </is>
      </c>
      <c r="D63" s="95" t="n">
        <v>45665</v>
      </c>
      <c r="E63" s="92" t="inlineStr">
        <is>
          <t>KR</t>
        </is>
      </c>
      <c r="F63" s="92" t="n">
        <v>62102000</v>
      </c>
      <c r="G63" s="92" t="n">
        <v>1601</v>
      </c>
      <c r="H63" s="93" t="n">
        <v>287000</v>
      </c>
      <c r="I63" s="92" t="inlineStr">
        <is>
          <t>1월 해외출장 - M항공</t>
        </is>
      </c>
      <c r="J63" s="92" t="inlineStr">
        <is>
          <t>V10001</t>
        </is>
      </c>
      <c r="K63" s="92" t="inlineStr">
        <is>
          <t>M항공</t>
        </is>
      </c>
      <c r="M63" s="9">
        <f>IF($A63="","",VALUE($A63&amp;"")*12+VALUE($B63&amp;""))</f>
        <v/>
      </c>
      <c r="N63" s="64">
        <f>IF($A63="","",IFERROR(INDEX(부서매핑!$C$5:$C$504,MATCH($G63&amp;"",부서매핑!$A$5:$A$504,0)),"미매핑"))</f>
        <v/>
      </c>
      <c r="O63" s="9">
        <f>IF($A63="","",N63&amp;"|"&amp;$F63)</f>
        <v/>
      </c>
      <c r="P63" s="94">
        <f>IF($A63="",0,$H63*설정!$C$23)</f>
        <v/>
      </c>
      <c r="Q63" s="64">
        <f>IF($A63="","",IF(O63&lt;&gt;원인분석!$C$9,"",IF(AND(M63&gt;=원인분석!$C$10,M63&lt;=원인분석!$C$11),"당기",IF(AND(M63&gt;=원인분석!$C$12,M63&lt;=원인분석!$C$13),"비교",""))))</f>
        <v/>
      </c>
      <c r="R63" s="9">
        <f>IF(Q63="","",$K63&amp;"")</f>
        <v/>
      </c>
      <c r="S63" s="9">
        <f>IF(Q63="","",IF(MATCH(R63,$R$5:$R$100000,0)=ROW()-4,ROW(),""))</f>
        <v/>
      </c>
      <c r="T63" s="9">
        <f>IF(Q63="당기",ABS(P63)+ROW()/1000000000,"")</f>
        <v/>
      </c>
      <c r="U63" s="9">
        <f>IF(Q63="비교",ABS(P63)+ROW()/1000000000,"")</f>
        <v/>
      </c>
      <c r="V63" s="64">
        <f>IF($A63="","",IF(COUNTIF(변동분석!$E$7:$E$506,O63)&gt;0,"Y","N"))</f>
        <v/>
      </c>
      <c r="W63" s="64">
        <f>IF($A63="","",IFERROR(INDEX(계정매핑!$D$5:$D$504,MATCH($F63&amp;"",계정매핑!$A$5:$A$504,0)),"미매핑"))</f>
        <v/>
      </c>
      <c r="X63" s="9">
        <f>IF($A63="","",$F63&amp;"")</f>
        <v/>
      </c>
      <c r="Y63" s="94">
        <f>IF($A63="",0,IF(AE63="직접",IF(AF63="비귀속",$P63,0),$P63*(1-AG63)*IFERROR(INDEX(계정대체기준!$F$20:$F$49,MATCH($N63,계정대체기준!$A$20:$A$49,0)),1)))</f>
        <v/>
      </c>
      <c r="Z63" s="94">
        <f>IF($A63="",0,IF(AE63="직접",IF(AF63="신계약비",$P63,0),$P63*(1-AG63)*IFERROR(INDEX(계정대체기준!$C$20:$C$49,MATCH($N63,계정대체기준!$A$20:$A$49,0)),0)))</f>
        <v/>
      </c>
      <c r="AA63" s="94">
        <f>IF($A63="",0,IF(AE63="직접",IF(OR(AF63="유지비",AF63="손해조사비"),$P63,0),$P63*(1-AG63)*IFERROR(INDEX(계정대체기준!$D$20:$D$49,MATCH($N63,계정대체기준!$A$20:$A$49,0)),0)))</f>
        <v/>
      </c>
      <c r="AB63" s="94">
        <f>IF($A63="",0,IF(AE63="직접",IF(AF63="수금비",$P63,0),$P63*(1-AG63)*IFERROR(INDEX(계정대체기준!$E$20:$E$49,MATCH($N63,계정대체기준!$A$20:$A$49,0)),0)))</f>
        <v/>
      </c>
      <c r="AC63" s="9">
        <f>IF(AND($A63&lt;&gt;"",M63=설정!$C$20,Z63&gt;0),Z63+ROW()/1000000000,"")</f>
        <v/>
      </c>
      <c r="AD63" s="94">
        <f>IF($A63="",0,$P63*AG63)</f>
        <v/>
      </c>
      <c r="AE63" s="64">
        <f>IF($A63="","",IFERROR(INDEX(계정매핑!$E$5:$E$504,MATCH($F63&amp;"",계정매핑!$A$5:$A$504,0))&amp;"","공통비"))</f>
        <v/>
      </c>
      <c r="AF63" s="64">
        <f>IF($A63="","",IF(AE63="직접",IFERROR(INDEX(계정매핑!$F$5:$F$504,MATCH($F63&amp;"",계정매핑!$A$5:$A$504,0))&amp;"","비귀속"),""))</f>
        <v/>
      </c>
      <c r="AG63" s="96">
        <f>IF($A63="",0,IF(AND(AE63&lt;&gt;"직접",IFERROR(INDEX(계정매핑!$G$5:$G$504,MATCH($F63&amp;"",계정매핑!$A$5:$A$504,0))&amp;"","")="유지비",COUNTIF(계정대체기준!$A$6:$A$15,$N63)&gt;0),IFERROR(INDEX(계정대체기준!$E$6:$E$15,MATCH(VALUE($A63&amp;""),계정대체기준!$D$6:$D$15,0)),0),0))</f>
        <v/>
      </c>
      <c r="AH63" s="64">
        <f>IF($A63="","",IF(AD63=0,"",IF(OR(COUNTIF(계정대체기준!$A$77:$A$86,$N63)&gt;0,ISNUMBER(MATCH($X63,계정대체기준!$D$77:$D$86,0)),ISNUMBER(MATCH($F63,계정대체기준!$D$77:$D$86,0))),"Y","N")))</f>
        <v/>
      </c>
    </row>
    <row r="64">
      <c r="A64" s="92" t="n">
        <v>2025</v>
      </c>
      <c r="B64" s="92" t="n">
        <v>1</v>
      </c>
      <c r="C64" s="92" t="inlineStr">
        <is>
          <t>5100000060</t>
        </is>
      </c>
      <c r="D64" s="95" t="n">
        <v>45665</v>
      </c>
      <c r="E64" s="92" t="inlineStr">
        <is>
          <t>KR</t>
        </is>
      </c>
      <c r="F64" s="92" t="n">
        <v>62301000</v>
      </c>
      <c r="G64" s="92" t="n">
        <v>1401</v>
      </c>
      <c r="H64" s="93" t="n">
        <v>74000</v>
      </c>
      <c r="I64" s="92" t="inlineStr">
        <is>
          <t>1월 소모품 구입 - Q오피스</t>
        </is>
      </c>
      <c r="J64" s="92" t="inlineStr">
        <is>
          <t>V10003</t>
        </is>
      </c>
      <c r="K64" s="92" t="inlineStr">
        <is>
          <t>Q오피스</t>
        </is>
      </c>
      <c r="M64" s="9">
        <f>IF($A64="","",VALUE($A64&amp;"")*12+VALUE($B64&amp;""))</f>
        <v/>
      </c>
      <c r="N64" s="64">
        <f>IF($A64="","",IFERROR(INDEX(부서매핑!$C$5:$C$504,MATCH($G64&amp;"",부서매핑!$A$5:$A$504,0)),"미매핑"))</f>
        <v/>
      </c>
      <c r="O64" s="9">
        <f>IF($A64="","",N64&amp;"|"&amp;$F64)</f>
        <v/>
      </c>
      <c r="P64" s="94">
        <f>IF($A64="",0,$H64*설정!$C$23)</f>
        <v/>
      </c>
      <c r="Q64" s="64">
        <f>IF($A64="","",IF(O64&lt;&gt;원인분석!$C$9,"",IF(AND(M64&gt;=원인분석!$C$10,M64&lt;=원인분석!$C$11),"당기",IF(AND(M64&gt;=원인분석!$C$12,M64&lt;=원인분석!$C$13),"비교",""))))</f>
        <v/>
      </c>
      <c r="R64" s="9">
        <f>IF(Q64="","",$K64&amp;"")</f>
        <v/>
      </c>
      <c r="S64" s="9">
        <f>IF(Q64="","",IF(MATCH(R64,$R$5:$R$100000,0)=ROW()-4,ROW(),""))</f>
        <v/>
      </c>
      <c r="T64" s="9">
        <f>IF(Q64="당기",ABS(P64)+ROW()/1000000000,"")</f>
        <v/>
      </c>
      <c r="U64" s="9">
        <f>IF(Q64="비교",ABS(P64)+ROW()/1000000000,"")</f>
        <v/>
      </c>
      <c r="V64" s="64">
        <f>IF($A64="","",IF(COUNTIF(변동분석!$E$7:$E$506,O64)&gt;0,"Y","N"))</f>
        <v/>
      </c>
      <c r="W64" s="64">
        <f>IF($A64="","",IFERROR(INDEX(계정매핑!$D$5:$D$504,MATCH($F64&amp;"",계정매핑!$A$5:$A$504,0)),"미매핑"))</f>
        <v/>
      </c>
      <c r="X64" s="9">
        <f>IF($A64="","",$F64&amp;"")</f>
        <v/>
      </c>
      <c r="Y64" s="94">
        <f>IF($A64="",0,IF(AE64="직접",IF(AF64="비귀속",$P64,0),$P64*(1-AG64)*IFERROR(INDEX(계정대체기준!$F$20:$F$49,MATCH($N64,계정대체기준!$A$20:$A$49,0)),1)))</f>
        <v/>
      </c>
      <c r="Z64" s="94">
        <f>IF($A64="",0,IF(AE64="직접",IF(AF64="신계약비",$P64,0),$P64*(1-AG64)*IFERROR(INDEX(계정대체기준!$C$20:$C$49,MATCH($N64,계정대체기준!$A$20:$A$49,0)),0)))</f>
        <v/>
      </c>
      <c r="AA64" s="94">
        <f>IF($A64="",0,IF(AE64="직접",IF(OR(AF64="유지비",AF64="손해조사비"),$P64,0),$P64*(1-AG64)*IFERROR(INDEX(계정대체기준!$D$20:$D$49,MATCH($N64,계정대체기준!$A$20:$A$49,0)),0)))</f>
        <v/>
      </c>
      <c r="AB64" s="94">
        <f>IF($A64="",0,IF(AE64="직접",IF(AF64="수금비",$P64,0),$P64*(1-AG64)*IFERROR(INDEX(계정대체기준!$E$20:$E$49,MATCH($N64,계정대체기준!$A$20:$A$49,0)),0)))</f>
        <v/>
      </c>
      <c r="AC64" s="9">
        <f>IF(AND($A64&lt;&gt;"",M64=설정!$C$20,Z64&gt;0),Z64+ROW()/1000000000,"")</f>
        <v/>
      </c>
      <c r="AD64" s="94">
        <f>IF($A64="",0,$P64*AG64)</f>
        <v/>
      </c>
      <c r="AE64" s="64">
        <f>IF($A64="","",IFERROR(INDEX(계정매핑!$E$5:$E$504,MATCH($F64&amp;"",계정매핑!$A$5:$A$504,0))&amp;"","공통비"))</f>
        <v/>
      </c>
      <c r="AF64" s="64">
        <f>IF($A64="","",IF(AE64="직접",IFERROR(INDEX(계정매핑!$F$5:$F$504,MATCH($F64&amp;"",계정매핑!$A$5:$A$504,0))&amp;"","비귀속"),""))</f>
        <v/>
      </c>
      <c r="AG64" s="96">
        <f>IF($A64="",0,IF(AND(AE64&lt;&gt;"직접",IFERROR(INDEX(계정매핑!$G$5:$G$504,MATCH($F64&amp;"",계정매핑!$A$5:$A$504,0))&amp;"","")="유지비",COUNTIF(계정대체기준!$A$6:$A$15,$N64)&gt;0),IFERROR(INDEX(계정대체기준!$E$6:$E$15,MATCH(VALUE($A64&amp;""),계정대체기준!$D$6:$D$15,0)),0),0))</f>
        <v/>
      </c>
      <c r="AH64" s="64">
        <f>IF($A64="","",IF(AD64=0,"",IF(OR(COUNTIF(계정대체기준!$A$77:$A$86,$N64)&gt;0,ISNUMBER(MATCH($X64,계정대체기준!$D$77:$D$86,0)),ISNUMBER(MATCH($F64,계정대체기준!$D$77:$D$86,0))),"Y","N")))</f>
        <v/>
      </c>
    </row>
    <row r="65">
      <c r="A65" s="92" t="n">
        <v>2025</v>
      </c>
      <c r="B65" s="92" t="n">
        <v>1</v>
      </c>
      <c r="C65" s="92" t="inlineStr">
        <is>
          <t>5100000061</t>
        </is>
      </c>
      <c r="D65" s="95" t="n">
        <v>45665</v>
      </c>
      <c r="E65" s="92" t="inlineStr">
        <is>
          <t>KR</t>
        </is>
      </c>
      <c r="F65" s="92" t="n">
        <v>62301000</v>
      </c>
      <c r="G65" s="92" t="n">
        <v>1601</v>
      </c>
      <c r="H65" s="93" t="n">
        <v>341000</v>
      </c>
      <c r="I65" s="92" t="inlineStr">
        <is>
          <t>1월 소모품 구입 - R문구</t>
        </is>
      </c>
      <c r="J65" s="92" t="inlineStr">
        <is>
          <t>V10022</t>
        </is>
      </c>
      <c r="K65" s="92" t="inlineStr">
        <is>
          <t>R문구</t>
        </is>
      </c>
      <c r="M65" s="9">
        <f>IF($A65="","",VALUE($A65&amp;"")*12+VALUE($B65&amp;""))</f>
        <v/>
      </c>
      <c r="N65" s="64">
        <f>IF($A65="","",IFERROR(INDEX(부서매핑!$C$5:$C$504,MATCH($G65&amp;"",부서매핑!$A$5:$A$504,0)),"미매핑"))</f>
        <v/>
      </c>
      <c r="O65" s="9">
        <f>IF($A65="","",N65&amp;"|"&amp;$F65)</f>
        <v/>
      </c>
      <c r="P65" s="94">
        <f>IF($A65="",0,$H65*설정!$C$23)</f>
        <v/>
      </c>
      <c r="Q65" s="64">
        <f>IF($A65="","",IF(O65&lt;&gt;원인분석!$C$9,"",IF(AND(M65&gt;=원인분석!$C$10,M65&lt;=원인분석!$C$11),"당기",IF(AND(M65&gt;=원인분석!$C$12,M65&lt;=원인분석!$C$13),"비교",""))))</f>
        <v/>
      </c>
      <c r="R65" s="9">
        <f>IF(Q65="","",$K65&amp;"")</f>
        <v/>
      </c>
      <c r="S65" s="9">
        <f>IF(Q65="","",IF(MATCH(R65,$R$5:$R$100000,0)=ROW()-4,ROW(),""))</f>
        <v/>
      </c>
      <c r="T65" s="9">
        <f>IF(Q65="당기",ABS(P65)+ROW()/1000000000,"")</f>
        <v/>
      </c>
      <c r="U65" s="9">
        <f>IF(Q65="비교",ABS(P65)+ROW()/1000000000,"")</f>
        <v/>
      </c>
      <c r="V65" s="64">
        <f>IF($A65="","",IF(COUNTIF(변동분석!$E$7:$E$506,O65)&gt;0,"Y","N"))</f>
        <v/>
      </c>
      <c r="W65" s="64">
        <f>IF($A65="","",IFERROR(INDEX(계정매핑!$D$5:$D$504,MATCH($F65&amp;"",계정매핑!$A$5:$A$504,0)),"미매핑"))</f>
        <v/>
      </c>
      <c r="X65" s="9">
        <f>IF($A65="","",$F65&amp;"")</f>
        <v/>
      </c>
      <c r="Y65" s="94">
        <f>IF($A65="",0,IF(AE65="직접",IF(AF65="비귀속",$P65,0),$P65*(1-AG65)*IFERROR(INDEX(계정대체기준!$F$20:$F$49,MATCH($N65,계정대체기준!$A$20:$A$49,0)),1)))</f>
        <v/>
      </c>
      <c r="Z65" s="94">
        <f>IF($A65="",0,IF(AE65="직접",IF(AF65="신계약비",$P65,0),$P65*(1-AG65)*IFERROR(INDEX(계정대체기준!$C$20:$C$49,MATCH($N65,계정대체기준!$A$20:$A$49,0)),0)))</f>
        <v/>
      </c>
      <c r="AA65" s="94">
        <f>IF($A65="",0,IF(AE65="직접",IF(OR(AF65="유지비",AF65="손해조사비"),$P65,0),$P65*(1-AG65)*IFERROR(INDEX(계정대체기준!$D$20:$D$49,MATCH($N65,계정대체기준!$A$20:$A$49,0)),0)))</f>
        <v/>
      </c>
      <c r="AB65" s="94">
        <f>IF($A65="",0,IF(AE65="직접",IF(AF65="수금비",$P65,0),$P65*(1-AG65)*IFERROR(INDEX(계정대체기준!$E$20:$E$49,MATCH($N65,계정대체기준!$A$20:$A$49,0)),0)))</f>
        <v/>
      </c>
      <c r="AC65" s="9">
        <f>IF(AND($A65&lt;&gt;"",M65=설정!$C$20,Z65&gt;0),Z65+ROW()/1000000000,"")</f>
        <v/>
      </c>
      <c r="AD65" s="94">
        <f>IF($A65="",0,$P65*AG65)</f>
        <v/>
      </c>
      <c r="AE65" s="64">
        <f>IF($A65="","",IFERROR(INDEX(계정매핑!$E$5:$E$504,MATCH($F65&amp;"",계정매핑!$A$5:$A$504,0))&amp;"","공통비"))</f>
        <v/>
      </c>
      <c r="AF65" s="64">
        <f>IF($A65="","",IF(AE65="직접",IFERROR(INDEX(계정매핑!$F$5:$F$504,MATCH($F65&amp;"",계정매핑!$A$5:$A$504,0))&amp;"","비귀속"),""))</f>
        <v/>
      </c>
      <c r="AG65" s="96">
        <f>IF($A65="",0,IF(AND(AE65&lt;&gt;"직접",IFERROR(INDEX(계정매핑!$G$5:$G$504,MATCH($F65&amp;"",계정매핑!$A$5:$A$504,0))&amp;"","")="유지비",COUNTIF(계정대체기준!$A$6:$A$15,$N65)&gt;0),IFERROR(INDEX(계정대체기준!$E$6:$E$15,MATCH(VALUE($A65&amp;""),계정대체기준!$D$6:$D$15,0)),0),0))</f>
        <v/>
      </c>
      <c r="AH65" s="64">
        <f>IF($A65="","",IF(AD65=0,"",IF(OR(COUNTIF(계정대체기준!$A$77:$A$86,$N65)&gt;0,ISNUMBER(MATCH($X65,계정대체기준!$D$77:$D$86,0)),ISNUMBER(MATCH($F65,계정대체기준!$D$77:$D$86,0))),"Y","N")))</f>
        <v/>
      </c>
    </row>
    <row r="66">
      <c r="A66" s="92" t="n">
        <v>2025</v>
      </c>
      <c r="B66" s="92" t="n">
        <v>1</v>
      </c>
      <c r="C66" s="92" t="inlineStr">
        <is>
          <t>5100000062</t>
        </is>
      </c>
      <c r="D66" s="95" t="n">
        <v>45665</v>
      </c>
      <c r="E66" s="92" t="inlineStr">
        <is>
          <t>KR</t>
        </is>
      </c>
      <c r="F66" s="92" t="n">
        <v>62401000</v>
      </c>
      <c r="G66" s="92" t="n">
        <v>1501</v>
      </c>
      <c r="H66" s="93" t="n">
        <v>2049000</v>
      </c>
      <c r="I66" s="92" t="inlineStr">
        <is>
          <t>1월 인쇄물 제작 - G인쇄</t>
        </is>
      </c>
      <c r="J66" s="92" t="inlineStr">
        <is>
          <t>V10004</t>
        </is>
      </c>
      <c r="K66" s="92" t="inlineStr">
        <is>
          <t>G인쇄</t>
        </is>
      </c>
      <c r="M66" s="9">
        <f>IF($A66="","",VALUE($A66&amp;"")*12+VALUE($B66&amp;""))</f>
        <v/>
      </c>
      <c r="N66" s="64">
        <f>IF($A66="","",IFERROR(INDEX(부서매핑!$C$5:$C$504,MATCH($G66&amp;"",부서매핑!$A$5:$A$504,0)),"미매핑"))</f>
        <v/>
      </c>
      <c r="O66" s="9">
        <f>IF($A66="","",N66&amp;"|"&amp;$F66)</f>
        <v/>
      </c>
      <c r="P66" s="94">
        <f>IF($A66="",0,$H66*설정!$C$23)</f>
        <v/>
      </c>
      <c r="Q66" s="64">
        <f>IF($A66="","",IF(O66&lt;&gt;원인분석!$C$9,"",IF(AND(M66&gt;=원인분석!$C$10,M66&lt;=원인분석!$C$11),"당기",IF(AND(M66&gt;=원인분석!$C$12,M66&lt;=원인분석!$C$13),"비교",""))))</f>
        <v/>
      </c>
      <c r="R66" s="9">
        <f>IF(Q66="","",$K66&amp;"")</f>
        <v/>
      </c>
      <c r="S66" s="9">
        <f>IF(Q66="","",IF(MATCH(R66,$R$5:$R$100000,0)=ROW()-4,ROW(),""))</f>
        <v/>
      </c>
      <c r="T66" s="9">
        <f>IF(Q66="당기",ABS(P66)+ROW()/1000000000,"")</f>
        <v/>
      </c>
      <c r="U66" s="9">
        <f>IF(Q66="비교",ABS(P66)+ROW()/1000000000,"")</f>
        <v/>
      </c>
      <c r="V66" s="64">
        <f>IF($A66="","",IF(COUNTIF(변동분석!$E$7:$E$506,O66)&gt;0,"Y","N"))</f>
        <v/>
      </c>
      <c r="W66" s="64">
        <f>IF($A66="","",IFERROR(INDEX(계정매핑!$D$5:$D$504,MATCH($F66&amp;"",계정매핑!$A$5:$A$504,0)),"미매핑"))</f>
        <v/>
      </c>
      <c r="X66" s="9">
        <f>IF($A66="","",$F66&amp;"")</f>
        <v/>
      </c>
      <c r="Y66" s="94">
        <f>IF($A66="",0,IF(AE66="직접",IF(AF66="비귀속",$P66,0),$P66*(1-AG66)*IFERROR(INDEX(계정대체기준!$F$20:$F$49,MATCH($N66,계정대체기준!$A$20:$A$49,0)),1)))</f>
        <v/>
      </c>
      <c r="Z66" s="94">
        <f>IF($A66="",0,IF(AE66="직접",IF(AF66="신계약비",$P66,0),$P66*(1-AG66)*IFERROR(INDEX(계정대체기준!$C$20:$C$49,MATCH($N66,계정대체기준!$A$20:$A$49,0)),0)))</f>
        <v/>
      </c>
      <c r="AA66" s="94">
        <f>IF($A66="",0,IF(AE66="직접",IF(OR(AF66="유지비",AF66="손해조사비"),$P66,0),$P66*(1-AG66)*IFERROR(INDEX(계정대체기준!$D$20:$D$49,MATCH($N66,계정대체기준!$A$20:$A$49,0)),0)))</f>
        <v/>
      </c>
      <c r="AB66" s="94">
        <f>IF($A66="",0,IF(AE66="직접",IF(AF66="수금비",$P66,0),$P66*(1-AG66)*IFERROR(INDEX(계정대체기준!$E$20:$E$49,MATCH($N66,계정대체기준!$A$20:$A$49,0)),0)))</f>
        <v/>
      </c>
      <c r="AC66" s="9">
        <f>IF(AND($A66&lt;&gt;"",M66=설정!$C$20,Z66&gt;0),Z66+ROW()/1000000000,"")</f>
        <v/>
      </c>
      <c r="AD66" s="94">
        <f>IF($A66="",0,$P66*AG66)</f>
        <v/>
      </c>
      <c r="AE66" s="64">
        <f>IF($A66="","",IFERROR(INDEX(계정매핑!$E$5:$E$504,MATCH($F66&amp;"",계정매핑!$A$5:$A$504,0))&amp;"","공통비"))</f>
        <v/>
      </c>
      <c r="AF66" s="64">
        <f>IF($A66="","",IF(AE66="직접",IFERROR(INDEX(계정매핑!$F$5:$F$504,MATCH($F66&amp;"",계정매핑!$A$5:$A$504,0))&amp;"","비귀속"),""))</f>
        <v/>
      </c>
      <c r="AG66" s="96">
        <f>IF($A66="",0,IF(AND(AE66&lt;&gt;"직접",IFERROR(INDEX(계정매핑!$G$5:$G$504,MATCH($F66&amp;"",계정매핑!$A$5:$A$504,0))&amp;"","")="유지비",COUNTIF(계정대체기준!$A$6:$A$15,$N66)&gt;0),IFERROR(INDEX(계정대체기준!$E$6:$E$15,MATCH(VALUE($A66&amp;""),계정대체기준!$D$6:$D$15,0)),0),0))</f>
        <v/>
      </c>
      <c r="AH66" s="64">
        <f>IF($A66="","",IF(AD66=0,"",IF(OR(COUNTIF(계정대체기준!$A$77:$A$86,$N66)&gt;0,ISNUMBER(MATCH($X66,계정대체기준!$D$77:$D$86,0)),ISNUMBER(MATCH($F66,계정대체기준!$D$77:$D$86,0))),"Y","N")))</f>
        <v/>
      </c>
    </row>
    <row r="67">
      <c r="A67" s="92" t="n">
        <v>2025</v>
      </c>
      <c r="B67" s="92" t="n">
        <v>1</v>
      </c>
      <c r="C67" s="92" t="inlineStr">
        <is>
          <t>5100000063</t>
        </is>
      </c>
      <c r="D67" s="95" t="n">
        <v>45665</v>
      </c>
      <c r="E67" s="92" t="inlineStr">
        <is>
          <t>KR</t>
        </is>
      </c>
      <c r="F67" s="92" t="n">
        <v>62501000</v>
      </c>
      <c r="G67" s="92" t="n">
        <v>1601</v>
      </c>
      <c r="H67" s="93" t="n">
        <v>241000</v>
      </c>
      <c r="I67" s="92" t="inlineStr">
        <is>
          <t>1월 회의 다과 - (법인카드)</t>
        </is>
      </c>
      <c r="J67" s="92" t="inlineStr">
        <is>
          <t>V10010</t>
        </is>
      </c>
      <c r="K67" s="92" t="inlineStr">
        <is>
          <t>(법인카드)</t>
        </is>
      </c>
      <c r="M67" s="9">
        <f>IF($A67="","",VALUE($A67&amp;"")*12+VALUE($B67&amp;""))</f>
        <v/>
      </c>
      <c r="N67" s="64">
        <f>IF($A67="","",IFERROR(INDEX(부서매핑!$C$5:$C$504,MATCH($G67&amp;"",부서매핑!$A$5:$A$504,0)),"미매핑"))</f>
        <v/>
      </c>
      <c r="O67" s="9">
        <f>IF($A67="","",N67&amp;"|"&amp;$F67)</f>
        <v/>
      </c>
      <c r="P67" s="94">
        <f>IF($A67="",0,$H67*설정!$C$23)</f>
        <v/>
      </c>
      <c r="Q67" s="64">
        <f>IF($A67="","",IF(O67&lt;&gt;원인분석!$C$9,"",IF(AND(M67&gt;=원인분석!$C$10,M67&lt;=원인분석!$C$11),"당기",IF(AND(M67&gt;=원인분석!$C$12,M67&lt;=원인분석!$C$13),"비교",""))))</f>
        <v/>
      </c>
      <c r="R67" s="9">
        <f>IF(Q67="","",$K67&amp;"")</f>
        <v/>
      </c>
      <c r="S67" s="9">
        <f>IF(Q67="","",IF(MATCH(R67,$R$5:$R$100000,0)=ROW()-4,ROW(),""))</f>
        <v/>
      </c>
      <c r="T67" s="9">
        <f>IF(Q67="당기",ABS(P67)+ROW()/1000000000,"")</f>
        <v/>
      </c>
      <c r="U67" s="9">
        <f>IF(Q67="비교",ABS(P67)+ROW()/1000000000,"")</f>
        <v/>
      </c>
      <c r="V67" s="64">
        <f>IF($A67="","",IF(COUNTIF(변동분석!$E$7:$E$506,O67)&gt;0,"Y","N"))</f>
        <v/>
      </c>
      <c r="W67" s="64">
        <f>IF($A67="","",IFERROR(INDEX(계정매핑!$D$5:$D$504,MATCH($F67&amp;"",계정매핑!$A$5:$A$504,0)),"미매핑"))</f>
        <v/>
      </c>
      <c r="X67" s="9">
        <f>IF($A67="","",$F67&amp;"")</f>
        <v/>
      </c>
      <c r="Y67" s="94">
        <f>IF($A67="",0,IF(AE67="직접",IF(AF67="비귀속",$P67,0),$P67*(1-AG67)*IFERROR(INDEX(계정대체기준!$F$20:$F$49,MATCH($N67,계정대체기준!$A$20:$A$49,0)),1)))</f>
        <v/>
      </c>
      <c r="Z67" s="94">
        <f>IF($A67="",0,IF(AE67="직접",IF(AF67="신계약비",$P67,0),$P67*(1-AG67)*IFERROR(INDEX(계정대체기준!$C$20:$C$49,MATCH($N67,계정대체기준!$A$20:$A$49,0)),0)))</f>
        <v/>
      </c>
      <c r="AA67" s="94">
        <f>IF($A67="",0,IF(AE67="직접",IF(OR(AF67="유지비",AF67="손해조사비"),$P67,0),$P67*(1-AG67)*IFERROR(INDEX(계정대체기준!$D$20:$D$49,MATCH($N67,계정대체기준!$A$20:$A$49,0)),0)))</f>
        <v/>
      </c>
      <c r="AB67" s="94">
        <f>IF($A67="",0,IF(AE67="직접",IF(AF67="수금비",$P67,0),$P67*(1-AG67)*IFERROR(INDEX(계정대체기준!$E$20:$E$49,MATCH($N67,계정대체기준!$A$20:$A$49,0)),0)))</f>
        <v/>
      </c>
      <c r="AC67" s="9">
        <f>IF(AND($A67&lt;&gt;"",M67=설정!$C$20,Z67&gt;0),Z67+ROW()/1000000000,"")</f>
        <v/>
      </c>
      <c r="AD67" s="94">
        <f>IF($A67="",0,$P67*AG67)</f>
        <v/>
      </c>
      <c r="AE67" s="64">
        <f>IF($A67="","",IFERROR(INDEX(계정매핑!$E$5:$E$504,MATCH($F67&amp;"",계정매핑!$A$5:$A$504,0))&amp;"","공통비"))</f>
        <v/>
      </c>
      <c r="AF67" s="64">
        <f>IF($A67="","",IF(AE67="직접",IFERROR(INDEX(계정매핑!$F$5:$F$504,MATCH($F67&amp;"",계정매핑!$A$5:$A$504,0))&amp;"","비귀속"),""))</f>
        <v/>
      </c>
      <c r="AG67" s="96">
        <f>IF($A67="",0,IF(AND(AE67&lt;&gt;"직접",IFERROR(INDEX(계정매핑!$G$5:$G$504,MATCH($F67&amp;"",계정매핑!$A$5:$A$504,0))&amp;"","")="유지비",COUNTIF(계정대체기준!$A$6:$A$15,$N67)&gt;0),IFERROR(INDEX(계정대체기준!$E$6:$E$15,MATCH(VALUE($A67&amp;""),계정대체기준!$D$6:$D$15,0)),0),0))</f>
        <v/>
      </c>
      <c r="AH67" s="64">
        <f>IF($A67="","",IF(AD67=0,"",IF(OR(COUNTIF(계정대체기준!$A$77:$A$86,$N67)&gt;0,ISNUMBER(MATCH($X67,계정대체기준!$D$77:$D$86,0)),ISNUMBER(MATCH($F67,계정대체기준!$D$77:$D$86,0))),"Y","N")))</f>
        <v/>
      </c>
    </row>
    <row r="68">
      <c r="A68" s="92" t="n">
        <v>2025</v>
      </c>
      <c r="B68" s="92" t="n">
        <v>1</v>
      </c>
      <c r="C68" s="92" t="inlineStr">
        <is>
          <t>5100000064</t>
        </is>
      </c>
      <c r="D68" s="95" t="n">
        <v>45665</v>
      </c>
      <c r="E68" s="92" t="inlineStr">
        <is>
          <t>KR</t>
        </is>
      </c>
      <c r="F68" s="92" t="n">
        <v>62902000</v>
      </c>
      <c r="G68" s="92" t="n">
        <v>1101</v>
      </c>
      <c r="H68" s="93" t="n">
        <v>1191000</v>
      </c>
      <c r="I68" s="92" t="inlineStr">
        <is>
          <t>1월 업무 위탁 수수료 - J콜센터</t>
        </is>
      </c>
      <c r="J68" s="92" t="inlineStr">
        <is>
          <t>V10016</t>
        </is>
      </c>
      <c r="K68" s="92" t="inlineStr">
        <is>
          <t>J콜센터</t>
        </is>
      </c>
      <c r="M68" s="9">
        <f>IF($A68="","",VALUE($A68&amp;"")*12+VALUE($B68&amp;""))</f>
        <v/>
      </c>
      <c r="N68" s="64">
        <f>IF($A68="","",IFERROR(INDEX(부서매핑!$C$5:$C$504,MATCH($G68&amp;"",부서매핑!$A$5:$A$504,0)),"미매핑"))</f>
        <v/>
      </c>
      <c r="O68" s="9">
        <f>IF($A68="","",N68&amp;"|"&amp;$F68)</f>
        <v/>
      </c>
      <c r="P68" s="94">
        <f>IF($A68="",0,$H68*설정!$C$23)</f>
        <v/>
      </c>
      <c r="Q68" s="64">
        <f>IF($A68="","",IF(O68&lt;&gt;원인분석!$C$9,"",IF(AND(M68&gt;=원인분석!$C$10,M68&lt;=원인분석!$C$11),"당기",IF(AND(M68&gt;=원인분석!$C$12,M68&lt;=원인분석!$C$13),"비교",""))))</f>
        <v/>
      </c>
      <c r="R68" s="9">
        <f>IF(Q68="","",$K68&amp;"")</f>
        <v/>
      </c>
      <c r="S68" s="9">
        <f>IF(Q68="","",IF(MATCH(R68,$R$5:$R$100000,0)=ROW()-4,ROW(),""))</f>
        <v/>
      </c>
      <c r="T68" s="9">
        <f>IF(Q68="당기",ABS(P68)+ROW()/1000000000,"")</f>
        <v/>
      </c>
      <c r="U68" s="9">
        <f>IF(Q68="비교",ABS(P68)+ROW()/1000000000,"")</f>
        <v/>
      </c>
      <c r="V68" s="64">
        <f>IF($A68="","",IF(COUNTIF(변동분석!$E$7:$E$506,O68)&gt;0,"Y","N"))</f>
        <v/>
      </c>
      <c r="W68" s="64">
        <f>IF($A68="","",IFERROR(INDEX(계정매핑!$D$5:$D$504,MATCH($F68&amp;"",계정매핑!$A$5:$A$504,0)),"미매핑"))</f>
        <v/>
      </c>
      <c r="X68" s="9">
        <f>IF($A68="","",$F68&amp;"")</f>
        <v/>
      </c>
      <c r="Y68" s="94">
        <f>IF($A68="",0,IF(AE68="직접",IF(AF68="비귀속",$P68,0),$P68*(1-AG68)*IFERROR(INDEX(계정대체기준!$F$20:$F$49,MATCH($N68,계정대체기준!$A$20:$A$49,0)),1)))</f>
        <v/>
      </c>
      <c r="Z68" s="94">
        <f>IF($A68="",0,IF(AE68="직접",IF(AF68="신계약비",$P68,0),$P68*(1-AG68)*IFERROR(INDEX(계정대체기준!$C$20:$C$49,MATCH($N68,계정대체기준!$A$20:$A$49,0)),0)))</f>
        <v/>
      </c>
      <c r="AA68" s="94">
        <f>IF($A68="",0,IF(AE68="직접",IF(OR(AF68="유지비",AF68="손해조사비"),$P68,0),$P68*(1-AG68)*IFERROR(INDEX(계정대체기준!$D$20:$D$49,MATCH($N68,계정대체기준!$A$20:$A$49,0)),0)))</f>
        <v/>
      </c>
      <c r="AB68" s="94">
        <f>IF($A68="",0,IF(AE68="직접",IF(AF68="수금비",$P68,0),$P68*(1-AG68)*IFERROR(INDEX(계정대체기준!$E$20:$E$49,MATCH($N68,계정대체기준!$A$20:$A$49,0)),0)))</f>
        <v/>
      </c>
      <c r="AC68" s="9">
        <f>IF(AND($A68&lt;&gt;"",M68=설정!$C$20,Z68&gt;0),Z68+ROW()/1000000000,"")</f>
        <v/>
      </c>
      <c r="AD68" s="94">
        <f>IF($A68="",0,$P68*AG68)</f>
        <v/>
      </c>
      <c r="AE68" s="64">
        <f>IF($A68="","",IFERROR(INDEX(계정매핑!$E$5:$E$504,MATCH($F68&amp;"",계정매핑!$A$5:$A$504,0))&amp;"","공통비"))</f>
        <v/>
      </c>
      <c r="AF68" s="64">
        <f>IF($A68="","",IF(AE68="직접",IFERROR(INDEX(계정매핑!$F$5:$F$504,MATCH($F68&amp;"",계정매핑!$A$5:$A$504,0))&amp;"","비귀속"),""))</f>
        <v/>
      </c>
      <c r="AG68" s="96">
        <f>IF($A68="",0,IF(AND(AE68&lt;&gt;"직접",IFERROR(INDEX(계정매핑!$G$5:$G$504,MATCH($F68&amp;"",계정매핑!$A$5:$A$504,0))&amp;"","")="유지비",COUNTIF(계정대체기준!$A$6:$A$15,$N68)&gt;0),IFERROR(INDEX(계정대체기준!$E$6:$E$15,MATCH(VALUE($A68&amp;""),계정대체기준!$D$6:$D$15,0)),0),0))</f>
        <v/>
      </c>
      <c r="AH68" s="64">
        <f>IF($A68="","",IF(AD68=0,"",IF(OR(COUNTIF(계정대체기준!$A$77:$A$86,$N68)&gt;0,ISNUMBER(MATCH($X68,계정대체기준!$D$77:$D$86,0)),ISNUMBER(MATCH($F68,계정대체기준!$D$77:$D$86,0))),"Y","N")))</f>
        <v/>
      </c>
    </row>
    <row r="69">
      <c r="A69" s="92" t="n">
        <v>2025</v>
      </c>
      <c r="B69" s="92" t="n">
        <v>1</v>
      </c>
      <c r="C69" s="92" t="inlineStr">
        <is>
          <t>5100000065</t>
        </is>
      </c>
      <c r="D69" s="95" t="n">
        <v>45665</v>
      </c>
      <c r="E69" s="92" t="inlineStr">
        <is>
          <t>KR</t>
        </is>
      </c>
      <c r="F69" s="92" t="n">
        <v>62902000</v>
      </c>
      <c r="G69" s="92" t="n">
        <v>1101</v>
      </c>
      <c r="H69" s="93" t="n">
        <v>1915000</v>
      </c>
      <c r="I69" s="92" t="inlineStr">
        <is>
          <t>1월 업무 위탁 수수료 - X서비스</t>
        </is>
      </c>
      <c r="J69" s="92" t="inlineStr">
        <is>
          <t>V10020</t>
        </is>
      </c>
      <c r="K69" s="92" t="inlineStr">
        <is>
          <t>X서비스</t>
        </is>
      </c>
      <c r="M69" s="9">
        <f>IF($A69="","",VALUE($A69&amp;"")*12+VALUE($B69&amp;""))</f>
        <v/>
      </c>
      <c r="N69" s="64">
        <f>IF($A69="","",IFERROR(INDEX(부서매핑!$C$5:$C$504,MATCH($G69&amp;"",부서매핑!$A$5:$A$504,0)),"미매핑"))</f>
        <v/>
      </c>
      <c r="O69" s="9">
        <f>IF($A69="","",N69&amp;"|"&amp;$F69)</f>
        <v/>
      </c>
      <c r="P69" s="94">
        <f>IF($A69="",0,$H69*설정!$C$23)</f>
        <v/>
      </c>
      <c r="Q69" s="64">
        <f>IF($A69="","",IF(O69&lt;&gt;원인분석!$C$9,"",IF(AND(M69&gt;=원인분석!$C$10,M69&lt;=원인분석!$C$11),"당기",IF(AND(M69&gt;=원인분석!$C$12,M69&lt;=원인분석!$C$13),"비교",""))))</f>
        <v/>
      </c>
      <c r="R69" s="9">
        <f>IF(Q69="","",$K69&amp;"")</f>
        <v/>
      </c>
      <c r="S69" s="9">
        <f>IF(Q69="","",IF(MATCH(R69,$R$5:$R$100000,0)=ROW()-4,ROW(),""))</f>
        <v/>
      </c>
      <c r="T69" s="9">
        <f>IF(Q69="당기",ABS(P69)+ROW()/1000000000,"")</f>
        <v/>
      </c>
      <c r="U69" s="9">
        <f>IF(Q69="비교",ABS(P69)+ROW()/1000000000,"")</f>
        <v/>
      </c>
      <c r="V69" s="64">
        <f>IF($A69="","",IF(COUNTIF(변동분석!$E$7:$E$506,O69)&gt;0,"Y","N"))</f>
        <v/>
      </c>
      <c r="W69" s="64">
        <f>IF($A69="","",IFERROR(INDEX(계정매핑!$D$5:$D$504,MATCH($F69&amp;"",계정매핑!$A$5:$A$504,0)),"미매핑"))</f>
        <v/>
      </c>
      <c r="X69" s="9">
        <f>IF($A69="","",$F69&amp;"")</f>
        <v/>
      </c>
      <c r="Y69" s="94">
        <f>IF($A69="",0,IF(AE69="직접",IF(AF69="비귀속",$P69,0),$P69*(1-AG69)*IFERROR(INDEX(계정대체기준!$F$20:$F$49,MATCH($N69,계정대체기준!$A$20:$A$49,0)),1)))</f>
        <v/>
      </c>
      <c r="Z69" s="94">
        <f>IF($A69="",0,IF(AE69="직접",IF(AF69="신계약비",$P69,0),$P69*(1-AG69)*IFERROR(INDEX(계정대체기준!$C$20:$C$49,MATCH($N69,계정대체기준!$A$20:$A$49,0)),0)))</f>
        <v/>
      </c>
      <c r="AA69" s="94">
        <f>IF($A69="",0,IF(AE69="직접",IF(OR(AF69="유지비",AF69="손해조사비"),$P69,0),$P69*(1-AG69)*IFERROR(INDEX(계정대체기준!$D$20:$D$49,MATCH($N69,계정대체기준!$A$20:$A$49,0)),0)))</f>
        <v/>
      </c>
      <c r="AB69" s="94">
        <f>IF($A69="",0,IF(AE69="직접",IF(AF69="수금비",$P69,0),$P69*(1-AG69)*IFERROR(INDEX(계정대체기준!$E$20:$E$49,MATCH($N69,계정대체기준!$A$20:$A$49,0)),0)))</f>
        <v/>
      </c>
      <c r="AC69" s="9">
        <f>IF(AND($A69&lt;&gt;"",M69=설정!$C$20,Z69&gt;0),Z69+ROW()/1000000000,"")</f>
        <v/>
      </c>
      <c r="AD69" s="94">
        <f>IF($A69="",0,$P69*AG69)</f>
        <v/>
      </c>
      <c r="AE69" s="64">
        <f>IF($A69="","",IFERROR(INDEX(계정매핑!$E$5:$E$504,MATCH($F69&amp;"",계정매핑!$A$5:$A$504,0))&amp;"","공통비"))</f>
        <v/>
      </c>
      <c r="AF69" s="64">
        <f>IF($A69="","",IF(AE69="직접",IFERROR(INDEX(계정매핑!$F$5:$F$504,MATCH($F69&amp;"",계정매핑!$A$5:$A$504,0))&amp;"","비귀속"),""))</f>
        <v/>
      </c>
      <c r="AG69" s="96">
        <f>IF($A69="",0,IF(AND(AE69&lt;&gt;"직접",IFERROR(INDEX(계정매핑!$G$5:$G$504,MATCH($F69&amp;"",계정매핑!$A$5:$A$504,0))&amp;"","")="유지비",COUNTIF(계정대체기준!$A$6:$A$15,$N69)&gt;0),IFERROR(INDEX(계정대체기준!$E$6:$E$15,MATCH(VALUE($A69&amp;""),계정대체기준!$D$6:$D$15,0)),0),0))</f>
        <v/>
      </c>
      <c r="AH69" s="64">
        <f>IF($A69="","",IF(AD69=0,"",IF(OR(COUNTIF(계정대체기준!$A$77:$A$86,$N69)&gt;0,ISNUMBER(MATCH($X69,계정대체기준!$D$77:$D$86,0)),ISNUMBER(MATCH($F69,계정대체기준!$D$77:$D$86,0))),"Y","N")))</f>
        <v/>
      </c>
    </row>
    <row r="70">
      <c r="A70" s="92" t="n">
        <v>2025</v>
      </c>
      <c r="B70" s="92" t="n">
        <v>1</v>
      </c>
      <c r="C70" s="92" t="inlineStr">
        <is>
          <t>5100000066</t>
        </is>
      </c>
      <c r="D70" s="95" t="n">
        <v>45666</v>
      </c>
      <c r="E70" s="92" t="inlineStr">
        <is>
          <t>KR</t>
        </is>
      </c>
      <c r="F70" s="92" t="n">
        <v>62101000</v>
      </c>
      <c r="G70" s="92" t="n">
        <v>1401</v>
      </c>
      <c r="H70" s="93" t="n">
        <v>378000</v>
      </c>
      <c r="I70" s="92" t="inlineStr">
        <is>
          <t>1월 국내출장 - L여행사</t>
        </is>
      </c>
      <c r="J70" s="92" t="inlineStr">
        <is>
          <t>V10018</t>
        </is>
      </c>
      <c r="K70" s="92" t="inlineStr">
        <is>
          <t>L여행사</t>
        </is>
      </c>
      <c r="M70" s="9">
        <f>IF($A70="","",VALUE($A70&amp;"")*12+VALUE($B70&amp;""))</f>
        <v/>
      </c>
      <c r="N70" s="64">
        <f>IF($A70="","",IFERROR(INDEX(부서매핑!$C$5:$C$504,MATCH($G70&amp;"",부서매핑!$A$5:$A$504,0)),"미매핑"))</f>
        <v/>
      </c>
      <c r="O70" s="9">
        <f>IF($A70="","",N70&amp;"|"&amp;$F70)</f>
        <v/>
      </c>
      <c r="P70" s="94">
        <f>IF($A70="",0,$H70*설정!$C$23)</f>
        <v/>
      </c>
      <c r="Q70" s="64">
        <f>IF($A70="","",IF(O70&lt;&gt;원인분석!$C$9,"",IF(AND(M70&gt;=원인분석!$C$10,M70&lt;=원인분석!$C$11),"당기",IF(AND(M70&gt;=원인분석!$C$12,M70&lt;=원인분석!$C$13),"비교",""))))</f>
        <v/>
      </c>
      <c r="R70" s="9">
        <f>IF(Q70="","",$K70&amp;"")</f>
        <v/>
      </c>
      <c r="S70" s="9">
        <f>IF(Q70="","",IF(MATCH(R70,$R$5:$R$100000,0)=ROW()-4,ROW(),""))</f>
        <v/>
      </c>
      <c r="T70" s="9">
        <f>IF(Q70="당기",ABS(P70)+ROW()/1000000000,"")</f>
        <v/>
      </c>
      <c r="U70" s="9">
        <f>IF(Q70="비교",ABS(P70)+ROW()/1000000000,"")</f>
        <v/>
      </c>
      <c r="V70" s="64">
        <f>IF($A70="","",IF(COUNTIF(변동분석!$E$7:$E$506,O70)&gt;0,"Y","N"))</f>
        <v/>
      </c>
      <c r="W70" s="64">
        <f>IF($A70="","",IFERROR(INDEX(계정매핑!$D$5:$D$504,MATCH($F70&amp;"",계정매핑!$A$5:$A$504,0)),"미매핑"))</f>
        <v/>
      </c>
      <c r="X70" s="9">
        <f>IF($A70="","",$F70&amp;"")</f>
        <v/>
      </c>
      <c r="Y70" s="94">
        <f>IF($A70="",0,IF(AE70="직접",IF(AF70="비귀속",$P70,0),$P70*(1-AG70)*IFERROR(INDEX(계정대체기준!$F$20:$F$49,MATCH($N70,계정대체기준!$A$20:$A$49,0)),1)))</f>
        <v/>
      </c>
      <c r="Z70" s="94">
        <f>IF($A70="",0,IF(AE70="직접",IF(AF70="신계약비",$P70,0),$P70*(1-AG70)*IFERROR(INDEX(계정대체기준!$C$20:$C$49,MATCH($N70,계정대체기준!$A$20:$A$49,0)),0)))</f>
        <v/>
      </c>
      <c r="AA70" s="94">
        <f>IF($A70="",0,IF(AE70="직접",IF(OR(AF70="유지비",AF70="손해조사비"),$P70,0),$P70*(1-AG70)*IFERROR(INDEX(계정대체기준!$D$20:$D$49,MATCH($N70,계정대체기준!$A$20:$A$49,0)),0)))</f>
        <v/>
      </c>
      <c r="AB70" s="94">
        <f>IF($A70="",0,IF(AE70="직접",IF(AF70="수금비",$P70,0),$P70*(1-AG70)*IFERROR(INDEX(계정대체기준!$E$20:$E$49,MATCH($N70,계정대체기준!$A$20:$A$49,0)),0)))</f>
        <v/>
      </c>
      <c r="AC70" s="9">
        <f>IF(AND($A70&lt;&gt;"",M70=설정!$C$20,Z70&gt;0),Z70+ROW()/1000000000,"")</f>
        <v/>
      </c>
      <c r="AD70" s="94">
        <f>IF($A70="",0,$P70*AG70)</f>
        <v/>
      </c>
      <c r="AE70" s="64">
        <f>IF($A70="","",IFERROR(INDEX(계정매핑!$E$5:$E$504,MATCH($F70&amp;"",계정매핑!$A$5:$A$504,0))&amp;"","공통비"))</f>
        <v/>
      </c>
      <c r="AF70" s="64">
        <f>IF($A70="","",IF(AE70="직접",IFERROR(INDEX(계정매핑!$F$5:$F$504,MATCH($F70&amp;"",계정매핑!$A$5:$A$504,0))&amp;"","비귀속"),""))</f>
        <v/>
      </c>
      <c r="AG70" s="96">
        <f>IF($A70="",0,IF(AND(AE70&lt;&gt;"직접",IFERROR(INDEX(계정매핑!$G$5:$G$504,MATCH($F70&amp;"",계정매핑!$A$5:$A$504,0))&amp;"","")="유지비",COUNTIF(계정대체기준!$A$6:$A$15,$N70)&gt;0),IFERROR(INDEX(계정대체기준!$E$6:$E$15,MATCH(VALUE($A70&amp;""),계정대체기준!$D$6:$D$15,0)),0),0))</f>
        <v/>
      </c>
      <c r="AH70" s="64">
        <f>IF($A70="","",IF(AD70=0,"",IF(OR(COUNTIF(계정대체기준!$A$77:$A$86,$N70)&gt;0,ISNUMBER(MATCH($X70,계정대체기준!$D$77:$D$86,0)),ISNUMBER(MATCH($F70,계정대체기준!$D$77:$D$86,0))),"Y","N")))</f>
        <v/>
      </c>
    </row>
    <row r="71">
      <c r="A71" s="92" t="n">
        <v>2025</v>
      </c>
      <c r="B71" s="92" t="n">
        <v>1</v>
      </c>
      <c r="C71" s="92" t="inlineStr">
        <is>
          <t>5100000067</t>
        </is>
      </c>
      <c r="D71" s="95" t="n">
        <v>45666</v>
      </c>
      <c r="E71" s="92" t="inlineStr">
        <is>
          <t>KR</t>
        </is>
      </c>
      <c r="F71" s="92" t="n">
        <v>62101000</v>
      </c>
      <c r="G71" s="92" t="n">
        <v>1601</v>
      </c>
      <c r="H71" s="93" t="n">
        <v>746000</v>
      </c>
      <c r="I71" s="92" t="inlineStr">
        <is>
          <t>1월 국내출장 - L여행사</t>
        </is>
      </c>
      <c r="J71" s="92" t="inlineStr">
        <is>
          <t>V10018</t>
        </is>
      </c>
      <c r="K71" s="92" t="inlineStr">
        <is>
          <t>L여행사</t>
        </is>
      </c>
      <c r="M71" s="9">
        <f>IF($A71="","",VALUE($A71&amp;"")*12+VALUE($B71&amp;""))</f>
        <v/>
      </c>
      <c r="N71" s="64">
        <f>IF($A71="","",IFERROR(INDEX(부서매핑!$C$5:$C$504,MATCH($G71&amp;"",부서매핑!$A$5:$A$504,0)),"미매핑"))</f>
        <v/>
      </c>
      <c r="O71" s="9">
        <f>IF($A71="","",N71&amp;"|"&amp;$F71)</f>
        <v/>
      </c>
      <c r="P71" s="94">
        <f>IF($A71="",0,$H71*설정!$C$23)</f>
        <v/>
      </c>
      <c r="Q71" s="64">
        <f>IF($A71="","",IF(O71&lt;&gt;원인분석!$C$9,"",IF(AND(M71&gt;=원인분석!$C$10,M71&lt;=원인분석!$C$11),"당기",IF(AND(M71&gt;=원인분석!$C$12,M71&lt;=원인분석!$C$13),"비교",""))))</f>
        <v/>
      </c>
      <c r="R71" s="9">
        <f>IF(Q71="","",$K71&amp;"")</f>
        <v/>
      </c>
      <c r="S71" s="9">
        <f>IF(Q71="","",IF(MATCH(R71,$R$5:$R$100000,0)=ROW()-4,ROW(),""))</f>
        <v/>
      </c>
      <c r="T71" s="9">
        <f>IF(Q71="당기",ABS(P71)+ROW()/1000000000,"")</f>
        <v/>
      </c>
      <c r="U71" s="9">
        <f>IF(Q71="비교",ABS(P71)+ROW()/1000000000,"")</f>
        <v/>
      </c>
      <c r="V71" s="64">
        <f>IF($A71="","",IF(COUNTIF(변동분석!$E$7:$E$506,O71)&gt;0,"Y","N"))</f>
        <v/>
      </c>
      <c r="W71" s="64">
        <f>IF($A71="","",IFERROR(INDEX(계정매핑!$D$5:$D$504,MATCH($F71&amp;"",계정매핑!$A$5:$A$504,0)),"미매핑"))</f>
        <v/>
      </c>
      <c r="X71" s="9">
        <f>IF($A71="","",$F71&amp;"")</f>
        <v/>
      </c>
      <c r="Y71" s="94">
        <f>IF($A71="",0,IF(AE71="직접",IF(AF71="비귀속",$P71,0),$P71*(1-AG71)*IFERROR(INDEX(계정대체기준!$F$20:$F$49,MATCH($N71,계정대체기준!$A$20:$A$49,0)),1)))</f>
        <v/>
      </c>
      <c r="Z71" s="94">
        <f>IF($A71="",0,IF(AE71="직접",IF(AF71="신계약비",$P71,0),$P71*(1-AG71)*IFERROR(INDEX(계정대체기준!$C$20:$C$49,MATCH($N71,계정대체기준!$A$20:$A$49,0)),0)))</f>
        <v/>
      </c>
      <c r="AA71" s="94">
        <f>IF($A71="",0,IF(AE71="직접",IF(OR(AF71="유지비",AF71="손해조사비"),$P71,0),$P71*(1-AG71)*IFERROR(INDEX(계정대체기준!$D$20:$D$49,MATCH($N71,계정대체기준!$A$20:$A$49,0)),0)))</f>
        <v/>
      </c>
      <c r="AB71" s="94">
        <f>IF($A71="",0,IF(AE71="직접",IF(AF71="수금비",$P71,0),$P71*(1-AG71)*IFERROR(INDEX(계정대체기준!$E$20:$E$49,MATCH($N71,계정대체기준!$A$20:$A$49,0)),0)))</f>
        <v/>
      </c>
      <c r="AC71" s="9">
        <f>IF(AND($A71&lt;&gt;"",M71=설정!$C$20,Z71&gt;0),Z71+ROW()/1000000000,"")</f>
        <v/>
      </c>
      <c r="AD71" s="94">
        <f>IF($A71="",0,$P71*AG71)</f>
        <v/>
      </c>
      <c r="AE71" s="64">
        <f>IF($A71="","",IFERROR(INDEX(계정매핑!$E$5:$E$504,MATCH($F71&amp;"",계정매핑!$A$5:$A$504,0))&amp;"","공통비"))</f>
        <v/>
      </c>
      <c r="AF71" s="64">
        <f>IF($A71="","",IF(AE71="직접",IFERROR(INDEX(계정매핑!$F$5:$F$504,MATCH($F71&amp;"",계정매핑!$A$5:$A$504,0))&amp;"","비귀속"),""))</f>
        <v/>
      </c>
      <c r="AG71" s="96">
        <f>IF($A71="",0,IF(AND(AE71&lt;&gt;"직접",IFERROR(INDEX(계정매핑!$G$5:$G$504,MATCH($F71&amp;"",계정매핑!$A$5:$A$504,0))&amp;"","")="유지비",COUNTIF(계정대체기준!$A$6:$A$15,$N71)&gt;0),IFERROR(INDEX(계정대체기준!$E$6:$E$15,MATCH(VALUE($A71&amp;""),계정대체기준!$D$6:$D$15,0)),0),0))</f>
        <v/>
      </c>
      <c r="AH71" s="64">
        <f>IF($A71="","",IF(AD71=0,"",IF(OR(COUNTIF(계정대체기준!$A$77:$A$86,$N71)&gt;0,ISNUMBER(MATCH($X71,계정대체기준!$D$77:$D$86,0)),ISNUMBER(MATCH($F71,계정대체기준!$D$77:$D$86,0))),"Y","N")))</f>
        <v/>
      </c>
    </row>
    <row r="72">
      <c r="A72" s="92" t="n">
        <v>2025</v>
      </c>
      <c r="B72" s="92" t="n">
        <v>1</v>
      </c>
      <c r="C72" s="92" t="inlineStr">
        <is>
          <t>5100000068</t>
        </is>
      </c>
      <c r="D72" s="95" t="n">
        <v>45666</v>
      </c>
      <c r="E72" s="92" t="inlineStr">
        <is>
          <t>KR</t>
        </is>
      </c>
      <c r="F72" s="92" t="n">
        <v>62102000</v>
      </c>
      <c r="G72" s="92" t="n">
        <v>1601</v>
      </c>
      <c r="H72" s="93" t="n">
        <v>231000</v>
      </c>
      <c r="I72" s="92" t="inlineStr">
        <is>
          <t>1월 해외출장 - N호텔</t>
        </is>
      </c>
      <c r="J72" s="92" t="inlineStr">
        <is>
          <t>V10009</t>
        </is>
      </c>
      <c r="K72" s="92" t="inlineStr">
        <is>
          <t>N호텔</t>
        </is>
      </c>
      <c r="M72" s="9">
        <f>IF($A72="","",VALUE($A72&amp;"")*12+VALUE($B72&amp;""))</f>
        <v/>
      </c>
      <c r="N72" s="64">
        <f>IF($A72="","",IFERROR(INDEX(부서매핑!$C$5:$C$504,MATCH($G72&amp;"",부서매핑!$A$5:$A$504,0)),"미매핑"))</f>
        <v/>
      </c>
      <c r="O72" s="9">
        <f>IF($A72="","",N72&amp;"|"&amp;$F72)</f>
        <v/>
      </c>
      <c r="P72" s="94">
        <f>IF($A72="",0,$H72*설정!$C$23)</f>
        <v/>
      </c>
      <c r="Q72" s="64">
        <f>IF($A72="","",IF(O72&lt;&gt;원인분석!$C$9,"",IF(AND(M72&gt;=원인분석!$C$10,M72&lt;=원인분석!$C$11),"당기",IF(AND(M72&gt;=원인분석!$C$12,M72&lt;=원인분석!$C$13),"비교",""))))</f>
        <v/>
      </c>
      <c r="R72" s="9">
        <f>IF(Q72="","",$K72&amp;"")</f>
        <v/>
      </c>
      <c r="S72" s="9">
        <f>IF(Q72="","",IF(MATCH(R72,$R$5:$R$100000,0)=ROW()-4,ROW(),""))</f>
        <v/>
      </c>
      <c r="T72" s="9">
        <f>IF(Q72="당기",ABS(P72)+ROW()/1000000000,"")</f>
        <v/>
      </c>
      <c r="U72" s="9">
        <f>IF(Q72="비교",ABS(P72)+ROW()/1000000000,"")</f>
        <v/>
      </c>
      <c r="V72" s="64">
        <f>IF($A72="","",IF(COUNTIF(변동분석!$E$7:$E$506,O72)&gt;0,"Y","N"))</f>
        <v/>
      </c>
      <c r="W72" s="64">
        <f>IF($A72="","",IFERROR(INDEX(계정매핑!$D$5:$D$504,MATCH($F72&amp;"",계정매핑!$A$5:$A$504,0)),"미매핑"))</f>
        <v/>
      </c>
      <c r="X72" s="9">
        <f>IF($A72="","",$F72&amp;"")</f>
        <v/>
      </c>
      <c r="Y72" s="94">
        <f>IF($A72="",0,IF(AE72="직접",IF(AF72="비귀속",$P72,0),$P72*(1-AG72)*IFERROR(INDEX(계정대체기준!$F$20:$F$49,MATCH($N72,계정대체기준!$A$20:$A$49,0)),1)))</f>
        <v/>
      </c>
      <c r="Z72" s="94">
        <f>IF($A72="",0,IF(AE72="직접",IF(AF72="신계약비",$P72,0),$P72*(1-AG72)*IFERROR(INDEX(계정대체기준!$C$20:$C$49,MATCH($N72,계정대체기준!$A$20:$A$49,0)),0)))</f>
        <v/>
      </c>
      <c r="AA72" s="94">
        <f>IF($A72="",0,IF(AE72="직접",IF(OR(AF72="유지비",AF72="손해조사비"),$P72,0),$P72*(1-AG72)*IFERROR(INDEX(계정대체기준!$D$20:$D$49,MATCH($N72,계정대체기준!$A$20:$A$49,0)),0)))</f>
        <v/>
      </c>
      <c r="AB72" s="94">
        <f>IF($A72="",0,IF(AE72="직접",IF(AF72="수금비",$P72,0),$P72*(1-AG72)*IFERROR(INDEX(계정대체기준!$E$20:$E$49,MATCH($N72,계정대체기준!$A$20:$A$49,0)),0)))</f>
        <v/>
      </c>
      <c r="AC72" s="9">
        <f>IF(AND($A72&lt;&gt;"",M72=설정!$C$20,Z72&gt;0),Z72+ROW()/1000000000,"")</f>
        <v/>
      </c>
      <c r="AD72" s="94">
        <f>IF($A72="",0,$P72*AG72)</f>
        <v/>
      </c>
      <c r="AE72" s="64">
        <f>IF($A72="","",IFERROR(INDEX(계정매핑!$E$5:$E$504,MATCH($F72&amp;"",계정매핑!$A$5:$A$504,0))&amp;"","공통비"))</f>
        <v/>
      </c>
      <c r="AF72" s="64">
        <f>IF($A72="","",IF(AE72="직접",IFERROR(INDEX(계정매핑!$F$5:$F$504,MATCH($F72&amp;"",계정매핑!$A$5:$A$504,0))&amp;"","비귀속"),""))</f>
        <v/>
      </c>
      <c r="AG72" s="96">
        <f>IF($A72="",0,IF(AND(AE72&lt;&gt;"직접",IFERROR(INDEX(계정매핑!$G$5:$G$504,MATCH($F72&amp;"",계정매핑!$A$5:$A$504,0))&amp;"","")="유지비",COUNTIF(계정대체기준!$A$6:$A$15,$N72)&gt;0),IFERROR(INDEX(계정대체기준!$E$6:$E$15,MATCH(VALUE($A72&amp;""),계정대체기준!$D$6:$D$15,0)),0),0))</f>
        <v/>
      </c>
      <c r="AH72" s="64">
        <f>IF($A72="","",IF(AD72=0,"",IF(OR(COUNTIF(계정대체기준!$A$77:$A$86,$N72)&gt;0,ISNUMBER(MATCH($X72,계정대체기준!$D$77:$D$86,0)),ISNUMBER(MATCH($F72,계정대체기준!$D$77:$D$86,0))),"Y","N")))</f>
        <v/>
      </c>
    </row>
    <row r="73">
      <c r="A73" s="92" t="n">
        <v>2025</v>
      </c>
      <c r="B73" s="92" t="n">
        <v>1</v>
      </c>
      <c r="C73" s="92" t="inlineStr">
        <is>
          <t>5100000069</t>
        </is>
      </c>
      <c r="D73" s="95" t="n">
        <v>45666</v>
      </c>
      <c r="E73" s="92" t="inlineStr">
        <is>
          <t>KR</t>
        </is>
      </c>
      <c r="F73" s="92" t="n">
        <v>62201000</v>
      </c>
      <c r="G73" s="92" t="n">
        <v>1951</v>
      </c>
      <c r="H73" s="93" t="n">
        <v>390000</v>
      </c>
      <c r="I73" s="92" t="inlineStr">
        <is>
          <t>1월 통신요금 - P통신</t>
        </is>
      </c>
      <c r="J73" s="92" t="inlineStr">
        <is>
          <t>V10014</t>
        </is>
      </c>
      <c r="K73" s="92" t="inlineStr">
        <is>
          <t>P통신</t>
        </is>
      </c>
      <c r="M73" s="9">
        <f>IF($A73="","",VALUE($A73&amp;"")*12+VALUE($B73&amp;""))</f>
        <v/>
      </c>
      <c r="N73" s="64">
        <f>IF($A73="","",IFERROR(INDEX(부서매핑!$C$5:$C$504,MATCH($G73&amp;"",부서매핑!$A$5:$A$504,0)),"미매핑"))</f>
        <v/>
      </c>
      <c r="O73" s="9">
        <f>IF($A73="","",N73&amp;"|"&amp;$F73)</f>
        <v/>
      </c>
      <c r="P73" s="94">
        <f>IF($A73="",0,$H73*설정!$C$23)</f>
        <v/>
      </c>
      <c r="Q73" s="64">
        <f>IF($A73="","",IF(O73&lt;&gt;원인분석!$C$9,"",IF(AND(M73&gt;=원인분석!$C$10,M73&lt;=원인분석!$C$11),"당기",IF(AND(M73&gt;=원인분석!$C$12,M73&lt;=원인분석!$C$13),"비교",""))))</f>
        <v/>
      </c>
      <c r="R73" s="9">
        <f>IF(Q73="","",$K73&amp;"")</f>
        <v/>
      </c>
      <c r="S73" s="9">
        <f>IF(Q73="","",IF(MATCH(R73,$R$5:$R$100000,0)=ROW()-4,ROW(),""))</f>
        <v/>
      </c>
      <c r="T73" s="9">
        <f>IF(Q73="당기",ABS(P73)+ROW()/1000000000,"")</f>
        <v/>
      </c>
      <c r="U73" s="9">
        <f>IF(Q73="비교",ABS(P73)+ROW()/1000000000,"")</f>
        <v/>
      </c>
      <c r="V73" s="64">
        <f>IF($A73="","",IF(COUNTIF(변동분석!$E$7:$E$506,O73)&gt;0,"Y","N"))</f>
        <v/>
      </c>
      <c r="W73" s="64">
        <f>IF($A73="","",IFERROR(INDEX(계정매핑!$D$5:$D$504,MATCH($F73&amp;"",계정매핑!$A$5:$A$504,0)),"미매핑"))</f>
        <v/>
      </c>
      <c r="X73" s="9">
        <f>IF($A73="","",$F73&amp;"")</f>
        <v/>
      </c>
      <c r="Y73" s="94">
        <f>IF($A73="",0,IF(AE73="직접",IF(AF73="비귀속",$P73,0),$P73*(1-AG73)*IFERROR(INDEX(계정대체기준!$F$20:$F$49,MATCH($N73,계정대체기준!$A$20:$A$49,0)),1)))</f>
        <v/>
      </c>
      <c r="Z73" s="94">
        <f>IF($A73="",0,IF(AE73="직접",IF(AF73="신계약비",$P73,0),$P73*(1-AG73)*IFERROR(INDEX(계정대체기준!$C$20:$C$49,MATCH($N73,계정대체기준!$A$20:$A$49,0)),0)))</f>
        <v/>
      </c>
      <c r="AA73" s="94">
        <f>IF($A73="",0,IF(AE73="직접",IF(OR(AF73="유지비",AF73="손해조사비"),$P73,0),$P73*(1-AG73)*IFERROR(INDEX(계정대체기준!$D$20:$D$49,MATCH($N73,계정대체기준!$A$20:$A$49,0)),0)))</f>
        <v/>
      </c>
      <c r="AB73" s="94">
        <f>IF($A73="",0,IF(AE73="직접",IF(AF73="수금비",$P73,0),$P73*(1-AG73)*IFERROR(INDEX(계정대체기준!$E$20:$E$49,MATCH($N73,계정대체기준!$A$20:$A$49,0)),0)))</f>
        <v/>
      </c>
      <c r="AC73" s="9">
        <f>IF(AND($A73&lt;&gt;"",M73=설정!$C$20,Z73&gt;0),Z73+ROW()/1000000000,"")</f>
        <v/>
      </c>
      <c r="AD73" s="94">
        <f>IF($A73="",0,$P73*AG73)</f>
        <v/>
      </c>
      <c r="AE73" s="64">
        <f>IF($A73="","",IFERROR(INDEX(계정매핑!$E$5:$E$504,MATCH($F73&amp;"",계정매핑!$A$5:$A$504,0))&amp;"","공통비"))</f>
        <v/>
      </c>
      <c r="AF73" s="64">
        <f>IF($A73="","",IF(AE73="직접",IFERROR(INDEX(계정매핑!$F$5:$F$504,MATCH($F73&amp;"",계정매핑!$A$5:$A$504,0))&amp;"","비귀속"),""))</f>
        <v/>
      </c>
      <c r="AG73" s="96">
        <f>IF($A73="",0,IF(AND(AE73&lt;&gt;"직접",IFERROR(INDEX(계정매핑!$G$5:$G$504,MATCH($F73&amp;"",계정매핑!$A$5:$A$504,0))&amp;"","")="유지비",COUNTIF(계정대체기준!$A$6:$A$15,$N73)&gt;0),IFERROR(INDEX(계정대체기준!$E$6:$E$15,MATCH(VALUE($A73&amp;""),계정대체기준!$D$6:$D$15,0)),0),0))</f>
        <v/>
      </c>
      <c r="AH73" s="64">
        <f>IF($A73="","",IF(AD73=0,"",IF(OR(COUNTIF(계정대체기준!$A$77:$A$86,$N73)&gt;0,ISNUMBER(MATCH($X73,계정대체기준!$D$77:$D$86,0)),ISNUMBER(MATCH($F73,계정대체기준!$D$77:$D$86,0))),"Y","N")))</f>
        <v/>
      </c>
    </row>
    <row r="74">
      <c r="A74" s="92" t="n">
        <v>2025</v>
      </c>
      <c r="B74" s="92" t="n">
        <v>1</v>
      </c>
      <c r="C74" s="92" t="inlineStr">
        <is>
          <t>5100000070</t>
        </is>
      </c>
      <c r="D74" s="95" t="n">
        <v>45666</v>
      </c>
      <c r="E74" s="92" t="inlineStr">
        <is>
          <t>KR</t>
        </is>
      </c>
      <c r="F74" s="92" t="n">
        <v>62301000</v>
      </c>
      <c r="G74" s="92" t="n">
        <v>1301</v>
      </c>
      <c r="H74" s="93" t="n">
        <v>262000</v>
      </c>
      <c r="I74" s="92" t="inlineStr">
        <is>
          <t>1월 소모품 구입 - Q오피스</t>
        </is>
      </c>
      <c r="J74" s="92" t="inlineStr">
        <is>
          <t>V10003</t>
        </is>
      </c>
      <c r="K74" s="92" t="inlineStr">
        <is>
          <t>Q오피스</t>
        </is>
      </c>
      <c r="M74" s="9">
        <f>IF($A74="","",VALUE($A74&amp;"")*12+VALUE($B74&amp;""))</f>
        <v/>
      </c>
      <c r="N74" s="64">
        <f>IF($A74="","",IFERROR(INDEX(부서매핑!$C$5:$C$504,MATCH($G74&amp;"",부서매핑!$A$5:$A$504,0)),"미매핑"))</f>
        <v/>
      </c>
      <c r="O74" s="9">
        <f>IF($A74="","",N74&amp;"|"&amp;$F74)</f>
        <v/>
      </c>
      <c r="P74" s="94">
        <f>IF($A74="",0,$H74*설정!$C$23)</f>
        <v/>
      </c>
      <c r="Q74" s="64">
        <f>IF($A74="","",IF(O74&lt;&gt;원인분석!$C$9,"",IF(AND(M74&gt;=원인분석!$C$10,M74&lt;=원인분석!$C$11),"당기",IF(AND(M74&gt;=원인분석!$C$12,M74&lt;=원인분석!$C$13),"비교",""))))</f>
        <v/>
      </c>
      <c r="R74" s="9">
        <f>IF(Q74="","",$K74&amp;"")</f>
        <v/>
      </c>
      <c r="S74" s="9">
        <f>IF(Q74="","",IF(MATCH(R74,$R$5:$R$100000,0)=ROW()-4,ROW(),""))</f>
        <v/>
      </c>
      <c r="T74" s="9">
        <f>IF(Q74="당기",ABS(P74)+ROW()/1000000000,"")</f>
        <v/>
      </c>
      <c r="U74" s="9">
        <f>IF(Q74="비교",ABS(P74)+ROW()/1000000000,"")</f>
        <v/>
      </c>
      <c r="V74" s="64">
        <f>IF($A74="","",IF(COUNTIF(변동분석!$E$7:$E$506,O74)&gt;0,"Y","N"))</f>
        <v/>
      </c>
      <c r="W74" s="64">
        <f>IF($A74="","",IFERROR(INDEX(계정매핑!$D$5:$D$504,MATCH($F74&amp;"",계정매핑!$A$5:$A$504,0)),"미매핑"))</f>
        <v/>
      </c>
      <c r="X74" s="9">
        <f>IF($A74="","",$F74&amp;"")</f>
        <v/>
      </c>
      <c r="Y74" s="94">
        <f>IF($A74="",0,IF(AE74="직접",IF(AF74="비귀속",$P74,0),$P74*(1-AG74)*IFERROR(INDEX(계정대체기준!$F$20:$F$49,MATCH($N74,계정대체기준!$A$20:$A$49,0)),1)))</f>
        <v/>
      </c>
      <c r="Z74" s="94">
        <f>IF($A74="",0,IF(AE74="직접",IF(AF74="신계약비",$P74,0),$P74*(1-AG74)*IFERROR(INDEX(계정대체기준!$C$20:$C$49,MATCH($N74,계정대체기준!$A$20:$A$49,0)),0)))</f>
        <v/>
      </c>
      <c r="AA74" s="94">
        <f>IF($A74="",0,IF(AE74="직접",IF(OR(AF74="유지비",AF74="손해조사비"),$P74,0),$P74*(1-AG74)*IFERROR(INDEX(계정대체기준!$D$20:$D$49,MATCH($N74,계정대체기준!$A$20:$A$49,0)),0)))</f>
        <v/>
      </c>
      <c r="AB74" s="94">
        <f>IF($A74="",0,IF(AE74="직접",IF(AF74="수금비",$P74,0),$P74*(1-AG74)*IFERROR(INDEX(계정대체기준!$E$20:$E$49,MATCH($N74,계정대체기준!$A$20:$A$49,0)),0)))</f>
        <v/>
      </c>
      <c r="AC74" s="9">
        <f>IF(AND($A74&lt;&gt;"",M74=설정!$C$20,Z74&gt;0),Z74+ROW()/1000000000,"")</f>
        <v/>
      </c>
      <c r="AD74" s="94">
        <f>IF($A74="",0,$P74*AG74)</f>
        <v/>
      </c>
      <c r="AE74" s="64">
        <f>IF($A74="","",IFERROR(INDEX(계정매핑!$E$5:$E$504,MATCH($F74&amp;"",계정매핑!$A$5:$A$504,0))&amp;"","공통비"))</f>
        <v/>
      </c>
      <c r="AF74" s="64">
        <f>IF($A74="","",IF(AE74="직접",IFERROR(INDEX(계정매핑!$F$5:$F$504,MATCH($F74&amp;"",계정매핑!$A$5:$A$504,0))&amp;"","비귀속"),""))</f>
        <v/>
      </c>
      <c r="AG74" s="96">
        <f>IF($A74="",0,IF(AND(AE74&lt;&gt;"직접",IFERROR(INDEX(계정매핑!$G$5:$G$504,MATCH($F74&amp;"",계정매핑!$A$5:$A$504,0))&amp;"","")="유지비",COUNTIF(계정대체기준!$A$6:$A$15,$N74)&gt;0),IFERROR(INDEX(계정대체기준!$E$6:$E$15,MATCH(VALUE($A74&amp;""),계정대체기준!$D$6:$D$15,0)),0),0))</f>
        <v/>
      </c>
      <c r="AH74" s="64">
        <f>IF($A74="","",IF(AD74=0,"",IF(OR(COUNTIF(계정대체기준!$A$77:$A$86,$N74)&gt;0,ISNUMBER(MATCH($X74,계정대체기준!$D$77:$D$86,0)),ISNUMBER(MATCH($F74,계정대체기준!$D$77:$D$86,0))),"Y","N")))</f>
        <v/>
      </c>
    </row>
    <row r="75">
      <c r="A75" s="92" t="n">
        <v>2025</v>
      </c>
      <c r="B75" s="92" t="n">
        <v>1</v>
      </c>
      <c r="C75" s="92" t="inlineStr">
        <is>
          <t>5100000071</t>
        </is>
      </c>
      <c r="D75" s="95" t="n">
        <v>45666</v>
      </c>
      <c r="E75" s="92" t="inlineStr">
        <is>
          <t>KR</t>
        </is>
      </c>
      <c r="F75" s="92" t="n">
        <v>62301000</v>
      </c>
      <c r="G75" s="92" t="n">
        <v>1401</v>
      </c>
      <c r="H75" s="93" t="n">
        <v>93000</v>
      </c>
      <c r="I75" s="92" t="inlineStr">
        <is>
          <t>1월 소모품 구입 - R문구</t>
        </is>
      </c>
      <c r="J75" s="92" t="inlineStr">
        <is>
          <t>V10022</t>
        </is>
      </c>
      <c r="K75" s="92" t="inlineStr">
        <is>
          <t>R문구</t>
        </is>
      </c>
      <c r="M75" s="9">
        <f>IF($A75="","",VALUE($A75&amp;"")*12+VALUE($B75&amp;""))</f>
        <v/>
      </c>
      <c r="N75" s="64">
        <f>IF($A75="","",IFERROR(INDEX(부서매핑!$C$5:$C$504,MATCH($G75&amp;"",부서매핑!$A$5:$A$504,0)),"미매핑"))</f>
        <v/>
      </c>
      <c r="O75" s="9">
        <f>IF($A75="","",N75&amp;"|"&amp;$F75)</f>
        <v/>
      </c>
      <c r="P75" s="94">
        <f>IF($A75="",0,$H75*설정!$C$23)</f>
        <v/>
      </c>
      <c r="Q75" s="64">
        <f>IF($A75="","",IF(O75&lt;&gt;원인분석!$C$9,"",IF(AND(M75&gt;=원인분석!$C$10,M75&lt;=원인분석!$C$11),"당기",IF(AND(M75&gt;=원인분석!$C$12,M75&lt;=원인분석!$C$13),"비교",""))))</f>
        <v/>
      </c>
      <c r="R75" s="9">
        <f>IF(Q75="","",$K75&amp;"")</f>
        <v/>
      </c>
      <c r="S75" s="9">
        <f>IF(Q75="","",IF(MATCH(R75,$R$5:$R$100000,0)=ROW()-4,ROW(),""))</f>
        <v/>
      </c>
      <c r="T75" s="9">
        <f>IF(Q75="당기",ABS(P75)+ROW()/1000000000,"")</f>
        <v/>
      </c>
      <c r="U75" s="9">
        <f>IF(Q75="비교",ABS(P75)+ROW()/1000000000,"")</f>
        <v/>
      </c>
      <c r="V75" s="64">
        <f>IF($A75="","",IF(COUNTIF(변동분석!$E$7:$E$506,O75)&gt;0,"Y","N"))</f>
        <v/>
      </c>
      <c r="W75" s="64">
        <f>IF($A75="","",IFERROR(INDEX(계정매핑!$D$5:$D$504,MATCH($F75&amp;"",계정매핑!$A$5:$A$504,0)),"미매핑"))</f>
        <v/>
      </c>
      <c r="X75" s="9">
        <f>IF($A75="","",$F75&amp;"")</f>
        <v/>
      </c>
      <c r="Y75" s="94">
        <f>IF($A75="",0,IF(AE75="직접",IF(AF75="비귀속",$P75,0),$P75*(1-AG75)*IFERROR(INDEX(계정대체기준!$F$20:$F$49,MATCH($N75,계정대체기준!$A$20:$A$49,0)),1)))</f>
        <v/>
      </c>
      <c r="Z75" s="94">
        <f>IF($A75="",0,IF(AE75="직접",IF(AF75="신계약비",$P75,0),$P75*(1-AG75)*IFERROR(INDEX(계정대체기준!$C$20:$C$49,MATCH($N75,계정대체기준!$A$20:$A$49,0)),0)))</f>
        <v/>
      </c>
      <c r="AA75" s="94">
        <f>IF($A75="",0,IF(AE75="직접",IF(OR(AF75="유지비",AF75="손해조사비"),$P75,0),$P75*(1-AG75)*IFERROR(INDEX(계정대체기준!$D$20:$D$49,MATCH($N75,계정대체기준!$A$20:$A$49,0)),0)))</f>
        <v/>
      </c>
      <c r="AB75" s="94">
        <f>IF($A75="",0,IF(AE75="직접",IF(AF75="수금비",$P75,0),$P75*(1-AG75)*IFERROR(INDEX(계정대체기준!$E$20:$E$49,MATCH($N75,계정대체기준!$A$20:$A$49,0)),0)))</f>
        <v/>
      </c>
      <c r="AC75" s="9">
        <f>IF(AND($A75&lt;&gt;"",M75=설정!$C$20,Z75&gt;0),Z75+ROW()/1000000000,"")</f>
        <v/>
      </c>
      <c r="AD75" s="94">
        <f>IF($A75="",0,$P75*AG75)</f>
        <v/>
      </c>
      <c r="AE75" s="64">
        <f>IF($A75="","",IFERROR(INDEX(계정매핑!$E$5:$E$504,MATCH($F75&amp;"",계정매핑!$A$5:$A$504,0))&amp;"","공통비"))</f>
        <v/>
      </c>
      <c r="AF75" s="64">
        <f>IF($A75="","",IF(AE75="직접",IFERROR(INDEX(계정매핑!$F$5:$F$504,MATCH($F75&amp;"",계정매핑!$A$5:$A$504,0))&amp;"","비귀속"),""))</f>
        <v/>
      </c>
      <c r="AG75" s="96">
        <f>IF($A75="",0,IF(AND(AE75&lt;&gt;"직접",IFERROR(INDEX(계정매핑!$G$5:$G$504,MATCH($F75&amp;"",계정매핑!$A$5:$A$504,0))&amp;"","")="유지비",COUNTIF(계정대체기준!$A$6:$A$15,$N75)&gt;0),IFERROR(INDEX(계정대체기준!$E$6:$E$15,MATCH(VALUE($A75&amp;""),계정대체기준!$D$6:$D$15,0)),0),0))</f>
        <v/>
      </c>
      <c r="AH75" s="64">
        <f>IF($A75="","",IF(AD75=0,"",IF(OR(COUNTIF(계정대체기준!$A$77:$A$86,$N75)&gt;0,ISNUMBER(MATCH($X75,계정대체기준!$D$77:$D$86,0)),ISNUMBER(MATCH($F75,계정대체기준!$D$77:$D$86,0))),"Y","N")))</f>
        <v/>
      </c>
    </row>
    <row r="76">
      <c r="A76" s="92" t="n">
        <v>2025</v>
      </c>
      <c r="B76" s="92" t="n">
        <v>1</v>
      </c>
      <c r="C76" s="92" t="inlineStr">
        <is>
          <t>5100000072</t>
        </is>
      </c>
      <c r="D76" s="95" t="n">
        <v>45666</v>
      </c>
      <c r="E76" s="92" t="inlineStr">
        <is>
          <t>KR</t>
        </is>
      </c>
      <c r="F76" s="92" t="n">
        <v>62301000</v>
      </c>
      <c r="G76" s="92" t="n">
        <v>1801</v>
      </c>
      <c r="H76" s="93" t="n">
        <v>584000</v>
      </c>
      <c r="I76" s="92" t="inlineStr">
        <is>
          <t>1월 소모품 구입 - R문구</t>
        </is>
      </c>
      <c r="J76" s="92" t="inlineStr">
        <is>
          <t>V10022</t>
        </is>
      </c>
      <c r="K76" s="92" t="inlineStr">
        <is>
          <t>R문구</t>
        </is>
      </c>
      <c r="M76" s="9">
        <f>IF($A76="","",VALUE($A76&amp;"")*12+VALUE($B76&amp;""))</f>
        <v/>
      </c>
      <c r="N76" s="64">
        <f>IF($A76="","",IFERROR(INDEX(부서매핑!$C$5:$C$504,MATCH($G76&amp;"",부서매핑!$A$5:$A$504,0)),"미매핑"))</f>
        <v/>
      </c>
      <c r="O76" s="9">
        <f>IF($A76="","",N76&amp;"|"&amp;$F76)</f>
        <v/>
      </c>
      <c r="P76" s="94">
        <f>IF($A76="",0,$H76*설정!$C$23)</f>
        <v/>
      </c>
      <c r="Q76" s="64">
        <f>IF($A76="","",IF(O76&lt;&gt;원인분석!$C$9,"",IF(AND(M76&gt;=원인분석!$C$10,M76&lt;=원인분석!$C$11),"당기",IF(AND(M76&gt;=원인분석!$C$12,M76&lt;=원인분석!$C$13),"비교",""))))</f>
        <v/>
      </c>
      <c r="R76" s="9">
        <f>IF(Q76="","",$K76&amp;"")</f>
        <v/>
      </c>
      <c r="S76" s="9">
        <f>IF(Q76="","",IF(MATCH(R76,$R$5:$R$100000,0)=ROW()-4,ROW(),""))</f>
        <v/>
      </c>
      <c r="T76" s="9">
        <f>IF(Q76="당기",ABS(P76)+ROW()/1000000000,"")</f>
        <v/>
      </c>
      <c r="U76" s="9">
        <f>IF(Q76="비교",ABS(P76)+ROW()/1000000000,"")</f>
        <v/>
      </c>
      <c r="V76" s="64">
        <f>IF($A76="","",IF(COUNTIF(변동분석!$E$7:$E$506,O76)&gt;0,"Y","N"))</f>
        <v/>
      </c>
      <c r="W76" s="64">
        <f>IF($A76="","",IFERROR(INDEX(계정매핑!$D$5:$D$504,MATCH($F76&amp;"",계정매핑!$A$5:$A$504,0)),"미매핑"))</f>
        <v/>
      </c>
      <c r="X76" s="9">
        <f>IF($A76="","",$F76&amp;"")</f>
        <v/>
      </c>
      <c r="Y76" s="94">
        <f>IF($A76="",0,IF(AE76="직접",IF(AF76="비귀속",$P76,0),$P76*(1-AG76)*IFERROR(INDEX(계정대체기준!$F$20:$F$49,MATCH($N76,계정대체기준!$A$20:$A$49,0)),1)))</f>
        <v/>
      </c>
      <c r="Z76" s="94">
        <f>IF($A76="",0,IF(AE76="직접",IF(AF76="신계약비",$P76,0),$P76*(1-AG76)*IFERROR(INDEX(계정대체기준!$C$20:$C$49,MATCH($N76,계정대체기준!$A$20:$A$49,0)),0)))</f>
        <v/>
      </c>
      <c r="AA76" s="94">
        <f>IF($A76="",0,IF(AE76="직접",IF(OR(AF76="유지비",AF76="손해조사비"),$P76,0),$P76*(1-AG76)*IFERROR(INDEX(계정대체기준!$D$20:$D$49,MATCH($N76,계정대체기준!$A$20:$A$49,0)),0)))</f>
        <v/>
      </c>
      <c r="AB76" s="94">
        <f>IF($A76="",0,IF(AE76="직접",IF(AF76="수금비",$P76,0),$P76*(1-AG76)*IFERROR(INDEX(계정대체기준!$E$20:$E$49,MATCH($N76,계정대체기준!$A$20:$A$49,0)),0)))</f>
        <v/>
      </c>
      <c r="AC76" s="9">
        <f>IF(AND($A76&lt;&gt;"",M76=설정!$C$20,Z76&gt;0),Z76+ROW()/1000000000,"")</f>
        <v/>
      </c>
      <c r="AD76" s="94">
        <f>IF($A76="",0,$P76*AG76)</f>
        <v/>
      </c>
      <c r="AE76" s="64">
        <f>IF($A76="","",IFERROR(INDEX(계정매핑!$E$5:$E$504,MATCH($F76&amp;"",계정매핑!$A$5:$A$504,0))&amp;"","공통비"))</f>
        <v/>
      </c>
      <c r="AF76" s="64">
        <f>IF($A76="","",IF(AE76="직접",IFERROR(INDEX(계정매핑!$F$5:$F$504,MATCH($F76&amp;"",계정매핑!$A$5:$A$504,0))&amp;"","비귀속"),""))</f>
        <v/>
      </c>
      <c r="AG76" s="96">
        <f>IF($A76="",0,IF(AND(AE76&lt;&gt;"직접",IFERROR(INDEX(계정매핑!$G$5:$G$504,MATCH($F76&amp;"",계정매핑!$A$5:$A$504,0))&amp;"","")="유지비",COUNTIF(계정대체기준!$A$6:$A$15,$N76)&gt;0),IFERROR(INDEX(계정대체기준!$E$6:$E$15,MATCH(VALUE($A76&amp;""),계정대체기준!$D$6:$D$15,0)),0),0))</f>
        <v/>
      </c>
      <c r="AH76" s="64">
        <f>IF($A76="","",IF(AD76=0,"",IF(OR(COUNTIF(계정대체기준!$A$77:$A$86,$N76)&gt;0,ISNUMBER(MATCH($X76,계정대체기준!$D$77:$D$86,0)),ISNUMBER(MATCH($F76,계정대체기준!$D$77:$D$86,0))),"Y","N")))</f>
        <v/>
      </c>
    </row>
    <row r="77">
      <c r="A77" s="92" t="n">
        <v>2025</v>
      </c>
      <c r="B77" s="92" t="n">
        <v>1</v>
      </c>
      <c r="C77" s="92" t="inlineStr">
        <is>
          <t>5100000073</t>
        </is>
      </c>
      <c r="D77" s="95" t="n">
        <v>45666</v>
      </c>
      <c r="E77" s="92" t="inlineStr">
        <is>
          <t>KR</t>
        </is>
      </c>
      <c r="F77" s="92" t="n">
        <v>62501000</v>
      </c>
      <c r="G77" s="92" t="n">
        <v>1401</v>
      </c>
      <c r="H77" s="93" t="n">
        <v>155000</v>
      </c>
      <c r="I77" s="92" t="inlineStr">
        <is>
          <t>1월 회의 다과 - T케이터링</t>
        </is>
      </c>
      <c r="J77" s="92" t="inlineStr">
        <is>
          <t>V10005</t>
        </is>
      </c>
      <c r="K77" s="92" t="inlineStr">
        <is>
          <t>T케이터링</t>
        </is>
      </c>
      <c r="M77" s="9">
        <f>IF($A77="","",VALUE($A77&amp;"")*12+VALUE($B77&amp;""))</f>
        <v/>
      </c>
      <c r="N77" s="64">
        <f>IF($A77="","",IFERROR(INDEX(부서매핑!$C$5:$C$504,MATCH($G77&amp;"",부서매핑!$A$5:$A$504,0)),"미매핑"))</f>
        <v/>
      </c>
      <c r="O77" s="9">
        <f>IF($A77="","",N77&amp;"|"&amp;$F77)</f>
        <v/>
      </c>
      <c r="P77" s="94">
        <f>IF($A77="",0,$H77*설정!$C$23)</f>
        <v/>
      </c>
      <c r="Q77" s="64">
        <f>IF($A77="","",IF(O77&lt;&gt;원인분석!$C$9,"",IF(AND(M77&gt;=원인분석!$C$10,M77&lt;=원인분석!$C$11),"당기",IF(AND(M77&gt;=원인분석!$C$12,M77&lt;=원인분석!$C$13),"비교",""))))</f>
        <v/>
      </c>
      <c r="R77" s="9">
        <f>IF(Q77="","",$K77&amp;"")</f>
        <v/>
      </c>
      <c r="S77" s="9">
        <f>IF(Q77="","",IF(MATCH(R77,$R$5:$R$100000,0)=ROW()-4,ROW(),""))</f>
        <v/>
      </c>
      <c r="T77" s="9">
        <f>IF(Q77="당기",ABS(P77)+ROW()/1000000000,"")</f>
        <v/>
      </c>
      <c r="U77" s="9">
        <f>IF(Q77="비교",ABS(P77)+ROW()/1000000000,"")</f>
        <v/>
      </c>
      <c r="V77" s="64">
        <f>IF($A77="","",IF(COUNTIF(변동분석!$E$7:$E$506,O77)&gt;0,"Y","N"))</f>
        <v/>
      </c>
      <c r="W77" s="64">
        <f>IF($A77="","",IFERROR(INDEX(계정매핑!$D$5:$D$504,MATCH($F77&amp;"",계정매핑!$A$5:$A$504,0)),"미매핑"))</f>
        <v/>
      </c>
      <c r="X77" s="9">
        <f>IF($A77="","",$F77&amp;"")</f>
        <v/>
      </c>
      <c r="Y77" s="94">
        <f>IF($A77="",0,IF(AE77="직접",IF(AF77="비귀속",$P77,0),$P77*(1-AG77)*IFERROR(INDEX(계정대체기준!$F$20:$F$49,MATCH($N77,계정대체기준!$A$20:$A$49,0)),1)))</f>
        <v/>
      </c>
      <c r="Z77" s="94">
        <f>IF($A77="",0,IF(AE77="직접",IF(AF77="신계약비",$P77,0),$P77*(1-AG77)*IFERROR(INDEX(계정대체기준!$C$20:$C$49,MATCH($N77,계정대체기준!$A$20:$A$49,0)),0)))</f>
        <v/>
      </c>
      <c r="AA77" s="94">
        <f>IF($A77="",0,IF(AE77="직접",IF(OR(AF77="유지비",AF77="손해조사비"),$P77,0),$P77*(1-AG77)*IFERROR(INDEX(계정대체기준!$D$20:$D$49,MATCH($N77,계정대체기준!$A$20:$A$49,0)),0)))</f>
        <v/>
      </c>
      <c r="AB77" s="94">
        <f>IF($A77="",0,IF(AE77="직접",IF(AF77="수금비",$P77,0),$P77*(1-AG77)*IFERROR(INDEX(계정대체기준!$E$20:$E$49,MATCH($N77,계정대체기준!$A$20:$A$49,0)),0)))</f>
        <v/>
      </c>
      <c r="AC77" s="9">
        <f>IF(AND($A77&lt;&gt;"",M77=설정!$C$20,Z77&gt;0),Z77+ROW()/1000000000,"")</f>
        <v/>
      </c>
      <c r="AD77" s="94">
        <f>IF($A77="",0,$P77*AG77)</f>
        <v/>
      </c>
      <c r="AE77" s="64">
        <f>IF($A77="","",IFERROR(INDEX(계정매핑!$E$5:$E$504,MATCH($F77&amp;"",계정매핑!$A$5:$A$504,0))&amp;"","공통비"))</f>
        <v/>
      </c>
      <c r="AF77" s="64">
        <f>IF($A77="","",IF(AE77="직접",IFERROR(INDEX(계정매핑!$F$5:$F$504,MATCH($F77&amp;"",계정매핑!$A$5:$A$504,0))&amp;"","비귀속"),""))</f>
        <v/>
      </c>
      <c r="AG77" s="96">
        <f>IF($A77="",0,IF(AND(AE77&lt;&gt;"직접",IFERROR(INDEX(계정매핑!$G$5:$G$504,MATCH($F77&amp;"",계정매핑!$A$5:$A$504,0))&amp;"","")="유지비",COUNTIF(계정대체기준!$A$6:$A$15,$N77)&gt;0),IFERROR(INDEX(계정대체기준!$E$6:$E$15,MATCH(VALUE($A77&amp;""),계정대체기준!$D$6:$D$15,0)),0),0))</f>
        <v/>
      </c>
      <c r="AH77" s="64">
        <f>IF($A77="","",IF(AD77=0,"",IF(OR(COUNTIF(계정대체기준!$A$77:$A$86,$N77)&gt;0,ISNUMBER(MATCH($X77,계정대체기준!$D$77:$D$86,0)),ISNUMBER(MATCH($F77,계정대체기준!$D$77:$D$86,0))),"Y","N")))</f>
        <v/>
      </c>
    </row>
    <row r="78">
      <c r="A78" s="92" t="n">
        <v>2025</v>
      </c>
      <c r="B78" s="92" t="n">
        <v>1</v>
      </c>
      <c r="C78" s="92" t="inlineStr">
        <is>
          <t>5100000074</t>
        </is>
      </c>
      <c r="D78" s="95" t="n">
        <v>45666</v>
      </c>
      <c r="E78" s="92" t="inlineStr">
        <is>
          <t>KR</t>
        </is>
      </c>
      <c r="F78" s="92" t="n">
        <v>62901000</v>
      </c>
      <c r="G78" s="92" t="n">
        <v>1101</v>
      </c>
      <c r="H78" s="93" t="n">
        <v>3664000</v>
      </c>
      <c r="I78" s="92" t="inlineStr">
        <is>
          <t>1월 자문 수수료 - K회계법인</t>
        </is>
      </c>
      <c r="J78" s="92" t="inlineStr">
        <is>
          <t>V10011</t>
        </is>
      </c>
      <c r="K78" s="92" t="inlineStr">
        <is>
          <t>K회계법인</t>
        </is>
      </c>
      <c r="M78" s="9">
        <f>IF($A78="","",VALUE($A78&amp;"")*12+VALUE($B78&amp;""))</f>
        <v/>
      </c>
      <c r="N78" s="64">
        <f>IF($A78="","",IFERROR(INDEX(부서매핑!$C$5:$C$504,MATCH($G78&amp;"",부서매핑!$A$5:$A$504,0)),"미매핑"))</f>
        <v/>
      </c>
      <c r="O78" s="9">
        <f>IF($A78="","",N78&amp;"|"&amp;$F78)</f>
        <v/>
      </c>
      <c r="P78" s="94">
        <f>IF($A78="",0,$H78*설정!$C$23)</f>
        <v/>
      </c>
      <c r="Q78" s="64">
        <f>IF($A78="","",IF(O78&lt;&gt;원인분석!$C$9,"",IF(AND(M78&gt;=원인분석!$C$10,M78&lt;=원인분석!$C$11),"당기",IF(AND(M78&gt;=원인분석!$C$12,M78&lt;=원인분석!$C$13),"비교",""))))</f>
        <v/>
      </c>
      <c r="R78" s="9">
        <f>IF(Q78="","",$K78&amp;"")</f>
        <v/>
      </c>
      <c r="S78" s="9">
        <f>IF(Q78="","",IF(MATCH(R78,$R$5:$R$100000,0)=ROW()-4,ROW(),""))</f>
        <v/>
      </c>
      <c r="T78" s="9">
        <f>IF(Q78="당기",ABS(P78)+ROW()/1000000000,"")</f>
        <v/>
      </c>
      <c r="U78" s="9">
        <f>IF(Q78="비교",ABS(P78)+ROW()/1000000000,"")</f>
        <v/>
      </c>
      <c r="V78" s="64">
        <f>IF($A78="","",IF(COUNTIF(변동분석!$E$7:$E$506,O78)&gt;0,"Y","N"))</f>
        <v/>
      </c>
      <c r="W78" s="64">
        <f>IF($A78="","",IFERROR(INDEX(계정매핑!$D$5:$D$504,MATCH($F78&amp;"",계정매핑!$A$5:$A$504,0)),"미매핑"))</f>
        <v/>
      </c>
      <c r="X78" s="9">
        <f>IF($A78="","",$F78&amp;"")</f>
        <v/>
      </c>
      <c r="Y78" s="94">
        <f>IF($A78="",0,IF(AE78="직접",IF(AF78="비귀속",$P78,0),$P78*(1-AG78)*IFERROR(INDEX(계정대체기준!$F$20:$F$49,MATCH($N78,계정대체기준!$A$20:$A$49,0)),1)))</f>
        <v/>
      </c>
      <c r="Z78" s="94">
        <f>IF($A78="",0,IF(AE78="직접",IF(AF78="신계약비",$P78,0),$P78*(1-AG78)*IFERROR(INDEX(계정대체기준!$C$20:$C$49,MATCH($N78,계정대체기준!$A$20:$A$49,0)),0)))</f>
        <v/>
      </c>
      <c r="AA78" s="94">
        <f>IF($A78="",0,IF(AE78="직접",IF(OR(AF78="유지비",AF78="손해조사비"),$P78,0),$P78*(1-AG78)*IFERROR(INDEX(계정대체기준!$D$20:$D$49,MATCH($N78,계정대체기준!$A$20:$A$49,0)),0)))</f>
        <v/>
      </c>
      <c r="AB78" s="94">
        <f>IF($A78="",0,IF(AE78="직접",IF(AF78="수금비",$P78,0),$P78*(1-AG78)*IFERROR(INDEX(계정대체기준!$E$20:$E$49,MATCH($N78,계정대체기준!$A$20:$A$49,0)),0)))</f>
        <v/>
      </c>
      <c r="AC78" s="9">
        <f>IF(AND($A78&lt;&gt;"",M78=설정!$C$20,Z78&gt;0),Z78+ROW()/1000000000,"")</f>
        <v/>
      </c>
      <c r="AD78" s="94">
        <f>IF($A78="",0,$P78*AG78)</f>
        <v/>
      </c>
      <c r="AE78" s="64">
        <f>IF($A78="","",IFERROR(INDEX(계정매핑!$E$5:$E$504,MATCH($F78&amp;"",계정매핑!$A$5:$A$504,0))&amp;"","공통비"))</f>
        <v/>
      </c>
      <c r="AF78" s="64">
        <f>IF($A78="","",IF(AE78="직접",IFERROR(INDEX(계정매핑!$F$5:$F$504,MATCH($F78&amp;"",계정매핑!$A$5:$A$504,0))&amp;"","비귀속"),""))</f>
        <v/>
      </c>
      <c r="AG78" s="96">
        <f>IF($A78="",0,IF(AND(AE78&lt;&gt;"직접",IFERROR(INDEX(계정매핑!$G$5:$G$504,MATCH($F78&amp;"",계정매핑!$A$5:$A$504,0))&amp;"","")="유지비",COUNTIF(계정대체기준!$A$6:$A$15,$N78)&gt;0),IFERROR(INDEX(계정대체기준!$E$6:$E$15,MATCH(VALUE($A78&amp;""),계정대체기준!$D$6:$D$15,0)),0),0))</f>
        <v/>
      </c>
      <c r="AH78" s="64">
        <f>IF($A78="","",IF(AD78=0,"",IF(OR(COUNTIF(계정대체기준!$A$77:$A$86,$N78)&gt;0,ISNUMBER(MATCH($X78,계정대체기준!$D$77:$D$86,0)),ISNUMBER(MATCH($F78,계정대체기준!$D$77:$D$86,0))),"Y","N")))</f>
        <v/>
      </c>
    </row>
    <row r="79">
      <c r="A79" s="92" t="n">
        <v>2025</v>
      </c>
      <c r="B79" s="92" t="n">
        <v>1</v>
      </c>
      <c r="C79" s="92" t="inlineStr">
        <is>
          <t>5100000075</t>
        </is>
      </c>
      <c r="D79" s="95" t="n">
        <v>45666</v>
      </c>
      <c r="E79" s="92" t="inlineStr">
        <is>
          <t>KR</t>
        </is>
      </c>
      <c r="F79" s="92" t="n">
        <v>62901000</v>
      </c>
      <c r="G79" s="92" t="n">
        <v>1951</v>
      </c>
      <c r="H79" s="93" t="n">
        <v>4150000</v>
      </c>
      <c r="I79" s="92" t="inlineStr">
        <is>
          <t>1월 자문 수수료 - K회계법인</t>
        </is>
      </c>
      <c r="J79" s="92" t="inlineStr">
        <is>
          <t>V10011</t>
        </is>
      </c>
      <c r="K79" s="92" t="inlineStr">
        <is>
          <t>K회계법인</t>
        </is>
      </c>
      <c r="M79" s="9">
        <f>IF($A79="","",VALUE($A79&amp;"")*12+VALUE($B79&amp;""))</f>
        <v/>
      </c>
      <c r="N79" s="64">
        <f>IF($A79="","",IFERROR(INDEX(부서매핑!$C$5:$C$504,MATCH($G79&amp;"",부서매핑!$A$5:$A$504,0)),"미매핑"))</f>
        <v/>
      </c>
      <c r="O79" s="9">
        <f>IF($A79="","",N79&amp;"|"&amp;$F79)</f>
        <v/>
      </c>
      <c r="P79" s="94">
        <f>IF($A79="",0,$H79*설정!$C$23)</f>
        <v/>
      </c>
      <c r="Q79" s="64">
        <f>IF($A79="","",IF(O79&lt;&gt;원인분석!$C$9,"",IF(AND(M79&gt;=원인분석!$C$10,M79&lt;=원인분석!$C$11),"당기",IF(AND(M79&gt;=원인분석!$C$12,M79&lt;=원인분석!$C$13),"비교",""))))</f>
        <v/>
      </c>
      <c r="R79" s="9">
        <f>IF(Q79="","",$K79&amp;"")</f>
        <v/>
      </c>
      <c r="S79" s="9">
        <f>IF(Q79="","",IF(MATCH(R79,$R$5:$R$100000,0)=ROW()-4,ROW(),""))</f>
        <v/>
      </c>
      <c r="T79" s="9">
        <f>IF(Q79="당기",ABS(P79)+ROW()/1000000000,"")</f>
        <v/>
      </c>
      <c r="U79" s="9">
        <f>IF(Q79="비교",ABS(P79)+ROW()/1000000000,"")</f>
        <v/>
      </c>
      <c r="V79" s="64">
        <f>IF($A79="","",IF(COUNTIF(변동분석!$E$7:$E$506,O79)&gt;0,"Y","N"))</f>
        <v/>
      </c>
      <c r="W79" s="64">
        <f>IF($A79="","",IFERROR(INDEX(계정매핑!$D$5:$D$504,MATCH($F79&amp;"",계정매핑!$A$5:$A$504,0)),"미매핑"))</f>
        <v/>
      </c>
      <c r="X79" s="9">
        <f>IF($A79="","",$F79&amp;"")</f>
        <v/>
      </c>
      <c r="Y79" s="94">
        <f>IF($A79="",0,IF(AE79="직접",IF(AF79="비귀속",$P79,0),$P79*(1-AG79)*IFERROR(INDEX(계정대체기준!$F$20:$F$49,MATCH($N79,계정대체기준!$A$20:$A$49,0)),1)))</f>
        <v/>
      </c>
      <c r="Z79" s="94">
        <f>IF($A79="",0,IF(AE79="직접",IF(AF79="신계약비",$P79,0),$P79*(1-AG79)*IFERROR(INDEX(계정대체기준!$C$20:$C$49,MATCH($N79,계정대체기준!$A$20:$A$49,0)),0)))</f>
        <v/>
      </c>
      <c r="AA79" s="94">
        <f>IF($A79="",0,IF(AE79="직접",IF(OR(AF79="유지비",AF79="손해조사비"),$P79,0),$P79*(1-AG79)*IFERROR(INDEX(계정대체기준!$D$20:$D$49,MATCH($N79,계정대체기준!$A$20:$A$49,0)),0)))</f>
        <v/>
      </c>
      <c r="AB79" s="94">
        <f>IF($A79="",0,IF(AE79="직접",IF(AF79="수금비",$P79,0),$P79*(1-AG79)*IFERROR(INDEX(계정대체기준!$E$20:$E$49,MATCH($N79,계정대체기준!$A$20:$A$49,0)),0)))</f>
        <v/>
      </c>
      <c r="AC79" s="9">
        <f>IF(AND($A79&lt;&gt;"",M79=설정!$C$20,Z79&gt;0),Z79+ROW()/1000000000,"")</f>
        <v/>
      </c>
      <c r="AD79" s="94">
        <f>IF($A79="",0,$P79*AG79)</f>
        <v/>
      </c>
      <c r="AE79" s="64">
        <f>IF($A79="","",IFERROR(INDEX(계정매핑!$E$5:$E$504,MATCH($F79&amp;"",계정매핑!$A$5:$A$504,0))&amp;"","공통비"))</f>
        <v/>
      </c>
      <c r="AF79" s="64">
        <f>IF($A79="","",IF(AE79="직접",IFERROR(INDEX(계정매핑!$F$5:$F$504,MATCH($F79&amp;"",계정매핑!$A$5:$A$504,0))&amp;"","비귀속"),""))</f>
        <v/>
      </c>
      <c r="AG79" s="96">
        <f>IF($A79="",0,IF(AND(AE79&lt;&gt;"직접",IFERROR(INDEX(계정매핑!$G$5:$G$504,MATCH($F79&amp;"",계정매핑!$A$5:$A$504,0))&amp;"","")="유지비",COUNTIF(계정대체기준!$A$6:$A$15,$N79)&gt;0),IFERROR(INDEX(계정대체기준!$E$6:$E$15,MATCH(VALUE($A79&amp;""),계정대체기준!$D$6:$D$15,0)),0),0))</f>
        <v/>
      </c>
      <c r="AH79" s="64">
        <f>IF($A79="","",IF(AD79=0,"",IF(OR(COUNTIF(계정대체기준!$A$77:$A$86,$N79)&gt;0,ISNUMBER(MATCH($X79,계정대체기준!$D$77:$D$86,0)),ISNUMBER(MATCH($F79,계정대체기준!$D$77:$D$86,0))),"Y","N")))</f>
        <v/>
      </c>
    </row>
    <row r="80">
      <c r="A80" s="92" t="n">
        <v>2025</v>
      </c>
      <c r="B80" s="92" t="n">
        <v>1</v>
      </c>
      <c r="C80" s="92" t="inlineStr">
        <is>
          <t>5100000076</t>
        </is>
      </c>
      <c r="D80" s="95" t="n">
        <v>45667</v>
      </c>
      <c r="E80" s="92" t="inlineStr">
        <is>
          <t>KR</t>
        </is>
      </c>
      <c r="F80" s="92" t="n">
        <v>62101000</v>
      </c>
      <c r="G80" s="92" t="n">
        <v>1201</v>
      </c>
      <c r="H80" s="93" t="n">
        <v>163000</v>
      </c>
      <c r="I80" s="92" t="inlineStr">
        <is>
          <t>1월 국내출장 - M항공</t>
        </is>
      </c>
      <c r="J80" s="92" t="inlineStr">
        <is>
          <t>V10001</t>
        </is>
      </c>
      <c r="K80" s="92" t="inlineStr">
        <is>
          <t>M항공</t>
        </is>
      </c>
      <c r="M80" s="9">
        <f>IF($A80="","",VALUE($A80&amp;"")*12+VALUE($B80&amp;""))</f>
        <v/>
      </c>
      <c r="N80" s="64">
        <f>IF($A80="","",IFERROR(INDEX(부서매핑!$C$5:$C$504,MATCH($G80&amp;"",부서매핑!$A$5:$A$504,0)),"미매핑"))</f>
        <v/>
      </c>
      <c r="O80" s="9">
        <f>IF($A80="","",N80&amp;"|"&amp;$F80)</f>
        <v/>
      </c>
      <c r="P80" s="94">
        <f>IF($A80="",0,$H80*설정!$C$23)</f>
        <v/>
      </c>
      <c r="Q80" s="64">
        <f>IF($A80="","",IF(O80&lt;&gt;원인분석!$C$9,"",IF(AND(M80&gt;=원인분석!$C$10,M80&lt;=원인분석!$C$11),"당기",IF(AND(M80&gt;=원인분석!$C$12,M80&lt;=원인분석!$C$13),"비교",""))))</f>
        <v/>
      </c>
      <c r="R80" s="9">
        <f>IF(Q80="","",$K80&amp;"")</f>
        <v/>
      </c>
      <c r="S80" s="9">
        <f>IF(Q80="","",IF(MATCH(R80,$R$5:$R$100000,0)=ROW()-4,ROW(),""))</f>
        <v/>
      </c>
      <c r="T80" s="9">
        <f>IF(Q80="당기",ABS(P80)+ROW()/1000000000,"")</f>
        <v/>
      </c>
      <c r="U80" s="9">
        <f>IF(Q80="비교",ABS(P80)+ROW()/1000000000,"")</f>
        <v/>
      </c>
      <c r="V80" s="64">
        <f>IF($A80="","",IF(COUNTIF(변동분석!$E$7:$E$506,O80)&gt;0,"Y","N"))</f>
        <v/>
      </c>
      <c r="W80" s="64">
        <f>IF($A80="","",IFERROR(INDEX(계정매핑!$D$5:$D$504,MATCH($F80&amp;"",계정매핑!$A$5:$A$504,0)),"미매핑"))</f>
        <v/>
      </c>
      <c r="X80" s="9">
        <f>IF($A80="","",$F80&amp;"")</f>
        <v/>
      </c>
      <c r="Y80" s="94">
        <f>IF($A80="",0,IF(AE80="직접",IF(AF80="비귀속",$P80,0),$P80*(1-AG80)*IFERROR(INDEX(계정대체기준!$F$20:$F$49,MATCH($N80,계정대체기준!$A$20:$A$49,0)),1)))</f>
        <v/>
      </c>
      <c r="Z80" s="94">
        <f>IF($A80="",0,IF(AE80="직접",IF(AF80="신계약비",$P80,0),$P80*(1-AG80)*IFERROR(INDEX(계정대체기준!$C$20:$C$49,MATCH($N80,계정대체기준!$A$20:$A$49,0)),0)))</f>
        <v/>
      </c>
      <c r="AA80" s="94">
        <f>IF($A80="",0,IF(AE80="직접",IF(OR(AF80="유지비",AF80="손해조사비"),$P80,0),$P80*(1-AG80)*IFERROR(INDEX(계정대체기준!$D$20:$D$49,MATCH($N80,계정대체기준!$A$20:$A$49,0)),0)))</f>
        <v/>
      </c>
      <c r="AB80" s="94">
        <f>IF($A80="",0,IF(AE80="직접",IF(AF80="수금비",$P80,0),$P80*(1-AG80)*IFERROR(INDEX(계정대체기준!$E$20:$E$49,MATCH($N80,계정대체기준!$A$20:$A$49,0)),0)))</f>
        <v/>
      </c>
      <c r="AC80" s="9">
        <f>IF(AND($A80&lt;&gt;"",M80=설정!$C$20,Z80&gt;0),Z80+ROW()/1000000000,"")</f>
        <v/>
      </c>
      <c r="AD80" s="94">
        <f>IF($A80="",0,$P80*AG80)</f>
        <v/>
      </c>
      <c r="AE80" s="64">
        <f>IF($A80="","",IFERROR(INDEX(계정매핑!$E$5:$E$504,MATCH($F80&amp;"",계정매핑!$A$5:$A$504,0))&amp;"","공통비"))</f>
        <v/>
      </c>
      <c r="AF80" s="64">
        <f>IF($A80="","",IF(AE80="직접",IFERROR(INDEX(계정매핑!$F$5:$F$504,MATCH($F80&amp;"",계정매핑!$A$5:$A$504,0))&amp;"","비귀속"),""))</f>
        <v/>
      </c>
      <c r="AG80" s="96">
        <f>IF($A80="",0,IF(AND(AE80&lt;&gt;"직접",IFERROR(INDEX(계정매핑!$G$5:$G$504,MATCH($F80&amp;"",계정매핑!$A$5:$A$504,0))&amp;"","")="유지비",COUNTIF(계정대체기준!$A$6:$A$15,$N80)&gt;0),IFERROR(INDEX(계정대체기준!$E$6:$E$15,MATCH(VALUE($A80&amp;""),계정대체기준!$D$6:$D$15,0)),0),0))</f>
        <v/>
      </c>
      <c r="AH80" s="64">
        <f>IF($A80="","",IF(AD80=0,"",IF(OR(COUNTIF(계정대체기준!$A$77:$A$86,$N80)&gt;0,ISNUMBER(MATCH($X80,계정대체기준!$D$77:$D$86,0)),ISNUMBER(MATCH($F80,계정대체기준!$D$77:$D$86,0))),"Y","N")))</f>
        <v/>
      </c>
    </row>
    <row r="81">
      <c r="A81" s="92" t="n">
        <v>2025</v>
      </c>
      <c r="B81" s="92" t="n">
        <v>1</v>
      </c>
      <c r="C81" s="92" t="inlineStr">
        <is>
          <t>5100000077</t>
        </is>
      </c>
      <c r="D81" s="95" t="n">
        <v>45667</v>
      </c>
      <c r="E81" s="92" t="inlineStr">
        <is>
          <t>KR</t>
        </is>
      </c>
      <c r="F81" s="92" t="n">
        <v>62101000</v>
      </c>
      <c r="G81" s="92" t="n">
        <v>1301</v>
      </c>
      <c r="H81" s="93" t="n">
        <v>169000</v>
      </c>
      <c r="I81" s="92" t="inlineStr">
        <is>
          <t>1월 국내출장 - (법인카드)</t>
        </is>
      </c>
      <c r="J81" s="92" t="inlineStr">
        <is>
          <t>V10010</t>
        </is>
      </c>
      <c r="K81" s="92" t="inlineStr">
        <is>
          <t>(법인카드)</t>
        </is>
      </c>
      <c r="M81" s="9">
        <f>IF($A81="","",VALUE($A81&amp;"")*12+VALUE($B81&amp;""))</f>
        <v/>
      </c>
      <c r="N81" s="64">
        <f>IF($A81="","",IFERROR(INDEX(부서매핑!$C$5:$C$504,MATCH($G81&amp;"",부서매핑!$A$5:$A$504,0)),"미매핑"))</f>
        <v/>
      </c>
      <c r="O81" s="9">
        <f>IF($A81="","",N81&amp;"|"&amp;$F81)</f>
        <v/>
      </c>
      <c r="P81" s="94">
        <f>IF($A81="",0,$H81*설정!$C$23)</f>
        <v/>
      </c>
      <c r="Q81" s="64">
        <f>IF($A81="","",IF(O81&lt;&gt;원인분석!$C$9,"",IF(AND(M81&gt;=원인분석!$C$10,M81&lt;=원인분석!$C$11),"당기",IF(AND(M81&gt;=원인분석!$C$12,M81&lt;=원인분석!$C$13),"비교",""))))</f>
        <v/>
      </c>
      <c r="R81" s="9">
        <f>IF(Q81="","",$K81&amp;"")</f>
        <v/>
      </c>
      <c r="S81" s="9">
        <f>IF(Q81="","",IF(MATCH(R81,$R$5:$R$100000,0)=ROW()-4,ROW(),""))</f>
        <v/>
      </c>
      <c r="T81" s="9">
        <f>IF(Q81="당기",ABS(P81)+ROW()/1000000000,"")</f>
        <v/>
      </c>
      <c r="U81" s="9">
        <f>IF(Q81="비교",ABS(P81)+ROW()/1000000000,"")</f>
        <v/>
      </c>
      <c r="V81" s="64">
        <f>IF($A81="","",IF(COUNTIF(변동분석!$E$7:$E$506,O81)&gt;0,"Y","N"))</f>
        <v/>
      </c>
      <c r="W81" s="64">
        <f>IF($A81="","",IFERROR(INDEX(계정매핑!$D$5:$D$504,MATCH($F81&amp;"",계정매핑!$A$5:$A$504,0)),"미매핑"))</f>
        <v/>
      </c>
      <c r="X81" s="9">
        <f>IF($A81="","",$F81&amp;"")</f>
        <v/>
      </c>
      <c r="Y81" s="94">
        <f>IF($A81="",0,IF(AE81="직접",IF(AF81="비귀속",$P81,0),$P81*(1-AG81)*IFERROR(INDEX(계정대체기준!$F$20:$F$49,MATCH($N81,계정대체기준!$A$20:$A$49,0)),1)))</f>
        <v/>
      </c>
      <c r="Z81" s="94">
        <f>IF($A81="",0,IF(AE81="직접",IF(AF81="신계약비",$P81,0),$P81*(1-AG81)*IFERROR(INDEX(계정대체기준!$C$20:$C$49,MATCH($N81,계정대체기준!$A$20:$A$49,0)),0)))</f>
        <v/>
      </c>
      <c r="AA81" s="94">
        <f>IF($A81="",0,IF(AE81="직접",IF(OR(AF81="유지비",AF81="손해조사비"),$P81,0),$P81*(1-AG81)*IFERROR(INDEX(계정대체기준!$D$20:$D$49,MATCH($N81,계정대체기준!$A$20:$A$49,0)),0)))</f>
        <v/>
      </c>
      <c r="AB81" s="94">
        <f>IF($A81="",0,IF(AE81="직접",IF(AF81="수금비",$P81,0),$P81*(1-AG81)*IFERROR(INDEX(계정대체기준!$E$20:$E$49,MATCH($N81,계정대체기준!$A$20:$A$49,0)),0)))</f>
        <v/>
      </c>
      <c r="AC81" s="9">
        <f>IF(AND($A81&lt;&gt;"",M81=설정!$C$20,Z81&gt;0),Z81+ROW()/1000000000,"")</f>
        <v/>
      </c>
      <c r="AD81" s="94">
        <f>IF($A81="",0,$P81*AG81)</f>
        <v/>
      </c>
      <c r="AE81" s="64">
        <f>IF($A81="","",IFERROR(INDEX(계정매핑!$E$5:$E$504,MATCH($F81&amp;"",계정매핑!$A$5:$A$504,0))&amp;"","공통비"))</f>
        <v/>
      </c>
      <c r="AF81" s="64">
        <f>IF($A81="","",IF(AE81="직접",IFERROR(INDEX(계정매핑!$F$5:$F$504,MATCH($F81&amp;"",계정매핑!$A$5:$A$504,0))&amp;"","비귀속"),""))</f>
        <v/>
      </c>
      <c r="AG81" s="96">
        <f>IF($A81="",0,IF(AND(AE81&lt;&gt;"직접",IFERROR(INDEX(계정매핑!$G$5:$G$504,MATCH($F81&amp;"",계정매핑!$A$5:$A$504,0))&amp;"","")="유지비",COUNTIF(계정대체기준!$A$6:$A$15,$N81)&gt;0),IFERROR(INDEX(계정대체기준!$E$6:$E$15,MATCH(VALUE($A81&amp;""),계정대체기준!$D$6:$D$15,0)),0),0))</f>
        <v/>
      </c>
      <c r="AH81" s="64">
        <f>IF($A81="","",IF(AD81=0,"",IF(OR(COUNTIF(계정대체기준!$A$77:$A$86,$N81)&gt;0,ISNUMBER(MATCH($X81,계정대체기준!$D$77:$D$86,0)),ISNUMBER(MATCH($F81,계정대체기준!$D$77:$D$86,0))),"Y","N")))</f>
        <v/>
      </c>
    </row>
    <row r="82">
      <c r="A82" s="92" t="n">
        <v>2025</v>
      </c>
      <c r="B82" s="92" t="n">
        <v>1</v>
      </c>
      <c r="C82" s="92" t="inlineStr">
        <is>
          <t>5100000078</t>
        </is>
      </c>
      <c r="D82" s="95" t="n">
        <v>45667</v>
      </c>
      <c r="E82" s="92" t="inlineStr">
        <is>
          <t>KR</t>
        </is>
      </c>
      <c r="F82" s="92" t="n">
        <v>62101000</v>
      </c>
      <c r="G82" s="92" t="n">
        <v>1501</v>
      </c>
      <c r="H82" s="93" t="n">
        <v>361000</v>
      </c>
      <c r="I82" s="92" t="inlineStr">
        <is>
          <t>1월 국내출장 - (법인카드)</t>
        </is>
      </c>
      <c r="J82" s="92" t="inlineStr">
        <is>
          <t>V10010</t>
        </is>
      </c>
      <c r="K82" s="92" t="inlineStr">
        <is>
          <t>(법인카드)</t>
        </is>
      </c>
      <c r="M82" s="9">
        <f>IF($A82="","",VALUE($A82&amp;"")*12+VALUE($B82&amp;""))</f>
        <v/>
      </c>
      <c r="N82" s="64">
        <f>IF($A82="","",IFERROR(INDEX(부서매핑!$C$5:$C$504,MATCH($G82&amp;"",부서매핑!$A$5:$A$504,0)),"미매핑"))</f>
        <v/>
      </c>
      <c r="O82" s="9">
        <f>IF($A82="","",N82&amp;"|"&amp;$F82)</f>
        <v/>
      </c>
      <c r="P82" s="94">
        <f>IF($A82="",0,$H82*설정!$C$23)</f>
        <v/>
      </c>
      <c r="Q82" s="64">
        <f>IF($A82="","",IF(O82&lt;&gt;원인분석!$C$9,"",IF(AND(M82&gt;=원인분석!$C$10,M82&lt;=원인분석!$C$11),"당기",IF(AND(M82&gt;=원인분석!$C$12,M82&lt;=원인분석!$C$13),"비교",""))))</f>
        <v/>
      </c>
      <c r="R82" s="9">
        <f>IF(Q82="","",$K82&amp;"")</f>
        <v/>
      </c>
      <c r="S82" s="9">
        <f>IF(Q82="","",IF(MATCH(R82,$R$5:$R$100000,0)=ROW()-4,ROW(),""))</f>
        <v/>
      </c>
      <c r="T82" s="9">
        <f>IF(Q82="당기",ABS(P82)+ROW()/1000000000,"")</f>
        <v/>
      </c>
      <c r="U82" s="9">
        <f>IF(Q82="비교",ABS(P82)+ROW()/1000000000,"")</f>
        <v/>
      </c>
      <c r="V82" s="64">
        <f>IF($A82="","",IF(COUNTIF(변동분석!$E$7:$E$506,O82)&gt;0,"Y","N"))</f>
        <v/>
      </c>
      <c r="W82" s="64">
        <f>IF($A82="","",IFERROR(INDEX(계정매핑!$D$5:$D$504,MATCH($F82&amp;"",계정매핑!$A$5:$A$504,0)),"미매핑"))</f>
        <v/>
      </c>
      <c r="X82" s="9">
        <f>IF($A82="","",$F82&amp;"")</f>
        <v/>
      </c>
      <c r="Y82" s="94">
        <f>IF($A82="",0,IF(AE82="직접",IF(AF82="비귀속",$P82,0),$P82*(1-AG82)*IFERROR(INDEX(계정대체기준!$F$20:$F$49,MATCH($N82,계정대체기준!$A$20:$A$49,0)),1)))</f>
        <v/>
      </c>
      <c r="Z82" s="94">
        <f>IF($A82="",0,IF(AE82="직접",IF(AF82="신계약비",$P82,0),$P82*(1-AG82)*IFERROR(INDEX(계정대체기준!$C$20:$C$49,MATCH($N82,계정대체기준!$A$20:$A$49,0)),0)))</f>
        <v/>
      </c>
      <c r="AA82" s="94">
        <f>IF($A82="",0,IF(AE82="직접",IF(OR(AF82="유지비",AF82="손해조사비"),$P82,0),$P82*(1-AG82)*IFERROR(INDEX(계정대체기준!$D$20:$D$49,MATCH($N82,계정대체기준!$A$20:$A$49,0)),0)))</f>
        <v/>
      </c>
      <c r="AB82" s="94">
        <f>IF($A82="",0,IF(AE82="직접",IF(AF82="수금비",$P82,0),$P82*(1-AG82)*IFERROR(INDEX(계정대체기준!$E$20:$E$49,MATCH($N82,계정대체기준!$A$20:$A$49,0)),0)))</f>
        <v/>
      </c>
      <c r="AC82" s="9">
        <f>IF(AND($A82&lt;&gt;"",M82=설정!$C$20,Z82&gt;0),Z82+ROW()/1000000000,"")</f>
        <v/>
      </c>
      <c r="AD82" s="94">
        <f>IF($A82="",0,$P82*AG82)</f>
        <v/>
      </c>
      <c r="AE82" s="64">
        <f>IF($A82="","",IFERROR(INDEX(계정매핑!$E$5:$E$504,MATCH($F82&amp;"",계정매핑!$A$5:$A$504,0))&amp;"","공통비"))</f>
        <v/>
      </c>
      <c r="AF82" s="64">
        <f>IF($A82="","",IF(AE82="직접",IFERROR(INDEX(계정매핑!$F$5:$F$504,MATCH($F82&amp;"",계정매핑!$A$5:$A$504,0))&amp;"","비귀속"),""))</f>
        <v/>
      </c>
      <c r="AG82" s="96">
        <f>IF($A82="",0,IF(AND(AE82&lt;&gt;"직접",IFERROR(INDEX(계정매핑!$G$5:$G$504,MATCH($F82&amp;"",계정매핑!$A$5:$A$504,0))&amp;"","")="유지비",COUNTIF(계정대체기준!$A$6:$A$15,$N82)&gt;0),IFERROR(INDEX(계정대체기준!$E$6:$E$15,MATCH(VALUE($A82&amp;""),계정대체기준!$D$6:$D$15,0)),0),0))</f>
        <v/>
      </c>
      <c r="AH82" s="64">
        <f>IF($A82="","",IF(AD82=0,"",IF(OR(COUNTIF(계정대체기준!$A$77:$A$86,$N82)&gt;0,ISNUMBER(MATCH($X82,계정대체기준!$D$77:$D$86,0)),ISNUMBER(MATCH($F82,계정대체기준!$D$77:$D$86,0))),"Y","N")))</f>
        <v/>
      </c>
    </row>
    <row r="83">
      <c r="A83" s="92" t="n">
        <v>2025</v>
      </c>
      <c r="B83" s="92" t="n">
        <v>1</v>
      </c>
      <c r="C83" s="92" t="inlineStr">
        <is>
          <t>5100000079</t>
        </is>
      </c>
      <c r="D83" s="95" t="n">
        <v>45667</v>
      </c>
      <c r="E83" s="92" t="inlineStr">
        <is>
          <t>KR</t>
        </is>
      </c>
      <c r="F83" s="92" t="n">
        <v>62102000</v>
      </c>
      <c r="G83" s="92" t="n">
        <v>1401</v>
      </c>
      <c r="H83" s="93" t="n">
        <v>82000</v>
      </c>
      <c r="I83" s="92" t="inlineStr">
        <is>
          <t>1월 해외출장 - M항공</t>
        </is>
      </c>
      <c r="J83" s="92" t="inlineStr">
        <is>
          <t>V10001</t>
        </is>
      </c>
      <c r="K83" s="92" t="inlineStr">
        <is>
          <t>M항공</t>
        </is>
      </c>
      <c r="M83" s="9">
        <f>IF($A83="","",VALUE($A83&amp;"")*12+VALUE($B83&amp;""))</f>
        <v/>
      </c>
      <c r="N83" s="64">
        <f>IF($A83="","",IFERROR(INDEX(부서매핑!$C$5:$C$504,MATCH($G83&amp;"",부서매핑!$A$5:$A$504,0)),"미매핑"))</f>
        <v/>
      </c>
      <c r="O83" s="9">
        <f>IF($A83="","",N83&amp;"|"&amp;$F83)</f>
        <v/>
      </c>
      <c r="P83" s="94">
        <f>IF($A83="",0,$H83*설정!$C$23)</f>
        <v/>
      </c>
      <c r="Q83" s="64">
        <f>IF($A83="","",IF(O83&lt;&gt;원인분석!$C$9,"",IF(AND(M83&gt;=원인분석!$C$10,M83&lt;=원인분석!$C$11),"당기",IF(AND(M83&gt;=원인분석!$C$12,M83&lt;=원인분석!$C$13),"비교",""))))</f>
        <v/>
      </c>
      <c r="R83" s="9">
        <f>IF(Q83="","",$K83&amp;"")</f>
        <v/>
      </c>
      <c r="S83" s="9">
        <f>IF(Q83="","",IF(MATCH(R83,$R$5:$R$100000,0)=ROW()-4,ROW(),""))</f>
        <v/>
      </c>
      <c r="T83" s="9">
        <f>IF(Q83="당기",ABS(P83)+ROW()/1000000000,"")</f>
        <v/>
      </c>
      <c r="U83" s="9">
        <f>IF(Q83="비교",ABS(P83)+ROW()/1000000000,"")</f>
        <v/>
      </c>
      <c r="V83" s="64">
        <f>IF($A83="","",IF(COUNTIF(변동분석!$E$7:$E$506,O83)&gt;0,"Y","N"))</f>
        <v/>
      </c>
      <c r="W83" s="64">
        <f>IF($A83="","",IFERROR(INDEX(계정매핑!$D$5:$D$504,MATCH($F83&amp;"",계정매핑!$A$5:$A$504,0)),"미매핑"))</f>
        <v/>
      </c>
      <c r="X83" s="9">
        <f>IF($A83="","",$F83&amp;"")</f>
        <v/>
      </c>
      <c r="Y83" s="94">
        <f>IF($A83="",0,IF(AE83="직접",IF(AF83="비귀속",$P83,0),$P83*(1-AG83)*IFERROR(INDEX(계정대체기준!$F$20:$F$49,MATCH($N83,계정대체기준!$A$20:$A$49,0)),1)))</f>
        <v/>
      </c>
      <c r="Z83" s="94">
        <f>IF($A83="",0,IF(AE83="직접",IF(AF83="신계약비",$P83,0),$P83*(1-AG83)*IFERROR(INDEX(계정대체기준!$C$20:$C$49,MATCH($N83,계정대체기준!$A$20:$A$49,0)),0)))</f>
        <v/>
      </c>
      <c r="AA83" s="94">
        <f>IF($A83="",0,IF(AE83="직접",IF(OR(AF83="유지비",AF83="손해조사비"),$P83,0),$P83*(1-AG83)*IFERROR(INDEX(계정대체기준!$D$20:$D$49,MATCH($N83,계정대체기준!$A$20:$A$49,0)),0)))</f>
        <v/>
      </c>
      <c r="AB83" s="94">
        <f>IF($A83="",0,IF(AE83="직접",IF(AF83="수금비",$P83,0),$P83*(1-AG83)*IFERROR(INDEX(계정대체기준!$E$20:$E$49,MATCH($N83,계정대체기준!$A$20:$A$49,0)),0)))</f>
        <v/>
      </c>
      <c r="AC83" s="9">
        <f>IF(AND($A83&lt;&gt;"",M83=설정!$C$20,Z83&gt;0),Z83+ROW()/1000000000,"")</f>
        <v/>
      </c>
      <c r="AD83" s="94">
        <f>IF($A83="",0,$P83*AG83)</f>
        <v/>
      </c>
      <c r="AE83" s="64">
        <f>IF($A83="","",IFERROR(INDEX(계정매핑!$E$5:$E$504,MATCH($F83&amp;"",계정매핑!$A$5:$A$504,0))&amp;"","공통비"))</f>
        <v/>
      </c>
      <c r="AF83" s="64">
        <f>IF($A83="","",IF(AE83="직접",IFERROR(INDEX(계정매핑!$F$5:$F$504,MATCH($F83&amp;"",계정매핑!$A$5:$A$504,0))&amp;"","비귀속"),""))</f>
        <v/>
      </c>
      <c r="AG83" s="96">
        <f>IF($A83="",0,IF(AND(AE83&lt;&gt;"직접",IFERROR(INDEX(계정매핑!$G$5:$G$504,MATCH($F83&amp;"",계정매핑!$A$5:$A$504,0))&amp;"","")="유지비",COUNTIF(계정대체기준!$A$6:$A$15,$N83)&gt;0),IFERROR(INDEX(계정대체기준!$E$6:$E$15,MATCH(VALUE($A83&amp;""),계정대체기준!$D$6:$D$15,0)),0),0))</f>
        <v/>
      </c>
      <c r="AH83" s="64">
        <f>IF($A83="","",IF(AD83=0,"",IF(OR(COUNTIF(계정대체기준!$A$77:$A$86,$N83)&gt;0,ISNUMBER(MATCH($X83,계정대체기준!$D$77:$D$86,0)),ISNUMBER(MATCH($F83,계정대체기준!$D$77:$D$86,0))),"Y","N")))</f>
        <v/>
      </c>
    </row>
    <row r="84">
      <c r="A84" s="92" t="n">
        <v>2025</v>
      </c>
      <c r="B84" s="92" t="n">
        <v>1</v>
      </c>
      <c r="C84" s="92" t="inlineStr">
        <is>
          <t>5100000080</t>
        </is>
      </c>
      <c r="D84" s="95" t="n">
        <v>45667</v>
      </c>
      <c r="E84" s="92" t="inlineStr">
        <is>
          <t>KR</t>
        </is>
      </c>
      <c r="F84" s="92" t="n">
        <v>62102000</v>
      </c>
      <c r="G84" s="92" t="n">
        <v>1401</v>
      </c>
      <c r="H84" s="93" t="n">
        <v>88000</v>
      </c>
      <c r="I84" s="92" t="inlineStr">
        <is>
          <t>1월 해외출장 - N호텔</t>
        </is>
      </c>
      <c r="J84" s="92" t="inlineStr">
        <is>
          <t>V10009</t>
        </is>
      </c>
      <c r="K84" s="92" t="inlineStr">
        <is>
          <t>N호텔</t>
        </is>
      </c>
      <c r="M84" s="9">
        <f>IF($A84="","",VALUE($A84&amp;"")*12+VALUE($B84&amp;""))</f>
        <v/>
      </c>
      <c r="N84" s="64">
        <f>IF($A84="","",IFERROR(INDEX(부서매핑!$C$5:$C$504,MATCH($G84&amp;"",부서매핑!$A$5:$A$504,0)),"미매핑"))</f>
        <v/>
      </c>
      <c r="O84" s="9">
        <f>IF($A84="","",N84&amp;"|"&amp;$F84)</f>
        <v/>
      </c>
      <c r="P84" s="94">
        <f>IF($A84="",0,$H84*설정!$C$23)</f>
        <v/>
      </c>
      <c r="Q84" s="64">
        <f>IF($A84="","",IF(O84&lt;&gt;원인분석!$C$9,"",IF(AND(M84&gt;=원인분석!$C$10,M84&lt;=원인분석!$C$11),"당기",IF(AND(M84&gt;=원인분석!$C$12,M84&lt;=원인분석!$C$13),"비교",""))))</f>
        <v/>
      </c>
      <c r="R84" s="9">
        <f>IF(Q84="","",$K84&amp;"")</f>
        <v/>
      </c>
      <c r="S84" s="9">
        <f>IF(Q84="","",IF(MATCH(R84,$R$5:$R$100000,0)=ROW()-4,ROW(),""))</f>
        <v/>
      </c>
      <c r="T84" s="9">
        <f>IF(Q84="당기",ABS(P84)+ROW()/1000000000,"")</f>
        <v/>
      </c>
      <c r="U84" s="9">
        <f>IF(Q84="비교",ABS(P84)+ROW()/1000000000,"")</f>
        <v/>
      </c>
      <c r="V84" s="64">
        <f>IF($A84="","",IF(COUNTIF(변동분석!$E$7:$E$506,O84)&gt;0,"Y","N"))</f>
        <v/>
      </c>
      <c r="W84" s="64">
        <f>IF($A84="","",IFERROR(INDEX(계정매핑!$D$5:$D$504,MATCH($F84&amp;"",계정매핑!$A$5:$A$504,0)),"미매핑"))</f>
        <v/>
      </c>
      <c r="X84" s="9">
        <f>IF($A84="","",$F84&amp;"")</f>
        <v/>
      </c>
      <c r="Y84" s="94">
        <f>IF($A84="",0,IF(AE84="직접",IF(AF84="비귀속",$P84,0),$P84*(1-AG84)*IFERROR(INDEX(계정대체기준!$F$20:$F$49,MATCH($N84,계정대체기준!$A$20:$A$49,0)),1)))</f>
        <v/>
      </c>
      <c r="Z84" s="94">
        <f>IF($A84="",0,IF(AE84="직접",IF(AF84="신계약비",$P84,0),$P84*(1-AG84)*IFERROR(INDEX(계정대체기준!$C$20:$C$49,MATCH($N84,계정대체기준!$A$20:$A$49,0)),0)))</f>
        <v/>
      </c>
      <c r="AA84" s="94">
        <f>IF($A84="",0,IF(AE84="직접",IF(OR(AF84="유지비",AF84="손해조사비"),$P84,0),$P84*(1-AG84)*IFERROR(INDEX(계정대체기준!$D$20:$D$49,MATCH($N84,계정대체기준!$A$20:$A$49,0)),0)))</f>
        <v/>
      </c>
      <c r="AB84" s="94">
        <f>IF($A84="",0,IF(AE84="직접",IF(AF84="수금비",$P84,0),$P84*(1-AG84)*IFERROR(INDEX(계정대체기준!$E$20:$E$49,MATCH($N84,계정대체기준!$A$20:$A$49,0)),0)))</f>
        <v/>
      </c>
      <c r="AC84" s="9">
        <f>IF(AND($A84&lt;&gt;"",M84=설정!$C$20,Z84&gt;0),Z84+ROW()/1000000000,"")</f>
        <v/>
      </c>
      <c r="AD84" s="94">
        <f>IF($A84="",0,$P84*AG84)</f>
        <v/>
      </c>
      <c r="AE84" s="64">
        <f>IF($A84="","",IFERROR(INDEX(계정매핑!$E$5:$E$504,MATCH($F84&amp;"",계정매핑!$A$5:$A$504,0))&amp;"","공통비"))</f>
        <v/>
      </c>
      <c r="AF84" s="64">
        <f>IF($A84="","",IF(AE84="직접",IFERROR(INDEX(계정매핑!$F$5:$F$504,MATCH($F84&amp;"",계정매핑!$A$5:$A$504,0))&amp;"","비귀속"),""))</f>
        <v/>
      </c>
      <c r="AG84" s="96">
        <f>IF($A84="",0,IF(AND(AE84&lt;&gt;"직접",IFERROR(INDEX(계정매핑!$G$5:$G$504,MATCH($F84&amp;"",계정매핑!$A$5:$A$504,0))&amp;"","")="유지비",COUNTIF(계정대체기준!$A$6:$A$15,$N84)&gt;0),IFERROR(INDEX(계정대체기준!$E$6:$E$15,MATCH(VALUE($A84&amp;""),계정대체기준!$D$6:$D$15,0)),0),0))</f>
        <v/>
      </c>
      <c r="AH84" s="64">
        <f>IF($A84="","",IF(AD84=0,"",IF(OR(COUNTIF(계정대체기준!$A$77:$A$86,$N84)&gt;0,ISNUMBER(MATCH($X84,계정대체기준!$D$77:$D$86,0)),ISNUMBER(MATCH($F84,계정대체기준!$D$77:$D$86,0))),"Y","N")))</f>
        <v/>
      </c>
    </row>
    <row r="85">
      <c r="A85" s="92" t="n">
        <v>2025</v>
      </c>
      <c r="B85" s="92" t="n">
        <v>1</v>
      </c>
      <c r="C85" s="92" t="inlineStr">
        <is>
          <t>5100000081</t>
        </is>
      </c>
      <c r="D85" s="95" t="n">
        <v>45667</v>
      </c>
      <c r="E85" s="92" t="inlineStr">
        <is>
          <t>KR</t>
        </is>
      </c>
      <c r="F85" s="92" t="n">
        <v>62201000</v>
      </c>
      <c r="G85" s="92" t="n">
        <v>1201</v>
      </c>
      <c r="H85" s="93" t="n">
        <v>128000</v>
      </c>
      <c r="I85" s="92" t="inlineStr">
        <is>
          <t>1월 통신요금 - P통신</t>
        </is>
      </c>
      <c r="J85" s="92" t="inlineStr">
        <is>
          <t>V10014</t>
        </is>
      </c>
      <c r="K85" s="92" t="inlineStr">
        <is>
          <t>P통신</t>
        </is>
      </c>
      <c r="M85" s="9">
        <f>IF($A85="","",VALUE($A85&amp;"")*12+VALUE($B85&amp;""))</f>
        <v/>
      </c>
      <c r="N85" s="64">
        <f>IF($A85="","",IFERROR(INDEX(부서매핑!$C$5:$C$504,MATCH($G85&amp;"",부서매핑!$A$5:$A$504,0)),"미매핑"))</f>
        <v/>
      </c>
      <c r="O85" s="9">
        <f>IF($A85="","",N85&amp;"|"&amp;$F85)</f>
        <v/>
      </c>
      <c r="P85" s="94">
        <f>IF($A85="",0,$H85*설정!$C$23)</f>
        <v/>
      </c>
      <c r="Q85" s="64">
        <f>IF($A85="","",IF(O85&lt;&gt;원인분석!$C$9,"",IF(AND(M85&gt;=원인분석!$C$10,M85&lt;=원인분석!$C$11),"당기",IF(AND(M85&gt;=원인분석!$C$12,M85&lt;=원인분석!$C$13),"비교",""))))</f>
        <v/>
      </c>
      <c r="R85" s="9">
        <f>IF(Q85="","",$K85&amp;"")</f>
        <v/>
      </c>
      <c r="S85" s="9">
        <f>IF(Q85="","",IF(MATCH(R85,$R$5:$R$100000,0)=ROW()-4,ROW(),""))</f>
        <v/>
      </c>
      <c r="T85" s="9">
        <f>IF(Q85="당기",ABS(P85)+ROW()/1000000000,"")</f>
        <v/>
      </c>
      <c r="U85" s="9">
        <f>IF(Q85="비교",ABS(P85)+ROW()/1000000000,"")</f>
        <v/>
      </c>
      <c r="V85" s="64">
        <f>IF($A85="","",IF(COUNTIF(변동분석!$E$7:$E$506,O85)&gt;0,"Y","N"))</f>
        <v/>
      </c>
      <c r="W85" s="64">
        <f>IF($A85="","",IFERROR(INDEX(계정매핑!$D$5:$D$504,MATCH($F85&amp;"",계정매핑!$A$5:$A$504,0)),"미매핑"))</f>
        <v/>
      </c>
      <c r="X85" s="9">
        <f>IF($A85="","",$F85&amp;"")</f>
        <v/>
      </c>
      <c r="Y85" s="94">
        <f>IF($A85="",0,IF(AE85="직접",IF(AF85="비귀속",$P85,0),$P85*(1-AG85)*IFERROR(INDEX(계정대체기준!$F$20:$F$49,MATCH($N85,계정대체기준!$A$20:$A$49,0)),1)))</f>
        <v/>
      </c>
      <c r="Z85" s="94">
        <f>IF($A85="",0,IF(AE85="직접",IF(AF85="신계약비",$P85,0),$P85*(1-AG85)*IFERROR(INDEX(계정대체기준!$C$20:$C$49,MATCH($N85,계정대체기준!$A$20:$A$49,0)),0)))</f>
        <v/>
      </c>
      <c r="AA85" s="94">
        <f>IF($A85="",0,IF(AE85="직접",IF(OR(AF85="유지비",AF85="손해조사비"),$P85,0),$P85*(1-AG85)*IFERROR(INDEX(계정대체기준!$D$20:$D$49,MATCH($N85,계정대체기준!$A$20:$A$49,0)),0)))</f>
        <v/>
      </c>
      <c r="AB85" s="94">
        <f>IF($A85="",0,IF(AE85="직접",IF(AF85="수금비",$P85,0),$P85*(1-AG85)*IFERROR(INDEX(계정대체기준!$E$20:$E$49,MATCH($N85,계정대체기준!$A$20:$A$49,0)),0)))</f>
        <v/>
      </c>
      <c r="AC85" s="9">
        <f>IF(AND($A85&lt;&gt;"",M85=설정!$C$20,Z85&gt;0),Z85+ROW()/1000000000,"")</f>
        <v/>
      </c>
      <c r="AD85" s="94">
        <f>IF($A85="",0,$P85*AG85)</f>
        <v/>
      </c>
      <c r="AE85" s="64">
        <f>IF($A85="","",IFERROR(INDEX(계정매핑!$E$5:$E$504,MATCH($F85&amp;"",계정매핑!$A$5:$A$504,0))&amp;"","공통비"))</f>
        <v/>
      </c>
      <c r="AF85" s="64">
        <f>IF($A85="","",IF(AE85="직접",IFERROR(INDEX(계정매핑!$F$5:$F$504,MATCH($F85&amp;"",계정매핑!$A$5:$A$504,0))&amp;"","비귀속"),""))</f>
        <v/>
      </c>
      <c r="AG85" s="96">
        <f>IF($A85="",0,IF(AND(AE85&lt;&gt;"직접",IFERROR(INDEX(계정매핑!$G$5:$G$504,MATCH($F85&amp;"",계정매핑!$A$5:$A$504,0))&amp;"","")="유지비",COUNTIF(계정대체기준!$A$6:$A$15,$N85)&gt;0),IFERROR(INDEX(계정대체기준!$E$6:$E$15,MATCH(VALUE($A85&amp;""),계정대체기준!$D$6:$D$15,0)),0),0))</f>
        <v/>
      </c>
      <c r="AH85" s="64">
        <f>IF($A85="","",IF(AD85=0,"",IF(OR(COUNTIF(계정대체기준!$A$77:$A$86,$N85)&gt;0,ISNUMBER(MATCH($X85,계정대체기준!$D$77:$D$86,0)),ISNUMBER(MATCH($F85,계정대체기준!$D$77:$D$86,0))),"Y","N")))</f>
        <v/>
      </c>
    </row>
    <row r="86">
      <c r="A86" s="92" t="n">
        <v>2025</v>
      </c>
      <c r="B86" s="92" t="n">
        <v>1</v>
      </c>
      <c r="C86" s="92" t="inlineStr">
        <is>
          <t>5100000082</t>
        </is>
      </c>
      <c r="D86" s="95" t="n">
        <v>45667</v>
      </c>
      <c r="E86" s="92" t="inlineStr">
        <is>
          <t>KR</t>
        </is>
      </c>
      <c r="F86" s="92" t="n">
        <v>62301000</v>
      </c>
      <c r="G86" s="92" t="n">
        <v>1201</v>
      </c>
      <c r="H86" s="93" t="n">
        <v>220000</v>
      </c>
      <c r="I86" s="92" t="inlineStr">
        <is>
          <t>1월 소모품 구입 - R문구</t>
        </is>
      </c>
      <c r="J86" s="92" t="inlineStr">
        <is>
          <t>V10022</t>
        </is>
      </c>
      <c r="K86" s="92" t="inlineStr">
        <is>
          <t>R문구</t>
        </is>
      </c>
      <c r="M86" s="9">
        <f>IF($A86="","",VALUE($A86&amp;"")*12+VALUE($B86&amp;""))</f>
        <v/>
      </c>
      <c r="N86" s="64">
        <f>IF($A86="","",IFERROR(INDEX(부서매핑!$C$5:$C$504,MATCH($G86&amp;"",부서매핑!$A$5:$A$504,0)),"미매핑"))</f>
        <v/>
      </c>
      <c r="O86" s="9">
        <f>IF($A86="","",N86&amp;"|"&amp;$F86)</f>
        <v/>
      </c>
      <c r="P86" s="94">
        <f>IF($A86="",0,$H86*설정!$C$23)</f>
        <v/>
      </c>
      <c r="Q86" s="64">
        <f>IF($A86="","",IF(O86&lt;&gt;원인분석!$C$9,"",IF(AND(M86&gt;=원인분석!$C$10,M86&lt;=원인분석!$C$11),"당기",IF(AND(M86&gt;=원인분석!$C$12,M86&lt;=원인분석!$C$13),"비교",""))))</f>
        <v/>
      </c>
      <c r="R86" s="9">
        <f>IF(Q86="","",$K86&amp;"")</f>
        <v/>
      </c>
      <c r="S86" s="9">
        <f>IF(Q86="","",IF(MATCH(R86,$R$5:$R$100000,0)=ROW()-4,ROW(),""))</f>
        <v/>
      </c>
      <c r="T86" s="9">
        <f>IF(Q86="당기",ABS(P86)+ROW()/1000000000,"")</f>
        <v/>
      </c>
      <c r="U86" s="9">
        <f>IF(Q86="비교",ABS(P86)+ROW()/1000000000,"")</f>
        <v/>
      </c>
      <c r="V86" s="64">
        <f>IF($A86="","",IF(COUNTIF(변동분석!$E$7:$E$506,O86)&gt;0,"Y","N"))</f>
        <v/>
      </c>
      <c r="W86" s="64">
        <f>IF($A86="","",IFERROR(INDEX(계정매핑!$D$5:$D$504,MATCH($F86&amp;"",계정매핑!$A$5:$A$504,0)),"미매핑"))</f>
        <v/>
      </c>
      <c r="X86" s="9">
        <f>IF($A86="","",$F86&amp;"")</f>
        <v/>
      </c>
      <c r="Y86" s="94">
        <f>IF($A86="",0,IF(AE86="직접",IF(AF86="비귀속",$P86,0),$P86*(1-AG86)*IFERROR(INDEX(계정대체기준!$F$20:$F$49,MATCH($N86,계정대체기준!$A$20:$A$49,0)),1)))</f>
        <v/>
      </c>
      <c r="Z86" s="94">
        <f>IF($A86="",0,IF(AE86="직접",IF(AF86="신계약비",$P86,0),$P86*(1-AG86)*IFERROR(INDEX(계정대체기준!$C$20:$C$49,MATCH($N86,계정대체기준!$A$20:$A$49,0)),0)))</f>
        <v/>
      </c>
      <c r="AA86" s="94">
        <f>IF($A86="",0,IF(AE86="직접",IF(OR(AF86="유지비",AF86="손해조사비"),$P86,0),$P86*(1-AG86)*IFERROR(INDEX(계정대체기준!$D$20:$D$49,MATCH($N86,계정대체기준!$A$20:$A$49,0)),0)))</f>
        <v/>
      </c>
      <c r="AB86" s="94">
        <f>IF($A86="",0,IF(AE86="직접",IF(AF86="수금비",$P86,0),$P86*(1-AG86)*IFERROR(INDEX(계정대체기준!$E$20:$E$49,MATCH($N86,계정대체기준!$A$20:$A$49,0)),0)))</f>
        <v/>
      </c>
      <c r="AC86" s="9">
        <f>IF(AND($A86&lt;&gt;"",M86=설정!$C$20,Z86&gt;0),Z86+ROW()/1000000000,"")</f>
        <v/>
      </c>
      <c r="AD86" s="94">
        <f>IF($A86="",0,$P86*AG86)</f>
        <v/>
      </c>
      <c r="AE86" s="64">
        <f>IF($A86="","",IFERROR(INDEX(계정매핑!$E$5:$E$504,MATCH($F86&amp;"",계정매핑!$A$5:$A$504,0))&amp;"","공통비"))</f>
        <v/>
      </c>
      <c r="AF86" s="64">
        <f>IF($A86="","",IF(AE86="직접",IFERROR(INDEX(계정매핑!$F$5:$F$504,MATCH($F86&amp;"",계정매핑!$A$5:$A$504,0))&amp;"","비귀속"),""))</f>
        <v/>
      </c>
      <c r="AG86" s="96">
        <f>IF($A86="",0,IF(AND(AE86&lt;&gt;"직접",IFERROR(INDEX(계정매핑!$G$5:$G$504,MATCH($F86&amp;"",계정매핑!$A$5:$A$504,0))&amp;"","")="유지비",COUNTIF(계정대체기준!$A$6:$A$15,$N86)&gt;0),IFERROR(INDEX(계정대체기준!$E$6:$E$15,MATCH(VALUE($A86&amp;""),계정대체기준!$D$6:$D$15,0)),0),0))</f>
        <v/>
      </c>
      <c r="AH86" s="64">
        <f>IF($A86="","",IF(AD86=0,"",IF(OR(COUNTIF(계정대체기준!$A$77:$A$86,$N86)&gt;0,ISNUMBER(MATCH($X86,계정대체기준!$D$77:$D$86,0)),ISNUMBER(MATCH($F86,계정대체기준!$D$77:$D$86,0))),"Y","N")))</f>
        <v/>
      </c>
    </row>
    <row r="87">
      <c r="A87" s="92" t="n">
        <v>2025</v>
      </c>
      <c r="B87" s="92" t="n">
        <v>1</v>
      </c>
      <c r="C87" s="92" t="inlineStr">
        <is>
          <t>5100000083</t>
        </is>
      </c>
      <c r="D87" s="95" t="n">
        <v>45667</v>
      </c>
      <c r="E87" s="92" t="inlineStr">
        <is>
          <t>KR</t>
        </is>
      </c>
      <c r="F87" s="92" t="n">
        <v>62701000</v>
      </c>
      <c r="G87" s="92" t="n">
        <v>1501</v>
      </c>
      <c r="H87" s="93" t="n">
        <v>36107000</v>
      </c>
      <c r="I87" s="92" t="inlineStr">
        <is>
          <t>1월 광고 집행 - F애드</t>
        </is>
      </c>
      <c r="J87" s="92" t="inlineStr">
        <is>
          <t>V10023</t>
        </is>
      </c>
      <c r="K87" s="92" t="inlineStr">
        <is>
          <t>F애드</t>
        </is>
      </c>
      <c r="M87" s="9">
        <f>IF($A87="","",VALUE($A87&amp;"")*12+VALUE($B87&amp;""))</f>
        <v/>
      </c>
      <c r="N87" s="64">
        <f>IF($A87="","",IFERROR(INDEX(부서매핑!$C$5:$C$504,MATCH($G87&amp;"",부서매핑!$A$5:$A$504,0)),"미매핑"))</f>
        <v/>
      </c>
      <c r="O87" s="9">
        <f>IF($A87="","",N87&amp;"|"&amp;$F87)</f>
        <v/>
      </c>
      <c r="P87" s="94">
        <f>IF($A87="",0,$H87*설정!$C$23)</f>
        <v/>
      </c>
      <c r="Q87" s="64">
        <f>IF($A87="","",IF(O87&lt;&gt;원인분석!$C$9,"",IF(AND(M87&gt;=원인분석!$C$10,M87&lt;=원인분석!$C$11),"당기",IF(AND(M87&gt;=원인분석!$C$12,M87&lt;=원인분석!$C$13),"비교",""))))</f>
        <v/>
      </c>
      <c r="R87" s="9">
        <f>IF(Q87="","",$K87&amp;"")</f>
        <v/>
      </c>
      <c r="S87" s="9">
        <f>IF(Q87="","",IF(MATCH(R87,$R$5:$R$100000,0)=ROW()-4,ROW(),""))</f>
        <v/>
      </c>
      <c r="T87" s="9">
        <f>IF(Q87="당기",ABS(P87)+ROW()/1000000000,"")</f>
        <v/>
      </c>
      <c r="U87" s="9">
        <f>IF(Q87="비교",ABS(P87)+ROW()/1000000000,"")</f>
        <v/>
      </c>
      <c r="V87" s="64">
        <f>IF($A87="","",IF(COUNTIF(변동분석!$E$7:$E$506,O87)&gt;0,"Y","N"))</f>
        <v/>
      </c>
      <c r="W87" s="64">
        <f>IF($A87="","",IFERROR(INDEX(계정매핑!$D$5:$D$504,MATCH($F87&amp;"",계정매핑!$A$5:$A$504,0)),"미매핑"))</f>
        <v/>
      </c>
      <c r="X87" s="9">
        <f>IF($A87="","",$F87&amp;"")</f>
        <v/>
      </c>
      <c r="Y87" s="94">
        <f>IF($A87="",0,IF(AE87="직접",IF(AF87="비귀속",$P87,0),$P87*(1-AG87)*IFERROR(INDEX(계정대체기준!$F$20:$F$49,MATCH($N87,계정대체기준!$A$20:$A$49,0)),1)))</f>
        <v/>
      </c>
      <c r="Z87" s="94">
        <f>IF($A87="",0,IF(AE87="직접",IF(AF87="신계약비",$P87,0),$P87*(1-AG87)*IFERROR(INDEX(계정대체기준!$C$20:$C$49,MATCH($N87,계정대체기준!$A$20:$A$49,0)),0)))</f>
        <v/>
      </c>
      <c r="AA87" s="94">
        <f>IF($A87="",0,IF(AE87="직접",IF(OR(AF87="유지비",AF87="손해조사비"),$P87,0),$P87*(1-AG87)*IFERROR(INDEX(계정대체기준!$D$20:$D$49,MATCH($N87,계정대체기준!$A$20:$A$49,0)),0)))</f>
        <v/>
      </c>
      <c r="AB87" s="94">
        <f>IF($A87="",0,IF(AE87="직접",IF(AF87="수금비",$P87,0),$P87*(1-AG87)*IFERROR(INDEX(계정대체기준!$E$20:$E$49,MATCH($N87,계정대체기준!$A$20:$A$49,0)),0)))</f>
        <v/>
      </c>
      <c r="AC87" s="9">
        <f>IF(AND($A87&lt;&gt;"",M87=설정!$C$20,Z87&gt;0),Z87+ROW()/1000000000,"")</f>
        <v/>
      </c>
      <c r="AD87" s="94">
        <f>IF($A87="",0,$P87*AG87)</f>
        <v/>
      </c>
      <c r="AE87" s="64">
        <f>IF($A87="","",IFERROR(INDEX(계정매핑!$E$5:$E$504,MATCH($F87&amp;"",계정매핑!$A$5:$A$504,0))&amp;"","공통비"))</f>
        <v/>
      </c>
      <c r="AF87" s="64">
        <f>IF($A87="","",IF(AE87="직접",IFERROR(INDEX(계정매핑!$F$5:$F$504,MATCH($F87&amp;"",계정매핑!$A$5:$A$504,0))&amp;"","비귀속"),""))</f>
        <v/>
      </c>
      <c r="AG87" s="96">
        <f>IF($A87="",0,IF(AND(AE87&lt;&gt;"직접",IFERROR(INDEX(계정매핑!$G$5:$G$504,MATCH($F87&amp;"",계정매핑!$A$5:$A$504,0))&amp;"","")="유지비",COUNTIF(계정대체기준!$A$6:$A$15,$N87)&gt;0),IFERROR(INDEX(계정대체기준!$E$6:$E$15,MATCH(VALUE($A87&amp;""),계정대체기준!$D$6:$D$15,0)),0),0))</f>
        <v/>
      </c>
      <c r="AH87" s="64">
        <f>IF($A87="","",IF(AD87=0,"",IF(OR(COUNTIF(계정대체기준!$A$77:$A$86,$N87)&gt;0,ISNUMBER(MATCH($X87,계정대체기준!$D$77:$D$86,0)),ISNUMBER(MATCH($F87,계정대체기준!$D$77:$D$86,0))),"Y","N")))</f>
        <v/>
      </c>
    </row>
    <row r="88">
      <c r="A88" s="92" t="n">
        <v>2025</v>
      </c>
      <c r="B88" s="92" t="n">
        <v>1</v>
      </c>
      <c r="C88" s="92" t="inlineStr">
        <is>
          <t>5100000084</t>
        </is>
      </c>
      <c r="D88" s="95" t="n">
        <v>45667</v>
      </c>
      <c r="E88" s="92" t="inlineStr">
        <is>
          <t>KR</t>
        </is>
      </c>
      <c r="F88" s="92" t="n">
        <v>62801000</v>
      </c>
      <c r="G88" s="92" t="n">
        <v>1301</v>
      </c>
      <c r="H88" s="93" t="n">
        <v>2865000</v>
      </c>
      <c r="I88" s="92" t="inlineStr">
        <is>
          <t>1월 사내교육 - (사내강사료)</t>
        </is>
      </c>
      <c r="J88" s="92" t="inlineStr">
        <is>
          <t>V10024</t>
        </is>
      </c>
      <c r="K88" s="92" t="inlineStr">
        <is>
          <t>(사내강사료)</t>
        </is>
      </c>
      <c r="M88" s="9">
        <f>IF($A88="","",VALUE($A88&amp;"")*12+VALUE($B88&amp;""))</f>
        <v/>
      </c>
      <c r="N88" s="64">
        <f>IF($A88="","",IFERROR(INDEX(부서매핑!$C$5:$C$504,MATCH($G88&amp;"",부서매핑!$A$5:$A$504,0)),"미매핑"))</f>
        <v/>
      </c>
      <c r="O88" s="9">
        <f>IF($A88="","",N88&amp;"|"&amp;$F88)</f>
        <v/>
      </c>
      <c r="P88" s="94">
        <f>IF($A88="",0,$H88*설정!$C$23)</f>
        <v/>
      </c>
      <c r="Q88" s="64">
        <f>IF($A88="","",IF(O88&lt;&gt;원인분석!$C$9,"",IF(AND(M88&gt;=원인분석!$C$10,M88&lt;=원인분석!$C$11),"당기",IF(AND(M88&gt;=원인분석!$C$12,M88&lt;=원인분석!$C$13),"비교",""))))</f>
        <v/>
      </c>
      <c r="R88" s="9">
        <f>IF(Q88="","",$K88&amp;"")</f>
        <v/>
      </c>
      <c r="S88" s="9">
        <f>IF(Q88="","",IF(MATCH(R88,$R$5:$R$100000,0)=ROW()-4,ROW(),""))</f>
        <v/>
      </c>
      <c r="T88" s="9">
        <f>IF(Q88="당기",ABS(P88)+ROW()/1000000000,"")</f>
        <v/>
      </c>
      <c r="U88" s="9">
        <f>IF(Q88="비교",ABS(P88)+ROW()/1000000000,"")</f>
        <v/>
      </c>
      <c r="V88" s="64">
        <f>IF($A88="","",IF(COUNTIF(변동분석!$E$7:$E$506,O88)&gt;0,"Y","N"))</f>
        <v/>
      </c>
      <c r="W88" s="64">
        <f>IF($A88="","",IFERROR(INDEX(계정매핑!$D$5:$D$504,MATCH($F88&amp;"",계정매핑!$A$5:$A$504,0)),"미매핑"))</f>
        <v/>
      </c>
      <c r="X88" s="9">
        <f>IF($A88="","",$F88&amp;"")</f>
        <v/>
      </c>
      <c r="Y88" s="94">
        <f>IF($A88="",0,IF(AE88="직접",IF(AF88="비귀속",$P88,0),$P88*(1-AG88)*IFERROR(INDEX(계정대체기준!$F$20:$F$49,MATCH($N88,계정대체기준!$A$20:$A$49,0)),1)))</f>
        <v/>
      </c>
      <c r="Z88" s="94">
        <f>IF($A88="",0,IF(AE88="직접",IF(AF88="신계약비",$P88,0),$P88*(1-AG88)*IFERROR(INDEX(계정대체기준!$C$20:$C$49,MATCH($N88,계정대체기준!$A$20:$A$49,0)),0)))</f>
        <v/>
      </c>
      <c r="AA88" s="94">
        <f>IF($A88="",0,IF(AE88="직접",IF(OR(AF88="유지비",AF88="손해조사비"),$P88,0),$P88*(1-AG88)*IFERROR(INDEX(계정대체기준!$D$20:$D$49,MATCH($N88,계정대체기준!$A$20:$A$49,0)),0)))</f>
        <v/>
      </c>
      <c r="AB88" s="94">
        <f>IF($A88="",0,IF(AE88="직접",IF(AF88="수금비",$P88,0),$P88*(1-AG88)*IFERROR(INDEX(계정대체기준!$E$20:$E$49,MATCH($N88,계정대체기준!$A$20:$A$49,0)),0)))</f>
        <v/>
      </c>
      <c r="AC88" s="9">
        <f>IF(AND($A88&lt;&gt;"",M88=설정!$C$20,Z88&gt;0),Z88+ROW()/1000000000,"")</f>
        <v/>
      </c>
      <c r="AD88" s="94">
        <f>IF($A88="",0,$P88*AG88)</f>
        <v/>
      </c>
      <c r="AE88" s="64">
        <f>IF($A88="","",IFERROR(INDEX(계정매핑!$E$5:$E$504,MATCH($F88&amp;"",계정매핑!$A$5:$A$504,0))&amp;"","공통비"))</f>
        <v/>
      </c>
      <c r="AF88" s="64">
        <f>IF($A88="","",IF(AE88="직접",IFERROR(INDEX(계정매핑!$F$5:$F$504,MATCH($F88&amp;"",계정매핑!$A$5:$A$504,0))&amp;"","비귀속"),""))</f>
        <v/>
      </c>
      <c r="AG88" s="96">
        <f>IF($A88="",0,IF(AND(AE88&lt;&gt;"직접",IFERROR(INDEX(계정매핑!$G$5:$G$504,MATCH($F88&amp;"",계정매핑!$A$5:$A$504,0))&amp;"","")="유지비",COUNTIF(계정대체기준!$A$6:$A$15,$N88)&gt;0),IFERROR(INDEX(계정대체기준!$E$6:$E$15,MATCH(VALUE($A88&amp;""),계정대체기준!$D$6:$D$15,0)),0),0))</f>
        <v/>
      </c>
      <c r="AH88" s="64">
        <f>IF($A88="","",IF(AD88=0,"",IF(OR(COUNTIF(계정대체기준!$A$77:$A$86,$N88)&gt;0,ISNUMBER(MATCH($X88,계정대체기준!$D$77:$D$86,0)),ISNUMBER(MATCH($F88,계정대체기준!$D$77:$D$86,0))),"Y","N")))</f>
        <v/>
      </c>
    </row>
    <row r="89">
      <c r="A89" s="92" t="n">
        <v>2025</v>
      </c>
      <c r="B89" s="92" t="n">
        <v>1</v>
      </c>
      <c r="C89" s="92" t="inlineStr">
        <is>
          <t>5100000085</t>
        </is>
      </c>
      <c r="D89" s="95" t="n">
        <v>45667</v>
      </c>
      <c r="E89" s="92" t="inlineStr">
        <is>
          <t>KR</t>
        </is>
      </c>
      <c r="F89" s="92" t="n">
        <v>63001000</v>
      </c>
      <c r="G89" s="92" t="n">
        <v>1701</v>
      </c>
      <c r="H89" s="93" t="n">
        <v>20386000</v>
      </c>
      <c r="I89" s="92" t="inlineStr">
        <is>
          <t>1월 SW 유지보수 - Z시스템</t>
        </is>
      </c>
      <c r="J89" s="92" t="inlineStr">
        <is>
          <t>V10012</t>
        </is>
      </c>
      <c r="K89" s="92" t="inlineStr">
        <is>
          <t>Z시스템</t>
        </is>
      </c>
      <c r="M89" s="9">
        <f>IF($A89="","",VALUE($A89&amp;"")*12+VALUE($B89&amp;""))</f>
        <v/>
      </c>
      <c r="N89" s="64">
        <f>IF($A89="","",IFERROR(INDEX(부서매핑!$C$5:$C$504,MATCH($G89&amp;"",부서매핑!$A$5:$A$504,0)),"미매핑"))</f>
        <v/>
      </c>
      <c r="O89" s="9">
        <f>IF($A89="","",N89&amp;"|"&amp;$F89)</f>
        <v/>
      </c>
      <c r="P89" s="94">
        <f>IF($A89="",0,$H89*설정!$C$23)</f>
        <v/>
      </c>
      <c r="Q89" s="64">
        <f>IF($A89="","",IF(O89&lt;&gt;원인분석!$C$9,"",IF(AND(M89&gt;=원인분석!$C$10,M89&lt;=원인분석!$C$11),"당기",IF(AND(M89&gt;=원인분석!$C$12,M89&lt;=원인분석!$C$13),"비교",""))))</f>
        <v/>
      </c>
      <c r="R89" s="9">
        <f>IF(Q89="","",$K89&amp;"")</f>
        <v/>
      </c>
      <c r="S89" s="9">
        <f>IF(Q89="","",IF(MATCH(R89,$R$5:$R$100000,0)=ROW()-4,ROW(),""))</f>
        <v/>
      </c>
      <c r="T89" s="9">
        <f>IF(Q89="당기",ABS(P89)+ROW()/1000000000,"")</f>
        <v/>
      </c>
      <c r="U89" s="9">
        <f>IF(Q89="비교",ABS(P89)+ROW()/1000000000,"")</f>
        <v/>
      </c>
      <c r="V89" s="64">
        <f>IF($A89="","",IF(COUNTIF(변동분석!$E$7:$E$506,O89)&gt;0,"Y","N"))</f>
        <v/>
      </c>
      <c r="W89" s="64">
        <f>IF($A89="","",IFERROR(INDEX(계정매핑!$D$5:$D$504,MATCH($F89&amp;"",계정매핑!$A$5:$A$504,0)),"미매핑"))</f>
        <v/>
      </c>
      <c r="X89" s="9">
        <f>IF($A89="","",$F89&amp;"")</f>
        <v/>
      </c>
      <c r="Y89" s="94">
        <f>IF($A89="",0,IF(AE89="직접",IF(AF89="비귀속",$P89,0),$P89*(1-AG89)*IFERROR(INDEX(계정대체기준!$F$20:$F$49,MATCH($N89,계정대체기준!$A$20:$A$49,0)),1)))</f>
        <v/>
      </c>
      <c r="Z89" s="94">
        <f>IF($A89="",0,IF(AE89="직접",IF(AF89="신계약비",$P89,0),$P89*(1-AG89)*IFERROR(INDEX(계정대체기준!$C$20:$C$49,MATCH($N89,계정대체기준!$A$20:$A$49,0)),0)))</f>
        <v/>
      </c>
      <c r="AA89" s="94">
        <f>IF($A89="",0,IF(AE89="직접",IF(OR(AF89="유지비",AF89="손해조사비"),$P89,0),$P89*(1-AG89)*IFERROR(INDEX(계정대체기준!$D$20:$D$49,MATCH($N89,계정대체기준!$A$20:$A$49,0)),0)))</f>
        <v/>
      </c>
      <c r="AB89" s="94">
        <f>IF($A89="",0,IF(AE89="직접",IF(AF89="수금비",$P89,0),$P89*(1-AG89)*IFERROR(INDEX(계정대체기준!$E$20:$E$49,MATCH($N89,계정대체기준!$A$20:$A$49,0)),0)))</f>
        <v/>
      </c>
      <c r="AC89" s="9">
        <f>IF(AND($A89&lt;&gt;"",M89=설정!$C$20,Z89&gt;0),Z89+ROW()/1000000000,"")</f>
        <v/>
      </c>
      <c r="AD89" s="94">
        <f>IF($A89="",0,$P89*AG89)</f>
        <v/>
      </c>
      <c r="AE89" s="64">
        <f>IF($A89="","",IFERROR(INDEX(계정매핑!$E$5:$E$504,MATCH($F89&amp;"",계정매핑!$A$5:$A$504,0))&amp;"","공통비"))</f>
        <v/>
      </c>
      <c r="AF89" s="64">
        <f>IF($A89="","",IF(AE89="직접",IFERROR(INDEX(계정매핑!$F$5:$F$504,MATCH($F89&amp;"",계정매핑!$A$5:$A$504,0))&amp;"","비귀속"),""))</f>
        <v/>
      </c>
      <c r="AG89" s="96">
        <f>IF($A89="",0,IF(AND(AE89&lt;&gt;"직접",IFERROR(INDEX(계정매핑!$G$5:$G$504,MATCH($F89&amp;"",계정매핑!$A$5:$A$504,0))&amp;"","")="유지비",COUNTIF(계정대체기준!$A$6:$A$15,$N89)&gt;0),IFERROR(INDEX(계정대체기준!$E$6:$E$15,MATCH(VALUE($A89&amp;""),계정대체기준!$D$6:$D$15,0)),0),0))</f>
        <v/>
      </c>
      <c r="AH89" s="64">
        <f>IF($A89="","",IF(AD89=0,"",IF(OR(COUNTIF(계정대체기준!$A$77:$A$86,$N89)&gt;0,ISNUMBER(MATCH($X89,계정대체기준!$D$77:$D$86,0)),ISNUMBER(MATCH($F89,계정대체기준!$D$77:$D$86,0))),"Y","N")))</f>
        <v/>
      </c>
    </row>
    <row r="90">
      <c r="A90" s="92" t="n">
        <v>2025</v>
      </c>
      <c r="B90" s="92" t="n">
        <v>1</v>
      </c>
      <c r="C90" s="92" t="inlineStr">
        <is>
          <t>5100000086</t>
        </is>
      </c>
      <c r="D90" s="95" t="n">
        <v>45667</v>
      </c>
      <c r="E90" s="92" t="inlineStr">
        <is>
          <t>KR</t>
        </is>
      </c>
      <c r="F90" s="92" t="n">
        <v>63201000</v>
      </c>
      <c r="G90" s="92" t="n">
        <v>1602</v>
      </c>
      <c r="H90" s="93" t="n">
        <v>5522000</v>
      </c>
      <c r="I90" s="92" t="inlineStr">
        <is>
          <t>1월 차량 유지 - D정비</t>
        </is>
      </c>
      <c r="J90" s="92" t="inlineStr">
        <is>
          <t>V10025</t>
        </is>
      </c>
      <c r="K90" s="92" t="inlineStr">
        <is>
          <t>D정비</t>
        </is>
      </c>
      <c r="M90" s="9">
        <f>IF($A90="","",VALUE($A90&amp;"")*12+VALUE($B90&amp;""))</f>
        <v/>
      </c>
      <c r="N90" s="64">
        <f>IF($A90="","",IFERROR(INDEX(부서매핑!$C$5:$C$504,MATCH($G90&amp;"",부서매핑!$A$5:$A$504,0)),"미매핑"))</f>
        <v/>
      </c>
      <c r="O90" s="9">
        <f>IF($A90="","",N90&amp;"|"&amp;$F90)</f>
        <v/>
      </c>
      <c r="P90" s="94">
        <f>IF($A90="",0,$H90*설정!$C$23)</f>
        <v/>
      </c>
      <c r="Q90" s="64">
        <f>IF($A90="","",IF(O90&lt;&gt;원인분석!$C$9,"",IF(AND(M90&gt;=원인분석!$C$10,M90&lt;=원인분석!$C$11),"당기",IF(AND(M90&gt;=원인분석!$C$12,M90&lt;=원인분석!$C$13),"비교",""))))</f>
        <v/>
      </c>
      <c r="R90" s="9">
        <f>IF(Q90="","",$K90&amp;"")</f>
        <v/>
      </c>
      <c r="S90" s="9">
        <f>IF(Q90="","",IF(MATCH(R90,$R$5:$R$100000,0)=ROW()-4,ROW(),""))</f>
        <v/>
      </c>
      <c r="T90" s="9">
        <f>IF(Q90="당기",ABS(P90)+ROW()/1000000000,"")</f>
        <v/>
      </c>
      <c r="U90" s="9">
        <f>IF(Q90="비교",ABS(P90)+ROW()/1000000000,"")</f>
        <v/>
      </c>
      <c r="V90" s="64">
        <f>IF($A90="","",IF(COUNTIF(변동분석!$E$7:$E$506,O90)&gt;0,"Y","N"))</f>
        <v/>
      </c>
      <c r="W90" s="64">
        <f>IF($A90="","",IFERROR(INDEX(계정매핑!$D$5:$D$504,MATCH($F90&amp;"",계정매핑!$A$5:$A$504,0)),"미매핑"))</f>
        <v/>
      </c>
      <c r="X90" s="9">
        <f>IF($A90="","",$F90&amp;"")</f>
        <v/>
      </c>
      <c r="Y90" s="94">
        <f>IF($A90="",0,IF(AE90="직접",IF(AF90="비귀속",$P90,0),$P90*(1-AG90)*IFERROR(INDEX(계정대체기준!$F$20:$F$49,MATCH($N90,계정대체기준!$A$20:$A$49,0)),1)))</f>
        <v/>
      </c>
      <c r="Z90" s="94">
        <f>IF($A90="",0,IF(AE90="직접",IF(AF90="신계약비",$P90,0),$P90*(1-AG90)*IFERROR(INDEX(계정대체기준!$C$20:$C$49,MATCH($N90,계정대체기준!$A$20:$A$49,0)),0)))</f>
        <v/>
      </c>
      <c r="AA90" s="94">
        <f>IF($A90="",0,IF(AE90="직접",IF(OR(AF90="유지비",AF90="손해조사비"),$P90,0),$P90*(1-AG90)*IFERROR(INDEX(계정대체기준!$D$20:$D$49,MATCH($N90,계정대체기준!$A$20:$A$49,0)),0)))</f>
        <v/>
      </c>
      <c r="AB90" s="94">
        <f>IF($A90="",0,IF(AE90="직접",IF(AF90="수금비",$P90,0),$P90*(1-AG90)*IFERROR(INDEX(계정대체기준!$E$20:$E$49,MATCH($N90,계정대체기준!$A$20:$A$49,0)),0)))</f>
        <v/>
      </c>
      <c r="AC90" s="9">
        <f>IF(AND($A90&lt;&gt;"",M90=설정!$C$20,Z90&gt;0),Z90+ROW()/1000000000,"")</f>
        <v/>
      </c>
      <c r="AD90" s="94">
        <f>IF($A90="",0,$P90*AG90)</f>
        <v/>
      </c>
      <c r="AE90" s="64">
        <f>IF($A90="","",IFERROR(INDEX(계정매핑!$E$5:$E$504,MATCH($F90&amp;"",계정매핑!$A$5:$A$504,0))&amp;"","공통비"))</f>
        <v/>
      </c>
      <c r="AF90" s="64">
        <f>IF($A90="","",IF(AE90="직접",IFERROR(INDEX(계정매핑!$F$5:$F$504,MATCH($F90&amp;"",계정매핑!$A$5:$A$504,0))&amp;"","비귀속"),""))</f>
        <v/>
      </c>
      <c r="AG90" s="96">
        <f>IF($A90="",0,IF(AND(AE90&lt;&gt;"직접",IFERROR(INDEX(계정매핑!$G$5:$G$504,MATCH($F90&amp;"",계정매핑!$A$5:$A$504,0))&amp;"","")="유지비",COUNTIF(계정대체기준!$A$6:$A$15,$N90)&gt;0),IFERROR(INDEX(계정대체기준!$E$6:$E$15,MATCH(VALUE($A90&amp;""),계정대체기준!$D$6:$D$15,0)),0),0))</f>
        <v/>
      </c>
      <c r="AH90" s="64">
        <f>IF($A90="","",IF(AD90=0,"",IF(OR(COUNTIF(계정대체기준!$A$77:$A$86,$N90)&gt;0,ISNUMBER(MATCH($X90,계정대체기준!$D$77:$D$86,0)),ISNUMBER(MATCH($F90,계정대체기준!$D$77:$D$86,0))),"Y","N")))</f>
        <v/>
      </c>
    </row>
    <row r="91">
      <c r="A91" s="92" t="n">
        <v>2025</v>
      </c>
      <c r="B91" s="92" t="n">
        <v>1</v>
      </c>
      <c r="C91" s="92" t="inlineStr">
        <is>
          <t>5100000087</t>
        </is>
      </c>
      <c r="D91" s="95" t="n">
        <v>45668</v>
      </c>
      <c r="E91" s="92" t="inlineStr">
        <is>
          <t>KR</t>
        </is>
      </c>
      <c r="F91" s="92" t="n">
        <v>62101000</v>
      </c>
      <c r="G91" s="92" t="n">
        <v>1101</v>
      </c>
      <c r="H91" s="93" t="n">
        <v>378000</v>
      </c>
      <c r="I91" s="92" t="inlineStr">
        <is>
          <t>1월 국내출장 - L여행사</t>
        </is>
      </c>
      <c r="J91" s="92" t="inlineStr">
        <is>
          <t>V10018</t>
        </is>
      </c>
      <c r="K91" s="92" t="inlineStr">
        <is>
          <t>L여행사</t>
        </is>
      </c>
      <c r="M91" s="9">
        <f>IF($A91="","",VALUE($A91&amp;"")*12+VALUE($B91&amp;""))</f>
        <v/>
      </c>
      <c r="N91" s="64">
        <f>IF($A91="","",IFERROR(INDEX(부서매핑!$C$5:$C$504,MATCH($G91&amp;"",부서매핑!$A$5:$A$504,0)),"미매핑"))</f>
        <v/>
      </c>
      <c r="O91" s="9">
        <f>IF($A91="","",N91&amp;"|"&amp;$F91)</f>
        <v/>
      </c>
      <c r="P91" s="94">
        <f>IF($A91="",0,$H91*설정!$C$23)</f>
        <v/>
      </c>
      <c r="Q91" s="64">
        <f>IF($A91="","",IF(O91&lt;&gt;원인분석!$C$9,"",IF(AND(M91&gt;=원인분석!$C$10,M91&lt;=원인분석!$C$11),"당기",IF(AND(M91&gt;=원인분석!$C$12,M91&lt;=원인분석!$C$13),"비교",""))))</f>
        <v/>
      </c>
      <c r="R91" s="9">
        <f>IF(Q91="","",$K91&amp;"")</f>
        <v/>
      </c>
      <c r="S91" s="9">
        <f>IF(Q91="","",IF(MATCH(R91,$R$5:$R$100000,0)=ROW()-4,ROW(),""))</f>
        <v/>
      </c>
      <c r="T91" s="9">
        <f>IF(Q91="당기",ABS(P91)+ROW()/1000000000,"")</f>
        <v/>
      </c>
      <c r="U91" s="9">
        <f>IF(Q91="비교",ABS(P91)+ROW()/1000000000,"")</f>
        <v/>
      </c>
      <c r="V91" s="64">
        <f>IF($A91="","",IF(COUNTIF(변동분석!$E$7:$E$506,O91)&gt;0,"Y","N"))</f>
        <v/>
      </c>
      <c r="W91" s="64">
        <f>IF($A91="","",IFERROR(INDEX(계정매핑!$D$5:$D$504,MATCH($F91&amp;"",계정매핑!$A$5:$A$504,0)),"미매핑"))</f>
        <v/>
      </c>
      <c r="X91" s="9">
        <f>IF($A91="","",$F91&amp;"")</f>
        <v/>
      </c>
      <c r="Y91" s="94">
        <f>IF($A91="",0,IF(AE91="직접",IF(AF91="비귀속",$P91,0),$P91*(1-AG91)*IFERROR(INDEX(계정대체기준!$F$20:$F$49,MATCH($N91,계정대체기준!$A$20:$A$49,0)),1)))</f>
        <v/>
      </c>
      <c r="Z91" s="94">
        <f>IF($A91="",0,IF(AE91="직접",IF(AF91="신계약비",$P91,0),$P91*(1-AG91)*IFERROR(INDEX(계정대체기준!$C$20:$C$49,MATCH($N91,계정대체기준!$A$20:$A$49,0)),0)))</f>
        <v/>
      </c>
      <c r="AA91" s="94">
        <f>IF($A91="",0,IF(AE91="직접",IF(OR(AF91="유지비",AF91="손해조사비"),$P91,0),$P91*(1-AG91)*IFERROR(INDEX(계정대체기준!$D$20:$D$49,MATCH($N91,계정대체기준!$A$20:$A$49,0)),0)))</f>
        <v/>
      </c>
      <c r="AB91" s="94">
        <f>IF($A91="",0,IF(AE91="직접",IF(AF91="수금비",$P91,0),$P91*(1-AG91)*IFERROR(INDEX(계정대체기준!$E$20:$E$49,MATCH($N91,계정대체기준!$A$20:$A$49,0)),0)))</f>
        <v/>
      </c>
      <c r="AC91" s="9">
        <f>IF(AND($A91&lt;&gt;"",M91=설정!$C$20,Z91&gt;0),Z91+ROW()/1000000000,"")</f>
        <v/>
      </c>
      <c r="AD91" s="94">
        <f>IF($A91="",0,$P91*AG91)</f>
        <v/>
      </c>
      <c r="AE91" s="64">
        <f>IF($A91="","",IFERROR(INDEX(계정매핑!$E$5:$E$504,MATCH($F91&amp;"",계정매핑!$A$5:$A$504,0))&amp;"","공통비"))</f>
        <v/>
      </c>
      <c r="AF91" s="64">
        <f>IF($A91="","",IF(AE91="직접",IFERROR(INDEX(계정매핑!$F$5:$F$504,MATCH($F91&amp;"",계정매핑!$A$5:$A$504,0))&amp;"","비귀속"),""))</f>
        <v/>
      </c>
      <c r="AG91" s="96">
        <f>IF($A91="",0,IF(AND(AE91&lt;&gt;"직접",IFERROR(INDEX(계정매핑!$G$5:$G$504,MATCH($F91&amp;"",계정매핑!$A$5:$A$504,0))&amp;"","")="유지비",COUNTIF(계정대체기준!$A$6:$A$15,$N91)&gt;0),IFERROR(INDEX(계정대체기준!$E$6:$E$15,MATCH(VALUE($A91&amp;""),계정대체기준!$D$6:$D$15,0)),0),0))</f>
        <v/>
      </c>
      <c r="AH91" s="64">
        <f>IF($A91="","",IF(AD91=0,"",IF(OR(COUNTIF(계정대체기준!$A$77:$A$86,$N91)&gt;0,ISNUMBER(MATCH($X91,계정대체기준!$D$77:$D$86,0)),ISNUMBER(MATCH($F91,계정대체기준!$D$77:$D$86,0))),"Y","N")))</f>
        <v/>
      </c>
    </row>
    <row r="92">
      <c r="A92" s="92" t="n">
        <v>2025</v>
      </c>
      <c r="B92" s="92" t="n">
        <v>1</v>
      </c>
      <c r="C92" s="92" t="inlineStr">
        <is>
          <t>5100000088</t>
        </is>
      </c>
      <c r="D92" s="95" t="n">
        <v>45668</v>
      </c>
      <c r="E92" s="92" t="inlineStr">
        <is>
          <t>KR</t>
        </is>
      </c>
      <c r="F92" s="92" t="n">
        <v>62101000</v>
      </c>
      <c r="G92" s="92" t="n">
        <v>1701</v>
      </c>
      <c r="H92" s="93" t="n">
        <v>186000</v>
      </c>
      <c r="I92" s="92" t="inlineStr">
        <is>
          <t>1월 국내출장 - L여행사</t>
        </is>
      </c>
      <c r="J92" s="92" t="inlineStr">
        <is>
          <t>V10018</t>
        </is>
      </c>
      <c r="K92" s="92" t="inlineStr">
        <is>
          <t>L여행사</t>
        </is>
      </c>
      <c r="M92" s="9">
        <f>IF($A92="","",VALUE($A92&amp;"")*12+VALUE($B92&amp;""))</f>
        <v/>
      </c>
      <c r="N92" s="64">
        <f>IF($A92="","",IFERROR(INDEX(부서매핑!$C$5:$C$504,MATCH($G92&amp;"",부서매핑!$A$5:$A$504,0)),"미매핑"))</f>
        <v/>
      </c>
      <c r="O92" s="9">
        <f>IF($A92="","",N92&amp;"|"&amp;$F92)</f>
        <v/>
      </c>
      <c r="P92" s="94">
        <f>IF($A92="",0,$H92*설정!$C$23)</f>
        <v/>
      </c>
      <c r="Q92" s="64">
        <f>IF($A92="","",IF(O92&lt;&gt;원인분석!$C$9,"",IF(AND(M92&gt;=원인분석!$C$10,M92&lt;=원인분석!$C$11),"당기",IF(AND(M92&gt;=원인분석!$C$12,M92&lt;=원인분석!$C$13),"비교",""))))</f>
        <v/>
      </c>
      <c r="R92" s="9">
        <f>IF(Q92="","",$K92&amp;"")</f>
        <v/>
      </c>
      <c r="S92" s="9">
        <f>IF(Q92="","",IF(MATCH(R92,$R$5:$R$100000,0)=ROW()-4,ROW(),""))</f>
        <v/>
      </c>
      <c r="T92" s="9">
        <f>IF(Q92="당기",ABS(P92)+ROW()/1000000000,"")</f>
        <v/>
      </c>
      <c r="U92" s="9">
        <f>IF(Q92="비교",ABS(P92)+ROW()/1000000000,"")</f>
        <v/>
      </c>
      <c r="V92" s="64">
        <f>IF($A92="","",IF(COUNTIF(변동분석!$E$7:$E$506,O92)&gt;0,"Y","N"))</f>
        <v/>
      </c>
      <c r="W92" s="64">
        <f>IF($A92="","",IFERROR(INDEX(계정매핑!$D$5:$D$504,MATCH($F92&amp;"",계정매핑!$A$5:$A$504,0)),"미매핑"))</f>
        <v/>
      </c>
      <c r="X92" s="9">
        <f>IF($A92="","",$F92&amp;"")</f>
        <v/>
      </c>
      <c r="Y92" s="94">
        <f>IF($A92="",0,IF(AE92="직접",IF(AF92="비귀속",$P92,0),$P92*(1-AG92)*IFERROR(INDEX(계정대체기준!$F$20:$F$49,MATCH($N92,계정대체기준!$A$20:$A$49,0)),1)))</f>
        <v/>
      </c>
      <c r="Z92" s="94">
        <f>IF($A92="",0,IF(AE92="직접",IF(AF92="신계약비",$P92,0),$P92*(1-AG92)*IFERROR(INDEX(계정대체기준!$C$20:$C$49,MATCH($N92,계정대체기준!$A$20:$A$49,0)),0)))</f>
        <v/>
      </c>
      <c r="AA92" s="94">
        <f>IF($A92="",0,IF(AE92="직접",IF(OR(AF92="유지비",AF92="손해조사비"),$P92,0),$P92*(1-AG92)*IFERROR(INDEX(계정대체기준!$D$20:$D$49,MATCH($N92,계정대체기준!$A$20:$A$49,0)),0)))</f>
        <v/>
      </c>
      <c r="AB92" s="94">
        <f>IF($A92="",0,IF(AE92="직접",IF(AF92="수금비",$P92,0),$P92*(1-AG92)*IFERROR(INDEX(계정대체기준!$E$20:$E$49,MATCH($N92,계정대체기준!$A$20:$A$49,0)),0)))</f>
        <v/>
      </c>
      <c r="AC92" s="9">
        <f>IF(AND($A92&lt;&gt;"",M92=설정!$C$20,Z92&gt;0),Z92+ROW()/1000000000,"")</f>
        <v/>
      </c>
      <c r="AD92" s="94">
        <f>IF($A92="",0,$P92*AG92)</f>
        <v/>
      </c>
      <c r="AE92" s="64">
        <f>IF($A92="","",IFERROR(INDEX(계정매핑!$E$5:$E$504,MATCH($F92&amp;"",계정매핑!$A$5:$A$504,0))&amp;"","공통비"))</f>
        <v/>
      </c>
      <c r="AF92" s="64">
        <f>IF($A92="","",IF(AE92="직접",IFERROR(INDEX(계정매핑!$F$5:$F$504,MATCH($F92&amp;"",계정매핑!$A$5:$A$504,0))&amp;"","비귀속"),""))</f>
        <v/>
      </c>
      <c r="AG92" s="96">
        <f>IF($A92="",0,IF(AND(AE92&lt;&gt;"직접",IFERROR(INDEX(계정매핑!$G$5:$G$504,MATCH($F92&amp;"",계정매핑!$A$5:$A$504,0))&amp;"","")="유지비",COUNTIF(계정대체기준!$A$6:$A$15,$N92)&gt;0),IFERROR(INDEX(계정대체기준!$E$6:$E$15,MATCH(VALUE($A92&amp;""),계정대체기준!$D$6:$D$15,0)),0),0))</f>
        <v/>
      </c>
      <c r="AH92" s="64">
        <f>IF($A92="","",IF(AD92=0,"",IF(OR(COUNTIF(계정대체기준!$A$77:$A$86,$N92)&gt;0,ISNUMBER(MATCH($X92,계정대체기준!$D$77:$D$86,0)),ISNUMBER(MATCH($F92,계정대체기준!$D$77:$D$86,0))),"Y","N")))</f>
        <v/>
      </c>
    </row>
    <row r="93">
      <c r="A93" s="92" t="n">
        <v>2025</v>
      </c>
      <c r="B93" s="92" t="n">
        <v>1</v>
      </c>
      <c r="C93" s="92" t="inlineStr">
        <is>
          <t>5100000089</t>
        </is>
      </c>
      <c r="D93" s="95" t="n">
        <v>45668</v>
      </c>
      <c r="E93" s="92" t="inlineStr">
        <is>
          <t>KR</t>
        </is>
      </c>
      <c r="F93" s="92" t="n">
        <v>62301000</v>
      </c>
      <c r="G93" s="92" t="n">
        <v>1301</v>
      </c>
      <c r="H93" s="93" t="n">
        <v>263000</v>
      </c>
      <c r="I93" s="92" t="inlineStr">
        <is>
          <t>1월 소모품 구입 - Q오피스</t>
        </is>
      </c>
      <c r="J93" s="92" t="inlineStr">
        <is>
          <t>V10003</t>
        </is>
      </c>
      <c r="K93" s="92" t="inlineStr">
        <is>
          <t>Q오피스</t>
        </is>
      </c>
      <c r="M93" s="9">
        <f>IF($A93="","",VALUE($A93&amp;"")*12+VALUE($B93&amp;""))</f>
        <v/>
      </c>
      <c r="N93" s="64">
        <f>IF($A93="","",IFERROR(INDEX(부서매핑!$C$5:$C$504,MATCH($G93&amp;"",부서매핑!$A$5:$A$504,0)),"미매핑"))</f>
        <v/>
      </c>
      <c r="O93" s="9">
        <f>IF($A93="","",N93&amp;"|"&amp;$F93)</f>
        <v/>
      </c>
      <c r="P93" s="94">
        <f>IF($A93="",0,$H93*설정!$C$23)</f>
        <v/>
      </c>
      <c r="Q93" s="64">
        <f>IF($A93="","",IF(O93&lt;&gt;원인분석!$C$9,"",IF(AND(M93&gt;=원인분석!$C$10,M93&lt;=원인분석!$C$11),"당기",IF(AND(M93&gt;=원인분석!$C$12,M93&lt;=원인분석!$C$13),"비교",""))))</f>
        <v/>
      </c>
      <c r="R93" s="9">
        <f>IF(Q93="","",$K93&amp;"")</f>
        <v/>
      </c>
      <c r="S93" s="9">
        <f>IF(Q93="","",IF(MATCH(R93,$R$5:$R$100000,0)=ROW()-4,ROW(),""))</f>
        <v/>
      </c>
      <c r="T93" s="9">
        <f>IF(Q93="당기",ABS(P93)+ROW()/1000000000,"")</f>
        <v/>
      </c>
      <c r="U93" s="9">
        <f>IF(Q93="비교",ABS(P93)+ROW()/1000000000,"")</f>
        <v/>
      </c>
      <c r="V93" s="64">
        <f>IF($A93="","",IF(COUNTIF(변동분석!$E$7:$E$506,O93)&gt;0,"Y","N"))</f>
        <v/>
      </c>
      <c r="W93" s="64">
        <f>IF($A93="","",IFERROR(INDEX(계정매핑!$D$5:$D$504,MATCH($F93&amp;"",계정매핑!$A$5:$A$504,0)),"미매핑"))</f>
        <v/>
      </c>
      <c r="X93" s="9">
        <f>IF($A93="","",$F93&amp;"")</f>
        <v/>
      </c>
      <c r="Y93" s="94">
        <f>IF($A93="",0,IF(AE93="직접",IF(AF93="비귀속",$P93,0),$P93*(1-AG93)*IFERROR(INDEX(계정대체기준!$F$20:$F$49,MATCH($N93,계정대체기준!$A$20:$A$49,0)),1)))</f>
        <v/>
      </c>
      <c r="Z93" s="94">
        <f>IF($A93="",0,IF(AE93="직접",IF(AF93="신계약비",$P93,0),$P93*(1-AG93)*IFERROR(INDEX(계정대체기준!$C$20:$C$49,MATCH($N93,계정대체기준!$A$20:$A$49,0)),0)))</f>
        <v/>
      </c>
      <c r="AA93" s="94">
        <f>IF($A93="",0,IF(AE93="직접",IF(OR(AF93="유지비",AF93="손해조사비"),$P93,0),$P93*(1-AG93)*IFERROR(INDEX(계정대체기준!$D$20:$D$49,MATCH($N93,계정대체기준!$A$20:$A$49,0)),0)))</f>
        <v/>
      </c>
      <c r="AB93" s="94">
        <f>IF($A93="",0,IF(AE93="직접",IF(AF93="수금비",$P93,0),$P93*(1-AG93)*IFERROR(INDEX(계정대체기준!$E$20:$E$49,MATCH($N93,계정대체기준!$A$20:$A$49,0)),0)))</f>
        <v/>
      </c>
      <c r="AC93" s="9">
        <f>IF(AND($A93&lt;&gt;"",M93=설정!$C$20,Z93&gt;0),Z93+ROW()/1000000000,"")</f>
        <v/>
      </c>
      <c r="AD93" s="94">
        <f>IF($A93="",0,$P93*AG93)</f>
        <v/>
      </c>
      <c r="AE93" s="64">
        <f>IF($A93="","",IFERROR(INDEX(계정매핑!$E$5:$E$504,MATCH($F93&amp;"",계정매핑!$A$5:$A$504,0))&amp;"","공통비"))</f>
        <v/>
      </c>
      <c r="AF93" s="64">
        <f>IF($A93="","",IF(AE93="직접",IFERROR(INDEX(계정매핑!$F$5:$F$504,MATCH($F93&amp;"",계정매핑!$A$5:$A$504,0))&amp;"","비귀속"),""))</f>
        <v/>
      </c>
      <c r="AG93" s="96">
        <f>IF($A93="",0,IF(AND(AE93&lt;&gt;"직접",IFERROR(INDEX(계정매핑!$G$5:$G$504,MATCH($F93&amp;"",계정매핑!$A$5:$A$504,0))&amp;"","")="유지비",COUNTIF(계정대체기준!$A$6:$A$15,$N93)&gt;0),IFERROR(INDEX(계정대체기준!$E$6:$E$15,MATCH(VALUE($A93&amp;""),계정대체기준!$D$6:$D$15,0)),0),0))</f>
        <v/>
      </c>
      <c r="AH93" s="64">
        <f>IF($A93="","",IF(AD93=0,"",IF(OR(COUNTIF(계정대체기준!$A$77:$A$86,$N93)&gt;0,ISNUMBER(MATCH($X93,계정대체기준!$D$77:$D$86,0)),ISNUMBER(MATCH($F93,계정대체기준!$D$77:$D$86,0))),"Y","N")))</f>
        <v/>
      </c>
    </row>
    <row r="94">
      <c r="A94" s="92" t="n">
        <v>2025</v>
      </c>
      <c r="B94" s="92" t="n">
        <v>1</v>
      </c>
      <c r="C94" s="92" t="inlineStr">
        <is>
          <t>5100000090</t>
        </is>
      </c>
      <c r="D94" s="95" t="n">
        <v>45668</v>
      </c>
      <c r="E94" s="92" t="inlineStr">
        <is>
          <t>KR</t>
        </is>
      </c>
      <c r="F94" s="92" t="n">
        <v>62501000</v>
      </c>
      <c r="G94" s="92" t="n">
        <v>1401</v>
      </c>
      <c r="H94" s="93" t="n">
        <v>179000</v>
      </c>
      <c r="I94" s="92" t="inlineStr">
        <is>
          <t>1월 회의 다과 - T케이터링</t>
        </is>
      </c>
      <c r="J94" s="92" t="inlineStr">
        <is>
          <t>V10005</t>
        </is>
      </c>
      <c r="K94" s="92" t="inlineStr">
        <is>
          <t>T케이터링</t>
        </is>
      </c>
      <c r="M94" s="9">
        <f>IF($A94="","",VALUE($A94&amp;"")*12+VALUE($B94&amp;""))</f>
        <v/>
      </c>
      <c r="N94" s="64">
        <f>IF($A94="","",IFERROR(INDEX(부서매핑!$C$5:$C$504,MATCH($G94&amp;"",부서매핑!$A$5:$A$504,0)),"미매핑"))</f>
        <v/>
      </c>
      <c r="O94" s="9">
        <f>IF($A94="","",N94&amp;"|"&amp;$F94)</f>
        <v/>
      </c>
      <c r="P94" s="94">
        <f>IF($A94="",0,$H94*설정!$C$23)</f>
        <v/>
      </c>
      <c r="Q94" s="64">
        <f>IF($A94="","",IF(O94&lt;&gt;원인분석!$C$9,"",IF(AND(M94&gt;=원인분석!$C$10,M94&lt;=원인분석!$C$11),"당기",IF(AND(M94&gt;=원인분석!$C$12,M94&lt;=원인분석!$C$13),"비교",""))))</f>
        <v/>
      </c>
      <c r="R94" s="9">
        <f>IF(Q94="","",$K94&amp;"")</f>
        <v/>
      </c>
      <c r="S94" s="9">
        <f>IF(Q94="","",IF(MATCH(R94,$R$5:$R$100000,0)=ROW()-4,ROW(),""))</f>
        <v/>
      </c>
      <c r="T94" s="9">
        <f>IF(Q94="당기",ABS(P94)+ROW()/1000000000,"")</f>
        <v/>
      </c>
      <c r="U94" s="9">
        <f>IF(Q94="비교",ABS(P94)+ROW()/1000000000,"")</f>
        <v/>
      </c>
      <c r="V94" s="64">
        <f>IF($A94="","",IF(COUNTIF(변동분석!$E$7:$E$506,O94)&gt;0,"Y","N"))</f>
        <v/>
      </c>
      <c r="W94" s="64">
        <f>IF($A94="","",IFERROR(INDEX(계정매핑!$D$5:$D$504,MATCH($F94&amp;"",계정매핑!$A$5:$A$504,0)),"미매핑"))</f>
        <v/>
      </c>
      <c r="X94" s="9">
        <f>IF($A94="","",$F94&amp;"")</f>
        <v/>
      </c>
      <c r="Y94" s="94">
        <f>IF($A94="",0,IF(AE94="직접",IF(AF94="비귀속",$P94,0),$P94*(1-AG94)*IFERROR(INDEX(계정대체기준!$F$20:$F$49,MATCH($N94,계정대체기준!$A$20:$A$49,0)),1)))</f>
        <v/>
      </c>
      <c r="Z94" s="94">
        <f>IF($A94="",0,IF(AE94="직접",IF(AF94="신계약비",$P94,0),$P94*(1-AG94)*IFERROR(INDEX(계정대체기준!$C$20:$C$49,MATCH($N94,계정대체기준!$A$20:$A$49,0)),0)))</f>
        <v/>
      </c>
      <c r="AA94" s="94">
        <f>IF($A94="",0,IF(AE94="직접",IF(OR(AF94="유지비",AF94="손해조사비"),$P94,0),$P94*(1-AG94)*IFERROR(INDEX(계정대체기준!$D$20:$D$49,MATCH($N94,계정대체기준!$A$20:$A$49,0)),0)))</f>
        <v/>
      </c>
      <c r="AB94" s="94">
        <f>IF($A94="",0,IF(AE94="직접",IF(AF94="수금비",$P94,0),$P94*(1-AG94)*IFERROR(INDEX(계정대체기준!$E$20:$E$49,MATCH($N94,계정대체기준!$A$20:$A$49,0)),0)))</f>
        <v/>
      </c>
      <c r="AC94" s="9">
        <f>IF(AND($A94&lt;&gt;"",M94=설정!$C$20,Z94&gt;0),Z94+ROW()/1000000000,"")</f>
        <v/>
      </c>
      <c r="AD94" s="94">
        <f>IF($A94="",0,$P94*AG94)</f>
        <v/>
      </c>
      <c r="AE94" s="64">
        <f>IF($A94="","",IFERROR(INDEX(계정매핑!$E$5:$E$504,MATCH($F94&amp;"",계정매핑!$A$5:$A$504,0))&amp;"","공통비"))</f>
        <v/>
      </c>
      <c r="AF94" s="64">
        <f>IF($A94="","",IF(AE94="직접",IFERROR(INDEX(계정매핑!$F$5:$F$504,MATCH($F94&amp;"",계정매핑!$A$5:$A$504,0))&amp;"","비귀속"),""))</f>
        <v/>
      </c>
      <c r="AG94" s="96">
        <f>IF($A94="",0,IF(AND(AE94&lt;&gt;"직접",IFERROR(INDEX(계정매핑!$G$5:$G$504,MATCH($F94&amp;"",계정매핑!$A$5:$A$504,0))&amp;"","")="유지비",COUNTIF(계정대체기준!$A$6:$A$15,$N94)&gt;0),IFERROR(INDEX(계정대체기준!$E$6:$E$15,MATCH(VALUE($A94&amp;""),계정대체기준!$D$6:$D$15,0)),0),0))</f>
        <v/>
      </c>
      <c r="AH94" s="64">
        <f>IF($A94="","",IF(AD94=0,"",IF(OR(COUNTIF(계정대체기준!$A$77:$A$86,$N94)&gt;0,ISNUMBER(MATCH($X94,계정대체기준!$D$77:$D$86,0)),ISNUMBER(MATCH($F94,계정대체기준!$D$77:$D$86,0))),"Y","N")))</f>
        <v/>
      </c>
    </row>
    <row r="95">
      <c r="A95" s="92" t="n">
        <v>2025</v>
      </c>
      <c r="B95" s="92" t="n">
        <v>1</v>
      </c>
      <c r="C95" s="92" t="inlineStr">
        <is>
          <t>5100000091</t>
        </is>
      </c>
      <c r="D95" s="95" t="n">
        <v>45668</v>
      </c>
      <c r="E95" s="92" t="inlineStr">
        <is>
          <t>KR</t>
        </is>
      </c>
      <c r="F95" s="92" t="n">
        <v>62501000</v>
      </c>
      <c r="G95" s="92" t="n">
        <v>1501</v>
      </c>
      <c r="H95" s="93" t="n">
        <v>345000</v>
      </c>
      <c r="I95" s="92" t="inlineStr">
        <is>
          <t>1월 회의 다과 - T케이터링</t>
        </is>
      </c>
      <c r="J95" s="92" t="inlineStr">
        <is>
          <t>V10005</t>
        </is>
      </c>
      <c r="K95" s="92" t="inlineStr">
        <is>
          <t>T케이터링</t>
        </is>
      </c>
      <c r="M95" s="9">
        <f>IF($A95="","",VALUE($A95&amp;"")*12+VALUE($B95&amp;""))</f>
        <v/>
      </c>
      <c r="N95" s="64">
        <f>IF($A95="","",IFERROR(INDEX(부서매핑!$C$5:$C$504,MATCH($G95&amp;"",부서매핑!$A$5:$A$504,0)),"미매핑"))</f>
        <v/>
      </c>
      <c r="O95" s="9">
        <f>IF($A95="","",N95&amp;"|"&amp;$F95)</f>
        <v/>
      </c>
      <c r="P95" s="94">
        <f>IF($A95="",0,$H95*설정!$C$23)</f>
        <v/>
      </c>
      <c r="Q95" s="64">
        <f>IF($A95="","",IF(O95&lt;&gt;원인분석!$C$9,"",IF(AND(M95&gt;=원인분석!$C$10,M95&lt;=원인분석!$C$11),"당기",IF(AND(M95&gt;=원인분석!$C$12,M95&lt;=원인분석!$C$13),"비교",""))))</f>
        <v/>
      </c>
      <c r="R95" s="9">
        <f>IF(Q95="","",$K95&amp;"")</f>
        <v/>
      </c>
      <c r="S95" s="9">
        <f>IF(Q95="","",IF(MATCH(R95,$R$5:$R$100000,0)=ROW()-4,ROW(),""))</f>
        <v/>
      </c>
      <c r="T95" s="9">
        <f>IF(Q95="당기",ABS(P95)+ROW()/1000000000,"")</f>
        <v/>
      </c>
      <c r="U95" s="9">
        <f>IF(Q95="비교",ABS(P95)+ROW()/1000000000,"")</f>
        <v/>
      </c>
      <c r="V95" s="64">
        <f>IF($A95="","",IF(COUNTIF(변동분석!$E$7:$E$506,O95)&gt;0,"Y","N"))</f>
        <v/>
      </c>
      <c r="W95" s="64">
        <f>IF($A95="","",IFERROR(INDEX(계정매핑!$D$5:$D$504,MATCH($F95&amp;"",계정매핑!$A$5:$A$504,0)),"미매핑"))</f>
        <v/>
      </c>
      <c r="X95" s="9">
        <f>IF($A95="","",$F95&amp;"")</f>
        <v/>
      </c>
      <c r="Y95" s="94">
        <f>IF($A95="",0,IF(AE95="직접",IF(AF95="비귀속",$P95,0),$P95*(1-AG95)*IFERROR(INDEX(계정대체기준!$F$20:$F$49,MATCH($N95,계정대체기준!$A$20:$A$49,0)),1)))</f>
        <v/>
      </c>
      <c r="Z95" s="94">
        <f>IF($A95="",0,IF(AE95="직접",IF(AF95="신계약비",$P95,0),$P95*(1-AG95)*IFERROR(INDEX(계정대체기준!$C$20:$C$49,MATCH($N95,계정대체기준!$A$20:$A$49,0)),0)))</f>
        <v/>
      </c>
      <c r="AA95" s="94">
        <f>IF($A95="",0,IF(AE95="직접",IF(OR(AF95="유지비",AF95="손해조사비"),$P95,0),$P95*(1-AG95)*IFERROR(INDEX(계정대체기준!$D$20:$D$49,MATCH($N95,계정대체기준!$A$20:$A$49,0)),0)))</f>
        <v/>
      </c>
      <c r="AB95" s="94">
        <f>IF($A95="",0,IF(AE95="직접",IF(AF95="수금비",$P95,0),$P95*(1-AG95)*IFERROR(INDEX(계정대체기준!$E$20:$E$49,MATCH($N95,계정대체기준!$A$20:$A$49,0)),0)))</f>
        <v/>
      </c>
      <c r="AC95" s="9">
        <f>IF(AND($A95&lt;&gt;"",M95=설정!$C$20,Z95&gt;0),Z95+ROW()/1000000000,"")</f>
        <v/>
      </c>
      <c r="AD95" s="94">
        <f>IF($A95="",0,$P95*AG95)</f>
        <v/>
      </c>
      <c r="AE95" s="64">
        <f>IF($A95="","",IFERROR(INDEX(계정매핑!$E$5:$E$504,MATCH($F95&amp;"",계정매핑!$A$5:$A$504,0))&amp;"","공통비"))</f>
        <v/>
      </c>
      <c r="AF95" s="64">
        <f>IF($A95="","",IF(AE95="직접",IFERROR(INDEX(계정매핑!$F$5:$F$504,MATCH($F95&amp;"",계정매핑!$A$5:$A$504,0))&amp;"","비귀속"),""))</f>
        <v/>
      </c>
      <c r="AG95" s="96">
        <f>IF($A95="",0,IF(AND(AE95&lt;&gt;"직접",IFERROR(INDEX(계정매핑!$G$5:$G$504,MATCH($F95&amp;"",계정매핑!$A$5:$A$504,0))&amp;"","")="유지비",COUNTIF(계정대체기준!$A$6:$A$15,$N95)&gt;0),IFERROR(INDEX(계정대체기준!$E$6:$E$15,MATCH(VALUE($A95&amp;""),계정대체기준!$D$6:$D$15,0)),0),0))</f>
        <v/>
      </c>
      <c r="AH95" s="64">
        <f>IF($A95="","",IF(AD95=0,"",IF(OR(COUNTIF(계정대체기준!$A$77:$A$86,$N95)&gt;0,ISNUMBER(MATCH($X95,계정대체기준!$D$77:$D$86,0)),ISNUMBER(MATCH($F95,계정대체기준!$D$77:$D$86,0))),"Y","N")))</f>
        <v/>
      </c>
    </row>
    <row r="96">
      <c r="A96" s="92" t="n">
        <v>2025</v>
      </c>
      <c r="B96" s="92" t="n">
        <v>1</v>
      </c>
      <c r="C96" s="92" t="inlineStr">
        <is>
          <t>5100000092</t>
        </is>
      </c>
      <c r="D96" s="95" t="n">
        <v>45668</v>
      </c>
      <c r="E96" s="92" t="inlineStr">
        <is>
          <t>KR</t>
        </is>
      </c>
      <c r="F96" s="92" t="n">
        <v>62902000</v>
      </c>
      <c r="G96" s="92" t="n">
        <v>1201</v>
      </c>
      <c r="H96" s="93" t="n">
        <v>2211000</v>
      </c>
      <c r="I96" s="92" t="inlineStr">
        <is>
          <t>1월 업무 위탁 수수료 - J콜센터</t>
        </is>
      </c>
      <c r="J96" s="92" t="inlineStr">
        <is>
          <t>V10016</t>
        </is>
      </c>
      <c r="K96" s="92" t="inlineStr">
        <is>
          <t>J콜센터</t>
        </is>
      </c>
      <c r="M96" s="9">
        <f>IF($A96="","",VALUE($A96&amp;"")*12+VALUE($B96&amp;""))</f>
        <v/>
      </c>
      <c r="N96" s="64">
        <f>IF($A96="","",IFERROR(INDEX(부서매핑!$C$5:$C$504,MATCH($G96&amp;"",부서매핑!$A$5:$A$504,0)),"미매핑"))</f>
        <v/>
      </c>
      <c r="O96" s="9">
        <f>IF($A96="","",N96&amp;"|"&amp;$F96)</f>
        <v/>
      </c>
      <c r="P96" s="94">
        <f>IF($A96="",0,$H96*설정!$C$23)</f>
        <v/>
      </c>
      <c r="Q96" s="64">
        <f>IF($A96="","",IF(O96&lt;&gt;원인분석!$C$9,"",IF(AND(M96&gt;=원인분석!$C$10,M96&lt;=원인분석!$C$11),"당기",IF(AND(M96&gt;=원인분석!$C$12,M96&lt;=원인분석!$C$13),"비교",""))))</f>
        <v/>
      </c>
      <c r="R96" s="9">
        <f>IF(Q96="","",$K96&amp;"")</f>
        <v/>
      </c>
      <c r="S96" s="9">
        <f>IF(Q96="","",IF(MATCH(R96,$R$5:$R$100000,0)=ROW()-4,ROW(),""))</f>
        <v/>
      </c>
      <c r="T96" s="9">
        <f>IF(Q96="당기",ABS(P96)+ROW()/1000000000,"")</f>
        <v/>
      </c>
      <c r="U96" s="9">
        <f>IF(Q96="비교",ABS(P96)+ROW()/1000000000,"")</f>
        <v/>
      </c>
      <c r="V96" s="64">
        <f>IF($A96="","",IF(COUNTIF(변동분석!$E$7:$E$506,O96)&gt;0,"Y","N"))</f>
        <v/>
      </c>
      <c r="W96" s="64">
        <f>IF($A96="","",IFERROR(INDEX(계정매핑!$D$5:$D$504,MATCH($F96&amp;"",계정매핑!$A$5:$A$504,0)),"미매핑"))</f>
        <v/>
      </c>
      <c r="X96" s="9">
        <f>IF($A96="","",$F96&amp;"")</f>
        <v/>
      </c>
      <c r="Y96" s="94">
        <f>IF($A96="",0,IF(AE96="직접",IF(AF96="비귀속",$P96,0),$P96*(1-AG96)*IFERROR(INDEX(계정대체기준!$F$20:$F$49,MATCH($N96,계정대체기준!$A$20:$A$49,0)),1)))</f>
        <v/>
      </c>
      <c r="Z96" s="94">
        <f>IF($A96="",0,IF(AE96="직접",IF(AF96="신계약비",$P96,0),$P96*(1-AG96)*IFERROR(INDEX(계정대체기준!$C$20:$C$49,MATCH($N96,계정대체기준!$A$20:$A$49,0)),0)))</f>
        <v/>
      </c>
      <c r="AA96" s="94">
        <f>IF($A96="",0,IF(AE96="직접",IF(OR(AF96="유지비",AF96="손해조사비"),$P96,0),$P96*(1-AG96)*IFERROR(INDEX(계정대체기준!$D$20:$D$49,MATCH($N96,계정대체기준!$A$20:$A$49,0)),0)))</f>
        <v/>
      </c>
      <c r="AB96" s="94">
        <f>IF($A96="",0,IF(AE96="직접",IF(AF96="수금비",$P96,0),$P96*(1-AG96)*IFERROR(INDEX(계정대체기준!$E$20:$E$49,MATCH($N96,계정대체기준!$A$20:$A$49,0)),0)))</f>
        <v/>
      </c>
      <c r="AC96" s="9">
        <f>IF(AND($A96&lt;&gt;"",M96=설정!$C$20,Z96&gt;0),Z96+ROW()/1000000000,"")</f>
        <v/>
      </c>
      <c r="AD96" s="94">
        <f>IF($A96="",0,$P96*AG96)</f>
        <v/>
      </c>
      <c r="AE96" s="64">
        <f>IF($A96="","",IFERROR(INDEX(계정매핑!$E$5:$E$504,MATCH($F96&amp;"",계정매핑!$A$5:$A$504,0))&amp;"","공통비"))</f>
        <v/>
      </c>
      <c r="AF96" s="64">
        <f>IF($A96="","",IF(AE96="직접",IFERROR(INDEX(계정매핑!$F$5:$F$504,MATCH($F96&amp;"",계정매핑!$A$5:$A$504,0))&amp;"","비귀속"),""))</f>
        <v/>
      </c>
      <c r="AG96" s="96">
        <f>IF($A96="",0,IF(AND(AE96&lt;&gt;"직접",IFERROR(INDEX(계정매핑!$G$5:$G$504,MATCH($F96&amp;"",계정매핑!$A$5:$A$504,0))&amp;"","")="유지비",COUNTIF(계정대체기준!$A$6:$A$15,$N96)&gt;0),IFERROR(INDEX(계정대체기준!$E$6:$E$15,MATCH(VALUE($A96&amp;""),계정대체기준!$D$6:$D$15,0)),0),0))</f>
        <v/>
      </c>
      <c r="AH96" s="64">
        <f>IF($A96="","",IF(AD96=0,"",IF(OR(COUNTIF(계정대체기준!$A$77:$A$86,$N96)&gt;0,ISNUMBER(MATCH($X96,계정대체기준!$D$77:$D$86,0)),ISNUMBER(MATCH($F96,계정대체기준!$D$77:$D$86,0))),"Y","N")))</f>
        <v/>
      </c>
    </row>
    <row r="97">
      <c r="A97" s="92" t="n">
        <v>2025</v>
      </c>
      <c r="B97" s="92" t="n">
        <v>1</v>
      </c>
      <c r="C97" s="92" t="inlineStr">
        <is>
          <t>5100000093</t>
        </is>
      </c>
      <c r="D97" s="95" t="n">
        <v>45668</v>
      </c>
      <c r="E97" s="92" t="inlineStr">
        <is>
          <t>KR</t>
        </is>
      </c>
      <c r="F97" s="92" t="n">
        <v>62902000</v>
      </c>
      <c r="G97" s="92" t="n">
        <v>1801</v>
      </c>
      <c r="H97" s="93" t="n">
        <v>1772000</v>
      </c>
      <c r="I97" s="92" t="inlineStr">
        <is>
          <t>1월 콜 위탁 수수료(건별)</t>
        </is>
      </c>
      <c r="J97" s="92" t="inlineStr">
        <is>
          <t>V10016</t>
        </is>
      </c>
      <c r="K97" s="92" t="inlineStr">
        <is>
          <t>J콜센터</t>
        </is>
      </c>
      <c r="M97" s="9">
        <f>IF($A97="","",VALUE($A97&amp;"")*12+VALUE($B97&amp;""))</f>
        <v/>
      </c>
      <c r="N97" s="64">
        <f>IF($A97="","",IFERROR(INDEX(부서매핑!$C$5:$C$504,MATCH($G97&amp;"",부서매핑!$A$5:$A$504,0)),"미매핑"))</f>
        <v/>
      </c>
      <c r="O97" s="9">
        <f>IF($A97="","",N97&amp;"|"&amp;$F97)</f>
        <v/>
      </c>
      <c r="P97" s="94">
        <f>IF($A97="",0,$H97*설정!$C$23)</f>
        <v/>
      </c>
      <c r="Q97" s="64">
        <f>IF($A97="","",IF(O97&lt;&gt;원인분석!$C$9,"",IF(AND(M97&gt;=원인분석!$C$10,M97&lt;=원인분석!$C$11),"당기",IF(AND(M97&gt;=원인분석!$C$12,M97&lt;=원인분석!$C$13),"비교",""))))</f>
        <v/>
      </c>
      <c r="R97" s="9">
        <f>IF(Q97="","",$K97&amp;"")</f>
        <v/>
      </c>
      <c r="S97" s="9">
        <f>IF(Q97="","",IF(MATCH(R97,$R$5:$R$100000,0)=ROW()-4,ROW(),""))</f>
        <v/>
      </c>
      <c r="T97" s="9">
        <f>IF(Q97="당기",ABS(P97)+ROW()/1000000000,"")</f>
        <v/>
      </c>
      <c r="U97" s="9">
        <f>IF(Q97="비교",ABS(P97)+ROW()/1000000000,"")</f>
        <v/>
      </c>
      <c r="V97" s="64">
        <f>IF($A97="","",IF(COUNTIF(변동분석!$E$7:$E$506,O97)&gt;0,"Y","N"))</f>
        <v/>
      </c>
      <c r="W97" s="64">
        <f>IF($A97="","",IFERROR(INDEX(계정매핑!$D$5:$D$504,MATCH($F97&amp;"",계정매핑!$A$5:$A$504,0)),"미매핑"))</f>
        <v/>
      </c>
      <c r="X97" s="9">
        <f>IF($A97="","",$F97&amp;"")</f>
        <v/>
      </c>
      <c r="Y97" s="94">
        <f>IF($A97="",0,IF(AE97="직접",IF(AF97="비귀속",$P97,0),$P97*(1-AG97)*IFERROR(INDEX(계정대체기준!$F$20:$F$49,MATCH($N97,계정대체기준!$A$20:$A$49,0)),1)))</f>
        <v/>
      </c>
      <c r="Z97" s="94">
        <f>IF($A97="",0,IF(AE97="직접",IF(AF97="신계약비",$P97,0),$P97*(1-AG97)*IFERROR(INDEX(계정대체기준!$C$20:$C$49,MATCH($N97,계정대체기준!$A$20:$A$49,0)),0)))</f>
        <v/>
      </c>
      <c r="AA97" s="94">
        <f>IF($A97="",0,IF(AE97="직접",IF(OR(AF97="유지비",AF97="손해조사비"),$P97,0),$P97*(1-AG97)*IFERROR(INDEX(계정대체기준!$D$20:$D$49,MATCH($N97,계정대체기준!$A$20:$A$49,0)),0)))</f>
        <v/>
      </c>
      <c r="AB97" s="94">
        <f>IF($A97="",0,IF(AE97="직접",IF(AF97="수금비",$P97,0),$P97*(1-AG97)*IFERROR(INDEX(계정대체기준!$E$20:$E$49,MATCH($N97,계정대체기준!$A$20:$A$49,0)),0)))</f>
        <v/>
      </c>
      <c r="AC97" s="9">
        <f>IF(AND($A97&lt;&gt;"",M97=설정!$C$20,Z97&gt;0),Z97+ROW()/1000000000,"")</f>
        <v/>
      </c>
      <c r="AD97" s="94">
        <f>IF($A97="",0,$P97*AG97)</f>
        <v/>
      </c>
      <c r="AE97" s="64">
        <f>IF($A97="","",IFERROR(INDEX(계정매핑!$E$5:$E$504,MATCH($F97&amp;"",계정매핑!$A$5:$A$504,0))&amp;"","공통비"))</f>
        <v/>
      </c>
      <c r="AF97" s="64">
        <f>IF($A97="","",IF(AE97="직접",IFERROR(INDEX(계정매핑!$F$5:$F$504,MATCH($F97&amp;"",계정매핑!$A$5:$A$504,0))&amp;"","비귀속"),""))</f>
        <v/>
      </c>
      <c r="AG97" s="96">
        <f>IF($A97="",0,IF(AND(AE97&lt;&gt;"직접",IFERROR(INDEX(계정매핑!$G$5:$G$504,MATCH($F97&amp;"",계정매핑!$A$5:$A$504,0))&amp;"","")="유지비",COUNTIF(계정대체기준!$A$6:$A$15,$N97)&gt;0),IFERROR(INDEX(계정대체기준!$E$6:$E$15,MATCH(VALUE($A97&amp;""),계정대체기준!$D$6:$D$15,0)),0),0))</f>
        <v/>
      </c>
      <c r="AH97" s="64">
        <f>IF($A97="","",IF(AD97=0,"",IF(OR(COUNTIF(계정대체기준!$A$77:$A$86,$N97)&gt;0,ISNUMBER(MATCH($X97,계정대체기준!$D$77:$D$86,0)),ISNUMBER(MATCH($F97,계정대체기준!$D$77:$D$86,0))),"Y","N")))</f>
        <v/>
      </c>
    </row>
    <row r="98">
      <c r="A98" s="92" t="n">
        <v>2025</v>
      </c>
      <c r="B98" s="92" t="n">
        <v>1</v>
      </c>
      <c r="C98" s="92" t="inlineStr">
        <is>
          <t>5100000094</t>
        </is>
      </c>
      <c r="D98" s="95" t="n">
        <v>45668</v>
      </c>
      <c r="E98" s="92" t="inlineStr">
        <is>
          <t>KR</t>
        </is>
      </c>
      <c r="F98" s="92" t="n">
        <v>62902000</v>
      </c>
      <c r="G98" s="92" t="n">
        <v>1951</v>
      </c>
      <c r="H98" s="93" t="n">
        <v>2132000</v>
      </c>
      <c r="I98" s="92" t="inlineStr">
        <is>
          <t>1월 업무 위탁 수수료 - J콜센터</t>
        </is>
      </c>
      <c r="J98" s="92" t="inlineStr">
        <is>
          <t>V10016</t>
        </is>
      </c>
      <c r="K98" s="92" t="inlineStr">
        <is>
          <t>J콜센터</t>
        </is>
      </c>
      <c r="M98" s="9">
        <f>IF($A98="","",VALUE($A98&amp;"")*12+VALUE($B98&amp;""))</f>
        <v/>
      </c>
      <c r="N98" s="64">
        <f>IF($A98="","",IFERROR(INDEX(부서매핑!$C$5:$C$504,MATCH($G98&amp;"",부서매핑!$A$5:$A$504,0)),"미매핑"))</f>
        <v/>
      </c>
      <c r="O98" s="9">
        <f>IF($A98="","",N98&amp;"|"&amp;$F98)</f>
        <v/>
      </c>
      <c r="P98" s="94">
        <f>IF($A98="",0,$H98*설정!$C$23)</f>
        <v/>
      </c>
      <c r="Q98" s="64">
        <f>IF($A98="","",IF(O98&lt;&gt;원인분석!$C$9,"",IF(AND(M98&gt;=원인분석!$C$10,M98&lt;=원인분석!$C$11),"당기",IF(AND(M98&gt;=원인분석!$C$12,M98&lt;=원인분석!$C$13),"비교",""))))</f>
        <v/>
      </c>
      <c r="R98" s="9">
        <f>IF(Q98="","",$K98&amp;"")</f>
        <v/>
      </c>
      <c r="S98" s="9">
        <f>IF(Q98="","",IF(MATCH(R98,$R$5:$R$100000,0)=ROW()-4,ROW(),""))</f>
        <v/>
      </c>
      <c r="T98" s="9">
        <f>IF(Q98="당기",ABS(P98)+ROW()/1000000000,"")</f>
        <v/>
      </c>
      <c r="U98" s="9">
        <f>IF(Q98="비교",ABS(P98)+ROW()/1000000000,"")</f>
        <v/>
      </c>
      <c r="V98" s="64">
        <f>IF($A98="","",IF(COUNTIF(변동분석!$E$7:$E$506,O98)&gt;0,"Y","N"))</f>
        <v/>
      </c>
      <c r="W98" s="64">
        <f>IF($A98="","",IFERROR(INDEX(계정매핑!$D$5:$D$504,MATCH($F98&amp;"",계정매핑!$A$5:$A$504,0)),"미매핑"))</f>
        <v/>
      </c>
      <c r="X98" s="9">
        <f>IF($A98="","",$F98&amp;"")</f>
        <v/>
      </c>
      <c r="Y98" s="94">
        <f>IF($A98="",0,IF(AE98="직접",IF(AF98="비귀속",$P98,0),$P98*(1-AG98)*IFERROR(INDEX(계정대체기준!$F$20:$F$49,MATCH($N98,계정대체기준!$A$20:$A$49,0)),1)))</f>
        <v/>
      </c>
      <c r="Z98" s="94">
        <f>IF($A98="",0,IF(AE98="직접",IF(AF98="신계약비",$P98,0),$P98*(1-AG98)*IFERROR(INDEX(계정대체기준!$C$20:$C$49,MATCH($N98,계정대체기준!$A$20:$A$49,0)),0)))</f>
        <v/>
      </c>
      <c r="AA98" s="94">
        <f>IF($A98="",0,IF(AE98="직접",IF(OR(AF98="유지비",AF98="손해조사비"),$P98,0),$P98*(1-AG98)*IFERROR(INDEX(계정대체기준!$D$20:$D$49,MATCH($N98,계정대체기준!$A$20:$A$49,0)),0)))</f>
        <v/>
      </c>
      <c r="AB98" s="94">
        <f>IF($A98="",0,IF(AE98="직접",IF(AF98="수금비",$P98,0),$P98*(1-AG98)*IFERROR(INDEX(계정대체기준!$E$20:$E$49,MATCH($N98,계정대체기준!$A$20:$A$49,0)),0)))</f>
        <v/>
      </c>
      <c r="AC98" s="9">
        <f>IF(AND($A98&lt;&gt;"",M98=설정!$C$20,Z98&gt;0),Z98+ROW()/1000000000,"")</f>
        <v/>
      </c>
      <c r="AD98" s="94">
        <f>IF($A98="",0,$P98*AG98)</f>
        <v/>
      </c>
      <c r="AE98" s="64">
        <f>IF($A98="","",IFERROR(INDEX(계정매핑!$E$5:$E$504,MATCH($F98&amp;"",계정매핑!$A$5:$A$504,0))&amp;"","공통비"))</f>
        <v/>
      </c>
      <c r="AF98" s="64">
        <f>IF($A98="","",IF(AE98="직접",IFERROR(INDEX(계정매핑!$F$5:$F$504,MATCH($F98&amp;"",계정매핑!$A$5:$A$504,0))&amp;"","비귀속"),""))</f>
        <v/>
      </c>
      <c r="AG98" s="96">
        <f>IF($A98="",0,IF(AND(AE98&lt;&gt;"직접",IFERROR(INDEX(계정매핑!$G$5:$G$504,MATCH($F98&amp;"",계정매핑!$A$5:$A$504,0))&amp;"","")="유지비",COUNTIF(계정대체기준!$A$6:$A$15,$N98)&gt;0),IFERROR(INDEX(계정대체기준!$E$6:$E$15,MATCH(VALUE($A98&amp;""),계정대체기준!$D$6:$D$15,0)),0),0))</f>
        <v/>
      </c>
      <c r="AH98" s="64">
        <f>IF($A98="","",IF(AD98=0,"",IF(OR(COUNTIF(계정대체기준!$A$77:$A$86,$N98)&gt;0,ISNUMBER(MATCH($X98,계정대체기준!$D$77:$D$86,0)),ISNUMBER(MATCH($F98,계정대체기준!$D$77:$D$86,0))),"Y","N")))</f>
        <v/>
      </c>
    </row>
    <row r="99">
      <c r="A99" s="92" t="n">
        <v>2025</v>
      </c>
      <c r="B99" s="92" t="n">
        <v>1</v>
      </c>
      <c r="C99" s="92" t="inlineStr">
        <is>
          <t>5100000095</t>
        </is>
      </c>
      <c r="D99" s="95" t="n">
        <v>45668</v>
      </c>
      <c r="E99" s="92" t="inlineStr">
        <is>
          <t>KR</t>
        </is>
      </c>
      <c r="F99" s="92" t="n">
        <v>63001000</v>
      </c>
      <c r="G99" s="92" t="n">
        <v>1701</v>
      </c>
      <c r="H99" s="93" t="n">
        <v>27168000</v>
      </c>
      <c r="I99" s="92" t="inlineStr">
        <is>
          <t>1월 SW 유지보수 - Y소프트</t>
        </is>
      </c>
      <c r="J99" s="92" t="inlineStr">
        <is>
          <t>V10017</t>
        </is>
      </c>
      <c r="K99" s="92" t="inlineStr">
        <is>
          <t>Y소프트</t>
        </is>
      </c>
      <c r="M99" s="9">
        <f>IF($A99="","",VALUE($A99&amp;"")*12+VALUE($B99&amp;""))</f>
        <v/>
      </c>
      <c r="N99" s="64">
        <f>IF($A99="","",IFERROR(INDEX(부서매핑!$C$5:$C$504,MATCH($G99&amp;"",부서매핑!$A$5:$A$504,0)),"미매핑"))</f>
        <v/>
      </c>
      <c r="O99" s="9">
        <f>IF($A99="","",N99&amp;"|"&amp;$F99)</f>
        <v/>
      </c>
      <c r="P99" s="94">
        <f>IF($A99="",0,$H99*설정!$C$23)</f>
        <v/>
      </c>
      <c r="Q99" s="64">
        <f>IF($A99="","",IF(O99&lt;&gt;원인분석!$C$9,"",IF(AND(M99&gt;=원인분석!$C$10,M99&lt;=원인분석!$C$11),"당기",IF(AND(M99&gt;=원인분석!$C$12,M99&lt;=원인분석!$C$13),"비교",""))))</f>
        <v/>
      </c>
      <c r="R99" s="9">
        <f>IF(Q99="","",$K99&amp;"")</f>
        <v/>
      </c>
      <c r="S99" s="9">
        <f>IF(Q99="","",IF(MATCH(R99,$R$5:$R$100000,0)=ROW()-4,ROW(),""))</f>
        <v/>
      </c>
      <c r="T99" s="9">
        <f>IF(Q99="당기",ABS(P99)+ROW()/1000000000,"")</f>
        <v/>
      </c>
      <c r="U99" s="9">
        <f>IF(Q99="비교",ABS(P99)+ROW()/1000000000,"")</f>
        <v/>
      </c>
      <c r="V99" s="64">
        <f>IF($A99="","",IF(COUNTIF(변동분석!$E$7:$E$506,O99)&gt;0,"Y","N"))</f>
        <v/>
      </c>
      <c r="W99" s="64">
        <f>IF($A99="","",IFERROR(INDEX(계정매핑!$D$5:$D$504,MATCH($F99&amp;"",계정매핑!$A$5:$A$504,0)),"미매핑"))</f>
        <v/>
      </c>
      <c r="X99" s="9">
        <f>IF($A99="","",$F99&amp;"")</f>
        <v/>
      </c>
      <c r="Y99" s="94">
        <f>IF($A99="",0,IF(AE99="직접",IF(AF99="비귀속",$P99,0),$P99*(1-AG99)*IFERROR(INDEX(계정대체기준!$F$20:$F$49,MATCH($N99,계정대체기준!$A$20:$A$49,0)),1)))</f>
        <v/>
      </c>
      <c r="Z99" s="94">
        <f>IF($A99="",0,IF(AE99="직접",IF(AF99="신계약비",$P99,0),$P99*(1-AG99)*IFERROR(INDEX(계정대체기준!$C$20:$C$49,MATCH($N99,계정대체기준!$A$20:$A$49,0)),0)))</f>
        <v/>
      </c>
      <c r="AA99" s="94">
        <f>IF($A99="",0,IF(AE99="직접",IF(OR(AF99="유지비",AF99="손해조사비"),$P99,0),$P99*(1-AG99)*IFERROR(INDEX(계정대체기준!$D$20:$D$49,MATCH($N99,계정대체기준!$A$20:$A$49,0)),0)))</f>
        <v/>
      </c>
      <c r="AB99" s="94">
        <f>IF($A99="",0,IF(AE99="직접",IF(AF99="수금비",$P99,0),$P99*(1-AG99)*IFERROR(INDEX(계정대체기준!$E$20:$E$49,MATCH($N99,계정대체기준!$A$20:$A$49,0)),0)))</f>
        <v/>
      </c>
      <c r="AC99" s="9">
        <f>IF(AND($A99&lt;&gt;"",M99=설정!$C$20,Z99&gt;0),Z99+ROW()/1000000000,"")</f>
        <v/>
      </c>
      <c r="AD99" s="94">
        <f>IF($A99="",0,$P99*AG99)</f>
        <v/>
      </c>
      <c r="AE99" s="64">
        <f>IF($A99="","",IFERROR(INDEX(계정매핑!$E$5:$E$504,MATCH($F99&amp;"",계정매핑!$A$5:$A$504,0))&amp;"","공통비"))</f>
        <v/>
      </c>
      <c r="AF99" s="64">
        <f>IF($A99="","",IF(AE99="직접",IFERROR(INDEX(계정매핑!$F$5:$F$504,MATCH($F99&amp;"",계정매핑!$A$5:$A$504,0))&amp;"","비귀속"),""))</f>
        <v/>
      </c>
      <c r="AG99" s="96">
        <f>IF($A99="",0,IF(AND(AE99&lt;&gt;"직접",IFERROR(INDEX(계정매핑!$G$5:$G$504,MATCH($F99&amp;"",계정매핑!$A$5:$A$504,0))&amp;"","")="유지비",COUNTIF(계정대체기준!$A$6:$A$15,$N99)&gt;0),IFERROR(INDEX(계정대체기준!$E$6:$E$15,MATCH(VALUE($A99&amp;""),계정대체기준!$D$6:$D$15,0)),0),0))</f>
        <v/>
      </c>
      <c r="AH99" s="64">
        <f>IF($A99="","",IF(AD99=0,"",IF(OR(COUNTIF(계정대체기준!$A$77:$A$86,$N99)&gt;0,ISNUMBER(MATCH($X99,계정대체기준!$D$77:$D$86,0)),ISNUMBER(MATCH($F99,계정대체기준!$D$77:$D$86,0))),"Y","N")))</f>
        <v/>
      </c>
    </row>
    <row r="100">
      <c r="A100" s="92" t="n">
        <v>2025</v>
      </c>
      <c r="B100" s="92" t="n">
        <v>1</v>
      </c>
      <c r="C100" s="92" t="inlineStr">
        <is>
          <t>5100000096</t>
        </is>
      </c>
      <c r="D100" s="95" t="n">
        <v>45669</v>
      </c>
      <c r="E100" s="92" t="inlineStr">
        <is>
          <t>KR</t>
        </is>
      </c>
      <c r="F100" s="92" t="n">
        <v>62102000</v>
      </c>
      <c r="G100" s="92" t="n">
        <v>1401</v>
      </c>
      <c r="H100" s="93" t="n">
        <v>95000</v>
      </c>
      <c r="I100" s="92" t="inlineStr">
        <is>
          <t>1월 해외출장 - N호텔</t>
        </is>
      </c>
      <c r="J100" s="92" t="inlineStr">
        <is>
          <t>V10009</t>
        </is>
      </c>
      <c r="K100" s="92" t="inlineStr">
        <is>
          <t>N호텔</t>
        </is>
      </c>
      <c r="M100" s="9">
        <f>IF($A100="","",VALUE($A100&amp;"")*12+VALUE($B100&amp;""))</f>
        <v/>
      </c>
      <c r="N100" s="64">
        <f>IF($A100="","",IFERROR(INDEX(부서매핑!$C$5:$C$504,MATCH($G100&amp;"",부서매핑!$A$5:$A$504,0)),"미매핑"))</f>
        <v/>
      </c>
      <c r="O100" s="9">
        <f>IF($A100="","",N100&amp;"|"&amp;$F100)</f>
        <v/>
      </c>
      <c r="P100" s="94">
        <f>IF($A100="",0,$H100*설정!$C$23)</f>
        <v/>
      </c>
      <c r="Q100" s="64">
        <f>IF($A100="","",IF(O100&lt;&gt;원인분석!$C$9,"",IF(AND(M100&gt;=원인분석!$C$10,M100&lt;=원인분석!$C$11),"당기",IF(AND(M100&gt;=원인분석!$C$12,M100&lt;=원인분석!$C$13),"비교",""))))</f>
        <v/>
      </c>
      <c r="R100" s="9">
        <f>IF(Q100="","",$K100&amp;"")</f>
        <v/>
      </c>
      <c r="S100" s="9">
        <f>IF(Q100="","",IF(MATCH(R100,$R$5:$R$100000,0)=ROW()-4,ROW(),""))</f>
        <v/>
      </c>
      <c r="T100" s="9">
        <f>IF(Q100="당기",ABS(P100)+ROW()/1000000000,"")</f>
        <v/>
      </c>
      <c r="U100" s="9">
        <f>IF(Q100="비교",ABS(P100)+ROW()/1000000000,"")</f>
        <v/>
      </c>
      <c r="V100" s="64">
        <f>IF($A100="","",IF(COUNTIF(변동분석!$E$7:$E$506,O100)&gt;0,"Y","N"))</f>
        <v/>
      </c>
      <c r="W100" s="64">
        <f>IF($A100="","",IFERROR(INDEX(계정매핑!$D$5:$D$504,MATCH($F100&amp;"",계정매핑!$A$5:$A$504,0)),"미매핑"))</f>
        <v/>
      </c>
      <c r="X100" s="9">
        <f>IF($A100="","",$F100&amp;"")</f>
        <v/>
      </c>
      <c r="Y100" s="94">
        <f>IF($A100="",0,IF(AE100="직접",IF(AF100="비귀속",$P100,0),$P100*(1-AG100)*IFERROR(INDEX(계정대체기준!$F$20:$F$49,MATCH($N100,계정대체기준!$A$20:$A$49,0)),1)))</f>
        <v/>
      </c>
      <c r="Z100" s="94">
        <f>IF($A100="",0,IF(AE100="직접",IF(AF100="신계약비",$P100,0),$P100*(1-AG100)*IFERROR(INDEX(계정대체기준!$C$20:$C$49,MATCH($N100,계정대체기준!$A$20:$A$49,0)),0)))</f>
        <v/>
      </c>
      <c r="AA100" s="94">
        <f>IF($A100="",0,IF(AE100="직접",IF(OR(AF100="유지비",AF100="손해조사비"),$P100,0),$P100*(1-AG100)*IFERROR(INDEX(계정대체기준!$D$20:$D$49,MATCH($N100,계정대체기준!$A$20:$A$49,0)),0)))</f>
        <v/>
      </c>
      <c r="AB100" s="94">
        <f>IF($A100="",0,IF(AE100="직접",IF(AF100="수금비",$P100,0),$P100*(1-AG100)*IFERROR(INDEX(계정대체기준!$E$20:$E$49,MATCH($N100,계정대체기준!$A$20:$A$49,0)),0)))</f>
        <v/>
      </c>
      <c r="AC100" s="9">
        <f>IF(AND($A100&lt;&gt;"",M100=설정!$C$20,Z100&gt;0),Z100+ROW()/1000000000,"")</f>
        <v/>
      </c>
      <c r="AD100" s="94">
        <f>IF($A100="",0,$P100*AG100)</f>
        <v/>
      </c>
      <c r="AE100" s="64">
        <f>IF($A100="","",IFERROR(INDEX(계정매핑!$E$5:$E$504,MATCH($F100&amp;"",계정매핑!$A$5:$A$504,0))&amp;"","공통비"))</f>
        <v/>
      </c>
      <c r="AF100" s="64">
        <f>IF($A100="","",IF(AE100="직접",IFERROR(INDEX(계정매핑!$F$5:$F$504,MATCH($F100&amp;"",계정매핑!$A$5:$A$504,0))&amp;"","비귀속"),""))</f>
        <v/>
      </c>
      <c r="AG100" s="96">
        <f>IF($A100="",0,IF(AND(AE100&lt;&gt;"직접",IFERROR(INDEX(계정매핑!$G$5:$G$504,MATCH($F100&amp;"",계정매핑!$A$5:$A$504,0))&amp;"","")="유지비",COUNTIF(계정대체기준!$A$6:$A$15,$N100)&gt;0),IFERROR(INDEX(계정대체기준!$E$6:$E$15,MATCH(VALUE($A100&amp;""),계정대체기준!$D$6:$D$15,0)),0),0))</f>
        <v/>
      </c>
      <c r="AH100" s="64">
        <f>IF($A100="","",IF(AD100=0,"",IF(OR(COUNTIF(계정대체기준!$A$77:$A$86,$N100)&gt;0,ISNUMBER(MATCH($X100,계정대체기준!$D$77:$D$86,0)),ISNUMBER(MATCH($F100,계정대체기준!$D$77:$D$86,0))),"Y","N")))</f>
        <v/>
      </c>
    </row>
    <row r="101">
      <c r="A101" s="92" t="n">
        <v>2025</v>
      </c>
      <c r="B101" s="92" t="n">
        <v>1</v>
      </c>
      <c r="C101" s="92" t="inlineStr">
        <is>
          <t>5100000097</t>
        </is>
      </c>
      <c r="D101" s="95" t="n">
        <v>45669</v>
      </c>
      <c r="E101" s="92" t="inlineStr">
        <is>
          <t>KR</t>
        </is>
      </c>
      <c r="F101" s="92" t="n">
        <v>62102000</v>
      </c>
      <c r="G101" s="92" t="n">
        <v>1501</v>
      </c>
      <c r="H101" s="93" t="n">
        <v>137000</v>
      </c>
      <c r="I101" s="92" t="inlineStr">
        <is>
          <t>1월 해외출장 - M항공</t>
        </is>
      </c>
      <c r="J101" s="92" t="inlineStr">
        <is>
          <t>V10001</t>
        </is>
      </c>
      <c r="K101" s="92" t="inlineStr">
        <is>
          <t>M항공</t>
        </is>
      </c>
      <c r="M101" s="9">
        <f>IF($A101="","",VALUE($A101&amp;"")*12+VALUE($B101&amp;""))</f>
        <v/>
      </c>
      <c r="N101" s="64">
        <f>IF($A101="","",IFERROR(INDEX(부서매핑!$C$5:$C$504,MATCH($G101&amp;"",부서매핑!$A$5:$A$504,0)),"미매핑"))</f>
        <v/>
      </c>
      <c r="O101" s="9">
        <f>IF($A101="","",N101&amp;"|"&amp;$F101)</f>
        <v/>
      </c>
      <c r="P101" s="94">
        <f>IF($A101="",0,$H101*설정!$C$23)</f>
        <v/>
      </c>
      <c r="Q101" s="64">
        <f>IF($A101="","",IF(O101&lt;&gt;원인분석!$C$9,"",IF(AND(M101&gt;=원인분석!$C$10,M101&lt;=원인분석!$C$11),"당기",IF(AND(M101&gt;=원인분석!$C$12,M101&lt;=원인분석!$C$13),"비교",""))))</f>
        <v/>
      </c>
      <c r="R101" s="9">
        <f>IF(Q101="","",$K101&amp;"")</f>
        <v/>
      </c>
      <c r="S101" s="9">
        <f>IF(Q101="","",IF(MATCH(R101,$R$5:$R$100000,0)=ROW()-4,ROW(),""))</f>
        <v/>
      </c>
      <c r="T101" s="9">
        <f>IF(Q101="당기",ABS(P101)+ROW()/1000000000,"")</f>
        <v/>
      </c>
      <c r="U101" s="9">
        <f>IF(Q101="비교",ABS(P101)+ROW()/1000000000,"")</f>
        <v/>
      </c>
      <c r="V101" s="64">
        <f>IF($A101="","",IF(COUNTIF(변동분석!$E$7:$E$506,O101)&gt;0,"Y","N"))</f>
        <v/>
      </c>
      <c r="W101" s="64">
        <f>IF($A101="","",IFERROR(INDEX(계정매핑!$D$5:$D$504,MATCH($F101&amp;"",계정매핑!$A$5:$A$504,0)),"미매핑"))</f>
        <v/>
      </c>
      <c r="X101" s="9">
        <f>IF($A101="","",$F101&amp;"")</f>
        <v/>
      </c>
      <c r="Y101" s="94">
        <f>IF($A101="",0,IF(AE101="직접",IF(AF101="비귀속",$P101,0),$P101*(1-AG101)*IFERROR(INDEX(계정대체기준!$F$20:$F$49,MATCH($N101,계정대체기준!$A$20:$A$49,0)),1)))</f>
        <v/>
      </c>
      <c r="Z101" s="94">
        <f>IF($A101="",0,IF(AE101="직접",IF(AF101="신계약비",$P101,0),$P101*(1-AG101)*IFERROR(INDEX(계정대체기준!$C$20:$C$49,MATCH($N101,계정대체기준!$A$20:$A$49,0)),0)))</f>
        <v/>
      </c>
      <c r="AA101" s="94">
        <f>IF($A101="",0,IF(AE101="직접",IF(OR(AF101="유지비",AF101="손해조사비"),$P101,0),$P101*(1-AG101)*IFERROR(INDEX(계정대체기준!$D$20:$D$49,MATCH($N101,계정대체기준!$A$20:$A$49,0)),0)))</f>
        <v/>
      </c>
      <c r="AB101" s="94">
        <f>IF($A101="",0,IF(AE101="직접",IF(AF101="수금비",$P101,0),$P101*(1-AG101)*IFERROR(INDEX(계정대체기준!$E$20:$E$49,MATCH($N101,계정대체기준!$A$20:$A$49,0)),0)))</f>
        <v/>
      </c>
      <c r="AC101" s="9">
        <f>IF(AND($A101&lt;&gt;"",M101=설정!$C$20,Z101&gt;0),Z101+ROW()/1000000000,"")</f>
        <v/>
      </c>
      <c r="AD101" s="94">
        <f>IF($A101="",0,$P101*AG101)</f>
        <v/>
      </c>
      <c r="AE101" s="64">
        <f>IF($A101="","",IFERROR(INDEX(계정매핑!$E$5:$E$504,MATCH($F101&amp;"",계정매핑!$A$5:$A$504,0))&amp;"","공통비"))</f>
        <v/>
      </c>
      <c r="AF101" s="64">
        <f>IF($A101="","",IF(AE101="직접",IFERROR(INDEX(계정매핑!$F$5:$F$504,MATCH($F101&amp;"",계정매핑!$A$5:$A$504,0))&amp;"","비귀속"),""))</f>
        <v/>
      </c>
      <c r="AG101" s="96">
        <f>IF($A101="",0,IF(AND(AE101&lt;&gt;"직접",IFERROR(INDEX(계정매핑!$G$5:$G$504,MATCH($F101&amp;"",계정매핑!$A$5:$A$504,0))&amp;"","")="유지비",COUNTIF(계정대체기준!$A$6:$A$15,$N101)&gt;0),IFERROR(INDEX(계정대체기준!$E$6:$E$15,MATCH(VALUE($A101&amp;""),계정대체기준!$D$6:$D$15,0)),0),0))</f>
        <v/>
      </c>
      <c r="AH101" s="64">
        <f>IF($A101="","",IF(AD101=0,"",IF(OR(COUNTIF(계정대체기준!$A$77:$A$86,$N101)&gt;0,ISNUMBER(MATCH($X101,계정대체기준!$D$77:$D$86,0)),ISNUMBER(MATCH($F101,계정대체기준!$D$77:$D$86,0))),"Y","N")))</f>
        <v/>
      </c>
    </row>
    <row r="102">
      <c r="A102" s="92" t="n">
        <v>2025</v>
      </c>
      <c r="B102" s="92" t="n">
        <v>1</v>
      </c>
      <c r="C102" s="92" t="inlineStr">
        <is>
          <t>5100000098</t>
        </is>
      </c>
      <c r="D102" s="95" t="n">
        <v>45669</v>
      </c>
      <c r="E102" s="92" t="inlineStr">
        <is>
          <t>KR</t>
        </is>
      </c>
      <c r="F102" s="92" t="n">
        <v>62102000</v>
      </c>
      <c r="G102" s="92" t="n">
        <v>1951</v>
      </c>
      <c r="H102" s="93" t="n">
        <v>79000</v>
      </c>
      <c r="I102" s="92" t="inlineStr">
        <is>
          <t>1월 해외출장 - N호텔</t>
        </is>
      </c>
      <c r="J102" s="92" t="inlineStr">
        <is>
          <t>V10009</t>
        </is>
      </c>
      <c r="K102" s="92" t="inlineStr">
        <is>
          <t>N호텔</t>
        </is>
      </c>
      <c r="M102" s="9">
        <f>IF($A102="","",VALUE($A102&amp;"")*12+VALUE($B102&amp;""))</f>
        <v/>
      </c>
      <c r="N102" s="64">
        <f>IF($A102="","",IFERROR(INDEX(부서매핑!$C$5:$C$504,MATCH($G102&amp;"",부서매핑!$A$5:$A$504,0)),"미매핑"))</f>
        <v/>
      </c>
      <c r="O102" s="9">
        <f>IF($A102="","",N102&amp;"|"&amp;$F102)</f>
        <v/>
      </c>
      <c r="P102" s="94">
        <f>IF($A102="",0,$H102*설정!$C$23)</f>
        <v/>
      </c>
      <c r="Q102" s="64">
        <f>IF($A102="","",IF(O102&lt;&gt;원인분석!$C$9,"",IF(AND(M102&gt;=원인분석!$C$10,M102&lt;=원인분석!$C$11),"당기",IF(AND(M102&gt;=원인분석!$C$12,M102&lt;=원인분석!$C$13),"비교",""))))</f>
        <v/>
      </c>
      <c r="R102" s="9">
        <f>IF(Q102="","",$K102&amp;"")</f>
        <v/>
      </c>
      <c r="S102" s="9">
        <f>IF(Q102="","",IF(MATCH(R102,$R$5:$R$100000,0)=ROW()-4,ROW(),""))</f>
        <v/>
      </c>
      <c r="T102" s="9">
        <f>IF(Q102="당기",ABS(P102)+ROW()/1000000000,"")</f>
        <v/>
      </c>
      <c r="U102" s="9">
        <f>IF(Q102="비교",ABS(P102)+ROW()/1000000000,"")</f>
        <v/>
      </c>
      <c r="V102" s="64">
        <f>IF($A102="","",IF(COUNTIF(변동분석!$E$7:$E$506,O102)&gt;0,"Y","N"))</f>
        <v/>
      </c>
      <c r="W102" s="64">
        <f>IF($A102="","",IFERROR(INDEX(계정매핑!$D$5:$D$504,MATCH($F102&amp;"",계정매핑!$A$5:$A$504,0)),"미매핑"))</f>
        <v/>
      </c>
      <c r="X102" s="9">
        <f>IF($A102="","",$F102&amp;"")</f>
        <v/>
      </c>
      <c r="Y102" s="94">
        <f>IF($A102="",0,IF(AE102="직접",IF(AF102="비귀속",$P102,0),$P102*(1-AG102)*IFERROR(INDEX(계정대체기준!$F$20:$F$49,MATCH($N102,계정대체기준!$A$20:$A$49,0)),1)))</f>
        <v/>
      </c>
      <c r="Z102" s="94">
        <f>IF($A102="",0,IF(AE102="직접",IF(AF102="신계약비",$P102,0),$P102*(1-AG102)*IFERROR(INDEX(계정대체기준!$C$20:$C$49,MATCH($N102,계정대체기준!$A$20:$A$49,0)),0)))</f>
        <v/>
      </c>
      <c r="AA102" s="94">
        <f>IF($A102="",0,IF(AE102="직접",IF(OR(AF102="유지비",AF102="손해조사비"),$P102,0),$P102*(1-AG102)*IFERROR(INDEX(계정대체기준!$D$20:$D$49,MATCH($N102,계정대체기준!$A$20:$A$49,0)),0)))</f>
        <v/>
      </c>
      <c r="AB102" s="94">
        <f>IF($A102="",0,IF(AE102="직접",IF(AF102="수금비",$P102,0),$P102*(1-AG102)*IFERROR(INDEX(계정대체기준!$E$20:$E$49,MATCH($N102,계정대체기준!$A$20:$A$49,0)),0)))</f>
        <v/>
      </c>
      <c r="AC102" s="9">
        <f>IF(AND($A102&lt;&gt;"",M102=설정!$C$20,Z102&gt;0),Z102+ROW()/1000000000,"")</f>
        <v/>
      </c>
      <c r="AD102" s="94">
        <f>IF($A102="",0,$P102*AG102)</f>
        <v/>
      </c>
      <c r="AE102" s="64">
        <f>IF($A102="","",IFERROR(INDEX(계정매핑!$E$5:$E$504,MATCH($F102&amp;"",계정매핑!$A$5:$A$504,0))&amp;"","공통비"))</f>
        <v/>
      </c>
      <c r="AF102" s="64">
        <f>IF($A102="","",IF(AE102="직접",IFERROR(INDEX(계정매핑!$F$5:$F$504,MATCH($F102&amp;"",계정매핑!$A$5:$A$504,0))&amp;"","비귀속"),""))</f>
        <v/>
      </c>
      <c r="AG102" s="96">
        <f>IF($A102="",0,IF(AND(AE102&lt;&gt;"직접",IFERROR(INDEX(계정매핑!$G$5:$G$504,MATCH($F102&amp;"",계정매핑!$A$5:$A$504,0))&amp;"","")="유지비",COUNTIF(계정대체기준!$A$6:$A$15,$N102)&gt;0),IFERROR(INDEX(계정대체기준!$E$6:$E$15,MATCH(VALUE($A102&amp;""),계정대체기준!$D$6:$D$15,0)),0),0))</f>
        <v/>
      </c>
      <c r="AH102" s="64">
        <f>IF($A102="","",IF(AD102=0,"",IF(OR(COUNTIF(계정대체기준!$A$77:$A$86,$N102)&gt;0,ISNUMBER(MATCH($X102,계정대체기준!$D$77:$D$86,0)),ISNUMBER(MATCH($F102,계정대체기준!$D$77:$D$86,0))),"Y","N")))</f>
        <v/>
      </c>
    </row>
    <row r="103">
      <c r="A103" s="92" t="n">
        <v>2025</v>
      </c>
      <c r="B103" s="92" t="n">
        <v>1</v>
      </c>
      <c r="C103" s="92" t="inlineStr">
        <is>
          <t>5100000099</t>
        </is>
      </c>
      <c r="D103" s="95" t="n">
        <v>45669</v>
      </c>
      <c r="E103" s="92" t="inlineStr">
        <is>
          <t>KR</t>
        </is>
      </c>
      <c r="F103" s="92" t="n">
        <v>62201000</v>
      </c>
      <c r="G103" s="92" t="n">
        <v>1301</v>
      </c>
      <c r="H103" s="93" t="n">
        <v>107000</v>
      </c>
      <c r="I103" s="92" t="inlineStr">
        <is>
          <t>1월 통신요금 - O텔레콤</t>
        </is>
      </c>
      <c r="J103" s="92" t="inlineStr">
        <is>
          <t>V10002</t>
        </is>
      </c>
      <c r="K103" s="92" t="inlineStr">
        <is>
          <t>O텔레콤</t>
        </is>
      </c>
      <c r="M103" s="9">
        <f>IF($A103="","",VALUE($A103&amp;"")*12+VALUE($B103&amp;""))</f>
        <v/>
      </c>
      <c r="N103" s="64">
        <f>IF($A103="","",IFERROR(INDEX(부서매핑!$C$5:$C$504,MATCH($G103&amp;"",부서매핑!$A$5:$A$504,0)),"미매핑"))</f>
        <v/>
      </c>
      <c r="O103" s="9">
        <f>IF($A103="","",N103&amp;"|"&amp;$F103)</f>
        <v/>
      </c>
      <c r="P103" s="94">
        <f>IF($A103="",0,$H103*설정!$C$23)</f>
        <v/>
      </c>
      <c r="Q103" s="64">
        <f>IF($A103="","",IF(O103&lt;&gt;원인분석!$C$9,"",IF(AND(M103&gt;=원인분석!$C$10,M103&lt;=원인분석!$C$11),"당기",IF(AND(M103&gt;=원인분석!$C$12,M103&lt;=원인분석!$C$13),"비교",""))))</f>
        <v/>
      </c>
      <c r="R103" s="9">
        <f>IF(Q103="","",$K103&amp;"")</f>
        <v/>
      </c>
      <c r="S103" s="9">
        <f>IF(Q103="","",IF(MATCH(R103,$R$5:$R$100000,0)=ROW()-4,ROW(),""))</f>
        <v/>
      </c>
      <c r="T103" s="9">
        <f>IF(Q103="당기",ABS(P103)+ROW()/1000000000,"")</f>
        <v/>
      </c>
      <c r="U103" s="9">
        <f>IF(Q103="비교",ABS(P103)+ROW()/1000000000,"")</f>
        <v/>
      </c>
      <c r="V103" s="64">
        <f>IF($A103="","",IF(COUNTIF(변동분석!$E$7:$E$506,O103)&gt;0,"Y","N"))</f>
        <v/>
      </c>
      <c r="W103" s="64">
        <f>IF($A103="","",IFERROR(INDEX(계정매핑!$D$5:$D$504,MATCH($F103&amp;"",계정매핑!$A$5:$A$504,0)),"미매핑"))</f>
        <v/>
      </c>
      <c r="X103" s="9">
        <f>IF($A103="","",$F103&amp;"")</f>
        <v/>
      </c>
      <c r="Y103" s="94">
        <f>IF($A103="",0,IF(AE103="직접",IF(AF103="비귀속",$P103,0),$P103*(1-AG103)*IFERROR(INDEX(계정대체기준!$F$20:$F$49,MATCH($N103,계정대체기준!$A$20:$A$49,0)),1)))</f>
        <v/>
      </c>
      <c r="Z103" s="94">
        <f>IF($A103="",0,IF(AE103="직접",IF(AF103="신계약비",$P103,0),$P103*(1-AG103)*IFERROR(INDEX(계정대체기준!$C$20:$C$49,MATCH($N103,계정대체기준!$A$20:$A$49,0)),0)))</f>
        <v/>
      </c>
      <c r="AA103" s="94">
        <f>IF($A103="",0,IF(AE103="직접",IF(OR(AF103="유지비",AF103="손해조사비"),$P103,0),$P103*(1-AG103)*IFERROR(INDEX(계정대체기준!$D$20:$D$49,MATCH($N103,계정대체기준!$A$20:$A$49,0)),0)))</f>
        <v/>
      </c>
      <c r="AB103" s="94">
        <f>IF($A103="",0,IF(AE103="직접",IF(AF103="수금비",$P103,0),$P103*(1-AG103)*IFERROR(INDEX(계정대체기준!$E$20:$E$49,MATCH($N103,계정대체기준!$A$20:$A$49,0)),0)))</f>
        <v/>
      </c>
      <c r="AC103" s="9">
        <f>IF(AND($A103&lt;&gt;"",M103=설정!$C$20,Z103&gt;0),Z103+ROW()/1000000000,"")</f>
        <v/>
      </c>
      <c r="AD103" s="94">
        <f>IF($A103="",0,$P103*AG103)</f>
        <v/>
      </c>
      <c r="AE103" s="64">
        <f>IF($A103="","",IFERROR(INDEX(계정매핑!$E$5:$E$504,MATCH($F103&amp;"",계정매핑!$A$5:$A$504,0))&amp;"","공통비"))</f>
        <v/>
      </c>
      <c r="AF103" s="64">
        <f>IF($A103="","",IF(AE103="직접",IFERROR(INDEX(계정매핑!$F$5:$F$504,MATCH($F103&amp;"",계정매핑!$A$5:$A$504,0))&amp;"","비귀속"),""))</f>
        <v/>
      </c>
      <c r="AG103" s="96">
        <f>IF($A103="",0,IF(AND(AE103&lt;&gt;"직접",IFERROR(INDEX(계정매핑!$G$5:$G$504,MATCH($F103&amp;"",계정매핑!$A$5:$A$504,0))&amp;"","")="유지비",COUNTIF(계정대체기준!$A$6:$A$15,$N103)&gt;0),IFERROR(INDEX(계정대체기준!$E$6:$E$15,MATCH(VALUE($A103&amp;""),계정대체기준!$D$6:$D$15,0)),0),0))</f>
        <v/>
      </c>
      <c r="AH103" s="64">
        <f>IF($A103="","",IF(AD103=0,"",IF(OR(COUNTIF(계정대체기준!$A$77:$A$86,$N103)&gt;0,ISNUMBER(MATCH($X103,계정대체기준!$D$77:$D$86,0)),ISNUMBER(MATCH($F103,계정대체기준!$D$77:$D$86,0))),"Y","N")))</f>
        <v/>
      </c>
    </row>
    <row r="104">
      <c r="A104" s="92" t="n">
        <v>2025</v>
      </c>
      <c r="B104" s="92" t="n">
        <v>1</v>
      </c>
      <c r="C104" s="92" t="inlineStr">
        <is>
          <t>5100000100</t>
        </is>
      </c>
      <c r="D104" s="95" t="n">
        <v>45669</v>
      </c>
      <c r="E104" s="92" t="inlineStr">
        <is>
          <t>KR</t>
        </is>
      </c>
      <c r="F104" s="92" t="n">
        <v>62201000</v>
      </c>
      <c r="G104" s="92" t="n">
        <v>1301</v>
      </c>
      <c r="H104" s="93" t="n">
        <v>244000</v>
      </c>
      <c r="I104" s="92" t="inlineStr">
        <is>
          <t>1월 통신요금 - P통신</t>
        </is>
      </c>
      <c r="J104" s="92" t="inlineStr">
        <is>
          <t>V10014</t>
        </is>
      </c>
      <c r="K104" s="92" t="inlineStr">
        <is>
          <t>P통신</t>
        </is>
      </c>
      <c r="M104" s="9">
        <f>IF($A104="","",VALUE($A104&amp;"")*12+VALUE($B104&amp;""))</f>
        <v/>
      </c>
      <c r="N104" s="64">
        <f>IF($A104="","",IFERROR(INDEX(부서매핑!$C$5:$C$504,MATCH($G104&amp;"",부서매핑!$A$5:$A$504,0)),"미매핑"))</f>
        <v/>
      </c>
      <c r="O104" s="9">
        <f>IF($A104="","",N104&amp;"|"&amp;$F104)</f>
        <v/>
      </c>
      <c r="P104" s="94">
        <f>IF($A104="",0,$H104*설정!$C$23)</f>
        <v/>
      </c>
      <c r="Q104" s="64">
        <f>IF($A104="","",IF(O104&lt;&gt;원인분석!$C$9,"",IF(AND(M104&gt;=원인분석!$C$10,M104&lt;=원인분석!$C$11),"당기",IF(AND(M104&gt;=원인분석!$C$12,M104&lt;=원인분석!$C$13),"비교",""))))</f>
        <v/>
      </c>
      <c r="R104" s="9">
        <f>IF(Q104="","",$K104&amp;"")</f>
        <v/>
      </c>
      <c r="S104" s="9">
        <f>IF(Q104="","",IF(MATCH(R104,$R$5:$R$100000,0)=ROW()-4,ROW(),""))</f>
        <v/>
      </c>
      <c r="T104" s="9">
        <f>IF(Q104="당기",ABS(P104)+ROW()/1000000000,"")</f>
        <v/>
      </c>
      <c r="U104" s="9">
        <f>IF(Q104="비교",ABS(P104)+ROW()/1000000000,"")</f>
        <v/>
      </c>
      <c r="V104" s="64">
        <f>IF($A104="","",IF(COUNTIF(변동분석!$E$7:$E$506,O104)&gt;0,"Y","N"))</f>
        <v/>
      </c>
      <c r="W104" s="64">
        <f>IF($A104="","",IFERROR(INDEX(계정매핑!$D$5:$D$504,MATCH($F104&amp;"",계정매핑!$A$5:$A$504,0)),"미매핑"))</f>
        <v/>
      </c>
      <c r="X104" s="9">
        <f>IF($A104="","",$F104&amp;"")</f>
        <v/>
      </c>
      <c r="Y104" s="94">
        <f>IF($A104="",0,IF(AE104="직접",IF(AF104="비귀속",$P104,0),$P104*(1-AG104)*IFERROR(INDEX(계정대체기준!$F$20:$F$49,MATCH($N104,계정대체기준!$A$20:$A$49,0)),1)))</f>
        <v/>
      </c>
      <c r="Z104" s="94">
        <f>IF($A104="",0,IF(AE104="직접",IF(AF104="신계약비",$P104,0),$P104*(1-AG104)*IFERROR(INDEX(계정대체기준!$C$20:$C$49,MATCH($N104,계정대체기준!$A$20:$A$49,0)),0)))</f>
        <v/>
      </c>
      <c r="AA104" s="94">
        <f>IF($A104="",0,IF(AE104="직접",IF(OR(AF104="유지비",AF104="손해조사비"),$P104,0),$P104*(1-AG104)*IFERROR(INDEX(계정대체기준!$D$20:$D$49,MATCH($N104,계정대체기준!$A$20:$A$49,0)),0)))</f>
        <v/>
      </c>
      <c r="AB104" s="94">
        <f>IF($A104="",0,IF(AE104="직접",IF(AF104="수금비",$P104,0),$P104*(1-AG104)*IFERROR(INDEX(계정대체기준!$E$20:$E$49,MATCH($N104,계정대체기준!$A$20:$A$49,0)),0)))</f>
        <v/>
      </c>
      <c r="AC104" s="9">
        <f>IF(AND($A104&lt;&gt;"",M104=설정!$C$20,Z104&gt;0),Z104+ROW()/1000000000,"")</f>
        <v/>
      </c>
      <c r="AD104" s="94">
        <f>IF($A104="",0,$P104*AG104)</f>
        <v/>
      </c>
      <c r="AE104" s="64">
        <f>IF($A104="","",IFERROR(INDEX(계정매핑!$E$5:$E$504,MATCH($F104&amp;"",계정매핑!$A$5:$A$504,0))&amp;"","공통비"))</f>
        <v/>
      </c>
      <c r="AF104" s="64">
        <f>IF($A104="","",IF(AE104="직접",IFERROR(INDEX(계정매핑!$F$5:$F$504,MATCH($F104&amp;"",계정매핑!$A$5:$A$504,0))&amp;"","비귀속"),""))</f>
        <v/>
      </c>
      <c r="AG104" s="96">
        <f>IF($A104="",0,IF(AND(AE104&lt;&gt;"직접",IFERROR(INDEX(계정매핑!$G$5:$G$504,MATCH($F104&amp;"",계정매핑!$A$5:$A$504,0))&amp;"","")="유지비",COUNTIF(계정대체기준!$A$6:$A$15,$N104)&gt;0),IFERROR(INDEX(계정대체기준!$E$6:$E$15,MATCH(VALUE($A104&amp;""),계정대체기준!$D$6:$D$15,0)),0),0))</f>
        <v/>
      </c>
      <c r="AH104" s="64">
        <f>IF($A104="","",IF(AD104=0,"",IF(OR(COUNTIF(계정대체기준!$A$77:$A$86,$N104)&gt;0,ISNUMBER(MATCH($X104,계정대체기준!$D$77:$D$86,0)),ISNUMBER(MATCH($F104,계정대체기준!$D$77:$D$86,0))),"Y","N")))</f>
        <v/>
      </c>
    </row>
    <row r="105">
      <c r="A105" s="92" t="n">
        <v>2025</v>
      </c>
      <c r="B105" s="92" t="n">
        <v>1</v>
      </c>
      <c r="C105" s="92" t="inlineStr">
        <is>
          <t>5100000101</t>
        </is>
      </c>
      <c r="D105" s="95" t="n">
        <v>45669</v>
      </c>
      <c r="E105" s="92" t="inlineStr">
        <is>
          <t>KR</t>
        </is>
      </c>
      <c r="F105" s="92" t="n">
        <v>62501000</v>
      </c>
      <c r="G105" s="92" t="n">
        <v>1101</v>
      </c>
      <c r="H105" s="93" t="n">
        <v>285000</v>
      </c>
      <c r="I105" s="92" t="inlineStr">
        <is>
          <t>1월 회의 다과 - (법인카드)</t>
        </is>
      </c>
      <c r="J105" s="92" t="inlineStr">
        <is>
          <t>V10010</t>
        </is>
      </c>
      <c r="K105" s="92" t="inlineStr">
        <is>
          <t>(법인카드)</t>
        </is>
      </c>
      <c r="M105" s="9">
        <f>IF($A105="","",VALUE($A105&amp;"")*12+VALUE($B105&amp;""))</f>
        <v/>
      </c>
      <c r="N105" s="64">
        <f>IF($A105="","",IFERROR(INDEX(부서매핑!$C$5:$C$504,MATCH($G105&amp;"",부서매핑!$A$5:$A$504,0)),"미매핑"))</f>
        <v/>
      </c>
      <c r="O105" s="9">
        <f>IF($A105="","",N105&amp;"|"&amp;$F105)</f>
        <v/>
      </c>
      <c r="P105" s="94">
        <f>IF($A105="",0,$H105*설정!$C$23)</f>
        <v/>
      </c>
      <c r="Q105" s="64">
        <f>IF($A105="","",IF(O105&lt;&gt;원인분석!$C$9,"",IF(AND(M105&gt;=원인분석!$C$10,M105&lt;=원인분석!$C$11),"당기",IF(AND(M105&gt;=원인분석!$C$12,M105&lt;=원인분석!$C$13),"비교",""))))</f>
        <v/>
      </c>
      <c r="R105" s="9">
        <f>IF(Q105="","",$K105&amp;"")</f>
        <v/>
      </c>
      <c r="S105" s="9">
        <f>IF(Q105="","",IF(MATCH(R105,$R$5:$R$100000,0)=ROW()-4,ROW(),""))</f>
        <v/>
      </c>
      <c r="T105" s="9">
        <f>IF(Q105="당기",ABS(P105)+ROW()/1000000000,"")</f>
        <v/>
      </c>
      <c r="U105" s="9">
        <f>IF(Q105="비교",ABS(P105)+ROW()/1000000000,"")</f>
        <v/>
      </c>
      <c r="V105" s="64">
        <f>IF($A105="","",IF(COUNTIF(변동분석!$E$7:$E$506,O105)&gt;0,"Y","N"))</f>
        <v/>
      </c>
      <c r="W105" s="64">
        <f>IF($A105="","",IFERROR(INDEX(계정매핑!$D$5:$D$504,MATCH($F105&amp;"",계정매핑!$A$5:$A$504,0)),"미매핑"))</f>
        <v/>
      </c>
      <c r="X105" s="9">
        <f>IF($A105="","",$F105&amp;"")</f>
        <v/>
      </c>
      <c r="Y105" s="94">
        <f>IF($A105="",0,IF(AE105="직접",IF(AF105="비귀속",$P105,0),$P105*(1-AG105)*IFERROR(INDEX(계정대체기준!$F$20:$F$49,MATCH($N105,계정대체기준!$A$20:$A$49,0)),1)))</f>
        <v/>
      </c>
      <c r="Z105" s="94">
        <f>IF($A105="",0,IF(AE105="직접",IF(AF105="신계약비",$P105,0),$P105*(1-AG105)*IFERROR(INDEX(계정대체기준!$C$20:$C$49,MATCH($N105,계정대체기준!$A$20:$A$49,0)),0)))</f>
        <v/>
      </c>
      <c r="AA105" s="94">
        <f>IF($A105="",0,IF(AE105="직접",IF(OR(AF105="유지비",AF105="손해조사비"),$P105,0),$P105*(1-AG105)*IFERROR(INDEX(계정대체기준!$D$20:$D$49,MATCH($N105,계정대체기준!$A$20:$A$49,0)),0)))</f>
        <v/>
      </c>
      <c r="AB105" s="94">
        <f>IF($A105="",0,IF(AE105="직접",IF(AF105="수금비",$P105,0),$P105*(1-AG105)*IFERROR(INDEX(계정대체기준!$E$20:$E$49,MATCH($N105,계정대체기준!$A$20:$A$49,0)),0)))</f>
        <v/>
      </c>
      <c r="AC105" s="9">
        <f>IF(AND($A105&lt;&gt;"",M105=설정!$C$20,Z105&gt;0),Z105+ROW()/1000000000,"")</f>
        <v/>
      </c>
      <c r="AD105" s="94">
        <f>IF($A105="",0,$P105*AG105)</f>
        <v/>
      </c>
      <c r="AE105" s="64">
        <f>IF($A105="","",IFERROR(INDEX(계정매핑!$E$5:$E$504,MATCH($F105&amp;"",계정매핑!$A$5:$A$504,0))&amp;"","공통비"))</f>
        <v/>
      </c>
      <c r="AF105" s="64">
        <f>IF($A105="","",IF(AE105="직접",IFERROR(INDEX(계정매핑!$F$5:$F$504,MATCH($F105&amp;"",계정매핑!$A$5:$A$504,0))&amp;"","비귀속"),""))</f>
        <v/>
      </c>
      <c r="AG105" s="96">
        <f>IF($A105="",0,IF(AND(AE105&lt;&gt;"직접",IFERROR(INDEX(계정매핑!$G$5:$G$504,MATCH($F105&amp;"",계정매핑!$A$5:$A$504,0))&amp;"","")="유지비",COUNTIF(계정대체기준!$A$6:$A$15,$N105)&gt;0),IFERROR(INDEX(계정대체기준!$E$6:$E$15,MATCH(VALUE($A105&amp;""),계정대체기준!$D$6:$D$15,0)),0),0))</f>
        <v/>
      </c>
      <c r="AH105" s="64">
        <f>IF($A105="","",IF(AD105=0,"",IF(OR(COUNTIF(계정대체기준!$A$77:$A$86,$N105)&gt;0,ISNUMBER(MATCH($X105,계정대체기준!$D$77:$D$86,0)),ISNUMBER(MATCH($F105,계정대체기준!$D$77:$D$86,0))),"Y","N")))</f>
        <v/>
      </c>
    </row>
    <row r="106">
      <c r="A106" s="92" t="n">
        <v>2025</v>
      </c>
      <c r="B106" s="92" t="n">
        <v>1</v>
      </c>
      <c r="C106" s="92" t="inlineStr">
        <is>
          <t>5100000102</t>
        </is>
      </c>
      <c r="D106" s="95" t="n">
        <v>45669</v>
      </c>
      <c r="E106" s="92" t="inlineStr">
        <is>
          <t>KR</t>
        </is>
      </c>
      <c r="F106" s="92" t="n">
        <v>63002000</v>
      </c>
      <c r="G106" s="92" t="n">
        <v>1951</v>
      </c>
      <c r="H106" s="93" t="n">
        <v>3946000</v>
      </c>
      <c r="I106" s="92" t="inlineStr">
        <is>
          <t>1월 클라우드 사용료 - C클라우드</t>
        </is>
      </c>
      <c r="J106" s="92" t="inlineStr">
        <is>
          <t>V10026</t>
        </is>
      </c>
      <c r="K106" s="92" t="inlineStr">
        <is>
          <t>C클라우드</t>
        </is>
      </c>
      <c r="M106" s="9">
        <f>IF($A106="","",VALUE($A106&amp;"")*12+VALUE($B106&amp;""))</f>
        <v/>
      </c>
      <c r="N106" s="64">
        <f>IF($A106="","",IFERROR(INDEX(부서매핑!$C$5:$C$504,MATCH($G106&amp;"",부서매핑!$A$5:$A$504,0)),"미매핑"))</f>
        <v/>
      </c>
      <c r="O106" s="9">
        <f>IF($A106="","",N106&amp;"|"&amp;$F106)</f>
        <v/>
      </c>
      <c r="P106" s="94">
        <f>IF($A106="",0,$H106*설정!$C$23)</f>
        <v/>
      </c>
      <c r="Q106" s="64">
        <f>IF($A106="","",IF(O106&lt;&gt;원인분석!$C$9,"",IF(AND(M106&gt;=원인분석!$C$10,M106&lt;=원인분석!$C$11),"당기",IF(AND(M106&gt;=원인분석!$C$12,M106&lt;=원인분석!$C$13),"비교",""))))</f>
        <v/>
      </c>
      <c r="R106" s="9">
        <f>IF(Q106="","",$K106&amp;"")</f>
        <v/>
      </c>
      <c r="S106" s="9">
        <f>IF(Q106="","",IF(MATCH(R106,$R$5:$R$100000,0)=ROW()-4,ROW(),""))</f>
        <v/>
      </c>
      <c r="T106" s="9">
        <f>IF(Q106="당기",ABS(P106)+ROW()/1000000000,"")</f>
        <v/>
      </c>
      <c r="U106" s="9">
        <f>IF(Q106="비교",ABS(P106)+ROW()/1000000000,"")</f>
        <v/>
      </c>
      <c r="V106" s="64">
        <f>IF($A106="","",IF(COUNTIF(변동분석!$E$7:$E$506,O106)&gt;0,"Y","N"))</f>
        <v/>
      </c>
      <c r="W106" s="64">
        <f>IF($A106="","",IFERROR(INDEX(계정매핑!$D$5:$D$504,MATCH($F106&amp;"",계정매핑!$A$5:$A$504,0)),"미매핑"))</f>
        <v/>
      </c>
      <c r="X106" s="9">
        <f>IF($A106="","",$F106&amp;"")</f>
        <v/>
      </c>
      <c r="Y106" s="94">
        <f>IF($A106="",0,IF(AE106="직접",IF(AF106="비귀속",$P106,0),$P106*(1-AG106)*IFERROR(INDEX(계정대체기준!$F$20:$F$49,MATCH($N106,계정대체기준!$A$20:$A$49,0)),1)))</f>
        <v/>
      </c>
      <c r="Z106" s="94">
        <f>IF($A106="",0,IF(AE106="직접",IF(AF106="신계약비",$P106,0),$P106*(1-AG106)*IFERROR(INDEX(계정대체기준!$C$20:$C$49,MATCH($N106,계정대체기준!$A$20:$A$49,0)),0)))</f>
        <v/>
      </c>
      <c r="AA106" s="94">
        <f>IF($A106="",0,IF(AE106="직접",IF(OR(AF106="유지비",AF106="손해조사비"),$P106,0),$P106*(1-AG106)*IFERROR(INDEX(계정대체기준!$D$20:$D$49,MATCH($N106,계정대체기준!$A$20:$A$49,0)),0)))</f>
        <v/>
      </c>
      <c r="AB106" s="94">
        <f>IF($A106="",0,IF(AE106="직접",IF(AF106="수금비",$P106,0),$P106*(1-AG106)*IFERROR(INDEX(계정대체기준!$E$20:$E$49,MATCH($N106,계정대체기준!$A$20:$A$49,0)),0)))</f>
        <v/>
      </c>
      <c r="AC106" s="9">
        <f>IF(AND($A106&lt;&gt;"",M106=설정!$C$20,Z106&gt;0),Z106+ROW()/1000000000,"")</f>
        <v/>
      </c>
      <c r="AD106" s="94">
        <f>IF($A106="",0,$P106*AG106)</f>
        <v/>
      </c>
      <c r="AE106" s="64">
        <f>IF($A106="","",IFERROR(INDEX(계정매핑!$E$5:$E$504,MATCH($F106&amp;"",계정매핑!$A$5:$A$504,0))&amp;"","공통비"))</f>
        <v/>
      </c>
      <c r="AF106" s="64">
        <f>IF($A106="","",IF(AE106="직접",IFERROR(INDEX(계정매핑!$F$5:$F$504,MATCH($F106&amp;"",계정매핑!$A$5:$A$504,0))&amp;"","비귀속"),""))</f>
        <v/>
      </c>
      <c r="AG106" s="96">
        <f>IF($A106="",0,IF(AND(AE106&lt;&gt;"직접",IFERROR(INDEX(계정매핑!$G$5:$G$504,MATCH($F106&amp;"",계정매핑!$A$5:$A$504,0))&amp;"","")="유지비",COUNTIF(계정대체기준!$A$6:$A$15,$N106)&gt;0),IFERROR(INDEX(계정대체기준!$E$6:$E$15,MATCH(VALUE($A106&amp;""),계정대체기준!$D$6:$D$15,0)),0),0))</f>
        <v/>
      </c>
      <c r="AH106" s="64">
        <f>IF($A106="","",IF(AD106=0,"",IF(OR(COUNTIF(계정대체기준!$A$77:$A$86,$N106)&gt;0,ISNUMBER(MATCH($X106,계정대체기준!$D$77:$D$86,0)),ISNUMBER(MATCH($F106,계정대체기준!$D$77:$D$86,0))),"Y","N")))</f>
        <v/>
      </c>
    </row>
    <row r="107">
      <c r="A107" s="92" t="n">
        <v>2025</v>
      </c>
      <c r="B107" s="92" t="n">
        <v>1</v>
      </c>
      <c r="C107" s="92" t="inlineStr">
        <is>
          <t>5100000103</t>
        </is>
      </c>
      <c r="D107" s="95" t="n">
        <v>45669</v>
      </c>
      <c r="E107" s="92" t="inlineStr">
        <is>
          <t>KR</t>
        </is>
      </c>
      <c r="F107" s="92" t="n">
        <v>63002000</v>
      </c>
      <c r="G107" s="92" t="n">
        <v>1951</v>
      </c>
      <c r="H107" s="93" t="n">
        <v>4067000</v>
      </c>
      <c r="I107" s="92" t="inlineStr">
        <is>
          <t>1월 클라우드 사용료 - C클라우드</t>
        </is>
      </c>
      <c r="J107" s="92" t="inlineStr">
        <is>
          <t>V10026</t>
        </is>
      </c>
      <c r="K107" s="92" t="inlineStr">
        <is>
          <t>C클라우드</t>
        </is>
      </c>
      <c r="M107" s="9">
        <f>IF($A107="","",VALUE($A107&amp;"")*12+VALUE($B107&amp;""))</f>
        <v/>
      </c>
      <c r="N107" s="64">
        <f>IF($A107="","",IFERROR(INDEX(부서매핑!$C$5:$C$504,MATCH($G107&amp;"",부서매핑!$A$5:$A$504,0)),"미매핑"))</f>
        <v/>
      </c>
      <c r="O107" s="9">
        <f>IF($A107="","",N107&amp;"|"&amp;$F107)</f>
        <v/>
      </c>
      <c r="P107" s="94">
        <f>IF($A107="",0,$H107*설정!$C$23)</f>
        <v/>
      </c>
      <c r="Q107" s="64">
        <f>IF($A107="","",IF(O107&lt;&gt;원인분석!$C$9,"",IF(AND(M107&gt;=원인분석!$C$10,M107&lt;=원인분석!$C$11),"당기",IF(AND(M107&gt;=원인분석!$C$12,M107&lt;=원인분석!$C$13),"비교",""))))</f>
        <v/>
      </c>
      <c r="R107" s="9">
        <f>IF(Q107="","",$K107&amp;"")</f>
        <v/>
      </c>
      <c r="S107" s="9">
        <f>IF(Q107="","",IF(MATCH(R107,$R$5:$R$100000,0)=ROW()-4,ROW(),""))</f>
        <v/>
      </c>
      <c r="T107" s="9">
        <f>IF(Q107="당기",ABS(P107)+ROW()/1000000000,"")</f>
        <v/>
      </c>
      <c r="U107" s="9">
        <f>IF(Q107="비교",ABS(P107)+ROW()/1000000000,"")</f>
        <v/>
      </c>
      <c r="V107" s="64">
        <f>IF($A107="","",IF(COUNTIF(변동분석!$E$7:$E$506,O107)&gt;0,"Y","N"))</f>
        <v/>
      </c>
      <c r="W107" s="64">
        <f>IF($A107="","",IFERROR(INDEX(계정매핑!$D$5:$D$504,MATCH($F107&amp;"",계정매핑!$A$5:$A$504,0)),"미매핑"))</f>
        <v/>
      </c>
      <c r="X107" s="9">
        <f>IF($A107="","",$F107&amp;"")</f>
        <v/>
      </c>
      <c r="Y107" s="94">
        <f>IF($A107="",0,IF(AE107="직접",IF(AF107="비귀속",$P107,0),$P107*(1-AG107)*IFERROR(INDEX(계정대체기준!$F$20:$F$49,MATCH($N107,계정대체기준!$A$20:$A$49,0)),1)))</f>
        <v/>
      </c>
      <c r="Z107" s="94">
        <f>IF($A107="",0,IF(AE107="직접",IF(AF107="신계약비",$P107,0),$P107*(1-AG107)*IFERROR(INDEX(계정대체기준!$C$20:$C$49,MATCH($N107,계정대체기준!$A$20:$A$49,0)),0)))</f>
        <v/>
      </c>
      <c r="AA107" s="94">
        <f>IF($A107="",0,IF(AE107="직접",IF(OR(AF107="유지비",AF107="손해조사비"),$P107,0),$P107*(1-AG107)*IFERROR(INDEX(계정대체기준!$D$20:$D$49,MATCH($N107,계정대체기준!$A$20:$A$49,0)),0)))</f>
        <v/>
      </c>
      <c r="AB107" s="94">
        <f>IF($A107="",0,IF(AE107="직접",IF(AF107="수금비",$P107,0),$P107*(1-AG107)*IFERROR(INDEX(계정대체기준!$E$20:$E$49,MATCH($N107,계정대체기준!$A$20:$A$49,0)),0)))</f>
        <v/>
      </c>
      <c r="AC107" s="9">
        <f>IF(AND($A107&lt;&gt;"",M107=설정!$C$20,Z107&gt;0),Z107+ROW()/1000000000,"")</f>
        <v/>
      </c>
      <c r="AD107" s="94">
        <f>IF($A107="",0,$P107*AG107)</f>
        <v/>
      </c>
      <c r="AE107" s="64">
        <f>IF($A107="","",IFERROR(INDEX(계정매핑!$E$5:$E$504,MATCH($F107&amp;"",계정매핑!$A$5:$A$504,0))&amp;"","공통비"))</f>
        <v/>
      </c>
      <c r="AF107" s="64">
        <f>IF($A107="","",IF(AE107="직접",IFERROR(INDEX(계정매핑!$F$5:$F$504,MATCH($F107&amp;"",계정매핑!$A$5:$A$504,0))&amp;"","비귀속"),""))</f>
        <v/>
      </c>
      <c r="AG107" s="96">
        <f>IF($A107="",0,IF(AND(AE107&lt;&gt;"직접",IFERROR(INDEX(계정매핑!$G$5:$G$504,MATCH($F107&amp;"",계정매핑!$A$5:$A$504,0))&amp;"","")="유지비",COUNTIF(계정대체기준!$A$6:$A$15,$N107)&gt;0),IFERROR(INDEX(계정대체기준!$E$6:$E$15,MATCH(VALUE($A107&amp;""),계정대체기준!$D$6:$D$15,0)),0),0))</f>
        <v/>
      </c>
      <c r="AH107" s="64">
        <f>IF($A107="","",IF(AD107=0,"",IF(OR(COUNTIF(계정대체기준!$A$77:$A$86,$N107)&gt;0,ISNUMBER(MATCH($X107,계정대체기준!$D$77:$D$86,0)),ISNUMBER(MATCH($F107,계정대체기준!$D$77:$D$86,0))),"Y","N")))</f>
        <v/>
      </c>
    </row>
    <row r="108">
      <c r="A108" s="92" t="n">
        <v>2025</v>
      </c>
      <c r="B108" s="92" t="n">
        <v>1</v>
      </c>
      <c r="C108" s="92" t="inlineStr">
        <is>
          <t>5100000104</t>
        </is>
      </c>
      <c r="D108" s="95" t="n">
        <v>45669</v>
      </c>
      <c r="E108" s="92" t="inlineStr">
        <is>
          <t>KR</t>
        </is>
      </c>
      <c r="F108" s="92" t="n">
        <v>63101000</v>
      </c>
      <c r="G108" s="92" t="n">
        <v>1602</v>
      </c>
      <c r="H108" s="93" t="n">
        <v>5655000</v>
      </c>
      <c r="I108" s="92" t="inlineStr">
        <is>
          <t>1월 사무실 임차료 - AA빌딩</t>
        </is>
      </c>
      <c r="J108" s="92" t="inlineStr">
        <is>
          <t>V10007</t>
        </is>
      </c>
      <c r="K108" s="92" t="inlineStr">
        <is>
          <t>AA빌딩</t>
        </is>
      </c>
      <c r="M108" s="9">
        <f>IF($A108="","",VALUE($A108&amp;"")*12+VALUE($B108&amp;""))</f>
        <v/>
      </c>
      <c r="N108" s="64">
        <f>IF($A108="","",IFERROR(INDEX(부서매핑!$C$5:$C$504,MATCH($G108&amp;"",부서매핑!$A$5:$A$504,0)),"미매핑"))</f>
        <v/>
      </c>
      <c r="O108" s="9">
        <f>IF($A108="","",N108&amp;"|"&amp;$F108)</f>
        <v/>
      </c>
      <c r="P108" s="94">
        <f>IF($A108="",0,$H108*설정!$C$23)</f>
        <v/>
      </c>
      <c r="Q108" s="64">
        <f>IF($A108="","",IF(O108&lt;&gt;원인분석!$C$9,"",IF(AND(M108&gt;=원인분석!$C$10,M108&lt;=원인분석!$C$11),"당기",IF(AND(M108&gt;=원인분석!$C$12,M108&lt;=원인분석!$C$13),"비교",""))))</f>
        <v/>
      </c>
      <c r="R108" s="9">
        <f>IF(Q108="","",$K108&amp;"")</f>
        <v/>
      </c>
      <c r="S108" s="9">
        <f>IF(Q108="","",IF(MATCH(R108,$R$5:$R$100000,0)=ROW()-4,ROW(),""))</f>
        <v/>
      </c>
      <c r="T108" s="9">
        <f>IF(Q108="당기",ABS(P108)+ROW()/1000000000,"")</f>
        <v/>
      </c>
      <c r="U108" s="9">
        <f>IF(Q108="비교",ABS(P108)+ROW()/1000000000,"")</f>
        <v/>
      </c>
      <c r="V108" s="64">
        <f>IF($A108="","",IF(COUNTIF(변동분석!$E$7:$E$506,O108)&gt;0,"Y","N"))</f>
        <v/>
      </c>
      <c r="W108" s="64">
        <f>IF($A108="","",IFERROR(INDEX(계정매핑!$D$5:$D$504,MATCH($F108&amp;"",계정매핑!$A$5:$A$504,0)),"미매핑"))</f>
        <v/>
      </c>
      <c r="X108" s="9">
        <f>IF($A108="","",$F108&amp;"")</f>
        <v/>
      </c>
      <c r="Y108" s="94">
        <f>IF($A108="",0,IF(AE108="직접",IF(AF108="비귀속",$P108,0),$P108*(1-AG108)*IFERROR(INDEX(계정대체기준!$F$20:$F$49,MATCH($N108,계정대체기준!$A$20:$A$49,0)),1)))</f>
        <v/>
      </c>
      <c r="Z108" s="94">
        <f>IF($A108="",0,IF(AE108="직접",IF(AF108="신계약비",$P108,0),$P108*(1-AG108)*IFERROR(INDEX(계정대체기준!$C$20:$C$49,MATCH($N108,계정대체기준!$A$20:$A$49,0)),0)))</f>
        <v/>
      </c>
      <c r="AA108" s="94">
        <f>IF($A108="",0,IF(AE108="직접",IF(OR(AF108="유지비",AF108="손해조사비"),$P108,0),$P108*(1-AG108)*IFERROR(INDEX(계정대체기준!$D$20:$D$49,MATCH($N108,계정대체기준!$A$20:$A$49,0)),0)))</f>
        <v/>
      </c>
      <c r="AB108" s="94">
        <f>IF($A108="",0,IF(AE108="직접",IF(AF108="수금비",$P108,0),$P108*(1-AG108)*IFERROR(INDEX(계정대체기준!$E$20:$E$49,MATCH($N108,계정대체기준!$A$20:$A$49,0)),0)))</f>
        <v/>
      </c>
      <c r="AC108" s="9">
        <f>IF(AND($A108&lt;&gt;"",M108=설정!$C$20,Z108&gt;0),Z108+ROW()/1000000000,"")</f>
        <v/>
      </c>
      <c r="AD108" s="94">
        <f>IF($A108="",0,$P108*AG108)</f>
        <v/>
      </c>
      <c r="AE108" s="64">
        <f>IF($A108="","",IFERROR(INDEX(계정매핑!$E$5:$E$504,MATCH($F108&amp;"",계정매핑!$A$5:$A$504,0))&amp;"","공통비"))</f>
        <v/>
      </c>
      <c r="AF108" s="64">
        <f>IF($A108="","",IF(AE108="직접",IFERROR(INDEX(계정매핑!$F$5:$F$504,MATCH($F108&amp;"",계정매핑!$A$5:$A$504,0))&amp;"","비귀속"),""))</f>
        <v/>
      </c>
      <c r="AG108" s="96">
        <f>IF($A108="",0,IF(AND(AE108&lt;&gt;"직접",IFERROR(INDEX(계정매핑!$G$5:$G$504,MATCH($F108&amp;"",계정매핑!$A$5:$A$504,0))&amp;"","")="유지비",COUNTIF(계정대체기준!$A$6:$A$15,$N108)&gt;0),IFERROR(INDEX(계정대체기준!$E$6:$E$15,MATCH(VALUE($A108&amp;""),계정대체기준!$D$6:$D$15,0)),0),0))</f>
        <v/>
      </c>
      <c r="AH108" s="64">
        <f>IF($A108="","",IF(AD108=0,"",IF(OR(COUNTIF(계정대체기준!$A$77:$A$86,$N108)&gt;0,ISNUMBER(MATCH($X108,계정대체기준!$D$77:$D$86,0)),ISNUMBER(MATCH($F108,계정대체기준!$D$77:$D$86,0))),"Y","N")))</f>
        <v/>
      </c>
    </row>
    <row r="109">
      <c r="A109" s="92" t="n">
        <v>2025</v>
      </c>
      <c r="B109" s="92" t="n">
        <v>1</v>
      </c>
      <c r="C109" s="92" t="inlineStr">
        <is>
          <t>5100000105</t>
        </is>
      </c>
      <c r="D109" s="95" t="n">
        <v>45670</v>
      </c>
      <c r="E109" s="92" t="inlineStr">
        <is>
          <t>KR</t>
        </is>
      </c>
      <c r="F109" s="92" t="n">
        <v>62101000</v>
      </c>
      <c r="G109" s="92" t="n">
        <v>1301</v>
      </c>
      <c r="H109" s="93" t="n">
        <v>212000</v>
      </c>
      <c r="I109" s="92" t="inlineStr">
        <is>
          <t>1월 국내출장 - M항공</t>
        </is>
      </c>
      <c r="J109" s="92" t="inlineStr">
        <is>
          <t>V10001</t>
        </is>
      </c>
      <c r="K109" s="92" t="inlineStr">
        <is>
          <t>M항공</t>
        </is>
      </c>
      <c r="M109" s="9">
        <f>IF($A109="","",VALUE($A109&amp;"")*12+VALUE($B109&amp;""))</f>
        <v/>
      </c>
      <c r="N109" s="64">
        <f>IF($A109="","",IFERROR(INDEX(부서매핑!$C$5:$C$504,MATCH($G109&amp;"",부서매핑!$A$5:$A$504,0)),"미매핑"))</f>
        <v/>
      </c>
      <c r="O109" s="9">
        <f>IF($A109="","",N109&amp;"|"&amp;$F109)</f>
        <v/>
      </c>
      <c r="P109" s="94">
        <f>IF($A109="",0,$H109*설정!$C$23)</f>
        <v/>
      </c>
      <c r="Q109" s="64">
        <f>IF($A109="","",IF(O109&lt;&gt;원인분석!$C$9,"",IF(AND(M109&gt;=원인분석!$C$10,M109&lt;=원인분석!$C$11),"당기",IF(AND(M109&gt;=원인분석!$C$12,M109&lt;=원인분석!$C$13),"비교",""))))</f>
        <v/>
      </c>
      <c r="R109" s="9">
        <f>IF(Q109="","",$K109&amp;"")</f>
        <v/>
      </c>
      <c r="S109" s="9">
        <f>IF(Q109="","",IF(MATCH(R109,$R$5:$R$100000,0)=ROW()-4,ROW(),""))</f>
        <v/>
      </c>
      <c r="T109" s="9">
        <f>IF(Q109="당기",ABS(P109)+ROW()/1000000000,"")</f>
        <v/>
      </c>
      <c r="U109" s="9">
        <f>IF(Q109="비교",ABS(P109)+ROW()/1000000000,"")</f>
        <v/>
      </c>
      <c r="V109" s="64">
        <f>IF($A109="","",IF(COUNTIF(변동분석!$E$7:$E$506,O109)&gt;0,"Y","N"))</f>
        <v/>
      </c>
      <c r="W109" s="64">
        <f>IF($A109="","",IFERROR(INDEX(계정매핑!$D$5:$D$504,MATCH($F109&amp;"",계정매핑!$A$5:$A$504,0)),"미매핑"))</f>
        <v/>
      </c>
      <c r="X109" s="9">
        <f>IF($A109="","",$F109&amp;"")</f>
        <v/>
      </c>
      <c r="Y109" s="94">
        <f>IF($A109="",0,IF(AE109="직접",IF(AF109="비귀속",$P109,0),$P109*(1-AG109)*IFERROR(INDEX(계정대체기준!$F$20:$F$49,MATCH($N109,계정대체기준!$A$20:$A$49,0)),1)))</f>
        <v/>
      </c>
      <c r="Z109" s="94">
        <f>IF($A109="",0,IF(AE109="직접",IF(AF109="신계약비",$P109,0),$P109*(1-AG109)*IFERROR(INDEX(계정대체기준!$C$20:$C$49,MATCH($N109,계정대체기준!$A$20:$A$49,0)),0)))</f>
        <v/>
      </c>
      <c r="AA109" s="94">
        <f>IF($A109="",0,IF(AE109="직접",IF(OR(AF109="유지비",AF109="손해조사비"),$P109,0),$P109*(1-AG109)*IFERROR(INDEX(계정대체기준!$D$20:$D$49,MATCH($N109,계정대체기준!$A$20:$A$49,0)),0)))</f>
        <v/>
      </c>
      <c r="AB109" s="94">
        <f>IF($A109="",0,IF(AE109="직접",IF(AF109="수금비",$P109,0),$P109*(1-AG109)*IFERROR(INDEX(계정대체기준!$E$20:$E$49,MATCH($N109,계정대체기준!$A$20:$A$49,0)),0)))</f>
        <v/>
      </c>
      <c r="AC109" s="9">
        <f>IF(AND($A109&lt;&gt;"",M109=설정!$C$20,Z109&gt;0),Z109+ROW()/1000000000,"")</f>
        <v/>
      </c>
      <c r="AD109" s="94">
        <f>IF($A109="",0,$P109*AG109)</f>
        <v/>
      </c>
      <c r="AE109" s="64">
        <f>IF($A109="","",IFERROR(INDEX(계정매핑!$E$5:$E$504,MATCH($F109&amp;"",계정매핑!$A$5:$A$504,0))&amp;"","공통비"))</f>
        <v/>
      </c>
      <c r="AF109" s="64">
        <f>IF($A109="","",IF(AE109="직접",IFERROR(INDEX(계정매핑!$F$5:$F$504,MATCH($F109&amp;"",계정매핑!$A$5:$A$504,0))&amp;"","비귀속"),""))</f>
        <v/>
      </c>
      <c r="AG109" s="96">
        <f>IF($A109="",0,IF(AND(AE109&lt;&gt;"직접",IFERROR(INDEX(계정매핑!$G$5:$G$504,MATCH($F109&amp;"",계정매핑!$A$5:$A$504,0))&amp;"","")="유지비",COUNTIF(계정대체기준!$A$6:$A$15,$N109)&gt;0),IFERROR(INDEX(계정대체기준!$E$6:$E$15,MATCH(VALUE($A109&amp;""),계정대체기준!$D$6:$D$15,0)),0),0))</f>
        <v/>
      </c>
      <c r="AH109" s="64">
        <f>IF($A109="","",IF(AD109=0,"",IF(OR(COUNTIF(계정대체기준!$A$77:$A$86,$N109)&gt;0,ISNUMBER(MATCH($X109,계정대체기준!$D$77:$D$86,0)),ISNUMBER(MATCH($F109,계정대체기준!$D$77:$D$86,0))),"Y","N")))</f>
        <v/>
      </c>
    </row>
    <row r="110">
      <c r="A110" s="92" t="n">
        <v>2025</v>
      </c>
      <c r="B110" s="92" t="n">
        <v>1</v>
      </c>
      <c r="C110" s="92" t="inlineStr">
        <is>
          <t>5100000106</t>
        </is>
      </c>
      <c r="D110" s="95" t="n">
        <v>45670</v>
      </c>
      <c r="E110" s="92" t="inlineStr">
        <is>
          <t>KR</t>
        </is>
      </c>
      <c r="F110" s="92" t="n">
        <v>62101000</v>
      </c>
      <c r="G110" s="92" t="n">
        <v>1502</v>
      </c>
      <c r="H110" s="93" t="n">
        <v>374000</v>
      </c>
      <c r="I110" s="92" t="inlineStr">
        <is>
          <t>1월 국내출장 - L여행사</t>
        </is>
      </c>
      <c r="J110" s="92" t="inlineStr">
        <is>
          <t>V10018</t>
        </is>
      </c>
      <c r="K110" s="92" t="inlineStr">
        <is>
          <t>L여행사</t>
        </is>
      </c>
      <c r="M110" s="9">
        <f>IF($A110="","",VALUE($A110&amp;"")*12+VALUE($B110&amp;""))</f>
        <v/>
      </c>
      <c r="N110" s="64">
        <f>IF($A110="","",IFERROR(INDEX(부서매핑!$C$5:$C$504,MATCH($G110&amp;"",부서매핑!$A$5:$A$504,0)),"미매핑"))</f>
        <v/>
      </c>
      <c r="O110" s="9">
        <f>IF($A110="","",N110&amp;"|"&amp;$F110)</f>
        <v/>
      </c>
      <c r="P110" s="94">
        <f>IF($A110="",0,$H110*설정!$C$23)</f>
        <v/>
      </c>
      <c r="Q110" s="64">
        <f>IF($A110="","",IF(O110&lt;&gt;원인분석!$C$9,"",IF(AND(M110&gt;=원인분석!$C$10,M110&lt;=원인분석!$C$11),"당기",IF(AND(M110&gt;=원인분석!$C$12,M110&lt;=원인분석!$C$13),"비교",""))))</f>
        <v/>
      </c>
      <c r="R110" s="9">
        <f>IF(Q110="","",$K110&amp;"")</f>
        <v/>
      </c>
      <c r="S110" s="9">
        <f>IF(Q110="","",IF(MATCH(R110,$R$5:$R$100000,0)=ROW()-4,ROW(),""))</f>
        <v/>
      </c>
      <c r="T110" s="9">
        <f>IF(Q110="당기",ABS(P110)+ROW()/1000000000,"")</f>
        <v/>
      </c>
      <c r="U110" s="9">
        <f>IF(Q110="비교",ABS(P110)+ROW()/1000000000,"")</f>
        <v/>
      </c>
      <c r="V110" s="64">
        <f>IF($A110="","",IF(COUNTIF(변동분석!$E$7:$E$506,O110)&gt;0,"Y","N"))</f>
        <v/>
      </c>
      <c r="W110" s="64">
        <f>IF($A110="","",IFERROR(INDEX(계정매핑!$D$5:$D$504,MATCH($F110&amp;"",계정매핑!$A$5:$A$504,0)),"미매핑"))</f>
        <v/>
      </c>
      <c r="X110" s="9">
        <f>IF($A110="","",$F110&amp;"")</f>
        <v/>
      </c>
      <c r="Y110" s="94">
        <f>IF($A110="",0,IF(AE110="직접",IF(AF110="비귀속",$P110,0),$P110*(1-AG110)*IFERROR(INDEX(계정대체기준!$F$20:$F$49,MATCH($N110,계정대체기준!$A$20:$A$49,0)),1)))</f>
        <v/>
      </c>
      <c r="Z110" s="94">
        <f>IF($A110="",0,IF(AE110="직접",IF(AF110="신계약비",$P110,0),$P110*(1-AG110)*IFERROR(INDEX(계정대체기준!$C$20:$C$49,MATCH($N110,계정대체기준!$A$20:$A$49,0)),0)))</f>
        <v/>
      </c>
      <c r="AA110" s="94">
        <f>IF($A110="",0,IF(AE110="직접",IF(OR(AF110="유지비",AF110="손해조사비"),$P110,0),$P110*(1-AG110)*IFERROR(INDEX(계정대체기준!$D$20:$D$49,MATCH($N110,계정대체기준!$A$20:$A$49,0)),0)))</f>
        <v/>
      </c>
      <c r="AB110" s="94">
        <f>IF($A110="",0,IF(AE110="직접",IF(AF110="수금비",$P110,0),$P110*(1-AG110)*IFERROR(INDEX(계정대체기준!$E$20:$E$49,MATCH($N110,계정대체기준!$A$20:$A$49,0)),0)))</f>
        <v/>
      </c>
      <c r="AC110" s="9">
        <f>IF(AND($A110&lt;&gt;"",M110=설정!$C$20,Z110&gt;0),Z110+ROW()/1000000000,"")</f>
        <v/>
      </c>
      <c r="AD110" s="94">
        <f>IF($A110="",0,$P110*AG110)</f>
        <v/>
      </c>
      <c r="AE110" s="64">
        <f>IF($A110="","",IFERROR(INDEX(계정매핑!$E$5:$E$504,MATCH($F110&amp;"",계정매핑!$A$5:$A$504,0))&amp;"","공통비"))</f>
        <v/>
      </c>
      <c r="AF110" s="64">
        <f>IF($A110="","",IF(AE110="직접",IFERROR(INDEX(계정매핑!$F$5:$F$504,MATCH($F110&amp;"",계정매핑!$A$5:$A$504,0))&amp;"","비귀속"),""))</f>
        <v/>
      </c>
      <c r="AG110" s="96">
        <f>IF($A110="",0,IF(AND(AE110&lt;&gt;"직접",IFERROR(INDEX(계정매핑!$G$5:$G$504,MATCH($F110&amp;"",계정매핑!$A$5:$A$504,0))&amp;"","")="유지비",COUNTIF(계정대체기준!$A$6:$A$15,$N110)&gt;0),IFERROR(INDEX(계정대체기준!$E$6:$E$15,MATCH(VALUE($A110&amp;""),계정대체기준!$D$6:$D$15,0)),0),0))</f>
        <v/>
      </c>
      <c r="AH110" s="64">
        <f>IF($A110="","",IF(AD110=0,"",IF(OR(COUNTIF(계정대체기준!$A$77:$A$86,$N110)&gt;0,ISNUMBER(MATCH($X110,계정대체기준!$D$77:$D$86,0)),ISNUMBER(MATCH($F110,계정대체기준!$D$77:$D$86,0))),"Y","N")))</f>
        <v/>
      </c>
    </row>
    <row r="111">
      <c r="A111" s="92" t="n">
        <v>2025</v>
      </c>
      <c r="B111" s="92" t="n">
        <v>1</v>
      </c>
      <c r="C111" s="92" t="inlineStr">
        <is>
          <t>5100000107</t>
        </is>
      </c>
      <c r="D111" s="95" t="n">
        <v>45670</v>
      </c>
      <c r="E111" s="92" t="inlineStr">
        <is>
          <t>KR</t>
        </is>
      </c>
      <c r="F111" s="92" t="n">
        <v>62201000</v>
      </c>
      <c r="G111" s="92" t="n">
        <v>1301</v>
      </c>
      <c r="H111" s="93" t="n">
        <v>143000</v>
      </c>
      <c r="I111" s="92" t="inlineStr">
        <is>
          <t>1월 통신요금 - P통신</t>
        </is>
      </c>
      <c r="J111" s="92" t="inlineStr">
        <is>
          <t>V10014</t>
        </is>
      </c>
      <c r="K111" s="92" t="inlineStr">
        <is>
          <t>P통신</t>
        </is>
      </c>
      <c r="M111" s="9">
        <f>IF($A111="","",VALUE($A111&amp;"")*12+VALUE($B111&amp;""))</f>
        <v/>
      </c>
      <c r="N111" s="64">
        <f>IF($A111="","",IFERROR(INDEX(부서매핑!$C$5:$C$504,MATCH($G111&amp;"",부서매핑!$A$5:$A$504,0)),"미매핑"))</f>
        <v/>
      </c>
      <c r="O111" s="9">
        <f>IF($A111="","",N111&amp;"|"&amp;$F111)</f>
        <v/>
      </c>
      <c r="P111" s="94">
        <f>IF($A111="",0,$H111*설정!$C$23)</f>
        <v/>
      </c>
      <c r="Q111" s="64">
        <f>IF($A111="","",IF(O111&lt;&gt;원인분석!$C$9,"",IF(AND(M111&gt;=원인분석!$C$10,M111&lt;=원인분석!$C$11),"당기",IF(AND(M111&gt;=원인분석!$C$12,M111&lt;=원인분석!$C$13),"비교",""))))</f>
        <v/>
      </c>
      <c r="R111" s="9">
        <f>IF(Q111="","",$K111&amp;"")</f>
        <v/>
      </c>
      <c r="S111" s="9">
        <f>IF(Q111="","",IF(MATCH(R111,$R$5:$R$100000,0)=ROW()-4,ROW(),""))</f>
        <v/>
      </c>
      <c r="T111" s="9">
        <f>IF(Q111="당기",ABS(P111)+ROW()/1000000000,"")</f>
        <v/>
      </c>
      <c r="U111" s="9">
        <f>IF(Q111="비교",ABS(P111)+ROW()/1000000000,"")</f>
        <v/>
      </c>
      <c r="V111" s="64">
        <f>IF($A111="","",IF(COUNTIF(변동분석!$E$7:$E$506,O111)&gt;0,"Y","N"))</f>
        <v/>
      </c>
      <c r="W111" s="64">
        <f>IF($A111="","",IFERROR(INDEX(계정매핑!$D$5:$D$504,MATCH($F111&amp;"",계정매핑!$A$5:$A$504,0)),"미매핑"))</f>
        <v/>
      </c>
      <c r="X111" s="9">
        <f>IF($A111="","",$F111&amp;"")</f>
        <v/>
      </c>
      <c r="Y111" s="94">
        <f>IF($A111="",0,IF(AE111="직접",IF(AF111="비귀속",$P111,0),$P111*(1-AG111)*IFERROR(INDEX(계정대체기준!$F$20:$F$49,MATCH($N111,계정대체기준!$A$20:$A$49,0)),1)))</f>
        <v/>
      </c>
      <c r="Z111" s="94">
        <f>IF($A111="",0,IF(AE111="직접",IF(AF111="신계약비",$P111,0),$P111*(1-AG111)*IFERROR(INDEX(계정대체기준!$C$20:$C$49,MATCH($N111,계정대체기준!$A$20:$A$49,0)),0)))</f>
        <v/>
      </c>
      <c r="AA111" s="94">
        <f>IF($A111="",0,IF(AE111="직접",IF(OR(AF111="유지비",AF111="손해조사비"),$P111,0),$P111*(1-AG111)*IFERROR(INDEX(계정대체기준!$D$20:$D$49,MATCH($N111,계정대체기준!$A$20:$A$49,0)),0)))</f>
        <v/>
      </c>
      <c r="AB111" s="94">
        <f>IF($A111="",0,IF(AE111="직접",IF(AF111="수금비",$P111,0),$P111*(1-AG111)*IFERROR(INDEX(계정대체기준!$E$20:$E$49,MATCH($N111,계정대체기준!$A$20:$A$49,0)),0)))</f>
        <v/>
      </c>
      <c r="AC111" s="9">
        <f>IF(AND($A111&lt;&gt;"",M111=설정!$C$20,Z111&gt;0),Z111+ROW()/1000000000,"")</f>
        <v/>
      </c>
      <c r="AD111" s="94">
        <f>IF($A111="",0,$P111*AG111)</f>
        <v/>
      </c>
      <c r="AE111" s="64">
        <f>IF($A111="","",IFERROR(INDEX(계정매핑!$E$5:$E$504,MATCH($F111&amp;"",계정매핑!$A$5:$A$504,0))&amp;"","공통비"))</f>
        <v/>
      </c>
      <c r="AF111" s="64">
        <f>IF($A111="","",IF(AE111="직접",IFERROR(INDEX(계정매핑!$F$5:$F$504,MATCH($F111&amp;"",계정매핑!$A$5:$A$504,0))&amp;"","비귀속"),""))</f>
        <v/>
      </c>
      <c r="AG111" s="96">
        <f>IF($A111="",0,IF(AND(AE111&lt;&gt;"직접",IFERROR(INDEX(계정매핑!$G$5:$G$504,MATCH($F111&amp;"",계정매핑!$A$5:$A$504,0))&amp;"","")="유지비",COUNTIF(계정대체기준!$A$6:$A$15,$N111)&gt;0),IFERROR(INDEX(계정대체기준!$E$6:$E$15,MATCH(VALUE($A111&amp;""),계정대체기준!$D$6:$D$15,0)),0),0))</f>
        <v/>
      </c>
      <c r="AH111" s="64">
        <f>IF($A111="","",IF(AD111=0,"",IF(OR(COUNTIF(계정대체기준!$A$77:$A$86,$N111)&gt;0,ISNUMBER(MATCH($X111,계정대체기준!$D$77:$D$86,0)),ISNUMBER(MATCH($F111,계정대체기준!$D$77:$D$86,0))),"Y","N")))</f>
        <v/>
      </c>
    </row>
    <row r="112">
      <c r="A112" s="92" t="n">
        <v>2025</v>
      </c>
      <c r="B112" s="92" t="n">
        <v>1</v>
      </c>
      <c r="C112" s="92" t="inlineStr">
        <is>
          <t>5100000108</t>
        </is>
      </c>
      <c r="D112" s="95" t="n">
        <v>45670</v>
      </c>
      <c r="E112" s="92" t="inlineStr">
        <is>
          <t>KR</t>
        </is>
      </c>
      <c r="F112" s="92" t="n">
        <v>62301000</v>
      </c>
      <c r="G112" s="92" t="n">
        <v>1301</v>
      </c>
      <c r="H112" s="93" t="n">
        <v>215000</v>
      </c>
      <c r="I112" s="92" t="inlineStr">
        <is>
          <t>1월 소모품 구입 - R문구</t>
        </is>
      </c>
      <c r="J112" s="92" t="inlineStr">
        <is>
          <t>V10022</t>
        </is>
      </c>
      <c r="K112" s="92" t="inlineStr">
        <is>
          <t>R문구</t>
        </is>
      </c>
      <c r="M112" s="9">
        <f>IF($A112="","",VALUE($A112&amp;"")*12+VALUE($B112&amp;""))</f>
        <v/>
      </c>
      <c r="N112" s="64">
        <f>IF($A112="","",IFERROR(INDEX(부서매핑!$C$5:$C$504,MATCH($G112&amp;"",부서매핑!$A$5:$A$504,0)),"미매핑"))</f>
        <v/>
      </c>
      <c r="O112" s="9">
        <f>IF($A112="","",N112&amp;"|"&amp;$F112)</f>
        <v/>
      </c>
      <c r="P112" s="94">
        <f>IF($A112="",0,$H112*설정!$C$23)</f>
        <v/>
      </c>
      <c r="Q112" s="64">
        <f>IF($A112="","",IF(O112&lt;&gt;원인분석!$C$9,"",IF(AND(M112&gt;=원인분석!$C$10,M112&lt;=원인분석!$C$11),"당기",IF(AND(M112&gt;=원인분석!$C$12,M112&lt;=원인분석!$C$13),"비교",""))))</f>
        <v/>
      </c>
      <c r="R112" s="9">
        <f>IF(Q112="","",$K112&amp;"")</f>
        <v/>
      </c>
      <c r="S112" s="9">
        <f>IF(Q112="","",IF(MATCH(R112,$R$5:$R$100000,0)=ROW()-4,ROW(),""))</f>
        <v/>
      </c>
      <c r="T112" s="9">
        <f>IF(Q112="당기",ABS(P112)+ROW()/1000000000,"")</f>
        <v/>
      </c>
      <c r="U112" s="9">
        <f>IF(Q112="비교",ABS(P112)+ROW()/1000000000,"")</f>
        <v/>
      </c>
      <c r="V112" s="64">
        <f>IF($A112="","",IF(COUNTIF(변동분석!$E$7:$E$506,O112)&gt;0,"Y","N"))</f>
        <v/>
      </c>
      <c r="W112" s="64">
        <f>IF($A112="","",IFERROR(INDEX(계정매핑!$D$5:$D$504,MATCH($F112&amp;"",계정매핑!$A$5:$A$504,0)),"미매핑"))</f>
        <v/>
      </c>
      <c r="X112" s="9">
        <f>IF($A112="","",$F112&amp;"")</f>
        <v/>
      </c>
      <c r="Y112" s="94">
        <f>IF($A112="",0,IF(AE112="직접",IF(AF112="비귀속",$P112,0),$P112*(1-AG112)*IFERROR(INDEX(계정대체기준!$F$20:$F$49,MATCH($N112,계정대체기준!$A$20:$A$49,0)),1)))</f>
        <v/>
      </c>
      <c r="Z112" s="94">
        <f>IF($A112="",0,IF(AE112="직접",IF(AF112="신계약비",$P112,0),$P112*(1-AG112)*IFERROR(INDEX(계정대체기준!$C$20:$C$49,MATCH($N112,계정대체기준!$A$20:$A$49,0)),0)))</f>
        <v/>
      </c>
      <c r="AA112" s="94">
        <f>IF($A112="",0,IF(AE112="직접",IF(OR(AF112="유지비",AF112="손해조사비"),$P112,0),$P112*(1-AG112)*IFERROR(INDEX(계정대체기준!$D$20:$D$49,MATCH($N112,계정대체기준!$A$20:$A$49,0)),0)))</f>
        <v/>
      </c>
      <c r="AB112" s="94">
        <f>IF($A112="",0,IF(AE112="직접",IF(AF112="수금비",$P112,0),$P112*(1-AG112)*IFERROR(INDEX(계정대체기준!$E$20:$E$49,MATCH($N112,계정대체기준!$A$20:$A$49,0)),0)))</f>
        <v/>
      </c>
      <c r="AC112" s="9">
        <f>IF(AND($A112&lt;&gt;"",M112=설정!$C$20,Z112&gt;0),Z112+ROW()/1000000000,"")</f>
        <v/>
      </c>
      <c r="AD112" s="94">
        <f>IF($A112="",0,$P112*AG112)</f>
        <v/>
      </c>
      <c r="AE112" s="64">
        <f>IF($A112="","",IFERROR(INDEX(계정매핑!$E$5:$E$504,MATCH($F112&amp;"",계정매핑!$A$5:$A$504,0))&amp;"","공통비"))</f>
        <v/>
      </c>
      <c r="AF112" s="64">
        <f>IF($A112="","",IF(AE112="직접",IFERROR(INDEX(계정매핑!$F$5:$F$504,MATCH($F112&amp;"",계정매핑!$A$5:$A$504,0))&amp;"","비귀속"),""))</f>
        <v/>
      </c>
      <c r="AG112" s="96">
        <f>IF($A112="",0,IF(AND(AE112&lt;&gt;"직접",IFERROR(INDEX(계정매핑!$G$5:$G$504,MATCH($F112&amp;"",계정매핑!$A$5:$A$504,0))&amp;"","")="유지비",COUNTIF(계정대체기준!$A$6:$A$15,$N112)&gt;0),IFERROR(INDEX(계정대체기준!$E$6:$E$15,MATCH(VALUE($A112&amp;""),계정대체기준!$D$6:$D$15,0)),0),0))</f>
        <v/>
      </c>
      <c r="AH112" s="64">
        <f>IF($A112="","",IF(AD112=0,"",IF(OR(COUNTIF(계정대체기준!$A$77:$A$86,$N112)&gt;0,ISNUMBER(MATCH($X112,계정대체기준!$D$77:$D$86,0)),ISNUMBER(MATCH($F112,계정대체기준!$D$77:$D$86,0))),"Y","N")))</f>
        <v/>
      </c>
    </row>
    <row r="113">
      <c r="A113" s="92" t="n">
        <v>2025</v>
      </c>
      <c r="B113" s="92" t="n">
        <v>1</v>
      </c>
      <c r="C113" s="92" t="inlineStr">
        <is>
          <t>5100000109</t>
        </is>
      </c>
      <c r="D113" s="95" t="n">
        <v>45670</v>
      </c>
      <c r="E113" s="92" t="inlineStr">
        <is>
          <t>KR</t>
        </is>
      </c>
      <c r="F113" s="92" t="n">
        <v>62301000</v>
      </c>
      <c r="G113" s="92" t="n">
        <v>1401</v>
      </c>
      <c r="H113" s="93" t="n">
        <v>85000</v>
      </c>
      <c r="I113" s="92" t="inlineStr">
        <is>
          <t>1월 소모품 구입 - Q오피스</t>
        </is>
      </c>
      <c r="J113" s="92" t="inlineStr">
        <is>
          <t>V10003</t>
        </is>
      </c>
      <c r="K113" s="92" t="inlineStr">
        <is>
          <t>Q오피스</t>
        </is>
      </c>
      <c r="M113" s="9">
        <f>IF($A113="","",VALUE($A113&amp;"")*12+VALUE($B113&amp;""))</f>
        <v/>
      </c>
      <c r="N113" s="64">
        <f>IF($A113="","",IFERROR(INDEX(부서매핑!$C$5:$C$504,MATCH($G113&amp;"",부서매핑!$A$5:$A$504,0)),"미매핑"))</f>
        <v/>
      </c>
      <c r="O113" s="9">
        <f>IF($A113="","",N113&amp;"|"&amp;$F113)</f>
        <v/>
      </c>
      <c r="P113" s="94">
        <f>IF($A113="",0,$H113*설정!$C$23)</f>
        <v/>
      </c>
      <c r="Q113" s="64">
        <f>IF($A113="","",IF(O113&lt;&gt;원인분석!$C$9,"",IF(AND(M113&gt;=원인분석!$C$10,M113&lt;=원인분석!$C$11),"당기",IF(AND(M113&gt;=원인분석!$C$12,M113&lt;=원인분석!$C$13),"비교",""))))</f>
        <v/>
      </c>
      <c r="R113" s="9">
        <f>IF(Q113="","",$K113&amp;"")</f>
        <v/>
      </c>
      <c r="S113" s="9">
        <f>IF(Q113="","",IF(MATCH(R113,$R$5:$R$100000,0)=ROW()-4,ROW(),""))</f>
        <v/>
      </c>
      <c r="T113" s="9">
        <f>IF(Q113="당기",ABS(P113)+ROW()/1000000000,"")</f>
        <v/>
      </c>
      <c r="U113" s="9">
        <f>IF(Q113="비교",ABS(P113)+ROW()/1000000000,"")</f>
        <v/>
      </c>
      <c r="V113" s="64">
        <f>IF($A113="","",IF(COUNTIF(변동분석!$E$7:$E$506,O113)&gt;0,"Y","N"))</f>
        <v/>
      </c>
      <c r="W113" s="64">
        <f>IF($A113="","",IFERROR(INDEX(계정매핑!$D$5:$D$504,MATCH($F113&amp;"",계정매핑!$A$5:$A$504,0)),"미매핑"))</f>
        <v/>
      </c>
      <c r="X113" s="9">
        <f>IF($A113="","",$F113&amp;"")</f>
        <v/>
      </c>
      <c r="Y113" s="94">
        <f>IF($A113="",0,IF(AE113="직접",IF(AF113="비귀속",$P113,0),$P113*(1-AG113)*IFERROR(INDEX(계정대체기준!$F$20:$F$49,MATCH($N113,계정대체기준!$A$20:$A$49,0)),1)))</f>
        <v/>
      </c>
      <c r="Z113" s="94">
        <f>IF($A113="",0,IF(AE113="직접",IF(AF113="신계약비",$P113,0),$P113*(1-AG113)*IFERROR(INDEX(계정대체기준!$C$20:$C$49,MATCH($N113,계정대체기준!$A$20:$A$49,0)),0)))</f>
        <v/>
      </c>
      <c r="AA113" s="94">
        <f>IF($A113="",0,IF(AE113="직접",IF(OR(AF113="유지비",AF113="손해조사비"),$P113,0),$P113*(1-AG113)*IFERROR(INDEX(계정대체기준!$D$20:$D$49,MATCH($N113,계정대체기준!$A$20:$A$49,0)),0)))</f>
        <v/>
      </c>
      <c r="AB113" s="94">
        <f>IF($A113="",0,IF(AE113="직접",IF(AF113="수금비",$P113,0),$P113*(1-AG113)*IFERROR(INDEX(계정대체기준!$E$20:$E$49,MATCH($N113,계정대체기준!$A$20:$A$49,0)),0)))</f>
        <v/>
      </c>
      <c r="AC113" s="9">
        <f>IF(AND($A113&lt;&gt;"",M113=설정!$C$20,Z113&gt;0),Z113+ROW()/1000000000,"")</f>
        <v/>
      </c>
      <c r="AD113" s="94">
        <f>IF($A113="",0,$P113*AG113)</f>
        <v/>
      </c>
      <c r="AE113" s="64">
        <f>IF($A113="","",IFERROR(INDEX(계정매핑!$E$5:$E$504,MATCH($F113&amp;"",계정매핑!$A$5:$A$504,0))&amp;"","공통비"))</f>
        <v/>
      </c>
      <c r="AF113" s="64">
        <f>IF($A113="","",IF(AE113="직접",IFERROR(INDEX(계정매핑!$F$5:$F$504,MATCH($F113&amp;"",계정매핑!$A$5:$A$504,0))&amp;"","비귀속"),""))</f>
        <v/>
      </c>
      <c r="AG113" s="96">
        <f>IF($A113="",0,IF(AND(AE113&lt;&gt;"직접",IFERROR(INDEX(계정매핑!$G$5:$G$504,MATCH($F113&amp;"",계정매핑!$A$5:$A$504,0))&amp;"","")="유지비",COUNTIF(계정대체기준!$A$6:$A$15,$N113)&gt;0),IFERROR(INDEX(계정대체기준!$E$6:$E$15,MATCH(VALUE($A113&amp;""),계정대체기준!$D$6:$D$15,0)),0),0))</f>
        <v/>
      </c>
      <c r="AH113" s="64">
        <f>IF($A113="","",IF(AD113=0,"",IF(OR(COUNTIF(계정대체기준!$A$77:$A$86,$N113)&gt;0,ISNUMBER(MATCH($X113,계정대체기준!$D$77:$D$86,0)),ISNUMBER(MATCH($F113,계정대체기준!$D$77:$D$86,0))),"Y","N")))</f>
        <v/>
      </c>
    </row>
    <row r="114">
      <c r="A114" s="92" t="n">
        <v>2025</v>
      </c>
      <c r="B114" s="92" t="n">
        <v>1</v>
      </c>
      <c r="C114" s="92" t="inlineStr">
        <is>
          <t>5100000110</t>
        </is>
      </c>
      <c r="D114" s="95" t="n">
        <v>45670</v>
      </c>
      <c r="E114" s="92" t="inlineStr">
        <is>
          <t>KR</t>
        </is>
      </c>
      <c r="F114" s="92" t="n">
        <v>62401000</v>
      </c>
      <c r="G114" s="92" t="n">
        <v>1401</v>
      </c>
      <c r="H114" s="93" t="n">
        <v>189000</v>
      </c>
      <c r="I114" s="92" t="inlineStr">
        <is>
          <t>1월 인쇄물 제작 - S출판</t>
        </is>
      </c>
      <c r="J114" s="92" t="inlineStr">
        <is>
          <t>V10015</t>
        </is>
      </c>
      <c r="K114" s="92" t="inlineStr">
        <is>
          <t>S출판</t>
        </is>
      </c>
      <c r="M114" s="9">
        <f>IF($A114="","",VALUE($A114&amp;"")*12+VALUE($B114&amp;""))</f>
        <v/>
      </c>
      <c r="N114" s="64">
        <f>IF($A114="","",IFERROR(INDEX(부서매핑!$C$5:$C$504,MATCH($G114&amp;"",부서매핑!$A$5:$A$504,0)),"미매핑"))</f>
        <v/>
      </c>
      <c r="O114" s="9">
        <f>IF($A114="","",N114&amp;"|"&amp;$F114)</f>
        <v/>
      </c>
      <c r="P114" s="94">
        <f>IF($A114="",0,$H114*설정!$C$23)</f>
        <v/>
      </c>
      <c r="Q114" s="64">
        <f>IF($A114="","",IF(O114&lt;&gt;원인분석!$C$9,"",IF(AND(M114&gt;=원인분석!$C$10,M114&lt;=원인분석!$C$11),"당기",IF(AND(M114&gt;=원인분석!$C$12,M114&lt;=원인분석!$C$13),"비교",""))))</f>
        <v/>
      </c>
      <c r="R114" s="9">
        <f>IF(Q114="","",$K114&amp;"")</f>
        <v/>
      </c>
      <c r="S114" s="9">
        <f>IF(Q114="","",IF(MATCH(R114,$R$5:$R$100000,0)=ROW()-4,ROW(),""))</f>
        <v/>
      </c>
      <c r="T114" s="9">
        <f>IF(Q114="당기",ABS(P114)+ROW()/1000000000,"")</f>
        <v/>
      </c>
      <c r="U114" s="9">
        <f>IF(Q114="비교",ABS(P114)+ROW()/1000000000,"")</f>
        <v/>
      </c>
      <c r="V114" s="64">
        <f>IF($A114="","",IF(COUNTIF(변동분석!$E$7:$E$506,O114)&gt;0,"Y","N"))</f>
        <v/>
      </c>
      <c r="W114" s="64">
        <f>IF($A114="","",IFERROR(INDEX(계정매핑!$D$5:$D$504,MATCH($F114&amp;"",계정매핑!$A$5:$A$504,0)),"미매핑"))</f>
        <v/>
      </c>
      <c r="X114" s="9">
        <f>IF($A114="","",$F114&amp;"")</f>
        <v/>
      </c>
      <c r="Y114" s="94">
        <f>IF($A114="",0,IF(AE114="직접",IF(AF114="비귀속",$P114,0),$P114*(1-AG114)*IFERROR(INDEX(계정대체기준!$F$20:$F$49,MATCH($N114,계정대체기준!$A$20:$A$49,0)),1)))</f>
        <v/>
      </c>
      <c r="Z114" s="94">
        <f>IF($A114="",0,IF(AE114="직접",IF(AF114="신계약비",$P114,0),$P114*(1-AG114)*IFERROR(INDEX(계정대체기준!$C$20:$C$49,MATCH($N114,계정대체기준!$A$20:$A$49,0)),0)))</f>
        <v/>
      </c>
      <c r="AA114" s="94">
        <f>IF($A114="",0,IF(AE114="직접",IF(OR(AF114="유지비",AF114="손해조사비"),$P114,0),$P114*(1-AG114)*IFERROR(INDEX(계정대체기준!$D$20:$D$49,MATCH($N114,계정대체기준!$A$20:$A$49,0)),0)))</f>
        <v/>
      </c>
      <c r="AB114" s="94">
        <f>IF($A114="",0,IF(AE114="직접",IF(AF114="수금비",$P114,0),$P114*(1-AG114)*IFERROR(INDEX(계정대체기준!$E$20:$E$49,MATCH($N114,계정대체기준!$A$20:$A$49,0)),0)))</f>
        <v/>
      </c>
      <c r="AC114" s="9">
        <f>IF(AND($A114&lt;&gt;"",M114=설정!$C$20,Z114&gt;0),Z114+ROW()/1000000000,"")</f>
        <v/>
      </c>
      <c r="AD114" s="94">
        <f>IF($A114="",0,$P114*AG114)</f>
        <v/>
      </c>
      <c r="AE114" s="64">
        <f>IF($A114="","",IFERROR(INDEX(계정매핑!$E$5:$E$504,MATCH($F114&amp;"",계정매핑!$A$5:$A$504,0))&amp;"","공통비"))</f>
        <v/>
      </c>
      <c r="AF114" s="64">
        <f>IF($A114="","",IF(AE114="직접",IFERROR(INDEX(계정매핑!$F$5:$F$504,MATCH($F114&amp;"",계정매핑!$A$5:$A$504,0))&amp;"","비귀속"),""))</f>
        <v/>
      </c>
      <c r="AG114" s="96">
        <f>IF($A114="",0,IF(AND(AE114&lt;&gt;"직접",IFERROR(INDEX(계정매핑!$G$5:$G$504,MATCH($F114&amp;"",계정매핑!$A$5:$A$504,0))&amp;"","")="유지비",COUNTIF(계정대체기준!$A$6:$A$15,$N114)&gt;0),IFERROR(INDEX(계정대체기준!$E$6:$E$15,MATCH(VALUE($A114&amp;""),계정대체기준!$D$6:$D$15,0)),0),0))</f>
        <v/>
      </c>
      <c r="AH114" s="64">
        <f>IF($A114="","",IF(AD114=0,"",IF(OR(COUNTIF(계정대체기준!$A$77:$A$86,$N114)&gt;0,ISNUMBER(MATCH($X114,계정대체기준!$D$77:$D$86,0)),ISNUMBER(MATCH($F114,계정대체기준!$D$77:$D$86,0))),"Y","N")))</f>
        <v/>
      </c>
    </row>
    <row r="115">
      <c r="A115" s="92" t="n">
        <v>2025</v>
      </c>
      <c r="B115" s="92" t="n">
        <v>1</v>
      </c>
      <c r="C115" s="92" t="inlineStr">
        <is>
          <t>5100000111</t>
        </is>
      </c>
      <c r="D115" s="95" t="n">
        <v>45670</v>
      </c>
      <c r="E115" s="92" t="inlineStr">
        <is>
          <t>KR</t>
        </is>
      </c>
      <c r="F115" s="92" t="n">
        <v>62802000</v>
      </c>
      <c r="G115" s="92" t="n">
        <v>1301</v>
      </c>
      <c r="H115" s="93" t="n">
        <v>5457000</v>
      </c>
      <c r="I115" s="92" t="inlineStr">
        <is>
          <t>1월 위탁교육 - V아카데미</t>
        </is>
      </c>
      <c r="J115" s="92" t="inlineStr">
        <is>
          <t>V10027</t>
        </is>
      </c>
      <c r="K115" s="92" t="inlineStr">
        <is>
          <t>V아카데미</t>
        </is>
      </c>
      <c r="M115" s="9">
        <f>IF($A115="","",VALUE($A115&amp;"")*12+VALUE($B115&amp;""))</f>
        <v/>
      </c>
      <c r="N115" s="64">
        <f>IF($A115="","",IFERROR(INDEX(부서매핑!$C$5:$C$504,MATCH($G115&amp;"",부서매핑!$A$5:$A$504,0)),"미매핑"))</f>
        <v/>
      </c>
      <c r="O115" s="9">
        <f>IF($A115="","",N115&amp;"|"&amp;$F115)</f>
        <v/>
      </c>
      <c r="P115" s="94">
        <f>IF($A115="",0,$H115*설정!$C$23)</f>
        <v/>
      </c>
      <c r="Q115" s="64">
        <f>IF($A115="","",IF(O115&lt;&gt;원인분석!$C$9,"",IF(AND(M115&gt;=원인분석!$C$10,M115&lt;=원인분석!$C$11),"당기",IF(AND(M115&gt;=원인분석!$C$12,M115&lt;=원인분석!$C$13),"비교",""))))</f>
        <v/>
      </c>
      <c r="R115" s="9">
        <f>IF(Q115="","",$K115&amp;"")</f>
        <v/>
      </c>
      <c r="S115" s="9">
        <f>IF(Q115="","",IF(MATCH(R115,$R$5:$R$100000,0)=ROW()-4,ROW(),""))</f>
        <v/>
      </c>
      <c r="T115" s="9">
        <f>IF(Q115="당기",ABS(P115)+ROW()/1000000000,"")</f>
        <v/>
      </c>
      <c r="U115" s="9">
        <f>IF(Q115="비교",ABS(P115)+ROW()/1000000000,"")</f>
        <v/>
      </c>
      <c r="V115" s="64">
        <f>IF($A115="","",IF(COUNTIF(변동분석!$E$7:$E$506,O115)&gt;0,"Y","N"))</f>
        <v/>
      </c>
      <c r="W115" s="64">
        <f>IF($A115="","",IFERROR(INDEX(계정매핑!$D$5:$D$504,MATCH($F115&amp;"",계정매핑!$A$5:$A$504,0)),"미매핑"))</f>
        <v/>
      </c>
      <c r="X115" s="9">
        <f>IF($A115="","",$F115&amp;"")</f>
        <v/>
      </c>
      <c r="Y115" s="94">
        <f>IF($A115="",0,IF(AE115="직접",IF(AF115="비귀속",$P115,0),$P115*(1-AG115)*IFERROR(INDEX(계정대체기준!$F$20:$F$49,MATCH($N115,계정대체기준!$A$20:$A$49,0)),1)))</f>
        <v/>
      </c>
      <c r="Z115" s="94">
        <f>IF($A115="",0,IF(AE115="직접",IF(AF115="신계약비",$P115,0),$P115*(1-AG115)*IFERROR(INDEX(계정대체기준!$C$20:$C$49,MATCH($N115,계정대체기준!$A$20:$A$49,0)),0)))</f>
        <v/>
      </c>
      <c r="AA115" s="94">
        <f>IF($A115="",0,IF(AE115="직접",IF(OR(AF115="유지비",AF115="손해조사비"),$P115,0),$P115*(1-AG115)*IFERROR(INDEX(계정대체기준!$D$20:$D$49,MATCH($N115,계정대체기준!$A$20:$A$49,0)),0)))</f>
        <v/>
      </c>
      <c r="AB115" s="94">
        <f>IF($A115="",0,IF(AE115="직접",IF(AF115="수금비",$P115,0),$P115*(1-AG115)*IFERROR(INDEX(계정대체기준!$E$20:$E$49,MATCH($N115,계정대체기준!$A$20:$A$49,0)),0)))</f>
        <v/>
      </c>
      <c r="AC115" s="9">
        <f>IF(AND($A115&lt;&gt;"",M115=설정!$C$20,Z115&gt;0),Z115+ROW()/1000000000,"")</f>
        <v/>
      </c>
      <c r="AD115" s="94">
        <f>IF($A115="",0,$P115*AG115)</f>
        <v/>
      </c>
      <c r="AE115" s="64">
        <f>IF($A115="","",IFERROR(INDEX(계정매핑!$E$5:$E$504,MATCH($F115&amp;"",계정매핑!$A$5:$A$504,0))&amp;"","공통비"))</f>
        <v/>
      </c>
      <c r="AF115" s="64">
        <f>IF($A115="","",IF(AE115="직접",IFERROR(INDEX(계정매핑!$F$5:$F$504,MATCH($F115&amp;"",계정매핑!$A$5:$A$504,0))&amp;"","비귀속"),""))</f>
        <v/>
      </c>
      <c r="AG115" s="96">
        <f>IF($A115="",0,IF(AND(AE115&lt;&gt;"직접",IFERROR(INDEX(계정매핑!$G$5:$G$504,MATCH($F115&amp;"",계정매핑!$A$5:$A$504,0))&amp;"","")="유지비",COUNTIF(계정대체기준!$A$6:$A$15,$N115)&gt;0),IFERROR(INDEX(계정대체기준!$E$6:$E$15,MATCH(VALUE($A115&amp;""),계정대체기준!$D$6:$D$15,0)),0),0))</f>
        <v/>
      </c>
      <c r="AH115" s="64">
        <f>IF($A115="","",IF(AD115=0,"",IF(OR(COUNTIF(계정대체기준!$A$77:$A$86,$N115)&gt;0,ISNUMBER(MATCH($X115,계정대체기준!$D$77:$D$86,0)),ISNUMBER(MATCH($F115,계정대체기준!$D$77:$D$86,0))),"Y","N")))</f>
        <v/>
      </c>
    </row>
    <row r="116">
      <c r="A116" s="92" t="n">
        <v>2025</v>
      </c>
      <c r="B116" s="92" t="n">
        <v>1</v>
      </c>
      <c r="C116" s="92" t="inlineStr">
        <is>
          <t>5100000112</t>
        </is>
      </c>
      <c r="D116" s="95" t="n">
        <v>45670</v>
      </c>
      <c r="E116" s="92" t="inlineStr">
        <is>
          <t>KR</t>
        </is>
      </c>
      <c r="F116" s="92" t="n">
        <v>62901000</v>
      </c>
      <c r="G116" s="92" t="n">
        <v>1101</v>
      </c>
      <c r="H116" s="93" t="n">
        <v>2125000</v>
      </c>
      <c r="I116" s="92" t="inlineStr">
        <is>
          <t>1월 자문 수수료 - K회계법인</t>
        </is>
      </c>
      <c r="J116" s="92" t="inlineStr">
        <is>
          <t>V10011</t>
        </is>
      </c>
      <c r="K116" s="92" t="inlineStr">
        <is>
          <t>K회계법인</t>
        </is>
      </c>
      <c r="M116" s="9">
        <f>IF($A116="","",VALUE($A116&amp;"")*12+VALUE($B116&amp;""))</f>
        <v/>
      </c>
      <c r="N116" s="64">
        <f>IF($A116="","",IFERROR(INDEX(부서매핑!$C$5:$C$504,MATCH($G116&amp;"",부서매핑!$A$5:$A$504,0)),"미매핑"))</f>
        <v/>
      </c>
      <c r="O116" s="9">
        <f>IF($A116="","",N116&amp;"|"&amp;$F116)</f>
        <v/>
      </c>
      <c r="P116" s="94">
        <f>IF($A116="",0,$H116*설정!$C$23)</f>
        <v/>
      </c>
      <c r="Q116" s="64">
        <f>IF($A116="","",IF(O116&lt;&gt;원인분석!$C$9,"",IF(AND(M116&gt;=원인분석!$C$10,M116&lt;=원인분석!$C$11),"당기",IF(AND(M116&gt;=원인분석!$C$12,M116&lt;=원인분석!$C$13),"비교",""))))</f>
        <v/>
      </c>
      <c r="R116" s="9">
        <f>IF(Q116="","",$K116&amp;"")</f>
        <v/>
      </c>
      <c r="S116" s="9">
        <f>IF(Q116="","",IF(MATCH(R116,$R$5:$R$100000,0)=ROW()-4,ROW(),""))</f>
        <v/>
      </c>
      <c r="T116" s="9">
        <f>IF(Q116="당기",ABS(P116)+ROW()/1000000000,"")</f>
        <v/>
      </c>
      <c r="U116" s="9">
        <f>IF(Q116="비교",ABS(P116)+ROW()/1000000000,"")</f>
        <v/>
      </c>
      <c r="V116" s="64">
        <f>IF($A116="","",IF(COUNTIF(변동분석!$E$7:$E$506,O116)&gt;0,"Y","N"))</f>
        <v/>
      </c>
      <c r="W116" s="64">
        <f>IF($A116="","",IFERROR(INDEX(계정매핑!$D$5:$D$504,MATCH($F116&amp;"",계정매핑!$A$5:$A$504,0)),"미매핑"))</f>
        <v/>
      </c>
      <c r="X116" s="9">
        <f>IF($A116="","",$F116&amp;"")</f>
        <v/>
      </c>
      <c r="Y116" s="94">
        <f>IF($A116="",0,IF(AE116="직접",IF(AF116="비귀속",$P116,0),$P116*(1-AG116)*IFERROR(INDEX(계정대체기준!$F$20:$F$49,MATCH($N116,계정대체기준!$A$20:$A$49,0)),1)))</f>
        <v/>
      </c>
      <c r="Z116" s="94">
        <f>IF($A116="",0,IF(AE116="직접",IF(AF116="신계약비",$P116,0),$P116*(1-AG116)*IFERROR(INDEX(계정대체기준!$C$20:$C$49,MATCH($N116,계정대체기준!$A$20:$A$49,0)),0)))</f>
        <v/>
      </c>
      <c r="AA116" s="94">
        <f>IF($A116="",0,IF(AE116="직접",IF(OR(AF116="유지비",AF116="손해조사비"),$P116,0),$P116*(1-AG116)*IFERROR(INDEX(계정대체기준!$D$20:$D$49,MATCH($N116,계정대체기준!$A$20:$A$49,0)),0)))</f>
        <v/>
      </c>
      <c r="AB116" s="94">
        <f>IF($A116="",0,IF(AE116="직접",IF(AF116="수금비",$P116,0),$P116*(1-AG116)*IFERROR(INDEX(계정대체기준!$E$20:$E$49,MATCH($N116,계정대체기준!$A$20:$A$49,0)),0)))</f>
        <v/>
      </c>
      <c r="AC116" s="9">
        <f>IF(AND($A116&lt;&gt;"",M116=설정!$C$20,Z116&gt;0),Z116+ROW()/1000000000,"")</f>
        <v/>
      </c>
      <c r="AD116" s="94">
        <f>IF($A116="",0,$P116*AG116)</f>
        <v/>
      </c>
      <c r="AE116" s="64">
        <f>IF($A116="","",IFERROR(INDEX(계정매핑!$E$5:$E$504,MATCH($F116&amp;"",계정매핑!$A$5:$A$504,0))&amp;"","공통비"))</f>
        <v/>
      </c>
      <c r="AF116" s="64">
        <f>IF($A116="","",IF(AE116="직접",IFERROR(INDEX(계정매핑!$F$5:$F$504,MATCH($F116&amp;"",계정매핑!$A$5:$A$504,0))&amp;"","비귀속"),""))</f>
        <v/>
      </c>
      <c r="AG116" s="96">
        <f>IF($A116="",0,IF(AND(AE116&lt;&gt;"직접",IFERROR(INDEX(계정매핑!$G$5:$G$504,MATCH($F116&amp;"",계정매핑!$A$5:$A$504,0))&amp;"","")="유지비",COUNTIF(계정대체기준!$A$6:$A$15,$N116)&gt;0),IFERROR(INDEX(계정대체기준!$E$6:$E$15,MATCH(VALUE($A116&amp;""),계정대체기준!$D$6:$D$15,0)),0),0))</f>
        <v/>
      </c>
      <c r="AH116" s="64">
        <f>IF($A116="","",IF(AD116=0,"",IF(OR(COUNTIF(계정대체기준!$A$77:$A$86,$N116)&gt;0,ISNUMBER(MATCH($X116,계정대체기준!$D$77:$D$86,0)),ISNUMBER(MATCH($F116,계정대체기준!$D$77:$D$86,0))),"Y","N")))</f>
        <v/>
      </c>
    </row>
    <row r="117">
      <c r="A117" s="92" t="n">
        <v>2025</v>
      </c>
      <c r="B117" s="92" t="n">
        <v>1</v>
      </c>
      <c r="C117" s="92" t="inlineStr">
        <is>
          <t>5100000113</t>
        </is>
      </c>
      <c r="D117" s="95" t="n">
        <v>45670</v>
      </c>
      <c r="E117" s="92" t="inlineStr">
        <is>
          <t>KR</t>
        </is>
      </c>
      <c r="F117" s="92" t="n">
        <v>62902000</v>
      </c>
      <c r="G117" s="92" t="n">
        <v>1801</v>
      </c>
      <c r="H117" s="93" t="n">
        <v>1765000</v>
      </c>
      <c r="I117" s="92" t="inlineStr">
        <is>
          <t>1월 콜 위탁 수수료(건별)</t>
        </is>
      </c>
      <c r="J117" s="92" t="inlineStr">
        <is>
          <t>V10016</t>
        </is>
      </c>
      <c r="K117" s="92" t="inlineStr">
        <is>
          <t>J콜센터</t>
        </is>
      </c>
      <c r="M117" s="9">
        <f>IF($A117="","",VALUE($A117&amp;"")*12+VALUE($B117&amp;""))</f>
        <v/>
      </c>
      <c r="N117" s="64">
        <f>IF($A117="","",IFERROR(INDEX(부서매핑!$C$5:$C$504,MATCH($G117&amp;"",부서매핑!$A$5:$A$504,0)),"미매핑"))</f>
        <v/>
      </c>
      <c r="O117" s="9">
        <f>IF($A117="","",N117&amp;"|"&amp;$F117)</f>
        <v/>
      </c>
      <c r="P117" s="94">
        <f>IF($A117="",0,$H117*설정!$C$23)</f>
        <v/>
      </c>
      <c r="Q117" s="64">
        <f>IF($A117="","",IF(O117&lt;&gt;원인분석!$C$9,"",IF(AND(M117&gt;=원인분석!$C$10,M117&lt;=원인분석!$C$11),"당기",IF(AND(M117&gt;=원인분석!$C$12,M117&lt;=원인분석!$C$13),"비교",""))))</f>
        <v/>
      </c>
      <c r="R117" s="9">
        <f>IF(Q117="","",$K117&amp;"")</f>
        <v/>
      </c>
      <c r="S117" s="9">
        <f>IF(Q117="","",IF(MATCH(R117,$R$5:$R$100000,0)=ROW()-4,ROW(),""))</f>
        <v/>
      </c>
      <c r="T117" s="9">
        <f>IF(Q117="당기",ABS(P117)+ROW()/1000000000,"")</f>
        <v/>
      </c>
      <c r="U117" s="9">
        <f>IF(Q117="비교",ABS(P117)+ROW()/1000000000,"")</f>
        <v/>
      </c>
      <c r="V117" s="64">
        <f>IF($A117="","",IF(COUNTIF(변동분석!$E$7:$E$506,O117)&gt;0,"Y","N"))</f>
        <v/>
      </c>
      <c r="W117" s="64">
        <f>IF($A117="","",IFERROR(INDEX(계정매핑!$D$5:$D$504,MATCH($F117&amp;"",계정매핑!$A$5:$A$504,0)),"미매핑"))</f>
        <v/>
      </c>
      <c r="X117" s="9">
        <f>IF($A117="","",$F117&amp;"")</f>
        <v/>
      </c>
      <c r="Y117" s="94">
        <f>IF($A117="",0,IF(AE117="직접",IF(AF117="비귀속",$P117,0),$P117*(1-AG117)*IFERROR(INDEX(계정대체기준!$F$20:$F$49,MATCH($N117,계정대체기준!$A$20:$A$49,0)),1)))</f>
        <v/>
      </c>
      <c r="Z117" s="94">
        <f>IF($A117="",0,IF(AE117="직접",IF(AF117="신계약비",$P117,0),$P117*(1-AG117)*IFERROR(INDEX(계정대체기준!$C$20:$C$49,MATCH($N117,계정대체기준!$A$20:$A$49,0)),0)))</f>
        <v/>
      </c>
      <c r="AA117" s="94">
        <f>IF($A117="",0,IF(AE117="직접",IF(OR(AF117="유지비",AF117="손해조사비"),$P117,0),$P117*(1-AG117)*IFERROR(INDEX(계정대체기준!$D$20:$D$49,MATCH($N117,계정대체기준!$A$20:$A$49,0)),0)))</f>
        <v/>
      </c>
      <c r="AB117" s="94">
        <f>IF($A117="",0,IF(AE117="직접",IF(AF117="수금비",$P117,0),$P117*(1-AG117)*IFERROR(INDEX(계정대체기준!$E$20:$E$49,MATCH($N117,계정대체기준!$A$20:$A$49,0)),0)))</f>
        <v/>
      </c>
      <c r="AC117" s="9">
        <f>IF(AND($A117&lt;&gt;"",M117=설정!$C$20,Z117&gt;0),Z117+ROW()/1000000000,"")</f>
        <v/>
      </c>
      <c r="AD117" s="94">
        <f>IF($A117="",0,$P117*AG117)</f>
        <v/>
      </c>
      <c r="AE117" s="64">
        <f>IF($A117="","",IFERROR(INDEX(계정매핑!$E$5:$E$504,MATCH($F117&amp;"",계정매핑!$A$5:$A$504,0))&amp;"","공통비"))</f>
        <v/>
      </c>
      <c r="AF117" s="64">
        <f>IF($A117="","",IF(AE117="직접",IFERROR(INDEX(계정매핑!$F$5:$F$504,MATCH($F117&amp;"",계정매핑!$A$5:$A$504,0))&amp;"","비귀속"),""))</f>
        <v/>
      </c>
      <c r="AG117" s="96">
        <f>IF($A117="",0,IF(AND(AE117&lt;&gt;"직접",IFERROR(INDEX(계정매핑!$G$5:$G$504,MATCH($F117&amp;"",계정매핑!$A$5:$A$504,0))&amp;"","")="유지비",COUNTIF(계정대체기준!$A$6:$A$15,$N117)&gt;0),IFERROR(INDEX(계정대체기준!$E$6:$E$15,MATCH(VALUE($A117&amp;""),계정대체기준!$D$6:$D$15,0)),0),0))</f>
        <v/>
      </c>
      <c r="AH117" s="64">
        <f>IF($A117="","",IF(AD117=0,"",IF(OR(COUNTIF(계정대체기준!$A$77:$A$86,$N117)&gt;0,ISNUMBER(MATCH($X117,계정대체기준!$D$77:$D$86,0)),ISNUMBER(MATCH($F117,계정대체기준!$D$77:$D$86,0))),"Y","N")))</f>
        <v/>
      </c>
    </row>
    <row r="118">
      <c r="A118" s="92" t="n">
        <v>2025</v>
      </c>
      <c r="B118" s="92" t="n">
        <v>1</v>
      </c>
      <c r="C118" s="92" t="inlineStr">
        <is>
          <t>5100000114</t>
        </is>
      </c>
      <c r="D118" s="95" t="n">
        <v>45671</v>
      </c>
      <c r="E118" s="92" t="inlineStr">
        <is>
          <t>KR</t>
        </is>
      </c>
      <c r="F118" s="92" t="n">
        <v>62101000</v>
      </c>
      <c r="G118" s="92" t="n">
        <v>1301</v>
      </c>
      <c r="H118" s="93" t="n">
        <v>187000</v>
      </c>
      <c r="I118" s="92" t="inlineStr">
        <is>
          <t>1월 국내출장 - L여행사</t>
        </is>
      </c>
      <c r="J118" s="92" t="inlineStr">
        <is>
          <t>V10018</t>
        </is>
      </c>
      <c r="K118" s="92" t="inlineStr">
        <is>
          <t>L여행사</t>
        </is>
      </c>
      <c r="M118" s="9">
        <f>IF($A118="","",VALUE($A118&amp;"")*12+VALUE($B118&amp;""))</f>
        <v/>
      </c>
      <c r="N118" s="64">
        <f>IF($A118="","",IFERROR(INDEX(부서매핑!$C$5:$C$504,MATCH($G118&amp;"",부서매핑!$A$5:$A$504,0)),"미매핑"))</f>
        <v/>
      </c>
      <c r="O118" s="9">
        <f>IF($A118="","",N118&amp;"|"&amp;$F118)</f>
        <v/>
      </c>
      <c r="P118" s="94">
        <f>IF($A118="",0,$H118*설정!$C$23)</f>
        <v/>
      </c>
      <c r="Q118" s="64">
        <f>IF($A118="","",IF(O118&lt;&gt;원인분석!$C$9,"",IF(AND(M118&gt;=원인분석!$C$10,M118&lt;=원인분석!$C$11),"당기",IF(AND(M118&gt;=원인분석!$C$12,M118&lt;=원인분석!$C$13),"비교",""))))</f>
        <v/>
      </c>
      <c r="R118" s="9">
        <f>IF(Q118="","",$K118&amp;"")</f>
        <v/>
      </c>
      <c r="S118" s="9">
        <f>IF(Q118="","",IF(MATCH(R118,$R$5:$R$100000,0)=ROW()-4,ROW(),""))</f>
        <v/>
      </c>
      <c r="T118" s="9">
        <f>IF(Q118="당기",ABS(P118)+ROW()/1000000000,"")</f>
        <v/>
      </c>
      <c r="U118" s="9">
        <f>IF(Q118="비교",ABS(P118)+ROW()/1000000000,"")</f>
        <v/>
      </c>
      <c r="V118" s="64">
        <f>IF($A118="","",IF(COUNTIF(변동분석!$E$7:$E$506,O118)&gt;0,"Y","N"))</f>
        <v/>
      </c>
      <c r="W118" s="64">
        <f>IF($A118="","",IFERROR(INDEX(계정매핑!$D$5:$D$504,MATCH($F118&amp;"",계정매핑!$A$5:$A$504,0)),"미매핑"))</f>
        <v/>
      </c>
      <c r="X118" s="9">
        <f>IF($A118="","",$F118&amp;"")</f>
        <v/>
      </c>
      <c r="Y118" s="94">
        <f>IF($A118="",0,IF(AE118="직접",IF(AF118="비귀속",$P118,0),$P118*(1-AG118)*IFERROR(INDEX(계정대체기준!$F$20:$F$49,MATCH($N118,계정대체기준!$A$20:$A$49,0)),1)))</f>
        <v/>
      </c>
      <c r="Z118" s="94">
        <f>IF($A118="",0,IF(AE118="직접",IF(AF118="신계약비",$P118,0),$P118*(1-AG118)*IFERROR(INDEX(계정대체기준!$C$20:$C$49,MATCH($N118,계정대체기준!$A$20:$A$49,0)),0)))</f>
        <v/>
      </c>
      <c r="AA118" s="94">
        <f>IF($A118="",0,IF(AE118="직접",IF(OR(AF118="유지비",AF118="손해조사비"),$P118,0),$P118*(1-AG118)*IFERROR(INDEX(계정대체기준!$D$20:$D$49,MATCH($N118,계정대체기준!$A$20:$A$49,0)),0)))</f>
        <v/>
      </c>
      <c r="AB118" s="94">
        <f>IF($A118="",0,IF(AE118="직접",IF(AF118="수금비",$P118,0),$P118*(1-AG118)*IFERROR(INDEX(계정대체기준!$E$20:$E$49,MATCH($N118,계정대체기준!$A$20:$A$49,0)),0)))</f>
        <v/>
      </c>
      <c r="AC118" s="9">
        <f>IF(AND($A118&lt;&gt;"",M118=설정!$C$20,Z118&gt;0),Z118+ROW()/1000000000,"")</f>
        <v/>
      </c>
      <c r="AD118" s="94">
        <f>IF($A118="",0,$P118*AG118)</f>
        <v/>
      </c>
      <c r="AE118" s="64">
        <f>IF($A118="","",IFERROR(INDEX(계정매핑!$E$5:$E$504,MATCH($F118&amp;"",계정매핑!$A$5:$A$504,0))&amp;"","공통비"))</f>
        <v/>
      </c>
      <c r="AF118" s="64">
        <f>IF($A118="","",IF(AE118="직접",IFERROR(INDEX(계정매핑!$F$5:$F$504,MATCH($F118&amp;"",계정매핑!$A$5:$A$504,0))&amp;"","비귀속"),""))</f>
        <v/>
      </c>
      <c r="AG118" s="96">
        <f>IF($A118="",0,IF(AND(AE118&lt;&gt;"직접",IFERROR(INDEX(계정매핑!$G$5:$G$504,MATCH($F118&amp;"",계정매핑!$A$5:$A$504,0))&amp;"","")="유지비",COUNTIF(계정대체기준!$A$6:$A$15,$N118)&gt;0),IFERROR(INDEX(계정대체기준!$E$6:$E$15,MATCH(VALUE($A118&amp;""),계정대체기준!$D$6:$D$15,0)),0),0))</f>
        <v/>
      </c>
      <c r="AH118" s="64">
        <f>IF($A118="","",IF(AD118=0,"",IF(OR(COUNTIF(계정대체기준!$A$77:$A$86,$N118)&gt;0,ISNUMBER(MATCH($X118,계정대체기준!$D$77:$D$86,0)),ISNUMBER(MATCH($F118,계정대체기준!$D$77:$D$86,0))),"Y","N")))</f>
        <v/>
      </c>
    </row>
    <row r="119">
      <c r="A119" s="92" t="n">
        <v>2025</v>
      </c>
      <c r="B119" s="92" t="n">
        <v>1</v>
      </c>
      <c r="C119" s="92" t="inlineStr">
        <is>
          <t>5100000115</t>
        </is>
      </c>
      <c r="D119" s="95" t="n">
        <v>45671</v>
      </c>
      <c r="E119" s="92" t="inlineStr">
        <is>
          <t>KR</t>
        </is>
      </c>
      <c r="F119" s="92" t="n">
        <v>62101000</v>
      </c>
      <c r="G119" s="92" t="n">
        <v>1701</v>
      </c>
      <c r="H119" s="93" t="n">
        <v>221000</v>
      </c>
      <c r="I119" s="92" t="inlineStr">
        <is>
          <t>1월 국내출장 - M항공</t>
        </is>
      </c>
      <c r="J119" s="92" t="inlineStr">
        <is>
          <t>V10001</t>
        </is>
      </c>
      <c r="K119" s="92" t="inlineStr">
        <is>
          <t>M항공</t>
        </is>
      </c>
      <c r="M119" s="9">
        <f>IF($A119="","",VALUE($A119&amp;"")*12+VALUE($B119&amp;""))</f>
        <v/>
      </c>
      <c r="N119" s="64">
        <f>IF($A119="","",IFERROR(INDEX(부서매핑!$C$5:$C$504,MATCH($G119&amp;"",부서매핑!$A$5:$A$504,0)),"미매핑"))</f>
        <v/>
      </c>
      <c r="O119" s="9">
        <f>IF($A119="","",N119&amp;"|"&amp;$F119)</f>
        <v/>
      </c>
      <c r="P119" s="94">
        <f>IF($A119="",0,$H119*설정!$C$23)</f>
        <v/>
      </c>
      <c r="Q119" s="64">
        <f>IF($A119="","",IF(O119&lt;&gt;원인분석!$C$9,"",IF(AND(M119&gt;=원인분석!$C$10,M119&lt;=원인분석!$C$11),"당기",IF(AND(M119&gt;=원인분석!$C$12,M119&lt;=원인분석!$C$13),"비교",""))))</f>
        <v/>
      </c>
      <c r="R119" s="9">
        <f>IF(Q119="","",$K119&amp;"")</f>
        <v/>
      </c>
      <c r="S119" s="9">
        <f>IF(Q119="","",IF(MATCH(R119,$R$5:$R$100000,0)=ROW()-4,ROW(),""))</f>
        <v/>
      </c>
      <c r="T119" s="9">
        <f>IF(Q119="당기",ABS(P119)+ROW()/1000000000,"")</f>
        <v/>
      </c>
      <c r="U119" s="9">
        <f>IF(Q119="비교",ABS(P119)+ROW()/1000000000,"")</f>
        <v/>
      </c>
      <c r="V119" s="64">
        <f>IF($A119="","",IF(COUNTIF(변동분석!$E$7:$E$506,O119)&gt;0,"Y","N"))</f>
        <v/>
      </c>
      <c r="W119" s="64">
        <f>IF($A119="","",IFERROR(INDEX(계정매핑!$D$5:$D$504,MATCH($F119&amp;"",계정매핑!$A$5:$A$504,0)),"미매핑"))</f>
        <v/>
      </c>
      <c r="X119" s="9">
        <f>IF($A119="","",$F119&amp;"")</f>
        <v/>
      </c>
      <c r="Y119" s="94">
        <f>IF($A119="",0,IF(AE119="직접",IF(AF119="비귀속",$P119,0),$P119*(1-AG119)*IFERROR(INDEX(계정대체기준!$F$20:$F$49,MATCH($N119,계정대체기준!$A$20:$A$49,0)),1)))</f>
        <v/>
      </c>
      <c r="Z119" s="94">
        <f>IF($A119="",0,IF(AE119="직접",IF(AF119="신계약비",$P119,0),$P119*(1-AG119)*IFERROR(INDEX(계정대체기준!$C$20:$C$49,MATCH($N119,계정대체기준!$A$20:$A$49,0)),0)))</f>
        <v/>
      </c>
      <c r="AA119" s="94">
        <f>IF($A119="",0,IF(AE119="직접",IF(OR(AF119="유지비",AF119="손해조사비"),$P119,0),$P119*(1-AG119)*IFERROR(INDEX(계정대체기준!$D$20:$D$49,MATCH($N119,계정대체기준!$A$20:$A$49,0)),0)))</f>
        <v/>
      </c>
      <c r="AB119" s="94">
        <f>IF($A119="",0,IF(AE119="직접",IF(AF119="수금비",$P119,0),$P119*(1-AG119)*IFERROR(INDEX(계정대체기준!$E$20:$E$49,MATCH($N119,계정대체기준!$A$20:$A$49,0)),0)))</f>
        <v/>
      </c>
      <c r="AC119" s="9">
        <f>IF(AND($A119&lt;&gt;"",M119=설정!$C$20,Z119&gt;0),Z119+ROW()/1000000000,"")</f>
        <v/>
      </c>
      <c r="AD119" s="94">
        <f>IF($A119="",0,$P119*AG119)</f>
        <v/>
      </c>
      <c r="AE119" s="64">
        <f>IF($A119="","",IFERROR(INDEX(계정매핑!$E$5:$E$504,MATCH($F119&amp;"",계정매핑!$A$5:$A$504,0))&amp;"","공통비"))</f>
        <v/>
      </c>
      <c r="AF119" s="64">
        <f>IF($A119="","",IF(AE119="직접",IFERROR(INDEX(계정매핑!$F$5:$F$504,MATCH($F119&amp;"",계정매핑!$A$5:$A$504,0))&amp;"","비귀속"),""))</f>
        <v/>
      </c>
      <c r="AG119" s="96">
        <f>IF($A119="",0,IF(AND(AE119&lt;&gt;"직접",IFERROR(INDEX(계정매핑!$G$5:$G$504,MATCH($F119&amp;"",계정매핑!$A$5:$A$504,0))&amp;"","")="유지비",COUNTIF(계정대체기준!$A$6:$A$15,$N119)&gt;0),IFERROR(INDEX(계정대체기준!$E$6:$E$15,MATCH(VALUE($A119&amp;""),계정대체기준!$D$6:$D$15,0)),0),0))</f>
        <v/>
      </c>
      <c r="AH119" s="64">
        <f>IF($A119="","",IF(AD119=0,"",IF(OR(COUNTIF(계정대체기준!$A$77:$A$86,$N119)&gt;0,ISNUMBER(MATCH($X119,계정대체기준!$D$77:$D$86,0)),ISNUMBER(MATCH($F119,계정대체기준!$D$77:$D$86,0))),"Y","N")))</f>
        <v/>
      </c>
    </row>
    <row r="120">
      <c r="A120" s="92" t="n">
        <v>2025</v>
      </c>
      <c r="B120" s="92" t="n">
        <v>1</v>
      </c>
      <c r="C120" s="92" t="inlineStr">
        <is>
          <t>5100000116</t>
        </is>
      </c>
      <c r="D120" s="95" t="n">
        <v>45671</v>
      </c>
      <c r="E120" s="92" t="inlineStr">
        <is>
          <t>KR</t>
        </is>
      </c>
      <c r="F120" s="92" t="n">
        <v>62101000</v>
      </c>
      <c r="G120" s="92" t="n">
        <v>1951</v>
      </c>
      <c r="H120" s="93" t="n">
        <v>400000</v>
      </c>
      <c r="I120" s="92" t="inlineStr">
        <is>
          <t>1월 국내출장 - M항공</t>
        </is>
      </c>
      <c r="J120" s="92" t="inlineStr">
        <is>
          <t>V10001</t>
        </is>
      </c>
      <c r="K120" s="92" t="inlineStr">
        <is>
          <t>M항공</t>
        </is>
      </c>
      <c r="M120" s="9">
        <f>IF($A120="","",VALUE($A120&amp;"")*12+VALUE($B120&amp;""))</f>
        <v/>
      </c>
      <c r="N120" s="64">
        <f>IF($A120="","",IFERROR(INDEX(부서매핑!$C$5:$C$504,MATCH($G120&amp;"",부서매핑!$A$5:$A$504,0)),"미매핑"))</f>
        <v/>
      </c>
      <c r="O120" s="9">
        <f>IF($A120="","",N120&amp;"|"&amp;$F120)</f>
        <v/>
      </c>
      <c r="P120" s="94">
        <f>IF($A120="",0,$H120*설정!$C$23)</f>
        <v/>
      </c>
      <c r="Q120" s="64">
        <f>IF($A120="","",IF(O120&lt;&gt;원인분석!$C$9,"",IF(AND(M120&gt;=원인분석!$C$10,M120&lt;=원인분석!$C$11),"당기",IF(AND(M120&gt;=원인분석!$C$12,M120&lt;=원인분석!$C$13),"비교",""))))</f>
        <v/>
      </c>
      <c r="R120" s="9">
        <f>IF(Q120="","",$K120&amp;"")</f>
        <v/>
      </c>
      <c r="S120" s="9">
        <f>IF(Q120="","",IF(MATCH(R120,$R$5:$R$100000,0)=ROW()-4,ROW(),""))</f>
        <v/>
      </c>
      <c r="T120" s="9">
        <f>IF(Q120="당기",ABS(P120)+ROW()/1000000000,"")</f>
        <v/>
      </c>
      <c r="U120" s="9">
        <f>IF(Q120="비교",ABS(P120)+ROW()/1000000000,"")</f>
        <v/>
      </c>
      <c r="V120" s="64">
        <f>IF($A120="","",IF(COUNTIF(변동분석!$E$7:$E$506,O120)&gt;0,"Y","N"))</f>
        <v/>
      </c>
      <c r="W120" s="64">
        <f>IF($A120="","",IFERROR(INDEX(계정매핑!$D$5:$D$504,MATCH($F120&amp;"",계정매핑!$A$5:$A$504,0)),"미매핑"))</f>
        <v/>
      </c>
      <c r="X120" s="9">
        <f>IF($A120="","",$F120&amp;"")</f>
        <v/>
      </c>
      <c r="Y120" s="94">
        <f>IF($A120="",0,IF(AE120="직접",IF(AF120="비귀속",$P120,0),$P120*(1-AG120)*IFERROR(INDEX(계정대체기준!$F$20:$F$49,MATCH($N120,계정대체기준!$A$20:$A$49,0)),1)))</f>
        <v/>
      </c>
      <c r="Z120" s="94">
        <f>IF($A120="",0,IF(AE120="직접",IF(AF120="신계약비",$P120,0),$P120*(1-AG120)*IFERROR(INDEX(계정대체기준!$C$20:$C$49,MATCH($N120,계정대체기준!$A$20:$A$49,0)),0)))</f>
        <v/>
      </c>
      <c r="AA120" s="94">
        <f>IF($A120="",0,IF(AE120="직접",IF(OR(AF120="유지비",AF120="손해조사비"),$P120,0),$P120*(1-AG120)*IFERROR(INDEX(계정대체기준!$D$20:$D$49,MATCH($N120,계정대체기준!$A$20:$A$49,0)),0)))</f>
        <v/>
      </c>
      <c r="AB120" s="94">
        <f>IF($A120="",0,IF(AE120="직접",IF(AF120="수금비",$P120,0),$P120*(1-AG120)*IFERROR(INDEX(계정대체기준!$E$20:$E$49,MATCH($N120,계정대체기준!$A$20:$A$49,0)),0)))</f>
        <v/>
      </c>
      <c r="AC120" s="9">
        <f>IF(AND($A120&lt;&gt;"",M120=설정!$C$20,Z120&gt;0),Z120+ROW()/1000000000,"")</f>
        <v/>
      </c>
      <c r="AD120" s="94">
        <f>IF($A120="",0,$P120*AG120)</f>
        <v/>
      </c>
      <c r="AE120" s="64">
        <f>IF($A120="","",IFERROR(INDEX(계정매핑!$E$5:$E$504,MATCH($F120&amp;"",계정매핑!$A$5:$A$504,0))&amp;"","공통비"))</f>
        <v/>
      </c>
      <c r="AF120" s="64">
        <f>IF($A120="","",IF(AE120="직접",IFERROR(INDEX(계정매핑!$F$5:$F$504,MATCH($F120&amp;"",계정매핑!$A$5:$A$504,0))&amp;"","비귀속"),""))</f>
        <v/>
      </c>
      <c r="AG120" s="96">
        <f>IF($A120="",0,IF(AND(AE120&lt;&gt;"직접",IFERROR(INDEX(계정매핑!$G$5:$G$504,MATCH($F120&amp;"",계정매핑!$A$5:$A$504,0))&amp;"","")="유지비",COUNTIF(계정대체기준!$A$6:$A$15,$N120)&gt;0),IFERROR(INDEX(계정대체기준!$E$6:$E$15,MATCH(VALUE($A120&amp;""),계정대체기준!$D$6:$D$15,0)),0),0))</f>
        <v/>
      </c>
      <c r="AH120" s="64">
        <f>IF($A120="","",IF(AD120=0,"",IF(OR(COUNTIF(계정대체기준!$A$77:$A$86,$N120)&gt;0,ISNUMBER(MATCH($X120,계정대체기준!$D$77:$D$86,0)),ISNUMBER(MATCH($F120,계정대체기준!$D$77:$D$86,0))),"Y","N")))</f>
        <v/>
      </c>
    </row>
    <row r="121">
      <c r="A121" s="92" t="n">
        <v>2025</v>
      </c>
      <c r="B121" s="92" t="n">
        <v>1</v>
      </c>
      <c r="C121" s="92" t="inlineStr">
        <is>
          <t>5100000117</t>
        </is>
      </c>
      <c r="D121" s="95" t="n">
        <v>45671</v>
      </c>
      <c r="E121" s="92" t="inlineStr">
        <is>
          <t>KR</t>
        </is>
      </c>
      <c r="F121" s="92" t="n">
        <v>62102000</v>
      </c>
      <c r="G121" s="92" t="n">
        <v>1601</v>
      </c>
      <c r="H121" s="93" t="n">
        <v>169000</v>
      </c>
      <c r="I121" s="92" t="inlineStr">
        <is>
          <t>1월 해외출장 - N호텔</t>
        </is>
      </c>
      <c r="J121" s="92" t="inlineStr">
        <is>
          <t>V10009</t>
        </is>
      </c>
      <c r="K121" s="92" t="inlineStr">
        <is>
          <t>N호텔</t>
        </is>
      </c>
      <c r="M121" s="9">
        <f>IF($A121="","",VALUE($A121&amp;"")*12+VALUE($B121&amp;""))</f>
        <v/>
      </c>
      <c r="N121" s="64">
        <f>IF($A121="","",IFERROR(INDEX(부서매핑!$C$5:$C$504,MATCH($G121&amp;"",부서매핑!$A$5:$A$504,0)),"미매핑"))</f>
        <v/>
      </c>
      <c r="O121" s="9">
        <f>IF($A121="","",N121&amp;"|"&amp;$F121)</f>
        <v/>
      </c>
      <c r="P121" s="94">
        <f>IF($A121="",0,$H121*설정!$C$23)</f>
        <v/>
      </c>
      <c r="Q121" s="64">
        <f>IF($A121="","",IF(O121&lt;&gt;원인분석!$C$9,"",IF(AND(M121&gt;=원인분석!$C$10,M121&lt;=원인분석!$C$11),"당기",IF(AND(M121&gt;=원인분석!$C$12,M121&lt;=원인분석!$C$13),"비교",""))))</f>
        <v/>
      </c>
      <c r="R121" s="9">
        <f>IF(Q121="","",$K121&amp;"")</f>
        <v/>
      </c>
      <c r="S121" s="9">
        <f>IF(Q121="","",IF(MATCH(R121,$R$5:$R$100000,0)=ROW()-4,ROW(),""))</f>
        <v/>
      </c>
      <c r="T121" s="9">
        <f>IF(Q121="당기",ABS(P121)+ROW()/1000000000,"")</f>
        <v/>
      </c>
      <c r="U121" s="9">
        <f>IF(Q121="비교",ABS(P121)+ROW()/1000000000,"")</f>
        <v/>
      </c>
      <c r="V121" s="64">
        <f>IF($A121="","",IF(COUNTIF(변동분석!$E$7:$E$506,O121)&gt;0,"Y","N"))</f>
        <v/>
      </c>
      <c r="W121" s="64">
        <f>IF($A121="","",IFERROR(INDEX(계정매핑!$D$5:$D$504,MATCH($F121&amp;"",계정매핑!$A$5:$A$504,0)),"미매핑"))</f>
        <v/>
      </c>
      <c r="X121" s="9">
        <f>IF($A121="","",$F121&amp;"")</f>
        <v/>
      </c>
      <c r="Y121" s="94">
        <f>IF($A121="",0,IF(AE121="직접",IF(AF121="비귀속",$P121,0),$P121*(1-AG121)*IFERROR(INDEX(계정대체기준!$F$20:$F$49,MATCH($N121,계정대체기준!$A$20:$A$49,0)),1)))</f>
        <v/>
      </c>
      <c r="Z121" s="94">
        <f>IF($A121="",0,IF(AE121="직접",IF(AF121="신계약비",$P121,0),$P121*(1-AG121)*IFERROR(INDEX(계정대체기준!$C$20:$C$49,MATCH($N121,계정대체기준!$A$20:$A$49,0)),0)))</f>
        <v/>
      </c>
      <c r="AA121" s="94">
        <f>IF($A121="",0,IF(AE121="직접",IF(OR(AF121="유지비",AF121="손해조사비"),$P121,0),$P121*(1-AG121)*IFERROR(INDEX(계정대체기준!$D$20:$D$49,MATCH($N121,계정대체기준!$A$20:$A$49,0)),0)))</f>
        <v/>
      </c>
      <c r="AB121" s="94">
        <f>IF($A121="",0,IF(AE121="직접",IF(AF121="수금비",$P121,0),$P121*(1-AG121)*IFERROR(INDEX(계정대체기준!$E$20:$E$49,MATCH($N121,계정대체기준!$A$20:$A$49,0)),0)))</f>
        <v/>
      </c>
      <c r="AC121" s="9">
        <f>IF(AND($A121&lt;&gt;"",M121=설정!$C$20,Z121&gt;0),Z121+ROW()/1000000000,"")</f>
        <v/>
      </c>
      <c r="AD121" s="94">
        <f>IF($A121="",0,$P121*AG121)</f>
        <v/>
      </c>
      <c r="AE121" s="64">
        <f>IF($A121="","",IFERROR(INDEX(계정매핑!$E$5:$E$504,MATCH($F121&amp;"",계정매핑!$A$5:$A$504,0))&amp;"","공통비"))</f>
        <v/>
      </c>
      <c r="AF121" s="64">
        <f>IF($A121="","",IF(AE121="직접",IFERROR(INDEX(계정매핑!$F$5:$F$504,MATCH($F121&amp;"",계정매핑!$A$5:$A$504,0))&amp;"","비귀속"),""))</f>
        <v/>
      </c>
      <c r="AG121" s="96">
        <f>IF($A121="",0,IF(AND(AE121&lt;&gt;"직접",IFERROR(INDEX(계정매핑!$G$5:$G$504,MATCH($F121&amp;"",계정매핑!$A$5:$A$504,0))&amp;"","")="유지비",COUNTIF(계정대체기준!$A$6:$A$15,$N121)&gt;0),IFERROR(INDEX(계정대체기준!$E$6:$E$15,MATCH(VALUE($A121&amp;""),계정대체기준!$D$6:$D$15,0)),0),0))</f>
        <v/>
      </c>
      <c r="AH121" s="64">
        <f>IF($A121="","",IF(AD121=0,"",IF(OR(COUNTIF(계정대체기준!$A$77:$A$86,$N121)&gt;0,ISNUMBER(MATCH($X121,계정대체기준!$D$77:$D$86,0)),ISNUMBER(MATCH($F121,계정대체기준!$D$77:$D$86,0))),"Y","N")))</f>
        <v/>
      </c>
    </row>
    <row r="122">
      <c r="A122" s="92" t="n">
        <v>2025</v>
      </c>
      <c r="B122" s="92" t="n">
        <v>1</v>
      </c>
      <c r="C122" s="92" t="inlineStr">
        <is>
          <t>5100000118</t>
        </is>
      </c>
      <c r="D122" s="95" t="n">
        <v>45671</v>
      </c>
      <c r="E122" s="92" t="inlineStr">
        <is>
          <t>KR</t>
        </is>
      </c>
      <c r="F122" s="92" t="n">
        <v>62102000</v>
      </c>
      <c r="G122" s="92" t="n">
        <v>1701</v>
      </c>
      <c r="H122" s="93" t="n">
        <v>41000</v>
      </c>
      <c r="I122" s="92" t="inlineStr">
        <is>
          <t>1월 해외출장 - M항공</t>
        </is>
      </c>
      <c r="J122" s="92" t="inlineStr">
        <is>
          <t>V10001</t>
        </is>
      </c>
      <c r="K122" s="92" t="inlineStr">
        <is>
          <t>M항공</t>
        </is>
      </c>
      <c r="M122" s="9">
        <f>IF($A122="","",VALUE($A122&amp;"")*12+VALUE($B122&amp;""))</f>
        <v/>
      </c>
      <c r="N122" s="64">
        <f>IF($A122="","",IFERROR(INDEX(부서매핑!$C$5:$C$504,MATCH($G122&amp;"",부서매핑!$A$5:$A$504,0)),"미매핑"))</f>
        <v/>
      </c>
      <c r="O122" s="9">
        <f>IF($A122="","",N122&amp;"|"&amp;$F122)</f>
        <v/>
      </c>
      <c r="P122" s="94">
        <f>IF($A122="",0,$H122*설정!$C$23)</f>
        <v/>
      </c>
      <c r="Q122" s="64">
        <f>IF($A122="","",IF(O122&lt;&gt;원인분석!$C$9,"",IF(AND(M122&gt;=원인분석!$C$10,M122&lt;=원인분석!$C$11),"당기",IF(AND(M122&gt;=원인분석!$C$12,M122&lt;=원인분석!$C$13),"비교",""))))</f>
        <v/>
      </c>
      <c r="R122" s="9">
        <f>IF(Q122="","",$K122&amp;"")</f>
        <v/>
      </c>
      <c r="S122" s="9">
        <f>IF(Q122="","",IF(MATCH(R122,$R$5:$R$100000,0)=ROW()-4,ROW(),""))</f>
        <v/>
      </c>
      <c r="T122" s="9">
        <f>IF(Q122="당기",ABS(P122)+ROW()/1000000000,"")</f>
        <v/>
      </c>
      <c r="U122" s="9">
        <f>IF(Q122="비교",ABS(P122)+ROW()/1000000000,"")</f>
        <v/>
      </c>
      <c r="V122" s="64">
        <f>IF($A122="","",IF(COUNTIF(변동분석!$E$7:$E$506,O122)&gt;0,"Y","N"))</f>
        <v/>
      </c>
      <c r="W122" s="64">
        <f>IF($A122="","",IFERROR(INDEX(계정매핑!$D$5:$D$504,MATCH($F122&amp;"",계정매핑!$A$5:$A$504,0)),"미매핑"))</f>
        <v/>
      </c>
      <c r="X122" s="9">
        <f>IF($A122="","",$F122&amp;"")</f>
        <v/>
      </c>
      <c r="Y122" s="94">
        <f>IF($A122="",0,IF(AE122="직접",IF(AF122="비귀속",$P122,0),$P122*(1-AG122)*IFERROR(INDEX(계정대체기준!$F$20:$F$49,MATCH($N122,계정대체기준!$A$20:$A$49,0)),1)))</f>
        <v/>
      </c>
      <c r="Z122" s="94">
        <f>IF($A122="",0,IF(AE122="직접",IF(AF122="신계약비",$P122,0),$P122*(1-AG122)*IFERROR(INDEX(계정대체기준!$C$20:$C$49,MATCH($N122,계정대체기준!$A$20:$A$49,0)),0)))</f>
        <v/>
      </c>
      <c r="AA122" s="94">
        <f>IF($A122="",0,IF(AE122="직접",IF(OR(AF122="유지비",AF122="손해조사비"),$P122,0),$P122*(1-AG122)*IFERROR(INDEX(계정대체기준!$D$20:$D$49,MATCH($N122,계정대체기준!$A$20:$A$49,0)),0)))</f>
        <v/>
      </c>
      <c r="AB122" s="94">
        <f>IF($A122="",0,IF(AE122="직접",IF(AF122="수금비",$P122,0),$P122*(1-AG122)*IFERROR(INDEX(계정대체기준!$E$20:$E$49,MATCH($N122,계정대체기준!$A$20:$A$49,0)),0)))</f>
        <v/>
      </c>
      <c r="AC122" s="9">
        <f>IF(AND($A122&lt;&gt;"",M122=설정!$C$20,Z122&gt;0),Z122+ROW()/1000000000,"")</f>
        <v/>
      </c>
      <c r="AD122" s="94">
        <f>IF($A122="",0,$P122*AG122)</f>
        <v/>
      </c>
      <c r="AE122" s="64">
        <f>IF($A122="","",IFERROR(INDEX(계정매핑!$E$5:$E$504,MATCH($F122&amp;"",계정매핑!$A$5:$A$504,0))&amp;"","공통비"))</f>
        <v/>
      </c>
      <c r="AF122" s="64">
        <f>IF($A122="","",IF(AE122="직접",IFERROR(INDEX(계정매핑!$F$5:$F$504,MATCH($F122&amp;"",계정매핑!$A$5:$A$504,0))&amp;"","비귀속"),""))</f>
        <v/>
      </c>
      <c r="AG122" s="96">
        <f>IF($A122="",0,IF(AND(AE122&lt;&gt;"직접",IFERROR(INDEX(계정매핑!$G$5:$G$504,MATCH($F122&amp;"",계정매핑!$A$5:$A$504,0))&amp;"","")="유지비",COUNTIF(계정대체기준!$A$6:$A$15,$N122)&gt;0),IFERROR(INDEX(계정대체기준!$E$6:$E$15,MATCH(VALUE($A122&amp;""),계정대체기준!$D$6:$D$15,0)),0),0))</f>
        <v/>
      </c>
      <c r="AH122" s="64">
        <f>IF($A122="","",IF(AD122=0,"",IF(OR(COUNTIF(계정대체기준!$A$77:$A$86,$N122)&gt;0,ISNUMBER(MATCH($X122,계정대체기준!$D$77:$D$86,0)),ISNUMBER(MATCH($F122,계정대체기준!$D$77:$D$86,0))),"Y","N")))</f>
        <v/>
      </c>
    </row>
    <row r="123">
      <c r="A123" s="92" t="n">
        <v>2025</v>
      </c>
      <c r="B123" s="92" t="n">
        <v>1</v>
      </c>
      <c r="C123" s="92" t="inlineStr">
        <is>
          <t>5100000119</t>
        </is>
      </c>
      <c r="D123" s="95" t="n">
        <v>45671</v>
      </c>
      <c r="E123" s="92" t="inlineStr">
        <is>
          <t>KR</t>
        </is>
      </c>
      <c r="F123" s="92" t="n">
        <v>62102000</v>
      </c>
      <c r="G123" s="92" t="n">
        <v>1701</v>
      </c>
      <c r="H123" s="93" t="n">
        <v>47000</v>
      </c>
      <c r="I123" s="92" t="inlineStr">
        <is>
          <t>1월 해외출장 - M항공</t>
        </is>
      </c>
      <c r="J123" s="92" t="inlineStr">
        <is>
          <t>V10001</t>
        </is>
      </c>
      <c r="K123" s="92" t="inlineStr">
        <is>
          <t>M항공</t>
        </is>
      </c>
      <c r="M123" s="9">
        <f>IF($A123="","",VALUE($A123&amp;"")*12+VALUE($B123&amp;""))</f>
        <v/>
      </c>
      <c r="N123" s="64">
        <f>IF($A123="","",IFERROR(INDEX(부서매핑!$C$5:$C$504,MATCH($G123&amp;"",부서매핑!$A$5:$A$504,0)),"미매핑"))</f>
        <v/>
      </c>
      <c r="O123" s="9">
        <f>IF($A123="","",N123&amp;"|"&amp;$F123)</f>
        <v/>
      </c>
      <c r="P123" s="94">
        <f>IF($A123="",0,$H123*설정!$C$23)</f>
        <v/>
      </c>
      <c r="Q123" s="64">
        <f>IF($A123="","",IF(O123&lt;&gt;원인분석!$C$9,"",IF(AND(M123&gt;=원인분석!$C$10,M123&lt;=원인분석!$C$11),"당기",IF(AND(M123&gt;=원인분석!$C$12,M123&lt;=원인분석!$C$13),"비교",""))))</f>
        <v/>
      </c>
      <c r="R123" s="9">
        <f>IF(Q123="","",$K123&amp;"")</f>
        <v/>
      </c>
      <c r="S123" s="9">
        <f>IF(Q123="","",IF(MATCH(R123,$R$5:$R$100000,0)=ROW()-4,ROW(),""))</f>
        <v/>
      </c>
      <c r="T123" s="9">
        <f>IF(Q123="당기",ABS(P123)+ROW()/1000000000,"")</f>
        <v/>
      </c>
      <c r="U123" s="9">
        <f>IF(Q123="비교",ABS(P123)+ROW()/1000000000,"")</f>
        <v/>
      </c>
      <c r="V123" s="64">
        <f>IF($A123="","",IF(COUNTIF(변동분석!$E$7:$E$506,O123)&gt;0,"Y","N"))</f>
        <v/>
      </c>
      <c r="W123" s="64">
        <f>IF($A123="","",IFERROR(INDEX(계정매핑!$D$5:$D$504,MATCH($F123&amp;"",계정매핑!$A$5:$A$504,0)),"미매핑"))</f>
        <v/>
      </c>
      <c r="X123" s="9">
        <f>IF($A123="","",$F123&amp;"")</f>
        <v/>
      </c>
      <c r="Y123" s="94">
        <f>IF($A123="",0,IF(AE123="직접",IF(AF123="비귀속",$P123,0),$P123*(1-AG123)*IFERROR(INDEX(계정대체기준!$F$20:$F$49,MATCH($N123,계정대체기준!$A$20:$A$49,0)),1)))</f>
        <v/>
      </c>
      <c r="Z123" s="94">
        <f>IF($A123="",0,IF(AE123="직접",IF(AF123="신계약비",$P123,0),$P123*(1-AG123)*IFERROR(INDEX(계정대체기준!$C$20:$C$49,MATCH($N123,계정대체기준!$A$20:$A$49,0)),0)))</f>
        <v/>
      </c>
      <c r="AA123" s="94">
        <f>IF($A123="",0,IF(AE123="직접",IF(OR(AF123="유지비",AF123="손해조사비"),$P123,0),$P123*(1-AG123)*IFERROR(INDEX(계정대체기준!$D$20:$D$49,MATCH($N123,계정대체기준!$A$20:$A$49,0)),0)))</f>
        <v/>
      </c>
      <c r="AB123" s="94">
        <f>IF($A123="",0,IF(AE123="직접",IF(AF123="수금비",$P123,0),$P123*(1-AG123)*IFERROR(INDEX(계정대체기준!$E$20:$E$49,MATCH($N123,계정대체기준!$A$20:$A$49,0)),0)))</f>
        <v/>
      </c>
      <c r="AC123" s="9">
        <f>IF(AND($A123&lt;&gt;"",M123=설정!$C$20,Z123&gt;0),Z123+ROW()/1000000000,"")</f>
        <v/>
      </c>
      <c r="AD123" s="94">
        <f>IF($A123="",0,$P123*AG123)</f>
        <v/>
      </c>
      <c r="AE123" s="64">
        <f>IF($A123="","",IFERROR(INDEX(계정매핑!$E$5:$E$504,MATCH($F123&amp;"",계정매핑!$A$5:$A$504,0))&amp;"","공통비"))</f>
        <v/>
      </c>
      <c r="AF123" s="64">
        <f>IF($A123="","",IF(AE123="직접",IFERROR(INDEX(계정매핑!$F$5:$F$504,MATCH($F123&amp;"",계정매핑!$A$5:$A$504,0))&amp;"","비귀속"),""))</f>
        <v/>
      </c>
      <c r="AG123" s="96">
        <f>IF($A123="",0,IF(AND(AE123&lt;&gt;"직접",IFERROR(INDEX(계정매핑!$G$5:$G$504,MATCH($F123&amp;"",계정매핑!$A$5:$A$504,0))&amp;"","")="유지비",COUNTIF(계정대체기준!$A$6:$A$15,$N123)&gt;0),IFERROR(INDEX(계정대체기준!$E$6:$E$15,MATCH(VALUE($A123&amp;""),계정대체기준!$D$6:$D$15,0)),0),0))</f>
        <v/>
      </c>
      <c r="AH123" s="64">
        <f>IF($A123="","",IF(AD123=0,"",IF(OR(COUNTIF(계정대체기준!$A$77:$A$86,$N123)&gt;0,ISNUMBER(MATCH($X123,계정대체기준!$D$77:$D$86,0)),ISNUMBER(MATCH($F123,계정대체기준!$D$77:$D$86,0))),"Y","N")))</f>
        <v/>
      </c>
    </row>
    <row r="124">
      <c r="A124" s="92" t="n">
        <v>2025</v>
      </c>
      <c r="B124" s="92" t="n">
        <v>1</v>
      </c>
      <c r="C124" s="92" t="inlineStr">
        <is>
          <t>5100000120</t>
        </is>
      </c>
      <c r="D124" s="95" t="n">
        <v>45671</v>
      </c>
      <c r="E124" s="92" t="inlineStr">
        <is>
          <t>KR</t>
        </is>
      </c>
      <c r="F124" s="92" t="n">
        <v>62102000</v>
      </c>
      <c r="G124" s="92" t="n">
        <v>1701</v>
      </c>
      <c r="H124" s="93" t="n">
        <v>36000</v>
      </c>
      <c r="I124" s="92" t="inlineStr">
        <is>
          <t>1월 해외출장 - N호텔</t>
        </is>
      </c>
      <c r="J124" s="92" t="inlineStr">
        <is>
          <t>V10009</t>
        </is>
      </c>
      <c r="K124" s="92" t="inlineStr">
        <is>
          <t>N호텔</t>
        </is>
      </c>
      <c r="M124" s="9">
        <f>IF($A124="","",VALUE($A124&amp;"")*12+VALUE($B124&amp;""))</f>
        <v/>
      </c>
      <c r="N124" s="64">
        <f>IF($A124="","",IFERROR(INDEX(부서매핑!$C$5:$C$504,MATCH($G124&amp;"",부서매핑!$A$5:$A$504,0)),"미매핑"))</f>
        <v/>
      </c>
      <c r="O124" s="9">
        <f>IF($A124="","",N124&amp;"|"&amp;$F124)</f>
        <v/>
      </c>
      <c r="P124" s="94">
        <f>IF($A124="",0,$H124*설정!$C$23)</f>
        <v/>
      </c>
      <c r="Q124" s="64">
        <f>IF($A124="","",IF(O124&lt;&gt;원인분석!$C$9,"",IF(AND(M124&gt;=원인분석!$C$10,M124&lt;=원인분석!$C$11),"당기",IF(AND(M124&gt;=원인분석!$C$12,M124&lt;=원인분석!$C$13),"비교",""))))</f>
        <v/>
      </c>
      <c r="R124" s="9">
        <f>IF(Q124="","",$K124&amp;"")</f>
        <v/>
      </c>
      <c r="S124" s="9">
        <f>IF(Q124="","",IF(MATCH(R124,$R$5:$R$100000,0)=ROW()-4,ROW(),""))</f>
        <v/>
      </c>
      <c r="T124" s="9">
        <f>IF(Q124="당기",ABS(P124)+ROW()/1000000000,"")</f>
        <v/>
      </c>
      <c r="U124" s="9">
        <f>IF(Q124="비교",ABS(P124)+ROW()/1000000000,"")</f>
        <v/>
      </c>
      <c r="V124" s="64">
        <f>IF($A124="","",IF(COUNTIF(변동분석!$E$7:$E$506,O124)&gt;0,"Y","N"))</f>
        <v/>
      </c>
      <c r="W124" s="64">
        <f>IF($A124="","",IFERROR(INDEX(계정매핑!$D$5:$D$504,MATCH($F124&amp;"",계정매핑!$A$5:$A$504,0)),"미매핑"))</f>
        <v/>
      </c>
      <c r="X124" s="9">
        <f>IF($A124="","",$F124&amp;"")</f>
        <v/>
      </c>
      <c r="Y124" s="94">
        <f>IF($A124="",0,IF(AE124="직접",IF(AF124="비귀속",$P124,0),$P124*(1-AG124)*IFERROR(INDEX(계정대체기준!$F$20:$F$49,MATCH($N124,계정대체기준!$A$20:$A$49,0)),1)))</f>
        <v/>
      </c>
      <c r="Z124" s="94">
        <f>IF($A124="",0,IF(AE124="직접",IF(AF124="신계약비",$P124,0),$P124*(1-AG124)*IFERROR(INDEX(계정대체기준!$C$20:$C$49,MATCH($N124,계정대체기준!$A$20:$A$49,0)),0)))</f>
        <v/>
      </c>
      <c r="AA124" s="94">
        <f>IF($A124="",0,IF(AE124="직접",IF(OR(AF124="유지비",AF124="손해조사비"),$P124,0),$P124*(1-AG124)*IFERROR(INDEX(계정대체기준!$D$20:$D$49,MATCH($N124,계정대체기준!$A$20:$A$49,0)),0)))</f>
        <v/>
      </c>
      <c r="AB124" s="94">
        <f>IF($A124="",0,IF(AE124="직접",IF(AF124="수금비",$P124,0),$P124*(1-AG124)*IFERROR(INDEX(계정대체기준!$E$20:$E$49,MATCH($N124,계정대체기준!$A$20:$A$49,0)),0)))</f>
        <v/>
      </c>
      <c r="AC124" s="9">
        <f>IF(AND($A124&lt;&gt;"",M124=설정!$C$20,Z124&gt;0),Z124+ROW()/1000000000,"")</f>
        <v/>
      </c>
      <c r="AD124" s="94">
        <f>IF($A124="",0,$P124*AG124)</f>
        <v/>
      </c>
      <c r="AE124" s="64">
        <f>IF($A124="","",IFERROR(INDEX(계정매핑!$E$5:$E$504,MATCH($F124&amp;"",계정매핑!$A$5:$A$504,0))&amp;"","공통비"))</f>
        <v/>
      </c>
      <c r="AF124" s="64">
        <f>IF($A124="","",IF(AE124="직접",IFERROR(INDEX(계정매핑!$F$5:$F$504,MATCH($F124&amp;"",계정매핑!$A$5:$A$504,0))&amp;"","비귀속"),""))</f>
        <v/>
      </c>
      <c r="AG124" s="96">
        <f>IF($A124="",0,IF(AND(AE124&lt;&gt;"직접",IFERROR(INDEX(계정매핑!$G$5:$G$504,MATCH($F124&amp;"",계정매핑!$A$5:$A$504,0))&amp;"","")="유지비",COUNTIF(계정대체기준!$A$6:$A$15,$N124)&gt;0),IFERROR(INDEX(계정대체기준!$E$6:$E$15,MATCH(VALUE($A124&amp;""),계정대체기준!$D$6:$D$15,0)),0),0))</f>
        <v/>
      </c>
      <c r="AH124" s="64">
        <f>IF($A124="","",IF(AD124=0,"",IF(OR(COUNTIF(계정대체기준!$A$77:$A$86,$N124)&gt;0,ISNUMBER(MATCH($X124,계정대체기준!$D$77:$D$86,0)),ISNUMBER(MATCH($F124,계정대체기준!$D$77:$D$86,0))),"Y","N")))</f>
        <v/>
      </c>
    </row>
    <row r="125">
      <c r="A125" s="92" t="n">
        <v>2025</v>
      </c>
      <c r="B125" s="92" t="n">
        <v>1</v>
      </c>
      <c r="C125" s="92" t="inlineStr">
        <is>
          <t>5100000121</t>
        </is>
      </c>
      <c r="D125" s="95" t="n">
        <v>45671</v>
      </c>
      <c r="E125" s="92" t="inlineStr">
        <is>
          <t>KR</t>
        </is>
      </c>
      <c r="F125" s="92" t="n">
        <v>62201000</v>
      </c>
      <c r="G125" s="92" t="n">
        <v>1101</v>
      </c>
      <c r="H125" s="93" t="n">
        <v>301000</v>
      </c>
      <c r="I125" s="92" t="inlineStr">
        <is>
          <t>1월 통신요금 - O텔레콤</t>
        </is>
      </c>
      <c r="J125" s="92" t="inlineStr">
        <is>
          <t>V10002</t>
        </is>
      </c>
      <c r="K125" s="92" t="inlineStr">
        <is>
          <t>O텔레콤</t>
        </is>
      </c>
      <c r="M125" s="9">
        <f>IF($A125="","",VALUE($A125&amp;"")*12+VALUE($B125&amp;""))</f>
        <v/>
      </c>
      <c r="N125" s="64">
        <f>IF($A125="","",IFERROR(INDEX(부서매핑!$C$5:$C$504,MATCH($G125&amp;"",부서매핑!$A$5:$A$504,0)),"미매핑"))</f>
        <v/>
      </c>
      <c r="O125" s="9">
        <f>IF($A125="","",N125&amp;"|"&amp;$F125)</f>
        <v/>
      </c>
      <c r="P125" s="94">
        <f>IF($A125="",0,$H125*설정!$C$23)</f>
        <v/>
      </c>
      <c r="Q125" s="64">
        <f>IF($A125="","",IF(O125&lt;&gt;원인분석!$C$9,"",IF(AND(M125&gt;=원인분석!$C$10,M125&lt;=원인분석!$C$11),"당기",IF(AND(M125&gt;=원인분석!$C$12,M125&lt;=원인분석!$C$13),"비교",""))))</f>
        <v/>
      </c>
      <c r="R125" s="9">
        <f>IF(Q125="","",$K125&amp;"")</f>
        <v/>
      </c>
      <c r="S125" s="9">
        <f>IF(Q125="","",IF(MATCH(R125,$R$5:$R$100000,0)=ROW()-4,ROW(),""))</f>
        <v/>
      </c>
      <c r="T125" s="9">
        <f>IF(Q125="당기",ABS(P125)+ROW()/1000000000,"")</f>
        <v/>
      </c>
      <c r="U125" s="9">
        <f>IF(Q125="비교",ABS(P125)+ROW()/1000000000,"")</f>
        <v/>
      </c>
      <c r="V125" s="64">
        <f>IF($A125="","",IF(COUNTIF(변동분석!$E$7:$E$506,O125)&gt;0,"Y","N"))</f>
        <v/>
      </c>
      <c r="W125" s="64">
        <f>IF($A125="","",IFERROR(INDEX(계정매핑!$D$5:$D$504,MATCH($F125&amp;"",계정매핑!$A$5:$A$504,0)),"미매핑"))</f>
        <v/>
      </c>
      <c r="X125" s="9">
        <f>IF($A125="","",$F125&amp;"")</f>
        <v/>
      </c>
      <c r="Y125" s="94">
        <f>IF($A125="",0,IF(AE125="직접",IF(AF125="비귀속",$P125,0),$P125*(1-AG125)*IFERROR(INDEX(계정대체기준!$F$20:$F$49,MATCH($N125,계정대체기준!$A$20:$A$49,0)),1)))</f>
        <v/>
      </c>
      <c r="Z125" s="94">
        <f>IF($A125="",0,IF(AE125="직접",IF(AF125="신계약비",$P125,0),$P125*(1-AG125)*IFERROR(INDEX(계정대체기준!$C$20:$C$49,MATCH($N125,계정대체기준!$A$20:$A$49,0)),0)))</f>
        <v/>
      </c>
      <c r="AA125" s="94">
        <f>IF($A125="",0,IF(AE125="직접",IF(OR(AF125="유지비",AF125="손해조사비"),$P125,0),$P125*(1-AG125)*IFERROR(INDEX(계정대체기준!$D$20:$D$49,MATCH($N125,계정대체기준!$A$20:$A$49,0)),0)))</f>
        <v/>
      </c>
      <c r="AB125" s="94">
        <f>IF($A125="",0,IF(AE125="직접",IF(AF125="수금비",$P125,0),$P125*(1-AG125)*IFERROR(INDEX(계정대체기준!$E$20:$E$49,MATCH($N125,계정대체기준!$A$20:$A$49,0)),0)))</f>
        <v/>
      </c>
      <c r="AC125" s="9">
        <f>IF(AND($A125&lt;&gt;"",M125=설정!$C$20,Z125&gt;0),Z125+ROW()/1000000000,"")</f>
        <v/>
      </c>
      <c r="AD125" s="94">
        <f>IF($A125="",0,$P125*AG125)</f>
        <v/>
      </c>
      <c r="AE125" s="64">
        <f>IF($A125="","",IFERROR(INDEX(계정매핑!$E$5:$E$504,MATCH($F125&amp;"",계정매핑!$A$5:$A$504,0))&amp;"","공통비"))</f>
        <v/>
      </c>
      <c r="AF125" s="64">
        <f>IF($A125="","",IF(AE125="직접",IFERROR(INDEX(계정매핑!$F$5:$F$504,MATCH($F125&amp;"",계정매핑!$A$5:$A$504,0))&amp;"","비귀속"),""))</f>
        <v/>
      </c>
      <c r="AG125" s="96">
        <f>IF($A125="",0,IF(AND(AE125&lt;&gt;"직접",IFERROR(INDEX(계정매핑!$G$5:$G$504,MATCH($F125&amp;"",계정매핑!$A$5:$A$504,0))&amp;"","")="유지비",COUNTIF(계정대체기준!$A$6:$A$15,$N125)&gt;0),IFERROR(INDEX(계정대체기준!$E$6:$E$15,MATCH(VALUE($A125&amp;""),계정대체기준!$D$6:$D$15,0)),0),0))</f>
        <v/>
      </c>
      <c r="AH125" s="64">
        <f>IF($A125="","",IF(AD125=0,"",IF(OR(COUNTIF(계정대체기준!$A$77:$A$86,$N125)&gt;0,ISNUMBER(MATCH($X125,계정대체기준!$D$77:$D$86,0)),ISNUMBER(MATCH($F125,계정대체기준!$D$77:$D$86,0))),"Y","N")))</f>
        <v/>
      </c>
    </row>
    <row r="126">
      <c r="A126" s="92" t="n">
        <v>2025</v>
      </c>
      <c r="B126" s="92" t="n">
        <v>1</v>
      </c>
      <c r="C126" s="92" t="inlineStr">
        <is>
          <t>5100000122</t>
        </is>
      </c>
      <c r="D126" s="95" t="n">
        <v>45671</v>
      </c>
      <c r="E126" s="92" t="inlineStr">
        <is>
          <t>KR</t>
        </is>
      </c>
      <c r="F126" s="92" t="n">
        <v>62201000</v>
      </c>
      <c r="G126" s="92" t="n">
        <v>1201</v>
      </c>
      <c r="H126" s="93" t="n">
        <v>130000</v>
      </c>
      <c r="I126" s="92" t="inlineStr">
        <is>
          <t>1월 통신요금 - P통신</t>
        </is>
      </c>
      <c r="J126" s="92" t="inlineStr">
        <is>
          <t>V10014</t>
        </is>
      </c>
      <c r="K126" s="92" t="inlineStr">
        <is>
          <t>P통신</t>
        </is>
      </c>
      <c r="M126" s="9">
        <f>IF($A126="","",VALUE($A126&amp;"")*12+VALUE($B126&amp;""))</f>
        <v/>
      </c>
      <c r="N126" s="64">
        <f>IF($A126="","",IFERROR(INDEX(부서매핑!$C$5:$C$504,MATCH($G126&amp;"",부서매핑!$A$5:$A$504,0)),"미매핑"))</f>
        <v/>
      </c>
      <c r="O126" s="9">
        <f>IF($A126="","",N126&amp;"|"&amp;$F126)</f>
        <v/>
      </c>
      <c r="P126" s="94">
        <f>IF($A126="",0,$H126*설정!$C$23)</f>
        <v/>
      </c>
      <c r="Q126" s="64">
        <f>IF($A126="","",IF(O126&lt;&gt;원인분석!$C$9,"",IF(AND(M126&gt;=원인분석!$C$10,M126&lt;=원인분석!$C$11),"당기",IF(AND(M126&gt;=원인분석!$C$12,M126&lt;=원인분석!$C$13),"비교",""))))</f>
        <v/>
      </c>
      <c r="R126" s="9">
        <f>IF(Q126="","",$K126&amp;"")</f>
        <v/>
      </c>
      <c r="S126" s="9">
        <f>IF(Q126="","",IF(MATCH(R126,$R$5:$R$100000,0)=ROW()-4,ROW(),""))</f>
        <v/>
      </c>
      <c r="T126" s="9">
        <f>IF(Q126="당기",ABS(P126)+ROW()/1000000000,"")</f>
        <v/>
      </c>
      <c r="U126" s="9">
        <f>IF(Q126="비교",ABS(P126)+ROW()/1000000000,"")</f>
        <v/>
      </c>
      <c r="V126" s="64">
        <f>IF($A126="","",IF(COUNTIF(변동분석!$E$7:$E$506,O126)&gt;0,"Y","N"))</f>
        <v/>
      </c>
      <c r="W126" s="64">
        <f>IF($A126="","",IFERROR(INDEX(계정매핑!$D$5:$D$504,MATCH($F126&amp;"",계정매핑!$A$5:$A$504,0)),"미매핑"))</f>
        <v/>
      </c>
      <c r="X126" s="9">
        <f>IF($A126="","",$F126&amp;"")</f>
        <v/>
      </c>
      <c r="Y126" s="94">
        <f>IF($A126="",0,IF(AE126="직접",IF(AF126="비귀속",$P126,0),$P126*(1-AG126)*IFERROR(INDEX(계정대체기준!$F$20:$F$49,MATCH($N126,계정대체기준!$A$20:$A$49,0)),1)))</f>
        <v/>
      </c>
      <c r="Z126" s="94">
        <f>IF($A126="",0,IF(AE126="직접",IF(AF126="신계약비",$P126,0),$P126*(1-AG126)*IFERROR(INDEX(계정대체기준!$C$20:$C$49,MATCH($N126,계정대체기준!$A$20:$A$49,0)),0)))</f>
        <v/>
      </c>
      <c r="AA126" s="94">
        <f>IF($A126="",0,IF(AE126="직접",IF(OR(AF126="유지비",AF126="손해조사비"),$P126,0),$P126*(1-AG126)*IFERROR(INDEX(계정대체기준!$D$20:$D$49,MATCH($N126,계정대체기준!$A$20:$A$49,0)),0)))</f>
        <v/>
      </c>
      <c r="AB126" s="94">
        <f>IF($A126="",0,IF(AE126="직접",IF(AF126="수금비",$P126,0),$P126*(1-AG126)*IFERROR(INDEX(계정대체기준!$E$20:$E$49,MATCH($N126,계정대체기준!$A$20:$A$49,0)),0)))</f>
        <v/>
      </c>
      <c r="AC126" s="9">
        <f>IF(AND($A126&lt;&gt;"",M126=설정!$C$20,Z126&gt;0),Z126+ROW()/1000000000,"")</f>
        <v/>
      </c>
      <c r="AD126" s="94">
        <f>IF($A126="",0,$P126*AG126)</f>
        <v/>
      </c>
      <c r="AE126" s="64">
        <f>IF($A126="","",IFERROR(INDEX(계정매핑!$E$5:$E$504,MATCH($F126&amp;"",계정매핑!$A$5:$A$504,0))&amp;"","공통비"))</f>
        <v/>
      </c>
      <c r="AF126" s="64">
        <f>IF($A126="","",IF(AE126="직접",IFERROR(INDEX(계정매핑!$F$5:$F$504,MATCH($F126&amp;"",계정매핑!$A$5:$A$504,0))&amp;"","비귀속"),""))</f>
        <v/>
      </c>
      <c r="AG126" s="96">
        <f>IF($A126="",0,IF(AND(AE126&lt;&gt;"직접",IFERROR(INDEX(계정매핑!$G$5:$G$504,MATCH($F126&amp;"",계정매핑!$A$5:$A$504,0))&amp;"","")="유지비",COUNTIF(계정대체기준!$A$6:$A$15,$N126)&gt;0),IFERROR(INDEX(계정대체기준!$E$6:$E$15,MATCH(VALUE($A126&amp;""),계정대체기준!$D$6:$D$15,0)),0),0))</f>
        <v/>
      </c>
      <c r="AH126" s="64">
        <f>IF($A126="","",IF(AD126=0,"",IF(OR(COUNTIF(계정대체기준!$A$77:$A$86,$N126)&gt;0,ISNUMBER(MATCH($X126,계정대체기준!$D$77:$D$86,0)),ISNUMBER(MATCH($F126,계정대체기준!$D$77:$D$86,0))),"Y","N")))</f>
        <v/>
      </c>
    </row>
    <row r="127">
      <c r="A127" s="92" t="n">
        <v>2025</v>
      </c>
      <c r="B127" s="92" t="n">
        <v>1</v>
      </c>
      <c r="C127" s="92" t="inlineStr">
        <is>
          <t>5100000123</t>
        </is>
      </c>
      <c r="D127" s="95" t="n">
        <v>45671</v>
      </c>
      <c r="E127" s="92" t="inlineStr">
        <is>
          <t>KR</t>
        </is>
      </c>
      <c r="F127" s="92" t="n">
        <v>62201000</v>
      </c>
      <c r="G127" s="92" t="n">
        <v>1301</v>
      </c>
      <c r="H127" s="93" t="n">
        <v>142000</v>
      </c>
      <c r="I127" s="92" t="inlineStr">
        <is>
          <t>1월 통신요금 - O텔레콤</t>
        </is>
      </c>
      <c r="J127" s="92" t="inlineStr">
        <is>
          <t>V10002</t>
        </is>
      </c>
      <c r="K127" s="92" t="inlineStr">
        <is>
          <t>O텔레콤</t>
        </is>
      </c>
      <c r="M127" s="9">
        <f>IF($A127="","",VALUE($A127&amp;"")*12+VALUE($B127&amp;""))</f>
        <v/>
      </c>
      <c r="N127" s="64">
        <f>IF($A127="","",IFERROR(INDEX(부서매핑!$C$5:$C$504,MATCH($G127&amp;"",부서매핑!$A$5:$A$504,0)),"미매핑"))</f>
        <v/>
      </c>
      <c r="O127" s="9">
        <f>IF($A127="","",N127&amp;"|"&amp;$F127)</f>
        <v/>
      </c>
      <c r="P127" s="94">
        <f>IF($A127="",0,$H127*설정!$C$23)</f>
        <v/>
      </c>
      <c r="Q127" s="64">
        <f>IF($A127="","",IF(O127&lt;&gt;원인분석!$C$9,"",IF(AND(M127&gt;=원인분석!$C$10,M127&lt;=원인분석!$C$11),"당기",IF(AND(M127&gt;=원인분석!$C$12,M127&lt;=원인분석!$C$13),"비교",""))))</f>
        <v/>
      </c>
      <c r="R127" s="9">
        <f>IF(Q127="","",$K127&amp;"")</f>
        <v/>
      </c>
      <c r="S127" s="9">
        <f>IF(Q127="","",IF(MATCH(R127,$R$5:$R$100000,0)=ROW()-4,ROW(),""))</f>
        <v/>
      </c>
      <c r="T127" s="9">
        <f>IF(Q127="당기",ABS(P127)+ROW()/1000000000,"")</f>
        <v/>
      </c>
      <c r="U127" s="9">
        <f>IF(Q127="비교",ABS(P127)+ROW()/1000000000,"")</f>
        <v/>
      </c>
      <c r="V127" s="64">
        <f>IF($A127="","",IF(COUNTIF(변동분석!$E$7:$E$506,O127)&gt;0,"Y","N"))</f>
        <v/>
      </c>
      <c r="W127" s="64">
        <f>IF($A127="","",IFERROR(INDEX(계정매핑!$D$5:$D$504,MATCH($F127&amp;"",계정매핑!$A$5:$A$504,0)),"미매핑"))</f>
        <v/>
      </c>
      <c r="X127" s="9">
        <f>IF($A127="","",$F127&amp;"")</f>
        <v/>
      </c>
      <c r="Y127" s="94">
        <f>IF($A127="",0,IF(AE127="직접",IF(AF127="비귀속",$P127,0),$P127*(1-AG127)*IFERROR(INDEX(계정대체기준!$F$20:$F$49,MATCH($N127,계정대체기준!$A$20:$A$49,0)),1)))</f>
        <v/>
      </c>
      <c r="Z127" s="94">
        <f>IF($A127="",0,IF(AE127="직접",IF(AF127="신계약비",$P127,0),$P127*(1-AG127)*IFERROR(INDEX(계정대체기준!$C$20:$C$49,MATCH($N127,계정대체기준!$A$20:$A$49,0)),0)))</f>
        <v/>
      </c>
      <c r="AA127" s="94">
        <f>IF($A127="",0,IF(AE127="직접",IF(OR(AF127="유지비",AF127="손해조사비"),$P127,0),$P127*(1-AG127)*IFERROR(INDEX(계정대체기준!$D$20:$D$49,MATCH($N127,계정대체기준!$A$20:$A$49,0)),0)))</f>
        <v/>
      </c>
      <c r="AB127" s="94">
        <f>IF($A127="",0,IF(AE127="직접",IF(AF127="수금비",$P127,0),$P127*(1-AG127)*IFERROR(INDEX(계정대체기준!$E$20:$E$49,MATCH($N127,계정대체기준!$A$20:$A$49,0)),0)))</f>
        <v/>
      </c>
      <c r="AC127" s="9">
        <f>IF(AND($A127&lt;&gt;"",M127=설정!$C$20,Z127&gt;0),Z127+ROW()/1000000000,"")</f>
        <v/>
      </c>
      <c r="AD127" s="94">
        <f>IF($A127="",0,$P127*AG127)</f>
        <v/>
      </c>
      <c r="AE127" s="64">
        <f>IF($A127="","",IFERROR(INDEX(계정매핑!$E$5:$E$504,MATCH($F127&amp;"",계정매핑!$A$5:$A$504,0))&amp;"","공통비"))</f>
        <v/>
      </c>
      <c r="AF127" s="64">
        <f>IF($A127="","",IF(AE127="직접",IFERROR(INDEX(계정매핑!$F$5:$F$504,MATCH($F127&amp;"",계정매핑!$A$5:$A$504,0))&amp;"","비귀속"),""))</f>
        <v/>
      </c>
      <c r="AG127" s="96">
        <f>IF($A127="",0,IF(AND(AE127&lt;&gt;"직접",IFERROR(INDEX(계정매핑!$G$5:$G$504,MATCH($F127&amp;"",계정매핑!$A$5:$A$504,0))&amp;"","")="유지비",COUNTIF(계정대체기준!$A$6:$A$15,$N127)&gt;0),IFERROR(INDEX(계정대체기준!$E$6:$E$15,MATCH(VALUE($A127&amp;""),계정대체기준!$D$6:$D$15,0)),0),0))</f>
        <v/>
      </c>
      <c r="AH127" s="64">
        <f>IF($A127="","",IF(AD127=0,"",IF(OR(COUNTIF(계정대체기준!$A$77:$A$86,$N127)&gt;0,ISNUMBER(MATCH($X127,계정대체기준!$D$77:$D$86,0)),ISNUMBER(MATCH($F127,계정대체기준!$D$77:$D$86,0))),"Y","N")))</f>
        <v/>
      </c>
    </row>
    <row r="128">
      <c r="A128" s="92" t="n">
        <v>2025</v>
      </c>
      <c r="B128" s="92" t="n">
        <v>1</v>
      </c>
      <c r="C128" s="92" t="inlineStr">
        <is>
          <t>5100000124</t>
        </is>
      </c>
      <c r="D128" s="95" t="n">
        <v>45671</v>
      </c>
      <c r="E128" s="92" t="inlineStr">
        <is>
          <t>KR</t>
        </is>
      </c>
      <c r="F128" s="92" t="n">
        <v>62201000</v>
      </c>
      <c r="G128" s="92" t="n">
        <v>1801</v>
      </c>
      <c r="H128" s="93" t="n">
        <v>4450000</v>
      </c>
      <c r="I128" s="92" t="inlineStr">
        <is>
          <t>1월 통신요금 - P통신</t>
        </is>
      </c>
      <c r="J128" s="92" t="inlineStr">
        <is>
          <t>V10014</t>
        </is>
      </c>
      <c r="K128" s="92" t="inlineStr">
        <is>
          <t>P통신</t>
        </is>
      </c>
      <c r="M128" s="9">
        <f>IF($A128="","",VALUE($A128&amp;"")*12+VALUE($B128&amp;""))</f>
        <v/>
      </c>
      <c r="N128" s="64">
        <f>IF($A128="","",IFERROR(INDEX(부서매핑!$C$5:$C$504,MATCH($G128&amp;"",부서매핑!$A$5:$A$504,0)),"미매핑"))</f>
        <v/>
      </c>
      <c r="O128" s="9">
        <f>IF($A128="","",N128&amp;"|"&amp;$F128)</f>
        <v/>
      </c>
      <c r="P128" s="94">
        <f>IF($A128="",0,$H128*설정!$C$23)</f>
        <v/>
      </c>
      <c r="Q128" s="64">
        <f>IF($A128="","",IF(O128&lt;&gt;원인분석!$C$9,"",IF(AND(M128&gt;=원인분석!$C$10,M128&lt;=원인분석!$C$11),"당기",IF(AND(M128&gt;=원인분석!$C$12,M128&lt;=원인분석!$C$13),"비교",""))))</f>
        <v/>
      </c>
      <c r="R128" s="9">
        <f>IF(Q128="","",$K128&amp;"")</f>
        <v/>
      </c>
      <c r="S128" s="9">
        <f>IF(Q128="","",IF(MATCH(R128,$R$5:$R$100000,0)=ROW()-4,ROW(),""))</f>
        <v/>
      </c>
      <c r="T128" s="9">
        <f>IF(Q128="당기",ABS(P128)+ROW()/1000000000,"")</f>
        <v/>
      </c>
      <c r="U128" s="9">
        <f>IF(Q128="비교",ABS(P128)+ROW()/1000000000,"")</f>
        <v/>
      </c>
      <c r="V128" s="64">
        <f>IF($A128="","",IF(COUNTIF(변동분석!$E$7:$E$506,O128)&gt;0,"Y","N"))</f>
        <v/>
      </c>
      <c r="W128" s="64">
        <f>IF($A128="","",IFERROR(INDEX(계정매핑!$D$5:$D$504,MATCH($F128&amp;"",계정매핑!$A$5:$A$504,0)),"미매핑"))</f>
        <v/>
      </c>
      <c r="X128" s="9">
        <f>IF($A128="","",$F128&amp;"")</f>
        <v/>
      </c>
      <c r="Y128" s="94">
        <f>IF($A128="",0,IF(AE128="직접",IF(AF128="비귀속",$P128,0),$P128*(1-AG128)*IFERROR(INDEX(계정대체기준!$F$20:$F$49,MATCH($N128,계정대체기준!$A$20:$A$49,0)),1)))</f>
        <v/>
      </c>
      <c r="Z128" s="94">
        <f>IF($A128="",0,IF(AE128="직접",IF(AF128="신계약비",$P128,0),$P128*(1-AG128)*IFERROR(INDEX(계정대체기준!$C$20:$C$49,MATCH($N128,계정대체기준!$A$20:$A$49,0)),0)))</f>
        <v/>
      </c>
      <c r="AA128" s="94">
        <f>IF($A128="",0,IF(AE128="직접",IF(OR(AF128="유지비",AF128="손해조사비"),$P128,0),$P128*(1-AG128)*IFERROR(INDEX(계정대체기준!$D$20:$D$49,MATCH($N128,계정대체기준!$A$20:$A$49,0)),0)))</f>
        <v/>
      </c>
      <c r="AB128" s="94">
        <f>IF($A128="",0,IF(AE128="직접",IF(AF128="수금비",$P128,0),$P128*(1-AG128)*IFERROR(INDEX(계정대체기준!$E$20:$E$49,MATCH($N128,계정대체기준!$A$20:$A$49,0)),0)))</f>
        <v/>
      </c>
      <c r="AC128" s="9">
        <f>IF(AND($A128&lt;&gt;"",M128=설정!$C$20,Z128&gt;0),Z128+ROW()/1000000000,"")</f>
        <v/>
      </c>
      <c r="AD128" s="94">
        <f>IF($A128="",0,$P128*AG128)</f>
        <v/>
      </c>
      <c r="AE128" s="64">
        <f>IF($A128="","",IFERROR(INDEX(계정매핑!$E$5:$E$504,MATCH($F128&amp;"",계정매핑!$A$5:$A$504,0))&amp;"","공통비"))</f>
        <v/>
      </c>
      <c r="AF128" s="64">
        <f>IF($A128="","",IF(AE128="직접",IFERROR(INDEX(계정매핑!$F$5:$F$504,MATCH($F128&amp;"",계정매핑!$A$5:$A$504,0))&amp;"","비귀속"),""))</f>
        <v/>
      </c>
      <c r="AG128" s="96">
        <f>IF($A128="",0,IF(AND(AE128&lt;&gt;"직접",IFERROR(INDEX(계정매핑!$G$5:$G$504,MATCH($F128&amp;"",계정매핑!$A$5:$A$504,0))&amp;"","")="유지비",COUNTIF(계정대체기준!$A$6:$A$15,$N128)&gt;0),IFERROR(INDEX(계정대체기준!$E$6:$E$15,MATCH(VALUE($A128&amp;""),계정대체기준!$D$6:$D$15,0)),0),0))</f>
        <v/>
      </c>
      <c r="AH128" s="64">
        <f>IF($A128="","",IF(AD128=0,"",IF(OR(COUNTIF(계정대체기준!$A$77:$A$86,$N128)&gt;0,ISNUMBER(MATCH($X128,계정대체기준!$D$77:$D$86,0)),ISNUMBER(MATCH($F128,계정대체기준!$D$77:$D$86,0))),"Y","N")))</f>
        <v/>
      </c>
    </row>
    <row r="129">
      <c r="A129" s="92" t="n">
        <v>2025</v>
      </c>
      <c r="B129" s="92" t="n">
        <v>1</v>
      </c>
      <c r="C129" s="92" t="inlineStr">
        <is>
          <t>5100000125</t>
        </is>
      </c>
      <c r="D129" s="95" t="n">
        <v>45671</v>
      </c>
      <c r="E129" s="92" t="inlineStr">
        <is>
          <t>KR</t>
        </is>
      </c>
      <c r="F129" s="92" t="n">
        <v>62301000</v>
      </c>
      <c r="G129" s="92" t="n">
        <v>1801</v>
      </c>
      <c r="H129" s="93" t="n">
        <v>736000</v>
      </c>
      <c r="I129" s="92" t="inlineStr">
        <is>
          <t>1월 소모품 구입 - Q오피스</t>
        </is>
      </c>
      <c r="J129" s="92" t="inlineStr">
        <is>
          <t>V10003</t>
        </is>
      </c>
      <c r="K129" s="92" t="inlineStr">
        <is>
          <t>Q오피스</t>
        </is>
      </c>
      <c r="M129" s="9">
        <f>IF($A129="","",VALUE($A129&amp;"")*12+VALUE($B129&amp;""))</f>
        <v/>
      </c>
      <c r="N129" s="64">
        <f>IF($A129="","",IFERROR(INDEX(부서매핑!$C$5:$C$504,MATCH($G129&amp;"",부서매핑!$A$5:$A$504,0)),"미매핑"))</f>
        <v/>
      </c>
      <c r="O129" s="9">
        <f>IF($A129="","",N129&amp;"|"&amp;$F129)</f>
        <v/>
      </c>
      <c r="P129" s="94">
        <f>IF($A129="",0,$H129*설정!$C$23)</f>
        <v/>
      </c>
      <c r="Q129" s="64">
        <f>IF($A129="","",IF(O129&lt;&gt;원인분석!$C$9,"",IF(AND(M129&gt;=원인분석!$C$10,M129&lt;=원인분석!$C$11),"당기",IF(AND(M129&gt;=원인분석!$C$12,M129&lt;=원인분석!$C$13),"비교",""))))</f>
        <v/>
      </c>
      <c r="R129" s="9">
        <f>IF(Q129="","",$K129&amp;"")</f>
        <v/>
      </c>
      <c r="S129" s="9">
        <f>IF(Q129="","",IF(MATCH(R129,$R$5:$R$100000,0)=ROW()-4,ROW(),""))</f>
        <v/>
      </c>
      <c r="T129" s="9">
        <f>IF(Q129="당기",ABS(P129)+ROW()/1000000000,"")</f>
        <v/>
      </c>
      <c r="U129" s="9">
        <f>IF(Q129="비교",ABS(P129)+ROW()/1000000000,"")</f>
        <v/>
      </c>
      <c r="V129" s="64">
        <f>IF($A129="","",IF(COUNTIF(변동분석!$E$7:$E$506,O129)&gt;0,"Y","N"))</f>
        <v/>
      </c>
      <c r="W129" s="64">
        <f>IF($A129="","",IFERROR(INDEX(계정매핑!$D$5:$D$504,MATCH($F129&amp;"",계정매핑!$A$5:$A$504,0)),"미매핑"))</f>
        <v/>
      </c>
      <c r="X129" s="9">
        <f>IF($A129="","",$F129&amp;"")</f>
        <v/>
      </c>
      <c r="Y129" s="94">
        <f>IF($A129="",0,IF(AE129="직접",IF(AF129="비귀속",$P129,0),$P129*(1-AG129)*IFERROR(INDEX(계정대체기준!$F$20:$F$49,MATCH($N129,계정대체기준!$A$20:$A$49,0)),1)))</f>
        <v/>
      </c>
      <c r="Z129" s="94">
        <f>IF($A129="",0,IF(AE129="직접",IF(AF129="신계약비",$P129,0),$P129*(1-AG129)*IFERROR(INDEX(계정대체기준!$C$20:$C$49,MATCH($N129,계정대체기준!$A$20:$A$49,0)),0)))</f>
        <v/>
      </c>
      <c r="AA129" s="94">
        <f>IF($A129="",0,IF(AE129="직접",IF(OR(AF129="유지비",AF129="손해조사비"),$P129,0),$P129*(1-AG129)*IFERROR(INDEX(계정대체기준!$D$20:$D$49,MATCH($N129,계정대체기준!$A$20:$A$49,0)),0)))</f>
        <v/>
      </c>
      <c r="AB129" s="94">
        <f>IF($A129="",0,IF(AE129="직접",IF(AF129="수금비",$P129,0),$P129*(1-AG129)*IFERROR(INDEX(계정대체기준!$E$20:$E$49,MATCH($N129,계정대체기준!$A$20:$A$49,0)),0)))</f>
        <v/>
      </c>
      <c r="AC129" s="9">
        <f>IF(AND($A129&lt;&gt;"",M129=설정!$C$20,Z129&gt;0),Z129+ROW()/1000000000,"")</f>
        <v/>
      </c>
      <c r="AD129" s="94">
        <f>IF($A129="",0,$P129*AG129)</f>
        <v/>
      </c>
      <c r="AE129" s="64">
        <f>IF($A129="","",IFERROR(INDEX(계정매핑!$E$5:$E$504,MATCH($F129&amp;"",계정매핑!$A$5:$A$504,0))&amp;"","공통비"))</f>
        <v/>
      </c>
      <c r="AF129" s="64">
        <f>IF($A129="","",IF(AE129="직접",IFERROR(INDEX(계정매핑!$F$5:$F$504,MATCH($F129&amp;"",계정매핑!$A$5:$A$504,0))&amp;"","비귀속"),""))</f>
        <v/>
      </c>
      <c r="AG129" s="96">
        <f>IF($A129="",0,IF(AND(AE129&lt;&gt;"직접",IFERROR(INDEX(계정매핑!$G$5:$G$504,MATCH($F129&amp;"",계정매핑!$A$5:$A$504,0))&amp;"","")="유지비",COUNTIF(계정대체기준!$A$6:$A$15,$N129)&gt;0),IFERROR(INDEX(계정대체기준!$E$6:$E$15,MATCH(VALUE($A129&amp;""),계정대체기준!$D$6:$D$15,0)),0),0))</f>
        <v/>
      </c>
      <c r="AH129" s="64">
        <f>IF($A129="","",IF(AD129=0,"",IF(OR(COUNTIF(계정대체기준!$A$77:$A$86,$N129)&gt;0,ISNUMBER(MATCH($X129,계정대체기준!$D$77:$D$86,0)),ISNUMBER(MATCH($F129,계정대체기준!$D$77:$D$86,0))),"Y","N")))</f>
        <v/>
      </c>
    </row>
    <row r="130">
      <c r="A130" s="92" t="n">
        <v>2025</v>
      </c>
      <c r="B130" s="92" t="n">
        <v>1</v>
      </c>
      <c r="C130" s="92" t="inlineStr">
        <is>
          <t>5100000126</t>
        </is>
      </c>
      <c r="D130" s="95" t="n">
        <v>45671</v>
      </c>
      <c r="E130" s="92" t="inlineStr">
        <is>
          <t>KR</t>
        </is>
      </c>
      <c r="F130" s="92" t="n">
        <v>62501000</v>
      </c>
      <c r="G130" s="92" t="n">
        <v>1201</v>
      </c>
      <c r="H130" s="93" t="n">
        <v>162000</v>
      </c>
      <c r="I130" s="92" t="inlineStr">
        <is>
          <t>1월 회의 다과 - T케이터링</t>
        </is>
      </c>
      <c r="J130" s="92" t="inlineStr">
        <is>
          <t>V10005</t>
        </is>
      </c>
      <c r="K130" s="92" t="inlineStr">
        <is>
          <t>T케이터링</t>
        </is>
      </c>
      <c r="M130" s="9">
        <f>IF($A130="","",VALUE($A130&amp;"")*12+VALUE($B130&amp;""))</f>
        <v/>
      </c>
      <c r="N130" s="64">
        <f>IF($A130="","",IFERROR(INDEX(부서매핑!$C$5:$C$504,MATCH($G130&amp;"",부서매핑!$A$5:$A$504,0)),"미매핑"))</f>
        <v/>
      </c>
      <c r="O130" s="9">
        <f>IF($A130="","",N130&amp;"|"&amp;$F130)</f>
        <v/>
      </c>
      <c r="P130" s="94">
        <f>IF($A130="",0,$H130*설정!$C$23)</f>
        <v/>
      </c>
      <c r="Q130" s="64">
        <f>IF($A130="","",IF(O130&lt;&gt;원인분석!$C$9,"",IF(AND(M130&gt;=원인분석!$C$10,M130&lt;=원인분석!$C$11),"당기",IF(AND(M130&gt;=원인분석!$C$12,M130&lt;=원인분석!$C$13),"비교",""))))</f>
        <v/>
      </c>
      <c r="R130" s="9">
        <f>IF(Q130="","",$K130&amp;"")</f>
        <v/>
      </c>
      <c r="S130" s="9">
        <f>IF(Q130="","",IF(MATCH(R130,$R$5:$R$100000,0)=ROW()-4,ROW(),""))</f>
        <v/>
      </c>
      <c r="T130" s="9">
        <f>IF(Q130="당기",ABS(P130)+ROW()/1000000000,"")</f>
        <v/>
      </c>
      <c r="U130" s="9">
        <f>IF(Q130="비교",ABS(P130)+ROW()/1000000000,"")</f>
        <v/>
      </c>
      <c r="V130" s="64">
        <f>IF($A130="","",IF(COUNTIF(변동분석!$E$7:$E$506,O130)&gt;0,"Y","N"))</f>
        <v/>
      </c>
      <c r="W130" s="64">
        <f>IF($A130="","",IFERROR(INDEX(계정매핑!$D$5:$D$504,MATCH($F130&amp;"",계정매핑!$A$5:$A$504,0)),"미매핑"))</f>
        <v/>
      </c>
      <c r="X130" s="9">
        <f>IF($A130="","",$F130&amp;"")</f>
        <v/>
      </c>
      <c r="Y130" s="94">
        <f>IF($A130="",0,IF(AE130="직접",IF(AF130="비귀속",$P130,0),$P130*(1-AG130)*IFERROR(INDEX(계정대체기준!$F$20:$F$49,MATCH($N130,계정대체기준!$A$20:$A$49,0)),1)))</f>
        <v/>
      </c>
      <c r="Z130" s="94">
        <f>IF($A130="",0,IF(AE130="직접",IF(AF130="신계약비",$P130,0),$P130*(1-AG130)*IFERROR(INDEX(계정대체기준!$C$20:$C$49,MATCH($N130,계정대체기준!$A$20:$A$49,0)),0)))</f>
        <v/>
      </c>
      <c r="AA130" s="94">
        <f>IF($A130="",0,IF(AE130="직접",IF(OR(AF130="유지비",AF130="손해조사비"),$P130,0),$P130*(1-AG130)*IFERROR(INDEX(계정대체기준!$D$20:$D$49,MATCH($N130,계정대체기준!$A$20:$A$49,0)),0)))</f>
        <v/>
      </c>
      <c r="AB130" s="94">
        <f>IF($A130="",0,IF(AE130="직접",IF(AF130="수금비",$P130,0),$P130*(1-AG130)*IFERROR(INDEX(계정대체기준!$E$20:$E$49,MATCH($N130,계정대체기준!$A$20:$A$49,0)),0)))</f>
        <v/>
      </c>
      <c r="AC130" s="9">
        <f>IF(AND($A130&lt;&gt;"",M130=설정!$C$20,Z130&gt;0),Z130+ROW()/1000000000,"")</f>
        <v/>
      </c>
      <c r="AD130" s="94">
        <f>IF($A130="",0,$P130*AG130)</f>
        <v/>
      </c>
      <c r="AE130" s="64">
        <f>IF($A130="","",IFERROR(INDEX(계정매핑!$E$5:$E$504,MATCH($F130&amp;"",계정매핑!$A$5:$A$504,0))&amp;"","공통비"))</f>
        <v/>
      </c>
      <c r="AF130" s="64">
        <f>IF($A130="","",IF(AE130="직접",IFERROR(INDEX(계정매핑!$F$5:$F$504,MATCH($F130&amp;"",계정매핑!$A$5:$A$504,0))&amp;"","비귀속"),""))</f>
        <v/>
      </c>
      <c r="AG130" s="96">
        <f>IF($A130="",0,IF(AND(AE130&lt;&gt;"직접",IFERROR(INDEX(계정매핑!$G$5:$G$504,MATCH($F130&amp;"",계정매핑!$A$5:$A$504,0))&amp;"","")="유지비",COUNTIF(계정대체기준!$A$6:$A$15,$N130)&gt;0),IFERROR(INDEX(계정대체기준!$E$6:$E$15,MATCH(VALUE($A130&amp;""),계정대체기준!$D$6:$D$15,0)),0),0))</f>
        <v/>
      </c>
      <c r="AH130" s="64">
        <f>IF($A130="","",IF(AD130=0,"",IF(OR(COUNTIF(계정대체기준!$A$77:$A$86,$N130)&gt;0,ISNUMBER(MATCH($X130,계정대체기준!$D$77:$D$86,0)),ISNUMBER(MATCH($F130,계정대체기준!$D$77:$D$86,0))),"Y","N")))</f>
        <v/>
      </c>
    </row>
    <row r="131">
      <c r="A131" s="92" t="n">
        <v>2025</v>
      </c>
      <c r="B131" s="92" t="n">
        <v>1</v>
      </c>
      <c r="C131" s="92" t="inlineStr">
        <is>
          <t>5100000127</t>
        </is>
      </c>
      <c r="D131" s="95" t="n">
        <v>45671</v>
      </c>
      <c r="E131" s="92" t="inlineStr">
        <is>
          <t>KR</t>
        </is>
      </c>
      <c r="F131" s="92" t="n">
        <v>62501000</v>
      </c>
      <c r="G131" s="92" t="n">
        <v>1301</v>
      </c>
      <c r="H131" s="93" t="n">
        <v>167000</v>
      </c>
      <c r="I131" s="92" t="inlineStr">
        <is>
          <t>1월 회의 다과 - (법인카드)</t>
        </is>
      </c>
      <c r="J131" s="92" t="inlineStr">
        <is>
          <t>V10010</t>
        </is>
      </c>
      <c r="K131" s="92" t="inlineStr">
        <is>
          <t>(법인카드)</t>
        </is>
      </c>
      <c r="M131" s="9">
        <f>IF($A131="","",VALUE($A131&amp;"")*12+VALUE($B131&amp;""))</f>
        <v/>
      </c>
      <c r="N131" s="64">
        <f>IF($A131="","",IFERROR(INDEX(부서매핑!$C$5:$C$504,MATCH($G131&amp;"",부서매핑!$A$5:$A$504,0)),"미매핑"))</f>
        <v/>
      </c>
      <c r="O131" s="9">
        <f>IF($A131="","",N131&amp;"|"&amp;$F131)</f>
        <v/>
      </c>
      <c r="P131" s="94">
        <f>IF($A131="",0,$H131*설정!$C$23)</f>
        <v/>
      </c>
      <c r="Q131" s="64">
        <f>IF($A131="","",IF(O131&lt;&gt;원인분석!$C$9,"",IF(AND(M131&gt;=원인분석!$C$10,M131&lt;=원인분석!$C$11),"당기",IF(AND(M131&gt;=원인분석!$C$12,M131&lt;=원인분석!$C$13),"비교",""))))</f>
        <v/>
      </c>
      <c r="R131" s="9">
        <f>IF(Q131="","",$K131&amp;"")</f>
        <v/>
      </c>
      <c r="S131" s="9">
        <f>IF(Q131="","",IF(MATCH(R131,$R$5:$R$100000,0)=ROW()-4,ROW(),""))</f>
        <v/>
      </c>
      <c r="T131" s="9">
        <f>IF(Q131="당기",ABS(P131)+ROW()/1000000000,"")</f>
        <v/>
      </c>
      <c r="U131" s="9">
        <f>IF(Q131="비교",ABS(P131)+ROW()/1000000000,"")</f>
        <v/>
      </c>
      <c r="V131" s="64">
        <f>IF($A131="","",IF(COUNTIF(변동분석!$E$7:$E$506,O131)&gt;0,"Y","N"))</f>
        <v/>
      </c>
      <c r="W131" s="64">
        <f>IF($A131="","",IFERROR(INDEX(계정매핑!$D$5:$D$504,MATCH($F131&amp;"",계정매핑!$A$5:$A$504,0)),"미매핑"))</f>
        <v/>
      </c>
      <c r="X131" s="9">
        <f>IF($A131="","",$F131&amp;"")</f>
        <v/>
      </c>
      <c r="Y131" s="94">
        <f>IF($A131="",0,IF(AE131="직접",IF(AF131="비귀속",$P131,0),$P131*(1-AG131)*IFERROR(INDEX(계정대체기준!$F$20:$F$49,MATCH($N131,계정대체기준!$A$20:$A$49,0)),1)))</f>
        <v/>
      </c>
      <c r="Z131" s="94">
        <f>IF($A131="",0,IF(AE131="직접",IF(AF131="신계약비",$P131,0),$P131*(1-AG131)*IFERROR(INDEX(계정대체기준!$C$20:$C$49,MATCH($N131,계정대체기준!$A$20:$A$49,0)),0)))</f>
        <v/>
      </c>
      <c r="AA131" s="94">
        <f>IF($A131="",0,IF(AE131="직접",IF(OR(AF131="유지비",AF131="손해조사비"),$P131,0),$P131*(1-AG131)*IFERROR(INDEX(계정대체기준!$D$20:$D$49,MATCH($N131,계정대체기준!$A$20:$A$49,0)),0)))</f>
        <v/>
      </c>
      <c r="AB131" s="94">
        <f>IF($A131="",0,IF(AE131="직접",IF(AF131="수금비",$P131,0),$P131*(1-AG131)*IFERROR(INDEX(계정대체기준!$E$20:$E$49,MATCH($N131,계정대체기준!$A$20:$A$49,0)),0)))</f>
        <v/>
      </c>
      <c r="AC131" s="9">
        <f>IF(AND($A131&lt;&gt;"",M131=설정!$C$20,Z131&gt;0),Z131+ROW()/1000000000,"")</f>
        <v/>
      </c>
      <c r="AD131" s="94">
        <f>IF($A131="",0,$P131*AG131)</f>
        <v/>
      </c>
      <c r="AE131" s="64">
        <f>IF($A131="","",IFERROR(INDEX(계정매핑!$E$5:$E$504,MATCH($F131&amp;"",계정매핑!$A$5:$A$504,0))&amp;"","공통비"))</f>
        <v/>
      </c>
      <c r="AF131" s="64">
        <f>IF($A131="","",IF(AE131="직접",IFERROR(INDEX(계정매핑!$F$5:$F$504,MATCH($F131&amp;"",계정매핑!$A$5:$A$504,0))&amp;"","비귀속"),""))</f>
        <v/>
      </c>
      <c r="AG131" s="96">
        <f>IF($A131="",0,IF(AND(AE131&lt;&gt;"직접",IFERROR(INDEX(계정매핑!$G$5:$G$504,MATCH($F131&amp;"",계정매핑!$A$5:$A$504,0))&amp;"","")="유지비",COUNTIF(계정대체기준!$A$6:$A$15,$N131)&gt;0),IFERROR(INDEX(계정대체기준!$E$6:$E$15,MATCH(VALUE($A131&amp;""),계정대체기준!$D$6:$D$15,0)),0),0))</f>
        <v/>
      </c>
      <c r="AH131" s="64">
        <f>IF($A131="","",IF(AD131=0,"",IF(OR(COUNTIF(계정대체기준!$A$77:$A$86,$N131)&gt;0,ISNUMBER(MATCH($X131,계정대체기준!$D$77:$D$86,0)),ISNUMBER(MATCH($F131,계정대체기준!$D$77:$D$86,0))),"Y","N")))</f>
        <v/>
      </c>
    </row>
    <row r="132">
      <c r="A132" s="92" t="n">
        <v>2025</v>
      </c>
      <c r="B132" s="92" t="n">
        <v>1</v>
      </c>
      <c r="C132" s="92" t="inlineStr">
        <is>
          <t>5100000128</t>
        </is>
      </c>
      <c r="D132" s="95" t="n">
        <v>45671</v>
      </c>
      <c r="E132" s="92" t="inlineStr">
        <is>
          <t>KR</t>
        </is>
      </c>
      <c r="F132" s="92" t="n">
        <v>62902000</v>
      </c>
      <c r="G132" s="92" t="n">
        <v>1801</v>
      </c>
      <c r="H132" s="93" t="n">
        <v>1786000</v>
      </c>
      <c r="I132" s="92" t="inlineStr">
        <is>
          <t>1월 콜 위탁 수수료(건별)</t>
        </is>
      </c>
      <c r="J132" s="92" t="inlineStr">
        <is>
          <t>V10016</t>
        </is>
      </c>
      <c r="K132" s="92" t="inlineStr">
        <is>
          <t>J콜센터</t>
        </is>
      </c>
      <c r="M132" s="9">
        <f>IF($A132="","",VALUE($A132&amp;"")*12+VALUE($B132&amp;""))</f>
        <v/>
      </c>
      <c r="N132" s="64">
        <f>IF($A132="","",IFERROR(INDEX(부서매핑!$C$5:$C$504,MATCH($G132&amp;"",부서매핑!$A$5:$A$504,0)),"미매핑"))</f>
        <v/>
      </c>
      <c r="O132" s="9">
        <f>IF($A132="","",N132&amp;"|"&amp;$F132)</f>
        <v/>
      </c>
      <c r="P132" s="94">
        <f>IF($A132="",0,$H132*설정!$C$23)</f>
        <v/>
      </c>
      <c r="Q132" s="64">
        <f>IF($A132="","",IF(O132&lt;&gt;원인분석!$C$9,"",IF(AND(M132&gt;=원인분석!$C$10,M132&lt;=원인분석!$C$11),"당기",IF(AND(M132&gt;=원인분석!$C$12,M132&lt;=원인분석!$C$13),"비교",""))))</f>
        <v/>
      </c>
      <c r="R132" s="9">
        <f>IF(Q132="","",$K132&amp;"")</f>
        <v/>
      </c>
      <c r="S132" s="9">
        <f>IF(Q132="","",IF(MATCH(R132,$R$5:$R$100000,0)=ROW()-4,ROW(),""))</f>
        <v/>
      </c>
      <c r="T132" s="9">
        <f>IF(Q132="당기",ABS(P132)+ROW()/1000000000,"")</f>
        <v/>
      </c>
      <c r="U132" s="9">
        <f>IF(Q132="비교",ABS(P132)+ROW()/1000000000,"")</f>
        <v/>
      </c>
      <c r="V132" s="64">
        <f>IF($A132="","",IF(COUNTIF(변동분석!$E$7:$E$506,O132)&gt;0,"Y","N"))</f>
        <v/>
      </c>
      <c r="W132" s="64">
        <f>IF($A132="","",IFERROR(INDEX(계정매핑!$D$5:$D$504,MATCH($F132&amp;"",계정매핑!$A$5:$A$504,0)),"미매핑"))</f>
        <v/>
      </c>
      <c r="X132" s="9">
        <f>IF($A132="","",$F132&amp;"")</f>
        <v/>
      </c>
      <c r="Y132" s="94">
        <f>IF($A132="",0,IF(AE132="직접",IF(AF132="비귀속",$P132,0),$P132*(1-AG132)*IFERROR(INDEX(계정대체기준!$F$20:$F$49,MATCH($N132,계정대체기준!$A$20:$A$49,0)),1)))</f>
        <v/>
      </c>
      <c r="Z132" s="94">
        <f>IF($A132="",0,IF(AE132="직접",IF(AF132="신계약비",$P132,0),$P132*(1-AG132)*IFERROR(INDEX(계정대체기준!$C$20:$C$49,MATCH($N132,계정대체기준!$A$20:$A$49,0)),0)))</f>
        <v/>
      </c>
      <c r="AA132" s="94">
        <f>IF($A132="",0,IF(AE132="직접",IF(OR(AF132="유지비",AF132="손해조사비"),$P132,0),$P132*(1-AG132)*IFERROR(INDEX(계정대체기준!$D$20:$D$49,MATCH($N132,계정대체기준!$A$20:$A$49,0)),0)))</f>
        <v/>
      </c>
      <c r="AB132" s="94">
        <f>IF($A132="",0,IF(AE132="직접",IF(AF132="수금비",$P132,0),$P132*(1-AG132)*IFERROR(INDEX(계정대체기준!$E$20:$E$49,MATCH($N132,계정대체기준!$A$20:$A$49,0)),0)))</f>
        <v/>
      </c>
      <c r="AC132" s="9">
        <f>IF(AND($A132&lt;&gt;"",M132=설정!$C$20,Z132&gt;0),Z132+ROW()/1000000000,"")</f>
        <v/>
      </c>
      <c r="AD132" s="94">
        <f>IF($A132="",0,$P132*AG132)</f>
        <v/>
      </c>
      <c r="AE132" s="64">
        <f>IF($A132="","",IFERROR(INDEX(계정매핑!$E$5:$E$504,MATCH($F132&amp;"",계정매핑!$A$5:$A$504,0))&amp;"","공통비"))</f>
        <v/>
      </c>
      <c r="AF132" s="64">
        <f>IF($A132="","",IF(AE132="직접",IFERROR(INDEX(계정매핑!$F$5:$F$504,MATCH($F132&amp;"",계정매핑!$A$5:$A$504,0))&amp;"","비귀속"),""))</f>
        <v/>
      </c>
      <c r="AG132" s="96">
        <f>IF($A132="",0,IF(AND(AE132&lt;&gt;"직접",IFERROR(INDEX(계정매핑!$G$5:$G$504,MATCH($F132&amp;"",계정매핑!$A$5:$A$504,0))&amp;"","")="유지비",COUNTIF(계정대체기준!$A$6:$A$15,$N132)&gt;0),IFERROR(INDEX(계정대체기준!$E$6:$E$15,MATCH(VALUE($A132&amp;""),계정대체기준!$D$6:$D$15,0)),0),0))</f>
        <v/>
      </c>
      <c r="AH132" s="64">
        <f>IF($A132="","",IF(AD132=0,"",IF(OR(COUNTIF(계정대체기준!$A$77:$A$86,$N132)&gt;0,ISNUMBER(MATCH($X132,계정대체기준!$D$77:$D$86,0)),ISNUMBER(MATCH($F132,계정대체기준!$D$77:$D$86,0))),"Y","N")))</f>
        <v/>
      </c>
    </row>
    <row r="133">
      <c r="A133" s="92" t="n">
        <v>2025</v>
      </c>
      <c r="B133" s="92" t="n">
        <v>1</v>
      </c>
      <c r="C133" s="92" t="inlineStr">
        <is>
          <t>5100000129</t>
        </is>
      </c>
      <c r="D133" s="95" t="n">
        <v>45671</v>
      </c>
      <c r="E133" s="92" t="inlineStr">
        <is>
          <t>KR</t>
        </is>
      </c>
      <c r="F133" s="92" t="n">
        <v>63001000</v>
      </c>
      <c r="G133" s="92" t="n">
        <v>1701</v>
      </c>
      <c r="H133" s="93" t="n">
        <v>21480000</v>
      </c>
      <c r="I133" s="92" t="inlineStr">
        <is>
          <t>1월 SW 유지보수 - Z시스템</t>
        </is>
      </c>
      <c r="J133" s="92" t="inlineStr">
        <is>
          <t>V10012</t>
        </is>
      </c>
      <c r="K133" s="92" t="inlineStr">
        <is>
          <t>Z시스템</t>
        </is>
      </c>
      <c r="M133" s="9">
        <f>IF($A133="","",VALUE($A133&amp;"")*12+VALUE($B133&amp;""))</f>
        <v/>
      </c>
      <c r="N133" s="64">
        <f>IF($A133="","",IFERROR(INDEX(부서매핑!$C$5:$C$504,MATCH($G133&amp;"",부서매핑!$A$5:$A$504,0)),"미매핑"))</f>
        <v/>
      </c>
      <c r="O133" s="9">
        <f>IF($A133="","",N133&amp;"|"&amp;$F133)</f>
        <v/>
      </c>
      <c r="P133" s="94">
        <f>IF($A133="",0,$H133*설정!$C$23)</f>
        <v/>
      </c>
      <c r="Q133" s="64">
        <f>IF($A133="","",IF(O133&lt;&gt;원인분석!$C$9,"",IF(AND(M133&gt;=원인분석!$C$10,M133&lt;=원인분석!$C$11),"당기",IF(AND(M133&gt;=원인분석!$C$12,M133&lt;=원인분석!$C$13),"비교",""))))</f>
        <v/>
      </c>
      <c r="R133" s="9">
        <f>IF(Q133="","",$K133&amp;"")</f>
        <v/>
      </c>
      <c r="S133" s="9">
        <f>IF(Q133="","",IF(MATCH(R133,$R$5:$R$100000,0)=ROW()-4,ROW(),""))</f>
        <v/>
      </c>
      <c r="T133" s="9">
        <f>IF(Q133="당기",ABS(P133)+ROW()/1000000000,"")</f>
        <v/>
      </c>
      <c r="U133" s="9">
        <f>IF(Q133="비교",ABS(P133)+ROW()/1000000000,"")</f>
        <v/>
      </c>
      <c r="V133" s="64">
        <f>IF($A133="","",IF(COUNTIF(변동분석!$E$7:$E$506,O133)&gt;0,"Y","N"))</f>
        <v/>
      </c>
      <c r="W133" s="64">
        <f>IF($A133="","",IFERROR(INDEX(계정매핑!$D$5:$D$504,MATCH($F133&amp;"",계정매핑!$A$5:$A$504,0)),"미매핑"))</f>
        <v/>
      </c>
      <c r="X133" s="9">
        <f>IF($A133="","",$F133&amp;"")</f>
        <v/>
      </c>
      <c r="Y133" s="94">
        <f>IF($A133="",0,IF(AE133="직접",IF(AF133="비귀속",$P133,0),$P133*(1-AG133)*IFERROR(INDEX(계정대체기준!$F$20:$F$49,MATCH($N133,계정대체기준!$A$20:$A$49,0)),1)))</f>
        <v/>
      </c>
      <c r="Z133" s="94">
        <f>IF($A133="",0,IF(AE133="직접",IF(AF133="신계약비",$P133,0),$P133*(1-AG133)*IFERROR(INDEX(계정대체기준!$C$20:$C$49,MATCH($N133,계정대체기준!$A$20:$A$49,0)),0)))</f>
        <v/>
      </c>
      <c r="AA133" s="94">
        <f>IF($A133="",0,IF(AE133="직접",IF(OR(AF133="유지비",AF133="손해조사비"),$P133,0),$P133*(1-AG133)*IFERROR(INDEX(계정대체기준!$D$20:$D$49,MATCH($N133,계정대체기준!$A$20:$A$49,0)),0)))</f>
        <v/>
      </c>
      <c r="AB133" s="94">
        <f>IF($A133="",0,IF(AE133="직접",IF(AF133="수금비",$P133,0),$P133*(1-AG133)*IFERROR(INDEX(계정대체기준!$E$20:$E$49,MATCH($N133,계정대체기준!$A$20:$A$49,0)),0)))</f>
        <v/>
      </c>
      <c r="AC133" s="9">
        <f>IF(AND($A133&lt;&gt;"",M133=설정!$C$20,Z133&gt;0),Z133+ROW()/1000000000,"")</f>
        <v/>
      </c>
      <c r="AD133" s="94">
        <f>IF($A133="",0,$P133*AG133)</f>
        <v/>
      </c>
      <c r="AE133" s="64">
        <f>IF($A133="","",IFERROR(INDEX(계정매핑!$E$5:$E$504,MATCH($F133&amp;"",계정매핑!$A$5:$A$504,0))&amp;"","공통비"))</f>
        <v/>
      </c>
      <c r="AF133" s="64">
        <f>IF($A133="","",IF(AE133="직접",IFERROR(INDEX(계정매핑!$F$5:$F$504,MATCH($F133&amp;"",계정매핑!$A$5:$A$504,0))&amp;"","비귀속"),""))</f>
        <v/>
      </c>
      <c r="AG133" s="96">
        <f>IF($A133="",0,IF(AND(AE133&lt;&gt;"직접",IFERROR(INDEX(계정매핑!$G$5:$G$504,MATCH($F133&amp;"",계정매핑!$A$5:$A$504,0))&amp;"","")="유지비",COUNTIF(계정대체기준!$A$6:$A$15,$N133)&gt;0),IFERROR(INDEX(계정대체기준!$E$6:$E$15,MATCH(VALUE($A133&amp;""),계정대체기준!$D$6:$D$15,0)),0),0))</f>
        <v/>
      </c>
      <c r="AH133" s="64">
        <f>IF($A133="","",IF(AD133=0,"",IF(OR(COUNTIF(계정대체기준!$A$77:$A$86,$N133)&gt;0,ISNUMBER(MATCH($X133,계정대체기준!$D$77:$D$86,0)),ISNUMBER(MATCH($F133,계정대체기준!$D$77:$D$86,0))),"Y","N")))</f>
        <v/>
      </c>
    </row>
    <row r="134">
      <c r="A134" s="92" t="n">
        <v>2025</v>
      </c>
      <c r="B134" s="92" t="n">
        <v>1</v>
      </c>
      <c r="C134" s="92" t="inlineStr">
        <is>
          <t>5100000130</t>
        </is>
      </c>
      <c r="D134" s="95" t="n">
        <v>45671</v>
      </c>
      <c r="E134" s="92" t="inlineStr">
        <is>
          <t>KR</t>
        </is>
      </c>
      <c r="F134" s="92" t="n">
        <v>63101000</v>
      </c>
      <c r="G134" s="92" t="n">
        <v>1601</v>
      </c>
      <c r="H134" s="93" t="n">
        <v>3122000</v>
      </c>
      <c r="I134" s="92" t="inlineStr">
        <is>
          <t>1월 사무실 임차료 - BB부동산</t>
        </is>
      </c>
      <c r="J134" s="92" t="inlineStr">
        <is>
          <t>V10028</t>
        </is>
      </c>
      <c r="K134" s="92" t="inlineStr">
        <is>
          <t>BB부동산</t>
        </is>
      </c>
      <c r="M134" s="9">
        <f>IF($A134="","",VALUE($A134&amp;"")*12+VALUE($B134&amp;""))</f>
        <v/>
      </c>
      <c r="N134" s="64">
        <f>IF($A134="","",IFERROR(INDEX(부서매핑!$C$5:$C$504,MATCH($G134&amp;"",부서매핑!$A$5:$A$504,0)),"미매핑"))</f>
        <v/>
      </c>
      <c r="O134" s="9">
        <f>IF($A134="","",N134&amp;"|"&amp;$F134)</f>
        <v/>
      </c>
      <c r="P134" s="94">
        <f>IF($A134="",0,$H134*설정!$C$23)</f>
        <v/>
      </c>
      <c r="Q134" s="64">
        <f>IF($A134="","",IF(O134&lt;&gt;원인분석!$C$9,"",IF(AND(M134&gt;=원인분석!$C$10,M134&lt;=원인분석!$C$11),"당기",IF(AND(M134&gt;=원인분석!$C$12,M134&lt;=원인분석!$C$13),"비교",""))))</f>
        <v/>
      </c>
      <c r="R134" s="9">
        <f>IF(Q134="","",$K134&amp;"")</f>
        <v/>
      </c>
      <c r="S134" s="9">
        <f>IF(Q134="","",IF(MATCH(R134,$R$5:$R$100000,0)=ROW()-4,ROW(),""))</f>
        <v/>
      </c>
      <c r="T134" s="9">
        <f>IF(Q134="당기",ABS(P134)+ROW()/1000000000,"")</f>
        <v/>
      </c>
      <c r="U134" s="9">
        <f>IF(Q134="비교",ABS(P134)+ROW()/1000000000,"")</f>
        <v/>
      </c>
      <c r="V134" s="64">
        <f>IF($A134="","",IF(COUNTIF(변동분석!$E$7:$E$506,O134)&gt;0,"Y","N"))</f>
        <v/>
      </c>
      <c r="W134" s="64">
        <f>IF($A134="","",IFERROR(INDEX(계정매핑!$D$5:$D$504,MATCH($F134&amp;"",계정매핑!$A$5:$A$504,0)),"미매핑"))</f>
        <v/>
      </c>
      <c r="X134" s="9">
        <f>IF($A134="","",$F134&amp;"")</f>
        <v/>
      </c>
      <c r="Y134" s="94">
        <f>IF($A134="",0,IF(AE134="직접",IF(AF134="비귀속",$P134,0),$P134*(1-AG134)*IFERROR(INDEX(계정대체기준!$F$20:$F$49,MATCH($N134,계정대체기준!$A$20:$A$49,0)),1)))</f>
        <v/>
      </c>
      <c r="Z134" s="94">
        <f>IF($A134="",0,IF(AE134="직접",IF(AF134="신계약비",$P134,0),$P134*(1-AG134)*IFERROR(INDEX(계정대체기준!$C$20:$C$49,MATCH($N134,계정대체기준!$A$20:$A$49,0)),0)))</f>
        <v/>
      </c>
      <c r="AA134" s="94">
        <f>IF($A134="",0,IF(AE134="직접",IF(OR(AF134="유지비",AF134="손해조사비"),$P134,0),$P134*(1-AG134)*IFERROR(INDEX(계정대체기준!$D$20:$D$49,MATCH($N134,계정대체기준!$A$20:$A$49,0)),0)))</f>
        <v/>
      </c>
      <c r="AB134" s="94">
        <f>IF($A134="",0,IF(AE134="직접",IF(AF134="수금비",$P134,0),$P134*(1-AG134)*IFERROR(INDEX(계정대체기준!$E$20:$E$49,MATCH($N134,계정대체기준!$A$20:$A$49,0)),0)))</f>
        <v/>
      </c>
      <c r="AC134" s="9">
        <f>IF(AND($A134&lt;&gt;"",M134=설정!$C$20,Z134&gt;0),Z134+ROW()/1000000000,"")</f>
        <v/>
      </c>
      <c r="AD134" s="94">
        <f>IF($A134="",0,$P134*AG134)</f>
        <v/>
      </c>
      <c r="AE134" s="64">
        <f>IF($A134="","",IFERROR(INDEX(계정매핑!$E$5:$E$504,MATCH($F134&amp;"",계정매핑!$A$5:$A$504,0))&amp;"","공통비"))</f>
        <v/>
      </c>
      <c r="AF134" s="64">
        <f>IF($A134="","",IF(AE134="직접",IFERROR(INDEX(계정매핑!$F$5:$F$504,MATCH($F134&amp;"",계정매핑!$A$5:$A$504,0))&amp;"","비귀속"),""))</f>
        <v/>
      </c>
      <c r="AG134" s="96">
        <f>IF($A134="",0,IF(AND(AE134&lt;&gt;"직접",IFERROR(INDEX(계정매핑!$G$5:$G$504,MATCH($F134&amp;"",계정매핑!$A$5:$A$504,0))&amp;"","")="유지비",COUNTIF(계정대체기준!$A$6:$A$15,$N134)&gt;0),IFERROR(INDEX(계정대체기준!$E$6:$E$15,MATCH(VALUE($A134&amp;""),계정대체기준!$D$6:$D$15,0)),0),0))</f>
        <v/>
      </c>
      <c r="AH134" s="64">
        <f>IF($A134="","",IF(AD134=0,"",IF(OR(COUNTIF(계정대체기준!$A$77:$A$86,$N134)&gt;0,ISNUMBER(MATCH($X134,계정대체기준!$D$77:$D$86,0)),ISNUMBER(MATCH($F134,계정대체기준!$D$77:$D$86,0))),"Y","N")))</f>
        <v/>
      </c>
    </row>
    <row r="135">
      <c r="A135" s="92" t="n">
        <v>2025</v>
      </c>
      <c r="B135" s="92" t="n">
        <v>1</v>
      </c>
      <c r="C135" s="92" t="inlineStr">
        <is>
          <t>5100000131</t>
        </is>
      </c>
      <c r="D135" s="95" t="n">
        <v>45671</v>
      </c>
      <c r="E135" s="92" t="inlineStr">
        <is>
          <t>KR</t>
        </is>
      </c>
      <c r="F135" s="92" t="n">
        <v>63502000</v>
      </c>
      <c r="G135" s="92" t="n">
        <v>1901</v>
      </c>
      <c r="H135" s="93" t="n">
        <v>153972000</v>
      </c>
      <c r="I135" s="92" t="inlineStr">
        <is>
          <t>1월 유지수수료 - CC금융서비스</t>
        </is>
      </c>
      <c r="J135" s="92" t="inlineStr">
        <is>
          <t>V10029</t>
        </is>
      </c>
      <c r="K135" s="92" t="inlineStr">
        <is>
          <t>CC금융서비스</t>
        </is>
      </c>
      <c r="M135" s="9">
        <f>IF($A135="","",VALUE($A135&amp;"")*12+VALUE($B135&amp;""))</f>
        <v/>
      </c>
      <c r="N135" s="64">
        <f>IF($A135="","",IFERROR(INDEX(부서매핑!$C$5:$C$504,MATCH($G135&amp;"",부서매핑!$A$5:$A$504,0)),"미매핑"))</f>
        <v/>
      </c>
      <c r="O135" s="9">
        <f>IF($A135="","",N135&amp;"|"&amp;$F135)</f>
        <v/>
      </c>
      <c r="P135" s="94">
        <f>IF($A135="",0,$H135*설정!$C$23)</f>
        <v/>
      </c>
      <c r="Q135" s="64">
        <f>IF($A135="","",IF(O135&lt;&gt;원인분석!$C$9,"",IF(AND(M135&gt;=원인분석!$C$10,M135&lt;=원인분석!$C$11),"당기",IF(AND(M135&gt;=원인분석!$C$12,M135&lt;=원인분석!$C$13),"비교",""))))</f>
        <v/>
      </c>
      <c r="R135" s="9">
        <f>IF(Q135="","",$K135&amp;"")</f>
        <v/>
      </c>
      <c r="S135" s="9">
        <f>IF(Q135="","",IF(MATCH(R135,$R$5:$R$100000,0)=ROW()-4,ROW(),""))</f>
        <v/>
      </c>
      <c r="T135" s="9">
        <f>IF(Q135="당기",ABS(P135)+ROW()/1000000000,"")</f>
        <v/>
      </c>
      <c r="U135" s="9">
        <f>IF(Q135="비교",ABS(P135)+ROW()/1000000000,"")</f>
        <v/>
      </c>
      <c r="V135" s="64">
        <f>IF($A135="","",IF(COUNTIF(변동분석!$E$7:$E$506,O135)&gt;0,"Y","N"))</f>
        <v/>
      </c>
      <c r="W135" s="64">
        <f>IF($A135="","",IFERROR(INDEX(계정매핑!$D$5:$D$504,MATCH($F135&amp;"",계정매핑!$A$5:$A$504,0)),"미매핑"))</f>
        <v/>
      </c>
      <c r="X135" s="9">
        <f>IF($A135="","",$F135&amp;"")</f>
        <v/>
      </c>
      <c r="Y135" s="94">
        <f>IF($A135="",0,IF(AE135="직접",IF(AF135="비귀속",$P135,0),$P135*(1-AG135)*IFERROR(INDEX(계정대체기준!$F$20:$F$49,MATCH($N135,계정대체기준!$A$20:$A$49,0)),1)))</f>
        <v/>
      </c>
      <c r="Z135" s="94">
        <f>IF($A135="",0,IF(AE135="직접",IF(AF135="신계약비",$P135,0),$P135*(1-AG135)*IFERROR(INDEX(계정대체기준!$C$20:$C$49,MATCH($N135,계정대체기준!$A$20:$A$49,0)),0)))</f>
        <v/>
      </c>
      <c r="AA135" s="94">
        <f>IF($A135="",0,IF(AE135="직접",IF(OR(AF135="유지비",AF135="손해조사비"),$P135,0),$P135*(1-AG135)*IFERROR(INDEX(계정대체기준!$D$20:$D$49,MATCH($N135,계정대체기준!$A$20:$A$49,0)),0)))</f>
        <v/>
      </c>
      <c r="AB135" s="94">
        <f>IF($A135="",0,IF(AE135="직접",IF(AF135="수금비",$P135,0),$P135*(1-AG135)*IFERROR(INDEX(계정대체기준!$E$20:$E$49,MATCH($N135,계정대체기준!$A$20:$A$49,0)),0)))</f>
        <v/>
      </c>
      <c r="AC135" s="9">
        <f>IF(AND($A135&lt;&gt;"",M135=설정!$C$20,Z135&gt;0),Z135+ROW()/1000000000,"")</f>
        <v/>
      </c>
      <c r="AD135" s="94">
        <f>IF($A135="",0,$P135*AG135)</f>
        <v/>
      </c>
      <c r="AE135" s="64">
        <f>IF($A135="","",IFERROR(INDEX(계정매핑!$E$5:$E$504,MATCH($F135&amp;"",계정매핑!$A$5:$A$504,0))&amp;"","공통비"))</f>
        <v/>
      </c>
      <c r="AF135" s="64">
        <f>IF($A135="","",IF(AE135="직접",IFERROR(INDEX(계정매핑!$F$5:$F$504,MATCH($F135&amp;"",계정매핑!$A$5:$A$504,0))&amp;"","비귀속"),""))</f>
        <v/>
      </c>
      <c r="AG135" s="96">
        <f>IF($A135="",0,IF(AND(AE135&lt;&gt;"직접",IFERROR(INDEX(계정매핑!$G$5:$G$504,MATCH($F135&amp;"",계정매핑!$A$5:$A$504,0))&amp;"","")="유지비",COUNTIF(계정대체기준!$A$6:$A$15,$N135)&gt;0),IFERROR(INDEX(계정대체기준!$E$6:$E$15,MATCH(VALUE($A135&amp;""),계정대체기준!$D$6:$D$15,0)),0),0))</f>
        <v/>
      </c>
      <c r="AH135" s="64">
        <f>IF($A135="","",IF(AD135=0,"",IF(OR(COUNTIF(계정대체기준!$A$77:$A$86,$N135)&gt;0,ISNUMBER(MATCH($X135,계정대체기준!$D$77:$D$86,0)),ISNUMBER(MATCH($F135,계정대체기준!$D$77:$D$86,0))),"Y","N")))</f>
        <v/>
      </c>
    </row>
    <row r="136">
      <c r="A136" s="92" t="n">
        <v>2025</v>
      </c>
      <c r="B136" s="92" t="n">
        <v>1</v>
      </c>
      <c r="C136" s="92" t="inlineStr">
        <is>
          <t>5100000132</t>
        </is>
      </c>
      <c r="D136" s="95" t="n">
        <v>45672</v>
      </c>
      <c r="E136" s="92" t="inlineStr">
        <is>
          <t>KR</t>
        </is>
      </c>
      <c r="F136" s="92" t="n">
        <v>62101000</v>
      </c>
      <c r="G136" s="92" t="n">
        <v>1401</v>
      </c>
      <c r="H136" s="93" t="n">
        <v>245000</v>
      </c>
      <c r="I136" s="92" t="inlineStr">
        <is>
          <t>1월 국내출장 - L여행사</t>
        </is>
      </c>
      <c r="J136" s="92" t="inlineStr">
        <is>
          <t>V10018</t>
        </is>
      </c>
      <c r="K136" s="92" t="inlineStr">
        <is>
          <t>L여행사</t>
        </is>
      </c>
      <c r="M136" s="9">
        <f>IF($A136="","",VALUE($A136&amp;"")*12+VALUE($B136&amp;""))</f>
        <v/>
      </c>
      <c r="N136" s="64">
        <f>IF($A136="","",IFERROR(INDEX(부서매핑!$C$5:$C$504,MATCH($G136&amp;"",부서매핑!$A$5:$A$504,0)),"미매핑"))</f>
        <v/>
      </c>
      <c r="O136" s="9">
        <f>IF($A136="","",N136&amp;"|"&amp;$F136)</f>
        <v/>
      </c>
      <c r="P136" s="94">
        <f>IF($A136="",0,$H136*설정!$C$23)</f>
        <v/>
      </c>
      <c r="Q136" s="64">
        <f>IF($A136="","",IF(O136&lt;&gt;원인분석!$C$9,"",IF(AND(M136&gt;=원인분석!$C$10,M136&lt;=원인분석!$C$11),"당기",IF(AND(M136&gt;=원인분석!$C$12,M136&lt;=원인분석!$C$13),"비교",""))))</f>
        <v/>
      </c>
      <c r="R136" s="9">
        <f>IF(Q136="","",$K136&amp;"")</f>
        <v/>
      </c>
      <c r="S136" s="9">
        <f>IF(Q136="","",IF(MATCH(R136,$R$5:$R$100000,0)=ROW()-4,ROW(),""))</f>
        <v/>
      </c>
      <c r="T136" s="9">
        <f>IF(Q136="당기",ABS(P136)+ROW()/1000000000,"")</f>
        <v/>
      </c>
      <c r="U136" s="9">
        <f>IF(Q136="비교",ABS(P136)+ROW()/1000000000,"")</f>
        <v/>
      </c>
      <c r="V136" s="64">
        <f>IF($A136="","",IF(COUNTIF(변동분석!$E$7:$E$506,O136)&gt;0,"Y","N"))</f>
        <v/>
      </c>
      <c r="W136" s="64">
        <f>IF($A136="","",IFERROR(INDEX(계정매핑!$D$5:$D$504,MATCH($F136&amp;"",계정매핑!$A$5:$A$504,0)),"미매핑"))</f>
        <v/>
      </c>
      <c r="X136" s="9">
        <f>IF($A136="","",$F136&amp;"")</f>
        <v/>
      </c>
      <c r="Y136" s="94">
        <f>IF($A136="",0,IF(AE136="직접",IF(AF136="비귀속",$P136,0),$P136*(1-AG136)*IFERROR(INDEX(계정대체기준!$F$20:$F$49,MATCH($N136,계정대체기준!$A$20:$A$49,0)),1)))</f>
        <v/>
      </c>
      <c r="Z136" s="94">
        <f>IF($A136="",0,IF(AE136="직접",IF(AF136="신계약비",$P136,0),$P136*(1-AG136)*IFERROR(INDEX(계정대체기준!$C$20:$C$49,MATCH($N136,계정대체기준!$A$20:$A$49,0)),0)))</f>
        <v/>
      </c>
      <c r="AA136" s="94">
        <f>IF($A136="",0,IF(AE136="직접",IF(OR(AF136="유지비",AF136="손해조사비"),$P136,0),$P136*(1-AG136)*IFERROR(INDEX(계정대체기준!$D$20:$D$49,MATCH($N136,계정대체기준!$A$20:$A$49,0)),0)))</f>
        <v/>
      </c>
      <c r="AB136" s="94">
        <f>IF($A136="",0,IF(AE136="직접",IF(AF136="수금비",$P136,0),$P136*(1-AG136)*IFERROR(INDEX(계정대체기준!$E$20:$E$49,MATCH($N136,계정대체기준!$A$20:$A$49,0)),0)))</f>
        <v/>
      </c>
      <c r="AC136" s="9">
        <f>IF(AND($A136&lt;&gt;"",M136=설정!$C$20,Z136&gt;0),Z136+ROW()/1000000000,"")</f>
        <v/>
      </c>
      <c r="AD136" s="94">
        <f>IF($A136="",0,$P136*AG136)</f>
        <v/>
      </c>
      <c r="AE136" s="64">
        <f>IF($A136="","",IFERROR(INDEX(계정매핑!$E$5:$E$504,MATCH($F136&amp;"",계정매핑!$A$5:$A$504,0))&amp;"","공통비"))</f>
        <v/>
      </c>
      <c r="AF136" s="64">
        <f>IF($A136="","",IF(AE136="직접",IFERROR(INDEX(계정매핑!$F$5:$F$504,MATCH($F136&amp;"",계정매핑!$A$5:$A$504,0))&amp;"","비귀속"),""))</f>
        <v/>
      </c>
      <c r="AG136" s="96">
        <f>IF($A136="",0,IF(AND(AE136&lt;&gt;"직접",IFERROR(INDEX(계정매핑!$G$5:$G$504,MATCH($F136&amp;"",계정매핑!$A$5:$A$504,0))&amp;"","")="유지비",COUNTIF(계정대체기준!$A$6:$A$15,$N136)&gt;0),IFERROR(INDEX(계정대체기준!$E$6:$E$15,MATCH(VALUE($A136&amp;""),계정대체기준!$D$6:$D$15,0)),0),0))</f>
        <v/>
      </c>
      <c r="AH136" s="64">
        <f>IF($A136="","",IF(AD136=0,"",IF(OR(COUNTIF(계정대체기준!$A$77:$A$86,$N136)&gt;0,ISNUMBER(MATCH($X136,계정대체기준!$D$77:$D$86,0)),ISNUMBER(MATCH($F136,계정대체기준!$D$77:$D$86,0))),"Y","N")))</f>
        <v/>
      </c>
    </row>
    <row r="137">
      <c r="A137" s="92" t="n">
        <v>2025</v>
      </c>
      <c r="B137" s="92" t="n">
        <v>1</v>
      </c>
      <c r="C137" s="92" t="inlineStr">
        <is>
          <t>5100000133</t>
        </is>
      </c>
      <c r="D137" s="95" t="n">
        <v>45672</v>
      </c>
      <c r="E137" s="92" t="inlineStr">
        <is>
          <t>KR</t>
        </is>
      </c>
      <c r="F137" s="92" t="n">
        <v>62101000</v>
      </c>
      <c r="G137" s="92" t="n">
        <v>1501</v>
      </c>
      <c r="H137" s="93" t="n">
        <v>463000</v>
      </c>
      <c r="I137" s="92" t="inlineStr">
        <is>
          <t>1월 국내출장 - M항공</t>
        </is>
      </c>
      <c r="J137" s="92" t="inlineStr">
        <is>
          <t>V10001</t>
        </is>
      </c>
      <c r="K137" s="92" t="inlineStr">
        <is>
          <t>M항공</t>
        </is>
      </c>
      <c r="M137" s="9">
        <f>IF($A137="","",VALUE($A137&amp;"")*12+VALUE($B137&amp;""))</f>
        <v/>
      </c>
      <c r="N137" s="64">
        <f>IF($A137="","",IFERROR(INDEX(부서매핑!$C$5:$C$504,MATCH($G137&amp;"",부서매핑!$A$5:$A$504,0)),"미매핑"))</f>
        <v/>
      </c>
      <c r="O137" s="9">
        <f>IF($A137="","",N137&amp;"|"&amp;$F137)</f>
        <v/>
      </c>
      <c r="P137" s="94">
        <f>IF($A137="",0,$H137*설정!$C$23)</f>
        <v/>
      </c>
      <c r="Q137" s="64">
        <f>IF($A137="","",IF(O137&lt;&gt;원인분석!$C$9,"",IF(AND(M137&gt;=원인분석!$C$10,M137&lt;=원인분석!$C$11),"당기",IF(AND(M137&gt;=원인분석!$C$12,M137&lt;=원인분석!$C$13),"비교",""))))</f>
        <v/>
      </c>
      <c r="R137" s="9">
        <f>IF(Q137="","",$K137&amp;"")</f>
        <v/>
      </c>
      <c r="S137" s="9">
        <f>IF(Q137="","",IF(MATCH(R137,$R$5:$R$100000,0)=ROW()-4,ROW(),""))</f>
        <v/>
      </c>
      <c r="T137" s="9">
        <f>IF(Q137="당기",ABS(P137)+ROW()/1000000000,"")</f>
        <v/>
      </c>
      <c r="U137" s="9">
        <f>IF(Q137="비교",ABS(P137)+ROW()/1000000000,"")</f>
        <v/>
      </c>
      <c r="V137" s="64">
        <f>IF($A137="","",IF(COUNTIF(변동분석!$E$7:$E$506,O137)&gt;0,"Y","N"))</f>
        <v/>
      </c>
      <c r="W137" s="64">
        <f>IF($A137="","",IFERROR(INDEX(계정매핑!$D$5:$D$504,MATCH($F137&amp;"",계정매핑!$A$5:$A$504,0)),"미매핑"))</f>
        <v/>
      </c>
      <c r="X137" s="9">
        <f>IF($A137="","",$F137&amp;"")</f>
        <v/>
      </c>
      <c r="Y137" s="94">
        <f>IF($A137="",0,IF(AE137="직접",IF(AF137="비귀속",$P137,0),$P137*(1-AG137)*IFERROR(INDEX(계정대체기준!$F$20:$F$49,MATCH($N137,계정대체기준!$A$20:$A$49,0)),1)))</f>
        <v/>
      </c>
      <c r="Z137" s="94">
        <f>IF($A137="",0,IF(AE137="직접",IF(AF137="신계약비",$P137,0),$P137*(1-AG137)*IFERROR(INDEX(계정대체기준!$C$20:$C$49,MATCH($N137,계정대체기준!$A$20:$A$49,0)),0)))</f>
        <v/>
      </c>
      <c r="AA137" s="94">
        <f>IF($A137="",0,IF(AE137="직접",IF(OR(AF137="유지비",AF137="손해조사비"),$P137,0),$P137*(1-AG137)*IFERROR(INDEX(계정대체기준!$D$20:$D$49,MATCH($N137,계정대체기준!$A$20:$A$49,0)),0)))</f>
        <v/>
      </c>
      <c r="AB137" s="94">
        <f>IF($A137="",0,IF(AE137="직접",IF(AF137="수금비",$P137,0),$P137*(1-AG137)*IFERROR(INDEX(계정대체기준!$E$20:$E$49,MATCH($N137,계정대체기준!$A$20:$A$49,0)),0)))</f>
        <v/>
      </c>
      <c r="AC137" s="9">
        <f>IF(AND($A137&lt;&gt;"",M137=설정!$C$20,Z137&gt;0),Z137+ROW()/1000000000,"")</f>
        <v/>
      </c>
      <c r="AD137" s="94">
        <f>IF($A137="",0,$P137*AG137)</f>
        <v/>
      </c>
      <c r="AE137" s="64">
        <f>IF($A137="","",IFERROR(INDEX(계정매핑!$E$5:$E$504,MATCH($F137&amp;"",계정매핑!$A$5:$A$504,0))&amp;"","공통비"))</f>
        <v/>
      </c>
      <c r="AF137" s="64">
        <f>IF($A137="","",IF(AE137="직접",IFERROR(INDEX(계정매핑!$F$5:$F$504,MATCH($F137&amp;"",계정매핑!$A$5:$A$504,0))&amp;"","비귀속"),""))</f>
        <v/>
      </c>
      <c r="AG137" s="96">
        <f>IF($A137="",0,IF(AND(AE137&lt;&gt;"직접",IFERROR(INDEX(계정매핑!$G$5:$G$504,MATCH($F137&amp;"",계정매핑!$A$5:$A$504,0))&amp;"","")="유지비",COUNTIF(계정대체기준!$A$6:$A$15,$N137)&gt;0),IFERROR(INDEX(계정대체기준!$E$6:$E$15,MATCH(VALUE($A137&amp;""),계정대체기준!$D$6:$D$15,0)),0),0))</f>
        <v/>
      </c>
      <c r="AH137" s="64">
        <f>IF($A137="","",IF(AD137=0,"",IF(OR(COUNTIF(계정대체기준!$A$77:$A$86,$N137)&gt;0,ISNUMBER(MATCH($X137,계정대체기준!$D$77:$D$86,0)),ISNUMBER(MATCH($F137,계정대체기준!$D$77:$D$86,0))),"Y","N")))</f>
        <v/>
      </c>
    </row>
    <row r="138">
      <c r="A138" s="92" t="n">
        <v>2025</v>
      </c>
      <c r="B138" s="92" t="n">
        <v>1</v>
      </c>
      <c r="C138" s="92" t="inlineStr">
        <is>
          <t>5100000134</t>
        </is>
      </c>
      <c r="D138" s="95" t="n">
        <v>45672</v>
      </c>
      <c r="E138" s="92" t="inlineStr">
        <is>
          <t>KR</t>
        </is>
      </c>
      <c r="F138" s="92" t="n">
        <v>62101000</v>
      </c>
      <c r="G138" s="92" t="n">
        <v>1951</v>
      </c>
      <c r="H138" s="93" t="n">
        <v>450000</v>
      </c>
      <c r="I138" s="92" t="inlineStr">
        <is>
          <t>1월 국내출장 - (법인카드)</t>
        </is>
      </c>
      <c r="J138" s="92" t="inlineStr">
        <is>
          <t>V10010</t>
        </is>
      </c>
      <c r="K138" s="92" t="inlineStr">
        <is>
          <t>(법인카드)</t>
        </is>
      </c>
      <c r="M138" s="9">
        <f>IF($A138="","",VALUE($A138&amp;"")*12+VALUE($B138&amp;""))</f>
        <v/>
      </c>
      <c r="N138" s="64">
        <f>IF($A138="","",IFERROR(INDEX(부서매핑!$C$5:$C$504,MATCH($G138&amp;"",부서매핑!$A$5:$A$504,0)),"미매핑"))</f>
        <v/>
      </c>
      <c r="O138" s="9">
        <f>IF($A138="","",N138&amp;"|"&amp;$F138)</f>
        <v/>
      </c>
      <c r="P138" s="94">
        <f>IF($A138="",0,$H138*설정!$C$23)</f>
        <v/>
      </c>
      <c r="Q138" s="64">
        <f>IF($A138="","",IF(O138&lt;&gt;원인분석!$C$9,"",IF(AND(M138&gt;=원인분석!$C$10,M138&lt;=원인분석!$C$11),"당기",IF(AND(M138&gt;=원인분석!$C$12,M138&lt;=원인분석!$C$13),"비교",""))))</f>
        <v/>
      </c>
      <c r="R138" s="9">
        <f>IF(Q138="","",$K138&amp;"")</f>
        <v/>
      </c>
      <c r="S138" s="9">
        <f>IF(Q138="","",IF(MATCH(R138,$R$5:$R$100000,0)=ROW()-4,ROW(),""))</f>
        <v/>
      </c>
      <c r="T138" s="9">
        <f>IF(Q138="당기",ABS(P138)+ROW()/1000000000,"")</f>
        <v/>
      </c>
      <c r="U138" s="9">
        <f>IF(Q138="비교",ABS(P138)+ROW()/1000000000,"")</f>
        <v/>
      </c>
      <c r="V138" s="64">
        <f>IF($A138="","",IF(COUNTIF(변동분석!$E$7:$E$506,O138)&gt;0,"Y","N"))</f>
        <v/>
      </c>
      <c r="W138" s="64">
        <f>IF($A138="","",IFERROR(INDEX(계정매핑!$D$5:$D$504,MATCH($F138&amp;"",계정매핑!$A$5:$A$504,0)),"미매핑"))</f>
        <v/>
      </c>
      <c r="X138" s="9">
        <f>IF($A138="","",$F138&amp;"")</f>
        <v/>
      </c>
      <c r="Y138" s="94">
        <f>IF($A138="",0,IF(AE138="직접",IF(AF138="비귀속",$P138,0),$P138*(1-AG138)*IFERROR(INDEX(계정대체기준!$F$20:$F$49,MATCH($N138,계정대체기준!$A$20:$A$49,0)),1)))</f>
        <v/>
      </c>
      <c r="Z138" s="94">
        <f>IF($A138="",0,IF(AE138="직접",IF(AF138="신계약비",$P138,0),$P138*(1-AG138)*IFERROR(INDEX(계정대체기준!$C$20:$C$49,MATCH($N138,계정대체기준!$A$20:$A$49,0)),0)))</f>
        <v/>
      </c>
      <c r="AA138" s="94">
        <f>IF($A138="",0,IF(AE138="직접",IF(OR(AF138="유지비",AF138="손해조사비"),$P138,0),$P138*(1-AG138)*IFERROR(INDEX(계정대체기준!$D$20:$D$49,MATCH($N138,계정대체기준!$A$20:$A$49,0)),0)))</f>
        <v/>
      </c>
      <c r="AB138" s="94">
        <f>IF($A138="",0,IF(AE138="직접",IF(AF138="수금비",$P138,0),$P138*(1-AG138)*IFERROR(INDEX(계정대체기준!$E$20:$E$49,MATCH($N138,계정대체기준!$A$20:$A$49,0)),0)))</f>
        <v/>
      </c>
      <c r="AC138" s="9">
        <f>IF(AND($A138&lt;&gt;"",M138=설정!$C$20,Z138&gt;0),Z138+ROW()/1000000000,"")</f>
        <v/>
      </c>
      <c r="AD138" s="94">
        <f>IF($A138="",0,$P138*AG138)</f>
        <v/>
      </c>
      <c r="AE138" s="64">
        <f>IF($A138="","",IFERROR(INDEX(계정매핑!$E$5:$E$504,MATCH($F138&amp;"",계정매핑!$A$5:$A$504,0))&amp;"","공통비"))</f>
        <v/>
      </c>
      <c r="AF138" s="64">
        <f>IF($A138="","",IF(AE138="직접",IFERROR(INDEX(계정매핑!$F$5:$F$504,MATCH($F138&amp;"",계정매핑!$A$5:$A$504,0))&amp;"","비귀속"),""))</f>
        <v/>
      </c>
      <c r="AG138" s="96">
        <f>IF($A138="",0,IF(AND(AE138&lt;&gt;"직접",IFERROR(INDEX(계정매핑!$G$5:$G$504,MATCH($F138&amp;"",계정매핑!$A$5:$A$504,0))&amp;"","")="유지비",COUNTIF(계정대체기준!$A$6:$A$15,$N138)&gt;0),IFERROR(INDEX(계정대체기준!$E$6:$E$15,MATCH(VALUE($A138&amp;""),계정대체기준!$D$6:$D$15,0)),0),0))</f>
        <v/>
      </c>
      <c r="AH138" s="64">
        <f>IF($A138="","",IF(AD138=0,"",IF(OR(COUNTIF(계정대체기준!$A$77:$A$86,$N138)&gt;0,ISNUMBER(MATCH($X138,계정대체기준!$D$77:$D$86,0)),ISNUMBER(MATCH($F138,계정대체기준!$D$77:$D$86,0))),"Y","N")))</f>
        <v/>
      </c>
    </row>
    <row r="139">
      <c r="A139" s="92" t="n">
        <v>2025</v>
      </c>
      <c r="B139" s="92" t="n">
        <v>1</v>
      </c>
      <c r="C139" s="92" t="inlineStr">
        <is>
          <t>5100000135</t>
        </is>
      </c>
      <c r="D139" s="95" t="n">
        <v>45672</v>
      </c>
      <c r="E139" s="92" t="inlineStr">
        <is>
          <t>KR</t>
        </is>
      </c>
      <c r="F139" s="92" t="n">
        <v>62102000</v>
      </c>
      <c r="G139" s="92" t="n">
        <v>1501</v>
      </c>
      <c r="H139" s="93" t="n">
        <v>145000</v>
      </c>
      <c r="I139" s="92" t="inlineStr">
        <is>
          <t>1월 해외출장 - M항공</t>
        </is>
      </c>
      <c r="J139" s="92" t="inlineStr">
        <is>
          <t>V10001</t>
        </is>
      </c>
      <c r="K139" s="92" t="inlineStr">
        <is>
          <t>M항공</t>
        </is>
      </c>
      <c r="M139" s="9">
        <f>IF($A139="","",VALUE($A139&amp;"")*12+VALUE($B139&amp;""))</f>
        <v/>
      </c>
      <c r="N139" s="64">
        <f>IF($A139="","",IFERROR(INDEX(부서매핑!$C$5:$C$504,MATCH($G139&amp;"",부서매핑!$A$5:$A$504,0)),"미매핑"))</f>
        <v/>
      </c>
      <c r="O139" s="9">
        <f>IF($A139="","",N139&amp;"|"&amp;$F139)</f>
        <v/>
      </c>
      <c r="P139" s="94">
        <f>IF($A139="",0,$H139*설정!$C$23)</f>
        <v/>
      </c>
      <c r="Q139" s="64">
        <f>IF($A139="","",IF(O139&lt;&gt;원인분석!$C$9,"",IF(AND(M139&gt;=원인분석!$C$10,M139&lt;=원인분석!$C$11),"당기",IF(AND(M139&gt;=원인분석!$C$12,M139&lt;=원인분석!$C$13),"비교",""))))</f>
        <v/>
      </c>
      <c r="R139" s="9">
        <f>IF(Q139="","",$K139&amp;"")</f>
        <v/>
      </c>
      <c r="S139" s="9">
        <f>IF(Q139="","",IF(MATCH(R139,$R$5:$R$100000,0)=ROW()-4,ROW(),""))</f>
        <v/>
      </c>
      <c r="T139" s="9">
        <f>IF(Q139="당기",ABS(P139)+ROW()/1000000000,"")</f>
        <v/>
      </c>
      <c r="U139" s="9">
        <f>IF(Q139="비교",ABS(P139)+ROW()/1000000000,"")</f>
        <v/>
      </c>
      <c r="V139" s="64">
        <f>IF($A139="","",IF(COUNTIF(변동분석!$E$7:$E$506,O139)&gt;0,"Y","N"))</f>
        <v/>
      </c>
      <c r="W139" s="64">
        <f>IF($A139="","",IFERROR(INDEX(계정매핑!$D$5:$D$504,MATCH($F139&amp;"",계정매핑!$A$5:$A$504,0)),"미매핑"))</f>
        <v/>
      </c>
      <c r="X139" s="9">
        <f>IF($A139="","",$F139&amp;"")</f>
        <v/>
      </c>
      <c r="Y139" s="94">
        <f>IF($A139="",0,IF(AE139="직접",IF(AF139="비귀속",$P139,0),$P139*(1-AG139)*IFERROR(INDEX(계정대체기준!$F$20:$F$49,MATCH($N139,계정대체기준!$A$20:$A$49,0)),1)))</f>
        <v/>
      </c>
      <c r="Z139" s="94">
        <f>IF($A139="",0,IF(AE139="직접",IF(AF139="신계약비",$P139,0),$P139*(1-AG139)*IFERROR(INDEX(계정대체기준!$C$20:$C$49,MATCH($N139,계정대체기준!$A$20:$A$49,0)),0)))</f>
        <v/>
      </c>
      <c r="AA139" s="94">
        <f>IF($A139="",0,IF(AE139="직접",IF(OR(AF139="유지비",AF139="손해조사비"),$P139,0),$P139*(1-AG139)*IFERROR(INDEX(계정대체기준!$D$20:$D$49,MATCH($N139,계정대체기준!$A$20:$A$49,0)),0)))</f>
        <v/>
      </c>
      <c r="AB139" s="94">
        <f>IF($A139="",0,IF(AE139="직접",IF(AF139="수금비",$P139,0),$P139*(1-AG139)*IFERROR(INDEX(계정대체기준!$E$20:$E$49,MATCH($N139,계정대체기준!$A$20:$A$49,0)),0)))</f>
        <v/>
      </c>
      <c r="AC139" s="9">
        <f>IF(AND($A139&lt;&gt;"",M139=설정!$C$20,Z139&gt;0),Z139+ROW()/1000000000,"")</f>
        <v/>
      </c>
      <c r="AD139" s="94">
        <f>IF($A139="",0,$P139*AG139)</f>
        <v/>
      </c>
      <c r="AE139" s="64">
        <f>IF($A139="","",IFERROR(INDEX(계정매핑!$E$5:$E$504,MATCH($F139&amp;"",계정매핑!$A$5:$A$504,0))&amp;"","공통비"))</f>
        <v/>
      </c>
      <c r="AF139" s="64">
        <f>IF($A139="","",IF(AE139="직접",IFERROR(INDEX(계정매핑!$F$5:$F$504,MATCH($F139&amp;"",계정매핑!$A$5:$A$504,0))&amp;"","비귀속"),""))</f>
        <v/>
      </c>
      <c r="AG139" s="96">
        <f>IF($A139="",0,IF(AND(AE139&lt;&gt;"직접",IFERROR(INDEX(계정매핑!$G$5:$G$504,MATCH($F139&amp;"",계정매핑!$A$5:$A$504,0))&amp;"","")="유지비",COUNTIF(계정대체기준!$A$6:$A$15,$N139)&gt;0),IFERROR(INDEX(계정대체기준!$E$6:$E$15,MATCH(VALUE($A139&amp;""),계정대체기준!$D$6:$D$15,0)),0),0))</f>
        <v/>
      </c>
      <c r="AH139" s="64">
        <f>IF($A139="","",IF(AD139=0,"",IF(OR(COUNTIF(계정대체기준!$A$77:$A$86,$N139)&gt;0,ISNUMBER(MATCH($X139,계정대체기준!$D$77:$D$86,0)),ISNUMBER(MATCH($F139,계정대체기준!$D$77:$D$86,0))),"Y","N")))</f>
        <v/>
      </c>
    </row>
    <row r="140">
      <c r="A140" s="92" t="n">
        <v>2025</v>
      </c>
      <c r="B140" s="92" t="n">
        <v>1</v>
      </c>
      <c r="C140" s="92" t="inlineStr">
        <is>
          <t>5100000136</t>
        </is>
      </c>
      <c r="D140" s="95" t="n">
        <v>45672</v>
      </c>
      <c r="E140" s="92" t="inlineStr">
        <is>
          <t>KR</t>
        </is>
      </c>
      <c r="F140" s="92" t="n">
        <v>62102000</v>
      </c>
      <c r="G140" s="92" t="n">
        <v>1801</v>
      </c>
      <c r="H140" s="93" t="n">
        <v>66000</v>
      </c>
      <c r="I140" s="92" t="inlineStr">
        <is>
          <t>1월 해외출장 - M항공</t>
        </is>
      </c>
      <c r="J140" s="92" t="inlineStr">
        <is>
          <t>V10001</t>
        </is>
      </c>
      <c r="K140" s="92" t="inlineStr">
        <is>
          <t>M항공</t>
        </is>
      </c>
      <c r="M140" s="9">
        <f>IF($A140="","",VALUE($A140&amp;"")*12+VALUE($B140&amp;""))</f>
        <v/>
      </c>
      <c r="N140" s="64">
        <f>IF($A140="","",IFERROR(INDEX(부서매핑!$C$5:$C$504,MATCH($G140&amp;"",부서매핑!$A$5:$A$504,0)),"미매핑"))</f>
        <v/>
      </c>
      <c r="O140" s="9">
        <f>IF($A140="","",N140&amp;"|"&amp;$F140)</f>
        <v/>
      </c>
      <c r="P140" s="94">
        <f>IF($A140="",0,$H140*설정!$C$23)</f>
        <v/>
      </c>
      <c r="Q140" s="64">
        <f>IF($A140="","",IF(O140&lt;&gt;원인분석!$C$9,"",IF(AND(M140&gt;=원인분석!$C$10,M140&lt;=원인분석!$C$11),"당기",IF(AND(M140&gt;=원인분석!$C$12,M140&lt;=원인분석!$C$13),"비교",""))))</f>
        <v/>
      </c>
      <c r="R140" s="9">
        <f>IF(Q140="","",$K140&amp;"")</f>
        <v/>
      </c>
      <c r="S140" s="9">
        <f>IF(Q140="","",IF(MATCH(R140,$R$5:$R$100000,0)=ROW()-4,ROW(),""))</f>
        <v/>
      </c>
      <c r="T140" s="9">
        <f>IF(Q140="당기",ABS(P140)+ROW()/1000000000,"")</f>
        <v/>
      </c>
      <c r="U140" s="9">
        <f>IF(Q140="비교",ABS(P140)+ROW()/1000000000,"")</f>
        <v/>
      </c>
      <c r="V140" s="64">
        <f>IF($A140="","",IF(COUNTIF(변동분석!$E$7:$E$506,O140)&gt;0,"Y","N"))</f>
        <v/>
      </c>
      <c r="W140" s="64">
        <f>IF($A140="","",IFERROR(INDEX(계정매핑!$D$5:$D$504,MATCH($F140&amp;"",계정매핑!$A$5:$A$504,0)),"미매핑"))</f>
        <v/>
      </c>
      <c r="X140" s="9">
        <f>IF($A140="","",$F140&amp;"")</f>
        <v/>
      </c>
      <c r="Y140" s="94">
        <f>IF($A140="",0,IF(AE140="직접",IF(AF140="비귀속",$P140,0),$P140*(1-AG140)*IFERROR(INDEX(계정대체기준!$F$20:$F$49,MATCH($N140,계정대체기준!$A$20:$A$49,0)),1)))</f>
        <v/>
      </c>
      <c r="Z140" s="94">
        <f>IF($A140="",0,IF(AE140="직접",IF(AF140="신계약비",$P140,0),$P140*(1-AG140)*IFERROR(INDEX(계정대체기준!$C$20:$C$49,MATCH($N140,계정대체기준!$A$20:$A$49,0)),0)))</f>
        <v/>
      </c>
      <c r="AA140" s="94">
        <f>IF($A140="",0,IF(AE140="직접",IF(OR(AF140="유지비",AF140="손해조사비"),$P140,0),$P140*(1-AG140)*IFERROR(INDEX(계정대체기준!$D$20:$D$49,MATCH($N140,계정대체기준!$A$20:$A$49,0)),0)))</f>
        <v/>
      </c>
      <c r="AB140" s="94">
        <f>IF($A140="",0,IF(AE140="직접",IF(AF140="수금비",$P140,0),$P140*(1-AG140)*IFERROR(INDEX(계정대체기준!$E$20:$E$49,MATCH($N140,계정대체기준!$A$20:$A$49,0)),0)))</f>
        <v/>
      </c>
      <c r="AC140" s="9">
        <f>IF(AND($A140&lt;&gt;"",M140=설정!$C$20,Z140&gt;0),Z140+ROW()/1000000000,"")</f>
        <v/>
      </c>
      <c r="AD140" s="94">
        <f>IF($A140="",0,$P140*AG140)</f>
        <v/>
      </c>
      <c r="AE140" s="64">
        <f>IF($A140="","",IFERROR(INDEX(계정매핑!$E$5:$E$504,MATCH($F140&amp;"",계정매핑!$A$5:$A$504,0))&amp;"","공통비"))</f>
        <v/>
      </c>
      <c r="AF140" s="64">
        <f>IF($A140="","",IF(AE140="직접",IFERROR(INDEX(계정매핑!$F$5:$F$504,MATCH($F140&amp;"",계정매핑!$A$5:$A$504,0))&amp;"","비귀속"),""))</f>
        <v/>
      </c>
      <c r="AG140" s="96">
        <f>IF($A140="",0,IF(AND(AE140&lt;&gt;"직접",IFERROR(INDEX(계정매핑!$G$5:$G$504,MATCH($F140&amp;"",계정매핑!$A$5:$A$504,0))&amp;"","")="유지비",COUNTIF(계정대체기준!$A$6:$A$15,$N140)&gt;0),IFERROR(INDEX(계정대체기준!$E$6:$E$15,MATCH(VALUE($A140&amp;""),계정대체기준!$D$6:$D$15,0)),0),0))</f>
        <v/>
      </c>
      <c r="AH140" s="64">
        <f>IF($A140="","",IF(AD140=0,"",IF(OR(COUNTIF(계정대체기준!$A$77:$A$86,$N140)&gt;0,ISNUMBER(MATCH($X140,계정대체기준!$D$77:$D$86,0)),ISNUMBER(MATCH($F140,계정대체기준!$D$77:$D$86,0))),"Y","N")))</f>
        <v/>
      </c>
    </row>
    <row r="141">
      <c r="A141" s="92" t="n">
        <v>2025</v>
      </c>
      <c r="B141" s="92" t="n">
        <v>1</v>
      </c>
      <c r="C141" s="92" t="inlineStr">
        <is>
          <t>5100000137</t>
        </is>
      </c>
      <c r="D141" s="95" t="n">
        <v>45672</v>
      </c>
      <c r="E141" s="92" t="inlineStr">
        <is>
          <t>KR</t>
        </is>
      </c>
      <c r="F141" s="92" t="n">
        <v>62201000</v>
      </c>
      <c r="G141" s="92" t="n">
        <v>1401</v>
      </c>
      <c r="H141" s="93" t="n">
        <v>244000</v>
      </c>
      <c r="I141" s="92" t="inlineStr">
        <is>
          <t>1월 통신요금 - O텔레콤</t>
        </is>
      </c>
      <c r="J141" s="92" t="inlineStr">
        <is>
          <t>V10002</t>
        </is>
      </c>
      <c r="K141" s="92" t="inlineStr">
        <is>
          <t>O텔레콤</t>
        </is>
      </c>
      <c r="M141" s="9">
        <f>IF($A141="","",VALUE($A141&amp;"")*12+VALUE($B141&amp;""))</f>
        <v/>
      </c>
      <c r="N141" s="64">
        <f>IF($A141="","",IFERROR(INDEX(부서매핑!$C$5:$C$504,MATCH($G141&amp;"",부서매핑!$A$5:$A$504,0)),"미매핑"))</f>
        <v/>
      </c>
      <c r="O141" s="9">
        <f>IF($A141="","",N141&amp;"|"&amp;$F141)</f>
        <v/>
      </c>
      <c r="P141" s="94">
        <f>IF($A141="",0,$H141*설정!$C$23)</f>
        <v/>
      </c>
      <c r="Q141" s="64">
        <f>IF($A141="","",IF(O141&lt;&gt;원인분석!$C$9,"",IF(AND(M141&gt;=원인분석!$C$10,M141&lt;=원인분석!$C$11),"당기",IF(AND(M141&gt;=원인분석!$C$12,M141&lt;=원인분석!$C$13),"비교",""))))</f>
        <v/>
      </c>
      <c r="R141" s="9">
        <f>IF(Q141="","",$K141&amp;"")</f>
        <v/>
      </c>
      <c r="S141" s="9">
        <f>IF(Q141="","",IF(MATCH(R141,$R$5:$R$100000,0)=ROW()-4,ROW(),""))</f>
        <v/>
      </c>
      <c r="T141" s="9">
        <f>IF(Q141="당기",ABS(P141)+ROW()/1000000000,"")</f>
        <v/>
      </c>
      <c r="U141" s="9">
        <f>IF(Q141="비교",ABS(P141)+ROW()/1000000000,"")</f>
        <v/>
      </c>
      <c r="V141" s="64">
        <f>IF($A141="","",IF(COUNTIF(변동분석!$E$7:$E$506,O141)&gt;0,"Y","N"))</f>
        <v/>
      </c>
      <c r="W141" s="64">
        <f>IF($A141="","",IFERROR(INDEX(계정매핑!$D$5:$D$504,MATCH($F141&amp;"",계정매핑!$A$5:$A$504,0)),"미매핑"))</f>
        <v/>
      </c>
      <c r="X141" s="9">
        <f>IF($A141="","",$F141&amp;"")</f>
        <v/>
      </c>
      <c r="Y141" s="94">
        <f>IF($A141="",0,IF(AE141="직접",IF(AF141="비귀속",$P141,0),$P141*(1-AG141)*IFERROR(INDEX(계정대체기준!$F$20:$F$49,MATCH($N141,계정대체기준!$A$20:$A$49,0)),1)))</f>
        <v/>
      </c>
      <c r="Z141" s="94">
        <f>IF($A141="",0,IF(AE141="직접",IF(AF141="신계약비",$P141,0),$P141*(1-AG141)*IFERROR(INDEX(계정대체기준!$C$20:$C$49,MATCH($N141,계정대체기준!$A$20:$A$49,0)),0)))</f>
        <v/>
      </c>
      <c r="AA141" s="94">
        <f>IF($A141="",0,IF(AE141="직접",IF(OR(AF141="유지비",AF141="손해조사비"),$P141,0),$P141*(1-AG141)*IFERROR(INDEX(계정대체기준!$D$20:$D$49,MATCH($N141,계정대체기준!$A$20:$A$49,0)),0)))</f>
        <v/>
      </c>
      <c r="AB141" s="94">
        <f>IF($A141="",0,IF(AE141="직접",IF(AF141="수금비",$P141,0),$P141*(1-AG141)*IFERROR(INDEX(계정대체기준!$E$20:$E$49,MATCH($N141,계정대체기준!$A$20:$A$49,0)),0)))</f>
        <v/>
      </c>
      <c r="AC141" s="9">
        <f>IF(AND($A141&lt;&gt;"",M141=설정!$C$20,Z141&gt;0),Z141+ROW()/1000000000,"")</f>
        <v/>
      </c>
      <c r="AD141" s="94">
        <f>IF($A141="",0,$P141*AG141)</f>
        <v/>
      </c>
      <c r="AE141" s="64">
        <f>IF($A141="","",IFERROR(INDEX(계정매핑!$E$5:$E$504,MATCH($F141&amp;"",계정매핑!$A$5:$A$504,0))&amp;"","공통비"))</f>
        <v/>
      </c>
      <c r="AF141" s="64">
        <f>IF($A141="","",IF(AE141="직접",IFERROR(INDEX(계정매핑!$F$5:$F$504,MATCH($F141&amp;"",계정매핑!$A$5:$A$504,0))&amp;"","비귀속"),""))</f>
        <v/>
      </c>
      <c r="AG141" s="96">
        <f>IF($A141="",0,IF(AND(AE141&lt;&gt;"직접",IFERROR(INDEX(계정매핑!$G$5:$G$504,MATCH($F141&amp;"",계정매핑!$A$5:$A$504,0))&amp;"","")="유지비",COUNTIF(계정대체기준!$A$6:$A$15,$N141)&gt;0),IFERROR(INDEX(계정대체기준!$E$6:$E$15,MATCH(VALUE($A141&amp;""),계정대체기준!$D$6:$D$15,0)),0),0))</f>
        <v/>
      </c>
      <c r="AH141" s="64">
        <f>IF($A141="","",IF(AD141=0,"",IF(OR(COUNTIF(계정대체기준!$A$77:$A$86,$N141)&gt;0,ISNUMBER(MATCH($X141,계정대체기준!$D$77:$D$86,0)),ISNUMBER(MATCH($F141,계정대체기준!$D$77:$D$86,0))),"Y","N")))</f>
        <v/>
      </c>
    </row>
    <row r="142">
      <c r="A142" s="92" t="n">
        <v>2025</v>
      </c>
      <c r="B142" s="92" t="n">
        <v>1</v>
      </c>
      <c r="C142" s="92" t="inlineStr">
        <is>
          <t>5100000138</t>
        </is>
      </c>
      <c r="D142" s="95" t="n">
        <v>45672</v>
      </c>
      <c r="E142" s="92" t="inlineStr">
        <is>
          <t>KR</t>
        </is>
      </c>
      <c r="F142" s="92" t="n">
        <v>62301000</v>
      </c>
      <c r="G142" s="92" t="n">
        <v>1701</v>
      </c>
      <c r="H142" s="93" t="n">
        <v>197000</v>
      </c>
      <c r="I142" s="92" t="inlineStr">
        <is>
          <t>1월 소모품 구입 - R문구</t>
        </is>
      </c>
      <c r="J142" s="92" t="inlineStr">
        <is>
          <t>V10022</t>
        </is>
      </c>
      <c r="K142" s="92" t="inlineStr">
        <is>
          <t>R문구</t>
        </is>
      </c>
      <c r="M142" s="9">
        <f>IF($A142="","",VALUE($A142&amp;"")*12+VALUE($B142&amp;""))</f>
        <v/>
      </c>
      <c r="N142" s="64">
        <f>IF($A142="","",IFERROR(INDEX(부서매핑!$C$5:$C$504,MATCH($G142&amp;"",부서매핑!$A$5:$A$504,0)),"미매핑"))</f>
        <v/>
      </c>
      <c r="O142" s="9">
        <f>IF($A142="","",N142&amp;"|"&amp;$F142)</f>
        <v/>
      </c>
      <c r="P142" s="94">
        <f>IF($A142="",0,$H142*설정!$C$23)</f>
        <v/>
      </c>
      <c r="Q142" s="64">
        <f>IF($A142="","",IF(O142&lt;&gt;원인분석!$C$9,"",IF(AND(M142&gt;=원인분석!$C$10,M142&lt;=원인분석!$C$11),"당기",IF(AND(M142&gt;=원인분석!$C$12,M142&lt;=원인분석!$C$13),"비교",""))))</f>
        <v/>
      </c>
      <c r="R142" s="9">
        <f>IF(Q142="","",$K142&amp;"")</f>
        <v/>
      </c>
      <c r="S142" s="9">
        <f>IF(Q142="","",IF(MATCH(R142,$R$5:$R$100000,0)=ROW()-4,ROW(),""))</f>
        <v/>
      </c>
      <c r="T142" s="9">
        <f>IF(Q142="당기",ABS(P142)+ROW()/1000000000,"")</f>
        <v/>
      </c>
      <c r="U142" s="9">
        <f>IF(Q142="비교",ABS(P142)+ROW()/1000000000,"")</f>
        <v/>
      </c>
      <c r="V142" s="64">
        <f>IF($A142="","",IF(COUNTIF(변동분석!$E$7:$E$506,O142)&gt;0,"Y","N"))</f>
        <v/>
      </c>
      <c r="W142" s="64">
        <f>IF($A142="","",IFERROR(INDEX(계정매핑!$D$5:$D$504,MATCH($F142&amp;"",계정매핑!$A$5:$A$504,0)),"미매핑"))</f>
        <v/>
      </c>
      <c r="X142" s="9">
        <f>IF($A142="","",$F142&amp;"")</f>
        <v/>
      </c>
      <c r="Y142" s="94">
        <f>IF($A142="",0,IF(AE142="직접",IF(AF142="비귀속",$P142,0),$P142*(1-AG142)*IFERROR(INDEX(계정대체기준!$F$20:$F$49,MATCH($N142,계정대체기준!$A$20:$A$49,0)),1)))</f>
        <v/>
      </c>
      <c r="Z142" s="94">
        <f>IF($A142="",0,IF(AE142="직접",IF(AF142="신계약비",$P142,0),$P142*(1-AG142)*IFERROR(INDEX(계정대체기준!$C$20:$C$49,MATCH($N142,계정대체기준!$A$20:$A$49,0)),0)))</f>
        <v/>
      </c>
      <c r="AA142" s="94">
        <f>IF($A142="",0,IF(AE142="직접",IF(OR(AF142="유지비",AF142="손해조사비"),$P142,0),$P142*(1-AG142)*IFERROR(INDEX(계정대체기준!$D$20:$D$49,MATCH($N142,계정대체기준!$A$20:$A$49,0)),0)))</f>
        <v/>
      </c>
      <c r="AB142" s="94">
        <f>IF($A142="",0,IF(AE142="직접",IF(AF142="수금비",$P142,0),$P142*(1-AG142)*IFERROR(INDEX(계정대체기준!$E$20:$E$49,MATCH($N142,계정대체기준!$A$20:$A$49,0)),0)))</f>
        <v/>
      </c>
      <c r="AC142" s="9">
        <f>IF(AND($A142&lt;&gt;"",M142=설정!$C$20,Z142&gt;0),Z142+ROW()/1000000000,"")</f>
        <v/>
      </c>
      <c r="AD142" s="94">
        <f>IF($A142="",0,$P142*AG142)</f>
        <v/>
      </c>
      <c r="AE142" s="64">
        <f>IF($A142="","",IFERROR(INDEX(계정매핑!$E$5:$E$504,MATCH($F142&amp;"",계정매핑!$A$5:$A$504,0))&amp;"","공통비"))</f>
        <v/>
      </c>
      <c r="AF142" s="64">
        <f>IF($A142="","",IF(AE142="직접",IFERROR(INDEX(계정매핑!$F$5:$F$504,MATCH($F142&amp;"",계정매핑!$A$5:$A$504,0))&amp;"","비귀속"),""))</f>
        <v/>
      </c>
      <c r="AG142" s="96">
        <f>IF($A142="",0,IF(AND(AE142&lt;&gt;"직접",IFERROR(INDEX(계정매핑!$G$5:$G$504,MATCH($F142&amp;"",계정매핑!$A$5:$A$504,0))&amp;"","")="유지비",COUNTIF(계정대체기준!$A$6:$A$15,$N142)&gt;0),IFERROR(INDEX(계정대체기준!$E$6:$E$15,MATCH(VALUE($A142&amp;""),계정대체기준!$D$6:$D$15,0)),0),0))</f>
        <v/>
      </c>
      <c r="AH142" s="64">
        <f>IF($A142="","",IF(AD142=0,"",IF(OR(COUNTIF(계정대체기준!$A$77:$A$86,$N142)&gt;0,ISNUMBER(MATCH($X142,계정대체기준!$D$77:$D$86,0)),ISNUMBER(MATCH($F142,계정대체기준!$D$77:$D$86,0))),"Y","N")))</f>
        <v/>
      </c>
    </row>
    <row r="143">
      <c r="A143" s="92" t="n">
        <v>2025</v>
      </c>
      <c r="B143" s="92" t="n">
        <v>1</v>
      </c>
      <c r="C143" s="92" t="inlineStr">
        <is>
          <t>5100000139</t>
        </is>
      </c>
      <c r="D143" s="95" t="n">
        <v>45672</v>
      </c>
      <c r="E143" s="92" t="inlineStr">
        <is>
          <t>KR</t>
        </is>
      </c>
      <c r="F143" s="92" t="n">
        <v>62501000</v>
      </c>
      <c r="G143" s="92" t="n">
        <v>1201</v>
      </c>
      <c r="H143" s="93" t="n">
        <v>91000</v>
      </c>
      <c r="I143" s="92" t="inlineStr">
        <is>
          <t>1월 회의 다과 - T케이터링</t>
        </is>
      </c>
      <c r="J143" s="92" t="inlineStr">
        <is>
          <t>V10005</t>
        </is>
      </c>
      <c r="K143" s="92" t="inlineStr">
        <is>
          <t>T케이터링</t>
        </is>
      </c>
      <c r="M143" s="9">
        <f>IF($A143="","",VALUE($A143&amp;"")*12+VALUE($B143&amp;""))</f>
        <v/>
      </c>
      <c r="N143" s="64">
        <f>IF($A143="","",IFERROR(INDEX(부서매핑!$C$5:$C$504,MATCH($G143&amp;"",부서매핑!$A$5:$A$504,0)),"미매핑"))</f>
        <v/>
      </c>
      <c r="O143" s="9">
        <f>IF($A143="","",N143&amp;"|"&amp;$F143)</f>
        <v/>
      </c>
      <c r="P143" s="94">
        <f>IF($A143="",0,$H143*설정!$C$23)</f>
        <v/>
      </c>
      <c r="Q143" s="64">
        <f>IF($A143="","",IF(O143&lt;&gt;원인분석!$C$9,"",IF(AND(M143&gt;=원인분석!$C$10,M143&lt;=원인분석!$C$11),"당기",IF(AND(M143&gt;=원인분석!$C$12,M143&lt;=원인분석!$C$13),"비교",""))))</f>
        <v/>
      </c>
      <c r="R143" s="9">
        <f>IF(Q143="","",$K143&amp;"")</f>
        <v/>
      </c>
      <c r="S143" s="9">
        <f>IF(Q143="","",IF(MATCH(R143,$R$5:$R$100000,0)=ROW()-4,ROW(),""))</f>
        <v/>
      </c>
      <c r="T143" s="9">
        <f>IF(Q143="당기",ABS(P143)+ROW()/1000000000,"")</f>
        <v/>
      </c>
      <c r="U143" s="9">
        <f>IF(Q143="비교",ABS(P143)+ROW()/1000000000,"")</f>
        <v/>
      </c>
      <c r="V143" s="64">
        <f>IF($A143="","",IF(COUNTIF(변동분석!$E$7:$E$506,O143)&gt;0,"Y","N"))</f>
        <v/>
      </c>
      <c r="W143" s="64">
        <f>IF($A143="","",IFERROR(INDEX(계정매핑!$D$5:$D$504,MATCH($F143&amp;"",계정매핑!$A$5:$A$504,0)),"미매핑"))</f>
        <v/>
      </c>
      <c r="X143" s="9">
        <f>IF($A143="","",$F143&amp;"")</f>
        <v/>
      </c>
      <c r="Y143" s="94">
        <f>IF($A143="",0,IF(AE143="직접",IF(AF143="비귀속",$P143,0),$P143*(1-AG143)*IFERROR(INDEX(계정대체기준!$F$20:$F$49,MATCH($N143,계정대체기준!$A$20:$A$49,0)),1)))</f>
        <v/>
      </c>
      <c r="Z143" s="94">
        <f>IF($A143="",0,IF(AE143="직접",IF(AF143="신계약비",$P143,0),$P143*(1-AG143)*IFERROR(INDEX(계정대체기준!$C$20:$C$49,MATCH($N143,계정대체기준!$A$20:$A$49,0)),0)))</f>
        <v/>
      </c>
      <c r="AA143" s="94">
        <f>IF($A143="",0,IF(AE143="직접",IF(OR(AF143="유지비",AF143="손해조사비"),$P143,0),$P143*(1-AG143)*IFERROR(INDEX(계정대체기준!$D$20:$D$49,MATCH($N143,계정대체기준!$A$20:$A$49,0)),0)))</f>
        <v/>
      </c>
      <c r="AB143" s="94">
        <f>IF($A143="",0,IF(AE143="직접",IF(AF143="수금비",$P143,0),$P143*(1-AG143)*IFERROR(INDEX(계정대체기준!$E$20:$E$49,MATCH($N143,계정대체기준!$A$20:$A$49,0)),0)))</f>
        <v/>
      </c>
      <c r="AC143" s="9">
        <f>IF(AND($A143&lt;&gt;"",M143=설정!$C$20,Z143&gt;0),Z143+ROW()/1000000000,"")</f>
        <v/>
      </c>
      <c r="AD143" s="94">
        <f>IF($A143="",0,$P143*AG143)</f>
        <v/>
      </c>
      <c r="AE143" s="64">
        <f>IF($A143="","",IFERROR(INDEX(계정매핑!$E$5:$E$504,MATCH($F143&amp;"",계정매핑!$A$5:$A$504,0))&amp;"","공통비"))</f>
        <v/>
      </c>
      <c r="AF143" s="64">
        <f>IF($A143="","",IF(AE143="직접",IFERROR(INDEX(계정매핑!$F$5:$F$504,MATCH($F143&amp;"",계정매핑!$A$5:$A$504,0))&amp;"","비귀속"),""))</f>
        <v/>
      </c>
      <c r="AG143" s="96">
        <f>IF($A143="",0,IF(AND(AE143&lt;&gt;"직접",IFERROR(INDEX(계정매핑!$G$5:$G$504,MATCH($F143&amp;"",계정매핑!$A$5:$A$504,0))&amp;"","")="유지비",COUNTIF(계정대체기준!$A$6:$A$15,$N143)&gt;0),IFERROR(INDEX(계정대체기준!$E$6:$E$15,MATCH(VALUE($A143&amp;""),계정대체기준!$D$6:$D$15,0)),0),0))</f>
        <v/>
      </c>
      <c r="AH143" s="64">
        <f>IF($A143="","",IF(AD143=0,"",IF(OR(COUNTIF(계정대체기준!$A$77:$A$86,$N143)&gt;0,ISNUMBER(MATCH($X143,계정대체기준!$D$77:$D$86,0)),ISNUMBER(MATCH($F143,계정대체기준!$D$77:$D$86,0))),"Y","N")))</f>
        <v/>
      </c>
    </row>
    <row r="144">
      <c r="A144" s="92" t="n">
        <v>2025</v>
      </c>
      <c r="B144" s="92" t="n">
        <v>1</v>
      </c>
      <c r="C144" s="92" t="inlineStr">
        <is>
          <t>5100000140</t>
        </is>
      </c>
      <c r="D144" s="95" t="n">
        <v>45672</v>
      </c>
      <c r="E144" s="92" t="inlineStr">
        <is>
          <t>KR</t>
        </is>
      </c>
      <c r="F144" s="92" t="n">
        <v>62501000</v>
      </c>
      <c r="G144" s="92" t="n">
        <v>1401</v>
      </c>
      <c r="H144" s="93" t="n">
        <v>145000</v>
      </c>
      <c r="I144" s="92" t="inlineStr">
        <is>
          <t>1월 회의 다과 - (법인카드)</t>
        </is>
      </c>
      <c r="J144" s="92" t="inlineStr">
        <is>
          <t>V10010</t>
        </is>
      </c>
      <c r="K144" s="92" t="inlineStr">
        <is>
          <t>(법인카드)</t>
        </is>
      </c>
      <c r="M144" s="9">
        <f>IF($A144="","",VALUE($A144&amp;"")*12+VALUE($B144&amp;""))</f>
        <v/>
      </c>
      <c r="N144" s="64">
        <f>IF($A144="","",IFERROR(INDEX(부서매핑!$C$5:$C$504,MATCH($G144&amp;"",부서매핑!$A$5:$A$504,0)),"미매핑"))</f>
        <v/>
      </c>
      <c r="O144" s="9">
        <f>IF($A144="","",N144&amp;"|"&amp;$F144)</f>
        <v/>
      </c>
      <c r="P144" s="94">
        <f>IF($A144="",0,$H144*설정!$C$23)</f>
        <v/>
      </c>
      <c r="Q144" s="64">
        <f>IF($A144="","",IF(O144&lt;&gt;원인분석!$C$9,"",IF(AND(M144&gt;=원인분석!$C$10,M144&lt;=원인분석!$C$11),"당기",IF(AND(M144&gt;=원인분석!$C$12,M144&lt;=원인분석!$C$13),"비교",""))))</f>
        <v/>
      </c>
      <c r="R144" s="9">
        <f>IF(Q144="","",$K144&amp;"")</f>
        <v/>
      </c>
      <c r="S144" s="9">
        <f>IF(Q144="","",IF(MATCH(R144,$R$5:$R$100000,0)=ROW()-4,ROW(),""))</f>
        <v/>
      </c>
      <c r="T144" s="9">
        <f>IF(Q144="당기",ABS(P144)+ROW()/1000000000,"")</f>
        <v/>
      </c>
      <c r="U144" s="9">
        <f>IF(Q144="비교",ABS(P144)+ROW()/1000000000,"")</f>
        <v/>
      </c>
      <c r="V144" s="64">
        <f>IF($A144="","",IF(COUNTIF(변동분석!$E$7:$E$506,O144)&gt;0,"Y","N"))</f>
        <v/>
      </c>
      <c r="W144" s="64">
        <f>IF($A144="","",IFERROR(INDEX(계정매핑!$D$5:$D$504,MATCH($F144&amp;"",계정매핑!$A$5:$A$504,0)),"미매핑"))</f>
        <v/>
      </c>
      <c r="X144" s="9">
        <f>IF($A144="","",$F144&amp;"")</f>
        <v/>
      </c>
      <c r="Y144" s="94">
        <f>IF($A144="",0,IF(AE144="직접",IF(AF144="비귀속",$P144,0),$P144*(1-AG144)*IFERROR(INDEX(계정대체기준!$F$20:$F$49,MATCH($N144,계정대체기준!$A$20:$A$49,0)),1)))</f>
        <v/>
      </c>
      <c r="Z144" s="94">
        <f>IF($A144="",0,IF(AE144="직접",IF(AF144="신계약비",$P144,0),$P144*(1-AG144)*IFERROR(INDEX(계정대체기준!$C$20:$C$49,MATCH($N144,계정대체기준!$A$20:$A$49,0)),0)))</f>
        <v/>
      </c>
      <c r="AA144" s="94">
        <f>IF($A144="",0,IF(AE144="직접",IF(OR(AF144="유지비",AF144="손해조사비"),$P144,0),$P144*(1-AG144)*IFERROR(INDEX(계정대체기준!$D$20:$D$49,MATCH($N144,계정대체기준!$A$20:$A$49,0)),0)))</f>
        <v/>
      </c>
      <c r="AB144" s="94">
        <f>IF($A144="",0,IF(AE144="직접",IF(AF144="수금비",$P144,0),$P144*(1-AG144)*IFERROR(INDEX(계정대체기준!$E$20:$E$49,MATCH($N144,계정대체기준!$A$20:$A$49,0)),0)))</f>
        <v/>
      </c>
      <c r="AC144" s="9">
        <f>IF(AND($A144&lt;&gt;"",M144=설정!$C$20,Z144&gt;0),Z144+ROW()/1000000000,"")</f>
        <v/>
      </c>
      <c r="AD144" s="94">
        <f>IF($A144="",0,$P144*AG144)</f>
        <v/>
      </c>
      <c r="AE144" s="64">
        <f>IF($A144="","",IFERROR(INDEX(계정매핑!$E$5:$E$504,MATCH($F144&amp;"",계정매핑!$A$5:$A$504,0))&amp;"","공통비"))</f>
        <v/>
      </c>
      <c r="AF144" s="64">
        <f>IF($A144="","",IF(AE144="직접",IFERROR(INDEX(계정매핑!$F$5:$F$504,MATCH($F144&amp;"",계정매핑!$A$5:$A$504,0))&amp;"","비귀속"),""))</f>
        <v/>
      </c>
      <c r="AG144" s="96">
        <f>IF($A144="",0,IF(AND(AE144&lt;&gt;"직접",IFERROR(INDEX(계정매핑!$G$5:$G$504,MATCH($F144&amp;"",계정매핑!$A$5:$A$504,0))&amp;"","")="유지비",COUNTIF(계정대체기준!$A$6:$A$15,$N144)&gt;0),IFERROR(INDEX(계정대체기준!$E$6:$E$15,MATCH(VALUE($A144&amp;""),계정대체기준!$D$6:$D$15,0)),0),0))</f>
        <v/>
      </c>
      <c r="AH144" s="64">
        <f>IF($A144="","",IF(AD144=0,"",IF(OR(COUNTIF(계정대체기준!$A$77:$A$86,$N144)&gt;0,ISNUMBER(MATCH($X144,계정대체기준!$D$77:$D$86,0)),ISNUMBER(MATCH($F144,계정대체기준!$D$77:$D$86,0))),"Y","N")))</f>
        <v/>
      </c>
    </row>
    <row r="145">
      <c r="A145" s="92" t="n">
        <v>2025</v>
      </c>
      <c r="B145" s="92" t="n">
        <v>1</v>
      </c>
      <c r="C145" s="92" t="inlineStr">
        <is>
          <t>5100000141</t>
        </is>
      </c>
      <c r="D145" s="95" t="n">
        <v>45672</v>
      </c>
      <c r="E145" s="92" t="inlineStr">
        <is>
          <t>KR</t>
        </is>
      </c>
      <c r="F145" s="92" t="n">
        <v>62601000</v>
      </c>
      <c r="G145" s="92" t="n">
        <v>1501</v>
      </c>
      <c r="H145" s="93" t="n">
        <v>1462000</v>
      </c>
      <c r="I145" s="92" t="inlineStr">
        <is>
          <t>1월 업무추진 - (법인카드)</t>
        </is>
      </c>
      <c r="J145" s="92" t="inlineStr">
        <is>
          <t>V10010</t>
        </is>
      </c>
      <c r="K145" s="92" t="inlineStr">
        <is>
          <t>(법인카드)</t>
        </is>
      </c>
      <c r="M145" s="9">
        <f>IF($A145="","",VALUE($A145&amp;"")*12+VALUE($B145&amp;""))</f>
        <v/>
      </c>
      <c r="N145" s="64">
        <f>IF($A145="","",IFERROR(INDEX(부서매핑!$C$5:$C$504,MATCH($G145&amp;"",부서매핑!$A$5:$A$504,0)),"미매핑"))</f>
        <v/>
      </c>
      <c r="O145" s="9">
        <f>IF($A145="","",N145&amp;"|"&amp;$F145)</f>
        <v/>
      </c>
      <c r="P145" s="94">
        <f>IF($A145="",0,$H145*설정!$C$23)</f>
        <v/>
      </c>
      <c r="Q145" s="64">
        <f>IF($A145="","",IF(O145&lt;&gt;원인분석!$C$9,"",IF(AND(M145&gt;=원인분석!$C$10,M145&lt;=원인분석!$C$11),"당기",IF(AND(M145&gt;=원인분석!$C$12,M145&lt;=원인분석!$C$13),"비교",""))))</f>
        <v/>
      </c>
      <c r="R145" s="9">
        <f>IF(Q145="","",$K145&amp;"")</f>
        <v/>
      </c>
      <c r="S145" s="9">
        <f>IF(Q145="","",IF(MATCH(R145,$R$5:$R$100000,0)=ROW()-4,ROW(),""))</f>
        <v/>
      </c>
      <c r="T145" s="9">
        <f>IF(Q145="당기",ABS(P145)+ROW()/1000000000,"")</f>
        <v/>
      </c>
      <c r="U145" s="9">
        <f>IF(Q145="비교",ABS(P145)+ROW()/1000000000,"")</f>
        <v/>
      </c>
      <c r="V145" s="64">
        <f>IF($A145="","",IF(COUNTIF(변동분석!$E$7:$E$506,O145)&gt;0,"Y","N"))</f>
        <v/>
      </c>
      <c r="W145" s="64">
        <f>IF($A145="","",IFERROR(INDEX(계정매핑!$D$5:$D$504,MATCH($F145&amp;"",계정매핑!$A$5:$A$504,0)),"미매핑"))</f>
        <v/>
      </c>
      <c r="X145" s="9">
        <f>IF($A145="","",$F145&amp;"")</f>
        <v/>
      </c>
      <c r="Y145" s="94">
        <f>IF($A145="",0,IF(AE145="직접",IF(AF145="비귀속",$P145,0),$P145*(1-AG145)*IFERROR(INDEX(계정대체기준!$F$20:$F$49,MATCH($N145,계정대체기준!$A$20:$A$49,0)),1)))</f>
        <v/>
      </c>
      <c r="Z145" s="94">
        <f>IF($A145="",0,IF(AE145="직접",IF(AF145="신계약비",$P145,0),$P145*(1-AG145)*IFERROR(INDEX(계정대체기준!$C$20:$C$49,MATCH($N145,계정대체기준!$A$20:$A$49,0)),0)))</f>
        <v/>
      </c>
      <c r="AA145" s="94">
        <f>IF($A145="",0,IF(AE145="직접",IF(OR(AF145="유지비",AF145="손해조사비"),$P145,0),$P145*(1-AG145)*IFERROR(INDEX(계정대체기준!$D$20:$D$49,MATCH($N145,계정대체기준!$A$20:$A$49,0)),0)))</f>
        <v/>
      </c>
      <c r="AB145" s="94">
        <f>IF($A145="",0,IF(AE145="직접",IF(AF145="수금비",$P145,0),$P145*(1-AG145)*IFERROR(INDEX(계정대체기준!$E$20:$E$49,MATCH($N145,계정대체기준!$A$20:$A$49,0)),0)))</f>
        <v/>
      </c>
      <c r="AC145" s="9">
        <f>IF(AND($A145&lt;&gt;"",M145=설정!$C$20,Z145&gt;0),Z145+ROW()/1000000000,"")</f>
        <v/>
      </c>
      <c r="AD145" s="94">
        <f>IF($A145="",0,$P145*AG145)</f>
        <v/>
      </c>
      <c r="AE145" s="64">
        <f>IF($A145="","",IFERROR(INDEX(계정매핑!$E$5:$E$504,MATCH($F145&amp;"",계정매핑!$A$5:$A$504,0))&amp;"","공통비"))</f>
        <v/>
      </c>
      <c r="AF145" s="64">
        <f>IF($A145="","",IF(AE145="직접",IFERROR(INDEX(계정매핑!$F$5:$F$504,MATCH($F145&amp;"",계정매핑!$A$5:$A$504,0))&amp;"","비귀속"),""))</f>
        <v/>
      </c>
      <c r="AG145" s="96">
        <f>IF($A145="",0,IF(AND(AE145&lt;&gt;"직접",IFERROR(INDEX(계정매핑!$G$5:$G$504,MATCH($F145&amp;"",계정매핑!$A$5:$A$504,0))&amp;"","")="유지비",COUNTIF(계정대체기준!$A$6:$A$15,$N145)&gt;0),IFERROR(INDEX(계정대체기준!$E$6:$E$15,MATCH(VALUE($A145&amp;""),계정대체기준!$D$6:$D$15,0)),0),0))</f>
        <v/>
      </c>
      <c r="AH145" s="64">
        <f>IF($A145="","",IF(AD145=0,"",IF(OR(COUNTIF(계정대체기준!$A$77:$A$86,$N145)&gt;0,ISNUMBER(MATCH($X145,계정대체기준!$D$77:$D$86,0)),ISNUMBER(MATCH($F145,계정대체기준!$D$77:$D$86,0))),"Y","N")))</f>
        <v/>
      </c>
    </row>
    <row r="146">
      <c r="A146" s="92" t="n">
        <v>2025</v>
      </c>
      <c r="B146" s="92" t="n">
        <v>1</v>
      </c>
      <c r="C146" s="92" t="inlineStr">
        <is>
          <t>5100000142</t>
        </is>
      </c>
      <c r="D146" s="95" t="n">
        <v>45672</v>
      </c>
      <c r="E146" s="92" t="inlineStr">
        <is>
          <t>KR</t>
        </is>
      </c>
      <c r="F146" s="92" t="n">
        <v>62601000</v>
      </c>
      <c r="G146" s="92" t="n">
        <v>1601</v>
      </c>
      <c r="H146" s="93" t="n">
        <v>1055000</v>
      </c>
      <c r="I146" s="92" t="inlineStr">
        <is>
          <t>1월 업무추진 - (법인카드)</t>
        </is>
      </c>
      <c r="J146" s="92" t="inlineStr">
        <is>
          <t>V10010</t>
        </is>
      </c>
      <c r="K146" s="92" t="inlineStr">
        <is>
          <t>(법인카드)</t>
        </is>
      </c>
      <c r="M146" s="9">
        <f>IF($A146="","",VALUE($A146&amp;"")*12+VALUE($B146&amp;""))</f>
        <v/>
      </c>
      <c r="N146" s="64">
        <f>IF($A146="","",IFERROR(INDEX(부서매핑!$C$5:$C$504,MATCH($G146&amp;"",부서매핑!$A$5:$A$504,0)),"미매핑"))</f>
        <v/>
      </c>
      <c r="O146" s="9">
        <f>IF($A146="","",N146&amp;"|"&amp;$F146)</f>
        <v/>
      </c>
      <c r="P146" s="94">
        <f>IF($A146="",0,$H146*설정!$C$23)</f>
        <v/>
      </c>
      <c r="Q146" s="64">
        <f>IF($A146="","",IF(O146&lt;&gt;원인분석!$C$9,"",IF(AND(M146&gt;=원인분석!$C$10,M146&lt;=원인분석!$C$11),"당기",IF(AND(M146&gt;=원인분석!$C$12,M146&lt;=원인분석!$C$13),"비교",""))))</f>
        <v/>
      </c>
      <c r="R146" s="9">
        <f>IF(Q146="","",$K146&amp;"")</f>
        <v/>
      </c>
      <c r="S146" s="9">
        <f>IF(Q146="","",IF(MATCH(R146,$R$5:$R$100000,0)=ROW()-4,ROW(),""))</f>
        <v/>
      </c>
      <c r="T146" s="9">
        <f>IF(Q146="당기",ABS(P146)+ROW()/1000000000,"")</f>
        <v/>
      </c>
      <c r="U146" s="9">
        <f>IF(Q146="비교",ABS(P146)+ROW()/1000000000,"")</f>
        <v/>
      </c>
      <c r="V146" s="64">
        <f>IF($A146="","",IF(COUNTIF(변동분석!$E$7:$E$506,O146)&gt;0,"Y","N"))</f>
        <v/>
      </c>
      <c r="W146" s="64">
        <f>IF($A146="","",IFERROR(INDEX(계정매핑!$D$5:$D$504,MATCH($F146&amp;"",계정매핑!$A$5:$A$504,0)),"미매핑"))</f>
        <v/>
      </c>
      <c r="X146" s="9">
        <f>IF($A146="","",$F146&amp;"")</f>
        <v/>
      </c>
      <c r="Y146" s="94">
        <f>IF($A146="",0,IF(AE146="직접",IF(AF146="비귀속",$P146,0),$P146*(1-AG146)*IFERROR(INDEX(계정대체기준!$F$20:$F$49,MATCH($N146,계정대체기준!$A$20:$A$49,0)),1)))</f>
        <v/>
      </c>
      <c r="Z146" s="94">
        <f>IF($A146="",0,IF(AE146="직접",IF(AF146="신계약비",$P146,0),$P146*(1-AG146)*IFERROR(INDEX(계정대체기준!$C$20:$C$49,MATCH($N146,계정대체기준!$A$20:$A$49,0)),0)))</f>
        <v/>
      </c>
      <c r="AA146" s="94">
        <f>IF($A146="",0,IF(AE146="직접",IF(OR(AF146="유지비",AF146="손해조사비"),$P146,0),$P146*(1-AG146)*IFERROR(INDEX(계정대체기준!$D$20:$D$49,MATCH($N146,계정대체기준!$A$20:$A$49,0)),0)))</f>
        <v/>
      </c>
      <c r="AB146" s="94">
        <f>IF($A146="",0,IF(AE146="직접",IF(AF146="수금비",$P146,0),$P146*(1-AG146)*IFERROR(INDEX(계정대체기준!$E$20:$E$49,MATCH($N146,계정대체기준!$A$20:$A$49,0)),0)))</f>
        <v/>
      </c>
      <c r="AC146" s="9">
        <f>IF(AND($A146&lt;&gt;"",M146=설정!$C$20,Z146&gt;0),Z146+ROW()/1000000000,"")</f>
        <v/>
      </c>
      <c r="AD146" s="94">
        <f>IF($A146="",0,$P146*AG146)</f>
        <v/>
      </c>
      <c r="AE146" s="64">
        <f>IF($A146="","",IFERROR(INDEX(계정매핑!$E$5:$E$504,MATCH($F146&amp;"",계정매핑!$A$5:$A$504,0))&amp;"","공통비"))</f>
        <v/>
      </c>
      <c r="AF146" s="64">
        <f>IF($A146="","",IF(AE146="직접",IFERROR(INDEX(계정매핑!$F$5:$F$504,MATCH($F146&amp;"",계정매핑!$A$5:$A$504,0))&amp;"","비귀속"),""))</f>
        <v/>
      </c>
      <c r="AG146" s="96">
        <f>IF($A146="",0,IF(AND(AE146&lt;&gt;"직접",IFERROR(INDEX(계정매핑!$G$5:$G$504,MATCH($F146&amp;"",계정매핑!$A$5:$A$504,0))&amp;"","")="유지비",COUNTIF(계정대체기준!$A$6:$A$15,$N146)&gt;0),IFERROR(INDEX(계정대체기준!$E$6:$E$15,MATCH(VALUE($A146&amp;""),계정대체기준!$D$6:$D$15,0)),0),0))</f>
        <v/>
      </c>
      <c r="AH146" s="64">
        <f>IF($A146="","",IF(AD146=0,"",IF(OR(COUNTIF(계정대체기준!$A$77:$A$86,$N146)&gt;0,ISNUMBER(MATCH($X146,계정대체기준!$D$77:$D$86,0)),ISNUMBER(MATCH($F146,계정대체기준!$D$77:$D$86,0))),"Y","N")))</f>
        <v/>
      </c>
    </row>
    <row r="147">
      <c r="A147" s="92" t="n">
        <v>2025</v>
      </c>
      <c r="B147" s="92" t="n">
        <v>1</v>
      </c>
      <c r="C147" s="92" t="inlineStr">
        <is>
          <t>5100000143</t>
        </is>
      </c>
      <c r="D147" s="95" t="n">
        <v>45672</v>
      </c>
      <c r="E147" s="92" t="inlineStr">
        <is>
          <t>KR</t>
        </is>
      </c>
      <c r="F147" s="92" t="n">
        <v>62901000</v>
      </c>
      <c r="G147" s="92" t="n">
        <v>1101</v>
      </c>
      <c r="H147" s="93" t="n">
        <v>3320000</v>
      </c>
      <c r="I147" s="92" t="inlineStr">
        <is>
          <t>1월 자문 수수료 - W컨설팅</t>
        </is>
      </c>
      <c r="J147" s="92" t="inlineStr">
        <is>
          <t>V10006</t>
        </is>
      </c>
      <c r="K147" s="92" t="inlineStr">
        <is>
          <t>W컨설팅</t>
        </is>
      </c>
      <c r="M147" s="9">
        <f>IF($A147="","",VALUE($A147&amp;"")*12+VALUE($B147&amp;""))</f>
        <v/>
      </c>
      <c r="N147" s="64">
        <f>IF($A147="","",IFERROR(INDEX(부서매핑!$C$5:$C$504,MATCH($G147&amp;"",부서매핑!$A$5:$A$504,0)),"미매핑"))</f>
        <v/>
      </c>
      <c r="O147" s="9">
        <f>IF($A147="","",N147&amp;"|"&amp;$F147)</f>
        <v/>
      </c>
      <c r="P147" s="94">
        <f>IF($A147="",0,$H147*설정!$C$23)</f>
        <v/>
      </c>
      <c r="Q147" s="64">
        <f>IF($A147="","",IF(O147&lt;&gt;원인분석!$C$9,"",IF(AND(M147&gt;=원인분석!$C$10,M147&lt;=원인분석!$C$11),"당기",IF(AND(M147&gt;=원인분석!$C$12,M147&lt;=원인분석!$C$13),"비교",""))))</f>
        <v/>
      </c>
      <c r="R147" s="9">
        <f>IF(Q147="","",$K147&amp;"")</f>
        <v/>
      </c>
      <c r="S147" s="9">
        <f>IF(Q147="","",IF(MATCH(R147,$R$5:$R$100000,0)=ROW()-4,ROW(),""))</f>
        <v/>
      </c>
      <c r="T147" s="9">
        <f>IF(Q147="당기",ABS(P147)+ROW()/1000000000,"")</f>
        <v/>
      </c>
      <c r="U147" s="9">
        <f>IF(Q147="비교",ABS(P147)+ROW()/1000000000,"")</f>
        <v/>
      </c>
      <c r="V147" s="64">
        <f>IF($A147="","",IF(COUNTIF(변동분석!$E$7:$E$506,O147)&gt;0,"Y","N"))</f>
        <v/>
      </c>
      <c r="W147" s="64">
        <f>IF($A147="","",IFERROR(INDEX(계정매핑!$D$5:$D$504,MATCH($F147&amp;"",계정매핑!$A$5:$A$504,0)),"미매핑"))</f>
        <v/>
      </c>
      <c r="X147" s="9">
        <f>IF($A147="","",$F147&amp;"")</f>
        <v/>
      </c>
      <c r="Y147" s="94">
        <f>IF($A147="",0,IF(AE147="직접",IF(AF147="비귀속",$P147,0),$P147*(1-AG147)*IFERROR(INDEX(계정대체기준!$F$20:$F$49,MATCH($N147,계정대체기준!$A$20:$A$49,0)),1)))</f>
        <v/>
      </c>
      <c r="Z147" s="94">
        <f>IF($A147="",0,IF(AE147="직접",IF(AF147="신계약비",$P147,0),$P147*(1-AG147)*IFERROR(INDEX(계정대체기준!$C$20:$C$49,MATCH($N147,계정대체기준!$A$20:$A$49,0)),0)))</f>
        <v/>
      </c>
      <c r="AA147" s="94">
        <f>IF($A147="",0,IF(AE147="직접",IF(OR(AF147="유지비",AF147="손해조사비"),$P147,0),$P147*(1-AG147)*IFERROR(INDEX(계정대체기준!$D$20:$D$49,MATCH($N147,계정대체기준!$A$20:$A$49,0)),0)))</f>
        <v/>
      </c>
      <c r="AB147" s="94">
        <f>IF($A147="",0,IF(AE147="직접",IF(AF147="수금비",$P147,0),$P147*(1-AG147)*IFERROR(INDEX(계정대체기준!$E$20:$E$49,MATCH($N147,계정대체기준!$A$20:$A$49,0)),0)))</f>
        <v/>
      </c>
      <c r="AC147" s="9">
        <f>IF(AND($A147&lt;&gt;"",M147=설정!$C$20,Z147&gt;0),Z147+ROW()/1000000000,"")</f>
        <v/>
      </c>
      <c r="AD147" s="94">
        <f>IF($A147="",0,$P147*AG147)</f>
        <v/>
      </c>
      <c r="AE147" s="64">
        <f>IF($A147="","",IFERROR(INDEX(계정매핑!$E$5:$E$504,MATCH($F147&amp;"",계정매핑!$A$5:$A$504,0))&amp;"","공통비"))</f>
        <v/>
      </c>
      <c r="AF147" s="64">
        <f>IF($A147="","",IF(AE147="직접",IFERROR(INDEX(계정매핑!$F$5:$F$504,MATCH($F147&amp;"",계정매핑!$A$5:$A$504,0))&amp;"","비귀속"),""))</f>
        <v/>
      </c>
      <c r="AG147" s="96">
        <f>IF($A147="",0,IF(AND(AE147&lt;&gt;"직접",IFERROR(INDEX(계정매핑!$G$5:$G$504,MATCH($F147&amp;"",계정매핑!$A$5:$A$504,0))&amp;"","")="유지비",COUNTIF(계정대체기준!$A$6:$A$15,$N147)&gt;0),IFERROR(INDEX(계정대체기준!$E$6:$E$15,MATCH(VALUE($A147&amp;""),계정대체기준!$D$6:$D$15,0)),0),0))</f>
        <v/>
      </c>
      <c r="AH147" s="64">
        <f>IF($A147="","",IF(AD147=0,"",IF(OR(COUNTIF(계정대체기준!$A$77:$A$86,$N147)&gt;0,ISNUMBER(MATCH($X147,계정대체기준!$D$77:$D$86,0)),ISNUMBER(MATCH($F147,계정대체기준!$D$77:$D$86,0))),"Y","N")))</f>
        <v/>
      </c>
    </row>
    <row r="148">
      <c r="A148" s="92" t="n">
        <v>2025</v>
      </c>
      <c r="B148" s="92" t="n">
        <v>1</v>
      </c>
      <c r="C148" s="92" t="inlineStr">
        <is>
          <t>5100000144</t>
        </is>
      </c>
      <c r="D148" s="95" t="n">
        <v>45672</v>
      </c>
      <c r="E148" s="92" t="inlineStr">
        <is>
          <t>KR</t>
        </is>
      </c>
      <c r="F148" s="92" t="n">
        <v>62902000</v>
      </c>
      <c r="G148" s="92" t="n">
        <v>1401</v>
      </c>
      <c r="H148" s="93" t="n">
        <v>2461000</v>
      </c>
      <c r="I148" s="92" t="inlineStr">
        <is>
          <t>1월 업무 위탁 수수료 - J콜센터</t>
        </is>
      </c>
      <c r="J148" s="92" t="inlineStr">
        <is>
          <t>V10016</t>
        </is>
      </c>
      <c r="K148" s="92" t="inlineStr">
        <is>
          <t>J콜센터</t>
        </is>
      </c>
      <c r="M148" s="9">
        <f>IF($A148="","",VALUE($A148&amp;"")*12+VALUE($B148&amp;""))</f>
        <v/>
      </c>
      <c r="N148" s="64">
        <f>IF($A148="","",IFERROR(INDEX(부서매핑!$C$5:$C$504,MATCH($G148&amp;"",부서매핑!$A$5:$A$504,0)),"미매핑"))</f>
        <v/>
      </c>
      <c r="O148" s="9">
        <f>IF($A148="","",N148&amp;"|"&amp;$F148)</f>
        <v/>
      </c>
      <c r="P148" s="94">
        <f>IF($A148="",0,$H148*설정!$C$23)</f>
        <v/>
      </c>
      <c r="Q148" s="64">
        <f>IF($A148="","",IF(O148&lt;&gt;원인분석!$C$9,"",IF(AND(M148&gt;=원인분석!$C$10,M148&lt;=원인분석!$C$11),"당기",IF(AND(M148&gt;=원인분석!$C$12,M148&lt;=원인분석!$C$13),"비교",""))))</f>
        <v/>
      </c>
      <c r="R148" s="9">
        <f>IF(Q148="","",$K148&amp;"")</f>
        <v/>
      </c>
      <c r="S148" s="9">
        <f>IF(Q148="","",IF(MATCH(R148,$R$5:$R$100000,0)=ROW()-4,ROW(),""))</f>
        <v/>
      </c>
      <c r="T148" s="9">
        <f>IF(Q148="당기",ABS(P148)+ROW()/1000000000,"")</f>
        <v/>
      </c>
      <c r="U148" s="9">
        <f>IF(Q148="비교",ABS(P148)+ROW()/1000000000,"")</f>
        <v/>
      </c>
      <c r="V148" s="64">
        <f>IF($A148="","",IF(COUNTIF(변동분석!$E$7:$E$506,O148)&gt;0,"Y","N"))</f>
        <v/>
      </c>
      <c r="W148" s="64">
        <f>IF($A148="","",IFERROR(INDEX(계정매핑!$D$5:$D$504,MATCH($F148&amp;"",계정매핑!$A$5:$A$504,0)),"미매핑"))</f>
        <v/>
      </c>
      <c r="X148" s="9">
        <f>IF($A148="","",$F148&amp;"")</f>
        <v/>
      </c>
      <c r="Y148" s="94">
        <f>IF($A148="",0,IF(AE148="직접",IF(AF148="비귀속",$P148,0),$P148*(1-AG148)*IFERROR(INDEX(계정대체기준!$F$20:$F$49,MATCH($N148,계정대체기준!$A$20:$A$49,0)),1)))</f>
        <v/>
      </c>
      <c r="Z148" s="94">
        <f>IF($A148="",0,IF(AE148="직접",IF(AF148="신계약비",$P148,0),$P148*(1-AG148)*IFERROR(INDEX(계정대체기준!$C$20:$C$49,MATCH($N148,계정대체기준!$A$20:$A$49,0)),0)))</f>
        <v/>
      </c>
      <c r="AA148" s="94">
        <f>IF($A148="",0,IF(AE148="직접",IF(OR(AF148="유지비",AF148="손해조사비"),$P148,0),$P148*(1-AG148)*IFERROR(INDEX(계정대체기준!$D$20:$D$49,MATCH($N148,계정대체기준!$A$20:$A$49,0)),0)))</f>
        <v/>
      </c>
      <c r="AB148" s="94">
        <f>IF($A148="",0,IF(AE148="직접",IF(AF148="수금비",$P148,0),$P148*(1-AG148)*IFERROR(INDEX(계정대체기준!$E$20:$E$49,MATCH($N148,계정대체기준!$A$20:$A$49,0)),0)))</f>
        <v/>
      </c>
      <c r="AC148" s="9">
        <f>IF(AND($A148&lt;&gt;"",M148=설정!$C$20,Z148&gt;0),Z148+ROW()/1000000000,"")</f>
        <v/>
      </c>
      <c r="AD148" s="94">
        <f>IF($A148="",0,$P148*AG148)</f>
        <v/>
      </c>
      <c r="AE148" s="64">
        <f>IF($A148="","",IFERROR(INDEX(계정매핑!$E$5:$E$504,MATCH($F148&amp;"",계정매핑!$A$5:$A$504,0))&amp;"","공통비"))</f>
        <v/>
      </c>
      <c r="AF148" s="64">
        <f>IF($A148="","",IF(AE148="직접",IFERROR(INDEX(계정매핑!$F$5:$F$504,MATCH($F148&amp;"",계정매핑!$A$5:$A$504,0))&amp;"","비귀속"),""))</f>
        <v/>
      </c>
      <c r="AG148" s="96">
        <f>IF($A148="",0,IF(AND(AE148&lt;&gt;"직접",IFERROR(INDEX(계정매핑!$G$5:$G$504,MATCH($F148&amp;"",계정매핑!$A$5:$A$504,0))&amp;"","")="유지비",COUNTIF(계정대체기준!$A$6:$A$15,$N148)&gt;0),IFERROR(INDEX(계정대체기준!$E$6:$E$15,MATCH(VALUE($A148&amp;""),계정대체기준!$D$6:$D$15,0)),0),0))</f>
        <v/>
      </c>
      <c r="AH148" s="64">
        <f>IF($A148="","",IF(AD148=0,"",IF(OR(COUNTIF(계정대체기준!$A$77:$A$86,$N148)&gt;0,ISNUMBER(MATCH($X148,계정대체기준!$D$77:$D$86,0)),ISNUMBER(MATCH($F148,계정대체기준!$D$77:$D$86,0))),"Y","N")))</f>
        <v/>
      </c>
    </row>
    <row r="149">
      <c r="A149" s="92" t="n">
        <v>2025</v>
      </c>
      <c r="B149" s="92" t="n">
        <v>1</v>
      </c>
      <c r="C149" s="92" t="inlineStr">
        <is>
          <t>5100000145</t>
        </is>
      </c>
      <c r="D149" s="95" t="n">
        <v>45672</v>
      </c>
      <c r="E149" s="92" t="inlineStr">
        <is>
          <t>KR</t>
        </is>
      </c>
      <c r="F149" s="92" t="n">
        <v>62902000</v>
      </c>
      <c r="G149" s="92" t="n">
        <v>1801</v>
      </c>
      <c r="H149" s="93" t="n">
        <v>1759000</v>
      </c>
      <c r="I149" s="92" t="inlineStr">
        <is>
          <t>1월 콜 위탁 수수료(건별)</t>
        </is>
      </c>
      <c r="J149" s="92" t="inlineStr">
        <is>
          <t>V10016</t>
        </is>
      </c>
      <c r="K149" s="92" t="inlineStr">
        <is>
          <t>J콜센터</t>
        </is>
      </c>
      <c r="M149" s="9">
        <f>IF($A149="","",VALUE($A149&amp;"")*12+VALUE($B149&amp;""))</f>
        <v/>
      </c>
      <c r="N149" s="64">
        <f>IF($A149="","",IFERROR(INDEX(부서매핑!$C$5:$C$504,MATCH($G149&amp;"",부서매핑!$A$5:$A$504,0)),"미매핑"))</f>
        <v/>
      </c>
      <c r="O149" s="9">
        <f>IF($A149="","",N149&amp;"|"&amp;$F149)</f>
        <v/>
      </c>
      <c r="P149" s="94">
        <f>IF($A149="",0,$H149*설정!$C$23)</f>
        <v/>
      </c>
      <c r="Q149" s="64">
        <f>IF($A149="","",IF(O149&lt;&gt;원인분석!$C$9,"",IF(AND(M149&gt;=원인분석!$C$10,M149&lt;=원인분석!$C$11),"당기",IF(AND(M149&gt;=원인분석!$C$12,M149&lt;=원인분석!$C$13),"비교",""))))</f>
        <v/>
      </c>
      <c r="R149" s="9">
        <f>IF(Q149="","",$K149&amp;"")</f>
        <v/>
      </c>
      <c r="S149" s="9">
        <f>IF(Q149="","",IF(MATCH(R149,$R$5:$R$100000,0)=ROW()-4,ROW(),""))</f>
        <v/>
      </c>
      <c r="T149" s="9">
        <f>IF(Q149="당기",ABS(P149)+ROW()/1000000000,"")</f>
        <v/>
      </c>
      <c r="U149" s="9">
        <f>IF(Q149="비교",ABS(P149)+ROW()/1000000000,"")</f>
        <v/>
      </c>
      <c r="V149" s="64">
        <f>IF($A149="","",IF(COUNTIF(변동분석!$E$7:$E$506,O149)&gt;0,"Y","N"))</f>
        <v/>
      </c>
      <c r="W149" s="64">
        <f>IF($A149="","",IFERROR(INDEX(계정매핑!$D$5:$D$504,MATCH($F149&amp;"",계정매핑!$A$5:$A$504,0)),"미매핑"))</f>
        <v/>
      </c>
      <c r="X149" s="9">
        <f>IF($A149="","",$F149&amp;"")</f>
        <v/>
      </c>
      <c r="Y149" s="94">
        <f>IF($A149="",0,IF(AE149="직접",IF(AF149="비귀속",$P149,0),$P149*(1-AG149)*IFERROR(INDEX(계정대체기준!$F$20:$F$49,MATCH($N149,계정대체기준!$A$20:$A$49,0)),1)))</f>
        <v/>
      </c>
      <c r="Z149" s="94">
        <f>IF($A149="",0,IF(AE149="직접",IF(AF149="신계약비",$P149,0),$P149*(1-AG149)*IFERROR(INDEX(계정대체기준!$C$20:$C$49,MATCH($N149,계정대체기준!$A$20:$A$49,0)),0)))</f>
        <v/>
      </c>
      <c r="AA149" s="94">
        <f>IF($A149="",0,IF(AE149="직접",IF(OR(AF149="유지비",AF149="손해조사비"),$P149,0),$P149*(1-AG149)*IFERROR(INDEX(계정대체기준!$D$20:$D$49,MATCH($N149,계정대체기준!$A$20:$A$49,0)),0)))</f>
        <v/>
      </c>
      <c r="AB149" s="94">
        <f>IF($A149="",0,IF(AE149="직접",IF(AF149="수금비",$P149,0),$P149*(1-AG149)*IFERROR(INDEX(계정대체기준!$E$20:$E$49,MATCH($N149,계정대체기준!$A$20:$A$49,0)),0)))</f>
        <v/>
      </c>
      <c r="AC149" s="9">
        <f>IF(AND($A149&lt;&gt;"",M149=설정!$C$20,Z149&gt;0),Z149+ROW()/1000000000,"")</f>
        <v/>
      </c>
      <c r="AD149" s="94">
        <f>IF($A149="",0,$P149*AG149)</f>
        <v/>
      </c>
      <c r="AE149" s="64">
        <f>IF($A149="","",IFERROR(INDEX(계정매핑!$E$5:$E$504,MATCH($F149&amp;"",계정매핑!$A$5:$A$504,0))&amp;"","공통비"))</f>
        <v/>
      </c>
      <c r="AF149" s="64">
        <f>IF($A149="","",IF(AE149="직접",IFERROR(INDEX(계정매핑!$F$5:$F$504,MATCH($F149&amp;"",계정매핑!$A$5:$A$504,0))&amp;"","비귀속"),""))</f>
        <v/>
      </c>
      <c r="AG149" s="96">
        <f>IF($A149="",0,IF(AND(AE149&lt;&gt;"직접",IFERROR(INDEX(계정매핑!$G$5:$G$504,MATCH($F149&amp;"",계정매핑!$A$5:$A$504,0))&amp;"","")="유지비",COUNTIF(계정대체기준!$A$6:$A$15,$N149)&gt;0),IFERROR(INDEX(계정대체기준!$E$6:$E$15,MATCH(VALUE($A149&amp;""),계정대체기준!$D$6:$D$15,0)),0),0))</f>
        <v/>
      </c>
      <c r="AH149" s="64">
        <f>IF($A149="","",IF(AD149=0,"",IF(OR(COUNTIF(계정대체기준!$A$77:$A$86,$N149)&gt;0,ISNUMBER(MATCH($X149,계정대체기준!$D$77:$D$86,0)),ISNUMBER(MATCH($F149,계정대체기준!$D$77:$D$86,0))),"Y","N")))</f>
        <v/>
      </c>
    </row>
    <row r="150">
      <c r="A150" s="92" t="n">
        <v>2025</v>
      </c>
      <c r="B150" s="92" t="n">
        <v>1</v>
      </c>
      <c r="C150" s="92" t="inlineStr">
        <is>
          <t>5100000146</t>
        </is>
      </c>
      <c r="D150" s="95" t="n">
        <v>45672</v>
      </c>
      <c r="E150" s="92" t="inlineStr">
        <is>
          <t>KR</t>
        </is>
      </c>
      <c r="F150" s="92" t="n">
        <v>63201000</v>
      </c>
      <c r="G150" s="92" t="n">
        <v>1601</v>
      </c>
      <c r="H150" s="93" t="n">
        <v>1755000</v>
      </c>
      <c r="I150" s="92" t="inlineStr">
        <is>
          <t>1월 차량 유지 - H에너지</t>
        </is>
      </c>
      <c r="J150" s="92" t="inlineStr">
        <is>
          <t>V10030</t>
        </is>
      </c>
      <c r="K150" s="92" t="inlineStr">
        <is>
          <t>H에너지</t>
        </is>
      </c>
      <c r="M150" s="9">
        <f>IF($A150="","",VALUE($A150&amp;"")*12+VALUE($B150&amp;""))</f>
        <v/>
      </c>
      <c r="N150" s="64">
        <f>IF($A150="","",IFERROR(INDEX(부서매핑!$C$5:$C$504,MATCH($G150&amp;"",부서매핑!$A$5:$A$504,0)),"미매핑"))</f>
        <v/>
      </c>
      <c r="O150" s="9">
        <f>IF($A150="","",N150&amp;"|"&amp;$F150)</f>
        <v/>
      </c>
      <c r="P150" s="94">
        <f>IF($A150="",0,$H150*설정!$C$23)</f>
        <v/>
      </c>
      <c r="Q150" s="64">
        <f>IF($A150="","",IF(O150&lt;&gt;원인분석!$C$9,"",IF(AND(M150&gt;=원인분석!$C$10,M150&lt;=원인분석!$C$11),"당기",IF(AND(M150&gt;=원인분석!$C$12,M150&lt;=원인분석!$C$13),"비교",""))))</f>
        <v/>
      </c>
      <c r="R150" s="9">
        <f>IF(Q150="","",$K150&amp;"")</f>
        <v/>
      </c>
      <c r="S150" s="9">
        <f>IF(Q150="","",IF(MATCH(R150,$R$5:$R$100000,0)=ROW()-4,ROW(),""))</f>
        <v/>
      </c>
      <c r="T150" s="9">
        <f>IF(Q150="당기",ABS(P150)+ROW()/1000000000,"")</f>
        <v/>
      </c>
      <c r="U150" s="9">
        <f>IF(Q150="비교",ABS(P150)+ROW()/1000000000,"")</f>
        <v/>
      </c>
      <c r="V150" s="64">
        <f>IF($A150="","",IF(COUNTIF(변동분석!$E$7:$E$506,O150)&gt;0,"Y","N"))</f>
        <v/>
      </c>
      <c r="W150" s="64">
        <f>IF($A150="","",IFERROR(INDEX(계정매핑!$D$5:$D$504,MATCH($F150&amp;"",계정매핑!$A$5:$A$504,0)),"미매핑"))</f>
        <v/>
      </c>
      <c r="X150" s="9">
        <f>IF($A150="","",$F150&amp;"")</f>
        <v/>
      </c>
      <c r="Y150" s="94">
        <f>IF($A150="",0,IF(AE150="직접",IF(AF150="비귀속",$P150,0),$P150*(1-AG150)*IFERROR(INDEX(계정대체기준!$F$20:$F$49,MATCH($N150,계정대체기준!$A$20:$A$49,0)),1)))</f>
        <v/>
      </c>
      <c r="Z150" s="94">
        <f>IF($A150="",0,IF(AE150="직접",IF(AF150="신계약비",$P150,0),$P150*(1-AG150)*IFERROR(INDEX(계정대체기준!$C$20:$C$49,MATCH($N150,계정대체기준!$A$20:$A$49,0)),0)))</f>
        <v/>
      </c>
      <c r="AA150" s="94">
        <f>IF($A150="",0,IF(AE150="직접",IF(OR(AF150="유지비",AF150="손해조사비"),$P150,0),$P150*(1-AG150)*IFERROR(INDEX(계정대체기준!$D$20:$D$49,MATCH($N150,계정대체기준!$A$20:$A$49,0)),0)))</f>
        <v/>
      </c>
      <c r="AB150" s="94">
        <f>IF($A150="",0,IF(AE150="직접",IF(AF150="수금비",$P150,0),$P150*(1-AG150)*IFERROR(INDEX(계정대체기준!$E$20:$E$49,MATCH($N150,계정대체기준!$A$20:$A$49,0)),0)))</f>
        <v/>
      </c>
      <c r="AC150" s="9">
        <f>IF(AND($A150&lt;&gt;"",M150=설정!$C$20,Z150&gt;0),Z150+ROW()/1000000000,"")</f>
        <v/>
      </c>
      <c r="AD150" s="94">
        <f>IF($A150="",0,$P150*AG150)</f>
        <v/>
      </c>
      <c r="AE150" s="64">
        <f>IF($A150="","",IFERROR(INDEX(계정매핑!$E$5:$E$504,MATCH($F150&amp;"",계정매핑!$A$5:$A$504,0))&amp;"","공통비"))</f>
        <v/>
      </c>
      <c r="AF150" s="64">
        <f>IF($A150="","",IF(AE150="직접",IFERROR(INDEX(계정매핑!$F$5:$F$504,MATCH($F150&amp;"",계정매핑!$A$5:$A$504,0))&amp;"","비귀속"),""))</f>
        <v/>
      </c>
      <c r="AG150" s="96">
        <f>IF($A150="",0,IF(AND(AE150&lt;&gt;"직접",IFERROR(INDEX(계정매핑!$G$5:$G$504,MATCH($F150&amp;"",계정매핑!$A$5:$A$504,0))&amp;"","")="유지비",COUNTIF(계정대체기준!$A$6:$A$15,$N150)&gt;0),IFERROR(INDEX(계정대체기준!$E$6:$E$15,MATCH(VALUE($A150&amp;""),계정대체기준!$D$6:$D$15,0)),0),0))</f>
        <v/>
      </c>
      <c r="AH150" s="64">
        <f>IF($A150="","",IF(AD150=0,"",IF(OR(COUNTIF(계정대체기준!$A$77:$A$86,$N150)&gt;0,ISNUMBER(MATCH($X150,계정대체기준!$D$77:$D$86,0)),ISNUMBER(MATCH($F150,계정대체기준!$D$77:$D$86,0))),"Y","N")))</f>
        <v/>
      </c>
    </row>
    <row r="151">
      <c r="A151" s="92" t="n">
        <v>2025</v>
      </c>
      <c r="B151" s="92" t="n">
        <v>1</v>
      </c>
      <c r="C151" s="92" t="inlineStr">
        <is>
          <t>5100000147</t>
        </is>
      </c>
      <c r="D151" s="95" t="n">
        <v>45673</v>
      </c>
      <c r="E151" s="92" t="inlineStr">
        <is>
          <t>KR</t>
        </is>
      </c>
      <c r="F151" s="92" t="n">
        <v>62101000</v>
      </c>
      <c r="G151" s="92" t="n">
        <v>1101</v>
      </c>
      <c r="H151" s="93" t="n">
        <v>341000</v>
      </c>
      <c r="I151" s="92" t="inlineStr">
        <is>
          <t>1월 국내출장 - (법인카드)</t>
        </is>
      </c>
      <c r="J151" s="92" t="inlineStr">
        <is>
          <t>V10010</t>
        </is>
      </c>
      <c r="K151" s="92" t="inlineStr">
        <is>
          <t>(법인카드)</t>
        </is>
      </c>
      <c r="M151" s="9">
        <f>IF($A151="","",VALUE($A151&amp;"")*12+VALUE($B151&amp;""))</f>
        <v/>
      </c>
      <c r="N151" s="64">
        <f>IF($A151="","",IFERROR(INDEX(부서매핑!$C$5:$C$504,MATCH($G151&amp;"",부서매핑!$A$5:$A$504,0)),"미매핑"))</f>
        <v/>
      </c>
      <c r="O151" s="9">
        <f>IF($A151="","",N151&amp;"|"&amp;$F151)</f>
        <v/>
      </c>
      <c r="P151" s="94">
        <f>IF($A151="",0,$H151*설정!$C$23)</f>
        <v/>
      </c>
      <c r="Q151" s="64">
        <f>IF($A151="","",IF(O151&lt;&gt;원인분석!$C$9,"",IF(AND(M151&gt;=원인분석!$C$10,M151&lt;=원인분석!$C$11),"당기",IF(AND(M151&gt;=원인분석!$C$12,M151&lt;=원인분석!$C$13),"비교",""))))</f>
        <v/>
      </c>
      <c r="R151" s="9">
        <f>IF(Q151="","",$K151&amp;"")</f>
        <v/>
      </c>
      <c r="S151" s="9">
        <f>IF(Q151="","",IF(MATCH(R151,$R$5:$R$100000,0)=ROW()-4,ROW(),""))</f>
        <v/>
      </c>
      <c r="T151" s="9">
        <f>IF(Q151="당기",ABS(P151)+ROW()/1000000000,"")</f>
        <v/>
      </c>
      <c r="U151" s="9">
        <f>IF(Q151="비교",ABS(P151)+ROW()/1000000000,"")</f>
        <v/>
      </c>
      <c r="V151" s="64">
        <f>IF($A151="","",IF(COUNTIF(변동분석!$E$7:$E$506,O151)&gt;0,"Y","N"))</f>
        <v/>
      </c>
      <c r="W151" s="64">
        <f>IF($A151="","",IFERROR(INDEX(계정매핑!$D$5:$D$504,MATCH($F151&amp;"",계정매핑!$A$5:$A$504,0)),"미매핑"))</f>
        <v/>
      </c>
      <c r="X151" s="9">
        <f>IF($A151="","",$F151&amp;"")</f>
        <v/>
      </c>
      <c r="Y151" s="94">
        <f>IF($A151="",0,IF(AE151="직접",IF(AF151="비귀속",$P151,0),$P151*(1-AG151)*IFERROR(INDEX(계정대체기준!$F$20:$F$49,MATCH($N151,계정대체기준!$A$20:$A$49,0)),1)))</f>
        <v/>
      </c>
      <c r="Z151" s="94">
        <f>IF($A151="",0,IF(AE151="직접",IF(AF151="신계약비",$P151,0),$P151*(1-AG151)*IFERROR(INDEX(계정대체기준!$C$20:$C$49,MATCH($N151,계정대체기준!$A$20:$A$49,0)),0)))</f>
        <v/>
      </c>
      <c r="AA151" s="94">
        <f>IF($A151="",0,IF(AE151="직접",IF(OR(AF151="유지비",AF151="손해조사비"),$P151,0),$P151*(1-AG151)*IFERROR(INDEX(계정대체기준!$D$20:$D$49,MATCH($N151,계정대체기준!$A$20:$A$49,0)),0)))</f>
        <v/>
      </c>
      <c r="AB151" s="94">
        <f>IF($A151="",0,IF(AE151="직접",IF(AF151="수금비",$P151,0),$P151*(1-AG151)*IFERROR(INDEX(계정대체기준!$E$20:$E$49,MATCH($N151,계정대체기준!$A$20:$A$49,0)),0)))</f>
        <v/>
      </c>
      <c r="AC151" s="9">
        <f>IF(AND($A151&lt;&gt;"",M151=설정!$C$20,Z151&gt;0),Z151+ROW()/1000000000,"")</f>
        <v/>
      </c>
      <c r="AD151" s="94">
        <f>IF($A151="",0,$P151*AG151)</f>
        <v/>
      </c>
      <c r="AE151" s="64">
        <f>IF($A151="","",IFERROR(INDEX(계정매핑!$E$5:$E$504,MATCH($F151&amp;"",계정매핑!$A$5:$A$504,0))&amp;"","공통비"))</f>
        <v/>
      </c>
      <c r="AF151" s="64">
        <f>IF($A151="","",IF(AE151="직접",IFERROR(INDEX(계정매핑!$F$5:$F$504,MATCH($F151&amp;"",계정매핑!$A$5:$A$504,0))&amp;"","비귀속"),""))</f>
        <v/>
      </c>
      <c r="AG151" s="96">
        <f>IF($A151="",0,IF(AND(AE151&lt;&gt;"직접",IFERROR(INDEX(계정매핑!$G$5:$G$504,MATCH($F151&amp;"",계정매핑!$A$5:$A$504,0))&amp;"","")="유지비",COUNTIF(계정대체기준!$A$6:$A$15,$N151)&gt;0),IFERROR(INDEX(계정대체기준!$E$6:$E$15,MATCH(VALUE($A151&amp;""),계정대체기준!$D$6:$D$15,0)),0),0))</f>
        <v/>
      </c>
      <c r="AH151" s="64">
        <f>IF($A151="","",IF(AD151=0,"",IF(OR(COUNTIF(계정대체기준!$A$77:$A$86,$N151)&gt;0,ISNUMBER(MATCH($X151,계정대체기준!$D$77:$D$86,0)),ISNUMBER(MATCH($F151,계정대체기준!$D$77:$D$86,0))),"Y","N")))</f>
        <v/>
      </c>
    </row>
    <row r="152">
      <c r="A152" s="92" t="n">
        <v>2025</v>
      </c>
      <c r="B152" s="92" t="n">
        <v>1</v>
      </c>
      <c r="C152" s="92" t="inlineStr">
        <is>
          <t>5100000148</t>
        </is>
      </c>
      <c r="D152" s="95" t="n">
        <v>45673</v>
      </c>
      <c r="E152" s="92" t="inlineStr">
        <is>
          <t>KR</t>
        </is>
      </c>
      <c r="F152" s="92" t="n">
        <v>62101000</v>
      </c>
      <c r="G152" s="92" t="n">
        <v>1601</v>
      </c>
      <c r="H152" s="93" t="n">
        <v>1014000</v>
      </c>
      <c r="I152" s="92" t="inlineStr">
        <is>
          <t>1월 국내출장 - (법인카드)</t>
        </is>
      </c>
      <c r="J152" s="92" t="inlineStr">
        <is>
          <t>V10010</t>
        </is>
      </c>
      <c r="K152" s="92" t="inlineStr">
        <is>
          <t>(법인카드)</t>
        </is>
      </c>
      <c r="M152" s="9">
        <f>IF($A152="","",VALUE($A152&amp;"")*12+VALUE($B152&amp;""))</f>
        <v/>
      </c>
      <c r="N152" s="64">
        <f>IF($A152="","",IFERROR(INDEX(부서매핑!$C$5:$C$504,MATCH($G152&amp;"",부서매핑!$A$5:$A$504,0)),"미매핑"))</f>
        <v/>
      </c>
      <c r="O152" s="9">
        <f>IF($A152="","",N152&amp;"|"&amp;$F152)</f>
        <v/>
      </c>
      <c r="P152" s="94">
        <f>IF($A152="",0,$H152*설정!$C$23)</f>
        <v/>
      </c>
      <c r="Q152" s="64">
        <f>IF($A152="","",IF(O152&lt;&gt;원인분석!$C$9,"",IF(AND(M152&gt;=원인분석!$C$10,M152&lt;=원인분석!$C$11),"당기",IF(AND(M152&gt;=원인분석!$C$12,M152&lt;=원인분석!$C$13),"비교",""))))</f>
        <v/>
      </c>
      <c r="R152" s="9">
        <f>IF(Q152="","",$K152&amp;"")</f>
        <v/>
      </c>
      <c r="S152" s="9">
        <f>IF(Q152="","",IF(MATCH(R152,$R$5:$R$100000,0)=ROW()-4,ROW(),""))</f>
        <v/>
      </c>
      <c r="T152" s="9">
        <f>IF(Q152="당기",ABS(P152)+ROW()/1000000000,"")</f>
        <v/>
      </c>
      <c r="U152" s="9">
        <f>IF(Q152="비교",ABS(P152)+ROW()/1000000000,"")</f>
        <v/>
      </c>
      <c r="V152" s="64">
        <f>IF($A152="","",IF(COUNTIF(변동분석!$E$7:$E$506,O152)&gt;0,"Y","N"))</f>
        <v/>
      </c>
      <c r="W152" s="64">
        <f>IF($A152="","",IFERROR(INDEX(계정매핑!$D$5:$D$504,MATCH($F152&amp;"",계정매핑!$A$5:$A$504,0)),"미매핑"))</f>
        <v/>
      </c>
      <c r="X152" s="9">
        <f>IF($A152="","",$F152&amp;"")</f>
        <v/>
      </c>
      <c r="Y152" s="94">
        <f>IF($A152="",0,IF(AE152="직접",IF(AF152="비귀속",$P152,0),$P152*(1-AG152)*IFERROR(INDEX(계정대체기준!$F$20:$F$49,MATCH($N152,계정대체기준!$A$20:$A$49,0)),1)))</f>
        <v/>
      </c>
      <c r="Z152" s="94">
        <f>IF($A152="",0,IF(AE152="직접",IF(AF152="신계약비",$P152,0),$P152*(1-AG152)*IFERROR(INDEX(계정대체기준!$C$20:$C$49,MATCH($N152,계정대체기준!$A$20:$A$49,0)),0)))</f>
        <v/>
      </c>
      <c r="AA152" s="94">
        <f>IF($A152="",0,IF(AE152="직접",IF(OR(AF152="유지비",AF152="손해조사비"),$P152,0),$P152*(1-AG152)*IFERROR(INDEX(계정대체기준!$D$20:$D$49,MATCH($N152,계정대체기준!$A$20:$A$49,0)),0)))</f>
        <v/>
      </c>
      <c r="AB152" s="94">
        <f>IF($A152="",0,IF(AE152="직접",IF(AF152="수금비",$P152,0),$P152*(1-AG152)*IFERROR(INDEX(계정대체기준!$E$20:$E$49,MATCH($N152,계정대체기준!$A$20:$A$49,0)),0)))</f>
        <v/>
      </c>
      <c r="AC152" s="9">
        <f>IF(AND($A152&lt;&gt;"",M152=설정!$C$20,Z152&gt;0),Z152+ROW()/1000000000,"")</f>
        <v/>
      </c>
      <c r="AD152" s="94">
        <f>IF($A152="",0,$P152*AG152)</f>
        <v/>
      </c>
      <c r="AE152" s="64">
        <f>IF($A152="","",IFERROR(INDEX(계정매핑!$E$5:$E$504,MATCH($F152&amp;"",계정매핑!$A$5:$A$504,0))&amp;"","공통비"))</f>
        <v/>
      </c>
      <c r="AF152" s="64">
        <f>IF($A152="","",IF(AE152="직접",IFERROR(INDEX(계정매핑!$F$5:$F$504,MATCH($F152&amp;"",계정매핑!$A$5:$A$504,0))&amp;"","비귀속"),""))</f>
        <v/>
      </c>
      <c r="AG152" s="96">
        <f>IF($A152="",0,IF(AND(AE152&lt;&gt;"직접",IFERROR(INDEX(계정매핑!$G$5:$G$504,MATCH($F152&amp;"",계정매핑!$A$5:$A$504,0))&amp;"","")="유지비",COUNTIF(계정대체기준!$A$6:$A$15,$N152)&gt;0),IFERROR(INDEX(계정대체기준!$E$6:$E$15,MATCH(VALUE($A152&amp;""),계정대체기준!$D$6:$D$15,0)),0),0))</f>
        <v/>
      </c>
      <c r="AH152" s="64">
        <f>IF($A152="","",IF(AD152=0,"",IF(OR(COUNTIF(계정대체기준!$A$77:$A$86,$N152)&gt;0,ISNUMBER(MATCH($X152,계정대체기준!$D$77:$D$86,0)),ISNUMBER(MATCH($F152,계정대체기준!$D$77:$D$86,0))),"Y","N")))</f>
        <v/>
      </c>
    </row>
    <row r="153">
      <c r="A153" s="92" t="n">
        <v>2025</v>
      </c>
      <c r="B153" s="92" t="n">
        <v>1</v>
      </c>
      <c r="C153" s="92" t="inlineStr">
        <is>
          <t>5100000149</t>
        </is>
      </c>
      <c r="D153" s="95" t="n">
        <v>45673</v>
      </c>
      <c r="E153" s="92" t="inlineStr">
        <is>
          <t>KR</t>
        </is>
      </c>
      <c r="F153" s="92" t="n">
        <v>62101000</v>
      </c>
      <c r="G153" s="92" t="n">
        <v>1602</v>
      </c>
      <c r="H153" s="93" t="n">
        <v>1506000</v>
      </c>
      <c r="I153" s="92" t="inlineStr">
        <is>
          <t>1월 국내출장 - (법인카드)</t>
        </is>
      </c>
      <c r="J153" s="92" t="inlineStr">
        <is>
          <t>V10010</t>
        </is>
      </c>
      <c r="K153" s="92" t="inlineStr">
        <is>
          <t>(법인카드)</t>
        </is>
      </c>
      <c r="M153" s="9">
        <f>IF($A153="","",VALUE($A153&amp;"")*12+VALUE($B153&amp;""))</f>
        <v/>
      </c>
      <c r="N153" s="64">
        <f>IF($A153="","",IFERROR(INDEX(부서매핑!$C$5:$C$504,MATCH($G153&amp;"",부서매핑!$A$5:$A$504,0)),"미매핑"))</f>
        <v/>
      </c>
      <c r="O153" s="9">
        <f>IF($A153="","",N153&amp;"|"&amp;$F153)</f>
        <v/>
      </c>
      <c r="P153" s="94">
        <f>IF($A153="",0,$H153*설정!$C$23)</f>
        <v/>
      </c>
      <c r="Q153" s="64">
        <f>IF($A153="","",IF(O153&lt;&gt;원인분석!$C$9,"",IF(AND(M153&gt;=원인분석!$C$10,M153&lt;=원인분석!$C$11),"당기",IF(AND(M153&gt;=원인분석!$C$12,M153&lt;=원인분석!$C$13),"비교",""))))</f>
        <v/>
      </c>
      <c r="R153" s="9">
        <f>IF(Q153="","",$K153&amp;"")</f>
        <v/>
      </c>
      <c r="S153" s="9">
        <f>IF(Q153="","",IF(MATCH(R153,$R$5:$R$100000,0)=ROW()-4,ROW(),""))</f>
        <v/>
      </c>
      <c r="T153" s="9">
        <f>IF(Q153="당기",ABS(P153)+ROW()/1000000000,"")</f>
        <v/>
      </c>
      <c r="U153" s="9">
        <f>IF(Q153="비교",ABS(P153)+ROW()/1000000000,"")</f>
        <v/>
      </c>
      <c r="V153" s="64">
        <f>IF($A153="","",IF(COUNTIF(변동분석!$E$7:$E$506,O153)&gt;0,"Y","N"))</f>
        <v/>
      </c>
      <c r="W153" s="64">
        <f>IF($A153="","",IFERROR(INDEX(계정매핑!$D$5:$D$504,MATCH($F153&amp;"",계정매핑!$A$5:$A$504,0)),"미매핑"))</f>
        <v/>
      </c>
      <c r="X153" s="9">
        <f>IF($A153="","",$F153&amp;"")</f>
        <v/>
      </c>
      <c r="Y153" s="94">
        <f>IF($A153="",0,IF(AE153="직접",IF(AF153="비귀속",$P153,0),$P153*(1-AG153)*IFERROR(INDEX(계정대체기준!$F$20:$F$49,MATCH($N153,계정대체기준!$A$20:$A$49,0)),1)))</f>
        <v/>
      </c>
      <c r="Z153" s="94">
        <f>IF($A153="",0,IF(AE153="직접",IF(AF153="신계약비",$P153,0),$P153*(1-AG153)*IFERROR(INDEX(계정대체기준!$C$20:$C$49,MATCH($N153,계정대체기준!$A$20:$A$49,0)),0)))</f>
        <v/>
      </c>
      <c r="AA153" s="94">
        <f>IF($A153="",0,IF(AE153="직접",IF(OR(AF153="유지비",AF153="손해조사비"),$P153,0),$P153*(1-AG153)*IFERROR(INDEX(계정대체기준!$D$20:$D$49,MATCH($N153,계정대체기준!$A$20:$A$49,0)),0)))</f>
        <v/>
      </c>
      <c r="AB153" s="94">
        <f>IF($A153="",0,IF(AE153="직접",IF(AF153="수금비",$P153,0),$P153*(1-AG153)*IFERROR(INDEX(계정대체기준!$E$20:$E$49,MATCH($N153,계정대체기준!$A$20:$A$49,0)),0)))</f>
        <v/>
      </c>
      <c r="AC153" s="9">
        <f>IF(AND($A153&lt;&gt;"",M153=설정!$C$20,Z153&gt;0),Z153+ROW()/1000000000,"")</f>
        <v/>
      </c>
      <c r="AD153" s="94">
        <f>IF($A153="",0,$P153*AG153)</f>
        <v/>
      </c>
      <c r="AE153" s="64">
        <f>IF($A153="","",IFERROR(INDEX(계정매핑!$E$5:$E$504,MATCH($F153&amp;"",계정매핑!$A$5:$A$504,0))&amp;"","공통비"))</f>
        <v/>
      </c>
      <c r="AF153" s="64">
        <f>IF($A153="","",IF(AE153="직접",IFERROR(INDEX(계정매핑!$F$5:$F$504,MATCH($F153&amp;"",계정매핑!$A$5:$A$504,0))&amp;"","비귀속"),""))</f>
        <v/>
      </c>
      <c r="AG153" s="96">
        <f>IF($A153="",0,IF(AND(AE153&lt;&gt;"직접",IFERROR(INDEX(계정매핑!$G$5:$G$504,MATCH($F153&amp;"",계정매핑!$A$5:$A$504,0))&amp;"","")="유지비",COUNTIF(계정대체기준!$A$6:$A$15,$N153)&gt;0),IFERROR(INDEX(계정대체기준!$E$6:$E$15,MATCH(VALUE($A153&amp;""),계정대체기준!$D$6:$D$15,0)),0),0))</f>
        <v/>
      </c>
      <c r="AH153" s="64">
        <f>IF($A153="","",IF(AD153=0,"",IF(OR(COUNTIF(계정대체기준!$A$77:$A$86,$N153)&gt;0,ISNUMBER(MATCH($X153,계정대체기준!$D$77:$D$86,0)),ISNUMBER(MATCH($F153,계정대체기준!$D$77:$D$86,0))),"Y","N")))</f>
        <v/>
      </c>
    </row>
    <row r="154">
      <c r="A154" s="92" t="n">
        <v>2025</v>
      </c>
      <c r="B154" s="92" t="n">
        <v>1</v>
      </c>
      <c r="C154" s="92" t="inlineStr">
        <is>
          <t>5100000150</t>
        </is>
      </c>
      <c r="D154" s="95" t="n">
        <v>45673</v>
      </c>
      <c r="E154" s="92" t="inlineStr">
        <is>
          <t>KR</t>
        </is>
      </c>
      <c r="F154" s="92" t="n">
        <v>62101000</v>
      </c>
      <c r="G154" s="92" t="n">
        <v>1801</v>
      </c>
      <c r="H154" s="93" t="n">
        <v>196000</v>
      </c>
      <c r="I154" s="92" t="inlineStr">
        <is>
          <t>1월 국내출장 - (법인카드)</t>
        </is>
      </c>
      <c r="J154" s="92" t="inlineStr">
        <is>
          <t>V10010</t>
        </is>
      </c>
      <c r="K154" s="92" t="inlineStr">
        <is>
          <t>(법인카드)</t>
        </is>
      </c>
      <c r="M154" s="9">
        <f>IF($A154="","",VALUE($A154&amp;"")*12+VALUE($B154&amp;""))</f>
        <v/>
      </c>
      <c r="N154" s="64">
        <f>IF($A154="","",IFERROR(INDEX(부서매핑!$C$5:$C$504,MATCH($G154&amp;"",부서매핑!$A$5:$A$504,0)),"미매핑"))</f>
        <v/>
      </c>
      <c r="O154" s="9">
        <f>IF($A154="","",N154&amp;"|"&amp;$F154)</f>
        <v/>
      </c>
      <c r="P154" s="94">
        <f>IF($A154="",0,$H154*설정!$C$23)</f>
        <v/>
      </c>
      <c r="Q154" s="64">
        <f>IF($A154="","",IF(O154&lt;&gt;원인분석!$C$9,"",IF(AND(M154&gt;=원인분석!$C$10,M154&lt;=원인분석!$C$11),"당기",IF(AND(M154&gt;=원인분석!$C$12,M154&lt;=원인분석!$C$13),"비교",""))))</f>
        <v/>
      </c>
      <c r="R154" s="9">
        <f>IF(Q154="","",$K154&amp;"")</f>
        <v/>
      </c>
      <c r="S154" s="9">
        <f>IF(Q154="","",IF(MATCH(R154,$R$5:$R$100000,0)=ROW()-4,ROW(),""))</f>
        <v/>
      </c>
      <c r="T154" s="9">
        <f>IF(Q154="당기",ABS(P154)+ROW()/1000000000,"")</f>
        <v/>
      </c>
      <c r="U154" s="9">
        <f>IF(Q154="비교",ABS(P154)+ROW()/1000000000,"")</f>
        <v/>
      </c>
      <c r="V154" s="64">
        <f>IF($A154="","",IF(COUNTIF(변동분석!$E$7:$E$506,O154)&gt;0,"Y","N"))</f>
        <v/>
      </c>
      <c r="W154" s="64">
        <f>IF($A154="","",IFERROR(INDEX(계정매핑!$D$5:$D$504,MATCH($F154&amp;"",계정매핑!$A$5:$A$504,0)),"미매핑"))</f>
        <v/>
      </c>
      <c r="X154" s="9">
        <f>IF($A154="","",$F154&amp;"")</f>
        <v/>
      </c>
      <c r="Y154" s="94">
        <f>IF($A154="",0,IF(AE154="직접",IF(AF154="비귀속",$P154,0),$P154*(1-AG154)*IFERROR(INDEX(계정대체기준!$F$20:$F$49,MATCH($N154,계정대체기준!$A$20:$A$49,0)),1)))</f>
        <v/>
      </c>
      <c r="Z154" s="94">
        <f>IF($A154="",0,IF(AE154="직접",IF(AF154="신계약비",$P154,0),$P154*(1-AG154)*IFERROR(INDEX(계정대체기준!$C$20:$C$49,MATCH($N154,계정대체기준!$A$20:$A$49,0)),0)))</f>
        <v/>
      </c>
      <c r="AA154" s="94">
        <f>IF($A154="",0,IF(AE154="직접",IF(OR(AF154="유지비",AF154="손해조사비"),$P154,0),$P154*(1-AG154)*IFERROR(INDEX(계정대체기준!$D$20:$D$49,MATCH($N154,계정대체기준!$A$20:$A$49,0)),0)))</f>
        <v/>
      </c>
      <c r="AB154" s="94">
        <f>IF($A154="",0,IF(AE154="직접",IF(AF154="수금비",$P154,0),$P154*(1-AG154)*IFERROR(INDEX(계정대체기준!$E$20:$E$49,MATCH($N154,계정대체기준!$A$20:$A$49,0)),0)))</f>
        <v/>
      </c>
      <c r="AC154" s="9">
        <f>IF(AND($A154&lt;&gt;"",M154=설정!$C$20,Z154&gt;0),Z154+ROW()/1000000000,"")</f>
        <v/>
      </c>
      <c r="AD154" s="94">
        <f>IF($A154="",0,$P154*AG154)</f>
        <v/>
      </c>
      <c r="AE154" s="64">
        <f>IF($A154="","",IFERROR(INDEX(계정매핑!$E$5:$E$504,MATCH($F154&amp;"",계정매핑!$A$5:$A$504,0))&amp;"","공통비"))</f>
        <v/>
      </c>
      <c r="AF154" s="64">
        <f>IF($A154="","",IF(AE154="직접",IFERROR(INDEX(계정매핑!$F$5:$F$504,MATCH($F154&amp;"",계정매핑!$A$5:$A$504,0))&amp;"","비귀속"),""))</f>
        <v/>
      </c>
      <c r="AG154" s="96">
        <f>IF($A154="",0,IF(AND(AE154&lt;&gt;"직접",IFERROR(INDEX(계정매핑!$G$5:$G$504,MATCH($F154&amp;"",계정매핑!$A$5:$A$504,0))&amp;"","")="유지비",COUNTIF(계정대체기준!$A$6:$A$15,$N154)&gt;0),IFERROR(INDEX(계정대체기준!$E$6:$E$15,MATCH(VALUE($A154&amp;""),계정대체기준!$D$6:$D$15,0)),0),0))</f>
        <v/>
      </c>
      <c r="AH154" s="64">
        <f>IF($A154="","",IF(AD154=0,"",IF(OR(COUNTIF(계정대체기준!$A$77:$A$86,$N154)&gt;0,ISNUMBER(MATCH($X154,계정대체기준!$D$77:$D$86,0)),ISNUMBER(MATCH($F154,계정대체기준!$D$77:$D$86,0))),"Y","N")))</f>
        <v/>
      </c>
    </row>
    <row r="155">
      <c r="A155" s="92" t="n">
        <v>2025</v>
      </c>
      <c r="B155" s="92" t="n">
        <v>1</v>
      </c>
      <c r="C155" s="92" t="inlineStr">
        <is>
          <t>5100000151</t>
        </is>
      </c>
      <c r="D155" s="95" t="n">
        <v>45673</v>
      </c>
      <c r="E155" s="92" t="inlineStr">
        <is>
          <t>KR</t>
        </is>
      </c>
      <c r="F155" s="92" t="n">
        <v>62102000</v>
      </c>
      <c r="G155" s="92" t="n">
        <v>1401</v>
      </c>
      <c r="H155" s="93" t="n">
        <v>74000</v>
      </c>
      <c r="I155" s="92" t="inlineStr">
        <is>
          <t>1월 해외출장 - M항공</t>
        </is>
      </c>
      <c r="J155" s="92" t="inlineStr">
        <is>
          <t>V10001</t>
        </is>
      </c>
      <c r="K155" s="92" t="inlineStr">
        <is>
          <t>M항공</t>
        </is>
      </c>
      <c r="M155" s="9">
        <f>IF($A155="","",VALUE($A155&amp;"")*12+VALUE($B155&amp;""))</f>
        <v/>
      </c>
      <c r="N155" s="64">
        <f>IF($A155="","",IFERROR(INDEX(부서매핑!$C$5:$C$504,MATCH($G155&amp;"",부서매핑!$A$5:$A$504,0)),"미매핑"))</f>
        <v/>
      </c>
      <c r="O155" s="9">
        <f>IF($A155="","",N155&amp;"|"&amp;$F155)</f>
        <v/>
      </c>
      <c r="P155" s="94">
        <f>IF($A155="",0,$H155*설정!$C$23)</f>
        <v/>
      </c>
      <c r="Q155" s="64">
        <f>IF($A155="","",IF(O155&lt;&gt;원인분석!$C$9,"",IF(AND(M155&gt;=원인분석!$C$10,M155&lt;=원인분석!$C$11),"당기",IF(AND(M155&gt;=원인분석!$C$12,M155&lt;=원인분석!$C$13),"비교",""))))</f>
        <v/>
      </c>
      <c r="R155" s="9">
        <f>IF(Q155="","",$K155&amp;"")</f>
        <v/>
      </c>
      <c r="S155" s="9">
        <f>IF(Q155="","",IF(MATCH(R155,$R$5:$R$100000,0)=ROW()-4,ROW(),""))</f>
        <v/>
      </c>
      <c r="T155" s="9">
        <f>IF(Q155="당기",ABS(P155)+ROW()/1000000000,"")</f>
        <v/>
      </c>
      <c r="U155" s="9">
        <f>IF(Q155="비교",ABS(P155)+ROW()/1000000000,"")</f>
        <v/>
      </c>
      <c r="V155" s="64">
        <f>IF($A155="","",IF(COUNTIF(변동분석!$E$7:$E$506,O155)&gt;0,"Y","N"))</f>
        <v/>
      </c>
      <c r="W155" s="64">
        <f>IF($A155="","",IFERROR(INDEX(계정매핑!$D$5:$D$504,MATCH($F155&amp;"",계정매핑!$A$5:$A$504,0)),"미매핑"))</f>
        <v/>
      </c>
      <c r="X155" s="9">
        <f>IF($A155="","",$F155&amp;"")</f>
        <v/>
      </c>
      <c r="Y155" s="94">
        <f>IF($A155="",0,IF(AE155="직접",IF(AF155="비귀속",$P155,0),$P155*(1-AG155)*IFERROR(INDEX(계정대체기준!$F$20:$F$49,MATCH($N155,계정대체기준!$A$20:$A$49,0)),1)))</f>
        <v/>
      </c>
      <c r="Z155" s="94">
        <f>IF($A155="",0,IF(AE155="직접",IF(AF155="신계약비",$P155,0),$P155*(1-AG155)*IFERROR(INDEX(계정대체기준!$C$20:$C$49,MATCH($N155,계정대체기준!$A$20:$A$49,0)),0)))</f>
        <v/>
      </c>
      <c r="AA155" s="94">
        <f>IF($A155="",0,IF(AE155="직접",IF(OR(AF155="유지비",AF155="손해조사비"),$P155,0),$P155*(1-AG155)*IFERROR(INDEX(계정대체기준!$D$20:$D$49,MATCH($N155,계정대체기준!$A$20:$A$49,0)),0)))</f>
        <v/>
      </c>
      <c r="AB155" s="94">
        <f>IF($A155="",0,IF(AE155="직접",IF(AF155="수금비",$P155,0),$P155*(1-AG155)*IFERROR(INDEX(계정대체기준!$E$20:$E$49,MATCH($N155,계정대체기준!$A$20:$A$49,0)),0)))</f>
        <v/>
      </c>
      <c r="AC155" s="9">
        <f>IF(AND($A155&lt;&gt;"",M155=설정!$C$20,Z155&gt;0),Z155+ROW()/1000000000,"")</f>
        <v/>
      </c>
      <c r="AD155" s="94">
        <f>IF($A155="",0,$P155*AG155)</f>
        <v/>
      </c>
      <c r="AE155" s="64">
        <f>IF($A155="","",IFERROR(INDEX(계정매핑!$E$5:$E$504,MATCH($F155&amp;"",계정매핑!$A$5:$A$504,0))&amp;"","공통비"))</f>
        <v/>
      </c>
      <c r="AF155" s="64">
        <f>IF($A155="","",IF(AE155="직접",IFERROR(INDEX(계정매핑!$F$5:$F$504,MATCH($F155&amp;"",계정매핑!$A$5:$A$504,0))&amp;"","비귀속"),""))</f>
        <v/>
      </c>
      <c r="AG155" s="96">
        <f>IF($A155="",0,IF(AND(AE155&lt;&gt;"직접",IFERROR(INDEX(계정매핑!$G$5:$G$504,MATCH($F155&amp;"",계정매핑!$A$5:$A$504,0))&amp;"","")="유지비",COUNTIF(계정대체기준!$A$6:$A$15,$N155)&gt;0),IFERROR(INDEX(계정대체기준!$E$6:$E$15,MATCH(VALUE($A155&amp;""),계정대체기준!$D$6:$D$15,0)),0),0))</f>
        <v/>
      </c>
      <c r="AH155" s="64">
        <f>IF($A155="","",IF(AD155=0,"",IF(OR(COUNTIF(계정대체기준!$A$77:$A$86,$N155)&gt;0,ISNUMBER(MATCH($X155,계정대체기준!$D$77:$D$86,0)),ISNUMBER(MATCH($F155,계정대체기준!$D$77:$D$86,0))),"Y","N")))</f>
        <v/>
      </c>
    </row>
    <row r="156">
      <c r="A156" s="92" t="n">
        <v>2025</v>
      </c>
      <c r="B156" s="92" t="n">
        <v>1</v>
      </c>
      <c r="C156" s="92" t="inlineStr">
        <is>
          <t>5100000152</t>
        </is>
      </c>
      <c r="D156" s="95" t="n">
        <v>45673</v>
      </c>
      <c r="E156" s="92" t="inlineStr">
        <is>
          <t>KR</t>
        </is>
      </c>
      <c r="F156" s="92" t="n">
        <v>62102000</v>
      </c>
      <c r="G156" s="92" t="n">
        <v>1951</v>
      </c>
      <c r="H156" s="93" t="n">
        <v>41000</v>
      </c>
      <c r="I156" s="92" t="inlineStr">
        <is>
          <t>1월 해외출장 - M항공</t>
        </is>
      </c>
      <c r="J156" s="92" t="inlineStr">
        <is>
          <t>V10001</t>
        </is>
      </c>
      <c r="K156" s="92" t="inlineStr">
        <is>
          <t>M항공</t>
        </is>
      </c>
      <c r="M156" s="9">
        <f>IF($A156="","",VALUE($A156&amp;"")*12+VALUE($B156&amp;""))</f>
        <v/>
      </c>
      <c r="N156" s="64">
        <f>IF($A156="","",IFERROR(INDEX(부서매핑!$C$5:$C$504,MATCH($G156&amp;"",부서매핑!$A$5:$A$504,0)),"미매핑"))</f>
        <v/>
      </c>
      <c r="O156" s="9">
        <f>IF($A156="","",N156&amp;"|"&amp;$F156)</f>
        <v/>
      </c>
      <c r="P156" s="94">
        <f>IF($A156="",0,$H156*설정!$C$23)</f>
        <v/>
      </c>
      <c r="Q156" s="64">
        <f>IF($A156="","",IF(O156&lt;&gt;원인분석!$C$9,"",IF(AND(M156&gt;=원인분석!$C$10,M156&lt;=원인분석!$C$11),"당기",IF(AND(M156&gt;=원인분석!$C$12,M156&lt;=원인분석!$C$13),"비교",""))))</f>
        <v/>
      </c>
      <c r="R156" s="9">
        <f>IF(Q156="","",$K156&amp;"")</f>
        <v/>
      </c>
      <c r="S156" s="9">
        <f>IF(Q156="","",IF(MATCH(R156,$R$5:$R$100000,0)=ROW()-4,ROW(),""))</f>
        <v/>
      </c>
      <c r="T156" s="9">
        <f>IF(Q156="당기",ABS(P156)+ROW()/1000000000,"")</f>
        <v/>
      </c>
      <c r="U156" s="9">
        <f>IF(Q156="비교",ABS(P156)+ROW()/1000000000,"")</f>
        <v/>
      </c>
      <c r="V156" s="64">
        <f>IF($A156="","",IF(COUNTIF(변동분석!$E$7:$E$506,O156)&gt;0,"Y","N"))</f>
        <v/>
      </c>
      <c r="W156" s="64">
        <f>IF($A156="","",IFERROR(INDEX(계정매핑!$D$5:$D$504,MATCH($F156&amp;"",계정매핑!$A$5:$A$504,0)),"미매핑"))</f>
        <v/>
      </c>
      <c r="X156" s="9">
        <f>IF($A156="","",$F156&amp;"")</f>
        <v/>
      </c>
      <c r="Y156" s="94">
        <f>IF($A156="",0,IF(AE156="직접",IF(AF156="비귀속",$P156,0),$P156*(1-AG156)*IFERROR(INDEX(계정대체기준!$F$20:$F$49,MATCH($N156,계정대체기준!$A$20:$A$49,0)),1)))</f>
        <v/>
      </c>
      <c r="Z156" s="94">
        <f>IF($A156="",0,IF(AE156="직접",IF(AF156="신계약비",$P156,0),$P156*(1-AG156)*IFERROR(INDEX(계정대체기준!$C$20:$C$49,MATCH($N156,계정대체기준!$A$20:$A$49,0)),0)))</f>
        <v/>
      </c>
      <c r="AA156" s="94">
        <f>IF($A156="",0,IF(AE156="직접",IF(OR(AF156="유지비",AF156="손해조사비"),$P156,0),$P156*(1-AG156)*IFERROR(INDEX(계정대체기준!$D$20:$D$49,MATCH($N156,계정대체기준!$A$20:$A$49,0)),0)))</f>
        <v/>
      </c>
      <c r="AB156" s="94">
        <f>IF($A156="",0,IF(AE156="직접",IF(AF156="수금비",$P156,0),$P156*(1-AG156)*IFERROR(INDEX(계정대체기준!$E$20:$E$49,MATCH($N156,계정대체기준!$A$20:$A$49,0)),0)))</f>
        <v/>
      </c>
      <c r="AC156" s="9">
        <f>IF(AND($A156&lt;&gt;"",M156=설정!$C$20,Z156&gt;0),Z156+ROW()/1000000000,"")</f>
        <v/>
      </c>
      <c r="AD156" s="94">
        <f>IF($A156="",0,$P156*AG156)</f>
        <v/>
      </c>
      <c r="AE156" s="64">
        <f>IF($A156="","",IFERROR(INDEX(계정매핑!$E$5:$E$504,MATCH($F156&amp;"",계정매핑!$A$5:$A$504,0))&amp;"","공통비"))</f>
        <v/>
      </c>
      <c r="AF156" s="64">
        <f>IF($A156="","",IF(AE156="직접",IFERROR(INDEX(계정매핑!$F$5:$F$504,MATCH($F156&amp;"",계정매핑!$A$5:$A$504,0))&amp;"","비귀속"),""))</f>
        <v/>
      </c>
      <c r="AG156" s="96">
        <f>IF($A156="",0,IF(AND(AE156&lt;&gt;"직접",IFERROR(INDEX(계정매핑!$G$5:$G$504,MATCH($F156&amp;"",계정매핑!$A$5:$A$504,0))&amp;"","")="유지비",COUNTIF(계정대체기준!$A$6:$A$15,$N156)&gt;0),IFERROR(INDEX(계정대체기준!$E$6:$E$15,MATCH(VALUE($A156&amp;""),계정대체기준!$D$6:$D$15,0)),0),0))</f>
        <v/>
      </c>
      <c r="AH156" s="64">
        <f>IF($A156="","",IF(AD156=0,"",IF(OR(COUNTIF(계정대체기준!$A$77:$A$86,$N156)&gt;0,ISNUMBER(MATCH($X156,계정대체기준!$D$77:$D$86,0)),ISNUMBER(MATCH($F156,계정대체기준!$D$77:$D$86,0))),"Y","N")))</f>
        <v/>
      </c>
    </row>
    <row r="157">
      <c r="A157" s="92" t="n">
        <v>2025</v>
      </c>
      <c r="B157" s="92" t="n">
        <v>1</v>
      </c>
      <c r="C157" s="92" t="inlineStr">
        <is>
          <t>5100000153</t>
        </is>
      </c>
      <c r="D157" s="95" t="n">
        <v>45673</v>
      </c>
      <c r="E157" s="92" t="inlineStr">
        <is>
          <t>KR</t>
        </is>
      </c>
      <c r="F157" s="92" t="n">
        <v>62201000</v>
      </c>
      <c r="G157" s="92" t="n">
        <v>1601</v>
      </c>
      <c r="H157" s="93" t="n">
        <v>578000</v>
      </c>
      <c r="I157" s="92" t="inlineStr">
        <is>
          <t>1월 통신요금 - P통신</t>
        </is>
      </c>
      <c r="J157" s="92" t="inlineStr">
        <is>
          <t>V10014</t>
        </is>
      </c>
      <c r="K157" s="92" t="inlineStr">
        <is>
          <t>P통신</t>
        </is>
      </c>
      <c r="M157" s="9">
        <f>IF($A157="","",VALUE($A157&amp;"")*12+VALUE($B157&amp;""))</f>
        <v/>
      </c>
      <c r="N157" s="64">
        <f>IF($A157="","",IFERROR(INDEX(부서매핑!$C$5:$C$504,MATCH($G157&amp;"",부서매핑!$A$5:$A$504,0)),"미매핑"))</f>
        <v/>
      </c>
      <c r="O157" s="9">
        <f>IF($A157="","",N157&amp;"|"&amp;$F157)</f>
        <v/>
      </c>
      <c r="P157" s="94">
        <f>IF($A157="",0,$H157*설정!$C$23)</f>
        <v/>
      </c>
      <c r="Q157" s="64">
        <f>IF($A157="","",IF(O157&lt;&gt;원인분석!$C$9,"",IF(AND(M157&gt;=원인분석!$C$10,M157&lt;=원인분석!$C$11),"당기",IF(AND(M157&gt;=원인분석!$C$12,M157&lt;=원인분석!$C$13),"비교",""))))</f>
        <v/>
      </c>
      <c r="R157" s="9">
        <f>IF(Q157="","",$K157&amp;"")</f>
        <v/>
      </c>
      <c r="S157" s="9">
        <f>IF(Q157="","",IF(MATCH(R157,$R$5:$R$100000,0)=ROW()-4,ROW(),""))</f>
        <v/>
      </c>
      <c r="T157" s="9">
        <f>IF(Q157="당기",ABS(P157)+ROW()/1000000000,"")</f>
        <v/>
      </c>
      <c r="U157" s="9">
        <f>IF(Q157="비교",ABS(P157)+ROW()/1000000000,"")</f>
        <v/>
      </c>
      <c r="V157" s="64">
        <f>IF($A157="","",IF(COUNTIF(변동분석!$E$7:$E$506,O157)&gt;0,"Y","N"))</f>
        <v/>
      </c>
      <c r="W157" s="64">
        <f>IF($A157="","",IFERROR(INDEX(계정매핑!$D$5:$D$504,MATCH($F157&amp;"",계정매핑!$A$5:$A$504,0)),"미매핑"))</f>
        <v/>
      </c>
      <c r="X157" s="9">
        <f>IF($A157="","",$F157&amp;"")</f>
        <v/>
      </c>
      <c r="Y157" s="94">
        <f>IF($A157="",0,IF(AE157="직접",IF(AF157="비귀속",$P157,0),$P157*(1-AG157)*IFERROR(INDEX(계정대체기준!$F$20:$F$49,MATCH($N157,계정대체기준!$A$20:$A$49,0)),1)))</f>
        <v/>
      </c>
      <c r="Z157" s="94">
        <f>IF($A157="",0,IF(AE157="직접",IF(AF157="신계약비",$P157,0),$P157*(1-AG157)*IFERROR(INDEX(계정대체기준!$C$20:$C$49,MATCH($N157,계정대체기준!$A$20:$A$49,0)),0)))</f>
        <v/>
      </c>
      <c r="AA157" s="94">
        <f>IF($A157="",0,IF(AE157="직접",IF(OR(AF157="유지비",AF157="손해조사비"),$P157,0),$P157*(1-AG157)*IFERROR(INDEX(계정대체기준!$D$20:$D$49,MATCH($N157,계정대체기준!$A$20:$A$49,0)),0)))</f>
        <v/>
      </c>
      <c r="AB157" s="94">
        <f>IF($A157="",0,IF(AE157="직접",IF(AF157="수금비",$P157,0),$P157*(1-AG157)*IFERROR(INDEX(계정대체기준!$E$20:$E$49,MATCH($N157,계정대체기준!$A$20:$A$49,0)),0)))</f>
        <v/>
      </c>
      <c r="AC157" s="9">
        <f>IF(AND($A157&lt;&gt;"",M157=설정!$C$20,Z157&gt;0),Z157+ROW()/1000000000,"")</f>
        <v/>
      </c>
      <c r="AD157" s="94">
        <f>IF($A157="",0,$P157*AG157)</f>
        <v/>
      </c>
      <c r="AE157" s="64">
        <f>IF($A157="","",IFERROR(INDEX(계정매핑!$E$5:$E$504,MATCH($F157&amp;"",계정매핑!$A$5:$A$504,0))&amp;"","공통비"))</f>
        <v/>
      </c>
      <c r="AF157" s="64">
        <f>IF($A157="","",IF(AE157="직접",IFERROR(INDEX(계정매핑!$F$5:$F$504,MATCH($F157&amp;"",계정매핑!$A$5:$A$504,0))&amp;"","비귀속"),""))</f>
        <v/>
      </c>
      <c r="AG157" s="96">
        <f>IF($A157="",0,IF(AND(AE157&lt;&gt;"직접",IFERROR(INDEX(계정매핑!$G$5:$G$504,MATCH($F157&amp;"",계정매핑!$A$5:$A$504,0))&amp;"","")="유지비",COUNTIF(계정대체기준!$A$6:$A$15,$N157)&gt;0),IFERROR(INDEX(계정대체기준!$E$6:$E$15,MATCH(VALUE($A157&amp;""),계정대체기준!$D$6:$D$15,0)),0),0))</f>
        <v/>
      </c>
      <c r="AH157" s="64">
        <f>IF($A157="","",IF(AD157=0,"",IF(OR(COUNTIF(계정대체기준!$A$77:$A$86,$N157)&gt;0,ISNUMBER(MATCH($X157,계정대체기준!$D$77:$D$86,0)),ISNUMBER(MATCH($F157,계정대체기준!$D$77:$D$86,0))),"Y","N")))</f>
        <v/>
      </c>
    </row>
    <row r="158">
      <c r="A158" s="92" t="n">
        <v>2025</v>
      </c>
      <c r="B158" s="92" t="n">
        <v>1</v>
      </c>
      <c r="C158" s="92" t="inlineStr">
        <is>
          <t>5100000154</t>
        </is>
      </c>
      <c r="D158" s="95" t="n">
        <v>45673</v>
      </c>
      <c r="E158" s="92" t="inlineStr">
        <is>
          <t>KR</t>
        </is>
      </c>
      <c r="F158" s="92" t="n">
        <v>62301000</v>
      </c>
      <c r="G158" s="92" t="n">
        <v>1601</v>
      </c>
      <c r="H158" s="93" t="n">
        <v>367000</v>
      </c>
      <c r="I158" s="92" t="inlineStr">
        <is>
          <t>1월 소모품 구입 - R문구</t>
        </is>
      </c>
      <c r="J158" s="92" t="inlineStr">
        <is>
          <t>V10022</t>
        </is>
      </c>
      <c r="K158" s="92" t="inlineStr">
        <is>
          <t>R문구</t>
        </is>
      </c>
      <c r="M158" s="9">
        <f>IF($A158="","",VALUE($A158&amp;"")*12+VALUE($B158&amp;""))</f>
        <v/>
      </c>
      <c r="N158" s="64">
        <f>IF($A158="","",IFERROR(INDEX(부서매핑!$C$5:$C$504,MATCH($G158&amp;"",부서매핑!$A$5:$A$504,0)),"미매핑"))</f>
        <v/>
      </c>
      <c r="O158" s="9">
        <f>IF($A158="","",N158&amp;"|"&amp;$F158)</f>
        <v/>
      </c>
      <c r="P158" s="94">
        <f>IF($A158="",0,$H158*설정!$C$23)</f>
        <v/>
      </c>
      <c r="Q158" s="64">
        <f>IF($A158="","",IF(O158&lt;&gt;원인분석!$C$9,"",IF(AND(M158&gt;=원인분석!$C$10,M158&lt;=원인분석!$C$11),"당기",IF(AND(M158&gt;=원인분석!$C$12,M158&lt;=원인분석!$C$13),"비교",""))))</f>
        <v/>
      </c>
      <c r="R158" s="9">
        <f>IF(Q158="","",$K158&amp;"")</f>
        <v/>
      </c>
      <c r="S158" s="9">
        <f>IF(Q158="","",IF(MATCH(R158,$R$5:$R$100000,0)=ROW()-4,ROW(),""))</f>
        <v/>
      </c>
      <c r="T158" s="9">
        <f>IF(Q158="당기",ABS(P158)+ROW()/1000000000,"")</f>
        <v/>
      </c>
      <c r="U158" s="9">
        <f>IF(Q158="비교",ABS(P158)+ROW()/1000000000,"")</f>
        <v/>
      </c>
      <c r="V158" s="64">
        <f>IF($A158="","",IF(COUNTIF(변동분석!$E$7:$E$506,O158)&gt;0,"Y","N"))</f>
        <v/>
      </c>
      <c r="W158" s="64">
        <f>IF($A158="","",IFERROR(INDEX(계정매핑!$D$5:$D$504,MATCH($F158&amp;"",계정매핑!$A$5:$A$504,0)),"미매핑"))</f>
        <v/>
      </c>
      <c r="X158" s="9">
        <f>IF($A158="","",$F158&amp;"")</f>
        <v/>
      </c>
      <c r="Y158" s="94">
        <f>IF($A158="",0,IF(AE158="직접",IF(AF158="비귀속",$P158,0),$P158*(1-AG158)*IFERROR(INDEX(계정대체기준!$F$20:$F$49,MATCH($N158,계정대체기준!$A$20:$A$49,0)),1)))</f>
        <v/>
      </c>
      <c r="Z158" s="94">
        <f>IF($A158="",0,IF(AE158="직접",IF(AF158="신계약비",$P158,0),$P158*(1-AG158)*IFERROR(INDEX(계정대체기준!$C$20:$C$49,MATCH($N158,계정대체기준!$A$20:$A$49,0)),0)))</f>
        <v/>
      </c>
      <c r="AA158" s="94">
        <f>IF($A158="",0,IF(AE158="직접",IF(OR(AF158="유지비",AF158="손해조사비"),$P158,0),$P158*(1-AG158)*IFERROR(INDEX(계정대체기준!$D$20:$D$49,MATCH($N158,계정대체기준!$A$20:$A$49,0)),0)))</f>
        <v/>
      </c>
      <c r="AB158" s="94">
        <f>IF($A158="",0,IF(AE158="직접",IF(AF158="수금비",$P158,0),$P158*(1-AG158)*IFERROR(INDEX(계정대체기준!$E$20:$E$49,MATCH($N158,계정대체기준!$A$20:$A$49,0)),0)))</f>
        <v/>
      </c>
      <c r="AC158" s="9">
        <f>IF(AND($A158&lt;&gt;"",M158=설정!$C$20,Z158&gt;0),Z158+ROW()/1000000000,"")</f>
        <v/>
      </c>
      <c r="AD158" s="94">
        <f>IF($A158="",0,$P158*AG158)</f>
        <v/>
      </c>
      <c r="AE158" s="64">
        <f>IF($A158="","",IFERROR(INDEX(계정매핑!$E$5:$E$504,MATCH($F158&amp;"",계정매핑!$A$5:$A$504,0))&amp;"","공통비"))</f>
        <v/>
      </c>
      <c r="AF158" s="64">
        <f>IF($A158="","",IF(AE158="직접",IFERROR(INDEX(계정매핑!$F$5:$F$504,MATCH($F158&amp;"",계정매핑!$A$5:$A$504,0))&amp;"","비귀속"),""))</f>
        <v/>
      </c>
      <c r="AG158" s="96">
        <f>IF($A158="",0,IF(AND(AE158&lt;&gt;"직접",IFERROR(INDEX(계정매핑!$G$5:$G$504,MATCH($F158&amp;"",계정매핑!$A$5:$A$504,0))&amp;"","")="유지비",COUNTIF(계정대체기준!$A$6:$A$15,$N158)&gt;0),IFERROR(INDEX(계정대체기준!$E$6:$E$15,MATCH(VALUE($A158&amp;""),계정대체기준!$D$6:$D$15,0)),0),0))</f>
        <v/>
      </c>
      <c r="AH158" s="64">
        <f>IF($A158="","",IF(AD158=0,"",IF(OR(COUNTIF(계정대체기준!$A$77:$A$86,$N158)&gt;0,ISNUMBER(MATCH($X158,계정대체기준!$D$77:$D$86,0)),ISNUMBER(MATCH($F158,계정대체기준!$D$77:$D$86,0))),"Y","N")))</f>
        <v/>
      </c>
    </row>
    <row r="159">
      <c r="A159" s="92" t="n">
        <v>2025</v>
      </c>
      <c r="B159" s="92" t="n">
        <v>1</v>
      </c>
      <c r="C159" s="92" t="inlineStr">
        <is>
          <t>5100000155</t>
        </is>
      </c>
      <c r="D159" s="95" t="n">
        <v>45673</v>
      </c>
      <c r="E159" s="92" t="inlineStr">
        <is>
          <t>KR</t>
        </is>
      </c>
      <c r="F159" s="92" t="n">
        <v>62601000</v>
      </c>
      <c r="G159" s="92" t="n">
        <v>1601</v>
      </c>
      <c r="H159" s="93" t="n">
        <v>1750000</v>
      </c>
      <c r="I159" s="92" t="inlineStr">
        <is>
          <t>1월 업무추진 - (법인카드)</t>
        </is>
      </c>
      <c r="J159" s="92" t="inlineStr">
        <is>
          <t>V10010</t>
        </is>
      </c>
      <c r="K159" s="92" t="inlineStr">
        <is>
          <t>(법인카드)</t>
        </is>
      </c>
      <c r="M159" s="9">
        <f>IF($A159="","",VALUE($A159&amp;"")*12+VALUE($B159&amp;""))</f>
        <v/>
      </c>
      <c r="N159" s="64">
        <f>IF($A159="","",IFERROR(INDEX(부서매핑!$C$5:$C$504,MATCH($G159&amp;"",부서매핑!$A$5:$A$504,0)),"미매핑"))</f>
        <v/>
      </c>
      <c r="O159" s="9">
        <f>IF($A159="","",N159&amp;"|"&amp;$F159)</f>
        <v/>
      </c>
      <c r="P159" s="94">
        <f>IF($A159="",0,$H159*설정!$C$23)</f>
        <v/>
      </c>
      <c r="Q159" s="64">
        <f>IF($A159="","",IF(O159&lt;&gt;원인분석!$C$9,"",IF(AND(M159&gt;=원인분석!$C$10,M159&lt;=원인분석!$C$11),"당기",IF(AND(M159&gt;=원인분석!$C$12,M159&lt;=원인분석!$C$13),"비교",""))))</f>
        <v/>
      </c>
      <c r="R159" s="9">
        <f>IF(Q159="","",$K159&amp;"")</f>
        <v/>
      </c>
      <c r="S159" s="9">
        <f>IF(Q159="","",IF(MATCH(R159,$R$5:$R$100000,0)=ROW()-4,ROW(),""))</f>
        <v/>
      </c>
      <c r="T159" s="9">
        <f>IF(Q159="당기",ABS(P159)+ROW()/1000000000,"")</f>
        <v/>
      </c>
      <c r="U159" s="9">
        <f>IF(Q159="비교",ABS(P159)+ROW()/1000000000,"")</f>
        <v/>
      </c>
      <c r="V159" s="64">
        <f>IF($A159="","",IF(COUNTIF(변동분석!$E$7:$E$506,O159)&gt;0,"Y","N"))</f>
        <v/>
      </c>
      <c r="W159" s="64">
        <f>IF($A159="","",IFERROR(INDEX(계정매핑!$D$5:$D$504,MATCH($F159&amp;"",계정매핑!$A$5:$A$504,0)),"미매핑"))</f>
        <v/>
      </c>
      <c r="X159" s="9">
        <f>IF($A159="","",$F159&amp;"")</f>
        <v/>
      </c>
      <c r="Y159" s="94">
        <f>IF($A159="",0,IF(AE159="직접",IF(AF159="비귀속",$P159,0),$P159*(1-AG159)*IFERROR(INDEX(계정대체기준!$F$20:$F$49,MATCH($N159,계정대체기준!$A$20:$A$49,0)),1)))</f>
        <v/>
      </c>
      <c r="Z159" s="94">
        <f>IF($A159="",0,IF(AE159="직접",IF(AF159="신계약비",$P159,0),$P159*(1-AG159)*IFERROR(INDEX(계정대체기준!$C$20:$C$49,MATCH($N159,계정대체기준!$A$20:$A$49,0)),0)))</f>
        <v/>
      </c>
      <c r="AA159" s="94">
        <f>IF($A159="",0,IF(AE159="직접",IF(OR(AF159="유지비",AF159="손해조사비"),$P159,0),$P159*(1-AG159)*IFERROR(INDEX(계정대체기준!$D$20:$D$49,MATCH($N159,계정대체기준!$A$20:$A$49,0)),0)))</f>
        <v/>
      </c>
      <c r="AB159" s="94">
        <f>IF($A159="",0,IF(AE159="직접",IF(AF159="수금비",$P159,0),$P159*(1-AG159)*IFERROR(INDEX(계정대체기준!$E$20:$E$49,MATCH($N159,계정대체기준!$A$20:$A$49,0)),0)))</f>
        <v/>
      </c>
      <c r="AC159" s="9">
        <f>IF(AND($A159&lt;&gt;"",M159=설정!$C$20,Z159&gt;0),Z159+ROW()/1000000000,"")</f>
        <v/>
      </c>
      <c r="AD159" s="94">
        <f>IF($A159="",0,$P159*AG159)</f>
        <v/>
      </c>
      <c r="AE159" s="64">
        <f>IF($A159="","",IFERROR(INDEX(계정매핑!$E$5:$E$504,MATCH($F159&amp;"",계정매핑!$A$5:$A$504,0))&amp;"","공통비"))</f>
        <v/>
      </c>
      <c r="AF159" s="64">
        <f>IF($A159="","",IF(AE159="직접",IFERROR(INDEX(계정매핑!$F$5:$F$504,MATCH($F159&amp;"",계정매핑!$A$5:$A$504,0))&amp;"","비귀속"),""))</f>
        <v/>
      </c>
      <c r="AG159" s="96">
        <f>IF($A159="",0,IF(AND(AE159&lt;&gt;"직접",IFERROR(INDEX(계정매핑!$G$5:$G$504,MATCH($F159&amp;"",계정매핑!$A$5:$A$504,0))&amp;"","")="유지비",COUNTIF(계정대체기준!$A$6:$A$15,$N159)&gt;0),IFERROR(INDEX(계정대체기준!$E$6:$E$15,MATCH(VALUE($A159&amp;""),계정대체기준!$D$6:$D$15,0)),0),0))</f>
        <v/>
      </c>
      <c r="AH159" s="64">
        <f>IF($A159="","",IF(AD159=0,"",IF(OR(COUNTIF(계정대체기준!$A$77:$A$86,$N159)&gt;0,ISNUMBER(MATCH($X159,계정대체기준!$D$77:$D$86,0)),ISNUMBER(MATCH($F159,계정대체기준!$D$77:$D$86,0))),"Y","N")))</f>
        <v/>
      </c>
    </row>
    <row r="160">
      <c r="A160" s="92" t="n">
        <v>2025</v>
      </c>
      <c r="B160" s="92" t="n">
        <v>1</v>
      </c>
      <c r="C160" s="92" t="inlineStr">
        <is>
          <t>5100000156</t>
        </is>
      </c>
      <c r="D160" s="95" t="n">
        <v>45673</v>
      </c>
      <c r="E160" s="92" t="inlineStr">
        <is>
          <t>KR</t>
        </is>
      </c>
      <c r="F160" s="92" t="n">
        <v>62701000</v>
      </c>
      <c r="G160" s="92" t="n">
        <v>1502</v>
      </c>
      <c r="H160" s="93" t="n">
        <v>44314000</v>
      </c>
      <c r="I160" s="92" t="inlineStr">
        <is>
          <t>1월 광고 집행 - F애드</t>
        </is>
      </c>
      <c r="J160" s="92" t="inlineStr">
        <is>
          <t>V10023</t>
        </is>
      </c>
      <c r="K160" s="92" t="inlineStr">
        <is>
          <t>F애드</t>
        </is>
      </c>
      <c r="M160" s="9">
        <f>IF($A160="","",VALUE($A160&amp;"")*12+VALUE($B160&amp;""))</f>
        <v/>
      </c>
      <c r="N160" s="64">
        <f>IF($A160="","",IFERROR(INDEX(부서매핑!$C$5:$C$504,MATCH($G160&amp;"",부서매핑!$A$5:$A$504,0)),"미매핑"))</f>
        <v/>
      </c>
      <c r="O160" s="9">
        <f>IF($A160="","",N160&amp;"|"&amp;$F160)</f>
        <v/>
      </c>
      <c r="P160" s="94">
        <f>IF($A160="",0,$H160*설정!$C$23)</f>
        <v/>
      </c>
      <c r="Q160" s="64">
        <f>IF($A160="","",IF(O160&lt;&gt;원인분석!$C$9,"",IF(AND(M160&gt;=원인분석!$C$10,M160&lt;=원인분석!$C$11),"당기",IF(AND(M160&gt;=원인분석!$C$12,M160&lt;=원인분석!$C$13),"비교",""))))</f>
        <v/>
      </c>
      <c r="R160" s="9">
        <f>IF(Q160="","",$K160&amp;"")</f>
        <v/>
      </c>
      <c r="S160" s="9">
        <f>IF(Q160="","",IF(MATCH(R160,$R$5:$R$100000,0)=ROW()-4,ROW(),""))</f>
        <v/>
      </c>
      <c r="T160" s="9">
        <f>IF(Q160="당기",ABS(P160)+ROW()/1000000000,"")</f>
        <v/>
      </c>
      <c r="U160" s="9">
        <f>IF(Q160="비교",ABS(P160)+ROW()/1000000000,"")</f>
        <v/>
      </c>
      <c r="V160" s="64">
        <f>IF($A160="","",IF(COUNTIF(변동분석!$E$7:$E$506,O160)&gt;0,"Y","N"))</f>
        <v/>
      </c>
      <c r="W160" s="64">
        <f>IF($A160="","",IFERROR(INDEX(계정매핑!$D$5:$D$504,MATCH($F160&amp;"",계정매핑!$A$5:$A$504,0)),"미매핑"))</f>
        <v/>
      </c>
      <c r="X160" s="9">
        <f>IF($A160="","",$F160&amp;"")</f>
        <v/>
      </c>
      <c r="Y160" s="94">
        <f>IF($A160="",0,IF(AE160="직접",IF(AF160="비귀속",$P160,0),$P160*(1-AG160)*IFERROR(INDEX(계정대체기준!$F$20:$F$49,MATCH($N160,계정대체기준!$A$20:$A$49,0)),1)))</f>
        <v/>
      </c>
      <c r="Z160" s="94">
        <f>IF($A160="",0,IF(AE160="직접",IF(AF160="신계약비",$P160,0),$P160*(1-AG160)*IFERROR(INDEX(계정대체기준!$C$20:$C$49,MATCH($N160,계정대체기준!$A$20:$A$49,0)),0)))</f>
        <v/>
      </c>
      <c r="AA160" s="94">
        <f>IF($A160="",0,IF(AE160="직접",IF(OR(AF160="유지비",AF160="손해조사비"),$P160,0),$P160*(1-AG160)*IFERROR(INDEX(계정대체기준!$D$20:$D$49,MATCH($N160,계정대체기준!$A$20:$A$49,0)),0)))</f>
        <v/>
      </c>
      <c r="AB160" s="94">
        <f>IF($A160="",0,IF(AE160="직접",IF(AF160="수금비",$P160,0),$P160*(1-AG160)*IFERROR(INDEX(계정대체기준!$E$20:$E$49,MATCH($N160,계정대체기준!$A$20:$A$49,0)),0)))</f>
        <v/>
      </c>
      <c r="AC160" s="9">
        <f>IF(AND($A160&lt;&gt;"",M160=설정!$C$20,Z160&gt;0),Z160+ROW()/1000000000,"")</f>
        <v/>
      </c>
      <c r="AD160" s="94">
        <f>IF($A160="",0,$P160*AG160)</f>
        <v/>
      </c>
      <c r="AE160" s="64">
        <f>IF($A160="","",IFERROR(INDEX(계정매핑!$E$5:$E$504,MATCH($F160&amp;"",계정매핑!$A$5:$A$504,0))&amp;"","공통비"))</f>
        <v/>
      </c>
      <c r="AF160" s="64">
        <f>IF($A160="","",IF(AE160="직접",IFERROR(INDEX(계정매핑!$F$5:$F$504,MATCH($F160&amp;"",계정매핑!$A$5:$A$504,0))&amp;"","비귀속"),""))</f>
        <v/>
      </c>
      <c r="AG160" s="96">
        <f>IF($A160="",0,IF(AND(AE160&lt;&gt;"직접",IFERROR(INDEX(계정매핑!$G$5:$G$504,MATCH($F160&amp;"",계정매핑!$A$5:$A$504,0))&amp;"","")="유지비",COUNTIF(계정대체기준!$A$6:$A$15,$N160)&gt;0),IFERROR(INDEX(계정대체기준!$E$6:$E$15,MATCH(VALUE($A160&amp;""),계정대체기준!$D$6:$D$15,0)),0),0))</f>
        <v/>
      </c>
      <c r="AH160" s="64">
        <f>IF($A160="","",IF(AD160=0,"",IF(OR(COUNTIF(계정대체기준!$A$77:$A$86,$N160)&gt;0,ISNUMBER(MATCH($X160,계정대체기준!$D$77:$D$86,0)),ISNUMBER(MATCH($F160,계정대체기준!$D$77:$D$86,0))),"Y","N")))</f>
        <v/>
      </c>
    </row>
    <row r="161">
      <c r="A161" s="92" t="n">
        <v>2025</v>
      </c>
      <c r="B161" s="92" t="n">
        <v>1</v>
      </c>
      <c r="C161" s="92" t="inlineStr">
        <is>
          <t>5100000157</t>
        </is>
      </c>
      <c r="D161" s="95" t="n">
        <v>45673</v>
      </c>
      <c r="E161" s="92" t="inlineStr">
        <is>
          <t>KR</t>
        </is>
      </c>
      <c r="F161" s="92" t="n">
        <v>62802000</v>
      </c>
      <c r="G161" s="92" t="n">
        <v>1301</v>
      </c>
      <c r="H161" s="93" t="n">
        <v>3941000</v>
      </c>
      <c r="I161" s="92" t="inlineStr">
        <is>
          <t>1월 위탁교육 - V아카데미</t>
        </is>
      </c>
      <c r="J161" s="92" t="inlineStr">
        <is>
          <t>V10027</t>
        </is>
      </c>
      <c r="K161" s="92" t="inlineStr">
        <is>
          <t>V아카데미</t>
        </is>
      </c>
      <c r="M161" s="9">
        <f>IF($A161="","",VALUE($A161&amp;"")*12+VALUE($B161&amp;""))</f>
        <v/>
      </c>
      <c r="N161" s="64">
        <f>IF($A161="","",IFERROR(INDEX(부서매핑!$C$5:$C$504,MATCH($G161&amp;"",부서매핑!$A$5:$A$504,0)),"미매핑"))</f>
        <v/>
      </c>
      <c r="O161" s="9">
        <f>IF($A161="","",N161&amp;"|"&amp;$F161)</f>
        <v/>
      </c>
      <c r="P161" s="94">
        <f>IF($A161="",0,$H161*설정!$C$23)</f>
        <v/>
      </c>
      <c r="Q161" s="64">
        <f>IF($A161="","",IF(O161&lt;&gt;원인분석!$C$9,"",IF(AND(M161&gt;=원인분석!$C$10,M161&lt;=원인분석!$C$11),"당기",IF(AND(M161&gt;=원인분석!$C$12,M161&lt;=원인분석!$C$13),"비교",""))))</f>
        <v/>
      </c>
      <c r="R161" s="9">
        <f>IF(Q161="","",$K161&amp;"")</f>
        <v/>
      </c>
      <c r="S161" s="9">
        <f>IF(Q161="","",IF(MATCH(R161,$R$5:$R$100000,0)=ROW()-4,ROW(),""))</f>
        <v/>
      </c>
      <c r="T161" s="9">
        <f>IF(Q161="당기",ABS(P161)+ROW()/1000000000,"")</f>
        <v/>
      </c>
      <c r="U161" s="9">
        <f>IF(Q161="비교",ABS(P161)+ROW()/1000000000,"")</f>
        <v/>
      </c>
      <c r="V161" s="64">
        <f>IF($A161="","",IF(COUNTIF(변동분석!$E$7:$E$506,O161)&gt;0,"Y","N"))</f>
        <v/>
      </c>
      <c r="W161" s="64">
        <f>IF($A161="","",IFERROR(INDEX(계정매핑!$D$5:$D$504,MATCH($F161&amp;"",계정매핑!$A$5:$A$504,0)),"미매핑"))</f>
        <v/>
      </c>
      <c r="X161" s="9">
        <f>IF($A161="","",$F161&amp;"")</f>
        <v/>
      </c>
      <c r="Y161" s="94">
        <f>IF($A161="",0,IF(AE161="직접",IF(AF161="비귀속",$P161,0),$P161*(1-AG161)*IFERROR(INDEX(계정대체기준!$F$20:$F$49,MATCH($N161,계정대체기준!$A$20:$A$49,0)),1)))</f>
        <v/>
      </c>
      <c r="Z161" s="94">
        <f>IF($A161="",0,IF(AE161="직접",IF(AF161="신계약비",$P161,0),$P161*(1-AG161)*IFERROR(INDEX(계정대체기준!$C$20:$C$49,MATCH($N161,계정대체기준!$A$20:$A$49,0)),0)))</f>
        <v/>
      </c>
      <c r="AA161" s="94">
        <f>IF($A161="",0,IF(AE161="직접",IF(OR(AF161="유지비",AF161="손해조사비"),$P161,0),$P161*(1-AG161)*IFERROR(INDEX(계정대체기준!$D$20:$D$49,MATCH($N161,계정대체기준!$A$20:$A$49,0)),0)))</f>
        <v/>
      </c>
      <c r="AB161" s="94">
        <f>IF($A161="",0,IF(AE161="직접",IF(AF161="수금비",$P161,0),$P161*(1-AG161)*IFERROR(INDEX(계정대체기준!$E$20:$E$49,MATCH($N161,계정대체기준!$A$20:$A$49,0)),0)))</f>
        <v/>
      </c>
      <c r="AC161" s="9">
        <f>IF(AND($A161&lt;&gt;"",M161=설정!$C$20,Z161&gt;0),Z161+ROW()/1000000000,"")</f>
        <v/>
      </c>
      <c r="AD161" s="94">
        <f>IF($A161="",0,$P161*AG161)</f>
        <v/>
      </c>
      <c r="AE161" s="64">
        <f>IF($A161="","",IFERROR(INDEX(계정매핑!$E$5:$E$504,MATCH($F161&amp;"",계정매핑!$A$5:$A$504,0))&amp;"","공통비"))</f>
        <v/>
      </c>
      <c r="AF161" s="64">
        <f>IF($A161="","",IF(AE161="직접",IFERROR(INDEX(계정매핑!$F$5:$F$504,MATCH($F161&amp;"",계정매핑!$A$5:$A$504,0))&amp;"","비귀속"),""))</f>
        <v/>
      </c>
      <c r="AG161" s="96">
        <f>IF($A161="",0,IF(AND(AE161&lt;&gt;"직접",IFERROR(INDEX(계정매핑!$G$5:$G$504,MATCH($F161&amp;"",계정매핑!$A$5:$A$504,0))&amp;"","")="유지비",COUNTIF(계정대체기준!$A$6:$A$15,$N161)&gt;0),IFERROR(INDEX(계정대체기준!$E$6:$E$15,MATCH(VALUE($A161&amp;""),계정대체기준!$D$6:$D$15,0)),0),0))</f>
        <v/>
      </c>
      <c r="AH161" s="64">
        <f>IF($A161="","",IF(AD161=0,"",IF(OR(COUNTIF(계정대체기준!$A$77:$A$86,$N161)&gt;0,ISNUMBER(MATCH($X161,계정대체기준!$D$77:$D$86,0)),ISNUMBER(MATCH($F161,계정대체기준!$D$77:$D$86,0))),"Y","N")))</f>
        <v/>
      </c>
    </row>
    <row r="162">
      <c r="A162" s="92" t="n">
        <v>2025</v>
      </c>
      <c r="B162" s="92" t="n">
        <v>1</v>
      </c>
      <c r="C162" s="92" t="inlineStr">
        <is>
          <t>5100000158</t>
        </is>
      </c>
      <c r="D162" s="95" t="n">
        <v>45673</v>
      </c>
      <c r="E162" s="92" t="inlineStr">
        <is>
          <t>KR</t>
        </is>
      </c>
      <c r="F162" s="92" t="n">
        <v>62902000</v>
      </c>
      <c r="G162" s="92" t="n">
        <v>1801</v>
      </c>
      <c r="H162" s="93" t="n">
        <v>3000000</v>
      </c>
      <c r="I162" s="92" t="inlineStr">
        <is>
          <t>1월 업무 위탁 수수료 - X서비스</t>
        </is>
      </c>
      <c r="J162" s="92" t="inlineStr">
        <is>
          <t>V10020</t>
        </is>
      </c>
      <c r="K162" s="92" t="inlineStr">
        <is>
          <t>X서비스</t>
        </is>
      </c>
      <c r="M162" s="9">
        <f>IF($A162="","",VALUE($A162&amp;"")*12+VALUE($B162&amp;""))</f>
        <v/>
      </c>
      <c r="N162" s="64">
        <f>IF($A162="","",IFERROR(INDEX(부서매핑!$C$5:$C$504,MATCH($G162&amp;"",부서매핑!$A$5:$A$504,0)),"미매핑"))</f>
        <v/>
      </c>
      <c r="O162" s="9">
        <f>IF($A162="","",N162&amp;"|"&amp;$F162)</f>
        <v/>
      </c>
      <c r="P162" s="94">
        <f>IF($A162="",0,$H162*설정!$C$23)</f>
        <v/>
      </c>
      <c r="Q162" s="64">
        <f>IF($A162="","",IF(O162&lt;&gt;원인분석!$C$9,"",IF(AND(M162&gt;=원인분석!$C$10,M162&lt;=원인분석!$C$11),"당기",IF(AND(M162&gt;=원인분석!$C$12,M162&lt;=원인분석!$C$13),"비교",""))))</f>
        <v/>
      </c>
      <c r="R162" s="9">
        <f>IF(Q162="","",$K162&amp;"")</f>
        <v/>
      </c>
      <c r="S162" s="9">
        <f>IF(Q162="","",IF(MATCH(R162,$R$5:$R$100000,0)=ROW()-4,ROW(),""))</f>
        <v/>
      </c>
      <c r="T162" s="9">
        <f>IF(Q162="당기",ABS(P162)+ROW()/1000000000,"")</f>
        <v/>
      </c>
      <c r="U162" s="9">
        <f>IF(Q162="비교",ABS(P162)+ROW()/1000000000,"")</f>
        <v/>
      </c>
      <c r="V162" s="64">
        <f>IF($A162="","",IF(COUNTIF(변동분석!$E$7:$E$506,O162)&gt;0,"Y","N"))</f>
        <v/>
      </c>
      <c r="W162" s="64">
        <f>IF($A162="","",IFERROR(INDEX(계정매핑!$D$5:$D$504,MATCH($F162&amp;"",계정매핑!$A$5:$A$504,0)),"미매핑"))</f>
        <v/>
      </c>
      <c r="X162" s="9">
        <f>IF($A162="","",$F162&amp;"")</f>
        <v/>
      </c>
      <c r="Y162" s="94">
        <f>IF($A162="",0,IF(AE162="직접",IF(AF162="비귀속",$P162,0),$P162*(1-AG162)*IFERROR(INDEX(계정대체기준!$F$20:$F$49,MATCH($N162,계정대체기준!$A$20:$A$49,0)),1)))</f>
        <v/>
      </c>
      <c r="Z162" s="94">
        <f>IF($A162="",0,IF(AE162="직접",IF(AF162="신계약비",$P162,0),$P162*(1-AG162)*IFERROR(INDEX(계정대체기준!$C$20:$C$49,MATCH($N162,계정대체기준!$A$20:$A$49,0)),0)))</f>
        <v/>
      </c>
      <c r="AA162" s="94">
        <f>IF($A162="",0,IF(AE162="직접",IF(OR(AF162="유지비",AF162="손해조사비"),$P162,0),$P162*(1-AG162)*IFERROR(INDEX(계정대체기준!$D$20:$D$49,MATCH($N162,계정대체기준!$A$20:$A$49,0)),0)))</f>
        <v/>
      </c>
      <c r="AB162" s="94">
        <f>IF($A162="",0,IF(AE162="직접",IF(AF162="수금비",$P162,0),$P162*(1-AG162)*IFERROR(INDEX(계정대체기준!$E$20:$E$49,MATCH($N162,계정대체기준!$A$20:$A$49,0)),0)))</f>
        <v/>
      </c>
      <c r="AC162" s="9">
        <f>IF(AND($A162&lt;&gt;"",M162=설정!$C$20,Z162&gt;0),Z162+ROW()/1000000000,"")</f>
        <v/>
      </c>
      <c r="AD162" s="94">
        <f>IF($A162="",0,$P162*AG162)</f>
        <v/>
      </c>
      <c r="AE162" s="64">
        <f>IF($A162="","",IFERROR(INDEX(계정매핑!$E$5:$E$504,MATCH($F162&amp;"",계정매핑!$A$5:$A$504,0))&amp;"","공통비"))</f>
        <v/>
      </c>
      <c r="AF162" s="64">
        <f>IF($A162="","",IF(AE162="직접",IFERROR(INDEX(계정매핑!$F$5:$F$504,MATCH($F162&amp;"",계정매핑!$A$5:$A$504,0))&amp;"","비귀속"),""))</f>
        <v/>
      </c>
      <c r="AG162" s="96">
        <f>IF($A162="",0,IF(AND(AE162&lt;&gt;"직접",IFERROR(INDEX(계정매핑!$G$5:$G$504,MATCH($F162&amp;"",계정매핑!$A$5:$A$504,0))&amp;"","")="유지비",COUNTIF(계정대체기준!$A$6:$A$15,$N162)&gt;0),IFERROR(INDEX(계정대체기준!$E$6:$E$15,MATCH(VALUE($A162&amp;""),계정대체기준!$D$6:$D$15,0)),0),0))</f>
        <v/>
      </c>
      <c r="AH162" s="64">
        <f>IF($A162="","",IF(AD162=0,"",IF(OR(COUNTIF(계정대체기준!$A$77:$A$86,$N162)&gt;0,ISNUMBER(MATCH($X162,계정대체기준!$D$77:$D$86,0)),ISNUMBER(MATCH($F162,계정대체기준!$D$77:$D$86,0))),"Y","N")))</f>
        <v/>
      </c>
    </row>
    <row r="163">
      <c r="A163" s="92" t="n">
        <v>2025</v>
      </c>
      <c r="B163" s="92" t="n">
        <v>1</v>
      </c>
      <c r="C163" s="92" t="inlineStr">
        <is>
          <t>5100000159</t>
        </is>
      </c>
      <c r="D163" s="95" t="n">
        <v>45674</v>
      </c>
      <c r="E163" s="92" t="inlineStr">
        <is>
          <t>KR</t>
        </is>
      </c>
      <c r="F163" s="92" t="n">
        <v>62101000</v>
      </c>
      <c r="G163" s="92" t="n">
        <v>1501</v>
      </c>
      <c r="H163" s="93" t="n">
        <v>448000</v>
      </c>
      <c r="I163" s="92" t="inlineStr">
        <is>
          <t>1월 국내출장 - L여행사</t>
        </is>
      </c>
      <c r="J163" s="92" t="inlineStr">
        <is>
          <t>V10018</t>
        </is>
      </c>
      <c r="K163" s="92" t="inlineStr">
        <is>
          <t>L여행사</t>
        </is>
      </c>
      <c r="M163" s="9">
        <f>IF($A163="","",VALUE($A163&amp;"")*12+VALUE($B163&amp;""))</f>
        <v/>
      </c>
      <c r="N163" s="64">
        <f>IF($A163="","",IFERROR(INDEX(부서매핑!$C$5:$C$504,MATCH($G163&amp;"",부서매핑!$A$5:$A$504,0)),"미매핑"))</f>
        <v/>
      </c>
      <c r="O163" s="9">
        <f>IF($A163="","",N163&amp;"|"&amp;$F163)</f>
        <v/>
      </c>
      <c r="P163" s="94">
        <f>IF($A163="",0,$H163*설정!$C$23)</f>
        <v/>
      </c>
      <c r="Q163" s="64">
        <f>IF($A163="","",IF(O163&lt;&gt;원인분석!$C$9,"",IF(AND(M163&gt;=원인분석!$C$10,M163&lt;=원인분석!$C$11),"당기",IF(AND(M163&gt;=원인분석!$C$12,M163&lt;=원인분석!$C$13),"비교",""))))</f>
        <v/>
      </c>
      <c r="R163" s="9">
        <f>IF(Q163="","",$K163&amp;"")</f>
        <v/>
      </c>
      <c r="S163" s="9">
        <f>IF(Q163="","",IF(MATCH(R163,$R$5:$R$100000,0)=ROW()-4,ROW(),""))</f>
        <v/>
      </c>
      <c r="T163" s="9">
        <f>IF(Q163="당기",ABS(P163)+ROW()/1000000000,"")</f>
        <v/>
      </c>
      <c r="U163" s="9">
        <f>IF(Q163="비교",ABS(P163)+ROW()/1000000000,"")</f>
        <v/>
      </c>
      <c r="V163" s="64">
        <f>IF($A163="","",IF(COUNTIF(변동분석!$E$7:$E$506,O163)&gt;0,"Y","N"))</f>
        <v/>
      </c>
      <c r="W163" s="64">
        <f>IF($A163="","",IFERROR(INDEX(계정매핑!$D$5:$D$504,MATCH($F163&amp;"",계정매핑!$A$5:$A$504,0)),"미매핑"))</f>
        <v/>
      </c>
      <c r="X163" s="9">
        <f>IF($A163="","",$F163&amp;"")</f>
        <v/>
      </c>
      <c r="Y163" s="94">
        <f>IF($A163="",0,IF(AE163="직접",IF(AF163="비귀속",$P163,0),$P163*(1-AG163)*IFERROR(INDEX(계정대체기준!$F$20:$F$49,MATCH($N163,계정대체기준!$A$20:$A$49,0)),1)))</f>
        <v/>
      </c>
      <c r="Z163" s="94">
        <f>IF($A163="",0,IF(AE163="직접",IF(AF163="신계약비",$P163,0),$P163*(1-AG163)*IFERROR(INDEX(계정대체기준!$C$20:$C$49,MATCH($N163,계정대체기준!$A$20:$A$49,0)),0)))</f>
        <v/>
      </c>
      <c r="AA163" s="94">
        <f>IF($A163="",0,IF(AE163="직접",IF(OR(AF163="유지비",AF163="손해조사비"),$P163,0),$P163*(1-AG163)*IFERROR(INDEX(계정대체기준!$D$20:$D$49,MATCH($N163,계정대체기준!$A$20:$A$49,0)),0)))</f>
        <v/>
      </c>
      <c r="AB163" s="94">
        <f>IF($A163="",0,IF(AE163="직접",IF(AF163="수금비",$P163,0),$P163*(1-AG163)*IFERROR(INDEX(계정대체기준!$E$20:$E$49,MATCH($N163,계정대체기준!$A$20:$A$49,0)),0)))</f>
        <v/>
      </c>
      <c r="AC163" s="9">
        <f>IF(AND($A163&lt;&gt;"",M163=설정!$C$20,Z163&gt;0),Z163+ROW()/1000000000,"")</f>
        <v/>
      </c>
      <c r="AD163" s="94">
        <f>IF($A163="",0,$P163*AG163)</f>
        <v/>
      </c>
      <c r="AE163" s="64">
        <f>IF($A163="","",IFERROR(INDEX(계정매핑!$E$5:$E$504,MATCH($F163&amp;"",계정매핑!$A$5:$A$504,0))&amp;"","공통비"))</f>
        <v/>
      </c>
      <c r="AF163" s="64">
        <f>IF($A163="","",IF(AE163="직접",IFERROR(INDEX(계정매핑!$F$5:$F$504,MATCH($F163&amp;"",계정매핑!$A$5:$A$504,0))&amp;"","비귀속"),""))</f>
        <v/>
      </c>
      <c r="AG163" s="96">
        <f>IF($A163="",0,IF(AND(AE163&lt;&gt;"직접",IFERROR(INDEX(계정매핑!$G$5:$G$504,MATCH($F163&amp;"",계정매핑!$A$5:$A$504,0))&amp;"","")="유지비",COUNTIF(계정대체기준!$A$6:$A$15,$N163)&gt;0),IFERROR(INDEX(계정대체기준!$E$6:$E$15,MATCH(VALUE($A163&amp;""),계정대체기준!$D$6:$D$15,0)),0),0))</f>
        <v/>
      </c>
      <c r="AH163" s="64">
        <f>IF($A163="","",IF(AD163=0,"",IF(OR(COUNTIF(계정대체기준!$A$77:$A$86,$N163)&gt;0,ISNUMBER(MATCH($X163,계정대체기준!$D$77:$D$86,0)),ISNUMBER(MATCH($F163,계정대체기준!$D$77:$D$86,0))),"Y","N")))</f>
        <v/>
      </c>
    </row>
    <row r="164">
      <c r="A164" s="92" t="n">
        <v>2025</v>
      </c>
      <c r="B164" s="92" t="n">
        <v>1</v>
      </c>
      <c r="C164" s="92" t="inlineStr">
        <is>
          <t>5100000160</t>
        </is>
      </c>
      <c r="D164" s="95" t="n">
        <v>45674</v>
      </c>
      <c r="E164" s="92" t="inlineStr">
        <is>
          <t>KR</t>
        </is>
      </c>
      <c r="F164" s="92" t="n">
        <v>62102000</v>
      </c>
      <c r="G164" s="92" t="n">
        <v>1201</v>
      </c>
      <c r="H164" s="93" t="n">
        <v>50000</v>
      </c>
      <c r="I164" s="92" t="inlineStr">
        <is>
          <t>1월 해외출장 - N호텔</t>
        </is>
      </c>
      <c r="J164" s="92" t="inlineStr">
        <is>
          <t>V10009</t>
        </is>
      </c>
      <c r="K164" s="92" t="inlineStr">
        <is>
          <t>N호텔</t>
        </is>
      </c>
      <c r="M164" s="9">
        <f>IF($A164="","",VALUE($A164&amp;"")*12+VALUE($B164&amp;""))</f>
        <v/>
      </c>
      <c r="N164" s="64">
        <f>IF($A164="","",IFERROR(INDEX(부서매핑!$C$5:$C$504,MATCH($G164&amp;"",부서매핑!$A$5:$A$504,0)),"미매핑"))</f>
        <v/>
      </c>
      <c r="O164" s="9">
        <f>IF($A164="","",N164&amp;"|"&amp;$F164)</f>
        <v/>
      </c>
      <c r="P164" s="94">
        <f>IF($A164="",0,$H164*설정!$C$23)</f>
        <v/>
      </c>
      <c r="Q164" s="64">
        <f>IF($A164="","",IF(O164&lt;&gt;원인분석!$C$9,"",IF(AND(M164&gt;=원인분석!$C$10,M164&lt;=원인분석!$C$11),"당기",IF(AND(M164&gt;=원인분석!$C$12,M164&lt;=원인분석!$C$13),"비교",""))))</f>
        <v/>
      </c>
      <c r="R164" s="9">
        <f>IF(Q164="","",$K164&amp;"")</f>
        <v/>
      </c>
      <c r="S164" s="9">
        <f>IF(Q164="","",IF(MATCH(R164,$R$5:$R$100000,0)=ROW()-4,ROW(),""))</f>
        <v/>
      </c>
      <c r="T164" s="9">
        <f>IF(Q164="당기",ABS(P164)+ROW()/1000000000,"")</f>
        <v/>
      </c>
      <c r="U164" s="9">
        <f>IF(Q164="비교",ABS(P164)+ROW()/1000000000,"")</f>
        <v/>
      </c>
      <c r="V164" s="64">
        <f>IF($A164="","",IF(COUNTIF(변동분석!$E$7:$E$506,O164)&gt;0,"Y","N"))</f>
        <v/>
      </c>
      <c r="W164" s="64">
        <f>IF($A164="","",IFERROR(INDEX(계정매핑!$D$5:$D$504,MATCH($F164&amp;"",계정매핑!$A$5:$A$504,0)),"미매핑"))</f>
        <v/>
      </c>
      <c r="X164" s="9">
        <f>IF($A164="","",$F164&amp;"")</f>
        <v/>
      </c>
      <c r="Y164" s="94">
        <f>IF($A164="",0,IF(AE164="직접",IF(AF164="비귀속",$P164,0),$P164*(1-AG164)*IFERROR(INDEX(계정대체기준!$F$20:$F$49,MATCH($N164,계정대체기준!$A$20:$A$49,0)),1)))</f>
        <v/>
      </c>
      <c r="Z164" s="94">
        <f>IF($A164="",0,IF(AE164="직접",IF(AF164="신계약비",$P164,0),$P164*(1-AG164)*IFERROR(INDEX(계정대체기준!$C$20:$C$49,MATCH($N164,계정대체기준!$A$20:$A$49,0)),0)))</f>
        <v/>
      </c>
      <c r="AA164" s="94">
        <f>IF($A164="",0,IF(AE164="직접",IF(OR(AF164="유지비",AF164="손해조사비"),$P164,0),$P164*(1-AG164)*IFERROR(INDEX(계정대체기준!$D$20:$D$49,MATCH($N164,계정대체기준!$A$20:$A$49,0)),0)))</f>
        <v/>
      </c>
      <c r="AB164" s="94">
        <f>IF($A164="",0,IF(AE164="직접",IF(AF164="수금비",$P164,0),$P164*(1-AG164)*IFERROR(INDEX(계정대체기준!$E$20:$E$49,MATCH($N164,계정대체기준!$A$20:$A$49,0)),0)))</f>
        <v/>
      </c>
      <c r="AC164" s="9">
        <f>IF(AND($A164&lt;&gt;"",M164=설정!$C$20,Z164&gt;0),Z164+ROW()/1000000000,"")</f>
        <v/>
      </c>
      <c r="AD164" s="94">
        <f>IF($A164="",0,$P164*AG164)</f>
        <v/>
      </c>
      <c r="AE164" s="64">
        <f>IF($A164="","",IFERROR(INDEX(계정매핑!$E$5:$E$504,MATCH($F164&amp;"",계정매핑!$A$5:$A$504,0))&amp;"","공통비"))</f>
        <v/>
      </c>
      <c r="AF164" s="64">
        <f>IF($A164="","",IF(AE164="직접",IFERROR(INDEX(계정매핑!$F$5:$F$504,MATCH($F164&amp;"",계정매핑!$A$5:$A$504,0))&amp;"","비귀속"),""))</f>
        <v/>
      </c>
      <c r="AG164" s="96">
        <f>IF($A164="",0,IF(AND(AE164&lt;&gt;"직접",IFERROR(INDEX(계정매핑!$G$5:$G$504,MATCH($F164&amp;"",계정매핑!$A$5:$A$504,0))&amp;"","")="유지비",COUNTIF(계정대체기준!$A$6:$A$15,$N164)&gt;0),IFERROR(INDEX(계정대체기준!$E$6:$E$15,MATCH(VALUE($A164&amp;""),계정대체기준!$D$6:$D$15,0)),0),0))</f>
        <v/>
      </c>
      <c r="AH164" s="64">
        <f>IF($A164="","",IF(AD164=0,"",IF(OR(COUNTIF(계정대체기준!$A$77:$A$86,$N164)&gt;0,ISNUMBER(MATCH($X164,계정대체기준!$D$77:$D$86,0)),ISNUMBER(MATCH($F164,계정대체기준!$D$77:$D$86,0))),"Y","N")))</f>
        <v/>
      </c>
    </row>
    <row r="165">
      <c r="A165" s="92" t="n">
        <v>2025</v>
      </c>
      <c r="B165" s="92" t="n">
        <v>1</v>
      </c>
      <c r="C165" s="92" t="inlineStr">
        <is>
          <t>5100000161</t>
        </is>
      </c>
      <c r="D165" s="95" t="n">
        <v>45674</v>
      </c>
      <c r="E165" s="92" t="inlineStr">
        <is>
          <t>KR</t>
        </is>
      </c>
      <c r="F165" s="92" t="n">
        <v>62201000</v>
      </c>
      <c r="G165" s="92" t="n">
        <v>1502</v>
      </c>
      <c r="H165" s="93" t="n">
        <v>283000</v>
      </c>
      <c r="I165" s="92" t="inlineStr">
        <is>
          <t>1월 통신요금 - P통신</t>
        </is>
      </c>
      <c r="J165" s="92" t="inlineStr">
        <is>
          <t>V10014</t>
        </is>
      </c>
      <c r="K165" s="92" t="inlineStr">
        <is>
          <t>P통신</t>
        </is>
      </c>
      <c r="M165" s="9">
        <f>IF($A165="","",VALUE($A165&amp;"")*12+VALUE($B165&amp;""))</f>
        <v/>
      </c>
      <c r="N165" s="64">
        <f>IF($A165="","",IFERROR(INDEX(부서매핑!$C$5:$C$504,MATCH($G165&amp;"",부서매핑!$A$5:$A$504,0)),"미매핑"))</f>
        <v/>
      </c>
      <c r="O165" s="9">
        <f>IF($A165="","",N165&amp;"|"&amp;$F165)</f>
        <v/>
      </c>
      <c r="P165" s="94">
        <f>IF($A165="",0,$H165*설정!$C$23)</f>
        <v/>
      </c>
      <c r="Q165" s="64">
        <f>IF($A165="","",IF(O165&lt;&gt;원인분석!$C$9,"",IF(AND(M165&gt;=원인분석!$C$10,M165&lt;=원인분석!$C$11),"당기",IF(AND(M165&gt;=원인분석!$C$12,M165&lt;=원인분석!$C$13),"비교",""))))</f>
        <v/>
      </c>
      <c r="R165" s="9">
        <f>IF(Q165="","",$K165&amp;"")</f>
        <v/>
      </c>
      <c r="S165" s="9">
        <f>IF(Q165="","",IF(MATCH(R165,$R$5:$R$100000,0)=ROW()-4,ROW(),""))</f>
        <v/>
      </c>
      <c r="T165" s="9">
        <f>IF(Q165="당기",ABS(P165)+ROW()/1000000000,"")</f>
        <v/>
      </c>
      <c r="U165" s="9">
        <f>IF(Q165="비교",ABS(P165)+ROW()/1000000000,"")</f>
        <v/>
      </c>
      <c r="V165" s="64">
        <f>IF($A165="","",IF(COUNTIF(변동분석!$E$7:$E$506,O165)&gt;0,"Y","N"))</f>
        <v/>
      </c>
      <c r="W165" s="64">
        <f>IF($A165="","",IFERROR(INDEX(계정매핑!$D$5:$D$504,MATCH($F165&amp;"",계정매핑!$A$5:$A$504,0)),"미매핑"))</f>
        <v/>
      </c>
      <c r="X165" s="9">
        <f>IF($A165="","",$F165&amp;"")</f>
        <v/>
      </c>
      <c r="Y165" s="94">
        <f>IF($A165="",0,IF(AE165="직접",IF(AF165="비귀속",$P165,0),$P165*(1-AG165)*IFERROR(INDEX(계정대체기준!$F$20:$F$49,MATCH($N165,계정대체기준!$A$20:$A$49,0)),1)))</f>
        <v/>
      </c>
      <c r="Z165" s="94">
        <f>IF($A165="",0,IF(AE165="직접",IF(AF165="신계약비",$P165,0),$P165*(1-AG165)*IFERROR(INDEX(계정대체기준!$C$20:$C$49,MATCH($N165,계정대체기준!$A$20:$A$49,0)),0)))</f>
        <v/>
      </c>
      <c r="AA165" s="94">
        <f>IF($A165="",0,IF(AE165="직접",IF(OR(AF165="유지비",AF165="손해조사비"),$P165,0),$P165*(1-AG165)*IFERROR(INDEX(계정대체기준!$D$20:$D$49,MATCH($N165,계정대체기준!$A$20:$A$49,0)),0)))</f>
        <v/>
      </c>
      <c r="AB165" s="94">
        <f>IF($A165="",0,IF(AE165="직접",IF(AF165="수금비",$P165,0),$P165*(1-AG165)*IFERROR(INDEX(계정대체기준!$E$20:$E$49,MATCH($N165,계정대체기준!$A$20:$A$49,0)),0)))</f>
        <v/>
      </c>
      <c r="AC165" s="9">
        <f>IF(AND($A165&lt;&gt;"",M165=설정!$C$20,Z165&gt;0),Z165+ROW()/1000000000,"")</f>
        <v/>
      </c>
      <c r="AD165" s="94">
        <f>IF($A165="",0,$P165*AG165)</f>
        <v/>
      </c>
      <c r="AE165" s="64">
        <f>IF($A165="","",IFERROR(INDEX(계정매핑!$E$5:$E$504,MATCH($F165&amp;"",계정매핑!$A$5:$A$504,0))&amp;"","공통비"))</f>
        <v/>
      </c>
      <c r="AF165" s="64">
        <f>IF($A165="","",IF(AE165="직접",IFERROR(INDEX(계정매핑!$F$5:$F$504,MATCH($F165&amp;"",계정매핑!$A$5:$A$504,0))&amp;"","비귀속"),""))</f>
        <v/>
      </c>
      <c r="AG165" s="96">
        <f>IF($A165="",0,IF(AND(AE165&lt;&gt;"직접",IFERROR(INDEX(계정매핑!$G$5:$G$504,MATCH($F165&amp;"",계정매핑!$A$5:$A$504,0))&amp;"","")="유지비",COUNTIF(계정대체기준!$A$6:$A$15,$N165)&gt;0),IFERROR(INDEX(계정대체기준!$E$6:$E$15,MATCH(VALUE($A165&amp;""),계정대체기준!$D$6:$D$15,0)),0),0))</f>
        <v/>
      </c>
      <c r="AH165" s="64">
        <f>IF($A165="","",IF(AD165=0,"",IF(OR(COUNTIF(계정대체기준!$A$77:$A$86,$N165)&gt;0,ISNUMBER(MATCH($X165,계정대체기준!$D$77:$D$86,0)),ISNUMBER(MATCH($F165,계정대체기준!$D$77:$D$86,0))),"Y","N")))</f>
        <v/>
      </c>
    </row>
    <row r="166">
      <c r="A166" s="92" t="n">
        <v>2025</v>
      </c>
      <c r="B166" s="92" t="n">
        <v>1</v>
      </c>
      <c r="C166" s="92" t="inlineStr">
        <is>
          <t>5100000162</t>
        </is>
      </c>
      <c r="D166" s="95" t="n">
        <v>45674</v>
      </c>
      <c r="E166" s="92" t="inlineStr">
        <is>
          <t>KR</t>
        </is>
      </c>
      <c r="F166" s="92" t="n">
        <v>62301000</v>
      </c>
      <c r="G166" s="92" t="n">
        <v>1401</v>
      </c>
      <c r="H166" s="93" t="n">
        <v>96000</v>
      </c>
      <c r="I166" s="92" t="inlineStr">
        <is>
          <t>1월 소모품 구입 - R문구</t>
        </is>
      </c>
      <c r="J166" s="92" t="inlineStr">
        <is>
          <t>V10022</t>
        </is>
      </c>
      <c r="K166" s="92" t="inlineStr">
        <is>
          <t>R문구</t>
        </is>
      </c>
      <c r="M166" s="9">
        <f>IF($A166="","",VALUE($A166&amp;"")*12+VALUE($B166&amp;""))</f>
        <v/>
      </c>
      <c r="N166" s="64">
        <f>IF($A166="","",IFERROR(INDEX(부서매핑!$C$5:$C$504,MATCH($G166&amp;"",부서매핑!$A$5:$A$504,0)),"미매핑"))</f>
        <v/>
      </c>
      <c r="O166" s="9">
        <f>IF($A166="","",N166&amp;"|"&amp;$F166)</f>
        <v/>
      </c>
      <c r="P166" s="94">
        <f>IF($A166="",0,$H166*설정!$C$23)</f>
        <v/>
      </c>
      <c r="Q166" s="64">
        <f>IF($A166="","",IF(O166&lt;&gt;원인분석!$C$9,"",IF(AND(M166&gt;=원인분석!$C$10,M166&lt;=원인분석!$C$11),"당기",IF(AND(M166&gt;=원인분석!$C$12,M166&lt;=원인분석!$C$13),"비교",""))))</f>
        <v/>
      </c>
      <c r="R166" s="9">
        <f>IF(Q166="","",$K166&amp;"")</f>
        <v/>
      </c>
      <c r="S166" s="9">
        <f>IF(Q166="","",IF(MATCH(R166,$R$5:$R$100000,0)=ROW()-4,ROW(),""))</f>
        <v/>
      </c>
      <c r="T166" s="9">
        <f>IF(Q166="당기",ABS(P166)+ROW()/1000000000,"")</f>
        <v/>
      </c>
      <c r="U166" s="9">
        <f>IF(Q166="비교",ABS(P166)+ROW()/1000000000,"")</f>
        <v/>
      </c>
      <c r="V166" s="64">
        <f>IF($A166="","",IF(COUNTIF(변동분석!$E$7:$E$506,O166)&gt;0,"Y","N"))</f>
        <v/>
      </c>
      <c r="W166" s="64">
        <f>IF($A166="","",IFERROR(INDEX(계정매핑!$D$5:$D$504,MATCH($F166&amp;"",계정매핑!$A$5:$A$504,0)),"미매핑"))</f>
        <v/>
      </c>
      <c r="X166" s="9">
        <f>IF($A166="","",$F166&amp;"")</f>
        <v/>
      </c>
      <c r="Y166" s="94">
        <f>IF($A166="",0,IF(AE166="직접",IF(AF166="비귀속",$P166,0),$P166*(1-AG166)*IFERROR(INDEX(계정대체기준!$F$20:$F$49,MATCH($N166,계정대체기준!$A$20:$A$49,0)),1)))</f>
        <v/>
      </c>
      <c r="Z166" s="94">
        <f>IF($A166="",0,IF(AE166="직접",IF(AF166="신계약비",$P166,0),$P166*(1-AG166)*IFERROR(INDEX(계정대체기준!$C$20:$C$49,MATCH($N166,계정대체기준!$A$20:$A$49,0)),0)))</f>
        <v/>
      </c>
      <c r="AA166" s="94">
        <f>IF($A166="",0,IF(AE166="직접",IF(OR(AF166="유지비",AF166="손해조사비"),$P166,0),$P166*(1-AG166)*IFERROR(INDEX(계정대체기준!$D$20:$D$49,MATCH($N166,계정대체기준!$A$20:$A$49,0)),0)))</f>
        <v/>
      </c>
      <c r="AB166" s="94">
        <f>IF($A166="",0,IF(AE166="직접",IF(AF166="수금비",$P166,0),$P166*(1-AG166)*IFERROR(INDEX(계정대체기준!$E$20:$E$49,MATCH($N166,계정대체기준!$A$20:$A$49,0)),0)))</f>
        <v/>
      </c>
      <c r="AC166" s="9">
        <f>IF(AND($A166&lt;&gt;"",M166=설정!$C$20,Z166&gt;0),Z166+ROW()/1000000000,"")</f>
        <v/>
      </c>
      <c r="AD166" s="94">
        <f>IF($A166="",0,$P166*AG166)</f>
        <v/>
      </c>
      <c r="AE166" s="64">
        <f>IF($A166="","",IFERROR(INDEX(계정매핑!$E$5:$E$504,MATCH($F166&amp;"",계정매핑!$A$5:$A$504,0))&amp;"","공통비"))</f>
        <v/>
      </c>
      <c r="AF166" s="64">
        <f>IF($A166="","",IF(AE166="직접",IFERROR(INDEX(계정매핑!$F$5:$F$504,MATCH($F166&amp;"",계정매핑!$A$5:$A$504,0))&amp;"","비귀속"),""))</f>
        <v/>
      </c>
      <c r="AG166" s="96">
        <f>IF($A166="",0,IF(AND(AE166&lt;&gt;"직접",IFERROR(INDEX(계정매핑!$G$5:$G$504,MATCH($F166&amp;"",계정매핑!$A$5:$A$504,0))&amp;"","")="유지비",COUNTIF(계정대체기준!$A$6:$A$15,$N166)&gt;0),IFERROR(INDEX(계정대체기준!$E$6:$E$15,MATCH(VALUE($A166&amp;""),계정대체기준!$D$6:$D$15,0)),0),0))</f>
        <v/>
      </c>
      <c r="AH166" s="64">
        <f>IF($A166="","",IF(AD166=0,"",IF(OR(COUNTIF(계정대체기준!$A$77:$A$86,$N166)&gt;0,ISNUMBER(MATCH($X166,계정대체기준!$D$77:$D$86,0)),ISNUMBER(MATCH($F166,계정대체기준!$D$77:$D$86,0))),"Y","N")))</f>
        <v/>
      </c>
    </row>
    <row r="167">
      <c r="A167" s="92" t="n">
        <v>2025</v>
      </c>
      <c r="B167" s="92" t="n">
        <v>1</v>
      </c>
      <c r="C167" s="92" t="inlineStr">
        <is>
          <t>5100000163</t>
        </is>
      </c>
      <c r="D167" s="95" t="n">
        <v>45674</v>
      </c>
      <c r="E167" s="92" t="inlineStr">
        <is>
          <t>KR</t>
        </is>
      </c>
      <c r="F167" s="92" t="n">
        <v>62901000</v>
      </c>
      <c r="G167" s="92" t="n">
        <v>1201</v>
      </c>
      <c r="H167" s="93" t="n">
        <v>5700000</v>
      </c>
      <c r="I167" s="92" t="inlineStr">
        <is>
          <t>1월 자문 수수료 - K회계법인</t>
        </is>
      </c>
      <c r="J167" s="92" t="inlineStr">
        <is>
          <t>V10011</t>
        </is>
      </c>
      <c r="K167" s="92" t="inlineStr">
        <is>
          <t>K회계법인</t>
        </is>
      </c>
      <c r="M167" s="9">
        <f>IF($A167="","",VALUE($A167&amp;"")*12+VALUE($B167&amp;""))</f>
        <v/>
      </c>
      <c r="N167" s="64">
        <f>IF($A167="","",IFERROR(INDEX(부서매핑!$C$5:$C$504,MATCH($G167&amp;"",부서매핑!$A$5:$A$504,0)),"미매핑"))</f>
        <v/>
      </c>
      <c r="O167" s="9">
        <f>IF($A167="","",N167&amp;"|"&amp;$F167)</f>
        <v/>
      </c>
      <c r="P167" s="94">
        <f>IF($A167="",0,$H167*설정!$C$23)</f>
        <v/>
      </c>
      <c r="Q167" s="64">
        <f>IF($A167="","",IF(O167&lt;&gt;원인분석!$C$9,"",IF(AND(M167&gt;=원인분석!$C$10,M167&lt;=원인분석!$C$11),"당기",IF(AND(M167&gt;=원인분석!$C$12,M167&lt;=원인분석!$C$13),"비교",""))))</f>
        <v/>
      </c>
      <c r="R167" s="9">
        <f>IF(Q167="","",$K167&amp;"")</f>
        <v/>
      </c>
      <c r="S167" s="9">
        <f>IF(Q167="","",IF(MATCH(R167,$R$5:$R$100000,0)=ROW()-4,ROW(),""))</f>
        <v/>
      </c>
      <c r="T167" s="9">
        <f>IF(Q167="당기",ABS(P167)+ROW()/1000000000,"")</f>
        <v/>
      </c>
      <c r="U167" s="9">
        <f>IF(Q167="비교",ABS(P167)+ROW()/1000000000,"")</f>
        <v/>
      </c>
      <c r="V167" s="64">
        <f>IF($A167="","",IF(COUNTIF(변동분석!$E$7:$E$506,O167)&gt;0,"Y","N"))</f>
        <v/>
      </c>
      <c r="W167" s="64">
        <f>IF($A167="","",IFERROR(INDEX(계정매핑!$D$5:$D$504,MATCH($F167&amp;"",계정매핑!$A$5:$A$504,0)),"미매핑"))</f>
        <v/>
      </c>
      <c r="X167" s="9">
        <f>IF($A167="","",$F167&amp;"")</f>
        <v/>
      </c>
      <c r="Y167" s="94">
        <f>IF($A167="",0,IF(AE167="직접",IF(AF167="비귀속",$P167,0),$P167*(1-AG167)*IFERROR(INDEX(계정대체기준!$F$20:$F$49,MATCH($N167,계정대체기준!$A$20:$A$49,0)),1)))</f>
        <v/>
      </c>
      <c r="Z167" s="94">
        <f>IF($A167="",0,IF(AE167="직접",IF(AF167="신계약비",$P167,0),$P167*(1-AG167)*IFERROR(INDEX(계정대체기준!$C$20:$C$49,MATCH($N167,계정대체기준!$A$20:$A$49,0)),0)))</f>
        <v/>
      </c>
      <c r="AA167" s="94">
        <f>IF($A167="",0,IF(AE167="직접",IF(OR(AF167="유지비",AF167="손해조사비"),$P167,0),$P167*(1-AG167)*IFERROR(INDEX(계정대체기준!$D$20:$D$49,MATCH($N167,계정대체기준!$A$20:$A$49,0)),0)))</f>
        <v/>
      </c>
      <c r="AB167" s="94">
        <f>IF($A167="",0,IF(AE167="직접",IF(AF167="수금비",$P167,0),$P167*(1-AG167)*IFERROR(INDEX(계정대체기준!$E$20:$E$49,MATCH($N167,계정대체기준!$A$20:$A$49,0)),0)))</f>
        <v/>
      </c>
      <c r="AC167" s="9">
        <f>IF(AND($A167&lt;&gt;"",M167=설정!$C$20,Z167&gt;0),Z167+ROW()/1000000000,"")</f>
        <v/>
      </c>
      <c r="AD167" s="94">
        <f>IF($A167="",0,$P167*AG167)</f>
        <v/>
      </c>
      <c r="AE167" s="64">
        <f>IF($A167="","",IFERROR(INDEX(계정매핑!$E$5:$E$504,MATCH($F167&amp;"",계정매핑!$A$5:$A$504,0))&amp;"","공통비"))</f>
        <v/>
      </c>
      <c r="AF167" s="64">
        <f>IF($A167="","",IF(AE167="직접",IFERROR(INDEX(계정매핑!$F$5:$F$504,MATCH($F167&amp;"",계정매핑!$A$5:$A$504,0))&amp;"","비귀속"),""))</f>
        <v/>
      </c>
      <c r="AG167" s="96">
        <f>IF($A167="",0,IF(AND(AE167&lt;&gt;"직접",IFERROR(INDEX(계정매핑!$G$5:$G$504,MATCH($F167&amp;"",계정매핑!$A$5:$A$504,0))&amp;"","")="유지비",COUNTIF(계정대체기준!$A$6:$A$15,$N167)&gt;0),IFERROR(INDEX(계정대체기준!$E$6:$E$15,MATCH(VALUE($A167&amp;""),계정대체기준!$D$6:$D$15,0)),0),0))</f>
        <v/>
      </c>
      <c r="AH167" s="64">
        <f>IF($A167="","",IF(AD167=0,"",IF(OR(COUNTIF(계정대체기준!$A$77:$A$86,$N167)&gt;0,ISNUMBER(MATCH($X167,계정대체기준!$D$77:$D$86,0)),ISNUMBER(MATCH($F167,계정대체기준!$D$77:$D$86,0))),"Y","N")))</f>
        <v/>
      </c>
    </row>
    <row r="168">
      <c r="A168" s="92" t="n">
        <v>2025</v>
      </c>
      <c r="B168" s="92" t="n">
        <v>1</v>
      </c>
      <c r="C168" s="92" t="inlineStr">
        <is>
          <t>5100000164</t>
        </is>
      </c>
      <c r="D168" s="95" t="n">
        <v>45674</v>
      </c>
      <c r="E168" s="92" t="inlineStr">
        <is>
          <t>KR</t>
        </is>
      </c>
      <c r="F168" s="92" t="n">
        <v>62902000</v>
      </c>
      <c r="G168" s="92" t="n">
        <v>1801</v>
      </c>
      <c r="H168" s="93" t="n">
        <v>1803000</v>
      </c>
      <c r="I168" s="92" t="inlineStr">
        <is>
          <t>1월 콜 위탁 수수료(건별)</t>
        </is>
      </c>
      <c r="J168" s="92" t="inlineStr">
        <is>
          <t>V10016</t>
        </is>
      </c>
      <c r="K168" s="92" t="inlineStr">
        <is>
          <t>J콜센터</t>
        </is>
      </c>
      <c r="M168" s="9">
        <f>IF($A168="","",VALUE($A168&amp;"")*12+VALUE($B168&amp;""))</f>
        <v/>
      </c>
      <c r="N168" s="64">
        <f>IF($A168="","",IFERROR(INDEX(부서매핑!$C$5:$C$504,MATCH($G168&amp;"",부서매핑!$A$5:$A$504,0)),"미매핑"))</f>
        <v/>
      </c>
      <c r="O168" s="9">
        <f>IF($A168="","",N168&amp;"|"&amp;$F168)</f>
        <v/>
      </c>
      <c r="P168" s="94">
        <f>IF($A168="",0,$H168*설정!$C$23)</f>
        <v/>
      </c>
      <c r="Q168" s="64">
        <f>IF($A168="","",IF(O168&lt;&gt;원인분석!$C$9,"",IF(AND(M168&gt;=원인분석!$C$10,M168&lt;=원인분석!$C$11),"당기",IF(AND(M168&gt;=원인분석!$C$12,M168&lt;=원인분석!$C$13),"비교",""))))</f>
        <v/>
      </c>
      <c r="R168" s="9">
        <f>IF(Q168="","",$K168&amp;"")</f>
        <v/>
      </c>
      <c r="S168" s="9">
        <f>IF(Q168="","",IF(MATCH(R168,$R$5:$R$100000,0)=ROW()-4,ROW(),""))</f>
        <v/>
      </c>
      <c r="T168" s="9">
        <f>IF(Q168="당기",ABS(P168)+ROW()/1000000000,"")</f>
        <v/>
      </c>
      <c r="U168" s="9">
        <f>IF(Q168="비교",ABS(P168)+ROW()/1000000000,"")</f>
        <v/>
      </c>
      <c r="V168" s="64">
        <f>IF($A168="","",IF(COUNTIF(변동분석!$E$7:$E$506,O168)&gt;0,"Y","N"))</f>
        <v/>
      </c>
      <c r="W168" s="64">
        <f>IF($A168="","",IFERROR(INDEX(계정매핑!$D$5:$D$504,MATCH($F168&amp;"",계정매핑!$A$5:$A$504,0)),"미매핑"))</f>
        <v/>
      </c>
      <c r="X168" s="9">
        <f>IF($A168="","",$F168&amp;"")</f>
        <v/>
      </c>
      <c r="Y168" s="94">
        <f>IF($A168="",0,IF(AE168="직접",IF(AF168="비귀속",$P168,0),$P168*(1-AG168)*IFERROR(INDEX(계정대체기준!$F$20:$F$49,MATCH($N168,계정대체기준!$A$20:$A$49,0)),1)))</f>
        <v/>
      </c>
      <c r="Z168" s="94">
        <f>IF($A168="",0,IF(AE168="직접",IF(AF168="신계약비",$P168,0),$P168*(1-AG168)*IFERROR(INDEX(계정대체기준!$C$20:$C$49,MATCH($N168,계정대체기준!$A$20:$A$49,0)),0)))</f>
        <v/>
      </c>
      <c r="AA168" s="94">
        <f>IF($A168="",0,IF(AE168="직접",IF(OR(AF168="유지비",AF168="손해조사비"),$P168,0),$P168*(1-AG168)*IFERROR(INDEX(계정대체기준!$D$20:$D$49,MATCH($N168,계정대체기준!$A$20:$A$49,0)),0)))</f>
        <v/>
      </c>
      <c r="AB168" s="94">
        <f>IF($A168="",0,IF(AE168="직접",IF(AF168="수금비",$P168,0),$P168*(1-AG168)*IFERROR(INDEX(계정대체기준!$E$20:$E$49,MATCH($N168,계정대체기준!$A$20:$A$49,0)),0)))</f>
        <v/>
      </c>
      <c r="AC168" s="9">
        <f>IF(AND($A168&lt;&gt;"",M168=설정!$C$20,Z168&gt;0),Z168+ROW()/1000000000,"")</f>
        <v/>
      </c>
      <c r="AD168" s="94">
        <f>IF($A168="",0,$P168*AG168)</f>
        <v/>
      </c>
      <c r="AE168" s="64">
        <f>IF($A168="","",IFERROR(INDEX(계정매핑!$E$5:$E$504,MATCH($F168&amp;"",계정매핑!$A$5:$A$504,0))&amp;"","공통비"))</f>
        <v/>
      </c>
      <c r="AF168" s="64">
        <f>IF($A168="","",IF(AE168="직접",IFERROR(INDEX(계정매핑!$F$5:$F$504,MATCH($F168&amp;"",계정매핑!$A$5:$A$504,0))&amp;"","비귀속"),""))</f>
        <v/>
      </c>
      <c r="AG168" s="96">
        <f>IF($A168="",0,IF(AND(AE168&lt;&gt;"직접",IFERROR(INDEX(계정매핑!$G$5:$G$504,MATCH($F168&amp;"",계정매핑!$A$5:$A$504,0))&amp;"","")="유지비",COUNTIF(계정대체기준!$A$6:$A$15,$N168)&gt;0),IFERROR(INDEX(계정대체기준!$E$6:$E$15,MATCH(VALUE($A168&amp;""),계정대체기준!$D$6:$D$15,0)),0),0))</f>
        <v/>
      </c>
      <c r="AH168" s="64">
        <f>IF($A168="","",IF(AD168=0,"",IF(OR(COUNTIF(계정대체기준!$A$77:$A$86,$N168)&gt;0,ISNUMBER(MATCH($X168,계정대체기준!$D$77:$D$86,0)),ISNUMBER(MATCH($F168,계정대체기준!$D$77:$D$86,0))),"Y","N")))</f>
        <v/>
      </c>
    </row>
    <row r="169">
      <c r="A169" s="92" t="n">
        <v>2025</v>
      </c>
      <c r="B169" s="92" t="n">
        <v>1</v>
      </c>
      <c r="C169" s="92" t="inlineStr">
        <is>
          <t>5100000165</t>
        </is>
      </c>
      <c r="D169" s="95" t="n">
        <v>45675</v>
      </c>
      <c r="E169" s="92" t="inlineStr">
        <is>
          <t>KR</t>
        </is>
      </c>
      <c r="F169" s="92" t="n">
        <v>62101000</v>
      </c>
      <c r="G169" s="92" t="n">
        <v>1501</v>
      </c>
      <c r="H169" s="93" t="n">
        <v>580000</v>
      </c>
      <c r="I169" s="92" t="inlineStr">
        <is>
          <t>1월 국내출장 - (법인카드)</t>
        </is>
      </c>
      <c r="J169" s="92" t="inlineStr">
        <is>
          <t>V10010</t>
        </is>
      </c>
      <c r="K169" s="92" t="inlineStr">
        <is>
          <t>(법인카드)</t>
        </is>
      </c>
      <c r="M169" s="9">
        <f>IF($A169="","",VALUE($A169&amp;"")*12+VALUE($B169&amp;""))</f>
        <v/>
      </c>
      <c r="N169" s="64">
        <f>IF($A169="","",IFERROR(INDEX(부서매핑!$C$5:$C$504,MATCH($G169&amp;"",부서매핑!$A$5:$A$504,0)),"미매핑"))</f>
        <v/>
      </c>
      <c r="O169" s="9">
        <f>IF($A169="","",N169&amp;"|"&amp;$F169)</f>
        <v/>
      </c>
      <c r="P169" s="94">
        <f>IF($A169="",0,$H169*설정!$C$23)</f>
        <v/>
      </c>
      <c r="Q169" s="64">
        <f>IF($A169="","",IF(O169&lt;&gt;원인분석!$C$9,"",IF(AND(M169&gt;=원인분석!$C$10,M169&lt;=원인분석!$C$11),"당기",IF(AND(M169&gt;=원인분석!$C$12,M169&lt;=원인분석!$C$13),"비교",""))))</f>
        <v/>
      </c>
      <c r="R169" s="9">
        <f>IF(Q169="","",$K169&amp;"")</f>
        <v/>
      </c>
      <c r="S169" s="9">
        <f>IF(Q169="","",IF(MATCH(R169,$R$5:$R$100000,0)=ROW()-4,ROW(),""))</f>
        <v/>
      </c>
      <c r="T169" s="9">
        <f>IF(Q169="당기",ABS(P169)+ROW()/1000000000,"")</f>
        <v/>
      </c>
      <c r="U169" s="9">
        <f>IF(Q169="비교",ABS(P169)+ROW()/1000000000,"")</f>
        <v/>
      </c>
      <c r="V169" s="64">
        <f>IF($A169="","",IF(COUNTIF(변동분석!$E$7:$E$506,O169)&gt;0,"Y","N"))</f>
        <v/>
      </c>
      <c r="W169" s="64">
        <f>IF($A169="","",IFERROR(INDEX(계정매핑!$D$5:$D$504,MATCH($F169&amp;"",계정매핑!$A$5:$A$504,0)),"미매핑"))</f>
        <v/>
      </c>
      <c r="X169" s="9">
        <f>IF($A169="","",$F169&amp;"")</f>
        <v/>
      </c>
      <c r="Y169" s="94">
        <f>IF($A169="",0,IF(AE169="직접",IF(AF169="비귀속",$P169,0),$P169*(1-AG169)*IFERROR(INDEX(계정대체기준!$F$20:$F$49,MATCH($N169,계정대체기준!$A$20:$A$49,0)),1)))</f>
        <v/>
      </c>
      <c r="Z169" s="94">
        <f>IF($A169="",0,IF(AE169="직접",IF(AF169="신계약비",$P169,0),$P169*(1-AG169)*IFERROR(INDEX(계정대체기준!$C$20:$C$49,MATCH($N169,계정대체기준!$A$20:$A$49,0)),0)))</f>
        <v/>
      </c>
      <c r="AA169" s="94">
        <f>IF($A169="",0,IF(AE169="직접",IF(OR(AF169="유지비",AF169="손해조사비"),$P169,0),$P169*(1-AG169)*IFERROR(INDEX(계정대체기준!$D$20:$D$49,MATCH($N169,계정대체기준!$A$20:$A$49,0)),0)))</f>
        <v/>
      </c>
      <c r="AB169" s="94">
        <f>IF($A169="",0,IF(AE169="직접",IF(AF169="수금비",$P169,0),$P169*(1-AG169)*IFERROR(INDEX(계정대체기준!$E$20:$E$49,MATCH($N169,계정대체기준!$A$20:$A$49,0)),0)))</f>
        <v/>
      </c>
      <c r="AC169" s="9">
        <f>IF(AND($A169&lt;&gt;"",M169=설정!$C$20,Z169&gt;0),Z169+ROW()/1000000000,"")</f>
        <v/>
      </c>
      <c r="AD169" s="94">
        <f>IF($A169="",0,$P169*AG169)</f>
        <v/>
      </c>
      <c r="AE169" s="64">
        <f>IF($A169="","",IFERROR(INDEX(계정매핑!$E$5:$E$504,MATCH($F169&amp;"",계정매핑!$A$5:$A$504,0))&amp;"","공통비"))</f>
        <v/>
      </c>
      <c r="AF169" s="64">
        <f>IF($A169="","",IF(AE169="직접",IFERROR(INDEX(계정매핑!$F$5:$F$504,MATCH($F169&amp;"",계정매핑!$A$5:$A$504,0))&amp;"","비귀속"),""))</f>
        <v/>
      </c>
      <c r="AG169" s="96">
        <f>IF($A169="",0,IF(AND(AE169&lt;&gt;"직접",IFERROR(INDEX(계정매핑!$G$5:$G$504,MATCH($F169&amp;"",계정매핑!$A$5:$A$504,0))&amp;"","")="유지비",COUNTIF(계정대체기준!$A$6:$A$15,$N169)&gt;0),IFERROR(INDEX(계정대체기준!$E$6:$E$15,MATCH(VALUE($A169&amp;""),계정대체기준!$D$6:$D$15,0)),0),0))</f>
        <v/>
      </c>
      <c r="AH169" s="64">
        <f>IF($A169="","",IF(AD169=0,"",IF(OR(COUNTIF(계정대체기준!$A$77:$A$86,$N169)&gt;0,ISNUMBER(MATCH($X169,계정대체기준!$D$77:$D$86,0)),ISNUMBER(MATCH($F169,계정대체기준!$D$77:$D$86,0))),"Y","N")))</f>
        <v/>
      </c>
    </row>
    <row r="170">
      <c r="A170" s="92" t="n">
        <v>2025</v>
      </c>
      <c r="B170" s="92" t="n">
        <v>1</v>
      </c>
      <c r="C170" s="92" t="inlineStr">
        <is>
          <t>5100000166</t>
        </is>
      </c>
      <c r="D170" s="95" t="n">
        <v>45675</v>
      </c>
      <c r="E170" s="92" t="inlineStr">
        <is>
          <t>KR</t>
        </is>
      </c>
      <c r="F170" s="92" t="n">
        <v>62101000</v>
      </c>
      <c r="G170" s="92" t="n">
        <v>1601</v>
      </c>
      <c r="H170" s="93" t="n">
        <v>1122000</v>
      </c>
      <c r="I170" s="92" t="inlineStr">
        <is>
          <t>1월 국내출장 - M항공</t>
        </is>
      </c>
      <c r="J170" s="92" t="inlineStr">
        <is>
          <t>V10001</t>
        </is>
      </c>
      <c r="K170" s="92" t="inlineStr">
        <is>
          <t>M항공</t>
        </is>
      </c>
      <c r="M170" s="9">
        <f>IF($A170="","",VALUE($A170&amp;"")*12+VALUE($B170&amp;""))</f>
        <v/>
      </c>
      <c r="N170" s="64">
        <f>IF($A170="","",IFERROR(INDEX(부서매핑!$C$5:$C$504,MATCH($G170&amp;"",부서매핑!$A$5:$A$504,0)),"미매핑"))</f>
        <v/>
      </c>
      <c r="O170" s="9">
        <f>IF($A170="","",N170&amp;"|"&amp;$F170)</f>
        <v/>
      </c>
      <c r="P170" s="94">
        <f>IF($A170="",0,$H170*설정!$C$23)</f>
        <v/>
      </c>
      <c r="Q170" s="64">
        <f>IF($A170="","",IF(O170&lt;&gt;원인분석!$C$9,"",IF(AND(M170&gt;=원인분석!$C$10,M170&lt;=원인분석!$C$11),"당기",IF(AND(M170&gt;=원인분석!$C$12,M170&lt;=원인분석!$C$13),"비교",""))))</f>
        <v/>
      </c>
      <c r="R170" s="9">
        <f>IF(Q170="","",$K170&amp;"")</f>
        <v/>
      </c>
      <c r="S170" s="9">
        <f>IF(Q170="","",IF(MATCH(R170,$R$5:$R$100000,0)=ROW()-4,ROW(),""))</f>
        <v/>
      </c>
      <c r="T170" s="9">
        <f>IF(Q170="당기",ABS(P170)+ROW()/1000000000,"")</f>
        <v/>
      </c>
      <c r="U170" s="9">
        <f>IF(Q170="비교",ABS(P170)+ROW()/1000000000,"")</f>
        <v/>
      </c>
      <c r="V170" s="64">
        <f>IF($A170="","",IF(COUNTIF(변동분석!$E$7:$E$506,O170)&gt;0,"Y","N"))</f>
        <v/>
      </c>
      <c r="W170" s="64">
        <f>IF($A170="","",IFERROR(INDEX(계정매핑!$D$5:$D$504,MATCH($F170&amp;"",계정매핑!$A$5:$A$504,0)),"미매핑"))</f>
        <v/>
      </c>
      <c r="X170" s="9">
        <f>IF($A170="","",$F170&amp;"")</f>
        <v/>
      </c>
      <c r="Y170" s="94">
        <f>IF($A170="",0,IF(AE170="직접",IF(AF170="비귀속",$P170,0),$P170*(1-AG170)*IFERROR(INDEX(계정대체기준!$F$20:$F$49,MATCH($N170,계정대체기준!$A$20:$A$49,0)),1)))</f>
        <v/>
      </c>
      <c r="Z170" s="94">
        <f>IF($A170="",0,IF(AE170="직접",IF(AF170="신계약비",$P170,0),$P170*(1-AG170)*IFERROR(INDEX(계정대체기준!$C$20:$C$49,MATCH($N170,계정대체기준!$A$20:$A$49,0)),0)))</f>
        <v/>
      </c>
      <c r="AA170" s="94">
        <f>IF($A170="",0,IF(AE170="직접",IF(OR(AF170="유지비",AF170="손해조사비"),$P170,0),$P170*(1-AG170)*IFERROR(INDEX(계정대체기준!$D$20:$D$49,MATCH($N170,계정대체기준!$A$20:$A$49,0)),0)))</f>
        <v/>
      </c>
      <c r="AB170" s="94">
        <f>IF($A170="",0,IF(AE170="직접",IF(AF170="수금비",$P170,0),$P170*(1-AG170)*IFERROR(INDEX(계정대체기준!$E$20:$E$49,MATCH($N170,계정대체기준!$A$20:$A$49,0)),0)))</f>
        <v/>
      </c>
      <c r="AC170" s="9">
        <f>IF(AND($A170&lt;&gt;"",M170=설정!$C$20,Z170&gt;0),Z170+ROW()/1000000000,"")</f>
        <v/>
      </c>
      <c r="AD170" s="94">
        <f>IF($A170="",0,$P170*AG170)</f>
        <v/>
      </c>
      <c r="AE170" s="64">
        <f>IF($A170="","",IFERROR(INDEX(계정매핑!$E$5:$E$504,MATCH($F170&amp;"",계정매핑!$A$5:$A$504,0))&amp;"","공통비"))</f>
        <v/>
      </c>
      <c r="AF170" s="64">
        <f>IF($A170="","",IF(AE170="직접",IFERROR(INDEX(계정매핑!$F$5:$F$504,MATCH($F170&amp;"",계정매핑!$A$5:$A$504,0))&amp;"","비귀속"),""))</f>
        <v/>
      </c>
      <c r="AG170" s="96">
        <f>IF($A170="",0,IF(AND(AE170&lt;&gt;"직접",IFERROR(INDEX(계정매핑!$G$5:$G$504,MATCH($F170&amp;"",계정매핑!$A$5:$A$504,0))&amp;"","")="유지비",COUNTIF(계정대체기준!$A$6:$A$15,$N170)&gt;0),IFERROR(INDEX(계정대체기준!$E$6:$E$15,MATCH(VALUE($A170&amp;""),계정대체기준!$D$6:$D$15,0)),0),0))</f>
        <v/>
      </c>
      <c r="AH170" s="64">
        <f>IF($A170="","",IF(AD170=0,"",IF(OR(COUNTIF(계정대체기준!$A$77:$A$86,$N170)&gt;0,ISNUMBER(MATCH($X170,계정대체기준!$D$77:$D$86,0)),ISNUMBER(MATCH($F170,계정대체기준!$D$77:$D$86,0))),"Y","N")))</f>
        <v/>
      </c>
    </row>
    <row r="171">
      <c r="A171" s="92" t="n">
        <v>2025</v>
      </c>
      <c r="B171" s="92" t="n">
        <v>1</v>
      </c>
      <c r="C171" s="92" t="inlineStr">
        <is>
          <t>5100000167</t>
        </is>
      </c>
      <c r="D171" s="95" t="n">
        <v>45675</v>
      </c>
      <c r="E171" s="92" t="inlineStr">
        <is>
          <t>KR</t>
        </is>
      </c>
      <c r="F171" s="92" t="n">
        <v>62102000</v>
      </c>
      <c r="G171" s="92" t="n">
        <v>1601</v>
      </c>
      <c r="H171" s="93" t="n">
        <v>296000</v>
      </c>
      <c r="I171" s="92" t="inlineStr">
        <is>
          <t>1월 해외출장 - M항공</t>
        </is>
      </c>
      <c r="J171" s="92" t="inlineStr">
        <is>
          <t>V10001</t>
        </is>
      </c>
      <c r="K171" s="92" t="inlineStr">
        <is>
          <t>M항공</t>
        </is>
      </c>
      <c r="M171" s="9">
        <f>IF($A171="","",VALUE($A171&amp;"")*12+VALUE($B171&amp;""))</f>
        <v/>
      </c>
      <c r="N171" s="64">
        <f>IF($A171="","",IFERROR(INDEX(부서매핑!$C$5:$C$504,MATCH($G171&amp;"",부서매핑!$A$5:$A$504,0)),"미매핑"))</f>
        <v/>
      </c>
      <c r="O171" s="9">
        <f>IF($A171="","",N171&amp;"|"&amp;$F171)</f>
        <v/>
      </c>
      <c r="P171" s="94">
        <f>IF($A171="",0,$H171*설정!$C$23)</f>
        <v/>
      </c>
      <c r="Q171" s="64">
        <f>IF($A171="","",IF(O171&lt;&gt;원인분석!$C$9,"",IF(AND(M171&gt;=원인분석!$C$10,M171&lt;=원인분석!$C$11),"당기",IF(AND(M171&gt;=원인분석!$C$12,M171&lt;=원인분석!$C$13),"비교",""))))</f>
        <v/>
      </c>
      <c r="R171" s="9">
        <f>IF(Q171="","",$K171&amp;"")</f>
        <v/>
      </c>
      <c r="S171" s="9">
        <f>IF(Q171="","",IF(MATCH(R171,$R$5:$R$100000,0)=ROW()-4,ROW(),""))</f>
        <v/>
      </c>
      <c r="T171" s="9">
        <f>IF(Q171="당기",ABS(P171)+ROW()/1000000000,"")</f>
        <v/>
      </c>
      <c r="U171" s="9">
        <f>IF(Q171="비교",ABS(P171)+ROW()/1000000000,"")</f>
        <v/>
      </c>
      <c r="V171" s="64">
        <f>IF($A171="","",IF(COUNTIF(변동분석!$E$7:$E$506,O171)&gt;0,"Y","N"))</f>
        <v/>
      </c>
      <c r="W171" s="64">
        <f>IF($A171="","",IFERROR(INDEX(계정매핑!$D$5:$D$504,MATCH($F171&amp;"",계정매핑!$A$5:$A$504,0)),"미매핑"))</f>
        <v/>
      </c>
      <c r="X171" s="9">
        <f>IF($A171="","",$F171&amp;"")</f>
        <v/>
      </c>
      <c r="Y171" s="94">
        <f>IF($A171="",0,IF(AE171="직접",IF(AF171="비귀속",$P171,0),$P171*(1-AG171)*IFERROR(INDEX(계정대체기준!$F$20:$F$49,MATCH($N171,계정대체기준!$A$20:$A$49,0)),1)))</f>
        <v/>
      </c>
      <c r="Z171" s="94">
        <f>IF($A171="",0,IF(AE171="직접",IF(AF171="신계약비",$P171,0),$P171*(1-AG171)*IFERROR(INDEX(계정대체기준!$C$20:$C$49,MATCH($N171,계정대체기준!$A$20:$A$49,0)),0)))</f>
        <v/>
      </c>
      <c r="AA171" s="94">
        <f>IF($A171="",0,IF(AE171="직접",IF(OR(AF171="유지비",AF171="손해조사비"),$P171,0),$P171*(1-AG171)*IFERROR(INDEX(계정대체기준!$D$20:$D$49,MATCH($N171,계정대체기준!$A$20:$A$49,0)),0)))</f>
        <v/>
      </c>
      <c r="AB171" s="94">
        <f>IF($A171="",0,IF(AE171="직접",IF(AF171="수금비",$P171,0),$P171*(1-AG171)*IFERROR(INDEX(계정대체기준!$E$20:$E$49,MATCH($N171,계정대체기준!$A$20:$A$49,0)),0)))</f>
        <v/>
      </c>
      <c r="AC171" s="9">
        <f>IF(AND($A171&lt;&gt;"",M171=설정!$C$20,Z171&gt;0),Z171+ROW()/1000000000,"")</f>
        <v/>
      </c>
      <c r="AD171" s="94">
        <f>IF($A171="",0,$P171*AG171)</f>
        <v/>
      </c>
      <c r="AE171" s="64">
        <f>IF($A171="","",IFERROR(INDEX(계정매핑!$E$5:$E$504,MATCH($F171&amp;"",계정매핑!$A$5:$A$504,0))&amp;"","공통비"))</f>
        <v/>
      </c>
      <c r="AF171" s="64">
        <f>IF($A171="","",IF(AE171="직접",IFERROR(INDEX(계정매핑!$F$5:$F$504,MATCH($F171&amp;"",계정매핑!$A$5:$A$504,0))&amp;"","비귀속"),""))</f>
        <v/>
      </c>
      <c r="AG171" s="96">
        <f>IF($A171="",0,IF(AND(AE171&lt;&gt;"직접",IFERROR(INDEX(계정매핑!$G$5:$G$504,MATCH($F171&amp;"",계정매핑!$A$5:$A$504,0))&amp;"","")="유지비",COUNTIF(계정대체기준!$A$6:$A$15,$N171)&gt;0),IFERROR(INDEX(계정대체기준!$E$6:$E$15,MATCH(VALUE($A171&amp;""),계정대체기준!$D$6:$D$15,0)),0),0))</f>
        <v/>
      </c>
      <c r="AH171" s="64">
        <f>IF($A171="","",IF(AD171=0,"",IF(OR(COUNTIF(계정대체기준!$A$77:$A$86,$N171)&gt;0,ISNUMBER(MATCH($X171,계정대체기준!$D$77:$D$86,0)),ISNUMBER(MATCH($F171,계정대체기준!$D$77:$D$86,0))),"Y","N")))</f>
        <v/>
      </c>
    </row>
    <row r="172">
      <c r="A172" s="92" t="n">
        <v>2025</v>
      </c>
      <c r="B172" s="92" t="n">
        <v>1</v>
      </c>
      <c r="C172" s="92" t="inlineStr">
        <is>
          <t>5100000168</t>
        </is>
      </c>
      <c r="D172" s="95" t="n">
        <v>45675</v>
      </c>
      <c r="E172" s="92" t="inlineStr">
        <is>
          <t>KR</t>
        </is>
      </c>
      <c r="F172" s="92" t="n">
        <v>62102000</v>
      </c>
      <c r="G172" s="92" t="n">
        <v>1951</v>
      </c>
      <c r="H172" s="93" t="n">
        <v>70000</v>
      </c>
      <c r="I172" s="92" t="inlineStr">
        <is>
          <t>1월 해외출장 - N호텔</t>
        </is>
      </c>
      <c r="J172" s="92" t="inlineStr">
        <is>
          <t>V10009</t>
        </is>
      </c>
      <c r="K172" s="92" t="inlineStr">
        <is>
          <t>N호텔</t>
        </is>
      </c>
      <c r="M172" s="9">
        <f>IF($A172="","",VALUE($A172&amp;"")*12+VALUE($B172&amp;""))</f>
        <v/>
      </c>
      <c r="N172" s="64">
        <f>IF($A172="","",IFERROR(INDEX(부서매핑!$C$5:$C$504,MATCH($G172&amp;"",부서매핑!$A$5:$A$504,0)),"미매핑"))</f>
        <v/>
      </c>
      <c r="O172" s="9">
        <f>IF($A172="","",N172&amp;"|"&amp;$F172)</f>
        <v/>
      </c>
      <c r="P172" s="94">
        <f>IF($A172="",0,$H172*설정!$C$23)</f>
        <v/>
      </c>
      <c r="Q172" s="64">
        <f>IF($A172="","",IF(O172&lt;&gt;원인분석!$C$9,"",IF(AND(M172&gt;=원인분석!$C$10,M172&lt;=원인분석!$C$11),"당기",IF(AND(M172&gt;=원인분석!$C$12,M172&lt;=원인분석!$C$13),"비교",""))))</f>
        <v/>
      </c>
      <c r="R172" s="9">
        <f>IF(Q172="","",$K172&amp;"")</f>
        <v/>
      </c>
      <c r="S172" s="9">
        <f>IF(Q172="","",IF(MATCH(R172,$R$5:$R$100000,0)=ROW()-4,ROW(),""))</f>
        <v/>
      </c>
      <c r="T172" s="9">
        <f>IF(Q172="당기",ABS(P172)+ROW()/1000000000,"")</f>
        <v/>
      </c>
      <c r="U172" s="9">
        <f>IF(Q172="비교",ABS(P172)+ROW()/1000000000,"")</f>
        <v/>
      </c>
      <c r="V172" s="64">
        <f>IF($A172="","",IF(COUNTIF(변동분석!$E$7:$E$506,O172)&gt;0,"Y","N"))</f>
        <v/>
      </c>
      <c r="W172" s="64">
        <f>IF($A172="","",IFERROR(INDEX(계정매핑!$D$5:$D$504,MATCH($F172&amp;"",계정매핑!$A$5:$A$504,0)),"미매핑"))</f>
        <v/>
      </c>
      <c r="X172" s="9">
        <f>IF($A172="","",$F172&amp;"")</f>
        <v/>
      </c>
      <c r="Y172" s="94">
        <f>IF($A172="",0,IF(AE172="직접",IF(AF172="비귀속",$P172,0),$P172*(1-AG172)*IFERROR(INDEX(계정대체기준!$F$20:$F$49,MATCH($N172,계정대체기준!$A$20:$A$49,0)),1)))</f>
        <v/>
      </c>
      <c r="Z172" s="94">
        <f>IF($A172="",0,IF(AE172="직접",IF(AF172="신계약비",$P172,0),$P172*(1-AG172)*IFERROR(INDEX(계정대체기준!$C$20:$C$49,MATCH($N172,계정대체기준!$A$20:$A$49,0)),0)))</f>
        <v/>
      </c>
      <c r="AA172" s="94">
        <f>IF($A172="",0,IF(AE172="직접",IF(OR(AF172="유지비",AF172="손해조사비"),$P172,0),$P172*(1-AG172)*IFERROR(INDEX(계정대체기준!$D$20:$D$49,MATCH($N172,계정대체기준!$A$20:$A$49,0)),0)))</f>
        <v/>
      </c>
      <c r="AB172" s="94">
        <f>IF($A172="",0,IF(AE172="직접",IF(AF172="수금비",$P172,0),$P172*(1-AG172)*IFERROR(INDEX(계정대체기준!$E$20:$E$49,MATCH($N172,계정대체기준!$A$20:$A$49,0)),0)))</f>
        <v/>
      </c>
      <c r="AC172" s="9">
        <f>IF(AND($A172&lt;&gt;"",M172=설정!$C$20,Z172&gt;0),Z172+ROW()/1000000000,"")</f>
        <v/>
      </c>
      <c r="AD172" s="94">
        <f>IF($A172="",0,$P172*AG172)</f>
        <v/>
      </c>
      <c r="AE172" s="64">
        <f>IF($A172="","",IFERROR(INDEX(계정매핑!$E$5:$E$504,MATCH($F172&amp;"",계정매핑!$A$5:$A$504,0))&amp;"","공통비"))</f>
        <v/>
      </c>
      <c r="AF172" s="64">
        <f>IF($A172="","",IF(AE172="직접",IFERROR(INDEX(계정매핑!$F$5:$F$504,MATCH($F172&amp;"",계정매핑!$A$5:$A$504,0))&amp;"","비귀속"),""))</f>
        <v/>
      </c>
      <c r="AG172" s="96">
        <f>IF($A172="",0,IF(AND(AE172&lt;&gt;"직접",IFERROR(INDEX(계정매핑!$G$5:$G$504,MATCH($F172&amp;"",계정매핑!$A$5:$A$504,0))&amp;"","")="유지비",COUNTIF(계정대체기준!$A$6:$A$15,$N172)&gt;0),IFERROR(INDEX(계정대체기준!$E$6:$E$15,MATCH(VALUE($A172&amp;""),계정대체기준!$D$6:$D$15,0)),0),0))</f>
        <v/>
      </c>
      <c r="AH172" s="64">
        <f>IF($A172="","",IF(AD172=0,"",IF(OR(COUNTIF(계정대체기준!$A$77:$A$86,$N172)&gt;0,ISNUMBER(MATCH($X172,계정대체기준!$D$77:$D$86,0)),ISNUMBER(MATCH($F172,계정대체기준!$D$77:$D$86,0))),"Y","N")))</f>
        <v/>
      </c>
    </row>
    <row r="173">
      <c r="A173" s="92" t="n">
        <v>2025</v>
      </c>
      <c r="B173" s="92" t="n">
        <v>1</v>
      </c>
      <c r="C173" s="92" t="inlineStr">
        <is>
          <t>5100000169</t>
        </is>
      </c>
      <c r="D173" s="95" t="n">
        <v>45675</v>
      </c>
      <c r="E173" s="92" t="inlineStr">
        <is>
          <t>KR</t>
        </is>
      </c>
      <c r="F173" s="92" t="n">
        <v>62501000</v>
      </c>
      <c r="G173" s="92" t="n">
        <v>1301</v>
      </c>
      <c r="H173" s="93" t="n">
        <v>134000</v>
      </c>
      <c r="I173" s="92" t="inlineStr">
        <is>
          <t>1월 회의 다과 - T케이터링</t>
        </is>
      </c>
      <c r="J173" s="92" t="inlineStr">
        <is>
          <t>V10005</t>
        </is>
      </c>
      <c r="K173" s="92" t="inlineStr">
        <is>
          <t>T케이터링</t>
        </is>
      </c>
      <c r="M173" s="9">
        <f>IF($A173="","",VALUE($A173&amp;"")*12+VALUE($B173&amp;""))</f>
        <v/>
      </c>
      <c r="N173" s="64">
        <f>IF($A173="","",IFERROR(INDEX(부서매핑!$C$5:$C$504,MATCH($G173&amp;"",부서매핑!$A$5:$A$504,0)),"미매핑"))</f>
        <v/>
      </c>
      <c r="O173" s="9">
        <f>IF($A173="","",N173&amp;"|"&amp;$F173)</f>
        <v/>
      </c>
      <c r="P173" s="94">
        <f>IF($A173="",0,$H173*설정!$C$23)</f>
        <v/>
      </c>
      <c r="Q173" s="64">
        <f>IF($A173="","",IF(O173&lt;&gt;원인분석!$C$9,"",IF(AND(M173&gt;=원인분석!$C$10,M173&lt;=원인분석!$C$11),"당기",IF(AND(M173&gt;=원인분석!$C$12,M173&lt;=원인분석!$C$13),"비교",""))))</f>
        <v/>
      </c>
      <c r="R173" s="9">
        <f>IF(Q173="","",$K173&amp;"")</f>
        <v/>
      </c>
      <c r="S173" s="9">
        <f>IF(Q173="","",IF(MATCH(R173,$R$5:$R$100000,0)=ROW()-4,ROW(),""))</f>
        <v/>
      </c>
      <c r="T173" s="9">
        <f>IF(Q173="당기",ABS(P173)+ROW()/1000000000,"")</f>
        <v/>
      </c>
      <c r="U173" s="9">
        <f>IF(Q173="비교",ABS(P173)+ROW()/1000000000,"")</f>
        <v/>
      </c>
      <c r="V173" s="64">
        <f>IF($A173="","",IF(COUNTIF(변동분석!$E$7:$E$506,O173)&gt;0,"Y","N"))</f>
        <v/>
      </c>
      <c r="W173" s="64">
        <f>IF($A173="","",IFERROR(INDEX(계정매핑!$D$5:$D$504,MATCH($F173&amp;"",계정매핑!$A$5:$A$504,0)),"미매핑"))</f>
        <v/>
      </c>
      <c r="X173" s="9">
        <f>IF($A173="","",$F173&amp;"")</f>
        <v/>
      </c>
      <c r="Y173" s="94">
        <f>IF($A173="",0,IF(AE173="직접",IF(AF173="비귀속",$P173,0),$P173*(1-AG173)*IFERROR(INDEX(계정대체기준!$F$20:$F$49,MATCH($N173,계정대체기준!$A$20:$A$49,0)),1)))</f>
        <v/>
      </c>
      <c r="Z173" s="94">
        <f>IF($A173="",0,IF(AE173="직접",IF(AF173="신계약비",$P173,0),$P173*(1-AG173)*IFERROR(INDEX(계정대체기준!$C$20:$C$49,MATCH($N173,계정대체기준!$A$20:$A$49,0)),0)))</f>
        <v/>
      </c>
      <c r="AA173" s="94">
        <f>IF($A173="",0,IF(AE173="직접",IF(OR(AF173="유지비",AF173="손해조사비"),$P173,0),$P173*(1-AG173)*IFERROR(INDEX(계정대체기준!$D$20:$D$49,MATCH($N173,계정대체기준!$A$20:$A$49,0)),0)))</f>
        <v/>
      </c>
      <c r="AB173" s="94">
        <f>IF($A173="",0,IF(AE173="직접",IF(AF173="수금비",$P173,0),$P173*(1-AG173)*IFERROR(INDEX(계정대체기준!$E$20:$E$49,MATCH($N173,계정대체기준!$A$20:$A$49,0)),0)))</f>
        <v/>
      </c>
      <c r="AC173" s="9">
        <f>IF(AND($A173&lt;&gt;"",M173=설정!$C$20,Z173&gt;0),Z173+ROW()/1000000000,"")</f>
        <v/>
      </c>
      <c r="AD173" s="94">
        <f>IF($A173="",0,$P173*AG173)</f>
        <v/>
      </c>
      <c r="AE173" s="64">
        <f>IF($A173="","",IFERROR(INDEX(계정매핑!$E$5:$E$504,MATCH($F173&amp;"",계정매핑!$A$5:$A$504,0))&amp;"","공통비"))</f>
        <v/>
      </c>
      <c r="AF173" s="64">
        <f>IF($A173="","",IF(AE173="직접",IFERROR(INDEX(계정매핑!$F$5:$F$504,MATCH($F173&amp;"",계정매핑!$A$5:$A$504,0))&amp;"","비귀속"),""))</f>
        <v/>
      </c>
      <c r="AG173" s="96">
        <f>IF($A173="",0,IF(AND(AE173&lt;&gt;"직접",IFERROR(INDEX(계정매핑!$G$5:$G$504,MATCH($F173&amp;"",계정매핑!$A$5:$A$504,0))&amp;"","")="유지비",COUNTIF(계정대체기준!$A$6:$A$15,$N173)&gt;0),IFERROR(INDEX(계정대체기준!$E$6:$E$15,MATCH(VALUE($A173&amp;""),계정대체기준!$D$6:$D$15,0)),0),0))</f>
        <v/>
      </c>
      <c r="AH173" s="64">
        <f>IF($A173="","",IF(AD173=0,"",IF(OR(COUNTIF(계정대체기준!$A$77:$A$86,$N173)&gt;0,ISNUMBER(MATCH($X173,계정대체기준!$D$77:$D$86,0)),ISNUMBER(MATCH($F173,계정대체기준!$D$77:$D$86,0))),"Y","N")))</f>
        <v/>
      </c>
    </row>
    <row r="174">
      <c r="A174" s="92" t="n">
        <v>2025</v>
      </c>
      <c r="B174" s="92" t="n">
        <v>1</v>
      </c>
      <c r="C174" s="92" t="inlineStr">
        <is>
          <t>5100000170</t>
        </is>
      </c>
      <c r="D174" s="95" t="n">
        <v>45675</v>
      </c>
      <c r="E174" s="92" t="inlineStr">
        <is>
          <t>KR</t>
        </is>
      </c>
      <c r="F174" s="92" t="n">
        <v>62801000</v>
      </c>
      <c r="G174" s="92" t="n">
        <v>1301</v>
      </c>
      <c r="H174" s="93" t="n">
        <v>1759000</v>
      </c>
      <c r="I174" s="92" t="inlineStr">
        <is>
          <t>1월 사내교육 - U에듀</t>
        </is>
      </c>
      <c r="J174" s="92" t="inlineStr">
        <is>
          <t>V10031</t>
        </is>
      </c>
      <c r="K174" s="92" t="inlineStr">
        <is>
          <t>U에듀</t>
        </is>
      </c>
      <c r="M174" s="9">
        <f>IF($A174="","",VALUE($A174&amp;"")*12+VALUE($B174&amp;""))</f>
        <v/>
      </c>
      <c r="N174" s="64">
        <f>IF($A174="","",IFERROR(INDEX(부서매핑!$C$5:$C$504,MATCH($G174&amp;"",부서매핑!$A$5:$A$504,0)),"미매핑"))</f>
        <v/>
      </c>
      <c r="O174" s="9">
        <f>IF($A174="","",N174&amp;"|"&amp;$F174)</f>
        <v/>
      </c>
      <c r="P174" s="94">
        <f>IF($A174="",0,$H174*설정!$C$23)</f>
        <v/>
      </c>
      <c r="Q174" s="64">
        <f>IF($A174="","",IF(O174&lt;&gt;원인분석!$C$9,"",IF(AND(M174&gt;=원인분석!$C$10,M174&lt;=원인분석!$C$11),"당기",IF(AND(M174&gt;=원인분석!$C$12,M174&lt;=원인분석!$C$13),"비교",""))))</f>
        <v/>
      </c>
      <c r="R174" s="9">
        <f>IF(Q174="","",$K174&amp;"")</f>
        <v/>
      </c>
      <c r="S174" s="9">
        <f>IF(Q174="","",IF(MATCH(R174,$R$5:$R$100000,0)=ROW()-4,ROW(),""))</f>
        <v/>
      </c>
      <c r="T174" s="9">
        <f>IF(Q174="당기",ABS(P174)+ROW()/1000000000,"")</f>
        <v/>
      </c>
      <c r="U174" s="9">
        <f>IF(Q174="비교",ABS(P174)+ROW()/1000000000,"")</f>
        <v/>
      </c>
      <c r="V174" s="64">
        <f>IF($A174="","",IF(COUNTIF(변동분석!$E$7:$E$506,O174)&gt;0,"Y","N"))</f>
        <v/>
      </c>
      <c r="W174" s="64">
        <f>IF($A174="","",IFERROR(INDEX(계정매핑!$D$5:$D$504,MATCH($F174&amp;"",계정매핑!$A$5:$A$504,0)),"미매핑"))</f>
        <v/>
      </c>
      <c r="X174" s="9">
        <f>IF($A174="","",$F174&amp;"")</f>
        <v/>
      </c>
      <c r="Y174" s="94">
        <f>IF($A174="",0,IF(AE174="직접",IF(AF174="비귀속",$P174,0),$P174*(1-AG174)*IFERROR(INDEX(계정대체기준!$F$20:$F$49,MATCH($N174,계정대체기준!$A$20:$A$49,0)),1)))</f>
        <v/>
      </c>
      <c r="Z174" s="94">
        <f>IF($A174="",0,IF(AE174="직접",IF(AF174="신계약비",$P174,0),$P174*(1-AG174)*IFERROR(INDEX(계정대체기준!$C$20:$C$49,MATCH($N174,계정대체기준!$A$20:$A$49,0)),0)))</f>
        <v/>
      </c>
      <c r="AA174" s="94">
        <f>IF($A174="",0,IF(AE174="직접",IF(OR(AF174="유지비",AF174="손해조사비"),$P174,0),$P174*(1-AG174)*IFERROR(INDEX(계정대체기준!$D$20:$D$49,MATCH($N174,계정대체기준!$A$20:$A$49,0)),0)))</f>
        <v/>
      </c>
      <c r="AB174" s="94">
        <f>IF($A174="",0,IF(AE174="직접",IF(AF174="수금비",$P174,0),$P174*(1-AG174)*IFERROR(INDEX(계정대체기준!$E$20:$E$49,MATCH($N174,계정대체기준!$A$20:$A$49,0)),0)))</f>
        <v/>
      </c>
      <c r="AC174" s="9">
        <f>IF(AND($A174&lt;&gt;"",M174=설정!$C$20,Z174&gt;0),Z174+ROW()/1000000000,"")</f>
        <v/>
      </c>
      <c r="AD174" s="94">
        <f>IF($A174="",0,$P174*AG174)</f>
        <v/>
      </c>
      <c r="AE174" s="64">
        <f>IF($A174="","",IFERROR(INDEX(계정매핑!$E$5:$E$504,MATCH($F174&amp;"",계정매핑!$A$5:$A$504,0))&amp;"","공통비"))</f>
        <v/>
      </c>
      <c r="AF174" s="64">
        <f>IF($A174="","",IF(AE174="직접",IFERROR(INDEX(계정매핑!$F$5:$F$504,MATCH($F174&amp;"",계정매핑!$A$5:$A$504,0))&amp;"","비귀속"),""))</f>
        <v/>
      </c>
      <c r="AG174" s="96">
        <f>IF($A174="",0,IF(AND(AE174&lt;&gt;"직접",IFERROR(INDEX(계정매핑!$G$5:$G$504,MATCH($F174&amp;"",계정매핑!$A$5:$A$504,0))&amp;"","")="유지비",COUNTIF(계정대체기준!$A$6:$A$15,$N174)&gt;0),IFERROR(INDEX(계정대체기준!$E$6:$E$15,MATCH(VALUE($A174&amp;""),계정대체기준!$D$6:$D$15,0)),0),0))</f>
        <v/>
      </c>
      <c r="AH174" s="64">
        <f>IF($A174="","",IF(AD174=0,"",IF(OR(COUNTIF(계정대체기준!$A$77:$A$86,$N174)&gt;0,ISNUMBER(MATCH($X174,계정대체기준!$D$77:$D$86,0)),ISNUMBER(MATCH($F174,계정대체기준!$D$77:$D$86,0))),"Y","N")))</f>
        <v/>
      </c>
    </row>
    <row r="175">
      <c r="A175" s="92" t="n">
        <v>2025</v>
      </c>
      <c r="B175" s="92" t="n">
        <v>1</v>
      </c>
      <c r="C175" s="92" t="inlineStr">
        <is>
          <t>5100000171</t>
        </is>
      </c>
      <c r="D175" s="95" t="n">
        <v>45675</v>
      </c>
      <c r="E175" s="92" t="inlineStr">
        <is>
          <t>KR</t>
        </is>
      </c>
      <c r="F175" s="92" t="n">
        <v>62901000</v>
      </c>
      <c r="G175" s="92" t="n">
        <v>1951</v>
      </c>
      <c r="H175" s="93" t="n">
        <v>5248000</v>
      </c>
      <c r="I175" s="92" t="inlineStr">
        <is>
          <t>1월 자문 수수료 - W컨설팅</t>
        </is>
      </c>
      <c r="J175" s="92" t="inlineStr">
        <is>
          <t>V10006</t>
        </is>
      </c>
      <c r="K175" s="92" t="inlineStr">
        <is>
          <t>W컨설팅</t>
        </is>
      </c>
      <c r="M175" s="9">
        <f>IF($A175="","",VALUE($A175&amp;"")*12+VALUE($B175&amp;""))</f>
        <v/>
      </c>
      <c r="N175" s="64">
        <f>IF($A175="","",IFERROR(INDEX(부서매핑!$C$5:$C$504,MATCH($G175&amp;"",부서매핑!$A$5:$A$504,0)),"미매핑"))</f>
        <v/>
      </c>
      <c r="O175" s="9">
        <f>IF($A175="","",N175&amp;"|"&amp;$F175)</f>
        <v/>
      </c>
      <c r="P175" s="94">
        <f>IF($A175="",0,$H175*설정!$C$23)</f>
        <v/>
      </c>
      <c r="Q175" s="64">
        <f>IF($A175="","",IF(O175&lt;&gt;원인분석!$C$9,"",IF(AND(M175&gt;=원인분석!$C$10,M175&lt;=원인분석!$C$11),"당기",IF(AND(M175&gt;=원인분석!$C$12,M175&lt;=원인분석!$C$13),"비교",""))))</f>
        <v/>
      </c>
      <c r="R175" s="9">
        <f>IF(Q175="","",$K175&amp;"")</f>
        <v/>
      </c>
      <c r="S175" s="9">
        <f>IF(Q175="","",IF(MATCH(R175,$R$5:$R$100000,0)=ROW()-4,ROW(),""))</f>
        <v/>
      </c>
      <c r="T175" s="9">
        <f>IF(Q175="당기",ABS(P175)+ROW()/1000000000,"")</f>
        <v/>
      </c>
      <c r="U175" s="9">
        <f>IF(Q175="비교",ABS(P175)+ROW()/1000000000,"")</f>
        <v/>
      </c>
      <c r="V175" s="64">
        <f>IF($A175="","",IF(COUNTIF(변동분석!$E$7:$E$506,O175)&gt;0,"Y","N"))</f>
        <v/>
      </c>
      <c r="W175" s="64">
        <f>IF($A175="","",IFERROR(INDEX(계정매핑!$D$5:$D$504,MATCH($F175&amp;"",계정매핑!$A$5:$A$504,0)),"미매핑"))</f>
        <v/>
      </c>
      <c r="X175" s="9">
        <f>IF($A175="","",$F175&amp;"")</f>
        <v/>
      </c>
      <c r="Y175" s="94">
        <f>IF($A175="",0,IF(AE175="직접",IF(AF175="비귀속",$P175,0),$P175*(1-AG175)*IFERROR(INDEX(계정대체기준!$F$20:$F$49,MATCH($N175,계정대체기준!$A$20:$A$49,0)),1)))</f>
        <v/>
      </c>
      <c r="Z175" s="94">
        <f>IF($A175="",0,IF(AE175="직접",IF(AF175="신계약비",$P175,0),$P175*(1-AG175)*IFERROR(INDEX(계정대체기준!$C$20:$C$49,MATCH($N175,계정대체기준!$A$20:$A$49,0)),0)))</f>
        <v/>
      </c>
      <c r="AA175" s="94">
        <f>IF($A175="",0,IF(AE175="직접",IF(OR(AF175="유지비",AF175="손해조사비"),$P175,0),$P175*(1-AG175)*IFERROR(INDEX(계정대체기준!$D$20:$D$49,MATCH($N175,계정대체기준!$A$20:$A$49,0)),0)))</f>
        <v/>
      </c>
      <c r="AB175" s="94">
        <f>IF($A175="",0,IF(AE175="직접",IF(AF175="수금비",$P175,0),$P175*(1-AG175)*IFERROR(INDEX(계정대체기준!$E$20:$E$49,MATCH($N175,계정대체기준!$A$20:$A$49,0)),0)))</f>
        <v/>
      </c>
      <c r="AC175" s="9">
        <f>IF(AND($A175&lt;&gt;"",M175=설정!$C$20,Z175&gt;0),Z175+ROW()/1000000000,"")</f>
        <v/>
      </c>
      <c r="AD175" s="94">
        <f>IF($A175="",0,$P175*AG175)</f>
        <v/>
      </c>
      <c r="AE175" s="64">
        <f>IF($A175="","",IFERROR(INDEX(계정매핑!$E$5:$E$504,MATCH($F175&amp;"",계정매핑!$A$5:$A$504,0))&amp;"","공통비"))</f>
        <v/>
      </c>
      <c r="AF175" s="64">
        <f>IF($A175="","",IF(AE175="직접",IFERROR(INDEX(계정매핑!$F$5:$F$504,MATCH($F175&amp;"",계정매핑!$A$5:$A$504,0))&amp;"","비귀속"),""))</f>
        <v/>
      </c>
      <c r="AG175" s="96">
        <f>IF($A175="",0,IF(AND(AE175&lt;&gt;"직접",IFERROR(INDEX(계정매핑!$G$5:$G$504,MATCH($F175&amp;"",계정매핑!$A$5:$A$504,0))&amp;"","")="유지비",COUNTIF(계정대체기준!$A$6:$A$15,$N175)&gt;0),IFERROR(INDEX(계정대체기준!$E$6:$E$15,MATCH(VALUE($A175&amp;""),계정대체기준!$D$6:$D$15,0)),0),0))</f>
        <v/>
      </c>
      <c r="AH175" s="64">
        <f>IF($A175="","",IF(AD175=0,"",IF(OR(COUNTIF(계정대체기준!$A$77:$A$86,$N175)&gt;0,ISNUMBER(MATCH($X175,계정대체기준!$D$77:$D$86,0)),ISNUMBER(MATCH($F175,계정대체기준!$D$77:$D$86,0))),"Y","N")))</f>
        <v/>
      </c>
    </row>
    <row r="176">
      <c r="A176" s="92" t="n">
        <v>2025</v>
      </c>
      <c r="B176" s="92" t="n">
        <v>1</v>
      </c>
      <c r="C176" s="92" t="inlineStr">
        <is>
          <t>5100000172</t>
        </is>
      </c>
      <c r="D176" s="95" t="n">
        <v>45675</v>
      </c>
      <c r="E176" s="92" t="inlineStr">
        <is>
          <t>KR</t>
        </is>
      </c>
      <c r="F176" s="92" t="n">
        <v>62902000</v>
      </c>
      <c r="G176" s="92" t="n">
        <v>1201</v>
      </c>
      <c r="H176" s="93" t="n">
        <v>2793000</v>
      </c>
      <c r="I176" s="92" t="inlineStr">
        <is>
          <t>1월 업무 위탁 수수료 - X서비스</t>
        </is>
      </c>
      <c r="J176" s="92" t="inlineStr">
        <is>
          <t>V10020</t>
        </is>
      </c>
      <c r="K176" s="92" t="inlineStr">
        <is>
          <t>X서비스</t>
        </is>
      </c>
      <c r="M176" s="9">
        <f>IF($A176="","",VALUE($A176&amp;"")*12+VALUE($B176&amp;""))</f>
        <v/>
      </c>
      <c r="N176" s="64">
        <f>IF($A176="","",IFERROR(INDEX(부서매핑!$C$5:$C$504,MATCH($G176&amp;"",부서매핑!$A$5:$A$504,0)),"미매핑"))</f>
        <v/>
      </c>
      <c r="O176" s="9">
        <f>IF($A176="","",N176&amp;"|"&amp;$F176)</f>
        <v/>
      </c>
      <c r="P176" s="94">
        <f>IF($A176="",0,$H176*설정!$C$23)</f>
        <v/>
      </c>
      <c r="Q176" s="64">
        <f>IF($A176="","",IF(O176&lt;&gt;원인분석!$C$9,"",IF(AND(M176&gt;=원인분석!$C$10,M176&lt;=원인분석!$C$11),"당기",IF(AND(M176&gt;=원인분석!$C$12,M176&lt;=원인분석!$C$13),"비교",""))))</f>
        <v/>
      </c>
      <c r="R176" s="9">
        <f>IF(Q176="","",$K176&amp;"")</f>
        <v/>
      </c>
      <c r="S176" s="9">
        <f>IF(Q176="","",IF(MATCH(R176,$R$5:$R$100000,0)=ROW()-4,ROW(),""))</f>
        <v/>
      </c>
      <c r="T176" s="9">
        <f>IF(Q176="당기",ABS(P176)+ROW()/1000000000,"")</f>
        <v/>
      </c>
      <c r="U176" s="9">
        <f>IF(Q176="비교",ABS(P176)+ROW()/1000000000,"")</f>
        <v/>
      </c>
      <c r="V176" s="64">
        <f>IF($A176="","",IF(COUNTIF(변동분석!$E$7:$E$506,O176)&gt;0,"Y","N"))</f>
        <v/>
      </c>
      <c r="W176" s="64">
        <f>IF($A176="","",IFERROR(INDEX(계정매핑!$D$5:$D$504,MATCH($F176&amp;"",계정매핑!$A$5:$A$504,0)),"미매핑"))</f>
        <v/>
      </c>
      <c r="X176" s="9">
        <f>IF($A176="","",$F176&amp;"")</f>
        <v/>
      </c>
      <c r="Y176" s="94">
        <f>IF($A176="",0,IF(AE176="직접",IF(AF176="비귀속",$P176,0),$P176*(1-AG176)*IFERROR(INDEX(계정대체기준!$F$20:$F$49,MATCH($N176,계정대체기준!$A$20:$A$49,0)),1)))</f>
        <v/>
      </c>
      <c r="Z176" s="94">
        <f>IF($A176="",0,IF(AE176="직접",IF(AF176="신계약비",$P176,0),$P176*(1-AG176)*IFERROR(INDEX(계정대체기준!$C$20:$C$49,MATCH($N176,계정대체기준!$A$20:$A$49,0)),0)))</f>
        <v/>
      </c>
      <c r="AA176" s="94">
        <f>IF($A176="",0,IF(AE176="직접",IF(OR(AF176="유지비",AF176="손해조사비"),$P176,0),$P176*(1-AG176)*IFERROR(INDEX(계정대체기준!$D$20:$D$49,MATCH($N176,계정대체기준!$A$20:$A$49,0)),0)))</f>
        <v/>
      </c>
      <c r="AB176" s="94">
        <f>IF($A176="",0,IF(AE176="직접",IF(AF176="수금비",$P176,0),$P176*(1-AG176)*IFERROR(INDEX(계정대체기준!$E$20:$E$49,MATCH($N176,계정대체기준!$A$20:$A$49,0)),0)))</f>
        <v/>
      </c>
      <c r="AC176" s="9">
        <f>IF(AND($A176&lt;&gt;"",M176=설정!$C$20,Z176&gt;0),Z176+ROW()/1000000000,"")</f>
        <v/>
      </c>
      <c r="AD176" s="94">
        <f>IF($A176="",0,$P176*AG176)</f>
        <v/>
      </c>
      <c r="AE176" s="64">
        <f>IF($A176="","",IFERROR(INDEX(계정매핑!$E$5:$E$504,MATCH($F176&amp;"",계정매핑!$A$5:$A$504,0))&amp;"","공통비"))</f>
        <v/>
      </c>
      <c r="AF176" s="64">
        <f>IF($A176="","",IF(AE176="직접",IFERROR(INDEX(계정매핑!$F$5:$F$504,MATCH($F176&amp;"",계정매핑!$A$5:$A$504,0))&amp;"","비귀속"),""))</f>
        <v/>
      </c>
      <c r="AG176" s="96">
        <f>IF($A176="",0,IF(AND(AE176&lt;&gt;"직접",IFERROR(INDEX(계정매핑!$G$5:$G$504,MATCH($F176&amp;"",계정매핑!$A$5:$A$504,0))&amp;"","")="유지비",COUNTIF(계정대체기준!$A$6:$A$15,$N176)&gt;0),IFERROR(INDEX(계정대체기준!$E$6:$E$15,MATCH(VALUE($A176&amp;""),계정대체기준!$D$6:$D$15,0)),0),0))</f>
        <v/>
      </c>
      <c r="AH176" s="64">
        <f>IF($A176="","",IF(AD176=0,"",IF(OR(COUNTIF(계정대체기준!$A$77:$A$86,$N176)&gt;0,ISNUMBER(MATCH($X176,계정대체기준!$D$77:$D$86,0)),ISNUMBER(MATCH($F176,계정대체기준!$D$77:$D$86,0))),"Y","N")))</f>
        <v/>
      </c>
    </row>
    <row r="177">
      <c r="A177" s="92" t="n">
        <v>2025</v>
      </c>
      <c r="B177" s="92" t="n">
        <v>1</v>
      </c>
      <c r="C177" s="92" t="inlineStr">
        <is>
          <t>5100000173</t>
        </is>
      </c>
      <c r="D177" s="95" t="n">
        <v>45675</v>
      </c>
      <c r="E177" s="92" t="inlineStr">
        <is>
          <t>KR</t>
        </is>
      </c>
      <c r="F177" s="92" t="n">
        <v>62902000</v>
      </c>
      <c r="G177" s="92" t="n">
        <v>1401</v>
      </c>
      <c r="H177" s="93" t="n">
        <v>1874000</v>
      </c>
      <c r="I177" s="92" t="inlineStr">
        <is>
          <t>1월 업무 위탁 수수료 - X서비스</t>
        </is>
      </c>
      <c r="J177" s="92" t="inlineStr">
        <is>
          <t>V10020</t>
        </is>
      </c>
      <c r="K177" s="92" t="inlineStr">
        <is>
          <t>X서비스</t>
        </is>
      </c>
      <c r="M177" s="9">
        <f>IF($A177="","",VALUE($A177&amp;"")*12+VALUE($B177&amp;""))</f>
        <v/>
      </c>
      <c r="N177" s="64">
        <f>IF($A177="","",IFERROR(INDEX(부서매핑!$C$5:$C$504,MATCH($G177&amp;"",부서매핑!$A$5:$A$504,0)),"미매핑"))</f>
        <v/>
      </c>
      <c r="O177" s="9">
        <f>IF($A177="","",N177&amp;"|"&amp;$F177)</f>
        <v/>
      </c>
      <c r="P177" s="94">
        <f>IF($A177="",0,$H177*설정!$C$23)</f>
        <v/>
      </c>
      <c r="Q177" s="64">
        <f>IF($A177="","",IF(O177&lt;&gt;원인분석!$C$9,"",IF(AND(M177&gt;=원인분석!$C$10,M177&lt;=원인분석!$C$11),"당기",IF(AND(M177&gt;=원인분석!$C$12,M177&lt;=원인분석!$C$13),"비교",""))))</f>
        <v/>
      </c>
      <c r="R177" s="9">
        <f>IF(Q177="","",$K177&amp;"")</f>
        <v/>
      </c>
      <c r="S177" s="9">
        <f>IF(Q177="","",IF(MATCH(R177,$R$5:$R$100000,0)=ROW()-4,ROW(),""))</f>
        <v/>
      </c>
      <c r="T177" s="9">
        <f>IF(Q177="당기",ABS(P177)+ROW()/1000000000,"")</f>
        <v/>
      </c>
      <c r="U177" s="9">
        <f>IF(Q177="비교",ABS(P177)+ROW()/1000000000,"")</f>
        <v/>
      </c>
      <c r="V177" s="64">
        <f>IF($A177="","",IF(COUNTIF(변동분석!$E$7:$E$506,O177)&gt;0,"Y","N"))</f>
        <v/>
      </c>
      <c r="W177" s="64">
        <f>IF($A177="","",IFERROR(INDEX(계정매핑!$D$5:$D$504,MATCH($F177&amp;"",계정매핑!$A$5:$A$504,0)),"미매핑"))</f>
        <v/>
      </c>
      <c r="X177" s="9">
        <f>IF($A177="","",$F177&amp;"")</f>
        <v/>
      </c>
      <c r="Y177" s="94">
        <f>IF($A177="",0,IF(AE177="직접",IF(AF177="비귀속",$P177,0),$P177*(1-AG177)*IFERROR(INDEX(계정대체기준!$F$20:$F$49,MATCH($N177,계정대체기준!$A$20:$A$49,0)),1)))</f>
        <v/>
      </c>
      <c r="Z177" s="94">
        <f>IF($A177="",0,IF(AE177="직접",IF(AF177="신계약비",$P177,0),$P177*(1-AG177)*IFERROR(INDEX(계정대체기준!$C$20:$C$49,MATCH($N177,계정대체기준!$A$20:$A$49,0)),0)))</f>
        <v/>
      </c>
      <c r="AA177" s="94">
        <f>IF($A177="",0,IF(AE177="직접",IF(OR(AF177="유지비",AF177="손해조사비"),$P177,0),$P177*(1-AG177)*IFERROR(INDEX(계정대체기준!$D$20:$D$49,MATCH($N177,계정대체기준!$A$20:$A$49,0)),0)))</f>
        <v/>
      </c>
      <c r="AB177" s="94">
        <f>IF($A177="",0,IF(AE177="직접",IF(AF177="수금비",$P177,0),$P177*(1-AG177)*IFERROR(INDEX(계정대체기준!$E$20:$E$49,MATCH($N177,계정대체기준!$A$20:$A$49,0)),0)))</f>
        <v/>
      </c>
      <c r="AC177" s="9">
        <f>IF(AND($A177&lt;&gt;"",M177=설정!$C$20,Z177&gt;0),Z177+ROW()/1000000000,"")</f>
        <v/>
      </c>
      <c r="AD177" s="94">
        <f>IF($A177="",0,$P177*AG177)</f>
        <v/>
      </c>
      <c r="AE177" s="64">
        <f>IF($A177="","",IFERROR(INDEX(계정매핑!$E$5:$E$504,MATCH($F177&amp;"",계정매핑!$A$5:$A$504,0))&amp;"","공통비"))</f>
        <v/>
      </c>
      <c r="AF177" s="64">
        <f>IF($A177="","",IF(AE177="직접",IFERROR(INDEX(계정매핑!$F$5:$F$504,MATCH($F177&amp;"",계정매핑!$A$5:$A$504,0))&amp;"","비귀속"),""))</f>
        <v/>
      </c>
      <c r="AG177" s="96">
        <f>IF($A177="",0,IF(AND(AE177&lt;&gt;"직접",IFERROR(INDEX(계정매핑!$G$5:$G$504,MATCH($F177&amp;"",계정매핑!$A$5:$A$504,0))&amp;"","")="유지비",COUNTIF(계정대체기준!$A$6:$A$15,$N177)&gt;0),IFERROR(INDEX(계정대체기준!$E$6:$E$15,MATCH(VALUE($A177&amp;""),계정대체기준!$D$6:$D$15,0)),0),0))</f>
        <v/>
      </c>
      <c r="AH177" s="64">
        <f>IF($A177="","",IF(AD177=0,"",IF(OR(COUNTIF(계정대체기준!$A$77:$A$86,$N177)&gt;0,ISNUMBER(MATCH($X177,계정대체기준!$D$77:$D$86,0)),ISNUMBER(MATCH($F177,계정대체기준!$D$77:$D$86,0))),"Y","N")))</f>
        <v/>
      </c>
    </row>
    <row r="178">
      <c r="A178" s="92" t="n">
        <v>2025</v>
      </c>
      <c r="B178" s="92" t="n">
        <v>1</v>
      </c>
      <c r="C178" s="92" t="inlineStr">
        <is>
          <t>5100000174</t>
        </is>
      </c>
      <c r="D178" s="95" t="n">
        <v>45676</v>
      </c>
      <c r="E178" s="92" t="inlineStr">
        <is>
          <t>KR</t>
        </is>
      </c>
      <c r="F178" s="92" t="n">
        <v>62101000</v>
      </c>
      <c r="G178" s="92" t="n">
        <v>1101</v>
      </c>
      <c r="H178" s="93" t="n">
        <v>510000</v>
      </c>
      <c r="I178" s="92" t="inlineStr">
        <is>
          <t>1월 국내출장 - L여행사</t>
        </is>
      </c>
      <c r="J178" s="92" t="inlineStr">
        <is>
          <t>V10018</t>
        </is>
      </c>
      <c r="K178" s="92" t="inlineStr">
        <is>
          <t>L여행사</t>
        </is>
      </c>
      <c r="M178" s="9">
        <f>IF($A178="","",VALUE($A178&amp;"")*12+VALUE($B178&amp;""))</f>
        <v/>
      </c>
      <c r="N178" s="64">
        <f>IF($A178="","",IFERROR(INDEX(부서매핑!$C$5:$C$504,MATCH($G178&amp;"",부서매핑!$A$5:$A$504,0)),"미매핑"))</f>
        <v/>
      </c>
      <c r="O178" s="9">
        <f>IF($A178="","",N178&amp;"|"&amp;$F178)</f>
        <v/>
      </c>
      <c r="P178" s="94">
        <f>IF($A178="",0,$H178*설정!$C$23)</f>
        <v/>
      </c>
      <c r="Q178" s="64">
        <f>IF($A178="","",IF(O178&lt;&gt;원인분석!$C$9,"",IF(AND(M178&gt;=원인분석!$C$10,M178&lt;=원인분석!$C$11),"당기",IF(AND(M178&gt;=원인분석!$C$12,M178&lt;=원인분석!$C$13),"비교",""))))</f>
        <v/>
      </c>
      <c r="R178" s="9">
        <f>IF(Q178="","",$K178&amp;"")</f>
        <v/>
      </c>
      <c r="S178" s="9">
        <f>IF(Q178="","",IF(MATCH(R178,$R$5:$R$100000,0)=ROW()-4,ROW(),""))</f>
        <v/>
      </c>
      <c r="T178" s="9">
        <f>IF(Q178="당기",ABS(P178)+ROW()/1000000000,"")</f>
        <v/>
      </c>
      <c r="U178" s="9">
        <f>IF(Q178="비교",ABS(P178)+ROW()/1000000000,"")</f>
        <v/>
      </c>
      <c r="V178" s="64">
        <f>IF($A178="","",IF(COUNTIF(변동분석!$E$7:$E$506,O178)&gt;0,"Y","N"))</f>
        <v/>
      </c>
      <c r="W178" s="64">
        <f>IF($A178="","",IFERROR(INDEX(계정매핑!$D$5:$D$504,MATCH($F178&amp;"",계정매핑!$A$5:$A$504,0)),"미매핑"))</f>
        <v/>
      </c>
      <c r="X178" s="9">
        <f>IF($A178="","",$F178&amp;"")</f>
        <v/>
      </c>
      <c r="Y178" s="94">
        <f>IF($A178="",0,IF(AE178="직접",IF(AF178="비귀속",$P178,0),$P178*(1-AG178)*IFERROR(INDEX(계정대체기준!$F$20:$F$49,MATCH($N178,계정대체기준!$A$20:$A$49,0)),1)))</f>
        <v/>
      </c>
      <c r="Z178" s="94">
        <f>IF($A178="",0,IF(AE178="직접",IF(AF178="신계약비",$P178,0),$P178*(1-AG178)*IFERROR(INDEX(계정대체기준!$C$20:$C$49,MATCH($N178,계정대체기준!$A$20:$A$49,0)),0)))</f>
        <v/>
      </c>
      <c r="AA178" s="94">
        <f>IF($A178="",0,IF(AE178="직접",IF(OR(AF178="유지비",AF178="손해조사비"),$P178,0),$P178*(1-AG178)*IFERROR(INDEX(계정대체기준!$D$20:$D$49,MATCH($N178,계정대체기준!$A$20:$A$49,0)),0)))</f>
        <v/>
      </c>
      <c r="AB178" s="94">
        <f>IF($A178="",0,IF(AE178="직접",IF(AF178="수금비",$P178,0),$P178*(1-AG178)*IFERROR(INDEX(계정대체기준!$E$20:$E$49,MATCH($N178,계정대체기준!$A$20:$A$49,0)),0)))</f>
        <v/>
      </c>
      <c r="AC178" s="9">
        <f>IF(AND($A178&lt;&gt;"",M178=설정!$C$20,Z178&gt;0),Z178+ROW()/1000000000,"")</f>
        <v/>
      </c>
      <c r="AD178" s="94">
        <f>IF($A178="",0,$P178*AG178)</f>
        <v/>
      </c>
      <c r="AE178" s="64">
        <f>IF($A178="","",IFERROR(INDEX(계정매핑!$E$5:$E$504,MATCH($F178&amp;"",계정매핑!$A$5:$A$504,0))&amp;"","공통비"))</f>
        <v/>
      </c>
      <c r="AF178" s="64">
        <f>IF($A178="","",IF(AE178="직접",IFERROR(INDEX(계정매핑!$F$5:$F$504,MATCH($F178&amp;"",계정매핑!$A$5:$A$504,0))&amp;"","비귀속"),""))</f>
        <v/>
      </c>
      <c r="AG178" s="96">
        <f>IF($A178="",0,IF(AND(AE178&lt;&gt;"직접",IFERROR(INDEX(계정매핑!$G$5:$G$504,MATCH($F178&amp;"",계정매핑!$A$5:$A$504,0))&amp;"","")="유지비",COUNTIF(계정대체기준!$A$6:$A$15,$N178)&gt;0),IFERROR(INDEX(계정대체기준!$E$6:$E$15,MATCH(VALUE($A178&amp;""),계정대체기준!$D$6:$D$15,0)),0),0))</f>
        <v/>
      </c>
      <c r="AH178" s="64">
        <f>IF($A178="","",IF(AD178=0,"",IF(OR(COUNTIF(계정대체기준!$A$77:$A$86,$N178)&gt;0,ISNUMBER(MATCH($X178,계정대체기준!$D$77:$D$86,0)),ISNUMBER(MATCH($F178,계정대체기준!$D$77:$D$86,0))),"Y","N")))</f>
        <v/>
      </c>
    </row>
    <row r="179">
      <c r="A179" s="92" t="n">
        <v>2025</v>
      </c>
      <c r="B179" s="92" t="n">
        <v>1</v>
      </c>
      <c r="C179" s="92" t="inlineStr">
        <is>
          <t>5100000175</t>
        </is>
      </c>
      <c r="D179" s="95" t="n">
        <v>45676</v>
      </c>
      <c r="E179" s="92" t="inlineStr">
        <is>
          <t>KR</t>
        </is>
      </c>
      <c r="F179" s="92" t="n">
        <v>62101000</v>
      </c>
      <c r="G179" s="92" t="n">
        <v>1301</v>
      </c>
      <c r="H179" s="93" t="n">
        <v>224000</v>
      </c>
      <c r="I179" s="92" t="inlineStr">
        <is>
          <t>1월 국내출장 - L여행사</t>
        </is>
      </c>
      <c r="J179" s="92" t="inlineStr">
        <is>
          <t>V10018</t>
        </is>
      </c>
      <c r="K179" s="92" t="inlineStr">
        <is>
          <t>L여행사</t>
        </is>
      </c>
      <c r="M179" s="9">
        <f>IF($A179="","",VALUE($A179&amp;"")*12+VALUE($B179&amp;""))</f>
        <v/>
      </c>
      <c r="N179" s="64">
        <f>IF($A179="","",IFERROR(INDEX(부서매핑!$C$5:$C$504,MATCH($G179&amp;"",부서매핑!$A$5:$A$504,0)),"미매핑"))</f>
        <v/>
      </c>
      <c r="O179" s="9">
        <f>IF($A179="","",N179&amp;"|"&amp;$F179)</f>
        <v/>
      </c>
      <c r="P179" s="94">
        <f>IF($A179="",0,$H179*설정!$C$23)</f>
        <v/>
      </c>
      <c r="Q179" s="64">
        <f>IF($A179="","",IF(O179&lt;&gt;원인분석!$C$9,"",IF(AND(M179&gt;=원인분석!$C$10,M179&lt;=원인분석!$C$11),"당기",IF(AND(M179&gt;=원인분석!$C$12,M179&lt;=원인분석!$C$13),"비교",""))))</f>
        <v/>
      </c>
      <c r="R179" s="9">
        <f>IF(Q179="","",$K179&amp;"")</f>
        <v/>
      </c>
      <c r="S179" s="9">
        <f>IF(Q179="","",IF(MATCH(R179,$R$5:$R$100000,0)=ROW()-4,ROW(),""))</f>
        <v/>
      </c>
      <c r="T179" s="9">
        <f>IF(Q179="당기",ABS(P179)+ROW()/1000000000,"")</f>
        <v/>
      </c>
      <c r="U179" s="9">
        <f>IF(Q179="비교",ABS(P179)+ROW()/1000000000,"")</f>
        <v/>
      </c>
      <c r="V179" s="64">
        <f>IF($A179="","",IF(COUNTIF(변동분석!$E$7:$E$506,O179)&gt;0,"Y","N"))</f>
        <v/>
      </c>
      <c r="W179" s="64">
        <f>IF($A179="","",IFERROR(INDEX(계정매핑!$D$5:$D$504,MATCH($F179&amp;"",계정매핑!$A$5:$A$504,0)),"미매핑"))</f>
        <v/>
      </c>
      <c r="X179" s="9">
        <f>IF($A179="","",$F179&amp;"")</f>
        <v/>
      </c>
      <c r="Y179" s="94">
        <f>IF($A179="",0,IF(AE179="직접",IF(AF179="비귀속",$P179,0),$P179*(1-AG179)*IFERROR(INDEX(계정대체기준!$F$20:$F$49,MATCH($N179,계정대체기준!$A$20:$A$49,0)),1)))</f>
        <v/>
      </c>
      <c r="Z179" s="94">
        <f>IF($A179="",0,IF(AE179="직접",IF(AF179="신계약비",$P179,0),$P179*(1-AG179)*IFERROR(INDEX(계정대체기준!$C$20:$C$49,MATCH($N179,계정대체기준!$A$20:$A$49,0)),0)))</f>
        <v/>
      </c>
      <c r="AA179" s="94">
        <f>IF($A179="",0,IF(AE179="직접",IF(OR(AF179="유지비",AF179="손해조사비"),$P179,0),$P179*(1-AG179)*IFERROR(INDEX(계정대체기준!$D$20:$D$49,MATCH($N179,계정대체기준!$A$20:$A$49,0)),0)))</f>
        <v/>
      </c>
      <c r="AB179" s="94">
        <f>IF($A179="",0,IF(AE179="직접",IF(AF179="수금비",$P179,0),$P179*(1-AG179)*IFERROR(INDEX(계정대체기준!$E$20:$E$49,MATCH($N179,계정대체기준!$A$20:$A$49,0)),0)))</f>
        <v/>
      </c>
      <c r="AC179" s="9">
        <f>IF(AND($A179&lt;&gt;"",M179=설정!$C$20,Z179&gt;0),Z179+ROW()/1000000000,"")</f>
        <v/>
      </c>
      <c r="AD179" s="94">
        <f>IF($A179="",0,$P179*AG179)</f>
        <v/>
      </c>
      <c r="AE179" s="64">
        <f>IF($A179="","",IFERROR(INDEX(계정매핑!$E$5:$E$504,MATCH($F179&amp;"",계정매핑!$A$5:$A$504,0))&amp;"","공통비"))</f>
        <v/>
      </c>
      <c r="AF179" s="64">
        <f>IF($A179="","",IF(AE179="직접",IFERROR(INDEX(계정매핑!$F$5:$F$504,MATCH($F179&amp;"",계정매핑!$A$5:$A$504,0))&amp;"","비귀속"),""))</f>
        <v/>
      </c>
      <c r="AG179" s="96">
        <f>IF($A179="",0,IF(AND(AE179&lt;&gt;"직접",IFERROR(INDEX(계정매핑!$G$5:$G$504,MATCH($F179&amp;"",계정매핑!$A$5:$A$504,0))&amp;"","")="유지비",COUNTIF(계정대체기준!$A$6:$A$15,$N179)&gt;0),IFERROR(INDEX(계정대체기준!$E$6:$E$15,MATCH(VALUE($A179&amp;""),계정대체기준!$D$6:$D$15,0)),0),0))</f>
        <v/>
      </c>
      <c r="AH179" s="64">
        <f>IF($A179="","",IF(AD179=0,"",IF(OR(COUNTIF(계정대체기준!$A$77:$A$86,$N179)&gt;0,ISNUMBER(MATCH($X179,계정대체기준!$D$77:$D$86,0)),ISNUMBER(MATCH($F179,계정대체기준!$D$77:$D$86,0))),"Y","N")))</f>
        <v/>
      </c>
    </row>
    <row r="180">
      <c r="A180" s="92" t="n">
        <v>2025</v>
      </c>
      <c r="B180" s="92" t="n">
        <v>1</v>
      </c>
      <c r="C180" s="92" t="inlineStr">
        <is>
          <t>5100000176</t>
        </is>
      </c>
      <c r="D180" s="95" t="n">
        <v>45676</v>
      </c>
      <c r="E180" s="92" t="inlineStr">
        <is>
          <t>KR</t>
        </is>
      </c>
      <c r="F180" s="92" t="n">
        <v>62102000</v>
      </c>
      <c r="G180" s="92" t="n">
        <v>1101</v>
      </c>
      <c r="H180" s="93" t="n">
        <v>137000</v>
      </c>
      <c r="I180" s="92" t="inlineStr">
        <is>
          <t>1월 해외출장 - N호텔</t>
        </is>
      </c>
      <c r="J180" s="92" t="inlineStr">
        <is>
          <t>V10009</t>
        </is>
      </c>
      <c r="K180" s="92" t="inlineStr">
        <is>
          <t>N호텔</t>
        </is>
      </c>
      <c r="M180" s="9">
        <f>IF($A180="","",VALUE($A180&amp;"")*12+VALUE($B180&amp;""))</f>
        <v/>
      </c>
      <c r="N180" s="64">
        <f>IF($A180="","",IFERROR(INDEX(부서매핑!$C$5:$C$504,MATCH($G180&amp;"",부서매핑!$A$5:$A$504,0)),"미매핑"))</f>
        <v/>
      </c>
      <c r="O180" s="9">
        <f>IF($A180="","",N180&amp;"|"&amp;$F180)</f>
        <v/>
      </c>
      <c r="P180" s="94">
        <f>IF($A180="",0,$H180*설정!$C$23)</f>
        <v/>
      </c>
      <c r="Q180" s="64">
        <f>IF($A180="","",IF(O180&lt;&gt;원인분석!$C$9,"",IF(AND(M180&gt;=원인분석!$C$10,M180&lt;=원인분석!$C$11),"당기",IF(AND(M180&gt;=원인분석!$C$12,M180&lt;=원인분석!$C$13),"비교",""))))</f>
        <v/>
      </c>
      <c r="R180" s="9">
        <f>IF(Q180="","",$K180&amp;"")</f>
        <v/>
      </c>
      <c r="S180" s="9">
        <f>IF(Q180="","",IF(MATCH(R180,$R$5:$R$100000,0)=ROW()-4,ROW(),""))</f>
        <v/>
      </c>
      <c r="T180" s="9">
        <f>IF(Q180="당기",ABS(P180)+ROW()/1000000000,"")</f>
        <v/>
      </c>
      <c r="U180" s="9">
        <f>IF(Q180="비교",ABS(P180)+ROW()/1000000000,"")</f>
        <v/>
      </c>
      <c r="V180" s="64">
        <f>IF($A180="","",IF(COUNTIF(변동분석!$E$7:$E$506,O180)&gt;0,"Y","N"))</f>
        <v/>
      </c>
      <c r="W180" s="64">
        <f>IF($A180="","",IFERROR(INDEX(계정매핑!$D$5:$D$504,MATCH($F180&amp;"",계정매핑!$A$5:$A$504,0)),"미매핑"))</f>
        <v/>
      </c>
      <c r="X180" s="9">
        <f>IF($A180="","",$F180&amp;"")</f>
        <v/>
      </c>
      <c r="Y180" s="94">
        <f>IF($A180="",0,IF(AE180="직접",IF(AF180="비귀속",$P180,0),$P180*(1-AG180)*IFERROR(INDEX(계정대체기준!$F$20:$F$49,MATCH($N180,계정대체기준!$A$20:$A$49,0)),1)))</f>
        <v/>
      </c>
      <c r="Z180" s="94">
        <f>IF($A180="",0,IF(AE180="직접",IF(AF180="신계약비",$P180,0),$P180*(1-AG180)*IFERROR(INDEX(계정대체기준!$C$20:$C$49,MATCH($N180,계정대체기준!$A$20:$A$49,0)),0)))</f>
        <v/>
      </c>
      <c r="AA180" s="94">
        <f>IF($A180="",0,IF(AE180="직접",IF(OR(AF180="유지비",AF180="손해조사비"),$P180,0),$P180*(1-AG180)*IFERROR(INDEX(계정대체기준!$D$20:$D$49,MATCH($N180,계정대체기준!$A$20:$A$49,0)),0)))</f>
        <v/>
      </c>
      <c r="AB180" s="94">
        <f>IF($A180="",0,IF(AE180="직접",IF(AF180="수금비",$P180,0),$P180*(1-AG180)*IFERROR(INDEX(계정대체기준!$E$20:$E$49,MATCH($N180,계정대체기준!$A$20:$A$49,0)),0)))</f>
        <v/>
      </c>
      <c r="AC180" s="9">
        <f>IF(AND($A180&lt;&gt;"",M180=설정!$C$20,Z180&gt;0),Z180+ROW()/1000000000,"")</f>
        <v/>
      </c>
      <c r="AD180" s="94">
        <f>IF($A180="",0,$P180*AG180)</f>
        <v/>
      </c>
      <c r="AE180" s="64">
        <f>IF($A180="","",IFERROR(INDEX(계정매핑!$E$5:$E$504,MATCH($F180&amp;"",계정매핑!$A$5:$A$504,0))&amp;"","공통비"))</f>
        <v/>
      </c>
      <c r="AF180" s="64">
        <f>IF($A180="","",IF(AE180="직접",IFERROR(INDEX(계정매핑!$F$5:$F$504,MATCH($F180&amp;"",계정매핑!$A$5:$A$504,0))&amp;"","비귀속"),""))</f>
        <v/>
      </c>
      <c r="AG180" s="96">
        <f>IF($A180="",0,IF(AND(AE180&lt;&gt;"직접",IFERROR(INDEX(계정매핑!$G$5:$G$504,MATCH($F180&amp;"",계정매핑!$A$5:$A$504,0))&amp;"","")="유지비",COUNTIF(계정대체기준!$A$6:$A$15,$N180)&gt;0),IFERROR(INDEX(계정대체기준!$E$6:$E$15,MATCH(VALUE($A180&amp;""),계정대체기준!$D$6:$D$15,0)),0),0))</f>
        <v/>
      </c>
      <c r="AH180" s="64">
        <f>IF($A180="","",IF(AD180=0,"",IF(OR(COUNTIF(계정대체기준!$A$77:$A$86,$N180)&gt;0,ISNUMBER(MATCH($X180,계정대체기준!$D$77:$D$86,0)),ISNUMBER(MATCH($F180,계정대체기준!$D$77:$D$86,0))),"Y","N")))</f>
        <v/>
      </c>
    </row>
    <row r="181">
      <c r="A181" s="92" t="n">
        <v>2025</v>
      </c>
      <c r="B181" s="92" t="n">
        <v>1</v>
      </c>
      <c r="C181" s="92" t="inlineStr">
        <is>
          <t>5100000177</t>
        </is>
      </c>
      <c r="D181" s="95" t="n">
        <v>45676</v>
      </c>
      <c r="E181" s="92" t="inlineStr">
        <is>
          <t>KR</t>
        </is>
      </c>
      <c r="F181" s="92" t="n">
        <v>62102000</v>
      </c>
      <c r="G181" s="92" t="n">
        <v>1301</v>
      </c>
      <c r="H181" s="93" t="n">
        <v>107000</v>
      </c>
      <c r="I181" s="92" t="inlineStr">
        <is>
          <t>1월 해외출장 - N호텔</t>
        </is>
      </c>
      <c r="J181" s="92" t="inlineStr">
        <is>
          <t>V10009</t>
        </is>
      </c>
      <c r="K181" s="92" t="inlineStr">
        <is>
          <t>N호텔</t>
        </is>
      </c>
      <c r="M181" s="9">
        <f>IF($A181="","",VALUE($A181&amp;"")*12+VALUE($B181&amp;""))</f>
        <v/>
      </c>
      <c r="N181" s="64">
        <f>IF($A181="","",IFERROR(INDEX(부서매핑!$C$5:$C$504,MATCH($G181&amp;"",부서매핑!$A$5:$A$504,0)),"미매핑"))</f>
        <v/>
      </c>
      <c r="O181" s="9">
        <f>IF($A181="","",N181&amp;"|"&amp;$F181)</f>
        <v/>
      </c>
      <c r="P181" s="94">
        <f>IF($A181="",0,$H181*설정!$C$23)</f>
        <v/>
      </c>
      <c r="Q181" s="64">
        <f>IF($A181="","",IF(O181&lt;&gt;원인분석!$C$9,"",IF(AND(M181&gt;=원인분석!$C$10,M181&lt;=원인분석!$C$11),"당기",IF(AND(M181&gt;=원인분석!$C$12,M181&lt;=원인분석!$C$13),"비교",""))))</f>
        <v/>
      </c>
      <c r="R181" s="9">
        <f>IF(Q181="","",$K181&amp;"")</f>
        <v/>
      </c>
      <c r="S181" s="9">
        <f>IF(Q181="","",IF(MATCH(R181,$R$5:$R$100000,0)=ROW()-4,ROW(),""))</f>
        <v/>
      </c>
      <c r="T181" s="9">
        <f>IF(Q181="당기",ABS(P181)+ROW()/1000000000,"")</f>
        <v/>
      </c>
      <c r="U181" s="9">
        <f>IF(Q181="비교",ABS(P181)+ROW()/1000000000,"")</f>
        <v/>
      </c>
      <c r="V181" s="64">
        <f>IF($A181="","",IF(COUNTIF(변동분석!$E$7:$E$506,O181)&gt;0,"Y","N"))</f>
        <v/>
      </c>
      <c r="W181" s="64">
        <f>IF($A181="","",IFERROR(INDEX(계정매핑!$D$5:$D$504,MATCH($F181&amp;"",계정매핑!$A$5:$A$504,0)),"미매핑"))</f>
        <v/>
      </c>
      <c r="X181" s="9">
        <f>IF($A181="","",$F181&amp;"")</f>
        <v/>
      </c>
      <c r="Y181" s="94">
        <f>IF($A181="",0,IF(AE181="직접",IF(AF181="비귀속",$P181,0),$P181*(1-AG181)*IFERROR(INDEX(계정대체기준!$F$20:$F$49,MATCH($N181,계정대체기준!$A$20:$A$49,0)),1)))</f>
        <v/>
      </c>
      <c r="Z181" s="94">
        <f>IF($A181="",0,IF(AE181="직접",IF(AF181="신계약비",$P181,0),$P181*(1-AG181)*IFERROR(INDEX(계정대체기준!$C$20:$C$49,MATCH($N181,계정대체기준!$A$20:$A$49,0)),0)))</f>
        <v/>
      </c>
      <c r="AA181" s="94">
        <f>IF($A181="",0,IF(AE181="직접",IF(OR(AF181="유지비",AF181="손해조사비"),$P181,0),$P181*(1-AG181)*IFERROR(INDEX(계정대체기준!$D$20:$D$49,MATCH($N181,계정대체기준!$A$20:$A$49,0)),0)))</f>
        <v/>
      </c>
      <c r="AB181" s="94">
        <f>IF($A181="",0,IF(AE181="직접",IF(AF181="수금비",$P181,0),$P181*(1-AG181)*IFERROR(INDEX(계정대체기준!$E$20:$E$49,MATCH($N181,계정대체기준!$A$20:$A$49,0)),0)))</f>
        <v/>
      </c>
      <c r="AC181" s="9">
        <f>IF(AND($A181&lt;&gt;"",M181=설정!$C$20,Z181&gt;0),Z181+ROW()/1000000000,"")</f>
        <v/>
      </c>
      <c r="AD181" s="94">
        <f>IF($A181="",0,$P181*AG181)</f>
        <v/>
      </c>
      <c r="AE181" s="64">
        <f>IF($A181="","",IFERROR(INDEX(계정매핑!$E$5:$E$504,MATCH($F181&amp;"",계정매핑!$A$5:$A$504,0))&amp;"","공통비"))</f>
        <v/>
      </c>
      <c r="AF181" s="64">
        <f>IF($A181="","",IF(AE181="직접",IFERROR(INDEX(계정매핑!$F$5:$F$504,MATCH($F181&amp;"",계정매핑!$A$5:$A$504,0))&amp;"","비귀속"),""))</f>
        <v/>
      </c>
      <c r="AG181" s="96">
        <f>IF($A181="",0,IF(AND(AE181&lt;&gt;"직접",IFERROR(INDEX(계정매핑!$G$5:$G$504,MATCH($F181&amp;"",계정매핑!$A$5:$A$504,0))&amp;"","")="유지비",COUNTIF(계정대체기준!$A$6:$A$15,$N181)&gt;0),IFERROR(INDEX(계정대체기준!$E$6:$E$15,MATCH(VALUE($A181&amp;""),계정대체기준!$D$6:$D$15,0)),0),0))</f>
        <v/>
      </c>
      <c r="AH181" s="64">
        <f>IF($A181="","",IF(AD181=0,"",IF(OR(COUNTIF(계정대체기준!$A$77:$A$86,$N181)&gt;0,ISNUMBER(MATCH($X181,계정대체기준!$D$77:$D$86,0)),ISNUMBER(MATCH($F181,계정대체기준!$D$77:$D$86,0))),"Y","N")))</f>
        <v/>
      </c>
    </row>
    <row r="182">
      <c r="A182" s="92" t="n">
        <v>2025</v>
      </c>
      <c r="B182" s="92" t="n">
        <v>1</v>
      </c>
      <c r="C182" s="92" t="inlineStr">
        <is>
          <t>5100000178</t>
        </is>
      </c>
      <c r="D182" s="95" t="n">
        <v>45676</v>
      </c>
      <c r="E182" s="92" t="inlineStr">
        <is>
          <t>KR</t>
        </is>
      </c>
      <c r="F182" s="92" t="n">
        <v>62201000</v>
      </c>
      <c r="G182" s="92" t="n">
        <v>1401</v>
      </c>
      <c r="H182" s="93" t="n">
        <v>173000</v>
      </c>
      <c r="I182" s="92" t="inlineStr">
        <is>
          <t>1월 통신요금 - O텔레콤</t>
        </is>
      </c>
      <c r="J182" s="92" t="inlineStr">
        <is>
          <t>V10002</t>
        </is>
      </c>
      <c r="K182" s="92" t="inlineStr">
        <is>
          <t>O텔레콤</t>
        </is>
      </c>
      <c r="M182" s="9">
        <f>IF($A182="","",VALUE($A182&amp;"")*12+VALUE($B182&amp;""))</f>
        <v/>
      </c>
      <c r="N182" s="64">
        <f>IF($A182="","",IFERROR(INDEX(부서매핑!$C$5:$C$504,MATCH($G182&amp;"",부서매핑!$A$5:$A$504,0)),"미매핑"))</f>
        <v/>
      </c>
      <c r="O182" s="9">
        <f>IF($A182="","",N182&amp;"|"&amp;$F182)</f>
        <v/>
      </c>
      <c r="P182" s="94">
        <f>IF($A182="",0,$H182*설정!$C$23)</f>
        <v/>
      </c>
      <c r="Q182" s="64">
        <f>IF($A182="","",IF(O182&lt;&gt;원인분석!$C$9,"",IF(AND(M182&gt;=원인분석!$C$10,M182&lt;=원인분석!$C$11),"당기",IF(AND(M182&gt;=원인분석!$C$12,M182&lt;=원인분석!$C$13),"비교",""))))</f>
        <v/>
      </c>
      <c r="R182" s="9">
        <f>IF(Q182="","",$K182&amp;"")</f>
        <v/>
      </c>
      <c r="S182" s="9">
        <f>IF(Q182="","",IF(MATCH(R182,$R$5:$R$100000,0)=ROW()-4,ROW(),""))</f>
        <v/>
      </c>
      <c r="T182" s="9">
        <f>IF(Q182="당기",ABS(P182)+ROW()/1000000000,"")</f>
        <v/>
      </c>
      <c r="U182" s="9">
        <f>IF(Q182="비교",ABS(P182)+ROW()/1000000000,"")</f>
        <v/>
      </c>
      <c r="V182" s="64">
        <f>IF($A182="","",IF(COUNTIF(변동분석!$E$7:$E$506,O182)&gt;0,"Y","N"))</f>
        <v/>
      </c>
      <c r="W182" s="64">
        <f>IF($A182="","",IFERROR(INDEX(계정매핑!$D$5:$D$504,MATCH($F182&amp;"",계정매핑!$A$5:$A$504,0)),"미매핑"))</f>
        <v/>
      </c>
      <c r="X182" s="9">
        <f>IF($A182="","",$F182&amp;"")</f>
        <v/>
      </c>
      <c r="Y182" s="94">
        <f>IF($A182="",0,IF(AE182="직접",IF(AF182="비귀속",$P182,0),$P182*(1-AG182)*IFERROR(INDEX(계정대체기준!$F$20:$F$49,MATCH($N182,계정대체기준!$A$20:$A$49,0)),1)))</f>
        <v/>
      </c>
      <c r="Z182" s="94">
        <f>IF($A182="",0,IF(AE182="직접",IF(AF182="신계약비",$P182,0),$P182*(1-AG182)*IFERROR(INDEX(계정대체기준!$C$20:$C$49,MATCH($N182,계정대체기준!$A$20:$A$49,0)),0)))</f>
        <v/>
      </c>
      <c r="AA182" s="94">
        <f>IF($A182="",0,IF(AE182="직접",IF(OR(AF182="유지비",AF182="손해조사비"),$P182,0),$P182*(1-AG182)*IFERROR(INDEX(계정대체기준!$D$20:$D$49,MATCH($N182,계정대체기준!$A$20:$A$49,0)),0)))</f>
        <v/>
      </c>
      <c r="AB182" s="94">
        <f>IF($A182="",0,IF(AE182="직접",IF(AF182="수금비",$P182,0),$P182*(1-AG182)*IFERROR(INDEX(계정대체기준!$E$20:$E$49,MATCH($N182,계정대체기준!$A$20:$A$49,0)),0)))</f>
        <v/>
      </c>
      <c r="AC182" s="9">
        <f>IF(AND($A182&lt;&gt;"",M182=설정!$C$20,Z182&gt;0),Z182+ROW()/1000000000,"")</f>
        <v/>
      </c>
      <c r="AD182" s="94">
        <f>IF($A182="",0,$P182*AG182)</f>
        <v/>
      </c>
      <c r="AE182" s="64">
        <f>IF($A182="","",IFERROR(INDEX(계정매핑!$E$5:$E$504,MATCH($F182&amp;"",계정매핑!$A$5:$A$504,0))&amp;"","공통비"))</f>
        <v/>
      </c>
      <c r="AF182" s="64">
        <f>IF($A182="","",IF(AE182="직접",IFERROR(INDEX(계정매핑!$F$5:$F$504,MATCH($F182&amp;"",계정매핑!$A$5:$A$504,0))&amp;"","비귀속"),""))</f>
        <v/>
      </c>
      <c r="AG182" s="96">
        <f>IF($A182="",0,IF(AND(AE182&lt;&gt;"직접",IFERROR(INDEX(계정매핑!$G$5:$G$504,MATCH($F182&amp;"",계정매핑!$A$5:$A$504,0))&amp;"","")="유지비",COUNTIF(계정대체기준!$A$6:$A$15,$N182)&gt;0),IFERROR(INDEX(계정대체기준!$E$6:$E$15,MATCH(VALUE($A182&amp;""),계정대체기준!$D$6:$D$15,0)),0),0))</f>
        <v/>
      </c>
      <c r="AH182" s="64">
        <f>IF($A182="","",IF(AD182=0,"",IF(OR(COUNTIF(계정대체기준!$A$77:$A$86,$N182)&gt;0,ISNUMBER(MATCH($X182,계정대체기준!$D$77:$D$86,0)),ISNUMBER(MATCH($F182,계정대체기준!$D$77:$D$86,0))),"Y","N")))</f>
        <v/>
      </c>
    </row>
    <row r="183">
      <c r="A183" s="92" t="n">
        <v>2025</v>
      </c>
      <c r="B183" s="92" t="n">
        <v>1</v>
      </c>
      <c r="C183" s="92" t="inlineStr">
        <is>
          <t>5100000179</t>
        </is>
      </c>
      <c r="D183" s="95" t="n">
        <v>45676</v>
      </c>
      <c r="E183" s="92" t="inlineStr">
        <is>
          <t>KR</t>
        </is>
      </c>
      <c r="F183" s="92" t="n">
        <v>62201000</v>
      </c>
      <c r="G183" s="92" t="n">
        <v>1701</v>
      </c>
      <c r="H183" s="93" t="n">
        <v>7867000</v>
      </c>
      <c r="I183" s="92" t="inlineStr">
        <is>
          <t>1월 통신요금 - P통신</t>
        </is>
      </c>
      <c r="J183" s="92" t="inlineStr">
        <is>
          <t>V10014</t>
        </is>
      </c>
      <c r="K183" s="92" t="inlineStr">
        <is>
          <t>P통신</t>
        </is>
      </c>
      <c r="M183" s="9">
        <f>IF($A183="","",VALUE($A183&amp;"")*12+VALUE($B183&amp;""))</f>
        <v/>
      </c>
      <c r="N183" s="64">
        <f>IF($A183="","",IFERROR(INDEX(부서매핑!$C$5:$C$504,MATCH($G183&amp;"",부서매핑!$A$5:$A$504,0)),"미매핑"))</f>
        <v/>
      </c>
      <c r="O183" s="9">
        <f>IF($A183="","",N183&amp;"|"&amp;$F183)</f>
        <v/>
      </c>
      <c r="P183" s="94">
        <f>IF($A183="",0,$H183*설정!$C$23)</f>
        <v/>
      </c>
      <c r="Q183" s="64">
        <f>IF($A183="","",IF(O183&lt;&gt;원인분석!$C$9,"",IF(AND(M183&gt;=원인분석!$C$10,M183&lt;=원인분석!$C$11),"당기",IF(AND(M183&gt;=원인분석!$C$12,M183&lt;=원인분석!$C$13),"비교",""))))</f>
        <v/>
      </c>
      <c r="R183" s="9">
        <f>IF(Q183="","",$K183&amp;"")</f>
        <v/>
      </c>
      <c r="S183" s="9">
        <f>IF(Q183="","",IF(MATCH(R183,$R$5:$R$100000,0)=ROW()-4,ROW(),""))</f>
        <v/>
      </c>
      <c r="T183" s="9">
        <f>IF(Q183="당기",ABS(P183)+ROW()/1000000000,"")</f>
        <v/>
      </c>
      <c r="U183" s="9">
        <f>IF(Q183="비교",ABS(P183)+ROW()/1000000000,"")</f>
        <v/>
      </c>
      <c r="V183" s="64">
        <f>IF($A183="","",IF(COUNTIF(변동분석!$E$7:$E$506,O183)&gt;0,"Y","N"))</f>
        <v/>
      </c>
      <c r="W183" s="64">
        <f>IF($A183="","",IFERROR(INDEX(계정매핑!$D$5:$D$504,MATCH($F183&amp;"",계정매핑!$A$5:$A$504,0)),"미매핑"))</f>
        <v/>
      </c>
      <c r="X183" s="9">
        <f>IF($A183="","",$F183&amp;"")</f>
        <v/>
      </c>
      <c r="Y183" s="94">
        <f>IF($A183="",0,IF(AE183="직접",IF(AF183="비귀속",$P183,0),$P183*(1-AG183)*IFERROR(INDEX(계정대체기준!$F$20:$F$49,MATCH($N183,계정대체기준!$A$20:$A$49,0)),1)))</f>
        <v/>
      </c>
      <c r="Z183" s="94">
        <f>IF($A183="",0,IF(AE183="직접",IF(AF183="신계약비",$P183,0),$P183*(1-AG183)*IFERROR(INDEX(계정대체기준!$C$20:$C$49,MATCH($N183,계정대체기준!$A$20:$A$49,0)),0)))</f>
        <v/>
      </c>
      <c r="AA183" s="94">
        <f>IF($A183="",0,IF(AE183="직접",IF(OR(AF183="유지비",AF183="손해조사비"),$P183,0),$P183*(1-AG183)*IFERROR(INDEX(계정대체기준!$D$20:$D$49,MATCH($N183,계정대체기준!$A$20:$A$49,0)),0)))</f>
        <v/>
      </c>
      <c r="AB183" s="94">
        <f>IF($A183="",0,IF(AE183="직접",IF(AF183="수금비",$P183,0),$P183*(1-AG183)*IFERROR(INDEX(계정대체기준!$E$20:$E$49,MATCH($N183,계정대체기준!$A$20:$A$49,0)),0)))</f>
        <v/>
      </c>
      <c r="AC183" s="9">
        <f>IF(AND($A183&lt;&gt;"",M183=설정!$C$20,Z183&gt;0),Z183+ROW()/1000000000,"")</f>
        <v/>
      </c>
      <c r="AD183" s="94">
        <f>IF($A183="",0,$P183*AG183)</f>
        <v/>
      </c>
      <c r="AE183" s="64">
        <f>IF($A183="","",IFERROR(INDEX(계정매핑!$E$5:$E$504,MATCH($F183&amp;"",계정매핑!$A$5:$A$504,0))&amp;"","공통비"))</f>
        <v/>
      </c>
      <c r="AF183" s="64">
        <f>IF($A183="","",IF(AE183="직접",IFERROR(INDEX(계정매핑!$F$5:$F$504,MATCH($F183&amp;"",계정매핑!$A$5:$A$504,0))&amp;"","비귀속"),""))</f>
        <v/>
      </c>
      <c r="AG183" s="96">
        <f>IF($A183="",0,IF(AND(AE183&lt;&gt;"직접",IFERROR(INDEX(계정매핑!$G$5:$G$504,MATCH($F183&amp;"",계정매핑!$A$5:$A$504,0))&amp;"","")="유지비",COUNTIF(계정대체기준!$A$6:$A$15,$N183)&gt;0),IFERROR(INDEX(계정대체기준!$E$6:$E$15,MATCH(VALUE($A183&amp;""),계정대체기준!$D$6:$D$15,0)),0),0))</f>
        <v/>
      </c>
      <c r="AH183" s="64">
        <f>IF($A183="","",IF(AD183=0,"",IF(OR(COUNTIF(계정대체기준!$A$77:$A$86,$N183)&gt;0,ISNUMBER(MATCH($X183,계정대체기준!$D$77:$D$86,0)),ISNUMBER(MATCH($F183,계정대체기준!$D$77:$D$86,0))),"Y","N")))</f>
        <v/>
      </c>
    </row>
    <row r="184">
      <c r="A184" s="92" t="n">
        <v>2025</v>
      </c>
      <c r="B184" s="92" t="n">
        <v>1</v>
      </c>
      <c r="C184" s="92" t="inlineStr">
        <is>
          <t>5100000180</t>
        </is>
      </c>
      <c r="D184" s="95" t="n">
        <v>45676</v>
      </c>
      <c r="E184" s="92" t="inlineStr">
        <is>
          <t>KR</t>
        </is>
      </c>
      <c r="F184" s="92" t="n">
        <v>62501000</v>
      </c>
      <c r="G184" s="92" t="n">
        <v>1301</v>
      </c>
      <c r="H184" s="93" t="n">
        <v>260000</v>
      </c>
      <c r="I184" s="92" t="inlineStr">
        <is>
          <t>1월 회의 다과 - T케이터링</t>
        </is>
      </c>
      <c r="J184" s="92" t="inlineStr">
        <is>
          <t>V10005</t>
        </is>
      </c>
      <c r="K184" s="92" t="inlineStr">
        <is>
          <t>T케이터링</t>
        </is>
      </c>
      <c r="M184" s="9">
        <f>IF($A184="","",VALUE($A184&amp;"")*12+VALUE($B184&amp;""))</f>
        <v/>
      </c>
      <c r="N184" s="64">
        <f>IF($A184="","",IFERROR(INDEX(부서매핑!$C$5:$C$504,MATCH($G184&amp;"",부서매핑!$A$5:$A$504,0)),"미매핑"))</f>
        <v/>
      </c>
      <c r="O184" s="9">
        <f>IF($A184="","",N184&amp;"|"&amp;$F184)</f>
        <v/>
      </c>
      <c r="P184" s="94">
        <f>IF($A184="",0,$H184*설정!$C$23)</f>
        <v/>
      </c>
      <c r="Q184" s="64">
        <f>IF($A184="","",IF(O184&lt;&gt;원인분석!$C$9,"",IF(AND(M184&gt;=원인분석!$C$10,M184&lt;=원인분석!$C$11),"당기",IF(AND(M184&gt;=원인분석!$C$12,M184&lt;=원인분석!$C$13),"비교",""))))</f>
        <v/>
      </c>
      <c r="R184" s="9">
        <f>IF(Q184="","",$K184&amp;"")</f>
        <v/>
      </c>
      <c r="S184" s="9">
        <f>IF(Q184="","",IF(MATCH(R184,$R$5:$R$100000,0)=ROW()-4,ROW(),""))</f>
        <v/>
      </c>
      <c r="T184" s="9">
        <f>IF(Q184="당기",ABS(P184)+ROW()/1000000000,"")</f>
        <v/>
      </c>
      <c r="U184" s="9">
        <f>IF(Q184="비교",ABS(P184)+ROW()/1000000000,"")</f>
        <v/>
      </c>
      <c r="V184" s="64">
        <f>IF($A184="","",IF(COUNTIF(변동분석!$E$7:$E$506,O184)&gt;0,"Y","N"))</f>
        <v/>
      </c>
      <c r="W184" s="64">
        <f>IF($A184="","",IFERROR(INDEX(계정매핑!$D$5:$D$504,MATCH($F184&amp;"",계정매핑!$A$5:$A$504,0)),"미매핑"))</f>
        <v/>
      </c>
      <c r="X184" s="9">
        <f>IF($A184="","",$F184&amp;"")</f>
        <v/>
      </c>
      <c r="Y184" s="94">
        <f>IF($A184="",0,IF(AE184="직접",IF(AF184="비귀속",$P184,0),$P184*(1-AG184)*IFERROR(INDEX(계정대체기준!$F$20:$F$49,MATCH($N184,계정대체기준!$A$20:$A$49,0)),1)))</f>
        <v/>
      </c>
      <c r="Z184" s="94">
        <f>IF($A184="",0,IF(AE184="직접",IF(AF184="신계약비",$P184,0),$P184*(1-AG184)*IFERROR(INDEX(계정대체기준!$C$20:$C$49,MATCH($N184,계정대체기준!$A$20:$A$49,0)),0)))</f>
        <v/>
      </c>
      <c r="AA184" s="94">
        <f>IF($A184="",0,IF(AE184="직접",IF(OR(AF184="유지비",AF184="손해조사비"),$P184,0),$P184*(1-AG184)*IFERROR(INDEX(계정대체기준!$D$20:$D$49,MATCH($N184,계정대체기준!$A$20:$A$49,0)),0)))</f>
        <v/>
      </c>
      <c r="AB184" s="94">
        <f>IF($A184="",0,IF(AE184="직접",IF(AF184="수금비",$P184,0),$P184*(1-AG184)*IFERROR(INDEX(계정대체기준!$E$20:$E$49,MATCH($N184,계정대체기준!$A$20:$A$49,0)),0)))</f>
        <v/>
      </c>
      <c r="AC184" s="9">
        <f>IF(AND($A184&lt;&gt;"",M184=설정!$C$20,Z184&gt;0),Z184+ROW()/1000000000,"")</f>
        <v/>
      </c>
      <c r="AD184" s="94">
        <f>IF($A184="",0,$P184*AG184)</f>
        <v/>
      </c>
      <c r="AE184" s="64">
        <f>IF($A184="","",IFERROR(INDEX(계정매핑!$E$5:$E$504,MATCH($F184&amp;"",계정매핑!$A$5:$A$504,0))&amp;"","공통비"))</f>
        <v/>
      </c>
      <c r="AF184" s="64">
        <f>IF($A184="","",IF(AE184="직접",IFERROR(INDEX(계정매핑!$F$5:$F$504,MATCH($F184&amp;"",계정매핑!$A$5:$A$504,0))&amp;"","비귀속"),""))</f>
        <v/>
      </c>
      <c r="AG184" s="96">
        <f>IF($A184="",0,IF(AND(AE184&lt;&gt;"직접",IFERROR(INDEX(계정매핑!$G$5:$G$504,MATCH($F184&amp;"",계정매핑!$A$5:$A$504,0))&amp;"","")="유지비",COUNTIF(계정대체기준!$A$6:$A$15,$N184)&gt;0),IFERROR(INDEX(계정대체기준!$E$6:$E$15,MATCH(VALUE($A184&amp;""),계정대체기준!$D$6:$D$15,0)),0),0))</f>
        <v/>
      </c>
      <c r="AH184" s="64">
        <f>IF($A184="","",IF(AD184=0,"",IF(OR(COUNTIF(계정대체기준!$A$77:$A$86,$N184)&gt;0,ISNUMBER(MATCH($X184,계정대체기준!$D$77:$D$86,0)),ISNUMBER(MATCH($F184,계정대체기준!$D$77:$D$86,0))),"Y","N")))</f>
        <v/>
      </c>
    </row>
    <row r="185">
      <c r="A185" s="92" t="n">
        <v>2025</v>
      </c>
      <c r="B185" s="92" t="n">
        <v>1</v>
      </c>
      <c r="C185" s="92" t="inlineStr">
        <is>
          <t>5100000181</t>
        </is>
      </c>
      <c r="D185" s="95" t="n">
        <v>45676</v>
      </c>
      <c r="E185" s="92" t="inlineStr">
        <is>
          <t>KR</t>
        </is>
      </c>
      <c r="F185" s="92" t="n">
        <v>62501000</v>
      </c>
      <c r="G185" s="92" t="n">
        <v>1602</v>
      </c>
      <c r="H185" s="93" t="n">
        <v>392000</v>
      </c>
      <c r="I185" s="92" t="inlineStr">
        <is>
          <t>1월 회의 다과 - (법인카드)</t>
        </is>
      </c>
      <c r="J185" s="92" t="inlineStr">
        <is>
          <t>V10010</t>
        </is>
      </c>
      <c r="K185" s="92" t="inlineStr">
        <is>
          <t>(법인카드)</t>
        </is>
      </c>
      <c r="M185" s="9">
        <f>IF($A185="","",VALUE($A185&amp;"")*12+VALUE($B185&amp;""))</f>
        <v/>
      </c>
      <c r="N185" s="64">
        <f>IF($A185="","",IFERROR(INDEX(부서매핑!$C$5:$C$504,MATCH($G185&amp;"",부서매핑!$A$5:$A$504,0)),"미매핑"))</f>
        <v/>
      </c>
      <c r="O185" s="9">
        <f>IF($A185="","",N185&amp;"|"&amp;$F185)</f>
        <v/>
      </c>
      <c r="P185" s="94">
        <f>IF($A185="",0,$H185*설정!$C$23)</f>
        <v/>
      </c>
      <c r="Q185" s="64">
        <f>IF($A185="","",IF(O185&lt;&gt;원인분석!$C$9,"",IF(AND(M185&gt;=원인분석!$C$10,M185&lt;=원인분석!$C$11),"당기",IF(AND(M185&gt;=원인분석!$C$12,M185&lt;=원인분석!$C$13),"비교",""))))</f>
        <v/>
      </c>
      <c r="R185" s="9">
        <f>IF(Q185="","",$K185&amp;"")</f>
        <v/>
      </c>
      <c r="S185" s="9">
        <f>IF(Q185="","",IF(MATCH(R185,$R$5:$R$100000,0)=ROW()-4,ROW(),""))</f>
        <v/>
      </c>
      <c r="T185" s="9">
        <f>IF(Q185="당기",ABS(P185)+ROW()/1000000000,"")</f>
        <v/>
      </c>
      <c r="U185" s="9">
        <f>IF(Q185="비교",ABS(P185)+ROW()/1000000000,"")</f>
        <v/>
      </c>
      <c r="V185" s="64">
        <f>IF($A185="","",IF(COUNTIF(변동분석!$E$7:$E$506,O185)&gt;0,"Y","N"))</f>
        <v/>
      </c>
      <c r="W185" s="64">
        <f>IF($A185="","",IFERROR(INDEX(계정매핑!$D$5:$D$504,MATCH($F185&amp;"",계정매핑!$A$5:$A$504,0)),"미매핑"))</f>
        <v/>
      </c>
      <c r="X185" s="9">
        <f>IF($A185="","",$F185&amp;"")</f>
        <v/>
      </c>
      <c r="Y185" s="94">
        <f>IF($A185="",0,IF(AE185="직접",IF(AF185="비귀속",$P185,0),$P185*(1-AG185)*IFERROR(INDEX(계정대체기준!$F$20:$F$49,MATCH($N185,계정대체기준!$A$20:$A$49,0)),1)))</f>
        <v/>
      </c>
      <c r="Z185" s="94">
        <f>IF($A185="",0,IF(AE185="직접",IF(AF185="신계약비",$P185,0),$P185*(1-AG185)*IFERROR(INDEX(계정대체기준!$C$20:$C$49,MATCH($N185,계정대체기준!$A$20:$A$49,0)),0)))</f>
        <v/>
      </c>
      <c r="AA185" s="94">
        <f>IF($A185="",0,IF(AE185="직접",IF(OR(AF185="유지비",AF185="손해조사비"),$P185,0),$P185*(1-AG185)*IFERROR(INDEX(계정대체기준!$D$20:$D$49,MATCH($N185,계정대체기준!$A$20:$A$49,0)),0)))</f>
        <v/>
      </c>
      <c r="AB185" s="94">
        <f>IF($A185="",0,IF(AE185="직접",IF(AF185="수금비",$P185,0),$P185*(1-AG185)*IFERROR(INDEX(계정대체기준!$E$20:$E$49,MATCH($N185,계정대체기준!$A$20:$A$49,0)),0)))</f>
        <v/>
      </c>
      <c r="AC185" s="9">
        <f>IF(AND($A185&lt;&gt;"",M185=설정!$C$20,Z185&gt;0),Z185+ROW()/1000000000,"")</f>
        <v/>
      </c>
      <c r="AD185" s="94">
        <f>IF($A185="",0,$P185*AG185)</f>
        <v/>
      </c>
      <c r="AE185" s="64">
        <f>IF($A185="","",IFERROR(INDEX(계정매핑!$E$5:$E$504,MATCH($F185&amp;"",계정매핑!$A$5:$A$504,0))&amp;"","공통비"))</f>
        <v/>
      </c>
      <c r="AF185" s="64">
        <f>IF($A185="","",IF(AE185="직접",IFERROR(INDEX(계정매핑!$F$5:$F$504,MATCH($F185&amp;"",계정매핑!$A$5:$A$504,0))&amp;"","비귀속"),""))</f>
        <v/>
      </c>
      <c r="AG185" s="96">
        <f>IF($A185="",0,IF(AND(AE185&lt;&gt;"직접",IFERROR(INDEX(계정매핑!$G$5:$G$504,MATCH($F185&amp;"",계정매핑!$A$5:$A$504,0))&amp;"","")="유지비",COUNTIF(계정대체기준!$A$6:$A$15,$N185)&gt;0),IFERROR(INDEX(계정대체기준!$E$6:$E$15,MATCH(VALUE($A185&amp;""),계정대체기준!$D$6:$D$15,0)),0),0))</f>
        <v/>
      </c>
      <c r="AH185" s="64">
        <f>IF($A185="","",IF(AD185=0,"",IF(OR(COUNTIF(계정대체기준!$A$77:$A$86,$N185)&gt;0,ISNUMBER(MATCH($X185,계정대체기준!$D$77:$D$86,0)),ISNUMBER(MATCH($F185,계정대체기준!$D$77:$D$86,0))),"Y","N")))</f>
        <v/>
      </c>
    </row>
    <row r="186">
      <c r="A186" s="92" t="n">
        <v>2025</v>
      </c>
      <c r="B186" s="92" t="n">
        <v>1</v>
      </c>
      <c r="C186" s="92" t="inlineStr">
        <is>
          <t>5100000182</t>
        </is>
      </c>
      <c r="D186" s="95" t="n">
        <v>45676</v>
      </c>
      <c r="E186" s="92" t="inlineStr">
        <is>
          <t>KR</t>
        </is>
      </c>
      <c r="F186" s="92" t="n">
        <v>62601000</v>
      </c>
      <c r="G186" s="92" t="n">
        <v>1101</v>
      </c>
      <c r="H186" s="93" t="n">
        <v>3054000</v>
      </c>
      <c r="I186" s="92" t="inlineStr">
        <is>
          <t>1월 업무추진 - (법인카드)</t>
        </is>
      </c>
      <c r="J186" s="92" t="inlineStr">
        <is>
          <t>V10010</t>
        </is>
      </c>
      <c r="K186" s="92" t="inlineStr">
        <is>
          <t>(법인카드)</t>
        </is>
      </c>
      <c r="M186" s="9">
        <f>IF($A186="","",VALUE($A186&amp;"")*12+VALUE($B186&amp;""))</f>
        <v/>
      </c>
      <c r="N186" s="64">
        <f>IF($A186="","",IFERROR(INDEX(부서매핑!$C$5:$C$504,MATCH($G186&amp;"",부서매핑!$A$5:$A$504,0)),"미매핑"))</f>
        <v/>
      </c>
      <c r="O186" s="9">
        <f>IF($A186="","",N186&amp;"|"&amp;$F186)</f>
        <v/>
      </c>
      <c r="P186" s="94">
        <f>IF($A186="",0,$H186*설정!$C$23)</f>
        <v/>
      </c>
      <c r="Q186" s="64">
        <f>IF($A186="","",IF(O186&lt;&gt;원인분석!$C$9,"",IF(AND(M186&gt;=원인분석!$C$10,M186&lt;=원인분석!$C$11),"당기",IF(AND(M186&gt;=원인분석!$C$12,M186&lt;=원인분석!$C$13),"비교",""))))</f>
        <v/>
      </c>
      <c r="R186" s="9">
        <f>IF(Q186="","",$K186&amp;"")</f>
        <v/>
      </c>
      <c r="S186" s="9">
        <f>IF(Q186="","",IF(MATCH(R186,$R$5:$R$100000,0)=ROW()-4,ROW(),""))</f>
        <v/>
      </c>
      <c r="T186" s="9">
        <f>IF(Q186="당기",ABS(P186)+ROW()/1000000000,"")</f>
        <v/>
      </c>
      <c r="U186" s="9">
        <f>IF(Q186="비교",ABS(P186)+ROW()/1000000000,"")</f>
        <v/>
      </c>
      <c r="V186" s="64">
        <f>IF($A186="","",IF(COUNTIF(변동분석!$E$7:$E$506,O186)&gt;0,"Y","N"))</f>
        <v/>
      </c>
      <c r="W186" s="64">
        <f>IF($A186="","",IFERROR(INDEX(계정매핑!$D$5:$D$504,MATCH($F186&amp;"",계정매핑!$A$5:$A$504,0)),"미매핑"))</f>
        <v/>
      </c>
      <c r="X186" s="9">
        <f>IF($A186="","",$F186&amp;"")</f>
        <v/>
      </c>
      <c r="Y186" s="94">
        <f>IF($A186="",0,IF(AE186="직접",IF(AF186="비귀속",$P186,0),$P186*(1-AG186)*IFERROR(INDEX(계정대체기준!$F$20:$F$49,MATCH($N186,계정대체기준!$A$20:$A$49,0)),1)))</f>
        <v/>
      </c>
      <c r="Z186" s="94">
        <f>IF($A186="",0,IF(AE186="직접",IF(AF186="신계약비",$P186,0),$P186*(1-AG186)*IFERROR(INDEX(계정대체기준!$C$20:$C$49,MATCH($N186,계정대체기준!$A$20:$A$49,0)),0)))</f>
        <v/>
      </c>
      <c r="AA186" s="94">
        <f>IF($A186="",0,IF(AE186="직접",IF(OR(AF186="유지비",AF186="손해조사비"),$P186,0),$P186*(1-AG186)*IFERROR(INDEX(계정대체기준!$D$20:$D$49,MATCH($N186,계정대체기준!$A$20:$A$49,0)),0)))</f>
        <v/>
      </c>
      <c r="AB186" s="94">
        <f>IF($A186="",0,IF(AE186="직접",IF(AF186="수금비",$P186,0),$P186*(1-AG186)*IFERROR(INDEX(계정대체기준!$E$20:$E$49,MATCH($N186,계정대체기준!$A$20:$A$49,0)),0)))</f>
        <v/>
      </c>
      <c r="AC186" s="9">
        <f>IF(AND($A186&lt;&gt;"",M186=설정!$C$20,Z186&gt;0),Z186+ROW()/1000000000,"")</f>
        <v/>
      </c>
      <c r="AD186" s="94">
        <f>IF($A186="",0,$P186*AG186)</f>
        <v/>
      </c>
      <c r="AE186" s="64">
        <f>IF($A186="","",IFERROR(INDEX(계정매핑!$E$5:$E$504,MATCH($F186&amp;"",계정매핑!$A$5:$A$504,0))&amp;"","공통비"))</f>
        <v/>
      </c>
      <c r="AF186" s="64">
        <f>IF($A186="","",IF(AE186="직접",IFERROR(INDEX(계정매핑!$F$5:$F$504,MATCH($F186&amp;"",계정매핑!$A$5:$A$504,0))&amp;"","비귀속"),""))</f>
        <v/>
      </c>
      <c r="AG186" s="96">
        <f>IF($A186="",0,IF(AND(AE186&lt;&gt;"직접",IFERROR(INDEX(계정매핑!$G$5:$G$504,MATCH($F186&amp;"",계정매핑!$A$5:$A$504,0))&amp;"","")="유지비",COUNTIF(계정대체기준!$A$6:$A$15,$N186)&gt;0),IFERROR(INDEX(계정대체기준!$E$6:$E$15,MATCH(VALUE($A186&amp;""),계정대체기준!$D$6:$D$15,0)),0),0))</f>
        <v/>
      </c>
      <c r="AH186" s="64">
        <f>IF($A186="","",IF(AD186=0,"",IF(OR(COUNTIF(계정대체기준!$A$77:$A$86,$N186)&gt;0,ISNUMBER(MATCH($X186,계정대체기준!$D$77:$D$86,0)),ISNUMBER(MATCH($F186,계정대체기준!$D$77:$D$86,0))),"Y","N")))</f>
        <v/>
      </c>
    </row>
    <row r="187">
      <c r="A187" s="92" t="n">
        <v>2025</v>
      </c>
      <c r="B187" s="92" t="n">
        <v>1</v>
      </c>
      <c r="C187" s="92" t="inlineStr">
        <is>
          <t>5100000183</t>
        </is>
      </c>
      <c r="D187" s="95" t="n">
        <v>45676</v>
      </c>
      <c r="E187" s="92" t="inlineStr">
        <is>
          <t>KR</t>
        </is>
      </c>
      <c r="F187" s="92" t="n">
        <v>62601000</v>
      </c>
      <c r="G187" s="92" t="n">
        <v>1301</v>
      </c>
      <c r="H187" s="93" t="n">
        <v>1773000</v>
      </c>
      <c r="I187" s="92" t="inlineStr">
        <is>
          <t>1월 업무추진 - (법인카드)</t>
        </is>
      </c>
      <c r="J187" s="92" t="inlineStr">
        <is>
          <t>V10010</t>
        </is>
      </c>
      <c r="K187" s="92" t="inlineStr">
        <is>
          <t>(법인카드)</t>
        </is>
      </c>
      <c r="M187" s="9">
        <f>IF($A187="","",VALUE($A187&amp;"")*12+VALUE($B187&amp;""))</f>
        <v/>
      </c>
      <c r="N187" s="64">
        <f>IF($A187="","",IFERROR(INDEX(부서매핑!$C$5:$C$504,MATCH($G187&amp;"",부서매핑!$A$5:$A$504,0)),"미매핑"))</f>
        <v/>
      </c>
      <c r="O187" s="9">
        <f>IF($A187="","",N187&amp;"|"&amp;$F187)</f>
        <v/>
      </c>
      <c r="P187" s="94">
        <f>IF($A187="",0,$H187*설정!$C$23)</f>
        <v/>
      </c>
      <c r="Q187" s="64">
        <f>IF($A187="","",IF(O187&lt;&gt;원인분석!$C$9,"",IF(AND(M187&gt;=원인분석!$C$10,M187&lt;=원인분석!$C$11),"당기",IF(AND(M187&gt;=원인분석!$C$12,M187&lt;=원인분석!$C$13),"비교",""))))</f>
        <v/>
      </c>
      <c r="R187" s="9">
        <f>IF(Q187="","",$K187&amp;"")</f>
        <v/>
      </c>
      <c r="S187" s="9">
        <f>IF(Q187="","",IF(MATCH(R187,$R$5:$R$100000,0)=ROW()-4,ROW(),""))</f>
        <v/>
      </c>
      <c r="T187" s="9">
        <f>IF(Q187="당기",ABS(P187)+ROW()/1000000000,"")</f>
        <v/>
      </c>
      <c r="U187" s="9">
        <f>IF(Q187="비교",ABS(P187)+ROW()/1000000000,"")</f>
        <v/>
      </c>
      <c r="V187" s="64">
        <f>IF($A187="","",IF(COUNTIF(변동분석!$E$7:$E$506,O187)&gt;0,"Y","N"))</f>
        <v/>
      </c>
      <c r="W187" s="64">
        <f>IF($A187="","",IFERROR(INDEX(계정매핑!$D$5:$D$504,MATCH($F187&amp;"",계정매핑!$A$5:$A$504,0)),"미매핑"))</f>
        <v/>
      </c>
      <c r="X187" s="9">
        <f>IF($A187="","",$F187&amp;"")</f>
        <v/>
      </c>
      <c r="Y187" s="94">
        <f>IF($A187="",0,IF(AE187="직접",IF(AF187="비귀속",$P187,0),$P187*(1-AG187)*IFERROR(INDEX(계정대체기준!$F$20:$F$49,MATCH($N187,계정대체기준!$A$20:$A$49,0)),1)))</f>
        <v/>
      </c>
      <c r="Z187" s="94">
        <f>IF($A187="",0,IF(AE187="직접",IF(AF187="신계약비",$P187,0),$P187*(1-AG187)*IFERROR(INDEX(계정대체기준!$C$20:$C$49,MATCH($N187,계정대체기준!$A$20:$A$49,0)),0)))</f>
        <v/>
      </c>
      <c r="AA187" s="94">
        <f>IF($A187="",0,IF(AE187="직접",IF(OR(AF187="유지비",AF187="손해조사비"),$P187,0),$P187*(1-AG187)*IFERROR(INDEX(계정대체기준!$D$20:$D$49,MATCH($N187,계정대체기준!$A$20:$A$49,0)),0)))</f>
        <v/>
      </c>
      <c r="AB187" s="94">
        <f>IF($A187="",0,IF(AE187="직접",IF(AF187="수금비",$P187,0),$P187*(1-AG187)*IFERROR(INDEX(계정대체기준!$E$20:$E$49,MATCH($N187,계정대체기준!$A$20:$A$49,0)),0)))</f>
        <v/>
      </c>
      <c r="AC187" s="9">
        <f>IF(AND($A187&lt;&gt;"",M187=설정!$C$20,Z187&gt;0),Z187+ROW()/1000000000,"")</f>
        <v/>
      </c>
      <c r="AD187" s="94">
        <f>IF($A187="",0,$P187*AG187)</f>
        <v/>
      </c>
      <c r="AE187" s="64">
        <f>IF($A187="","",IFERROR(INDEX(계정매핑!$E$5:$E$504,MATCH($F187&amp;"",계정매핑!$A$5:$A$504,0))&amp;"","공통비"))</f>
        <v/>
      </c>
      <c r="AF187" s="64">
        <f>IF($A187="","",IF(AE187="직접",IFERROR(INDEX(계정매핑!$F$5:$F$504,MATCH($F187&amp;"",계정매핑!$A$5:$A$504,0))&amp;"","비귀속"),""))</f>
        <v/>
      </c>
      <c r="AG187" s="96">
        <f>IF($A187="",0,IF(AND(AE187&lt;&gt;"직접",IFERROR(INDEX(계정매핑!$G$5:$G$504,MATCH($F187&amp;"",계정매핑!$A$5:$A$504,0))&amp;"","")="유지비",COUNTIF(계정대체기준!$A$6:$A$15,$N187)&gt;0),IFERROR(INDEX(계정대체기준!$E$6:$E$15,MATCH(VALUE($A187&amp;""),계정대체기준!$D$6:$D$15,0)),0),0))</f>
        <v/>
      </c>
      <c r="AH187" s="64">
        <f>IF($A187="","",IF(AD187=0,"",IF(OR(COUNTIF(계정대체기준!$A$77:$A$86,$N187)&gt;0,ISNUMBER(MATCH($X187,계정대체기준!$D$77:$D$86,0)),ISNUMBER(MATCH($F187,계정대체기준!$D$77:$D$86,0))),"Y","N")))</f>
        <v/>
      </c>
    </row>
    <row r="188">
      <c r="A188" s="92" t="n">
        <v>2025</v>
      </c>
      <c r="B188" s="92" t="n">
        <v>1</v>
      </c>
      <c r="C188" s="92" t="inlineStr">
        <is>
          <t>5100000184</t>
        </is>
      </c>
      <c r="D188" s="95" t="n">
        <v>45676</v>
      </c>
      <c r="E188" s="92" t="inlineStr">
        <is>
          <t>KR</t>
        </is>
      </c>
      <c r="F188" s="92" t="n">
        <v>62801000</v>
      </c>
      <c r="G188" s="92" t="n">
        <v>1301</v>
      </c>
      <c r="H188" s="93" t="n">
        <v>3687000</v>
      </c>
      <c r="I188" s="92" t="inlineStr">
        <is>
          <t>1월 사내교육 - U에듀</t>
        </is>
      </c>
      <c r="J188" s="92" t="inlineStr">
        <is>
          <t>V10031</t>
        </is>
      </c>
      <c r="K188" s="92" t="inlineStr">
        <is>
          <t>U에듀</t>
        </is>
      </c>
      <c r="M188" s="9">
        <f>IF($A188="","",VALUE($A188&amp;"")*12+VALUE($B188&amp;""))</f>
        <v/>
      </c>
      <c r="N188" s="64">
        <f>IF($A188="","",IFERROR(INDEX(부서매핑!$C$5:$C$504,MATCH($G188&amp;"",부서매핑!$A$5:$A$504,0)),"미매핑"))</f>
        <v/>
      </c>
      <c r="O188" s="9">
        <f>IF($A188="","",N188&amp;"|"&amp;$F188)</f>
        <v/>
      </c>
      <c r="P188" s="94">
        <f>IF($A188="",0,$H188*설정!$C$23)</f>
        <v/>
      </c>
      <c r="Q188" s="64">
        <f>IF($A188="","",IF(O188&lt;&gt;원인분석!$C$9,"",IF(AND(M188&gt;=원인분석!$C$10,M188&lt;=원인분석!$C$11),"당기",IF(AND(M188&gt;=원인분석!$C$12,M188&lt;=원인분석!$C$13),"비교",""))))</f>
        <v/>
      </c>
      <c r="R188" s="9">
        <f>IF(Q188="","",$K188&amp;"")</f>
        <v/>
      </c>
      <c r="S188" s="9">
        <f>IF(Q188="","",IF(MATCH(R188,$R$5:$R$100000,0)=ROW()-4,ROW(),""))</f>
        <v/>
      </c>
      <c r="T188" s="9">
        <f>IF(Q188="당기",ABS(P188)+ROW()/1000000000,"")</f>
        <v/>
      </c>
      <c r="U188" s="9">
        <f>IF(Q188="비교",ABS(P188)+ROW()/1000000000,"")</f>
        <v/>
      </c>
      <c r="V188" s="64">
        <f>IF($A188="","",IF(COUNTIF(변동분석!$E$7:$E$506,O188)&gt;0,"Y","N"))</f>
        <v/>
      </c>
      <c r="W188" s="64">
        <f>IF($A188="","",IFERROR(INDEX(계정매핑!$D$5:$D$504,MATCH($F188&amp;"",계정매핑!$A$5:$A$504,0)),"미매핑"))</f>
        <v/>
      </c>
      <c r="X188" s="9">
        <f>IF($A188="","",$F188&amp;"")</f>
        <v/>
      </c>
      <c r="Y188" s="94">
        <f>IF($A188="",0,IF(AE188="직접",IF(AF188="비귀속",$P188,0),$P188*(1-AG188)*IFERROR(INDEX(계정대체기준!$F$20:$F$49,MATCH($N188,계정대체기준!$A$20:$A$49,0)),1)))</f>
        <v/>
      </c>
      <c r="Z188" s="94">
        <f>IF($A188="",0,IF(AE188="직접",IF(AF188="신계약비",$P188,0),$P188*(1-AG188)*IFERROR(INDEX(계정대체기준!$C$20:$C$49,MATCH($N188,계정대체기준!$A$20:$A$49,0)),0)))</f>
        <v/>
      </c>
      <c r="AA188" s="94">
        <f>IF($A188="",0,IF(AE188="직접",IF(OR(AF188="유지비",AF188="손해조사비"),$P188,0),$P188*(1-AG188)*IFERROR(INDEX(계정대체기준!$D$20:$D$49,MATCH($N188,계정대체기준!$A$20:$A$49,0)),0)))</f>
        <v/>
      </c>
      <c r="AB188" s="94">
        <f>IF($A188="",0,IF(AE188="직접",IF(AF188="수금비",$P188,0),$P188*(1-AG188)*IFERROR(INDEX(계정대체기준!$E$20:$E$49,MATCH($N188,계정대체기준!$A$20:$A$49,0)),0)))</f>
        <v/>
      </c>
      <c r="AC188" s="9">
        <f>IF(AND($A188&lt;&gt;"",M188=설정!$C$20,Z188&gt;0),Z188+ROW()/1000000000,"")</f>
        <v/>
      </c>
      <c r="AD188" s="94">
        <f>IF($A188="",0,$P188*AG188)</f>
        <v/>
      </c>
      <c r="AE188" s="64">
        <f>IF($A188="","",IFERROR(INDEX(계정매핑!$E$5:$E$504,MATCH($F188&amp;"",계정매핑!$A$5:$A$504,0))&amp;"","공통비"))</f>
        <v/>
      </c>
      <c r="AF188" s="64">
        <f>IF($A188="","",IF(AE188="직접",IFERROR(INDEX(계정매핑!$F$5:$F$504,MATCH($F188&amp;"",계정매핑!$A$5:$A$504,0))&amp;"","비귀속"),""))</f>
        <v/>
      </c>
      <c r="AG188" s="96">
        <f>IF($A188="",0,IF(AND(AE188&lt;&gt;"직접",IFERROR(INDEX(계정매핑!$G$5:$G$504,MATCH($F188&amp;"",계정매핑!$A$5:$A$504,0))&amp;"","")="유지비",COUNTIF(계정대체기준!$A$6:$A$15,$N188)&gt;0),IFERROR(INDEX(계정대체기준!$E$6:$E$15,MATCH(VALUE($A188&amp;""),계정대체기준!$D$6:$D$15,0)),0),0))</f>
        <v/>
      </c>
      <c r="AH188" s="64">
        <f>IF($A188="","",IF(AD188=0,"",IF(OR(COUNTIF(계정대체기준!$A$77:$A$86,$N188)&gt;0,ISNUMBER(MATCH($X188,계정대체기준!$D$77:$D$86,0)),ISNUMBER(MATCH($F188,계정대체기준!$D$77:$D$86,0))),"Y","N")))</f>
        <v/>
      </c>
    </row>
    <row r="189">
      <c r="A189" s="92" t="n">
        <v>2025</v>
      </c>
      <c r="B189" s="92" t="n">
        <v>1</v>
      </c>
      <c r="C189" s="92" t="inlineStr">
        <is>
          <t>5100000185</t>
        </is>
      </c>
      <c r="D189" s="95" t="n">
        <v>45676</v>
      </c>
      <c r="E189" s="92" t="inlineStr">
        <is>
          <t>KR</t>
        </is>
      </c>
      <c r="F189" s="92" t="n">
        <v>62902000</v>
      </c>
      <c r="G189" s="92" t="n">
        <v>1801</v>
      </c>
      <c r="H189" s="93" t="n">
        <v>1779000</v>
      </c>
      <c r="I189" s="92" t="inlineStr">
        <is>
          <t>1월 콜 위탁 수수료(건별)</t>
        </is>
      </c>
      <c r="J189" s="92" t="inlineStr">
        <is>
          <t>V10016</t>
        </is>
      </c>
      <c r="K189" s="92" t="inlineStr">
        <is>
          <t>J콜센터</t>
        </is>
      </c>
      <c r="M189" s="9">
        <f>IF($A189="","",VALUE($A189&amp;"")*12+VALUE($B189&amp;""))</f>
        <v/>
      </c>
      <c r="N189" s="64">
        <f>IF($A189="","",IFERROR(INDEX(부서매핑!$C$5:$C$504,MATCH($G189&amp;"",부서매핑!$A$5:$A$504,0)),"미매핑"))</f>
        <v/>
      </c>
      <c r="O189" s="9">
        <f>IF($A189="","",N189&amp;"|"&amp;$F189)</f>
        <v/>
      </c>
      <c r="P189" s="94">
        <f>IF($A189="",0,$H189*설정!$C$23)</f>
        <v/>
      </c>
      <c r="Q189" s="64">
        <f>IF($A189="","",IF(O189&lt;&gt;원인분석!$C$9,"",IF(AND(M189&gt;=원인분석!$C$10,M189&lt;=원인분석!$C$11),"당기",IF(AND(M189&gt;=원인분석!$C$12,M189&lt;=원인분석!$C$13),"비교",""))))</f>
        <v/>
      </c>
      <c r="R189" s="9">
        <f>IF(Q189="","",$K189&amp;"")</f>
        <v/>
      </c>
      <c r="S189" s="9">
        <f>IF(Q189="","",IF(MATCH(R189,$R$5:$R$100000,0)=ROW()-4,ROW(),""))</f>
        <v/>
      </c>
      <c r="T189" s="9">
        <f>IF(Q189="당기",ABS(P189)+ROW()/1000000000,"")</f>
        <v/>
      </c>
      <c r="U189" s="9">
        <f>IF(Q189="비교",ABS(P189)+ROW()/1000000000,"")</f>
        <v/>
      </c>
      <c r="V189" s="64">
        <f>IF($A189="","",IF(COUNTIF(변동분석!$E$7:$E$506,O189)&gt;0,"Y","N"))</f>
        <v/>
      </c>
      <c r="W189" s="64">
        <f>IF($A189="","",IFERROR(INDEX(계정매핑!$D$5:$D$504,MATCH($F189&amp;"",계정매핑!$A$5:$A$504,0)),"미매핑"))</f>
        <v/>
      </c>
      <c r="X189" s="9">
        <f>IF($A189="","",$F189&amp;"")</f>
        <v/>
      </c>
      <c r="Y189" s="94">
        <f>IF($A189="",0,IF(AE189="직접",IF(AF189="비귀속",$P189,0),$P189*(1-AG189)*IFERROR(INDEX(계정대체기준!$F$20:$F$49,MATCH($N189,계정대체기준!$A$20:$A$49,0)),1)))</f>
        <v/>
      </c>
      <c r="Z189" s="94">
        <f>IF($A189="",0,IF(AE189="직접",IF(AF189="신계약비",$P189,0),$P189*(1-AG189)*IFERROR(INDEX(계정대체기준!$C$20:$C$49,MATCH($N189,계정대체기준!$A$20:$A$49,0)),0)))</f>
        <v/>
      </c>
      <c r="AA189" s="94">
        <f>IF($A189="",0,IF(AE189="직접",IF(OR(AF189="유지비",AF189="손해조사비"),$P189,0),$P189*(1-AG189)*IFERROR(INDEX(계정대체기준!$D$20:$D$49,MATCH($N189,계정대체기준!$A$20:$A$49,0)),0)))</f>
        <v/>
      </c>
      <c r="AB189" s="94">
        <f>IF($A189="",0,IF(AE189="직접",IF(AF189="수금비",$P189,0),$P189*(1-AG189)*IFERROR(INDEX(계정대체기준!$E$20:$E$49,MATCH($N189,계정대체기준!$A$20:$A$49,0)),0)))</f>
        <v/>
      </c>
      <c r="AC189" s="9">
        <f>IF(AND($A189&lt;&gt;"",M189=설정!$C$20,Z189&gt;0),Z189+ROW()/1000000000,"")</f>
        <v/>
      </c>
      <c r="AD189" s="94">
        <f>IF($A189="",0,$P189*AG189)</f>
        <v/>
      </c>
      <c r="AE189" s="64">
        <f>IF($A189="","",IFERROR(INDEX(계정매핑!$E$5:$E$504,MATCH($F189&amp;"",계정매핑!$A$5:$A$504,0))&amp;"","공통비"))</f>
        <v/>
      </c>
      <c r="AF189" s="64">
        <f>IF($A189="","",IF(AE189="직접",IFERROR(INDEX(계정매핑!$F$5:$F$504,MATCH($F189&amp;"",계정매핑!$A$5:$A$504,0))&amp;"","비귀속"),""))</f>
        <v/>
      </c>
      <c r="AG189" s="96">
        <f>IF($A189="",0,IF(AND(AE189&lt;&gt;"직접",IFERROR(INDEX(계정매핑!$G$5:$G$504,MATCH($F189&amp;"",계정매핑!$A$5:$A$504,0))&amp;"","")="유지비",COUNTIF(계정대체기준!$A$6:$A$15,$N189)&gt;0),IFERROR(INDEX(계정대체기준!$E$6:$E$15,MATCH(VALUE($A189&amp;""),계정대체기준!$D$6:$D$15,0)),0),0))</f>
        <v/>
      </c>
      <c r="AH189" s="64">
        <f>IF($A189="","",IF(AD189=0,"",IF(OR(COUNTIF(계정대체기준!$A$77:$A$86,$N189)&gt;0,ISNUMBER(MATCH($X189,계정대체기준!$D$77:$D$86,0)),ISNUMBER(MATCH($F189,계정대체기준!$D$77:$D$86,0))),"Y","N")))</f>
        <v/>
      </c>
    </row>
    <row r="190">
      <c r="A190" s="92" t="n">
        <v>2025</v>
      </c>
      <c r="B190" s="92" t="n">
        <v>1</v>
      </c>
      <c r="C190" s="92" t="inlineStr">
        <is>
          <t>5100000186</t>
        </is>
      </c>
      <c r="D190" s="95" t="n">
        <v>45676</v>
      </c>
      <c r="E190" s="92" t="inlineStr">
        <is>
          <t>KR</t>
        </is>
      </c>
      <c r="F190" s="92" t="n">
        <v>62902000</v>
      </c>
      <c r="G190" s="92" t="n">
        <v>1951</v>
      </c>
      <c r="H190" s="93" t="n">
        <v>1404000</v>
      </c>
      <c r="I190" s="92" t="inlineStr">
        <is>
          <t>1월 업무 위탁 수수료 - X서비스</t>
        </is>
      </c>
      <c r="J190" s="92" t="inlineStr">
        <is>
          <t>V10020</t>
        </is>
      </c>
      <c r="K190" s="92" t="inlineStr">
        <is>
          <t>X서비스</t>
        </is>
      </c>
      <c r="M190" s="9">
        <f>IF($A190="","",VALUE($A190&amp;"")*12+VALUE($B190&amp;""))</f>
        <v/>
      </c>
      <c r="N190" s="64">
        <f>IF($A190="","",IFERROR(INDEX(부서매핑!$C$5:$C$504,MATCH($G190&amp;"",부서매핑!$A$5:$A$504,0)),"미매핑"))</f>
        <v/>
      </c>
      <c r="O190" s="9">
        <f>IF($A190="","",N190&amp;"|"&amp;$F190)</f>
        <v/>
      </c>
      <c r="P190" s="94">
        <f>IF($A190="",0,$H190*설정!$C$23)</f>
        <v/>
      </c>
      <c r="Q190" s="64">
        <f>IF($A190="","",IF(O190&lt;&gt;원인분석!$C$9,"",IF(AND(M190&gt;=원인분석!$C$10,M190&lt;=원인분석!$C$11),"당기",IF(AND(M190&gt;=원인분석!$C$12,M190&lt;=원인분석!$C$13),"비교",""))))</f>
        <v/>
      </c>
      <c r="R190" s="9">
        <f>IF(Q190="","",$K190&amp;"")</f>
        <v/>
      </c>
      <c r="S190" s="9">
        <f>IF(Q190="","",IF(MATCH(R190,$R$5:$R$100000,0)=ROW()-4,ROW(),""))</f>
        <v/>
      </c>
      <c r="T190" s="9">
        <f>IF(Q190="당기",ABS(P190)+ROW()/1000000000,"")</f>
        <v/>
      </c>
      <c r="U190" s="9">
        <f>IF(Q190="비교",ABS(P190)+ROW()/1000000000,"")</f>
        <v/>
      </c>
      <c r="V190" s="64">
        <f>IF($A190="","",IF(COUNTIF(변동분석!$E$7:$E$506,O190)&gt;0,"Y","N"))</f>
        <v/>
      </c>
      <c r="W190" s="64">
        <f>IF($A190="","",IFERROR(INDEX(계정매핑!$D$5:$D$504,MATCH($F190&amp;"",계정매핑!$A$5:$A$504,0)),"미매핑"))</f>
        <v/>
      </c>
      <c r="X190" s="9">
        <f>IF($A190="","",$F190&amp;"")</f>
        <v/>
      </c>
      <c r="Y190" s="94">
        <f>IF($A190="",0,IF(AE190="직접",IF(AF190="비귀속",$P190,0),$P190*(1-AG190)*IFERROR(INDEX(계정대체기준!$F$20:$F$49,MATCH($N190,계정대체기준!$A$20:$A$49,0)),1)))</f>
        <v/>
      </c>
      <c r="Z190" s="94">
        <f>IF($A190="",0,IF(AE190="직접",IF(AF190="신계약비",$P190,0),$P190*(1-AG190)*IFERROR(INDEX(계정대체기준!$C$20:$C$49,MATCH($N190,계정대체기준!$A$20:$A$49,0)),0)))</f>
        <v/>
      </c>
      <c r="AA190" s="94">
        <f>IF($A190="",0,IF(AE190="직접",IF(OR(AF190="유지비",AF190="손해조사비"),$P190,0),$P190*(1-AG190)*IFERROR(INDEX(계정대체기준!$D$20:$D$49,MATCH($N190,계정대체기준!$A$20:$A$49,0)),0)))</f>
        <v/>
      </c>
      <c r="AB190" s="94">
        <f>IF($A190="",0,IF(AE190="직접",IF(AF190="수금비",$P190,0),$P190*(1-AG190)*IFERROR(INDEX(계정대체기준!$E$20:$E$49,MATCH($N190,계정대체기준!$A$20:$A$49,0)),0)))</f>
        <v/>
      </c>
      <c r="AC190" s="9">
        <f>IF(AND($A190&lt;&gt;"",M190=설정!$C$20,Z190&gt;0),Z190+ROW()/1000000000,"")</f>
        <v/>
      </c>
      <c r="AD190" s="94">
        <f>IF($A190="",0,$P190*AG190)</f>
        <v/>
      </c>
      <c r="AE190" s="64">
        <f>IF($A190="","",IFERROR(INDEX(계정매핑!$E$5:$E$504,MATCH($F190&amp;"",계정매핑!$A$5:$A$504,0))&amp;"","공통비"))</f>
        <v/>
      </c>
      <c r="AF190" s="64">
        <f>IF($A190="","",IF(AE190="직접",IFERROR(INDEX(계정매핑!$F$5:$F$504,MATCH($F190&amp;"",계정매핑!$A$5:$A$504,0))&amp;"","비귀속"),""))</f>
        <v/>
      </c>
      <c r="AG190" s="96">
        <f>IF($A190="",0,IF(AND(AE190&lt;&gt;"직접",IFERROR(INDEX(계정매핑!$G$5:$G$504,MATCH($F190&amp;"",계정매핑!$A$5:$A$504,0))&amp;"","")="유지비",COUNTIF(계정대체기준!$A$6:$A$15,$N190)&gt;0),IFERROR(INDEX(계정대체기준!$E$6:$E$15,MATCH(VALUE($A190&amp;""),계정대체기준!$D$6:$D$15,0)),0),0))</f>
        <v/>
      </c>
      <c r="AH190" s="64">
        <f>IF($A190="","",IF(AD190=0,"",IF(OR(COUNTIF(계정대체기준!$A$77:$A$86,$N190)&gt;0,ISNUMBER(MATCH($X190,계정대체기준!$D$77:$D$86,0)),ISNUMBER(MATCH($F190,계정대체기준!$D$77:$D$86,0))),"Y","N")))</f>
        <v/>
      </c>
    </row>
    <row r="191">
      <c r="A191" s="92" t="n">
        <v>2025</v>
      </c>
      <c r="B191" s="92" t="n">
        <v>1</v>
      </c>
      <c r="C191" s="92" t="inlineStr">
        <is>
          <t>5100000187</t>
        </is>
      </c>
      <c r="D191" s="95" t="n">
        <v>45676</v>
      </c>
      <c r="E191" s="92" t="inlineStr">
        <is>
          <t>KR</t>
        </is>
      </c>
      <c r="F191" s="92" t="n">
        <v>63501000</v>
      </c>
      <c r="G191" s="92" t="n">
        <v>1902</v>
      </c>
      <c r="H191" s="93" t="n">
        <v>399345000</v>
      </c>
      <c r="I191" s="92" t="inlineStr">
        <is>
          <t>1월 모집수수료 - (전속설계사)</t>
        </is>
      </c>
      <c r="J191" s="92" t="inlineStr">
        <is>
          <t>V10021</t>
        </is>
      </c>
      <c r="K191" s="92" t="inlineStr">
        <is>
          <t>(전속설계사)</t>
        </is>
      </c>
      <c r="M191" s="9">
        <f>IF($A191="","",VALUE($A191&amp;"")*12+VALUE($B191&amp;""))</f>
        <v/>
      </c>
      <c r="N191" s="64">
        <f>IF($A191="","",IFERROR(INDEX(부서매핑!$C$5:$C$504,MATCH($G191&amp;"",부서매핑!$A$5:$A$504,0)),"미매핑"))</f>
        <v/>
      </c>
      <c r="O191" s="9">
        <f>IF($A191="","",N191&amp;"|"&amp;$F191)</f>
        <v/>
      </c>
      <c r="P191" s="94">
        <f>IF($A191="",0,$H191*설정!$C$23)</f>
        <v/>
      </c>
      <c r="Q191" s="64">
        <f>IF($A191="","",IF(O191&lt;&gt;원인분석!$C$9,"",IF(AND(M191&gt;=원인분석!$C$10,M191&lt;=원인분석!$C$11),"당기",IF(AND(M191&gt;=원인분석!$C$12,M191&lt;=원인분석!$C$13),"비교",""))))</f>
        <v/>
      </c>
      <c r="R191" s="9">
        <f>IF(Q191="","",$K191&amp;"")</f>
        <v/>
      </c>
      <c r="S191" s="9">
        <f>IF(Q191="","",IF(MATCH(R191,$R$5:$R$100000,0)=ROW()-4,ROW(),""))</f>
        <v/>
      </c>
      <c r="T191" s="9">
        <f>IF(Q191="당기",ABS(P191)+ROW()/1000000000,"")</f>
        <v/>
      </c>
      <c r="U191" s="9">
        <f>IF(Q191="비교",ABS(P191)+ROW()/1000000000,"")</f>
        <v/>
      </c>
      <c r="V191" s="64">
        <f>IF($A191="","",IF(COUNTIF(변동분석!$E$7:$E$506,O191)&gt;0,"Y","N"))</f>
        <v/>
      </c>
      <c r="W191" s="64">
        <f>IF($A191="","",IFERROR(INDEX(계정매핑!$D$5:$D$504,MATCH($F191&amp;"",계정매핑!$A$5:$A$504,0)),"미매핑"))</f>
        <v/>
      </c>
      <c r="X191" s="9">
        <f>IF($A191="","",$F191&amp;"")</f>
        <v/>
      </c>
      <c r="Y191" s="94">
        <f>IF($A191="",0,IF(AE191="직접",IF(AF191="비귀속",$P191,0),$P191*(1-AG191)*IFERROR(INDEX(계정대체기준!$F$20:$F$49,MATCH($N191,계정대체기준!$A$20:$A$49,0)),1)))</f>
        <v/>
      </c>
      <c r="Z191" s="94">
        <f>IF($A191="",0,IF(AE191="직접",IF(AF191="신계약비",$P191,0),$P191*(1-AG191)*IFERROR(INDEX(계정대체기준!$C$20:$C$49,MATCH($N191,계정대체기준!$A$20:$A$49,0)),0)))</f>
        <v/>
      </c>
      <c r="AA191" s="94">
        <f>IF($A191="",0,IF(AE191="직접",IF(OR(AF191="유지비",AF191="손해조사비"),$P191,0),$P191*(1-AG191)*IFERROR(INDEX(계정대체기준!$D$20:$D$49,MATCH($N191,계정대체기준!$A$20:$A$49,0)),0)))</f>
        <v/>
      </c>
      <c r="AB191" s="94">
        <f>IF($A191="",0,IF(AE191="직접",IF(AF191="수금비",$P191,0),$P191*(1-AG191)*IFERROR(INDEX(계정대체기준!$E$20:$E$49,MATCH($N191,계정대체기준!$A$20:$A$49,0)),0)))</f>
        <v/>
      </c>
      <c r="AC191" s="9">
        <f>IF(AND($A191&lt;&gt;"",M191=설정!$C$20,Z191&gt;0),Z191+ROW()/1000000000,"")</f>
        <v/>
      </c>
      <c r="AD191" s="94">
        <f>IF($A191="",0,$P191*AG191)</f>
        <v/>
      </c>
      <c r="AE191" s="64">
        <f>IF($A191="","",IFERROR(INDEX(계정매핑!$E$5:$E$504,MATCH($F191&amp;"",계정매핑!$A$5:$A$504,0))&amp;"","공통비"))</f>
        <v/>
      </c>
      <c r="AF191" s="64">
        <f>IF($A191="","",IF(AE191="직접",IFERROR(INDEX(계정매핑!$F$5:$F$504,MATCH($F191&amp;"",계정매핑!$A$5:$A$504,0))&amp;"","비귀속"),""))</f>
        <v/>
      </c>
      <c r="AG191" s="96">
        <f>IF($A191="",0,IF(AND(AE191&lt;&gt;"직접",IFERROR(INDEX(계정매핑!$G$5:$G$504,MATCH($F191&amp;"",계정매핑!$A$5:$A$504,0))&amp;"","")="유지비",COUNTIF(계정대체기준!$A$6:$A$15,$N191)&gt;0),IFERROR(INDEX(계정대체기준!$E$6:$E$15,MATCH(VALUE($A191&amp;""),계정대체기준!$D$6:$D$15,0)),0),0))</f>
        <v/>
      </c>
      <c r="AH191" s="64">
        <f>IF($A191="","",IF(AD191=0,"",IF(OR(COUNTIF(계정대체기준!$A$77:$A$86,$N191)&gt;0,ISNUMBER(MATCH($X191,계정대체기준!$D$77:$D$86,0)),ISNUMBER(MATCH($F191,계정대체기준!$D$77:$D$86,0))),"Y","N")))</f>
        <v/>
      </c>
    </row>
    <row r="192">
      <c r="A192" s="92" t="n">
        <v>2025</v>
      </c>
      <c r="B192" s="92" t="n">
        <v>1</v>
      </c>
      <c r="C192" s="92" t="inlineStr">
        <is>
          <t>5100000188</t>
        </is>
      </c>
      <c r="D192" s="95" t="n">
        <v>45677</v>
      </c>
      <c r="E192" s="92" t="inlineStr">
        <is>
          <t>KR</t>
        </is>
      </c>
      <c r="F192" s="92" t="n">
        <v>62101000</v>
      </c>
      <c r="G192" s="92" t="n">
        <v>1301</v>
      </c>
      <c r="H192" s="93" t="n">
        <v>243000</v>
      </c>
      <c r="I192" s="92" t="inlineStr">
        <is>
          <t>1월 국내출장 - M항공</t>
        </is>
      </c>
      <c r="J192" s="92" t="inlineStr">
        <is>
          <t>V10001</t>
        </is>
      </c>
      <c r="K192" s="92" t="inlineStr">
        <is>
          <t>M항공</t>
        </is>
      </c>
      <c r="M192" s="9">
        <f>IF($A192="","",VALUE($A192&amp;"")*12+VALUE($B192&amp;""))</f>
        <v/>
      </c>
      <c r="N192" s="64">
        <f>IF($A192="","",IFERROR(INDEX(부서매핑!$C$5:$C$504,MATCH($G192&amp;"",부서매핑!$A$5:$A$504,0)),"미매핑"))</f>
        <v/>
      </c>
      <c r="O192" s="9">
        <f>IF($A192="","",N192&amp;"|"&amp;$F192)</f>
        <v/>
      </c>
      <c r="P192" s="94">
        <f>IF($A192="",0,$H192*설정!$C$23)</f>
        <v/>
      </c>
      <c r="Q192" s="64">
        <f>IF($A192="","",IF(O192&lt;&gt;원인분석!$C$9,"",IF(AND(M192&gt;=원인분석!$C$10,M192&lt;=원인분석!$C$11),"당기",IF(AND(M192&gt;=원인분석!$C$12,M192&lt;=원인분석!$C$13),"비교",""))))</f>
        <v/>
      </c>
      <c r="R192" s="9">
        <f>IF(Q192="","",$K192&amp;"")</f>
        <v/>
      </c>
      <c r="S192" s="9">
        <f>IF(Q192="","",IF(MATCH(R192,$R$5:$R$100000,0)=ROW()-4,ROW(),""))</f>
        <v/>
      </c>
      <c r="T192" s="9">
        <f>IF(Q192="당기",ABS(P192)+ROW()/1000000000,"")</f>
        <v/>
      </c>
      <c r="U192" s="9">
        <f>IF(Q192="비교",ABS(P192)+ROW()/1000000000,"")</f>
        <v/>
      </c>
      <c r="V192" s="64">
        <f>IF($A192="","",IF(COUNTIF(변동분석!$E$7:$E$506,O192)&gt;0,"Y","N"))</f>
        <v/>
      </c>
      <c r="W192" s="64">
        <f>IF($A192="","",IFERROR(INDEX(계정매핑!$D$5:$D$504,MATCH($F192&amp;"",계정매핑!$A$5:$A$504,0)),"미매핑"))</f>
        <v/>
      </c>
      <c r="X192" s="9">
        <f>IF($A192="","",$F192&amp;"")</f>
        <v/>
      </c>
      <c r="Y192" s="94">
        <f>IF($A192="",0,IF(AE192="직접",IF(AF192="비귀속",$P192,0),$P192*(1-AG192)*IFERROR(INDEX(계정대체기준!$F$20:$F$49,MATCH($N192,계정대체기준!$A$20:$A$49,0)),1)))</f>
        <v/>
      </c>
      <c r="Z192" s="94">
        <f>IF($A192="",0,IF(AE192="직접",IF(AF192="신계약비",$P192,0),$P192*(1-AG192)*IFERROR(INDEX(계정대체기준!$C$20:$C$49,MATCH($N192,계정대체기준!$A$20:$A$49,0)),0)))</f>
        <v/>
      </c>
      <c r="AA192" s="94">
        <f>IF($A192="",0,IF(AE192="직접",IF(OR(AF192="유지비",AF192="손해조사비"),$P192,0),$P192*(1-AG192)*IFERROR(INDEX(계정대체기준!$D$20:$D$49,MATCH($N192,계정대체기준!$A$20:$A$49,0)),0)))</f>
        <v/>
      </c>
      <c r="AB192" s="94">
        <f>IF($A192="",0,IF(AE192="직접",IF(AF192="수금비",$P192,0),$P192*(1-AG192)*IFERROR(INDEX(계정대체기준!$E$20:$E$49,MATCH($N192,계정대체기준!$A$20:$A$49,0)),0)))</f>
        <v/>
      </c>
      <c r="AC192" s="9">
        <f>IF(AND($A192&lt;&gt;"",M192=설정!$C$20,Z192&gt;0),Z192+ROW()/1000000000,"")</f>
        <v/>
      </c>
      <c r="AD192" s="94">
        <f>IF($A192="",0,$P192*AG192)</f>
        <v/>
      </c>
      <c r="AE192" s="64">
        <f>IF($A192="","",IFERROR(INDEX(계정매핑!$E$5:$E$504,MATCH($F192&amp;"",계정매핑!$A$5:$A$504,0))&amp;"","공통비"))</f>
        <v/>
      </c>
      <c r="AF192" s="64">
        <f>IF($A192="","",IF(AE192="직접",IFERROR(INDEX(계정매핑!$F$5:$F$504,MATCH($F192&amp;"",계정매핑!$A$5:$A$504,0))&amp;"","비귀속"),""))</f>
        <v/>
      </c>
      <c r="AG192" s="96">
        <f>IF($A192="",0,IF(AND(AE192&lt;&gt;"직접",IFERROR(INDEX(계정매핑!$G$5:$G$504,MATCH($F192&amp;"",계정매핑!$A$5:$A$504,0))&amp;"","")="유지비",COUNTIF(계정대체기준!$A$6:$A$15,$N192)&gt;0),IFERROR(INDEX(계정대체기준!$E$6:$E$15,MATCH(VALUE($A192&amp;""),계정대체기준!$D$6:$D$15,0)),0),0))</f>
        <v/>
      </c>
      <c r="AH192" s="64">
        <f>IF($A192="","",IF(AD192=0,"",IF(OR(COUNTIF(계정대체기준!$A$77:$A$86,$N192)&gt;0,ISNUMBER(MATCH($X192,계정대체기준!$D$77:$D$86,0)),ISNUMBER(MATCH($F192,계정대체기준!$D$77:$D$86,0))),"Y","N")))</f>
        <v/>
      </c>
    </row>
    <row r="193">
      <c r="A193" s="92" t="n">
        <v>2025</v>
      </c>
      <c r="B193" s="92" t="n">
        <v>1</v>
      </c>
      <c r="C193" s="92" t="inlineStr">
        <is>
          <t>5100000189</t>
        </is>
      </c>
      <c r="D193" s="95" t="n">
        <v>45677</v>
      </c>
      <c r="E193" s="92" t="inlineStr">
        <is>
          <t>KR</t>
        </is>
      </c>
      <c r="F193" s="92" t="n">
        <v>62102000</v>
      </c>
      <c r="G193" s="92" t="n">
        <v>1951</v>
      </c>
      <c r="H193" s="93" t="n">
        <v>64000</v>
      </c>
      <c r="I193" s="92" t="inlineStr">
        <is>
          <t>1월 해외출장 - M항공</t>
        </is>
      </c>
      <c r="J193" s="92" t="inlineStr">
        <is>
          <t>V10001</t>
        </is>
      </c>
      <c r="K193" s="92" t="inlineStr">
        <is>
          <t>M항공</t>
        </is>
      </c>
      <c r="M193" s="9">
        <f>IF($A193="","",VALUE($A193&amp;"")*12+VALUE($B193&amp;""))</f>
        <v/>
      </c>
      <c r="N193" s="64">
        <f>IF($A193="","",IFERROR(INDEX(부서매핑!$C$5:$C$504,MATCH($G193&amp;"",부서매핑!$A$5:$A$504,0)),"미매핑"))</f>
        <v/>
      </c>
      <c r="O193" s="9">
        <f>IF($A193="","",N193&amp;"|"&amp;$F193)</f>
        <v/>
      </c>
      <c r="P193" s="94">
        <f>IF($A193="",0,$H193*설정!$C$23)</f>
        <v/>
      </c>
      <c r="Q193" s="64">
        <f>IF($A193="","",IF(O193&lt;&gt;원인분석!$C$9,"",IF(AND(M193&gt;=원인분석!$C$10,M193&lt;=원인분석!$C$11),"당기",IF(AND(M193&gt;=원인분석!$C$12,M193&lt;=원인분석!$C$13),"비교",""))))</f>
        <v/>
      </c>
      <c r="R193" s="9">
        <f>IF(Q193="","",$K193&amp;"")</f>
        <v/>
      </c>
      <c r="S193" s="9">
        <f>IF(Q193="","",IF(MATCH(R193,$R$5:$R$100000,0)=ROW()-4,ROW(),""))</f>
        <v/>
      </c>
      <c r="T193" s="9">
        <f>IF(Q193="당기",ABS(P193)+ROW()/1000000000,"")</f>
        <v/>
      </c>
      <c r="U193" s="9">
        <f>IF(Q193="비교",ABS(P193)+ROW()/1000000000,"")</f>
        <v/>
      </c>
      <c r="V193" s="64">
        <f>IF($A193="","",IF(COUNTIF(변동분석!$E$7:$E$506,O193)&gt;0,"Y","N"))</f>
        <v/>
      </c>
      <c r="W193" s="64">
        <f>IF($A193="","",IFERROR(INDEX(계정매핑!$D$5:$D$504,MATCH($F193&amp;"",계정매핑!$A$5:$A$504,0)),"미매핑"))</f>
        <v/>
      </c>
      <c r="X193" s="9">
        <f>IF($A193="","",$F193&amp;"")</f>
        <v/>
      </c>
      <c r="Y193" s="94">
        <f>IF($A193="",0,IF(AE193="직접",IF(AF193="비귀속",$P193,0),$P193*(1-AG193)*IFERROR(INDEX(계정대체기준!$F$20:$F$49,MATCH($N193,계정대체기준!$A$20:$A$49,0)),1)))</f>
        <v/>
      </c>
      <c r="Z193" s="94">
        <f>IF($A193="",0,IF(AE193="직접",IF(AF193="신계약비",$P193,0),$P193*(1-AG193)*IFERROR(INDEX(계정대체기준!$C$20:$C$49,MATCH($N193,계정대체기준!$A$20:$A$49,0)),0)))</f>
        <v/>
      </c>
      <c r="AA193" s="94">
        <f>IF($A193="",0,IF(AE193="직접",IF(OR(AF193="유지비",AF193="손해조사비"),$P193,0),$P193*(1-AG193)*IFERROR(INDEX(계정대체기준!$D$20:$D$49,MATCH($N193,계정대체기준!$A$20:$A$49,0)),0)))</f>
        <v/>
      </c>
      <c r="AB193" s="94">
        <f>IF($A193="",0,IF(AE193="직접",IF(AF193="수금비",$P193,0),$P193*(1-AG193)*IFERROR(INDEX(계정대체기준!$E$20:$E$49,MATCH($N193,계정대체기준!$A$20:$A$49,0)),0)))</f>
        <v/>
      </c>
      <c r="AC193" s="9">
        <f>IF(AND($A193&lt;&gt;"",M193=설정!$C$20,Z193&gt;0),Z193+ROW()/1000000000,"")</f>
        <v/>
      </c>
      <c r="AD193" s="94">
        <f>IF($A193="",0,$P193*AG193)</f>
        <v/>
      </c>
      <c r="AE193" s="64">
        <f>IF($A193="","",IFERROR(INDEX(계정매핑!$E$5:$E$504,MATCH($F193&amp;"",계정매핑!$A$5:$A$504,0))&amp;"","공통비"))</f>
        <v/>
      </c>
      <c r="AF193" s="64">
        <f>IF($A193="","",IF(AE193="직접",IFERROR(INDEX(계정매핑!$F$5:$F$504,MATCH($F193&amp;"",계정매핑!$A$5:$A$504,0))&amp;"","비귀속"),""))</f>
        <v/>
      </c>
      <c r="AG193" s="96">
        <f>IF($A193="",0,IF(AND(AE193&lt;&gt;"직접",IFERROR(INDEX(계정매핑!$G$5:$G$504,MATCH($F193&amp;"",계정매핑!$A$5:$A$504,0))&amp;"","")="유지비",COUNTIF(계정대체기준!$A$6:$A$15,$N193)&gt;0),IFERROR(INDEX(계정대체기준!$E$6:$E$15,MATCH(VALUE($A193&amp;""),계정대체기준!$D$6:$D$15,0)),0),0))</f>
        <v/>
      </c>
      <c r="AH193" s="64">
        <f>IF($A193="","",IF(AD193=0,"",IF(OR(COUNTIF(계정대체기준!$A$77:$A$86,$N193)&gt;0,ISNUMBER(MATCH($X193,계정대체기준!$D$77:$D$86,0)),ISNUMBER(MATCH($F193,계정대체기준!$D$77:$D$86,0))),"Y","N")))</f>
        <v/>
      </c>
    </row>
    <row r="194">
      <c r="A194" s="92" t="n">
        <v>2025</v>
      </c>
      <c r="B194" s="92" t="n">
        <v>1</v>
      </c>
      <c r="C194" s="92" t="inlineStr">
        <is>
          <t>5100000190</t>
        </is>
      </c>
      <c r="D194" s="95" t="n">
        <v>45677</v>
      </c>
      <c r="E194" s="92" t="inlineStr">
        <is>
          <t>KR</t>
        </is>
      </c>
      <c r="F194" s="92" t="n">
        <v>62201000</v>
      </c>
      <c r="G194" s="92" t="n">
        <v>1951</v>
      </c>
      <c r="H194" s="93" t="n">
        <v>418000</v>
      </c>
      <c r="I194" s="92" t="inlineStr">
        <is>
          <t>1월 통신요금 - O텔레콤</t>
        </is>
      </c>
      <c r="J194" s="92" t="inlineStr">
        <is>
          <t>V10002</t>
        </is>
      </c>
      <c r="K194" s="92" t="inlineStr">
        <is>
          <t>O텔레콤</t>
        </is>
      </c>
      <c r="M194" s="9">
        <f>IF($A194="","",VALUE($A194&amp;"")*12+VALUE($B194&amp;""))</f>
        <v/>
      </c>
      <c r="N194" s="64">
        <f>IF($A194="","",IFERROR(INDEX(부서매핑!$C$5:$C$504,MATCH($G194&amp;"",부서매핑!$A$5:$A$504,0)),"미매핑"))</f>
        <v/>
      </c>
      <c r="O194" s="9">
        <f>IF($A194="","",N194&amp;"|"&amp;$F194)</f>
        <v/>
      </c>
      <c r="P194" s="94">
        <f>IF($A194="",0,$H194*설정!$C$23)</f>
        <v/>
      </c>
      <c r="Q194" s="64">
        <f>IF($A194="","",IF(O194&lt;&gt;원인분석!$C$9,"",IF(AND(M194&gt;=원인분석!$C$10,M194&lt;=원인분석!$C$11),"당기",IF(AND(M194&gt;=원인분석!$C$12,M194&lt;=원인분석!$C$13),"비교",""))))</f>
        <v/>
      </c>
      <c r="R194" s="9">
        <f>IF(Q194="","",$K194&amp;"")</f>
        <v/>
      </c>
      <c r="S194" s="9">
        <f>IF(Q194="","",IF(MATCH(R194,$R$5:$R$100000,0)=ROW()-4,ROW(),""))</f>
        <v/>
      </c>
      <c r="T194" s="9">
        <f>IF(Q194="당기",ABS(P194)+ROW()/1000000000,"")</f>
        <v/>
      </c>
      <c r="U194" s="9">
        <f>IF(Q194="비교",ABS(P194)+ROW()/1000000000,"")</f>
        <v/>
      </c>
      <c r="V194" s="64">
        <f>IF($A194="","",IF(COUNTIF(변동분석!$E$7:$E$506,O194)&gt;0,"Y","N"))</f>
        <v/>
      </c>
      <c r="W194" s="64">
        <f>IF($A194="","",IFERROR(INDEX(계정매핑!$D$5:$D$504,MATCH($F194&amp;"",계정매핑!$A$5:$A$504,0)),"미매핑"))</f>
        <v/>
      </c>
      <c r="X194" s="9">
        <f>IF($A194="","",$F194&amp;"")</f>
        <v/>
      </c>
      <c r="Y194" s="94">
        <f>IF($A194="",0,IF(AE194="직접",IF(AF194="비귀속",$P194,0),$P194*(1-AG194)*IFERROR(INDEX(계정대체기준!$F$20:$F$49,MATCH($N194,계정대체기준!$A$20:$A$49,0)),1)))</f>
        <v/>
      </c>
      <c r="Z194" s="94">
        <f>IF($A194="",0,IF(AE194="직접",IF(AF194="신계약비",$P194,0),$P194*(1-AG194)*IFERROR(INDEX(계정대체기준!$C$20:$C$49,MATCH($N194,계정대체기준!$A$20:$A$49,0)),0)))</f>
        <v/>
      </c>
      <c r="AA194" s="94">
        <f>IF($A194="",0,IF(AE194="직접",IF(OR(AF194="유지비",AF194="손해조사비"),$P194,0),$P194*(1-AG194)*IFERROR(INDEX(계정대체기준!$D$20:$D$49,MATCH($N194,계정대체기준!$A$20:$A$49,0)),0)))</f>
        <v/>
      </c>
      <c r="AB194" s="94">
        <f>IF($A194="",0,IF(AE194="직접",IF(AF194="수금비",$P194,0),$P194*(1-AG194)*IFERROR(INDEX(계정대체기준!$E$20:$E$49,MATCH($N194,계정대체기준!$A$20:$A$49,0)),0)))</f>
        <v/>
      </c>
      <c r="AC194" s="9">
        <f>IF(AND($A194&lt;&gt;"",M194=설정!$C$20,Z194&gt;0),Z194+ROW()/1000000000,"")</f>
        <v/>
      </c>
      <c r="AD194" s="94">
        <f>IF($A194="",0,$P194*AG194)</f>
        <v/>
      </c>
      <c r="AE194" s="64">
        <f>IF($A194="","",IFERROR(INDEX(계정매핑!$E$5:$E$504,MATCH($F194&amp;"",계정매핑!$A$5:$A$504,0))&amp;"","공통비"))</f>
        <v/>
      </c>
      <c r="AF194" s="64">
        <f>IF($A194="","",IF(AE194="직접",IFERROR(INDEX(계정매핑!$F$5:$F$504,MATCH($F194&amp;"",계정매핑!$A$5:$A$504,0))&amp;"","비귀속"),""))</f>
        <v/>
      </c>
      <c r="AG194" s="96">
        <f>IF($A194="",0,IF(AND(AE194&lt;&gt;"직접",IFERROR(INDEX(계정매핑!$G$5:$G$504,MATCH($F194&amp;"",계정매핑!$A$5:$A$504,0))&amp;"","")="유지비",COUNTIF(계정대체기준!$A$6:$A$15,$N194)&gt;0),IFERROR(INDEX(계정대체기준!$E$6:$E$15,MATCH(VALUE($A194&amp;""),계정대체기준!$D$6:$D$15,0)),0),0))</f>
        <v/>
      </c>
      <c r="AH194" s="64">
        <f>IF($A194="","",IF(AD194=0,"",IF(OR(COUNTIF(계정대체기준!$A$77:$A$86,$N194)&gt;0,ISNUMBER(MATCH($X194,계정대체기준!$D$77:$D$86,0)),ISNUMBER(MATCH($F194,계정대체기준!$D$77:$D$86,0))),"Y","N")))</f>
        <v/>
      </c>
    </row>
    <row r="195">
      <c r="A195" s="92" t="n">
        <v>2025</v>
      </c>
      <c r="B195" s="92" t="n">
        <v>1</v>
      </c>
      <c r="C195" s="92" t="inlineStr">
        <is>
          <t>5100000191</t>
        </is>
      </c>
      <c r="D195" s="95" t="n">
        <v>45677</v>
      </c>
      <c r="E195" s="92" t="inlineStr">
        <is>
          <t>KR</t>
        </is>
      </c>
      <c r="F195" s="92" t="n">
        <v>62301000</v>
      </c>
      <c r="G195" s="92" t="n">
        <v>1101</v>
      </c>
      <c r="H195" s="93" t="n">
        <v>115000</v>
      </c>
      <c r="I195" s="92" t="inlineStr">
        <is>
          <t>1월 소모품 구입 - R문구</t>
        </is>
      </c>
      <c r="J195" s="92" t="inlineStr">
        <is>
          <t>V10022</t>
        </is>
      </c>
      <c r="K195" s="92" t="inlineStr">
        <is>
          <t>R문구</t>
        </is>
      </c>
      <c r="M195" s="9">
        <f>IF($A195="","",VALUE($A195&amp;"")*12+VALUE($B195&amp;""))</f>
        <v/>
      </c>
      <c r="N195" s="64">
        <f>IF($A195="","",IFERROR(INDEX(부서매핑!$C$5:$C$504,MATCH($G195&amp;"",부서매핑!$A$5:$A$504,0)),"미매핑"))</f>
        <v/>
      </c>
      <c r="O195" s="9">
        <f>IF($A195="","",N195&amp;"|"&amp;$F195)</f>
        <v/>
      </c>
      <c r="P195" s="94">
        <f>IF($A195="",0,$H195*설정!$C$23)</f>
        <v/>
      </c>
      <c r="Q195" s="64">
        <f>IF($A195="","",IF(O195&lt;&gt;원인분석!$C$9,"",IF(AND(M195&gt;=원인분석!$C$10,M195&lt;=원인분석!$C$11),"당기",IF(AND(M195&gt;=원인분석!$C$12,M195&lt;=원인분석!$C$13),"비교",""))))</f>
        <v/>
      </c>
      <c r="R195" s="9">
        <f>IF(Q195="","",$K195&amp;"")</f>
        <v/>
      </c>
      <c r="S195" s="9">
        <f>IF(Q195="","",IF(MATCH(R195,$R$5:$R$100000,0)=ROW()-4,ROW(),""))</f>
        <v/>
      </c>
      <c r="T195" s="9">
        <f>IF(Q195="당기",ABS(P195)+ROW()/1000000000,"")</f>
        <v/>
      </c>
      <c r="U195" s="9">
        <f>IF(Q195="비교",ABS(P195)+ROW()/1000000000,"")</f>
        <v/>
      </c>
      <c r="V195" s="64">
        <f>IF($A195="","",IF(COUNTIF(변동분석!$E$7:$E$506,O195)&gt;0,"Y","N"))</f>
        <v/>
      </c>
      <c r="W195" s="64">
        <f>IF($A195="","",IFERROR(INDEX(계정매핑!$D$5:$D$504,MATCH($F195&amp;"",계정매핑!$A$5:$A$504,0)),"미매핑"))</f>
        <v/>
      </c>
      <c r="X195" s="9">
        <f>IF($A195="","",$F195&amp;"")</f>
        <v/>
      </c>
      <c r="Y195" s="94">
        <f>IF($A195="",0,IF(AE195="직접",IF(AF195="비귀속",$P195,0),$P195*(1-AG195)*IFERROR(INDEX(계정대체기준!$F$20:$F$49,MATCH($N195,계정대체기준!$A$20:$A$49,0)),1)))</f>
        <v/>
      </c>
      <c r="Z195" s="94">
        <f>IF($A195="",0,IF(AE195="직접",IF(AF195="신계약비",$P195,0),$P195*(1-AG195)*IFERROR(INDEX(계정대체기준!$C$20:$C$49,MATCH($N195,계정대체기준!$A$20:$A$49,0)),0)))</f>
        <v/>
      </c>
      <c r="AA195" s="94">
        <f>IF($A195="",0,IF(AE195="직접",IF(OR(AF195="유지비",AF195="손해조사비"),$P195,0),$P195*(1-AG195)*IFERROR(INDEX(계정대체기준!$D$20:$D$49,MATCH($N195,계정대체기준!$A$20:$A$49,0)),0)))</f>
        <v/>
      </c>
      <c r="AB195" s="94">
        <f>IF($A195="",0,IF(AE195="직접",IF(AF195="수금비",$P195,0),$P195*(1-AG195)*IFERROR(INDEX(계정대체기준!$E$20:$E$49,MATCH($N195,계정대체기준!$A$20:$A$49,0)),0)))</f>
        <v/>
      </c>
      <c r="AC195" s="9">
        <f>IF(AND($A195&lt;&gt;"",M195=설정!$C$20,Z195&gt;0),Z195+ROW()/1000000000,"")</f>
        <v/>
      </c>
      <c r="AD195" s="94">
        <f>IF($A195="",0,$P195*AG195)</f>
        <v/>
      </c>
      <c r="AE195" s="64">
        <f>IF($A195="","",IFERROR(INDEX(계정매핑!$E$5:$E$504,MATCH($F195&amp;"",계정매핑!$A$5:$A$504,0))&amp;"","공통비"))</f>
        <v/>
      </c>
      <c r="AF195" s="64">
        <f>IF($A195="","",IF(AE195="직접",IFERROR(INDEX(계정매핑!$F$5:$F$504,MATCH($F195&amp;"",계정매핑!$A$5:$A$504,0))&amp;"","비귀속"),""))</f>
        <v/>
      </c>
      <c r="AG195" s="96">
        <f>IF($A195="",0,IF(AND(AE195&lt;&gt;"직접",IFERROR(INDEX(계정매핑!$G$5:$G$504,MATCH($F195&amp;"",계정매핑!$A$5:$A$504,0))&amp;"","")="유지비",COUNTIF(계정대체기준!$A$6:$A$15,$N195)&gt;0),IFERROR(INDEX(계정대체기준!$E$6:$E$15,MATCH(VALUE($A195&amp;""),계정대체기준!$D$6:$D$15,0)),0),0))</f>
        <v/>
      </c>
      <c r="AH195" s="64">
        <f>IF($A195="","",IF(AD195=0,"",IF(OR(COUNTIF(계정대체기준!$A$77:$A$86,$N195)&gt;0,ISNUMBER(MATCH($X195,계정대체기준!$D$77:$D$86,0)),ISNUMBER(MATCH($F195,계정대체기준!$D$77:$D$86,0))),"Y","N")))</f>
        <v/>
      </c>
    </row>
    <row r="196">
      <c r="A196" s="92" t="n">
        <v>2025</v>
      </c>
      <c r="B196" s="92" t="n">
        <v>1</v>
      </c>
      <c r="C196" s="92" t="inlineStr">
        <is>
          <t>5100000192</t>
        </is>
      </c>
      <c r="D196" s="95" t="n">
        <v>45677</v>
      </c>
      <c r="E196" s="92" t="inlineStr">
        <is>
          <t>KR</t>
        </is>
      </c>
      <c r="F196" s="92" t="n">
        <v>62401000</v>
      </c>
      <c r="G196" s="92" t="n">
        <v>1801</v>
      </c>
      <c r="H196" s="93" t="n">
        <v>3862000</v>
      </c>
      <c r="I196" s="92" t="inlineStr">
        <is>
          <t>1월 인쇄물 제작 - G인쇄</t>
        </is>
      </c>
      <c r="J196" s="92" t="inlineStr">
        <is>
          <t>V10004</t>
        </is>
      </c>
      <c r="K196" s="92" t="inlineStr">
        <is>
          <t>G인쇄</t>
        </is>
      </c>
      <c r="M196" s="9">
        <f>IF($A196="","",VALUE($A196&amp;"")*12+VALUE($B196&amp;""))</f>
        <v/>
      </c>
      <c r="N196" s="64">
        <f>IF($A196="","",IFERROR(INDEX(부서매핑!$C$5:$C$504,MATCH($G196&amp;"",부서매핑!$A$5:$A$504,0)),"미매핑"))</f>
        <v/>
      </c>
      <c r="O196" s="9">
        <f>IF($A196="","",N196&amp;"|"&amp;$F196)</f>
        <v/>
      </c>
      <c r="P196" s="94">
        <f>IF($A196="",0,$H196*설정!$C$23)</f>
        <v/>
      </c>
      <c r="Q196" s="64">
        <f>IF($A196="","",IF(O196&lt;&gt;원인분석!$C$9,"",IF(AND(M196&gt;=원인분석!$C$10,M196&lt;=원인분석!$C$11),"당기",IF(AND(M196&gt;=원인분석!$C$12,M196&lt;=원인분석!$C$13),"비교",""))))</f>
        <v/>
      </c>
      <c r="R196" s="9">
        <f>IF(Q196="","",$K196&amp;"")</f>
        <v/>
      </c>
      <c r="S196" s="9">
        <f>IF(Q196="","",IF(MATCH(R196,$R$5:$R$100000,0)=ROW()-4,ROW(),""))</f>
        <v/>
      </c>
      <c r="T196" s="9">
        <f>IF(Q196="당기",ABS(P196)+ROW()/1000000000,"")</f>
        <v/>
      </c>
      <c r="U196" s="9">
        <f>IF(Q196="비교",ABS(P196)+ROW()/1000000000,"")</f>
        <v/>
      </c>
      <c r="V196" s="64">
        <f>IF($A196="","",IF(COUNTIF(변동분석!$E$7:$E$506,O196)&gt;0,"Y","N"))</f>
        <v/>
      </c>
      <c r="W196" s="64">
        <f>IF($A196="","",IFERROR(INDEX(계정매핑!$D$5:$D$504,MATCH($F196&amp;"",계정매핑!$A$5:$A$504,0)),"미매핑"))</f>
        <v/>
      </c>
      <c r="X196" s="9">
        <f>IF($A196="","",$F196&amp;"")</f>
        <v/>
      </c>
      <c r="Y196" s="94">
        <f>IF($A196="",0,IF(AE196="직접",IF(AF196="비귀속",$P196,0),$P196*(1-AG196)*IFERROR(INDEX(계정대체기준!$F$20:$F$49,MATCH($N196,계정대체기준!$A$20:$A$49,0)),1)))</f>
        <v/>
      </c>
      <c r="Z196" s="94">
        <f>IF($A196="",0,IF(AE196="직접",IF(AF196="신계약비",$P196,0),$P196*(1-AG196)*IFERROR(INDEX(계정대체기준!$C$20:$C$49,MATCH($N196,계정대체기준!$A$20:$A$49,0)),0)))</f>
        <v/>
      </c>
      <c r="AA196" s="94">
        <f>IF($A196="",0,IF(AE196="직접",IF(OR(AF196="유지비",AF196="손해조사비"),$P196,0),$P196*(1-AG196)*IFERROR(INDEX(계정대체기준!$D$20:$D$49,MATCH($N196,계정대체기준!$A$20:$A$49,0)),0)))</f>
        <v/>
      </c>
      <c r="AB196" s="94">
        <f>IF($A196="",0,IF(AE196="직접",IF(AF196="수금비",$P196,0),$P196*(1-AG196)*IFERROR(INDEX(계정대체기준!$E$20:$E$49,MATCH($N196,계정대체기준!$A$20:$A$49,0)),0)))</f>
        <v/>
      </c>
      <c r="AC196" s="9">
        <f>IF(AND($A196&lt;&gt;"",M196=설정!$C$20,Z196&gt;0),Z196+ROW()/1000000000,"")</f>
        <v/>
      </c>
      <c r="AD196" s="94">
        <f>IF($A196="",0,$P196*AG196)</f>
        <v/>
      </c>
      <c r="AE196" s="64">
        <f>IF($A196="","",IFERROR(INDEX(계정매핑!$E$5:$E$504,MATCH($F196&amp;"",계정매핑!$A$5:$A$504,0))&amp;"","공통비"))</f>
        <v/>
      </c>
      <c r="AF196" s="64">
        <f>IF($A196="","",IF(AE196="직접",IFERROR(INDEX(계정매핑!$F$5:$F$504,MATCH($F196&amp;"",계정매핑!$A$5:$A$504,0))&amp;"","비귀속"),""))</f>
        <v/>
      </c>
      <c r="AG196" s="96">
        <f>IF($A196="",0,IF(AND(AE196&lt;&gt;"직접",IFERROR(INDEX(계정매핑!$G$5:$G$504,MATCH($F196&amp;"",계정매핑!$A$5:$A$504,0))&amp;"","")="유지비",COUNTIF(계정대체기준!$A$6:$A$15,$N196)&gt;0),IFERROR(INDEX(계정대체기준!$E$6:$E$15,MATCH(VALUE($A196&amp;""),계정대체기준!$D$6:$D$15,0)),0),0))</f>
        <v/>
      </c>
      <c r="AH196" s="64">
        <f>IF($A196="","",IF(AD196=0,"",IF(OR(COUNTIF(계정대체기준!$A$77:$A$86,$N196)&gt;0,ISNUMBER(MATCH($X196,계정대체기준!$D$77:$D$86,0)),ISNUMBER(MATCH($F196,계정대체기준!$D$77:$D$86,0))),"Y","N")))</f>
        <v/>
      </c>
    </row>
    <row r="197">
      <c r="A197" s="92" t="n">
        <v>2025</v>
      </c>
      <c r="B197" s="92" t="n">
        <v>1</v>
      </c>
      <c r="C197" s="92" t="inlineStr">
        <is>
          <t>5100000193</t>
        </is>
      </c>
      <c r="D197" s="95" t="n">
        <v>45677</v>
      </c>
      <c r="E197" s="92" t="inlineStr">
        <is>
          <t>KR</t>
        </is>
      </c>
      <c r="F197" s="92" t="n">
        <v>62902000</v>
      </c>
      <c r="G197" s="92" t="n">
        <v>1801</v>
      </c>
      <c r="H197" s="93" t="n">
        <v>1819000</v>
      </c>
      <c r="I197" s="92" t="inlineStr">
        <is>
          <t>1월 콜 위탁 수수료(건별)</t>
        </is>
      </c>
      <c r="J197" s="92" t="inlineStr">
        <is>
          <t>V10016</t>
        </is>
      </c>
      <c r="K197" s="92" t="inlineStr">
        <is>
          <t>J콜센터</t>
        </is>
      </c>
      <c r="M197" s="9">
        <f>IF($A197="","",VALUE($A197&amp;"")*12+VALUE($B197&amp;""))</f>
        <v/>
      </c>
      <c r="N197" s="64">
        <f>IF($A197="","",IFERROR(INDEX(부서매핑!$C$5:$C$504,MATCH($G197&amp;"",부서매핑!$A$5:$A$504,0)),"미매핑"))</f>
        <v/>
      </c>
      <c r="O197" s="9">
        <f>IF($A197="","",N197&amp;"|"&amp;$F197)</f>
        <v/>
      </c>
      <c r="P197" s="94">
        <f>IF($A197="",0,$H197*설정!$C$23)</f>
        <v/>
      </c>
      <c r="Q197" s="64">
        <f>IF($A197="","",IF(O197&lt;&gt;원인분석!$C$9,"",IF(AND(M197&gt;=원인분석!$C$10,M197&lt;=원인분석!$C$11),"당기",IF(AND(M197&gt;=원인분석!$C$12,M197&lt;=원인분석!$C$13),"비교",""))))</f>
        <v/>
      </c>
      <c r="R197" s="9">
        <f>IF(Q197="","",$K197&amp;"")</f>
        <v/>
      </c>
      <c r="S197" s="9">
        <f>IF(Q197="","",IF(MATCH(R197,$R$5:$R$100000,0)=ROW()-4,ROW(),""))</f>
        <v/>
      </c>
      <c r="T197" s="9">
        <f>IF(Q197="당기",ABS(P197)+ROW()/1000000000,"")</f>
        <v/>
      </c>
      <c r="U197" s="9">
        <f>IF(Q197="비교",ABS(P197)+ROW()/1000000000,"")</f>
        <v/>
      </c>
      <c r="V197" s="64">
        <f>IF($A197="","",IF(COUNTIF(변동분석!$E$7:$E$506,O197)&gt;0,"Y","N"))</f>
        <v/>
      </c>
      <c r="W197" s="64">
        <f>IF($A197="","",IFERROR(INDEX(계정매핑!$D$5:$D$504,MATCH($F197&amp;"",계정매핑!$A$5:$A$504,0)),"미매핑"))</f>
        <v/>
      </c>
      <c r="X197" s="9">
        <f>IF($A197="","",$F197&amp;"")</f>
        <v/>
      </c>
      <c r="Y197" s="94">
        <f>IF($A197="",0,IF(AE197="직접",IF(AF197="비귀속",$P197,0),$P197*(1-AG197)*IFERROR(INDEX(계정대체기준!$F$20:$F$49,MATCH($N197,계정대체기준!$A$20:$A$49,0)),1)))</f>
        <v/>
      </c>
      <c r="Z197" s="94">
        <f>IF($A197="",0,IF(AE197="직접",IF(AF197="신계약비",$P197,0),$P197*(1-AG197)*IFERROR(INDEX(계정대체기준!$C$20:$C$49,MATCH($N197,계정대체기준!$A$20:$A$49,0)),0)))</f>
        <v/>
      </c>
      <c r="AA197" s="94">
        <f>IF($A197="",0,IF(AE197="직접",IF(OR(AF197="유지비",AF197="손해조사비"),$P197,0),$P197*(1-AG197)*IFERROR(INDEX(계정대체기준!$D$20:$D$49,MATCH($N197,계정대체기준!$A$20:$A$49,0)),0)))</f>
        <v/>
      </c>
      <c r="AB197" s="94">
        <f>IF($A197="",0,IF(AE197="직접",IF(AF197="수금비",$P197,0),$P197*(1-AG197)*IFERROR(INDEX(계정대체기준!$E$20:$E$49,MATCH($N197,계정대체기준!$A$20:$A$49,0)),0)))</f>
        <v/>
      </c>
      <c r="AC197" s="9">
        <f>IF(AND($A197&lt;&gt;"",M197=설정!$C$20,Z197&gt;0),Z197+ROW()/1000000000,"")</f>
        <v/>
      </c>
      <c r="AD197" s="94">
        <f>IF($A197="",0,$P197*AG197)</f>
        <v/>
      </c>
      <c r="AE197" s="64">
        <f>IF($A197="","",IFERROR(INDEX(계정매핑!$E$5:$E$504,MATCH($F197&amp;"",계정매핑!$A$5:$A$504,0))&amp;"","공통비"))</f>
        <v/>
      </c>
      <c r="AF197" s="64">
        <f>IF($A197="","",IF(AE197="직접",IFERROR(INDEX(계정매핑!$F$5:$F$504,MATCH($F197&amp;"",계정매핑!$A$5:$A$504,0))&amp;"","비귀속"),""))</f>
        <v/>
      </c>
      <c r="AG197" s="96">
        <f>IF($A197="",0,IF(AND(AE197&lt;&gt;"직접",IFERROR(INDEX(계정매핑!$G$5:$G$504,MATCH($F197&amp;"",계정매핑!$A$5:$A$504,0))&amp;"","")="유지비",COUNTIF(계정대체기준!$A$6:$A$15,$N197)&gt;0),IFERROR(INDEX(계정대체기준!$E$6:$E$15,MATCH(VALUE($A197&amp;""),계정대체기준!$D$6:$D$15,0)),0),0))</f>
        <v/>
      </c>
      <c r="AH197" s="64">
        <f>IF($A197="","",IF(AD197=0,"",IF(OR(COUNTIF(계정대체기준!$A$77:$A$86,$N197)&gt;0,ISNUMBER(MATCH($X197,계정대체기준!$D$77:$D$86,0)),ISNUMBER(MATCH($F197,계정대체기준!$D$77:$D$86,0))),"Y","N")))</f>
        <v/>
      </c>
    </row>
    <row r="198">
      <c r="A198" s="92" t="n">
        <v>2025</v>
      </c>
      <c r="B198" s="92" t="n">
        <v>1</v>
      </c>
      <c r="C198" s="92" t="inlineStr">
        <is>
          <t>5100000194</t>
        </is>
      </c>
      <c r="D198" s="95" t="n">
        <v>45677</v>
      </c>
      <c r="E198" s="92" t="inlineStr">
        <is>
          <t>KR</t>
        </is>
      </c>
      <c r="F198" s="92" t="n">
        <v>63502000</v>
      </c>
      <c r="G198" s="92" t="n">
        <v>1901</v>
      </c>
      <c r="H198" s="93" t="n">
        <v>118351000</v>
      </c>
      <c r="I198" s="92" t="inlineStr">
        <is>
          <t>1월 유지수수료 - CC금융서비스</t>
        </is>
      </c>
      <c r="J198" s="92" t="inlineStr">
        <is>
          <t>V10029</t>
        </is>
      </c>
      <c r="K198" s="92" t="inlineStr">
        <is>
          <t>CC금융서비스</t>
        </is>
      </c>
      <c r="M198" s="9">
        <f>IF($A198="","",VALUE($A198&amp;"")*12+VALUE($B198&amp;""))</f>
        <v/>
      </c>
      <c r="N198" s="64">
        <f>IF($A198="","",IFERROR(INDEX(부서매핑!$C$5:$C$504,MATCH($G198&amp;"",부서매핑!$A$5:$A$504,0)),"미매핑"))</f>
        <v/>
      </c>
      <c r="O198" s="9">
        <f>IF($A198="","",N198&amp;"|"&amp;$F198)</f>
        <v/>
      </c>
      <c r="P198" s="94">
        <f>IF($A198="",0,$H198*설정!$C$23)</f>
        <v/>
      </c>
      <c r="Q198" s="64">
        <f>IF($A198="","",IF(O198&lt;&gt;원인분석!$C$9,"",IF(AND(M198&gt;=원인분석!$C$10,M198&lt;=원인분석!$C$11),"당기",IF(AND(M198&gt;=원인분석!$C$12,M198&lt;=원인분석!$C$13),"비교",""))))</f>
        <v/>
      </c>
      <c r="R198" s="9">
        <f>IF(Q198="","",$K198&amp;"")</f>
        <v/>
      </c>
      <c r="S198" s="9">
        <f>IF(Q198="","",IF(MATCH(R198,$R$5:$R$100000,0)=ROW()-4,ROW(),""))</f>
        <v/>
      </c>
      <c r="T198" s="9">
        <f>IF(Q198="당기",ABS(P198)+ROW()/1000000000,"")</f>
        <v/>
      </c>
      <c r="U198" s="9">
        <f>IF(Q198="비교",ABS(P198)+ROW()/1000000000,"")</f>
        <v/>
      </c>
      <c r="V198" s="64">
        <f>IF($A198="","",IF(COUNTIF(변동분석!$E$7:$E$506,O198)&gt;0,"Y","N"))</f>
        <v/>
      </c>
      <c r="W198" s="64">
        <f>IF($A198="","",IFERROR(INDEX(계정매핑!$D$5:$D$504,MATCH($F198&amp;"",계정매핑!$A$5:$A$504,0)),"미매핑"))</f>
        <v/>
      </c>
      <c r="X198" s="9">
        <f>IF($A198="","",$F198&amp;"")</f>
        <v/>
      </c>
      <c r="Y198" s="94">
        <f>IF($A198="",0,IF(AE198="직접",IF(AF198="비귀속",$P198,0),$P198*(1-AG198)*IFERROR(INDEX(계정대체기준!$F$20:$F$49,MATCH($N198,계정대체기준!$A$20:$A$49,0)),1)))</f>
        <v/>
      </c>
      <c r="Z198" s="94">
        <f>IF($A198="",0,IF(AE198="직접",IF(AF198="신계약비",$P198,0),$P198*(1-AG198)*IFERROR(INDEX(계정대체기준!$C$20:$C$49,MATCH($N198,계정대체기준!$A$20:$A$49,0)),0)))</f>
        <v/>
      </c>
      <c r="AA198" s="94">
        <f>IF($A198="",0,IF(AE198="직접",IF(OR(AF198="유지비",AF198="손해조사비"),$P198,0),$P198*(1-AG198)*IFERROR(INDEX(계정대체기준!$D$20:$D$49,MATCH($N198,계정대체기준!$A$20:$A$49,0)),0)))</f>
        <v/>
      </c>
      <c r="AB198" s="94">
        <f>IF($A198="",0,IF(AE198="직접",IF(AF198="수금비",$P198,0),$P198*(1-AG198)*IFERROR(INDEX(계정대체기준!$E$20:$E$49,MATCH($N198,계정대체기준!$A$20:$A$49,0)),0)))</f>
        <v/>
      </c>
      <c r="AC198" s="9">
        <f>IF(AND($A198&lt;&gt;"",M198=설정!$C$20,Z198&gt;0),Z198+ROW()/1000000000,"")</f>
        <v/>
      </c>
      <c r="AD198" s="94">
        <f>IF($A198="",0,$P198*AG198)</f>
        <v/>
      </c>
      <c r="AE198" s="64">
        <f>IF($A198="","",IFERROR(INDEX(계정매핑!$E$5:$E$504,MATCH($F198&amp;"",계정매핑!$A$5:$A$504,0))&amp;"","공통비"))</f>
        <v/>
      </c>
      <c r="AF198" s="64">
        <f>IF($A198="","",IF(AE198="직접",IFERROR(INDEX(계정매핑!$F$5:$F$504,MATCH($F198&amp;"",계정매핑!$A$5:$A$504,0))&amp;"","비귀속"),""))</f>
        <v/>
      </c>
      <c r="AG198" s="96">
        <f>IF($A198="",0,IF(AND(AE198&lt;&gt;"직접",IFERROR(INDEX(계정매핑!$G$5:$G$504,MATCH($F198&amp;"",계정매핑!$A$5:$A$504,0))&amp;"","")="유지비",COUNTIF(계정대체기준!$A$6:$A$15,$N198)&gt;0),IFERROR(INDEX(계정대체기준!$E$6:$E$15,MATCH(VALUE($A198&amp;""),계정대체기준!$D$6:$D$15,0)),0),0))</f>
        <v/>
      </c>
      <c r="AH198" s="64">
        <f>IF($A198="","",IF(AD198=0,"",IF(OR(COUNTIF(계정대체기준!$A$77:$A$86,$N198)&gt;0,ISNUMBER(MATCH($X198,계정대체기준!$D$77:$D$86,0)),ISNUMBER(MATCH($F198,계정대체기준!$D$77:$D$86,0))),"Y","N")))</f>
        <v/>
      </c>
    </row>
    <row r="199">
      <c r="A199" s="92" t="n">
        <v>2025</v>
      </c>
      <c r="B199" s="92" t="n">
        <v>1</v>
      </c>
      <c r="C199" s="92" t="inlineStr">
        <is>
          <t>5100000195</t>
        </is>
      </c>
      <c r="D199" s="95" t="n">
        <v>45677</v>
      </c>
      <c r="E199" s="92" t="inlineStr">
        <is>
          <t>KR</t>
        </is>
      </c>
      <c r="F199" s="92" t="n">
        <v>63601000</v>
      </c>
      <c r="G199" s="92" t="n">
        <v>1801</v>
      </c>
      <c r="H199" s="93" t="n">
        <v>6816000</v>
      </c>
      <c r="I199" s="92" t="inlineStr">
        <is>
          <t>1월 손해사정 수수료 - EE손해사정</t>
        </is>
      </c>
      <c r="J199" s="92" t="inlineStr">
        <is>
          <t>V10008</t>
        </is>
      </c>
      <c r="K199" s="92" t="inlineStr">
        <is>
          <t>EE손해사정</t>
        </is>
      </c>
      <c r="M199" s="9">
        <f>IF($A199="","",VALUE($A199&amp;"")*12+VALUE($B199&amp;""))</f>
        <v/>
      </c>
      <c r="N199" s="64">
        <f>IF($A199="","",IFERROR(INDEX(부서매핑!$C$5:$C$504,MATCH($G199&amp;"",부서매핑!$A$5:$A$504,0)),"미매핑"))</f>
        <v/>
      </c>
      <c r="O199" s="9">
        <f>IF($A199="","",N199&amp;"|"&amp;$F199)</f>
        <v/>
      </c>
      <c r="P199" s="94">
        <f>IF($A199="",0,$H199*설정!$C$23)</f>
        <v/>
      </c>
      <c r="Q199" s="64">
        <f>IF($A199="","",IF(O199&lt;&gt;원인분석!$C$9,"",IF(AND(M199&gt;=원인분석!$C$10,M199&lt;=원인분석!$C$11),"당기",IF(AND(M199&gt;=원인분석!$C$12,M199&lt;=원인분석!$C$13),"비교",""))))</f>
        <v/>
      </c>
      <c r="R199" s="9">
        <f>IF(Q199="","",$K199&amp;"")</f>
        <v/>
      </c>
      <c r="S199" s="9">
        <f>IF(Q199="","",IF(MATCH(R199,$R$5:$R$100000,0)=ROW()-4,ROW(),""))</f>
        <v/>
      </c>
      <c r="T199" s="9">
        <f>IF(Q199="당기",ABS(P199)+ROW()/1000000000,"")</f>
        <v/>
      </c>
      <c r="U199" s="9">
        <f>IF(Q199="비교",ABS(P199)+ROW()/1000000000,"")</f>
        <v/>
      </c>
      <c r="V199" s="64">
        <f>IF($A199="","",IF(COUNTIF(변동분석!$E$7:$E$506,O199)&gt;0,"Y","N"))</f>
        <v/>
      </c>
      <c r="W199" s="64">
        <f>IF($A199="","",IFERROR(INDEX(계정매핑!$D$5:$D$504,MATCH($F199&amp;"",계정매핑!$A$5:$A$504,0)),"미매핑"))</f>
        <v/>
      </c>
      <c r="X199" s="9">
        <f>IF($A199="","",$F199&amp;"")</f>
        <v/>
      </c>
      <c r="Y199" s="94">
        <f>IF($A199="",0,IF(AE199="직접",IF(AF199="비귀속",$P199,0),$P199*(1-AG199)*IFERROR(INDEX(계정대체기준!$F$20:$F$49,MATCH($N199,계정대체기준!$A$20:$A$49,0)),1)))</f>
        <v/>
      </c>
      <c r="Z199" s="94">
        <f>IF($A199="",0,IF(AE199="직접",IF(AF199="신계약비",$P199,0),$P199*(1-AG199)*IFERROR(INDEX(계정대체기준!$C$20:$C$49,MATCH($N199,계정대체기준!$A$20:$A$49,0)),0)))</f>
        <v/>
      </c>
      <c r="AA199" s="94">
        <f>IF($A199="",0,IF(AE199="직접",IF(OR(AF199="유지비",AF199="손해조사비"),$P199,0),$P199*(1-AG199)*IFERROR(INDEX(계정대체기준!$D$20:$D$49,MATCH($N199,계정대체기준!$A$20:$A$49,0)),0)))</f>
        <v/>
      </c>
      <c r="AB199" s="94">
        <f>IF($A199="",0,IF(AE199="직접",IF(AF199="수금비",$P199,0),$P199*(1-AG199)*IFERROR(INDEX(계정대체기준!$E$20:$E$49,MATCH($N199,계정대체기준!$A$20:$A$49,0)),0)))</f>
        <v/>
      </c>
      <c r="AC199" s="9">
        <f>IF(AND($A199&lt;&gt;"",M199=설정!$C$20,Z199&gt;0),Z199+ROW()/1000000000,"")</f>
        <v/>
      </c>
      <c r="AD199" s="94">
        <f>IF($A199="",0,$P199*AG199)</f>
        <v/>
      </c>
      <c r="AE199" s="64">
        <f>IF($A199="","",IFERROR(INDEX(계정매핑!$E$5:$E$504,MATCH($F199&amp;"",계정매핑!$A$5:$A$504,0))&amp;"","공통비"))</f>
        <v/>
      </c>
      <c r="AF199" s="64">
        <f>IF($A199="","",IF(AE199="직접",IFERROR(INDEX(계정매핑!$F$5:$F$504,MATCH($F199&amp;"",계정매핑!$A$5:$A$504,0))&amp;"","비귀속"),""))</f>
        <v/>
      </c>
      <c r="AG199" s="96">
        <f>IF($A199="",0,IF(AND(AE199&lt;&gt;"직접",IFERROR(INDEX(계정매핑!$G$5:$G$504,MATCH($F199&amp;"",계정매핑!$A$5:$A$504,0))&amp;"","")="유지비",COUNTIF(계정대체기준!$A$6:$A$15,$N199)&gt;0),IFERROR(INDEX(계정대체기준!$E$6:$E$15,MATCH(VALUE($A199&amp;""),계정대체기준!$D$6:$D$15,0)),0),0))</f>
        <v/>
      </c>
      <c r="AH199" s="64">
        <f>IF($A199="","",IF(AD199=0,"",IF(OR(COUNTIF(계정대체기준!$A$77:$A$86,$N199)&gt;0,ISNUMBER(MATCH($X199,계정대체기준!$D$77:$D$86,0)),ISNUMBER(MATCH($F199,계정대체기준!$D$77:$D$86,0))),"Y","N")))</f>
        <v/>
      </c>
    </row>
    <row r="200">
      <c r="A200" s="92" t="n">
        <v>2025</v>
      </c>
      <c r="B200" s="92" t="n">
        <v>1</v>
      </c>
      <c r="C200" s="92" t="inlineStr">
        <is>
          <t>5100000196</t>
        </is>
      </c>
      <c r="D200" s="95" t="n">
        <v>45678</v>
      </c>
      <c r="E200" s="92" t="inlineStr">
        <is>
          <t>KR</t>
        </is>
      </c>
      <c r="F200" s="92" t="n">
        <v>62101000</v>
      </c>
      <c r="G200" s="92" t="n">
        <v>1101</v>
      </c>
      <c r="H200" s="93" t="n">
        <v>624000</v>
      </c>
      <c r="I200" s="92" t="inlineStr">
        <is>
          <t>1월 국내출장 - M항공</t>
        </is>
      </c>
      <c r="J200" s="92" t="inlineStr">
        <is>
          <t>V10001</t>
        </is>
      </c>
      <c r="K200" s="92" t="inlineStr">
        <is>
          <t>M항공</t>
        </is>
      </c>
      <c r="M200" s="9">
        <f>IF($A200="","",VALUE($A200&amp;"")*12+VALUE($B200&amp;""))</f>
        <v/>
      </c>
      <c r="N200" s="64">
        <f>IF($A200="","",IFERROR(INDEX(부서매핑!$C$5:$C$504,MATCH($G200&amp;"",부서매핑!$A$5:$A$504,0)),"미매핑"))</f>
        <v/>
      </c>
      <c r="O200" s="9">
        <f>IF($A200="","",N200&amp;"|"&amp;$F200)</f>
        <v/>
      </c>
      <c r="P200" s="94">
        <f>IF($A200="",0,$H200*설정!$C$23)</f>
        <v/>
      </c>
      <c r="Q200" s="64">
        <f>IF($A200="","",IF(O200&lt;&gt;원인분석!$C$9,"",IF(AND(M200&gt;=원인분석!$C$10,M200&lt;=원인분석!$C$11),"당기",IF(AND(M200&gt;=원인분석!$C$12,M200&lt;=원인분석!$C$13),"비교",""))))</f>
        <v/>
      </c>
      <c r="R200" s="9">
        <f>IF(Q200="","",$K200&amp;"")</f>
        <v/>
      </c>
      <c r="S200" s="9">
        <f>IF(Q200="","",IF(MATCH(R200,$R$5:$R$100000,0)=ROW()-4,ROW(),""))</f>
        <v/>
      </c>
      <c r="T200" s="9">
        <f>IF(Q200="당기",ABS(P200)+ROW()/1000000000,"")</f>
        <v/>
      </c>
      <c r="U200" s="9">
        <f>IF(Q200="비교",ABS(P200)+ROW()/1000000000,"")</f>
        <v/>
      </c>
      <c r="V200" s="64">
        <f>IF($A200="","",IF(COUNTIF(변동분석!$E$7:$E$506,O200)&gt;0,"Y","N"))</f>
        <v/>
      </c>
      <c r="W200" s="64">
        <f>IF($A200="","",IFERROR(INDEX(계정매핑!$D$5:$D$504,MATCH($F200&amp;"",계정매핑!$A$5:$A$504,0)),"미매핑"))</f>
        <v/>
      </c>
      <c r="X200" s="9">
        <f>IF($A200="","",$F200&amp;"")</f>
        <v/>
      </c>
      <c r="Y200" s="94">
        <f>IF($A200="",0,IF(AE200="직접",IF(AF200="비귀속",$P200,0),$P200*(1-AG200)*IFERROR(INDEX(계정대체기준!$F$20:$F$49,MATCH($N200,계정대체기준!$A$20:$A$49,0)),1)))</f>
        <v/>
      </c>
      <c r="Z200" s="94">
        <f>IF($A200="",0,IF(AE200="직접",IF(AF200="신계약비",$P200,0),$P200*(1-AG200)*IFERROR(INDEX(계정대체기준!$C$20:$C$49,MATCH($N200,계정대체기준!$A$20:$A$49,0)),0)))</f>
        <v/>
      </c>
      <c r="AA200" s="94">
        <f>IF($A200="",0,IF(AE200="직접",IF(OR(AF200="유지비",AF200="손해조사비"),$P200,0),$P200*(1-AG200)*IFERROR(INDEX(계정대체기준!$D$20:$D$49,MATCH($N200,계정대체기준!$A$20:$A$49,0)),0)))</f>
        <v/>
      </c>
      <c r="AB200" s="94">
        <f>IF($A200="",0,IF(AE200="직접",IF(AF200="수금비",$P200,0),$P200*(1-AG200)*IFERROR(INDEX(계정대체기준!$E$20:$E$49,MATCH($N200,계정대체기준!$A$20:$A$49,0)),0)))</f>
        <v/>
      </c>
      <c r="AC200" s="9">
        <f>IF(AND($A200&lt;&gt;"",M200=설정!$C$20,Z200&gt;0),Z200+ROW()/1000000000,"")</f>
        <v/>
      </c>
      <c r="AD200" s="94">
        <f>IF($A200="",0,$P200*AG200)</f>
        <v/>
      </c>
      <c r="AE200" s="64">
        <f>IF($A200="","",IFERROR(INDEX(계정매핑!$E$5:$E$504,MATCH($F200&amp;"",계정매핑!$A$5:$A$504,0))&amp;"","공통비"))</f>
        <v/>
      </c>
      <c r="AF200" s="64">
        <f>IF($A200="","",IF(AE200="직접",IFERROR(INDEX(계정매핑!$F$5:$F$504,MATCH($F200&amp;"",계정매핑!$A$5:$A$504,0))&amp;"","비귀속"),""))</f>
        <v/>
      </c>
      <c r="AG200" s="96">
        <f>IF($A200="",0,IF(AND(AE200&lt;&gt;"직접",IFERROR(INDEX(계정매핑!$G$5:$G$504,MATCH($F200&amp;"",계정매핑!$A$5:$A$504,0))&amp;"","")="유지비",COUNTIF(계정대체기준!$A$6:$A$15,$N200)&gt;0),IFERROR(INDEX(계정대체기준!$E$6:$E$15,MATCH(VALUE($A200&amp;""),계정대체기준!$D$6:$D$15,0)),0),0))</f>
        <v/>
      </c>
      <c r="AH200" s="64">
        <f>IF($A200="","",IF(AD200=0,"",IF(OR(COUNTIF(계정대체기준!$A$77:$A$86,$N200)&gt;0,ISNUMBER(MATCH($X200,계정대체기준!$D$77:$D$86,0)),ISNUMBER(MATCH($F200,계정대체기준!$D$77:$D$86,0))),"Y","N")))</f>
        <v/>
      </c>
    </row>
    <row r="201">
      <c r="A201" s="92" t="n">
        <v>2025</v>
      </c>
      <c r="B201" s="92" t="n">
        <v>1</v>
      </c>
      <c r="C201" s="92" t="inlineStr">
        <is>
          <t>5100000197</t>
        </is>
      </c>
      <c r="D201" s="95" t="n">
        <v>45678</v>
      </c>
      <c r="E201" s="92" t="inlineStr">
        <is>
          <t>KR</t>
        </is>
      </c>
      <c r="F201" s="92" t="n">
        <v>62201000</v>
      </c>
      <c r="G201" s="92" t="n">
        <v>1502</v>
      </c>
      <c r="H201" s="93" t="n">
        <v>344000</v>
      </c>
      <c r="I201" s="92" t="inlineStr">
        <is>
          <t>1월 통신요금 - O텔레콤</t>
        </is>
      </c>
      <c r="J201" s="92" t="inlineStr">
        <is>
          <t>V10002</t>
        </is>
      </c>
      <c r="K201" s="92" t="inlineStr">
        <is>
          <t>O텔레콤</t>
        </is>
      </c>
      <c r="M201" s="9">
        <f>IF($A201="","",VALUE($A201&amp;"")*12+VALUE($B201&amp;""))</f>
        <v/>
      </c>
      <c r="N201" s="64">
        <f>IF($A201="","",IFERROR(INDEX(부서매핑!$C$5:$C$504,MATCH($G201&amp;"",부서매핑!$A$5:$A$504,0)),"미매핑"))</f>
        <v/>
      </c>
      <c r="O201" s="9">
        <f>IF($A201="","",N201&amp;"|"&amp;$F201)</f>
        <v/>
      </c>
      <c r="P201" s="94">
        <f>IF($A201="",0,$H201*설정!$C$23)</f>
        <v/>
      </c>
      <c r="Q201" s="64">
        <f>IF($A201="","",IF(O201&lt;&gt;원인분석!$C$9,"",IF(AND(M201&gt;=원인분석!$C$10,M201&lt;=원인분석!$C$11),"당기",IF(AND(M201&gt;=원인분석!$C$12,M201&lt;=원인분석!$C$13),"비교",""))))</f>
        <v/>
      </c>
      <c r="R201" s="9">
        <f>IF(Q201="","",$K201&amp;"")</f>
        <v/>
      </c>
      <c r="S201" s="9">
        <f>IF(Q201="","",IF(MATCH(R201,$R$5:$R$100000,0)=ROW()-4,ROW(),""))</f>
        <v/>
      </c>
      <c r="T201" s="9">
        <f>IF(Q201="당기",ABS(P201)+ROW()/1000000000,"")</f>
        <v/>
      </c>
      <c r="U201" s="9">
        <f>IF(Q201="비교",ABS(P201)+ROW()/1000000000,"")</f>
        <v/>
      </c>
      <c r="V201" s="64">
        <f>IF($A201="","",IF(COUNTIF(변동분석!$E$7:$E$506,O201)&gt;0,"Y","N"))</f>
        <v/>
      </c>
      <c r="W201" s="64">
        <f>IF($A201="","",IFERROR(INDEX(계정매핑!$D$5:$D$504,MATCH($F201&amp;"",계정매핑!$A$5:$A$504,0)),"미매핑"))</f>
        <v/>
      </c>
      <c r="X201" s="9">
        <f>IF($A201="","",$F201&amp;"")</f>
        <v/>
      </c>
      <c r="Y201" s="94">
        <f>IF($A201="",0,IF(AE201="직접",IF(AF201="비귀속",$P201,0),$P201*(1-AG201)*IFERROR(INDEX(계정대체기준!$F$20:$F$49,MATCH($N201,계정대체기준!$A$20:$A$49,0)),1)))</f>
        <v/>
      </c>
      <c r="Z201" s="94">
        <f>IF($A201="",0,IF(AE201="직접",IF(AF201="신계약비",$P201,0),$P201*(1-AG201)*IFERROR(INDEX(계정대체기준!$C$20:$C$49,MATCH($N201,계정대체기준!$A$20:$A$49,0)),0)))</f>
        <v/>
      </c>
      <c r="AA201" s="94">
        <f>IF($A201="",0,IF(AE201="직접",IF(OR(AF201="유지비",AF201="손해조사비"),$P201,0),$P201*(1-AG201)*IFERROR(INDEX(계정대체기준!$D$20:$D$49,MATCH($N201,계정대체기준!$A$20:$A$49,0)),0)))</f>
        <v/>
      </c>
      <c r="AB201" s="94">
        <f>IF($A201="",0,IF(AE201="직접",IF(AF201="수금비",$P201,0),$P201*(1-AG201)*IFERROR(INDEX(계정대체기준!$E$20:$E$49,MATCH($N201,계정대체기준!$A$20:$A$49,0)),0)))</f>
        <v/>
      </c>
      <c r="AC201" s="9">
        <f>IF(AND($A201&lt;&gt;"",M201=설정!$C$20,Z201&gt;0),Z201+ROW()/1000000000,"")</f>
        <v/>
      </c>
      <c r="AD201" s="94">
        <f>IF($A201="",0,$P201*AG201)</f>
        <v/>
      </c>
      <c r="AE201" s="64">
        <f>IF($A201="","",IFERROR(INDEX(계정매핑!$E$5:$E$504,MATCH($F201&amp;"",계정매핑!$A$5:$A$504,0))&amp;"","공통비"))</f>
        <v/>
      </c>
      <c r="AF201" s="64">
        <f>IF($A201="","",IF(AE201="직접",IFERROR(INDEX(계정매핑!$F$5:$F$504,MATCH($F201&amp;"",계정매핑!$A$5:$A$504,0))&amp;"","비귀속"),""))</f>
        <v/>
      </c>
      <c r="AG201" s="96">
        <f>IF($A201="",0,IF(AND(AE201&lt;&gt;"직접",IFERROR(INDEX(계정매핑!$G$5:$G$504,MATCH($F201&amp;"",계정매핑!$A$5:$A$504,0))&amp;"","")="유지비",COUNTIF(계정대체기준!$A$6:$A$15,$N201)&gt;0),IFERROR(INDEX(계정대체기준!$E$6:$E$15,MATCH(VALUE($A201&amp;""),계정대체기준!$D$6:$D$15,0)),0),0))</f>
        <v/>
      </c>
      <c r="AH201" s="64">
        <f>IF($A201="","",IF(AD201=0,"",IF(OR(COUNTIF(계정대체기준!$A$77:$A$86,$N201)&gt;0,ISNUMBER(MATCH($X201,계정대체기준!$D$77:$D$86,0)),ISNUMBER(MATCH($F201,계정대체기준!$D$77:$D$86,0))),"Y","N")))</f>
        <v/>
      </c>
    </row>
    <row r="202">
      <c r="A202" s="92" t="n">
        <v>2025</v>
      </c>
      <c r="B202" s="92" t="n">
        <v>1</v>
      </c>
      <c r="C202" s="92" t="inlineStr">
        <is>
          <t>5100000198</t>
        </is>
      </c>
      <c r="D202" s="95" t="n">
        <v>45678</v>
      </c>
      <c r="E202" s="92" t="inlineStr">
        <is>
          <t>KR</t>
        </is>
      </c>
      <c r="F202" s="92" t="n">
        <v>62401000</v>
      </c>
      <c r="G202" s="92" t="n">
        <v>1501</v>
      </c>
      <c r="H202" s="93" t="n">
        <v>2185000</v>
      </c>
      <c r="I202" s="92" t="inlineStr">
        <is>
          <t>1월 인쇄물 제작 - S출판</t>
        </is>
      </c>
      <c r="J202" s="92" t="inlineStr">
        <is>
          <t>V10015</t>
        </is>
      </c>
      <c r="K202" s="92" t="inlineStr">
        <is>
          <t>S출판</t>
        </is>
      </c>
      <c r="M202" s="9">
        <f>IF($A202="","",VALUE($A202&amp;"")*12+VALUE($B202&amp;""))</f>
        <v/>
      </c>
      <c r="N202" s="64">
        <f>IF($A202="","",IFERROR(INDEX(부서매핑!$C$5:$C$504,MATCH($G202&amp;"",부서매핑!$A$5:$A$504,0)),"미매핑"))</f>
        <v/>
      </c>
      <c r="O202" s="9">
        <f>IF($A202="","",N202&amp;"|"&amp;$F202)</f>
        <v/>
      </c>
      <c r="P202" s="94">
        <f>IF($A202="",0,$H202*설정!$C$23)</f>
        <v/>
      </c>
      <c r="Q202" s="64">
        <f>IF($A202="","",IF(O202&lt;&gt;원인분석!$C$9,"",IF(AND(M202&gt;=원인분석!$C$10,M202&lt;=원인분석!$C$11),"당기",IF(AND(M202&gt;=원인분석!$C$12,M202&lt;=원인분석!$C$13),"비교",""))))</f>
        <v/>
      </c>
      <c r="R202" s="9">
        <f>IF(Q202="","",$K202&amp;"")</f>
        <v/>
      </c>
      <c r="S202" s="9">
        <f>IF(Q202="","",IF(MATCH(R202,$R$5:$R$100000,0)=ROW()-4,ROW(),""))</f>
        <v/>
      </c>
      <c r="T202" s="9">
        <f>IF(Q202="당기",ABS(P202)+ROW()/1000000000,"")</f>
        <v/>
      </c>
      <c r="U202" s="9">
        <f>IF(Q202="비교",ABS(P202)+ROW()/1000000000,"")</f>
        <v/>
      </c>
      <c r="V202" s="64">
        <f>IF($A202="","",IF(COUNTIF(변동분석!$E$7:$E$506,O202)&gt;0,"Y","N"))</f>
        <v/>
      </c>
      <c r="W202" s="64">
        <f>IF($A202="","",IFERROR(INDEX(계정매핑!$D$5:$D$504,MATCH($F202&amp;"",계정매핑!$A$5:$A$504,0)),"미매핑"))</f>
        <v/>
      </c>
      <c r="X202" s="9">
        <f>IF($A202="","",$F202&amp;"")</f>
        <v/>
      </c>
      <c r="Y202" s="94">
        <f>IF($A202="",0,IF(AE202="직접",IF(AF202="비귀속",$P202,0),$P202*(1-AG202)*IFERROR(INDEX(계정대체기준!$F$20:$F$49,MATCH($N202,계정대체기준!$A$20:$A$49,0)),1)))</f>
        <v/>
      </c>
      <c r="Z202" s="94">
        <f>IF($A202="",0,IF(AE202="직접",IF(AF202="신계약비",$P202,0),$P202*(1-AG202)*IFERROR(INDEX(계정대체기준!$C$20:$C$49,MATCH($N202,계정대체기준!$A$20:$A$49,0)),0)))</f>
        <v/>
      </c>
      <c r="AA202" s="94">
        <f>IF($A202="",0,IF(AE202="직접",IF(OR(AF202="유지비",AF202="손해조사비"),$P202,0),$P202*(1-AG202)*IFERROR(INDEX(계정대체기준!$D$20:$D$49,MATCH($N202,계정대체기준!$A$20:$A$49,0)),0)))</f>
        <v/>
      </c>
      <c r="AB202" s="94">
        <f>IF($A202="",0,IF(AE202="직접",IF(AF202="수금비",$P202,0),$P202*(1-AG202)*IFERROR(INDEX(계정대체기준!$E$20:$E$49,MATCH($N202,계정대체기준!$A$20:$A$49,0)),0)))</f>
        <v/>
      </c>
      <c r="AC202" s="9">
        <f>IF(AND($A202&lt;&gt;"",M202=설정!$C$20,Z202&gt;0),Z202+ROW()/1000000000,"")</f>
        <v/>
      </c>
      <c r="AD202" s="94">
        <f>IF($A202="",0,$P202*AG202)</f>
        <v/>
      </c>
      <c r="AE202" s="64">
        <f>IF($A202="","",IFERROR(INDEX(계정매핑!$E$5:$E$504,MATCH($F202&amp;"",계정매핑!$A$5:$A$504,0))&amp;"","공통비"))</f>
        <v/>
      </c>
      <c r="AF202" s="64">
        <f>IF($A202="","",IF(AE202="직접",IFERROR(INDEX(계정매핑!$F$5:$F$504,MATCH($F202&amp;"",계정매핑!$A$5:$A$504,0))&amp;"","비귀속"),""))</f>
        <v/>
      </c>
      <c r="AG202" s="96">
        <f>IF($A202="",0,IF(AND(AE202&lt;&gt;"직접",IFERROR(INDEX(계정매핑!$G$5:$G$504,MATCH($F202&amp;"",계정매핑!$A$5:$A$504,0))&amp;"","")="유지비",COUNTIF(계정대체기준!$A$6:$A$15,$N202)&gt;0),IFERROR(INDEX(계정대체기준!$E$6:$E$15,MATCH(VALUE($A202&amp;""),계정대체기준!$D$6:$D$15,0)),0),0))</f>
        <v/>
      </c>
      <c r="AH202" s="64">
        <f>IF($A202="","",IF(AD202=0,"",IF(OR(COUNTIF(계정대체기준!$A$77:$A$86,$N202)&gt;0,ISNUMBER(MATCH($X202,계정대체기준!$D$77:$D$86,0)),ISNUMBER(MATCH($F202,계정대체기준!$D$77:$D$86,0))),"Y","N")))</f>
        <v/>
      </c>
    </row>
    <row r="203">
      <c r="A203" s="92" t="n">
        <v>2025</v>
      </c>
      <c r="B203" s="92" t="n">
        <v>1</v>
      </c>
      <c r="C203" s="92" t="inlineStr">
        <is>
          <t>5100000199</t>
        </is>
      </c>
      <c r="D203" s="95" t="n">
        <v>45678</v>
      </c>
      <c r="E203" s="92" t="inlineStr">
        <is>
          <t>KR</t>
        </is>
      </c>
      <c r="F203" s="92" t="n">
        <v>63601000</v>
      </c>
      <c r="G203" s="92" t="n">
        <v>1801</v>
      </c>
      <c r="H203" s="93" t="n">
        <v>9019000</v>
      </c>
      <c r="I203" s="92" t="inlineStr">
        <is>
          <t>1월 손해사정 수수료 - DD손해사정</t>
        </is>
      </c>
      <c r="J203" s="92" t="inlineStr">
        <is>
          <t>V10032</t>
        </is>
      </c>
      <c r="K203" s="92" t="inlineStr">
        <is>
          <t>DD손해사정</t>
        </is>
      </c>
      <c r="M203" s="9">
        <f>IF($A203="","",VALUE($A203&amp;"")*12+VALUE($B203&amp;""))</f>
        <v/>
      </c>
      <c r="N203" s="64">
        <f>IF($A203="","",IFERROR(INDEX(부서매핑!$C$5:$C$504,MATCH($G203&amp;"",부서매핑!$A$5:$A$504,0)),"미매핑"))</f>
        <v/>
      </c>
      <c r="O203" s="9">
        <f>IF($A203="","",N203&amp;"|"&amp;$F203)</f>
        <v/>
      </c>
      <c r="P203" s="94">
        <f>IF($A203="",0,$H203*설정!$C$23)</f>
        <v/>
      </c>
      <c r="Q203" s="64">
        <f>IF($A203="","",IF(O203&lt;&gt;원인분석!$C$9,"",IF(AND(M203&gt;=원인분석!$C$10,M203&lt;=원인분석!$C$11),"당기",IF(AND(M203&gt;=원인분석!$C$12,M203&lt;=원인분석!$C$13),"비교",""))))</f>
        <v/>
      </c>
      <c r="R203" s="9">
        <f>IF(Q203="","",$K203&amp;"")</f>
        <v/>
      </c>
      <c r="S203" s="9">
        <f>IF(Q203="","",IF(MATCH(R203,$R$5:$R$100000,0)=ROW()-4,ROW(),""))</f>
        <v/>
      </c>
      <c r="T203" s="9">
        <f>IF(Q203="당기",ABS(P203)+ROW()/1000000000,"")</f>
        <v/>
      </c>
      <c r="U203" s="9">
        <f>IF(Q203="비교",ABS(P203)+ROW()/1000000000,"")</f>
        <v/>
      </c>
      <c r="V203" s="64">
        <f>IF($A203="","",IF(COUNTIF(변동분석!$E$7:$E$506,O203)&gt;0,"Y","N"))</f>
        <v/>
      </c>
      <c r="W203" s="64">
        <f>IF($A203="","",IFERROR(INDEX(계정매핑!$D$5:$D$504,MATCH($F203&amp;"",계정매핑!$A$5:$A$504,0)),"미매핑"))</f>
        <v/>
      </c>
      <c r="X203" s="9">
        <f>IF($A203="","",$F203&amp;"")</f>
        <v/>
      </c>
      <c r="Y203" s="94">
        <f>IF($A203="",0,IF(AE203="직접",IF(AF203="비귀속",$P203,0),$P203*(1-AG203)*IFERROR(INDEX(계정대체기준!$F$20:$F$49,MATCH($N203,계정대체기준!$A$20:$A$49,0)),1)))</f>
        <v/>
      </c>
      <c r="Z203" s="94">
        <f>IF($A203="",0,IF(AE203="직접",IF(AF203="신계약비",$P203,0),$P203*(1-AG203)*IFERROR(INDEX(계정대체기준!$C$20:$C$49,MATCH($N203,계정대체기준!$A$20:$A$49,0)),0)))</f>
        <v/>
      </c>
      <c r="AA203" s="94">
        <f>IF($A203="",0,IF(AE203="직접",IF(OR(AF203="유지비",AF203="손해조사비"),$P203,0),$P203*(1-AG203)*IFERROR(INDEX(계정대체기준!$D$20:$D$49,MATCH($N203,계정대체기준!$A$20:$A$49,0)),0)))</f>
        <v/>
      </c>
      <c r="AB203" s="94">
        <f>IF($A203="",0,IF(AE203="직접",IF(AF203="수금비",$P203,0),$P203*(1-AG203)*IFERROR(INDEX(계정대체기준!$E$20:$E$49,MATCH($N203,계정대체기준!$A$20:$A$49,0)),0)))</f>
        <v/>
      </c>
      <c r="AC203" s="9">
        <f>IF(AND($A203&lt;&gt;"",M203=설정!$C$20,Z203&gt;0),Z203+ROW()/1000000000,"")</f>
        <v/>
      </c>
      <c r="AD203" s="94">
        <f>IF($A203="",0,$P203*AG203)</f>
        <v/>
      </c>
      <c r="AE203" s="64">
        <f>IF($A203="","",IFERROR(INDEX(계정매핑!$E$5:$E$504,MATCH($F203&amp;"",계정매핑!$A$5:$A$504,0))&amp;"","공통비"))</f>
        <v/>
      </c>
      <c r="AF203" s="64">
        <f>IF($A203="","",IF(AE203="직접",IFERROR(INDEX(계정매핑!$F$5:$F$504,MATCH($F203&amp;"",계정매핑!$A$5:$A$504,0))&amp;"","비귀속"),""))</f>
        <v/>
      </c>
      <c r="AG203" s="96">
        <f>IF($A203="",0,IF(AND(AE203&lt;&gt;"직접",IFERROR(INDEX(계정매핑!$G$5:$G$504,MATCH($F203&amp;"",계정매핑!$A$5:$A$504,0))&amp;"","")="유지비",COUNTIF(계정대체기준!$A$6:$A$15,$N203)&gt;0),IFERROR(INDEX(계정대체기준!$E$6:$E$15,MATCH(VALUE($A203&amp;""),계정대체기준!$D$6:$D$15,0)),0),0))</f>
        <v/>
      </c>
      <c r="AH203" s="64">
        <f>IF($A203="","",IF(AD203=0,"",IF(OR(COUNTIF(계정대체기준!$A$77:$A$86,$N203)&gt;0,ISNUMBER(MATCH($X203,계정대체기준!$D$77:$D$86,0)),ISNUMBER(MATCH($F203,계정대체기준!$D$77:$D$86,0))),"Y","N")))</f>
        <v/>
      </c>
    </row>
    <row r="204">
      <c r="A204" s="92" t="n">
        <v>2025</v>
      </c>
      <c r="B204" s="92" t="n">
        <v>1</v>
      </c>
      <c r="C204" s="92" t="inlineStr">
        <is>
          <t>5100000200</t>
        </is>
      </c>
      <c r="D204" s="95" t="n">
        <v>45679</v>
      </c>
      <c r="E204" s="92" t="inlineStr">
        <is>
          <t>KR</t>
        </is>
      </c>
      <c r="F204" s="92" t="n">
        <v>62101000</v>
      </c>
      <c r="G204" s="92" t="n">
        <v>1201</v>
      </c>
      <c r="H204" s="93" t="n">
        <v>305000</v>
      </c>
      <c r="I204" s="92" t="inlineStr">
        <is>
          <t>1월 국내출장 - L여행사</t>
        </is>
      </c>
      <c r="J204" s="92" t="inlineStr">
        <is>
          <t>V10018</t>
        </is>
      </c>
      <c r="K204" s="92" t="inlineStr">
        <is>
          <t>L여행사</t>
        </is>
      </c>
      <c r="M204" s="9">
        <f>IF($A204="","",VALUE($A204&amp;"")*12+VALUE($B204&amp;""))</f>
        <v/>
      </c>
      <c r="N204" s="64">
        <f>IF($A204="","",IFERROR(INDEX(부서매핑!$C$5:$C$504,MATCH($G204&amp;"",부서매핑!$A$5:$A$504,0)),"미매핑"))</f>
        <v/>
      </c>
      <c r="O204" s="9">
        <f>IF($A204="","",N204&amp;"|"&amp;$F204)</f>
        <v/>
      </c>
      <c r="P204" s="94">
        <f>IF($A204="",0,$H204*설정!$C$23)</f>
        <v/>
      </c>
      <c r="Q204" s="64">
        <f>IF($A204="","",IF(O204&lt;&gt;원인분석!$C$9,"",IF(AND(M204&gt;=원인분석!$C$10,M204&lt;=원인분석!$C$11),"당기",IF(AND(M204&gt;=원인분석!$C$12,M204&lt;=원인분석!$C$13),"비교",""))))</f>
        <v/>
      </c>
      <c r="R204" s="9">
        <f>IF(Q204="","",$K204&amp;"")</f>
        <v/>
      </c>
      <c r="S204" s="9">
        <f>IF(Q204="","",IF(MATCH(R204,$R$5:$R$100000,0)=ROW()-4,ROW(),""))</f>
        <v/>
      </c>
      <c r="T204" s="9">
        <f>IF(Q204="당기",ABS(P204)+ROW()/1000000000,"")</f>
        <v/>
      </c>
      <c r="U204" s="9">
        <f>IF(Q204="비교",ABS(P204)+ROW()/1000000000,"")</f>
        <v/>
      </c>
      <c r="V204" s="64">
        <f>IF($A204="","",IF(COUNTIF(변동분석!$E$7:$E$506,O204)&gt;0,"Y","N"))</f>
        <v/>
      </c>
      <c r="W204" s="64">
        <f>IF($A204="","",IFERROR(INDEX(계정매핑!$D$5:$D$504,MATCH($F204&amp;"",계정매핑!$A$5:$A$504,0)),"미매핑"))</f>
        <v/>
      </c>
      <c r="X204" s="9">
        <f>IF($A204="","",$F204&amp;"")</f>
        <v/>
      </c>
      <c r="Y204" s="94">
        <f>IF($A204="",0,IF(AE204="직접",IF(AF204="비귀속",$P204,0),$P204*(1-AG204)*IFERROR(INDEX(계정대체기준!$F$20:$F$49,MATCH($N204,계정대체기준!$A$20:$A$49,0)),1)))</f>
        <v/>
      </c>
      <c r="Z204" s="94">
        <f>IF($A204="",0,IF(AE204="직접",IF(AF204="신계약비",$P204,0),$P204*(1-AG204)*IFERROR(INDEX(계정대체기준!$C$20:$C$49,MATCH($N204,계정대체기준!$A$20:$A$49,0)),0)))</f>
        <v/>
      </c>
      <c r="AA204" s="94">
        <f>IF($A204="",0,IF(AE204="직접",IF(OR(AF204="유지비",AF204="손해조사비"),$P204,0),$P204*(1-AG204)*IFERROR(INDEX(계정대체기준!$D$20:$D$49,MATCH($N204,계정대체기준!$A$20:$A$49,0)),0)))</f>
        <v/>
      </c>
      <c r="AB204" s="94">
        <f>IF($A204="",0,IF(AE204="직접",IF(AF204="수금비",$P204,0),$P204*(1-AG204)*IFERROR(INDEX(계정대체기준!$E$20:$E$49,MATCH($N204,계정대체기준!$A$20:$A$49,0)),0)))</f>
        <v/>
      </c>
      <c r="AC204" s="9">
        <f>IF(AND($A204&lt;&gt;"",M204=설정!$C$20,Z204&gt;0),Z204+ROW()/1000000000,"")</f>
        <v/>
      </c>
      <c r="AD204" s="94">
        <f>IF($A204="",0,$P204*AG204)</f>
        <v/>
      </c>
      <c r="AE204" s="64">
        <f>IF($A204="","",IFERROR(INDEX(계정매핑!$E$5:$E$504,MATCH($F204&amp;"",계정매핑!$A$5:$A$504,0))&amp;"","공통비"))</f>
        <v/>
      </c>
      <c r="AF204" s="64">
        <f>IF($A204="","",IF(AE204="직접",IFERROR(INDEX(계정매핑!$F$5:$F$504,MATCH($F204&amp;"",계정매핑!$A$5:$A$504,0))&amp;"","비귀속"),""))</f>
        <v/>
      </c>
      <c r="AG204" s="96">
        <f>IF($A204="",0,IF(AND(AE204&lt;&gt;"직접",IFERROR(INDEX(계정매핑!$G$5:$G$504,MATCH($F204&amp;"",계정매핑!$A$5:$A$504,0))&amp;"","")="유지비",COUNTIF(계정대체기준!$A$6:$A$15,$N204)&gt;0),IFERROR(INDEX(계정대체기준!$E$6:$E$15,MATCH(VALUE($A204&amp;""),계정대체기준!$D$6:$D$15,0)),0),0))</f>
        <v/>
      </c>
      <c r="AH204" s="64">
        <f>IF($A204="","",IF(AD204=0,"",IF(OR(COUNTIF(계정대체기준!$A$77:$A$86,$N204)&gt;0,ISNUMBER(MATCH($X204,계정대체기준!$D$77:$D$86,0)),ISNUMBER(MATCH($F204,계정대체기준!$D$77:$D$86,0))),"Y","N")))</f>
        <v/>
      </c>
    </row>
    <row r="205">
      <c r="A205" s="92" t="n">
        <v>2025</v>
      </c>
      <c r="B205" s="92" t="n">
        <v>1</v>
      </c>
      <c r="C205" s="92" t="inlineStr">
        <is>
          <t>5100000201</t>
        </is>
      </c>
      <c r="D205" s="95" t="n">
        <v>45679</v>
      </c>
      <c r="E205" s="92" t="inlineStr">
        <is>
          <t>KR</t>
        </is>
      </c>
      <c r="F205" s="92" t="n">
        <v>62101000</v>
      </c>
      <c r="G205" s="92" t="n">
        <v>1701</v>
      </c>
      <c r="H205" s="93" t="n">
        <v>195000</v>
      </c>
      <c r="I205" s="92" t="inlineStr">
        <is>
          <t>1월 국내출장 - M항공</t>
        </is>
      </c>
      <c r="J205" s="92" t="inlineStr">
        <is>
          <t>V10001</t>
        </is>
      </c>
      <c r="K205" s="92" t="inlineStr">
        <is>
          <t>M항공</t>
        </is>
      </c>
      <c r="M205" s="9">
        <f>IF($A205="","",VALUE($A205&amp;"")*12+VALUE($B205&amp;""))</f>
        <v/>
      </c>
      <c r="N205" s="64">
        <f>IF($A205="","",IFERROR(INDEX(부서매핑!$C$5:$C$504,MATCH($G205&amp;"",부서매핑!$A$5:$A$504,0)),"미매핑"))</f>
        <v/>
      </c>
      <c r="O205" s="9">
        <f>IF($A205="","",N205&amp;"|"&amp;$F205)</f>
        <v/>
      </c>
      <c r="P205" s="94">
        <f>IF($A205="",0,$H205*설정!$C$23)</f>
        <v/>
      </c>
      <c r="Q205" s="64">
        <f>IF($A205="","",IF(O205&lt;&gt;원인분석!$C$9,"",IF(AND(M205&gt;=원인분석!$C$10,M205&lt;=원인분석!$C$11),"당기",IF(AND(M205&gt;=원인분석!$C$12,M205&lt;=원인분석!$C$13),"비교",""))))</f>
        <v/>
      </c>
      <c r="R205" s="9">
        <f>IF(Q205="","",$K205&amp;"")</f>
        <v/>
      </c>
      <c r="S205" s="9">
        <f>IF(Q205="","",IF(MATCH(R205,$R$5:$R$100000,0)=ROW()-4,ROW(),""))</f>
        <v/>
      </c>
      <c r="T205" s="9">
        <f>IF(Q205="당기",ABS(P205)+ROW()/1000000000,"")</f>
        <v/>
      </c>
      <c r="U205" s="9">
        <f>IF(Q205="비교",ABS(P205)+ROW()/1000000000,"")</f>
        <v/>
      </c>
      <c r="V205" s="64">
        <f>IF($A205="","",IF(COUNTIF(변동분석!$E$7:$E$506,O205)&gt;0,"Y","N"))</f>
        <v/>
      </c>
      <c r="W205" s="64">
        <f>IF($A205="","",IFERROR(INDEX(계정매핑!$D$5:$D$504,MATCH($F205&amp;"",계정매핑!$A$5:$A$504,0)),"미매핑"))</f>
        <v/>
      </c>
      <c r="X205" s="9">
        <f>IF($A205="","",$F205&amp;"")</f>
        <v/>
      </c>
      <c r="Y205" s="94">
        <f>IF($A205="",0,IF(AE205="직접",IF(AF205="비귀속",$P205,0),$P205*(1-AG205)*IFERROR(INDEX(계정대체기준!$F$20:$F$49,MATCH($N205,계정대체기준!$A$20:$A$49,0)),1)))</f>
        <v/>
      </c>
      <c r="Z205" s="94">
        <f>IF($A205="",0,IF(AE205="직접",IF(AF205="신계약비",$P205,0),$P205*(1-AG205)*IFERROR(INDEX(계정대체기준!$C$20:$C$49,MATCH($N205,계정대체기준!$A$20:$A$49,0)),0)))</f>
        <v/>
      </c>
      <c r="AA205" s="94">
        <f>IF($A205="",0,IF(AE205="직접",IF(OR(AF205="유지비",AF205="손해조사비"),$P205,0),$P205*(1-AG205)*IFERROR(INDEX(계정대체기준!$D$20:$D$49,MATCH($N205,계정대체기준!$A$20:$A$49,0)),0)))</f>
        <v/>
      </c>
      <c r="AB205" s="94">
        <f>IF($A205="",0,IF(AE205="직접",IF(AF205="수금비",$P205,0),$P205*(1-AG205)*IFERROR(INDEX(계정대체기준!$E$20:$E$49,MATCH($N205,계정대체기준!$A$20:$A$49,0)),0)))</f>
        <v/>
      </c>
      <c r="AC205" s="9">
        <f>IF(AND($A205&lt;&gt;"",M205=설정!$C$20,Z205&gt;0),Z205+ROW()/1000000000,"")</f>
        <v/>
      </c>
      <c r="AD205" s="94">
        <f>IF($A205="",0,$P205*AG205)</f>
        <v/>
      </c>
      <c r="AE205" s="64">
        <f>IF($A205="","",IFERROR(INDEX(계정매핑!$E$5:$E$504,MATCH($F205&amp;"",계정매핑!$A$5:$A$504,0))&amp;"","공통비"))</f>
        <v/>
      </c>
      <c r="AF205" s="64">
        <f>IF($A205="","",IF(AE205="직접",IFERROR(INDEX(계정매핑!$F$5:$F$504,MATCH($F205&amp;"",계정매핑!$A$5:$A$504,0))&amp;"","비귀속"),""))</f>
        <v/>
      </c>
      <c r="AG205" s="96">
        <f>IF($A205="",0,IF(AND(AE205&lt;&gt;"직접",IFERROR(INDEX(계정매핑!$G$5:$G$504,MATCH($F205&amp;"",계정매핑!$A$5:$A$504,0))&amp;"","")="유지비",COUNTIF(계정대체기준!$A$6:$A$15,$N205)&gt;0),IFERROR(INDEX(계정대체기준!$E$6:$E$15,MATCH(VALUE($A205&amp;""),계정대체기준!$D$6:$D$15,0)),0),0))</f>
        <v/>
      </c>
      <c r="AH205" s="64">
        <f>IF($A205="","",IF(AD205=0,"",IF(OR(COUNTIF(계정대체기준!$A$77:$A$86,$N205)&gt;0,ISNUMBER(MATCH($X205,계정대체기준!$D$77:$D$86,0)),ISNUMBER(MATCH($F205,계정대체기준!$D$77:$D$86,0))),"Y","N")))</f>
        <v/>
      </c>
    </row>
    <row r="206">
      <c r="A206" s="92" t="n">
        <v>2025</v>
      </c>
      <c r="B206" s="92" t="n">
        <v>1</v>
      </c>
      <c r="C206" s="92" t="inlineStr">
        <is>
          <t>5100000202</t>
        </is>
      </c>
      <c r="D206" s="95" t="n">
        <v>45679</v>
      </c>
      <c r="E206" s="92" t="inlineStr">
        <is>
          <t>KR</t>
        </is>
      </c>
      <c r="F206" s="92" t="n">
        <v>62201000</v>
      </c>
      <c r="G206" s="92" t="n">
        <v>1201</v>
      </c>
      <c r="H206" s="93" t="n">
        <v>119000</v>
      </c>
      <c r="I206" s="92" t="inlineStr">
        <is>
          <t>1월 통신요금 - O텔레콤</t>
        </is>
      </c>
      <c r="J206" s="92" t="inlineStr">
        <is>
          <t>V10002</t>
        </is>
      </c>
      <c r="K206" s="92" t="inlineStr">
        <is>
          <t>O텔레콤</t>
        </is>
      </c>
      <c r="M206" s="9">
        <f>IF($A206="","",VALUE($A206&amp;"")*12+VALUE($B206&amp;""))</f>
        <v/>
      </c>
      <c r="N206" s="64">
        <f>IF($A206="","",IFERROR(INDEX(부서매핑!$C$5:$C$504,MATCH($G206&amp;"",부서매핑!$A$5:$A$504,0)),"미매핑"))</f>
        <v/>
      </c>
      <c r="O206" s="9">
        <f>IF($A206="","",N206&amp;"|"&amp;$F206)</f>
        <v/>
      </c>
      <c r="P206" s="94">
        <f>IF($A206="",0,$H206*설정!$C$23)</f>
        <v/>
      </c>
      <c r="Q206" s="64">
        <f>IF($A206="","",IF(O206&lt;&gt;원인분석!$C$9,"",IF(AND(M206&gt;=원인분석!$C$10,M206&lt;=원인분석!$C$11),"당기",IF(AND(M206&gt;=원인분석!$C$12,M206&lt;=원인분석!$C$13),"비교",""))))</f>
        <v/>
      </c>
      <c r="R206" s="9">
        <f>IF(Q206="","",$K206&amp;"")</f>
        <v/>
      </c>
      <c r="S206" s="9">
        <f>IF(Q206="","",IF(MATCH(R206,$R$5:$R$100000,0)=ROW()-4,ROW(),""))</f>
        <v/>
      </c>
      <c r="T206" s="9">
        <f>IF(Q206="당기",ABS(P206)+ROW()/1000000000,"")</f>
        <v/>
      </c>
      <c r="U206" s="9">
        <f>IF(Q206="비교",ABS(P206)+ROW()/1000000000,"")</f>
        <v/>
      </c>
      <c r="V206" s="64">
        <f>IF($A206="","",IF(COUNTIF(변동분석!$E$7:$E$506,O206)&gt;0,"Y","N"))</f>
        <v/>
      </c>
      <c r="W206" s="64">
        <f>IF($A206="","",IFERROR(INDEX(계정매핑!$D$5:$D$504,MATCH($F206&amp;"",계정매핑!$A$5:$A$504,0)),"미매핑"))</f>
        <v/>
      </c>
      <c r="X206" s="9">
        <f>IF($A206="","",$F206&amp;"")</f>
        <v/>
      </c>
      <c r="Y206" s="94">
        <f>IF($A206="",0,IF(AE206="직접",IF(AF206="비귀속",$P206,0),$P206*(1-AG206)*IFERROR(INDEX(계정대체기준!$F$20:$F$49,MATCH($N206,계정대체기준!$A$20:$A$49,0)),1)))</f>
        <v/>
      </c>
      <c r="Z206" s="94">
        <f>IF($A206="",0,IF(AE206="직접",IF(AF206="신계약비",$P206,0),$P206*(1-AG206)*IFERROR(INDEX(계정대체기준!$C$20:$C$49,MATCH($N206,계정대체기준!$A$20:$A$49,0)),0)))</f>
        <v/>
      </c>
      <c r="AA206" s="94">
        <f>IF($A206="",0,IF(AE206="직접",IF(OR(AF206="유지비",AF206="손해조사비"),$P206,0),$P206*(1-AG206)*IFERROR(INDEX(계정대체기준!$D$20:$D$49,MATCH($N206,계정대체기준!$A$20:$A$49,0)),0)))</f>
        <v/>
      </c>
      <c r="AB206" s="94">
        <f>IF($A206="",0,IF(AE206="직접",IF(AF206="수금비",$P206,0),$P206*(1-AG206)*IFERROR(INDEX(계정대체기준!$E$20:$E$49,MATCH($N206,계정대체기준!$A$20:$A$49,0)),0)))</f>
        <v/>
      </c>
      <c r="AC206" s="9">
        <f>IF(AND($A206&lt;&gt;"",M206=설정!$C$20,Z206&gt;0),Z206+ROW()/1000000000,"")</f>
        <v/>
      </c>
      <c r="AD206" s="94">
        <f>IF($A206="",0,$P206*AG206)</f>
        <v/>
      </c>
      <c r="AE206" s="64">
        <f>IF($A206="","",IFERROR(INDEX(계정매핑!$E$5:$E$504,MATCH($F206&amp;"",계정매핑!$A$5:$A$504,0))&amp;"","공통비"))</f>
        <v/>
      </c>
      <c r="AF206" s="64">
        <f>IF($A206="","",IF(AE206="직접",IFERROR(INDEX(계정매핑!$F$5:$F$504,MATCH($F206&amp;"",계정매핑!$A$5:$A$504,0))&amp;"","비귀속"),""))</f>
        <v/>
      </c>
      <c r="AG206" s="96">
        <f>IF($A206="",0,IF(AND(AE206&lt;&gt;"직접",IFERROR(INDEX(계정매핑!$G$5:$G$504,MATCH($F206&amp;"",계정매핑!$A$5:$A$504,0))&amp;"","")="유지비",COUNTIF(계정대체기준!$A$6:$A$15,$N206)&gt;0),IFERROR(INDEX(계정대체기준!$E$6:$E$15,MATCH(VALUE($A206&amp;""),계정대체기준!$D$6:$D$15,0)),0),0))</f>
        <v/>
      </c>
      <c r="AH206" s="64">
        <f>IF($A206="","",IF(AD206=0,"",IF(OR(COUNTIF(계정대체기준!$A$77:$A$86,$N206)&gt;0,ISNUMBER(MATCH($X206,계정대체기준!$D$77:$D$86,0)),ISNUMBER(MATCH($F206,계정대체기준!$D$77:$D$86,0))),"Y","N")))</f>
        <v/>
      </c>
    </row>
    <row r="207">
      <c r="A207" s="92" t="n">
        <v>2025</v>
      </c>
      <c r="B207" s="92" t="n">
        <v>1</v>
      </c>
      <c r="C207" s="92" t="inlineStr">
        <is>
          <t>5100000203</t>
        </is>
      </c>
      <c r="D207" s="95" t="n">
        <v>45679</v>
      </c>
      <c r="E207" s="92" t="inlineStr">
        <is>
          <t>KR</t>
        </is>
      </c>
      <c r="F207" s="92" t="n">
        <v>62201000</v>
      </c>
      <c r="G207" s="92" t="n">
        <v>1401</v>
      </c>
      <c r="H207" s="93" t="n">
        <v>177000</v>
      </c>
      <c r="I207" s="92" t="inlineStr">
        <is>
          <t>1월 통신요금 - P통신</t>
        </is>
      </c>
      <c r="J207" s="92" t="inlineStr">
        <is>
          <t>V10014</t>
        </is>
      </c>
      <c r="K207" s="92" t="inlineStr">
        <is>
          <t>P통신</t>
        </is>
      </c>
      <c r="M207" s="9">
        <f>IF($A207="","",VALUE($A207&amp;"")*12+VALUE($B207&amp;""))</f>
        <v/>
      </c>
      <c r="N207" s="64">
        <f>IF($A207="","",IFERROR(INDEX(부서매핑!$C$5:$C$504,MATCH($G207&amp;"",부서매핑!$A$5:$A$504,0)),"미매핑"))</f>
        <v/>
      </c>
      <c r="O207" s="9">
        <f>IF($A207="","",N207&amp;"|"&amp;$F207)</f>
        <v/>
      </c>
      <c r="P207" s="94">
        <f>IF($A207="",0,$H207*설정!$C$23)</f>
        <v/>
      </c>
      <c r="Q207" s="64">
        <f>IF($A207="","",IF(O207&lt;&gt;원인분석!$C$9,"",IF(AND(M207&gt;=원인분석!$C$10,M207&lt;=원인분석!$C$11),"당기",IF(AND(M207&gt;=원인분석!$C$12,M207&lt;=원인분석!$C$13),"비교",""))))</f>
        <v/>
      </c>
      <c r="R207" s="9">
        <f>IF(Q207="","",$K207&amp;"")</f>
        <v/>
      </c>
      <c r="S207" s="9">
        <f>IF(Q207="","",IF(MATCH(R207,$R$5:$R$100000,0)=ROW()-4,ROW(),""))</f>
        <v/>
      </c>
      <c r="T207" s="9">
        <f>IF(Q207="당기",ABS(P207)+ROW()/1000000000,"")</f>
        <v/>
      </c>
      <c r="U207" s="9">
        <f>IF(Q207="비교",ABS(P207)+ROW()/1000000000,"")</f>
        <v/>
      </c>
      <c r="V207" s="64">
        <f>IF($A207="","",IF(COUNTIF(변동분석!$E$7:$E$506,O207)&gt;0,"Y","N"))</f>
        <v/>
      </c>
      <c r="W207" s="64">
        <f>IF($A207="","",IFERROR(INDEX(계정매핑!$D$5:$D$504,MATCH($F207&amp;"",계정매핑!$A$5:$A$504,0)),"미매핑"))</f>
        <v/>
      </c>
      <c r="X207" s="9">
        <f>IF($A207="","",$F207&amp;"")</f>
        <v/>
      </c>
      <c r="Y207" s="94">
        <f>IF($A207="",0,IF(AE207="직접",IF(AF207="비귀속",$P207,0),$P207*(1-AG207)*IFERROR(INDEX(계정대체기준!$F$20:$F$49,MATCH($N207,계정대체기준!$A$20:$A$49,0)),1)))</f>
        <v/>
      </c>
      <c r="Z207" s="94">
        <f>IF($A207="",0,IF(AE207="직접",IF(AF207="신계약비",$P207,0),$P207*(1-AG207)*IFERROR(INDEX(계정대체기준!$C$20:$C$49,MATCH($N207,계정대체기준!$A$20:$A$49,0)),0)))</f>
        <v/>
      </c>
      <c r="AA207" s="94">
        <f>IF($A207="",0,IF(AE207="직접",IF(OR(AF207="유지비",AF207="손해조사비"),$P207,0),$P207*(1-AG207)*IFERROR(INDEX(계정대체기준!$D$20:$D$49,MATCH($N207,계정대체기준!$A$20:$A$49,0)),0)))</f>
        <v/>
      </c>
      <c r="AB207" s="94">
        <f>IF($A207="",0,IF(AE207="직접",IF(AF207="수금비",$P207,0),$P207*(1-AG207)*IFERROR(INDEX(계정대체기준!$E$20:$E$49,MATCH($N207,계정대체기준!$A$20:$A$49,0)),0)))</f>
        <v/>
      </c>
      <c r="AC207" s="9">
        <f>IF(AND($A207&lt;&gt;"",M207=설정!$C$20,Z207&gt;0),Z207+ROW()/1000000000,"")</f>
        <v/>
      </c>
      <c r="AD207" s="94">
        <f>IF($A207="",0,$P207*AG207)</f>
        <v/>
      </c>
      <c r="AE207" s="64">
        <f>IF($A207="","",IFERROR(INDEX(계정매핑!$E$5:$E$504,MATCH($F207&amp;"",계정매핑!$A$5:$A$504,0))&amp;"","공통비"))</f>
        <v/>
      </c>
      <c r="AF207" s="64">
        <f>IF($A207="","",IF(AE207="직접",IFERROR(INDEX(계정매핑!$F$5:$F$504,MATCH($F207&amp;"",계정매핑!$A$5:$A$504,0))&amp;"","비귀속"),""))</f>
        <v/>
      </c>
      <c r="AG207" s="96">
        <f>IF($A207="",0,IF(AND(AE207&lt;&gt;"직접",IFERROR(INDEX(계정매핑!$G$5:$G$504,MATCH($F207&amp;"",계정매핑!$A$5:$A$504,0))&amp;"","")="유지비",COUNTIF(계정대체기준!$A$6:$A$15,$N207)&gt;0),IFERROR(INDEX(계정대체기준!$E$6:$E$15,MATCH(VALUE($A207&amp;""),계정대체기준!$D$6:$D$15,0)),0),0))</f>
        <v/>
      </c>
      <c r="AH207" s="64">
        <f>IF($A207="","",IF(AD207=0,"",IF(OR(COUNTIF(계정대체기준!$A$77:$A$86,$N207)&gt;0,ISNUMBER(MATCH($X207,계정대체기준!$D$77:$D$86,0)),ISNUMBER(MATCH($F207,계정대체기준!$D$77:$D$86,0))),"Y","N")))</f>
        <v/>
      </c>
    </row>
    <row r="208">
      <c r="A208" s="92" t="n">
        <v>2025</v>
      </c>
      <c r="B208" s="92" t="n">
        <v>1</v>
      </c>
      <c r="C208" s="92" t="inlineStr">
        <is>
          <t>5100000204</t>
        </is>
      </c>
      <c r="D208" s="95" t="n">
        <v>45679</v>
      </c>
      <c r="E208" s="92" t="inlineStr">
        <is>
          <t>KR</t>
        </is>
      </c>
      <c r="F208" s="92" t="n">
        <v>62201000</v>
      </c>
      <c r="G208" s="92" t="n">
        <v>1801</v>
      </c>
      <c r="H208" s="93" t="n">
        <v>2985000</v>
      </c>
      <c r="I208" s="92" t="inlineStr">
        <is>
          <t>1월 통신요금 - P통신</t>
        </is>
      </c>
      <c r="J208" s="92" t="inlineStr">
        <is>
          <t>V10014</t>
        </is>
      </c>
      <c r="K208" s="92" t="inlineStr">
        <is>
          <t>P통신</t>
        </is>
      </c>
      <c r="M208" s="9">
        <f>IF($A208="","",VALUE($A208&amp;"")*12+VALUE($B208&amp;""))</f>
        <v/>
      </c>
      <c r="N208" s="64">
        <f>IF($A208="","",IFERROR(INDEX(부서매핑!$C$5:$C$504,MATCH($G208&amp;"",부서매핑!$A$5:$A$504,0)),"미매핑"))</f>
        <v/>
      </c>
      <c r="O208" s="9">
        <f>IF($A208="","",N208&amp;"|"&amp;$F208)</f>
        <v/>
      </c>
      <c r="P208" s="94">
        <f>IF($A208="",0,$H208*설정!$C$23)</f>
        <v/>
      </c>
      <c r="Q208" s="64">
        <f>IF($A208="","",IF(O208&lt;&gt;원인분석!$C$9,"",IF(AND(M208&gt;=원인분석!$C$10,M208&lt;=원인분석!$C$11),"당기",IF(AND(M208&gt;=원인분석!$C$12,M208&lt;=원인분석!$C$13),"비교",""))))</f>
        <v/>
      </c>
      <c r="R208" s="9">
        <f>IF(Q208="","",$K208&amp;"")</f>
        <v/>
      </c>
      <c r="S208" s="9">
        <f>IF(Q208="","",IF(MATCH(R208,$R$5:$R$100000,0)=ROW()-4,ROW(),""))</f>
        <v/>
      </c>
      <c r="T208" s="9">
        <f>IF(Q208="당기",ABS(P208)+ROW()/1000000000,"")</f>
        <v/>
      </c>
      <c r="U208" s="9">
        <f>IF(Q208="비교",ABS(P208)+ROW()/1000000000,"")</f>
        <v/>
      </c>
      <c r="V208" s="64">
        <f>IF($A208="","",IF(COUNTIF(변동분석!$E$7:$E$506,O208)&gt;0,"Y","N"))</f>
        <v/>
      </c>
      <c r="W208" s="64">
        <f>IF($A208="","",IFERROR(INDEX(계정매핑!$D$5:$D$504,MATCH($F208&amp;"",계정매핑!$A$5:$A$504,0)),"미매핑"))</f>
        <v/>
      </c>
      <c r="X208" s="9">
        <f>IF($A208="","",$F208&amp;"")</f>
        <v/>
      </c>
      <c r="Y208" s="94">
        <f>IF($A208="",0,IF(AE208="직접",IF(AF208="비귀속",$P208,0),$P208*(1-AG208)*IFERROR(INDEX(계정대체기준!$F$20:$F$49,MATCH($N208,계정대체기준!$A$20:$A$49,0)),1)))</f>
        <v/>
      </c>
      <c r="Z208" s="94">
        <f>IF($A208="",0,IF(AE208="직접",IF(AF208="신계약비",$P208,0),$P208*(1-AG208)*IFERROR(INDEX(계정대체기준!$C$20:$C$49,MATCH($N208,계정대체기준!$A$20:$A$49,0)),0)))</f>
        <v/>
      </c>
      <c r="AA208" s="94">
        <f>IF($A208="",0,IF(AE208="직접",IF(OR(AF208="유지비",AF208="손해조사비"),$P208,0),$P208*(1-AG208)*IFERROR(INDEX(계정대체기준!$D$20:$D$49,MATCH($N208,계정대체기준!$A$20:$A$49,0)),0)))</f>
        <v/>
      </c>
      <c r="AB208" s="94">
        <f>IF($A208="",0,IF(AE208="직접",IF(AF208="수금비",$P208,0),$P208*(1-AG208)*IFERROR(INDEX(계정대체기준!$E$20:$E$49,MATCH($N208,계정대체기준!$A$20:$A$49,0)),0)))</f>
        <v/>
      </c>
      <c r="AC208" s="9">
        <f>IF(AND($A208&lt;&gt;"",M208=설정!$C$20,Z208&gt;0),Z208+ROW()/1000000000,"")</f>
        <v/>
      </c>
      <c r="AD208" s="94">
        <f>IF($A208="",0,$P208*AG208)</f>
        <v/>
      </c>
      <c r="AE208" s="64">
        <f>IF($A208="","",IFERROR(INDEX(계정매핑!$E$5:$E$504,MATCH($F208&amp;"",계정매핑!$A$5:$A$504,0))&amp;"","공통비"))</f>
        <v/>
      </c>
      <c r="AF208" s="64">
        <f>IF($A208="","",IF(AE208="직접",IFERROR(INDEX(계정매핑!$F$5:$F$504,MATCH($F208&amp;"",계정매핑!$A$5:$A$504,0))&amp;"","비귀속"),""))</f>
        <v/>
      </c>
      <c r="AG208" s="96">
        <f>IF($A208="",0,IF(AND(AE208&lt;&gt;"직접",IFERROR(INDEX(계정매핑!$G$5:$G$504,MATCH($F208&amp;"",계정매핑!$A$5:$A$504,0))&amp;"","")="유지비",COUNTIF(계정대체기준!$A$6:$A$15,$N208)&gt;0),IFERROR(INDEX(계정대체기준!$E$6:$E$15,MATCH(VALUE($A208&amp;""),계정대체기준!$D$6:$D$15,0)),0),0))</f>
        <v/>
      </c>
      <c r="AH208" s="64">
        <f>IF($A208="","",IF(AD208=0,"",IF(OR(COUNTIF(계정대체기준!$A$77:$A$86,$N208)&gt;0,ISNUMBER(MATCH($X208,계정대체기준!$D$77:$D$86,0)),ISNUMBER(MATCH($F208,계정대체기준!$D$77:$D$86,0))),"Y","N")))</f>
        <v/>
      </c>
    </row>
    <row r="209">
      <c r="A209" s="92" t="n">
        <v>2025</v>
      </c>
      <c r="B209" s="92" t="n">
        <v>1</v>
      </c>
      <c r="C209" s="92" t="inlineStr">
        <is>
          <t>5100000205</t>
        </is>
      </c>
      <c r="D209" s="95" t="n">
        <v>45679</v>
      </c>
      <c r="E209" s="92" t="inlineStr">
        <is>
          <t>KR</t>
        </is>
      </c>
      <c r="F209" s="92" t="n">
        <v>62301000</v>
      </c>
      <c r="G209" s="92" t="n">
        <v>1602</v>
      </c>
      <c r="H209" s="93" t="n">
        <v>454000</v>
      </c>
      <c r="I209" s="92" t="inlineStr">
        <is>
          <t>1월 소모품 구입 - Q오피스</t>
        </is>
      </c>
      <c r="J209" s="92" t="inlineStr">
        <is>
          <t>V10003</t>
        </is>
      </c>
      <c r="K209" s="92" t="inlineStr">
        <is>
          <t>Q오피스</t>
        </is>
      </c>
      <c r="M209" s="9">
        <f>IF($A209="","",VALUE($A209&amp;"")*12+VALUE($B209&amp;""))</f>
        <v/>
      </c>
      <c r="N209" s="64">
        <f>IF($A209="","",IFERROR(INDEX(부서매핑!$C$5:$C$504,MATCH($G209&amp;"",부서매핑!$A$5:$A$504,0)),"미매핑"))</f>
        <v/>
      </c>
      <c r="O209" s="9">
        <f>IF($A209="","",N209&amp;"|"&amp;$F209)</f>
        <v/>
      </c>
      <c r="P209" s="94">
        <f>IF($A209="",0,$H209*설정!$C$23)</f>
        <v/>
      </c>
      <c r="Q209" s="64">
        <f>IF($A209="","",IF(O209&lt;&gt;원인분석!$C$9,"",IF(AND(M209&gt;=원인분석!$C$10,M209&lt;=원인분석!$C$11),"당기",IF(AND(M209&gt;=원인분석!$C$12,M209&lt;=원인분석!$C$13),"비교",""))))</f>
        <v/>
      </c>
      <c r="R209" s="9">
        <f>IF(Q209="","",$K209&amp;"")</f>
        <v/>
      </c>
      <c r="S209" s="9">
        <f>IF(Q209="","",IF(MATCH(R209,$R$5:$R$100000,0)=ROW()-4,ROW(),""))</f>
        <v/>
      </c>
      <c r="T209" s="9">
        <f>IF(Q209="당기",ABS(P209)+ROW()/1000000000,"")</f>
        <v/>
      </c>
      <c r="U209" s="9">
        <f>IF(Q209="비교",ABS(P209)+ROW()/1000000000,"")</f>
        <v/>
      </c>
      <c r="V209" s="64">
        <f>IF($A209="","",IF(COUNTIF(변동분석!$E$7:$E$506,O209)&gt;0,"Y","N"))</f>
        <v/>
      </c>
      <c r="W209" s="64">
        <f>IF($A209="","",IFERROR(INDEX(계정매핑!$D$5:$D$504,MATCH($F209&amp;"",계정매핑!$A$5:$A$504,0)),"미매핑"))</f>
        <v/>
      </c>
      <c r="X209" s="9">
        <f>IF($A209="","",$F209&amp;"")</f>
        <v/>
      </c>
      <c r="Y209" s="94">
        <f>IF($A209="",0,IF(AE209="직접",IF(AF209="비귀속",$P209,0),$P209*(1-AG209)*IFERROR(INDEX(계정대체기준!$F$20:$F$49,MATCH($N209,계정대체기준!$A$20:$A$49,0)),1)))</f>
        <v/>
      </c>
      <c r="Z209" s="94">
        <f>IF($A209="",0,IF(AE209="직접",IF(AF209="신계약비",$P209,0),$P209*(1-AG209)*IFERROR(INDEX(계정대체기준!$C$20:$C$49,MATCH($N209,계정대체기준!$A$20:$A$49,0)),0)))</f>
        <v/>
      </c>
      <c r="AA209" s="94">
        <f>IF($A209="",0,IF(AE209="직접",IF(OR(AF209="유지비",AF209="손해조사비"),$P209,0),$P209*(1-AG209)*IFERROR(INDEX(계정대체기준!$D$20:$D$49,MATCH($N209,계정대체기준!$A$20:$A$49,0)),0)))</f>
        <v/>
      </c>
      <c r="AB209" s="94">
        <f>IF($A209="",0,IF(AE209="직접",IF(AF209="수금비",$P209,0),$P209*(1-AG209)*IFERROR(INDEX(계정대체기준!$E$20:$E$49,MATCH($N209,계정대체기준!$A$20:$A$49,0)),0)))</f>
        <v/>
      </c>
      <c r="AC209" s="9">
        <f>IF(AND($A209&lt;&gt;"",M209=설정!$C$20,Z209&gt;0),Z209+ROW()/1000000000,"")</f>
        <v/>
      </c>
      <c r="AD209" s="94">
        <f>IF($A209="",0,$P209*AG209)</f>
        <v/>
      </c>
      <c r="AE209" s="64">
        <f>IF($A209="","",IFERROR(INDEX(계정매핑!$E$5:$E$504,MATCH($F209&amp;"",계정매핑!$A$5:$A$504,0))&amp;"","공통비"))</f>
        <v/>
      </c>
      <c r="AF209" s="64">
        <f>IF($A209="","",IF(AE209="직접",IFERROR(INDEX(계정매핑!$F$5:$F$504,MATCH($F209&amp;"",계정매핑!$A$5:$A$504,0))&amp;"","비귀속"),""))</f>
        <v/>
      </c>
      <c r="AG209" s="96">
        <f>IF($A209="",0,IF(AND(AE209&lt;&gt;"직접",IFERROR(INDEX(계정매핑!$G$5:$G$504,MATCH($F209&amp;"",계정매핑!$A$5:$A$504,0))&amp;"","")="유지비",COUNTIF(계정대체기준!$A$6:$A$15,$N209)&gt;0),IFERROR(INDEX(계정대체기준!$E$6:$E$15,MATCH(VALUE($A209&amp;""),계정대체기준!$D$6:$D$15,0)),0),0))</f>
        <v/>
      </c>
      <c r="AH209" s="64">
        <f>IF($A209="","",IF(AD209=0,"",IF(OR(COUNTIF(계정대체기준!$A$77:$A$86,$N209)&gt;0,ISNUMBER(MATCH($X209,계정대체기준!$D$77:$D$86,0)),ISNUMBER(MATCH($F209,계정대체기준!$D$77:$D$86,0))),"Y","N")))</f>
        <v/>
      </c>
    </row>
    <row r="210">
      <c r="A210" s="92" t="n">
        <v>2025</v>
      </c>
      <c r="B210" s="92" t="n">
        <v>1</v>
      </c>
      <c r="C210" s="92" t="inlineStr">
        <is>
          <t>5100000206</t>
        </is>
      </c>
      <c r="D210" s="95" t="n">
        <v>45679</v>
      </c>
      <c r="E210" s="92" t="inlineStr">
        <is>
          <t>KR</t>
        </is>
      </c>
      <c r="F210" s="92" t="n">
        <v>62701000</v>
      </c>
      <c r="G210" s="92" t="n">
        <v>1501</v>
      </c>
      <c r="H210" s="93" t="n">
        <v>39043000</v>
      </c>
      <c r="I210" s="92" t="inlineStr">
        <is>
          <t>1월 광고 집행 - E미디어</t>
        </is>
      </c>
      <c r="J210" s="92" t="inlineStr">
        <is>
          <t>V10033</t>
        </is>
      </c>
      <c r="K210" s="92" t="inlineStr">
        <is>
          <t>E미디어</t>
        </is>
      </c>
      <c r="M210" s="9">
        <f>IF($A210="","",VALUE($A210&amp;"")*12+VALUE($B210&amp;""))</f>
        <v/>
      </c>
      <c r="N210" s="64">
        <f>IF($A210="","",IFERROR(INDEX(부서매핑!$C$5:$C$504,MATCH($G210&amp;"",부서매핑!$A$5:$A$504,0)),"미매핑"))</f>
        <v/>
      </c>
      <c r="O210" s="9">
        <f>IF($A210="","",N210&amp;"|"&amp;$F210)</f>
        <v/>
      </c>
      <c r="P210" s="94">
        <f>IF($A210="",0,$H210*설정!$C$23)</f>
        <v/>
      </c>
      <c r="Q210" s="64">
        <f>IF($A210="","",IF(O210&lt;&gt;원인분석!$C$9,"",IF(AND(M210&gt;=원인분석!$C$10,M210&lt;=원인분석!$C$11),"당기",IF(AND(M210&gt;=원인분석!$C$12,M210&lt;=원인분석!$C$13),"비교",""))))</f>
        <v/>
      </c>
      <c r="R210" s="9">
        <f>IF(Q210="","",$K210&amp;"")</f>
        <v/>
      </c>
      <c r="S210" s="9">
        <f>IF(Q210="","",IF(MATCH(R210,$R$5:$R$100000,0)=ROW()-4,ROW(),""))</f>
        <v/>
      </c>
      <c r="T210" s="9">
        <f>IF(Q210="당기",ABS(P210)+ROW()/1000000000,"")</f>
        <v/>
      </c>
      <c r="U210" s="9">
        <f>IF(Q210="비교",ABS(P210)+ROW()/1000000000,"")</f>
        <v/>
      </c>
      <c r="V210" s="64">
        <f>IF($A210="","",IF(COUNTIF(변동분석!$E$7:$E$506,O210)&gt;0,"Y","N"))</f>
        <v/>
      </c>
      <c r="W210" s="64">
        <f>IF($A210="","",IFERROR(INDEX(계정매핑!$D$5:$D$504,MATCH($F210&amp;"",계정매핑!$A$5:$A$504,0)),"미매핑"))</f>
        <v/>
      </c>
      <c r="X210" s="9">
        <f>IF($A210="","",$F210&amp;"")</f>
        <v/>
      </c>
      <c r="Y210" s="94">
        <f>IF($A210="",0,IF(AE210="직접",IF(AF210="비귀속",$P210,0),$P210*(1-AG210)*IFERROR(INDEX(계정대체기준!$F$20:$F$49,MATCH($N210,계정대체기준!$A$20:$A$49,0)),1)))</f>
        <v/>
      </c>
      <c r="Z210" s="94">
        <f>IF($A210="",0,IF(AE210="직접",IF(AF210="신계약비",$P210,0),$P210*(1-AG210)*IFERROR(INDEX(계정대체기준!$C$20:$C$49,MATCH($N210,계정대체기준!$A$20:$A$49,0)),0)))</f>
        <v/>
      </c>
      <c r="AA210" s="94">
        <f>IF($A210="",0,IF(AE210="직접",IF(OR(AF210="유지비",AF210="손해조사비"),$P210,0),$P210*(1-AG210)*IFERROR(INDEX(계정대체기준!$D$20:$D$49,MATCH($N210,계정대체기준!$A$20:$A$49,0)),0)))</f>
        <v/>
      </c>
      <c r="AB210" s="94">
        <f>IF($A210="",0,IF(AE210="직접",IF(AF210="수금비",$P210,0),$P210*(1-AG210)*IFERROR(INDEX(계정대체기준!$E$20:$E$49,MATCH($N210,계정대체기준!$A$20:$A$49,0)),0)))</f>
        <v/>
      </c>
      <c r="AC210" s="9">
        <f>IF(AND($A210&lt;&gt;"",M210=설정!$C$20,Z210&gt;0),Z210+ROW()/1000000000,"")</f>
        <v/>
      </c>
      <c r="AD210" s="94">
        <f>IF($A210="",0,$P210*AG210)</f>
        <v/>
      </c>
      <c r="AE210" s="64">
        <f>IF($A210="","",IFERROR(INDEX(계정매핑!$E$5:$E$504,MATCH($F210&amp;"",계정매핑!$A$5:$A$504,0))&amp;"","공통비"))</f>
        <v/>
      </c>
      <c r="AF210" s="64">
        <f>IF($A210="","",IF(AE210="직접",IFERROR(INDEX(계정매핑!$F$5:$F$504,MATCH($F210&amp;"",계정매핑!$A$5:$A$504,0))&amp;"","비귀속"),""))</f>
        <v/>
      </c>
      <c r="AG210" s="96">
        <f>IF($A210="",0,IF(AND(AE210&lt;&gt;"직접",IFERROR(INDEX(계정매핑!$G$5:$G$504,MATCH($F210&amp;"",계정매핑!$A$5:$A$504,0))&amp;"","")="유지비",COUNTIF(계정대체기준!$A$6:$A$15,$N210)&gt;0),IFERROR(INDEX(계정대체기준!$E$6:$E$15,MATCH(VALUE($A210&amp;""),계정대체기준!$D$6:$D$15,0)),0),0))</f>
        <v/>
      </c>
      <c r="AH210" s="64">
        <f>IF($A210="","",IF(AD210=0,"",IF(OR(COUNTIF(계정대체기준!$A$77:$A$86,$N210)&gt;0,ISNUMBER(MATCH($X210,계정대체기준!$D$77:$D$86,0)),ISNUMBER(MATCH($F210,계정대체기준!$D$77:$D$86,0))),"Y","N")))</f>
        <v/>
      </c>
    </row>
    <row r="211">
      <c r="A211" s="92" t="n">
        <v>2025</v>
      </c>
      <c r="B211" s="92" t="n">
        <v>1</v>
      </c>
      <c r="C211" s="92" t="inlineStr">
        <is>
          <t>5100000207</t>
        </is>
      </c>
      <c r="D211" s="95" t="n">
        <v>45679</v>
      </c>
      <c r="E211" s="92" t="inlineStr">
        <is>
          <t>KR</t>
        </is>
      </c>
      <c r="F211" s="92" t="n">
        <v>62801000</v>
      </c>
      <c r="G211" s="92" t="n">
        <v>1301</v>
      </c>
      <c r="H211" s="93" t="n">
        <v>3241000</v>
      </c>
      <c r="I211" s="92" t="inlineStr">
        <is>
          <t>1월 사내교육 - (사내강사료)</t>
        </is>
      </c>
      <c r="J211" s="92" t="inlineStr">
        <is>
          <t>V10024</t>
        </is>
      </c>
      <c r="K211" s="92" t="inlineStr">
        <is>
          <t>(사내강사료)</t>
        </is>
      </c>
      <c r="M211" s="9">
        <f>IF($A211="","",VALUE($A211&amp;"")*12+VALUE($B211&amp;""))</f>
        <v/>
      </c>
      <c r="N211" s="64">
        <f>IF($A211="","",IFERROR(INDEX(부서매핑!$C$5:$C$504,MATCH($G211&amp;"",부서매핑!$A$5:$A$504,0)),"미매핑"))</f>
        <v/>
      </c>
      <c r="O211" s="9">
        <f>IF($A211="","",N211&amp;"|"&amp;$F211)</f>
        <v/>
      </c>
      <c r="P211" s="94">
        <f>IF($A211="",0,$H211*설정!$C$23)</f>
        <v/>
      </c>
      <c r="Q211" s="64">
        <f>IF($A211="","",IF(O211&lt;&gt;원인분석!$C$9,"",IF(AND(M211&gt;=원인분석!$C$10,M211&lt;=원인분석!$C$11),"당기",IF(AND(M211&gt;=원인분석!$C$12,M211&lt;=원인분석!$C$13),"비교",""))))</f>
        <v/>
      </c>
      <c r="R211" s="9">
        <f>IF(Q211="","",$K211&amp;"")</f>
        <v/>
      </c>
      <c r="S211" s="9">
        <f>IF(Q211="","",IF(MATCH(R211,$R$5:$R$100000,0)=ROW()-4,ROW(),""))</f>
        <v/>
      </c>
      <c r="T211" s="9">
        <f>IF(Q211="당기",ABS(P211)+ROW()/1000000000,"")</f>
        <v/>
      </c>
      <c r="U211" s="9">
        <f>IF(Q211="비교",ABS(P211)+ROW()/1000000000,"")</f>
        <v/>
      </c>
      <c r="V211" s="64">
        <f>IF($A211="","",IF(COUNTIF(변동분석!$E$7:$E$506,O211)&gt;0,"Y","N"))</f>
        <v/>
      </c>
      <c r="W211" s="64">
        <f>IF($A211="","",IFERROR(INDEX(계정매핑!$D$5:$D$504,MATCH($F211&amp;"",계정매핑!$A$5:$A$504,0)),"미매핑"))</f>
        <v/>
      </c>
      <c r="X211" s="9">
        <f>IF($A211="","",$F211&amp;"")</f>
        <v/>
      </c>
      <c r="Y211" s="94">
        <f>IF($A211="",0,IF(AE211="직접",IF(AF211="비귀속",$P211,0),$P211*(1-AG211)*IFERROR(INDEX(계정대체기준!$F$20:$F$49,MATCH($N211,계정대체기준!$A$20:$A$49,0)),1)))</f>
        <v/>
      </c>
      <c r="Z211" s="94">
        <f>IF($A211="",0,IF(AE211="직접",IF(AF211="신계약비",$P211,0),$P211*(1-AG211)*IFERROR(INDEX(계정대체기준!$C$20:$C$49,MATCH($N211,계정대체기준!$A$20:$A$49,0)),0)))</f>
        <v/>
      </c>
      <c r="AA211" s="94">
        <f>IF($A211="",0,IF(AE211="직접",IF(OR(AF211="유지비",AF211="손해조사비"),$P211,0),$P211*(1-AG211)*IFERROR(INDEX(계정대체기준!$D$20:$D$49,MATCH($N211,계정대체기준!$A$20:$A$49,0)),0)))</f>
        <v/>
      </c>
      <c r="AB211" s="94">
        <f>IF($A211="",0,IF(AE211="직접",IF(AF211="수금비",$P211,0),$P211*(1-AG211)*IFERROR(INDEX(계정대체기준!$E$20:$E$49,MATCH($N211,계정대체기준!$A$20:$A$49,0)),0)))</f>
        <v/>
      </c>
      <c r="AC211" s="9">
        <f>IF(AND($A211&lt;&gt;"",M211=설정!$C$20,Z211&gt;0),Z211+ROW()/1000000000,"")</f>
        <v/>
      </c>
      <c r="AD211" s="94">
        <f>IF($A211="",0,$P211*AG211)</f>
        <v/>
      </c>
      <c r="AE211" s="64">
        <f>IF($A211="","",IFERROR(INDEX(계정매핑!$E$5:$E$504,MATCH($F211&amp;"",계정매핑!$A$5:$A$504,0))&amp;"","공통비"))</f>
        <v/>
      </c>
      <c r="AF211" s="64">
        <f>IF($A211="","",IF(AE211="직접",IFERROR(INDEX(계정매핑!$F$5:$F$504,MATCH($F211&amp;"",계정매핑!$A$5:$A$504,0))&amp;"","비귀속"),""))</f>
        <v/>
      </c>
      <c r="AG211" s="96">
        <f>IF($A211="",0,IF(AND(AE211&lt;&gt;"직접",IFERROR(INDEX(계정매핑!$G$5:$G$504,MATCH($F211&amp;"",계정매핑!$A$5:$A$504,0))&amp;"","")="유지비",COUNTIF(계정대체기준!$A$6:$A$15,$N211)&gt;0),IFERROR(INDEX(계정대체기준!$E$6:$E$15,MATCH(VALUE($A211&amp;""),계정대체기준!$D$6:$D$15,0)),0),0))</f>
        <v/>
      </c>
      <c r="AH211" s="64">
        <f>IF($A211="","",IF(AD211=0,"",IF(OR(COUNTIF(계정대체기준!$A$77:$A$86,$N211)&gt;0,ISNUMBER(MATCH($X211,계정대체기준!$D$77:$D$86,0)),ISNUMBER(MATCH($F211,계정대체기준!$D$77:$D$86,0))),"Y","N")))</f>
        <v/>
      </c>
    </row>
    <row r="212">
      <c r="A212" s="92" t="n">
        <v>2025</v>
      </c>
      <c r="B212" s="92" t="n">
        <v>1</v>
      </c>
      <c r="C212" s="92" t="inlineStr">
        <is>
          <t>5100000208</t>
        </is>
      </c>
      <c r="D212" s="95" t="n">
        <v>45679</v>
      </c>
      <c r="E212" s="92" t="inlineStr">
        <is>
          <t>KR</t>
        </is>
      </c>
      <c r="F212" s="92" t="n">
        <v>62901000</v>
      </c>
      <c r="G212" s="92" t="n">
        <v>1801</v>
      </c>
      <c r="H212" s="93" t="n">
        <v>15098000</v>
      </c>
      <c r="I212" s="92" t="inlineStr">
        <is>
          <t>1월 자문 수수료 - K회계법인</t>
        </is>
      </c>
      <c r="J212" s="92" t="inlineStr">
        <is>
          <t>V10011</t>
        </is>
      </c>
      <c r="K212" s="92" t="inlineStr">
        <is>
          <t>K회계법인</t>
        </is>
      </c>
      <c r="M212" s="9">
        <f>IF($A212="","",VALUE($A212&amp;"")*12+VALUE($B212&amp;""))</f>
        <v/>
      </c>
      <c r="N212" s="64">
        <f>IF($A212="","",IFERROR(INDEX(부서매핑!$C$5:$C$504,MATCH($G212&amp;"",부서매핑!$A$5:$A$504,0)),"미매핑"))</f>
        <v/>
      </c>
      <c r="O212" s="9">
        <f>IF($A212="","",N212&amp;"|"&amp;$F212)</f>
        <v/>
      </c>
      <c r="P212" s="94">
        <f>IF($A212="",0,$H212*설정!$C$23)</f>
        <v/>
      </c>
      <c r="Q212" s="64">
        <f>IF($A212="","",IF(O212&lt;&gt;원인분석!$C$9,"",IF(AND(M212&gt;=원인분석!$C$10,M212&lt;=원인분석!$C$11),"당기",IF(AND(M212&gt;=원인분석!$C$12,M212&lt;=원인분석!$C$13),"비교",""))))</f>
        <v/>
      </c>
      <c r="R212" s="9">
        <f>IF(Q212="","",$K212&amp;"")</f>
        <v/>
      </c>
      <c r="S212" s="9">
        <f>IF(Q212="","",IF(MATCH(R212,$R$5:$R$100000,0)=ROW()-4,ROW(),""))</f>
        <v/>
      </c>
      <c r="T212" s="9">
        <f>IF(Q212="당기",ABS(P212)+ROW()/1000000000,"")</f>
        <v/>
      </c>
      <c r="U212" s="9">
        <f>IF(Q212="비교",ABS(P212)+ROW()/1000000000,"")</f>
        <v/>
      </c>
      <c r="V212" s="64">
        <f>IF($A212="","",IF(COUNTIF(변동분석!$E$7:$E$506,O212)&gt;0,"Y","N"))</f>
        <v/>
      </c>
      <c r="W212" s="64">
        <f>IF($A212="","",IFERROR(INDEX(계정매핑!$D$5:$D$504,MATCH($F212&amp;"",계정매핑!$A$5:$A$504,0)),"미매핑"))</f>
        <v/>
      </c>
      <c r="X212" s="9">
        <f>IF($A212="","",$F212&amp;"")</f>
        <v/>
      </c>
      <c r="Y212" s="94">
        <f>IF($A212="",0,IF(AE212="직접",IF(AF212="비귀속",$P212,0),$P212*(1-AG212)*IFERROR(INDEX(계정대체기준!$F$20:$F$49,MATCH($N212,계정대체기준!$A$20:$A$49,0)),1)))</f>
        <v/>
      </c>
      <c r="Z212" s="94">
        <f>IF($A212="",0,IF(AE212="직접",IF(AF212="신계약비",$P212,0),$P212*(1-AG212)*IFERROR(INDEX(계정대체기준!$C$20:$C$49,MATCH($N212,계정대체기준!$A$20:$A$49,0)),0)))</f>
        <v/>
      </c>
      <c r="AA212" s="94">
        <f>IF($A212="",0,IF(AE212="직접",IF(OR(AF212="유지비",AF212="손해조사비"),$P212,0),$P212*(1-AG212)*IFERROR(INDEX(계정대체기준!$D$20:$D$49,MATCH($N212,계정대체기준!$A$20:$A$49,0)),0)))</f>
        <v/>
      </c>
      <c r="AB212" s="94">
        <f>IF($A212="",0,IF(AE212="직접",IF(AF212="수금비",$P212,0),$P212*(1-AG212)*IFERROR(INDEX(계정대체기준!$E$20:$E$49,MATCH($N212,계정대체기준!$A$20:$A$49,0)),0)))</f>
        <v/>
      </c>
      <c r="AC212" s="9">
        <f>IF(AND($A212&lt;&gt;"",M212=설정!$C$20,Z212&gt;0),Z212+ROW()/1000000000,"")</f>
        <v/>
      </c>
      <c r="AD212" s="94">
        <f>IF($A212="",0,$P212*AG212)</f>
        <v/>
      </c>
      <c r="AE212" s="64">
        <f>IF($A212="","",IFERROR(INDEX(계정매핑!$E$5:$E$504,MATCH($F212&amp;"",계정매핑!$A$5:$A$504,0))&amp;"","공통비"))</f>
        <v/>
      </c>
      <c r="AF212" s="64">
        <f>IF($A212="","",IF(AE212="직접",IFERROR(INDEX(계정매핑!$F$5:$F$504,MATCH($F212&amp;"",계정매핑!$A$5:$A$504,0))&amp;"","비귀속"),""))</f>
        <v/>
      </c>
      <c r="AG212" s="96">
        <f>IF($A212="",0,IF(AND(AE212&lt;&gt;"직접",IFERROR(INDEX(계정매핑!$G$5:$G$504,MATCH($F212&amp;"",계정매핑!$A$5:$A$504,0))&amp;"","")="유지비",COUNTIF(계정대체기준!$A$6:$A$15,$N212)&gt;0),IFERROR(INDEX(계정대체기준!$E$6:$E$15,MATCH(VALUE($A212&amp;""),계정대체기준!$D$6:$D$15,0)),0),0))</f>
        <v/>
      </c>
      <c r="AH212" s="64">
        <f>IF($A212="","",IF(AD212=0,"",IF(OR(COUNTIF(계정대체기준!$A$77:$A$86,$N212)&gt;0,ISNUMBER(MATCH($X212,계정대체기준!$D$77:$D$86,0)),ISNUMBER(MATCH($F212,계정대체기준!$D$77:$D$86,0))),"Y","N")))</f>
        <v/>
      </c>
    </row>
    <row r="213">
      <c r="A213" s="92" t="n">
        <v>2025</v>
      </c>
      <c r="B213" s="92" t="n">
        <v>1</v>
      </c>
      <c r="C213" s="92" t="inlineStr">
        <is>
          <t>5100000209</t>
        </is>
      </c>
      <c r="D213" s="95" t="n">
        <v>45679</v>
      </c>
      <c r="E213" s="92" t="inlineStr">
        <is>
          <t>KR</t>
        </is>
      </c>
      <c r="F213" s="92" t="n">
        <v>62902000</v>
      </c>
      <c r="G213" s="92" t="n">
        <v>1951</v>
      </c>
      <c r="H213" s="93" t="n">
        <v>1742000</v>
      </c>
      <c r="I213" s="92" t="inlineStr">
        <is>
          <t>1월 업무 위탁 수수료 - J콜센터</t>
        </is>
      </c>
      <c r="J213" s="92" t="inlineStr">
        <is>
          <t>V10016</t>
        </is>
      </c>
      <c r="K213" s="92" t="inlineStr">
        <is>
          <t>J콜센터</t>
        </is>
      </c>
      <c r="M213" s="9">
        <f>IF($A213="","",VALUE($A213&amp;"")*12+VALUE($B213&amp;""))</f>
        <v/>
      </c>
      <c r="N213" s="64">
        <f>IF($A213="","",IFERROR(INDEX(부서매핑!$C$5:$C$504,MATCH($G213&amp;"",부서매핑!$A$5:$A$504,0)),"미매핑"))</f>
        <v/>
      </c>
      <c r="O213" s="9">
        <f>IF($A213="","",N213&amp;"|"&amp;$F213)</f>
        <v/>
      </c>
      <c r="P213" s="94">
        <f>IF($A213="",0,$H213*설정!$C$23)</f>
        <v/>
      </c>
      <c r="Q213" s="64">
        <f>IF($A213="","",IF(O213&lt;&gt;원인분석!$C$9,"",IF(AND(M213&gt;=원인분석!$C$10,M213&lt;=원인분석!$C$11),"당기",IF(AND(M213&gt;=원인분석!$C$12,M213&lt;=원인분석!$C$13),"비교",""))))</f>
        <v/>
      </c>
      <c r="R213" s="9">
        <f>IF(Q213="","",$K213&amp;"")</f>
        <v/>
      </c>
      <c r="S213" s="9">
        <f>IF(Q213="","",IF(MATCH(R213,$R$5:$R$100000,0)=ROW()-4,ROW(),""))</f>
        <v/>
      </c>
      <c r="T213" s="9">
        <f>IF(Q213="당기",ABS(P213)+ROW()/1000000000,"")</f>
        <v/>
      </c>
      <c r="U213" s="9">
        <f>IF(Q213="비교",ABS(P213)+ROW()/1000000000,"")</f>
        <v/>
      </c>
      <c r="V213" s="64">
        <f>IF($A213="","",IF(COUNTIF(변동분석!$E$7:$E$506,O213)&gt;0,"Y","N"))</f>
        <v/>
      </c>
      <c r="W213" s="64">
        <f>IF($A213="","",IFERROR(INDEX(계정매핑!$D$5:$D$504,MATCH($F213&amp;"",계정매핑!$A$5:$A$504,0)),"미매핑"))</f>
        <v/>
      </c>
      <c r="X213" s="9">
        <f>IF($A213="","",$F213&amp;"")</f>
        <v/>
      </c>
      <c r="Y213" s="94">
        <f>IF($A213="",0,IF(AE213="직접",IF(AF213="비귀속",$P213,0),$P213*(1-AG213)*IFERROR(INDEX(계정대체기준!$F$20:$F$49,MATCH($N213,계정대체기준!$A$20:$A$49,0)),1)))</f>
        <v/>
      </c>
      <c r="Z213" s="94">
        <f>IF($A213="",0,IF(AE213="직접",IF(AF213="신계약비",$P213,0),$P213*(1-AG213)*IFERROR(INDEX(계정대체기준!$C$20:$C$49,MATCH($N213,계정대체기준!$A$20:$A$49,0)),0)))</f>
        <v/>
      </c>
      <c r="AA213" s="94">
        <f>IF($A213="",0,IF(AE213="직접",IF(OR(AF213="유지비",AF213="손해조사비"),$P213,0),$P213*(1-AG213)*IFERROR(INDEX(계정대체기준!$D$20:$D$49,MATCH($N213,계정대체기준!$A$20:$A$49,0)),0)))</f>
        <v/>
      </c>
      <c r="AB213" s="94">
        <f>IF($A213="",0,IF(AE213="직접",IF(AF213="수금비",$P213,0),$P213*(1-AG213)*IFERROR(INDEX(계정대체기준!$E$20:$E$49,MATCH($N213,계정대체기준!$A$20:$A$49,0)),0)))</f>
        <v/>
      </c>
      <c r="AC213" s="9">
        <f>IF(AND($A213&lt;&gt;"",M213=설정!$C$20,Z213&gt;0),Z213+ROW()/1000000000,"")</f>
        <v/>
      </c>
      <c r="AD213" s="94">
        <f>IF($A213="",0,$P213*AG213)</f>
        <v/>
      </c>
      <c r="AE213" s="64">
        <f>IF($A213="","",IFERROR(INDEX(계정매핑!$E$5:$E$504,MATCH($F213&amp;"",계정매핑!$A$5:$A$504,0))&amp;"","공통비"))</f>
        <v/>
      </c>
      <c r="AF213" s="64">
        <f>IF($A213="","",IF(AE213="직접",IFERROR(INDEX(계정매핑!$F$5:$F$504,MATCH($F213&amp;"",계정매핑!$A$5:$A$504,0))&amp;"","비귀속"),""))</f>
        <v/>
      </c>
      <c r="AG213" s="96">
        <f>IF($A213="",0,IF(AND(AE213&lt;&gt;"직접",IFERROR(INDEX(계정매핑!$G$5:$G$504,MATCH($F213&amp;"",계정매핑!$A$5:$A$504,0))&amp;"","")="유지비",COUNTIF(계정대체기준!$A$6:$A$15,$N213)&gt;0),IFERROR(INDEX(계정대체기준!$E$6:$E$15,MATCH(VALUE($A213&amp;""),계정대체기준!$D$6:$D$15,0)),0),0))</f>
        <v/>
      </c>
      <c r="AH213" s="64">
        <f>IF($A213="","",IF(AD213=0,"",IF(OR(COUNTIF(계정대체기준!$A$77:$A$86,$N213)&gt;0,ISNUMBER(MATCH($X213,계정대체기준!$D$77:$D$86,0)),ISNUMBER(MATCH($F213,계정대체기준!$D$77:$D$86,0))),"Y","N")))</f>
        <v/>
      </c>
    </row>
    <row r="214">
      <c r="A214" s="92" t="n">
        <v>2025</v>
      </c>
      <c r="B214" s="92" t="n">
        <v>1</v>
      </c>
      <c r="C214" s="92" t="inlineStr">
        <is>
          <t>5100000210</t>
        </is>
      </c>
      <c r="D214" s="95" t="n">
        <v>45680</v>
      </c>
      <c r="E214" s="92" t="inlineStr">
        <is>
          <t>KR</t>
        </is>
      </c>
      <c r="F214" s="92" t="n">
        <v>62102000</v>
      </c>
      <c r="G214" s="92" t="n">
        <v>1201</v>
      </c>
      <c r="H214" s="93" t="n">
        <v>51000</v>
      </c>
      <c r="I214" s="92" t="inlineStr">
        <is>
          <t>1월 해외출장 - N호텔</t>
        </is>
      </c>
      <c r="J214" s="92" t="inlineStr">
        <is>
          <t>V10009</t>
        </is>
      </c>
      <c r="K214" s="92" t="inlineStr">
        <is>
          <t>N호텔</t>
        </is>
      </c>
      <c r="M214" s="9">
        <f>IF($A214="","",VALUE($A214&amp;"")*12+VALUE($B214&amp;""))</f>
        <v/>
      </c>
      <c r="N214" s="64">
        <f>IF($A214="","",IFERROR(INDEX(부서매핑!$C$5:$C$504,MATCH($G214&amp;"",부서매핑!$A$5:$A$504,0)),"미매핑"))</f>
        <v/>
      </c>
      <c r="O214" s="9">
        <f>IF($A214="","",N214&amp;"|"&amp;$F214)</f>
        <v/>
      </c>
      <c r="P214" s="94">
        <f>IF($A214="",0,$H214*설정!$C$23)</f>
        <v/>
      </c>
      <c r="Q214" s="64">
        <f>IF($A214="","",IF(O214&lt;&gt;원인분석!$C$9,"",IF(AND(M214&gt;=원인분석!$C$10,M214&lt;=원인분석!$C$11),"당기",IF(AND(M214&gt;=원인분석!$C$12,M214&lt;=원인분석!$C$13),"비교",""))))</f>
        <v/>
      </c>
      <c r="R214" s="9">
        <f>IF(Q214="","",$K214&amp;"")</f>
        <v/>
      </c>
      <c r="S214" s="9">
        <f>IF(Q214="","",IF(MATCH(R214,$R$5:$R$100000,0)=ROW()-4,ROW(),""))</f>
        <v/>
      </c>
      <c r="T214" s="9">
        <f>IF(Q214="당기",ABS(P214)+ROW()/1000000000,"")</f>
        <v/>
      </c>
      <c r="U214" s="9">
        <f>IF(Q214="비교",ABS(P214)+ROW()/1000000000,"")</f>
        <v/>
      </c>
      <c r="V214" s="64">
        <f>IF($A214="","",IF(COUNTIF(변동분석!$E$7:$E$506,O214)&gt;0,"Y","N"))</f>
        <v/>
      </c>
      <c r="W214" s="64">
        <f>IF($A214="","",IFERROR(INDEX(계정매핑!$D$5:$D$504,MATCH($F214&amp;"",계정매핑!$A$5:$A$504,0)),"미매핑"))</f>
        <v/>
      </c>
      <c r="X214" s="9">
        <f>IF($A214="","",$F214&amp;"")</f>
        <v/>
      </c>
      <c r="Y214" s="94">
        <f>IF($A214="",0,IF(AE214="직접",IF(AF214="비귀속",$P214,0),$P214*(1-AG214)*IFERROR(INDEX(계정대체기준!$F$20:$F$49,MATCH($N214,계정대체기준!$A$20:$A$49,0)),1)))</f>
        <v/>
      </c>
      <c r="Z214" s="94">
        <f>IF($A214="",0,IF(AE214="직접",IF(AF214="신계약비",$P214,0),$P214*(1-AG214)*IFERROR(INDEX(계정대체기준!$C$20:$C$49,MATCH($N214,계정대체기준!$A$20:$A$49,0)),0)))</f>
        <v/>
      </c>
      <c r="AA214" s="94">
        <f>IF($A214="",0,IF(AE214="직접",IF(OR(AF214="유지비",AF214="손해조사비"),$P214,0),$P214*(1-AG214)*IFERROR(INDEX(계정대체기준!$D$20:$D$49,MATCH($N214,계정대체기준!$A$20:$A$49,0)),0)))</f>
        <v/>
      </c>
      <c r="AB214" s="94">
        <f>IF($A214="",0,IF(AE214="직접",IF(AF214="수금비",$P214,0),$P214*(1-AG214)*IFERROR(INDEX(계정대체기준!$E$20:$E$49,MATCH($N214,계정대체기준!$A$20:$A$49,0)),0)))</f>
        <v/>
      </c>
      <c r="AC214" s="9">
        <f>IF(AND($A214&lt;&gt;"",M214=설정!$C$20,Z214&gt;0),Z214+ROW()/1000000000,"")</f>
        <v/>
      </c>
      <c r="AD214" s="94">
        <f>IF($A214="",0,$P214*AG214)</f>
        <v/>
      </c>
      <c r="AE214" s="64">
        <f>IF($A214="","",IFERROR(INDEX(계정매핑!$E$5:$E$504,MATCH($F214&amp;"",계정매핑!$A$5:$A$504,0))&amp;"","공통비"))</f>
        <v/>
      </c>
      <c r="AF214" s="64">
        <f>IF($A214="","",IF(AE214="직접",IFERROR(INDEX(계정매핑!$F$5:$F$504,MATCH($F214&amp;"",계정매핑!$A$5:$A$504,0))&amp;"","비귀속"),""))</f>
        <v/>
      </c>
      <c r="AG214" s="96">
        <f>IF($A214="",0,IF(AND(AE214&lt;&gt;"직접",IFERROR(INDEX(계정매핑!$G$5:$G$504,MATCH($F214&amp;"",계정매핑!$A$5:$A$504,0))&amp;"","")="유지비",COUNTIF(계정대체기준!$A$6:$A$15,$N214)&gt;0),IFERROR(INDEX(계정대체기준!$E$6:$E$15,MATCH(VALUE($A214&amp;""),계정대체기준!$D$6:$D$15,0)),0),0))</f>
        <v/>
      </c>
      <c r="AH214" s="64">
        <f>IF($A214="","",IF(AD214=0,"",IF(OR(COUNTIF(계정대체기준!$A$77:$A$86,$N214)&gt;0,ISNUMBER(MATCH($X214,계정대체기준!$D$77:$D$86,0)),ISNUMBER(MATCH($F214,계정대체기준!$D$77:$D$86,0))),"Y","N")))</f>
        <v/>
      </c>
    </row>
    <row r="215">
      <c r="A215" s="92" t="n">
        <v>2025</v>
      </c>
      <c r="B215" s="92" t="n">
        <v>1</v>
      </c>
      <c r="C215" s="92" t="inlineStr">
        <is>
          <t>5100000211</t>
        </is>
      </c>
      <c r="D215" s="95" t="n">
        <v>45680</v>
      </c>
      <c r="E215" s="92" t="inlineStr">
        <is>
          <t>KR</t>
        </is>
      </c>
      <c r="F215" s="92" t="n">
        <v>62201000</v>
      </c>
      <c r="G215" s="92" t="n">
        <v>1201</v>
      </c>
      <c r="H215" s="93" t="n">
        <v>105000</v>
      </c>
      <c r="I215" s="92" t="inlineStr">
        <is>
          <t>1월 통신요금 - O텔레콤</t>
        </is>
      </c>
      <c r="J215" s="92" t="inlineStr">
        <is>
          <t>V10002</t>
        </is>
      </c>
      <c r="K215" s="92" t="inlineStr">
        <is>
          <t>O텔레콤</t>
        </is>
      </c>
      <c r="M215" s="9">
        <f>IF($A215="","",VALUE($A215&amp;"")*12+VALUE($B215&amp;""))</f>
        <v/>
      </c>
      <c r="N215" s="64">
        <f>IF($A215="","",IFERROR(INDEX(부서매핑!$C$5:$C$504,MATCH($G215&amp;"",부서매핑!$A$5:$A$504,0)),"미매핑"))</f>
        <v/>
      </c>
      <c r="O215" s="9">
        <f>IF($A215="","",N215&amp;"|"&amp;$F215)</f>
        <v/>
      </c>
      <c r="P215" s="94">
        <f>IF($A215="",0,$H215*설정!$C$23)</f>
        <v/>
      </c>
      <c r="Q215" s="64">
        <f>IF($A215="","",IF(O215&lt;&gt;원인분석!$C$9,"",IF(AND(M215&gt;=원인분석!$C$10,M215&lt;=원인분석!$C$11),"당기",IF(AND(M215&gt;=원인분석!$C$12,M215&lt;=원인분석!$C$13),"비교",""))))</f>
        <v/>
      </c>
      <c r="R215" s="9">
        <f>IF(Q215="","",$K215&amp;"")</f>
        <v/>
      </c>
      <c r="S215" s="9">
        <f>IF(Q215="","",IF(MATCH(R215,$R$5:$R$100000,0)=ROW()-4,ROW(),""))</f>
        <v/>
      </c>
      <c r="T215" s="9">
        <f>IF(Q215="당기",ABS(P215)+ROW()/1000000000,"")</f>
        <v/>
      </c>
      <c r="U215" s="9">
        <f>IF(Q215="비교",ABS(P215)+ROW()/1000000000,"")</f>
        <v/>
      </c>
      <c r="V215" s="64">
        <f>IF($A215="","",IF(COUNTIF(변동분석!$E$7:$E$506,O215)&gt;0,"Y","N"))</f>
        <v/>
      </c>
      <c r="W215" s="64">
        <f>IF($A215="","",IFERROR(INDEX(계정매핑!$D$5:$D$504,MATCH($F215&amp;"",계정매핑!$A$5:$A$504,0)),"미매핑"))</f>
        <v/>
      </c>
      <c r="X215" s="9">
        <f>IF($A215="","",$F215&amp;"")</f>
        <v/>
      </c>
      <c r="Y215" s="94">
        <f>IF($A215="",0,IF(AE215="직접",IF(AF215="비귀속",$P215,0),$P215*(1-AG215)*IFERROR(INDEX(계정대체기준!$F$20:$F$49,MATCH($N215,계정대체기준!$A$20:$A$49,0)),1)))</f>
        <v/>
      </c>
      <c r="Z215" s="94">
        <f>IF($A215="",0,IF(AE215="직접",IF(AF215="신계약비",$P215,0),$P215*(1-AG215)*IFERROR(INDEX(계정대체기준!$C$20:$C$49,MATCH($N215,계정대체기준!$A$20:$A$49,0)),0)))</f>
        <v/>
      </c>
      <c r="AA215" s="94">
        <f>IF($A215="",0,IF(AE215="직접",IF(OR(AF215="유지비",AF215="손해조사비"),$P215,0),$P215*(1-AG215)*IFERROR(INDEX(계정대체기준!$D$20:$D$49,MATCH($N215,계정대체기준!$A$20:$A$49,0)),0)))</f>
        <v/>
      </c>
      <c r="AB215" s="94">
        <f>IF($A215="",0,IF(AE215="직접",IF(AF215="수금비",$P215,0),$P215*(1-AG215)*IFERROR(INDEX(계정대체기준!$E$20:$E$49,MATCH($N215,계정대체기준!$A$20:$A$49,0)),0)))</f>
        <v/>
      </c>
      <c r="AC215" s="9">
        <f>IF(AND($A215&lt;&gt;"",M215=설정!$C$20,Z215&gt;0),Z215+ROW()/1000000000,"")</f>
        <v/>
      </c>
      <c r="AD215" s="94">
        <f>IF($A215="",0,$P215*AG215)</f>
        <v/>
      </c>
      <c r="AE215" s="64">
        <f>IF($A215="","",IFERROR(INDEX(계정매핑!$E$5:$E$504,MATCH($F215&amp;"",계정매핑!$A$5:$A$504,0))&amp;"","공통비"))</f>
        <v/>
      </c>
      <c r="AF215" s="64">
        <f>IF($A215="","",IF(AE215="직접",IFERROR(INDEX(계정매핑!$F$5:$F$504,MATCH($F215&amp;"",계정매핑!$A$5:$A$504,0))&amp;"","비귀속"),""))</f>
        <v/>
      </c>
      <c r="AG215" s="96">
        <f>IF($A215="",0,IF(AND(AE215&lt;&gt;"직접",IFERROR(INDEX(계정매핑!$G$5:$G$504,MATCH($F215&amp;"",계정매핑!$A$5:$A$504,0))&amp;"","")="유지비",COUNTIF(계정대체기준!$A$6:$A$15,$N215)&gt;0),IFERROR(INDEX(계정대체기준!$E$6:$E$15,MATCH(VALUE($A215&amp;""),계정대체기준!$D$6:$D$15,0)),0),0))</f>
        <v/>
      </c>
      <c r="AH215" s="64">
        <f>IF($A215="","",IF(AD215=0,"",IF(OR(COUNTIF(계정대체기준!$A$77:$A$86,$N215)&gt;0,ISNUMBER(MATCH($X215,계정대체기준!$D$77:$D$86,0)),ISNUMBER(MATCH($F215,계정대체기준!$D$77:$D$86,0))),"Y","N")))</f>
        <v/>
      </c>
    </row>
    <row r="216">
      <c r="A216" s="92" t="n">
        <v>2025</v>
      </c>
      <c r="B216" s="92" t="n">
        <v>1</v>
      </c>
      <c r="C216" s="92" t="inlineStr">
        <is>
          <t>5100000212</t>
        </is>
      </c>
      <c r="D216" s="95" t="n">
        <v>45680</v>
      </c>
      <c r="E216" s="92" t="inlineStr">
        <is>
          <t>KR</t>
        </is>
      </c>
      <c r="F216" s="92" t="n">
        <v>62301000</v>
      </c>
      <c r="G216" s="92" t="n">
        <v>1502</v>
      </c>
      <c r="H216" s="93" t="n">
        <v>349000</v>
      </c>
      <c r="I216" s="92" t="inlineStr">
        <is>
          <t>1월 소모품 구입 - Q오피스</t>
        </is>
      </c>
      <c r="J216" s="92" t="inlineStr">
        <is>
          <t>V10003</t>
        </is>
      </c>
      <c r="K216" s="92" t="inlineStr">
        <is>
          <t>Q오피스</t>
        </is>
      </c>
      <c r="M216" s="9">
        <f>IF($A216="","",VALUE($A216&amp;"")*12+VALUE($B216&amp;""))</f>
        <v/>
      </c>
      <c r="N216" s="64">
        <f>IF($A216="","",IFERROR(INDEX(부서매핑!$C$5:$C$504,MATCH($G216&amp;"",부서매핑!$A$5:$A$504,0)),"미매핑"))</f>
        <v/>
      </c>
      <c r="O216" s="9">
        <f>IF($A216="","",N216&amp;"|"&amp;$F216)</f>
        <v/>
      </c>
      <c r="P216" s="94">
        <f>IF($A216="",0,$H216*설정!$C$23)</f>
        <v/>
      </c>
      <c r="Q216" s="64">
        <f>IF($A216="","",IF(O216&lt;&gt;원인분석!$C$9,"",IF(AND(M216&gt;=원인분석!$C$10,M216&lt;=원인분석!$C$11),"당기",IF(AND(M216&gt;=원인분석!$C$12,M216&lt;=원인분석!$C$13),"비교",""))))</f>
        <v/>
      </c>
      <c r="R216" s="9">
        <f>IF(Q216="","",$K216&amp;"")</f>
        <v/>
      </c>
      <c r="S216" s="9">
        <f>IF(Q216="","",IF(MATCH(R216,$R$5:$R$100000,0)=ROW()-4,ROW(),""))</f>
        <v/>
      </c>
      <c r="T216" s="9">
        <f>IF(Q216="당기",ABS(P216)+ROW()/1000000000,"")</f>
        <v/>
      </c>
      <c r="U216" s="9">
        <f>IF(Q216="비교",ABS(P216)+ROW()/1000000000,"")</f>
        <v/>
      </c>
      <c r="V216" s="64">
        <f>IF($A216="","",IF(COUNTIF(변동분석!$E$7:$E$506,O216)&gt;0,"Y","N"))</f>
        <v/>
      </c>
      <c r="W216" s="64">
        <f>IF($A216="","",IFERROR(INDEX(계정매핑!$D$5:$D$504,MATCH($F216&amp;"",계정매핑!$A$5:$A$504,0)),"미매핑"))</f>
        <v/>
      </c>
      <c r="X216" s="9">
        <f>IF($A216="","",$F216&amp;"")</f>
        <v/>
      </c>
      <c r="Y216" s="94">
        <f>IF($A216="",0,IF(AE216="직접",IF(AF216="비귀속",$P216,0),$P216*(1-AG216)*IFERROR(INDEX(계정대체기준!$F$20:$F$49,MATCH($N216,계정대체기준!$A$20:$A$49,0)),1)))</f>
        <v/>
      </c>
      <c r="Z216" s="94">
        <f>IF($A216="",0,IF(AE216="직접",IF(AF216="신계약비",$P216,0),$P216*(1-AG216)*IFERROR(INDEX(계정대체기준!$C$20:$C$49,MATCH($N216,계정대체기준!$A$20:$A$49,0)),0)))</f>
        <v/>
      </c>
      <c r="AA216" s="94">
        <f>IF($A216="",0,IF(AE216="직접",IF(OR(AF216="유지비",AF216="손해조사비"),$P216,0),$P216*(1-AG216)*IFERROR(INDEX(계정대체기준!$D$20:$D$49,MATCH($N216,계정대체기준!$A$20:$A$49,0)),0)))</f>
        <v/>
      </c>
      <c r="AB216" s="94">
        <f>IF($A216="",0,IF(AE216="직접",IF(AF216="수금비",$P216,0),$P216*(1-AG216)*IFERROR(INDEX(계정대체기준!$E$20:$E$49,MATCH($N216,계정대체기준!$A$20:$A$49,0)),0)))</f>
        <v/>
      </c>
      <c r="AC216" s="9">
        <f>IF(AND($A216&lt;&gt;"",M216=설정!$C$20,Z216&gt;0),Z216+ROW()/1000000000,"")</f>
        <v/>
      </c>
      <c r="AD216" s="94">
        <f>IF($A216="",0,$P216*AG216)</f>
        <v/>
      </c>
      <c r="AE216" s="64">
        <f>IF($A216="","",IFERROR(INDEX(계정매핑!$E$5:$E$504,MATCH($F216&amp;"",계정매핑!$A$5:$A$504,0))&amp;"","공통비"))</f>
        <v/>
      </c>
      <c r="AF216" s="64">
        <f>IF($A216="","",IF(AE216="직접",IFERROR(INDEX(계정매핑!$F$5:$F$504,MATCH($F216&amp;"",계정매핑!$A$5:$A$504,0))&amp;"","비귀속"),""))</f>
        <v/>
      </c>
      <c r="AG216" s="96">
        <f>IF($A216="",0,IF(AND(AE216&lt;&gt;"직접",IFERROR(INDEX(계정매핑!$G$5:$G$504,MATCH($F216&amp;"",계정매핑!$A$5:$A$504,0))&amp;"","")="유지비",COUNTIF(계정대체기준!$A$6:$A$15,$N216)&gt;0),IFERROR(INDEX(계정대체기준!$E$6:$E$15,MATCH(VALUE($A216&amp;""),계정대체기준!$D$6:$D$15,0)),0),0))</f>
        <v/>
      </c>
      <c r="AH216" s="64">
        <f>IF($A216="","",IF(AD216=0,"",IF(OR(COUNTIF(계정대체기준!$A$77:$A$86,$N216)&gt;0,ISNUMBER(MATCH($X216,계정대체기준!$D$77:$D$86,0)),ISNUMBER(MATCH($F216,계정대체기준!$D$77:$D$86,0))),"Y","N")))</f>
        <v/>
      </c>
    </row>
    <row r="217">
      <c r="A217" s="92" t="n">
        <v>2025</v>
      </c>
      <c r="B217" s="92" t="n">
        <v>1</v>
      </c>
      <c r="C217" s="92" t="inlineStr">
        <is>
          <t>5100000213</t>
        </is>
      </c>
      <c r="D217" s="95" t="n">
        <v>45680</v>
      </c>
      <c r="E217" s="92" t="inlineStr">
        <is>
          <t>KR</t>
        </is>
      </c>
      <c r="F217" s="92" t="n">
        <v>62501000</v>
      </c>
      <c r="G217" s="92" t="n">
        <v>1101</v>
      </c>
      <c r="H217" s="93" t="n">
        <v>261000</v>
      </c>
      <c r="I217" s="92" t="inlineStr">
        <is>
          <t>1월 회의 다과 - T케이터링</t>
        </is>
      </c>
      <c r="J217" s="92" t="inlineStr">
        <is>
          <t>V10005</t>
        </is>
      </c>
      <c r="K217" s="92" t="inlineStr">
        <is>
          <t>T케이터링</t>
        </is>
      </c>
      <c r="M217" s="9">
        <f>IF($A217="","",VALUE($A217&amp;"")*12+VALUE($B217&amp;""))</f>
        <v/>
      </c>
      <c r="N217" s="64">
        <f>IF($A217="","",IFERROR(INDEX(부서매핑!$C$5:$C$504,MATCH($G217&amp;"",부서매핑!$A$5:$A$504,0)),"미매핑"))</f>
        <v/>
      </c>
      <c r="O217" s="9">
        <f>IF($A217="","",N217&amp;"|"&amp;$F217)</f>
        <v/>
      </c>
      <c r="P217" s="94">
        <f>IF($A217="",0,$H217*설정!$C$23)</f>
        <v/>
      </c>
      <c r="Q217" s="64">
        <f>IF($A217="","",IF(O217&lt;&gt;원인분석!$C$9,"",IF(AND(M217&gt;=원인분석!$C$10,M217&lt;=원인분석!$C$11),"당기",IF(AND(M217&gt;=원인분석!$C$12,M217&lt;=원인분석!$C$13),"비교",""))))</f>
        <v/>
      </c>
      <c r="R217" s="9">
        <f>IF(Q217="","",$K217&amp;"")</f>
        <v/>
      </c>
      <c r="S217" s="9">
        <f>IF(Q217="","",IF(MATCH(R217,$R$5:$R$100000,0)=ROW()-4,ROW(),""))</f>
        <v/>
      </c>
      <c r="T217" s="9">
        <f>IF(Q217="당기",ABS(P217)+ROW()/1000000000,"")</f>
        <v/>
      </c>
      <c r="U217" s="9">
        <f>IF(Q217="비교",ABS(P217)+ROW()/1000000000,"")</f>
        <v/>
      </c>
      <c r="V217" s="64">
        <f>IF($A217="","",IF(COUNTIF(변동분석!$E$7:$E$506,O217)&gt;0,"Y","N"))</f>
        <v/>
      </c>
      <c r="W217" s="64">
        <f>IF($A217="","",IFERROR(INDEX(계정매핑!$D$5:$D$504,MATCH($F217&amp;"",계정매핑!$A$5:$A$504,0)),"미매핑"))</f>
        <v/>
      </c>
      <c r="X217" s="9">
        <f>IF($A217="","",$F217&amp;"")</f>
        <v/>
      </c>
      <c r="Y217" s="94">
        <f>IF($A217="",0,IF(AE217="직접",IF(AF217="비귀속",$P217,0),$P217*(1-AG217)*IFERROR(INDEX(계정대체기준!$F$20:$F$49,MATCH($N217,계정대체기준!$A$20:$A$49,0)),1)))</f>
        <v/>
      </c>
      <c r="Z217" s="94">
        <f>IF($A217="",0,IF(AE217="직접",IF(AF217="신계약비",$P217,0),$P217*(1-AG217)*IFERROR(INDEX(계정대체기준!$C$20:$C$49,MATCH($N217,계정대체기준!$A$20:$A$49,0)),0)))</f>
        <v/>
      </c>
      <c r="AA217" s="94">
        <f>IF($A217="",0,IF(AE217="직접",IF(OR(AF217="유지비",AF217="손해조사비"),$P217,0),$P217*(1-AG217)*IFERROR(INDEX(계정대체기준!$D$20:$D$49,MATCH($N217,계정대체기준!$A$20:$A$49,0)),0)))</f>
        <v/>
      </c>
      <c r="AB217" s="94">
        <f>IF($A217="",0,IF(AE217="직접",IF(AF217="수금비",$P217,0),$P217*(1-AG217)*IFERROR(INDEX(계정대체기준!$E$20:$E$49,MATCH($N217,계정대체기준!$A$20:$A$49,0)),0)))</f>
        <v/>
      </c>
      <c r="AC217" s="9">
        <f>IF(AND($A217&lt;&gt;"",M217=설정!$C$20,Z217&gt;0),Z217+ROW()/1000000000,"")</f>
        <v/>
      </c>
      <c r="AD217" s="94">
        <f>IF($A217="",0,$P217*AG217)</f>
        <v/>
      </c>
      <c r="AE217" s="64">
        <f>IF($A217="","",IFERROR(INDEX(계정매핑!$E$5:$E$504,MATCH($F217&amp;"",계정매핑!$A$5:$A$504,0))&amp;"","공통비"))</f>
        <v/>
      </c>
      <c r="AF217" s="64">
        <f>IF($A217="","",IF(AE217="직접",IFERROR(INDEX(계정매핑!$F$5:$F$504,MATCH($F217&amp;"",계정매핑!$A$5:$A$504,0))&amp;"","비귀속"),""))</f>
        <v/>
      </c>
      <c r="AG217" s="96">
        <f>IF($A217="",0,IF(AND(AE217&lt;&gt;"직접",IFERROR(INDEX(계정매핑!$G$5:$G$504,MATCH($F217&amp;"",계정매핑!$A$5:$A$504,0))&amp;"","")="유지비",COUNTIF(계정대체기준!$A$6:$A$15,$N217)&gt;0),IFERROR(INDEX(계정대체기준!$E$6:$E$15,MATCH(VALUE($A217&amp;""),계정대체기준!$D$6:$D$15,0)),0),0))</f>
        <v/>
      </c>
      <c r="AH217" s="64">
        <f>IF($A217="","",IF(AD217=0,"",IF(OR(COUNTIF(계정대체기준!$A$77:$A$86,$N217)&gt;0,ISNUMBER(MATCH($X217,계정대체기준!$D$77:$D$86,0)),ISNUMBER(MATCH($F217,계정대체기준!$D$77:$D$86,0))),"Y","N")))</f>
        <v/>
      </c>
    </row>
    <row r="218">
      <c r="A218" s="92" t="n">
        <v>2025</v>
      </c>
      <c r="B218" s="92" t="n">
        <v>1</v>
      </c>
      <c r="C218" s="92" t="inlineStr">
        <is>
          <t>5100000214</t>
        </is>
      </c>
      <c r="D218" s="95" t="n">
        <v>45681</v>
      </c>
      <c r="E218" s="92" t="inlineStr">
        <is>
          <t>KR</t>
        </is>
      </c>
      <c r="F218" s="92" t="n">
        <v>62101000</v>
      </c>
      <c r="G218" s="92" t="n">
        <v>1101</v>
      </c>
      <c r="H218" s="93" t="n">
        <v>558000</v>
      </c>
      <c r="I218" s="92" t="inlineStr">
        <is>
          <t>1월 국내출장 - M항공</t>
        </is>
      </c>
      <c r="J218" s="92" t="inlineStr">
        <is>
          <t>V10001</t>
        </is>
      </c>
      <c r="K218" s="92" t="inlineStr">
        <is>
          <t>M항공</t>
        </is>
      </c>
      <c r="M218" s="9">
        <f>IF($A218="","",VALUE($A218&amp;"")*12+VALUE($B218&amp;""))</f>
        <v/>
      </c>
      <c r="N218" s="64">
        <f>IF($A218="","",IFERROR(INDEX(부서매핑!$C$5:$C$504,MATCH($G218&amp;"",부서매핑!$A$5:$A$504,0)),"미매핑"))</f>
        <v/>
      </c>
      <c r="O218" s="9">
        <f>IF($A218="","",N218&amp;"|"&amp;$F218)</f>
        <v/>
      </c>
      <c r="P218" s="94">
        <f>IF($A218="",0,$H218*설정!$C$23)</f>
        <v/>
      </c>
      <c r="Q218" s="64">
        <f>IF($A218="","",IF(O218&lt;&gt;원인분석!$C$9,"",IF(AND(M218&gt;=원인분석!$C$10,M218&lt;=원인분석!$C$11),"당기",IF(AND(M218&gt;=원인분석!$C$12,M218&lt;=원인분석!$C$13),"비교",""))))</f>
        <v/>
      </c>
      <c r="R218" s="9">
        <f>IF(Q218="","",$K218&amp;"")</f>
        <v/>
      </c>
      <c r="S218" s="9">
        <f>IF(Q218="","",IF(MATCH(R218,$R$5:$R$100000,0)=ROW()-4,ROW(),""))</f>
        <v/>
      </c>
      <c r="T218" s="9">
        <f>IF(Q218="당기",ABS(P218)+ROW()/1000000000,"")</f>
        <v/>
      </c>
      <c r="U218" s="9">
        <f>IF(Q218="비교",ABS(P218)+ROW()/1000000000,"")</f>
        <v/>
      </c>
      <c r="V218" s="64">
        <f>IF($A218="","",IF(COUNTIF(변동분석!$E$7:$E$506,O218)&gt;0,"Y","N"))</f>
        <v/>
      </c>
      <c r="W218" s="64">
        <f>IF($A218="","",IFERROR(INDEX(계정매핑!$D$5:$D$504,MATCH($F218&amp;"",계정매핑!$A$5:$A$504,0)),"미매핑"))</f>
        <v/>
      </c>
      <c r="X218" s="9">
        <f>IF($A218="","",$F218&amp;"")</f>
        <v/>
      </c>
      <c r="Y218" s="94">
        <f>IF($A218="",0,IF(AE218="직접",IF(AF218="비귀속",$P218,0),$P218*(1-AG218)*IFERROR(INDEX(계정대체기준!$F$20:$F$49,MATCH($N218,계정대체기준!$A$20:$A$49,0)),1)))</f>
        <v/>
      </c>
      <c r="Z218" s="94">
        <f>IF($A218="",0,IF(AE218="직접",IF(AF218="신계약비",$P218,0),$P218*(1-AG218)*IFERROR(INDEX(계정대체기준!$C$20:$C$49,MATCH($N218,계정대체기준!$A$20:$A$49,0)),0)))</f>
        <v/>
      </c>
      <c r="AA218" s="94">
        <f>IF($A218="",0,IF(AE218="직접",IF(OR(AF218="유지비",AF218="손해조사비"),$P218,0),$P218*(1-AG218)*IFERROR(INDEX(계정대체기준!$D$20:$D$49,MATCH($N218,계정대체기준!$A$20:$A$49,0)),0)))</f>
        <v/>
      </c>
      <c r="AB218" s="94">
        <f>IF($A218="",0,IF(AE218="직접",IF(AF218="수금비",$P218,0),$P218*(1-AG218)*IFERROR(INDEX(계정대체기준!$E$20:$E$49,MATCH($N218,계정대체기준!$A$20:$A$49,0)),0)))</f>
        <v/>
      </c>
      <c r="AC218" s="9">
        <f>IF(AND($A218&lt;&gt;"",M218=설정!$C$20,Z218&gt;0),Z218+ROW()/1000000000,"")</f>
        <v/>
      </c>
      <c r="AD218" s="94">
        <f>IF($A218="",0,$P218*AG218)</f>
        <v/>
      </c>
      <c r="AE218" s="64">
        <f>IF($A218="","",IFERROR(INDEX(계정매핑!$E$5:$E$504,MATCH($F218&amp;"",계정매핑!$A$5:$A$504,0))&amp;"","공통비"))</f>
        <v/>
      </c>
      <c r="AF218" s="64">
        <f>IF($A218="","",IF(AE218="직접",IFERROR(INDEX(계정매핑!$F$5:$F$504,MATCH($F218&amp;"",계정매핑!$A$5:$A$504,0))&amp;"","비귀속"),""))</f>
        <v/>
      </c>
      <c r="AG218" s="96">
        <f>IF($A218="",0,IF(AND(AE218&lt;&gt;"직접",IFERROR(INDEX(계정매핑!$G$5:$G$504,MATCH($F218&amp;"",계정매핑!$A$5:$A$504,0))&amp;"","")="유지비",COUNTIF(계정대체기준!$A$6:$A$15,$N218)&gt;0),IFERROR(INDEX(계정대체기준!$E$6:$E$15,MATCH(VALUE($A218&amp;""),계정대체기준!$D$6:$D$15,0)),0),0))</f>
        <v/>
      </c>
      <c r="AH218" s="64">
        <f>IF($A218="","",IF(AD218=0,"",IF(OR(COUNTIF(계정대체기준!$A$77:$A$86,$N218)&gt;0,ISNUMBER(MATCH($X218,계정대체기준!$D$77:$D$86,0)),ISNUMBER(MATCH($F218,계정대체기준!$D$77:$D$86,0))),"Y","N")))</f>
        <v/>
      </c>
    </row>
    <row r="219">
      <c r="A219" s="92" t="n">
        <v>2025</v>
      </c>
      <c r="B219" s="92" t="n">
        <v>1</v>
      </c>
      <c r="C219" s="92" t="inlineStr">
        <is>
          <t>5100000215</t>
        </is>
      </c>
      <c r="D219" s="95" t="n">
        <v>45681</v>
      </c>
      <c r="E219" s="92" t="inlineStr">
        <is>
          <t>KR</t>
        </is>
      </c>
      <c r="F219" s="92" t="n">
        <v>62301000</v>
      </c>
      <c r="G219" s="92" t="n">
        <v>1101</v>
      </c>
      <c r="H219" s="93" t="n">
        <v>125000</v>
      </c>
      <c r="I219" s="92" t="inlineStr">
        <is>
          <t>1월 소모품 구입 - R문구</t>
        </is>
      </c>
      <c r="J219" s="92" t="inlineStr">
        <is>
          <t>V10022</t>
        </is>
      </c>
      <c r="K219" s="92" t="inlineStr">
        <is>
          <t>R문구</t>
        </is>
      </c>
      <c r="M219" s="9">
        <f>IF($A219="","",VALUE($A219&amp;"")*12+VALUE($B219&amp;""))</f>
        <v/>
      </c>
      <c r="N219" s="64">
        <f>IF($A219="","",IFERROR(INDEX(부서매핑!$C$5:$C$504,MATCH($G219&amp;"",부서매핑!$A$5:$A$504,0)),"미매핑"))</f>
        <v/>
      </c>
      <c r="O219" s="9">
        <f>IF($A219="","",N219&amp;"|"&amp;$F219)</f>
        <v/>
      </c>
      <c r="P219" s="94">
        <f>IF($A219="",0,$H219*설정!$C$23)</f>
        <v/>
      </c>
      <c r="Q219" s="64">
        <f>IF($A219="","",IF(O219&lt;&gt;원인분석!$C$9,"",IF(AND(M219&gt;=원인분석!$C$10,M219&lt;=원인분석!$C$11),"당기",IF(AND(M219&gt;=원인분석!$C$12,M219&lt;=원인분석!$C$13),"비교",""))))</f>
        <v/>
      </c>
      <c r="R219" s="9">
        <f>IF(Q219="","",$K219&amp;"")</f>
        <v/>
      </c>
      <c r="S219" s="9">
        <f>IF(Q219="","",IF(MATCH(R219,$R$5:$R$100000,0)=ROW()-4,ROW(),""))</f>
        <v/>
      </c>
      <c r="T219" s="9">
        <f>IF(Q219="당기",ABS(P219)+ROW()/1000000000,"")</f>
        <v/>
      </c>
      <c r="U219" s="9">
        <f>IF(Q219="비교",ABS(P219)+ROW()/1000000000,"")</f>
        <v/>
      </c>
      <c r="V219" s="64">
        <f>IF($A219="","",IF(COUNTIF(변동분석!$E$7:$E$506,O219)&gt;0,"Y","N"))</f>
        <v/>
      </c>
      <c r="W219" s="64">
        <f>IF($A219="","",IFERROR(INDEX(계정매핑!$D$5:$D$504,MATCH($F219&amp;"",계정매핑!$A$5:$A$504,0)),"미매핑"))</f>
        <v/>
      </c>
      <c r="X219" s="9">
        <f>IF($A219="","",$F219&amp;"")</f>
        <v/>
      </c>
      <c r="Y219" s="94">
        <f>IF($A219="",0,IF(AE219="직접",IF(AF219="비귀속",$P219,0),$P219*(1-AG219)*IFERROR(INDEX(계정대체기준!$F$20:$F$49,MATCH($N219,계정대체기준!$A$20:$A$49,0)),1)))</f>
        <v/>
      </c>
      <c r="Z219" s="94">
        <f>IF($A219="",0,IF(AE219="직접",IF(AF219="신계약비",$P219,0),$P219*(1-AG219)*IFERROR(INDEX(계정대체기준!$C$20:$C$49,MATCH($N219,계정대체기준!$A$20:$A$49,0)),0)))</f>
        <v/>
      </c>
      <c r="AA219" s="94">
        <f>IF($A219="",0,IF(AE219="직접",IF(OR(AF219="유지비",AF219="손해조사비"),$P219,0),$P219*(1-AG219)*IFERROR(INDEX(계정대체기준!$D$20:$D$49,MATCH($N219,계정대체기준!$A$20:$A$49,0)),0)))</f>
        <v/>
      </c>
      <c r="AB219" s="94">
        <f>IF($A219="",0,IF(AE219="직접",IF(AF219="수금비",$P219,0),$P219*(1-AG219)*IFERROR(INDEX(계정대체기준!$E$20:$E$49,MATCH($N219,계정대체기준!$A$20:$A$49,0)),0)))</f>
        <v/>
      </c>
      <c r="AC219" s="9">
        <f>IF(AND($A219&lt;&gt;"",M219=설정!$C$20,Z219&gt;0),Z219+ROW()/1000000000,"")</f>
        <v/>
      </c>
      <c r="AD219" s="94">
        <f>IF($A219="",0,$P219*AG219)</f>
        <v/>
      </c>
      <c r="AE219" s="64">
        <f>IF($A219="","",IFERROR(INDEX(계정매핑!$E$5:$E$504,MATCH($F219&amp;"",계정매핑!$A$5:$A$504,0))&amp;"","공통비"))</f>
        <v/>
      </c>
      <c r="AF219" s="64">
        <f>IF($A219="","",IF(AE219="직접",IFERROR(INDEX(계정매핑!$F$5:$F$504,MATCH($F219&amp;"",계정매핑!$A$5:$A$504,0))&amp;"","비귀속"),""))</f>
        <v/>
      </c>
      <c r="AG219" s="96">
        <f>IF($A219="",0,IF(AND(AE219&lt;&gt;"직접",IFERROR(INDEX(계정매핑!$G$5:$G$504,MATCH($F219&amp;"",계정매핑!$A$5:$A$504,0))&amp;"","")="유지비",COUNTIF(계정대체기준!$A$6:$A$15,$N219)&gt;0),IFERROR(INDEX(계정대체기준!$E$6:$E$15,MATCH(VALUE($A219&amp;""),계정대체기준!$D$6:$D$15,0)),0),0))</f>
        <v/>
      </c>
      <c r="AH219" s="64">
        <f>IF($A219="","",IF(AD219=0,"",IF(OR(COUNTIF(계정대체기준!$A$77:$A$86,$N219)&gt;0,ISNUMBER(MATCH($X219,계정대체기준!$D$77:$D$86,0)),ISNUMBER(MATCH($F219,계정대체기준!$D$77:$D$86,0))),"Y","N")))</f>
        <v/>
      </c>
    </row>
    <row r="220">
      <c r="A220" s="92" t="n">
        <v>2025</v>
      </c>
      <c r="B220" s="92" t="n">
        <v>1</v>
      </c>
      <c r="C220" s="92" t="inlineStr">
        <is>
          <t>5100000216</t>
        </is>
      </c>
      <c r="D220" s="95" t="n">
        <v>45681</v>
      </c>
      <c r="E220" s="92" t="inlineStr">
        <is>
          <t>KR</t>
        </is>
      </c>
      <c r="F220" s="92" t="n">
        <v>62501000</v>
      </c>
      <c r="G220" s="92" t="n">
        <v>1701</v>
      </c>
      <c r="H220" s="93" t="n">
        <v>111000</v>
      </c>
      <c r="I220" s="92" t="inlineStr">
        <is>
          <t>1월 회의 다과 - (법인카드)</t>
        </is>
      </c>
      <c r="J220" s="92" t="inlineStr">
        <is>
          <t>V10010</t>
        </is>
      </c>
      <c r="K220" s="92" t="inlineStr">
        <is>
          <t>(법인카드)</t>
        </is>
      </c>
      <c r="M220" s="9">
        <f>IF($A220="","",VALUE($A220&amp;"")*12+VALUE($B220&amp;""))</f>
        <v/>
      </c>
      <c r="N220" s="64">
        <f>IF($A220="","",IFERROR(INDEX(부서매핑!$C$5:$C$504,MATCH($G220&amp;"",부서매핑!$A$5:$A$504,0)),"미매핑"))</f>
        <v/>
      </c>
      <c r="O220" s="9">
        <f>IF($A220="","",N220&amp;"|"&amp;$F220)</f>
        <v/>
      </c>
      <c r="P220" s="94">
        <f>IF($A220="",0,$H220*설정!$C$23)</f>
        <v/>
      </c>
      <c r="Q220" s="64">
        <f>IF($A220="","",IF(O220&lt;&gt;원인분석!$C$9,"",IF(AND(M220&gt;=원인분석!$C$10,M220&lt;=원인분석!$C$11),"당기",IF(AND(M220&gt;=원인분석!$C$12,M220&lt;=원인분석!$C$13),"비교",""))))</f>
        <v/>
      </c>
      <c r="R220" s="9">
        <f>IF(Q220="","",$K220&amp;"")</f>
        <v/>
      </c>
      <c r="S220" s="9">
        <f>IF(Q220="","",IF(MATCH(R220,$R$5:$R$100000,0)=ROW()-4,ROW(),""))</f>
        <v/>
      </c>
      <c r="T220" s="9">
        <f>IF(Q220="당기",ABS(P220)+ROW()/1000000000,"")</f>
        <v/>
      </c>
      <c r="U220" s="9">
        <f>IF(Q220="비교",ABS(P220)+ROW()/1000000000,"")</f>
        <v/>
      </c>
      <c r="V220" s="64">
        <f>IF($A220="","",IF(COUNTIF(변동분석!$E$7:$E$506,O220)&gt;0,"Y","N"))</f>
        <v/>
      </c>
      <c r="W220" s="64">
        <f>IF($A220="","",IFERROR(INDEX(계정매핑!$D$5:$D$504,MATCH($F220&amp;"",계정매핑!$A$5:$A$504,0)),"미매핑"))</f>
        <v/>
      </c>
      <c r="X220" s="9">
        <f>IF($A220="","",$F220&amp;"")</f>
        <v/>
      </c>
      <c r="Y220" s="94">
        <f>IF($A220="",0,IF(AE220="직접",IF(AF220="비귀속",$P220,0),$P220*(1-AG220)*IFERROR(INDEX(계정대체기준!$F$20:$F$49,MATCH($N220,계정대체기준!$A$20:$A$49,0)),1)))</f>
        <v/>
      </c>
      <c r="Z220" s="94">
        <f>IF($A220="",0,IF(AE220="직접",IF(AF220="신계약비",$P220,0),$P220*(1-AG220)*IFERROR(INDEX(계정대체기준!$C$20:$C$49,MATCH($N220,계정대체기준!$A$20:$A$49,0)),0)))</f>
        <v/>
      </c>
      <c r="AA220" s="94">
        <f>IF($A220="",0,IF(AE220="직접",IF(OR(AF220="유지비",AF220="손해조사비"),$P220,0),$P220*(1-AG220)*IFERROR(INDEX(계정대체기준!$D$20:$D$49,MATCH($N220,계정대체기준!$A$20:$A$49,0)),0)))</f>
        <v/>
      </c>
      <c r="AB220" s="94">
        <f>IF($A220="",0,IF(AE220="직접",IF(AF220="수금비",$P220,0),$P220*(1-AG220)*IFERROR(INDEX(계정대체기준!$E$20:$E$49,MATCH($N220,계정대체기준!$A$20:$A$49,0)),0)))</f>
        <v/>
      </c>
      <c r="AC220" s="9">
        <f>IF(AND($A220&lt;&gt;"",M220=설정!$C$20,Z220&gt;0),Z220+ROW()/1000000000,"")</f>
        <v/>
      </c>
      <c r="AD220" s="94">
        <f>IF($A220="",0,$P220*AG220)</f>
        <v/>
      </c>
      <c r="AE220" s="64">
        <f>IF($A220="","",IFERROR(INDEX(계정매핑!$E$5:$E$504,MATCH($F220&amp;"",계정매핑!$A$5:$A$504,0))&amp;"","공통비"))</f>
        <v/>
      </c>
      <c r="AF220" s="64">
        <f>IF($A220="","",IF(AE220="직접",IFERROR(INDEX(계정매핑!$F$5:$F$504,MATCH($F220&amp;"",계정매핑!$A$5:$A$504,0))&amp;"","비귀속"),""))</f>
        <v/>
      </c>
      <c r="AG220" s="96">
        <f>IF($A220="",0,IF(AND(AE220&lt;&gt;"직접",IFERROR(INDEX(계정매핑!$G$5:$G$504,MATCH($F220&amp;"",계정매핑!$A$5:$A$504,0))&amp;"","")="유지비",COUNTIF(계정대체기준!$A$6:$A$15,$N220)&gt;0),IFERROR(INDEX(계정대체기준!$E$6:$E$15,MATCH(VALUE($A220&amp;""),계정대체기준!$D$6:$D$15,0)),0),0))</f>
        <v/>
      </c>
      <c r="AH220" s="64">
        <f>IF($A220="","",IF(AD220=0,"",IF(OR(COUNTIF(계정대체기준!$A$77:$A$86,$N220)&gt;0,ISNUMBER(MATCH($X220,계정대체기준!$D$77:$D$86,0)),ISNUMBER(MATCH($F220,계정대체기준!$D$77:$D$86,0))),"Y","N")))</f>
        <v/>
      </c>
    </row>
    <row r="221">
      <c r="A221" s="92" t="n">
        <v>2025</v>
      </c>
      <c r="B221" s="92" t="n">
        <v>1</v>
      </c>
      <c r="C221" s="92" t="inlineStr">
        <is>
          <t>5100000217</t>
        </is>
      </c>
      <c r="D221" s="95" t="n">
        <v>45681</v>
      </c>
      <c r="E221" s="92" t="inlineStr">
        <is>
          <t>KR</t>
        </is>
      </c>
      <c r="F221" s="92" t="n">
        <v>62501000</v>
      </c>
      <c r="G221" s="92" t="n">
        <v>1801</v>
      </c>
      <c r="H221" s="93" t="n">
        <v>233000</v>
      </c>
      <c r="I221" s="92" t="inlineStr">
        <is>
          <t>1월 회의 다과 - T케이터링</t>
        </is>
      </c>
      <c r="J221" s="92" t="inlineStr">
        <is>
          <t>V10005</t>
        </is>
      </c>
      <c r="K221" s="92" t="inlineStr">
        <is>
          <t>T케이터링</t>
        </is>
      </c>
      <c r="M221" s="9">
        <f>IF($A221="","",VALUE($A221&amp;"")*12+VALUE($B221&amp;""))</f>
        <v/>
      </c>
      <c r="N221" s="64">
        <f>IF($A221="","",IFERROR(INDEX(부서매핑!$C$5:$C$504,MATCH($G221&amp;"",부서매핑!$A$5:$A$504,0)),"미매핑"))</f>
        <v/>
      </c>
      <c r="O221" s="9">
        <f>IF($A221="","",N221&amp;"|"&amp;$F221)</f>
        <v/>
      </c>
      <c r="P221" s="94">
        <f>IF($A221="",0,$H221*설정!$C$23)</f>
        <v/>
      </c>
      <c r="Q221" s="64">
        <f>IF($A221="","",IF(O221&lt;&gt;원인분석!$C$9,"",IF(AND(M221&gt;=원인분석!$C$10,M221&lt;=원인분석!$C$11),"당기",IF(AND(M221&gt;=원인분석!$C$12,M221&lt;=원인분석!$C$13),"비교",""))))</f>
        <v/>
      </c>
      <c r="R221" s="9">
        <f>IF(Q221="","",$K221&amp;"")</f>
        <v/>
      </c>
      <c r="S221" s="9">
        <f>IF(Q221="","",IF(MATCH(R221,$R$5:$R$100000,0)=ROW()-4,ROW(),""))</f>
        <v/>
      </c>
      <c r="T221" s="9">
        <f>IF(Q221="당기",ABS(P221)+ROW()/1000000000,"")</f>
        <v/>
      </c>
      <c r="U221" s="9">
        <f>IF(Q221="비교",ABS(P221)+ROW()/1000000000,"")</f>
        <v/>
      </c>
      <c r="V221" s="64">
        <f>IF($A221="","",IF(COUNTIF(변동분석!$E$7:$E$506,O221)&gt;0,"Y","N"))</f>
        <v/>
      </c>
      <c r="W221" s="64">
        <f>IF($A221="","",IFERROR(INDEX(계정매핑!$D$5:$D$504,MATCH($F221&amp;"",계정매핑!$A$5:$A$504,0)),"미매핑"))</f>
        <v/>
      </c>
      <c r="X221" s="9">
        <f>IF($A221="","",$F221&amp;"")</f>
        <v/>
      </c>
      <c r="Y221" s="94">
        <f>IF($A221="",0,IF(AE221="직접",IF(AF221="비귀속",$P221,0),$P221*(1-AG221)*IFERROR(INDEX(계정대체기준!$F$20:$F$49,MATCH($N221,계정대체기준!$A$20:$A$49,0)),1)))</f>
        <v/>
      </c>
      <c r="Z221" s="94">
        <f>IF($A221="",0,IF(AE221="직접",IF(AF221="신계약비",$P221,0),$P221*(1-AG221)*IFERROR(INDEX(계정대체기준!$C$20:$C$49,MATCH($N221,계정대체기준!$A$20:$A$49,0)),0)))</f>
        <v/>
      </c>
      <c r="AA221" s="94">
        <f>IF($A221="",0,IF(AE221="직접",IF(OR(AF221="유지비",AF221="손해조사비"),$P221,0),$P221*(1-AG221)*IFERROR(INDEX(계정대체기준!$D$20:$D$49,MATCH($N221,계정대체기준!$A$20:$A$49,0)),0)))</f>
        <v/>
      </c>
      <c r="AB221" s="94">
        <f>IF($A221="",0,IF(AE221="직접",IF(AF221="수금비",$P221,0),$P221*(1-AG221)*IFERROR(INDEX(계정대체기준!$E$20:$E$49,MATCH($N221,계정대체기준!$A$20:$A$49,0)),0)))</f>
        <v/>
      </c>
      <c r="AC221" s="9">
        <f>IF(AND($A221&lt;&gt;"",M221=설정!$C$20,Z221&gt;0),Z221+ROW()/1000000000,"")</f>
        <v/>
      </c>
      <c r="AD221" s="94">
        <f>IF($A221="",0,$P221*AG221)</f>
        <v/>
      </c>
      <c r="AE221" s="64">
        <f>IF($A221="","",IFERROR(INDEX(계정매핑!$E$5:$E$504,MATCH($F221&amp;"",계정매핑!$A$5:$A$504,0))&amp;"","공통비"))</f>
        <v/>
      </c>
      <c r="AF221" s="64">
        <f>IF($A221="","",IF(AE221="직접",IFERROR(INDEX(계정매핑!$F$5:$F$504,MATCH($F221&amp;"",계정매핑!$A$5:$A$504,0))&amp;"","비귀속"),""))</f>
        <v/>
      </c>
      <c r="AG221" s="96">
        <f>IF($A221="",0,IF(AND(AE221&lt;&gt;"직접",IFERROR(INDEX(계정매핑!$G$5:$G$504,MATCH($F221&amp;"",계정매핑!$A$5:$A$504,0))&amp;"","")="유지비",COUNTIF(계정대체기준!$A$6:$A$15,$N221)&gt;0),IFERROR(INDEX(계정대체기준!$E$6:$E$15,MATCH(VALUE($A221&amp;""),계정대체기준!$D$6:$D$15,0)),0),0))</f>
        <v/>
      </c>
      <c r="AH221" s="64">
        <f>IF($A221="","",IF(AD221=0,"",IF(OR(COUNTIF(계정대체기준!$A$77:$A$86,$N221)&gt;0,ISNUMBER(MATCH($X221,계정대체기준!$D$77:$D$86,0)),ISNUMBER(MATCH($F221,계정대체기준!$D$77:$D$86,0))),"Y","N")))</f>
        <v/>
      </c>
    </row>
    <row r="222">
      <c r="A222" s="92" t="n">
        <v>2025</v>
      </c>
      <c r="B222" s="92" t="n">
        <v>1</v>
      </c>
      <c r="C222" s="92" t="inlineStr">
        <is>
          <t>5100000218</t>
        </is>
      </c>
      <c r="D222" s="95" t="n">
        <v>45682</v>
      </c>
      <c r="E222" s="92" t="inlineStr">
        <is>
          <t>KR</t>
        </is>
      </c>
      <c r="F222" s="92" t="n">
        <v>62101000</v>
      </c>
      <c r="G222" s="92" t="n">
        <v>1201</v>
      </c>
      <c r="H222" s="93" t="n">
        <v>298000</v>
      </c>
      <c r="I222" s="92" t="inlineStr">
        <is>
          <t>1월 국내출장 - (법인카드)</t>
        </is>
      </c>
      <c r="J222" s="92" t="inlineStr">
        <is>
          <t>V10010</t>
        </is>
      </c>
      <c r="K222" s="92" t="inlineStr">
        <is>
          <t>(법인카드)</t>
        </is>
      </c>
      <c r="M222" s="9">
        <f>IF($A222="","",VALUE($A222&amp;"")*12+VALUE($B222&amp;""))</f>
        <v/>
      </c>
      <c r="N222" s="64">
        <f>IF($A222="","",IFERROR(INDEX(부서매핑!$C$5:$C$504,MATCH($G222&amp;"",부서매핑!$A$5:$A$504,0)),"미매핑"))</f>
        <v/>
      </c>
      <c r="O222" s="9">
        <f>IF($A222="","",N222&amp;"|"&amp;$F222)</f>
        <v/>
      </c>
      <c r="P222" s="94">
        <f>IF($A222="",0,$H222*설정!$C$23)</f>
        <v/>
      </c>
      <c r="Q222" s="64">
        <f>IF($A222="","",IF(O222&lt;&gt;원인분석!$C$9,"",IF(AND(M222&gt;=원인분석!$C$10,M222&lt;=원인분석!$C$11),"당기",IF(AND(M222&gt;=원인분석!$C$12,M222&lt;=원인분석!$C$13),"비교",""))))</f>
        <v/>
      </c>
      <c r="R222" s="9">
        <f>IF(Q222="","",$K222&amp;"")</f>
        <v/>
      </c>
      <c r="S222" s="9">
        <f>IF(Q222="","",IF(MATCH(R222,$R$5:$R$100000,0)=ROW()-4,ROW(),""))</f>
        <v/>
      </c>
      <c r="T222" s="9">
        <f>IF(Q222="당기",ABS(P222)+ROW()/1000000000,"")</f>
        <v/>
      </c>
      <c r="U222" s="9">
        <f>IF(Q222="비교",ABS(P222)+ROW()/1000000000,"")</f>
        <v/>
      </c>
      <c r="V222" s="64">
        <f>IF($A222="","",IF(COUNTIF(변동분석!$E$7:$E$506,O222)&gt;0,"Y","N"))</f>
        <v/>
      </c>
      <c r="W222" s="64">
        <f>IF($A222="","",IFERROR(INDEX(계정매핑!$D$5:$D$504,MATCH($F222&amp;"",계정매핑!$A$5:$A$504,0)),"미매핑"))</f>
        <v/>
      </c>
      <c r="X222" s="9">
        <f>IF($A222="","",$F222&amp;"")</f>
        <v/>
      </c>
      <c r="Y222" s="94">
        <f>IF($A222="",0,IF(AE222="직접",IF(AF222="비귀속",$P222,0),$P222*(1-AG222)*IFERROR(INDEX(계정대체기준!$F$20:$F$49,MATCH($N222,계정대체기준!$A$20:$A$49,0)),1)))</f>
        <v/>
      </c>
      <c r="Z222" s="94">
        <f>IF($A222="",0,IF(AE222="직접",IF(AF222="신계약비",$P222,0),$P222*(1-AG222)*IFERROR(INDEX(계정대체기준!$C$20:$C$49,MATCH($N222,계정대체기준!$A$20:$A$49,0)),0)))</f>
        <v/>
      </c>
      <c r="AA222" s="94">
        <f>IF($A222="",0,IF(AE222="직접",IF(OR(AF222="유지비",AF222="손해조사비"),$P222,0),$P222*(1-AG222)*IFERROR(INDEX(계정대체기준!$D$20:$D$49,MATCH($N222,계정대체기준!$A$20:$A$49,0)),0)))</f>
        <v/>
      </c>
      <c r="AB222" s="94">
        <f>IF($A222="",0,IF(AE222="직접",IF(AF222="수금비",$P222,0),$P222*(1-AG222)*IFERROR(INDEX(계정대체기준!$E$20:$E$49,MATCH($N222,계정대체기준!$A$20:$A$49,0)),0)))</f>
        <v/>
      </c>
      <c r="AC222" s="9">
        <f>IF(AND($A222&lt;&gt;"",M222=설정!$C$20,Z222&gt;0),Z222+ROW()/1000000000,"")</f>
        <v/>
      </c>
      <c r="AD222" s="94">
        <f>IF($A222="",0,$P222*AG222)</f>
        <v/>
      </c>
      <c r="AE222" s="64">
        <f>IF($A222="","",IFERROR(INDEX(계정매핑!$E$5:$E$504,MATCH($F222&amp;"",계정매핑!$A$5:$A$504,0))&amp;"","공통비"))</f>
        <v/>
      </c>
      <c r="AF222" s="64">
        <f>IF($A222="","",IF(AE222="직접",IFERROR(INDEX(계정매핑!$F$5:$F$504,MATCH($F222&amp;"",계정매핑!$A$5:$A$504,0))&amp;"","비귀속"),""))</f>
        <v/>
      </c>
      <c r="AG222" s="96">
        <f>IF($A222="",0,IF(AND(AE222&lt;&gt;"직접",IFERROR(INDEX(계정매핑!$G$5:$G$504,MATCH($F222&amp;"",계정매핑!$A$5:$A$504,0))&amp;"","")="유지비",COUNTIF(계정대체기준!$A$6:$A$15,$N222)&gt;0),IFERROR(INDEX(계정대체기준!$E$6:$E$15,MATCH(VALUE($A222&amp;""),계정대체기준!$D$6:$D$15,0)),0),0))</f>
        <v/>
      </c>
      <c r="AH222" s="64">
        <f>IF($A222="","",IF(AD222=0,"",IF(OR(COUNTIF(계정대체기준!$A$77:$A$86,$N222)&gt;0,ISNUMBER(MATCH($X222,계정대체기준!$D$77:$D$86,0)),ISNUMBER(MATCH($F222,계정대체기준!$D$77:$D$86,0))),"Y","N")))</f>
        <v/>
      </c>
    </row>
    <row r="223">
      <c r="A223" s="92" t="n">
        <v>2025</v>
      </c>
      <c r="B223" s="92" t="n">
        <v>1</v>
      </c>
      <c r="C223" s="92" t="inlineStr">
        <is>
          <t>5100000219</t>
        </is>
      </c>
      <c r="D223" s="95" t="n">
        <v>45682</v>
      </c>
      <c r="E223" s="92" t="inlineStr">
        <is>
          <t>KR</t>
        </is>
      </c>
      <c r="F223" s="92" t="n">
        <v>62101000</v>
      </c>
      <c r="G223" s="92" t="n">
        <v>1801</v>
      </c>
      <c r="H223" s="93" t="n">
        <v>200000</v>
      </c>
      <c r="I223" s="92" t="inlineStr">
        <is>
          <t>1월 국내출장 - M항공</t>
        </is>
      </c>
      <c r="J223" s="92" t="inlineStr">
        <is>
          <t>V10001</t>
        </is>
      </c>
      <c r="K223" s="92" t="inlineStr">
        <is>
          <t>M항공</t>
        </is>
      </c>
      <c r="M223" s="9">
        <f>IF($A223="","",VALUE($A223&amp;"")*12+VALUE($B223&amp;""))</f>
        <v/>
      </c>
      <c r="N223" s="64">
        <f>IF($A223="","",IFERROR(INDEX(부서매핑!$C$5:$C$504,MATCH($G223&amp;"",부서매핑!$A$5:$A$504,0)),"미매핑"))</f>
        <v/>
      </c>
      <c r="O223" s="9">
        <f>IF($A223="","",N223&amp;"|"&amp;$F223)</f>
        <v/>
      </c>
      <c r="P223" s="94">
        <f>IF($A223="",0,$H223*설정!$C$23)</f>
        <v/>
      </c>
      <c r="Q223" s="64">
        <f>IF($A223="","",IF(O223&lt;&gt;원인분석!$C$9,"",IF(AND(M223&gt;=원인분석!$C$10,M223&lt;=원인분석!$C$11),"당기",IF(AND(M223&gt;=원인분석!$C$12,M223&lt;=원인분석!$C$13),"비교",""))))</f>
        <v/>
      </c>
      <c r="R223" s="9">
        <f>IF(Q223="","",$K223&amp;"")</f>
        <v/>
      </c>
      <c r="S223" s="9">
        <f>IF(Q223="","",IF(MATCH(R223,$R$5:$R$100000,0)=ROW()-4,ROW(),""))</f>
        <v/>
      </c>
      <c r="T223" s="9">
        <f>IF(Q223="당기",ABS(P223)+ROW()/1000000000,"")</f>
        <v/>
      </c>
      <c r="U223" s="9">
        <f>IF(Q223="비교",ABS(P223)+ROW()/1000000000,"")</f>
        <v/>
      </c>
      <c r="V223" s="64">
        <f>IF($A223="","",IF(COUNTIF(변동분석!$E$7:$E$506,O223)&gt;0,"Y","N"))</f>
        <v/>
      </c>
      <c r="W223" s="64">
        <f>IF($A223="","",IFERROR(INDEX(계정매핑!$D$5:$D$504,MATCH($F223&amp;"",계정매핑!$A$5:$A$504,0)),"미매핑"))</f>
        <v/>
      </c>
      <c r="X223" s="9">
        <f>IF($A223="","",$F223&amp;"")</f>
        <v/>
      </c>
      <c r="Y223" s="94">
        <f>IF($A223="",0,IF(AE223="직접",IF(AF223="비귀속",$P223,0),$P223*(1-AG223)*IFERROR(INDEX(계정대체기준!$F$20:$F$49,MATCH($N223,계정대체기준!$A$20:$A$49,0)),1)))</f>
        <v/>
      </c>
      <c r="Z223" s="94">
        <f>IF($A223="",0,IF(AE223="직접",IF(AF223="신계약비",$P223,0),$P223*(1-AG223)*IFERROR(INDEX(계정대체기준!$C$20:$C$49,MATCH($N223,계정대체기준!$A$20:$A$49,0)),0)))</f>
        <v/>
      </c>
      <c r="AA223" s="94">
        <f>IF($A223="",0,IF(AE223="직접",IF(OR(AF223="유지비",AF223="손해조사비"),$P223,0),$P223*(1-AG223)*IFERROR(INDEX(계정대체기준!$D$20:$D$49,MATCH($N223,계정대체기준!$A$20:$A$49,0)),0)))</f>
        <v/>
      </c>
      <c r="AB223" s="94">
        <f>IF($A223="",0,IF(AE223="직접",IF(AF223="수금비",$P223,0),$P223*(1-AG223)*IFERROR(INDEX(계정대체기준!$E$20:$E$49,MATCH($N223,계정대체기준!$A$20:$A$49,0)),0)))</f>
        <v/>
      </c>
      <c r="AC223" s="9">
        <f>IF(AND($A223&lt;&gt;"",M223=설정!$C$20,Z223&gt;0),Z223+ROW()/1000000000,"")</f>
        <v/>
      </c>
      <c r="AD223" s="94">
        <f>IF($A223="",0,$P223*AG223)</f>
        <v/>
      </c>
      <c r="AE223" s="64">
        <f>IF($A223="","",IFERROR(INDEX(계정매핑!$E$5:$E$504,MATCH($F223&amp;"",계정매핑!$A$5:$A$504,0))&amp;"","공통비"))</f>
        <v/>
      </c>
      <c r="AF223" s="64">
        <f>IF($A223="","",IF(AE223="직접",IFERROR(INDEX(계정매핑!$F$5:$F$504,MATCH($F223&amp;"",계정매핑!$A$5:$A$504,0))&amp;"","비귀속"),""))</f>
        <v/>
      </c>
      <c r="AG223" s="96">
        <f>IF($A223="",0,IF(AND(AE223&lt;&gt;"직접",IFERROR(INDEX(계정매핑!$G$5:$G$504,MATCH($F223&amp;"",계정매핑!$A$5:$A$504,0))&amp;"","")="유지비",COUNTIF(계정대체기준!$A$6:$A$15,$N223)&gt;0),IFERROR(INDEX(계정대체기준!$E$6:$E$15,MATCH(VALUE($A223&amp;""),계정대체기준!$D$6:$D$15,0)),0),0))</f>
        <v/>
      </c>
      <c r="AH223" s="64">
        <f>IF($A223="","",IF(AD223=0,"",IF(OR(COUNTIF(계정대체기준!$A$77:$A$86,$N223)&gt;0,ISNUMBER(MATCH($X223,계정대체기준!$D$77:$D$86,0)),ISNUMBER(MATCH($F223,계정대체기준!$D$77:$D$86,0))),"Y","N")))</f>
        <v/>
      </c>
    </row>
    <row r="224">
      <c r="A224" s="92" t="n">
        <v>2025</v>
      </c>
      <c r="B224" s="92" t="n">
        <v>1</v>
      </c>
      <c r="C224" s="92" t="inlineStr">
        <is>
          <t>5100000220</t>
        </is>
      </c>
      <c r="D224" s="95" t="n">
        <v>45682</v>
      </c>
      <c r="E224" s="92" t="inlineStr">
        <is>
          <t>KR</t>
        </is>
      </c>
      <c r="F224" s="92" t="n">
        <v>62501000</v>
      </c>
      <c r="G224" s="92" t="n">
        <v>1501</v>
      </c>
      <c r="H224" s="93" t="n">
        <v>560000</v>
      </c>
      <c r="I224" s="92" t="inlineStr">
        <is>
          <t>1월 회의 다과 - (법인카드)</t>
        </is>
      </c>
      <c r="J224" s="92" t="inlineStr">
        <is>
          <t>V10010</t>
        </is>
      </c>
      <c r="K224" s="92" t="inlineStr">
        <is>
          <t>(법인카드)</t>
        </is>
      </c>
      <c r="M224" s="9">
        <f>IF($A224="","",VALUE($A224&amp;"")*12+VALUE($B224&amp;""))</f>
        <v/>
      </c>
      <c r="N224" s="64">
        <f>IF($A224="","",IFERROR(INDEX(부서매핑!$C$5:$C$504,MATCH($G224&amp;"",부서매핑!$A$5:$A$504,0)),"미매핑"))</f>
        <v/>
      </c>
      <c r="O224" s="9">
        <f>IF($A224="","",N224&amp;"|"&amp;$F224)</f>
        <v/>
      </c>
      <c r="P224" s="94">
        <f>IF($A224="",0,$H224*설정!$C$23)</f>
        <v/>
      </c>
      <c r="Q224" s="64">
        <f>IF($A224="","",IF(O224&lt;&gt;원인분석!$C$9,"",IF(AND(M224&gt;=원인분석!$C$10,M224&lt;=원인분석!$C$11),"당기",IF(AND(M224&gt;=원인분석!$C$12,M224&lt;=원인분석!$C$13),"비교",""))))</f>
        <v/>
      </c>
      <c r="R224" s="9">
        <f>IF(Q224="","",$K224&amp;"")</f>
        <v/>
      </c>
      <c r="S224" s="9">
        <f>IF(Q224="","",IF(MATCH(R224,$R$5:$R$100000,0)=ROW()-4,ROW(),""))</f>
        <v/>
      </c>
      <c r="T224" s="9">
        <f>IF(Q224="당기",ABS(P224)+ROW()/1000000000,"")</f>
        <v/>
      </c>
      <c r="U224" s="9">
        <f>IF(Q224="비교",ABS(P224)+ROW()/1000000000,"")</f>
        <v/>
      </c>
      <c r="V224" s="64">
        <f>IF($A224="","",IF(COUNTIF(변동분석!$E$7:$E$506,O224)&gt;0,"Y","N"))</f>
        <v/>
      </c>
      <c r="W224" s="64">
        <f>IF($A224="","",IFERROR(INDEX(계정매핑!$D$5:$D$504,MATCH($F224&amp;"",계정매핑!$A$5:$A$504,0)),"미매핑"))</f>
        <v/>
      </c>
      <c r="X224" s="9">
        <f>IF($A224="","",$F224&amp;"")</f>
        <v/>
      </c>
      <c r="Y224" s="94">
        <f>IF($A224="",0,IF(AE224="직접",IF(AF224="비귀속",$P224,0),$P224*(1-AG224)*IFERROR(INDEX(계정대체기준!$F$20:$F$49,MATCH($N224,계정대체기준!$A$20:$A$49,0)),1)))</f>
        <v/>
      </c>
      <c r="Z224" s="94">
        <f>IF($A224="",0,IF(AE224="직접",IF(AF224="신계약비",$P224,0),$P224*(1-AG224)*IFERROR(INDEX(계정대체기준!$C$20:$C$49,MATCH($N224,계정대체기준!$A$20:$A$49,0)),0)))</f>
        <v/>
      </c>
      <c r="AA224" s="94">
        <f>IF($A224="",0,IF(AE224="직접",IF(OR(AF224="유지비",AF224="손해조사비"),$P224,0),$P224*(1-AG224)*IFERROR(INDEX(계정대체기준!$D$20:$D$49,MATCH($N224,계정대체기준!$A$20:$A$49,0)),0)))</f>
        <v/>
      </c>
      <c r="AB224" s="94">
        <f>IF($A224="",0,IF(AE224="직접",IF(AF224="수금비",$P224,0),$P224*(1-AG224)*IFERROR(INDEX(계정대체기준!$E$20:$E$49,MATCH($N224,계정대체기준!$A$20:$A$49,0)),0)))</f>
        <v/>
      </c>
      <c r="AC224" s="9">
        <f>IF(AND($A224&lt;&gt;"",M224=설정!$C$20,Z224&gt;0),Z224+ROW()/1000000000,"")</f>
        <v/>
      </c>
      <c r="AD224" s="94">
        <f>IF($A224="",0,$P224*AG224)</f>
        <v/>
      </c>
      <c r="AE224" s="64">
        <f>IF($A224="","",IFERROR(INDEX(계정매핑!$E$5:$E$504,MATCH($F224&amp;"",계정매핑!$A$5:$A$504,0))&amp;"","공통비"))</f>
        <v/>
      </c>
      <c r="AF224" s="64">
        <f>IF($A224="","",IF(AE224="직접",IFERROR(INDEX(계정매핑!$F$5:$F$504,MATCH($F224&amp;"",계정매핑!$A$5:$A$504,0))&amp;"","비귀속"),""))</f>
        <v/>
      </c>
      <c r="AG224" s="96">
        <f>IF($A224="",0,IF(AND(AE224&lt;&gt;"직접",IFERROR(INDEX(계정매핑!$G$5:$G$504,MATCH($F224&amp;"",계정매핑!$A$5:$A$504,0))&amp;"","")="유지비",COUNTIF(계정대체기준!$A$6:$A$15,$N224)&gt;0),IFERROR(INDEX(계정대체기준!$E$6:$E$15,MATCH(VALUE($A224&amp;""),계정대체기준!$D$6:$D$15,0)),0),0))</f>
        <v/>
      </c>
      <c r="AH224" s="64">
        <f>IF($A224="","",IF(AD224=0,"",IF(OR(COUNTIF(계정대체기준!$A$77:$A$86,$N224)&gt;0,ISNUMBER(MATCH($X224,계정대체기준!$D$77:$D$86,0)),ISNUMBER(MATCH($F224,계정대체기준!$D$77:$D$86,0))),"Y","N")))</f>
        <v/>
      </c>
    </row>
    <row r="225">
      <c r="A225" s="92" t="n">
        <v>2025</v>
      </c>
      <c r="B225" s="92" t="n">
        <v>1</v>
      </c>
      <c r="C225" s="92" t="inlineStr">
        <is>
          <t>5100000221</t>
        </is>
      </c>
      <c r="D225" s="95" t="n">
        <v>45682</v>
      </c>
      <c r="E225" s="92" t="inlineStr">
        <is>
          <t>KR</t>
        </is>
      </c>
      <c r="F225" s="92" t="n">
        <v>62501000</v>
      </c>
      <c r="G225" s="92" t="n">
        <v>1602</v>
      </c>
      <c r="H225" s="93" t="n">
        <v>375000</v>
      </c>
      <c r="I225" s="92" t="inlineStr">
        <is>
          <t>1월 회의 다과 - T케이터링</t>
        </is>
      </c>
      <c r="J225" s="92" t="inlineStr">
        <is>
          <t>V10005</t>
        </is>
      </c>
      <c r="K225" s="92" t="inlineStr">
        <is>
          <t>T케이터링</t>
        </is>
      </c>
      <c r="M225" s="9">
        <f>IF($A225="","",VALUE($A225&amp;"")*12+VALUE($B225&amp;""))</f>
        <v/>
      </c>
      <c r="N225" s="64">
        <f>IF($A225="","",IFERROR(INDEX(부서매핑!$C$5:$C$504,MATCH($G225&amp;"",부서매핑!$A$5:$A$504,0)),"미매핑"))</f>
        <v/>
      </c>
      <c r="O225" s="9">
        <f>IF($A225="","",N225&amp;"|"&amp;$F225)</f>
        <v/>
      </c>
      <c r="P225" s="94">
        <f>IF($A225="",0,$H225*설정!$C$23)</f>
        <v/>
      </c>
      <c r="Q225" s="64">
        <f>IF($A225="","",IF(O225&lt;&gt;원인분석!$C$9,"",IF(AND(M225&gt;=원인분석!$C$10,M225&lt;=원인분석!$C$11),"당기",IF(AND(M225&gt;=원인분석!$C$12,M225&lt;=원인분석!$C$13),"비교",""))))</f>
        <v/>
      </c>
      <c r="R225" s="9">
        <f>IF(Q225="","",$K225&amp;"")</f>
        <v/>
      </c>
      <c r="S225" s="9">
        <f>IF(Q225="","",IF(MATCH(R225,$R$5:$R$100000,0)=ROW()-4,ROW(),""))</f>
        <v/>
      </c>
      <c r="T225" s="9">
        <f>IF(Q225="당기",ABS(P225)+ROW()/1000000000,"")</f>
        <v/>
      </c>
      <c r="U225" s="9">
        <f>IF(Q225="비교",ABS(P225)+ROW()/1000000000,"")</f>
        <v/>
      </c>
      <c r="V225" s="64">
        <f>IF($A225="","",IF(COUNTIF(변동분석!$E$7:$E$506,O225)&gt;0,"Y","N"))</f>
        <v/>
      </c>
      <c r="W225" s="64">
        <f>IF($A225="","",IFERROR(INDEX(계정매핑!$D$5:$D$504,MATCH($F225&amp;"",계정매핑!$A$5:$A$504,0)),"미매핑"))</f>
        <v/>
      </c>
      <c r="X225" s="9">
        <f>IF($A225="","",$F225&amp;"")</f>
        <v/>
      </c>
      <c r="Y225" s="94">
        <f>IF($A225="",0,IF(AE225="직접",IF(AF225="비귀속",$P225,0),$P225*(1-AG225)*IFERROR(INDEX(계정대체기준!$F$20:$F$49,MATCH($N225,계정대체기준!$A$20:$A$49,0)),1)))</f>
        <v/>
      </c>
      <c r="Z225" s="94">
        <f>IF($A225="",0,IF(AE225="직접",IF(AF225="신계약비",$P225,0),$P225*(1-AG225)*IFERROR(INDEX(계정대체기준!$C$20:$C$49,MATCH($N225,계정대체기준!$A$20:$A$49,0)),0)))</f>
        <v/>
      </c>
      <c r="AA225" s="94">
        <f>IF($A225="",0,IF(AE225="직접",IF(OR(AF225="유지비",AF225="손해조사비"),$P225,0),$P225*(1-AG225)*IFERROR(INDEX(계정대체기준!$D$20:$D$49,MATCH($N225,계정대체기준!$A$20:$A$49,0)),0)))</f>
        <v/>
      </c>
      <c r="AB225" s="94">
        <f>IF($A225="",0,IF(AE225="직접",IF(AF225="수금비",$P225,0),$P225*(1-AG225)*IFERROR(INDEX(계정대체기준!$E$20:$E$49,MATCH($N225,계정대체기준!$A$20:$A$49,0)),0)))</f>
        <v/>
      </c>
      <c r="AC225" s="9">
        <f>IF(AND($A225&lt;&gt;"",M225=설정!$C$20,Z225&gt;0),Z225+ROW()/1000000000,"")</f>
        <v/>
      </c>
      <c r="AD225" s="94">
        <f>IF($A225="",0,$P225*AG225)</f>
        <v/>
      </c>
      <c r="AE225" s="64">
        <f>IF($A225="","",IFERROR(INDEX(계정매핑!$E$5:$E$504,MATCH($F225&amp;"",계정매핑!$A$5:$A$504,0))&amp;"","공통비"))</f>
        <v/>
      </c>
      <c r="AF225" s="64">
        <f>IF($A225="","",IF(AE225="직접",IFERROR(INDEX(계정매핑!$F$5:$F$504,MATCH($F225&amp;"",계정매핑!$A$5:$A$504,0))&amp;"","비귀속"),""))</f>
        <v/>
      </c>
      <c r="AG225" s="96">
        <f>IF($A225="",0,IF(AND(AE225&lt;&gt;"직접",IFERROR(INDEX(계정매핑!$G$5:$G$504,MATCH($F225&amp;"",계정매핑!$A$5:$A$504,0))&amp;"","")="유지비",COUNTIF(계정대체기준!$A$6:$A$15,$N225)&gt;0),IFERROR(INDEX(계정대체기준!$E$6:$E$15,MATCH(VALUE($A225&amp;""),계정대체기준!$D$6:$D$15,0)),0),0))</f>
        <v/>
      </c>
      <c r="AH225" s="64">
        <f>IF($A225="","",IF(AD225=0,"",IF(OR(COUNTIF(계정대체기준!$A$77:$A$86,$N225)&gt;0,ISNUMBER(MATCH($X225,계정대체기준!$D$77:$D$86,0)),ISNUMBER(MATCH($F225,계정대체기준!$D$77:$D$86,0))),"Y","N")))</f>
        <v/>
      </c>
    </row>
    <row r="226">
      <c r="A226" s="92" t="n">
        <v>2025</v>
      </c>
      <c r="B226" s="92" t="n">
        <v>1</v>
      </c>
      <c r="C226" s="92" t="inlineStr">
        <is>
          <t>5100000222</t>
        </is>
      </c>
      <c r="D226" s="95" t="n">
        <v>45682</v>
      </c>
      <c r="E226" s="92" t="inlineStr">
        <is>
          <t>KR</t>
        </is>
      </c>
      <c r="F226" s="92" t="n">
        <v>62501000</v>
      </c>
      <c r="G226" s="92" t="n">
        <v>1701</v>
      </c>
      <c r="H226" s="93" t="n">
        <v>157000</v>
      </c>
      <c r="I226" s="92" t="inlineStr">
        <is>
          <t>1월 회의 다과 - (법인카드)</t>
        </is>
      </c>
      <c r="J226" s="92" t="inlineStr">
        <is>
          <t>V10010</t>
        </is>
      </c>
      <c r="K226" s="92" t="inlineStr">
        <is>
          <t>(법인카드)</t>
        </is>
      </c>
      <c r="M226" s="9">
        <f>IF($A226="","",VALUE($A226&amp;"")*12+VALUE($B226&amp;""))</f>
        <v/>
      </c>
      <c r="N226" s="64">
        <f>IF($A226="","",IFERROR(INDEX(부서매핑!$C$5:$C$504,MATCH($G226&amp;"",부서매핑!$A$5:$A$504,0)),"미매핑"))</f>
        <v/>
      </c>
      <c r="O226" s="9">
        <f>IF($A226="","",N226&amp;"|"&amp;$F226)</f>
        <v/>
      </c>
      <c r="P226" s="94">
        <f>IF($A226="",0,$H226*설정!$C$23)</f>
        <v/>
      </c>
      <c r="Q226" s="64">
        <f>IF($A226="","",IF(O226&lt;&gt;원인분석!$C$9,"",IF(AND(M226&gt;=원인분석!$C$10,M226&lt;=원인분석!$C$11),"당기",IF(AND(M226&gt;=원인분석!$C$12,M226&lt;=원인분석!$C$13),"비교",""))))</f>
        <v/>
      </c>
      <c r="R226" s="9">
        <f>IF(Q226="","",$K226&amp;"")</f>
        <v/>
      </c>
      <c r="S226" s="9">
        <f>IF(Q226="","",IF(MATCH(R226,$R$5:$R$100000,0)=ROW()-4,ROW(),""))</f>
        <v/>
      </c>
      <c r="T226" s="9">
        <f>IF(Q226="당기",ABS(P226)+ROW()/1000000000,"")</f>
        <v/>
      </c>
      <c r="U226" s="9">
        <f>IF(Q226="비교",ABS(P226)+ROW()/1000000000,"")</f>
        <v/>
      </c>
      <c r="V226" s="64">
        <f>IF($A226="","",IF(COUNTIF(변동분석!$E$7:$E$506,O226)&gt;0,"Y","N"))</f>
        <v/>
      </c>
      <c r="W226" s="64">
        <f>IF($A226="","",IFERROR(INDEX(계정매핑!$D$5:$D$504,MATCH($F226&amp;"",계정매핑!$A$5:$A$504,0)),"미매핑"))</f>
        <v/>
      </c>
      <c r="X226" s="9">
        <f>IF($A226="","",$F226&amp;"")</f>
        <v/>
      </c>
      <c r="Y226" s="94">
        <f>IF($A226="",0,IF(AE226="직접",IF(AF226="비귀속",$P226,0),$P226*(1-AG226)*IFERROR(INDEX(계정대체기준!$F$20:$F$49,MATCH($N226,계정대체기준!$A$20:$A$49,0)),1)))</f>
        <v/>
      </c>
      <c r="Z226" s="94">
        <f>IF($A226="",0,IF(AE226="직접",IF(AF226="신계약비",$P226,0),$P226*(1-AG226)*IFERROR(INDEX(계정대체기준!$C$20:$C$49,MATCH($N226,계정대체기준!$A$20:$A$49,0)),0)))</f>
        <v/>
      </c>
      <c r="AA226" s="94">
        <f>IF($A226="",0,IF(AE226="직접",IF(OR(AF226="유지비",AF226="손해조사비"),$P226,0),$P226*(1-AG226)*IFERROR(INDEX(계정대체기준!$D$20:$D$49,MATCH($N226,계정대체기준!$A$20:$A$49,0)),0)))</f>
        <v/>
      </c>
      <c r="AB226" s="94">
        <f>IF($A226="",0,IF(AE226="직접",IF(AF226="수금비",$P226,0),$P226*(1-AG226)*IFERROR(INDEX(계정대체기준!$E$20:$E$49,MATCH($N226,계정대체기준!$A$20:$A$49,0)),0)))</f>
        <v/>
      </c>
      <c r="AC226" s="9">
        <f>IF(AND($A226&lt;&gt;"",M226=설정!$C$20,Z226&gt;0),Z226+ROW()/1000000000,"")</f>
        <v/>
      </c>
      <c r="AD226" s="94">
        <f>IF($A226="",0,$P226*AG226)</f>
        <v/>
      </c>
      <c r="AE226" s="64">
        <f>IF($A226="","",IFERROR(INDEX(계정매핑!$E$5:$E$504,MATCH($F226&amp;"",계정매핑!$A$5:$A$504,0))&amp;"","공통비"))</f>
        <v/>
      </c>
      <c r="AF226" s="64">
        <f>IF($A226="","",IF(AE226="직접",IFERROR(INDEX(계정매핑!$F$5:$F$504,MATCH($F226&amp;"",계정매핑!$A$5:$A$504,0))&amp;"","비귀속"),""))</f>
        <v/>
      </c>
      <c r="AG226" s="96">
        <f>IF($A226="",0,IF(AND(AE226&lt;&gt;"직접",IFERROR(INDEX(계정매핑!$G$5:$G$504,MATCH($F226&amp;"",계정매핑!$A$5:$A$504,0))&amp;"","")="유지비",COUNTIF(계정대체기준!$A$6:$A$15,$N226)&gt;0),IFERROR(INDEX(계정대체기준!$E$6:$E$15,MATCH(VALUE($A226&amp;""),계정대체기준!$D$6:$D$15,0)),0),0))</f>
        <v/>
      </c>
      <c r="AH226" s="64">
        <f>IF($A226="","",IF(AD226=0,"",IF(OR(COUNTIF(계정대체기준!$A$77:$A$86,$N226)&gt;0,ISNUMBER(MATCH($X226,계정대체기준!$D$77:$D$86,0)),ISNUMBER(MATCH($F226,계정대체기준!$D$77:$D$86,0))),"Y","N")))</f>
        <v/>
      </c>
    </row>
    <row r="227">
      <c r="A227" s="92" t="n">
        <v>2025</v>
      </c>
      <c r="B227" s="92" t="n">
        <v>1</v>
      </c>
      <c r="C227" s="92" t="inlineStr">
        <is>
          <t>5100000223</t>
        </is>
      </c>
      <c r="D227" s="95" t="n">
        <v>45682</v>
      </c>
      <c r="E227" s="92" t="inlineStr">
        <is>
          <t>KR</t>
        </is>
      </c>
      <c r="F227" s="92" t="n">
        <v>62601000</v>
      </c>
      <c r="G227" s="92" t="n">
        <v>1501</v>
      </c>
      <c r="H227" s="93" t="n">
        <v>1017000</v>
      </c>
      <c r="I227" s="92" t="inlineStr">
        <is>
          <t>1월 업무추진 - (법인카드)</t>
        </is>
      </c>
      <c r="J227" s="92" t="inlineStr">
        <is>
          <t>V10010</t>
        </is>
      </c>
      <c r="K227" s="92" t="inlineStr">
        <is>
          <t>(법인카드)</t>
        </is>
      </c>
      <c r="M227" s="9">
        <f>IF($A227="","",VALUE($A227&amp;"")*12+VALUE($B227&amp;""))</f>
        <v/>
      </c>
      <c r="N227" s="64">
        <f>IF($A227="","",IFERROR(INDEX(부서매핑!$C$5:$C$504,MATCH($G227&amp;"",부서매핑!$A$5:$A$504,0)),"미매핑"))</f>
        <v/>
      </c>
      <c r="O227" s="9">
        <f>IF($A227="","",N227&amp;"|"&amp;$F227)</f>
        <v/>
      </c>
      <c r="P227" s="94">
        <f>IF($A227="",0,$H227*설정!$C$23)</f>
        <v/>
      </c>
      <c r="Q227" s="64">
        <f>IF($A227="","",IF(O227&lt;&gt;원인분석!$C$9,"",IF(AND(M227&gt;=원인분석!$C$10,M227&lt;=원인분석!$C$11),"당기",IF(AND(M227&gt;=원인분석!$C$12,M227&lt;=원인분석!$C$13),"비교",""))))</f>
        <v/>
      </c>
      <c r="R227" s="9">
        <f>IF(Q227="","",$K227&amp;"")</f>
        <v/>
      </c>
      <c r="S227" s="9">
        <f>IF(Q227="","",IF(MATCH(R227,$R$5:$R$100000,0)=ROW()-4,ROW(),""))</f>
        <v/>
      </c>
      <c r="T227" s="9">
        <f>IF(Q227="당기",ABS(P227)+ROW()/1000000000,"")</f>
        <v/>
      </c>
      <c r="U227" s="9">
        <f>IF(Q227="비교",ABS(P227)+ROW()/1000000000,"")</f>
        <v/>
      </c>
      <c r="V227" s="64">
        <f>IF($A227="","",IF(COUNTIF(변동분석!$E$7:$E$506,O227)&gt;0,"Y","N"))</f>
        <v/>
      </c>
      <c r="W227" s="64">
        <f>IF($A227="","",IFERROR(INDEX(계정매핑!$D$5:$D$504,MATCH($F227&amp;"",계정매핑!$A$5:$A$504,0)),"미매핑"))</f>
        <v/>
      </c>
      <c r="X227" s="9">
        <f>IF($A227="","",$F227&amp;"")</f>
        <v/>
      </c>
      <c r="Y227" s="94">
        <f>IF($A227="",0,IF(AE227="직접",IF(AF227="비귀속",$P227,0),$P227*(1-AG227)*IFERROR(INDEX(계정대체기준!$F$20:$F$49,MATCH($N227,계정대체기준!$A$20:$A$49,0)),1)))</f>
        <v/>
      </c>
      <c r="Z227" s="94">
        <f>IF($A227="",0,IF(AE227="직접",IF(AF227="신계약비",$P227,0),$P227*(1-AG227)*IFERROR(INDEX(계정대체기준!$C$20:$C$49,MATCH($N227,계정대체기준!$A$20:$A$49,0)),0)))</f>
        <v/>
      </c>
      <c r="AA227" s="94">
        <f>IF($A227="",0,IF(AE227="직접",IF(OR(AF227="유지비",AF227="손해조사비"),$P227,0),$P227*(1-AG227)*IFERROR(INDEX(계정대체기준!$D$20:$D$49,MATCH($N227,계정대체기준!$A$20:$A$49,0)),0)))</f>
        <v/>
      </c>
      <c r="AB227" s="94">
        <f>IF($A227="",0,IF(AE227="직접",IF(AF227="수금비",$P227,0),$P227*(1-AG227)*IFERROR(INDEX(계정대체기준!$E$20:$E$49,MATCH($N227,계정대체기준!$A$20:$A$49,0)),0)))</f>
        <v/>
      </c>
      <c r="AC227" s="9">
        <f>IF(AND($A227&lt;&gt;"",M227=설정!$C$20,Z227&gt;0),Z227+ROW()/1000000000,"")</f>
        <v/>
      </c>
      <c r="AD227" s="94">
        <f>IF($A227="",0,$P227*AG227)</f>
        <v/>
      </c>
      <c r="AE227" s="64">
        <f>IF($A227="","",IFERROR(INDEX(계정매핑!$E$5:$E$504,MATCH($F227&amp;"",계정매핑!$A$5:$A$504,0))&amp;"","공통비"))</f>
        <v/>
      </c>
      <c r="AF227" s="64">
        <f>IF($A227="","",IF(AE227="직접",IFERROR(INDEX(계정매핑!$F$5:$F$504,MATCH($F227&amp;"",계정매핑!$A$5:$A$504,0))&amp;"","비귀속"),""))</f>
        <v/>
      </c>
      <c r="AG227" s="96">
        <f>IF($A227="",0,IF(AND(AE227&lt;&gt;"직접",IFERROR(INDEX(계정매핑!$G$5:$G$504,MATCH($F227&amp;"",계정매핑!$A$5:$A$504,0))&amp;"","")="유지비",COUNTIF(계정대체기준!$A$6:$A$15,$N227)&gt;0),IFERROR(INDEX(계정대체기준!$E$6:$E$15,MATCH(VALUE($A227&amp;""),계정대체기준!$D$6:$D$15,0)),0),0))</f>
        <v/>
      </c>
      <c r="AH227" s="64">
        <f>IF($A227="","",IF(AD227=0,"",IF(OR(COUNTIF(계정대체기준!$A$77:$A$86,$N227)&gt;0,ISNUMBER(MATCH($X227,계정대체기준!$D$77:$D$86,0)),ISNUMBER(MATCH($F227,계정대체기준!$D$77:$D$86,0))),"Y","N")))</f>
        <v/>
      </c>
    </row>
    <row r="228">
      <c r="A228" s="92" t="n">
        <v>2025</v>
      </c>
      <c r="B228" s="92" t="n">
        <v>1</v>
      </c>
      <c r="C228" s="92" t="inlineStr">
        <is>
          <t>5100000224</t>
        </is>
      </c>
      <c r="D228" s="95" t="n">
        <v>45682</v>
      </c>
      <c r="E228" s="92" t="inlineStr">
        <is>
          <t>KR</t>
        </is>
      </c>
      <c r="F228" s="92" t="n">
        <v>62901000</v>
      </c>
      <c r="G228" s="92" t="n">
        <v>1101</v>
      </c>
      <c r="H228" s="93" t="n">
        <v>2082000</v>
      </c>
      <c r="I228" s="92" t="inlineStr">
        <is>
          <t>1월 자문 수수료 - W컨설팅</t>
        </is>
      </c>
      <c r="J228" s="92" t="inlineStr">
        <is>
          <t>V10006</t>
        </is>
      </c>
      <c r="K228" s="92" t="inlineStr">
        <is>
          <t>W컨설팅</t>
        </is>
      </c>
      <c r="M228" s="9">
        <f>IF($A228="","",VALUE($A228&amp;"")*12+VALUE($B228&amp;""))</f>
        <v/>
      </c>
      <c r="N228" s="64">
        <f>IF($A228="","",IFERROR(INDEX(부서매핑!$C$5:$C$504,MATCH($G228&amp;"",부서매핑!$A$5:$A$504,0)),"미매핑"))</f>
        <v/>
      </c>
      <c r="O228" s="9">
        <f>IF($A228="","",N228&amp;"|"&amp;$F228)</f>
        <v/>
      </c>
      <c r="P228" s="94">
        <f>IF($A228="",0,$H228*설정!$C$23)</f>
        <v/>
      </c>
      <c r="Q228" s="64">
        <f>IF($A228="","",IF(O228&lt;&gt;원인분석!$C$9,"",IF(AND(M228&gt;=원인분석!$C$10,M228&lt;=원인분석!$C$11),"당기",IF(AND(M228&gt;=원인분석!$C$12,M228&lt;=원인분석!$C$13),"비교",""))))</f>
        <v/>
      </c>
      <c r="R228" s="9">
        <f>IF(Q228="","",$K228&amp;"")</f>
        <v/>
      </c>
      <c r="S228" s="9">
        <f>IF(Q228="","",IF(MATCH(R228,$R$5:$R$100000,0)=ROW()-4,ROW(),""))</f>
        <v/>
      </c>
      <c r="T228" s="9">
        <f>IF(Q228="당기",ABS(P228)+ROW()/1000000000,"")</f>
        <v/>
      </c>
      <c r="U228" s="9">
        <f>IF(Q228="비교",ABS(P228)+ROW()/1000000000,"")</f>
        <v/>
      </c>
      <c r="V228" s="64">
        <f>IF($A228="","",IF(COUNTIF(변동분석!$E$7:$E$506,O228)&gt;0,"Y","N"))</f>
        <v/>
      </c>
      <c r="W228" s="64">
        <f>IF($A228="","",IFERROR(INDEX(계정매핑!$D$5:$D$504,MATCH($F228&amp;"",계정매핑!$A$5:$A$504,0)),"미매핑"))</f>
        <v/>
      </c>
      <c r="X228" s="9">
        <f>IF($A228="","",$F228&amp;"")</f>
        <v/>
      </c>
      <c r="Y228" s="94">
        <f>IF($A228="",0,IF(AE228="직접",IF(AF228="비귀속",$P228,0),$P228*(1-AG228)*IFERROR(INDEX(계정대체기준!$F$20:$F$49,MATCH($N228,계정대체기준!$A$20:$A$49,0)),1)))</f>
        <v/>
      </c>
      <c r="Z228" s="94">
        <f>IF($A228="",0,IF(AE228="직접",IF(AF228="신계약비",$P228,0),$P228*(1-AG228)*IFERROR(INDEX(계정대체기준!$C$20:$C$49,MATCH($N228,계정대체기준!$A$20:$A$49,0)),0)))</f>
        <v/>
      </c>
      <c r="AA228" s="94">
        <f>IF($A228="",0,IF(AE228="직접",IF(OR(AF228="유지비",AF228="손해조사비"),$P228,0),$P228*(1-AG228)*IFERROR(INDEX(계정대체기준!$D$20:$D$49,MATCH($N228,계정대체기준!$A$20:$A$49,0)),0)))</f>
        <v/>
      </c>
      <c r="AB228" s="94">
        <f>IF($A228="",0,IF(AE228="직접",IF(AF228="수금비",$P228,0),$P228*(1-AG228)*IFERROR(INDEX(계정대체기준!$E$20:$E$49,MATCH($N228,계정대체기준!$A$20:$A$49,0)),0)))</f>
        <v/>
      </c>
      <c r="AC228" s="9">
        <f>IF(AND($A228&lt;&gt;"",M228=설정!$C$20,Z228&gt;0),Z228+ROW()/1000000000,"")</f>
        <v/>
      </c>
      <c r="AD228" s="94">
        <f>IF($A228="",0,$P228*AG228)</f>
        <v/>
      </c>
      <c r="AE228" s="64">
        <f>IF($A228="","",IFERROR(INDEX(계정매핑!$E$5:$E$504,MATCH($F228&amp;"",계정매핑!$A$5:$A$504,0))&amp;"","공통비"))</f>
        <v/>
      </c>
      <c r="AF228" s="64">
        <f>IF($A228="","",IF(AE228="직접",IFERROR(INDEX(계정매핑!$F$5:$F$504,MATCH($F228&amp;"",계정매핑!$A$5:$A$504,0))&amp;"","비귀속"),""))</f>
        <v/>
      </c>
      <c r="AG228" s="96">
        <f>IF($A228="",0,IF(AND(AE228&lt;&gt;"직접",IFERROR(INDEX(계정매핑!$G$5:$G$504,MATCH($F228&amp;"",계정매핑!$A$5:$A$504,0))&amp;"","")="유지비",COUNTIF(계정대체기준!$A$6:$A$15,$N228)&gt;0),IFERROR(INDEX(계정대체기준!$E$6:$E$15,MATCH(VALUE($A228&amp;""),계정대체기준!$D$6:$D$15,0)),0),0))</f>
        <v/>
      </c>
      <c r="AH228" s="64">
        <f>IF($A228="","",IF(AD228=0,"",IF(OR(COUNTIF(계정대체기준!$A$77:$A$86,$N228)&gt;0,ISNUMBER(MATCH($X228,계정대체기준!$D$77:$D$86,0)),ISNUMBER(MATCH($F228,계정대체기준!$D$77:$D$86,0))),"Y","N")))</f>
        <v/>
      </c>
    </row>
    <row r="229">
      <c r="A229" s="92" t="n">
        <v>2025</v>
      </c>
      <c r="B229" s="92" t="n">
        <v>1</v>
      </c>
      <c r="C229" s="92" t="inlineStr">
        <is>
          <t>5100000225</t>
        </is>
      </c>
      <c r="D229" s="95" t="n">
        <v>45682</v>
      </c>
      <c r="E229" s="92" t="inlineStr">
        <is>
          <t>KR</t>
        </is>
      </c>
      <c r="F229" s="92" t="n">
        <v>63002000</v>
      </c>
      <c r="G229" s="92" t="n">
        <v>1701</v>
      </c>
      <c r="H229" s="93" t="n">
        <v>64000000</v>
      </c>
      <c r="I229" s="92" t="inlineStr">
        <is>
          <t>1월 클라우드 사용료 - C클라우드</t>
        </is>
      </c>
      <c r="J229" s="92" t="inlineStr">
        <is>
          <t>V10026</t>
        </is>
      </c>
      <c r="K229" s="92" t="inlineStr">
        <is>
          <t>C클라우드</t>
        </is>
      </c>
      <c r="M229" s="9">
        <f>IF($A229="","",VALUE($A229&amp;"")*12+VALUE($B229&amp;""))</f>
        <v/>
      </c>
      <c r="N229" s="64">
        <f>IF($A229="","",IFERROR(INDEX(부서매핑!$C$5:$C$504,MATCH($G229&amp;"",부서매핑!$A$5:$A$504,0)),"미매핑"))</f>
        <v/>
      </c>
      <c r="O229" s="9">
        <f>IF($A229="","",N229&amp;"|"&amp;$F229)</f>
        <v/>
      </c>
      <c r="P229" s="94">
        <f>IF($A229="",0,$H229*설정!$C$23)</f>
        <v/>
      </c>
      <c r="Q229" s="64">
        <f>IF($A229="","",IF(O229&lt;&gt;원인분석!$C$9,"",IF(AND(M229&gt;=원인분석!$C$10,M229&lt;=원인분석!$C$11),"당기",IF(AND(M229&gt;=원인분석!$C$12,M229&lt;=원인분석!$C$13),"비교",""))))</f>
        <v/>
      </c>
      <c r="R229" s="9">
        <f>IF(Q229="","",$K229&amp;"")</f>
        <v/>
      </c>
      <c r="S229" s="9">
        <f>IF(Q229="","",IF(MATCH(R229,$R$5:$R$100000,0)=ROW()-4,ROW(),""))</f>
        <v/>
      </c>
      <c r="T229" s="9">
        <f>IF(Q229="당기",ABS(P229)+ROW()/1000000000,"")</f>
        <v/>
      </c>
      <c r="U229" s="9">
        <f>IF(Q229="비교",ABS(P229)+ROW()/1000000000,"")</f>
        <v/>
      </c>
      <c r="V229" s="64">
        <f>IF($A229="","",IF(COUNTIF(변동분석!$E$7:$E$506,O229)&gt;0,"Y","N"))</f>
        <v/>
      </c>
      <c r="W229" s="64">
        <f>IF($A229="","",IFERROR(INDEX(계정매핑!$D$5:$D$504,MATCH($F229&amp;"",계정매핑!$A$5:$A$504,0)),"미매핑"))</f>
        <v/>
      </c>
      <c r="X229" s="9">
        <f>IF($A229="","",$F229&amp;"")</f>
        <v/>
      </c>
      <c r="Y229" s="94">
        <f>IF($A229="",0,IF(AE229="직접",IF(AF229="비귀속",$P229,0),$P229*(1-AG229)*IFERROR(INDEX(계정대체기준!$F$20:$F$49,MATCH($N229,계정대체기준!$A$20:$A$49,0)),1)))</f>
        <v/>
      </c>
      <c r="Z229" s="94">
        <f>IF($A229="",0,IF(AE229="직접",IF(AF229="신계약비",$P229,0),$P229*(1-AG229)*IFERROR(INDEX(계정대체기준!$C$20:$C$49,MATCH($N229,계정대체기준!$A$20:$A$49,0)),0)))</f>
        <v/>
      </c>
      <c r="AA229" s="94">
        <f>IF($A229="",0,IF(AE229="직접",IF(OR(AF229="유지비",AF229="손해조사비"),$P229,0),$P229*(1-AG229)*IFERROR(INDEX(계정대체기준!$D$20:$D$49,MATCH($N229,계정대체기준!$A$20:$A$49,0)),0)))</f>
        <v/>
      </c>
      <c r="AB229" s="94">
        <f>IF($A229="",0,IF(AE229="직접",IF(AF229="수금비",$P229,0),$P229*(1-AG229)*IFERROR(INDEX(계정대체기준!$E$20:$E$49,MATCH($N229,계정대체기준!$A$20:$A$49,0)),0)))</f>
        <v/>
      </c>
      <c r="AC229" s="9">
        <f>IF(AND($A229&lt;&gt;"",M229=설정!$C$20,Z229&gt;0),Z229+ROW()/1000000000,"")</f>
        <v/>
      </c>
      <c r="AD229" s="94">
        <f>IF($A229="",0,$P229*AG229)</f>
        <v/>
      </c>
      <c r="AE229" s="64">
        <f>IF($A229="","",IFERROR(INDEX(계정매핑!$E$5:$E$504,MATCH($F229&amp;"",계정매핑!$A$5:$A$504,0))&amp;"","공통비"))</f>
        <v/>
      </c>
      <c r="AF229" s="64">
        <f>IF($A229="","",IF(AE229="직접",IFERROR(INDEX(계정매핑!$F$5:$F$504,MATCH($F229&amp;"",계정매핑!$A$5:$A$504,0))&amp;"","비귀속"),""))</f>
        <v/>
      </c>
      <c r="AG229" s="96">
        <f>IF($A229="",0,IF(AND(AE229&lt;&gt;"직접",IFERROR(INDEX(계정매핑!$G$5:$G$504,MATCH($F229&amp;"",계정매핑!$A$5:$A$504,0))&amp;"","")="유지비",COUNTIF(계정대체기준!$A$6:$A$15,$N229)&gt;0),IFERROR(INDEX(계정대체기준!$E$6:$E$15,MATCH(VALUE($A229&amp;""),계정대체기준!$D$6:$D$15,0)),0),0))</f>
        <v/>
      </c>
      <c r="AH229" s="64">
        <f>IF($A229="","",IF(AD229=0,"",IF(OR(COUNTIF(계정대체기준!$A$77:$A$86,$N229)&gt;0,ISNUMBER(MATCH($X229,계정대체기준!$D$77:$D$86,0)),ISNUMBER(MATCH($F229,계정대체기준!$D$77:$D$86,0))),"Y","N")))</f>
        <v/>
      </c>
    </row>
    <row r="230">
      <c r="A230" s="92" t="n">
        <v>2025</v>
      </c>
      <c r="B230" s="92" t="n">
        <v>1</v>
      </c>
      <c r="C230" s="92" t="inlineStr">
        <is>
          <t>5100000226</t>
        </is>
      </c>
      <c r="D230" s="95" t="n">
        <v>45682</v>
      </c>
      <c r="E230" s="92" t="inlineStr">
        <is>
          <t>KR</t>
        </is>
      </c>
      <c r="F230" s="92" t="n">
        <v>63501000</v>
      </c>
      <c r="G230" s="92" t="n">
        <v>1901</v>
      </c>
      <c r="H230" s="93" t="n">
        <v>361472000</v>
      </c>
      <c r="I230" s="92" t="inlineStr">
        <is>
          <t>1월 모집수수료 - BB에셋</t>
        </is>
      </c>
      <c r="J230" s="92" t="inlineStr">
        <is>
          <t>V10013</t>
        </is>
      </c>
      <c r="K230" s="92" t="inlineStr">
        <is>
          <t>BB에셋</t>
        </is>
      </c>
      <c r="M230" s="9">
        <f>IF($A230="","",VALUE($A230&amp;"")*12+VALUE($B230&amp;""))</f>
        <v/>
      </c>
      <c r="N230" s="64">
        <f>IF($A230="","",IFERROR(INDEX(부서매핑!$C$5:$C$504,MATCH($G230&amp;"",부서매핑!$A$5:$A$504,0)),"미매핑"))</f>
        <v/>
      </c>
      <c r="O230" s="9">
        <f>IF($A230="","",N230&amp;"|"&amp;$F230)</f>
        <v/>
      </c>
      <c r="P230" s="94">
        <f>IF($A230="",0,$H230*설정!$C$23)</f>
        <v/>
      </c>
      <c r="Q230" s="64">
        <f>IF($A230="","",IF(O230&lt;&gt;원인분석!$C$9,"",IF(AND(M230&gt;=원인분석!$C$10,M230&lt;=원인분석!$C$11),"당기",IF(AND(M230&gt;=원인분석!$C$12,M230&lt;=원인분석!$C$13),"비교",""))))</f>
        <v/>
      </c>
      <c r="R230" s="9">
        <f>IF(Q230="","",$K230&amp;"")</f>
        <v/>
      </c>
      <c r="S230" s="9">
        <f>IF(Q230="","",IF(MATCH(R230,$R$5:$R$100000,0)=ROW()-4,ROW(),""))</f>
        <v/>
      </c>
      <c r="T230" s="9">
        <f>IF(Q230="당기",ABS(P230)+ROW()/1000000000,"")</f>
        <v/>
      </c>
      <c r="U230" s="9">
        <f>IF(Q230="비교",ABS(P230)+ROW()/1000000000,"")</f>
        <v/>
      </c>
      <c r="V230" s="64">
        <f>IF($A230="","",IF(COUNTIF(변동분석!$E$7:$E$506,O230)&gt;0,"Y","N"))</f>
        <v/>
      </c>
      <c r="W230" s="64">
        <f>IF($A230="","",IFERROR(INDEX(계정매핑!$D$5:$D$504,MATCH($F230&amp;"",계정매핑!$A$5:$A$504,0)),"미매핑"))</f>
        <v/>
      </c>
      <c r="X230" s="9">
        <f>IF($A230="","",$F230&amp;"")</f>
        <v/>
      </c>
      <c r="Y230" s="94">
        <f>IF($A230="",0,IF(AE230="직접",IF(AF230="비귀속",$P230,0),$P230*(1-AG230)*IFERROR(INDEX(계정대체기준!$F$20:$F$49,MATCH($N230,계정대체기준!$A$20:$A$49,0)),1)))</f>
        <v/>
      </c>
      <c r="Z230" s="94">
        <f>IF($A230="",0,IF(AE230="직접",IF(AF230="신계약비",$P230,0),$P230*(1-AG230)*IFERROR(INDEX(계정대체기준!$C$20:$C$49,MATCH($N230,계정대체기준!$A$20:$A$49,0)),0)))</f>
        <v/>
      </c>
      <c r="AA230" s="94">
        <f>IF($A230="",0,IF(AE230="직접",IF(OR(AF230="유지비",AF230="손해조사비"),$P230,0),$P230*(1-AG230)*IFERROR(INDEX(계정대체기준!$D$20:$D$49,MATCH($N230,계정대체기준!$A$20:$A$49,0)),0)))</f>
        <v/>
      </c>
      <c r="AB230" s="94">
        <f>IF($A230="",0,IF(AE230="직접",IF(AF230="수금비",$P230,0),$P230*(1-AG230)*IFERROR(INDEX(계정대체기준!$E$20:$E$49,MATCH($N230,계정대체기준!$A$20:$A$49,0)),0)))</f>
        <v/>
      </c>
      <c r="AC230" s="9">
        <f>IF(AND($A230&lt;&gt;"",M230=설정!$C$20,Z230&gt;0),Z230+ROW()/1000000000,"")</f>
        <v/>
      </c>
      <c r="AD230" s="94">
        <f>IF($A230="",0,$P230*AG230)</f>
        <v/>
      </c>
      <c r="AE230" s="64">
        <f>IF($A230="","",IFERROR(INDEX(계정매핑!$E$5:$E$504,MATCH($F230&amp;"",계정매핑!$A$5:$A$504,0))&amp;"","공통비"))</f>
        <v/>
      </c>
      <c r="AF230" s="64">
        <f>IF($A230="","",IF(AE230="직접",IFERROR(INDEX(계정매핑!$F$5:$F$504,MATCH($F230&amp;"",계정매핑!$A$5:$A$504,0))&amp;"","비귀속"),""))</f>
        <v/>
      </c>
      <c r="AG230" s="96">
        <f>IF($A230="",0,IF(AND(AE230&lt;&gt;"직접",IFERROR(INDEX(계정매핑!$G$5:$G$504,MATCH($F230&amp;"",계정매핑!$A$5:$A$504,0))&amp;"","")="유지비",COUNTIF(계정대체기준!$A$6:$A$15,$N230)&gt;0),IFERROR(INDEX(계정대체기준!$E$6:$E$15,MATCH(VALUE($A230&amp;""),계정대체기준!$D$6:$D$15,0)),0),0))</f>
        <v/>
      </c>
      <c r="AH230" s="64">
        <f>IF($A230="","",IF(AD230=0,"",IF(OR(COUNTIF(계정대체기준!$A$77:$A$86,$N230)&gt;0,ISNUMBER(MATCH($X230,계정대체기준!$D$77:$D$86,0)),ISNUMBER(MATCH($F230,계정대체기준!$D$77:$D$86,0))),"Y","N")))</f>
        <v/>
      </c>
    </row>
    <row r="231">
      <c r="A231" s="92" t="n">
        <v>2025</v>
      </c>
      <c r="B231" s="92" t="n">
        <v>1</v>
      </c>
      <c r="C231" s="92" t="inlineStr">
        <is>
          <t>5100000227</t>
        </is>
      </c>
      <c r="D231" s="95" t="n">
        <v>45683</v>
      </c>
      <c r="E231" s="92" t="inlineStr">
        <is>
          <t>KR</t>
        </is>
      </c>
      <c r="F231" s="92" t="n">
        <v>62102000</v>
      </c>
      <c r="G231" s="92" t="n">
        <v>1701</v>
      </c>
      <c r="H231" s="93" t="n">
        <v>33000</v>
      </c>
      <c r="I231" s="92" t="inlineStr">
        <is>
          <t>1월 해외출장 - N호텔</t>
        </is>
      </c>
      <c r="J231" s="92" t="inlineStr">
        <is>
          <t>V10009</t>
        </is>
      </c>
      <c r="K231" s="92" t="inlineStr">
        <is>
          <t>N호텔</t>
        </is>
      </c>
      <c r="M231" s="9">
        <f>IF($A231="","",VALUE($A231&amp;"")*12+VALUE($B231&amp;""))</f>
        <v/>
      </c>
      <c r="N231" s="64">
        <f>IF($A231="","",IFERROR(INDEX(부서매핑!$C$5:$C$504,MATCH($G231&amp;"",부서매핑!$A$5:$A$504,0)),"미매핑"))</f>
        <v/>
      </c>
      <c r="O231" s="9">
        <f>IF($A231="","",N231&amp;"|"&amp;$F231)</f>
        <v/>
      </c>
      <c r="P231" s="94">
        <f>IF($A231="",0,$H231*설정!$C$23)</f>
        <v/>
      </c>
      <c r="Q231" s="64">
        <f>IF($A231="","",IF(O231&lt;&gt;원인분석!$C$9,"",IF(AND(M231&gt;=원인분석!$C$10,M231&lt;=원인분석!$C$11),"당기",IF(AND(M231&gt;=원인분석!$C$12,M231&lt;=원인분석!$C$13),"비교",""))))</f>
        <v/>
      </c>
      <c r="R231" s="9">
        <f>IF(Q231="","",$K231&amp;"")</f>
        <v/>
      </c>
      <c r="S231" s="9">
        <f>IF(Q231="","",IF(MATCH(R231,$R$5:$R$100000,0)=ROW()-4,ROW(),""))</f>
        <v/>
      </c>
      <c r="T231" s="9">
        <f>IF(Q231="당기",ABS(P231)+ROW()/1000000000,"")</f>
        <v/>
      </c>
      <c r="U231" s="9">
        <f>IF(Q231="비교",ABS(P231)+ROW()/1000000000,"")</f>
        <v/>
      </c>
      <c r="V231" s="64">
        <f>IF($A231="","",IF(COUNTIF(변동분석!$E$7:$E$506,O231)&gt;0,"Y","N"))</f>
        <v/>
      </c>
      <c r="W231" s="64">
        <f>IF($A231="","",IFERROR(INDEX(계정매핑!$D$5:$D$504,MATCH($F231&amp;"",계정매핑!$A$5:$A$504,0)),"미매핑"))</f>
        <v/>
      </c>
      <c r="X231" s="9">
        <f>IF($A231="","",$F231&amp;"")</f>
        <v/>
      </c>
      <c r="Y231" s="94">
        <f>IF($A231="",0,IF(AE231="직접",IF(AF231="비귀속",$P231,0),$P231*(1-AG231)*IFERROR(INDEX(계정대체기준!$F$20:$F$49,MATCH($N231,계정대체기준!$A$20:$A$49,0)),1)))</f>
        <v/>
      </c>
      <c r="Z231" s="94">
        <f>IF($A231="",0,IF(AE231="직접",IF(AF231="신계약비",$P231,0),$P231*(1-AG231)*IFERROR(INDEX(계정대체기준!$C$20:$C$49,MATCH($N231,계정대체기준!$A$20:$A$49,0)),0)))</f>
        <v/>
      </c>
      <c r="AA231" s="94">
        <f>IF($A231="",0,IF(AE231="직접",IF(OR(AF231="유지비",AF231="손해조사비"),$P231,0),$P231*(1-AG231)*IFERROR(INDEX(계정대체기준!$D$20:$D$49,MATCH($N231,계정대체기준!$A$20:$A$49,0)),0)))</f>
        <v/>
      </c>
      <c r="AB231" s="94">
        <f>IF($A231="",0,IF(AE231="직접",IF(AF231="수금비",$P231,0),$P231*(1-AG231)*IFERROR(INDEX(계정대체기준!$E$20:$E$49,MATCH($N231,계정대체기준!$A$20:$A$49,0)),0)))</f>
        <v/>
      </c>
      <c r="AC231" s="9">
        <f>IF(AND($A231&lt;&gt;"",M231=설정!$C$20,Z231&gt;0),Z231+ROW()/1000000000,"")</f>
        <v/>
      </c>
      <c r="AD231" s="94">
        <f>IF($A231="",0,$P231*AG231)</f>
        <v/>
      </c>
      <c r="AE231" s="64">
        <f>IF($A231="","",IFERROR(INDEX(계정매핑!$E$5:$E$504,MATCH($F231&amp;"",계정매핑!$A$5:$A$504,0))&amp;"","공통비"))</f>
        <v/>
      </c>
      <c r="AF231" s="64">
        <f>IF($A231="","",IF(AE231="직접",IFERROR(INDEX(계정매핑!$F$5:$F$504,MATCH($F231&amp;"",계정매핑!$A$5:$A$504,0))&amp;"","비귀속"),""))</f>
        <v/>
      </c>
      <c r="AG231" s="96">
        <f>IF($A231="",0,IF(AND(AE231&lt;&gt;"직접",IFERROR(INDEX(계정매핑!$G$5:$G$504,MATCH($F231&amp;"",계정매핑!$A$5:$A$504,0))&amp;"","")="유지비",COUNTIF(계정대체기준!$A$6:$A$15,$N231)&gt;0),IFERROR(INDEX(계정대체기준!$E$6:$E$15,MATCH(VALUE($A231&amp;""),계정대체기준!$D$6:$D$15,0)),0),0))</f>
        <v/>
      </c>
      <c r="AH231" s="64">
        <f>IF($A231="","",IF(AD231=0,"",IF(OR(COUNTIF(계정대체기준!$A$77:$A$86,$N231)&gt;0,ISNUMBER(MATCH($X231,계정대체기준!$D$77:$D$86,0)),ISNUMBER(MATCH($F231,계정대체기준!$D$77:$D$86,0))),"Y","N")))</f>
        <v/>
      </c>
    </row>
    <row r="232">
      <c r="A232" s="92" t="n">
        <v>2025</v>
      </c>
      <c r="B232" s="92" t="n">
        <v>1</v>
      </c>
      <c r="C232" s="92" t="inlineStr">
        <is>
          <t>5100000228</t>
        </is>
      </c>
      <c r="D232" s="95" t="n">
        <v>45683</v>
      </c>
      <c r="E232" s="92" t="inlineStr">
        <is>
          <t>KR</t>
        </is>
      </c>
      <c r="F232" s="92" t="n">
        <v>63501000</v>
      </c>
      <c r="G232" s="92" t="n">
        <v>1901</v>
      </c>
      <c r="H232" s="93" t="n">
        <v>583220000</v>
      </c>
      <c r="I232" s="92" t="inlineStr">
        <is>
          <t>1월 모집수수료 - AA보험대리점</t>
        </is>
      </c>
      <c r="J232" s="92" t="inlineStr">
        <is>
          <t>V10034</t>
        </is>
      </c>
      <c r="K232" s="92" t="inlineStr">
        <is>
          <t>AA보험대리점</t>
        </is>
      </c>
      <c r="M232" s="9">
        <f>IF($A232="","",VALUE($A232&amp;"")*12+VALUE($B232&amp;""))</f>
        <v/>
      </c>
      <c r="N232" s="64">
        <f>IF($A232="","",IFERROR(INDEX(부서매핑!$C$5:$C$504,MATCH($G232&amp;"",부서매핑!$A$5:$A$504,0)),"미매핑"))</f>
        <v/>
      </c>
      <c r="O232" s="9">
        <f>IF($A232="","",N232&amp;"|"&amp;$F232)</f>
        <v/>
      </c>
      <c r="P232" s="94">
        <f>IF($A232="",0,$H232*설정!$C$23)</f>
        <v/>
      </c>
      <c r="Q232" s="64">
        <f>IF($A232="","",IF(O232&lt;&gt;원인분석!$C$9,"",IF(AND(M232&gt;=원인분석!$C$10,M232&lt;=원인분석!$C$11),"당기",IF(AND(M232&gt;=원인분석!$C$12,M232&lt;=원인분석!$C$13),"비교",""))))</f>
        <v/>
      </c>
      <c r="R232" s="9">
        <f>IF(Q232="","",$K232&amp;"")</f>
        <v/>
      </c>
      <c r="S232" s="9">
        <f>IF(Q232="","",IF(MATCH(R232,$R$5:$R$100000,0)=ROW()-4,ROW(),""))</f>
        <v/>
      </c>
      <c r="T232" s="9">
        <f>IF(Q232="당기",ABS(P232)+ROW()/1000000000,"")</f>
        <v/>
      </c>
      <c r="U232" s="9">
        <f>IF(Q232="비교",ABS(P232)+ROW()/1000000000,"")</f>
        <v/>
      </c>
      <c r="V232" s="64">
        <f>IF($A232="","",IF(COUNTIF(변동분석!$E$7:$E$506,O232)&gt;0,"Y","N"))</f>
        <v/>
      </c>
      <c r="W232" s="64">
        <f>IF($A232="","",IFERROR(INDEX(계정매핑!$D$5:$D$504,MATCH($F232&amp;"",계정매핑!$A$5:$A$504,0)),"미매핑"))</f>
        <v/>
      </c>
      <c r="X232" s="9">
        <f>IF($A232="","",$F232&amp;"")</f>
        <v/>
      </c>
      <c r="Y232" s="94">
        <f>IF($A232="",0,IF(AE232="직접",IF(AF232="비귀속",$P232,0),$P232*(1-AG232)*IFERROR(INDEX(계정대체기준!$F$20:$F$49,MATCH($N232,계정대체기준!$A$20:$A$49,0)),1)))</f>
        <v/>
      </c>
      <c r="Z232" s="94">
        <f>IF($A232="",0,IF(AE232="직접",IF(AF232="신계약비",$P232,0),$P232*(1-AG232)*IFERROR(INDEX(계정대체기준!$C$20:$C$49,MATCH($N232,계정대체기준!$A$20:$A$49,0)),0)))</f>
        <v/>
      </c>
      <c r="AA232" s="94">
        <f>IF($A232="",0,IF(AE232="직접",IF(OR(AF232="유지비",AF232="손해조사비"),$P232,0),$P232*(1-AG232)*IFERROR(INDEX(계정대체기준!$D$20:$D$49,MATCH($N232,계정대체기준!$A$20:$A$49,0)),0)))</f>
        <v/>
      </c>
      <c r="AB232" s="94">
        <f>IF($A232="",0,IF(AE232="직접",IF(AF232="수금비",$P232,0),$P232*(1-AG232)*IFERROR(INDEX(계정대체기준!$E$20:$E$49,MATCH($N232,계정대체기준!$A$20:$A$49,0)),0)))</f>
        <v/>
      </c>
      <c r="AC232" s="9">
        <f>IF(AND($A232&lt;&gt;"",M232=설정!$C$20,Z232&gt;0),Z232+ROW()/1000000000,"")</f>
        <v/>
      </c>
      <c r="AD232" s="94">
        <f>IF($A232="",0,$P232*AG232)</f>
        <v/>
      </c>
      <c r="AE232" s="64">
        <f>IF($A232="","",IFERROR(INDEX(계정매핑!$E$5:$E$504,MATCH($F232&amp;"",계정매핑!$A$5:$A$504,0))&amp;"","공통비"))</f>
        <v/>
      </c>
      <c r="AF232" s="64">
        <f>IF($A232="","",IF(AE232="직접",IFERROR(INDEX(계정매핑!$F$5:$F$504,MATCH($F232&amp;"",계정매핑!$A$5:$A$504,0))&amp;"","비귀속"),""))</f>
        <v/>
      </c>
      <c r="AG232" s="96">
        <f>IF($A232="",0,IF(AND(AE232&lt;&gt;"직접",IFERROR(INDEX(계정매핑!$G$5:$G$504,MATCH($F232&amp;"",계정매핑!$A$5:$A$504,0))&amp;"","")="유지비",COUNTIF(계정대체기준!$A$6:$A$15,$N232)&gt;0),IFERROR(INDEX(계정대체기준!$E$6:$E$15,MATCH(VALUE($A232&amp;""),계정대체기준!$D$6:$D$15,0)),0),0))</f>
        <v/>
      </c>
      <c r="AH232" s="64">
        <f>IF($A232="","",IF(AD232=0,"",IF(OR(COUNTIF(계정대체기준!$A$77:$A$86,$N232)&gt;0,ISNUMBER(MATCH($X232,계정대체기준!$D$77:$D$86,0)),ISNUMBER(MATCH($F232,계정대체기준!$D$77:$D$86,0))),"Y","N")))</f>
        <v/>
      </c>
    </row>
    <row r="233">
      <c r="A233" s="92" t="n">
        <v>2025</v>
      </c>
      <c r="B233" s="92" t="n">
        <v>1</v>
      </c>
      <c r="C233" s="92" t="inlineStr">
        <is>
          <t>5100000229</t>
        </is>
      </c>
      <c r="D233" s="95" t="n">
        <v>45684</v>
      </c>
      <c r="E233" s="92" t="inlineStr">
        <is>
          <t>KR</t>
        </is>
      </c>
      <c r="F233" s="92" t="n">
        <v>62101000</v>
      </c>
      <c r="G233" s="92" t="n">
        <v>1201</v>
      </c>
      <c r="H233" s="93" t="n">
        <v>244000</v>
      </c>
      <c r="I233" s="92" t="inlineStr">
        <is>
          <t>1월 국내출장 - M항공</t>
        </is>
      </c>
      <c r="J233" s="92" t="inlineStr">
        <is>
          <t>V10001</t>
        </is>
      </c>
      <c r="K233" s="92" t="inlineStr">
        <is>
          <t>M항공</t>
        </is>
      </c>
      <c r="M233" s="9">
        <f>IF($A233="","",VALUE($A233&amp;"")*12+VALUE($B233&amp;""))</f>
        <v/>
      </c>
      <c r="N233" s="64">
        <f>IF($A233="","",IFERROR(INDEX(부서매핑!$C$5:$C$504,MATCH($G233&amp;"",부서매핑!$A$5:$A$504,0)),"미매핑"))</f>
        <v/>
      </c>
      <c r="O233" s="9">
        <f>IF($A233="","",N233&amp;"|"&amp;$F233)</f>
        <v/>
      </c>
      <c r="P233" s="94">
        <f>IF($A233="",0,$H233*설정!$C$23)</f>
        <v/>
      </c>
      <c r="Q233" s="64">
        <f>IF($A233="","",IF(O233&lt;&gt;원인분석!$C$9,"",IF(AND(M233&gt;=원인분석!$C$10,M233&lt;=원인분석!$C$11),"당기",IF(AND(M233&gt;=원인분석!$C$12,M233&lt;=원인분석!$C$13),"비교",""))))</f>
        <v/>
      </c>
      <c r="R233" s="9">
        <f>IF(Q233="","",$K233&amp;"")</f>
        <v/>
      </c>
      <c r="S233" s="9">
        <f>IF(Q233="","",IF(MATCH(R233,$R$5:$R$100000,0)=ROW()-4,ROW(),""))</f>
        <v/>
      </c>
      <c r="T233" s="9">
        <f>IF(Q233="당기",ABS(P233)+ROW()/1000000000,"")</f>
        <v/>
      </c>
      <c r="U233" s="9">
        <f>IF(Q233="비교",ABS(P233)+ROW()/1000000000,"")</f>
        <v/>
      </c>
      <c r="V233" s="64">
        <f>IF($A233="","",IF(COUNTIF(변동분석!$E$7:$E$506,O233)&gt;0,"Y","N"))</f>
        <v/>
      </c>
      <c r="W233" s="64">
        <f>IF($A233="","",IFERROR(INDEX(계정매핑!$D$5:$D$504,MATCH($F233&amp;"",계정매핑!$A$5:$A$504,0)),"미매핑"))</f>
        <v/>
      </c>
      <c r="X233" s="9">
        <f>IF($A233="","",$F233&amp;"")</f>
        <v/>
      </c>
      <c r="Y233" s="94">
        <f>IF($A233="",0,IF(AE233="직접",IF(AF233="비귀속",$P233,0),$P233*(1-AG233)*IFERROR(INDEX(계정대체기준!$F$20:$F$49,MATCH($N233,계정대체기준!$A$20:$A$49,0)),1)))</f>
        <v/>
      </c>
      <c r="Z233" s="94">
        <f>IF($A233="",0,IF(AE233="직접",IF(AF233="신계약비",$P233,0),$P233*(1-AG233)*IFERROR(INDEX(계정대체기준!$C$20:$C$49,MATCH($N233,계정대체기준!$A$20:$A$49,0)),0)))</f>
        <v/>
      </c>
      <c r="AA233" s="94">
        <f>IF($A233="",0,IF(AE233="직접",IF(OR(AF233="유지비",AF233="손해조사비"),$P233,0),$P233*(1-AG233)*IFERROR(INDEX(계정대체기준!$D$20:$D$49,MATCH($N233,계정대체기준!$A$20:$A$49,0)),0)))</f>
        <v/>
      </c>
      <c r="AB233" s="94">
        <f>IF($A233="",0,IF(AE233="직접",IF(AF233="수금비",$P233,0),$P233*(1-AG233)*IFERROR(INDEX(계정대체기준!$E$20:$E$49,MATCH($N233,계정대체기준!$A$20:$A$49,0)),0)))</f>
        <v/>
      </c>
      <c r="AC233" s="9">
        <f>IF(AND($A233&lt;&gt;"",M233=설정!$C$20,Z233&gt;0),Z233+ROW()/1000000000,"")</f>
        <v/>
      </c>
      <c r="AD233" s="94">
        <f>IF($A233="",0,$P233*AG233)</f>
        <v/>
      </c>
      <c r="AE233" s="64">
        <f>IF($A233="","",IFERROR(INDEX(계정매핑!$E$5:$E$504,MATCH($F233&amp;"",계정매핑!$A$5:$A$504,0))&amp;"","공통비"))</f>
        <v/>
      </c>
      <c r="AF233" s="64">
        <f>IF($A233="","",IF(AE233="직접",IFERROR(INDEX(계정매핑!$F$5:$F$504,MATCH($F233&amp;"",계정매핑!$A$5:$A$504,0))&amp;"","비귀속"),""))</f>
        <v/>
      </c>
      <c r="AG233" s="96">
        <f>IF($A233="",0,IF(AND(AE233&lt;&gt;"직접",IFERROR(INDEX(계정매핑!$G$5:$G$504,MATCH($F233&amp;"",계정매핑!$A$5:$A$504,0))&amp;"","")="유지비",COUNTIF(계정대체기준!$A$6:$A$15,$N233)&gt;0),IFERROR(INDEX(계정대체기준!$E$6:$E$15,MATCH(VALUE($A233&amp;""),계정대체기준!$D$6:$D$15,0)),0),0))</f>
        <v/>
      </c>
      <c r="AH233" s="64">
        <f>IF($A233="","",IF(AD233=0,"",IF(OR(COUNTIF(계정대체기준!$A$77:$A$86,$N233)&gt;0,ISNUMBER(MATCH($X233,계정대체기준!$D$77:$D$86,0)),ISNUMBER(MATCH($F233,계정대체기준!$D$77:$D$86,0))),"Y","N")))</f>
        <v/>
      </c>
    </row>
    <row r="234">
      <c r="A234" s="92" t="n">
        <v>2025</v>
      </c>
      <c r="B234" s="92" t="n">
        <v>1</v>
      </c>
      <c r="C234" s="92" t="inlineStr">
        <is>
          <t>5100000230</t>
        </is>
      </c>
      <c r="D234" s="95" t="n">
        <v>45684</v>
      </c>
      <c r="E234" s="92" t="inlineStr">
        <is>
          <t>KR</t>
        </is>
      </c>
      <c r="F234" s="92" t="n">
        <v>62101000</v>
      </c>
      <c r="G234" s="92" t="n">
        <v>1951</v>
      </c>
      <c r="H234" s="93" t="n">
        <v>308000</v>
      </c>
      <c r="I234" s="92" t="inlineStr">
        <is>
          <t>1월 국내출장 - L여행사</t>
        </is>
      </c>
      <c r="J234" s="92" t="inlineStr">
        <is>
          <t>V10018</t>
        </is>
      </c>
      <c r="K234" s="92" t="inlineStr">
        <is>
          <t>L여행사</t>
        </is>
      </c>
      <c r="M234" s="9">
        <f>IF($A234="","",VALUE($A234&amp;"")*12+VALUE($B234&amp;""))</f>
        <v/>
      </c>
      <c r="N234" s="64">
        <f>IF($A234="","",IFERROR(INDEX(부서매핑!$C$5:$C$504,MATCH($G234&amp;"",부서매핑!$A$5:$A$504,0)),"미매핑"))</f>
        <v/>
      </c>
      <c r="O234" s="9">
        <f>IF($A234="","",N234&amp;"|"&amp;$F234)</f>
        <v/>
      </c>
      <c r="P234" s="94">
        <f>IF($A234="",0,$H234*설정!$C$23)</f>
        <v/>
      </c>
      <c r="Q234" s="64">
        <f>IF($A234="","",IF(O234&lt;&gt;원인분석!$C$9,"",IF(AND(M234&gt;=원인분석!$C$10,M234&lt;=원인분석!$C$11),"당기",IF(AND(M234&gt;=원인분석!$C$12,M234&lt;=원인분석!$C$13),"비교",""))))</f>
        <v/>
      </c>
      <c r="R234" s="9">
        <f>IF(Q234="","",$K234&amp;"")</f>
        <v/>
      </c>
      <c r="S234" s="9">
        <f>IF(Q234="","",IF(MATCH(R234,$R$5:$R$100000,0)=ROW()-4,ROW(),""))</f>
        <v/>
      </c>
      <c r="T234" s="9">
        <f>IF(Q234="당기",ABS(P234)+ROW()/1000000000,"")</f>
        <v/>
      </c>
      <c r="U234" s="9">
        <f>IF(Q234="비교",ABS(P234)+ROW()/1000000000,"")</f>
        <v/>
      </c>
      <c r="V234" s="64">
        <f>IF($A234="","",IF(COUNTIF(변동분석!$E$7:$E$506,O234)&gt;0,"Y","N"))</f>
        <v/>
      </c>
      <c r="W234" s="64">
        <f>IF($A234="","",IFERROR(INDEX(계정매핑!$D$5:$D$504,MATCH($F234&amp;"",계정매핑!$A$5:$A$504,0)),"미매핑"))</f>
        <v/>
      </c>
      <c r="X234" s="9">
        <f>IF($A234="","",$F234&amp;"")</f>
        <v/>
      </c>
      <c r="Y234" s="94">
        <f>IF($A234="",0,IF(AE234="직접",IF(AF234="비귀속",$P234,0),$P234*(1-AG234)*IFERROR(INDEX(계정대체기준!$F$20:$F$49,MATCH($N234,계정대체기준!$A$20:$A$49,0)),1)))</f>
        <v/>
      </c>
      <c r="Z234" s="94">
        <f>IF($A234="",0,IF(AE234="직접",IF(AF234="신계약비",$P234,0),$P234*(1-AG234)*IFERROR(INDEX(계정대체기준!$C$20:$C$49,MATCH($N234,계정대체기준!$A$20:$A$49,0)),0)))</f>
        <v/>
      </c>
      <c r="AA234" s="94">
        <f>IF($A234="",0,IF(AE234="직접",IF(OR(AF234="유지비",AF234="손해조사비"),$P234,0),$P234*(1-AG234)*IFERROR(INDEX(계정대체기준!$D$20:$D$49,MATCH($N234,계정대체기준!$A$20:$A$49,0)),0)))</f>
        <v/>
      </c>
      <c r="AB234" s="94">
        <f>IF($A234="",0,IF(AE234="직접",IF(AF234="수금비",$P234,0),$P234*(1-AG234)*IFERROR(INDEX(계정대체기준!$E$20:$E$49,MATCH($N234,계정대체기준!$A$20:$A$49,0)),0)))</f>
        <v/>
      </c>
      <c r="AC234" s="9">
        <f>IF(AND($A234&lt;&gt;"",M234=설정!$C$20,Z234&gt;0),Z234+ROW()/1000000000,"")</f>
        <v/>
      </c>
      <c r="AD234" s="94">
        <f>IF($A234="",0,$P234*AG234)</f>
        <v/>
      </c>
      <c r="AE234" s="64">
        <f>IF($A234="","",IFERROR(INDEX(계정매핑!$E$5:$E$504,MATCH($F234&amp;"",계정매핑!$A$5:$A$504,0))&amp;"","공통비"))</f>
        <v/>
      </c>
      <c r="AF234" s="64">
        <f>IF($A234="","",IF(AE234="직접",IFERROR(INDEX(계정매핑!$F$5:$F$504,MATCH($F234&amp;"",계정매핑!$A$5:$A$504,0))&amp;"","비귀속"),""))</f>
        <v/>
      </c>
      <c r="AG234" s="96">
        <f>IF($A234="",0,IF(AND(AE234&lt;&gt;"직접",IFERROR(INDEX(계정매핑!$G$5:$G$504,MATCH($F234&amp;"",계정매핑!$A$5:$A$504,0))&amp;"","")="유지비",COUNTIF(계정대체기준!$A$6:$A$15,$N234)&gt;0),IFERROR(INDEX(계정대체기준!$E$6:$E$15,MATCH(VALUE($A234&amp;""),계정대체기준!$D$6:$D$15,0)),0),0))</f>
        <v/>
      </c>
      <c r="AH234" s="64">
        <f>IF($A234="","",IF(AD234=0,"",IF(OR(COUNTIF(계정대체기준!$A$77:$A$86,$N234)&gt;0,ISNUMBER(MATCH($X234,계정대체기준!$D$77:$D$86,0)),ISNUMBER(MATCH($F234,계정대체기준!$D$77:$D$86,0))),"Y","N")))</f>
        <v/>
      </c>
    </row>
    <row r="235">
      <c r="A235" s="92" t="n">
        <v>2025</v>
      </c>
      <c r="B235" s="92" t="n">
        <v>1</v>
      </c>
      <c r="C235" s="92" t="inlineStr">
        <is>
          <t>5100000231</t>
        </is>
      </c>
      <c r="D235" s="95" t="n">
        <v>45684</v>
      </c>
      <c r="E235" s="92" t="inlineStr">
        <is>
          <t>KR</t>
        </is>
      </c>
      <c r="F235" s="92" t="n">
        <v>62101000</v>
      </c>
      <c r="G235" s="92" t="n">
        <v>1951</v>
      </c>
      <c r="H235" s="93" t="n">
        <v>313000</v>
      </c>
      <c r="I235" s="92" t="inlineStr">
        <is>
          <t>1월 국내출장 - (법인카드)</t>
        </is>
      </c>
      <c r="J235" s="92" t="inlineStr">
        <is>
          <t>V10010</t>
        </is>
      </c>
      <c r="K235" s="92" t="inlineStr">
        <is>
          <t>(법인카드)</t>
        </is>
      </c>
      <c r="M235" s="9">
        <f>IF($A235="","",VALUE($A235&amp;"")*12+VALUE($B235&amp;""))</f>
        <v/>
      </c>
      <c r="N235" s="64">
        <f>IF($A235="","",IFERROR(INDEX(부서매핑!$C$5:$C$504,MATCH($G235&amp;"",부서매핑!$A$5:$A$504,0)),"미매핑"))</f>
        <v/>
      </c>
      <c r="O235" s="9">
        <f>IF($A235="","",N235&amp;"|"&amp;$F235)</f>
        <v/>
      </c>
      <c r="P235" s="94">
        <f>IF($A235="",0,$H235*설정!$C$23)</f>
        <v/>
      </c>
      <c r="Q235" s="64">
        <f>IF($A235="","",IF(O235&lt;&gt;원인분석!$C$9,"",IF(AND(M235&gt;=원인분석!$C$10,M235&lt;=원인분석!$C$11),"당기",IF(AND(M235&gt;=원인분석!$C$12,M235&lt;=원인분석!$C$13),"비교",""))))</f>
        <v/>
      </c>
      <c r="R235" s="9">
        <f>IF(Q235="","",$K235&amp;"")</f>
        <v/>
      </c>
      <c r="S235" s="9">
        <f>IF(Q235="","",IF(MATCH(R235,$R$5:$R$100000,0)=ROW()-4,ROW(),""))</f>
        <v/>
      </c>
      <c r="T235" s="9">
        <f>IF(Q235="당기",ABS(P235)+ROW()/1000000000,"")</f>
        <v/>
      </c>
      <c r="U235" s="9">
        <f>IF(Q235="비교",ABS(P235)+ROW()/1000000000,"")</f>
        <v/>
      </c>
      <c r="V235" s="64">
        <f>IF($A235="","",IF(COUNTIF(변동분석!$E$7:$E$506,O235)&gt;0,"Y","N"))</f>
        <v/>
      </c>
      <c r="W235" s="64">
        <f>IF($A235="","",IFERROR(INDEX(계정매핑!$D$5:$D$504,MATCH($F235&amp;"",계정매핑!$A$5:$A$504,0)),"미매핑"))</f>
        <v/>
      </c>
      <c r="X235" s="9">
        <f>IF($A235="","",$F235&amp;"")</f>
        <v/>
      </c>
      <c r="Y235" s="94">
        <f>IF($A235="",0,IF(AE235="직접",IF(AF235="비귀속",$P235,0),$P235*(1-AG235)*IFERROR(INDEX(계정대체기준!$F$20:$F$49,MATCH($N235,계정대체기준!$A$20:$A$49,0)),1)))</f>
        <v/>
      </c>
      <c r="Z235" s="94">
        <f>IF($A235="",0,IF(AE235="직접",IF(AF235="신계약비",$P235,0),$P235*(1-AG235)*IFERROR(INDEX(계정대체기준!$C$20:$C$49,MATCH($N235,계정대체기준!$A$20:$A$49,0)),0)))</f>
        <v/>
      </c>
      <c r="AA235" s="94">
        <f>IF($A235="",0,IF(AE235="직접",IF(OR(AF235="유지비",AF235="손해조사비"),$P235,0),$P235*(1-AG235)*IFERROR(INDEX(계정대체기준!$D$20:$D$49,MATCH($N235,계정대체기준!$A$20:$A$49,0)),0)))</f>
        <v/>
      </c>
      <c r="AB235" s="94">
        <f>IF($A235="",0,IF(AE235="직접",IF(AF235="수금비",$P235,0),$P235*(1-AG235)*IFERROR(INDEX(계정대체기준!$E$20:$E$49,MATCH($N235,계정대체기준!$A$20:$A$49,0)),0)))</f>
        <v/>
      </c>
      <c r="AC235" s="9">
        <f>IF(AND($A235&lt;&gt;"",M235=설정!$C$20,Z235&gt;0),Z235+ROW()/1000000000,"")</f>
        <v/>
      </c>
      <c r="AD235" s="94">
        <f>IF($A235="",0,$P235*AG235)</f>
        <v/>
      </c>
      <c r="AE235" s="64">
        <f>IF($A235="","",IFERROR(INDEX(계정매핑!$E$5:$E$504,MATCH($F235&amp;"",계정매핑!$A$5:$A$504,0))&amp;"","공통비"))</f>
        <v/>
      </c>
      <c r="AF235" s="64">
        <f>IF($A235="","",IF(AE235="직접",IFERROR(INDEX(계정매핑!$F$5:$F$504,MATCH($F235&amp;"",계정매핑!$A$5:$A$504,0))&amp;"","비귀속"),""))</f>
        <v/>
      </c>
      <c r="AG235" s="96">
        <f>IF($A235="",0,IF(AND(AE235&lt;&gt;"직접",IFERROR(INDEX(계정매핑!$G$5:$G$504,MATCH($F235&amp;"",계정매핑!$A$5:$A$504,0))&amp;"","")="유지비",COUNTIF(계정대체기준!$A$6:$A$15,$N235)&gt;0),IFERROR(INDEX(계정대체기준!$E$6:$E$15,MATCH(VALUE($A235&amp;""),계정대체기준!$D$6:$D$15,0)),0),0))</f>
        <v/>
      </c>
      <c r="AH235" s="64">
        <f>IF($A235="","",IF(AD235=0,"",IF(OR(COUNTIF(계정대체기준!$A$77:$A$86,$N235)&gt;0,ISNUMBER(MATCH($X235,계정대체기준!$D$77:$D$86,0)),ISNUMBER(MATCH($F235,계정대체기준!$D$77:$D$86,0))),"Y","N")))</f>
        <v/>
      </c>
    </row>
    <row r="236">
      <c r="A236" s="92" t="n">
        <v>2025</v>
      </c>
      <c r="B236" s="92" t="n">
        <v>1</v>
      </c>
      <c r="C236" s="92" t="inlineStr">
        <is>
          <t>5100000232</t>
        </is>
      </c>
      <c r="D236" s="95" t="n">
        <v>45684</v>
      </c>
      <c r="E236" s="92" t="inlineStr">
        <is>
          <t>KR</t>
        </is>
      </c>
      <c r="F236" s="92" t="n">
        <v>62102000</v>
      </c>
      <c r="G236" s="92" t="n">
        <v>1101</v>
      </c>
      <c r="H236" s="93" t="n">
        <v>262000</v>
      </c>
      <c r="I236" s="92" t="inlineStr">
        <is>
          <t>1월 해외출장 - M항공</t>
        </is>
      </c>
      <c r="J236" s="92" t="inlineStr">
        <is>
          <t>V10001</t>
        </is>
      </c>
      <c r="K236" s="92" t="inlineStr">
        <is>
          <t>M항공</t>
        </is>
      </c>
      <c r="M236" s="9">
        <f>IF($A236="","",VALUE($A236&amp;"")*12+VALUE($B236&amp;""))</f>
        <v/>
      </c>
      <c r="N236" s="64">
        <f>IF($A236="","",IFERROR(INDEX(부서매핑!$C$5:$C$504,MATCH($G236&amp;"",부서매핑!$A$5:$A$504,0)),"미매핑"))</f>
        <v/>
      </c>
      <c r="O236" s="9">
        <f>IF($A236="","",N236&amp;"|"&amp;$F236)</f>
        <v/>
      </c>
      <c r="P236" s="94">
        <f>IF($A236="",0,$H236*설정!$C$23)</f>
        <v/>
      </c>
      <c r="Q236" s="64">
        <f>IF($A236="","",IF(O236&lt;&gt;원인분석!$C$9,"",IF(AND(M236&gt;=원인분석!$C$10,M236&lt;=원인분석!$C$11),"당기",IF(AND(M236&gt;=원인분석!$C$12,M236&lt;=원인분석!$C$13),"비교",""))))</f>
        <v/>
      </c>
      <c r="R236" s="9">
        <f>IF(Q236="","",$K236&amp;"")</f>
        <v/>
      </c>
      <c r="S236" s="9">
        <f>IF(Q236="","",IF(MATCH(R236,$R$5:$R$100000,0)=ROW()-4,ROW(),""))</f>
        <v/>
      </c>
      <c r="T236" s="9">
        <f>IF(Q236="당기",ABS(P236)+ROW()/1000000000,"")</f>
        <v/>
      </c>
      <c r="U236" s="9">
        <f>IF(Q236="비교",ABS(P236)+ROW()/1000000000,"")</f>
        <v/>
      </c>
      <c r="V236" s="64">
        <f>IF($A236="","",IF(COUNTIF(변동분석!$E$7:$E$506,O236)&gt;0,"Y","N"))</f>
        <v/>
      </c>
      <c r="W236" s="64">
        <f>IF($A236="","",IFERROR(INDEX(계정매핑!$D$5:$D$504,MATCH($F236&amp;"",계정매핑!$A$5:$A$504,0)),"미매핑"))</f>
        <v/>
      </c>
      <c r="X236" s="9">
        <f>IF($A236="","",$F236&amp;"")</f>
        <v/>
      </c>
      <c r="Y236" s="94">
        <f>IF($A236="",0,IF(AE236="직접",IF(AF236="비귀속",$P236,0),$P236*(1-AG236)*IFERROR(INDEX(계정대체기준!$F$20:$F$49,MATCH($N236,계정대체기준!$A$20:$A$49,0)),1)))</f>
        <v/>
      </c>
      <c r="Z236" s="94">
        <f>IF($A236="",0,IF(AE236="직접",IF(AF236="신계약비",$P236,0),$P236*(1-AG236)*IFERROR(INDEX(계정대체기준!$C$20:$C$49,MATCH($N236,계정대체기준!$A$20:$A$49,0)),0)))</f>
        <v/>
      </c>
      <c r="AA236" s="94">
        <f>IF($A236="",0,IF(AE236="직접",IF(OR(AF236="유지비",AF236="손해조사비"),$P236,0),$P236*(1-AG236)*IFERROR(INDEX(계정대체기준!$D$20:$D$49,MATCH($N236,계정대체기준!$A$20:$A$49,0)),0)))</f>
        <v/>
      </c>
      <c r="AB236" s="94">
        <f>IF($A236="",0,IF(AE236="직접",IF(AF236="수금비",$P236,0),$P236*(1-AG236)*IFERROR(INDEX(계정대체기준!$E$20:$E$49,MATCH($N236,계정대체기준!$A$20:$A$49,0)),0)))</f>
        <v/>
      </c>
      <c r="AC236" s="9">
        <f>IF(AND($A236&lt;&gt;"",M236=설정!$C$20,Z236&gt;0),Z236+ROW()/1000000000,"")</f>
        <v/>
      </c>
      <c r="AD236" s="94">
        <f>IF($A236="",0,$P236*AG236)</f>
        <v/>
      </c>
      <c r="AE236" s="64">
        <f>IF($A236="","",IFERROR(INDEX(계정매핑!$E$5:$E$504,MATCH($F236&amp;"",계정매핑!$A$5:$A$504,0))&amp;"","공통비"))</f>
        <v/>
      </c>
      <c r="AF236" s="64">
        <f>IF($A236="","",IF(AE236="직접",IFERROR(INDEX(계정매핑!$F$5:$F$504,MATCH($F236&amp;"",계정매핑!$A$5:$A$504,0))&amp;"","비귀속"),""))</f>
        <v/>
      </c>
      <c r="AG236" s="96">
        <f>IF($A236="",0,IF(AND(AE236&lt;&gt;"직접",IFERROR(INDEX(계정매핑!$G$5:$G$504,MATCH($F236&amp;"",계정매핑!$A$5:$A$504,0))&amp;"","")="유지비",COUNTIF(계정대체기준!$A$6:$A$15,$N236)&gt;0),IFERROR(INDEX(계정대체기준!$E$6:$E$15,MATCH(VALUE($A236&amp;""),계정대체기준!$D$6:$D$15,0)),0),0))</f>
        <v/>
      </c>
      <c r="AH236" s="64">
        <f>IF($A236="","",IF(AD236=0,"",IF(OR(COUNTIF(계정대체기준!$A$77:$A$86,$N236)&gt;0,ISNUMBER(MATCH($X236,계정대체기준!$D$77:$D$86,0)),ISNUMBER(MATCH($F236,계정대체기준!$D$77:$D$86,0))),"Y","N")))</f>
        <v/>
      </c>
    </row>
    <row r="237">
      <c r="A237" s="92" t="n">
        <v>2025</v>
      </c>
      <c r="B237" s="92" t="n">
        <v>1</v>
      </c>
      <c r="C237" s="92" t="inlineStr">
        <is>
          <t>5100000233</t>
        </is>
      </c>
      <c r="D237" s="95" t="n">
        <v>45684</v>
      </c>
      <c r="E237" s="92" t="inlineStr">
        <is>
          <t>KR</t>
        </is>
      </c>
      <c r="F237" s="92" t="n">
        <v>62102000</v>
      </c>
      <c r="G237" s="92" t="n">
        <v>1201</v>
      </c>
      <c r="H237" s="93" t="n">
        <v>43000</v>
      </c>
      <c r="I237" s="92" t="inlineStr">
        <is>
          <t>1월 해외출장 - M항공</t>
        </is>
      </c>
      <c r="J237" s="92" t="inlineStr">
        <is>
          <t>V10001</t>
        </is>
      </c>
      <c r="K237" s="92" t="inlineStr">
        <is>
          <t>M항공</t>
        </is>
      </c>
      <c r="M237" s="9">
        <f>IF($A237="","",VALUE($A237&amp;"")*12+VALUE($B237&amp;""))</f>
        <v/>
      </c>
      <c r="N237" s="64">
        <f>IF($A237="","",IFERROR(INDEX(부서매핑!$C$5:$C$504,MATCH($G237&amp;"",부서매핑!$A$5:$A$504,0)),"미매핑"))</f>
        <v/>
      </c>
      <c r="O237" s="9">
        <f>IF($A237="","",N237&amp;"|"&amp;$F237)</f>
        <v/>
      </c>
      <c r="P237" s="94">
        <f>IF($A237="",0,$H237*설정!$C$23)</f>
        <v/>
      </c>
      <c r="Q237" s="64">
        <f>IF($A237="","",IF(O237&lt;&gt;원인분석!$C$9,"",IF(AND(M237&gt;=원인분석!$C$10,M237&lt;=원인분석!$C$11),"당기",IF(AND(M237&gt;=원인분석!$C$12,M237&lt;=원인분석!$C$13),"비교",""))))</f>
        <v/>
      </c>
      <c r="R237" s="9">
        <f>IF(Q237="","",$K237&amp;"")</f>
        <v/>
      </c>
      <c r="S237" s="9">
        <f>IF(Q237="","",IF(MATCH(R237,$R$5:$R$100000,0)=ROW()-4,ROW(),""))</f>
        <v/>
      </c>
      <c r="T237" s="9">
        <f>IF(Q237="당기",ABS(P237)+ROW()/1000000000,"")</f>
        <v/>
      </c>
      <c r="U237" s="9">
        <f>IF(Q237="비교",ABS(P237)+ROW()/1000000000,"")</f>
        <v/>
      </c>
      <c r="V237" s="64">
        <f>IF($A237="","",IF(COUNTIF(변동분석!$E$7:$E$506,O237)&gt;0,"Y","N"))</f>
        <v/>
      </c>
      <c r="W237" s="64">
        <f>IF($A237="","",IFERROR(INDEX(계정매핑!$D$5:$D$504,MATCH($F237&amp;"",계정매핑!$A$5:$A$504,0)),"미매핑"))</f>
        <v/>
      </c>
      <c r="X237" s="9">
        <f>IF($A237="","",$F237&amp;"")</f>
        <v/>
      </c>
      <c r="Y237" s="94">
        <f>IF($A237="",0,IF(AE237="직접",IF(AF237="비귀속",$P237,0),$P237*(1-AG237)*IFERROR(INDEX(계정대체기준!$F$20:$F$49,MATCH($N237,계정대체기준!$A$20:$A$49,0)),1)))</f>
        <v/>
      </c>
      <c r="Z237" s="94">
        <f>IF($A237="",0,IF(AE237="직접",IF(AF237="신계약비",$P237,0),$P237*(1-AG237)*IFERROR(INDEX(계정대체기준!$C$20:$C$49,MATCH($N237,계정대체기준!$A$20:$A$49,0)),0)))</f>
        <v/>
      </c>
      <c r="AA237" s="94">
        <f>IF($A237="",0,IF(AE237="직접",IF(OR(AF237="유지비",AF237="손해조사비"),$P237,0),$P237*(1-AG237)*IFERROR(INDEX(계정대체기준!$D$20:$D$49,MATCH($N237,계정대체기준!$A$20:$A$49,0)),0)))</f>
        <v/>
      </c>
      <c r="AB237" s="94">
        <f>IF($A237="",0,IF(AE237="직접",IF(AF237="수금비",$P237,0),$P237*(1-AG237)*IFERROR(INDEX(계정대체기준!$E$20:$E$49,MATCH($N237,계정대체기준!$A$20:$A$49,0)),0)))</f>
        <v/>
      </c>
      <c r="AC237" s="9">
        <f>IF(AND($A237&lt;&gt;"",M237=설정!$C$20,Z237&gt;0),Z237+ROW()/1000000000,"")</f>
        <v/>
      </c>
      <c r="AD237" s="94">
        <f>IF($A237="",0,$P237*AG237)</f>
        <v/>
      </c>
      <c r="AE237" s="64">
        <f>IF($A237="","",IFERROR(INDEX(계정매핑!$E$5:$E$504,MATCH($F237&amp;"",계정매핑!$A$5:$A$504,0))&amp;"","공통비"))</f>
        <v/>
      </c>
      <c r="AF237" s="64">
        <f>IF($A237="","",IF(AE237="직접",IFERROR(INDEX(계정매핑!$F$5:$F$504,MATCH($F237&amp;"",계정매핑!$A$5:$A$504,0))&amp;"","비귀속"),""))</f>
        <v/>
      </c>
      <c r="AG237" s="96">
        <f>IF($A237="",0,IF(AND(AE237&lt;&gt;"직접",IFERROR(INDEX(계정매핑!$G$5:$G$504,MATCH($F237&amp;"",계정매핑!$A$5:$A$504,0))&amp;"","")="유지비",COUNTIF(계정대체기준!$A$6:$A$15,$N237)&gt;0),IFERROR(INDEX(계정대체기준!$E$6:$E$15,MATCH(VALUE($A237&amp;""),계정대체기준!$D$6:$D$15,0)),0),0))</f>
        <v/>
      </c>
      <c r="AH237" s="64">
        <f>IF($A237="","",IF(AD237=0,"",IF(OR(COUNTIF(계정대체기준!$A$77:$A$86,$N237)&gt;0,ISNUMBER(MATCH($X237,계정대체기준!$D$77:$D$86,0)),ISNUMBER(MATCH($F237,계정대체기준!$D$77:$D$86,0))),"Y","N")))</f>
        <v/>
      </c>
    </row>
    <row r="238">
      <c r="A238" s="92" t="n">
        <v>2025</v>
      </c>
      <c r="B238" s="92" t="n">
        <v>1</v>
      </c>
      <c r="C238" s="92" t="inlineStr">
        <is>
          <t>5100000234</t>
        </is>
      </c>
      <c r="D238" s="95" t="n">
        <v>45684</v>
      </c>
      <c r="E238" s="92" t="inlineStr">
        <is>
          <t>KR</t>
        </is>
      </c>
      <c r="F238" s="92" t="n">
        <v>62501000</v>
      </c>
      <c r="G238" s="92" t="n">
        <v>1101</v>
      </c>
      <c r="H238" s="93" t="n">
        <v>232000</v>
      </c>
      <c r="I238" s="92" t="inlineStr">
        <is>
          <t>1월 회의 다과 - (법인카드)</t>
        </is>
      </c>
      <c r="J238" s="92" t="inlineStr">
        <is>
          <t>V10010</t>
        </is>
      </c>
      <c r="K238" s="92" t="inlineStr">
        <is>
          <t>(법인카드)</t>
        </is>
      </c>
      <c r="M238" s="9">
        <f>IF($A238="","",VALUE($A238&amp;"")*12+VALUE($B238&amp;""))</f>
        <v/>
      </c>
      <c r="N238" s="64">
        <f>IF($A238="","",IFERROR(INDEX(부서매핑!$C$5:$C$504,MATCH($G238&amp;"",부서매핑!$A$5:$A$504,0)),"미매핑"))</f>
        <v/>
      </c>
      <c r="O238" s="9">
        <f>IF($A238="","",N238&amp;"|"&amp;$F238)</f>
        <v/>
      </c>
      <c r="P238" s="94">
        <f>IF($A238="",0,$H238*설정!$C$23)</f>
        <v/>
      </c>
      <c r="Q238" s="64">
        <f>IF($A238="","",IF(O238&lt;&gt;원인분석!$C$9,"",IF(AND(M238&gt;=원인분석!$C$10,M238&lt;=원인분석!$C$11),"당기",IF(AND(M238&gt;=원인분석!$C$12,M238&lt;=원인분석!$C$13),"비교",""))))</f>
        <v/>
      </c>
      <c r="R238" s="9">
        <f>IF(Q238="","",$K238&amp;"")</f>
        <v/>
      </c>
      <c r="S238" s="9">
        <f>IF(Q238="","",IF(MATCH(R238,$R$5:$R$100000,0)=ROW()-4,ROW(),""))</f>
        <v/>
      </c>
      <c r="T238" s="9">
        <f>IF(Q238="당기",ABS(P238)+ROW()/1000000000,"")</f>
        <v/>
      </c>
      <c r="U238" s="9">
        <f>IF(Q238="비교",ABS(P238)+ROW()/1000000000,"")</f>
        <v/>
      </c>
      <c r="V238" s="64">
        <f>IF($A238="","",IF(COUNTIF(변동분석!$E$7:$E$506,O238)&gt;0,"Y","N"))</f>
        <v/>
      </c>
      <c r="W238" s="64">
        <f>IF($A238="","",IFERROR(INDEX(계정매핑!$D$5:$D$504,MATCH($F238&amp;"",계정매핑!$A$5:$A$504,0)),"미매핑"))</f>
        <v/>
      </c>
      <c r="X238" s="9">
        <f>IF($A238="","",$F238&amp;"")</f>
        <v/>
      </c>
      <c r="Y238" s="94">
        <f>IF($A238="",0,IF(AE238="직접",IF(AF238="비귀속",$P238,0),$P238*(1-AG238)*IFERROR(INDEX(계정대체기준!$F$20:$F$49,MATCH($N238,계정대체기준!$A$20:$A$49,0)),1)))</f>
        <v/>
      </c>
      <c r="Z238" s="94">
        <f>IF($A238="",0,IF(AE238="직접",IF(AF238="신계약비",$P238,0),$P238*(1-AG238)*IFERROR(INDEX(계정대체기준!$C$20:$C$49,MATCH($N238,계정대체기준!$A$20:$A$49,0)),0)))</f>
        <v/>
      </c>
      <c r="AA238" s="94">
        <f>IF($A238="",0,IF(AE238="직접",IF(OR(AF238="유지비",AF238="손해조사비"),$P238,0),$P238*(1-AG238)*IFERROR(INDEX(계정대체기준!$D$20:$D$49,MATCH($N238,계정대체기준!$A$20:$A$49,0)),0)))</f>
        <v/>
      </c>
      <c r="AB238" s="94">
        <f>IF($A238="",0,IF(AE238="직접",IF(AF238="수금비",$P238,0),$P238*(1-AG238)*IFERROR(INDEX(계정대체기준!$E$20:$E$49,MATCH($N238,계정대체기준!$A$20:$A$49,0)),0)))</f>
        <v/>
      </c>
      <c r="AC238" s="9">
        <f>IF(AND($A238&lt;&gt;"",M238=설정!$C$20,Z238&gt;0),Z238+ROW()/1000000000,"")</f>
        <v/>
      </c>
      <c r="AD238" s="94">
        <f>IF($A238="",0,$P238*AG238)</f>
        <v/>
      </c>
      <c r="AE238" s="64">
        <f>IF($A238="","",IFERROR(INDEX(계정매핑!$E$5:$E$504,MATCH($F238&amp;"",계정매핑!$A$5:$A$504,0))&amp;"","공통비"))</f>
        <v/>
      </c>
      <c r="AF238" s="64">
        <f>IF($A238="","",IF(AE238="직접",IFERROR(INDEX(계정매핑!$F$5:$F$504,MATCH($F238&amp;"",계정매핑!$A$5:$A$504,0))&amp;"","비귀속"),""))</f>
        <v/>
      </c>
      <c r="AG238" s="96">
        <f>IF($A238="",0,IF(AND(AE238&lt;&gt;"직접",IFERROR(INDEX(계정매핑!$G$5:$G$504,MATCH($F238&amp;"",계정매핑!$A$5:$A$504,0))&amp;"","")="유지비",COUNTIF(계정대체기준!$A$6:$A$15,$N238)&gt;0),IFERROR(INDEX(계정대체기준!$E$6:$E$15,MATCH(VALUE($A238&amp;""),계정대체기준!$D$6:$D$15,0)),0),0))</f>
        <v/>
      </c>
      <c r="AH238" s="64">
        <f>IF($A238="","",IF(AD238=0,"",IF(OR(COUNTIF(계정대체기준!$A$77:$A$86,$N238)&gt;0,ISNUMBER(MATCH($X238,계정대체기준!$D$77:$D$86,0)),ISNUMBER(MATCH($F238,계정대체기준!$D$77:$D$86,0))),"Y","N")))</f>
        <v/>
      </c>
    </row>
    <row r="239">
      <c r="A239" s="92" t="n">
        <v>2025</v>
      </c>
      <c r="B239" s="92" t="n">
        <v>1</v>
      </c>
      <c r="C239" s="92" t="inlineStr">
        <is>
          <t>5100000235</t>
        </is>
      </c>
      <c r="D239" s="95" t="n">
        <v>45684</v>
      </c>
      <c r="E239" s="92" t="inlineStr">
        <is>
          <t>KR</t>
        </is>
      </c>
      <c r="F239" s="92" t="n">
        <v>62701000</v>
      </c>
      <c r="G239" s="92" t="n">
        <v>1502</v>
      </c>
      <c r="H239" s="93" t="n">
        <v>30536000</v>
      </c>
      <c r="I239" s="92" t="inlineStr">
        <is>
          <t>1월 광고 집행 - E미디어</t>
        </is>
      </c>
      <c r="J239" s="92" t="inlineStr">
        <is>
          <t>V10033</t>
        </is>
      </c>
      <c r="K239" s="92" t="inlineStr">
        <is>
          <t>E미디어</t>
        </is>
      </c>
      <c r="M239" s="9">
        <f>IF($A239="","",VALUE($A239&amp;"")*12+VALUE($B239&amp;""))</f>
        <v/>
      </c>
      <c r="N239" s="64">
        <f>IF($A239="","",IFERROR(INDEX(부서매핑!$C$5:$C$504,MATCH($G239&amp;"",부서매핑!$A$5:$A$504,0)),"미매핑"))</f>
        <v/>
      </c>
      <c r="O239" s="9">
        <f>IF($A239="","",N239&amp;"|"&amp;$F239)</f>
        <v/>
      </c>
      <c r="P239" s="94">
        <f>IF($A239="",0,$H239*설정!$C$23)</f>
        <v/>
      </c>
      <c r="Q239" s="64">
        <f>IF($A239="","",IF(O239&lt;&gt;원인분석!$C$9,"",IF(AND(M239&gt;=원인분석!$C$10,M239&lt;=원인분석!$C$11),"당기",IF(AND(M239&gt;=원인분석!$C$12,M239&lt;=원인분석!$C$13),"비교",""))))</f>
        <v/>
      </c>
      <c r="R239" s="9">
        <f>IF(Q239="","",$K239&amp;"")</f>
        <v/>
      </c>
      <c r="S239" s="9">
        <f>IF(Q239="","",IF(MATCH(R239,$R$5:$R$100000,0)=ROW()-4,ROW(),""))</f>
        <v/>
      </c>
      <c r="T239" s="9">
        <f>IF(Q239="당기",ABS(P239)+ROW()/1000000000,"")</f>
        <v/>
      </c>
      <c r="U239" s="9">
        <f>IF(Q239="비교",ABS(P239)+ROW()/1000000000,"")</f>
        <v/>
      </c>
      <c r="V239" s="64">
        <f>IF($A239="","",IF(COUNTIF(변동분석!$E$7:$E$506,O239)&gt;0,"Y","N"))</f>
        <v/>
      </c>
      <c r="W239" s="64">
        <f>IF($A239="","",IFERROR(INDEX(계정매핑!$D$5:$D$504,MATCH($F239&amp;"",계정매핑!$A$5:$A$504,0)),"미매핑"))</f>
        <v/>
      </c>
      <c r="X239" s="9">
        <f>IF($A239="","",$F239&amp;"")</f>
        <v/>
      </c>
      <c r="Y239" s="94">
        <f>IF($A239="",0,IF(AE239="직접",IF(AF239="비귀속",$P239,0),$P239*(1-AG239)*IFERROR(INDEX(계정대체기준!$F$20:$F$49,MATCH($N239,계정대체기준!$A$20:$A$49,0)),1)))</f>
        <v/>
      </c>
      <c r="Z239" s="94">
        <f>IF($A239="",0,IF(AE239="직접",IF(AF239="신계약비",$P239,0),$P239*(1-AG239)*IFERROR(INDEX(계정대체기준!$C$20:$C$49,MATCH($N239,계정대체기준!$A$20:$A$49,0)),0)))</f>
        <v/>
      </c>
      <c r="AA239" s="94">
        <f>IF($A239="",0,IF(AE239="직접",IF(OR(AF239="유지비",AF239="손해조사비"),$P239,0),$P239*(1-AG239)*IFERROR(INDEX(계정대체기준!$D$20:$D$49,MATCH($N239,계정대체기준!$A$20:$A$49,0)),0)))</f>
        <v/>
      </c>
      <c r="AB239" s="94">
        <f>IF($A239="",0,IF(AE239="직접",IF(AF239="수금비",$P239,0),$P239*(1-AG239)*IFERROR(INDEX(계정대체기준!$E$20:$E$49,MATCH($N239,계정대체기준!$A$20:$A$49,0)),0)))</f>
        <v/>
      </c>
      <c r="AC239" s="9">
        <f>IF(AND($A239&lt;&gt;"",M239=설정!$C$20,Z239&gt;0),Z239+ROW()/1000000000,"")</f>
        <v/>
      </c>
      <c r="AD239" s="94">
        <f>IF($A239="",0,$P239*AG239)</f>
        <v/>
      </c>
      <c r="AE239" s="64">
        <f>IF($A239="","",IFERROR(INDEX(계정매핑!$E$5:$E$504,MATCH($F239&amp;"",계정매핑!$A$5:$A$504,0))&amp;"","공통비"))</f>
        <v/>
      </c>
      <c r="AF239" s="64">
        <f>IF($A239="","",IF(AE239="직접",IFERROR(INDEX(계정매핑!$F$5:$F$504,MATCH($F239&amp;"",계정매핑!$A$5:$A$504,0))&amp;"","비귀속"),""))</f>
        <v/>
      </c>
      <c r="AG239" s="96">
        <f>IF($A239="",0,IF(AND(AE239&lt;&gt;"직접",IFERROR(INDEX(계정매핑!$G$5:$G$504,MATCH($F239&amp;"",계정매핑!$A$5:$A$504,0))&amp;"","")="유지비",COUNTIF(계정대체기준!$A$6:$A$15,$N239)&gt;0),IFERROR(INDEX(계정대체기준!$E$6:$E$15,MATCH(VALUE($A239&amp;""),계정대체기준!$D$6:$D$15,0)),0),0))</f>
        <v/>
      </c>
      <c r="AH239" s="64">
        <f>IF($A239="","",IF(AD239=0,"",IF(OR(COUNTIF(계정대체기준!$A$77:$A$86,$N239)&gt;0,ISNUMBER(MATCH($X239,계정대체기준!$D$77:$D$86,0)),ISNUMBER(MATCH($F239,계정대체기준!$D$77:$D$86,0))),"Y","N")))</f>
        <v/>
      </c>
    </row>
    <row r="240">
      <c r="A240" s="92" t="n">
        <v>2025</v>
      </c>
      <c r="B240" s="92" t="n">
        <v>1</v>
      </c>
      <c r="C240" s="92" t="inlineStr">
        <is>
          <t>5100000236</t>
        </is>
      </c>
      <c r="D240" s="95" t="n">
        <v>45684</v>
      </c>
      <c r="E240" s="92" t="inlineStr">
        <is>
          <t>KR</t>
        </is>
      </c>
      <c r="F240" s="92" t="n">
        <v>62901000</v>
      </c>
      <c r="G240" s="92" t="n">
        <v>1201</v>
      </c>
      <c r="H240" s="93" t="n">
        <v>5223000</v>
      </c>
      <c r="I240" s="92" t="inlineStr">
        <is>
          <t>1월 자문 수수료 - K회계법인</t>
        </is>
      </c>
      <c r="J240" s="92" t="inlineStr">
        <is>
          <t>V10011</t>
        </is>
      </c>
      <c r="K240" s="92" t="inlineStr">
        <is>
          <t>K회계법인</t>
        </is>
      </c>
      <c r="M240" s="9">
        <f>IF($A240="","",VALUE($A240&amp;"")*12+VALUE($B240&amp;""))</f>
        <v/>
      </c>
      <c r="N240" s="64">
        <f>IF($A240="","",IFERROR(INDEX(부서매핑!$C$5:$C$504,MATCH($G240&amp;"",부서매핑!$A$5:$A$504,0)),"미매핑"))</f>
        <v/>
      </c>
      <c r="O240" s="9">
        <f>IF($A240="","",N240&amp;"|"&amp;$F240)</f>
        <v/>
      </c>
      <c r="P240" s="94">
        <f>IF($A240="",0,$H240*설정!$C$23)</f>
        <v/>
      </c>
      <c r="Q240" s="64">
        <f>IF($A240="","",IF(O240&lt;&gt;원인분석!$C$9,"",IF(AND(M240&gt;=원인분석!$C$10,M240&lt;=원인분석!$C$11),"당기",IF(AND(M240&gt;=원인분석!$C$12,M240&lt;=원인분석!$C$13),"비교",""))))</f>
        <v/>
      </c>
      <c r="R240" s="9">
        <f>IF(Q240="","",$K240&amp;"")</f>
        <v/>
      </c>
      <c r="S240" s="9">
        <f>IF(Q240="","",IF(MATCH(R240,$R$5:$R$100000,0)=ROW()-4,ROW(),""))</f>
        <v/>
      </c>
      <c r="T240" s="9">
        <f>IF(Q240="당기",ABS(P240)+ROW()/1000000000,"")</f>
        <v/>
      </c>
      <c r="U240" s="9">
        <f>IF(Q240="비교",ABS(P240)+ROW()/1000000000,"")</f>
        <v/>
      </c>
      <c r="V240" s="64">
        <f>IF($A240="","",IF(COUNTIF(변동분석!$E$7:$E$506,O240)&gt;0,"Y","N"))</f>
        <v/>
      </c>
      <c r="W240" s="64">
        <f>IF($A240="","",IFERROR(INDEX(계정매핑!$D$5:$D$504,MATCH($F240&amp;"",계정매핑!$A$5:$A$504,0)),"미매핑"))</f>
        <v/>
      </c>
      <c r="X240" s="9">
        <f>IF($A240="","",$F240&amp;"")</f>
        <v/>
      </c>
      <c r="Y240" s="94">
        <f>IF($A240="",0,IF(AE240="직접",IF(AF240="비귀속",$P240,0),$P240*(1-AG240)*IFERROR(INDEX(계정대체기준!$F$20:$F$49,MATCH($N240,계정대체기준!$A$20:$A$49,0)),1)))</f>
        <v/>
      </c>
      <c r="Z240" s="94">
        <f>IF($A240="",0,IF(AE240="직접",IF(AF240="신계약비",$P240,0),$P240*(1-AG240)*IFERROR(INDEX(계정대체기준!$C$20:$C$49,MATCH($N240,계정대체기준!$A$20:$A$49,0)),0)))</f>
        <v/>
      </c>
      <c r="AA240" s="94">
        <f>IF($A240="",0,IF(AE240="직접",IF(OR(AF240="유지비",AF240="손해조사비"),$P240,0),$P240*(1-AG240)*IFERROR(INDEX(계정대체기준!$D$20:$D$49,MATCH($N240,계정대체기준!$A$20:$A$49,0)),0)))</f>
        <v/>
      </c>
      <c r="AB240" s="94">
        <f>IF($A240="",0,IF(AE240="직접",IF(AF240="수금비",$P240,0),$P240*(1-AG240)*IFERROR(INDEX(계정대체기준!$E$20:$E$49,MATCH($N240,계정대체기준!$A$20:$A$49,0)),0)))</f>
        <v/>
      </c>
      <c r="AC240" s="9">
        <f>IF(AND($A240&lt;&gt;"",M240=설정!$C$20,Z240&gt;0),Z240+ROW()/1000000000,"")</f>
        <v/>
      </c>
      <c r="AD240" s="94">
        <f>IF($A240="",0,$P240*AG240)</f>
        <v/>
      </c>
      <c r="AE240" s="64">
        <f>IF($A240="","",IFERROR(INDEX(계정매핑!$E$5:$E$504,MATCH($F240&amp;"",계정매핑!$A$5:$A$504,0))&amp;"","공통비"))</f>
        <v/>
      </c>
      <c r="AF240" s="64">
        <f>IF($A240="","",IF(AE240="직접",IFERROR(INDEX(계정매핑!$F$5:$F$504,MATCH($F240&amp;"",계정매핑!$A$5:$A$504,0))&amp;"","비귀속"),""))</f>
        <v/>
      </c>
      <c r="AG240" s="96">
        <f>IF($A240="",0,IF(AND(AE240&lt;&gt;"직접",IFERROR(INDEX(계정매핑!$G$5:$G$504,MATCH($F240&amp;"",계정매핑!$A$5:$A$504,0))&amp;"","")="유지비",COUNTIF(계정대체기준!$A$6:$A$15,$N240)&gt;0),IFERROR(INDEX(계정대체기준!$E$6:$E$15,MATCH(VALUE($A240&amp;""),계정대체기준!$D$6:$D$15,0)),0),0))</f>
        <v/>
      </c>
      <c r="AH240" s="64">
        <f>IF($A240="","",IF(AD240=0,"",IF(OR(COUNTIF(계정대체기준!$A$77:$A$86,$N240)&gt;0,ISNUMBER(MATCH($X240,계정대체기준!$D$77:$D$86,0)),ISNUMBER(MATCH($F240,계정대체기준!$D$77:$D$86,0))),"Y","N")))</f>
        <v/>
      </c>
    </row>
    <row r="241">
      <c r="A241" s="92" t="n">
        <v>2025</v>
      </c>
      <c r="B241" s="92" t="n">
        <v>1</v>
      </c>
      <c r="C241" s="92" t="inlineStr">
        <is>
          <t>5100000237</t>
        </is>
      </c>
      <c r="D241" s="95" t="n">
        <v>45684</v>
      </c>
      <c r="E241" s="92" t="inlineStr">
        <is>
          <t>KR</t>
        </is>
      </c>
      <c r="F241" s="92" t="n">
        <v>62901000</v>
      </c>
      <c r="G241" s="92" t="n">
        <v>1401</v>
      </c>
      <c r="H241" s="93" t="n">
        <v>7676000</v>
      </c>
      <c r="I241" s="92" t="inlineStr">
        <is>
          <t>1월 자문 수수료 - K회계법인</t>
        </is>
      </c>
      <c r="J241" s="92" t="inlineStr">
        <is>
          <t>V10011</t>
        </is>
      </c>
      <c r="K241" s="92" t="inlineStr">
        <is>
          <t>K회계법인</t>
        </is>
      </c>
      <c r="M241" s="9">
        <f>IF($A241="","",VALUE($A241&amp;"")*12+VALUE($B241&amp;""))</f>
        <v/>
      </c>
      <c r="N241" s="64">
        <f>IF($A241="","",IFERROR(INDEX(부서매핑!$C$5:$C$504,MATCH($G241&amp;"",부서매핑!$A$5:$A$504,0)),"미매핑"))</f>
        <v/>
      </c>
      <c r="O241" s="9">
        <f>IF($A241="","",N241&amp;"|"&amp;$F241)</f>
        <v/>
      </c>
      <c r="P241" s="94">
        <f>IF($A241="",0,$H241*설정!$C$23)</f>
        <v/>
      </c>
      <c r="Q241" s="64">
        <f>IF($A241="","",IF(O241&lt;&gt;원인분석!$C$9,"",IF(AND(M241&gt;=원인분석!$C$10,M241&lt;=원인분석!$C$11),"당기",IF(AND(M241&gt;=원인분석!$C$12,M241&lt;=원인분석!$C$13),"비교",""))))</f>
        <v/>
      </c>
      <c r="R241" s="9">
        <f>IF(Q241="","",$K241&amp;"")</f>
        <v/>
      </c>
      <c r="S241" s="9">
        <f>IF(Q241="","",IF(MATCH(R241,$R$5:$R$100000,0)=ROW()-4,ROW(),""))</f>
        <v/>
      </c>
      <c r="T241" s="9">
        <f>IF(Q241="당기",ABS(P241)+ROW()/1000000000,"")</f>
        <v/>
      </c>
      <c r="U241" s="9">
        <f>IF(Q241="비교",ABS(P241)+ROW()/1000000000,"")</f>
        <v/>
      </c>
      <c r="V241" s="64">
        <f>IF($A241="","",IF(COUNTIF(변동분석!$E$7:$E$506,O241)&gt;0,"Y","N"))</f>
        <v/>
      </c>
      <c r="W241" s="64">
        <f>IF($A241="","",IFERROR(INDEX(계정매핑!$D$5:$D$504,MATCH($F241&amp;"",계정매핑!$A$5:$A$504,0)),"미매핑"))</f>
        <v/>
      </c>
      <c r="X241" s="9">
        <f>IF($A241="","",$F241&amp;"")</f>
        <v/>
      </c>
      <c r="Y241" s="94">
        <f>IF($A241="",0,IF(AE241="직접",IF(AF241="비귀속",$P241,0),$P241*(1-AG241)*IFERROR(INDEX(계정대체기준!$F$20:$F$49,MATCH($N241,계정대체기준!$A$20:$A$49,0)),1)))</f>
        <v/>
      </c>
      <c r="Z241" s="94">
        <f>IF($A241="",0,IF(AE241="직접",IF(AF241="신계약비",$P241,0),$P241*(1-AG241)*IFERROR(INDEX(계정대체기준!$C$20:$C$49,MATCH($N241,계정대체기준!$A$20:$A$49,0)),0)))</f>
        <v/>
      </c>
      <c r="AA241" s="94">
        <f>IF($A241="",0,IF(AE241="직접",IF(OR(AF241="유지비",AF241="손해조사비"),$P241,0),$P241*(1-AG241)*IFERROR(INDEX(계정대체기준!$D$20:$D$49,MATCH($N241,계정대체기준!$A$20:$A$49,0)),0)))</f>
        <v/>
      </c>
      <c r="AB241" s="94">
        <f>IF($A241="",0,IF(AE241="직접",IF(AF241="수금비",$P241,0),$P241*(1-AG241)*IFERROR(INDEX(계정대체기준!$E$20:$E$49,MATCH($N241,계정대체기준!$A$20:$A$49,0)),0)))</f>
        <v/>
      </c>
      <c r="AC241" s="9">
        <f>IF(AND($A241&lt;&gt;"",M241=설정!$C$20,Z241&gt;0),Z241+ROW()/1000000000,"")</f>
        <v/>
      </c>
      <c r="AD241" s="94">
        <f>IF($A241="",0,$P241*AG241)</f>
        <v/>
      </c>
      <c r="AE241" s="64">
        <f>IF($A241="","",IFERROR(INDEX(계정매핑!$E$5:$E$504,MATCH($F241&amp;"",계정매핑!$A$5:$A$504,0))&amp;"","공통비"))</f>
        <v/>
      </c>
      <c r="AF241" s="64">
        <f>IF($A241="","",IF(AE241="직접",IFERROR(INDEX(계정매핑!$F$5:$F$504,MATCH($F241&amp;"",계정매핑!$A$5:$A$504,0))&amp;"","비귀속"),""))</f>
        <v/>
      </c>
      <c r="AG241" s="96">
        <f>IF($A241="",0,IF(AND(AE241&lt;&gt;"직접",IFERROR(INDEX(계정매핑!$G$5:$G$504,MATCH($F241&amp;"",계정매핑!$A$5:$A$504,0))&amp;"","")="유지비",COUNTIF(계정대체기준!$A$6:$A$15,$N241)&gt;0),IFERROR(INDEX(계정대체기준!$E$6:$E$15,MATCH(VALUE($A241&amp;""),계정대체기준!$D$6:$D$15,0)),0),0))</f>
        <v/>
      </c>
      <c r="AH241" s="64">
        <f>IF($A241="","",IF(AD241=0,"",IF(OR(COUNTIF(계정대체기준!$A$77:$A$86,$N241)&gt;0,ISNUMBER(MATCH($X241,계정대체기준!$D$77:$D$86,0)),ISNUMBER(MATCH($F241,계정대체기준!$D$77:$D$86,0))),"Y","N")))</f>
        <v/>
      </c>
    </row>
    <row r="242">
      <c r="A242" s="92" t="n">
        <v>2025</v>
      </c>
      <c r="B242" s="92" t="n">
        <v>1</v>
      </c>
      <c r="C242" s="92" t="inlineStr">
        <is>
          <t>5100000238</t>
        </is>
      </c>
      <c r="D242" s="95" t="n">
        <v>45684</v>
      </c>
      <c r="E242" s="92" t="inlineStr">
        <is>
          <t>KR</t>
        </is>
      </c>
      <c r="F242" s="92" t="n">
        <v>62902000</v>
      </c>
      <c r="G242" s="92" t="n">
        <v>1201</v>
      </c>
      <c r="H242" s="93" t="n">
        <v>2000000</v>
      </c>
      <c r="I242" s="92" t="inlineStr">
        <is>
          <t>1월 업무 위탁 수수료 - J콜센터</t>
        </is>
      </c>
      <c r="J242" s="92" t="inlineStr">
        <is>
          <t>V10016</t>
        </is>
      </c>
      <c r="K242" s="92" t="inlineStr">
        <is>
          <t>J콜센터</t>
        </is>
      </c>
      <c r="M242" s="9">
        <f>IF($A242="","",VALUE($A242&amp;"")*12+VALUE($B242&amp;""))</f>
        <v/>
      </c>
      <c r="N242" s="64">
        <f>IF($A242="","",IFERROR(INDEX(부서매핑!$C$5:$C$504,MATCH($G242&amp;"",부서매핑!$A$5:$A$504,0)),"미매핑"))</f>
        <v/>
      </c>
      <c r="O242" s="9">
        <f>IF($A242="","",N242&amp;"|"&amp;$F242)</f>
        <v/>
      </c>
      <c r="P242" s="94">
        <f>IF($A242="",0,$H242*설정!$C$23)</f>
        <v/>
      </c>
      <c r="Q242" s="64">
        <f>IF($A242="","",IF(O242&lt;&gt;원인분석!$C$9,"",IF(AND(M242&gt;=원인분석!$C$10,M242&lt;=원인분석!$C$11),"당기",IF(AND(M242&gt;=원인분석!$C$12,M242&lt;=원인분석!$C$13),"비교",""))))</f>
        <v/>
      </c>
      <c r="R242" s="9">
        <f>IF(Q242="","",$K242&amp;"")</f>
        <v/>
      </c>
      <c r="S242" s="9">
        <f>IF(Q242="","",IF(MATCH(R242,$R$5:$R$100000,0)=ROW()-4,ROW(),""))</f>
        <v/>
      </c>
      <c r="T242" s="9">
        <f>IF(Q242="당기",ABS(P242)+ROW()/1000000000,"")</f>
        <v/>
      </c>
      <c r="U242" s="9">
        <f>IF(Q242="비교",ABS(P242)+ROW()/1000000000,"")</f>
        <v/>
      </c>
      <c r="V242" s="64">
        <f>IF($A242="","",IF(COUNTIF(변동분석!$E$7:$E$506,O242)&gt;0,"Y","N"))</f>
        <v/>
      </c>
      <c r="W242" s="64">
        <f>IF($A242="","",IFERROR(INDEX(계정매핑!$D$5:$D$504,MATCH($F242&amp;"",계정매핑!$A$5:$A$504,0)),"미매핑"))</f>
        <v/>
      </c>
      <c r="X242" s="9">
        <f>IF($A242="","",$F242&amp;"")</f>
        <v/>
      </c>
      <c r="Y242" s="94">
        <f>IF($A242="",0,IF(AE242="직접",IF(AF242="비귀속",$P242,0),$P242*(1-AG242)*IFERROR(INDEX(계정대체기준!$F$20:$F$49,MATCH($N242,계정대체기준!$A$20:$A$49,0)),1)))</f>
        <v/>
      </c>
      <c r="Z242" s="94">
        <f>IF($A242="",0,IF(AE242="직접",IF(AF242="신계약비",$P242,0),$P242*(1-AG242)*IFERROR(INDEX(계정대체기준!$C$20:$C$49,MATCH($N242,계정대체기준!$A$20:$A$49,0)),0)))</f>
        <v/>
      </c>
      <c r="AA242" s="94">
        <f>IF($A242="",0,IF(AE242="직접",IF(OR(AF242="유지비",AF242="손해조사비"),$P242,0),$P242*(1-AG242)*IFERROR(INDEX(계정대체기준!$D$20:$D$49,MATCH($N242,계정대체기준!$A$20:$A$49,0)),0)))</f>
        <v/>
      </c>
      <c r="AB242" s="94">
        <f>IF($A242="",0,IF(AE242="직접",IF(AF242="수금비",$P242,0),$P242*(1-AG242)*IFERROR(INDEX(계정대체기준!$E$20:$E$49,MATCH($N242,계정대체기준!$A$20:$A$49,0)),0)))</f>
        <v/>
      </c>
      <c r="AC242" s="9">
        <f>IF(AND($A242&lt;&gt;"",M242=설정!$C$20,Z242&gt;0),Z242+ROW()/1000000000,"")</f>
        <v/>
      </c>
      <c r="AD242" s="94">
        <f>IF($A242="",0,$P242*AG242)</f>
        <v/>
      </c>
      <c r="AE242" s="64">
        <f>IF($A242="","",IFERROR(INDEX(계정매핑!$E$5:$E$504,MATCH($F242&amp;"",계정매핑!$A$5:$A$504,0))&amp;"","공통비"))</f>
        <v/>
      </c>
      <c r="AF242" s="64">
        <f>IF($A242="","",IF(AE242="직접",IFERROR(INDEX(계정매핑!$F$5:$F$504,MATCH($F242&amp;"",계정매핑!$A$5:$A$504,0))&amp;"","비귀속"),""))</f>
        <v/>
      </c>
      <c r="AG242" s="96">
        <f>IF($A242="",0,IF(AND(AE242&lt;&gt;"직접",IFERROR(INDEX(계정매핑!$G$5:$G$504,MATCH($F242&amp;"",계정매핑!$A$5:$A$504,0))&amp;"","")="유지비",COUNTIF(계정대체기준!$A$6:$A$15,$N242)&gt;0),IFERROR(INDEX(계정대체기준!$E$6:$E$15,MATCH(VALUE($A242&amp;""),계정대체기준!$D$6:$D$15,0)),0),0))</f>
        <v/>
      </c>
      <c r="AH242" s="64">
        <f>IF($A242="","",IF(AD242=0,"",IF(OR(COUNTIF(계정대체기준!$A$77:$A$86,$N242)&gt;0,ISNUMBER(MATCH($X242,계정대체기준!$D$77:$D$86,0)),ISNUMBER(MATCH($F242,계정대체기준!$D$77:$D$86,0))),"Y","N")))</f>
        <v/>
      </c>
    </row>
    <row r="243">
      <c r="A243" s="92" t="n">
        <v>2025</v>
      </c>
      <c r="B243" s="92" t="n">
        <v>1</v>
      </c>
      <c r="C243" s="92" t="inlineStr">
        <is>
          <t>5100000239</t>
        </is>
      </c>
      <c r="D243" s="95" t="n">
        <v>45684</v>
      </c>
      <c r="E243" s="92" t="inlineStr">
        <is>
          <t>KR</t>
        </is>
      </c>
      <c r="F243" s="92" t="n">
        <v>63001000</v>
      </c>
      <c r="G243" s="92" t="n">
        <v>1951</v>
      </c>
      <c r="H243" s="93" t="n">
        <v>3119000</v>
      </c>
      <c r="I243" s="92" t="inlineStr">
        <is>
          <t>1월 SW 유지보수 - Y소프트</t>
        </is>
      </c>
      <c r="J243" s="92" t="inlineStr">
        <is>
          <t>V10017</t>
        </is>
      </c>
      <c r="K243" s="92" t="inlineStr">
        <is>
          <t>Y소프트</t>
        </is>
      </c>
      <c r="M243" s="9">
        <f>IF($A243="","",VALUE($A243&amp;"")*12+VALUE($B243&amp;""))</f>
        <v/>
      </c>
      <c r="N243" s="64">
        <f>IF($A243="","",IFERROR(INDEX(부서매핑!$C$5:$C$504,MATCH($G243&amp;"",부서매핑!$A$5:$A$504,0)),"미매핑"))</f>
        <v/>
      </c>
      <c r="O243" s="9">
        <f>IF($A243="","",N243&amp;"|"&amp;$F243)</f>
        <v/>
      </c>
      <c r="P243" s="94">
        <f>IF($A243="",0,$H243*설정!$C$23)</f>
        <v/>
      </c>
      <c r="Q243" s="64">
        <f>IF($A243="","",IF(O243&lt;&gt;원인분석!$C$9,"",IF(AND(M243&gt;=원인분석!$C$10,M243&lt;=원인분석!$C$11),"당기",IF(AND(M243&gt;=원인분석!$C$12,M243&lt;=원인분석!$C$13),"비교",""))))</f>
        <v/>
      </c>
      <c r="R243" s="9">
        <f>IF(Q243="","",$K243&amp;"")</f>
        <v/>
      </c>
      <c r="S243" s="9">
        <f>IF(Q243="","",IF(MATCH(R243,$R$5:$R$100000,0)=ROW()-4,ROW(),""))</f>
        <v/>
      </c>
      <c r="T243" s="9">
        <f>IF(Q243="당기",ABS(P243)+ROW()/1000000000,"")</f>
        <v/>
      </c>
      <c r="U243" s="9">
        <f>IF(Q243="비교",ABS(P243)+ROW()/1000000000,"")</f>
        <v/>
      </c>
      <c r="V243" s="64">
        <f>IF($A243="","",IF(COUNTIF(변동분석!$E$7:$E$506,O243)&gt;0,"Y","N"))</f>
        <v/>
      </c>
      <c r="W243" s="64">
        <f>IF($A243="","",IFERROR(INDEX(계정매핑!$D$5:$D$504,MATCH($F243&amp;"",계정매핑!$A$5:$A$504,0)),"미매핑"))</f>
        <v/>
      </c>
      <c r="X243" s="9">
        <f>IF($A243="","",$F243&amp;"")</f>
        <v/>
      </c>
      <c r="Y243" s="94">
        <f>IF($A243="",0,IF(AE243="직접",IF(AF243="비귀속",$P243,0),$P243*(1-AG243)*IFERROR(INDEX(계정대체기준!$F$20:$F$49,MATCH($N243,계정대체기준!$A$20:$A$49,0)),1)))</f>
        <v/>
      </c>
      <c r="Z243" s="94">
        <f>IF($A243="",0,IF(AE243="직접",IF(AF243="신계약비",$P243,0),$P243*(1-AG243)*IFERROR(INDEX(계정대체기준!$C$20:$C$49,MATCH($N243,계정대체기준!$A$20:$A$49,0)),0)))</f>
        <v/>
      </c>
      <c r="AA243" s="94">
        <f>IF($A243="",0,IF(AE243="직접",IF(OR(AF243="유지비",AF243="손해조사비"),$P243,0),$P243*(1-AG243)*IFERROR(INDEX(계정대체기준!$D$20:$D$49,MATCH($N243,계정대체기준!$A$20:$A$49,0)),0)))</f>
        <v/>
      </c>
      <c r="AB243" s="94">
        <f>IF($A243="",0,IF(AE243="직접",IF(AF243="수금비",$P243,0),$P243*(1-AG243)*IFERROR(INDEX(계정대체기준!$E$20:$E$49,MATCH($N243,계정대체기준!$A$20:$A$49,0)),0)))</f>
        <v/>
      </c>
      <c r="AC243" s="9">
        <f>IF(AND($A243&lt;&gt;"",M243=설정!$C$20,Z243&gt;0),Z243+ROW()/1000000000,"")</f>
        <v/>
      </c>
      <c r="AD243" s="94">
        <f>IF($A243="",0,$P243*AG243)</f>
        <v/>
      </c>
      <c r="AE243" s="64">
        <f>IF($A243="","",IFERROR(INDEX(계정매핑!$E$5:$E$504,MATCH($F243&amp;"",계정매핑!$A$5:$A$504,0))&amp;"","공통비"))</f>
        <v/>
      </c>
      <c r="AF243" s="64">
        <f>IF($A243="","",IF(AE243="직접",IFERROR(INDEX(계정매핑!$F$5:$F$504,MATCH($F243&amp;"",계정매핑!$A$5:$A$504,0))&amp;"","비귀속"),""))</f>
        <v/>
      </c>
      <c r="AG243" s="96">
        <f>IF($A243="",0,IF(AND(AE243&lt;&gt;"직접",IFERROR(INDEX(계정매핑!$G$5:$G$504,MATCH($F243&amp;"",계정매핑!$A$5:$A$504,0))&amp;"","")="유지비",COUNTIF(계정대체기준!$A$6:$A$15,$N243)&gt;0),IFERROR(INDEX(계정대체기준!$E$6:$E$15,MATCH(VALUE($A243&amp;""),계정대체기준!$D$6:$D$15,0)),0),0))</f>
        <v/>
      </c>
      <c r="AH243" s="64">
        <f>IF($A243="","",IF(AD243=0,"",IF(OR(COUNTIF(계정대체기준!$A$77:$A$86,$N243)&gt;0,ISNUMBER(MATCH($X243,계정대체기준!$D$77:$D$86,0)),ISNUMBER(MATCH($F243,계정대체기준!$D$77:$D$86,0))),"Y","N")))</f>
        <v/>
      </c>
    </row>
    <row r="244">
      <c r="A244" s="92" t="n">
        <v>2025</v>
      </c>
      <c r="B244" s="92" t="n">
        <v>2</v>
      </c>
      <c r="C244" s="92" t="inlineStr">
        <is>
          <t>5100000240</t>
        </is>
      </c>
      <c r="D244" s="95" t="n">
        <v>45690</v>
      </c>
      <c r="E244" s="92" t="inlineStr">
        <is>
          <t>KR</t>
        </is>
      </c>
      <c r="F244" s="92" t="n">
        <v>62101000</v>
      </c>
      <c r="G244" s="92" t="n">
        <v>1101</v>
      </c>
      <c r="H244" s="93" t="n">
        <v>664000</v>
      </c>
      <c r="I244" s="92" t="inlineStr">
        <is>
          <t>2월 국내출장 - L여행사</t>
        </is>
      </c>
      <c r="J244" s="92" t="inlineStr">
        <is>
          <t>V10018</t>
        </is>
      </c>
      <c r="K244" s="92" t="inlineStr">
        <is>
          <t>L여행사</t>
        </is>
      </c>
      <c r="M244" s="9">
        <f>IF($A244="","",VALUE($A244&amp;"")*12+VALUE($B244&amp;""))</f>
        <v/>
      </c>
      <c r="N244" s="64">
        <f>IF($A244="","",IFERROR(INDEX(부서매핑!$C$5:$C$504,MATCH($G244&amp;"",부서매핑!$A$5:$A$504,0)),"미매핑"))</f>
        <v/>
      </c>
      <c r="O244" s="9">
        <f>IF($A244="","",N244&amp;"|"&amp;$F244)</f>
        <v/>
      </c>
      <c r="P244" s="94">
        <f>IF($A244="",0,$H244*설정!$C$23)</f>
        <v/>
      </c>
      <c r="Q244" s="64">
        <f>IF($A244="","",IF(O244&lt;&gt;원인분석!$C$9,"",IF(AND(M244&gt;=원인분석!$C$10,M244&lt;=원인분석!$C$11),"당기",IF(AND(M244&gt;=원인분석!$C$12,M244&lt;=원인분석!$C$13),"비교",""))))</f>
        <v/>
      </c>
      <c r="R244" s="9">
        <f>IF(Q244="","",$K244&amp;"")</f>
        <v/>
      </c>
      <c r="S244" s="9">
        <f>IF(Q244="","",IF(MATCH(R244,$R$5:$R$100000,0)=ROW()-4,ROW(),""))</f>
        <v/>
      </c>
      <c r="T244" s="9">
        <f>IF(Q244="당기",ABS(P244)+ROW()/1000000000,"")</f>
        <v/>
      </c>
      <c r="U244" s="9">
        <f>IF(Q244="비교",ABS(P244)+ROW()/1000000000,"")</f>
        <v/>
      </c>
      <c r="V244" s="64">
        <f>IF($A244="","",IF(COUNTIF(변동분석!$E$7:$E$506,O244)&gt;0,"Y","N"))</f>
        <v/>
      </c>
      <c r="W244" s="64">
        <f>IF($A244="","",IFERROR(INDEX(계정매핑!$D$5:$D$504,MATCH($F244&amp;"",계정매핑!$A$5:$A$504,0)),"미매핑"))</f>
        <v/>
      </c>
      <c r="X244" s="9">
        <f>IF($A244="","",$F244&amp;"")</f>
        <v/>
      </c>
      <c r="Y244" s="94">
        <f>IF($A244="",0,IF(AE244="직접",IF(AF244="비귀속",$P244,0),$P244*(1-AG244)*IFERROR(INDEX(계정대체기준!$F$20:$F$49,MATCH($N244,계정대체기준!$A$20:$A$49,0)),1)))</f>
        <v/>
      </c>
      <c r="Z244" s="94">
        <f>IF($A244="",0,IF(AE244="직접",IF(AF244="신계약비",$P244,0),$P244*(1-AG244)*IFERROR(INDEX(계정대체기준!$C$20:$C$49,MATCH($N244,계정대체기준!$A$20:$A$49,0)),0)))</f>
        <v/>
      </c>
      <c r="AA244" s="94">
        <f>IF($A244="",0,IF(AE244="직접",IF(OR(AF244="유지비",AF244="손해조사비"),$P244,0),$P244*(1-AG244)*IFERROR(INDEX(계정대체기준!$D$20:$D$49,MATCH($N244,계정대체기준!$A$20:$A$49,0)),0)))</f>
        <v/>
      </c>
      <c r="AB244" s="94">
        <f>IF($A244="",0,IF(AE244="직접",IF(AF244="수금비",$P244,0),$P244*(1-AG244)*IFERROR(INDEX(계정대체기준!$E$20:$E$49,MATCH($N244,계정대체기준!$A$20:$A$49,0)),0)))</f>
        <v/>
      </c>
      <c r="AC244" s="9">
        <f>IF(AND($A244&lt;&gt;"",M244=설정!$C$20,Z244&gt;0),Z244+ROW()/1000000000,"")</f>
        <v/>
      </c>
      <c r="AD244" s="94">
        <f>IF($A244="",0,$P244*AG244)</f>
        <v/>
      </c>
      <c r="AE244" s="64">
        <f>IF($A244="","",IFERROR(INDEX(계정매핑!$E$5:$E$504,MATCH($F244&amp;"",계정매핑!$A$5:$A$504,0))&amp;"","공통비"))</f>
        <v/>
      </c>
      <c r="AF244" s="64">
        <f>IF($A244="","",IF(AE244="직접",IFERROR(INDEX(계정매핑!$F$5:$F$504,MATCH($F244&amp;"",계정매핑!$A$5:$A$504,0))&amp;"","비귀속"),""))</f>
        <v/>
      </c>
      <c r="AG244" s="96">
        <f>IF($A244="",0,IF(AND(AE244&lt;&gt;"직접",IFERROR(INDEX(계정매핑!$G$5:$G$504,MATCH($F244&amp;"",계정매핑!$A$5:$A$504,0))&amp;"","")="유지비",COUNTIF(계정대체기준!$A$6:$A$15,$N244)&gt;0),IFERROR(INDEX(계정대체기준!$E$6:$E$15,MATCH(VALUE($A244&amp;""),계정대체기준!$D$6:$D$15,0)),0),0))</f>
        <v/>
      </c>
      <c r="AH244" s="64">
        <f>IF($A244="","",IF(AD244=0,"",IF(OR(COUNTIF(계정대체기준!$A$77:$A$86,$N244)&gt;0,ISNUMBER(MATCH($X244,계정대체기준!$D$77:$D$86,0)),ISNUMBER(MATCH($F244,계정대체기준!$D$77:$D$86,0))),"Y","N")))</f>
        <v/>
      </c>
    </row>
    <row r="245">
      <c r="A245" s="92" t="n">
        <v>2025</v>
      </c>
      <c r="B245" s="92" t="n">
        <v>2</v>
      </c>
      <c r="C245" s="92" t="inlineStr">
        <is>
          <t>5100000241</t>
        </is>
      </c>
      <c r="D245" s="95" t="n">
        <v>45690</v>
      </c>
      <c r="E245" s="92" t="inlineStr">
        <is>
          <t>KR</t>
        </is>
      </c>
      <c r="F245" s="92" t="n">
        <v>62101000</v>
      </c>
      <c r="G245" s="92" t="n">
        <v>1701</v>
      </c>
      <c r="H245" s="93" t="n">
        <v>289000</v>
      </c>
      <c r="I245" s="92" t="inlineStr">
        <is>
          <t>2월 국내출장 - (법인카드)</t>
        </is>
      </c>
      <c r="J245" s="92" t="inlineStr">
        <is>
          <t>V10010</t>
        </is>
      </c>
      <c r="K245" s="92" t="inlineStr">
        <is>
          <t>(법인카드)</t>
        </is>
      </c>
      <c r="M245" s="9">
        <f>IF($A245="","",VALUE($A245&amp;"")*12+VALUE($B245&amp;""))</f>
        <v/>
      </c>
      <c r="N245" s="64">
        <f>IF($A245="","",IFERROR(INDEX(부서매핑!$C$5:$C$504,MATCH($G245&amp;"",부서매핑!$A$5:$A$504,0)),"미매핑"))</f>
        <v/>
      </c>
      <c r="O245" s="9">
        <f>IF($A245="","",N245&amp;"|"&amp;$F245)</f>
        <v/>
      </c>
      <c r="P245" s="94">
        <f>IF($A245="",0,$H245*설정!$C$23)</f>
        <v/>
      </c>
      <c r="Q245" s="64">
        <f>IF($A245="","",IF(O245&lt;&gt;원인분석!$C$9,"",IF(AND(M245&gt;=원인분석!$C$10,M245&lt;=원인분석!$C$11),"당기",IF(AND(M245&gt;=원인분석!$C$12,M245&lt;=원인분석!$C$13),"비교",""))))</f>
        <v/>
      </c>
      <c r="R245" s="9">
        <f>IF(Q245="","",$K245&amp;"")</f>
        <v/>
      </c>
      <c r="S245" s="9">
        <f>IF(Q245="","",IF(MATCH(R245,$R$5:$R$100000,0)=ROW()-4,ROW(),""))</f>
        <v/>
      </c>
      <c r="T245" s="9">
        <f>IF(Q245="당기",ABS(P245)+ROW()/1000000000,"")</f>
        <v/>
      </c>
      <c r="U245" s="9">
        <f>IF(Q245="비교",ABS(P245)+ROW()/1000000000,"")</f>
        <v/>
      </c>
      <c r="V245" s="64">
        <f>IF($A245="","",IF(COUNTIF(변동분석!$E$7:$E$506,O245)&gt;0,"Y","N"))</f>
        <v/>
      </c>
      <c r="W245" s="64">
        <f>IF($A245="","",IFERROR(INDEX(계정매핑!$D$5:$D$504,MATCH($F245&amp;"",계정매핑!$A$5:$A$504,0)),"미매핑"))</f>
        <v/>
      </c>
      <c r="X245" s="9">
        <f>IF($A245="","",$F245&amp;"")</f>
        <v/>
      </c>
      <c r="Y245" s="94">
        <f>IF($A245="",0,IF(AE245="직접",IF(AF245="비귀속",$P245,0),$P245*(1-AG245)*IFERROR(INDEX(계정대체기준!$F$20:$F$49,MATCH($N245,계정대체기준!$A$20:$A$49,0)),1)))</f>
        <v/>
      </c>
      <c r="Z245" s="94">
        <f>IF($A245="",0,IF(AE245="직접",IF(AF245="신계약비",$P245,0),$P245*(1-AG245)*IFERROR(INDEX(계정대체기준!$C$20:$C$49,MATCH($N245,계정대체기준!$A$20:$A$49,0)),0)))</f>
        <v/>
      </c>
      <c r="AA245" s="94">
        <f>IF($A245="",0,IF(AE245="직접",IF(OR(AF245="유지비",AF245="손해조사비"),$P245,0),$P245*(1-AG245)*IFERROR(INDEX(계정대체기준!$D$20:$D$49,MATCH($N245,계정대체기준!$A$20:$A$49,0)),0)))</f>
        <v/>
      </c>
      <c r="AB245" s="94">
        <f>IF($A245="",0,IF(AE245="직접",IF(AF245="수금비",$P245,0),$P245*(1-AG245)*IFERROR(INDEX(계정대체기준!$E$20:$E$49,MATCH($N245,계정대체기준!$A$20:$A$49,0)),0)))</f>
        <v/>
      </c>
      <c r="AC245" s="9">
        <f>IF(AND($A245&lt;&gt;"",M245=설정!$C$20,Z245&gt;0),Z245+ROW()/1000000000,"")</f>
        <v/>
      </c>
      <c r="AD245" s="94">
        <f>IF($A245="",0,$P245*AG245)</f>
        <v/>
      </c>
      <c r="AE245" s="64">
        <f>IF($A245="","",IFERROR(INDEX(계정매핑!$E$5:$E$504,MATCH($F245&amp;"",계정매핑!$A$5:$A$504,0))&amp;"","공통비"))</f>
        <v/>
      </c>
      <c r="AF245" s="64">
        <f>IF($A245="","",IF(AE245="직접",IFERROR(INDEX(계정매핑!$F$5:$F$504,MATCH($F245&amp;"",계정매핑!$A$5:$A$504,0))&amp;"","비귀속"),""))</f>
        <v/>
      </c>
      <c r="AG245" s="96">
        <f>IF($A245="",0,IF(AND(AE245&lt;&gt;"직접",IFERROR(INDEX(계정매핑!$G$5:$G$504,MATCH($F245&amp;"",계정매핑!$A$5:$A$504,0))&amp;"","")="유지비",COUNTIF(계정대체기준!$A$6:$A$15,$N245)&gt;0),IFERROR(INDEX(계정대체기준!$E$6:$E$15,MATCH(VALUE($A245&amp;""),계정대체기준!$D$6:$D$15,0)),0),0))</f>
        <v/>
      </c>
      <c r="AH245" s="64">
        <f>IF($A245="","",IF(AD245=0,"",IF(OR(COUNTIF(계정대체기준!$A$77:$A$86,$N245)&gt;0,ISNUMBER(MATCH($X245,계정대체기준!$D$77:$D$86,0)),ISNUMBER(MATCH($F245,계정대체기준!$D$77:$D$86,0))),"Y","N")))</f>
        <v/>
      </c>
    </row>
    <row r="246">
      <c r="A246" s="92" t="n">
        <v>2025</v>
      </c>
      <c r="B246" s="92" t="n">
        <v>2</v>
      </c>
      <c r="C246" s="92" t="inlineStr">
        <is>
          <t>5100000242</t>
        </is>
      </c>
      <c r="D246" s="95" t="n">
        <v>45690</v>
      </c>
      <c r="E246" s="92" t="inlineStr">
        <is>
          <t>KR</t>
        </is>
      </c>
      <c r="F246" s="92" t="n">
        <v>62102000</v>
      </c>
      <c r="G246" s="92" t="n">
        <v>1201</v>
      </c>
      <c r="H246" s="93" t="n">
        <v>95000</v>
      </c>
      <c r="I246" s="92" t="inlineStr">
        <is>
          <t>2월 해외출장 - N호텔</t>
        </is>
      </c>
      <c r="J246" s="92" t="inlineStr">
        <is>
          <t>V10009</t>
        </is>
      </c>
      <c r="K246" s="92" t="inlineStr">
        <is>
          <t>N호텔</t>
        </is>
      </c>
      <c r="M246" s="9">
        <f>IF($A246="","",VALUE($A246&amp;"")*12+VALUE($B246&amp;""))</f>
        <v/>
      </c>
      <c r="N246" s="64">
        <f>IF($A246="","",IFERROR(INDEX(부서매핑!$C$5:$C$504,MATCH($G246&amp;"",부서매핑!$A$5:$A$504,0)),"미매핑"))</f>
        <v/>
      </c>
      <c r="O246" s="9">
        <f>IF($A246="","",N246&amp;"|"&amp;$F246)</f>
        <v/>
      </c>
      <c r="P246" s="94">
        <f>IF($A246="",0,$H246*설정!$C$23)</f>
        <v/>
      </c>
      <c r="Q246" s="64">
        <f>IF($A246="","",IF(O246&lt;&gt;원인분석!$C$9,"",IF(AND(M246&gt;=원인분석!$C$10,M246&lt;=원인분석!$C$11),"당기",IF(AND(M246&gt;=원인분석!$C$12,M246&lt;=원인분석!$C$13),"비교",""))))</f>
        <v/>
      </c>
      <c r="R246" s="9">
        <f>IF(Q246="","",$K246&amp;"")</f>
        <v/>
      </c>
      <c r="S246" s="9">
        <f>IF(Q246="","",IF(MATCH(R246,$R$5:$R$100000,0)=ROW()-4,ROW(),""))</f>
        <v/>
      </c>
      <c r="T246" s="9">
        <f>IF(Q246="당기",ABS(P246)+ROW()/1000000000,"")</f>
        <v/>
      </c>
      <c r="U246" s="9">
        <f>IF(Q246="비교",ABS(P246)+ROW()/1000000000,"")</f>
        <v/>
      </c>
      <c r="V246" s="64">
        <f>IF($A246="","",IF(COUNTIF(변동분석!$E$7:$E$506,O246)&gt;0,"Y","N"))</f>
        <v/>
      </c>
      <c r="W246" s="64">
        <f>IF($A246="","",IFERROR(INDEX(계정매핑!$D$5:$D$504,MATCH($F246&amp;"",계정매핑!$A$5:$A$504,0)),"미매핑"))</f>
        <v/>
      </c>
      <c r="X246" s="9">
        <f>IF($A246="","",$F246&amp;"")</f>
        <v/>
      </c>
      <c r="Y246" s="94">
        <f>IF($A246="",0,IF(AE246="직접",IF(AF246="비귀속",$P246,0),$P246*(1-AG246)*IFERROR(INDEX(계정대체기준!$F$20:$F$49,MATCH($N246,계정대체기준!$A$20:$A$49,0)),1)))</f>
        <v/>
      </c>
      <c r="Z246" s="94">
        <f>IF($A246="",0,IF(AE246="직접",IF(AF246="신계약비",$P246,0),$P246*(1-AG246)*IFERROR(INDEX(계정대체기준!$C$20:$C$49,MATCH($N246,계정대체기준!$A$20:$A$49,0)),0)))</f>
        <v/>
      </c>
      <c r="AA246" s="94">
        <f>IF($A246="",0,IF(AE246="직접",IF(OR(AF246="유지비",AF246="손해조사비"),$P246,0),$P246*(1-AG246)*IFERROR(INDEX(계정대체기준!$D$20:$D$49,MATCH($N246,계정대체기준!$A$20:$A$49,0)),0)))</f>
        <v/>
      </c>
      <c r="AB246" s="94">
        <f>IF($A246="",0,IF(AE246="직접",IF(AF246="수금비",$P246,0),$P246*(1-AG246)*IFERROR(INDEX(계정대체기준!$E$20:$E$49,MATCH($N246,계정대체기준!$A$20:$A$49,0)),0)))</f>
        <v/>
      </c>
      <c r="AC246" s="9">
        <f>IF(AND($A246&lt;&gt;"",M246=설정!$C$20,Z246&gt;0),Z246+ROW()/1000000000,"")</f>
        <v/>
      </c>
      <c r="AD246" s="94">
        <f>IF($A246="",0,$P246*AG246)</f>
        <v/>
      </c>
      <c r="AE246" s="64">
        <f>IF($A246="","",IFERROR(INDEX(계정매핑!$E$5:$E$504,MATCH($F246&amp;"",계정매핑!$A$5:$A$504,0))&amp;"","공통비"))</f>
        <v/>
      </c>
      <c r="AF246" s="64">
        <f>IF($A246="","",IF(AE246="직접",IFERROR(INDEX(계정매핑!$F$5:$F$504,MATCH($F246&amp;"",계정매핑!$A$5:$A$504,0))&amp;"","비귀속"),""))</f>
        <v/>
      </c>
      <c r="AG246" s="96">
        <f>IF($A246="",0,IF(AND(AE246&lt;&gt;"직접",IFERROR(INDEX(계정매핑!$G$5:$G$504,MATCH($F246&amp;"",계정매핑!$A$5:$A$504,0))&amp;"","")="유지비",COUNTIF(계정대체기준!$A$6:$A$15,$N246)&gt;0),IFERROR(INDEX(계정대체기준!$E$6:$E$15,MATCH(VALUE($A246&amp;""),계정대체기준!$D$6:$D$15,0)),0),0))</f>
        <v/>
      </c>
      <c r="AH246" s="64">
        <f>IF($A246="","",IF(AD246=0,"",IF(OR(COUNTIF(계정대체기준!$A$77:$A$86,$N246)&gt;0,ISNUMBER(MATCH($X246,계정대체기준!$D$77:$D$86,0)),ISNUMBER(MATCH($F246,계정대체기준!$D$77:$D$86,0))),"Y","N")))</f>
        <v/>
      </c>
    </row>
    <row r="247">
      <c r="A247" s="92" t="n">
        <v>2025</v>
      </c>
      <c r="B247" s="92" t="n">
        <v>2</v>
      </c>
      <c r="C247" s="92" t="inlineStr">
        <is>
          <t>5100000243</t>
        </is>
      </c>
      <c r="D247" s="95" t="n">
        <v>45690</v>
      </c>
      <c r="E247" s="92" t="inlineStr">
        <is>
          <t>KR</t>
        </is>
      </c>
      <c r="F247" s="92" t="n">
        <v>62201000</v>
      </c>
      <c r="G247" s="92" t="n">
        <v>1201</v>
      </c>
      <c r="H247" s="93" t="n">
        <v>146000</v>
      </c>
      <c r="I247" s="92" t="inlineStr">
        <is>
          <t>2월 통신요금 - P통신</t>
        </is>
      </c>
      <c r="J247" s="92" t="inlineStr">
        <is>
          <t>V10014</t>
        </is>
      </c>
      <c r="K247" s="92" t="inlineStr">
        <is>
          <t>P통신</t>
        </is>
      </c>
      <c r="M247" s="9">
        <f>IF($A247="","",VALUE($A247&amp;"")*12+VALUE($B247&amp;""))</f>
        <v/>
      </c>
      <c r="N247" s="64">
        <f>IF($A247="","",IFERROR(INDEX(부서매핑!$C$5:$C$504,MATCH($G247&amp;"",부서매핑!$A$5:$A$504,0)),"미매핑"))</f>
        <v/>
      </c>
      <c r="O247" s="9">
        <f>IF($A247="","",N247&amp;"|"&amp;$F247)</f>
        <v/>
      </c>
      <c r="P247" s="94">
        <f>IF($A247="",0,$H247*설정!$C$23)</f>
        <v/>
      </c>
      <c r="Q247" s="64">
        <f>IF($A247="","",IF(O247&lt;&gt;원인분석!$C$9,"",IF(AND(M247&gt;=원인분석!$C$10,M247&lt;=원인분석!$C$11),"당기",IF(AND(M247&gt;=원인분석!$C$12,M247&lt;=원인분석!$C$13),"비교",""))))</f>
        <v/>
      </c>
      <c r="R247" s="9">
        <f>IF(Q247="","",$K247&amp;"")</f>
        <v/>
      </c>
      <c r="S247" s="9">
        <f>IF(Q247="","",IF(MATCH(R247,$R$5:$R$100000,0)=ROW()-4,ROW(),""))</f>
        <v/>
      </c>
      <c r="T247" s="9">
        <f>IF(Q247="당기",ABS(P247)+ROW()/1000000000,"")</f>
        <v/>
      </c>
      <c r="U247" s="9">
        <f>IF(Q247="비교",ABS(P247)+ROW()/1000000000,"")</f>
        <v/>
      </c>
      <c r="V247" s="64">
        <f>IF($A247="","",IF(COUNTIF(변동분석!$E$7:$E$506,O247)&gt;0,"Y","N"))</f>
        <v/>
      </c>
      <c r="W247" s="64">
        <f>IF($A247="","",IFERROR(INDEX(계정매핑!$D$5:$D$504,MATCH($F247&amp;"",계정매핑!$A$5:$A$504,0)),"미매핑"))</f>
        <v/>
      </c>
      <c r="X247" s="9">
        <f>IF($A247="","",$F247&amp;"")</f>
        <v/>
      </c>
      <c r="Y247" s="94">
        <f>IF($A247="",0,IF(AE247="직접",IF(AF247="비귀속",$P247,0),$P247*(1-AG247)*IFERROR(INDEX(계정대체기준!$F$20:$F$49,MATCH($N247,계정대체기준!$A$20:$A$49,0)),1)))</f>
        <v/>
      </c>
      <c r="Z247" s="94">
        <f>IF($A247="",0,IF(AE247="직접",IF(AF247="신계약비",$P247,0),$P247*(1-AG247)*IFERROR(INDEX(계정대체기준!$C$20:$C$49,MATCH($N247,계정대체기준!$A$20:$A$49,0)),0)))</f>
        <v/>
      </c>
      <c r="AA247" s="94">
        <f>IF($A247="",0,IF(AE247="직접",IF(OR(AF247="유지비",AF247="손해조사비"),$P247,0),$P247*(1-AG247)*IFERROR(INDEX(계정대체기준!$D$20:$D$49,MATCH($N247,계정대체기준!$A$20:$A$49,0)),0)))</f>
        <v/>
      </c>
      <c r="AB247" s="94">
        <f>IF($A247="",0,IF(AE247="직접",IF(AF247="수금비",$P247,0),$P247*(1-AG247)*IFERROR(INDEX(계정대체기준!$E$20:$E$49,MATCH($N247,계정대체기준!$A$20:$A$49,0)),0)))</f>
        <v/>
      </c>
      <c r="AC247" s="9">
        <f>IF(AND($A247&lt;&gt;"",M247=설정!$C$20,Z247&gt;0),Z247+ROW()/1000000000,"")</f>
        <v/>
      </c>
      <c r="AD247" s="94">
        <f>IF($A247="",0,$P247*AG247)</f>
        <v/>
      </c>
      <c r="AE247" s="64">
        <f>IF($A247="","",IFERROR(INDEX(계정매핑!$E$5:$E$504,MATCH($F247&amp;"",계정매핑!$A$5:$A$504,0))&amp;"","공통비"))</f>
        <v/>
      </c>
      <c r="AF247" s="64">
        <f>IF($A247="","",IF(AE247="직접",IFERROR(INDEX(계정매핑!$F$5:$F$504,MATCH($F247&amp;"",계정매핑!$A$5:$A$504,0))&amp;"","비귀속"),""))</f>
        <v/>
      </c>
      <c r="AG247" s="96">
        <f>IF($A247="",0,IF(AND(AE247&lt;&gt;"직접",IFERROR(INDEX(계정매핑!$G$5:$G$504,MATCH($F247&amp;"",계정매핑!$A$5:$A$504,0))&amp;"","")="유지비",COUNTIF(계정대체기준!$A$6:$A$15,$N247)&gt;0),IFERROR(INDEX(계정대체기준!$E$6:$E$15,MATCH(VALUE($A247&amp;""),계정대체기준!$D$6:$D$15,0)),0),0))</f>
        <v/>
      </c>
      <c r="AH247" s="64">
        <f>IF($A247="","",IF(AD247=0,"",IF(OR(COUNTIF(계정대체기준!$A$77:$A$86,$N247)&gt;0,ISNUMBER(MATCH($X247,계정대체기준!$D$77:$D$86,0)),ISNUMBER(MATCH($F247,계정대체기준!$D$77:$D$86,0))),"Y","N")))</f>
        <v/>
      </c>
    </row>
    <row r="248">
      <c r="A248" s="92" t="n">
        <v>2025</v>
      </c>
      <c r="B248" s="92" t="n">
        <v>2</v>
      </c>
      <c r="C248" s="92" t="inlineStr">
        <is>
          <t>5100000244</t>
        </is>
      </c>
      <c r="D248" s="95" t="n">
        <v>45690</v>
      </c>
      <c r="E248" s="92" t="inlineStr">
        <is>
          <t>KR</t>
        </is>
      </c>
      <c r="F248" s="92" t="n">
        <v>62201000</v>
      </c>
      <c r="G248" s="92" t="n">
        <v>1301</v>
      </c>
      <c r="H248" s="93" t="n">
        <v>203000</v>
      </c>
      <c r="I248" s="92" t="inlineStr">
        <is>
          <t>2월 통신요금 - P통신</t>
        </is>
      </c>
      <c r="J248" s="92" t="inlineStr">
        <is>
          <t>V10014</t>
        </is>
      </c>
      <c r="K248" s="92" t="inlineStr">
        <is>
          <t>P통신</t>
        </is>
      </c>
      <c r="M248" s="9">
        <f>IF($A248="","",VALUE($A248&amp;"")*12+VALUE($B248&amp;""))</f>
        <v/>
      </c>
      <c r="N248" s="64">
        <f>IF($A248="","",IFERROR(INDEX(부서매핑!$C$5:$C$504,MATCH($G248&amp;"",부서매핑!$A$5:$A$504,0)),"미매핑"))</f>
        <v/>
      </c>
      <c r="O248" s="9">
        <f>IF($A248="","",N248&amp;"|"&amp;$F248)</f>
        <v/>
      </c>
      <c r="P248" s="94">
        <f>IF($A248="",0,$H248*설정!$C$23)</f>
        <v/>
      </c>
      <c r="Q248" s="64">
        <f>IF($A248="","",IF(O248&lt;&gt;원인분석!$C$9,"",IF(AND(M248&gt;=원인분석!$C$10,M248&lt;=원인분석!$C$11),"당기",IF(AND(M248&gt;=원인분석!$C$12,M248&lt;=원인분석!$C$13),"비교",""))))</f>
        <v/>
      </c>
      <c r="R248" s="9">
        <f>IF(Q248="","",$K248&amp;"")</f>
        <v/>
      </c>
      <c r="S248" s="9">
        <f>IF(Q248="","",IF(MATCH(R248,$R$5:$R$100000,0)=ROW()-4,ROW(),""))</f>
        <v/>
      </c>
      <c r="T248" s="9">
        <f>IF(Q248="당기",ABS(P248)+ROW()/1000000000,"")</f>
        <v/>
      </c>
      <c r="U248" s="9">
        <f>IF(Q248="비교",ABS(P248)+ROW()/1000000000,"")</f>
        <v/>
      </c>
      <c r="V248" s="64">
        <f>IF($A248="","",IF(COUNTIF(변동분석!$E$7:$E$506,O248)&gt;0,"Y","N"))</f>
        <v/>
      </c>
      <c r="W248" s="64">
        <f>IF($A248="","",IFERROR(INDEX(계정매핑!$D$5:$D$504,MATCH($F248&amp;"",계정매핑!$A$5:$A$504,0)),"미매핑"))</f>
        <v/>
      </c>
      <c r="X248" s="9">
        <f>IF($A248="","",$F248&amp;"")</f>
        <v/>
      </c>
      <c r="Y248" s="94">
        <f>IF($A248="",0,IF(AE248="직접",IF(AF248="비귀속",$P248,0),$P248*(1-AG248)*IFERROR(INDEX(계정대체기준!$F$20:$F$49,MATCH($N248,계정대체기준!$A$20:$A$49,0)),1)))</f>
        <v/>
      </c>
      <c r="Z248" s="94">
        <f>IF($A248="",0,IF(AE248="직접",IF(AF248="신계약비",$P248,0),$P248*(1-AG248)*IFERROR(INDEX(계정대체기준!$C$20:$C$49,MATCH($N248,계정대체기준!$A$20:$A$49,0)),0)))</f>
        <v/>
      </c>
      <c r="AA248" s="94">
        <f>IF($A248="",0,IF(AE248="직접",IF(OR(AF248="유지비",AF248="손해조사비"),$P248,0),$P248*(1-AG248)*IFERROR(INDEX(계정대체기준!$D$20:$D$49,MATCH($N248,계정대체기준!$A$20:$A$49,0)),0)))</f>
        <v/>
      </c>
      <c r="AB248" s="94">
        <f>IF($A248="",0,IF(AE248="직접",IF(AF248="수금비",$P248,0),$P248*(1-AG248)*IFERROR(INDEX(계정대체기준!$E$20:$E$49,MATCH($N248,계정대체기준!$A$20:$A$49,0)),0)))</f>
        <v/>
      </c>
      <c r="AC248" s="9">
        <f>IF(AND($A248&lt;&gt;"",M248=설정!$C$20,Z248&gt;0),Z248+ROW()/1000000000,"")</f>
        <v/>
      </c>
      <c r="AD248" s="94">
        <f>IF($A248="",0,$P248*AG248)</f>
        <v/>
      </c>
      <c r="AE248" s="64">
        <f>IF($A248="","",IFERROR(INDEX(계정매핑!$E$5:$E$504,MATCH($F248&amp;"",계정매핑!$A$5:$A$504,0))&amp;"","공통비"))</f>
        <v/>
      </c>
      <c r="AF248" s="64">
        <f>IF($A248="","",IF(AE248="직접",IFERROR(INDEX(계정매핑!$F$5:$F$504,MATCH($F248&amp;"",계정매핑!$A$5:$A$504,0))&amp;"","비귀속"),""))</f>
        <v/>
      </c>
      <c r="AG248" s="96">
        <f>IF($A248="",0,IF(AND(AE248&lt;&gt;"직접",IFERROR(INDEX(계정매핑!$G$5:$G$504,MATCH($F248&amp;"",계정매핑!$A$5:$A$504,0))&amp;"","")="유지비",COUNTIF(계정대체기준!$A$6:$A$15,$N248)&gt;0),IFERROR(INDEX(계정대체기준!$E$6:$E$15,MATCH(VALUE($A248&amp;""),계정대체기준!$D$6:$D$15,0)),0),0))</f>
        <v/>
      </c>
      <c r="AH248" s="64">
        <f>IF($A248="","",IF(AD248=0,"",IF(OR(COUNTIF(계정대체기준!$A$77:$A$86,$N248)&gt;0,ISNUMBER(MATCH($X248,계정대체기준!$D$77:$D$86,0)),ISNUMBER(MATCH($F248,계정대체기준!$D$77:$D$86,0))),"Y","N")))</f>
        <v/>
      </c>
    </row>
    <row r="249">
      <c r="A249" s="92" t="n">
        <v>2025</v>
      </c>
      <c r="B249" s="92" t="n">
        <v>2</v>
      </c>
      <c r="C249" s="92" t="inlineStr">
        <is>
          <t>5100000245</t>
        </is>
      </c>
      <c r="D249" s="95" t="n">
        <v>45690</v>
      </c>
      <c r="E249" s="92" t="inlineStr">
        <is>
          <t>KR</t>
        </is>
      </c>
      <c r="F249" s="92" t="n">
        <v>62201000</v>
      </c>
      <c r="G249" s="92" t="n">
        <v>1801</v>
      </c>
      <c r="H249" s="93" t="n">
        <v>5216000</v>
      </c>
      <c r="I249" s="92" t="inlineStr">
        <is>
          <t>2월 통신요금 - P통신</t>
        </is>
      </c>
      <c r="J249" s="92" t="inlineStr">
        <is>
          <t>V10014</t>
        </is>
      </c>
      <c r="K249" s="92" t="inlineStr">
        <is>
          <t>P통신</t>
        </is>
      </c>
      <c r="M249" s="9">
        <f>IF($A249="","",VALUE($A249&amp;"")*12+VALUE($B249&amp;""))</f>
        <v/>
      </c>
      <c r="N249" s="64">
        <f>IF($A249="","",IFERROR(INDEX(부서매핑!$C$5:$C$504,MATCH($G249&amp;"",부서매핑!$A$5:$A$504,0)),"미매핑"))</f>
        <v/>
      </c>
      <c r="O249" s="9">
        <f>IF($A249="","",N249&amp;"|"&amp;$F249)</f>
        <v/>
      </c>
      <c r="P249" s="94">
        <f>IF($A249="",0,$H249*설정!$C$23)</f>
        <v/>
      </c>
      <c r="Q249" s="64">
        <f>IF($A249="","",IF(O249&lt;&gt;원인분석!$C$9,"",IF(AND(M249&gt;=원인분석!$C$10,M249&lt;=원인분석!$C$11),"당기",IF(AND(M249&gt;=원인분석!$C$12,M249&lt;=원인분석!$C$13),"비교",""))))</f>
        <v/>
      </c>
      <c r="R249" s="9">
        <f>IF(Q249="","",$K249&amp;"")</f>
        <v/>
      </c>
      <c r="S249" s="9">
        <f>IF(Q249="","",IF(MATCH(R249,$R$5:$R$100000,0)=ROW()-4,ROW(),""))</f>
        <v/>
      </c>
      <c r="T249" s="9">
        <f>IF(Q249="당기",ABS(P249)+ROW()/1000000000,"")</f>
        <v/>
      </c>
      <c r="U249" s="9">
        <f>IF(Q249="비교",ABS(P249)+ROW()/1000000000,"")</f>
        <v/>
      </c>
      <c r="V249" s="64">
        <f>IF($A249="","",IF(COUNTIF(변동분석!$E$7:$E$506,O249)&gt;0,"Y","N"))</f>
        <v/>
      </c>
      <c r="W249" s="64">
        <f>IF($A249="","",IFERROR(INDEX(계정매핑!$D$5:$D$504,MATCH($F249&amp;"",계정매핑!$A$5:$A$504,0)),"미매핑"))</f>
        <v/>
      </c>
      <c r="X249" s="9">
        <f>IF($A249="","",$F249&amp;"")</f>
        <v/>
      </c>
      <c r="Y249" s="94">
        <f>IF($A249="",0,IF(AE249="직접",IF(AF249="비귀속",$P249,0),$P249*(1-AG249)*IFERROR(INDEX(계정대체기준!$F$20:$F$49,MATCH($N249,계정대체기준!$A$20:$A$49,0)),1)))</f>
        <v/>
      </c>
      <c r="Z249" s="94">
        <f>IF($A249="",0,IF(AE249="직접",IF(AF249="신계약비",$P249,0),$P249*(1-AG249)*IFERROR(INDEX(계정대체기준!$C$20:$C$49,MATCH($N249,계정대체기준!$A$20:$A$49,0)),0)))</f>
        <v/>
      </c>
      <c r="AA249" s="94">
        <f>IF($A249="",0,IF(AE249="직접",IF(OR(AF249="유지비",AF249="손해조사비"),$P249,0),$P249*(1-AG249)*IFERROR(INDEX(계정대체기준!$D$20:$D$49,MATCH($N249,계정대체기준!$A$20:$A$49,0)),0)))</f>
        <v/>
      </c>
      <c r="AB249" s="94">
        <f>IF($A249="",0,IF(AE249="직접",IF(AF249="수금비",$P249,0),$P249*(1-AG249)*IFERROR(INDEX(계정대체기준!$E$20:$E$49,MATCH($N249,계정대체기준!$A$20:$A$49,0)),0)))</f>
        <v/>
      </c>
      <c r="AC249" s="9">
        <f>IF(AND($A249&lt;&gt;"",M249=설정!$C$20,Z249&gt;0),Z249+ROW()/1000000000,"")</f>
        <v/>
      </c>
      <c r="AD249" s="94">
        <f>IF($A249="",0,$P249*AG249)</f>
        <v/>
      </c>
      <c r="AE249" s="64">
        <f>IF($A249="","",IFERROR(INDEX(계정매핑!$E$5:$E$504,MATCH($F249&amp;"",계정매핑!$A$5:$A$504,0))&amp;"","공통비"))</f>
        <v/>
      </c>
      <c r="AF249" s="64">
        <f>IF($A249="","",IF(AE249="직접",IFERROR(INDEX(계정매핑!$F$5:$F$504,MATCH($F249&amp;"",계정매핑!$A$5:$A$504,0))&amp;"","비귀속"),""))</f>
        <v/>
      </c>
      <c r="AG249" s="96">
        <f>IF($A249="",0,IF(AND(AE249&lt;&gt;"직접",IFERROR(INDEX(계정매핑!$G$5:$G$504,MATCH($F249&amp;"",계정매핑!$A$5:$A$504,0))&amp;"","")="유지비",COUNTIF(계정대체기준!$A$6:$A$15,$N249)&gt;0),IFERROR(INDEX(계정대체기준!$E$6:$E$15,MATCH(VALUE($A249&amp;""),계정대체기준!$D$6:$D$15,0)),0),0))</f>
        <v/>
      </c>
      <c r="AH249" s="64">
        <f>IF($A249="","",IF(AD249=0,"",IF(OR(COUNTIF(계정대체기준!$A$77:$A$86,$N249)&gt;0,ISNUMBER(MATCH($X249,계정대체기준!$D$77:$D$86,0)),ISNUMBER(MATCH($F249,계정대체기준!$D$77:$D$86,0))),"Y","N")))</f>
        <v/>
      </c>
    </row>
    <row r="250">
      <c r="A250" s="92" t="n">
        <v>2025</v>
      </c>
      <c r="B250" s="92" t="n">
        <v>2</v>
      </c>
      <c r="C250" s="92" t="inlineStr">
        <is>
          <t>5100000246</t>
        </is>
      </c>
      <c r="D250" s="95" t="n">
        <v>45690</v>
      </c>
      <c r="E250" s="92" t="inlineStr">
        <is>
          <t>KR</t>
        </is>
      </c>
      <c r="F250" s="92" t="n">
        <v>62301000</v>
      </c>
      <c r="G250" s="92" t="n">
        <v>1801</v>
      </c>
      <c r="H250" s="93" t="n">
        <v>494000</v>
      </c>
      <c r="I250" s="92" t="inlineStr">
        <is>
          <t>2월 소모품 구입 - Q오피스</t>
        </is>
      </c>
      <c r="J250" s="92" t="inlineStr">
        <is>
          <t>V10003</t>
        </is>
      </c>
      <c r="K250" s="92" t="inlineStr">
        <is>
          <t>Q오피스</t>
        </is>
      </c>
      <c r="M250" s="9">
        <f>IF($A250="","",VALUE($A250&amp;"")*12+VALUE($B250&amp;""))</f>
        <v/>
      </c>
      <c r="N250" s="64">
        <f>IF($A250="","",IFERROR(INDEX(부서매핑!$C$5:$C$504,MATCH($G250&amp;"",부서매핑!$A$5:$A$504,0)),"미매핑"))</f>
        <v/>
      </c>
      <c r="O250" s="9">
        <f>IF($A250="","",N250&amp;"|"&amp;$F250)</f>
        <v/>
      </c>
      <c r="P250" s="94">
        <f>IF($A250="",0,$H250*설정!$C$23)</f>
        <v/>
      </c>
      <c r="Q250" s="64">
        <f>IF($A250="","",IF(O250&lt;&gt;원인분석!$C$9,"",IF(AND(M250&gt;=원인분석!$C$10,M250&lt;=원인분석!$C$11),"당기",IF(AND(M250&gt;=원인분석!$C$12,M250&lt;=원인분석!$C$13),"비교",""))))</f>
        <v/>
      </c>
      <c r="R250" s="9">
        <f>IF(Q250="","",$K250&amp;"")</f>
        <v/>
      </c>
      <c r="S250" s="9">
        <f>IF(Q250="","",IF(MATCH(R250,$R$5:$R$100000,0)=ROW()-4,ROW(),""))</f>
        <v/>
      </c>
      <c r="T250" s="9">
        <f>IF(Q250="당기",ABS(P250)+ROW()/1000000000,"")</f>
        <v/>
      </c>
      <c r="U250" s="9">
        <f>IF(Q250="비교",ABS(P250)+ROW()/1000000000,"")</f>
        <v/>
      </c>
      <c r="V250" s="64">
        <f>IF($A250="","",IF(COUNTIF(변동분석!$E$7:$E$506,O250)&gt;0,"Y","N"))</f>
        <v/>
      </c>
      <c r="W250" s="64">
        <f>IF($A250="","",IFERROR(INDEX(계정매핑!$D$5:$D$504,MATCH($F250&amp;"",계정매핑!$A$5:$A$504,0)),"미매핑"))</f>
        <v/>
      </c>
      <c r="X250" s="9">
        <f>IF($A250="","",$F250&amp;"")</f>
        <v/>
      </c>
      <c r="Y250" s="94">
        <f>IF($A250="",0,IF(AE250="직접",IF(AF250="비귀속",$P250,0),$P250*(1-AG250)*IFERROR(INDEX(계정대체기준!$F$20:$F$49,MATCH($N250,계정대체기준!$A$20:$A$49,0)),1)))</f>
        <v/>
      </c>
      <c r="Z250" s="94">
        <f>IF($A250="",0,IF(AE250="직접",IF(AF250="신계약비",$P250,0),$P250*(1-AG250)*IFERROR(INDEX(계정대체기준!$C$20:$C$49,MATCH($N250,계정대체기준!$A$20:$A$49,0)),0)))</f>
        <v/>
      </c>
      <c r="AA250" s="94">
        <f>IF($A250="",0,IF(AE250="직접",IF(OR(AF250="유지비",AF250="손해조사비"),$P250,0),$P250*(1-AG250)*IFERROR(INDEX(계정대체기준!$D$20:$D$49,MATCH($N250,계정대체기준!$A$20:$A$49,0)),0)))</f>
        <v/>
      </c>
      <c r="AB250" s="94">
        <f>IF($A250="",0,IF(AE250="직접",IF(AF250="수금비",$P250,0),$P250*(1-AG250)*IFERROR(INDEX(계정대체기준!$E$20:$E$49,MATCH($N250,계정대체기준!$A$20:$A$49,0)),0)))</f>
        <v/>
      </c>
      <c r="AC250" s="9">
        <f>IF(AND($A250&lt;&gt;"",M250=설정!$C$20,Z250&gt;0),Z250+ROW()/1000000000,"")</f>
        <v/>
      </c>
      <c r="AD250" s="94">
        <f>IF($A250="",0,$P250*AG250)</f>
        <v/>
      </c>
      <c r="AE250" s="64">
        <f>IF($A250="","",IFERROR(INDEX(계정매핑!$E$5:$E$504,MATCH($F250&amp;"",계정매핑!$A$5:$A$504,0))&amp;"","공통비"))</f>
        <v/>
      </c>
      <c r="AF250" s="64">
        <f>IF($A250="","",IF(AE250="직접",IFERROR(INDEX(계정매핑!$F$5:$F$504,MATCH($F250&amp;"",계정매핑!$A$5:$A$504,0))&amp;"","비귀속"),""))</f>
        <v/>
      </c>
      <c r="AG250" s="96">
        <f>IF($A250="",0,IF(AND(AE250&lt;&gt;"직접",IFERROR(INDEX(계정매핑!$G$5:$G$504,MATCH($F250&amp;"",계정매핑!$A$5:$A$504,0))&amp;"","")="유지비",COUNTIF(계정대체기준!$A$6:$A$15,$N250)&gt;0),IFERROR(INDEX(계정대체기준!$E$6:$E$15,MATCH(VALUE($A250&amp;""),계정대체기준!$D$6:$D$15,0)),0),0))</f>
        <v/>
      </c>
      <c r="AH250" s="64">
        <f>IF($A250="","",IF(AD250=0,"",IF(OR(COUNTIF(계정대체기준!$A$77:$A$86,$N250)&gt;0,ISNUMBER(MATCH($X250,계정대체기준!$D$77:$D$86,0)),ISNUMBER(MATCH($F250,계정대체기준!$D$77:$D$86,0))),"Y","N")))</f>
        <v/>
      </c>
    </row>
    <row r="251">
      <c r="A251" s="92" t="n">
        <v>2025</v>
      </c>
      <c r="B251" s="92" t="n">
        <v>2</v>
      </c>
      <c r="C251" s="92" t="inlineStr">
        <is>
          <t>5100000247</t>
        </is>
      </c>
      <c r="D251" s="95" t="n">
        <v>45690</v>
      </c>
      <c r="E251" s="92" t="inlineStr">
        <is>
          <t>KR</t>
        </is>
      </c>
      <c r="F251" s="92" t="n">
        <v>62501000</v>
      </c>
      <c r="G251" s="92" t="n">
        <v>1201</v>
      </c>
      <c r="H251" s="93" t="n">
        <v>119000</v>
      </c>
      <c r="I251" s="92" t="inlineStr">
        <is>
          <t>2월 회의 다과 - (법인카드)</t>
        </is>
      </c>
      <c r="J251" s="92" t="inlineStr">
        <is>
          <t>V10010</t>
        </is>
      </c>
      <c r="K251" s="92" t="inlineStr">
        <is>
          <t>(법인카드)</t>
        </is>
      </c>
      <c r="M251" s="9">
        <f>IF($A251="","",VALUE($A251&amp;"")*12+VALUE($B251&amp;""))</f>
        <v/>
      </c>
      <c r="N251" s="64">
        <f>IF($A251="","",IFERROR(INDEX(부서매핑!$C$5:$C$504,MATCH($G251&amp;"",부서매핑!$A$5:$A$504,0)),"미매핑"))</f>
        <v/>
      </c>
      <c r="O251" s="9">
        <f>IF($A251="","",N251&amp;"|"&amp;$F251)</f>
        <v/>
      </c>
      <c r="P251" s="94">
        <f>IF($A251="",0,$H251*설정!$C$23)</f>
        <v/>
      </c>
      <c r="Q251" s="64">
        <f>IF($A251="","",IF(O251&lt;&gt;원인분석!$C$9,"",IF(AND(M251&gt;=원인분석!$C$10,M251&lt;=원인분석!$C$11),"당기",IF(AND(M251&gt;=원인분석!$C$12,M251&lt;=원인분석!$C$13),"비교",""))))</f>
        <v/>
      </c>
      <c r="R251" s="9">
        <f>IF(Q251="","",$K251&amp;"")</f>
        <v/>
      </c>
      <c r="S251" s="9">
        <f>IF(Q251="","",IF(MATCH(R251,$R$5:$R$100000,0)=ROW()-4,ROW(),""))</f>
        <v/>
      </c>
      <c r="T251" s="9">
        <f>IF(Q251="당기",ABS(P251)+ROW()/1000000000,"")</f>
        <v/>
      </c>
      <c r="U251" s="9">
        <f>IF(Q251="비교",ABS(P251)+ROW()/1000000000,"")</f>
        <v/>
      </c>
      <c r="V251" s="64">
        <f>IF($A251="","",IF(COUNTIF(변동분석!$E$7:$E$506,O251)&gt;0,"Y","N"))</f>
        <v/>
      </c>
      <c r="W251" s="64">
        <f>IF($A251="","",IFERROR(INDEX(계정매핑!$D$5:$D$504,MATCH($F251&amp;"",계정매핑!$A$5:$A$504,0)),"미매핑"))</f>
        <v/>
      </c>
      <c r="X251" s="9">
        <f>IF($A251="","",$F251&amp;"")</f>
        <v/>
      </c>
      <c r="Y251" s="94">
        <f>IF($A251="",0,IF(AE251="직접",IF(AF251="비귀속",$P251,0),$P251*(1-AG251)*IFERROR(INDEX(계정대체기준!$F$20:$F$49,MATCH($N251,계정대체기준!$A$20:$A$49,0)),1)))</f>
        <v/>
      </c>
      <c r="Z251" s="94">
        <f>IF($A251="",0,IF(AE251="직접",IF(AF251="신계약비",$P251,0),$P251*(1-AG251)*IFERROR(INDEX(계정대체기준!$C$20:$C$49,MATCH($N251,계정대체기준!$A$20:$A$49,0)),0)))</f>
        <v/>
      </c>
      <c r="AA251" s="94">
        <f>IF($A251="",0,IF(AE251="직접",IF(OR(AF251="유지비",AF251="손해조사비"),$P251,0),$P251*(1-AG251)*IFERROR(INDEX(계정대체기준!$D$20:$D$49,MATCH($N251,계정대체기준!$A$20:$A$49,0)),0)))</f>
        <v/>
      </c>
      <c r="AB251" s="94">
        <f>IF($A251="",0,IF(AE251="직접",IF(AF251="수금비",$P251,0),$P251*(1-AG251)*IFERROR(INDEX(계정대체기준!$E$20:$E$49,MATCH($N251,계정대체기준!$A$20:$A$49,0)),0)))</f>
        <v/>
      </c>
      <c r="AC251" s="9">
        <f>IF(AND($A251&lt;&gt;"",M251=설정!$C$20,Z251&gt;0),Z251+ROW()/1000000000,"")</f>
        <v/>
      </c>
      <c r="AD251" s="94">
        <f>IF($A251="",0,$P251*AG251)</f>
        <v/>
      </c>
      <c r="AE251" s="64">
        <f>IF($A251="","",IFERROR(INDEX(계정매핑!$E$5:$E$504,MATCH($F251&amp;"",계정매핑!$A$5:$A$504,0))&amp;"","공통비"))</f>
        <v/>
      </c>
      <c r="AF251" s="64">
        <f>IF($A251="","",IF(AE251="직접",IFERROR(INDEX(계정매핑!$F$5:$F$504,MATCH($F251&amp;"",계정매핑!$A$5:$A$504,0))&amp;"","비귀속"),""))</f>
        <v/>
      </c>
      <c r="AG251" s="96">
        <f>IF($A251="",0,IF(AND(AE251&lt;&gt;"직접",IFERROR(INDEX(계정매핑!$G$5:$G$504,MATCH($F251&amp;"",계정매핑!$A$5:$A$504,0))&amp;"","")="유지비",COUNTIF(계정대체기준!$A$6:$A$15,$N251)&gt;0),IFERROR(INDEX(계정대체기준!$E$6:$E$15,MATCH(VALUE($A251&amp;""),계정대체기준!$D$6:$D$15,0)),0),0))</f>
        <v/>
      </c>
      <c r="AH251" s="64">
        <f>IF($A251="","",IF(AD251=0,"",IF(OR(COUNTIF(계정대체기준!$A$77:$A$86,$N251)&gt;0,ISNUMBER(MATCH($X251,계정대체기준!$D$77:$D$86,0)),ISNUMBER(MATCH($F251,계정대체기준!$D$77:$D$86,0))),"Y","N")))</f>
        <v/>
      </c>
    </row>
    <row r="252">
      <c r="A252" s="92" t="n">
        <v>2025</v>
      </c>
      <c r="B252" s="92" t="n">
        <v>2</v>
      </c>
      <c r="C252" s="92" t="inlineStr">
        <is>
          <t>5100000248</t>
        </is>
      </c>
      <c r="D252" s="95" t="n">
        <v>45690</v>
      </c>
      <c r="E252" s="92" t="inlineStr">
        <is>
          <t>KR</t>
        </is>
      </c>
      <c r="F252" s="92" t="n">
        <v>62501000</v>
      </c>
      <c r="G252" s="92" t="n">
        <v>1401</v>
      </c>
      <c r="H252" s="93" t="n">
        <v>138000</v>
      </c>
      <c r="I252" s="92" t="inlineStr">
        <is>
          <t>2월 회의 다과 - (법인카드)</t>
        </is>
      </c>
      <c r="J252" s="92" t="inlineStr">
        <is>
          <t>V10010</t>
        </is>
      </c>
      <c r="K252" s="92" t="inlineStr">
        <is>
          <t>(법인카드)</t>
        </is>
      </c>
      <c r="M252" s="9">
        <f>IF($A252="","",VALUE($A252&amp;"")*12+VALUE($B252&amp;""))</f>
        <v/>
      </c>
      <c r="N252" s="64">
        <f>IF($A252="","",IFERROR(INDEX(부서매핑!$C$5:$C$504,MATCH($G252&amp;"",부서매핑!$A$5:$A$504,0)),"미매핑"))</f>
        <v/>
      </c>
      <c r="O252" s="9">
        <f>IF($A252="","",N252&amp;"|"&amp;$F252)</f>
        <v/>
      </c>
      <c r="P252" s="94">
        <f>IF($A252="",0,$H252*설정!$C$23)</f>
        <v/>
      </c>
      <c r="Q252" s="64">
        <f>IF($A252="","",IF(O252&lt;&gt;원인분석!$C$9,"",IF(AND(M252&gt;=원인분석!$C$10,M252&lt;=원인분석!$C$11),"당기",IF(AND(M252&gt;=원인분석!$C$12,M252&lt;=원인분석!$C$13),"비교",""))))</f>
        <v/>
      </c>
      <c r="R252" s="9">
        <f>IF(Q252="","",$K252&amp;"")</f>
        <v/>
      </c>
      <c r="S252" s="9">
        <f>IF(Q252="","",IF(MATCH(R252,$R$5:$R$100000,0)=ROW()-4,ROW(),""))</f>
        <v/>
      </c>
      <c r="T252" s="9">
        <f>IF(Q252="당기",ABS(P252)+ROW()/1000000000,"")</f>
        <v/>
      </c>
      <c r="U252" s="9">
        <f>IF(Q252="비교",ABS(P252)+ROW()/1000000000,"")</f>
        <v/>
      </c>
      <c r="V252" s="64">
        <f>IF($A252="","",IF(COUNTIF(변동분석!$E$7:$E$506,O252)&gt;0,"Y","N"))</f>
        <v/>
      </c>
      <c r="W252" s="64">
        <f>IF($A252="","",IFERROR(INDEX(계정매핑!$D$5:$D$504,MATCH($F252&amp;"",계정매핑!$A$5:$A$504,0)),"미매핑"))</f>
        <v/>
      </c>
      <c r="X252" s="9">
        <f>IF($A252="","",$F252&amp;"")</f>
        <v/>
      </c>
      <c r="Y252" s="94">
        <f>IF($A252="",0,IF(AE252="직접",IF(AF252="비귀속",$P252,0),$P252*(1-AG252)*IFERROR(INDEX(계정대체기준!$F$20:$F$49,MATCH($N252,계정대체기준!$A$20:$A$49,0)),1)))</f>
        <v/>
      </c>
      <c r="Z252" s="94">
        <f>IF($A252="",0,IF(AE252="직접",IF(AF252="신계약비",$P252,0),$P252*(1-AG252)*IFERROR(INDEX(계정대체기준!$C$20:$C$49,MATCH($N252,계정대체기준!$A$20:$A$49,0)),0)))</f>
        <v/>
      </c>
      <c r="AA252" s="94">
        <f>IF($A252="",0,IF(AE252="직접",IF(OR(AF252="유지비",AF252="손해조사비"),$P252,0),$P252*(1-AG252)*IFERROR(INDEX(계정대체기준!$D$20:$D$49,MATCH($N252,계정대체기준!$A$20:$A$49,0)),0)))</f>
        <v/>
      </c>
      <c r="AB252" s="94">
        <f>IF($A252="",0,IF(AE252="직접",IF(AF252="수금비",$P252,0),$P252*(1-AG252)*IFERROR(INDEX(계정대체기준!$E$20:$E$49,MATCH($N252,계정대체기준!$A$20:$A$49,0)),0)))</f>
        <v/>
      </c>
      <c r="AC252" s="9">
        <f>IF(AND($A252&lt;&gt;"",M252=설정!$C$20,Z252&gt;0),Z252+ROW()/1000000000,"")</f>
        <v/>
      </c>
      <c r="AD252" s="94">
        <f>IF($A252="",0,$P252*AG252)</f>
        <v/>
      </c>
      <c r="AE252" s="64">
        <f>IF($A252="","",IFERROR(INDEX(계정매핑!$E$5:$E$504,MATCH($F252&amp;"",계정매핑!$A$5:$A$504,0))&amp;"","공통비"))</f>
        <v/>
      </c>
      <c r="AF252" s="64">
        <f>IF($A252="","",IF(AE252="직접",IFERROR(INDEX(계정매핑!$F$5:$F$504,MATCH($F252&amp;"",계정매핑!$A$5:$A$504,0))&amp;"","비귀속"),""))</f>
        <v/>
      </c>
      <c r="AG252" s="96">
        <f>IF($A252="",0,IF(AND(AE252&lt;&gt;"직접",IFERROR(INDEX(계정매핑!$G$5:$G$504,MATCH($F252&amp;"",계정매핑!$A$5:$A$504,0))&amp;"","")="유지비",COUNTIF(계정대체기준!$A$6:$A$15,$N252)&gt;0),IFERROR(INDEX(계정대체기준!$E$6:$E$15,MATCH(VALUE($A252&amp;""),계정대체기준!$D$6:$D$15,0)),0),0))</f>
        <v/>
      </c>
      <c r="AH252" s="64">
        <f>IF($A252="","",IF(AD252=0,"",IF(OR(COUNTIF(계정대체기준!$A$77:$A$86,$N252)&gt;0,ISNUMBER(MATCH($X252,계정대체기준!$D$77:$D$86,0)),ISNUMBER(MATCH($F252,계정대체기준!$D$77:$D$86,0))),"Y","N")))</f>
        <v/>
      </c>
    </row>
    <row r="253">
      <c r="A253" s="92" t="n">
        <v>2025</v>
      </c>
      <c r="B253" s="92" t="n">
        <v>2</v>
      </c>
      <c r="C253" s="92" t="inlineStr">
        <is>
          <t>5100000249</t>
        </is>
      </c>
      <c r="D253" s="95" t="n">
        <v>45690</v>
      </c>
      <c r="E253" s="92" t="inlineStr">
        <is>
          <t>KR</t>
        </is>
      </c>
      <c r="F253" s="92" t="n">
        <v>62501000</v>
      </c>
      <c r="G253" s="92" t="n">
        <v>1502</v>
      </c>
      <c r="H253" s="93" t="n">
        <v>174000</v>
      </c>
      <c r="I253" s="92" t="inlineStr">
        <is>
          <t>2월 회의 다과 - (법인카드)</t>
        </is>
      </c>
      <c r="J253" s="92" t="inlineStr">
        <is>
          <t>V10010</t>
        </is>
      </c>
      <c r="K253" s="92" t="inlineStr">
        <is>
          <t>(법인카드)</t>
        </is>
      </c>
      <c r="M253" s="9">
        <f>IF($A253="","",VALUE($A253&amp;"")*12+VALUE($B253&amp;""))</f>
        <v/>
      </c>
      <c r="N253" s="64">
        <f>IF($A253="","",IFERROR(INDEX(부서매핑!$C$5:$C$504,MATCH($G253&amp;"",부서매핑!$A$5:$A$504,0)),"미매핑"))</f>
        <v/>
      </c>
      <c r="O253" s="9">
        <f>IF($A253="","",N253&amp;"|"&amp;$F253)</f>
        <v/>
      </c>
      <c r="P253" s="94">
        <f>IF($A253="",0,$H253*설정!$C$23)</f>
        <v/>
      </c>
      <c r="Q253" s="64">
        <f>IF($A253="","",IF(O253&lt;&gt;원인분석!$C$9,"",IF(AND(M253&gt;=원인분석!$C$10,M253&lt;=원인분석!$C$11),"당기",IF(AND(M253&gt;=원인분석!$C$12,M253&lt;=원인분석!$C$13),"비교",""))))</f>
        <v/>
      </c>
      <c r="R253" s="9">
        <f>IF(Q253="","",$K253&amp;"")</f>
        <v/>
      </c>
      <c r="S253" s="9">
        <f>IF(Q253="","",IF(MATCH(R253,$R$5:$R$100000,0)=ROW()-4,ROW(),""))</f>
        <v/>
      </c>
      <c r="T253" s="9">
        <f>IF(Q253="당기",ABS(P253)+ROW()/1000000000,"")</f>
        <v/>
      </c>
      <c r="U253" s="9">
        <f>IF(Q253="비교",ABS(P253)+ROW()/1000000000,"")</f>
        <v/>
      </c>
      <c r="V253" s="64">
        <f>IF($A253="","",IF(COUNTIF(변동분석!$E$7:$E$506,O253)&gt;0,"Y","N"))</f>
        <v/>
      </c>
      <c r="W253" s="64">
        <f>IF($A253="","",IFERROR(INDEX(계정매핑!$D$5:$D$504,MATCH($F253&amp;"",계정매핑!$A$5:$A$504,0)),"미매핑"))</f>
        <v/>
      </c>
      <c r="X253" s="9">
        <f>IF($A253="","",$F253&amp;"")</f>
        <v/>
      </c>
      <c r="Y253" s="94">
        <f>IF($A253="",0,IF(AE253="직접",IF(AF253="비귀속",$P253,0),$P253*(1-AG253)*IFERROR(INDEX(계정대체기준!$F$20:$F$49,MATCH($N253,계정대체기준!$A$20:$A$49,0)),1)))</f>
        <v/>
      </c>
      <c r="Z253" s="94">
        <f>IF($A253="",0,IF(AE253="직접",IF(AF253="신계약비",$P253,0),$P253*(1-AG253)*IFERROR(INDEX(계정대체기준!$C$20:$C$49,MATCH($N253,계정대체기준!$A$20:$A$49,0)),0)))</f>
        <v/>
      </c>
      <c r="AA253" s="94">
        <f>IF($A253="",0,IF(AE253="직접",IF(OR(AF253="유지비",AF253="손해조사비"),$P253,0),$P253*(1-AG253)*IFERROR(INDEX(계정대체기준!$D$20:$D$49,MATCH($N253,계정대체기준!$A$20:$A$49,0)),0)))</f>
        <v/>
      </c>
      <c r="AB253" s="94">
        <f>IF($A253="",0,IF(AE253="직접",IF(AF253="수금비",$P253,0),$P253*(1-AG253)*IFERROR(INDEX(계정대체기준!$E$20:$E$49,MATCH($N253,계정대체기준!$A$20:$A$49,0)),0)))</f>
        <v/>
      </c>
      <c r="AC253" s="9">
        <f>IF(AND($A253&lt;&gt;"",M253=설정!$C$20,Z253&gt;0),Z253+ROW()/1000000000,"")</f>
        <v/>
      </c>
      <c r="AD253" s="94">
        <f>IF($A253="",0,$P253*AG253)</f>
        <v/>
      </c>
      <c r="AE253" s="64">
        <f>IF($A253="","",IFERROR(INDEX(계정매핑!$E$5:$E$504,MATCH($F253&amp;"",계정매핑!$A$5:$A$504,0))&amp;"","공통비"))</f>
        <v/>
      </c>
      <c r="AF253" s="64">
        <f>IF($A253="","",IF(AE253="직접",IFERROR(INDEX(계정매핑!$F$5:$F$504,MATCH($F253&amp;"",계정매핑!$A$5:$A$504,0))&amp;"","비귀속"),""))</f>
        <v/>
      </c>
      <c r="AG253" s="96">
        <f>IF($A253="",0,IF(AND(AE253&lt;&gt;"직접",IFERROR(INDEX(계정매핑!$G$5:$G$504,MATCH($F253&amp;"",계정매핑!$A$5:$A$504,0))&amp;"","")="유지비",COUNTIF(계정대체기준!$A$6:$A$15,$N253)&gt;0),IFERROR(INDEX(계정대체기준!$E$6:$E$15,MATCH(VALUE($A253&amp;""),계정대체기준!$D$6:$D$15,0)),0),0))</f>
        <v/>
      </c>
      <c r="AH253" s="64">
        <f>IF($A253="","",IF(AD253=0,"",IF(OR(COUNTIF(계정대체기준!$A$77:$A$86,$N253)&gt;0,ISNUMBER(MATCH($X253,계정대체기준!$D$77:$D$86,0)),ISNUMBER(MATCH($F253,계정대체기준!$D$77:$D$86,0))),"Y","N")))</f>
        <v/>
      </c>
    </row>
    <row r="254">
      <c r="A254" s="92" t="n">
        <v>2025</v>
      </c>
      <c r="B254" s="92" t="n">
        <v>2</v>
      </c>
      <c r="C254" s="92" t="inlineStr">
        <is>
          <t>5100000250</t>
        </is>
      </c>
      <c r="D254" s="95" t="n">
        <v>45690</v>
      </c>
      <c r="E254" s="92" t="inlineStr">
        <is>
          <t>KR</t>
        </is>
      </c>
      <c r="F254" s="92" t="n">
        <v>62901000</v>
      </c>
      <c r="G254" s="92" t="n">
        <v>1801</v>
      </c>
      <c r="H254" s="93" t="n">
        <v>7097000</v>
      </c>
      <c r="I254" s="92" t="inlineStr">
        <is>
          <t>2월 자문 수수료 - W컨설팅</t>
        </is>
      </c>
      <c r="J254" s="92" t="inlineStr">
        <is>
          <t>V10006</t>
        </is>
      </c>
      <c r="K254" s="92" t="inlineStr">
        <is>
          <t>W컨설팅</t>
        </is>
      </c>
      <c r="M254" s="9">
        <f>IF($A254="","",VALUE($A254&amp;"")*12+VALUE($B254&amp;""))</f>
        <v/>
      </c>
      <c r="N254" s="64">
        <f>IF($A254="","",IFERROR(INDEX(부서매핑!$C$5:$C$504,MATCH($G254&amp;"",부서매핑!$A$5:$A$504,0)),"미매핑"))</f>
        <v/>
      </c>
      <c r="O254" s="9">
        <f>IF($A254="","",N254&amp;"|"&amp;$F254)</f>
        <v/>
      </c>
      <c r="P254" s="94">
        <f>IF($A254="",0,$H254*설정!$C$23)</f>
        <v/>
      </c>
      <c r="Q254" s="64">
        <f>IF($A254="","",IF(O254&lt;&gt;원인분석!$C$9,"",IF(AND(M254&gt;=원인분석!$C$10,M254&lt;=원인분석!$C$11),"당기",IF(AND(M254&gt;=원인분석!$C$12,M254&lt;=원인분석!$C$13),"비교",""))))</f>
        <v/>
      </c>
      <c r="R254" s="9">
        <f>IF(Q254="","",$K254&amp;"")</f>
        <v/>
      </c>
      <c r="S254" s="9">
        <f>IF(Q254="","",IF(MATCH(R254,$R$5:$R$100000,0)=ROW()-4,ROW(),""))</f>
        <v/>
      </c>
      <c r="T254" s="9">
        <f>IF(Q254="당기",ABS(P254)+ROW()/1000000000,"")</f>
        <v/>
      </c>
      <c r="U254" s="9">
        <f>IF(Q254="비교",ABS(P254)+ROW()/1000000000,"")</f>
        <v/>
      </c>
      <c r="V254" s="64">
        <f>IF($A254="","",IF(COUNTIF(변동분석!$E$7:$E$506,O254)&gt;0,"Y","N"))</f>
        <v/>
      </c>
      <c r="W254" s="64">
        <f>IF($A254="","",IFERROR(INDEX(계정매핑!$D$5:$D$504,MATCH($F254&amp;"",계정매핑!$A$5:$A$504,0)),"미매핑"))</f>
        <v/>
      </c>
      <c r="X254" s="9">
        <f>IF($A254="","",$F254&amp;"")</f>
        <v/>
      </c>
      <c r="Y254" s="94">
        <f>IF($A254="",0,IF(AE254="직접",IF(AF254="비귀속",$P254,0),$P254*(1-AG254)*IFERROR(INDEX(계정대체기준!$F$20:$F$49,MATCH($N254,계정대체기준!$A$20:$A$49,0)),1)))</f>
        <v/>
      </c>
      <c r="Z254" s="94">
        <f>IF($A254="",0,IF(AE254="직접",IF(AF254="신계약비",$P254,0),$P254*(1-AG254)*IFERROR(INDEX(계정대체기준!$C$20:$C$49,MATCH($N254,계정대체기준!$A$20:$A$49,0)),0)))</f>
        <v/>
      </c>
      <c r="AA254" s="94">
        <f>IF($A254="",0,IF(AE254="직접",IF(OR(AF254="유지비",AF254="손해조사비"),$P254,0),$P254*(1-AG254)*IFERROR(INDEX(계정대체기준!$D$20:$D$49,MATCH($N254,계정대체기준!$A$20:$A$49,0)),0)))</f>
        <v/>
      </c>
      <c r="AB254" s="94">
        <f>IF($A254="",0,IF(AE254="직접",IF(AF254="수금비",$P254,0),$P254*(1-AG254)*IFERROR(INDEX(계정대체기준!$E$20:$E$49,MATCH($N254,계정대체기준!$A$20:$A$49,0)),0)))</f>
        <v/>
      </c>
      <c r="AC254" s="9">
        <f>IF(AND($A254&lt;&gt;"",M254=설정!$C$20,Z254&gt;0),Z254+ROW()/1000000000,"")</f>
        <v/>
      </c>
      <c r="AD254" s="94">
        <f>IF($A254="",0,$P254*AG254)</f>
        <v/>
      </c>
      <c r="AE254" s="64">
        <f>IF($A254="","",IFERROR(INDEX(계정매핑!$E$5:$E$504,MATCH($F254&amp;"",계정매핑!$A$5:$A$504,0))&amp;"","공통비"))</f>
        <v/>
      </c>
      <c r="AF254" s="64">
        <f>IF($A254="","",IF(AE254="직접",IFERROR(INDEX(계정매핑!$F$5:$F$504,MATCH($F254&amp;"",계정매핑!$A$5:$A$504,0))&amp;"","비귀속"),""))</f>
        <v/>
      </c>
      <c r="AG254" s="96">
        <f>IF($A254="",0,IF(AND(AE254&lt;&gt;"직접",IFERROR(INDEX(계정매핑!$G$5:$G$504,MATCH($F254&amp;"",계정매핑!$A$5:$A$504,0))&amp;"","")="유지비",COUNTIF(계정대체기준!$A$6:$A$15,$N254)&gt;0),IFERROR(INDEX(계정대체기준!$E$6:$E$15,MATCH(VALUE($A254&amp;""),계정대체기준!$D$6:$D$15,0)),0),0))</f>
        <v/>
      </c>
      <c r="AH254" s="64">
        <f>IF($A254="","",IF(AD254=0,"",IF(OR(COUNTIF(계정대체기준!$A$77:$A$86,$N254)&gt;0,ISNUMBER(MATCH($X254,계정대체기준!$D$77:$D$86,0)),ISNUMBER(MATCH($F254,계정대체기준!$D$77:$D$86,0))),"Y","N")))</f>
        <v/>
      </c>
    </row>
    <row r="255">
      <c r="A255" s="92" t="n">
        <v>2025</v>
      </c>
      <c r="B255" s="92" t="n">
        <v>2</v>
      </c>
      <c r="C255" s="92" t="inlineStr">
        <is>
          <t>5100000251</t>
        </is>
      </c>
      <c r="D255" s="95" t="n">
        <v>45690</v>
      </c>
      <c r="E255" s="92" t="inlineStr">
        <is>
          <t>KR</t>
        </is>
      </c>
      <c r="F255" s="92" t="n">
        <v>62901000</v>
      </c>
      <c r="G255" s="92" t="n">
        <v>1801</v>
      </c>
      <c r="H255" s="93" t="n">
        <v>8471000</v>
      </c>
      <c r="I255" s="92" t="inlineStr">
        <is>
          <t>2월 자문 수수료 - W컨설팅</t>
        </is>
      </c>
      <c r="J255" s="92" t="inlineStr">
        <is>
          <t>V10006</t>
        </is>
      </c>
      <c r="K255" s="92" t="inlineStr">
        <is>
          <t>W컨설팅</t>
        </is>
      </c>
      <c r="M255" s="9">
        <f>IF($A255="","",VALUE($A255&amp;"")*12+VALUE($B255&amp;""))</f>
        <v/>
      </c>
      <c r="N255" s="64">
        <f>IF($A255="","",IFERROR(INDEX(부서매핑!$C$5:$C$504,MATCH($G255&amp;"",부서매핑!$A$5:$A$504,0)),"미매핑"))</f>
        <v/>
      </c>
      <c r="O255" s="9">
        <f>IF($A255="","",N255&amp;"|"&amp;$F255)</f>
        <v/>
      </c>
      <c r="P255" s="94">
        <f>IF($A255="",0,$H255*설정!$C$23)</f>
        <v/>
      </c>
      <c r="Q255" s="64">
        <f>IF($A255="","",IF(O255&lt;&gt;원인분석!$C$9,"",IF(AND(M255&gt;=원인분석!$C$10,M255&lt;=원인분석!$C$11),"당기",IF(AND(M255&gt;=원인분석!$C$12,M255&lt;=원인분석!$C$13),"비교",""))))</f>
        <v/>
      </c>
      <c r="R255" s="9">
        <f>IF(Q255="","",$K255&amp;"")</f>
        <v/>
      </c>
      <c r="S255" s="9">
        <f>IF(Q255="","",IF(MATCH(R255,$R$5:$R$100000,0)=ROW()-4,ROW(),""))</f>
        <v/>
      </c>
      <c r="T255" s="9">
        <f>IF(Q255="당기",ABS(P255)+ROW()/1000000000,"")</f>
        <v/>
      </c>
      <c r="U255" s="9">
        <f>IF(Q255="비교",ABS(P255)+ROW()/1000000000,"")</f>
        <v/>
      </c>
      <c r="V255" s="64">
        <f>IF($A255="","",IF(COUNTIF(변동분석!$E$7:$E$506,O255)&gt;0,"Y","N"))</f>
        <v/>
      </c>
      <c r="W255" s="64">
        <f>IF($A255="","",IFERROR(INDEX(계정매핑!$D$5:$D$504,MATCH($F255&amp;"",계정매핑!$A$5:$A$504,0)),"미매핑"))</f>
        <v/>
      </c>
      <c r="X255" s="9">
        <f>IF($A255="","",$F255&amp;"")</f>
        <v/>
      </c>
      <c r="Y255" s="94">
        <f>IF($A255="",0,IF(AE255="직접",IF(AF255="비귀속",$P255,0),$P255*(1-AG255)*IFERROR(INDEX(계정대체기준!$F$20:$F$49,MATCH($N255,계정대체기준!$A$20:$A$49,0)),1)))</f>
        <v/>
      </c>
      <c r="Z255" s="94">
        <f>IF($A255="",0,IF(AE255="직접",IF(AF255="신계약비",$P255,0),$P255*(1-AG255)*IFERROR(INDEX(계정대체기준!$C$20:$C$49,MATCH($N255,계정대체기준!$A$20:$A$49,0)),0)))</f>
        <v/>
      </c>
      <c r="AA255" s="94">
        <f>IF($A255="",0,IF(AE255="직접",IF(OR(AF255="유지비",AF255="손해조사비"),$P255,0),$P255*(1-AG255)*IFERROR(INDEX(계정대체기준!$D$20:$D$49,MATCH($N255,계정대체기준!$A$20:$A$49,0)),0)))</f>
        <v/>
      </c>
      <c r="AB255" s="94">
        <f>IF($A255="",0,IF(AE255="직접",IF(AF255="수금비",$P255,0),$P255*(1-AG255)*IFERROR(INDEX(계정대체기준!$E$20:$E$49,MATCH($N255,계정대체기준!$A$20:$A$49,0)),0)))</f>
        <v/>
      </c>
      <c r="AC255" s="9">
        <f>IF(AND($A255&lt;&gt;"",M255=설정!$C$20,Z255&gt;0),Z255+ROW()/1000000000,"")</f>
        <v/>
      </c>
      <c r="AD255" s="94">
        <f>IF($A255="",0,$P255*AG255)</f>
        <v/>
      </c>
      <c r="AE255" s="64">
        <f>IF($A255="","",IFERROR(INDEX(계정매핑!$E$5:$E$504,MATCH($F255&amp;"",계정매핑!$A$5:$A$504,0))&amp;"","공통비"))</f>
        <v/>
      </c>
      <c r="AF255" s="64">
        <f>IF($A255="","",IF(AE255="직접",IFERROR(INDEX(계정매핑!$F$5:$F$504,MATCH($F255&amp;"",계정매핑!$A$5:$A$504,0))&amp;"","비귀속"),""))</f>
        <v/>
      </c>
      <c r="AG255" s="96">
        <f>IF($A255="",0,IF(AND(AE255&lt;&gt;"직접",IFERROR(INDEX(계정매핑!$G$5:$G$504,MATCH($F255&amp;"",계정매핑!$A$5:$A$504,0))&amp;"","")="유지비",COUNTIF(계정대체기준!$A$6:$A$15,$N255)&gt;0),IFERROR(INDEX(계정대체기준!$E$6:$E$15,MATCH(VALUE($A255&amp;""),계정대체기준!$D$6:$D$15,0)),0),0))</f>
        <v/>
      </c>
      <c r="AH255" s="64">
        <f>IF($A255="","",IF(AD255=0,"",IF(OR(COUNTIF(계정대체기준!$A$77:$A$86,$N255)&gt;0,ISNUMBER(MATCH($X255,계정대체기준!$D$77:$D$86,0)),ISNUMBER(MATCH($F255,계정대체기준!$D$77:$D$86,0))),"Y","N")))</f>
        <v/>
      </c>
    </row>
    <row r="256">
      <c r="A256" s="92" t="n">
        <v>2025</v>
      </c>
      <c r="B256" s="92" t="n">
        <v>2</v>
      </c>
      <c r="C256" s="92" t="inlineStr">
        <is>
          <t>5100000252</t>
        </is>
      </c>
      <c r="D256" s="95" t="n">
        <v>45690</v>
      </c>
      <c r="E256" s="92" t="inlineStr">
        <is>
          <t>KR</t>
        </is>
      </c>
      <c r="F256" s="92" t="n">
        <v>62902000</v>
      </c>
      <c r="G256" s="92" t="n">
        <v>1801</v>
      </c>
      <c r="H256" s="93" t="n">
        <v>1833000</v>
      </c>
      <c r="I256" s="92" t="inlineStr">
        <is>
          <t>2월 콜 위탁 수수료(건별)</t>
        </is>
      </c>
      <c r="J256" s="92" t="inlineStr">
        <is>
          <t>V10016</t>
        </is>
      </c>
      <c r="K256" s="92" t="inlineStr">
        <is>
          <t>J콜센터</t>
        </is>
      </c>
      <c r="M256" s="9">
        <f>IF($A256="","",VALUE($A256&amp;"")*12+VALUE($B256&amp;""))</f>
        <v/>
      </c>
      <c r="N256" s="64">
        <f>IF($A256="","",IFERROR(INDEX(부서매핑!$C$5:$C$504,MATCH($G256&amp;"",부서매핑!$A$5:$A$504,0)),"미매핑"))</f>
        <v/>
      </c>
      <c r="O256" s="9">
        <f>IF($A256="","",N256&amp;"|"&amp;$F256)</f>
        <v/>
      </c>
      <c r="P256" s="94">
        <f>IF($A256="",0,$H256*설정!$C$23)</f>
        <v/>
      </c>
      <c r="Q256" s="64">
        <f>IF($A256="","",IF(O256&lt;&gt;원인분석!$C$9,"",IF(AND(M256&gt;=원인분석!$C$10,M256&lt;=원인분석!$C$11),"당기",IF(AND(M256&gt;=원인분석!$C$12,M256&lt;=원인분석!$C$13),"비교",""))))</f>
        <v/>
      </c>
      <c r="R256" s="9">
        <f>IF(Q256="","",$K256&amp;"")</f>
        <v/>
      </c>
      <c r="S256" s="9">
        <f>IF(Q256="","",IF(MATCH(R256,$R$5:$R$100000,0)=ROW()-4,ROW(),""))</f>
        <v/>
      </c>
      <c r="T256" s="9">
        <f>IF(Q256="당기",ABS(P256)+ROW()/1000000000,"")</f>
        <v/>
      </c>
      <c r="U256" s="9">
        <f>IF(Q256="비교",ABS(P256)+ROW()/1000000000,"")</f>
        <v/>
      </c>
      <c r="V256" s="64">
        <f>IF($A256="","",IF(COUNTIF(변동분석!$E$7:$E$506,O256)&gt;0,"Y","N"))</f>
        <v/>
      </c>
      <c r="W256" s="64">
        <f>IF($A256="","",IFERROR(INDEX(계정매핑!$D$5:$D$504,MATCH($F256&amp;"",계정매핑!$A$5:$A$504,0)),"미매핑"))</f>
        <v/>
      </c>
      <c r="X256" s="9">
        <f>IF($A256="","",$F256&amp;"")</f>
        <v/>
      </c>
      <c r="Y256" s="94">
        <f>IF($A256="",0,IF(AE256="직접",IF(AF256="비귀속",$P256,0),$P256*(1-AG256)*IFERROR(INDEX(계정대체기준!$F$20:$F$49,MATCH($N256,계정대체기준!$A$20:$A$49,0)),1)))</f>
        <v/>
      </c>
      <c r="Z256" s="94">
        <f>IF($A256="",0,IF(AE256="직접",IF(AF256="신계약비",$P256,0),$P256*(1-AG256)*IFERROR(INDEX(계정대체기준!$C$20:$C$49,MATCH($N256,계정대체기준!$A$20:$A$49,0)),0)))</f>
        <v/>
      </c>
      <c r="AA256" s="94">
        <f>IF($A256="",0,IF(AE256="직접",IF(OR(AF256="유지비",AF256="손해조사비"),$P256,0),$P256*(1-AG256)*IFERROR(INDEX(계정대체기준!$D$20:$D$49,MATCH($N256,계정대체기준!$A$20:$A$49,0)),0)))</f>
        <v/>
      </c>
      <c r="AB256" s="94">
        <f>IF($A256="",0,IF(AE256="직접",IF(AF256="수금비",$P256,0),$P256*(1-AG256)*IFERROR(INDEX(계정대체기준!$E$20:$E$49,MATCH($N256,계정대체기준!$A$20:$A$49,0)),0)))</f>
        <v/>
      </c>
      <c r="AC256" s="9">
        <f>IF(AND($A256&lt;&gt;"",M256=설정!$C$20,Z256&gt;0),Z256+ROW()/1000000000,"")</f>
        <v/>
      </c>
      <c r="AD256" s="94">
        <f>IF($A256="",0,$P256*AG256)</f>
        <v/>
      </c>
      <c r="AE256" s="64">
        <f>IF($A256="","",IFERROR(INDEX(계정매핑!$E$5:$E$504,MATCH($F256&amp;"",계정매핑!$A$5:$A$504,0))&amp;"","공통비"))</f>
        <v/>
      </c>
      <c r="AF256" s="64">
        <f>IF($A256="","",IF(AE256="직접",IFERROR(INDEX(계정매핑!$F$5:$F$504,MATCH($F256&amp;"",계정매핑!$A$5:$A$504,0))&amp;"","비귀속"),""))</f>
        <v/>
      </c>
      <c r="AG256" s="96">
        <f>IF($A256="",0,IF(AND(AE256&lt;&gt;"직접",IFERROR(INDEX(계정매핑!$G$5:$G$504,MATCH($F256&amp;"",계정매핑!$A$5:$A$504,0))&amp;"","")="유지비",COUNTIF(계정대체기준!$A$6:$A$15,$N256)&gt;0),IFERROR(INDEX(계정대체기준!$E$6:$E$15,MATCH(VALUE($A256&amp;""),계정대체기준!$D$6:$D$15,0)),0),0))</f>
        <v/>
      </c>
      <c r="AH256" s="64">
        <f>IF($A256="","",IF(AD256=0,"",IF(OR(COUNTIF(계정대체기준!$A$77:$A$86,$N256)&gt;0,ISNUMBER(MATCH($X256,계정대체기준!$D$77:$D$86,0)),ISNUMBER(MATCH($F256,계정대체기준!$D$77:$D$86,0))),"Y","N")))</f>
        <v/>
      </c>
    </row>
    <row r="257">
      <c r="A257" s="92" t="n">
        <v>2025</v>
      </c>
      <c r="B257" s="92" t="n">
        <v>2</v>
      </c>
      <c r="C257" s="92" t="inlineStr">
        <is>
          <t>5100000253</t>
        </is>
      </c>
      <c r="D257" s="95" t="n">
        <v>45690</v>
      </c>
      <c r="E257" s="92" t="inlineStr">
        <is>
          <t>KR</t>
        </is>
      </c>
      <c r="F257" s="92" t="n">
        <v>63001000</v>
      </c>
      <c r="G257" s="92" t="n">
        <v>1701</v>
      </c>
      <c r="H257" s="93" t="n">
        <v>28208000</v>
      </c>
      <c r="I257" s="92" t="inlineStr">
        <is>
          <t>2월 SW 유지보수 - Z시스템</t>
        </is>
      </c>
      <c r="J257" s="92" t="inlineStr">
        <is>
          <t>V10012</t>
        </is>
      </c>
      <c r="K257" s="92" t="inlineStr">
        <is>
          <t>Z시스템</t>
        </is>
      </c>
      <c r="M257" s="9">
        <f>IF($A257="","",VALUE($A257&amp;"")*12+VALUE($B257&amp;""))</f>
        <v/>
      </c>
      <c r="N257" s="64">
        <f>IF($A257="","",IFERROR(INDEX(부서매핑!$C$5:$C$504,MATCH($G257&amp;"",부서매핑!$A$5:$A$504,0)),"미매핑"))</f>
        <v/>
      </c>
      <c r="O257" s="9">
        <f>IF($A257="","",N257&amp;"|"&amp;$F257)</f>
        <v/>
      </c>
      <c r="P257" s="94">
        <f>IF($A257="",0,$H257*설정!$C$23)</f>
        <v/>
      </c>
      <c r="Q257" s="64">
        <f>IF($A257="","",IF(O257&lt;&gt;원인분석!$C$9,"",IF(AND(M257&gt;=원인분석!$C$10,M257&lt;=원인분석!$C$11),"당기",IF(AND(M257&gt;=원인분석!$C$12,M257&lt;=원인분석!$C$13),"비교",""))))</f>
        <v/>
      </c>
      <c r="R257" s="9">
        <f>IF(Q257="","",$K257&amp;"")</f>
        <v/>
      </c>
      <c r="S257" s="9">
        <f>IF(Q257="","",IF(MATCH(R257,$R$5:$R$100000,0)=ROW()-4,ROW(),""))</f>
        <v/>
      </c>
      <c r="T257" s="9">
        <f>IF(Q257="당기",ABS(P257)+ROW()/1000000000,"")</f>
        <v/>
      </c>
      <c r="U257" s="9">
        <f>IF(Q257="비교",ABS(P257)+ROW()/1000000000,"")</f>
        <v/>
      </c>
      <c r="V257" s="64">
        <f>IF($A257="","",IF(COUNTIF(변동분석!$E$7:$E$506,O257)&gt;0,"Y","N"))</f>
        <v/>
      </c>
      <c r="W257" s="64">
        <f>IF($A257="","",IFERROR(INDEX(계정매핑!$D$5:$D$504,MATCH($F257&amp;"",계정매핑!$A$5:$A$504,0)),"미매핑"))</f>
        <v/>
      </c>
      <c r="X257" s="9">
        <f>IF($A257="","",$F257&amp;"")</f>
        <v/>
      </c>
      <c r="Y257" s="94">
        <f>IF($A257="",0,IF(AE257="직접",IF(AF257="비귀속",$P257,0),$P257*(1-AG257)*IFERROR(INDEX(계정대체기준!$F$20:$F$49,MATCH($N257,계정대체기준!$A$20:$A$49,0)),1)))</f>
        <v/>
      </c>
      <c r="Z257" s="94">
        <f>IF($A257="",0,IF(AE257="직접",IF(AF257="신계약비",$P257,0),$P257*(1-AG257)*IFERROR(INDEX(계정대체기준!$C$20:$C$49,MATCH($N257,계정대체기준!$A$20:$A$49,0)),0)))</f>
        <v/>
      </c>
      <c r="AA257" s="94">
        <f>IF($A257="",0,IF(AE257="직접",IF(OR(AF257="유지비",AF257="손해조사비"),$P257,0),$P257*(1-AG257)*IFERROR(INDEX(계정대체기준!$D$20:$D$49,MATCH($N257,계정대체기준!$A$20:$A$49,0)),0)))</f>
        <v/>
      </c>
      <c r="AB257" s="94">
        <f>IF($A257="",0,IF(AE257="직접",IF(AF257="수금비",$P257,0),$P257*(1-AG257)*IFERROR(INDEX(계정대체기준!$E$20:$E$49,MATCH($N257,계정대체기준!$A$20:$A$49,0)),0)))</f>
        <v/>
      </c>
      <c r="AC257" s="9">
        <f>IF(AND($A257&lt;&gt;"",M257=설정!$C$20,Z257&gt;0),Z257+ROW()/1000000000,"")</f>
        <v/>
      </c>
      <c r="AD257" s="94">
        <f>IF($A257="",0,$P257*AG257)</f>
        <v/>
      </c>
      <c r="AE257" s="64">
        <f>IF($A257="","",IFERROR(INDEX(계정매핑!$E$5:$E$504,MATCH($F257&amp;"",계정매핑!$A$5:$A$504,0))&amp;"","공통비"))</f>
        <v/>
      </c>
      <c r="AF257" s="64">
        <f>IF($A257="","",IF(AE257="직접",IFERROR(INDEX(계정매핑!$F$5:$F$504,MATCH($F257&amp;"",계정매핑!$A$5:$A$504,0))&amp;"","비귀속"),""))</f>
        <v/>
      </c>
      <c r="AG257" s="96">
        <f>IF($A257="",0,IF(AND(AE257&lt;&gt;"직접",IFERROR(INDEX(계정매핑!$G$5:$G$504,MATCH($F257&amp;"",계정매핑!$A$5:$A$504,0))&amp;"","")="유지비",COUNTIF(계정대체기준!$A$6:$A$15,$N257)&gt;0),IFERROR(INDEX(계정대체기준!$E$6:$E$15,MATCH(VALUE($A257&amp;""),계정대체기준!$D$6:$D$15,0)),0),0))</f>
        <v/>
      </c>
      <c r="AH257" s="64">
        <f>IF($A257="","",IF(AD257=0,"",IF(OR(COUNTIF(계정대체기준!$A$77:$A$86,$N257)&gt;0,ISNUMBER(MATCH($X257,계정대체기준!$D$77:$D$86,0)),ISNUMBER(MATCH($F257,계정대체기준!$D$77:$D$86,0))),"Y","N")))</f>
        <v/>
      </c>
    </row>
    <row r="258">
      <c r="A258" s="92" t="n">
        <v>2025</v>
      </c>
      <c r="B258" s="92" t="n">
        <v>2</v>
      </c>
      <c r="C258" s="92" t="inlineStr">
        <is>
          <t>5100000254</t>
        </is>
      </c>
      <c r="D258" s="95" t="n">
        <v>45691</v>
      </c>
      <c r="E258" s="92" t="inlineStr">
        <is>
          <t>KR</t>
        </is>
      </c>
      <c r="F258" s="92" t="n">
        <v>62101000</v>
      </c>
      <c r="G258" s="92" t="n">
        <v>1951</v>
      </c>
      <c r="H258" s="93" t="n">
        <v>376000</v>
      </c>
      <c r="I258" s="92" t="inlineStr">
        <is>
          <t>2월 국내출장 - M항공</t>
        </is>
      </c>
      <c r="J258" s="92" t="inlineStr">
        <is>
          <t>V10001</t>
        </is>
      </c>
      <c r="K258" s="92" t="inlineStr">
        <is>
          <t>M항공</t>
        </is>
      </c>
      <c r="M258" s="9">
        <f>IF($A258="","",VALUE($A258&amp;"")*12+VALUE($B258&amp;""))</f>
        <v/>
      </c>
      <c r="N258" s="64">
        <f>IF($A258="","",IFERROR(INDEX(부서매핑!$C$5:$C$504,MATCH($G258&amp;"",부서매핑!$A$5:$A$504,0)),"미매핑"))</f>
        <v/>
      </c>
      <c r="O258" s="9">
        <f>IF($A258="","",N258&amp;"|"&amp;$F258)</f>
        <v/>
      </c>
      <c r="P258" s="94">
        <f>IF($A258="",0,$H258*설정!$C$23)</f>
        <v/>
      </c>
      <c r="Q258" s="64">
        <f>IF($A258="","",IF(O258&lt;&gt;원인분석!$C$9,"",IF(AND(M258&gt;=원인분석!$C$10,M258&lt;=원인분석!$C$11),"당기",IF(AND(M258&gt;=원인분석!$C$12,M258&lt;=원인분석!$C$13),"비교",""))))</f>
        <v/>
      </c>
      <c r="R258" s="9">
        <f>IF(Q258="","",$K258&amp;"")</f>
        <v/>
      </c>
      <c r="S258" s="9">
        <f>IF(Q258="","",IF(MATCH(R258,$R$5:$R$100000,0)=ROW()-4,ROW(),""))</f>
        <v/>
      </c>
      <c r="T258" s="9">
        <f>IF(Q258="당기",ABS(P258)+ROW()/1000000000,"")</f>
        <v/>
      </c>
      <c r="U258" s="9">
        <f>IF(Q258="비교",ABS(P258)+ROW()/1000000000,"")</f>
        <v/>
      </c>
      <c r="V258" s="64">
        <f>IF($A258="","",IF(COUNTIF(변동분석!$E$7:$E$506,O258)&gt;0,"Y","N"))</f>
        <v/>
      </c>
      <c r="W258" s="64">
        <f>IF($A258="","",IFERROR(INDEX(계정매핑!$D$5:$D$504,MATCH($F258&amp;"",계정매핑!$A$5:$A$504,0)),"미매핑"))</f>
        <v/>
      </c>
      <c r="X258" s="9">
        <f>IF($A258="","",$F258&amp;"")</f>
        <v/>
      </c>
      <c r="Y258" s="94">
        <f>IF($A258="",0,IF(AE258="직접",IF(AF258="비귀속",$P258,0),$P258*(1-AG258)*IFERROR(INDEX(계정대체기준!$F$20:$F$49,MATCH($N258,계정대체기준!$A$20:$A$49,0)),1)))</f>
        <v/>
      </c>
      <c r="Z258" s="94">
        <f>IF($A258="",0,IF(AE258="직접",IF(AF258="신계약비",$P258,0),$P258*(1-AG258)*IFERROR(INDEX(계정대체기준!$C$20:$C$49,MATCH($N258,계정대체기준!$A$20:$A$49,0)),0)))</f>
        <v/>
      </c>
      <c r="AA258" s="94">
        <f>IF($A258="",0,IF(AE258="직접",IF(OR(AF258="유지비",AF258="손해조사비"),$P258,0),$P258*(1-AG258)*IFERROR(INDEX(계정대체기준!$D$20:$D$49,MATCH($N258,계정대체기준!$A$20:$A$49,0)),0)))</f>
        <v/>
      </c>
      <c r="AB258" s="94">
        <f>IF($A258="",0,IF(AE258="직접",IF(AF258="수금비",$P258,0),$P258*(1-AG258)*IFERROR(INDEX(계정대체기준!$E$20:$E$49,MATCH($N258,계정대체기준!$A$20:$A$49,0)),0)))</f>
        <v/>
      </c>
      <c r="AC258" s="9">
        <f>IF(AND($A258&lt;&gt;"",M258=설정!$C$20,Z258&gt;0),Z258+ROW()/1000000000,"")</f>
        <v/>
      </c>
      <c r="AD258" s="94">
        <f>IF($A258="",0,$P258*AG258)</f>
        <v/>
      </c>
      <c r="AE258" s="64">
        <f>IF($A258="","",IFERROR(INDEX(계정매핑!$E$5:$E$504,MATCH($F258&amp;"",계정매핑!$A$5:$A$504,0))&amp;"","공통비"))</f>
        <v/>
      </c>
      <c r="AF258" s="64">
        <f>IF($A258="","",IF(AE258="직접",IFERROR(INDEX(계정매핑!$F$5:$F$504,MATCH($F258&amp;"",계정매핑!$A$5:$A$504,0))&amp;"","비귀속"),""))</f>
        <v/>
      </c>
      <c r="AG258" s="96">
        <f>IF($A258="",0,IF(AND(AE258&lt;&gt;"직접",IFERROR(INDEX(계정매핑!$G$5:$G$504,MATCH($F258&amp;"",계정매핑!$A$5:$A$504,0))&amp;"","")="유지비",COUNTIF(계정대체기준!$A$6:$A$15,$N258)&gt;0),IFERROR(INDEX(계정대체기준!$E$6:$E$15,MATCH(VALUE($A258&amp;""),계정대체기준!$D$6:$D$15,0)),0),0))</f>
        <v/>
      </c>
      <c r="AH258" s="64">
        <f>IF($A258="","",IF(AD258=0,"",IF(OR(COUNTIF(계정대체기준!$A$77:$A$86,$N258)&gt;0,ISNUMBER(MATCH($X258,계정대체기준!$D$77:$D$86,0)),ISNUMBER(MATCH($F258,계정대체기준!$D$77:$D$86,0))),"Y","N")))</f>
        <v/>
      </c>
    </row>
    <row r="259">
      <c r="A259" s="92" t="n">
        <v>2025</v>
      </c>
      <c r="B259" s="92" t="n">
        <v>2</v>
      </c>
      <c r="C259" s="92" t="inlineStr">
        <is>
          <t>5100000255</t>
        </is>
      </c>
      <c r="D259" s="95" t="n">
        <v>45691</v>
      </c>
      <c r="E259" s="92" t="inlineStr">
        <is>
          <t>KR</t>
        </is>
      </c>
      <c r="F259" s="92" t="n">
        <v>62102000</v>
      </c>
      <c r="G259" s="92" t="n">
        <v>1201</v>
      </c>
      <c r="H259" s="93" t="n">
        <v>46000</v>
      </c>
      <c r="I259" s="92" t="inlineStr">
        <is>
          <t>2월 해외출장 - M항공</t>
        </is>
      </c>
      <c r="J259" s="92" t="inlineStr">
        <is>
          <t>V10001</t>
        </is>
      </c>
      <c r="K259" s="92" t="inlineStr">
        <is>
          <t>M항공</t>
        </is>
      </c>
      <c r="M259" s="9">
        <f>IF($A259="","",VALUE($A259&amp;"")*12+VALUE($B259&amp;""))</f>
        <v/>
      </c>
      <c r="N259" s="64">
        <f>IF($A259="","",IFERROR(INDEX(부서매핑!$C$5:$C$504,MATCH($G259&amp;"",부서매핑!$A$5:$A$504,0)),"미매핑"))</f>
        <v/>
      </c>
      <c r="O259" s="9">
        <f>IF($A259="","",N259&amp;"|"&amp;$F259)</f>
        <v/>
      </c>
      <c r="P259" s="94">
        <f>IF($A259="",0,$H259*설정!$C$23)</f>
        <v/>
      </c>
      <c r="Q259" s="64">
        <f>IF($A259="","",IF(O259&lt;&gt;원인분석!$C$9,"",IF(AND(M259&gt;=원인분석!$C$10,M259&lt;=원인분석!$C$11),"당기",IF(AND(M259&gt;=원인분석!$C$12,M259&lt;=원인분석!$C$13),"비교",""))))</f>
        <v/>
      </c>
      <c r="R259" s="9">
        <f>IF(Q259="","",$K259&amp;"")</f>
        <v/>
      </c>
      <c r="S259" s="9">
        <f>IF(Q259="","",IF(MATCH(R259,$R$5:$R$100000,0)=ROW()-4,ROW(),""))</f>
        <v/>
      </c>
      <c r="T259" s="9">
        <f>IF(Q259="당기",ABS(P259)+ROW()/1000000000,"")</f>
        <v/>
      </c>
      <c r="U259" s="9">
        <f>IF(Q259="비교",ABS(P259)+ROW()/1000000000,"")</f>
        <v/>
      </c>
      <c r="V259" s="64">
        <f>IF($A259="","",IF(COUNTIF(변동분석!$E$7:$E$506,O259)&gt;0,"Y","N"))</f>
        <v/>
      </c>
      <c r="W259" s="64">
        <f>IF($A259="","",IFERROR(INDEX(계정매핑!$D$5:$D$504,MATCH($F259&amp;"",계정매핑!$A$5:$A$504,0)),"미매핑"))</f>
        <v/>
      </c>
      <c r="X259" s="9">
        <f>IF($A259="","",$F259&amp;"")</f>
        <v/>
      </c>
      <c r="Y259" s="94">
        <f>IF($A259="",0,IF(AE259="직접",IF(AF259="비귀속",$P259,0),$P259*(1-AG259)*IFERROR(INDEX(계정대체기준!$F$20:$F$49,MATCH($N259,계정대체기준!$A$20:$A$49,0)),1)))</f>
        <v/>
      </c>
      <c r="Z259" s="94">
        <f>IF($A259="",0,IF(AE259="직접",IF(AF259="신계약비",$P259,0),$P259*(1-AG259)*IFERROR(INDEX(계정대체기준!$C$20:$C$49,MATCH($N259,계정대체기준!$A$20:$A$49,0)),0)))</f>
        <v/>
      </c>
      <c r="AA259" s="94">
        <f>IF($A259="",0,IF(AE259="직접",IF(OR(AF259="유지비",AF259="손해조사비"),$P259,0),$P259*(1-AG259)*IFERROR(INDEX(계정대체기준!$D$20:$D$49,MATCH($N259,계정대체기준!$A$20:$A$49,0)),0)))</f>
        <v/>
      </c>
      <c r="AB259" s="94">
        <f>IF($A259="",0,IF(AE259="직접",IF(AF259="수금비",$P259,0),$P259*(1-AG259)*IFERROR(INDEX(계정대체기준!$E$20:$E$49,MATCH($N259,계정대체기준!$A$20:$A$49,0)),0)))</f>
        <v/>
      </c>
      <c r="AC259" s="9">
        <f>IF(AND($A259&lt;&gt;"",M259=설정!$C$20,Z259&gt;0),Z259+ROW()/1000000000,"")</f>
        <v/>
      </c>
      <c r="AD259" s="94">
        <f>IF($A259="",0,$P259*AG259)</f>
        <v/>
      </c>
      <c r="AE259" s="64">
        <f>IF($A259="","",IFERROR(INDEX(계정매핑!$E$5:$E$504,MATCH($F259&amp;"",계정매핑!$A$5:$A$504,0))&amp;"","공통비"))</f>
        <v/>
      </c>
      <c r="AF259" s="64">
        <f>IF($A259="","",IF(AE259="직접",IFERROR(INDEX(계정매핑!$F$5:$F$504,MATCH($F259&amp;"",계정매핑!$A$5:$A$504,0))&amp;"","비귀속"),""))</f>
        <v/>
      </c>
      <c r="AG259" s="96">
        <f>IF($A259="",0,IF(AND(AE259&lt;&gt;"직접",IFERROR(INDEX(계정매핑!$G$5:$G$504,MATCH($F259&amp;"",계정매핑!$A$5:$A$504,0))&amp;"","")="유지비",COUNTIF(계정대체기준!$A$6:$A$15,$N259)&gt;0),IFERROR(INDEX(계정대체기준!$E$6:$E$15,MATCH(VALUE($A259&amp;""),계정대체기준!$D$6:$D$15,0)),0),0))</f>
        <v/>
      </c>
      <c r="AH259" s="64">
        <f>IF($A259="","",IF(AD259=0,"",IF(OR(COUNTIF(계정대체기준!$A$77:$A$86,$N259)&gt;0,ISNUMBER(MATCH($X259,계정대체기준!$D$77:$D$86,0)),ISNUMBER(MATCH($F259,계정대체기준!$D$77:$D$86,0))),"Y","N")))</f>
        <v/>
      </c>
    </row>
    <row r="260">
      <c r="A260" s="92" t="n">
        <v>2025</v>
      </c>
      <c r="B260" s="92" t="n">
        <v>2</v>
      </c>
      <c r="C260" s="92" t="inlineStr">
        <is>
          <t>5100000256</t>
        </is>
      </c>
      <c r="D260" s="95" t="n">
        <v>45691</v>
      </c>
      <c r="E260" s="92" t="inlineStr">
        <is>
          <t>KR</t>
        </is>
      </c>
      <c r="F260" s="92" t="n">
        <v>62102000</v>
      </c>
      <c r="G260" s="92" t="n">
        <v>1401</v>
      </c>
      <c r="H260" s="93" t="n">
        <v>76000</v>
      </c>
      <c r="I260" s="92" t="inlineStr">
        <is>
          <t>2월 해외출장 - M항공</t>
        </is>
      </c>
      <c r="J260" s="92" t="inlineStr">
        <is>
          <t>V10001</t>
        </is>
      </c>
      <c r="K260" s="92" t="inlineStr">
        <is>
          <t>M항공</t>
        </is>
      </c>
      <c r="M260" s="9">
        <f>IF($A260="","",VALUE($A260&amp;"")*12+VALUE($B260&amp;""))</f>
        <v/>
      </c>
      <c r="N260" s="64">
        <f>IF($A260="","",IFERROR(INDEX(부서매핑!$C$5:$C$504,MATCH($G260&amp;"",부서매핑!$A$5:$A$504,0)),"미매핑"))</f>
        <v/>
      </c>
      <c r="O260" s="9">
        <f>IF($A260="","",N260&amp;"|"&amp;$F260)</f>
        <v/>
      </c>
      <c r="P260" s="94">
        <f>IF($A260="",0,$H260*설정!$C$23)</f>
        <v/>
      </c>
      <c r="Q260" s="64">
        <f>IF($A260="","",IF(O260&lt;&gt;원인분석!$C$9,"",IF(AND(M260&gt;=원인분석!$C$10,M260&lt;=원인분석!$C$11),"당기",IF(AND(M260&gt;=원인분석!$C$12,M260&lt;=원인분석!$C$13),"비교",""))))</f>
        <v/>
      </c>
      <c r="R260" s="9">
        <f>IF(Q260="","",$K260&amp;"")</f>
        <v/>
      </c>
      <c r="S260" s="9">
        <f>IF(Q260="","",IF(MATCH(R260,$R$5:$R$100000,0)=ROW()-4,ROW(),""))</f>
        <v/>
      </c>
      <c r="T260" s="9">
        <f>IF(Q260="당기",ABS(P260)+ROW()/1000000000,"")</f>
        <v/>
      </c>
      <c r="U260" s="9">
        <f>IF(Q260="비교",ABS(P260)+ROW()/1000000000,"")</f>
        <v/>
      </c>
      <c r="V260" s="64">
        <f>IF($A260="","",IF(COUNTIF(변동분석!$E$7:$E$506,O260)&gt;0,"Y","N"))</f>
        <v/>
      </c>
      <c r="W260" s="64">
        <f>IF($A260="","",IFERROR(INDEX(계정매핑!$D$5:$D$504,MATCH($F260&amp;"",계정매핑!$A$5:$A$504,0)),"미매핑"))</f>
        <v/>
      </c>
      <c r="X260" s="9">
        <f>IF($A260="","",$F260&amp;"")</f>
        <v/>
      </c>
      <c r="Y260" s="94">
        <f>IF($A260="",0,IF(AE260="직접",IF(AF260="비귀속",$P260,0),$P260*(1-AG260)*IFERROR(INDEX(계정대체기준!$F$20:$F$49,MATCH($N260,계정대체기준!$A$20:$A$49,0)),1)))</f>
        <v/>
      </c>
      <c r="Z260" s="94">
        <f>IF($A260="",0,IF(AE260="직접",IF(AF260="신계약비",$P260,0),$P260*(1-AG260)*IFERROR(INDEX(계정대체기준!$C$20:$C$49,MATCH($N260,계정대체기준!$A$20:$A$49,0)),0)))</f>
        <v/>
      </c>
      <c r="AA260" s="94">
        <f>IF($A260="",0,IF(AE260="직접",IF(OR(AF260="유지비",AF260="손해조사비"),$P260,0),$P260*(1-AG260)*IFERROR(INDEX(계정대체기준!$D$20:$D$49,MATCH($N260,계정대체기준!$A$20:$A$49,0)),0)))</f>
        <v/>
      </c>
      <c r="AB260" s="94">
        <f>IF($A260="",0,IF(AE260="직접",IF(AF260="수금비",$P260,0),$P260*(1-AG260)*IFERROR(INDEX(계정대체기준!$E$20:$E$49,MATCH($N260,계정대체기준!$A$20:$A$49,0)),0)))</f>
        <v/>
      </c>
      <c r="AC260" s="9">
        <f>IF(AND($A260&lt;&gt;"",M260=설정!$C$20,Z260&gt;0),Z260+ROW()/1000000000,"")</f>
        <v/>
      </c>
      <c r="AD260" s="94">
        <f>IF($A260="",0,$P260*AG260)</f>
        <v/>
      </c>
      <c r="AE260" s="64">
        <f>IF($A260="","",IFERROR(INDEX(계정매핑!$E$5:$E$504,MATCH($F260&amp;"",계정매핑!$A$5:$A$504,0))&amp;"","공통비"))</f>
        <v/>
      </c>
      <c r="AF260" s="64">
        <f>IF($A260="","",IF(AE260="직접",IFERROR(INDEX(계정매핑!$F$5:$F$504,MATCH($F260&amp;"",계정매핑!$A$5:$A$504,0))&amp;"","비귀속"),""))</f>
        <v/>
      </c>
      <c r="AG260" s="96">
        <f>IF($A260="",0,IF(AND(AE260&lt;&gt;"직접",IFERROR(INDEX(계정매핑!$G$5:$G$504,MATCH($F260&amp;"",계정매핑!$A$5:$A$504,0))&amp;"","")="유지비",COUNTIF(계정대체기준!$A$6:$A$15,$N260)&gt;0),IFERROR(INDEX(계정대체기준!$E$6:$E$15,MATCH(VALUE($A260&amp;""),계정대체기준!$D$6:$D$15,0)),0),0))</f>
        <v/>
      </c>
      <c r="AH260" s="64">
        <f>IF($A260="","",IF(AD260=0,"",IF(OR(COUNTIF(계정대체기준!$A$77:$A$86,$N260)&gt;0,ISNUMBER(MATCH($X260,계정대체기준!$D$77:$D$86,0)),ISNUMBER(MATCH($F260,계정대체기준!$D$77:$D$86,0))),"Y","N")))</f>
        <v/>
      </c>
    </row>
    <row r="261">
      <c r="A261" s="92" t="n">
        <v>2025</v>
      </c>
      <c r="B261" s="92" t="n">
        <v>2</v>
      </c>
      <c r="C261" s="92" t="inlineStr">
        <is>
          <t>5100000257</t>
        </is>
      </c>
      <c r="D261" s="95" t="n">
        <v>45691</v>
      </c>
      <c r="E261" s="92" t="inlineStr">
        <is>
          <t>KR</t>
        </is>
      </c>
      <c r="F261" s="92" t="n">
        <v>62102000</v>
      </c>
      <c r="G261" s="92" t="n">
        <v>1701</v>
      </c>
      <c r="H261" s="93" t="n">
        <v>62000</v>
      </c>
      <c r="I261" s="92" t="inlineStr">
        <is>
          <t>2월 해외출장 - M항공</t>
        </is>
      </c>
      <c r="J261" s="92" t="inlineStr">
        <is>
          <t>V10001</t>
        </is>
      </c>
      <c r="K261" s="92" t="inlineStr">
        <is>
          <t>M항공</t>
        </is>
      </c>
      <c r="M261" s="9">
        <f>IF($A261="","",VALUE($A261&amp;"")*12+VALUE($B261&amp;""))</f>
        <v/>
      </c>
      <c r="N261" s="64">
        <f>IF($A261="","",IFERROR(INDEX(부서매핑!$C$5:$C$504,MATCH($G261&amp;"",부서매핑!$A$5:$A$504,0)),"미매핑"))</f>
        <v/>
      </c>
      <c r="O261" s="9">
        <f>IF($A261="","",N261&amp;"|"&amp;$F261)</f>
        <v/>
      </c>
      <c r="P261" s="94">
        <f>IF($A261="",0,$H261*설정!$C$23)</f>
        <v/>
      </c>
      <c r="Q261" s="64">
        <f>IF($A261="","",IF(O261&lt;&gt;원인분석!$C$9,"",IF(AND(M261&gt;=원인분석!$C$10,M261&lt;=원인분석!$C$11),"당기",IF(AND(M261&gt;=원인분석!$C$12,M261&lt;=원인분석!$C$13),"비교",""))))</f>
        <v/>
      </c>
      <c r="R261" s="9">
        <f>IF(Q261="","",$K261&amp;"")</f>
        <v/>
      </c>
      <c r="S261" s="9">
        <f>IF(Q261="","",IF(MATCH(R261,$R$5:$R$100000,0)=ROW()-4,ROW(),""))</f>
        <v/>
      </c>
      <c r="T261" s="9">
        <f>IF(Q261="당기",ABS(P261)+ROW()/1000000000,"")</f>
        <v/>
      </c>
      <c r="U261" s="9">
        <f>IF(Q261="비교",ABS(P261)+ROW()/1000000000,"")</f>
        <v/>
      </c>
      <c r="V261" s="64">
        <f>IF($A261="","",IF(COUNTIF(변동분석!$E$7:$E$506,O261)&gt;0,"Y","N"))</f>
        <v/>
      </c>
      <c r="W261" s="64">
        <f>IF($A261="","",IFERROR(INDEX(계정매핑!$D$5:$D$504,MATCH($F261&amp;"",계정매핑!$A$5:$A$504,0)),"미매핑"))</f>
        <v/>
      </c>
      <c r="X261" s="9">
        <f>IF($A261="","",$F261&amp;"")</f>
        <v/>
      </c>
      <c r="Y261" s="94">
        <f>IF($A261="",0,IF(AE261="직접",IF(AF261="비귀속",$P261,0),$P261*(1-AG261)*IFERROR(INDEX(계정대체기준!$F$20:$F$49,MATCH($N261,계정대체기준!$A$20:$A$49,0)),1)))</f>
        <v/>
      </c>
      <c r="Z261" s="94">
        <f>IF($A261="",0,IF(AE261="직접",IF(AF261="신계약비",$P261,0),$P261*(1-AG261)*IFERROR(INDEX(계정대체기준!$C$20:$C$49,MATCH($N261,계정대체기준!$A$20:$A$49,0)),0)))</f>
        <v/>
      </c>
      <c r="AA261" s="94">
        <f>IF($A261="",0,IF(AE261="직접",IF(OR(AF261="유지비",AF261="손해조사비"),$P261,0),$P261*(1-AG261)*IFERROR(INDEX(계정대체기준!$D$20:$D$49,MATCH($N261,계정대체기준!$A$20:$A$49,0)),0)))</f>
        <v/>
      </c>
      <c r="AB261" s="94">
        <f>IF($A261="",0,IF(AE261="직접",IF(AF261="수금비",$P261,0),$P261*(1-AG261)*IFERROR(INDEX(계정대체기준!$E$20:$E$49,MATCH($N261,계정대체기준!$A$20:$A$49,0)),0)))</f>
        <v/>
      </c>
      <c r="AC261" s="9">
        <f>IF(AND($A261&lt;&gt;"",M261=설정!$C$20,Z261&gt;0),Z261+ROW()/1000000000,"")</f>
        <v/>
      </c>
      <c r="AD261" s="94">
        <f>IF($A261="",0,$P261*AG261)</f>
        <v/>
      </c>
      <c r="AE261" s="64">
        <f>IF($A261="","",IFERROR(INDEX(계정매핑!$E$5:$E$504,MATCH($F261&amp;"",계정매핑!$A$5:$A$504,0))&amp;"","공통비"))</f>
        <v/>
      </c>
      <c r="AF261" s="64">
        <f>IF($A261="","",IF(AE261="직접",IFERROR(INDEX(계정매핑!$F$5:$F$504,MATCH($F261&amp;"",계정매핑!$A$5:$A$504,0))&amp;"","비귀속"),""))</f>
        <v/>
      </c>
      <c r="AG261" s="96">
        <f>IF($A261="",0,IF(AND(AE261&lt;&gt;"직접",IFERROR(INDEX(계정매핑!$G$5:$G$504,MATCH($F261&amp;"",계정매핑!$A$5:$A$504,0))&amp;"","")="유지비",COUNTIF(계정대체기준!$A$6:$A$15,$N261)&gt;0),IFERROR(INDEX(계정대체기준!$E$6:$E$15,MATCH(VALUE($A261&amp;""),계정대체기준!$D$6:$D$15,0)),0),0))</f>
        <v/>
      </c>
      <c r="AH261" s="64">
        <f>IF($A261="","",IF(AD261=0,"",IF(OR(COUNTIF(계정대체기준!$A$77:$A$86,$N261)&gt;0,ISNUMBER(MATCH($X261,계정대체기준!$D$77:$D$86,0)),ISNUMBER(MATCH($F261,계정대체기준!$D$77:$D$86,0))),"Y","N")))</f>
        <v/>
      </c>
    </row>
    <row r="262">
      <c r="A262" s="92" t="n">
        <v>2025</v>
      </c>
      <c r="B262" s="92" t="n">
        <v>2</v>
      </c>
      <c r="C262" s="92" t="inlineStr">
        <is>
          <t>5100000258</t>
        </is>
      </c>
      <c r="D262" s="95" t="n">
        <v>45691</v>
      </c>
      <c r="E262" s="92" t="inlineStr">
        <is>
          <t>KR</t>
        </is>
      </c>
      <c r="F262" s="92" t="n">
        <v>62201000</v>
      </c>
      <c r="G262" s="92" t="n">
        <v>1951</v>
      </c>
      <c r="H262" s="93" t="n">
        <v>253000</v>
      </c>
      <c r="I262" s="92" t="inlineStr">
        <is>
          <t>2월 통신요금 - O텔레콤</t>
        </is>
      </c>
      <c r="J262" s="92" t="inlineStr">
        <is>
          <t>V10002</t>
        </is>
      </c>
      <c r="K262" s="92" t="inlineStr">
        <is>
          <t>O텔레콤</t>
        </is>
      </c>
      <c r="M262" s="9">
        <f>IF($A262="","",VALUE($A262&amp;"")*12+VALUE($B262&amp;""))</f>
        <v/>
      </c>
      <c r="N262" s="64">
        <f>IF($A262="","",IFERROR(INDEX(부서매핑!$C$5:$C$504,MATCH($G262&amp;"",부서매핑!$A$5:$A$504,0)),"미매핑"))</f>
        <v/>
      </c>
      <c r="O262" s="9">
        <f>IF($A262="","",N262&amp;"|"&amp;$F262)</f>
        <v/>
      </c>
      <c r="P262" s="94">
        <f>IF($A262="",0,$H262*설정!$C$23)</f>
        <v/>
      </c>
      <c r="Q262" s="64">
        <f>IF($A262="","",IF(O262&lt;&gt;원인분석!$C$9,"",IF(AND(M262&gt;=원인분석!$C$10,M262&lt;=원인분석!$C$11),"당기",IF(AND(M262&gt;=원인분석!$C$12,M262&lt;=원인분석!$C$13),"비교",""))))</f>
        <v/>
      </c>
      <c r="R262" s="9">
        <f>IF(Q262="","",$K262&amp;"")</f>
        <v/>
      </c>
      <c r="S262" s="9">
        <f>IF(Q262="","",IF(MATCH(R262,$R$5:$R$100000,0)=ROW()-4,ROW(),""))</f>
        <v/>
      </c>
      <c r="T262" s="9">
        <f>IF(Q262="당기",ABS(P262)+ROW()/1000000000,"")</f>
        <v/>
      </c>
      <c r="U262" s="9">
        <f>IF(Q262="비교",ABS(P262)+ROW()/1000000000,"")</f>
        <v/>
      </c>
      <c r="V262" s="64">
        <f>IF($A262="","",IF(COUNTIF(변동분석!$E$7:$E$506,O262)&gt;0,"Y","N"))</f>
        <v/>
      </c>
      <c r="W262" s="64">
        <f>IF($A262="","",IFERROR(INDEX(계정매핑!$D$5:$D$504,MATCH($F262&amp;"",계정매핑!$A$5:$A$504,0)),"미매핑"))</f>
        <v/>
      </c>
      <c r="X262" s="9">
        <f>IF($A262="","",$F262&amp;"")</f>
        <v/>
      </c>
      <c r="Y262" s="94">
        <f>IF($A262="",0,IF(AE262="직접",IF(AF262="비귀속",$P262,0),$P262*(1-AG262)*IFERROR(INDEX(계정대체기준!$F$20:$F$49,MATCH($N262,계정대체기준!$A$20:$A$49,0)),1)))</f>
        <v/>
      </c>
      <c r="Z262" s="94">
        <f>IF($A262="",0,IF(AE262="직접",IF(AF262="신계약비",$P262,0),$P262*(1-AG262)*IFERROR(INDEX(계정대체기준!$C$20:$C$49,MATCH($N262,계정대체기준!$A$20:$A$49,0)),0)))</f>
        <v/>
      </c>
      <c r="AA262" s="94">
        <f>IF($A262="",0,IF(AE262="직접",IF(OR(AF262="유지비",AF262="손해조사비"),$P262,0),$P262*(1-AG262)*IFERROR(INDEX(계정대체기준!$D$20:$D$49,MATCH($N262,계정대체기준!$A$20:$A$49,0)),0)))</f>
        <v/>
      </c>
      <c r="AB262" s="94">
        <f>IF($A262="",0,IF(AE262="직접",IF(AF262="수금비",$P262,0),$P262*(1-AG262)*IFERROR(INDEX(계정대체기준!$E$20:$E$49,MATCH($N262,계정대체기준!$A$20:$A$49,0)),0)))</f>
        <v/>
      </c>
      <c r="AC262" s="9">
        <f>IF(AND($A262&lt;&gt;"",M262=설정!$C$20,Z262&gt;0),Z262+ROW()/1000000000,"")</f>
        <v/>
      </c>
      <c r="AD262" s="94">
        <f>IF($A262="",0,$P262*AG262)</f>
        <v/>
      </c>
      <c r="AE262" s="64">
        <f>IF($A262="","",IFERROR(INDEX(계정매핑!$E$5:$E$504,MATCH($F262&amp;"",계정매핑!$A$5:$A$504,0))&amp;"","공통비"))</f>
        <v/>
      </c>
      <c r="AF262" s="64">
        <f>IF($A262="","",IF(AE262="직접",IFERROR(INDEX(계정매핑!$F$5:$F$504,MATCH($F262&amp;"",계정매핑!$A$5:$A$504,0))&amp;"","비귀속"),""))</f>
        <v/>
      </c>
      <c r="AG262" s="96">
        <f>IF($A262="",0,IF(AND(AE262&lt;&gt;"직접",IFERROR(INDEX(계정매핑!$G$5:$G$504,MATCH($F262&amp;"",계정매핑!$A$5:$A$504,0))&amp;"","")="유지비",COUNTIF(계정대체기준!$A$6:$A$15,$N262)&gt;0),IFERROR(INDEX(계정대체기준!$E$6:$E$15,MATCH(VALUE($A262&amp;""),계정대체기준!$D$6:$D$15,0)),0),0))</f>
        <v/>
      </c>
      <c r="AH262" s="64">
        <f>IF($A262="","",IF(AD262=0,"",IF(OR(COUNTIF(계정대체기준!$A$77:$A$86,$N262)&gt;0,ISNUMBER(MATCH($X262,계정대체기준!$D$77:$D$86,0)),ISNUMBER(MATCH($F262,계정대체기준!$D$77:$D$86,0))),"Y","N")))</f>
        <v/>
      </c>
    </row>
    <row r="263">
      <c r="A263" s="92" t="n">
        <v>2025</v>
      </c>
      <c r="B263" s="92" t="n">
        <v>2</v>
      </c>
      <c r="C263" s="92" t="inlineStr">
        <is>
          <t>5100000259</t>
        </is>
      </c>
      <c r="D263" s="95" t="n">
        <v>45691</v>
      </c>
      <c r="E263" s="92" t="inlineStr">
        <is>
          <t>KR</t>
        </is>
      </c>
      <c r="F263" s="92" t="n">
        <v>62301000</v>
      </c>
      <c r="G263" s="92" t="n">
        <v>1501</v>
      </c>
      <c r="H263" s="93" t="n">
        <v>163000</v>
      </c>
      <c r="I263" s="92" t="inlineStr">
        <is>
          <t>2월 소모품 구입 - Q오피스</t>
        </is>
      </c>
      <c r="J263" s="92" t="inlineStr">
        <is>
          <t>V10003</t>
        </is>
      </c>
      <c r="K263" s="92" t="inlineStr">
        <is>
          <t>Q오피스</t>
        </is>
      </c>
      <c r="M263" s="9">
        <f>IF($A263="","",VALUE($A263&amp;"")*12+VALUE($B263&amp;""))</f>
        <v/>
      </c>
      <c r="N263" s="64">
        <f>IF($A263="","",IFERROR(INDEX(부서매핑!$C$5:$C$504,MATCH($G263&amp;"",부서매핑!$A$5:$A$504,0)),"미매핑"))</f>
        <v/>
      </c>
      <c r="O263" s="9">
        <f>IF($A263="","",N263&amp;"|"&amp;$F263)</f>
        <v/>
      </c>
      <c r="P263" s="94">
        <f>IF($A263="",0,$H263*설정!$C$23)</f>
        <v/>
      </c>
      <c r="Q263" s="64">
        <f>IF($A263="","",IF(O263&lt;&gt;원인분석!$C$9,"",IF(AND(M263&gt;=원인분석!$C$10,M263&lt;=원인분석!$C$11),"당기",IF(AND(M263&gt;=원인분석!$C$12,M263&lt;=원인분석!$C$13),"비교",""))))</f>
        <v/>
      </c>
      <c r="R263" s="9">
        <f>IF(Q263="","",$K263&amp;"")</f>
        <v/>
      </c>
      <c r="S263" s="9">
        <f>IF(Q263="","",IF(MATCH(R263,$R$5:$R$100000,0)=ROW()-4,ROW(),""))</f>
        <v/>
      </c>
      <c r="T263" s="9">
        <f>IF(Q263="당기",ABS(P263)+ROW()/1000000000,"")</f>
        <v/>
      </c>
      <c r="U263" s="9">
        <f>IF(Q263="비교",ABS(P263)+ROW()/1000000000,"")</f>
        <v/>
      </c>
      <c r="V263" s="64">
        <f>IF($A263="","",IF(COUNTIF(변동분석!$E$7:$E$506,O263)&gt;0,"Y","N"))</f>
        <v/>
      </c>
      <c r="W263" s="64">
        <f>IF($A263="","",IFERROR(INDEX(계정매핑!$D$5:$D$504,MATCH($F263&amp;"",계정매핑!$A$5:$A$504,0)),"미매핑"))</f>
        <v/>
      </c>
      <c r="X263" s="9">
        <f>IF($A263="","",$F263&amp;"")</f>
        <v/>
      </c>
      <c r="Y263" s="94">
        <f>IF($A263="",0,IF(AE263="직접",IF(AF263="비귀속",$P263,0),$P263*(1-AG263)*IFERROR(INDEX(계정대체기준!$F$20:$F$49,MATCH($N263,계정대체기준!$A$20:$A$49,0)),1)))</f>
        <v/>
      </c>
      <c r="Z263" s="94">
        <f>IF($A263="",0,IF(AE263="직접",IF(AF263="신계약비",$P263,0),$P263*(1-AG263)*IFERROR(INDEX(계정대체기준!$C$20:$C$49,MATCH($N263,계정대체기준!$A$20:$A$49,0)),0)))</f>
        <v/>
      </c>
      <c r="AA263" s="94">
        <f>IF($A263="",0,IF(AE263="직접",IF(OR(AF263="유지비",AF263="손해조사비"),$P263,0),$P263*(1-AG263)*IFERROR(INDEX(계정대체기준!$D$20:$D$49,MATCH($N263,계정대체기준!$A$20:$A$49,0)),0)))</f>
        <v/>
      </c>
      <c r="AB263" s="94">
        <f>IF($A263="",0,IF(AE263="직접",IF(AF263="수금비",$P263,0),$P263*(1-AG263)*IFERROR(INDEX(계정대체기준!$E$20:$E$49,MATCH($N263,계정대체기준!$A$20:$A$49,0)),0)))</f>
        <v/>
      </c>
      <c r="AC263" s="9">
        <f>IF(AND($A263&lt;&gt;"",M263=설정!$C$20,Z263&gt;0),Z263+ROW()/1000000000,"")</f>
        <v/>
      </c>
      <c r="AD263" s="94">
        <f>IF($A263="",0,$P263*AG263)</f>
        <v/>
      </c>
      <c r="AE263" s="64">
        <f>IF($A263="","",IFERROR(INDEX(계정매핑!$E$5:$E$504,MATCH($F263&amp;"",계정매핑!$A$5:$A$504,0))&amp;"","공통비"))</f>
        <v/>
      </c>
      <c r="AF263" s="64">
        <f>IF($A263="","",IF(AE263="직접",IFERROR(INDEX(계정매핑!$F$5:$F$504,MATCH($F263&amp;"",계정매핑!$A$5:$A$504,0))&amp;"","비귀속"),""))</f>
        <v/>
      </c>
      <c r="AG263" s="96">
        <f>IF($A263="",0,IF(AND(AE263&lt;&gt;"직접",IFERROR(INDEX(계정매핑!$G$5:$G$504,MATCH($F263&amp;"",계정매핑!$A$5:$A$504,0))&amp;"","")="유지비",COUNTIF(계정대체기준!$A$6:$A$15,$N263)&gt;0),IFERROR(INDEX(계정대체기준!$E$6:$E$15,MATCH(VALUE($A263&amp;""),계정대체기준!$D$6:$D$15,0)),0),0))</f>
        <v/>
      </c>
      <c r="AH263" s="64">
        <f>IF($A263="","",IF(AD263=0,"",IF(OR(COUNTIF(계정대체기준!$A$77:$A$86,$N263)&gt;0,ISNUMBER(MATCH($X263,계정대체기준!$D$77:$D$86,0)),ISNUMBER(MATCH($F263,계정대체기준!$D$77:$D$86,0))),"Y","N")))</f>
        <v/>
      </c>
    </row>
    <row r="264">
      <c r="A264" s="92" t="n">
        <v>2025</v>
      </c>
      <c r="B264" s="92" t="n">
        <v>2</v>
      </c>
      <c r="C264" s="92" t="inlineStr">
        <is>
          <t>5100000260</t>
        </is>
      </c>
      <c r="D264" s="95" t="n">
        <v>45691</v>
      </c>
      <c r="E264" s="92" t="inlineStr">
        <is>
          <t>KR</t>
        </is>
      </c>
      <c r="F264" s="92" t="n">
        <v>62401000</v>
      </c>
      <c r="G264" s="92" t="n">
        <v>1401</v>
      </c>
      <c r="H264" s="93" t="n">
        <v>518000</v>
      </c>
      <c r="I264" s="92" t="inlineStr">
        <is>
          <t>2월 인쇄물 제작 - S출판</t>
        </is>
      </c>
      <c r="J264" s="92" t="inlineStr">
        <is>
          <t>V10015</t>
        </is>
      </c>
      <c r="K264" s="92" t="inlineStr">
        <is>
          <t>S출판</t>
        </is>
      </c>
      <c r="M264" s="9">
        <f>IF($A264="","",VALUE($A264&amp;"")*12+VALUE($B264&amp;""))</f>
        <v/>
      </c>
      <c r="N264" s="64">
        <f>IF($A264="","",IFERROR(INDEX(부서매핑!$C$5:$C$504,MATCH($G264&amp;"",부서매핑!$A$5:$A$504,0)),"미매핑"))</f>
        <v/>
      </c>
      <c r="O264" s="9">
        <f>IF($A264="","",N264&amp;"|"&amp;$F264)</f>
        <v/>
      </c>
      <c r="P264" s="94">
        <f>IF($A264="",0,$H264*설정!$C$23)</f>
        <v/>
      </c>
      <c r="Q264" s="64">
        <f>IF($A264="","",IF(O264&lt;&gt;원인분석!$C$9,"",IF(AND(M264&gt;=원인분석!$C$10,M264&lt;=원인분석!$C$11),"당기",IF(AND(M264&gt;=원인분석!$C$12,M264&lt;=원인분석!$C$13),"비교",""))))</f>
        <v/>
      </c>
      <c r="R264" s="9">
        <f>IF(Q264="","",$K264&amp;"")</f>
        <v/>
      </c>
      <c r="S264" s="9">
        <f>IF(Q264="","",IF(MATCH(R264,$R$5:$R$100000,0)=ROW()-4,ROW(),""))</f>
        <v/>
      </c>
      <c r="T264" s="9">
        <f>IF(Q264="당기",ABS(P264)+ROW()/1000000000,"")</f>
        <v/>
      </c>
      <c r="U264" s="9">
        <f>IF(Q264="비교",ABS(P264)+ROW()/1000000000,"")</f>
        <v/>
      </c>
      <c r="V264" s="64">
        <f>IF($A264="","",IF(COUNTIF(변동분석!$E$7:$E$506,O264)&gt;0,"Y","N"))</f>
        <v/>
      </c>
      <c r="W264" s="64">
        <f>IF($A264="","",IFERROR(INDEX(계정매핑!$D$5:$D$504,MATCH($F264&amp;"",계정매핑!$A$5:$A$504,0)),"미매핑"))</f>
        <v/>
      </c>
      <c r="X264" s="9">
        <f>IF($A264="","",$F264&amp;"")</f>
        <v/>
      </c>
      <c r="Y264" s="94">
        <f>IF($A264="",0,IF(AE264="직접",IF(AF264="비귀속",$P264,0),$P264*(1-AG264)*IFERROR(INDEX(계정대체기준!$F$20:$F$49,MATCH($N264,계정대체기준!$A$20:$A$49,0)),1)))</f>
        <v/>
      </c>
      <c r="Z264" s="94">
        <f>IF($A264="",0,IF(AE264="직접",IF(AF264="신계약비",$P264,0),$P264*(1-AG264)*IFERROR(INDEX(계정대체기준!$C$20:$C$49,MATCH($N264,계정대체기준!$A$20:$A$49,0)),0)))</f>
        <v/>
      </c>
      <c r="AA264" s="94">
        <f>IF($A264="",0,IF(AE264="직접",IF(OR(AF264="유지비",AF264="손해조사비"),$P264,0),$P264*(1-AG264)*IFERROR(INDEX(계정대체기준!$D$20:$D$49,MATCH($N264,계정대체기준!$A$20:$A$49,0)),0)))</f>
        <v/>
      </c>
      <c r="AB264" s="94">
        <f>IF($A264="",0,IF(AE264="직접",IF(AF264="수금비",$P264,0),$P264*(1-AG264)*IFERROR(INDEX(계정대체기준!$E$20:$E$49,MATCH($N264,계정대체기준!$A$20:$A$49,0)),0)))</f>
        <v/>
      </c>
      <c r="AC264" s="9">
        <f>IF(AND($A264&lt;&gt;"",M264=설정!$C$20,Z264&gt;0),Z264+ROW()/1000000000,"")</f>
        <v/>
      </c>
      <c r="AD264" s="94">
        <f>IF($A264="",0,$P264*AG264)</f>
        <v/>
      </c>
      <c r="AE264" s="64">
        <f>IF($A264="","",IFERROR(INDEX(계정매핑!$E$5:$E$504,MATCH($F264&amp;"",계정매핑!$A$5:$A$504,0))&amp;"","공통비"))</f>
        <v/>
      </c>
      <c r="AF264" s="64">
        <f>IF($A264="","",IF(AE264="직접",IFERROR(INDEX(계정매핑!$F$5:$F$504,MATCH($F264&amp;"",계정매핑!$A$5:$A$504,0))&amp;"","비귀속"),""))</f>
        <v/>
      </c>
      <c r="AG264" s="96">
        <f>IF($A264="",0,IF(AND(AE264&lt;&gt;"직접",IFERROR(INDEX(계정매핑!$G$5:$G$504,MATCH($F264&amp;"",계정매핑!$A$5:$A$504,0))&amp;"","")="유지비",COUNTIF(계정대체기준!$A$6:$A$15,$N264)&gt;0),IFERROR(INDEX(계정대체기준!$E$6:$E$15,MATCH(VALUE($A264&amp;""),계정대체기준!$D$6:$D$15,0)),0),0))</f>
        <v/>
      </c>
      <c r="AH264" s="64">
        <f>IF($A264="","",IF(AD264=0,"",IF(OR(COUNTIF(계정대체기준!$A$77:$A$86,$N264)&gt;0,ISNUMBER(MATCH($X264,계정대체기준!$D$77:$D$86,0)),ISNUMBER(MATCH($F264,계정대체기준!$D$77:$D$86,0))),"Y","N")))</f>
        <v/>
      </c>
    </row>
    <row r="265">
      <c r="A265" s="92" t="n">
        <v>2025</v>
      </c>
      <c r="B265" s="92" t="n">
        <v>2</v>
      </c>
      <c r="C265" s="92" t="inlineStr">
        <is>
          <t>5100000261</t>
        </is>
      </c>
      <c r="D265" s="95" t="n">
        <v>45691</v>
      </c>
      <c r="E265" s="92" t="inlineStr">
        <is>
          <t>KR</t>
        </is>
      </c>
      <c r="F265" s="92" t="n">
        <v>62901000</v>
      </c>
      <c r="G265" s="92" t="n">
        <v>1401</v>
      </c>
      <c r="H265" s="93" t="n">
        <v>5262000</v>
      </c>
      <c r="I265" s="92" t="inlineStr">
        <is>
          <t>2월 자문 수수료 - W컨설팅</t>
        </is>
      </c>
      <c r="J265" s="92" t="inlineStr">
        <is>
          <t>V10006</t>
        </is>
      </c>
      <c r="K265" s="92" t="inlineStr">
        <is>
          <t>W컨설팅</t>
        </is>
      </c>
      <c r="M265" s="9">
        <f>IF($A265="","",VALUE($A265&amp;"")*12+VALUE($B265&amp;""))</f>
        <v/>
      </c>
      <c r="N265" s="64">
        <f>IF($A265="","",IFERROR(INDEX(부서매핑!$C$5:$C$504,MATCH($G265&amp;"",부서매핑!$A$5:$A$504,0)),"미매핑"))</f>
        <v/>
      </c>
      <c r="O265" s="9">
        <f>IF($A265="","",N265&amp;"|"&amp;$F265)</f>
        <v/>
      </c>
      <c r="P265" s="94">
        <f>IF($A265="",0,$H265*설정!$C$23)</f>
        <v/>
      </c>
      <c r="Q265" s="64">
        <f>IF($A265="","",IF(O265&lt;&gt;원인분석!$C$9,"",IF(AND(M265&gt;=원인분석!$C$10,M265&lt;=원인분석!$C$11),"당기",IF(AND(M265&gt;=원인분석!$C$12,M265&lt;=원인분석!$C$13),"비교",""))))</f>
        <v/>
      </c>
      <c r="R265" s="9">
        <f>IF(Q265="","",$K265&amp;"")</f>
        <v/>
      </c>
      <c r="S265" s="9">
        <f>IF(Q265="","",IF(MATCH(R265,$R$5:$R$100000,0)=ROW()-4,ROW(),""))</f>
        <v/>
      </c>
      <c r="T265" s="9">
        <f>IF(Q265="당기",ABS(P265)+ROW()/1000000000,"")</f>
        <v/>
      </c>
      <c r="U265" s="9">
        <f>IF(Q265="비교",ABS(P265)+ROW()/1000000000,"")</f>
        <v/>
      </c>
      <c r="V265" s="64">
        <f>IF($A265="","",IF(COUNTIF(변동분석!$E$7:$E$506,O265)&gt;0,"Y","N"))</f>
        <v/>
      </c>
      <c r="W265" s="64">
        <f>IF($A265="","",IFERROR(INDEX(계정매핑!$D$5:$D$504,MATCH($F265&amp;"",계정매핑!$A$5:$A$504,0)),"미매핑"))</f>
        <v/>
      </c>
      <c r="X265" s="9">
        <f>IF($A265="","",$F265&amp;"")</f>
        <v/>
      </c>
      <c r="Y265" s="94">
        <f>IF($A265="",0,IF(AE265="직접",IF(AF265="비귀속",$P265,0),$P265*(1-AG265)*IFERROR(INDEX(계정대체기준!$F$20:$F$49,MATCH($N265,계정대체기준!$A$20:$A$49,0)),1)))</f>
        <v/>
      </c>
      <c r="Z265" s="94">
        <f>IF($A265="",0,IF(AE265="직접",IF(AF265="신계약비",$P265,0),$P265*(1-AG265)*IFERROR(INDEX(계정대체기준!$C$20:$C$49,MATCH($N265,계정대체기준!$A$20:$A$49,0)),0)))</f>
        <v/>
      </c>
      <c r="AA265" s="94">
        <f>IF($A265="",0,IF(AE265="직접",IF(OR(AF265="유지비",AF265="손해조사비"),$P265,0),$P265*(1-AG265)*IFERROR(INDEX(계정대체기준!$D$20:$D$49,MATCH($N265,계정대체기준!$A$20:$A$49,0)),0)))</f>
        <v/>
      </c>
      <c r="AB265" s="94">
        <f>IF($A265="",0,IF(AE265="직접",IF(AF265="수금비",$P265,0),$P265*(1-AG265)*IFERROR(INDEX(계정대체기준!$E$20:$E$49,MATCH($N265,계정대체기준!$A$20:$A$49,0)),0)))</f>
        <v/>
      </c>
      <c r="AC265" s="9">
        <f>IF(AND($A265&lt;&gt;"",M265=설정!$C$20,Z265&gt;0),Z265+ROW()/1000000000,"")</f>
        <v/>
      </c>
      <c r="AD265" s="94">
        <f>IF($A265="",0,$P265*AG265)</f>
        <v/>
      </c>
      <c r="AE265" s="64">
        <f>IF($A265="","",IFERROR(INDEX(계정매핑!$E$5:$E$504,MATCH($F265&amp;"",계정매핑!$A$5:$A$504,0))&amp;"","공통비"))</f>
        <v/>
      </c>
      <c r="AF265" s="64">
        <f>IF($A265="","",IF(AE265="직접",IFERROR(INDEX(계정매핑!$F$5:$F$504,MATCH($F265&amp;"",계정매핑!$A$5:$A$504,0))&amp;"","비귀속"),""))</f>
        <v/>
      </c>
      <c r="AG265" s="96">
        <f>IF($A265="",0,IF(AND(AE265&lt;&gt;"직접",IFERROR(INDEX(계정매핑!$G$5:$G$504,MATCH($F265&amp;"",계정매핑!$A$5:$A$504,0))&amp;"","")="유지비",COUNTIF(계정대체기준!$A$6:$A$15,$N265)&gt;0),IFERROR(INDEX(계정대체기준!$E$6:$E$15,MATCH(VALUE($A265&amp;""),계정대체기준!$D$6:$D$15,0)),0),0))</f>
        <v/>
      </c>
      <c r="AH265" s="64">
        <f>IF($A265="","",IF(AD265=0,"",IF(OR(COUNTIF(계정대체기준!$A$77:$A$86,$N265)&gt;0,ISNUMBER(MATCH($X265,계정대체기준!$D$77:$D$86,0)),ISNUMBER(MATCH($F265,계정대체기준!$D$77:$D$86,0))),"Y","N")))</f>
        <v/>
      </c>
    </row>
    <row r="266">
      <c r="A266" s="92" t="n">
        <v>2025</v>
      </c>
      <c r="B266" s="92" t="n">
        <v>2</v>
      </c>
      <c r="C266" s="92" t="inlineStr">
        <is>
          <t>5100000262</t>
        </is>
      </c>
      <c r="D266" s="95" t="n">
        <v>45691</v>
      </c>
      <c r="E266" s="92" t="inlineStr">
        <is>
          <t>KR</t>
        </is>
      </c>
      <c r="F266" s="92" t="n">
        <v>62901000</v>
      </c>
      <c r="G266" s="92" t="n">
        <v>1951</v>
      </c>
      <c r="H266" s="93" t="n">
        <v>6225000</v>
      </c>
      <c r="I266" s="92" t="inlineStr">
        <is>
          <t>2월 자문 수수료 - K회계법인</t>
        </is>
      </c>
      <c r="J266" s="92" t="inlineStr">
        <is>
          <t>V10011</t>
        </is>
      </c>
      <c r="K266" s="92" t="inlineStr">
        <is>
          <t>K회계법인</t>
        </is>
      </c>
      <c r="M266" s="9">
        <f>IF($A266="","",VALUE($A266&amp;"")*12+VALUE($B266&amp;""))</f>
        <v/>
      </c>
      <c r="N266" s="64">
        <f>IF($A266="","",IFERROR(INDEX(부서매핑!$C$5:$C$504,MATCH($G266&amp;"",부서매핑!$A$5:$A$504,0)),"미매핑"))</f>
        <v/>
      </c>
      <c r="O266" s="9">
        <f>IF($A266="","",N266&amp;"|"&amp;$F266)</f>
        <v/>
      </c>
      <c r="P266" s="94">
        <f>IF($A266="",0,$H266*설정!$C$23)</f>
        <v/>
      </c>
      <c r="Q266" s="64">
        <f>IF($A266="","",IF(O266&lt;&gt;원인분석!$C$9,"",IF(AND(M266&gt;=원인분석!$C$10,M266&lt;=원인분석!$C$11),"당기",IF(AND(M266&gt;=원인분석!$C$12,M266&lt;=원인분석!$C$13),"비교",""))))</f>
        <v/>
      </c>
      <c r="R266" s="9">
        <f>IF(Q266="","",$K266&amp;"")</f>
        <v/>
      </c>
      <c r="S266" s="9">
        <f>IF(Q266="","",IF(MATCH(R266,$R$5:$R$100000,0)=ROW()-4,ROW(),""))</f>
        <v/>
      </c>
      <c r="T266" s="9">
        <f>IF(Q266="당기",ABS(P266)+ROW()/1000000000,"")</f>
        <v/>
      </c>
      <c r="U266" s="9">
        <f>IF(Q266="비교",ABS(P266)+ROW()/1000000000,"")</f>
        <v/>
      </c>
      <c r="V266" s="64">
        <f>IF($A266="","",IF(COUNTIF(변동분석!$E$7:$E$506,O266)&gt;0,"Y","N"))</f>
        <v/>
      </c>
      <c r="W266" s="64">
        <f>IF($A266="","",IFERROR(INDEX(계정매핑!$D$5:$D$504,MATCH($F266&amp;"",계정매핑!$A$5:$A$504,0)),"미매핑"))</f>
        <v/>
      </c>
      <c r="X266" s="9">
        <f>IF($A266="","",$F266&amp;"")</f>
        <v/>
      </c>
      <c r="Y266" s="94">
        <f>IF($A266="",0,IF(AE266="직접",IF(AF266="비귀속",$P266,0),$P266*(1-AG266)*IFERROR(INDEX(계정대체기준!$F$20:$F$49,MATCH($N266,계정대체기준!$A$20:$A$49,0)),1)))</f>
        <v/>
      </c>
      <c r="Z266" s="94">
        <f>IF($A266="",0,IF(AE266="직접",IF(AF266="신계약비",$P266,0),$P266*(1-AG266)*IFERROR(INDEX(계정대체기준!$C$20:$C$49,MATCH($N266,계정대체기준!$A$20:$A$49,0)),0)))</f>
        <v/>
      </c>
      <c r="AA266" s="94">
        <f>IF($A266="",0,IF(AE266="직접",IF(OR(AF266="유지비",AF266="손해조사비"),$P266,0),$P266*(1-AG266)*IFERROR(INDEX(계정대체기준!$D$20:$D$49,MATCH($N266,계정대체기준!$A$20:$A$49,0)),0)))</f>
        <v/>
      </c>
      <c r="AB266" s="94">
        <f>IF($A266="",0,IF(AE266="직접",IF(AF266="수금비",$P266,0),$P266*(1-AG266)*IFERROR(INDEX(계정대체기준!$E$20:$E$49,MATCH($N266,계정대체기준!$A$20:$A$49,0)),0)))</f>
        <v/>
      </c>
      <c r="AC266" s="9">
        <f>IF(AND($A266&lt;&gt;"",M266=설정!$C$20,Z266&gt;0),Z266+ROW()/1000000000,"")</f>
        <v/>
      </c>
      <c r="AD266" s="94">
        <f>IF($A266="",0,$P266*AG266)</f>
        <v/>
      </c>
      <c r="AE266" s="64">
        <f>IF($A266="","",IFERROR(INDEX(계정매핑!$E$5:$E$504,MATCH($F266&amp;"",계정매핑!$A$5:$A$504,0))&amp;"","공통비"))</f>
        <v/>
      </c>
      <c r="AF266" s="64">
        <f>IF($A266="","",IF(AE266="직접",IFERROR(INDEX(계정매핑!$F$5:$F$504,MATCH($F266&amp;"",계정매핑!$A$5:$A$504,0))&amp;"","비귀속"),""))</f>
        <v/>
      </c>
      <c r="AG266" s="96">
        <f>IF($A266="",0,IF(AND(AE266&lt;&gt;"직접",IFERROR(INDEX(계정매핑!$G$5:$G$504,MATCH($F266&amp;"",계정매핑!$A$5:$A$504,0))&amp;"","")="유지비",COUNTIF(계정대체기준!$A$6:$A$15,$N266)&gt;0),IFERROR(INDEX(계정대체기준!$E$6:$E$15,MATCH(VALUE($A266&amp;""),계정대체기준!$D$6:$D$15,0)),0),0))</f>
        <v/>
      </c>
      <c r="AH266" s="64">
        <f>IF($A266="","",IF(AD266=0,"",IF(OR(COUNTIF(계정대체기준!$A$77:$A$86,$N266)&gt;0,ISNUMBER(MATCH($X266,계정대체기준!$D$77:$D$86,0)),ISNUMBER(MATCH($F266,계정대체기준!$D$77:$D$86,0))),"Y","N")))</f>
        <v/>
      </c>
    </row>
    <row r="267">
      <c r="A267" s="92" t="n">
        <v>2025</v>
      </c>
      <c r="B267" s="92" t="n">
        <v>2</v>
      </c>
      <c r="C267" s="92" t="inlineStr">
        <is>
          <t>5100000263</t>
        </is>
      </c>
      <c r="D267" s="95" t="n">
        <v>45691</v>
      </c>
      <c r="E267" s="92" t="inlineStr">
        <is>
          <t>KR</t>
        </is>
      </c>
      <c r="F267" s="92" t="n">
        <v>62902000</v>
      </c>
      <c r="G267" s="92" t="n">
        <v>1801</v>
      </c>
      <c r="H267" s="93" t="n">
        <v>1771000</v>
      </c>
      <c r="I267" s="92" t="inlineStr">
        <is>
          <t>2월 콜 위탁 수수료(건별)</t>
        </is>
      </c>
      <c r="J267" s="92" t="inlineStr">
        <is>
          <t>V10016</t>
        </is>
      </c>
      <c r="K267" s="92" t="inlineStr">
        <is>
          <t>J콜센터</t>
        </is>
      </c>
      <c r="M267" s="9">
        <f>IF($A267="","",VALUE($A267&amp;"")*12+VALUE($B267&amp;""))</f>
        <v/>
      </c>
      <c r="N267" s="64">
        <f>IF($A267="","",IFERROR(INDEX(부서매핑!$C$5:$C$504,MATCH($G267&amp;"",부서매핑!$A$5:$A$504,0)),"미매핑"))</f>
        <v/>
      </c>
      <c r="O267" s="9">
        <f>IF($A267="","",N267&amp;"|"&amp;$F267)</f>
        <v/>
      </c>
      <c r="P267" s="94">
        <f>IF($A267="",0,$H267*설정!$C$23)</f>
        <v/>
      </c>
      <c r="Q267" s="64">
        <f>IF($A267="","",IF(O267&lt;&gt;원인분석!$C$9,"",IF(AND(M267&gt;=원인분석!$C$10,M267&lt;=원인분석!$C$11),"당기",IF(AND(M267&gt;=원인분석!$C$12,M267&lt;=원인분석!$C$13),"비교",""))))</f>
        <v/>
      </c>
      <c r="R267" s="9">
        <f>IF(Q267="","",$K267&amp;"")</f>
        <v/>
      </c>
      <c r="S267" s="9">
        <f>IF(Q267="","",IF(MATCH(R267,$R$5:$R$100000,0)=ROW()-4,ROW(),""))</f>
        <v/>
      </c>
      <c r="T267" s="9">
        <f>IF(Q267="당기",ABS(P267)+ROW()/1000000000,"")</f>
        <v/>
      </c>
      <c r="U267" s="9">
        <f>IF(Q267="비교",ABS(P267)+ROW()/1000000000,"")</f>
        <v/>
      </c>
      <c r="V267" s="64">
        <f>IF($A267="","",IF(COUNTIF(변동분석!$E$7:$E$506,O267)&gt;0,"Y","N"))</f>
        <v/>
      </c>
      <c r="W267" s="64">
        <f>IF($A267="","",IFERROR(INDEX(계정매핑!$D$5:$D$504,MATCH($F267&amp;"",계정매핑!$A$5:$A$504,0)),"미매핑"))</f>
        <v/>
      </c>
      <c r="X267" s="9">
        <f>IF($A267="","",$F267&amp;"")</f>
        <v/>
      </c>
      <c r="Y267" s="94">
        <f>IF($A267="",0,IF(AE267="직접",IF(AF267="비귀속",$P267,0),$P267*(1-AG267)*IFERROR(INDEX(계정대체기준!$F$20:$F$49,MATCH($N267,계정대체기준!$A$20:$A$49,0)),1)))</f>
        <v/>
      </c>
      <c r="Z267" s="94">
        <f>IF($A267="",0,IF(AE267="직접",IF(AF267="신계약비",$P267,0),$P267*(1-AG267)*IFERROR(INDEX(계정대체기준!$C$20:$C$49,MATCH($N267,계정대체기준!$A$20:$A$49,0)),0)))</f>
        <v/>
      </c>
      <c r="AA267" s="94">
        <f>IF($A267="",0,IF(AE267="직접",IF(OR(AF267="유지비",AF267="손해조사비"),$P267,0),$P267*(1-AG267)*IFERROR(INDEX(계정대체기준!$D$20:$D$49,MATCH($N267,계정대체기준!$A$20:$A$49,0)),0)))</f>
        <v/>
      </c>
      <c r="AB267" s="94">
        <f>IF($A267="",0,IF(AE267="직접",IF(AF267="수금비",$P267,0),$P267*(1-AG267)*IFERROR(INDEX(계정대체기준!$E$20:$E$49,MATCH($N267,계정대체기준!$A$20:$A$49,0)),0)))</f>
        <v/>
      </c>
      <c r="AC267" s="9">
        <f>IF(AND($A267&lt;&gt;"",M267=설정!$C$20,Z267&gt;0),Z267+ROW()/1000000000,"")</f>
        <v/>
      </c>
      <c r="AD267" s="94">
        <f>IF($A267="",0,$P267*AG267)</f>
        <v/>
      </c>
      <c r="AE267" s="64">
        <f>IF($A267="","",IFERROR(INDEX(계정매핑!$E$5:$E$504,MATCH($F267&amp;"",계정매핑!$A$5:$A$504,0))&amp;"","공통비"))</f>
        <v/>
      </c>
      <c r="AF267" s="64">
        <f>IF($A267="","",IF(AE267="직접",IFERROR(INDEX(계정매핑!$F$5:$F$504,MATCH($F267&amp;"",계정매핑!$A$5:$A$504,0))&amp;"","비귀속"),""))</f>
        <v/>
      </c>
      <c r="AG267" s="96">
        <f>IF($A267="",0,IF(AND(AE267&lt;&gt;"직접",IFERROR(INDEX(계정매핑!$G$5:$G$504,MATCH($F267&amp;"",계정매핑!$A$5:$A$504,0))&amp;"","")="유지비",COUNTIF(계정대체기준!$A$6:$A$15,$N267)&gt;0),IFERROR(INDEX(계정대체기준!$E$6:$E$15,MATCH(VALUE($A267&amp;""),계정대체기준!$D$6:$D$15,0)),0),0))</f>
        <v/>
      </c>
      <c r="AH267" s="64">
        <f>IF($A267="","",IF(AD267=0,"",IF(OR(COUNTIF(계정대체기준!$A$77:$A$86,$N267)&gt;0,ISNUMBER(MATCH($X267,계정대체기준!$D$77:$D$86,0)),ISNUMBER(MATCH($F267,계정대체기준!$D$77:$D$86,0))),"Y","N")))</f>
        <v/>
      </c>
    </row>
    <row r="268">
      <c r="A268" s="92" t="n">
        <v>2025</v>
      </c>
      <c r="B268" s="92" t="n">
        <v>2</v>
      </c>
      <c r="C268" s="92" t="inlineStr">
        <is>
          <t>5100000264</t>
        </is>
      </c>
      <c r="D268" s="95" t="n">
        <v>45692</v>
      </c>
      <c r="E268" s="92" t="inlineStr">
        <is>
          <t>KR</t>
        </is>
      </c>
      <c r="F268" s="92" t="n">
        <v>62101000</v>
      </c>
      <c r="G268" s="92" t="n">
        <v>1201</v>
      </c>
      <c r="H268" s="93" t="n">
        <v>189000</v>
      </c>
      <c r="I268" s="92" t="inlineStr">
        <is>
          <t>2월 국내출장 - M항공</t>
        </is>
      </c>
      <c r="J268" s="92" t="inlineStr">
        <is>
          <t>V10001</t>
        </is>
      </c>
      <c r="K268" s="92" t="inlineStr">
        <is>
          <t>M항공</t>
        </is>
      </c>
      <c r="M268" s="9">
        <f>IF($A268="","",VALUE($A268&amp;"")*12+VALUE($B268&amp;""))</f>
        <v/>
      </c>
      <c r="N268" s="64">
        <f>IF($A268="","",IFERROR(INDEX(부서매핑!$C$5:$C$504,MATCH($G268&amp;"",부서매핑!$A$5:$A$504,0)),"미매핑"))</f>
        <v/>
      </c>
      <c r="O268" s="9">
        <f>IF($A268="","",N268&amp;"|"&amp;$F268)</f>
        <v/>
      </c>
      <c r="P268" s="94">
        <f>IF($A268="",0,$H268*설정!$C$23)</f>
        <v/>
      </c>
      <c r="Q268" s="64">
        <f>IF($A268="","",IF(O268&lt;&gt;원인분석!$C$9,"",IF(AND(M268&gt;=원인분석!$C$10,M268&lt;=원인분석!$C$11),"당기",IF(AND(M268&gt;=원인분석!$C$12,M268&lt;=원인분석!$C$13),"비교",""))))</f>
        <v/>
      </c>
      <c r="R268" s="9">
        <f>IF(Q268="","",$K268&amp;"")</f>
        <v/>
      </c>
      <c r="S268" s="9">
        <f>IF(Q268="","",IF(MATCH(R268,$R$5:$R$100000,0)=ROW()-4,ROW(),""))</f>
        <v/>
      </c>
      <c r="T268" s="9">
        <f>IF(Q268="당기",ABS(P268)+ROW()/1000000000,"")</f>
        <v/>
      </c>
      <c r="U268" s="9">
        <f>IF(Q268="비교",ABS(P268)+ROW()/1000000000,"")</f>
        <v/>
      </c>
      <c r="V268" s="64">
        <f>IF($A268="","",IF(COUNTIF(변동분석!$E$7:$E$506,O268)&gt;0,"Y","N"))</f>
        <v/>
      </c>
      <c r="W268" s="64">
        <f>IF($A268="","",IFERROR(INDEX(계정매핑!$D$5:$D$504,MATCH($F268&amp;"",계정매핑!$A$5:$A$504,0)),"미매핑"))</f>
        <v/>
      </c>
      <c r="X268" s="9">
        <f>IF($A268="","",$F268&amp;"")</f>
        <v/>
      </c>
      <c r="Y268" s="94">
        <f>IF($A268="",0,IF(AE268="직접",IF(AF268="비귀속",$P268,0),$P268*(1-AG268)*IFERROR(INDEX(계정대체기준!$F$20:$F$49,MATCH($N268,계정대체기준!$A$20:$A$49,0)),1)))</f>
        <v/>
      </c>
      <c r="Z268" s="94">
        <f>IF($A268="",0,IF(AE268="직접",IF(AF268="신계약비",$P268,0),$P268*(1-AG268)*IFERROR(INDEX(계정대체기준!$C$20:$C$49,MATCH($N268,계정대체기준!$A$20:$A$49,0)),0)))</f>
        <v/>
      </c>
      <c r="AA268" s="94">
        <f>IF($A268="",0,IF(AE268="직접",IF(OR(AF268="유지비",AF268="손해조사비"),$P268,0),$P268*(1-AG268)*IFERROR(INDEX(계정대체기준!$D$20:$D$49,MATCH($N268,계정대체기준!$A$20:$A$49,0)),0)))</f>
        <v/>
      </c>
      <c r="AB268" s="94">
        <f>IF($A268="",0,IF(AE268="직접",IF(AF268="수금비",$P268,0),$P268*(1-AG268)*IFERROR(INDEX(계정대체기준!$E$20:$E$49,MATCH($N268,계정대체기준!$A$20:$A$49,0)),0)))</f>
        <v/>
      </c>
      <c r="AC268" s="9">
        <f>IF(AND($A268&lt;&gt;"",M268=설정!$C$20,Z268&gt;0),Z268+ROW()/1000000000,"")</f>
        <v/>
      </c>
      <c r="AD268" s="94">
        <f>IF($A268="",0,$P268*AG268)</f>
        <v/>
      </c>
      <c r="AE268" s="64">
        <f>IF($A268="","",IFERROR(INDEX(계정매핑!$E$5:$E$504,MATCH($F268&amp;"",계정매핑!$A$5:$A$504,0))&amp;"","공통비"))</f>
        <v/>
      </c>
      <c r="AF268" s="64">
        <f>IF($A268="","",IF(AE268="직접",IFERROR(INDEX(계정매핑!$F$5:$F$504,MATCH($F268&amp;"",계정매핑!$A$5:$A$504,0))&amp;"","비귀속"),""))</f>
        <v/>
      </c>
      <c r="AG268" s="96">
        <f>IF($A268="",0,IF(AND(AE268&lt;&gt;"직접",IFERROR(INDEX(계정매핑!$G$5:$G$504,MATCH($F268&amp;"",계정매핑!$A$5:$A$504,0))&amp;"","")="유지비",COUNTIF(계정대체기준!$A$6:$A$15,$N268)&gt;0),IFERROR(INDEX(계정대체기준!$E$6:$E$15,MATCH(VALUE($A268&amp;""),계정대체기준!$D$6:$D$15,0)),0),0))</f>
        <v/>
      </c>
      <c r="AH268" s="64">
        <f>IF($A268="","",IF(AD268=0,"",IF(OR(COUNTIF(계정대체기준!$A$77:$A$86,$N268)&gt;0,ISNUMBER(MATCH($X268,계정대체기준!$D$77:$D$86,0)),ISNUMBER(MATCH($F268,계정대체기준!$D$77:$D$86,0))),"Y","N")))</f>
        <v/>
      </c>
    </row>
    <row r="269">
      <c r="A269" s="92" t="n">
        <v>2025</v>
      </c>
      <c r="B269" s="92" t="n">
        <v>2</v>
      </c>
      <c r="C269" s="92" t="inlineStr">
        <is>
          <t>5100000265</t>
        </is>
      </c>
      <c r="D269" s="95" t="n">
        <v>45692</v>
      </c>
      <c r="E269" s="92" t="inlineStr">
        <is>
          <t>KR</t>
        </is>
      </c>
      <c r="F269" s="92" t="n">
        <v>62102000</v>
      </c>
      <c r="G269" s="92" t="n">
        <v>1801</v>
      </c>
      <c r="H269" s="93" t="n">
        <v>45000</v>
      </c>
      <c r="I269" s="92" t="inlineStr">
        <is>
          <t>2월 해외출장 - M항공</t>
        </is>
      </c>
      <c r="J269" s="92" t="inlineStr">
        <is>
          <t>V10001</t>
        </is>
      </c>
      <c r="K269" s="92" t="inlineStr">
        <is>
          <t>M항공</t>
        </is>
      </c>
      <c r="M269" s="9">
        <f>IF($A269="","",VALUE($A269&amp;"")*12+VALUE($B269&amp;""))</f>
        <v/>
      </c>
      <c r="N269" s="64">
        <f>IF($A269="","",IFERROR(INDEX(부서매핑!$C$5:$C$504,MATCH($G269&amp;"",부서매핑!$A$5:$A$504,0)),"미매핑"))</f>
        <v/>
      </c>
      <c r="O269" s="9">
        <f>IF($A269="","",N269&amp;"|"&amp;$F269)</f>
        <v/>
      </c>
      <c r="P269" s="94">
        <f>IF($A269="",0,$H269*설정!$C$23)</f>
        <v/>
      </c>
      <c r="Q269" s="64">
        <f>IF($A269="","",IF(O269&lt;&gt;원인분석!$C$9,"",IF(AND(M269&gt;=원인분석!$C$10,M269&lt;=원인분석!$C$11),"당기",IF(AND(M269&gt;=원인분석!$C$12,M269&lt;=원인분석!$C$13),"비교",""))))</f>
        <v/>
      </c>
      <c r="R269" s="9">
        <f>IF(Q269="","",$K269&amp;"")</f>
        <v/>
      </c>
      <c r="S269" s="9">
        <f>IF(Q269="","",IF(MATCH(R269,$R$5:$R$100000,0)=ROW()-4,ROW(),""))</f>
        <v/>
      </c>
      <c r="T269" s="9">
        <f>IF(Q269="당기",ABS(P269)+ROW()/1000000000,"")</f>
        <v/>
      </c>
      <c r="U269" s="9">
        <f>IF(Q269="비교",ABS(P269)+ROW()/1000000000,"")</f>
        <v/>
      </c>
      <c r="V269" s="64">
        <f>IF($A269="","",IF(COUNTIF(변동분석!$E$7:$E$506,O269)&gt;0,"Y","N"))</f>
        <v/>
      </c>
      <c r="W269" s="64">
        <f>IF($A269="","",IFERROR(INDEX(계정매핑!$D$5:$D$504,MATCH($F269&amp;"",계정매핑!$A$5:$A$504,0)),"미매핑"))</f>
        <v/>
      </c>
      <c r="X269" s="9">
        <f>IF($A269="","",$F269&amp;"")</f>
        <v/>
      </c>
      <c r="Y269" s="94">
        <f>IF($A269="",0,IF(AE269="직접",IF(AF269="비귀속",$P269,0),$P269*(1-AG269)*IFERROR(INDEX(계정대체기준!$F$20:$F$49,MATCH($N269,계정대체기준!$A$20:$A$49,0)),1)))</f>
        <v/>
      </c>
      <c r="Z269" s="94">
        <f>IF($A269="",0,IF(AE269="직접",IF(AF269="신계약비",$P269,0),$P269*(1-AG269)*IFERROR(INDEX(계정대체기준!$C$20:$C$49,MATCH($N269,계정대체기준!$A$20:$A$49,0)),0)))</f>
        <v/>
      </c>
      <c r="AA269" s="94">
        <f>IF($A269="",0,IF(AE269="직접",IF(OR(AF269="유지비",AF269="손해조사비"),$P269,0),$P269*(1-AG269)*IFERROR(INDEX(계정대체기준!$D$20:$D$49,MATCH($N269,계정대체기준!$A$20:$A$49,0)),0)))</f>
        <v/>
      </c>
      <c r="AB269" s="94">
        <f>IF($A269="",0,IF(AE269="직접",IF(AF269="수금비",$P269,0),$P269*(1-AG269)*IFERROR(INDEX(계정대체기준!$E$20:$E$49,MATCH($N269,계정대체기준!$A$20:$A$49,0)),0)))</f>
        <v/>
      </c>
      <c r="AC269" s="9">
        <f>IF(AND($A269&lt;&gt;"",M269=설정!$C$20,Z269&gt;0),Z269+ROW()/1000000000,"")</f>
        <v/>
      </c>
      <c r="AD269" s="94">
        <f>IF($A269="",0,$P269*AG269)</f>
        <v/>
      </c>
      <c r="AE269" s="64">
        <f>IF($A269="","",IFERROR(INDEX(계정매핑!$E$5:$E$504,MATCH($F269&amp;"",계정매핑!$A$5:$A$504,0))&amp;"","공통비"))</f>
        <v/>
      </c>
      <c r="AF269" s="64">
        <f>IF($A269="","",IF(AE269="직접",IFERROR(INDEX(계정매핑!$F$5:$F$504,MATCH($F269&amp;"",계정매핑!$A$5:$A$504,0))&amp;"","비귀속"),""))</f>
        <v/>
      </c>
      <c r="AG269" s="96">
        <f>IF($A269="",0,IF(AND(AE269&lt;&gt;"직접",IFERROR(INDEX(계정매핑!$G$5:$G$504,MATCH($F269&amp;"",계정매핑!$A$5:$A$504,0))&amp;"","")="유지비",COUNTIF(계정대체기준!$A$6:$A$15,$N269)&gt;0),IFERROR(INDEX(계정대체기준!$E$6:$E$15,MATCH(VALUE($A269&amp;""),계정대체기준!$D$6:$D$15,0)),0),0))</f>
        <v/>
      </c>
      <c r="AH269" s="64">
        <f>IF($A269="","",IF(AD269=0,"",IF(OR(COUNTIF(계정대체기준!$A$77:$A$86,$N269)&gt;0,ISNUMBER(MATCH($X269,계정대체기준!$D$77:$D$86,0)),ISNUMBER(MATCH($F269,계정대체기준!$D$77:$D$86,0))),"Y","N")))</f>
        <v/>
      </c>
    </row>
    <row r="270">
      <c r="A270" s="92" t="n">
        <v>2025</v>
      </c>
      <c r="B270" s="92" t="n">
        <v>2</v>
      </c>
      <c r="C270" s="92" t="inlineStr">
        <is>
          <t>5100000266</t>
        </is>
      </c>
      <c r="D270" s="95" t="n">
        <v>45692</v>
      </c>
      <c r="E270" s="92" t="inlineStr">
        <is>
          <t>KR</t>
        </is>
      </c>
      <c r="F270" s="92" t="n">
        <v>62301000</v>
      </c>
      <c r="G270" s="92" t="n">
        <v>1602</v>
      </c>
      <c r="H270" s="93" t="n">
        <v>653000</v>
      </c>
      <c r="I270" s="92" t="inlineStr">
        <is>
          <t>2월 소모품 구입 - Q오피스</t>
        </is>
      </c>
      <c r="J270" s="92" t="inlineStr">
        <is>
          <t>V10003</t>
        </is>
      </c>
      <c r="K270" s="92" t="inlineStr">
        <is>
          <t>Q오피스</t>
        </is>
      </c>
      <c r="M270" s="9">
        <f>IF($A270="","",VALUE($A270&amp;"")*12+VALUE($B270&amp;""))</f>
        <v/>
      </c>
      <c r="N270" s="64">
        <f>IF($A270="","",IFERROR(INDEX(부서매핑!$C$5:$C$504,MATCH($G270&amp;"",부서매핑!$A$5:$A$504,0)),"미매핑"))</f>
        <v/>
      </c>
      <c r="O270" s="9">
        <f>IF($A270="","",N270&amp;"|"&amp;$F270)</f>
        <v/>
      </c>
      <c r="P270" s="94">
        <f>IF($A270="",0,$H270*설정!$C$23)</f>
        <v/>
      </c>
      <c r="Q270" s="64">
        <f>IF($A270="","",IF(O270&lt;&gt;원인분석!$C$9,"",IF(AND(M270&gt;=원인분석!$C$10,M270&lt;=원인분석!$C$11),"당기",IF(AND(M270&gt;=원인분석!$C$12,M270&lt;=원인분석!$C$13),"비교",""))))</f>
        <v/>
      </c>
      <c r="R270" s="9">
        <f>IF(Q270="","",$K270&amp;"")</f>
        <v/>
      </c>
      <c r="S270" s="9">
        <f>IF(Q270="","",IF(MATCH(R270,$R$5:$R$100000,0)=ROW()-4,ROW(),""))</f>
        <v/>
      </c>
      <c r="T270" s="9">
        <f>IF(Q270="당기",ABS(P270)+ROW()/1000000000,"")</f>
        <v/>
      </c>
      <c r="U270" s="9">
        <f>IF(Q270="비교",ABS(P270)+ROW()/1000000000,"")</f>
        <v/>
      </c>
      <c r="V270" s="64">
        <f>IF($A270="","",IF(COUNTIF(변동분석!$E$7:$E$506,O270)&gt;0,"Y","N"))</f>
        <v/>
      </c>
      <c r="W270" s="64">
        <f>IF($A270="","",IFERROR(INDEX(계정매핑!$D$5:$D$504,MATCH($F270&amp;"",계정매핑!$A$5:$A$504,0)),"미매핑"))</f>
        <v/>
      </c>
      <c r="X270" s="9">
        <f>IF($A270="","",$F270&amp;"")</f>
        <v/>
      </c>
      <c r="Y270" s="94">
        <f>IF($A270="",0,IF(AE270="직접",IF(AF270="비귀속",$P270,0),$P270*(1-AG270)*IFERROR(INDEX(계정대체기준!$F$20:$F$49,MATCH($N270,계정대체기준!$A$20:$A$49,0)),1)))</f>
        <v/>
      </c>
      <c r="Z270" s="94">
        <f>IF($A270="",0,IF(AE270="직접",IF(AF270="신계약비",$P270,0),$P270*(1-AG270)*IFERROR(INDEX(계정대체기준!$C$20:$C$49,MATCH($N270,계정대체기준!$A$20:$A$49,0)),0)))</f>
        <v/>
      </c>
      <c r="AA270" s="94">
        <f>IF($A270="",0,IF(AE270="직접",IF(OR(AF270="유지비",AF270="손해조사비"),$P270,0),$P270*(1-AG270)*IFERROR(INDEX(계정대체기준!$D$20:$D$49,MATCH($N270,계정대체기준!$A$20:$A$49,0)),0)))</f>
        <v/>
      </c>
      <c r="AB270" s="94">
        <f>IF($A270="",0,IF(AE270="직접",IF(AF270="수금비",$P270,0),$P270*(1-AG270)*IFERROR(INDEX(계정대체기준!$E$20:$E$49,MATCH($N270,계정대체기준!$A$20:$A$49,0)),0)))</f>
        <v/>
      </c>
      <c r="AC270" s="9">
        <f>IF(AND($A270&lt;&gt;"",M270=설정!$C$20,Z270&gt;0),Z270+ROW()/1000000000,"")</f>
        <v/>
      </c>
      <c r="AD270" s="94">
        <f>IF($A270="",0,$P270*AG270)</f>
        <v/>
      </c>
      <c r="AE270" s="64">
        <f>IF($A270="","",IFERROR(INDEX(계정매핑!$E$5:$E$504,MATCH($F270&amp;"",계정매핑!$A$5:$A$504,0))&amp;"","공통비"))</f>
        <v/>
      </c>
      <c r="AF270" s="64">
        <f>IF($A270="","",IF(AE270="직접",IFERROR(INDEX(계정매핑!$F$5:$F$504,MATCH($F270&amp;"",계정매핑!$A$5:$A$504,0))&amp;"","비귀속"),""))</f>
        <v/>
      </c>
      <c r="AG270" s="96">
        <f>IF($A270="",0,IF(AND(AE270&lt;&gt;"직접",IFERROR(INDEX(계정매핑!$G$5:$G$504,MATCH($F270&amp;"",계정매핑!$A$5:$A$504,0))&amp;"","")="유지비",COUNTIF(계정대체기준!$A$6:$A$15,$N270)&gt;0),IFERROR(INDEX(계정대체기준!$E$6:$E$15,MATCH(VALUE($A270&amp;""),계정대체기준!$D$6:$D$15,0)),0),0))</f>
        <v/>
      </c>
      <c r="AH270" s="64">
        <f>IF($A270="","",IF(AD270=0,"",IF(OR(COUNTIF(계정대체기준!$A$77:$A$86,$N270)&gt;0,ISNUMBER(MATCH($X270,계정대체기준!$D$77:$D$86,0)),ISNUMBER(MATCH($F270,계정대체기준!$D$77:$D$86,0))),"Y","N")))</f>
        <v/>
      </c>
    </row>
    <row r="271">
      <c r="A271" s="92" t="n">
        <v>2025</v>
      </c>
      <c r="B271" s="92" t="n">
        <v>2</v>
      </c>
      <c r="C271" s="92" t="inlineStr">
        <is>
          <t>5100000267</t>
        </is>
      </c>
      <c r="D271" s="95" t="n">
        <v>45692</v>
      </c>
      <c r="E271" s="92" t="inlineStr">
        <is>
          <t>KR</t>
        </is>
      </c>
      <c r="F271" s="92" t="n">
        <v>62601000</v>
      </c>
      <c r="G271" s="92" t="n">
        <v>1301</v>
      </c>
      <c r="H271" s="93" t="n">
        <v>1258000</v>
      </c>
      <c r="I271" s="92" t="inlineStr">
        <is>
          <t>2월 업무추진 - (법인카드)</t>
        </is>
      </c>
      <c r="J271" s="92" t="inlineStr">
        <is>
          <t>V10010</t>
        </is>
      </c>
      <c r="K271" s="92" t="inlineStr">
        <is>
          <t>(법인카드)</t>
        </is>
      </c>
      <c r="M271" s="9">
        <f>IF($A271="","",VALUE($A271&amp;"")*12+VALUE($B271&amp;""))</f>
        <v/>
      </c>
      <c r="N271" s="64">
        <f>IF($A271="","",IFERROR(INDEX(부서매핑!$C$5:$C$504,MATCH($G271&amp;"",부서매핑!$A$5:$A$504,0)),"미매핑"))</f>
        <v/>
      </c>
      <c r="O271" s="9">
        <f>IF($A271="","",N271&amp;"|"&amp;$F271)</f>
        <v/>
      </c>
      <c r="P271" s="94">
        <f>IF($A271="",0,$H271*설정!$C$23)</f>
        <v/>
      </c>
      <c r="Q271" s="64">
        <f>IF($A271="","",IF(O271&lt;&gt;원인분석!$C$9,"",IF(AND(M271&gt;=원인분석!$C$10,M271&lt;=원인분석!$C$11),"당기",IF(AND(M271&gt;=원인분석!$C$12,M271&lt;=원인분석!$C$13),"비교",""))))</f>
        <v/>
      </c>
      <c r="R271" s="9">
        <f>IF(Q271="","",$K271&amp;"")</f>
        <v/>
      </c>
      <c r="S271" s="9">
        <f>IF(Q271="","",IF(MATCH(R271,$R$5:$R$100000,0)=ROW()-4,ROW(),""))</f>
        <v/>
      </c>
      <c r="T271" s="9">
        <f>IF(Q271="당기",ABS(P271)+ROW()/1000000000,"")</f>
        <v/>
      </c>
      <c r="U271" s="9">
        <f>IF(Q271="비교",ABS(P271)+ROW()/1000000000,"")</f>
        <v/>
      </c>
      <c r="V271" s="64">
        <f>IF($A271="","",IF(COUNTIF(변동분석!$E$7:$E$506,O271)&gt;0,"Y","N"))</f>
        <v/>
      </c>
      <c r="W271" s="64">
        <f>IF($A271="","",IFERROR(INDEX(계정매핑!$D$5:$D$504,MATCH($F271&amp;"",계정매핑!$A$5:$A$504,0)),"미매핑"))</f>
        <v/>
      </c>
      <c r="X271" s="9">
        <f>IF($A271="","",$F271&amp;"")</f>
        <v/>
      </c>
      <c r="Y271" s="94">
        <f>IF($A271="",0,IF(AE271="직접",IF(AF271="비귀속",$P271,0),$P271*(1-AG271)*IFERROR(INDEX(계정대체기준!$F$20:$F$49,MATCH($N271,계정대체기준!$A$20:$A$49,0)),1)))</f>
        <v/>
      </c>
      <c r="Z271" s="94">
        <f>IF($A271="",0,IF(AE271="직접",IF(AF271="신계약비",$P271,0),$P271*(1-AG271)*IFERROR(INDEX(계정대체기준!$C$20:$C$49,MATCH($N271,계정대체기준!$A$20:$A$49,0)),0)))</f>
        <v/>
      </c>
      <c r="AA271" s="94">
        <f>IF($A271="",0,IF(AE271="직접",IF(OR(AF271="유지비",AF271="손해조사비"),$P271,0),$P271*(1-AG271)*IFERROR(INDEX(계정대체기준!$D$20:$D$49,MATCH($N271,계정대체기준!$A$20:$A$49,0)),0)))</f>
        <v/>
      </c>
      <c r="AB271" s="94">
        <f>IF($A271="",0,IF(AE271="직접",IF(AF271="수금비",$P271,0),$P271*(1-AG271)*IFERROR(INDEX(계정대체기준!$E$20:$E$49,MATCH($N271,계정대체기준!$A$20:$A$49,0)),0)))</f>
        <v/>
      </c>
      <c r="AC271" s="9">
        <f>IF(AND($A271&lt;&gt;"",M271=설정!$C$20,Z271&gt;0),Z271+ROW()/1000000000,"")</f>
        <v/>
      </c>
      <c r="AD271" s="94">
        <f>IF($A271="",0,$P271*AG271)</f>
        <v/>
      </c>
      <c r="AE271" s="64">
        <f>IF($A271="","",IFERROR(INDEX(계정매핑!$E$5:$E$504,MATCH($F271&amp;"",계정매핑!$A$5:$A$504,0))&amp;"","공통비"))</f>
        <v/>
      </c>
      <c r="AF271" s="64">
        <f>IF($A271="","",IF(AE271="직접",IFERROR(INDEX(계정매핑!$F$5:$F$504,MATCH($F271&amp;"",계정매핑!$A$5:$A$504,0))&amp;"","비귀속"),""))</f>
        <v/>
      </c>
      <c r="AG271" s="96">
        <f>IF($A271="",0,IF(AND(AE271&lt;&gt;"직접",IFERROR(INDEX(계정매핑!$G$5:$G$504,MATCH($F271&amp;"",계정매핑!$A$5:$A$504,0))&amp;"","")="유지비",COUNTIF(계정대체기준!$A$6:$A$15,$N271)&gt;0),IFERROR(INDEX(계정대체기준!$E$6:$E$15,MATCH(VALUE($A271&amp;""),계정대체기준!$D$6:$D$15,0)),0),0))</f>
        <v/>
      </c>
      <c r="AH271" s="64">
        <f>IF($A271="","",IF(AD271=0,"",IF(OR(COUNTIF(계정대체기준!$A$77:$A$86,$N271)&gt;0,ISNUMBER(MATCH($X271,계정대체기준!$D$77:$D$86,0)),ISNUMBER(MATCH($F271,계정대체기준!$D$77:$D$86,0))),"Y","N")))</f>
        <v/>
      </c>
    </row>
    <row r="272">
      <c r="A272" s="92" t="n">
        <v>2025</v>
      </c>
      <c r="B272" s="92" t="n">
        <v>2</v>
      </c>
      <c r="C272" s="92" t="inlineStr">
        <is>
          <t>5100000268</t>
        </is>
      </c>
      <c r="D272" s="95" t="n">
        <v>45692</v>
      </c>
      <c r="E272" s="92" t="inlineStr">
        <is>
          <t>KR</t>
        </is>
      </c>
      <c r="F272" s="92" t="n">
        <v>62901000</v>
      </c>
      <c r="G272" s="92" t="n">
        <v>1101</v>
      </c>
      <c r="H272" s="93" t="n">
        <v>3759000</v>
      </c>
      <c r="I272" s="92" t="inlineStr">
        <is>
          <t>2월 자문 수수료 - K회계법인</t>
        </is>
      </c>
      <c r="J272" s="92" t="inlineStr">
        <is>
          <t>V10011</t>
        </is>
      </c>
      <c r="K272" s="92" t="inlineStr">
        <is>
          <t>K회계법인</t>
        </is>
      </c>
      <c r="M272" s="9">
        <f>IF($A272="","",VALUE($A272&amp;"")*12+VALUE($B272&amp;""))</f>
        <v/>
      </c>
      <c r="N272" s="64">
        <f>IF($A272="","",IFERROR(INDEX(부서매핑!$C$5:$C$504,MATCH($G272&amp;"",부서매핑!$A$5:$A$504,0)),"미매핑"))</f>
        <v/>
      </c>
      <c r="O272" s="9">
        <f>IF($A272="","",N272&amp;"|"&amp;$F272)</f>
        <v/>
      </c>
      <c r="P272" s="94">
        <f>IF($A272="",0,$H272*설정!$C$23)</f>
        <v/>
      </c>
      <c r="Q272" s="64">
        <f>IF($A272="","",IF(O272&lt;&gt;원인분석!$C$9,"",IF(AND(M272&gt;=원인분석!$C$10,M272&lt;=원인분석!$C$11),"당기",IF(AND(M272&gt;=원인분석!$C$12,M272&lt;=원인분석!$C$13),"비교",""))))</f>
        <v/>
      </c>
      <c r="R272" s="9">
        <f>IF(Q272="","",$K272&amp;"")</f>
        <v/>
      </c>
      <c r="S272" s="9">
        <f>IF(Q272="","",IF(MATCH(R272,$R$5:$R$100000,0)=ROW()-4,ROW(),""))</f>
        <v/>
      </c>
      <c r="T272" s="9">
        <f>IF(Q272="당기",ABS(P272)+ROW()/1000000000,"")</f>
        <v/>
      </c>
      <c r="U272" s="9">
        <f>IF(Q272="비교",ABS(P272)+ROW()/1000000000,"")</f>
        <v/>
      </c>
      <c r="V272" s="64">
        <f>IF($A272="","",IF(COUNTIF(변동분석!$E$7:$E$506,O272)&gt;0,"Y","N"))</f>
        <v/>
      </c>
      <c r="W272" s="64">
        <f>IF($A272="","",IFERROR(INDEX(계정매핑!$D$5:$D$504,MATCH($F272&amp;"",계정매핑!$A$5:$A$504,0)),"미매핑"))</f>
        <v/>
      </c>
      <c r="X272" s="9">
        <f>IF($A272="","",$F272&amp;"")</f>
        <v/>
      </c>
      <c r="Y272" s="94">
        <f>IF($A272="",0,IF(AE272="직접",IF(AF272="비귀속",$P272,0),$P272*(1-AG272)*IFERROR(INDEX(계정대체기준!$F$20:$F$49,MATCH($N272,계정대체기준!$A$20:$A$49,0)),1)))</f>
        <v/>
      </c>
      <c r="Z272" s="94">
        <f>IF($A272="",0,IF(AE272="직접",IF(AF272="신계약비",$P272,0),$P272*(1-AG272)*IFERROR(INDEX(계정대체기준!$C$20:$C$49,MATCH($N272,계정대체기준!$A$20:$A$49,0)),0)))</f>
        <v/>
      </c>
      <c r="AA272" s="94">
        <f>IF($A272="",0,IF(AE272="직접",IF(OR(AF272="유지비",AF272="손해조사비"),$P272,0),$P272*(1-AG272)*IFERROR(INDEX(계정대체기준!$D$20:$D$49,MATCH($N272,계정대체기준!$A$20:$A$49,0)),0)))</f>
        <v/>
      </c>
      <c r="AB272" s="94">
        <f>IF($A272="",0,IF(AE272="직접",IF(AF272="수금비",$P272,0),$P272*(1-AG272)*IFERROR(INDEX(계정대체기준!$E$20:$E$49,MATCH($N272,계정대체기준!$A$20:$A$49,0)),0)))</f>
        <v/>
      </c>
      <c r="AC272" s="9">
        <f>IF(AND($A272&lt;&gt;"",M272=설정!$C$20,Z272&gt;0),Z272+ROW()/1000000000,"")</f>
        <v/>
      </c>
      <c r="AD272" s="94">
        <f>IF($A272="",0,$P272*AG272)</f>
        <v/>
      </c>
      <c r="AE272" s="64">
        <f>IF($A272="","",IFERROR(INDEX(계정매핑!$E$5:$E$504,MATCH($F272&amp;"",계정매핑!$A$5:$A$504,0))&amp;"","공통비"))</f>
        <v/>
      </c>
      <c r="AF272" s="64">
        <f>IF($A272="","",IF(AE272="직접",IFERROR(INDEX(계정매핑!$F$5:$F$504,MATCH($F272&amp;"",계정매핑!$A$5:$A$504,0))&amp;"","비귀속"),""))</f>
        <v/>
      </c>
      <c r="AG272" s="96">
        <f>IF($A272="",0,IF(AND(AE272&lt;&gt;"직접",IFERROR(INDEX(계정매핑!$G$5:$G$504,MATCH($F272&amp;"",계정매핑!$A$5:$A$504,0))&amp;"","")="유지비",COUNTIF(계정대체기준!$A$6:$A$15,$N272)&gt;0),IFERROR(INDEX(계정대체기준!$E$6:$E$15,MATCH(VALUE($A272&amp;""),계정대체기준!$D$6:$D$15,0)),0),0))</f>
        <v/>
      </c>
      <c r="AH272" s="64">
        <f>IF($A272="","",IF(AD272=0,"",IF(OR(COUNTIF(계정대체기준!$A$77:$A$86,$N272)&gt;0,ISNUMBER(MATCH($X272,계정대체기준!$D$77:$D$86,0)),ISNUMBER(MATCH($F272,계정대체기준!$D$77:$D$86,0))),"Y","N")))</f>
        <v/>
      </c>
    </row>
    <row r="273">
      <c r="A273" s="92" t="n">
        <v>2025</v>
      </c>
      <c r="B273" s="92" t="n">
        <v>2</v>
      </c>
      <c r="C273" s="92" t="inlineStr">
        <is>
          <t>5100000269</t>
        </is>
      </c>
      <c r="D273" s="95" t="n">
        <v>45692</v>
      </c>
      <c r="E273" s="92" t="inlineStr">
        <is>
          <t>KR</t>
        </is>
      </c>
      <c r="F273" s="92" t="n">
        <v>62902000</v>
      </c>
      <c r="G273" s="92" t="n">
        <v>1201</v>
      </c>
      <c r="H273" s="93" t="n">
        <v>3755000</v>
      </c>
      <c r="I273" s="92" t="inlineStr">
        <is>
          <t>2월 업무 위탁 수수료 - J콜센터</t>
        </is>
      </c>
      <c r="J273" s="92" t="inlineStr">
        <is>
          <t>V10016</t>
        </is>
      </c>
      <c r="K273" s="92" t="inlineStr">
        <is>
          <t>J콜센터</t>
        </is>
      </c>
      <c r="M273" s="9">
        <f>IF($A273="","",VALUE($A273&amp;"")*12+VALUE($B273&amp;""))</f>
        <v/>
      </c>
      <c r="N273" s="64">
        <f>IF($A273="","",IFERROR(INDEX(부서매핑!$C$5:$C$504,MATCH($G273&amp;"",부서매핑!$A$5:$A$504,0)),"미매핑"))</f>
        <v/>
      </c>
      <c r="O273" s="9">
        <f>IF($A273="","",N273&amp;"|"&amp;$F273)</f>
        <v/>
      </c>
      <c r="P273" s="94">
        <f>IF($A273="",0,$H273*설정!$C$23)</f>
        <v/>
      </c>
      <c r="Q273" s="64">
        <f>IF($A273="","",IF(O273&lt;&gt;원인분석!$C$9,"",IF(AND(M273&gt;=원인분석!$C$10,M273&lt;=원인분석!$C$11),"당기",IF(AND(M273&gt;=원인분석!$C$12,M273&lt;=원인분석!$C$13),"비교",""))))</f>
        <v/>
      </c>
      <c r="R273" s="9">
        <f>IF(Q273="","",$K273&amp;"")</f>
        <v/>
      </c>
      <c r="S273" s="9">
        <f>IF(Q273="","",IF(MATCH(R273,$R$5:$R$100000,0)=ROW()-4,ROW(),""))</f>
        <v/>
      </c>
      <c r="T273" s="9">
        <f>IF(Q273="당기",ABS(P273)+ROW()/1000000000,"")</f>
        <v/>
      </c>
      <c r="U273" s="9">
        <f>IF(Q273="비교",ABS(P273)+ROW()/1000000000,"")</f>
        <v/>
      </c>
      <c r="V273" s="64">
        <f>IF($A273="","",IF(COUNTIF(변동분석!$E$7:$E$506,O273)&gt;0,"Y","N"))</f>
        <v/>
      </c>
      <c r="W273" s="64">
        <f>IF($A273="","",IFERROR(INDEX(계정매핑!$D$5:$D$504,MATCH($F273&amp;"",계정매핑!$A$5:$A$504,0)),"미매핑"))</f>
        <v/>
      </c>
      <c r="X273" s="9">
        <f>IF($A273="","",$F273&amp;"")</f>
        <v/>
      </c>
      <c r="Y273" s="94">
        <f>IF($A273="",0,IF(AE273="직접",IF(AF273="비귀속",$P273,0),$P273*(1-AG273)*IFERROR(INDEX(계정대체기준!$F$20:$F$49,MATCH($N273,계정대체기준!$A$20:$A$49,0)),1)))</f>
        <v/>
      </c>
      <c r="Z273" s="94">
        <f>IF($A273="",0,IF(AE273="직접",IF(AF273="신계약비",$P273,0),$P273*(1-AG273)*IFERROR(INDEX(계정대체기준!$C$20:$C$49,MATCH($N273,계정대체기준!$A$20:$A$49,0)),0)))</f>
        <v/>
      </c>
      <c r="AA273" s="94">
        <f>IF($A273="",0,IF(AE273="직접",IF(OR(AF273="유지비",AF273="손해조사비"),$P273,0),$P273*(1-AG273)*IFERROR(INDEX(계정대체기준!$D$20:$D$49,MATCH($N273,계정대체기준!$A$20:$A$49,0)),0)))</f>
        <v/>
      </c>
      <c r="AB273" s="94">
        <f>IF($A273="",0,IF(AE273="직접",IF(AF273="수금비",$P273,0),$P273*(1-AG273)*IFERROR(INDEX(계정대체기준!$E$20:$E$49,MATCH($N273,계정대체기준!$A$20:$A$49,0)),0)))</f>
        <v/>
      </c>
      <c r="AC273" s="9">
        <f>IF(AND($A273&lt;&gt;"",M273=설정!$C$20,Z273&gt;0),Z273+ROW()/1000000000,"")</f>
        <v/>
      </c>
      <c r="AD273" s="94">
        <f>IF($A273="",0,$P273*AG273)</f>
        <v/>
      </c>
      <c r="AE273" s="64">
        <f>IF($A273="","",IFERROR(INDEX(계정매핑!$E$5:$E$504,MATCH($F273&amp;"",계정매핑!$A$5:$A$504,0))&amp;"","공통비"))</f>
        <v/>
      </c>
      <c r="AF273" s="64">
        <f>IF($A273="","",IF(AE273="직접",IFERROR(INDEX(계정매핑!$F$5:$F$504,MATCH($F273&amp;"",계정매핑!$A$5:$A$504,0))&amp;"","비귀속"),""))</f>
        <v/>
      </c>
      <c r="AG273" s="96">
        <f>IF($A273="",0,IF(AND(AE273&lt;&gt;"직접",IFERROR(INDEX(계정매핑!$G$5:$G$504,MATCH($F273&amp;"",계정매핑!$A$5:$A$504,0))&amp;"","")="유지비",COUNTIF(계정대체기준!$A$6:$A$15,$N273)&gt;0),IFERROR(INDEX(계정대체기준!$E$6:$E$15,MATCH(VALUE($A273&amp;""),계정대체기준!$D$6:$D$15,0)),0),0))</f>
        <v/>
      </c>
      <c r="AH273" s="64">
        <f>IF($A273="","",IF(AD273=0,"",IF(OR(COUNTIF(계정대체기준!$A$77:$A$86,$N273)&gt;0,ISNUMBER(MATCH($X273,계정대체기준!$D$77:$D$86,0)),ISNUMBER(MATCH($F273,계정대체기준!$D$77:$D$86,0))),"Y","N")))</f>
        <v/>
      </c>
    </row>
    <row r="274">
      <c r="A274" s="92" t="n">
        <v>2025</v>
      </c>
      <c r="B274" s="92" t="n">
        <v>2</v>
      </c>
      <c r="C274" s="92" t="inlineStr">
        <is>
          <t>5100000270</t>
        </is>
      </c>
      <c r="D274" s="95" t="n">
        <v>45692</v>
      </c>
      <c r="E274" s="92" t="inlineStr">
        <is>
          <t>KR</t>
        </is>
      </c>
      <c r="F274" s="92" t="n">
        <v>63001000</v>
      </c>
      <c r="G274" s="92" t="n">
        <v>1701</v>
      </c>
      <c r="H274" s="93" t="n">
        <v>26759000</v>
      </c>
      <c r="I274" s="92" t="inlineStr">
        <is>
          <t>2월 SW 유지보수 - Y소프트</t>
        </is>
      </c>
      <c r="J274" s="92" t="inlineStr">
        <is>
          <t>V10017</t>
        </is>
      </c>
      <c r="K274" s="92" t="inlineStr">
        <is>
          <t>Y소프트</t>
        </is>
      </c>
      <c r="M274" s="9">
        <f>IF($A274="","",VALUE($A274&amp;"")*12+VALUE($B274&amp;""))</f>
        <v/>
      </c>
      <c r="N274" s="64">
        <f>IF($A274="","",IFERROR(INDEX(부서매핑!$C$5:$C$504,MATCH($G274&amp;"",부서매핑!$A$5:$A$504,0)),"미매핑"))</f>
        <v/>
      </c>
      <c r="O274" s="9">
        <f>IF($A274="","",N274&amp;"|"&amp;$F274)</f>
        <v/>
      </c>
      <c r="P274" s="94">
        <f>IF($A274="",0,$H274*설정!$C$23)</f>
        <v/>
      </c>
      <c r="Q274" s="64">
        <f>IF($A274="","",IF(O274&lt;&gt;원인분석!$C$9,"",IF(AND(M274&gt;=원인분석!$C$10,M274&lt;=원인분석!$C$11),"당기",IF(AND(M274&gt;=원인분석!$C$12,M274&lt;=원인분석!$C$13),"비교",""))))</f>
        <v/>
      </c>
      <c r="R274" s="9">
        <f>IF(Q274="","",$K274&amp;"")</f>
        <v/>
      </c>
      <c r="S274" s="9">
        <f>IF(Q274="","",IF(MATCH(R274,$R$5:$R$100000,0)=ROW()-4,ROW(),""))</f>
        <v/>
      </c>
      <c r="T274" s="9">
        <f>IF(Q274="당기",ABS(P274)+ROW()/1000000000,"")</f>
        <v/>
      </c>
      <c r="U274" s="9">
        <f>IF(Q274="비교",ABS(P274)+ROW()/1000000000,"")</f>
        <v/>
      </c>
      <c r="V274" s="64">
        <f>IF($A274="","",IF(COUNTIF(변동분석!$E$7:$E$506,O274)&gt;0,"Y","N"))</f>
        <v/>
      </c>
      <c r="W274" s="64">
        <f>IF($A274="","",IFERROR(INDEX(계정매핑!$D$5:$D$504,MATCH($F274&amp;"",계정매핑!$A$5:$A$504,0)),"미매핑"))</f>
        <v/>
      </c>
      <c r="X274" s="9">
        <f>IF($A274="","",$F274&amp;"")</f>
        <v/>
      </c>
      <c r="Y274" s="94">
        <f>IF($A274="",0,IF(AE274="직접",IF(AF274="비귀속",$P274,0),$P274*(1-AG274)*IFERROR(INDEX(계정대체기준!$F$20:$F$49,MATCH($N274,계정대체기준!$A$20:$A$49,0)),1)))</f>
        <v/>
      </c>
      <c r="Z274" s="94">
        <f>IF($A274="",0,IF(AE274="직접",IF(AF274="신계약비",$P274,0),$P274*(1-AG274)*IFERROR(INDEX(계정대체기준!$C$20:$C$49,MATCH($N274,계정대체기준!$A$20:$A$49,0)),0)))</f>
        <v/>
      </c>
      <c r="AA274" s="94">
        <f>IF($A274="",0,IF(AE274="직접",IF(OR(AF274="유지비",AF274="손해조사비"),$P274,0),$P274*(1-AG274)*IFERROR(INDEX(계정대체기준!$D$20:$D$49,MATCH($N274,계정대체기준!$A$20:$A$49,0)),0)))</f>
        <v/>
      </c>
      <c r="AB274" s="94">
        <f>IF($A274="",0,IF(AE274="직접",IF(AF274="수금비",$P274,0),$P274*(1-AG274)*IFERROR(INDEX(계정대체기준!$E$20:$E$49,MATCH($N274,계정대체기준!$A$20:$A$49,0)),0)))</f>
        <v/>
      </c>
      <c r="AC274" s="9">
        <f>IF(AND($A274&lt;&gt;"",M274=설정!$C$20,Z274&gt;0),Z274+ROW()/1000000000,"")</f>
        <v/>
      </c>
      <c r="AD274" s="94">
        <f>IF($A274="",0,$P274*AG274)</f>
        <v/>
      </c>
      <c r="AE274" s="64">
        <f>IF($A274="","",IFERROR(INDEX(계정매핑!$E$5:$E$504,MATCH($F274&amp;"",계정매핑!$A$5:$A$504,0))&amp;"","공통비"))</f>
        <v/>
      </c>
      <c r="AF274" s="64">
        <f>IF($A274="","",IF(AE274="직접",IFERROR(INDEX(계정매핑!$F$5:$F$504,MATCH($F274&amp;"",계정매핑!$A$5:$A$504,0))&amp;"","비귀속"),""))</f>
        <v/>
      </c>
      <c r="AG274" s="96">
        <f>IF($A274="",0,IF(AND(AE274&lt;&gt;"직접",IFERROR(INDEX(계정매핑!$G$5:$G$504,MATCH($F274&amp;"",계정매핑!$A$5:$A$504,0))&amp;"","")="유지비",COUNTIF(계정대체기준!$A$6:$A$15,$N274)&gt;0),IFERROR(INDEX(계정대체기준!$E$6:$E$15,MATCH(VALUE($A274&amp;""),계정대체기준!$D$6:$D$15,0)),0),0))</f>
        <v/>
      </c>
      <c r="AH274" s="64">
        <f>IF($A274="","",IF(AD274=0,"",IF(OR(COUNTIF(계정대체기준!$A$77:$A$86,$N274)&gt;0,ISNUMBER(MATCH($X274,계정대체기준!$D$77:$D$86,0)),ISNUMBER(MATCH($F274,계정대체기준!$D$77:$D$86,0))),"Y","N")))</f>
        <v/>
      </c>
    </row>
    <row r="275">
      <c r="A275" s="92" t="n">
        <v>2025</v>
      </c>
      <c r="B275" s="92" t="n">
        <v>2</v>
      </c>
      <c r="C275" s="92" t="inlineStr">
        <is>
          <t>5100000271</t>
        </is>
      </c>
      <c r="D275" s="95" t="n">
        <v>45693</v>
      </c>
      <c r="E275" s="92" t="inlineStr">
        <is>
          <t>KR</t>
        </is>
      </c>
      <c r="F275" s="92" t="n">
        <v>62101000</v>
      </c>
      <c r="G275" s="92" t="n">
        <v>1201</v>
      </c>
      <c r="H275" s="93" t="n">
        <v>124000</v>
      </c>
      <c r="I275" s="92" t="inlineStr">
        <is>
          <t>2월 국내출장 - L여행사</t>
        </is>
      </c>
      <c r="J275" s="92" t="inlineStr">
        <is>
          <t>V10018</t>
        </is>
      </c>
      <c r="K275" s="92" t="inlineStr">
        <is>
          <t>L여행사</t>
        </is>
      </c>
      <c r="M275" s="9">
        <f>IF($A275="","",VALUE($A275&amp;"")*12+VALUE($B275&amp;""))</f>
        <v/>
      </c>
      <c r="N275" s="64">
        <f>IF($A275="","",IFERROR(INDEX(부서매핑!$C$5:$C$504,MATCH($G275&amp;"",부서매핑!$A$5:$A$504,0)),"미매핑"))</f>
        <v/>
      </c>
      <c r="O275" s="9">
        <f>IF($A275="","",N275&amp;"|"&amp;$F275)</f>
        <v/>
      </c>
      <c r="P275" s="94">
        <f>IF($A275="",0,$H275*설정!$C$23)</f>
        <v/>
      </c>
      <c r="Q275" s="64">
        <f>IF($A275="","",IF(O275&lt;&gt;원인분석!$C$9,"",IF(AND(M275&gt;=원인분석!$C$10,M275&lt;=원인분석!$C$11),"당기",IF(AND(M275&gt;=원인분석!$C$12,M275&lt;=원인분석!$C$13),"비교",""))))</f>
        <v/>
      </c>
      <c r="R275" s="9">
        <f>IF(Q275="","",$K275&amp;"")</f>
        <v/>
      </c>
      <c r="S275" s="9">
        <f>IF(Q275="","",IF(MATCH(R275,$R$5:$R$100000,0)=ROW()-4,ROW(),""))</f>
        <v/>
      </c>
      <c r="T275" s="9">
        <f>IF(Q275="당기",ABS(P275)+ROW()/1000000000,"")</f>
        <v/>
      </c>
      <c r="U275" s="9">
        <f>IF(Q275="비교",ABS(P275)+ROW()/1000000000,"")</f>
        <v/>
      </c>
      <c r="V275" s="64">
        <f>IF($A275="","",IF(COUNTIF(변동분석!$E$7:$E$506,O275)&gt;0,"Y","N"))</f>
        <v/>
      </c>
      <c r="W275" s="64">
        <f>IF($A275="","",IFERROR(INDEX(계정매핑!$D$5:$D$504,MATCH($F275&amp;"",계정매핑!$A$5:$A$504,0)),"미매핑"))</f>
        <v/>
      </c>
      <c r="X275" s="9">
        <f>IF($A275="","",$F275&amp;"")</f>
        <v/>
      </c>
      <c r="Y275" s="94">
        <f>IF($A275="",0,IF(AE275="직접",IF(AF275="비귀속",$P275,0),$P275*(1-AG275)*IFERROR(INDEX(계정대체기준!$F$20:$F$49,MATCH($N275,계정대체기준!$A$20:$A$49,0)),1)))</f>
        <v/>
      </c>
      <c r="Z275" s="94">
        <f>IF($A275="",0,IF(AE275="직접",IF(AF275="신계약비",$P275,0),$P275*(1-AG275)*IFERROR(INDEX(계정대체기준!$C$20:$C$49,MATCH($N275,계정대체기준!$A$20:$A$49,0)),0)))</f>
        <v/>
      </c>
      <c r="AA275" s="94">
        <f>IF($A275="",0,IF(AE275="직접",IF(OR(AF275="유지비",AF275="손해조사비"),$P275,0),$P275*(1-AG275)*IFERROR(INDEX(계정대체기준!$D$20:$D$49,MATCH($N275,계정대체기준!$A$20:$A$49,0)),0)))</f>
        <v/>
      </c>
      <c r="AB275" s="94">
        <f>IF($A275="",0,IF(AE275="직접",IF(AF275="수금비",$P275,0),$P275*(1-AG275)*IFERROR(INDEX(계정대체기준!$E$20:$E$49,MATCH($N275,계정대체기준!$A$20:$A$49,0)),0)))</f>
        <v/>
      </c>
      <c r="AC275" s="9">
        <f>IF(AND($A275&lt;&gt;"",M275=설정!$C$20,Z275&gt;0),Z275+ROW()/1000000000,"")</f>
        <v/>
      </c>
      <c r="AD275" s="94">
        <f>IF($A275="",0,$P275*AG275)</f>
        <v/>
      </c>
      <c r="AE275" s="64">
        <f>IF($A275="","",IFERROR(INDEX(계정매핑!$E$5:$E$504,MATCH($F275&amp;"",계정매핑!$A$5:$A$504,0))&amp;"","공통비"))</f>
        <v/>
      </c>
      <c r="AF275" s="64">
        <f>IF($A275="","",IF(AE275="직접",IFERROR(INDEX(계정매핑!$F$5:$F$504,MATCH($F275&amp;"",계정매핑!$A$5:$A$504,0))&amp;"","비귀속"),""))</f>
        <v/>
      </c>
      <c r="AG275" s="96">
        <f>IF($A275="",0,IF(AND(AE275&lt;&gt;"직접",IFERROR(INDEX(계정매핑!$G$5:$G$504,MATCH($F275&amp;"",계정매핑!$A$5:$A$504,0))&amp;"","")="유지비",COUNTIF(계정대체기준!$A$6:$A$15,$N275)&gt;0),IFERROR(INDEX(계정대체기준!$E$6:$E$15,MATCH(VALUE($A275&amp;""),계정대체기준!$D$6:$D$15,0)),0),0))</f>
        <v/>
      </c>
      <c r="AH275" s="64">
        <f>IF($A275="","",IF(AD275=0,"",IF(OR(COUNTIF(계정대체기준!$A$77:$A$86,$N275)&gt;0,ISNUMBER(MATCH($X275,계정대체기준!$D$77:$D$86,0)),ISNUMBER(MATCH($F275,계정대체기준!$D$77:$D$86,0))),"Y","N")))</f>
        <v/>
      </c>
    </row>
    <row r="276">
      <c r="A276" s="92" t="n">
        <v>2025</v>
      </c>
      <c r="B276" s="92" t="n">
        <v>2</v>
      </c>
      <c r="C276" s="92" t="inlineStr">
        <is>
          <t>5100000272</t>
        </is>
      </c>
      <c r="D276" s="95" t="n">
        <v>45693</v>
      </c>
      <c r="E276" s="92" t="inlineStr">
        <is>
          <t>KR</t>
        </is>
      </c>
      <c r="F276" s="92" t="n">
        <v>62101000</v>
      </c>
      <c r="G276" s="92" t="n">
        <v>1501</v>
      </c>
      <c r="H276" s="93" t="n">
        <v>403000</v>
      </c>
      <c r="I276" s="92" t="inlineStr">
        <is>
          <t>2월 국내출장 - L여행사</t>
        </is>
      </c>
      <c r="J276" s="92" t="inlineStr">
        <is>
          <t>V10018</t>
        </is>
      </c>
      <c r="K276" s="92" t="inlineStr">
        <is>
          <t>L여행사</t>
        </is>
      </c>
      <c r="M276" s="9">
        <f>IF($A276="","",VALUE($A276&amp;"")*12+VALUE($B276&amp;""))</f>
        <v/>
      </c>
      <c r="N276" s="64">
        <f>IF($A276="","",IFERROR(INDEX(부서매핑!$C$5:$C$504,MATCH($G276&amp;"",부서매핑!$A$5:$A$504,0)),"미매핑"))</f>
        <v/>
      </c>
      <c r="O276" s="9">
        <f>IF($A276="","",N276&amp;"|"&amp;$F276)</f>
        <v/>
      </c>
      <c r="P276" s="94">
        <f>IF($A276="",0,$H276*설정!$C$23)</f>
        <v/>
      </c>
      <c r="Q276" s="64">
        <f>IF($A276="","",IF(O276&lt;&gt;원인분석!$C$9,"",IF(AND(M276&gt;=원인분석!$C$10,M276&lt;=원인분석!$C$11),"당기",IF(AND(M276&gt;=원인분석!$C$12,M276&lt;=원인분석!$C$13),"비교",""))))</f>
        <v/>
      </c>
      <c r="R276" s="9">
        <f>IF(Q276="","",$K276&amp;"")</f>
        <v/>
      </c>
      <c r="S276" s="9">
        <f>IF(Q276="","",IF(MATCH(R276,$R$5:$R$100000,0)=ROW()-4,ROW(),""))</f>
        <v/>
      </c>
      <c r="T276" s="9">
        <f>IF(Q276="당기",ABS(P276)+ROW()/1000000000,"")</f>
        <v/>
      </c>
      <c r="U276" s="9">
        <f>IF(Q276="비교",ABS(P276)+ROW()/1000000000,"")</f>
        <v/>
      </c>
      <c r="V276" s="64">
        <f>IF($A276="","",IF(COUNTIF(변동분석!$E$7:$E$506,O276)&gt;0,"Y","N"))</f>
        <v/>
      </c>
      <c r="W276" s="64">
        <f>IF($A276="","",IFERROR(INDEX(계정매핑!$D$5:$D$504,MATCH($F276&amp;"",계정매핑!$A$5:$A$504,0)),"미매핑"))</f>
        <v/>
      </c>
      <c r="X276" s="9">
        <f>IF($A276="","",$F276&amp;"")</f>
        <v/>
      </c>
      <c r="Y276" s="94">
        <f>IF($A276="",0,IF(AE276="직접",IF(AF276="비귀속",$P276,0),$P276*(1-AG276)*IFERROR(INDEX(계정대체기준!$F$20:$F$49,MATCH($N276,계정대체기준!$A$20:$A$49,0)),1)))</f>
        <v/>
      </c>
      <c r="Z276" s="94">
        <f>IF($A276="",0,IF(AE276="직접",IF(AF276="신계약비",$P276,0),$P276*(1-AG276)*IFERROR(INDEX(계정대체기준!$C$20:$C$49,MATCH($N276,계정대체기준!$A$20:$A$49,0)),0)))</f>
        <v/>
      </c>
      <c r="AA276" s="94">
        <f>IF($A276="",0,IF(AE276="직접",IF(OR(AF276="유지비",AF276="손해조사비"),$P276,0),$P276*(1-AG276)*IFERROR(INDEX(계정대체기준!$D$20:$D$49,MATCH($N276,계정대체기준!$A$20:$A$49,0)),0)))</f>
        <v/>
      </c>
      <c r="AB276" s="94">
        <f>IF($A276="",0,IF(AE276="직접",IF(AF276="수금비",$P276,0),$P276*(1-AG276)*IFERROR(INDEX(계정대체기준!$E$20:$E$49,MATCH($N276,계정대체기준!$A$20:$A$49,0)),0)))</f>
        <v/>
      </c>
      <c r="AC276" s="9">
        <f>IF(AND($A276&lt;&gt;"",M276=설정!$C$20,Z276&gt;0),Z276+ROW()/1000000000,"")</f>
        <v/>
      </c>
      <c r="AD276" s="94">
        <f>IF($A276="",0,$P276*AG276)</f>
        <v/>
      </c>
      <c r="AE276" s="64">
        <f>IF($A276="","",IFERROR(INDEX(계정매핑!$E$5:$E$504,MATCH($F276&amp;"",계정매핑!$A$5:$A$504,0))&amp;"","공통비"))</f>
        <v/>
      </c>
      <c r="AF276" s="64">
        <f>IF($A276="","",IF(AE276="직접",IFERROR(INDEX(계정매핑!$F$5:$F$504,MATCH($F276&amp;"",계정매핑!$A$5:$A$504,0))&amp;"","비귀속"),""))</f>
        <v/>
      </c>
      <c r="AG276" s="96">
        <f>IF($A276="",0,IF(AND(AE276&lt;&gt;"직접",IFERROR(INDEX(계정매핑!$G$5:$G$504,MATCH($F276&amp;"",계정매핑!$A$5:$A$504,0))&amp;"","")="유지비",COUNTIF(계정대체기준!$A$6:$A$15,$N276)&gt;0),IFERROR(INDEX(계정대체기준!$E$6:$E$15,MATCH(VALUE($A276&amp;""),계정대체기준!$D$6:$D$15,0)),0),0))</f>
        <v/>
      </c>
      <c r="AH276" s="64">
        <f>IF($A276="","",IF(AD276=0,"",IF(OR(COUNTIF(계정대체기준!$A$77:$A$86,$N276)&gt;0,ISNUMBER(MATCH($X276,계정대체기준!$D$77:$D$86,0)),ISNUMBER(MATCH($F276,계정대체기준!$D$77:$D$86,0))),"Y","N")))</f>
        <v/>
      </c>
    </row>
    <row r="277">
      <c r="A277" s="92" t="n">
        <v>2025</v>
      </c>
      <c r="B277" s="92" t="n">
        <v>2</v>
      </c>
      <c r="C277" s="92" t="inlineStr">
        <is>
          <t>5100000273</t>
        </is>
      </c>
      <c r="D277" s="95" t="n">
        <v>45693</v>
      </c>
      <c r="E277" s="92" t="inlineStr">
        <is>
          <t>KR</t>
        </is>
      </c>
      <c r="F277" s="92" t="n">
        <v>62101000</v>
      </c>
      <c r="G277" s="92" t="n">
        <v>1502</v>
      </c>
      <c r="H277" s="93" t="n">
        <v>526000</v>
      </c>
      <c r="I277" s="92" t="inlineStr">
        <is>
          <t>2월 국내출장 - L여행사</t>
        </is>
      </c>
      <c r="J277" s="92" t="inlineStr">
        <is>
          <t>V10018</t>
        </is>
      </c>
      <c r="K277" s="92" t="inlineStr">
        <is>
          <t>L여행사</t>
        </is>
      </c>
      <c r="M277" s="9">
        <f>IF($A277="","",VALUE($A277&amp;"")*12+VALUE($B277&amp;""))</f>
        <v/>
      </c>
      <c r="N277" s="64">
        <f>IF($A277="","",IFERROR(INDEX(부서매핑!$C$5:$C$504,MATCH($G277&amp;"",부서매핑!$A$5:$A$504,0)),"미매핑"))</f>
        <v/>
      </c>
      <c r="O277" s="9">
        <f>IF($A277="","",N277&amp;"|"&amp;$F277)</f>
        <v/>
      </c>
      <c r="P277" s="94">
        <f>IF($A277="",0,$H277*설정!$C$23)</f>
        <v/>
      </c>
      <c r="Q277" s="64">
        <f>IF($A277="","",IF(O277&lt;&gt;원인분석!$C$9,"",IF(AND(M277&gt;=원인분석!$C$10,M277&lt;=원인분석!$C$11),"당기",IF(AND(M277&gt;=원인분석!$C$12,M277&lt;=원인분석!$C$13),"비교",""))))</f>
        <v/>
      </c>
      <c r="R277" s="9">
        <f>IF(Q277="","",$K277&amp;"")</f>
        <v/>
      </c>
      <c r="S277" s="9">
        <f>IF(Q277="","",IF(MATCH(R277,$R$5:$R$100000,0)=ROW()-4,ROW(),""))</f>
        <v/>
      </c>
      <c r="T277" s="9">
        <f>IF(Q277="당기",ABS(P277)+ROW()/1000000000,"")</f>
        <v/>
      </c>
      <c r="U277" s="9">
        <f>IF(Q277="비교",ABS(P277)+ROW()/1000000000,"")</f>
        <v/>
      </c>
      <c r="V277" s="64">
        <f>IF($A277="","",IF(COUNTIF(변동분석!$E$7:$E$506,O277)&gt;0,"Y","N"))</f>
        <v/>
      </c>
      <c r="W277" s="64">
        <f>IF($A277="","",IFERROR(INDEX(계정매핑!$D$5:$D$504,MATCH($F277&amp;"",계정매핑!$A$5:$A$504,0)),"미매핑"))</f>
        <v/>
      </c>
      <c r="X277" s="9">
        <f>IF($A277="","",$F277&amp;"")</f>
        <v/>
      </c>
      <c r="Y277" s="94">
        <f>IF($A277="",0,IF(AE277="직접",IF(AF277="비귀속",$P277,0),$P277*(1-AG277)*IFERROR(INDEX(계정대체기준!$F$20:$F$49,MATCH($N277,계정대체기준!$A$20:$A$49,0)),1)))</f>
        <v/>
      </c>
      <c r="Z277" s="94">
        <f>IF($A277="",0,IF(AE277="직접",IF(AF277="신계약비",$P277,0),$P277*(1-AG277)*IFERROR(INDEX(계정대체기준!$C$20:$C$49,MATCH($N277,계정대체기준!$A$20:$A$49,0)),0)))</f>
        <v/>
      </c>
      <c r="AA277" s="94">
        <f>IF($A277="",0,IF(AE277="직접",IF(OR(AF277="유지비",AF277="손해조사비"),$P277,0),$P277*(1-AG277)*IFERROR(INDEX(계정대체기준!$D$20:$D$49,MATCH($N277,계정대체기준!$A$20:$A$49,0)),0)))</f>
        <v/>
      </c>
      <c r="AB277" s="94">
        <f>IF($A277="",0,IF(AE277="직접",IF(AF277="수금비",$P277,0),$P277*(1-AG277)*IFERROR(INDEX(계정대체기준!$E$20:$E$49,MATCH($N277,계정대체기준!$A$20:$A$49,0)),0)))</f>
        <v/>
      </c>
      <c r="AC277" s="9">
        <f>IF(AND($A277&lt;&gt;"",M277=설정!$C$20,Z277&gt;0),Z277+ROW()/1000000000,"")</f>
        <v/>
      </c>
      <c r="AD277" s="94">
        <f>IF($A277="",0,$P277*AG277)</f>
        <v/>
      </c>
      <c r="AE277" s="64">
        <f>IF($A277="","",IFERROR(INDEX(계정매핑!$E$5:$E$504,MATCH($F277&amp;"",계정매핑!$A$5:$A$504,0))&amp;"","공통비"))</f>
        <v/>
      </c>
      <c r="AF277" s="64">
        <f>IF($A277="","",IF(AE277="직접",IFERROR(INDEX(계정매핑!$F$5:$F$504,MATCH($F277&amp;"",계정매핑!$A$5:$A$504,0))&amp;"","비귀속"),""))</f>
        <v/>
      </c>
      <c r="AG277" s="96">
        <f>IF($A277="",0,IF(AND(AE277&lt;&gt;"직접",IFERROR(INDEX(계정매핑!$G$5:$G$504,MATCH($F277&amp;"",계정매핑!$A$5:$A$504,0))&amp;"","")="유지비",COUNTIF(계정대체기준!$A$6:$A$15,$N277)&gt;0),IFERROR(INDEX(계정대체기준!$E$6:$E$15,MATCH(VALUE($A277&amp;""),계정대체기준!$D$6:$D$15,0)),0),0))</f>
        <v/>
      </c>
      <c r="AH277" s="64">
        <f>IF($A277="","",IF(AD277=0,"",IF(OR(COUNTIF(계정대체기준!$A$77:$A$86,$N277)&gt;0,ISNUMBER(MATCH($X277,계정대체기준!$D$77:$D$86,0)),ISNUMBER(MATCH($F277,계정대체기준!$D$77:$D$86,0))),"Y","N")))</f>
        <v/>
      </c>
    </row>
    <row r="278">
      <c r="A278" s="92" t="n">
        <v>2025</v>
      </c>
      <c r="B278" s="92" t="n">
        <v>2</v>
      </c>
      <c r="C278" s="92" t="inlineStr">
        <is>
          <t>5100000274</t>
        </is>
      </c>
      <c r="D278" s="95" t="n">
        <v>45693</v>
      </c>
      <c r="E278" s="92" t="inlineStr">
        <is>
          <t>KR</t>
        </is>
      </c>
      <c r="F278" s="92" t="n">
        <v>62101000</v>
      </c>
      <c r="G278" s="92" t="n">
        <v>1701</v>
      </c>
      <c r="H278" s="93" t="n">
        <v>202000</v>
      </c>
      <c r="I278" s="92" t="inlineStr">
        <is>
          <t>2월 국내출장 - M항공</t>
        </is>
      </c>
      <c r="J278" s="92" t="inlineStr">
        <is>
          <t>V10001</t>
        </is>
      </c>
      <c r="K278" s="92" t="inlineStr">
        <is>
          <t>M항공</t>
        </is>
      </c>
      <c r="M278" s="9">
        <f>IF($A278="","",VALUE($A278&amp;"")*12+VALUE($B278&amp;""))</f>
        <v/>
      </c>
      <c r="N278" s="64">
        <f>IF($A278="","",IFERROR(INDEX(부서매핑!$C$5:$C$504,MATCH($G278&amp;"",부서매핑!$A$5:$A$504,0)),"미매핑"))</f>
        <v/>
      </c>
      <c r="O278" s="9">
        <f>IF($A278="","",N278&amp;"|"&amp;$F278)</f>
        <v/>
      </c>
      <c r="P278" s="94">
        <f>IF($A278="",0,$H278*설정!$C$23)</f>
        <v/>
      </c>
      <c r="Q278" s="64">
        <f>IF($A278="","",IF(O278&lt;&gt;원인분석!$C$9,"",IF(AND(M278&gt;=원인분석!$C$10,M278&lt;=원인분석!$C$11),"당기",IF(AND(M278&gt;=원인분석!$C$12,M278&lt;=원인분석!$C$13),"비교",""))))</f>
        <v/>
      </c>
      <c r="R278" s="9">
        <f>IF(Q278="","",$K278&amp;"")</f>
        <v/>
      </c>
      <c r="S278" s="9">
        <f>IF(Q278="","",IF(MATCH(R278,$R$5:$R$100000,0)=ROW()-4,ROW(),""))</f>
        <v/>
      </c>
      <c r="T278" s="9">
        <f>IF(Q278="당기",ABS(P278)+ROW()/1000000000,"")</f>
        <v/>
      </c>
      <c r="U278" s="9">
        <f>IF(Q278="비교",ABS(P278)+ROW()/1000000000,"")</f>
        <v/>
      </c>
      <c r="V278" s="64">
        <f>IF($A278="","",IF(COUNTIF(변동분석!$E$7:$E$506,O278)&gt;0,"Y","N"))</f>
        <v/>
      </c>
      <c r="W278" s="64">
        <f>IF($A278="","",IFERROR(INDEX(계정매핑!$D$5:$D$504,MATCH($F278&amp;"",계정매핑!$A$5:$A$504,0)),"미매핑"))</f>
        <v/>
      </c>
      <c r="X278" s="9">
        <f>IF($A278="","",$F278&amp;"")</f>
        <v/>
      </c>
      <c r="Y278" s="94">
        <f>IF($A278="",0,IF(AE278="직접",IF(AF278="비귀속",$P278,0),$P278*(1-AG278)*IFERROR(INDEX(계정대체기준!$F$20:$F$49,MATCH($N278,계정대체기준!$A$20:$A$49,0)),1)))</f>
        <v/>
      </c>
      <c r="Z278" s="94">
        <f>IF($A278="",0,IF(AE278="직접",IF(AF278="신계약비",$P278,0),$P278*(1-AG278)*IFERROR(INDEX(계정대체기준!$C$20:$C$49,MATCH($N278,계정대체기준!$A$20:$A$49,0)),0)))</f>
        <v/>
      </c>
      <c r="AA278" s="94">
        <f>IF($A278="",0,IF(AE278="직접",IF(OR(AF278="유지비",AF278="손해조사비"),$P278,0),$P278*(1-AG278)*IFERROR(INDEX(계정대체기준!$D$20:$D$49,MATCH($N278,계정대체기준!$A$20:$A$49,0)),0)))</f>
        <v/>
      </c>
      <c r="AB278" s="94">
        <f>IF($A278="",0,IF(AE278="직접",IF(AF278="수금비",$P278,0),$P278*(1-AG278)*IFERROR(INDEX(계정대체기준!$E$20:$E$49,MATCH($N278,계정대체기준!$A$20:$A$49,0)),0)))</f>
        <v/>
      </c>
      <c r="AC278" s="9">
        <f>IF(AND($A278&lt;&gt;"",M278=설정!$C$20,Z278&gt;0),Z278+ROW()/1000000000,"")</f>
        <v/>
      </c>
      <c r="AD278" s="94">
        <f>IF($A278="",0,$P278*AG278)</f>
        <v/>
      </c>
      <c r="AE278" s="64">
        <f>IF($A278="","",IFERROR(INDEX(계정매핑!$E$5:$E$504,MATCH($F278&amp;"",계정매핑!$A$5:$A$504,0))&amp;"","공통비"))</f>
        <v/>
      </c>
      <c r="AF278" s="64">
        <f>IF($A278="","",IF(AE278="직접",IFERROR(INDEX(계정매핑!$F$5:$F$504,MATCH($F278&amp;"",계정매핑!$A$5:$A$504,0))&amp;"","비귀속"),""))</f>
        <v/>
      </c>
      <c r="AG278" s="96">
        <f>IF($A278="",0,IF(AND(AE278&lt;&gt;"직접",IFERROR(INDEX(계정매핑!$G$5:$G$504,MATCH($F278&amp;"",계정매핑!$A$5:$A$504,0))&amp;"","")="유지비",COUNTIF(계정대체기준!$A$6:$A$15,$N278)&gt;0),IFERROR(INDEX(계정대체기준!$E$6:$E$15,MATCH(VALUE($A278&amp;""),계정대체기준!$D$6:$D$15,0)),0),0))</f>
        <v/>
      </c>
      <c r="AH278" s="64">
        <f>IF($A278="","",IF(AD278=0,"",IF(OR(COUNTIF(계정대체기준!$A$77:$A$86,$N278)&gt;0,ISNUMBER(MATCH($X278,계정대체기준!$D$77:$D$86,0)),ISNUMBER(MATCH($F278,계정대체기준!$D$77:$D$86,0))),"Y","N")))</f>
        <v/>
      </c>
    </row>
    <row r="279">
      <c r="A279" s="92" t="n">
        <v>2025</v>
      </c>
      <c r="B279" s="92" t="n">
        <v>2</v>
      </c>
      <c r="C279" s="92" t="inlineStr">
        <is>
          <t>5100000275</t>
        </is>
      </c>
      <c r="D279" s="95" t="n">
        <v>45693</v>
      </c>
      <c r="E279" s="92" t="inlineStr">
        <is>
          <t>KR</t>
        </is>
      </c>
      <c r="F279" s="92" t="n">
        <v>62102000</v>
      </c>
      <c r="G279" s="92" t="n">
        <v>1602</v>
      </c>
      <c r="H279" s="93" t="n">
        <v>273000</v>
      </c>
      <c r="I279" s="92" t="inlineStr">
        <is>
          <t>2월 해외출장 - N호텔</t>
        </is>
      </c>
      <c r="J279" s="92" t="inlineStr">
        <is>
          <t>V10009</t>
        </is>
      </c>
      <c r="K279" s="92" t="inlineStr">
        <is>
          <t>N호텔</t>
        </is>
      </c>
      <c r="M279" s="9">
        <f>IF($A279="","",VALUE($A279&amp;"")*12+VALUE($B279&amp;""))</f>
        <v/>
      </c>
      <c r="N279" s="64">
        <f>IF($A279="","",IFERROR(INDEX(부서매핑!$C$5:$C$504,MATCH($G279&amp;"",부서매핑!$A$5:$A$504,0)),"미매핑"))</f>
        <v/>
      </c>
      <c r="O279" s="9">
        <f>IF($A279="","",N279&amp;"|"&amp;$F279)</f>
        <v/>
      </c>
      <c r="P279" s="94">
        <f>IF($A279="",0,$H279*설정!$C$23)</f>
        <v/>
      </c>
      <c r="Q279" s="64">
        <f>IF($A279="","",IF(O279&lt;&gt;원인분석!$C$9,"",IF(AND(M279&gt;=원인분석!$C$10,M279&lt;=원인분석!$C$11),"당기",IF(AND(M279&gt;=원인분석!$C$12,M279&lt;=원인분석!$C$13),"비교",""))))</f>
        <v/>
      </c>
      <c r="R279" s="9">
        <f>IF(Q279="","",$K279&amp;"")</f>
        <v/>
      </c>
      <c r="S279" s="9">
        <f>IF(Q279="","",IF(MATCH(R279,$R$5:$R$100000,0)=ROW()-4,ROW(),""))</f>
        <v/>
      </c>
      <c r="T279" s="9">
        <f>IF(Q279="당기",ABS(P279)+ROW()/1000000000,"")</f>
        <v/>
      </c>
      <c r="U279" s="9">
        <f>IF(Q279="비교",ABS(P279)+ROW()/1000000000,"")</f>
        <v/>
      </c>
      <c r="V279" s="64">
        <f>IF($A279="","",IF(COUNTIF(변동분석!$E$7:$E$506,O279)&gt;0,"Y","N"))</f>
        <v/>
      </c>
      <c r="W279" s="64">
        <f>IF($A279="","",IFERROR(INDEX(계정매핑!$D$5:$D$504,MATCH($F279&amp;"",계정매핑!$A$5:$A$504,0)),"미매핑"))</f>
        <v/>
      </c>
      <c r="X279" s="9">
        <f>IF($A279="","",$F279&amp;"")</f>
        <v/>
      </c>
      <c r="Y279" s="94">
        <f>IF($A279="",0,IF(AE279="직접",IF(AF279="비귀속",$P279,0),$P279*(1-AG279)*IFERROR(INDEX(계정대체기준!$F$20:$F$49,MATCH($N279,계정대체기준!$A$20:$A$49,0)),1)))</f>
        <v/>
      </c>
      <c r="Z279" s="94">
        <f>IF($A279="",0,IF(AE279="직접",IF(AF279="신계약비",$P279,0),$P279*(1-AG279)*IFERROR(INDEX(계정대체기준!$C$20:$C$49,MATCH($N279,계정대체기준!$A$20:$A$49,0)),0)))</f>
        <v/>
      </c>
      <c r="AA279" s="94">
        <f>IF($A279="",0,IF(AE279="직접",IF(OR(AF279="유지비",AF279="손해조사비"),$P279,0),$P279*(1-AG279)*IFERROR(INDEX(계정대체기준!$D$20:$D$49,MATCH($N279,계정대체기준!$A$20:$A$49,0)),0)))</f>
        <v/>
      </c>
      <c r="AB279" s="94">
        <f>IF($A279="",0,IF(AE279="직접",IF(AF279="수금비",$P279,0),$P279*(1-AG279)*IFERROR(INDEX(계정대체기준!$E$20:$E$49,MATCH($N279,계정대체기준!$A$20:$A$49,0)),0)))</f>
        <v/>
      </c>
      <c r="AC279" s="9">
        <f>IF(AND($A279&lt;&gt;"",M279=설정!$C$20,Z279&gt;0),Z279+ROW()/1000000000,"")</f>
        <v/>
      </c>
      <c r="AD279" s="94">
        <f>IF($A279="",0,$P279*AG279)</f>
        <v/>
      </c>
      <c r="AE279" s="64">
        <f>IF($A279="","",IFERROR(INDEX(계정매핑!$E$5:$E$504,MATCH($F279&amp;"",계정매핑!$A$5:$A$504,0))&amp;"","공통비"))</f>
        <v/>
      </c>
      <c r="AF279" s="64">
        <f>IF($A279="","",IF(AE279="직접",IFERROR(INDEX(계정매핑!$F$5:$F$504,MATCH($F279&amp;"",계정매핑!$A$5:$A$504,0))&amp;"","비귀속"),""))</f>
        <v/>
      </c>
      <c r="AG279" s="96">
        <f>IF($A279="",0,IF(AND(AE279&lt;&gt;"직접",IFERROR(INDEX(계정매핑!$G$5:$G$504,MATCH($F279&amp;"",계정매핑!$A$5:$A$504,0))&amp;"","")="유지비",COUNTIF(계정대체기준!$A$6:$A$15,$N279)&gt;0),IFERROR(INDEX(계정대체기준!$E$6:$E$15,MATCH(VALUE($A279&amp;""),계정대체기준!$D$6:$D$15,0)),0),0))</f>
        <v/>
      </c>
      <c r="AH279" s="64">
        <f>IF($A279="","",IF(AD279=0,"",IF(OR(COUNTIF(계정대체기준!$A$77:$A$86,$N279)&gt;0,ISNUMBER(MATCH($X279,계정대체기준!$D$77:$D$86,0)),ISNUMBER(MATCH($F279,계정대체기준!$D$77:$D$86,0))),"Y","N")))</f>
        <v/>
      </c>
    </row>
    <row r="280">
      <c r="A280" s="92" t="n">
        <v>2025</v>
      </c>
      <c r="B280" s="92" t="n">
        <v>2</v>
      </c>
      <c r="C280" s="92" t="inlineStr">
        <is>
          <t>5100000276</t>
        </is>
      </c>
      <c r="D280" s="95" t="n">
        <v>45693</v>
      </c>
      <c r="E280" s="92" t="inlineStr">
        <is>
          <t>KR</t>
        </is>
      </c>
      <c r="F280" s="92" t="n">
        <v>62102000</v>
      </c>
      <c r="G280" s="92" t="n">
        <v>1951</v>
      </c>
      <c r="H280" s="93" t="n">
        <v>60000</v>
      </c>
      <c r="I280" s="92" t="inlineStr">
        <is>
          <t>2월 해외출장 - N호텔</t>
        </is>
      </c>
      <c r="J280" s="92" t="inlineStr">
        <is>
          <t>V10009</t>
        </is>
      </c>
      <c r="K280" s="92" t="inlineStr">
        <is>
          <t>N호텔</t>
        </is>
      </c>
      <c r="M280" s="9">
        <f>IF($A280="","",VALUE($A280&amp;"")*12+VALUE($B280&amp;""))</f>
        <v/>
      </c>
      <c r="N280" s="64">
        <f>IF($A280="","",IFERROR(INDEX(부서매핑!$C$5:$C$504,MATCH($G280&amp;"",부서매핑!$A$5:$A$504,0)),"미매핑"))</f>
        <v/>
      </c>
      <c r="O280" s="9">
        <f>IF($A280="","",N280&amp;"|"&amp;$F280)</f>
        <v/>
      </c>
      <c r="P280" s="94">
        <f>IF($A280="",0,$H280*설정!$C$23)</f>
        <v/>
      </c>
      <c r="Q280" s="64">
        <f>IF($A280="","",IF(O280&lt;&gt;원인분석!$C$9,"",IF(AND(M280&gt;=원인분석!$C$10,M280&lt;=원인분석!$C$11),"당기",IF(AND(M280&gt;=원인분석!$C$12,M280&lt;=원인분석!$C$13),"비교",""))))</f>
        <v/>
      </c>
      <c r="R280" s="9">
        <f>IF(Q280="","",$K280&amp;"")</f>
        <v/>
      </c>
      <c r="S280" s="9">
        <f>IF(Q280="","",IF(MATCH(R280,$R$5:$R$100000,0)=ROW()-4,ROW(),""))</f>
        <v/>
      </c>
      <c r="T280" s="9">
        <f>IF(Q280="당기",ABS(P280)+ROW()/1000000000,"")</f>
        <v/>
      </c>
      <c r="U280" s="9">
        <f>IF(Q280="비교",ABS(P280)+ROW()/1000000000,"")</f>
        <v/>
      </c>
      <c r="V280" s="64">
        <f>IF($A280="","",IF(COUNTIF(변동분석!$E$7:$E$506,O280)&gt;0,"Y","N"))</f>
        <v/>
      </c>
      <c r="W280" s="64">
        <f>IF($A280="","",IFERROR(INDEX(계정매핑!$D$5:$D$504,MATCH($F280&amp;"",계정매핑!$A$5:$A$504,0)),"미매핑"))</f>
        <v/>
      </c>
      <c r="X280" s="9">
        <f>IF($A280="","",$F280&amp;"")</f>
        <v/>
      </c>
      <c r="Y280" s="94">
        <f>IF($A280="",0,IF(AE280="직접",IF(AF280="비귀속",$P280,0),$P280*(1-AG280)*IFERROR(INDEX(계정대체기준!$F$20:$F$49,MATCH($N280,계정대체기준!$A$20:$A$49,0)),1)))</f>
        <v/>
      </c>
      <c r="Z280" s="94">
        <f>IF($A280="",0,IF(AE280="직접",IF(AF280="신계약비",$P280,0),$P280*(1-AG280)*IFERROR(INDEX(계정대체기준!$C$20:$C$49,MATCH($N280,계정대체기준!$A$20:$A$49,0)),0)))</f>
        <v/>
      </c>
      <c r="AA280" s="94">
        <f>IF($A280="",0,IF(AE280="직접",IF(OR(AF280="유지비",AF280="손해조사비"),$P280,0),$P280*(1-AG280)*IFERROR(INDEX(계정대체기준!$D$20:$D$49,MATCH($N280,계정대체기준!$A$20:$A$49,0)),0)))</f>
        <v/>
      </c>
      <c r="AB280" s="94">
        <f>IF($A280="",0,IF(AE280="직접",IF(AF280="수금비",$P280,0),$P280*(1-AG280)*IFERROR(INDEX(계정대체기준!$E$20:$E$49,MATCH($N280,계정대체기준!$A$20:$A$49,0)),0)))</f>
        <v/>
      </c>
      <c r="AC280" s="9">
        <f>IF(AND($A280&lt;&gt;"",M280=설정!$C$20,Z280&gt;0),Z280+ROW()/1000000000,"")</f>
        <v/>
      </c>
      <c r="AD280" s="94">
        <f>IF($A280="",0,$P280*AG280)</f>
        <v/>
      </c>
      <c r="AE280" s="64">
        <f>IF($A280="","",IFERROR(INDEX(계정매핑!$E$5:$E$504,MATCH($F280&amp;"",계정매핑!$A$5:$A$504,0))&amp;"","공통비"))</f>
        <v/>
      </c>
      <c r="AF280" s="64">
        <f>IF($A280="","",IF(AE280="직접",IFERROR(INDEX(계정매핑!$F$5:$F$504,MATCH($F280&amp;"",계정매핑!$A$5:$A$504,0))&amp;"","비귀속"),""))</f>
        <v/>
      </c>
      <c r="AG280" s="96">
        <f>IF($A280="",0,IF(AND(AE280&lt;&gt;"직접",IFERROR(INDEX(계정매핑!$G$5:$G$504,MATCH($F280&amp;"",계정매핑!$A$5:$A$504,0))&amp;"","")="유지비",COUNTIF(계정대체기준!$A$6:$A$15,$N280)&gt;0),IFERROR(INDEX(계정대체기준!$E$6:$E$15,MATCH(VALUE($A280&amp;""),계정대체기준!$D$6:$D$15,0)),0),0))</f>
        <v/>
      </c>
      <c r="AH280" s="64">
        <f>IF($A280="","",IF(AD280=0,"",IF(OR(COUNTIF(계정대체기준!$A$77:$A$86,$N280)&gt;0,ISNUMBER(MATCH($X280,계정대체기준!$D$77:$D$86,0)),ISNUMBER(MATCH($F280,계정대체기준!$D$77:$D$86,0))),"Y","N")))</f>
        <v/>
      </c>
    </row>
    <row r="281">
      <c r="A281" s="92" t="n">
        <v>2025</v>
      </c>
      <c r="B281" s="92" t="n">
        <v>2</v>
      </c>
      <c r="C281" s="92" t="inlineStr">
        <is>
          <t>5100000277</t>
        </is>
      </c>
      <c r="D281" s="95" t="n">
        <v>45693</v>
      </c>
      <c r="E281" s="92" t="inlineStr">
        <is>
          <t>KR</t>
        </is>
      </c>
      <c r="F281" s="92" t="n">
        <v>62501000</v>
      </c>
      <c r="G281" s="92" t="n">
        <v>1602</v>
      </c>
      <c r="H281" s="93" t="n">
        <v>282000</v>
      </c>
      <c r="I281" s="92" t="inlineStr">
        <is>
          <t>2월 회의 다과 - T케이터링</t>
        </is>
      </c>
      <c r="J281" s="92" t="inlineStr">
        <is>
          <t>V10005</t>
        </is>
      </c>
      <c r="K281" s="92" t="inlineStr">
        <is>
          <t>T케이터링</t>
        </is>
      </c>
      <c r="M281" s="9">
        <f>IF($A281="","",VALUE($A281&amp;"")*12+VALUE($B281&amp;""))</f>
        <v/>
      </c>
      <c r="N281" s="64">
        <f>IF($A281="","",IFERROR(INDEX(부서매핑!$C$5:$C$504,MATCH($G281&amp;"",부서매핑!$A$5:$A$504,0)),"미매핑"))</f>
        <v/>
      </c>
      <c r="O281" s="9">
        <f>IF($A281="","",N281&amp;"|"&amp;$F281)</f>
        <v/>
      </c>
      <c r="P281" s="94">
        <f>IF($A281="",0,$H281*설정!$C$23)</f>
        <v/>
      </c>
      <c r="Q281" s="64">
        <f>IF($A281="","",IF(O281&lt;&gt;원인분석!$C$9,"",IF(AND(M281&gt;=원인분석!$C$10,M281&lt;=원인분석!$C$11),"당기",IF(AND(M281&gt;=원인분석!$C$12,M281&lt;=원인분석!$C$13),"비교",""))))</f>
        <v/>
      </c>
      <c r="R281" s="9">
        <f>IF(Q281="","",$K281&amp;"")</f>
        <v/>
      </c>
      <c r="S281" s="9">
        <f>IF(Q281="","",IF(MATCH(R281,$R$5:$R$100000,0)=ROW()-4,ROW(),""))</f>
        <v/>
      </c>
      <c r="T281" s="9">
        <f>IF(Q281="당기",ABS(P281)+ROW()/1000000000,"")</f>
        <v/>
      </c>
      <c r="U281" s="9">
        <f>IF(Q281="비교",ABS(P281)+ROW()/1000000000,"")</f>
        <v/>
      </c>
      <c r="V281" s="64">
        <f>IF($A281="","",IF(COUNTIF(변동분석!$E$7:$E$506,O281)&gt;0,"Y","N"))</f>
        <v/>
      </c>
      <c r="W281" s="64">
        <f>IF($A281="","",IFERROR(INDEX(계정매핑!$D$5:$D$504,MATCH($F281&amp;"",계정매핑!$A$5:$A$504,0)),"미매핑"))</f>
        <v/>
      </c>
      <c r="X281" s="9">
        <f>IF($A281="","",$F281&amp;"")</f>
        <v/>
      </c>
      <c r="Y281" s="94">
        <f>IF($A281="",0,IF(AE281="직접",IF(AF281="비귀속",$P281,0),$P281*(1-AG281)*IFERROR(INDEX(계정대체기준!$F$20:$F$49,MATCH($N281,계정대체기준!$A$20:$A$49,0)),1)))</f>
        <v/>
      </c>
      <c r="Z281" s="94">
        <f>IF($A281="",0,IF(AE281="직접",IF(AF281="신계약비",$P281,0),$P281*(1-AG281)*IFERROR(INDEX(계정대체기준!$C$20:$C$49,MATCH($N281,계정대체기준!$A$20:$A$49,0)),0)))</f>
        <v/>
      </c>
      <c r="AA281" s="94">
        <f>IF($A281="",0,IF(AE281="직접",IF(OR(AF281="유지비",AF281="손해조사비"),$P281,0),$P281*(1-AG281)*IFERROR(INDEX(계정대체기준!$D$20:$D$49,MATCH($N281,계정대체기준!$A$20:$A$49,0)),0)))</f>
        <v/>
      </c>
      <c r="AB281" s="94">
        <f>IF($A281="",0,IF(AE281="직접",IF(AF281="수금비",$P281,0),$P281*(1-AG281)*IFERROR(INDEX(계정대체기준!$E$20:$E$49,MATCH($N281,계정대체기준!$A$20:$A$49,0)),0)))</f>
        <v/>
      </c>
      <c r="AC281" s="9">
        <f>IF(AND($A281&lt;&gt;"",M281=설정!$C$20,Z281&gt;0),Z281+ROW()/1000000000,"")</f>
        <v/>
      </c>
      <c r="AD281" s="94">
        <f>IF($A281="",0,$P281*AG281)</f>
        <v/>
      </c>
      <c r="AE281" s="64">
        <f>IF($A281="","",IFERROR(INDEX(계정매핑!$E$5:$E$504,MATCH($F281&amp;"",계정매핑!$A$5:$A$504,0))&amp;"","공통비"))</f>
        <v/>
      </c>
      <c r="AF281" s="64">
        <f>IF($A281="","",IF(AE281="직접",IFERROR(INDEX(계정매핑!$F$5:$F$504,MATCH($F281&amp;"",계정매핑!$A$5:$A$504,0))&amp;"","비귀속"),""))</f>
        <v/>
      </c>
      <c r="AG281" s="96">
        <f>IF($A281="",0,IF(AND(AE281&lt;&gt;"직접",IFERROR(INDEX(계정매핑!$G$5:$G$504,MATCH($F281&amp;"",계정매핑!$A$5:$A$504,0))&amp;"","")="유지비",COUNTIF(계정대체기준!$A$6:$A$15,$N281)&gt;0),IFERROR(INDEX(계정대체기준!$E$6:$E$15,MATCH(VALUE($A281&amp;""),계정대체기준!$D$6:$D$15,0)),0),0))</f>
        <v/>
      </c>
      <c r="AH281" s="64">
        <f>IF($A281="","",IF(AD281=0,"",IF(OR(COUNTIF(계정대체기준!$A$77:$A$86,$N281)&gt;0,ISNUMBER(MATCH($X281,계정대체기준!$D$77:$D$86,0)),ISNUMBER(MATCH($F281,계정대체기준!$D$77:$D$86,0))),"Y","N")))</f>
        <v/>
      </c>
    </row>
    <row r="282">
      <c r="A282" s="92" t="n">
        <v>2025</v>
      </c>
      <c r="B282" s="92" t="n">
        <v>2</v>
      </c>
      <c r="C282" s="92" t="inlineStr">
        <is>
          <t>5100000278</t>
        </is>
      </c>
      <c r="D282" s="95" t="n">
        <v>45693</v>
      </c>
      <c r="E282" s="92" t="inlineStr">
        <is>
          <t>KR</t>
        </is>
      </c>
      <c r="F282" s="92" t="n">
        <v>62901000</v>
      </c>
      <c r="G282" s="92" t="n">
        <v>1801</v>
      </c>
      <c r="H282" s="93" t="n">
        <v>12502000</v>
      </c>
      <c r="I282" s="92" t="inlineStr">
        <is>
          <t>2월 자문 수수료 - K회계법인</t>
        </is>
      </c>
      <c r="J282" s="92" t="inlineStr">
        <is>
          <t>V10011</t>
        </is>
      </c>
      <c r="K282" s="92" t="inlineStr">
        <is>
          <t>K회계법인</t>
        </is>
      </c>
      <c r="M282" s="9">
        <f>IF($A282="","",VALUE($A282&amp;"")*12+VALUE($B282&amp;""))</f>
        <v/>
      </c>
      <c r="N282" s="64">
        <f>IF($A282="","",IFERROR(INDEX(부서매핑!$C$5:$C$504,MATCH($G282&amp;"",부서매핑!$A$5:$A$504,0)),"미매핑"))</f>
        <v/>
      </c>
      <c r="O282" s="9">
        <f>IF($A282="","",N282&amp;"|"&amp;$F282)</f>
        <v/>
      </c>
      <c r="P282" s="94">
        <f>IF($A282="",0,$H282*설정!$C$23)</f>
        <v/>
      </c>
      <c r="Q282" s="64">
        <f>IF($A282="","",IF(O282&lt;&gt;원인분석!$C$9,"",IF(AND(M282&gt;=원인분석!$C$10,M282&lt;=원인분석!$C$11),"당기",IF(AND(M282&gt;=원인분석!$C$12,M282&lt;=원인분석!$C$13),"비교",""))))</f>
        <v/>
      </c>
      <c r="R282" s="9">
        <f>IF(Q282="","",$K282&amp;"")</f>
        <v/>
      </c>
      <c r="S282" s="9">
        <f>IF(Q282="","",IF(MATCH(R282,$R$5:$R$100000,0)=ROW()-4,ROW(),""))</f>
        <v/>
      </c>
      <c r="T282" s="9">
        <f>IF(Q282="당기",ABS(P282)+ROW()/1000000000,"")</f>
        <v/>
      </c>
      <c r="U282" s="9">
        <f>IF(Q282="비교",ABS(P282)+ROW()/1000000000,"")</f>
        <v/>
      </c>
      <c r="V282" s="64">
        <f>IF($A282="","",IF(COUNTIF(변동분석!$E$7:$E$506,O282)&gt;0,"Y","N"))</f>
        <v/>
      </c>
      <c r="W282" s="64">
        <f>IF($A282="","",IFERROR(INDEX(계정매핑!$D$5:$D$504,MATCH($F282&amp;"",계정매핑!$A$5:$A$504,0)),"미매핑"))</f>
        <v/>
      </c>
      <c r="X282" s="9">
        <f>IF($A282="","",$F282&amp;"")</f>
        <v/>
      </c>
      <c r="Y282" s="94">
        <f>IF($A282="",0,IF(AE282="직접",IF(AF282="비귀속",$P282,0),$P282*(1-AG282)*IFERROR(INDEX(계정대체기준!$F$20:$F$49,MATCH($N282,계정대체기준!$A$20:$A$49,0)),1)))</f>
        <v/>
      </c>
      <c r="Z282" s="94">
        <f>IF($A282="",0,IF(AE282="직접",IF(AF282="신계약비",$P282,0),$P282*(1-AG282)*IFERROR(INDEX(계정대체기준!$C$20:$C$49,MATCH($N282,계정대체기준!$A$20:$A$49,0)),0)))</f>
        <v/>
      </c>
      <c r="AA282" s="94">
        <f>IF($A282="",0,IF(AE282="직접",IF(OR(AF282="유지비",AF282="손해조사비"),$P282,0),$P282*(1-AG282)*IFERROR(INDEX(계정대체기준!$D$20:$D$49,MATCH($N282,계정대체기준!$A$20:$A$49,0)),0)))</f>
        <v/>
      </c>
      <c r="AB282" s="94">
        <f>IF($A282="",0,IF(AE282="직접",IF(AF282="수금비",$P282,0),$P282*(1-AG282)*IFERROR(INDEX(계정대체기준!$E$20:$E$49,MATCH($N282,계정대체기준!$A$20:$A$49,0)),0)))</f>
        <v/>
      </c>
      <c r="AC282" s="9">
        <f>IF(AND($A282&lt;&gt;"",M282=설정!$C$20,Z282&gt;0),Z282+ROW()/1000000000,"")</f>
        <v/>
      </c>
      <c r="AD282" s="94">
        <f>IF($A282="",0,$P282*AG282)</f>
        <v/>
      </c>
      <c r="AE282" s="64">
        <f>IF($A282="","",IFERROR(INDEX(계정매핑!$E$5:$E$504,MATCH($F282&amp;"",계정매핑!$A$5:$A$504,0))&amp;"","공통비"))</f>
        <v/>
      </c>
      <c r="AF282" s="64">
        <f>IF($A282="","",IF(AE282="직접",IFERROR(INDEX(계정매핑!$F$5:$F$504,MATCH($F282&amp;"",계정매핑!$A$5:$A$504,0))&amp;"","비귀속"),""))</f>
        <v/>
      </c>
      <c r="AG282" s="96">
        <f>IF($A282="",0,IF(AND(AE282&lt;&gt;"직접",IFERROR(INDEX(계정매핑!$G$5:$G$504,MATCH($F282&amp;"",계정매핑!$A$5:$A$504,0))&amp;"","")="유지비",COUNTIF(계정대체기준!$A$6:$A$15,$N282)&gt;0),IFERROR(INDEX(계정대체기준!$E$6:$E$15,MATCH(VALUE($A282&amp;""),계정대체기준!$D$6:$D$15,0)),0),0))</f>
        <v/>
      </c>
      <c r="AH282" s="64">
        <f>IF($A282="","",IF(AD282=0,"",IF(OR(COUNTIF(계정대체기준!$A$77:$A$86,$N282)&gt;0,ISNUMBER(MATCH($X282,계정대체기준!$D$77:$D$86,0)),ISNUMBER(MATCH($F282,계정대체기준!$D$77:$D$86,0))),"Y","N")))</f>
        <v/>
      </c>
    </row>
    <row r="283">
      <c r="A283" s="92" t="n">
        <v>2025</v>
      </c>
      <c r="B283" s="92" t="n">
        <v>2</v>
      </c>
      <c r="C283" s="92" t="inlineStr">
        <is>
          <t>5100000279</t>
        </is>
      </c>
      <c r="D283" s="95" t="n">
        <v>45693</v>
      </c>
      <c r="E283" s="92" t="inlineStr">
        <is>
          <t>KR</t>
        </is>
      </c>
      <c r="F283" s="92" t="n">
        <v>62902000</v>
      </c>
      <c r="G283" s="92" t="n">
        <v>1801</v>
      </c>
      <c r="H283" s="93" t="n">
        <v>1787000</v>
      </c>
      <c r="I283" s="92" t="inlineStr">
        <is>
          <t>2월 콜 위탁 수수료(건별)</t>
        </is>
      </c>
      <c r="J283" s="92" t="inlineStr">
        <is>
          <t>V10016</t>
        </is>
      </c>
      <c r="K283" s="92" t="inlineStr">
        <is>
          <t>J콜센터</t>
        </is>
      </c>
      <c r="M283" s="9">
        <f>IF($A283="","",VALUE($A283&amp;"")*12+VALUE($B283&amp;""))</f>
        <v/>
      </c>
      <c r="N283" s="64">
        <f>IF($A283="","",IFERROR(INDEX(부서매핑!$C$5:$C$504,MATCH($G283&amp;"",부서매핑!$A$5:$A$504,0)),"미매핑"))</f>
        <v/>
      </c>
      <c r="O283" s="9">
        <f>IF($A283="","",N283&amp;"|"&amp;$F283)</f>
        <v/>
      </c>
      <c r="P283" s="94">
        <f>IF($A283="",0,$H283*설정!$C$23)</f>
        <v/>
      </c>
      <c r="Q283" s="64">
        <f>IF($A283="","",IF(O283&lt;&gt;원인분석!$C$9,"",IF(AND(M283&gt;=원인분석!$C$10,M283&lt;=원인분석!$C$11),"당기",IF(AND(M283&gt;=원인분석!$C$12,M283&lt;=원인분석!$C$13),"비교",""))))</f>
        <v/>
      </c>
      <c r="R283" s="9">
        <f>IF(Q283="","",$K283&amp;"")</f>
        <v/>
      </c>
      <c r="S283" s="9">
        <f>IF(Q283="","",IF(MATCH(R283,$R$5:$R$100000,0)=ROW()-4,ROW(),""))</f>
        <v/>
      </c>
      <c r="T283" s="9">
        <f>IF(Q283="당기",ABS(P283)+ROW()/1000000000,"")</f>
        <v/>
      </c>
      <c r="U283" s="9">
        <f>IF(Q283="비교",ABS(P283)+ROW()/1000000000,"")</f>
        <v/>
      </c>
      <c r="V283" s="64">
        <f>IF($A283="","",IF(COUNTIF(변동분석!$E$7:$E$506,O283)&gt;0,"Y","N"))</f>
        <v/>
      </c>
      <c r="W283" s="64">
        <f>IF($A283="","",IFERROR(INDEX(계정매핑!$D$5:$D$504,MATCH($F283&amp;"",계정매핑!$A$5:$A$504,0)),"미매핑"))</f>
        <v/>
      </c>
      <c r="X283" s="9">
        <f>IF($A283="","",$F283&amp;"")</f>
        <v/>
      </c>
      <c r="Y283" s="94">
        <f>IF($A283="",0,IF(AE283="직접",IF(AF283="비귀속",$P283,0),$P283*(1-AG283)*IFERROR(INDEX(계정대체기준!$F$20:$F$49,MATCH($N283,계정대체기준!$A$20:$A$49,0)),1)))</f>
        <v/>
      </c>
      <c r="Z283" s="94">
        <f>IF($A283="",0,IF(AE283="직접",IF(AF283="신계약비",$P283,0),$P283*(1-AG283)*IFERROR(INDEX(계정대체기준!$C$20:$C$49,MATCH($N283,계정대체기준!$A$20:$A$49,0)),0)))</f>
        <v/>
      </c>
      <c r="AA283" s="94">
        <f>IF($A283="",0,IF(AE283="직접",IF(OR(AF283="유지비",AF283="손해조사비"),$P283,0),$P283*(1-AG283)*IFERROR(INDEX(계정대체기준!$D$20:$D$49,MATCH($N283,계정대체기준!$A$20:$A$49,0)),0)))</f>
        <v/>
      </c>
      <c r="AB283" s="94">
        <f>IF($A283="",0,IF(AE283="직접",IF(AF283="수금비",$P283,0),$P283*(1-AG283)*IFERROR(INDEX(계정대체기준!$E$20:$E$49,MATCH($N283,계정대체기준!$A$20:$A$49,0)),0)))</f>
        <v/>
      </c>
      <c r="AC283" s="9">
        <f>IF(AND($A283&lt;&gt;"",M283=설정!$C$20,Z283&gt;0),Z283+ROW()/1000000000,"")</f>
        <v/>
      </c>
      <c r="AD283" s="94">
        <f>IF($A283="",0,$P283*AG283)</f>
        <v/>
      </c>
      <c r="AE283" s="64">
        <f>IF($A283="","",IFERROR(INDEX(계정매핑!$E$5:$E$504,MATCH($F283&amp;"",계정매핑!$A$5:$A$504,0))&amp;"","공통비"))</f>
        <v/>
      </c>
      <c r="AF283" s="64">
        <f>IF($A283="","",IF(AE283="직접",IFERROR(INDEX(계정매핑!$F$5:$F$504,MATCH($F283&amp;"",계정매핑!$A$5:$A$504,0))&amp;"","비귀속"),""))</f>
        <v/>
      </c>
      <c r="AG283" s="96">
        <f>IF($A283="",0,IF(AND(AE283&lt;&gt;"직접",IFERROR(INDEX(계정매핑!$G$5:$G$504,MATCH($F283&amp;"",계정매핑!$A$5:$A$504,0))&amp;"","")="유지비",COUNTIF(계정대체기준!$A$6:$A$15,$N283)&gt;0),IFERROR(INDEX(계정대체기준!$E$6:$E$15,MATCH(VALUE($A283&amp;""),계정대체기준!$D$6:$D$15,0)),0),0))</f>
        <v/>
      </c>
      <c r="AH283" s="64">
        <f>IF($A283="","",IF(AD283=0,"",IF(OR(COUNTIF(계정대체기준!$A$77:$A$86,$N283)&gt;0,ISNUMBER(MATCH($X283,계정대체기준!$D$77:$D$86,0)),ISNUMBER(MATCH($F283,계정대체기준!$D$77:$D$86,0))),"Y","N")))</f>
        <v/>
      </c>
    </row>
    <row r="284">
      <c r="A284" s="92" t="n">
        <v>2025</v>
      </c>
      <c r="B284" s="92" t="n">
        <v>2</v>
      </c>
      <c r="C284" s="92" t="inlineStr">
        <is>
          <t>5100000280</t>
        </is>
      </c>
      <c r="D284" s="95" t="n">
        <v>45693</v>
      </c>
      <c r="E284" s="92" t="inlineStr">
        <is>
          <t>KR</t>
        </is>
      </c>
      <c r="F284" s="92" t="n">
        <v>63502000</v>
      </c>
      <c r="G284" s="92" t="n">
        <v>1902</v>
      </c>
      <c r="H284" s="93" t="n">
        <v>132396000</v>
      </c>
      <c r="I284" s="92" t="inlineStr">
        <is>
          <t>2월 유지수수료 - CC금융서비스</t>
        </is>
      </c>
      <c r="J284" s="92" t="inlineStr">
        <is>
          <t>V10029</t>
        </is>
      </c>
      <c r="K284" s="92" t="inlineStr">
        <is>
          <t>CC금융서비스</t>
        </is>
      </c>
      <c r="M284" s="9">
        <f>IF($A284="","",VALUE($A284&amp;"")*12+VALUE($B284&amp;""))</f>
        <v/>
      </c>
      <c r="N284" s="64">
        <f>IF($A284="","",IFERROR(INDEX(부서매핑!$C$5:$C$504,MATCH($G284&amp;"",부서매핑!$A$5:$A$504,0)),"미매핑"))</f>
        <v/>
      </c>
      <c r="O284" s="9">
        <f>IF($A284="","",N284&amp;"|"&amp;$F284)</f>
        <v/>
      </c>
      <c r="P284" s="94">
        <f>IF($A284="",0,$H284*설정!$C$23)</f>
        <v/>
      </c>
      <c r="Q284" s="64">
        <f>IF($A284="","",IF(O284&lt;&gt;원인분석!$C$9,"",IF(AND(M284&gt;=원인분석!$C$10,M284&lt;=원인분석!$C$11),"당기",IF(AND(M284&gt;=원인분석!$C$12,M284&lt;=원인분석!$C$13),"비교",""))))</f>
        <v/>
      </c>
      <c r="R284" s="9">
        <f>IF(Q284="","",$K284&amp;"")</f>
        <v/>
      </c>
      <c r="S284" s="9">
        <f>IF(Q284="","",IF(MATCH(R284,$R$5:$R$100000,0)=ROW()-4,ROW(),""))</f>
        <v/>
      </c>
      <c r="T284" s="9">
        <f>IF(Q284="당기",ABS(P284)+ROW()/1000000000,"")</f>
        <v/>
      </c>
      <c r="U284" s="9">
        <f>IF(Q284="비교",ABS(P284)+ROW()/1000000000,"")</f>
        <v/>
      </c>
      <c r="V284" s="64">
        <f>IF($A284="","",IF(COUNTIF(변동분석!$E$7:$E$506,O284)&gt;0,"Y","N"))</f>
        <v/>
      </c>
      <c r="W284" s="64">
        <f>IF($A284="","",IFERROR(INDEX(계정매핑!$D$5:$D$504,MATCH($F284&amp;"",계정매핑!$A$5:$A$504,0)),"미매핑"))</f>
        <v/>
      </c>
      <c r="X284" s="9">
        <f>IF($A284="","",$F284&amp;"")</f>
        <v/>
      </c>
      <c r="Y284" s="94">
        <f>IF($A284="",0,IF(AE284="직접",IF(AF284="비귀속",$P284,0),$P284*(1-AG284)*IFERROR(INDEX(계정대체기준!$F$20:$F$49,MATCH($N284,계정대체기준!$A$20:$A$49,0)),1)))</f>
        <v/>
      </c>
      <c r="Z284" s="94">
        <f>IF($A284="",0,IF(AE284="직접",IF(AF284="신계약비",$P284,0),$P284*(1-AG284)*IFERROR(INDEX(계정대체기준!$C$20:$C$49,MATCH($N284,계정대체기준!$A$20:$A$49,0)),0)))</f>
        <v/>
      </c>
      <c r="AA284" s="94">
        <f>IF($A284="",0,IF(AE284="직접",IF(OR(AF284="유지비",AF284="손해조사비"),$P284,0),$P284*(1-AG284)*IFERROR(INDEX(계정대체기준!$D$20:$D$49,MATCH($N284,계정대체기준!$A$20:$A$49,0)),0)))</f>
        <v/>
      </c>
      <c r="AB284" s="94">
        <f>IF($A284="",0,IF(AE284="직접",IF(AF284="수금비",$P284,0),$P284*(1-AG284)*IFERROR(INDEX(계정대체기준!$E$20:$E$49,MATCH($N284,계정대체기준!$A$20:$A$49,0)),0)))</f>
        <v/>
      </c>
      <c r="AC284" s="9">
        <f>IF(AND($A284&lt;&gt;"",M284=설정!$C$20,Z284&gt;0),Z284+ROW()/1000000000,"")</f>
        <v/>
      </c>
      <c r="AD284" s="94">
        <f>IF($A284="",0,$P284*AG284)</f>
        <v/>
      </c>
      <c r="AE284" s="64">
        <f>IF($A284="","",IFERROR(INDEX(계정매핑!$E$5:$E$504,MATCH($F284&amp;"",계정매핑!$A$5:$A$504,0))&amp;"","공통비"))</f>
        <v/>
      </c>
      <c r="AF284" s="64">
        <f>IF($A284="","",IF(AE284="직접",IFERROR(INDEX(계정매핑!$F$5:$F$504,MATCH($F284&amp;"",계정매핑!$A$5:$A$504,0))&amp;"","비귀속"),""))</f>
        <v/>
      </c>
      <c r="AG284" s="96">
        <f>IF($A284="",0,IF(AND(AE284&lt;&gt;"직접",IFERROR(INDEX(계정매핑!$G$5:$G$504,MATCH($F284&amp;"",계정매핑!$A$5:$A$504,0))&amp;"","")="유지비",COUNTIF(계정대체기준!$A$6:$A$15,$N284)&gt;0),IFERROR(INDEX(계정대체기준!$E$6:$E$15,MATCH(VALUE($A284&amp;""),계정대체기준!$D$6:$D$15,0)),0),0))</f>
        <v/>
      </c>
      <c r="AH284" s="64">
        <f>IF($A284="","",IF(AD284=0,"",IF(OR(COUNTIF(계정대체기준!$A$77:$A$86,$N284)&gt;0,ISNUMBER(MATCH($X284,계정대체기준!$D$77:$D$86,0)),ISNUMBER(MATCH($F284,계정대체기준!$D$77:$D$86,0))),"Y","N")))</f>
        <v/>
      </c>
    </row>
    <row r="285">
      <c r="A285" s="92" t="n">
        <v>2025</v>
      </c>
      <c r="B285" s="92" t="n">
        <v>2</v>
      </c>
      <c r="C285" s="92" t="inlineStr">
        <is>
          <t>5100000281</t>
        </is>
      </c>
      <c r="D285" s="95" t="n">
        <v>45693</v>
      </c>
      <c r="E285" s="92" t="inlineStr">
        <is>
          <t>KR</t>
        </is>
      </c>
      <c r="F285" s="92" t="n">
        <v>63601000</v>
      </c>
      <c r="G285" s="92" t="n">
        <v>1801</v>
      </c>
      <c r="H285" s="93" t="n">
        <v>5470000</v>
      </c>
      <c r="I285" s="92" t="inlineStr">
        <is>
          <t>2월 손해사정 수수료 - DD손해사정</t>
        </is>
      </c>
      <c r="J285" s="92" t="inlineStr">
        <is>
          <t>V10032</t>
        </is>
      </c>
      <c r="K285" s="92" t="inlineStr">
        <is>
          <t>DD손해사정</t>
        </is>
      </c>
      <c r="M285" s="9">
        <f>IF($A285="","",VALUE($A285&amp;"")*12+VALUE($B285&amp;""))</f>
        <v/>
      </c>
      <c r="N285" s="64">
        <f>IF($A285="","",IFERROR(INDEX(부서매핑!$C$5:$C$504,MATCH($G285&amp;"",부서매핑!$A$5:$A$504,0)),"미매핑"))</f>
        <v/>
      </c>
      <c r="O285" s="9">
        <f>IF($A285="","",N285&amp;"|"&amp;$F285)</f>
        <v/>
      </c>
      <c r="P285" s="94">
        <f>IF($A285="",0,$H285*설정!$C$23)</f>
        <v/>
      </c>
      <c r="Q285" s="64">
        <f>IF($A285="","",IF(O285&lt;&gt;원인분석!$C$9,"",IF(AND(M285&gt;=원인분석!$C$10,M285&lt;=원인분석!$C$11),"당기",IF(AND(M285&gt;=원인분석!$C$12,M285&lt;=원인분석!$C$13),"비교",""))))</f>
        <v/>
      </c>
      <c r="R285" s="9">
        <f>IF(Q285="","",$K285&amp;"")</f>
        <v/>
      </c>
      <c r="S285" s="9">
        <f>IF(Q285="","",IF(MATCH(R285,$R$5:$R$100000,0)=ROW()-4,ROW(),""))</f>
        <v/>
      </c>
      <c r="T285" s="9">
        <f>IF(Q285="당기",ABS(P285)+ROW()/1000000000,"")</f>
        <v/>
      </c>
      <c r="U285" s="9">
        <f>IF(Q285="비교",ABS(P285)+ROW()/1000000000,"")</f>
        <v/>
      </c>
      <c r="V285" s="64">
        <f>IF($A285="","",IF(COUNTIF(변동분석!$E$7:$E$506,O285)&gt;0,"Y","N"))</f>
        <v/>
      </c>
      <c r="W285" s="64">
        <f>IF($A285="","",IFERROR(INDEX(계정매핑!$D$5:$D$504,MATCH($F285&amp;"",계정매핑!$A$5:$A$504,0)),"미매핑"))</f>
        <v/>
      </c>
      <c r="X285" s="9">
        <f>IF($A285="","",$F285&amp;"")</f>
        <v/>
      </c>
      <c r="Y285" s="94">
        <f>IF($A285="",0,IF(AE285="직접",IF(AF285="비귀속",$P285,0),$P285*(1-AG285)*IFERROR(INDEX(계정대체기준!$F$20:$F$49,MATCH($N285,계정대체기준!$A$20:$A$49,0)),1)))</f>
        <v/>
      </c>
      <c r="Z285" s="94">
        <f>IF($A285="",0,IF(AE285="직접",IF(AF285="신계약비",$P285,0),$P285*(1-AG285)*IFERROR(INDEX(계정대체기준!$C$20:$C$49,MATCH($N285,계정대체기준!$A$20:$A$49,0)),0)))</f>
        <v/>
      </c>
      <c r="AA285" s="94">
        <f>IF($A285="",0,IF(AE285="직접",IF(OR(AF285="유지비",AF285="손해조사비"),$P285,0),$P285*(1-AG285)*IFERROR(INDEX(계정대체기준!$D$20:$D$49,MATCH($N285,계정대체기준!$A$20:$A$49,0)),0)))</f>
        <v/>
      </c>
      <c r="AB285" s="94">
        <f>IF($A285="",0,IF(AE285="직접",IF(AF285="수금비",$P285,0),$P285*(1-AG285)*IFERROR(INDEX(계정대체기준!$E$20:$E$49,MATCH($N285,계정대체기준!$A$20:$A$49,0)),0)))</f>
        <v/>
      </c>
      <c r="AC285" s="9">
        <f>IF(AND($A285&lt;&gt;"",M285=설정!$C$20,Z285&gt;0),Z285+ROW()/1000000000,"")</f>
        <v/>
      </c>
      <c r="AD285" s="94">
        <f>IF($A285="",0,$P285*AG285)</f>
        <v/>
      </c>
      <c r="AE285" s="64">
        <f>IF($A285="","",IFERROR(INDEX(계정매핑!$E$5:$E$504,MATCH($F285&amp;"",계정매핑!$A$5:$A$504,0))&amp;"","공통비"))</f>
        <v/>
      </c>
      <c r="AF285" s="64">
        <f>IF($A285="","",IF(AE285="직접",IFERROR(INDEX(계정매핑!$F$5:$F$504,MATCH($F285&amp;"",계정매핑!$A$5:$A$504,0))&amp;"","비귀속"),""))</f>
        <v/>
      </c>
      <c r="AG285" s="96">
        <f>IF($A285="",0,IF(AND(AE285&lt;&gt;"직접",IFERROR(INDEX(계정매핑!$G$5:$G$504,MATCH($F285&amp;"",계정매핑!$A$5:$A$504,0))&amp;"","")="유지비",COUNTIF(계정대체기준!$A$6:$A$15,$N285)&gt;0),IFERROR(INDEX(계정대체기준!$E$6:$E$15,MATCH(VALUE($A285&amp;""),계정대체기준!$D$6:$D$15,0)),0),0))</f>
        <v/>
      </c>
      <c r="AH285" s="64">
        <f>IF($A285="","",IF(AD285=0,"",IF(OR(COUNTIF(계정대체기준!$A$77:$A$86,$N285)&gt;0,ISNUMBER(MATCH($X285,계정대체기준!$D$77:$D$86,0)),ISNUMBER(MATCH($F285,계정대체기준!$D$77:$D$86,0))),"Y","N")))</f>
        <v/>
      </c>
    </row>
    <row r="286">
      <c r="A286" s="92" t="n">
        <v>2025</v>
      </c>
      <c r="B286" s="92" t="n">
        <v>2</v>
      </c>
      <c r="C286" s="92" t="inlineStr">
        <is>
          <t>5100000282</t>
        </is>
      </c>
      <c r="D286" s="95" t="n">
        <v>45694</v>
      </c>
      <c r="E286" s="92" t="inlineStr">
        <is>
          <t>KR</t>
        </is>
      </c>
      <c r="F286" s="92" t="n">
        <v>62101000</v>
      </c>
      <c r="G286" s="92" t="n">
        <v>1201</v>
      </c>
      <c r="H286" s="93" t="n">
        <v>248000</v>
      </c>
      <c r="I286" s="92" t="inlineStr">
        <is>
          <t>2월 국내출장 - M항공</t>
        </is>
      </c>
      <c r="J286" s="92" t="inlineStr">
        <is>
          <t>V10001</t>
        </is>
      </c>
      <c r="K286" s="92" t="inlineStr">
        <is>
          <t>M항공</t>
        </is>
      </c>
      <c r="M286" s="9">
        <f>IF($A286="","",VALUE($A286&amp;"")*12+VALUE($B286&amp;""))</f>
        <v/>
      </c>
      <c r="N286" s="64">
        <f>IF($A286="","",IFERROR(INDEX(부서매핑!$C$5:$C$504,MATCH($G286&amp;"",부서매핑!$A$5:$A$504,0)),"미매핑"))</f>
        <v/>
      </c>
      <c r="O286" s="9">
        <f>IF($A286="","",N286&amp;"|"&amp;$F286)</f>
        <v/>
      </c>
      <c r="P286" s="94">
        <f>IF($A286="",0,$H286*설정!$C$23)</f>
        <v/>
      </c>
      <c r="Q286" s="64">
        <f>IF($A286="","",IF(O286&lt;&gt;원인분석!$C$9,"",IF(AND(M286&gt;=원인분석!$C$10,M286&lt;=원인분석!$C$11),"당기",IF(AND(M286&gt;=원인분석!$C$12,M286&lt;=원인분석!$C$13),"비교",""))))</f>
        <v/>
      </c>
      <c r="R286" s="9">
        <f>IF(Q286="","",$K286&amp;"")</f>
        <v/>
      </c>
      <c r="S286" s="9">
        <f>IF(Q286="","",IF(MATCH(R286,$R$5:$R$100000,0)=ROW()-4,ROW(),""))</f>
        <v/>
      </c>
      <c r="T286" s="9">
        <f>IF(Q286="당기",ABS(P286)+ROW()/1000000000,"")</f>
        <v/>
      </c>
      <c r="U286" s="9">
        <f>IF(Q286="비교",ABS(P286)+ROW()/1000000000,"")</f>
        <v/>
      </c>
      <c r="V286" s="64">
        <f>IF($A286="","",IF(COUNTIF(변동분석!$E$7:$E$506,O286)&gt;0,"Y","N"))</f>
        <v/>
      </c>
      <c r="W286" s="64">
        <f>IF($A286="","",IFERROR(INDEX(계정매핑!$D$5:$D$504,MATCH($F286&amp;"",계정매핑!$A$5:$A$504,0)),"미매핑"))</f>
        <v/>
      </c>
      <c r="X286" s="9">
        <f>IF($A286="","",$F286&amp;"")</f>
        <v/>
      </c>
      <c r="Y286" s="94">
        <f>IF($A286="",0,IF(AE286="직접",IF(AF286="비귀속",$P286,0),$P286*(1-AG286)*IFERROR(INDEX(계정대체기준!$F$20:$F$49,MATCH($N286,계정대체기준!$A$20:$A$49,0)),1)))</f>
        <v/>
      </c>
      <c r="Z286" s="94">
        <f>IF($A286="",0,IF(AE286="직접",IF(AF286="신계약비",$P286,0),$P286*(1-AG286)*IFERROR(INDEX(계정대체기준!$C$20:$C$49,MATCH($N286,계정대체기준!$A$20:$A$49,0)),0)))</f>
        <v/>
      </c>
      <c r="AA286" s="94">
        <f>IF($A286="",0,IF(AE286="직접",IF(OR(AF286="유지비",AF286="손해조사비"),$P286,0),$P286*(1-AG286)*IFERROR(INDEX(계정대체기준!$D$20:$D$49,MATCH($N286,계정대체기준!$A$20:$A$49,0)),0)))</f>
        <v/>
      </c>
      <c r="AB286" s="94">
        <f>IF($A286="",0,IF(AE286="직접",IF(AF286="수금비",$P286,0),$P286*(1-AG286)*IFERROR(INDEX(계정대체기준!$E$20:$E$49,MATCH($N286,계정대체기준!$A$20:$A$49,0)),0)))</f>
        <v/>
      </c>
      <c r="AC286" s="9">
        <f>IF(AND($A286&lt;&gt;"",M286=설정!$C$20,Z286&gt;0),Z286+ROW()/1000000000,"")</f>
        <v/>
      </c>
      <c r="AD286" s="94">
        <f>IF($A286="",0,$P286*AG286)</f>
        <v/>
      </c>
      <c r="AE286" s="64">
        <f>IF($A286="","",IFERROR(INDEX(계정매핑!$E$5:$E$504,MATCH($F286&amp;"",계정매핑!$A$5:$A$504,0))&amp;"","공통비"))</f>
        <v/>
      </c>
      <c r="AF286" s="64">
        <f>IF($A286="","",IF(AE286="직접",IFERROR(INDEX(계정매핑!$F$5:$F$504,MATCH($F286&amp;"",계정매핑!$A$5:$A$504,0))&amp;"","비귀속"),""))</f>
        <v/>
      </c>
      <c r="AG286" s="96">
        <f>IF($A286="",0,IF(AND(AE286&lt;&gt;"직접",IFERROR(INDEX(계정매핑!$G$5:$G$504,MATCH($F286&amp;"",계정매핑!$A$5:$A$504,0))&amp;"","")="유지비",COUNTIF(계정대체기준!$A$6:$A$15,$N286)&gt;0),IFERROR(INDEX(계정대체기준!$E$6:$E$15,MATCH(VALUE($A286&amp;""),계정대체기준!$D$6:$D$15,0)),0),0))</f>
        <v/>
      </c>
      <c r="AH286" s="64">
        <f>IF($A286="","",IF(AD286=0,"",IF(OR(COUNTIF(계정대체기준!$A$77:$A$86,$N286)&gt;0,ISNUMBER(MATCH($X286,계정대체기준!$D$77:$D$86,0)),ISNUMBER(MATCH($F286,계정대체기준!$D$77:$D$86,0))),"Y","N")))</f>
        <v/>
      </c>
    </row>
    <row r="287">
      <c r="A287" s="92" t="n">
        <v>2025</v>
      </c>
      <c r="B287" s="92" t="n">
        <v>2</v>
      </c>
      <c r="C287" s="92" t="inlineStr">
        <is>
          <t>5100000283</t>
        </is>
      </c>
      <c r="D287" s="95" t="n">
        <v>45694</v>
      </c>
      <c r="E287" s="92" t="inlineStr">
        <is>
          <t>KR</t>
        </is>
      </c>
      <c r="F287" s="92" t="n">
        <v>62102000</v>
      </c>
      <c r="G287" s="92" t="n">
        <v>1401</v>
      </c>
      <c r="H287" s="93" t="n">
        <v>101000</v>
      </c>
      <c r="I287" s="92" t="inlineStr">
        <is>
          <t>2월 해외출장 - N호텔</t>
        </is>
      </c>
      <c r="J287" s="92" t="inlineStr">
        <is>
          <t>V10009</t>
        </is>
      </c>
      <c r="K287" s="92" t="inlineStr">
        <is>
          <t>N호텔</t>
        </is>
      </c>
      <c r="M287" s="9">
        <f>IF($A287="","",VALUE($A287&amp;"")*12+VALUE($B287&amp;""))</f>
        <v/>
      </c>
      <c r="N287" s="64">
        <f>IF($A287="","",IFERROR(INDEX(부서매핑!$C$5:$C$504,MATCH($G287&amp;"",부서매핑!$A$5:$A$504,0)),"미매핑"))</f>
        <v/>
      </c>
      <c r="O287" s="9">
        <f>IF($A287="","",N287&amp;"|"&amp;$F287)</f>
        <v/>
      </c>
      <c r="P287" s="94">
        <f>IF($A287="",0,$H287*설정!$C$23)</f>
        <v/>
      </c>
      <c r="Q287" s="64">
        <f>IF($A287="","",IF(O287&lt;&gt;원인분석!$C$9,"",IF(AND(M287&gt;=원인분석!$C$10,M287&lt;=원인분석!$C$11),"당기",IF(AND(M287&gt;=원인분석!$C$12,M287&lt;=원인분석!$C$13),"비교",""))))</f>
        <v/>
      </c>
      <c r="R287" s="9">
        <f>IF(Q287="","",$K287&amp;"")</f>
        <v/>
      </c>
      <c r="S287" s="9">
        <f>IF(Q287="","",IF(MATCH(R287,$R$5:$R$100000,0)=ROW()-4,ROW(),""))</f>
        <v/>
      </c>
      <c r="T287" s="9">
        <f>IF(Q287="당기",ABS(P287)+ROW()/1000000000,"")</f>
        <v/>
      </c>
      <c r="U287" s="9">
        <f>IF(Q287="비교",ABS(P287)+ROW()/1000000000,"")</f>
        <v/>
      </c>
      <c r="V287" s="64">
        <f>IF($A287="","",IF(COUNTIF(변동분석!$E$7:$E$506,O287)&gt;0,"Y","N"))</f>
        <v/>
      </c>
      <c r="W287" s="64">
        <f>IF($A287="","",IFERROR(INDEX(계정매핑!$D$5:$D$504,MATCH($F287&amp;"",계정매핑!$A$5:$A$504,0)),"미매핑"))</f>
        <v/>
      </c>
      <c r="X287" s="9">
        <f>IF($A287="","",$F287&amp;"")</f>
        <v/>
      </c>
      <c r="Y287" s="94">
        <f>IF($A287="",0,IF(AE287="직접",IF(AF287="비귀속",$P287,0),$P287*(1-AG287)*IFERROR(INDEX(계정대체기준!$F$20:$F$49,MATCH($N287,계정대체기준!$A$20:$A$49,0)),1)))</f>
        <v/>
      </c>
      <c r="Z287" s="94">
        <f>IF($A287="",0,IF(AE287="직접",IF(AF287="신계약비",$P287,0),$P287*(1-AG287)*IFERROR(INDEX(계정대체기준!$C$20:$C$49,MATCH($N287,계정대체기준!$A$20:$A$49,0)),0)))</f>
        <v/>
      </c>
      <c r="AA287" s="94">
        <f>IF($A287="",0,IF(AE287="직접",IF(OR(AF287="유지비",AF287="손해조사비"),$P287,0),$P287*(1-AG287)*IFERROR(INDEX(계정대체기준!$D$20:$D$49,MATCH($N287,계정대체기준!$A$20:$A$49,0)),0)))</f>
        <v/>
      </c>
      <c r="AB287" s="94">
        <f>IF($A287="",0,IF(AE287="직접",IF(AF287="수금비",$P287,0),$P287*(1-AG287)*IFERROR(INDEX(계정대체기준!$E$20:$E$49,MATCH($N287,계정대체기준!$A$20:$A$49,0)),0)))</f>
        <v/>
      </c>
      <c r="AC287" s="9">
        <f>IF(AND($A287&lt;&gt;"",M287=설정!$C$20,Z287&gt;0),Z287+ROW()/1000000000,"")</f>
        <v/>
      </c>
      <c r="AD287" s="94">
        <f>IF($A287="",0,$P287*AG287)</f>
        <v/>
      </c>
      <c r="AE287" s="64">
        <f>IF($A287="","",IFERROR(INDEX(계정매핑!$E$5:$E$504,MATCH($F287&amp;"",계정매핑!$A$5:$A$504,0))&amp;"","공통비"))</f>
        <v/>
      </c>
      <c r="AF287" s="64">
        <f>IF($A287="","",IF(AE287="직접",IFERROR(INDEX(계정매핑!$F$5:$F$504,MATCH($F287&amp;"",계정매핑!$A$5:$A$504,0))&amp;"","비귀속"),""))</f>
        <v/>
      </c>
      <c r="AG287" s="96">
        <f>IF($A287="",0,IF(AND(AE287&lt;&gt;"직접",IFERROR(INDEX(계정매핑!$G$5:$G$504,MATCH($F287&amp;"",계정매핑!$A$5:$A$504,0))&amp;"","")="유지비",COUNTIF(계정대체기준!$A$6:$A$15,$N287)&gt;0),IFERROR(INDEX(계정대체기준!$E$6:$E$15,MATCH(VALUE($A287&amp;""),계정대체기준!$D$6:$D$15,0)),0),0))</f>
        <v/>
      </c>
      <c r="AH287" s="64">
        <f>IF($A287="","",IF(AD287=0,"",IF(OR(COUNTIF(계정대체기준!$A$77:$A$86,$N287)&gt;0,ISNUMBER(MATCH($X287,계정대체기준!$D$77:$D$86,0)),ISNUMBER(MATCH($F287,계정대체기준!$D$77:$D$86,0))),"Y","N")))</f>
        <v/>
      </c>
    </row>
    <row r="288">
      <c r="A288" s="92" t="n">
        <v>2025</v>
      </c>
      <c r="B288" s="92" t="n">
        <v>2</v>
      </c>
      <c r="C288" s="92" t="inlineStr">
        <is>
          <t>5100000284</t>
        </is>
      </c>
      <c r="D288" s="95" t="n">
        <v>45694</v>
      </c>
      <c r="E288" s="92" t="inlineStr">
        <is>
          <t>KR</t>
        </is>
      </c>
      <c r="F288" s="92" t="n">
        <v>62301000</v>
      </c>
      <c r="G288" s="92" t="n">
        <v>1701</v>
      </c>
      <c r="H288" s="93" t="n">
        <v>245000</v>
      </c>
      <c r="I288" s="92" t="inlineStr">
        <is>
          <t>2월 소모품 구입 - R문구</t>
        </is>
      </c>
      <c r="J288" s="92" t="inlineStr">
        <is>
          <t>V10022</t>
        </is>
      </c>
      <c r="K288" s="92" t="inlineStr">
        <is>
          <t>R문구</t>
        </is>
      </c>
      <c r="M288" s="9">
        <f>IF($A288="","",VALUE($A288&amp;"")*12+VALUE($B288&amp;""))</f>
        <v/>
      </c>
      <c r="N288" s="64">
        <f>IF($A288="","",IFERROR(INDEX(부서매핑!$C$5:$C$504,MATCH($G288&amp;"",부서매핑!$A$5:$A$504,0)),"미매핑"))</f>
        <v/>
      </c>
      <c r="O288" s="9">
        <f>IF($A288="","",N288&amp;"|"&amp;$F288)</f>
        <v/>
      </c>
      <c r="P288" s="94">
        <f>IF($A288="",0,$H288*설정!$C$23)</f>
        <v/>
      </c>
      <c r="Q288" s="64">
        <f>IF($A288="","",IF(O288&lt;&gt;원인분석!$C$9,"",IF(AND(M288&gt;=원인분석!$C$10,M288&lt;=원인분석!$C$11),"당기",IF(AND(M288&gt;=원인분석!$C$12,M288&lt;=원인분석!$C$13),"비교",""))))</f>
        <v/>
      </c>
      <c r="R288" s="9">
        <f>IF(Q288="","",$K288&amp;"")</f>
        <v/>
      </c>
      <c r="S288" s="9">
        <f>IF(Q288="","",IF(MATCH(R288,$R$5:$R$100000,0)=ROW()-4,ROW(),""))</f>
        <v/>
      </c>
      <c r="T288" s="9">
        <f>IF(Q288="당기",ABS(P288)+ROW()/1000000000,"")</f>
        <v/>
      </c>
      <c r="U288" s="9">
        <f>IF(Q288="비교",ABS(P288)+ROW()/1000000000,"")</f>
        <v/>
      </c>
      <c r="V288" s="64">
        <f>IF($A288="","",IF(COUNTIF(변동분석!$E$7:$E$506,O288)&gt;0,"Y","N"))</f>
        <v/>
      </c>
      <c r="W288" s="64">
        <f>IF($A288="","",IFERROR(INDEX(계정매핑!$D$5:$D$504,MATCH($F288&amp;"",계정매핑!$A$5:$A$504,0)),"미매핑"))</f>
        <v/>
      </c>
      <c r="X288" s="9">
        <f>IF($A288="","",$F288&amp;"")</f>
        <v/>
      </c>
      <c r="Y288" s="94">
        <f>IF($A288="",0,IF(AE288="직접",IF(AF288="비귀속",$P288,0),$P288*(1-AG288)*IFERROR(INDEX(계정대체기준!$F$20:$F$49,MATCH($N288,계정대체기준!$A$20:$A$49,0)),1)))</f>
        <v/>
      </c>
      <c r="Z288" s="94">
        <f>IF($A288="",0,IF(AE288="직접",IF(AF288="신계약비",$P288,0),$P288*(1-AG288)*IFERROR(INDEX(계정대체기준!$C$20:$C$49,MATCH($N288,계정대체기준!$A$20:$A$49,0)),0)))</f>
        <v/>
      </c>
      <c r="AA288" s="94">
        <f>IF($A288="",0,IF(AE288="직접",IF(OR(AF288="유지비",AF288="손해조사비"),$P288,0),$P288*(1-AG288)*IFERROR(INDEX(계정대체기준!$D$20:$D$49,MATCH($N288,계정대체기준!$A$20:$A$49,0)),0)))</f>
        <v/>
      </c>
      <c r="AB288" s="94">
        <f>IF($A288="",0,IF(AE288="직접",IF(AF288="수금비",$P288,0),$P288*(1-AG288)*IFERROR(INDEX(계정대체기준!$E$20:$E$49,MATCH($N288,계정대체기준!$A$20:$A$49,0)),0)))</f>
        <v/>
      </c>
      <c r="AC288" s="9">
        <f>IF(AND($A288&lt;&gt;"",M288=설정!$C$20,Z288&gt;0),Z288+ROW()/1000000000,"")</f>
        <v/>
      </c>
      <c r="AD288" s="94">
        <f>IF($A288="",0,$P288*AG288)</f>
        <v/>
      </c>
      <c r="AE288" s="64">
        <f>IF($A288="","",IFERROR(INDEX(계정매핑!$E$5:$E$504,MATCH($F288&amp;"",계정매핑!$A$5:$A$504,0))&amp;"","공통비"))</f>
        <v/>
      </c>
      <c r="AF288" s="64">
        <f>IF($A288="","",IF(AE288="직접",IFERROR(INDEX(계정매핑!$F$5:$F$504,MATCH($F288&amp;"",계정매핑!$A$5:$A$504,0))&amp;"","비귀속"),""))</f>
        <v/>
      </c>
      <c r="AG288" s="96">
        <f>IF($A288="",0,IF(AND(AE288&lt;&gt;"직접",IFERROR(INDEX(계정매핑!$G$5:$G$504,MATCH($F288&amp;"",계정매핑!$A$5:$A$504,0))&amp;"","")="유지비",COUNTIF(계정대체기준!$A$6:$A$15,$N288)&gt;0),IFERROR(INDEX(계정대체기준!$E$6:$E$15,MATCH(VALUE($A288&amp;""),계정대체기준!$D$6:$D$15,0)),0),0))</f>
        <v/>
      </c>
      <c r="AH288" s="64">
        <f>IF($A288="","",IF(AD288=0,"",IF(OR(COUNTIF(계정대체기준!$A$77:$A$86,$N288)&gt;0,ISNUMBER(MATCH($X288,계정대체기준!$D$77:$D$86,0)),ISNUMBER(MATCH($F288,계정대체기준!$D$77:$D$86,0))),"Y","N")))</f>
        <v/>
      </c>
    </row>
    <row r="289">
      <c r="A289" s="92" t="n">
        <v>2025</v>
      </c>
      <c r="B289" s="92" t="n">
        <v>2</v>
      </c>
      <c r="C289" s="92" t="inlineStr">
        <is>
          <t>5100000285</t>
        </is>
      </c>
      <c r="D289" s="95" t="n">
        <v>45695</v>
      </c>
      <c r="E289" s="92" t="inlineStr">
        <is>
          <t>KR</t>
        </is>
      </c>
      <c r="F289" s="92" t="n">
        <v>63502000</v>
      </c>
      <c r="G289" s="92" t="n">
        <v>1901</v>
      </c>
      <c r="H289" s="93" t="n">
        <v>98201000</v>
      </c>
      <c r="I289" s="92" t="inlineStr">
        <is>
          <t>2월 유지수수료 - (전속설계사)</t>
        </is>
      </c>
      <c r="J289" s="92" t="inlineStr">
        <is>
          <t>V10021</t>
        </is>
      </c>
      <c r="K289" s="92" t="inlineStr">
        <is>
          <t>(전속설계사)</t>
        </is>
      </c>
      <c r="M289" s="9">
        <f>IF($A289="","",VALUE($A289&amp;"")*12+VALUE($B289&amp;""))</f>
        <v/>
      </c>
      <c r="N289" s="64">
        <f>IF($A289="","",IFERROR(INDEX(부서매핑!$C$5:$C$504,MATCH($G289&amp;"",부서매핑!$A$5:$A$504,0)),"미매핑"))</f>
        <v/>
      </c>
      <c r="O289" s="9">
        <f>IF($A289="","",N289&amp;"|"&amp;$F289)</f>
        <v/>
      </c>
      <c r="P289" s="94">
        <f>IF($A289="",0,$H289*설정!$C$23)</f>
        <v/>
      </c>
      <c r="Q289" s="64">
        <f>IF($A289="","",IF(O289&lt;&gt;원인분석!$C$9,"",IF(AND(M289&gt;=원인분석!$C$10,M289&lt;=원인분석!$C$11),"당기",IF(AND(M289&gt;=원인분석!$C$12,M289&lt;=원인분석!$C$13),"비교",""))))</f>
        <v/>
      </c>
      <c r="R289" s="9">
        <f>IF(Q289="","",$K289&amp;"")</f>
        <v/>
      </c>
      <c r="S289" s="9">
        <f>IF(Q289="","",IF(MATCH(R289,$R$5:$R$100000,0)=ROW()-4,ROW(),""))</f>
        <v/>
      </c>
      <c r="T289" s="9">
        <f>IF(Q289="당기",ABS(P289)+ROW()/1000000000,"")</f>
        <v/>
      </c>
      <c r="U289" s="9">
        <f>IF(Q289="비교",ABS(P289)+ROW()/1000000000,"")</f>
        <v/>
      </c>
      <c r="V289" s="64">
        <f>IF($A289="","",IF(COUNTIF(변동분석!$E$7:$E$506,O289)&gt;0,"Y","N"))</f>
        <v/>
      </c>
      <c r="W289" s="64">
        <f>IF($A289="","",IFERROR(INDEX(계정매핑!$D$5:$D$504,MATCH($F289&amp;"",계정매핑!$A$5:$A$504,0)),"미매핑"))</f>
        <v/>
      </c>
      <c r="X289" s="9">
        <f>IF($A289="","",$F289&amp;"")</f>
        <v/>
      </c>
      <c r="Y289" s="94">
        <f>IF($A289="",0,IF(AE289="직접",IF(AF289="비귀속",$P289,0),$P289*(1-AG289)*IFERROR(INDEX(계정대체기준!$F$20:$F$49,MATCH($N289,계정대체기준!$A$20:$A$49,0)),1)))</f>
        <v/>
      </c>
      <c r="Z289" s="94">
        <f>IF($A289="",0,IF(AE289="직접",IF(AF289="신계약비",$P289,0),$P289*(1-AG289)*IFERROR(INDEX(계정대체기준!$C$20:$C$49,MATCH($N289,계정대체기준!$A$20:$A$49,0)),0)))</f>
        <v/>
      </c>
      <c r="AA289" s="94">
        <f>IF($A289="",0,IF(AE289="직접",IF(OR(AF289="유지비",AF289="손해조사비"),$P289,0),$P289*(1-AG289)*IFERROR(INDEX(계정대체기준!$D$20:$D$49,MATCH($N289,계정대체기준!$A$20:$A$49,0)),0)))</f>
        <v/>
      </c>
      <c r="AB289" s="94">
        <f>IF($A289="",0,IF(AE289="직접",IF(AF289="수금비",$P289,0),$P289*(1-AG289)*IFERROR(INDEX(계정대체기준!$E$20:$E$49,MATCH($N289,계정대체기준!$A$20:$A$49,0)),0)))</f>
        <v/>
      </c>
      <c r="AC289" s="9">
        <f>IF(AND($A289&lt;&gt;"",M289=설정!$C$20,Z289&gt;0),Z289+ROW()/1000000000,"")</f>
        <v/>
      </c>
      <c r="AD289" s="94">
        <f>IF($A289="",0,$P289*AG289)</f>
        <v/>
      </c>
      <c r="AE289" s="64">
        <f>IF($A289="","",IFERROR(INDEX(계정매핑!$E$5:$E$504,MATCH($F289&amp;"",계정매핑!$A$5:$A$504,0))&amp;"","공통비"))</f>
        <v/>
      </c>
      <c r="AF289" s="64">
        <f>IF($A289="","",IF(AE289="직접",IFERROR(INDEX(계정매핑!$F$5:$F$504,MATCH($F289&amp;"",계정매핑!$A$5:$A$504,0))&amp;"","비귀속"),""))</f>
        <v/>
      </c>
      <c r="AG289" s="96">
        <f>IF($A289="",0,IF(AND(AE289&lt;&gt;"직접",IFERROR(INDEX(계정매핑!$G$5:$G$504,MATCH($F289&amp;"",계정매핑!$A$5:$A$504,0))&amp;"","")="유지비",COUNTIF(계정대체기준!$A$6:$A$15,$N289)&gt;0),IFERROR(INDEX(계정대체기준!$E$6:$E$15,MATCH(VALUE($A289&amp;""),계정대체기준!$D$6:$D$15,0)),0),0))</f>
        <v/>
      </c>
      <c r="AH289" s="64">
        <f>IF($A289="","",IF(AD289=0,"",IF(OR(COUNTIF(계정대체기준!$A$77:$A$86,$N289)&gt;0,ISNUMBER(MATCH($X289,계정대체기준!$D$77:$D$86,0)),ISNUMBER(MATCH($F289,계정대체기준!$D$77:$D$86,0))),"Y","N")))</f>
        <v/>
      </c>
    </row>
    <row r="290">
      <c r="A290" s="92" t="n">
        <v>2025</v>
      </c>
      <c r="B290" s="92" t="n">
        <v>2</v>
      </c>
      <c r="C290" s="92" t="inlineStr">
        <is>
          <t>5100000286</t>
        </is>
      </c>
      <c r="D290" s="95" t="n">
        <v>45696</v>
      </c>
      <c r="E290" s="92" t="inlineStr">
        <is>
          <t>KR</t>
        </is>
      </c>
      <c r="F290" s="92" t="n">
        <v>62101000</v>
      </c>
      <c r="G290" s="92" t="n">
        <v>1101</v>
      </c>
      <c r="H290" s="93" t="n">
        <v>814000</v>
      </c>
      <c r="I290" s="92" t="inlineStr">
        <is>
          <t>2월 국내출장 - (법인카드)</t>
        </is>
      </c>
      <c r="J290" s="92" t="inlineStr">
        <is>
          <t>V10010</t>
        </is>
      </c>
      <c r="K290" s="92" t="inlineStr">
        <is>
          <t>(법인카드)</t>
        </is>
      </c>
      <c r="M290" s="9">
        <f>IF($A290="","",VALUE($A290&amp;"")*12+VALUE($B290&amp;""))</f>
        <v/>
      </c>
      <c r="N290" s="64">
        <f>IF($A290="","",IFERROR(INDEX(부서매핑!$C$5:$C$504,MATCH($G290&amp;"",부서매핑!$A$5:$A$504,0)),"미매핑"))</f>
        <v/>
      </c>
      <c r="O290" s="9">
        <f>IF($A290="","",N290&amp;"|"&amp;$F290)</f>
        <v/>
      </c>
      <c r="P290" s="94">
        <f>IF($A290="",0,$H290*설정!$C$23)</f>
        <v/>
      </c>
      <c r="Q290" s="64">
        <f>IF($A290="","",IF(O290&lt;&gt;원인분석!$C$9,"",IF(AND(M290&gt;=원인분석!$C$10,M290&lt;=원인분석!$C$11),"당기",IF(AND(M290&gt;=원인분석!$C$12,M290&lt;=원인분석!$C$13),"비교",""))))</f>
        <v/>
      </c>
      <c r="R290" s="9">
        <f>IF(Q290="","",$K290&amp;"")</f>
        <v/>
      </c>
      <c r="S290" s="9">
        <f>IF(Q290="","",IF(MATCH(R290,$R$5:$R$100000,0)=ROW()-4,ROW(),""))</f>
        <v/>
      </c>
      <c r="T290" s="9">
        <f>IF(Q290="당기",ABS(P290)+ROW()/1000000000,"")</f>
        <v/>
      </c>
      <c r="U290" s="9">
        <f>IF(Q290="비교",ABS(P290)+ROW()/1000000000,"")</f>
        <v/>
      </c>
      <c r="V290" s="64">
        <f>IF($A290="","",IF(COUNTIF(변동분석!$E$7:$E$506,O290)&gt;0,"Y","N"))</f>
        <v/>
      </c>
      <c r="W290" s="64">
        <f>IF($A290="","",IFERROR(INDEX(계정매핑!$D$5:$D$504,MATCH($F290&amp;"",계정매핑!$A$5:$A$504,0)),"미매핑"))</f>
        <v/>
      </c>
      <c r="X290" s="9">
        <f>IF($A290="","",$F290&amp;"")</f>
        <v/>
      </c>
      <c r="Y290" s="94">
        <f>IF($A290="",0,IF(AE290="직접",IF(AF290="비귀속",$P290,0),$P290*(1-AG290)*IFERROR(INDEX(계정대체기준!$F$20:$F$49,MATCH($N290,계정대체기준!$A$20:$A$49,0)),1)))</f>
        <v/>
      </c>
      <c r="Z290" s="94">
        <f>IF($A290="",0,IF(AE290="직접",IF(AF290="신계약비",$P290,0),$P290*(1-AG290)*IFERROR(INDEX(계정대체기준!$C$20:$C$49,MATCH($N290,계정대체기준!$A$20:$A$49,0)),0)))</f>
        <v/>
      </c>
      <c r="AA290" s="94">
        <f>IF($A290="",0,IF(AE290="직접",IF(OR(AF290="유지비",AF290="손해조사비"),$P290,0),$P290*(1-AG290)*IFERROR(INDEX(계정대체기준!$D$20:$D$49,MATCH($N290,계정대체기준!$A$20:$A$49,0)),0)))</f>
        <v/>
      </c>
      <c r="AB290" s="94">
        <f>IF($A290="",0,IF(AE290="직접",IF(AF290="수금비",$P290,0),$P290*(1-AG290)*IFERROR(INDEX(계정대체기준!$E$20:$E$49,MATCH($N290,계정대체기준!$A$20:$A$49,0)),0)))</f>
        <v/>
      </c>
      <c r="AC290" s="9">
        <f>IF(AND($A290&lt;&gt;"",M290=설정!$C$20,Z290&gt;0),Z290+ROW()/1000000000,"")</f>
        <v/>
      </c>
      <c r="AD290" s="94">
        <f>IF($A290="",0,$P290*AG290)</f>
        <v/>
      </c>
      <c r="AE290" s="64">
        <f>IF($A290="","",IFERROR(INDEX(계정매핑!$E$5:$E$504,MATCH($F290&amp;"",계정매핑!$A$5:$A$504,0))&amp;"","공통비"))</f>
        <v/>
      </c>
      <c r="AF290" s="64">
        <f>IF($A290="","",IF(AE290="직접",IFERROR(INDEX(계정매핑!$F$5:$F$504,MATCH($F290&amp;"",계정매핑!$A$5:$A$504,0))&amp;"","비귀속"),""))</f>
        <v/>
      </c>
      <c r="AG290" s="96">
        <f>IF($A290="",0,IF(AND(AE290&lt;&gt;"직접",IFERROR(INDEX(계정매핑!$G$5:$G$504,MATCH($F290&amp;"",계정매핑!$A$5:$A$504,0))&amp;"","")="유지비",COUNTIF(계정대체기준!$A$6:$A$15,$N290)&gt;0),IFERROR(INDEX(계정대체기준!$E$6:$E$15,MATCH(VALUE($A290&amp;""),계정대체기준!$D$6:$D$15,0)),0),0))</f>
        <v/>
      </c>
      <c r="AH290" s="64">
        <f>IF($A290="","",IF(AD290=0,"",IF(OR(COUNTIF(계정대체기준!$A$77:$A$86,$N290)&gt;0,ISNUMBER(MATCH($X290,계정대체기준!$D$77:$D$86,0)),ISNUMBER(MATCH($F290,계정대체기준!$D$77:$D$86,0))),"Y","N")))</f>
        <v/>
      </c>
    </row>
    <row r="291">
      <c r="A291" s="92" t="n">
        <v>2025</v>
      </c>
      <c r="B291" s="92" t="n">
        <v>2</v>
      </c>
      <c r="C291" s="92" t="inlineStr">
        <is>
          <t>5100000287</t>
        </is>
      </c>
      <c r="D291" s="95" t="n">
        <v>45696</v>
      </c>
      <c r="E291" s="92" t="inlineStr">
        <is>
          <t>KR</t>
        </is>
      </c>
      <c r="F291" s="92" t="n">
        <v>62201000</v>
      </c>
      <c r="G291" s="92" t="n">
        <v>1951</v>
      </c>
      <c r="H291" s="93" t="n">
        <v>353000</v>
      </c>
      <c r="I291" s="92" t="inlineStr">
        <is>
          <t>2월 통신요금 - P통신</t>
        </is>
      </c>
      <c r="J291" s="92" t="inlineStr">
        <is>
          <t>V10014</t>
        </is>
      </c>
      <c r="K291" s="92" t="inlineStr">
        <is>
          <t>P통신</t>
        </is>
      </c>
      <c r="M291" s="9">
        <f>IF($A291="","",VALUE($A291&amp;"")*12+VALUE($B291&amp;""))</f>
        <v/>
      </c>
      <c r="N291" s="64">
        <f>IF($A291="","",IFERROR(INDEX(부서매핑!$C$5:$C$504,MATCH($G291&amp;"",부서매핑!$A$5:$A$504,0)),"미매핑"))</f>
        <v/>
      </c>
      <c r="O291" s="9">
        <f>IF($A291="","",N291&amp;"|"&amp;$F291)</f>
        <v/>
      </c>
      <c r="P291" s="94">
        <f>IF($A291="",0,$H291*설정!$C$23)</f>
        <v/>
      </c>
      <c r="Q291" s="64">
        <f>IF($A291="","",IF(O291&lt;&gt;원인분석!$C$9,"",IF(AND(M291&gt;=원인분석!$C$10,M291&lt;=원인분석!$C$11),"당기",IF(AND(M291&gt;=원인분석!$C$12,M291&lt;=원인분석!$C$13),"비교",""))))</f>
        <v/>
      </c>
      <c r="R291" s="9">
        <f>IF(Q291="","",$K291&amp;"")</f>
        <v/>
      </c>
      <c r="S291" s="9">
        <f>IF(Q291="","",IF(MATCH(R291,$R$5:$R$100000,0)=ROW()-4,ROW(),""))</f>
        <v/>
      </c>
      <c r="T291" s="9">
        <f>IF(Q291="당기",ABS(P291)+ROW()/1000000000,"")</f>
        <v/>
      </c>
      <c r="U291" s="9">
        <f>IF(Q291="비교",ABS(P291)+ROW()/1000000000,"")</f>
        <v/>
      </c>
      <c r="V291" s="64">
        <f>IF($A291="","",IF(COUNTIF(변동분석!$E$7:$E$506,O291)&gt;0,"Y","N"))</f>
        <v/>
      </c>
      <c r="W291" s="64">
        <f>IF($A291="","",IFERROR(INDEX(계정매핑!$D$5:$D$504,MATCH($F291&amp;"",계정매핑!$A$5:$A$504,0)),"미매핑"))</f>
        <v/>
      </c>
      <c r="X291" s="9">
        <f>IF($A291="","",$F291&amp;"")</f>
        <v/>
      </c>
      <c r="Y291" s="94">
        <f>IF($A291="",0,IF(AE291="직접",IF(AF291="비귀속",$P291,0),$P291*(1-AG291)*IFERROR(INDEX(계정대체기준!$F$20:$F$49,MATCH($N291,계정대체기준!$A$20:$A$49,0)),1)))</f>
        <v/>
      </c>
      <c r="Z291" s="94">
        <f>IF($A291="",0,IF(AE291="직접",IF(AF291="신계약비",$P291,0),$P291*(1-AG291)*IFERROR(INDEX(계정대체기준!$C$20:$C$49,MATCH($N291,계정대체기준!$A$20:$A$49,0)),0)))</f>
        <v/>
      </c>
      <c r="AA291" s="94">
        <f>IF($A291="",0,IF(AE291="직접",IF(OR(AF291="유지비",AF291="손해조사비"),$P291,0),$P291*(1-AG291)*IFERROR(INDEX(계정대체기준!$D$20:$D$49,MATCH($N291,계정대체기준!$A$20:$A$49,0)),0)))</f>
        <v/>
      </c>
      <c r="AB291" s="94">
        <f>IF($A291="",0,IF(AE291="직접",IF(AF291="수금비",$P291,0),$P291*(1-AG291)*IFERROR(INDEX(계정대체기준!$E$20:$E$49,MATCH($N291,계정대체기준!$A$20:$A$49,0)),0)))</f>
        <v/>
      </c>
      <c r="AC291" s="9">
        <f>IF(AND($A291&lt;&gt;"",M291=설정!$C$20,Z291&gt;0),Z291+ROW()/1000000000,"")</f>
        <v/>
      </c>
      <c r="AD291" s="94">
        <f>IF($A291="",0,$P291*AG291)</f>
        <v/>
      </c>
      <c r="AE291" s="64">
        <f>IF($A291="","",IFERROR(INDEX(계정매핑!$E$5:$E$504,MATCH($F291&amp;"",계정매핑!$A$5:$A$504,0))&amp;"","공통비"))</f>
        <v/>
      </c>
      <c r="AF291" s="64">
        <f>IF($A291="","",IF(AE291="직접",IFERROR(INDEX(계정매핑!$F$5:$F$504,MATCH($F291&amp;"",계정매핑!$A$5:$A$504,0))&amp;"","비귀속"),""))</f>
        <v/>
      </c>
      <c r="AG291" s="96">
        <f>IF($A291="",0,IF(AND(AE291&lt;&gt;"직접",IFERROR(INDEX(계정매핑!$G$5:$G$504,MATCH($F291&amp;"",계정매핑!$A$5:$A$504,0))&amp;"","")="유지비",COUNTIF(계정대체기준!$A$6:$A$15,$N291)&gt;0),IFERROR(INDEX(계정대체기준!$E$6:$E$15,MATCH(VALUE($A291&amp;""),계정대체기준!$D$6:$D$15,0)),0),0))</f>
        <v/>
      </c>
      <c r="AH291" s="64">
        <f>IF($A291="","",IF(AD291=0,"",IF(OR(COUNTIF(계정대체기준!$A$77:$A$86,$N291)&gt;0,ISNUMBER(MATCH($X291,계정대체기준!$D$77:$D$86,0)),ISNUMBER(MATCH($F291,계정대체기준!$D$77:$D$86,0))),"Y","N")))</f>
        <v/>
      </c>
    </row>
    <row r="292">
      <c r="A292" s="92" t="n">
        <v>2025</v>
      </c>
      <c r="B292" s="92" t="n">
        <v>2</v>
      </c>
      <c r="C292" s="92" t="inlineStr">
        <is>
          <t>5100000288</t>
        </is>
      </c>
      <c r="D292" s="95" t="n">
        <v>45696</v>
      </c>
      <c r="E292" s="92" t="inlineStr">
        <is>
          <t>KR</t>
        </is>
      </c>
      <c r="F292" s="92" t="n">
        <v>62301000</v>
      </c>
      <c r="G292" s="92" t="n">
        <v>1201</v>
      </c>
      <c r="H292" s="93" t="n">
        <v>168000</v>
      </c>
      <c r="I292" s="92" t="inlineStr">
        <is>
          <t>2월 소모품 구입 - R문구</t>
        </is>
      </c>
      <c r="J292" s="92" t="inlineStr">
        <is>
          <t>V10022</t>
        </is>
      </c>
      <c r="K292" s="92" t="inlineStr">
        <is>
          <t>R문구</t>
        </is>
      </c>
      <c r="M292" s="9">
        <f>IF($A292="","",VALUE($A292&amp;"")*12+VALUE($B292&amp;""))</f>
        <v/>
      </c>
      <c r="N292" s="64">
        <f>IF($A292="","",IFERROR(INDEX(부서매핑!$C$5:$C$504,MATCH($G292&amp;"",부서매핑!$A$5:$A$504,0)),"미매핑"))</f>
        <v/>
      </c>
      <c r="O292" s="9">
        <f>IF($A292="","",N292&amp;"|"&amp;$F292)</f>
        <v/>
      </c>
      <c r="P292" s="94">
        <f>IF($A292="",0,$H292*설정!$C$23)</f>
        <v/>
      </c>
      <c r="Q292" s="64">
        <f>IF($A292="","",IF(O292&lt;&gt;원인분석!$C$9,"",IF(AND(M292&gt;=원인분석!$C$10,M292&lt;=원인분석!$C$11),"당기",IF(AND(M292&gt;=원인분석!$C$12,M292&lt;=원인분석!$C$13),"비교",""))))</f>
        <v/>
      </c>
      <c r="R292" s="9">
        <f>IF(Q292="","",$K292&amp;"")</f>
        <v/>
      </c>
      <c r="S292" s="9">
        <f>IF(Q292="","",IF(MATCH(R292,$R$5:$R$100000,0)=ROW()-4,ROW(),""))</f>
        <v/>
      </c>
      <c r="T292" s="9">
        <f>IF(Q292="당기",ABS(P292)+ROW()/1000000000,"")</f>
        <v/>
      </c>
      <c r="U292" s="9">
        <f>IF(Q292="비교",ABS(P292)+ROW()/1000000000,"")</f>
        <v/>
      </c>
      <c r="V292" s="64">
        <f>IF($A292="","",IF(COUNTIF(변동분석!$E$7:$E$506,O292)&gt;0,"Y","N"))</f>
        <v/>
      </c>
      <c r="W292" s="64">
        <f>IF($A292="","",IFERROR(INDEX(계정매핑!$D$5:$D$504,MATCH($F292&amp;"",계정매핑!$A$5:$A$504,0)),"미매핑"))</f>
        <v/>
      </c>
      <c r="X292" s="9">
        <f>IF($A292="","",$F292&amp;"")</f>
        <v/>
      </c>
      <c r="Y292" s="94">
        <f>IF($A292="",0,IF(AE292="직접",IF(AF292="비귀속",$P292,0),$P292*(1-AG292)*IFERROR(INDEX(계정대체기준!$F$20:$F$49,MATCH($N292,계정대체기준!$A$20:$A$49,0)),1)))</f>
        <v/>
      </c>
      <c r="Z292" s="94">
        <f>IF($A292="",0,IF(AE292="직접",IF(AF292="신계약비",$P292,0),$P292*(1-AG292)*IFERROR(INDEX(계정대체기준!$C$20:$C$49,MATCH($N292,계정대체기준!$A$20:$A$49,0)),0)))</f>
        <v/>
      </c>
      <c r="AA292" s="94">
        <f>IF($A292="",0,IF(AE292="직접",IF(OR(AF292="유지비",AF292="손해조사비"),$P292,0),$P292*(1-AG292)*IFERROR(INDEX(계정대체기준!$D$20:$D$49,MATCH($N292,계정대체기준!$A$20:$A$49,0)),0)))</f>
        <v/>
      </c>
      <c r="AB292" s="94">
        <f>IF($A292="",0,IF(AE292="직접",IF(AF292="수금비",$P292,0),$P292*(1-AG292)*IFERROR(INDEX(계정대체기준!$E$20:$E$49,MATCH($N292,계정대체기준!$A$20:$A$49,0)),0)))</f>
        <v/>
      </c>
      <c r="AC292" s="9">
        <f>IF(AND($A292&lt;&gt;"",M292=설정!$C$20,Z292&gt;0),Z292+ROW()/1000000000,"")</f>
        <v/>
      </c>
      <c r="AD292" s="94">
        <f>IF($A292="",0,$P292*AG292)</f>
        <v/>
      </c>
      <c r="AE292" s="64">
        <f>IF($A292="","",IFERROR(INDEX(계정매핑!$E$5:$E$504,MATCH($F292&amp;"",계정매핑!$A$5:$A$504,0))&amp;"","공통비"))</f>
        <v/>
      </c>
      <c r="AF292" s="64">
        <f>IF($A292="","",IF(AE292="직접",IFERROR(INDEX(계정매핑!$F$5:$F$504,MATCH($F292&amp;"",계정매핑!$A$5:$A$504,0))&amp;"","비귀속"),""))</f>
        <v/>
      </c>
      <c r="AG292" s="96">
        <f>IF($A292="",0,IF(AND(AE292&lt;&gt;"직접",IFERROR(INDEX(계정매핑!$G$5:$G$504,MATCH($F292&amp;"",계정매핑!$A$5:$A$504,0))&amp;"","")="유지비",COUNTIF(계정대체기준!$A$6:$A$15,$N292)&gt;0),IFERROR(INDEX(계정대체기준!$E$6:$E$15,MATCH(VALUE($A292&amp;""),계정대체기준!$D$6:$D$15,0)),0),0))</f>
        <v/>
      </c>
      <c r="AH292" s="64">
        <f>IF($A292="","",IF(AD292=0,"",IF(OR(COUNTIF(계정대체기준!$A$77:$A$86,$N292)&gt;0,ISNUMBER(MATCH($X292,계정대체기준!$D$77:$D$86,0)),ISNUMBER(MATCH($F292,계정대체기준!$D$77:$D$86,0))),"Y","N")))</f>
        <v/>
      </c>
    </row>
    <row r="293">
      <c r="A293" s="92" t="n">
        <v>2025</v>
      </c>
      <c r="B293" s="92" t="n">
        <v>2</v>
      </c>
      <c r="C293" s="92" t="inlineStr">
        <is>
          <t>5100000289</t>
        </is>
      </c>
      <c r="D293" s="95" t="n">
        <v>45696</v>
      </c>
      <c r="E293" s="92" t="inlineStr">
        <is>
          <t>KR</t>
        </is>
      </c>
      <c r="F293" s="92" t="n">
        <v>62902000</v>
      </c>
      <c r="G293" s="92" t="n">
        <v>1951</v>
      </c>
      <c r="H293" s="93" t="n">
        <v>3042000</v>
      </c>
      <c r="I293" s="92" t="inlineStr">
        <is>
          <t>2월 업무 위탁 수수료 - J콜센터</t>
        </is>
      </c>
      <c r="J293" s="92" t="inlineStr">
        <is>
          <t>V10016</t>
        </is>
      </c>
      <c r="K293" s="92" t="inlineStr">
        <is>
          <t>J콜센터</t>
        </is>
      </c>
      <c r="M293" s="9">
        <f>IF($A293="","",VALUE($A293&amp;"")*12+VALUE($B293&amp;""))</f>
        <v/>
      </c>
      <c r="N293" s="64">
        <f>IF($A293="","",IFERROR(INDEX(부서매핑!$C$5:$C$504,MATCH($G293&amp;"",부서매핑!$A$5:$A$504,0)),"미매핑"))</f>
        <v/>
      </c>
      <c r="O293" s="9">
        <f>IF($A293="","",N293&amp;"|"&amp;$F293)</f>
        <v/>
      </c>
      <c r="P293" s="94">
        <f>IF($A293="",0,$H293*설정!$C$23)</f>
        <v/>
      </c>
      <c r="Q293" s="64">
        <f>IF($A293="","",IF(O293&lt;&gt;원인분석!$C$9,"",IF(AND(M293&gt;=원인분석!$C$10,M293&lt;=원인분석!$C$11),"당기",IF(AND(M293&gt;=원인분석!$C$12,M293&lt;=원인분석!$C$13),"비교",""))))</f>
        <v/>
      </c>
      <c r="R293" s="9">
        <f>IF(Q293="","",$K293&amp;"")</f>
        <v/>
      </c>
      <c r="S293" s="9">
        <f>IF(Q293="","",IF(MATCH(R293,$R$5:$R$100000,0)=ROW()-4,ROW(),""))</f>
        <v/>
      </c>
      <c r="T293" s="9">
        <f>IF(Q293="당기",ABS(P293)+ROW()/1000000000,"")</f>
        <v/>
      </c>
      <c r="U293" s="9">
        <f>IF(Q293="비교",ABS(P293)+ROW()/1000000000,"")</f>
        <v/>
      </c>
      <c r="V293" s="64">
        <f>IF($A293="","",IF(COUNTIF(변동분석!$E$7:$E$506,O293)&gt;0,"Y","N"))</f>
        <v/>
      </c>
      <c r="W293" s="64">
        <f>IF($A293="","",IFERROR(INDEX(계정매핑!$D$5:$D$504,MATCH($F293&amp;"",계정매핑!$A$5:$A$504,0)),"미매핑"))</f>
        <v/>
      </c>
      <c r="X293" s="9">
        <f>IF($A293="","",$F293&amp;"")</f>
        <v/>
      </c>
      <c r="Y293" s="94">
        <f>IF($A293="",0,IF(AE293="직접",IF(AF293="비귀속",$P293,0),$P293*(1-AG293)*IFERROR(INDEX(계정대체기준!$F$20:$F$49,MATCH($N293,계정대체기준!$A$20:$A$49,0)),1)))</f>
        <v/>
      </c>
      <c r="Z293" s="94">
        <f>IF($A293="",0,IF(AE293="직접",IF(AF293="신계약비",$P293,0),$P293*(1-AG293)*IFERROR(INDEX(계정대체기준!$C$20:$C$49,MATCH($N293,계정대체기준!$A$20:$A$49,0)),0)))</f>
        <v/>
      </c>
      <c r="AA293" s="94">
        <f>IF($A293="",0,IF(AE293="직접",IF(OR(AF293="유지비",AF293="손해조사비"),$P293,0),$P293*(1-AG293)*IFERROR(INDEX(계정대체기준!$D$20:$D$49,MATCH($N293,계정대체기준!$A$20:$A$49,0)),0)))</f>
        <v/>
      </c>
      <c r="AB293" s="94">
        <f>IF($A293="",0,IF(AE293="직접",IF(AF293="수금비",$P293,0),$P293*(1-AG293)*IFERROR(INDEX(계정대체기준!$E$20:$E$49,MATCH($N293,계정대체기준!$A$20:$A$49,0)),0)))</f>
        <v/>
      </c>
      <c r="AC293" s="9">
        <f>IF(AND($A293&lt;&gt;"",M293=설정!$C$20,Z293&gt;0),Z293+ROW()/1000000000,"")</f>
        <v/>
      </c>
      <c r="AD293" s="94">
        <f>IF($A293="",0,$P293*AG293)</f>
        <v/>
      </c>
      <c r="AE293" s="64">
        <f>IF($A293="","",IFERROR(INDEX(계정매핑!$E$5:$E$504,MATCH($F293&amp;"",계정매핑!$A$5:$A$504,0))&amp;"","공통비"))</f>
        <v/>
      </c>
      <c r="AF293" s="64">
        <f>IF($A293="","",IF(AE293="직접",IFERROR(INDEX(계정매핑!$F$5:$F$504,MATCH($F293&amp;"",계정매핑!$A$5:$A$504,0))&amp;"","비귀속"),""))</f>
        <v/>
      </c>
      <c r="AG293" s="96">
        <f>IF($A293="",0,IF(AND(AE293&lt;&gt;"직접",IFERROR(INDEX(계정매핑!$G$5:$G$504,MATCH($F293&amp;"",계정매핑!$A$5:$A$504,0))&amp;"","")="유지비",COUNTIF(계정대체기준!$A$6:$A$15,$N293)&gt;0),IFERROR(INDEX(계정대체기준!$E$6:$E$15,MATCH(VALUE($A293&amp;""),계정대체기준!$D$6:$D$15,0)),0),0))</f>
        <v/>
      </c>
      <c r="AH293" s="64">
        <f>IF($A293="","",IF(AD293=0,"",IF(OR(COUNTIF(계정대체기준!$A$77:$A$86,$N293)&gt;0,ISNUMBER(MATCH($X293,계정대체기준!$D$77:$D$86,0)),ISNUMBER(MATCH($F293,계정대체기준!$D$77:$D$86,0))),"Y","N")))</f>
        <v/>
      </c>
    </row>
    <row r="294">
      <c r="A294" s="92" t="n">
        <v>2025</v>
      </c>
      <c r="B294" s="92" t="n">
        <v>2</v>
      </c>
      <c r="C294" s="92" t="inlineStr">
        <is>
          <t>5100000290</t>
        </is>
      </c>
      <c r="D294" s="95" t="n">
        <v>45696</v>
      </c>
      <c r="E294" s="92" t="inlineStr">
        <is>
          <t>KR</t>
        </is>
      </c>
      <c r="F294" s="92" t="n">
        <v>62902000</v>
      </c>
      <c r="G294" s="92" t="n">
        <v>1951</v>
      </c>
      <c r="H294" s="93" t="n">
        <v>2224000</v>
      </c>
      <c r="I294" s="92" t="inlineStr">
        <is>
          <t>2월 업무 위탁 수수료 - X서비스</t>
        </is>
      </c>
      <c r="J294" s="92" t="inlineStr">
        <is>
          <t>V10020</t>
        </is>
      </c>
      <c r="K294" s="92" t="inlineStr">
        <is>
          <t>X서비스</t>
        </is>
      </c>
      <c r="M294" s="9">
        <f>IF($A294="","",VALUE($A294&amp;"")*12+VALUE($B294&amp;""))</f>
        <v/>
      </c>
      <c r="N294" s="64">
        <f>IF($A294="","",IFERROR(INDEX(부서매핑!$C$5:$C$504,MATCH($G294&amp;"",부서매핑!$A$5:$A$504,0)),"미매핑"))</f>
        <v/>
      </c>
      <c r="O294" s="9">
        <f>IF($A294="","",N294&amp;"|"&amp;$F294)</f>
        <v/>
      </c>
      <c r="P294" s="94">
        <f>IF($A294="",0,$H294*설정!$C$23)</f>
        <v/>
      </c>
      <c r="Q294" s="64">
        <f>IF($A294="","",IF(O294&lt;&gt;원인분석!$C$9,"",IF(AND(M294&gt;=원인분석!$C$10,M294&lt;=원인분석!$C$11),"당기",IF(AND(M294&gt;=원인분석!$C$12,M294&lt;=원인분석!$C$13),"비교",""))))</f>
        <v/>
      </c>
      <c r="R294" s="9">
        <f>IF(Q294="","",$K294&amp;"")</f>
        <v/>
      </c>
      <c r="S294" s="9">
        <f>IF(Q294="","",IF(MATCH(R294,$R$5:$R$100000,0)=ROW()-4,ROW(),""))</f>
        <v/>
      </c>
      <c r="T294" s="9">
        <f>IF(Q294="당기",ABS(P294)+ROW()/1000000000,"")</f>
        <v/>
      </c>
      <c r="U294" s="9">
        <f>IF(Q294="비교",ABS(P294)+ROW()/1000000000,"")</f>
        <v/>
      </c>
      <c r="V294" s="64">
        <f>IF($A294="","",IF(COUNTIF(변동분석!$E$7:$E$506,O294)&gt;0,"Y","N"))</f>
        <v/>
      </c>
      <c r="W294" s="64">
        <f>IF($A294="","",IFERROR(INDEX(계정매핑!$D$5:$D$504,MATCH($F294&amp;"",계정매핑!$A$5:$A$504,0)),"미매핑"))</f>
        <v/>
      </c>
      <c r="X294" s="9">
        <f>IF($A294="","",$F294&amp;"")</f>
        <v/>
      </c>
      <c r="Y294" s="94">
        <f>IF($A294="",0,IF(AE294="직접",IF(AF294="비귀속",$P294,0),$P294*(1-AG294)*IFERROR(INDEX(계정대체기준!$F$20:$F$49,MATCH($N294,계정대체기준!$A$20:$A$49,0)),1)))</f>
        <v/>
      </c>
      <c r="Z294" s="94">
        <f>IF($A294="",0,IF(AE294="직접",IF(AF294="신계약비",$P294,0),$P294*(1-AG294)*IFERROR(INDEX(계정대체기준!$C$20:$C$49,MATCH($N294,계정대체기준!$A$20:$A$49,0)),0)))</f>
        <v/>
      </c>
      <c r="AA294" s="94">
        <f>IF($A294="",0,IF(AE294="직접",IF(OR(AF294="유지비",AF294="손해조사비"),$P294,0),$P294*(1-AG294)*IFERROR(INDEX(계정대체기준!$D$20:$D$49,MATCH($N294,계정대체기준!$A$20:$A$49,0)),0)))</f>
        <v/>
      </c>
      <c r="AB294" s="94">
        <f>IF($A294="",0,IF(AE294="직접",IF(AF294="수금비",$P294,0),$P294*(1-AG294)*IFERROR(INDEX(계정대체기준!$E$20:$E$49,MATCH($N294,계정대체기준!$A$20:$A$49,0)),0)))</f>
        <v/>
      </c>
      <c r="AC294" s="9">
        <f>IF(AND($A294&lt;&gt;"",M294=설정!$C$20,Z294&gt;0),Z294+ROW()/1000000000,"")</f>
        <v/>
      </c>
      <c r="AD294" s="94">
        <f>IF($A294="",0,$P294*AG294)</f>
        <v/>
      </c>
      <c r="AE294" s="64">
        <f>IF($A294="","",IFERROR(INDEX(계정매핑!$E$5:$E$504,MATCH($F294&amp;"",계정매핑!$A$5:$A$504,0))&amp;"","공통비"))</f>
        <v/>
      </c>
      <c r="AF294" s="64">
        <f>IF($A294="","",IF(AE294="직접",IFERROR(INDEX(계정매핑!$F$5:$F$504,MATCH($F294&amp;"",계정매핑!$A$5:$A$504,0))&amp;"","비귀속"),""))</f>
        <v/>
      </c>
      <c r="AG294" s="96">
        <f>IF($A294="",0,IF(AND(AE294&lt;&gt;"직접",IFERROR(INDEX(계정매핑!$G$5:$G$504,MATCH($F294&amp;"",계정매핑!$A$5:$A$504,0))&amp;"","")="유지비",COUNTIF(계정대체기준!$A$6:$A$15,$N294)&gt;0),IFERROR(INDEX(계정대체기준!$E$6:$E$15,MATCH(VALUE($A294&amp;""),계정대체기준!$D$6:$D$15,0)),0),0))</f>
        <v/>
      </c>
      <c r="AH294" s="64">
        <f>IF($A294="","",IF(AD294=0,"",IF(OR(COUNTIF(계정대체기준!$A$77:$A$86,$N294)&gt;0,ISNUMBER(MATCH($X294,계정대체기준!$D$77:$D$86,0)),ISNUMBER(MATCH($F294,계정대체기준!$D$77:$D$86,0))),"Y","N")))</f>
        <v/>
      </c>
    </row>
    <row r="295">
      <c r="A295" s="92" t="n">
        <v>2025</v>
      </c>
      <c r="B295" s="92" t="n">
        <v>2</v>
      </c>
      <c r="C295" s="92" t="inlineStr">
        <is>
          <t>5100000291</t>
        </is>
      </c>
      <c r="D295" s="95" t="n">
        <v>45696</v>
      </c>
      <c r="E295" s="92" t="inlineStr">
        <is>
          <t>KR</t>
        </is>
      </c>
      <c r="F295" s="92" t="n">
        <v>63001000</v>
      </c>
      <c r="G295" s="92" t="n">
        <v>1951</v>
      </c>
      <c r="H295" s="93" t="n">
        <v>2694000</v>
      </c>
      <c r="I295" s="92" t="inlineStr">
        <is>
          <t>2월 SW 유지보수 - Z시스템</t>
        </is>
      </c>
      <c r="J295" s="92" t="inlineStr">
        <is>
          <t>V10012</t>
        </is>
      </c>
      <c r="K295" s="92" t="inlineStr">
        <is>
          <t>Z시스템</t>
        </is>
      </c>
      <c r="M295" s="9">
        <f>IF($A295="","",VALUE($A295&amp;"")*12+VALUE($B295&amp;""))</f>
        <v/>
      </c>
      <c r="N295" s="64">
        <f>IF($A295="","",IFERROR(INDEX(부서매핑!$C$5:$C$504,MATCH($G295&amp;"",부서매핑!$A$5:$A$504,0)),"미매핑"))</f>
        <v/>
      </c>
      <c r="O295" s="9">
        <f>IF($A295="","",N295&amp;"|"&amp;$F295)</f>
        <v/>
      </c>
      <c r="P295" s="94">
        <f>IF($A295="",0,$H295*설정!$C$23)</f>
        <v/>
      </c>
      <c r="Q295" s="64">
        <f>IF($A295="","",IF(O295&lt;&gt;원인분석!$C$9,"",IF(AND(M295&gt;=원인분석!$C$10,M295&lt;=원인분석!$C$11),"당기",IF(AND(M295&gt;=원인분석!$C$12,M295&lt;=원인분석!$C$13),"비교",""))))</f>
        <v/>
      </c>
      <c r="R295" s="9">
        <f>IF(Q295="","",$K295&amp;"")</f>
        <v/>
      </c>
      <c r="S295" s="9">
        <f>IF(Q295="","",IF(MATCH(R295,$R$5:$R$100000,0)=ROW()-4,ROW(),""))</f>
        <v/>
      </c>
      <c r="T295" s="9">
        <f>IF(Q295="당기",ABS(P295)+ROW()/1000000000,"")</f>
        <v/>
      </c>
      <c r="U295" s="9">
        <f>IF(Q295="비교",ABS(P295)+ROW()/1000000000,"")</f>
        <v/>
      </c>
      <c r="V295" s="64">
        <f>IF($A295="","",IF(COUNTIF(변동분석!$E$7:$E$506,O295)&gt;0,"Y","N"))</f>
        <v/>
      </c>
      <c r="W295" s="64">
        <f>IF($A295="","",IFERROR(INDEX(계정매핑!$D$5:$D$504,MATCH($F295&amp;"",계정매핑!$A$5:$A$504,0)),"미매핑"))</f>
        <v/>
      </c>
      <c r="X295" s="9">
        <f>IF($A295="","",$F295&amp;"")</f>
        <v/>
      </c>
      <c r="Y295" s="94">
        <f>IF($A295="",0,IF(AE295="직접",IF(AF295="비귀속",$P295,0),$P295*(1-AG295)*IFERROR(INDEX(계정대체기준!$F$20:$F$49,MATCH($N295,계정대체기준!$A$20:$A$49,0)),1)))</f>
        <v/>
      </c>
      <c r="Z295" s="94">
        <f>IF($A295="",0,IF(AE295="직접",IF(AF295="신계약비",$P295,0),$P295*(1-AG295)*IFERROR(INDEX(계정대체기준!$C$20:$C$49,MATCH($N295,계정대체기준!$A$20:$A$49,0)),0)))</f>
        <v/>
      </c>
      <c r="AA295" s="94">
        <f>IF($A295="",0,IF(AE295="직접",IF(OR(AF295="유지비",AF295="손해조사비"),$P295,0),$P295*(1-AG295)*IFERROR(INDEX(계정대체기준!$D$20:$D$49,MATCH($N295,계정대체기준!$A$20:$A$49,0)),0)))</f>
        <v/>
      </c>
      <c r="AB295" s="94">
        <f>IF($A295="",0,IF(AE295="직접",IF(AF295="수금비",$P295,0),$P295*(1-AG295)*IFERROR(INDEX(계정대체기준!$E$20:$E$49,MATCH($N295,계정대체기준!$A$20:$A$49,0)),0)))</f>
        <v/>
      </c>
      <c r="AC295" s="9">
        <f>IF(AND($A295&lt;&gt;"",M295=설정!$C$20,Z295&gt;0),Z295+ROW()/1000000000,"")</f>
        <v/>
      </c>
      <c r="AD295" s="94">
        <f>IF($A295="",0,$P295*AG295)</f>
        <v/>
      </c>
      <c r="AE295" s="64">
        <f>IF($A295="","",IFERROR(INDEX(계정매핑!$E$5:$E$504,MATCH($F295&amp;"",계정매핑!$A$5:$A$504,0))&amp;"","공통비"))</f>
        <v/>
      </c>
      <c r="AF295" s="64">
        <f>IF($A295="","",IF(AE295="직접",IFERROR(INDEX(계정매핑!$F$5:$F$504,MATCH($F295&amp;"",계정매핑!$A$5:$A$504,0))&amp;"","비귀속"),""))</f>
        <v/>
      </c>
      <c r="AG295" s="96">
        <f>IF($A295="",0,IF(AND(AE295&lt;&gt;"직접",IFERROR(INDEX(계정매핑!$G$5:$G$504,MATCH($F295&amp;"",계정매핑!$A$5:$A$504,0))&amp;"","")="유지비",COUNTIF(계정대체기준!$A$6:$A$15,$N295)&gt;0),IFERROR(INDEX(계정대체기준!$E$6:$E$15,MATCH(VALUE($A295&amp;""),계정대체기준!$D$6:$D$15,0)),0),0))</f>
        <v/>
      </c>
      <c r="AH295" s="64">
        <f>IF($A295="","",IF(AD295=0,"",IF(OR(COUNTIF(계정대체기준!$A$77:$A$86,$N295)&gt;0,ISNUMBER(MATCH($X295,계정대체기준!$D$77:$D$86,0)),ISNUMBER(MATCH($F295,계정대체기준!$D$77:$D$86,0))),"Y","N")))</f>
        <v/>
      </c>
    </row>
    <row r="296">
      <c r="A296" s="92" t="n">
        <v>2025</v>
      </c>
      <c r="B296" s="92" t="n">
        <v>2</v>
      </c>
      <c r="C296" s="92" t="inlineStr">
        <is>
          <t>5100000292</t>
        </is>
      </c>
      <c r="D296" s="95" t="n">
        <v>45696</v>
      </c>
      <c r="E296" s="92" t="inlineStr">
        <is>
          <t>KR</t>
        </is>
      </c>
      <c r="F296" s="92" t="n">
        <v>63501000</v>
      </c>
      <c r="G296" s="92" t="n">
        <v>1901</v>
      </c>
      <c r="H296" s="93" t="n">
        <v>367015000</v>
      </c>
      <c r="I296" s="92" t="inlineStr">
        <is>
          <t>2월 모집수수료 - AA보험대리점</t>
        </is>
      </c>
      <c r="J296" s="92" t="inlineStr">
        <is>
          <t>V10034</t>
        </is>
      </c>
      <c r="K296" s="92" t="inlineStr">
        <is>
          <t>AA보험대리점</t>
        </is>
      </c>
      <c r="M296" s="9">
        <f>IF($A296="","",VALUE($A296&amp;"")*12+VALUE($B296&amp;""))</f>
        <v/>
      </c>
      <c r="N296" s="64">
        <f>IF($A296="","",IFERROR(INDEX(부서매핑!$C$5:$C$504,MATCH($G296&amp;"",부서매핑!$A$5:$A$504,0)),"미매핑"))</f>
        <v/>
      </c>
      <c r="O296" s="9">
        <f>IF($A296="","",N296&amp;"|"&amp;$F296)</f>
        <v/>
      </c>
      <c r="P296" s="94">
        <f>IF($A296="",0,$H296*설정!$C$23)</f>
        <v/>
      </c>
      <c r="Q296" s="64">
        <f>IF($A296="","",IF(O296&lt;&gt;원인분석!$C$9,"",IF(AND(M296&gt;=원인분석!$C$10,M296&lt;=원인분석!$C$11),"당기",IF(AND(M296&gt;=원인분석!$C$12,M296&lt;=원인분석!$C$13),"비교",""))))</f>
        <v/>
      </c>
      <c r="R296" s="9">
        <f>IF(Q296="","",$K296&amp;"")</f>
        <v/>
      </c>
      <c r="S296" s="9">
        <f>IF(Q296="","",IF(MATCH(R296,$R$5:$R$100000,0)=ROW()-4,ROW(),""))</f>
        <v/>
      </c>
      <c r="T296" s="9">
        <f>IF(Q296="당기",ABS(P296)+ROW()/1000000000,"")</f>
        <v/>
      </c>
      <c r="U296" s="9">
        <f>IF(Q296="비교",ABS(P296)+ROW()/1000000000,"")</f>
        <v/>
      </c>
      <c r="V296" s="64">
        <f>IF($A296="","",IF(COUNTIF(변동분석!$E$7:$E$506,O296)&gt;0,"Y","N"))</f>
        <v/>
      </c>
      <c r="W296" s="64">
        <f>IF($A296="","",IFERROR(INDEX(계정매핑!$D$5:$D$504,MATCH($F296&amp;"",계정매핑!$A$5:$A$504,0)),"미매핑"))</f>
        <v/>
      </c>
      <c r="X296" s="9">
        <f>IF($A296="","",$F296&amp;"")</f>
        <v/>
      </c>
      <c r="Y296" s="94">
        <f>IF($A296="",0,IF(AE296="직접",IF(AF296="비귀속",$P296,0),$P296*(1-AG296)*IFERROR(INDEX(계정대체기준!$F$20:$F$49,MATCH($N296,계정대체기준!$A$20:$A$49,0)),1)))</f>
        <v/>
      </c>
      <c r="Z296" s="94">
        <f>IF($A296="",0,IF(AE296="직접",IF(AF296="신계약비",$P296,0),$P296*(1-AG296)*IFERROR(INDEX(계정대체기준!$C$20:$C$49,MATCH($N296,계정대체기준!$A$20:$A$49,0)),0)))</f>
        <v/>
      </c>
      <c r="AA296" s="94">
        <f>IF($A296="",0,IF(AE296="직접",IF(OR(AF296="유지비",AF296="손해조사비"),$P296,0),$P296*(1-AG296)*IFERROR(INDEX(계정대체기준!$D$20:$D$49,MATCH($N296,계정대체기준!$A$20:$A$49,0)),0)))</f>
        <v/>
      </c>
      <c r="AB296" s="94">
        <f>IF($A296="",0,IF(AE296="직접",IF(AF296="수금비",$P296,0),$P296*(1-AG296)*IFERROR(INDEX(계정대체기준!$E$20:$E$49,MATCH($N296,계정대체기준!$A$20:$A$49,0)),0)))</f>
        <v/>
      </c>
      <c r="AC296" s="9">
        <f>IF(AND($A296&lt;&gt;"",M296=설정!$C$20,Z296&gt;0),Z296+ROW()/1000000000,"")</f>
        <v/>
      </c>
      <c r="AD296" s="94">
        <f>IF($A296="",0,$P296*AG296)</f>
        <v/>
      </c>
      <c r="AE296" s="64">
        <f>IF($A296="","",IFERROR(INDEX(계정매핑!$E$5:$E$504,MATCH($F296&amp;"",계정매핑!$A$5:$A$504,0))&amp;"","공통비"))</f>
        <v/>
      </c>
      <c r="AF296" s="64">
        <f>IF($A296="","",IF(AE296="직접",IFERROR(INDEX(계정매핑!$F$5:$F$504,MATCH($F296&amp;"",계정매핑!$A$5:$A$504,0))&amp;"","비귀속"),""))</f>
        <v/>
      </c>
      <c r="AG296" s="96">
        <f>IF($A296="",0,IF(AND(AE296&lt;&gt;"직접",IFERROR(INDEX(계정매핑!$G$5:$G$504,MATCH($F296&amp;"",계정매핑!$A$5:$A$504,0))&amp;"","")="유지비",COUNTIF(계정대체기준!$A$6:$A$15,$N296)&gt;0),IFERROR(INDEX(계정대체기준!$E$6:$E$15,MATCH(VALUE($A296&amp;""),계정대체기준!$D$6:$D$15,0)),0),0))</f>
        <v/>
      </c>
      <c r="AH296" s="64">
        <f>IF($A296="","",IF(AD296=0,"",IF(OR(COUNTIF(계정대체기준!$A$77:$A$86,$N296)&gt;0,ISNUMBER(MATCH($X296,계정대체기준!$D$77:$D$86,0)),ISNUMBER(MATCH($F296,계정대체기준!$D$77:$D$86,0))),"Y","N")))</f>
        <v/>
      </c>
    </row>
    <row r="297">
      <c r="A297" s="92" t="n">
        <v>2025</v>
      </c>
      <c r="B297" s="92" t="n">
        <v>2</v>
      </c>
      <c r="C297" s="92" t="inlineStr">
        <is>
          <t>5100000293</t>
        </is>
      </c>
      <c r="D297" s="95" t="n">
        <v>45697</v>
      </c>
      <c r="E297" s="92" t="inlineStr">
        <is>
          <t>KR</t>
        </is>
      </c>
      <c r="F297" s="92" t="n">
        <v>62101000</v>
      </c>
      <c r="G297" s="92" t="n">
        <v>1301</v>
      </c>
      <c r="H297" s="93" t="n">
        <v>253000</v>
      </c>
      <c r="I297" s="92" t="inlineStr">
        <is>
          <t>2월 국내출장 - M항공</t>
        </is>
      </c>
      <c r="J297" s="92" t="inlineStr">
        <is>
          <t>V10001</t>
        </is>
      </c>
      <c r="K297" s="92" t="inlineStr">
        <is>
          <t>M항공</t>
        </is>
      </c>
      <c r="M297" s="9">
        <f>IF($A297="","",VALUE($A297&amp;"")*12+VALUE($B297&amp;""))</f>
        <v/>
      </c>
      <c r="N297" s="64">
        <f>IF($A297="","",IFERROR(INDEX(부서매핑!$C$5:$C$504,MATCH($G297&amp;"",부서매핑!$A$5:$A$504,0)),"미매핑"))</f>
        <v/>
      </c>
      <c r="O297" s="9">
        <f>IF($A297="","",N297&amp;"|"&amp;$F297)</f>
        <v/>
      </c>
      <c r="P297" s="94">
        <f>IF($A297="",0,$H297*설정!$C$23)</f>
        <v/>
      </c>
      <c r="Q297" s="64">
        <f>IF($A297="","",IF(O297&lt;&gt;원인분석!$C$9,"",IF(AND(M297&gt;=원인분석!$C$10,M297&lt;=원인분석!$C$11),"당기",IF(AND(M297&gt;=원인분석!$C$12,M297&lt;=원인분석!$C$13),"비교",""))))</f>
        <v/>
      </c>
      <c r="R297" s="9">
        <f>IF(Q297="","",$K297&amp;"")</f>
        <v/>
      </c>
      <c r="S297" s="9">
        <f>IF(Q297="","",IF(MATCH(R297,$R$5:$R$100000,0)=ROW()-4,ROW(),""))</f>
        <v/>
      </c>
      <c r="T297" s="9">
        <f>IF(Q297="당기",ABS(P297)+ROW()/1000000000,"")</f>
        <v/>
      </c>
      <c r="U297" s="9">
        <f>IF(Q297="비교",ABS(P297)+ROW()/1000000000,"")</f>
        <v/>
      </c>
      <c r="V297" s="64">
        <f>IF($A297="","",IF(COUNTIF(변동분석!$E$7:$E$506,O297)&gt;0,"Y","N"))</f>
        <v/>
      </c>
      <c r="W297" s="64">
        <f>IF($A297="","",IFERROR(INDEX(계정매핑!$D$5:$D$504,MATCH($F297&amp;"",계정매핑!$A$5:$A$504,0)),"미매핑"))</f>
        <v/>
      </c>
      <c r="X297" s="9">
        <f>IF($A297="","",$F297&amp;"")</f>
        <v/>
      </c>
      <c r="Y297" s="94">
        <f>IF($A297="",0,IF(AE297="직접",IF(AF297="비귀속",$P297,0),$P297*(1-AG297)*IFERROR(INDEX(계정대체기준!$F$20:$F$49,MATCH($N297,계정대체기준!$A$20:$A$49,0)),1)))</f>
        <v/>
      </c>
      <c r="Z297" s="94">
        <f>IF($A297="",0,IF(AE297="직접",IF(AF297="신계약비",$P297,0),$P297*(1-AG297)*IFERROR(INDEX(계정대체기준!$C$20:$C$49,MATCH($N297,계정대체기준!$A$20:$A$49,0)),0)))</f>
        <v/>
      </c>
      <c r="AA297" s="94">
        <f>IF($A297="",0,IF(AE297="직접",IF(OR(AF297="유지비",AF297="손해조사비"),$P297,0),$P297*(1-AG297)*IFERROR(INDEX(계정대체기준!$D$20:$D$49,MATCH($N297,계정대체기준!$A$20:$A$49,0)),0)))</f>
        <v/>
      </c>
      <c r="AB297" s="94">
        <f>IF($A297="",0,IF(AE297="직접",IF(AF297="수금비",$P297,0),$P297*(1-AG297)*IFERROR(INDEX(계정대체기준!$E$20:$E$49,MATCH($N297,계정대체기준!$A$20:$A$49,0)),0)))</f>
        <v/>
      </c>
      <c r="AC297" s="9">
        <f>IF(AND($A297&lt;&gt;"",M297=설정!$C$20,Z297&gt;0),Z297+ROW()/1000000000,"")</f>
        <v/>
      </c>
      <c r="AD297" s="94">
        <f>IF($A297="",0,$P297*AG297)</f>
        <v/>
      </c>
      <c r="AE297" s="64">
        <f>IF($A297="","",IFERROR(INDEX(계정매핑!$E$5:$E$504,MATCH($F297&amp;"",계정매핑!$A$5:$A$504,0))&amp;"","공통비"))</f>
        <v/>
      </c>
      <c r="AF297" s="64">
        <f>IF($A297="","",IF(AE297="직접",IFERROR(INDEX(계정매핑!$F$5:$F$504,MATCH($F297&amp;"",계정매핑!$A$5:$A$504,0))&amp;"","비귀속"),""))</f>
        <v/>
      </c>
      <c r="AG297" s="96">
        <f>IF($A297="",0,IF(AND(AE297&lt;&gt;"직접",IFERROR(INDEX(계정매핑!$G$5:$G$504,MATCH($F297&amp;"",계정매핑!$A$5:$A$504,0))&amp;"","")="유지비",COUNTIF(계정대체기준!$A$6:$A$15,$N297)&gt;0),IFERROR(INDEX(계정대체기준!$E$6:$E$15,MATCH(VALUE($A297&amp;""),계정대체기준!$D$6:$D$15,0)),0),0))</f>
        <v/>
      </c>
      <c r="AH297" s="64">
        <f>IF($A297="","",IF(AD297=0,"",IF(OR(COUNTIF(계정대체기준!$A$77:$A$86,$N297)&gt;0,ISNUMBER(MATCH($X297,계정대체기준!$D$77:$D$86,0)),ISNUMBER(MATCH($F297,계정대체기준!$D$77:$D$86,0))),"Y","N")))</f>
        <v/>
      </c>
    </row>
    <row r="298">
      <c r="A298" s="92" t="n">
        <v>2025</v>
      </c>
      <c r="B298" s="92" t="n">
        <v>2</v>
      </c>
      <c r="C298" s="92" t="inlineStr">
        <is>
          <t>5100000294</t>
        </is>
      </c>
      <c r="D298" s="95" t="n">
        <v>45697</v>
      </c>
      <c r="E298" s="92" t="inlineStr">
        <is>
          <t>KR</t>
        </is>
      </c>
      <c r="F298" s="92" t="n">
        <v>62102000</v>
      </c>
      <c r="G298" s="92" t="n">
        <v>1301</v>
      </c>
      <c r="H298" s="93" t="n">
        <v>137000</v>
      </c>
      <c r="I298" s="92" t="inlineStr">
        <is>
          <t>2월 해외출장 - M항공</t>
        </is>
      </c>
      <c r="J298" s="92" t="inlineStr">
        <is>
          <t>V10001</t>
        </is>
      </c>
      <c r="K298" s="92" t="inlineStr">
        <is>
          <t>M항공</t>
        </is>
      </c>
      <c r="M298" s="9">
        <f>IF($A298="","",VALUE($A298&amp;"")*12+VALUE($B298&amp;""))</f>
        <v/>
      </c>
      <c r="N298" s="64">
        <f>IF($A298="","",IFERROR(INDEX(부서매핑!$C$5:$C$504,MATCH($G298&amp;"",부서매핑!$A$5:$A$504,0)),"미매핑"))</f>
        <v/>
      </c>
      <c r="O298" s="9">
        <f>IF($A298="","",N298&amp;"|"&amp;$F298)</f>
        <v/>
      </c>
      <c r="P298" s="94">
        <f>IF($A298="",0,$H298*설정!$C$23)</f>
        <v/>
      </c>
      <c r="Q298" s="64">
        <f>IF($A298="","",IF(O298&lt;&gt;원인분석!$C$9,"",IF(AND(M298&gt;=원인분석!$C$10,M298&lt;=원인분석!$C$11),"당기",IF(AND(M298&gt;=원인분석!$C$12,M298&lt;=원인분석!$C$13),"비교",""))))</f>
        <v/>
      </c>
      <c r="R298" s="9">
        <f>IF(Q298="","",$K298&amp;"")</f>
        <v/>
      </c>
      <c r="S298" s="9">
        <f>IF(Q298="","",IF(MATCH(R298,$R$5:$R$100000,0)=ROW()-4,ROW(),""))</f>
        <v/>
      </c>
      <c r="T298" s="9">
        <f>IF(Q298="당기",ABS(P298)+ROW()/1000000000,"")</f>
        <v/>
      </c>
      <c r="U298" s="9">
        <f>IF(Q298="비교",ABS(P298)+ROW()/1000000000,"")</f>
        <v/>
      </c>
      <c r="V298" s="64">
        <f>IF($A298="","",IF(COUNTIF(변동분석!$E$7:$E$506,O298)&gt;0,"Y","N"))</f>
        <v/>
      </c>
      <c r="W298" s="64">
        <f>IF($A298="","",IFERROR(INDEX(계정매핑!$D$5:$D$504,MATCH($F298&amp;"",계정매핑!$A$5:$A$504,0)),"미매핑"))</f>
        <v/>
      </c>
      <c r="X298" s="9">
        <f>IF($A298="","",$F298&amp;"")</f>
        <v/>
      </c>
      <c r="Y298" s="94">
        <f>IF($A298="",0,IF(AE298="직접",IF(AF298="비귀속",$P298,0),$P298*(1-AG298)*IFERROR(INDEX(계정대체기준!$F$20:$F$49,MATCH($N298,계정대체기준!$A$20:$A$49,0)),1)))</f>
        <v/>
      </c>
      <c r="Z298" s="94">
        <f>IF($A298="",0,IF(AE298="직접",IF(AF298="신계약비",$P298,0),$P298*(1-AG298)*IFERROR(INDEX(계정대체기준!$C$20:$C$49,MATCH($N298,계정대체기준!$A$20:$A$49,0)),0)))</f>
        <v/>
      </c>
      <c r="AA298" s="94">
        <f>IF($A298="",0,IF(AE298="직접",IF(OR(AF298="유지비",AF298="손해조사비"),$P298,0),$P298*(1-AG298)*IFERROR(INDEX(계정대체기준!$D$20:$D$49,MATCH($N298,계정대체기준!$A$20:$A$49,0)),0)))</f>
        <v/>
      </c>
      <c r="AB298" s="94">
        <f>IF($A298="",0,IF(AE298="직접",IF(AF298="수금비",$P298,0),$P298*(1-AG298)*IFERROR(INDEX(계정대체기준!$E$20:$E$49,MATCH($N298,계정대체기준!$A$20:$A$49,0)),0)))</f>
        <v/>
      </c>
      <c r="AC298" s="9">
        <f>IF(AND($A298&lt;&gt;"",M298=설정!$C$20,Z298&gt;0),Z298+ROW()/1000000000,"")</f>
        <v/>
      </c>
      <c r="AD298" s="94">
        <f>IF($A298="",0,$P298*AG298)</f>
        <v/>
      </c>
      <c r="AE298" s="64">
        <f>IF($A298="","",IFERROR(INDEX(계정매핑!$E$5:$E$504,MATCH($F298&amp;"",계정매핑!$A$5:$A$504,0))&amp;"","공통비"))</f>
        <v/>
      </c>
      <c r="AF298" s="64">
        <f>IF($A298="","",IF(AE298="직접",IFERROR(INDEX(계정매핑!$F$5:$F$504,MATCH($F298&amp;"",계정매핑!$A$5:$A$504,0))&amp;"","비귀속"),""))</f>
        <v/>
      </c>
      <c r="AG298" s="96">
        <f>IF($A298="",0,IF(AND(AE298&lt;&gt;"직접",IFERROR(INDEX(계정매핑!$G$5:$G$504,MATCH($F298&amp;"",계정매핑!$A$5:$A$504,0))&amp;"","")="유지비",COUNTIF(계정대체기준!$A$6:$A$15,$N298)&gt;0),IFERROR(INDEX(계정대체기준!$E$6:$E$15,MATCH(VALUE($A298&amp;""),계정대체기준!$D$6:$D$15,0)),0),0))</f>
        <v/>
      </c>
      <c r="AH298" s="64">
        <f>IF($A298="","",IF(AD298=0,"",IF(OR(COUNTIF(계정대체기준!$A$77:$A$86,$N298)&gt;0,ISNUMBER(MATCH($X298,계정대체기준!$D$77:$D$86,0)),ISNUMBER(MATCH($F298,계정대체기준!$D$77:$D$86,0))),"Y","N")))</f>
        <v/>
      </c>
    </row>
    <row r="299">
      <c r="A299" s="92" t="n">
        <v>2025</v>
      </c>
      <c r="B299" s="92" t="n">
        <v>2</v>
      </c>
      <c r="C299" s="92" t="inlineStr">
        <is>
          <t>5100000295</t>
        </is>
      </c>
      <c r="D299" s="95" t="n">
        <v>45697</v>
      </c>
      <c r="E299" s="92" t="inlineStr">
        <is>
          <t>KR</t>
        </is>
      </c>
      <c r="F299" s="92" t="n">
        <v>62102000</v>
      </c>
      <c r="G299" s="92" t="n">
        <v>1951</v>
      </c>
      <c r="H299" s="93" t="n">
        <v>67000</v>
      </c>
      <c r="I299" s="92" t="inlineStr">
        <is>
          <t>2월 해외출장 - M항공</t>
        </is>
      </c>
      <c r="J299" s="92" t="inlineStr">
        <is>
          <t>V10001</t>
        </is>
      </c>
      <c r="K299" s="92" t="inlineStr">
        <is>
          <t>M항공</t>
        </is>
      </c>
      <c r="M299" s="9">
        <f>IF($A299="","",VALUE($A299&amp;"")*12+VALUE($B299&amp;""))</f>
        <v/>
      </c>
      <c r="N299" s="64">
        <f>IF($A299="","",IFERROR(INDEX(부서매핑!$C$5:$C$504,MATCH($G299&amp;"",부서매핑!$A$5:$A$504,0)),"미매핑"))</f>
        <v/>
      </c>
      <c r="O299" s="9">
        <f>IF($A299="","",N299&amp;"|"&amp;$F299)</f>
        <v/>
      </c>
      <c r="P299" s="94">
        <f>IF($A299="",0,$H299*설정!$C$23)</f>
        <v/>
      </c>
      <c r="Q299" s="64">
        <f>IF($A299="","",IF(O299&lt;&gt;원인분석!$C$9,"",IF(AND(M299&gt;=원인분석!$C$10,M299&lt;=원인분석!$C$11),"당기",IF(AND(M299&gt;=원인분석!$C$12,M299&lt;=원인분석!$C$13),"비교",""))))</f>
        <v/>
      </c>
      <c r="R299" s="9">
        <f>IF(Q299="","",$K299&amp;"")</f>
        <v/>
      </c>
      <c r="S299" s="9">
        <f>IF(Q299="","",IF(MATCH(R299,$R$5:$R$100000,0)=ROW()-4,ROW(),""))</f>
        <v/>
      </c>
      <c r="T299" s="9">
        <f>IF(Q299="당기",ABS(P299)+ROW()/1000000000,"")</f>
        <v/>
      </c>
      <c r="U299" s="9">
        <f>IF(Q299="비교",ABS(P299)+ROW()/1000000000,"")</f>
        <v/>
      </c>
      <c r="V299" s="64">
        <f>IF($A299="","",IF(COUNTIF(변동분석!$E$7:$E$506,O299)&gt;0,"Y","N"))</f>
        <v/>
      </c>
      <c r="W299" s="64">
        <f>IF($A299="","",IFERROR(INDEX(계정매핑!$D$5:$D$504,MATCH($F299&amp;"",계정매핑!$A$5:$A$504,0)),"미매핑"))</f>
        <v/>
      </c>
      <c r="X299" s="9">
        <f>IF($A299="","",$F299&amp;"")</f>
        <v/>
      </c>
      <c r="Y299" s="94">
        <f>IF($A299="",0,IF(AE299="직접",IF(AF299="비귀속",$P299,0),$P299*(1-AG299)*IFERROR(INDEX(계정대체기준!$F$20:$F$49,MATCH($N299,계정대체기준!$A$20:$A$49,0)),1)))</f>
        <v/>
      </c>
      <c r="Z299" s="94">
        <f>IF($A299="",0,IF(AE299="직접",IF(AF299="신계약비",$P299,0),$P299*(1-AG299)*IFERROR(INDEX(계정대체기준!$C$20:$C$49,MATCH($N299,계정대체기준!$A$20:$A$49,0)),0)))</f>
        <v/>
      </c>
      <c r="AA299" s="94">
        <f>IF($A299="",0,IF(AE299="직접",IF(OR(AF299="유지비",AF299="손해조사비"),$P299,0),$P299*(1-AG299)*IFERROR(INDEX(계정대체기준!$D$20:$D$49,MATCH($N299,계정대체기준!$A$20:$A$49,0)),0)))</f>
        <v/>
      </c>
      <c r="AB299" s="94">
        <f>IF($A299="",0,IF(AE299="직접",IF(AF299="수금비",$P299,0),$P299*(1-AG299)*IFERROR(INDEX(계정대체기준!$E$20:$E$49,MATCH($N299,계정대체기준!$A$20:$A$49,0)),0)))</f>
        <v/>
      </c>
      <c r="AC299" s="9">
        <f>IF(AND($A299&lt;&gt;"",M299=설정!$C$20,Z299&gt;0),Z299+ROW()/1000000000,"")</f>
        <v/>
      </c>
      <c r="AD299" s="94">
        <f>IF($A299="",0,$P299*AG299)</f>
        <v/>
      </c>
      <c r="AE299" s="64">
        <f>IF($A299="","",IFERROR(INDEX(계정매핑!$E$5:$E$504,MATCH($F299&amp;"",계정매핑!$A$5:$A$504,0))&amp;"","공통비"))</f>
        <v/>
      </c>
      <c r="AF299" s="64">
        <f>IF($A299="","",IF(AE299="직접",IFERROR(INDEX(계정매핑!$F$5:$F$504,MATCH($F299&amp;"",계정매핑!$A$5:$A$504,0))&amp;"","비귀속"),""))</f>
        <v/>
      </c>
      <c r="AG299" s="96">
        <f>IF($A299="",0,IF(AND(AE299&lt;&gt;"직접",IFERROR(INDEX(계정매핑!$G$5:$G$504,MATCH($F299&amp;"",계정매핑!$A$5:$A$504,0))&amp;"","")="유지비",COUNTIF(계정대체기준!$A$6:$A$15,$N299)&gt;0),IFERROR(INDEX(계정대체기준!$E$6:$E$15,MATCH(VALUE($A299&amp;""),계정대체기준!$D$6:$D$15,0)),0),0))</f>
        <v/>
      </c>
      <c r="AH299" s="64">
        <f>IF($A299="","",IF(AD299=0,"",IF(OR(COUNTIF(계정대체기준!$A$77:$A$86,$N299)&gt;0,ISNUMBER(MATCH($X299,계정대체기준!$D$77:$D$86,0)),ISNUMBER(MATCH($F299,계정대체기준!$D$77:$D$86,0))),"Y","N")))</f>
        <v/>
      </c>
    </row>
    <row r="300">
      <c r="A300" s="92" t="n">
        <v>2025</v>
      </c>
      <c r="B300" s="92" t="n">
        <v>2</v>
      </c>
      <c r="C300" s="92" t="inlineStr">
        <is>
          <t>5100000296</t>
        </is>
      </c>
      <c r="D300" s="95" t="n">
        <v>45697</v>
      </c>
      <c r="E300" s="92" t="inlineStr">
        <is>
          <t>KR</t>
        </is>
      </c>
      <c r="F300" s="92" t="n">
        <v>62201000</v>
      </c>
      <c r="G300" s="92" t="n">
        <v>1701</v>
      </c>
      <c r="H300" s="93" t="n">
        <v>3142000</v>
      </c>
      <c r="I300" s="92" t="inlineStr">
        <is>
          <t>2월 통신요금 - P통신</t>
        </is>
      </c>
      <c r="J300" s="92" t="inlineStr">
        <is>
          <t>V10014</t>
        </is>
      </c>
      <c r="K300" s="92" t="inlineStr">
        <is>
          <t>P통신</t>
        </is>
      </c>
      <c r="M300" s="9">
        <f>IF($A300="","",VALUE($A300&amp;"")*12+VALUE($B300&amp;""))</f>
        <v/>
      </c>
      <c r="N300" s="64">
        <f>IF($A300="","",IFERROR(INDEX(부서매핑!$C$5:$C$504,MATCH($G300&amp;"",부서매핑!$A$5:$A$504,0)),"미매핑"))</f>
        <v/>
      </c>
      <c r="O300" s="9">
        <f>IF($A300="","",N300&amp;"|"&amp;$F300)</f>
        <v/>
      </c>
      <c r="P300" s="94">
        <f>IF($A300="",0,$H300*설정!$C$23)</f>
        <v/>
      </c>
      <c r="Q300" s="64">
        <f>IF($A300="","",IF(O300&lt;&gt;원인분석!$C$9,"",IF(AND(M300&gt;=원인분석!$C$10,M300&lt;=원인분석!$C$11),"당기",IF(AND(M300&gt;=원인분석!$C$12,M300&lt;=원인분석!$C$13),"비교",""))))</f>
        <v/>
      </c>
      <c r="R300" s="9">
        <f>IF(Q300="","",$K300&amp;"")</f>
        <v/>
      </c>
      <c r="S300" s="9">
        <f>IF(Q300="","",IF(MATCH(R300,$R$5:$R$100000,0)=ROW()-4,ROW(),""))</f>
        <v/>
      </c>
      <c r="T300" s="9">
        <f>IF(Q300="당기",ABS(P300)+ROW()/1000000000,"")</f>
        <v/>
      </c>
      <c r="U300" s="9">
        <f>IF(Q300="비교",ABS(P300)+ROW()/1000000000,"")</f>
        <v/>
      </c>
      <c r="V300" s="64">
        <f>IF($A300="","",IF(COUNTIF(변동분석!$E$7:$E$506,O300)&gt;0,"Y","N"))</f>
        <v/>
      </c>
      <c r="W300" s="64">
        <f>IF($A300="","",IFERROR(INDEX(계정매핑!$D$5:$D$504,MATCH($F300&amp;"",계정매핑!$A$5:$A$504,0)),"미매핑"))</f>
        <v/>
      </c>
      <c r="X300" s="9">
        <f>IF($A300="","",$F300&amp;"")</f>
        <v/>
      </c>
      <c r="Y300" s="94">
        <f>IF($A300="",0,IF(AE300="직접",IF(AF300="비귀속",$P300,0),$P300*(1-AG300)*IFERROR(INDEX(계정대체기준!$F$20:$F$49,MATCH($N300,계정대체기준!$A$20:$A$49,0)),1)))</f>
        <v/>
      </c>
      <c r="Z300" s="94">
        <f>IF($A300="",0,IF(AE300="직접",IF(AF300="신계약비",$P300,0),$P300*(1-AG300)*IFERROR(INDEX(계정대체기준!$C$20:$C$49,MATCH($N300,계정대체기준!$A$20:$A$49,0)),0)))</f>
        <v/>
      </c>
      <c r="AA300" s="94">
        <f>IF($A300="",0,IF(AE300="직접",IF(OR(AF300="유지비",AF300="손해조사비"),$P300,0),$P300*(1-AG300)*IFERROR(INDEX(계정대체기준!$D$20:$D$49,MATCH($N300,계정대체기준!$A$20:$A$49,0)),0)))</f>
        <v/>
      </c>
      <c r="AB300" s="94">
        <f>IF($A300="",0,IF(AE300="직접",IF(AF300="수금비",$P300,0),$P300*(1-AG300)*IFERROR(INDEX(계정대체기준!$E$20:$E$49,MATCH($N300,계정대체기준!$A$20:$A$49,0)),0)))</f>
        <v/>
      </c>
      <c r="AC300" s="9">
        <f>IF(AND($A300&lt;&gt;"",M300=설정!$C$20,Z300&gt;0),Z300+ROW()/1000000000,"")</f>
        <v/>
      </c>
      <c r="AD300" s="94">
        <f>IF($A300="",0,$P300*AG300)</f>
        <v/>
      </c>
      <c r="AE300" s="64">
        <f>IF($A300="","",IFERROR(INDEX(계정매핑!$E$5:$E$504,MATCH($F300&amp;"",계정매핑!$A$5:$A$504,0))&amp;"","공통비"))</f>
        <v/>
      </c>
      <c r="AF300" s="64">
        <f>IF($A300="","",IF(AE300="직접",IFERROR(INDEX(계정매핑!$F$5:$F$504,MATCH($F300&amp;"",계정매핑!$A$5:$A$504,0))&amp;"","비귀속"),""))</f>
        <v/>
      </c>
      <c r="AG300" s="96">
        <f>IF($A300="",0,IF(AND(AE300&lt;&gt;"직접",IFERROR(INDEX(계정매핑!$G$5:$G$504,MATCH($F300&amp;"",계정매핑!$A$5:$A$504,0))&amp;"","")="유지비",COUNTIF(계정대체기준!$A$6:$A$15,$N300)&gt;0),IFERROR(INDEX(계정대체기준!$E$6:$E$15,MATCH(VALUE($A300&amp;""),계정대체기준!$D$6:$D$15,0)),0),0))</f>
        <v/>
      </c>
      <c r="AH300" s="64">
        <f>IF($A300="","",IF(AD300=0,"",IF(OR(COUNTIF(계정대체기준!$A$77:$A$86,$N300)&gt;0,ISNUMBER(MATCH($X300,계정대체기준!$D$77:$D$86,0)),ISNUMBER(MATCH($F300,계정대체기준!$D$77:$D$86,0))),"Y","N")))</f>
        <v/>
      </c>
    </row>
    <row r="301">
      <c r="A301" s="92" t="n">
        <v>2025</v>
      </c>
      <c r="B301" s="92" t="n">
        <v>2</v>
      </c>
      <c r="C301" s="92" t="inlineStr">
        <is>
          <t>5100000297</t>
        </is>
      </c>
      <c r="D301" s="95" t="n">
        <v>45697</v>
      </c>
      <c r="E301" s="92" t="inlineStr">
        <is>
          <t>KR</t>
        </is>
      </c>
      <c r="F301" s="92" t="n">
        <v>63501000</v>
      </c>
      <c r="G301" s="92" t="n">
        <v>1901</v>
      </c>
      <c r="H301" s="93" t="n">
        <v>549282000</v>
      </c>
      <c r="I301" s="92" t="inlineStr">
        <is>
          <t>2월 모집수수료 - (전속설계사)</t>
        </is>
      </c>
      <c r="J301" s="92" t="inlineStr">
        <is>
          <t>V10021</t>
        </is>
      </c>
      <c r="K301" s="92" t="inlineStr">
        <is>
          <t>(전속설계사)</t>
        </is>
      </c>
      <c r="M301" s="9">
        <f>IF($A301="","",VALUE($A301&amp;"")*12+VALUE($B301&amp;""))</f>
        <v/>
      </c>
      <c r="N301" s="64">
        <f>IF($A301="","",IFERROR(INDEX(부서매핑!$C$5:$C$504,MATCH($G301&amp;"",부서매핑!$A$5:$A$504,0)),"미매핑"))</f>
        <v/>
      </c>
      <c r="O301" s="9">
        <f>IF($A301="","",N301&amp;"|"&amp;$F301)</f>
        <v/>
      </c>
      <c r="P301" s="94">
        <f>IF($A301="",0,$H301*설정!$C$23)</f>
        <v/>
      </c>
      <c r="Q301" s="64">
        <f>IF($A301="","",IF(O301&lt;&gt;원인분석!$C$9,"",IF(AND(M301&gt;=원인분석!$C$10,M301&lt;=원인분석!$C$11),"당기",IF(AND(M301&gt;=원인분석!$C$12,M301&lt;=원인분석!$C$13),"비교",""))))</f>
        <v/>
      </c>
      <c r="R301" s="9">
        <f>IF(Q301="","",$K301&amp;"")</f>
        <v/>
      </c>
      <c r="S301" s="9">
        <f>IF(Q301="","",IF(MATCH(R301,$R$5:$R$100000,0)=ROW()-4,ROW(),""))</f>
        <v/>
      </c>
      <c r="T301" s="9">
        <f>IF(Q301="당기",ABS(P301)+ROW()/1000000000,"")</f>
        <v/>
      </c>
      <c r="U301" s="9">
        <f>IF(Q301="비교",ABS(P301)+ROW()/1000000000,"")</f>
        <v/>
      </c>
      <c r="V301" s="64">
        <f>IF($A301="","",IF(COUNTIF(변동분석!$E$7:$E$506,O301)&gt;0,"Y","N"))</f>
        <v/>
      </c>
      <c r="W301" s="64">
        <f>IF($A301="","",IFERROR(INDEX(계정매핑!$D$5:$D$504,MATCH($F301&amp;"",계정매핑!$A$5:$A$504,0)),"미매핑"))</f>
        <v/>
      </c>
      <c r="X301" s="9">
        <f>IF($A301="","",$F301&amp;"")</f>
        <v/>
      </c>
      <c r="Y301" s="94">
        <f>IF($A301="",0,IF(AE301="직접",IF(AF301="비귀속",$P301,0),$P301*(1-AG301)*IFERROR(INDEX(계정대체기준!$F$20:$F$49,MATCH($N301,계정대체기준!$A$20:$A$49,0)),1)))</f>
        <v/>
      </c>
      <c r="Z301" s="94">
        <f>IF($A301="",0,IF(AE301="직접",IF(AF301="신계약비",$P301,0),$P301*(1-AG301)*IFERROR(INDEX(계정대체기준!$C$20:$C$49,MATCH($N301,계정대체기준!$A$20:$A$49,0)),0)))</f>
        <v/>
      </c>
      <c r="AA301" s="94">
        <f>IF($A301="",0,IF(AE301="직접",IF(OR(AF301="유지비",AF301="손해조사비"),$P301,0),$P301*(1-AG301)*IFERROR(INDEX(계정대체기준!$D$20:$D$49,MATCH($N301,계정대체기준!$A$20:$A$49,0)),0)))</f>
        <v/>
      </c>
      <c r="AB301" s="94">
        <f>IF($A301="",0,IF(AE301="직접",IF(AF301="수금비",$P301,0),$P301*(1-AG301)*IFERROR(INDEX(계정대체기준!$E$20:$E$49,MATCH($N301,계정대체기준!$A$20:$A$49,0)),0)))</f>
        <v/>
      </c>
      <c r="AC301" s="9">
        <f>IF(AND($A301&lt;&gt;"",M301=설정!$C$20,Z301&gt;0),Z301+ROW()/1000000000,"")</f>
        <v/>
      </c>
      <c r="AD301" s="94">
        <f>IF($A301="",0,$P301*AG301)</f>
        <v/>
      </c>
      <c r="AE301" s="64">
        <f>IF($A301="","",IFERROR(INDEX(계정매핑!$E$5:$E$504,MATCH($F301&amp;"",계정매핑!$A$5:$A$504,0))&amp;"","공통비"))</f>
        <v/>
      </c>
      <c r="AF301" s="64">
        <f>IF($A301="","",IF(AE301="직접",IFERROR(INDEX(계정매핑!$F$5:$F$504,MATCH($F301&amp;"",계정매핑!$A$5:$A$504,0))&amp;"","비귀속"),""))</f>
        <v/>
      </c>
      <c r="AG301" s="96">
        <f>IF($A301="",0,IF(AND(AE301&lt;&gt;"직접",IFERROR(INDEX(계정매핑!$G$5:$G$504,MATCH($F301&amp;"",계정매핑!$A$5:$A$504,0))&amp;"","")="유지비",COUNTIF(계정대체기준!$A$6:$A$15,$N301)&gt;0),IFERROR(INDEX(계정대체기준!$E$6:$E$15,MATCH(VALUE($A301&amp;""),계정대체기준!$D$6:$D$15,0)),0),0))</f>
        <v/>
      </c>
      <c r="AH301" s="64">
        <f>IF($A301="","",IF(AD301=0,"",IF(OR(COUNTIF(계정대체기준!$A$77:$A$86,$N301)&gt;0,ISNUMBER(MATCH($X301,계정대체기준!$D$77:$D$86,0)),ISNUMBER(MATCH($F301,계정대체기준!$D$77:$D$86,0))),"Y","N")))</f>
        <v/>
      </c>
    </row>
    <row r="302">
      <c r="A302" s="92" t="n">
        <v>2025</v>
      </c>
      <c r="B302" s="92" t="n">
        <v>2</v>
      </c>
      <c r="C302" s="92" t="inlineStr">
        <is>
          <t>5100000298</t>
        </is>
      </c>
      <c r="D302" s="95" t="n">
        <v>45698</v>
      </c>
      <c r="E302" s="92" t="inlineStr">
        <is>
          <t>KR</t>
        </is>
      </c>
      <c r="F302" s="92" t="n">
        <v>62102000</v>
      </c>
      <c r="G302" s="92" t="n">
        <v>1602</v>
      </c>
      <c r="H302" s="93" t="n">
        <v>264000</v>
      </c>
      <c r="I302" s="92" t="inlineStr">
        <is>
          <t>2월 해외출장 - M항공</t>
        </is>
      </c>
      <c r="J302" s="92" t="inlineStr">
        <is>
          <t>V10001</t>
        </is>
      </c>
      <c r="K302" s="92" t="inlineStr">
        <is>
          <t>M항공</t>
        </is>
      </c>
      <c r="M302" s="9">
        <f>IF($A302="","",VALUE($A302&amp;"")*12+VALUE($B302&amp;""))</f>
        <v/>
      </c>
      <c r="N302" s="64">
        <f>IF($A302="","",IFERROR(INDEX(부서매핑!$C$5:$C$504,MATCH($G302&amp;"",부서매핑!$A$5:$A$504,0)),"미매핑"))</f>
        <v/>
      </c>
      <c r="O302" s="9">
        <f>IF($A302="","",N302&amp;"|"&amp;$F302)</f>
        <v/>
      </c>
      <c r="P302" s="94">
        <f>IF($A302="",0,$H302*설정!$C$23)</f>
        <v/>
      </c>
      <c r="Q302" s="64">
        <f>IF($A302="","",IF(O302&lt;&gt;원인분석!$C$9,"",IF(AND(M302&gt;=원인분석!$C$10,M302&lt;=원인분석!$C$11),"당기",IF(AND(M302&gt;=원인분석!$C$12,M302&lt;=원인분석!$C$13),"비교",""))))</f>
        <v/>
      </c>
      <c r="R302" s="9">
        <f>IF(Q302="","",$K302&amp;"")</f>
        <v/>
      </c>
      <c r="S302" s="9">
        <f>IF(Q302="","",IF(MATCH(R302,$R$5:$R$100000,0)=ROW()-4,ROW(),""))</f>
        <v/>
      </c>
      <c r="T302" s="9">
        <f>IF(Q302="당기",ABS(P302)+ROW()/1000000000,"")</f>
        <v/>
      </c>
      <c r="U302" s="9">
        <f>IF(Q302="비교",ABS(P302)+ROW()/1000000000,"")</f>
        <v/>
      </c>
      <c r="V302" s="64">
        <f>IF($A302="","",IF(COUNTIF(변동분석!$E$7:$E$506,O302)&gt;0,"Y","N"))</f>
        <v/>
      </c>
      <c r="W302" s="64">
        <f>IF($A302="","",IFERROR(INDEX(계정매핑!$D$5:$D$504,MATCH($F302&amp;"",계정매핑!$A$5:$A$504,0)),"미매핑"))</f>
        <v/>
      </c>
      <c r="X302" s="9">
        <f>IF($A302="","",$F302&amp;"")</f>
        <v/>
      </c>
      <c r="Y302" s="94">
        <f>IF($A302="",0,IF(AE302="직접",IF(AF302="비귀속",$P302,0),$P302*(1-AG302)*IFERROR(INDEX(계정대체기준!$F$20:$F$49,MATCH($N302,계정대체기준!$A$20:$A$49,0)),1)))</f>
        <v/>
      </c>
      <c r="Z302" s="94">
        <f>IF($A302="",0,IF(AE302="직접",IF(AF302="신계약비",$P302,0),$P302*(1-AG302)*IFERROR(INDEX(계정대체기준!$C$20:$C$49,MATCH($N302,계정대체기준!$A$20:$A$49,0)),0)))</f>
        <v/>
      </c>
      <c r="AA302" s="94">
        <f>IF($A302="",0,IF(AE302="직접",IF(OR(AF302="유지비",AF302="손해조사비"),$P302,0),$P302*(1-AG302)*IFERROR(INDEX(계정대체기준!$D$20:$D$49,MATCH($N302,계정대체기준!$A$20:$A$49,0)),0)))</f>
        <v/>
      </c>
      <c r="AB302" s="94">
        <f>IF($A302="",0,IF(AE302="직접",IF(AF302="수금비",$P302,0),$P302*(1-AG302)*IFERROR(INDEX(계정대체기준!$E$20:$E$49,MATCH($N302,계정대체기준!$A$20:$A$49,0)),0)))</f>
        <v/>
      </c>
      <c r="AC302" s="9">
        <f>IF(AND($A302&lt;&gt;"",M302=설정!$C$20,Z302&gt;0),Z302+ROW()/1000000000,"")</f>
        <v/>
      </c>
      <c r="AD302" s="94">
        <f>IF($A302="",0,$P302*AG302)</f>
        <v/>
      </c>
      <c r="AE302" s="64">
        <f>IF($A302="","",IFERROR(INDEX(계정매핑!$E$5:$E$504,MATCH($F302&amp;"",계정매핑!$A$5:$A$504,0))&amp;"","공통비"))</f>
        <v/>
      </c>
      <c r="AF302" s="64">
        <f>IF($A302="","",IF(AE302="직접",IFERROR(INDEX(계정매핑!$F$5:$F$504,MATCH($F302&amp;"",계정매핑!$A$5:$A$504,0))&amp;"","비귀속"),""))</f>
        <v/>
      </c>
      <c r="AG302" s="96">
        <f>IF($A302="",0,IF(AND(AE302&lt;&gt;"직접",IFERROR(INDEX(계정매핑!$G$5:$G$504,MATCH($F302&amp;"",계정매핑!$A$5:$A$504,0))&amp;"","")="유지비",COUNTIF(계정대체기준!$A$6:$A$15,$N302)&gt;0),IFERROR(INDEX(계정대체기준!$E$6:$E$15,MATCH(VALUE($A302&amp;""),계정대체기준!$D$6:$D$15,0)),0),0))</f>
        <v/>
      </c>
      <c r="AH302" s="64">
        <f>IF($A302="","",IF(AD302=0,"",IF(OR(COUNTIF(계정대체기준!$A$77:$A$86,$N302)&gt;0,ISNUMBER(MATCH($X302,계정대체기준!$D$77:$D$86,0)),ISNUMBER(MATCH($F302,계정대체기준!$D$77:$D$86,0))),"Y","N")))</f>
        <v/>
      </c>
    </row>
    <row r="303">
      <c r="A303" s="92" t="n">
        <v>2025</v>
      </c>
      <c r="B303" s="92" t="n">
        <v>2</v>
      </c>
      <c r="C303" s="92" t="inlineStr">
        <is>
          <t>5100000299</t>
        </is>
      </c>
      <c r="D303" s="95" t="n">
        <v>45698</v>
      </c>
      <c r="E303" s="92" t="inlineStr">
        <is>
          <t>KR</t>
        </is>
      </c>
      <c r="F303" s="92" t="n">
        <v>62201000</v>
      </c>
      <c r="G303" s="92" t="n">
        <v>1301</v>
      </c>
      <c r="H303" s="93" t="n">
        <v>135000</v>
      </c>
      <c r="I303" s="92" t="inlineStr">
        <is>
          <t>2월 통신요금 - O텔레콤</t>
        </is>
      </c>
      <c r="J303" s="92" t="inlineStr">
        <is>
          <t>V10002</t>
        </is>
      </c>
      <c r="K303" s="92" t="inlineStr">
        <is>
          <t>O텔레콤</t>
        </is>
      </c>
      <c r="M303" s="9">
        <f>IF($A303="","",VALUE($A303&amp;"")*12+VALUE($B303&amp;""))</f>
        <v/>
      </c>
      <c r="N303" s="64">
        <f>IF($A303="","",IFERROR(INDEX(부서매핑!$C$5:$C$504,MATCH($G303&amp;"",부서매핑!$A$5:$A$504,0)),"미매핑"))</f>
        <v/>
      </c>
      <c r="O303" s="9">
        <f>IF($A303="","",N303&amp;"|"&amp;$F303)</f>
        <v/>
      </c>
      <c r="P303" s="94">
        <f>IF($A303="",0,$H303*설정!$C$23)</f>
        <v/>
      </c>
      <c r="Q303" s="64">
        <f>IF($A303="","",IF(O303&lt;&gt;원인분석!$C$9,"",IF(AND(M303&gt;=원인분석!$C$10,M303&lt;=원인분석!$C$11),"당기",IF(AND(M303&gt;=원인분석!$C$12,M303&lt;=원인분석!$C$13),"비교",""))))</f>
        <v/>
      </c>
      <c r="R303" s="9">
        <f>IF(Q303="","",$K303&amp;"")</f>
        <v/>
      </c>
      <c r="S303" s="9">
        <f>IF(Q303="","",IF(MATCH(R303,$R$5:$R$100000,0)=ROW()-4,ROW(),""))</f>
        <v/>
      </c>
      <c r="T303" s="9">
        <f>IF(Q303="당기",ABS(P303)+ROW()/1000000000,"")</f>
        <v/>
      </c>
      <c r="U303" s="9">
        <f>IF(Q303="비교",ABS(P303)+ROW()/1000000000,"")</f>
        <v/>
      </c>
      <c r="V303" s="64">
        <f>IF($A303="","",IF(COUNTIF(변동분석!$E$7:$E$506,O303)&gt;0,"Y","N"))</f>
        <v/>
      </c>
      <c r="W303" s="64">
        <f>IF($A303="","",IFERROR(INDEX(계정매핑!$D$5:$D$504,MATCH($F303&amp;"",계정매핑!$A$5:$A$504,0)),"미매핑"))</f>
        <v/>
      </c>
      <c r="X303" s="9">
        <f>IF($A303="","",$F303&amp;"")</f>
        <v/>
      </c>
      <c r="Y303" s="94">
        <f>IF($A303="",0,IF(AE303="직접",IF(AF303="비귀속",$P303,0),$P303*(1-AG303)*IFERROR(INDEX(계정대체기준!$F$20:$F$49,MATCH($N303,계정대체기준!$A$20:$A$49,0)),1)))</f>
        <v/>
      </c>
      <c r="Z303" s="94">
        <f>IF($A303="",0,IF(AE303="직접",IF(AF303="신계약비",$P303,0),$P303*(1-AG303)*IFERROR(INDEX(계정대체기준!$C$20:$C$49,MATCH($N303,계정대체기준!$A$20:$A$49,0)),0)))</f>
        <v/>
      </c>
      <c r="AA303" s="94">
        <f>IF($A303="",0,IF(AE303="직접",IF(OR(AF303="유지비",AF303="손해조사비"),$P303,0),$P303*(1-AG303)*IFERROR(INDEX(계정대체기준!$D$20:$D$49,MATCH($N303,계정대체기준!$A$20:$A$49,0)),0)))</f>
        <v/>
      </c>
      <c r="AB303" s="94">
        <f>IF($A303="",0,IF(AE303="직접",IF(AF303="수금비",$P303,0),$P303*(1-AG303)*IFERROR(INDEX(계정대체기준!$E$20:$E$49,MATCH($N303,계정대체기준!$A$20:$A$49,0)),0)))</f>
        <v/>
      </c>
      <c r="AC303" s="9">
        <f>IF(AND($A303&lt;&gt;"",M303=설정!$C$20,Z303&gt;0),Z303+ROW()/1000000000,"")</f>
        <v/>
      </c>
      <c r="AD303" s="94">
        <f>IF($A303="",0,$P303*AG303)</f>
        <v/>
      </c>
      <c r="AE303" s="64">
        <f>IF($A303="","",IFERROR(INDEX(계정매핑!$E$5:$E$504,MATCH($F303&amp;"",계정매핑!$A$5:$A$504,0))&amp;"","공통비"))</f>
        <v/>
      </c>
      <c r="AF303" s="64">
        <f>IF($A303="","",IF(AE303="직접",IFERROR(INDEX(계정매핑!$F$5:$F$504,MATCH($F303&amp;"",계정매핑!$A$5:$A$504,0))&amp;"","비귀속"),""))</f>
        <v/>
      </c>
      <c r="AG303" s="96">
        <f>IF($A303="",0,IF(AND(AE303&lt;&gt;"직접",IFERROR(INDEX(계정매핑!$G$5:$G$504,MATCH($F303&amp;"",계정매핑!$A$5:$A$504,0))&amp;"","")="유지비",COUNTIF(계정대체기준!$A$6:$A$15,$N303)&gt;0),IFERROR(INDEX(계정대체기준!$E$6:$E$15,MATCH(VALUE($A303&amp;""),계정대체기준!$D$6:$D$15,0)),0),0))</f>
        <v/>
      </c>
      <c r="AH303" s="64">
        <f>IF($A303="","",IF(AD303=0,"",IF(OR(COUNTIF(계정대체기준!$A$77:$A$86,$N303)&gt;0,ISNUMBER(MATCH($X303,계정대체기준!$D$77:$D$86,0)),ISNUMBER(MATCH($F303,계정대체기준!$D$77:$D$86,0))),"Y","N")))</f>
        <v/>
      </c>
    </row>
    <row r="304">
      <c r="A304" s="92" t="n">
        <v>2025</v>
      </c>
      <c r="B304" s="92" t="n">
        <v>2</v>
      </c>
      <c r="C304" s="92" t="inlineStr">
        <is>
          <t>5100000300</t>
        </is>
      </c>
      <c r="D304" s="95" t="n">
        <v>45698</v>
      </c>
      <c r="E304" s="92" t="inlineStr">
        <is>
          <t>KR</t>
        </is>
      </c>
      <c r="F304" s="92" t="n">
        <v>62301000</v>
      </c>
      <c r="G304" s="92" t="n">
        <v>1101</v>
      </c>
      <c r="H304" s="93" t="n">
        <v>169000</v>
      </c>
      <c r="I304" s="92" t="inlineStr">
        <is>
          <t>2월 소모품 구입 - R문구</t>
        </is>
      </c>
      <c r="J304" s="92" t="inlineStr">
        <is>
          <t>V10022</t>
        </is>
      </c>
      <c r="K304" s="92" t="inlineStr">
        <is>
          <t>R문구</t>
        </is>
      </c>
      <c r="M304" s="9">
        <f>IF($A304="","",VALUE($A304&amp;"")*12+VALUE($B304&amp;""))</f>
        <v/>
      </c>
      <c r="N304" s="64">
        <f>IF($A304="","",IFERROR(INDEX(부서매핑!$C$5:$C$504,MATCH($G304&amp;"",부서매핑!$A$5:$A$504,0)),"미매핑"))</f>
        <v/>
      </c>
      <c r="O304" s="9">
        <f>IF($A304="","",N304&amp;"|"&amp;$F304)</f>
        <v/>
      </c>
      <c r="P304" s="94">
        <f>IF($A304="",0,$H304*설정!$C$23)</f>
        <v/>
      </c>
      <c r="Q304" s="64">
        <f>IF($A304="","",IF(O304&lt;&gt;원인분석!$C$9,"",IF(AND(M304&gt;=원인분석!$C$10,M304&lt;=원인분석!$C$11),"당기",IF(AND(M304&gt;=원인분석!$C$12,M304&lt;=원인분석!$C$13),"비교",""))))</f>
        <v/>
      </c>
      <c r="R304" s="9">
        <f>IF(Q304="","",$K304&amp;"")</f>
        <v/>
      </c>
      <c r="S304" s="9">
        <f>IF(Q304="","",IF(MATCH(R304,$R$5:$R$100000,0)=ROW()-4,ROW(),""))</f>
        <v/>
      </c>
      <c r="T304" s="9">
        <f>IF(Q304="당기",ABS(P304)+ROW()/1000000000,"")</f>
        <v/>
      </c>
      <c r="U304" s="9">
        <f>IF(Q304="비교",ABS(P304)+ROW()/1000000000,"")</f>
        <v/>
      </c>
      <c r="V304" s="64">
        <f>IF($A304="","",IF(COUNTIF(변동분석!$E$7:$E$506,O304)&gt;0,"Y","N"))</f>
        <v/>
      </c>
      <c r="W304" s="64">
        <f>IF($A304="","",IFERROR(INDEX(계정매핑!$D$5:$D$504,MATCH($F304&amp;"",계정매핑!$A$5:$A$504,0)),"미매핑"))</f>
        <v/>
      </c>
      <c r="X304" s="9">
        <f>IF($A304="","",$F304&amp;"")</f>
        <v/>
      </c>
      <c r="Y304" s="94">
        <f>IF($A304="",0,IF(AE304="직접",IF(AF304="비귀속",$P304,0),$P304*(1-AG304)*IFERROR(INDEX(계정대체기준!$F$20:$F$49,MATCH($N304,계정대체기준!$A$20:$A$49,0)),1)))</f>
        <v/>
      </c>
      <c r="Z304" s="94">
        <f>IF($A304="",0,IF(AE304="직접",IF(AF304="신계약비",$P304,0),$P304*(1-AG304)*IFERROR(INDEX(계정대체기준!$C$20:$C$49,MATCH($N304,계정대체기준!$A$20:$A$49,0)),0)))</f>
        <v/>
      </c>
      <c r="AA304" s="94">
        <f>IF($A304="",0,IF(AE304="직접",IF(OR(AF304="유지비",AF304="손해조사비"),$P304,0),$P304*(1-AG304)*IFERROR(INDEX(계정대체기준!$D$20:$D$49,MATCH($N304,계정대체기준!$A$20:$A$49,0)),0)))</f>
        <v/>
      </c>
      <c r="AB304" s="94">
        <f>IF($A304="",0,IF(AE304="직접",IF(AF304="수금비",$P304,0),$P304*(1-AG304)*IFERROR(INDEX(계정대체기준!$E$20:$E$49,MATCH($N304,계정대체기준!$A$20:$A$49,0)),0)))</f>
        <v/>
      </c>
      <c r="AC304" s="9">
        <f>IF(AND($A304&lt;&gt;"",M304=설정!$C$20,Z304&gt;0),Z304+ROW()/1000000000,"")</f>
        <v/>
      </c>
      <c r="AD304" s="94">
        <f>IF($A304="",0,$P304*AG304)</f>
        <v/>
      </c>
      <c r="AE304" s="64">
        <f>IF($A304="","",IFERROR(INDEX(계정매핑!$E$5:$E$504,MATCH($F304&amp;"",계정매핑!$A$5:$A$504,0))&amp;"","공통비"))</f>
        <v/>
      </c>
      <c r="AF304" s="64">
        <f>IF($A304="","",IF(AE304="직접",IFERROR(INDEX(계정매핑!$F$5:$F$504,MATCH($F304&amp;"",계정매핑!$A$5:$A$504,0))&amp;"","비귀속"),""))</f>
        <v/>
      </c>
      <c r="AG304" s="96">
        <f>IF($A304="",0,IF(AND(AE304&lt;&gt;"직접",IFERROR(INDEX(계정매핑!$G$5:$G$504,MATCH($F304&amp;"",계정매핑!$A$5:$A$504,0))&amp;"","")="유지비",COUNTIF(계정대체기준!$A$6:$A$15,$N304)&gt;0),IFERROR(INDEX(계정대체기준!$E$6:$E$15,MATCH(VALUE($A304&amp;""),계정대체기준!$D$6:$D$15,0)),0),0))</f>
        <v/>
      </c>
      <c r="AH304" s="64">
        <f>IF($A304="","",IF(AD304=0,"",IF(OR(COUNTIF(계정대체기준!$A$77:$A$86,$N304)&gt;0,ISNUMBER(MATCH($X304,계정대체기준!$D$77:$D$86,0)),ISNUMBER(MATCH($F304,계정대체기준!$D$77:$D$86,0))),"Y","N")))</f>
        <v/>
      </c>
    </row>
    <row r="305">
      <c r="A305" s="92" t="n">
        <v>2025</v>
      </c>
      <c r="B305" s="92" t="n">
        <v>2</v>
      </c>
      <c r="C305" s="92" t="inlineStr">
        <is>
          <t>5100000301</t>
        </is>
      </c>
      <c r="D305" s="95" t="n">
        <v>45698</v>
      </c>
      <c r="E305" s="92" t="inlineStr">
        <is>
          <t>KR</t>
        </is>
      </c>
      <c r="F305" s="92" t="n">
        <v>62701000</v>
      </c>
      <c r="G305" s="92" t="n">
        <v>1502</v>
      </c>
      <c r="H305" s="93" t="n">
        <v>51420000</v>
      </c>
      <c r="I305" s="92" t="inlineStr">
        <is>
          <t>2월 광고 집행 - F애드</t>
        </is>
      </c>
      <c r="J305" s="92" t="inlineStr">
        <is>
          <t>V10023</t>
        </is>
      </c>
      <c r="K305" s="92" t="inlineStr">
        <is>
          <t>F애드</t>
        </is>
      </c>
      <c r="M305" s="9">
        <f>IF($A305="","",VALUE($A305&amp;"")*12+VALUE($B305&amp;""))</f>
        <v/>
      </c>
      <c r="N305" s="64">
        <f>IF($A305="","",IFERROR(INDEX(부서매핑!$C$5:$C$504,MATCH($G305&amp;"",부서매핑!$A$5:$A$504,0)),"미매핑"))</f>
        <v/>
      </c>
      <c r="O305" s="9">
        <f>IF($A305="","",N305&amp;"|"&amp;$F305)</f>
        <v/>
      </c>
      <c r="P305" s="94">
        <f>IF($A305="",0,$H305*설정!$C$23)</f>
        <v/>
      </c>
      <c r="Q305" s="64">
        <f>IF($A305="","",IF(O305&lt;&gt;원인분석!$C$9,"",IF(AND(M305&gt;=원인분석!$C$10,M305&lt;=원인분석!$C$11),"당기",IF(AND(M305&gt;=원인분석!$C$12,M305&lt;=원인분석!$C$13),"비교",""))))</f>
        <v/>
      </c>
      <c r="R305" s="9">
        <f>IF(Q305="","",$K305&amp;"")</f>
        <v/>
      </c>
      <c r="S305" s="9">
        <f>IF(Q305="","",IF(MATCH(R305,$R$5:$R$100000,0)=ROW()-4,ROW(),""))</f>
        <v/>
      </c>
      <c r="T305" s="9">
        <f>IF(Q305="당기",ABS(P305)+ROW()/1000000000,"")</f>
        <v/>
      </c>
      <c r="U305" s="9">
        <f>IF(Q305="비교",ABS(P305)+ROW()/1000000000,"")</f>
        <v/>
      </c>
      <c r="V305" s="64">
        <f>IF($A305="","",IF(COUNTIF(변동분석!$E$7:$E$506,O305)&gt;0,"Y","N"))</f>
        <v/>
      </c>
      <c r="W305" s="64">
        <f>IF($A305="","",IFERROR(INDEX(계정매핑!$D$5:$D$504,MATCH($F305&amp;"",계정매핑!$A$5:$A$504,0)),"미매핑"))</f>
        <v/>
      </c>
      <c r="X305" s="9">
        <f>IF($A305="","",$F305&amp;"")</f>
        <v/>
      </c>
      <c r="Y305" s="94">
        <f>IF($A305="",0,IF(AE305="직접",IF(AF305="비귀속",$P305,0),$P305*(1-AG305)*IFERROR(INDEX(계정대체기준!$F$20:$F$49,MATCH($N305,계정대체기준!$A$20:$A$49,0)),1)))</f>
        <v/>
      </c>
      <c r="Z305" s="94">
        <f>IF($A305="",0,IF(AE305="직접",IF(AF305="신계약비",$P305,0),$P305*(1-AG305)*IFERROR(INDEX(계정대체기준!$C$20:$C$49,MATCH($N305,계정대체기준!$A$20:$A$49,0)),0)))</f>
        <v/>
      </c>
      <c r="AA305" s="94">
        <f>IF($A305="",0,IF(AE305="직접",IF(OR(AF305="유지비",AF305="손해조사비"),$P305,0),$P305*(1-AG305)*IFERROR(INDEX(계정대체기준!$D$20:$D$49,MATCH($N305,계정대체기준!$A$20:$A$49,0)),0)))</f>
        <v/>
      </c>
      <c r="AB305" s="94">
        <f>IF($A305="",0,IF(AE305="직접",IF(AF305="수금비",$P305,0),$P305*(1-AG305)*IFERROR(INDEX(계정대체기준!$E$20:$E$49,MATCH($N305,계정대체기준!$A$20:$A$49,0)),0)))</f>
        <v/>
      </c>
      <c r="AC305" s="9">
        <f>IF(AND($A305&lt;&gt;"",M305=설정!$C$20,Z305&gt;0),Z305+ROW()/1000000000,"")</f>
        <v/>
      </c>
      <c r="AD305" s="94">
        <f>IF($A305="",0,$P305*AG305)</f>
        <v/>
      </c>
      <c r="AE305" s="64">
        <f>IF($A305="","",IFERROR(INDEX(계정매핑!$E$5:$E$504,MATCH($F305&amp;"",계정매핑!$A$5:$A$504,0))&amp;"","공통비"))</f>
        <v/>
      </c>
      <c r="AF305" s="64">
        <f>IF($A305="","",IF(AE305="직접",IFERROR(INDEX(계정매핑!$F$5:$F$504,MATCH($F305&amp;"",계정매핑!$A$5:$A$504,0))&amp;"","비귀속"),""))</f>
        <v/>
      </c>
      <c r="AG305" s="96">
        <f>IF($A305="",0,IF(AND(AE305&lt;&gt;"직접",IFERROR(INDEX(계정매핑!$G$5:$G$504,MATCH($F305&amp;"",계정매핑!$A$5:$A$504,0))&amp;"","")="유지비",COUNTIF(계정대체기준!$A$6:$A$15,$N305)&gt;0),IFERROR(INDEX(계정대체기준!$E$6:$E$15,MATCH(VALUE($A305&amp;""),계정대체기준!$D$6:$D$15,0)),0),0))</f>
        <v/>
      </c>
      <c r="AH305" s="64">
        <f>IF($A305="","",IF(AD305=0,"",IF(OR(COUNTIF(계정대체기준!$A$77:$A$86,$N305)&gt;0,ISNUMBER(MATCH($X305,계정대체기준!$D$77:$D$86,0)),ISNUMBER(MATCH($F305,계정대체기준!$D$77:$D$86,0))),"Y","N")))</f>
        <v/>
      </c>
    </row>
    <row r="306">
      <c r="A306" s="92" t="n">
        <v>2025</v>
      </c>
      <c r="B306" s="92" t="n">
        <v>2</v>
      </c>
      <c r="C306" s="92" t="inlineStr">
        <is>
          <t>5100000302</t>
        </is>
      </c>
      <c r="D306" s="95" t="n">
        <v>45698</v>
      </c>
      <c r="E306" s="92" t="inlineStr">
        <is>
          <t>KR</t>
        </is>
      </c>
      <c r="F306" s="92" t="n">
        <v>62701000</v>
      </c>
      <c r="G306" s="92" t="n">
        <v>1502</v>
      </c>
      <c r="H306" s="93" t="n">
        <v>47597000</v>
      </c>
      <c r="I306" s="92" t="inlineStr">
        <is>
          <t>2월 광고 집행 - F애드</t>
        </is>
      </c>
      <c r="J306" s="92" t="inlineStr">
        <is>
          <t>V10023</t>
        </is>
      </c>
      <c r="K306" s="92" t="inlineStr">
        <is>
          <t>F애드</t>
        </is>
      </c>
      <c r="M306" s="9">
        <f>IF($A306="","",VALUE($A306&amp;"")*12+VALUE($B306&amp;""))</f>
        <v/>
      </c>
      <c r="N306" s="64">
        <f>IF($A306="","",IFERROR(INDEX(부서매핑!$C$5:$C$504,MATCH($G306&amp;"",부서매핑!$A$5:$A$504,0)),"미매핑"))</f>
        <v/>
      </c>
      <c r="O306" s="9">
        <f>IF($A306="","",N306&amp;"|"&amp;$F306)</f>
        <v/>
      </c>
      <c r="P306" s="94">
        <f>IF($A306="",0,$H306*설정!$C$23)</f>
        <v/>
      </c>
      <c r="Q306" s="64">
        <f>IF($A306="","",IF(O306&lt;&gt;원인분석!$C$9,"",IF(AND(M306&gt;=원인분석!$C$10,M306&lt;=원인분석!$C$11),"당기",IF(AND(M306&gt;=원인분석!$C$12,M306&lt;=원인분석!$C$13),"비교",""))))</f>
        <v/>
      </c>
      <c r="R306" s="9">
        <f>IF(Q306="","",$K306&amp;"")</f>
        <v/>
      </c>
      <c r="S306" s="9">
        <f>IF(Q306="","",IF(MATCH(R306,$R$5:$R$100000,0)=ROW()-4,ROW(),""))</f>
        <v/>
      </c>
      <c r="T306" s="9">
        <f>IF(Q306="당기",ABS(P306)+ROW()/1000000000,"")</f>
        <v/>
      </c>
      <c r="U306" s="9">
        <f>IF(Q306="비교",ABS(P306)+ROW()/1000000000,"")</f>
        <v/>
      </c>
      <c r="V306" s="64">
        <f>IF($A306="","",IF(COUNTIF(변동분석!$E$7:$E$506,O306)&gt;0,"Y","N"))</f>
        <v/>
      </c>
      <c r="W306" s="64">
        <f>IF($A306="","",IFERROR(INDEX(계정매핑!$D$5:$D$504,MATCH($F306&amp;"",계정매핑!$A$5:$A$504,0)),"미매핑"))</f>
        <v/>
      </c>
      <c r="X306" s="9">
        <f>IF($A306="","",$F306&amp;"")</f>
        <v/>
      </c>
      <c r="Y306" s="94">
        <f>IF($A306="",0,IF(AE306="직접",IF(AF306="비귀속",$P306,0),$P306*(1-AG306)*IFERROR(INDEX(계정대체기준!$F$20:$F$49,MATCH($N306,계정대체기준!$A$20:$A$49,0)),1)))</f>
        <v/>
      </c>
      <c r="Z306" s="94">
        <f>IF($A306="",0,IF(AE306="직접",IF(AF306="신계약비",$P306,0),$P306*(1-AG306)*IFERROR(INDEX(계정대체기준!$C$20:$C$49,MATCH($N306,계정대체기준!$A$20:$A$49,0)),0)))</f>
        <v/>
      </c>
      <c r="AA306" s="94">
        <f>IF($A306="",0,IF(AE306="직접",IF(OR(AF306="유지비",AF306="손해조사비"),$P306,0),$P306*(1-AG306)*IFERROR(INDEX(계정대체기준!$D$20:$D$49,MATCH($N306,계정대체기준!$A$20:$A$49,0)),0)))</f>
        <v/>
      </c>
      <c r="AB306" s="94">
        <f>IF($A306="",0,IF(AE306="직접",IF(AF306="수금비",$P306,0),$P306*(1-AG306)*IFERROR(INDEX(계정대체기준!$E$20:$E$49,MATCH($N306,계정대체기준!$A$20:$A$49,0)),0)))</f>
        <v/>
      </c>
      <c r="AC306" s="9">
        <f>IF(AND($A306&lt;&gt;"",M306=설정!$C$20,Z306&gt;0),Z306+ROW()/1000000000,"")</f>
        <v/>
      </c>
      <c r="AD306" s="94">
        <f>IF($A306="",0,$P306*AG306)</f>
        <v/>
      </c>
      <c r="AE306" s="64">
        <f>IF($A306="","",IFERROR(INDEX(계정매핑!$E$5:$E$504,MATCH($F306&amp;"",계정매핑!$A$5:$A$504,0))&amp;"","공통비"))</f>
        <v/>
      </c>
      <c r="AF306" s="64">
        <f>IF($A306="","",IF(AE306="직접",IFERROR(INDEX(계정매핑!$F$5:$F$504,MATCH($F306&amp;"",계정매핑!$A$5:$A$504,0))&amp;"","비귀속"),""))</f>
        <v/>
      </c>
      <c r="AG306" s="96">
        <f>IF($A306="",0,IF(AND(AE306&lt;&gt;"직접",IFERROR(INDEX(계정매핑!$G$5:$G$504,MATCH($F306&amp;"",계정매핑!$A$5:$A$504,0))&amp;"","")="유지비",COUNTIF(계정대체기준!$A$6:$A$15,$N306)&gt;0),IFERROR(INDEX(계정대체기준!$E$6:$E$15,MATCH(VALUE($A306&amp;""),계정대체기준!$D$6:$D$15,0)),0),0))</f>
        <v/>
      </c>
      <c r="AH306" s="64">
        <f>IF($A306="","",IF(AD306=0,"",IF(OR(COUNTIF(계정대체기준!$A$77:$A$86,$N306)&gt;0,ISNUMBER(MATCH($X306,계정대체기준!$D$77:$D$86,0)),ISNUMBER(MATCH($F306,계정대체기준!$D$77:$D$86,0))),"Y","N")))</f>
        <v/>
      </c>
    </row>
    <row r="307">
      <c r="A307" s="92" t="n">
        <v>2025</v>
      </c>
      <c r="B307" s="92" t="n">
        <v>2</v>
      </c>
      <c r="C307" s="92" t="inlineStr">
        <is>
          <t>5100000303</t>
        </is>
      </c>
      <c r="D307" s="95" t="n">
        <v>45698</v>
      </c>
      <c r="E307" s="92" t="inlineStr">
        <is>
          <t>KR</t>
        </is>
      </c>
      <c r="F307" s="92" t="n">
        <v>62901000</v>
      </c>
      <c r="G307" s="92" t="n">
        <v>1101</v>
      </c>
      <c r="H307" s="93" t="n">
        <v>2004000</v>
      </c>
      <c r="I307" s="92" t="inlineStr">
        <is>
          <t>2월 자문 수수료 - K회계법인</t>
        </is>
      </c>
      <c r="J307" s="92" t="inlineStr">
        <is>
          <t>V10011</t>
        </is>
      </c>
      <c r="K307" s="92" t="inlineStr">
        <is>
          <t>K회계법인</t>
        </is>
      </c>
      <c r="M307" s="9">
        <f>IF($A307="","",VALUE($A307&amp;"")*12+VALUE($B307&amp;""))</f>
        <v/>
      </c>
      <c r="N307" s="64">
        <f>IF($A307="","",IFERROR(INDEX(부서매핑!$C$5:$C$504,MATCH($G307&amp;"",부서매핑!$A$5:$A$504,0)),"미매핑"))</f>
        <v/>
      </c>
      <c r="O307" s="9">
        <f>IF($A307="","",N307&amp;"|"&amp;$F307)</f>
        <v/>
      </c>
      <c r="P307" s="94">
        <f>IF($A307="",0,$H307*설정!$C$23)</f>
        <v/>
      </c>
      <c r="Q307" s="64">
        <f>IF($A307="","",IF(O307&lt;&gt;원인분석!$C$9,"",IF(AND(M307&gt;=원인분석!$C$10,M307&lt;=원인분석!$C$11),"당기",IF(AND(M307&gt;=원인분석!$C$12,M307&lt;=원인분석!$C$13),"비교",""))))</f>
        <v/>
      </c>
      <c r="R307" s="9">
        <f>IF(Q307="","",$K307&amp;"")</f>
        <v/>
      </c>
      <c r="S307" s="9">
        <f>IF(Q307="","",IF(MATCH(R307,$R$5:$R$100000,0)=ROW()-4,ROW(),""))</f>
        <v/>
      </c>
      <c r="T307" s="9">
        <f>IF(Q307="당기",ABS(P307)+ROW()/1000000000,"")</f>
        <v/>
      </c>
      <c r="U307" s="9">
        <f>IF(Q307="비교",ABS(P307)+ROW()/1000000000,"")</f>
        <v/>
      </c>
      <c r="V307" s="64">
        <f>IF($A307="","",IF(COUNTIF(변동분석!$E$7:$E$506,O307)&gt;0,"Y","N"))</f>
        <v/>
      </c>
      <c r="W307" s="64">
        <f>IF($A307="","",IFERROR(INDEX(계정매핑!$D$5:$D$504,MATCH($F307&amp;"",계정매핑!$A$5:$A$504,0)),"미매핑"))</f>
        <v/>
      </c>
      <c r="X307" s="9">
        <f>IF($A307="","",$F307&amp;"")</f>
        <v/>
      </c>
      <c r="Y307" s="94">
        <f>IF($A307="",0,IF(AE307="직접",IF(AF307="비귀속",$P307,0),$P307*(1-AG307)*IFERROR(INDEX(계정대체기준!$F$20:$F$49,MATCH($N307,계정대체기준!$A$20:$A$49,0)),1)))</f>
        <v/>
      </c>
      <c r="Z307" s="94">
        <f>IF($A307="",0,IF(AE307="직접",IF(AF307="신계약비",$P307,0),$P307*(1-AG307)*IFERROR(INDEX(계정대체기준!$C$20:$C$49,MATCH($N307,계정대체기준!$A$20:$A$49,0)),0)))</f>
        <v/>
      </c>
      <c r="AA307" s="94">
        <f>IF($A307="",0,IF(AE307="직접",IF(OR(AF307="유지비",AF307="손해조사비"),$P307,0),$P307*(1-AG307)*IFERROR(INDEX(계정대체기준!$D$20:$D$49,MATCH($N307,계정대체기준!$A$20:$A$49,0)),0)))</f>
        <v/>
      </c>
      <c r="AB307" s="94">
        <f>IF($A307="",0,IF(AE307="직접",IF(AF307="수금비",$P307,0),$P307*(1-AG307)*IFERROR(INDEX(계정대체기준!$E$20:$E$49,MATCH($N307,계정대체기준!$A$20:$A$49,0)),0)))</f>
        <v/>
      </c>
      <c r="AC307" s="9">
        <f>IF(AND($A307&lt;&gt;"",M307=설정!$C$20,Z307&gt;0),Z307+ROW()/1000000000,"")</f>
        <v/>
      </c>
      <c r="AD307" s="94">
        <f>IF($A307="",0,$P307*AG307)</f>
        <v/>
      </c>
      <c r="AE307" s="64">
        <f>IF($A307="","",IFERROR(INDEX(계정매핑!$E$5:$E$504,MATCH($F307&amp;"",계정매핑!$A$5:$A$504,0))&amp;"","공통비"))</f>
        <v/>
      </c>
      <c r="AF307" s="64">
        <f>IF($A307="","",IF(AE307="직접",IFERROR(INDEX(계정매핑!$F$5:$F$504,MATCH($F307&amp;"",계정매핑!$A$5:$A$504,0))&amp;"","비귀속"),""))</f>
        <v/>
      </c>
      <c r="AG307" s="96">
        <f>IF($A307="",0,IF(AND(AE307&lt;&gt;"직접",IFERROR(INDEX(계정매핑!$G$5:$G$504,MATCH($F307&amp;"",계정매핑!$A$5:$A$504,0))&amp;"","")="유지비",COUNTIF(계정대체기준!$A$6:$A$15,$N307)&gt;0),IFERROR(INDEX(계정대체기준!$E$6:$E$15,MATCH(VALUE($A307&amp;""),계정대체기준!$D$6:$D$15,0)),0),0))</f>
        <v/>
      </c>
      <c r="AH307" s="64">
        <f>IF($A307="","",IF(AD307=0,"",IF(OR(COUNTIF(계정대체기준!$A$77:$A$86,$N307)&gt;0,ISNUMBER(MATCH($X307,계정대체기준!$D$77:$D$86,0)),ISNUMBER(MATCH($F307,계정대체기준!$D$77:$D$86,0))),"Y","N")))</f>
        <v/>
      </c>
    </row>
    <row r="308">
      <c r="A308" s="92" t="n">
        <v>2025</v>
      </c>
      <c r="B308" s="92" t="n">
        <v>2</v>
      </c>
      <c r="C308" s="92" t="inlineStr">
        <is>
          <t>5100000304</t>
        </is>
      </c>
      <c r="D308" s="95" t="n">
        <v>45698</v>
      </c>
      <c r="E308" s="92" t="inlineStr">
        <is>
          <t>KR</t>
        </is>
      </c>
      <c r="F308" s="92" t="n">
        <v>62902000</v>
      </c>
      <c r="G308" s="92" t="n">
        <v>1401</v>
      </c>
      <c r="H308" s="93" t="n">
        <v>2239000</v>
      </c>
      <c r="I308" s="92" t="inlineStr">
        <is>
          <t>2월 업무 위탁 수수료 - J콜센터</t>
        </is>
      </c>
      <c r="J308" s="92" t="inlineStr">
        <is>
          <t>V10016</t>
        </is>
      </c>
      <c r="K308" s="92" t="inlineStr">
        <is>
          <t>J콜센터</t>
        </is>
      </c>
      <c r="M308" s="9">
        <f>IF($A308="","",VALUE($A308&amp;"")*12+VALUE($B308&amp;""))</f>
        <v/>
      </c>
      <c r="N308" s="64">
        <f>IF($A308="","",IFERROR(INDEX(부서매핑!$C$5:$C$504,MATCH($G308&amp;"",부서매핑!$A$5:$A$504,0)),"미매핑"))</f>
        <v/>
      </c>
      <c r="O308" s="9">
        <f>IF($A308="","",N308&amp;"|"&amp;$F308)</f>
        <v/>
      </c>
      <c r="P308" s="94">
        <f>IF($A308="",0,$H308*설정!$C$23)</f>
        <v/>
      </c>
      <c r="Q308" s="64">
        <f>IF($A308="","",IF(O308&lt;&gt;원인분석!$C$9,"",IF(AND(M308&gt;=원인분석!$C$10,M308&lt;=원인분석!$C$11),"당기",IF(AND(M308&gt;=원인분석!$C$12,M308&lt;=원인분석!$C$13),"비교",""))))</f>
        <v/>
      </c>
      <c r="R308" s="9">
        <f>IF(Q308="","",$K308&amp;"")</f>
        <v/>
      </c>
      <c r="S308" s="9">
        <f>IF(Q308="","",IF(MATCH(R308,$R$5:$R$100000,0)=ROW()-4,ROW(),""))</f>
        <v/>
      </c>
      <c r="T308" s="9">
        <f>IF(Q308="당기",ABS(P308)+ROW()/1000000000,"")</f>
        <v/>
      </c>
      <c r="U308" s="9">
        <f>IF(Q308="비교",ABS(P308)+ROW()/1000000000,"")</f>
        <v/>
      </c>
      <c r="V308" s="64">
        <f>IF($A308="","",IF(COUNTIF(변동분석!$E$7:$E$506,O308)&gt;0,"Y","N"))</f>
        <v/>
      </c>
      <c r="W308" s="64">
        <f>IF($A308="","",IFERROR(INDEX(계정매핑!$D$5:$D$504,MATCH($F308&amp;"",계정매핑!$A$5:$A$504,0)),"미매핑"))</f>
        <v/>
      </c>
      <c r="X308" s="9">
        <f>IF($A308="","",$F308&amp;"")</f>
        <v/>
      </c>
      <c r="Y308" s="94">
        <f>IF($A308="",0,IF(AE308="직접",IF(AF308="비귀속",$P308,0),$P308*(1-AG308)*IFERROR(INDEX(계정대체기준!$F$20:$F$49,MATCH($N308,계정대체기준!$A$20:$A$49,0)),1)))</f>
        <v/>
      </c>
      <c r="Z308" s="94">
        <f>IF($A308="",0,IF(AE308="직접",IF(AF308="신계약비",$P308,0),$P308*(1-AG308)*IFERROR(INDEX(계정대체기준!$C$20:$C$49,MATCH($N308,계정대체기준!$A$20:$A$49,0)),0)))</f>
        <v/>
      </c>
      <c r="AA308" s="94">
        <f>IF($A308="",0,IF(AE308="직접",IF(OR(AF308="유지비",AF308="손해조사비"),$P308,0),$P308*(1-AG308)*IFERROR(INDEX(계정대체기준!$D$20:$D$49,MATCH($N308,계정대체기준!$A$20:$A$49,0)),0)))</f>
        <v/>
      </c>
      <c r="AB308" s="94">
        <f>IF($A308="",0,IF(AE308="직접",IF(AF308="수금비",$P308,0),$P308*(1-AG308)*IFERROR(INDEX(계정대체기준!$E$20:$E$49,MATCH($N308,계정대체기준!$A$20:$A$49,0)),0)))</f>
        <v/>
      </c>
      <c r="AC308" s="9">
        <f>IF(AND($A308&lt;&gt;"",M308=설정!$C$20,Z308&gt;0),Z308+ROW()/1000000000,"")</f>
        <v/>
      </c>
      <c r="AD308" s="94">
        <f>IF($A308="",0,$P308*AG308)</f>
        <v/>
      </c>
      <c r="AE308" s="64">
        <f>IF($A308="","",IFERROR(INDEX(계정매핑!$E$5:$E$504,MATCH($F308&amp;"",계정매핑!$A$5:$A$504,0))&amp;"","공통비"))</f>
        <v/>
      </c>
      <c r="AF308" s="64">
        <f>IF($A308="","",IF(AE308="직접",IFERROR(INDEX(계정매핑!$F$5:$F$504,MATCH($F308&amp;"",계정매핑!$A$5:$A$504,0))&amp;"","비귀속"),""))</f>
        <v/>
      </c>
      <c r="AG308" s="96">
        <f>IF($A308="",0,IF(AND(AE308&lt;&gt;"직접",IFERROR(INDEX(계정매핑!$G$5:$G$504,MATCH($F308&amp;"",계정매핑!$A$5:$A$504,0))&amp;"","")="유지비",COUNTIF(계정대체기준!$A$6:$A$15,$N308)&gt;0),IFERROR(INDEX(계정대체기준!$E$6:$E$15,MATCH(VALUE($A308&amp;""),계정대체기준!$D$6:$D$15,0)),0),0))</f>
        <v/>
      </c>
      <c r="AH308" s="64">
        <f>IF($A308="","",IF(AD308=0,"",IF(OR(COUNTIF(계정대체기준!$A$77:$A$86,$N308)&gt;0,ISNUMBER(MATCH($X308,계정대체기준!$D$77:$D$86,0)),ISNUMBER(MATCH($F308,계정대체기준!$D$77:$D$86,0))),"Y","N")))</f>
        <v/>
      </c>
    </row>
    <row r="309">
      <c r="A309" s="92" t="n">
        <v>2025</v>
      </c>
      <c r="B309" s="92" t="n">
        <v>2</v>
      </c>
      <c r="C309" s="92" t="inlineStr">
        <is>
          <t>5100000305</t>
        </is>
      </c>
      <c r="D309" s="95" t="n">
        <v>45699</v>
      </c>
      <c r="E309" s="92" t="inlineStr">
        <is>
          <t>KR</t>
        </is>
      </c>
      <c r="F309" s="92" t="n">
        <v>62101000</v>
      </c>
      <c r="G309" s="92" t="n">
        <v>1401</v>
      </c>
      <c r="H309" s="93" t="n">
        <v>340000</v>
      </c>
      <c r="I309" s="92" t="inlineStr">
        <is>
          <t>2월 국내출장 - L여행사</t>
        </is>
      </c>
      <c r="J309" s="92" t="inlineStr">
        <is>
          <t>V10018</t>
        </is>
      </c>
      <c r="K309" s="92" t="inlineStr">
        <is>
          <t>L여행사</t>
        </is>
      </c>
      <c r="M309" s="9">
        <f>IF($A309="","",VALUE($A309&amp;"")*12+VALUE($B309&amp;""))</f>
        <v/>
      </c>
      <c r="N309" s="64">
        <f>IF($A309="","",IFERROR(INDEX(부서매핑!$C$5:$C$504,MATCH($G309&amp;"",부서매핑!$A$5:$A$504,0)),"미매핑"))</f>
        <v/>
      </c>
      <c r="O309" s="9">
        <f>IF($A309="","",N309&amp;"|"&amp;$F309)</f>
        <v/>
      </c>
      <c r="P309" s="94">
        <f>IF($A309="",0,$H309*설정!$C$23)</f>
        <v/>
      </c>
      <c r="Q309" s="64">
        <f>IF($A309="","",IF(O309&lt;&gt;원인분석!$C$9,"",IF(AND(M309&gt;=원인분석!$C$10,M309&lt;=원인분석!$C$11),"당기",IF(AND(M309&gt;=원인분석!$C$12,M309&lt;=원인분석!$C$13),"비교",""))))</f>
        <v/>
      </c>
      <c r="R309" s="9">
        <f>IF(Q309="","",$K309&amp;"")</f>
        <v/>
      </c>
      <c r="S309" s="9">
        <f>IF(Q309="","",IF(MATCH(R309,$R$5:$R$100000,0)=ROW()-4,ROW(),""))</f>
        <v/>
      </c>
      <c r="T309" s="9">
        <f>IF(Q309="당기",ABS(P309)+ROW()/1000000000,"")</f>
        <v/>
      </c>
      <c r="U309" s="9">
        <f>IF(Q309="비교",ABS(P309)+ROW()/1000000000,"")</f>
        <v/>
      </c>
      <c r="V309" s="64">
        <f>IF($A309="","",IF(COUNTIF(변동분석!$E$7:$E$506,O309)&gt;0,"Y","N"))</f>
        <v/>
      </c>
      <c r="W309" s="64">
        <f>IF($A309="","",IFERROR(INDEX(계정매핑!$D$5:$D$504,MATCH($F309&amp;"",계정매핑!$A$5:$A$504,0)),"미매핑"))</f>
        <v/>
      </c>
      <c r="X309" s="9">
        <f>IF($A309="","",$F309&amp;"")</f>
        <v/>
      </c>
      <c r="Y309" s="94">
        <f>IF($A309="",0,IF(AE309="직접",IF(AF309="비귀속",$P309,0),$P309*(1-AG309)*IFERROR(INDEX(계정대체기준!$F$20:$F$49,MATCH($N309,계정대체기준!$A$20:$A$49,0)),1)))</f>
        <v/>
      </c>
      <c r="Z309" s="94">
        <f>IF($A309="",0,IF(AE309="직접",IF(AF309="신계약비",$P309,0),$P309*(1-AG309)*IFERROR(INDEX(계정대체기준!$C$20:$C$49,MATCH($N309,계정대체기준!$A$20:$A$49,0)),0)))</f>
        <v/>
      </c>
      <c r="AA309" s="94">
        <f>IF($A309="",0,IF(AE309="직접",IF(OR(AF309="유지비",AF309="손해조사비"),$P309,0),$P309*(1-AG309)*IFERROR(INDEX(계정대체기준!$D$20:$D$49,MATCH($N309,계정대체기준!$A$20:$A$49,0)),0)))</f>
        <v/>
      </c>
      <c r="AB309" s="94">
        <f>IF($A309="",0,IF(AE309="직접",IF(AF309="수금비",$P309,0),$P309*(1-AG309)*IFERROR(INDEX(계정대체기준!$E$20:$E$49,MATCH($N309,계정대체기준!$A$20:$A$49,0)),0)))</f>
        <v/>
      </c>
      <c r="AC309" s="9">
        <f>IF(AND($A309&lt;&gt;"",M309=설정!$C$20,Z309&gt;0),Z309+ROW()/1000000000,"")</f>
        <v/>
      </c>
      <c r="AD309" s="94">
        <f>IF($A309="",0,$P309*AG309)</f>
        <v/>
      </c>
      <c r="AE309" s="64">
        <f>IF($A309="","",IFERROR(INDEX(계정매핑!$E$5:$E$504,MATCH($F309&amp;"",계정매핑!$A$5:$A$504,0))&amp;"","공통비"))</f>
        <v/>
      </c>
      <c r="AF309" s="64">
        <f>IF($A309="","",IF(AE309="직접",IFERROR(INDEX(계정매핑!$F$5:$F$504,MATCH($F309&amp;"",계정매핑!$A$5:$A$504,0))&amp;"","비귀속"),""))</f>
        <v/>
      </c>
      <c r="AG309" s="96">
        <f>IF($A309="",0,IF(AND(AE309&lt;&gt;"직접",IFERROR(INDEX(계정매핑!$G$5:$G$504,MATCH($F309&amp;"",계정매핑!$A$5:$A$504,0))&amp;"","")="유지비",COUNTIF(계정대체기준!$A$6:$A$15,$N309)&gt;0),IFERROR(INDEX(계정대체기준!$E$6:$E$15,MATCH(VALUE($A309&amp;""),계정대체기준!$D$6:$D$15,0)),0),0))</f>
        <v/>
      </c>
      <c r="AH309" s="64">
        <f>IF($A309="","",IF(AD309=0,"",IF(OR(COUNTIF(계정대체기준!$A$77:$A$86,$N309)&gt;0,ISNUMBER(MATCH($X309,계정대체기준!$D$77:$D$86,0)),ISNUMBER(MATCH($F309,계정대체기준!$D$77:$D$86,0))),"Y","N")))</f>
        <v/>
      </c>
    </row>
    <row r="310">
      <c r="A310" s="92" t="n">
        <v>2025</v>
      </c>
      <c r="B310" s="92" t="n">
        <v>2</v>
      </c>
      <c r="C310" s="92" t="inlineStr">
        <is>
          <t>5100000306</t>
        </is>
      </c>
      <c r="D310" s="95" t="n">
        <v>45699</v>
      </c>
      <c r="E310" s="92" t="inlineStr">
        <is>
          <t>KR</t>
        </is>
      </c>
      <c r="F310" s="92" t="n">
        <v>62101000</v>
      </c>
      <c r="G310" s="92" t="n">
        <v>1601</v>
      </c>
      <c r="H310" s="93" t="n">
        <v>1705000</v>
      </c>
      <c r="I310" s="92" t="inlineStr">
        <is>
          <t>2월 국내출장 - L여행사</t>
        </is>
      </c>
      <c r="J310" s="92" t="inlineStr">
        <is>
          <t>V10018</t>
        </is>
      </c>
      <c r="K310" s="92" t="inlineStr">
        <is>
          <t>L여행사</t>
        </is>
      </c>
      <c r="M310" s="9">
        <f>IF($A310="","",VALUE($A310&amp;"")*12+VALUE($B310&amp;""))</f>
        <v/>
      </c>
      <c r="N310" s="64">
        <f>IF($A310="","",IFERROR(INDEX(부서매핑!$C$5:$C$504,MATCH($G310&amp;"",부서매핑!$A$5:$A$504,0)),"미매핑"))</f>
        <v/>
      </c>
      <c r="O310" s="9">
        <f>IF($A310="","",N310&amp;"|"&amp;$F310)</f>
        <v/>
      </c>
      <c r="P310" s="94">
        <f>IF($A310="",0,$H310*설정!$C$23)</f>
        <v/>
      </c>
      <c r="Q310" s="64">
        <f>IF($A310="","",IF(O310&lt;&gt;원인분석!$C$9,"",IF(AND(M310&gt;=원인분석!$C$10,M310&lt;=원인분석!$C$11),"당기",IF(AND(M310&gt;=원인분석!$C$12,M310&lt;=원인분석!$C$13),"비교",""))))</f>
        <v/>
      </c>
      <c r="R310" s="9">
        <f>IF(Q310="","",$K310&amp;"")</f>
        <v/>
      </c>
      <c r="S310" s="9">
        <f>IF(Q310="","",IF(MATCH(R310,$R$5:$R$100000,0)=ROW()-4,ROW(),""))</f>
        <v/>
      </c>
      <c r="T310" s="9">
        <f>IF(Q310="당기",ABS(P310)+ROW()/1000000000,"")</f>
        <v/>
      </c>
      <c r="U310" s="9">
        <f>IF(Q310="비교",ABS(P310)+ROW()/1000000000,"")</f>
        <v/>
      </c>
      <c r="V310" s="64">
        <f>IF($A310="","",IF(COUNTIF(변동분석!$E$7:$E$506,O310)&gt;0,"Y","N"))</f>
        <v/>
      </c>
      <c r="W310" s="64">
        <f>IF($A310="","",IFERROR(INDEX(계정매핑!$D$5:$D$504,MATCH($F310&amp;"",계정매핑!$A$5:$A$504,0)),"미매핑"))</f>
        <v/>
      </c>
      <c r="X310" s="9">
        <f>IF($A310="","",$F310&amp;"")</f>
        <v/>
      </c>
      <c r="Y310" s="94">
        <f>IF($A310="",0,IF(AE310="직접",IF(AF310="비귀속",$P310,0),$P310*(1-AG310)*IFERROR(INDEX(계정대체기준!$F$20:$F$49,MATCH($N310,계정대체기준!$A$20:$A$49,0)),1)))</f>
        <v/>
      </c>
      <c r="Z310" s="94">
        <f>IF($A310="",0,IF(AE310="직접",IF(AF310="신계약비",$P310,0),$P310*(1-AG310)*IFERROR(INDEX(계정대체기준!$C$20:$C$49,MATCH($N310,계정대체기준!$A$20:$A$49,0)),0)))</f>
        <v/>
      </c>
      <c r="AA310" s="94">
        <f>IF($A310="",0,IF(AE310="직접",IF(OR(AF310="유지비",AF310="손해조사비"),$P310,0),$P310*(1-AG310)*IFERROR(INDEX(계정대체기준!$D$20:$D$49,MATCH($N310,계정대체기준!$A$20:$A$49,0)),0)))</f>
        <v/>
      </c>
      <c r="AB310" s="94">
        <f>IF($A310="",0,IF(AE310="직접",IF(AF310="수금비",$P310,0),$P310*(1-AG310)*IFERROR(INDEX(계정대체기준!$E$20:$E$49,MATCH($N310,계정대체기준!$A$20:$A$49,0)),0)))</f>
        <v/>
      </c>
      <c r="AC310" s="9">
        <f>IF(AND($A310&lt;&gt;"",M310=설정!$C$20,Z310&gt;0),Z310+ROW()/1000000000,"")</f>
        <v/>
      </c>
      <c r="AD310" s="94">
        <f>IF($A310="",0,$P310*AG310)</f>
        <v/>
      </c>
      <c r="AE310" s="64">
        <f>IF($A310="","",IFERROR(INDEX(계정매핑!$E$5:$E$504,MATCH($F310&amp;"",계정매핑!$A$5:$A$504,0))&amp;"","공통비"))</f>
        <v/>
      </c>
      <c r="AF310" s="64">
        <f>IF($A310="","",IF(AE310="직접",IFERROR(INDEX(계정매핑!$F$5:$F$504,MATCH($F310&amp;"",계정매핑!$A$5:$A$504,0))&amp;"","비귀속"),""))</f>
        <v/>
      </c>
      <c r="AG310" s="96">
        <f>IF($A310="",0,IF(AND(AE310&lt;&gt;"직접",IFERROR(INDEX(계정매핑!$G$5:$G$504,MATCH($F310&amp;"",계정매핑!$A$5:$A$504,0))&amp;"","")="유지비",COUNTIF(계정대체기준!$A$6:$A$15,$N310)&gt;0),IFERROR(INDEX(계정대체기준!$E$6:$E$15,MATCH(VALUE($A310&amp;""),계정대체기준!$D$6:$D$15,0)),0),0))</f>
        <v/>
      </c>
      <c r="AH310" s="64">
        <f>IF($A310="","",IF(AD310=0,"",IF(OR(COUNTIF(계정대체기준!$A$77:$A$86,$N310)&gt;0,ISNUMBER(MATCH($X310,계정대체기준!$D$77:$D$86,0)),ISNUMBER(MATCH($F310,계정대체기준!$D$77:$D$86,0))),"Y","N")))</f>
        <v/>
      </c>
    </row>
    <row r="311">
      <c r="A311" s="92" t="n">
        <v>2025</v>
      </c>
      <c r="B311" s="92" t="n">
        <v>2</v>
      </c>
      <c r="C311" s="92" t="inlineStr">
        <is>
          <t>5100000307</t>
        </is>
      </c>
      <c r="D311" s="95" t="n">
        <v>45699</v>
      </c>
      <c r="E311" s="92" t="inlineStr">
        <is>
          <t>KR</t>
        </is>
      </c>
      <c r="F311" s="92" t="n">
        <v>62101000</v>
      </c>
      <c r="G311" s="92" t="n">
        <v>1701</v>
      </c>
      <c r="H311" s="93" t="n">
        <v>157000</v>
      </c>
      <c r="I311" s="92" t="inlineStr">
        <is>
          <t>2월 국내출장 - L여행사</t>
        </is>
      </c>
      <c r="J311" s="92" t="inlineStr">
        <is>
          <t>V10018</t>
        </is>
      </c>
      <c r="K311" s="92" t="inlineStr">
        <is>
          <t>L여행사</t>
        </is>
      </c>
      <c r="M311" s="9">
        <f>IF($A311="","",VALUE($A311&amp;"")*12+VALUE($B311&amp;""))</f>
        <v/>
      </c>
      <c r="N311" s="64">
        <f>IF($A311="","",IFERROR(INDEX(부서매핑!$C$5:$C$504,MATCH($G311&amp;"",부서매핑!$A$5:$A$504,0)),"미매핑"))</f>
        <v/>
      </c>
      <c r="O311" s="9">
        <f>IF($A311="","",N311&amp;"|"&amp;$F311)</f>
        <v/>
      </c>
      <c r="P311" s="94">
        <f>IF($A311="",0,$H311*설정!$C$23)</f>
        <v/>
      </c>
      <c r="Q311" s="64">
        <f>IF($A311="","",IF(O311&lt;&gt;원인분석!$C$9,"",IF(AND(M311&gt;=원인분석!$C$10,M311&lt;=원인분석!$C$11),"당기",IF(AND(M311&gt;=원인분석!$C$12,M311&lt;=원인분석!$C$13),"비교",""))))</f>
        <v/>
      </c>
      <c r="R311" s="9">
        <f>IF(Q311="","",$K311&amp;"")</f>
        <v/>
      </c>
      <c r="S311" s="9">
        <f>IF(Q311="","",IF(MATCH(R311,$R$5:$R$100000,0)=ROW()-4,ROW(),""))</f>
        <v/>
      </c>
      <c r="T311" s="9">
        <f>IF(Q311="당기",ABS(P311)+ROW()/1000000000,"")</f>
        <v/>
      </c>
      <c r="U311" s="9">
        <f>IF(Q311="비교",ABS(P311)+ROW()/1000000000,"")</f>
        <v/>
      </c>
      <c r="V311" s="64">
        <f>IF($A311="","",IF(COUNTIF(변동분석!$E$7:$E$506,O311)&gt;0,"Y","N"))</f>
        <v/>
      </c>
      <c r="W311" s="64">
        <f>IF($A311="","",IFERROR(INDEX(계정매핑!$D$5:$D$504,MATCH($F311&amp;"",계정매핑!$A$5:$A$504,0)),"미매핑"))</f>
        <v/>
      </c>
      <c r="X311" s="9">
        <f>IF($A311="","",$F311&amp;"")</f>
        <v/>
      </c>
      <c r="Y311" s="94">
        <f>IF($A311="",0,IF(AE311="직접",IF(AF311="비귀속",$P311,0),$P311*(1-AG311)*IFERROR(INDEX(계정대체기준!$F$20:$F$49,MATCH($N311,계정대체기준!$A$20:$A$49,0)),1)))</f>
        <v/>
      </c>
      <c r="Z311" s="94">
        <f>IF($A311="",0,IF(AE311="직접",IF(AF311="신계약비",$P311,0),$P311*(1-AG311)*IFERROR(INDEX(계정대체기준!$C$20:$C$49,MATCH($N311,계정대체기준!$A$20:$A$49,0)),0)))</f>
        <v/>
      </c>
      <c r="AA311" s="94">
        <f>IF($A311="",0,IF(AE311="직접",IF(OR(AF311="유지비",AF311="손해조사비"),$P311,0),$P311*(1-AG311)*IFERROR(INDEX(계정대체기준!$D$20:$D$49,MATCH($N311,계정대체기준!$A$20:$A$49,0)),0)))</f>
        <v/>
      </c>
      <c r="AB311" s="94">
        <f>IF($A311="",0,IF(AE311="직접",IF(AF311="수금비",$P311,0),$P311*(1-AG311)*IFERROR(INDEX(계정대체기준!$E$20:$E$49,MATCH($N311,계정대체기준!$A$20:$A$49,0)),0)))</f>
        <v/>
      </c>
      <c r="AC311" s="9">
        <f>IF(AND($A311&lt;&gt;"",M311=설정!$C$20,Z311&gt;0),Z311+ROW()/1000000000,"")</f>
        <v/>
      </c>
      <c r="AD311" s="94">
        <f>IF($A311="",0,$P311*AG311)</f>
        <v/>
      </c>
      <c r="AE311" s="64">
        <f>IF($A311="","",IFERROR(INDEX(계정매핑!$E$5:$E$504,MATCH($F311&amp;"",계정매핑!$A$5:$A$504,0))&amp;"","공통비"))</f>
        <v/>
      </c>
      <c r="AF311" s="64">
        <f>IF($A311="","",IF(AE311="직접",IFERROR(INDEX(계정매핑!$F$5:$F$504,MATCH($F311&amp;"",계정매핑!$A$5:$A$504,0))&amp;"","비귀속"),""))</f>
        <v/>
      </c>
      <c r="AG311" s="96">
        <f>IF($A311="",0,IF(AND(AE311&lt;&gt;"직접",IFERROR(INDEX(계정매핑!$G$5:$G$504,MATCH($F311&amp;"",계정매핑!$A$5:$A$504,0))&amp;"","")="유지비",COUNTIF(계정대체기준!$A$6:$A$15,$N311)&gt;0),IFERROR(INDEX(계정대체기준!$E$6:$E$15,MATCH(VALUE($A311&amp;""),계정대체기준!$D$6:$D$15,0)),0),0))</f>
        <v/>
      </c>
      <c r="AH311" s="64">
        <f>IF($A311="","",IF(AD311=0,"",IF(OR(COUNTIF(계정대체기준!$A$77:$A$86,$N311)&gt;0,ISNUMBER(MATCH($X311,계정대체기준!$D$77:$D$86,0)),ISNUMBER(MATCH($F311,계정대체기준!$D$77:$D$86,0))),"Y","N")))</f>
        <v/>
      </c>
    </row>
    <row r="312">
      <c r="A312" s="92" t="n">
        <v>2025</v>
      </c>
      <c r="B312" s="92" t="n">
        <v>2</v>
      </c>
      <c r="C312" s="92" t="inlineStr">
        <is>
          <t>5100000308</t>
        </is>
      </c>
      <c r="D312" s="95" t="n">
        <v>45699</v>
      </c>
      <c r="E312" s="92" t="inlineStr">
        <is>
          <t>KR</t>
        </is>
      </c>
      <c r="F312" s="92" t="n">
        <v>62101000</v>
      </c>
      <c r="G312" s="92" t="n">
        <v>1801</v>
      </c>
      <c r="H312" s="93" t="n">
        <v>214000</v>
      </c>
      <c r="I312" s="92" t="inlineStr">
        <is>
          <t>2월 국내출장 - L여행사</t>
        </is>
      </c>
      <c r="J312" s="92" t="inlineStr">
        <is>
          <t>V10018</t>
        </is>
      </c>
      <c r="K312" s="92" t="inlineStr">
        <is>
          <t>L여행사</t>
        </is>
      </c>
      <c r="M312" s="9">
        <f>IF($A312="","",VALUE($A312&amp;"")*12+VALUE($B312&amp;""))</f>
        <v/>
      </c>
      <c r="N312" s="64">
        <f>IF($A312="","",IFERROR(INDEX(부서매핑!$C$5:$C$504,MATCH($G312&amp;"",부서매핑!$A$5:$A$504,0)),"미매핑"))</f>
        <v/>
      </c>
      <c r="O312" s="9">
        <f>IF($A312="","",N312&amp;"|"&amp;$F312)</f>
        <v/>
      </c>
      <c r="P312" s="94">
        <f>IF($A312="",0,$H312*설정!$C$23)</f>
        <v/>
      </c>
      <c r="Q312" s="64">
        <f>IF($A312="","",IF(O312&lt;&gt;원인분석!$C$9,"",IF(AND(M312&gt;=원인분석!$C$10,M312&lt;=원인분석!$C$11),"당기",IF(AND(M312&gt;=원인분석!$C$12,M312&lt;=원인분석!$C$13),"비교",""))))</f>
        <v/>
      </c>
      <c r="R312" s="9">
        <f>IF(Q312="","",$K312&amp;"")</f>
        <v/>
      </c>
      <c r="S312" s="9">
        <f>IF(Q312="","",IF(MATCH(R312,$R$5:$R$100000,0)=ROW()-4,ROW(),""))</f>
        <v/>
      </c>
      <c r="T312" s="9">
        <f>IF(Q312="당기",ABS(P312)+ROW()/1000000000,"")</f>
        <v/>
      </c>
      <c r="U312" s="9">
        <f>IF(Q312="비교",ABS(P312)+ROW()/1000000000,"")</f>
        <v/>
      </c>
      <c r="V312" s="64">
        <f>IF($A312="","",IF(COUNTIF(변동분석!$E$7:$E$506,O312)&gt;0,"Y","N"))</f>
        <v/>
      </c>
      <c r="W312" s="64">
        <f>IF($A312="","",IFERROR(INDEX(계정매핑!$D$5:$D$504,MATCH($F312&amp;"",계정매핑!$A$5:$A$504,0)),"미매핑"))</f>
        <v/>
      </c>
      <c r="X312" s="9">
        <f>IF($A312="","",$F312&amp;"")</f>
        <v/>
      </c>
      <c r="Y312" s="94">
        <f>IF($A312="",0,IF(AE312="직접",IF(AF312="비귀속",$P312,0),$P312*(1-AG312)*IFERROR(INDEX(계정대체기준!$F$20:$F$49,MATCH($N312,계정대체기준!$A$20:$A$49,0)),1)))</f>
        <v/>
      </c>
      <c r="Z312" s="94">
        <f>IF($A312="",0,IF(AE312="직접",IF(AF312="신계약비",$P312,0),$P312*(1-AG312)*IFERROR(INDEX(계정대체기준!$C$20:$C$49,MATCH($N312,계정대체기준!$A$20:$A$49,0)),0)))</f>
        <v/>
      </c>
      <c r="AA312" s="94">
        <f>IF($A312="",0,IF(AE312="직접",IF(OR(AF312="유지비",AF312="손해조사비"),$P312,0),$P312*(1-AG312)*IFERROR(INDEX(계정대체기준!$D$20:$D$49,MATCH($N312,계정대체기준!$A$20:$A$49,0)),0)))</f>
        <v/>
      </c>
      <c r="AB312" s="94">
        <f>IF($A312="",0,IF(AE312="직접",IF(AF312="수금비",$P312,0),$P312*(1-AG312)*IFERROR(INDEX(계정대체기준!$E$20:$E$49,MATCH($N312,계정대체기준!$A$20:$A$49,0)),0)))</f>
        <v/>
      </c>
      <c r="AC312" s="9">
        <f>IF(AND($A312&lt;&gt;"",M312=설정!$C$20,Z312&gt;0),Z312+ROW()/1000000000,"")</f>
        <v/>
      </c>
      <c r="AD312" s="94">
        <f>IF($A312="",0,$P312*AG312)</f>
        <v/>
      </c>
      <c r="AE312" s="64">
        <f>IF($A312="","",IFERROR(INDEX(계정매핑!$E$5:$E$504,MATCH($F312&amp;"",계정매핑!$A$5:$A$504,0))&amp;"","공통비"))</f>
        <v/>
      </c>
      <c r="AF312" s="64">
        <f>IF($A312="","",IF(AE312="직접",IFERROR(INDEX(계정매핑!$F$5:$F$504,MATCH($F312&amp;"",계정매핑!$A$5:$A$504,0))&amp;"","비귀속"),""))</f>
        <v/>
      </c>
      <c r="AG312" s="96">
        <f>IF($A312="",0,IF(AND(AE312&lt;&gt;"직접",IFERROR(INDEX(계정매핑!$G$5:$G$504,MATCH($F312&amp;"",계정매핑!$A$5:$A$504,0))&amp;"","")="유지비",COUNTIF(계정대체기준!$A$6:$A$15,$N312)&gt;0),IFERROR(INDEX(계정대체기준!$E$6:$E$15,MATCH(VALUE($A312&amp;""),계정대체기준!$D$6:$D$15,0)),0),0))</f>
        <v/>
      </c>
      <c r="AH312" s="64">
        <f>IF($A312="","",IF(AD312=0,"",IF(OR(COUNTIF(계정대체기준!$A$77:$A$86,$N312)&gt;0,ISNUMBER(MATCH($X312,계정대체기준!$D$77:$D$86,0)),ISNUMBER(MATCH($F312,계정대체기준!$D$77:$D$86,0))),"Y","N")))</f>
        <v/>
      </c>
    </row>
    <row r="313">
      <c r="A313" s="92" t="n">
        <v>2025</v>
      </c>
      <c r="B313" s="92" t="n">
        <v>2</v>
      </c>
      <c r="C313" s="92" t="inlineStr">
        <is>
          <t>5100000309</t>
        </is>
      </c>
      <c r="D313" s="95" t="n">
        <v>45699</v>
      </c>
      <c r="E313" s="92" t="inlineStr">
        <is>
          <t>KR</t>
        </is>
      </c>
      <c r="F313" s="92" t="n">
        <v>62102000</v>
      </c>
      <c r="G313" s="92" t="n">
        <v>1201</v>
      </c>
      <c r="H313" s="93" t="n">
        <v>70000</v>
      </c>
      <c r="I313" s="92" t="inlineStr">
        <is>
          <t>2월 해외출장 - M항공</t>
        </is>
      </c>
      <c r="J313" s="92" t="inlineStr">
        <is>
          <t>V10001</t>
        </is>
      </c>
      <c r="K313" s="92" t="inlineStr">
        <is>
          <t>M항공</t>
        </is>
      </c>
      <c r="M313" s="9">
        <f>IF($A313="","",VALUE($A313&amp;"")*12+VALUE($B313&amp;""))</f>
        <v/>
      </c>
      <c r="N313" s="64">
        <f>IF($A313="","",IFERROR(INDEX(부서매핑!$C$5:$C$504,MATCH($G313&amp;"",부서매핑!$A$5:$A$504,0)),"미매핑"))</f>
        <v/>
      </c>
      <c r="O313" s="9">
        <f>IF($A313="","",N313&amp;"|"&amp;$F313)</f>
        <v/>
      </c>
      <c r="P313" s="94">
        <f>IF($A313="",0,$H313*설정!$C$23)</f>
        <v/>
      </c>
      <c r="Q313" s="64">
        <f>IF($A313="","",IF(O313&lt;&gt;원인분석!$C$9,"",IF(AND(M313&gt;=원인분석!$C$10,M313&lt;=원인분석!$C$11),"당기",IF(AND(M313&gt;=원인분석!$C$12,M313&lt;=원인분석!$C$13),"비교",""))))</f>
        <v/>
      </c>
      <c r="R313" s="9">
        <f>IF(Q313="","",$K313&amp;"")</f>
        <v/>
      </c>
      <c r="S313" s="9">
        <f>IF(Q313="","",IF(MATCH(R313,$R$5:$R$100000,0)=ROW()-4,ROW(),""))</f>
        <v/>
      </c>
      <c r="T313" s="9">
        <f>IF(Q313="당기",ABS(P313)+ROW()/1000000000,"")</f>
        <v/>
      </c>
      <c r="U313" s="9">
        <f>IF(Q313="비교",ABS(P313)+ROW()/1000000000,"")</f>
        <v/>
      </c>
      <c r="V313" s="64">
        <f>IF($A313="","",IF(COUNTIF(변동분석!$E$7:$E$506,O313)&gt;0,"Y","N"))</f>
        <v/>
      </c>
      <c r="W313" s="64">
        <f>IF($A313="","",IFERROR(INDEX(계정매핑!$D$5:$D$504,MATCH($F313&amp;"",계정매핑!$A$5:$A$504,0)),"미매핑"))</f>
        <v/>
      </c>
      <c r="X313" s="9">
        <f>IF($A313="","",$F313&amp;"")</f>
        <v/>
      </c>
      <c r="Y313" s="94">
        <f>IF($A313="",0,IF(AE313="직접",IF(AF313="비귀속",$P313,0),$P313*(1-AG313)*IFERROR(INDEX(계정대체기준!$F$20:$F$49,MATCH($N313,계정대체기준!$A$20:$A$49,0)),1)))</f>
        <v/>
      </c>
      <c r="Z313" s="94">
        <f>IF($A313="",0,IF(AE313="직접",IF(AF313="신계약비",$P313,0),$P313*(1-AG313)*IFERROR(INDEX(계정대체기준!$C$20:$C$49,MATCH($N313,계정대체기준!$A$20:$A$49,0)),0)))</f>
        <v/>
      </c>
      <c r="AA313" s="94">
        <f>IF($A313="",0,IF(AE313="직접",IF(OR(AF313="유지비",AF313="손해조사비"),$P313,0),$P313*(1-AG313)*IFERROR(INDEX(계정대체기준!$D$20:$D$49,MATCH($N313,계정대체기준!$A$20:$A$49,0)),0)))</f>
        <v/>
      </c>
      <c r="AB313" s="94">
        <f>IF($A313="",0,IF(AE313="직접",IF(AF313="수금비",$P313,0),$P313*(1-AG313)*IFERROR(INDEX(계정대체기준!$E$20:$E$49,MATCH($N313,계정대체기준!$A$20:$A$49,0)),0)))</f>
        <v/>
      </c>
      <c r="AC313" s="9">
        <f>IF(AND($A313&lt;&gt;"",M313=설정!$C$20,Z313&gt;0),Z313+ROW()/1000000000,"")</f>
        <v/>
      </c>
      <c r="AD313" s="94">
        <f>IF($A313="",0,$P313*AG313)</f>
        <v/>
      </c>
      <c r="AE313" s="64">
        <f>IF($A313="","",IFERROR(INDEX(계정매핑!$E$5:$E$504,MATCH($F313&amp;"",계정매핑!$A$5:$A$504,0))&amp;"","공통비"))</f>
        <v/>
      </c>
      <c r="AF313" s="64">
        <f>IF($A313="","",IF(AE313="직접",IFERROR(INDEX(계정매핑!$F$5:$F$504,MATCH($F313&amp;"",계정매핑!$A$5:$A$504,0))&amp;"","비귀속"),""))</f>
        <v/>
      </c>
      <c r="AG313" s="96">
        <f>IF($A313="",0,IF(AND(AE313&lt;&gt;"직접",IFERROR(INDEX(계정매핑!$G$5:$G$504,MATCH($F313&amp;"",계정매핑!$A$5:$A$504,0))&amp;"","")="유지비",COUNTIF(계정대체기준!$A$6:$A$15,$N313)&gt;0),IFERROR(INDEX(계정대체기준!$E$6:$E$15,MATCH(VALUE($A313&amp;""),계정대체기준!$D$6:$D$15,0)),0),0))</f>
        <v/>
      </c>
      <c r="AH313" s="64">
        <f>IF($A313="","",IF(AD313=0,"",IF(OR(COUNTIF(계정대체기준!$A$77:$A$86,$N313)&gt;0,ISNUMBER(MATCH($X313,계정대체기준!$D$77:$D$86,0)),ISNUMBER(MATCH($F313,계정대체기준!$D$77:$D$86,0))),"Y","N")))</f>
        <v/>
      </c>
    </row>
    <row r="314">
      <c r="A314" s="92" t="n">
        <v>2025</v>
      </c>
      <c r="B314" s="92" t="n">
        <v>2</v>
      </c>
      <c r="C314" s="92" t="inlineStr">
        <is>
          <t>5100000310</t>
        </is>
      </c>
      <c r="D314" s="95" t="n">
        <v>45699</v>
      </c>
      <c r="E314" s="92" t="inlineStr">
        <is>
          <t>KR</t>
        </is>
      </c>
      <c r="F314" s="92" t="n">
        <v>62102000</v>
      </c>
      <c r="G314" s="92" t="n">
        <v>1951</v>
      </c>
      <c r="H314" s="93" t="n">
        <v>57000</v>
      </c>
      <c r="I314" s="92" t="inlineStr">
        <is>
          <t>2월 해외출장 - N호텔</t>
        </is>
      </c>
      <c r="J314" s="92" t="inlineStr">
        <is>
          <t>V10009</t>
        </is>
      </c>
      <c r="K314" s="92" t="inlineStr">
        <is>
          <t>N호텔</t>
        </is>
      </c>
      <c r="M314" s="9">
        <f>IF($A314="","",VALUE($A314&amp;"")*12+VALUE($B314&amp;""))</f>
        <v/>
      </c>
      <c r="N314" s="64">
        <f>IF($A314="","",IFERROR(INDEX(부서매핑!$C$5:$C$504,MATCH($G314&amp;"",부서매핑!$A$5:$A$504,0)),"미매핑"))</f>
        <v/>
      </c>
      <c r="O314" s="9">
        <f>IF($A314="","",N314&amp;"|"&amp;$F314)</f>
        <v/>
      </c>
      <c r="P314" s="94">
        <f>IF($A314="",0,$H314*설정!$C$23)</f>
        <v/>
      </c>
      <c r="Q314" s="64">
        <f>IF($A314="","",IF(O314&lt;&gt;원인분석!$C$9,"",IF(AND(M314&gt;=원인분석!$C$10,M314&lt;=원인분석!$C$11),"당기",IF(AND(M314&gt;=원인분석!$C$12,M314&lt;=원인분석!$C$13),"비교",""))))</f>
        <v/>
      </c>
      <c r="R314" s="9">
        <f>IF(Q314="","",$K314&amp;"")</f>
        <v/>
      </c>
      <c r="S314" s="9">
        <f>IF(Q314="","",IF(MATCH(R314,$R$5:$R$100000,0)=ROW()-4,ROW(),""))</f>
        <v/>
      </c>
      <c r="T314" s="9">
        <f>IF(Q314="당기",ABS(P314)+ROW()/1000000000,"")</f>
        <v/>
      </c>
      <c r="U314" s="9">
        <f>IF(Q314="비교",ABS(P314)+ROW()/1000000000,"")</f>
        <v/>
      </c>
      <c r="V314" s="64">
        <f>IF($A314="","",IF(COUNTIF(변동분석!$E$7:$E$506,O314)&gt;0,"Y","N"))</f>
        <v/>
      </c>
      <c r="W314" s="64">
        <f>IF($A314="","",IFERROR(INDEX(계정매핑!$D$5:$D$504,MATCH($F314&amp;"",계정매핑!$A$5:$A$504,0)),"미매핑"))</f>
        <v/>
      </c>
      <c r="X314" s="9">
        <f>IF($A314="","",$F314&amp;"")</f>
        <v/>
      </c>
      <c r="Y314" s="94">
        <f>IF($A314="",0,IF(AE314="직접",IF(AF314="비귀속",$P314,0),$P314*(1-AG314)*IFERROR(INDEX(계정대체기준!$F$20:$F$49,MATCH($N314,계정대체기준!$A$20:$A$49,0)),1)))</f>
        <v/>
      </c>
      <c r="Z314" s="94">
        <f>IF($A314="",0,IF(AE314="직접",IF(AF314="신계약비",$P314,0),$P314*(1-AG314)*IFERROR(INDEX(계정대체기준!$C$20:$C$49,MATCH($N314,계정대체기준!$A$20:$A$49,0)),0)))</f>
        <v/>
      </c>
      <c r="AA314" s="94">
        <f>IF($A314="",0,IF(AE314="직접",IF(OR(AF314="유지비",AF314="손해조사비"),$P314,0),$P314*(1-AG314)*IFERROR(INDEX(계정대체기준!$D$20:$D$49,MATCH($N314,계정대체기준!$A$20:$A$49,0)),0)))</f>
        <v/>
      </c>
      <c r="AB314" s="94">
        <f>IF($A314="",0,IF(AE314="직접",IF(AF314="수금비",$P314,0),$P314*(1-AG314)*IFERROR(INDEX(계정대체기준!$E$20:$E$49,MATCH($N314,계정대체기준!$A$20:$A$49,0)),0)))</f>
        <v/>
      </c>
      <c r="AC314" s="9">
        <f>IF(AND($A314&lt;&gt;"",M314=설정!$C$20,Z314&gt;0),Z314+ROW()/1000000000,"")</f>
        <v/>
      </c>
      <c r="AD314" s="94">
        <f>IF($A314="",0,$P314*AG314)</f>
        <v/>
      </c>
      <c r="AE314" s="64">
        <f>IF($A314="","",IFERROR(INDEX(계정매핑!$E$5:$E$504,MATCH($F314&amp;"",계정매핑!$A$5:$A$504,0))&amp;"","공통비"))</f>
        <v/>
      </c>
      <c r="AF314" s="64">
        <f>IF($A314="","",IF(AE314="직접",IFERROR(INDEX(계정매핑!$F$5:$F$504,MATCH($F314&amp;"",계정매핑!$A$5:$A$504,0))&amp;"","비귀속"),""))</f>
        <v/>
      </c>
      <c r="AG314" s="96">
        <f>IF($A314="",0,IF(AND(AE314&lt;&gt;"직접",IFERROR(INDEX(계정매핑!$G$5:$G$504,MATCH($F314&amp;"",계정매핑!$A$5:$A$504,0))&amp;"","")="유지비",COUNTIF(계정대체기준!$A$6:$A$15,$N314)&gt;0),IFERROR(INDEX(계정대체기준!$E$6:$E$15,MATCH(VALUE($A314&amp;""),계정대체기준!$D$6:$D$15,0)),0),0))</f>
        <v/>
      </c>
      <c r="AH314" s="64">
        <f>IF($A314="","",IF(AD314=0,"",IF(OR(COUNTIF(계정대체기준!$A$77:$A$86,$N314)&gt;0,ISNUMBER(MATCH($X314,계정대체기준!$D$77:$D$86,0)),ISNUMBER(MATCH($F314,계정대체기준!$D$77:$D$86,0))),"Y","N")))</f>
        <v/>
      </c>
    </row>
    <row r="315">
      <c r="A315" s="92" t="n">
        <v>2025</v>
      </c>
      <c r="B315" s="92" t="n">
        <v>2</v>
      </c>
      <c r="C315" s="92" t="inlineStr">
        <is>
          <t>5100000311</t>
        </is>
      </c>
      <c r="D315" s="95" t="n">
        <v>45699</v>
      </c>
      <c r="E315" s="92" t="inlineStr">
        <is>
          <t>KR</t>
        </is>
      </c>
      <c r="F315" s="92" t="n">
        <v>62201000</v>
      </c>
      <c r="G315" s="92" t="n">
        <v>1401</v>
      </c>
      <c r="H315" s="93" t="n">
        <v>174000</v>
      </c>
      <c r="I315" s="92" t="inlineStr">
        <is>
          <t>2월 통신요금 - O텔레콤</t>
        </is>
      </c>
      <c r="J315" s="92" t="inlineStr">
        <is>
          <t>V10002</t>
        </is>
      </c>
      <c r="K315" s="92" t="inlineStr">
        <is>
          <t>O텔레콤</t>
        </is>
      </c>
      <c r="M315" s="9">
        <f>IF($A315="","",VALUE($A315&amp;"")*12+VALUE($B315&amp;""))</f>
        <v/>
      </c>
      <c r="N315" s="64">
        <f>IF($A315="","",IFERROR(INDEX(부서매핑!$C$5:$C$504,MATCH($G315&amp;"",부서매핑!$A$5:$A$504,0)),"미매핑"))</f>
        <v/>
      </c>
      <c r="O315" s="9">
        <f>IF($A315="","",N315&amp;"|"&amp;$F315)</f>
        <v/>
      </c>
      <c r="P315" s="94">
        <f>IF($A315="",0,$H315*설정!$C$23)</f>
        <v/>
      </c>
      <c r="Q315" s="64">
        <f>IF($A315="","",IF(O315&lt;&gt;원인분석!$C$9,"",IF(AND(M315&gt;=원인분석!$C$10,M315&lt;=원인분석!$C$11),"당기",IF(AND(M315&gt;=원인분석!$C$12,M315&lt;=원인분석!$C$13),"비교",""))))</f>
        <v/>
      </c>
      <c r="R315" s="9">
        <f>IF(Q315="","",$K315&amp;"")</f>
        <v/>
      </c>
      <c r="S315" s="9">
        <f>IF(Q315="","",IF(MATCH(R315,$R$5:$R$100000,0)=ROW()-4,ROW(),""))</f>
        <v/>
      </c>
      <c r="T315" s="9">
        <f>IF(Q315="당기",ABS(P315)+ROW()/1000000000,"")</f>
        <v/>
      </c>
      <c r="U315" s="9">
        <f>IF(Q315="비교",ABS(P315)+ROW()/1000000000,"")</f>
        <v/>
      </c>
      <c r="V315" s="64">
        <f>IF($A315="","",IF(COUNTIF(변동분석!$E$7:$E$506,O315)&gt;0,"Y","N"))</f>
        <v/>
      </c>
      <c r="W315" s="64">
        <f>IF($A315="","",IFERROR(INDEX(계정매핑!$D$5:$D$504,MATCH($F315&amp;"",계정매핑!$A$5:$A$504,0)),"미매핑"))</f>
        <v/>
      </c>
      <c r="X315" s="9">
        <f>IF($A315="","",$F315&amp;"")</f>
        <v/>
      </c>
      <c r="Y315" s="94">
        <f>IF($A315="",0,IF(AE315="직접",IF(AF315="비귀속",$P315,0),$P315*(1-AG315)*IFERROR(INDEX(계정대체기준!$F$20:$F$49,MATCH($N315,계정대체기준!$A$20:$A$49,0)),1)))</f>
        <v/>
      </c>
      <c r="Z315" s="94">
        <f>IF($A315="",0,IF(AE315="직접",IF(AF315="신계약비",$P315,0),$P315*(1-AG315)*IFERROR(INDEX(계정대체기준!$C$20:$C$49,MATCH($N315,계정대체기준!$A$20:$A$49,0)),0)))</f>
        <v/>
      </c>
      <c r="AA315" s="94">
        <f>IF($A315="",0,IF(AE315="직접",IF(OR(AF315="유지비",AF315="손해조사비"),$P315,0),$P315*(1-AG315)*IFERROR(INDEX(계정대체기준!$D$20:$D$49,MATCH($N315,계정대체기준!$A$20:$A$49,0)),0)))</f>
        <v/>
      </c>
      <c r="AB315" s="94">
        <f>IF($A315="",0,IF(AE315="직접",IF(AF315="수금비",$P315,0),$P315*(1-AG315)*IFERROR(INDEX(계정대체기준!$E$20:$E$49,MATCH($N315,계정대체기준!$A$20:$A$49,0)),0)))</f>
        <v/>
      </c>
      <c r="AC315" s="9">
        <f>IF(AND($A315&lt;&gt;"",M315=설정!$C$20,Z315&gt;0),Z315+ROW()/1000000000,"")</f>
        <v/>
      </c>
      <c r="AD315" s="94">
        <f>IF($A315="",0,$P315*AG315)</f>
        <v/>
      </c>
      <c r="AE315" s="64">
        <f>IF($A315="","",IFERROR(INDEX(계정매핑!$E$5:$E$504,MATCH($F315&amp;"",계정매핑!$A$5:$A$504,0))&amp;"","공통비"))</f>
        <v/>
      </c>
      <c r="AF315" s="64">
        <f>IF($A315="","",IF(AE315="직접",IFERROR(INDEX(계정매핑!$F$5:$F$504,MATCH($F315&amp;"",계정매핑!$A$5:$A$504,0))&amp;"","비귀속"),""))</f>
        <v/>
      </c>
      <c r="AG315" s="96">
        <f>IF($A315="",0,IF(AND(AE315&lt;&gt;"직접",IFERROR(INDEX(계정매핑!$G$5:$G$504,MATCH($F315&amp;"",계정매핑!$A$5:$A$504,0))&amp;"","")="유지비",COUNTIF(계정대체기준!$A$6:$A$15,$N315)&gt;0),IFERROR(INDEX(계정대체기준!$E$6:$E$15,MATCH(VALUE($A315&amp;""),계정대체기준!$D$6:$D$15,0)),0),0))</f>
        <v/>
      </c>
      <c r="AH315" s="64">
        <f>IF($A315="","",IF(AD315=0,"",IF(OR(COUNTIF(계정대체기준!$A$77:$A$86,$N315)&gt;0,ISNUMBER(MATCH($X315,계정대체기준!$D$77:$D$86,0)),ISNUMBER(MATCH($F315,계정대체기준!$D$77:$D$86,0))),"Y","N")))</f>
        <v/>
      </c>
    </row>
    <row r="316">
      <c r="A316" s="92" t="n">
        <v>2025</v>
      </c>
      <c r="B316" s="92" t="n">
        <v>2</v>
      </c>
      <c r="C316" s="92" t="inlineStr">
        <is>
          <t>5100000312</t>
        </is>
      </c>
      <c r="D316" s="95" t="n">
        <v>45699</v>
      </c>
      <c r="E316" s="92" t="inlineStr">
        <is>
          <t>KR</t>
        </is>
      </c>
      <c r="F316" s="92" t="n">
        <v>62301000</v>
      </c>
      <c r="G316" s="92" t="n">
        <v>1101</v>
      </c>
      <c r="H316" s="93" t="n">
        <v>168000</v>
      </c>
      <c r="I316" s="92" t="inlineStr">
        <is>
          <t>2월 소모품 구입 - Q오피스</t>
        </is>
      </c>
      <c r="J316" s="92" t="inlineStr">
        <is>
          <t>V10003</t>
        </is>
      </c>
      <c r="K316" s="92" t="inlineStr">
        <is>
          <t>Q오피스</t>
        </is>
      </c>
      <c r="M316" s="9">
        <f>IF($A316="","",VALUE($A316&amp;"")*12+VALUE($B316&amp;""))</f>
        <v/>
      </c>
      <c r="N316" s="64">
        <f>IF($A316="","",IFERROR(INDEX(부서매핑!$C$5:$C$504,MATCH($G316&amp;"",부서매핑!$A$5:$A$504,0)),"미매핑"))</f>
        <v/>
      </c>
      <c r="O316" s="9">
        <f>IF($A316="","",N316&amp;"|"&amp;$F316)</f>
        <v/>
      </c>
      <c r="P316" s="94">
        <f>IF($A316="",0,$H316*설정!$C$23)</f>
        <v/>
      </c>
      <c r="Q316" s="64">
        <f>IF($A316="","",IF(O316&lt;&gt;원인분석!$C$9,"",IF(AND(M316&gt;=원인분석!$C$10,M316&lt;=원인분석!$C$11),"당기",IF(AND(M316&gt;=원인분석!$C$12,M316&lt;=원인분석!$C$13),"비교",""))))</f>
        <v/>
      </c>
      <c r="R316" s="9">
        <f>IF(Q316="","",$K316&amp;"")</f>
        <v/>
      </c>
      <c r="S316" s="9">
        <f>IF(Q316="","",IF(MATCH(R316,$R$5:$R$100000,0)=ROW()-4,ROW(),""))</f>
        <v/>
      </c>
      <c r="T316" s="9">
        <f>IF(Q316="당기",ABS(P316)+ROW()/1000000000,"")</f>
        <v/>
      </c>
      <c r="U316" s="9">
        <f>IF(Q316="비교",ABS(P316)+ROW()/1000000000,"")</f>
        <v/>
      </c>
      <c r="V316" s="64">
        <f>IF($A316="","",IF(COUNTIF(변동분석!$E$7:$E$506,O316)&gt;0,"Y","N"))</f>
        <v/>
      </c>
      <c r="W316" s="64">
        <f>IF($A316="","",IFERROR(INDEX(계정매핑!$D$5:$D$504,MATCH($F316&amp;"",계정매핑!$A$5:$A$504,0)),"미매핑"))</f>
        <v/>
      </c>
      <c r="X316" s="9">
        <f>IF($A316="","",$F316&amp;"")</f>
        <v/>
      </c>
      <c r="Y316" s="94">
        <f>IF($A316="",0,IF(AE316="직접",IF(AF316="비귀속",$P316,0),$P316*(1-AG316)*IFERROR(INDEX(계정대체기준!$F$20:$F$49,MATCH($N316,계정대체기준!$A$20:$A$49,0)),1)))</f>
        <v/>
      </c>
      <c r="Z316" s="94">
        <f>IF($A316="",0,IF(AE316="직접",IF(AF316="신계약비",$P316,0),$P316*(1-AG316)*IFERROR(INDEX(계정대체기준!$C$20:$C$49,MATCH($N316,계정대체기준!$A$20:$A$49,0)),0)))</f>
        <v/>
      </c>
      <c r="AA316" s="94">
        <f>IF($A316="",0,IF(AE316="직접",IF(OR(AF316="유지비",AF316="손해조사비"),$P316,0),$P316*(1-AG316)*IFERROR(INDEX(계정대체기준!$D$20:$D$49,MATCH($N316,계정대체기준!$A$20:$A$49,0)),0)))</f>
        <v/>
      </c>
      <c r="AB316" s="94">
        <f>IF($A316="",0,IF(AE316="직접",IF(AF316="수금비",$P316,0),$P316*(1-AG316)*IFERROR(INDEX(계정대체기준!$E$20:$E$49,MATCH($N316,계정대체기준!$A$20:$A$49,0)),0)))</f>
        <v/>
      </c>
      <c r="AC316" s="9">
        <f>IF(AND($A316&lt;&gt;"",M316=설정!$C$20,Z316&gt;0),Z316+ROW()/1000000000,"")</f>
        <v/>
      </c>
      <c r="AD316" s="94">
        <f>IF($A316="",0,$P316*AG316)</f>
        <v/>
      </c>
      <c r="AE316" s="64">
        <f>IF($A316="","",IFERROR(INDEX(계정매핑!$E$5:$E$504,MATCH($F316&amp;"",계정매핑!$A$5:$A$504,0))&amp;"","공통비"))</f>
        <v/>
      </c>
      <c r="AF316" s="64">
        <f>IF($A316="","",IF(AE316="직접",IFERROR(INDEX(계정매핑!$F$5:$F$504,MATCH($F316&amp;"",계정매핑!$A$5:$A$504,0))&amp;"","비귀속"),""))</f>
        <v/>
      </c>
      <c r="AG316" s="96">
        <f>IF($A316="",0,IF(AND(AE316&lt;&gt;"직접",IFERROR(INDEX(계정매핑!$G$5:$G$504,MATCH($F316&amp;"",계정매핑!$A$5:$A$504,0))&amp;"","")="유지비",COUNTIF(계정대체기준!$A$6:$A$15,$N316)&gt;0),IFERROR(INDEX(계정대체기준!$E$6:$E$15,MATCH(VALUE($A316&amp;""),계정대체기준!$D$6:$D$15,0)),0),0))</f>
        <v/>
      </c>
      <c r="AH316" s="64">
        <f>IF($A316="","",IF(AD316=0,"",IF(OR(COUNTIF(계정대체기준!$A$77:$A$86,$N316)&gt;0,ISNUMBER(MATCH($X316,계정대체기준!$D$77:$D$86,0)),ISNUMBER(MATCH($F316,계정대체기준!$D$77:$D$86,0))),"Y","N")))</f>
        <v/>
      </c>
    </row>
    <row r="317">
      <c r="A317" s="92" t="n">
        <v>2025</v>
      </c>
      <c r="B317" s="92" t="n">
        <v>2</v>
      </c>
      <c r="C317" s="92" t="inlineStr">
        <is>
          <t>5100000313</t>
        </is>
      </c>
      <c r="D317" s="95" t="n">
        <v>45699</v>
      </c>
      <c r="E317" s="92" t="inlineStr">
        <is>
          <t>KR</t>
        </is>
      </c>
      <c r="F317" s="92" t="n">
        <v>62301000</v>
      </c>
      <c r="G317" s="92" t="n">
        <v>1502</v>
      </c>
      <c r="H317" s="93" t="n">
        <v>253000</v>
      </c>
      <c r="I317" s="92" t="inlineStr">
        <is>
          <t>2월 소모품 구입 - R문구</t>
        </is>
      </c>
      <c r="J317" s="92" t="inlineStr">
        <is>
          <t>V10022</t>
        </is>
      </c>
      <c r="K317" s="92" t="inlineStr">
        <is>
          <t>R문구</t>
        </is>
      </c>
      <c r="M317" s="9">
        <f>IF($A317="","",VALUE($A317&amp;"")*12+VALUE($B317&amp;""))</f>
        <v/>
      </c>
      <c r="N317" s="64">
        <f>IF($A317="","",IFERROR(INDEX(부서매핑!$C$5:$C$504,MATCH($G317&amp;"",부서매핑!$A$5:$A$504,0)),"미매핑"))</f>
        <v/>
      </c>
      <c r="O317" s="9">
        <f>IF($A317="","",N317&amp;"|"&amp;$F317)</f>
        <v/>
      </c>
      <c r="P317" s="94">
        <f>IF($A317="",0,$H317*설정!$C$23)</f>
        <v/>
      </c>
      <c r="Q317" s="64">
        <f>IF($A317="","",IF(O317&lt;&gt;원인분석!$C$9,"",IF(AND(M317&gt;=원인분석!$C$10,M317&lt;=원인분석!$C$11),"당기",IF(AND(M317&gt;=원인분석!$C$12,M317&lt;=원인분석!$C$13),"비교",""))))</f>
        <v/>
      </c>
      <c r="R317" s="9">
        <f>IF(Q317="","",$K317&amp;"")</f>
        <v/>
      </c>
      <c r="S317" s="9">
        <f>IF(Q317="","",IF(MATCH(R317,$R$5:$R$100000,0)=ROW()-4,ROW(),""))</f>
        <v/>
      </c>
      <c r="T317" s="9">
        <f>IF(Q317="당기",ABS(P317)+ROW()/1000000000,"")</f>
        <v/>
      </c>
      <c r="U317" s="9">
        <f>IF(Q317="비교",ABS(P317)+ROW()/1000000000,"")</f>
        <v/>
      </c>
      <c r="V317" s="64">
        <f>IF($A317="","",IF(COUNTIF(변동분석!$E$7:$E$506,O317)&gt;0,"Y","N"))</f>
        <v/>
      </c>
      <c r="W317" s="64">
        <f>IF($A317="","",IFERROR(INDEX(계정매핑!$D$5:$D$504,MATCH($F317&amp;"",계정매핑!$A$5:$A$504,0)),"미매핑"))</f>
        <v/>
      </c>
      <c r="X317" s="9">
        <f>IF($A317="","",$F317&amp;"")</f>
        <v/>
      </c>
      <c r="Y317" s="94">
        <f>IF($A317="",0,IF(AE317="직접",IF(AF317="비귀속",$P317,0),$P317*(1-AG317)*IFERROR(INDEX(계정대체기준!$F$20:$F$49,MATCH($N317,계정대체기준!$A$20:$A$49,0)),1)))</f>
        <v/>
      </c>
      <c r="Z317" s="94">
        <f>IF($A317="",0,IF(AE317="직접",IF(AF317="신계약비",$P317,0),$P317*(1-AG317)*IFERROR(INDEX(계정대체기준!$C$20:$C$49,MATCH($N317,계정대체기준!$A$20:$A$49,0)),0)))</f>
        <v/>
      </c>
      <c r="AA317" s="94">
        <f>IF($A317="",0,IF(AE317="직접",IF(OR(AF317="유지비",AF317="손해조사비"),$P317,0),$P317*(1-AG317)*IFERROR(INDEX(계정대체기준!$D$20:$D$49,MATCH($N317,계정대체기준!$A$20:$A$49,0)),0)))</f>
        <v/>
      </c>
      <c r="AB317" s="94">
        <f>IF($A317="",0,IF(AE317="직접",IF(AF317="수금비",$P317,0),$P317*(1-AG317)*IFERROR(INDEX(계정대체기준!$E$20:$E$49,MATCH($N317,계정대체기준!$A$20:$A$49,0)),0)))</f>
        <v/>
      </c>
      <c r="AC317" s="9">
        <f>IF(AND($A317&lt;&gt;"",M317=설정!$C$20,Z317&gt;0),Z317+ROW()/1000000000,"")</f>
        <v/>
      </c>
      <c r="AD317" s="94">
        <f>IF($A317="",0,$P317*AG317)</f>
        <v/>
      </c>
      <c r="AE317" s="64">
        <f>IF($A317="","",IFERROR(INDEX(계정매핑!$E$5:$E$504,MATCH($F317&amp;"",계정매핑!$A$5:$A$504,0))&amp;"","공통비"))</f>
        <v/>
      </c>
      <c r="AF317" s="64">
        <f>IF($A317="","",IF(AE317="직접",IFERROR(INDEX(계정매핑!$F$5:$F$504,MATCH($F317&amp;"",계정매핑!$A$5:$A$504,0))&amp;"","비귀속"),""))</f>
        <v/>
      </c>
      <c r="AG317" s="96">
        <f>IF($A317="",0,IF(AND(AE317&lt;&gt;"직접",IFERROR(INDEX(계정매핑!$G$5:$G$504,MATCH($F317&amp;"",계정매핑!$A$5:$A$504,0))&amp;"","")="유지비",COUNTIF(계정대체기준!$A$6:$A$15,$N317)&gt;0),IFERROR(INDEX(계정대체기준!$E$6:$E$15,MATCH(VALUE($A317&amp;""),계정대체기준!$D$6:$D$15,0)),0),0))</f>
        <v/>
      </c>
      <c r="AH317" s="64">
        <f>IF($A317="","",IF(AD317=0,"",IF(OR(COUNTIF(계정대체기준!$A$77:$A$86,$N317)&gt;0,ISNUMBER(MATCH($X317,계정대체기준!$D$77:$D$86,0)),ISNUMBER(MATCH($F317,계정대체기준!$D$77:$D$86,0))),"Y","N")))</f>
        <v/>
      </c>
    </row>
    <row r="318">
      <c r="A318" s="92" t="n">
        <v>2025</v>
      </c>
      <c r="B318" s="92" t="n">
        <v>2</v>
      </c>
      <c r="C318" s="92" t="inlineStr">
        <is>
          <t>5100000314</t>
        </is>
      </c>
      <c r="D318" s="95" t="n">
        <v>45699</v>
      </c>
      <c r="E318" s="92" t="inlineStr">
        <is>
          <t>KR</t>
        </is>
      </c>
      <c r="F318" s="92" t="n">
        <v>62301000</v>
      </c>
      <c r="G318" s="92" t="n">
        <v>1602</v>
      </c>
      <c r="H318" s="93" t="n">
        <v>464000</v>
      </c>
      <c r="I318" s="92" t="inlineStr">
        <is>
          <t>2월 소모품 구입 - R문구</t>
        </is>
      </c>
      <c r="J318" s="92" t="inlineStr">
        <is>
          <t>V10022</t>
        </is>
      </c>
      <c r="K318" s="92" t="inlineStr">
        <is>
          <t>R문구</t>
        </is>
      </c>
      <c r="M318" s="9">
        <f>IF($A318="","",VALUE($A318&amp;"")*12+VALUE($B318&amp;""))</f>
        <v/>
      </c>
      <c r="N318" s="64">
        <f>IF($A318="","",IFERROR(INDEX(부서매핑!$C$5:$C$504,MATCH($G318&amp;"",부서매핑!$A$5:$A$504,0)),"미매핑"))</f>
        <v/>
      </c>
      <c r="O318" s="9">
        <f>IF($A318="","",N318&amp;"|"&amp;$F318)</f>
        <v/>
      </c>
      <c r="P318" s="94">
        <f>IF($A318="",0,$H318*설정!$C$23)</f>
        <v/>
      </c>
      <c r="Q318" s="64">
        <f>IF($A318="","",IF(O318&lt;&gt;원인분석!$C$9,"",IF(AND(M318&gt;=원인분석!$C$10,M318&lt;=원인분석!$C$11),"당기",IF(AND(M318&gt;=원인분석!$C$12,M318&lt;=원인분석!$C$13),"비교",""))))</f>
        <v/>
      </c>
      <c r="R318" s="9">
        <f>IF(Q318="","",$K318&amp;"")</f>
        <v/>
      </c>
      <c r="S318" s="9">
        <f>IF(Q318="","",IF(MATCH(R318,$R$5:$R$100000,0)=ROW()-4,ROW(),""))</f>
        <v/>
      </c>
      <c r="T318" s="9">
        <f>IF(Q318="당기",ABS(P318)+ROW()/1000000000,"")</f>
        <v/>
      </c>
      <c r="U318" s="9">
        <f>IF(Q318="비교",ABS(P318)+ROW()/1000000000,"")</f>
        <v/>
      </c>
      <c r="V318" s="64">
        <f>IF($A318="","",IF(COUNTIF(변동분석!$E$7:$E$506,O318)&gt;0,"Y","N"))</f>
        <v/>
      </c>
      <c r="W318" s="64">
        <f>IF($A318="","",IFERROR(INDEX(계정매핑!$D$5:$D$504,MATCH($F318&amp;"",계정매핑!$A$5:$A$504,0)),"미매핑"))</f>
        <v/>
      </c>
      <c r="X318" s="9">
        <f>IF($A318="","",$F318&amp;"")</f>
        <v/>
      </c>
      <c r="Y318" s="94">
        <f>IF($A318="",0,IF(AE318="직접",IF(AF318="비귀속",$P318,0),$P318*(1-AG318)*IFERROR(INDEX(계정대체기준!$F$20:$F$49,MATCH($N318,계정대체기준!$A$20:$A$49,0)),1)))</f>
        <v/>
      </c>
      <c r="Z318" s="94">
        <f>IF($A318="",0,IF(AE318="직접",IF(AF318="신계약비",$P318,0),$P318*(1-AG318)*IFERROR(INDEX(계정대체기준!$C$20:$C$49,MATCH($N318,계정대체기준!$A$20:$A$49,0)),0)))</f>
        <v/>
      </c>
      <c r="AA318" s="94">
        <f>IF($A318="",0,IF(AE318="직접",IF(OR(AF318="유지비",AF318="손해조사비"),$P318,0),$P318*(1-AG318)*IFERROR(INDEX(계정대체기준!$D$20:$D$49,MATCH($N318,계정대체기준!$A$20:$A$49,0)),0)))</f>
        <v/>
      </c>
      <c r="AB318" s="94">
        <f>IF($A318="",0,IF(AE318="직접",IF(AF318="수금비",$P318,0),$P318*(1-AG318)*IFERROR(INDEX(계정대체기준!$E$20:$E$49,MATCH($N318,계정대체기준!$A$20:$A$49,0)),0)))</f>
        <v/>
      </c>
      <c r="AC318" s="9">
        <f>IF(AND($A318&lt;&gt;"",M318=설정!$C$20,Z318&gt;0),Z318+ROW()/1000000000,"")</f>
        <v/>
      </c>
      <c r="AD318" s="94">
        <f>IF($A318="",0,$P318*AG318)</f>
        <v/>
      </c>
      <c r="AE318" s="64">
        <f>IF($A318="","",IFERROR(INDEX(계정매핑!$E$5:$E$504,MATCH($F318&amp;"",계정매핑!$A$5:$A$504,0))&amp;"","공통비"))</f>
        <v/>
      </c>
      <c r="AF318" s="64">
        <f>IF($A318="","",IF(AE318="직접",IFERROR(INDEX(계정매핑!$F$5:$F$504,MATCH($F318&amp;"",계정매핑!$A$5:$A$504,0))&amp;"","비귀속"),""))</f>
        <v/>
      </c>
      <c r="AG318" s="96">
        <f>IF($A318="",0,IF(AND(AE318&lt;&gt;"직접",IFERROR(INDEX(계정매핑!$G$5:$G$504,MATCH($F318&amp;"",계정매핑!$A$5:$A$504,0))&amp;"","")="유지비",COUNTIF(계정대체기준!$A$6:$A$15,$N318)&gt;0),IFERROR(INDEX(계정대체기준!$E$6:$E$15,MATCH(VALUE($A318&amp;""),계정대체기준!$D$6:$D$15,0)),0),0))</f>
        <v/>
      </c>
      <c r="AH318" s="64">
        <f>IF($A318="","",IF(AD318=0,"",IF(OR(COUNTIF(계정대체기준!$A$77:$A$86,$N318)&gt;0,ISNUMBER(MATCH($X318,계정대체기준!$D$77:$D$86,0)),ISNUMBER(MATCH($F318,계정대체기준!$D$77:$D$86,0))),"Y","N")))</f>
        <v/>
      </c>
    </row>
    <row r="319">
      <c r="A319" s="92" t="n">
        <v>2025</v>
      </c>
      <c r="B319" s="92" t="n">
        <v>2</v>
      </c>
      <c r="C319" s="92" t="inlineStr">
        <is>
          <t>5100000315</t>
        </is>
      </c>
      <c r="D319" s="95" t="n">
        <v>45699</v>
      </c>
      <c r="E319" s="92" t="inlineStr">
        <is>
          <t>KR</t>
        </is>
      </c>
      <c r="F319" s="92" t="n">
        <v>62301000</v>
      </c>
      <c r="G319" s="92" t="n">
        <v>1701</v>
      </c>
      <c r="H319" s="93" t="n">
        <v>286000</v>
      </c>
      <c r="I319" s="92" t="inlineStr">
        <is>
          <t>2월 소모품 구입 - Q오피스</t>
        </is>
      </c>
      <c r="J319" s="92" t="inlineStr">
        <is>
          <t>V10003</t>
        </is>
      </c>
      <c r="K319" s="92" t="inlineStr">
        <is>
          <t>Q오피스</t>
        </is>
      </c>
      <c r="M319" s="9">
        <f>IF($A319="","",VALUE($A319&amp;"")*12+VALUE($B319&amp;""))</f>
        <v/>
      </c>
      <c r="N319" s="64">
        <f>IF($A319="","",IFERROR(INDEX(부서매핑!$C$5:$C$504,MATCH($G319&amp;"",부서매핑!$A$5:$A$504,0)),"미매핑"))</f>
        <v/>
      </c>
      <c r="O319" s="9">
        <f>IF($A319="","",N319&amp;"|"&amp;$F319)</f>
        <v/>
      </c>
      <c r="P319" s="94">
        <f>IF($A319="",0,$H319*설정!$C$23)</f>
        <v/>
      </c>
      <c r="Q319" s="64">
        <f>IF($A319="","",IF(O319&lt;&gt;원인분석!$C$9,"",IF(AND(M319&gt;=원인분석!$C$10,M319&lt;=원인분석!$C$11),"당기",IF(AND(M319&gt;=원인분석!$C$12,M319&lt;=원인분석!$C$13),"비교",""))))</f>
        <v/>
      </c>
      <c r="R319" s="9">
        <f>IF(Q319="","",$K319&amp;"")</f>
        <v/>
      </c>
      <c r="S319" s="9">
        <f>IF(Q319="","",IF(MATCH(R319,$R$5:$R$100000,0)=ROW()-4,ROW(),""))</f>
        <v/>
      </c>
      <c r="T319" s="9">
        <f>IF(Q319="당기",ABS(P319)+ROW()/1000000000,"")</f>
        <v/>
      </c>
      <c r="U319" s="9">
        <f>IF(Q319="비교",ABS(P319)+ROW()/1000000000,"")</f>
        <v/>
      </c>
      <c r="V319" s="64">
        <f>IF($A319="","",IF(COUNTIF(변동분석!$E$7:$E$506,O319)&gt;0,"Y","N"))</f>
        <v/>
      </c>
      <c r="W319" s="64">
        <f>IF($A319="","",IFERROR(INDEX(계정매핑!$D$5:$D$504,MATCH($F319&amp;"",계정매핑!$A$5:$A$504,0)),"미매핑"))</f>
        <v/>
      </c>
      <c r="X319" s="9">
        <f>IF($A319="","",$F319&amp;"")</f>
        <v/>
      </c>
      <c r="Y319" s="94">
        <f>IF($A319="",0,IF(AE319="직접",IF(AF319="비귀속",$P319,0),$P319*(1-AG319)*IFERROR(INDEX(계정대체기준!$F$20:$F$49,MATCH($N319,계정대체기준!$A$20:$A$49,0)),1)))</f>
        <v/>
      </c>
      <c r="Z319" s="94">
        <f>IF($A319="",0,IF(AE319="직접",IF(AF319="신계약비",$P319,0),$P319*(1-AG319)*IFERROR(INDEX(계정대체기준!$C$20:$C$49,MATCH($N319,계정대체기준!$A$20:$A$49,0)),0)))</f>
        <v/>
      </c>
      <c r="AA319" s="94">
        <f>IF($A319="",0,IF(AE319="직접",IF(OR(AF319="유지비",AF319="손해조사비"),$P319,0),$P319*(1-AG319)*IFERROR(INDEX(계정대체기준!$D$20:$D$49,MATCH($N319,계정대체기준!$A$20:$A$49,0)),0)))</f>
        <v/>
      </c>
      <c r="AB319" s="94">
        <f>IF($A319="",0,IF(AE319="직접",IF(AF319="수금비",$P319,0),$P319*(1-AG319)*IFERROR(INDEX(계정대체기준!$E$20:$E$49,MATCH($N319,계정대체기준!$A$20:$A$49,0)),0)))</f>
        <v/>
      </c>
      <c r="AC319" s="9">
        <f>IF(AND($A319&lt;&gt;"",M319=설정!$C$20,Z319&gt;0),Z319+ROW()/1000000000,"")</f>
        <v/>
      </c>
      <c r="AD319" s="94">
        <f>IF($A319="",0,$P319*AG319)</f>
        <v/>
      </c>
      <c r="AE319" s="64">
        <f>IF($A319="","",IFERROR(INDEX(계정매핑!$E$5:$E$504,MATCH($F319&amp;"",계정매핑!$A$5:$A$504,0))&amp;"","공통비"))</f>
        <v/>
      </c>
      <c r="AF319" s="64">
        <f>IF($A319="","",IF(AE319="직접",IFERROR(INDEX(계정매핑!$F$5:$F$504,MATCH($F319&amp;"",계정매핑!$A$5:$A$504,0))&amp;"","비귀속"),""))</f>
        <v/>
      </c>
      <c r="AG319" s="96">
        <f>IF($A319="",0,IF(AND(AE319&lt;&gt;"직접",IFERROR(INDEX(계정매핑!$G$5:$G$504,MATCH($F319&amp;"",계정매핑!$A$5:$A$504,0))&amp;"","")="유지비",COUNTIF(계정대체기준!$A$6:$A$15,$N319)&gt;0),IFERROR(INDEX(계정대체기준!$E$6:$E$15,MATCH(VALUE($A319&amp;""),계정대체기준!$D$6:$D$15,0)),0),0))</f>
        <v/>
      </c>
      <c r="AH319" s="64">
        <f>IF($A319="","",IF(AD319=0,"",IF(OR(COUNTIF(계정대체기준!$A$77:$A$86,$N319)&gt;0,ISNUMBER(MATCH($X319,계정대체기준!$D$77:$D$86,0)),ISNUMBER(MATCH($F319,계정대체기준!$D$77:$D$86,0))),"Y","N")))</f>
        <v/>
      </c>
    </row>
    <row r="320">
      <c r="A320" s="92" t="n">
        <v>2025</v>
      </c>
      <c r="B320" s="92" t="n">
        <v>2</v>
      </c>
      <c r="C320" s="92" t="inlineStr">
        <is>
          <t>5100000316</t>
        </is>
      </c>
      <c r="D320" s="95" t="n">
        <v>45699</v>
      </c>
      <c r="E320" s="92" t="inlineStr">
        <is>
          <t>KR</t>
        </is>
      </c>
      <c r="F320" s="92" t="n">
        <v>62401000</v>
      </c>
      <c r="G320" s="92" t="n">
        <v>1801</v>
      </c>
      <c r="H320" s="93" t="n">
        <v>3295000</v>
      </c>
      <c r="I320" s="92" t="inlineStr">
        <is>
          <t>2월 인쇄물 제작 - S출판</t>
        </is>
      </c>
      <c r="J320" s="92" t="inlineStr">
        <is>
          <t>V10015</t>
        </is>
      </c>
      <c r="K320" s="92" t="inlineStr">
        <is>
          <t>S출판</t>
        </is>
      </c>
      <c r="M320" s="9">
        <f>IF($A320="","",VALUE($A320&amp;"")*12+VALUE($B320&amp;""))</f>
        <v/>
      </c>
      <c r="N320" s="64">
        <f>IF($A320="","",IFERROR(INDEX(부서매핑!$C$5:$C$504,MATCH($G320&amp;"",부서매핑!$A$5:$A$504,0)),"미매핑"))</f>
        <v/>
      </c>
      <c r="O320" s="9">
        <f>IF($A320="","",N320&amp;"|"&amp;$F320)</f>
        <v/>
      </c>
      <c r="P320" s="94">
        <f>IF($A320="",0,$H320*설정!$C$23)</f>
        <v/>
      </c>
      <c r="Q320" s="64">
        <f>IF($A320="","",IF(O320&lt;&gt;원인분석!$C$9,"",IF(AND(M320&gt;=원인분석!$C$10,M320&lt;=원인분석!$C$11),"당기",IF(AND(M320&gt;=원인분석!$C$12,M320&lt;=원인분석!$C$13),"비교",""))))</f>
        <v/>
      </c>
      <c r="R320" s="9">
        <f>IF(Q320="","",$K320&amp;"")</f>
        <v/>
      </c>
      <c r="S320" s="9">
        <f>IF(Q320="","",IF(MATCH(R320,$R$5:$R$100000,0)=ROW()-4,ROW(),""))</f>
        <v/>
      </c>
      <c r="T320" s="9">
        <f>IF(Q320="당기",ABS(P320)+ROW()/1000000000,"")</f>
        <v/>
      </c>
      <c r="U320" s="9">
        <f>IF(Q320="비교",ABS(P320)+ROW()/1000000000,"")</f>
        <v/>
      </c>
      <c r="V320" s="64">
        <f>IF($A320="","",IF(COUNTIF(변동분석!$E$7:$E$506,O320)&gt;0,"Y","N"))</f>
        <v/>
      </c>
      <c r="W320" s="64">
        <f>IF($A320="","",IFERROR(INDEX(계정매핑!$D$5:$D$504,MATCH($F320&amp;"",계정매핑!$A$5:$A$504,0)),"미매핑"))</f>
        <v/>
      </c>
      <c r="X320" s="9">
        <f>IF($A320="","",$F320&amp;"")</f>
        <v/>
      </c>
      <c r="Y320" s="94">
        <f>IF($A320="",0,IF(AE320="직접",IF(AF320="비귀속",$P320,0),$P320*(1-AG320)*IFERROR(INDEX(계정대체기준!$F$20:$F$49,MATCH($N320,계정대체기준!$A$20:$A$49,0)),1)))</f>
        <v/>
      </c>
      <c r="Z320" s="94">
        <f>IF($A320="",0,IF(AE320="직접",IF(AF320="신계약비",$P320,0),$P320*(1-AG320)*IFERROR(INDEX(계정대체기준!$C$20:$C$49,MATCH($N320,계정대체기준!$A$20:$A$49,0)),0)))</f>
        <v/>
      </c>
      <c r="AA320" s="94">
        <f>IF($A320="",0,IF(AE320="직접",IF(OR(AF320="유지비",AF320="손해조사비"),$P320,0),$P320*(1-AG320)*IFERROR(INDEX(계정대체기준!$D$20:$D$49,MATCH($N320,계정대체기준!$A$20:$A$49,0)),0)))</f>
        <v/>
      </c>
      <c r="AB320" s="94">
        <f>IF($A320="",0,IF(AE320="직접",IF(AF320="수금비",$P320,0),$P320*(1-AG320)*IFERROR(INDEX(계정대체기준!$E$20:$E$49,MATCH($N320,계정대체기준!$A$20:$A$49,0)),0)))</f>
        <v/>
      </c>
      <c r="AC320" s="9">
        <f>IF(AND($A320&lt;&gt;"",M320=설정!$C$20,Z320&gt;0),Z320+ROW()/1000000000,"")</f>
        <v/>
      </c>
      <c r="AD320" s="94">
        <f>IF($A320="",0,$P320*AG320)</f>
        <v/>
      </c>
      <c r="AE320" s="64">
        <f>IF($A320="","",IFERROR(INDEX(계정매핑!$E$5:$E$504,MATCH($F320&amp;"",계정매핑!$A$5:$A$504,0))&amp;"","공통비"))</f>
        <v/>
      </c>
      <c r="AF320" s="64">
        <f>IF($A320="","",IF(AE320="직접",IFERROR(INDEX(계정매핑!$F$5:$F$504,MATCH($F320&amp;"",계정매핑!$A$5:$A$504,0))&amp;"","비귀속"),""))</f>
        <v/>
      </c>
      <c r="AG320" s="96">
        <f>IF($A320="",0,IF(AND(AE320&lt;&gt;"직접",IFERROR(INDEX(계정매핑!$G$5:$G$504,MATCH($F320&amp;"",계정매핑!$A$5:$A$504,0))&amp;"","")="유지비",COUNTIF(계정대체기준!$A$6:$A$15,$N320)&gt;0),IFERROR(INDEX(계정대체기준!$E$6:$E$15,MATCH(VALUE($A320&amp;""),계정대체기준!$D$6:$D$15,0)),0),0))</f>
        <v/>
      </c>
      <c r="AH320" s="64">
        <f>IF($A320="","",IF(AD320=0,"",IF(OR(COUNTIF(계정대체기준!$A$77:$A$86,$N320)&gt;0,ISNUMBER(MATCH($X320,계정대체기준!$D$77:$D$86,0)),ISNUMBER(MATCH($F320,계정대체기준!$D$77:$D$86,0))),"Y","N")))</f>
        <v/>
      </c>
    </row>
    <row r="321">
      <c r="A321" s="92" t="n">
        <v>2025</v>
      </c>
      <c r="B321" s="92" t="n">
        <v>2</v>
      </c>
      <c r="C321" s="92" t="inlineStr">
        <is>
          <t>5100000317</t>
        </is>
      </c>
      <c r="D321" s="95" t="n">
        <v>45699</v>
      </c>
      <c r="E321" s="92" t="inlineStr">
        <is>
          <t>KR</t>
        </is>
      </c>
      <c r="F321" s="92" t="n">
        <v>62501000</v>
      </c>
      <c r="G321" s="92" t="n">
        <v>1301</v>
      </c>
      <c r="H321" s="93" t="n">
        <v>239000</v>
      </c>
      <c r="I321" s="92" t="inlineStr">
        <is>
          <t>2월 회의 다과 - (법인카드)</t>
        </is>
      </c>
      <c r="J321" s="92" t="inlineStr">
        <is>
          <t>V10010</t>
        </is>
      </c>
      <c r="K321" s="92" t="inlineStr">
        <is>
          <t>(법인카드)</t>
        </is>
      </c>
      <c r="M321" s="9">
        <f>IF($A321="","",VALUE($A321&amp;"")*12+VALUE($B321&amp;""))</f>
        <v/>
      </c>
      <c r="N321" s="64">
        <f>IF($A321="","",IFERROR(INDEX(부서매핑!$C$5:$C$504,MATCH($G321&amp;"",부서매핑!$A$5:$A$504,0)),"미매핑"))</f>
        <v/>
      </c>
      <c r="O321" s="9">
        <f>IF($A321="","",N321&amp;"|"&amp;$F321)</f>
        <v/>
      </c>
      <c r="P321" s="94">
        <f>IF($A321="",0,$H321*설정!$C$23)</f>
        <v/>
      </c>
      <c r="Q321" s="64">
        <f>IF($A321="","",IF(O321&lt;&gt;원인분석!$C$9,"",IF(AND(M321&gt;=원인분석!$C$10,M321&lt;=원인분석!$C$11),"당기",IF(AND(M321&gt;=원인분석!$C$12,M321&lt;=원인분석!$C$13),"비교",""))))</f>
        <v/>
      </c>
      <c r="R321" s="9">
        <f>IF(Q321="","",$K321&amp;"")</f>
        <v/>
      </c>
      <c r="S321" s="9">
        <f>IF(Q321="","",IF(MATCH(R321,$R$5:$R$100000,0)=ROW()-4,ROW(),""))</f>
        <v/>
      </c>
      <c r="T321" s="9">
        <f>IF(Q321="당기",ABS(P321)+ROW()/1000000000,"")</f>
        <v/>
      </c>
      <c r="U321" s="9">
        <f>IF(Q321="비교",ABS(P321)+ROW()/1000000000,"")</f>
        <v/>
      </c>
      <c r="V321" s="64">
        <f>IF($A321="","",IF(COUNTIF(변동분석!$E$7:$E$506,O321)&gt;0,"Y","N"))</f>
        <v/>
      </c>
      <c r="W321" s="64">
        <f>IF($A321="","",IFERROR(INDEX(계정매핑!$D$5:$D$504,MATCH($F321&amp;"",계정매핑!$A$5:$A$504,0)),"미매핑"))</f>
        <v/>
      </c>
      <c r="X321" s="9">
        <f>IF($A321="","",$F321&amp;"")</f>
        <v/>
      </c>
      <c r="Y321" s="94">
        <f>IF($A321="",0,IF(AE321="직접",IF(AF321="비귀속",$P321,0),$P321*(1-AG321)*IFERROR(INDEX(계정대체기준!$F$20:$F$49,MATCH($N321,계정대체기준!$A$20:$A$49,0)),1)))</f>
        <v/>
      </c>
      <c r="Z321" s="94">
        <f>IF($A321="",0,IF(AE321="직접",IF(AF321="신계약비",$P321,0),$P321*(1-AG321)*IFERROR(INDEX(계정대체기준!$C$20:$C$49,MATCH($N321,계정대체기준!$A$20:$A$49,0)),0)))</f>
        <v/>
      </c>
      <c r="AA321" s="94">
        <f>IF($A321="",0,IF(AE321="직접",IF(OR(AF321="유지비",AF321="손해조사비"),$P321,0),$P321*(1-AG321)*IFERROR(INDEX(계정대체기준!$D$20:$D$49,MATCH($N321,계정대체기준!$A$20:$A$49,0)),0)))</f>
        <v/>
      </c>
      <c r="AB321" s="94">
        <f>IF($A321="",0,IF(AE321="직접",IF(AF321="수금비",$P321,0),$P321*(1-AG321)*IFERROR(INDEX(계정대체기준!$E$20:$E$49,MATCH($N321,계정대체기준!$A$20:$A$49,0)),0)))</f>
        <v/>
      </c>
      <c r="AC321" s="9">
        <f>IF(AND($A321&lt;&gt;"",M321=설정!$C$20,Z321&gt;0),Z321+ROW()/1000000000,"")</f>
        <v/>
      </c>
      <c r="AD321" s="94">
        <f>IF($A321="",0,$P321*AG321)</f>
        <v/>
      </c>
      <c r="AE321" s="64">
        <f>IF($A321="","",IFERROR(INDEX(계정매핑!$E$5:$E$504,MATCH($F321&amp;"",계정매핑!$A$5:$A$504,0))&amp;"","공통비"))</f>
        <v/>
      </c>
      <c r="AF321" s="64">
        <f>IF($A321="","",IF(AE321="직접",IFERROR(INDEX(계정매핑!$F$5:$F$504,MATCH($F321&amp;"",계정매핑!$A$5:$A$504,0))&amp;"","비귀속"),""))</f>
        <v/>
      </c>
      <c r="AG321" s="96">
        <f>IF($A321="",0,IF(AND(AE321&lt;&gt;"직접",IFERROR(INDEX(계정매핑!$G$5:$G$504,MATCH($F321&amp;"",계정매핑!$A$5:$A$504,0))&amp;"","")="유지비",COUNTIF(계정대체기준!$A$6:$A$15,$N321)&gt;0),IFERROR(INDEX(계정대체기준!$E$6:$E$15,MATCH(VALUE($A321&amp;""),계정대체기준!$D$6:$D$15,0)),0),0))</f>
        <v/>
      </c>
      <c r="AH321" s="64">
        <f>IF($A321="","",IF(AD321=0,"",IF(OR(COUNTIF(계정대체기준!$A$77:$A$86,$N321)&gt;0,ISNUMBER(MATCH($X321,계정대체기준!$D$77:$D$86,0)),ISNUMBER(MATCH($F321,계정대체기준!$D$77:$D$86,0))),"Y","N")))</f>
        <v/>
      </c>
    </row>
    <row r="322">
      <c r="A322" s="92" t="n">
        <v>2025</v>
      </c>
      <c r="B322" s="92" t="n">
        <v>2</v>
      </c>
      <c r="C322" s="92" t="inlineStr">
        <is>
          <t>5100000318</t>
        </is>
      </c>
      <c r="D322" s="95" t="n">
        <v>45699</v>
      </c>
      <c r="E322" s="92" t="inlineStr">
        <is>
          <t>KR</t>
        </is>
      </c>
      <c r="F322" s="92" t="n">
        <v>62501000</v>
      </c>
      <c r="G322" s="92" t="n">
        <v>1501</v>
      </c>
      <c r="H322" s="93" t="n">
        <v>255000</v>
      </c>
      <c r="I322" s="92" t="inlineStr">
        <is>
          <t>2월 회의 다과 - (법인카드)</t>
        </is>
      </c>
      <c r="J322" s="92" t="inlineStr">
        <is>
          <t>V10010</t>
        </is>
      </c>
      <c r="K322" s="92" t="inlineStr">
        <is>
          <t>(법인카드)</t>
        </is>
      </c>
      <c r="M322" s="9">
        <f>IF($A322="","",VALUE($A322&amp;"")*12+VALUE($B322&amp;""))</f>
        <v/>
      </c>
      <c r="N322" s="64">
        <f>IF($A322="","",IFERROR(INDEX(부서매핑!$C$5:$C$504,MATCH($G322&amp;"",부서매핑!$A$5:$A$504,0)),"미매핑"))</f>
        <v/>
      </c>
      <c r="O322" s="9">
        <f>IF($A322="","",N322&amp;"|"&amp;$F322)</f>
        <v/>
      </c>
      <c r="P322" s="94">
        <f>IF($A322="",0,$H322*설정!$C$23)</f>
        <v/>
      </c>
      <c r="Q322" s="64">
        <f>IF($A322="","",IF(O322&lt;&gt;원인분석!$C$9,"",IF(AND(M322&gt;=원인분석!$C$10,M322&lt;=원인분석!$C$11),"당기",IF(AND(M322&gt;=원인분석!$C$12,M322&lt;=원인분석!$C$13),"비교",""))))</f>
        <v/>
      </c>
      <c r="R322" s="9">
        <f>IF(Q322="","",$K322&amp;"")</f>
        <v/>
      </c>
      <c r="S322" s="9">
        <f>IF(Q322="","",IF(MATCH(R322,$R$5:$R$100000,0)=ROW()-4,ROW(),""))</f>
        <v/>
      </c>
      <c r="T322" s="9">
        <f>IF(Q322="당기",ABS(P322)+ROW()/1000000000,"")</f>
        <v/>
      </c>
      <c r="U322" s="9">
        <f>IF(Q322="비교",ABS(P322)+ROW()/1000000000,"")</f>
        <v/>
      </c>
      <c r="V322" s="64">
        <f>IF($A322="","",IF(COUNTIF(변동분석!$E$7:$E$506,O322)&gt;0,"Y","N"))</f>
        <v/>
      </c>
      <c r="W322" s="64">
        <f>IF($A322="","",IFERROR(INDEX(계정매핑!$D$5:$D$504,MATCH($F322&amp;"",계정매핑!$A$5:$A$504,0)),"미매핑"))</f>
        <v/>
      </c>
      <c r="X322" s="9">
        <f>IF($A322="","",$F322&amp;"")</f>
        <v/>
      </c>
      <c r="Y322" s="94">
        <f>IF($A322="",0,IF(AE322="직접",IF(AF322="비귀속",$P322,0),$P322*(1-AG322)*IFERROR(INDEX(계정대체기준!$F$20:$F$49,MATCH($N322,계정대체기준!$A$20:$A$49,0)),1)))</f>
        <v/>
      </c>
      <c r="Z322" s="94">
        <f>IF($A322="",0,IF(AE322="직접",IF(AF322="신계약비",$P322,0),$P322*(1-AG322)*IFERROR(INDEX(계정대체기준!$C$20:$C$49,MATCH($N322,계정대체기준!$A$20:$A$49,0)),0)))</f>
        <v/>
      </c>
      <c r="AA322" s="94">
        <f>IF($A322="",0,IF(AE322="직접",IF(OR(AF322="유지비",AF322="손해조사비"),$P322,0),$P322*(1-AG322)*IFERROR(INDEX(계정대체기준!$D$20:$D$49,MATCH($N322,계정대체기준!$A$20:$A$49,0)),0)))</f>
        <v/>
      </c>
      <c r="AB322" s="94">
        <f>IF($A322="",0,IF(AE322="직접",IF(AF322="수금비",$P322,0),$P322*(1-AG322)*IFERROR(INDEX(계정대체기준!$E$20:$E$49,MATCH($N322,계정대체기준!$A$20:$A$49,0)),0)))</f>
        <v/>
      </c>
      <c r="AC322" s="9">
        <f>IF(AND($A322&lt;&gt;"",M322=설정!$C$20,Z322&gt;0),Z322+ROW()/1000000000,"")</f>
        <v/>
      </c>
      <c r="AD322" s="94">
        <f>IF($A322="",0,$P322*AG322)</f>
        <v/>
      </c>
      <c r="AE322" s="64">
        <f>IF($A322="","",IFERROR(INDEX(계정매핑!$E$5:$E$504,MATCH($F322&amp;"",계정매핑!$A$5:$A$504,0))&amp;"","공통비"))</f>
        <v/>
      </c>
      <c r="AF322" s="64">
        <f>IF($A322="","",IF(AE322="직접",IFERROR(INDEX(계정매핑!$F$5:$F$504,MATCH($F322&amp;"",계정매핑!$A$5:$A$504,0))&amp;"","비귀속"),""))</f>
        <v/>
      </c>
      <c r="AG322" s="96">
        <f>IF($A322="",0,IF(AND(AE322&lt;&gt;"직접",IFERROR(INDEX(계정매핑!$G$5:$G$504,MATCH($F322&amp;"",계정매핑!$A$5:$A$504,0))&amp;"","")="유지비",COUNTIF(계정대체기준!$A$6:$A$15,$N322)&gt;0),IFERROR(INDEX(계정대체기준!$E$6:$E$15,MATCH(VALUE($A322&amp;""),계정대체기준!$D$6:$D$15,0)),0),0))</f>
        <v/>
      </c>
      <c r="AH322" s="64">
        <f>IF($A322="","",IF(AD322=0,"",IF(OR(COUNTIF(계정대체기준!$A$77:$A$86,$N322)&gt;0,ISNUMBER(MATCH($X322,계정대체기준!$D$77:$D$86,0)),ISNUMBER(MATCH($F322,계정대체기준!$D$77:$D$86,0))),"Y","N")))</f>
        <v/>
      </c>
    </row>
    <row r="323">
      <c r="A323" s="92" t="n">
        <v>2025</v>
      </c>
      <c r="B323" s="92" t="n">
        <v>2</v>
      </c>
      <c r="C323" s="92" t="inlineStr">
        <is>
          <t>5100000319</t>
        </is>
      </c>
      <c r="D323" s="95" t="n">
        <v>45699</v>
      </c>
      <c r="E323" s="92" t="inlineStr">
        <is>
          <t>KR</t>
        </is>
      </c>
      <c r="F323" s="92" t="n">
        <v>62801000</v>
      </c>
      <c r="G323" s="92" t="n">
        <v>1301</v>
      </c>
      <c r="H323" s="93" t="n">
        <v>6533000</v>
      </c>
      <c r="I323" s="92" t="inlineStr">
        <is>
          <t>2월 사내교육 - (사내강사료)</t>
        </is>
      </c>
      <c r="J323" s="92" t="inlineStr">
        <is>
          <t>V10024</t>
        </is>
      </c>
      <c r="K323" s="92" t="inlineStr">
        <is>
          <t>(사내강사료)</t>
        </is>
      </c>
      <c r="M323" s="9">
        <f>IF($A323="","",VALUE($A323&amp;"")*12+VALUE($B323&amp;""))</f>
        <v/>
      </c>
      <c r="N323" s="64">
        <f>IF($A323="","",IFERROR(INDEX(부서매핑!$C$5:$C$504,MATCH($G323&amp;"",부서매핑!$A$5:$A$504,0)),"미매핑"))</f>
        <v/>
      </c>
      <c r="O323" s="9">
        <f>IF($A323="","",N323&amp;"|"&amp;$F323)</f>
        <v/>
      </c>
      <c r="P323" s="94">
        <f>IF($A323="",0,$H323*설정!$C$23)</f>
        <v/>
      </c>
      <c r="Q323" s="64">
        <f>IF($A323="","",IF(O323&lt;&gt;원인분석!$C$9,"",IF(AND(M323&gt;=원인분석!$C$10,M323&lt;=원인분석!$C$11),"당기",IF(AND(M323&gt;=원인분석!$C$12,M323&lt;=원인분석!$C$13),"비교",""))))</f>
        <v/>
      </c>
      <c r="R323" s="9">
        <f>IF(Q323="","",$K323&amp;"")</f>
        <v/>
      </c>
      <c r="S323" s="9">
        <f>IF(Q323="","",IF(MATCH(R323,$R$5:$R$100000,0)=ROW()-4,ROW(),""))</f>
        <v/>
      </c>
      <c r="T323" s="9">
        <f>IF(Q323="당기",ABS(P323)+ROW()/1000000000,"")</f>
        <v/>
      </c>
      <c r="U323" s="9">
        <f>IF(Q323="비교",ABS(P323)+ROW()/1000000000,"")</f>
        <v/>
      </c>
      <c r="V323" s="64">
        <f>IF($A323="","",IF(COUNTIF(변동분석!$E$7:$E$506,O323)&gt;0,"Y","N"))</f>
        <v/>
      </c>
      <c r="W323" s="64">
        <f>IF($A323="","",IFERROR(INDEX(계정매핑!$D$5:$D$504,MATCH($F323&amp;"",계정매핑!$A$5:$A$504,0)),"미매핑"))</f>
        <v/>
      </c>
      <c r="X323" s="9">
        <f>IF($A323="","",$F323&amp;"")</f>
        <v/>
      </c>
      <c r="Y323" s="94">
        <f>IF($A323="",0,IF(AE323="직접",IF(AF323="비귀속",$P323,0),$P323*(1-AG323)*IFERROR(INDEX(계정대체기준!$F$20:$F$49,MATCH($N323,계정대체기준!$A$20:$A$49,0)),1)))</f>
        <v/>
      </c>
      <c r="Z323" s="94">
        <f>IF($A323="",0,IF(AE323="직접",IF(AF323="신계약비",$P323,0),$P323*(1-AG323)*IFERROR(INDEX(계정대체기준!$C$20:$C$49,MATCH($N323,계정대체기준!$A$20:$A$49,0)),0)))</f>
        <v/>
      </c>
      <c r="AA323" s="94">
        <f>IF($A323="",0,IF(AE323="직접",IF(OR(AF323="유지비",AF323="손해조사비"),$P323,0),$P323*(1-AG323)*IFERROR(INDEX(계정대체기준!$D$20:$D$49,MATCH($N323,계정대체기준!$A$20:$A$49,0)),0)))</f>
        <v/>
      </c>
      <c r="AB323" s="94">
        <f>IF($A323="",0,IF(AE323="직접",IF(AF323="수금비",$P323,0),$P323*(1-AG323)*IFERROR(INDEX(계정대체기준!$E$20:$E$49,MATCH($N323,계정대체기준!$A$20:$A$49,0)),0)))</f>
        <v/>
      </c>
      <c r="AC323" s="9">
        <f>IF(AND($A323&lt;&gt;"",M323=설정!$C$20,Z323&gt;0),Z323+ROW()/1000000000,"")</f>
        <v/>
      </c>
      <c r="AD323" s="94">
        <f>IF($A323="",0,$P323*AG323)</f>
        <v/>
      </c>
      <c r="AE323" s="64">
        <f>IF($A323="","",IFERROR(INDEX(계정매핑!$E$5:$E$504,MATCH($F323&amp;"",계정매핑!$A$5:$A$504,0))&amp;"","공통비"))</f>
        <v/>
      </c>
      <c r="AF323" s="64">
        <f>IF($A323="","",IF(AE323="직접",IFERROR(INDEX(계정매핑!$F$5:$F$504,MATCH($F323&amp;"",계정매핑!$A$5:$A$504,0))&amp;"","비귀속"),""))</f>
        <v/>
      </c>
      <c r="AG323" s="96">
        <f>IF($A323="",0,IF(AND(AE323&lt;&gt;"직접",IFERROR(INDEX(계정매핑!$G$5:$G$504,MATCH($F323&amp;"",계정매핑!$A$5:$A$504,0))&amp;"","")="유지비",COUNTIF(계정대체기준!$A$6:$A$15,$N323)&gt;0),IFERROR(INDEX(계정대체기준!$E$6:$E$15,MATCH(VALUE($A323&amp;""),계정대체기준!$D$6:$D$15,0)),0),0))</f>
        <v/>
      </c>
      <c r="AH323" s="64">
        <f>IF($A323="","",IF(AD323=0,"",IF(OR(COUNTIF(계정대체기준!$A$77:$A$86,$N323)&gt;0,ISNUMBER(MATCH($X323,계정대체기준!$D$77:$D$86,0)),ISNUMBER(MATCH($F323,계정대체기준!$D$77:$D$86,0))),"Y","N")))</f>
        <v/>
      </c>
    </row>
    <row r="324">
      <c r="A324" s="92" t="n">
        <v>2025</v>
      </c>
      <c r="B324" s="92" t="n">
        <v>2</v>
      </c>
      <c r="C324" s="92" t="inlineStr">
        <is>
          <t>5100000320</t>
        </is>
      </c>
      <c r="D324" s="95" t="n">
        <v>45699</v>
      </c>
      <c r="E324" s="92" t="inlineStr">
        <is>
          <t>KR</t>
        </is>
      </c>
      <c r="F324" s="92" t="n">
        <v>62901000</v>
      </c>
      <c r="G324" s="92" t="n">
        <v>1101</v>
      </c>
      <c r="H324" s="93" t="n">
        <v>2889000</v>
      </c>
      <c r="I324" s="92" t="inlineStr">
        <is>
          <t>2월 자문 수수료 - W컨설팅</t>
        </is>
      </c>
      <c r="J324" s="92" t="inlineStr">
        <is>
          <t>V10006</t>
        </is>
      </c>
      <c r="K324" s="92" t="inlineStr">
        <is>
          <t>W컨설팅</t>
        </is>
      </c>
      <c r="M324" s="9">
        <f>IF($A324="","",VALUE($A324&amp;"")*12+VALUE($B324&amp;""))</f>
        <v/>
      </c>
      <c r="N324" s="64">
        <f>IF($A324="","",IFERROR(INDEX(부서매핑!$C$5:$C$504,MATCH($G324&amp;"",부서매핑!$A$5:$A$504,0)),"미매핑"))</f>
        <v/>
      </c>
      <c r="O324" s="9">
        <f>IF($A324="","",N324&amp;"|"&amp;$F324)</f>
        <v/>
      </c>
      <c r="P324" s="94">
        <f>IF($A324="",0,$H324*설정!$C$23)</f>
        <v/>
      </c>
      <c r="Q324" s="64">
        <f>IF($A324="","",IF(O324&lt;&gt;원인분석!$C$9,"",IF(AND(M324&gt;=원인분석!$C$10,M324&lt;=원인분석!$C$11),"당기",IF(AND(M324&gt;=원인분석!$C$12,M324&lt;=원인분석!$C$13),"비교",""))))</f>
        <v/>
      </c>
      <c r="R324" s="9">
        <f>IF(Q324="","",$K324&amp;"")</f>
        <v/>
      </c>
      <c r="S324" s="9">
        <f>IF(Q324="","",IF(MATCH(R324,$R$5:$R$100000,0)=ROW()-4,ROW(),""))</f>
        <v/>
      </c>
      <c r="T324" s="9">
        <f>IF(Q324="당기",ABS(P324)+ROW()/1000000000,"")</f>
        <v/>
      </c>
      <c r="U324" s="9">
        <f>IF(Q324="비교",ABS(P324)+ROW()/1000000000,"")</f>
        <v/>
      </c>
      <c r="V324" s="64">
        <f>IF($A324="","",IF(COUNTIF(변동분석!$E$7:$E$506,O324)&gt;0,"Y","N"))</f>
        <v/>
      </c>
      <c r="W324" s="64">
        <f>IF($A324="","",IFERROR(INDEX(계정매핑!$D$5:$D$504,MATCH($F324&amp;"",계정매핑!$A$5:$A$504,0)),"미매핑"))</f>
        <v/>
      </c>
      <c r="X324" s="9">
        <f>IF($A324="","",$F324&amp;"")</f>
        <v/>
      </c>
      <c r="Y324" s="94">
        <f>IF($A324="",0,IF(AE324="직접",IF(AF324="비귀속",$P324,0),$P324*(1-AG324)*IFERROR(INDEX(계정대체기준!$F$20:$F$49,MATCH($N324,계정대체기준!$A$20:$A$49,0)),1)))</f>
        <v/>
      </c>
      <c r="Z324" s="94">
        <f>IF($A324="",0,IF(AE324="직접",IF(AF324="신계약비",$P324,0),$P324*(1-AG324)*IFERROR(INDEX(계정대체기준!$C$20:$C$49,MATCH($N324,계정대체기준!$A$20:$A$49,0)),0)))</f>
        <v/>
      </c>
      <c r="AA324" s="94">
        <f>IF($A324="",0,IF(AE324="직접",IF(OR(AF324="유지비",AF324="손해조사비"),$P324,0),$P324*(1-AG324)*IFERROR(INDEX(계정대체기준!$D$20:$D$49,MATCH($N324,계정대체기준!$A$20:$A$49,0)),0)))</f>
        <v/>
      </c>
      <c r="AB324" s="94">
        <f>IF($A324="",0,IF(AE324="직접",IF(AF324="수금비",$P324,0),$P324*(1-AG324)*IFERROR(INDEX(계정대체기준!$E$20:$E$49,MATCH($N324,계정대체기준!$A$20:$A$49,0)),0)))</f>
        <v/>
      </c>
      <c r="AC324" s="9">
        <f>IF(AND($A324&lt;&gt;"",M324=설정!$C$20,Z324&gt;0),Z324+ROW()/1000000000,"")</f>
        <v/>
      </c>
      <c r="AD324" s="94">
        <f>IF($A324="",0,$P324*AG324)</f>
        <v/>
      </c>
      <c r="AE324" s="64">
        <f>IF($A324="","",IFERROR(INDEX(계정매핑!$E$5:$E$504,MATCH($F324&amp;"",계정매핑!$A$5:$A$504,0))&amp;"","공통비"))</f>
        <v/>
      </c>
      <c r="AF324" s="64">
        <f>IF($A324="","",IF(AE324="직접",IFERROR(INDEX(계정매핑!$F$5:$F$504,MATCH($F324&amp;"",계정매핑!$A$5:$A$504,0))&amp;"","비귀속"),""))</f>
        <v/>
      </c>
      <c r="AG324" s="96">
        <f>IF($A324="",0,IF(AND(AE324&lt;&gt;"직접",IFERROR(INDEX(계정매핑!$G$5:$G$504,MATCH($F324&amp;"",계정매핑!$A$5:$A$504,0))&amp;"","")="유지비",COUNTIF(계정대체기준!$A$6:$A$15,$N324)&gt;0),IFERROR(INDEX(계정대체기준!$E$6:$E$15,MATCH(VALUE($A324&amp;""),계정대체기준!$D$6:$D$15,0)),0),0))</f>
        <v/>
      </c>
      <c r="AH324" s="64">
        <f>IF($A324="","",IF(AD324=0,"",IF(OR(COUNTIF(계정대체기준!$A$77:$A$86,$N324)&gt;0,ISNUMBER(MATCH($X324,계정대체기준!$D$77:$D$86,0)),ISNUMBER(MATCH($F324,계정대체기준!$D$77:$D$86,0))),"Y","N")))</f>
        <v/>
      </c>
    </row>
    <row r="325">
      <c r="A325" s="92" t="n">
        <v>2025</v>
      </c>
      <c r="B325" s="92" t="n">
        <v>2</v>
      </c>
      <c r="C325" s="92" t="inlineStr">
        <is>
          <t>5100000321</t>
        </is>
      </c>
      <c r="D325" s="95" t="n">
        <v>45699</v>
      </c>
      <c r="E325" s="92" t="inlineStr">
        <is>
          <t>KR</t>
        </is>
      </c>
      <c r="F325" s="92" t="n">
        <v>63201000</v>
      </c>
      <c r="G325" s="92" t="n">
        <v>1601</v>
      </c>
      <c r="H325" s="93" t="n">
        <v>5632000</v>
      </c>
      <c r="I325" s="92" t="inlineStr">
        <is>
          <t>2월 차량 유지 - D정비</t>
        </is>
      </c>
      <c r="J325" s="92" t="inlineStr">
        <is>
          <t>V10025</t>
        </is>
      </c>
      <c r="K325" s="92" t="inlineStr">
        <is>
          <t>D정비</t>
        </is>
      </c>
      <c r="M325" s="9">
        <f>IF($A325="","",VALUE($A325&amp;"")*12+VALUE($B325&amp;""))</f>
        <v/>
      </c>
      <c r="N325" s="64">
        <f>IF($A325="","",IFERROR(INDEX(부서매핑!$C$5:$C$504,MATCH($G325&amp;"",부서매핑!$A$5:$A$504,0)),"미매핑"))</f>
        <v/>
      </c>
      <c r="O325" s="9">
        <f>IF($A325="","",N325&amp;"|"&amp;$F325)</f>
        <v/>
      </c>
      <c r="P325" s="94">
        <f>IF($A325="",0,$H325*설정!$C$23)</f>
        <v/>
      </c>
      <c r="Q325" s="64">
        <f>IF($A325="","",IF(O325&lt;&gt;원인분석!$C$9,"",IF(AND(M325&gt;=원인분석!$C$10,M325&lt;=원인분석!$C$11),"당기",IF(AND(M325&gt;=원인분석!$C$12,M325&lt;=원인분석!$C$13),"비교",""))))</f>
        <v/>
      </c>
      <c r="R325" s="9">
        <f>IF(Q325="","",$K325&amp;"")</f>
        <v/>
      </c>
      <c r="S325" s="9">
        <f>IF(Q325="","",IF(MATCH(R325,$R$5:$R$100000,0)=ROW()-4,ROW(),""))</f>
        <v/>
      </c>
      <c r="T325" s="9">
        <f>IF(Q325="당기",ABS(P325)+ROW()/1000000000,"")</f>
        <v/>
      </c>
      <c r="U325" s="9">
        <f>IF(Q325="비교",ABS(P325)+ROW()/1000000000,"")</f>
        <v/>
      </c>
      <c r="V325" s="64">
        <f>IF($A325="","",IF(COUNTIF(변동분석!$E$7:$E$506,O325)&gt;0,"Y","N"))</f>
        <v/>
      </c>
      <c r="W325" s="64">
        <f>IF($A325="","",IFERROR(INDEX(계정매핑!$D$5:$D$504,MATCH($F325&amp;"",계정매핑!$A$5:$A$504,0)),"미매핑"))</f>
        <v/>
      </c>
      <c r="X325" s="9">
        <f>IF($A325="","",$F325&amp;"")</f>
        <v/>
      </c>
      <c r="Y325" s="94">
        <f>IF($A325="",0,IF(AE325="직접",IF(AF325="비귀속",$P325,0),$P325*(1-AG325)*IFERROR(INDEX(계정대체기준!$F$20:$F$49,MATCH($N325,계정대체기준!$A$20:$A$49,0)),1)))</f>
        <v/>
      </c>
      <c r="Z325" s="94">
        <f>IF($A325="",0,IF(AE325="직접",IF(AF325="신계약비",$P325,0),$P325*(1-AG325)*IFERROR(INDEX(계정대체기준!$C$20:$C$49,MATCH($N325,계정대체기준!$A$20:$A$49,0)),0)))</f>
        <v/>
      </c>
      <c r="AA325" s="94">
        <f>IF($A325="",0,IF(AE325="직접",IF(OR(AF325="유지비",AF325="손해조사비"),$P325,0),$P325*(1-AG325)*IFERROR(INDEX(계정대체기준!$D$20:$D$49,MATCH($N325,계정대체기준!$A$20:$A$49,0)),0)))</f>
        <v/>
      </c>
      <c r="AB325" s="94">
        <f>IF($A325="",0,IF(AE325="직접",IF(AF325="수금비",$P325,0),$P325*(1-AG325)*IFERROR(INDEX(계정대체기준!$E$20:$E$49,MATCH($N325,계정대체기준!$A$20:$A$49,0)),0)))</f>
        <v/>
      </c>
      <c r="AC325" s="9">
        <f>IF(AND($A325&lt;&gt;"",M325=설정!$C$20,Z325&gt;0),Z325+ROW()/1000000000,"")</f>
        <v/>
      </c>
      <c r="AD325" s="94">
        <f>IF($A325="",0,$P325*AG325)</f>
        <v/>
      </c>
      <c r="AE325" s="64">
        <f>IF($A325="","",IFERROR(INDEX(계정매핑!$E$5:$E$504,MATCH($F325&amp;"",계정매핑!$A$5:$A$504,0))&amp;"","공통비"))</f>
        <v/>
      </c>
      <c r="AF325" s="64">
        <f>IF($A325="","",IF(AE325="직접",IFERROR(INDEX(계정매핑!$F$5:$F$504,MATCH($F325&amp;"",계정매핑!$A$5:$A$504,0))&amp;"","비귀속"),""))</f>
        <v/>
      </c>
      <c r="AG325" s="96">
        <f>IF($A325="",0,IF(AND(AE325&lt;&gt;"직접",IFERROR(INDEX(계정매핑!$G$5:$G$504,MATCH($F325&amp;"",계정매핑!$A$5:$A$504,0))&amp;"","")="유지비",COUNTIF(계정대체기준!$A$6:$A$15,$N325)&gt;0),IFERROR(INDEX(계정대체기준!$E$6:$E$15,MATCH(VALUE($A325&amp;""),계정대체기준!$D$6:$D$15,0)),0),0))</f>
        <v/>
      </c>
      <c r="AH325" s="64">
        <f>IF($A325="","",IF(AD325=0,"",IF(OR(COUNTIF(계정대체기준!$A$77:$A$86,$N325)&gt;0,ISNUMBER(MATCH($X325,계정대체기준!$D$77:$D$86,0)),ISNUMBER(MATCH($F325,계정대체기준!$D$77:$D$86,0))),"Y","N")))</f>
        <v/>
      </c>
    </row>
    <row r="326">
      <c r="A326" s="92" t="n">
        <v>2025</v>
      </c>
      <c r="B326" s="92" t="n">
        <v>2</v>
      </c>
      <c r="C326" s="92" t="inlineStr">
        <is>
          <t>5100000322</t>
        </is>
      </c>
      <c r="D326" s="95" t="n">
        <v>45700</v>
      </c>
      <c r="E326" s="92" t="inlineStr">
        <is>
          <t>KR</t>
        </is>
      </c>
      <c r="F326" s="92" t="n">
        <v>62101000</v>
      </c>
      <c r="G326" s="92" t="n">
        <v>1101</v>
      </c>
      <c r="H326" s="93" t="n">
        <v>771000</v>
      </c>
      <c r="I326" s="92" t="inlineStr">
        <is>
          <t>2월 국내출장 - M항공</t>
        </is>
      </c>
      <c r="J326" s="92" t="inlineStr">
        <is>
          <t>V10001</t>
        </is>
      </c>
      <c r="K326" s="92" t="inlineStr">
        <is>
          <t>M항공</t>
        </is>
      </c>
      <c r="M326" s="9">
        <f>IF($A326="","",VALUE($A326&amp;"")*12+VALUE($B326&amp;""))</f>
        <v/>
      </c>
      <c r="N326" s="64">
        <f>IF($A326="","",IFERROR(INDEX(부서매핑!$C$5:$C$504,MATCH($G326&amp;"",부서매핑!$A$5:$A$504,0)),"미매핑"))</f>
        <v/>
      </c>
      <c r="O326" s="9">
        <f>IF($A326="","",N326&amp;"|"&amp;$F326)</f>
        <v/>
      </c>
      <c r="P326" s="94">
        <f>IF($A326="",0,$H326*설정!$C$23)</f>
        <v/>
      </c>
      <c r="Q326" s="64">
        <f>IF($A326="","",IF(O326&lt;&gt;원인분석!$C$9,"",IF(AND(M326&gt;=원인분석!$C$10,M326&lt;=원인분석!$C$11),"당기",IF(AND(M326&gt;=원인분석!$C$12,M326&lt;=원인분석!$C$13),"비교",""))))</f>
        <v/>
      </c>
      <c r="R326" s="9">
        <f>IF(Q326="","",$K326&amp;"")</f>
        <v/>
      </c>
      <c r="S326" s="9">
        <f>IF(Q326="","",IF(MATCH(R326,$R$5:$R$100000,0)=ROW()-4,ROW(),""))</f>
        <v/>
      </c>
      <c r="T326" s="9">
        <f>IF(Q326="당기",ABS(P326)+ROW()/1000000000,"")</f>
        <v/>
      </c>
      <c r="U326" s="9">
        <f>IF(Q326="비교",ABS(P326)+ROW()/1000000000,"")</f>
        <v/>
      </c>
      <c r="V326" s="64">
        <f>IF($A326="","",IF(COUNTIF(변동분석!$E$7:$E$506,O326)&gt;0,"Y","N"))</f>
        <v/>
      </c>
      <c r="W326" s="64">
        <f>IF($A326="","",IFERROR(INDEX(계정매핑!$D$5:$D$504,MATCH($F326&amp;"",계정매핑!$A$5:$A$504,0)),"미매핑"))</f>
        <v/>
      </c>
      <c r="X326" s="9">
        <f>IF($A326="","",$F326&amp;"")</f>
        <v/>
      </c>
      <c r="Y326" s="94">
        <f>IF($A326="",0,IF(AE326="직접",IF(AF326="비귀속",$P326,0),$P326*(1-AG326)*IFERROR(INDEX(계정대체기준!$F$20:$F$49,MATCH($N326,계정대체기준!$A$20:$A$49,0)),1)))</f>
        <v/>
      </c>
      <c r="Z326" s="94">
        <f>IF($A326="",0,IF(AE326="직접",IF(AF326="신계약비",$P326,0),$P326*(1-AG326)*IFERROR(INDEX(계정대체기준!$C$20:$C$49,MATCH($N326,계정대체기준!$A$20:$A$49,0)),0)))</f>
        <v/>
      </c>
      <c r="AA326" s="94">
        <f>IF($A326="",0,IF(AE326="직접",IF(OR(AF326="유지비",AF326="손해조사비"),$P326,0),$P326*(1-AG326)*IFERROR(INDEX(계정대체기준!$D$20:$D$49,MATCH($N326,계정대체기준!$A$20:$A$49,0)),0)))</f>
        <v/>
      </c>
      <c r="AB326" s="94">
        <f>IF($A326="",0,IF(AE326="직접",IF(AF326="수금비",$P326,0),$P326*(1-AG326)*IFERROR(INDEX(계정대체기준!$E$20:$E$49,MATCH($N326,계정대체기준!$A$20:$A$49,0)),0)))</f>
        <v/>
      </c>
      <c r="AC326" s="9">
        <f>IF(AND($A326&lt;&gt;"",M326=설정!$C$20,Z326&gt;0),Z326+ROW()/1000000000,"")</f>
        <v/>
      </c>
      <c r="AD326" s="94">
        <f>IF($A326="",0,$P326*AG326)</f>
        <v/>
      </c>
      <c r="AE326" s="64">
        <f>IF($A326="","",IFERROR(INDEX(계정매핑!$E$5:$E$504,MATCH($F326&amp;"",계정매핑!$A$5:$A$504,0))&amp;"","공통비"))</f>
        <v/>
      </c>
      <c r="AF326" s="64">
        <f>IF($A326="","",IF(AE326="직접",IFERROR(INDEX(계정매핑!$F$5:$F$504,MATCH($F326&amp;"",계정매핑!$A$5:$A$504,0))&amp;"","비귀속"),""))</f>
        <v/>
      </c>
      <c r="AG326" s="96">
        <f>IF($A326="",0,IF(AND(AE326&lt;&gt;"직접",IFERROR(INDEX(계정매핑!$G$5:$G$504,MATCH($F326&amp;"",계정매핑!$A$5:$A$504,0))&amp;"","")="유지비",COUNTIF(계정대체기준!$A$6:$A$15,$N326)&gt;0),IFERROR(INDEX(계정대체기준!$E$6:$E$15,MATCH(VALUE($A326&amp;""),계정대체기준!$D$6:$D$15,0)),0),0))</f>
        <v/>
      </c>
      <c r="AH326" s="64">
        <f>IF($A326="","",IF(AD326=0,"",IF(OR(COUNTIF(계정대체기준!$A$77:$A$86,$N326)&gt;0,ISNUMBER(MATCH($X326,계정대체기준!$D$77:$D$86,0)),ISNUMBER(MATCH($F326,계정대체기준!$D$77:$D$86,0))),"Y","N")))</f>
        <v/>
      </c>
    </row>
    <row r="327">
      <c r="A327" s="92" t="n">
        <v>2025</v>
      </c>
      <c r="B327" s="92" t="n">
        <v>2</v>
      </c>
      <c r="C327" s="92" t="inlineStr">
        <is>
          <t>5100000323</t>
        </is>
      </c>
      <c r="D327" s="95" t="n">
        <v>45700</v>
      </c>
      <c r="E327" s="92" t="inlineStr">
        <is>
          <t>KR</t>
        </is>
      </c>
      <c r="F327" s="92" t="n">
        <v>62101000</v>
      </c>
      <c r="G327" s="92" t="n">
        <v>1801</v>
      </c>
      <c r="H327" s="93" t="n">
        <v>217000</v>
      </c>
      <c r="I327" s="92" t="inlineStr">
        <is>
          <t>2월 국내출장 - (법인카드)</t>
        </is>
      </c>
      <c r="J327" s="92" t="inlineStr">
        <is>
          <t>V10010</t>
        </is>
      </c>
      <c r="K327" s="92" t="inlineStr">
        <is>
          <t>(법인카드)</t>
        </is>
      </c>
      <c r="M327" s="9">
        <f>IF($A327="","",VALUE($A327&amp;"")*12+VALUE($B327&amp;""))</f>
        <v/>
      </c>
      <c r="N327" s="64">
        <f>IF($A327="","",IFERROR(INDEX(부서매핑!$C$5:$C$504,MATCH($G327&amp;"",부서매핑!$A$5:$A$504,0)),"미매핑"))</f>
        <v/>
      </c>
      <c r="O327" s="9">
        <f>IF($A327="","",N327&amp;"|"&amp;$F327)</f>
        <v/>
      </c>
      <c r="P327" s="94">
        <f>IF($A327="",0,$H327*설정!$C$23)</f>
        <v/>
      </c>
      <c r="Q327" s="64">
        <f>IF($A327="","",IF(O327&lt;&gt;원인분석!$C$9,"",IF(AND(M327&gt;=원인분석!$C$10,M327&lt;=원인분석!$C$11),"당기",IF(AND(M327&gt;=원인분석!$C$12,M327&lt;=원인분석!$C$13),"비교",""))))</f>
        <v/>
      </c>
      <c r="R327" s="9">
        <f>IF(Q327="","",$K327&amp;"")</f>
        <v/>
      </c>
      <c r="S327" s="9">
        <f>IF(Q327="","",IF(MATCH(R327,$R$5:$R$100000,0)=ROW()-4,ROW(),""))</f>
        <v/>
      </c>
      <c r="T327" s="9">
        <f>IF(Q327="당기",ABS(P327)+ROW()/1000000000,"")</f>
        <v/>
      </c>
      <c r="U327" s="9">
        <f>IF(Q327="비교",ABS(P327)+ROW()/1000000000,"")</f>
        <v/>
      </c>
      <c r="V327" s="64">
        <f>IF($A327="","",IF(COUNTIF(변동분석!$E$7:$E$506,O327)&gt;0,"Y","N"))</f>
        <v/>
      </c>
      <c r="W327" s="64">
        <f>IF($A327="","",IFERROR(INDEX(계정매핑!$D$5:$D$504,MATCH($F327&amp;"",계정매핑!$A$5:$A$504,0)),"미매핑"))</f>
        <v/>
      </c>
      <c r="X327" s="9">
        <f>IF($A327="","",$F327&amp;"")</f>
        <v/>
      </c>
      <c r="Y327" s="94">
        <f>IF($A327="",0,IF(AE327="직접",IF(AF327="비귀속",$P327,0),$P327*(1-AG327)*IFERROR(INDEX(계정대체기준!$F$20:$F$49,MATCH($N327,계정대체기준!$A$20:$A$49,0)),1)))</f>
        <v/>
      </c>
      <c r="Z327" s="94">
        <f>IF($A327="",0,IF(AE327="직접",IF(AF327="신계약비",$P327,0),$P327*(1-AG327)*IFERROR(INDEX(계정대체기준!$C$20:$C$49,MATCH($N327,계정대체기준!$A$20:$A$49,0)),0)))</f>
        <v/>
      </c>
      <c r="AA327" s="94">
        <f>IF($A327="",0,IF(AE327="직접",IF(OR(AF327="유지비",AF327="손해조사비"),$P327,0),$P327*(1-AG327)*IFERROR(INDEX(계정대체기준!$D$20:$D$49,MATCH($N327,계정대체기준!$A$20:$A$49,0)),0)))</f>
        <v/>
      </c>
      <c r="AB327" s="94">
        <f>IF($A327="",0,IF(AE327="직접",IF(AF327="수금비",$P327,0),$P327*(1-AG327)*IFERROR(INDEX(계정대체기준!$E$20:$E$49,MATCH($N327,계정대체기준!$A$20:$A$49,0)),0)))</f>
        <v/>
      </c>
      <c r="AC327" s="9">
        <f>IF(AND($A327&lt;&gt;"",M327=설정!$C$20,Z327&gt;0),Z327+ROW()/1000000000,"")</f>
        <v/>
      </c>
      <c r="AD327" s="94">
        <f>IF($A327="",0,$P327*AG327)</f>
        <v/>
      </c>
      <c r="AE327" s="64">
        <f>IF($A327="","",IFERROR(INDEX(계정매핑!$E$5:$E$504,MATCH($F327&amp;"",계정매핑!$A$5:$A$504,0))&amp;"","공통비"))</f>
        <v/>
      </c>
      <c r="AF327" s="64">
        <f>IF($A327="","",IF(AE327="직접",IFERROR(INDEX(계정매핑!$F$5:$F$504,MATCH($F327&amp;"",계정매핑!$A$5:$A$504,0))&amp;"","비귀속"),""))</f>
        <v/>
      </c>
      <c r="AG327" s="96">
        <f>IF($A327="",0,IF(AND(AE327&lt;&gt;"직접",IFERROR(INDEX(계정매핑!$G$5:$G$504,MATCH($F327&amp;"",계정매핑!$A$5:$A$504,0))&amp;"","")="유지비",COUNTIF(계정대체기준!$A$6:$A$15,$N327)&gt;0),IFERROR(INDEX(계정대체기준!$E$6:$E$15,MATCH(VALUE($A327&amp;""),계정대체기준!$D$6:$D$15,0)),0),0))</f>
        <v/>
      </c>
      <c r="AH327" s="64">
        <f>IF($A327="","",IF(AD327=0,"",IF(OR(COUNTIF(계정대체기준!$A$77:$A$86,$N327)&gt;0,ISNUMBER(MATCH($X327,계정대체기준!$D$77:$D$86,0)),ISNUMBER(MATCH($F327,계정대체기준!$D$77:$D$86,0))),"Y","N")))</f>
        <v/>
      </c>
    </row>
    <row r="328">
      <c r="A328" s="92" t="n">
        <v>2025</v>
      </c>
      <c r="B328" s="92" t="n">
        <v>2</v>
      </c>
      <c r="C328" s="92" t="inlineStr">
        <is>
          <t>5100000324</t>
        </is>
      </c>
      <c r="D328" s="95" t="n">
        <v>45700</v>
      </c>
      <c r="E328" s="92" t="inlineStr">
        <is>
          <t>KR</t>
        </is>
      </c>
      <c r="F328" s="92" t="n">
        <v>62201000</v>
      </c>
      <c r="G328" s="92" t="n">
        <v>1502</v>
      </c>
      <c r="H328" s="93" t="n">
        <v>219000</v>
      </c>
      <c r="I328" s="92" t="inlineStr">
        <is>
          <t>2월 통신요금 - P통신</t>
        </is>
      </c>
      <c r="J328" s="92" t="inlineStr">
        <is>
          <t>V10014</t>
        </is>
      </c>
      <c r="K328" s="92" t="inlineStr">
        <is>
          <t>P통신</t>
        </is>
      </c>
      <c r="M328" s="9">
        <f>IF($A328="","",VALUE($A328&amp;"")*12+VALUE($B328&amp;""))</f>
        <v/>
      </c>
      <c r="N328" s="64">
        <f>IF($A328="","",IFERROR(INDEX(부서매핑!$C$5:$C$504,MATCH($G328&amp;"",부서매핑!$A$5:$A$504,0)),"미매핑"))</f>
        <v/>
      </c>
      <c r="O328" s="9">
        <f>IF($A328="","",N328&amp;"|"&amp;$F328)</f>
        <v/>
      </c>
      <c r="P328" s="94">
        <f>IF($A328="",0,$H328*설정!$C$23)</f>
        <v/>
      </c>
      <c r="Q328" s="64">
        <f>IF($A328="","",IF(O328&lt;&gt;원인분석!$C$9,"",IF(AND(M328&gt;=원인분석!$C$10,M328&lt;=원인분석!$C$11),"당기",IF(AND(M328&gt;=원인분석!$C$12,M328&lt;=원인분석!$C$13),"비교",""))))</f>
        <v/>
      </c>
      <c r="R328" s="9">
        <f>IF(Q328="","",$K328&amp;"")</f>
        <v/>
      </c>
      <c r="S328" s="9">
        <f>IF(Q328="","",IF(MATCH(R328,$R$5:$R$100000,0)=ROW()-4,ROW(),""))</f>
        <v/>
      </c>
      <c r="T328" s="9">
        <f>IF(Q328="당기",ABS(P328)+ROW()/1000000000,"")</f>
        <v/>
      </c>
      <c r="U328" s="9">
        <f>IF(Q328="비교",ABS(P328)+ROW()/1000000000,"")</f>
        <v/>
      </c>
      <c r="V328" s="64">
        <f>IF($A328="","",IF(COUNTIF(변동분석!$E$7:$E$506,O328)&gt;0,"Y","N"))</f>
        <v/>
      </c>
      <c r="W328" s="64">
        <f>IF($A328="","",IFERROR(INDEX(계정매핑!$D$5:$D$504,MATCH($F328&amp;"",계정매핑!$A$5:$A$504,0)),"미매핑"))</f>
        <v/>
      </c>
      <c r="X328" s="9">
        <f>IF($A328="","",$F328&amp;"")</f>
        <v/>
      </c>
      <c r="Y328" s="94">
        <f>IF($A328="",0,IF(AE328="직접",IF(AF328="비귀속",$P328,0),$P328*(1-AG328)*IFERROR(INDEX(계정대체기준!$F$20:$F$49,MATCH($N328,계정대체기준!$A$20:$A$49,0)),1)))</f>
        <v/>
      </c>
      <c r="Z328" s="94">
        <f>IF($A328="",0,IF(AE328="직접",IF(AF328="신계약비",$P328,0),$P328*(1-AG328)*IFERROR(INDEX(계정대체기준!$C$20:$C$49,MATCH($N328,계정대체기준!$A$20:$A$49,0)),0)))</f>
        <v/>
      </c>
      <c r="AA328" s="94">
        <f>IF($A328="",0,IF(AE328="직접",IF(OR(AF328="유지비",AF328="손해조사비"),$P328,0),$P328*(1-AG328)*IFERROR(INDEX(계정대체기준!$D$20:$D$49,MATCH($N328,계정대체기준!$A$20:$A$49,0)),0)))</f>
        <v/>
      </c>
      <c r="AB328" s="94">
        <f>IF($A328="",0,IF(AE328="직접",IF(AF328="수금비",$P328,0),$P328*(1-AG328)*IFERROR(INDEX(계정대체기준!$E$20:$E$49,MATCH($N328,계정대체기준!$A$20:$A$49,0)),0)))</f>
        <v/>
      </c>
      <c r="AC328" s="9">
        <f>IF(AND($A328&lt;&gt;"",M328=설정!$C$20,Z328&gt;0),Z328+ROW()/1000000000,"")</f>
        <v/>
      </c>
      <c r="AD328" s="94">
        <f>IF($A328="",0,$P328*AG328)</f>
        <v/>
      </c>
      <c r="AE328" s="64">
        <f>IF($A328="","",IFERROR(INDEX(계정매핑!$E$5:$E$504,MATCH($F328&amp;"",계정매핑!$A$5:$A$504,0))&amp;"","공통비"))</f>
        <v/>
      </c>
      <c r="AF328" s="64">
        <f>IF($A328="","",IF(AE328="직접",IFERROR(INDEX(계정매핑!$F$5:$F$504,MATCH($F328&amp;"",계정매핑!$A$5:$A$504,0))&amp;"","비귀속"),""))</f>
        <v/>
      </c>
      <c r="AG328" s="96">
        <f>IF($A328="",0,IF(AND(AE328&lt;&gt;"직접",IFERROR(INDEX(계정매핑!$G$5:$G$504,MATCH($F328&amp;"",계정매핑!$A$5:$A$504,0))&amp;"","")="유지비",COUNTIF(계정대체기준!$A$6:$A$15,$N328)&gt;0),IFERROR(INDEX(계정대체기준!$E$6:$E$15,MATCH(VALUE($A328&amp;""),계정대체기준!$D$6:$D$15,0)),0),0))</f>
        <v/>
      </c>
      <c r="AH328" s="64">
        <f>IF($A328="","",IF(AD328=0,"",IF(OR(COUNTIF(계정대체기준!$A$77:$A$86,$N328)&gt;0,ISNUMBER(MATCH($X328,계정대체기준!$D$77:$D$86,0)),ISNUMBER(MATCH($F328,계정대체기준!$D$77:$D$86,0))),"Y","N")))</f>
        <v/>
      </c>
    </row>
    <row r="329">
      <c r="A329" s="92" t="n">
        <v>2025</v>
      </c>
      <c r="B329" s="92" t="n">
        <v>2</v>
      </c>
      <c r="C329" s="92" t="inlineStr">
        <is>
          <t>5100000325</t>
        </is>
      </c>
      <c r="D329" s="95" t="n">
        <v>45700</v>
      </c>
      <c r="E329" s="92" t="inlineStr">
        <is>
          <t>KR</t>
        </is>
      </c>
      <c r="F329" s="92" t="n">
        <v>62201000</v>
      </c>
      <c r="G329" s="92" t="n">
        <v>1701</v>
      </c>
      <c r="H329" s="93" t="n">
        <v>2607000</v>
      </c>
      <c r="I329" s="92" t="inlineStr">
        <is>
          <t>2월 통신요금 - O텔레콤</t>
        </is>
      </c>
      <c r="J329" s="92" t="inlineStr">
        <is>
          <t>V10002</t>
        </is>
      </c>
      <c r="K329" s="92" t="inlineStr">
        <is>
          <t>O텔레콤</t>
        </is>
      </c>
      <c r="M329" s="9">
        <f>IF($A329="","",VALUE($A329&amp;"")*12+VALUE($B329&amp;""))</f>
        <v/>
      </c>
      <c r="N329" s="64">
        <f>IF($A329="","",IFERROR(INDEX(부서매핑!$C$5:$C$504,MATCH($G329&amp;"",부서매핑!$A$5:$A$504,0)),"미매핑"))</f>
        <v/>
      </c>
      <c r="O329" s="9">
        <f>IF($A329="","",N329&amp;"|"&amp;$F329)</f>
        <v/>
      </c>
      <c r="P329" s="94">
        <f>IF($A329="",0,$H329*설정!$C$23)</f>
        <v/>
      </c>
      <c r="Q329" s="64">
        <f>IF($A329="","",IF(O329&lt;&gt;원인분석!$C$9,"",IF(AND(M329&gt;=원인분석!$C$10,M329&lt;=원인분석!$C$11),"당기",IF(AND(M329&gt;=원인분석!$C$12,M329&lt;=원인분석!$C$13),"비교",""))))</f>
        <v/>
      </c>
      <c r="R329" s="9">
        <f>IF(Q329="","",$K329&amp;"")</f>
        <v/>
      </c>
      <c r="S329" s="9">
        <f>IF(Q329="","",IF(MATCH(R329,$R$5:$R$100000,0)=ROW()-4,ROW(),""))</f>
        <v/>
      </c>
      <c r="T329" s="9">
        <f>IF(Q329="당기",ABS(P329)+ROW()/1000000000,"")</f>
        <v/>
      </c>
      <c r="U329" s="9">
        <f>IF(Q329="비교",ABS(P329)+ROW()/1000000000,"")</f>
        <v/>
      </c>
      <c r="V329" s="64">
        <f>IF($A329="","",IF(COUNTIF(변동분석!$E$7:$E$506,O329)&gt;0,"Y","N"))</f>
        <v/>
      </c>
      <c r="W329" s="64">
        <f>IF($A329="","",IFERROR(INDEX(계정매핑!$D$5:$D$504,MATCH($F329&amp;"",계정매핑!$A$5:$A$504,0)),"미매핑"))</f>
        <v/>
      </c>
      <c r="X329" s="9">
        <f>IF($A329="","",$F329&amp;"")</f>
        <v/>
      </c>
      <c r="Y329" s="94">
        <f>IF($A329="",0,IF(AE329="직접",IF(AF329="비귀속",$P329,0),$P329*(1-AG329)*IFERROR(INDEX(계정대체기준!$F$20:$F$49,MATCH($N329,계정대체기준!$A$20:$A$49,0)),1)))</f>
        <v/>
      </c>
      <c r="Z329" s="94">
        <f>IF($A329="",0,IF(AE329="직접",IF(AF329="신계약비",$P329,0),$P329*(1-AG329)*IFERROR(INDEX(계정대체기준!$C$20:$C$49,MATCH($N329,계정대체기준!$A$20:$A$49,0)),0)))</f>
        <v/>
      </c>
      <c r="AA329" s="94">
        <f>IF($A329="",0,IF(AE329="직접",IF(OR(AF329="유지비",AF329="손해조사비"),$P329,0),$P329*(1-AG329)*IFERROR(INDEX(계정대체기준!$D$20:$D$49,MATCH($N329,계정대체기준!$A$20:$A$49,0)),0)))</f>
        <v/>
      </c>
      <c r="AB329" s="94">
        <f>IF($A329="",0,IF(AE329="직접",IF(AF329="수금비",$P329,0),$P329*(1-AG329)*IFERROR(INDEX(계정대체기준!$E$20:$E$49,MATCH($N329,계정대체기준!$A$20:$A$49,0)),0)))</f>
        <v/>
      </c>
      <c r="AC329" s="9">
        <f>IF(AND($A329&lt;&gt;"",M329=설정!$C$20,Z329&gt;0),Z329+ROW()/1000000000,"")</f>
        <v/>
      </c>
      <c r="AD329" s="94">
        <f>IF($A329="",0,$P329*AG329)</f>
        <v/>
      </c>
      <c r="AE329" s="64">
        <f>IF($A329="","",IFERROR(INDEX(계정매핑!$E$5:$E$504,MATCH($F329&amp;"",계정매핑!$A$5:$A$504,0))&amp;"","공통비"))</f>
        <v/>
      </c>
      <c r="AF329" s="64">
        <f>IF($A329="","",IF(AE329="직접",IFERROR(INDEX(계정매핑!$F$5:$F$504,MATCH($F329&amp;"",계정매핑!$A$5:$A$504,0))&amp;"","비귀속"),""))</f>
        <v/>
      </c>
      <c r="AG329" s="96">
        <f>IF($A329="",0,IF(AND(AE329&lt;&gt;"직접",IFERROR(INDEX(계정매핑!$G$5:$G$504,MATCH($F329&amp;"",계정매핑!$A$5:$A$504,0))&amp;"","")="유지비",COUNTIF(계정대체기준!$A$6:$A$15,$N329)&gt;0),IFERROR(INDEX(계정대체기준!$E$6:$E$15,MATCH(VALUE($A329&amp;""),계정대체기준!$D$6:$D$15,0)),0),0))</f>
        <v/>
      </c>
      <c r="AH329" s="64">
        <f>IF($A329="","",IF(AD329=0,"",IF(OR(COUNTIF(계정대체기준!$A$77:$A$86,$N329)&gt;0,ISNUMBER(MATCH($X329,계정대체기준!$D$77:$D$86,0)),ISNUMBER(MATCH($F329,계정대체기준!$D$77:$D$86,0))),"Y","N")))</f>
        <v/>
      </c>
    </row>
    <row r="330">
      <c r="A330" s="92" t="n">
        <v>2025</v>
      </c>
      <c r="B330" s="92" t="n">
        <v>2</v>
      </c>
      <c r="C330" s="92" t="inlineStr">
        <is>
          <t>5100000326</t>
        </is>
      </c>
      <c r="D330" s="95" t="n">
        <v>45700</v>
      </c>
      <c r="E330" s="92" t="inlineStr">
        <is>
          <t>KR</t>
        </is>
      </c>
      <c r="F330" s="92" t="n">
        <v>62501000</v>
      </c>
      <c r="G330" s="92" t="n">
        <v>1502</v>
      </c>
      <c r="H330" s="93" t="n">
        <v>339000</v>
      </c>
      <c r="I330" s="92" t="inlineStr">
        <is>
          <t>2월 회의 다과 - T케이터링</t>
        </is>
      </c>
      <c r="J330" s="92" t="inlineStr">
        <is>
          <t>V10005</t>
        </is>
      </c>
      <c r="K330" s="92" t="inlineStr">
        <is>
          <t>T케이터링</t>
        </is>
      </c>
      <c r="M330" s="9">
        <f>IF($A330="","",VALUE($A330&amp;"")*12+VALUE($B330&amp;""))</f>
        <v/>
      </c>
      <c r="N330" s="64">
        <f>IF($A330="","",IFERROR(INDEX(부서매핑!$C$5:$C$504,MATCH($G330&amp;"",부서매핑!$A$5:$A$504,0)),"미매핑"))</f>
        <v/>
      </c>
      <c r="O330" s="9">
        <f>IF($A330="","",N330&amp;"|"&amp;$F330)</f>
        <v/>
      </c>
      <c r="P330" s="94">
        <f>IF($A330="",0,$H330*설정!$C$23)</f>
        <v/>
      </c>
      <c r="Q330" s="64">
        <f>IF($A330="","",IF(O330&lt;&gt;원인분석!$C$9,"",IF(AND(M330&gt;=원인분석!$C$10,M330&lt;=원인분석!$C$11),"당기",IF(AND(M330&gt;=원인분석!$C$12,M330&lt;=원인분석!$C$13),"비교",""))))</f>
        <v/>
      </c>
      <c r="R330" s="9">
        <f>IF(Q330="","",$K330&amp;"")</f>
        <v/>
      </c>
      <c r="S330" s="9">
        <f>IF(Q330="","",IF(MATCH(R330,$R$5:$R$100000,0)=ROW()-4,ROW(),""))</f>
        <v/>
      </c>
      <c r="T330" s="9">
        <f>IF(Q330="당기",ABS(P330)+ROW()/1000000000,"")</f>
        <v/>
      </c>
      <c r="U330" s="9">
        <f>IF(Q330="비교",ABS(P330)+ROW()/1000000000,"")</f>
        <v/>
      </c>
      <c r="V330" s="64">
        <f>IF($A330="","",IF(COUNTIF(변동분석!$E$7:$E$506,O330)&gt;0,"Y","N"))</f>
        <v/>
      </c>
      <c r="W330" s="64">
        <f>IF($A330="","",IFERROR(INDEX(계정매핑!$D$5:$D$504,MATCH($F330&amp;"",계정매핑!$A$5:$A$504,0)),"미매핑"))</f>
        <v/>
      </c>
      <c r="X330" s="9">
        <f>IF($A330="","",$F330&amp;"")</f>
        <v/>
      </c>
      <c r="Y330" s="94">
        <f>IF($A330="",0,IF(AE330="직접",IF(AF330="비귀속",$P330,0),$P330*(1-AG330)*IFERROR(INDEX(계정대체기준!$F$20:$F$49,MATCH($N330,계정대체기준!$A$20:$A$49,0)),1)))</f>
        <v/>
      </c>
      <c r="Z330" s="94">
        <f>IF($A330="",0,IF(AE330="직접",IF(AF330="신계약비",$P330,0),$P330*(1-AG330)*IFERROR(INDEX(계정대체기준!$C$20:$C$49,MATCH($N330,계정대체기준!$A$20:$A$49,0)),0)))</f>
        <v/>
      </c>
      <c r="AA330" s="94">
        <f>IF($A330="",0,IF(AE330="직접",IF(OR(AF330="유지비",AF330="손해조사비"),$P330,0),$P330*(1-AG330)*IFERROR(INDEX(계정대체기준!$D$20:$D$49,MATCH($N330,계정대체기준!$A$20:$A$49,0)),0)))</f>
        <v/>
      </c>
      <c r="AB330" s="94">
        <f>IF($A330="",0,IF(AE330="직접",IF(AF330="수금비",$P330,0),$P330*(1-AG330)*IFERROR(INDEX(계정대체기준!$E$20:$E$49,MATCH($N330,계정대체기준!$A$20:$A$49,0)),0)))</f>
        <v/>
      </c>
      <c r="AC330" s="9">
        <f>IF(AND($A330&lt;&gt;"",M330=설정!$C$20,Z330&gt;0),Z330+ROW()/1000000000,"")</f>
        <v/>
      </c>
      <c r="AD330" s="94">
        <f>IF($A330="",0,$P330*AG330)</f>
        <v/>
      </c>
      <c r="AE330" s="64">
        <f>IF($A330="","",IFERROR(INDEX(계정매핑!$E$5:$E$504,MATCH($F330&amp;"",계정매핑!$A$5:$A$504,0))&amp;"","공통비"))</f>
        <v/>
      </c>
      <c r="AF330" s="64">
        <f>IF($A330="","",IF(AE330="직접",IFERROR(INDEX(계정매핑!$F$5:$F$504,MATCH($F330&amp;"",계정매핑!$A$5:$A$504,0))&amp;"","비귀속"),""))</f>
        <v/>
      </c>
      <c r="AG330" s="96">
        <f>IF($A330="",0,IF(AND(AE330&lt;&gt;"직접",IFERROR(INDEX(계정매핑!$G$5:$G$504,MATCH($F330&amp;"",계정매핑!$A$5:$A$504,0))&amp;"","")="유지비",COUNTIF(계정대체기준!$A$6:$A$15,$N330)&gt;0),IFERROR(INDEX(계정대체기준!$E$6:$E$15,MATCH(VALUE($A330&amp;""),계정대체기준!$D$6:$D$15,0)),0),0))</f>
        <v/>
      </c>
      <c r="AH330" s="64">
        <f>IF($A330="","",IF(AD330=0,"",IF(OR(COUNTIF(계정대체기준!$A$77:$A$86,$N330)&gt;0,ISNUMBER(MATCH($X330,계정대체기준!$D$77:$D$86,0)),ISNUMBER(MATCH($F330,계정대체기준!$D$77:$D$86,0))),"Y","N")))</f>
        <v/>
      </c>
    </row>
    <row r="331">
      <c r="A331" s="92" t="n">
        <v>2025</v>
      </c>
      <c r="B331" s="92" t="n">
        <v>2</v>
      </c>
      <c r="C331" s="92" t="inlineStr">
        <is>
          <t>5100000327</t>
        </is>
      </c>
      <c r="D331" s="95" t="n">
        <v>45700</v>
      </c>
      <c r="E331" s="92" t="inlineStr">
        <is>
          <t>KR</t>
        </is>
      </c>
      <c r="F331" s="92" t="n">
        <v>62501000</v>
      </c>
      <c r="G331" s="92" t="n">
        <v>1801</v>
      </c>
      <c r="H331" s="93" t="n">
        <v>112000</v>
      </c>
      <c r="I331" s="92" t="inlineStr">
        <is>
          <t>2월 회의 다과 - (법인카드)</t>
        </is>
      </c>
      <c r="J331" s="92" t="inlineStr">
        <is>
          <t>V10010</t>
        </is>
      </c>
      <c r="K331" s="92" t="inlineStr">
        <is>
          <t>(법인카드)</t>
        </is>
      </c>
      <c r="M331" s="9">
        <f>IF($A331="","",VALUE($A331&amp;"")*12+VALUE($B331&amp;""))</f>
        <v/>
      </c>
      <c r="N331" s="64">
        <f>IF($A331="","",IFERROR(INDEX(부서매핑!$C$5:$C$504,MATCH($G331&amp;"",부서매핑!$A$5:$A$504,0)),"미매핑"))</f>
        <v/>
      </c>
      <c r="O331" s="9">
        <f>IF($A331="","",N331&amp;"|"&amp;$F331)</f>
        <v/>
      </c>
      <c r="P331" s="94">
        <f>IF($A331="",0,$H331*설정!$C$23)</f>
        <v/>
      </c>
      <c r="Q331" s="64">
        <f>IF($A331="","",IF(O331&lt;&gt;원인분석!$C$9,"",IF(AND(M331&gt;=원인분석!$C$10,M331&lt;=원인분석!$C$11),"당기",IF(AND(M331&gt;=원인분석!$C$12,M331&lt;=원인분석!$C$13),"비교",""))))</f>
        <v/>
      </c>
      <c r="R331" s="9">
        <f>IF(Q331="","",$K331&amp;"")</f>
        <v/>
      </c>
      <c r="S331" s="9">
        <f>IF(Q331="","",IF(MATCH(R331,$R$5:$R$100000,0)=ROW()-4,ROW(),""))</f>
        <v/>
      </c>
      <c r="T331" s="9">
        <f>IF(Q331="당기",ABS(P331)+ROW()/1000000000,"")</f>
        <v/>
      </c>
      <c r="U331" s="9">
        <f>IF(Q331="비교",ABS(P331)+ROW()/1000000000,"")</f>
        <v/>
      </c>
      <c r="V331" s="64">
        <f>IF($A331="","",IF(COUNTIF(변동분석!$E$7:$E$506,O331)&gt;0,"Y","N"))</f>
        <v/>
      </c>
      <c r="W331" s="64">
        <f>IF($A331="","",IFERROR(INDEX(계정매핑!$D$5:$D$504,MATCH($F331&amp;"",계정매핑!$A$5:$A$504,0)),"미매핑"))</f>
        <v/>
      </c>
      <c r="X331" s="9">
        <f>IF($A331="","",$F331&amp;"")</f>
        <v/>
      </c>
      <c r="Y331" s="94">
        <f>IF($A331="",0,IF(AE331="직접",IF(AF331="비귀속",$P331,0),$P331*(1-AG331)*IFERROR(INDEX(계정대체기준!$F$20:$F$49,MATCH($N331,계정대체기준!$A$20:$A$49,0)),1)))</f>
        <v/>
      </c>
      <c r="Z331" s="94">
        <f>IF($A331="",0,IF(AE331="직접",IF(AF331="신계약비",$P331,0),$P331*(1-AG331)*IFERROR(INDEX(계정대체기준!$C$20:$C$49,MATCH($N331,계정대체기준!$A$20:$A$49,0)),0)))</f>
        <v/>
      </c>
      <c r="AA331" s="94">
        <f>IF($A331="",0,IF(AE331="직접",IF(OR(AF331="유지비",AF331="손해조사비"),$P331,0),$P331*(1-AG331)*IFERROR(INDEX(계정대체기준!$D$20:$D$49,MATCH($N331,계정대체기준!$A$20:$A$49,0)),0)))</f>
        <v/>
      </c>
      <c r="AB331" s="94">
        <f>IF($A331="",0,IF(AE331="직접",IF(AF331="수금비",$P331,0),$P331*(1-AG331)*IFERROR(INDEX(계정대체기준!$E$20:$E$49,MATCH($N331,계정대체기준!$A$20:$A$49,0)),0)))</f>
        <v/>
      </c>
      <c r="AC331" s="9">
        <f>IF(AND($A331&lt;&gt;"",M331=설정!$C$20,Z331&gt;0),Z331+ROW()/1000000000,"")</f>
        <v/>
      </c>
      <c r="AD331" s="94">
        <f>IF($A331="",0,$P331*AG331)</f>
        <v/>
      </c>
      <c r="AE331" s="64">
        <f>IF($A331="","",IFERROR(INDEX(계정매핑!$E$5:$E$504,MATCH($F331&amp;"",계정매핑!$A$5:$A$504,0))&amp;"","공통비"))</f>
        <v/>
      </c>
      <c r="AF331" s="64">
        <f>IF($A331="","",IF(AE331="직접",IFERROR(INDEX(계정매핑!$F$5:$F$504,MATCH($F331&amp;"",계정매핑!$A$5:$A$504,0))&amp;"","비귀속"),""))</f>
        <v/>
      </c>
      <c r="AG331" s="96">
        <f>IF($A331="",0,IF(AND(AE331&lt;&gt;"직접",IFERROR(INDEX(계정매핑!$G$5:$G$504,MATCH($F331&amp;"",계정매핑!$A$5:$A$504,0))&amp;"","")="유지비",COUNTIF(계정대체기준!$A$6:$A$15,$N331)&gt;0),IFERROR(INDEX(계정대체기준!$E$6:$E$15,MATCH(VALUE($A331&amp;""),계정대체기준!$D$6:$D$15,0)),0),0))</f>
        <v/>
      </c>
      <c r="AH331" s="64">
        <f>IF($A331="","",IF(AD331=0,"",IF(OR(COUNTIF(계정대체기준!$A$77:$A$86,$N331)&gt;0,ISNUMBER(MATCH($X331,계정대체기준!$D$77:$D$86,0)),ISNUMBER(MATCH($F331,계정대체기준!$D$77:$D$86,0))),"Y","N")))</f>
        <v/>
      </c>
    </row>
    <row r="332">
      <c r="A332" s="92" t="n">
        <v>2025</v>
      </c>
      <c r="B332" s="92" t="n">
        <v>2</v>
      </c>
      <c r="C332" s="92" t="inlineStr">
        <is>
          <t>5100000328</t>
        </is>
      </c>
      <c r="D332" s="95" t="n">
        <v>45700</v>
      </c>
      <c r="E332" s="92" t="inlineStr">
        <is>
          <t>KR</t>
        </is>
      </c>
      <c r="F332" s="92" t="n">
        <v>62601000</v>
      </c>
      <c r="G332" s="92" t="n">
        <v>1602</v>
      </c>
      <c r="H332" s="93" t="n">
        <v>1603000</v>
      </c>
      <c r="I332" s="92" t="inlineStr">
        <is>
          <t>2월 업무추진 - (법인카드)</t>
        </is>
      </c>
      <c r="J332" s="92" t="inlineStr">
        <is>
          <t>V10010</t>
        </is>
      </c>
      <c r="K332" s="92" t="inlineStr">
        <is>
          <t>(법인카드)</t>
        </is>
      </c>
      <c r="M332" s="9">
        <f>IF($A332="","",VALUE($A332&amp;"")*12+VALUE($B332&amp;""))</f>
        <v/>
      </c>
      <c r="N332" s="64">
        <f>IF($A332="","",IFERROR(INDEX(부서매핑!$C$5:$C$504,MATCH($G332&amp;"",부서매핑!$A$5:$A$504,0)),"미매핑"))</f>
        <v/>
      </c>
      <c r="O332" s="9">
        <f>IF($A332="","",N332&amp;"|"&amp;$F332)</f>
        <v/>
      </c>
      <c r="P332" s="94">
        <f>IF($A332="",0,$H332*설정!$C$23)</f>
        <v/>
      </c>
      <c r="Q332" s="64">
        <f>IF($A332="","",IF(O332&lt;&gt;원인분석!$C$9,"",IF(AND(M332&gt;=원인분석!$C$10,M332&lt;=원인분석!$C$11),"당기",IF(AND(M332&gt;=원인분석!$C$12,M332&lt;=원인분석!$C$13),"비교",""))))</f>
        <v/>
      </c>
      <c r="R332" s="9">
        <f>IF(Q332="","",$K332&amp;"")</f>
        <v/>
      </c>
      <c r="S332" s="9">
        <f>IF(Q332="","",IF(MATCH(R332,$R$5:$R$100000,0)=ROW()-4,ROW(),""))</f>
        <v/>
      </c>
      <c r="T332" s="9">
        <f>IF(Q332="당기",ABS(P332)+ROW()/1000000000,"")</f>
        <v/>
      </c>
      <c r="U332" s="9">
        <f>IF(Q332="비교",ABS(P332)+ROW()/1000000000,"")</f>
        <v/>
      </c>
      <c r="V332" s="64">
        <f>IF($A332="","",IF(COUNTIF(변동분석!$E$7:$E$506,O332)&gt;0,"Y","N"))</f>
        <v/>
      </c>
      <c r="W332" s="64">
        <f>IF($A332="","",IFERROR(INDEX(계정매핑!$D$5:$D$504,MATCH($F332&amp;"",계정매핑!$A$5:$A$504,0)),"미매핑"))</f>
        <v/>
      </c>
      <c r="X332" s="9">
        <f>IF($A332="","",$F332&amp;"")</f>
        <v/>
      </c>
      <c r="Y332" s="94">
        <f>IF($A332="",0,IF(AE332="직접",IF(AF332="비귀속",$P332,0),$P332*(1-AG332)*IFERROR(INDEX(계정대체기준!$F$20:$F$49,MATCH($N332,계정대체기준!$A$20:$A$49,0)),1)))</f>
        <v/>
      </c>
      <c r="Z332" s="94">
        <f>IF($A332="",0,IF(AE332="직접",IF(AF332="신계약비",$P332,0),$P332*(1-AG332)*IFERROR(INDEX(계정대체기준!$C$20:$C$49,MATCH($N332,계정대체기준!$A$20:$A$49,0)),0)))</f>
        <v/>
      </c>
      <c r="AA332" s="94">
        <f>IF($A332="",0,IF(AE332="직접",IF(OR(AF332="유지비",AF332="손해조사비"),$P332,0),$P332*(1-AG332)*IFERROR(INDEX(계정대체기준!$D$20:$D$49,MATCH($N332,계정대체기준!$A$20:$A$49,0)),0)))</f>
        <v/>
      </c>
      <c r="AB332" s="94">
        <f>IF($A332="",0,IF(AE332="직접",IF(AF332="수금비",$P332,0),$P332*(1-AG332)*IFERROR(INDEX(계정대체기준!$E$20:$E$49,MATCH($N332,계정대체기준!$A$20:$A$49,0)),0)))</f>
        <v/>
      </c>
      <c r="AC332" s="9">
        <f>IF(AND($A332&lt;&gt;"",M332=설정!$C$20,Z332&gt;0),Z332+ROW()/1000000000,"")</f>
        <v/>
      </c>
      <c r="AD332" s="94">
        <f>IF($A332="",0,$P332*AG332)</f>
        <v/>
      </c>
      <c r="AE332" s="64">
        <f>IF($A332="","",IFERROR(INDEX(계정매핑!$E$5:$E$504,MATCH($F332&amp;"",계정매핑!$A$5:$A$504,0))&amp;"","공통비"))</f>
        <v/>
      </c>
      <c r="AF332" s="64">
        <f>IF($A332="","",IF(AE332="직접",IFERROR(INDEX(계정매핑!$F$5:$F$504,MATCH($F332&amp;"",계정매핑!$A$5:$A$504,0))&amp;"","비귀속"),""))</f>
        <v/>
      </c>
      <c r="AG332" s="96">
        <f>IF($A332="",0,IF(AND(AE332&lt;&gt;"직접",IFERROR(INDEX(계정매핑!$G$5:$G$504,MATCH($F332&amp;"",계정매핑!$A$5:$A$504,0))&amp;"","")="유지비",COUNTIF(계정대체기준!$A$6:$A$15,$N332)&gt;0),IFERROR(INDEX(계정대체기준!$E$6:$E$15,MATCH(VALUE($A332&amp;""),계정대체기준!$D$6:$D$15,0)),0),0))</f>
        <v/>
      </c>
      <c r="AH332" s="64">
        <f>IF($A332="","",IF(AD332=0,"",IF(OR(COUNTIF(계정대체기준!$A$77:$A$86,$N332)&gt;0,ISNUMBER(MATCH($X332,계정대체기준!$D$77:$D$86,0)),ISNUMBER(MATCH($F332,계정대체기준!$D$77:$D$86,0))),"Y","N")))</f>
        <v/>
      </c>
    </row>
    <row r="333">
      <c r="A333" s="92" t="n">
        <v>2025</v>
      </c>
      <c r="B333" s="92" t="n">
        <v>2</v>
      </c>
      <c r="C333" s="92" t="inlineStr">
        <is>
          <t>5100000329</t>
        </is>
      </c>
      <c r="D333" s="95" t="n">
        <v>45700</v>
      </c>
      <c r="E333" s="92" t="inlineStr">
        <is>
          <t>KR</t>
        </is>
      </c>
      <c r="F333" s="92" t="n">
        <v>62901000</v>
      </c>
      <c r="G333" s="92" t="n">
        <v>1201</v>
      </c>
      <c r="H333" s="93" t="n">
        <v>4970000</v>
      </c>
      <c r="I333" s="92" t="inlineStr">
        <is>
          <t>2월 자문 수수료 - W컨설팅</t>
        </is>
      </c>
      <c r="J333" s="92" t="inlineStr">
        <is>
          <t>V10006</t>
        </is>
      </c>
      <c r="K333" s="92" t="inlineStr">
        <is>
          <t>W컨설팅</t>
        </is>
      </c>
      <c r="M333" s="9">
        <f>IF($A333="","",VALUE($A333&amp;"")*12+VALUE($B333&amp;""))</f>
        <v/>
      </c>
      <c r="N333" s="64">
        <f>IF($A333="","",IFERROR(INDEX(부서매핑!$C$5:$C$504,MATCH($G333&amp;"",부서매핑!$A$5:$A$504,0)),"미매핑"))</f>
        <v/>
      </c>
      <c r="O333" s="9">
        <f>IF($A333="","",N333&amp;"|"&amp;$F333)</f>
        <v/>
      </c>
      <c r="P333" s="94">
        <f>IF($A333="",0,$H333*설정!$C$23)</f>
        <v/>
      </c>
      <c r="Q333" s="64">
        <f>IF($A333="","",IF(O333&lt;&gt;원인분석!$C$9,"",IF(AND(M333&gt;=원인분석!$C$10,M333&lt;=원인분석!$C$11),"당기",IF(AND(M333&gt;=원인분석!$C$12,M333&lt;=원인분석!$C$13),"비교",""))))</f>
        <v/>
      </c>
      <c r="R333" s="9">
        <f>IF(Q333="","",$K333&amp;"")</f>
        <v/>
      </c>
      <c r="S333" s="9">
        <f>IF(Q333="","",IF(MATCH(R333,$R$5:$R$100000,0)=ROW()-4,ROW(),""))</f>
        <v/>
      </c>
      <c r="T333" s="9">
        <f>IF(Q333="당기",ABS(P333)+ROW()/1000000000,"")</f>
        <v/>
      </c>
      <c r="U333" s="9">
        <f>IF(Q333="비교",ABS(P333)+ROW()/1000000000,"")</f>
        <v/>
      </c>
      <c r="V333" s="64">
        <f>IF($A333="","",IF(COUNTIF(변동분석!$E$7:$E$506,O333)&gt;0,"Y","N"))</f>
        <v/>
      </c>
      <c r="W333" s="64">
        <f>IF($A333="","",IFERROR(INDEX(계정매핑!$D$5:$D$504,MATCH($F333&amp;"",계정매핑!$A$5:$A$504,0)),"미매핑"))</f>
        <v/>
      </c>
      <c r="X333" s="9">
        <f>IF($A333="","",$F333&amp;"")</f>
        <v/>
      </c>
      <c r="Y333" s="94">
        <f>IF($A333="",0,IF(AE333="직접",IF(AF333="비귀속",$P333,0),$P333*(1-AG333)*IFERROR(INDEX(계정대체기준!$F$20:$F$49,MATCH($N333,계정대체기준!$A$20:$A$49,0)),1)))</f>
        <v/>
      </c>
      <c r="Z333" s="94">
        <f>IF($A333="",0,IF(AE333="직접",IF(AF333="신계약비",$P333,0),$P333*(1-AG333)*IFERROR(INDEX(계정대체기준!$C$20:$C$49,MATCH($N333,계정대체기준!$A$20:$A$49,0)),0)))</f>
        <v/>
      </c>
      <c r="AA333" s="94">
        <f>IF($A333="",0,IF(AE333="직접",IF(OR(AF333="유지비",AF333="손해조사비"),$P333,0),$P333*(1-AG333)*IFERROR(INDEX(계정대체기준!$D$20:$D$49,MATCH($N333,계정대체기준!$A$20:$A$49,0)),0)))</f>
        <v/>
      </c>
      <c r="AB333" s="94">
        <f>IF($A333="",0,IF(AE333="직접",IF(AF333="수금비",$P333,0),$P333*(1-AG333)*IFERROR(INDEX(계정대체기준!$E$20:$E$49,MATCH($N333,계정대체기준!$A$20:$A$49,0)),0)))</f>
        <v/>
      </c>
      <c r="AC333" s="9">
        <f>IF(AND($A333&lt;&gt;"",M333=설정!$C$20,Z333&gt;0),Z333+ROW()/1000000000,"")</f>
        <v/>
      </c>
      <c r="AD333" s="94">
        <f>IF($A333="",0,$P333*AG333)</f>
        <v/>
      </c>
      <c r="AE333" s="64">
        <f>IF($A333="","",IFERROR(INDEX(계정매핑!$E$5:$E$504,MATCH($F333&amp;"",계정매핑!$A$5:$A$504,0))&amp;"","공통비"))</f>
        <v/>
      </c>
      <c r="AF333" s="64">
        <f>IF($A333="","",IF(AE333="직접",IFERROR(INDEX(계정매핑!$F$5:$F$504,MATCH($F333&amp;"",계정매핑!$A$5:$A$504,0))&amp;"","비귀속"),""))</f>
        <v/>
      </c>
      <c r="AG333" s="96">
        <f>IF($A333="",0,IF(AND(AE333&lt;&gt;"직접",IFERROR(INDEX(계정매핑!$G$5:$G$504,MATCH($F333&amp;"",계정매핑!$A$5:$A$504,0))&amp;"","")="유지비",COUNTIF(계정대체기준!$A$6:$A$15,$N333)&gt;0),IFERROR(INDEX(계정대체기준!$E$6:$E$15,MATCH(VALUE($A333&amp;""),계정대체기준!$D$6:$D$15,0)),0),0))</f>
        <v/>
      </c>
      <c r="AH333" s="64">
        <f>IF($A333="","",IF(AD333=0,"",IF(OR(COUNTIF(계정대체기준!$A$77:$A$86,$N333)&gt;0,ISNUMBER(MATCH($X333,계정대체기준!$D$77:$D$86,0)),ISNUMBER(MATCH($F333,계정대체기준!$D$77:$D$86,0))),"Y","N")))</f>
        <v/>
      </c>
    </row>
    <row r="334">
      <c r="A334" s="92" t="n">
        <v>2025</v>
      </c>
      <c r="B334" s="92" t="n">
        <v>2</v>
      </c>
      <c r="C334" s="92" t="inlineStr">
        <is>
          <t>5100000330</t>
        </is>
      </c>
      <c r="D334" s="95" t="n">
        <v>45700</v>
      </c>
      <c r="E334" s="92" t="inlineStr">
        <is>
          <t>KR</t>
        </is>
      </c>
      <c r="F334" s="92" t="n">
        <v>62902000</v>
      </c>
      <c r="G334" s="92" t="n">
        <v>1401</v>
      </c>
      <c r="H334" s="93" t="n">
        <v>3133000</v>
      </c>
      <c r="I334" s="92" t="inlineStr">
        <is>
          <t>2월 업무 위탁 수수료 - X서비스</t>
        </is>
      </c>
      <c r="J334" s="92" t="inlineStr">
        <is>
          <t>V10020</t>
        </is>
      </c>
      <c r="K334" s="92" t="inlineStr">
        <is>
          <t>X서비스</t>
        </is>
      </c>
      <c r="M334" s="9">
        <f>IF($A334="","",VALUE($A334&amp;"")*12+VALUE($B334&amp;""))</f>
        <v/>
      </c>
      <c r="N334" s="64">
        <f>IF($A334="","",IFERROR(INDEX(부서매핑!$C$5:$C$504,MATCH($G334&amp;"",부서매핑!$A$5:$A$504,0)),"미매핑"))</f>
        <v/>
      </c>
      <c r="O334" s="9">
        <f>IF($A334="","",N334&amp;"|"&amp;$F334)</f>
        <v/>
      </c>
      <c r="P334" s="94">
        <f>IF($A334="",0,$H334*설정!$C$23)</f>
        <v/>
      </c>
      <c r="Q334" s="64">
        <f>IF($A334="","",IF(O334&lt;&gt;원인분석!$C$9,"",IF(AND(M334&gt;=원인분석!$C$10,M334&lt;=원인분석!$C$11),"당기",IF(AND(M334&gt;=원인분석!$C$12,M334&lt;=원인분석!$C$13),"비교",""))))</f>
        <v/>
      </c>
      <c r="R334" s="9">
        <f>IF(Q334="","",$K334&amp;"")</f>
        <v/>
      </c>
      <c r="S334" s="9">
        <f>IF(Q334="","",IF(MATCH(R334,$R$5:$R$100000,0)=ROW()-4,ROW(),""))</f>
        <v/>
      </c>
      <c r="T334" s="9">
        <f>IF(Q334="당기",ABS(P334)+ROW()/1000000000,"")</f>
        <v/>
      </c>
      <c r="U334" s="9">
        <f>IF(Q334="비교",ABS(P334)+ROW()/1000000000,"")</f>
        <v/>
      </c>
      <c r="V334" s="64">
        <f>IF($A334="","",IF(COUNTIF(변동분석!$E$7:$E$506,O334)&gt;0,"Y","N"))</f>
        <v/>
      </c>
      <c r="W334" s="64">
        <f>IF($A334="","",IFERROR(INDEX(계정매핑!$D$5:$D$504,MATCH($F334&amp;"",계정매핑!$A$5:$A$504,0)),"미매핑"))</f>
        <v/>
      </c>
      <c r="X334" s="9">
        <f>IF($A334="","",$F334&amp;"")</f>
        <v/>
      </c>
      <c r="Y334" s="94">
        <f>IF($A334="",0,IF(AE334="직접",IF(AF334="비귀속",$P334,0),$P334*(1-AG334)*IFERROR(INDEX(계정대체기준!$F$20:$F$49,MATCH($N334,계정대체기준!$A$20:$A$49,0)),1)))</f>
        <v/>
      </c>
      <c r="Z334" s="94">
        <f>IF($A334="",0,IF(AE334="직접",IF(AF334="신계약비",$P334,0),$P334*(1-AG334)*IFERROR(INDEX(계정대체기준!$C$20:$C$49,MATCH($N334,계정대체기준!$A$20:$A$49,0)),0)))</f>
        <v/>
      </c>
      <c r="AA334" s="94">
        <f>IF($A334="",0,IF(AE334="직접",IF(OR(AF334="유지비",AF334="손해조사비"),$P334,0),$P334*(1-AG334)*IFERROR(INDEX(계정대체기준!$D$20:$D$49,MATCH($N334,계정대체기준!$A$20:$A$49,0)),0)))</f>
        <v/>
      </c>
      <c r="AB334" s="94">
        <f>IF($A334="",0,IF(AE334="직접",IF(AF334="수금비",$P334,0),$P334*(1-AG334)*IFERROR(INDEX(계정대체기준!$E$20:$E$49,MATCH($N334,계정대체기준!$A$20:$A$49,0)),0)))</f>
        <v/>
      </c>
      <c r="AC334" s="9">
        <f>IF(AND($A334&lt;&gt;"",M334=설정!$C$20,Z334&gt;0),Z334+ROW()/1000000000,"")</f>
        <v/>
      </c>
      <c r="AD334" s="94">
        <f>IF($A334="",0,$P334*AG334)</f>
        <v/>
      </c>
      <c r="AE334" s="64">
        <f>IF($A334="","",IFERROR(INDEX(계정매핑!$E$5:$E$504,MATCH($F334&amp;"",계정매핑!$A$5:$A$504,0))&amp;"","공통비"))</f>
        <v/>
      </c>
      <c r="AF334" s="64">
        <f>IF($A334="","",IF(AE334="직접",IFERROR(INDEX(계정매핑!$F$5:$F$504,MATCH($F334&amp;"",계정매핑!$A$5:$A$504,0))&amp;"","비귀속"),""))</f>
        <v/>
      </c>
      <c r="AG334" s="96">
        <f>IF($A334="",0,IF(AND(AE334&lt;&gt;"직접",IFERROR(INDEX(계정매핑!$G$5:$G$504,MATCH($F334&amp;"",계정매핑!$A$5:$A$504,0))&amp;"","")="유지비",COUNTIF(계정대체기준!$A$6:$A$15,$N334)&gt;0),IFERROR(INDEX(계정대체기준!$E$6:$E$15,MATCH(VALUE($A334&amp;""),계정대체기준!$D$6:$D$15,0)),0),0))</f>
        <v/>
      </c>
      <c r="AH334" s="64">
        <f>IF($A334="","",IF(AD334=0,"",IF(OR(COUNTIF(계정대체기준!$A$77:$A$86,$N334)&gt;0,ISNUMBER(MATCH($X334,계정대체기준!$D$77:$D$86,0)),ISNUMBER(MATCH($F334,계정대체기준!$D$77:$D$86,0))),"Y","N")))</f>
        <v/>
      </c>
    </row>
    <row r="335">
      <c r="A335" s="92" t="n">
        <v>2025</v>
      </c>
      <c r="B335" s="92" t="n">
        <v>2</v>
      </c>
      <c r="C335" s="92" t="inlineStr">
        <is>
          <t>5100000331</t>
        </is>
      </c>
      <c r="D335" s="95" t="n">
        <v>45700</v>
      </c>
      <c r="E335" s="92" t="inlineStr">
        <is>
          <t>KR</t>
        </is>
      </c>
      <c r="F335" s="92" t="n">
        <v>62902000</v>
      </c>
      <c r="G335" s="92" t="n">
        <v>1801</v>
      </c>
      <c r="H335" s="93" t="n">
        <v>1836000</v>
      </c>
      <c r="I335" s="92" t="inlineStr">
        <is>
          <t>2월 콜 위탁 수수료(건별)</t>
        </is>
      </c>
      <c r="J335" s="92" t="inlineStr">
        <is>
          <t>V10016</t>
        </is>
      </c>
      <c r="K335" s="92" t="inlineStr">
        <is>
          <t>J콜센터</t>
        </is>
      </c>
      <c r="M335" s="9">
        <f>IF($A335="","",VALUE($A335&amp;"")*12+VALUE($B335&amp;""))</f>
        <v/>
      </c>
      <c r="N335" s="64">
        <f>IF($A335="","",IFERROR(INDEX(부서매핑!$C$5:$C$504,MATCH($G335&amp;"",부서매핑!$A$5:$A$504,0)),"미매핑"))</f>
        <v/>
      </c>
      <c r="O335" s="9">
        <f>IF($A335="","",N335&amp;"|"&amp;$F335)</f>
        <v/>
      </c>
      <c r="P335" s="94">
        <f>IF($A335="",0,$H335*설정!$C$23)</f>
        <v/>
      </c>
      <c r="Q335" s="64">
        <f>IF($A335="","",IF(O335&lt;&gt;원인분석!$C$9,"",IF(AND(M335&gt;=원인분석!$C$10,M335&lt;=원인분석!$C$11),"당기",IF(AND(M335&gt;=원인분석!$C$12,M335&lt;=원인분석!$C$13),"비교",""))))</f>
        <v/>
      </c>
      <c r="R335" s="9">
        <f>IF(Q335="","",$K335&amp;"")</f>
        <v/>
      </c>
      <c r="S335" s="9">
        <f>IF(Q335="","",IF(MATCH(R335,$R$5:$R$100000,0)=ROW()-4,ROW(),""))</f>
        <v/>
      </c>
      <c r="T335" s="9">
        <f>IF(Q335="당기",ABS(P335)+ROW()/1000000000,"")</f>
        <v/>
      </c>
      <c r="U335" s="9">
        <f>IF(Q335="비교",ABS(P335)+ROW()/1000000000,"")</f>
        <v/>
      </c>
      <c r="V335" s="64">
        <f>IF($A335="","",IF(COUNTIF(변동분석!$E$7:$E$506,O335)&gt;0,"Y","N"))</f>
        <v/>
      </c>
      <c r="W335" s="64">
        <f>IF($A335="","",IFERROR(INDEX(계정매핑!$D$5:$D$504,MATCH($F335&amp;"",계정매핑!$A$5:$A$504,0)),"미매핑"))</f>
        <v/>
      </c>
      <c r="X335" s="9">
        <f>IF($A335="","",$F335&amp;"")</f>
        <v/>
      </c>
      <c r="Y335" s="94">
        <f>IF($A335="",0,IF(AE335="직접",IF(AF335="비귀속",$P335,0),$P335*(1-AG335)*IFERROR(INDEX(계정대체기준!$F$20:$F$49,MATCH($N335,계정대체기준!$A$20:$A$49,0)),1)))</f>
        <v/>
      </c>
      <c r="Z335" s="94">
        <f>IF($A335="",0,IF(AE335="직접",IF(AF335="신계약비",$P335,0),$P335*(1-AG335)*IFERROR(INDEX(계정대체기준!$C$20:$C$49,MATCH($N335,계정대체기준!$A$20:$A$49,0)),0)))</f>
        <v/>
      </c>
      <c r="AA335" s="94">
        <f>IF($A335="",0,IF(AE335="직접",IF(OR(AF335="유지비",AF335="손해조사비"),$P335,0),$P335*(1-AG335)*IFERROR(INDEX(계정대체기준!$D$20:$D$49,MATCH($N335,계정대체기준!$A$20:$A$49,0)),0)))</f>
        <v/>
      </c>
      <c r="AB335" s="94">
        <f>IF($A335="",0,IF(AE335="직접",IF(AF335="수금비",$P335,0),$P335*(1-AG335)*IFERROR(INDEX(계정대체기준!$E$20:$E$49,MATCH($N335,계정대체기준!$A$20:$A$49,0)),0)))</f>
        <v/>
      </c>
      <c r="AC335" s="9">
        <f>IF(AND($A335&lt;&gt;"",M335=설정!$C$20,Z335&gt;0),Z335+ROW()/1000000000,"")</f>
        <v/>
      </c>
      <c r="AD335" s="94">
        <f>IF($A335="",0,$P335*AG335)</f>
        <v/>
      </c>
      <c r="AE335" s="64">
        <f>IF($A335="","",IFERROR(INDEX(계정매핑!$E$5:$E$504,MATCH($F335&amp;"",계정매핑!$A$5:$A$504,0))&amp;"","공통비"))</f>
        <v/>
      </c>
      <c r="AF335" s="64">
        <f>IF($A335="","",IF(AE335="직접",IFERROR(INDEX(계정매핑!$F$5:$F$504,MATCH($F335&amp;"",계정매핑!$A$5:$A$504,0))&amp;"","비귀속"),""))</f>
        <v/>
      </c>
      <c r="AG335" s="96">
        <f>IF($A335="",0,IF(AND(AE335&lt;&gt;"직접",IFERROR(INDEX(계정매핑!$G$5:$G$504,MATCH($F335&amp;"",계정매핑!$A$5:$A$504,0))&amp;"","")="유지비",COUNTIF(계정대체기준!$A$6:$A$15,$N335)&gt;0),IFERROR(INDEX(계정대체기준!$E$6:$E$15,MATCH(VALUE($A335&amp;""),계정대체기준!$D$6:$D$15,0)),0),0))</f>
        <v/>
      </c>
      <c r="AH335" s="64">
        <f>IF($A335="","",IF(AD335=0,"",IF(OR(COUNTIF(계정대체기준!$A$77:$A$86,$N335)&gt;0,ISNUMBER(MATCH($X335,계정대체기준!$D$77:$D$86,0)),ISNUMBER(MATCH($F335,계정대체기준!$D$77:$D$86,0))),"Y","N")))</f>
        <v/>
      </c>
    </row>
    <row r="336">
      <c r="A336" s="92" t="n">
        <v>2025</v>
      </c>
      <c r="B336" s="92" t="n">
        <v>2</v>
      </c>
      <c r="C336" s="92" t="inlineStr">
        <is>
          <t>5100000332</t>
        </is>
      </c>
      <c r="D336" s="95" t="n">
        <v>45701</v>
      </c>
      <c r="E336" s="92" t="inlineStr">
        <is>
          <t>KR</t>
        </is>
      </c>
      <c r="F336" s="92" t="n">
        <v>62101000</v>
      </c>
      <c r="G336" s="92" t="n">
        <v>1801</v>
      </c>
      <c r="H336" s="93" t="n">
        <v>122000</v>
      </c>
      <c r="I336" s="92" t="inlineStr">
        <is>
          <t>2월 국내출장 - M항공</t>
        </is>
      </c>
      <c r="J336" s="92" t="inlineStr">
        <is>
          <t>V10001</t>
        </is>
      </c>
      <c r="K336" s="92" t="inlineStr">
        <is>
          <t>M항공</t>
        </is>
      </c>
      <c r="M336" s="9">
        <f>IF($A336="","",VALUE($A336&amp;"")*12+VALUE($B336&amp;""))</f>
        <v/>
      </c>
      <c r="N336" s="64">
        <f>IF($A336="","",IFERROR(INDEX(부서매핑!$C$5:$C$504,MATCH($G336&amp;"",부서매핑!$A$5:$A$504,0)),"미매핑"))</f>
        <v/>
      </c>
      <c r="O336" s="9">
        <f>IF($A336="","",N336&amp;"|"&amp;$F336)</f>
        <v/>
      </c>
      <c r="P336" s="94">
        <f>IF($A336="",0,$H336*설정!$C$23)</f>
        <v/>
      </c>
      <c r="Q336" s="64">
        <f>IF($A336="","",IF(O336&lt;&gt;원인분석!$C$9,"",IF(AND(M336&gt;=원인분석!$C$10,M336&lt;=원인분석!$C$11),"당기",IF(AND(M336&gt;=원인분석!$C$12,M336&lt;=원인분석!$C$13),"비교",""))))</f>
        <v/>
      </c>
      <c r="R336" s="9">
        <f>IF(Q336="","",$K336&amp;"")</f>
        <v/>
      </c>
      <c r="S336" s="9">
        <f>IF(Q336="","",IF(MATCH(R336,$R$5:$R$100000,0)=ROW()-4,ROW(),""))</f>
        <v/>
      </c>
      <c r="T336" s="9">
        <f>IF(Q336="당기",ABS(P336)+ROW()/1000000000,"")</f>
        <v/>
      </c>
      <c r="U336" s="9">
        <f>IF(Q336="비교",ABS(P336)+ROW()/1000000000,"")</f>
        <v/>
      </c>
      <c r="V336" s="64">
        <f>IF($A336="","",IF(COUNTIF(변동분석!$E$7:$E$506,O336)&gt;0,"Y","N"))</f>
        <v/>
      </c>
      <c r="W336" s="64">
        <f>IF($A336="","",IFERROR(INDEX(계정매핑!$D$5:$D$504,MATCH($F336&amp;"",계정매핑!$A$5:$A$504,0)),"미매핑"))</f>
        <v/>
      </c>
      <c r="X336" s="9">
        <f>IF($A336="","",$F336&amp;"")</f>
        <v/>
      </c>
      <c r="Y336" s="94">
        <f>IF($A336="",0,IF(AE336="직접",IF(AF336="비귀속",$P336,0),$P336*(1-AG336)*IFERROR(INDEX(계정대체기준!$F$20:$F$49,MATCH($N336,계정대체기준!$A$20:$A$49,0)),1)))</f>
        <v/>
      </c>
      <c r="Z336" s="94">
        <f>IF($A336="",0,IF(AE336="직접",IF(AF336="신계약비",$P336,0),$P336*(1-AG336)*IFERROR(INDEX(계정대체기준!$C$20:$C$49,MATCH($N336,계정대체기준!$A$20:$A$49,0)),0)))</f>
        <v/>
      </c>
      <c r="AA336" s="94">
        <f>IF($A336="",0,IF(AE336="직접",IF(OR(AF336="유지비",AF336="손해조사비"),$P336,0),$P336*(1-AG336)*IFERROR(INDEX(계정대체기준!$D$20:$D$49,MATCH($N336,계정대체기준!$A$20:$A$49,0)),0)))</f>
        <v/>
      </c>
      <c r="AB336" s="94">
        <f>IF($A336="",0,IF(AE336="직접",IF(AF336="수금비",$P336,0),$P336*(1-AG336)*IFERROR(INDEX(계정대체기준!$E$20:$E$49,MATCH($N336,계정대체기준!$A$20:$A$49,0)),0)))</f>
        <v/>
      </c>
      <c r="AC336" s="9">
        <f>IF(AND($A336&lt;&gt;"",M336=설정!$C$20,Z336&gt;0),Z336+ROW()/1000000000,"")</f>
        <v/>
      </c>
      <c r="AD336" s="94">
        <f>IF($A336="",0,$P336*AG336)</f>
        <v/>
      </c>
      <c r="AE336" s="64">
        <f>IF($A336="","",IFERROR(INDEX(계정매핑!$E$5:$E$504,MATCH($F336&amp;"",계정매핑!$A$5:$A$504,0))&amp;"","공통비"))</f>
        <v/>
      </c>
      <c r="AF336" s="64">
        <f>IF($A336="","",IF(AE336="직접",IFERROR(INDEX(계정매핑!$F$5:$F$504,MATCH($F336&amp;"",계정매핑!$A$5:$A$504,0))&amp;"","비귀속"),""))</f>
        <v/>
      </c>
      <c r="AG336" s="96">
        <f>IF($A336="",0,IF(AND(AE336&lt;&gt;"직접",IFERROR(INDEX(계정매핑!$G$5:$G$504,MATCH($F336&amp;"",계정매핑!$A$5:$A$504,0))&amp;"","")="유지비",COUNTIF(계정대체기준!$A$6:$A$15,$N336)&gt;0),IFERROR(INDEX(계정대체기준!$E$6:$E$15,MATCH(VALUE($A336&amp;""),계정대체기준!$D$6:$D$15,0)),0),0))</f>
        <v/>
      </c>
      <c r="AH336" s="64">
        <f>IF($A336="","",IF(AD336=0,"",IF(OR(COUNTIF(계정대체기준!$A$77:$A$86,$N336)&gt;0,ISNUMBER(MATCH($X336,계정대체기준!$D$77:$D$86,0)),ISNUMBER(MATCH($F336,계정대체기준!$D$77:$D$86,0))),"Y","N")))</f>
        <v/>
      </c>
    </row>
    <row r="337">
      <c r="A337" s="92" t="n">
        <v>2025</v>
      </c>
      <c r="B337" s="92" t="n">
        <v>2</v>
      </c>
      <c r="C337" s="92" t="inlineStr">
        <is>
          <t>5100000333</t>
        </is>
      </c>
      <c r="D337" s="95" t="n">
        <v>45701</v>
      </c>
      <c r="E337" s="92" t="inlineStr">
        <is>
          <t>KR</t>
        </is>
      </c>
      <c r="F337" s="92" t="n">
        <v>62102000</v>
      </c>
      <c r="G337" s="92" t="n">
        <v>1801</v>
      </c>
      <c r="H337" s="93" t="n">
        <v>26000</v>
      </c>
      <c r="I337" s="92" t="inlineStr">
        <is>
          <t>2월 해외출장 - M항공</t>
        </is>
      </c>
      <c r="J337" s="92" t="inlineStr">
        <is>
          <t>V10001</t>
        </is>
      </c>
      <c r="K337" s="92" t="inlineStr">
        <is>
          <t>M항공</t>
        </is>
      </c>
      <c r="M337" s="9">
        <f>IF($A337="","",VALUE($A337&amp;"")*12+VALUE($B337&amp;""))</f>
        <v/>
      </c>
      <c r="N337" s="64">
        <f>IF($A337="","",IFERROR(INDEX(부서매핑!$C$5:$C$504,MATCH($G337&amp;"",부서매핑!$A$5:$A$504,0)),"미매핑"))</f>
        <v/>
      </c>
      <c r="O337" s="9">
        <f>IF($A337="","",N337&amp;"|"&amp;$F337)</f>
        <v/>
      </c>
      <c r="P337" s="94">
        <f>IF($A337="",0,$H337*설정!$C$23)</f>
        <v/>
      </c>
      <c r="Q337" s="64">
        <f>IF($A337="","",IF(O337&lt;&gt;원인분석!$C$9,"",IF(AND(M337&gt;=원인분석!$C$10,M337&lt;=원인분석!$C$11),"당기",IF(AND(M337&gt;=원인분석!$C$12,M337&lt;=원인분석!$C$13),"비교",""))))</f>
        <v/>
      </c>
      <c r="R337" s="9">
        <f>IF(Q337="","",$K337&amp;"")</f>
        <v/>
      </c>
      <c r="S337" s="9">
        <f>IF(Q337="","",IF(MATCH(R337,$R$5:$R$100000,0)=ROW()-4,ROW(),""))</f>
        <v/>
      </c>
      <c r="T337" s="9">
        <f>IF(Q337="당기",ABS(P337)+ROW()/1000000000,"")</f>
        <v/>
      </c>
      <c r="U337" s="9">
        <f>IF(Q337="비교",ABS(P337)+ROW()/1000000000,"")</f>
        <v/>
      </c>
      <c r="V337" s="64">
        <f>IF($A337="","",IF(COUNTIF(변동분석!$E$7:$E$506,O337)&gt;0,"Y","N"))</f>
        <v/>
      </c>
      <c r="W337" s="64">
        <f>IF($A337="","",IFERROR(INDEX(계정매핑!$D$5:$D$504,MATCH($F337&amp;"",계정매핑!$A$5:$A$504,0)),"미매핑"))</f>
        <v/>
      </c>
      <c r="X337" s="9">
        <f>IF($A337="","",$F337&amp;"")</f>
        <v/>
      </c>
      <c r="Y337" s="94">
        <f>IF($A337="",0,IF(AE337="직접",IF(AF337="비귀속",$P337,0),$P337*(1-AG337)*IFERROR(INDEX(계정대체기준!$F$20:$F$49,MATCH($N337,계정대체기준!$A$20:$A$49,0)),1)))</f>
        <v/>
      </c>
      <c r="Z337" s="94">
        <f>IF($A337="",0,IF(AE337="직접",IF(AF337="신계약비",$P337,0),$P337*(1-AG337)*IFERROR(INDEX(계정대체기준!$C$20:$C$49,MATCH($N337,계정대체기준!$A$20:$A$49,0)),0)))</f>
        <v/>
      </c>
      <c r="AA337" s="94">
        <f>IF($A337="",0,IF(AE337="직접",IF(OR(AF337="유지비",AF337="손해조사비"),$P337,0),$P337*(1-AG337)*IFERROR(INDEX(계정대체기준!$D$20:$D$49,MATCH($N337,계정대체기준!$A$20:$A$49,0)),0)))</f>
        <v/>
      </c>
      <c r="AB337" s="94">
        <f>IF($A337="",0,IF(AE337="직접",IF(AF337="수금비",$P337,0),$P337*(1-AG337)*IFERROR(INDEX(계정대체기준!$E$20:$E$49,MATCH($N337,계정대체기준!$A$20:$A$49,0)),0)))</f>
        <v/>
      </c>
      <c r="AC337" s="9">
        <f>IF(AND($A337&lt;&gt;"",M337=설정!$C$20,Z337&gt;0),Z337+ROW()/1000000000,"")</f>
        <v/>
      </c>
      <c r="AD337" s="94">
        <f>IF($A337="",0,$P337*AG337)</f>
        <v/>
      </c>
      <c r="AE337" s="64">
        <f>IF($A337="","",IFERROR(INDEX(계정매핑!$E$5:$E$504,MATCH($F337&amp;"",계정매핑!$A$5:$A$504,0))&amp;"","공통비"))</f>
        <v/>
      </c>
      <c r="AF337" s="64">
        <f>IF($A337="","",IF(AE337="직접",IFERROR(INDEX(계정매핑!$F$5:$F$504,MATCH($F337&amp;"",계정매핑!$A$5:$A$504,0))&amp;"","비귀속"),""))</f>
        <v/>
      </c>
      <c r="AG337" s="96">
        <f>IF($A337="",0,IF(AND(AE337&lt;&gt;"직접",IFERROR(INDEX(계정매핑!$G$5:$G$504,MATCH($F337&amp;"",계정매핑!$A$5:$A$504,0))&amp;"","")="유지비",COUNTIF(계정대체기준!$A$6:$A$15,$N337)&gt;0),IFERROR(INDEX(계정대체기준!$E$6:$E$15,MATCH(VALUE($A337&amp;""),계정대체기준!$D$6:$D$15,0)),0),0))</f>
        <v/>
      </c>
      <c r="AH337" s="64">
        <f>IF($A337="","",IF(AD337=0,"",IF(OR(COUNTIF(계정대체기준!$A$77:$A$86,$N337)&gt;0,ISNUMBER(MATCH($X337,계정대체기준!$D$77:$D$86,0)),ISNUMBER(MATCH($F337,계정대체기준!$D$77:$D$86,0))),"Y","N")))</f>
        <v/>
      </c>
    </row>
    <row r="338">
      <c r="A338" s="92" t="n">
        <v>2025</v>
      </c>
      <c r="B338" s="92" t="n">
        <v>2</v>
      </c>
      <c r="C338" s="92" t="inlineStr">
        <is>
          <t>5100000334</t>
        </is>
      </c>
      <c r="D338" s="95" t="n">
        <v>45701</v>
      </c>
      <c r="E338" s="92" t="inlineStr">
        <is>
          <t>KR</t>
        </is>
      </c>
      <c r="F338" s="92" t="n">
        <v>62301000</v>
      </c>
      <c r="G338" s="92" t="n">
        <v>1502</v>
      </c>
      <c r="H338" s="93" t="n">
        <v>190000</v>
      </c>
      <c r="I338" s="92" t="inlineStr">
        <is>
          <t>2월 소모품 구입 - Q오피스</t>
        </is>
      </c>
      <c r="J338" s="92" t="inlineStr">
        <is>
          <t>V10003</t>
        </is>
      </c>
      <c r="K338" s="92" t="inlineStr">
        <is>
          <t>Q오피스</t>
        </is>
      </c>
      <c r="M338" s="9">
        <f>IF($A338="","",VALUE($A338&amp;"")*12+VALUE($B338&amp;""))</f>
        <v/>
      </c>
      <c r="N338" s="64">
        <f>IF($A338="","",IFERROR(INDEX(부서매핑!$C$5:$C$504,MATCH($G338&amp;"",부서매핑!$A$5:$A$504,0)),"미매핑"))</f>
        <v/>
      </c>
      <c r="O338" s="9">
        <f>IF($A338="","",N338&amp;"|"&amp;$F338)</f>
        <v/>
      </c>
      <c r="P338" s="94">
        <f>IF($A338="",0,$H338*설정!$C$23)</f>
        <v/>
      </c>
      <c r="Q338" s="64">
        <f>IF($A338="","",IF(O338&lt;&gt;원인분석!$C$9,"",IF(AND(M338&gt;=원인분석!$C$10,M338&lt;=원인분석!$C$11),"당기",IF(AND(M338&gt;=원인분석!$C$12,M338&lt;=원인분석!$C$13),"비교",""))))</f>
        <v/>
      </c>
      <c r="R338" s="9">
        <f>IF(Q338="","",$K338&amp;"")</f>
        <v/>
      </c>
      <c r="S338" s="9">
        <f>IF(Q338="","",IF(MATCH(R338,$R$5:$R$100000,0)=ROW()-4,ROW(),""))</f>
        <v/>
      </c>
      <c r="T338" s="9">
        <f>IF(Q338="당기",ABS(P338)+ROW()/1000000000,"")</f>
        <v/>
      </c>
      <c r="U338" s="9">
        <f>IF(Q338="비교",ABS(P338)+ROW()/1000000000,"")</f>
        <v/>
      </c>
      <c r="V338" s="64">
        <f>IF($A338="","",IF(COUNTIF(변동분석!$E$7:$E$506,O338)&gt;0,"Y","N"))</f>
        <v/>
      </c>
      <c r="W338" s="64">
        <f>IF($A338="","",IFERROR(INDEX(계정매핑!$D$5:$D$504,MATCH($F338&amp;"",계정매핑!$A$5:$A$504,0)),"미매핑"))</f>
        <v/>
      </c>
      <c r="X338" s="9">
        <f>IF($A338="","",$F338&amp;"")</f>
        <v/>
      </c>
      <c r="Y338" s="94">
        <f>IF($A338="",0,IF(AE338="직접",IF(AF338="비귀속",$P338,0),$P338*(1-AG338)*IFERROR(INDEX(계정대체기준!$F$20:$F$49,MATCH($N338,계정대체기준!$A$20:$A$49,0)),1)))</f>
        <v/>
      </c>
      <c r="Z338" s="94">
        <f>IF($A338="",0,IF(AE338="직접",IF(AF338="신계약비",$P338,0),$P338*(1-AG338)*IFERROR(INDEX(계정대체기준!$C$20:$C$49,MATCH($N338,계정대체기준!$A$20:$A$49,0)),0)))</f>
        <v/>
      </c>
      <c r="AA338" s="94">
        <f>IF($A338="",0,IF(AE338="직접",IF(OR(AF338="유지비",AF338="손해조사비"),$P338,0),$P338*(1-AG338)*IFERROR(INDEX(계정대체기준!$D$20:$D$49,MATCH($N338,계정대체기준!$A$20:$A$49,0)),0)))</f>
        <v/>
      </c>
      <c r="AB338" s="94">
        <f>IF($A338="",0,IF(AE338="직접",IF(AF338="수금비",$P338,0),$P338*(1-AG338)*IFERROR(INDEX(계정대체기준!$E$20:$E$49,MATCH($N338,계정대체기준!$A$20:$A$49,0)),0)))</f>
        <v/>
      </c>
      <c r="AC338" s="9">
        <f>IF(AND($A338&lt;&gt;"",M338=설정!$C$20,Z338&gt;0),Z338+ROW()/1000000000,"")</f>
        <v/>
      </c>
      <c r="AD338" s="94">
        <f>IF($A338="",0,$P338*AG338)</f>
        <v/>
      </c>
      <c r="AE338" s="64">
        <f>IF($A338="","",IFERROR(INDEX(계정매핑!$E$5:$E$504,MATCH($F338&amp;"",계정매핑!$A$5:$A$504,0))&amp;"","공통비"))</f>
        <v/>
      </c>
      <c r="AF338" s="64">
        <f>IF($A338="","",IF(AE338="직접",IFERROR(INDEX(계정매핑!$F$5:$F$504,MATCH($F338&amp;"",계정매핑!$A$5:$A$504,0))&amp;"","비귀속"),""))</f>
        <v/>
      </c>
      <c r="AG338" s="96">
        <f>IF($A338="",0,IF(AND(AE338&lt;&gt;"직접",IFERROR(INDEX(계정매핑!$G$5:$G$504,MATCH($F338&amp;"",계정매핑!$A$5:$A$504,0))&amp;"","")="유지비",COUNTIF(계정대체기준!$A$6:$A$15,$N338)&gt;0),IFERROR(INDEX(계정대체기준!$E$6:$E$15,MATCH(VALUE($A338&amp;""),계정대체기준!$D$6:$D$15,0)),0),0))</f>
        <v/>
      </c>
      <c r="AH338" s="64">
        <f>IF($A338="","",IF(AD338=0,"",IF(OR(COUNTIF(계정대체기준!$A$77:$A$86,$N338)&gt;0,ISNUMBER(MATCH($X338,계정대체기준!$D$77:$D$86,0)),ISNUMBER(MATCH($F338,계정대체기준!$D$77:$D$86,0))),"Y","N")))</f>
        <v/>
      </c>
    </row>
    <row r="339">
      <c r="A339" s="92" t="n">
        <v>2025</v>
      </c>
      <c r="B339" s="92" t="n">
        <v>2</v>
      </c>
      <c r="C339" s="92" t="inlineStr">
        <is>
          <t>5100000335</t>
        </is>
      </c>
      <c r="D339" s="95" t="n">
        <v>45701</v>
      </c>
      <c r="E339" s="92" t="inlineStr">
        <is>
          <t>KR</t>
        </is>
      </c>
      <c r="F339" s="92" t="n">
        <v>62501000</v>
      </c>
      <c r="G339" s="92" t="n">
        <v>1601</v>
      </c>
      <c r="H339" s="93" t="n">
        <v>314000</v>
      </c>
      <c r="I339" s="92" t="inlineStr">
        <is>
          <t>2월 회의 다과 - T케이터링</t>
        </is>
      </c>
      <c r="J339" s="92" t="inlineStr">
        <is>
          <t>V10005</t>
        </is>
      </c>
      <c r="K339" s="92" t="inlineStr">
        <is>
          <t>T케이터링</t>
        </is>
      </c>
      <c r="M339" s="9">
        <f>IF($A339="","",VALUE($A339&amp;"")*12+VALUE($B339&amp;""))</f>
        <v/>
      </c>
      <c r="N339" s="64">
        <f>IF($A339="","",IFERROR(INDEX(부서매핑!$C$5:$C$504,MATCH($G339&amp;"",부서매핑!$A$5:$A$504,0)),"미매핑"))</f>
        <v/>
      </c>
      <c r="O339" s="9">
        <f>IF($A339="","",N339&amp;"|"&amp;$F339)</f>
        <v/>
      </c>
      <c r="P339" s="94">
        <f>IF($A339="",0,$H339*설정!$C$23)</f>
        <v/>
      </c>
      <c r="Q339" s="64">
        <f>IF($A339="","",IF(O339&lt;&gt;원인분석!$C$9,"",IF(AND(M339&gt;=원인분석!$C$10,M339&lt;=원인분석!$C$11),"당기",IF(AND(M339&gt;=원인분석!$C$12,M339&lt;=원인분석!$C$13),"비교",""))))</f>
        <v/>
      </c>
      <c r="R339" s="9">
        <f>IF(Q339="","",$K339&amp;"")</f>
        <v/>
      </c>
      <c r="S339" s="9">
        <f>IF(Q339="","",IF(MATCH(R339,$R$5:$R$100000,0)=ROW()-4,ROW(),""))</f>
        <v/>
      </c>
      <c r="T339" s="9">
        <f>IF(Q339="당기",ABS(P339)+ROW()/1000000000,"")</f>
        <v/>
      </c>
      <c r="U339" s="9">
        <f>IF(Q339="비교",ABS(P339)+ROW()/1000000000,"")</f>
        <v/>
      </c>
      <c r="V339" s="64">
        <f>IF($A339="","",IF(COUNTIF(변동분석!$E$7:$E$506,O339)&gt;0,"Y","N"))</f>
        <v/>
      </c>
      <c r="W339" s="64">
        <f>IF($A339="","",IFERROR(INDEX(계정매핑!$D$5:$D$504,MATCH($F339&amp;"",계정매핑!$A$5:$A$504,0)),"미매핑"))</f>
        <v/>
      </c>
      <c r="X339" s="9">
        <f>IF($A339="","",$F339&amp;"")</f>
        <v/>
      </c>
      <c r="Y339" s="94">
        <f>IF($A339="",0,IF(AE339="직접",IF(AF339="비귀속",$P339,0),$P339*(1-AG339)*IFERROR(INDEX(계정대체기준!$F$20:$F$49,MATCH($N339,계정대체기준!$A$20:$A$49,0)),1)))</f>
        <v/>
      </c>
      <c r="Z339" s="94">
        <f>IF($A339="",0,IF(AE339="직접",IF(AF339="신계약비",$P339,0),$P339*(1-AG339)*IFERROR(INDEX(계정대체기준!$C$20:$C$49,MATCH($N339,계정대체기준!$A$20:$A$49,0)),0)))</f>
        <v/>
      </c>
      <c r="AA339" s="94">
        <f>IF($A339="",0,IF(AE339="직접",IF(OR(AF339="유지비",AF339="손해조사비"),$P339,0),$P339*(1-AG339)*IFERROR(INDEX(계정대체기준!$D$20:$D$49,MATCH($N339,계정대체기준!$A$20:$A$49,0)),0)))</f>
        <v/>
      </c>
      <c r="AB339" s="94">
        <f>IF($A339="",0,IF(AE339="직접",IF(AF339="수금비",$P339,0),$P339*(1-AG339)*IFERROR(INDEX(계정대체기준!$E$20:$E$49,MATCH($N339,계정대체기준!$A$20:$A$49,0)),0)))</f>
        <v/>
      </c>
      <c r="AC339" s="9">
        <f>IF(AND($A339&lt;&gt;"",M339=설정!$C$20,Z339&gt;0),Z339+ROW()/1000000000,"")</f>
        <v/>
      </c>
      <c r="AD339" s="94">
        <f>IF($A339="",0,$P339*AG339)</f>
        <v/>
      </c>
      <c r="AE339" s="64">
        <f>IF($A339="","",IFERROR(INDEX(계정매핑!$E$5:$E$504,MATCH($F339&amp;"",계정매핑!$A$5:$A$504,0))&amp;"","공통비"))</f>
        <v/>
      </c>
      <c r="AF339" s="64">
        <f>IF($A339="","",IF(AE339="직접",IFERROR(INDEX(계정매핑!$F$5:$F$504,MATCH($F339&amp;"",계정매핑!$A$5:$A$504,0))&amp;"","비귀속"),""))</f>
        <v/>
      </c>
      <c r="AG339" s="96">
        <f>IF($A339="",0,IF(AND(AE339&lt;&gt;"직접",IFERROR(INDEX(계정매핑!$G$5:$G$504,MATCH($F339&amp;"",계정매핑!$A$5:$A$504,0))&amp;"","")="유지비",COUNTIF(계정대체기준!$A$6:$A$15,$N339)&gt;0),IFERROR(INDEX(계정대체기준!$E$6:$E$15,MATCH(VALUE($A339&amp;""),계정대체기준!$D$6:$D$15,0)),0),0))</f>
        <v/>
      </c>
      <c r="AH339" s="64">
        <f>IF($A339="","",IF(AD339=0,"",IF(OR(COUNTIF(계정대체기준!$A$77:$A$86,$N339)&gt;0,ISNUMBER(MATCH($X339,계정대체기준!$D$77:$D$86,0)),ISNUMBER(MATCH($F339,계정대체기준!$D$77:$D$86,0))),"Y","N")))</f>
        <v/>
      </c>
    </row>
    <row r="340">
      <c r="A340" s="92" t="n">
        <v>2025</v>
      </c>
      <c r="B340" s="92" t="n">
        <v>2</v>
      </c>
      <c r="C340" s="92" t="inlineStr">
        <is>
          <t>5100000336</t>
        </is>
      </c>
      <c r="D340" s="95" t="n">
        <v>45701</v>
      </c>
      <c r="E340" s="92" t="inlineStr">
        <is>
          <t>KR</t>
        </is>
      </c>
      <c r="F340" s="92" t="n">
        <v>62501000</v>
      </c>
      <c r="G340" s="92" t="n">
        <v>1701</v>
      </c>
      <c r="H340" s="93" t="n">
        <v>138000</v>
      </c>
      <c r="I340" s="92" t="inlineStr">
        <is>
          <t>2월 회의 다과 - T케이터링</t>
        </is>
      </c>
      <c r="J340" s="92" t="inlineStr">
        <is>
          <t>V10005</t>
        </is>
      </c>
      <c r="K340" s="92" t="inlineStr">
        <is>
          <t>T케이터링</t>
        </is>
      </c>
      <c r="M340" s="9">
        <f>IF($A340="","",VALUE($A340&amp;"")*12+VALUE($B340&amp;""))</f>
        <v/>
      </c>
      <c r="N340" s="64">
        <f>IF($A340="","",IFERROR(INDEX(부서매핑!$C$5:$C$504,MATCH($G340&amp;"",부서매핑!$A$5:$A$504,0)),"미매핑"))</f>
        <v/>
      </c>
      <c r="O340" s="9">
        <f>IF($A340="","",N340&amp;"|"&amp;$F340)</f>
        <v/>
      </c>
      <c r="P340" s="94">
        <f>IF($A340="",0,$H340*설정!$C$23)</f>
        <v/>
      </c>
      <c r="Q340" s="64">
        <f>IF($A340="","",IF(O340&lt;&gt;원인분석!$C$9,"",IF(AND(M340&gt;=원인분석!$C$10,M340&lt;=원인분석!$C$11),"당기",IF(AND(M340&gt;=원인분석!$C$12,M340&lt;=원인분석!$C$13),"비교",""))))</f>
        <v/>
      </c>
      <c r="R340" s="9">
        <f>IF(Q340="","",$K340&amp;"")</f>
        <v/>
      </c>
      <c r="S340" s="9">
        <f>IF(Q340="","",IF(MATCH(R340,$R$5:$R$100000,0)=ROW()-4,ROW(),""))</f>
        <v/>
      </c>
      <c r="T340" s="9">
        <f>IF(Q340="당기",ABS(P340)+ROW()/1000000000,"")</f>
        <v/>
      </c>
      <c r="U340" s="9">
        <f>IF(Q340="비교",ABS(P340)+ROW()/1000000000,"")</f>
        <v/>
      </c>
      <c r="V340" s="64">
        <f>IF($A340="","",IF(COUNTIF(변동분석!$E$7:$E$506,O340)&gt;0,"Y","N"))</f>
        <v/>
      </c>
      <c r="W340" s="64">
        <f>IF($A340="","",IFERROR(INDEX(계정매핑!$D$5:$D$504,MATCH($F340&amp;"",계정매핑!$A$5:$A$504,0)),"미매핑"))</f>
        <v/>
      </c>
      <c r="X340" s="9">
        <f>IF($A340="","",$F340&amp;"")</f>
        <v/>
      </c>
      <c r="Y340" s="94">
        <f>IF($A340="",0,IF(AE340="직접",IF(AF340="비귀속",$P340,0),$P340*(1-AG340)*IFERROR(INDEX(계정대체기준!$F$20:$F$49,MATCH($N340,계정대체기준!$A$20:$A$49,0)),1)))</f>
        <v/>
      </c>
      <c r="Z340" s="94">
        <f>IF($A340="",0,IF(AE340="직접",IF(AF340="신계약비",$P340,0),$P340*(1-AG340)*IFERROR(INDEX(계정대체기준!$C$20:$C$49,MATCH($N340,계정대체기준!$A$20:$A$49,0)),0)))</f>
        <v/>
      </c>
      <c r="AA340" s="94">
        <f>IF($A340="",0,IF(AE340="직접",IF(OR(AF340="유지비",AF340="손해조사비"),$P340,0),$P340*(1-AG340)*IFERROR(INDEX(계정대체기준!$D$20:$D$49,MATCH($N340,계정대체기준!$A$20:$A$49,0)),0)))</f>
        <v/>
      </c>
      <c r="AB340" s="94">
        <f>IF($A340="",0,IF(AE340="직접",IF(AF340="수금비",$P340,0),$P340*(1-AG340)*IFERROR(INDEX(계정대체기준!$E$20:$E$49,MATCH($N340,계정대체기준!$A$20:$A$49,0)),0)))</f>
        <v/>
      </c>
      <c r="AC340" s="9">
        <f>IF(AND($A340&lt;&gt;"",M340=설정!$C$20,Z340&gt;0),Z340+ROW()/1000000000,"")</f>
        <v/>
      </c>
      <c r="AD340" s="94">
        <f>IF($A340="",0,$P340*AG340)</f>
        <v/>
      </c>
      <c r="AE340" s="64">
        <f>IF($A340="","",IFERROR(INDEX(계정매핑!$E$5:$E$504,MATCH($F340&amp;"",계정매핑!$A$5:$A$504,0))&amp;"","공통비"))</f>
        <v/>
      </c>
      <c r="AF340" s="64">
        <f>IF($A340="","",IF(AE340="직접",IFERROR(INDEX(계정매핑!$F$5:$F$504,MATCH($F340&amp;"",계정매핑!$A$5:$A$504,0))&amp;"","비귀속"),""))</f>
        <v/>
      </c>
      <c r="AG340" s="96">
        <f>IF($A340="",0,IF(AND(AE340&lt;&gt;"직접",IFERROR(INDEX(계정매핑!$G$5:$G$504,MATCH($F340&amp;"",계정매핑!$A$5:$A$504,0))&amp;"","")="유지비",COUNTIF(계정대체기준!$A$6:$A$15,$N340)&gt;0),IFERROR(INDEX(계정대체기준!$E$6:$E$15,MATCH(VALUE($A340&amp;""),계정대체기준!$D$6:$D$15,0)),0),0))</f>
        <v/>
      </c>
      <c r="AH340" s="64">
        <f>IF($A340="","",IF(AD340=0,"",IF(OR(COUNTIF(계정대체기준!$A$77:$A$86,$N340)&gt;0,ISNUMBER(MATCH($X340,계정대체기준!$D$77:$D$86,0)),ISNUMBER(MATCH($F340,계정대체기준!$D$77:$D$86,0))),"Y","N")))</f>
        <v/>
      </c>
    </row>
    <row r="341">
      <c r="A341" s="92" t="n">
        <v>2025</v>
      </c>
      <c r="B341" s="92" t="n">
        <v>2</v>
      </c>
      <c r="C341" s="92" t="inlineStr">
        <is>
          <t>5100000337</t>
        </is>
      </c>
      <c r="D341" s="95" t="n">
        <v>45701</v>
      </c>
      <c r="E341" s="92" t="inlineStr">
        <is>
          <t>KR</t>
        </is>
      </c>
      <c r="F341" s="92" t="n">
        <v>63001000</v>
      </c>
      <c r="G341" s="92" t="n">
        <v>1951</v>
      </c>
      <c r="H341" s="93" t="n">
        <v>3083000</v>
      </c>
      <c r="I341" s="92" t="inlineStr">
        <is>
          <t>2월 SW 유지보수 - Y소프트</t>
        </is>
      </c>
      <c r="J341" s="92" t="inlineStr">
        <is>
          <t>V10017</t>
        </is>
      </c>
      <c r="K341" s="92" t="inlineStr">
        <is>
          <t>Y소프트</t>
        </is>
      </c>
      <c r="M341" s="9">
        <f>IF($A341="","",VALUE($A341&amp;"")*12+VALUE($B341&amp;""))</f>
        <v/>
      </c>
      <c r="N341" s="64">
        <f>IF($A341="","",IFERROR(INDEX(부서매핑!$C$5:$C$504,MATCH($G341&amp;"",부서매핑!$A$5:$A$504,0)),"미매핑"))</f>
        <v/>
      </c>
      <c r="O341" s="9">
        <f>IF($A341="","",N341&amp;"|"&amp;$F341)</f>
        <v/>
      </c>
      <c r="P341" s="94">
        <f>IF($A341="",0,$H341*설정!$C$23)</f>
        <v/>
      </c>
      <c r="Q341" s="64">
        <f>IF($A341="","",IF(O341&lt;&gt;원인분석!$C$9,"",IF(AND(M341&gt;=원인분석!$C$10,M341&lt;=원인분석!$C$11),"당기",IF(AND(M341&gt;=원인분석!$C$12,M341&lt;=원인분석!$C$13),"비교",""))))</f>
        <v/>
      </c>
      <c r="R341" s="9">
        <f>IF(Q341="","",$K341&amp;"")</f>
        <v/>
      </c>
      <c r="S341" s="9">
        <f>IF(Q341="","",IF(MATCH(R341,$R$5:$R$100000,0)=ROW()-4,ROW(),""))</f>
        <v/>
      </c>
      <c r="T341" s="9">
        <f>IF(Q341="당기",ABS(P341)+ROW()/1000000000,"")</f>
        <v/>
      </c>
      <c r="U341" s="9">
        <f>IF(Q341="비교",ABS(P341)+ROW()/1000000000,"")</f>
        <v/>
      </c>
      <c r="V341" s="64">
        <f>IF($A341="","",IF(COUNTIF(변동분석!$E$7:$E$506,O341)&gt;0,"Y","N"))</f>
        <v/>
      </c>
      <c r="W341" s="64">
        <f>IF($A341="","",IFERROR(INDEX(계정매핑!$D$5:$D$504,MATCH($F341&amp;"",계정매핑!$A$5:$A$504,0)),"미매핑"))</f>
        <v/>
      </c>
      <c r="X341" s="9">
        <f>IF($A341="","",$F341&amp;"")</f>
        <v/>
      </c>
      <c r="Y341" s="94">
        <f>IF($A341="",0,IF(AE341="직접",IF(AF341="비귀속",$P341,0),$P341*(1-AG341)*IFERROR(INDEX(계정대체기준!$F$20:$F$49,MATCH($N341,계정대체기준!$A$20:$A$49,0)),1)))</f>
        <v/>
      </c>
      <c r="Z341" s="94">
        <f>IF($A341="",0,IF(AE341="직접",IF(AF341="신계약비",$P341,0),$P341*(1-AG341)*IFERROR(INDEX(계정대체기준!$C$20:$C$49,MATCH($N341,계정대체기준!$A$20:$A$49,0)),0)))</f>
        <v/>
      </c>
      <c r="AA341" s="94">
        <f>IF($A341="",0,IF(AE341="직접",IF(OR(AF341="유지비",AF341="손해조사비"),$P341,0),$P341*(1-AG341)*IFERROR(INDEX(계정대체기준!$D$20:$D$49,MATCH($N341,계정대체기준!$A$20:$A$49,0)),0)))</f>
        <v/>
      </c>
      <c r="AB341" s="94">
        <f>IF($A341="",0,IF(AE341="직접",IF(AF341="수금비",$P341,0),$P341*(1-AG341)*IFERROR(INDEX(계정대체기준!$E$20:$E$49,MATCH($N341,계정대체기준!$A$20:$A$49,0)),0)))</f>
        <v/>
      </c>
      <c r="AC341" s="9">
        <f>IF(AND($A341&lt;&gt;"",M341=설정!$C$20,Z341&gt;0),Z341+ROW()/1000000000,"")</f>
        <v/>
      </c>
      <c r="AD341" s="94">
        <f>IF($A341="",0,$P341*AG341)</f>
        <v/>
      </c>
      <c r="AE341" s="64">
        <f>IF($A341="","",IFERROR(INDEX(계정매핑!$E$5:$E$504,MATCH($F341&amp;"",계정매핑!$A$5:$A$504,0))&amp;"","공통비"))</f>
        <v/>
      </c>
      <c r="AF341" s="64">
        <f>IF($A341="","",IF(AE341="직접",IFERROR(INDEX(계정매핑!$F$5:$F$504,MATCH($F341&amp;"",계정매핑!$A$5:$A$504,0))&amp;"","비귀속"),""))</f>
        <v/>
      </c>
      <c r="AG341" s="96">
        <f>IF($A341="",0,IF(AND(AE341&lt;&gt;"직접",IFERROR(INDEX(계정매핑!$G$5:$G$504,MATCH($F341&amp;"",계정매핑!$A$5:$A$504,0))&amp;"","")="유지비",COUNTIF(계정대체기준!$A$6:$A$15,$N341)&gt;0),IFERROR(INDEX(계정대체기준!$E$6:$E$15,MATCH(VALUE($A341&amp;""),계정대체기준!$D$6:$D$15,0)),0),0))</f>
        <v/>
      </c>
      <c r="AH341" s="64">
        <f>IF($A341="","",IF(AD341=0,"",IF(OR(COUNTIF(계정대체기준!$A$77:$A$86,$N341)&gt;0,ISNUMBER(MATCH($X341,계정대체기준!$D$77:$D$86,0)),ISNUMBER(MATCH($F341,계정대체기준!$D$77:$D$86,0))),"Y","N")))</f>
        <v/>
      </c>
    </row>
    <row r="342">
      <c r="A342" s="92" t="n">
        <v>2025</v>
      </c>
      <c r="B342" s="92" t="n">
        <v>2</v>
      </c>
      <c r="C342" s="92" t="inlineStr">
        <is>
          <t>5100000338</t>
        </is>
      </c>
      <c r="D342" s="95" t="n">
        <v>45702</v>
      </c>
      <c r="E342" s="92" t="inlineStr">
        <is>
          <t>KR</t>
        </is>
      </c>
      <c r="F342" s="92" t="n">
        <v>62101000</v>
      </c>
      <c r="G342" s="92" t="n">
        <v>1701</v>
      </c>
      <c r="H342" s="93" t="n">
        <v>195000</v>
      </c>
      <c r="I342" s="92" t="inlineStr">
        <is>
          <t>2월 국내출장 - L여행사</t>
        </is>
      </c>
      <c r="J342" s="92" t="inlineStr">
        <is>
          <t>V10018</t>
        </is>
      </c>
      <c r="K342" s="92" t="inlineStr">
        <is>
          <t>L여행사</t>
        </is>
      </c>
      <c r="M342" s="9">
        <f>IF($A342="","",VALUE($A342&amp;"")*12+VALUE($B342&amp;""))</f>
        <v/>
      </c>
      <c r="N342" s="64">
        <f>IF($A342="","",IFERROR(INDEX(부서매핑!$C$5:$C$504,MATCH($G342&amp;"",부서매핑!$A$5:$A$504,0)),"미매핑"))</f>
        <v/>
      </c>
      <c r="O342" s="9">
        <f>IF($A342="","",N342&amp;"|"&amp;$F342)</f>
        <v/>
      </c>
      <c r="P342" s="94">
        <f>IF($A342="",0,$H342*설정!$C$23)</f>
        <v/>
      </c>
      <c r="Q342" s="64">
        <f>IF($A342="","",IF(O342&lt;&gt;원인분석!$C$9,"",IF(AND(M342&gt;=원인분석!$C$10,M342&lt;=원인분석!$C$11),"당기",IF(AND(M342&gt;=원인분석!$C$12,M342&lt;=원인분석!$C$13),"비교",""))))</f>
        <v/>
      </c>
      <c r="R342" s="9">
        <f>IF(Q342="","",$K342&amp;"")</f>
        <v/>
      </c>
      <c r="S342" s="9">
        <f>IF(Q342="","",IF(MATCH(R342,$R$5:$R$100000,0)=ROW()-4,ROW(),""))</f>
        <v/>
      </c>
      <c r="T342" s="9">
        <f>IF(Q342="당기",ABS(P342)+ROW()/1000000000,"")</f>
        <v/>
      </c>
      <c r="U342" s="9">
        <f>IF(Q342="비교",ABS(P342)+ROW()/1000000000,"")</f>
        <v/>
      </c>
      <c r="V342" s="64">
        <f>IF($A342="","",IF(COUNTIF(변동분석!$E$7:$E$506,O342)&gt;0,"Y","N"))</f>
        <v/>
      </c>
      <c r="W342" s="64">
        <f>IF($A342="","",IFERROR(INDEX(계정매핑!$D$5:$D$504,MATCH($F342&amp;"",계정매핑!$A$5:$A$504,0)),"미매핑"))</f>
        <v/>
      </c>
      <c r="X342" s="9">
        <f>IF($A342="","",$F342&amp;"")</f>
        <v/>
      </c>
      <c r="Y342" s="94">
        <f>IF($A342="",0,IF(AE342="직접",IF(AF342="비귀속",$P342,0),$P342*(1-AG342)*IFERROR(INDEX(계정대체기준!$F$20:$F$49,MATCH($N342,계정대체기준!$A$20:$A$49,0)),1)))</f>
        <v/>
      </c>
      <c r="Z342" s="94">
        <f>IF($A342="",0,IF(AE342="직접",IF(AF342="신계약비",$P342,0),$P342*(1-AG342)*IFERROR(INDEX(계정대체기준!$C$20:$C$49,MATCH($N342,계정대체기준!$A$20:$A$49,0)),0)))</f>
        <v/>
      </c>
      <c r="AA342" s="94">
        <f>IF($A342="",0,IF(AE342="직접",IF(OR(AF342="유지비",AF342="손해조사비"),$P342,0),$P342*(1-AG342)*IFERROR(INDEX(계정대체기준!$D$20:$D$49,MATCH($N342,계정대체기준!$A$20:$A$49,0)),0)))</f>
        <v/>
      </c>
      <c r="AB342" s="94">
        <f>IF($A342="",0,IF(AE342="직접",IF(AF342="수금비",$P342,0),$P342*(1-AG342)*IFERROR(INDEX(계정대체기준!$E$20:$E$49,MATCH($N342,계정대체기준!$A$20:$A$49,0)),0)))</f>
        <v/>
      </c>
      <c r="AC342" s="9">
        <f>IF(AND($A342&lt;&gt;"",M342=설정!$C$20,Z342&gt;0),Z342+ROW()/1000000000,"")</f>
        <v/>
      </c>
      <c r="AD342" s="94">
        <f>IF($A342="",0,$P342*AG342)</f>
        <v/>
      </c>
      <c r="AE342" s="64">
        <f>IF($A342="","",IFERROR(INDEX(계정매핑!$E$5:$E$504,MATCH($F342&amp;"",계정매핑!$A$5:$A$504,0))&amp;"","공통비"))</f>
        <v/>
      </c>
      <c r="AF342" s="64">
        <f>IF($A342="","",IF(AE342="직접",IFERROR(INDEX(계정매핑!$F$5:$F$504,MATCH($F342&amp;"",계정매핑!$A$5:$A$504,0))&amp;"","비귀속"),""))</f>
        <v/>
      </c>
      <c r="AG342" s="96">
        <f>IF($A342="",0,IF(AND(AE342&lt;&gt;"직접",IFERROR(INDEX(계정매핑!$G$5:$G$504,MATCH($F342&amp;"",계정매핑!$A$5:$A$504,0))&amp;"","")="유지비",COUNTIF(계정대체기준!$A$6:$A$15,$N342)&gt;0),IFERROR(INDEX(계정대체기준!$E$6:$E$15,MATCH(VALUE($A342&amp;""),계정대체기준!$D$6:$D$15,0)),0),0))</f>
        <v/>
      </c>
      <c r="AH342" s="64">
        <f>IF($A342="","",IF(AD342=0,"",IF(OR(COUNTIF(계정대체기준!$A$77:$A$86,$N342)&gt;0,ISNUMBER(MATCH($X342,계정대체기준!$D$77:$D$86,0)),ISNUMBER(MATCH($F342,계정대체기준!$D$77:$D$86,0))),"Y","N")))</f>
        <v/>
      </c>
    </row>
    <row r="343">
      <c r="A343" s="92" t="n">
        <v>2025</v>
      </c>
      <c r="B343" s="92" t="n">
        <v>2</v>
      </c>
      <c r="C343" s="92" t="inlineStr">
        <is>
          <t>5100000339</t>
        </is>
      </c>
      <c r="D343" s="95" t="n">
        <v>45702</v>
      </c>
      <c r="E343" s="92" t="inlineStr">
        <is>
          <t>KR</t>
        </is>
      </c>
      <c r="F343" s="92" t="n">
        <v>62102000</v>
      </c>
      <c r="G343" s="92" t="n">
        <v>1401</v>
      </c>
      <c r="H343" s="93" t="n">
        <v>55000</v>
      </c>
      <c r="I343" s="92" t="inlineStr">
        <is>
          <t>2월 해외출장 - N호텔</t>
        </is>
      </c>
      <c r="J343" s="92" t="inlineStr">
        <is>
          <t>V10009</t>
        </is>
      </c>
      <c r="K343" s="92" t="inlineStr">
        <is>
          <t>N호텔</t>
        </is>
      </c>
      <c r="M343" s="9">
        <f>IF($A343="","",VALUE($A343&amp;"")*12+VALUE($B343&amp;""))</f>
        <v/>
      </c>
      <c r="N343" s="64">
        <f>IF($A343="","",IFERROR(INDEX(부서매핑!$C$5:$C$504,MATCH($G343&amp;"",부서매핑!$A$5:$A$504,0)),"미매핑"))</f>
        <v/>
      </c>
      <c r="O343" s="9">
        <f>IF($A343="","",N343&amp;"|"&amp;$F343)</f>
        <v/>
      </c>
      <c r="P343" s="94">
        <f>IF($A343="",0,$H343*설정!$C$23)</f>
        <v/>
      </c>
      <c r="Q343" s="64">
        <f>IF($A343="","",IF(O343&lt;&gt;원인분석!$C$9,"",IF(AND(M343&gt;=원인분석!$C$10,M343&lt;=원인분석!$C$11),"당기",IF(AND(M343&gt;=원인분석!$C$12,M343&lt;=원인분석!$C$13),"비교",""))))</f>
        <v/>
      </c>
      <c r="R343" s="9">
        <f>IF(Q343="","",$K343&amp;"")</f>
        <v/>
      </c>
      <c r="S343" s="9">
        <f>IF(Q343="","",IF(MATCH(R343,$R$5:$R$100000,0)=ROW()-4,ROW(),""))</f>
        <v/>
      </c>
      <c r="T343" s="9">
        <f>IF(Q343="당기",ABS(P343)+ROW()/1000000000,"")</f>
        <v/>
      </c>
      <c r="U343" s="9">
        <f>IF(Q343="비교",ABS(P343)+ROW()/1000000000,"")</f>
        <v/>
      </c>
      <c r="V343" s="64">
        <f>IF($A343="","",IF(COUNTIF(변동분석!$E$7:$E$506,O343)&gt;0,"Y","N"))</f>
        <v/>
      </c>
      <c r="W343" s="64">
        <f>IF($A343="","",IFERROR(INDEX(계정매핑!$D$5:$D$504,MATCH($F343&amp;"",계정매핑!$A$5:$A$504,0)),"미매핑"))</f>
        <v/>
      </c>
      <c r="X343" s="9">
        <f>IF($A343="","",$F343&amp;"")</f>
        <v/>
      </c>
      <c r="Y343" s="94">
        <f>IF($A343="",0,IF(AE343="직접",IF(AF343="비귀속",$P343,0),$P343*(1-AG343)*IFERROR(INDEX(계정대체기준!$F$20:$F$49,MATCH($N343,계정대체기준!$A$20:$A$49,0)),1)))</f>
        <v/>
      </c>
      <c r="Z343" s="94">
        <f>IF($A343="",0,IF(AE343="직접",IF(AF343="신계약비",$P343,0),$P343*(1-AG343)*IFERROR(INDEX(계정대체기준!$C$20:$C$49,MATCH($N343,계정대체기준!$A$20:$A$49,0)),0)))</f>
        <v/>
      </c>
      <c r="AA343" s="94">
        <f>IF($A343="",0,IF(AE343="직접",IF(OR(AF343="유지비",AF343="손해조사비"),$P343,0),$P343*(1-AG343)*IFERROR(INDEX(계정대체기준!$D$20:$D$49,MATCH($N343,계정대체기준!$A$20:$A$49,0)),0)))</f>
        <v/>
      </c>
      <c r="AB343" s="94">
        <f>IF($A343="",0,IF(AE343="직접",IF(AF343="수금비",$P343,0),$P343*(1-AG343)*IFERROR(INDEX(계정대체기준!$E$20:$E$49,MATCH($N343,계정대체기준!$A$20:$A$49,0)),0)))</f>
        <v/>
      </c>
      <c r="AC343" s="9">
        <f>IF(AND($A343&lt;&gt;"",M343=설정!$C$20,Z343&gt;0),Z343+ROW()/1000000000,"")</f>
        <v/>
      </c>
      <c r="AD343" s="94">
        <f>IF($A343="",0,$P343*AG343)</f>
        <v/>
      </c>
      <c r="AE343" s="64">
        <f>IF($A343="","",IFERROR(INDEX(계정매핑!$E$5:$E$504,MATCH($F343&amp;"",계정매핑!$A$5:$A$504,0))&amp;"","공통비"))</f>
        <v/>
      </c>
      <c r="AF343" s="64">
        <f>IF($A343="","",IF(AE343="직접",IFERROR(INDEX(계정매핑!$F$5:$F$504,MATCH($F343&amp;"",계정매핑!$A$5:$A$504,0))&amp;"","비귀속"),""))</f>
        <v/>
      </c>
      <c r="AG343" s="96">
        <f>IF($A343="",0,IF(AND(AE343&lt;&gt;"직접",IFERROR(INDEX(계정매핑!$G$5:$G$504,MATCH($F343&amp;"",계정매핑!$A$5:$A$504,0))&amp;"","")="유지비",COUNTIF(계정대체기준!$A$6:$A$15,$N343)&gt;0),IFERROR(INDEX(계정대체기준!$E$6:$E$15,MATCH(VALUE($A343&amp;""),계정대체기준!$D$6:$D$15,0)),0),0))</f>
        <v/>
      </c>
      <c r="AH343" s="64">
        <f>IF($A343="","",IF(AD343=0,"",IF(OR(COUNTIF(계정대체기준!$A$77:$A$86,$N343)&gt;0,ISNUMBER(MATCH($X343,계정대체기준!$D$77:$D$86,0)),ISNUMBER(MATCH($F343,계정대체기준!$D$77:$D$86,0))),"Y","N")))</f>
        <v/>
      </c>
    </row>
    <row r="344">
      <c r="A344" s="92" t="n">
        <v>2025</v>
      </c>
      <c r="B344" s="92" t="n">
        <v>2</v>
      </c>
      <c r="C344" s="92" t="inlineStr">
        <is>
          <t>5100000340</t>
        </is>
      </c>
      <c r="D344" s="95" t="n">
        <v>45702</v>
      </c>
      <c r="E344" s="92" t="inlineStr">
        <is>
          <t>KR</t>
        </is>
      </c>
      <c r="F344" s="92" t="n">
        <v>62102000</v>
      </c>
      <c r="G344" s="92" t="n">
        <v>1501</v>
      </c>
      <c r="H344" s="93" t="n">
        <v>158000</v>
      </c>
      <c r="I344" s="92" t="inlineStr">
        <is>
          <t>2월 해외출장 - N호텔</t>
        </is>
      </c>
      <c r="J344" s="92" t="inlineStr">
        <is>
          <t>V10009</t>
        </is>
      </c>
      <c r="K344" s="92" t="inlineStr">
        <is>
          <t>N호텔</t>
        </is>
      </c>
      <c r="M344" s="9">
        <f>IF($A344="","",VALUE($A344&amp;"")*12+VALUE($B344&amp;""))</f>
        <v/>
      </c>
      <c r="N344" s="64">
        <f>IF($A344="","",IFERROR(INDEX(부서매핑!$C$5:$C$504,MATCH($G344&amp;"",부서매핑!$A$5:$A$504,0)),"미매핑"))</f>
        <v/>
      </c>
      <c r="O344" s="9">
        <f>IF($A344="","",N344&amp;"|"&amp;$F344)</f>
        <v/>
      </c>
      <c r="P344" s="94">
        <f>IF($A344="",0,$H344*설정!$C$23)</f>
        <v/>
      </c>
      <c r="Q344" s="64">
        <f>IF($A344="","",IF(O344&lt;&gt;원인분석!$C$9,"",IF(AND(M344&gt;=원인분석!$C$10,M344&lt;=원인분석!$C$11),"당기",IF(AND(M344&gt;=원인분석!$C$12,M344&lt;=원인분석!$C$13),"비교",""))))</f>
        <v/>
      </c>
      <c r="R344" s="9">
        <f>IF(Q344="","",$K344&amp;"")</f>
        <v/>
      </c>
      <c r="S344" s="9">
        <f>IF(Q344="","",IF(MATCH(R344,$R$5:$R$100000,0)=ROW()-4,ROW(),""))</f>
        <v/>
      </c>
      <c r="T344" s="9">
        <f>IF(Q344="당기",ABS(P344)+ROW()/1000000000,"")</f>
        <v/>
      </c>
      <c r="U344" s="9">
        <f>IF(Q344="비교",ABS(P344)+ROW()/1000000000,"")</f>
        <v/>
      </c>
      <c r="V344" s="64">
        <f>IF($A344="","",IF(COUNTIF(변동분석!$E$7:$E$506,O344)&gt;0,"Y","N"))</f>
        <v/>
      </c>
      <c r="W344" s="64">
        <f>IF($A344="","",IFERROR(INDEX(계정매핑!$D$5:$D$504,MATCH($F344&amp;"",계정매핑!$A$5:$A$504,0)),"미매핑"))</f>
        <v/>
      </c>
      <c r="X344" s="9">
        <f>IF($A344="","",$F344&amp;"")</f>
        <v/>
      </c>
      <c r="Y344" s="94">
        <f>IF($A344="",0,IF(AE344="직접",IF(AF344="비귀속",$P344,0),$P344*(1-AG344)*IFERROR(INDEX(계정대체기준!$F$20:$F$49,MATCH($N344,계정대체기준!$A$20:$A$49,0)),1)))</f>
        <v/>
      </c>
      <c r="Z344" s="94">
        <f>IF($A344="",0,IF(AE344="직접",IF(AF344="신계약비",$P344,0),$P344*(1-AG344)*IFERROR(INDEX(계정대체기준!$C$20:$C$49,MATCH($N344,계정대체기준!$A$20:$A$49,0)),0)))</f>
        <v/>
      </c>
      <c r="AA344" s="94">
        <f>IF($A344="",0,IF(AE344="직접",IF(OR(AF344="유지비",AF344="손해조사비"),$P344,0),$P344*(1-AG344)*IFERROR(INDEX(계정대체기준!$D$20:$D$49,MATCH($N344,계정대체기준!$A$20:$A$49,0)),0)))</f>
        <v/>
      </c>
      <c r="AB344" s="94">
        <f>IF($A344="",0,IF(AE344="직접",IF(AF344="수금비",$P344,0),$P344*(1-AG344)*IFERROR(INDEX(계정대체기준!$E$20:$E$49,MATCH($N344,계정대체기준!$A$20:$A$49,0)),0)))</f>
        <v/>
      </c>
      <c r="AC344" s="9">
        <f>IF(AND($A344&lt;&gt;"",M344=설정!$C$20,Z344&gt;0),Z344+ROW()/1000000000,"")</f>
        <v/>
      </c>
      <c r="AD344" s="94">
        <f>IF($A344="",0,$P344*AG344)</f>
        <v/>
      </c>
      <c r="AE344" s="64">
        <f>IF($A344="","",IFERROR(INDEX(계정매핑!$E$5:$E$504,MATCH($F344&amp;"",계정매핑!$A$5:$A$504,0))&amp;"","공통비"))</f>
        <v/>
      </c>
      <c r="AF344" s="64">
        <f>IF($A344="","",IF(AE344="직접",IFERROR(INDEX(계정매핑!$F$5:$F$504,MATCH($F344&amp;"",계정매핑!$A$5:$A$504,0))&amp;"","비귀속"),""))</f>
        <v/>
      </c>
      <c r="AG344" s="96">
        <f>IF($A344="",0,IF(AND(AE344&lt;&gt;"직접",IFERROR(INDEX(계정매핑!$G$5:$G$504,MATCH($F344&amp;"",계정매핑!$A$5:$A$504,0))&amp;"","")="유지비",COUNTIF(계정대체기준!$A$6:$A$15,$N344)&gt;0),IFERROR(INDEX(계정대체기준!$E$6:$E$15,MATCH(VALUE($A344&amp;""),계정대체기준!$D$6:$D$15,0)),0),0))</f>
        <v/>
      </c>
      <c r="AH344" s="64">
        <f>IF($A344="","",IF(AD344=0,"",IF(OR(COUNTIF(계정대체기준!$A$77:$A$86,$N344)&gt;0,ISNUMBER(MATCH($X344,계정대체기준!$D$77:$D$86,0)),ISNUMBER(MATCH($F344,계정대체기준!$D$77:$D$86,0))),"Y","N")))</f>
        <v/>
      </c>
    </row>
    <row r="345">
      <c r="A345" s="92" t="n">
        <v>2025</v>
      </c>
      <c r="B345" s="92" t="n">
        <v>2</v>
      </c>
      <c r="C345" s="92" t="inlineStr">
        <is>
          <t>5100000341</t>
        </is>
      </c>
      <c r="D345" s="95" t="n">
        <v>45702</v>
      </c>
      <c r="E345" s="92" t="inlineStr">
        <is>
          <t>KR</t>
        </is>
      </c>
      <c r="F345" s="92" t="n">
        <v>62102000</v>
      </c>
      <c r="G345" s="92" t="n">
        <v>1701</v>
      </c>
      <c r="H345" s="93" t="n">
        <v>39000</v>
      </c>
      <c r="I345" s="92" t="inlineStr">
        <is>
          <t>2월 해외출장 - M항공</t>
        </is>
      </c>
      <c r="J345" s="92" t="inlineStr">
        <is>
          <t>V10001</t>
        </is>
      </c>
      <c r="K345" s="92" t="inlineStr">
        <is>
          <t>M항공</t>
        </is>
      </c>
      <c r="M345" s="9">
        <f>IF($A345="","",VALUE($A345&amp;"")*12+VALUE($B345&amp;""))</f>
        <v/>
      </c>
      <c r="N345" s="64">
        <f>IF($A345="","",IFERROR(INDEX(부서매핑!$C$5:$C$504,MATCH($G345&amp;"",부서매핑!$A$5:$A$504,0)),"미매핑"))</f>
        <v/>
      </c>
      <c r="O345" s="9">
        <f>IF($A345="","",N345&amp;"|"&amp;$F345)</f>
        <v/>
      </c>
      <c r="P345" s="94">
        <f>IF($A345="",0,$H345*설정!$C$23)</f>
        <v/>
      </c>
      <c r="Q345" s="64">
        <f>IF($A345="","",IF(O345&lt;&gt;원인분석!$C$9,"",IF(AND(M345&gt;=원인분석!$C$10,M345&lt;=원인분석!$C$11),"당기",IF(AND(M345&gt;=원인분석!$C$12,M345&lt;=원인분석!$C$13),"비교",""))))</f>
        <v/>
      </c>
      <c r="R345" s="9">
        <f>IF(Q345="","",$K345&amp;"")</f>
        <v/>
      </c>
      <c r="S345" s="9">
        <f>IF(Q345="","",IF(MATCH(R345,$R$5:$R$100000,0)=ROW()-4,ROW(),""))</f>
        <v/>
      </c>
      <c r="T345" s="9">
        <f>IF(Q345="당기",ABS(P345)+ROW()/1000000000,"")</f>
        <v/>
      </c>
      <c r="U345" s="9">
        <f>IF(Q345="비교",ABS(P345)+ROW()/1000000000,"")</f>
        <v/>
      </c>
      <c r="V345" s="64">
        <f>IF($A345="","",IF(COUNTIF(변동분석!$E$7:$E$506,O345)&gt;0,"Y","N"))</f>
        <v/>
      </c>
      <c r="W345" s="64">
        <f>IF($A345="","",IFERROR(INDEX(계정매핑!$D$5:$D$504,MATCH($F345&amp;"",계정매핑!$A$5:$A$504,0)),"미매핑"))</f>
        <v/>
      </c>
      <c r="X345" s="9">
        <f>IF($A345="","",$F345&amp;"")</f>
        <v/>
      </c>
      <c r="Y345" s="94">
        <f>IF($A345="",0,IF(AE345="직접",IF(AF345="비귀속",$P345,0),$P345*(1-AG345)*IFERROR(INDEX(계정대체기준!$F$20:$F$49,MATCH($N345,계정대체기준!$A$20:$A$49,0)),1)))</f>
        <v/>
      </c>
      <c r="Z345" s="94">
        <f>IF($A345="",0,IF(AE345="직접",IF(AF345="신계약비",$P345,0),$P345*(1-AG345)*IFERROR(INDEX(계정대체기준!$C$20:$C$49,MATCH($N345,계정대체기준!$A$20:$A$49,0)),0)))</f>
        <v/>
      </c>
      <c r="AA345" s="94">
        <f>IF($A345="",0,IF(AE345="직접",IF(OR(AF345="유지비",AF345="손해조사비"),$P345,0),$P345*(1-AG345)*IFERROR(INDEX(계정대체기준!$D$20:$D$49,MATCH($N345,계정대체기준!$A$20:$A$49,0)),0)))</f>
        <v/>
      </c>
      <c r="AB345" s="94">
        <f>IF($A345="",0,IF(AE345="직접",IF(AF345="수금비",$P345,0),$P345*(1-AG345)*IFERROR(INDEX(계정대체기준!$E$20:$E$49,MATCH($N345,계정대체기준!$A$20:$A$49,0)),0)))</f>
        <v/>
      </c>
      <c r="AC345" s="9">
        <f>IF(AND($A345&lt;&gt;"",M345=설정!$C$20,Z345&gt;0),Z345+ROW()/1000000000,"")</f>
        <v/>
      </c>
      <c r="AD345" s="94">
        <f>IF($A345="",0,$P345*AG345)</f>
        <v/>
      </c>
      <c r="AE345" s="64">
        <f>IF($A345="","",IFERROR(INDEX(계정매핑!$E$5:$E$504,MATCH($F345&amp;"",계정매핑!$A$5:$A$504,0))&amp;"","공통비"))</f>
        <v/>
      </c>
      <c r="AF345" s="64">
        <f>IF($A345="","",IF(AE345="직접",IFERROR(INDEX(계정매핑!$F$5:$F$504,MATCH($F345&amp;"",계정매핑!$A$5:$A$504,0))&amp;"","비귀속"),""))</f>
        <v/>
      </c>
      <c r="AG345" s="96">
        <f>IF($A345="",0,IF(AND(AE345&lt;&gt;"직접",IFERROR(INDEX(계정매핑!$G$5:$G$504,MATCH($F345&amp;"",계정매핑!$A$5:$A$504,0))&amp;"","")="유지비",COUNTIF(계정대체기준!$A$6:$A$15,$N345)&gt;0),IFERROR(INDEX(계정대체기준!$E$6:$E$15,MATCH(VALUE($A345&amp;""),계정대체기준!$D$6:$D$15,0)),0),0))</f>
        <v/>
      </c>
      <c r="AH345" s="64">
        <f>IF($A345="","",IF(AD345=0,"",IF(OR(COUNTIF(계정대체기준!$A$77:$A$86,$N345)&gt;0,ISNUMBER(MATCH($X345,계정대체기준!$D$77:$D$86,0)),ISNUMBER(MATCH($F345,계정대체기준!$D$77:$D$86,0))),"Y","N")))</f>
        <v/>
      </c>
    </row>
    <row r="346">
      <c r="A346" s="92" t="n">
        <v>2025</v>
      </c>
      <c r="B346" s="92" t="n">
        <v>2</v>
      </c>
      <c r="C346" s="92" t="inlineStr">
        <is>
          <t>5100000342</t>
        </is>
      </c>
      <c r="D346" s="95" t="n">
        <v>45702</v>
      </c>
      <c r="E346" s="92" t="inlineStr">
        <is>
          <t>KR</t>
        </is>
      </c>
      <c r="F346" s="92" t="n">
        <v>62501000</v>
      </c>
      <c r="G346" s="92" t="n">
        <v>1601</v>
      </c>
      <c r="H346" s="93" t="n">
        <v>392000</v>
      </c>
      <c r="I346" s="92" t="inlineStr">
        <is>
          <t>2월 회의 다과 - (법인카드)</t>
        </is>
      </c>
      <c r="J346" s="92" t="inlineStr">
        <is>
          <t>V10010</t>
        </is>
      </c>
      <c r="K346" s="92" t="inlineStr">
        <is>
          <t>(법인카드)</t>
        </is>
      </c>
      <c r="M346" s="9">
        <f>IF($A346="","",VALUE($A346&amp;"")*12+VALUE($B346&amp;""))</f>
        <v/>
      </c>
      <c r="N346" s="64">
        <f>IF($A346="","",IFERROR(INDEX(부서매핑!$C$5:$C$504,MATCH($G346&amp;"",부서매핑!$A$5:$A$504,0)),"미매핑"))</f>
        <v/>
      </c>
      <c r="O346" s="9">
        <f>IF($A346="","",N346&amp;"|"&amp;$F346)</f>
        <v/>
      </c>
      <c r="P346" s="94">
        <f>IF($A346="",0,$H346*설정!$C$23)</f>
        <v/>
      </c>
      <c r="Q346" s="64">
        <f>IF($A346="","",IF(O346&lt;&gt;원인분석!$C$9,"",IF(AND(M346&gt;=원인분석!$C$10,M346&lt;=원인분석!$C$11),"당기",IF(AND(M346&gt;=원인분석!$C$12,M346&lt;=원인분석!$C$13),"비교",""))))</f>
        <v/>
      </c>
      <c r="R346" s="9">
        <f>IF(Q346="","",$K346&amp;"")</f>
        <v/>
      </c>
      <c r="S346" s="9">
        <f>IF(Q346="","",IF(MATCH(R346,$R$5:$R$100000,0)=ROW()-4,ROW(),""))</f>
        <v/>
      </c>
      <c r="T346" s="9">
        <f>IF(Q346="당기",ABS(P346)+ROW()/1000000000,"")</f>
        <v/>
      </c>
      <c r="U346" s="9">
        <f>IF(Q346="비교",ABS(P346)+ROW()/1000000000,"")</f>
        <v/>
      </c>
      <c r="V346" s="64">
        <f>IF($A346="","",IF(COUNTIF(변동분석!$E$7:$E$506,O346)&gt;0,"Y","N"))</f>
        <v/>
      </c>
      <c r="W346" s="64">
        <f>IF($A346="","",IFERROR(INDEX(계정매핑!$D$5:$D$504,MATCH($F346&amp;"",계정매핑!$A$5:$A$504,0)),"미매핑"))</f>
        <v/>
      </c>
      <c r="X346" s="9">
        <f>IF($A346="","",$F346&amp;"")</f>
        <v/>
      </c>
      <c r="Y346" s="94">
        <f>IF($A346="",0,IF(AE346="직접",IF(AF346="비귀속",$P346,0),$P346*(1-AG346)*IFERROR(INDEX(계정대체기준!$F$20:$F$49,MATCH($N346,계정대체기준!$A$20:$A$49,0)),1)))</f>
        <v/>
      </c>
      <c r="Z346" s="94">
        <f>IF($A346="",0,IF(AE346="직접",IF(AF346="신계약비",$P346,0),$P346*(1-AG346)*IFERROR(INDEX(계정대체기준!$C$20:$C$49,MATCH($N346,계정대체기준!$A$20:$A$49,0)),0)))</f>
        <v/>
      </c>
      <c r="AA346" s="94">
        <f>IF($A346="",0,IF(AE346="직접",IF(OR(AF346="유지비",AF346="손해조사비"),$P346,0),$P346*(1-AG346)*IFERROR(INDEX(계정대체기준!$D$20:$D$49,MATCH($N346,계정대체기준!$A$20:$A$49,0)),0)))</f>
        <v/>
      </c>
      <c r="AB346" s="94">
        <f>IF($A346="",0,IF(AE346="직접",IF(AF346="수금비",$P346,0),$P346*(1-AG346)*IFERROR(INDEX(계정대체기준!$E$20:$E$49,MATCH($N346,계정대체기준!$A$20:$A$49,0)),0)))</f>
        <v/>
      </c>
      <c r="AC346" s="9">
        <f>IF(AND($A346&lt;&gt;"",M346=설정!$C$20,Z346&gt;0),Z346+ROW()/1000000000,"")</f>
        <v/>
      </c>
      <c r="AD346" s="94">
        <f>IF($A346="",0,$P346*AG346)</f>
        <v/>
      </c>
      <c r="AE346" s="64">
        <f>IF($A346="","",IFERROR(INDEX(계정매핑!$E$5:$E$504,MATCH($F346&amp;"",계정매핑!$A$5:$A$504,0))&amp;"","공통비"))</f>
        <v/>
      </c>
      <c r="AF346" s="64">
        <f>IF($A346="","",IF(AE346="직접",IFERROR(INDEX(계정매핑!$F$5:$F$504,MATCH($F346&amp;"",계정매핑!$A$5:$A$504,0))&amp;"","비귀속"),""))</f>
        <v/>
      </c>
      <c r="AG346" s="96">
        <f>IF($A346="",0,IF(AND(AE346&lt;&gt;"직접",IFERROR(INDEX(계정매핑!$G$5:$G$504,MATCH($F346&amp;"",계정매핑!$A$5:$A$504,0))&amp;"","")="유지비",COUNTIF(계정대체기준!$A$6:$A$15,$N346)&gt;0),IFERROR(INDEX(계정대체기준!$E$6:$E$15,MATCH(VALUE($A346&amp;""),계정대체기준!$D$6:$D$15,0)),0),0))</f>
        <v/>
      </c>
      <c r="AH346" s="64">
        <f>IF($A346="","",IF(AD346=0,"",IF(OR(COUNTIF(계정대체기준!$A$77:$A$86,$N346)&gt;0,ISNUMBER(MATCH($X346,계정대체기준!$D$77:$D$86,0)),ISNUMBER(MATCH($F346,계정대체기준!$D$77:$D$86,0))),"Y","N")))</f>
        <v/>
      </c>
    </row>
    <row r="347">
      <c r="A347" s="92" t="n">
        <v>2025</v>
      </c>
      <c r="B347" s="92" t="n">
        <v>2</v>
      </c>
      <c r="C347" s="92" t="inlineStr">
        <is>
          <t>5100000343</t>
        </is>
      </c>
      <c r="D347" s="95" t="n">
        <v>45702</v>
      </c>
      <c r="E347" s="92" t="inlineStr">
        <is>
          <t>KR</t>
        </is>
      </c>
      <c r="F347" s="92" t="n">
        <v>62802000</v>
      </c>
      <c r="G347" s="92" t="n">
        <v>1301</v>
      </c>
      <c r="H347" s="93" t="n">
        <v>6462000</v>
      </c>
      <c r="I347" s="92" t="inlineStr">
        <is>
          <t>2월 위탁교육 - I교육원</t>
        </is>
      </c>
      <c r="J347" s="92" t="inlineStr">
        <is>
          <t>V10019</t>
        </is>
      </c>
      <c r="K347" s="92" t="inlineStr">
        <is>
          <t>I교육원</t>
        </is>
      </c>
      <c r="M347" s="9">
        <f>IF($A347="","",VALUE($A347&amp;"")*12+VALUE($B347&amp;""))</f>
        <v/>
      </c>
      <c r="N347" s="64">
        <f>IF($A347="","",IFERROR(INDEX(부서매핑!$C$5:$C$504,MATCH($G347&amp;"",부서매핑!$A$5:$A$504,0)),"미매핑"))</f>
        <v/>
      </c>
      <c r="O347" s="9">
        <f>IF($A347="","",N347&amp;"|"&amp;$F347)</f>
        <v/>
      </c>
      <c r="P347" s="94">
        <f>IF($A347="",0,$H347*설정!$C$23)</f>
        <v/>
      </c>
      <c r="Q347" s="64">
        <f>IF($A347="","",IF(O347&lt;&gt;원인분석!$C$9,"",IF(AND(M347&gt;=원인분석!$C$10,M347&lt;=원인분석!$C$11),"당기",IF(AND(M347&gt;=원인분석!$C$12,M347&lt;=원인분석!$C$13),"비교",""))))</f>
        <v/>
      </c>
      <c r="R347" s="9">
        <f>IF(Q347="","",$K347&amp;"")</f>
        <v/>
      </c>
      <c r="S347" s="9">
        <f>IF(Q347="","",IF(MATCH(R347,$R$5:$R$100000,0)=ROW()-4,ROW(),""))</f>
        <v/>
      </c>
      <c r="T347" s="9">
        <f>IF(Q347="당기",ABS(P347)+ROW()/1000000000,"")</f>
        <v/>
      </c>
      <c r="U347" s="9">
        <f>IF(Q347="비교",ABS(P347)+ROW()/1000000000,"")</f>
        <v/>
      </c>
      <c r="V347" s="64">
        <f>IF($A347="","",IF(COUNTIF(변동분석!$E$7:$E$506,O347)&gt;0,"Y","N"))</f>
        <v/>
      </c>
      <c r="W347" s="64">
        <f>IF($A347="","",IFERROR(INDEX(계정매핑!$D$5:$D$504,MATCH($F347&amp;"",계정매핑!$A$5:$A$504,0)),"미매핑"))</f>
        <v/>
      </c>
      <c r="X347" s="9">
        <f>IF($A347="","",$F347&amp;"")</f>
        <v/>
      </c>
      <c r="Y347" s="94">
        <f>IF($A347="",0,IF(AE347="직접",IF(AF347="비귀속",$P347,0),$P347*(1-AG347)*IFERROR(INDEX(계정대체기준!$F$20:$F$49,MATCH($N347,계정대체기준!$A$20:$A$49,0)),1)))</f>
        <v/>
      </c>
      <c r="Z347" s="94">
        <f>IF($A347="",0,IF(AE347="직접",IF(AF347="신계약비",$P347,0),$P347*(1-AG347)*IFERROR(INDEX(계정대체기준!$C$20:$C$49,MATCH($N347,계정대체기준!$A$20:$A$49,0)),0)))</f>
        <v/>
      </c>
      <c r="AA347" s="94">
        <f>IF($A347="",0,IF(AE347="직접",IF(OR(AF347="유지비",AF347="손해조사비"),$P347,0),$P347*(1-AG347)*IFERROR(INDEX(계정대체기준!$D$20:$D$49,MATCH($N347,계정대체기준!$A$20:$A$49,0)),0)))</f>
        <v/>
      </c>
      <c r="AB347" s="94">
        <f>IF($A347="",0,IF(AE347="직접",IF(AF347="수금비",$P347,0),$P347*(1-AG347)*IFERROR(INDEX(계정대체기준!$E$20:$E$49,MATCH($N347,계정대체기준!$A$20:$A$49,0)),0)))</f>
        <v/>
      </c>
      <c r="AC347" s="9">
        <f>IF(AND($A347&lt;&gt;"",M347=설정!$C$20,Z347&gt;0),Z347+ROW()/1000000000,"")</f>
        <v/>
      </c>
      <c r="AD347" s="94">
        <f>IF($A347="",0,$P347*AG347)</f>
        <v/>
      </c>
      <c r="AE347" s="64">
        <f>IF($A347="","",IFERROR(INDEX(계정매핑!$E$5:$E$504,MATCH($F347&amp;"",계정매핑!$A$5:$A$504,0))&amp;"","공통비"))</f>
        <v/>
      </c>
      <c r="AF347" s="64">
        <f>IF($A347="","",IF(AE347="직접",IFERROR(INDEX(계정매핑!$F$5:$F$504,MATCH($F347&amp;"",계정매핑!$A$5:$A$504,0))&amp;"","비귀속"),""))</f>
        <v/>
      </c>
      <c r="AG347" s="96">
        <f>IF($A347="",0,IF(AND(AE347&lt;&gt;"직접",IFERROR(INDEX(계정매핑!$G$5:$G$504,MATCH($F347&amp;"",계정매핑!$A$5:$A$504,0))&amp;"","")="유지비",COUNTIF(계정대체기준!$A$6:$A$15,$N347)&gt;0),IFERROR(INDEX(계정대체기준!$E$6:$E$15,MATCH(VALUE($A347&amp;""),계정대체기준!$D$6:$D$15,0)),0),0))</f>
        <v/>
      </c>
      <c r="AH347" s="64">
        <f>IF($A347="","",IF(AD347=0,"",IF(OR(COUNTIF(계정대체기준!$A$77:$A$86,$N347)&gt;0,ISNUMBER(MATCH($X347,계정대체기준!$D$77:$D$86,0)),ISNUMBER(MATCH($F347,계정대체기준!$D$77:$D$86,0))),"Y","N")))</f>
        <v/>
      </c>
    </row>
    <row r="348">
      <c r="A348" s="92" t="n">
        <v>2025</v>
      </c>
      <c r="B348" s="92" t="n">
        <v>2</v>
      </c>
      <c r="C348" s="92" t="inlineStr">
        <is>
          <t>5100000344</t>
        </is>
      </c>
      <c r="D348" s="95" t="n">
        <v>45702</v>
      </c>
      <c r="E348" s="92" t="inlineStr">
        <is>
          <t>KR</t>
        </is>
      </c>
      <c r="F348" s="92" t="n">
        <v>62901000</v>
      </c>
      <c r="G348" s="92" t="n">
        <v>1951</v>
      </c>
      <c r="H348" s="93" t="n">
        <v>6475000</v>
      </c>
      <c r="I348" s="92" t="inlineStr">
        <is>
          <t>2월 자문 수수료 - W컨설팅</t>
        </is>
      </c>
      <c r="J348" s="92" t="inlineStr">
        <is>
          <t>V10006</t>
        </is>
      </c>
      <c r="K348" s="92" t="inlineStr">
        <is>
          <t>W컨설팅</t>
        </is>
      </c>
      <c r="M348" s="9">
        <f>IF($A348="","",VALUE($A348&amp;"")*12+VALUE($B348&amp;""))</f>
        <v/>
      </c>
      <c r="N348" s="64">
        <f>IF($A348="","",IFERROR(INDEX(부서매핑!$C$5:$C$504,MATCH($G348&amp;"",부서매핑!$A$5:$A$504,0)),"미매핑"))</f>
        <v/>
      </c>
      <c r="O348" s="9">
        <f>IF($A348="","",N348&amp;"|"&amp;$F348)</f>
        <v/>
      </c>
      <c r="P348" s="94">
        <f>IF($A348="",0,$H348*설정!$C$23)</f>
        <v/>
      </c>
      <c r="Q348" s="64">
        <f>IF($A348="","",IF(O348&lt;&gt;원인분석!$C$9,"",IF(AND(M348&gt;=원인분석!$C$10,M348&lt;=원인분석!$C$11),"당기",IF(AND(M348&gt;=원인분석!$C$12,M348&lt;=원인분석!$C$13),"비교",""))))</f>
        <v/>
      </c>
      <c r="R348" s="9">
        <f>IF(Q348="","",$K348&amp;"")</f>
        <v/>
      </c>
      <c r="S348" s="9">
        <f>IF(Q348="","",IF(MATCH(R348,$R$5:$R$100000,0)=ROW()-4,ROW(),""))</f>
        <v/>
      </c>
      <c r="T348" s="9">
        <f>IF(Q348="당기",ABS(P348)+ROW()/1000000000,"")</f>
        <v/>
      </c>
      <c r="U348" s="9">
        <f>IF(Q348="비교",ABS(P348)+ROW()/1000000000,"")</f>
        <v/>
      </c>
      <c r="V348" s="64">
        <f>IF($A348="","",IF(COUNTIF(변동분석!$E$7:$E$506,O348)&gt;0,"Y","N"))</f>
        <v/>
      </c>
      <c r="W348" s="64">
        <f>IF($A348="","",IFERROR(INDEX(계정매핑!$D$5:$D$504,MATCH($F348&amp;"",계정매핑!$A$5:$A$504,0)),"미매핑"))</f>
        <v/>
      </c>
      <c r="X348" s="9">
        <f>IF($A348="","",$F348&amp;"")</f>
        <v/>
      </c>
      <c r="Y348" s="94">
        <f>IF($A348="",0,IF(AE348="직접",IF(AF348="비귀속",$P348,0),$P348*(1-AG348)*IFERROR(INDEX(계정대체기준!$F$20:$F$49,MATCH($N348,계정대체기준!$A$20:$A$49,0)),1)))</f>
        <v/>
      </c>
      <c r="Z348" s="94">
        <f>IF($A348="",0,IF(AE348="직접",IF(AF348="신계약비",$P348,0),$P348*(1-AG348)*IFERROR(INDEX(계정대체기준!$C$20:$C$49,MATCH($N348,계정대체기준!$A$20:$A$49,0)),0)))</f>
        <v/>
      </c>
      <c r="AA348" s="94">
        <f>IF($A348="",0,IF(AE348="직접",IF(OR(AF348="유지비",AF348="손해조사비"),$P348,0),$P348*(1-AG348)*IFERROR(INDEX(계정대체기준!$D$20:$D$49,MATCH($N348,계정대체기준!$A$20:$A$49,0)),0)))</f>
        <v/>
      </c>
      <c r="AB348" s="94">
        <f>IF($A348="",0,IF(AE348="직접",IF(AF348="수금비",$P348,0),$P348*(1-AG348)*IFERROR(INDEX(계정대체기준!$E$20:$E$49,MATCH($N348,계정대체기준!$A$20:$A$49,0)),0)))</f>
        <v/>
      </c>
      <c r="AC348" s="9">
        <f>IF(AND($A348&lt;&gt;"",M348=설정!$C$20,Z348&gt;0),Z348+ROW()/1000000000,"")</f>
        <v/>
      </c>
      <c r="AD348" s="94">
        <f>IF($A348="",0,$P348*AG348)</f>
        <v/>
      </c>
      <c r="AE348" s="64">
        <f>IF($A348="","",IFERROR(INDEX(계정매핑!$E$5:$E$504,MATCH($F348&amp;"",계정매핑!$A$5:$A$504,0))&amp;"","공통비"))</f>
        <v/>
      </c>
      <c r="AF348" s="64">
        <f>IF($A348="","",IF(AE348="직접",IFERROR(INDEX(계정매핑!$F$5:$F$504,MATCH($F348&amp;"",계정매핑!$A$5:$A$504,0))&amp;"","비귀속"),""))</f>
        <v/>
      </c>
      <c r="AG348" s="96">
        <f>IF($A348="",0,IF(AND(AE348&lt;&gt;"직접",IFERROR(INDEX(계정매핑!$G$5:$G$504,MATCH($F348&amp;"",계정매핑!$A$5:$A$504,0))&amp;"","")="유지비",COUNTIF(계정대체기준!$A$6:$A$15,$N348)&gt;0),IFERROR(INDEX(계정대체기준!$E$6:$E$15,MATCH(VALUE($A348&amp;""),계정대체기준!$D$6:$D$15,0)),0),0))</f>
        <v/>
      </c>
      <c r="AH348" s="64">
        <f>IF($A348="","",IF(AD348=0,"",IF(OR(COUNTIF(계정대체기준!$A$77:$A$86,$N348)&gt;0,ISNUMBER(MATCH($X348,계정대체기준!$D$77:$D$86,0)),ISNUMBER(MATCH($F348,계정대체기준!$D$77:$D$86,0))),"Y","N")))</f>
        <v/>
      </c>
    </row>
    <row r="349">
      <c r="A349" s="92" t="n">
        <v>2025</v>
      </c>
      <c r="B349" s="92" t="n">
        <v>2</v>
      </c>
      <c r="C349" s="92" t="inlineStr">
        <is>
          <t>5100000345</t>
        </is>
      </c>
      <c r="D349" s="95" t="n">
        <v>45702</v>
      </c>
      <c r="E349" s="92" t="inlineStr">
        <is>
          <t>KR</t>
        </is>
      </c>
      <c r="F349" s="92" t="n">
        <v>62902000</v>
      </c>
      <c r="G349" s="92" t="n">
        <v>1101</v>
      </c>
      <c r="H349" s="93" t="n">
        <v>1711000</v>
      </c>
      <c r="I349" s="92" t="inlineStr">
        <is>
          <t>2월 업무 위탁 수수료 - X서비스</t>
        </is>
      </c>
      <c r="J349" s="92" t="inlineStr">
        <is>
          <t>V10020</t>
        </is>
      </c>
      <c r="K349" s="92" t="inlineStr">
        <is>
          <t>X서비스</t>
        </is>
      </c>
      <c r="M349" s="9">
        <f>IF($A349="","",VALUE($A349&amp;"")*12+VALUE($B349&amp;""))</f>
        <v/>
      </c>
      <c r="N349" s="64">
        <f>IF($A349="","",IFERROR(INDEX(부서매핑!$C$5:$C$504,MATCH($G349&amp;"",부서매핑!$A$5:$A$504,0)),"미매핑"))</f>
        <v/>
      </c>
      <c r="O349" s="9">
        <f>IF($A349="","",N349&amp;"|"&amp;$F349)</f>
        <v/>
      </c>
      <c r="P349" s="94">
        <f>IF($A349="",0,$H349*설정!$C$23)</f>
        <v/>
      </c>
      <c r="Q349" s="64">
        <f>IF($A349="","",IF(O349&lt;&gt;원인분석!$C$9,"",IF(AND(M349&gt;=원인분석!$C$10,M349&lt;=원인분석!$C$11),"당기",IF(AND(M349&gt;=원인분석!$C$12,M349&lt;=원인분석!$C$13),"비교",""))))</f>
        <v/>
      </c>
      <c r="R349" s="9">
        <f>IF(Q349="","",$K349&amp;"")</f>
        <v/>
      </c>
      <c r="S349" s="9">
        <f>IF(Q349="","",IF(MATCH(R349,$R$5:$R$100000,0)=ROW()-4,ROW(),""))</f>
        <v/>
      </c>
      <c r="T349" s="9">
        <f>IF(Q349="당기",ABS(P349)+ROW()/1000000000,"")</f>
        <v/>
      </c>
      <c r="U349" s="9">
        <f>IF(Q349="비교",ABS(P349)+ROW()/1000000000,"")</f>
        <v/>
      </c>
      <c r="V349" s="64">
        <f>IF($A349="","",IF(COUNTIF(변동분석!$E$7:$E$506,O349)&gt;0,"Y","N"))</f>
        <v/>
      </c>
      <c r="W349" s="64">
        <f>IF($A349="","",IFERROR(INDEX(계정매핑!$D$5:$D$504,MATCH($F349&amp;"",계정매핑!$A$5:$A$504,0)),"미매핑"))</f>
        <v/>
      </c>
      <c r="X349" s="9">
        <f>IF($A349="","",$F349&amp;"")</f>
        <v/>
      </c>
      <c r="Y349" s="94">
        <f>IF($A349="",0,IF(AE349="직접",IF(AF349="비귀속",$P349,0),$P349*(1-AG349)*IFERROR(INDEX(계정대체기준!$F$20:$F$49,MATCH($N349,계정대체기준!$A$20:$A$49,0)),1)))</f>
        <v/>
      </c>
      <c r="Z349" s="94">
        <f>IF($A349="",0,IF(AE349="직접",IF(AF349="신계약비",$P349,0),$P349*(1-AG349)*IFERROR(INDEX(계정대체기준!$C$20:$C$49,MATCH($N349,계정대체기준!$A$20:$A$49,0)),0)))</f>
        <v/>
      </c>
      <c r="AA349" s="94">
        <f>IF($A349="",0,IF(AE349="직접",IF(OR(AF349="유지비",AF349="손해조사비"),$P349,0),$P349*(1-AG349)*IFERROR(INDEX(계정대체기준!$D$20:$D$49,MATCH($N349,계정대체기준!$A$20:$A$49,0)),0)))</f>
        <v/>
      </c>
      <c r="AB349" s="94">
        <f>IF($A349="",0,IF(AE349="직접",IF(AF349="수금비",$P349,0),$P349*(1-AG349)*IFERROR(INDEX(계정대체기준!$E$20:$E$49,MATCH($N349,계정대체기준!$A$20:$A$49,0)),0)))</f>
        <v/>
      </c>
      <c r="AC349" s="9">
        <f>IF(AND($A349&lt;&gt;"",M349=설정!$C$20,Z349&gt;0),Z349+ROW()/1000000000,"")</f>
        <v/>
      </c>
      <c r="AD349" s="94">
        <f>IF($A349="",0,$P349*AG349)</f>
        <v/>
      </c>
      <c r="AE349" s="64">
        <f>IF($A349="","",IFERROR(INDEX(계정매핑!$E$5:$E$504,MATCH($F349&amp;"",계정매핑!$A$5:$A$504,0))&amp;"","공통비"))</f>
        <v/>
      </c>
      <c r="AF349" s="64">
        <f>IF($A349="","",IF(AE349="직접",IFERROR(INDEX(계정매핑!$F$5:$F$504,MATCH($F349&amp;"",계정매핑!$A$5:$A$504,0))&amp;"","비귀속"),""))</f>
        <v/>
      </c>
      <c r="AG349" s="96">
        <f>IF($A349="",0,IF(AND(AE349&lt;&gt;"직접",IFERROR(INDEX(계정매핑!$G$5:$G$504,MATCH($F349&amp;"",계정매핑!$A$5:$A$504,0))&amp;"","")="유지비",COUNTIF(계정대체기준!$A$6:$A$15,$N349)&gt;0),IFERROR(INDEX(계정대체기준!$E$6:$E$15,MATCH(VALUE($A349&amp;""),계정대체기준!$D$6:$D$15,0)),0),0))</f>
        <v/>
      </c>
      <c r="AH349" s="64">
        <f>IF($A349="","",IF(AD349=0,"",IF(OR(COUNTIF(계정대체기준!$A$77:$A$86,$N349)&gt;0,ISNUMBER(MATCH($X349,계정대체기준!$D$77:$D$86,0)),ISNUMBER(MATCH($F349,계정대체기준!$D$77:$D$86,0))),"Y","N")))</f>
        <v/>
      </c>
    </row>
    <row r="350">
      <c r="A350" s="92" t="n">
        <v>2025</v>
      </c>
      <c r="B350" s="92" t="n">
        <v>2</v>
      </c>
      <c r="C350" s="92" t="inlineStr">
        <is>
          <t>5100000346</t>
        </is>
      </c>
      <c r="D350" s="95" t="n">
        <v>45702</v>
      </c>
      <c r="E350" s="92" t="inlineStr">
        <is>
          <t>KR</t>
        </is>
      </c>
      <c r="F350" s="92" t="n">
        <v>62902000</v>
      </c>
      <c r="G350" s="92" t="n">
        <v>1101</v>
      </c>
      <c r="H350" s="93" t="n">
        <v>2108000</v>
      </c>
      <c r="I350" s="92" t="inlineStr">
        <is>
          <t>2월 업무 위탁 수수료 - X서비스</t>
        </is>
      </c>
      <c r="J350" s="92" t="inlineStr">
        <is>
          <t>V10020</t>
        </is>
      </c>
      <c r="K350" s="92" t="inlineStr">
        <is>
          <t>X서비스</t>
        </is>
      </c>
      <c r="M350" s="9">
        <f>IF($A350="","",VALUE($A350&amp;"")*12+VALUE($B350&amp;""))</f>
        <v/>
      </c>
      <c r="N350" s="64">
        <f>IF($A350="","",IFERROR(INDEX(부서매핑!$C$5:$C$504,MATCH($G350&amp;"",부서매핑!$A$5:$A$504,0)),"미매핑"))</f>
        <v/>
      </c>
      <c r="O350" s="9">
        <f>IF($A350="","",N350&amp;"|"&amp;$F350)</f>
        <v/>
      </c>
      <c r="P350" s="94">
        <f>IF($A350="",0,$H350*설정!$C$23)</f>
        <v/>
      </c>
      <c r="Q350" s="64">
        <f>IF($A350="","",IF(O350&lt;&gt;원인분석!$C$9,"",IF(AND(M350&gt;=원인분석!$C$10,M350&lt;=원인분석!$C$11),"당기",IF(AND(M350&gt;=원인분석!$C$12,M350&lt;=원인분석!$C$13),"비교",""))))</f>
        <v/>
      </c>
      <c r="R350" s="9">
        <f>IF(Q350="","",$K350&amp;"")</f>
        <v/>
      </c>
      <c r="S350" s="9">
        <f>IF(Q350="","",IF(MATCH(R350,$R$5:$R$100000,0)=ROW()-4,ROW(),""))</f>
        <v/>
      </c>
      <c r="T350" s="9">
        <f>IF(Q350="당기",ABS(P350)+ROW()/1000000000,"")</f>
        <v/>
      </c>
      <c r="U350" s="9">
        <f>IF(Q350="비교",ABS(P350)+ROW()/1000000000,"")</f>
        <v/>
      </c>
      <c r="V350" s="64">
        <f>IF($A350="","",IF(COUNTIF(변동분석!$E$7:$E$506,O350)&gt;0,"Y","N"))</f>
        <v/>
      </c>
      <c r="W350" s="64">
        <f>IF($A350="","",IFERROR(INDEX(계정매핑!$D$5:$D$504,MATCH($F350&amp;"",계정매핑!$A$5:$A$504,0)),"미매핑"))</f>
        <v/>
      </c>
      <c r="X350" s="9">
        <f>IF($A350="","",$F350&amp;"")</f>
        <v/>
      </c>
      <c r="Y350" s="94">
        <f>IF($A350="",0,IF(AE350="직접",IF(AF350="비귀속",$P350,0),$P350*(1-AG350)*IFERROR(INDEX(계정대체기준!$F$20:$F$49,MATCH($N350,계정대체기준!$A$20:$A$49,0)),1)))</f>
        <v/>
      </c>
      <c r="Z350" s="94">
        <f>IF($A350="",0,IF(AE350="직접",IF(AF350="신계약비",$P350,0),$P350*(1-AG350)*IFERROR(INDEX(계정대체기준!$C$20:$C$49,MATCH($N350,계정대체기준!$A$20:$A$49,0)),0)))</f>
        <v/>
      </c>
      <c r="AA350" s="94">
        <f>IF($A350="",0,IF(AE350="직접",IF(OR(AF350="유지비",AF350="손해조사비"),$P350,0),$P350*(1-AG350)*IFERROR(INDEX(계정대체기준!$D$20:$D$49,MATCH($N350,계정대체기준!$A$20:$A$49,0)),0)))</f>
        <v/>
      </c>
      <c r="AB350" s="94">
        <f>IF($A350="",0,IF(AE350="직접",IF(AF350="수금비",$P350,0),$P350*(1-AG350)*IFERROR(INDEX(계정대체기준!$E$20:$E$49,MATCH($N350,계정대체기준!$A$20:$A$49,0)),0)))</f>
        <v/>
      </c>
      <c r="AC350" s="9">
        <f>IF(AND($A350&lt;&gt;"",M350=설정!$C$20,Z350&gt;0),Z350+ROW()/1000000000,"")</f>
        <v/>
      </c>
      <c r="AD350" s="94">
        <f>IF($A350="",0,$P350*AG350)</f>
        <v/>
      </c>
      <c r="AE350" s="64">
        <f>IF($A350="","",IFERROR(INDEX(계정매핑!$E$5:$E$504,MATCH($F350&amp;"",계정매핑!$A$5:$A$504,0))&amp;"","공통비"))</f>
        <v/>
      </c>
      <c r="AF350" s="64">
        <f>IF($A350="","",IF(AE350="직접",IFERROR(INDEX(계정매핑!$F$5:$F$504,MATCH($F350&amp;"",계정매핑!$A$5:$A$504,0))&amp;"","비귀속"),""))</f>
        <v/>
      </c>
      <c r="AG350" s="96">
        <f>IF($A350="",0,IF(AND(AE350&lt;&gt;"직접",IFERROR(INDEX(계정매핑!$G$5:$G$504,MATCH($F350&amp;"",계정매핑!$A$5:$A$504,0))&amp;"","")="유지비",COUNTIF(계정대체기준!$A$6:$A$15,$N350)&gt;0),IFERROR(INDEX(계정대체기준!$E$6:$E$15,MATCH(VALUE($A350&amp;""),계정대체기준!$D$6:$D$15,0)),0),0))</f>
        <v/>
      </c>
      <c r="AH350" s="64">
        <f>IF($A350="","",IF(AD350=0,"",IF(OR(COUNTIF(계정대체기준!$A$77:$A$86,$N350)&gt;0,ISNUMBER(MATCH($X350,계정대체기준!$D$77:$D$86,0)),ISNUMBER(MATCH($F350,계정대체기준!$D$77:$D$86,0))),"Y","N")))</f>
        <v/>
      </c>
    </row>
    <row r="351">
      <c r="A351" s="92" t="n">
        <v>2025</v>
      </c>
      <c r="B351" s="92" t="n">
        <v>2</v>
      </c>
      <c r="C351" s="92" t="inlineStr">
        <is>
          <t>5100000347</t>
        </is>
      </c>
      <c r="D351" s="95" t="n">
        <v>45702</v>
      </c>
      <c r="E351" s="92" t="inlineStr">
        <is>
          <t>KR</t>
        </is>
      </c>
      <c r="F351" s="92" t="n">
        <v>63001000</v>
      </c>
      <c r="G351" s="92" t="n">
        <v>1701</v>
      </c>
      <c r="H351" s="93" t="n">
        <v>35275000</v>
      </c>
      <c r="I351" s="92" t="inlineStr">
        <is>
          <t>2월 SW 유지보수 - Y소프트</t>
        </is>
      </c>
      <c r="J351" s="92" t="inlineStr">
        <is>
          <t>V10017</t>
        </is>
      </c>
      <c r="K351" s="92" t="inlineStr">
        <is>
          <t>Y소프트</t>
        </is>
      </c>
      <c r="M351" s="9">
        <f>IF($A351="","",VALUE($A351&amp;"")*12+VALUE($B351&amp;""))</f>
        <v/>
      </c>
      <c r="N351" s="64">
        <f>IF($A351="","",IFERROR(INDEX(부서매핑!$C$5:$C$504,MATCH($G351&amp;"",부서매핑!$A$5:$A$504,0)),"미매핑"))</f>
        <v/>
      </c>
      <c r="O351" s="9">
        <f>IF($A351="","",N351&amp;"|"&amp;$F351)</f>
        <v/>
      </c>
      <c r="P351" s="94">
        <f>IF($A351="",0,$H351*설정!$C$23)</f>
        <v/>
      </c>
      <c r="Q351" s="64">
        <f>IF($A351="","",IF(O351&lt;&gt;원인분석!$C$9,"",IF(AND(M351&gt;=원인분석!$C$10,M351&lt;=원인분석!$C$11),"당기",IF(AND(M351&gt;=원인분석!$C$12,M351&lt;=원인분석!$C$13),"비교",""))))</f>
        <v/>
      </c>
      <c r="R351" s="9">
        <f>IF(Q351="","",$K351&amp;"")</f>
        <v/>
      </c>
      <c r="S351" s="9">
        <f>IF(Q351="","",IF(MATCH(R351,$R$5:$R$100000,0)=ROW()-4,ROW(),""))</f>
        <v/>
      </c>
      <c r="T351" s="9">
        <f>IF(Q351="당기",ABS(P351)+ROW()/1000000000,"")</f>
        <v/>
      </c>
      <c r="U351" s="9">
        <f>IF(Q351="비교",ABS(P351)+ROW()/1000000000,"")</f>
        <v/>
      </c>
      <c r="V351" s="64">
        <f>IF($A351="","",IF(COUNTIF(변동분석!$E$7:$E$506,O351)&gt;0,"Y","N"))</f>
        <v/>
      </c>
      <c r="W351" s="64">
        <f>IF($A351="","",IFERROR(INDEX(계정매핑!$D$5:$D$504,MATCH($F351&amp;"",계정매핑!$A$5:$A$504,0)),"미매핑"))</f>
        <v/>
      </c>
      <c r="X351" s="9">
        <f>IF($A351="","",$F351&amp;"")</f>
        <v/>
      </c>
      <c r="Y351" s="94">
        <f>IF($A351="",0,IF(AE351="직접",IF(AF351="비귀속",$P351,0),$P351*(1-AG351)*IFERROR(INDEX(계정대체기준!$F$20:$F$49,MATCH($N351,계정대체기준!$A$20:$A$49,0)),1)))</f>
        <v/>
      </c>
      <c r="Z351" s="94">
        <f>IF($A351="",0,IF(AE351="직접",IF(AF351="신계약비",$P351,0),$P351*(1-AG351)*IFERROR(INDEX(계정대체기준!$C$20:$C$49,MATCH($N351,계정대체기준!$A$20:$A$49,0)),0)))</f>
        <v/>
      </c>
      <c r="AA351" s="94">
        <f>IF($A351="",0,IF(AE351="직접",IF(OR(AF351="유지비",AF351="손해조사비"),$P351,0),$P351*(1-AG351)*IFERROR(INDEX(계정대체기준!$D$20:$D$49,MATCH($N351,계정대체기준!$A$20:$A$49,0)),0)))</f>
        <v/>
      </c>
      <c r="AB351" s="94">
        <f>IF($A351="",0,IF(AE351="직접",IF(AF351="수금비",$P351,0),$P351*(1-AG351)*IFERROR(INDEX(계정대체기준!$E$20:$E$49,MATCH($N351,계정대체기준!$A$20:$A$49,0)),0)))</f>
        <v/>
      </c>
      <c r="AC351" s="9">
        <f>IF(AND($A351&lt;&gt;"",M351=설정!$C$20,Z351&gt;0),Z351+ROW()/1000000000,"")</f>
        <v/>
      </c>
      <c r="AD351" s="94">
        <f>IF($A351="",0,$P351*AG351)</f>
        <v/>
      </c>
      <c r="AE351" s="64">
        <f>IF($A351="","",IFERROR(INDEX(계정매핑!$E$5:$E$504,MATCH($F351&amp;"",계정매핑!$A$5:$A$504,0))&amp;"","공통비"))</f>
        <v/>
      </c>
      <c r="AF351" s="64">
        <f>IF($A351="","",IF(AE351="직접",IFERROR(INDEX(계정매핑!$F$5:$F$504,MATCH($F351&amp;"",계정매핑!$A$5:$A$504,0))&amp;"","비귀속"),""))</f>
        <v/>
      </c>
      <c r="AG351" s="96">
        <f>IF($A351="",0,IF(AND(AE351&lt;&gt;"직접",IFERROR(INDEX(계정매핑!$G$5:$G$504,MATCH($F351&amp;"",계정매핑!$A$5:$A$504,0))&amp;"","")="유지비",COUNTIF(계정대체기준!$A$6:$A$15,$N351)&gt;0),IFERROR(INDEX(계정대체기준!$E$6:$E$15,MATCH(VALUE($A351&amp;""),계정대체기준!$D$6:$D$15,0)),0),0))</f>
        <v/>
      </c>
      <c r="AH351" s="64">
        <f>IF($A351="","",IF(AD351=0,"",IF(OR(COUNTIF(계정대체기준!$A$77:$A$86,$N351)&gt;0,ISNUMBER(MATCH($X351,계정대체기준!$D$77:$D$86,0)),ISNUMBER(MATCH($F351,계정대체기준!$D$77:$D$86,0))),"Y","N")))</f>
        <v/>
      </c>
    </row>
    <row r="352">
      <c r="A352" s="92" t="n">
        <v>2025</v>
      </c>
      <c r="B352" s="92" t="n">
        <v>2</v>
      </c>
      <c r="C352" s="92" t="inlineStr">
        <is>
          <t>5100000348</t>
        </is>
      </c>
      <c r="D352" s="95" t="n">
        <v>45702</v>
      </c>
      <c r="E352" s="92" t="inlineStr">
        <is>
          <t>KR</t>
        </is>
      </c>
      <c r="F352" s="92" t="n">
        <v>63501000</v>
      </c>
      <c r="G352" s="92" t="n">
        <v>1901</v>
      </c>
      <c r="H352" s="93" t="n">
        <v>805049000</v>
      </c>
      <c r="I352" s="92" t="inlineStr">
        <is>
          <t>2월 모집수수료 - BB에셋</t>
        </is>
      </c>
      <c r="J352" s="92" t="inlineStr">
        <is>
          <t>V10013</t>
        </is>
      </c>
      <c r="K352" s="92" t="inlineStr">
        <is>
          <t>BB에셋</t>
        </is>
      </c>
      <c r="M352" s="9">
        <f>IF($A352="","",VALUE($A352&amp;"")*12+VALUE($B352&amp;""))</f>
        <v/>
      </c>
      <c r="N352" s="64">
        <f>IF($A352="","",IFERROR(INDEX(부서매핑!$C$5:$C$504,MATCH($G352&amp;"",부서매핑!$A$5:$A$504,0)),"미매핑"))</f>
        <v/>
      </c>
      <c r="O352" s="9">
        <f>IF($A352="","",N352&amp;"|"&amp;$F352)</f>
        <v/>
      </c>
      <c r="P352" s="94">
        <f>IF($A352="",0,$H352*설정!$C$23)</f>
        <v/>
      </c>
      <c r="Q352" s="64">
        <f>IF($A352="","",IF(O352&lt;&gt;원인분석!$C$9,"",IF(AND(M352&gt;=원인분석!$C$10,M352&lt;=원인분석!$C$11),"당기",IF(AND(M352&gt;=원인분석!$C$12,M352&lt;=원인분석!$C$13),"비교",""))))</f>
        <v/>
      </c>
      <c r="R352" s="9">
        <f>IF(Q352="","",$K352&amp;"")</f>
        <v/>
      </c>
      <c r="S352" s="9">
        <f>IF(Q352="","",IF(MATCH(R352,$R$5:$R$100000,0)=ROW()-4,ROW(),""))</f>
        <v/>
      </c>
      <c r="T352" s="9">
        <f>IF(Q352="당기",ABS(P352)+ROW()/1000000000,"")</f>
        <v/>
      </c>
      <c r="U352" s="9">
        <f>IF(Q352="비교",ABS(P352)+ROW()/1000000000,"")</f>
        <v/>
      </c>
      <c r="V352" s="64">
        <f>IF($A352="","",IF(COUNTIF(변동분석!$E$7:$E$506,O352)&gt;0,"Y","N"))</f>
        <v/>
      </c>
      <c r="W352" s="64">
        <f>IF($A352="","",IFERROR(INDEX(계정매핑!$D$5:$D$504,MATCH($F352&amp;"",계정매핑!$A$5:$A$504,0)),"미매핑"))</f>
        <v/>
      </c>
      <c r="X352" s="9">
        <f>IF($A352="","",$F352&amp;"")</f>
        <v/>
      </c>
      <c r="Y352" s="94">
        <f>IF($A352="",0,IF(AE352="직접",IF(AF352="비귀속",$P352,0),$P352*(1-AG352)*IFERROR(INDEX(계정대체기준!$F$20:$F$49,MATCH($N352,계정대체기준!$A$20:$A$49,0)),1)))</f>
        <v/>
      </c>
      <c r="Z352" s="94">
        <f>IF($A352="",0,IF(AE352="직접",IF(AF352="신계약비",$P352,0),$P352*(1-AG352)*IFERROR(INDEX(계정대체기준!$C$20:$C$49,MATCH($N352,계정대체기준!$A$20:$A$49,0)),0)))</f>
        <v/>
      </c>
      <c r="AA352" s="94">
        <f>IF($A352="",0,IF(AE352="직접",IF(OR(AF352="유지비",AF352="손해조사비"),$P352,0),$P352*(1-AG352)*IFERROR(INDEX(계정대체기준!$D$20:$D$49,MATCH($N352,계정대체기준!$A$20:$A$49,0)),0)))</f>
        <v/>
      </c>
      <c r="AB352" s="94">
        <f>IF($A352="",0,IF(AE352="직접",IF(AF352="수금비",$P352,0),$P352*(1-AG352)*IFERROR(INDEX(계정대체기준!$E$20:$E$49,MATCH($N352,계정대체기준!$A$20:$A$49,0)),0)))</f>
        <v/>
      </c>
      <c r="AC352" s="9">
        <f>IF(AND($A352&lt;&gt;"",M352=설정!$C$20,Z352&gt;0),Z352+ROW()/1000000000,"")</f>
        <v/>
      </c>
      <c r="AD352" s="94">
        <f>IF($A352="",0,$P352*AG352)</f>
        <v/>
      </c>
      <c r="AE352" s="64">
        <f>IF($A352="","",IFERROR(INDEX(계정매핑!$E$5:$E$504,MATCH($F352&amp;"",계정매핑!$A$5:$A$504,0))&amp;"","공통비"))</f>
        <v/>
      </c>
      <c r="AF352" s="64">
        <f>IF($A352="","",IF(AE352="직접",IFERROR(INDEX(계정매핑!$F$5:$F$504,MATCH($F352&amp;"",계정매핑!$A$5:$A$504,0))&amp;"","비귀속"),""))</f>
        <v/>
      </c>
      <c r="AG352" s="96">
        <f>IF($A352="",0,IF(AND(AE352&lt;&gt;"직접",IFERROR(INDEX(계정매핑!$G$5:$G$504,MATCH($F352&amp;"",계정매핑!$A$5:$A$504,0))&amp;"","")="유지비",COUNTIF(계정대체기준!$A$6:$A$15,$N352)&gt;0),IFERROR(INDEX(계정대체기준!$E$6:$E$15,MATCH(VALUE($A352&amp;""),계정대체기준!$D$6:$D$15,0)),0),0))</f>
        <v/>
      </c>
      <c r="AH352" s="64">
        <f>IF($A352="","",IF(AD352=0,"",IF(OR(COUNTIF(계정대체기준!$A$77:$A$86,$N352)&gt;0,ISNUMBER(MATCH($X352,계정대체기준!$D$77:$D$86,0)),ISNUMBER(MATCH($F352,계정대체기준!$D$77:$D$86,0))),"Y","N")))</f>
        <v/>
      </c>
    </row>
    <row r="353">
      <c r="A353" s="92" t="n">
        <v>2025</v>
      </c>
      <c r="B353" s="92" t="n">
        <v>2</v>
      </c>
      <c r="C353" s="92" t="inlineStr">
        <is>
          <t>5100000349</t>
        </is>
      </c>
      <c r="D353" s="95" t="n">
        <v>45702</v>
      </c>
      <c r="E353" s="92" t="inlineStr">
        <is>
          <t>KR</t>
        </is>
      </c>
      <c r="F353" s="92" t="n">
        <v>63601000</v>
      </c>
      <c r="G353" s="92" t="n">
        <v>1801</v>
      </c>
      <c r="H353" s="93" t="n">
        <v>9274000</v>
      </c>
      <c r="I353" s="92" t="inlineStr">
        <is>
          <t>2월 손해사정 수수료 - EE손해사정</t>
        </is>
      </c>
      <c r="J353" s="92" t="inlineStr">
        <is>
          <t>V10008</t>
        </is>
      </c>
      <c r="K353" s="92" t="inlineStr">
        <is>
          <t>EE손해사정</t>
        </is>
      </c>
      <c r="M353" s="9">
        <f>IF($A353="","",VALUE($A353&amp;"")*12+VALUE($B353&amp;""))</f>
        <v/>
      </c>
      <c r="N353" s="64">
        <f>IF($A353="","",IFERROR(INDEX(부서매핑!$C$5:$C$504,MATCH($G353&amp;"",부서매핑!$A$5:$A$504,0)),"미매핑"))</f>
        <v/>
      </c>
      <c r="O353" s="9">
        <f>IF($A353="","",N353&amp;"|"&amp;$F353)</f>
        <v/>
      </c>
      <c r="P353" s="94">
        <f>IF($A353="",0,$H353*설정!$C$23)</f>
        <v/>
      </c>
      <c r="Q353" s="64">
        <f>IF($A353="","",IF(O353&lt;&gt;원인분석!$C$9,"",IF(AND(M353&gt;=원인분석!$C$10,M353&lt;=원인분석!$C$11),"당기",IF(AND(M353&gt;=원인분석!$C$12,M353&lt;=원인분석!$C$13),"비교",""))))</f>
        <v/>
      </c>
      <c r="R353" s="9">
        <f>IF(Q353="","",$K353&amp;"")</f>
        <v/>
      </c>
      <c r="S353" s="9">
        <f>IF(Q353="","",IF(MATCH(R353,$R$5:$R$100000,0)=ROW()-4,ROW(),""))</f>
        <v/>
      </c>
      <c r="T353" s="9">
        <f>IF(Q353="당기",ABS(P353)+ROW()/1000000000,"")</f>
        <v/>
      </c>
      <c r="U353" s="9">
        <f>IF(Q353="비교",ABS(P353)+ROW()/1000000000,"")</f>
        <v/>
      </c>
      <c r="V353" s="64">
        <f>IF($A353="","",IF(COUNTIF(변동분석!$E$7:$E$506,O353)&gt;0,"Y","N"))</f>
        <v/>
      </c>
      <c r="W353" s="64">
        <f>IF($A353="","",IFERROR(INDEX(계정매핑!$D$5:$D$504,MATCH($F353&amp;"",계정매핑!$A$5:$A$504,0)),"미매핑"))</f>
        <v/>
      </c>
      <c r="X353" s="9">
        <f>IF($A353="","",$F353&amp;"")</f>
        <v/>
      </c>
      <c r="Y353" s="94">
        <f>IF($A353="",0,IF(AE353="직접",IF(AF353="비귀속",$P353,0),$P353*(1-AG353)*IFERROR(INDEX(계정대체기준!$F$20:$F$49,MATCH($N353,계정대체기준!$A$20:$A$49,0)),1)))</f>
        <v/>
      </c>
      <c r="Z353" s="94">
        <f>IF($A353="",0,IF(AE353="직접",IF(AF353="신계약비",$P353,0),$P353*(1-AG353)*IFERROR(INDEX(계정대체기준!$C$20:$C$49,MATCH($N353,계정대체기준!$A$20:$A$49,0)),0)))</f>
        <v/>
      </c>
      <c r="AA353" s="94">
        <f>IF($A353="",0,IF(AE353="직접",IF(OR(AF353="유지비",AF353="손해조사비"),$P353,0),$P353*(1-AG353)*IFERROR(INDEX(계정대체기준!$D$20:$D$49,MATCH($N353,계정대체기준!$A$20:$A$49,0)),0)))</f>
        <v/>
      </c>
      <c r="AB353" s="94">
        <f>IF($A353="",0,IF(AE353="직접",IF(AF353="수금비",$P353,0),$P353*(1-AG353)*IFERROR(INDEX(계정대체기준!$E$20:$E$49,MATCH($N353,계정대체기준!$A$20:$A$49,0)),0)))</f>
        <v/>
      </c>
      <c r="AC353" s="9">
        <f>IF(AND($A353&lt;&gt;"",M353=설정!$C$20,Z353&gt;0),Z353+ROW()/1000000000,"")</f>
        <v/>
      </c>
      <c r="AD353" s="94">
        <f>IF($A353="",0,$P353*AG353)</f>
        <v/>
      </c>
      <c r="AE353" s="64">
        <f>IF($A353="","",IFERROR(INDEX(계정매핑!$E$5:$E$504,MATCH($F353&amp;"",계정매핑!$A$5:$A$504,0))&amp;"","공통비"))</f>
        <v/>
      </c>
      <c r="AF353" s="64">
        <f>IF($A353="","",IF(AE353="직접",IFERROR(INDEX(계정매핑!$F$5:$F$504,MATCH($F353&amp;"",계정매핑!$A$5:$A$504,0))&amp;"","비귀속"),""))</f>
        <v/>
      </c>
      <c r="AG353" s="96">
        <f>IF($A353="",0,IF(AND(AE353&lt;&gt;"직접",IFERROR(INDEX(계정매핑!$G$5:$G$504,MATCH($F353&amp;"",계정매핑!$A$5:$A$504,0))&amp;"","")="유지비",COUNTIF(계정대체기준!$A$6:$A$15,$N353)&gt;0),IFERROR(INDEX(계정대체기준!$E$6:$E$15,MATCH(VALUE($A353&amp;""),계정대체기준!$D$6:$D$15,0)),0),0))</f>
        <v/>
      </c>
      <c r="AH353" s="64">
        <f>IF($A353="","",IF(AD353=0,"",IF(OR(COUNTIF(계정대체기준!$A$77:$A$86,$N353)&gt;0,ISNUMBER(MATCH($X353,계정대체기준!$D$77:$D$86,0)),ISNUMBER(MATCH($F353,계정대체기준!$D$77:$D$86,0))),"Y","N")))</f>
        <v/>
      </c>
    </row>
    <row r="354">
      <c r="A354" s="92" t="n">
        <v>2025</v>
      </c>
      <c r="B354" s="92" t="n">
        <v>2</v>
      </c>
      <c r="C354" s="92" t="inlineStr">
        <is>
          <t>5100000350</t>
        </is>
      </c>
      <c r="D354" s="95" t="n">
        <v>45703</v>
      </c>
      <c r="E354" s="92" t="inlineStr">
        <is>
          <t>KR</t>
        </is>
      </c>
      <c r="F354" s="92" t="n">
        <v>62201000</v>
      </c>
      <c r="G354" s="92" t="n">
        <v>1201</v>
      </c>
      <c r="H354" s="93" t="n">
        <v>184000</v>
      </c>
      <c r="I354" s="92" t="inlineStr">
        <is>
          <t>2월 통신요금 - O텔레콤</t>
        </is>
      </c>
      <c r="J354" s="92" t="inlineStr">
        <is>
          <t>V10002</t>
        </is>
      </c>
      <c r="K354" s="92" t="inlineStr">
        <is>
          <t>O텔레콤</t>
        </is>
      </c>
      <c r="M354" s="9">
        <f>IF($A354="","",VALUE($A354&amp;"")*12+VALUE($B354&amp;""))</f>
        <v/>
      </c>
      <c r="N354" s="64">
        <f>IF($A354="","",IFERROR(INDEX(부서매핑!$C$5:$C$504,MATCH($G354&amp;"",부서매핑!$A$5:$A$504,0)),"미매핑"))</f>
        <v/>
      </c>
      <c r="O354" s="9">
        <f>IF($A354="","",N354&amp;"|"&amp;$F354)</f>
        <v/>
      </c>
      <c r="P354" s="94">
        <f>IF($A354="",0,$H354*설정!$C$23)</f>
        <v/>
      </c>
      <c r="Q354" s="64">
        <f>IF($A354="","",IF(O354&lt;&gt;원인분석!$C$9,"",IF(AND(M354&gt;=원인분석!$C$10,M354&lt;=원인분석!$C$11),"당기",IF(AND(M354&gt;=원인분석!$C$12,M354&lt;=원인분석!$C$13),"비교",""))))</f>
        <v/>
      </c>
      <c r="R354" s="9">
        <f>IF(Q354="","",$K354&amp;"")</f>
        <v/>
      </c>
      <c r="S354" s="9">
        <f>IF(Q354="","",IF(MATCH(R354,$R$5:$R$100000,0)=ROW()-4,ROW(),""))</f>
        <v/>
      </c>
      <c r="T354" s="9">
        <f>IF(Q354="당기",ABS(P354)+ROW()/1000000000,"")</f>
        <v/>
      </c>
      <c r="U354" s="9">
        <f>IF(Q354="비교",ABS(P354)+ROW()/1000000000,"")</f>
        <v/>
      </c>
      <c r="V354" s="64">
        <f>IF($A354="","",IF(COUNTIF(변동분석!$E$7:$E$506,O354)&gt;0,"Y","N"))</f>
        <v/>
      </c>
      <c r="W354" s="64">
        <f>IF($A354="","",IFERROR(INDEX(계정매핑!$D$5:$D$504,MATCH($F354&amp;"",계정매핑!$A$5:$A$504,0)),"미매핑"))</f>
        <v/>
      </c>
      <c r="X354" s="9">
        <f>IF($A354="","",$F354&amp;"")</f>
        <v/>
      </c>
      <c r="Y354" s="94">
        <f>IF($A354="",0,IF(AE354="직접",IF(AF354="비귀속",$P354,0),$P354*(1-AG354)*IFERROR(INDEX(계정대체기준!$F$20:$F$49,MATCH($N354,계정대체기준!$A$20:$A$49,0)),1)))</f>
        <v/>
      </c>
      <c r="Z354" s="94">
        <f>IF($A354="",0,IF(AE354="직접",IF(AF354="신계약비",$P354,0),$P354*(1-AG354)*IFERROR(INDEX(계정대체기준!$C$20:$C$49,MATCH($N354,계정대체기준!$A$20:$A$49,0)),0)))</f>
        <v/>
      </c>
      <c r="AA354" s="94">
        <f>IF($A354="",0,IF(AE354="직접",IF(OR(AF354="유지비",AF354="손해조사비"),$P354,0),$P354*(1-AG354)*IFERROR(INDEX(계정대체기준!$D$20:$D$49,MATCH($N354,계정대체기준!$A$20:$A$49,0)),0)))</f>
        <v/>
      </c>
      <c r="AB354" s="94">
        <f>IF($A354="",0,IF(AE354="직접",IF(AF354="수금비",$P354,0),$P354*(1-AG354)*IFERROR(INDEX(계정대체기준!$E$20:$E$49,MATCH($N354,계정대체기준!$A$20:$A$49,0)),0)))</f>
        <v/>
      </c>
      <c r="AC354" s="9">
        <f>IF(AND($A354&lt;&gt;"",M354=설정!$C$20,Z354&gt;0),Z354+ROW()/1000000000,"")</f>
        <v/>
      </c>
      <c r="AD354" s="94">
        <f>IF($A354="",0,$P354*AG354)</f>
        <v/>
      </c>
      <c r="AE354" s="64">
        <f>IF($A354="","",IFERROR(INDEX(계정매핑!$E$5:$E$504,MATCH($F354&amp;"",계정매핑!$A$5:$A$504,0))&amp;"","공통비"))</f>
        <v/>
      </c>
      <c r="AF354" s="64">
        <f>IF($A354="","",IF(AE354="직접",IFERROR(INDEX(계정매핑!$F$5:$F$504,MATCH($F354&amp;"",계정매핑!$A$5:$A$504,0))&amp;"","비귀속"),""))</f>
        <v/>
      </c>
      <c r="AG354" s="96">
        <f>IF($A354="",0,IF(AND(AE354&lt;&gt;"직접",IFERROR(INDEX(계정매핑!$G$5:$G$504,MATCH($F354&amp;"",계정매핑!$A$5:$A$504,0))&amp;"","")="유지비",COUNTIF(계정대체기준!$A$6:$A$15,$N354)&gt;0),IFERROR(INDEX(계정대체기준!$E$6:$E$15,MATCH(VALUE($A354&amp;""),계정대체기준!$D$6:$D$15,0)),0),0))</f>
        <v/>
      </c>
      <c r="AH354" s="64">
        <f>IF($A354="","",IF(AD354=0,"",IF(OR(COUNTIF(계정대체기준!$A$77:$A$86,$N354)&gt;0,ISNUMBER(MATCH($X354,계정대체기준!$D$77:$D$86,0)),ISNUMBER(MATCH($F354,계정대체기준!$D$77:$D$86,0))),"Y","N")))</f>
        <v/>
      </c>
    </row>
    <row r="355">
      <c r="A355" s="92" t="n">
        <v>2025</v>
      </c>
      <c r="B355" s="92" t="n">
        <v>2</v>
      </c>
      <c r="C355" s="92" t="inlineStr">
        <is>
          <t>5100000351</t>
        </is>
      </c>
      <c r="D355" s="95" t="n">
        <v>45703</v>
      </c>
      <c r="E355" s="92" t="inlineStr">
        <is>
          <t>KR</t>
        </is>
      </c>
      <c r="F355" s="92" t="n">
        <v>62401000</v>
      </c>
      <c r="G355" s="92" t="n">
        <v>1501</v>
      </c>
      <c r="H355" s="93" t="n">
        <v>1943000</v>
      </c>
      <c r="I355" s="92" t="inlineStr">
        <is>
          <t>2월 인쇄물 제작 - S출판</t>
        </is>
      </c>
      <c r="J355" s="92" t="inlineStr">
        <is>
          <t>V10015</t>
        </is>
      </c>
      <c r="K355" s="92" t="inlineStr">
        <is>
          <t>S출판</t>
        </is>
      </c>
      <c r="M355" s="9">
        <f>IF($A355="","",VALUE($A355&amp;"")*12+VALUE($B355&amp;""))</f>
        <v/>
      </c>
      <c r="N355" s="64">
        <f>IF($A355="","",IFERROR(INDEX(부서매핑!$C$5:$C$504,MATCH($G355&amp;"",부서매핑!$A$5:$A$504,0)),"미매핑"))</f>
        <v/>
      </c>
      <c r="O355" s="9">
        <f>IF($A355="","",N355&amp;"|"&amp;$F355)</f>
        <v/>
      </c>
      <c r="P355" s="94">
        <f>IF($A355="",0,$H355*설정!$C$23)</f>
        <v/>
      </c>
      <c r="Q355" s="64">
        <f>IF($A355="","",IF(O355&lt;&gt;원인분석!$C$9,"",IF(AND(M355&gt;=원인분석!$C$10,M355&lt;=원인분석!$C$11),"당기",IF(AND(M355&gt;=원인분석!$C$12,M355&lt;=원인분석!$C$13),"비교",""))))</f>
        <v/>
      </c>
      <c r="R355" s="9">
        <f>IF(Q355="","",$K355&amp;"")</f>
        <v/>
      </c>
      <c r="S355" s="9">
        <f>IF(Q355="","",IF(MATCH(R355,$R$5:$R$100000,0)=ROW()-4,ROW(),""))</f>
        <v/>
      </c>
      <c r="T355" s="9">
        <f>IF(Q355="당기",ABS(P355)+ROW()/1000000000,"")</f>
        <v/>
      </c>
      <c r="U355" s="9">
        <f>IF(Q355="비교",ABS(P355)+ROW()/1000000000,"")</f>
        <v/>
      </c>
      <c r="V355" s="64">
        <f>IF($A355="","",IF(COUNTIF(변동분석!$E$7:$E$506,O355)&gt;0,"Y","N"))</f>
        <v/>
      </c>
      <c r="W355" s="64">
        <f>IF($A355="","",IFERROR(INDEX(계정매핑!$D$5:$D$504,MATCH($F355&amp;"",계정매핑!$A$5:$A$504,0)),"미매핑"))</f>
        <v/>
      </c>
      <c r="X355" s="9">
        <f>IF($A355="","",$F355&amp;"")</f>
        <v/>
      </c>
      <c r="Y355" s="94">
        <f>IF($A355="",0,IF(AE355="직접",IF(AF355="비귀속",$P355,0),$P355*(1-AG355)*IFERROR(INDEX(계정대체기준!$F$20:$F$49,MATCH($N355,계정대체기준!$A$20:$A$49,0)),1)))</f>
        <v/>
      </c>
      <c r="Z355" s="94">
        <f>IF($A355="",0,IF(AE355="직접",IF(AF355="신계약비",$P355,0),$P355*(1-AG355)*IFERROR(INDEX(계정대체기준!$C$20:$C$49,MATCH($N355,계정대체기준!$A$20:$A$49,0)),0)))</f>
        <v/>
      </c>
      <c r="AA355" s="94">
        <f>IF($A355="",0,IF(AE355="직접",IF(OR(AF355="유지비",AF355="손해조사비"),$P355,0),$P355*(1-AG355)*IFERROR(INDEX(계정대체기준!$D$20:$D$49,MATCH($N355,계정대체기준!$A$20:$A$49,0)),0)))</f>
        <v/>
      </c>
      <c r="AB355" s="94">
        <f>IF($A355="",0,IF(AE355="직접",IF(AF355="수금비",$P355,0),$P355*(1-AG355)*IFERROR(INDEX(계정대체기준!$E$20:$E$49,MATCH($N355,계정대체기준!$A$20:$A$49,0)),0)))</f>
        <v/>
      </c>
      <c r="AC355" s="9">
        <f>IF(AND($A355&lt;&gt;"",M355=설정!$C$20,Z355&gt;0),Z355+ROW()/1000000000,"")</f>
        <v/>
      </c>
      <c r="AD355" s="94">
        <f>IF($A355="",0,$P355*AG355)</f>
        <v/>
      </c>
      <c r="AE355" s="64">
        <f>IF($A355="","",IFERROR(INDEX(계정매핑!$E$5:$E$504,MATCH($F355&amp;"",계정매핑!$A$5:$A$504,0))&amp;"","공통비"))</f>
        <v/>
      </c>
      <c r="AF355" s="64">
        <f>IF($A355="","",IF(AE355="직접",IFERROR(INDEX(계정매핑!$F$5:$F$504,MATCH($F355&amp;"",계정매핑!$A$5:$A$504,0))&amp;"","비귀속"),""))</f>
        <v/>
      </c>
      <c r="AG355" s="96">
        <f>IF($A355="",0,IF(AND(AE355&lt;&gt;"직접",IFERROR(INDEX(계정매핑!$G$5:$G$504,MATCH($F355&amp;"",계정매핑!$A$5:$A$504,0))&amp;"","")="유지비",COUNTIF(계정대체기준!$A$6:$A$15,$N355)&gt;0),IFERROR(INDEX(계정대체기준!$E$6:$E$15,MATCH(VALUE($A355&amp;""),계정대체기준!$D$6:$D$15,0)),0),0))</f>
        <v/>
      </c>
      <c r="AH355" s="64">
        <f>IF($A355="","",IF(AD355=0,"",IF(OR(COUNTIF(계정대체기준!$A$77:$A$86,$N355)&gt;0,ISNUMBER(MATCH($X355,계정대체기준!$D$77:$D$86,0)),ISNUMBER(MATCH($F355,계정대체기준!$D$77:$D$86,0))),"Y","N")))</f>
        <v/>
      </c>
    </row>
    <row r="356">
      <c r="A356" s="92" t="n">
        <v>2025</v>
      </c>
      <c r="B356" s="92" t="n">
        <v>2</v>
      </c>
      <c r="C356" s="92" t="inlineStr">
        <is>
          <t>5100000352</t>
        </is>
      </c>
      <c r="D356" s="95" t="n">
        <v>45703</v>
      </c>
      <c r="E356" s="92" t="inlineStr">
        <is>
          <t>KR</t>
        </is>
      </c>
      <c r="F356" s="92" t="n">
        <v>62501000</v>
      </c>
      <c r="G356" s="92" t="n">
        <v>1101</v>
      </c>
      <c r="H356" s="93" t="n">
        <v>242000</v>
      </c>
      <c r="I356" s="92" t="inlineStr">
        <is>
          <t>2월 회의 다과 - (법인카드)</t>
        </is>
      </c>
      <c r="J356" s="92" t="inlineStr">
        <is>
          <t>V10010</t>
        </is>
      </c>
      <c r="K356" s="92" t="inlineStr">
        <is>
          <t>(법인카드)</t>
        </is>
      </c>
      <c r="M356" s="9">
        <f>IF($A356="","",VALUE($A356&amp;"")*12+VALUE($B356&amp;""))</f>
        <v/>
      </c>
      <c r="N356" s="64">
        <f>IF($A356="","",IFERROR(INDEX(부서매핑!$C$5:$C$504,MATCH($G356&amp;"",부서매핑!$A$5:$A$504,0)),"미매핑"))</f>
        <v/>
      </c>
      <c r="O356" s="9">
        <f>IF($A356="","",N356&amp;"|"&amp;$F356)</f>
        <v/>
      </c>
      <c r="P356" s="94">
        <f>IF($A356="",0,$H356*설정!$C$23)</f>
        <v/>
      </c>
      <c r="Q356" s="64">
        <f>IF($A356="","",IF(O356&lt;&gt;원인분석!$C$9,"",IF(AND(M356&gt;=원인분석!$C$10,M356&lt;=원인분석!$C$11),"당기",IF(AND(M356&gt;=원인분석!$C$12,M356&lt;=원인분석!$C$13),"비교",""))))</f>
        <v/>
      </c>
      <c r="R356" s="9">
        <f>IF(Q356="","",$K356&amp;"")</f>
        <v/>
      </c>
      <c r="S356" s="9">
        <f>IF(Q356="","",IF(MATCH(R356,$R$5:$R$100000,0)=ROW()-4,ROW(),""))</f>
        <v/>
      </c>
      <c r="T356" s="9">
        <f>IF(Q356="당기",ABS(P356)+ROW()/1000000000,"")</f>
        <v/>
      </c>
      <c r="U356" s="9">
        <f>IF(Q356="비교",ABS(P356)+ROW()/1000000000,"")</f>
        <v/>
      </c>
      <c r="V356" s="64">
        <f>IF($A356="","",IF(COUNTIF(변동분석!$E$7:$E$506,O356)&gt;0,"Y","N"))</f>
        <v/>
      </c>
      <c r="W356" s="64">
        <f>IF($A356="","",IFERROR(INDEX(계정매핑!$D$5:$D$504,MATCH($F356&amp;"",계정매핑!$A$5:$A$504,0)),"미매핑"))</f>
        <v/>
      </c>
      <c r="X356" s="9">
        <f>IF($A356="","",$F356&amp;"")</f>
        <v/>
      </c>
      <c r="Y356" s="94">
        <f>IF($A356="",0,IF(AE356="직접",IF(AF356="비귀속",$P356,0),$P356*(1-AG356)*IFERROR(INDEX(계정대체기준!$F$20:$F$49,MATCH($N356,계정대체기준!$A$20:$A$49,0)),1)))</f>
        <v/>
      </c>
      <c r="Z356" s="94">
        <f>IF($A356="",0,IF(AE356="직접",IF(AF356="신계약비",$P356,0),$P356*(1-AG356)*IFERROR(INDEX(계정대체기준!$C$20:$C$49,MATCH($N356,계정대체기준!$A$20:$A$49,0)),0)))</f>
        <v/>
      </c>
      <c r="AA356" s="94">
        <f>IF($A356="",0,IF(AE356="직접",IF(OR(AF356="유지비",AF356="손해조사비"),$P356,0),$P356*(1-AG356)*IFERROR(INDEX(계정대체기준!$D$20:$D$49,MATCH($N356,계정대체기준!$A$20:$A$49,0)),0)))</f>
        <v/>
      </c>
      <c r="AB356" s="94">
        <f>IF($A356="",0,IF(AE356="직접",IF(AF356="수금비",$P356,0),$P356*(1-AG356)*IFERROR(INDEX(계정대체기준!$E$20:$E$49,MATCH($N356,계정대체기준!$A$20:$A$49,0)),0)))</f>
        <v/>
      </c>
      <c r="AC356" s="9">
        <f>IF(AND($A356&lt;&gt;"",M356=설정!$C$20,Z356&gt;0),Z356+ROW()/1000000000,"")</f>
        <v/>
      </c>
      <c r="AD356" s="94">
        <f>IF($A356="",0,$P356*AG356)</f>
        <v/>
      </c>
      <c r="AE356" s="64">
        <f>IF($A356="","",IFERROR(INDEX(계정매핑!$E$5:$E$504,MATCH($F356&amp;"",계정매핑!$A$5:$A$504,0))&amp;"","공통비"))</f>
        <v/>
      </c>
      <c r="AF356" s="64">
        <f>IF($A356="","",IF(AE356="직접",IFERROR(INDEX(계정매핑!$F$5:$F$504,MATCH($F356&amp;"",계정매핑!$A$5:$A$504,0))&amp;"","비귀속"),""))</f>
        <v/>
      </c>
      <c r="AG356" s="96">
        <f>IF($A356="",0,IF(AND(AE356&lt;&gt;"직접",IFERROR(INDEX(계정매핑!$G$5:$G$504,MATCH($F356&amp;"",계정매핑!$A$5:$A$504,0))&amp;"","")="유지비",COUNTIF(계정대체기준!$A$6:$A$15,$N356)&gt;0),IFERROR(INDEX(계정대체기준!$E$6:$E$15,MATCH(VALUE($A356&amp;""),계정대체기준!$D$6:$D$15,0)),0),0))</f>
        <v/>
      </c>
      <c r="AH356" s="64">
        <f>IF($A356="","",IF(AD356=0,"",IF(OR(COUNTIF(계정대체기준!$A$77:$A$86,$N356)&gt;0,ISNUMBER(MATCH($X356,계정대체기준!$D$77:$D$86,0)),ISNUMBER(MATCH($F356,계정대체기준!$D$77:$D$86,0))),"Y","N")))</f>
        <v/>
      </c>
    </row>
    <row r="357">
      <c r="A357" s="92" t="n">
        <v>2025</v>
      </c>
      <c r="B357" s="92" t="n">
        <v>2</v>
      </c>
      <c r="C357" s="92" t="inlineStr">
        <is>
          <t>5100000353</t>
        </is>
      </c>
      <c r="D357" s="95" t="n">
        <v>45703</v>
      </c>
      <c r="E357" s="92" t="inlineStr">
        <is>
          <t>KR</t>
        </is>
      </c>
      <c r="F357" s="92" t="n">
        <v>62501000</v>
      </c>
      <c r="G357" s="92" t="n">
        <v>1301</v>
      </c>
      <c r="H357" s="93" t="n">
        <v>450000</v>
      </c>
      <c r="I357" s="92" t="inlineStr">
        <is>
          <t>2월 회의 다과 - T케이터링</t>
        </is>
      </c>
      <c r="J357" s="92" t="inlineStr">
        <is>
          <t>V10005</t>
        </is>
      </c>
      <c r="K357" s="92" t="inlineStr">
        <is>
          <t>T케이터링</t>
        </is>
      </c>
      <c r="M357" s="9">
        <f>IF($A357="","",VALUE($A357&amp;"")*12+VALUE($B357&amp;""))</f>
        <v/>
      </c>
      <c r="N357" s="64">
        <f>IF($A357="","",IFERROR(INDEX(부서매핑!$C$5:$C$504,MATCH($G357&amp;"",부서매핑!$A$5:$A$504,0)),"미매핑"))</f>
        <v/>
      </c>
      <c r="O357" s="9">
        <f>IF($A357="","",N357&amp;"|"&amp;$F357)</f>
        <v/>
      </c>
      <c r="P357" s="94">
        <f>IF($A357="",0,$H357*설정!$C$23)</f>
        <v/>
      </c>
      <c r="Q357" s="64">
        <f>IF($A357="","",IF(O357&lt;&gt;원인분석!$C$9,"",IF(AND(M357&gt;=원인분석!$C$10,M357&lt;=원인분석!$C$11),"당기",IF(AND(M357&gt;=원인분석!$C$12,M357&lt;=원인분석!$C$13),"비교",""))))</f>
        <v/>
      </c>
      <c r="R357" s="9">
        <f>IF(Q357="","",$K357&amp;"")</f>
        <v/>
      </c>
      <c r="S357" s="9">
        <f>IF(Q357="","",IF(MATCH(R357,$R$5:$R$100000,0)=ROW()-4,ROW(),""))</f>
        <v/>
      </c>
      <c r="T357" s="9">
        <f>IF(Q357="당기",ABS(P357)+ROW()/1000000000,"")</f>
        <v/>
      </c>
      <c r="U357" s="9">
        <f>IF(Q357="비교",ABS(P357)+ROW()/1000000000,"")</f>
        <v/>
      </c>
      <c r="V357" s="64">
        <f>IF($A357="","",IF(COUNTIF(변동분석!$E$7:$E$506,O357)&gt;0,"Y","N"))</f>
        <v/>
      </c>
      <c r="W357" s="64">
        <f>IF($A357="","",IFERROR(INDEX(계정매핑!$D$5:$D$504,MATCH($F357&amp;"",계정매핑!$A$5:$A$504,0)),"미매핑"))</f>
        <v/>
      </c>
      <c r="X357" s="9">
        <f>IF($A357="","",$F357&amp;"")</f>
        <v/>
      </c>
      <c r="Y357" s="94">
        <f>IF($A357="",0,IF(AE357="직접",IF(AF357="비귀속",$P357,0),$P357*(1-AG357)*IFERROR(INDEX(계정대체기준!$F$20:$F$49,MATCH($N357,계정대체기준!$A$20:$A$49,0)),1)))</f>
        <v/>
      </c>
      <c r="Z357" s="94">
        <f>IF($A357="",0,IF(AE357="직접",IF(AF357="신계약비",$P357,0),$P357*(1-AG357)*IFERROR(INDEX(계정대체기준!$C$20:$C$49,MATCH($N357,계정대체기준!$A$20:$A$49,0)),0)))</f>
        <v/>
      </c>
      <c r="AA357" s="94">
        <f>IF($A357="",0,IF(AE357="직접",IF(OR(AF357="유지비",AF357="손해조사비"),$P357,0),$P357*(1-AG357)*IFERROR(INDEX(계정대체기준!$D$20:$D$49,MATCH($N357,계정대체기준!$A$20:$A$49,0)),0)))</f>
        <v/>
      </c>
      <c r="AB357" s="94">
        <f>IF($A357="",0,IF(AE357="직접",IF(AF357="수금비",$P357,0),$P357*(1-AG357)*IFERROR(INDEX(계정대체기준!$E$20:$E$49,MATCH($N357,계정대체기준!$A$20:$A$49,0)),0)))</f>
        <v/>
      </c>
      <c r="AC357" s="9">
        <f>IF(AND($A357&lt;&gt;"",M357=설정!$C$20,Z357&gt;0),Z357+ROW()/1000000000,"")</f>
        <v/>
      </c>
      <c r="AD357" s="94">
        <f>IF($A357="",0,$P357*AG357)</f>
        <v/>
      </c>
      <c r="AE357" s="64">
        <f>IF($A357="","",IFERROR(INDEX(계정매핑!$E$5:$E$504,MATCH($F357&amp;"",계정매핑!$A$5:$A$504,0))&amp;"","공통비"))</f>
        <v/>
      </c>
      <c r="AF357" s="64">
        <f>IF($A357="","",IF(AE357="직접",IFERROR(INDEX(계정매핑!$F$5:$F$504,MATCH($F357&amp;"",계정매핑!$A$5:$A$504,0))&amp;"","비귀속"),""))</f>
        <v/>
      </c>
      <c r="AG357" s="96">
        <f>IF($A357="",0,IF(AND(AE357&lt;&gt;"직접",IFERROR(INDEX(계정매핑!$G$5:$G$504,MATCH($F357&amp;"",계정매핑!$A$5:$A$504,0))&amp;"","")="유지비",COUNTIF(계정대체기준!$A$6:$A$15,$N357)&gt;0),IFERROR(INDEX(계정대체기준!$E$6:$E$15,MATCH(VALUE($A357&amp;""),계정대체기준!$D$6:$D$15,0)),0),0))</f>
        <v/>
      </c>
      <c r="AH357" s="64">
        <f>IF($A357="","",IF(AD357=0,"",IF(OR(COUNTIF(계정대체기준!$A$77:$A$86,$N357)&gt;0,ISNUMBER(MATCH($X357,계정대체기준!$D$77:$D$86,0)),ISNUMBER(MATCH($F357,계정대체기준!$D$77:$D$86,0))),"Y","N")))</f>
        <v/>
      </c>
    </row>
    <row r="358">
      <c r="A358" s="92" t="n">
        <v>2025</v>
      </c>
      <c r="B358" s="92" t="n">
        <v>2</v>
      </c>
      <c r="C358" s="92" t="inlineStr">
        <is>
          <t>5100000354</t>
        </is>
      </c>
      <c r="D358" s="95" t="n">
        <v>45703</v>
      </c>
      <c r="E358" s="92" t="inlineStr">
        <is>
          <t>KR</t>
        </is>
      </c>
      <c r="F358" s="92" t="n">
        <v>62901000</v>
      </c>
      <c r="G358" s="92" t="n">
        <v>1201</v>
      </c>
      <c r="H358" s="93" t="n">
        <v>3445000</v>
      </c>
      <c r="I358" s="92" t="inlineStr">
        <is>
          <t>2월 자문 수수료 - K회계법인</t>
        </is>
      </c>
      <c r="J358" s="92" t="inlineStr">
        <is>
          <t>V10011</t>
        </is>
      </c>
      <c r="K358" s="92" t="inlineStr">
        <is>
          <t>K회계법인</t>
        </is>
      </c>
      <c r="M358" s="9">
        <f>IF($A358="","",VALUE($A358&amp;"")*12+VALUE($B358&amp;""))</f>
        <v/>
      </c>
      <c r="N358" s="64">
        <f>IF($A358="","",IFERROR(INDEX(부서매핑!$C$5:$C$504,MATCH($G358&amp;"",부서매핑!$A$5:$A$504,0)),"미매핑"))</f>
        <v/>
      </c>
      <c r="O358" s="9">
        <f>IF($A358="","",N358&amp;"|"&amp;$F358)</f>
        <v/>
      </c>
      <c r="P358" s="94">
        <f>IF($A358="",0,$H358*설정!$C$23)</f>
        <v/>
      </c>
      <c r="Q358" s="64">
        <f>IF($A358="","",IF(O358&lt;&gt;원인분석!$C$9,"",IF(AND(M358&gt;=원인분석!$C$10,M358&lt;=원인분석!$C$11),"당기",IF(AND(M358&gt;=원인분석!$C$12,M358&lt;=원인분석!$C$13),"비교",""))))</f>
        <v/>
      </c>
      <c r="R358" s="9">
        <f>IF(Q358="","",$K358&amp;"")</f>
        <v/>
      </c>
      <c r="S358" s="9">
        <f>IF(Q358="","",IF(MATCH(R358,$R$5:$R$100000,0)=ROW()-4,ROW(),""))</f>
        <v/>
      </c>
      <c r="T358" s="9">
        <f>IF(Q358="당기",ABS(P358)+ROW()/1000000000,"")</f>
        <v/>
      </c>
      <c r="U358" s="9">
        <f>IF(Q358="비교",ABS(P358)+ROW()/1000000000,"")</f>
        <v/>
      </c>
      <c r="V358" s="64">
        <f>IF($A358="","",IF(COUNTIF(변동분석!$E$7:$E$506,O358)&gt;0,"Y","N"))</f>
        <v/>
      </c>
      <c r="W358" s="64">
        <f>IF($A358="","",IFERROR(INDEX(계정매핑!$D$5:$D$504,MATCH($F358&amp;"",계정매핑!$A$5:$A$504,0)),"미매핑"))</f>
        <v/>
      </c>
      <c r="X358" s="9">
        <f>IF($A358="","",$F358&amp;"")</f>
        <v/>
      </c>
      <c r="Y358" s="94">
        <f>IF($A358="",0,IF(AE358="직접",IF(AF358="비귀속",$P358,0),$P358*(1-AG358)*IFERROR(INDEX(계정대체기준!$F$20:$F$49,MATCH($N358,계정대체기준!$A$20:$A$49,0)),1)))</f>
        <v/>
      </c>
      <c r="Z358" s="94">
        <f>IF($A358="",0,IF(AE358="직접",IF(AF358="신계약비",$P358,0),$P358*(1-AG358)*IFERROR(INDEX(계정대체기준!$C$20:$C$49,MATCH($N358,계정대체기준!$A$20:$A$49,0)),0)))</f>
        <v/>
      </c>
      <c r="AA358" s="94">
        <f>IF($A358="",0,IF(AE358="직접",IF(OR(AF358="유지비",AF358="손해조사비"),$P358,0),$P358*(1-AG358)*IFERROR(INDEX(계정대체기준!$D$20:$D$49,MATCH($N358,계정대체기준!$A$20:$A$49,0)),0)))</f>
        <v/>
      </c>
      <c r="AB358" s="94">
        <f>IF($A358="",0,IF(AE358="직접",IF(AF358="수금비",$P358,0),$P358*(1-AG358)*IFERROR(INDEX(계정대체기준!$E$20:$E$49,MATCH($N358,계정대체기준!$A$20:$A$49,0)),0)))</f>
        <v/>
      </c>
      <c r="AC358" s="9">
        <f>IF(AND($A358&lt;&gt;"",M358=설정!$C$20,Z358&gt;0),Z358+ROW()/1000000000,"")</f>
        <v/>
      </c>
      <c r="AD358" s="94">
        <f>IF($A358="",0,$P358*AG358)</f>
        <v/>
      </c>
      <c r="AE358" s="64">
        <f>IF($A358="","",IFERROR(INDEX(계정매핑!$E$5:$E$504,MATCH($F358&amp;"",계정매핑!$A$5:$A$504,0))&amp;"","공통비"))</f>
        <v/>
      </c>
      <c r="AF358" s="64">
        <f>IF($A358="","",IF(AE358="직접",IFERROR(INDEX(계정매핑!$F$5:$F$504,MATCH($F358&amp;"",계정매핑!$A$5:$A$504,0))&amp;"","비귀속"),""))</f>
        <v/>
      </c>
      <c r="AG358" s="96">
        <f>IF($A358="",0,IF(AND(AE358&lt;&gt;"직접",IFERROR(INDEX(계정매핑!$G$5:$G$504,MATCH($F358&amp;"",계정매핑!$A$5:$A$504,0))&amp;"","")="유지비",COUNTIF(계정대체기준!$A$6:$A$15,$N358)&gt;0),IFERROR(INDEX(계정대체기준!$E$6:$E$15,MATCH(VALUE($A358&amp;""),계정대체기준!$D$6:$D$15,0)),0),0))</f>
        <v/>
      </c>
      <c r="AH358" s="64">
        <f>IF($A358="","",IF(AD358=0,"",IF(OR(COUNTIF(계정대체기준!$A$77:$A$86,$N358)&gt;0,ISNUMBER(MATCH($X358,계정대체기준!$D$77:$D$86,0)),ISNUMBER(MATCH($F358,계정대체기준!$D$77:$D$86,0))),"Y","N")))</f>
        <v/>
      </c>
    </row>
    <row r="359">
      <c r="A359" s="92" t="n">
        <v>2025</v>
      </c>
      <c r="B359" s="92" t="n">
        <v>2</v>
      </c>
      <c r="C359" s="92" t="inlineStr">
        <is>
          <t>5100000355</t>
        </is>
      </c>
      <c r="D359" s="95" t="n">
        <v>45703</v>
      </c>
      <c r="E359" s="92" t="inlineStr">
        <is>
          <t>KR</t>
        </is>
      </c>
      <c r="F359" s="92" t="n">
        <v>62901000</v>
      </c>
      <c r="G359" s="92" t="n">
        <v>1201</v>
      </c>
      <c r="H359" s="93" t="n">
        <v>5567000</v>
      </c>
      <c r="I359" s="92" t="inlineStr">
        <is>
          <t>2월 자문 수수료 - W컨설팅</t>
        </is>
      </c>
      <c r="J359" s="92" t="inlineStr">
        <is>
          <t>V10006</t>
        </is>
      </c>
      <c r="K359" s="92" t="inlineStr">
        <is>
          <t>W컨설팅</t>
        </is>
      </c>
      <c r="M359" s="9">
        <f>IF($A359="","",VALUE($A359&amp;"")*12+VALUE($B359&amp;""))</f>
        <v/>
      </c>
      <c r="N359" s="64">
        <f>IF($A359="","",IFERROR(INDEX(부서매핑!$C$5:$C$504,MATCH($G359&amp;"",부서매핑!$A$5:$A$504,0)),"미매핑"))</f>
        <v/>
      </c>
      <c r="O359" s="9">
        <f>IF($A359="","",N359&amp;"|"&amp;$F359)</f>
        <v/>
      </c>
      <c r="P359" s="94">
        <f>IF($A359="",0,$H359*설정!$C$23)</f>
        <v/>
      </c>
      <c r="Q359" s="64">
        <f>IF($A359="","",IF(O359&lt;&gt;원인분석!$C$9,"",IF(AND(M359&gt;=원인분석!$C$10,M359&lt;=원인분석!$C$11),"당기",IF(AND(M359&gt;=원인분석!$C$12,M359&lt;=원인분석!$C$13),"비교",""))))</f>
        <v/>
      </c>
      <c r="R359" s="9">
        <f>IF(Q359="","",$K359&amp;"")</f>
        <v/>
      </c>
      <c r="S359" s="9">
        <f>IF(Q359="","",IF(MATCH(R359,$R$5:$R$100000,0)=ROW()-4,ROW(),""))</f>
        <v/>
      </c>
      <c r="T359" s="9">
        <f>IF(Q359="당기",ABS(P359)+ROW()/1000000000,"")</f>
        <v/>
      </c>
      <c r="U359" s="9">
        <f>IF(Q359="비교",ABS(P359)+ROW()/1000000000,"")</f>
        <v/>
      </c>
      <c r="V359" s="64">
        <f>IF($A359="","",IF(COUNTIF(변동분석!$E$7:$E$506,O359)&gt;0,"Y","N"))</f>
        <v/>
      </c>
      <c r="W359" s="64">
        <f>IF($A359="","",IFERROR(INDEX(계정매핑!$D$5:$D$504,MATCH($F359&amp;"",계정매핑!$A$5:$A$504,0)),"미매핑"))</f>
        <v/>
      </c>
      <c r="X359" s="9">
        <f>IF($A359="","",$F359&amp;"")</f>
        <v/>
      </c>
      <c r="Y359" s="94">
        <f>IF($A359="",0,IF(AE359="직접",IF(AF359="비귀속",$P359,0),$P359*(1-AG359)*IFERROR(INDEX(계정대체기준!$F$20:$F$49,MATCH($N359,계정대체기준!$A$20:$A$49,0)),1)))</f>
        <v/>
      </c>
      <c r="Z359" s="94">
        <f>IF($A359="",0,IF(AE359="직접",IF(AF359="신계약비",$P359,0),$P359*(1-AG359)*IFERROR(INDEX(계정대체기준!$C$20:$C$49,MATCH($N359,계정대체기준!$A$20:$A$49,0)),0)))</f>
        <v/>
      </c>
      <c r="AA359" s="94">
        <f>IF($A359="",0,IF(AE359="직접",IF(OR(AF359="유지비",AF359="손해조사비"),$P359,0),$P359*(1-AG359)*IFERROR(INDEX(계정대체기준!$D$20:$D$49,MATCH($N359,계정대체기준!$A$20:$A$49,0)),0)))</f>
        <v/>
      </c>
      <c r="AB359" s="94">
        <f>IF($A359="",0,IF(AE359="직접",IF(AF359="수금비",$P359,0),$P359*(1-AG359)*IFERROR(INDEX(계정대체기준!$E$20:$E$49,MATCH($N359,계정대체기준!$A$20:$A$49,0)),0)))</f>
        <v/>
      </c>
      <c r="AC359" s="9">
        <f>IF(AND($A359&lt;&gt;"",M359=설정!$C$20,Z359&gt;0),Z359+ROW()/1000000000,"")</f>
        <v/>
      </c>
      <c r="AD359" s="94">
        <f>IF($A359="",0,$P359*AG359)</f>
        <v/>
      </c>
      <c r="AE359" s="64">
        <f>IF($A359="","",IFERROR(INDEX(계정매핑!$E$5:$E$504,MATCH($F359&amp;"",계정매핑!$A$5:$A$504,0))&amp;"","공통비"))</f>
        <v/>
      </c>
      <c r="AF359" s="64">
        <f>IF($A359="","",IF(AE359="직접",IFERROR(INDEX(계정매핑!$F$5:$F$504,MATCH($F359&amp;"",계정매핑!$A$5:$A$504,0))&amp;"","비귀속"),""))</f>
        <v/>
      </c>
      <c r="AG359" s="96">
        <f>IF($A359="",0,IF(AND(AE359&lt;&gt;"직접",IFERROR(INDEX(계정매핑!$G$5:$G$504,MATCH($F359&amp;"",계정매핑!$A$5:$A$504,0))&amp;"","")="유지비",COUNTIF(계정대체기준!$A$6:$A$15,$N359)&gt;0),IFERROR(INDEX(계정대체기준!$E$6:$E$15,MATCH(VALUE($A359&amp;""),계정대체기준!$D$6:$D$15,0)),0),0))</f>
        <v/>
      </c>
      <c r="AH359" s="64">
        <f>IF($A359="","",IF(AD359=0,"",IF(OR(COUNTIF(계정대체기준!$A$77:$A$86,$N359)&gt;0,ISNUMBER(MATCH($X359,계정대체기준!$D$77:$D$86,0)),ISNUMBER(MATCH($F359,계정대체기준!$D$77:$D$86,0))),"Y","N")))</f>
        <v/>
      </c>
    </row>
    <row r="360">
      <c r="A360" s="92" t="n">
        <v>2025</v>
      </c>
      <c r="B360" s="92" t="n">
        <v>2</v>
      </c>
      <c r="C360" s="92" t="inlineStr">
        <is>
          <t>5100000356</t>
        </is>
      </c>
      <c r="D360" s="95" t="n">
        <v>45703</v>
      </c>
      <c r="E360" s="92" t="inlineStr">
        <is>
          <t>KR</t>
        </is>
      </c>
      <c r="F360" s="92" t="n">
        <v>62901000</v>
      </c>
      <c r="G360" s="92" t="n">
        <v>1401</v>
      </c>
      <c r="H360" s="93" t="n">
        <v>4452000</v>
      </c>
      <c r="I360" s="92" t="inlineStr">
        <is>
          <t>2월 자문 수수료 - K회계법인</t>
        </is>
      </c>
      <c r="J360" s="92" t="inlineStr">
        <is>
          <t>V10011</t>
        </is>
      </c>
      <c r="K360" s="92" t="inlineStr">
        <is>
          <t>K회계법인</t>
        </is>
      </c>
      <c r="M360" s="9">
        <f>IF($A360="","",VALUE($A360&amp;"")*12+VALUE($B360&amp;""))</f>
        <v/>
      </c>
      <c r="N360" s="64">
        <f>IF($A360="","",IFERROR(INDEX(부서매핑!$C$5:$C$504,MATCH($G360&amp;"",부서매핑!$A$5:$A$504,0)),"미매핑"))</f>
        <v/>
      </c>
      <c r="O360" s="9">
        <f>IF($A360="","",N360&amp;"|"&amp;$F360)</f>
        <v/>
      </c>
      <c r="P360" s="94">
        <f>IF($A360="",0,$H360*설정!$C$23)</f>
        <v/>
      </c>
      <c r="Q360" s="64">
        <f>IF($A360="","",IF(O360&lt;&gt;원인분석!$C$9,"",IF(AND(M360&gt;=원인분석!$C$10,M360&lt;=원인분석!$C$11),"당기",IF(AND(M360&gt;=원인분석!$C$12,M360&lt;=원인분석!$C$13),"비교",""))))</f>
        <v/>
      </c>
      <c r="R360" s="9">
        <f>IF(Q360="","",$K360&amp;"")</f>
        <v/>
      </c>
      <c r="S360" s="9">
        <f>IF(Q360="","",IF(MATCH(R360,$R$5:$R$100000,0)=ROW()-4,ROW(),""))</f>
        <v/>
      </c>
      <c r="T360" s="9">
        <f>IF(Q360="당기",ABS(P360)+ROW()/1000000000,"")</f>
        <v/>
      </c>
      <c r="U360" s="9">
        <f>IF(Q360="비교",ABS(P360)+ROW()/1000000000,"")</f>
        <v/>
      </c>
      <c r="V360" s="64">
        <f>IF($A360="","",IF(COUNTIF(변동분석!$E$7:$E$506,O360)&gt;0,"Y","N"))</f>
        <v/>
      </c>
      <c r="W360" s="64">
        <f>IF($A360="","",IFERROR(INDEX(계정매핑!$D$5:$D$504,MATCH($F360&amp;"",계정매핑!$A$5:$A$504,0)),"미매핑"))</f>
        <v/>
      </c>
      <c r="X360" s="9">
        <f>IF($A360="","",$F360&amp;"")</f>
        <v/>
      </c>
      <c r="Y360" s="94">
        <f>IF($A360="",0,IF(AE360="직접",IF(AF360="비귀속",$P360,0),$P360*(1-AG360)*IFERROR(INDEX(계정대체기준!$F$20:$F$49,MATCH($N360,계정대체기준!$A$20:$A$49,0)),1)))</f>
        <v/>
      </c>
      <c r="Z360" s="94">
        <f>IF($A360="",0,IF(AE360="직접",IF(AF360="신계약비",$P360,0),$P360*(1-AG360)*IFERROR(INDEX(계정대체기준!$C$20:$C$49,MATCH($N360,계정대체기준!$A$20:$A$49,0)),0)))</f>
        <v/>
      </c>
      <c r="AA360" s="94">
        <f>IF($A360="",0,IF(AE360="직접",IF(OR(AF360="유지비",AF360="손해조사비"),$P360,0),$P360*(1-AG360)*IFERROR(INDEX(계정대체기준!$D$20:$D$49,MATCH($N360,계정대체기준!$A$20:$A$49,0)),0)))</f>
        <v/>
      </c>
      <c r="AB360" s="94">
        <f>IF($A360="",0,IF(AE360="직접",IF(AF360="수금비",$P360,0),$P360*(1-AG360)*IFERROR(INDEX(계정대체기준!$E$20:$E$49,MATCH($N360,계정대체기준!$A$20:$A$49,0)),0)))</f>
        <v/>
      </c>
      <c r="AC360" s="9">
        <f>IF(AND($A360&lt;&gt;"",M360=설정!$C$20,Z360&gt;0),Z360+ROW()/1000000000,"")</f>
        <v/>
      </c>
      <c r="AD360" s="94">
        <f>IF($A360="",0,$P360*AG360)</f>
        <v/>
      </c>
      <c r="AE360" s="64">
        <f>IF($A360="","",IFERROR(INDEX(계정매핑!$E$5:$E$504,MATCH($F360&amp;"",계정매핑!$A$5:$A$504,0))&amp;"","공통비"))</f>
        <v/>
      </c>
      <c r="AF360" s="64">
        <f>IF($A360="","",IF(AE360="직접",IFERROR(INDEX(계정매핑!$F$5:$F$504,MATCH($F360&amp;"",계정매핑!$A$5:$A$504,0))&amp;"","비귀속"),""))</f>
        <v/>
      </c>
      <c r="AG360" s="96">
        <f>IF($A360="",0,IF(AND(AE360&lt;&gt;"직접",IFERROR(INDEX(계정매핑!$G$5:$G$504,MATCH($F360&amp;"",계정매핑!$A$5:$A$504,0))&amp;"","")="유지비",COUNTIF(계정대체기준!$A$6:$A$15,$N360)&gt;0),IFERROR(INDEX(계정대체기준!$E$6:$E$15,MATCH(VALUE($A360&amp;""),계정대체기준!$D$6:$D$15,0)),0),0))</f>
        <v/>
      </c>
      <c r="AH360" s="64">
        <f>IF($A360="","",IF(AD360=0,"",IF(OR(COUNTIF(계정대체기준!$A$77:$A$86,$N360)&gt;0,ISNUMBER(MATCH($X360,계정대체기준!$D$77:$D$86,0)),ISNUMBER(MATCH($F360,계정대체기준!$D$77:$D$86,0))),"Y","N")))</f>
        <v/>
      </c>
    </row>
    <row r="361">
      <c r="A361" s="92" t="n">
        <v>2025</v>
      </c>
      <c r="B361" s="92" t="n">
        <v>2</v>
      </c>
      <c r="C361" s="92" t="inlineStr">
        <is>
          <t>5100000357</t>
        </is>
      </c>
      <c r="D361" s="95" t="n">
        <v>45703</v>
      </c>
      <c r="E361" s="92" t="inlineStr">
        <is>
          <t>KR</t>
        </is>
      </c>
      <c r="F361" s="92" t="n">
        <v>62902000</v>
      </c>
      <c r="G361" s="92" t="n">
        <v>1101</v>
      </c>
      <c r="H361" s="93" t="n">
        <v>1640000</v>
      </c>
      <c r="I361" s="92" t="inlineStr">
        <is>
          <t>2월 업무 위탁 수수료 - J콜센터</t>
        </is>
      </c>
      <c r="J361" s="92" t="inlineStr">
        <is>
          <t>V10016</t>
        </is>
      </c>
      <c r="K361" s="92" t="inlineStr">
        <is>
          <t>J콜센터</t>
        </is>
      </c>
      <c r="M361" s="9">
        <f>IF($A361="","",VALUE($A361&amp;"")*12+VALUE($B361&amp;""))</f>
        <v/>
      </c>
      <c r="N361" s="64">
        <f>IF($A361="","",IFERROR(INDEX(부서매핑!$C$5:$C$504,MATCH($G361&amp;"",부서매핑!$A$5:$A$504,0)),"미매핑"))</f>
        <v/>
      </c>
      <c r="O361" s="9">
        <f>IF($A361="","",N361&amp;"|"&amp;$F361)</f>
        <v/>
      </c>
      <c r="P361" s="94">
        <f>IF($A361="",0,$H361*설정!$C$23)</f>
        <v/>
      </c>
      <c r="Q361" s="64">
        <f>IF($A361="","",IF(O361&lt;&gt;원인분석!$C$9,"",IF(AND(M361&gt;=원인분석!$C$10,M361&lt;=원인분석!$C$11),"당기",IF(AND(M361&gt;=원인분석!$C$12,M361&lt;=원인분석!$C$13),"비교",""))))</f>
        <v/>
      </c>
      <c r="R361" s="9">
        <f>IF(Q361="","",$K361&amp;"")</f>
        <v/>
      </c>
      <c r="S361" s="9">
        <f>IF(Q361="","",IF(MATCH(R361,$R$5:$R$100000,0)=ROW()-4,ROW(),""))</f>
        <v/>
      </c>
      <c r="T361" s="9">
        <f>IF(Q361="당기",ABS(P361)+ROW()/1000000000,"")</f>
        <v/>
      </c>
      <c r="U361" s="9">
        <f>IF(Q361="비교",ABS(P361)+ROW()/1000000000,"")</f>
        <v/>
      </c>
      <c r="V361" s="64">
        <f>IF($A361="","",IF(COUNTIF(변동분석!$E$7:$E$506,O361)&gt;0,"Y","N"))</f>
        <v/>
      </c>
      <c r="W361" s="64">
        <f>IF($A361="","",IFERROR(INDEX(계정매핑!$D$5:$D$504,MATCH($F361&amp;"",계정매핑!$A$5:$A$504,0)),"미매핑"))</f>
        <v/>
      </c>
      <c r="X361" s="9">
        <f>IF($A361="","",$F361&amp;"")</f>
        <v/>
      </c>
      <c r="Y361" s="94">
        <f>IF($A361="",0,IF(AE361="직접",IF(AF361="비귀속",$P361,0),$P361*(1-AG361)*IFERROR(INDEX(계정대체기준!$F$20:$F$49,MATCH($N361,계정대체기준!$A$20:$A$49,0)),1)))</f>
        <v/>
      </c>
      <c r="Z361" s="94">
        <f>IF($A361="",0,IF(AE361="직접",IF(AF361="신계약비",$P361,0),$P361*(1-AG361)*IFERROR(INDEX(계정대체기준!$C$20:$C$49,MATCH($N361,계정대체기준!$A$20:$A$49,0)),0)))</f>
        <v/>
      </c>
      <c r="AA361" s="94">
        <f>IF($A361="",0,IF(AE361="직접",IF(OR(AF361="유지비",AF361="손해조사비"),$P361,0),$P361*(1-AG361)*IFERROR(INDEX(계정대체기준!$D$20:$D$49,MATCH($N361,계정대체기준!$A$20:$A$49,0)),0)))</f>
        <v/>
      </c>
      <c r="AB361" s="94">
        <f>IF($A361="",0,IF(AE361="직접",IF(AF361="수금비",$P361,0),$P361*(1-AG361)*IFERROR(INDEX(계정대체기준!$E$20:$E$49,MATCH($N361,계정대체기준!$A$20:$A$49,0)),0)))</f>
        <v/>
      </c>
      <c r="AC361" s="9">
        <f>IF(AND($A361&lt;&gt;"",M361=설정!$C$20,Z361&gt;0),Z361+ROW()/1000000000,"")</f>
        <v/>
      </c>
      <c r="AD361" s="94">
        <f>IF($A361="",0,$P361*AG361)</f>
        <v/>
      </c>
      <c r="AE361" s="64">
        <f>IF($A361="","",IFERROR(INDEX(계정매핑!$E$5:$E$504,MATCH($F361&amp;"",계정매핑!$A$5:$A$504,0))&amp;"","공통비"))</f>
        <v/>
      </c>
      <c r="AF361" s="64">
        <f>IF($A361="","",IF(AE361="직접",IFERROR(INDEX(계정매핑!$F$5:$F$504,MATCH($F361&amp;"",계정매핑!$A$5:$A$504,0))&amp;"","비귀속"),""))</f>
        <v/>
      </c>
      <c r="AG361" s="96">
        <f>IF($A361="",0,IF(AND(AE361&lt;&gt;"직접",IFERROR(INDEX(계정매핑!$G$5:$G$504,MATCH($F361&amp;"",계정매핑!$A$5:$A$504,0))&amp;"","")="유지비",COUNTIF(계정대체기준!$A$6:$A$15,$N361)&gt;0),IFERROR(INDEX(계정대체기준!$E$6:$E$15,MATCH(VALUE($A361&amp;""),계정대체기준!$D$6:$D$15,0)),0),0))</f>
        <v/>
      </c>
      <c r="AH361" s="64">
        <f>IF($A361="","",IF(AD361=0,"",IF(OR(COUNTIF(계정대체기준!$A$77:$A$86,$N361)&gt;0,ISNUMBER(MATCH($X361,계정대체기준!$D$77:$D$86,0)),ISNUMBER(MATCH($F361,계정대체기준!$D$77:$D$86,0))),"Y","N")))</f>
        <v/>
      </c>
    </row>
    <row r="362">
      <c r="A362" s="92" t="n">
        <v>2025</v>
      </c>
      <c r="B362" s="92" t="n">
        <v>2</v>
      </c>
      <c r="C362" s="92" t="inlineStr">
        <is>
          <t>5100000358</t>
        </is>
      </c>
      <c r="D362" s="95" t="n">
        <v>45703</v>
      </c>
      <c r="E362" s="92" t="inlineStr">
        <is>
          <t>KR</t>
        </is>
      </c>
      <c r="F362" s="92" t="n">
        <v>62902000</v>
      </c>
      <c r="G362" s="92" t="n">
        <v>1801</v>
      </c>
      <c r="H362" s="93" t="n">
        <v>1801000</v>
      </c>
      <c r="I362" s="92" t="inlineStr">
        <is>
          <t>2월 콜 위탁 수수료(건별)</t>
        </is>
      </c>
      <c r="J362" s="92" t="inlineStr">
        <is>
          <t>V10016</t>
        </is>
      </c>
      <c r="K362" s="92" t="inlineStr">
        <is>
          <t>J콜센터</t>
        </is>
      </c>
      <c r="M362" s="9">
        <f>IF($A362="","",VALUE($A362&amp;"")*12+VALUE($B362&amp;""))</f>
        <v/>
      </c>
      <c r="N362" s="64">
        <f>IF($A362="","",IFERROR(INDEX(부서매핑!$C$5:$C$504,MATCH($G362&amp;"",부서매핑!$A$5:$A$504,0)),"미매핑"))</f>
        <v/>
      </c>
      <c r="O362" s="9">
        <f>IF($A362="","",N362&amp;"|"&amp;$F362)</f>
        <v/>
      </c>
      <c r="P362" s="94">
        <f>IF($A362="",0,$H362*설정!$C$23)</f>
        <v/>
      </c>
      <c r="Q362" s="64">
        <f>IF($A362="","",IF(O362&lt;&gt;원인분석!$C$9,"",IF(AND(M362&gt;=원인분석!$C$10,M362&lt;=원인분석!$C$11),"당기",IF(AND(M362&gt;=원인분석!$C$12,M362&lt;=원인분석!$C$13),"비교",""))))</f>
        <v/>
      </c>
      <c r="R362" s="9">
        <f>IF(Q362="","",$K362&amp;"")</f>
        <v/>
      </c>
      <c r="S362" s="9">
        <f>IF(Q362="","",IF(MATCH(R362,$R$5:$R$100000,0)=ROW()-4,ROW(),""))</f>
        <v/>
      </c>
      <c r="T362" s="9">
        <f>IF(Q362="당기",ABS(P362)+ROW()/1000000000,"")</f>
        <v/>
      </c>
      <c r="U362" s="9">
        <f>IF(Q362="비교",ABS(P362)+ROW()/1000000000,"")</f>
        <v/>
      </c>
      <c r="V362" s="64">
        <f>IF($A362="","",IF(COUNTIF(변동분석!$E$7:$E$506,O362)&gt;0,"Y","N"))</f>
        <v/>
      </c>
      <c r="W362" s="64">
        <f>IF($A362="","",IFERROR(INDEX(계정매핑!$D$5:$D$504,MATCH($F362&amp;"",계정매핑!$A$5:$A$504,0)),"미매핑"))</f>
        <v/>
      </c>
      <c r="X362" s="9">
        <f>IF($A362="","",$F362&amp;"")</f>
        <v/>
      </c>
      <c r="Y362" s="94">
        <f>IF($A362="",0,IF(AE362="직접",IF(AF362="비귀속",$P362,0),$P362*(1-AG362)*IFERROR(INDEX(계정대체기준!$F$20:$F$49,MATCH($N362,계정대체기준!$A$20:$A$49,0)),1)))</f>
        <v/>
      </c>
      <c r="Z362" s="94">
        <f>IF($A362="",0,IF(AE362="직접",IF(AF362="신계약비",$P362,0),$P362*(1-AG362)*IFERROR(INDEX(계정대체기준!$C$20:$C$49,MATCH($N362,계정대체기준!$A$20:$A$49,0)),0)))</f>
        <v/>
      </c>
      <c r="AA362" s="94">
        <f>IF($A362="",0,IF(AE362="직접",IF(OR(AF362="유지비",AF362="손해조사비"),$P362,0),$P362*(1-AG362)*IFERROR(INDEX(계정대체기준!$D$20:$D$49,MATCH($N362,계정대체기준!$A$20:$A$49,0)),0)))</f>
        <v/>
      </c>
      <c r="AB362" s="94">
        <f>IF($A362="",0,IF(AE362="직접",IF(AF362="수금비",$P362,0),$P362*(1-AG362)*IFERROR(INDEX(계정대체기준!$E$20:$E$49,MATCH($N362,계정대체기준!$A$20:$A$49,0)),0)))</f>
        <v/>
      </c>
      <c r="AC362" s="9">
        <f>IF(AND($A362&lt;&gt;"",M362=설정!$C$20,Z362&gt;0),Z362+ROW()/1000000000,"")</f>
        <v/>
      </c>
      <c r="AD362" s="94">
        <f>IF($A362="",0,$P362*AG362)</f>
        <v/>
      </c>
      <c r="AE362" s="64">
        <f>IF($A362="","",IFERROR(INDEX(계정매핑!$E$5:$E$504,MATCH($F362&amp;"",계정매핑!$A$5:$A$504,0))&amp;"","공통비"))</f>
        <v/>
      </c>
      <c r="AF362" s="64">
        <f>IF($A362="","",IF(AE362="직접",IFERROR(INDEX(계정매핑!$F$5:$F$504,MATCH($F362&amp;"",계정매핑!$A$5:$A$504,0))&amp;"","비귀속"),""))</f>
        <v/>
      </c>
      <c r="AG362" s="96">
        <f>IF($A362="",0,IF(AND(AE362&lt;&gt;"직접",IFERROR(INDEX(계정매핑!$G$5:$G$504,MATCH($F362&amp;"",계정매핑!$A$5:$A$504,0))&amp;"","")="유지비",COUNTIF(계정대체기준!$A$6:$A$15,$N362)&gt;0),IFERROR(INDEX(계정대체기준!$E$6:$E$15,MATCH(VALUE($A362&amp;""),계정대체기준!$D$6:$D$15,0)),0),0))</f>
        <v/>
      </c>
      <c r="AH362" s="64">
        <f>IF($A362="","",IF(AD362=0,"",IF(OR(COUNTIF(계정대체기준!$A$77:$A$86,$N362)&gt;0,ISNUMBER(MATCH($X362,계정대체기준!$D$77:$D$86,0)),ISNUMBER(MATCH($F362,계정대체기준!$D$77:$D$86,0))),"Y","N")))</f>
        <v/>
      </c>
    </row>
    <row r="363">
      <c r="A363" s="92" t="n">
        <v>2025</v>
      </c>
      <c r="B363" s="92" t="n">
        <v>2</v>
      </c>
      <c r="C363" s="92" t="inlineStr">
        <is>
          <t>5100000359</t>
        </is>
      </c>
      <c r="D363" s="95" t="n">
        <v>45703</v>
      </c>
      <c r="E363" s="92" t="inlineStr">
        <is>
          <t>KR</t>
        </is>
      </c>
      <c r="F363" s="92" t="n">
        <v>63002000</v>
      </c>
      <c r="G363" s="92" t="n">
        <v>1951</v>
      </c>
      <c r="H363" s="93" t="n">
        <v>7281000</v>
      </c>
      <c r="I363" s="92" t="inlineStr">
        <is>
          <t>2월 클라우드 사용료 - C클라우드</t>
        </is>
      </c>
      <c r="J363" s="92" t="inlineStr">
        <is>
          <t>V10026</t>
        </is>
      </c>
      <c r="K363" s="92" t="inlineStr">
        <is>
          <t>C클라우드</t>
        </is>
      </c>
      <c r="M363" s="9">
        <f>IF($A363="","",VALUE($A363&amp;"")*12+VALUE($B363&amp;""))</f>
        <v/>
      </c>
      <c r="N363" s="64">
        <f>IF($A363="","",IFERROR(INDEX(부서매핑!$C$5:$C$504,MATCH($G363&amp;"",부서매핑!$A$5:$A$504,0)),"미매핑"))</f>
        <v/>
      </c>
      <c r="O363" s="9">
        <f>IF($A363="","",N363&amp;"|"&amp;$F363)</f>
        <v/>
      </c>
      <c r="P363" s="94">
        <f>IF($A363="",0,$H363*설정!$C$23)</f>
        <v/>
      </c>
      <c r="Q363" s="64">
        <f>IF($A363="","",IF(O363&lt;&gt;원인분석!$C$9,"",IF(AND(M363&gt;=원인분석!$C$10,M363&lt;=원인분석!$C$11),"당기",IF(AND(M363&gt;=원인분석!$C$12,M363&lt;=원인분석!$C$13),"비교",""))))</f>
        <v/>
      </c>
      <c r="R363" s="9">
        <f>IF(Q363="","",$K363&amp;"")</f>
        <v/>
      </c>
      <c r="S363" s="9">
        <f>IF(Q363="","",IF(MATCH(R363,$R$5:$R$100000,0)=ROW()-4,ROW(),""))</f>
        <v/>
      </c>
      <c r="T363" s="9">
        <f>IF(Q363="당기",ABS(P363)+ROW()/1000000000,"")</f>
        <v/>
      </c>
      <c r="U363" s="9">
        <f>IF(Q363="비교",ABS(P363)+ROW()/1000000000,"")</f>
        <v/>
      </c>
      <c r="V363" s="64">
        <f>IF($A363="","",IF(COUNTIF(변동분석!$E$7:$E$506,O363)&gt;0,"Y","N"))</f>
        <v/>
      </c>
      <c r="W363" s="64">
        <f>IF($A363="","",IFERROR(INDEX(계정매핑!$D$5:$D$504,MATCH($F363&amp;"",계정매핑!$A$5:$A$504,0)),"미매핑"))</f>
        <v/>
      </c>
      <c r="X363" s="9">
        <f>IF($A363="","",$F363&amp;"")</f>
        <v/>
      </c>
      <c r="Y363" s="94">
        <f>IF($A363="",0,IF(AE363="직접",IF(AF363="비귀속",$P363,0),$P363*(1-AG363)*IFERROR(INDEX(계정대체기준!$F$20:$F$49,MATCH($N363,계정대체기준!$A$20:$A$49,0)),1)))</f>
        <v/>
      </c>
      <c r="Z363" s="94">
        <f>IF($A363="",0,IF(AE363="직접",IF(AF363="신계약비",$P363,0),$P363*(1-AG363)*IFERROR(INDEX(계정대체기준!$C$20:$C$49,MATCH($N363,계정대체기준!$A$20:$A$49,0)),0)))</f>
        <v/>
      </c>
      <c r="AA363" s="94">
        <f>IF($A363="",0,IF(AE363="직접",IF(OR(AF363="유지비",AF363="손해조사비"),$P363,0),$P363*(1-AG363)*IFERROR(INDEX(계정대체기준!$D$20:$D$49,MATCH($N363,계정대체기준!$A$20:$A$49,0)),0)))</f>
        <v/>
      </c>
      <c r="AB363" s="94">
        <f>IF($A363="",0,IF(AE363="직접",IF(AF363="수금비",$P363,0),$P363*(1-AG363)*IFERROR(INDEX(계정대체기준!$E$20:$E$49,MATCH($N363,계정대체기준!$A$20:$A$49,0)),0)))</f>
        <v/>
      </c>
      <c r="AC363" s="9">
        <f>IF(AND($A363&lt;&gt;"",M363=설정!$C$20,Z363&gt;0),Z363+ROW()/1000000000,"")</f>
        <v/>
      </c>
      <c r="AD363" s="94">
        <f>IF($A363="",0,$P363*AG363)</f>
        <v/>
      </c>
      <c r="AE363" s="64">
        <f>IF($A363="","",IFERROR(INDEX(계정매핑!$E$5:$E$504,MATCH($F363&amp;"",계정매핑!$A$5:$A$504,0))&amp;"","공통비"))</f>
        <v/>
      </c>
      <c r="AF363" s="64">
        <f>IF($A363="","",IF(AE363="직접",IFERROR(INDEX(계정매핑!$F$5:$F$504,MATCH($F363&amp;"",계정매핑!$A$5:$A$504,0))&amp;"","비귀속"),""))</f>
        <v/>
      </c>
      <c r="AG363" s="96">
        <f>IF($A363="",0,IF(AND(AE363&lt;&gt;"직접",IFERROR(INDEX(계정매핑!$G$5:$G$504,MATCH($F363&amp;"",계정매핑!$A$5:$A$504,0))&amp;"","")="유지비",COUNTIF(계정대체기준!$A$6:$A$15,$N363)&gt;0),IFERROR(INDEX(계정대체기준!$E$6:$E$15,MATCH(VALUE($A363&amp;""),계정대체기준!$D$6:$D$15,0)),0),0))</f>
        <v/>
      </c>
      <c r="AH363" s="64">
        <f>IF($A363="","",IF(AD363=0,"",IF(OR(COUNTIF(계정대체기준!$A$77:$A$86,$N363)&gt;0,ISNUMBER(MATCH($X363,계정대체기준!$D$77:$D$86,0)),ISNUMBER(MATCH($F363,계정대체기준!$D$77:$D$86,0))),"Y","N")))</f>
        <v/>
      </c>
    </row>
    <row r="364">
      <c r="A364" s="92" t="n">
        <v>2025</v>
      </c>
      <c r="B364" s="92" t="n">
        <v>2</v>
      </c>
      <c r="C364" s="92" t="inlineStr">
        <is>
          <t>5100000360</t>
        </is>
      </c>
      <c r="D364" s="95" t="n">
        <v>45704</v>
      </c>
      <c r="E364" s="92" t="inlineStr">
        <is>
          <t>KR</t>
        </is>
      </c>
      <c r="F364" s="92" t="n">
        <v>62101000</v>
      </c>
      <c r="G364" s="92" t="n">
        <v>1501</v>
      </c>
      <c r="H364" s="93" t="n">
        <v>575000</v>
      </c>
      <c r="I364" s="92" t="inlineStr">
        <is>
          <t>2월 국내출장 - M항공</t>
        </is>
      </c>
      <c r="J364" s="92" t="inlineStr">
        <is>
          <t>V10001</t>
        </is>
      </c>
      <c r="K364" s="92" t="inlineStr">
        <is>
          <t>M항공</t>
        </is>
      </c>
      <c r="M364" s="9">
        <f>IF($A364="","",VALUE($A364&amp;"")*12+VALUE($B364&amp;""))</f>
        <v/>
      </c>
      <c r="N364" s="64">
        <f>IF($A364="","",IFERROR(INDEX(부서매핑!$C$5:$C$504,MATCH($G364&amp;"",부서매핑!$A$5:$A$504,0)),"미매핑"))</f>
        <v/>
      </c>
      <c r="O364" s="9">
        <f>IF($A364="","",N364&amp;"|"&amp;$F364)</f>
        <v/>
      </c>
      <c r="P364" s="94">
        <f>IF($A364="",0,$H364*설정!$C$23)</f>
        <v/>
      </c>
      <c r="Q364" s="64">
        <f>IF($A364="","",IF(O364&lt;&gt;원인분석!$C$9,"",IF(AND(M364&gt;=원인분석!$C$10,M364&lt;=원인분석!$C$11),"당기",IF(AND(M364&gt;=원인분석!$C$12,M364&lt;=원인분석!$C$13),"비교",""))))</f>
        <v/>
      </c>
      <c r="R364" s="9">
        <f>IF(Q364="","",$K364&amp;"")</f>
        <v/>
      </c>
      <c r="S364" s="9">
        <f>IF(Q364="","",IF(MATCH(R364,$R$5:$R$100000,0)=ROW()-4,ROW(),""))</f>
        <v/>
      </c>
      <c r="T364" s="9">
        <f>IF(Q364="당기",ABS(P364)+ROW()/1000000000,"")</f>
        <v/>
      </c>
      <c r="U364" s="9">
        <f>IF(Q364="비교",ABS(P364)+ROW()/1000000000,"")</f>
        <v/>
      </c>
      <c r="V364" s="64">
        <f>IF($A364="","",IF(COUNTIF(변동분석!$E$7:$E$506,O364)&gt;0,"Y","N"))</f>
        <v/>
      </c>
      <c r="W364" s="64">
        <f>IF($A364="","",IFERROR(INDEX(계정매핑!$D$5:$D$504,MATCH($F364&amp;"",계정매핑!$A$5:$A$504,0)),"미매핑"))</f>
        <v/>
      </c>
      <c r="X364" s="9">
        <f>IF($A364="","",$F364&amp;"")</f>
        <v/>
      </c>
      <c r="Y364" s="94">
        <f>IF($A364="",0,IF(AE364="직접",IF(AF364="비귀속",$P364,0),$P364*(1-AG364)*IFERROR(INDEX(계정대체기준!$F$20:$F$49,MATCH($N364,계정대체기준!$A$20:$A$49,0)),1)))</f>
        <v/>
      </c>
      <c r="Z364" s="94">
        <f>IF($A364="",0,IF(AE364="직접",IF(AF364="신계약비",$P364,0),$P364*(1-AG364)*IFERROR(INDEX(계정대체기준!$C$20:$C$49,MATCH($N364,계정대체기준!$A$20:$A$49,0)),0)))</f>
        <v/>
      </c>
      <c r="AA364" s="94">
        <f>IF($A364="",0,IF(AE364="직접",IF(OR(AF364="유지비",AF364="손해조사비"),$P364,0),$P364*(1-AG364)*IFERROR(INDEX(계정대체기준!$D$20:$D$49,MATCH($N364,계정대체기준!$A$20:$A$49,0)),0)))</f>
        <v/>
      </c>
      <c r="AB364" s="94">
        <f>IF($A364="",0,IF(AE364="직접",IF(AF364="수금비",$P364,0),$P364*(1-AG364)*IFERROR(INDEX(계정대체기준!$E$20:$E$49,MATCH($N364,계정대체기준!$A$20:$A$49,0)),0)))</f>
        <v/>
      </c>
      <c r="AC364" s="9">
        <f>IF(AND($A364&lt;&gt;"",M364=설정!$C$20,Z364&gt;0),Z364+ROW()/1000000000,"")</f>
        <v/>
      </c>
      <c r="AD364" s="94">
        <f>IF($A364="",0,$P364*AG364)</f>
        <v/>
      </c>
      <c r="AE364" s="64">
        <f>IF($A364="","",IFERROR(INDEX(계정매핑!$E$5:$E$504,MATCH($F364&amp;"",계정매핑!$A$5:$A$504,0))&amp;"","공통비"))</f>
        <v/>
      </c>
      <c r="AF364" s="64">
        <f>IF($A364="","",IF(AE364="직접",IFERROR(INDEX(계정매핑!$F$5:$F$504,MATCH($F364&amp;"",계정매핑!$A$5:$A$504,0))&amp;"","비귀속"),""))</f>
        <v/>
      </c>
      <c r="AG364" s="96">
        <f>IF($A364="",0,IF(AND(AE364&lt;&gt;"직접",IFERROR(INDEX(계정매핑!$G$5:$G$504,MATCH($F364&amp;"",계정매핑!$A$5:$A$504,0))&amp;"","")="유지비",COUNTIF(계정대체기준!$A$6:$A$15,$N364)&gt;0),IFERROR(INDEX(계정대체기준!$E$6:$E$15,MATCH(VALUE($A364&amp;""),계정대체기준!$D$6:$D$15,0)),0),0))</f>
        <v/>
      </c>
      <c r="AH364" s="64">
        <f>IF($A364="","",IF(AD364=0,"",IF(OR(COUNTIF(계정대체기준!$A$77:$A$86,$N364)&gt;0,ISNUMBER(MATCH($X364,계정대체기준!$D$77:$D$86,0)),ISNUMBER(MATCH($F364,계정대체기준!$D$77:$D$86,0))),"Y","N")))</f>
        <v/>
      </c>
    </row>
    <row r="365">
      <c r="A365" s="92" t="n">
        <v>2025</v>
      </c>
      <c r="B365" s="92" t="n">
        <v>2</v>
      </c>
      <c r="C365" s="92" t="inlineStr">
        <is>
          <t>5100000361</t>
        </is>
      </c>
      <c r="D365" s="95" t="n">
        <v>45704</v>
      </c>
      <c r="E365" s="92" t="inlineStr">
        <is>
          <t>KR</t>
        </is>
      </c>
      <c r="F365" s="92" t="n">
        <v>62102000</v>
      </c>
      <c r="G365" s="92" t="n">
        <v>1401</v>
      </c>
      <c r="H365" s="93" t="n">
        <v>93000</v>
      </c>
      <c r="I365" s="92" t="inlineStr">
        <is>
          <t>2월 해외출장 - M항공</t>
        </is>
      </c>
      <c r="J365" s="92" t="inlineStr">
        <is>
          <t>V10001</t>
        </is>
      </c>
      <c r="K365" s="92" t="inlineStr">
        <is>
          <t>M항공</t>
        </is>
      </c>
      <c r="M365" s="9">
        <f>IF($A365="","",VALUE($A365&amp;"")*12+VALUE($B365&amp;""))</f>
        <v/>
      </c>
      <c r="N365" s="64">
        <f>IF($A365="","",IFERROR(INDEX(부서매핑!$C$5:$C$504,MATCH($G365&amp;"",부서매핑!$A$5:$A$504,0)),"미매핑"))</f>
        <v/>
      </c>
      <c r="O365" s="9">
        <f>IF($A365="","",N365&amp;"|"&amp;$F365)</f>
        <v/>
      </c>
      <c r="P365" s="94">
        <f>IF($A365="",0,$H365*설정!$C$23)</f>
        <v/>
      </c>
      <c r="Q365" s="64">
        <f>IF($A365="","",IF(O365&lt;&gt;원인분석!$C$9,"",IF(AND(M365&gt;=원인분석!$C$10,M365&lt;=원인분석!$C$11),"당기",IF(AND(M365&gt;=원인분석!$C$12,M365&lt;=원인분석!$C$13),"비교",""))))</f>
        <v/>
      </c>
      <c r="R365" s="9">
        <f>IF(Q365="","",$K365&amp;"")</f>
        <v/>
      </c>
      <c r="S365" s="9">
        <f>IF(Q365="","",IF(MATCH(R365,$R$5:$R$100000,0)=ROW()-4,ROW(),""))</f>
        <v/>
      </c>
      <c r="T365" s="9">
        <f>IF(Q365="당기",ABS(P365)+ROW()/1000000000,"")</f>
        <v/>
      </c>
      <c r="U365" s="9">
        <f>IF(Q365="비교",ABS(P365)+ROW()/1000000000,"")</f>
        <v/>
      </c>
      <c r="V365" s="64">
        <f>IF($A365="","",IF(COUNTIF(변동분석!$E$7:$E$506,O365)&gt;0,"Y","N"))</f>
        <v/>
      </c>
      <c r="W365" s="64">
        <f>IF($A365="","",IFERROR(INDEX(계정매핑!$D$5:$D$504,MATCH($F365&amp;"",계정매핑!$A$5:$A$504,0)),"미매핑"))</f>
        <v/>
      </c>
      <c r="X365" s="9">
        <f>IF($A365="","",$F365&amp;"")</f>
        <v/>
      </c>
      <c r="Y365" s="94">
        <f>IF($A365="",0,IF(AE365="직접",IF(AF365="비귀속",$P365,0),$P365*(1-AG365)*IFERROR(INDEX(계정대체기준!$F$20:$F$49,MATCH($N365,계정대체기준!$A$20:$A$49,0)),1)))</f>
        <v/>
      </c>
      <c r="Z365" s="94">
        <f>IF($A365="",0,IF(AE365="직접",IF(AF365="신계약비",$P365,0),$P365*(1-AG365)*IFERROR(INDEX(계정대체기준!$C$20:$C$49,MATCH($N365,계정대체기준!$A$20:$A$49,0)),0)))</f>
        <v/>
      </c>
      <c r="AA365" s="94">
        <f>IF($A365="",0,IF(AE365="직접",IF(OR(AF365="유지비",AF365="손해조사비"),$P365,0),$P365*(1-AG365)*IFERROR(INDEX(계정대체기준!$D$20:$D$49,MATCH($N365,계정대체기준!$A$20:$A$49,0)),0)))</f>
        <v/>
      </c>
      <c r="AB365" s="94">
        <f>IF($A365="",0,IF(AE365="직접",IF(AF365="수금비",$P365,0),$P365*(1-AG365)*IFERROR(INDEX(계정대체기준!$E$20:$E$49,MATCH($N365,계정대체기준!$A$20:$A$49,0)),0)))</f>
        <v/>
      </c>
      <c r="AC365" s="9">
        <f>IF(AND($A365&lt;&gt;"",M365=설정!$C$20,Z365&gt;0),Z365+ROW()/1000000000,"")</f>
        <v/>
      </c>
      <c r="AD365" s="94">
        <f>IF($A365="",0,$P365*AG365)</f>
        <v/>
      </c>
      <c r="AE365" s="64">
        <f>IF($A365="","",IFERROR(INDEX(계정매핑!$E$5:$E$504,MATCH($F365&amp;"",계정매핑!$A$5:$A$504,0))&amp;"","공통비"))</f>
        <v/>
      </c>
      <c r="AF365" s="64">
        <f>IF($A365="","",IF(AE365="직접",IFERROR(INDEX(계정매핑!$F$5:$F$504,MATCH($F365&amp;"",계정매핑!$A$5:$A$504,0))&amp;"","비귀속"),""))</f>
        <v/>
      </c>
      <c r="AG365" s="96">
        <f>IF($A365="",0,IF(AND(AE365&lt;&gt;"직접",IFERROR(INDEX(계정매핑!$G$5:$G$504,MATCH($F365&amp;"",계정매핑!$A$5:$A$504,0))&amp;"","")="유지비",COUNTIF(계정대체기준!$A$6:$A$15,$N365)&gt;0),IFERROR(INDEX(계정대체기준!$E$6:$E$15,MATCH(VALUE($A365&amp;""),계정대체기준!$D$6:$D$15,0)),0),0))</f>
        <v/>
      </c>
      <c r="AH365" s="64">
        <f>IF($A365="","",IF(AD365=0,"",IF(OR(COUNTIF(계정대체기준!$A$77:$A$86,$N365)&gt;0,ISNUMBER(MATCH($X365,계정대체기준!$D$77:$D$86,0)),ISNUMBER(MATCH($F365,계정대체기준!$D$77:$D$86,0))),"Y","N")))</f>
        <v/>
      </c>
    </row>
    <row r="366">
      <c r="A366" s="92" t="n">
        <v>2025</v>
      </c>
      <c r="B366" s="92" t="n">
        <v>2</v>
      </c>
      <c r="C366" s="92" t="inlineStr">
        <is>
          <t>5100000362</t>
        </is>
      </c>
      <c r="D366" s="95" t="n">
        <v>45704</v>
      </c>
      <c r="E366" s="92" t="inlineStr">
        <is>
          <t>KR</t>
        </is>
      </c>
      <c r="F366" s="92" t="n">
        <v>62102000</v>
      </c>
      <c r="G366" s="92" t="n">
        <v>1601</v>
      </c>
      <c r="H366" s="93" t="n">
        <v>314000</v>
      </c>
      <c r="I366" s="92" t="inlineStr">
        <is>
          <t>2월 해외출장 - N호텔</t>
        </is>
      </c>
      <c r="J366" s="92" t="inlineStr">
        <is>
          <t>V10009</t>
        </is>
      </c>
      <c r="K366" s="92" t="inlineStr">
        <is>
          <t>N호텔</t>
        </is>
      </c>
      <c r="M366" s="9">
        <f>IF($A366="","",VALUE($A366&amp;"")*12+VALUE($B366&amp;""))</f>
        <v/>
      </c>
      <c r="N366" s="64">
        <f>IF($A366="","",IFERROR(INDEX(부서매핑!$C$5:$C$504,MATCH($G366&amp;"",부서매핑!$A$5:$A$504,0)),"미매핑"))</f>
        <v/>
      </c>
      <c r="O366" s="9">
        <f>IF($A366="","",N366&amp;"|"&amp;$F366)</f>
        <v/>
      </c>
      <c r="P366" s="94">
        <f>IF($A366="",0,$H366*설정!$C$23)</f>
        <v/>
      </c>
      <c r="Q366" s="64">
        <f>IF($A366="","",IF(O366&lt;&gt;원인분석!$C$9,"",IF(AND(M366&gt;=원인분석!$C$10,M366&lt;=원인분석!$C$11),"당기",IF(AND(M366&gt;=원인분석!$C$12,M366&lt;=원인분석!$C$13),"비교",""))))</f>
        <v/>
      </c>
      <c r="R366" s="9">
        <f>IF(Q366="","",$K366&amp;"")</f>
        <v/>
      </c>
      <c r="S366" s="9">
        <f>IF(Q366="","",IF(MATCH(R366,$R$5:$R$100000,0)=ROW()-4,ROW(),""))</f>
        <v/>
      </c>
      <c r="T366" s="9">
        <f>IF(Q366="당기",ABS(P366)+ROW()/1000000000,"")</f>
        <v/>
      </c>
      <c r="U366" s="9">
        <f>IF(Q366="비교",ABS(P366)+ROW()/1000000000,"")</f>
        <v/>
      </c>
      <c r="V366" s="64">
        <f>IF($A366="","",IF(COUNTIF(변동분석!$E$7:$E$506,O366)&gt;0,"Y","N"))</f>
        <v/>
      </c>
      <c r="W366" s="64">
        <f>IF($A366="","",IFERROR(INDEX(계정매핑!$D$5:$D$504,MATCH($F366&amp;"",계정매핑!$A$5:$A$504,0)),"미매핑"))</f>
        <v/>
      </c>
      <c r="X366" s="9">
        <f>IF($A366="","",$F366&amp;"")</f>
        <v/>
      </c>
      <c r="Y366" s="94">
        <f>IF($A366="",0,IF(AE366="직접",IF(AF366="비귀속",$P366,0),$P366*(1-AG366)*IFERROR(INDEX(계정대체기준!$F$20:$F$49,MATCH($N366,계정대체기준!$A$20:$A$49,0)),1)))</f>
        <v/>
      </c>
      <c r="Z366" s="94">
        <f>IF($A366="",0,IF(AE366="직접",IF(AF366="신계약비",$P366,0),$P366*(1-AG366)*IFERROR(INDEX(계정대체기준!$C$20:$C$49,MATCH($N366,계정대체기준!$A$20:$A$49,0)),0)))</f>
        <v/>
      </c>
      <c r="AA366" s="94">
        <f>IF($A366="",0,IF(AE366="직접",IF(OR(AF366="유지비",AF366="손해조사비"),$P366,0),$P366*(1-AG366)*IFERROR(INDEX(계정대체기준!$D$20:$D$49,MATCH($N366,계정대체기준!$A$20:$A$49,0)),0)))</f>
        <v/>
      </c>
      <c r="AB366" s="94">
        <f>IF($A366="",0,IF(AE366="직접",IF(AF366="수금비",$P366,0),$P366*(1-AG366)*IFERROR(INDEX(계정대체기준!$E$20:$E$49,MATCH($N366,계정대체기준!$A$20:$A$49,0)),0)))</f>
        <v/>
      </c>
      <c r="AC366" s="9">
        <f>IF(AND($A366&lt;&gt;"",M366=설정!$C$20,Z366&gt;0),Z366+ROW()/1000000000,"")</f>
        <v/>
      </c>
      <c r="AD366" s="94">
        <f>IF($A366="",0,$P366*AG366)</f>
        <v/>
      </c>
      <c r="AE366" s="64">
        <f>IF($A366="","",IFERROR(INDEX(계정매핑!$E$5:$E$504,MATCH($F366&amp;"",계정매핑!$A$5:$A$504,0))&amp;"","공통비"))</f>
        <v/>
      </c>
      <c r="AF366" s="64">
        <f>IF($A366="","",IF(AE366="직접",IFERROR(INDEX(계정매핑!$F$5:$F$504,MATCH($F366&amp;"",계정매핑!$A$5:$A$504,0))&amp;"","비귀속"),""))</f>
        <v/>
      </c>
      <c r="AG366" s="96">
        <f>IF($A366="",0,IF(AND(AE366&lt;&gt;"직접",IFERROR(INDEX(계정매핑!$G$5:$G$504,MATCH($F366&amp;"",계정매핑!$A$5:$A$504,0))&amp;"","")="유지비",COUNTIF(계정대체기준!$A$6:$A$15,$N366)&gt;0),IFERROR(INDEX(계정대체기준!$E$6:$E$15,MATCH(VALUE($A366&amp;""),계정대체기준!$D$6:$D$15,0)),0),0))</f>
        <v/>
      </c>
      <c r="AH366" s="64">
        <f>IF($A366="","",IF(AD366=0,"",IF(OR(COUNTIF(계정대체기준!$A$77:$A$86,$N366)&gt;0,ISNUMBER(MATCH($X366,계정대체기준!$D$77:$D$86,0)),ISNUMBER(MATCH($F366,계정대체기준!$D$77:$D$86,0))),"Y","N")))</f>
        <v/>
      </c>
    </row>
    <row r="367">
      <c r="A367" s="92" t="n">
        <v>2025</v>
      </c>
      <c r="B367" s="92" t="n">
        <v>2</v>
      </c>
      <c r="C367" s="92" t="inlineStr">
        <is>
          <t>5100000363</t>
        </is>
      </c>
      <c r="D367" s="95" t="n">
        <v>45704</v>
      </c>
      <c r="E367" s="92" t="inlineStr">
        <is>
          <t>KR</t>
        </is>
      </c>
      <c r="F367" s="92" t="n">
        <v>62102000</v>
      </c>
      <c r="G367" s="92" t="n">
        <v>1951</v>
      </c>
      <c r="H367" s="93" t="n">
        <v>77000</v>
      </c>
      <c r="I367" s="92" t="inlineStr">
        <is>
          <t>2월 해외출장 - M항공</t>
        </is>
      </c>
      <c r="J367" s="92" t="inlineStr">
        <is>
          <t>V10001</t>
        </is>
      </c>
      <c r="K367" s="92" t="inlineStr">
        <is>
          <t>M항공</t>
        </is>
      </c>
      <c r="M367" s="9">
        <f>IF($A367="","",VALUE($A367&amp;"")*12+VALUE($B367&amp;""))</f>
        <v/>
      </c>
      <c r="N367" s="64">
        <f>IF($A367="","",IFERROR(INDEX(부서매핑!$C$5:$C$504,MATCH($G367&amp;"",부서매핑!$A$5:$A$504,0)),"미매핑"))</f>
        <v/>
      </c>
      <c r="O367" s="9">
        <f>IF($A367="","",N367&amp;"|"&amp;$F367)</f>
        <v/>
      </c>
      <c r="P367" s="94">
        <f>IF($A367="",0,$H367*설정!$C$23)</f>
        <v/>
      </c>
      <c r="Q367" s="64">
        <f>IF($A367="","",IF(O367&lt;&gt;원인분석!$C$9,"",IF(AND(M367&gt;=원인분석!$C$10,M367&lt;=원인분석!$C$11),"당기",IF(AND(M367&gt;=원인분석!$C$12,M367&lt;=원인분석!$C$13),"비교",""))))</f>
        <v/>
      </c>
      <c r="R367" s="9">
        <f>IF(Q367="","",$K367&amp;"")</f>
        <v/>
      </c>
      <c r="S367" s="9">
        <f>IF(Q367="","",IF(MATCH(R367,$R$5:$R$100000,0)=ROW()-4,ROW(),""))</f>
        <v/>
      </c>
      <c r="T367" s="9">
        <f>IF(Q367="당기",ABS(P367)+ROW()/1000000000,"")</f>
        <v/>
      </c>
      <c r="U367" s="9">
        <f>IF(Q367="비교",ABS(P367)+ROW()/1000000000,"")</f>
        <v/>
      </c>
      <c r="V367" s="64">
        <f>IF($A367="","",IF(COUNTIF(변동분석!$E$7:$E$506,O367)&gt;0,"Y","N"))</f>
        <v/>
      </c>
      <c r="W367" s="64">
        <f>IF($A367="","",IFERROR(INDEX(계정매핑!$D$5:$D$504,MATCH($F367&amp;"",계정매핑!$A$5:$A$504,0)),"미매핑"))</f>
        <v/>
      </c>
      <c r="X367" s="9">
        <f>IF($A367="","",$F367&amp;"")</f>
        <v/>
      </c>
      <c r="Y367" s="94">
        <f>IF($A367="",0,IF(AE367="직접",IF(AF367="비귀속",$P367,0),$P367*(1-AG367)*IFERROR(INDEX(계정대체기준!$F$20:$F$49,MATCH($N367,계정대체기준!$A$20:$A$49,0)),1)))</f>
        <v/>
      </c>
      <c r="Z367" s="94">
        <f>IF($A367="",0,IF(AE367="직접",IF(AF367="신계약비",$P367,0),$P367*(1-AG367)*IFERROR(INDEX(계정대체기준!$C$20:$C$49,MATCH($N367,계정대체기준!$A$20:$A$49,0)),0)))</f>
        <v/>
      </c>
      <c r="AA367" s="94">
        <f>IF($A367="",0,IF(AE367="직접",IF(OR(AF367="유지비",AF367="손해조사비"),$P367,0),$P367*(1-AG367)*IFERROR(INDEX(계정대체기준!$D$20:$D$49,MATCH($N367,계정대체기준!$A$20:$A$49,0)),0)))</f>
        <v/>
      </c>
      <c r="AB367" s="94">
        <f>IF($A367="",0,IF(AE367="직접",IF(AF367="수금비",$P367,0),$P367*(1-AG367)*IFERROR(INDEX(계정대체기준!$E$20:$E$49,MATCH($N367,계정대체기준!$A$20:$A$49,0)),0)))</f>
        <v/>
      </c>
      <c r="AC367" s="9">
        <f>IF(AND($A367&lt;&gt;"",M367=설정!$C$20,Z367&gt;0),Z367+ROW()/1000000000,"")</f>
        <v/>
      </c>
      <c r="AD367" s="94">
        <f>IF($A367="",0,$P367*AG367)</f>
        <v/>
      </c>
      <c r="AE367" s="64">
        <f>IF($A367="","",IFERROR(INDEX(계정매핑!$E$5:$E$504,MATCH($F367&amp;"",계정매핑!$A$5:$A$504,0))&amp;"","공통비"))</f>
        <v/>
      </c>
      <c r="AF367" s="64">
        <f>IF($A367="","",IF(AE367="직접",IFERROR(INDEX(계정매핑!$F$5:$F$504,MATCH($F367&amp;"",계정매핑!$A$5:$A$504,0))&amp;"","비귀속"),""))</f>
        <v/>
      </c>
      <c r="AG367" s="96">
        <f>IF($A367="",0,IF(AND(AE367&lt;&gt;"직접",IFERROR(INDEX(계정매핑!$G$5:$G$504,MATCH($F367&amp;"",계정매핑!$A$5:$A$504,0))&amp;"","")="유지비",COUNTIF(계정대체기준!$A$6:$A$15,$N367)&gt;0),IFERROR(INDEX(계정대체기준!$E$6:$E$15,MATCH(VALUE($A367&amp;""),계정대체기준!$D$6:$D$15,0)),0),0))</f>
        <v/>
      </c>
      <c r="AH367" s="64">
        <f>IF($A367="","",IF(AD367=0,"",IF(OR(COUNTIF(계정대체기준!$A$77:$A$86,$N367)&gt;0,ISNUMBER(MATCH($X367,계정대체기준!$D$77:$D$86,0)),ISNUMBER(MATCH($F367,계정대체기준!$D$77:$D$86,0))),"Y","N")))</f>
        <v/>
      </c>
    </row>
    <row r="368">
      <c r="A368" s="92" t="n">
        <v>2025</v>
      </c>
      <c r="B368" s="92" t="n">
        <v>2</v>
      </c>
      <c r="C368" s="92" t="inlineStr">
        <is>
          <t>5100000364</t>
        </is>
      </c>
      <c r="D368" s="95" t="n">
        <v>45704</v>
      </c>
      <c r="E368" s="92" t="inlineStr">
        <is>
          <t>KR</t>
        </is>
      </c>
      <c r="F368" s="92" t="n">
        <v>62201000</v>
      </c>
      <c r="G368" s="92" t="n">
        <v>1301</v>
      </c>
      <c r="H368" s="93" t="n">
        <v>198000</v>
      </c>
      <c r="I368" s="92" t="inlineStr">
        <is>
          <t>2월 통신요금 - O텔레콤</t>
        </is>
      </c>
      <c r="J368" s="92" t="inlineStr">
        <is>
          <t>V10002</t>
        </is>
      </c>
      <c r="K368" s="92" t="inlineStr">
        <is>
          <t>O텔레콤</t>
        </is>
      </c>
      <c r="M368" s="9">
        <f>IF($A368="","",VALUE($A368&amp;"")*12+VALUE($B368&amp;""))</f>
        <v/>
      </c>
      <c r="N368" s="64">
        <f>IF($A368="","",IFERROR(INDEX(부서매핑!$C$5:$C$504,MATCH($G368&amp;"",부서매핑!$A$5:$A$504,0)),"미매핑"))</f>
        <v/>
      </c>
      <c r="O368" s="9">
        <f>IF($A368="","",N368&amp;"|"&amp;$F368)</f>
        <v/>
      </c>
      <c r="P368" s="94">
        <f>IF($A368="",0,$H368*설정!$C$23)</f>
        <v/>
      </c>
      <c r="Q368" s="64">
        <f>IF($A368="","",IF(O368&lt;&gt;원인분석!$C$9,"",IF(AND(M368&gt;=원인분석!$C$10,M368&lt;=원인분석!$C$11),"당기",IF(AND(M368&gt;=원인분석!$C$12,M368&lt;=원인분석!$C$13),"비교",""))))</f>
        <v/>
      </c>
      <c r="R368" s="9">
        <f>IF(Q368="","",$K368&amp;"")</f>
        <v/>
      </c>
      <c r="S368" s="9">
        <f>IF(Q368="","",IF(MATCH(R368,$R$5:$R$100000,0)=ROW()-4,ROW(),""))</f>
        <v/>
      </c>
      <c r="T368" s="9">
        <f>IF(Q368="당기",ABS(P368)+ROW()/1000000000,"")</f>
        <v/>
      </c>
      <c r="U368" s="9">
        <f>IF(Q368="비교",ABS(P368)+ROW()/1000000000,"")</f>
        <v/>
      </c>
      <c r="V368" s="64">
        <f>IF($A368="","",IF(COUNTIF(변동분석!$E$7:$E$506,O368)&gt;0,"Y","N"))</f>
        <v/>
      </c>
      <c r="W368" s="64">
        <f>IF($A368="","",IFERROR(INDEX(계정매핑!$D$5:$D$504,MATCH($F368&amp;"",계정매핑!$A$5:$A$504,0)),"미매핑"))</f>
        <v/>
      </c>
      <c r="X368" s="9">
        <f>IF($A368="","",$F368&amp;"")</f>
        <v/>
      </c>
      <c r="Y368" s="94">
        <f>IF($A368="",0,IF(AE368="직접",IF(AF368="비귀속",$P368,0),$P368*(1-AG368)*IFERROR(INDEX(계정대체기준!$F$20:$F$49,MATCH($N368,계정대체기준!$A$20:$A$49,0)),1)))</f>
        <v/>
      </c>
      <c r="Z368" s="94">
        <f>IF($A368="",0,IF(AE368="직접",IF(AF368="신계약비",$P368,0),$P368*(1-AG368)*IFERROR(INDEX(계정대체기준!$C$20:$C$49,MATCH($N368,계정대체기준!$A$20:$A$49,0)),0)))</f>
        <v/>
      </c>
      <c r="AA368" s="94">
        <f>IF($A368="",0,IF(AE368="직접",IF(OR(AF368="유지비",AF368="손해조사비"),$P368,0),$P368*(1-AG368)*IFERROR(INDEX(계정대체기준!$D$20:$D$49,MATCH($N368,계정대체기준!$A$20:$A$49,0)),0)))</f>
        <v/>
      </c>
      <c r="AB368" s="94">
        <f>IF($A368="",0,IF(AE368="직접",IF(AF368="수금비",$P368,0),$P368*(1-AG368)*IFERROR(INDEX(계정대체기준!$E$20:$E$49,MATCH($N368,계정대체기준!$A$20:$A$49,0)),0)))</f>
        <v/>
      </c>
      <c r="AC368" s="9">
        <f>IF(AND($A368&lt;&gt;"",M368=설정!$C$20,Z368&gt;0),Z368+ROW()/1000000000,"")</f>
        <v/>
      </c>
      <c r="AD368" s="94">
        <f>IF($A368="",0,$P368*AG368)</f>
        <v/>
      </c>
      <c r="AE368" s="64">
        <f>IF($A368="","",IFERROR(INDEX(계정매핑!$E$5:$E$504,MATCH($F368&amp;"",계정매핑!$A$5:$A$504,0))&amp;"","공통비"))</f>
        <v/>
      </c>
      <c r="AF368" s="64">
        <f>IF($A368="","",IF(AE368="직접",IFERROR(INDEX(계정매핑!$F$5:$F$504,MATCH($F368&amp;"",계정매핑!$A$5:$A$504,0))&amp;"","비귀속"),""))</f>
        <v/>
      </c>
      <c r="AG368" s="96">
        <f>IF($A368="",0,IF(AND(AE368&lt;&gt;"직접",IFERROR(INDEX(계정매핑!$G$5:$G$504,MATCH($F368&amp;"",계정매핑!$A$5:$A$504,0))&amp;"","")="유지비",COUNTIF(계정대체기준!$A$6:$A$15,$N368)&gt;0),IFERROR(INDEX(계정대체기준!$E$6:$E$15,MATCH(VALUE($A368&amp;""),계정대체기준!$D$6:$D$15,0)),0),0))</f>
        <v/>
      </c>
      <c r="AH368" s="64">
        <f>IF($A368="","",IF(AD368=0,"",IF(OR(COUNTIF(계정대체기준!$A$77:$A$86,$N368)&gt;0,ISNUMBER(MATCH($X368,계정대체기준!$D$77:$D$86,0)),ISNUMBER(MATCH($F368,계정대체기준!$D$77:$D$86,0))),"Y","N")))</f>
        <v/>
      </c>
    </row>
    <row r="369">
      <c r="A369" s="92" t="n">
        <v>2025</v>
      </c>
      <c r="B369" s="92" t="n">
        <v>2</v>
      </c>
      <c r="C369" s="92" t="inlineStr">
        <is>
          <t>5100000365</t>
        </is>
      </c>
      <c r="D369" s="95" t="n">
        <v>45704</v>
      </c>
      <c r="E369" s="92" t="inlineStr">
        <is>
          <t>KR</t>
        </is>
      </c>
      <c r="F369" s="92" t="n">
        <v>62501000</v>
      </c>
      <c r="G369" s="92" t="n">
        <v>1501</v>
      </c>
      <c r="H369" s="93" t="n">
        <v>259000</v>
      </c>
      <c r="I369" s="92" t="inlineStr">
        <is>
          <t>2월 회의 다과 - T케이터링</t>
        </is>
      </c>
      <c r="J369" s="92" t="inlineStr">
        <is>
          <t>V10005</t>
        </is>
      </c>
      <c r="K369" s="92" t="inlineStr">
        <is>
          <t>T케이터링</t>
        </is>
      </c>
      <c r="M369" s="9">
        <f>IF($A369="","",VALUE($A369&amp;"")*12+VALUE($B369&amp;""))</f>
        <v/>
      </c>
      <c r="N369" s="64">
        <f>IF($A369="","",IFERROR(INDEX(부서매핑!$C$5:$C$504,MATCH($G369&amp;"",부서매핑!$A$5:$A$504,0)),"미매핑"))</f>
        <v/>
      </c>
      <c r="O369" s="9">
        <f>IF($A369="","",N369&amp;"|"&amp;$F369)</f>
        <v/>
      </c>
      <c r="P369" s="94">
        <f>IF($A369="",0,$H369*설정!$C$23)</f>
        <v/>
      </c>
      <c r="Q369" s="64">
        <f>IF($A369="","",IF(O369&lt;&gt;원인분석!$C$9,"",IF(AND(M369&gt;=원인분석!$C$10,M369&lt;=원인분석!$C$11),"당기",IF(AND(M369&gt;=원인분석!$C$12,M369&lt;=원인분석!$C$13),"비교",""))))</f>
        <v/>
      </c>
      <c r="R369" s="9">
        <f>IF(Q369="","",$K369&amp;"")</f>
        <v/>
      </c>
      <c r="S369" s="9">
        <f>IF(Q369="","",IF(MATCH(R369,$R$5:$R$100000,0)=ROW()-4,ROW(),""))</f>
        <v/>
      </c>
      <c r="T369" s="9">
        <f>IF(Q369="당기",ABS(P369)+ROW()/1000000000,"")</f>
        <v/>
      </c>
      <c r="U369" s="9">
        <f>IF(Q369="비교",ABS(P369)+ROW()/1000000000,"")</f>
        <v/>
      </c>
      <c r="V369" s="64">
        <f>IF($A369="","",IF(COUNTIF(변동분석!$E$7:$E$506,O369)&gt;0,"Y","N"))</f>
        <v/>
      </c>
      <c r="W369" s="64">
        <f>IF($A369="","",IFERROR(INDEX(계정매핑!$D$5:$D$504,MATCH($F369&amp;"",계정매핑!$A$5:$A$504,0)),"미매핑"))</f>
        <v/>
      </c>
      <c r="X369" s="9">
        <f>IF($A369="","",$F369&amp;"")</f>
        <v/>
      </c>
      <c r="Y369" s="94">
        <f>IF($A369="",0,IF(AE369="직접",IF(AF369="비귀속",$P369,0),$P369*(1-AG369)*IFERROR(INDEX(계정대체기준!$F$20:$F$49,MATCH($N369,계정대체기준!$A$20:$A$49,0)),1)))</f>
        <v/>
      </c>
      <c r="Z369" s="94">
        <f>IF($A369="",0,IF(AE369="직접",IF(AF369="신계약비",$P369,0),$P369*(1-AG369)*IFERROR(INDEX(계정대체기준!$C$20:$C$49,MATCH($N369,계정대체기준!$A$20:$A$49,0)),0)))</f>
        <v/>
      </c>
      <c r="AA369" s="94">
        <f>IF($A369="",0,IF(AE369="직접",IF(OR(AF369="유지비",AF369="손해조사비"),$P369,0),$P369*(1-AG369)*IFERROR(INDEX(계정대체기준!$D$20:$D$49,MATCH($N369,계정대체기준!$A$20:$A$49,0)),0)))</f>
        <v/>
      </c>
      <c r="AB369" s="94">
        <f>IF($A369="",0,IF(AE369="직접",IF(AF369="수금비",$P369,0),$P369*(1-AG369)*IFERROR(INDEX(계정대체기준!$E$20:$E$49,MATCH($N369,계정대체기준!$A$20:$A$49,0)),0)))</f>
        <v/>
      </c>
      <c r="AC369" s="9">
        <f>IF(AND($A369&lt;&gt;"",M369=설정!$C$20,Z369&gt;0),Z369+ROW()/1000000000,"")</f>
        <v/>
      </c>
      <c r="AD369" s="94">
        <f>IF($A369="",0,$P369*AG369)</f>
        <v/>
      </c>
      <c r="AE369" s="64">
        <f>IF($A369="","",IFERROR(INDEX(계정매핑!$E$5:$E$504,MATCH($F369&amp;"",계정매핑!$A$5:$A$504,0))&amp;"","공통비"))</f>
        <v/>
      </c>
      <c r="AF369" s="64">
        <f>IF($A369="","",IF(AE369="직접",IFERROR(INDEX(계정매핑!$F$5:$F$504,MATCH($F369&amp;"",계정매핑!$A$5:$A$504,0))&amp;"","비귀속"),""))</f>
        <v/>
      </c>
      <c r="AG369" s="96">
        <f>IF($A369="",0,IF(AND(AE369&lt;&gt;"직접",IFERROR(INDEX(계정매핑!$G$5:$G$504,MATCH($F369&amp;"",계정매핑!$A$5:$A$504,0))&amp;"","")="유지비",COUNTIF(계정대체기준!$A$6:$A$15,$N369)&gt;0),IFERROR(INDEX(계정대체기준!$E$6:$E$15,MATCH(VALUE($A369&amp;""),계정대체기준!$D$6:$D$15,0)),0),0))</f>
        <v/>
      </c>
      <c r="AH369" s="64">
        <f>IF($A369="","",IF(AD369=0,"",IF(OR(COUNTIF(계정대체기준!$A$77:$A$86,$N369)&gt;0,ISNUMBER(MATCH($X369,계정대체기준!$D$77:$D$86,0)),ISNUMBER(MATCH($F369,계정대체기준!$D$77:$D$86,0))),"Y","N")))</f>
        <v/>
      </c>
    </row>
    <row r="370">
      <c r="A370" s="92" t="n">
        <v>2025</v>
      </c>
      <c r="B370" s="92" t="n">
        <v>2</v>
      </c>
      <c r="C370" s="92" t="inlineStr">
        <is>
          <t>5100000366</t>
        </is>
      </c>
      <c r="D370" s="95" t="n">
        <v>45704</v>
      </c>
      <c r="E370" s="92" t="inlineStr">
        <is>
          <t>KR</t>
        </is>
      </c>
      <c r="F370" s="92" t="n">
        <v>62501000</v>
      </c>
      <c r="G370" s="92" t="n">
        <v>1801</v>
      </c>
      <c r="H370" s="93" t="n">
        <v>188000</v>
      </c>
      <c r="I370" s="92" t="inlineStr">
        <is>
          <t>2월 회의 다과 - T케이터링</t>
        </is>
      </c>
      <c r="J370" s="92" t="inlineStr">
        <is>
          <t>V10005</t>
        </is>
      </c>
      <c r="K370" s="92" t="inlineStr">
        <is>
          <t>T케이터링</t>
        </is>
      </c>
      <c r="M370" s="9">
        <f>IF($A370="","",VALUE($A370&amp;"")*12+VALUE($B370&amp;""))</f>
        <v/>
      </c>
      <c r="N370" s="64">
        <f>IF($A370="","",IFERROR(INDEX(부서매핑!$C$5:$C$504,MATCH($G370&amp;"",부서매핑!$A$5:$A$504,0)),"미매핑"))</f>
        <v/>
      </c>
      <c r="O370" s="9">
        <f>IF($A370="","",N370&amp;"|"&amp;$F370)</f>
        <v/>
      </c>
      <c r="P370" s="94">
        <f>IF($A370="",0,$H370*설정!$C$23)</f>
        <v/>
      </c>
      <c r="Q370" s="64">
        <f>IF($A370="","",IF(O370&lt;&gt;원인분석!$C$9,"",IF(AND(M370&gt;=원인분석!$C$10,M370&lt;=원인분석!$C$11),"당기",IF(AND(M370&gt;=원인분석!$C$12,M370&lt;=원인분석!$C$13),"비교",""))))</f>
        <v/>
      </c>
      <c r="R370" s="9">
        <f>IF(Q370="","",$K370&amp;"")</f>
        <v/>
      </c>
      <c r="S370" s="9">
        <f>IF(Q370="","",IF(MATCH(R370,$R$5:$R$100000,0)=ROW()-4,ROW(),""))</f>
        <v/>
      </c>
      <c r="T370" s="9">
        <f>IF(Q370="당기",ABS(P370)+ROW()/1000000000,"")</f>
        <v/>
      </c>
      <c r="U370" s="9">
        <f>IF(Q370="비교",ABS(P370)+ROW()/1000000000,"")</f>
        <v/>
      </c>
      <c r="V370" s="64">
        <f>IF($A370="","",IF(COUNTIF(변동분석!$E$7:$E$506,O370)&gt;0,"Y","N"))</f>
        <v/>
      </c>
      <c r="W370" s="64">
        <f>IF($A370="","",IFERROR(INDEX(계정매핑!$D$5:$D$504,MATCH($F370&amp;"",계정매핑!$A$5:$A$504,0)),"미매핑"))</f>
        <v/>
      </c>
      <c r="X370" s="9">
        <f>IF($A370="","",$F370&amp;"")</f>
        <v/>
      </c>
      <c r="Y370" s="94">
        <f>IF($A370="",0,IF(AE370="직접",IF(AF370="비귀속",$P370,0),$P370*(1-AG370)*IFERROR(INDEX(계정대체기준!$F$20:$F$49,MATCH($N370,계정대체기준!$A$20:$A$49,0)),1)))</f>
        <v/>
      </c>
      <c r="Z370" s="94">
        <f>IF($A370="",0,IF(AE370="직접",IF(AF370="신계약비",$P370,0),$P370*(1-AG370)*IFERROR(INDEX(계정대체기준!$C$20:$C$49,MATCH($N370,계정대체기준!$A$20:$A$49,0)),0)))</f>
        <v/>
      </c>
      <c r="AA370" s="94">
        <f>IF($A370="",0,IF(AE370="직접",IF(OR(AF370="유지비",AF370="손해조사비"),$P370,0),$P370*(1-AG370)*IFERROR(INDEX(계정대체기준!$D$20:$D$49,MATCH($N370,계정대체기준!$A$20:$A$49,0)),0)))</f>
        <v/>
      </c>
      <c r="AB370" s="94">
        <f>IF($A370="",0,IF(AE370="직접",IF(AF370="수금비",$P370,0),$P370*(1-AG370)*IFERROR(INDEX(계정대체기준!$E$20:$E$49,MATCH($N370,계정대체기준!$A$20:$A$49,0)),0)))</f>
        <v/>
      </c>
      <c r="AC370" s="9">
        <f>IF(AND($A370&lt;&gt;"",M370=설정!$C$20,Z370&gt;0),Z370+ROW()/1000000000,"")</f>
        <v/>
      </c>
      <c r="AD370" s="94">
        <f>IF($A370="",0,$P370*AG370)</f>
        <v/>
      </c>
      <c r="AE370" s="64">
        <f>IF($A370="","",IFERROR(INDEX(계정매핑!$E$5:$E$504,MATCH($F370&amp;"",계정매핑!$A$5:$A$504,0))&amp;"","공통비"))</f>
        <v/>
      </c>
      <c r="AF370" s="64">
        <f>IF($A370="","",IF(AE370="직접",IFERROR(INDEX(계정매핑!$F$5:$F$504,MATCH($F370&amp;"",계정매핑!$A$5:$A$504,0))&amp;"","비귀속"),""))</f>
        <v/>
      </c>
      <c r="AG370" s="96">
        <f>IF($A370="",0,IF(AND(AE370&lt;&gt;"직접",IFERROR(INDEX(계정매핑!$G$5:$G$504,MATCH($F370&amp;"",계정매핑!$A$5:$A$504,0))&amp;"","")="유지비",COUNTIF(계정대체기준!$A$6:$A$15,$N370)&gt;0),IFERROR(INDEX(계정대체기준!$E$6:$E$15,MATCH(VALUE($A370&amp;""),계정대체기준!$D$6:$D$15,0)),0),0))</f>
        <v/>
      </c>
      <c r="AH370" s="64">
        <f>IF($A370="","",IF(AD370=0,"",IF(OR(COUNTIF(계정대체기준!$A$77:$A$86,$N370)&gt;0,ISNUMBER(MATCH($X370,계정대체기준!$D$77:$D$86,0)),ISNUMBER(MATCH($F370,계정대체기준!$D$77:$D$86,0))),"Y","N")))</f>
        <v/>
      </c>
    </row>
    <row r="371">
      <c r="A371" s="92" t="n">
        <v>2025</v>
      </c>
      <c r="B371" s="92" t="n">
        <v>2</v>
      </c>
      <c r="C371" s="92" t="inlineStr">
        <is>
          <t>5100000367</t>
        </is>
      </c>
      <c r="D371" s="95" t="n">
        <v>45704</v>
      </c>
      <c r="E371" s="92" t="inlineStr">
        <is>
          <t>KR</t>
        </is>
      </c>
      <c r="F371" s="92" t="n">
        <v>62802000</v>
      </c>
      <c r="G371" s="92" t="n">
        <v>1301</v>
      </c>
      <c r="H371" s="93" t="n">
        <v>7861000</v>
      </c>
      <c r="I371" s="92" t="inlineStr">
        <is>
          <t>2월 위탁교육 - V아카데미</t>
        </is>
      </c>
      <c r="J371" s="92" t="inlineStr">
        <is>
          <t>V10027</t>
        </is>
      </c>
      <c r="K371" s="92" t="inlineStr">
        <is>
          <t>V아카데미</t>
        </is>
      </c>
      <c r="M371" s="9">
        <f>IF($A371="","",VALUE($A371&amp;"")*12+VALUE($B371&amp;""))</f>
        <v/>
      </c>
      <c r="N371" s="64">
        <f>IF($A371="","",IFERROR(INDEX(부서매핑!$C$5:$C$504,MATCH($G371&amp;"",부서매핑!$A$5:$A$504,0)),"미매핑"))</f>
        <v/>
      </c>
      <c r="O371" s="9">
        <f>IF($A371="","",N371&amp;"|"&amp;$F371)</f>
        <v/>
      </c>
      <c r="P371" s="94">
        <f>IF($A371="",0,$H371*설정!$C$23)</f>
        <v/>
      </c>
      <c r="Q371" s="64">
        <f>IF($A371="","",IF(O371&lt;&gt;원인분석!$C$9,"",IF(AND(M371&gt;=원인분석!$C$10,M371&lt;=원인분석!$C$11),"당기",IF(AND(M371&gt;=원인분석!$C$12,M371&lt;=원인분석!$C$13),"비교",""))))</f>
        <v/>
      </c>
      <c r="R371" s="9">
        <f>IF(Q371="","",$K371&amp;"")</f>
        <v/>
      </c>
      <c r="S371" s="9">
        <f>IF(Q371="","",IF(MATCH(R371,$R$5:$R$100000,0)=ROW()-4,ROW(),""))</f>
        <v/>
      </c>
      <c r="T371" s="9">
        <f>IF(Q371="당기",ABS(P371)+ROW()/1000000000,"")</f>
        <v/>
      </c>
      <c r="U371" s="9">
        <f>IF(Q371="비교",ABS(P371)+ROW()/1000000000,"")</f>
        <v/>
      </c>
      <c r="V371" s="64">
        <f>IF($A371="","",IF(COUNTIF(변동분석!$E$7:$E$506,O371)&gt;0,"Y","N"))</f>
        <v/>
      </c>
      <c r="W371" s="64">
        <f>IF($A371="","",IFERROR(INDEX(계정매핑!$D$5:$D$504,MATCH($F371&amp;"",계정매핑!$A$5:$A$504,0)),"미매핑"))</f>
        <v/>
      </c>
      <c r="X371" s="9">
        <f>IF($A371="","",$F371&amp;"")</f>
        <v/>
      </c>
      <c r="Y371" s="94">
        <f>IF($A371="",0,IF(AE371="직접",IF(AF371="비귀속",$P371,0),$P371*(1-AG371)*IFERROR(INDEX(계정대체기준!$F$20:$F$49,MATCH($N371,계정대체기준!$A$20:$A$49,0)),1)))</f>
        <v/>
      </c>
      <c r="Z371" s="94">
        <f>IF($A371="",0,IF(AE371="직접",IF(AF371="신계약비",$P371,0),$P371*(1-AG371)*IFERROR(INDEX(계정대체기준!$C$20:$C$49,MATCH($N371,계정대체기준!$A$20:$A$49,0)),0)))</f>
        <v/>
      </c>
      <c r="AA371" s="94">
        <f>IF($A371="",0,IF(AE371="직접",IF(OR(AF371="유지비",AF371="손해조사비"),$P371,0),$P371*(1-AG371)*IFERROR(INDEX(계정대체기준!$D$20:$D$49,MATCH($N371,계정대체기준!$A$20:$A$49,0)),0)))</f>
        <v/>
      </c>
      <c r="AB371" s="94">
        <f>IF($A371="",0,IF(AE371="직접",IF(AF371="수금비",$P371,0),$P371*(1-AG371)*IFERROR(INDEX(계정대체기준!$E$20:$E$49,MATCH($N371,계정대체기준!$A$20:$A$49,0)),0)))</f>
        <v/>
      </c>
      <c r="AC371" s="9">
        <f>IF(AND($A371&lt;&gt;"",M371=설정!$C$20,Z371&gt;0),Z371+ROW()/1000000000,"")</f>
        <v/>
      </c>
      <c r="AD371" s="94">
        <f>IF($A371="",0,$P371*AG371)</f>
        <v/>
      </c>
      <c r="AE371" s="64">
        <f>IF($A371="","",IFERROR(INDEX(계정매핑!$E$5:$E$504,MATCH($F371&amp;"",계정매핑!$A$5:$A$504,0))&amp;"","공통비"))</f>
        <v/>
      </c>
      <c r="AF371" s="64">
        <f>IF($A371="","",IF(AE371="직접",IFERROR(INDEX(계정매핑!$F$5:$F$504,MATCH($F371&amp;"",계정매핑!$A$5:$A$504,0))&amp;"","비귀속"),""))</f>
        <v/>
      </c>
      <c r="AG371" s="96">
        <f>IF($A371="",0,IF(AND(AE371&lt;&gt;"직접",IFERROR(INDEX(계정매핑!$G$5:$G$504,MATCH($F371&amp;"",계정매핑!$A$5:$A$504,0))&amp;"","")="유지비",COUNTIF(계정대체기준!$A$6:$A$15,$N371)&gt;0),IFERROR(INDEX(계정대체기준!$E$6:$E$15,MATCH(VALUE($A371&amp;""),계정대체기준!$D$6:$D$15,0)),0),0))</f>
        <v/>
      </c>
      <c r="AH371" s="64">
        <f>IF($A371="","",IF(AD371=0,"",IF(OR(COUNTIF(계정대체기준!$A$77:$A$86,$N371)&gt;0,ISNUMBER(MATCH($X371,계정대체기준!$D$77:$D$86,0)),ISNUMBER(MATCH($F371,계정대체기준!$D$77:$D$86,0))),"Y","N")))</f>
        <v/>
      </c>
    </row>
    <row r="372">
      <c r="A372" s="92" t="n">
        <v>2025</v>
      </c>
      <c r="B372" s="92" t="n">
        <v>2</v>
      </c>
      <c r="C372" s="92" t="inlineStr">
        <is>
          <t>5100000368</t>
        </is>
      </c>
      <c r="D372" s="95" t="n">
        <v>45704</v>
      </c>
      <c r="E372" s="92" t="inlineStr">
        <is>
          <t>KR</t>
        </is>
      </c>
      <c r="F372" s="92" t="n">
        <v>62901000</v>
      </c>
      <c r="G372" s="92" t="n">
        <v>1201</v>
      </c>
      <c r="H372" s="93" t="n">
        <v>3807000</v>
      </c>
      <c r="I372" s="92" t="inlineStr">
        <is>
          <t>2월 자문 수수료 - K회계법인</t>
        </is>
      </c>
      <c r="J372" s="92" t="inlineStr">
        <is>
          <t>V10011</t>
        </is>
      </c>
      <c r="K372" s="92" t="inlineStr">
        <is>
          <t>K회계법인</t>
        </is>
      </c>
      <c r="M372" s="9">
        <f>IF($A372="","",VALUE($A372&amp;"")*12+VALUE($B372&amp;""))</f>
        <v/>
      </c>
      <c r="N372" s="64">
        <f>IF($A372="","",IFERROR(INDEX(부서매핑!$C$5:$C$504,MATCH($G372&amp;"",부서매핑!$A$5:$A$504,0)),"미매핑"))</f>
        <v/>
      </c>
      <c r="O372" s="9">
        <f>IF($A372="","",N372&amp;"|"&amp;$F372)</f>
        <v/>
      </c>
      <c r="P372" s="94">
        <f>IF($A372="",0,$H372*설정!$C$23)</f>
        <v/>
      </c>
      <c r="Q372" s="64">
        <f>IF($A372="","",IF(O372&lt;&gt;원인분석!$C$9,"",IF(AND(M372&gt;=원인분석!$C$10,M372&lt;=원인분석!$C$11),"당기",IF(AND(M372&gt;=원인분석!$C$12,M372&lt;=원인분석!$C$13),"비교",""))))</f>
        <v/>
      </c>
      <c r="R372" s="9">
        <f>IF(Q372="","",$K372&amp;"")</f>
        <v/>
      </c>
      <c r="S372" s="9">
        <f>IF(Q372="","",IF(MATCH(R372,$R$5:$R$100000,0)=ROW()-4,ROW(),""))</f>
        <v/>
      </c>
      <c r="T372" s="9">
        <f>IF(Q372="당기",ABS(P372)+ROW()/1000000000,"")</f>
        <v/>
      </c>
      <c r="U372" s="9">
        <f>IF(Q372="비교",ABS(P372)+ROW()/1000000000,"")</f>
        <v/>
      </c>
      <c r="V372" s="64">
        <f>IF($A372="","",IF(COUNTIF(변동분석!$E$7:$E$506,O372)&gt;0,"Y","N"))</f>
        <v/>
      </c>
      <c r="W372" s="64">
        <f>IF($A372="","",IFERROR(INDEX(계정매핑!$D$5:$D$504,MATCH($F372&amp;"",계정매핑!$A$5:$A$504,0)),"미매핑"))</f>
        <v/>
      </c>
      <c r="X372" s="9">
        <f>IF($A372="","",$F372&amp;"")</f>
        <v/>
      </c>
      <c r="Y372" s="94">
        <f>IF($A372="",0,IF(AE372="직접",IF(AF372="비귀속",$P372,0),$P372*(1-AG372)*IFERROR(INDEX(계정대체기준!$F$20:$F$49,MATCH($N372,계정대체기준!$A$20:$A$49,0)),1)))</f>
        <v/>
      </c>
      <c r="Z372" s="94">
        <f>IF($A372="",0,IF(AE372="직접",IF(AF372="신계약비",$P372,0),$P372*(1-AG372)*IFERROR(INDEX(계정대체기준!$C$20:$C$49,MATCH($N372,계정대체기준!$A$20:$A$49,0)),0)))</f>
        <v/>
      </c>
      <c r="AA372" s="94">
        <f>IF($A372="",0,IF(AE372="직접",IF(OR(AF372="유지비",AF372="손해조사비"),$P372,0),$P372*(1-AG372)*IFERROR(INDEX(계정대체기준!$D$20:$D$49,MATCH($N372,계정대체기준!$A$20:$A$49,0)),0)))</f>
        <v/>
      </c>
      <c r="AB372" s="94">
        <f>IF($A372="",0,IF(AE372="직접",IF(AF372="수금비",$P372,0),$P372*(1-AG372)*IFERROR(INDEX(계정대체기준!$E$20:$E$49,MATCH($N372,계정대체기준!$A$20:$A$49,0)),0)))</f>
        <v/>
      </c>
      <c r="AC372" s="9">
        <f>IF(AND($A372&lt;&gt;"",M372=설정!$C$20,Z372&gt;0),Z372+ROW()/1000000000,"")</f>
        <v/>
      </c>
      <c r="AD372" s="94">
        <f>IF($A372="",0,$P372*AG372)</f>
        <v/>
      </c>
      <c r="AE372" s="64">
        <f>IF($A372="","",IFERROR(INDEX(계정매핑!$E$5:$E$504,MATCH($F372&amp;"",계정매핑!$A$5:$A$504,0))&amp;"","공통비"))</f>
        <v/>
      </c>
      <c r="AF372" s="64">
        <f>IF($A372="","",IF(AE372="직접",IFERROR(INDEX(계정매핑!$F$5:$F$504,MATCH($F372&amp;"",계정매핑!$A$5:$A$504,0))&amp;"","비귀속"),""))</f>
        <v/>
      </c>
      <c r="AG372" s="96">
        <f>IF($A372="",0,IF(AND(AE372&lt;&gt;"직접",IFERROR(INDEX(계정매핑!$G$5:$G$504,MATCH($F372&amp;"",계정매핑!$A$5:$A$504,0))&amp;"","")="유지비",COUNTIF(계정대체기준!$A$6:$A$15,$N372)&gt;0),IFERROR(INDEX(계정대체기준!$E$6:$E$15,MATCH(VALUE($A372&amp;""),계정대체기준!$D$6:$D$15,0)),0),0))</f>
        <v/>
      </c>
      <c r="AH372" s="64">
        <f>IF($A372="","",IF(AD372=0,"",IF(OR(COUNTIF(계정대체기준!$A$77:$A$86,$N372)&gt;0,ISNUMBER(MATCH($X372,계정대체기준!$D$77:$D$86,0)),ISNUMBER(MATCH($F372,계정대체기준!$D$77:$D$86,0))),"Y","N")))</f>
        <v/>
      </c>
    </row>
    <row r="373">
      <c r="A373" s="92" t="n">
        <v>2025</v>
      </c>
      <c r="B373" s="92" t="n">
        <v>2</v>
      </c>
      <c r="C373" s="92" t="inlineStr">
        <is>
          <t>5100000369</t>
        </is>
      </c>
      <c r="D373" s="95" t="n">
        <v>45704</v>
      </c>
      <c r="E373" s="92" t="inlineStr">
        <is>
          <t>KR</t>
        </is>
      </c>
      <c r="F373" s="92" t="n">
        <v>62901000</v>
      </c>
      <c r="G373" s="92" t="n">
        <v>1401</v>
      </c>
      <c r="H373" s="93" t="n">
        <v>5173000</v>
      </c>
      <c r="I373" s="92" t="inlineStr">
        <is>
          <t>2월 자문 수수료 - K회계법인</t>
        </is>
      </c>
      <c r="J373" s="92" t="inlineStr">
        <is>
          <t>V10011</t>
        </is>
      </c>
      <c r="K373" s="92" t="inlineStr">
        <is>
          <t>K회계법인</t>
        </is>
      </c>
      <c r="M373" s="9">
        <f>IF($A373="","",VALUE($A373&amp;"")*12+VALUE($B373&amp;""))</f>
        <v/>
      </c>
      <c r="N373" s="64">
        <f>IF($A373="","",IFERROR(INDEX(부서매핑!$C$5:$C$504,MATCH($G373&amp;"",부서매핑!$A$5:$A$504,0)),"미매핑"))</f>
        <v/>
      </c>
      <c r="O373" s="9">
        <f>IF($A373="","",N373&amp;"|"&amp;$F373)</f>
        <v/>
      </c>
      <c r="P373" s="94">
        <f>IF($A373="",0,$H373*설정!$C$23)</f>
        <v/>
      </c>
      <c r="Q373" s="64">
        <f>IF($A373="","",IF(O373&lt;&gt;원인분석!$C$9,"",IF(AND(M373&gt;=원인분석!$C$10,M373&lt;=원인분석!$C$11),"당기",IF(AND(M373&gt;=원인분석!$C$12,M373&lt;=원인분석!$C$13),"비교",""))))</f>
        <v/>
      </c>
      <c r="R373" s="9">
        <f>IF(Q373="","",$K373&amp;"")</f>
        <v/>
      </c>
      <c r="S373" s="9">
        <f>IF(Q373="","",IF(MATCH(R373,$R$5:$R$100000,0)=ROW()-4,ROW(),""))</f>
        <v/>
      </c>
      <c r="T373" s="9">
        <f>IF(Q373="당기",ABS(P373)+ROW()/1000000000,"")</f>
        <v/>
      </c>
      <c r="U373" s="9">
        <f>IF(Q373="비교",ABS(P373)+ROW()/1000000000,"")</f>
        <v/>
      </c>
      <c r="V373" s="64">
        <f>IF($A373="","",IF(COUNTIF(변동분석!$E$7:$E$506,O373)&gt;0,"Y","N"))</f>
        <v/>
      </c>
      <c r="W373" s="64">
        <f>IF($A373="","",IFERROR(INDEX(계정매핑!$D$5:$D$504,MATCH($F373&amp;"",계정매핑!$A$5:$A$504,0)),"미매핑"))</f>
        <v/>
      </c>
      <c r="X373" s="9">
        <f>IF($A373="","",$F373&amp;"")</f>
        <v/>
      </c>
      <c r="Y373" s="94">
        <f>IF($A373="",0,IF(AE373="직접",IF(AF373="비귀속",$P373,0),$P373*(1-AG373)*IFERROR(INDEX(계정대체기준!$F$20:$F$49,MATCH($N373,계정대체기준!$A$20:$A$49,0)),1)))</f>
        <v/>
      </c>
      <c r="Z373" s="94">
        <f>IF($A373="",0,IF(AE373="직접",IF(AF373="신계약비",$P373,0),$P373*(1-AG373)*IFERROR(INDEX(계정대체기준!$C$20:$C$49,MATCH($N373,계정대체기준!$A$20:$A$49,0)),0)))</f>
        <v/>
      </c>
      <c r="AA373" s="94">
        <f>IF($A373="",0,IF(AE373="직접",IF(OR(AF373="유지비",AF373="손해조사비"),$P373,0),$P373*(1-AG373)*IFERROR(INDEX(계정대체기준!$D$20:$D$49,MATCH($N373,계정대체기준!$A$20:$A$49,0)),0)))</f>
        <v/>
      </c>
      <c r="AB373" s="94">
        <f>IF($A373="",0,IF(AE373="직접",IF(AF373="수금비",$P373,0),$P373*(1-AG373)*IFERROR(INDEX(계정대체기준!$E$20:$E$49,MATCH($N373,계정대체기준!$A$20:$A$49,0)),0)))</f>
        <v/>
      </c>
      <c r="AC373" s="9">
        <f>IF(AND($A373&lt;&gt;"",M373=설정!$C$20,Z373&gt;0),Z373+ROW()/1000000000,"")</f>
        <v/>
      </c>
      <c r="AD373" s="94">
        <f>IF($A373="",0,$P373*AG373)</f>
        <v/>
      </c>
      <c r="AE373" s="64">
        <f>IF($A373="","",IFERROR(INDEX(계정매핑!$E$5:$E$504,MATCH($F373&amp;"",계정매핑!$A$5:$A$504,0))&amp;"","공통비"))</f>
        <v/>
      </c>
      <c r="AF373" s="64">
        <f>IF($A373="","",IF(AE373="직접",IFERROR(INDEX(계정매핑!$F$5:$F$504,MATCH($F373&amp;"",계정매핑!$A$5:$A$504,0))&amp;"","비귀속"),""))</f>
        <v/>
      </c>
      <c r="AG373" s="96">
        <f>IF($A373="",0,IF(AND(AE373&lt;&gt;"직접",IFERROR(INDEX(계정매핑!$G$5:$G$504,MATCH($F373&amp;"",계정매핑!$A$5:$A$504,0))&amp;"","")="유지비",COUNTIF(계정대체기준!$A$6:$A$15,$N373)&gt;0),IFERROR(INDEX(계정대체기준!$E$6:$E$15,MATCH(VALUE($A373&amp;""),계정대체기준!$D$6:$D$15,0)),0),0))</f>
        <v/>
      </c>
      <c r="AH373" s="64">
        <f>IF($A373="","",IF(AD373=0,"",IF(OR(COUNTIF(계정대체기준!$A$77:$A$86,$N373)&gt;0,ISNUMBER(MATCH($X373,계정대체기준!$D$77:$D$86,0)),ISNUMBER(MATCH($F373,계정대체기준!$D$77:$D$86,0))),"Y","N")))</f>
        <v/>
      </c>
    </row>
    <row r="374">
      <c r="A374" s="92" t="n">
        <v>2025</v>
      </c>
      <c r="B374" s="92" t="n">
        <v>2</v>
      </c>
      <c r="C374" s="92" t="inlineStr">
        <is>
          <t>5100000370</t>
        </is>
      </c>
      <c r="D374" s="95" t="n">
        <v>45704</v>
      </c>
      <c r="E374" s="92" t="inlineStr">
        <is>
          <t>KR</t>
        </is>
      </c>
      <c r="F374" s="92" t="n">
        <v>62901000</v>
      </c>
      <c r="G374" s="92" t="n">
        <v>1951</v>
      </c>
      <c r="H374" s="93" t="n">
        <v>5131000</v>
      </c>
      <c r="I374" s="92" t="inlineStr">
        <is>
          <t>2월 자문 수수료 - W컨설팅</t>
        </is>
      </c>
      <c r="J374" s="92" t="inlineStr">
        <is>
          <t>V10006</t>
        </is>
      </c>
      <c r="K374" s="92" t="inlineStr">
        <is>
          <t>W컨설팅</t>
        </is>
      </c>
      <c r="M374" s="9">
        <f>IF($A374="","",VALUE($A374&amp;"")*12+VALUE($B374&amp;""))</f>
        <v/>
      </c>
      <c r="N374" s="64">
        <f>IF($A374="","",IFERROR(INDEX(부서매핑!$C$5:$C$504,MATCH($G374&amp;"",부서매핑!$A$5:$A$504,0)),"미매핑"))</f>
        <v/>
      </c>
      <c r="O374" s="9">
        <f>IF($A374="","",N374&amp;"|"&amp;$F374)</f>
        <v/>
      </c>
      <c r="P374" s="94">
        <f>IF($A374="",0,$H374*설정!$C$23)</f>
        <v/>
      </c>
      <c r="Q374" s="64">
        <f>IF($A374="","",IF(O374&lt;&gt;원인분석!$C$9,"",IF(AND(M374&gt;=원인분석!$C$10,M374&lt;=원인분석!$C$11),"당기",IF(AND(M374&gt;=원인분석!$C$12,M374&lt;=원인분석!$C$13),"비교",""))))</f>
        <v/>
      </c>
      <c r="R374" s="9">
        <f>IF(Q374="","",$K374&amp;"")</f>
        <v/>
      </c>
      <c r="S374" s="9">
        <f>IF(Q374="","",IF(MATCH(R374,$R$5:$R$100000,0)=ROW()-4,ROW(),""))</f>
        <v/>
      </c>
      <c r="T374" s="9">
        <f>IF(Q374="당기",ABS(P374)+ROW()/1000000000,"")</f>
        <v/>
      </c>
      <c r="U374" s="9">
        <f>IF(Q374="비교",ABS(P374)+ROW()/1000000000,"")</f>
        <v/>
      </c>
      <c r="V374" s="64">
        <f>IF($A374="","",IF(COUNTIF(변동분석!$E$7:$E$506,O374)&gt;0,"Y","N"))</f>
        <v/>
      </c>
      <c r="W374" s="64">
        <f>IF($A374="","",IFERROR(INDEX(계정매핑!$D$5:$D$504,MATCH($F374&amp;"",계정매핑!$A$5:$A$504,0)),"미매핑"))</f>
        <v/>
      </c>
      <c r="X374" s="9">
        <f>IF($A374="","",$F374&amp;"")</f>
        <v/>
      </c>
      <c r="Y374" s="94">
        <f>IF($A374="",0,IF(AE374="직접",IF(AF374="비귀속",$P374,0),$P374*(1-AG374)*IFERROR(INDEX(계정대체기준!$F$20:$F$49,MATCH($N374,계정대체기준!$A$20:$A$49,0)),1)))</f>
        <v/>
      </c>
      <c r="Z374" s="94">
        <f>IF($A374="",0,IF(AE374="직접",IF(AF374="신계약비",$P374,0),$P374*(1-AG374)*IFERROR(INDEX(계정대체기준!$C$20:$C$49,MATCH($N374,계정대체기준!$A$20:$A$49,0)),0)))</f>
        <v/>
      </c>
      <c r="AA374" s="94">
        <f>IF($A374="",0,IF(AE374="직접",IF(OR(AF374="유지비",AF374="손해조사비"),$P374,0),$P374*(1-AG374)*IFERROR(INDEX(계정대체기준!$D$20:$D$49,MATCH($N374,계정대체기준!$A$20:$A$49,0)),0)))</f>
        <v/>
      </c>
      <c r="AB374" s="94">
        <f>IF($A374="",0,IF(AE374="직접",IF(AF374="수금비",$P374,0),$P374*(1-AG374)*IFERROR(INDEX(계정대체기준!$E$20:$E$49,MATCH($N374,계정대체기준!$A$20:$A$49,0)),0)))</f>
        <v/>
      </c>
      <c r="AC374" s="9">
        <f>IF(AND($A374&lt;&gt;"",M374=설정!$C$20,Z374&gt;0),Z374+ROW()/1000000000,"")</f>
        <v/>
      </c>
      <c r="AD374" s="94">
        <f>IF($A374="",0,$P374*AG374)</f>
        <v/>
      </c>
      <c r="AE374" s="64">
        <f>IF($A374="","",IFERROR(INDEX(계정매핑!$E$5:$E$504,MATCH($F374&amp;"",계정매핑!$A$5:$A$504,0))&amp;"","공통비"))</f>
        <v/>
      </c>
      <c r="AF374" s="64">
        <f>IF($A374="","",IF(AE374="직접",IFERROR(INDEX(계정매핑!$F$5:$F$504,MATCH($F374&amp;"",계정매핑!$A$5:$A$504,0))&amp;"","비귀속"),""))</f>
        <v/>
      </c>
      <c r="AG374" s="96">
        <f>IF($A374="",0,IF(AND(AE374&lt;&gt;"직접",IFERROR(INDEX(계정매핑!$G$5:$G$504,MATCH($F374&amp;"",계정매핑!$A$5:$A$504,0))&amp;"","")="유지비",COUNTIF(계정대체기준!$A$6:$A$15,$N374)&gt;0),IFERROR(INDEX(계정대체기준!$E$6:$E$15,MATCH(VALUE($A374&amp;""),계정대체기준!$D$6:$D$15,0)),0),0))</f>
        <v/>
      </c>
      <c r="AH374" s="64">
        <f>IF($A374="","",IF(AD374=0,"",IF(OR(COUNTIF(계정대체기준!$A$77:$A$86,$N374)&gt;0,ISNUMBER(MATCH($X374,계정대체기준!$D$77:$D$86,0)),ISNUMBER(MATCH($F374,계정대체기준!$D$77:$D$86,0))),"Y","N")))</f>
        <v/>
      </c>
    </row>
    <row r="375">
      <c r="A375" s="92" t="n">
        <v>2025</v>
      </c>
      <c r="B375" s="92" t="n">
        <v>2</v>
      </c>
      <c r="C375" s="92" t="inlineStr">
        <is>
          <t>5100000371</t>
        </is>
      </c>
      <c r="D375" s="95" t="n">
        <v>45705</v>
      </c>
      <c r="E375" s="92" t="inlineStr">
        <is>
          <t>KR</t>
        </is>
      </c>
      <c r="F375" s="92" t="n">
        <v>62101000</v>
      </c>
      <c r="G375" s="92" t="n">
        <v>1601</v>
      </c>
      <c r="H375" s="93" t="n">
        <v>1852000</v>
      </c>
      <c r="I375" s="92" t="inlineStr">
        <is>
          <t>2월 국내출장 - (법인카드)</t>
        </is>
      </c>
      <c r="J375" s="92" t="inlineStr">
        <is>
          <t>V10010</t>
        </is>
      </c>
      <c r="K375" s="92" t="inlineStr">
        <is>
          <t>(법인카드)</t>
        </is>
      </c>
      <c r="M375" s="9">
        <f>IF($A375="","",VALUE($A375&amp;"")*12+VALUE($B375&amp;""))</f>
        <v/>
      </c>
      <c r="N375" s="64">
        <f>IF($A375="","",IFERROR(INDEX(부서매핑!$C$5:$C$504,MATCH($G375&amp;"",부서매핑!$A$5:$A$504,0)),"미매핑"))</f>
        <v/>
      </c>
      <c r="O375" s="9">
        <f>IF($A375="","",N375&amp;"|"&amp;$F375)</f>
        <v/>
      </c>
      <c r="P375" s="94">
        <f>IF($A375="",0,$H375*설정!$C$23)</f>
        <v/>
      </c>
      <c r="Q375" s="64">
        <f>IF($A375="","",IF(O375&lt;&gt;원인분석!$C$9,"",IF(AND(M375&gt;=원인분석!$C$10,M375&lt;=원인분석!$C$11),"당기",IF(AND(M375&gt;=원인분석!$C$12,M375&lt;=원인분석!$C$13),"비교",""))))</f>
        <v/>
      </c>
      <c r="R375" s="9">
        <f>IF(Q375="","",$K375&amp;"")</f>
        <v/>
      </c>
      <c r="S375" s="9">
        <f>IF(Q375="","",IF(MATCH(R375,$R$5:$R$100000,0)=ROW()-4,ROW(),""))</f>
        <v/>
      </c>
      <c r="T375" s="9">
        <f>IF(Q375="당기",ABS(P375)+ROW()/1000000000,"")</f>
        <v/>
      </c>
      <c r="U375" s="9">
        <f>IF(Q375="비교",ABS(P375)+ROW()/1000000000,"")</f>
        <v/>
      </c>
      <c r="V375" s="64">
        <f>IF($A375="","",IF(COUNTIF(변동분석!$E$7:$E$506,O375)&gt;0,"Y","N"))</f>
        <v/>
      </c>
      <c r="W375" s="64">
        <f>IF($A375="","",IFERROR(INDEX(계정매핑!$D$5:$D$504,MATCH($F375&amp;"",계정매핑!$A$5:$A$504,0)),"미매핑"))</f>
        <v/>
      </c>
      <c r="X375" s="9">
        <f>IF($A375="","",$F375&amp;"")</f>
        <v/>
      </c>
      <c r="Y375" s="94">
        <f>IF($A375="",0,IF(AE375="직접",IF(AF375="비귀속",$P375,0),$P375*(1-AG375)*IFERROR(INDEX(계정대체기준!$F$20:$F$49,MATCH($N375,계정대체기준!$A$20:$A$49,0)),1)))</f>
        <v/>
      </c>
      <c r="Z375" s="94">
        <f>IF($A375="",0,IF(AE375="직접",IF(AF375="신계약비",$P375,0),$P375*(1-AG375)*IFERROR(INDEX(계정대체기준!$C$20:$C$49,MATCH($N375,계정대체기준!$A$20:$A$49,0)),0)))</f>
        <v/>
      </c>
      <c r="AA375" s="94">
        <f>IF($A375="",0,IF(AE375="직접",IF(OR(AF375="유지비",AF375="손해조사비"),$P375,0),$P375*(1-AG375)*IFERROR(INDEX(계정대체기준!$D$20:$D$49,MATCH($N375,계정대체기준!$A$20:$A$49,0)),0)))</f>
        <v/>
      </c>
      <c r="AB375" s="94">
        <f>IF($A375="",0,IF(AE375="직접",IF(AF375="수금비",$P375,0),$P375*(1-AG375)*IFERROR(INDEX(계정대체기준!$E$20:$E$49,MATCH($N375,계정대체기준!$A$20:$A$49,0)),0)))</f>
        <v/>
      </c>
      <c r="AC375" s="9">
        <f>IF(AND($A375&lt;&gt;"",M375=설정!$C$20,Z375&gt;0),Z375+ROW()/1000000000,"")</f>
        <v/>
      </c>
      <c r="AD375" s="94">
        <f>IF($A375="",0,$P375*AG375)</f>
        <v/>
      </c>
      <c r="AE375" s="64">
        <f>IF($A375="","",IFERROR(INDEX(계정매핑!$E$5:$E$504,MATCH($F375&amp;"",계정매핑!$A$5:$A$504,0))&amp;"","공통비"))</f>
        <v/>
      </c>
      <c r="AF375" s="64">
        <f>IF($A375="","",IF(AE375="직접",IFERROR(INDEX(계정매핑!$F$5:$F$504,MATCH($F375&amp;"",계정매핑!$A$5:$A$504,0))&amp;"","비귀속"),""))</f>
        <v/>
      </c>
      <c r="AG375" s="96">
        <f>IF($A375="",0,IF(AND(AE375&lt;&gt;"직접",IFERROR(INDEX(계정매핑!$G$5:$G$504,MATCH($F375&amp;"",계정매핑!$A$5:$A$504,0))&amp;"","")="유지비",COUNTIF(계정대체기준!$A$6:$A$15,$N375)&gt;0),IFERROR(INDEX(계정대체기준!$E$6:$E$15,MATCH(VALUE($A375&amp;""),계정대체기준!$D$6:$D$15,0)),0),0))</f>
        <v/>
      </c>
      <c r="AH375" s="64">
        <f>IF($A375="","",IF(AD375=0,"",IF(OR(COUNTIF(계정대체기준!$A$77:$A$86,$N375)&gt;0,ISNUMBER(MATCH($X375,계정대체기준!$D$77:$D$86,0)),ISNUMBER(MATCH($F375,계정대체기준!$D$77:$D$86,0))),"Y","N")))</f>
        <v/>
      </c>
    </row>
    <row r="376">
      <c r="A376" s="92" t="n">
        <v>2025</v>
      </c>
      <c r="B376" s="92" t="n">
        <v>2</v>
      </c>
      <c r="C376" s="92" t="inlineStr">
        <is>
          <t>5100000372</t>
        </is>
      </c>
      <c r="D376" s="95" t="n">
        <v>45705</v>
      </c>
      <c r="E376" s="92" t="inlineStr">
        <is>
          <t>KR</t>
        </is>
      </c>
      <c r="F376" s="92" t="n">
        <v>62102000</v>
      </c>
      <c r="G376" s="92" t="n">
        <v>1101</v>
      </c>
      <c r="H376" s="93" t="n">
        <v>149000</v>
      </c>
      <c r="I376" s="92" t="inlineStr">
        <is>
          <t>2월 해외출장 - N호텔</t>
        </is>
      </c>
      <c r="J376" s="92" t="inlineStr">
        <is>
          <t>V10009</t>
        </is>
      </c>
      <c r="K376" s="92" t="inlineStr">
        <is>
          <t>N호텔</t>
        </is>
      </c>
      <c r="M376" s="9">
        <f>IF($A376="","",VALUE($A376&amp;"")*12+VALUE($B376&amp;""))</f>
        <v/>
      </c>
      <c r="N376" s="64">
        <f>IF($A376="","",IFERROR(INDEX(부서매핑!$C$5:$C$504,MATCH($G376&amp;"",부서매핑!$A$5:$A$504,0)),"미매핑"))</f>
        <v/>
      </c>
      <c r="O376" s="9">
        <f>IF($A376="","",N376&amp;"|"&amp;$F376)</f>
        <v/>
      </c>
      <c r="P376" s="94">
        <f>IF($A376="",0,$H376*설정!$C$23)</f>
        <v/>
      </c>
      <c r="Q376" s="64">
        <f>IF($A376="","",IF(O376&lt;&gt;원인분석!$C$9,"",IF(AND(M376&gt;=원인분석!$C$10,M376&lt;=원인분석!$C$11),"당기",IF(AND(M376&gt;=원인분석!$C$12,M376&lt;=원인분석!$C$13),"비교",""))))</f>
        <v/>
      </c>
      <c r="R376" s="9">
        <f>IF(Q376="","",$K376&amp;"")</f>
        <v/>
      </c>
      <c r="S376" s="9">
        <f>IF(Q376="","",IF(MATCH(R376,$R$5:$R$100000,0)=ROW()-4,ROW(),""))</f>
        <v/>
      </c>
      <c r="T376" s="9">
        <f>IF(Q376="당기",ABS(P376)+ROW()/1000000000,"")</f>
        <v/>
      </c>
      <c r="U376" s="9">
        <f>IF(Q376="비교",ABS(P376)+ROW()/1000000000,"")</f>
        <v/>
      </c>
      <c r="V376" s="64">
        <f>IF($A376="","",IF(COUNTIF(변동분석!$E$7:$E$506,O376)&gt;0,"Y","N"))</f>
        <v/>
      </c>
      <c r="W376" s="64">
        <f>IF($A376="","",IFERROR(INDEX(계정매핑!$D$5:$D$504,MATCH($F376&amp;"",계정매핑!$A$5:$A$504,0)),"미매핑"))</f>
        <v/>
      </c>
      <c r="X376" s="9">
        <f>IF($A376="","",$F376&amp;"")</f>
        <v/>
      </c>
      <c r="Y376" s="94">
        <f>IF($A376="",0,IF(AE376="직접",IF(AF376="비귀속",$P376,0),$P376*(1-AG376)*IFERROR(INDEX(계정대체기준!$F$20:$F$49,MATCH($N376,계정대체기준!$A$20:$A$49,0)),1)))</f>
        <v/>
      </c>
      <c r="Z376" s="94">
        <f>IF($A376="",0,IF(AE376="직접",IF(AF376="신계약비",$P376,0),$P376*(1-AG376)*IFERROR(INDEX(계정대체기준!$C$20:$C$49,MATCH($N376,계정대체기준!$A$20:$A$49,0)),0)))</f>
        <v/>
      </c>
      <c r="AA376" s="94">
        <f>IF($A376="",0,IF(AE376="직접",IF(OR(AF376="유지비",AF376="손해조사비"),$P376,0),$P376*(1-AG376)*IFERROR(INDEX(계정대체기준!$D$20:$D$49,MATCH($N376,계정대체기준!$A$20:$A$49,0)),0)))</f>
        <v/>
      </c>
      <c r="AB376" s="94">
        <f>IF($A376="",0,IF(AE376="직접",IF(AF376="수금비",$P376,0),$P376*(1-AG376)*IFERROR(INDEX(계정대체기준!$E$20:$E$49,MATCH($N376,계정대체기준!$A$20:$A$49,0)),0)))</f>
        <v/>
      </c>
      <c r="AC376" s="9">
        <f>IF(AND($A376&lt;&gt;"",M376=설정!$C$20,Z376&gt;0),Z376+ROW()/1000000000,"")</f>
        <v/>
      </c>
      <c r="AD376" s="94">
        <f>IF($A376="",0,$P376*AG376)</f>
        <v/>
      </c>
      <c r="AE376" s="64">
        <f>IF($A376="","",IFERROR(INDEX(계정매핑!$E$5:$E$504,MATCH($F376&amp;"",계정매핑!$A$5:$A$504,0))&amp;"","공통비"))</f>
        <v/>
      </c>
      <c r="AF376" s="64">
        <f>IF($A376="","",IF(AE376="직접",IFERROR(INDEX(계정매핑!$F$5:$F$504,MATCH($F376&amp;"",계정매핑!$A$5:$A$504,0))&amp;"","비귀속"),""))</f>
        <v/>
      </c>
      <c r="AG376" s="96">
        <f>IF($A376="",0,IF(AND(AE376&lt;&gt;"직접",IFERROR(INDEX(계정매핑!$G$5:$G$504,MATCH($F376&amp;"",계정매핑!$A$5:$A$504,0))&amp;"","")="유지비",COUNTIF(계정대체기준!$A$6:$A$15,$N376)&gt;0),IFERROR(INDEX(계정대체기준!$E$6:$E$15,MATCH(VALUE($A376&amp;""),계정대체기준!$D$6:$D$15,0)),0),0))</f>
        <v/>
      </c>
      <c r="AH376" s="64">
        <f>IF($A376="","",IF(AD376=0,"",IF(OR(COUNTIF(계정대체기준!$A$77:$A$86,$N376)&gt;0,ISNUMBER(MATCH($X376,계정대체기준!$D$77:$D$86,0)),ISNUMBER(MATCH($F376,계정대체기준!$D$77:$D$86,0))),"Y","N")))</f>
        <v/>
      </c>
    </row>
    <row r="377">
      <c r="A377" s="92" t="n">
        <v>2025</v>
      </c>
      <c r="B377" s="92" t="n">
        <v>2</v>
      </c>
      <c r="C377" s="92" t="inlineStr">
        <is>
          <t>5100000373</t>
        </is>
      </c>
      <c r="D377" s="95" t="n">
        <v>45705</v>
      </c>
      <c r="E377" s="92" t="inlineStr">
        <is>
          <t>KR</t>
        </is>
      </c>
      <c r="F377" s="92" t="n">
        <v>62102000</v>
      </c>
      <c r="G377" s="92" t="n">
        <v>1801</v>
      </c>
      <c r="H377" s="93" t="n">
        <v>52000</v>
      </c>
      <c r="I377" s="92" t="inlineStr">
        <is>
          <t>2월 해외출장 - N호텔</t>
        </is>
      </c>
      <c r="J377" s="92" t="inlineStr">
        <is>
          <t>V10009</t>
        </is>
      </c>
      <c r="K377" s="92" t="inlineStr">
        <is>
          <t>N호텔</t>
        </is>
      </c>
      <c r="M377" s="9">
        <f>IF($A377="","",VALUE($A377&amp;"")*12+VALUE($B377&amp;""))</f>
        <v/>
      </c>
      <c r="N377" s="64">
        <f>IF($A377="","",IFERROR(INDEX(부서매핑!$C$5:$C$504,MATCH($G377&amp;"",부서매핑!$A$5:$A$504,0)),"미매핑"))</f>
        <v/>
      </c>
      <c r="O377" s="9">
        <f>IF($A377="","",N377&amp;"|"&amp;$F377)</f>
        <v/>
      </c>
      <c r="P377" s="94">
        <f>IF($A377="",0,$H377*설정!$C$23)</f>
        <v/>
      </c>
      <c r="Q377" s="64">
        <f>IF($A377="","",IF(O377&lt;&gt;원인분석!$C$9,"",IF(AND(M377&gt;=원인분석!$C$10,M377&lt;=원인분석!$C$11),"당기",IF(AND(M377&gt;=원인분석!$C$12,M377&lt;=원인분석!$C$13),"비교",""))))</f>
        <v/>
      </c>
      <c r="R377" s="9">
        <f>IF(Q377="","",$K377&amp;"")</f>
        <v/>
      </c>
      <c r="S377" s="9">
        <f>IF(Q377="","",IF(MATCH(R377,$R$5:$R$100000,0)=ROW()-4,ROW(),""))</f>
        <v/>
      </c>
      <c r="T377" s="9">
        <f>IF(Q377="당기",ABS(P377)+ROW()/1000000000,"")</f>
        <v/>
      </c>
      <c r="U377" s="9">
        <f>IF(Q377="비교",ABS(P377)+ROW()/1000000000,"")</f>
        <v/>
      </c>
      <c r="V377" s="64">
        <f>IF($A377="","",IF(COUNTIF(변동분석!$E$7:$E$506,O377)&gt;0,"Y","N"))</f>
        <v/>
      </c>
      <c r="W377" s="64">
        <f>IF($A377="","",IFERROR(INDEX(계정매핑!$D$5:$D$504,MATCH($F377&amp;"",계정매핑!$A$5:$A$504,0)),"미매핑"))</f>
        <v/>
      </c>
      <c r="X377" s="9">
        <f>IF($A377="","",$F377&amp;"")</f>
        <v/>
      </c>
      <c r="Y377" s="94">
        <f>IF($A377="",0,IF(AE377="직접",IF(AF377="비귀속",$P377,0),$P377*(1-AG377)*IFERROR(INDEX(계정대체기준!$F$20:$F$49,MATCH($N377,계정대체기준!$A$20:$A$49,0)),1)))</f>
        <v/>
      </c>
      <c r="Z377" s="94">
        <f>IF($A377="",0,IF(AE377="직접",IF(AF377="신계약비",$P377,0),$P377*(1-AG377)*IFERROR(INDEX(계정대체기준!$C$20:$C$49,MATCH($N377,계정대체기준!$A$20:$A$49,0)),0)))</f>
        <v/>
      </c>
      <c r="AA377" s="94">
        <f>IF($A377="",0,IF(AE377="직접",IF(OR(AF377="유지비",AF377="손해조사비"),$P377,0),$P377*(1-AG377)*IFERROR(INDEX(계정대체기준!$D$20:$D$49,MATCH($N377,계정대체기준!$A$20:$A$49,0)),0)))</f>
        <v/>
      </c>
      <c r="AB377" s="94">
        <f>IF($A377="",0,IF(AE377="직접",IF(AF377="수금비",$P377,0),$P377*(1-AG377)*IFERROR(INDEX(계정대체기준!$E$20:$E$49,MATCH($N377,계정대체기준!$A$20:$A$49,0)),0)))</f>
        <v/>
      </c>
      <c r="AC377" s="9">
        <f>IF(AND($A377&lt;&gt;"",M377=설정!$C$20,Z377&gt;0),Z377+ROW()/1000000000,"")</f>
        <v/>
      </c>
      <c r="AD377" s="94">
        <f>IF($A377="",0,$P377*AG377)</f>
        <v/>
      </c>
      <c r="AE377" s="64">
        <f>IF($A377="","",IFERROR(INDEX(계정매핑!$E$5:$E$504,MATCH($F377&amp;"",계정매핑!$A$5:$A$504,0))&amp;"","공통비"))</f>
        <v/>
      </c>
      <c r="AF377" s="64">
        <f>IF($A377="","",IF(AE377="직접",IFERROR(INDEX(계정매핑!$F$5:$F$504,MATCH($F377&amp;"",계정매핑!$A$5:$A$504,0))&amp;"","비귀속"),""))</f>
        <v/>
      </c>
      <c r="AG377" s="96">
        <f>IF($A377="",0,IF(AND(AE377&lt;&gt;"직접",IFERROR(INDEX(계정매핑!$G$5:$G$504,MATCH($F377&amp;"",계정매핑!$A$5:$A$504,0))&amp;"","")="유지비",COUNTIF(계정대체기준!$A$6:$A$15,$N377)&gt;0),IFERROR(INDEX(계정대체기준!$E$6:$E$15,MATCH(VALUE($A377&amp;""),계정대체기준!$D$6:$D$15,0)),0),0))</f>
        <v/>
      </c>
      <c r="AH377" s="64">
        <f>IF($A377="","",IF(AD377=0,"",IF(OR(COUNTIF(계정대체기준!$A$77:$A$86,$N377)&gt;0,ISNUMBER(MATCH($X377,계정대체기준!$D$77:$D$86,0)),ISNUMBER(MATCH($F377,계정대체기준!$D$77:$D$86,0))),"Y","N")))</f>
        <v/>
      </c>
    </row>
    <row r="378">
      <c r="A378" s="92" t="n">
        <v>2025</v>
      </c>
      <c r="B378" s="92" t="n">
        <v>2</v>
      </c>
      <c r="C378" s="92" t="inlineStr">
        <is>
          <t>5100000374</t>
        </is>
      </c>
      <c r="D378" s="95" t="n">
        <v>45705</v>
      </c>
      <c r="E378" s="92" t="inlineStr">
        <is>
          <t>KR</t>
        </is>
      </c>
      <c r="F378" s="92" t="n">
        <v>62301000</v>
      </c>
      <c r="G378" s="92" t="n">
        <v>1301</v>
      </c>
      <c r="H378" s="93" t="n">
        <v>306000</v>
      </c>
      <c r="I378" s="92" t="inlineStr">
        <is>
          <t>2월 소모품 구입 - R문구</t>
        </is>
      </c>
      <c r="J378" s="92" t="inlineStr">
        <is>
          <t>V10022</t>
        </is>
      </c>
      <c r="K378" s="92" t="inlineStr">
        <is>
          <t>R문구</t>
        </is>
      </c>
      <c r="M378" s="9">
        <f>IF($A378="","",VALUE($A378&amp;"")*12+VALUE($B378&amp;""))</f>
        <v/>
      </c>
      <c r="N378" s="64">
        <f>IF($A378="","",IFERROR(INDEX(부서매핑!$C$5:$C$504,MATCH($G378&amp;"",부서매핑!$A$5:$A$504,0)),"미매핑"))</f>
        <v/>
      </c>
      <c r="O378" s="9">
        <f>IF($A378="","",N378&amp;"|"&amp;$F378)</f>
        <v/>
      </c>
      <c r="P378" s="94">
        <f>IF($A378="",0,$H378*설정!$C$23)</f>
        <v/>
      </c>
      <c r="Q378" s="64">
        <f>IF($A378="","",IF(O378&lt;&gt;원인분석!$C$9,"",IF(AND(M378&gt;=원인분석!$C$10,M378&lt;=원인분석!$C$11),"당기",IF(AND(M378&gt;=원인분석!$C$12,M378&lt;=원인분석!$C$13),"비교",""))))</f>
        <v/>
      </c>
      <c r="R378" s="9">
        <f>IF(Q378="","",$K378&amp;"")</f>
        <v/>
      </c>
      <c r="S378" s="9">
        <f>IF(Q378="","",IF(MATCH(R378,$R$5:$R$100000,0)=ROW()-4,ROW(),""))</f>
        <v/>
      </c>
      <c r="T378" s="9">
        <f>IF(Q378="당기",ABS(P378)+ROW()/1000000000,"")</f>
        <v/>
      </c>
      <c r="U378" s="9">
        <f>IF(Q378="비교",ABS(P378)+ROW()/1000000000,"")</f>
        <v/>
      </c>
      <c r="V378" s="64">
        <f>IF($A378="","",IF(COUNTIF(변동분석!$E$7:$E$506,O378)&gt;0,"Y","N"))</f>
        <v/>
      </c>
      <c r="W378" s="64">
        <f>IF($A378="","",IFERROR(INDEX(계정매핑!$D$5:$D$504,MATCH($F378&amp;"",계정매핑!$A$5:$A$504,0)),"미매핑"))</f>
        <v/>
      </c>
      <c r="X378" s="9">
        <f>IF($A378="","",$F378&amp;"")</f>
        <v/>
      </c>
      <c r="Y378" s="94">
        <f>IF($A378="",0,IF(AE378="직접",IF(AF378="비귀속",$P378,0),$P378*(1-AG378)*IFERROR(INDEX(계정대체기준!$F$20:$F$49,MATCH($N378,계정대체기준!$A$20:$A$49,0)),1)))</f>
        <v/>
      </c>
      <c r="Z378" s="94">
        <f>IF($A378="",0,IF(AE378="직접",IF(AF378="신계약비",$P378,0),$P378*(1-AG378)*IFERROR(INDEX(계정대체기준!$C$20:$C$49,MATCH($N378,계정대체기준!$A$20:$A$49,0)),0)))</f>
        <v/>
      </c>
      <c r="AA378" s="94">
        <f>IF($A378="",0,IF(AE378="직접",IF(OR(AF378="유지비",AF378="손해조사비"),$P378,0),$P378*(1-AG378)*IFERROR(INDEX(계정대체기준!$D$20:$D$49,MATCH($N378,계정대체기준!$A$20:$A$49,0)),0)))</f>
        <v/>
      </c>
      <c r="AB378" s="94">
        <f>IF($A378="",0,IF(AE378="직접",IF(AF378="수금비",$P378,0),$P378*(1-AG378)*IFERROR(INDEX(계정대체기준!$E$20:$E$49,MATCH($N378,계정대체기준!$A$20:$A$49,0)),0)))</f>
        <v/>
      </c>
      <c r="AC378" s="9">
        <f>IF(AND($A378&lt;&gt;"",M378=설정!$C$20,Z378&gt;0),Z378+ROW()/1000000000,"")</f>
        <v/>
      </c>
      <c r="AD378" s="94">
        <f>IF($A378="",0,$P378*AG378)</f>
        <v/>
      </c>
      <c r="AE378" s="64">
        <f>IF($A378="","",IFERROR(INDEX(계정매핑!$E$5:$E$504,MATCH($F378&amp;"",계정매핑!$A$5:$A$504,0))&amp;"","공통비"))</f>
        <v/>
      </c>
      <c r="AF378" s="64">
        <f>IF($A378="","",IF(AE378="직접",IFERROR(INDEX(계정매핑!$F$5:$F$504,MATCH($F378&amp;"",계정매핑!$A$5:$A$504,0))&amp;"","비귀속"),""))</f>
        <v/>
      </c>
      <c r="AG378" s="96">
        <f>IF($A378="",0,IF(AND(AE378&lt;&gt;"직접",IFERROR(INDEX(계정매핑!$G$5:$G$504,MATCH($F378&amp;"",계정매핑!$A$5:$A$504,0))&amp;"","")="유지비",COUNTIF(계정대체기준!$A$6:$A$15,$N378)&gt;0),IFERROR(INDEX(계정대체기준!$E$6:$E$15,MATCH(VALUE($A378&amp;""),계정대체기준!$D$6:$D$15,0)),0),0))</f>
        <v/>
      </c>
      <c r="AH378" s="64">
        <f>IF($A378="","",IF(AD378=0,"",IF(OR(COUNTIF(계정대체기준!$A$77:$A$86,$N378)&gt;0,ISNUMBER(MATCH($X378,계정대체기준!$D$77:$D$86,0)),ISNUMBER(MATCH($F378,계정대체기준!$D$77:$D$86,0))),"Y","N")))</f>
        <v/>
      </c>
    </row>
    <row r="379">
      <c r="A379" s="92" t="n">
        <v>2025</v>
      </c>
      <c r="B379" s="92" t="n">
        <v>2</v>
      </c>
      <c r="C379" s="92" t="inlineStr">
        <is>
          <t>5100000375</t>
        </is>
      </c>
      <c r="D379" s="95" t="n">
        <v>45705</v>
      </c>
      <c r="E379" s="92" t="inlineStr">
        <is>
          <t>KR</t>
        </is>
      </c>
      <c r="F379" s="92" t="n">
        <v>62301000</v>
      </c>
      <c r="G379" s="92" t="n">
        <v>1701</v>
      </c>
      <c r="H379" s="93" t="n">
        <v>340000</v>
      </c>
      <c r="I379" s="92" t="inlineStr">
        <is>
          <t>2월 소모품 구입 - Q오피스</t>
        </is>
      </c>
      <c r="J379" s="92" t="inlineStr">
        <is>
          <t>V10003</t>
        </is>
      </c>
      <c r="K379" s="92" t="inlineStr">
        <is>
          <t>Q오피스</t>
        </is>
      </c>
      <c r="M379" s="9">
        <f>IF($A379="","",VALUE($A379&amp;"")*12+VALUE($B379&amp;""))</f>
        <v/>
      </c>
      <c r="N379" s="64">
        <f>IF($A379="","",IFERROR(INDEX(부서매핑!$C$5:$C$504,MATCH($G379&amp;"",부서매핑!$A$5:$A$504,0)),"미매핑"))</f>
        <v/>
      </c>
      <c r="O379" s="9">
        <f>IF($A379="","",N379&amp;"|"&amp;$F379)</f>
        <v/>
      </c>
      <c r="P379" s="94">
        <f>IF($A379="",0,$H379*설정!$C$23)</f>
        <v/>
      </c>
      <c r="Q379" s="64">
        <f>IF($A379="","",IF(O379&lt;&gt;원인분석!$C$9,"",IF(AND(M379&gt;=원인분석!$C$10,M379&lt;=원인분석!$C$11),"당기",IF(AND(M379&gt;=원인분석!$C$12,M379&lt;=원인분석!$C$13),"비교",""))))</f>
        <v/>
      </c>
      <c r="R379" s="9">
        <f>IF(Q379="","",$K379&amp;"")</f>
        <v/>
      </c>
      <c r="S379" s="9">
        <f>IF(Q379="","",IF(MATCH(R379,$R$5:$R$100000,0)=ROW()-4,ROW(),""))</f>
        <v/>
      </c>
      <c r="T379" s="9">
        <f>IF(Q379="당기",ABS(P379)+ROW()/1000000000,"")</f>
        <v/>
      </c>
      <c r="U379" s="9">
        <f>IF(Q379="비교",ABS(P379)+ROW()/1000000000,"")</f>
        <v/>
      </c>
      <c r="V379" s="64">
        <f>IF($A379="","",IF(COUNTIF(변동분석!$E$7:$E$506,O379)&gt;0,"Y","N"))</f>
        <v/>
      </c>
      <c r="W379" s="64">
        <f>IF($A379="","",IFERROR(INDEX(계정매핑!$D$5:$D$504,MATCH($F379&amp;"",계정매핑!$A$5:$A$504,0)),"미매핑"))</f>
        <v/>
      </c>
      <c r="X379" s="9">
        <f>IF($A379="","",$F379&amp;"")</f>
        <v/>
      </c>
      <c r="Y379" s="94">
        <f>IF($A379="",0,IF(AE379="직접",IF(AF379="비귀속",$P379,0),$P379*(1-AG379)*IFERROR(INDEX(계정대체기준!$F$20:$F$49,MATCH($N379,계정대체기준!$A$20:$A$49,0)),1)))</f>
        <v/>
      </c>
      <c r="Z379" s="94">
        <f>IF($A379="",0,IF(AE379="직접",IF(AF379="신계약비",$P379,0),$P379*(1-AG379)*IFERROR(INDEX(계정대체기준!$C$20:$C$49,MATCH($N379,계정대체기준!$A$20:$A$49,0)),0)))</f>
        <v/>
      </c>
      <c r="AA379" s="94">
        <f>IF($A379="",0,IF(AE379="직접",IF(OR(AF379="유지비",AF379="손해조사비"),$P379,0),$P379*(1-AG379)*IFERROR(INDEX(계정대체기준!$D$20:$D$49,MATCH($N379,계정대체기준!$A$20:$A$49,0)),0)))</f>
        <v/>
      </c>
      <c r="AB379" s="94">
        <f>IF($A379="",0,IF(AE379="직접",IF(AF379="수금비",$P379,0),$P379*(1-AG379)*IFERROR(INDEX(계정대체기준!$E$20:$E$49,MATCH($N379,계정대체기준!$A$20:$A$49,0)),0)))</f>
        <v/>
      </c>
      <c r="AC379" s="9">
        <f>IF(AND($A379&lt;&gt;"",M379=설정!$C$20,Z379&gt;0),Z379+ROW()/1000000000,"")</f>
        <v/>
      </c>
      <c r="AD379" s="94">
        <f>IF($A379="",0,$P379*AG379)</f>
        <v/>
      </c>
      <c r="AE379" s="64">
        <f>IF($A379="","",IFERROR(INDEX(계정매핑!$E$5:$E$504,MATCH($F379&amp;"",계정매핑!$A$5:$A$504,0))&amp;"","공통비"))</f>
        <v/>
      </c>
      <c r="AF379" s="64">
        <f>IF($A379="","",IF(AE379="직접",IFERROR(INDEX(계정매핑!$F$5:$F$504,MATCH($F379&amp;"",계정매핑!$A$5:$A$504,0))&amp;"","비귀속"),""))</f>
        <v/>
      </c>
      <c r="AG379" s="96">
        <f>IF($A379="",0,IF(AND(AE379&lt;&gt;"직접",IFERROR(INDEX(계정매핑!$G$5:$G$504,MATCH($F379&amp;"",계정매핑!$A$5:$A$504,0))&amp;"","")="유지비",COUNTIF(계정대체기준!$A$6:$A$15,$N379)&gt;0),IFERROR(INDEX(계정대체기준!$E$6:$E$15,MATCH(VALUE($A379&amp;""),계정대체기준!$D$6:$D$15,0)),0),0))</f>
        <v/>
      </c>
      <c r="AH379" s="64">
        <f>IF($A379="","",IF(AD379=0,"",IF(OR(COUNTIF(계정대체기준!$A$77:$A$86,$N379)&gt;0,ISNUMBER(MATCH($X379,계정대체기준!$D$77:$D$86,0)),ISNUMBER(MATCH($F379,계정대체기준!$D$77:$D$86,0))),"Y","N")))</f>
        <v/>
      </c>
    </row>
    <row r="380">
      <c r="A380" s="92" t="n">
        <v>2025</v>
      </c>
      <c r="B380" s="92" t="n">
        <v>2</v>
      </c>
      <c r="C380" s="92" t="inlineStr">
        <is>
          <t>5100000376</t>
        </is>
      </c>
      <c r="D380" s="95" t="n">
        <v>45705</v>
      </c>
      <c r="E380" s="92" t="inlineStr">
        <is>
          <t>KR</t>
        </is>
      </c>
      <c r="F380" s="92" t="n">
        <v>62401000</v>
      </c>
      <c r="G380" s="92" t="n">
        <v>1502</v>
      </c>
      <c r="H380" s="93" t="n">
        <v>1510000</v>
      </c>
      <c r="I380" s="92" t="inlineStr">
        <is>
          <t>2월 인쇄물 제작 - S출판</t>
        </is>
      </c>
      <c r="J380" s="92" t="inlineStr">
        <is>
          <t>V10015</t>
        </is>
      </c>
      <c r="K380" s="92" t="inlineStr">
        <is>
          <t>S출판</t>
        </is>
      </c>
      <c r="M380" s="9">
        <f>IF($A380="","",VALUE($A380&amp;"")*12+VALUE($B380&amp;""))</f>
        <v/>
      </c>
      <c r="N380" s="64">
        <f>IF($A380="","",IFERROR(INDEX(부서매핑!$C$5:$C$504,MATCH($G380&amp;"",부서매핑!$A$5:$A$504,0)),"미매핑"))</f>
        <v/>
      </c>
      <c r="O380" s="9">
        <f>IF($A380="","",N380&amp;"|"&amp;$F380)</f>
        <v/>
      </c>
      <c r="P380" s="94">
        <f>IF($A380="",0,$H380*설정!$C$23)</f>
        <v/>
      </c>
      <c r="Q380" s="64">
        <f>IF($A380="","",IF(O380&lt;&gt;원인분석!$C$9,"",IF(AND(M380&gt;=원인분석!$C$10,M380&lt;=원인분석!$C$11),"당기",IF(AND(M380&gt;=원인분석!$C$12,M380&lt;=원인분석!$C$13),"비교",""))))</f>
        <v/>
      </c>
      <c r="R380" s="9">
        <f>IF(Q380="","",$K380&amp;"")</f>
        <v/>
      </c>
      <c r="S380" s="9">
        <f>IF(Q380="","",IF(MATCH(R380,$R$5:$R$100000,0)=ROW()-4,ROW(),""))</f>
        <v/>
      </c>
      <c r="T380" s="9">
        <f>IF(Q380="당기",ABS(P380)+ROW()/1000000000,"")</f>
        <v/>
      </c>
      <c r="U380" s="9">
        <f>IF(Q380="비교",ABS(P380)+ROW()/1000000000,"")</f>
        <v/>
      </c>
      <c r="V380" s="64">
        <f>IF($A380="","",IF(COUNTIF(변동분석!$E$7:$E$506,O380)&gt;0,"Y","N"))</f>
        <v/>
      </c>
      <c r="W380" s="64">
        <f>IF($A380="","",IFERROR(INDEX(계정매핑!$D$5:$D$504,MATCH($F380&amp;"",계정매핑!$A$5:$A$504,0)),"미매핑"))</f>
        <v/>
      </c>
      <c r="X380" s="9">
        <f>IF($A380="","",$F380&amp;"")</f>
        <v/>
      </c>
      <c r="Y380" s="94">
        <f>IF($A380="",0,IF(AE380="직접",IF(AF380="비귀속",$P380,0),$P380*(1-AG380)*IFERROR(INDEX(계정대체기준!$F$20:$F$49,MATCH($N380,계정대체기준!$A$20:$A$49,0)),1)))</f>
        <v/>
      </c>
      <c r="Z380" s="94">
        <f>IF($A380="",0,IF(AE380="직접",IF(AF380="신계약비",$P380,0),$P380*(1-AG380)*IFERROR(INDEX(계정대체기준!$C$20:$C$49,MATCH($N380,계정대체기준!$A$20:$A$49,0)),0)))</f>
        <v/>
      </c>
      <c r="AA380" s="94">
        <f>IF($A380="",0,IF(AE380="직접",IF(OR(AF380="유지비",AF380="손해조사비"),$P380,0),$P380*(1-AG380)*IFERROR(INDEX(계정대체기준!$D$20:$D$49,MATCH($N380,계정대체기준!$A$20:$A$49,0)),0)))</f>
        <v/>
      </c>
      <c r="AB380" s="94">
        <f>IF($A380="",0,IF(AE380="직접",IF(AF380="수금비",$P380,0),$P380*(1-AG380)*IFERROR(INDEX(계정대체기준!$E$20:$E$49,MATCH($N380,계정대체기준!$A$20:$A$49,0)),0)))</f>
        <v/>
      </c>
      <c r="AC380" s="9">
        <f>IF(AND($A380&lt;&gt;"",M380=설정!$C$20,Z380&gt;0),Z380+ROW()/1000000000,"")</f>
        <v/>
      </c>
      <c r="AD380" s="94">
        <f>IF($A380="",0,$P380*AG380)</f>
        <v/>
      </c>
      <c r="AE380" s="64">
        <f>IF($A380="","",IFERROR(INDEX(계정매핑!$E$5:$E$504,MATCH($F380&amp;"",계정매핑!$A$5:$A$504,0))&amp;"","공통비"))</f>
        <v/>
      </c>
      <c r="AF380" s="64">
        <f>IF($A380="","",IF(AE380="직접",IFERROR(INDEX(계정매핑!$F$5:$F$504,MATCH($F380&amp;"",계정매핑!$A$5:$A$504,0))&amp;"","비귀속"),""))</f>
        <v/>
      </c>
      <c r="AG380" s="96">
        <f>IF($A380="",0,IF(AND(AE380&lt;&gt;"직접",IFERROR(INDEX(계정매핑!$G$5:$G$504,MATCH($F380&amp;"",계정매핑!$A$5:$A$504,0))&amp;"","")="유지비",COUNTIF(계정대체기준!$A$6:$A$15,$N380)&gt;0),IFERROR(INDEX(계정대체기준!$E$6:$E$15,MATCH(VALUE($A380&amp;""),계정대체기준!$D$6:$D$15,0)),0),0))</f>
        <v/>
      </c>
      <c r="AH380" s="64">
        <f>IF($A380="","",IF(AD380=0,"",IF(OR(COUNTIF(계정대체기준!$A$77:$A$86,$N380)&gt;0,ISNUMBER(MATCH($X380,계정대체기준!$D$77:$D$86,0)),ISNUMBER(MATCH($F380,계정대체기준!$D$77:$D$86,0))),"Y","N")))</f>
        <v/>
      </c>
    </row>
    <row r="381">
      <c r="A381" s="92" t="n">
        <v>2025</v>
      </c>
      <c r="B381" s="92" t="n">
        <v>2</v>
      </c>
      <c r="C381" s="92" t="inlineStr">
        <is>
          <t>5100000377</t>
        </is>
      </c>
      <c r="D381" s="95" t="n">
        <v>45705</v>
      </c>
      <c r="E381" s="92" t="inlineStr">
        <is>
          <t>KR</t>
        </is>
      </c>
      <c r="F381" s="92" t="n">
        <v>62501000</v>
      </c>
      <c r="G381" s="92" t="n">
        <v>1101</v>
      </c>
      <c r="H381" s="93" t="n">
        <v>286000</v>
      </c>
      <c r="I381" s="92" t="inlineStr">
        <is>
          <t>2월 회의 다과 - T케이터링</t>
        </is>
      </c>
      <c r="J381" s="92" t="inlineStr">
        <is>
          <t>V10005</t>
        </is>
      </c>
      <c r="K381" s="92" t="inlineStr">
        <is>
          <t>T케이터링</t>
        </is>
      </c>
      <c r="M381" s="9">
        <f>IF($A381="","",VALUE($A381&amp;"")*12+VALUE($B381&amp;""))</f>
        <v/>
      </c>
      <c r="N381" s="64">
        <f>IF($A381="","",IFERROR(INDEX(부서매핑!$C$5:$C$504,MATCH($G381&amp;"",부서매핑!$A$5:$A$504,0)),"미매핑"))</f>
        <v/>
      </c>
      <c r="O381" s="9">
        <f>IF($A381="","",N381&amp;"|"&amp;$F381)</f>
        <v/>
      </c>
      <c r="P381" s="94">
        <f>IF($A381="",0,$H381*설정!$C$23)</f>
        <v/>
      </c>
      <c r="Q381" s="64">
        <f>IF($A381="","",IF(O381&lt;&gt;원인분석!$C$9,"",IF(AND(M381&gt;=원인분석!$C$10,M381&lt;=원인분석!$C$11),"당기",IF(AND(M381&gt;=원인분석!$C$12,M381&lt;=원인분석!$C$13),"비교",""))))</f>
        <v/>
      </c>
      <c r="R381" s="9">
        <f>IF(Q381="","",$K381&amp;"")</f>
        <v/>
      </c>
      <c r="S381" s="9">
        <f>IF(Q381="","",IF(MATCH(R381,$R$5:$R$100000,0)=ROW()-4,ROW(),""))</f>
        <v/>
      </c>
      <c r="T381" s="9">
        <f>IF(Q381="당기",ABS(P381)+ROW()/1000000000,"")</f>
        <v/>
      </c>
      <c r="U381" s="9">
        <f>IF(Q381="비교",ABS(P381)+ROW()/1000000000,"")</f>
        <v/>
      </c>
      <c r="V381" s="64">
        <f>IF($A381="","",IF(COUNTIF(변동분석!$E$7:$E$506,O381)&gt;0,"Y","N"))</f>
        <v/>
      </c>
      <c r="W381" s="64">
        <f>IF($A381="","",IFERROR(INDEX(계정매핑!$D$5:$D$504,MATCH($F381&amp;"",계정매핑!$A$5:$A$504,0)),"미매핑"))</f>
        <v/>
      </c>
      <c r="X381" s="9">
        <f>IF($A381="","",$F381&amp;"")</f>
        <v/>
      </c>
      <c r="Y381" s="94">
        <f>IF($A381="",0,IF(AE381="직접",IF(AF381="비귀속",$P381,0),$P381*(1-AG381)*IFERROR(INDEX(계정대체기준!$F$20:$F$49,MATCH($N381,계정대체기준!$A$20:$A$49,0)),1)))</f>
        <v/>
      </c>
      <c r="Z381" s="94">
        <f>IF($A381="",0,IF(AE381="직접",IF(AF381="신계약비",$P381,0),$P381*(1-AG381)*IFERROR(INDEX(계정대체기준!$C$20:$C$49,MATCH($N381,계정대체기준!$A$20:$A$49,0)),0)))</f>
        <v/>
      </c>
      <c r="AA381" s="94">
        <f>IF($A381="",0,IF(AE381="직접",IF(OR(AF381="유지비",AF381="손해조사비"),$P381,0),$P381*(1-AG381)*IFERROR(INDEX(계정대체기준!$D$20:$D$49,MATCH($N381,계정대체기준!$A$20:$A$49,0)),0)))</f>
        <v/>
      </c>
      <c r="AB381" s="94">
        <f>IF($A381="",0,IF(AE381="직접",IF(AF381="수금비",$P381,0),$P381*(1-AG381)*IFERROR(INDEX(계정대체기준!$E$20:$E$49,MATCH($N381,계정대체기준!$A$20:$A$49,0)),0)))</f>
        <v/>
      </c>
      <c r="AC381" s="9">
        <f>IF(AND($A381&lt;&gt;"",M381=설정!$C$20,Z381&gt;0),Z381+ROW()/1000000000,"")</f>
        <v/>
      </c>
      <c r="AD381" s="94">
        <f>IF($A381="",0,$P381*AG381)</f>
        <v/>
      </c>
      <c r="AE381" s="64">
        <f>IF($A381="","",IFERROR(INDEX(계정매핑!$E$5:$E$504,MATCH($F381&amp;"",계정매핑!$A$5:$A$504,0))&amp;"","공통비"))</f>
        <v/>
      </c>
      <c r="AF381" s="64">
        <f>IF($A381="","",IF(AE381="직접",IFERROR(INDEX(계정매핑!$F$5:$F$504,MATCH($F381&amp;"",계정매핑!$A$5:$A$504,0))&amp;"","비귀속"),""))</f>
        <v/>
      </c>
      <c r="AG381" s="96">
        <f>IF($A381="",0,IF(AND(AE381&lt;&gt;"직접",IFERROR(INDEX(계정매핑!$G$5:$G$504,MATCH($F381&amp;"",계정매핑!$A$5:$A$504,0))&amp;"","")="유지비",COUNTIF(계정대체기준!$A$6:$A$15,$N381)&gt;0),IFERROR(INDEX(계정대체기준!$E$6:$E$15,MATCH(VALUE($A381&amp;""),계정대체기준!$D$6:$D$15,0)),0),0))</f>
        <v/>
      </c>
      <c r="AH381" s="64">
        <f>IF($A381="","",IF(AD381=0,"",IF(OR(COUNTIF(계정대체기준!$A$77:$A$86,$N381)&gt;0,ISNUMBER(MATCH($X381,계정대체기준!$D$77:$D$86,0)),ISNUMBER(MATCH($F381,계정대체기준!$D$77:$D$86,0))),"Y","N")))</f>
        <v/>
      </c>
    </row>
    <row r="382">
      <c r="A382" s="92" t="n">
        <v>2025</v>
      </c>
      <c r="B382" s="92" t="n">
        <v>2</v>
      </c>
      <c r="C382" s="92" t="inlineStr">
        <is>
          <t>5100000378</t>
        </is>
      </c>
      <c r="D382" s="95" t="n">
        <v>45705</v>
      </c>
      <c r="E382" s="92" t="inlineStr">
        <is>
          <t>KR</t>
        </is>
      </c>
      <c r="F382" s="92" t="n">
        <v>62901000</v>
      </c>
      <c r="G382" s="92" t="n">
        <v>1101</v>
      </c>
      <c r="H382" s="93" t="n">
        <v>2959000</v>
      </c>
      <c r="I382" s="92" t="inlineStr">
        <is>
          <t>2월 자문 수수료 - W컨설팅</t>
        </is>
      </c>
      <c r="J382" s="92" t="inlineStr">
        <is>
          <t>V10006</t>
        </is>
      </c>
      <c r="K382" s="92" t="inlineStr">
        <is>
          <t>W컨설팅</t>
        </is>
      </c>
      <c r="M382" s="9">
        <f>IF($A382="","",VALUE($A382&amp;"")*12+VALUE($B382&amp;""))</f>
        <v/>
      </c>
      <c r="N382" s="64">
        <f>IF($A382="","",IFERROR(INDEX(부서매핑!$C$5:$C$504,MATCH($G382&amp;"",부서매핑!$A$5:$A$504,0)),"미매핑"))</f>
        <v/>
      </c>
      <c r="O382" s="9">
        <f>IF($A382="","",N382&amp;"|"&amp;$F382)</f>
        <v/>
      </c>
      <c r="P382" s="94">
        <f>IF($A382="",0,$H382*설정!$C$23)</f>
        <v/>
      </c>
      <c r="Q382" s="64">
        <f>IF($A382="","",IF(O382&lt;&gt;원인분석!$C$9,"",IF(AND(M382&gt;=원인분석!$C$10,M382&lt;=원인분석!$C$11),"당기",IF(AND(M382&gt;=원인분석!$C$12,M382&lt;=원인분석!$C$13),"비교",""))))</f>
        <v/>
      </c>
      <c r="R382" s="9">
        <f>IF(Q382="","",$K382&amp;"")</f>
        <v/>
      </c>
      <c r="S382" s="9">
        <f>IF(Q382="","",IF(MATCH(R382,$R$5:$R$100000,0)=ROW()-4,ROW(),""))</f>
        <v/>
      </c>
      <c r="T382" s="9">
        <f>IF(Q382="당기",ABS(P382)+ROW()/1000000000,"")</f>
        <v/>
      </c>
      <c r="U382" s="9">
        <f>IF(Q382="비교",ABS(P382)+ROW()/1000000000,"")</f>
        <v/>
      </c>
      <c r="V382" s="64">
        <f>IF($A382="","",IF(COUNTIF(변동분석!$E$7:$E$506,O382)&gt;0,"Y","N"))</f>
        <v/>
      </c>
      <c r="W382" s="64">
        <f>IF($A382="","",IFERROR(INDEX(계정매핑!$D$5:$D$504,MATCH($F382&amp;"",계정매핑!$A$5:$A$504,0)),"미매핑"))</f>
        <v/>
      </c>
      <c r="X382" s="9">
        <f>IF($A382="","",$F382&amp;"")</f>
        <v/>
      </c>
      <c r="Y382" s="94">
        <f>IF($A382="",0,IF(AE382="직접",IF(AF382="비귀속",$P382,0),$P382*(1-AG382)*IFERROR(INDEX(계정대체기준!$F$20:$F$49,MATCH($N382,계정대체기준!$A$20:$A$49,0)),1)))</f>
        <v/>
      </c>
      <c r="Z382" s="94">
        <f>IF($A382="",0,IF(AE382="직접",IF(AF382="신계약비",$P382,0),$P382*(1-AG382)*IFERROR(INDEX(계정대체기준!$C$20:$C$49,MATCH($N382,계정대체기준!$A$20:$A$49,0)),0)))</f>
        <v/>
      </c>
      <c r="AA382" s="94">
        <f>IF($A382="",0,IF(AE382="직접",IF(OR(AF382="유지비",AF382="손해조사비"),$P382,0),$P382*(1-AG382)*IFERROR(INDEX(계정대체기준!$D$20:$D$49,MATCH($N382,계정대체기준!$A$20:$A$49,0)),0)))</f>
        <v/>
      </c>
      <c r="AB382" s="94">
        <f>IF($A382="",0,IF(AE382="직접",IF(AF382="수금비",$P382,0),$P382*(1-AG382)*IFERROR(INDEX(계정대체기준!$E$20:$E$49,MATCH($N382,계정대체기준!$A$20:$A$49,0)),0)))</f>
        <v/>
      </c>
      <c r="AC382" s="9">
        <f>IF(AND($A382&lt;&gt;"",M382=설정!$C$20,Z382&gt;0),Z382+ROW()/1000000000,"")</f>
        <v/>
      </c>
      <c r="AD382" s="94">
        <f>IF($A382="",0,$P382*AG382)</f>
        <v/>
      </c>
      <c r="AE382" s="64">
        <f>IF($A382="","",IFERROR(INDEX(계정매핑!$E$5:$E$504,MATCH($F382&amp;"",계정매핑!$A$5:$A$504,0))&amp;"","공통비"))</f>
        <v/>
      </c>
      <c r="AF382" s="64">
        <f>IF($A382="","",IF(AE382="직접",IFERROR(INDEX(계정매핑!$F$5:$F$504,MATCH($F382&amp;"",계정매핑!$A$5:$A$504,0))&amp;"","비귀속"),""))</f>
        <v/>
      </c>
      <c r="AG382" s="96">
        <f>IF($A382="",0,IF(AND(AE382&lt;&gt;"직접",IFERROR(INDEX(계정매핑!$G$5:$G$504,MATCH($F382&amp;"",계정매핑!$A$5:$A$504,0))&amp;"","")="유지비",COUNTIF(계정대체기준!$A$6:$A$15,$N382)&gt;0),IFERROR(INDEX(계정대체기준!$E$6:$E$15,MATCH(VALUE($A382&amp;""),계정대체기준!$D$6:$D$15,0)),0),0))</f>
        <v/>
      </c>
      <c r="AH382" s="64">
        <f>IF($A382="","",IF(AD382=0,"",IF(OR(COUNTIF(계정대체기준!$A$77:$A$86,$N382)&gt;0,ISNUMBER(MATCH($X382,계정대체기준!$D$77:$D$86,0)),ISNUMBER(MATCH($F382,계정대체기준!$D$77:$D$86,0))),"Y","N")))</f>
        <v/>
      </c>
    </row>
    <row r="383">
      <c r="A383" s="92" t="n">
        <v>2025</v>
      </c>
      <c r="B383" s="92" t="n">
        <v>2</v>
      </c>
      <c r="C383" s="92" t="inlineStr">
        <is>
          <t>5100000379</t>
        </is>
      </c>
      <c r="D383" s="95" t="n">
        <v>45705</v>
      </c>
      <c r="E383" s="92" t="inlineStr">
        <is>
          <t>KR</t>
        </is>
      </c>
      <c r="F383" s="92" t="n">
        <v>62902000</v>
      </c>
      <c r="G383" s="92" t="n">
        <v>1801</v>
      </c>
      <c r="H383" s="93" t="n">
        <v>3000000</v>
      </c>
      <c r="I383" s="92" t="inlineStr">
        <is>
          <t>2월 업무 위탁 수수료 - X서비스</t>
        </is>
      </c>
      <c r="J383" s="92" t="inlineStr">
        <is>
          <t>V10020</t>
        </is>
      </c>
      <c r="K383" s="92" t="inlineStr">
        <is>
          <t>X서비스</t>
        </is>
      </c>
      <c r="M383" s="9">
        <f>IF($A383="","",VALUE($A383&amp;"")*12+VALUE($B383&amp;""))</f>
        <v/>
      </c>
      <c r="N383" s="64">
        <f>IF($A383="","",IFERROR(INDEX(부서매핑!$C$5:$C$504,MATCH($G383&amp;"",부서매핑!$A$5:$A$504,0)),"미매핑"))</f>
        <v/>
      </c>
      <c r="O383" s="9">
        <f>IF($A383="","",N383&amp;"|"&amp;$F383)</f>
        <v/>
      </c>
      <c r="P383" s="94">
        <f>IF($A383="",0,$H383*설정!$C$23)</f>
        <v/>
      </c>
      <c r="Q383" s="64">
        <f>IF($A383="","",IF(O383&lt;&gt;원인분석!$C$9,"",IF(AND(M383&gt;=원인분석!$C$10,M383&lt;=원인분석!$C$11),"당기",IF(AND(M383&gt;=원인분석!$C$12,M383&lt;=원인분석!$C$13),"비교",""))))</f>
        <v/>
      </c>
      <c r="R383" s="9">
        <f>IF(Q383="","",$K383&amp;"")</f>
        <v/>
      </c>
      <c r="S383" s="9">
        <f>IF(Q383="","",IF(MATCH(R383,$R$5:$R$100000,0)=ROW()-4,ROW(),""))</f>
        <v/>
      </c>
      <c r="T383" s="9">
        <f>IF(Q383="당기",ABS(P383)+ROW()/1000000000,"")</f>
        <v/>
      </c>
      <c r="U383" s="9">
        <f>IF(Q383="비교",ABS(P383)+ROW()/1000000000,"")</f>
        <v/>
      </c>
      <c r="V383" s="64">
        <f>IF($A383="","",IF(COUNTIF(변동분석!$E$7:$E$506,O383)&gt;0,"Y","N"))</f>
        <v/>
      </c>
      <c r="W383" s="64">
        <f>IF($A383="","",IFERROR(INDEX(계정매핑!$D$5:$D$504,MATCH($F383&amp;"",계정매핑!$A$5:$A$504,0)),"미매핑"))</f>
        <v/>
      </c>
      <c r="X383" s="9">
        <f>IF($A383="","",$F383&amp;"")</f>
        <v/>
      </c>
      <c r="Y383" s="94">
        <f>IF($A383="",0,IF(AE383="직접",IF(AF383="비귀속",$P383,0),$P383*(1-AG383)*IFERROR(INDEX(계정대체기준!$F$20:$F$49,MATCH($N383,계정대체기준!$A$20:$A$49,0)),1)))</f>
        <v/>
      </c>
      <c r="Z383" s="94">
        <f>IF($A383="",0,IF(AE383="직접",IF(AF383="신계약비",$P383,0),$P383*(1-AG383)*IFERROR(INDEX(계정대체기준!$C$20:$C$49,MATCH($N383,계정대체기준!$A$20:$A$49,0)),0)))</f>
        <v/>
      </c>
      <c r="AA383" s="94">
        <f>IF($A383="",0,IF(AE383="직접",IF(OR(AF383="유지비",AF383="손해조사비"),$P383,0),$P383*(1-AG383)*IFERROR(INDEX(계정대체기준!$D$20:$D$49,MATCH($N383,계정대체기준!$A$20:$A$49,0)),0)))</f>
        <v/>
      </c>
      <c r="AB383" s="94">
        <f>IF($A383="",0,IF(AE383="직접",IF(AF383="수금비",$P383,0),$P383*(1-AG383)*IFERROR(INDEX(계정대체기준!$E$20:$E$49,MATCH($N383,계정대체기준!$A$20:$A$49,0)),0)))</f>
        <v/>
      </c>
      <c r="AC383" s="9">
        <f>IF(AND($A383&lt;&gt;"",M383=설정!$C$20,Z383&gt;0),Z383+ROW()/1000000000,"")</f>
        <v/>
      </c>
      <c r="AD383" s="94">
        <f>IF($A383="",0,$P383*AG383)</f>
        <v/>
      </c>
      <c r="AE383" s="64">
        <f>IF($A383="","",IFERROR(INDEX(계정매핑!$E$5:$E$504,MATCH($F383&amp;"",계정매핑!$A$5:$A$504,0))&amp;"","공통비"))</f>
        <v/>
      </c>
      <c r="AF383" s="64">
        <f>IF($A383="","",IF(AE383="직접",IFERROR(INDEX(계정매핑!$F$5:$F$504,MATCH($F383&amp;"",계정매핑!$A$5:$A$504,0))&amp;"","비귀속"),""))</f>
        <v/>
      </c>
      <c r="AG383" s="96">
        <f>IF($A383="",0,IF(AND(AE383&lt;&gt;"직접",IFERROR(INDEX(계정매핑!$G$5:$G$504,MATCH($F383&amp;"",계정매핑!$A$5:$A$504,0))&amp;"","")="유지비",COUNTIF(계정대체기준!$A$6:$A$15,$N383)&gt;0),IFERROR(INDEX(계정대체기준!$E$6:$E$15,MATCH(VALUE($A383&amp;""),계정대체기준!$D$6:$D$15,0)),0),0))</f>
        <v/>
      </c>
      <c r="AH383" s="64">
        <f>IF($A383="","",IF(AD383=0,"",IF(OR(COUNTIF(계정대체기준!$A$77:$A$86,$N383)&gt;0,ISNUMBER(MATCH($X383,계정대체기준!$D$77:$D$86,0)),ISNUMBER(MATCH($F383,계정대체기준!$D$77:$D$86,0))),"Y","N")))</f>
        <v/>
      </c>
    </row>
    <row r="384">
      <c r="A384" s="92" t="n">
        <v>2025</v>
      </c>
      <c r="B384" s="92" t="n">
        <v>2</v>
      </c>
      <c r="C384" s="92" t="inlineStr">
        <is>
          <t>5100000380</t>
        </is>
      </c>
      <c r="D384" s="95" t="n">
        <v>45705</v>
      </c>
      <c r="E384" s="92" t="inlineStr">
        <is>
          <t>KR</t>
        </is>
      </c>
      <c r="F384" s="92" t="n">
        <v>63502000</v>
      </c>
      <c r="G384" s="92" t="n">
        <v>1902</v>
      </c>
      <c r="H384" s="93" t="n">
        <v>66800000</v>
      </c>
      <c r="I384" s="92" t="inlineStr">
        <is>
          <t>2월 유지수수료 - (전속설계사)</t>
        </is>
      </c>
      <c r="J384" s="92" t="inlineStr">
        <is>
          <t>V10021</t>
        </is>
      </c>
      <c r="K384" s="92" t="inlineStr">
        <is>
          <t>(전속설계사)</t>
        </is>
      </c>
      <c r="M384" s="9">
        <f>IF($A384="","",VALUE($A384&amp;"")*12+VALUE($B384&amp;""))</f>
        <v/>
      </c>
      <c r="N384" s="64">
        <f>IF($A384="","",IFERROR(INDEX(부서매핑!$C$5:$C$504,MATCH($G384&amp;"",부서매핑!$A$5:$A$504,0)),"미매핑"))</f>
        <v/>
      </c>
      <c r="O384" s="9">
        <f>IF($A384="","",N384&amp;"|"&amp;$F384)</f>
        <v/>
      </c>
      <c r="P384" s="94">
        <f>IF($A384="",0,$H384*설정!$C$23)</f>
        <v/>
      </c>
      <c r="Q384" s="64">
        <f>IF($A384="","",IF(O384&lt;&gt;원인분석!$C$9,"",IF(AND(M384&gt;=원인분석!$C$10,M384&lt;=원인분석!$C$11),"당기",IF(AND(M384&gt;=원인분석!$C$12,M384&lt;=원인분석!$C$13),"비교",""))))</f>
        <v/>
      </c>
      <c r="R384" s="9">
        <f>IF(Q384="","",$K384&amp;"")</f>
        <v/>
      </c>
      <c r="S384" s="9">
        <f>IF(Q384="","",IF(MATCH(R384,$R$5:$R$100000,0)=ROW()-4,ROW(),""))</f>
        <v/>
      </c>
      <c r="T384" s="9">
        <f>IF(Q384="당기",ABS(P384)+ROW()/1000000000,"")</f>
        <v/>
      </c>
      <c r="U384" s="9">
        <f>IF(Q384="비교",ABS(P384)+ROW()/1000000000,"")</f>
        <v/>
      </c>
      <c r="V384" s="64">
        <f>IF($A384="","",IF(COUNTIF(변동분석!$E$7:$E$506,O384)&gt;0,"Y","N"))</f>
        <v/>
      </c>
      <c r="W384" s="64">
        <f>IF($A384="","",IFERROR(INDEX(계정매핑!$D$5:$D$504,MATCH($F384&amp;"",계정매핑!$A$5:$A$504,0)),"미매핑"))</f>
        <v/>
      </c>
      <c r="X384" s="9">
        <f>IF($A384="","",$F384&amp;"")</f>
        <v/>
      </c>
      <c r="Y384" s="94">
        <f>IF($A384="",0,IF(AE384="직접",IF(AF384="비귀속",$P384,0),$P384*(1-AG384)*IFERROR(INDEX(계정대체기준!$F$20:$F$49,MATCH($N384,계정대체기준!$A$20:$A$49,0)),1)))</f>
        <v/>
      </c>
      <c r="Z384" s="94">
        <f>IF($A384="",0,IF(AE384="직접",IF(AF384="신계약비",$P384,0),$P384*(1-AG384)*IFERROR(INDEX(계정대체기준!$C$20:$C$49,MATCH($N384,계정대체기준!$A$20:$A$49,0)),0)))</f>
        <v/>
      </c>
      <c r="AA384" s="94">
        <f>IF($A384="",0,IF(AE384="직접",IF(OR(AF384="유지비",AF384="손해조사비"),$P384,0),$P384*(1-AG384)*IFERROR(INDEX(계정대체기준!$D$20:$D$49,MATCH($N384,계정대체기준!$A$20:$A$49,0)),0)))</f>
        <v/>
      </c>
      <c r="AB384" s="94">
        <f>IF($A384="",0,IF(AE384="직접",IF(AF384="수금비",$P384,0),$P384*(1-AG384)*IFERROR(INDEX(계정대체기준!$E$20:$E$49,MATCH($N384,계정대체기준!$A$20:$A$49,0)),0)))</f>
        <v/>
      </c>
      <c r="AC384" s="9">
        <f>IF(AND($A384&lt;&gt;"",M384=설정!$C$20,Z384&gt;0),Z384+ROW()/1000000000,"")</f>
        <v/>
      </c>
      <c r="AD384" s="94">
        <f>IF($A384="",0,$P384*AG384)</f>
        <v/>
      </c>
      <c r="AE384" s="64">
        <f>IF($A384="","",IFERROR(INDEX(계정매핑!$E$5:$E$504,MATCH($F384&amp;"",계정매핑!$A$5:$A$504,0))&amp;"","공통비"))</f>
        <v/>
      </c>
      <c r="AF384" s="64">
        <f>IF($A384="","",IF(AE384="직접",IFERROR(INDEX(계정매핑!$F$5:$F$504,MATCH($F384&amp;"",계정매핑!$A$5:$A$504,0))&amp;"","비귀속"),""))</f>
        <v/>
      </c>
      <c r="AG384" s="96">
        <f>IF($A384="",0,IF(AND(AE384&lt;&gt;"직접",IFERROR(INDEX(계정매핑!$G$5:$G$504,MATCH($F384&amp;"",계정매핑!$A$5:$A$504,0))&amp;"","")="유지비",COUNTIF(계정대체기준!$A$6:$A$15,$N384)&gt;0),IFERROR(INDEX(계정대체기준!$E$6:$E$15,MATCH(VALUE($A384&amp;""),계정대체기준!$D$6:$D$15,0)),0),0))</f>
        <v/>
      </c>
      <c r="AH384" s="64">
        <f>IF($A384="","",IF(AD384=0,"",IF(OR(COUNTIF(계정대체기준!$A$77:$A$86,$N384)&gt;0,ISNUMBER(MATCH($X384,계정대체기준!$D$77:$D$86,0)),ISNUMBER(MATCH($F384,계정대체기준!$D$77:$D$86,0))),"Y","N")))</f>
        <v/>
      </c>
    </row>
    <row r="385">
      <c r="A385" s="92" t="n">
        <v>2025</v>
      </c>
      <c r="B385" s="92" t="n">
        <v>2</v>
      </c>
      <c r="C385" s="92" t="inlineStr">
        <is>
          <t>5100000381</t>
        </is>
      </c>
      <c r="D385" s="95" t="n">
        <v>45705</v>
      </c>
      <c r="E385" s="92" t="inlineStr">
        <is>
          <t>KR</t>
        </is>
      </c>
      <c r="F385" s="92" t="n">
        <v>63601000</v>
      </c>
      <c r="G385" s="92" t="n">
        <v>1801</v>
      </c>
      <c r="H385" s="93" t="n">
        <v>9455000</v>
      </c>
      <c r="I385" s="92" t="inlineStr">
        <is>
          <t>2월 손해사정 수수료 - DD손해사정</t>
        </is>
      </c>
      <c r="J385" s="92" t="inlineStr">
        <is>
          <t>V10032</t>
        </is>
      </c>
      <c r="K385" s="92" t="inlineStr">
        <is>
          <t>DD손해사정</t>
        </is>
      </c>
      <c r="M385" s="9">
        <f>IF($A385="","",VALUE($A385&amp;"")*12+VALUE($B385&amp;""))</f>
        <v/>
      </c>
      <c r="N385" s="64">
        <f>IF($A385="","",IFERROR(INDEX(부서매핑!$C$5:$C$504,MATCH($G385&amp;"",부서매핑!$A$5:$A$504,0)),"미매핑"))</f>
        <v/>
      </c>
      <c r="O385" s="9">
        <f>IF($A385="","",N385&amp;"|"&amp;$F385)</f>
        <v/>
      </c>
      <c r="P385" s="94">
        <f>IF($A385="",0,$H385*설정!$C$23)</f>
        <v/>
      </c>
      <c r="Q385" s="64">
        <f>IF($A385="","",IF(O385&lt;&gt;원인분석!$C$9,"",IF(AND(M385&gt;=원인분석!$C$10,M385&lt;=원인분석!$C$11),"당기",IF(AND(M385&gt;=원인분석!$C$12,M385&lt;=원인분석!$C$13),"비교",""))))</f>
        <v/>
      </c>
      <c r="R385" s="9">
        <f>IF(Q385="","",$K385&amp;"")</f>
        <v/>
      </c>
      <c r="S385" s="9">
        <f>IF(Q385="","",IF(MATCH(R385,$R$5:$R$100000,0)=ROW()-4,ROW(),""))</f>
        <v/>
      </c>
      <c r="T385" s="9">
        <f>IF(Q385="당기",ABS(P385)+ROW()/1000000000,"")</f>
        <v/>
      </c>
      <c r="U385" s="9">
        <f>IF(Q385="비교",ABS(P385)+ROW()/1000000000,"")</f>
        <v/>
      </c>
      <c r="V385" s="64">
        <f>IF($A385="","",IF(COUNTIF(변동분석!$E$7:$E$506,O385)&gt;0,"Y","N"))</f>
        <v/>
      </c>
      <c r="W385" s="64">
        <f>IF($A385="","",IFERROR(INDEX(계정매핑!$D$5:$D$504,MATCH($F385&amp;"",계정매핑!$A$5:$A$504,0)),"미매핑"))</f>
        <v/>
      </c>
      <c r="X385" s="9">
        <f>IF($A385="","",$F385&amp;"")</f>
        <v/>
      </c>
      <c r="Y385" s="94">
        <f>IF($A385="",0,IF(AE385="직접",IF(AF385="비귀속",$P385,0),$P385*(1-AG385)*IFERROR(INDEX(계정대체기준!$F$20:$F$49,MATCH($N385,계정대체기준!$A$20:$A$49,0)),1)))</f>
        <v/>
      </c>
      <c r="Z385" s="94">
        <f>IF($A385="",0,IF(AE385="직접",IF(AF385="신계약비",$P385,0),$P385*(1-AG385)*IFERROR(INDEX(계정대체기준!$C$20:$C$49,MATCH($N385,계정대체기준!$A$20:$A$49,0)),0)))</f>
        <v/>
      </c>
      <c r="AA385" s="94">
        <f>IF($A385="",0,IF(AE385="직접",IF(OR(AF385="유지비",AF385="손해조사비"),$P385,0),$P385*(1-AG385)*IFERROR(INDEX(계정대체기준!$D$20:$D$49,MATCH($N385,계정대체기준!$A$20:$A$49,0)),0)))</f>
        <v/>
      </c>
      <c r="AB385" s="94">
        <f>IF($A385="",0,IF(AE385="직접",IF(AF385="수금비",$P385,0),$P385*(1-AG385)*IFERROR(INDEX(계정대체기준!$E$20:$E$49,MATCH($N385,계정대체기준!$A$20:$A$49,0)),0)))</f>
        <v/>
      </c>
      <c r="AC385" s="9">
        <f>IF(AND($A385&lt;&gt;"",M385=설정!$C$20,Z385&gt;0),Z385+ROW()/1000000000,"")</f>
        <v/>
      </c>
      <c r="AD385" s="94">
        <f>IF($A385="",0,$P385*AG385)</f>
        <v/>
      </c>
      <c r="AE385" s="64">
        <f>IF($A385="","",IFERROR(INDEX(계정매핑!$E$5:$E$504,MATCH($F385&amp;"",계정매핑!$A$5:$A$504,0))&amp;"","공통비"))</f>
        <v/>
      </c>
      <c r="AF385" s="64">
        <f>IF($A385="","",IF(AE385="직접",IFERROR(INDEX(계정매핑!$F$5:$F$504,MATCH($F385&amp;"",계정매핑!$A$5:$A$504,0))&amp;"","비귀속"),""))</f>
        <v/>
      </c>
      <c r="AG385" s="96">
        <f>IF($A385="",0,IF(AND(AE385&lt;&gt;"직접",IFERROR(INDEX(계정매핑!$G$5:$G$504,MATCH($F385&amp;"",계정매핑!$A$5:$A$504,0))&amp;"","")="유지비",COUNTIF(계정대체기준!$A$6:$A$15,$N385)&gt;0),IFERROR(INDEX(계정대체기준!$E$6:$E$15,MATCH(VALUE($A385&amp;""),계정대체기준!$D$6:$D$15,0)),0),0))</f>
        <v/>
      </c>
      <c r="AH385" s="64">
        <f>IF($A385="","",IF(AD385=0,"",IF(OR(COUNTIF(계정대체기준!$A$77:$A$86,$N385)&gt;0,ISNUMBER(MATCH($X385,계정대체기준!$D$77:$D$86,0)),ISNUMBER(MATCH($F385,계정대체기준!$D$77:$D$86,0))),"Y","N")))</f>
        <v/>
      </c>
    </row>
    <row r="386">
      <c r="A386" s="92" t="n">
        <v>2025</v>
      </c>
      <c r="B386" s="92" t="n">
        <v>2</v>
      </c>
      <c r="C386" s="92" t="inlineStr">
        <is>
          <t>5100000382</t>
        </is>
      </c>
      <c r="D386" s="95" t="n">
        <v>45706</v>
      </c>
      <c r="E386" s="92" t="inlineStr">
        <is>
          <t>KR</t>
        </is>
      </c>
      <c r="F386" s="92" t="n">
        <v>62101000</v>
      </c>
      <c r="G386" s="92" t="n">
        <v>1201</v>
      </c>
      <c r="H386" s="93" t="n">
        <v>167000</v>
      </c>
      <c r="I386" s="92" t="inlineStr">
        <is>
          <t>2월 국내출장 - L여행사</t>
        </is>
      </c>
      <c r="J386" s="92" t="inlineStr">
        <is>
          <t>V10018</t>
        </is>
      </c>
      <c r="K386" s="92" t="inlineStr">
        <is>
          <t>L여행사</t>
        </is>
      </c>
      <c r="M386" s="9">
        <f>IF($A386="","",VALUE($A386&amp;"")*12+VALUE($B386&amp;""))</f>
        <v/>
      </c>
      <c r="N386" s="64">
        <f>IF($A386="","",IFERROR(INDEX(부서매핑!$C$5:$C$504,MATCH($G386&amp;"",부서매핑!$A$5:$A$504,0)),"미매핑"))</f>
        <v/>
      </c>
      <c r="O386" s="9">
        <f>IF($A386="","",N386&amp;"|"&amp;$F386)</f>
        <v/>
      </c>
      <c r="P386" s="94">
        <f>IF($A386="",0,$H386*설정!$C$23)</f>
        <v/>
      </c>
      <c r="Q386" s="64">
        <f>IF($A386="","",IF(O386&lt;&gt;원인분석!$C$9,"",IF(AND(M386&gt;=원인분석!$C$10,M386&lt;=원인분석!$C$11),"당기",IF(AND(M386&gt;=원인분석!$C$12,M386&lt;=원인분석!$C$13),"비교",""))))</f>
        <v/>
      </c>
      <c r="R386" s="9">
        <f>IF(Q386="","",$K386&amp;"")</f>
        <v/>
      </c>
      <c r="S386" s="9">
        <f>IF(Q386="","",IF(MATCH(R386,$R$5:$R$100000,0)=ROW()-4,ROW(),""))</f>
        <v/>
      </c>
      <c r="T386" s="9">
        <f>IF(Q386="당기",ABS(P386)+ROW()/1000000000,"")</f>
        <v/>
      </c>
      <c r="U386" s="9">
        <f>IF(Q386="비교",ABS(P386)+ROW()/1000000000,"")</f>
        <v/>
      </c>
      <c r="V386" s="64">
        <f>IF($A386="","",IF(COUNTIF(변동분석!$E$7:$E$506,O386)&gt;0,"Y","N"))</f>
        <v/>
      </c>
      <c r="W386" s="64">
        <f>IF($A386="","",IFERROR(INDEX(계정매핑!$D$5:$D$504,MATCH($F386&amp;"",계정매핑!$A$5:$A$504,0)),"미매핑"))</f>
        <v/>
      </c>
      <c r="X386" s="9">
        <f>IF($A386="","",$F386&amp;"")</f>
        <v/>
      </c>
      <c r="Y386" s="94">
        <f>IF($A386="",0,IF(AE386="직접",IF(AF386="비귀속",$P386,0),$P386*(1-AG386)*IFERROR(INDEX(계정대체기준!$F$20:$F$49,MATCH($N386,계정대체기준!$A$20:$A$49,0)),1)))</f>
        <v/>
      </c>
      <c r="Z386" s="94">
        <f>IF($A386="",0,IF(AE386="직접",IF(AF386="신계약비",$P386,0),$P386*(1-AG386)*IFERROR(INDEX(계정대체기준!$C$20:$C$49,MATCH($N386,계정대체기준!$A$20:$A$49,0)),0)))</f>
        <v/>
      </c>
      <c r="AA386" s="94">
        <f>IF($A386="",0,IF(AE386="직접",IF(OR(AF386="유지비",AF386="손해조사비"),$P386,0),$P386*(1-AG386)*IFERROR(INDEX(계정대체기준!$D$20:$D$49,MATCH($N386,계정대체기준!$A$20:$A$49,0)),0)))</f>
        <v/>
      </c>
      <c r="AB386" s="94">
        <f>IF($A386="",0,IF(AE386="직접",IF(AF386="수금비",$P386,0),$P386*(1-AG386)*IFERROR(INDEX(계정대체기준!$E$20:$E$49,MATCH($N386,계정대체기준!$A$20:$A$49,0)),0)))</f>
        <v/>
      </c>
      <c r="AC386" s="9">
        <f>IF(AND($A386&lt;&gt;"",M386=설정!$C$20,Z386&gt;0),Z386+ROW()/1000000000,"")</f>
        <v/>
      </c>
      <c r="AD386" s="94">
        <f>IF($A386="",0,$P386*AG386)</f>
        <v/>
      </c>
      <c r="AE386" s="64">
        <f>IF($A386="","",IFERROR(INDEX(계정매핑!$E$5:$E$504,MATCH($F386&amp;"",계정매핑!$A$5:$A$504,0))&amp;"","공통비"))</f>
        <v/>
      </c>
      <c r="AF386" s="64">
        <f>IF($A386="","",IF(AE386="직접",IFERROR(INDEX(계정매핑!$F$5:$F$504,MATCH($F386&amp;"",계정매핑!$A$5:$A$504,0))&amp;"","비귀속"),""))</f>
        <v/>
      </c>
      <c r="AG386" s="96">
        <f>IF($A386="",0,IF(AND(AE386&lt;&gt;"직접",IFERROR(INDEX(계정매핑!$G$5:$G$504,MATCH($F386&amp;"",계정매핑!$A$5:$A$504,0))&amp;"","")="유지비",COUNTIF(계정대체기준!$A$6:$A$15,$N386)&gt;0),IFERROR(INDEX(계정대체기준!$E$6:$E$15,MATCH(VALUE($A386&amp;""),계정대체기준!$D$6:$D$15,0)),0),0))</f>
        <v/>
      </c>
      <c r="AH386" s="64">
        <f>IF($A386="","",IF(AD386=0,"",IF(OR(COUNTIF(계정대체기준!$A$77:$A$86,$N386)&gt;0,ISNUMBER(MATCH($X386,계정대체기준!$D$77:$D$86,0)),ISNUMBER(MATCH($F386,계정대체기준!$D$77:$D$86,0))),"Y","N")))</f>
        <v/>
      </c>
    </row>
    <row r="387">
      <c r="A387" s="92" t="n">
        <v>2025</v>
      </c>
      <c r="B387" s="92" t="n">
        <v>2</v>
      </c>
      <c r="C387" s="92" t="inlineStr">
        <is>
          <t>5100000383</t>
        </is>
      </c>
      <c r="D387" s="95" t="n">
        <v>45706</v>
      </c>
      <c r="E387" s="92" t="inlineStr">
        <is>
          <t>KR</t>
        </is>
      </c>
      <c r="F387" s="92" t="n">
        <v>62101000</v>
      </c>
      <c r="G387" s="92" t="n">
        <v>1201</v>
      </c>
      <c r="H387" s="93" t="n">
        <v>220000</v>
      </c>
      <c r="I387" s="92" t="inlineStr">
        <is>
          <t>2월 국내출장 - (법인카드)</t>
        </is>
      </c>
      <c r="J387" s="92" t="inlineStr">
        <is>
          <t>V10010</t>
        </is>
      </c>
      <c r="K387" s="92" t="inlineStr">
        <is>
          <t>(법인카드)</t>
        </is>
      </c>
      <c r="M387" s="9">
        <f>IF($A387="","",VALUE($A387&amp;"")*12+VALUE($B387&amp;""))</f>
        <v/>
      </c>
      <c r="N387" s="64">
        <f>IF($A387="","",IFERROR(INDEX(부서매핑!$C$5:$C$504,MATCH($G387&amp;"",부서매핑!$A$5:$A$504,0)),"미매핑"))</f>
        <v/>
      </c>
      <c r="O387" s="9">
        <f>IF($A387="","",N387&amp;"|"&amp;$F387)</f>
        <v/>
      </c>
      <c r="P387" s="94">
        <f>IF($A387="",0,$H387*설정!$C$23)</f>
        <v/>
      </c>
      <c r="Q387" s="64">
        <f>IF($A387="","",IF(O387&lt;&gt;원인분석!$C$9,"",IF(AND(M387&gt;=원인분석!$C$10,M387&lt;=원인분석!$C$11),"당기",IF(AND(M387&gt;=원인분석!$C$12,M387&lt;=원인분석!$C$13),"비교",""))))</f>
        <v/>
      </c>
      <c r="R387" s="9">
        <f>IF(Q387="","",$K387&amp;"")</f>
        <v/>
      </c>
      <c r="S387" s="9">
        <f>IF(Q387="","",IF(MATCH(R387,$R$5:$R$100000,0)=ROW()-4,ROW(),""))</f>
        <v/>
      </c>
      <c r="T387" s="9">
        <f>IF(Q387="당기",ABS(P387)+ROW()/1000000000,"")</f>
        <v/>
      </c>
      <c r="U387" s="9">
        <f>IF(Q387="비교",ABS(P387)+ROW()/1000000000,"")</f>
        <v/>
      </c>
      <c r="V387" s="64">
        <f>IF($A387="","",IF(COUNTIF(변동분석!$E$7:$E$506,O387)&gt;0,"Y","N"))</f>
        <v/>
      </c>
      <c r="W387" s="64">
        <f>IF($A387="","",IFERROR(INDEX(계정매핑!$D$5:$D$504,MATCH($F387&amp;"",계정매핑!$A$5:$A$504,0)),"미매핑"))</f>
        <v/>
      </c>
      <c r="X387" s="9">
        <f>IF($A387="","",$F387&amp;"")</f>
        <v/>
      </c>
      <c r="Y387" s="94">
        <f>IF($A387="",0,IF(AE387="직접",IF(AF387="비귀속",$P387,0),$P387*(1-AG387)*IFERROR(INDEX(계정대체기준!$F$20:$F$49,MATCH($N387,계정대체기준!$A$20:$A$49,0)),1)))</f>
        <v/>
      </c>
      <c r="Z387" s="94">
        <f>IF($A387="",0,IF(AE387="직접",IF(AF387="신계약비",$P387,0),$P387*(1-AG387)*IFERROR(INDEX(계정대체기준!$C$20:$C$49,MATCH($N387,계정대체기준!$A$20:$A$49,0)),0)))</f>
        <v/>
      </c>
      <c r="AA387" s="94">
        <f>IF($A387="",0,IF(AE387="직접",IF(OR(AF387="유지비",AF387="손해조사비"),$P387,0),$P387*(1-AG387)*IFERROR(INDEX(계정대체기준!$D$20:$D$49,MATCH($N387,계정대체기준!$A$20:$A$49,0)),0)))</f>
        <v/>
      </c>
      <c r="AB387" s="94">
        <f>IF($A387="",0,IF(AE387="직접",IF(AF387="수금비",$P387,0),$P387*(1-AG387)*IFERROR(INDEX(계정대체기준!$E$20:$E$49,MATCH($N387,계정대체기준!$A$20:$A$49,0)),0)))</f>
        <v/>
      </c>
      <c r="AC387" s="9">
        <f>IF(AND($A387&lt;&gt;"",M387=설정!$C$20,Z387&gt;0),Z387+ROW()/1000000000,"")</f>
        <v/>
      </c>
      <c r="AD387" s="94">
        <f>IF($A387="",0,$P387*AG387)</f>
        <v/>
      </c>
      <c r="AE387" s="64">
        <f>IF($A387="","",IFERROR(INDEX(계정매핑!$E$5:$E$504,MATCH($F387&amp;"",계정매핑!$A$5:$A$504,0))&amp;"","공통비"))</f>
        <v/>
      </c>
      <c r="AF387" s="64">
        <f>IF($A387="","",IF(AE387="직접",IFERROR(INDEX(계정매핑!$F$5:$F$504,MATCH($F387&amp;"",계정매핑!$A$5:$A$504,0))&amp;"","비귀속"),""))</f>
        <v/>
      </c>
      <c r="AG387" s="96">
        <f>IF($A387="",0,IF(AND(AE387&lt;&gt;"직접",IFERROR(INDEX(계정매핑!$G$5:$G$504,MATCH($F387&amp;"",계정매핑!$A$5:$A$504,0))&amp;"","")="유지비",COUNTIF(계정대체기준!$A$6:$A$15,$N387)&gt;0),IFERROR(INDEX(계정대체기준!$E$6:$E$15,MATCH(VALUE($A387&amp;""),계정대체기준!$D$6:$D$15,0)),0),0))</f>
        <v/>
      </c>
      <c r="AH387" s="64">
        <f>IF($A387="","",IF(AD387=0,"",IF(OR(COUNTIF(계정대체기준!$A$77:$A$86,$N387)&gt;0,ISNUMBER(MATCH($X387,계정대체기준!$D$77:$D$86,0)),ISNUMBER(MATCH($F387,계정대체기준!$D$77:$D$86,0))),"Y","N")))</f>
        <v/>
      </c>
    </row>
    <row r="388">
      <c r="A388" s="92" t="n">
        <v>2025</v>
      </c>
      <c r="B388" s="92" t="n">
        <v>2</v>
      </c>
      <c r="C388" s="92" t="inlineStr">
        <is>
          <t>5100000384</t>
        </is>
      </c>
      <c r="D388" s="95" t="n">
        <v>45706</v>
      </c>
      <c r="E388" s="92" t="inlineStr">
        <is>
          <t>KR</t>
        </is>
      </c>
      <c r="F388" s="92" t="n">
        <v>62101000</v>
      </c>
      <c r="G388" s="92" t="n">
        <v>1301</v>
      </c>
      <c r="H388" s="93" t="n">
        <v>436000</v>
      </c>
      <c r="I388" s="92" t="inlineStr">
        <is>
          <t>2월 국내출장 - (법인카드)</t>
        </is>
      </c>
      <c r="J388" s="92" t="inlineStr">
        <is>
          <t>V10010</t>
        </is>
      </c>
      <c r="K388" s="92" t="inlineStr">
        <is>
          <t>(법인카드)</t>
        </is>
      </c>
      <c r="M388" s="9">
        <f>IF($A388="","",VALUE($A388&amp;"")*12+VALUE($B388&amp;""))</f>
        <v/>
      </c>
      <c r="N388" s="64">
        <f>IF($A388="","",IFERROR(INDEX(부서매핑!$C$5:$C$504,MATCH($G388&amp;"",부서매핑!$A$5:$A$504,0)),"미매핑"))</f>
        <v/>
      </c>
      <c r="O388" s="9">
        <f>IF($A388="","",N388&amp;"|"&amp;$F388)</f>
        <v/>
      </c>
      <c r="P388" s="94">
        <f>IF($A388="",0,$H388*설정!$C$23)</f>
        <v/>
      </c>
      <c r="Q388" s="64">
        <f>IF($A388="","",IF(O388&lt;&gt;원인분석!$C$9,"",IF(AND(M388&gt;=원인분석!$C$10,M388&lt;=원인분석!$C$11),"당기",IF(AND(M388&gt;=원인분석!$C$12,M388&lt;=원인분석!$C$13),"비교",""))))</f>
        <v/>
      </c>
      <c r="R388" s="9">
        <f>IF(Q388="","",$K388&amp;"")</f>
        <v/>
      </c>
      <c r="S388" s="9">
        <f>IF(Q388="","",IF(MATCH(R388,$R$5:$R$100000,0)=ROW()-4,ROW(),""))</f>
        <v/>
      </c>
      <c r="T388" s="9">
        <f>IF(Q388="당기",ABS(P388)+ROW()/1000000000,"")</f>
        <v/>
      </c>
      <c r="U388" s="9">
        <f>IF(Q388="비교",ABS(P388)+ROW()/1000000000,"")</f>
        <v/>
      </c>
      <c r="V388" s="64">
        <f>IF($A388="","",IF(COUNTIF(변동분석!$E$7:$E$506,O388)&gt;0,"Y","N"))</f>
        <v/>
      </c>
      <c r="W388" s="64">
        <f>IF($A388="","",IFERROR(INDEX(계정매핑!$D$5:$D$504,MATCH($F388&amp;"",계정매핑!$A$5:$A$504,0)),"미매핑"))</f>
        <v/>
      </c>
      <c r="X388" s="9">
        <f>IF($A388="","",$F388&amp;"")</f>
        <v/>
      </c>
      <c r="Y388" s="94">
        <f>IF($A388="",0,IF(AE388="직접",IF(AF388="비귀속",$P388,0),$P388*(1-AG388)*IFERROR(INDEX(계정대체기준!$F$20:$F$49,MATCH($N388,계정대체기준!$A$20:$A$49,0)),1)))</f>
        <v/>
      </c>
      <c r="Z388" s="94">
        <f>IF($A388="",0,IF(AE388="직접",IF(AF388="신계약비",$P388,0),$P388*(1-AG388)*IFERROR(INDEX(계정대체기준!$C$20:$C$49,MATCH($N388,계정대체기준!$A$20:$A$49,0)),0)))</f>
        <v/>
      </c>
      <c r="AA388" s="94">
        <f>IF($A388="",0,IF(AE388="직접",IF(OR(AF388="유지비",AF388="손해조사비"),$P388,0),$P388*(1-AG388)*IFERROR(INDEX(계정대체기준!$D$20:$D$49,MATCH($N388,계정대체기준!$A$20:$A$49,0)),0)))</f>
        <v/>
      </c>
      <c r="AB388" s="94">
        <f>IF($A388="",0,IF(AE388="직접",IF(AF388="수금비",$P388,0),$P388*(1-AG388)*IFERROR(INDEX(계정대체기준!$E$20:$E$49,MATCH($N388,계정대체기준!$A$20:$A$49,0)),0)))</f>
        <v/>
      </c>
      <c r="AC388" s="9">
        <f>IF(AND($A388&lt;&gt;"",M388=설정!$C$20,Z388&gt;0),Z388+ROW()/1000000000,"")</f>
        <v/>
      </c>
      <c r="AD388" s="94">
        <f>IF($A388="",0,$P388*AG388)</f>
        <v/>
      </c>
      <c r="AE388" s="64">
        <f>IF($A388="","",IFERROR(INDEX(계정매핑!$E$5:$E$504,MATCH($F388&amp;"",계정매핑!$A$5:$A$504,0))&amp;"","공통비"))</f>
        <v/>
      </c>
      <c r="AF388" s="64">
        <f>IF($A388="","",IF(AE388="직접",IFERROR(INDEX(계정매핑!$F$5:$F$504,MATCH($F388&amp;"",계정매핑!$A$5:$A$504,0))&amp;"","비귀속"),""))</f>
        <v/>
      </c>
      <c r="AG388" s="96">
        <f>IF($A388="",0,IF(AND(AE388&lt;&gt;"직접",IFERROR(INDEX(계정매핑!$G$5:$G$504,MATCH($F388&amp;"",계정매핑!$A$5:$A$504,0))&amp;"","")="유지비",COUNTIF(계정대체기준!$A$6:$A$15,$N388)&gt;0),IFERROR(INDEX(계정대체기준!$E$6:$E$15,MATCH(VALUE($A388&amp;""),계정대체기준!$D$6:$D$15,0)),0),0))</f>
        <v/>
      </c>
      <c r="AH388" s="64">
        <f>IF($A388="","",IF(AD388=0,"",IF(OR(COUNTIF(계정대체기준!$A$77:$A$86,$N388)&gt;0,ISNUMBER(MATCH($X388,계정대체기준!$D$77:$D$86,0)),ISNUMBER(MATCH($F388,계정대체기준!$D$77:$D$86,0))),"Y","N")))</f>
        <v/>
      </c>
    </row>
    <row r="389">
      <c r="A389" s="92" t="n">
        <v>2025</v>
      </c>
      <c r="B389" s="92" t="n">
        <v>2</v>
      </c>
      <c r="C389" s="92" t="inlineStr">
        <is>
          <t>5100000385</t>
        </is>
      </c>
      <c r="D389" s="95" t="n">
        <v>45706</v>
      </c>
      <c r="E389" s="92" t="inlineStr">
        <is>
          <t>KR</t>
        </is>
      </c>
      <c r="F389" s="92" t="n">
        <v>62101000</v>
      </c>
      <c r="G389" s="92" t="n">
        <v>1501</v>
      </c>
      <c r="H389" s="93" t="n">
        <v>565000</v>
      </c>
      <c r="I389" s="92" t="inlineStr">
        <is>
          <t>2월 국내출장 - (법인카드)</t>
        </is>
      </c>
      <c r="J389" s="92" t="inlineStr">
        <is>
          <t>V10010</t>
        </is>
      </c>
      <c r="K389" s="92" t="inlineStr">
        <is>
          <t>(법인카드)</t>
        </is>
      </c>
      <c r="M389" s="9">
        <f>IF($A389="","",VALUE($A389&amp;"")*12+VALUE($B389&amp;""))</f>
        <v/>
      </c>
      <c r="N389" s="64">
        <f>IF($A389="","",IFERROR(INDEX(부서매핑!$C$5:$C$504,MATCH($G389&amp;"",부서매핑!$A$5:$A$504,0)),"미매핑"))</f>
        <v/>
      </c>
      <c r="O389" s="9">
        <f>IF($A389="","",N389&amp;"|"&amp;$F389)</f>
        <v/>
      </c>
      <c r="P389" s="94">
        <f>IF($A389="",0,$H389*설정!$C$23)</f>
        <v/>
      </c>
      <c r="Q389" s="64">
        <f>IF($A389="","",IF(O389&lt;&gt;원인분석!$C$9,"",IF(AND(M389&gt;=원인분석!$C$10,M389&lt;=원인분석!$C$11),"당기",IF(AND(M389&gt;=원인분석!$C$12,M389&lt;=원인분석!$C$13),"비교",""))))</f>
        <v/>
      </c>
      <c r="R389" s="9">
        <f>IF(Q389="","",$K389&amp;"")</f>
        <v/>
      </c>
      <c r="S389" s="9">
        <f>IF(Q389="","",IF(MATCH(R389,$R$5:$R$100000,0)=ROW()-4,ROW(),""))</f>
        <v/>
      </c>
      <c r="T389" s="9">
        <f>IF(Q389="당기",ABS(P389)+ROW()/1000000000,"")</f>
        <v/>
      </c>
      <c r="U389" s="9">
        <f>IF(Q389="비교",ABS(P389)+ROW()/1000000000,"")</f>
        <v/>
      </c>
      <c r="V389" s="64">
        <f>IF($A389="","",IF(COUNTIF(변동분석!$E$7:$E$506,O389)&gt;0,"Y","N"))</f>
        <v/>
      </c>
      <c r="W389" s="64">
        <f>IF($A389="","",IFERROR(INDEX(계정매핑!$D$5:$D$504,MATCH($F389&amp;"",계정매핑!$A$5:$A$504,0)),"미매핑"))</f>
        <v/>
      </c>
      <c r="X389" s="9">
        <f>IF($A389="","",$F389&amp;"")</f>
        <v/>
      </c>
      <c r="Y389" s="94">
        <f>IF($A389="",0,IF(AE389="직접",IF(AF389="비귀속",$P389,0),$P389*(1-AG389)*IFERROR(INDEX(계정대체기준!$F$20:$F$49,MATCH($N389,계정대체기준!$A$20:$A$49,0)),1)))</f>
        <v/>
      </c>
      <c r="Z389" s="94">
        <f>IF($A389="",0,IF(AE389="직접",IF(AF389="신계약비",$P389,0),$P389*(1-AG389)*IFERROR(INDEX(계정대체기준!$C$20:$C$49,MATCH($N389,계정대체기준!$A$20:$A$49,0)),0)))</f>
        <v/>
      </c>
      <c r="AA389" s="94">
        <f>IF($A389="",0,IF(AE389="직접",IF(OR(AF389="유지비",AF389="손해조사비"),$P389,0),$P389*(1-AG389)*IFERROR(INDEX(계정대체기준!$D$20:$D$49,MATCH($N389,계정대체기준!$A$20:$A$49,0)),0)))</f>
        <v/>
      </c>
      <c r="AB389" s="94">
        <f>IF($A389="",0,IF(AE389="직접",IF(AF389="수금비",$P389,0),$P389*(1-AG389)*IFERROR(INDEX(계정대체기준!$E$20:$E$49,MATCH($N389,계정대체기준!$A$20:$A$49,0)),0)))</f>
        <v/>
      </c>
      <c r="AC389" s="9">
        <f>IF(AND($A389&lt;&gt;"",M389=설정!$C$20,Z389&gt;0),Z389+ROW()/1000000000,"")</f>
        <v/>
      </c>
      <c r="AD389" s="94">
        <f>IF($A389="",0,$P389*AG389)</f>
        <v/>
      </c>
      <c r="AE389" s="64">
        <f>IF($A389="","",IFERROR(INDEX(계정매핑!$E$5:$E$504,MATCH($F389&amp;"",계정매핑!$A$5:$A$504,0))&amp;"","공통비"))</f>
        <v/>
      </c>
      <c r="AF389" s="64">
        <f>IF($A389="","",IF(AE389="직접",IFERROR(INDEX(계정매핑!$F$5:$F$504,MATCH($F389&amp;"",계정매핑!$A$5:$A$504,0))&amp;"","비귀속"),""))</f>
        <v/>
      </c>
      <c r="AG389" s="96">
        <f>IF($A389="",0,IF(AND(AE389&lt;&gt;"직접",IFERROR(INDEX(계정매핑!$G$5:$G$504,MATCH($F389&amp;"",계정매핑!$A$5:$A$504,0))&amp;"","")="유지비",COUNTIF(계정대체기준!$A$6:$A$15,$N389)&gt;0),IFERROR(INDEX(계정대체기준!$E$6:$E$15,MATCH(VALUE($A389&amp;""),계정대체기준!$D$6:$D$15,0)),0),0))</f>
        <v/>
      </c>
      <c r="AH389" s="64">
        <f>IF($A389="","",IF(AD389=0,"",IF(OR(COUNTIF(계정대체기준!$A$77:$A$86,$N389)&gt;0,ISNUMBER(MATCH($X389,계정대체기준!$D$77:$D$86,0)),ISNUMBER(MATCH($F389,계정대체기준!$D$77:$D$86,0))),"Y","N")))</f>
        <v/>
      </c>
    </row>
    <row r="390">
      <c r="A390" s="92" t="n">
        <v>2025</v>
      </c>
      <c r="B390" s="92" t="n">
        <v>2</v>
      </c>
      <c r="C390" s="92" t="inlineStr">
        <is>
          <t>5100000386</t>
        </is>
      </c>
      <c r="D390" s="95" t="n">
        <v>45706</v>
      </c>
      <c r="E390" s="92" t="inlineStr">
        <is>
          <t>KR</t>
        </is>
      </c>
      <c r="F390" s="92" t="n">
        <v>62201000</v>
      </c>
      <c r="G390" s="92" t="n">
        <v>1101</v>
      </c>
      <c r="H390" s="93" t="n">
        <v>199000</v>
      </c>
      <c r="I390" s="92" t="inlineStr">
        <is>
          <t>2월 통신요금 - P통신</t>
        </is>
      </c>
      <c r="J390" s="92" t="inlineStr">
        <is>
          <t>V10014</t>
        </is>
      </c>
      <c r="K390" s="92" t="inlineStr">
        <is>
          <t>P통신</t>
        </is>
      </c>
      <c r="M390" s="9">
        <f>IF($A390="","",VALUE($A390&amp;"")*12+VALUE($B390&amp;""))</f>
        <v/>
      </c>
      <c r="N390" s="64">
        <f>IF($A390="","",IFERROR(INDEX(부서매핑!$C$5:$C$504,MATCH($G390&amp;"",부서매핑!$A$5:$A$504,0)),"미매핑"))</f>
        <v/>
      </c>
      <c r="O390" s="9">
        <f>IF($A390="","",N390&amp;"|"&amp;$F390)</f>
        <v/>
      </c>
      <c r="P390" s="94">
        <f>IF($A390="",0,$H390*설정!$C$23)</f>
        <v/>
      </c>
      <c r="Q390" s="64">
        <f>IF($A390="","",IF(O390&lt;&gt;원인분석!$C$9,"",IF(AND(M390&gt;=원인분석!$C$10,M390&lt;=원인분석!$C$11),"당기",IF(AND(M390&gt;=원인분석!$C$12,M390&lt;=원인분석!$C$13),"비교",""))))</f>
        <v/>
      </c>
      <c r="R390" s="9">
        <f>IF(Q390="","",$K390&amp;"")</f>
        <v/>
      </c>
      <c r="S390" s="9">
        <f>IF(Q390="","",IF(MATCH(R390,$R$5:$R$100000,0)=ROW()-4,ROW(),""))</f>
        <v/>
      </c>
      <c r="T390" s="9">
        <f>IF(Q390="당기",ABS(P390)+ROW()/1000000000,"")</f>
        <v/>
      </c>
      <c r="U390" s="9">
        <f>IF(Q390="비교",ABS(P390)+ROW()/1000000000,"")</f>
        <v/>
      </c>
      <c r="V390" s="64">
        <f>IF($A390="","",IF(COUNTIF(변동분석!$E$7:$E$506,O390)&gt;0,"Y","N"))</f>
        <v/>
      </c>
      <c r="W390" s="64">
        <f>IF($A390="","",IFERROR(INDEX(계정매핑!$D$5:$D$504,MATCH($F390&amp;"",계정매핑!$A$5:$A$504,0)),"미매핑"))</f>
        <v/>
      </c>
      <c r="X390" s="9">
        <f>IF($A390="","",$F390&amp;"")</f>
        <v/>
      </c>
      <c r="Y390" s="94">
        <f>IF($A390="",0,IF(AE390="직접",IF(AF390="비귀속",$P390,0),$P390*(1-AG390)*IFERROR(INDEX(계정대체기준!$F$20:$F$49,MATCH($N390,계정대체기준!$A$20:$A$49,0)),1)))</f>
        <v/>
      </c>
      <c r="Z390" s="94">
        <f>IF($A390="",0,IF(AE390="직접",IF(AF390="신계약비",$P390,0),$P390*(1-AG390)*IFERROR(INDEX(계정대체기준!$C$20:$C$49,MATCH($N390,계정대체기준!$A$20:$A$49,0)),0)))</f>
        <v/>
      </c>
      <c r="AA390" s="94">
        <f>IF($A390="",0,IF(AE390="직접",IF(OR(AF390="유지비",AF390="손해조사비"),$P390,0),$P390*(1-AG390)*IFERROR(INDEX(계정대체기준!$D$20:$D$49,MATCH($N390,계정대체기준!$A$20:$A$49,0)),0)))</f>
        <v/>
      </c>
      <c r="AB390" s="94">
        <f>IF($A390="",0,IF(AE390="직접",IF(AF390="수금비",$P390,0),$P390*(1-AG390)*IFERROR(INDEX(계정대체기준!$E$20:$E$49,MATCH($N390,계정대체기준!$A$20:$A$49,0)),0)))</f>
        <v/>
      </c>
      <c r="AC390" s="9">
        <f>IF(AND($A390&lt;&gt;"",M390=설정!$C$20,Z390&gt;0),Z390+ROW()/1000000000,"")</f>
        <v/>
      </c>
      <c r="AD390" s="94">
        <f>IF($A390="",0,$P390*AG390)</f>
        <v/>
      </c>
      <c r="AE390" s="64">
        <f>IF($A390="","",IFERROR(INDEX(계정매핑!$E$5:$E$504,MATCH($F390&amp;"",계정매핑!$A$5:$A$504,0))&amp;"","공통비"))</f>
        <v/>
      </c>
      <c r="AF390" s="64">
        <f>IF($A390="","",IF(AE390="직접",IFERROR(INDEX(계정매핑!$F$5:$F$504,MATCH($F390&amp;"",계정매핑!$A$5:$A$504,0))&amp;"","비귀속"),""))</f>
        <v/>
      </c>
      <c r="AG390" s="96">
        <f>IF($A390="",0,IF(AND(AE390&lt;&gt;"직접",IFERROR(INDEX(계정매핑!$G$5:$G$504,MATCH($F390&amp;"",계정매핑!$A$5:$A$504,0))&amp;"","")="유지비",COUNTIF(계정대체기준!$A$6:$A$15,$N390)&gt;0),IFERROR(INDEX(계정대체기준!$E$6:$E$15,MATCH(VALUE($A390&amp;""),계정대체기준!$D$6:$D$15,0)),0),0))</f>
        <v/>
      </c>
      <c r="AH390" s="64">
        <f>IF($A390="","",IF(AD390=0,"",IF(OR(COUNTIF(계정대체기준!$A$77:$A$86,$N390)&gt;0,ISNUMBER(MATCH($X390,계정대체기준!$D$77:$D$86,0)),ISNUMBER(MATCH($F390,계정대체기준!$D$77:$D$86,0))),"Y","N")))</f>
        <v/>
      </c>
    </row>
    <row r="391">
      <c r="A391" s="92" t="n">
        <v>2025</v>
      </c>
      <c r="B391" s="92" t="n">
        <v>2</v>
      </c>
      <c r="C391" s="92" t="inlineStr">
        <is>
          <t>5100000387</t>
        </is>
      </c>
      <c r="D391" s="95" t="n">
        <v>45706</v>
      </c>
      <c r="E391" s="92" t="inlineStr">
        <is>
          <t>KR</t>
        </is>
      </c>
      <c r="F391" s="92" t="n">
        <v>62201000</v>
      </c>
      <c r="G391" s="92" t="n">
        <v>1501</v>
      </c>
      <c r="H391" s="93" t="n">
        <v>293000</v>
      </c>
      <c r="I391" s="92" t="inlineStr">
        <is>
          <t>2월 통신요금 - O텔레콤</t>
        </is>
      </c>
      <c r="J391" s="92" t="inlineStr">
        <is>
          <t>V10002</t>
        </is>
      </c>
      <c r="K391" s="92" t="inlineStr">
        <is>
          <t>O텔레콤</t>
        </is>
      </c>
      <c r="M391" s="9">
        <f>IF($A391="","",VALUE($A391&amp;"")*12+VALUE($B391&amp;""))</f>
        <v/>
      </c>
      <c r="N391" s="64">
        <f>IF($A391="","",IFERROR(INDEX(부서매핑!$C$5:$C$504,MATCH($G391&amp;"",부서매핑!$A$5:$A$504,0)),"미매핑"))</f>
        <v/>
      </c>
      <c r="O391" s="9">
        <f>IF($A391="","",N391&amp;"|"&amp;$F391)</f>
        <v/>
      </c>
      <c r="P391" s="94">
        <f>IF($A391="",0,$H391*설정!$C$23)</f>
        <v/>
      </c>
      <c r="Q391" s="64">
        <f>IF($A391="","",IF(O391&lt;&gt;원인분석!$C$9,"",IF(AND(M391&gt;=원인분석!$C$10,M391&lt;=원인분석!$C$11),"당기",IF(AND(M391&gt;=원인분석!$C$12,M391&lt;=원인분석!$C$13),"비교",""))))</f>
        <v/>
      </c>
      <c r="R391" s="9">
        <f>IF(Q391="","",$K391&amp;"")</f>
        <v/>
      </c>
      <c r="S391" s="9">
        <f>IF(Q391="","",IF(MATCH(R391,$R$5:$R$100000,0)=ROW()-4,ROW(),""))</f>
        <v/>
      </c>
      <c r="T391" s="9">
        <f>IF(Q391="당기",ABS(P391)+ROW()/1000000000,"")</f>
        <v/>
      </c>
      <c r="U391" s="9">
        <f>IF(Q391="비교",ABS(P391)+ROW()/1000000000,"")</f>
        <v/>
      </c>
      <c r="V391" s="64">
        <f>IF($A391="","",IF(COUNTIF(변동분석!$E$7:$E$506,O391)&gt;0,"Y","N"))</f>
        <v/>
      </c>
      <c r="W391" s="64">
        <f>IF($A391="","",IFERROR(INDEX(계정매핑!$D$5:$D$504,MATCH($F391&amp;"",계정매핑!$A$5:$A$504,0)),"미매핑"))</f>
        <v/>
      </c>
      <c r="X391" s="9">
        <f>IF($A391="","",$F391&amp;"")</f>
        <v/>
      </c>
      <c r="Y391" s="94">
        <f>IF($A391="",0,IF(AE391="직접",IF(AF391="비귀속",$P391,0),$P391*(1-AG391)*IFERROR(INDEX(계정대체기준!$F$20:$F$49,MATCH($N391,계정대체기준!$A$20:$A$49,0)),1)))</f>
        <v/>
      </c>
      <c r="Z391" s="94">
        <f>IF($A391="",0,IF(AE391="직접",IF(AF391="신계약비",$P391,0),$P391*(1-AG391)*IFERROR(INDEX(계정대체기준!$C$20:$C$49,MATCH($N391,계정대체기준!$A$20:$A$49,0)),0)))</f>
        <v/>
      </c>
      <c r="AA391" s="94">
        <f>IF($A391="",0,IF(AE391="직접",IF(OR(AF391="유지비",AF391="손해조사비"),$P391,0),$P391*(1-AG391)*IFERROR(INDEX(계정대체기준!$D$20:$D$49,MATCH($N391,계정대체기준!$A$20:$A$49,0)),0)))</f>
        <v/>
      </c>
      <c r="AB391" s="94">
        <f>IF($A391="",0,IF(AE391="직접",IF(AF391="수금비",$P391,0),$P391*(1-AG391)*IFERROR(INDEX(계정대체기준!$E$20:$E$49,MATCH($N391,계정대체기준!$A$20:$A$49,0)),0)))</f>
        <v/>
      </c>
      <c r="AC391" s="9">
        <f>IF(AND($A391&lt;&gt;"",M391=설정!$C$20,Z391&gt;0),Z391+ROW()/1000000000,"")</f>
        <v/>
      </c>
      <c r="AD391" s="94">
        <f>IF($A391="",0,$P391*AG391)</f>
        <v/>
      </c>
      <c r="AE391" s="64">
        <f>IF($A391="","",IFERROR(INDEX(계정매핑!$E$5:$E$504,MATCH($F391&amp;"",계정매핑!$A$5:$A$504,0))&amp;"","공통비"))</f>
        <v/>
      </c>
      <c r="AF391" s="64">
        <f>IF($A391="","",IF(AE391="직접",IFERROR(INDEX(계정매핑!$F$5:$F$504,MATCH($F391&amp;"",계정매핑!$A$5:$A$504,0))&amp;"","비귀속"),""))</f>
        <v/>
      </c>
      <c r="AG391" s="96">
        <f>IF($A391="",0,IF(AND(AE391&lt;&gt;"직접",IFERROR(INDEX(계정매핑!$G$5:$G$504,MATCH($F391&amp;"",계정매핑!$A$5:$A$504,0))&amp;"","")="유지비",COUNTIF(계정대체기준!$A$6:$A$15,$N391)&gt;0),IFERROR(INDEX(계정대체기준!$E$6:$E$15,MATCH(VALUE($A391&amp;""),계정대체기준!$D$6:$D$15,0)),0),0))</f>
        <v/>
      </c>
      <c r="AH391" s="64">
        <f>IF($A391="","",IF(AD391=0,"",IF(OR(COUNTIF(계정대체기준!$A$77:$A$86,$N391)&gt;0,ISNUMBER(MATCH($X391,계정대체기준!$D$77:$D$86,0)),ISNUMBER(MATCH($F391,계정대체기준!$D$77:$D$86,0))),"Y","N")))</f>
        <v/>
      </c>
    </row>
    <row r="392">
      <c r="A392" s="92" t="n">
        <v>2025</v>
      </c>
      <c r="B392" s="92" t="n">
        <v>2</v>
      </c>
      <c r="C392" s="92" t="inlineStr">
        <is>
          <t>5100000388</t>
        </is>
      </c>
      <c r="D392" s="95" t="n">
        <v>45706</v>
      </c>
      <c r="E392" s="92" t="inlineStr">
        <is>
          <t>KR</t>
        </is>
      </c>
      <c r="F392" s="92" t="n">
        <v>62201000</v>
      </c>
      <c r="G392" s="92" t="n">
        <v>1601</v>
      </c>
      <c r="H392" s="93" t="n">
        <v>904000</v>
      </c>
      <c r="I392" s="92" t="inlineStr">
        <is>
          <t>2월 통신요금 - O텔레콤</t>
        </is>
      </c>
      <c r="J392" s="92" t="inlineStr">
        <is>
          <t>V10002</t>
        </is>
      </c>
      <c r="K392" s="92" t="inlineStr">
        <is>
          <t>O텔레콤</t>
        </is>
      </c>
      <c r="M392" s="9">
        <f>IF($A392="","",VALUE($A392&amp;"")*12+VALUE($B392&amp;""))</f>
        <v/>
      </c>
      <c r="N392" s="64">
        <f>IF($A392="","",IFERROR(INDEX(부서매핑!$C$5:$C$504,MATCH($G392&amp;"",부서매핑!$A$5:$A$504,0)),"미매핑"))</f>
        <v/>
      </c>
      <c r="O392" s="9">
        <f>IF($A392="","",N392&amp;"|"&amp;$F392)</f>
        <v/>
      </c>
      <c r="P392" s="94">
        <f>IF($A392="",0,$H392*설정!$C$23)</f>
        <v/>
      </c>
      <c r="Q392" s="64">
        <f>IF($A392="","",IF(O392&lt;&gt;원인분석!$C$9,"",IF(AND(M392&gt;=원인분석!$C$10,M392&lt;=원인분석!$C$11),"당기",IF(AND(M392&gt;=원인분석!$C$12,M392&lt;=원인분석!$C$13),"비교",""))))</f>
        <v/>
      </c>
      <c r="R392" s="9">
        <f>IF(Q392="","",$K392&amp;"")</f>
        <v/>
      </c>
      <c r="S392" s="9">
        <f>IF(Q392="","",IF(MATCH(R392,$R$5:$R$100000,0)=ROW()-4,ROW(),""))</f>
        <v/>
      </c>
      <c r="T392" s="9">
        <f>IF(Q392="당기",ABS(P392)+ROW()/1000000000,"")</f>
        <v/>
      </c>
      <c r="U392" s="9">
        <f>IF(Q392="비교",ABS(P392)+ROW()/1000000000,"")</f>
        <v/>
      </c>
      <c r="V392" s="64">
        <f>IF($A392="","",IF(COUNTIF(변동분석!$E$7:$E$506,O392)&gt;0,"Y","N"))</f>
        <v/>
      </c>
      <c r="W392" s="64">
        <f>IF($A392="","",IFERROR(INDEX(계정매핑!$D$5:$D$504,MATCH($F392&amp;"",계정매핑!$A$5:$A$504,0)),"미매핑"))</f>
        <v/>
      </c>
      <c r="X392" s="9">
        <f>IF($A392="","",$F392&amp;"")</f>
        <v/>
      </c>
      <c r="Y392" s="94">
        <f>IF($A392="",0,IF(AE392="직접",IF(AF392="비귀속",$P392,0),$P392*(1-AG392)*IFERROR(INDEX(계정대체기준!$F$20:$F$49,MATCH($N392,계정대체기준!$A$20:$A$49,0)),1)))</f>
        <v/>
      </c>
      <c r="Z392" s="94">
        <f>IF($A392="",0,IF(AE392="직접",IF(AF392="신계약비",$P392,0),$P392*(1-AG392)*IFERROR(INDEX(계정대체기준!$C$20:$C$49,MATCH($N392,계정대체기준!$A$20:$A$49,0)),0)))</f>
        <v/>
      </c>
      <c r="AA392" s="94">
        <f>IF($A392="",0,IF(AE392="직접",IF(OR(AF392="유지비",AF392="손해조사비"),$P392,0),$P392*(1-AG392)*IFERROR(INDEX(계정대체기준!$D$20:$D$49,MATCH($N392,계정대체기준!$A$20:$A$49,0)),0)))</f>
        <v/>
      </c>
      <c r="AB392" s="94">
        <f>IF($A392="",0,IF(AE392="직접",IF(AF392="수금비",$P392,0),$P392*(1-AG392)*IFERROR(INDEX(계정대체기준!$E$20:$E$49,MATCH($N392,계정대체기준!$A$20:$A$49,0)),0)))</f>
        <v/>
      </c>
      <c r="AC392" s="9">
        <f>IF(AND($A392&lt;&gt;"",M392=설정!$C$20,Z392&gt;0),Z392+ROW()/1000000000,"")</f>
        <v/>
      </c>
      <c r="AD392" s="94">
        <f>IF($A392="",0,$P392*AG392)</f>
        <v/>
      </c>
      <c r="AE392" s="64">
        <f>IF($A392="","",IFERROR(INDEX(계정매핑!$E$5:$E$504,MATCH($F392&amp;"",계정매핑!$A$5:$A$504,0))&amp;"","공통비"))</f>
        <v/>
      </c>
      <c r="AF392" s="64">
        <f>IF($A392="","",IF(AE392="직접",IFERROR(INDEX(계정매핑!$F$5:$F$504,MATCH($F392&amp;"",계정매핑!$A$5:$A$504,0))&amp;"","비귀속"),""))</f>
        <v/>
      </c>
      <c r="AG392" s="96">
        <f>IF($A392="",0,IF(AND(AE392&lt;&gt;"직접",IFERROR(INDEX(계정매핑!$G$5:$G$504,MATCH($F392&amp;"",계정매핑!$A$5:$A$504,0))&amp;"","")="유지비",COUNTIF(계정대체기준!$A$6:$A$15,$N392)&gt;0),IFERROR(INDEX(계정대체기준!$E$6:$E$15,MATCH(VALUE($A392&amp;""),계정대체기준!$D$6:$D$15,0)),0),0))</f>
        <v/>
      </c>
      <c r="AH392" s="64">
        <f>IF($A392="","",IF(AD392=0,"",IF(OR(COUNTIF(계정대체기준!$A$77:$A$86,$N392)&gt;0,ISNUMBER(MATCH($X392,계정대체기준!$D$77:$D$86,0)),ISNUMBER(MATCH($F392,계정대체기준!$D$77:$D$86,0))),"Y","N")))</f>
        <v/>
      </c>
    </row>
    <row r="393">
      <c r="A393" s="92" t="n">
        <v>2025</v>
      </c>
      <c r="B393" s="92" t="n">
        <v>2</v>
      </c>
      <c r="C393" s="92" t="inlineStr">
        <is>
          <t>5100000389</t>
        </is>
      </c>
      <c r="D393" s="95" t="n">
        <v>45706</v>
      </c>
      <c r="E393" s="92" t="inlineStr">
        <is>
          <t>KR</t>
        </is>
      </c>
      <c r="F393" s="92" t="n">
        <v>62301000</v>
      </c>
      <c r="G393" s="92" t="n">
        <v>1401</v>
      </c>
      <c r="H393" s="93" t="n">
        <v>87000</v>
      </c>
      <c r="I393" s="92" t="inlineStr">
        <is>
          <t>2월 소모품 구입 - R문구</t>
        </is>
      </c>
      <c r="J393" s="92" t="inlineStr">
        <is>
          <t>V10022</t>
        </is>
      </c>
      <c r="K393" s="92" t="inlineStr">
        <is>
          <t>R문구</t>
        </is>
      </c>
      <c r="M393" s="9">
        <f>IF($A393="","",VALUE($A393&amp;"")*12+VALUE($B393&amp;""))</f>
        <v/>
      </c>
      <c r="N393" s="64">
        <f>IF($A393="","",IFERROR(INDEX(부서매핑!$C$5:$C$504,MATCH($G393&amp;"",부서매핑!$A$5:$A$504,0)),"미매핑"))</f>
        <v/>
      </c>
      <c r="O393" s="9">
        <f>IF($A393="","",N393&amp;"|"&amp;$F393)</f>
        <v/>
      </c>
      <c r="P393" s="94">
        <f>IF($A393="",0,$H393*설정!$C$23)</f>
        <v/>
      </c>
      <c r="Q393" s="64">
        <f>IF($A393="","",IF(O393&lt;&gt;원인분석!$C$9,"",IF(AND(M393&gt;=원인분석!$C$10,M393&lt;=원인분석!$C$11),"당기",IF(AND(M393&gt;=원인분석!$C$12,M393&lt;=원인분석!$C$13),"비교",""))))</f>
        <v/>
      </c>
      <c r="R393" s="9">
        <f>IF(Q393="","",$K393&amp;"")</f>
        <v/>
      </c>
      <c r="S393" s="9">
        <f>IF(Q393="","",IF(MATCH(R393,$R$5:$R$100000,0)=ROW()-4,ROW(),""))</f>
        <v/>
      </c>
      <c r="T393" s="9">
        <f>IF(Q393="당기",ABS(P393)+ROW()/1000000000,"")</f>
        <v/>
      </c>
      <c r="U393" s="9">
        <f>IF(Q393="비교",ABS(P393)+ROW()/1000000000,"")</f>
        <v/>
      </c>
      <c r="V393" s="64">
        <f>IF($A393="","",IF(COUNTIF(변동분석!$E$7:$E$506,O393)&gt;0,"Y","N"))</f>
        <v/>
      </c>
      <c r="W393" s="64">
        <f>IF($A393="","",IFERROR(INDEX(계정매핑!$D$5:$D$504,MATCH($F393&amp;"",계정매핑!$A$5:$A$504,0)),"미매핑"))</f>
        <v/>
      </c>
      <c r="X393" s="9">
        <f>IF($A393="","",$F393&amp;"")</f>
        <v/>
      </c>
      <c r="Y393" s="94">
        <f>IF($A393="",0,IF(AE393="직접",IF(AF393="비귀속",$P393,0),$P393*(1-AG393)*IFERROR(INDEX(계정대체기준!$F$20:$F$49,MATCH($N393,계정대체기준!$A$20:$A$49,0)),1)))</f>
        <v/>
      </c>
      <c r="Z393" s="94">
        <f>IF($A393="",0,IF(AE393="직접",IF(AF393="신계약비",$P393,0),$P393*(1-AG393)*IFERROR(INDEX(계정대체기준!$C$20:$C$49,MATCH($N393,계정대체기준!$A$20:$A$49,0)),0)))</f>
        <v/>
      </c>
      <c r="AA393" s="94">
        <f>IF($A393="",0,IF(AE393="직접",IF(OR(AF393="유지비",AF393="손해조사비"),$P393,0),$P393*(1-AG393)*IFERROR(INDEX(계정대체기준!$D$20:$D$49,MATCH($N393,계정대체기준!$A$20:$A$49,0)),0)))</f>
        <v/>
      </c>
      <c r="AB393" s="94">
        <f>IF($A393="",0,IF(AE393="직접",IF(AF393="수금비",$P393,0),$P393*(1-AG393)*IFERROR(INDEX(계정대체기준!$E$20:$E$49,MATCH($N393,계정대체기준!$A$20:$A$49,0)),0)))</f>
        <v/>
      </c>
      <c r="AC393" s="9">
        <f>IF(AND($A393&lt;&gt;"",M393=설정!$C$20,Z393&gt;0),Z393+ROW()/1000000000,"")</f>
        <v/>
      </c>
      <c r="AD393" s="94">
        <f>IF($A393="",0,$P393*AG393)</f>
        <v/>
      </c>
      <c r="AE393" s="64">
        <f>IF($A393="","",IFERROR(INDEX(계정매핑!$E$5:$E$504,MATCH($F393&amp;"",계정매핑!$A$5:$A$504,0))&amp;"","공통비"))</f>
        <v/>
      </c>
      <c r="AF393" s="64">
        <f>IF($A393="","",IF(AE393="직접",IFERROR(INDEX(계정매핑!$F$5:$F$504,MATCH($F393&amp;"",계정매핑!$A$5:$A$504,0))&amp;"","비귀속"),""))</f>
        <v/>
      </c>
      <c r="AG393" s="96">
        <f>IF($A393="",0,IF(AND(AE393&lt;&gt;"직접",IFERROR(INDEX(계정매핑!$G$5:$G$504,MATCH($F393&amp;"",계정매핑!$A$5:$A$504,0))&amp;"","")="유지비",COUNTIF(계정대체기준!$A$6:$A$15,$N393)&gt;0),IFERROR(INDEX(계정대체기준!$E$6:$E$15,MATCH(VALUE($A393&amp;""),계정대체기준!$D$6:$D$15,0)),0),0))</f>
        <v/>
      </c>
      <c r="AH393" s="64">
        <f>IF($A393="","",IF(AD393=0,"",IF(OR(COUNTIF(계정대체기준!$A$77:$A$86,$N393)&gt;0,ISNUMBER(MATCH($X393,계정대체기준!$D$77:$D$86,0)),ISNUMBER(MATCH($F393,계정대체기준!$D$77:$D$86,0))),"Y","N")))</f>
        <v/>
      </c>
    </row>
    <row r="394">
      <c r="A394" s="92" t="n">
        <v>2025</v>
      </c>
      <c r="B394" s="92" t="n">
        <v>2</v>
      </c>
      <c r="C394" s="92" t="inlineStr">
        <is>
          <t>5100000390</t>
        </is>
      </c>
      <c r="D394" s="95" t="n">
        <v>45706</v>
      </c>
      <c r="E394" s="92" t="inlineStr">
        <is>
          <t>KR</t>
        </is>
      </c>
      <c r="F394" s="92" t="n">
        <v>62401000</v>
      </c>
      <c r="G394" s="92" t="n">
        <v>1401</v>
      </c>
      <c r="H394" s="93" t="n">
        <v>391000</v>
      </c>
      <c r="I394" s="92" t="inlineStr">
        <is>
          <t>2월 인쇄물 제작 - G인쇄</t>
        </is>
      </c>
      <c r="J394" s="92" t="inlineStr">
        <is>
          <t>V10004</t>
        </is>
      </c>
      <c r="K394" s="92" t="inlineStr">
        <is>
          <t>G인쇄</t>
        </is>
      </c>
      <c r="M394" s="9">
        <f>IF($A394="","",VALUE($A394&amp;"")*12+VALUE($B394&amp;""))</f>
        <v/>
      </c>
      <c r="N394" s="64">
        <f>IF($A394="","",IFERROR(INDEX(부서매핑!$C$5:$C$504,MATCH($G394&amp;"",부서매핑!$A$5:$A$504,0)),"미매핑"))</f>
        <v/>
      </c>
      <c r="O394" s="9">
        <f>IF($A394="","",N394&amp;"|"&amp;$F394)</f>
        <v/>
      </c>
      <c r="P394" s="94">
        <f>IF($A394="",0,$H394*설정!$C$23)</f>
        <v/>
      </c>
      <c r="Q394" s="64">
        <f>IF($A394="","",IF(O394&lt;&gt;원인분석!$C$9,"",IF(AND(M394&gt;=원인분석!$C$10,M394&lt;=원인분석!$C$11),"당기",IF(AND(M394&gt;=원인분석!$C$12,M394&lt;=원인분석!$C$13),"비교",""))))</f>
        <v/>
      </c>
      <c r="R394" s="9">
        <f>IF(Q394="","",$K394&amp;"")</f>
        <v/>
      </c>
      <c r="S394" s="9">
        <f>IF(Q394="","",IF(MATCH(R394,$R$5:$R$100000,0)=ROW()-4,ROW(),""))</f>
        <v/>
      </c>
      <c r="T394" s="9">
        <f>IF(Q394="당기",ABS(P394)+ROW()/1000000000,"")</f>
        <v/>
      </c>
      <c r="U394" s="9">
        <f>IF(Q394="비교",ABS(P394)+ROW()/1000000000,"")</f>
        <v/>
      </c>
      <c r="V394" s="64">
        <f>IF($A394="","",IF(COUNTIF(변동분석!$E$7:$E$506,O394)&gt;0,"Y","N"))</f>
        <v/>
      </c>
      <c r="W394" s="64">
        <f>IF($A394="","",IFERROR(INDEX(계정매핑!$D$5:$D$504,MATCH($F394&amp;"",계정매핑!$A$5:$A$504,0)),"미매핑"))</f>
        <v/>
      </c>
      <c r="X394" s="9">
        <f>IF($A394="","",$F394&amp;"")</f>
        <v/>
      </c>
      <c r="Y394" s="94">
        <f>IF($A394="",0,IF(AE394="직접",IF(AF394="비귀속",$P394,0),$P394*(1-AG394)*IFERROR(INDEX(계정대체기준!$F$20:$F$49,MATCH($N394,계정대체기준!$A$20:$A$49,0)),1)))</f>
        <v/>
      </c>
      <c r="Z394" s="94">
        <f>IF($A394="",0,IF(AE394="직접",IF(AF394="신계약비",$P394,0),$P394*(1-AG394)*IFERROR(INDEX(계정대체기준!$C$20:$C$49,MATCH($N394,계정대체기준!$A$20:$A$49,0)),0)))</f>
        <v/>
      </c>
      <c r="AA394" s="94">
        <f>IF($A394="",0,IF(AE394="직접",IF(OR(AF394="유지비",AF394="손해조사비"),$P394,0),$P394*(1-AG394)*IFERROR(INDEX(계정대체기준!$D$20:$D$49,MATCH($N394,계정대체기준!$A$20:$A$49,0)),0)))</f>
        <v/>
      </c>
      <c r="AB394" s="94">
        <f>IF($A394="",0,IF(AE394="직접",IF(AF394="수금비",$P394,0),$P394*(1-AG394)*IFERROR(INDEX(계정대체기준!$E$20:$E$49,MATCH($N394,계정대체기준!$A$20:$A$49,0)),0)))</f>
        <v/>
      </c>
      <c r="AC394" s="9">
        <f>IF(AND($A394&lt;&gt;"",M394=설정!$C$20,Z394&gt;0),Z394+ROW()/1000000000,"")</f>
        <v/>
      </c>
      <c r="AD394" s="94">
        <f>IF($A394="",0,$P394*AG394)</f>
        <v/>
      </c>
      <c r="AE394" s="64">
        <f>IF($A394="","",IFERROR(INDEX(계정매핑!$E$5:$E$504,MATCH($F394&amp;"",계정매핑!$A$5:$A$504,0))&amp;"","공통비"))</f>
        <v/>
      </c>
      <c r="AF394" s="64">
        <f>IF($A394="","",IF(AE394="직접",IFERROR(INDEX(계정매핑!$F$5:$F$504,MATCH($F394&amp;"",계정매핑!$A$5:$A$504,0))&amp;"","비귀속"),""))</f>
        <v/>
      </c>
      <c r="AG394" s="96">
        <f>IF($A394="",0,IF(AND(AE394&lt;&gt;"직접",IFERROR(INDEX(계정매핑!$G$5:$G$504,MATCH($F394&amp;"",계정매핑!$A$5:$A$504,0))&amp;"","")="유지비",COUNTIF(계정대체기준!$A$6:$A$15,$N394)&gt;0),IFERROR(INDEX(계정대체기준!$E$6:$E$15,MATCH(VALUE($A394&amp;""),계정대체기준!$D$6:$D$15,0)),0),0))</f>
        <v/>
      </c>
      <c r="AH394" s="64">
        <f>IF($A394="","",IF(AD394=0,"",IF(OR(COUNTIF(계정대체기준!$A$77:$A$86,$N394)&gt;0,ISNUMBER(MATCH($X394,계정대체기준!$D$77:$D$86,0)),ISNUMBER(MATCH($F394,계정대체기준!$D$77:$D$86,0))),"Y","N")))</f>
        <v/>
      </c>
    </row>
    <row r="395">
      <c r="A395" s="92" t="n">
        <v>2025</v>
      </c>
      <c r="B395" s="92" t="n">
        <v>2</v>
      </c>
      <c r="C395" s="92" t="inlineStr">
        <is>
          <t>5100000391</t>
        </is>
      </c>
      <c r="D395" s="95" t="n">
        <v>45706</v>
      </c>
      <c r="E395" s="92" t="inlineStr">
        <is>
          <t>KR</t>
        </is>
      </c>
      <c r="F395" s="92" t="n">
        <v>62401000</v>
      </c>
      <c r="G395" s="92" t="n">
        <v>1801</v>
      </c>
      <c r="H395" s="93" t="n">
        <v>4267000</v>
      </c>
      <c r="I395" s="92" t="inlineStr">
        <is>
          <t>2월 인쇄물 제작 - G인쇄</t>
        </is>
      </c>
      <c r="J395" s="92" t="inlineStr">
        <is>
          <t>V10004</t>
        </is>
      </c>
      <c r="K395" s="92" t="inlineStr">
        <is>
          <t>G인쇄</t>
        </is>
      </c>
      <c r="M395" s="9">
        <f>IF($A395="","",VALUE($A395&amp;"")*12+VALUE($B395&amp;""))</f>
        <v/>
      </c>
      <c r="N395" s="64">
        <f>IF($A395="","",IFERROR(INDEX(부서매핑!$C$5:$C$504,MATCH($G395&amp;"",부서매핑!$A$5:$A$504,0)),"미매핑"))</f>
        <v/>
      </c>
      <c r="O395" s="9">
        <f>IF($A395="","",N395&amp;"|"&amp;$F395)</f>
        <v/>
      </c>
      <c r="P395" s="94">
        <f>IF($A395="",0,$H395*설정!$C$23)</f>
        <v/>
      </c>
      <c r="Q395" s="64">
        <f>IF($A395="","",IF(O395&lt;&gt;원인분석!$C$9,"",IF(AND(M395&gt;=원인분석!$C$10,M395&lt;=원인분석!$C$11),"당기",IF(AND(M395&gt;=원인분석!$C$12,M395&lt;=원인분석!$C$13),"비교",""))))</f>
        <v/>
      </c>
      <c r="R395" s="9">
        <f>IF(Q395="","",$K395&amp;"")</f>
        <v/>
      </c>
      <c r="S395" s="9">
        <f>IF(Q395="","",IF(MATCH(R395,$R$5:$R$100000,0)=ROW()-4,ROW(),""))</f>
        <v/>
      </c>
      <c r="T395" s="9">
        <f>IF(Q395="당기",ABS(P395)+ROW()/1000000000,"")</f>
        <v/>
      </c>
      <c r="U395" s="9">
        <f>IF(Q395="비교",ABS(P395)+ROW()/1000000000,"")</f>
        <v/>
      </c>
      <c r="V395" s="64">
        <f>IF($A395="","",IF(COUNTIF(변동분석!$E$7:$E$506,O395)&gt;0,"Y","N"))</f>
        <v/>
      </c>
      <c r="W395" s="64">
        <f>IF($A395="","",IFERROR(INDEX(계정매핑!$D$5:$D$504,MATCH($F395&amp;"",계정매핑!$A$5:$A$504,0)),"미매핑"))</f>
        <v/>
      </c>
      <c r="X395" s="9">
        <f>IF($A395="","",$F395&amp;"")</f>
        <v/>
      </c>
      <c r="Y395" s="94">
        <f>IF($A395="",0,IF(AE395="직접",IF(AF395="비귀속",$P395,0),$P395*(1-AG395)*IFERROR(INDEX(계정대체기준!$F$20:$F$49,MATCH($N395,계정대체기준!$A$20:$A$49,0)),1)))</f>
        <v/>
      </c>
      <c r="Z395" s="94">
        <f>IF($A395="",0,IF(AE395="직접",IF(AF395="신계약비",$P395,0),$P395*(1-AG395)*IFERROR(INDEX(계정대체기준!$C$20:$C$49,MATCH($N395,계정대체기준!$A$20:$A$49,0)),0)))</f>
        <v/>
      </c>
      <c r="AA395" s="94">
        <f>IF($A395="",0,IF(AE395="직접",IF(OR(AF395="유지비",AF395="손해조사비"),$P395,0),$P395*(1-AG395)*IFERROR(INDEX(계정대체기준!$D$20:$D$49,MATCH($N395,계정대체기준!$A$20:$A$49,0)),0)))</f>
        <v/>
      </c>
      <c r="AB395" s="94">
        <f>IF($A395="",0,IF(AE395="직접",IF(AF395="수금비",$P395,0),$P395*(1-AG395)*IFERROR(INDEX(계정대체기준!$E$20:$E$49,MATCH($N395,계정대체기준!$A$20:$A$49,0)),0)))</f>
        <v/>
      </c>
      <c r="AC395" s="9">
        <f>IF(AND($A395&lt;&gt;"",M395=설정!$C$20,Z395&gt;0),Z395+ROW()/1000000000,"")</f>
        <v/>
      </c>
      <c r="AD395" s="94">
        <f>IF($A395="",0,$P395*AG395)</f>
        <v/>
      </c>
      <c r="AE395" s="64">
        <f>IF($A395="","",IFERROR(INDEX(계정매핑!$E$5:$E$504,MATCH($F395&amp;"",계정매핑!$A$5:$A$504,0))&amp;"","공통비"))</f>
        <v/>
      </c>
      <c r="AF395" s="64">
        <f>IF($A395="","",IF(AE395="직접",IFERROR(INDEX(계정매핑!$F$5:$F$504,MATCH($F395&amp;"",계정매핑!$A$5:$A$504,0))&amp;"","비귀속"),""))</f>
        <v/>
      </c>
      <c r="AG395" s="96">
        <f>IF($A395="",0,IF(AND(AE395&lt;&gt;"직접",IFERROR(INDEX(계정매핑!$G$5:$G$504,MATCH($F395&amp;"",계정매핑!$A$5:$A$504,0))&amp;"","")="유지비",COUNTIF(계정대체기준!$A$6:$A$15,$N395)&gt;0),IFERROR(INDEX(계정대체기준!$E$6:$E$15,MATCH(VALUE($A395&amp;""),계정대체기준!$D$6:$D$15,0)),0),0))</f>
        <v/>
      </c>
      <c r="AH395" s="64">
        <f>IF($A395="","",IF(AD395=0,"",IF(OR(COUNTIF(계정대체기준!$A$77:$A$86,$N395)&gt;0,ISNUMBER(MATCH($X395,계정대체기준!$D$77:$D$86,0)),ISNUMBER(MATCH($F395,계정대체기준!$D$77:$D$86,0))),"Y","N")))</f>
        <v/>
      </c>
    </row>
    <row r="396">
      <c r="A396" s="92" t="n">
        <v>2025</v>
      </c>
      <c r="B396" s="92" t="n">
        <v>2</v>
      </c>
      <c r="C396" s="92" t="inlineStr">
        <is>
          <t>5100000392</t>
        </is>
      </c>
      <c r="D396" s="95" t="n">
        <v>45706</v>
      </c>
      <c r="E396" s="92" t="inlineStr">
        <is>
          <t>KR</t>
        </is>
      </c>
      <c r="F396" s="92" t="n">
        <v>62601000</v>
      </c>
      <c r="G396" s="92" t="n">
        <v>1301</v>
      </c>
      <c r="H396" s="93" t="n">
        <v>681000</v>
      </c>
      <c r="I396" s="92" t="inlineStr">
        <is>
          <t>2월 업무추진 - (법인카드)</t>
        </is>
      </c>
      <c r="J396" s="92" t="inlineStr">
        <is>
          <t>V10010</t>
        </is>
      </c>
      <c r="K396" s="92" t="inlineStr">
        <is>
          <t>(법인카드)</t>
        </is>
      </c>
      <c r="M396" s="9">
        <f>IF($A396="","",VALUE($A396&amp;"")*12+VALUE($B396&amp;""))</f>
        <v/>
      </c>
      <c r="N396" s="64">
        <f>IF($A396="","",IFERROR(INDEX(부서매핑!$C$5:$C$504,MATCH($G396&amp;"",부서매핑!$A$5:$A$504,0)),"미매핑"))</f>
        <v/>
      </c>
      <c r="O396" s="9">
        <f>IF($A396="","",N396&amp;"|"&amp;$F396)</f>
        <v/>
      </c>
      <c r="P396" s="94">
        <f>IF($A396="",0,$H396*설정!$C$23)</f>
        <v/>
      </c>
      <c r="Q396" s="64">
        <f>IF($A396="","",IF(O396&lt;&gt;원인분석!$C$9,"",IF(AND(M396&gt;=원인분석!$C$10,M396&lt;=원인분석!$C$11),"당기",IF(AND(M396&gt;=원인분석!$C$12,M396&lt;=원인분석!$C$13),"비교",""))))</f>
        <v/>
      </c>
      <c r="R396" s="9">
        <f>IF(Q396="","",$K396&amp;"")</f>
        <v/>
      </c>
      <c r="S396" s="9">
        <f>IF(Q396="","",IF(MATCH(R396,$R$5:$R$100000,0)=ROW()-4,ROW(),""))</f>
        <v/>
      </c>
      <c r="T396" s="9">
        <f>IF(Q396="당기",ABS(P396)+ROW()/1000000000,"")</f>
        <v/>
      </c>
      <c r="U396" s="9">
        <f>IF(Q396="비교",ABS(P396)+ROW()/1000000000,"")</f>
        <v/>
      </c>
      <c r="V396" s="64">
        <f>IF($A396="","",IF(COUNTIF(변동분석!$E$7:$E$506,O396)&gt;0,"Y","N"))</f>
        <v/>
      </c>
      <c r="W396" s="64">
        <f>IF($A396="","",IFERROR(INDEX(계정매핑!$D$5:$D$504,MATCH($F396&amp;"",계정매핑!$A$5:$A$504,0)),"미매핑"))</f>
        <v/>
      </c>
      <c r="X396" s="9">
        <f>IF($A396="","",$F396&amp;"")</f>
        <v/>
      </c>
      <c r="Y396" s="94">
        <f>IF($A396="",0,IF(AE396="직접",IF(AF396="비귀속",$P396,0),$P396*(1-AG396)*IFERROR(INDEX(계정대체기준!$F$20:$F$49,MATCH($N396,계정대체기준!$A$20:$A$49,0)),1)))</f>
        <v/>
      </c>
      <c r="Z396" s="94">
        <f>IF($A396="",0,IF(AE396="직접",IF(AF396="신계약비",$P396,0),$P396*(1-AG396)*IFERROR(INDEX(계정대체기준!$C$20:$C$49,MATCH($N396,계정대체기준!$A$20:$A$49,0)),0)))</f>
        <v/>
      </c>
      <c r="AA396" s="94">
        <f>IF($A396="",0,IF(AE396="직접",IF(OR(AF396="유지비",AF396="손해조사비"),$P396,0),$P396*(1-AG396)*IFERROR(INDEX(계정대체기준!$D$20:$D$49,MATCH($N396,계정대체기준!$A$20:$A$49,0)),0)))</f>
        <v/>
      </c>
      <c r="AB396" s="94">
        <f>IF($A396="",0,IF(AE396="직접",IF(AF396="수금비",$P396,0),$P396*(1-AG396)*IFERROR(INDEX(계정대체기준!$E$20:$E$49,MATCH($N396,계정대체기준!$A$20:$A$49,0)),0)))</f>
        <v/>
      </c>
      <c r="AC396" s="9">
        <f>IF(AND($A396&lt;&gt;"",M396=설정!$C$20,Z396&gt;0),Z396+ROW()/1000000000,"")</f>
        <v/>
      </c>
      <c r="AD396" s="94">
        <f>IF($A396="",0,$P396*AG396)</f>
        <v/>
      </c>
      <c r="AE396" s="64">
        <f>IF($A396="","",IFERROR(INDEX(계정매핑!$E$5:$E$504,MATCH($F396&amp;"",계정매핑!$A$5:$A$504,0))&amp;"","공통비"))</f>
        <v/>
      </c>
      <c r="AF396" s="64">
        <f>IF($A396="","",IF(AE396="직접",IFERROR(INDEX(계정매핑!$F$5:$F$504,MATCH($F396&amp;"",계정매핑!$A$5:$A$504,0))&amp;"","비귀속"),""))</f>
        <v/>
      </c>
      <c r="AG396" s="96">
        <f>IF($A396="",0,IF(AND(AE396&lt;&gt;"직접",IFERROR(INDEX(계정매핑!$G$5:$G$504,MATCH($F396&amp;"",계정매핑!$A$5:$A$504,0))&amp;"","")="유지비",COUNTIF(계정대체기준!$A$6:$A$15,$N396)&gt;0),IFERROR(INDEX(계정대체기준!$E$6:$E$15,MATCH(VALUE($A396&amp;""),계정대체기준!$D$6:$D$15,0)),0),0))</f>
        <v/>
      </c>
      <c r="AH396" s="64">
        <f>IF($A396="","",IF(AD396=0,"",IF(OR(COUNTIF(계정대체기준!$A$77:$A$86,$N396)&gt;0,ISNUMBER(MATCH($X396,계정대체기준!$D$77:$D$86,0)),ISNUMBER(MATCH($F396,계정대체기준!$D$77:$D$86,0))),"Y","N")))</f>
        <v/>
      </c>
    </row>
    <row r="397">
      <c r="A397" s="92" t="n">
        <v>2025</v>
      </c>
      <c r="B397" s="92" t="n">
        <v>2</v>
      </c>
      <c r="C397" s="92" t="inlineStr">
        <is>
          <t>5100000393</t>
        </is>
      </c>
      <c r="D397" s="95" t="n">
        <v>45706</v>
      </c>
      <c r="E397" s="92" t="inlineStr">
        <is>
          <t>KR</t>
        </is>
      </c>
      <c r="F397" s="92" t="n">
        <v>63601000</v>
      </c>
      <c r="G397" s="92" t="n">
        <v>1801</v>
      </c>
      <c r="H397" s="93" t="n">
        <v>6650000</v>
      </c>
      <c r="I397" s="92" t="inlineStr">
        <is>
          <t>2월 손해사정 수수료 - EE손해사정</t>
        </is>
      </c>
      <c r="J397" s="92" t="inlineStr">
        <is>
          <t>V10008</t>
        </is>
      </c>
      <c r="K397" s="92" t="inlineStr">
        <is>
          <t>EE손해사정</t>
        </is>
      </c>
      <c r="M397" s="9">
        <f>IF($A397="","",VALUE($A397&amp;"")*12+VALUE($B397&amp;""))</f>
        <v/>
      </c>
      <c r="N397" s="64">
        <f>IF($A397="","",IFERROR(INDEX(부서매핑!$C$5:$C$504,MATCH($G397&amp;"",부서매핑!$A$5:$A$504,0)),"미매핑"))</f>
        <v/>
      </c>
      <c r="O397" s="9">
        <f>IF($A397="","",N397&amp;"|"&amp;$F397)</f>
        <v/>
      </c>
      <c r="P397" s="94">
        <f>IF($A397="",0,$H397*설정!$C$23)</f>
        <v/>
      </c>
      <c r="Q397" s="64">
        <f>IF($A397="","",IF(O397&lt;&gt;원인분석!$C$9,"",IF(AND(M397&gt;=원인분석!$C$10,M397&lt;=원인분석!$C$11),"당기",IF(AND(M397&gt;=원인분석!$C$12,M397&lt;=원인분석!$C$13),"비교",""))))</f>
        <v/>
      </c>
      <c r="R397" s="9">
        <f>IF(Q397="","",$K397&amp;"")</f>
        <v/>
      </c>
      <c r="S397" s="9">
        <f>IF(Q397="","",IF(MATCH(R397,$R$5:$R$100000,0)=ROW()-4,ROW(),""))</f>
        <v/>
      </c>
      <c r="T397" s="9">
        <f>IF(Q397="당기",ABS(P397)+ROW()/1000000000,"")</f>
        <v/>
      </c>
      <c r="U397" s="9">
        <f>IF(Q397="비교",ABS(P397)+ROW()/1000000000,"")</f>
        <v/>
      </c>
      <c r="V397" s="64">
        <f>IF($A397="","",IF(COUNTIF(변동분석!$E$7:$E$506,O397)&gt;0,"Y","N"))</f>
        <v/>
      </c>
      <c r="W397" s="64">
        <f>IF($A397="","",IFERROR(INDEX(계정매핑!$D$5:$D$504,MATCH($F397&amp;"",계정매핑!$A$5:$A$504,0)),"미매핑"))</f>
        <v/>
      </c>
      <c r="X397" s="9">
        <f>IF($A397="","",$F397&amp;"")</f>
        <v/>
      </c>
      <c r="Y397" s="94">
        <f>IF($A397="",0,IF(AE397="직접",IF(AF397="비귀속",$P397,0),$P397*(1-AG397)*IFERROR(INDEX(계정대체기준!$F$20:$F$49,MATCH($N397,계정대체기준!$A$20:$A$49,0)),1)))</f>
        <v/>
      </c>
      <c r="Z397" s="94">
        <f>IF($A397="",0,IF(AE397="직접",IF(AF397="신계약비",$P397,0),$P397*(1-AG397)*IFERROR(INDEX(계정대체기준!$C$20:$C$49,MATCH($N397,계정대체기준!$A$20:$A$49,0)),0)))</f>
        <v/>
      </c>
      <c r="AA397" s="94">
        <f>IF($A397="",0,IF(AE397="직접",IF(OR(AF397="유지비",AF397="손해조사비"),$P397,0),$P397*(1-AG397)*IFERROR(INDEX(계정대체기준!$D$20:$D$49,MATCH($N397,계정대체기준!$A$20:$A$49,0)),0)))</f>
        <v/>
      </c>
      <c r="AB397" s="94">
        <f>IF($A397="",0,IF(AE397="직접",IF(AF397="수금비",$P397,0),$P397*(1-AG397)*IFERROR(INDEX(계정대체기준!$E$20:$E$49,MATCH($N397,계정대체기준!$A$20:$A$49,0)),0)))</f>
        <v/>
      </c>
      <c r="AC397" s="9">
        <f>IF(AND($A397&lt;&gt;"",M397=설정!$C$20,Z397&gt;0),Z397+ROW()/1000000000,"")</f>
        <v/>
      </c>
      <c r="AD397" s="94">
        <f>IF($A397="",0,$P397*AG397)</f>
        <v/>
      </c>
      <c r="AE397" s="64">
        <f>IF($A397="","",IFERROR(INDEX(계정매핑!$E$5:$E$504,MATCH($F397&amp;"",계정매핑!$A$5:$A$504,0))&amp;"","공통비"))</f>
        <v/>
      </c>
      <c r="AF397" s="64">
        <f>IF($A397="","",IF(AE397="직접",IFERROR(INDEX(계정매핑!$F$5:$F$504,MATCH($F397&amp;"",계정매핑!$A$5:$A$504,0))&amp;"","비귀속"),""))</f>
        <v/>
      </c>
      <c r="AG397" s="96">
        <f>IF($A397="",0,IF(AND(AE397&lt;&gt;"직접",IFERROR(INDEX(계정매핑!$G$5:$G$504,MATCH($F397&amp;"",계정매핑!$A$5:$A$504,0))&amp;"","")="유지비",COUNTIF(계정대체기준!$A$6:$A$15,$N397)&gt;0),IFERROR(INDEX(계정대체기준!$E$6:$E$15,MATCH(VALUE($A397&amp;""),계정대체기준!$D$6:$D$15,0)),0),0))</f>
        <v/>
      </c>
      <c r="AH397" s="64">
        <f>IF($A397="","",IF(AD397=0,"",IF(OR(COUNTIF(계정대체기준!$A$77:$A$86,$N397)&gt;0,ISNUMBER(MATCH($X397,계정대체기준!$D$77:$D$86,0)),ISNUMBER(MATCH($F397,계정대체기준!$D$77:$D$86,0))),"Y","N")))</f>
        <v/>
      </c>
    </row>
    <row r="398">
      <c r="A398" s="92" t="n">
        <v>2025</v>
      </c>
      <c r="B398" s="92" t="n">
        <v>2</v>
      </c>
      <c r="C398" s="92" t="inlineStr">
        <is>
          <t>5100000394</t>
        </is>
      </c>
      <c r="D398" s="95" t="n">
        <v>45707</v>
      </c>
      <c r="E398" s="92" t="inlineStr">
        <is>
          <t>KR</t>
        </is>
      </c>
      <c r="F398" s="92" t="n">
        <v>62101000</v>
      </c>
      <c r="G398" s="92" t="n">
        <v>1401</v>
      </c>
      <c r="H398" s="93" t="n">
        <v>626000</v>
      </c>
      <c r="I398" s="92" t="inlineStr">
        <is>
          <t>2월 국내출장 - M항공</t>
        </is>
      </c>
      <c r="J398" s="92" t="inlineStr">
        <is>
          <t>V10001</t>
        </is>
      </c>
      <c r="K398" s="92" t="inlineStr">
        <is>
          <t>M항공</t>
        </is>
      </c>
      <c r="M398" s="9">
        <f>IF($A398="","",VALUE($A398&amp;"")*12+VALUE($B398&amp;""))</f>
        <v/>
      </c>
      <c r="N398" s="64">
        <f>IF($A398="","",IFERROR(INDEX(부서매핑!$C$5:$C$504,MATCH($G398&amp;"",부서매핑!$A$5:$A$504,0)),"미매핑"))</f>
        <v/>
      </c>
      <c r="O398" s="9">
        <f>IF($A398="","",N398&amp;"|"&amp;$F398)</f>
        <v/>
      </c>
      <c r="P398" s="94">
        <f>IF($A398="",0,$H398*설정!$C$23)</f>
        <v/>
      </c>
      <c r="Q398" s="64">
        <f>IF($A398="","",IF(O398&lt;&gt;원인분석!$C$9,"",IF(AND(M398&gt;=원인분석!$C$10,M398&lt;=원인분석!$C$11),"당기",IF(AND(M398&gt;=원인분석!$C$12,M398&lt;=원인분석!$C$13),"비교",""))))</f>
        <v/>
      </c>
      <c r="R398" s="9">
        <f>IF(Q398="","",$K398&amp;"")</f>
        <v/>
      </c>
      <c r="S398" s="9">
        <f>IF(Q398="","",IF(MATCH(R398,$R$5:$R$100000,0)=ROW()-4,ROW(),""))</f>
        <v/>
      </c>
      <c r="T398" s="9">
        <f>IF(Q398="당기",ABS(P398)+ROW()/1000000000,"")</f>
        <v/>
      </c>
      <c r="U398" s="9">
        <f>IF(Q398="비교",ABS(P398)+ROW()/1000000000,"")</f>
        <v/>
      </c>
      <c r="V398" s="64">
        <f>IF($A398="","",IF(COUNTIF(변동분석!$E$7:$E$506,O398)&gt;0,"Y","N"))</f>
        <v/>
      </c>
      <c r="W398" s="64">
        <f>IF($A398="","",IFERROR(INDEX(계정매핑!$D$5:$D$504,MATCH($F398&amp;"",계정매핑!$A$5:$A$504,0)),"미매핑"))</f>
        <v/>
      </c>
      <c r="X398" s="9">
        <f>IF($A398="","",$F398&amp;"")</f>
        <v/>
      </c>
      <c r="Y398" s="94">
        <f>IF($A398="",0,IF(AE398="직접",IF(AF398="비귀속",$P398,0),$P398*(1-AG398)*IFERROR(INDEX(계정대체기준!$F$20:$F$49,MATCH($N398,계정대체기준!$A$20:$A$49,0)),1)))</f>
        <v/>
      </c>
      <c r="Z398" s="94">
        <f>IF($A398="",0,IF(AE398="직접",IF(AF398="신계약비",$P398,0),$P398*(1-AG398)*IFERROR(INDEX(계정대체기준!$C$20:$C$49,MATCH($N398,계정대체기준!$A$20:$A$49,0)),0)))</f>
        <v/>
      </c>
      <c r="AA398" s="94">
        <f>IF($A398="",0,IF(AE398="직접",IF(OR(AF398="유지비",AF398="손해조사비"),$P398,0),$P398*(1-AG398)*IFERROR(INDEX(계정대체기준!$D$20:$D$49,MATCH($N398,계정대체기준!$A$20:$A$49,0)),0)))</f>
        <v/>
      </c>
      <c r="AB398" s="94">
        <f>IF($A398="",0,IF(AE398="직접",IF(AF398="수금비",$P398,0),$P398*(1-AG398)*IFERROR(INDEX(계정대체기준!$E$20:$E$49,MATCH($N398,계정대체기준!$A$20:$A$49,0)),0)))</f>
        <v/>
      </c>
      <c r="AC398" s="9">
        <f>IF(AND($A398&lt;&gt;"",M398=설정!$C$20,Z398&gt;0),Z398+ROW()/1000000000,"")</f>
        <v/>
      </c>
      <c r="AD398" s="94">
        <f>IF($A398="",0,$P398*AG398)</f>
        <v/>
      </c>
      <c r="AE398" s="64">
        <f>IF($A398="","",IFERROR(INDEX(계정매핑!$E$5:$E$504,MATCH($F398&amp;"",계정매핑!$A$5:$A$504,0))&amp;"","공통비"))</f>
        <v/>
      </c>
      <c r="AF398" s="64">
        <f>IF($A398="","",IF(AE398="직접",IFERROR(INDEX(계정매핑!$F$5:$F$504,MATCH($F398&amp;"",계정매핑!$A$5:$A$504,0))&amp;"","비귀속"),""))</f>
        <v/>
      </c>
      <c r="AG398" s="96">
        <f>IF($A398="",0,IF(AND(AE398&lt;&gt;"직접",IFERROR(INDEX(계정매핑!$G$5:$G$504,MATCH($F398&amp;"",계정매핑!$A$5:$A$504,0))&amp;"","")="유지비",COUNTIF(계정대체기준!$A$6:$A$15,$N398)&gt;0),IFERROR(INDEX(계정대체기준!$E$6:$E$15,MATCH(VALUE($A398&amp;""),계정대체기준!$D$6:$D$15,0)),0),0))</f>
        <v/>
      </c>
      <c r="AH398" s="64">
        <f>IF($A398="","",IF(AD398=0,"",IF(OR(COUNTIF(계정대체기준!$A$77:$A$86,$N398)&gt;0,ISNUMBER(MATCH($X398,계정대체기준!$D$77:$D$86,0)),ISNUMBER(MATCH($F398,계정대체기준!$D$77:$D$86,0))),"Y","N")))</f>
        <v/>
      </c>
    </row>
    <row r="399">
      <c r="A399" s="92" t="n">
        <v>2025</v>
      </c>
      <c r="B399" s="92" t="n">
        <v>2</v>
      </c>
      <c r="C399" s="92" t="inlineStr">
        <is>
          <t>5100000395</t>
        </is>
      </c>
      <c r="D399" s="95" t="n">
        <v>45707</v>
      </c>
      <c r="E399" s="92" t="inlineStr">
        <is>
          <t>KR</t>
        </is>
      </c>
      <c r="F399" s="92" t="n">
        <v>62101000</v>
      </c>
      <c r="G399" s="92" t="n">
        <v>1601</v>
      </c>
      <c r="H399" s="93" t="n">
        <v>859000</v>
      </c>
      <c r="I399" s="92" t="inlineStr">
        <is>
          <t>2월 국내출장 - (법인카드)</t>
        </is>
      </c>
      <c r="J399" s="92" t="inlineStr">
        <is>
          <t>V10010</t>
        </is>
      </c>
      <c r="K399" s="92" t="inlineStr">
        <is>
          <t>(법인카드)</t>
        </is>
      </c>
      <c r="M399" s="9">
        <f>IF($A399="","",VALUE($A399&amp;"")*12+VALUE($B399&amp;""))</f>
        <v/>
      </c>
      <c r="N399" s="64">
        <f>IF($A399="","",IFERROR(INDEX(부서매핑!$C$5:$C$504,MATCH($G399&amp;"",부서매핑!$A$5:$A$504,0)),"미매핑"))</f>
        <v/>
      </c>
      <c r="O399" s="9">
        <f>IF($A399="","",N399&amp;"|"&amp;$F399)</f>
        <v/>
      </c>
      <c r="P399" s="94">
        <f>IF($A399="",0,$H399*설정!$C$23)</f>
        <v/>
      </c>
      <c r="Q399" s="64">
        <f>IF($A399="","",IF(O399&lt;&gt;원인분석!$C$9,"",IF(AND(M399&gt;=원인분석!$C$10,M399&lt;=원인분석!$C$11),"당기",IF(AND(M399&gt;=원인분석!$C$12,M399&lt;=원인분석!$C$13),"비교",""))))</f>
        <v/>
      </c>
      <c r="R399" s="9">
        <f>IF(Q399="","",$K399&amp;"")</f>
        <v/>
      </c>
      <c r="S399" s="9">
        <f>IF(Q399="","",IF(MATCH(R399,$R$5:$R$100000,0)=ROW()-4,ROW(),""))</f>
        <v/>
      </c>
      <c r="T399" s="9">
        <f>IF(Q399="당기",ABS(P399)+ROW()/1000000000,"")</f>
        <v/>
      </c>
      <c r="U399" s="9">
        <f>IF(Q399="비교",ABS(P399)+ROW()/1000000000,"")</f>
        <v/>
      </c>
      <c r="V399" s="64">
        <f>IF($A399="","",IF(COUNTIF(변동분석!$E$7:$E$506,O399)&gt;0,"Y","N"))</f>
        <v/>
      </c>
      <c r="W399" s="64">
        <f>IF($A399="","",IFERROR(INDEX(계정매핑!$D$5:$D$504,MATCH($F399&amp;"",계정매핑!$A$5:$A$504,0)),"미매핑"))</f>
        <v/>
      </c>
      <c r="X399" s="9">
        <f>IF($A399="","",$F399&amp;"")</f>
        <v/>
      </c>
      <c r="Y399" s="94">
        <f>IF($A399="",0,IF(AE399="직접",IF(AF399="비귀속",$P399,0),$P399*(1-AG399)*IFERROR(INDEX(계정대체기준!$F$20:$F$49,MATCH($N399,계정대체기준!$A$20:$A$49,0)),1)))</f>
        <v/>
      </c>
      <c r="Z399" s="94">
        <f>IF($A399="",0,IF(AE399="직접",IF(AF399="신계약비",$P399,0),$P399*(1-AG399)*IFERROR(INDEX(계정대체기준!$C$20:$C$49,MATCH($N399,계정대체기준!$A$20:$A$49,0)),0)))</f>
        <v/>
      </c>
      <c r="AA399" s="94">
        <f>IF($A399="",0,IF(AE399="직접",IF(OR(AF399="유지비",AF399="손해조사비"),$P399,0),$P399*(1-AG399)*IFERROR(INDEX(계정대체기준!$D$20:$D$49,MATCH($N399,계정대체기준!$A$20:$A$49,0)),0)))</f>
        <v/>
      </c>
      <c r="AB399" s="94">
        <f>IF($A399="",0,IF(AE399="직접",IF(AF399="수금비",$P399,0),$P399*(1-AG399)*IFERROR(INDEX(계정대체기준!$E$20:$E$49,MATCH($N399,계정대체기준!$A$20:$A$49,0)),0)))</f>
        <v/>
      </c>
      <c r="AC399" s="9">
        <f>IF(AND($A399&lt;&gt;"",M399=설정!$C$20,Z399&gt;0),Z399+ROW()/1000000000,"")</f>
        <v/>
      </c>
      <c r="AD399" s="94">
        <f>IF($A399="",0,$P399*AG399)</f>
        <v/>
      </c>
      <c r="AE399" s="64">
        <f>IF($A399="","",IFERROR(INDEX(계정매핑!$E$5:$E$504,MATCH($F399&amp;"",계정매핑!$A$5:$A$504,0))&amp;"","공통비"))</f>
        <v/>
      </c>
      <c r="AF399" s="64">
        <f>IF($A399="","",IF(AE399="직접",IFERROR(INDEX(계정매핑!$F$5:$F$504,MATCH($F399&amp;"",계정매핑!$A$5:$A$504,0))&amp;"","비귀속"),""))</f>
        <v/>
      </c>
      <c r="AG399" s="96">
        <f>IF($A399="",0,IF(AND(AE399&lt;&gt;"직접",IFERROR(INDEX(계정매핑!$G$5:$G$504,MATCH($F399&amp;"",계정매핑!$A$5:$A$504,0))&amp;"","")="유지비",COUNTIF(계정대체기준!$A$6:$A$15,$N399)&gt;0),IFERROR(INDEX(계정대체기준!$E$6:$E$15,MATCH(VALUE($A399&amp;""),계정대체기준!$D$6:$D$15,0)),0),0))</f>
        <v/>
      </c>
      <c r="AH399" s="64">
        <f>IF($A399="","",IF(AD399=0,"",IF(OR(COUNTIF(계정대체기준!$A$77:$A$86,$N399)&gt;0,ISNUMBER(MATCH($X399,계정대체기준!$D$77:$D$86,0)),ISNUMBER(MATCH($F399,계정대체기준!$D$77:$D$86,0))),"Y","N")))</f>
        <v/>
      </c>
    </row>
    <row r="400">
      <c r="A400" s="92" t="n">
        <v>2025</v>
      </c>
      <c r="B400" s="92" t="n">
        <v>2</v>
      </c>
      <c r="C400" s="92" t="inlineStr">
        <is>
          <t>5100000396</t>
        </is>
      </c>
      <c r="D400" s="95" t="n">
        <v>45707</v>
      </c>
      <c r="E400" s="92" t="inlineStr">
        <is>
          <t>KR</t>
        </is>
      </c>
      <c r="F400" s="92" t="n">
        <v>62301000</v>
      </c>
      <c r="G400" s="92" t="n">
        <v>1101</v>
      </c>
      <c r="H400" s="93" t="n">
        <v>118000</v>
      </c>
      <c r="I400" s="92" t="inlineStr">
        <is>
          <t>2월 소모품 구입 - Q오피스</t>
        </is>
      </c>
      <c r="J400" s="92" t="inlineStr">
        <is>
          <t>V10003</t>
        </is>
      </c>
      <c r="K400" s="92" t="inlineStr">
        <is>
          <t>Q오피스</t>
        </is>
      </c>
      <c r="M400" s="9">
        <f>IF($A400="","",VALUE($A400&amp;"")*12+VALUE($B400&amp;""))</f>
        <v/>
      </c>
      <c r="N400" s="64">
        <f>IF($A400="","",IFERROR(INDEX(부서매핑!$C$5:$C$504,MATCH($G400&amp;"",부서매핑!$A$5:$A$504,0)),"미매핑"))</f>
        <v/>
      </c>
      <c r="O400" s="9">
        <f>IF($A400="","",N400&amp;"|"&amp;$F400)</f>
        <v/>
      </c>
      <c r="P400" s="94">
        <f>IF($A400="",0,$H400*설정!$C$23)</f>
        <v/>
      </c>
      <c r="Q400" s="64">
        <f>IF($A400="","",IF(O400&lt;&gt;원인분석!$C$9,"",IF(AND(M400&gt;=원인분석!$C$10,M400&lt;=원인분석!$C$11),"당기",IF(AND(M400&gt;=원인분석!$C$12,M400&lt;=원인분석!$C$13),"비교",""))))</f>
        <v/>
      </c>
      <c r="R400" s="9">
        <f>IF(Q400="","",$K400&amp;"")</f>
        <v/>
      </c>
      <c r="S400" s="9">
        <f>IF(Q400="","",IF(MATCH(R400,$R$5:$R$100000,0)=ROW()-4,ROW(),""))</f>
        <v/>
      </c>
      <c r="T400" s="9">
        <f>IF(Q400="당기",ABS(P400)+ROW()/1000000000,"")</f>
        <v/>
      </c>
      <c r="U400" s="9">
        <f>IF(Q400="비교",ABS(P400)+ROW()/1000000000,"")</f>
        <v/>
      </c>
      <c r="V400" s="64">
        <f>IF($A400="","",IF(COUNTIF(변동분석!$E$7:$E$506,O400)&gt;0,"Y","N"))</f>
        <v/>
      </c>
      <c r="W400" s="64">
        <f>IF($A400="","",IFERROR(INDEX(계정매핑!$D$5:$D$504,MATCH($F400&amp;"",계정매핑!$A$5:$A$504,0)),"미매핑"))</f>
        <v/>
      </c>
      <c r="X400" s="9">
        <f>IF($A400="","",$F400&amp;"")</f>
        <v/>
      </c>
      <c r="Y400" s="94">
        <f>IF($A400="",0,IF(AE400="직접",IF(AF400="비귀속",$P400,0),$P400*(1-AG400)*IFERROR(INDEX(계정대체기준!$F$20:$F$49,MATCH($N400,계정대체기준!$A$20:$A$49,0)),1)))</f>
        <v/>
      </c>
      <c r="Z400" s="94">
        <f>IF($A400="",0,IF(AE400="직접",IF(AF400="신계약비",$P400,0),$P400*(1-AG400)*IFERROR(INDEX(계정대체기준!$C$20:$C$49,MATCH($N400,계정대체기준!$A$20:$A$49,0)),0)))</f>
        <v/>
      </c>
      <c r="AA400" s="94">
        <f>IF($A400="",0,IF(AE400="직접",IF(OR(AF400="유지비",AF400="손해조사비"),$P400,0),$P400*(1-AG400)*IFERROR(INDEX(계정대체기준!$D$20:$D$49,MATCH($N400,계정대체기준!$A$20:$A$49,0)),0)))</f>
        <v/>
      </c>
      <c r="AB400" s="94">
        <f>IF($A400="",0,IF(AE400="직접",IF(AF400="수금비",$P400,0),$P400*(1-AG400)*IFERROR(INDEX(계정대체기준!$E$20:$E$49,MATCH($N400,계정대체기준!$A$20:$A$49,0)),0)))</f>
        <v/>
      </c>
      <c r="AC400" s="9">
        <f>IF(AND($A400&lt;&gt;"",M400=설정!$C$20,Z400&gt;0),Z400+ROW()/1000000000,"")</f>
        <v/>
      </c>
      <c r="AD400" s="94">
        <f>IF($A400="",0,$P400*AG400)</f>
        <v/>
      </c>
      <c r="AE400" s="64">
        <f>IF($A400="","",IFERROR(INDEX(계정매핑!$E$5:$E$504,MATCH($F400&amp;"",계정매핑!$A$5:$A$504,0))&amp;"","공통비"))</f>
        <v/>
      </c>
      <c r="AF400" s="64">
        <f>IF($A400="","",IF(AE400="직접",IFERROR(INDEX(계정매핑!$F$5:$F$504,MATCH($F400&amp;"",계정매핑!$A$5:$A$504,0))&amp;"","비귀속"),""))</f>
        <v/>
      </c>
      <c r="AG400" s="96">
        <f>IF($A400="",0,IF(AND(AE400&lt;&gt;"직접",IFERROR(INDEX(계정매핑!$G$5:$G$504,MATCH($F400&amp;"",계정매핑!$A$5:$A$504,0))&amp;"","")="유지비",COUNTIF(계정대체기준!$A$6:$A$15,$N400)&gt;0),IFERROR(INDEX(계정대체기준!$E$6:$E$15,MATCH(VALUE($A400&amp;""),계정대체기준!$D$6:$D$15,0)),0),0))</f>
        <v/>
      </c>
      <c r="AH400" s="64">
        <f>IF($A400="","",IF(AD400=0,"",IF(OR(COUNTIF(계정대체기준!$A$77:$A$86,$N400)&gt;0,ISNUMBER(MATCH($X400,계정대체기준!$D$77:$D$86,0)),ISNUMBER(MATCH($F400,계정대체기준!$D$77:$D$86,0))),"Y","N")))</f>
        <v/>
      </c>
    </row>
    <row r="401">
      <c r="A401" s="92" t="n">
        <v>2025</v>
      </c>
      <c r="B401" s="92" t="n">
        <v>2</v>
      </c>
      <c r="C401" s="92" t="inlineStr">
        <is>
          <t>5100000397</t>
        </is>
      </c>
      <c r="D401" s="95" t="n">
        <v>45707</v>
      </c>
      <c r="E401" s="92" t="inlineStr">
        <is>
          <t>KR</t>
        </is>
      </c>
      <c r="F401" s="92" t="n">
        <v>62301000</v>
      </c>
      <c r="G401" s="92" t="n">
        <v>1301</v>
      </c>
      <c r="H401" s="93" t="n">
        <v>414000</v>
      </c>
      <c r="I401" s="92" t="inlineStr">
        <is>
          <t>2월 소모품 구입 - Q오피스</t>
        </is>
      </c>
      <c r="J401" s="92" t="inlineStr">
        <is>
          <t>V10003</t>
        </is>
      </c>
      <c r="K401" s="92" t="inlineStr">
        <is>
          <t>Q오피스</t>
        </is>
      </c>
      <c r="M401" s="9">
        <f>IF($A401="","",VALUE($A401&amp;"")*12+VALUE($B401&amp;""))</f>
        <v/>
      </c>
      <c r="N401" s="64">
        <f>IF($A401="","",IFERROR(INDEX(부서매핑!$C$5:$C$504,MATCH($G401&amp;"",부서매핑!$A$5:$A$504,0)),"미매핑"))</f>
        <v/>
      </c>
      <c r="O401" s="9">
        <f>IF($A401="","",N401&amp;"|"&amp;$F401)</f>
        <v/>
      </c>
      <c r="P401" s="94">
        <f>IF($A401="",0,$H401*설정!$C$23)</f>
        <v/>
      </c>
      <c r="Q401" s="64">
        <f>IF($A401="","",IF(O401&lt;&gt;원인분석!$C$9,"",IF(AND(M401&gt;=원인분석!$C$10,M401&lt;=원인분석!$C$11),"당기",IF(AND(M401&gt;=원인분석!$C$12,M401&lt;=원인분석!$C$13),"비교",""))))</f>
        <v/>
      </c>
      <c r="R401" s="9">
        <f>IF(Q401="","",$K401&amp;"")</f>
        <v/>
      </c>
      <c r="S401" s="9">
        <f>IF(Q401="","",IF(MATCH(R401,$R$5:$R$100000,0)=ROW()-4,ROW(),""))</f>
        <v/>
      </c>
      <c r="T401" s="9">
        <f>IF(Q401="당기",ABS(P401)+ROW()/1000000000,"")</f>
        <v/>
      </c>
      <c r="U401" s="9">
        <f>IF(Q401="비교",ABS(P401)+ROW()/1000000000,"")</f>
        <v/>
      </c>
      <c r="V401" s="64">
        <f>IF($A401="","",IF(COUNTIF(변동분석!$E$7:$E$506,O401)&gt;0,"Y","N"))</f>
        <v/>
      </c>
      <c r="W401" s="64">
        <f>IF($A401="","",IFERROR(INDEX(계정매핑!$D$5:$D$504,MATCH($F401&amp;"",계정매핑!$A$5:$A$504,0)),"미매핑"))</f>
        <v/>
      </c>
      <c r="X401" s="9">
        <f>IF($A401="","",$F401&amp;"")</f>
        <v/>
      </c>
      <c r="Y401" s="94">
        <f>IF($A401="",0,IF(AE401="직접",IF(AF401="비귀속",$P401,0),$P401*(1-AG401)*IFERROR(INDEX(계정대체기준!$F$20:$F$49,MATCH($N401,계정대체기준!$A$20:$A$49,0)),1)))</f>
        <v/>
      </c>
      <c r="Z401" s="94">
        <f>IF($A401="",0,IF(AE401="직접",IF(AF401="신계약비",$P401,0),$P401*(1-AG401)*IFERROR(INDEX(계정대체기준!$C$20:$C$49,MATCH($N401,계정대체기준!$A$20:$A$49,0)),0)))</f>
        <v/>
      </c>
      <c r="AA401" s="94">
        <f>IF($A401="",0,IF(AE401="직접",IF(OR(AF401="유지비",AF401="손해조사비"),$P401,0),$P401*(1-AG401)*IFERROR(INDEX(계정대체기준!$D$20:$D$49,MATCH($N401,계정대체기준!$A$20:$A$49,0)),0)))</f>
        <v/>
      </c>
      <c r="AB401" s="94">
        <f>IF($A401="",0,IF(AE401="직접",IF(AF401="수금비",$P401,0),$P401*(1-AG401)*IFERROR(INDEX(계정대체기준!$E$20:$E$49,MATCH($N401,계정대체기준!$A$20:$A$49,0)),0)))</f>
        <v/>
      </c>
      <c r="AC401" s="9">
        <f>IF(AND($A401&lt;&gt;"",M401=설정!$C$20,Z401&gt;0),Z401+ROW()/1000000000,"")</f>
        <v/>
      </c>
      <c r="AD401" s="94">
        <f>IF($A401="",0,$P401*AG401)</f>
        <v/>
      </c>
      <c r="AE401" s="64">
        <f>IF($A401="","",IFERROR(INDEX(계정매핑!$E$5:$E$504,MATCH($F401&amp;"",계정매핑!$A$5:$A$504,0))&amp;"","공통비"))</f>
        <v/>
      </c>
      <c r="AF401" s="64">
        <f>IF($A401="","",IF(AE401="직접",IFERROR(INDEX(계정매핑!$F$5:$F$504,MATCH($F401&amp;"",계정매핑!$A$5:$A$504,0))&amp;"","비귀속"),""))</f>
        <v/>
      </c>
      <c r="AG401" s="96">
        <f>IF($A401="",0,IF(AND(AE401&lt;&gt;"직접",IFERROR(INDEX(계정매핑!$G$5:$G$504,MATCH($F401&amp;"",계정매핑!$A$5:$A$504,0))&amp;"","")="유지비",COUNTIF(계정대체기준!$A$6:$A$15,$N401)&gt;0),IFERROR(INDEX(계정대체기준!$E$6:$E$15,MATCH(VALUE($A401&amp;""),계정대체기준!$D$6:$D$15,0)),0),0))</f>
        <v/>
      </c>
      <c r="AH401" s="64">
        <f>IF($A401="","",IF(AD401=0,"",IF(OR(COUNTIF(계정대체기준!$A$77:$A$86,$N401)&gt;0,ISNUMBER(MATCH($X401,계정대체기준!$D$77:$D$86,0)),ISNUMBER(MATCH($F401,계정대체기준!$D$77:$D$86,0))),"Y","N")))</f>
        <v/>
      </c>
    </row>
    <row r="402">
      <c r="A402" s="92" t="n">
        <v>2025</v>
      </c>
      <c r="B402" s="92" t="n">
        <v>2</v>
      </c>
      <c r="C402" s="92" t="inlineStr">
        <is>
          <t>5100000398</t>
        </is>
      </c>
      <c r="D402" s="95" t="n">
        <v>45707</v>
      </c>
      <c r="E402" s="92" t="inlineStr">
        <is>
          <t>KR</t>
        </is>
      </c>
      <c r="F402" s="92" t="n">
        <v>62501000</v>
      </c>
      <c r="G402" s="92" t="n">
        <v>1401</v>
      </c>
      <c r="H402" s="93" t="n">
        <v>199000</v>
      </c>
      <c r="I402" s="92" t="inlineStr">
        <is>
          <t>2월 회의 다과 - (법인카드)</t>
        </is>
      </c>
      <c r="J402" s="92" t="inlineStr">
        <is>
          <t>V10010</t>
        </is>
      </c>
      <c r="K402" s="92" t="inlineStr">
        <is>
          <t>(법인카드)</t>
        </is>
      </c>
      <c r="M402" s="9">
        <f>IF($A402="","",VALUE($A402&amp;"")*12+VALUE($B402&amp;""))</f>
        <v/>
      </c>
      <c r="N402" s="64">
        <f>IF($A402="","",IFERROR(INDEX(부서매핑!$C$5:$C$504,MATCH($G402&amp;"",부서매핑!$A$5:$A$504,0)),"미매핑"))</f>
        <v/>
      </c>
      <c r="O402" s="9">
        <f>IF($A402="","",N402&amp;"|"&amp;$F402)</f>
        <v/>
      </c>
      <c r="P402" s="94">
        <f>IF($A402="",0,$H402*설정!$C$23)</f>
        <v/>
      </c>
      <c r="Q402" s="64">
        <f>IF($A402="","",IF(O402&lt;&gt;원인분석!$C$9,"",IF(AND(M402&gt;=원인분석!$C$10,M402&lt;=원인분석!$C$11),"당기",IF(AND(M402&gt;=원인분석!$C$12,M402&lt;=원인분석!$C$13),"비교",""))))</f>
        <v/>
      </c>
      <c r="R402" s="9">
        <f>IF(Q402="","",$K402&amp;"")</f>
        <v/>
      </c>
      <c r="S402" s="9">
        <f>IF(Q402="","",IF(MATCH(R402,$R$5:$R$100000,0)=ROW()-4,ROW(),""))</f>
        <v/>
      </c>
      <c r="T402" s="9">
        <f>IF(Q402="당기",ABS(P402)+ROW()/1000000000,"")</f>
        <v/>
      </c>
      <c r="U402" s="9">
        <f>IF(Q402="비교",ABS(P402)+ROW()/1000000000,"")</f>
        <v/>
      </c>
      <c r="V402" s="64">
        <f>IF($A402="","",IF(COUNTIF(변동분석!$E$7:$E$506,O402)&gt;0,"Y","N"))</f>
        <v/>
      </c>
      <c r="W402" s="64">
        <f>IF($A402="","",IFERROR(INDEX(계정매핑!$D$5:$D$504,MATCH($F402&amp;"",계정매핑!$A$5:$A$504,0)),"미매핑"))</f>
        <v/>
      </c>
      <c r="X402" s="9">
        <f>IF($A402="","",$F402&amp;"")</f>
        <v/>
      </c>
      <c r="Y402" s="94">
        <f>IF($A402="",0,IF(AE402="직접",IF(AF402="비귀속",$P402,0),$P402*(1-AG402)*IFERROR(INDEX(계정대체기준!$F$20:$F$49,MATCH($N402,계정대체기준!$A$20:$A$49,0)),1)))</f>
        <v/>
      </c>
      <c r="Z402" s="94">
        <f>IF($A402="",0,IF(AE402="직접",IF(AF402="신계약비",$P402,0),$P402*(1-AG402)*IFERROR(INDEX(계정대체기준!$C$20:$C$49,MATCH($N402,계정대체기준!$A$20:$A$49,0)),0)))</f>
        <v/>
      </c>
      <c r="AA402" s="94">
        <f>IF($A402="",0,IF(AE402="직접",IF(OR(AF402="유지비",AF402="손해조사비"),$P402,0),$P402*(1-AG402)*IFERROR(INDEX(계정대체기준!$D$20:$D$49,MATCH($N402,계정대체기준!$A$20:$A$49,0)),0)))</f>
        <v/>
      </c>
      <c r="AB402" s="94">
        <f>IF($A402="",0,IF(AE402="직접",IF(AF402="수금비",$P402,0),$P402*(1-AG402)*IFERROR(INDEX(계정대체기준!$E$20:$E$49,MATCH($N402,계정대체기준!$A$20:$A$49,0)),0)))</f>
        <v/>
      </c>
      <c r="AC402" s="9">
        <f>IF(AND($A402&lt;&gt;"",M402=설정!$C$20,Z402&gt;0),Z402+ROW()/1000000000,"")</f>
        <v/>
      </c>
      <c r="AD402" s="94">
        <f>IF($A402="",0,$P402*AG402)</f>
        <v/>
      </c>
      <c r="AE402" s="64">
        <f>IF($A402="","",IFERROR(INDEX(계정매핑!$E$5:$E$504,MATCH($F402&amp;"",계정매핑!$A$5:$A$504,0))&amp;"","공통비"))</f>
        <v/>
      </c>
      <c r="AF402" s="64">
        <f>IF($A402="","",IF(AE402="직접",IFERROR(INDEX(계정매핑!$F$5:$F$504,MATCH($F402&amp;"",계정매핑!$A$5:$A$504,0))&amp;"","비귀속"),""))</f>
        <v/>
      </c>
      <c r="AG402" s="96">
        <f>IF($A402="",0,IF(AND(AE402&lt;&gt;"직접",IFERROR(INDEX(계정매핑!$G$5:$G$504,MATCH($F402&amp;"",계정매핑!$A$5:$A$504,0))&amp;"","")="유지비",COUNTIF(계정대체기준!$A$6:$A$15,$N402)&gt;0),IFERROR(INDEX(계정대체기준!$E$6:$E$15,MATCH(VALUE($A402&amp;""),계정대체기준!$D$6:$D$15,0)),0),0))</f>
        <v/>
      </c>
      <c r="AH402" s="64">
        <f>IF($A402="","",IF(AD402=0,"",IF(OR(COUNTIF(계정대체기준!$A$77:$A$86,$N402)&gt;0,ISNUMBER(MATCH($X402,계정대체기준!$D$77:$D$86,0)),ISNUMBER(MATCH($F402,계정대체기준!$D$77:$D$86,0))),"Y","N")))</f>
        <v/>
      </c>
    </row>
    <row r="403">
      <c r="A403" s="92" t="n">
        <v>2025</v>
      </c>
      <c r="B403" s="92" t="n">
        <v>2</v>
      </c>
      <c r="C403" s="92" t="inlineStr">
        <is>
          <t>5100000399</t>
        </is>
      </c>
      <c r="D403" s="95" t="n">
        <v>45707</v>
      </c>
      <c r="E403" s="92" t="inlineStr">
        <is>
          <t>KR</t>
        </is>
      </c>
      <c r="F403" s="92" t="n">
        <v>62601000</v>
      </c>
      <c r="G403" s="92" t="n">
        <v>1501</v>
      </c>
      <c r="H403" s="93" t="n">
        <v>1745000</v>
      </c>
      <c r="I403" s="92" t="inlineStr">
        <is>
          <t>2월 업무추진 - (법인카드)</t>
        </is>
      </c>
      <c r="J403" s="92" t="inlineStr">
        <is>
          <t>V10010</t>
        </is>
      </c>
      <c r="K403" s="92" t="inlineStr">
        <is>
          <t>(법인카드)</t>
        </is>
      </c>
      <c r="M403" s="9">
        <f>IF($A403="","",VALUE($A403&amp;"")*12+VALUE($B403&amp;""))</f>
        <v/>
      </c>
      <c r="N403" s="64">
        <f>IF($A403="","",IFERROR(INDEX(부서매핑!$C$5:$C$504,MATCH($G403&amp;"",부서매핑!$A$5:$A$504,0)),"미매핑"))</f>
        <v/>
      </c>
      <c r="O403" s="9">
        <f>IF($A403="","",N403&amp;"|"&amp;$F403)</f>
        <v/>
      </c>
      <c r="P403" s="94">
        <f>IF($A403="",0,$H403*설정!$C$23)</f>
        <v/>
      </c>
      <c r="Q403" s="64">
        <f>IF($A403="","",IF(O403&lt;&gt;원인분석!$C$9,"",IF(AND(M403&gt;=원인분석!$C$10,M403&lt;=원인분석!$C$11),"당기",IF(AND(M403&gt;=원인분석!$C$12,M403&lt;=원인분석!$C$13),"비교",""))))</f>
        <v/>
      </c>
      <c r="R403" s="9">
        <f>IF(Q403="","",$K403&amp;"")</f>
        <v/>
      </c>
      <c r="S403" s="9">
        <f>IF(Q403="","",IF(MATCH(R403,$R$5:$R$100000,0)=ROW()-4,ROW(),""))</f>
        <v/>
      </c>
      <c r="T403" s="9">
        <f>IF(Q403="당기",ABS(P403)+ROW()/1000000000,"")</f>
        <v/>
      </c>
      <c r="U403" s="9">
        <f>IF(Q403="비교",ABS(P403)+ROW()/1000000000,"")</f>
        <v/>
      </c>
      <c r="V403" s="64">
        <f>IF($A403="","",IF(COUNTIF(변동분석!$E$7:$E$506,O403)&gt;0,"Y","N"))</f>
        <v/>
      </c>
      <c r="W403" s="64">
        <f>IF($A403="","",IFERROR(INDEX(계정매핑!$D$5:$D$504,MATCH($F403&amp;"",계정매핑!$A$5:$A$504,0)),"미매핑"))</f>
        <v/>
      </c>
      <c r="X403" s="9">
        <f>IF($A403="","",$F403&amp;"")</f>
        <v/>
      </c>
      <c r="Y403" s="94">
        <f>IF($A403="",0,IF(AE403="직접",IF(AF403="비귀속",$P403,0),$P403*(1-AG403)*IFERROR(INDEX(계정대체기준!$F$20:$F$49,MATCH($N403,계정대체기준!$A$20:$A$49,0)),1)))</f>
        <v/>
      </c>
      <c r="Z403" s="94">
        <f>IF($A403="",0,IF(AE403="직접",IF(AF403="신계약비",$P403,0),$P403*(1-AG403)*IFERROR(INDEX(계정대체기준!$C$20:$C$49,MATCH($N403,계정대체기준!$A$20:$A$49,0)),0)))</f>
        <v/>
      </c>
      <c r="AA403" s="94">
        <f>IF($A403="",0,IF(AE403="직접",IF(OR(AF403="유지비",AF403="손해조사비"),$P403,0),$P403*(1-AG403)*IFERROR(INDEX(계정대체기준!$D$20:$D$49,MATCH($N403,계정대체기준!$A$20:$A$49,0)),0)))</f>
        <v/>
      </c>
      <c r="AB403" s="94">
        <f>IF($A403="",0,IF(AE403="직접",IF(AF403="수금비",$P403,0),$P403*(1-AG403)*IFERROR(INDEX(계정대체기준!$E$20:$E$49,MATCH($N403,계정대체기준!$A$20:$A$49,0)),0)))</f>
        <v/>
      </c>
      <c r="AC403" s="9">
        <f>IF(AND($A403&lt;&gt;"",M403=설정!$C$20,Z403&gt;0),Z403+ROW()/1000000000,"")</f>
        <v/>
      </c>
      <c r="AD403" s="94">
        <f>IF($A403="",0,$P403*AG403)</f>
        <v/>
      </c>
      <c r="AE403" s="64">
        <f>IF($A403="","",IFERROR(INDEX(계정매핑!$E$5:$E$504,MATCH($F403&amp;"",계정매핑!$A$5:$A$504,0))&amp;"","공통비"))</f>
        <v/>
      </c>
      <c r="AF403" s="64">
        <f>IF($A403="","",IF(AE403="직접",IFERROR(INDEX(계정매핑!$F$5:$F$504,MATCH($F403&amp;"",계정매핑!$A$5:$A$504,0))&amp;"","비귀속"),""))</f>
        <v/>
      </c>
      <c r="AG403" s="96">
        <f>IF($A403="",0,IF(AND(AE403&lt;&gt;"직접",IFERROR(INDEX(계정매핑!$G$5:$G$504,MATCH($F403&amp;"",계정매핑!$A$5:$A$504,0))&amp;"","")="유지비",COUNTIF(계정대체기준!$A$6:$A$15,$N403)&gt;0),IFERROR(INDEX(계정대체기준!$E$6:$E$15,MATCH(VALUE($A403&amp;""),계정대체기준!$D$6:$D$15,0)),0),0))</f>
        <v/>
      </c>
      <c r="AH403" s="64">
        <f>IF($A403="","",IF(AD403=0,"",IF(OR(COUNTIF(계정대체기준!$A$77:$A$86,$N403)&gt;0,ISNUMBER(MATCH($X403,계정대체기준!$D$77:$D$86,0)),ISNUMBER(MATCH($F403,계정대체기준!$D$77:$D$86,0))),"Y","N")))</f>
        <v/>
      </c>
    </row>
    <row r="404">
      <c r="A404" s="92" t="n">
        <v>2025</v>
      </c>
      <c r="B404" s="92" t="n">
        <v>2</v>
      </c>
      <c r="C404" s="92" t="inlineStr">
        <is>
          <t>5100000400</t>
        </is>
      </c>
      <c r="D404" s="95" t="n">
        <v>45707</v>
      </c>
      <c r="E404" s="92" t="inlineStr">
        <is>
          <t>KR</t>
        </is>
      </c>
      <c r="F404" s="92" t="n">
        <v>62901000</v>
      </c>
      <c r="G404" s="92" t="n">
        <v>1401</v>
      </c>
      <c r="H404" s="93" t="n">
        <v>5035000</v>
      </c>
      <c r="I404" s="92" t="inlineStr">
        <is>
          <t>2월 자문 수수료 - W컨설팅</t>
        </is>
      </c>
      <c r="J404" s="92" t="inlineStr">
        <is>
          <t>V10006</t>
        </is>
      </c>
      <c r="K404" s="92" t="inlineStr">
        <is>
          <t>W컨설팅</t>
        </is>
      </c>
      <c r="M404" s="9">
        <f>IF($A404="","",VALUE($A404&amp;"")*12+VALUE($B404&amp;""))</f>
        <v/>
      </c>
      <c r="N404" s="64">
        <f>IF($A404="","",IFERROR(INDEX(부서매핑!$C$5:$C$504,MATCH($G404&amp;"",부서매핑!$A$5:$A$504,0)),"미매핑"))</f>
        <v/>
      </c>
      <c r="O404" s="9">
        <f>IF($A404="","",N404&amp;"|"&amp;$F404)</f>
        <v/>
      </c>
      <c r="P404" s="94">
        <f>IF($A404="",0,$H404*설정!$C$23)</f>
        <v/>
      </c>
      <c r="Q404" s="64">
        <f>IF($A404="","",IF(O404&lt;&gt;원인분석!$C$9,"",IF(AND(M404&gt;=원인분석!$C$10,M404&lt;=원인분석!$C$11),"당기",IF(AND(M404&gt;=원인분석!$C$12,M404&lt;=원인분석!$C$13),"비교",""))))</f>
        <v/>
      </c>
      <c r="R404" s="9">
        <f>IF(Q404="","",$K404&amp;"")</f>
        <v/>
      </c>
      <c r="S404" s="9">
        <f>IF(Q404="","",IF(MATCH(R404,$R$5:$R$100000,0)=ROW()-4,ROW(),""))</f>
        <v/>
      </c>
      <c r="T404" s="9">
        <f>IF(Q404="당기",ABS(P404)+ROW()/1000000000,"")</f>
        <v/>
      </c>
      <c r="U404" s="9">
        <f>IF(Q404="비교",ABS(P404)+ROW()/1000000000,"")</f>
        <v/>
      </c>
      <c r="V404" s="64">
        <f>IF($A404="","",IF(COUNTIF(변동분석!$E$7:$E$506,O404)&gt;0,"Y","N"))</f>
        <v/>
      </c>
      <c r="W404" s="64">
        <f>IF($A404="","",IFERROR(INDEX(계정매핑!$D$5:$D$504,MATCH($F404&amp;"",계정매핑!$A$5:$A$504,0)),"미매핑"))</f>
        <v/>
      </c>
      <c r="X404" s="9">
        <f>IF($A404="","",$F404&amp;"")</f>
        <v/>
      </c>
      <c r="Y404" s="94">
        <f>IF($A404="",0,IF(AE404="직접",IF(AF404="비귀속",$P404,0),$P404*(1-AG404)*IFERROR(INDEX(계정대체기준!$F$20:$F$49,MATCH($N404,계정대체기준!$A$20:$A$49,0)),1)))</f>
        <v/>
      </c>
      <c r="Z404" s="94">
        <f>IF($A404="",0,IF(AE404="직접",IF(AF404="신계약비",$P404,0),$P404*(1-AG404)*IFERROR(INDEX(계정대체기준!$C$20:$C$49,MATCH($N404,계정대체기준!$A$20:$A$49,0)),0)))</f>
        <v/>
      </c>
      <c r="AA404" s="94">
        <f>IF($A404="",0,IF(AE404="직접",IF(OR(AF404="유지비",AF404="손해조사비"),$P404,0),$P404*(1-AG404)*IFERROR(INDEX(계정대체기준!$D$20:$D$49,MATCH($N404,계정대체기준!$A$20:$A$49,0)),0)))</f>
        <v/>
      </c>
      <c r="AB404" s="94">
        <f>IF($A404="",0,IF(AE404="직접",IF(AF404="수금비",$P404,0),$P404*(1-AG404)*IFERROR(INDEX(계정대체기준!$E$20:$E$49,MATCH($N404,계정대체기준!$A$20:$A$49,0)),0)))</f>
        <v/>
      </c>
      <c r="AC404" s="9">
        <f>IF(AND($A404&lt;&gt;"",M404=설정!$C$20,Z404&gt;0),Z404+ROW()/1000000000,"")</f>
        <v/>
      </c>
      <c r="AD404" s="94">
        <f>IF($A404="",0,$P404*AG404)</f>
        <v/>
      </c>
      <c r="AE404" s="64">
        <f>IF($A404="","",IFERROR(INDEX(계정매핑!$E$5:$E$504,MATCH($F404&amp;"",계정매핑!$A$5:$A$504,0))&amp;"","공통비"))</f>
        <v/>
      </c>
      <c r="AF404" s="64">
        <f>IF($A404="","",IF(AE404="직접",IFERROR(INDEX(계정매핑!$F$5:$F$504,MATCH($F404&amp;"",계정매핑!$A$5:$A$504,0))&amp;"","비귀속"),""))</f>
        <v/>
      </c>
      <c r="AG404" s="96">
        <f>IF($A404="",0,IF(AND(AE404&lt;&gt;"직접",IFERROR(INDEX(계정매핑!$G$5:$G$504,MATCH($F404&amp;"",계정매핑!$A$5:$A$504,0))&amp;"","")="유지비",COUNTIF(계정대체기준!$A$6:$A$15,$N404)&gt;0),IFERROR(INDEX(계정대체기준!$E$6:$E$15,MATCH(VALUE($A404&amp;""),계정대체기준!$D$6:$D$15,0)),0),0))</f>
        <v/>
      </c>
      <c r="AH404" s="64">
        <f>IF($A404="","",IF(AD404=0,"",IF(OR(COUNTIF(계정대체기준!$A$77:$A$86,$N404)&gt;0,ISNUMBER(MATCH($X404,계정대체기준!$D$77:$D$86,0)),ISNUMBER(MATCH($F404,계정대체기준!$D$77:$D$86,0))),"Y","N")))</f>
        <v/>
      </c>
    </row>
    <row r="405">
      <c r="A405" s="92" t="n">
        <v>2025</v>
      </c>
      <c r="B405" s="92" t="n">
        <v>2</v>
      </c>
      <c r="C405" s="92" t="inlineStr">
        <is>
          <t>5100000401</t>
        </is>
      </c>
      <c r="D405" s="95" t="n">
        <v>45708</v>
      </c>
      <c r="E405" s="92" t="inlineStr">
        <is>
          <t>KR</t>
        </is>
      </c>
      <c r="F405" s="92" t="n">
        <v>62101000</v>
      </c>
      <c r="G405" s="92" t="n">
        <v>1301</v>
      </c>
      <c r="H405" s="93" t="n">
        <v>352000</v>
      </c>
      <c r="I405" s="92" t="inlineStr">
        <is>
          <t>2월 국내출장 - L여행사</t>
        </is>
      </c>
      <c r="J405" s="92" t="inlineStr">
        <is>
          <t>V10018</t>
        </is>
      </c>
      <c r="K405" s="92" t="inlineStr">
        <is>
          <t>L여행사</t>
        </is>
      </c>
      <c r="M405" s="9">
        <f>IF($A405="","",VALUE($A405&amp;"")*12+VALUE($B405&amp;""))</f>
        <v/>
      </c>
      <c r="N405" s="64">
        <f>IF($A405="","",IFERROR(INDEX(부서매핑!$C$5:$C$504,MATCH($G405&amp;"",부서매핑!$A$5:$A$504,0)),"미매핑"))</f>
        <v/>
      </c>
      <c r="O405" s="9">
        <f>IF($A405="","",N405&amp;"|"&amp;$F405)</f>
        <v/>
      </c>
      <c r="P405" s="94">
        <f>IF($A405="",0,$H405*설정!$C$23)</f>
        <v/>
      </c>
      <c r="Q405" s="64">
        <f>IF($A405="","",IF(O405&lt;&gt;원인분석!$C$9,"",IF(AND(M405&gt;=원인분석!$C$10,M405&lt;=원인분석!$C$11),"당기",IF(AND(M405&gt;=원인분석!$C$12,M405&lt;=원인분석!$C$13),"비교",""))))</f>
        <v/>
      </c>
      <c r="R405" s="9">
        <f>IF(Q405="","",$K405&amp;"")</f>
        <v/>
      </c>
      <c r="S405" s="9">
        <f>IF(Q405="","",IF(MATCH(R405,$R$5:$R$100000,0)=ROW()-4,ROW(),""))</f>
        <v/>
      </c>
      <c r="T405" s="9">
        <f>IF(Q405="당기",ABS(P405)+ROW()/1000000000,"")</f>
        <v/>
      </c>
      <c r="U405" s="9">
        <f>IF(Q405="비교",ABS(P405)+ROW()/1000000000,"")</f>
        <v/>
      </c>
      <c r="V405" s="64">
        <f>IF($A405="","",IF(COUNTIF(변동분석!$E$7:$E$506,O405)&gt;0,"Y","N"))</f>
        <v/>
      </c>
      <c r="W405" s="64">
        <f>IF($A405="","",IFERROR(INDEX(계정매핑!$D$5:$D$504,MATCH($F405&amp;"",계정매핑!$A$5:$A$504,0)),"미매핑"))</f>
        <v/>
      </c>
      <c r="X405" s="9">
        <f>IF($A405="","",$F405&amp;"")</f>
        <v/>
      </c>
      <c r="Y405" s="94">
        <f>IF($A405="",0,IF(AE405="직접",IF(AF405="비귀속",$P405,0),$P405*(1-AG405)*IFERROR(INDEX(계정대체기준!$F$20:$F$49,MATCH($N405,계정대체기준!$A$20:$A$49,0)),1)))</f>
        <v/>
      </c>
      <c r="Z405" s="94">
        <f>IF($A405="",0,IF(AE405="직접",IF(AF405="신계약비",$P405,0),$P405*(1-AG405)*IFERROR(INDEX(계정대체기준!$C$20:$C$49,MATCH($N405,계정대체기준!$A$20:$A$49,0)),0)))</f>
        <v/>
      </c>
      <c r="AA405" s="94">
        <f>IF($A405="",0,IF(AE405="직접",IF(OR(AF405="유지비",AF405="손해조사비"),$P405,0),$P405*(1-AG405)*IFERROR(INDEX(계정대체기준!$D$20:$D$49,MATCH($N405,계정대체기준!$A$20:$A$49,0)),0)))</f>
        <v/>
      </c>
      <c r="AB405" s="94">
        <f>IF($A405="",0,IF(AE405="직접",IF(AF405="수금비",$P405,0),$P405*(1-AG405)*IFERROR(INDEX(계정대체기준!$E$20:$E$49,MATCH($N405,계정대체기준!$A$20:$A$49,0)),0)))</f>
        <v/>
      </c>
      <c r="AC405" s="9">
        <f>IF(AND($A405&lt;&gt;"",M405=설정!$C$20,Z405&gt;0),Z405+ROW()/1000000000,"")</f>
        <v/>
      </c>
      <c r="AD405" s="94">
        <f>IF($A405="",0,$P405*AG405)</f>
        <v/>
      </c>
      <c r="AE405" s="64">
        <f>IF($A405="","",IFERROR(INDEX(계정매핑!$E$5:$E$504,MATCH($F405&amp;"",계정매핑!$A$5:$A$504,0))&amp;"","공통비"))</f>
        <v/>
      </c>
      <c r="AF405" s="64">
        <f>IF($A405="","",IF(AE405="직접",IFERROR(INDEX(계정매핑!$F$5:$F$504,MATCH($F405&amp;"",계정매핑!$A$5:$A$504,0))&amp;"","비귀속"),""))</f>
        <v/>
      </c>
      <c r="AG405" s="96">
        <f>IF($A405="",0,IF(AND(AE405&lt;&gt;"직접",IFERROR(INDEX(계정매핑!$G$5:$G$504,MATCH($F405&amp;"",계정매핑!$A$5:$A$504,0))&amp;"","")="유지비",COUNTIF(계정대체기준!$A$6:$A$15,$N405)&gt;0),IFERROR(INDEX(계정대체기준!$E$6:$E$15,MATCH(VALUE($A405&amp;""),계정대체기준!$D$6:$D$15,0)),0),0))</f>
        <v/>
      </c>
      <c r="AH405" s="64">
        <f>IF($A405="","",IF(AD405=0,"",IF(OR(COUNTIF(계정대체기준!$A$77:$A$86,$N405)&gt;0,ISNUMBER(MATCH($X405,계정대체기준!$D$77:$D$86,0)),ISNUMBER(MATCH($F405,계정대체기준!$D$77:$D$86,0))),"Y","N")))</f>
        <v/>
      </c>
    </row>
    <row r="406">
      <c r="A406" s="92" t="n">
        <v>2025</v>
      </c>
      <c r="B406" s="92" t="n">
        <v>2</v>
      </c>
      <c r="C406" s="92" t="inlineStr">
        <is>
          <t>5100000402</t>
        </is>
      </c>
      <c r="D406" s="95" t="n">
        <v>45708</v>
      </c>
      <c r="E406" s="92" t="inlineStr">
        <is>
          <t>KR</t>
        </is>
      </c>
      <c r="F406" s="92" t="n">
        <v>62101000</v>
      </c>
      <c r="G406" s="92" t="n">
        <v>1951</v>
      </c>
      <c r="H406" s="93" t="n">
        <v>348000</v>
      </c>
      <c r="I406" s="92" t="inlineStr">
        <is>
          <t>2월 국내출장 - L여행사</t>
        </is>
      </c>
      <c r="J406" s="92" t="inlineStr">
        <is>
          <t>V10018</t>
        </is>
      </c>
      <c r="K406" s="92" t="inlineStr">
        <is>
          <t>L여행사</t>
        </is>
      </c>
      <c r="M406" s="9">
        <f>IF($A406="","",VALUE($A406&amp;"")*12+VALUE($B406&amp;""))</f>
        <v/>
      </c>
      <c r="N406" s="64">
        <f>IF($A406="","",IFERROR(INDEX(부서매핑!$C$5:$C$504,MATCH($G406&amp;"",부서매핑!$A$5:$A$504,0)),"미매핑"))</f>
        <v/>
      </c>
      <c r="O406" s="9">
        <f>IF($A406="","",N406&amp;"|"&amp;$F406)</f>
        <v/>
      </c>
      <c r="P406" s="94">
        <f>IF($A406="",0,$H406*설정!$C$23)</f>
        <v/>
      </c>
      <c r="Q406" s="64">
        <f>IF($A406="","",IF(O406&lt;&gt;원인분석!$C$9,"",IF(AND(M406&gt;=원인분석!$C$10,M406&lt;=원인분석!$C$11),"당기",IF(AND(M406&gt;=원인분석!$C$12,M406&lt;=원인분석!$C$13),"비교",""))))</f>
        <v/>
      </c>
      <c r="R406" s="9">
        <f>IF(Q406="","",$K406&amp;"")</f>
        <v/>
      </c>
      <c r="S406" s="9">
        <f>IF(Q406="","",IF(MATCH(R406,$R$5:$R$100000,0)=ROW()-4,ROW(),""))</f>
        <v/>
      </c>
      <c r="T406" s="9">
        <f>IF(Q406="당기",ABS(P406)+ROW()/1000000000,"")</f>
        <v/>
      </c>
      <c r="U406" s="9">
        <f>IF(Q406="비교",ABS(P406)+ROW()/1000000000,"")</f>
        <v/>
      </c>
      <c r="V406" s="64">
        <f>IF($A406="","",IF(COUNTIF(변동분석!$E$7:$E$506,O406)&gt;0,"Y","N"))</f>
        <v/>
      </c>
      <c r="W406" s="64">
        <f>IF($A406="","",IFERROR(INDEX(계정매핑!$D$5:$D$504,MATCH($F406&amp;"",계정매핑!$A$5:$A$504,0)),"미매핑"))</f>
        <v/>
      </c>
      <c r="X406" s="9">
        <f>IF($A406="","",$F406&amp;"")</f>
        <v/>
      </c>
      <c r="Y406" s="94">
        <f>IF($A406="",0,IF(AE406="직접",IF(AF406="비귀속",$P406,0),$P406*(1-AG406)*IFERROR(INDEX(계정대체기준!$F$20:$F$49,MATCH($N406,계정대체기준!$A$20:$A$49,0)),1)))</f>
        <v/>
      </c>
      <c r="Z406" s="94">
        <f>IF($A406="",0,IF(AE406="직접",IF(AF406="신계약비",$P406,0),$P406*(1-AG406)*IFERROR(INDEX(계정대체기준!$C$20:$C$49,MATCH($N406,계정대체기준!$A$20:$A$49,0)),0)))</f>
        <v/>
      </c>
      <c r="AA406" s="94">
        <f>IF($A406="",0,IF(AE406="직접",IF(OR(AF406="유지비",AF406="손해조사비"),$P406,0),$P406*(1-AG406)*IFERROR(INDEX(계정대체기준!$D$20:$D$49,MATCH($N406,계정대체기준!$A$20:$A$49,0)),0)))</f>
        <v/>
      </c>
      <c r="AB406" s="94">
        <f>IF($A406="",0,IF(AE406="직접",IF(AF406="수금비",$P406,0),$P406*(1-AG406)*IFERROR(INDEX(계정대체기준!$E$20:$E$49,MATCH($N406,계정대체기준!$A$20:$A$49,0)),0)))</f>
        <v/>
      </c>
      <c r="AC406" s="9">
        <f>IF(AND($A406&lt;&gt;"",M406=설정!$C$20,Z406&gt;0),Z406+ROW()/1000000000,"")</f>
        <v/>
      </c>
      <c r="AD406" s="94">
        <f>IF($A406="",0,$P406*AG406)</f>
        <v/>
      </c>
      <c r="AE406" s="64">
        <f>IF($A406="","",IFERROR(INDEX(계정매핑!$E$5:$E$504,MATCH($F406&amp;"",계정매핑!$A$5:$A$504,0))&amp;"","공통비"))</f>
        <v/>
      </c>
      <c r="AF406" s="64">
        <f>IF($A406="","",IF(AE406="직접",IFERROR(INDEX(계정매핑!$F$5:$F$504,MATCH($F406&amp;"",계정매핑!$A$5:$A$504,0))&amp;"","비귀속"),""))</f>
        <v/>
      </c>
      <c r="AG406" s="96">
        <f>IF($A406="",0,IF(AND(AE406&lt;&gt;"직접",IFERROR(INDEX(계정매핑!$G$5:$G$504,MATCH($F406&amp;"",계정매핑!$A$5:$A$504,0))&amp;"","")="유지비",COUNTIF(계정대체기준!$A$6:$A$15,$N406)&gt;0),IFERROR(INDEX(계정대체기준!$E$6:$E$15,MATCH(VALUE($A406&amp;""),계정대체기준!$D$6:$D$15,0)),0),0))</f>
        <v/>
      </c>
      <c r="AH406" s="64">
        <f>IF($A406="","",IF(AD406=0,"",IF(OR(COUNTIF(계정대체기준!$A$77:$A$86,$N406)&gt;0,ISNUMBER(MATCH($X406,계정대체기준!$D$77:$D$86,0)),ISNUMBER(MATCH($F406,계정대체기준!$D$77:$D$86,0))),"Y","N")))</f>
        <v/>
      </c>
    </row>
    <row r="407">
      <c r="A407" s="92" t="n">
        <v>2025</v>
      </c>
      <c r="B407" s="92" t="n">
        <v>2</v>
      </c>
      <c r="C407" s="92" t="inlineStr">
        <is>
          <t>5100000403</t>
        </is>
      </c>
      <c r="D407" s="95" t="n">
        <v>45708</v>
      </c>
      <c r="E407" s="92" t="inlineStr">
        <is>
          <t>KR</t>
        </is>
      </c>
      <c r="F407" s="92" t="n">
        <v>62102000</v>
      </c>
      <c r="G407" s="92" t="n">
        <v>1301</v>
      </c>
      <c r="H407" s="93" t="n">
        <v>137000</v>
      </c>
      <c r="I407" s="92" t="inlineStr">
        <is>
          <t>2월 해외출장 - N호텔</t>
        </is>
      </c>
      <c r="J407" s="92" t="inlineStr">
        <is>
          <t>V10009</t>
        </is>
      </c>
      <c r="K407" s="92" t="inlineStr">
        <is>
          <t>N호텔</t>
        </is>
      </c>
      <c r="M407" s="9">
        <f>IF($A407="","",VALUE($A407&amp;"")*12+VALUE($B407&amp;""))</f>
        <v/>
      </c>
      <c r="N407" s="64">
        <f>IF($A407="","",IFERROR(INDEX(부서매핑!$C$5:$C$504,MATCH($G407&amp;"",부서매핑!$A$5:$A$504,0)),"미매핑"))</f>
        <v/>
      </c>
      <c r="O407" s="9">
        <f>IF($A407="","",N407&amp;"|"&amp;$F407)</f>
        <v/>
      </c>
      <c r="P407" s="94">
        <f>IF($A407="",0,$H407*설정!$C$23)</f>
        <v/>
      </c>
      <c r="Q407" s="64">
        <f>IF($A407="","",IF(O407&lt;&gt;원인분석!$C$9,"",IF(AND(M407&gt;=원인분석!$C$10,M407&lt;=원인분석!$C$11),"당기",IF(AND(M407&gt;=원인분석!$C$12,M407&lt;=원인분석!$C$13),"비교",""))))</f>
        <v/>
      </c>
      <c r="R407" s="9">
        <f>IF(Q407="","",$K407&amp;"")</f>
        <v/>
      </c>
      <c r="S407" s="9">
        <f>IF(Q407="","",IF(MATCH(R407,$R$5:$R$100000,0)=ROW()-4,ROW(),""))</f>
        <v/>
      </c>
      <c r="T407" s="9">
        <f>IF(Q407="당기",ABS(P407)+ROW()/1000000000,"")</f>
        <v/>
      </c>
      <c r="U407" s="9">
        <f>IF(Q407="비교",ABS(P407)+ROW()/1000000000,"")</f>
        <v/>
      </c>
      <c r="V407" s="64">
        <f>IF($A407="","",IF(COUNTIF(변동분석!$E$7:$E$506,O407)&gt;0,"Y","N"))</f>
        <v/>
      </c>
      <c r="W407" s="64">
        <f>IF($A407="","",IFERROR(INDEX(계정매핑!$D$5:$D$504,MATCH($F407&amp;"",계정매핑!$A$5:$A$504,0)),"미매핑"))</f>
        <v/>
      </c>
      <c r="X407" s="9">
        <f>IF($A407="","",$F407&amp;"")</f>
        <v/>
      </c>
      <c r="Y407" s="94">
        <f>IF($A407="",0,IF(AE407="직접",IF(AF407="비귀속",$P407,0),$P407*(1-AG407)*IFERROR(INDEX(계정대체기준!$F$20:$F$49,MATCH($N407,계정대체기준!$A$20:$A$49,0)),1)))</f>
        <v/>
      </c>
      <c r="Z407" s="94">
        <f>IF($A407="",0,IF(AE407="직접",IF(AF407="신계약비",$P407,0),$P407*(1-AG407)*IFERROR(INDEX(계정대체기준!$C$20:$C$49,MATCH($N407,계정대체기준!$A$20:$A$49,0)),0)))</f>
        <v/>
      </c>
      <c r="AA407" s="94">
        <f>IF($A407="",0,IF(AE407="직접",IF(OR(AF407="유지비",AF407="손해조사비"),$P407,0),$P407*(1-AG407)*IFERROR(INDEX(계정대체기준!$D$20:$D$49,MATCH($N407,계정대체기준!$A$20:$A$49,0)),0)))</f>
        <v/>
      </c>
      <c r="AB407" s="94">
        <f>IF($A407="",0,IF(AE407="직접",IF(AF407="수금비",$P407,0),$P407*(1-AG407)*IFERROR(INDEX(계정대체기준!$E$20:$E$49,MATCH($N407,계정대체기준!$A$20:$A$49,0)),0)))</f>
        <v/>
      </c>
      <c r="AC407" s="9">
        <f>IF(AND($A407&lt;&gt;"",M407=설정!$C$20,Z407&gt;0),Z407+ROW()/1000000000,"")</f>
        <v/>
      </c>
      <c r="AD407" s="94">
        <f>IF($A407="",0,$P407*AG407)</f>
        <v/>
      </c>
      <c r="AE407" s="64">
        <f>IF($A407="","",IFERROR(INDEX(계정매핑!$E$5:$E$504,MATCH($F407&amp;"",계정매핑!$A$5:$A$504,0))&amp;"","공통비"))</f>
        <v/>
      </c>
      <c r="AF407" s="64">
        <f>IF($A407="","",IF(AE407="직접",IFERROR(INDEX(계정매핑!$F$5:$F$504,MATCH($F407&amp;"",계정매핑!$A$5:$A$504,0))&amp;"","비귀속"),""))</f>
        <v/>
      </c>
      <c r="AG407" s="96">
        <f>IF($A407="",0,IF(AND(AE407&lt;&gt;"직접",IFERROR(INDEX(계정매핑!$G$5:$G$504,MATCH($F407&amp;"",계정매핑!$A$5:$A$504,0))&amp;"","")="유지비",COUNTIF(계정대체기준!$A$6:$A$15,$N407)&gt;0),IFERROR(INDEX(계정대체기준!$E$6:$E$15,MATCH(VALUE($A407&amp;""),계정대체기준!$D$6:$D$15,0)),0),0))</f>
        <v/>
      </c>
      <c r="AH407" s="64">
        <f>IF($A407="","",IF(AD407=0,"",IF(OR(COUNTIF(계정대체기준!$A$77:$A$86,$N407)&gt;0,ISNUMBER(MATCH($X407,계정대체기준!$D$77:$D$86,0)),ISNUMBER(MATCH($F407,계정대체기준!$D$77:$D$86,0))),"Y","N")))</f>
        <v/>
      </c>
    </row>
    <row r="408">
      <c r="A408" s="92" t="n">
        <v>2025</v>
      </c>
      <c r="B408" s="92" t="n">
        <v>2</v>
      </c>
      <c r="C408" s="92" t="inlineStr">
        <is>
          <t>5100000404</t>
        </is>
      </c>
      <c r="D408" s="95" t="n">
        <v>45708</v>
      </c>
      <c r="E408" s="92" t="inlineStr">
        <is>
          <t>KR</t>
        </is>
      </c>
      <c r="F408" s="92" t="n">
        <v>62102000</v>
      </c>
      <c r="G408" s="92" t="n">
        <v>1602</v>
      </c>
      <c r="H408" s="93" t="n">
        <v>294000</v>
      </c>
      <c r="I408" s="92" t="inlineStr">
        <is>
          <t>2월 해외출장 - M항공</t>
        </is>
      </c>
      <c r="J408" s="92" t="inlineStr">
        <is>
          <t>V10001</t>
        </is>
      </c>
      <c r="K408" s="92" t="inlineStr">
        <is>
          <t>M항공</t>
        </is>
      </c>
      <c r="M408" s="9">
        <f>IF($A408="","",VALUE($A408&amp;"")*12+VALUE($B408&amp;""))</f>
        <v/>
      </c>
      <c r="N408" s="64">
        <f>IF($A408="","",IFERROR(INDEX(부서매핑!$C$5:$C$504,MATCH($G408&amp;"",부서매핑!$A$5:$A$504,0)),"미매핑"))</f>
        <v/>
      </c>
      <c r="O408" s="9">
        <f>IF($A408="","",N408&amp;"|"&amp;$F408)</f>
        <v/>
      </c>
      <c r="P408" s="94">
        <f>IF($A408="",0,$H408*설정!$C$23)</f>
        <v/>
      </c>
      <c r="Q408" s="64">
        <f>IF($A408="","",IF(O408&lt;&gt;원인분석!$C$9,"",IF(AND(M408&gt;=원인분석!$C$10,M408&lt;=원인분석!$C$11),"당기",IF(AND(M408&gt;=원인분석!$C$12,M408&lt;=원인분석!$C$13),"비교",""))))</f>
        <v/>
      </c>
      <c r="R408" s="9">
        <f>IF(Q408="","",$K408&amp;"")</f>
        <v/>
      </c>
      <c r="S408" s="9">
        <f>IF(Q408="","",IF(MATCH(R408,$R$5:$R$100000,0)=ROW()-4,ROW(),""))</f>
        <v/>
      </c>
      <c r="T408" s="9">
        <f>IF(Q408="당기",ABS(P408)+ROW()/1000000000,"")</f>
        <v/>
      </c>
      <c r="U408" s="9">
        <f>IF(Q408="비교",ABS(P408)+ROW()/1000000000,"")</f>
        <v/>
      </c>
      <c r="V408" s="64">
        <f>IF($A408="","",IF(COUNTIF(변동분석!$E$7:$E$506,O408)&gt;0,"Y","N"))</f>
        <v/>
      </c>
      <c r="W408" s="64">
        <f>IF($A408="","",IFERROR(INDEX(계정매핑!$D$5:$D$504,MATCH($F408&amp;"",계정매핑!$A$5:$A$504,0)),"미매핑"))</f>
        <v/>
      </c>
      <c r="X408" s="9">
        <f>IF($A408="","",$F408&amp;"")</f>
        <v/>
      </c>
      <c r="Y408" s="94">
        <f>IF($A408="",0,IF(AE408="직접",IF(AF408="비귀속",$P408,0),$P408*(1-AG408)*IFERROR(INDEX(계정대체기준!$F$20:$F$49,MATCH($N408,계정대체기준!$A$20:$A$49,0)),1)))</f>
        <v/>
      </c>
      <c r="Z408" s="94">
        <f>IF($A408="",0,IF(AE408="직접",IF(AF408="신계약비",$P408,0),$P408*(1-AG408)*IFERROR(INDEX(계정대체기준!$C$20:$C$49,MATCH($N408,계정대체기준!$A$20:$A$49,0)),0)))</f>
        <v/>
      </c>
      <c r="AA408" s="94">
        <f>IF($A408="",0,IF(AE408="직접",IF(OR(AF408="유지비",AF408="손해조사비"),$P408,0),$P408*(1-AG408)*IFERROR(INDEX(계정대체기준!$D$20:$D$49,MATCH($N408,계정대체기준!$A$20:$A$49,0)),0)))</f>
        <v/>
      </c>
      <c r="AB408" s="94">
        <f>IF($A408="",0,IF(AE408="직접",IF(AF408="수금비",$P408,0),$P408*(1-AG408)*IFERROR(INDEX(계정대체기준!$E$20:$E$49,MATCH($N408,계정대체기준!$A$20:$A$49,0)),0)))</f>
        <v/>
      </c>
      <c r="AC408" s="9">
        <f>IF(AND($A408&lt;&gt;"",M408=설정!$C$20,Z408&gt;0),Z408+ROW()/1000000000,"")</f>
        <v/>
      </c>
      <c r="AD408" s="94">
        <f>IF($A408="",0,$P408*AG408)</f>
        <v/>
      </c>
      <c r="AE408" s="64">
        <f>IF($A408="","",IFERROR(INDEX(계정매핑!$E$5:$E$504,MATCH($F408&amp;"",계정매핑!$A$5:$A$504,0))&amp;"","공통비"))</f>
        <v/>
      </c>
      <c r="AF408" s="64">
        <f>IF($A408="","",IF(AE408="직접",IFERROR(INDEX(계정매핑!$F$5:$F$504,MATCH($F408&amp;"",계정매핑!$A$5:$A$504,0))&amp;"","비귀속"),""))</f>
        <v/>
      </c>
      <c r="AG408" s="96">
        <f>IF($A408="",0,IF(AND(AE408&lt;&gt;"직접",IFERROR(INDEX(계정매핑!$G$5:$G$504,MATCH($F408&amp;"",계정매핑!$A$5:$A$504,0))&amp;"","")="유지비",COUNTIF(계정대체기준!$A$6:$A$15,$N408)&gt;0),IFERROR(INDEX(계정대체기준!$E$6:$E$15,MATCH(VALUE($A408&amp;""),계정대체기준!$D$6:$D$15,0)),0),0))</f>
        <v/>
      </c>
      <c r="AH408" s="64">
        <f>IF($A408="","",IF(AD408=0,"",IF(OR(COUNTIF(계정대체기준!$A$77:$A$86,$N408)&gt;0,ISNUMBER(MATCH($X408,계정대체기준!$D$77:$D$86,0)),ISNUMBER(MATCH($F408,계정대체기준!$D$77:$D$86,0))),"Y","N")))</f>
        <v/>
      </c>
    </row>
    <row r="409">
      <c r="A409" s="92" t="n">
        <v>2025</v>
      </c>
      <c r="B409" s="92" t="n">
        <v>2</v>
      </c>
      <c r="C409" s="92" t="inlineStr">
        <is>
          <t>5100000405</t>
        </is>
      </c>
      <c r="D409" s="95" t="n">
        <v>45708</v>
      </c>
      <c r="E409" s="92" t="inlineStr">
        <is>
          <t>KR</t>
        </is>
      </c>
      <c r="F409" s="92" t="n">
        <v>62102000</v>
      </c>
      <c r="G409" s="92" t="n">
        <v>1701</v>
      </c>
      <c r="H409" s="93" t="n">
        <v>56000</v>
      </c>
      <c r="I409" s="92" t="inlineStr">
        <is>
          <t>2월 해외출장 - N호텔</t>
        </is>
      </c>
      <c r="J409" s="92" t="inlineStr">
        <is>
          <t>V10009</t>
        </is>
      </c>
      <c r="K409" s="92" t="inlineStr">
        <is>
          <t>N호텔</t>
        </is>
      </c>
      <c r="M409" s="9">
        <f>IF($A409="","",VALUE($A409&amp;"")*12+VALUE($B409&amp;""))</f>
        <v/>
      </c>
      <c r="N409" s="64">
        <f>IF($A409="","",IFERROR(INDEX(부서매핑!$C$5:$C$504,MATCH($G409&amp;"",부서매핑!$A$5:$A$504,0)),"미매핑"))</f>
        <v/>
      </c>
      <c r="O409" s="9">
        <f>IF($A409="","",N409&amp;"|"&amp;$F409)</f>
        <v/>
      </c>
      <c r="P409" s="94">
        <f>IF($A409="",0,$H409*설정!$C$23)</f>
        <v/>
      </c>
      <c r="Q409" s="64">
        <f>IF($A409="","",IF(O409&lt;&gt;원인분석!$C$9,"",IF(AND(M409&gt;=원인분석!$C$10,M409&lt;=원인분석!$C$11),"당기",IF(AND(M409&gt;=원인분석!$C$12,M409&lt;=원인분석!$C$13),"비교",""))))</f>
        <v/>
      </c>
      <c r="R409" s="9">
        <f>IF(Q409="","",$K409&amp;"")</f>
        <v/>
      </c>
      <c r="S409" s="9">
        <f>IF(Q409="","",IF(MATCH(R409,$R$5:$R$100000,0)=ROW()-4,ROW(),""))</f>
        <v/>
      </c>
      <c r="T409" s="9">
        <f>IF(Q409="당기",ABS(P409)+ROW()/1000000000,"")</f>
        <v/>
      </c>
      <c r="U409" s="9">
        <f>IF(Q409="비교",ABS(P409)+ROW()/1000000000,"")</f>
        <v/>
      </c>
      <c r="V409" s="64">
        <f>IF($A409="","",IF(COUNTIF(변동분석!$E$7:$E$506,O409)&gt;0,"Y","N"))</f>
        <v/>
      </c>
      <c r="W409" s="64">
        <f>IF($A409="","",IFERROR(INDEX(계정매핑!$D$5:$D$504,MATCH($F409&amp;"",계정매핑!$A$5:$A$504,0)),"미매핑"))</f>
        <v/>
      </c>
      <c r="X409" s="9">
        <f>IF($A409="","",$F409&amp;"")</f>
        <v/>
      </c>
      <c r="Y409" s="94">
        <f>IF($A409="",0,IF(AE409="직접",IF(AF409="비귀속",$P409,0),$P409*(1-AG409)*IFERROR(INDEX(계정대체기준!$F$20:$F$49,MATCH($N409,계정대체기준!$A$20:$A$49,0)),1)))</f>
        <v/>
      </c>
      <c r="Z409" s="94">
        <f>IF($A409="",0,IF(AE409="직접",IF(AF409="신계약비",$P409,0),$P409*(1-AG409)*IFERROR(INDEX(계정대체기준!$C$20:$C$49,MATCH($N409,계정대체기준!$A$20:$A$49,0)),0)))</f>
        <v/>
      </c>
      <c r="AA409" s="94">
        <f>IF($A409="",0,IF(AE409="직접",IF(OR(AF409="유지비",AF409="손해조사비"),$P409,0),$P409*(1-AG409)*IFERROR(INDEX(계정대체기준!$D$20:$D$49,MATCH($N409,계정대체기준!$A$20:$A$49,0)),0)))</f>
        <v/>
      </c>
      <c r="AB409" s="94">
        <f>IF($A409="",0,IF(AE409="직접",IF(AF409="수금비",$P409,0),$P409*(1-AG409)*IFERROR(INDEX(계정대체기준!$E$20:$E$49,MATCH($N409,계정대체기준!$A$20:$A$49,0)),0)))</f>
        <v/>
      </c>
      <c r="AC409" s="9">
        <f>IF(AND($A409&lt;&gt;"",M409=설정!$C$20,Z409&gt;0),Z409+ROW()/1000000000,"")</f>
        <v/>
      </c>
      <c r="AD409" s="94">
        <f>IF($A409="",0,$P409*AG409)</f>
        <v/>
      </c>
      <c r="AE409" s="64">
        <f>IF($A409="","",IFERROR(INDEX(계정매핑!$E$5:$E$504,MATCH($F409&amp;"",계정매핑!$A$5:$A$504,0))&amp;"","공통비"))</f>
        <v/>
      </c>
      <c r="AF409" s="64">
        <f>IF($A409="","",IF(AE409="직접",IFERROR(INDEX(계정매핑!$F$5:$F$504,MATCH($F409&amp;"",계정매핑!$A$5:$A$504,0))&amp;"","비귀속"),""))</f>
        <v/>
      </c>
      <c r="AG409" s="96">
        <f>IF($A409="",0,IF(AND(AE409&lt;&gt;"직접",IFERROR(INDEX(계정매핑!$G$5:$G$504,MATCH($F409&amp;"",계정매핑!$A$5:$A$504,0))&amp;"","")="유지비",COUNTIF(계정대체기준!$A$6:$A$15,$N409)&gt;0),IFERROR(INDEX(계정대체기준!$E$6:$E$15,MATCH(VALUE($A409&amp;""),계정대체기준!$D$6:$D$15,0)),0),0))</f>
        <v/>
      </c>
      <c r="AH409" s="64">
        <f>IF($A409="","",IF(AD409=0,"",IF(OR(COUNTIF(계정대체기준!$A$77:$A$86,$N409)&gt;0,ISNUMBER(MATCH($X409,계정대체기준!$D$77:$D$86,0)),ISNUMBER(MATCH($F409,계정대체기준!$D$77:$D$86,0))),"Y","N")))</f>
        <v/>
      </c>
    </row>
    <row r="410">
      <c r="A410" s="92" t="n">
        <v>2025</v>
      </c>
      <c r="B410" s="92" t="n">
        <v>2</v>
      </c>
      <c r="C410" s="92" t="inlineStr">
        <is>
          <t>5100000406</t>
        </is>
      </c>
      <c r="D410" s="95" t="n">
        <v>45708</v>
      </c>
      <c r="E410" s="92" t="inlineStr">
        <is>
          <t>KR</t>
        </is>
      </c>
      <c r="F410" s="92" t="n">
        <v>62902000</v>
      </c>
      <c r="G410" s="92" t="n">
        <v>1801</v>
      </c>
      <c r="H410" s="93" t="n">
        <v>1834000</v>
      </c>
      <c r="I410" s="92" t="inlineStr">
        <is>
          <t>2월 콜 위탁 수수료(건별)</t>
        </is>
      </c>
      <c r="J410" s="92" t="inlineStr">
        <is>
          <t>V10016</t>
        </is>
      </c>
      <c r="K410" s="92" t="inlineStr">
        <is>
          <t>J콜센터</t>
        </is>
      </c>
      <c r="M410" s="9">
        <f>IF($A410="","",VALUE($A410&amp;"")*12+VALUE($B410&amp;""))</f>
        <v/>
      </c>
      <c r="N410" s="64">
        <f>IF($A410="","",IFERROR(INDEX(부서매핑!$C$5:$C$504,MATCH($G410&amp;"",부서매핑!$A$5:$A$504,0)),"미매핑"))</f>
        <v/>
      </c>
      <c r="O410" s="9">
        <f>IF($A410="","",N410&amp;"|"&amp;$F410)</f>
        <v/>
      </c>
      <c r="P410" s="94">
        <f>IF($A410="",0,$H410*설정!$C$23)</f>
        <v/>
      </c>
      <c r="Q410" s="64">
        <f>IF($A410="","",IF(O410&lt;&gt;원인분석!$C$9,"",IF(AND(M410&gt;=원인분석!$C$10,M410&lt;=원인분석!$C$11),"당기",IF(AND(M410&gt;=원인분석!$C$12,M410&lt;=원인분석!$C$13),"비교",""))))</f>
        <v/>
      </c>
      <c r="R410" s="9">
        <f>IF(Q410="","",$K410&amp;"")</f>
        <v/>
      </c>
      <c r="S410" s="9">
        <f>IF(Q410="","",IF(MATCH(R410,$R$5:$R$100000,0)=ROW()-4,ROW(),""))</f>
        <v/>
      </c>
      <c r="T410" s="9">
        <f>IF(Q410="당기",ABS(P410)+ROW()/1000000000,"")</f>
        <v/>
      </c>
      <c r="U410" s="9">
        <f>IF(Q410="비교",ABS(P410)+ROW()/1000000000,"")</f>
        <v/>
      </c>
      <c r="V410" s="64">
        <f>IF($A410="","",IF(COUNTIF(변동분석!$E$7:$E$506,O410)&gt;0,"Y","N"))</f>
        <v/>
      </c>
      <c r="W410" s="64">
        <f>IF($A410="","",IFERROR(INDEX(계정매핑!$D$5:$D$504,MATCH($F410&amp;"",계정매핑!$A$5:$A$504,0)),"미매핑"))</f>
        <v/>
      </c>
      <c r="X410" s="9">
        <f>IF($A410="","",$F410&amp;"")</f>
        <v/>
      </c>
      <c r="Y410" s="94">
        <f>IF($A410="",0,IF(AE410="직접",IF(AF410="비귀속",$P410,0),$P410*(1-AG410)*IFERROR(INDEX(계정대체기준!$F$20:$F$49,MATCH($N410,계정대체기준!$A$20:$A$49,0)),1)))</f>
        <v/>
      </c>
      <c r="Z410" s="94">
        <f>IF($A410="",0,IF(AE410="직접",IF(AF410="신계약비",$P410,0),$P410*(1-AG410)*IFERROR(INDEX(계정대체기준!$C$20:$C$49,MATCH($N410,계정대체기준!$A$20:$A$49,0)),0)))</f>
        <v/>
      </c>
      <c r="AA410" s="94">
        <f>IF($A410="",0,IF(AE410="직접",IF(OR(AF410="유지비",AF410="손해조사비"),$P410,0),$P410*(1-AG410)*IFERROR(INDEX(계정대체기준!$D$20:$D$49,MATCH($N410,계정대체기준!$A$20:$A$49,0)),0)))</f>
        <v/>
      </c>
      <c r="AB410" s="94">
        <f>IF($A410="",0,IF(AE410="직접",IF(AF410="수금비",$P410,0),$P410*(1-AG410)*IFERROR(INDEX(계정대체기준!$E$20:$E$49,MATCH($N410,계정대체기준!$A$20:$A$49,0)),0)))</f>
        <v/>
      </c>
      <c r="AC410" s="9">
        <f>IF(AND($A410&lt;&gt;"",M410=설정!$C$20,Z410&gt;0),Z410+ROW()/1000000000,"")</f>
        <v/>
      </c>
      <c r="AD410" s="94">
        <f>IF($A410="",0,$P410*AG410)</f>
        <v/>
      </c>
      <c r="AE410" s="64">
        <f>IF($A410="","",IFERROR(INDEX(계정매핑!$E$5:$E$504,MATCH($F410&amp;"",계정매핑!$A$5:$A$504,0))&amp;"","공통비"))</f>
        <v/>
      </c>
      <c r="AF410" s="64">
        <f>IF($A410="","",IF(AE410="직접",IFERROR(INDEX(계정매핑!$F$5:$F$504,MATCH($F410&amp;"",계정매핑!$A$5:$A$504,0))&amp;"","비귀속"),""))</f>
        <v/>
      </c>
      <c r="AG410" s="96">
        <f>IF($A410="",0,IF(AND(AE410&lt;&gt;"직접",IFERROR(INDEX(계정매핑!$G$5:$G$504,MATCH($F410&amp;"",계정매핑!$A$5:$A$504,0))&amp;"","")="유지비",COUNTIF(계정대체기준!$A$6:$A$15,$N410)&gt;0),IFERROR(INDEX(계정대체기준!$E$6:$E$15,MATCH(VALUE($A410&amp;""),계정대체기준!$D$6:$D$15,0)),0),0))</f>
        <v/>
      </c>
      <c r="AH410" s="64">
        <f>IF($A410="","",IF(AD410=0,"",IF(OR(COUNTIF(계정대체기준!$A$77:$A$86,$N410)&gt;0,ISNUMBER(MATCH($X410,계정대체기준!$D$77:$D$86,0)),ISNUMBER(MATCH($F410,계정대체기준!$D$77:$D$86,0))),"Y","N")))</f>
        <v/>
      </c>
    </row>
    <row r="411">
      <c r="A411" s="92" t="n">
        <v>2025</v>
      </c>
      <c r="B411" s="92" t="n">
        <v>2</v>
      </c>
      <c r="C411" s="92" t="inlineStr">
        <is>
          <t>5100000407</t>
        </is>
      </c>
      <c r="D411" s="95" t="n">
        <v>45708</v>
      </c>
      <c r="E411" s="92" t="inlineStr">
        <is>
          <t>KR</t>
        </is>
      </c>
      <c r="F411" s="92" t="n">
        <v>63502000</v>
      </c>
      <c r="G411" s="92" t="n">
        <v>1901</v>
      </c>
      <c r="H411" s="93" t="n">
        <v>128729000</v>
      </c>
      <c r="I411" s="92" t="inlineStr">
        <is>
          <t>2월 유지수수료 - CC금융서비스</t>
        </is>
      </c>
      <c r="J411" s="92" t="inlineStr">
        <is>
          <t>V10029</t>
        </is>
      </c>
      <c r="K411" s="92" t="inlineStr">
        <is>
          <t>CC금융서비스</t>
        </is>
      </c>
      <c r="M411" s="9">
        <f>IF($A411="","",VALUE($A411&amp;"")*12+VALUE($B411&amp;""))</f>
        <v/>
      </c>
      <c r="N411" s="64">
        <f>IF($A411="","",IFERROR(INDEX(부서매핑!$C$5:$C$504,MATCH($G411&amp;"",부서매핑!$A$5:$A$504,0)),"미매핑"))</f>
        <v/>
      </c>
      <c r="O411" s="9">
        <f>IF($A411="","",N411&amp;"|"&amp;$F411)</f>
        <v/>
      </c>
      <c r="P411" s="94">
        <f>IF($A411="",0,$H411*설정!$C$23)</f>
        <v/>
      </c>
      <c r="Q411" s="64">
        <f>IF($A411="","",IF(O411&lt;&gt;원인분석!$C$9,"",IF(AND(M411&gt;=원인분석!$C$10,M411&lt;=원인분석!$C$11),"당기",IF(AND(M411&gt;=원인분석!$C$12,M411&lt;=원인분석!$C$13),"비교",""))))</f>
        <v/>
      </c>
      <c r="R411" s="9">
        <f>IF(Q411="","",$K411&amp;"")</f>
        <v/>
      </c>
      <c r="S411" s="9">
        <f>IF(Q411="","",IF(MATCH(R411,$R$5:$R$100000,0)=ROW()-4,ROW(),""))</f>
        <v/>
      </c>
      <c r="T411" s="9">
        <f>IF(Q411="당기",ABS(P411)+ROW()/1000000000,"")</f>
        <v/>
      </c>
      <c r="U411" s="9">
        <f>IF(Q411="비교",ABS(P411)+ROW()/1000000000,"")</f>
        <v/>
      </c>
      <c r="V411" s="64">
        <f>IF($A411="","",IF(COUNTIF(변동분석!$E$7:$E$506,O411)&gt;0,"Y","N"))</f>
        <v/>
      </c>
      <c r="W411" s="64">
        <f>IF($A411="","",IFERROR(INDEX(계정매핑!$D$5:$D$504,MATCH($F411&amp;"",계정매핑!$A$5:$A$504,0)),"미매핑"))</f>
        <v/>
      </c>
      <c r="X411" s="9">
        <f>IF($A411="","",$F411&amp;"")</f>
        <v/>
      </c>
      <c r="Y411" s="94">
        <f>IF($A411="",0,IF(AE411="직접",IF(AF411="비귀속",$P411,0),$P411*(1-AG411)*IFERROR(INDEX(계정대체기준!$F$20:$F$49,MATCH($N411,계정대체기준!$A$20:$A$49,0)),1)))</f>
        <v/>
      </c>
      <c r="Z411" s="94">
        <f>IF($A411="",0,IF(AE411="직접",IF(AF411="신계약비",$P411,0),$P411*(1-AG411)*IFERROR(INDEX(계정대체기준!$C$20:$C$49,MATCH($N411,계정대체기준!$A$20:$A$49,0)),0)))</f>
        <v/>
      </c>
      <c r="AA411" s="94">
        <f>IF($A411="",0,IF(AE411="직접",IF(OR(AF411="유지비",AF411="손해조사비"),$P411,0),$P411*(1-AG411)*IFERROR(INDEX(계정대체기준!$D$20:$D$49,MATCH($N411,계정대체기준!$A$20:$A$49,0)),0)))</f>
        <v/>
      </c>
      <c r="AB411" s="94">
        <f>IF($A411="",0,IF(AE411="직접",IF(AF411="수금비",$P411,0),$P411*(1-AG411)*IFERROR(INDEX(계정대체기준!$E$20:$E$49,MATCH($N411,계정대체기준!$A$20:$A$49,0)),0)))</f>
        <v/>
      </c>
      <c r="AC411" s="9">
        <f>IF(AND($A411&lt;&gt;"",M411=설정!$C$20,Z411&gt;0),Z411+ROW()/1000000000,"")</f>
        <v/>
      </c>
      <c r="AD411" s="94">
        <f>IF($A411="",0,$P411*AG411)</f>
        <v/>
      </c>
      <c r="AE411" s="64">
        <f>IF($A411="","",IFERROR(INDEX(계정매핑!$E$5:$E$504,MATCH($F411&amp;"",계정매핑!$A$5:$A$504,0))&amp;"","공통비"))</f>
        <v/>
      </c>
      <c r="AF411" s="64">
        <f>IF($A411="","",IF(AE411="직접",IFERROR(INDEX(계정매핑!$F$5:$F$504,MATCH($F411&amp;"",계정매핑!$A$5:$A$504,0))&amp;"","비귀속"),""))</f>
        <v/>
      </c>
      <c r="AG411" s="96">
        <f>IF($A411="",0,IF(AND(AE411&lt;&gt;"직접",IFERROR(INDEX(계정매핑!$G$5:$G$504,MATCH($F411&amp;"",계정매핑!$A$5:$A$504,0))&amp;"","")="유지비",COUNTIF(계정대체기준!$A$6:$A$15,$N411)&gt;0),IFERROR(INDEX(계정대체기준!$E$6:$E$15,MATCH(VALUE($A411&amp;""),계정대체기준!$D$6:$D$15,0)),0),0))</f>
        <v/>
      </c>
      <c r="AH411" s="64">
        <f>IF($A411="","",IF(AD411=0,"",IF(OR(COUNTIF(계정대체기준!$A$77:$A$86,$N411)&gt;0,ISNUMBER(MATCH($X411,계정대체기준!$D$77:$D$86,0)),ISNUMBER(MATCH($F411,계정대체기준!$D$77:$D$86,0))),"Y","N")))</f>
        <v/>
      </c>
    </row>
    <row r="412">
      <c r="A412" s="92" t="n">
        <v>2025</v>
      </c>
      <c r="B412" s="92" t="n">
        <v>2</v>
      </c>
      <c r="C412" s="92" t="inlineStr">
        <is>
          <t>5100000408</t>
        </is>
      </c>
      <c r="D412" s="95" t="n">
        <v>45709</v>
      </c>
      <c r="E412" s="92" t="inlineStr">
        <is>
          <t>KR</t>
        </is>
      </c>
      <c r="F412" s="92" t="n">
        <v>62101000</v>
      </c>
      <c r="G412" s="92" t="n">
        <v>1951</v>
      </c>
      <c r="H412" s="93" t="n">
        <v>318000</v>
      </c>
      <c r="I412" s="92" t="inlineStr">
        <is>
          <t>2월 국내출장 - (법인카드)</t>
        </is>
      </c>
      <c r="J412" s="92" t="inlineStr">
        <is>
          <t>V10010</t>
        </is>
      </c>
      <c r="K412" s="92" t="inlineStr">
        <is>
          <t>(법인카드)</t>
        </is>
      </c>
      <c r="M412" s="9">
        <f>IF($A412="","",VALUE($A412&amp;"")*12+VALUE($B412&amp;""))</f>
        <v/>
      </c>
      <c r="N412" s="64">
        <f>IF($A412="","",IFERROR(INDEX(부서매핑!$C$5:$C$504,MATCH($G412&amp;"",부서매핑!$A$5:$A$504,0)),"미매핑"))</f>
        <v/>
      </c>
      <c r="O412" s="9">
        <f>IF($A412="","",N412&amp;"|"&amp;$F412)</f>
        <v/>
      </c>
      <c r="P412" s="94">
        <f>IF($A412="",0,$H412*설정!$C$23)</f>
        <v/>
      </c>
      <c r="Q412" s="64">
        <f>IF($A412="","",IF(O412&lt;&gt;원인분석!$C$9,"",IF(AND(M412&gt;=원인분석!$C$10,M412&lt;=원인분석!$C$11),"당기",IF(AND(M412&gt;=원인분석!$C$12,M412&lt;=원인분석!$C$13),"비교",""))))</f>
        <v/>
      </c>
      <c r="R412" s="9">
        <f>IF(Q412="","",$K412&amp;"")</f>
        <v/>
      </c>
      <c r="S412" s="9">
        <f>IF(Q412="","",IF(MATCH(R412,$R$5:$R$100000,0)=ROW()-4,ROW(),""))</f>
        <v/>
      </c>
      <c r="T412" s="9">
        <f>IF(Q412="당기",ABS(P412)+ROW()/1000000000,"")</f>
        <v/>
      </c>
      <c r="U412" s="9">
        <f>IF(Q412="비교",ABS(P412)+ROW()/1000000000,"")</f>
        <v/>
      </c>
      <c r="V412" s="64">
        <f>IF($A412="","",IF(COUNTIF(변동분석!$E$7:$E$506,O412)&gt;0,"Y","N"))</f>
        <v/>
      </c>
      <c r="W412" s="64">
        <f>IF($A412="","",IFERROR(INDEX(계정매핑!$D$5:$D$504,MATCH($F412&amp;"",계정매핑!$A$5:$A$504,0)),"미매핑"))</f>
        <v/>
      </c>
      <c r="X412" s="9">
        <f>IF($A412="","",$F412&amp;"")</f>
        <v/>
      </c>
      <c r="Y412" s="94">
        <f>IF($A412="",0,IF(AE412="직접",IF(AF412="비귀속",$P412,0),$P412*(1-AG412)*IFERROR(INDEX(계정대체기준!$F$20:$F$49,MATCH($N412,계정대체기준!$A$20:$A$49,0)),1)))</f>
        <v/>
      </c>
      <c r="Z412" s="94">
        <f>IF($A412="",0,IF(AE412="직접",IF(AF412="신계약비",$P412,0),$P412*(1-AG412)*IFERROR(INDEX(계정대체기준!$C$20:$C$49,MATCH($N412,계정대체기준!$A$20:$A$49,0)),0)))</f>
        <v/>
      </c>
      <c r="AA412" s="94">
        <f>IF($A412="",0,IF(AE412="직접",IF(OR(AF412="유지비",AF412="손해조사비"),$P412,0),$P412*(1-AG412)*IFERROR(INDEX(계정대체기준!$D$20:$D$49,MATCH($N412,계정대체기준!$A$20:$A$49,0)),0)))</f>
        <v/>
      </c>
      <c r="AB412" s="94">
        <f>IF($A412="",0,IF(AE412="직접",IF(AF412="수금비",$P412,0),$P412*(1-AG412)*IFERROR(INDEX(계정대체기준!$E$20:$E$49,MATCH($N412,계정대체기준!$A$20:$A$49,0)),0)))</f>
        <v/>
      </c>
      <c r="AC412" s="9">
        <f>IF(AND($A412&lt;&gt;"",M412=설정!$C$20,Z412&gt;0),Z412+ROW()/1000000000,"")</f>
        <v/>
      </c>
      <c r="AD412" s="94">
        <f>IF($A412="",0,$P412*AG412)</f>
        <v/>
      </c>
      <c r="AE412" s="64">
        <f>IF($A412="","",IFERROR(INDEX(계정매핑!$E$5:$E$504,MATCH($F412&amp;"",계정매핑!$A$5:$A$504,0))&amp;"","공통비"))</f>
        <v/>
      </c>
      <c r="AF412" s="64">
        <f>IF($A412="","",IF(AE412="직접",IFERROR(INDEX(계정매핑!$F$5:$F$504,MATCH($F412&amp;"",계정매핑!$A$5:$A$504,0))&amp;"","비귀속"),""))</f>
        <v/>
      </c>
      <c r="AG412" s="96">
        <f>IF($A412="",0,IF(AND(AE412&lt;&gt;"직접",IFERROR(INDEX(계정매핑!$G$5:$G$504,MATCH($F412&amp;"",계정매핑!$A$5:$A$504,0))&amp;"","")="유지비",COUNTIF(계정대체기준!$A$6:$A$15,$N412)&gt;0),IFERROR(INDEX(계정대체기준!$E$6:$E$15,MATCH(VALUE($A412&amp;""),계정대체기준!$D$6:$D$15,0)),0),0))</f>
        <v/>
      </c>
      <c r="AH412" s="64">
        <f>IF($A412="","",IF(AD412=0,"",IF(OR(COUNTIF(계정대체기준!$A$77:$A$86,$N412)&gt;0,ISNUMBER(MATCH($X412,계정대체기준!$D$77:$D$86,0)),ISNUMBER(MATCH($F412,계정대체기준!$D$77:$D$86,0))),"Y","N")))</f>
        <v/>
      </c>
    </row>
    <row r="413">
      <c r="A413" s="92" t="n">
        <v>2025</v>
      </c>
      <c r="B413" s="92" t="n">
        <v>2</v>
      </c>
      <c r="C413" s="92" t="inlineStr">
        <is>
          <t>5100000409</t>
        </is>
      </c>
      <c r="D413" s="95" t="n">
        <v>45709</v>
      </c>
      <c r="E413" s="92" t="inlineStr">
        <is>
          <t>KR</t>
        </is>
      </c>
      <c r="F413" s="92" t="n">
        <v>62201000</v>
      </c>
      <c r="G413" s="92" t="n">
        <v>1101</v>
      </c>
      <c r="H413" s="93" t="n">
        <v>287000</v>
      </c>
      <c r="I413" s="92" t="inlineStr">
        <is>
          <t>2월 통신요금 - O텔레콤</t>
        </is>
      </c>
      <c r="J413" s="92" t="inlineStr">
        <is>
          <t>V10002</t>
        </is>
      </c>
      <c r="K413" s="92" t="inlineStr">
        <is>
          <t>O텔레콤</t>
        </is>
      </c>
      <c r="M413" s="9">
        <f>IF($A413="","",VALUE($A413&amp;"")*12+VALUE($B413&amp;""))</f>
        <v/>
      </c>
      <c r="N413" s="64">
        <f>IF($A413="","",IFERROR(INDEX(부서매핑!$C$5:$C$504,MATCH($G413&amp;"",부서매핑!$A$5:$A$504,0)),"미매핑"))</f>
        <v/>
      </c>
      <c r="O413" s="9">
        <f>IF($A413="","",N413&amp;"|"&amp;$F413)</f>
        <v/>
      </c>
      <c r="P413" s="94">
        <f>IF($A413="",0,$H413*설정!$C$23)</f>
        <v/>
      </c>
      <c r="Q413" s="64">
        <f>IF($A413="","",IF(O413&lt;&gt;원인분석!$C$9,"",IF(AND(M413&gt;=원인분석!$C$10,M413&lt;=원인분석!$C$11),"당기",IF(AND(M413&gt;=원인분석!$C$12,M413&lt;=원인분석!$C$13),"비교",""))))</f>
        <v/>
      </c>
      <c r="R413" s="9">
        <f>IF(Q413="","",$K413&amp;"")</f>
        <v/>
      </c>
      <c r="S413" s="9">
        <f>IF(Q413="","",IF(MATCH(R413,$R$5:$R$100000,0)=ROW()-4,ROW(),""))</f>
        <v/>
      </c>
      <c r="T413" s="9">
        <f>IF(Q413="당기",ABS(P413)+ROW()/1000000000,"")</f>
        <v/>
      </c>
      <c r="U413" s="9">
        <f>IF(Q413="비교",ABS(P413)+ROW()/1000000000,"")</f>
        <v/>
      </c>
      <c r="V413" s="64">
        <f>IF($A413="","",IF(COUNTIF(변동분석!$E$7:$E$506,O413)&gt;0,"Y","N"))</f>
        <v/>
      </c>
      <c r="W413" s="64">
        <f>IF($A413="","",IFERROR(INDEX(계정매핑!$D$5:$D$504,MATCH($F413&amp;"",계정매핑!$A$5:$A$504,0)),"미매핑"))</f>
        <v/>
      </c>
      <c r="X413" s="9">
        <f>IF($A413="","",$F413&amp;"")</f>
        <v/>
      </c>
      <c r="Y413" s="94">
        <f>IF($A413="",0,IF(AE413="직접",IF(AF413="비귀속",$P413,0),$P413*(1-AG413)*IFERROR(INDEX(계정대체기준!$F$20:$F$49,MATCH($N413,계정대체기준!$A$20:$A$49,0)),1)))</f>
        <v/>
      </c>
      <c r="Z413" s="94">
        <f>IF($A413="",0,IF(AE413="직접",IF(AF413="신계약비",$P413,0),$P413*(1-AG413)*IFERROR(INDEX(계정대체기준!$C$20:$C$49,MATCH($N413,계정대체기준!$A$20:$A$49,0)),0)))</f>
        <v/>
      </c>
      <c r="AA413" s="94">
        <f>IF($A413="",0,IF(AE413="직접",IF(OR(AF413="유지비",AF413="손해조사비"),$P413,0),$P413*(1-AG413)*IFERROR(INDEX(계정대체기준!$D$20:$D$49,MATCH($N413,계정대체기준!$A$20:$A$49,0)),0)))</f>
        <v/>
      </c>
      <c r="AB413" s="94">
        <f>IF($A413="",0,IF(AE413="직접",IF(AF413="수금비",$P413,0),$P413*(1-AG413)*IFERROR(INDEX(계정대체기준!$E$20:$E$49,MATCH($N413,계정대체기준!$A$20:$A$49,0)),0)))</f>
        <v/>
      </c>
      <c r="AC413" s="9">
        <f>IF(AND($A413&lt;&gt;"",M413=설정!$C$20,Z413&gt;0),Z413+ROW()/1000000000,"")</f>
        <v/>
      </c>
      <c r="AD413" s="94">
        <f>IF($A413="",0,$P413*AG413)</f>
        <v/>
      </c>
      <c r="AE413" s="64">
        <f>IF($A413="","",IFERROR(INDEX(계정매핑!$E$5:$E$504,MATCH($F413&amp;"",계정매핑!$A$5:$A$504,0))&amp;"","공통비"))</f>
        <v/>
      </c>
      <c r="AF413" s="64">
        <f>IF($A413="","",IF(AE413="직접",IFERROR(INDEX(계정매핑!$F$5:$F$504,MATCH($F413&amp;"",계정매핑!$A$5:$A$504,0))&amp;"","비귀속"),""))</f>
        <v/>
      </c>
      <c r="AG413" s="96">
        <f>IF($A413="",0,IF(AND(AE413&lt;&gt;"직접",IFERROR(INDEX(계정매핑!$G$5:$G$504,MATCH($F413&amp;"",계정매핑!$A$5:$A$504,0))&amp;"","")="유지비",COUNTIF(계정대체기준!$A$6:$A$15,$N413)&gt;0),IFERROR(INDEX(계정대체기준!$E$6:$E$15,MATCH(VALUE($A413&amp;""),계정대체기준!$D$6:$D$15,0)),0),0))</f>
        <v/>
      </c>
      <c r="AH413" s="64">
        <f>IF($A413="","",IF(AD413=0,"",IF(OR(COUNTIF(계정대체기준!$A$77:$A$86,$N413)&gt;0,ISNUMBER(MATCH($X413,계정대체기준!$D$77:$D$86,0)),ISNUMBER(MATCH($F413,계정대체기준!$D$77:$D$86,0))),"Y","N")))</f>
        <v/>
      </c>
    </row>
    <row r="414">
      <c r="A414" s="92" t="n">
        <v>2025</v>
      </c>
      <c r="B414" s="92" t="n">
        <v>2</v>
      </c>
      <c r="C414" s="92" t="inlineStr">
        <is>
          <t>5100000410</t>
        </is>
      </c>
      <c r="D414" s="95" t="n">
        <v>45709</v>
      </c>
      <c r="E414" s="92" t="inlineStr">
        <is>
          <t>KR</t>
        </is>
      </c>
      <c r="F414" s="92" t="n">
        <v>62301000</v>
      </c>
      <c r="G414" s="92" t="n">
        <v>1401</v>
      </c>
      <c r="H414" s="93" t="n">
        <v>104000</v>
      </c>
      <c r="I414" s="92" t="inlineStr">
        <is>
          <t>2월 소모품 구입 - R문구</t>
        </is>
      </c>
      <c r="J414" s="92" t="inlineStr">
        <is>
          <t>V10022</t>
        </is>
      </c>
      <c r="K414" s="92" t="inlineStr">
        <is>
          <t>R문구</t>
        </is>
      </c>
      <c r="M414" s="9">
        <f>IF($A414="","",VALUE($A414&amp;"")*12+VALUE($B414&amp;""))</f>
        <v/>
      </c>
      <c r="N414" s="64">
        <f>IF($A414="","",IFERROR(INDEX(부서매핑!$C$5:$C$504,MATCH($G414&amp;"",부서매핑!$A$5:$A$504,0)),"미매핑"))</f>
        <v/>
      </c>
      <c r="O414" s="9">
        <f>IF($A414="","",N414&amp;"|"&amp;$F414)</f>
        <v/>
      </c>
      <c r="P414" s="94">
        <f>IF($A414="",0,$H414*설정!$C$23)</f>
        <v/>
      </c>
      <c r="Q414" s="64">
        <f>IF($A414="","",IF(O414&lt;&gt;원인분석!$C$9,"",IF(AND(M414&gt;=원인분석!$C$10,M414&lt;=원인분석!$C$11),"당기",IF(AND(M414&gt;=원인분석!$C$12,M414&lt;=원인분석!$C$13),"비교",""))))</f>
        <v/>
      </c>
      <c r="R414" s="9">
        <f>IF(Q414="","",$K414&amp;"")</f>
        <v/>
      </c>
      <c r="S414" s="9">
        <f>IF(Q414="","",IF(MATCH(R414,$R$5:$R$100000,0)=ROW()-4,ROW(),""))</f>
        <v/>
      </c>
      <c r="T414" s="9">
        <f>IF(Q414="당기",ABS(P414)+ROW()/1000000000,"")</f>
        <v/>
      </c>
      <c r="U414" s="9">
        <f>IF(Q414="비교",ABS(P414)+ROW()/1000000000,"")</f>
        <v/>
      </c>
      <c r="V414" s="64">
        <f>IF($A414="","",IF(COUNTIF(변동분석!$E$7:$E$506,O414)&gt;0,"Y","N"))</f>
        <v/>
      </c>
      <c r="W414" s="64">
        <f>IF($A414="","",IFERROR(INDEX(계정매핑!$D$5:$D$504,MATCH($F414&amp;"",계정매핑!$A$5:$A$504,0)),"미매핑"))</f>
        <v/>
      </c>
      <c r="X414" s="9">
        <f>IF($A414="","",$F414&amp;"")</f>
        <v/>
      </c>
      <c r="Y414" s="94">
        <f>IF($A414="",0,IF(AE414="직접",IF(AF414="비귀속",$P414,0),$P414*(1-AG414)*IFERROR(INDEX(계정대체기준!$F$20:$F$49,MATCH($N414,계정대체기준!$A$20:$A$49,0)),1)))</f>
        <v/>
      </c>
      <c r="Z414" s="94">
        <f>IF($A414="",0,IF(AE414="직접",IF(AF414="신계약비",$P414,0),$P414*(1-AG414)*IFERROR(INDEX(계정대체기준!$C$20:$C$49,MATCH($N414,계정대체기준!$A$20:$A$49,0)),0)))</f>
        <v/>
      </c>
      <c r="AA414" s="94">
        <f>IF($A414="",0,IF(AE414="직접",IF(OR(AF414="유지비",AF414="손해조사비"),$P414,0),$P414*(1-AG414)*IFERROR(INDEX(계정대체기준!$D$20:$D$49,MATCH($N414,계정대체기준!$A$20:$A$49,0)),0)))</f>
        <v/>
      </c>
      <c r="AB414" s="94">
        <f>IF($A414="",0,IF(AE414="직접",IF(AF414="수금비",$P414,0),$P414*(1-AG414)*IFERROR(INDEX(계정대체기준!$E$20:$E$49,MATCH($N414,계정대체기준!$A$20:$A$49,0)),0)))</f>
        <v/>
      </c>
      <c r="AC414" s="9">
        <f>IF(AND($A414&lt;&gt;"",M414=설정!$C$20,Z414&gt;0),Z414+ROW()/1000000000,"")</f>
        <v/>
      </c>
      <c r="AD414" s="94">
        <f>IF($A414="",0,$P414*AG414)</f>
        <v/>
      </c>
      <c r="AE414" s="64">
        <f>IF($A414="","",IFERROR(INDEX(계정매핑!$E$5:$E$504,MATCH($F414&amp;"",계정매핑!$A$5:$A$504,0))&amp;"","공통비"))</f>
        <v/>
      </c>
      <c r="AF414" s="64">
        <f>IF($A414="","",IF(AE414="직접",IFERROR(INDEX(계정매핑!$F$5:$F$504,MATCH($F414&amp;"",계정매핑!$A$5:$A$504,0))&amp;"","비귀속"),""))</f>
        <v/>
      </c>
      <c r="AG414" s="96">
        <f>IF($A414="",0,IF(AND(AE414&lt;&gt;"직접",IFERROR(INDEX(계정매핑!$G$5:$G$504,MATCH($F414&amp;"",계정매핑!$A$5:$A$504,0))&amp;"","")="유지비",COUNTIF(계정대체기준!$A$6:$A$15,$N414)&gt;0),IFERROR(INDEX(계정대체기준!$E$6:$E$15,MATCH(VALUE($A414&amp;""),계정대체기준!$D$6:$D$15,0)),0),0))</f>
        <v/>
      </c>
      <c r="AH414" s="64">
        <f>IF($A414="","",IF(AD414=0,"",IF(OR(COUNTIF(계정대체기준!$A$77:$A$86,$N414)&gt;0,ISNUMBER(MATCH($X414,계정대체기준!$D$77:$D$86,0)),ISNUMBER(MATCH($F414,계정대체기준!$D$77:$D$86,0))),"Y","N")))</f>
        <v/>
      </c>
    </row>
    <row r="415">
      <c r="A415" s="92" t="n">
        <v>2025</v>
      </c>
      <c r="B415" s="92" t="n">
        <v>2</v>
      </c>
      <c r="C415" s="92" t="inlineStr">
        <is>
          <t>5100000411</t>
        </is>
      </c>
      <c r="D415" s="95" t="n">
        <v>45709</v>
      </c>
      <c r="E415" s="92" t="inlineStr">
        <is>
          <t>KR</t>
        </is>
      </c>
      <c r="F415" s="92" t="n">
        <v>62501000</v>
      </c>
      <c r="G415" s="92" t="n">
        <v>1201</v>
      </c>
      <c r="H415" s="93" t="n">
        <v>160000</v>
      </c>
      <c r="I415" s="92" t="inlineStr">
        <is>
          <t>2월 회의 다과 - (법인카드)</t>
        </is>
      </c>
      <c r="J415" s="92" t="inlineStr">
        <is>
          <t>V10010</t>
        </is>
      </c>
      <c r="K415" s="92" t="inlineStr">
        <is>
          <t>(법인카드)</t>
        </is>
      </c>
      <c r="M415" s="9">
        <f>IF($A415="","",VALUE($A415&amp;"")*12+VALUE($B415&amp;""))</f>
        <v/>
      </c>
      <c r="N415" s="64">
        <f>IF($A415="","",IFERROR(INDEX(부서매핑!$C$5:$C$504,MATCH($G415&amp;"",부서매핑!$A$5:$A$504,0)),"미매핑"))</f>
        <v/>
      </c>
      <c r="O415" s="9">
        <f>IF($A415="","",N415&amp;"|"&amp;$F415)</f>
        <v/>
      </c>
      <c r="P415" s="94">
        <f>IF($A415="",0,$H415*설정!$C$23)</f>
        <v/>
      </c>
      <c r="Q415" s="64">
        <f>IF($A415="","",IF(O415&lt;&gt;원인분석!$C$9,"",IF(AND(M415&gt;=원인분석!$C$10,M415&lt;=원인분석!$C$11),"당기",IF(AND(M415&gt;=원인분석!$C$12,M415&lt;=원인분석!$C$13),"비교",""))))</f>
        <v/>
      </c>
      <c r="R415" s="9">
        <f>IF(Q415="","",$K415&amp;"")</f>
        <v/>
      </c>
      <c r="S415" s="9">
        <f>IF(Q415="","",IF(MATCH(R415,$R$5:$R$100000,0)=ROW()-4,ROW(),""))</f>
        <v/>
      </c>
      <c r="T415" s="9">
        <f>IF(Q415="당기",ABS(P415)+ROW()/1000000000,"")</f>
        <v/>
      </c>
      <c r="U415" s="9">
        <f>IF(Q415="비교",ABS(P415)+ROW()/1000000000,"")</f>
        <v/>
      </c>
      <c r="V415" s="64">
        <f>IF($A415="","",IF(COUNTIF(변동분석!$E$7:$E$506,O415)&gt;0,"Y","N"))</f>
        <v/>
      </c>
      <c r="W415" s="64">
        <f>IF($A415="","",IFERROR(INDEX(계정매핑!$D$5:$D$504,MATCH($F415&amp;"",계정매핑!$A$5:$A$504,0)),"미매핑"))</f>
        <v/>
      </c>
      <c r="X415" s="9">
        <f>IF($A415="","",$F415&amp;"")</f>
        <v/>
      </c>
      <c r="Y415" s="94">
        <f>IF($A415="",0,IF(AE415="직접",IF(AF415="비귀속",$P415,0),$P415*(1-AG415)*IFERROR(INDEX(계정대체기준!$F$20:$F$49,MATCH($N415,계정대체기준!$A$20:$A$49,0)),1)))</f>
        <v/>
      </c>
      <c r="Z415" s="94">
        <f>IF($A415="",0,IF(AE415="직접",IF(AF415="신계약비",$P415,0),$P415*(1-AG415)*IFERROR(INDEX(계정대체기준!$C$20:$C$49,MATCH($N415,계정대체기준!$A$20:$A$49,0)),0)))</f>
        <v/>
      </c>
      <c r="AA415" s="94">
        <f>IF($A415="",0,IF(AE415="직접",IF(OR(AF415="유지비",AF415="손해조사비"),$P415,0),$P415*(1-AG415)*IFERROR(INDEX(계정대체기준!$D$20:$D$49,MATCH($N415,계정대체기준!$A$20:$A$49,0)),0)))</f>
        <v/>
      </c>
      <c r="AB415" s="94">
        <f>IF($A415="",0,IF(AE415="직접",IF(AF415="수금비",$P415,0),$P415*(1-AG415)*IFERROR(INDEX(계정대체기준!$E$20:$E$49,MATCH($N415,계정대체기준!$A$20:$A$49,0)),0)))</f>
        <v/>
      </c>
      <c r="AC415" s="9">
        <f>IF(AND($A415&lt;&gt;"",M415=설정!$C$20,Z415&gt;0),Z415+ROW()/1000000000,"")</f>
        <v/>
      </c>
      <c r="AD415" s="94">
        <f>IF($A415="",0,$P415*AG415)</f>
        <v/>
      </c>
      <c r="AE415" s="64">
        <f>IF($A415="","",IFERROR(INDEX(계정매핑!$E$5:$E$504,MATCH($F415&amp;"",계정매핑!$A$5:$A$504,0))&amp;"","공통비"))</f>
        <v/>
      </c>
      <c r="AF415" s="64">
        <f>IF($A415="","",IF(AE415="직접",IFERROR(INDEX(계정매핑!$F$5:$F$504,MATCH($F415&amp;"",계정매핑!$A$5:$A$504,0))&amp;"","비귀속"),""))</f>
        <v/>
      </c>
      <c r="AG415" s="96">
        <f>IF($A415="",0,IF(AND(AE415&lt;&gt;"직접",IFERROR(INDEX(계정매핑!$G$5:$G$504,MATCH($F415&amp;"",계정매핑!$A$5:$A$504,0))&amp;"","")="유지비",COUNTIF(계정대체기준!$A$6:$A$15,$N415)&gt;0),IFERROR(INDEX(계정대체기준!$E$6:$E$15,MATCH(VALUE($A415&amp;""),계정대체기준!$D$6:$D$15,0)),0),0))</f>
        <v/>
      </c>
      <c r="AH415" s="64">
        <f>IF($A415="","",IF(AD415=0,"",IF(OR(COUNTIF(계정대체기준!$A$77:$A$86,$N415)&gt;0,ISNUMBER(MATCH($X415,계정대체기준!$D$77:$D$86,0)),ISNUMBER(MATCH($F415,계정대체기준!$D$77:$D$86,0))),"Y","N")))</f>
        <v/>
      </c>
    </row>
    <row r="416">
      <c r="A416" s="92" t="n">
        <v>2025</v>
      </c>
      <c r="B416" s="92" t="n">
        <v>2</v>
      </c>
      <c r="C416" s="92" t="inlineStr">
        <is>
          <t>5100000412</t>
        </is>
      </c>
      <c r="D416" s="95" t="n">
        <v>45709</v>
      </c>
      <c r="E416" s="92" t="inlineStr">
        <is>
          <t>KR</t>
        </is>
      </c>
      <c r="F416" s="92" t="n">
        <v>62701000</v>
      </c>
      <c r="G416" s="92" t="n">
        <v>1502</v>
      </c>
      <c r="H416" s="93" t="n">
        <v>40983000</v>
      </c>
      <c r="I416" s="92" t="inlineStr">
        <is>
          <t>2월 광고 집행 - E미디어</t>
        </is>
      </c>
      <c r="J416" s="92" t="inlineStr">
        <is>
          <t>V10033</t>
        </is>
      </c>
      <c r="K416" s="92" t="inlineStr">
        <is>
          <t>E미디어</t>
        </is>
      </c>
      <c r="M416" s="9">
        <f>IF($A416="","",VALUE($A416&amp;"")*12+VALUE($B416&amp;""))</f>
        <v/>
      </c>
      <c r="N416" s="64">
        <f>IF($A416="","",IFERROR(INDEX(부서매핑!$C$5:$C$504,MATCH($G416&amp;"",부서매핑!$A$5:$A$504,0)),"미매핑"))</f>
        <v/>
      </c>
      <c r="O416" s="9">
        <f>IF($A416="","",N416&amp;"|"&amp;$F416)</f>
        <v/>
      </c>
      <c r="P416" s="94">
        <f>IF($A416="",0,$H416*설정!$C$23)</f>
        <v/>
      </c>
      <c r="Q416" s="64">
        <f>IF($A416="","",IF(O416&lt;&gt;원인분석!$C$9,"",IF(AND(M416&gt;=원인분석!$C$10,M416&lt;=원인분석!$C$11),"당기",IF(AND(M416&gt;=원인분석!$C$12,M416&lt;=원인분석!$C$13),"비교",""))))</f>
        <v/>
      </c>
      <c r="R416" s="9">
        <f>IF(Q416="","",$K416&amp;"")</f>
        <v/>
      </c>
      <c r="S416" s="9">
        <f>IF(Q416="","",IF(MATCH(R416,$R$5:$R$100000,0)=ROW()-4,ROW(),""))</f>
        <v/>
      </c>
      <c r="T416" s="9">
        <f>IF(Q416="당기",ABS(P416)+ROW()/1000000000,"")</f>
        <v/>
      </c>
      <c r="U416" s="9">
        <f>IF(Q416="비교",ABS(P416)+ROW()/1000000000,"")</f>
        <v/>
      </c>
      <c r="V416" s="64">
        <f>IF($A416="","",IF(COUNTIF(변동분석!$E$7:$E$506,O416)&gt;0,"Y","N"))</f>
        <v/>
      </c>
      <c r="W416" s="64">
        <f>IF($A416="","",IFERROR(INDEX(계정매핑!$D$5:$D$504,MATCH($F416&amp;"",계정매핑!$A$5:$A$504,0)),"미매핑"))</f>
        <v/>
      </c>
      <c r="X416" s="9">
        <f>IF($A416="","",$F416&amp;"")</f>
        <v/>
      </c>
      <c r="Y416" s="94">
        <f>IF($A416="",0,IF(AE416="직접",IF(AF416="비귀속",$P416,0),$P416*(1-AG416)*IFERROR(INDEX(계정대체기준!$F$20:$F$49,MATCH($N416,계정대체기준!$A$20:$A$49,0)),1)))</f>
        <v/>
      </c>
      <c r="Z416" s="94">
        <f>IF($A416="",0,IF(AE416="직접",IF(AF416="신계약비",$P416,0),$P416*(1-AG416)*IFERROR(INDEX(계정대체기준!$C$20:$C$49,MATCH($N416,계정대체기준!$A$20:$A$49,0)),0)))</f>
        <v/>
      </c>
      <c r="AA416" s="94">
        <f>IF($A416="",0,IF(AE416="직접",IF(OR(AF416="유지비",AF416="손해조사비"),$P416,0),$P416*(1-AG416)*IFERROR(INDEX(계정대체기준!$D$20:$D$49,MATCH($N416,계정대체기준!$A$20:$A$49,0)),0)))</f>
        <v/>
      </c>
      <c r="AB416" s="94">
        <f>IF($A416="",0,IF(AE416="직접",IF(AF416="수금비",$P416,0),$P416*(1-AG416)*IFERROR(INDEX(계정대체기준!$E$20:$E$49,MATCH($N416,계정대체기준!$A$20:$A$49,0)),0)))</f>
        <v/>
      </c>
      <c r="AC416" s="9">
        <f>IF(AND($A416&lt;&gt;"",M416=설정!$C$20,Z416&gt;0),Z416+ROW()/1000000000,"")</f>
        <v/>
      </c>
      <c r="AD416" s="94">
        <f>IF($A416="",0,$P416*AG416)</f>
        <v/>
      </c>
      <c r="AE416" s="64">
        <f>IF($A416="","",IFERROR(INDEX(계정매핑!$E$5:$E$504,MATCH($F416&amp;"",계정매핑!$A$5:$A$504,0))&amp;"","공통비"))</f>
        <v/>
      </c>
      <c r="AF416" s="64">
        <f>IF($A416="","",IF(AE416="직접",IFERROR(INDEX(계정매핑!$F$5:$F$504,MATCH($F416&amp;"",계정매핑!$A$5:$A$504,0))&amp;"","비귀속"),""))</f>
        <v/>
      </c>
      <c r="AG416" s="96">
        <f>IF($A416="",0,IF(AND(AE416&lt;&gt;"직접",IFERROR(INDEX(계정매핑!$G$5:$G$504,MATCH($F416&amp;"",계정매핑!$A$5:$A$504,0))&amp;"","")="유지비",COUNTIF(계정대체기준!$A$6:$A$15,$N416)&gt;0),IFERROR(INDEX(계정대체기준!$E$6:$E$15,MATCH(VALUE($A416&amp;""),계정대체기준!$D$6:$D$15,0)),0),0))</f>
        <v/>
      </c>
      <c r="AH416" s="64">
        <f>IF($A416="","",IF(AD416=0,"",IF(OR(COUNTIF(계정대체기준!$A$77:$A$86,$N416)&gt;0,ISNUMBER(MATCH($X416,계정대체기준!$D$77:$D$86,0)),ISNUMBER(MATCH($F416,계정대체기준!$D$77:$D$86,0))),"Y","N")))</f>
        <v/>
      </c>
    </row>
    <row r="417">
      <c r="A417" s="92" t="n">
        <v>2025</v>
      </c>
      <c r="B417" s="92" t="n">
        <v>2</v>
      </c>
      <c r="C417" s="92" t="inlineStr">
        <is>
          <t>5100000413</t>
        </is>
      </c>
      <c r="D417" s="95" t="n">
        <v>45709</v>
      </c>
      <c r="E417" s="92" t="inlineStr">
        <is>
          <t>KR</t>
        </is>
      </c>
      <c r="F417" s="92" t="n">
        <v>62902000</v>
      </c>
      <c r="G417" s="92" t="n">
        <v>1401</v>
      </c>
      <c r="H417" s="93" t="n">
        <v>2488000</v>
      </c>
      <c r="I417" s="92" t="inlineStr">
        <is>
          <t>2월 업무 위탁 수수료 - J콜센터</t>
        </is>
      </c>
      <c r="J417" s="92" t="inlineStr">
        <is>
          <t>V10016</t>
        </is>
      </c>
      <c r="K417" s="92" t="inlineStr">
        <is>
          <t>J콜센터</t>
        </is>
      </c>
      <c r="M417" s="9">
        <f>IF($A417="","",VALUE($A417&amp;"")*12+VALUE($B417&amp;""))</f>
        <v/>
      </c>
      <c r="N417" s="64">
        <f>IF($A417="","",IFERROR(INDEX(부서매핑!$C$5:$C$504,MATCH($G417&amp;"",부서매핑!$A$5:$A$504,0)),"미매핑"))</f>
        <v/>
      </c>
      <c r="O417" s="9">
        <f>IF($A417="","",N417&amp;"|"&amp;$F417)</f>
        <v/>
      </c>
      <c r="P417" s="94">
        <f>IF($A417="",0,$H417*설정!$C$23)</f>
        <v/>
      </c>
      <c r="Q417" s="64">
        <f>IF($A417="","",IF(O417&lt;&gt;원인분석!$C$9,"",IF(AND(M417&gt;=원인분석!$C$10,M417&lt;=원인분석!$C$11),"당기",IF(AND(M417&gt;=원인분석!$C$12,M417&lt;=원인분석!$C$13),"비교",""))))</f>
        <v/>
      </c>
      <c r="R417" s="9">
        <f>IF(Q417="","",$K417&amp;"")</f>
        <v/>
      </c>
      <c r="S417" s="9">
        <f>IF(Q417="","",IF(MATCH(R417,$R$5:$R$100000,0)=ROW()-4,ROW(),""))</f>
        <v/>
      </c>
      <c r="T417" s="9">
        <f>IF(Q417="당기",ABS(P417)+ROW()/1000000000,"")</f>
        <v/>
      </c>
      <c r="U417" s="9">
        <f>IF(Q417="비교",ABS(P417)+ROW()/1000000000,"")</f>
        <v/>
      </c>
      <c r="V417" s="64">
        <f>IF($A417="","",IF(COUNTIF(변동분석!$E$7:$E$506,O417)&gt;0,"Y","N"))</f>
        <v/>
      </c>
      <c r="W417" s="64">
        <f>IF($A417="","",IFERROR(INDEX(계정매핑!$D$5:$D$504,MATCH($F417&amp;"",계정매핑!$A$5:$A$504,0)),"미매핑"))</f>
        <v/>
      </c>
      <c r="X417" s="9">
        <f>IF($A417="","",$F417&amp;"")</f>
        <v/>
      </c>
      <c r="Y417" s="94">
        <f>IF($A417="",0,IF(AE417="직접",IF(AF417="비귀속",$P417,0),$P417*(1-AG417)*IFERROR(INDEX(계정대체기준!$F$20:$F$49,MATCH($N417,계정대체기준!$A$20:$A$49,0)),1)))</f>
        <v/>
      </c>
      <c r="Z417" s="94">
        <f>IF($A417="",0,IF(AE417="직접",IF(AF417="신계약비",$P417,0),$P417*(1-AG417)*IFERROR(INDEX(계정대체기준!$C$20:$C$49,MATCH($N417,계정대체기준!$A$20:$A$49,0)),0)))</f>
        <v/>
      </c>
      <c r="AA417" s="94">
        <f>IF($A417="",0,IF(AE417="직접",IF(OR(AF417="유지비",AF417="손해조사비"),$P417,0),$P417*(1-AG417)*IFERROR(INDEX(계정대체기준!$D$20:$D$49,MATCH($N417,계정대체기준!$A$20:$A$49,0)),0)))</f>
        <v/>
      </c>
      <c r="AB417" s="94">
        <f>IF($A417="",0,IF(AE417="직접",IF(AF417="수금비",$P417,0),$P417*(1-AG417)*IFERROR(INDEX(계정대체기준!$E$20:$E$49,MATCH($N417,계정대체기준!$A$20:$A$49,0)),0)))</f>
        <v/>
      </c>
      <c r="AC417" s="9">
        <f>IF(AND($A417&lt;&gt;"",M417=설정!$C$20,Z417&gt;0),Z417+ROW()/1000000000,"")</f>
        <v/>
      </c>
      <c r="AD417" s="94">
        <f>IF($A417="",0,$P417*AG417)</f>
        <v/>
      </c>
      <c r="AE417" s="64">
        <f>IF($A417="","",IFERROR(INDEX(계정매핑!$E$5:$E$504,MATCH($F417&amp;"",계정매핑!$A$5:$A$504,0))&amp;"","공통비"))</f>
        <v/>
      </c>
      <c r="AF417" s="64">
        <f>IF($A417="","",IF(AE417="직접",IFERROR(INDEX(계정매핑!$F$5:$F$504,MATCH($F417&amp;"",계정매핑!$A$5:$A$504,0))&amp;"","비귀속"),""))</f>
        <v/>
      </c>
      <c r="AG417" s="96">
        <f>IF($A417="",0,IF(AND(AE417&lt;&gt;"직접",IFERROR(INDEX(계정매핑!$G$5:$G$504,MATCH($F417&amp;"",계정매핑!$A$5:$A$504,0))&amp;"","")="유지비",COUNTIF(계정대체기준!$A$6:$A$15,$N417)&gt;0),IFERROR(INDEX(계정대체기준!$E$6:$E$15,MATCH(VALUE($A417&amp;""),계정대체기준!$D$6:$D$15,0)),0),0))</f>
        <v/>
      </c>
      <c r="AH417" s="64">
        <f>IF($A417="","",IF(AD417=0,"",IF(OR(COUNTIF(계정대체기준!$A$77:$A$86,$N417)&gt;0,ISNUMBER(MATCH($X417,계정대체기준!$D$77:$D$86,0)),ISNUMBER(MATCH($F417,계정대체기준!$D$77:$D$86,0))),"Y","N")))</f>
        <v/>
      </c>
    </row>
    <row r="418">
      <c r="A418" s="92" t="n">
        <v>2025</v>
      </c>
      <c r="B418" s="92" t="n">
        <v>2</v>
      </c>
      <c r="C418" s="92" t="inlineStr">
        <is>
          <t>5100000414</t>
        </is>
      </c>
      <c r="D418" s="95" t="n">
        <v>45710</v>
      </c>
      <c r="E418" s="92" t="inlineStr">
        <is>
          <t>KR</t>
        </is>
      </c>
      <c r="F418" s="92" t="n">
        <v>62101000</v>
      </c>
      <c r="G418" s="92" t="n">
        <v>1501</v>
      </c>
      <c r="H418" s="93" t="n">
        <v>573000</v>
      </c>
      <c r="I418" s="92" t="inlineStr">
        <is>
          <t>2월 국내출장 - M항공</t>
        </is>
      </c>
      <c r="J418" s="92" t="inlineStr">
        <is>
          <t>V10001</t>
        </is>
      </c>
      <c r="K418" s="92" t="inlineStr">
        <is>
          <t>M항공</t>
        </is>
      </c>
      <c r="M418" s="9">
        <f>IF($A418="","",VALUE($A418&amp;"")*12+VALUE($B418&amp;""))</f>
        <v/>
      </c>
      <c r="N418" s="64">
        <f>IF($A418="","",IFERROR(INDEX(부서매핑!$C$5:$C$504,MATCH($G418&amp;"",부서매핑!$A$5:$A$504,0)),"미매핑"))</f>
        <v/>
      </c>
      <c r="O418" s="9">
        <f>IF($A418="","",N418&amp;"|"&amp;$F418)</f>
        <v/>
      </c>
      <c r="P418" s="94">
        <f>IF($A418="",0,$H418*설정!$C$23)</f>
        <v/>
      </c>
      <c r="Q418" s="64">
        <f>IF($A418="","",IF(O418&lt;&gt;원인분석!$C$9,"",IF(AND(M418&gt;=원인분석!$C$10,M418&lt;=원인분석!$C$11),"당기",IF(AND(M418&gt;=원인분석!$C$12,M418&lt;=원인분석!$C$13),"비교",""))))</f>
        <v/>
      </c>
      <c r="R418" s="9">
        <f>IF(Q418="","",$K418&amp;"")</f>
        <v/>
      </c>
      <c r="S418" s="9">
        <f>IF(Q418="","",IF(MATCH(R418,$R$5:$R$100000,0)=ROW()-4,ROW(),""))</f>
        <v/>
      </c>
      <c r="T418" s="9">
        <f>IF(Q418="당기",ABS(P418)+ROW()/1000000000,"")</f>
        <v/>
      </c>
      <c r="U418" s="9">
        <f>IF(Q418="비교",ABS(P418)+ROW()/1000000000,"")</f>
        <v/>
      </c>
      <c r="V418" s="64">
        <f>IF($A418="","",IF(COUNTIF(변동분석!$E$7:$E$506,O418)&gt;0,"Y","N"))</f>
        <v/>
      </c>
      <c r="W418" s="64">
        <f>IF($A418="","",IFERROR(INDEX(계정매핑!$D$5:$D$504,MATCH($F418&amp;"",계정매핑!$A$5:$A$504,0)),"미매핑"))</f>
        <v/>
      </c>
      <c r="X418" s="9">
        <f>IF($A418="","",$F418&amp;"")</f>
        <v/>
      </c>
      <c r="Y418" s="94">
        <f>IF($A418="",0,IF(AE418="직접",IF(AF418="비귀속",$P418,0),$P418*(1-AG418)*IFERROR(INDEX(계정대체기준!$F$20:$F$49,MATCH($N418,계정대체기준!$A$20:$A$49,0)),1)))</f>
        <v/>
      </c>
      <c r="Z418" s="94">
        <f>IF($A418="",0,IF(AE418="직접",IF(AF418="신계약비",$P418,0),$P418*(1-AG418)*IFERROR(INDEX(계정대체기준!$C$20:$C$49,MATCH($N418,계정대체기준!$A$20:$A$49,0)),0)))</f>
        <v/>
      </c>
      <c r="AA418" s="94">
        <f>IF($A418="",0,IF(AE418="직접",IF(OR(AF418="유지비",AF418="손해조사비"),$P418,0),$P418*(1-AG418)*IFERROR(INDEX(계정대체기준!$D$20:$D$49,MATCH($N418,계정대체기준!$A$20:$A$49,0)),0)))</f>
        <v/>
      </c>
      <c r="AB418" s="94">
        <f>IF($A418="",0,IF(AE418="직접",IF(AF418="수금비",$P418,0),$P418*(1-AG418)*IFERROR(INDEX(계정대체기준!$E$20:$E$49,MATCH($N418,계정대체기준!$A$20:$A$49,0)),0)))</f>
        <v/>
      </c>
      <c r="AC418" s="9">
        <f>IF(AND($A418&lt;&gt;"",M418=설정!$C$20,Z418&gt;0),Z418+ROW()/1000000000,"")</f>
        <v/>
      </c>
      <c r="AD418" s="94">
        <f>IF($A418="",0,$P418*AG418)</f>
        <v/>
      </c>
      <c r="AE418" s="64">
        <f>IF($A418="","",IFERROR(INDEX(계정매핑!$E$5:$E$504,MATCH($F418&amp;"",계정매핑!$A$5:$A$504,0))&amp;"","공통비"))</f>
        <v/>
      </c>
      <c r="AF418" s="64">
        <f>IF($A418="","",IF(AE418="직접",IFERROR(INDEX(계정매핑!$F$5:$F$504,MATCH($F418&amp;"",계정매핑!$A$5:$A$504,0))&amp;"","비귀속"),""))</f>
        <v/>
      </c>
      <c r="AG418" s="96">
        <f>IF($A418="",0,IF(AND(AE418&lt;&gt;"직접",IFERROR(INDEX(계정매핑!$G$5:$G$504,MATCH($F418&amp;"",계정매핑!$A$5:$A$504,0))&amp;"","")="유지비",COUNTIF(계정대체기준!$A$6:$A$15,$N418)&gt;0),IFERROR(INDEX(계정대체기준!$E$6:$E$15,MATCH(VALUE($A418&amp;""),계정대체기준!$D$6:$D$15,0)),0),0))</f>
        <v/>
      </c>
      <c r="AH418" s="64">
        <f>IF($A418="","",IF(AD418=0,"",IF(OR(COUNTIF(계정대체기준!$A$77:$A$86,$N418)&gt;0,ISNUMBER(MATCH($X418,계정대체기준!$D$77:$D$86,0)),ISNUMBER(MATCH($F418,계정대체기준!$D$77:$D$86,0))),"Y","N")))</f>
        <v/>
      </c>
    </row>
    <row r="419">
      <c r="A419" s="92" t="n">
        <v>2025</v>
      </c>
      <c r="B419" s="92" t="n">
        <v>2</v>
      </c>
      <c r="C419" s="92" t="inlineStr">
        <is>
          <t>5100000415</t>
        </is>
      </c>
      <c r="D419" s="95" t="n">
        <v>45710</v>
      </c>
      <c r="E419" s="92" t="inlineStr">
        <is>
          <t>KR</t>
        </is>
      </c>
      <c r="F419" s="92" t="n">
        <v>62101000</v>
      </c>
      <c r="G419" s="92" t="n">
        <v>1951</v>
      </c>
      <c r="H419" s="93" t="n">
        <v>452000</v>
      </c>
      <c r="I419" s="92" t="inlineStr">
        <is>
          <t>2월 국내출장 - M항공</t>
        </is>
      </c>
      <c r="J419" s="92" t="inlineStr">
        <is>
          <t>V10001</t>
        </is>
      </c>
      <c r="K419" s="92" t="inlineStr">
        <is>
          <t>M항공</t>
        </is>
      </c>
      <c r="M419" s="9">
        <f>IF($A419="","",VALUE($A419&amp;"")*12+VALUE($B419&amp;""))</f>
        <v/>
      </c>
      <c r="N419" s="64">
        <f>IF($A419="","",IFERROR(INDEX(부서매핑!$C$5:$C$504,MATCH($G419&amp;"",부서매핑!$A$5:$A$504,0)),"미매핑"))</f>
        <v/>
      </c>
      <c r="O419" s="9">
        <f>IF($A419="","",N419&amp;"|"&amp;$F419)</f>
        <v/>
      </c>
      <c r="P419" s="94">
        <f>IF($A419="",0,$H419*설정!$C$23)</f>
        <v/>
      </c>
      <c r="Q419" s="64">
        <f>IF($A419="","",IF(O419&lt;&gt;원인분석!$C$9,"",IF(AND(M419&gt;=원인분석!$C$10,M419&lt;=원인분석!$C$11),"당기",IF(AND(M419&gt;=원인분석!$C$12,M419&lt;=원인분석!$C$13),"비교",""))))</f>
        <v/>
      </c>
      <c r="R419" s="9">
        <f>IF(Q419="","",$K419&amp;"")</f>
        <v/>
      </c>
      <c r="S419" s="9">
        <f>IF(Q419="","",IF(MATCH(R419,$R$5:$R$100000,0)=ROW()-4,ROW(),""))</f>
        <v/>
      </c>
      <c r="T419" s="9">
        <f>IF(Q419="당기",ABS(P419)+ROW()/1000000000,"")</f>
        <v/>
      </c>
      <c r="U419" s="9">
        <f>IF(Q419="비교",ABS(P419)+ROW()/1000000000,"")</f>
        <v/>
      </c>
      <c r="V419" s="64">
        <f>IF($A419="","",IF(COUNTIF(변동분석!$E$7:$E$506,O419)&gt;0,"Y","N"))</f>
        <v/>
      </c>
      <c r="W419" s="64">
        <f>IF($A419="","",IFERROR(INDEX(계정매핑!$D$5:$D$504,MATCH($F419&amp;"",계정매핑!$A$5:$A$504,0)),"미매핑"))</f>
        <v/>
      </c>
      <c r="X419" s="9">
        <f>IF($A419="","",$F419&amp;"")</f>
        <v/>
      </c>
      <c r="Y419" s="94">
        <f>IF($A419="",0,IF(AE419="직접",IF(AF419="비귀속",$P419,0),$P419*(1-AG419)*IFERROR(INDEX(계정대체기준!$F$20:$F$49,MATCH($N419,계정대체기준!$A$20:$A$49,0)),1)))</f>
        <v/>
      </c>
      <c r="Z419" s="94">
        <f>IF($A419="",0,IF(AE419="직접",IF(AF419="신계약비",$P419,0),$P419*(1-AG419)*IFERROR(INDEX(계정대체기준!$C$20:$C$49,MATCH($N419,계정대체기준!$A$20:$A$49,0)),0)))</f>
        <v/>
      </c>
      <c r="AA419" s="94">
        <f>IF($A419="",0,IF(AE419="직접",IF(OR(AF419="유지비",AF419="손해조사비"),$P419,0),$P419*(1-AG419)*IFERROR(INDEX(계정대체기준!$D$20:$D$49,MATCH($N419,계정대체기준!$A$20:$A$49,0)),0)))</f>
        <v/>
      </c>
      <c r="AB419" s="94">
        <f>IF($A419="",0,IF(AE419="직접",IF(AF419="수금비",$P419,0),$P419*(1-AG419)*IFERROR(INDEX(계정대체기준!$E$20:$E$49,MATCH($N419,계정대체기준!$A$20:$A$49,0)),0)))</f>
        <v/>
      </c>
      <c r="AC419" s="9">
        <f>IF(AND($A419&lt;&gt;"",M419=설정!$C$20,Z419&gt;0),Z419+ROW()/1000000000,"")</f>
        <v/>
      </c>
      <c r="AD419" s="94">
        <f>IF($A419="",0,$P419*AG419)</f>
        <v/>
      </c>
      <c r="AE419" s="64">
        <f>IF($A419="","",IFERROR(INDEX(계정매핑!$E$5:$E$504,MATCH($F419&amp;"",계정매핑!$A$5:$A$504,0))&amp;"","공통비"))</f>
        <v/>
      </c>
      <c r="AF419" s="64">
        <f>IF($A419="","",IF(AE419="직접",IFERROR(INDEX(계정매핑!$F$5:$F$504,MATCH($F419&amp;"",계정매핑!$A$5:$A$504,0))&amp;"","비귀속"),""))</f>
        <v/>
      </c>
      <c r="AG419" s="96">
        <f>IF($A419="",0,IF(AND(AE419&lt;&gt;"직접",IFERROR(INDEX(계정매핑!$G$5:$G$504,MATCH($F419&amp;"",계정매핑!$A$5:$A$504,0))&amp;"","")="유지비",COUNTIF(계정대체기준!$A$6:$A$15,$N419)&gt;0),IFERROR(INDEX(계정대체기준!$E$6:$E$15,MATCH(VALUE($A419&amp;""),계정대체기준!$D$6:$D$15,0)),0),0))</f>
        <v/>
      </c>
      <c r="AH419" s="64">
        <f>IF($A419="","",IF(AD419=0,"",IF(OR(COUNTIF(계정대체기준!$A$77:$A$86,$N419)&gt;0,ISNUMBER(MATCH($X419,계정대체기준!$D$77:$D$86,0)),ISNUMBER(MATCH($F419,계정대체기준!$D$77:$D$86,0))),"Y","N")))</f>
        <v/>
      </c>
    </row>
    <row r="420">
      <c r="A420" s="92" t="n">
        <v>2025</v>
      </c>
      <c r="B420" s="92" t="n">
        <v>2</v>
      </c>
      <c r="C420" s="92" t="inlineStr">
        <is>
          <t>5100000416</t>
        </is>
      </c>
      <c r="D420" s="95" t="n">
        <v>45710</v>
      </c>
      <c r="E420" s="92" t="inlineStr">
        <is>
          <t>KR</t>
        </is>
      </c>
      <c r="F420" s="92" t="n">
        <v>62201000</v>
      </c>
      <c r="G420" s="92" t="n">
        <v>1101</v>
      </c>
      <c r="H420" s="93" t="n">
        <v>216000</v>
      </c>
      <c r="I420" s="92" t="inlineStr">
        <is>
          <t>2월 통신요금 - P통신</t>
        </is>
      </c>
      <c r="J420" s="92" t="inlineStr">
        <is>
          <t>V10014</t>
        </is>
      </c>
      <c r="K420" s="92" t="inlineStr">
        <is>
          <t>P통신</t>
        </is>
      </c>
      <c r="M420" s="9">
        <f>IF($A420="","",VALUE($A420&amp;"")*12+VALUE($B420&amp;""))</f>
        <v/>
      </c>
      <c r="N420" s="64">
        <f>IF($A420="","",IFERROR(INDEX(부서매핑!$C$5:$C$504,MATCH($G420&amp;"",부서매핑!$A$5:$A$504,0)),"미매핑"))</f>
        <v/>
      </c>
      <c r="O420" s="9">
        <f>IF($A420="","",N420&amp;"|"&amp;$F420)</f>
        <v/>
      </c>
      <c r="P420" s="94">
        <f>IF($A420="",0,$H420*설정!$C$23)</f>
        <v/>
      </c>
      <c r="Q420" s="64">
        <f>IF($A420="","",IF(O420&lt;&gt;원인분석!$C$9,"",IF(AND(M420&gt;=원인분석!$C$10,M420&lt;=원인분석!$C$11),"당기",IF(AND(M420&gt;=원인분석!$C$12,M420&lt;=원인분석!$C$13),"비교",""))))</f>
        <v/>
      </c>
      <c r="R420" s="9">
        <f>IF(Q420="","",$K420&amp;"")</f>
        <v/>
      </c>
      <c r="S420" s="9">
        <f>IF(Q420="","",IF(MATCH(R420,$R$5:$R$100000,0)=ROW()-4,ROW(),""))</f>
        <v/>
      </c>
      <c r="T420" s="9">
        <f>IF(Q420="당기",ABS(P420)+ROW()/1000000000,"")</f>
        <v/>
      </c>
      <c r="U420" s="9">
        <f>IF(Q420="비교",ABS(P420)+ROW()/1000000000,"")</f>
        <v/>
      </c>
      <c r="V420" s="64">
        <f>IF($A420="","",IF(COUNTIF(변동분석!$E$7:$E$506,O420)&gt;0,"Y","N"))</f>
        <v/>
      </c>
      <c r="W420" s="64">
        <f>IF($A420="","",IFERROR(INDEX(계정매핑!$D$5:$D$504,MATCH($F420&amp;"",계정매핑!$A$5:$A$504,0)),"미매핑"))</f>
        <v/>
      </c>
      <c r="X420" s="9">
        <f>IF($A420="","",$F420&amp;"")</f>
        <v/>
      </c>
      <c r="Y420" s="94">
        <f>IF($A420="",0,IF(AE420="직접",IF(AF420="비귀속",$P420,0),$P420*(1-AG420)*IFERROR(INDEX(계정대체기준!$F$20:$F$49,MATCH($N420,계정대체기준!$A$20:$A$49,0)),1)))</f>
        <v/>
      </c>
      <c r="Z420" s="94">
        <f>IF($A420="",0,IF(AE420="직접",IF(AF420="신계약비",$P420,0),$P420*(1-AG420)*IFERROR(INDEX(계정대체기준!$C$20:$C$49,MATCH($N420,계정대체기준!$A$20:$A$49,0)),0)))</f>
        <v/>
      </c>
      <c r="AA420" s="94">
        <f>IF($A420="",0,IF(AE420="직접",IF(OR(AF420="유지비",AF420="손해조사비"),$P420,0),$P420*(1-AG420)*IFERROR(INDEX(계정대체기준!$D$20:$D$49,MATCH($N420,계정대체기준!$A$20:$A$49,0)),0)))</f>
        <v/>
      </c>
      <c r="AB420" s="94">
        <f>IF($A420="",0,IF(AE420="직접",IF(AF420="수금비",$P420,0),$P420*(1-AG420)*IFERROR(INDEX(계정대체기준!$E$20:$E$49,MATCH($N420,계정대체기준!$A$20:$A$49,0)),0)))</f>
        <v/>
      </c>
      <c r="AC420" s="9">
        <f>IF(AND($A420&lt;&gt;"",M420=설정!$C$20,Z420&gt;0),Z420+ROW()/1000000000,"")</f>
        <v/>
      </c>
      <c r="AD420" s="94">
        <f>IF($A420="",0,$P420*AG420)</f>
        <v/>
      </c>
      <c r="AE420" s="64">
        <f>IF($A420="","",IFERROR(INDEX(계정매핑!$E$5:$E$504,MATCH($F420&amp;"",계정매핑!$A$5:$A$504,0))&amp;"","공통비"))</f>
        <v/>
      </c>
      <c r="AF420" s="64">
        <f>IF($A420="","",IF(AE420="직접",IFERROR(INDEX(계정매핑!$F$5:$F$504,MATCH($F420&amp;"",계정매핑!$A$5:$A$504,0))&amp;"","비귀속"),""))</f>
        <v/>
      </c>
      <c r="AG420" s="96">
        <f>IF($A420="",0,IF(AND(AE420&lt;&gt;"직접",IFERROR(INDEX(계정매핑!$G$5:$G$504,MATCH($F420&amp;"",계정매핑!$A$5:$A$504,0))&amp;"","")="유지비",COUNTIF(계정대체기준!$A$6:$A$15,$N420)&gt;0),IFERROR(INDEX(계정대체기준!$E$6:$E$15,MATCH(VALUE($A420&amp;""),계정대체기준!$D$6:$D$15,0)),0),0))</f>
        <v/>
      </c>
      <c r="AH420" s="64">
        <f>IF($A420="","",IF(AD420=0,"",IF(OR(COUNTIF(계정대체기준!$A$77:$A$86,$N420)&gt;0,ISNUMBER(MATCH($X420,계정대체기준!$D$77:$D$86,0)),ISNUMBER(MATCH($F420,계정대체기준!$D$77:$D$86,0))),"Y","N")))</f>
        <v/>
      </c>
    </row>
    <row r="421">
      <c r="A421" s="92" t="n">
        <v>2025</v>
      </c>
      <c r="B421" s="92" t="n">
        <v>2</v>
      </c>
      <c r="C421" s="92" t="inlineStr">
        <is>
          <t>5100000417</t>
        </is>
      </c>
      <c r="D421" s="95" t="n">
        <v>45710</v>
      </c>
      <c r="E421" s="92" t="inlineStr">
        <is>
          <t>KR</t>
        </is>
      </c>
      <c r="F421" s="92" t="n">
        <v>62201000</v>
      </c>
      <c r="G421" s="92" t="n">
        <v>1951</v>
      </c>
      <c r="H421" s="93" t="n">
        <v>211000</v>
      </c>
      <c r="I421" s="92" t="inlineStr">
        <is>
          <t>2월 통신요금 - P통신</t>
        </is>
      </c>
      <c r="J421" s="92" t="inlineStr">
        <is>
          <t>V10014</t>
        </is>
      </c>
      <c r="K421" s="92" t="inlineStr">
        <is>
          <t>P통신</t>
        </is>
      </c>
      <c r="M421" s="9">
        <f>IF($A421="","",VALUE($A421&amp;"")*12+VALUE($B421&amp;""))</f>
        <v/>
      </c>
      <c r="N421" s="64">
        <f>IF($A421="","",IFERROR(INDEX(부서매핑!$C$5:$C$504,MATCH($G421&amp;"",부서매핑!$A$5:$A$504,0)),"미매핑"))</f>
        <v/>
      </c>
      <c r="O421" s="9">
        <f>IF($A421="","",N421&amp;"|"&amp;$F421)</f>
        <v/>
      </c>
      <c r="P421" s="94">
        <f>IF($A421="",0,$H421*설정!$C$23)</f>
        <v/>
      </c>
      <c r="Q421" s="64">
        <f>IF($A421="","",IF(O421&lt;&gt;원인분석!$C$9,"",IF(AND(M421&gt;=원인분석!$C$10,M421&lt;=원인분석!$C$11),"당기",IF(AND(M421&gt;=원인분석!$C$12,M421&lt;=원인분석!$C$13),"비교",""))))</f>
        <v/>
      </c>
      <c r="R421" s="9">
        <f>IF(Q421="","",$K421&amp;"")</f>
        <v/>
      </c>
      <c r="S421" s="9">
        <f>IF(Q421="","",IF(MATCH(R421,$R$5:$R$100000,0)=ROW()-4,ROW(),""))</f>
        <v/>
      </c>
      <c r="T421" s="9">
        <f>IF(Q421="당기",ABS(P421)+ROW()/1000000000,"")</f>
        <v/>
      </c>
      <c r="U421" s="9">
        <f>IF(Q421="비교",ABS(P421)+ROW()/1000000000,"")</f>
        <v/>
      </c>
      <c r="V421" s="64">
        <f>IF($A421="","",IF(COUNTIF(변동분석!$E$7:$E$506,O421)&gt;0,"Y","N"))</f>
        <v/>
      </c>
      <c r="W421" s="64">
        <f>IF($A421="","",IFERROR(INDEX(계정매핑!$D$5:$D$504,MATCH($F421&amp;"",계정매핑!$A$5:$A$504,0)),"미매핑"))</f>
        <v/>
      </c>
      <c r="X421" s="9">
        <f>IF($A421="","",$F421&amp;"")</f>
        <v/>
      </c>
      <c r="Y421" s="94">
        <f>IF($A421="",0,IF(AE421="직접",IF(AF421="비귀속",$P421,0),$P421*(1-AG421)*IFERROR(INDEX(계정대체기준!$F$20:$F$49,MATCH($N421,계정대체기준!$A$20:$A$49,0)),1)))</f>
        <v/>
      </c>
      <c r="Z421" s="94">
        <f>IF($A421="",0,IF(AE421="직접",IF(AF421="신계약비",$P421,0),$P421*(1-AG421)*IFERROR(INDEX(계정대체기준!$C$20:$C$49,MATCH($N421,계정대체기준!$A$20:$A$49,0)),0)))</f>
        <v/>
      </c>
      <c r="AA421" s="94">
        <f>IF($A421="",0,IF(AE421="직접",IF(OR(AF421="유지비",AF421="손해조사비"),$P421,0),$P421*(1-AG421)*IFERROR(INDEX(계정대체기준!$D$20:$D$49,MATCH($N421,계정대체기준!$A$20:$A$49,0)),0)))</f>
        <v/>
      </c>
      <c r="AB421" s="94">
        <f>IF($A421="",0,IF(AE421="직접",IF(AF421="수금비",$P421,0),$P421*(1-AG421)*IFERROR(INDEX(계정대체기준!$E$20:$E$49,MATCH($N421,계정대체기준!$A$20:$A$49,0)),0)))</f>
        <v/>
      </c>
      <c r="AC421" s="9">
        <f>IF(AND($A421&lt;&gt;"",M421=설정!$C$20,Z421&gt;0),Z421+ROW()/1000000000,"")</f>
        <v/>
      </c>
      <c r="AD421" s="94">
        <f>IF($A421="",0,$P421*AG421)</f>
        <v/>
      </c>
      <c r="AE421" s="64">
        <f>IF($A421="","",IFERROR(INDEX(계정매핑!$E$5:$E$504,MATCH($F421&amp;"",계정매핑!$A$5:$A$504,0))&amp;"","공통비"))</f>
        <v/>
      </c>
      <c r="AF421" s="64">
        <f>IF($A421="","",IF(AE421="직접",IFERROR(INDEX(계정매핑!$F$5:$F$504,MATCH($F421&amp;"",계정매핑!$A$5:$A$504,0))&amp;"","비귀속"),""))</f>
        <v/>
      </c>
      <c r="AG421" s="96">
        <f>IF($A421="",0,IF(AND(AE421&lt;&gt;"직접",IFERROR(INDEX(계정매핑!$G$5:$G$504,MATCH($F421&amp;"",계정매핑!$A$5:$A$504,0))&amp;"","")="유지비",COUNTIF(계정대체기준!$A$6:$A$15,$N421)&gt;0),IFERROR(INDEX(계정대체기준!$E$6:$E$15,MATCH(VALUE($A421&amp;""),계정대체기준!$D$6:$D$15,0)),0),0))</f>
        <v/>
      </c>
      <c r="AH421" s="64">
        <f>IF($A421="","",IF(AD421=0,"",IF(OR(COUNTIF(계정대체기준!$A$77:$A$86,$N421)&gt;0,ISNUMBER(MATCH($X421,계정대체기준!$D$77:$D$86,0)),ISNUMBER(MATCH($F421,계정대체기준!$D$77:$D$86,0))),"Y","N")))</f>
        <v/>
      </c>
    </row>
    <row r="422">
      <c r="A422" s="92" t="n">
        <v>2025</v>
      </c>
      <c r="B422" s="92" t="n">
        <v>2</v>
      </c>
      <c r="C422" s="92" t="inlineStr">
        <is>
          <t>5100000418</t>
        </is>
      </c>
      <c r="D422" s="95" t="n">
        <v>45710</v>
      </c>
      <c r="E422" s="92" t="inlineStr">
        <is>
          <t>KR</t>
        </is>
      </c>
      <c r="F422" s="92" t="n">
        <v>62501000</v>
      </c>
      <c r="G422" s="92" t="n">
        <v>1201</v>
      </c>
      <c r="H422" s="93" t="n">
        <v>149000</v>
      </c>
      <c r="I422" s="92" t="inlineStr">
        <is>
          <t>2월 회의 다과 - T케이터링</t>
        </is>
      </c>
      <c r="J422" s="92" t="inlineStr">
        <is>
          <t>V10005</t>
        </is>
      </c>
      <c r="K422" s="92" t="inlineStr">
        <is>
          <t>T케이터링</t>
        </is>
      </c>
      <c r="M422" s="9">
        <f>IF($A422="","",VALUE($A422&amp;"")*12+VALUE($B422&amp;""))</f>
        <v/>
      </c>
      <c r="N422" s="64">
        <f>IF($A422="","",IFERROR(INDEX(부서매핑!$C$5:$C$504,MATCH($G422&amp;"",부서매핑!$A$5:$A$504,0)),"미매핑"))</f>
        <v/>
      </c>
      <c r="O422" s="9">
        <f>IF($A422="","",N422&amp;"|"&amp;$F422)</f>
        <v/>
      </c>
      <c r="P422" s="94">
        <f>IF($A422="",0,$H422*설정!$C$23)</f>
        <v/>
      </c>
      <c r="Q422" s="64">
        <f>IF($A422="","",IF(O422&lt;&gt;원인분석!$C$9,"",IF(AND(M422&gt;=원인분석!$C$10,M422&lt;=원인분석!$C$11),"당기",IF(AND(M422&gt;=원인분석!$C$12,M422&lt;=원인분석!$C$13),"비교",""))))</f>
        <v/>
      </c>
      <c r="R422" s="9">
        <f>IF(Q422="","",$K422&amp;"")</f>
        <v/>
      </c>
      <c r="S422" s="9">
        <f>IF(Q422="","",IF(MATCH(R422,$R$5:$R$100000,0)=ROW()-4,ROW(),""))</f>
        <v/>
      </c>
      <c r="T422" s="9">
        <f>IF(Q422="당기",ABS(P422)+ROW()/1000000000,"")</f>
        <v/>
      </c>
      <c r="U422" s="9">
        <f>IF(Q422="비교",ABS(P422)+ROW()/1000000000,"")</f>
        <v/>
      </c>
      <c r="V422" s="64">
        <f>IF($A422="","",IF(COUNTIF(변동분석!$E$7:$E$506,O422)&gt;0,"Y","N"))</f>
        <v/>
      </c>
      <c r="W422" s="64">
        <f>IF($A422="","",IFERROR(INDEX(계정매핑!$D$5:$D$504,MATCH($F422&amp;"",계정매핑!$A$5:$A$504,0)),"미매핑"))</f>
        <v/>
      </c>
      <c r="X422" s="9">
        <f>IF($A422="","",$F422&amp;"")</f>
        <v/>
      </c>
      <c r="Y422" s="94">
        <f>IF($A422="",0,IF(AE422="직접",IF(AF422="비귀속",$P422,0),$P422*(1-AG422)*IFERROR(INDEX(계정대체기준!$F$20:$F$49,MATCH($N422,계정대체기준!$A$20:$A$49,0)),1)))</f>
        <v/>
      </c>
      <c r="Z422" s="94">
        <f>IF($A422="",0,IF(AE422="직접",IF(AF422="신계약비",$P422,0),$P422*(1-AG422)*IFERROR(INDEX(계정대체기준!$C$20:$C$49,MATCH($N422,계정대체기준!$A$20:$A$49,0)),0)))</f>
        <v/>
      </c>
      <c r="AA422" s="94">
        <f>IF($A422="",0,IF(AE422="직접",IF(OR(AF422="유지비",AF422="손해조사비"),$P422,0),$P422*(1-AG422)*IFERROR(INDEX(계정대체기준!$D$20:$D$49,MATCH($N422,계정대체기준!$A$20:$A$49,0)),0)))</f>
        <v/>
      </c>
      <c r="AB422" s="94">
        <f>IF($A422="",0,IF(AE422="직접",IF(AF422="수금비",$P422,0),$P422*(1-AG422)*IFERROR(INDEX(계정대체기준!$E$20:$E$49,MATCH($N422,계정대체기준!$A$20:$A$49,0)),0)))</f>
        <v/>
      </c>
      <c r="AC422" s="9">
        <f>IF(AND($A422&lt;&gt;"",M422=설정!$C$20,Z422&gt;0),Z422+ROW()/1000000000,"")</f>
        <v/>
      </c>
      <c r="AD422" s="94">
        <f>IF($A422="",0,$P422*AG422)</f>
        <v/>
      </c>
      <c r="AE422" s="64">
        <f>IF($A422="","",IFERROR(INDEX(계정매핑!$E$5:$E$504,MATCH($F422&amp;"",계정매핑!$A$5:$A$504,0))&amp;"","공통비"))</f>
        <v/>
      </c>
      <c r="AF422" s="64">
        <f>IF($A422="","",IF(AE422="직접",IFERROR(INDEX(계정매핑!$F$5:$F$504,MATCH($F422&amp;"",계정매핑!$A$5:$A$504,0))&amp;"","비귀속"),""))</f>
        <v/>
      </c>
      <c r="AG422" s="96">
        <f>IF($A422="",0,IF(AND(AE422&lt;&gt;"직접",IFERROR(INDEX(계정매핑!$G$5:$G$504,MATCH($F422&amp;"",계정매핑!$A$5:$A$504,0))&amp;"","")="유지비",COUNTIF(계정대체기준!$A$6:$A$15,$N422)&gt;0),IFERROR(INDEX(계정대체기준!$E$6:$E$15,MATCH(VALUE($A422&amp;""),계정대체기준!$D$6:$D$15,0)),0),0))</f>
        <v/>
      </c>
      <c r="AH422" s="64">
        <f>IF($A422="","",IF(AD422=0,"",IF(OR(COUNTIF(계정대체기준!$A$77:$A$86,$N422)&gt;0,ISNUMBER(MATCH($X422,계정대체기준!$D$77:$D$86,0)),ISNUMBER(MATCH($F422,계정대체기준!$D$77:$D$86,0))),"Y","N")))</f>
        <v/>
      </c>
    </row>
    <row r="423">
      <c r="A423" s="92" t="n">
        <v>2025</v>
      </c>
      <c r="B423" s="92" t="n">
        <v>2</v>
      </c>
      <c r="C423" s="92" t="inlineStr">
        <is>
          <t>5100000419</t>
        </is>
      </c>
      <c r="D423" s="95" t="n">
        <v>45710</v>
      </c>
      <c r="E423" s="92" t="inlineStr">
        <is>
          <t>KR</t>
        </is>
      </c>
      <c r="F423" s="92" t="n">
        <v>62501000</v>
      </c>
      <c r="G423" s="92" t="n">
        <v>1701</v>
      </c>
      <c r="H423" s="93" t="n">
        <v>179000</v>
      </c>
      <c r="I423" s="92" t="inlineStr">
        <is>
          <t>2월 회의 다과 - (법인카드)</t>
        </is>
      </c>
      <c r="J423" s="92" t="inlineStr">
        <is>
          <t>V10010</t>
        </is>
      </c>
      <c r="K423" s="92" t="inlineStr">
        <is>
          <t>(법인카드)</t>
        </is>
      </c>
      <c r="M423" s="9">
        <f>IF($A423="","",VALUE($A423&amp;"")*12+VALUE($B423&amp;""))</f>
        <v/>
      </c>
      <c r="N423" s="64">
        <f>IF($A423="","",IFERROR(INDEX(부서매핑!$C$5:$C$504,MATCH($G423&amp;"",부서매핑!$A$5:$A$504,0)),"미매핑"))</f>
        <v/>
      </c>
      <c r="O423" s="9">
        <f>IF($A423="","",N423&amp;"|"&amp;$F423)</f>
        <v/>
      </c>
      <c r="P423" s="94">
        <f>IF($A423="",0,$H423*설정!$C$23)</f>
        <v/>
      </c>
      <c r="Q423" s="64">
        <f>IF($A423="","",IF(O423&lt;&gt;원인분석!$C$9,"",IF(AND(M423&gt;=원인분석!$C$10,M423&lt;=원인분석!$C$11),"당기",IF(AND(M423&gt;=원인분석!$C$12,M423&lt;=원인분석!$C$13),"비교",""))))</f>
        <v/>
      </c>
      <c r="R423" s="9">
        <f>IF(Q423="","",$K423&amp;"")</f>
        <v/>
      </c>
      <c r="S423" s="9">
        <f>IF(Q423="","",IF(MATCH(R423,$R$5:$R$100000,0)=ROW()-4,ROW(),""))</f>
        <v/>
      </c>
      <c r="T423" s="9">
        <f>IF(Q423="당기",ABS(P423)+ROW()/1000000000,"")</f>
        <v/>
      </c>
      <c r="U423" s="9">
        <f>IF(Q423="비교",ABS(P423)+ROW()/1000000000,"")</f>
        <v/>
      </c>
      <c r="V423" s="64">
        <f>IF($A423="","",IF(COUNTIF(변동분석!$E$7:$E$506,O423)&gt;0,"Y","N"))</f>
        <v/>
      </c>
      <c r="W423" s="64">
        <f>IF($A423="","",IFERROR(INDEX(계정매핑!$D$5:$D$504,MATCH($F423&amp;"",계정매핑!$A$5:$A$504,0)),"미매핑"))</f>
        <v/>
      </c>
      <c r="X423" s="9">
        <f>IF($A423="","",$F423&amp;"")</f>
        <v/>
      </c>
      <c r="Y423" s="94">
        <f>IF($A423="",0,IF(AE423="직접",IF(AF423="비귀속",$P423,0),$P423*(1-AG423)*IFERROR(INDEX(계정대체기준!$F$20:$F$49,MATCH($N423,계정대체기준!$A$20:$A$49,0)),1)))</f>
        <v/>
      </c>
      <c r="Z423" s="94">
        <f>IF($A423="",0,IF(AE423="직접",IF(AF423="신계약비",$P423,0),$P423*(1-AG423)*IFERROR(INDEX(계정대체기준!$C$20:$C$49,MATCH($N423,계정대체기준!$A$20:$A$49,0)),0)))</f>
        <v/>
      </c>
      <c r="AA423" s="94">
        <f>IF($A423="",0,IF(AE423="직접",IF(OR(AF423="유지비",AF423="손해조사비"),$P423,0),$P423*(1-AG423)*IFERROR(INDEX(계정대체기준!$D$20:$D$49,MATCH($N423,계정대체기준!$A$20:$A$49,0)),0)))</f>
        <v/>
      </c>
      <c r="AB423" s="94">
        <f>IF($A423="",0,IF(AE423="직접",IF(AF423="수금비",$P423,0),$P423*(1-AG423)*IFERROR(INDEX(계정대체기준!$E$20:$E$49,MATCH($N423,계정대체기준!$A$20:$A$49,0)),0)))</f>
        <v/>
      </c>
      <c r="AC423" s="9">
        <f>IF(AND($A423&lt;&gt;"",M423=설정!$C$20,Z423&gt;0),Z423+ROW()/1000000000,"")</f>
        <v/>
      </c>
      <c r="AD423" s="94">
        <f>IF($A423="",0,$P423*AG423)</f>
        <v/>
      </c>
      <c r="AE423" s="64">
        <f>IF($A423="","",IFERROR(INDEX(계정매핑!$E$5:$E$504,MATCH($F423&amp;"",계정매핑!$A$5:$A$504,0))&amp;"","공통비"))</f>
        <v/>
      </c>
      <c r="AF423" s="64">
        <f>IF($A423="","",IF(AE423="직접",IFERROR(INDEX(계정매핑!$F$5:$F$504,MATCH($F423&amp;"",계정매핑!$A$5:$A$504,0))&amp;"","비귀속"),""))</f>
        <v/>
      </c>
      <c r="AG423" s="96">
        <f>IF($A423="",0,IF(AND(AE423&lt;&gt;"직접",IFERROR(INDEX(계정매핑!$G$5:$G$504,MATCH($F423&amp;"",계정매핑!$A$5:$A$504,0))&amp;"","")="유지비",COUNTIF(계정대체기준!$A$6:$A$15,$N423)&gt;0),IFERROR(INDEX(계정대체기준!$E$6:$E$15,MATCH(VALUE($A423&amp;""),계정대체기준!$D$6:$D$15,0)),0),0))</f>
        <v/>
      </c>
      <c r="AH423" s="64">
        <f>IF($A423="","",IF(AD423=0,"",IF(OR(COUNTIF(계정대체기준!$A$77:$A$86,$N423)&gt;0,ISNUMBER(MATCH($X423,계정대체기준!$D$77:$D$86,0)),ISNUMBER(MATCH($F423,계정대체기준!$D$77:$D$86,0))),"Y","N")))</f>
        <v/>
      </c>
    </row>
    <row r="424">
      <c r="A424" s="92" t="n">
        <v>2025</v>
      </c>
      <c r="B424" s="92" t="n">
        <v>2</v>
      </c>
      <c r="C424" s="92" t="inlineStr">
        <is>
          <t>5100000420</t>
        </is>
      </c>
      <c r="D424" s="95" t="n">
        <v>45710</v>
      </c>
      <c r="E424" s="92" t="inlineStr">
        <is>
          <t>KR</t>
        </is>
      </c>
      <c r="F424" s="92" t="n">
        <v>62902000</v>
      </c>
      <c r="G424" s="92" t="n">
        <v>1951</v>
      </c>
      <c r="H424" s="93" t="n">
        <v>2026000</v>
      </c>
      <c r="I424" s="92" t="inlineStr">
        <is>
          <t>2월 업무 위탁 수수료 - J콜센터</t>
        </is>
      </c>
      <c r="J424" s="92" t="inlineStr">
        <is>
          <t>V10016</t>
        </is>
      </c>
      <c r="K424" s="92" t="inlineStr">
        <is>
          <t>J콜센터</t>
        </is>
      </c>
      <c r="M424" s="9">
        <f>IF($A424="","",VALUE($A424&amp;"")*12+VALUE($B424&amp;""))</f>
        <v/>
      </c>
      <c r="N424" s="64">
        <f>IF($A424="","",IFERROR(INDEX(부서매핑!$C$5:$C$504,MATCH($G424&amp;"",부서매핑!$A$5:$A$504,0)),"미매핑"))</f>
        <v/>
      </c>
      <c r="O424" s="9">
        <f>IF($A424="","",N424&amp;"|"&amp;$F424)</f>
        <v/>
      </c>
      <c r="P424" s="94">
        <f>IF($A424="",0,$H424*설정!$C$23)</f>
        <v/>
      </c>
      <c r="Q424" s="64">
        <f>IF($A424="","",IF(O424&lt;&gt;원인분석!$C$9,"",IF(AND(M424&gt;=원인분석!$C$10,M424&lt;=원인분석!$C$11),"당기",IF(AND(M424&gt;=원인분석!$C$12,M424&lt;=원인분석!$C$13),"비교",""))))</f>
        <v/>
      </c>
      <c r="R424" s="9">
        <f>IF(Q424="","",$K424&amp;"")</f>
        <v/>
      </c>
      <c r="S424" s="9">
        <f>IF(Q424="","",IF(MATCH(R424,$R$5:$R$100000,0)=ROW()-4,ROW(),""))</f>
        <v/>
      </c>
      <c r="T424" s="9">
        <f>IF(Q424="당기",ABS(P424)+ROW()/1000000000,"")</f>
        <v/>
      </c>
      <c r="U424" s="9">
        <f>IF(Q424="비교",ABS(P424)+ROW()/1000000000,"")</f>
        <v/>
      </c>
      <c r="V424" s="64">
        <f>IF($A424="","",IF(COUNTIF(변동분석!$E$7:$E$506,O424)&gt;0,"Y","N"))</f>
        <v/>
      </c>
      <c r="W424" s="64">
        <f>IF($A424="","",IFERROR(INDEX(계정매핑!$D$5:$D$504,MATCH($F424&amp;"",계정매핑!$A$5:$A$504,0)),"미매핑"))</f>
        <v/>
      </c>
      <c r="X424" s="9">
        <f>IF($A424="","",$F424&amp;"")</f>
        <v/>
      </c>
      <c r="Y424" s="94">
        <f>IF($A424="",0,IF(AE424="직접",IF(AF424="비귀속",$P424,0),$P424*(1-AG424)*IFERROR(INDEX(계정대체기준!$F$20:$F$49,MATCH($N424,계정대체기준!$A$20:$A$49,0)),1)))</f>
        <v/>
      </c>
      <c r="Z424" s="94">
        <f>IF($A424="",0,IF(AE424="직접",IF(AF424="신계약비",$P424,0),$P424*(1-AG424)*IFERROR(INDEX(계정대체기준!$C$20:$C$49,MATCH($N424,계정대체기준!$A$20:$A$49,0)),0)))</f>
        <v/>
      </c>
      <c r="AA424" s="94">
        <f>IF($A424="",0,IF(AE424="직접",IF(OR(AF424="유지비",AF424="손해조사비"),$P424,0),$P424*(1-AG424)*IFERROR(INDEX(계정대체기준!$D$20:$D$49,MATCH($N424,계정대체기준!$A$20:$A$49,0)),0)))</f>
        <v/>
      </c>
      <c r="AB424" s="94">
        <f>IF($A424="",0,IF(AE424="직접",IF(AF424="수금비",$P424,0),$P424*(1-AG424)*IFERROR(INDEX(계정대체기준!$E$20:$E$49,MATCH($N424,계정대체기준!$A$20:$A$49,0)),0)))</f>
        <v/>
      </c>
      <c r="AC424" s="9">
        <f>IF(AND($A424&lt;&gt;"",M424=설정!$C$20,Z424&gt;0),Z424+ROW()/1000000000,"")</f>
        <v/>
      </c>
      <c r="AD424" s="94">
        <f>IF($A424="",0,$P424*AG424)</f>
        <v/>
      </c>
      <c r="AE424" s="64">
        <f>IF($A424="","",IFERROR(INDEX(계정매핑!$E$5:$E$504,MATCH($F424&amp;"",계정매핑!$A$5:$A$504,0))&amp;"","공통비"))</f>
        <v/>
      </c>
      <c r="AF424" s="64">
        <f>IF($A424="","",IF(AE424="직접",IFERROR(INDEX(계정매핑!$F$5:$F$504,MATCH($F424&amp;"",계정매핑!$A$5:$A$504,0))&amp;"","비귀속"),""))</f>
        <v/>
      </c>
      <c r="AG424" s="96">
        <f>IF($A424="",0,IF(AND(AE424&lt;&gt;"직접",IFERROR(INDEX(계정매핑!$G$5:$G$504,MATCH($F424&amp;"",계정매핑!$A$5:$A$504,0))&amp;"","")="유지비",COUNTIF(계정대체기준!$A$6:$A$15,$N424)&gt;0),IFERROR(INDEX(계정대체기준!$E$6:$E$15,MATCH(VALUE($A424&amp;""),계정대체기준!$D$6:$D$15,0)),0),0))</f>
        <v/>
      </c>
      <c r="AH424" s="64">
        <f>IF($A424="","",IF(AD424=0,"",IF(OR(COUNTIF(계정대체기준!$A$77:$A$86,$N424)&gt;0,ISNUMBER(MATCH($X424,계정대체기준!$D$77:$D$86,0)),ISNUMBER(MATCH($F424,계정대체기준!$D$77:$D$86,0))),"Y","N")))</f>
        <v/>
      </c>
    </row>
    <row r="425">
      <c r="A425" s="92" t="n">
        <v>2025</v>
      </c>
      <c r="B425" s="92" t="n">
        <v>2</v>
      </c>
      <c r="C425" s="92" t="inlineStr">
        <is>
          <t>5100000421</t>
        </is>
      </c>
      <c r="D425" s="95" t="n">
        <v>45710</v>
      </c>
      <c r="E425" s="92" t="inlineStr">
        <is>
          <t>KR</t>
        </is>
      </c>
      <c r="F425" s="92" t="n">
        <v>63101000</v>
      </c>
      <c r="G425" s="92" t="n">
        <v>1601</v>
      </c>
      <c r="H425" s="93" t="n">
        <v>4873000</v>
      </c>
      <c r="I425" s="92" t="inlineStr">
        <is>
          <t>2월 사무실 임차료 - BB부동산</t>
        </is>
      </c>
      <c r="J425" s="92" t="inlineStr">
        <is>
          <t>V10028</t>
        </is>
      </c>
      <c r="K425" s="92" t="inlineStr">
        <is>
          <t>BB부동산</t>
        </is>
      </c>
      <c r="M425" s="9">
        <f>IF($A425="","",VALUE($A425&amp;"")*12+VALUE($B425&amp;""))</f>
        <v/>
      </c>
      <c r="N425" s="64">
        <f>IF($A425="","",IFERROR(INDEX(부서매핑!$C$5:$C$504,MATCH($G425&amp;"",부서매핑!$A$5:$A$504,0)),"미매핑"))</f>
        <v/>
      </c>
      <c r="O425" s="9">
        <f>IF($A425="","",N425&amp;"|"&amp;$F425)</f>
        <v/>
      </c>
      <c r="P425" s="94">
        <f>IF($A425="",0,$H425*설정!$C$23)</f>
        <v/>
      </c>
      <c r="Q425" s="64">
        <f>IF($A425="","",IF(O425&lt;&gt;원인분석!$C$9,"",IF(AND(M425&gt;=원인분석!$C$10,M425&lt;=원인분석!$C$11),"당기",IF(AND(M425&gt;=원인분석!$C$12,M425&lt;=원인분석!$C$13),"비교",""))))</f>
        <v/>
      </c>
      <c r="R425" s="9">
        <f>IF(Q425="","",$K425&amp;"")</f>
        <v/>
      </c>
      <c r="S425" s="9">
        <f>IF(Q425="","",IF(MATCH(R425,$R$5:$R$100000,0)=ROW()-4,ROW(),""))</f>
        <v/>
      </c>
      <c r="T425" s="9">
        <f>IF(Q425="당기",ABS(P425)+ROW()/1000000000,"")</f>
        <v/>
      </c>
      <c r="U425" s="9">
        <f>IF(Q425="비교",ABS(P425)+ROW()/1000000000,"")</f>
        <v/>
      </c>
      <c r="V425" s="64">
        <f>IF($A425="","",IF(COUNTIF(변동분석!$E$7:$E$506,O425)&gt;0,"Y","N"))</f>
        <v/>
      </c>
      <c r="W425" s="64">
        <f>IF($A425="","",IFERROR(INDEX(계정매핑!$D$5:$D$504,MATCH($F425&amp;"",계정매핑!$A$5:$A$504,0)),"미매핑"))</f>
        <v/>
      </c>
      <c r="X425" s="9">
        <f>IF($A425="","",$F425&amp;"")</f>
        <v/>
      </c>
      <c r="Y425" s="94">
        <f>IF($A425="",0,IF(AE425="직접",IF(AF425="비귀속",$P425,0),$P425*(1-AG425)*IFERROR(INDEX(계정대체기준!$F$20:$F$49,MATCH($N425,계정대체기준!$A$20:$A$49,0)),1)))</f>
        <v/>
      </c>
      <c r="Z425" s="94">
        <f>IF($A425="",0,IF(AE425="직접",IF(AF425="신계약비",$P425,0),$P425*(1-AG425)*IFERROR(INDEX(계정대체기준!$C$20:$C$49,MATCH($N425,계정대체기준!$A$20:$A$49,0)),0)))</f>
        <v/>
      </c>
      <c r="AA425" s="94">
        <f>IF($A425="",0,IF(AE425="직접",IF(OR(AF425="유지비",AF425="손해조사비"),$P425,0),$P425*(1-AG425)*IFERROR(INDEX(계정대체기준!$D$20:$D$49,MATCH($N425,계정대체기준!$A$20:$A$49,0)),0)))</f>
        <v/>
      </c>
      <c r="AB425" s="94">
        <f>IF($A425="",0,IF(AE425="직접",IF(AF425="수금비",$P425,0),$P425*(1-AG425)*IFERROR(INDEX(계정대체기준!$E$20:$E$49,MATCH($N425,계정대체기준!$A$20:$A$49,0)),0)))</f>
        <v/>
      </c>
      <c r="AC425" s="9">
        <f>IF(AND($A425&lt;&gt;"",M425=설정!$C$20,Z425&gt;0),Z425+ROW()/1000000000,"")</f>
        <v/>
      </c>
      <c r="AD425" s="94">
        <f>IF($A425="",0,$P425*AG425)</f>
        <v/>
      </c>
      <c r="AE425" s="64">
        <f>IF($A425="","",IFERROR(INDEX(계정매핑!$E$5:$E$504,MATCH($F425&amp;"",계정매핑!$A$5:$A$504,0))&amp;"","공통비"))</f>
        <v/>
      </c>
      <c r="AF425" s="64">
        <f>IF($A425="","",IF(AE425="직접",IFERROR(INDEX(계정매핑!$F$5:$F$504,MATCH($F425&amp;"",계정매핑!$A$5:$A$504,0))&amp;"","비귀속"),""))</f>
        <v/>
      </c>
      <c r="AG425" s="96">
        <f>IF($A425="",0,IF(AND(AE425&lt;&gt;"직접",IFERROR(INDEX(계정매핑!$G$5:$G$504,MATCH($F425&amp;"",계정매핑!$A$5:$A$504,0))&amp;"","")="유지비",COUNTIF(계정대체기준!$A$6:$A$15,$N425)&gt;0),IFERROR(INDEX(계정대체기준!$E$6:$E$15,MATCH(VALUE($A425&amp;""),계정대체기준!$D$6:$D$15,0)),0),0))</f>
        <v/>
      </c>
      <c r="AH425" s="64">
        <f>IF($A425="","",IF(AD425=0,"",IF(OR(COUNTIF(계정대체기준!$A$77:$A$86,$N425)&gt;0,ISNUMBER(MATCH($X425,계정대체기준!$D$77:$D$86,0)),ISNUMBER(MATCH($F425,계정대체기준!$D$77:$D$86,0))),"Y","N")))</f>
        <v/>
      </c>
    </row>
    <row r="426">
      <c r="A426" s="92" t="n">
        <v>2025</v>
      </c>
      <c r="B426" s="92" t="n">
        <v>2</v>
      </c>
      <c r="C426" s="92" t="inlineStr">
        <is>
          <t>5100000422</t>
        </is>
      </c>
      <c r="D426" s="95" t="n">
        <v>45711</v>
      </c>
      <c r="E426" s="92" t="inlineStr">
        <is>
          <t>KR</t>
        </is>
      </c>
      <c r="F426" s="92" t="n">
        <v>62101000</v>
      </c>
      <c r="G426" s="92" t="n">
        <v>1801</v>
      </c>
      <c r="H426" s="93" t="n">
        <v>196000</v>
      </c>
      <c r="I426" s="92" t="inlineStr">
        <is>
          <t>2월 국내출장 - (법인카드)</t>
        </is>
      </c>
      <c r="J426" s="92" t="inlineStr">
        <is>
          <t>V10010</t>
        </is>
      </c>
      <c r="K426" s="92" t="inlineStr">
        <is>
          <t>(법인카드)</t>
        </is>
      </c>
      <c r="M426" s="9">
        <f>IF($A426="","",VALUE($A426&amp;"")*12+VALUE($B426&amp;""))</f>
        <v/>
      </c>
      <c r="N426" s="64">
        <f>IF($A426="","",IFERROR(INDEX(부서매핑!$C$5:$C$504,MATCH($G426&amp;"",부서매핑!$A$5:$A$504,0)),"미매핑"))</f>
        <v/>
      </c>
      <c r="O426" s="9">
        <f>IF($A426="","",N426&amp;"|"&amp;$F426)</f>
        <v/>
      </c>
      <c r="P426" s="94">
        <f>IF($A426="",0,$H426*설정!$C$23)</f>
        <v/>
      </c>
      <c r="Q426" s="64">
        <f>IF($A426="","",IF(O426&lt;&gt;원인분석!$C$9,"",IF(AND(M426&gt;=원인분석!$C$10,M426&lt;=원인분석!$C$11),"당기",IF(AND(M426&gt;=원인분석!$C$12,M426&lt;=원인분석!$C$13),"비교",""))))</f>
        <v/>
      </c>
      <c r="R426" s="9">
        <f>IF(Q426="","",$K426&amp;"")</f>
        <v/>
      </c>
      <c r="S426" s="9">
        <f>IF(Q426="","",IF(MATCH(R426,$R$5:$R$100000,0)=ROW()-4,ROW(),""))</f>
        <v/>
      </c>
      <c r="T426" s="9">
        <f>IF(Q426="당기",ABS(P426)+ROW()/1000000000,"")</f>
        <v/>
      </c>
      <c r="U426" s="9">
        <f>IF(Q426="비교",ABS(P426)+ROW()/1000000000,"")</f>
        <v/>
      </c>
      <c r="V426" s="64">
        <f>IF($A426="","",IF(COUNTIF(변동분석!$E$7:$E$506,O426)&gt;0,"Y","N"))</f>
        <v/>
      </c>
      <c r="W426" s="64">
        <f>IF($A426="","",IFERROR(INDEX(계정매핑!$D$5:$D$504,MATCH($F426&amp;"",계정매핑!$A$5:$A$504,0)),"미매핑"))</f>
        <v/>
      </c>
      <c r="X426" s="9">
        <f>IF($A426="","",$F426&amp;"")</f>
        <v/>
      </c>
      <c r="Y426" s="94">
        <f>IF($A426="",0,IF(AE426="직접",IF(AF426="비귀속",$P426,0),$P426*(1-AG426)*IFERROR(INDEX(계정대체기준!$F$20:$F$49,MATCH($N426,계정대체기준!$A$20:$A$49,0)),1)))</f>
        <v/>
      </c>
      <c r="Z426" s="94">
        <f>IF($A426="",0,IF(AE426="직접",IF(AF426="신계약비",$P426,0),$P426*(1-AG426)*IFERROR(INDEX(계정대체기준!$C$20:$C$49,MATCH($N426,계정대체기준!$A$20:$A$49,0)),0)))</f>
        <v/>
      </c>
      <c r="AA426" s="94">
        <f>IF($A426="",0,IF(AE426="직접",IF(OR(AF426="유지비",AF426="손해조사비"),$P426,0),$P426*(1-AG426)*IFERROR(INDEX(계정대체기준!$D$20:$D$49,MATCH($N426,계정대체기준!$A$20:$A$49,0)),0)))</f>
        <v/>
      </c>
      <c r="AB426" s="94">
        <f>IF($A426="",0,IF(AE426="직접",IF(AF426="수금비",$P426,0),$P426*(1-AG426)*IFERROR(INDEX(계정대체기준!$E$20:$E$49,MATCH($N426,계정대체기준!$A$20:$A$49,0)),0)))</f>
        <v/>
      </c>
      <c r="AC426" s="9">
        <f>IF(AND($A426&lt;&gt;"",M426=설정!$C$20,Z426&gt;0),Z426+ROW()/1000000000,"")</f>
        <v/>
      </c>
      <c r="AD426" s="94">
        <f>IF($A426="",0,$P426*AG426)</f>
        <v/>
      </c>
      <c r="AE426" s="64">
        <f>IF($A426="","",IFERROR(INDEX(계정매핑!$E$5:$E$504,MATCH($F426&amp;"",계정매핑!$A$5:$A$504,0))&amp;"","공통비"))</f>
        <v/>
      </c>
      <c r="AF426" s="64">
        <f>IF($A426="","",IF(AE426="직접",IFERROR(INDEX(계정매핑!$F$5:$F$504,MATCH($F426&amp;"",계정매핑!$A$5:$A$504,0))&amp;"","비귀속"),""))</f>
        <v/>
      </c>
      <c r="AG426" s="96">
        <f>IF($A426="",0,IF(AND(AE426&lt;&gt;"직접",IFERROR(INDEX(계정매핑!$G$5:$G$504,MATCH($F426&amp;"",계정매핑!$A$5:$A$504,0))&amp;"","")="유지비",COUNTIF(계정대체기준!$A$6:$A$15,$N426)&gt;0),IFERROR(INDEX(계정대체기준!$E$6:$E$15,MATCH(VALUE($A426&amp;""),계정대체기준!$D$6:$D$15,0)),0),0))</f>
        <v/>
      </c>
      <c r="AH426" s="64">
        <f>IF($A426="","",IF(AD426=0,"",IF(OR(COUNTIF(계정대체기준!$A$77:$A$86,$N426)&gt;0,ISNUMBER(MATCH($X426,계정대체기준!$D$77:$D$86,0)),ISNUMBER(MATCH($F426,계정대체기준!$D$77:$D$86,0))),"Y","N")))</f>
        <v/>
      </c>
    </row>
    <row r="427">
      <c r="A427" s="92" t="n">
        <v>2025</v>
      </c>
      <c r="B427" s="92" t="n">
        <v>2</v>
      </c>
      <c r="C427" s="92" t="inlineStr">
        <is>
          <t>5100000423</t>
        </is>
      </c>
      <c r="D427" s="95" t="n">
        <v>45711</v>
      </c>
      <c r="E427" s="92" t="inlineStr">
        <is>
          <t>KR</t>
        </is>
      </c>
      <c r="F427" s="92" t="n">
        <v>62102000</v>
      </c>
      <c r="G427" s="92" t="n">
        <v>1101</v>
      </c>
      <c r="H427" s="93" t="n">
        <v>105000</v>
      </c>
      <c r="I427" s="92" t="inlineStr">
        <is>
          <t>2월 해외출장 - M항공</t>
        </is>
      </c>
      <c r="J427" s="92" t="inlineStr">
        <is>
          <t>V10001</t>
        </is>
      </c>
      <c r="K427" s="92" t="inlineStr">
        <is>
          <t>M항공</t>
        </is>
      </c>
      <c r="M427" s="9">
        <f>IF($A427="","",VALUE($A427&amp;"")*12+VALUE($B427&amp;""))</f>
        <v/>
      </c>
      <c r="N427" s="64">
        <f>IF($A427="","",IFERROR(INDEX(부서매핑!$C$5:$C$504,MATCH($G427&amp;"",부서매핑!$A$5:$A$504,0)),"미매핑"))</f>
        <v/>
      </c>
      <c r="O427" s="9">
        <f>IF($A427="","",N427&amp;"|"&amp;$F427)</f>
        <v/>
      </c>
      <c r="P427" s="94">
        <f>IF($A427="",0,$H427*설정!$C$23)</f>
        <v/>
      </c>
      <c r="Q427" s="64">
        <f>IF($A427="","",IF(O427&lt;&gt;원인분석!$C$9,"",IF(AND(M427&gt;=원인분석!$C$10,M427&lt;=원인분석!$C$11),"당기",IF(AND(M427&gt;=원인분석!$C$12,M427&lt;=원인분석!$C$13),"비교",""))))</f>
        <v/>
      </c>
      <c r="R427" s="9">
        <f>IF(Q427="","",$K427&amp;"")</f>
        <v/>
      </c>
      <c r="S427" s="9">
        <f>IF(Q427="","",IF(MATCH(R427,$R$5:$R$100000,0)=ROW()-4,ROW(),""))</f>
        <v/>
      </c>
      <c r="T427" s="9">
        <f>IF(Q427="당기",ABS(P427)+ROW()/1000000000,"")</f>
        <v/>
      </c>
      <c r="U427" s="9">
        <f>IF(Q427="비교",ABS(P427)+ROW()/1000000000,"")</f>
        <v/>
      </c>
      <c r="V427" s="64">
        <f>IF($A427="","",IF(COUNTIF(변동분석!$E$7:$E$506,O427)&gt;0,"Y","N"))</f>
        <v/>
      </c>
      <c r="W427" s="64">
        <f>IF($A427="","",IFERROR(INDEX(계정매핑!$D$5:$D$504,MATCH($F427&amp;"",계정매핑!$A$5:$A$504,0)),"미매핑"))</f>
        <v/>
      </c>
      <c r="X427" s="9">
        <f>IF($A427="","",$F427&amp;"")</f>
        <v/>
      </c>
      <c r="Y427" s="94">
        <f>IF($A427="",0,IF(AE427="직접",IF(AF427="비귀속",$P427,0),$P427*(1-AG427)*IFERROR(INDEX(계정대체기준!$F$20:$F$49,MATCH($N427,계정대체기준!$A$20:$A$49,0)),1)))</f>
        <v/>
      </c>
      <c r="Z427" s="94">
        <f>IF($A427="",0,IF(AE427="직접",IF(AF427="신계약비",$P427,0),$P427*(1-AG427)*IFERROR(INDEX(계정대체기준!$C$20:$C$49,MATCH($N427,계정대체기준!$A$20:$A$49,0)),0)))</f>
        <v/>
      </c>
      <c r="AA427" s="94">
        <f>IF($A427="",0,IF(AE427="직접",IF(OR(AF427="유지비",AF427="손해조사비"),$P427,0),$P427*(1-AG427)*IFERROR(INDEX(계정대체기준!$D$20:$D$49,MATCH($N427,계정대체기준!$A$20:$A$49,0)),0)))</f>
        <v/>
      </c>
      <c r="AB427" s="94">
        <f>IF($A427="",0,IF(AE427="직접",IF(AF427="수금비",$P427,0),$P427*(1-AG427)*IFERROR(INDEX(계정대체기준!$E$20:$E$49,MATCH($N427,계정대체기준!$A$20:$A$49,0)),0)))</f>
        <v/>
      </c>
      <c r="AC427" s="9">
        <f>IF(AND($A427&lt;&gt;"",M427=설정!$C$20,Z427&gt;0),Z427+ROW()/1000000000,"")</f>
        <v/>
      </c>
      <c r="AD427" s="94">
        <f>IF($A427="",0,$P427*AG427)</f>
        <v/>
      </c>
      <c r="AE427" s="64">
        <f>IF($A427="","",IFERROR(INDEX(계정매핑!$E$5:$E$504,MATCH($F427&amp;"",계정매핑!$A$5:$A$504,0))&amp;"","공통비"))</f>
        <v/>
      </c>
      <c r="AF427" s="64">
        <f>IF($A427="","",IF(AE427="직접",IFERROR(INDEX(계정매핑!$F$5:$F$504,MATCH($F427&amp;"",계정매핑!$A$5:$A$504,0))&amp;"","비귀속"),""))</f>
        <v/>
      </c>
      <c r="AG427" s="96">
        <f>IF($A427="",0,IF(AND(AE427&lt;&gt;"직접",IFERROR(INDEX(계정매핑!$G$5:$G$504,MATCH($F427&amp;"",계정매핑!$A$5:$A$504,0))&amp;"","")="유지비",COUNTIF(계정대체기준!$A$6:$A$15,$N427)&gt;0),IFERROR(INDEX(계정대체기준!$E$6:$E$15,MATCH(VALUE($A427&amp;""),계정대체기준!$D$6:$D$15,0)),0),0))</f>
        <v/>
      </c>
      <c r="AH427" s="64">
        <f>IF($A427="","",IF(AD427=0,"",IF(OR(COUNTIF(계정대체기준!$A$77:$A$86,$N427)&gt;0,ISNUMBER(MATCH($X427,계정대체기준!$D$77:$D$86,0)),ISNUMBER(MATCH($F427,계정대체기준!$D$77:$D$86,0))),"Y","N")))</f>
        <v/>
      </c>
    </row>
    <row r="428">
      <c r="A428" s="92" t="n">
        <v>2025</v>
      </c>
      <c r="B428" s="92" t="n">
        <v>2</v>
      </c>
      <c r="C428" s="92" t="inlineStr">
        <is>
          <t>5100000424</t>
        </is>
      </c>
      <c r="D428" s="95" t="n">
        <v>45711</v>
      </c>
      <c r="E428" s="92" t="inlineStr">
        <is>
          <t>KR</t>
        </is>
      </c>
      <c r="F428" s="92" t="n">
        <v>62201000</v>
      </c>
      <c r="G428" s="92" t="n">
        <v>1701</v>
      </c>
      <c r="H428" s="93" t="n">
        <v>3836000</v>
      </c>
      <c r="I428" s="92" t="inlineStr">
        <is>
          <t>2월 통신요금 - O텔레콤</t>
        </is>
      </c>
      <c r="J428" s="92" t="inlineStr">
        <is>
          <t>V10002</t>
        </is>
      </c>
      <c r="K428" s="92" t="inlineStr">
        <is>
          <t>O텔레콤</t>
        </is>
      </c>
      <c r="M428" s="9">
        <f>IF($A428="","",VALUE($A428&amp;"")*12+VALUE($B428&amp;""))</f>
        <v/>
      </c>
      <c r="N428" s="64">
        <f>IF($A428="","",IFERROR(INDEX(부서매핑!$C$5:$C$504,MATCH($G428&amp;"",부서매핑!$A$5:$A$504,0)),"미매핑"))</f>
        <v/>
      </c>
      <c r="O428" s="9">
        <f>IF($A428="","",N428&amp;"|"&amp;$F428)</f>
        <v/>
      </c>
      <c r="P428" s="94">
        <f>IF($A428="",0,$H428*설정!$C$23)</f>
        <v/>
      </c>
      <c r="Q428" s="64">
        <f>IF($A428="","",IF(O428&lt;&gt;원인분석!$C$9,"",IF(AND(M428&gt;=원인분석!$C$10,M428&lt;=원인분석!$C$11),"당기",IF(AND(M428&gt;=원인분석!$C$12,M428&lt;=원인분석!$C$13),"비교",""))))</f>
        <v/>
      </c>
      <c r="R428" s="9">
        <f>IF(Q428="","",$K428&amp;"")</f>
        <v/>
      </c>
      <c r="S428" s="9">
        <f>IF(Q428="","",IF(MATCH(R428,$R$5:$R$100000,0)=ROW()-4,ROW(),""))</f>
        <v/>
      </c>
      <c r="T428" s="9">
        <f>IF(Q428="당기",ABS(P428)+ROW()/1000000000,"")</f>
        <v/>
      </c>
      <c r="U428" s="9">
        <f>IF(Q428="비교",ABS(P428)+ROW()/1000000000,"")</f>
        <v/>
      </c>
      <c r="V428" s="64">
        <f>IF($A428="","",IF(COUNTIF(변동분석!$E$7:$E$506,O428)&gt;0,"Y","N"))</f>
        <v/>
      </c>
      <c r="W428" s="64">
        <f>IF($A428="","",IFERROR(INDEX(계정매핑!$D$5:$D$504,MATCH($F428&amp;"",계정매핑!$A$5:$A$504,0)),"미매핑"))</f>
        <v/>
      </c>
      <c r="X428" s="9">
        <f>IF($A428="","",$F428&amp;"")</f>
        <v/>
      </c>
      <c r="Y428" s="94">
        <f>IF($A428="",0,IF(AE428="직접",IF(AF428="비귀속",$P428,0),$P428*(1-AG428)*IFERROR(INDEX(계정대체기준!$F$20:$F$49,MATCH($N428,계정대체기준!$A$20:$A$49,0)),1)))</f>
        <v/>
      </c>
      <c r="Z428" s="94">
        <f>IF($A428="",0,IF(AE428="직접",IF(AF428="신계약비",$P428,0),$P428*(1-AG428)*IFERROR(INDEX(계정대체기준!$C$20:$C$49,MATCH($N428,계정대체기준!$A$20:$A$49,0)),0)))</f>
        <v/>
      </c>
      <c r="AA428" s="94">
        <f>IF($A428="",0,IF(AE428="직접",IF(OR(AF428="유지비",AF428="손해조사비"),$P428,0),$P428*(1-AG428)*IFERROR(INDEX(계정대체기준!$D$20:$D$49,MATCH($N428,계정대체기준!$A$20:$A$49,0)),0)))</f>
        <v/>
      </c>
      <c r="AB428" s="94">
        <f>IF($A428="",0,IF(AE428="직접",IF(AF428="수금비",$P428,0),$P428*(1-AG428)*IFERROR(INDEX(계정대체기준!$E$20:$E$49,MATCH($N428,계정대체기준!$A$20:$A$49,0)),0)))</f>
        <v/>
      </c>
      <c r="AC428" s="9">
        <f>IF(AND($A428&lt;&gt;"",M428=설정!$C$20,Z428&gt;0),Z428+ROW()/1000000000,"")</f>
        <v/>
      </c>
      <c r="AD428" s="94">
        <f>IF($A428="",0,$P428*AG428)</f>
        <v/>
      </c>
      <c r="AE428" s="64">
        <f>IF($A428="","",IFERROR(INDEX(계정매핑!$E$5:$E$504,MATCH($F428&amp;"",계정매핑!$A$5:$A$504,0))&amp;"","공통비"))</f>
        <v/>
      </c>
      <c r="AF428" s="64">
        <f>IF($A428="","",IF(AE428="직접",IFERROR(INDEX(계정매핑!$F$5:$F$504,MATCH($F428&amp;"",계정매핑!$A$5:$A$504,0))&amp;"","비귀속"),""))</f>
        <v/>
      </c>
      <c r="AG428" s="96">
        <f>IF($A428="",0,IF(AND(AE428&lt;&gt;"직접",IFERROR(INDEX(계정매핑!$G$5:$G$504,MATCH($F428&amp;"",계정매핑!$A$5:$A$504,0))&amp;"","")="유지비",COUNTIF(계정대체기준!$A$6:$A$15,$N428)&gt;0),IFERROR(INDEX(계정대체기준!$E$6:$E$15,MATCH(VALUE($A428&amp;""),계정대체기준!$D$6:$D$15,0)),0),0))</f>
        <v/>
      </c>
      <c r="AH428" s="64">
        <f>IF($A428="","",IF(AD428=0,"",IF(OR(COUNTIF(계정대체기준!$A$77:$A$86,$N428)&gt;0,ISNUMBER(MATCH($X428,계정대체기준!$D$77:$D$86,0)),ISNUMBER(MATCH($F428,계정대체기준!$D$77:$D$86,0))),"Y","N")))</f>
        <v/>
      </c>
    </row>
    <row r="429">
      <c r="A429" s="92" t="n">
        <v>2025</v>
      </c>
      <c r="B429" s="92" t="n">
        <v>2</v>
      </c>
      <c r="C429" s="92" t="inlineStr">
        <is>
          <t>5100000425</t>
        </is>
      </c>
      <c r="D429" s="95" t="n">
        <v>45711</v>
      </c>
      <c r="E429" s="92" t="inlineStr">
        <is>
          <t>KR</t>
        </is>
      </c>
      <c r="F429" s="92" t="n">
        <v>62201000</v>
      </c>
      <c r="G429" s="92" t="n">
        <v>1701</v>
      </c>
      <c r="H429" s="93" t="n">
        <v>2526000</v>
      </c>
      <c r="I429" s="92" t="inlineStr">
        <is>
          <t>2월 통신요금 - P통신</t>
        </is>
      </c>
      <c r="J429" s="92" t="inlineStr">
        <is>
          <t>V10014</t>
        </is>
      </c>
      <c r="K429" s="92" t="inlineStr">
        <is>
          <t>P통신</t>
        </is>
      </c>
      <c r="M429" s="9">
        <f>IF($A429="","",VALUE($A429&amp;"")*12+VALUE($B429&amp;""))</f>
        <v/>
      </c>
      <c r="N429" s="64">
        <f>IF($A429="","",IFERROR(INDEX(부서매핑!$C$5:$C$504,MATCH($G429&amp;"",부서매핑!$A$5:$A$504,0)),"미매핑"))</f>
        <v/>
      </c>
      <c r="O429" s="9">
        <f>IF($A429="","",N429&amp;"|"&amp;$F429)</f>
        <v/>
      </c>
      <c r="P429" s="94">
        <f>IF($A429="",0,$H429*설정!$C$23)</f>
        <v/>
      </c>
      <c r="Q429" s="64">
        <f>IF($A429="","",IF(O429&lt;&gt;원인분석!$C$9,"",IF(AND(M429&gt;=원인분석!$C$10,M429&lt;=원인분석!$C$11),"당기",IF(AND(M429&gt;=원인분석!$C$12,M429&lt;=원인분석!$C$13),"비교",""))))</f>
        <v/>
      </c>
      <c r="R429" s="9">
        <f>IF(Q429="","",$K429&amp;"")</f>
        <v/>
      </c>
      <c r="S429" s="9">
        <f>IF(Q429="","",IF(MATCH(R429,$R$5:$R$100000,0)=ROW()-4,ROW(),""))</f>
        <v/>
      </c>
      <c r="T429" s="9">
        <f>IF(Q429="당기",ABS(P429)+ROW()/1000000000,"")</f>
        <v/>
      </c>
      <c r="U429" s="9">
        <f>IF(Q429="비교",ABS(P429)+ROW()/1000000000,"")</f>
        <v/>
      </c>
      <c r="V429" s="64">
        <f>IF($A429="","",IF(COUNTIF(변동분석!$E$7:$E$506,O429)&gt;0,"Y","N"))</f>
        <v/>
      </c>
      <c r="W429" s="64">
        <f>IF($A429="","",IFERROR(INDEX(계정매핑!$D$5:$D$504,MATCH($F429&amp;"",계정매핑!$A$5:$A$504,0)),"미매핑"))</f>
        <v/>
      </c>
      <c r="X429" s="9">
        <f>IF($A429="","",$F429&amp;"")</f>
        <v/>
      </c>
      <c r="Y429" s="94">
        <f>IF($A429="",0,IF(AE429="직접",IF(AF429="비귀속",$P429,0),$P429*(1-AG429)*IFERROR(INDEX(계정대체기준!$F$20:$F$49,MATCH($N429,계정대체기준!$A$20:$A$49,0)),1)))</f>
        <v/>
      </c>
      <c r="Z429" s="94">
        <f>IF($A429="",0,IF(AE429="직접",IF(AF429="신계약비",$P429,0),$P429*(1-AG429)*IFERROR(INDEX(계정대체기준!$C$20:$C$49,MATCH($N429,계정대체기준!$A$20:$A$49,0)),0)))</f>
        <v/>
      </c>
      <c r="AA429" s="94">
        <f>IF($A429="",0,IF(AE429="직접",IF(OR(AF429="유지비",AF429="손해조사비"),$P429,0),$P429*(1-AG429)*IFERROR(INDEX(계정대체기준!$D$20:$D$49,MATCH($N429,계정대체기준!$A$20:$A$49,0)),0)))</f>
        <v/>
      </c>
      <c r="AB429" s="94">
        <f>IF($A429="",0,IF(AE429="직접",IF(AF429="수금비",$P429,0),$P429*(1-AG429)*IFERROR(INDEX(계정대체기준!$E$20:$E$49,MATCH($N429,계정대체기준!$A$20:$A$49,0)),0)))</f>
        <v/>
      </c>
      <c r="AC429" s="9">
        <f>IF(AND($A429&lt;&gt;"",M429=설정!$C$20,Z429&gt;0),Z429+ROW()/1000000000,"")</f>
        <v/>
      </c>
      <c r="AD429" s="94">
        <f>IF($A429="",0,$P429*AG429)</f>
        <v/>
      </c>
      <c r="AE429" s="64">
        <f>IF($A429="","",IFERROR(INDEX(계정매핑!$E$5:$E$504,MATCH($F429&amp;"",계정매핑!$A$5:$A$504,0))&amp;"","공통비"))</f>
        <v/>
      </c>
      <c r="AF429" s="64">
        <f>IF($A429="","",IF(AE429="직접",IFERROR(INDEX(계정매핑!$F$5:$F$504,MATCH($F429&amp;"",계정매핑!$A$5:$A$504,0))&amp;"","비귀속"),""))</f>
        <v/>
      </c>
      <c r="AG429" s="96">
        <f>IF($A429="",0,IF(AND(AE429&lt;&gt;"직접",IFERROR(INDEX(계정매핑!$G$5:$G$504,MATCH($F429&amp;"",계정매핑!$A$5:$A$504,0))&amp;"","")="유지비",COUNTIF(계정대체기준!$A$6:$A$15,$N429)&gt;0),IFERROR(INDEX(계정대체기준!$E$6:$E$15,MATCH(VALUE($A429&amp;""),계정대체기준!$D$6:$D$15,0)),0),0))</f>
        <v/>
      </c>
      <c r="AH429" s="64">
        <f>IF($A429="","",IF(AD429=0,"",IF(OR(COUNTIF(계정대체기준!$A$77:$A$86,$N429)&gt;0,ISNUMBER(MATCH($X429,계정대체기준!$D$77:$D$86,0)),ISNUMBER(MATCH($F429,계정대체기준!$D$77:$D$86,0))),"Y","N")))</f>
        <v/>
      </c>
    </row>
    <row r="430">
      <c r="A430" s="92" t="n">
        <v>2025</v>
      </c>
      <c r="B430" s="92" t="n">
        <v>2</v>
      </c>
      <c r="C430" s="92" t="inlineStr">
        <is>
          <t>5100000426</t>
        </is>
      </c>
      <c r="D430" s="95" t="n">
        <v>45711</v>
      </c>
      <c r="E430" s="92" t="inlineStr">
        <is>
          <t>KR</t>
        </is>
      </c>
      <c r="F430" s="92" t="n">
        <v>62301000</v>
      </c>
      <c r="G430" s="92" t="n">
        <v>1401</v>
      </c>
      <c r="H430" s="93" t="n">
        <v>125000</v>
      </c>
      <c r="I430" s="92" t="inlineStr">
        <is>
          <t>2월 소모품 구입 - Q오피스</t>
        </is>
      </c>
      <c r="J430" s="92" t="inlineStr">
        <is>
          <t>V10003</t>
        </is>
      </c>
      <c r="K430" s="92" t="inlineStr">
        <is>
          <t>Q오피스</t>
        </is>
      </c>
      <c r="M430" s="9">
        <f>IF($A430="","",VALUE($A430&amp;"")*12+VALUE($B430&amp;""))</f>
        <v/>
      </c>
      <c r="N430" s="64">
        <f>IF($A430="","",IFERROR(INDEX(부서매핑!$C$5:$C$504,MATCH($G430&amp;"",부서매핑!$A$5:$A$504,0)),"미매핑"))</f>
        <v/>
      </c>
      <c r="O430" s="9">
        <f>IF($A430="","",N430&amp;"|"&amp;$F430)</f>
        <v/>
      </c>
      <c r="P430" s="94">
        <f>IF($A430="",0,$H430*설정!$C$23)</f>
        <v/>
      </c>
      <c r="Q430" s="64">
        <f>IF($A430="","",IF(O430&lt;&gt;원인분석!$C$9,"",IF(AND(M430&gt;=원인분석!$C$10,M430&lt;=원인분석!$C$11),"당기",IF(AND(M430&gt;=원인분석!$C$12,M430&lt;=원인분석!$C$13),"비교",""))))</f>
        <v/>
      </c>
      <c r="R430" s="9">
        <f>IF(Q430="","",$K430&amp;"")</f>
        <v/>
      </c>
      <c r="S430" s="9">
        <f>IF(Q430="","",IF(MATCH(R430,$R$5:$R$100000,0)=ROW()-4,ROW(),""))</f>
        <v/>
      </c>
      <c r="T430" s="9">
        <f>IF(Q430="당기",ABS(P430)+ROW()/1000000000,"")</f>
        <v/>
      </c>
      <c r="U430" s="9">
        <f>IF(Q430="비교",ABS(P430)+ROW()/1000000000,"")</f>
        <v/>
      </c>
      <c r="V430" s="64">
        <f>IF($A430="","",IF(COUNTIF(변동분석!$E$7:$E$506,O430)&gt;0,"Y","N"))</f>
        <v/>
      </c>
      <c r="W430" s="64">
        <f>IF($A430="","",IFERROR(INDEX(계정매핑!$D$5:$D$504,MATCH($F430&amp;"",계정매핑!$A$5:$A$504,0)),"미매핑"))</f>
        <v/>
      </c>
      <c r="X430" s="9">
        <f>IF($A430="","",$F430&amp;"")</f>
        <v/>
      </c>
      <c r="Y430" s="94">
        <f>IF($A430="",0,IF(AE430="직접",IF(AF430="비귀속",$P430,0),$P430*(1-AG430)*IFERROR(INDEX(계정대체기준!$F$20:$F$49,MATCH($N430,계정대체기준!$A$20:$A$49,0)),1)))</f>
        <v/>
      </c>
      <c r="Z430" s="94">
        <f>IF($A430="",0,IF(AE430="직접",IF(AF430="신계약비",$P430,0),$P430*(1-AG430)*IFERROR(INDEX(계정대체기준!$C$20:$C$49,MATCH($N430,계정대체기준!$A$20:$A$49,0)),0)))</f>
        <v/>
      </c>
      <c r="AA430" s="94">
        <f>IF($A430="",0,IF(AE430="직접",IF(OR(AF430="유지비",AF430="손해조사비"),$P430,0),$P430*(1-AG430)*IFERROR(INDEX(계정대체기준!$D$20:$D$49,MATCH($N430,계정대체기준!$A$20:$A$49,0)),0)))</f>
        <v/>
      </c>
      <c r="AB430" s="94">
        <f>IF($A430="",0,IF(AE430="직접",IF(AF430="수금비",$P430,0),$P430*(1-AG430)*IFERROR(INDEX(계정대체기준!$E$20:$E$49,MATCH($N430,계정대체기준!$A$20:$A$49,0)),0)))</f>
        <v/>
      </c>
      <c r="AC430" s="9">
        <f>IF(AND($A430&lt;&gt;"",M430=설정!$C$20,Z430&gt;0),Z430+ROW()/1000000000,"")</f>
        <v/>
      </c>
      <c r="AD430" s="94">
        <f>IF($A430="",0,$P430*AG430)</f>
        <v/>
      </c>
      <c r="AE430" s="64">
        <f>IF($A430="","",IFERROR(INDEX(계정매핑!$E$5:$E$504,MATCH($F430&amp;"",계정매핑!$A$5:$A$504,0))&amp;"","공통비"))</f>
        <v/>
      </c>
      <c r="AF430" s="64">
        <f>IF($A430="","",IF(AE430="직접",IFERROR(INDEX(계정매핑!$F$5:$F$504,MATCH($F430&amp;"",계정매핑!$A$5:$A$504,0))&amp;"","비귀속"),""))</f>
        <v/>
      </c>
      <c r="AG430" s="96">
        <f>IF($A430="",0,IF(AND(AE430&lt;&gt;"직접",IFERROR(INDEX(계정매핑!$G$5:$G$504,MATCH($F430&amp;"",계정매핑!$A$5:$A$504,0))&amp;"","")="유지비",COUNTIF(계정대체기준!$A$6:$A$15,$N430)&gt;0),IFERROR(INDEX(계정대체기준!$E$6:$E$15,MATCH(VALUE($A430&amp;""),계정대체기준!$D$6:$D$15,0)),0),0))</f>
        <v/>
      </c>
      <c r="AH430" s="64">
        <f>IF($A430="","",IF(AD430=0,"",IF(OR(COUNTIF(계정대체기준!$A$77:$A$86,$N430)&gt;0,ISNUMBER(MATCH($X430,계정대체기준!$D$77:$D$86,0)),ISNUMBER(MATCH($F430,계정대체기준!$D$77:$D$86,0))),"Y","N")))</f>
        <v/>
      </c>
    </row>
    <row r="431">
      <c r="A431" s="92" t="n">
        <v>2025</v>
      </c>
      <c r="B431" s="92" t="n">
        <v>2</v>
      </c>
      <c r="C431" s="92" t="inlineStr">
        <is>
          <t>5100000427</t>
        </is>
      </c>
      <c r="D431" s="95" t="n">
        <v>45711</v>
      </c>
      <c r="E431" s="92" t="inlineStr">
        <is>
          <t>KR</t>
        </is>
      </c>
      <c r="F431" s="92" t="n">
        <v>62601000</v>
      </c>
      <c r="G431" s="92" t="n">
        <v>1101</v>
      </c>
      <c r="H431" s="93" t="n">
        <v>3065000</v>
      </c>
      <c r="I431" s="92" t="inlineStr">
        <is>
          <t>2월 업무추진 - (법인카드)</t>
        </is>
      </c>
      <c r="J431" s="92" t="inlineStr">
        <is>
          <t>V10010</t>
        </is>
      </c>
      <c r="K431" s="92" t="inlineStr">
        <is>
          <t>(법인카드)</t>
        </is>
      </c>
      <c r="M431" s="9">
        <f>IF($A431="","",VALUE($A431&amp;"")*12+VALUE($B431&amp;""))</f>
        <v/>
      </c>
      <c r="N431" s="64">
        <f>IF($A431="","",IFERROR(INDEX(부서매핑!$C$5:$C$504,MATCH($G431&amp;"",부서매핑!$A$5:$A$504,0)),"미매핑"))</f>
        <v/>
      </c>
      <c r="O431" s="9">
        <f>IF($A431="","",N431&amp;"|"&amp;$F431)</f>
        <v/>
      </c>
      <c r="P431" s="94">
        <f>IF($A431="",0,$H431*설정!$C$23)</f>
        <v/>
      </c>
      <c r="Q431" s="64">
        <f>IF($A431="","",IF(O431&lt;&gt;원인분석!$C$9,"",IF(AND(M431&gt;=원인분석!$C$10,M431&lt;=원인분석!$C$11),"당기",IF(AND(M431&gt;=원인분석!$C$12,M431&lt;=원인분석!$C$13),"비교",""))))</f>
        <v/>
      </c>
      <c r="R431" s="9">
        <f>IF(Q431="","",$K431&amp;"")</f>
        <v/>
      </c>
      <c r="S431" s="9">
        <f>IF(Q431="","",IF(MATCH(R431,$R$5:$R$100000,0)=ROW()-4,ROW(),""))</f>
        <v/>
      </c>
      <c r="T431" s="9">
        <f>IF(Q431="당기",ABS(P431)+ROW()/1000000000,"")</f>
        <v/>
      </c>
      <c r="U431" s="9">
        <f>IF(Q431="비교",ABS(P431)+ROW()/1000000000,"")</f>
        <v/>
      </c>
      <c r="V431" s="64">
        <f>IF($A431="","",IF(COUNTIF(변동분석!$E$7:$E$506,O431)&gt;0,"Y","N"))</f>
        <v/>
      </c>
      <c r="W431" s="64">
        <f>IF($A431="","",IFERROR(INDEX(계정매핑!$D$5:$D$504,MATCH($F431&amp;"",계정매핑!$A$5:$A$504,0)),"미매핑"))</f>
        <v/>
      </c>
      <c r="X431" s="9">
        <f>IF($A431="","",$F431&amp;"")</f>
        <v/>
      </c>
      <c r="Y431" s="94">
        <f>IF($A431="",0,IF(AE431="직접",IF(AF431="비귀속",$P431,0),$P431*(1-AG431)*IFERROR(INDEX(계정대체기준!$F$20:$F$49,MATCH($N431,계정대체기준!$A$20:$A$49,0)),1)))</f>
        <v/>
      </c>
      <c r="Z431" s="94">
        <f>IF($A431="",0,IF(AE431="직접",IF(AF431="신계약비",$P431,0),$P431*(1-AG431)*IFERROR(INDEX(계정대체기준!$C$20:$C$49,MATCH($N431,계정대체기준!$A$20:$A$49,0)),0)))</f>
        <v/>
      </c>
      <c r="AA431" s="94">
        <f>IF($A431="",0,IF(AE431="직접",IF(OR(AF431="유지비",AF431="손해조사비"),$P431,0),$P431*(1-AG431)*IFERROR(INDEX(계정대체기준!$D$20:$D$49,MATCH($N431,계정대체기준!$A$20:$A$49,0)),0)))</f>
        <v/>
      </c>
      <c r="AB431" s="94">
        <f>IF($A431="",0,IF(AE431="직접",IF(AF431="수금비",$P431,0),$P431*(1-AG431)*IFERROR(INDEX(계정대체기준!$E$20:$E$49,MATCH($N431,계정대체기준!$A$20:$A$49,0)),0)))</f>
        <v/>
      </c>
      <c r="AC431" s="9">
        <f>IF(AND($A431&lt;&gt;"",M431=설정!$C$20,Z431&gt;0),Z431+ROW()/1000000000,"")</f>
        <v/>
      </c>
      <c r="AD431" s="94">
        <f>IF($A431="",0,$P431*AG431)</f>
        <v/>
      </c>
      <c r="AE431" s="64">
        <f>IF($A431="","",IFERROR(INDEX(계정매핑!$E$5:$E$504,MATCH($F431&amp;"",계정매핑!$A$5:$A$504,0))&amp;"","공통비"))</f>
        <v/>
      </c>
      <c r="AF431" s="64">
        <f>IF($A431="","",IF(AE431="직접",IFERROR(INDEX(계정매핑!$F$5:$F$504,MATCH($F431&amp;"",계정매핑!$A$5:$A$504,0))&amp;"","비귀속"),""))</f>
        <v/>
      </c>
      <c r="AG431" s="96">
        <f>IF($A431="",0,IF(AND(AE431&lt;&gt;"직접",IFERROR(INDEX(계정매핑!$G$5:$G$504,MATCH($F431&amp;"",계정매핑!$A$5:$A$504,0))&amp;"","")="유지비",COUNTIF(계정대체기준!$A$6:$A$15,$N431)&gt;0),IFERROR(INDEX(계정대체기준!$E$6:$E$15,MATCH(VALUE($A431&amp;""),계정대체기준!$D$6:$D$15,0)),0),0))</f>
        <v/>
      </c>
      <c r="AH431" s="64">
        <f>IF($A431="","",IF(AD431=0,"",IF(OR(COUNTIF(계정대체기준!$A$77:$A$86,$N431)&gt;0,ISNUMBER(MATCH($X431,계정대체기준!$D$77:$D$86,0)),ISNUMBER(MATCH($F431,계정대체기준!$D$77:$D$86,0))),"Y","N")))</f>
        <v/>
      </c>
    </row>
    <row r="432">
      <c r="A432" s="92" t="n">
        <v>2025</v>
      </c>
      <c r="B432" s="92" t="n">
        <v>2</v>
      </c>
      <c r="C432" s="92" t="inlineStr">
        <is>
          <t>5100000428</t>
        </is>
      </c>
      <c r="D432" s="95" t="n">
        <v>45711</v>
      </c>
      <c r="E432" s="92" t="inlineStr">
        <is>
          <t>KR</t>
        </is>
      </c>
      <c r="F432" s="92" t="n">
        <v>62902000</v>
      </c>
      <c r="G432" s="92" t="n">
        <v>1201</v>
      </c>
      <c r="H432" s="93" t="n">
        <v>5137000</v>
      </c>
      <c r="I432" s="92" t="inlineStr">
        <is>
          <t>2월 업무 위탁 수수료 - X서비스</t>
        </is>
      </c>
      <c r="J432" s="92" t="inlineStr">
        <is>
          <t>V10020</t>
        </is>
      </c>
      <c r="K432" s="92" t="inlineStr">
        <is>
          <t>X서비스</t>
        </is>
      </c>
      <c r="M432" s="9">
        <f>IF($A432="","",VALUE($A432&amp;"")*12+VALUE($B432&amp;""))</f>
        <v/>
      </c>
      <c r="N432" s="64">
        <f>IF($A432="","",IFERROR(INDEX(부서매핑!$C$5:$C$504,MATCH($G432&amp;"",부서매핑!$A$5:$A$504,0)),"미매핑"))</f>
        <v/>
      </c>
      <c r="O432" s="9">
        <f>IF($A432="","",N432&amp;"|"&amp;$F432)</f>
        <v/>
      </c>
      <c r="P432" s="94">
        <f>IF($A432="",0,$H432*설정!$C$23)</f>
        <v/>
      </c>
      <c r="Q432" s="64">
        <f>IF($A432="","",IF(O432&lt;&gt;원인분석!$C$9,"",IF(AND(M432&gt;=원인분석!$C$10,M432&lt;=원인분석!$C$11),"당기",IF(AND(M432&gt;=원인분석!$C$12,M432&lt;=원인분석!$C$13),"비교",""))))</f>
        <v/>
      </c>
      <c r="R432" s="9">
        <f>IF(Q432="","",$K432&amp;"")</f>
        <v/>
      </c>
      <c r="S432" s="9">
        <f>IF(Q432="","",IF(MATCH(R432,$R$5:$R$100000,0)=ROW()-4,ROW(),""))</f>
        <v/>
      </c>
      <c r="T432" s="9">
        <f>IF(Q432="당기",ABS(P432)+ROW()/1000000000,"")</f>
        <v/>
      </c>
      <c r="U432" s="9">
        <f>IF(Q432="비교",ABS(P432)+ROW()/1000000000,"")</f>
        <v/>
      </c>
      <c r="V432" s="64">
        <f>IF($A432="","",IF(COUNTIF(변동분석!$E$7:$E$506,O432)&gt;0,"Y","N"))</f>
        <v/>
      </c>
      <c r="W432" s="64">
        <f>IF($A432="","",IFERROR(INDEX(계정매핑!$D$5:$D$504,MATCH($F432&amp;"",계정매핑!$A$5:$A$504,0)),"미매핑"))</f>
        <v/>
      </c>
      <c r="X432" s="9">
        <f>IF($A432="","",$F432&amp;"")</f>
        <v/>
      </c>
      <c r="Y432" s="94">
        <f>IF($A432="",0,IF(AE432="직접",IF(AF432="비귀속",$P432,0),$P432*(1-AG432)*IFERROR(INDEX(계정대체기준!$F$20:$F$49,MATCH($N432,계정대체기준!$A$20:$A$49,0)),1)))</f>
        <v/>
      </c>
      <c r="Z432" s="94">
        <f>IF($A432="",0,IF(AE432="직접",IF(AF432="신계약비",$P432,0),$P432*(1-AG432)*IFERROR(INDEX(계정대체기준!$C$20:$C$49,MATCH($N432,계정대체기준!$A$20:$A$49,0)),0)))</f>
        <v/>
      </c>
      <c r="AA432" s="94">
        <f>IF($A432="",0,IF(AE432="직접",IF(OR(AF432="유지비",AF432="손해조사비"),$P432,0),$P432*(1-AG432)*IFERROR(INDEX(계정대체기준!$D$20:$D$49,MATCH($N432,계정대체기준!$A$20:$A$49,0)),0)))</f>
        <v/>
      </c>
      <c r="AB432" s="94">
        <f>IF($A432="",0,IF(AE432="직접",IF(AF432="수금비",$P432,0),$P432*(1-AG432)*IFERROR(INDEX(계정대체기준!$E$20:$E$49,MATCH($N432,계정대체기준!$A$20:$A$49,0)),0)))</f>
        <v/>
      </c>
      <c r="AC432" s="9">
        <f>IF(AND($A432&lt;&gt;"",M432=설정!$C$20,Z432&gt;0),Z432+ROW()/1000000000,"")</f>
        <v/>
      </c>
      <c r="AD432" s="94">
        <f>IF($A432="",0,$P432*AG432)</f>
        <v/>
      </c>
      <c r="AE432" s="64">
        <f>IF($A432="","",IFERROR(INDEX(계정매핑!$E$5:$E$504,MATCH($F432&amp;"",계정매핑!$A$5:$A$504,0))&amp;"","공통비"))</f>
        <v/>
      </c>
      <c r="AF432" s="64">
        <f>IF($A432="","",IF(AE432="직접",IFERROR(INDEX(계정매핑!$F$5:$F$504,MATCH($F432&amp;"",계정매핑!$A$5:$A$504,0))&amp;"","비귀속"),""))</f>
        <v/>
      </c>
      <c r="AG432" s="96">
        <f>IF($A432="",0,IF(AND(AE432&lt;&gt;"직접",IFERROR(INDEX(계정매핑!$G$5:$G$504,MATCH($F432&amp;"",계정매핑!$A$5:$A$504,0))&amp;"","")="유지비",COUNTIF(계정대체기준!$A$6:$A$15,$N432)&gt;0),IFERROR(INDEX(계정대체기준!$E$6:$E$15,MATCH(VALUE($A432&amp;""),계정대체기준!$D$6:$D$15,0)),0),0))</f>
        <v/>
      </c>
      <c r="AH432" s="64">
        <f>IF($A432="","",IF(AD432=0,"",IF(OR(COUNTIF(계정대체기준!$A$77:$A$86,$N432)&gt;0,ISNUMBER(MATCH($X432,계정대체기준!$D$77:$D$86,0)),ISNUMBER(MATCH($F432,계정대체기준!$D$77:$D$86,0))),"Y","N")))</f>
        <v/>
      </c>
    </row>
    <row r="433">
      <c r="A433" s="92" t="n">
        <v>2025</v>
      </c>
      <c r="B433" s="92" t="n">
        <v>2</v>
      </c>
      <c r="C433" s="92" t="inlineStr">
        <is>
          <t>5100000429</t>
        </is>
      </c>
      <c r="D433" s="95" t="n">
        <v>45711</v>
      </c>
      <c r="E433" s="92" t="inlineStr">
        <is>
          <t>KR</t>
        </is>
      </c>
      <c r="F433" s="92" t="n">
        <v>62902000</v>
      </c>
      <c r="G433" s="92" t="n">
        <v>1801</v>
      </c>
      <c r="H433" s="93" t="n">
        <v>1766000</v>
      </c>
      <c r="I433" s="92" t="inlineStr">
        <is>
          <t>2월 콜 위탁 수수료(건별)</t>
        </is>
      </c>
      <c r="J433" s="92" t="inlineStr">
        <is>
          <t>V10016</t>
        </is>
      </c>
      <c r="K433" s="92" t="inlineStr">
        <is>
          <t>J콜센터</t>
        </is>
      </c>
      <c r="M433" s="9">
        <f>IF($A433="","",VALUE($A433&amp;"")*12+VALUE($B433&amp;""))</f>
        <v/>
      </c>
      <c r="N433" s="64">
        <f>IF($A433="","",IFERROR(INDEX(부서매핑!$C$5:$C$504,MATCH($G433&amp;"",부서매핑!$A$5:$A$504,0)),"미매핑"))</f>
        <v/>
      </c>
      <c r="O433" s="9">
        <f>IF($A433="","",N433&amp;"|"&amp;$F433)</f>
        <v/>
      </c>
      <c r="P433" s="94">
        <f>IF($A433="",0,$H433*설정!$C$23)</f>
        <v/>
      </c>
      <c r="Q433" s="64">
        <f>IF($A433="","",IF(O433&lt;&gt;원인분석!$C$9,"",IF(AND(M433&gt;=원인분석!$C$10,M433&lt;=원인분석!$C$11),"당기",IF(AND(M433&gt;=원인분석!$C$12,M433&lt;=원인분석!$C$13),"비교",""))))</f>
        <v/>
      </c>
      <c r="R433" s="9">
        <f>IF(Q433="","",$K433&amp;"")</f>
        <v/>
      </c>
      <c r="S433" s="9">
        <f>IF(Q433="","",IF(MATCH(R433,$R$5:$R$100000,0)=ROW()-4,ROW(),""))</f>
        <v/>
      </c>
      <c r="T433" s="9">
        <f>IF(Q433="당기",ABS(P433)+ROW()/1000000000,"")</f>
        <v/>
      </c>
      <c r="U433" s="9">
        <f>IF(Q433="비교",ABS(P433)+ROW()/1000000000,"")</f>
        <v/>
      </c>
      <c r="V433" s="64">
        <f>IF($A433="","",IF(COUNTIF(변동분석!$E$7:$E$506,O433)&gt;0,"Y","N"))</f>
        <v/>
      </c>
      <c r="W433" s="64">
        <f>IF($A433="","",IFERROR(INDEX(계정매핑!$D$5:$D$504,MATCH($F433&amp;"",계정매핑!$A$5:$A$504,0)),"미매핑"))</f>
        <v/>
      </c>
      <c r="X433" s="9">
        <f>IF($A433="","",$F433&amp;"")</f>
        <v/>
      </c>
      <c r="Y433" s="94">
        <f>IF($A433="",0,IF(AE433="직접",IF(AF433="비귀속",$P433,0),$P433*(1-AG433)*IFERROR(INDEX(계정대체기준!$F$20:$F$49,MATCH($N433,계정대체기준!$A$20:$A$49,0)),1)))</f>
        <v/>
      </c>
      <c r="Z433" s="94">
        <f>IF($A433="",0,IF(AE433="직접",IF(AF433="신계약비",$P433,0),$P433*(1-AG433)*IFERROR(INDEX(계정대체기준!$C$20:$C$49,MATCH($N433,계정대체기준!$A$20:$A$49,0)),0)))</f>
        <v/>
      </c>
      <c r="AA433" s="94">
        <f>IF($A433="",0,IF(AE433="직접",IF(OR(AF433="유지비",AF433="손해조사비"),$P433,0),$P433*(1-AG433)*IFERROR(INDEX(계정대체기준!$D$20:$D$49,MATCH($N433,계정대체기준!$A$20:$A$49,0)),0)))</f>
        <v/>
      </c>
      <c r="AB433" s="94">
        <f>IF($A433="",0,IF(AE433="직접",IF(AF433="수금비",$P433,0),$P433*(1-AG433)*IFERROR(INDEX(계정대체기준!$E$20:$E$49,MATCH($N433,계정대체기준!$A$20:$A$49,0)),0)))</f>
        <v/>
      </c>
      <c r="AC433" s="9">
        <f>IF(AND($A433&lt;&gt;"",M433=설정!$C$20,Z433&gt;0),Z433+ROW()/1000000000,"")</f>
        <v/>
      </c>
      <c r="AD433" s="94">
        <f>IF($A433="",0,$P433*AG433)</f>
        <v/>
      </c>
      <c r="AE433" s="64">
        <f>IF($A433="","",IFERROR(INDEX(계정매핑!$E$5:$E$504,MATCH($F433&amp;"",계정매핑!$A$5:$A$504,0))&amp;"","공통비"))</f>
        <v/>
      </c>
      <c r="AF433" s="64">
        <f>IF($A433="","",IF(AE433="직접",IFERROR(INDEX(계정매핑!$F$5:$F$504,MATCH($F433&amp;"",계정매핑!$A$5:$A$504,0))&amp;"","비귀속"),""))</f>
        <v/>
      </c>
      <c r="AG433" s="96">
        <f>IF($A433="",0,IF(AND(AE433&lt;&gt;"직접",IFERROR(INDEX(계정매핑!$G$5:$G$504,MATCH($F433&amp;"",계정매핑!$A$5:$A$504,0))&amp;"","")="유지비",COUNTIF(계정대체기준!$A$6:$A$15,$N433)&gt;0),IFERROR(INDEX(계정대체기준!$E$6:$E$15,MATCH(VALUE($A433&amp;""),계정대체기준!$D$6:$D$15,0)),0),0))</f>
        <v/>
      </c>
      <c r="AH433" s="64">
        <f>IF($A433="","",IF(AD433=0,"",IF(OR(COUNTIF(계정대체기준!$A$77:$A$86,$N433)&gt;0,ISNUMBER(MATCH($X433,계정대체기준!$D$77:$D$86,0)),ISNUMBER(MATCH($F433,계정대체기준!$D$77:$D$86,0))),"Y","N")))</f>
        <v/>
      </c>
    </row>
    <row r="434">
      <c r="A434" s="92" t="n">
        <v>2025</v>
      </c>
      <c r="B434" s="92" t="n">
        <v>2</v>
      </c>
      <c r="C434" s="92" t="inlineStr">
        <is>
          <t>5100000430</t>
        </is>
      </c>
      <c r="D434" s="95" t="n">
        <v>45712</v>
      </c>
      <c r="E434" s="92" t="inlineStr">
        <is>
          <t>KR</t>
        </is>
      </c>
      <c r="F434" s="92" t="n">
        <v>62101000</v>
      </c>
      <c r="G434" s="92" t="n">
        <v>1301</v>
      </c>
      <c r="H434" s="93" t="n">
        <v>456000</v>
      </c>
      <c r="I434" s="92" t="inlineStr">
        <is>
          <t>2월 국내출장 - (법인카드)</t>
        </is>
      </c>
      <c r="J434" s="92" t="inlineStr">
        <is>
          <t>V10010</t>
        </is>
      </c>
      <c r="K434" s="92" t="inlineStr">
        <is>
          <t>(법인카드)</t>
        </is>
      </c>
      <c r="M434" s="9">
        <f>IF($A434="","",VALUE($A434&amp;"")*12+VALUE($B434&amp;""))</f>
        <v/>
      </c>
      <c r="N434" s="64">
        <f>IF($A434="","",IFERROR(INDEX(부서매핑!$C$5:$C$504,MATCH($G434&amp;"",부서매핑!$A$5:$A$504,0)),"미매핑"))</f>
        <v/>
      </c>
      <c r="O434" s="9">
        <f>IF($A434="","",N434&amp;"|"&amp;$F434)</f>
        <v/>
      </c>
      <c r="P434" s="94">
        <f>IF($A434="",0,$H434*설정!$C$23)</f>
        <v/>
      </c>
      <c r="Q434" s="64">
        <f>IF($A434="","",IF(O434&lt;&gt;원인분석!$C$9,"",IF(AND(M434&gt;=원인분석!$C$10,M434&lt;=원인분석!$C$11),"당기",IF(AND(M434&gt;=원인분석!$C$12,M434&lt;=원인분석!$C$13),"비교",""))))</f>
        <v/>
      </c>
      <c r="R434" s="9">
        <f>IF(Q434="","",$K434&amp;"")</f>
        <v/>
      </c>
      <c r="S434" s="9">
        <f>IF(Q434="","",IF(MATCH(R434,$R$5:$R$100000,0)=ROW()-4,ROW(),""))</f>
        <v/>
      </c>
      <c r="T434" s="9">
        <f>IF(Q434="당기",ABS(P434)+ROW()/1000000000,"")</f>
        <v/>
      </c>
      <c r="U434" s="9">
        <f>IF(Q434="비교",ABS(P434)+ROW()/1000000000,"")</f>
        <v/>
      </c>
      <c r="V434" s="64">
        <f>IF($A434="","",IF(COUNTIF(변동분석!$E$7:$E$506,O434)&gt;0,"Y","N"))</f>
        <v/>
      </c>
      <c r="W434" s="64">
        <f>IF($A434="","",IFERROR(INDEX(계정매핑!$D$5:$D$504,MATCH($F434&amp;"",계정매핑!$A$5:$A$504,0)),"미매핑"))</f>
        <v/>
      </c>
      <c r="X434" s="9">
        <f>IF($A434="","",$F434&amp;"")</f>
        <v/>
      </c>
      <c r="Y434" s="94">
        <f>IF($A434="",0,IF(AE434="직접",IF(AF434="비귀속",$P434,0),$P434*(1-AG434)*IFERROR(INDEX(계정대체기준!$F$20:$F$49,MATCH($N434,계정대체기준!$A$20:$A$49,0)),1)))</f>
        <v/>
      </c>
      <c r="Z434" s="94">
        <f>IF($A434="",0,IF(AE434="직접",IF(AF434="신계약비",$P434,0),$P434*(1-AG434)*IFERROR(INDEX(계정대체기준!$C$20:$C$49,MATCH($N434,계정대체기준!$A$20:$A$49,0)),0)))</f>
        <v/>
      </c>
      <c r="AA434" s="94">
        <f>IF($A434="",0,IF(AE434="직접",IF(OR(AF434="유지비",AF434="손해조사비"),$P434,0),$P434*(1-AG434)*IFERROR(INDEX(계정대체기준!$D$20:$D$49,MATCH($N434,계정대체기준!$A$20:$A$49,0)),0)))</f>
        <v/>
      </c>
      <c r="AB434" s="94">
        <f>IF($A434="",0,IF(AE434="직접",IF(AF434="수금비",$P434,0),$P434*(1-AG434)*IFERROR(INDEX(계정대체기준!$E$20:$E$49,MATCH($N434,계정대체기준!$A$20:$A$49,0)),0)))</f>
        <v/>
      </c>
      <c r="AC434" s="9">
        <f>IF(AND($A434&lt;&gt;"",M434=설정!$C$20,Z434&gt;0),Z434+ROW()/1000000000,"")</f>
        <v/>
      </c>
      <c r="AD434" s="94">
        <f>IF($A434="",0,$P434*AG434)</f>
        <v/>
      </c>
      <c r="AE434" s="64">
        <f>IF($A434="","",IFERROR(INDEX(계정매핑!$E$5:$E$504,MATCH($F434&amp;"",계정매핑!$A$5:$A$504,0))&amp;"","공통비"))</f>
        <v/>
      </c>
      <c r="AF434" s="64">
        <f>IF($A434="","",IF(AE434="직접",IFERROR(INDEX(계정매핑!$F$5:$F$504,MATCH($F434&amp;"",계정매핑!$A$5:$A$504,0))&amp;"","비귀속"),""))</f>
        <v/>
      </c>
      <c r="AG434" s="96">
        <f>IF($A434="",0,IF(AND(AE434&lt;&gt;"직접",IFERROR(INDEX(계정매핑!$G$5:$G$504,MATCH($F434&amp;"",계정매핑!$A$5:$A$504,0))&amp;"","")="유지비",COUNTIF(계정대체기준!$A$6:$A$15,$N434)&gt;0),IFERROR(INDEX(계정대체기준!$E$6:$E$15,MATCH(VALUE($A434&amp;""),계정대체기준!$D$6:$D$15,0)),0),0))</f>
        <v/>
      </c>
      <c r="AH434" s="64">
        <f>IF($A434="","",IF(AD434=0,"",IF(OR(COUNTIF(계정대체기준!$A$77:$A$86,$N434)&gt;0,ISNUMBER(MATCH($X434,계정대체기준!$D$77:$D$86,0)),ISNUMBER(MATCH($F434,계정대체기준!$D$77:$D$86,0))),"Y","N")))</f>
        <v/>
      </c>
    </row>
    <row r="435">
      <c r="A435" s="92" t="n">
        <v>2025</v>
      </c>
      <c r="B435" s="92" t="n">
        <v>2</v>
      </c>
      <c r="C435" s="92" t="inlineStr">
        <is>
          <t>5100000431</t>
        </is>
      </c>
      <c r="D435" s="95" t="n">
        <v>45712</v>
      </c>
      <c r="E435" s="92" t="inlineStr">
        <is>
          <t>KR</t>
        </is>
      </c>
      <c r="F435" s="92" t="n">
        <v>62101000</v>
      </c>
      <c r="G435" s="92" t="n">
        <v>1401</v>
      </c>
      <c r="H435" s="93" t="n">
        <v>536000</v>
      </c>
      <c r="I435" s="92" t="inlineStr">
        <is>
          <t>2월 국내출장 - L여행사</t>
        </is>
      </c>
      <c r="J435" s="92" t="inlineStr">
        <is>
          <t>V10018</t>
        </is>
      </c>
      <c r="K435" s="92" t="inlineStr">
        <is>
          <t>L여행사</t>
        </is>
      </c>
      <c r="M435" s="9">
        <f>IF($A435="","",VALUE($A435&amp;"")*12+VALUE($B435&amp;""))</f>
        <v/>
      </c>
      <c r="N435" s="64">
        <f>IF($A435="","",IFERROR(INDEX(부서매핑!$C$5:$C$504,MATCH($G435&amp;"",부서매핑!$A$5:$A$504,0)),"미매핑"))</f>
        <v/>
      </c>
      <c r="O435" s="9">
        <f>IF($A435="","",N435&amp;"|"&amp;$F435)</f>
        <v/>
      </c>
      <c r="P435" s="94">
        <f>IF($A435="",0,$H435*설정!$C$23)</f>
        <v/>
      </c>
      <c r="Q435" s="64">
        <f>IF($A435="","",IF(O435&lt;&gt;원인분석!$C$9,"",IF(AND(M435&gt;=원인분석!$C$10,M435&lt;=원인분석!$C$11),"당기",IF(AND(M435&gt;=원인분석!$C$12,M435&lt;=원인분석!$C$13),"비교",""))))</f>
        <v/>
      </c>
      <c r="R435" s="9">
        <f>IF(Q435="","",$K435&amp;"")</f>
        <v/>
      </c>
      <c r="S435" s="9">
        <f>IF(Q435="","",IF(MATCH(R435,$R$5:$R$100000,0)=ROW()-4,ROW(),""))</f>
        <v/>
      </c>
      <c r="T435" s="9">
        <f>IF(Q435="당기",ABS(P435)+ROW()/1000000000,"")</f>
        <v/>
      </c>
      <c r="U435" s="9">
        <f>IF(Q435="비교",ABS(P435)+ROW()/1000000000,"")</f>
        <v/>
      </c>
      <c r="V435" s="64">
        <f>IF($A435="","",IF(COUNTIF(변동분석!$E$7:$E$506,O435)&gt;0,"Y","N"))</f>
        <v/>
      </c>
      <c r="W435" s="64">
        <f>IF($A435="","",IFERROR(INDEX(계정매핑!$D$5:$D$504,MATCH($F435&amp;"",계정매핑!$A$5:$A$504,0)),"미매핑"))</f>
        <v/>
      </c>
      <c r="X435" s="9">
        <f>IF($A435="","",$F435&amp;"")</f>
        <v/>
      </c>
      <c r="Y435" s="94">
        <f>IF($A435="",0,IF(AE435="직접",IF(AF435="비귀속",$P435,0),$P435*(1-AG435)*IFERROR(INDEX(계정대체기준!$F$20:$F$49,MATCH($N435,계정대체기준!$A$20:$A$49,0)),1)))</f>
        <v/>
      </c>
      <c r="Z435" s="94">
        <f>IF($A435="",0,IF(AE435="직접",IF(AF435="신계약비",$P435,0),$P435*(1-AG435)*IFERROR(INDEX(계정대체기준!$C$20:$C$49,MATCH($N435,계정대체기준!$A$20:$A$49,0)),0)))</f>
        <v/>
      </c>
      <c r="AA435" s="94">
        <f>IF($A435="",0,IF(AE435="직접",IF(OR(AF435="유지비",AF435="손해조사비"),$P435,0),$P435*(1-AG435)*IFERROR(INDEX(계정대체기준!$D$20:$D$49,MATCH($N435,계정대체기준!$A$20:$A$49,0)),0)))</f>
        <v/>
      </c>
      <c r="AB435" s="94">
        <f>IF($A435="",0,IF(AE435="직접",IF(AF435="수금비",$P435,0),$P435*(1-AG435)*IFERROR(INDEX(계정대체기준!$E$20:$E$49,MATCH($N435,계정대체기준!$A$20:$A$49,0)),0)))</f>
        <v/>
      </c>
      <c r="AC435" s="9">
        <f>IF(AND($A435&lt;&gt;"",M435=설정!$C$20,Z435&gt;0),Z435+ROW()/1000000000,"")</f>
        <v/>
      </c>
      <c r="AD435" s="94">
        <f>IF($A435="",0,$P435*AG435)</f>
        <v/>
      </c>
      <c r="AE435" s="64">
        <f>IF($A435="","",IFERROR(INDEX(계정매핑!$E$5:$E$504,MATCH($F435&amp;"",계정매핑!$A$5:$A$504,0))&amp;"","공통비"))</f>
        <v/>
      </c>
      <c r="AF435" s="64">
        <f>IF($A435="","",IF(AE435="직접",IFERROR(INDEX(계정매핑!$F$5:$F$504,MATCH($F435&amp;"",계정매핑!$A$5:$A$504,0))&amp;"","비귀속"),""))</f>
        <v/>
      </c>
      <c r="AG435" s="96">
        <f>IF($A435="",0,IF(AND(AE435&lt;&gt;"직접",IFERROR(INDEX(계정매핑!$G$5:$G$504,MATCH($F435&amp;"",계정매핑!$A$5:$A$504,0))&amp;"","")="유지비",COUNTIF(계정대체기준!$A$6:$A$15,$N435)&gt;0),IFERROR(INDEX(계정대체기준!$E$6:$E$15,MATCH(VALUE($A435&amp;""),계정대체기준!$D$6:$D$15,0)),0),0))</f>
        <v/>
      </c>
      <c r="AH435" s="64">
        <f>IF($A435="","",IF(AD435=0,"",IF(OR(COUNTIF(계정대체기준!$A$77:$A$86,$N435)&gt;0,ISNUMBER(MATCH($X435,계정대체기준!$D$77:$D$86,0)),ISNUMBER(MATCH($F435,계정대체기준!$D$77:$D$86,0))),"Y","N")))</f>
        <v/>
      </c>
    </row>
    <row r="436">
      <c r="A436" s="92" t="n">
        <v>2025</v>
      </c>
      <c r="B436" s="92" t="n">
        <v>2</v>
      </c>
      <c r="C436" s="92" t="inlineStr">
        <is>
          <t>5100000432</t>
        </is>
      </c>
      <c r="D436" s="95" t="n">
        <v>45712</v>
      </c>
      <c r="E436" s="92" t="inlineStr">
        <is>
          <t>KR</t>
        </is>
      </c>
      <c r="F436" s="92" t="n">
        <v>62102000</v>
      </c>
      <c r="G436" s="92" t="n">
        <v>1101</v>
      </c>
      <c r="H436" s="93" t="n">
        <v>173000</v>
      </c>
      <c r="I436" s="92" t="inlineStr">
        <is>
          <t>2월 해외출장 - N호텔</t>
        </is>
      </c>
      <c r="J436" s="92" t="inlineStr">
        <is>
          <t>V10009</t>
        </is>
      </c>
      <c r="K436" s="92" t="inlineStr">
        <is>
          <t>N호텔</t>
        </is>
      </c>
      <c r="M436" s="9">
        <f>IF($A436="","",VALUE($A436&amp;"")*12+VALUE($B436&amp;""))</f>
        <v/>
      </c>
      <c r="N436" s="64">
        <f>IF($A436="","",IFERROR(INDEX(부서매핑!$C$5:$C$504,MATCH($G436&amp;"",부서매핑!$A$5:$A$504,0)),"미매핑"))</f>
        <v/>
      </c>
      <c r="O436" s="9">
        <f>IF($A436="","",N436&amp;"|"&amp;$F436)</f>
        <v/>
      </c>
      <c r="P436" s="94">
        <f>IF($A436="",0,$H436*설정!$C$23)</f>
        <v/>
      </c>
      <c r="Q436" s="64">
        <f>IF($A436="","",IF(O436&lt;&gt;원인분석!$C$9,"",IF(AND(M436&gt;=원인분석!$C$10,M436&lt;=원인분석!$C$11),"당기",IF(AND(M436&gt;=원인분석!$C$12,M436&lt;=원인분석!$C$13),"비교",""))))</f>
        <v/>
      </c>
      <c r="R436" s="9">
        <f>IF(Q436="","",$K436&amp;"")</f>
        <v/>
      </c>
      <c r="S436" s="9">
        <f>IF(Q436="","",IF(MATCH(R436,$R$5:$R$100000,0)=ROW()-4,ROW(),""))</f>
        <v/>
      </c>
      <c r="T436" s="9">
        <f>IF(Q436="당기",ABS(P436)+ROW()/1000000000,"")</f>
        <v/>
      </c>
      <c r="U436" s="9">
        <f>IF(Q436="비교",ABS(P436)+ROW()/1000000000,"")</f>
        <v/>
      </c>
      <c r="V436" s="64">
        <f>IF($A436="","",IF(COUNTIF(변동분석!$E$7:$E$506,O436)&gt;0,"Y","N"))</f>
        <v/>
      </c>
      <c r="W436" s="64">
        <f>IF($A436="","",IFERROR(INDEX(계정매핑!$D$5:$D$504,MATCH($F436&amp;"",계정매핑!$A$5:$A$504,0)),"미매핑"))</f>
        <v/>
      </c>
      <c r="X436" s="9">
        <f>IF($A436="","",$F436&amp;"")</f>
        <v/>
      </c>
      <c r="Y436" s="94">
        <f>IF($A436="",0,IF(AE436="직접",IF(AF436="비귀속",$P436,0),$P436*(1-AG436)*IFERROR(INDEX(계정대체기준!$F$20:$F$49,MATCH($N436,계정대체기준!$A$20:$A$49,0)),1)))</f>
        <v/>
      </c>
      <c r="Z436" s="94">
        <f>IF($A436="",0,IF(AE436="직접",IF(AF436="신계약비",$P436,0),$P436*(1-AG436)*IFERROR(INDEX(계정대체기준!$C$20:$C$49,MATCH($N436,계정대체기준!$A$20:$A$49,0)),0)))</f>
        <v/>
      </c>
      <c r="AA436" s="94">
        <f>IF($A436="",0,IF(AE436="직접",IF(OR(AF436="유지비",AF436="손해조사비"),$P436,0),$P436*(1-AG436)*IFERROR(INDEX(계정대체기준!$D$20:$D$49,MATCH($N436,계정대체기준!$A$20:$A$49,0)),0)))</f>
        <v/>
      </c>
      <c r="AB436" s="94">
        <f>IF($A436="",0,IF(AE436="직접",IF(AF436="수금비",$P436,0),$P436*(1-AG436)*IFERROR(INDEX(계정대체기준!$E$20:$E$49,MATCH($N436,계정대체기준!$A$20:$A$49,0)),0)))</f>
        <v/>
      </c>
      <c r="AC436" s="9">
        <f>IF(AND($A436&lt;&gt;"",M436=설정!$C$20,Z436&gt;0),Z436+ROW()/1000000000,"")</f>
        <v/>
      </c>
      <c r="AD436" s="94">
        <f>IF($A436="",0,$P436*AG436)</f>
        <v/>
      </c>
      <c r="AE436" s="64">
        <f>IF($A436="","",IFERROR(INDEX(계정매핑!$E$5:$E$504,MATCH($F436&amp;"",계정매핑!$A$5:$A$504,0))&amp;"","공통비"))</f>
        <v/>
      </c>
      <c r="AF436" s="64">
        <f>IF($A436="","",IF(AE436="직접",IFERROR(INDEX(계정매핑!$F$5:$F$504,MATCH($F436&amp;"",계정매핑!$A$5:$A$504,0))&amp;"","비귀속"),""))</f>
        <v/>
      </c>
      <c r="AG436" s="96">
        <f>IF($A436="",0,IF(AND(AE436&lt;&gt;"직접",IFERROR(INDEX(계정매핑!$G$5:$G$504,MATCH($F436&amp;"",계정매핑!$A$5:$A$504,0))&amp;"","")="유지비",COUNTIF(계정대체기준!$A$6:$A$15,$N436)&gt;0),IFERROR(INDEX(계정대체기준!$E$6:$E$15,MATCH(VALUE($A436&amp;""),계정대체기준!$D$6:$D$15,0)),0),0))</f>
        <v/>
      </c>
      <c r="AH436" s="64">
        <f>IF($A436="","",IF(AD436=0,"",IF(OR(COUNTIF(계정대체기준!$A$77:$A$86,$N436)&gt;0,ISNUMBER(MATCH($X436,계정대체기준!$D$77:$D$86,0)),ISNUMBER(MATCH($F436,계정대체기준!$D$77:$D$86,0))),"Y","N")))</f>
        <v/>
      </c>
    </row>
    <row r="437">
      <c r="A437" s="92" t="n">
        <v>2025</v>
      </c>
      <c r="B437" s="92" t="n">
        <v>2</v>
      </c>
      <c r="C437" s="92" t="inlineStr">
        <is>
          <t>5100000433</t>
        </is>
      </c>
      <c r="D437" s="95" t="n">
        <v>45712</v>
      </c>
      <c r="E437" s="92" t="inlineStr">
        <is>
          <t>KR</t>
        </is>
      </c>
      <c r="F437" s="92" t="n">
        <v>62301000</v>
      </c>
      <c r="G437" s="92" t="n">
        <v>1201</v>
      </c>
      <c r="H437" s="93" t="n">
        <v>186000</v>
      </c>
      <c r="I437" s="92" t="inlineStr">
        <is>
          <t>2월 소모품 구입 - Q오피스</t>
        </is>
      </c>
      <c r="J437" s="92" t="inlineStr">
        <is>
          <t>V10003</t>
        </is>
      </c>
      <c r="K437" s="92" t="inlineStr">
        <is>
          <t>Q오피스</t>
        </is>
      </c>
      <c r="M437" s="9">
        <f>IF($A437="","",VALUE($A437&amp;"")*12+VALUE($B437&amp;""))</f>
        <v/>
      </c>
      <c r="N437" s="64">
        <f>IF($A437="","",IFERROR(INDEX(부서매핑!$C$5:$C$504,MATCH($G437&amp;"",부서매핑!$A$5:$A$504,0)),"미매핑"))</f>
        <v/>
      </c>
      <c r="O437" s="9">
        <f>IF($A437="","",N437&amp;"|"&amp;$F437)</f>
        <v/>
      </c>
      <c r="P437" s="94">
        <f>IF($A437="",0,$H437*설정!$C$23)</f>
        <v/>
      </c>
      <c r="Q437" s="64">
        <f>IF($A437="","",IF(O437&lt;&gt;원인분석!$C$9,"",IF(AND(M437&gt;=원인분석!$C$10,M437&lt;=원인분석!$C$11),"당기",IF(AND(M437&gt;=원인분석!$C$12,M437&lt;=원인분석!$C$13),"비교",""))))</f>
        <v/>
      </c>
      <c r="R437" s="9">
        <f>IF(Q437="","",$K437&amp;"")</f>
        <v/>
      </c>
      <c r="S437" s="9">
        <f>IF(Q437="","",IF(MATCH(R437,$R$5:$R$100000,0)=ROW()-4,ROW(),""))</f>
        <v/>
      </c>
      <c r="T437" s="9">
        <f>IF(Q437="당기",ABS(P437)+ROW()/1000000000,"")</f>
        <v/>
      </c>
      <c r="U437" s="9">
        <f>IF(Q437="비교",ABS(P437)+ROW()/1000000000,"")</f>
        <v/>
      </c>
      <c r="V437" s="64">
        <f>IF($A437="","",IF(COUNTIF(변동분석!$E$7:$E$506,O437)&gt;0,"Y","N"))</f>
        <v/>
      </c>
      <c r="W437" s="64">
        <f>IF($A437="","",IFERROR(INDEX(계정매핑!$D$5:$D$504,MATCH($F437&amp;"",계정매핑!$A$5:$A$504,0)),"미매핑"))</f>
        <v/>
      </c>
      <c r="X437" s="9">
        <f>IF($A437="","",$F437&amp;"")</f>
        <v/>
      </c>
      <c r="Y437" s="94">
        <f>IF($A437="",0,IF(AE437="직접",IF(AF437="비귀속",$P437,0),$P437*(1-AG437)*IFERROR(INDEX(계정대체기준!$F$20:$F$49,MATCH($N437,계정대체기준!$A$20:$A$49,0)),1)))</f>
        <v/>
      </c>
      <c r="Z437" s="94">
        <f>IF($A437="",0,IF(AE437="직접",IF(AF437="신계약비",$P437,0),$P437*(1-AG437)*IFERROR(INDEX(계정대체기준!$C$20:$C$49,MATCH($N437,계정대체기준!$A$20:$A$49,0)),0)))</f>
        <v/>
      </c>
      <c r="AA437" s="94">
        <f>IF($A437="",0,IF(AE437="직접",IF(OR(AF437="유지비",AF437="손해조사비"),$P437,0),$P437*(1-AG437)*IFERROR(INDEX(계정대체기준!$D$20:$D$49,MATCH($N437,계정대체기준!$A$20:$A$49,0)),0)))</f>
        <v/>
      </c>
      <c r="AB437" s="94">
        <f>IF($A437="",0,IF(AE437="직접",IF(AF437="수금비",$P437,0),$P437*(1-AG437)*IFERROR(INDEX(계정대체기준!$E$20:$E$49,MATCH($N437,계정대체기준!$A$20:$A$49,0)),0)))</f>
        <v/>
      </c>
      <c r="AC437" s="9">
        <f>IF(AND($A437&lt;&gt;"",M437=설정!$C$20,Z437&gt;0),Z437+ROW()/1000000000,"")</f>
        <v/>
      </c>
      <c r="AD437" s="94">
        <f>IF($A437="",0,$P437*AG437)</f>
        <v/>
      </c>
      <c r="AE437" s="64">
        <f>IF($A437="","",IFERROR(INDEX(계정매핑!$E$5:$E$504,MATCH($F437&amp;"",계정매핑!$A$5:$A$504,0))&amp;"","공통비"))</f>
        <v/>
      </c>
      <c r="AF437" s="64">
        <f>IF($A437="","",IF(AE437="직접",IFERROR(INDEX(계정매핑!$F$5:$F$504,MATCH($F437&amp;"",계정매핑!$A$5:$A$504,0))&amp;"","비귀속"),""))</f>
        <v/>
      </c>
      <c r="AG437" s="96">
        <f>IF($A437="",0,IF(AND(AE437&lt;&gt;"직접",IFERROR(INDEX(계정매핑!$G$5:$G$504,MATCH($F437&amp;"",계정매핑!$A$5:$A$504,0))&amp;"","")="유지비",COUNTIF(계정대체기준!$A$6:$A$15,$N437)&gt;0),IFERROR(INDEX(계정대체기준!$E$6:$E$15,MATCH(VALUE($A437&amp;""),계정대체기준!$D$6:$D$15,0)),0),0))</f>
        <v/>
      </c>
      <c r="AH437" s="64">
        <f>IF($A437="","",IF(AD437=0,"",IF(OR(COUNTIF(계정대체기준!$A$77:$A$86,$N437)&gt;0,ISNUMBER(MATCH($X437,계정대체기준!$D$77:$D$86,0)),ISNUMBER(MATCH($F437,계정대체기준!$D$77:$D$86,0))),"Y","N")))</f>
        <v/>
      </c>
    </row>
    <row r="438">
      <c r="A438" s="92" t="n">
        <v>2025</v>
      </c>
      <c r="B438" s="92" t="n">
        <v>2</v>
      </c>
      <c r="C438" s="92" t="inlineStr">
        <is>
          <t>5100000434</t>
        </is>
      </c>
      <c r="D438" s="95" t="n">
        <v>45712</v>
      </c>
      <c r="E438" s="92" t="inlineStr">
        <is>
          <t>KR</t>
        </is>
      </c>
      <c r="F438" s="92" t="n">
        <v>62501000</v>
      </c>
      <c r="G438" s="92" t="n">
        <v>1101</v>
      </c>
      <c r="H438" s="93" t="n">
        <v>254000</v>
      </c>
      <c r="I438" s="92" t="inlineStr">
        <is>
          <t>2월 회의 다과 - (법인카드)</t>
        </is>
      </c>
      <c r="J438" s="92" t="inlineStr">
        <is>
          <t>V10010</t>
        </is>
      </c>
      <c r="K438" s="92" t="inlineStr">
        <is>
          <t>(법인카드)</t>
        </is>
      </c>
      <c r="M438" s="9">
        <f>IF($A438="","",VALUE($A438&amp;"")*12+VALUE($B438&amp;""))</f>
        <v/>
      </c>
      <c r="N438" s="64">
        <f>IF($A438="","",IFERROR(INDEX(부서매핑!$C$5:$C$504,MATCH($G438&amp;"",부서매핑!$A$5:$A$504,0)),"미매핑"))</f>
        <v/>
      </c>
      <c r="O438" s="9">
        <f>IF($A438="","",N438&amp;"|"&amp;$F438)</f>
        <v/>
      </c>
      <c r="P438" s="94">
        <f>IF($A438="",0,$H438*설정!$C$23)</f>
        <v/>
      </c>
      <c r="Q438" s="64">
        <f>IF($A438="","",IF(O438&lt;&gt;원인분석!$C$9,"",IF(AND(M438&gt;=원인분석!$C$10,M438&lt;=원인분석!$C$11),"당기",IF(AND(M438&gt;=원인분석!$C$12,M438&lt;=원인분석!$C$13),"비교",""))))</f>
        <v/>
      </c>
      <c r="R438" s="9">
        <f>IF(Q438="","",$K438&amp;"")</f>
        <v/>
      </c>
      <c r="S438" s="9">
        <f>IF(Q438="","",IF(MATCH(R438,$R$5:$R$100000,0)=ROW()-4,ROW(),""))</f>
        <v/>
      </c>
      <c r="T438" s="9">
        <f>IF(Q438="당기",ABS(P438)+ROW()/1000000000,"")</f>
        <v/>
      </c>
      <c r="U438" s="9">
        <f>IF(Q438="비교",ABS(P438)+ROW()/1000000000,"")</f>
        <v/>
      </c>
      <c r="V438" s="64">
        <f>IF($A438="","",IF(COUNTIF(변동분석!$E$7:$E$506,O438)&gt;0,"Y","N"))</f>
        <v/>
      </c>
      <c r="W438" s="64">
        <f>IF($A438="","",IFERROR(INDEX(계정매핑!$D$5:$D$504,MATCH($F438&amp;"",계정매핑!$A$5:$A$504,0)),"미매핑"))</f>
        <v/>
      </c>
      <c r="X438" s="9">
        <f>IF($A438="","",$F438&amp;"")</f>
        <v/>
      </c>
      <c r="Y438" s="94">
        <f>IF($A438="",0,IF(AE438="직접",IF(AF438="비귀속",$P438,0),$P438*(1-AG438)*IFERROR(INDEX(계정대체기준!$F$20:$F$49,MATCH($N438,계정대체기준!$A$20:$A$49,0)),1)))</f>
        <v/>
      </c>
      <c r="Z438" s="94">
        <f>IF($A438="",0,IF(AE438="직접",IF(AF438="신계약비",$P438,0),$P438*(1-AG438)*IFERROR(INDEX(계정대체기준!$C$20:$C$49,MATCH($N438,계정대체기준!$A$20:$A$49,0)),0)))</f>
        <v/>
      </c>
      <c r="AA438" s="94">
        <f>IF($A438="",0,IF(AE438="직접",IF(OR(AF438="유지비",AF438="손해조사비"),$P438,0),$P438*(1-AG438)*IFERROR(INDEX(계정대체기준!$D$20:$D$49,MATCH($N438,계정대체기준!$A$20:$A$49,0)),0)))</f>
        <v/>
      </c>
      <c r="AB438" s="94">
        <f>IF($A438="",0,IF(AE438="직접",IF(AF438="수금비",$P438,0),$P438*(1-AG438)*IFERROR(INDEX(계정대체기준!$E$20:$E$49,MATCH($N438,계정대체기준!$A$20:$A$49,0)),0)))</f>
        <v/>
      </c>
      <c r="AC438" s="9">
        <f>IF(AND($A438&lt;&gt;"",M438=설정!$C$20,Z438&gt;0),Z438+ROW()/1000000000,"")</f>
        <v/>
      </c>
      <c r="AD438" s="94">
        <f>IF($A438="",0,$P438*AG438)</f>
        <v/>
      </c>
      <c r="AE438" s="64">
        <f>IF($A438="","",IFERROR(INDEX(계정매핑!$E$5:$E$504,MATCH($F438&amp;"",계정매핑!$A$5:$A$504,0))&amp;"","공통비"))</f>
        <v/>
      </c>
      <c r="AF438" s="64">
        <f>IF($A438="","",IF(AE438="직접",IFERROR(INDEX(계정매핑!$F$5:$F$504,MATCH($F438&amp;"",계정매핑!$A$5:$A$504,0))&amp;"","비귀속"),""))</f>
        <v/>
      </c>
      <c r="AG438" s="96">
        <f>IF($A438="",0,IF(AND(AE438&lt;&gt;"직접",IFERROR(INDEX(계정매핑!$G$5:$G$504,MATCH($F438&amp;"",계정매핑!$A$5:$A$504,0))&amp;"","")="유지비",COUNTIF(계정대체기준!$A$6:$A$15,$N438)&gt;0),IFERROR(INDEX(계정대체기준!$E$6:$E$15,MATCH(VALUE($A438&amp;""),계정대체기준!$D$6:$D$15,0)),0),0))</f>
        <v/>
      </c>
      <c r="AH438" s="64">
        <f>IF($A438="","",IF(AD438=0,"",IF(OR(COUNTIF(계정대체기준!$A$77:$A$86,$N438)&gt;0,ISNUMBER(MATCH($X438,계정대체기준!$D$77:$D$86,0)),ISNUMBER(MATCH($F438,계정대체기준!$D$77:$D$86,0))),"Y","N")))</f>
        <v/>
      </c>
    </row>
    <row r="439">
      <c r="A439" s="92" t="n">
        <v>2025</v>
      </c>
      <c r="B439" s="92" t="n">
        <v>2</v>
      </c>
      <c r="C439" s="92" t="inlineStr">
        <is>
          <t>5100000435</t>
        </is>
      </c>
      <c r="D439" s="95" t="n">
        <v>45712</v>
      </c>
      <c r="E439" s="92" t="inlineStr">
        <is>
          <t>KR</t>
        </is>
      </c>
      <c r="F439" s="92" t="n">
        <v>62501000</v>
      </c>
      <c r="G439" s="92" t="n">
        <v>1801</v>
      </c>
      <c r="H439" s="93" t="n">
        <v>143000</v>
      </c>
      <c r="I439" s="92" t="inlineStr">
        <is>
          <t>2월 회의 다과 - (법인카드)</t>
        </is>
      </c>
      <c r="J439" s="92" t="inlineStr">
        <is>
          <t>V10010</t>
        </is>
      </c>
      <c r="K439" s="92" t="inlineStr">
        <is>
          <t>(법인카드)</t>
        </is>
      </c>
      <c r="M439" s="9">
        <f>IF($A439="","",VALUE($A439&amp;"")*12+VALUE($B439&amp;""))</f>
        <v/>
      </c>
      <c r="N439" s="64">
        <f>IF($A439="","",IFERROR(INDEX(부서매핑!$C$5:$C$504,MATCH($G439&amp;"",부서매핑!$A$5:$A$504,0)),"미매핑"))</f>
        <v/>
      </c>
      <c r="O439" s="9">
        <f>IF($A439="","",N439&amp;"|"&amp;$F439)</f>
        <v/>
      </c>
      <c r="P439" s="94">
        <f>IF($A439="",0,$H439*설정!$C$23)</f>
        <v/>
      </c>
      <c r="Q439" s="64">
        <f>IF($A439="","",IF(O439&lt;&gt;원인분석!$C$9,"",IF(AND(M439&gt;=원인분석!$C$10,M439&lt;=원인분석!$C$11),"당기",IF(AND(M439&gt;=원인분석!$C$12,M439&lt;=원인분석!$C$13),"비교",""))))</f>
        <v/>
      </c>
      <c r="R439" s="9">
        <f>IF(Q439="","",$K439&amp;"")</f>
        <v/>
      </c>
      <c r="S439" s="9">
        <f>IF(Q439="","",IF(MATCH(R439,$R$5:$R$100000,0)=ROW()-4,ROW(),""))</f>
        <v/>
      </c>
      <c r="T439" s="9">
        <f>IF(Q439="당기",ABS(P439)+ROW()/1000000000,"")</f>
        <v/>
      </c>
      <c r="U439" s="9">
        <f>IF(Q439="비교",ABS(P439)+ROW()/1000000000,"")</f>
        <v/>
      </c>
      <c r="V439" s="64">
        <f>IF($A439="","",IF(COUNTIF(변동분석!$E$7:$E$506,O439)&gt;0,"Y","N"))</f>
        <v/>
      </c>
      <c r="W439" s="64">
        <f>IF($A439="","",IFERROR(INDEX(계정매핑!$D$5:$D$504,MATCH($F439&amp;"",계정매핑!$A$5:$A$504,0)),"미매핑"))</f>
        <v/>
      </c>
      <c r="X439" s="9">
        <f>IF($A439="","",$F439&amp;"")</f>
        <v/>
      </c>
      <c r="Y439" s="94">
        <f>IF($A439="",0,IF(AE439="직접",IF(AF439="비귀속",$P439,0),$P439*(1-AG439)*IFERROR(INDEX(계정대체기준!$F$20:$F$49,MATCH($N439,계정대체기준!$A$20:$A$49,0)),1)))</f>
        <v/>
      </c>
      <c r="Z439" s="94">
        <f>IF($A439="",0,IF(AE439="직접",IF(AF439="신계약비",$P439,0),$P439*(1-AG439)*IFERROR(INDEX(계정대체기준!$C$20:$C$49,MATCH($N439,계정대체기준!$A$20:$A$49,0)),0)))</f>
        <v/>
      </c>
      <c r="AA439" s="94">
        <f>IF($A439="",0,IF(AE439="직접",IF(OR(AF439="유지비",AF439="손해조사비"),$P439,0),$P439*(1-AG439)*IFERROR(INDEX(계정대체기준!$D$20:$D$49,MATCH($N439,계정대체기준!$A$20:$A$49,0)),0)))</f>
        <v/>
      </c>
      <c r="AB439" s="94">
        <f>IF($A439="",0,IF(AE439="직접",IF(AF439="수금비",$P439,0),$P439*(1-AG439)*IFERROR(INDEX(계정대체기준!$E$20:$E$49,MATCH($N439,계정대체기준!$A$20:$A$49,0)),0)))</f>
        <v/>
      </c>
      <c r="AC439" s="9">
        <f>IF(AND($A439&lt;&gt;"",M439=설정!$C$20,Z439&gt;0),Z439+ROW()/1000000000,"")</f>
        <v/>
      </c>
      <c r="AD439" s="94">
        <f>IF($A439="",0,$P439*AG439)</f>
        <v/>
      </c>
      <c r="AE439" s="64">
        <f>IF($A439="","",IFERROR(INDEX(계정매핑!$E$5:$E$504,MATCH($F439&amp;"",계정매핑!$A$5:$A$504,0))&amp;"","공통비"))</f>
        <v/>
      </c>
      <c r="AF439" s="64">
        <f>IF($A439="","",IF(AE439="직접",IFERROR(INDEX(계정매핑!$F$5:$F$504,MATCH($F439&amp;"",계정매핑!$A$5:$A$504,0))&amp;"","비귀속"),""))</f>
        <v/>
      </c>
      <c r="AG439" s="96">
        <f>IF($A439="",0,IF(AND(AE439&lt;&gt;"직접",IFERROR(INDEX(계정매핑!$G$5:$G$504,MATCH($F439&amp;"",계정매핑!$A$5:$A$504,0))&amp;"","")="유지비",COUNTIF(계정대체기준!$A$6:$A$15,$N439)&gt;0),IFERROR(INDEX(계정대체기준!$E$6:$E$15,MATCH(VALUE($A439&amp;""),계정대체기준!$D$6:$D$15,0)),0),0))</f>
        <v/>
      </c>
      <c r="AH439" s="64">
        <f>IF($A439="","",IF(AD439=0,"",IF(OR(COUNTIF(계정대체기준!$A$77:$A$86,$N439)&gt;0,ISNUMBER(MATCH($X439,계정대체기준!$D$77:$D$86,0)),ISNUMBER(MATCH($F439,계정대체기준!$D$77:$D$86,0))),"Y","N")))</f>
        <v/>
      </c>
    </row>
    <row r="440">
      <c r="A440" s="92" t="n">
        <v>2025</v>
      </c>
      <c r="B440" s="92" t="n">
        <v>2</v>
      </c>
      <c r="C440" s="92" t="inlineStr">
        <is>
          <t>5100000436</t>
        </is>
      </c>
      <c r="D440" s="95" t="n">
        <v>45712</v>
      </c>
      <c r="E440" s="92" t="inlineStr">
        <is>
          <t>KR</t>
        </is>
      </c>
      <c r="F440" s="92" t="n">
        <v>62902000</v>
      </c>
      <c r="G440" s="92" t="n">
        <v>1801</v>
      </c>
      <c r="H440" s="93" t="n">
        <v>1842000</v>
      </c>
      <c r="I440" s="92" t="inlineStr">
        <is>
          <t>2월 콜 위탁 수수료(건별)</t>
        </is>
      </c>
      <c r="J440" s="92" t="inlineStr">
        <is>
          <t>V10016</t>
        </is>
      </c>
      <c r="K440" s="92" t="inlineStr">
        <is>
          <t>J콜센터</t>
        </is>
      </c>
      <c r="M440" s="9">
        <f>IF($A440="","",VALUE($A440&amp;"")*12+VALUE($B440&amp;""))</f>
        <v/>
      </c>
      <c r="N440" s="64">
        <f>IF($A440="","",IFERROR(INDEX(부서매핑!$C$5:$C$504,MATCH($G440&amp;"",부서매핑!$A$5:$A$504,0)),"미매핑"))</f>
        <v/>
      </c>
      <c r="O440" s="9">
        <f>IF($A440="","",N440&amp;"|"&amp;$F440)</f>
        <v/>
      </c>
      <c r="P440" s="94">
        <f>IF($A440="",0,$H440*설정!$C$23)</f>
        <v/>
      </c>
      <c r="Q440" s="64">
        <f>IF($A440="","",IF(O440&lt;&gt;원인분석!$C$9,"",IF(AND(M440&gt;=원인분석!$C$10,M440&lt;=원인분석!$C$11),"당기",IF(AND(M440&gt;=원인분석!$C$12,M440&lt;=원인분석!$C$13),"비교",""))))</f>
        <v/>
      </c>
      <c r="R440" s="9">
        <f>IF(Q440="","",$K440&amp;"")</f>
        <v/>
      </c>
      <c r="S440" s="9">
        <f>IF(Q440="","",IF(MATCH(R440,$R$5:$R$100000,0)=ROW()-4,ROW(),""))</f>
        <v/>
      </c>
      <c r="T440" s="9">
        <f>IF(Q440="당기",ABS(P440)+ROW()/1000000000,"")</f>
        <v/>
      </c>
      <c r="U440" s="9">
        <f>IF(Q440="비교",ABS(P440)+ROW()/1000000000,"")</f>
        <v/>
      </c>
      <c r="V440" s="64">
        <f>IF($A440="","",IF(COUNTIF(변동분석!$E$7:$E$506,O440)&gt;0,"Y","N"))</f>
        <v/>
      </c>
      <c r="W440" s="64">
        <f>IF($A440="","",IFERROR(INDEX(계정매핑!$D$5:$D$504,MATCH($F440&amp;"",계정매핑!$A$5:$A$504,0)),"미매핑"))</f>
        <v/>
      </c>
      <c r="X440" s="9">
        <f>IF($A440="","",$F440&amp;"")</f>
        <v/>
      </c>
      <c r="Y440" s="94">
        <f>IF($A440="",0,IF(AE440="직접",IF(AF440="비귀속",$P440,0),$P440*(1-AG440)*IFERROR(INDEX(계정대체기준!$F$20:$F$49,MATCH($N440,계정대체기준!$A$20:$A$49,0)),1)))</f>
        <v/>
      </c>
      <c r="Z440" s="94">
        <f>IF($A440="",0,IF(AE440="직접",IF(AF440="신계약비",$P440,0),$P440*(1-AG440)*IFERROR(INDEX(계정대체기준!$C$20:$C$49,MATCH($N440,계정대체기준!$A$20:$A$49,0)),0)))</f>
        <v/>
      </c>
      <c r="AA440" s="94">
        <f>IF($A440="",0,IF(AE440="직접",IF(OR(AF440="유지비",AF440="손해조사비"),$P440,0),$P440*(1-AG440)*IFERROR(INDEX(계정대체기준!$D$20:$D$49,MATCH($N440,계정대체기준!$A$20:$A$49,0)),0)))</f>
        <v/>
      </c>
      <c r="AB440" s="94">
        <f>IF($A440="",0,IF(AE440="직접",IF(AF440="수금비",$P440,0),$P440*(1-AG440)*IFERROR(INDEX(계정대체기준!$E$20:$E$49,MATCH($N440,계정대체기준!$A$20:$A$49,0)),0)))</f>
        <v/>
      </c>
      <c r="AC440" s="9">
        <f>IF(AND($A440&lt;&gt;"",M440=설정!$C$20,Z440&gt;0),Z440+ROW()/1000000000,"")</f>
        <v/>
      </c>
      <c r="AD440" s="94">
        <f>IF($A440="",0,$P440*AG440)</f>
        <v/>
      </c>
      <c r="AE440" s="64">
        <f>IF($A440="","",IFERROR(INDEX(계정매핑!$E$5:$E$504,MATCH($F440&amp;"",계정매핑!$A$5:$A$504,0))&amp;"","공통비"))</f>
        <v/>
      </c>
      <c r="AF440" s="64">
        <f>IF($A440="","",IF(AE440="직접",IFERROR(INDEX(계정매핑!$F$5:$F$504,MATCH($F440&amp;"",계정매핑!$A$5:$A$504,0))&amp;"","비귀속"),""))</f>
        <v/>
      </c>
      <c r="AG440" s="96">
        <f>IF($A440="",0,IF(AND(AE440&lt;&gt;"직접",IFERROR(INDEX(계정매핑!$G$5:$G$504,MATCH($F440&amp;"",계정매핑!$A$5:$A$504,0))&amp;"","")="유지비",COUNTIF(계정대체기준!$A$6:$A$15,$N440)&gt;0),IFERROR(INDEX(계정대체기준!$E$6:$E$15,MATCH(VALUE($A440&amp;""),계정대체기준!$D$6:$D$15,0)),0),0))</f>
        <v/>
      </c>
      <c r="AH440" s="64">
        <f>IF($A440="","",IF(AD440=0,"",IF(OR(COUNTIF(계정대체기준!$A$77:$A$86,$N440)&gt;0,ISNUMBER(MATCH($X440,계정대체기준!$D$77:$D$86,0)),ISNUMBER(MATCH($F440,계정대체기준!$D$77:$D$86,0))),"Y","N")))</f>
        <v/>
      </c>
    </row>
    <row r="441">
      <c r="A441" s="92" t="n">
        <v>2025</v>
      </c>
      <c r="B441" s="92" t="n">
        <v>2</v>
      </c>
      <c r="C441" s="92" t="inlineStr">
        <is>
          <t>5100000437</t>
        </is>
      </c>
      <c r="D441" s="95" t="n">
        <v>45712</v>
      </c>
      <c r="E441" s="92" t="inlineStr">
        <is>
          <t>KR</t>
        </is>
      </c>
      <c r="F441" s="92" t="n">
        <v>63001000</v>
      </c>
      <c r="G441" s="92" t="n">
        <v>1951</v>
      </c>
      <c r="H441" s="93" t="n">
        <v>3222000</v>
      </c>
      <c r="I441" s="92" t="inlineStr">
        <is>
          <t>2월 SW 유지보수 - Z시스템</t>
        </is>
      </c>
      <c r="J441" s="92" t="inlineStr">
        <is>
          <t>V10012</t>
        </is>
      </c>
      <c r="K441" s="92" t="inlineStr">
        <is>
          <t>Z시스템</t>
        </is>
      </c>
      <c r="M441" s="9">
        <f>IF($A441="","",VALUE($A441&amp;"")*12+VALUE($B441&amp;""))</f>
        <v/>
      </c>
      <c r="N441" s="64">
        <f>IF($A441="","",IFERROR(INDEX(부서매핑!$C$5:$C$504,MATCH($G441&amp;"",부서매핑!$A$5:$A$504,0)),"미매핑"))</f>
        <v/>
      </c>
      <c r="O441" s="9">
        <f>IF($A441="","",N441&amp;"|"&amp;$F441)</f>
        <v/>
      </c>
      <c r="P441" s="94">
        <f>IF($A441="",0,$H441*설정!$C$23)</f>
        <v/>
      </c>
      <c r="Q441" s="64">
        <f>IF($A441="","",IF(O441&lt;&gt;원인분석!$C$9,"",IF(AND(M441&gt;=원인분석!$C$10,M441&lt;=원인분석!$C$11),"당기",IF(AND(M441&gt;=원인분석!$C$12,M441&lt;=원인분석!$C$13),"비교",""))))</f>
        <v/>
      </c>
      <c r="R441" s="9">
        <f>IF(Q441="","",$K441&amp;"")</f>
        <v/>
      </c>
      <c r="S441" s="9">
        <f>IF(Q441="","",IF(MATCH(R441,$R$5:$R$100000,0)=ROW()-4,ROW(),""))</f>
        <v/>
      </c>
      <c r="T441" s="9">
        <f>IF(Q441="당기",ABS(P441)+ROW()/1000000000,"")</f>
        <v/>
      </c>
      <c r="U441" s="9">
        <f>IF(Q441="비교",ABS(P441)+ROW()/1000000000,"")</f>
        <v/>
      </c>
      <c r="V441" s="64">
        <f>IF($A441="","",IF(COUNTIF(변동분석!$E$7:$E$506,O441)&gt;0,"Y","N"))</f>
        <v/>
      </c>
      <c r="W441" s="64">
        <f>IF($A441="","",IFERROR(INDEX(계정매핑!$D$5:$D$504,MATCH($F441&amp;"",계정매핑!$A$5:$A$504,0)),"미매핑"))</f>
        <v/>
      </c>
      <c r="X441" s="9">
        <f>IF($A441="","",$F441&amp;"")</f>
        <v/>
      </c>
      <c r="Y441" s="94">
        <f>IF($A441="",0,IF(AE441="직접",IF(AF441="비귀속",$P441,0),$P441*(1-AG441)*IFERROR(INDEX(계정대체기준!$F$20:$F$49,MATCH($N441,계정대체기준!$A$20:$A$49,0)),1)))</f>
        <v/>
      </c>
      <c r="Z441" s="94">
        <f>IF($A441="",0,IF(AE441="직접",IF(AF441="신계약비",$P441,0),$P441*(1-AG441)*IFERROR(INDEX(계정대체기준!$C$20:$C$49,MATCH($N441,계정대체기준!$A$20:$A$49,0)),0)))</f>
        <v/>
      </c>
      <c r="AA441" s="94">
        <f>IF($A441="",0,IF(AE441="직접",IF(OR(AF441="유지비",AF441="손해조사비"),$P441,0),$P441*(1-AG441)*IFERROR(INDEX(계정대체기준!$D$20:$D$49,MATCH($N441,계정대체기준!$A$20:$A$49,0)),0)))</f>
        <v/>
      </c>
      <c r="AB441" s="94">
        <f>IF($A441="",0,IF(AE441="직접",IF(AF441="수금비",$P441,0),$P441*(1-AG441)*IFERROR(INDEX(계정대체기준!$E$20:$E$49,MATCH($N441,계정대체기준!$A$20:$A$49,0)),0)))</f>
        <v/>
      </c>
      <c r="AC441" s="9">
        <f>IF(AND($A441&lt;&gt;"",M441=설정!$C$20,Z441&gt;0),Z441+ROW()/1000000000,"")</f>
        <v/>
      </c>
      <c r="AD441" s="94">
        <f>IF($A441="",0,$P441*AG441)</f>
        <v/>
      </c>
      <c r="AE441" s="64">
        <f>IF($A441="","",IFERROR(INDEX(계정매핑!$E$5:$E$504,MATCH($F441&amp;"",계정매핑!$A$5:$A$504,0))&amp;"","공통비"))</f>
        <v/>
      </c>
      <c r="AF441" s="64">
        <f>IF($A441="","",IF(AE441="직접",IFERROR(INDEX(계정매핑!$F$5:$F$504,MATCH($F441&amp;"",계정매핑!$A$5:$A$504,0))&amp;"","비귀속"),""))</f>
        <v/>
      </c>
      <c r="AG441" s="96">
        <f>IF($A441="",0,IF(AND(AE441&lt;&gt;"직접",IFERROR(INDEX(계정매핑!$G$5:$G$504,MATCH($F441&amp;"",계정매핑!$A$5:$A$504,0))&amp;"","")="유지비",COUNTIF(계정대체기준!$A$6:$A$15,$N441)&gt;0),IFERROR(INDEX(계정대체기준!$E$6:$E$15,MATCH(VALUE($A441&amp;""),계정대체기준!$D$6:$D$15,0)),0),0))</f>
        <v/>
      </c>
      <c r="AH441" s="64">
        <f>IF($A441="","",IF(AD441=0,"",IF(OR(COUNTIF(계정대체기준!$A$77:$A$86,$N441)&gt;0,ISNUMBER(MATCH($X441,계정대체기준!$D$77:$D$86,0)),ISNUMBER(MATCH($F441,계정대체기준!$D$77:$D$86,0))),"Y","N")))</f>
        <v/>
      </c>
    </row>
    <row r="442">
      <c r="A442" s="92" t="n">
        <v>2025</v>
      </c>
      <c r="B442" s="92" t="n">
        <v>2</v>
      </c>
      <c r="C442" s="92" t="inlineStr">
        <is>
          <t>5100000438</t>
        </is>
      </c>
      <c r="D442" s="95" t="n">
        <v>45713</v>
      </c>
      <c r="E442" s="92" t="inlineStr">
        <is>
          <t>KR</t>
        </is>
      </c>
      <c r="F442" s="92" t="n">
        <v>62101000</v>
      </c>
      <c r="G442" s="92" t="n">
        <v>1401</v>
      </c>
      <c r="H442" s="93" t="n">
        <v>308000</v>
      </c>
      <c r="I442" s="92" t="inlineStr">
        <is>
          <t>2월 국내출장 - (법인카드)</t>
        </is>
      </c>
      <c r="J442" s="92" t="inlineStr">
        <is>
          <t>V10010</t>
        </is>
      </c>
      <c r="K442" s="92" t="inlineStr">
        <is>
          <t>(법인카드)</t>
        </is>
      </c>
      <c r="M442" s="9">
        <f>IF($A442="","",VALUE($A442&amp;"")*12+VALUE($B442&amp;""))</f>
        <v/>
      </c>
      <c r="N442" s="64">
        <f>IF($A442="","",IFERROR(INDEX(부서매핑!$C$5:$C$504,MATCH($G442&amp;"",부서매핑!$A$5:$A$504,0)),"미매핑"))</f>
        <v/>
      </c>
      <c r="O442" s="9">
        <f>IF($A442="","",N442&amp;"|"&amp;$F442)</f>
        <v/>
      </c>
      <c r="P442" s="94">
        <f>IF($A442="",0,$H442*설정!$C$23)</f>
        <v/>
      </c>
      <c r="Q442" s="64">
        <f>IF($A442="","",IF(O442&lt;&gt;원인분석!$C$9,"",IF(AND(M442&gt;=원인분석!$C$10,M442&lt;=원인분석!$C$11),"당기",IF(AND(M442&gt;=원인분석!$C$12,M442&lt;=원인분석!$C$13),"비교",""))))</f>
        <v/>
      </c>
      <c r="R442" s="9">
        <f>IF(Q442="","",$K442&amp;"")</f>
        <v/>
      </c>
      <c r="S442" s="9">
        <f>IF(Q442="","",IF(MATCH(R442,$R$5:$R$100000,0)=ROW()-4,ROW(),""))</f>
        <v/>
      </c>
      <c r="T442" s="9">
        <f>IF(Q442="당기",ABS(P442)+ROW()/1000000000,"")</f>
        <v/>
      </c>
      <c r="U442" s="9">
        <f>IF(Q442="비교",ABS(P442)+ROW()/1000000000,"")</f>
        <v/>
      </c>
      <c r="V442" s="64">
        <f>IF($A442="","",IF(COUNTIF(변동분석!$E$7:$E$506,O442)&gt;0,"Y","N"))</f>
        <v/>
      </c>
      <c r="W442" s="64">
        <f>IF($A442="","",IFERROR(INDEX(계정매핑!$D$5:$D$504,MATCH($F442&amp;"",계정매핑!$A$5:$A$504,0)),"미매핑"))</f>
        <v/>
      </c>
      <c r="X442" s="9">
        <f>IF($A442="","",$F442&amp;"")</f>
        <v/>
      </c>
      <c r="Y442" s="94">
        <f>IF($A442="",0,IF(AE442="직접",IF(AF442="비귀속",$P442,0),$P442*(1-AG442)*IFERROR(INDEX(계정대체기준!$F$20:$F$49,MATCH($N442,계정대체기준!$A$20:$A$49,0)),1)))</f>
        <v/>
      </c>
      <c r="Z442" s="94">
        <f>IF($A442="",0,IF(AE442="직접",IF(AF442="신계약비",$P442,0),$P442*(1-AG442)*IFERROR(INDEX(계정대체기준!$C$20:$C$49,MATCH($N442,계정대체기준!$A$20:$A$49,0)),0)))</f>
        <v/>
      </c>
      <c r="AA442" s="94">
        <f>IF($A442="",0,IF(AE442="직접",IF(OR(AF442="유지비",AF442="손해조사비"),$P442,0),$P442*(1-AG442)*IFERROR(INDEX(계정대체기준!$D$20:$D$49,MATCH($N442,계정대체기준!$A$20:$A$49,0)),0)))</f>
        <v/>
      </c>
      <c r="AB442" s="94">
        <f>IF($A442="",0,IF(AE442="직접",IF(AF442="수금비",$P442,0),$P442*(1-AG442)*IFERROR(INDEX(계정대체기준!$E$20:$E$49,MATCH($N442,계정대체기준!$A$20:$A$49,0)),0)))</f>
        <v/>
      </c>
      <c r="AC442" s="9">
        <f>IF(AND($A442&lt;&gt;"",M442=설정!$C$20,Z442&gt;0),Z442+ROW()/1000000000,"")</f>
        <v/>
      </c>
      <c r="AD442" s="94">
        <f>IF($A442="",0,$P442*AG442)</f>
        <v/>
      </c>
      <c r="AE442" s="64">
        <f>IF($A442="","",IFERROR(INDEX(계정매핑!$E$5:$E$504,MATCH($F442&amp;"",계정매핑!$A$5:$A$504,0))&amp;"","공통비"))</f>
        <v/>
      </c>
      <c r="AF442" s="64">
        <f>IF($A442="","",IF(AE442="직접",IFERROR(INDEX(계정매핑!$F$5:$F$504,MATCH($F442&amp;"",계정매핑!$A$5:$A$504,0))&amp;"","비귀속"),""))</f>
        <v/>
      </c>
      <c r="AG442" s="96">
        <f>IF($A442="",0,IF(AND(AE442&lt;&gt;"직접",IFERROR(INDEX(계정매핑!$G$5:$G$504,MATCH($F442&amp;"",계정매핑!$A$5:$A$504,0))&amp;"","")="유지비",COUNTIF(계정대체기준!$A$6:$A$15,$N442)&gt;0),IFERROR(INDEX(계정대체기준!$E$6:$E$15,MATCH(VALUE($A442&amp;""),계정대체기준!$D$6:$D$15,0)),0),0))</f>
        <v/>
      </c>
      <c r="AH442" s="64">
        <f>IF($A442="","",IF(AD442=0,"",IF(OR(COUNTIF(계정대체기준!$A$77:$A$86,$N442)&gt;0,ISNUMBER(MATCH($X442,계정대체기준!$D$77:$D$86,0)),ISNUMBER(MATCH($F442,계정대체기준!$D$77:$D$86,0))),"Y","N")))</f>
        <v/>
      </c>
    </row>
    <row r="443">
      <c r="A443" s="92" t="n">
        <v>2025</v>
      </c>
      <c r="B443" s="92" t="n">
        <v>2</v>
      </c>
      <c r="C443" s="92" t="inlineStr">
        <is>
          <t>5100000439</t>
        </is>
      </c>
      <c r="D443" s="95" t="n">
        <v>45713</v>
      </c>
      <c r="E443" s="92" t="inlineStr">
        <is>
          <t>KR</t>
        </is>
      </c>
      <c r="F443" s="92" t="n">
        <v>62102000</v>
      </c>
      <c r="G443" s="92" t="n">
        <v>1502</v>
      </c>
      <c r="H443" s="93" t="n">
        <v>340000</v>
      </c>
      <c r="I443" s="92" t="inlineStr">
        <is>
          <t>2월 해외출장 - M항공</t>
        </is>
      </c>
      <c r="J443" s="92" t="inlineStr">
        <is>
          <t>V10001</t>
        </is>
      </c>
      <c r="K443" s="92" t="inlineStr">
        <is>
          <t>M항공</t>
        </is>
      </c>
      <c r="M443" s="9">
        <f>IF($A443="","",VALUE($A443&amp;"")*12+VALUE($B443&amp;""))</f>
        <v/>
      </c>
      <c r="N443" s="64">
        <f>IF($A443="","",IFERROR(INDEX(부서매핑!$C$5:$C$504,MATCH($G443&amp;"",부서매핑!$A$5:$A$504,0)),"미매핑"))</f>
        <v/>
      </c>
      <c r="O443" s="9">
        <f>IF($A443="","",N443&amp;"|"&amp;$F443)</f>
        <v/>
      </c>
      <c r="P443" s="94">
        <f>IF($A443="",0,$H443*설정!$C$23)</f>
        <v/>
      </c>
      <c r="Q443" s="64">
        <f>IF($A443="","",IF(O443&lt;&gt;원인분석!$C$9,"",IF(AND(M443&gt;=원인분석!$C$10,M443&lt;=원인분석!$C$11),"당기",IF(AND(M443&gt;=원인분석!$C$12,M443&lt;=원인분석!$C$13),"비교",""))))</f>
        <v/>
      </c>
      <c r="R443" s="9">
        <f>IF(Q443="","",$K443&amp;"")</f>
        <v/>
      </c>
      <c r="S443" s="9">
        <f>IF(Q443="","",IF(MATCH(R443,$R$5:$R$100000,0)=ROW()-4,ROW(),""))</f>
        <v/>
      </c>
      <c r="T443" s="9">
        <f>IF(Q443="당기",ABS(P443)+ROW()/1000000000,"")</f>
        <v/>
      </c>
      <c r="U443" s="9">
        <f>IF(Q443="비교",ABS(P443)+ROW()/1000000000,"")</f>
        <v/>
      </c>
      <c r="V443" s="64">
        <f>IF($A443="","",IF(COUNTIF(변동분석!$E$7:$E$506,O443)&gt;0,"Y","N"))</f>
        <v/>
      </c>
      <c r="W443" s="64">
        <f>IF($A443="","",IFERROR(INDEX(계정매핑!$D$5:$D$504,MATCH($F443&amp;"",계정매핑!$A$5:$A$504,0)),"미매핑"))</f>
        <v/>
      </c>
      <c r="X443" s="9">
        <f>IF($A443="","",$F443&amp;"")</f>
        <v/>
      </c>
      <c r="Y443" s="94">
        <f>IF($A443="",0,IF(AE443="직접",IF(AF443="비귀속",$P443,0),$P443*(1-AG443)*IFERROR(INDEX(계정대체기준!$F$20:$F$49,MATCH($N443,계정대체기준!$A$20:$A$49,0)),1)))</f>
        <v/>
      </c>
      <c r="Z443" s="94">
        <f>IF($A443="",0,IF(AE443="직접",IF(AF443="신계약비",$P443,0),$P443*(1-AG443)*IFERROR(INDEX(계정대체기준!$C$20:$C$49,MATCH($N443,계정대체기준!$A$20:$A$49,0)),0)))</f>
        <v/>
      </c>
      <c r="AA443" s="94">
        <f>IF($A443="",0,IF(AE443="직접",IF(OR(AF443="유지비",AF443="손해조사비"),$P443,0),$P443*(1-AG443)*IFERROR(INDEX(계정대체기준!$D$20:$D$49,MATCH($N443,계정대체기준!$A$20:$A$49,0)),0)))</f>
        <v/>
      </c>
      <c r="AB443" s="94">
        <f>IF($A443="",0,IF(AE443="직접",IF(AF443="수금비",$P443,0),$P443*(1-AG443)*IFERROR(INDEX(계정대체기준!$E$20:$E$49,MATCH($N443,계정대체기준!$A$20:$A$49,0)),0)))</f>
        <v/>
      </c>
      <c r="AC443" s="9">
        <f>IF(AND($A443&lt;&gt;"",M443=설정!$C$20,Z443&gt;0),Z443+ROW()/1000000000,"")</f>
        <v/>
      </c>
      <c r="AD443" s="94">
        <f>IF($A443="",0,$P443*AG443)</f>
        <v/>
      </c>
      <c r="AE443" s="64">
        <f>IF($A443="","",IFERROR(INDEX(계정매핑!$E$5:$E$504,MATCH($F443&amp;"",계정매핑!$A$5:$A$504,0))&amp;"","공통비"))</f>
        <v/>
      </c>
      <c r="AF443" s="64">
        <f>IF($A443="","",IF(AE443="직접",IFERROR(INDEX(계정매핑!$F$5:$F$504,MATCH($F443&amp;"",계정매핑!$A$5:$A$504,0))&amp;"","비귀속"),""))</f>
        <v/>
      </c>
      <c r="AG443" s="96">
        <f>IF($A443="",0,IF(AND(AE443&lt;&gt;"직접",IFERROR(INDEX(계정매핑!$G$5:$G$504,MATCH($F443&amp;"",계정매핑!$A$5:$A$504,0))&amp;"","")="유지비",COUNTIF(계정대체기준!$A$6:$A$15,$N443)&gt;0),IFERROR(INDEX(계정대체기준!$E$6:$E$15,MATCH(VALUE($A443&amp;""),계정대체기준!$D$6:$D$15,0)),0),0))</f>
        <v/>
      </c>
      <c r="AH443" s="64">
        <f>IF($A443="","",IF(AD443=0,"",IF(OR(COUNTIF(계정대체기준!$A$77:$A$86,$N443)&gt;0,ISNUMBER(MATCH($X443,계정대체기준!$D$77:$D$86,0)),ISNUMBER(MATCH($F443,계정대체기준!$D$77:$D$86,0))),"Y","N")))</f>
        <v/>
      </c>
    </row>
    <row r="444">
      <c r="A444" s="92" t="n">
        <v>2025</v>
      </c>
      <c r="B444" s="92" t="n">
        <v>2</v>
      </c>
      <c r="C444" s="92" t="inlineStr">
        <is>
          <t>5100000440</t>
        </is>
      </c>
      <c r="D444" s="95" t="n">
        <v>45713</v>
      </c>
      <c r="E444" s="92" t="inlineStr">
        <is>
          <t>KR</t>
        </is>
      </c>
      <c r="F444" s="92" t="n">
        <v>62201000</v>
      </c>
      <c r="G444" s="92" t="n">
        <v>1401</v>
      </c>
      <c r="H444" s="93" t="n">
        <v>139000</v>
      </c>
      <c r="I444" s="92" t="inlineStr">
        <is>
          <t>2월 통신요금 - O텔레콤</t>
        </is>
      </c>
      <c r="J444" s="92" t="inlineStr">
        <is>
          <t>V10002</t>
        </is>
      </c>
      <c r="K444" s="92" t="inlineStr">
        <is>
          <t>O텔레콤</t>
        </is>
      </c>
      <c r="M444" s="9">
        <f>IF($A444="","",VALUE($A444&amp;"")*12+VALUE($B444&amp;""))</f>
        <v/>
      </c>
      <c r="N444" s="64">
        <f>IF($A444="","",IFERROR(INDEX(부서매핑!$C$5:$C$504,MATCH($G444&amp;"",부서매핑!$A$5:$A$504,0)),"미매핑"))</f>
        <v/>
      </c>
      <c r="O444" s="9">
        <f>IF($A444="","",N444&amp;"|"&amp;$F444)</f>
        <v/>
      </c>
      <c r="P444" s="94">
        <f>IF($A444="",0,$H444*설정!$C$23)</f>
        <v/>
      </c>
      <c r="Q444" s="64">
        <f>IF($A444="","",IF(O444&lt;&gt;원인분석!$C$9,"",IF(AND(M444&gt;=원인분석!$C$10,M444&lt;=원인분석!$C$11),"당기",IF(AND(M444&gt;=원인분석!$C$12,M444&lt;=원인분석!$C$13),"비교",""))))</f>
        <v/>
      </c>
      <c r="R444" s="9">
        <f>IF(Q444="","",$K444&amp;"")</f>
        <v/>
      </c>
      <c r="S444" s="9">
        <f>IF(Q444="","",IF(MATCH(R444,$R$5:$R$100000,0)=ROW()-4,ROW(),""))</f>
        <v/>
      </c>
      <c r="T444" s="9">
        <f>IF(Q444="당기",ABS(P444)+ROW()/1000000000,"")</f>
        <v/>
      </c>
      <c r="U444" s="9">
        <f>IF(Q444="비교",ABS(P444)+ROW()/1000000000,"")</f>
        <v/>
      </c>
      <c r="V444" s="64">
        <f>IF($A444="","",IF(COUNTIF(변동분석!$E$7:$E$506,O444)&gt;0,"Y","N"))</f>
        <v/>
      </c>
      <c r="W444" s="64">
        <f>IF($A444="","",IFERROR(INDEX(계정매핑!$D$5:$D$504,MATCH($F444&amp;"",계정매핑!$A$5:$A$504,0)),"미매핑"))</f>
        <v/>
      </c>
      <c r="X444" s="9">
        <f>IF($A444="","",$F444&amp;"")</f>
        <v/>
      </c>
      <c r="Y444" s="94">
        <f>IF($A444="",0,IF(AE444="직접",IF(AF444="비귀속",$P444,0),$P444*(1-AG444)*IFERROR(INDEX(계정대체기준!$F$20:$F$49,MATCH($N444,계정대체기준!$A$20:$A$49,0)),1)))</f>
        <v/>
      </c>
      <c r="Z444" s="94">
        <f>IF($A444="",0,IF(AE444="직접",IF(AF444="신계약비",$P444,0),$P444*(1-AG444)*IFERROR(INDEX(계정대체기준!$C$20:$C$49,MATCH($N444,계정대체기준!$A$20:$A$49,0)),0)))</f>
        <v/>
      </c>
      <c r="AA444" s="94">
        <f>IF($A444="",0,IF(AE444="직접",IF(OR(AF444="유지비",AF444="손해조사비"),$P444,0),$P444*(1-AG444)*IFERROR(INDEX(계정대체기준!$D$20:$D$49,MATCH($N444,계정대체기준!$A$20:$A$49,0)),0)))</f>
        <v/>
      </c>
      <c r="AB444" s="94">
        <f>IF($A444="",0,IF(AE444="직접",IF(AF444="수금비",$P444,0),$P444*(1-AG444)*IFERROR(INDEX(계정대체기준!$E$20:$E$49,MATCH($N444,계정대체기준!$A$20:$A$49,0)),0)))</f>
        <v/>
      </c>
      <c r="AC444" s="9">
        <f>IF(AND($A444&lt;&gt;"",M444=설정!$C$20,Z444&gt;0),Z444+ROW()/1000000000,"")</f>
        <v/>
      </c>
      <c r="AD444" s="94">
        <f>IF($A444="",0,$P444*AG444)</f>
        <v/>
      </c>
      <c r="AE444" s="64">
        <f>IF($A444="","",IFERROR(INDEX(계정매핑!$E$5:$E$504,MATCH($F444&amp;"",계정매핑!$A$5:$A$504,0))&amp;"","공통비"))</f>
        <v/>
      </c>
      <c r="AF444" s="64">
        <f>IF($A444="","",IF(AE444="직접",IFERROR(INDEX(계정매핑!$F$5:$F$504,MATCH($F444&amp;"",계정매핑!$A$5:$A$504,0))&amp;"","비귀속"),""))</f>
        <v/>
      </c>
      <c r="AG444" s="96">
        <f>IF($A444="",0,IF(AND(AE444&lt;&gt;"직접",IFERROR(INDEX(계정매핑!$G$5:$G$504,MATCH($F444&amp;"",계정매핑!$A$5:$A$504,0))&amp;"","")="유지비",COUNTIF(계정대체기준!$A$6:$A$15,$N444)&gt;0),IFERROR(INDEX(계정대체기준!$E$6:$E$15,MATCH(VALUE($A444&amp;""),계정대체기준!$D$6:$D$15,0)),0),0))</f>
        <v/>
      </c>
      <c r="AH444" s="64">
        <f>IF($A444="","",IF(AD444=0,"",IF(OR(COUNTIF(계정대체기준!$A$77:$A$86,$N444)&gt;0,ISNUMBER(MATCH($X444,계정대체기준!$D$77:$D$86,0)),ISNUMBER(MATCH($F444,계정대체기준!$D$77:$D$86,0))),"Y","N")))</f>
        <v/>
      </c>
    </row>
    <row r="445">
      <c r="A445" s="92" t="n">
        <v>2025</v>
      </c>
      <c r="B445" s="92" t="n">
        <v>2</v>
      </c>
      <c r="C445" s="92" t="inlineStr">
        <is>
          <t>5100000441</t>
        </is>
      </c>
      <c r="D445" s="95" t="n">
        <v>45713</v>
      </c>
      <c r="E445" s="92" t="inlineStr">
        <is>
          <t>KR</t>
        </is>
      </c>
      <c r="F445" s="92" t="n">
        <v>62201000</v>
      </c>
      <c r="G445" s="92" t="n">
        <v>1502</v>
      </c>
      <c r="H445" s="93" t="n">
        <v>275000</v>
      </c>
      <c r="I445" s="92" t="inlineStr">
        <is>
          <t>2월 통신요금 - P통신</t>
        </is>
      </c>
      <c r="J445" s="92" t="inlineStr">
        <is>
          <t>V10014</t>
        </is>
      </c>
      <c r="K445" s="92" t="inlineStr">
        <is>
          <t>P통신</t>
        </is>
      </c>
      <c r="M445" s="9">
        <f>IF($A445="","",VALUE($A445&amp;"")*12+VALUE($B445&amp;""))</f>
        <v/>
      </c>
      <c r="N445" s="64">
        <f>IF($A445="","",IFERROR(INDEX(부서매핑!$C$5:$C$504,MATCH($G445&amp;"",부서매핑!$A$5:$A$504,0)),"미매핑"))</f>
        <v/>
      </c>
      <c r="O445" s="9">
        <f>IF($A445="","",N445&amp;"|"&amp;$F445)</f>
        <v/>
      </c>
      <c r="P445" s="94">
        <f>IF($A445="",0,$H445*설정!$C$23)</f>
        <v/>
      </c>
      <c r="Q445" s="64">
        <f>IF($A445="","",IF(O445&lt;&gt;원인분석!$C$9,"",IF(AND(M445&gt;=원인분석!$C$10,M445&lt;=원인분석!$C$11),"당기",IF(AND(M445&gt;=원인분석!$C$12,M445&lt;=원인분석!$C$13),"비교",""))))</f>
        <v/>
      </c>
      <c r="R445" s="9">
        <f>IF(Q445="","",$K445&amp;"")</f>
        <v/>
      </c>
      <c r="S445" s="9">
        <f>IF(Q445="","",IF(MATCH(R445,$R$5:$R$100000,0)=ROW()-4,ROW(),""))</f>
        <v/>
      </c>
      <c r="T445" s="9">
        <f>IF(Q445="당기",ABS(P445)+ROW()/1000000000,"")</f>
        <v/>
      </c>
      <c r="U445" s="9">
        <f>IF(Q445="비교",ABS(P445)+ROW()/1000000000,"")</f>
        <v/>
      </c>
      <c r="V445" s="64">
        <f>IF($A445="","",IF(COUNTIF(변동분석!$E$7:$E$506,O445)&gt;0,"Y","N"))</f>
        <v/>
      </c>
      <c r="W445" s="64">
        <f>IF($A445="","",IFERROR(INDEX(계정매핑!$D$5:$D$504,MATCH($F445&amp;"",계정매핑!$A$5:$A$504,0)),"미매핑"))</f>
        <v/>
      </c>
      <c r="X445" s="9">
        <f>IF($A445="","",$F445&amp;"")</f>
        <v/>
      </c>
      <c r="Y445" s="94">
        <f>IF($A445="",0,IF(AE445="직접",IF(AF445="비귀속",$P445,0),$P445*(1-AG445)*IFERROR(INDEX(계정대체기준!$F$20:$F$49,MATCH($N445,계정대체기준!$A$20:$A$49,0)),1)))</f>
        <v/>
      </c>
      <c r="Z445" s="94">
        <f>IF($A445="",0,IF(AE445="직접",IF(AF445="신계약비",$P445,0),$P445*(1-AG445)*IFERROR(INDEX(계정대체기준!$C$20:$C$49,MATCH($N445,계정대체기준!$A$20:$A$49,0)),0)))</f>
        <v/>
      </c>
      <c r="AA445" s="94">
        <f>IF($A445="",0,IF(AE445="직접",IF(OR(AF445="유지비",AF445="손해조사비"),$P445,0),$P445*(1-AG445)*IFERROR(INDEX(계정대체기준!$D$20:$D$49,MATCH($N445,계정대체기준!$A$20:$A$49,0)),0)))</f>
        <v/>
      </c>
      <c r="AB445" s="94">
        <f>IF($A445="",0,IF(AE445="직접",IF(AF445="수금비",$P445,0),$P445*(1-AG445)*IFERROR(INDEX(계정대체기준!$E$20:$E$49,MATCH($N445,계정대체기준!$A$20:$A$49,0)),0)))</f>
        <v/>
      </c>
      <c r="AC445" s="9">
        <f>IF(AND($A445&lt;&gt;"",M445=설정!$C$20,Z445&gt;0),Z445+ROW()/1000000000,"")</f>
        <v/>
      </c>
      <c r="AD445" s="94">
        <f>IF($A445="",0,$P445*AG445)</f>
        <v/>
      </c>
      <c r="AE445" s="64">
        <f>IF($A445="","",IFERROR(INDEX(계정매핑!$E$5:$E$504,MATCH($F445&amp;"",계정매핑!$A$5:$A$504,0))&amp;"","공통비"))</f>
        <v/>
      </c>
      <c r="AF445" s="64">
        <f>IF($A445="","",IF(AE445="직접",IFERROR(INDEX(계정매핑!$F$5:$F$504,MATCH($F445&amp;"",계정매핑!$A$5:$A$504,0))&amp;"","비귀속"),""))</f>
        <v/>
      </c>
      <c r="AG445" s="96">
        <f>IF($A445="",0,IF(AND(AE445&lt;&gt;"직접",IFERROR(INDEX(계정매핑!$G$5:$G$504,MATCH($F445&amp;"",계정매핑!$A$5:$A$504,0))&amp;"","")="유지비",COUNTIF(계정대체기준!$A$6:$A$15,$N445)&gt;0),IFERROR(INDEX(계정대체기준!$E$6:$E$15,MATCH(VALUE($A445&amp;""),계정대체기준!$D$6:$D$15,0)),0),0))</f>
        <v/>
      </c>
      <c r="AH445" s="64">
        <f>IF($A445="","",IF(AD445=0,"",IF(OR(COUNTIF(계정대체기준!$A$77:$A$86,$N445)&gt;0,ISNUMBER(MATCH($X445,계정대체기준!$D$77:$D$86,0)),ISNUMBER(MATCH($F445,계정대체기준!$D$77:$D$86,0))),"Y","N")))</f>
        <v/>
      </c>
    </row>
    <row r="446">
      <c r="A446" s="92" t="n">
        <v>2025</v>
      </c>
      <c r="B446" s="92" t="n">
        <v>2</v>
      </c>
      <c r="C446" s="92" t="inlineStr">
        <is>
          <t>5100000442</t>
        </is>
      </c>
      <c r="D446" s="95" t="n">
        <v>45713</v>
      </c>
      <c r="E446" s="92" t="inlineStr">
        <is>
          <t>KR</t>
        </is>
      </c>
      <c r="F446" s="92" t="n">
        <v>62201000</v>
      </c>
      <c r="G446" s="92" t="n">
        <v>1801</v>
      </c>
      <c r="H446" s="93" t="n">
        <v>4710000</v>
      </c>
      <c r="I446" s="92" t="inlineStr">
        <is>
          <t>2월 통신요금 - O텔레콤</t>
        </is>
      </c>
      <c r="J446" s="92" t="inlineStr">
        <is>
          <t>V10002</t>
        </is>
      </c>
      <c r="K446" s="92" t="inlineStr">
        <is>
          <t>O텔레콤</t>
        </is>
      </c>
      <c r="M446" s="9">
        <f>IF($A446="","",VALUE($A446&amp;"")*12+VALUE($B446&amp;""))</f>
        <v/>
      </c>
      <c r="N446" s="64">
        <f>IF($A446="","",IFERROR(INDEX(부서매핑!$C$5:$C$504,MATCH($G446&amp;"",부서매핑!$A$5:$A$504,0)),"미매핑"))</f>
        <v/>
      </c>
      <c r="O446" s="9">
        <f>IF($A446="","",N446&amp;"|"&amp;$F446)</f>
        <v/>
      </c>
      <c r="P446" s="94">
        <f>IF($A446="",0,$H446*설정!$C$23)</f>
        <v/>
      </c>
      <c r="Q446" s="64">
        <f>IF($A446="","",IF(O446&lt;&gt;원인분석!$C$9,"",IF(AND(M446&gt;=원인분석!$C$10,M446&lt;=원인분석!$C$11),"당기",IF(AND(M446&gt;=원인분석!$C$12,M446&lt;=원인분석!$C$13),"비교",""))))</f>
        <v/>
      </c>
      <c r="R446" s="9">
        <f>IF(Q446="","",$K446&amp;"")</f>
        <v/>
      </c>
      <c r="S446" s="9">
        <f>IF(Q446="","",IF(MATCH(R446,$R$5:$R$100000,0)=ROW()-4,ROW(),""))</f>
        <v/>
      </c>
      <c r="T446" s="9">
        <f>IF(Q446="당기",ABS(P446)+ROW()/1000000000,"")</f>
        <v/>
      </c>
      <c r="U446" s="9">
        <f>IF(Q446="비교",ABS(P446)+ROW()/1000000000,"")</f>
        <v/>
      </c>
      <c r="V446" s="64">
        <f>IF($A446="","",IF(COUNTIF(변동분석!$E$7:$E$506,O446)&gt;0,"Y","N"))</f>
        <v/>
      </c>
      <c r="W446" s="64">
        <f>IF($A446="","",IFERROR(INDEX(계정매핑!$D$5:$D$504,MATCH($F446&amp;"",계정매핑!$A$5:$A$504,0)),"미매핑"))</f>
        <v/>
      </c>
      <c r="X446" s="9">
        <f>IF($A446="","",$F446&amp;"")</f>
        <v/>
      </c>
      <c r="Y446" s="94">
        <f>IF($A446="",0,IF(AE446="직접",IF(AF446="비귀속",$P446,0),$P446*(1-AG446)*IFERROR(INDEX(계정대체기준!$F$20:$F$49,MATCH($N446,계정대체기준!$A$20:$A$49,0)),1)))</f>
        <v/>
      </c>
      <c r="Z446" s="94">
        <f>IF($A446="",0,IF(AE446="직접",IF(AF446="신계약비",$P446,0),$P446*(1-AG446)*IFERROR(INDEX(계정대체기준!$C$20:$C$49,MATCH($N446,계정대체기준!$A$20:$A$49,0)),0)))</f>
        <v/>
      </c>
      <c r="AA446" s="94">
        <f>IF($A446="",0,IF(AE446="직접",IF(OR(AF446="유지비",AF446="손해조사비"),$P446,0),$P446*(1-AG446)*IFERROR(INDEX(계정대체기준!$D$20:$D$49,MATCH($N446,계정대체기준!$A$20:$A$49,0)),0)))</f>
        <v/>
      </c>
      <c r="AB446" s="94">
        <f>IF($A446="",0,IF(AE446="직접",IF(AF446="수금비",$P446,0),$P446*(1-AG446)*IFERROR(INDEX(계정대체기준!$E$20:$E$49,MATCH($N446,계정대체기준!$A$20:$A$49,0)),0)))</f>
        <v/>
      </c>
      <c r="AC446" s="9">
        <f>IF(AND($A446&lt;&gt;"",M446=설정!$C$20,Z446&gt;0),Z446+ROW()/1000000000,"")</f>
        <v/>
      </c>
      <c r="AD446" s="94">
        <f>IF($A446="",0,$P446*AG446)</f>
        <v/>
      </c>
      <c r="AE446" s="64">
        <f>IF($A446="","",IFERROR(INDEX(계정매핑!$E$5:$E$504,MATCH($F446&amp;"",계정매핑!$A$5:$A$504,0))&amp;"","공통비"))</f>
        <v/>
      </c>
      <c r="AF446" s="64">
        <f>IF($A446="","",IF(AE446="직접",IFERROR(INDEX(계정매핑!$F$5:$F$504,MATCH($F446&amp;"",계정매핑!$A$5:$A$504,0))&amp;"","비귀속"),""))</f>
        <v/>
      </c>
      <c r="AG446" s="96">
        <f>IF($A446="",0,IF(AND(AE446&lt;&gt;"직접",IFERROR(INDEX(계정매핑!$G$5:$G$504,MATCH($F446&amp;"",계정매핑!$A$5:$A$504,0))&amp;"","")="유지비",COUNTIF(계정대체기준!$A$6:$A$15,$N446)&gt;0),IFERROR(INDEX(계정대체기준!$E$6:$E$15,MATCH(VALUE($A446&amp;""),계정대체기준!$D$6:$D$15,0)),0),0))</f>
        <v/>
      </c>
      <c r="AH446" s="64">
        <f>IF($A446="","",IF(AD446=0,"",IF(OR(COUNTIF(계정대체기준!$A$77:$A$86,$N446)&gt;0,ISNUMBER(MATCH($X446,계정대체기준!$D$77:$D$86,0)),ISNUMBER(MATCH($F446,계정대체기준!$D$77:$D$86,0))),"Y","N")))</f>
        <v/>
      </c>
    </row>
    <row r="447">
      <c r="A447" s="92" t="n">
        <v>2025</v>
      </c>
      <c r="B447" s="92" t="n">
        <v>2</v>
      </c>
      <c r="C447" s="92" t="inlineStr">
        <is>
          <t>5100000443</t>
        </is>
      </c>
      <c r="D447" s="95" t="n">
        <v>45713</v>
      </c>
      <c r="E447" s="92" t="inlineStr">
        <is>
          <t>KR</t>
        </is>
      </c>
      <c r="F447" s="92" t="n">
        <v>62902000</v>
      </c>
      <c r="G447" s="92" t="n">
        <v>1801</v>
      </c>
      <c r="H447" s="93" t="n">
        <v>1840000</v>
      </c>
      <c r="I447" s="92" t="inlineStr">
        <is>
          <t>2월 콜 위탁 수수료(건별)</t>
        </is>
      </c>
      <c r="J447" s="92" t="inlineStr">
        <is>
          <t>V10016</t>
        </is>
      </c>
      <c r="K447" s="92" t="inlineStr">
        <is>
          <t>J콜센터</t>
        </is>
      </c>
      <c r="M447" s="9">
        <f>IF($A447="","",VALUE($A447&amp;"")*12+VALUE($B447&amp;""))</f>
        <v/>
      </c>
      <c r="N447" s="64">
        <f>IF($A447="","",IFERROR(INDEX(부서매핑!$C$5:$C$504,MATCH($G447&amp;"",부서매핑!$A$5:$A$504,0)),"미매핑"))</f>
        <v/>
      </c>
      <c r="O447" s="9">
        <f>IF($A447="","",N447&amp;"|"&amp;$F447)</f>
        <v/>
      </c>
      <c r="P447" s="94">
        <f>IF($A447="",0,$H447*설정!$C$23)</f>
        <v/>
      </c>
      <c r="Q447" s="64">
        <f>IF($A447="","",IF(O447&lt;&gt;원인분석!$C$9,"",IF(AND(M447&gt;=원인분석!$C$10,M447&lt;=원인분석!$C$11),"당기",IF(AND(M447&gt;=원인분석!$C$12,M447&lt;=원인분석!$C$13),"비교",""))))</f>
        <v/>
      </c>
      <c r="R447" s="9">
        <f>IF(Q447="","",$K447&amp;"")</f>
        <v/>
      </c>
      <c r="S447" s="9">
        <f>IF(Q447="","",IF(MATCH(R447,$R$5:$R$100000,0)=ROW()-4,ROW(),""))</f>
        <v/>
      </c>
      <c r="T447" s="9">
        <f>IF(Q447="당기",ABS(P447)+ROW()/1000000000,"")</f>
        <v/>
      </c>
      <c r="U447" s="9">
        <f>IF(Q447="비교",ABS(P447)+ROW()/1000000000,"")</f>
        <v/>
      </c>
      <c r="V447" s="64">
        <f>IF($A447="","",IF(COUNTIF(변동분석!$E$7:$E$506,O447)&gt;0,"Y","N"))</f>
        <v/>
      </c>
      <c r="W447" s="64">
        <f>IF($A447="","",IFERROR(INDEX(계정매핑!$D$5:$D$504,MATCH($F447&amp;"",계정매핑!$A$5:$A$504,0)),"미매핑"))</f>
        <v/>
      </c>
      <c r="X447" s="9">
        <f>IF($A447="","",$F447&amp;"")</f>
        <v/>
      </c>
      <c r="Y447" s="94">
        <f>IF($A447="",0,IF(AE447="직접",IF(AF447="비귀속",$P447,0),$P447*(1-AG447)*IFERROR(INDEX(계정대체기준!$F$20:$F$49,MATCH($N447,계정대체기준!$A$20:$A$49,0)),1)))</f>
        <v/>
      </c>
      <c r="Z447" s="94">
        <f>IF($A447="",0,IF(AE447="직접",IF(AF447="신계약비",$P447,0),$P447*(1-AG447)*IFERROR(INDEX(계정대체기준!$C$20:$C$49,MATCH($N447,계정대체기준!$A$20:$A$49,0)),0)))</f>
        <v/>
      </c>
      <c r="AA447" s="94">
        <f>IF($A447="",0,IF(AE447="직접",IF(OR(AF447="유지비",AF447="손해조사비"),$P447,0),$P447*(1-AG447)*IFERROR(INDEX(계정대체기준!$D$20:$D$49,MATCH($N447,계정대체기준!$A$20:$A$49,0)),0)))</f>
        <v/>
      </c>
      <c r="AB447" s="94">
        <f>IF($A447="",0,IF(AE447="직접",IF(AF447="수금비",$P447,0),$P447*(1-AG447)*IFERROR(INDEX(계정대체기준!$E$20:$E$49,MATCH($N447,계정대체기준!$A$20:$A$49,0)),0)))</f>
        <v/>
      </c>
      <c r="AC447" s="9">
        <f>IF(AND($A447&lt;&gt;"",M447=설정!$C$20,Z447&gt;0),Z447+ROW()/1000000000,"")</f>
        <v/>
      </c>
      <c r="AD447" s="94">
        <f>IF($A447="",0,$P447*AG447)</f>
        <v/>
      </c>
      <c r="AE447" s="64">
        <f>IF($A447="","",IFERROR(INDEX(계정매핑!$E$5:$E$504,MATCH($F447&amp;"",계정매핑!$A$5:$A$504,0))&amp;"","공통비"))</f>
        <v/>
      </c>
      <c r="AF447" s="64">
        <f>IF($A447="","",IF(AE447="직접",IFERROR(INDEX(계정매핑!$F$5:$F$504,MATCH($F447&amp;"",계정매핑!$A$5:$A$504,0))&amp;"","비귀속"),""))</f>
        <v/>
      </c>
      <c r="AG447" s="96">
        <f>IF($A447="",0,IF(AND(AE447&lt;&gt;"직접",IFERROR(INDEX(계정매핑!$G$5:$G$504,MATCH($F447&amp;"",계정매핑!$A$5:$A$504,0))&amp;"","")="유지비",COUNTIF(계정대체기준!$A$6:$A$15,$N447)&gt;0),IFERROR(INDEX(계정대체기준!$E$6:$E$15,MATCH(VALUE($A447&amp;""),계정대체기준!$D$6:$D$15,0)),0),0))</f>
        <v/>
      </c>
      <c r="AH447" s="64">
        <f>IF($A447="","",IF(AD447=0,"",IF(OR(COUNTIF(계정대체기준!$A$77:$A$86,$N447)&gt;0,ISNUMBER(MATCH($X447,계정대체기준!$D$77:$D$86,0)),ISNUMBER(MATCH($F447,계정대체기준!$D$77:$D$86,0))),"Y","N")))</f>
        <v/>
      </c>
    </row>
    <row r="448">
      <c r="A448" s="92" t="n">
        <v>2025</v>
      </c>
      <c r="B448" s="92" t="n">
        <v>2</v>
      </c>
      <c r="C448" s="92" t="inlineStr">
        <is>
          <t>5100000444</t>
        </is>
      </c>
      <c r="D448" s="95" t="n">
        <v>45713</v>
      </c>
      <c r="E448" s="92" t="inlineStr">
        <is>
          <t>KR</t>
        </is>
      </c>
      <c r="F448" s="92" t="n">
        <v>63002000</v>
      </c>
      <c r="G448" s="92" t="n">
        <v>1701</v>
      </c>
      <c r="H448" s="93" t="n">
        <v>65000000</v>
      </c>
      <c r="I448" s="92" t="inlineStr">
        <is>
          <t>2월 클라우드 사용료 - C클라우드</t>
        </is>
      </c>
      <c r="J448" s="92" t="inlineStr">
        <is>
          <t>V10026</t>
        </is>
      </c>
      <c r="K448" s="92" t="inlineStr">
        <is>
          <t>C클라우드</t>
        </is>
      </c>
      <c r="M448" s="9">
        <f>IF($A448="","",VALUE($A448&amp;"")*12+VALUE($B448&amp;""))</f>
        <v/>
      </c>
      <c r="N448" s="64">
        <f>IF($A448="","",IFERROR(INDEX(부서매핑!$C$5:$C$504,MATCH($G448&amp;"",부서매핑!$A$5:$A$504,0)),"미매핑"))</f>
        <v/>
      </c>
      <c r="O448" s="9">
        <f>IF($A448="","",N448&amp;"|"&amp;$F448)</f>
        <v/>
      </c>
      <c r="P448" s="94">
        <f>IF($A448="",0,$H448*설정!$C$23)</f>
        <v/>
      </c>
      <c r="Q448" s="64">
        <f>IF($A448="","",IF(O448&lt;&gt;원인분석!$C$9,"",IF(AND(M448&gt;=원인분석!$C$10,M448&lt;=원인분석!$C$11),"당기",IF(AND(M448&gt;=원인분석!$C$12,M448&lt;=원인분석!$C$13),"비교",""))))</f>
        <v/>
      </c>
      <c r="R448" s="9">
        <f>IF(Q448="","",$K448&amp;"")</f>
        <v/>
      </c>
      <c r="S448" s="9">
        <f>IF(Q448="","",IF(MATCH(R448,$R$5:$R$100000,0)=ROW()-4,ROW(),""))</f>
        <v/>
      </c>
      <c r="T448" s="9">
        <f>IF(Q448="당기",ABS(P448)+ROW()/1000000000,"")</f>
        <v/>
      </c>
      <c r="U448" s="9">
        <f>IF(Q448="비교",ABS(P448)+ROW()/1000000000,"")</f>
        <v/>
      </c>
      <c r="V448" s="64">
        <f>IF($A448="","",IF(COUNTIF(변동분석!$E$7:$E$506,O448)&gt;0,"Y","N"))</f>
        <v/>
      </c>
      <c r="W448" s="64">
        <f>IF($A448="","",IFERROR(INDEX(계정매핑!$D$5:$D$504,MATCH($F448&amp;"",계정매핑!$A$5:$A$504,0)),"미매핑"))</f>
        <v/>
      </c>
      <c r="X448" s="9">
        <f>IF($A448="","",$F448&amp;"")</f>
        <v/>
      </c>
      <c r="Y448" s="94">
        <f>IF($A448="",0,IF(AE448="직접",IF(AF448="비귀속",$P448,0),$P448*(1-AG448)*IFERROR(INDEX(계정대체기준!$F$20:$F$49,MATCH($N448,계정대체기준!$A$20:$A$49,0)),1)))</f>
        <v/>
      </c>
      <c r="Z448" s="94">
        <f>IF($A448="",0,IF(AE448="직접",IF(AF448="신계약비",$P448,0),$P448*(1-AG448)*IFERROR(INDEX(계정대체기준!$C$20:$C$49,MATCH($N448,계정대체기준!$A$20:$A$49,0)),0)))</f>
        <v/>
      </c>
      <c r="AA448" s="94">
        <f>IF($A448="",0,IF(AE448="직접",IF(OR(AF448="유지비",AF448="손해조사비"),$P448,0),$P448*(1-AG448)*IFERROR(INDEX(계정대체기준!$D$20:$D$49,MATCH($N448,계정대체기준!$A$20:$A$49,0)),0)))</f>
        <v/>
      </c>
      <c r="AB448" s="94">
        <f>IF($A448="",0,IF(AE448="직접",IF(AF448="수금비",$P448,0),$P448*(1-AG448)*IFERROR(INDEX(계정대체기준!$E$20:$E$49,MATCH($N448,계정대체기준!$A$20:$A$49,0)),0)))</f>
        <v/>
      </c>
      <c r="AC448" s="9">
        <f>IF(AND($A448&lt;&gt;"",M448=설정!$C$20,Z448&gt;0),Z448+ROW()/1000000000,"")</f>
        <v/>
      </c>
      <c r="AD448" s="94">
        <f>IF($A448="",0,$P448*AG448)</f>
        <v/>
      </c>
      <c r="AE448" s="64">
        <f>IF($A448="","",IFERROR(INDEX(계정매핑!$E$5:$E$504,MATCH($F448&amp;"",계정매핑!$A$5:$A$504,0))&amp;"","공통비"))</f>
        <v/>
      </c>
      <c r="AF448" s="64">
        <f>IF($A448="","",IF(AE448="직접",IFERROR(INDEX(계정매핑!$F$5:$F$504,MATCH($F448&amp;"",계정매핑!$A$5:$A$504,0))&amp;"","비귀속"),""))</f>
        <v/>
      </c>
      <c r="AG448" s="96">
        <f>IF($A448="",0,IF(AND(AE448&lt;&gt;"직접",IFERROR(INDEX(계정매핑!$G$5:$G$504,MATCH($F448&amp;"",계정매핑!$A$5:$A$504,0))&amp;"","")="유지비",COUNTIF(계정대체기준!$A$6:$A$15,$N448)&gt;0),IFERROR(INDEX(계정대체기준!$E$6:$E$15,MATCH(VALUE($A448&amp;""),계정대체기준!$D$6:$D$15,0)),0),0))</f>
        <v/>
      </c>
      <c r="AH448" s="64">
        <f>IF($A448="","",IF(AD448=0,"",IF(OR(COUNTIF(계정대체기준!$A$77:$A$86,$N448)&gt;0,ISNUMBER(MATCH($X448,계정대체기준!$D$77:$D$86,0)),ISNUMBER(MATCH($F448,계정대체기준!$D$77:$D$86,0))),"Y","N")))</f>
        <v/>
      </c>
    </row>
    <row r="449">
      <c r="A449" s="92" t="n">
        <v>2025</v>
      </c>
      <c r="B449" s="92" t="n">
        <v>2</v>
      </c>
      <c r="C449" s="92" t="inlineStr">
        <is>
          <t>5100000445</t>
        </is>
      </c>
      <c r="D449" s="95" t="n">
        <v>45714</v>
      </c>
      <c r="E449" s="92" t="inlineStr">
        <is>
          <t>KR</t>
        </is>
      </c>
      <c r="F449" s="92" t="n">
        <v>62301000</v>
      </c>
      <c r="G449" s="92" t="n">
        <v>1801</v>
      </c>
      <c r="H449" s="93" t="n">
        <v>741000</v>
      </c>
      <c r="I449" s="92" t="inlineStr">
        <is>
          <t>2월 소모품 구입 - R문구</t>
        </is>
      </c>
      <c r="J449" s="92" t="inlineStr">
        <is>
          <t>V10022</t>
        </is>
      </c>
      <c r="K449" s="92" t="inlineStr">
        <is>
          <t>R문구</t>
        </is>
      </c>
      <c r="M449" s="9">
        <f>IF($A449="","",VALUE($A449&amp;"")*12+VALUE($B449&amp;""))</f>
        <v/>
      </c>
      <c r="N449" s="64">
        <f>IF($A449="","",IFERROR(INDEX(부서매핑!$C$5:$C$504,MATCH($G449&amp;"",부서매핑!$A$5:$A$504,0)),"미매핑"))</f>
        <v/>
      </c>
      <c r="O449" s="9">
        <f>IF($A449="","",N449&amp;"|"&amp;$F449)</f>
        <v/>
      </c>
      <c r="P449" s="94">
        <f>IF($A449="",0,$H449*설정!$C$23)</f>
        <v/>
      </c>
      <c r="Q449" s="64">
        <f>IF($A449="","",IF(O449&lt;&gt;원인분석!$C$9,"",IF(AND(M449&gt;=원인분석!$C$10,M449&lt;=원인분석!$C$11),"당기",IF(AND(M449&gt;=원인분석!$C$12,M449&lt;=원인분석!$C$13),"비교",""))))</f>
        <v/>
      </c>
      <c r="R449" s="9">
        <f>IF(Q449="","",$K449&amp;"")</f>
        <v/>
      </c>
      <c r="S449" s="9">
        <f>IF(Q449="","",IF(MATCH(R449,$R$5:$R$100000,0)=ROW()-4,ROW(),""))</f>
        <v/>
      </c>
      <c r="T449" s="9">
        <f>IF(Q449="당기",ABS(P449)+ROW()/1000000000,"")</f>
        <v/>
      </c>
      <c r="U449" s="9">
        <f>IF(Q449="비교",ABS(P449)+ROW()/1000000000,"")</f>
        <v/>
      </c>
      <c r="V449" s="64">
        <f>IF($A449="","",IF(COUNTIF(변동분석!$E$7:$E$506,O449)&gt;0,"Y","N"))</f>
        <v/>
      </c>
      <c r="W449" s="64">
        <f>IF($A449="","",IFERROR(INDEX(계정매핑!$D$5:$D$504,MATCH($F449&amp;"",계정매핑!$A$5:$A$504,0)),"미매핑"))</f>
        <v/>
      </c>
      <c r="X449" s="9">
        <f>IF($A449="","",$F449&amp;"")</f>
        <v/>
      </c>
      <c r="Y449" s="94">
        <f>IF($A449="",0,IF(AE449="직접",IF(AF449="비귀속",$P449,0),$P449*(1-AG449)*IFERROR(INDEX(계정대체기준!$F$20:$F$49,MATCH($N449,계정대체기준!$A$20:$A$49,0)),1)))</f>
        <v/>
      </c>
      <c r="Z449" s="94">
        <f>IF($A449="",0,IF(AE449="직접",IF(AF449="신계약비",$P449,0),$P449*(1-AG449)*IFERROR(INDEX(계정대체기준!$C$20:$C$49,MATCH($N449,계정대체기준!$A$20:$A$49,0)),0)))</f>
        <v/>
      </c>
      <c r="AA449" s="94">
        <f>IF($A449="",0,IF(AE449="직접",IF(OR(AF449="유지비",AF449="손해조사비"),$P449,0),$P449*(1-AG449)*IFERROR(INDEX(계정대체기준!$D$20:$D$49,MATCH($N449,계정대체기준!$A$20:$A$49,0)),0)))</f>
        <v/>
      </c>
      <c r="AB449" s="94">
        <f>IF($A449="",0,IF(AE449="직접",IF(AF449="수금비",$P449,0),$P449*(1-AG449)*IFERROR(INDEX(계정대체기준!$E$20:$E$49,MATCH($N449,계정대체기준!$A$20:$A$49,0)),0)))</f>
        <v/>
      </c>
      <c r="AC449" s="9">
        <f>IF(AND($A449&lt;&gt;"",M449=설정!$C$20,Z449&gt;0),Z449+ROW()/1000000000,"")</f>
        <v/>
      </c>
      <c r="AD449" s="94">
        <f>IF($A449="",0,$P449*AG449)</f>
        <v/>
      </c>
      <c r="AE449" s="64">
        <f>IF($A449="","",IFERROR(INDEX(계정매핑!$E$5:$E$504,MATCH($F449&amp;"",계정매핑!$A$5:$A$504,0))&amp;"","공통비"))</f>
        <v/>
      </c>
      <c r="AF449" s="64">
        <f>IF($A449="","",IF(AE449="직접",IFERROR(INDEX(계정매핑!$F$5:$F$504,MATCH($F449&amp;"",계정매핑!$A$5:$A$504,0))&amp;"","비귀속"),""))</f>
        <v/>
      </c>
      <c r="AG449" s="96">
        <f>IF($A449="",0,IF(AND(AE449&lt;&gt;"직접",IFERROR(INDEX(계정매핑!$G$5:$G$504,MATCH($F449&amp;"",계정매핑!$A$5:$A$504,0))&amp;"","")="유지비",COUNTIF(계정대체기준!$A$6:$A$15,$N449)&gt;0),IFERROR(INDEX(계정대체기준!$E$6:$E$15,MATCH(VALUE($A449&amp;""),계정대체기준!$D$6:$D$15,0)),0),0))</f>
        <v/>
      </c>
      <c r="AH449" s="64">
        <f>IF($A449="","",IF(AD449=0,"",IF(OR(COUNTIF(계정대체기준!$A$77:$A$86,$N449)&gt;0,ISNUMBER(MATCH($X449,계정대체기준!$D$77:$D$86,0)),ISNUMBER(MATCH($F449,계정대체기준!$D$77:$D$86,0))),"Y","N")))</f>
        <v/>
      </c>
    </row>
    <row r="450">
      <c r="A450" s="92" t="n">
        <v>2025</v>
      </c>
      <c r="B450" s="92" t="n">
        <v>2</v>
      </c>
      <c r="C450" s="92" t="inlineStr">
        <is>
          <t>5100000446</t>
        </is>
      </c>
      <c r="D450" s="95" t="n">
        <v>45714</v>
      </c>
      <c r="E450" s="92" t="inlineStr">
        <is>
          <t>KR</t>
        </is>
      </c>
      <c r="F450" s="92" t="n">
        <v>62401000</v>
      </c>
      <c r="G450" s="92" t="n">
        <v>1502</v>
      </c>
      <c r="H450" s="93" t="n">
        <v>2041000</v>
      </c>
      <c r="I450" s="92" t="inlineStr">
        <is>
          <t>2월 인쇄물 제작 - G인쇄</t>
        </is>
      </c>
      <c r="J450" s="92" t="inlineStr">
        <is>
          <t>V10004</t>
        </is>
      </c>
      <c r="K450" s="92" t="inlineStr">
        <is>
          <t>G인쇄</t>
        </is>
      </c>
      <c r="M450" s="9">
        <f>IF($A450="","",VALUE($A450&amp;"")*12+VALUE($B450&amp;""))</f>
        <v/>
      </c>
      <c r="N450" s="64">
        <f>IF($A450="","",IFERROR(INDEX(부서매핑!$C$5:$C$504,MATCH($G450&amp;"",부서매핑!$A$5:$A$504,0)),"미매핑"))</f>
        <v/>
      </c>
      <c r="O450" s="9">
        <f>IF($A450="","",N450&amp;"|"&amp;$F450)</f>
        <v/>
      </c>
      <c r="P450" s="94">
        <f>IF($A450="",0,$H450*설정!$C$23)</f>
        <v/>
      </c>
      <c r="Q450" s="64">
        <f>IF($A450="","",IF(O450&lt;&gt;원인분석!$C$9,"",IF(AND(M450&gt;=원인분석!$C$10,M450&lt;=원인분석!$C$11),"당기",IF(AND(M450&gt;=원인분석!$C$12,M450&lt;=원인분석!$C$13),"비교",""))))</f>
        <v/>
      </c>
      <c r="R450" s="9">
        <f>IF(Q450="","",$K450&amp;"")</f>
        <v/>
      </c>
      <c r="S450" s="9">
        <f>IF(Q450="","",IF(MATCH(R450,$R$5:$R$100000,0)=ROW()-4,ROW(),""))</f>
        <v/>
      </c>
      <c r="T450" s="9">
        <f>IF(Q450="당기",ABS(P450)+ROW()/1000000000,"")</f>
        <v/>
      </c>
      <c r="U450" s="9">
        <f>IF(Q450="비교",ABS(P450)+ROW()/1000000000,"")</f>
        <v/>
      </c>
      <c r="V450" s="64">
        <f>IF($A450="","",IF(COUNTIF(변동분석!$E$7:$E$506,O450)&gt;0,"Y","N"))</f>
        <v/>
      </c>
      <c r="W450" s="64">
        <f>IF($A450="","",IFERROR(INDEX(계정매핑!$D$5:$D$504,MATCH($F450&amp;"",계정매핑!$A$5:$A$504,0)),"미매핑"))</f>
        <v/>
      </c>
      <c r="X450" s="9">
        <f>IF($A450="","",$F450&amp;"")</f>
        <v/>
      </c>
      <c r="Y450" s="94">
        <f>IF($A450="",0,IF(AE450="직접",IF(AF450="비귀속",$P450,0),$P450*(1-AG450)*IFERROR(INDEX(계정대체기준!$F$20:$F$49,MATCH($N450,계정대체기준!$A$20:$A$49,0)),1)))</f>
        <v/>
      </c>
      <c r="Z450" s="94">
        <f>IF($A450="",0,IF(AE450="직접",IF(AF450="신계약비",$P450,0),$P450*(1-AG450)*IFERROR(INDEX(계정대체기준!$C$20:$C$49,MATCH($N450,계정대체기준!$A$20:$A$49,0)),0)))</f>
        <v/>
      </c>
      <c r="AA450" s="94">
        <f>IF($A450="",0,IF(AE450="직접",IF(OR(AF450="유지비",AF450="손해조사비"),$P450,0),$P450*(1-AG450)*IFERROR(INDEX(계정대체기준!$D$20:$D$49,MATCH($N450,계정대체기준!$A$20:$A$49,0)),0)))</f>
        <v/>
      </c>
      <c r="AB450" s="94">
        <f>IF($A450="",0,IF(AE450="직접",IF(AF450="수금비",$P450,0),$P450*(1-AG450)*IFERROR(INDEX(계정대체기준!$E$20:$E$49,MATCH($N450,계정대체기준!$A$20:$A$49,0)),0)))</f>
        <v/>
      </c>
      <c r="AC450" s="9">
        <f>IF(AND($A450&lt;&gt;"",M450=설정!$C$20,Z450&gt;0),Z450+ROW()/1000000000,"")</f>
        <v/>
      </c>
      <c r="AD450" s="94">
        <f>IF($A450="",0,$P450*AG450)</f>
        <v/>
      </c>
      <c r="AE450" s="64">
        <f>IF($A450="","",IFERROR(INDEX(계정매핑!$E$5:$E$504,MATCH($F450&amp;"",계정매핑!$A$5:$A$504,0))&amp;"","공통비"))</f>
        <v/>
      </c>
      <c r="AF450" s="64">
        <f>IF($A450="","",IF(AE450="직접",IFERROR(INDEX(계정매핑!$F$5:$F$504,MATCH($F450&amp;"",계정매핑!$A$5:$A$504,0))&amp;"","비귀속"),""))</f>
        <v/>
      </c>
      <c r="AG450" s="96">
        <f>IF($A450="",0,IF(AND(AE450&lt;&gt;"직접",IFERROR(INDEX(계정매핑!$G$5:$G$504,MATCH($F450&amp;"",계정매핑!$A$5:$A$504,0))&amp;"","")="유지비",COUNTIF(계정대체기준!$A$6:$A$15,$N450)&gt;0),IFERROR(INDEX(계정대체기준!$E$6:$E$15,MATCH(VALUE($A450&amp;""),계정대체기준!$D$6:$D$15,0)),0),0))</f>
        <v/>
      </c>
      <c r="AH450" s="64">
        <f>IF($A450="","",IF(AD450=0,"",IF(OR(COUNTIF(계정대체기준!$A$77:$A$86,$N450)&gt;0,ISNUMBER(MATCH($X450,계정대체기준!$D$77:$D$86,0)),ISNUMBER(MATCH($F450,계정대체기준!$D$77:$D$86,0))),"Y","N")))</f>
        <v/>
      </c>
    </row>
    <row r="451">
      <c r="A451" s="92" t="n">
        <v>2025</v>
      </c>
      <c r="B451" s="92" t="n">
        <v>2</v>
      </c>
      <c r="C451" s="92" t="inlineStr">
        <is>
          <t>5100000447</t>
        </is>
      </c>
      <c r="D451" s="95" t="n">
        <v>45714</v>
      </c>
      <c r="E451" s="92" t="inlineStr">
        <is>
          <t>KR</t>
        </is>
      </c>
      <c r="F451" s="92" t="n">
        <v>62601000</v>
      </c>
      <c r="G451" s="92" t="n">
        <v>1501</v>
      </c>
      <c r="H451" s="93" t="n">
        <v>880000</v>
      </c>
      <c r="I451" s="92" t="inlineStr">
        <is>
          <t>2월 업무추진 - (법인카드)</t>
        </is>
      </c>
      <c r="J451" s="92" t="inlineStr">
        <is>
          <t>V10010</t>
        </is>
      </c>
      <c r="K451" s="92" t="inlineStr">
        <is>
          <t>(법인카드)</t>
        </is>
      </c>
      <c r="M451" s="9">
        <f>IF($A451="","",VALUE($A451&amp;"")*12+VALUE($B451&amp;""))</f>
        <v/>
      </c>
      <c r="N451" s="64">
        <f>IF($A451="","",IFERROR(INDEX(부서매핑!$C$5:$C$504,MATCH($G451&amp;"",부서매핑!$A$5:$A$504,0)),"미매핑"))</f>
        <v/>
      </c>
      <c r="O451" s="9">
        <f>IF($A451="","",N451&amp;"|"&amp;$F451)</f>
        <v/>
      </c>
      <c r="P451" s="94">
        <f>IF($A451="",0,$H451*설정!$C$23)</f>
        <v/>
      </c>
      <c r="Q451" s="64">
        <f>IF($A451="","",IF(O451&lt;&gt;원인분석!$C$9,"",IF(AND(M451&gt;=원인분석!$C$10,M451&lt;=원인분석!$C$11),"당기",IF(AND(M451&gt;=원인분석!$C$12,M451&lt;=원인분석!$C$13),"비교",""))))</f>
        <v/>
      </c>
      <c r="R451" s="9">
        <f>IF(Q451="","",$K451&amp;"")</f>
        <v/>
      </c>
      <c r="S451" s="9">
        <f>IF(Q451="","",IF(MATCH(R451,$R$5:$R$100000,0)=ROW()-4,ROW(),""))</f>
        <v/>
      </c>
      <c r="T451" s="9">
        <f>IF(Q451="당기",ABS(P451)+ROW()/1000000000,"")</f>
        <v/>
      </c>
      <c r="U451" s="9">
        <f>IF(Q451="비교",ABS(P451)+ROW()/1000000000,"")</f>
        <v/>
      </c>
      <c r="V451" s="64">
        <f>IF($A451="","",IF(COUNTIF(변동분석!$E$7:$E$506,O451)&gt;0,"Y","N"))</f>
        <v/>
      </c>
      <c r="W451" s="64">
        <f>IF($A451="","",IFERROR(INDEX(계정매핑!$D$5:$D$504,MATCH($F451&amp;"",계정매핑!$A$5:$A$504,0)),"미매핑"))</f>
        <v/>
      </c>
      <c r="X451" s="9">
        <f>IF($A451="","",$F451&amp;"")</f>
        <v/>
      </c>
      <c r="Y451" s="94">
        <f>IF($A451="",0,IF(AE451="직접",IF(AF451="비귀속",$P451,0),$P451*(1-AG451)*IFERROR(INDEX(계정대체기준!$F$20:$F$49,MATCH($N451,계정대체기준!$A$20:$A$49,0)),1)))</f>
        <v/>
      </c>
      <c r="Z451" s="94">
        <f>IF($A451="",0,IF(AE451="직접",IF(AF451="신계약비",$P451,0),$P451*(1-AG451)*IFERROR(INDEX(계정대체기준!$C$20:$C$49,MATCH($N451,계정대체기준!$A$20:$A$49,0)),0)))</f>
        <v/>
      </c>
      <c r="AA451" s="94">
        <f>IF($A451="",0,IF(AE451="직접",IF(OR(AF451="유지비",AF451="손해조사비"),$P451,0),$P451*(1-AG451)*IFERROR(INDEX(계정대체기준!$D$20:$D$49,MATCH($N451,계정대체기준!$A$20:$A$49,0)),0)))</f>
        <v/>
      </c>
      <c r="AB451" s="94">
        <f>IF($A451="",0,IF(AE451="직접",IF(AF451="수금비",$P451,0),$P451*(1-AG451)*IFERROR(INDEX(계정대체기준!$E$20:$E$49,MATCH($N451,계정대체기준!$A$20:$A$49,0)),0)))</f>
        <v/>
      </c>
      <c r="AC451" s="9">
        <f>IF(AND($A451&lt;&gt;"",M451=설정!$C$20,Z451&gt;0),Z451+ROW()/1000000000,"")</f>
        <v/>
      </c>
      <c r="AD451" s="94">
        <f>IF($A451="",0,$P451*AG451)</f>
        <v/>
      </c>
      <c r="AE451" s="64">
        <f>IF($A451="","",IFERROR(INDEX(계정매핑!$E$5:$E$504,MATCH($F451&amp;"",계정매핑!$A$5:$A$504,0))&amp;"","공통비"))</f>
        <v/>
      </c>
      <c r="AF451" s="64">
        <f>IF($A451="","",IF(AE451="직접",IFERROR(INDEX(계정매핑!$F$5:$F$504,MATCH($F451&amp;"",계정매핑!$A$5:$A$504,0))&amp;"","비귀속"),""))</f>
        <v/>
      </c>
      <c r="AG451" s="96">
        <f>IF($A451="",0,IF(AND(AE451&lt;&gt;"직접",IFERROR(INDEX(계정매핑!$G$5:$G$504,MATCH($F451&amp;"",계정매핑!$A$5:$A$504,0))&amp;"","")="유지비",COUNTIF(계정대체기준!$A$6:$A$15,$N451)&gt;0),IFERROR(INDEX(계정대체기준!$E$6:$E$15,MATCH(VALUE($A451&amp;""),계정대체기준!$D$6:$D$15,0)),0),0))</f>
        <v/>
      </c>
      <c r="AH451" s="64">
        <f>IF($A451="","",IF(AD451=0,"",IF(OR(COUNTIF(계정대체기준!$A$77:$A$86,$N451)&gt;0,ISNUMBER(MATCH($X451,계정대체기준!$D$77:$D$86,0)),ISNUMBER(MATCH($F451,계정대체기준!$D$77:$D$86,0))),"Y","N")))</f>
        <v/>
      </c>
    </row>
    <row r="452">
      <c r="A452" s="92" t="n">
        <v>2025</v>
      </c>
      <c r="B452" s="92" t="n">
        <v>2</v>
      </c>
      <c r="C452" s="92" t="inlineStr">
        <is>
          <t>5100000448</t>
        </is>
      </c>
      <c r="D452" s="95" t="n">
        <v>45714</v>
      </c>
      <c r="E452" s="92" t="inlineStr">
        <is>
          <t>KR</t>
        </is>
      </c>
      <c r="F452" s="92" t="n">
        <v>63101000</v>
      </c>
      <c r="G452" s="92" t="n">
        <v>1601</v>
      </c>
      <c r="H452" s="93" t="n">
        <v>6231000</v>
      </c>
      <c r="I452" s="92" t="inlineStr">
        <is>
          <t>2월 사무실 임차료 - AA빌딩</t>
        </is>
      </c>
      <c r="J452" s="92" t="inlineStr">
        <is>
          <t>V10007</t>
        </is>
      </c>
      <c r="K452" s="92" t="inlineStr">
        <is>
          <t>AA빌딩</t>
        </is>
      </c>
      <c r="M452" s="9">
        <f>IF($A452="","",VALUE($A452&amp;"")*12+VALUE($B452&amp;""))</f>
        <v/>
      </c>
      <c r="N452" s="64">
        <f>IF($A452="","",IFERROR(INDEX(부서매핑!$C$5:$C$504,MATCH($G452&amp;"",부서매핑!$A$5:$A$504,0)),"미매핑"))</f>
        <v/>
      </c>
      <c r="O452" s="9">
        <f>IF($A452="","",N452&amp;"|"&amp;$F452)</f>
        <v/>
      </c>
      <c r="P452" s="94">
        <f>IF($A452="",0,$H452*설정!$C$23)</f>
        <v/>
      </c>
      <c r="Q452" s="64">
        <f>IF($A452="","",IF(O452&lt;&gt;원인분석!$C$9,"",IF(AND(M452&gt;=원인분석!$C$10,M452&lt;=원인분석!$C$11),"당기",IF(AND(M452&gt;=원인분석!$C$12,M452&lt;=원인분석!$C$13),"비교",""))))</f>
        <v/>
      </c>
      <c r="R452" s="9">
        <f>IF(Q452="","",$K452&amp;"")</f>
        <v/>
      </c>
      <c r="S452" s="9">
        <f>IF(Q452="","",IF(MATCH(R452,$R$5:$R$100000,0)=ROW()-4,ROW(),""))</f>
        <v/>
      </c>
      <c r="T452" s="9">
        <f>IF(Q452="당기",ABS(P452)+ROW()/1000000000,"")</f>
        <v/>
      </c>
      <c r="U452" s="9">
        <f>IF(Q452="비교",ABS(P452)+ROW()/1000000000,"")</f>
        <v/>
      </c>
      <c r="V452" s="64">
        <f>IF($A452="","",IF(COUNTIF(변동분석!$E$7:$E$506,O452)&gt;0,"Y","N"))</f>
        <v/>
      </c>
      <c r="W452" s="64">
        <f>IF($A452="","",IFERROR(INDEX(계정매핑!$D$5:$D$504,MATCH($F452&amp;"",계정매핑!$A$5:$A$504,0)),"미매핑"))</f>
        <v/>
      </c>
      <c r="X452" s="9">
        <f>IF($A452="","",$F452&amp;"")</f>
        <v/>
      </c>
      <c r="Y452" s="94">
        <f>IF($A452="",0,IF(AE452="직접",IF(AF452="비귀속",$P452,0),$P452*(1-AG452)*IFERROR(INDEX(계정대체기준!$F$20:$F$49,MATCH($N452,계정대체기준!$A$20:$A$49,0)),1)))</f>
        <v/>
      </c>
      <c r="Z452" s="94">
        <f>IF($A452="",0,IF(AE452="직접",IF(AF452="신계약비",$P452,0),$P452*(1-AG452)*IFERROR(INDEX(계정대체기준!$C$20:$C$49,MATCH($N452,계정대체기준!$A$20:$A$49,0)),0)))</f>
        <v/>
      </c>
      <c r="AA452" s="94">
        <f>IF($A452="",0,IF(AE452="직접",IF(OR(AF452="유지비",AF452="손해조사비"),$P452,0),$P452*(1-AG452)*IFERROR(INDEX(계정대체기준!$D$20:$D$49,MATCH($N452,계정대체기준!$A$20:$A$49,0)),0)))</f>
        <v/>
      </c>
      <c r="AB452" s="94">
        <f>IF($A452="",0,IF(AE452="직접",IF(AF452="수금비",$P452,0),$P452*(1-AG452)*IFERROR(INDEX(계정대체기준!$E$20:$E$49,MATCH($N452,계정대체기준!$A$20:$A$49,0)),0)))</f>
        <v/>
      </c>
      <c r="AC452" s="9">
        <f>IF(AND($A452&lt;&gt;"",M452=설정!$C$20,Z452&gt;0),Z452+ROW()/1000000000,"")</f>
        <v/>
      </c>
      <c r="AD452" s="94">
        <f>IF($A452="",0,$P452*AG452)</f>
        <v/>
      </c>
      <c r="AE452" s="64">
        <f>IF($A452="","",IFERROR(INDEX(계정매핑!$E$5:$E$504,MATCH($F452&amp;"",계정매핑!$A$5:$A$504,0))&amp;"","공통비"))</f>
        <v/>
      </c>
      <c r="AF452" s="64">
        <f>IF($A452="","",IF(AE452="직접",IFERROR(INDEX(계정매핑!$F$5:$F$504,MATCH($F452&amp;"",계정매핑!$A$5:$A$504,0))&amp;"","비귀속"),""))</f>
        <v/>
      </c>
      <c r="AG452" s="96">
        <f>IF($A452="",0,IF(AND(AE452&lt;&gt;"직접",IFERROR(INDEX(계정매핑!$G$5:$G$504,MATCH($F452&amp;"",계정매핑!$A$5:$A$504,0))&amp;"","")="유지비",COUNTIF(계정대체기준!$A$6:$A$15,$N452)&gt;0),IFERROR(INDEX(계정대체기준!$E$6:$E$15,MATCH(VALUE($A452&amp;""),계정대체기준!$D$6:$D$15,0)),0),0))</f>
        <v/>
      </c>
      <c r="AH452" s="64">
        <f>IF($A452="","",IF(AD452=0,"",IF(OR(COUNTIF(계정대체기준!$A$77:$A$86,$N452)&gt;0,ISNUMBER(MATCH($X452,계정대체기준!$D$77:$D$86,0)),ISNUMBER(MATCH($F452,계정대체기준!$D$77:$D$86,0))),"Y","N")))</f>
        <v/>
      </c>
    </row>
    <row r="453">
      <c r="A453" s="92" t="n">
        <v>2025</v>
      </c>
      <c r="B453" s="92" t="n">
        <v>2</v>
      </c>
      <c r="C453" s="92" t="inlineStr">
        <is>
          <t>5100000449</t>
        </is>
      </c>
      <c r="D453" s="95" t="n">
        <v>45714</v>
      </c>
      <c r="E453" s="92" t="inlineStr">
        <is>
          <t>KR</t>
        </is>
      </c>
      <c r="F453" s="92" t="n">
        <v>63101000</v>
      </c>
      <c r="G453" s="92" t="n">
        <v>1602</v>
      </c>
      <c r="H453" s="93" t="n">
        <v>5828000</v>
      </c>
      <c r="I453" s="92" t="inlineStr">
        <is>
          <t>2월 사무실 임차료 - BB부동산</t>
        </is>
      </c>
      <c r="J453" s="92" t="inlineStr">
        <is>
          <t>V10028</t>
        </is>
      </c>
      <c r="K453" s="92" t="inlineStr">
        <is>
          <t>BB부동산</t>
        </is>
      </c>
      <c r="M453" s="9">
        <f>IF($A453="","",VALUE($A453&amp;"")*12+VALUE($B453&amp;""))</f>
        <v/>
      </c>
      <c r="N453" s="64">
        <f>IF($A453="","",IFERROR(INDEX(부서매핑!$C$5:$C$504,MATCH($G453&amp;"",부서매핑!$A$5:$A$504,0)),"미매핑"))</f>
        <v/>
      </c>
      <c r="O453" s="9">
        <f>IF($A453="","",N453&amp;"|"&amp;$F453)</f>
        <v/>
      </c>
      <c r="P453" s="94">
        <f>IF($A453="",0,$H453*설정!$C$23)</f>
        <v/>
      </c>
      <c r="Q453" s="64">
        <f>IF($A453="","",IF(O453&lt;&gt;원인분석!$C$9,"",IF(AND(M453&gt;=원인분석!$C$10,M453&lt;=원인분석!$C$11),"당기",IF(AND(M453&gt;=원인분석!$C$12,M453&lt;=원인분석!$C$13),"비교",""))))</f>
        <v/>
      </c>
      <c r="R453" s="9">
        <f>IF(Q453="","",$K453&amp;"")</f>
        <v/>
      </c>
      <c r="S453" s="9">
        <f>IF(Q453="","",IF(MATCH(R453,$R$5:$R$100000,0)=ROW()-4,ROW(),""))</f>
        <v/>
      </c>
      <c r="T453" s="9">
        <f>IF(Q453="당기",ABS(P453)+ROW()/1000000000,"")</f>
        <v/>
      </c>
      <c r="U453" s="9">
        <f>IF(Q453="비교",ABS(P453)+ROW()/1000000000,"")</f>
        <v/>
      </c>
      <c r="V453" s="64">
        <f>IF($A453="","",IF(COUNTIF(변동분석!$E$7:$E$506,O453)&gt;0,"Y","N"))</f>
        <v/>
      </c>
      <c r="W453" s="64">
        <f>IF($A453="","",IFERROR(INDEX(계정매핑!$D$5:$D$504,MATCH($F453&amp;"",계정매핑!$A$5:$A$504,0)),"미매핑"))</f>
        <v/>
      </c>
      <c r="X453" s="9">
        <f>IF($A453="","",$F453&amp;"")</f>
        <v/>
      </c>
      <c r="Y453" s="94">
        <f>IF($A453="",0,IF(AE453="직접",IF(AF453="비귀속",$P453,0),$P453*(1-AG453)*IFERROR(INDEX(계정대체기준!$F$20:$F$49,MATCH($N453,계정대체기준!$A$20:$A$49,0)),1)))</f>
        <v/>
      </c>
      <c r="Z453" s="94">
        <f>IF($A453="",0,IF(AE453="직접",IF(AF453="신계약비",$P453,0),$P453*(1-AG453)*IFERROR(INDEX(계정대체기준!$C$20:$C$49,MATCH($N453,계정대체기준!$A$20:$A$49,0)),0)))</f>
        <v/>
      </c>
      <c r="AA453" s="94">
        <f>IF($A453="",0,IF(AE453="직접",IF(OR(AF453="유지비",AF453="손해조사비"),$P453,0),$P453*(1-AG453)*IFERROR(INDEX(계정대체기준!$D$20:$D$49,MATCH($N453,계정대체기준!$A$20:$A$49,0)),0)))</f>
        <v/>
      </c>
      <c r="AB453" s="94">
        <f>IF($A453="",0,IF(AE453="직접",IF(AF453="수금비",$P453,0),$P453*(1-AG453)*IFERROR(INDEX(계정대체기준!$E$20:$E$49,MATCH($N453,계정대체기준!$A$20:$A$49,0)),0)))</f>
        <v/>
      </c>
      <c r="AC453" s="9">
        <f>IF(AND($A453&lt;&gt;"",M453=설정!$C$20,Z453&gt;0),Z453+ROW()/1000000000,"")</f>
        <v/>
      </c>
      <c r="AD453" s="94">
        <f>IF($A453="",0,$P453*AG453)</f>
        <v/>
      </c>
      <c r="AE453" s="64">
        <f>IF($A453="","",IFERROR(INDEX(계정매핑!$E$5:$E$504,MATCH($F453&amp;"",계정매핑!$A$5:$A$504,0))&amp;"","공통비"))</f>
        <v/>
      </c>
      <c r="AF453" s="64">
        <f>IF($A453="","",IF(AE453="직접",IFERROR(INDEX(계정매핑!$F$5:$F$504,MATCH($F453&amp;"",계정매핑!$A$5:$A$504,0))&amp;"","비귀속"),""))</f>
        <v/>
      </c>
      <c r="AG453" s="96">
        <f>IF($A453="",0,IF(AND(AE453&lt;&gt;"직접",IFERROR(INDEX(계정매핑!$G$5:$G$504,MATCH($F453&amp;"",계정매핑!$A$5:$A$504,0))&amp;"","")="유지비",COUNTIF(계정대체기준!$A$6:$A$15,$N453)&gt;0),IFERROR(INDEX(계정대체기준!$E$6:$E$15,MATCH(VALUE($A453&amp;""),계정대체기준!$D$6:$D$15,0)),0),0))</f>
        <v/>
      </c>
      <c r="AH453" s="64">
        <f>IF($A453="","",IF(AD453=0,"",IF(OR(COUNTIF(계정대체기준!$A$77:$A$86,$N453)&gt;0,ISNUMBER(MATCH($X453,계정대체기준!$D$77:$D$86,0)),ISNUMBER(MATCH($F453,계정대체기준!$D$77:$D$86,0))),"Y","N")))</f>
        <v/>
      </c>
    </row>
    <row r="454">
      <c r="A454" s="92" t="n">
        <v>2025</v>
      </c>
      <c r="B454" s="92" t="n">
        <v>2</v>
      </c>
      <c r="C454" s="92" t="inlineStr">
        <is>
          <t>5100000450</t>
        </is>
      </c>
      <c r="D454" s="95" t="n">
        <v>45715</v>
      </c>
      <c r="E454" s="92" t="inlineStr">
        <is>
          <t>KR</t>
        </is>
      </c>
      <c r="F454" s="92" t="n">
        <v>62101000</v>
      </c>
      <c r="G454" s="92" t="n">
        <v>1602</v>
      </c>
      <c r="H454" s="93" t="n">
        <v>1234000</v>
      </c>
      <c r="I454" s="92" t="inlineStr">
        <is>
          <t>2월 국내출장 - M항공</t>
        </is>
      </c>
      <c r="J454" s="92" t="inlineStr">
        <is>
          <t>V10001</t>
        </is>
      </c>
      <c r="K454" s="92" t="inlineStr">
        <is>
          <t>M항공</t>
        </is>
      </c>
      <c r="M454" s="9">
        <f>IF($A454="","",VALUE($A454&amp;"")*12+VALUE($B454&amp;""))</f>
        <v/>
      </c>
      <c r="N454" s="64">
        <f>IF($A454="","",IFERROR(INDEX(부서매핑!$C$5:$C$504,MATCH($G454&amp;"",부서매핑!$A$5:$A$504,0)),"미매핑"))</f>
        <v/>
      </c>
      <c r="O454" s="9">
        <f>IF($A454="","",N454&amp;"|"&amp;$F454)</f>
        <v/>
      </c>
      <c r="P454" s="94">
        <f>IF($A454="",0,$H454*설정!$C$23)</f>
        <v/>
      </c>
      <c r="Q454" s="64">
        <f>IF($A454="","",IF(O454&lt;&gt;원인분석!$C$9,"",IF(AND(M454&gt;=원인분석!$C$10,M454&lt;=원인분석!$C$11),"당기",IF(AND(M454&gt;=원인분석!$C$12,M454&lt;=원인분석!$C$13),"비교",""))))</f>
        <v/>
      </c>
      <c r="R454" s="9">
        <f>IF(Q454="","",$K454&amp;"")</f>
        <v/>
      </c>
      <c r="S454" s="9">
        <f>IF(Q454="","",IF(MATCH(R454,$R$5:$R$100000,0)=ROW()-4,ROW(),""))</f>
        <v/>
      </c>
      <c r="T454" s="9">
        <f>IF(Q454="당기",ABS(P454)+ROW()/1000000000,"")</f>
        <v/>
      </c>
      <c r="U454" s="9">
        <f>IF(Q454="비교",ABS(P454)+ROW()/1000000000,"")</f>
        <v/>
      </c>
      <c r="V454" s="64">
        <f>IF($A454="","",IF(COUNTIF(변동분석!$E$7:$E$506,O454)&gt;0,"Y","N"))</f>
        <v/>
      </c>
      <c r="W454" s="64">
        <f>IF($A454="","",IFERROR(INDEX(계정매핑!$D$5:$D$504,MATCH($F454&amp;"",계정매핑!$A$5:$A$504,0)),"미매핑"))</f>
        <v/>
      </c>
      <c r="X454" s="9">
        <f>IF($A454="","",$F454&amp;"")</f>
        <v/>
      </c>
      <c r="Y454" s="94">
        <f>IF($A454="",0,IF(AE454="직접",IF(AF454="비귀속",$P454,0),$P454*(1-AG454)*IFERROR(INDEX(계정대체기준!$F$20:$F$49,MATCH($N454,계정대체기준!$A$20:$A$49,0)),1)))</f>
        <v/>
      </c>
      <c r="Z454" s="94">
        <f>IF($A454="",0,IF(AE454="직접",IF(AF454="신계약비",$P454,0),$P454*(1-AG454)*IFERROR(INDEX(계정대체기준!$C$20:$C$49,MATCH($N454,계정대체기준!$A$20:$A$49,0)),0)))</f>
        <v/>
      </c>
      <c r="AA454" s="94">
        <f>IF($A454="",0,IF(AE454="직접",IF(OR(AF454="유지비",AF454="손해조사비"),$P454,0),$P454*(1-AG454)*IFERROR(INDEX(계정대체기준!$D$20:$D$49,MATCH($N454,계정대체기준!$A$20:$A$49,0)),0)))</f>
        <v/>
      </c>
      <c r="AB454" s="94">
        <f>IF($A454="",0,IF(AE454="직접",IF(AF454="수금비",$P454,0),$P454*(1-AG454)*IFERROR(INDEX(계정대체기준!$E$20:$E$49,MATCH($N454,계정대체기준!$A$20:$A$49,0)),0)))</f>
        <v/>
      </c>
      <c r="AC454" s="9">
        <f>IF(AND($A454&lt;&gt;"",M454=설정!$C$20,Z454&gt;0),Z454+ROW()/1000000000,"")</f>
        <v/>
      </c>
      <c r="AD454" s="94">
        <f>IF($A454="",0,$P454*AG454)</f>
        <v/>
      </c>
      <c r="AE454" s="64">
        <f>IF($A454="","",IFERROR(INDEX(계정매핑!$E$5:$E$504,MATCH($F454&amp;"",계정매핑!$A$5:$A$504,0))&amp;"","공통비"))</f>
        <v/>
      </c>
      <c r="AF454" s="64">
        <f>IF($A454="","",IF(AE454="직접",IFERROR(INDEX(계정매핑!$F$5:$F$504,MATCH($F454&amp;"",계정매핑!$A$5:$A$504,0))&amp;"","비귀속"),""))</f>
        <v/>
      </c>
      <c r="AG454" s="96">
        <f>IF($A454="",0,IF(AND(AE454&lt;&gt;"직접",IFERROR(INDEX(계정매핑!$G$5:$G$504,MATCH($F454&amp;"",계정매핑!$A$5:$A$504,0))&amp;"","")="유지비",COUNTIF(계정대체기준!$A$6:$A$15,$N454)&gt;0),IFERROR(INDEX(계정대체기준!$E$6:$E$15,MATCH(VALUE($A454&amp;""),계정대체기준!$D$6:$D$15,0)),0),0))</f>
        <v/>
      </c>
      <c r="AH454" s="64">
        <f>IF($A454="","",IF(AD454=0,"",IF(OR(COUNTIF(계정대체기준!$A$77:$A$86,$N454)&gt;0,ISNUMBER(MATCH($X454,계정대체기준!$D$77:$D$86,0)),ISNUMBER(MATCH($F454,계정대체기준!$D$77:$D$86,0))),"Y","N")))</f>
        <v/>
      </c>
    </row>
    <row r="455">
      <c r="A455" s="92" t="n">
        <v>2025</v>
      </c>
      <c r="B455" s="92" t="n">
        <v>2</v>
      </c>
      <c r="C455" s="92" t="inlineStr">
        <is>
          <t>5100000451</t>
        </is>
      </c>
      <c r="D455" s="95" t="n">
        <v>45715</v>
      </c>
      <c r="E455" s="92" t="inlineStr">
        <is>
          <t>KR</t>
        </is>
      </c>
      <c r="F455" s="92" t="n">
        <v>62201000</v>
      </c>
      <c r="G455" s="92" t="n">
        <v>1201</v>
      </c>
      <c r="H455" s="93" t="n">
        <v>174000</v>
      </c>
      <c r="I455" s="92" t="inlineStr">
        <is>
          <t>2월 통신요금 - O텔레콤</t>
        </is>
      </c>
      <c r="J455" s="92" t="inlineStr">
        <is>
          <t>V10002</t>
        </is>
      </c>
      <c r="K455" s="92" t="inlineStr">
        <is>
          <t>O텔레콤</t>
        </is>
      </c>
      <c r="M455" s="9">
        <f>IF($A455="","",VALUE($A455&amp;"")*12+VALUE($B455&amp;""))</f>
        <v/>
      </c>
      <c r="N455" s="64">
        <f>IF($A455="","",IFERROR(INDEX(부서매핑!$C$5:$C$504,MATCH($G455&amp;"",부서매핑!$A$5:$A$504,0)),"미매핑"))</f>
        <v/>
      </c>
      <c r="O455" s="9">
        <f>IF($A455="","",N455&amp;"|"&amp;$F455)</f>
        <v/>
      </c>
      <c r="P455" s="94">
        <f>IF($A455="",0,$H455*설정!$C$23)</f>
        <v/>
      </c>
      <c r="Q455" s="64">
        <f>IF($A455="","",IF(O455&lt;&gt;원인분석!$C$9,"",IF(AND(M455&gt;=원인분석!$C$10,M455&lt;=원인분석!$C$11),"당기",IF(AND(M455&gt;=원인분석!$C$12,M455&lt;=원인분석!$C$13),"비교",""))))</f>
        <v/>
      </c>
      <c r="R455" s="9">
        <f>IF(Q455="","",$K455&amp;"")</f>
        <v/>
      </c>
      <c r="S455" s="9">
        <f>IF(Q455="","",IF(MATCH(R455,$R$5:$R$100000,0)=ROW()-4,ROW(),""))</f>
        <v/>
      </c>
      <c r="T455" s="9">
        <f>IF(Q455="당기",ABS(P455)+ROW()/1000000000,"")</f>
        <v/>
      </c>
      <c r="U455" s="9">
        <f>IF(Q455="비교",ABS(P455)+ROW()/1000000000,"")</f>
        <v/>
      </c>
      <c r="V455" s="64">
        <f>IF($A455="","",IF(COUNTIF(변동분석!$E$7:$E$506,O455)&gt;0,"Y","N"))</f>
        <v/>
      </c>
      <c r="W455" s="64">
        <f>IF($A455="","",IFERROR(INDEX(계정매핑!$D$5:$D$504,MATCH($F455&amp;"",계정매핑!$A$5:$A$504,0)),"미매핑"))</f>
        <v/>
      </c>
      <c r="X455" s="9">
        <f>IF($A455="","",$F455&amp;"")</f>
        <v/>
      </c>
      <c r="Y455" s="94">
        <f>IF($A455="",0,IF(AE455="직접",IF(AF455="비귀속",$P455,0),$P455*(1-AG455)*IFERROR(INDEX(계정대체기준!$F$20:$F$49,MATCH($N455,계정대체기준!$A$20:$A$49,0)),1)))</f>
        <v/>
      </c>
      <c r="Z455" s="94">
        <f>IF($A455="",0,IF(AE455="직접",IF(AF455="신계약비",$P455,0),$P455*(1-AG455)*IFERROR(INDEX(계정대체기준!$C$20:$C$49,MATCH($N455,계정대체기준!$A$20:$A$49,0)),0)))</f>
        <v/>
      </c>
      <c r="AA455" s="94">
        <f>IF($A455="",0,IF(AE455="직접",IF(OR(AF455="유지비",AF455="손해조사비"),$P455,0),$P455*(1-AG455)*IFERROR(INDEX(계정대체기준!$D$20:$D$49,MATCH($N455,계정대체기준!$A$20:$A$49,0)),0)))</f>
        <v/>
      </c>
      <c r="AB455" s="94">
        <f>IF($A455="",0,IF(AE455="직접",IF(AF455="수금비",$P455,0),$P455*(1-AG455)*IFERROR(INDEX(계정대체기준!$E$20:$E$49,MATCH($N455,계정대체기준!$A$20:$A$49,0)),0)))</f>
        <v/>
      </c>
      <c r="AC455" s="9">
        <f>IF(AND($A455&lt;&gt;"",M455=설정!$C$20,Z455&gt;0),Z455+ROW()/1000000000,"")</f>
        <v/>
      </c>
      <c r="AD455" s="94">
        <f>IF($A455="",0,$P455*AG455)</f>
        <v/>
      </c>
      <c r="AE455" s="64">
        <f>IF($A455="","",IFERROR(INDEX(계정매핑!$E$5:$E$504,MATCH($F455&amp;"",계정매핑!$A$5:$A$504,0))&amp;"","공통비"))</f>
        <v/>
      </c>
      <c r="AF455" s="64">
        <f>IF($A455="","",IF(AE455="직접",IFERROR(INDEX(계정매핑!$F$5:$F$504,MATCH($F455&amp;"",계정매핑!$A$5:$A$504,0))&amp;"","비귀속"),""))</f>
        <v/>
      </c>
      <c r="AG455" s="96">
        <f>IF($A455="",0,IF(AND(AE455&lt;&gt;"직접",IFERROR(INDEX(계정매핑!$G$5:$G$504,MATCH($F455&amp;"",계정매핑!$A$5:$A$504,0))&amp;"","")="유지비",COUNTIF(계정대체기준!$A$6:$A$15,$N455)&gt;0),IFERROR(INDEX(계정대체기준!$E$6:$E$15,MATCH(VALUE($A455&amp;""),계정대체기준!$D$6:$D$15,0)),0),0))</f>
        <v/>
      </c>
      <c r="AH455" s="64">
        <f>IF($A455="","",IF(AD455=0,"",IF(OR(COUNTIF(계정대체기준!$A$77:$A$86,$N455)&gt;0,ISNUMBER(MATCH($X455,계정대체기준!$D$77:$D$86,0)),ISNUMBER(MATCH($F455,계정대체기준!$D$77:$D$86,0))),"Y","N")))</f>
        <v/>
      </c>
    </row>
    <row r="456">
      <c r="A456" s="92" t="n">
        <v>2025</v>
      </c>
      <c r="B456" s="92" t="n">
        <v>2</v>
      </c>
      <c r="C456" s="92" t="inlineStr">
        <is>
          <t>5100000452</t>
        </is>
      </c>
      <c r="D456" s="95" t="n">
        <v>45715</v>
      </c>
      <c r="E456" s="92" t="inlineStr">
        <is>
          <t>KR</t>
        </is>
      </c>
      <c r="F456" s="92" t="n">
        <v>62201000</v>
      </c>
      <c r="G456" s="92" t="n">
        <v>1401</v>
      </c>
      <c r="H456" s="93" t="n">
        <v>178000</v>
      </c>
      <c r="I456" s="92" t="inlineStr">
        <is>
          <t>2월 통신요금 - P통신</t>
        </is>
      </c>
      <c r="J456" s="92" t="inlineStr">
        <is>
          <t>V10014</t>
        </is>
      </c>
      <c r="K456" s="92" t="inlineStr">
        <is>
          <t>P통신</t>
        </is>
      </c>
      <c r="M456" s="9">
        <f>IF($A456="","",VALUE($A456&amp;"")*12+VALUE($B456&amp;""))</f>
        <v/>
      </c>
      <c r="N456" s="64">
        <f>IF($A456="","",IFERROR(INDEX(부서매핑!$C$5:$C$504,MATCH($G456&amp;"",부서매핑!$A$5:$A$504,0)),"미매핑"))</f>
        <v/>
      </c>
      <c r="O456" s="9">
        <f>IF($A456="","",N456&amp;"|"&amp;$F456)</f>
        <v/>
      </c>
      <c r="P456" s="94">
        <f>IF($A456="",0,$H456*설정!$C$23)</f>
        <v/>
      </c>
      <c r="Q456" s="64">
        <f>IF($A456="","",IF(O456&lt;&gt;원인분석!$C$9,"",IF(AND(M456&gt;=원인분석!$C$10,M456&lt;=원인분석!$C$11),"당기",IF(AND(M456&gt;=원인분석!$C$12,M456&lt;=원인분석!$C$13),"비교",""))))</f>
        <v/>
      </c>
      <c r="R456" s="9">
        <f>IF(Q456="","",$K456&amp;"")</f>
        <v/>
      </c>
      <c r="S456" s="9">
        <f>IF(Q456="","",IF(MATCH(R456,$R$5:$R$100000,0)=ROW()-4,ROW(),""))</f>
        <v/>
      </c>
      <c r="T456" s="9">
        <f>IF(Q456="당기",ABS(P456)+ROW()/1000000000,"")</f>
        <v/>
      </c>
      <c r="U456" s="9">
        <f>IF(Q456="비교",ABS(P456)+ROW()/1000000000,"")</f>
        <v/>
      </c>
      <c r="V456" s="64">
        <f>IF($A456="","",IF(COUNTIF(변동분석!$E$7:$E$506,O456)&gt;0,"Y","N"))</f>
        <v/>
      </c>
      <c r="W456" s="64">
        <f>IF($A456="","",IFERROR(INDEX(계정매핑!$D$5:$D$504,MATCH($F456&amp;"",계정매핑!$A$5:$A$504,0)),"미매핑"))</f>
        <v/>
      </c>
      <c r="X456" s="9">
        <f>IF($A456="","",$F456&amp;"")</f>
        <v/>
      </c>
      <c r="Y456" s="94">
        <f>IF($A456="",0,IF(AE456="직접",IF(AF456="비귀속",$P456,0),$P456*(1-AG456)*IFERROR(INDEX(계정대체기준!$F$20:$F$49,MATCH($N456,계정대체기준!$A$20:$A$49,0)),1)))</f>
        <v/>
      </c>
      <c r="Z456" s="94">
        <f>IF($A456="",0,IF(AE456="직접",IF(AF456="신계약비",$P456,0),$P456*(1-AG456)*IFERROR(INDEX(계정대체기준!$C$20:$C$49,MATCH($N456,계정대체기준!$A$20:$A$49,0)),0)))</f>
        <v/>
      </c>
      <c r="AA456" s="94">
        <f>IF($A456="",0,IF(AE456="직접",IF(OR(AF456="유지비",AF456="손해조사비"),$P456,0),$P456*(1-AG456)*IFERROR(INDEX(계정대체기준!$D$20:$D$49,MATCH($N456,계정대체기준!$A$20:$A$49,0)),0)))</f>
        <v/>
      </c>
      <c r="AB456" s="94">
        <f>IF($A456="",0,IF(AE456="직접",IF(AF456="수금비",$P456,0),$P456*(1-AG456)*IFERROR(INDEX(계정대체기준!$E$20:$E$49,MATCH($N456,계정대체기준!$A$20:$A$49,0)),0)))</f>
        <v/>
      </c>
      <c r="AC456" s="9">
        <f>IF(AND($A456&lt;&gt;"",M456=설정!$C$20,Z456&gt;0),Z456+ROW()/1000000000,"")</f>
        <v/>
      </c>
      <c r="AD456" s="94">
        <f>IF($A456="",0,$P456*AG456)</f>
        <v/>
      </c>
      <c r="AE456" s="64">
        <f>IF($A456="","",IFERROR(INDEX(계정매핑!$E$5:$E$504,MATCH($F456&amp;"",계정매핑!$A$5:$A$504,0))&amp;"","공통비"))</f>
        <v/>
      </c>
      <c r="AF456" s="64">
        <f>IF($A456="","",IF(AE456="직접",IFERROR(INDEX(계정매핑!$F$5:$F$504,MATCH($F456&amp;"",계정매핑!$A$5:$A$504,0))&amp;"","비귀속"),""))</f>
        <v/>
      </c>
      <c r="AG456" s="96">
        <f>IF($A456="",0,IF(AND(AE456&lt;&gt;"직접",IFERROR(INDEX(계정매핑!$G$5:$G$504,MATCH($F456&amp;"",계정매핑!$A$5:$A$504,0))&amp;"","")="유지비",COUNTIF(계정대체기준!$A$6:$A$15,$N456)&gt;0),IFERROR(INDEX(계정대체기준!$E$6:$E$15,MATCH(VALUE($A456&amp;""),계정대체기준!$D$6:$D$15,0)),0),0))</f>
        <v/>
      </c>
      <c r="AH456" s="64">
        <f>IF($A456="","",IF(AD456=0,"",IF(OR(COUNTIF(계정대체기준!$A$77:$A$86,$N456)&gt;0,ISNUMBER(MATCH($X456,계정대체기준!$D$77:$D$86,0)),ISNUMBER(MATCH($F456,계정대체기준!$D$77:$D$86,0))),"Y","N")))</f>
        <v/>
      </c>
    </row>
    <row r="457">
      <c r="A457" s="92" t="n">
        <v>2025</v>
      </c>
      <c r="B457" s="92" t="n">
        <v>2</v>
      </c>
      <c r="C457" s="92" t="inlineStr">
        <is>
          <t>5100000453</t>
        </is>
      </c>
      <c r="D457" s="95" t="n">
        <v>45715</v>
      </c>
      <c r="E457" s="92" t="inlineStr">
        <is>
          <t>KR</t>
        </is>
      </c>
      <c r="F457" s="92" t="n">
        <v>62201000</v>
      </c>
      <c r="G457" s="92" t="n">
        <v>1602</v>
      </c>
      <c r="H457" s="93" t="n">
        <v>728000</v>
      </c>
      <c r="I457" s="92" t="inlineStr">
        <is>
          <t>2월 통신요금 - P통신</t>
        </is>
      </c>
      <c r="J457" s="92" t="inlineStr">
        <is>
          <t>V10014</t>
        </is>
      </c>
      <c r="K457" s="92" t="inlineStr">
        <is>
          <t>P통신</t>
        </is>
      </c>
      <c r="M457" s="9">
        <f>IF($A457="","",VALUE($A457&amp;"")*12+VALUE($B457&amp;""))</f>
        <v/>
      </c>
      <c r="N457" s="64">
        <f>IF($A457="","",IFERROR(INDEX(부서매핑!$C$5:$C$504,MATCH($G457&amp;"",부서매핑!$A$5:$A$504,0)),"미매핑"))</f>
        <v/>
      </c>
      <c r="O457" s="9">
        <f>IF($A457="","",N457&amp;"|"&amp;$F457)</f>
        <v/>
      </c>
      <c r="P457" s="94">
        <f>IF($A457="",0,$H457*설정!$C$23)</f>
        <v/>
      </c>
      <c r="Q457" s="64">
        <f>IF($A457="","",IF(O457&lt;&gt;원인분석!$C$9,"",IF(AND(M457&gt;=원인분석!$C$10,M457&lt;=원인분석!$C$11),"당기",IF(AND(M457&gt;=원인분석!$C$12,M457&lt;=원인분석!$C$13),"비교",""))))</f>
        <v/>
      </c>
      <c r="R457" s="9">
        <f>IF(Q457="","",$K457&amp;"")</f>
        <v/>
      </c>
      <c r="S457" s="9">
        <f>IF(Q457="","",IF(MATCH(R457,$R$5:$R$100000,0)=ROW()-4,ROW(),""))</f>
        <v/>
      </c>
      <c r="T457" s="9">
        <f>IF(Q457="당기",ABS(P457)+ROW()/1000000000,"")</f>
        <v/>
      </c>
      <c r="U457" s="9">
        <f>IF(Q457="비교",ABS(P457)+ROW()/1000000000,"")</f>
        <v/>
      </c>
      <c r="V457" s="64">
        <f>IF($A457="","",IF(COUNTIF(변동분석!$E$7:$E$506,O457)&gt;0,"Y","N"))</f>
        <v/>
      </c>
      <c r="W457" s="64">
        <f>IF($A457="","",IFERROR(INDEX(계정매핑!$D$5:$D$504,MATCH($F457&amp;"",계정매핑!$A$5:$A$504,0)),"미매핑"))</f>
        <v/>
      </c>
      <c r="X457" s="9">
        <f>IF($A457="","",$F457&amp;"")</f>
        <v/>
      </c>
      <c r="Y457" s="94">
        <f>IF($A457="",0,IF(AE457="직접",IF(AF457="비귀속",$P457,0),$P457*(1-AG457)*IFERROR(INDEX(계정대체기준!$F$20:$F$49,MATCH($N457,계정대체기준!$A$20:$A$49,0)),1)))</f>
        <v/>
      </c>
      <c r="Z457" s="94">
        <f>IF($A457="",0,IF(AE457="직접",IF(AF457="신계약비",$P457,0),$P457*(1-AG457)*IFERROR(INDEX(계정대체기준!$C$20:$C$49,MATCH($N457,계정대체기준!$A$20:$A$49,0)),0)))</f>
        <v/>
      </c>
      <c r="AA457" s="94">
        <f>IF($A457="",0,IF(AE457="직접",IF(OR(AF457="유지비",AF457="손해조사비"),$P457,0),$P457*(1-AG457)*IFERROR(INDEX(계정대체기준!$D$20:$D$49,MATCH($N457,계정대체기준!$A$20:$A$49,0)),0)))</f>
        <v/>
      </c>
      <c r="AB457" s="94">
        <f>IF($A457="",0,IF(AE457="직접",IF(AF457="수금비",$P457,0),$P457*(1-AG457)*IFERROR(INDEX(계정대체기준!$E$20:$E$49,MATCH($N457,계정대체기준!$A$20:$A$49,0)),0)))</f>
        <v/>
      </c>
      <c r="AC457" s="9">
        <f>IF(AND($A457&lt;&gt;"",M457=설정!$C$20,Z457&gt;0),Z457+ROW()/1000000000,"")</f>
        <v/>
      </c>
      <c r="AD457" s="94">
        <f>IF($A457="",0,$P457*AG457)</f>
        <v/>
      </c>
      <c r="AE457" s="64">
        <f>IF($A457="","",IFERROR(INDEX(계정매핑!$E$5:$E$504,MATCH($F457&amp;"",계정매핑!$A$5:$A$504,0))&amp;"","공통비"))</f>
        <v/>
      </c>
      <c r="AF457" s="64">
        <f>IF($A457="","",IF(AE457="직접",IFERROR(INDEX(계정매핑!$F$5:$F$504,MATCH($F457&amp;"",계정매핑!$A$5:$A$504,0))&amp;"","비귀속"),""))</f>
        <v/>
      </c>
      <c r="AG457" s="96">
        <f>IF($A457="",0,IF(AND(AE457&lt;&gt;"직접",IFERROR(INDEX(계정매핑!$G$5:$G$504,MATCH($F457&amp;"",계정매핑!$A$5:$A$504,0))&amp;"","")="유지비",COUNTIF(계정대체기준!$A$6:$A$15,$N457)&gt;0),IFERROR(INDEX(계정대체기준!$E$6:$E$15,MATCH(VALUE($A457&amp;""),계정대체기준!$D$6:$D$15,0)),0),0))</f>
        <v/>
      </c>
      <c r="AH457" s="64">
        <f>IF($A457="","",IF(AD457=0,"",IF(OR(COUNTIF(계정대체기준!$A$77:$A$86,$N457)&gt;0,ISNUMBER(MATCH($X457,계정대체기준!$D$77:$D$86,0)),ISNUMBER(MATCH($F457,계정대체기준!$D$77:$D$86,0))),"Y","N")))</f>
        <v/>
      </c>
    </row>
    <row r="458">
      <c r="A458" s="92" t="n">
        <v>2025</v>
      </c>
      <c r="B458" s="92" t="n">
        <v>2</v>
      </c>
      <c r="C458" s="92" t="inlineStr">
        <is>
          <t>5100000454</t>
        </is>
      </c>
      <c r="D458" s="95" t="n">
        <v>45715</v>
      </c>
      <c r="E458" s="92" t="inlineStr">
        <is>
          <t>KR</t>
        </is>
      </c>
      <c r="F458" s="92" t="n">
        <v>62201000</v>
      </c>
      <c r="G458" s="92" t="n">
        <v>1801</v>
      </c>
      <c r="H458" s="93" t="n">
        <v>5020000</v>
      </c>
      <c r="I458" s="92" t="inlineStr">
        <is>
          <t>2월 통신요금 - P통신</t>
        </is>
      </c>
      <c r="J458" s="92" t="inlineStr">
        <is>
          <t>V10014</t>
        </is>
      </c>
      <c r="K458" s="92" t="inlineStr">
        <is>
          <t>P통신</t>
        </is>
      </c>
      <c r="M458" s="9">
        <f>IF($A458="","",VALUE($A458&amp;"")*12+VALUE($B458&amp;""))</f>
        <v/>
      </c>
      <c r="N458" s="64">
        <f>IF($A458="","",IFERROR(INDEX(부서매핑!$C$5:$C$504,MATCH($G458&amp;"",부서매핑!$A$5:$A$504,0)),"미매핑"))</f>
        <v/>
      </c>
      <c r="O458" s="9">
        <f>IF($A458="","",N458&amp;"|"&amp;$F458)</f>
        <v/>
      </c>
      <c r="P458" s="94">
        <f>IF($A458="",0,$H458*설정!$C$23)</f>
        <v/>
      </c>
      <c r="Q458" s="64">
        <f>IF($A458="","",IF(O458&lt;&gt;원인분석!$C$9,"",IF(AND(M458&gt;=원인분석!$C$10,M458&lt;=원인분석!$C$11),"당기",IF(AND(M458&gt;=원인분석!$C$12,M458&lt;=원인분석!$C$13),"비교",""))))</f>
        <v/>
      </c>
      <c r="R458" s="9">
        <f>IF(Q458="","",$K458&amp;"")</f>
        <v/>
      </c>
      <c r="S458" s="9">
        <f>IF(Q458="","",IF(MATCH(R458,$R$5:$R$100000,0)=ROW()-4,ROW(),""))</f>
        <v/>
      </c>
      <c r="T458" s="9">
        <f>IF(Q458="당기",ABS(P458)+ROW()/1000000000,"")</f>
        <v/>
      </c>
      <c r="U458" s="9">
        <f>IF(Q458="비교",ABS(P458)+ROW()/1000000000,"")</f>
        <v/>
      </c>
      <c r="V458" s="64">
        <f>IF($A458="","",IF(COUNTIF(변동분석!$E$7:$E$506,O458)&gt;0,"Y","N"))</f>
        <v/>
      </c>
      <c r="W458" s="64">
        <f>IF($A458="","",IFERROR(INDEX(계정매핑!$D$5:$D$504,MATCH($F458&amp;"",계정매핑!$A$5:$A$504,0)),"미매핑"))</f>
        <v/>
      </c>
      <c r="X458" s="9">
        <f>IF($A458="","",$F458&amp;"")</f>
        <v/>
      </c>
      <c r="Y458" s="94">
        <f>IF($A458="",0,IF(AE458="직접",IF(AF458="비귀속",$P458,0),$P458*(1-AG458)*IFERROR(INDEX(계정대체기준!$F$20:$F$49,MATCH($N458,계정대체기준!$A$20:$A$49,0)),1)))</f>
        <v/>
      </c>
      <c r="Z458" s="94">
        <f>IF($A458="",0,IF(AE458="직접",IF(AF458="신계약비",$P458,0),$P458*(1-AG458)*IFERROR(INDEX(계정대체기준!$C$20:$C$49,MATCH($N458,계정대체기준!$A$20:$A$49,0)),0)))</f>
        <v/>
      </c>
      <c r="AA458" s="94">
        <f>IF($A458="",0,IF(AE458="직접",IF(OR(AF458="유지비",AF458="손해조사비"),$P458,0),$P458*(1-AG458)*IFERROR(INDEX(계정대체기준!$D$20:$D$49,MATCH($N458,계정대체기준!$A$20:$A$49,0)),0)))</f>
        <v/>
      </c>
      <c r="AB458" s="94">
        <f>IF($A458="",0,IF(AE458="직접",IF(AF458="수금비",$P458,0),$P458*(1-AG458)*IFERROR(INDEX(계정대체기준!$E$20:$E$49,MATCH($N458,계정대체기준!$A$20:$A$49,0)),0)))</f>
        <v/>
      </c>
      <c r="AC458" s="9">
        <f>IF(AND($A458&lt;&gt;"",M458=설정!$C$20,Z458&gt;0),Z458+ROW()/1000000000,"")</f>
        <v/>
      </c>
      <c r="AD458" s="94">
        <f>IF($A458="",0,$P458*AG458)</f>
        <v/>
      </c>
      <c r="AE458" s="64">
        <f>IF($A458="","",IFERROR(INDEX(계정매핑!$E$5:$E$504,MATCH($F458&amp;"",계정매핑!$A$5:$A$504,0))&amp;"","공통비"))</f>
        <v/>
      </c>
      <c r="AF458" s="64">
        <f>IF($A458="","",IF(AE458="직접",IFERROR(INDEX(계정매핑!$F$5:$F$504,MATCH($F458&amp;"",계정매핑!$A$5:$A$504,0))&amp;"","비귀속"),""))</f>
        <v/>
      </c>
      <c r="AG458" s="96">
        <f>IF($A458="",0,IF(AND(AE458&lt;&gt;"직접",IFERROR(INDEX(계정매핑!$G$5:$G$504,MATCH($F458&amp;"",계정매핑!$A$5:$A$504,0))&amp;"","")="유지비",COUNTIF(계정대체기준!$A$6:$A$15,$N458)&gt;0),IFERROR(INDEX(계정대체기준!$E$6:$E$15,MATCH(VALUE($A458&amp;""),계정대체기준!$D$6:$D$15,0)),0),0))</f>
        <v/>
      </c>
      <c r="AH458" s="64">
        <f>IF($A458="","",IF(AD458=0,"",IF(OR(COUNTIF(계정대체기준!$A$77:$A$86,$N458)&gt;0,ISNUMBER(MATCH($X458,계정대체기준!$D$77:$D$86,0)),ISNUMBER(MATCH($F458,계정대체기준!$D$77:$D$86,0))),"Y","N")))</f>
        <v/>
      </c>
    </row>
    <row r="459">
      <c r="A459" s="92" t="n">
        <v>2025</v>
      </c>
      <c r="B459" s="92" t="n">
        <v>2</v>
      </c>
      <c r="C459" s="92" t="inlineStr">
        <is>
          <t>5100000455</t>
        </is>
      </c>
      <c r="D459" s="95" t="n">
        <v>45715</v>
      </c>
      <c r="E459" s="92" t="inlineStr">
        <is>
          <t>KR</t>
        </is>
      </c>
      <c r="F459" s="92" t="n">
        <v>62301000</v>
      </c>
      <c r="G459" s="92" t="n">
        <v>1201</v>
      </c>
      <c r="H459" s="93" t="n">
        <v>111000</v>
      </c>
      <c r="I459" s="92" t="inlineStr">
        <is>
          <t>2월 소모품 구입 - R문구</t>
        </is>
      </c>
      <c r="J459" s="92" t="inlineStr">
        <is>
          <t>V10022</t>
        </is>
      </c>
      <c r="K459" s="92" t="inlineStr">
        <is>
          <t>R문구</t>
        </is>
      </c>
      <c r="M459" s="9">
        <f>IF($A459="","",VALUE($A459&amp;"")*12+VALUE($B459&amp;""))</f>
        <v/>
      </c>
      <c r="N459" s="64">
        <f>IF($A459="","",IFERROR(INDEX(부서매핑!$C$5:$C$504,MATCH($G459&amp;"",부서매핑!$A$5:$A$504,0)),"미매핑"))</f>
        <v/>
      </c>
      <c r="O459" s="9">
        <f>IF($A459="","",N459&amp;"|"&amp;$F459)</f>
        <v/>
      </c>
      <c r="P459" s="94">
        <f>IF($A459="",0,$H459*설정!$C$23)</f>
        <v/>
      </c>
      <c r="Q459" s="64">
        <f>IF($A459="","",IF(O459&lt;&gt;원인분석!$C$9,"",IF(AND(M459&gt;=원인분석!$C$10,M459&lt;=원인분석!$C$11),"당기",IF(AND(M459&gt;=원인분석!$C$12,M459&lt;=원인분석!$C$13),"비교",""))))</f>
        <v/>
      </c>
      <c r="R459" s="9">
        <f>IF(Q459="","",$K459&amp;"")</f>
        <v/>
      </c>
      <c r="S459" s="9">
        <f>IF(Q459="","",IF(MATCH(R459,$R$5:$R$100000,0)=ROW()-4,ROW(),""))</f>
        <v/>
      </c>
      <c r="T459" s="9">
        <f>IF(Q459="당기",ABS(P459)+ROW()/1000000000,"")</f>
        <v/>
      </c>
      <c r="U459" s="9">
        <f>IF(Q459="비교",ABS(P459)+ROW()/1000000000,"")</f>
        <v/>
      </c>
      <c r="V459" s="64">
        <f>IF($A459="","",IF(COUNTIF(변동분석!$E$7:$E$506,O459)&gt;0,"Y","N"))</f>
        <v/>
      </c>
      <c r="W459" s="64">
        <f>IF($A459="","",IFERROR(INDEX(계정매핑!$D$5:$D$504,MATCH($F459&amp;"",계정매핑!$A$5:$A$504,0)),"미매핑"))</f>
        <v/>
      </c>
      <c r="X459" s="9">
        <f>IF($A459="","",$F459&amp;"")</f>
        <v/>
      </c>
      <c r="Y459" s="94">
        <f>IF($A459="",0,IF(AE459="직접",IF(AF459="비귀속",$P459,0),$P459*(1-AG459)*IFERROR(INDEX(계정대체기준!$F$20:$F$49,MATCH($N459,계정대체기준!$A$20:$A$49,0)),1)))</f>
        <v/>
      </c>
      <c r="Z459" s="94">
        <f>IF($A459="",0,IF(AE459="직접",IF(AF459="신계약비",$P459,0),$P459*(1-AG459)*IFERROR(INDEX(계정대체기준!$C$20:$C$49,MATCH($N459,계정대체기준!$A$20:$A$49,0)),0)))</f>
        <v/>
      </c>
      <c r="AA459" s="94">
        <f>IF($A459="",0,IF(AE459="직접",IF(OR(AF459="유지비",AF459="손해조사비"),$P459,0),$P459*(1-AG459)*IFERROR(INDEX(계정대체기준!$D$20:$D$49,MATCH($N459,계정대체기준!$A$20:$A$49,0)),0)))</f>
        <v/>
      </c>
      <c r="AB459" s="94">
        <f>IF($A459="",0,IF(AE459="직접",IF(AF459="수금비",$P459,0),$P459*(1-AG459)*IFERROR(INDEX(계정대체기준!$E$20:$E$49,MATCH($N459,계정대체기준!$A$20:$A$49,0)),0)))</f>
        <v/>
      </c>
      <c r="AC459" s="9">
        <f>IF(AND($A459&lt;&gt;"",M459=설정!$C$20,Z459&gt;0),Z459+ROW()/1000000000,"")</f>
        <v/>
      </c>
      <c r="AD459" s="94">
        <f>IF($A459="",0,$P459*AG459)</f>
        <v/>
      </c>
      <c r="AE459" s="64">
        <f>IF($A459="","",IFERROR(INDEX(계정매핑!$E$5:$E$504,MATCH($F459&amp;"",계정매핑!$A$5:$A$504,0))&amp;"","공통비"))</f>
        <v/>
      </c>
      <c r="AF459" s="64">
        <f>IF($A459="","",IF(AE459="직접",IFERROR(INDEX(계정매핑!$F$5:$F$504,MATCH($F459&amp;"",계정매핑!$A$5:$A$504,0))&amp;"","비귀속"),""))</f>
        <v/>
      </c>
      <c r="AG459" s="96">
        <f>IF($A459="",0,IF(AND(AE459&lt;&gt;"직접",IFERROR(INDEX(계정매핑!$G$5:$G$504,MATCH($F459&amp;"",계정매핑!$A$5:$A$504,0))&amp;"","")="유지비",COUNTIF(계정대체기준!$A$6:$A$15,$N459)&gt;0),IFERROR(INDEX(계정대체기준!$E$6:$E$15,MATCH(VALUE($A459&amp;""),계정대체기준!$D$6:$D$15,0)),0),0))</f>
        <v/>
      </c>
      <c r="AH459" s="64">
        <f>IF($A459="","",IF(AD459=0,"",IF(OR(COUNTIF(계정대체기준!$A$77:$A$86,$N459)&gt;0,ISNUMBER(MATCH($X459,계정대체기준!$D$77:$D$86,0)),ISNUMBER(MATCH($F459,계정대체기준!$D$77:$D$86,0))),"Y","N")))</f>
        <v/>
      </c>
    </row>
    <row r="460">
      <c r="A460" s="92" t="n">
        <v>2025</v>
      </c>
      <c r="B460" s="92" t="n">
        <v>2</v>
      </c>
      <c r="C460" s="92" t="inlineStr">
        <is>
          <t>5100000456</t>
        </is>
      </c>
      <c r="D460" s="95" t="n">
        <v>45715</v>
      </c>
      <c r="E460" s="92" t="inlineStr">
        <is>
          <t>KR</t>
        </is>
      </c>
      <c r="F460" s="92" t="n">
        <v>62501000</v>
      </c>
      <c r="G460" s="92" t="n">
        <v>1401</v>
      </c>
      <c r="H460" s="93" t="n">
        <v>144000</v>
      </c>
      <c r="I460" s="92" t="inlineStr">
        <is>
          <t>2월 회의 다과 - T케이터링</t>
        </is>
      </c>
      <c r="J460" s="92" t="inlineStr">
        <is>
          <t>V10005</t>
        </is>
      </c>
      <c r="K460" s="92" t="inlineStr">
        <is>
          <t>T케이터링</t>
        </is>
      </c>
      <c r="M460" s="9">
        <f>IF($A460="","",VALUE($A460&amp;"")*12+VALUE($B460&amp;""))</f>
        <v/>
      </c>
      <c r="N460" s="64">
        <f>IF($A460="","",IFERROR(INDEX(부서매핑!$C$5:$C$504,MATCH($G460&amp;"",부서매핑!$A$5:$A$504,0)),"미매핑"))</f>
        <v/>
      </c>
      <c r="O460" s="9">
        <f>IF($A460="","",N460&amp;"|"&amp;$F460)</f>
        <v/>
      </c>
      <c r="P460" s="94">
        <f>IF($A460="",0,$H460*설정!$C$23)</f>
        <v/>
      </c>
      <c r="Q460" s="64">
        <f>IF($A460="","",IF(O460&lt;&gt;원인분석!$C$9,"",IF(AND(M460&gt;=원인분석!$C$10,M460&lt;=원인분석!$C$11),"당기",IF(AND(M460&gt;=원인분석!$C$12,M460&lt;=원인분석!$C$13),"비교",""))))</f>
        <v/>
      </c>
      <c r="R460" s="9">
        <f>IF(Q460="","",$K460&amp;"")</f>
        <v/>
      </c>
      <c r="S460" s="9">
        <f>IF(Q460="","",IF(MATCH(R460,$R$5:$R$100000,0)=ROW()-4,ROW(),""))</f>
        <v/>
      </c>
      <c r="T460" s="9">
        <f>IF(Q460="당기",ABS(P460)+ROW()/1000000000,"")</f>
        <v/>
      </c>
      <c r="U460" s="9">
        <f>IF(Q460="비교",ABS(P460)+ROW()/1000000000,"")</f>
        <v/>
      </c>
      <c r="V460" s="64">
        <f>IF($A460="","",IF(COUNTIF(변동분석!$E$7:$E$506,O460)&gt;0,"Y","N"))</f>
        <v/>
      </c>
      <c r="W460" s="64">
        <f>IF($A460="","",IFERROR(INDEX(계정매핑!$D$5:$D$504,MATCH($F460&amp;"",계정매핑!$A$5:$A$504,0)),"미매핑"))</f>
        <v/>
      </c>
      <c r="X460" s="9">
        <f>IF($A460="","",$F460&amp;"")</f>
        <v/>
      </c>
      <c r="Y460" s="94">
        <f>IF($A460="",0,IF(AE460="직접",IF(AF460="비귀속",$P460,0),$P460*(1-AG460)*IFERROR(INDEX(계정대체기준!$F$20:$F$49,MATCH($N460,계정대체기준!$A$20:$A$49,0)),1)))</f>
        <v/>
      </c>
      <c r="Z460" s="94">
        <f>IF($A460="",0,IF(AE460="직접",IF(AF460="신계약비",$P460,0),$P460*(1-AG460)*IFERROR(INDEX(계정대체기준!$C$20:$C$49,MATCH($N460,계정대체기준!$A$20:$A$49,0)),0)))</f>
        <v/>
      </c>
      <c r="AA460" s="94">
        <f>IF($A460="",0,IF(AE460="직접",IF(OR(AF460="유지비",AF460="손해조사비"),$P460,0),$P460*(1-AG460)*IFERROR(INDEX(계정대체기준!$D$20:$D$49,MATCH($N460,계정대체기준!$A$20:$A$49,0)),0)))</f>
        <v/>
      </c>
      <c r="AB460" s="94">
        <f>IF($A460="",0,IF(AE460="직접",IF(AF460="수금비",$P460,0),$P460*(1-AG460)*IFERROR(INDEX(계정대체기준!$E$20:$E$49,MATCH($N460,계정대체기준!$A$20:$A$49,0)),0)))</f>
        <v/>
      </c>
      <c r="AC460" s="9">
        <f>IF(AND($A460&lt;&gt;"",M460=설정!$C$20,Z460&gt;0),Z460+ROW()/1000000000,"")</f>
        <v/>
      </c>
      <c r="AD460" s="94">
        <f>IF($A460="",0,$P460*AG460)</f>
        <v/>
      </c>
      <c r="AE460" s="64">
        <f>IF($A460="","",IFERROR(INDEX(계정매핑!$E$5:$E$504,MATCH($F460&amp;"",계정매핑!$A$5:$A$504,0))&amp;"","공통비"))</f>
        <v/>
      </c>
      <c r="AF460" s="64">
        <f>IF($A460="","",IF(AE460="직접",IFERROR(INDEX(계정매핑!$F$5:$F$504,MATCH($F460&amp;"",계정매핑!$A$5:$A$504,0))&amp;"","비귀속"),""))</f>
        <v/>
      </c>
      <c r="AG460" s="96">
        <f>IF($A460="",0,IF(AND(AE460&lt;&gt;"직접",IFERROR(INDEX(계정매핑!$G$5:$G$504,MATCH($F460&amp;"",계정매핑!$A$5:$A$504,0))&amp;"","")="유지비",COUNTIF(계정대체기준!$A$6:$A$15,$N460)&gt;0),IFERROR(INDEX(계정대체기준!$E$6:$E$15,MATCH(VALUE($A460&amp;""),계정대체기준!$D$6:$D$15,0)),0),0))</f>
        <v/>
      </c>
      <c r="AH460" s="64">
        <f>IF($A460="","",IF(AD460=0,"",IF(OR(COUNTIF(계정대체기준!$A$77:$A$86,$N460)&gt;0,ISNUMBER(MATCH($X460,계정대체기준!$D$77:$D$86,0)),ISNUMBER(MATCH($F460,계정대체기준!$D$77:$D$86,0))),"Y","N")))</f>
        <v/>
      </c>
    </row>
    <row r="461">
      <c r="A461" s="92" t="n">
        <v>2025</v>
      </c>
      <c r="B461" s="92" t="n">
        <v>2</v>
      </c>
      <c r="C461" s="92" t="inlineStr">
        <is>
          <t>5100000457</t>
        </is>
      </c>
      <c r="D461" s="95" t="n">
        <v>45715</v>
      </c>
      <c r="E461" s="92" t="inlineStr">
        <is>
          <t>KR</t>
        </is>
      </c>
      <c r="F461" s="92" t="n">
        <v>62501000</v>
      </c>
      <c r="G461" s="92" t="n">
        <v>1602</v>
      </c>
      <c r="H461" s="93" t="n">
        <v>415000</v>
      </c>
      <c r="I461" s="92" t="inlineStr">
        <is>
          <t>2월 회의 다과 - (법인카드)</t>
        </is>
      </c>
      <c r="J461" s="92" t="inlineStr">
        <is>
          <t>V10010</t>
        </is>
      </c>
      <c r="K461" s="92" t="inlineStr">
        <is>
          <t>(법인카드)</t>
        </is>
      </c>
      <c r="M461" s="9">
        <f>IF($A461="","",VALUE($A461&amp;"")*12+VALUE($B461&amp;""))</f>
        <v/>
      </c>
      <c r="N461" s="64">
        <f>IF($A461="","",IFERROR(INDEX(부서매핑!$C$5:$C$504,MATCH($G461&amp;"",부서매핑!$A$5:$A$504,0)),"미매핑"))</f>
        <v/>
      </c>
      <c r="O461" s="9">
        <f>IF($A461="","",N461&amp;"|"&amp;$F461)</f>
        <v/>
      </c>
      <c r="P461" s="94">
        <f>IF($A461="",0,$H461*설정!$C$23)</f>
        <v/>
      </c>
      <c r="Q461" s="64">
        <f>IF($A461="","",IF(O461&lt;&gt;원인분석!$C$9,"",IF(AND(M461&gt;=원인분석!$C$10,M461&lt;=원인분석!$C$11),"당기",IF(AND(M461&gt;=원인분석!$C$12,M461&lt;=원인분석!$C$13),"비교",""))))</f>
        <v/>
      </c>
      <c r="R461" s="9">
        <f>IF(Q461="","",$K461&amp;"")</f>
        <v/>
      </c>
      <c r="S461" s="9">
        <f>IF(Q461="","",IF(MATCH(R461,$R$5:$R$100000,0)=ROW()-4,ROW(),""))</f>
        <v/>
      </c>
      <c r="T461" s="9">
        <f>IF(Q461="당기",ABS(P461)+ROW()/1000000000,"")</f>
        <v/>
      </c>
      <c r="U461" s="9">
        <f>IF(Q461="비교",ABS(P461)+ROW()/1000000000,"")</f>
        <v/>
      </c>
      <c r="V461" s="64">
        <f>IF($A461="","",IF(COUNTIF(변동분석!$E$7:$E$506,O461)&gt;0,"Y","N"))</f>
        <v/>
      </c>
      <c r="W461" s="64">
        <f>IF($A461="","",IFERROR(INDEX(계정매핑!$D$5:$D$504,MATCH($F461&amp;"",계정매핑!$A$5:$A$504,0)),"미매핑"))</f>
        <v/>
      </c>
      <c r="X461" s="9">
        <f>IF($A461="","",$F461&amp;"")</f>
        <v/>
      </c>
      <c r="Y461" s="94">
        <f>IF($A461="",0,IF(AE461="직접",IF(AF461="비귀속",$P461,0),$P461*(1-AG461)*IFERROR(INDEX(계정대체기준!$F$20:$F$49,MATCH($N461,계정대체기준!$A$20:$A$49,0)),1)))</f>
        <v/>
      </c>
      <c r="Z461" s="94">
        <f>IF($A461="",0,IF(AE461="직접",IF(AF461="신계약비",$P461,0),$P461*(1-AG461)*IFERROR(INDEX(계정대체기준!$C$20:$C$49,MATCH($N461,계정대체기준!$A$20:$A$49,0)),0)))</f>
        <v/>
      </c>
      <c r="AA461" s="94">
        <f>IF($A461="",0,IF(AE461="직접",IF(OR(AF461="유지비",AF461="손해조사비"),$P461,0),$P461*(1-AG461)*IFERROR(INDEX(계정대체기준!$D$20:$D$49,MATCH($N461,계정대체기준!$A$20:$A$49,0)),0)))</f>
        <v/>
      </c>
      <c r="AB461" s="94">
        <f>IF($A461="",0,IF(AE461="직접",IF(AF461="수금비",$P461,0),$P461*(1-AG461)*IFERROR(INDEX(계정대체기준!$E$20:$E$49,MATCH($N461,계정대체기준!$A$20:$A$49,0)),0)))</f>
        <v/>
      </c>
      <c r="AC461" s="9">
        <f>IF(AND($A461&lt;&gt;"",M461=설정!$C$20,Z461&gt;0),Z461+ROW()/1000000000,"")</f>
        <v/>
      </c>
      <c r="AD461" s="94">
        <f>IF($A461="",0,$P461*AG461)</f>
        <v/>
      </c>
      <c r="AE461" s="64">
        <f>IF($A461="","",IFERROR(INDEX(계정매핑!$E$5:$E$504,MATCH($F461&amp;"",계정매핑!$A$5:$A$504,0))&amp;"","공통비"))</f>
        <v/>
      </c>
      <c r="AF461" s="64">
        <f>IF($A461="","",IF(AE461="직접",IFERROR(INDEX(계정매핑!$F$5:$F$504,MATCH($F461&amp;"",계정매핑!$A$5:$A$504,0))&amp;"","비귀속"),""))</f>
        <v/>
      </c>
      <c r="AG461" s="96">
        <f>IF($A461="",0,IF(AND(AE461&lt;&gt;"직접",IFERROR(INDEX(계정매핑!$G$5:$G$504,MATCH($F461&amp;"",계정매핑!$A$5:$A$504,0))&amp;"","")="유지비",COUNTIF(계정대체기준!$A$6:$A$15,$N461)&gt;0),IFERROR(INDEX(계정대체기준!$E$6:$E$15,MATCH(VALUE($A461&amp;""),계정대체기준!$D$6:$D$15,0)),0),0))</f>
        <v/>
      </c>
      <c r="AH461" s="64">
        <f>IF($A461="","",IF(AD461=0,"",IF(OR(COUNTIF(계정대체기준!$A$77:$A$86,$N461)&gt;0,ISNUMBER(MATCH($X461,계정대체기준!$D$77:$D$86,0)),ISNUMBER(MATCH($F461,계정대체기준!$D$77:$D$86,0))),"Y","N")))</f>
        <v/>
      </c>
    </row>
    <row r="462">
      <c r="A462" s="92" t="n">
        <v>2025</v>
      </c>
      <c r="B462" s="92" t="n">
        <v>2</v>
      </c>
      <c r="C462" s="92" t="inlineStr">
        <is>
          <t>5100000458</t>
        </is>
      </c>
      <c r="D462" s="95" t="n">
        <v>45715</v>
      </c>
      <c r="E462" s="92" t="inlineStr">
        <is>
          <t>KR</t>
        </is>
      </c>
      <c r="F462" s="92" t="n">
        <v>62601000</v>
      </c>
      <c r="G462" s="92" t="n">
        <v>1601</v>
      </c>
      <c r="H462" s="93" t="n">
        <v>1638000</v>
      </c>
      <c r="I462" s="92" t="inlineStr">
        <is>
          <t>2월 업무추진 - (법인카드)</t>
        </is>
      </c>
      <c r="J462" s="92" t="inlineStr">
        <is>
          <t>V10010</t>
        </is>
      </c>
      <c r="K462" s="92" t="inlineStr">
        <is>
          <t>(법인카드)</t>
        </is>
      </c>
      <c r="M462" s="9">
        <f>IF($A462="","",VALUE($A462&amp;"")*12+VALUE($B462&amp;""))</f>
        <v/>
      </c>
      <c r="N462" s="64">
        <f>IF($A462="","",IFERROR(INDEX(부서매핑!$C$5:$C$504,MATCH($G462&amp;"",부서매핑!$A$5:$A$504,0)),"미매핑"))</f>
        <v/>
      </c>
      <c r="O462" s="9">
        <f>IF($A462="","",N462&amp;"|"&amp;$F462)</f>
        <v/>
      </c>
      <c r="P462" s="94">
        <f>IF($A462="",0,$H462*설정!$C$23)</f>
        <v/>
      </c>
      <c r="Q462" s="64">
        <f>IF($A462="","",IF(O462&lt;&gt;원인분석!$C$9,"",IF(AND(M462&gt;=원인분석!$C$10,M462&lt;=원인분석!$C$11),"당기",IF(AND(M462&gt;=원인분석!$C$12,M462&lt;=원인분석!$C$13),"비교",""))))</f>
        <v/>
      </c>
      <c r="R462" s="9">
        <f>IF(Q462="","",$K462&amp;"")</f>
        <v/>
      </c>
      <c r="S462" s="9">
        <f>IF(Q462="","",IF(MATCH(R462,$R$5:$R$100000,0)=ROW()-4,ROW(),""))</f>
        <v/>
      </c>
      <c r="T462" s="9">
        <f>IF(Q462="당기",ABS(P462)+ROW()/1000000000,"")</f>
        <v/>
      </c>
      <c r="U462" s="9">
        <f>IF(Q462="비교",ABS(P462)+ROW()/1000000000,"")</f>
        <v/>
      </c>
      <c r="V462" s="64">
        <f>IF($A462="","",IF(COUNTIF(변동분석!$E$7:$E$506,O462)&gt;0,"Y","N"))</f>
        <v/>
      </c>
      <c r="W462" s="64">
        <f>IF($A462="","",IFERROR(INDEX(계정매핑!$D$5:$D$504,MATCH($F462&amp;"",계정매핑!$A$5:$A$504,0)),"미매핑"))</f>
        <v/>
      </c>
      <c r="X462" s="9">
        <f>IF($A462="","",$F462&amp;"")</f>
        <v/>
      </c>
      <c r="Y462" s="94">
        <f>IF($A462="",0,IF(AE462="직접",IF(AF462="비귀속",$P462,0),$P462*(1-AG462)*IFERROR(INDEX(계정대체기준!$F$20:$F$49,MATCH($N462,계정대체기준!$A$20:$A$49,0)),1)))</f>
        <v/>
      </c>
      <c r="Z462" s="94">
        <f>IF($A462="",0,IF(AE462="직접",IF(AF462="신계약비",$P462,0),$P462*(1-AG462)*IFERROR(INDEX(계정대체기준!$C$20:$C$49,MATCH($N462,계정대체기준!$A$20:$A$49,0)),0)))</f>
        <v/>
      </c>
      <c r="AA462" s="94">
        <f>IF($A462="",0,IF(AE462="직접",IF(OR(AF462="유지비",AF462="손해조사비"),$P462,0),$P462*(1-AG462)*IFERROR(INDEX(계정대체기준!$D$20:$D$49,MATCH($N462,계정대체기준!$A$20:$A$49,0)),0)))</f>
        <v/>
      </c>
      <c r="AB462" s="94">
        <f>IF($A462="",0,IF(AE462="직접",IF(AF462="수금비",$P462,0),$P462*(1-AG462)*IFERROR(INDEX(계정대체기준!$E$20:$E$49,MATCH($N462,계정대체기준!$A$20:$A$49,0)),0)))</f>
        <v/>
      </c>
      <c r="AC462" s="9">
        <f>IF(AND($A462&lt;&gt;"",M462=설정!$C$20,Z462&gt;0),Z462+ROW()/1000000000,"")</f>
        <v/>
      </c>
      <c r="AD462" s="94">
        <f>IF($A462="",0,$P462*AG462)</f>
        <v/>
      </c>
      <c r="AE462" s="64">
        <f>IF($A462="","",IFERROR(INDEX(계정매핑!$E$5:$E$504,MATCH($F462&amp;"",계정매핑!$A$5:$A$504,0))&amp;"","공통비"))</f>
        <v/>
      </c>
      <c r="AF462" s="64">
        <f>IF($A462="","",IF(AE462="직접",IFERROR(INDEX(계정매핑!$F$5:$F$504,MATCH($F462&amp;"",계정매핑!$A$5:$A$504,0))&amp;"","비귀속"),""))</f>
        <v/>
      </c>
      <c r="AG462" s="96">
        <f>IF($A462="",0,IF(AND(AE462&lt;&gt;"직접",IFERROR(INDEX(계정매핑!$G$5:$G$504,MATCH($F462&amp;"",계정매핑!$A$5:$A$504,0))&amp;"","")="유지비",COUNTIF(계정대체기준!$A$6:$A$15,$N462)&gt;0),IFERROR(INDEX(계정대체기준!$E$6:$E$15,MATCH(VALUE($A462&amp;""),계정대체기준!$D$6:$D$15,0)),0),0))</f>
        <v/>
      </c>
      <c r="AH462" s="64">
        <f>IF($A462="","",IF(AD462=0,"",IF(OR(COUNTIF(계정대체기준!$A$77:$A$86,$N462)&gt;0,ISNUMBER(MATCH($X462,계정대체기준!$D$77:$D$86,0)),ISNUMBER(MATCH($F462,계정대체기준!$D$77:$D$86,0))),"Y","N")))</f>
        <v/>
      </c>
    </row>
    <row r="463">
      <c r="A463" s="92" t="n">
        <v>2025</v>
      </c>
      <c r="B463" s="92" t="n">
        <v>2</v>
      </c>
      <c r="C463" s="92" t="inlineStr">
        <is>
          <t>5100000459</t>
        </is>
      </c>
      <c r="D463" s="95" t="n">
        <v>45715</v>
      </c>
      <c r="E463" s="92" t="inlineStr">
        <is>
          <t>KR</t>
        </is>
      </c>
      <c r="F463" s="92" t="n">
        <v>62801000</v>
      </c>
      <c r="G463" s="92" t="n">
        <v>1301</v>
      </c>
      <c r="H463" s="93" t="n">
        <v>5375000</v>
      </c>
      <c r="I463" s="92" t="inlineStr">
        <is>
          <t>2월 사내교육 - U에듀</t>
        </is>
      </c>
      <c r="J463" s="92" t="inlineStr">
        <is>
          <t>V10031</t>
        </is>
      </c>
      <c r="K463" s="92" t="inlineStr">
        <is>
          <t>U에듀</t>
        </is>
      </c>
      <c r="M463" s="9">
        <f>IF($A463="","",VALUE($A463&amp;"")*12+VALUE($B463&amp;""))</f>
        <v/>
      </c>
      <c r="N463" s="64">
        <f>IF($A463="","",IFERROR(INDEX(부서매핑!$C$5:$C$504,MATCH($G463&amp;"",부서매핑!$A$5:$A$504,0)),"미매핑"))</f>
        <v/>
      </c>
      <c r="O463" s="9">
        <f>IF($A463="","",N463&amp;"|"&amp;$F463)</f>
        <v/>
      </c>
      <c r="P463" s="94">
        <f>IF($A463="",0,$H463*설정!$C$23)</f>
        <v/>
      </c>
      <c r="Q463" s="64">
        <f>IF($A463="","",IF(O463&lt;&gt;원인분석!$C$9,"",IF(AND(M463&gt;=원인분석!$C$10,M463&lt;=원인분석!$C$11),"당기",IF(AND(M463&gt;=원인분석!$C$12,M463&lt;=원인분석!$C$13),"비교",""))))</f>
        <v/>
      </c>
      <c r="R463" s="9">
        <f>IF(Q463="","",$K463&amp;"")</f>
        <v/>
      </c>
      <c r="S463" s="9">
        <f>IF(Q463="","",IF(MATCH(R463,$R$5:$R$100000,0)=ROW()-4,ROW(),""))</f>
        <v/>
      </c>
      <c r="T463" s="9">
        <f>IF(Q463="당기",ABS(P463)+ROW()/1000000000,"")</f>
        <v/>
      </c>
      <c r="U463" s="9">
        <f>IF(Q463="비교",ABS(P463)+ROW()/1000000000,"")</f>
        <v/>
      </c>
      <c r="V463" s="64">
        <f>IF($A463="","",IF(COUNTIF(변동분석!$E$7:$E$506,O463)&gt;0,"Y","N"))</f>
        <v/>
      </c>
      <c r="W463" s="64">
        <f>IF($A463="","",IFERROR(INDEX(계정매핑!$D$5:$D$504,MATCH($F463&amp;"",계정매핑!$A$5:$A$504,0)),"미매핑"))</f>
        <v/>
      </c>
      <c r="X463" s="9">
        <f>IF($A463="","",$F463&amp;"")</f>
        <v/>
      </c>
      <c r="Y463" s="94">
        <f>IF($A463="",0,IF(AE463="직접",IF(AF463="비귀속",$P463,0),$P463*(1-AG463)*IFERROR(INDEX(계정대체기준!$F$20:$F$49,MATCH($N463,계정대체기준!$A$20:$A$49,0)),1)))</f>
        <v/>
      </c>
      <c r="Z463" s="94">
        <f>IF($A463="",0,IF(AE463="직접",IF(AF463="신계약비",$P463,0),$P463*(1-AG463)*IFERROR(INDEX(계정대체기준!$C$20:$C$49,MATCH($N463,계정대체기준!$A$20:$A$49,0)),0)))</f>
        <v/>
      </c>
      <c r="AA463" s="94">
        <f>IF($A463="",0,IF(AE463="직접",IF(OR(AF463="유지비",AF463="손해조사비"),$P463,0),$P463*(1-AG463)*IFERROR(INDEX(계정대체기준!$D$20:$D$49,MATCH($N463,계정대체기준!$A$20:$A$49,0)),0)))</f>
        <v/>
      </c>
      <c r="AB463" s="94">
        <f>IF($A463="",0,IF(AE463="직접",IF(AF463="수금비",$P463,0),$P463*(1-AG463)*IFERROR(INDEX(계정대체기준!$E$20:$E$49,MATCH($N463,계정대체기준!$A$20:$A$49,0)),0)))</f>
        <v/>
      </c>
      <c r="AC463" s="9">
        <f>IF(AND($A463&lt;&gt;"",M463=설정!$C$20,Z463&gt;0),Z463+ROW()/1000000000,"")</f>
        <v/>
      </c>
      <c r="AD463" s="94">
        <f>IF($A463="",0,$P463*AG463)</f>
        <v/>
      </c>
      <c r="AE463" s="64">
        <f>IF($A463="","",IFERROR(INDEX(계정매핑!$E$5:$E$504,MATCH($F463&amp;"",계정매핑!$A$5:$A$504,0))&amp;"","공통비"))</f>
        <v/>
      </c>
      <c r="AF463" s="64">
        <f>IF($A463="","",IF(AE463="직접",IFERROR(INDEX(계정매핑!$F$5:$F$504,MATCH($F463&amp;"",계정매핑!$A$5:$A$504,0))&amp;"","비귀속"),""))</f>
        <v/>
      </c>
      <c r="AG463" s="96">
        <f>IF($A463="",0,IF(AND(AE463&lt;&gt;"직접",IFERROR(INDEX(계정매핑!$G$5:$G$504,MATCH($F463&amp;"",계정매핑!$A$5:$A$504,0))&amp;"","")="유지비",COUNTIF(계정대체기준!$A$6:$A$15,$N463)&gt;0),IFERROR(INDEX(계정대체기준!$E$6:$E$15,MATCH(VALUE($A463&amp;""),계정대체기준!$D$6:$D$15,0)),0),0))</f>
        <v/>
      </c>
      <c r="AH463" s="64">
        <f>IF($A463="","",IF(AD463=0,"",IF(OR(COUNTIF(계정대체기준!$A$77:$A$86,$N463)&gt;0,ISNUMBER(MATCH($X463,계정대체기준!$D$77:$D$86,0)),ISNUMBER(MATCH($F463,계정대체기준!$D$77:$D$86,0))),"Y","N")))</f>
        <v/>
      </c>
    </row>
    <row r="464">
      <c r="A464" s="92" t="n">
        <v>2025</v>
      </c>
      <c r="B464" s="92" t="n">
        <v>2</v>
      </c>
      <c r="C464" s="92" t="inlineStr">
        <is>
          <t>5100000460</t>
        </is>
      </c>
      <c r="D464" s="95" t="n">
        <v>45715</v>
      </c>
      <c r="E464" s="92" t="inlineStr">
        <is>
          <t>KR</t>
        </is>
      </c>
      <c r="F464" s="92" t="n">
        <v>63201000</v>
      </c>
      <c r="G464" s="92" t="n">
        <v>1601</v>
      </c>
      <c r="H464" s="93" t="n">
        <v>1738000</v>
      </c>
      <c r="I464" s="92" t="inlineStr">
        <is>
          <t>2월 차량 유지 - H에너지</t>
        </is>
      </c>
      <c r="J464" s="92" t="inlineStr">
        <is>
          <t>V10030</t>
        </is>
      </c>
      <c r="K464" s="92" t="inlineStr">
        <is>
          <t>H에너지</t>
        </is>
      </c>
      <c r="M464" s="9">
        <f>IF($A464="","",VALUE($A464&amp;"")*12+VALUE($B464&amp;""))</f>
        <v/>
      </c>
      <c r="N464" s="64">
        <f>IF($A464="","",IFERROR(INDEX(부서매핑!$C$5:$C$504,MATCH($G464&amp;"",부서매핑!$A$5:$A$504,0)),"미매핑"))</f>
        <v/>
      </c>
      <c r="O464" s="9">
        <f>IF($A464="","",N464&amp;"|"&amp;$F464)</f>
        <v/>
      </c>
      <c r="P464" s="94">
        <f>IF($A464="",0,$H464*설정!$C$23)</f>
        <v/>
      </c>
      <c r="Q464" s="64">
        <f>IF($A464="","",IF(O464&lt;&gt;원인분석!$C$9,"",IF(AND(M464&gt;=원인분석!$C$10,M464&lt;=원인분석!$C$11),"당기",IF(AND(M464&gt;=원인분석!$C$12,M464&lt;=원인분석!$C$13),"비교",""))))</f>
        <v/>
      </c>
      <c r="R464" s="9">
        <f>IF(Q464="","",$K464&amp;"")</f>
        <v/>
      </c>
      <c r="S464" s="9">
        <f>IF(Q464="","",IF(MATCH(R464,$R$5:$R$100000,0)=ROW()-4,ROW(),""))</f>
        <v/>
      </c>
      <c r="T464" s="9">
        <f>IF(Q464="당기",ABS(P464)+ROW()/1000000000,"")</f>
        <v/>
      </c>
      <c r="U464" s="9">
        <f>IF(Q464="비교",ABS(P464)+ROW()/1000000000,"")</f>
        <v/>
      </c>
      <c r="V464" s="64">
        <f>IF($A464="","",IF(COUNTIF(변동분석!$E$7:$E$506,O464)&gt;0,"Y","N"))</f>
        <v/>
      </c>
      <c r="W464" s="64">
        <f>IF($A464="","",IFERROR(INDEX(계정매핑!$D$5:$D$504,MATCH($F464&amp;"",계정매핑!$A$5:$A$504,0)),"미매핑"))</f>
        <v/>
      </c>
      <c r="X464" s="9">
        <f>IF($A464="","",$F464&amp;"")</f>
        <v/>
      </c>
      <c r="Y464" s="94">
        <f>IF($A464="",0,IF(AE464="직접",IF(AF464="비귀속",$P464,0),$P464*(1-AG464)*IFERROR(INDEX(계정대체기준!$F$20:$F$49,MATCH($N464,계정대체기준!$A$20:$A$49,0)),1)))</f>
        <v/>
      </c>
      <c r="Z464" s="94">
        <f>IF($A464="",0,IF(AE464="직접",IF(AF464="신계약비",$P464,0),$P464*(1-AG464)*IFERROR(INDEX(계정대체기준!$C$20:$C$49,MATCH($N464,계정대체기준!$A$20:$A$49,0)),0)))</f>
        <v/>
      </c>
      <c r="AA464" s="94">
        <f>IF($A464="",0,IF(AE464="직접",IF(OR(AF464="유지비",AF464="손해조사비"),$P464,0),$P464*(1-AG464)*IFERROR(INDEX(계정대체기준!$D$20:$D$49,MATCH($N464,계정대체기준!$A$20:$A$49,0)),0)))</f>
        <v/>
      </c>
      <c r="AB464" s="94">
        <f>IF($A464="",0,IF(AE464="직접",IF(AF464="수금비",$P464,0),$P464*(1-AG464)*IFERROR(INDEX(계정대체기준!$E$20:$E$49,MATCH($N464,계정대체기준!$A$20:$A$49,0)),0)))</f>
        <v/>
      </c>
      <c r="AC464" s="9">
        <f>IF(AND($A464&lt;&gt;"",M464=설정!$C$20,Z464&gt;0),Z464+ROW()/1000000000,"")</f>
        <v/>
      </c>
      <c r="AD464" s="94">
        <f>IF($A464="",0,$P464*AG464)</f>
        <v/>
      </c>
      <c r="AE464" s="64">
        <f>IF($A464="","",IFERROR(INDEX(계정매핑!$E$5:$E$504,MATCH($F464&amp;"",계정매핑!$A$5:$A$504,0))&amp;"","공통비"))</f>
        <v/>
      </c>
      <c r="AF464" s="64">
        <f>IF($A464="","",IF(AE464="직접",IFERROR(INDEX(계정매핑!$F$5:$F$504,MATCH($F464&amp;"",계정매핑!$A$5:$A$504,0))&amp;"","비귀속"),""))</f>
        <v/>
      </c>
      <c r="AG464" s="96">
        <f>IF($A464="",0,IF(AND(AE464&lt;&gt;"직접",IFERROR(INDEX(계정매핑!$G$5:$G$504,MATCH($F464&amp;"",계정매핑!$A$5:$A$504,0))&amp;"","")="유지비",COUNTIF(계정대체기준!$A$6:$A$15,$N464)&gt;0),IFERROR(INDEX(계정대체기준!$E$6:$E$15,MATCH(VALUE($A464&amp;""),계정대체기준!$D$6:$D$15,0)),0),0))</f>
        <v/>
      </c>
      <c r="AH464" s="64">
        <f>IF($A464="","",IF(AD464=0,"",IF(OR(COUNTIF(계정대체기준!$A$77:$A$86,$N464)&gt;0,ISNUMBER(MATCH($X464,계정대체기준!$D$77:$D$86,0)),ISNUMBER(MATCH($F464,계정대체기준!$D$77:$D$86,0))),"Y","N")))</f>
        <v/>
      </c>
    </row>
    <row r="465">
      <c r="A465" s="92" t="n">
        <v>2025</v>
      </c>
      <c r="B465" s="92" t="n">
        <v>3</v>
      </c>
      <c r="C465" s="92" t="inlineStr">
        <is>
          <t>5100000461</t>
        </is>
      </c>
      <c r="D465" s="95" t="n">
        <v>45718</v>
      </c>
      <c r="E465" s="92" t="inlineStr">
        <is>
          <t>KR</t>
        </is>
      </c>
      <c r="F465" s="92" t="n">
        <v>62101000</v>
      </c>
      <c r="G465" s="92" t="n">
        <v>1701</v>
      </c>
      <c r="H465" s="93" t="n">
        <v>261000</v>
      </c>
      <c r="I465" s="92" t="inlineStr">
        <is>
          <t>3월 국내출장 - M항공</t>
        </is>
      </c>
      <c r="J465" s="92" t="inlineStr">
        <is>
          <t>V10001</t>
        </is>
      </c>
      <c r="K465" s="92" t="inlineStr">
        <is>
          <t>M항공</t>
        </is>
      </c>
      <c r="M465" s="9">
        <f>IF($A465="","",VALUE($A465&amp;"")*12+VALUE($B465&amp;""))</f>
        <v/>
      </c>
      <c r="N465" s="64">
        <f>IF($A465="","",IFERROR(INDEX(부서매핑!$C$5:$C$504,MATCH($G465&amp;"",부서매핑!$A$5:$A$504,0)),"미매핑"))</f>
        <v/>
      </c>
      <c r="O465" s="9">
        <f>IF($A465="","",N465&amp;"|"&amp;$F465)</f>
        <v/>
      </c>
      <c r="P465" s="94">
        <f>IF($A465="",0,$H465*설정!$C$23)</f>
        <v/>
      </c>
      <c r="Q465" s="64">
        <f>IF($A465="","",IF(O465&lt;&gt;원인분석!$C$9,"",IF(AND(M465&gt;=원인분석!$C$10,M465&lt;=원인분석!$C$11),"당기",IF(AND(M465&gt;=원인분석!$C$12,M465&lt;=원인분석!$C$13),"비교",""))))</f>
        <v/>
      </c>
      <c r="R465" s="9">
        <f>IF(Q465="","",$K465&amp;"")</f>
        <v/>
      </c>
      <c r="S465" s="9">
        <f>IF(Q465="","",IF(MATCH(R465,$R$5:$R$100000,0)=ROW()-4,ROW(),""))</f>
        <v/>
      </c>
      <c r="T465" s="9">
        <f>IF(Q465="당기",ABS(P465)+ROW()/1000000000,"")</f>
        <v/>
      </c>
      <c r="U465" s="9">
        <f>IF(Q465="비교",ABS(P465)+ROW()/1000000000,"")</f>
        <v/>
      </c>
      <c r="V465" s="64">
        <f>IF($A465="","",IF(COUNTIF(변동분석!$E$7:$E$506,O465)&gt;0,"Y","N"))</f>
        <v/>
      </c>
      <c r="W465" s="64">
        <f>IF($A465="","",IFERROR(INDEX(계정매핑!$D$5:$D$504,MATCH($F465&amp;"",계정매핑!$A$5:$A$504,0)),"미매핑"))</f>
        <v/>
      </c>
      <c r="X465" s="9">
        <f>IF($A465="","",$F465&amp;"")</f>
        <v/>
      </c>
      <c r="Y465" s="94">
        <f>IF($A465="",0,IF(AE465="직접",IF(AF465="비귀속",$P465,0),$P465*(1-AG465)*IFERROR(INDEX(계정대체기준!$F$20:$F$49,MATCH($N465,계정대체기준!$A$20:$A$49,0)),1)))</f>
        <v/>
      </c>
      <c r="Z465" s="94">
        <f>IF($A465="",0,IF(AE465="직접",IF(AF465="신계약비",$P465,0),$P465*(1-AG465)*IFERROR(INDEX(계정대체기준!$C$20:$C$49,MATCH($N465,계정대체기준!$A$20:$A$49,0)),0)))</f>
        <v/>
      </c>
      <c r="AA465" s="94">
        <f>IF($A465="",0,IF(AE465="직접",IF(OR(AF465="유지비",AF465="손해조사비"),$P465,0),$P465*(1-AG465)*IFERROR(INDEX(계정대체기준!$D$20:$D$49,MATCH($N465,계정대체기준!$A$20:$A$49,0)),0)))</f>
        <v/>
      </c>
      <c r="AB465" s="94">
        <f>IF($A465="",0,IF(AE465="직접",IF(AF465="수금비",$P465,0),$P465*(1-AG465)*IFERROR(INDEX(계정대체기준!$E$20:$E$49,MATCH($N465,계정대체기준!$A$20:$A$49,0)),0)))</f>
        <v/>
      </c>
      <c r="AC465" s="9">
        <f>IF(AND($A465&lt;&gt;"",M465=설정!$C$20,Z465&gt;0),Z465+ROW()/1000000000,"")</f>
        <v/>
      </c>
      <c r="AD465" s="94">
        <f>IF($A465="",0,$P465*AG465)</f>
        <v/>
      </c>
      <c r="AE465" s="64">
        <f>IF($A465="","",IFERROR(INDEX(계정매핑!$E$5:$E$504,MATCH($F465&amp;"",계정매핑!$A$5:$A$504,0))&amp;"","공통비"))</f>
        <v/>
      </c>
      <c r="AF465" s="64">
        <f>IF($A465="","",IF(AE465="직접",IFERROR(INDEX(계정매핑!$F$5:$F$504,MATCH($F465&amp;"",계정매핑!$A$5:$A$504,0))&amp;"","비귀속"),""))</f>
        <v/>
      </c>
      <c r="AG465" s="96">
        <f>IF($A465="",0,IF(AND(AE465&lt;&gt;"직접",IFERROR(INDEX(계정매핑!$G$5:$G$504,MATCH($F465&amp;"",계정매핑!$A$5:$A$504,0))&amp;"","")="유지비",COUNTIF(계정대체기준!$A$6:$A$15,$N465)&gt;0),IFERROR(INDEX(계정대체기준!$E$6:$E$15,MATCH(VALUE($A465&amp;""),계정대체기준!$D$6:$D$15,0)),0),0))</f>
        <v/>
      </c>
      <c r="AH465" s="64">
        <f>IF($A465="","",IF(AD465=0,"",IF(OR(COUNTIF(계정대체기준!$A$77:$A$86,$N465)&gt;0,ISNUMBER(MATCH($X465,계정대체기준!$D$77:$D$86,0)),ISNUMBER(MATCH($F465,계정대체기준!$D$77:$D$86,0))),"Y","N")))</f>
        <v/>
      </c>
    </row>
    <row r="466">
      <c r="A466" s="92" t="n">
        <v>2025</v>
      </c>
      <c r="B466" s="92" t="n">
        <v>3</v>
      </c>
      <c r="C466" s="92" t="inlineStr">
        <is>
          <t>5100000462</t>
        </is>
      </c>
      <c r="D466" s="95" t="n">
        <v>45718</v>
      </c>
      <c r="E466" s="92" t="inlineStr">
        <is>
          <t>KR</t>
        </is>
      </c>
      <c r="F466" s="92" t="n">
        <v>62101000</v>
      </c>
      <c r="G466" s="92" t="n">
        <v>1951</v>
      </c>
      <c r="H466" s="93" t="n">
        <v>474000</v>
      </c>
      <c r="I466" s="92" t="inlineStr">
        <is>
          <t>3월 국내출장 - M항공</t>
        </is>
      </c>
      <c r="J466" s="92" t="inlineStr">
        <is>
          <t>V10001</t>
        </is>
      </c>
      <c r="K466" s="92" t="inlineStr">
        <is>
          <t>M항공</t>
        </is>
      </c>
      <c r="M466" s="9">
        <f>IF($A466="","",VALUE($A466&amp;"")*12+VALUE($B466&amp;""))</f>
        <v/>
      </c>
      <c r="N466" s="64">
        <f>IF($A466="","",IFERROR(INDEX(부서매핑!$C$5:$C$504,MATCH($G466&amp;"",부서매핑!$A$5:$A$504,0)),"미매핑"))</f>
        <v/>
      </c>
      <c r="O466" s="9">
        <f>IF($A466="","",N466&amp;"|"&amp;$F466)</f>
        <v/>
      </c>
      <c r="P466" s="94">
        <f>IF($A466="",0,$H466*설정!$C$23)</f>
        <v/>
      </c>
      <c r="Q466" s="64">
        <f>IF($A466="","",IF(O466&lt;&gt;원인분석!$C$9,"",IF(AND(M466&gt;=원인분석!$C$10,M466&lt;=원인분석!$C$11),"당기",IF(AND(M466&gt;=원인분석!$C$12,M466&lt;=원인분석!$C$13),"비교",""))))</f>
        <v/>
      </c>
      <c r="R466" s="9">
        <f>IF(Q466="","",$K466&amp;"")</f>
        <v/>
      </c>
      <c r="S466" s="9">
        <f>IF(Q466="","",IF(MATCH(R466,$R$5:$R$100000,0)=ROW()-4,ROW(),""))</f>
        <v/>
      </c>
      <c r="T466" s="9">
        <f>IF(Q466="당기",ABS(P466)+ROW()/1000000000,"")</f>
        <v/>
      </c>
      <c r="U466" s="9">
        <f>IF(Q466="비교",ABS(P466)+ROW()/1000000000,"")</f>
        <v/>
      </c>
      <c r="V466" s="64">
        <f>IF($A466="","",IF(COUNTIF(변동분석!$E$7:$E$506,O466)&gt;0,"Y","N"))</f>
        <v/>
      </c>
      <c r="W466" s="64">
        <f>IF($A466="","",IFERROR(INDEX(계정매핑!$D$5:$D$504,MATCH($F466&amp;"",계정매핑!$A$5:$A$504,0)),"미매핑"))</f>
        <v/>
      </c>
      <c r="X466" s="9">
        <f>IF($A466="","",$F466&amp;"")</f>
        <v/>
      </c>
      <c r="Y466" s="94">
        <f>IF($A466="",0,IF(AE466="직접",IF(AF466="비귀속",$P466,0),$P466*(1-AG466)*IFERROR(INDEX(계정대체기준!$F$20:$F$49,MATCH($N466,계정대체기준!$A$20:$A$49,0)),1)))</f>
        <v/>
      </c>
      <c r="Z466" s="94">
        <f>IF($A466="",0,IF(AE466="직접",IF(AF466="신계약비",$P466,0),$P466*(1-AG466)*IFERROR(INDEX(계정대체기준!$C$20:$C$49,MATCH($N466,계정대체기준!$A$20:$A$49,0)),0)))</f>
        <v/>
      </c>
      <c r="AA466" s="94">
        <f>IF($A466="",0,IF(AE466="직접",IF(OR(AF466="유지비",AF466="손해조사비"),$P466,0),$P466*(1-AG466)*IFERROR(INDEX(계정대체기준!$D$20:$D$49,MATCH($N466,계정대체기준!$A$20:$A$49,0)),0)))</f>
        <v/>
      </c>
      <c r="AB466" s="94">
        <f>IF($A466="",0,IF(AE466="직접",IF(AF466="수금비",$P466,0),$P466*(1-AG466)*IFERROR(INDEX(계정대체기준!$E$20:$E$49,MATCH($N466,계정대체기준!$A$20:$A$49,0)),0)))</f>
        <v/>
      </c>
      <c r="AC466" s="9">
        <f>IF(AND($A466&lt;&gt;"",M466=설정!$C$20,Z466&gt;0),Z466+ROW()/1000000000,"")</f>
        <v/>
      </c>
      <c r="AD466" s="94">
        <f>IF($A466="",0,$P466*AG466)</f>
        <v/>
      </c>
      <c r="AE466" s="64">
        <f>IF($A466="","",IFERROR(INDEX(계정매핑!$E$5:$E$504,MATCH($F466&amp;"",계정매핑!$A$5:$A$504,0))&amp;"","공통비"))</f>
        <v/>
      </c>
      <c r="AF466" s="64">
        <f>IF($A466="","",IF(AE466="직접",IFERROR(INDEX(계정매핑!$F$5:$F$504,MATCH($F466&amp;"",계정매핑!$A$5:$A$504,0))&amp;"","비귀속"),""))</f>
        <v/>
      </c>
      <c r="AG466" s="96">
        <f>IF($A466="",0,IF(AND(AE466&lt;&gt;"직접",IFERROR(INDEX(계정매핑!$G$5:$G$504,MATCH($F466&amp;"",계정매핑!$A$5:$A$504,0))&amp;"","")="유지비",COUNTIF(계정대체기준!$A$6:$A$15,$N466)&gt;0),IFERROR(INDEX(계정대체기준!$E$6:$E$15,MATCH(VALUE($A466&amp;""),계정대체기준!$D$6:$D$15,0)),0),0))</f>
        <v/>
      </c>
      <c r="AH466" s="64">
        <f>IF($A466="","",IF(AD466=0,"",IF(OR(COUNTIF(계정대체기준!$A$77:$A$86,$N466)&gt;0,ISNUMBER(MATCH($X466,계정대체기준!$D$77:$D$86,0)),ISNUMBER(MATCH($F466,계정대체기준!$D$77:$D$86,0))),"Y","N")))</f>
        <v/>
      </c>
    </row>
    <row r="467">
      <c r="A467" s="92" t="n">
        <v>2025</v>
      </c>
      <c r="B467" s="92" t="n">
        <v>3</v>
      </c>
      <c r="C467" s="92" t="inlineStr">
        <is>
          <t>5100000463</t>
        </is>
      </c>
      <c r="D467" s="95" t="n">
        <v>45718</v>
      </c>
      <c r="E467" s="92" t="inlineStr">
        <is>
          <t>KR</t>
        </is>
      </c>
      <c r="F467" s="92" t="n">
        <v>62102000</v>
      </c>
      <c r="G467" s="92" t="n">
        <v>1951</v>
      </c>
      <c r="H467" s="93" t="n">
        <v>96000</v>
      </c>
      <c r="I467" s="92" t="inlineStr">
        <is>
          <t>3월 해외출장 - M항공</t>
        </is>
      </c>
      <c r="J467" s="92" t="inlineStr">
        <is>
          <t>V10001</t>
        </is>
      </c>
      <c r="K467" s="92" t="inlineStr">
        <is>
          <t>M항공</t>
        </is>
      </c>
      <c r="M467" s="9">
        <f>IF($A467="","",VALUE($A467&amp;"")*12+VALUE($B467&amp;""))</f>
        <v/>
      </c>
      <c r="N467" s="64">
        <f>IF($A467="","",IFERROR(INDEX(부서매핑!$C$5:$C$504,MATCH($G467&amp;"",부서매핑!$A$5:$A$504,0)),"미매핑"))</f>
        <v/>
      </c>
      <c r="O467" s="9">
        <f>IF($A467="","",N467&amp;"|"&amp;$F467)</f>
        <v/>
      </c>
      <c r="P467" s="94">
        <f>IF($A467="",0,$H467*설정!$C$23)</f>
        <v/>
      </c>
      <c r="Q467" s="64">
        <f>IF($A467="","",IF(O467&lt;&gt;원인분석!$C$9,"",IF(AND(M467&gt;=원인분석!$C$10,M467&lt;=원인분석!$C$11),"당기",IF(AND(M467&gt;=원인분석!$C$12,M467&lt;=원인분석!$C$13),"비교",""))))</f>
        <v/>
      </c>
      <c r="R467" s="9">
        <f>IF(Q467="","",$K467&amp;"")</f>
        <v/>
      </c>
      <c r="S467" s="9">
        <f>IF(Q467="","",IF(MATCH(R467,$R$5:$R$100000,0)=ROW()-4,ROW(),""))</f>
        <v/>
      </c>
      <c r="T467" s="9">
        <f>IF(Q467="당기",ABS(P467)+ROW()/1000000000,"")</f>
        <v/>
      </c>
      <c r="U467" s="9">
        <f>IF(Q467="비교",ABS(P467)+ROW()/1000000000,"")</f>
        <v/>
      </c>
      <c r="V467" s="64">
        <f>IF($A467="","",IF(COUNTIF(변동분석!$E$7:$E$506,O467)&gt;0,"Y","N"))</f>
        <v/>
      </c>
      <c r="W467" s="64">
        <f>IF($A467="","",IFERROR(INDEX(계정매핑!$D$5:$D$504,MATCH($F467&amp;"",계정매핑!$A$5:$A$504,0)),"미매핑"))</f>
        <v/>
      </c>
      <c r="X467" s="9">
        <f>IF($A467="","",$F467&amp;"")</f>
        <v/>
      </c>
      <c r="Y467" s="94">
        <f>IF($A467="",0,IF(AE467="직접",IF(AF467="비귀속",$P467,0),$P467*(1-AG467)*IFERROR(INDEX(계정대체기준!$F$20:$F$49,MATCH($N467,계정대체기준!$A$20:$A$49,0)),1)))</f>
        <v/>
      </c>
      <c r="Z467" s="94">
        <f>IF($A467="",0,IF(AE467="직접",IF(AF467="신계약비",$P467,0),$P467*(1-AG467)*IFERROR(INDEX(계정대체기준!$C$20:$C$49,MATCH($N467,계정대체기준!$A$20:$A$49,0)),0)))</f>
        <v/>
      </c>
      <c r="AA467" s="94">
        <f>IF($A467="",0,IF(AE467="직접",IF(OR(AF467="유지비",AF467="손해조사비"),$P467,0),$P467*(1-AG467)*IFERROR(INDEX(계정대체기준!$D$20:$D$49,MATCH($N467,계정대체기준!$A$20:$A$49,0)),0)))</f>
        <v/>
      </c>
      <c r="AB467" s="94">
        <f>IF($A467="",0,IF(AE467="직접",IF(AF467="수금비",$P467,0),$P467*(1-AG467)*IFERROR(INDEX(계정대체기준!$E$20:$E$49,MATCH($N467,계정대체기준!$A$20:$A$49,0)),0)))</f>
        <v/>
      </c>
      <c r="AC467" s="9">
        <f>IF(AND($A467&lt;&gt;"",M467=설정!$C$20,Z467&gt;0),Z467+ROW()/1000000000,"")</f>
        <v/>
      </c>
      <c r="AD467" s="94">
        <f>IF($A467="",0,$P467*AG467)</f>
        <v/>
      </c>
      <c r="AE467" s="64">
        <f>IF($A467="","",IFERROR(INDEX(계정매핑!$E$5:$E$504,MATCH($F467&amp;"",계정매핑!$A$5:$A$504,0))&amp;"","공통비"))</f>
        <v/>
      </c>
      <c r="AF467" s="64">
        <f>IF($A467="","",IF(AE467="직접",IFERROR(INDEX(계정매핑!$F$5:$F$504,MATCH($F467&amp;"",계정매핑!$A$5:$A$504,0))&amp;"","비귀속"),""))</f>
        <v/>
      </c>
      <c r="AG467" s="96">
        <f>IF($A467="",0,IF(AND(AE467&lt;&gt;"직접",IFERROR(INDEX(계정매핑!$G$5:$G$504,MATCH($F467&amp;"",계정매핑!$A$5:$A$504,0))&amp;"","")="유지비",COUNTIF(계정대체기준!$A$6:$A$15,$N467)&gt;0),IFERROR(INDEX(계정대체기준!$E$6:$E$15,MATCH(VALUE($A467&amp;""),계정대체기준!$D$6:$D$15,0)),0),0))</f>
        <v/>
      </c>
      <c r="AH467" s="64">
        <f>IF($A467="","",IF(AD467=0,"",IF(OR(COUNTIF(계정대체기준!$A$77:$A$86,$N467)&gt;0,ISNUMBER(MATCH($X467,계정대체기준!$D$77:$D$86,0)),ISNUMBER(MATCH($F467,계정대체기준!$D$77:$D$86,0))),"Y","N")))</f>
        <v/>
      </c>
    </row>
    <row r="468">
      <c r="A468" s="92" t="n">
        <v>2025</v>
      </c>
      <c r="B468" s="92" t="n">
        <v>3</v>
      </c>
      <c r="C468" s="92" t="inlineStr">
        <is>
          <t>5100000464</t>
        </is>
      </c>
      <c r="D468" s="95" t="n">
        <v>45718</v>
      </c>
      <c r="E468" s="92" t="inlineStr">
        <is>
          <t>KR</t>
        </is>
      </c>
      <c r="F468" s="92" t="n">
        <v>62201000</v>
      </c>
      <c r="G468" s="92" t="n">
        <v>1951</v>
      </c>
      <c r="H468" s="93" t="n">
        <v>257000</v>
      </c>
      <c r="I468" s="92" t="inlineStr">
        <is>
          <t>3월 통신요금 - P통신</t>
        </is>
      </c>
      <c r="J468" s="92" t="inlineStr">
        <is>
          <t>V10014</t>
        </is>
      </c>
      <c r="K468" s="92" t="inlineStr">
        <is>
          <t>P통신</t>
        </is>
      </c>
      <c r="M468" s="9">
        <f>IF($A468="","",VALUE($A468&amp;"")*12+VALUE($B468&amp;""))</f>
        <v/>
      </c>
      <c r="N468" s="64">
        <f>IF($A468="","",IFERROR(INDEX(부서매핑!$C$5:$C$504,MATCH($G468&amp;"",부서매핑!$A$5:$A$504,0)),"미매핑"))</f>
        <v/>
      </c>
      <c r="O468" s="9">
        <f>IF($A468="","",N468&amp;"|"&amp;$F468)</f>
        <v/>
      </c>
      <c r="P468" s="94">
        <f>IF($A468="",0,$H468*설정!$C$23)</f>
        <v/>
      </c>
      <c r="Q468" s="64">
        <f>IF($A468="","",IF(O468&lt;&gt;원인분석!$C$9,"",IF(AND(M468&gt;=원인분석!$C$10,M468&lt;=원인분석!$C$11),"당기",IF(AND(M468&gt;=원인분석!$C$12,M468&lt;=원인분석!$C$13),"비교",""))))</f>
        <v/>
      </c>
      <c r="R468" s="9">
        <f>IF(Q468="","",$K468&amp;"")</f>
        <v/>
      </c>
      <c r="S468" s="9">
        <f>IF(Q468="","",IF(MATCH(R468,$R$5:$R$100000,0)=ROW()-4,ROW(),""))</f>
        <v/>
      </c>
      <c r="T468" s="9">
        <f>IF(Q468="당기",ABS(P468)+ROW()/1000000000,"")</f>
        <v/>
      </c>
      <c r="U468" s="9">
        <f>IF(Q468="비교",ABS(P468)+ROW()/1000000000,"")</f>
        <v/>
      </c>
      <c r="V468" s="64">
        <f>IF($A468="","",IF(COUNTIF(변동분석!$E$7:$E$506,O468)&gt;0,"Y","N"))</f>
        <v/>
      </c>
      <c r="W468" s="64">
        <f>IF($A468="","",IFERROR(INDEX(계정매핑!$D$5:$D$504,MATCH($F468&amp;"",계정매핑!$A$5:$A$504,0)),"미매핑"))</f>
        <v/>
      </c>
      <c r="X468" s="9">
        <f>IF($A468="","",$F468&amp;"")</f>
        <v/>
      </c>
      <c r="Y468" s="94">
        <f>IF($A468="",0,IF(AE468="직접",IF(AF468="비귀속",$P468,0),$P468*(1-AG468)*IFERROR(INDEX(계정대체기준!$F$20:$F$49,MATCH($N468,계정대체기준!$A$20:$A$49,0)),1)))</f>
        <v/>
      </c>
      <c r="Z468" s="94">
        <f>IF($A468="",0,IF(AE468="직접",IF(AF468="신계약비",$P468,0),$P468*(1-AG468)*IFERROR(INDEX(계정대체기준!$C$20:$C$49,MATCH($N468,계정대체기준!$A$20:$A$49,0)),0)))</f>
        <v/>
      </c>
      <c r="AA468" s="94">
        <f>IF($A468="",0,IF(AE468="직접",IF(OR(AF468="유지비",AF468="손해조사비"),$P468,0),$P468*(1-AG468)*IFERROR(INDEX(계정대체기준!$D$20:$D$49,MATCH($N468,계정대체기준!$A$20:$A$49,0)),0)))</f>
        <v/>
      </c>
      <c r="AB468" s="94">
        <f>IF($A468="",0,IF(AE468="직접",IF(AF468="수금비",$P468,0),$P468*(1-AG468)*IFERROR(INDEX(계정대체기준!$E$20:$E$49,MATCH($N468,계정대체기준!$A$20:$A$49,0)),0)))</f>
        <v/>
      </c>
      <c r="AC468" s="9">
        <f>IF(AND($A468&lt;&gt;"",M468=설정!$C$20,Z468&gt;0),Z468+ROW()/1000000000,"")</f>
        <v/>
      </c>
      <c r="AD468" s="94">
        <f>IF($A468="",0,$P468*AG468)</f>
        <v/>
      </c>
      <c r="AE468" s="64">
        <f>IF($A468="","",IFERROR(INDEX(계정매핑!$E$5:$E$504,MATCH($F468&amp;"",계정매핑!$A$5:$A$504,0))&amp;"","공통비"))</f>
        <v/>
      </c>
      <c r="AF468" s="64">
        <f>IF($A468="","",IF(AE468="직접",IFERROR(INDEX(계정매핑!$F$5:$F$504,MATCH($F468&amp;"",계정매핑!$A$5:$A$504,0))&amp;"","비귀속"),""))</f>
        <v/>
      </c>
      <c r="AG468" s="96">
        <f>IF($A468="",0,IF(AND(AE468&lt;&gt;"직접",IFERROR(INDEX(계정매핑!$G$5:$G$504,MATCH($F468&amp;"",계정매핑!$A$5:$A$504,0))&amp;"","")="유지비",COUNTIF(계정대체기준!$A$6:$A$15,$N468)&gt;0),IFERROR(INDEX(계정대체기준!$E$6:$E$15,MATCH(VALUE($A468&amp;""),계정대체기준!$D$6:$D$15,0)),0),0))</f>
        <v/>
      </c>
      <c r="AH468" s="64">
        <f>IF($A468="","",IF(AD468=0,"",IF(OR(COUNTIF(계정대체기준!$A$77:$A$86,$N468)&gt;0,ISNUMBER(MATCH($X468,계정대체기준!$D$77:$D$86,0)),ISNUMBER(MATCH($F468,계정대체기준!$D$77:$D$86,0))),"Y","N")))</f>
        <v/>
      </c>
    </row>
    <row r="469">
      <c r="A469" s="92" t="n">
        <v>2025</v>
      </c>
      <c r="B469" s="92" t="n">
        <v>3</v>
      </c>
      <c r="C469" s="92" t="inlineStr">
        <is>
          <t>5100000465</t>
        </is>
      </c>
      <c r="D469" s="95" t="n">
        <v>45718</v>
      </c>
      <c r="E469" s="92" t="inlineStr">
        <is>
          <t>KR</t>
        </is>
      </c>
      <c r="F469" s="92" t="n">
        <v>62301000</v>
      </c>
      <c r="G469" s="92" t="n">
        <v>1701</v>
      </c>
      <c r="H469" s="93" t="n">
        <v>218000</v>
      </c>
      <c r="I469" s="92" t="inlineStr">
        <is>
          <t>3월 소모품 구입 - Q오피스</t>
        </is>
      </c>
      <c r="J469" s="92" t="inlineStr">
        <is>
          <t>V10003</t>
        </is>
      </c>
      <c r="K469" s="92" t="inlineStr">
        <is>
          <t>Q오피스</t>
        </is>
      </c>
      <c r="M469" s="9">
        <f>IF($A469="","",VALUE($A469&amp;"")*12+VALUE($B469&amp;""))</f>
        <v/>
      </c>
      <c r="N469" s="64">
        <f>IF($A469="","",IFERROR(INDEX(부서매핑!$C$5:$C$504,MATCH($G469&amp;"",부서매핑!$A$5:$A$504,0)),"미매핑"))</f>
        <v/>
      </c>
      <c r="O469" s="9">
        <f>IF($A469="","",N469&amp;"|"&amp;$F469)</f>
        <v/>
      </c>
      <c r="P469" s="94">
        <f>IF($A469="",0,$H469*설정!$C$23)</f>
        <v/>
      </c>
      <c r="Q469" s="64">
        <f>IF($A469="","",IF(O469&lt;&gt;원인분석!$C$9,"",IF(AND(M469&gt;=원인분석!$C$10,M469&lt;=원인분석!$C$11),"당기",IF(AND(M469&gt;=원인분석!$C$12,M469&lt;=원인분석!$C$13),"비교",""))))</f>
        <v/>
      </c>
      <c r="R469" s="9">
        <f>IF(Q469="","",$K469&amp;"")</f>
        <v/>
      </c>
      <c r="S469" s="9">
        <f>IF(Q469="","",IF(MATCH(R469,$R$5:$R$100000,0)=ROW()-4,ROW(),""))</f>
        <v/>
      </c>
      <c r="T469" s="9">
        <f>IF(Q469="당기",ABS(P469)+ROW()/1000000000,"")</f>
        <v/>
      </c>
      <c r="U469" s="9">
        <f>IF(Q469="비교",ABS(P469)+ROW()/1000000000,"")</f>
        <v/>
      </c>
      <c r="V469" s="64">
        <f>IF($A469="","",IF(COUNTIF(변동분석!$E$7:$E$506,O469)&gt;0,"Y","N"))</f>
        <v/>
      </c>
      <c r="W469" s="64">
        <f>IF($A469="","",IFERROR(INDEX(계정매핑!$D$5:$D$504,MATCH($F469&amp;"",계정매핑!$A$5:$A$504,0)),"미매핑"))</f>
        <v/>
      </c>
      <c r="X469" s="9">
        <f>IF($A469="","",$F469&amp;"")</f>
        <v/>
      </c>
      <c r="Y469" s="94">
        <f>IF($A469="",0,IF(AE469="직접",IF(AF469="비귀속",$P469,0),$P469*(1-AG469)*IFERROR(INDEX(계정대체기준!$F$20:$F$49,MATCH($N469,계정대체기준!$A$20:$A$49,0)),1)))</f>
        <v/>
      </c>
      <c r="Z469" s="94">
        <f>IF($A469="",0,IF(AE469="직접",IF(AF469="신계약비",$P469,0),$P469*(1-AG469)*IFERROR(INDEX(계정대체기준!$C$20:$C$49,MATCH($N469,계정대체기준!$A$20:$A$49,0)),0)))</f>
        <v/>
      </c>
      <c r="AA469" s="94">
        <f>IF($A469="",0,IF(AE469="직접",IF(OR(AF469="유지비",AF469="손해조사비"),$P469,0),$P469*(1-AG469)*IFERROR(INDEX(계정대체기준!$D$20:$D$49,MATCH($N469,계정대체기준!$A$20:$A$49,0)),0)))</f>
        <v/>
      </c>
      <c r="AB469" s="94">
        <f>IF($A469="",0,IF(AE469="직접",IF(AF469="수금비",$P469,0),$P469*(1-AG469)*IFERROR(INDEX(계정대체기준!$E$20:$E$49,MATCH($N469,계정대체기준!$A$20:$A$49,0)),0)))</f>
        <v/>
      </c>
      <c r="AC469" s="9">
        <f>IF(AND($A469&lt;&gt;"",M469=설정!$C$20,Z469&gt;0),Z469+ROW()/1000000000,"")</f>
        <v/>
      </c>
      <c r="AD469" s="94">
        <f>IF($A469="",0,$P469*AG469)</f>
        <v/>
      </c>
      <c r="AE469" s="64">
        <f>IF($A469="","",IFERROR(INDEX(계정매핑!$E$5:$E$504,MATCH($F469&amp;"",계정매핑!$A$5:$A$504,0))&amp;"","공통비"))</f>
        <v/>
      </c>
      <c r="AF469" s="64">
        <f>IF($A469="","",IF(AE469="직접",IFERROR(INDEX(계정매핑!$F$5:$F$504,MATCH($F469&amp;"",계정매핑!$A$5:$A$504,0))&amp;"","비귀속"),""))</f>
        <v/>
      </c>
      <c r="AG469" s="96">
        <f>IF($A469="",0,IF(AND(AE469&lt;&gt;"직접",IFERROR(INDEX(계정매핑!$G$5:$G$504,MATCH($F469&amp;"",계정매핑!$A$5:$A$504,0))&amp;"","")="유지비",COUNTIF(계정대체기준!$A$6:$A$15,$N469)&gt;0),IFERROR(INDEX(계정대체기준!$E$6:$E$15,MATCH(VALUE($A469&amp;""),계정대체기준!$D$6:$D$15,0)),0),0))</f>
        <v/>
      </c>
      <c r="AH469" s="64">
        <f>IF($A469="","",IF(AD469=0,"",IF(OR(COUNTIF(계정대체기준!$A$77:$A$86,$N469)&gt;0,ISNUMBER(MATCH($X469,계정대체기준!$D$77:$D$86,0)),ISNUMBER(MATCH($F469,계정대체기준!$D$77:$D$86,0))),"Y","N")))</f>
        <v/>
      </c>
    </row>
    <row r="470">
      <c r="A470" s="92" t="n">
        <v>2025</v>
      </c>
      <c r="B470" s="92" t="n">
        <v>3</v>
      </c>
      <c r="C470" s="92" t="inlineStr">
        <is>
          <t>5100000466</t>
        </is>
      </c>
      <c r="D470" s="95" t="n">
        <v>45718</v>
      </c>
      <c r="E470" s="92" t="inlineStr">
        <is>
          <t>KR</t>
        </is>
      </c>
      <c r="F470" s="92" t="n">
        <v>62501000</v>
      </c>
      <c r="G470" s="92" t="n">
        <v>1101</v>
      </c>
      <c r="H470" s="93" t="n">
        <v>152000</v>
      </c>
      <c r="I470" s="92" t="inlineStr">
        <is>
          <t>3월 회의 다과 - (법인카드)</t>
        </is>
      </c>
      <c r="J470" s="92" t="inlineStr">
        <is>
          <t>V10010</t>
        </is>
      </c>
      <c r="K470" s="92" t="inlineStr">
        <is>
          <t>(법인카드)</t>
        </is>
      </c>
      <c r="M470" s="9">
        <f>IF($A470="","",VALUE($A470&amp;"")*12+VALUE($B470&amp;""))</f>
        <v/>
      </c>
      <c r="N470" s="64">
        <f>IF($A470="","",IFERROR(INDEX(부서매핑!$C$5:$C$504,MATCH($G470&amp;"",부서매핑!$A$5:$A$504,0)),"미매핑"))</f>
        <v/>
      </c>
      <c r="O470" s="9">
        <f>IF($A470="","",N470&amp;"|"&amp;$F470)</f>
        <v/>
      </c>
      <c r="P470" s="94">
        <f>IF($A470="",0,$H470*설정!$C$23)</f>
        <v/>
      </c>
      <c r="Q470" s="64">
        <f>IF($A470="","",IF(O470&lt;&gt;원인분석!$C$9,"",IF(AND(M470&gt;=원인분석!$C$10,M470&lt;=원인분석!$C$11),"당기",IF(AND(M470&gt;=원인분석!$C$12,M470&lt;=원인분석!$C$13),"비교",""))))</f>
        <v/>
      </c>
      <c r="R470" s="9">
        <f>IF(Q470="","",$K470&amp;"")</f>
        <v/>
      </c>
      <c r="S470" s="9">
        <f>IF(Q470="","",IF(MATCH(R470,$R$5:$R$100000,0)=ROW()-4,ROW(),""))</f>
        <v/>
      </c>
      <c r="T470" s="9">
        <f>IF(Q470="당기",ABS(P470)+ROW()/1000000000,"")</f>
        <v/>
      </c>
      <c r="U470" s="9">
        <f>IF(Q470="비교",ABS(P470)+ROW()/1000000000,"")</f>
        <v/>
      </c>
      <c r="V470" s="64">
        <f>IF($A470="","",IF(COUNTIF(변동분석!$E$7:$E$506,O470)&gt;0,"Y","N"))</f>
        <v/>
      </c>
      <c r="W470" s="64">
        <f>IF($A470="","",IFERROR(INDEX(계정매핑!$D$5:$D$504,MATCH($F470&amp;"",계정매핑!$A$5:$A$504,0)),"미매핑"))</f>
        <v/>
      </c>
      <c r="X470" s="9">
        <f>IF($A470="","",$F470&amp;"")</f>
        <v/>
      </c>
      <c r="Y470" s="94">
        <f>IF($A470="",0,IF(AE470="직접",IF(AF470="비귀속",$P470,0),$P470*(1-AG470)*IFERROR(INDEX(계정대체기준!$F$20:$F$49,MATCH($N470,계정대체기준!$A$20:$A$49,0)),1)))</f>
        <v/>
      </c>
      <c r="Z470" s="94">
        <f>IF($A470="",0,IF(AE470="직접",IF(AF470="신계약비",$P470,0),$P470*(1-AG470)*IFERROR(INDEX(계정대체기준!$C$20:$C$49,MATCH($N470,계정대체기준!$A$20:$A$49,0)),0)))</f>
        <v/>
      </c>
      <c r="AA470" s="94">
        <f>IF($A470="",0,IF(AE470="직접",IF(OR(AF470="유지비",AF470="손해조사비"),$P470,0),$P470*(1-AG470)*IFERROR(INDEX(계정대체기준!$D$20:$D$49,MATCH($N470,계정대체기준!$A$20:$A$49,0)),0)))</f>
        <v/>
      </c>
      <c r="AB470" s="94">
        <f>IF($A470="",0,IF(AE470="직접",IF(AF470="수금비",$P470,0),$P470*(1-AG470)*IFERROR(INDEX(계정대체기준!$E$20:$E$49,MATCH($N470,계정대체기준!$A$20:$A$49,0)),0)))</f>
        <v/>
      </c>
      <c r="AC470" s="9">
        <f>IF(AND($A470&lt;&gt;"",M470=설정!$C$20,Z470&gt;0),Z470+ROW()/1000000000,"")</f>
        <v/>
      </c>
      <c r="AD470" s="94">
        <f>IF($A470="",0,$P470*AG470)</f>
        <v/>
      </c>
      <c r="AE470" s="64">
        <f>IF($A470="","",IFERROR(INDEX(계정매핑!$E$5:$E$504,MATCH($F470&amp;"",계정매핑!$A$5:$A$504,0))&amp;"","공통비"))</f>
        <v/>
      </c>
      <c r="AF470" s="64">
        <f>IF($A470="","",IF(AE470="직접",IFERROR(INDEX(계정매핑!$F$5:$F$504,MATCH($F470&amp;"",계정매핑!$A$5:$A$504,0))&amp;"","비귀속"),""))</f>
        <v/>
      </c>
      <c r="AG470" s="96">
        <f>IF($A470="",0,IF(AND(AE470&lt;&gt;"직접",IFERROR(INDEX(계정매핑!$G$5:$G$504,MATCH($F470&amp;"",계정매핑!$A$5:$A$504,0))&amp;"","")="유지비",COUNTIF(계정대체기준!$A$6:$A$15,$N470)&gt;0),IFERROR(INDEX(계정대체기준!$E$6:$E$15,MATCH(VALUE($A470&amp;""),계정대체기준!$D$6:$D$15,0)),0),0))</f>
        <v/>
      </c>
      <c r="AH470" s="64">
        <f>IF($A470="","",IF(AD470=0,"",IF(OR(COUNTIF(계정대체기준!$A$77:$A$86,$N470)&gt;0,ISNUMBER(MATCH($X470,계정대체기준!$D$77:$D$86,0)),ISNUMBER(MATCH($F470,계정대체기준!$D$77:$D$86,0))),"Y","N")))</f>
        <v/>
      </c>
    </row>
    <row r="471">
      <c r="A471" s="92" t="n">
        <v>2025</v>
      </c>
      <c r="B471" s="92" t="n">
        <v>3</v>
      </c>
      <c r="C471" s="92" t="inlineStr">
        <is>
          <t>5100000467</t>
        </is>
      </c>
      <c r="D471" s="95" t="n">
        <v>45718</v>
      </c>
      <c r="E471" s="92" t="inlineStr">
        <is>
          <t>KR</t>
        </is>
      </c>
      <c r="F471" s="92" t="n">
        <v>62501000</v>
      </c>
      <c r="G471" s="92" t="n">
        <v>1301</v>
      </c>
      <c r="H471" s="93" t="n">
        <v>265000</v>
      </c>
      <c r="I471" s="92" t="inlineStr">
        <is>
          <t>3월 회의 다과 - T케이터링</t>
        </is>
      </c>
      <c r="J471" s="92" t="inlineStr">
        <is>
          <t>V10005</t>
        </is>
      </c>
      <c r="K471" s="92" t="inlineStr">
        <is>
          <t>T케이터링</t>
        </is>
      </c>
      <c r="M471" s="9">
        <f>IF($A471="","",VALUE($A471&amp;"")*12+VALUE($B471&amp;""))</f>
        <v/>
      </c>
      <c r="N471" s="64">
        <f>IF($A471="","",IFERROR(INDEX(부서매핑!$C$5:$C$504,MATCH($G471&amp;"",부서매핑!$A$5:$A$504,0)),"미매핑"))</f>
        <v/>
      </c>
      <c r="O471" s="9">
        <f>IF($A471="","",N471&amp;"|"&amp;$F471)</f>
        <v/>
      </c>
      <c r="P471" s="94">
        <f>IF($A471="",0,$H471*설정!$C$23)</f>
        <v/>
      </c>
      <c r="Q471" s="64">
        <f>IF($A471="","",IF(O471&lt;&gt;원인분석!$C$9,"",IF(AND(M471&gt;=원인분석!$C$10,M471&lt;=원인분석!$C$11),"당기",IF(AND(M471&gt;=원인분석!$C$12,M471&lt;=원인분석!$C$13),"비교",""))))</f>
        <v/>
      </c>
      <c r="R471" s="9">
        <f>IF(Q471="","",$K471&amp;"")</f>
        <v/>
      </c>
      <c r="S471" s="9">
        <f>IF(Q471="","",IF(MATCH(R471,$R$5:$R$100000,0)=ROW()-4,ROW(),""))</f>
        <v/>
      </c>
      <c r="T471" s="9">
        <f>IF(Q471="당기",ABS(P471)+ROW()/1000000000,"")</f>
        <v/>
      </c>
      <c r="U471" s="9">
        <f>IF(Q471="비교",ABS(P471)+ROW()/1000000000,"")</f>
        <v/>
      </c>
      <c r="V471" s="64">
        <f>IF($A471="","",IF(COUNTIF(변동분석!$E$7:$E$506,O471)&gt;0,"Y","N"))</f>
        <v/>
      </c>
      <c r="W471" s="64">
        <f>IF($A471="","",IFERROR(INDEX(계정매핑!$D$5:$D$504,MATCH($F471&amp;"",계정매핑!$A$5:$A$504,0)),"미매핑"))</f>
        <v/>
      </c>
      <c r="X471" s="9">
        <f>IF($A471="","",$F471&amp;"")</f>
        <v/>
      </c>
      <c r="Y471" s="94">
        <f>IF($A471="",0,IF(AE471="직접",IF(AF471="비귀속",$P471,0),$P471*(1-AG471)*IFERROR(INDEX(계정대체기준!$F$20:$F$49,MATCH($N471,계정대체기준!$A$20:$A$49,0)),1)))</f>
        <v/>
      </c>
      <c r="Z471" s="94">
        <f>IF($A471="",0,IF(AE471="직접",IF(AF471="신계약비",$P471,0),$P471*(1-AG471)*IFERROR(INDEX(계정대체기준!$C$20:$C$49,MATCH($N471,계정대체기준!$A$20:$A$49,0)),0)))</f>
        <v/>
      </c>
      <c r="AA471" s="94">
        <f>IF($A471="",0,IF(AE471="직접",IF(OR(AF471="유지비",AF471="손해조사비"),$P471,0),$P471*(1-AG471)*IFERROR(INDEX(계정대체기준!$D$20:$D$49,MATCH($N471,계정대체기준!$A$20:$A$49,0)),0)))</f>
        <v/>
      </c>
      <c r="AB471" s="94">
        <f>IF($A471="",0,IF(AE471="직접",IF(AF471="수금비",$P471,0),$P471*(1-AG471)*IFERROR(INDEX(계정대체기준!$E$20:$E$49,MATCH($N471,계정대체기준!$A$20:$A$49,0)),0)))</f>
        <v/>
      </c>
      <c r="AC471" s="9">
        <f>IF(AND($A471&lt;&gt;"",M471=설정!$C$20,Z471&gt;0),Z471+ROW()/1000000000,"")</f>
        <v/>
      </c>
      <c r="AD471" s="94">
        <f>IF($A471="",0,$P471*AG471)</f>
        <v/>
      </c>
      <c r="AE471" s="64">
        <f>IF($A471="","",IFERROR(INDEX(계정매핑!$E$5:$E$504,MATCH($F471&amp;"",계정매핑!$A$5:$A$504,0))&amp;"","공통비"))</f>
        <v/>
      </c>
      <c r="AF471" s="64">
        <f>IF($A471="","",IF(AE471="직접",IFERROR(INDEX(계정매핑!$F$5:$F$504,MATCH($F471&amp;"",계정매핑!$A$5:$A$504,0))&amp;"","비귀속"),""))</f>
        <v/>
      </c>
      <c r="AG471" s="96">
        <f>IF($A471="",0,IF(AND(AE471&lt;&gt;"직접",IFERROR(INDEX(계정매핑!$G$5:$G$504,MATCH($F471&amp;"",계정매핑!$A$5:$A$504,0))&amp;"","")="유지비",COUNTIF(계정대체기준!$A$6:$A$15,$N471)&gt;0),IFERROR(INDEX(계정대체기준!$E$6:$E$15,MATCH(VALUE($A471&amp;""),계정대체기준!$D$6:$D$15,0)),0),0))</f>
        <v/>
      </c>
      <c r="AH471" s="64">
        <f>IF($A471="","",IF(AD471=0,"",IF(OR(COUNTIF(계정대체기준!$A$77:$A$86,$N471)&gt;0,ISNUMBER(MATCH($X471,계정대체기준!$D$77:$D$86,0)),ISNUMBER(MATCH($F471,계정대체기준!$D$77:$D$86,0))),"Y","N")))</f>
        <v/>
      </c>
    </row>
    <row r="472">
      <c r="A472" s="92" t="n">
        <v>2025</v>
      </c>
      <c r="B472" s="92" t="n">
        <v>3</v>
      </c>
      <c r="C472" s="92" t="inlineStr">
        <is>
          <t>5100000468</t>
        </is>
      </c>
      <c r="D472" s="95" t="n">
        <v>45718</v>
      </c>
      <c r="E472" s="92" t="inlineStr">
        <is>
          <t>KR</t>
        </is>
      </c>
      <c r="F472" s="92" t="n">
        <v>62501000</v>
      </c>
      <c r="G472" s="92" t="n">
        <v>1401</v>
      </c>
      <c r="H472" s="93" t="n">
        <v>193000</v>
      </c>
      <c r="I472" s="92" t="inlineStr">
        <is>
          <t>3월 회의 다과 - (법인카드)</t>
        </is>
      </c>
      <c r="J472" s="92" t="inlineStr">
        <is>
          <t>V10010</t>
        </is>
      </c>
      <c r="K472" s="92" t="inlineStr">
        <is>
          <t>(법인카드)</t>
        </is>
      </c>
      <c r="M472" s="9">
        <f>IF($A472="","",VALUE($A472&amp;"")*12+VALUE($B472&amp;""))</f>
        <v/>
      </c>
      <c r="N472" s="64">
        <f>IF($A472="","",IFERROR(INDEX(부서매핑!$C$5:$C$504,MATCH($G472&amp;"",부서매핑!$A$5:$A$504,0)),"미매핑"))</f>
        <v/>
      </c>
      <c r="O472" s="9">
        <f>IF($A472="","",N472&amp;"|"&amp;$F472)</f>
        <v/>
      </c>
      <c r="P472" s="94">
        <f>IF($A472="",0,$H472*설정!$C$23)</f>
        <v/>
      </c>
      <c r="Q472" s="64">
        <f>IF($A472="","",IF(O472&lt;&gt;원인분석!$C$9,"",IF(AND(M472&gt;=원인분석!$C$10,M472&lt;=원인분석!$C$11),"당기",IF(AND(M472&gt;=원인분석!$C$12,M472&lt;=원인분석!$C$13),"비교",""))))</f>
        <v/>
      </c>
      <c r="R472" s="9">
        <f>IF(Q472="","",$K472&amp;"")</f>
        <v/>
      </c>
      <c r="S472" s="9">
        <f>IF(Q472="","",IF(MATCH(R472,$R$5:$R$100000,0)=ROW()-4,ROW(),""))</f>
        <v/>
      </c>
      <c r="T472" s="9">
        <f>IF(Q472="당기",ABS(P472)+ROW()/1000000000,"")</f>
        <v/>
      </c>
      <c r="U472" s="9">
        <f>IF(Q472="비교",ABS(P472)+ROW()/1000000000,"")</f>
        <v/>
      </c>
      <c r="V472" s="64">
        <f>IF($A472="","",IF(COUNTIF(변동분석!$E$7:$E$506,O472)&gt;0,"Y","N"))</f>
        <v/>
      </c>
      <c r="W472" s="64">
        <f>IF($A472="","",IFERROR(INDEX(계정매핑!$D$5:$D$504,MATCH($F472&amp;"",계정매핑!$A$5:$A$504,0)),"미매핑"))</f>
        <v/>
      </c>
      <c r="X472" s="9">
        <f>IF($A472="","",$F472&amp;"")</f>
        <v/>
      </c>
      <c r="Y472" s="94">
        <f>IF($A472="",0,IF(AE472="직접",IF(AF472="비귀속",$P472,0),$P472*(1-AG472)*IFERROR(INDEX(계정대체기준!$F$20:$F$49,MATCH($N472,계정대체기준!$A$20:$A$49,0)),1)))</f>
        <v/>
      </c>
      <c r="Z472" s="94">
        <f>IF($A472="",0,IF(AE472="직접",IF(AF472="신계약비",$P472,0),$P472*(1-AG472)*IFERROR(INDEX(계정대체기준!$C$20:$C$49,MATCH($N472,계정대체기준!$A$20:$A$49,0)),0)))</f>
        <v/>
      </c>
      <c r="AA472" s="94">
        <f>IF($A472="",0,IF(AE472="직접",IF(OR(AF472="유지비",AF472="손해조사비"),$P472,0),$P472*(1-AG472)*IFERROR(INDEX(계정대체기준!$D$20:$D$49,MATCH($N472,계정대체기준!$A$20:$A$49,0)),0)))</f>
        <v/>
      </c>
      <c r="AB472" s="94">
        <f>IF($A472="",0,IF(AE472="직접",IF(AF472="수금비",$P472,0),$P472*(1-AG472)*IFERROR(INDEX(계정대체기준!$E$20:$E$49,MATCH($N472,계정대체기준!$A$20:$A$49,0)),0)))</f>
        <v/>
      </c>
      <c r="AC472" s="9">
        <f>IF(AND($A472&lt;&gt;"",M472=설정!$C$20,Z472&gt;0),Z472+ROW()/1000000000,"")</f>
        <v/>
      </c>
      <c r="AD472" s="94">
        <f>IF($A472="",0,$P472*AG472)</f>
        <v/>
      </c>
      <c r="AE472" s="64">
        <f>IF($A472="","",IFERROR(INDEX(계정매핑!$E$5:$E$504,MATCH($F472&amp;"",계정매핑!$A$5:$A$504,0))&amp;"","공통비"))</f>
        <v/>
      </c>
      <c r="AF472" s="64">
        <f>IF($A472="","",IF(AE472="직접",IFERROR(INDEX(계정매핑!$F$5:$F$504,MATCH($F472&amp;"",계정매핑!$A$5:$A$504,0))&amp;"","비귀속"),""))</f>
        <v/>
      </c>
      <c r="AG472" s="96">
        <f>IF($A472="",0,IF(AND(AE472&lt;&gt;"직접",IFERROR(INDEX(계정매핑!$G$5:$G$504,MATCH($F472&amp;"",계정매핑!$A$5:$A$504,0))&amp;"","")="유지비",COUNTIF(계정대체기준!$A$6:$A$15,$N472)&gt;0),IFERROR(INDEX(계정대체기준!$E$6:$E$15,MATCH(VALUE($A472&amp;""),계정대체기준!$D$6:$D$15,0)),0),0))</f>
        <v/>
      </c>
      <c r="AH472" s="64">
        <f>IF($A472="","",IF(AD472=0,"",IF(OR(COUNTIF(계정대체기준!$A$77:$A$86,$N472)&gt;0,ISNUMBER(MATCH($X472,계정대체기준!$D$77:$D$86,0)),ISNUMBER(MATCH($F472,계정대체기준!$D$77:$D$86,0))),"Y","N")))</f>
        <v/>
      </c>
    </row>
    <row r="473">
      <c r="A473" s="92" t="n">
        <v>2025</v>
      </c>
      <c r="B473" s="92" t="n">
        <v>3</v>
      </c>
      <c r="C473" s="92" t="inlineStr">
        <is>
          <t>5100000469</t>
        </is>
      </c>
      <c r="D473" s="95" t="n">
        <v>45718</v>
      </c>
      <c r="E473" s="92" t="inlineStr">
        <is>
          <t>KR</t>
        </is>
      </c>
      <c r="F473" s="92" t="n">
        <v>62601000</v>
      </c>
      <c r="G473" s="92" t="n">
        <v>1501</v>
      </c>
      <c r="H473" s="93" t="n">
        <v>1101000</v>
      </c>
      <c r="I473" s="92" t="inlineStr">
        <is>
          <t>3월 업무추진 - (법인카드)</t>
        </is>
      </c>
      <c r="J473" s="92" t="inlineStr">
        <is>
          <t>V10010</t>
        </is>
      </c>
      <c r="K473" s="92" t="inlineStr">
        <is>
          <t>(법인카드)</t>
        </is>
      </c>
      <c r="M473" s="9">
        <f>IF($A473="","",VALUE($A473&amp;"")*12+VALUE($B473&amp;""))</f>
        <v/>
      </c>
      <c r="N473" s="64">
        <f>IF($A473="","",IFERROR(INDEX(부서매핑!$C$5:$C$504,MATCH($G473&amp;"",부서매핑!$A$5:$A$504,0)),"미매핑"))</f>
        <v/>
      </c>
      <c r="O473" s="9">
        <f>IF($A473="","",N473&amp;"|"&amp;$F473)</f>
        <v/>
      </c>
      <c r="P473" s="94">
        <f>IF($A473="",0,$H473*설정!$C$23)</f>
        <v/>
      </c>
      <c r="Q473" s="64">
        <f>IF($A473="","",IF(O473&lt;&gt;원인분석!$C$9,"",IF(AND(M473&gt;=원인분석!$C$10,M473&lt;=원인분석!$C$11),"당기",IF(AND(M473&gt;=원인분석!$C$12,M473&lt;=원인분석!$C$13),"비교",""))))</f>
        <v/>
      </c>
      <c r="R473" s="9">
        <f>IF(Q473="","",$K473&amp;"")</f>
        <v/>
      </c>
      <c r="S473" s="9">
        <f>IF(Q473="","",IF(MATCH(R473,$R$5:$R$100000,0)=ROW()-4,ROW(),""))</f>
        <v/>
      </c>
      <c r="T473" s="9">
        <f>IF(Q473="당기",ABS(P473)+ROW()/1000000000,"")</f>
        <v/>
      </c>
      <c r="U473" s="9">
        <f>IF(Q473="비교",ABS(P473)+ROW()/1000000000,"")</f>
        <v/>
      </c>
      <c r="V473" s="64">
        <f>IF($A473="","",IF(COUNTIF(변동분석!$E$7:$E$506,O473)&gt;0,"Y","N"))</f>
        <v/>
      </c>
      <c r="W473" s="64">
        <f>IF($A473="","",IFERROR(INDEX(계정매핑!$D$5:$D$504,MATCH($F473&amp;"",계정매핑!$A$5:$A$504,0)),"미매핑"))</f>
        <v/>
      </c>
      <c r="X473" s="9">
        <f>IF($A473="","",$F473&amp;"")</f>
        <v/>
      </c>
      <c r="Y473" s="94">
        <f>IF($A473="",0,IF(AE473="직접",IF(AF473="비귀속",$P473,0),$P473*(1-AG473)*IFERROR(INDEX(계정대체기준!$F$20:$F$49,MATCH($N473,계정대체기준!$A$20:$A$49,0)),1)))</f>
        <v/>
      </c>
      <c r="Z473" s="94">
        <f>IF($A473="",0,IF(AE473="직접",IF(AF473="신계약비",$P473,0),$P473*(1-AG473)*IFERROR(INDEX(계정대체기준!$C$20:$C$49,MATCH($N473,계정대체기준!$A$20:$A$49,0)),0)))</f>
        <v/>
      </c>
      <c r="AA473" s="94">
        <f>IF($A473="",0,IF(AE473="직접",IF(OR(AF473="유지비",AF473="손해조사비"),$P473,0),$P473*(1-AG473)*IFERROR(INDEX(계정대체기준!$D$20:$D$49,MATCH($N473,계정대체기준!$A$20:$A$49,0)),0)))</f>
        <v/>
      </c>
      <c r="AB473" s="94">
        <f>IF($A473="",0,IF(AE473="직접",IF(AF473="수금비",$P473,0),$P473*(1-AG473)*IFERROR(INDEX(계정대체기준!$E$20:$E$49,MATCH($N473,계정대체기준!$A$20:$A$49,0)),0)))</f>
        <v/>
      </c>
      <c r="AC473" s="9">
        <f>IF(AND($A473&lt;&gt;"",M473=설정!$C$20,Z473&gt;0),Z473+ROW()/1000000000,"")</f>
        <v/>
      </c>
      <c r="AD473" s="94">
        <f>IF($A473="",0,$P473*AG473)</f>
        <v/>
      </c>
      <c r="AE473" s="64">
        <f>IF($A473="","",IFERROR(INDEX(계정매핑!$E$5:$E$504,MATCH($F473&amp;"",계정매핑!$A$5:$A$504,0))&amp;"","공통비"))</f>
        <v/>
      </c>
      <c r="AF473" s="64">
        <f>IF($A473="","",IF(AE473="직접",IFERROR(INDEX(계정매핑!$F$5:$F$504,MATCH($F473&amp;"",계정매핑!$A$5:$A$504,0))&amp;"","비귀속"),""))</f>
        <v/>
      </c>
      <c r="AG473" s="96">
        <f>IF($A473="",0,IF(AND(AE473&lt;&gt;"직접",IFERROR(INDEX(계정매핑!$G$5:$G$504,MATCH($F473&amp;"",계정매핑!$A$5:$A$504,0))&amp;"","")="유지비",COUNTIF(계정대체기준!$A$6:$A$15,$N473)&gt;0),IFERROR(INDEX(계정대체기준!$E$6:$E$15,MATCH(VALUE($A473&amp;""),계정대체기준!$D$6:$D$15,0)),0),0))</f>
        <v/>
      </c>
      <c r="AH473" s="64">
        <f>IF($A473="","",IF(AD473=0,"",IF(OR(COUNTIF(계정대체기준!$A$77:$A$86,$N473)&gt;0,ISNUMBER(MATCH($X473,계정대체기준!$D$77:$D$86,0)),ISNUMBER(MATCH($F473,계정대체기준!$D$77:$D$86,0))),"Y","N")))</f>
        <v/>
      </c>
    </row>
    <row r="474">
      <c r="A474" s="92" t="n">
        <v>2025</v>
      </c>
      <c r="B474" s="92" t="n">
        <v>3</v>
      </c>
      <c r="C474" s="92" t="inlineStr">
        <is>
          <t>5100000470</t>
        </is>
      </c>
      <c r="D474" s="95" t="n">
        <v>45718</v>
      </c>
      <c r="E474" s="92" t="inlineStr">
        <is>
          <t>KR</t>
        </is>
      </c>
      <c r="F474" s="92" t="n">
        <v>62601000</v>
      </c>
      <c r="G474" s="92" t="n">
        <v>1602</v>
      </c>
      <c r="H474" s="93" t="n">
        <v>1583000</v>
      </c>
      <c r="I474" s="92" t="inlineStr">
        <is>
          <t>3월 업무추진 - (법인카드)</t>
        </is>
      </c>
      <c r="J474" s="92" t="inlineStr">
        <is>
          <t>V10010</t>
        </is>
      </c>
      <c r="K474" s="92" t="inlineStr">
        <is>
          <t>(법인카드)</t>
        </is>
      </c>
      <c r="M474" s="9">
        <f>IF($A474="","",VALUE($A474&amp;"")*12+VALUE($B474&amp;""))</f>
        <v/>
      </c>
      <c r="N474" s="64">
        <f>IF($A474="","",IFERROR(INDEX(부서매핑!$C$5:$C$504,MATCH($G474&amp;"",부서매핑!$A$5:$A$504,0)),"미매핑"))</f>
        <v/>
      </c>
      <c r="O474" s="9">
        <f>IF($A474="","",N474&amp;"|"&amp;$F474)</f>
        <v/>
      </c>
      <c r="P474" s="94">
        <f>IF($A474="",0,$H474*설정!$C$23)</f>
        <v/>
      </c>
      <c r="Q474" s="64">
        <f>IF($A474="","",IF(O474&lt;&gt;원인분석!$C$9,"",IF(AND(M474&gt;=원인분석!$C$10,M474&lt;=원인분석!$C$11),"당기",IF(AND(M474&gt;=원인분석!$C$12,M474&lt;=원인분석!$C$13),"비교",""))))</f>
        <v/>
      </c>
      <c r="R474" s="9">
        <f>IF(Q474="","",$K474&amp;"")</f>
        <v/>
      </c>
      <c r="S474" s="9">
        <f>IF(Q474="","",IF(MATCH(R474,$R$5:$R$100000,0)=ROW()-4,ROW(),""))</f>
        <v/>
      </c>
      <c r="T474" s="9">
        <f>IF(Q474="당기",ABS(P474)+ROW()/1000000000,"")</f>
        <v/>
      </c>
      <c r="U474" s="9">
        <f>IF(Q474="비교",ABS(P474)+ROW()/1000000000,"")</f>
        <v/>
      </c>
      <c r="V474" s="64">
        <f>IF($A474="","",IF(COUNTIF(변동분석!$E$7:$E$506,O474)&gt;0,"Y","N"))</f>
        <v/>
      </c>
      <c r="W474" s="64">
        <f>IF($A474="","",IFERROR(INDEX(계정매핑!$D$5:$D$504,MATCH($F474&amp;"",계정매핑!$A$5:$A$504,0)),"미매핑"))</f>
        <v/>
      </c>
      <c r="X474" s="9">
        <f>IF($A474="","",$F474&amp;"")</f>
        <v/>
      </c>
      <c r="Y474" s="94">
        <f>IF($A474="",0,IF(AE474="직접",IF(AF474="비귀속",$P474,0),$P474*(1-AG474)*IFERROR(INDEX(계정대체기준!$F$20:$F$49,MATCH($N474,계정대체기준!$A$20:$A$49,0)),1)))</f>
        <v/>
      </c>
      <c r="Z474" s="94">
        <f>IF($A474="",0,IF(AE474="직접",IF(AF474="신계약비",$P474,0),$P474*(1-AG474)*IFERROR(INDEX(계정대체기준!$C$20:$C$49,MATCH($N474,계정대체기준!$A$20:$A$49,0)),0)))</f>
        <v/>
      </c>
      <c r="AA474" s="94">
        <f>IF($A474="",0,IF(AE474="직접",IF(OR(AF474="유지비",AF474="손해조사비"),$P474,0),$P474*(1-AG474)*IFERROR(INDEX(계정대체기준!$D$20:$D$49,MATCH($N474,계정대체기준!$A$20:$A$49,0)),0)))</f>
        <v/>
      </c>
      <c r="AB474" s="94">
        <f>IF($A474="",0,IF(AE474="직접",IF(AF474="수금비",$P474,0),$P474*(1-AG474)*IFERROR(INDEX(계정대체기준!$E$20:$E$49,MATCH($N474,계정대체기준!$A$20:$A$49,0)),0)))</f>
        <v/>
      </c>
      <c r="AC474" s="9">
        <f>IF(AND($A474&lt;&gt;"",M474=설정!$C$20,Z474&gt;0),Z474+ROW()/1000000000,"")</f>
        <v/>
      </c>
      <c r="AD474" s="94">
        <f>IF($A474="",0,$P474*AG474)</f>
        <v/>
      </c>
      <c r="AE474" s="64">
        <f>IF($A474="","",IFERROR(INDEX(계정매핑!$E$5:$E$504,MATCH($F474&amp;"",계정매핑!$A$5:$A$504,0))&amp;"","공통비"))</f>
        <v/>
      </c>
      <c r="AF474" s="64">
        <f>IF($A474="","",IF(AE474="직접",IFERROR(INDEX(계정매핑!$F$5:$F$504,MATCH($F474&amp;"",계정매핑!$A$5:$A$504,0))&amp;"","비귀속"),""))</f>
        <v/>
      </c>
      <c r="AG474" s="96">
        <f>IF($A474="",0,IF(AND(AE474&lt;&gt;"직접",IFERROR(INDEX(계정매핑!$G$5:$G$504,MATCH($F474&amp;"",계정매핑!$A$5:$A$504,0))&amp;"","")="유지비",COUNTIF(계정대체기준!$A$6:$A$15,$N474)&gt;0),IFERROR(INDEX(계정대체기준!$E$6:$E$15,MATCH(VALUE($A474&amp;""),계정대체기준!$D$6:$D$15,0)),0),0))</f>
        <v/>
      </c>
      <c r="AH474" s="64">
        <f>IF($A474="","",IF(AD474=0,"",IF(OR(COUNTIF(계정대체기준!$A$77:$A$86,$N474)&gt;0,ISNUMBER(MATCH($X474,계정대체기준!$D$77:$D$86,0)),ISNUMBER(MATCH($F474,계정대체기준!$D$77:$D$86,0))),"Y","N")))</f>
        <v/>
      </c>
    </row>
    <row r="475">
      <c r="A475" s="92" t="n">
        <v>2025</v>
      </c>
      <c r="B475" s="92" t="n">
        <v>3</v>
      </c>
      <c r="C475" s="92" t="inlineStr">
        <is>
          <t>5100000471</t>
        </is>
      </c>
      <c r="D475" s="95" t="n">
        <v>45718</v>
      </c>
      <c r="E475" s="92" t="inlineStr">
        <is>
          <t>KR</t>
        </is>
      </c>
      <c r="F475" s="92" t="n">
        <v>62901000</v>
      </c>
      <c r="G475" s="92" t="n">
        <v>1801</v>
      </c>
      <c r="H475" s="93" t="n">
        <v>13399000</v>
      </c>
      <c r="I475" s="92" t="inlineStr">
        <is>
          <t>3월 자문 수수료 - K회계법인</t>
        </is>
      </c>
      <c r="J475" s="92" t="inlineStr">
        <is>
          <t>V10011</t>
        </is>
      </c>
      <c r="K475" s="92" t="inlineStr">
        <is>
          <t>K회계법인</t>
        </is>
      </c>
      <c r="M475" s="9">
        <f>IF($A475="","",VALUE($A475&amp;"")*12+VALUE($B475&amp;""))</f>
        <v/>
      </c>
      <c r="N475" s="64">
        <f>IF($A475="","",IFERROR(INDEX(부서매핑!$C$5:$C$504,MATCH($G475&amp;"",부서매핑!$A$5:$A$504,0)),"미매핑"))</f>
        <v/>
      </c>
      <c r="O475" s="9">
        <f>IF($A475="","",N475&amp;"|"&amp;$F475)</f>
        <v/>
      </c>
      <c r="P475" s="94">
        <f>IF($A475="",0,$H475*설정!$C$23)</f>
        <v/>
      </c>
      <c r="Q475" s="64">
        <f>IF($A475="","",IF(O475&lt;&gt;원인분석!$C$9,"",IF(AND(M475&gt;=원인분석!$C$10,M475&lt;=원인분석!$C$11),"당기",IF(AND(M475&gt;=원인분석!$C$12,M475&lt;=원인분석!$C$13),"비교",""))))</f>
        <v/>
      </c>
      <c r="R475" s="9">
        <f>IF(Q475="","",$K475&amp;"")</f>
        <v/>
      </c>
      <c r="S475" s="9">
        <f>IF(Q475="","",IF(MATCH(R475,$R$5:$R$100000,0)=ROW()-4,ROW(),""))</f>
        <v/>
      </c>
      <c r="T475" s="9">
        <f>IF(Q475="당기",ABS(P475)+ROW()/1000000000,"")</f>
        <v/>
      </c>
      <c r="U475" s="9">
        <f>IF(Q475="비교",ABS(P475)+ROW()/1000000000,"")</f>
        <v/>
      </c>
      <c r="V475" s="64">
        <f>IF($A475="","",IF(COUNTIF(변동분석!$E$7:$E$506,O475)&gt;0,"Y","N"))</f>
        <v/>
      </c>
      <c r="W475" s="64">
        <f>IF($A475="","",IFERROR(INDEX(계정매핑!$D$5:$D$504,MATCH($F475&amp;"",계정매핑!$A$5:$A$504,0)),"미매핑"))</f>
        <v/>
      </c>
      <c r="X475" s="9">
        <f>IF($A475="","",$F475&amp;"")</f>
        <v/>
      </c>
      <c r="Y475" s="94">
        <f>IF($A475="",0,IF(AE475="직접",IF(AF475="비귀속",$P475,0),$P475*(1-AG475)*IFERROR(INDEX(계정대체기준!$F$20:$F$49,MATCH($N475,계정대체기준!$A$20:$A$49,0)),1)))</f>
        <v/>
      </c>
      <c r="Z475" s="94">
        <f>IF($A475="",0,IF(AE475="직접",IF(AF475="신계약비",$P475,0),$P475*(1-AG475)*IFERROR(INDEX(계정대체기준!$C$20:$C$49,MATCH($N475,계정대체기준!$A$20:$A$49,0)),0)))</f>
        <v/>
      </c>
      <c r="AA475" s="94">
        <f>IF($A475="",0,IF(AE475="직접",IF(OR(AF475="유지비",AF475="손해조사비"),$P475,0),$P475*(1-AG475)*IFERROR(INDEX(계정대체기준!$D$20:$D$49,MATCH($N475,계정대체기준!$A$20:$A$49,0)),0)))</f>
        <v/>
      </c>
      <c r="AB475" s="94">
        <f>IF($A475="",0,IF(AE475="직접",IF(AF475="수금비",$P475,0),$P475*(1-AG475)*IFERROR(INDEX(계정대체기준!$E$20:$E$49,MATCH($N475,계정대체기준!$A$20:$A$49,0)),0)))</f>
        <v/>
      </c>
      <c r="AC475" s="9">
        <f>IF(AND($A475&lt;&gt;"",M475=설정!$C$20,Z475&gt;0),Z475+ROW()/1000000000,"")</f>
        <v/>
      </c>
      <c r="AD475" s="94">
        <f>IF($A475="",0,$P475*AG475)</f>
        <v/>
      </c>
      <c r="AE475" s="64">
        <f>IF($A475="","",IFERROR(INDEX(계정매핑!$E$5:$E$504,MATCH($F475&amp;"",계정매핑!$A$5:$A$504,0))&amp;"","공통비"))</f>
        <v/>
      </c>
      <c r="AF475" s="64">
        <f>IF($A475="","",IF(AE475="직접",IFERROR(INDEX(계정매핑!$F$5:$F$504,MATCH($F475&amp;"",계정매핑!$A$5:$A$504,0))&amp;"","비귀속"),""))</f>
        <v/>
      </c>
      <c r="AG475" s="96">
        <f>IF($A475="",0,IF(AND(AE475&lt;&gt;"직접",IFERROR(INDEX(계정매핑!$G$5:$G$504,MATCH($F475&amp;"",계정매핑!$A$5:$A$504,0))&amp;"","")="유지비",COUNTIF(계정대체기준!$A$6:$A$15,$N475)&gt;0),IFERROR(INDEX(계정대체기준!$E$6:$E$15,MATCH(VALUE($A475&amp;""),계정대체기준!$D$6:$D$15,0)),0),0))</f>
        <v/>
      </c>
      <c r="AH475" s="64">
        <f>IF($A475="","",IF(AD475=0,"",IF(OR(COUNTIF(계정대체기준!$A$77:$A$86,$N475)&gt;0,ISNUMBER(MATCH($X475,계정대체기준!$D$77:$D$86,0)),ISNUMBER(MATCH($F475,계정대체기준!$D$77:$D$86,0))),"Y","N")))</f>
        <v/>
      </c>
    </row>
    <row r="476">
      <c r="A476" s="92" t="n">
        <v>2025</v>
      </c>
      <c r="B476" s="92" t="n">
        <v>3</v>
      </c>
      <c r="C476" s="92" t="inlineStr">
        <is>
          <t>5100000472</t>
        </is>
      </c>
      <c r="D476" s="95" t="n">
        <v>45718</v>
      </c>
      <c r="E476" s="92" t="inlineStr">
        <is>
          <t>KR</t>
        </is>
      </c>
      <c r="F476" s="92" t="n">
        <v>63201000</v>
      </c>
      <c r="G476" s="92" t="n">
        <v>1602</v>
      </c>
      <c r="H476" s="93" t="n">
        <v>5247000</v>
      </c>
      <c r="I476" s="92" t="inlineStr">
        <is>
          <t>3월 차량 유지 - D정비</t>
        </is>
      </c>
      <c r="J476" s="92" t="inlineStr">
        <is>
          <t>V10025</t>
        </is>
      </c>
      <c r="K476" s="92" t="inlineStr">
        <is>
          <t>D정비</t>
        </is>
      </c>
      <c r="M476" s="9">
        <f>IF($A476="","",VALUE($A476&amp;"")*12+VALUE($B476&amp;""))</f>
        <v/>
      </c>
      <c r="N476" s="64">
        <f>IF($A476="","",IFERROR(INDEX(부서매핑!$C$5:$C$504,MATCH($G476&amp;"",부서매핑!$A$5:$A$504,0)),"미매핑"))</f>
        <v/>
      </c>
      <c r="O476" s="9">
        <f>IF($A476="","",N476&amp;"|"&amp;$F476)</f>
        <v/>
      </c>
      <c r="P476" s="94">
        <f>IF($A476="",0,$H476*설정!$C$23)</f>
        <v/>
      </c>
      <c r="Q476" s="64">
        <f>IF($A476="","",IF(O476&lt;&gt;원인분석!$C$9,"",IF(AND(M476&gt;=원인분석!$C$10,M476&lt;=원인분석!$C$11),"당기",IF(AND(M476&gt;=원인분석!$C$12,M476&lt;=원인분석!$C$13),"비교",""))))</f>
        <v/>
      </c>
      <c r="R476" s="9">
        <f>IF(Q476="","",$K476&amp;"")</f>
        <v/>
      </c>
      <c r="S476" s="9">
        <f>IF(Q476="","",IF(MATCH(R476,$R$5:$R$100000,0)=ROW()-4,ROW(),""))</f>
        <v/>
      </c>
      <c r="T476" s="9">
        <f>IF(Q476="당기",ABS(P476)+ROW()/1000000000,"")</f>
        <v/>
      </c>
      <c r="U476" s="9">
        <f>IF(Q476="비교",ABS(P476)+ROW()/1000000000,"")</f>
        <v/>
      </c>
      <c r="V476" s="64">
        <f>IF($A476="","",IF(COUNTIF(변동분석!$E$7:$E$506,O476)&gt;0,"Y","N"))</f>
        <v/>
      </c>
      <c r="W476" s="64">
        <f>IF($A476="","",IFERROR(INDEX(계정매핑!$D$5:$D$504,MATCH($F476&amp;"",계정매핑!$A$5:$A$504,0)),"미매핑"))</f>
        <v/>
      </c>
      <c r="X476" s="9">
        <f>IF($A476="","",$F476&amp;"")</f>
        <v/>
      </c>
      <c r="Y476" s="94">
        <f>IF($A476="",0,IF(AE476="직접",IF(AF476="비귀속",$P476,0),$P476*(1-AG476)*IFERROR(INDEX(계정대체기준!$F$20:$F$49,MATCH($N476,계정대체기준!$A$20:$A$49,0)),1)))</f>
        <v/>
      </c>
      <c r="Z476" s="94">
        <f>IF($A476="",0,IF(AE476="직접",IF(AF476="신계약비",$P476,0),$P476*(1-AG476)*IFERROR(INDEX(계정대체기준!$C$20:$C$49,MATCH($N476,계정대체기준!$A$20:$A$49,0)),0)))</f>
        <v/>
      </c>
      <c r="AA476" s="94">
        <f>IF($A476="",0,IF(AE476="직접",IF(OR(AF476="유지비",AF476="손해조사비"),$P476,0),$P476*(1-AG476)*IFERROR(INDEX(계정대체기준!$D$20:$D$49,MATCH($N476,계정대체기준!$A$20:$A$49,0)),0)))</f>
        <v/>
      </c>
      <c r="AB476" s="94">
        <f>IF($A476="",0,IF(AE476="직접",IF(AF476="수금비",$P476,0),$P476*(1-AG476)*IFERROR(INDEX(계정대체기준!$E$20:$E$49,MATCH($N476,계정대체기준!$A$20:$A$49,0)),0)))</f>
        <v/>
      </c>
      <c r="AC476" s="9">
        <f>IF(AND($A476&lt;&gt;"",M476=설정!$C$20,Z476&gt;0),Z476+ROW()/1000000000,"")</f>
        <v/>
      </c>
      <c r="AD476" s="94">
        <f>IF($A476="",0,$P476*AG476)</f>
        <v/>
      </c>
      <c r="AE476" s="64">
        <f>IF($A476="","",IFERROR(INDEX(계정매핑!$E$5:$E$504,MATCH($F476&amp;"",계정매핑!$A$5:$A$504,0))&amp;"","공통비"))</f>
        <v/>
      </c>
      <c r="AF476" s="64">
        <f>IF($A476="","",IF(AE476="직접",IFERROR(INDEX(계정매핑!$F$5:$F$504,MATCH($F476&amp;"",계정매핑!$A$5:$A$504,0))&amp;"","비귀속"),""))</f>
        <v/>
      </c>
      <c r="AG476" s="96">
        <f>IF($A476="",0,IF(AND(AE476&lt;&gt;"직접",IFERROR(INDEX(계정매핑!$G$5:$G$504,MATCH($F476&amp;"",계정매핑!$A$5:$A$504,0))&amp;"","")="유지비",COUNTIF(계정대체기준!$A$6:$A$15,$N476)&gt;0),IFERROR(INDEX(계정대체기준!$E$6:$E$15,MATCH(VALUE($A476&amp;""),계정대체기준!$D$6:$D$15,0)),0),0))</f>
        <v/>
      </c>
      <c r="AH476" s="64">
        <f>IF($A476="","",IF(AD476=0,"",IF(OR(COUNTIF(계정대체기준!$A$77:$A$86,$N476)&gt;0,ISNUMBER(MATCH($X476,계정대체기준!$D$77:$D$86,0)),ISNUMBER(MATCH($F476,계정대체기준!$D$77:$D$86,0))),"Y","N")))</f>
        <v/>
      </c>
    </row>
    <row r="477">
      <c r="A477" s="92" t="n">
        <v>2025</v>
      </c>
      <c r="B477" s="92" t="n">
        <v>3</v>
      </c>
      <c r="C477" s="92" t="inlineStr">
        <is>
          <t>5100000473</t>
        </is>
      </c>
      <c r="D477" s="95" t="n">
        <v>45719</v>
      </c>
      <c r="E477" s="92" t="inlineStr">
        <is>
          <t>KR</t>
        </is>
      </c>
      <c r="F477" s="92" t="n">
        <v>62101000</v>
      </c>
      <c r="G477" s="92" t="n">
        <v>1301</v>
      </c>
      <c r="H477" s="93" t="n">
        <v>316000</v>
      </c>
      <c r="I477" s="92" t="inlineStr">
        <is>
          <t>3월 국내출장 - M항공</t>
        </is>
      </c>
      <c r="J477" s="92" t="inlineStr">
        <is>
          <t>V10001</t>
        </is>
      </c>
      <c r="K477" s="92" t="inlineStr">
        <is>
          <t>M항공</t>
        </is>
      </c>
      <c r="M477" s="9">
        <f>IF($A477="","",VALUE($A477&amp;"")*12+VALUE($B477&amp;""))</f>
        <v/>
      </c>
      <c r="N477" s="64">
        <f>IF($A477="","",IFERROR(INDEX(부서매핑!$C$5:$C$504,MATCH($G477&amp;"",부서매핑!$A$5:$A$504,0)),"미매핑"))</f>
        <v/>
      </c>
      <c r="O477" s="9">
        <f>IF($A477="","",N477&amp;"|"&amp;$F477)</f>
        <v/>
      </c>
      <c r="P477" s="94">
        <f>IF($A477="",0,$H477*설정!$C$23)</f>
        <v/>
      </c>
      <c r="Q477" s="64">
        <f>IF($A477="","",IF(O477&lt;&gt;원인분석!$C$9,"",IF(AND(M477&gt;=원인분석!$C$10,M477&lt;=원인분석!$C$11),"당기",IF(AND(M477&gt;=원인분석!$C$12,M477&lt;=원인분석!$C$13),"비교",""))))</f>
        <v/>
      </c>
      <c r="R477" s="9">
        <f>IF(Q477="","",$K477&amp;"")</f>
        <v/>
      </c>
      <c r="S477" s="9">
        <f>IF(Q477="","",IF(MATCH(R477,$R$5:$R$100000,0)=ROW()-4,ROW(),""))</f>
        <v/>
      </c>
      <c r="T477" s="9">
        <f>IF(Q477="당기",ABS(P477)+ROW()/1000000000,"")</f>
        <v/>
      </c>
      <c r="U477" s="9">
        <f>IF(Q477="비교",ABS(P477)+ROW()/1000000000,"")</f>
        <v/>
      </c>
      <c r="V477" s="64">
        <f>IF($A477="","",IF(COUNTIF(변동분석!$E$7:$E$506,O477)&gt;0,"Y","N"))</f>
        <v/>
      </c>
      <c r="W477" s="64">
        <f>IF($A477="","",IFERROR(INDEX(계정매핑!$D$5:$D$504,MATCH($F477&amp;"",계정매핑!$A$5:$A$504,0)),"미매핑"))</f>
        <v/>
      </c>
      <c r="X477" s="9">
        <f>IF($A477="","",$F477&amp;"")</f>
        <v/>
      </c>
      <c r="Y477" s="94">
        <f>IF($A477="",0,IF(AE477="직접",IF(AF477="비귀속",$P477,0),$P477*(1-AG477)*IFERROR(INDEX(계정대체기준!$F$20:$F$49,MATCH($N477,계정대체기준!$A$20:$A$49,0)),1)))</f>
        <v/>
      </c>
      <c r="Z477" s="94">
        <f>IF($A477="",0,IF(AE477="직접",IF(AF477="신계약비",$P477,0),$P477*(1-AG477)*IFERROR(INDEX(계정대체기준!$C$20:$C$49,MATCH($N477,계정대체기준!$A$20:$A$49,0)),0)))</f>
        <v/>
      </c>
      <c r="AA477" s="94">
        <f>IF($A477="",0,IF(AE477="직접",IF(OR(AF477="유지비",AF477="손해조사비"),$P477,0),$P477*(1-AG477)*IFERROR(INDEX(계정대체기준!$D$20:$D$49,MATCH($N477,계정대체기준!$A$20:$A$49,0)),0)))</f>
        <v/>
      </c>
      <c r="AB477" s="94">
        <f>IF($A477="",0,IF(AE477="직접",IF(AF477="수금비",$P477,0),$P477*(1-AG477)*IFERROR(INDEX(계정대체기준!$E$20:$E$49,MATCH($N477,계정대체기준!$A$20:$A$49,0)),0)))</f>
        <v/>
      </c>
      <c r="AC477" s="9">
        <f>IF(AND($A477&lt;&gt;"",M477=설정!$C$20,Z477&gt;0),Z477+ROW()/1000000000,"")</f>
        <v/>
      </c>
      <c r="AD477" s="94">
        <f>IF($A477="",0,$P477*AG477)</f>
        <v/>
      </c>
      <c r="AE477" s="64">
        <f>IF($A477="","",IFERROR(INDEX(계정매핑!$E$5:$E$504,MATCH($F477&amp;"",계정매핑!$A$5:$A$504,0))&amp;"","공통비"))</f>
        <v/>
      </c>
      <c r="AF477" s="64">
        <f>IF($A477="","",IF(AE477="직접",IFERROR(INDEX(계정매핑!$F$5:$F$504,MATCH($F477&amp;"",계정매핑!$A$5:$A$504,0))&amp;"","비귀속"),""))</f>
        <v/>
      </c>
      <c r="AG477" s="96">
        <f>IF($A477="",0,IF(AND(AE477&lt;&gt;"직접",IFERROR(INDEX(계정매핑!$G$5:$G$504,MATCH($F477&amp;"",계정매핑!$A$5:$A$504,0))&amp;"","")="유지비",COUNTIF(계정대체기준!$A$6:$A$15,$N477)&gt;0),IFERROR(INDEX(계정대체기준!$E$6:$E$15,MATCH(VALUE($A477&amp;""),계정대체기준!$D$6:$D$15,0)),0),0))</f>
        <v/>
      </c>
      <c r="AH477" s="64">
        <f>IF($A477="","",IF(AD477=0,"",IF(OR(COUNTIF(계정대체기준!$A$77:$A$86,$N477)&gt;0,ISNUMBER(MATCH($X477,계정대체기준!$D$77:$D$86,0)),ISNUMBER(MATCH($F477,계정대체기준!$D$77:$D$86,0))),"Y","N")))</f>
        <v/>
      </c>
    </row>
    <row r="478">
      <c r="A478" s="92" t="n">
        <v>2025</v>
      </c>
      <c r="B478" s="92" t="n">
        <v>3</v>
      </c>
      <c r="C478" s="92" t="inlineStr">
        <is>
          <t>5100000474</t>
        </is>
      </c>
      <c r="D478" s="95" t="n">
        <v>45719</v>
      </c>
      <c r="E478" s="92" t="inlineStr">
        <is>
          <t>KR</t>
        </is>
      </c>
      <c r="F478" s="92" t="n">
        <v>62101000</v>
      </c>
      <c r="G478" s="92" t="n">
        <v>1501</v>
      </c>
      <c r="H478" s="93" t="n">
        <v>355000</v>
      </c>
      <c r="I478" s="92" t="inlineStr">
        <is>
          <t>3월 국내출장 - (법인카드)</t>
        </is>
      </c>
      <c r="J478" s="92" t="inlineStr">
        <is>
          <t>V10010</t>
        </is>
      </c>
      <c r="K478" s="92" t="inlineStr">
        <is>
          <t>(법인카드)</t>
        </is>
      </c>
      <c r="M478" s="9">
        <f>IF($A478="","",VALUE($A478&amp;"")*12+VALUE($B478&amp;""))</f>
        <v/>
      </c>
      <c r="N478" s="64">
        <f>IF($A478="","",IFERROR(INDEX(부서매핑!$C$5:$C$504,MATCH($G478&amp;"",부서매핑!$A$5:$A$504,0)),"미매핑"))</f>
        <v/>
      </c>
      <c r="O478" s="9">
        <f>IF($A478="","",N478&amp;"|"&amp;$F478)</f>
        <v/>
      </c>
      <c r="P478" s="94">
        <f>IF($A478="",0,$H478*설정!$C$23)</f>
        <v/>
      </c>
      <c r="Q478" s="64">
        <f>IF($A478="","",IF(O478&lt;&gt;원인분석!$C$9,"",IF(AND(M478&gt;=원인분석!$C$10,M478&lt;=원인분석!$C$11),"당기",IF(AND(M478&gt;=원인분석!$C$12,M478&lt;=원인분석!$C$13),"비교",""))))</f>
        <v/>
      </c>
      <c r="R478" s="9">
        <f>IF(Q478="","",$K478&amp;"")</f>
        <v/>
      </c>
      <c r="S478" s="9">
        <f>IF(Q478="","",IF(MATCH(R478,$R$5:$R$100000,0)=ROW()-4,ROW(),""))</f>
        <v/>
      </c>
      <c r="T478" s="9">
        <f>IF(Q478="당기",ABS(P478)+ROW()/1000000000,"")</f>
        <v/>
      </c>
      <c r="U478" s="9">
        <f>IF(Q478="비교",ABS(P478)+ROW()/1000000000,"")</f>
        <v/>
      </c>
      <c r="V478" s="64">
        <f>IF($A478="","",IF(COUNTIF(변동분석!$E$7:$E$506,O478)&gt;0,"Y","N"))</f>
        <v/>
      </c>
      <c r="W478" s="64">
        <f>IF($A478="","",IFERROR(INDEX(계정매핑!$D$5:$D$504,MATCH($F478&amp;"",계정매핑!$A$5:$A$504,0)),"미매핑"))</f>
        <v/>
      </c>
      <c r="X478" s="9">
        <f>IF($A478="","",$F478&amp;"")</f>
        <v/>
      </c>
      <c r="Y478" s="94">
        <f>IF($A478="",0,IF(AE478="직접",IF(AF478="비귀속",$P478,0),$P478*(1-AG478)*IFERROR(INDEX(계정대체기준!$F$20:$F$49,MATCH($N478,계정대체기준!$A$20:$A$49,0)),1)))</f>
        <v/>
      </c>
      <c r="Z478" s="94">
        <f>IF($A478="",0,IF(AE478="직접",IF(AF478="신계약비",$P478,0),$P478*(1-AG478)*IFERROR(INDEX(계정대체기준!$C$20:$C$49,MATCH($N478,계정대체기준!$A$20:$A$49,0)),0)))</f>
        <v/>
      </c>
      <c r="AA478" s="94">
        <f>IF($A478="",0,IF(AE478="직접",IF(OR(AF478="유지비",AF478="손해조사비"),$P478,0),$P478*(1-AG478)*IFERROR(INDEX(계정대체기준!$D$20:$D$49,MATCH($N478,계정대체기준!$A$20:$A$49,0)),0)))</f>
        <v/>
      </c>
      <c r="AB478" s="94">
        <f>IF($A478="",0,IF(AE478="직접",IF(AF478="수금비",$P478,0),$P478*(1-AG478)*IFERROR(INDEX(계정대체기준!$E$20:$E$49,MATCH($N478,계정대체기준!$A$20:$A$49,0)),0)))</f>
        <v/>
      </c>
      <c r="AC478" s="9">
        <f>IF(AND($A478&lt;&gt;"",M478=설정!$C$20,Z478&gt;0),Z478+ROW()/1000000000,"")</f>
        <v/>
      </c>
      <c r="AD478" s="94">
        <f>IF($A478="",0,$P478*AG478)</f>
        <v/>
      </c>
      <c r="AE478" s="64">
        <f>IF($A478="","",IFERROR(INDEX(계정매핑!$E$5:$E$504,MATCH($F478&amp;"",계정매핑!$A$5:$A$504,0))&amp;"","공통비"))</f>
        <v/>
      </c>
      <c r="AF478" s="64">
        <f>IF($A478="","",IF(AE478="직접",IFERROR(INDEX(계정매핑!$F$5:$F$504,MATCH($F478&amp;"",계정매핑!$A$5:$A$504,0))&amp;"","비귀속"),""))</f>
        <v/>
      </c>
      <c r="AG478" s="96">
        <f>IF($A478="",0,IF(AND(AE478&lt;&gt;"직접",IFERROR(INDEX(계정매핑!$G$5:$G$504,MATCH($F478&amp;"",계정매핑!$A$5:$A$504,0))&amp;"","")="유지비",COUNTIF(계정대체기준!$A$6:$A$15,$N478)&gt;0),IFERROR(INDEX(계정대체기준!$E$6:$E$15,MATCH(VALUE($A478&amp;""),계정대체기준!$D$6:$D$15,0)),0),0))</f>
        <v/>
      </c>
      <c r="AH478" s="64">
        <f>IF($A478="","",IF(AD478=0,"",IF(OR(COUNTIF(계정대체기준!$A$77:$A$86,$N478)&gt;0,ISNUMBER(MATCH($X478,계정대체기준!$D$77:$D$86,0)),ISNUMBER(MATCH($F478,계정대체기준!$D$77:$D$86,0))),"Y","N")))</f>
        <v/>
      </c>
    </row>
    <row r="479">
      <c r="A479" s="92" t="n">
        <v>2025</v>
      </c>
      <c r="B479" s="92" t="n">
        <v>3</v>
      </c>
      <c r="C479" s="92" t="inlineStr">
        <is>
          <t>5100000475</t>
        </is>
      </c>
      <c r="D479" s="95" t="n">
        <v>45719</v>
      </c>
      <c r="E479" s="92" t="inlineStr">
        <is>
          <t>KR</t>
        </is>
      </c>
      <c r="F479" s="92" t="n">
        <v>62102000</v>
      </c>
      <c r="G479" s="92" t="n">
        <v>1502</v>
      </c>
      <c r="H479" s="93" t="n">
        <v>113000</v>
      </c>
      <c r="I479" s="92" t="inlineStr">
        <is>
          <t>3월 해외출장 - M항공</t>
        </is>
      </c>
      <c r="J479" s="92" t="inlineStr">
        <is>
          <t>V10001</t>
        </is>
      </c>
      <c r="K479" s="92" t="inlineStr">
        <is>
          <t>M항공</t>
        </is>
      </c>
      <c r="M479" s="9">
        <f>IF($A479="","",VALUE($A479&amp;"")*12+VALUE($B479&amp;""))</f>
        <v/>
      </c>
      <c r="N479" s="64">
        <f>IF($A479="","",IFERROR(INDEX(부서매핑!$C$5:$C$504,MATCH($G479&amp;"",부서매핑!$A$5:$A$504,0)),"미매핑"))</f>
        <v/>
      </c>
      <c r="O479" s="9">
        <f>IF($A479="","",N479&amp;"|"&amp;$F479)</f>
        <v/>
      </c>
      <c r="P479" s="94">
        <f>IF($A479="",0,$H479*설정!$C$23)</f>
        <v/>
      </c>
      <c r="Q479" s="64">
        <f>IF($A479="","",IF(O479&lt;&gt;원인분석!$C$9,"",IF(AND(M479&gt;=원인분석!$C$10,M479&lt;=원인분석!$C$11),"당기",IF(AND(M479&gt;=원인분석!$C$12,M479&lt;=원인분석!$C$13),"비교",""))))</f>
        <v/>
      </c>
      <c r="R479" s="9">
        <f>IF(Q479="","",$K479&amp;"")</f>
        <v/>
      </c>
      <c r="S479" s="9">
        <f>IF(Q479="","",IF(MATCH(R479,$R$5:$R$100000,0)=ROW()-4,ROW(),""))</f>
        <v/>
      </c>
      <c r="T479" s="9">
        <f>IF(Q479="당기",ABS(P479)+ROW()/1000000000,"")</f>
        <v/>
      </c>
      <c r="U479" s="9">
        <f>IF(Q479="비교",ABS(P479)+ROW()/1000000000,"")</f>
        <v/>
      </c>
      <c r="V479" s="64">
        <f>IF($A479="","",IF(COUNTIF(변동분석!$E$7:$E$506,O479)&gt;0,"Y","N"))</f>
        <v/>
      </c>
      <c r="W479" s="64">
        <f>IF($A479="","",IFERROR(INDEX(계정매핑!$D$5:$D$504,MATCH($F479&amp;"",계정매핑!$A$5:$A$504,0)),"미매핑"))</f>
        <v/>
      </c>
      <c r="X479" s="9">
        <f>IF($A479="","",$F479&amp;"")</f>
        <v/>
      </c>
      <c r="Y479" s="94">
        <f>IF($A479="",0,IF(AE479="직접",IF(AF479="비귀속",$P479,0),$P479*(1-AG479)*IFERROR(INDEX(계정대체기준!$F$20:$F$49,MATCH($N479,계정대체기준!$A$20:$A$49,0)),1)))</f>
        <v/>
      </c>
      <c r="Z479" s="94">
        <f>IF($A479="",0,IF(AE479="직접",IF(AF479="신계약비",$P479,0),$P479*(1-AG479)*IFERROR(INDEX(계정대체기준!$C$20:$C$49,MATCH($N479,계정대체기준!$A$20:$A$49,0)),0)))</f>
        <v/>
      </c>
      <c r="AA479" s="94">
        <f>IF($A479="",0,IF(AE479="직접",IF(OR(AF479="유지비",AF479="손해조사비"),$P479,0),$P479*(1-AG479)*IFERROR(INDEX(계정대체기준!$D$20:$D$49,MATCH($N479,계정대체기준!$A$20:$A$49,0)),0)))</f>
        <v/>
      </c>
      <c r="AB479" s="94">
        <f>IF($A479="",0,IF(AE479="직접",IF(AF479="수금비",$P479,0),$P479*(1-AG479)*IFERROR(INDEX(계정대체기준!$E$20:$E$49,MATCH($N479,계정대체기준!$A$20:$A$49,0)),0)))</f>
        <v/>
      </c>
      <c r="AC479" s="9">
        <f>IF(AND($A479&lt;&gt;"",M479=설정!$C$20,Z479&gt;0),Z479+ROW()/1000000000,"")</f>
        <v/>
      </c>
      <c r="AD479" s="94">
        <f>IF($A479="",0,$P479*AG479)</f>
        <v/>
      </c>
      <c r="AE479" s="64">
        <f>IF($A479="","",IFERROR(INDEX(계정매핑!$E$5:$E$504,MATCH($F479&amp;"",계정매핑!$A$5:$A$504,0))&amp;"","공통비"))</f>
        <v/>
      </c>
      <c r="AF479" s="64">
        <f>IF($A479="","",IF(AE479="직접",IFERROR(INDEX(계정매핑!$F$5:$F$504,MATCH($F479&amp;"",계정매핑!$A$5:$A$504,0))&amp;"","비귀속"),""))</f>
        <v/>
      </c>
      <c r="AG479" s="96">
        <f>IF($A479="",0,IF(AND(AE479&lt;&gt;"직접",IFERROR(INDEX(계정매핑!$G$5:$G$504,MATCH($F479&amp;"",계정매핑!$A$5:$A$504,0))&amp;"","")="유지비",COUNTIF(계정대체기준!$A$6:$A$15,$N479)&gt;0),IFERROR(INDEX(계정대체기준!$E$6:$E$15,MATCH(VALUE($A479&amp;""),계정대체기준!$D$6:$D$15,0)),0),0))</f>
        <v/>
      </c>
      <c r="AH479" s="64">
        <f>IF($A479="","",IF(AD479=0,"",IF(OR(COUNTIF(계정대체기준!$A$77:$A$86,$N479)&gt;0,ISNUMBER(MATCH($X479,계정대체기준!$D$77:$D$86,0)),ISNUMBER(MATCH($F479,계정대체기준!$D$77:$D$86,0))),"Y","N")))</f>
        <v/>
      </c>
    </row>
    <row r="480">
      <c r="A480" s="92" t="n">
        <v>2025</v>
      </c>
      <c r="B480" s="92" t="n">
        <v>3</v>
      </c>
      <c r="C480" s="92" t="inlineStr">
        <is>
          <t>5100000476</t>
        </is>
      </c>
      <c r="D480" s="95" t="n">
        <v>45719</v>
      </c>
      <c r="E480" s="92" t="inlineStr">
        <is>
          <t>KR</t>
        </is>
      </c>
      <c r="F480" s="92" t="n">
        <v>62301000</v>
      </c>
      <c r="G480" s="92" t="n">
        <v>1601</v>
      </c>
      <c r="H480" s="93" t="n">
        <v>317000</v>
      </c>
      <c r="I480" s="92" t="inlineStr">
        <is>
          <t>3월 소모품 구입 - R문구</t>
        </is>
      </c>
      <c r="J480" s="92" t="inlineStr">
        <is>
          <t>V10022</t>
        </is>
      </c>
      <c r="K480" s="92" t="inlineStr">
        <is>
          <t>R문구</t>
        </is>
      </c>
      <c r="M480" s="9">
        <f>IF($A480="","",VALUE($A480&amp;"")*12+VALUE($B480&amp;""))</f>
        <v/>
      </c>
      <c r="N480" s="64">
        <f>IF($A480="","",IFERROR(INDEX(부서매핑!$C$5:$C$504,MATCH($G480&amp;"",부서매핑!$A$5:$A$504,0)),"미매핑"))</f>
        <v/>
      </c>
      <c r="O480" s="9">
        <f>IF($A480="","",N480&amp;"|"&amp;$F480)</f>
        <v/>
      </c>
      <c r="P480" s="94">
        <f>IF($A480="",0,$H480*설정!$C$23)</f>
        <v/>
      </c>
      <c r="Q480" s="64">
        <f>IF($A480="","",IF(O480&lt;&gt;원인분석!$C$9,"",IF(AND(M480&gt;=원인분석!$C$10,M480&lt;=원인분석!$C$11),"당기",IF(AND(M480&gt;=원인분석!$C$12,M480&lt;=원인분석!$C$13),"비교",""))))</f>
        <v/>
      </c>
      <c r="R480" s="9">
        <f>IF(Q480="","",$K480&amp;"")</f>
        <v/>
      </c>
      <c r="S480" s="9">
        <f>IF(Q480="","",IF(MATCH(R480,$R$5:$R$100000,0)=ROW()-4,ROW(),""))</f>
        <v/>
      </c>
      <c r="T480" s="9">
        <f>IF(Q480="당기",ABS(P480)+ROW()/1000000000,"")</f>
        <v/>
      </c>
      <c r="U480" s="9">
        <f>IF(Q480="비교",ABS(P480)+ROW()/1000000000,"")</f>
        <v/>
      </c>
      <c r="V480" s="64">
        <f>IF($A480="","",IF(COUNTIF(변동분석!$E$7:$E$506,O480)&gt;0,"Y","N"))</f>
        <v/>
      </c>
      <c r="W480" s="64">
        <f>IF($A480="","",IFERROR(INDEX(계정매핑!$D$5:$D$504,MATCH($F480&amp;"",계정매핑!$A$5:$A$504,0)),"미매핑"))</f>
        <v/>
      </c>
      <c r="X480" s="9">
        <f>IF($A480="","",$F480&amp;"")</f>
        <v/>
      </c>
      <c r="Y480" s="94">
        <f>IF($A480="",0,IF(AE480="직접",IF(AF480="비귀속",$P480,0),$P480*(1-AG480)*IFERROR(INDEX(계정대체기준!$F$20:$F$49,MATCH($N480,계정대체기준!$A$20:$A$49,0)),1)))</f>
        <v/>
      </c>
      <c r="Z480" s="94">
        <f>IF($A480="",0,IF(AE480="직접",IF(AF480="신계약비",$P480,0),$P480*(1-AG480)*IFERROR(INDEX(계정대체기준!$C$20:$C$49,MATCH($N480,계정대체기준!$A$20:$A$49,0)),0)))</f>
        <v/>
      </c>
      <c r="AA480" s="94">
        <f>IF($A480="",0,IF(AE480="직접",IF(OR(AF480="유지비",AF480="손해조사비"),$P480,0),$P480*(1-AG480)*IFERROR(INDEX(계정대체기준!$D$20:$D$49,MATCH($N480,계정대체기준!$A$20:$A$49,0)),0)))</f>
        <v/>
      </c>
      <c r="AB480" s="94">
        <f>IF($A480="",0,IF(AE480="직접",IF(AF480="수금비",$P480,0),$P480*(1-AG480)*IFERROR(INDEX(계정대체기준!$E$20:$E$49,MATCH($N480,계정대체기준!$A$20:$A$49,0)),0)))</f>
        <v/>
      </c>
      <c r="AC480" s="9">
        <f>IF(AND($A480&lt;&gt;"",M480=설정!$C$20,Z480&gt;0),Z480+ROW()/1000000000,"")</f>
        <v/>
      </c>
      <c r="AD480" s="94">
        <f>IF($A480="",0,$P480*AG480)</f>
        <v/>
      </c>
      <c r="AE480" s="64">
        <f>IF($A480="","",IFERROR(INDEX(계정매핑!$E$5:$E$504,MATCH($F480&amp;"",계정매핑!$A$5:$A$504,0))&amp;"","공통비"))</f>
        <v/>
      </c>
      <c r="AF480" s="64">
        <f>IF($A480="","",IF(AE480="직접",IFERROR(INDEX(계정매핑!$F$5:$F$504,MATCH($F480&amp;"",계정매핑!$A$5:$A$504,0))&amp;"","비귀속"),""))</f>
        <v/>
      </c>
      <c r="AG480" s="96">
        <f>IF($A480="",0,IF(AND(AE480&lt;&gt;"직접",IFERROR(INDEX(계정매핑!$G$5:$G$504,MATCH($F480&amp;"",계정매핑!$A$5:$A$504,0))&amp;"","")="유지비",COUNTIF(계정대체기준!$A$6:$A$15,$N480)&gt;0),IFERROR(INDEX(계정대체기준!$E$6:$E$15,MATCH(VALUE($A480&amp;""),계정대체기준!$D$6:$D$15,0)),0),0))</f>
        <v/>
      </c>
      <c r="AH480" s="64">
        <f>IF($A480="","",IF(AD480=0,"",IF(OR(COUNTIF(계정대체기준!$A$77:$A$86,$N480)&gt;0,ISNUMBER(MATCH($X480,계정대체기준!$D$77:$D$86,0)),ISNUMBER(MATCH($F480,계정대체기준!$D$77:$D$86,0))),"Y","N")))</f>
        <v/>
      </c>
    </row>
    <row r="481">
      <c r="A481" s="92" t="n">
        <v>2025</v>
      </c>
      <c r="B481" s="92" t="n">
        <v>3</v>
      </c>
      <c r="C481" s="92" t="inlineStr">
        <is>
          <t>5100000477</t>
        </is>
      </c>
      <c r="D481" s="95" t="n">
        <v>45719</v>
      </c>
      <c r="E481" s="92" t="inlineStr">
        <is>
          <t>KR</t>
        </is>
      </c>
      <c r="F481" s="92" t="n">
        <v>62501000</v>
      </c>
      <c r="G481" s="92" t="n">
        <v>1101</v>
      </c>
      <c r="H481" s="93" t="n">
        <v>298000</v>
      </c>
      <c r="I481" s="92" t="inlineStr">
        <is>
          <t>3월 회의 다과 - T케이터링</t>
        </is>
      </c>
      <c r="J481" s="92" t="inlineStr">
        <is>
          <t>V10005</t>
        </is>
      </c>
      <c r="K481" s="92" t="inlineStr">
        <is>
          <t>T케이터링</t>
        </is>
      </c>
      <c r="M481" s="9">
        <f>IF($A481="","",VALUE($A481&amp;"")*12+VALUE($B481&amp;""))</f>
        <v/>
      </c>
      <c r="N481" s="64">
        <f>IF($A481="","",IFERROR(INDEX(부서매핑!$C$5:$C$504,MATCH($G481&amp;"",부서매핑!$A$5:$A$504,0)),"미매핑"))</f>
        <v/>
      </c>
      <c r="O481" s="9">
        <f>IF($A481="","",N481&amp;"|"&amp;$F481)</f>
        <v/>
      </c>
      <c r="P481" s="94">
        <f>IF($A481="",0,$H481*설정!$C$23)</f>
        <v/>
      </c>
      <c r="Q481" s="64">
        <f>IF($A481="","",IF(O481&lt;&gt;원인분석!$C$9,"",IF(AND(M481&gt;=원인분석!$C$10,M481&lt;=원인분석!$C$11),"당기",IF(AND(M481&gt;=원인분석!$C$12,M481&lt;=원인분석!$C$13),"비교",""))))</f>
        <v/>
      </c>
      <c r="R481" s="9">
        <f>IF(Q481="","",$K481&amp;"")</f>
        <v/>
      </c>
      <c r="S481" s="9">
        <f>IF(Q481="","",IF(MATCH(R481,$R$5:$R$100000,0)=ROW()-4,ROW(),""))</f>
        <v/>
      </c>
      <c r="T481" s="9">
        <f>IF(Q481="당기",ABS(P481)+ROW()/1000000000,"")</f>
        <v/>
      </c>
      <c r="U481" s="9">
        <f>IF(Q481="비교",ABS(P481)+ROW()/1000000000,"")</f>
        <v/>
      </c>
      <c r="V481" s="64">
        <f>IF($A481="","",IF(COUNTIF(변동분석!$E$7:$E$506,O481)&gt;0,"Y","N"))</f>
        <v/>
      </c>
      <c r="W481" s="64">
        <f>IF($A481="","",IFERROR(INDEX(계정매핑!$D$5:$D$504,MATCH($F481&amp;"",계정매핑!$A$5:$A$504,0)),"미매핑"))</f>
        <v/>
      </c>
      <c r="X481" s="9">
        <f>IF($A481="","",$F481&amp;"")</f>
        <v/>
      </c>
      <c r="Y481" s="94">
        <f>IF($A481="",0,IF(AE481="직접",IF(AF481="비귀속",$P481,0),$P481*(1-AG481)*IFERROR(INDEX(계정대체기준!$F$20:$F$49,MATCH($N481,계정대체기준!$A$20:$A$49,0)),1)))</f>
        <v/>
      </c>
      <c r="Z481" s="94">
        <f>IF($A481="",0,IF(AE481="직접",IF(AF481="신계약비",$P481,0),$P481*(1-AG481)*IFERROR(INDEX(계정대체기준!$C$20:$C$49,MATCH($N481,계정대체기준!$A$20:$A$49,0)),0)))</f>
        <v/>
      </c>
      <c r="AA481" s="94">
        <f>IF($A481="",0,IF(AE481="직접",IF(OR(AF481="유지비",AF481="손해조사비"),$P481,0),$P481*(1-AG481)*IFERROR(INDEX(계정대체기준!$D$20:$D$49,MATCH($N481,계정대체기준!$A$20:$A$49,0)),0)))</f>
        <v/>
      </c>
      <c r="AB481" s="94">
        <f>IF($A481="",0,IF(AE481="직접",IF(AF481="수금비",$P481,0),$P481*(1-AG481)*IFERROR(INDEX(계정대체기준!$E$20:$E$49,MATCH($N481,계정대체기준!$A$20:$A$49,0)),0)))</f>
        <v/>
      </c>
      <c r="AC481" s="9">
        <f>IF(AND($A481&lt;&gt;"",M481=설정!$C$20,Z481&gt;0),Z481+ROW()/1000000000,"")</f>
        <v/>
      </c>
      <c r="AD481" s="94">
        <f>IF($A481="",0,$P481*AG481)</f>
        <v/>
      </c>
      <c r="AE481" s="64">
        <f>IF($A481="","",IFERROR(INDEX(계정매핑!$E$5:$E$504,MATCH($F481&amp;"",계정매핑!$A$5:$A$504,0))&amp;"","공통비"))</f>
        <v/>
      </c>
      <c r="AF481" s="64">
        <f>IF($A481="","",IF(AE481="직접",IFERROR(INDEX(계정매핑!$F$5:$F$504,MATCH($F481&amp;"",계정매핑!$A$5:$A$504,0))&amp;"","비귀속"),""))</f>
        <v/>
      </c>
      <c r="AG481" s="96">
        <f>IF($A481="",0,IF(AND(AE481&lt;&gt;"직접",IFERROR(INDEX(계정매핑!$G$5:$G$504,MATCH($F481&amp;"",계정매핑!$A$5:$A$504,0))&amp;"","")="유지비",COUNTIF(계정대체기준!$A$6:$A$15,$N481)&gt;0),IFERROR(INDEX(계정대체기준!$E$6:$E$15,MATCH(VALUE($A481&amp;""),계정대체기준!$D$6:$D$15,0)),0),0))</f>
        <v/>
      </c>
      <c r="AH481" s="64">
        <f>IF($A481="","",IF(AD481=0,"",IF(OR(COUNTIF(계정대체기준!$A$77:$A$86,$N481)&gt;0,ISNUMBER(MATCH($X481,계정대체기준!$D$77:$D$86,0)),ISNUMBER(MATCH($F481,계정대체기준!$D$77:$D$86,0))),"Y","N")))</f>
        <v/>
      </c>
    </row>
    <row r="482">
      <c r="A482" s="92" t="n">
        <v>2025</v>
      </c>
      <c r="B482" s="92" t="n">
        <v>3</v>
      </c>
      <c r="C482" s="92" t="inlineStr">
        <is>
          <t>5100000478</t>
        </is>
      </c>
      <c r="D482" s="95" t="n">
        <v>45719</v>
      </c>
      <c r="E482" s="92" t="inlineStr">
        <is>
          <t>KR</t>
        </is>
      </c>
      <c r="F482" s="92" t="n">
        <v>62501000</v>
      </c>
      <c r="G482" s="92" t="n">
        <v>1301</v>
      </c>
      <c r="H482" s="93" t="n">
        <v>256000</v>
      </c>
      <c r="I482" s="92" t="inlineStr">
        <is>
          <t>3월 회의 다과 - (법인카드)</t>
        </is>
      </c>
      <c r="J482" s="92" t="inlineStr">
        <is>
          <t>V10010</t>
        </is>
      </c>
      <c r="K482" s="92" t="inlineStr">
        <is>
          <t>(법인카드)</t>
        </is>
      </c>
      <c r="M482" s="9">
        <f>IF($A482="","",VALUE($A482&amp;"")*12+VALUE($B482&amp;""))</f>
        <v/>
      </c>
      <c r="N482" s="64">
        <f>IF($A482="","",IFERROR(INDEX(부서매핑!$C$5:$C$504,MATCH($G482&amp;"",부서매핑!$A$5:$A$504,0)),"미매핑"))</f>
        <v/>
      </c>
      <c r="O482" s="9">
        <f>IF($A482="","",N482&amp;"|"&amp;$F482)</f>
        <v/>
      </c>
      <c r="P482" s="94">
        <f>IF($A482="",0,$H482*설정!$C$23)</f>
        <v/>
      </c>
      <c r="Q482" s="64">
        <f>IF($A482="","",IF(O482&lt;&gt;원인분석!$C$9,"",IF(AND(M482&gt;=원인분석!$C$10,M482&lt;=원인분석!$C$11),"당기",IF(AND(M482&gt;=원인분석!$C$12,M482&lt;=원인분석!$C$13),"비교",""))))</f>
        <v/>
      </c>
      <c r="R482" s="9">
        <f>IF(Q482="","",$K482&amp;"")</f>
        <v/>
      </c>
      <c r="S482" s="9">
        <f>IF(Q482="","",IF(MATCH(R482,$R$5:$R$100000,0)=ROW()-4,ROW(),""))</f>
        <v/>
      </c>
      <c r="T482" s="9">
        <f>IF(Q482="당기",ABS(P482)+ROW()/1000000000,"")</f>
        <v/>
      </c>
      <c r="U482" s="9">
        <f>IF(Q482="비교",ABS(P482)+ROW()/1000000000,"")</f>
        <v/>
      </c>
      <c r="V482" s="64">
        <f>IF($A482="","",IF(COUNTIF(변동분석!$E$7:$E$506,O482)&gt;0,"Y","N"))</f>
        <v/>
      </c>
      <c r="W482" s="64">
        <f>IF($A482="","",IFERROR(INDEX(계정매핑!$D$5:$D$504,MATCH($F482&amp;"",계정매핑!$A$5:$A$504,0)),"미매핑"))</f>
        <v/>
      </c>
      <c r="X482" s="9">
        <f>IF($A482="","",$F482&amp;"")</f>
        <v/>
      </c>
      <c r="Y482" s="94">
        <f>IF($A482="",0,IF(AE482="직접",IF(AF482="비귀속",$P482,0),$P482*(1-AG482)*IFERROR(INDEX(계정대체기준!$F$20:$F$49,MATCH($N482,계정대체기준!$A$20:$A$49,0)),1)))</f>
        <v/>
      </c>
      <c r="Z482" s="94">
        <f>IF($A482="",0,IF(AE482="직접",IF(AF482="신계약비",$P482,0),$P482*(1-AG482)*IFERROR(INDEX(계정대체기준!$C$20:$C$49,MATCH($N482,계정대체기준!$A$20:$A$49,0)),0)))</f>
        <v/>
      </c>
      <c r="AA482" s="94">
        <f>IF($A482="",0,IF(AE482="직접",IF(OR(AF482="유지비",AF482="손해조사비"),$P482,0),$P482*(1-AG482)*IFERROR(INDEX(계정대체기준!$D$20:$D$49,MATCH($N482,계정대체기준!$A$20:$A$49,0)),0)))</f>
        <v/>
      </c>
      <c r="AB482" s="94">
        <f>IF($A482="",0,IF(AE482="직접",IF(AF482="수금비",$P482,0),$P482*(1-AG482)*IFERROR(INDEX(계정대체기준!$E$20:$E$49,MATCH($N482,계정대체기준!$A$20:$A$49,0)),0)))</f>
        <v/>
      </c>
      <c r="AC482" s="9">
        <f>IF(AND($A482&lt;&gt;"",M482=설정!$C$20,Z482&gt;0),Z482+ROW()/1000000000,"")</f>
        <v/>
      </c>
      <c r="AD482" s="94">
        <f>IF($A482="",0,$P482*AG482)</f>
        <v/>
      </c>
      <c r="AE482" s="64">
        <f>IF($A482="","",IFERROR(INDEX(계정매핑!$E$5:$E$504,MATCH($F482&amp;"",계정매핑!$A$5:$A$504,0))&amp;"","공통비"))</f>
        <v/>
      </c>
      <c r="AF482" s="64">
        <f>IF($A482="","",IF(AE482="직접",IFERROR(INDEX(계정매핑!$F$5:$F$504,MATCH($F482&amp;"",계정매핑!$A$5:$A$504,0))&amp;"","비귀속"),""))</f>
        <v/>
      </c>
      <c r="AG482" s="96">
        <f>IF($A482="",0,IF(AND(AE482&lt;&gt;"직접",IFERROR(INDEX(계정매핑!$G$5:$G$504,MATCH($F482&amp;"",계정매핑!$A$5:$A$504,0))&amp;"","")="유지비",COUNTIF(계정대체기준!$A$6:$A$15,$N482)&gt;0),IFERROR(INDEX(계정대체기준!$E$6:$E$15,MATCH(VALUE($A482&amp;""),계정대체기준!$D$6:$D$15,0)),0),0))</f>
        <v/>
      </c>
      <c r="AH482" s="64">
        <f>IF($A482="","",IF(AD482=0,"",IF(OR(COUNTIF(계정대체기준!$A$77:$A$86,$N482)&gt;0,ISNUMBER(MATCH($X482,계정대체기준!$D$77:$D$86,0)),ISNUMBER(MATCH($F482,계정대체기준!$D$77:$D$86,0))),"Y","N")))</f>
        <v/>
      </c>
    </row>
    <row r="483">
      <c r="A483" s="92" t="n">
        <v>2025</v>
      </c>
      <c r="B483" s="92" t="n">
        <v>3</v>
      </c>
      <c r="C483" s="92" t="inlineStr">
        <is>
          <t>5100000479</t>
        </is>
      </c>
      <c r="D483" s="95" t="n">
        <v>45719</v>
      </c>
      <c r="E483" s="92" t="inlineStr">
        <is>
          <t>KR</t>
        </is>
      </c>
      <c r="F483" s="92" t="n">
        <v>62501000</v>
      </c>
      <c r="G483" s="92" t="n">
        <v>1801</v>
      </c>
      <c r="H483" s="93" t="n">
        <v>127000</v>
      </c>
      <c r="I483" s="92" t="inlineStr">
        <is>
          <t>3월 회의 다과 - T케이터링</t>
        </is>
      </c>
      <c r="J483" s="92" t="inlineStr">
        <is>
          <t>V10005</t>
        </is>
      </c>
      <c r="K483" s="92" t="inlineStr">
        <is>
          <t>T케이터링</t>
        </is>
      </c>
      <c r="M483" s="9">
        <f>IF($A483="","",VALUE($A483&amp;"")*12+VALUE($B483&amp;""))</f>
        <v/>
      </c>
      <c r="N483" s="64">
        <f>IF($A483="","",IFERROR(INDEX(부서매핑!$C$5:$C$504,MATCH($G483&amp;"",부서매핑!$A$5:$A$504,0)),"미매핑"))</f>
        <v/>
      </c>
      <c r="O483" s="9">
        <f>IF($A483="","",N483&amp;"|"&amp;$F483)</f>
        <v/>
      </c>
      <c r="P483" s="94">
        <f>IF($A483="",0,$H483*설정!$C$23)</f>
        <v/>
      </c>
      <c r="Q483" s="64">
        <f>IF($A483="","",IF(O483&lt;&gt;원인분석!$C$9,"",IF(AND(M483&gt;=원인분석!$C$10,M483&lt;=원인분석!$C$11),"당기",IF(AND(M483&gt;=원인분석!$C$12,M483&lt;=원인분석!$C$13),"비교",""))))</f>
        <v/>
      </c>
      <c r="R483" s="9">
        <f>IF(Q483="","",$K483&amp;"")</f>
        <v/>
      </c>
      <c r="S483" s="9">
        <f>IF(Q483="","",IF(MATCH(R483,$R$5:$R$100000,0)=ROW()-4,ROW(),""))</f>
        <v/>
      </c>
      <c r="T483" s="9">
        <f>IF(Q483="당기",ABS(P483)+ROW()/1000000000,"")</f>
        <v/>
      </c>
      <c r="U483" s="9">
        <f>IF(Q483="비교",ABS(P483)+ROW()/1000000000,"")</f>
        <v/>
      </c>
      <c r="V483" s="64">
        <f>IF($A483="","",IF(COUNTIF(변동분석!$E$7:$E$506,O483)&gt;0,"Y","N"))</f>
        <v/>
      </c>
      <c r="W483" s="64">
        <f>IF($A483="","",IFERROR(INDEX(계정매핑!$D$5:$D$504,MATCH($F483&amp;"",계정매핑!$A$5:$A$504,0)),"미매핑"))</f>
        <v/>
      </c>
      <c r="X483" s="9">
        <f>IF($A483="","",$F483&amp;"")</f>
        <v/>
      </c>
      <c r="Y483" s="94">
        <f>IF($A483="",0,IF(AE483="직접",IF(AF483="비귀속",$P483,0),$P483*(1-AG483)*IFERROR(INDEX(계정대체기준!$F$20:$F$49,MATCH($N483,계정대체기준!$A$20:$A$49,0)),1)))</f>
        <v/>
      </c>
      <c r="Z483" s="94">
        <f>IF($A483="",0,IF(AE483="직접",IF(AF483="신계약비",$P483,0),$P483*(1-AG483)*IFERROR(INDEX(계정대체기준!$C$20:$C$49,MATCH($N483,계정대체기준!$A$20:$A$49,0)),0)))</f>
        <v/>
      </c>
      <c r="AA483" s="94">
        <f>IF($A483="",0,IF(AE483="직접",IF(OR(AF483="유지비",AF483="손해조사비"),$P483,0),$P483*(1-AG483)*IFERROR(INDEX(계정대체기준!$D$20:$D$49,MATCH($N483,계정대체기준!$A$20:$A$49,0)),0)))</f>
        <v/>
      </c>
      <c r="AB483" s="94">
        <f>IF($A483="",0,IF(AE483="직접",IF(AF483="수금비",$P483,0),$P483*(1-AG483)*IFERROR(INDEX(계정대체기준!$E$20:$E$49,MATCH($N483,계정대체기준!$A$20:$A$49,0)),0)))</f>
        <v/>
      </c>
      <c r="AC483" s="9">
        <f>IF(AND($A483&lt;&gt;"",M483=설정!$C$20,Z483&gt;0),Z483+ROW()/1000000000,"")</f>
        <v/>
      </c>
      <c r="AD483" s="94">
        <f>IF($A483="",0,$P483*AG483)</f>
        <v/>
      </c>
      <c r="AE483" s="64">
        <f>IF($A483="","",IFERROR(INDEX(계정매핑!$E$5:$E$504,MATCH($F483&amp;"",계정매핑!$A$5:$A$504,0))&amp;"","공통비"))</f>
        <v/>
      </c>
      <c r="AF483" s="64">
        <f>IF($A483="","",IF(AE483="직접",IFERROR(INDEX(계정매핑!$F$5:$F$504,MATCH($F483&amp;"",계정매핑!$A$5:$A$504,0))&amp;"","비귀속"),""))</f>
        <v/>
      </c>
      <c r="AG483" s="96">
        <f>IF($A483="",0,IF(AND(AE483&lt;&gt;"직접",IFERROR(INDEX(계정매핑!$G$5:$G$504,MATCH($F483&amp;"",계정매핑!$A$5:$A$504,0))&amp;"","")="유지비",COUNTIF(계정대체기준!$A$6:$A$15,$N483)&gt;0),IFERROR(INDEX(계정대체기준!$E$6:$E$15,MATCH(VALUE($A483&amp;""),계정대체기준!$D$6:$D$15,0)),0),0))</f>
        <v/>
      </c>
      <c r="AH483" s="64">
        <f>IF($A483="","",IF(AD483=0,"",IF(OR(COUNTIF(계정대체기준!$A$77:$A$86,$N483)&gt;0,ISNUMBER(MATCH($X483,계정대체기준!$D$77:$D$86,0)),ISNUMBER(MATCH($F483,계정대체기준!$D$77:$D$86,0))),"Y","N")))</f>
        <v/>
      </c>
    </row>
    <row r="484">
      <c r="A484" s="92" t="n">
        <v>2025</v>
      </c>
      <c r="B484" s="92" t="n">
        <v>3</v>
      </c>
      <c r="C484" s="92" t="inlineStr">
        <is>
          <t>5100000480</t>
        </is>
      </c>
      <c r="D484" s="95" t="n">
        <v>45719</v>
      </c>
      <c r="E484" s="92" t="inlineStr">
        <is>
          <t>KR</t>
        </is>
      </c>
      <c r="F484" s="92" t="n">
        <v>63601000</v>
      </c>
      <c r="G484" s="92" t="n">
        <v>1801</v>
      </c>
      <c r="H484" s="93" t="n">
        <v>16479000</v>
      </c>
      <c r="I484" s="92" t="inlineStr">
        <is>
          <t>3월 손해사정 수수료 - DD손해사정</t>
        </is>
      </c>
      <c r="J484" s="92" t="inlineStr">
        <is>
          <t>V10032</t>
        </is>
      </c>
      <c r="K484" s="92" t="inlineStr">
        <is>
          <t>DD손해사정</t>
        </is>
      </c>
      <c r="M484" s="9">
        <f>IF($A484="","",VALUE($A484&amp;"")*12+VALUE($B484&amp;""))</f>
        <v/>
      </c>
      <c r="N484" s="64">
        <f>IF($A484="","",IFERROR(INDEX(부서매핑!$C$5:$C$504,MATCH($G484&amp;"",부서매핑!$A$5:$A$504,0)),"미매핑"))</f>
        <v/>
      </c>
      <c r="O484" s="9">
        <f>IF($A484="","",N484&amp;"|"&amp;$F484)</f>
        <v/>
      </c>
      <c r="P484" s="94">
        <f>IF($A484="",0,$H484*설정!$C$23)</f>
        <v/>
      </c>
      <c r="Q484" s="64">
        <f>IF($A484="","",IF(O484&lt;&gt;원인분석!$C$9,"",IF(AND(M484&gt;=원인분석!$C$10,M484&lt;=원인분석!$C$11),"당기",IF(AND(M484&gt;=원인분석!$C$12,M484&lt;=원인분석!$C$13),"비교",""))))</f>
        <v/>
      </c>
      <c r="R484" s="9">
        <f>IF(Q484="","",$K484&amp;"")</f>
        <v/>
      </c>
      <c r="S484" s="9">
        <f>IF(Q484="","",IF(MATCH(R484,$R$5:$R$100000,0)=ROW()-4,ROW(),""))</f>
        <v/>
      </c>
      <c r="T484" s="9">
        <f>IF(Q484="당기",ABS(P484)+ROW()/1000000000,"")</f>
        <v/>
      </c>
      <c r="U484" s="9">
        <f>IF(Q484="비교",ABS(P484)+ROW()/1000000000,"")</f>
        <v/>
      </c>
      <c r="V484" s="64">
        <f>IF($A484="","",IF(COUNTIF(변동분석!$E$7:$E$506,O484)&gt;0,"Y","N"))</f>
        <v/>
      </c>
      <c r="W484" s="64">
        <f>IF($A484="","",IFERROR(INDEX(계정매핑!$D$5:$D$504,MATCH($F484&amp;"",계정매핑!$A$5:$A$504,0)),"미매핑"))</f>
        <v/>
      </c>
      <c r="X484" s="9">
        <f>IF($A484="","",$F484&amp;"")</f>
        <v/>
      </c>
      <c r="Y484" s="94">
        <f>IF($A484="",0,IF(AE484="직접",IF(AF484="비귀속",$P484,0),$P484*(1-AG484)*IFERROR(INDEX(계정대체기준!$F$20:$F$49,MATCH($N484,계정대체기준!$A$20:$A$49,0)),1)))</f>
        <v/>
      </c>
      <c r="Z484" s="94">
        <f>IF($A484="",0,IF(AE484="직접",IF(AF484="신계약비",$P484,0),$P484*(1-AG484)*IFERROR(INDEX(계정대체기준!$C$20:$C$49,MATCH($N484,계정대체기준!$A$20:$A$49,0)),0)))</f>
        <v/>
      </c>
      <c r="AA484" s="94">
        <f>IF($A484="",0,IF(AE484="직접",IF(OR(AF484="유지비",AF484="손해조사비"),$P484,0),$P484*(1-AG484)*IFERROR(INDEX(계정대체기준!$D$20:$D$49,MATCH($N484,계정대체기준!$A$20:$A$49,0)),0)))</f>
        <v/>
      </c>
      <c r="AB484" s="94">
        <f>IF($A484="",0,IF(AE484="직접",IF(AF484="수금비",$P484,0),$P484*(1-AG484)*IFERROR(INDEX(계정대체기준!$E$20:$E$49,MATCH($N484,계정대체기준!$A$20:$A$49,0)),0)))</f>
        <v/>
      </c>
      <c r="AC484" s="9">
        <f>IF(AND($A484&lt;&gt;"",M484=설정!$C$20,Z484&gt;0),Z484+ROW()/1000000000,"")</f>
        <v/>
      </c>
      <c r="AD484" s="94">
        <f>IF($A484="",0,$P484*AG484)</f>
        <v/>
      </c>
      <c r="AE484" s="64">
        <f>IF($A484="","",IFERROR(INDEX(계정매핑!$E$5:$E$504,MATCH($F484&amp;"",계정매핑!$A$5:$A$504,0))&amp;"","공통비"))</f>
        <v/>
      </c>
      <c r="AF484" s="64">
        <f>IF($A484="","",IF(AE484="직접",IFERROR(INDEX(계정매핑!$F$5:$F$504,MATCH($F484&amp;"",계정매핑!$A$5:$A$504,0))&amp;"","비귀속"),""))</f>
        <v/>
      </c>
      <c r="AG484" s="96">
        <f>IF($A484="",0,IF(AND(AE484&lt;&gt;"직접",IFERROR(INDEX(계정매핑!$G$5:$G$504,MATCH($F484&amp;"",계정매핑!$A$5:$A$504,0))&amp;"","")="유지비",COUNTIF(계정대체기준!$A$6:$A$15,$N484)&gt;0),IFERROR(INDEX(계정대체기준!$E$6:$E$15,MATCH(VALUE($A484&amp;""),계정대체기준!$D$6:$D$15,0)),0),0))</f>
        <v/>
      </c>
      <c r="AH484" s="64">
        <f>IF($A484="","",IF(AD484=0,"",IF(OR(COUNTIF(계정대체기준!$A$77:$A$86,$N484)&gt;0,ISNUMBER(MATCH($X484,계정대체기준!$D$77:$D$86,0)),ISNUMBER(MATCH($F484,계정대체기준!$D$77:$D$86,0))),"Y","N")))</f>
        <v/>
      </c>
    </row>
    <row r="485">
      <c r="A485" s="92" t="n">
        <v>2025</v>
      </c>
      <c r="B485" s="92" t="n">
        <v>3</v>
      </c>
      <c r="C485" s="92" t="inlineStr">
        <is>
          <t>5100000481</t>
        </is>
      </c>
      <c r="D485" s="95" t="n">
        <v>45720</v>
      </c>
      <c r="E485" s="92" t="inlineStr">
        <is>
          <t>KR</t>
        </is>
      </c>
      <c r="F485" s="92" t="n">
        <v>62101000</v>
      </c>
      <c r="G485" s="92" t="n">
        <v>1101</v>
      </c>
      <c r="H485" s="93" t="n">
        <v>477000</v>
      </c>
      <c r="I485" s="92" t="inlineStr">
        <is>
          <t>3월 국내출장 - L여행사</t>
        </is>
      </c>
      <c r="J485" s="92" t="inlineStr">
        <is>
          <t>V10018</t>
        </is>
      </c>
      <c r="K485" s="92" t="inlineStr">
        <is>
          <t>L여행사</t>
        </is>
      </c>
      <c r="M485" s="9">
        <f>IF($A485="","",VALUE($A485&amp;"")*12+VALUE($B485&amp;""))</f>
        <v/>
      </c>
      <c r="N485" s="64">
        <f>IF($A485="","",IFERROR(INDEX(부서매핑!$C$5:$C$504,MATCH($G485&amp;"",부서매핑!$A$5:$A$504,0)),"미매핑"))</f>
        <v/>
      </c>
      <c r="O485" s="9">
        <f>IF($A485="","",N485&amp;"|"&amp;$F485)</f>
        <v/>
      </c>
      <c r="P485" s="94">
        <f>IF($A485="",0,$H485*설정!$C$23)</f>
        <v/>
      </c>
      <c r="Q485" s="64">
        <f>IF($A485="","",IF(O485&lt;&gt;원인분석!$C$9,"",IF(AND(M485&gt;=원인분석!$C$10,M485&lt;=원인분석!$C$11),"당기",IF(AND(M485&gt;=원인분석!$C$12,M485&lt;=원인분석!$C$13),"비교",""))))</f>
        <v/>
      </c>
      <c r="R485" s="9">
        <f>IF(Q485="","",$K485&amp;"")</f>
        <v/>
      </c>
      <c r="S485" s="9">
        <f>IF(Q485="","",IF(MATCH(R485,$R$5:$R$100000,0)=ROW()-4,ROW(),""))</f>
        <v/>
      </c>
      <c r="T485" s="9">
        <f>IF(Q485="당기",ABS(P485)+ROW()/1000000000,"")</f>
        <v/>
      </c>
      <c r="U485" s="9">
        <f>IF(Q485="비교",ABS(P485)+ROW()/1000000000,"")</f>
        <v/>
      </c>
      <c r="V485" s="64">
        <f>IF($A485="","",IF(COUNTIF(변동분석!$E$7:$E$506,O485)&gt;0,"Y","N"))</f>
        <v/>
      </c>
      <c r="W485" s="64">
        <f>IF($A485="","",IFERROR(INDEX(계정매핑!$D$5:$D$504,MATCH($F485&amp;"",계정매핑!$A$5:$A$504,0)),"미매핑"))</f>
        <v/>
      </c>
      <c r="X485" s="9">
        <f>IF($A485="","",$F485&amp;"")</f>
        <v/>
      </c>
      <c r="Y485" s="94">
        <f>IF($A485="",0,IF(AE485="직접",IF(AF485="비귀속",$P485,0),$P485*(1-AG485)*IFERROR(INDEX(계정대체기준!$F$20:$F$49,MATCH($N485,계정대체기준!$A$20:$A$49,0)),1)))</f>
        <v/>
      </c>
      <c r="Z485" s="94">
        <f>IF($A485="",0,IF(AE485="직접",IF(AF485="신계약비",$P485,0),$P485*(1-AG485)*IFERROR(INDEX(계정대체기준!$C$20:$C$49,MATCH($N485,계정대체기준!$A$20:$A$49,0)),0)))</f>
        <v/>
      </c>
      <c r="AA485" s="94">
        <f>IF($A485="",0,IF(AE485="직접",IF(OR(AF485="유지비",AF485="손해조사비"),$P485,0),$P485*(1-AG485)*IFERROR(INDEX(계정대체기준!$D$20:$D$49,MATCH($N485,계정대체기준!$A$20:$A$49,0)),0)))</f>
        <v/>
      </c>
      <c r="AB485" s="94">
        <f>IF($A485="",0,IF(AE485="직접",IF(AF485="수금비",$P485,0),$P485*(1-AG485)*IFERROR(INDEX(계정대체기준!$E$20:$E$49,MATCH($N485,계정대체기준!$A$20:$A$49,0)),0)))</f>
        <v/>
      </c>
      <c r="AC485" s="9">
        <f>IF(AND($A485&lt;&gt;"",M485=설정!$C$20,Z485&gt;0),Z485+ROW()/1000000000,"")</f>
        <v/>
      </c>
      <c r="AD485" s="94">
        <f>IF($A485="",0,$P485*AG485)</f>
        <v/>
      </c>
      <c r="AE485" s="64">
        <f>IF($A485="","",IFERROR(INDEX(계정매핑!$E$5:$E$504,MATCH($F485&amp;"",계정매핑!$A$5:$A$504,0))&amp;"","공통비"))</f>
        <v/>
      </c>
      <c r="AF485" s="64">
        <f>IF($A485="","",IF(AE485="직접",IFERROR(INDEX(계정매핑!$F$5:$F$504,MATCH($F485&amp;"",계정매핑!$A$5:$A$504,0))&amp;"","비귀속"),""))</f>
        <v/>
      </c>
      <c r="AG485" s="96">
        <f>IF($A485="",0,IF(AND(AE485&lt;&gt;"직접",IFERROR(INDEX(계정매핑!$G$5:$G$504,MATCH($F485&amp;"",계정매핑!$A$5:$A$504,0))&amp;"","")="유지비",COUNTIF(계정대체기준!$A$6:$A$15,$N485)&gt;0),IFERROR(INDEX(계정대체기준!$E$6:$E$15,MATCH(VALUE($A485&amp;""),계정대체기준!$D$6:$D$15,0)),0),0))</f>
        <v/>
      </c>
      <c r="AH485" s="64">
        <f>IF($A485="","",IF(AD485=0,"",IF(OR(COUNTIF(계정대체기준!$A$77:$A$86,$N485)&gt;0,ISNUMBER(MATCH($X485,계정대체기준!$D$77:$D$86,0)),ISNUMBER(MATCH($F485,계정대체기준!$D$77:$D$86,0))),"Y","N")))</f>
        <v/>
      </c>
    </row>
    <row r="486">
      <c r="A486" s="92" t="n">
        <v>2025</v>
      </c>
      <c r="B486" s="92" t="n">
        <v>3</v>
      </c>
      <c r="C486" s="92" t="inlineStr">
        <is>
          <t>5100000482</t>
        </is>
      </c>
      <c r="D486" s="95" t="n">
        <v>45720</v>
      </c>
      <c r="E486" s="92" t="inlineStr">
        <is>
          <t>KR</t>
        </is>
      </c>
      <c r="F486" s="92" t="n">
        <v>62101000</v>
      </c>
      <c r="G486" s="92" t="n">
        <v>1101</v>
      </c>
      <c r="H486" s="93" t="n">
        <v>689000</v>
      </c>
      <c r="I486" s="92" t="inlineStr">
        <is>
          <t>3월 국내출장 - (법인카드)</t>
        </is>
      </c>
      <c r="J486" s="92" t="inlineStr">
        <is>
          <t>V10010</t>
        </is>
      </c>
      <c r="K486" s="92" t="inlineStr">
        <is>
          <t>(법인카드)</t>
        </is>
      </c>
      <c r="M486" s="9">
        <f>IF($A486="","",VALUE($A486&amp;"")*12+VALUE($B486&amp;""))</f>
        <v/>
      </c>
      <c r="N486" s="64">
        <f>IF($A486="","",IFERROR(INDEX(부서매핑!$C$5:$C$504,MATCH($G486&amp;"",부서매핑!$A$5:$A$504,0)),"미매핑"))</f>
        <v/>
      </c>
      <c r="O486" s="9">
        <f>IF($A486="","",N486&amp;"|"&amp;$F486)</f>
        <v/>
      </c>
      <c r="P486" s="94">
        <f>IF($A486="",0,$H486*설정!$C$23)</f>
        <v/>
      </c>
      <c r="Q486" s="64">
        <f>IF($A486="","",IF(O486&lt;&gt;원인분석!$C$9,"",IF(AND(M486&gt;=원인분석!$C$10,M486&lt;=원인분석!$C$11),"당기",IF(AND(M486&gt;=원인분석!$C$12,M486&lt;=원인분석!$C$13),"비교",""))))</f>
        <v/>
      </c>
      <c r="R486" s="9">
        <f>IF(Q486="","",$K486&amp;"")</f>
        <v/>
      </c>
      <c r="S486" s="9">
        <f>IF(Q486="","",IF(MATCH(R486,$R$5:$R$100000,0)=ROW()-4,ROW(),""))</f>
        <v/>
      </c>
      <c r="T486" s="9">
        <f>IF(Q486="당기",ABS(P486)+ROW()/1000000000,"")</f>
        <v/>
      </c>
      <c r="U486" s="9">
        <f>IF(Q486="비교",ABS(P486)+ROW()/1000000000,"")</f>
        <v/>
      </c>
      <c r="V486" s="64">
        <f>IF($A486="","",IF(COUNTIF(변동분석!$E$7:$E$506,O486)&gt;0,"Y","N"))</f>
        <v/>
      </c>
      <c r="W486" s="64">
        <f>IF($A486="","",IFERROR(INDEX(계정매핑!$D$5:$D$504,MATCH($F486&amp;"",계정매핑!$A$5:$A$504,0)),"미매핑"))</f>
        <v/>
      </c>
      <c r="X486" s="9">
        <f>IF($A486="","",$F486&amp;"")</f>
        <v/>
      </c>
      <c r="Y486" s="94">
        <f>IF($A486="",0,IF(AE486="직접",IF(AF486="비귀속",$P486,0),$P486*(1-AG486)*IFERROR(INDEX(계정대체기준!$F$20:$F$49,MATCH($N486,계정대체기준!$A$20:$A$49,0)),1)))</f>
        <v/>
      </c>
      <c r="Z486" s="94">
        <f>IF($A486="",0,IF(AE486="직접",IF(AF486="신계약비",$P486,0),$P486*(1-AG486)*IFERROR(INDEX(계정대체기준!$C$20:$C$49,MATCH($N486,계정대체기준!$A$20:$A$49,0)),0)))</f>
        <v/>
      </c>
      <c r="AA486" s="94">
        <f>IF($A486="",0,IF(AE486="직접",IF(OR(AF486="유지비",AF486="손해조사비"),$P486,0),$P486*(1-AG486)*IFERROR(INDEX(계정대체기준!$D$20:$D$49,MATCH($N486,계정대체기준!$A$20:$A$49,0)),0)))</f>
        <v/>
      </c>
      <c r="AB486" s="94">
        <f>IF($A486="",0,IF(AE486="직접",IF(AF486="수금비",$P486,0),$P486*(1-AG486)*IFERROR(INDEX(계정대체기준!$E$20:$E$49,MATCH($N486,계정대체기준!$A$20:$A$49,0)),0)))</f>
        <v/>
      </c>
      <c r="AC486" s="9">
        <f>IF(AND($A486&lt;&gt;"",M486=설정!$C$20,Z486&gt;0),Z486+ROW()/1000000000,"")</f>
        <v/>
      </c>
      <c r="AD486" s="94">
        <f>IF($A486="",0,$P486*AG486)</f>
        <v/>
      </c>
      <c r="AE486" s="64">
        <f>IF($A486="","",IFERROR(INDEX(계정매핑!$E$5:$E$504,MATCH($F486&amp;"",계정매핑!$A$5:$A$504,0))&amp;"","공통비"))</f>
        <v/>
      </c>
      <c r="AF486" s="64">
        <f>IF($A486="","",IF(AE486="직접",IFERROR(INDEX(계정매핑!$F$5:$F$504,MATCH($F486&amp;"",계정매핑!$A$5:$A$504,0))&amp;"","비귀속"),""))</f>
        <v/>
      </c>
      <c r="AG486" s="96">
        <f>IF($A486="",0,IF(AND(AE486&lt;&gt;"직접",IFERROR(INDEX(계정매핑!$G$5:$G$504,MATCH($F486&amp;"",계정매핑!$A$5:$A$504,0))&amp;"","")="유지비",COUNTIF(계정대체기준!$A$6:$A$15,$N486)&gt;0),IFERROR(INDEX(계정대체기준!$E$6:$E$15,MATCH(VALUE($A486&amp;""),계정대체기준!$D$6:$D$15,0)),0),0))</f>
        <v/>
      </c>
      <c r="AH486" s="64">
        <f>IF($A486="","",IF(AD486=0,"",IF(OR(COUNTIF(계정대체기준!$A$77:$A$86,$N486)&gt;0,ISNUMBER(MATCH($X486,계정대체기준!$D$77:$D$86,0)),ISNUMBER(MATCH($F486,계정대체기준!$D$77:$D$86,0))),"Y","N")))</f>
        <v/>
      </c>
    </row>
    <row r="487">
      <c r="A487" s="92" t="n">
        <v>2025</v>
      </c>
      <c r="B487" s="92" t="n">
        <v>3</v>
      </c>
      <c r="C487" s="92" t="inlineStr">
        <is>
          <t>5100000483</t>
        </is>
      </c>
      <c r="D487" s="95" t="n">
        <v>45720</v>
      </c>
      <c r="E487" s="92" t="inlineStr">
        <is>
          <t>KR</t>
        </is>
      </c>
      <c r="F487" s="92" t="n">
        <v>62101000</v>
      </c>
      <c r="G487" s="92" t="n">
        <v>1801</v>
      </c>
      <c r="H487" s="93" t="n">
        <v>231000</v>
      </c>
      <c r="I487" s="92" t="inlineStr">
        <is>
          <t>3월 국내출장 - L여행사</t>
        </is>
      </c>
      <c r="J487" s="92" t="inlineStr">
        <is>
          <t>V10018</t>
        </is>
      </c>
      <c r="K487" s="92" t="inlineStr">
        <is>
          <t>L여행사</t>
        </is>
      </c>
      <c r="M487" s="9">
        <f>IF($A487="","",VALUE($A487&amp;"")*12+VALUE($B487&amp;""))</f>
        <v/>
      </c>
      <c r="N487" s="64">
        <f>IF($A487="","",IFERROR(INDEX(부서매핑!$C$5:$C$504,MATCH($G487&amp;"",부서매핑!$A$5:$A$504,0)),"미매핑"))</f>
        <v/>
      </c>
      <c r="O487" s="9">
        <f>IF($A487="","",N487&amp;"|"&amp;$F487)</f>
        <v/>
      </c>
      <c r="P487" s="94">
        <f>IF($A487="",0,$H487*설정!$C$23)</f>
        <v/>
      </c>
      <c r="Q487" s="64">
        <f>IF($A487="","",IF(O487&lt;&gt;원인분석!$C$9,"",IF(AND(M487&gt;=원인분석!$C$10,M487&lt;=원인분석!$C$11),"당기",IF(AND(M487&gt;=원인분석!$C$12,M487&lt;=원인분석!$C$13),"비교",""))))</f>
        <v/>
      </c>
      <c r="R487" s="9">
        <f>IF(Q487="","",$K487&amp;"")</f>
        <v/>
      </c>
      <c r="S487" s="9">
        <f>IF(Q487="","",IF(MATCH(R487,$R$5:$R$100000,0)=ROW()-4,ROW(),""))</f>
        <v/>
      </c>
      <c r="T487" s="9">
        <f>IF(Q487="당기",ABS(P487)+ROW()/1000000000,"")</f>
        <v/>
      </c>
      <c r="U487" s="9">
        <f>IF(Q487="비교",ABS(P487)+ROW()/1000000000,"")</f>
        <v/>
      </c>
      <c r="V487" s="64">
        <f>IF($A487="","",IF(COUNTIF(변동분석!$E$7:$E$506,O487)&gt;0,"Y","N"))</f>
        <v/>
      </c>
      <c r="W487" s="64">
        <f>IF($A487="","",IFERROR(INDEX(계정매핑!$D$5:$D$504,MATCH($F487&amp;"",계정매핑!$A$5:$A$504,0)),"미매핑"))</f>
        <v/>
      </c>
      <c r="X487" s="9">
        <f>IF($A487="","",$F487&amp;"")</f>
        <v/>
      </c>
      <c r="Y487" s="94">
        <f>IF($A487="",0,IF(AE487="직접",IF(AF487="비귀속",$P487,0),$P487*(1-AG487)*IFERROR(INDEX(계정대체기준!$F$20:$F$49,MATCH($N487,계정대체기준!$A$20:$A$49,0)),1)))</f>
        <v/>
      </c>
      <c r="Z487" s="94">
        <f>IF($A487="",0,IF(AE487="직접",IF(AF487="신계약비",$P487,0),$P487*(1-AG487)*IFERROR(INDEX(계정대체기준!$C$20:$C$49,MATCH($N487,계정대체기준!$A$20:$A$49,0)),0)))</f>
        <v/>
      </c>
      <c r="AA487" s="94">
        <f>IF($A487="",0,IF(AE487="직접",IF(OR(AF487="유지비",AF487="손해조사비"),$P487,0),$P487*(1-AG487)*IFERROR(INDEX(계정대체기준!$D$20:$D$49,MATCH($N487,계정대체기준!$A$20:$A$49,0)),0)))</f>
        <v/>
      </c>
      <c r="AB487" s="94">
        <f>IF($A487="",0,IF(AE487="직접",IF(AF487="수금비",$P487,0),$P487*(1-AG487)*IFERROR(INDEX(계정대체기준!$E$20:$E$49,MATCH($N487,계정대체기준!$A$20:$A$49,0)),0)))</f>
        <v/>
      </c>
      <c r="AC487" s="9">
        <f>IF(AND($A487&lt;&gt;"",M487=설정!$C$20,Z487&gt;0),Z487+ROW()/1000000000,"")</f>
        <v/>
      </c>
      <c r="AD487" s="94">
        <f>IF($A487="",0,$P487*AG487)</f>
        <v/>
      </c>
      <c r="AE487" s="64">
        <f>IF($A487="","",IFERROR(INDEX(계정매핑!$E$5:$E$504,MATCH($F487&amp;"",계정매핑!$A$5:$A$504,0))&amp;"","공통비"))</f>
        <v/>
      </c>
      <c r="AF487" s="64">
        <f>IF($A487="","",IF(AE487="직접",IFERROR(INDEX(계정매핑!$F$5:$F$504,MATCH($F487&amp;"",계정매핑!$A$5:$A$504,0))&amp;"","비귀속"),""))</f>
        <v/>
      </c>
      <c r="AG487" s="96">
        <f>IF($A487="",0,IF(AND(AE487&lt;&gt;"직접",IFERROR(INDEX(계정매핑!$G$5:$G$504,MATCH($F487&amp;"",계정매핑!$A$5:$A$504,0))&amp;"","")="유지비",COUNTIF(계정대체기준!$A$6:$A$15,$N487)&gt;0),IFERROR(INDEX(계정대체기준!$E$6:$E$15,MATCH(VALUE($A487&amp;""),계정대체기준!$D$6:$D$15,0)),0),0))</f>
        <v/>
      </c>
      <c r="AH487" s="64">
        <f>IF($A487="","",IF(AD487=0,"",IF(OR(COUNTIF(계정대체기준!$A$77:$A$86,$N487)&gt;0,ISNUMBER(MATCH($X487,계정대체기준!$D$77:$D$86,0)),ISNUMBER(MATCH($F487,계정대체기준!$D$77:$D$86,0))),"Y","N")))</f>
        <v/>
      </c>
    </row>
    <row r="488">
      <c r="A488" s="92" t="n">
        <v>2025</v>
      </c>
      <c r="B488" s="92" t="n">
        <v>3</v>
      </c>
      <c r="C488" s="92" t="inlineStr">
        <is>
          <t>5100000484</t>
        </is>
      </c>
      <c r="D488" s="95" t="n">
        <v>45720</v>
      </c>
      <c r="E488" s="92" t="inlineStr">
        <is>
          <t>KR</t>
        </is>
      </c>
      <c r="F488" s="92" t="n">
        <v>62102000</v>
      </c>
      <c r="G488" s="92" t="n">
        <v>1801</v>
      </c>
      <c r="H488" s="93" t="n">
        <v>37000</v>
      </c>
      <c r="I488" s="92" t="inlineStr">
        <is>
          <t>3월 해외출장 - N호텔</t>
        </is>
      </c>
      <c r="J488" s="92" t="inlineStr">
        <is>
          <t>V10009</t>
        </is>
      </c>
      <c r="K488" s="92" t="inlineStr">
        <is>
          <t>N호텔</t>
        </is>
      </c>
      <c r="M488" s="9">
        <f>IF($A488="","",VALUE($A488&amp;"")*12+VALUE($B488&amp;""))</f>
        <v/>
      </c>
      <c r="N488" s="64">
        <f>IF($A488="","",IFERROR(INDEX(부서매핑!$C$5:$C$504,MATCH($G488&amp;"",부서매핑!$A$5:$A$504,0)),"미매핑"))</f>
        <v/>
      </c>
      <c r="O488" s="9">
        <f>IF($A488="","",N488&amp;"|"&amp;$F488)</f>
        <v/>
      </c>
      <c r="P488" s="94">
        <f>IF($A488="",0,$H488*설정!$C$23)</f>
        <v/>
      </c>
      <c r="Q488" s="64">
        <f>IF($A488="","",IF(O488&lt;&gt;원인분석!$C$9,"",IF(AND(M488&gt;=원인분석!$C$10,M488&lt;=원인분석!$C$11),"당기",IF(AND(M488&gt;=원인분석!$C$12,M488&lt;=원인분석!$C$13),"비교",""))))</f>
        <v/>
      </c>
      <c r="R488" s="9">
        <f>IF(Q488="","",$K488&amp;"")</f>
        <v/>
      </c>
      <c r="S488" s="9">
        <f>IF(Q488="","",IF(MATCH(R488,$R$5:$R$100000,0)=ROW()-4,ROW(),""))</f>
        <v/>
      </c>
      <c r="T488" s="9">
        <f>IF(Q488="당기",ABS(P488)+ROW()/1000000000,"")</f>
        <v/>
      </c>
      <c r="U488" s="9">
        <f>IF(Q488="비교",ABS(P488)+ROW()/1000000000,"")</f>
        <v/>
      </c>
      <c r="V488" s="64">
        <f>IF($A488="","",IF(COUNTIF(변동분석!$E$7:$E$506,O488)&gt;0,"Y","N"))</f>
        <v/>
      </c>
      <c r="W488" s="64">
        <f>IF($A488="","",IFERROR(INDEX(계정매핑!$D$5:$D$504,MATCH($F488&amp;"",계정매핑!$A$5:$A$504,0)),"미매핑"))</f>
        <v/>
      </c>
      <c r="X488" s="9">
        <f>IF($A488="","",$F488&amp;"")</f>
        <v/>
      </c>
      <c r="Y488" s="94">
        <f>IF($A488="",0,IF(AE488="직접",IF(AF488="비귀속",$P488,0),$P488*(1-AG488)*IFERROR(INDEX(계정대체기준!$F$20:$F$49,MATCH($N488,계정대체기준!$A$20:$A$49,0)),1)))</f>
        <v/>
      </c>
      <c r="Z488" s="94">
        <f>IF($A488="",0,IF(AE488="직접",IF(AF488="신계약비",$P488,0),$P488*(1-AG488)*IFERROR(INDEX(계정대체기준!$C$20:$C$49,MATCH($N488,계정대체기준!$A$20:$A$49,0)),0)))</f>
        <v/>
      </c>
      <c r="AA488" s="94">
        <f>IF($A488="",0,IF(AE488="직접",IF(OR(AF488="유지비",AF488="손해조사비"),$P488,0),$P488*(1-AG488)*IFERROR(INDEX(계정대체기준!$D$20:$D$49,MATCH($N488,계정대체기준!$A$20:$A$49,0)),0)))</f>
        <v/>
      </c>
      <c r="AB488" s="94">
        <f>IF($A488="",0,IF(AE488="직접",IF(AF488="수금비",$P488,0),$P488*(1-AG488)*IFERROR(INDEX(계정대체기준!$E$20:$E$49,MATCH($N488,계정대체기준!$A$20:$A$49,0)),0)))</f>
        <v/>
      </c>
      <c r="AC488" s="9">
        <f>IF(AND($A488&lt;&gt;"",M488=설정!$C$20,Z488&gt;0),Z488+ROW()/1000000000,"")</f>
        <v/>
      </c>
      <c r="AD488" s="94">
        <f>IF($A488="",0,$P488*AG488)</f>
        <v/>
      </c>
      <c r="AE488" s="64">
        <f>IF($A488="","",IFERROR(INDEX(계정매핑!$E$5:$E$504,MATCH($F488&amp;"",계정매핑!$A$5:$A$504,0))&amp;"","공통비"))</f>
        <v/>
      </c>
      <c r="AF488" s="64">
        <f>IF($A488="","",IF(AE488="직접",IFERROR(INDEX(계정매핑!$F$5:$F$504,MATCH($F488&amp;"",계정매핑!$A$5:$A$504,0))&amp;"","비귀속"),""))</f>
        <v/>
      </c>
      <c r="AG488" s="96">
        <f>IF($A488="",0,IF(AND(AE488&lt;&gt;"직접",IFERROR(INDEX(계정매핑!$G$5:$G$504,MATCH($F488&amp;"",계정매핑!$A$5:$A$504,0))&amp;"","")="유지비",COUNTIF(계정대체기준!$A$6:$A$15,$N488)&gt;0),IFERROR(INDEX(계정대체기준!$E$6:$E$15,MATCH(VALUE($A488&amp;""),계정대체기준!$D$6:$D$15,0)),0),0))</f>
        <v/>
      </c>
      <c r="AH488" s="64">
        <f>IF($A488="","",IF(AD488=0,"",IF(OR(COUNTIF(계정대체기준!$A$77:$A$86,$N488)&gt;0,ISNUMBER(MATCH($X488,계정대체기준!$D$77:$D$86,0)),ISNUMBER(MATCH($F488,계정대체기준!$D$77:$D$86,0))),"Y","N")))</f>
        <v/>
      </c>
    </row>
    <row r="489">
      <c r="A489" s="92" t="n">
        <v>2025</v>
      </c>
      <c r="B489" s="92" t="n">
        <v>3</v>
      </c>
      <c r="C489" s="92" t="inlineStr">
        <is>
          <t>5100000485</t>
        </is>
      </c>
      <c r="D489" s="95" t="n">
        <v>45720</v>
      </c>
      <c r="E489" s="92" t="inlineStr">
        <is>
          <t>KR</t>
        </is>
      </c>
      <c r="F489" s="92" t="n">
        <v>62401000</v>
      </c>
      <c r="G489" s="92" t="n">
        <v>1801</v>
      </c>
      <c r="H489" s="93" t="n">
        <v>1662000</v>
      </c>
      <c r="I489" s="92" t="inlineStr">
        <is>
          <t>3월 인쇄물 제작 - G인쇄</t>
        </is>
      </c>
      <c r="J489" s="92" t="inlineStr">
        <is>
          <t>V10004</t>
        </is>
      </c>
      <c r="K489" s="92" t="inlineStr">
        <is>
          <t>G인쇄</t>
        </is>
      </c>
      <c r="M489" s="9">
        <f>IF($A489="","",VALUE($A489&amp;"")*12+VALUE($B489&amp;""))</f>
        <v/>
      </c>
      <c r="N489" s="64">
        <f>IF($A489="","",IFERROR(INDEX(부서매핑!$C$5:$C$504,MATCH($G489&amp;"",부서매핑!$A$5:$A$504,0)),"미매핑"))</f>
        <v/>
      </c>
      <c r="O489" s="9">
        <f>IF($A489="","",N489&amp;"|"&amp;$F489)</f>
        <v/>
      </c>
      <c r="P489" s="94">
        <f>IF($A489="",0,$H489*설정!$C$23)</f>
        <v/>
      </c>
      <c r="Q489" s="64">
        <f>IF($A489="","",IF(O489&lt;&gt;원인분석!$C$9,"",IF(AND(M489&gt;=원인분석!$C$10,M489&lt;=원인분석!$C$11),"당기",IF(AND(M489&gt;=원인분석!$C$12,M489&lt;=원인분석!$C$13),"비교",""))))</f>
        <v/>
      </c>
      <c r="R489" s="9">
        <f>IF(Q489="","",$K489&amp;"")</f>
        <v/>
      </c>
      <c r="S489" s="9">
        <f>IF(Q489="","",IF(MATCH(R489,$R$5:$R$100000,0)=ROW()-4,ROW(),""))</f>
        <v/>
      </c>
      <c r="T489" s="9">
        <f>IF(Q489="당기",ABS(P489)+ROW()/1000000000,"")</f>
        <v/>
      </c>
      <c r="U489" s="9">
        <f>IF(Q489="비교",ABS(P489)+ROW()/1000000000,"")</f>
        <v/>
      </c>
      <c r="V489" s="64">
        <f>IF($A489="","",IF(COUNTIF(변동분석!$E$7:$E$506,O489)&gt;0,"Y","N"))</f>
        <v/>
      </c>
      <c r="W489" s="64">
        <f>IF($A489="","",IFERROR(INDEX(계정매핑!$D$5:$D$504,MATCH($F489&amp;"",계정매핑!$A$5:$A$504,0)),"미매핑"))</f>
        <v/>
      </c>
      <c r="X489" s="9">
        <f>IF($A489="","",$F489&amp;"")</f>
        <v/>
      </c>
      <c r="Y489" s="94">
        <f>IF($A489="",0,IF(AE489="직접",IF(AF489="비귀속",$P489,0),$P489*(1-AG489)*IFERROR(INDEX(계정대체기준!$F$20:$F$49,MATCH($N489,계정대체기준!$A$20:$A$49,0)),1)))</f>
        <v/>
      </c>
      <c r="Z489" s="94">
        <f>IF($A489="",0,IF(AE489="직접",IF(AF489="신계약비",$P489,0),$P489*(1-AG489)*IFERROR(INDEX(계정대체기준!$C$20:$C$49,MATCH($N489,계정대체기준!$A$20:$A$49,0)),0)))</f>
        <v/>
      </c>
      <c r="AA489" s="94">
        <f>IF($A489="",0,IF(AE489="직접",IF(OR(AF489="유지비",AF489="손해조사비"),$P489,0),$P489*(1-AG489)*IFERROR(INDEX(계정대체기준!$D$20:$D$49,MATCH($N489,계정대체기준!$A$20:$A$49,0)),0)))</f>
        <v/>
      </c>
      <c r="AB489" s="94">
        <f>IF($A489="",0,IF(AE489="직접",IF(AF489="수금비",$P489,0),$P489*(1-AG489)*IFERROR(INDEX(계정대체기준!$E$20:$E$49,MATCH($N489,계정대체기준!$A$20:$A$49,0)),0)))</f>
        <v/>
      </c>
      <c r="AC489" s="9">
        <f>IF(AND($A489&lt;&gt;"",M489=설정!$C$20,Z489&gt;0),Z489+ROW()/1000000000,"")</f>
        <v/>
      </c>
      <c r="AD489" s="94">
        <f>IF($A489="",0,$P489*AG489)</f>
        <v/>
      </c>
      <c r="AE489" s="64">
        <f>IF($A489="","",IFERROR(INDEX(계정매핑!$E$5:$E$504,MATCH($F489&amp;"",계정매핑!$A$5:$A$504,0))&amp;"","공통비"))</f>
        <v/>
      </c>
      <c r="AF489" s="64">
        <f>IF($A489="","",IF(AE489="직접",IFERROR(INDEX(계정매핑!$F$5:$F$504,MATCH($F489&amp;"",계정매핑!$A$5:$A$504,0))&amp;"","비귀속"),""))</f>
        <v/>
      </c>
      <c r="AG489" s="96">
        <f>IF($A489="",0,IF(AND(AE489&lt;&gt;"직접",IFERROR(INDEX(계정매핑!$G$5:$G$504,MATCH($F489&amp;"",계정매핑!$A$5:$A$504,0))&amp;"","")="유지비",COUNTIF(계정대체기준!$A$6:$A$15,$N489)&gt;0),IFERROR(INDEX(계정대체기준!$E$6:$E$15,MATCH(VALUE($A489&amp;""),계정대체기준!$D$6:$D$15,0)),0),0))</f>
        <v/>
      </c>
      <c r="AH489" s="64">
        <f>IF($A489="","",IF(AD489=0,"",IF(OR(COUNTIF(계정대체기준!$A$77:$A$86,$N489)&gt;0,ISNUMBER(MATCH($X489,계정대체기준!$D$77:$D$86,0)),ISNUMBER(MATCH($F489,계정대체기준!$D$77:$D$86,0))),"Y","N")))</f>
        <v/>
      </c>
    </row>
    <row r="490">
      <c r="A490" s="92" t="n">
        <v>2025</v>
      </c>
      <c r="B490" s="92" t="n">
        <v>3</v>
      </c>
      <c r="C490" s="92" t="inlineStr">
        <is>
          <t>5100000486</t>
        </is>
      </c>
      <c r="D490" s="95" t="n">
        <v>45720</v>
      </c>
      <c r="E490" s="92" t="inlineStr">
        <is>
          <t>KR</t>
        </is>
      </c>
      <c r="F490" s="92" t="n">
        <v>62902000</v>
      </c>
      <c r="G490" s="92" t="n">
        <v>1201</v>
      </c>
      <c r="H490" s="93" t="n">
        <v>3006000</v>
      </c>
      <c r="I490" s="92" t="inlineStr">
        <is>
          <t>3월 업무 위탁 수수료 - J콜센터</t>
        </is>
      </c>
      <c r="J490" s="92" t="inlineStr">
        <is>
          <t>V10016</t>
        </is>
      </c>
      <c r="K490" s="92" t="inlineStr">
        <is>
          <t>J콜센터</t>
        </is>
      </c>
      <c r="M490" s="9">
        <f>IF($A490="","",VALUE($A490&amp;"")*12+VALUE($B490&amp;""))</f>
        <v/>
      </c>
      <c r="N490" s="64">
        <f>IF($A490="","",IFERROR(INDEX(부서매핑!$C$5:$C$504,MATCH($G490&amp;"",부서매핑!$A$5:$A$504,0)),"미매핑"))</f>
        <v/>
      </c>
      <c r="O490" s="9">
        <f>IF($A490="","",N490&amp;"|"&amp;$F490)</f>
        <v/>
      </c>
      <c r="P490" s="94">
        <f>IF($A490="",0,$H490*설정!$C$23)</f>
        <v/>
      </c>
      <c r="Q490" s="64">
        <f>IF($A490="","",IF(O490&lt;&gt;원인분석!$C$9,"",IF(AND(M490&gt;=원인분석!$C$10,M490&lt;=원인분석!$C$11),"당기",IF(AND(M490&gt;=원인분석!$C$12,M490&lt;=원인분석!$C$13),"비교",""))))</f>
        <v/>
      </c>
      <c r="R490" s="9">
        <f>IF(Q490="","",$K490&amp;"")</f>
        <v/>
      </c>
      <c r="S490" s="9">
        <f>IF(Q490="","",IF(MATCH(R490,$R$5:$R$100000,0)=ROW()-4,ROW(),""))</f>
        <v/>
      </c>
      <c r="T490" s="9">
        <f>IF(Q490="당기",ABS(P490)+ROW()/1000000000,"")</f>
        <v/>
      </c>
      <c r="U490" s="9">
        <f>IF(Q490="비교",ABS(P490)+ROW()/1000000000,"")</f>
        <v/>
      </c>
      <c r="V490" s="64">
        <f>IF($A490="","",IF(COUNTIF(변동분석!$E$7:$E$506,O490)&gt;0,"Y","N"))</f>
        <v/>
      </c>
      <c r="W490" s="64">
        <f>IF($A490="","",IFERROR(INDEX(계정매핑!$D$5:$D$504,MATCH($F490&amp;"",계정매핑!$A$5:$A$504,0)),"미매핑"))</f>
        <v/>
      </c>
      <c r="X490" s="9">
        <f>IF($A490="","",$F490&amp;"")</f>
        <v/>
      </c>
      <c r="Y490" s="94">
        <f>IF($A490="",0,IF(AE490="직접",IF(AF490="비귀속",$P490,0),$P490*(1-AG490)*IFERROR(INDEX(계정대체기준!$F$20:$F$49,MATCH($N490,계정대체기준!$A$20:$A$49,0)),1)))</f>
        <v/>
      </c>
      <c r="Z490" s="94">
        <f>IF($A490="",0,IF(AE490="직접",IF(AF490="신계약비",$P490,0),$P490*(1-AG490)*IFERROR(INDEX(계정대체기준!$C$20:$C$49,MATCH($N490,계정대체기준!$A$20:$A$49,0)),0)))</f>
        <v/>
      </c>
      <c r="AA490" s="94">
        <f>IF($A490="",0,IF(AE490="직접",IF(OR(AF490="유지비",AF490="손해조사비"),$P490,0),$P490*(1-AG490)*IFERROR(INDEX(계정대체기준!$D$20:$D$49,MATCH($N490,계정대체기준!$A$20:$A$49,0)),0)))</f>
        <v/>
      </c>
      <c r="AB490" s="94">
        <f>IF($A490="",0,IF(AE490="직접",IF(AF490="수금비",$P490,0),$P490*(1-AG490)*IFERROR(INDEX(계정대체기준!$E$20:$E$49,MATCH($N490,계정대체기준!$A$20:$A$49,0)),0)))</f>
        <v/>
      </c>
      <c r="AC490" s="9">
        <f>IF(AND($A490&lt;&gt;"",M490=설정!$C$20,Z490&gt;0),Z490+ROW()/1000000000,"")</f>
        <v/>
      </c>
      <c r="AD490" s="94">
        <f>IF($A490="",0,$P490*AG490)</f>
        <v/>
      </c>
      <c r="AE490" s="64">
        <f>IF($A490="","",IFERROR(INDEX(계정매핑!$E$5:$E$504,MATCH($F490&amp;"",계정매핑!$A$5:$A$504,0))&amp;"","공통비"))</f>
        <v/>
      </c>
      <c r="AF490" s="64">
        <f>IF($A490="","",IF(AE490="직접",IFERROR(INDEX(계정매핑!$F$5:$F$504,MATCH($F490&amp;"",계정매핑!$A$5:$A$504,0))&amp;"","비귀속"),""))</f>
        <v/>
      </c>
      <c r="AG490" s="96">
        <f>IF($A490="",0,IF(AND(AE490&lt;&gt;"직접",IFERROR(INDEX(계정매핑!$G$5:$G$504,MATCH($F490&amp;"",계정매핑!$A$5:$A$504,0))&amp;"","")="유지비",COUNTIF(계정대체기준!$A$6:$A$15,$N490)&gt;0),IFERROR(INDEX(계정대체기준!$E$6:$E$15,MATCH(VALUE($A490&amp;""),계정대체기준!$D$6:$D$15,0)),0),0))</f>
        <v/>
      </c>
      <c r="AH490" s="64">
        <f>IF($A490="","",IF(AD490=0,"",IF(OR(COUNTIF(계정대체기준!$A$77:$A$86,$N490)&gt;0,ISNUMBER(MATCH($X490,계정대체기준!$D$77:$D$86,0)),ISNUMBER(MATCH($F490,계정대체기준!$D$77:$D$86,0))),"Y","N")))</f>
        <v/>
      </c>
    </row>
    <row r="491">
      <c r="A491" s="92" t="n">
        <v>2025</v>
      </c>
      <c r="B491" s="92" t="n">
        <v>3</v>
      </c>
      <c r="C491" s="92" t="inlineStr">
        <is>
          <t>5100000487</t>
        </is>
      </c>
      <c r="D491" s="95" t="n">
        <v>45721</v>
      </c>
      <c r="E491" s="92" t="inlineStr">
        <is>
          <t>KR</t>
        </is>
      </c>
      <c r="F491" s="92" t="n">
        <v>62101000</v>
      </c>
      <c r="G491" s="92" t="n">
        <v>1201</v>
      </c>
      <c r="H491" s="93" t="n">
        <v>229000</v>
      </c>
      <c r="I491" s="92" t="inlineStr">
        <is>
          <t>3월 국내출장 - L여행사</t>
        </is>
      </c>
      <c r="J491" s="92" t="inlineStr">
        <is>
          <t>V10018</t>
        </is>
      </c>
      <c r="K491" s="92" t="inlineStr">
        <is>
          <t>L여행사</t>
        </is>
      </c>
      <c r="M491" s="9">
        <f>IF($A491="","",VALUE($A491&amp;"")*12+VALUE($B491&amp;""))</f>
        <v/>
      </c>
      <c r="N491" s="64">
        <f>IF($A491="","",IFERROR(INDEX(부서매핑!$C$5:$C$504,MATCH($G491&amp;"",부서매핑!$A$5:$A$504,0)),"미매핑"))</f>
        <v/>
      </c>
      <c r="O491" s="9">
        <f>IF($A491="","",N491&amp;"|"&amp;$F491)</f>
        <v/>
      </c>
      <c r="P491" s="94">
        <f>IF($A491="",0,$H491*설정!$C$23)</f>
        <v/>
      </c>
      <c r="Q491" s="64">
        <f>IF($A491="","",IF(O491&lt;&gt;원인분석!$C$9,"",IF(AND(M491&gt;=원인분석!$C$10,M491&lt;=원인분석!$C$11),"당기",IF(AND(M491&gt;=원인분석!$C$12,M491&lt;=원인분석!$C$13),"비교",""))))</f>
        <v/>
      </c>
      <c r="R491" s="9">
        <f>IF(Q491="","",$K491&amp;"")</f>
        <v/>
      </c>
      <c r="S491" s="9">
        <f>IF(Q491="","",IF(MATCH(R491,$R$5:$R$100000,0)=ROW()-4,ROW(),""))</f>
        <v/>
      </c>
      <c r="T491" s="9">
        <f>IF(Q491="당기",ABS(P491)+ROW()/1000000000,"")</f>
        <v/>
      </c>
      <c r="U491" s="9">
        <f>IF(Q491="비교",ABS(P491)+ROW()/1000000000,"")</f>
        <v/>
      </c>
      <c r="V491" s="64">
        <f>IF($A491="","",IF(COUNTIF(변동분석!$E$7:$E$506,O491)&gt;0,"Y","N"))</f>
        <v/>
      </c>
      <c r="W491" s="64">
        <f>IF($A491="","",IFERROR(INDEX(계정매핑!$D$5:$D$504,MATCH($F491&amp;"",계정매핑!$A$5:$A$504,0)),"미매핑"))</f>
        <v/>
      </c>
      <c r="X491" s="9">
        <f>IF($A491="","",$F491&amp;"")</f>
        <v/>
      </c>
      <c r="Y491" s="94">
        <f>IF($A491="",0,IF(AE491="직접",IF(AF491="비귀속",$P491,0),$P491*(1-AG491)*IFERROR(INDEX(계정대체기준!$F$20:$F$49,MATCH($N491,계정대체기준!$A$20:$A$49,0)),1)))</f>
        <v/>
      </c>
      <c r="Z491" s="94">
        <f>IF($A491="",0,IF(AE491="직접",IF(AF491="신계약비",$P491,0),$P491*(1-AG491)*IFERROR(INDEX(계정대체기준!$C$20:$C$49,MATCH($N491,계정대체기준!$A$20:$A$49,0)),0)))</f>
        <v/>
      </c>
      <c r="AA491" s="94">
        <f>IF($A491="",0,IF(AE491="직접",IF(OR(AF491="유지비",AF491="손해조사비"),$P491,0),$P491*(1-AG491)*IFERROR(INDEX(계정대체기준!$D$20:$D$49,MATCH($N491,계정대체기준!$A$20:$A$49,0)),0)))</f>
        <v/>
      </c>
      <c r="AB491" s="94">
        <f>IF($A491="",0,IF(AE491="직접",IF(AF491="수금비",$P491,0),$P491*(1-AG491)*IFERROR(INDEX(계정대체기준!$E$20:$E$49,MATCH($N491,계정대체기준!$A$20:$A$49,0)),0)))</f>
        <v/>
      </c>
      <c r="AC491" s="9">
        <f>IF(AND($A491&lt;&gt;"",M491=설정!$C$20,Z491&gt;0),Z491+ROW()/1000000000,"")</f>
        <v/>
      </c>
      <c r="AD491" s="94">
        <f>IF($A491="",0,$P491*AG491)</f>
        <v/>
      </c>
      <c r="AE491" s="64">
        <f>IF($A491="","",IFERROR(INDEX(계정매핑!$E$5:$E$504,MATCH($F491&amp;"",계정매핑!$A$5:$A$504,0))&amp;"","공통비"))</f>
        <v/>
      </c>
      <c r="AF491" s="64">
        <f>IF($A491="","",IF(AE491="직접",IFERROR(INDEX(계정매핑!$F$5:$F$504,MATCH($F491&amp;"",계정매핑!$A$5:$A$504,0))&amp;"","비귀속"),""))</f>
        <v/>
      </c>
      <c r="AG491" s="96">
        <f>IF($A491="",0,IF(AND(AE491&lt;&gt;"직접",IFERROR(INDEX(계정매핑!$G$5:$G$504,MATCH($F491&amp;"",계정매핑!$A$5:$A$504,0))&amp;"","")="유지비",COUNTIF(계정대체기준!$A$6:$A$15,$N491)&gt;0),IFERROR(INDEX(계정대체기준!$E$6:$E$15,MATCH(VALUE($A491&amp;""),계정대체기준!$D$6:$D$15,0)),0),0))</f>
        <v/>
      </c>
      <c r="AH491" s="64">
        <f>IF($A491="","",IF(AD491=0,"",IF(OR(COUNTIF(계정대체기준!$A$77:$A$86,$N491)&gt;0,ISNUMBER(MATCH($X491,계정대체기준!$D$77:$D$86,0)),ISNUMBER(MATCH($F491,계정대체기준!$D$77:$D$86,0))),"Y","N")))</f>
        <v/>
      </c>
    </row>
    <row r="492">
      <c r="A492" s="92" t="n">
        <v>2025</v>
      </c>
      <c r="B492" s="92" t="n">
        <v>3</v>
      </c>
      <c r="C492" s="92" t="inlineStr">
        <is>
          <t>5100000488</t>
        </is>
      </c>
      <c r="D492" s="95" t="n">
        <v>45721</v>
      </c>
      <c r="E492" s="92" t="inlineStr">
        <is>
          <t>KR</t>
        </is>
      </c>
      <c r="F492" s="92" t="n">
        <v>62101000</v>
      </c>
      <c r="G492" s="92" t="n">
        <v>1201</v>
      </c>
      <c r="H492" s="93" t="n">
        <v>328000</v>
      </c>
      <c r="I492" s="92" t="inlineStr">
        <is>
          <t>3월 국내출장 - M항공</t>
        </is>
      </c>
      <c r="J492" s="92" t="inlineStr">
        <is>
          <t>V10001</t>
        </is>
      </c>
      <c r="K492" s="92" t="inlineStr">
        <is>
          <t>M항공</t>
        </is>
      </c>
      <c r="M492" s="9">
        <f>IF($A492="","",VALUE($A492&amp;"")*12+VALUE($B492&amp;""))</f>
        <v/>
      </c>
      <c r="N492" s="64">
        <f>IF($A492="","",IFERROR(INDEX(부서매핑!$C$5:$C$504,MATCH($G492&amp;"",부서매핑!$A$5:$A$504,0)),"미매핑"))</f>
        <v/>
      </c>
      <c r="O492" s="9">
        <f>IF($A492="","",N492&amp;"|"&amp;$F492)</f>
        <v/>
      </c>
      <c r="P492" s="94">
        <f>IF($A492="",0,$H492*설정!$C$23)</f>
        <v/>
      </c>
      <c r="Q492" s="64">
        <f>IF($A492="","",IF(O492&lt;&gt;원인분석!$C$9,"",IF(AND(M492&gt;=원인분석!$C$10,M492&lt;=원인분석!$C$11),"당기",IF(AND(M492&gt;=원인분석!$C$12,M492&lt;=원인분석!$C$13),"비교",""))))</f>
        <v/>
      </c>
      <c r="R492" s="9">
        <f>IF(Q492="","",$K492&amp;"")</f>
        <v/>
      </c>
      <c r="S492" s="9">
        <f>IF(Q492="","",IF(MATCH(R492,$R$5:$R$100000,0)=ROW()-4,ROW(),""))</f>
        <v/>
      </c>
      <c r="T492" s="9">
        <f>IF(Q492="당기",ABS(P492)+ROW()/1000000000,"")</f>
        <v/>
      </c>
      <c r="U492" s="9">
        <f>IF(Q492="비교",ABS(P492)+ROW()/1000000000,"")</f>
        <v/>
      </c>
      <c r="V492" s="64">
        <f>IF($A492="","",IF(COUNTIF(변동분석!$E$7:$E$506,O492)&gt;0,"Y","N"))</f>
        <v/>
      </c>
      <c r="W492" s="64">
        <f>IF($A492="","",IFERROR(INDEX(계정매핑!$D$5:$D$504,MATCH($F492&amp;"",계정매핑!$A$5:$A$504,0)),"미매핑"))</f>
        <v/>
      </c>
      <c r="X492" s="9">
        <f>IF($A492="","",$F492&amp;"")</f>
        <v/>
      </c>
      <c r="Y492" s="94">
        <f>IF($A492="",0,IF(AE492="직접",IF(AF492="비귀속",$P492,0),$P492*(1-AG492)*IFERROR(INDEX(계정대체기준!$F$20:$F$49,MATCH($N492,계정대체기준!$A$20:$A$49,0)),1)))</f>
        <v/>
      </c>
      <c r="Z492" s="94">
        <f>IF($A492="",0,IF(AE492="직접",IF(AF492="신계약비",$P492,0),$P492*(1-AG492)*IFERROR(INDEX(계정대체기준!$C$20:$C$49,MATCH($N492,계정대체기준!$A$20:$A$49,0)),0)))</f>
        <v/>
      </c>
      <c r="AA492" s="94">
        <f>IF($A492="",0,IF(AE492="직접",IF(OR(AF492="유지비",AF492="손해조사비"),$P492,0),$P492*(1-AG492)*IFERROR(INDEX(계정대체기준!$D$20:$D$49,MATCH($N492,계정대체기준!$A$20:$A$49,0)),0)))</f>
        <v/>
      </c>
      <c r="AB492" s="94">
        <f>IF($A492="",0,IF(AE492="직접",IF(AF492="수금비",$P492,0),$P492*(1-AG492)*IFERROR(INDEX(계정대체기준!$E$20:$E$49,MATCH($N492,계정대체기준!$A$20:$A$49,0)),0)))</f>
        <v/>
      </c>
      <c r="AC492" s="9">
        <f>IF(AND($A492&lt;&gt;"",M492=설정!$C$20,Z492&gt;0),Z492+ROW()/1000000000,"")</f>
        <v/>
      </c>
      <c r="AD492" s="94">
        <f>IF($A492="",0,$P492*AG492)</f>
        <v/>
      </c>
      <c r="AE492" s="64">
        <f>IF($A492="","",IFERROR(INDEX(계정매핑!$E$5:$E$504,MATCH($F492&amp;"",계정매핑!$A$5:$A$504,0))&amp;"","공통비"))</f>
        <v/>
      </c>
      <c r="AF492" s="64">
        <f>IF($A492="","",IF(AE492="직접",IFERROR(INDEX(계정매핑!$F$5:$F$504,MATCH($F492&amp;"",계정매핑!$A$5:$A$504,0))&amp;"","비귀속"),""))</f>
        <v/>
      </c>
      <c r="AG492" s="96">
        <f>IF($A492="",0,IF(AND(AE492&lt;&gt;"직접",IFERROR(INDEX(계정매핑!$G$5:$G$504,MATCH($F492&amp;"",계정매핑!$A$5:$A$504,0))&amp;"","")="유지비",COUNTIF(계정대체기준!$A$6:$A$15,$N492)&gt;0),IFERROR(INDEX(계정대체기준!$E$6:$E$15,MATCH(VALUE($A492&amp;""),계정대체기준!$D$6:$D$15,0)),0),0))</f>
        <v/>
      </c>
      <c r="AH492" s="64">
        <f>IF($A492="","",IF(AD492=0,"",IF(OR(COUNTIF(계정대체기준!$A$77:$A$86,$N492)&gt;0,ISNUMBER(MATCH($X492,계정대체기준!$D$77:$D$86,0)),ISNUMBER(MATCH($F492,계정대체기준!$D$77:$D$86,0))),"Y","N")))</f>
        <v/>
      </c>
    </row>
    <row r="493">
      <c r="A493" s="92" t="n">
        <v>2025</v>
      </c>
      <c r="B493" s="92" t="n">
        <v>3</v>
      </c>
      <c r="C493" s="92" t="inlineStr">
        <is>
          <t>5100000489</t>
        </is>
      </c>
      <c r="D493" s="95" t="n">
        <v>45721</v>
      </c>
      <c r="E493" s="92" t="inlineStr">
        <is>
          <t>KR</t>
        </is>
      </c>
      <c r="F493" s="92" t="n">
        <v>62201000</v>
      </c>
      <c r="G493" s="92" t="n">
        <v>1401</v>
      </c>
      <c r="H493" s="93" t="n">
        <v>181000</v>
      </c>
      <c r="I493" s="92" t="inlineStr">
        <is>
          <t>3월 통신요금 - O텔레콤</t>
        </is>
      </c>
      <c r="J493" s="92" t="inlineStr">
        <is>
          <t>V10002</t>
        </is>
      </c>
      <c r="K493" s="92" t="inlineStr">
        <is>
          <t>O텔레콤</t>
        </is>
      </c>
      <c r="M493" s="9">
        <f>IF($A493="","",VALUE($A493&amp;"")*12+VALUE($B493&amp;""))</f>
        <v/>
      </c>
      <c r="N493" s="64">
        <f>IF($A493="","",IFERROR(INDEX(부서매핑!$C$5:$C$504,MATCH($G493&amp;"",부서매핑!$A$5:$A$504,0)),"미매핑"))</f>
        <v/>
      </c>
      <c r="O493" s="9">
        <f>IF($A493="","",N493&amp;"|"&amp;$F493)</f>
        <v/>
      </c>
      <c r="P493" s="94">
        <f>IF($A493="",0,$H493*설정!$C$23)</f>
        <v/>
      </c>
      <c r="Q493" s="64">
        <f>IF($A493="","",IF(O493&lt;&gt;원인분석!$C$9,"",IF(AND(M493&gt;=원인분석!$C$10,M493&lt;=원인분석!$C$11),"당기",IF(AND(M493&gt;=원인분석!$C$12,M493&lt;=원인분석!$C$13),"비교",""))))</f>
        <v/>
      </c>
      <c r="R493" s="9">
        <f>IF(Q493="","",$K493&amp;"")</f>
        <v/>
      </c>
      <c r="S493" s="9">
        <f>IF(Q493="","",IF(MATCH(R493,$R$5:$R$100000,0)=ROW()-4,ROW(),""))</f>
        <v/>
      </c>
      <c r="T493" s="9">
        <f>IF(Q493="당기",ABS(P493)+ROW()/1000000000,"")</f>
        <v/>
      </c>
      <c r="U493" s="9">
        <f>IF(Q493="비교",ABS(P493)+ROW()/1000000000,"")</f>
        <v/>
      </c>
      <c r="V493" s="64">
        <f>IF($A493="","",IF(COUNTIF(변동분석!$E$7:$E$506,O493)&gt;0,"Y","N"))</f>
        <v/>
      </c>
      <c r="W493" s="64">
        <f>IF($A493="","",IFERROR(INDEX(계정매핑!$D$5:$D$504,MATCH($F493&amp;"",계정매핑!$A$5:$A$504,0)),"미매핑"))</f>
        <v/>
      </c>
      <c r="X493" s="9">
        <f>IF($A493="","",$F493&amp;"")</f>
        <v/>
      </c>
      <c r="Y493" s="94">
        <f>IF($A493="",0,IF(AE493="직접",IF(AF493="비귀속",$P493,0),$P493*(1-AG493)*IFERROR(INDEX(계정대체기준!$F$20:$F$49,MATCH($N493,계정대체기준!$A$20:$A$49,0)),1)))</f>
        <v/>
      </c>
      <c r="Z493" s="94">
        <f>IF($A493="",0,IF(AE493="직접",IF(AF493="신계약비",$P493,0),$P493*(1-AG493)*IFERROR(INDEX(계정대체기준!$C$20:$C$49,MATCH($N493,계정대체기준!$A$20:$A$49,0)),0)))</f>
        <v/>
      </c>
      <c r="AA493" s="94">
        <f>IF($A493="",0,IF(AE493="직접",IF(OR(AF493="유지비",AF493="손해조사비"),$P493,0),$P493*(1-AG493)*IFERROR(INDEX(계정대체기준!$D$20:$D$49,MATCH($N493,계정대체기준!$A$20:$A$49,0)),0)))</f>
        <v/>
      </c>
      <c r="AB493" s="94">
        <f>IF($A493="",0,IF(AE493="직접",IF(AF493="수금비",$P493,0),$P493*(1-AG493)*IFERROR(INDEX(계정대체기준!$E$20:$E$49,MATCH($N493,계정대체기준!$A$20:$A$49,0)),0)))</f>
        <v/>
      </c>
      <c r="AC493" s="9">
        <f>IF(AND($A493&lt;&gt;"",M493=설정!$C$20,Z493&gt;0),Z493+ROW()/1000000000,"")</f>
        <v/>
      </c>
      <c r="AD493" s="94">
        <f>IF($A493="",0,$P493*AG493)</f>
        <v/>
      </c>
      <c r="AE493" s="64">
        <f>IF($A493="","",IFERROR(INDEX(계정매핑!$E$5:$E$504,MATCH($F493&amp;"",계정매핑!$A$5:$A$504,0))&amp;"","공통비"))</f>
        <v/>
      </c>
      <c r="AF493" s="64">
        <f>IF($A493="","",IF(AE493="직접",IFERROR(INDEX(계정매핑!$F$5:$F$504,MATCH($F493&amp;"",계정매핑!$A$5:$A$504,0))&amp;"","비귀속"),""))</f>
        <v/>
      </c>
      <c r="AG493" s="96">
        <f>IF($A493="",0,IF(AND(AE493&lt;&gt;"직접",IFERROR(INDEX(계정매핑!$G$5:$G$504,MATCH($F493&amp;"",계정매핑!$A$5:$A$504,0))&amp;"","")="유지비",COUNTIF(계정대체기준!$A$6:$A$15,$N493)&gt;0),IFERROR(INDEX(계정대체기준!$E$6:$E$15,MATCH(VALUE($A493&amp;""),계정대체기준!$D$6:$D$15,0)),0),0))</f>
        <v/>
      </c>
      <c r="AH493" s="64">
        <f>IF($A493="","",IF(AD493=0,"",IF(OR(COUNTIF(계정대체기준!$A$77:$A$86,$N493)&gt;0,ISNUMBER(MATCH($X493,계정대체기준!$D$77:$D$86,0)),ISNUMBER(MATCH($F493,계정대체기준!$D$77:$D$86,0))),"Y","N")))</f>
        <v/>
      </c>
    </row>
    <row r="494">
      <c r="A494" s="92" t="n">
        <v>2025</v>
      </c>
      <c r="B494" s="92" t="n">
        <v>3</v>
      </c>
      <c r="C494" s="92" t="inlineStr">
        <is>
          <t>5100000490</t>
        </is>
      </c>
      <c r="D494" s="95" t="n">
        <v>45721</v>
      </c>
      <c r="E494" s="92" t="inlineStr">
        <is>
          <t>KR</t>
        </is>
      </c>
      <c r="F494" s="92" t="n">
        <v>62301000</v>
      </c>
      <c r="G494" s="92" t="n">
        <v>1301</v>
      </c>
      <c r="H494" s="93" t="n">
        <v>173000</v>
      </c>
      <c r="I494" s="92" t="inlineStr">
        <is>
          <t>3월 소모품 구입 - Q오피스</t>
        </is>
      </c>
      <c r="J494" s="92" t="inlineStr">
        <is>
          <t>V10003</t>
        </is>
      </c>
      <c r="K494" s="92" t="inlineStr">
        <is>
          <t>Q오피스</t>
        </is>
      </c>
      <c r="M494" s="9">
        <f>IF($A494="","",VALUE($A494&amp;"")*12+VALUE($B494&amp;""))</f>
        <v/>
      </c>
      <c r="N494" s="64">
        <f>IF($A494="","",IFERROR(INDEX(부서매핑!$C$5:$C$504,MATCH($G494&amp;"",부서매핑!$A$5:$A$504,0)),"미매핑"))</f>
        <v/>
      </c>
      <c r="O494" s="9">
        <f>IF($A494="","",N494&amp;"|"&amp;$F494)</f>
        <v/>
      </c>
      <c r="P494" s="94">
        <f>IF($A494="",0,$H494*설정!$C$23)</f>
        <v/>
      </c>
      <c r="Q494" s="64">
        <f>IF($A494="","",IF(O494&lt;&gt;원인분석!$C$9,"",IF(AND(M494&gt;=원인분석!$C$10,M494&lt;=원인분석!$C$11),"당기",IF(AND(M494&gt;=원인분석!$C$12,M494&lt;=원인분석!$C$13),"비교",""))))</f>
        <v/>
      </c>
      <c r="R494" s="9">
        <f>IF(Q494="","",$K494&amp;"")</f>
        <v/>
      </c>
      <c r="S494" s="9">
        <f>IF(Q494="","",IF(MATCH(R494,$R$5:$R$100000,0)=ROW()-4,ROW(),""))</f>
        <v/>
      </c>
      <c r="T494" s="9">
        <f>IF(Q494="당기",ABS(P494)+ROW()/1000000000,"")</f>
        <v/>
      </c>
      <c r="U494" s="9">
        <f>IF(Q494="비교",ABS(P494)+ROW()/1000000000,"")</f>
        <v/>
      </c>
      <c r="V494" s="64">
        <f>IF($A494="","",IF(COUNTIF(변동분석!$E$7:$E$506,O494)&gt;0,"Y","N"))</f>
        <v/>
      </c>
      <c r="W494" s="64">
        <f>IF($A494="","",IFERROR(INDEX(계정매핑!$D$5:$D$504,MATCH($F494&amp;"",계정매핑!$A$5:$A$504,0)),"미매핑"))</f>
        <v/>
      </c>
      <c r="X494" s="9">
        <f>IF($A494="","",$F494&amp;"")</f>
        <v/>
      </c>
      <c r="Y494" s="94">
        <f>IF($A494="",0,IF(AE494="직접",IF(AF494="비귀속",$P494,0),$P494*(1-AG494)*IFERROR(INDEX(계정대체기준!$F$20:$F$49,MATCH($N494,계정대체기준!$A$20:$A$49,0)),1)))</f>
        <v/>
      </c>
      <c r="Z494" s="94">
        <f>IF($A494="",0,IF(AE494="직접",IF(AF494="신계약비",$P494,0),$P494*(1-AG494)*IFERROR(INDEX(계정대체기준!$C$20:$C$49,MATCH($N494,계정대체기준!$A$20:$A$49,0)),0)))</f>
        <v/>
      </c>
      <c r="AA494" s="94">
        <f>IF($A494="",0,IF(AE494="직접",IF(OR(AF494="유지비",AF494="손해조사비"),$P494,0),$P494*(1-AG494)*IFERROR(INDEX(계정대체기준!$D$20:$D$49,MATCH($N494,계정대체기준!$A$20:$A$49,0)),0)))</f>
        <v/>
      </c>
      <c r="AB494" s="94">
        <f>IF($A494="",0,IF(AE494="직접",IF(AF494="수금비",$P494,0),$P494*(1-AG494)*IFERROR(INDEX(계정대체기준!$E$20:$E$49,MATCH($N494,계정대체기준!$A$20:$A$49,0)),0)))</f>
        <v/>
      </c>
      <c r="AC494" s="9">
        <f>IF(AND($A494&lt;&gt;"",M494=설정!$C$20,Z494&gt;0),Z494+ROW()/1000000000,"")</f>
        <v/>
      </c>
      <c r="AD494" s="94">
        <f>IF($A494="",0,$P494*AG494)</f>
        <v/>
      </c>
      <c r="AE494" s="64">
        <f>IF($A494="","",IFERROR(INDEX(계정매핑!$E$5:$E$504,MATCH($F494&amp;"",계정매핑!$A$5:$A$504,0))&amp;"","공통비"))</f>
        <v/>
      </c>
      <c r="AF494" s="64">
        <f>IF($A494="","",IF(AE494="직접",IFERROR(INDEX(계정매핑!$F$5:$F$504,MATCH($F494&amp;"",계정매핑!$A$5:$A$504,0))&amp;"","비귀속"),""))</f>
        <v/>
      </c>
      <c r="AG494" s="96">
        <f>IF($A494="",0,IF(AND(AE494&lt;&gt;"직접",IFERROR(INDEX(계정매핑!$G$5:$G$504,MATCH($F494&amp;"",계정매핑!$A$5:$A$504,0))&amp;"","")="유지비",COUNTIF(계정대체기준!$A$6:$A$15,$N494)&gt;0),IFERROR(INDEX(계정대체기준!$E$6:$E$15,MATCH(VALUE($A494&amp;""),계정대체기준!$D$6:$D$15,0)),0),0))</f>
        <v/>
      </c>
      <c r="AH494" s="64">
        <f>IF($A494="","",IF(AD494=0,"",IF(OR(COUNTIF(계정대체기준!$A$77:$A$86,$N494)&gt;0,ISNUMBER(MATCH($X494,계정대체기준!$D$77:$D$86,0)),ISNUMBER(MATCH($F494,계정대체기준!$D$77:$D$86,0))),"Y","N")))</f>
        <v/>
      </c>
    </row>
    <row r="495">
      <c r="A495" s="92" t="n">
        <v>2025</v>
      </c>
      <c r="B495" s="92" t="n">
        <v>3</v>
      </c>
      <c r="C495" s="92" t="inlineStr">
        <is>
          <t>5100000491</t>
        </is>
      </c>
      <c r="D495" s="95" t="n">
        <v>45721</v>
      </c>
      <c r="E495" s="92" t="inlineStr">
        <is>
          <t>KR</t>
        </is>
      </c>
      <c r="F495" s="92" t="n">
        <v>62301000</v>
      </c>
      <c r="G495" s="92" t="n">
        <v>1801</v>
      </c>
      <c r="H495" s="93" t="n">
        <v>378000</v>
      </c>
      <c r="I495" s="92" t="inlineStr">
        <is>
          <t>3월 소모품 구입 - R문구</t>
        </is>
      </c>
      <c r="J495" s="92" t="inlineStr">
        <is>
          <t>V10022</t>
        </is>
      </c>
      <c r="K495" s="92" t="inlineStr">
        <is>
          <t>R문구</t>
        </is>
      </c>
      <c r="M495" s="9">
        <f>IF($A495="","",VALUE($A495&amp;"")*12+VALUE($B495&amp;""))</f>
        <v/>
      </c>
      <c r="N495" s="64">
        <f>IF($A495="","",IFERROR(INDEX(부서매핑!$C$5:$C$504,MATCH($G495&amp;"",부서매핑!$A$5:$A$504,0)),"미매핑"))</f>
        <v/>
      </c>
      <c r="O495" s="9">
        <f>IF($A495="","",N495&amp;"|"&amp;$F495)</f>
        <v/>
      </c>
      <c r="P495" s="94">
        <f>IF($A495="",0,$H495*설정!$C$23)</f>
        <v/>
      </c>
      <c r="Q495" s="64">
        <f>IF($A495="","",IF(O495&lt;&gt;원인분석!$C$9,"",IF(AND(M495&gt;=원인분석!$C$10,M495&lt;=원인분석!$C$11),"당기",IF(AND(M495&gt;=원인분석!$C$12,M495&lt;=원인분석!$C$13),"비교",""))))</f>
        <v/>
      </c>
      <c r="R495" s="9">
        <f>IF(Q495="","",$K495&amp;"")</f>
        <v/>
      </c>
      <c r="S495" s="9">
        <f>IF(Q495="","",IF(MATCH(R495,$R$5:$R$100000,0)=ROW()-4,ROW(),""))</f>
        <v/>
      </c>
      <c r="T495" s="9">
        <f>IF(Q495="당기",ABS(P495)+ROW()/1000000000,"")</f>
        <v/>
      </c>
      <c r="U495" s="9">
        <f>IF(Q495="비교",ABS(P495)+ROW()/1000000000,"")</f>
        <v/>
      </c>
      <c r="V495" s="64">
        <f>IF($A495="","",IF(COUNTIF(변동분석!$E$7:$E$506,O495)&gt;0,"Y","N"))</f>
        <v/>
      </c>
      <c r="W495" s="64">
        <f>IF($A495="","",IFERROR(INDEX(계정매핑!$D$5:$D$504,MATCH($F495&amp;"",계정매핑!$A$5:$A$504,0)),"미매핑"))</f>
        <v/>
      </c>
      <c r="X495" s="9">
        <f>IF($A495="","",$F495&amp;"")</f>
        <v/>
      </c>
      <c r="Y495" s="94">
        <f>IF($A495="",0,IF(AE495="직접",IF(AF495="비귀속",$P495,0),$P495*(1-AG495)*IFERROR(INDEX(계정대체기준!$F$20:$F$49,MATCH($N495,계정대체기준!$A$20:$A$49,0)),1)))</f>
        <v/>
      </c>
      <c r="Z495" s="94">
        <f>IF($A495="",0,IF(AE495="직접",IF(AF495="신계약비",$P495,0),$P495*(1-AG495)*IFERROR(INDEX(계정대체기준!$C$20:$C$49,MATCH($N495,계정대체기준!$A$20:$A$49,0)),0)))</f>
        <v/>
      </c>
      <c r="AA495" s="94">
        <f>IF($A495="",0,IF(AE495="직접",IF(OR(AF495="유지비",AF495="손해조사비"),$P495,0),$P495*(1-AG495)*IFERROR(INDEX(계정대체기준!$D$20:$D$49,MATCH($N495,계정대체기준!$A$20:$A$49,0)),0)))</f>
        <v/>
      </c>
      <c r="AB495" s="94">
        <f>IF($A495="",0,IF(AE495="직접",IF(AF495="수금비",$P495,0),$P495*(1-AG495)*IFERROR(INDEX(계정대체기준!$E$20:$E$49,MATCH($N495,계정대체기준!$A$20:$A$49,0)),0)))</f>
        <v/>
      </c>
      <c r="AC495" s="9">
        <f>IF(AND($A495&lt;&gt;"",M495=설정!$C$20,Z495&gt;0),Z495+ROW()/1000000000,"")</f>
        <v/>
      </c>
      <c r="AD495" s="94">
        <f>IF($A495="",0,$P495*AG495)</f>
        <v/>
      </c>
      <c r="AE495" s="64">
        <f>IF($A495="","",IFERROR(INDEX(계정매핑!$E$5:$E$504,MATCH($F495&amp;"",계정매핑!$A$5:$A$504,0))&amp;"","공통비"))</f>
        <v/>
      </c>
      <c r="AF495" s="64">
        <f>IF($A495="","",IF(AE495="직접",IFERROR(INDEX(계정매핑!$F$5:$F$504,MATCH($F495&amp;"",계정매핑!$A$5:$A$504,0))&amp;"","비귀속"),""))</f>
        <v/>
      </c>
      <c r="AG495" s="96">
        <f>IF($A495="",0,IF(AND(AE495&lt;&gt;"직접",IFERROR(INDEX(계정매핑!$G$5:$G$504,MATCH($F495&amp;"",계정매핑!$A$5:$A$504,0))&amp;"","")="유지비",COUNTIF(계정대체기준!$A$6:$A$15,$N495)&gt;0),IFERROR(INDEX(계정대체기준!$E$6:$E$15,MATCH(VALUE($A495&amp;""),계정대체기준!$D$6:$D$15,0)),0),0))</f>
        <v/>
      </c>
      <c r="AH495" s="64">
        <f>IF($A495="","",IF(AD495=0,"",IF(OR(COUNTIF(계정대체기준!$A$77:$A$86,$N495)&gt;0,ISNUMBER(MATCH($X495,계정대체기준!$D$77:$D$86,0)),ISNUMBER(MATCH($F495,계정대체기준!$D$77:$D$86,0))),"Y","N")))</f>
        <v/>
      </c>
    </row>
    <row r="496">
      <c r="A496" s="92" t="n">
        <v>2025</v>
      </c>
      <c r="B496" s="92" t="n">
        <v>3</v>
      </c>
      <c r="C496" s="92" t="inlineStr">
        <is>
          <t>5100000492</t>
        </is>
      </c>
      <c r="D496" s="95" t="n">
        <v>45721</v>
      </c>
      <c r="E496" s="92" t="inlineStr">
        <is>
          <t>KR</t>
        </is>
      </c>
      <c r="F496" s="92" t="n">
        <v>62501000</v>
      </c>
      <c r="G496" s="92" t="n">
        <v>1201</v>
      </c>
      <c r="H496" s="93" t="n">
        <v>167000</v>
      </c>
      <c r="I496" s="92" t="inlineStr">
        <is>
          <t>3월 회의 다과 - T케이터링</t>
        </is>
      </c>
      <c r="J496" s="92" t="inlineStr">
        <is>
          <t>V10005</t>
        </is>
      </c>
      <c r="K496" s="92" t="inlineStr">
        <is>
          <t>T케이터링</t>
        </is>
      </c>
      <c r="M496" s="9">
        <f>IF($A496="","",VALUE($A496&amp;"")*12+VALUE($B496&amp;""))</f>
        <v/>
      </c>
      <c r="N496" s="64">
        <f>IF($A496="","",IFERROR(INDEX(부서매핑!$C$5:$C$504,MATCH($G496&amp;"",부서매핑!$A$5:$A$504,0)),"미매핑"))</f>
        <v/>
      </c>
      <c r="O496" s="9">
        <f>IF($A496="","",N496&amp;"|"&amp;$F496)</f>
        <v/>
      </c>
      <c r="P496" s="94">
        <f>IF($A496="",0,$H496*설정!$C$23)</f>
        <v/>
      </c>
      <c r="Q496" s="64">
        <f>IF($A496="","",IF(O496&lt;&gt;원인분석!$C$9,"",IF(AND(M496&gt;=원인분석!$C$10,M496&lt;=원인분석!$C$11),"당기",IF(AND(M496&gt;=원인분석!$C$12,M496&lt;=원인분석!$C$13),"비교",""))))</f>
        <v/>
      </c>
      <c r="R496" s="9">
        <f>IF(Q496="","",$K496&amp;"")</f>
        <v/>
      </c>
      <c r="S496" s="9">
        <f>IF(Q496="","",IF(MATCH(R496,$R$5:$R$100000,0)=ROW()-4,ROW(),""))</f>
        <v/>
      </c>
      <c r="T496" s="9">
        <f>IF(Q496="당기",ABS(P496)+ROW()/1000000000,"")</f>
        <v/>
      </c>
      <c r="U496" s="9">
        <f>IF(Q496="비교",ABS(P496)+ROW()/1000000000,"")</f>
        <v/>
      </c>
      <c r="V496" s="64">
        <f>IF($A496="","",IF(COUNTIF(변동분석!$E$7:$E$506,O496)&gt;0,"Y","N"))</f>
        <v/>
      </c>
      <c r="W496" s="64">
        <f>IF($A496="","",IFERROR(INDEX(계정매핑!$D$5:$D$504,MATCH($F496&amp;"",계정매핑!$A$5:$A$504,0)),"미매핑"))</f>
        <v/>
      </c>
      <c r="X496" s="9">
        <f>IF($A496="","",$F496&amp;"")</f>
        <v/>
      </c>
      <c r="Y496" s="94">
        <f>IF($A496="",0,IF(AE496="직접",IF(AF496="비귀속",$P496,0),$P496*(1-AG496)*IFERROR(INDEX(계정대체기준!$F$20:$F$49,MATCH($N496,계정대체기준!$A$20:$A$49,0)),1)))</f>
        <v/>
      </c>
      <c r="Z496" s="94">
        <f>IF($A496="",0,IF(AE496="직접",IF(AF496="신계약비",$P496,0),$P496*(1-AG496)*IFERROR(INDEX(계정대체기준!$C$20:$C$49,MATCH($N496,계정대체기준!$A$20:$A$49,0)),0)))</f>
        <v/>
      </c>
      <c r="AA496" s="94">
        <f>IF($A496="",0,IF(AE496="직접",IF(OR(AF496="유지비",AF496="손해조사비"),$P496,0),$P496*(1-AG496)*IFERROR(INDEX(계정대체기준!$D$20:$D$49,MATCH($N496,계정대체기준!$A$20:$A$49,0)),0)))</f>
        <v/>
      </c>
      <c r="AB496" s="94">
        <f>IF($A496="",0,IF(AE496="직접",IF(AF496="수금비",$P496,0),$P496*(1-AG496)*IFERROR(INDEX(계정대체기준!$E$20:$E$49,MATCH($N496,계정대체기준!$A$20:$A$49,0)),0)))</f>
        <v/>
      </c>
      <c r="AC496" s="9">
        <f>IF(AND($A496&lt;&gt;"",M496=설정!$C$20,Z496&gt;0),Z496+ROW()/1000000000,"")</f>
        <v/>
      </c>
      <c r="AD496" s="94">
        <f>IF($A496="",0,$P496*AG496)</f>
        <v/>
      </c>
      <c r="AE496" s="64">
        <f>IF($A496="","",IFERROR(INDEX(계정매핑!$E$5:$E$504,MATCH($F496&amp;"",계정매핑!$A$5:$A$504,0))&amp;"","공통비"))</f>
        <v/>
      </c>
      <c r="AF496" s="64">
        <f>IF($A496="","",IF(AE496="직접",IFERROR(INDEX(계정매핑!$F$5:$F$504,MATCH($F496&amp;"",계정매핑!$A$5:$A$504,0))&amp;"","비귀속"),""))</f>
        <v/>
      </c>
      <c r="AG496" s="96">
        <f>IF($A496="",0,IF(AND(AE496&lt;&gt;"직접",IFERROR(INDEX(계정매핑!$G$5:$G$504,MATCH($F496&amp;"",계정매핑!$A$5:$A$504,0))&amp;"","")="유지비",COUNTIF(계정대체기준!$A$6:$A$15,$N496)&gt;0),IFERROR(INDEX(계정대체기준!$E$6:$E$15,MATCH(VALUE($A496&amp;""),계정대체기준!$D$6:$D$15,0)),0),0))</f>
        <v/>
      </c>
      <c r="AH496" s="64">
        <f>IF($A496="","",IF(AD496=0,"",IF(OR(COUNTIF(계정대체기준!$A$77:$A$86,$N496)&gt;0,ISNUMBER(MATCH($X496,계정대체기준!$D$77:$D$86,0)),ISNUMBER(MATCH($F496,계정대체기준!$D$77:$D$86,0))),"Y","N")))</f>
        <v/>
      </c>
    </row>
    <row r="497">
      <c r="A497" s="92" t="n">
        <v>2025</v>
      </c>
      <c r="B497" s="92" t="n">
        <v>3</v>
      </c>
      <c r="C497" s="92" t="inlineStr">
        <is>
          <t>5100000493</t>
        </is>
      </c>
      <c r="D497" s="95" t="n">
        <v>45721</v>
      </c>
      <c r="E497" s="92" t="inlineStr">
        <is>
          <t>KR</t>
        </is>
      </c>
      <c r="F497" s="92" t="n">
        <v>62501000</v>
      </c>
      <c r="G497" s="92" t="n">
        <v>1501</v>
      </c>
      <c r="H497" s="93" t="n">
        <v>321000</v>
      </c>
      <c r="I497" s="92" t="inlineStr">
        <is>
          <t>3월 회의 다과 - (법인카드)</t>
        </is>
      </c>
      <c r="J497" s="92" t="inlineStr">
        <is>
          <t>V10010</t>
        </is>
      </c>
      <c r="K497" s="92" t="inlineStr">
        <is>
          <t>(법인카드)</t>
        </is>
      </c>
      <c r="M497" s="9">
        <f>IF($A497="","",VALUE($A497&amp;"")*12+VALUE($B497&amp;""))</f>
        <v/>
      </c>
      <c r="N497" s="64">
        <f>IF($A497="","",IFERROR(INDEX(부서매핑!$C$5:$C$504,MATCH($G497&amp;"",부서매핑!$A$5:$A$504,0)),"미매핑"))</f>
        <v/>
      </c>
      <c r="O497" s="9">
        <f>IF($A497="","",N497&amp;"|"&amp;$F497)</f>
        <v/>
      </c>
      <c r="P497" s="94">
        <f>IF($A497="",0,$H497*설정!$C$23)</f>
        <v/>
      </c>
      <c r="Q497" s="64">
        <f>IF($A497="","",IF(O497&lt;&gt;원인분석!$C$9,"",IF(AND(M497&gt;=원인분석!$C$10,M497&lt;=원인분석!$C$11),"당기",IF(AND(M497&gt;=원인분석!$C$12,M497&lt;=원인분석!$C$13),"비교",""))))</f>
        <v/>
      </c>
      <c r="R497" s="9">
        <f>IF(Q497="","",$K497&amp;"")</f>
        <v/>
      </c>
      <c r="S497" s="9">
        <f>IF(Q497="","",IF(MATCH(R497,$R$5:$R$100000,0)=ROW()-4,ROW(),""))</f>
        <v/>
      </c>
      <c r="T497" s="9">
        <f>IF(Q497="당기",ABS(P497)+ROW()/1000000000,"")</f>
        <v/>
      </c>
      <c r="U497" s="9">
        <f>IF(Q497="비교",ABS(P497)+ROW()/1000000000,"")</f>
        <v/>
      </c>
      <c r="V497" s="64">
        <f>IF($A497="","",IF(COUNTIF(변동분석!$E$7:$E$506,O497)&gt;0,"Y","N"))</f>
        <v/>
      </c>
      <c r="W497" s="64">
        <f>IF($A497="","",IFERROR(INDEX(계정매핑!$D$5:$D$504,MATCH($F497&amp;"",계정매핑!$A$5:$A$504,0)),"미매핑"))</f>
        <v/>
      </c>
      <c r="X497" s="9">
        <f>IF($A497="","",$F497&amp;"")</f>
        <v/>
      </c>
      <c r="Y497" s="94">
        <f>IF($A497="",0,IF(AE497="직접",IF(AF497="비귀속",$P497,0),$P497*(1-AG497)*IFERROR(INDEX(계정대체기준!$F$20:$F$49,MATCH($N497,계정대체기준!$A$20:$A$49,0)),1)))</f>
        <v/>
      </c>
      <c r="Z497" s="94">
        <f>IF($A497="",0,IF(AE497="직접",IF(AF497="신계약비",$P497,0),$P497*(1-AG497)*IFERROR(INDEX(계정대체기준!$C$20:$C$49,MATCH($N497,계정대체기준!$A$20:$A$49,0)),0)))</f>
        <v/>
      </c>
      <c r="AA497" s="94">
        <f>IF($A497="",0,IF(AE497="직접",IF(OR(AF497="유지비",AF497="손해조사비"),$P497,0),$P497*(1-AG497)*IFERROR(INDEX(계정대체기준!$D$20:$D$49,MATCH($N497,계정대체기준!$A$20:$A$49,0)),0)))</f>
        <v/>
      </c>
      <c r="AB497" s="94">
        <f>IF($A497="",0,IF(AE497="직접",IF(AF497="수금비",$P497,0),$P497*(1-AG497)*IFERROR(INDEX(계정대체기준!$E$20:$E$49,MATCH($N497,계정대체기준!$A$20:$A$49,0)),0)))</f>
        <v/>
      </c>
      <c r="AC497" s="9">
        <f>IF(AND($A497&lt;&gt;"",M497=설정!$C$20,Z497&gt;0),Z497+ROW()/1000000000,"")</f>
        <v/>
      </c>
      <c r="AD497" s="94">
        <f>IF($A497="",0,$P497*AG497)</f>
        <v/>
      </c>
      <c r="AE497" s="64">
        <f>IF($A497="","",IFERROR(INDEX(계정매핑!$E$5:$E$504,MATCH($F497&amp;"",계정매핑!$A$5:$A$504,0))&amp;"","공통비"))</f>
        <v/>
      </c>
      <c r="AF497" s="64">
        <f>IF($A497="","",IF(AE497="직접",IFERROR(INDEX(계정매핑!$F$5:$F$504,MATCH($F497&amp;"",계정매핑!$A$5:$A$504,0))&amp;"","비귀속"),""))</f>
        <v/>
      </c>
      <c r="AG497" s="96">
        <f>IF($A497="",0,IF(AND(AE497&lt;&gt;"직접",IFERROR(INDEX(계정매핑!$G$5:$G$504,MATCH($F497&amp;"",계정매핑!$A$5:$A$504,0))&amp;"","")="유지비",COUNTIF(계정대체기준!$A$6:$A$15,$N497)&gt;0),IFERROR(INDEX(계정대체기준!$E$6:$E$15,MATCH(VALUE($A497&amp;""),계정대체기준!$D$6:$D$15,0)),0),0))</f>
        <v/>
      </c>
      <c r="AH497" s="64">
        <f>IF($A497="","",IF(AD497=0,"",IF(OR(COUNTIF(계정대체기준!$A$77:$A$86,$N497)&gt;0,ISNUMBER(MATCH($X497,계정대체기준!$D$77:$D$86,0)),ISNUMBER(MATCH($F497,계정대체기준!$D$77:$D$86,0))),"Y","N")))</f>
        <v/>
      </c>
    </row>
    <row r="498">
      <c r="A498" s="92" t="n">
        <v>2025</v>
      </c>
      <c r="B498" s="92" t="n">
        <v>3</v>
      </c>
      <c r="C498" s="92" t="inlineStr">
        <is>
          <t>5100000494</t>
        </is>
      </c>
      <c r="D498" s="95" t="n">
        <v>45721</v>
      </c>
      <c r="E498" s="92" t="inlineStr">
        <is>
          <t>KR</t>
        </is>
      </c>
      <c r="F498" s="92" t="n">
        <v>62601000</v>
      </c>
      <c r="G498" s="92" t="n">
        <v>1101</v>
      </c>
      <c r="H498" s="93" t="n">
        <v>3319000</v>
      </c>
      <c r="I498" s="92" t="inlineStr">
        <is>
          <t>3월 업무추진 - (법인카드)</t>
        </is>
      </c>
      <c r="J498" s="92" t="inlineStr">
        <is>
          <t>V10010</t>
        </is>
      </c>
      <c r="K498" s="92" t="inlineStr">
        <is>
          <t>(법인카드)</t>
        </is>
      </c>
      <c r="M498" s="9">
        <f>IF($A498="","",VALUE($A498&amp;"")*12+VALUE($B498&amp;""))</f>
        <v/>
      </c>
      <c r="N498" s="64">
        <f>IF($A498="","",IFERROR(INDEX(부서매핑!$C$5:$C$504,MATCH($G498&amp;"",부서매핑!$A$5:$A$504,0)),"미매핑"))</f>
        <v/>
      </c>
      <c r="O498" s="9">
        <f>IF($A498="","",N498&amp;"|"&amp;$F498)</f>
        <v/>
      </c>
      <c r="P498" s="94">
        <f>IF($A498="",0,$H498*설정!$C$23)</f>
        <v/>
      </c>
      <c r="Q498" s="64">
        <f>IF($A498="","",IF(O498&lt;&gt;원인분석!$C$9,"",IF(AND(M498&gt;=원인분석!$C$10,M498&lt;=원인분석!$C$11),"당기",IF(AND(M498&gt;=원인분석!$C$12,M498&lt;=원인분석!$C$13),"비교",""))))</f>
        <v/>
      </c>
      <c r="R498" s="9">
        <f>IF(Q498="","",$K498&amp;"")</f>
        <v/>
      </c>
      <c r="S498" s="9">
        <f>IF(Q498="","",IF(MATCH(R498,$R$5:$R$100000,0)=ROW()-4,ROW(),""))</f>
        <v/>
      </c>
      <c r="T498" s="9">
        <f>IF(Q498="당기",ABS(P498)+ROW()/1000000000,"")</f>
        <v/>
      </c>
      <c r="U498" s="9">
        <f>IF(Q498="비교",ABS(P498)+ROW()/1000000000,"")</f>
        <v/>
      </c>
      <c r="V498" s="64">
        <f>IF($A498="","",IF(COUNTIF(변동분석!$E$7:$E$506,O498)&gt;0,"Y","N"))</f>
        <v/>
      </c>
      <c r="W498" s="64">
        <f>IF($A498="","",IFERROR(INDEX(계정매핑!$D$5:$D$504,MATCH($F498&amp;"",계정매핑!$A$5:$A$504,0)),"미매핑"))</f>
        <v/>
      </c>
      <c r="X498" s="9">
        <f>IF($A498="","",$F498&amp;"")</f>
        <v/>
      </c>
      <c r="Y498" s="94">
        <f>IF($A498="",0,IF(AE498="직접",IF(AF498="비귀속",$P498,0),$P498*(1-AG498)*IFERROR(INDEX(계정대체기준!$F$20:$F$49,MATCH($N498,계정대체기준!$A$20:$A$49,0)),1)))</f>
        <v/>
      </c>
      <c r="Z498" s="94">
        <f>IF($A498="",0,IF(AE498="직접",IF(AF498="신계약비",$P498,0),$P498*(1-AG498)*IFERROR(INDEX(계정대체기준!$C$20:$C$49,MATCH($N498,계정대체기준!$A$20:$A$49,0)),0)))</f>
        <v/>
      </c>
      <c r="AA498" s="94">
        <f>IF($A498="",0,IF(AE498="직접",IF(OR(AF498="유지비",AF498="손해조사비"),$P498,0),$P498*(1-AG498)*IFERROR(INDEX(계정대체기준!$D$20:$D$49,MATCH($N498,계정대체기준!$A$20:$A$49,0)),0)))</f>
        <v/>
      </c>
      <c r="AB498" s="94">
        <f>IF($A498="",0,IF(AE498="직접",IF(AF498="수금비",$P498,0),$P498*(1-AG498)*IFERROR(INDEX(계정대체기준!$E$20:$E$49,MATCH($N498,계정대체기준!$A$20:$A$49,0)),0)))</f>
        <v/>
      </c>
      <c r="AC498" s="9">
        <f>IF(AND($A498&lt;&gt;"",M498=설정!$C$20,Z498&gt;0),Z498+ROW()/1000000000,"")</f>
        <v/>
      </c>
      <c r="AD498" s="94">
        <f>IF($A498="",0,$P498*AG498)</f>
        <v/>
      </c>
      <c r="AE498" s="64">
        <f>IF($A498="","",IFERROR(INDEX(계정매핑!$E$5:$E$504,MATCH($F498&amp;"",계정매핑!$A$5:$A$504,0))&amp;"","공통비"))</f>
        <v/>
      </c>
      <c r="AF498" s="64">
        <f>IF($A498="","",IF(AE498="직접",IFERROR(INDEX(계정매핑!$F$5:$F$504,MATCH($F498&amp;"",계정매핑!$A$5:$A$504,0))&amp;"","비귀속"),""))</f>
        <v/>
      </c>
      <c r="AG498" s="96">
        <f>IF($A498="",0,IF(AND(AE498&lt;&gt;"직접",IFERROR(INDEX(계정매핑!$G$5:$G$504,MATCH($F498&amp;"",계정매핑!$A$5:$A$504,0))&amp;"","")="유지비",COUNTIF(계정대체기준!$A$6:$A$15,$N498)&gt;0),IFERROR(INDEX(계정대체기준!$E$6:$E$15,MATCH(VALUE($A498&amp;""),계정대체기준!$D$6:$D$15,0)),0),0))</f>
        <v/>
      </c>
      <c r="AH498" s="64">
        <f>IF($A498="","",IF(AD498=0,"",IF(OR(COUNTIF(계정대체기준!$A$77:$A$86,$N498)&gt;0,ISNUMBER(MATCH($X498,계정대체기준!$D$77:$D$86,0)),ISNUMBER(MATCH($F498,계정대체기준!$D$77:$D$86,0))),"Y","N")))</f>
        <v/>
      </c>
    </row>
    <row r="499">
      <c r="A499" s="92" t="n">
        <v>2025</v>
      </c>
      <c r="B499" s="92" t="n">
        <v>3</v>
      </c>
      <c r="C499" s="92" t="inlineStr">
        <is>
          <t>5100000495</t>
        </is>
      </c>
      <c r="D499" s="95" t="n">
        <v>45721</v>
      </c>
      <c r="E499" s="92" t="inlineStr">
        <is>
          <t>KR</t>
        </is>
      </c>
      <c r="F499" s="92" t="n">
        <v>62901000</v>
      </c>
      <c r="G499" s="92" t="n">
        <v>1951</v>
      </c>
      <c r="H499" s="93" t="n">
        <v>4229000</v>
      </c>
      <c r="I499" s="92" t="inlineStr">
        <is>
          <t>3월 자문 수수료 - W컨설팅</t>
        </is>
      </c>
      <c r="J499" s="92" t="inlineStr">
        <is>
          <t>V10006</t>
        </is>
      </c>
      <c r="K499" s="92" t="inlineStr">
        <is>
          <t>W컨설팅</t>
        </is>
      </c>
      <c r="M499" s="9">
        <f>IF($A499="","",VALUE($A499&amp;"")*12+VALUE($B499&amp;""))</f>
        <v/>
      </c>
      <c r="N499" s="64">
        <f>IF($A499="","",IFERROR(INDEX(부서매핑!$C$5:$C$504,MATCH($G499&amp;"",부서매핑!$A$5:$A$504,0)),"미매핑"))</f>
        <v/>
      </c>
      <c r="O499" s="9">
        <f>IF($A499="","",N499&amp;"|"&amp;$F499)</f>
        <v/>
      </c>
      <c r="P499" s="94">
        <f>IF($A499="",0,$H499*설정!$C$23)</f>
        <v/>
      </c>
      <c r="Q499" s="64">
        <f>IF($A499="","",IF(O499&lt;&gt;원인분석!$C$9,"",IF(AND(M499&gt;=원인분석!$C$10,M499&lt;=원인분석!$C$11),"당기",IF(AND(M499&gt;=원인분석!$C$12,M499&lt;=원인분석!$C$13),"비교",""))))</f>
        <v/>
      </c>
      <c r="R499" s="9">
        <f>IF(Q499="","",$K499&amp;"")</f>
        <v/>
      </c>
      <c r="S499" s="9">
        <f>IF(Q499="","",IF(MATCH(R499,$R$5:$R$100000,0)=ROW()-4,ROW(),""))</f>
        <v/>
      </c>
      <c r="T499" s="9">
        <f>IF(Q499="당기",ABS(P499)+ROW()/1000000000,"")</f>
        <v/>
      </c>
      <c r="U499" s="9">
        <f>IF(Q499="비교",ABS(P499)+ROW()/1000000000,"")</f>
        <v/>
      </c>
      <c r="V499" s="64">
        <f>IF($A499="","",IF(COUNTIF(변동분석!$E$7:$E$506,O499)&gt;0,"Y","N"))</f>
        <v/>
      </c>
      <c r="W499" s="64">
        <f>IF($A499="","",IFERROR(INDEX(계정매핑!$D$5:$D$504,MATCH($F499&amp;"",계정매핑!$A$5:$A$504,0)),"미매핑"))</f>
        <v/>
      </c>
      <c r="X499" s="9">
        <f>IF($A499="","",$F499&amp;"")</f>
        <v/>
      </c>
      <c r="Y499" s="94">
        <f>IF($A499="",0,IF(AE499="직접",IF(AF499="비귀속",$P499,0),$P499*(1-AG499)*IFERROR(INDEX(계정대체기준!$F$20:$F$49,MATCH($N499,계정대체기준!$A$20:$A$49,0)),1)))</f>
        <v/>
      </c>
      <c r="Z499" s="94">
        <f>IF($A499="",0,IF(AE499="직접",IF(AF499="신계약비",$P499,0),$P499*(1-AG499)*IFERROR(INDEX(계정대체기준!$C$20:$C$49,MATCH($N499,계정대체기준!$A$20:$A$49,0)),0)))</f>
        <v/>
      </c>
      <c r="AA499" s="94">
        <f>IF($A499="",0,IF(AE499="직접",IF(OR(AF499="유지비",AF499="손해조사비"),$P499,0),$P499*(1-AG499)*IFERROR(INDEX(계정대체기준!$D$20:$D$49,MATCH($N499,계정대체기준!$A$20:$A$49,0)),0)))</f>
        <v/>
      </c>
      <c r="AB499" s="94">
        <f>IF($A499="",0,IF(AE499="직접",IF(AF499="수금비",$P499,0),$P499*(1-AG499)*IFERROR(INDEX(계정대체기준!$E$20:$E$49,MATCH($N499,계정대체기준!$A$20:$A$49,0)),0)))</f>
        <v/>
      </c>
      <c r="AC499" s="9">
        <f>IF(AND($A499&lt;&gt;"",M499=설정!$C$20,Z499&gt;0),Z499+ROW()/1000000000,"")</f>
        <v/>
      </c>
      <c r="AD499" s="94">
        <f>IF($A499="",0,$P499*AG499)</f>
        <v/>
      </c>
      <c r="AE499" s="64">
        <f>IF($A499="","",IFERROR(INDEX(계정매핑!$E$5:$E$504,MATCH($F499&amp;"",계정매핑!$A$5:$A$504,0))&amp;"","공통비"))</f>
        <v/>
      </c>
      <c r="AF499" s="64">
        <f>IF($A499="","",IF(AE499="직접",IFERROR(INDEX(계정매핑!$F$5:$F$504,MATCH($F499&amp;"",계정매핑!$A$5:$A$504,0))&amp;"","비귀속"),""))</f>
        <v/>
      </c>
      <c r="AG499" s="96">
        <f>IF($A499="",0,IF(AND(AE499&lt;&gt;"직접",IFERROR(INDEX(계정매핑!$G$5:$G$504,MATCH($F499&amp;"",계정매핑!$A$5:$A$504,0))&amp;"","")="유지비",COUNTIF(계정대체기준!$A$6:$A$15,$N499)&gt;0),IFERROR(INDEX(계정대체기준!$E$6:$E$15,MATCH(VALUE($A499&amp;""),계정대체기준!$D$6:$D$15,0)),0),0))</f>
        <v/>
      </c>
      <c r="AH499" s="64">
        <f>IF($A499="","",IF(AD499=0,"",IF(OR(COUNTIF(계정대체기준!$A$77:$A$86,$N499)&gt;0,ISNUMBER(MATCH($X499,계정대체기준!$D$77:$D$86,0)),ISNUMBER(MATCH($F499,계정대체기준!$D$77:$D$86,0))),"Y","N")))</f>
        <v/>
      </c>
    </row>
    <row r="500">
      <c r="A500" s="92" t="n">
        <v>2025</v>
      </c>
      <c r="B500" s="92" t="n">
        <v>3</v>
      </c>
      <c r="C500" s="92" t="inlineStr">
        <is>
          <t>5100000496</t>
        </is>
      </c>
      <c r="D500" s="95" t="n">
        <v>45721</v>
      </c>
      <c r="E500" s="92" t="inlineStr">
        <is>
          <t>KR</t>
        </is>
      </c>
      <c r="F500" s="92" t="n">
        <v>62902000</v>
      </c>
      <c r="G500" s="92" t="n">
        <v>1801</v>
      </c>
      <c r="H500" s="93" t="n">
        <v>1852000</v>
      </c>
      <c r="I500" s="92" t="inlineStr">
        <is>
          <t>3월 콜 위탁 수수료(건별)</t>
        </is>
      </c>
      <c r="J500" s="92" t="inlineStr">
        <is>
          <t>V10016</t>
        </is>
      </c>
      <c r="K500" s="92" t="inlineStr">
        <is>
          <t>J콜센터</t>
        </is>
      </c>
      <c r="M500" s="9">
        <f>IF($A500="","",VALUE($A500&amp;"")*12+VALUE($B500&amp;""))</f>
        <v/>
      </c>
      <c r="N500" s="64">
        <f>IF($A500="","",IFERROR(INDEX(부서매핑!$C$5:$C$504,MATCH($G500&amp;"",부서매핑!$A$5:$A$504,0)),"미매핑"))</f>
        <v/>
      </c>
      <c r="O500" s="9">
        <f>IF($A500="","",N500&amp;"|"&amp;$F500)</f>
        <v/>
      </c>
      <c r="P500" s="94">
        <f>IF($A500="",0,$H500*설정!$C$23)</f>
        <v/>
      </c>
      <c r="Q500" s="64">
        <f>IF($A500="","",IF(O500&lt;&gt;원인분석!$C$9,"",IF(AND(M500&gt;=원인분석!$C$10,M500&lt;=원인분석!$C$11),"당기",IF(AND(M500&gt;=원인분석!$C$12,M500&lt;=원인분석!$C$13),"비교",""))))</f>
        <v/>
      </c>
      <c r="R500" s="9">
        <f>IF(Q500="","",$K500&amp;"")</f>
        <v/>
      </c>
      <c r="S500" s="9">
        <f>IF(Q500="","",IF(MATCH(R500,$R$5:$R$100000,0)=ROW()-4,ROW(),""))</f>
        <v/>
      </c>
      <c r="T500" s="9">
        <f>IF(Q500="당기",ABS(P500)+ROW()/1000000000,"")</f>
        <v/>
      </c>
      <c r="U500" s="9">
        <f>IF(Q500="비교",ABS(P500)+ROW()/1000000000,"")</f>
        <v/>
      </c>
      <c r="V500" s="64">
        <f>IF($A500="","",IF(COUNTIF(변동분석!$E$7:$E$506,O500)&gt;0,"Y","N"))</f>
        <v/>
      </c>
      <c r="W500" s="64">
        <f>IF($A500="","",IFERROR(INDEX(계정매핑!$D$5:$D$504,MATCH($F500&amp;"",계정매핑!$A$5:$A$504,0)),"미매핑"))</f>
        <v/>
      </c>
      <c r="X500" s="9">
        <f>IF($A500="","",$F500&amp;"")</f>
        <v/>
      </c>
      <c r="Y500" s="94">
        <f>IF($A500="",0,IF(AE500="직접",IF(AF500="비귀속",$P500,0),$P500*(1-AG500)*IFERROR(INDEX(계정대체기준!$F$20:$F$49,MATCH($N500,계정대체기준!$A$20:$A$49,0)),1)))</f>
        <v/>
      </c>
      <c r="Z500" s="94">
        <f>IF($A500="",0,IF(AE500="직접",IF(AF500="신계약비",$P500,0),$P500*(1-AG500)*IFERROR(INDEX(계정대체기준!$C$20:$C$49,MATCH($N500,계정대체기준!$A$20:$A$49,0)),0)))</f>
        <v/>
      </c>
      <c r="AA500" s="94">
        <f>IF($A500="",0,IF(AE500="직접",IF(OR(AF500="유지비",AF500="손해조사비"),$P500,0),$P500*(1-AG500)*IFERROR(INDEX(계정대체기준!$D$20:$D$49,MATCH($N500,계정대체기준!$A$20:$A$49,0)),0)))</f>
        <v/>
      </c>
      <c r="AB500" s="94">
        <f>IF($A500="",0,IF(AE500="직접",IF(AF500="수금비",$P500,0),$P500*(1-AG500)*IFERROR(INDEX(계정대체기준!$E$20:$E$49,MATCH($N500,계정대체기준!$A$20:$A$49,0)),0)))</f>
        <v/>
      </c>
      <c r="AC500" s="9">
        <f>IF(AND($A500&lt;&gt;"",M500=설정!$C$20,Z500&gt;0),Z500+ROW()/1000000000,"")</f>
        <v/>
      </c>
      <c r="AD500" s="94">
        <f>IF($A500="",0,$P500*AG500)</f>
        <v/>
      </c>
      <c r="AE500" s="64">
        <f>IF($A500="","",IFERROR(INDEX(계정매핑!$E$5:$E$504,MATCH($F500&amp;"",계정매핑!$A$5:$A$504,0))&amp;"","공통비"))</f>
        <v/>
      </c>
      <c r="AF500" s="64">
        <f>IF($A500="","",IF(AE500="직접",IFERROR(INDEX(계정매핑!$F$5:$F$504,MATCH($F500&amp;"",계정매핑!$A$5:$A$504,0))&amp;"","비귀속"),""))</f>
        <v/>
      </c>
      <c r="AG500" s="96">
        <f>IF($A500="",0,IF(AND(AE500&lt;&gt;"직접",IFERROR(INDEX(계정매핑!$G$5:$G$504,MATCH($F500&amp;"",계정매핑!$A$5:$A$504,0))&amp;"","")="유지비",COUNTIF(계정대체기준!$A$6:$A$15,$N500)&gt;0),IFERROR(INDEX(계정대체기준!$E$6:$E$15,MATCH(VALUE($A500&amp;""),계정대체기준!$D$6:$D$15,0)),0),0))</f>
        <v/>
      </c>
      <c r="AH500" s="64">
        <f>IF($A500="","",IF(AD500=0,"",IF(OR(COUNTIF(계정대체기준!$A$77:$A$86,$N500)&gt;0,ISNUMBER(MATCH($X500,계정대체기준!$D$77:$D$86,0)),ISNUMBER(MATCH($F500,계정대체기준!$D$77:$D$86,0))),"Y","N")))</f>
        <v/>
      </c>
    </row>
    <row r="501">
      <c r="A501" s="92" t="n">
        <v>2025</v>
      </c>
      <c r="B501" s="92" t="n">
        <v>3</v>
      </c>
      <c r="C501" s="92" t="inlineStr">
        <is>
          <t>5100000497</t>
        </is>
      </c>
      <c r="D501" s="95" t="n">
        <v>45721</v>
      </c>
      <c r="E501" s="92" t="inlineStr">
        <is>
          <t>KR</t>
        </is>
      </c>
      <c r="F501" s="92" t="n">
        <v>63101000</v>
      </c>
      <c r="G501" s="92" t="n">
        <v>1602</v>
      </c>
      <c r="H501" s="93" t="n">
        <v>2900000</v>
      </c>
      <c r="I501" s="92" t="inlineStr">
        <is>
          <t>3월 사무실 임차료 - BB부동산</t>
        </is>
      </c>
      <c r="J501" s="92" t="inlineStr">
        <is>
          <t>V10028</t>
        </is>
      </c>
      <c r="K501" s="92" t="inlineStr">
        <is>
          <t>BB부동산</t>
        </is>
      </c>
      <c r="M501" s="9">
        <f>IF($A501="","",VALUE($A501&amp;"")*12+VALUE($B501&amp;""))</f>
        <v/>
      </c>
      <c r="N501" s="64">
        <f>IF($A501="","",IFERROR(INDEX(부서매핑!$C$5:$C$504,MATCH($G501&amp;"",부서매핑!$A$5:$A$504,0)),"미매핑"))</f>
        <v/>
      </c>
      <c r="O501" s="9">
        <f>IF($A501="","",N501&amp;"|"&amp;$F501)</f>
        <v/>
      </c>
      <c r="P501" s="94">
        <f>IF($A501="",0,$H501*설정!$C$23)</f>
        <v/>
      </c>
      <c r="Q501" s="64">
        <f>IF($A501="","",IF(O501&lt;&gt;원인분석!$C$9,"",IF(AND(M501&gt;=원인분석!$C$10,M501&lt;=원인분석!$C$11),"당기",IF(AND(M501&gt;=원인분석!$C$12,M501&lt;=원인분석!$C$13),"비교",""))))</f>
        <v/>
      </c>
      <c r="R501" s="9">
        <f>IF(Q501="","",$K501&amp;"")</f>
        <v/>
      </c>
      <c r="S501" s="9">
        <f>IF(Q501="","",IF(MATCH(R501,$R$5:$R$100000,0)=ROW()-4,ROW(),""))</f>
        <v/>
      </c>
      <c r="T501" s="9">
        <f>IF(Q501="당기",ABS(P501)+ROW()/1000000000,"")</f>
        <v/>
      </c>
      <c r="U501" s="9">
        <f>IF(Q501="비교",ABS(P501)+ROW()/1000000000,"")</f>
        <v/>
      </c>
      <c r="V501" s="64">
        <f>IF($A501="","",IF(COUNTIF(변동분석!$E$7:$E$506,O501)&gt;0,"Y","N"))</f>
        <v/>
      </c>
      <c r="W501" s="64">
        <f>IF($A501="","",IFERROR(INDEX(계정매핑!$D$5:$D$504,MATCH($F501&amp;"",계정매핑!$A$5:$A$504,0)),"미매핑"))</f>
        <v/>
      </c>
      <c r="X501" s="9">
        <f>IF($A501="","",$F501&amp;"")</f>
        <v/>
      </c>
      <c r="Y501" s="94">
        <f>IF($A501="",0,IF(AE501="직접",IF(AF501="비귀속",$P501,0),$P501*(1-AG501)*IFERROR(INDEX(계정대체기준!$F$20:$F$49,MATCH($N501,계정대체기준!$A$20:$A$49,0)),1)))</f>
        <v/>
      </c>
      <c r="Z501" s="94">
        <f>IF($A501="",0,IF(AE501="직접",IF(AF501="신계약비",$P501,0),$P501*(1-AG501)*IFERROR(INDEX(계정대체기준!$C$20:$C$49,MATCH($N501,계정대체기준!$A$20:$A$49,0)),0)))</f>
        <v/>
      </c>
      <c r="AA501" s="94">
        <f>IF($A501="",0,IF(AE501="직접",IF(OR(AF501="유지비",AF501="손해조사비"),$P501,0),$P501*(1-AG501)*IFERROR(INDEX(계정대체기준!$D$20:$D$49,MATCH($N501,계정대체기준!$A$20:$A$49,0)),0)))</f>
        <v/>
      </c>
      <c r="AB501" s="94">
        <f>IF($A501="",0,IF(AE501="직접",IF(AF501="수금비",$P501,0),$P501*(1-AG501)*IFERROR(INDEX(계정대체기준!$E$20:$E$49,MATCH($N501,계정대체기준!$A$20:$A$49,0)),0)))</f>
        <v/>
      </c>
      <c r="AC501" s="9">
        <f>IF(AND($A501&lt;&gt;"",M501=설정!$C$20,Z501&gt;0),Z501+ROW()/1000000000,"")</f>
        <v/>
      </c>
      <c r="AD501" s="94">
        <f>IF($A501="",0,$P501*AG501)</f>
        <v/>
      </c>
      <c r="AE501" s="64">
        <f>IF($A501="","",IFERROR(INDEX(계정매핑!$E$5:$E$504,MATCH($F501&amp;"",계정매핑!$A$5:$A$504,0))&amp;"","공통비"))</f>
        <v/>
      </c>
      <c r="AF501" s="64">
        <f>IF($A501="","",IF(AE501="직접",IFERROR(INDEX(계정매핑!$F$5:$F$504,MATCH($F501&amp;"",계정매핑!$A$5:$A$504,0))&amp;"","비귀속"),""))</f>
        <v/>
      </c>
      <c r="AG501" s="96">
        <f>IF($A501="",0,IF(AND(AE501&lt;&gt;"직접",IFERROR(INDEX(계정매핑!$G$5:$G$504,MATCH($F501&amp;"",계정매핑!$A$5:$A$504,0))&amp;"","")="유지비",COUNTIF(계정대체기준!$A$6:$A$15,$N501)&gt;0),IFERROR(INDEX(계정대체기준!$E$6:$E$15,MATCH(VALUE($A501&amp;""),계정대체기준!$D$6:$D$15,0)),0),0))</f>
        <v/>
      </c>
      <c r="AH501" s="64">
        <f>IF($A501="","",IF(AD501=0,"",IF(OR(COUNTIF(계정대체기준!$A$77:$A$86,$N501)&gt;0,ISNUMBER(MATCH($X501,계정대체기준!$D$77:$D$86,0)),ISNUMBER(MATCH($F501,계정대체기준!$D$77:$D$86,0))),"Y","N")))</f>
        <v/>
      </c>
    </row>
    <row r="502">
      <c r="A502" s="92" t="n">
        <v>2025</v>
      </c>
      <c r="B502" s="92" t="n">
        <v>3</v>
      </c>
      <c r="C502" s="92" t="inlineStr">
        <is>
          <t>5100000498</t>
        </is>
      </c>
      <c r="D502" s="95" t="n">
        <v>45722</v>
      </c>
      <c r="E502" s="92" t="inlineStr">
        <is>
          <t>KR</t>
        </is>
      </c>
      <c r="F502" s="92" t="n">
        <v>62101000</v>
      </c>
      <c r="G502" s="92" t="n">
        <v>1501</v>
      </c>
      <c r="H502" s="93" t="n">
        <v>482000</v>
      </c>
      <c r="I502" s="92" t="inlineStr">
        <is>
          <t>3월 국내출장 - L여행사</t>
        </is>
      </c>
      <c r="J502" s="92" t="inlineStr">
        <is>
          <t>V10018</t>
        </is>
      </c>
      <c r="K502" s="92" t="inlineStr">
        <is>
          <t>L여행사</t>
        </is>
      </c>
      <c r="M502" s="9">
        <f>IF($A502="","",VALUE($A502&amp;"")*12+VALUE($B502&amp;""))</f>
        <v/>
      </c>
      <c r="N502" s="64">
        <f>IF($A502="","",IFERROR(INDEX(부서매핑!$C$5:$C$504,MATCH($G502&amp;"",부서매핑!$A$5:$A$504,0)),"미매핑"))</f>
        <v/>
      </c>
      <c r="O502" s="9">
        <f>IF($A502="","",N502&amp;"|"&amp;$F502)</f>
        <v/>
      </c>
      <c r="P502" s="94">
        <f>IF($A502="",0,$H502*설정!$C$23)</f>
        <v/>
      </c>
      <c r="Q502" s="64">
        <f>IF($A502="","",IF(O502&lt;&gt;원인분석!$C$9,"",IF(AND(M502&gt;=원인분석!$C$10,M502&lt;=원인분석!$C$11),"당기",IF(AND(M502&gt;=원인분석!$C$12,M502&lt;=원인분석!$C$13),"비교",""))))</f>
        <v/>
      </c>
      <c r="R502" s="9">
        <f>IF(Q502="","",$K502&amp;"")</f>
        <v/>
      </c>
      <c r="S502" s="9">
        <f>IF(Q502="","",IF(MATCH(R502,$R$5:$R$100000,0)=ROW()-4,ROW(),""))</f>
        <v/>
      </c>
      <c r="T502" s="9">
        <f>IF(Q502="당기",ABS(P502)+ROW()/1000000000,"")</f>
        <v/>
      </c>
      <c r="U502" s="9">
        <f>IF(Q502="비교",ABS(P502)+ROW()/1000000000,"")</f>
        <v/>
      </c>
      <c r="V502" s="64">
        <f>IF($A502="","",IF(COUNTIF(변동분석!$E$7:$E$506,O502)&gt;0,"Y","N"))</f>
        <v/>
      </c>
      <c r="W502" s="64">
        <f>IF($A502="","",IFERROR(INDEX(계정매핑!$D$5:$D$504,MATCH($F502&amp;"",계정매핑!$A$5:$A$504,0)),"미매핑"))</f>
        <v/>
      </c>
      <c r="X502" s="9">
        <f>IF($A502="","",$F502&amp;"")</f>
        <v/>
      </c>
      <c r="Y502" s="94">
        <f>IF($A502="",0,IF(AE502="직접",IF(AF502="비귀속",$P502,0),$P502*(1-AG502)*IFERROR(INDEX(계정대체기준!$F$20:$F$49,MATCH($N502,계정대체기준!$A$20:$A$49,0)),1)))</f>
        <v/>
      </c>
      <c r="Z502" s="94">
        <f>IF($A502="",0,IF(AE502="직접",IF(AF502="신계약비",$P502,0),$P502*(1-AG502)*IFERROR(INDEX(계정대체기준!$C$20:$C$49,MATCH($N502,계정대체기준!$A$20:$A$49,0)),0)))</f>
        <v/>
      </c>
      <c r="AA502" s="94">
        <f>IF($A502="",0,IF(AE502="직접",IF(OR(AF502="유지비",AF502="손해조사비"),$P502,0),$P502*(1-AG502)*IFERROR(INDEX(계정대체기준!$D$20:$D$49,MATCH($N502,계정대체기준!$A$20:$A$49,0)),0)))</f>
        <v/>
      </c>
      <c r="AB502" s="94">
        <f>IF($A502="",0,IF(AE502="직접",IF(AF502="수금비",$P502,0),$P502*(1-AG502)*IFERROR(INDEX(계정대체기준!$E$20:$E$49,MATCH($N502,계정대체기준!$A$20:$A$49,0)),0)))</f>
        <v/>
      </c>
      <c r="AC502" s="9">
        <f>IF(AND($A502&lt;&gt;"",M502=설정!$C$20,Z502&gt;0),Z502+ROW()/1000000000,"")</f>
        <v/>
      </c>
      <c r="AD502" s="94">
        <f>IF($A502="",0,$P502*AG502)</f>
        <v/>
      </c>
      <c r="AE502" s="64">
        <f>IF($A502="","",IFERROR(INDEX(계정매핑!$E$5:$E$504,MATCH($F502&amp;"",계정매핑!$A$5:$A$504,0))&amp;"","공통비"))</f>
        <v/>
      </c>
      <c r="AF502" s="64">
        <f>IF($A502="","",IF(AE502="직접",IFERROR(INDEX(계정매핑!$F$5:$F$504,MATCH($F502&amp;"",계정매핑!$A$5:$A$504,0))&amp;"","비귀속"),""))</f>
        <v/>
      </c>
      <c r="AG502" s="96">
        <f>IF($A502="",0,IF(AND(AE502&lt;&gt;"직접",IFERROR(INDEX(계정매핑!$G$5:$G$504,MATCH($F502&amp;"",계정매핑!$A$5:$A$504,0))&amp;"","")="유지비",COUNTIF(계정대체기준!$A$6:$A$15,$N502)&gt;0),IFERROR(INDEX(계정대체기준!$E$6:$E$15,MATCH(VALUE($A502&amp;""),계정대체기준!$D$6:$D$15,0)),0),0))</f>
        <v/>
      </c>
      <c r="AH502" s="64">
        <f>IF($A502="","",IF(AD502=0,"",IF(OR(COUNTIF(계정대체기준!$A$77:$A$86,$N502)&gt;0,ISNUMBER(MATCH($X502,계정대체기준!$D$77:$D$86,0)),ISNUMBER(MATCH($F502,계정대체기준!$D$77:$D$86,0))),"Y","N")))</f>
        <v/>
      </c>
    </row>
    <row r="503">
      <c r="A503" s="92" t="n">
        <v>2025</v>
      </c>
      <c r="B503" s="92" t="n">
        <v>3</v>
      </c>
      <c r="C503" s="92" t="inlineStr">
        <is>
          <t>5100000499</t>
        </is>
      </c>
      <c r="D503" s="95" t="n">
        <v>45722</v>
      </c>
      <c r="E503" s="92" t="inlineStr">
        <is>
          <t>KR</t>
        </is>
      </c>
      <c r="F503" s="92" t="n">
        <v>62102000</v>
      </c>
      <c r="G503" s="92" t="n">
        <v>1101</v>
      </c>
      <c r="H503" s="93" t="n">
        <v>117000</v>
      </c>
      <c r="I503" s="92" t="inlineStr">
        <is>
          <t>3월 해외출장 - N호텔</t>
        </is>
      </c>
      <c r="J503" s="92" t="inlineStr">
        <is>
          <t>V10009</t>
        </is>
      </c>
      <c r="K503" s="92" t="inlineStr">
        <is>
          <t>N호텔</t>
        </is>
      </c>
      <c r="M503" s="9">
        <f>IF($A503="","",VALUE($A503&amp;"")*12+VALUE($B503&amp;""))</f>
        <v/>
      </c>
      <c r="N503" s="64">
        <f>IF($A503="","",IFERROR(INDEX(부서매핑!$C$5:$C$504,MATCH($G503&amp;"",부서매핑!$A$5:$A$504,0)),"미매핑"))</f>
        <v/>
      </c>
      <c r="O503" s="9">
        <f>IF($A503="","",N503&amp;"|"&amp;$F503)</f>
        <v/>
      </c>
      <c r="P503" s="94">
        <f>IF($A503="",0,$H503*설정!$C$23)</f>
        <v/>
      </c>
      <c r="Q503" s="64">
        <f>IF($A503="","",IF(O503&lt;&gt;원인분석!$C$9,"",IF(AND(M503&gt;=원인분석!$C$10,M503&lt;=원인분석!$C$11),"당기",IF(AND(M503&gt;=원인분석!$C$12,M503&lt;=원인분석!$C$13),"비교",""))))</f>
        <v/>
      </c>
      <c r="R503" s="9">
        <f>IF(Q503="","",$K503&amp;"")</f>
        <v/>
      </c>
      <c r="S503" s="9">
        <f>IF(Q503="","",IF(MATCH(R503,$R$5:$R$100000,0)=ROW()-4,ROW(),""))</f>
        <v/>
      </c>
      <c r="T503" s="9">
        <f>IF(Q503="당기",ABS(P503)+ROW()/1000000000,"")</f>
        <v/>
      </c>
      <c r="U503" s="9">
        <f>IF(Q503="비교",ABS(P503)+ROW()/1000000000,"")</f>
        <v/>
      </c>
      <c r="V503" s="64">
        <f>IF($A503="","",IF(COUNTIF(변동분석!$E$7:$E$506,O503)&gt;0,"Y","N"))</f>
        <v/>
      </c>
      <c r="W503" s="64">
        <f>IF($A503="","",IFERROR(INDEX(계정매핑!$D$5:$D$504,MATCH($F503&amp;"",계정매핑!$A$5:$A$504,0)),"미매핑"))</f>
        <v/>
      </c>
      <c r="X503" s="9">
        <f>IF($A503="","",$F503&amp;"")</f>
        <v/>
      </c>
      <c r="Y503" s="94">
        <f>IF($A503="",0,IF(AE503="직접",IF(AF503="비귀속",$P503,0),$P503*(1-AG503)*IFERROR(INDEX(계정대체기준!$F$20:$F$49,MATCH($N503,계정대체기준!$A$20:$A$49,0)),1)))</f>
        <v/>
      </c>
      <c r="Z503" s="94">
        <f>IF($A503="",0,IF(AE503="직접",IF(AF503="신계약비",$P503,0),$P503*(1-AG503)*IFERROR(INDEX(계정대체기준!$C$20:$C$49,MATCH($N503,계정대체기준!$A$20:$A$49,0)),0)))</f>
        <v/>
      </c>
      <c r="AA503" s="94">
        <f>IF($A503="",0,IF(AE503="직접",IF(OR(AF503="유지비",AF503="손해조사비"),$P503,0),$P503*(1-AG503)*IFERROR(INDEX(계정대체기준!$D$20:$D$49,MATCH($N503,계정대체기준!$A$20:$A$49,0)),0)))</f>
        <v/>
      </c>
      <c r="AB503" s="94">
        <f>IF($A503="",0,IF(AE503="직접",IF(AF503="수금비",$P503,0),$P503*(1-AG503)*IFERROR(INDEX(계정대체기준!$E$20:$E$49,MATCH($N503,계정대체기준!$A$20:$A$49,0)),0)))</f>
        <v/>
      </c>
      <c r="AC503" s="9">
        <f>IF(AND($A503&lt;&gt;"",M503=설정!$C$20,Z503&gt;0),Z503+ROW()/1000000000,"")</f>
        <v/>
      </c>
      <c r="AD503" s="94">
        <f>IF($A503="",0,$P503*AG503)</f>
        <v/>
      </c>
      <c r="AE503" s="64">
        <f>IF($A503="","",IFERROR(INDEX(계정매핑!$E$5:$E$504,MATCH($F503&amp;"",계정매핑!$A$5:$A$504,0))&amp;"","공통비"))</f>
        <v/>
      </c>
      <c r="AF503" s="64">
        <f>IF($A503="","",IF(AE503="직접",IFERROR(INDEX(계정매핑!$F$5:$F$504,MATCH($F503&amp;"",계정매핑!$A$5:$A$504,0))&amp;"","비귀속"),""))</f>
        <v/>
      </c>
      <c r="AG503" s="96">
        <f>IF($A503="",0,IF(AND(AE503&lt;&gt;"직접",IFERROR(INDEX(계정매핑!$G$5:$G$504,MATCH($F503&amp;"",계정매핑!$A$5:$A$504,0))&amp;"","")="유지비",COUNTIF(계정대체기준!$A$6:$A$15,$N503)&gt;0),IFERROR(INDEX(계정대체기준!$E$6:$E$15,MATCH(VALUE($A503&amp;""),계정대체기준!$D$6:$D$15,0)),0),0))</f>
        <v/>
      </c>
      <c r="AH503" s="64">
        <f>IF($A503="","",IF(AD503=0,"",IF(OR(COUNTIF(계정대체기준!$A$77:$A$86,$N503)&gt;0,ISNUMBER(MATCH($X503,계정대체기준!$D$77:$D$86,0)),ISNUMBER(MATCH($F503,계정대체기준!$D$77:$D$86,0))),"Y","N")))</f>
        <v/>
      </c>
    </row>
    <row r="504">
      <c r="A504" s="92" t="n">
        <v>2025</v>
      </c>
      <c r="B504" s="92" t="n">
        <v>3</v>
      </c>
      <c r="C504" s="92" t="inlineStr">
        <is>
          <t>5100000500</t>
        </is>
      </c>
      <c r="D504" s="95" t="n">
        <v>45722</v>
      </c>
      <c r="E504" s="92" t="inlineStr">
        <is>
          <t>KR</t>
        </is>
      </c>
      <c r="F504" s="92" t="n">
        <v>62301000</v>
      </c>
      <c r="G504" s="92" t="n">
        <v>1101</v>
      </c>
      <c r="H504" s="93" t="n">
        <v>182000</v>
      </c>
      <c r="I504" s="92" t="inlineStr">
        <is>
          <t>3월 소모품 구입 - Q오피스</t>
        </is>
      </c>
      <c r="J504" s="92" t="inlineStr">
        <is>
          <t>V10003</t>
        </is>
      </c>
      <c r="K504" s="92" t="inlineStr">
        <is>
          <t>Q오피스</t>
        </is>
      </c>
      <c r="M504" s="9">
        <f>IF($A504="","",VALUE($A504&amp;"")*12+VALUE($B504&amp;""))</f>
        <v/>
      </c>
      <c r="N504" s="64">
        <f>IF($A504="","",IFERROR(INDEX(부서매핑!$C$5:$C$504,MATCH($G504&amp;"",부서매핑!$A$5:$A$504,0)),"미매핑"))</f>
        <v/>
      </c>
      <c r="O504" s="9">
        <f>IF($A504="","",N504&amp;"|"&amp;$F504)</f>
        <v/>
      </c>
      <c r="P504" s="94">
        <f>IF($A504="",0,$H504*설정!$C$23)</f>
        <v/>
      </c>
      <c r="Q504" s="64">
        <f>IF($A504="","",IF(O504&lt;&gt;원인분석!$C$9,"",IF(AND(M504&gt;=원인분석!$C$10,M504&lt;=원인분석!$C$11),"당기",IF(AND(M504&gt;=원인분석!$C$12,M504&lt;=원인분석!$C$13),"비교",""))))</f>
        <v/>
      </c>
      <c r="R504" s="9">
        <f>IF(Q504="","",$K504&amp;"")</f>
        <v/>
      </c>
      <c r="S504" s="9">
        <f>IF(Q504="","",IF(MATCH(R504,$R$5:$R$100000,0)=ROW()-4,ROW(),""))</f>
        <v/>
      </c>
      <c r="T504" s="9">
        <f>IF(Q504="당기",ABS(P504)+ROW()/1000000000,"")</f>
        <v/>
      </c>
      <c r="U504" s="9">
        <f>IF(Q504="비교",ABS(P504)+ROW()/1000000000,"")</f>
        <v/>
      </c>
      <c r="V504" s="64">
        <f>IF($A504="","",IF(COUNTIF(변동분석!$E$7:$E$506,O504)&gt;0,"Y","N"))</f>
        <v/>
      </c>
      <c r="W504" s="64">
        <f>IF($A504="","",IFERROR(INDEX(계정매핑!$D$5:$D$504,MATCH($F504&amp;"",계정매핑!$A$5:$A$504,0)),"미매핑"))</f>
        <v/>
      </c>
      <c r="X504" s="9">
        <f>IF($A504="","",$F504&amp;"")</f>
        <v/>
      </c>
      <c r="Y504" s="94">
        <f>IF($A504="",0,IF(AE504="직접",IF(AF504="비귀속",$P504,0),$P504*(1-AG504)*IFERROR(INDEX(계정대체기준!$F$20:$F$49,MATCH($N504,계정대체기준!$A$20:$A$49,0)),1)))</f>
        <v/>
      </c>
      <c r="Z504" s="94">
        <f>IF($A504="",0,IF(AE504="직접",IF(AF504="신계약비",$P504,0),$P504*(1-AG504)*IFERROR(INDEX(계정대체기준!$C$20:$C$49,MATCH($N504,계정대체기준!$A$20:$A$49,0)),0)))</f>
        <v/>
      </c>
      <c r="AA504" s="94">
        <f>IF($A504="",0,IF(AE504="직접",IF(OR(AF504="유지비",AF504="손해조사비"),$P504,0),$P504*(1-AG504)*IFERROR(INDEX(계정대체기준!$D$20:$D$49,MATCH($N504,계정대체기준!$A$20:$A$49,0)),0)))</f>
        <v/>
      </c>
      <c r="AB504" s="94">
        <f>IF($A504="",0,IF(AE504="직접",IF(AF504="수금비",$P504,0),$P504*(1-AG504)*IFERROR(INDEX(계정대체기준!$E$20:$E$49,MATCH($N504,계정대체기준!$A$20:$A$49,0)),0)))</f>
        <v/>
      </c>
      <c r="AC504" s="9">
        <f>IF(AND($A504&lt;&gt;"",M504=설정!$C$20,Z504&gt;0),Z504+ROW()/1000000000,"")</f>
        <v/>
      </c>
      <c r="AD504" s="94">
        <f>IF($A504="",0,$P504*AG504)</f>
        <v/>
      </c>
      <c r="AE504" s="64">
        <f>IF($A504="","",IFERROR(INDEX(계정매핑!$E$5:$E$504,MATCH($F504&amp;"",계정매핑!$A$5:$A$504,0))&amp;"","공통비"))</f>
        <v/>
      </c>
      <c r="AF504" s="64">
        <f>IF($A504="","",IF(AE504="직접",IFERROR(INDEX(계정매핑!$F$5:$F$504,MATCH($F504&amp;"",계정매핑!$A$5:$A$504,0))&amp;"","비귀속"),""))</f>
        <v/>
      </c>
      <c r="AG504" s="96">
        <f>IF($A504="",0,IF(AND(AE504&lt;&gt;"직접",IFERROR(INDEX(계정매핑!$G$5:$G$504,MATCH($F504&amp;"",계정매핑!$A$5:$A$504,0))&amp;"","")="유지비",COUNTIF(계정대체기준!$A$6:$A$15,$N504)&gt;0),IFERROR(INDEX(계정대체기준!$E$6:$E$15,MATCH(VALUE($A504&amp;""),계정대체기준!$D$6:$D$15,0)),0),0))</f>
        <v/>
      </c>
      <c r="AH504" s="64">
        <f>IF($A504="","",IF(AD504=0,"",IF(OR(COUNTIF(계정대체기준!$A$77:$A$86,$N504)&gt;0,ISNUMBER(MATCH($X504,계정대체기준!$D$77:$D$86,0)),ISNUMBER(MATCH($F504,계정대체기준!$D$77:$D$86,0))),"Y","N")))</f>
        <v/>
      </c>
    </row>
    <row r="505">
      <c r="A505" s="92" t="n">
        <v>2025</v>
      </c>
      <c r="B505" s="92" t="n">
        <v>3</v>
      </c>
      <c r="C505" s="92" t="inlineStr">
        <is>
          <t>5100000501</t>
        </is>
      </c>
      <c r="D505" s="95" t="n">
        <v>45722</v>
      </c>
      <c r="E505" s="92" t="inlineStr">
        <is>
          <t>KR</t>
        </is>
      </c>
      <c r="F505" s="92" t="n">
        <v>62301000</v>
      </c>
      <c r="G505" s="92" t="n">
        <v>1301</v>
      </c>
      <c r="H505" s="93" t="n">
        <v>132000</v>
      </c>
      <c r="I505" s="92" t="inlineStr">
        <is>
          <t>3월 소모품 구입 - R문구</t>
        </is>
      </c>
      <c r="J505" s="92" t="inlineStr">
        <is>
          <t>V10022</t>
        </is>
      </c>
      <c r="K505" s="92" t="inlineStr">
        <is>
          <t>R문구</t>
        </is>
      </c>
      <c r="M505" s="9">
        <f>IF($A505="","",VALUE($A505&amp;"")*12+VALUE($B505&amp;""))</f>
        <v/>
      </c>
      <c r="N505" s="64">
        <f>IF($A505="","",IFERROR(INDEX(부서매핑!$C$5:$C$504,MATCH($G505&amp;"",부서매핑!$A$5:$A$504,0)),"미매핑"))</f>
        <v/>
      </c>
      <c r="O505" s="9">
        <f>IF($A505="","",N505&amp;"|"&amp;$F505)</f>
        <v/>
      </c>
      <c r="P505" s="94">
        <f>IF($A505="",0,$H505*설정!$C$23)</f>
        <v/>
      </c>
      <c r="Q505" s="64">
        <f>IF($A505="","",IF(O505&lt;&gt;원인분석!$C$9,"",IF(AND(M505&gt;=원인분석!$C$10,M505&lt;=원인분석!$C$11),"당기",IF(AND(M505&gt;=원인분석!$C$12,M505&lt;=원인분석!$C$13),"비교",""))))</f>
        <v/>
      </c>
      <c r="R505" s="9">
        <f>IF(Q505="","",$K505&amp;"")</f>
        <v/>
      </c>
      <c r="S505" s="9">
        <f>IF(Q505="","",IF(MATCH(R505,$R$5:$R$100000,0)=ROW()-4,ROW(),""))</f>
        <v/>
      </c>
      <c r="T505" s="9">
        <f>IF(Q505="당기",ABS(P505)+ROW()/1000000000,"")</f>
        <v/>
      </c>
      <c r="U505" s="9">
        <f>IF(Q505="비교",ABS(P505)+ROW()/1000000000,"")</f>
        <v/>
      </c>
      <c r="V505" s="64">
        <f>IF($A505="","",IF(COUNTIF(변동분석!$E$7:$E$506,O505)&gt;0,"Y","N"))</f>
        <v/>
      </c>
      <c r="W505" s="64">
        <f>IF($A505="","",IFERROR(INDEX(계정매핑!$D$5:$D$504,MATCH($F505&amp;"",계정매핑!$A$5:$A$504,0)),"미매핑"))</f>
        <v/>
      </c>
      <c r="X505" s="9">
        <f>IF($A505="","",$F505&amp;"")</f>
        <v/>
      </c>
      <c r="Y505" s="94">
        <f>IF($A505="",0,IF(AE505="직접",IF(AF505="비귀속",$P505,0),$P505*(1-AG505)*IFERROR(INDEX(계정대체기준!$F$20:$F$49,MATCH($N505,계정대체기준!$A$20:$A$49,0)),1)))</f>
        <v/>
      </c>
      <c r="Z505" s="94">
        <f>IF($A505="",0,IF(AE505="직접",IF(AF505="신계약비",$P505,0),$P505*(1-AG505)*IFERROR(INDEX(계정대체기준!$C$20:$C$49,MATCH($N505,계정대체기준!$A$20:$A$49,0)),0)))</f>
        <v/>
      </c>
      <c r="AA505" s="94">
        <f>IF($A505="",0,IF(AE505="직접",IF(OR(AF505="유지비",AF505="손해조사비"),$P505,0),$P505*(1-AG505)*IFERROR(INDEX(계정대체기준!$D$20:$D$49,MATCH($N505,계정대체기준!$A$20:$A$49,0)),0)))</f>
        <v/>
      </c>
      <c r="AB505" s="94">
        <f>IF($A505="",0,IF(AE505="직접",IF(AF505="수금비",$P505,0),$P505*(1-AG505)*IFERROR(INDEX(계정대체기준!$E$20:$E$49,MATCH($N505,계정대체기준!$A$20:$A$49,0)),0)))</f>
        <v/>
      </c>
      <c r="AC505" s="9">
        <f>IF(AND($A505&lt;&gt;"",M505=설정!$C$20,Z505&gt;0),Z505+ROW()/1000000000,"")</f>
        <v/>
      </c>
      <c r="AD505" s="94">
        <f>IF($A505="",0,$P505*AG505)</f>
        <v/>
      </c>
      <c r="AE505" s="64">
        <f>IF($A505="","",IFERROR(INDEX(계정매핑!$E$5:$E$504,MATCH($F505&amp;"",계정매핑!$A$5:$A$504,0))&amp;"","공통비"))</f>
        <v/>
      </c>
      <c r="AF505" s="64">
        <f>IF($A505="","",IF(AE505="직접",IFERROR(INDEX(계정매핑!$F$5:$F$504,MATCH($F505&amp;"",계정매핑!$A$5:$A$504,0))&amp;"","비귀속"),""))</f>
        <v/>
      </c>
      <c r="AG505" s="96">
        <f>IF($A505="",0,IF(AND(AE505&lt;&gt;"직접",IFERROR(INDEX(계정매핑!$G$5:$G$504,MATCH($F505&amp;"",계정매핑!$A$5:$A$504,0))&amp;"","")="유지비",COUNTIF(계정대체기준!$A$6:$A$15,$N505)&gt;0),IFERROR(INDEX(계정대체기준!$E$6:$E$15,MATCH(VALUE($A505&amp;""),계정대체기준!$D$6:$D$15,0)),0),0))</f>
        <v/>
      </c>
      <c r="AH505" s="64">
        <f>IF($A505="","",IF(AD505=0,"",IF(OR(COUNTIF(계정대체기준!$A$77:$A$86,$N505)&gt;0,ISNUMBER(MATCH($X505,계정대체기준!$D$77:$D$86,0)),ISNUMBER(MATCH($F505,계정대체기준!$D$77:$D$86,0))),"Y","N")))</f>
        <v/>
      </c>
    </row>
    <row r="506">
      <c r="A506" s="92" t="n">
        <v>2025</v>
      </c>
      <c r="B506" s="92" t="n">
        <v>3</v>
      </c>
      <c r="C506" s="92" t="inlineStr">
        <is>
          <t>5100000502</t>
        </is>
      </c>
      <c r="D506" s="95" t="n">
        <v>45722</v>
      </c>
      <c r="E506" s="92" t="inlineStr">
        <is>
          <t>KR</t>
        </is>
      </c>
      <c r="F506" s="92" t="n">
        <v>62501000</v>
      </c>
      <c r="G506" s="92" t="n">
        <v>1401</v>
      </c>
      <c r="H506" s="93" t="n">
        <v>167000</v>
      </c>
      <c r="I506" s="92" t="inlineStr">
        <is>
          <t>3월 회의 다과 - T케이터링</t>
        </is>
      </c>
      <c r="J506" s="92" t="inlineStr">
        <is>
          <t>V10005</t>
        </is>
      </c>
      <c r="K506" s="92" t="inlineStr">
        <is>
          <t>T케이터링</t>
        </is>
      </c>
      <c r="M506" s="9">
        <f>IF($A506="","",VALUE($A506&amp;"")*12+VALUE($B506&amp;""))</f>
        <v/>
      </c>
      <c r="N506" s="64">
        <f>IF($A506="","",IFERROR(INDEX(부서매핑!$C$5:$C$504,MATCH($G506&amp;"",부서매핑!$A$5:$A$504,0)),"미매핑"))</f>
        <v/>
      </c>
      <c r="O506" s="9">
        <f>IF($A506="","",N506&amp;"|"&amp;$F506)</f>
        <v/>
      </c>
      <c r="P506" s="94">
        <f>IF($A506="",0,$H506*설정!$C$23)</f>
        <v/>
      </c>
      <c r="Q506" s="64">
        <f>IF($A506="","",IF(O506&lt;&gt;원인분석!$C$9,"",IF(AND(M506&gt;=원인분석!$C$10,M506&lt;=원인분석!$C$11),"당기",IF(AND(M506&gt;=원인분석!$C$12,M506&lt;=원인분석!$C$13),"비교",""))))</f>
        <v/>
      </c>
      <c r="R506" s="9">
        <f>IF(Q506="","",$K506&amp;"")</f>
        <v/>
      </c>
      <c r="S506" s="9">
        <f>IF(Q506="","",IF(MATCH(R506,$R$5:$R$100000,0)=ROW()-4,ROW(),""))</f>
        <v/>
      </c>
      <c r="T506" s="9">
        <f>IF(Q506="당기",ABS(P506)+ROW()/1000000000,"")</f>
        <v/>
      </c>
      <c r="U506" s="9">
        <f>IF(Q506="비교",ABS(P506)+ROW()/1000000000,"")</f>
        <v/>
      </c>
      <c r="V506" s="64">
        <f>IF($A506="","",IF(COUNTIF(변동분석!$E$7:$E$506,O506)&gt;0,"Y","N"))</f>
        <v/>
      </c>
      <c r="W506" s="64">
        <f>IF($A506="","",IFERROR(INDEX(계정매핑!$D$5:$D$504,MATCH($F506&amp;"",계정매핑!$A$5:$A$504,0)),"미매핑"))</f>
        <v/>
      </c>
      <c r="X506" s="9">
        <f>IF($A506="","",$F506&amp;"")</f>
        <v/>
      </c>
      <c r="Y506" s="94">
        <f>IF($A506="",0,IF(AE506="직접",IF(AF506="비귀속",$P506,0),$P506*(1-AG506)*IFERROR(INDEX(계정대체기준!$F$20:$F$49,MATCH($N506,계정대체기준!$A$20:$A$49,0)),1)))</f>
        <v/>
      </c>
      <c r="Z506" s="94">
        <f>IF($A506="",0,IF(AE506="직접",IF(AF506="신계약비",$P506,0),$P506*(1-AG506)*IFERROR(INDEX(계정대체기준!$C$20:$C$49,MATCH($N506,계정대체기준!$A$20:$A$49,0)),0)))</f>
        <v/>
      </c>
      <c r="AA506" s="94">
        <f>IF($A506="",0,IF(AE506="직접",IF(OR(AF506="유지비",AF506="손해조사비"),$P506,0),$P506*(1-AG506)*IFERROR(INDEX(계정대체기준!$D$20:$D$49,MATCH($N506,계정대체기준!$A$20:$A$49,0)),0)))</f>
        <v/>
      </c>
      <c r="AB506" s="94">
        <f>IF($A506="",0,IF(AE506="직접",IF(AF506="수금비",$P506,0),$P506*(1-AG506)*IFERROR(INDEX(계정대체기준!$E$20:$E$49,MATCH($N506,계정대체기준!$A$20:$A$49,0)),0)))</f>
        <v/>
      </c>
      <c r="AC506" s="9">
        <f>IF(AND($A506&lt;&gt;"",M506=설정!$C$20,Z506&gt;0),Z506+ROW()/1000000000,"")</f>
        <v/>
      </c>
      <c r="AD506" s="94">
        <f>IF($A506="",0,$P506*AG506)</f>
        <v/>
      </c>
      <c r="AE506" s="64">
        <f>IF($A506="","",IFERROR(INDEX(계정매핑!$E$5:$E$504,MATCH($F506&amp;"",계정매핑!$A$5:$A$504,0))&amp;"","공통비"))</f>
        <v/>
      </c>
      <c r="AF506" s="64">
        <f>IF($A506="","",IF(AE506="직접",IFERROR(INDEX(계정매핑!$F$5:$F$504,MATCH($F506&amp;"",계정매핑!$A$5:$A$504,0))&amp;"","비귀속"),""))</f>
        <v/>
      </c>
      <c r="AG506" s="96">
        <f>IF($A506="",0,IF(AND(AE506&lt;&gt;"직접",IFERROR(INDEX(계정매핑!$G$5:$G$504,MATCH($F506&amp;"",계정매핑!$A$5:$A$504,0))&amp;"","")="유지비",COUNTIF(계정대체기준!$A$6:$A$15,$N506)&gt;0),IFERROR(INDEX(계정대체기준!$E$6:$E$15,MATCH(VALUE($A506&amp;""),계정대체기준!$D$6:$D$15,0)),0),0))</f>
        <v/>
      </c>
      <c r="AH506" s="64">
        <f>IF($A506="","",IF(AD506=0,"",IF(OR(COUNTIF(계정대체기준!$A$77:$A$86,$N506)&gt;0,ISNUMBER(MATCH($X506,계정대체기준!$D$77:$D$86,0)),ISNUMBER(MATCH($F506,계정대체기준!$D$77:$D$86,0))),"Y","N")))</f>
        <v/>
      </c>
    </row>
    <row r="507">
      <c r="A507" s="92" t="n">
        <v>2025</v>
      </c>
      <c r="B507" s="92" t="n">
        <v>3</v>
      </c>
      <c r="C507" s="92" t="inlineStr">
        <is>
          <t>5100000503</t>
        </is>
      </c>
      <c r="D507" s="95" t="n">
        <v>45722</v>
      </c>
      <c r="E507" s="92" t="inlineStr">
        <is>
          <t>KR</t>
        </is>
      </c>
      <c r="F507" s="92" t="n">
        <v>62501000</v>
      </c>
      <c r="G507" s="92" t="n">
        <v>1601</v>
      </c>
      <c r="H507" s="93" t="n">
        <v>339000</v>
      </c>
      <c r="I507" s="92" t="inlineStr">
        <is>
          <t>3월 회의 다과 - T케이터링</t>
        </is>
      </c>
      <c r="J507" s="92" t="inlineStr">
        <is>
          <t>V10005</t>
        </is>
      </c>
      <c r="K507" s="92" t="inlineStr">
        <is>
          <t>T케이터링</t>
        </is>
      </c>
      <c r="M507" s="9">
        <f>IF($A507="","",VALUE($A507&amp;"")*12+VALUE($B507&amp;""))</f>
        <v/>
      </c>
      <c r="N507" s="64">
        <f>IF($A507="","",IFERROR(INDEX(부서매핑!$C$5:$C$504,MATCH($G507&amp;"",부서매핑!$A$5:$A$504,0)),"미매핑"))</f>
        <v/>
      </c>
      <c r="O507" s="9">
        <f>IF($A507="","",N507&amp;"|"&amp;$F507)</f>
        <v/>
      </c>
      <c r="P507" s="94">
        <f>IF($A507="",0,$H507*설정!$C$23)</f>
        <v/>
      </c>
      <c r="Q507" s="64">
        <f>IF($A507="","",IF(O507&lt;&gt;원인분석!$C$9,"",IF(AND(M507&gt;=원인분석!$C$10,M507&lt;=원인분석!$C$11),"당기",IF(AND(M507&gt;=원인분석!$C$12,M507&lt;=원인분석!$C$13),"비교",""))))</f>
        <v/>
      </c>
      <c r="R507" s="9">
        <f>IF(Q507="","",$K507&amp;"")</f>
        <v/>
      </c>
      <c r="S507" s="9">
        <f>IF(Q507="","",IF(MATCH(R507,$R$5:$R$100000,0)=ROW()-4,ROW(),""))</f>
        <v/>
      </c>
      <c r="T507" s="9">
        <f>IF(Q507="당기",ABS(P507)+ROW()/1000000000,"")</f>
        <v/>
      </c>
      <c r="U507" s="9">
        <f>IF(Q507="비교",ABS(P507)+ROW()/1000000000,"")</f>
        <v/>
      </c>
      <c r="V507" s="64">
        <f>IF($A507="","",IF(COUNTIF(변동분석!$E$7:$E$506,O507)&gt;0,"Y","N"))</f>
        <v/>
      </c>
      <c r="W507" s="64">
        <f>IF($A507="","",IFERROR(INDEX(계정매핑!$D$5:$D$504,MATCH($F507&amp;"",계정매핑!$A$5:$A$504,0)),"미매핑"))</f>
        <v/>
      </c>
      <c r="X507" s="9">
        <f>IF($A507="","",$F507&amp;"")</f>
        <v/>
      </c>
      <c r="Y507" s="94">
        <f>IF($A507="",0,IF(AE507="직접",IF(AF507="비귀속",$P507,0),$P507*(1-AG507)*IFERROR(INDEX(계정대체기준!$F$20:$F$49,MATCH($N507,계정대체기준!$A$20:$A$49,0)),1)))</f>
        <v/>
      </c>
      <c r="Z507" s="94">
        <f>IF($A507="",0,IF(AE507="직접",IF(AF507="신계약비",$P507,0),$P507*(1-AG507)*IFERROR(INDEX(계정대체기준!$C$20:$C$49,MATCH($N507,계정대체기준!$A$20:$A$49,0)),0)))</f>
        <v/>
      </c>
      <c r="AA507" s="94">
        <f>IF($A507="",0,IF(AE507="직접",IF(OR(AF507="유지비",AF507="손해조사비"),$P507,0),$P507*(1-AG507)*IFERROR(INDEX(계정대체기준!$D$20:$D$49,MATCH($N507,계정대체기준!$A$20:$A$49,0)),0)))</f>
        <v/>
      </c>
      <c r="AB507" s="94">
        <f>IF($A507="",0,IF(AE507="직접",IF(AF507="수금비",$P507,0),$P507*(1-AG507)*IFERROR(INDEX(계정대체기준!$E$20:$E$49,MATCH($N507,계정대체기준!$A$20:$A$49,0)),0)))</f>
        <v/>
      </c>
      <c r="AC507" s="9">
        <f>IF(AND($A507&lt;&gt;"",M507=설정!$C$20,Z507&gt;0),Z507+ROW()/1000000000,"")</f>
        <v/>
      </c>
      <c r="AD507" s="94">
        <f>IF($A507="",0,$P507*AG507)</f>
        <v/>
      </c>
      <c r="AE507" s="64">
        <f>IF($A507="","",IFERROR(INDEX(계정매핑!$E$5:$E$504,MATCH($F507&amp;"",계정매핑!$A$5:$A$504,0))&amp;"","공통비"))</f>
        <v/>
      </c>
      <c r="AF507" s="64">
        <f>IF($A507="","",IF(AE507="직접",IFERROR(INDEX(계정매핑!$F$5:$F$504,MATCH($F507&amp;"",계정매핑!$A$5:$A$504,0))&amp;"","비귀속"),""))</f>
        <v/>
      </c>
      <c r="AG507" s="96">
        <f>IF($A507="",0,IF(AND(AE507&lt;&gt;"직접",IFERROR(INDEX(계정매핑!$G$5:$G$504,MATCH($F507&amp;"",계정매핑!$A$5:$A$504,0))&amp;"","")="유지비",COUNTIF(계정대체기준!$A$6:$A$15,$N507)&gt;0),IFERROR(INDEX(계정대체기준!$E$6:$E$15,MATCH(VALUE($A507&amp;""),계정대체기준!$D$6:$D$15,0)),0),0))</f>
        <v/>
      </c>
      <c r="AH507" s="64">
        <f>IF($A507="","",IF(AD507=0,"",IF(OR(COUNTIF(계정대체기준!$A$77:$A$86,$N507)&gt;0,ISNUMBER(MATCH($X507,계정대체기준!$D$77:$D$86,0)),ISNUMBER(MATCH($F507,계정대체기준!$D$77:$D$86,0))),"Y","N")))</f>
        <v/>
      </c>
    </row>
    <row r="508">
      <c r="A508" s="92" t="n">
        <v>2025</v>
      </c>
      <c r="B508" s="92" t="n">
        <v>3</v>
      </c>
      <c r="C508" s="92" t="inlineStr">
        <is>
          <t>5100000504</t>
        </is>
      </c>
      <c r="D508" s="95" t="n">
        <v>45722</v>
      </c>
      <c r="E508" s="92" t="inlineStr">
        <is>
          <t>KR</t>
        </is>
      </c>
      <c r="F508" s="92" t="n">
        <v>62501000</v>
      </c>
      <c r="G508" s="92" t="n">
        <v>1701</v>
      </c>
      <c r="H508" s="93" t="n">
        <v>216000</v>
      </c>
      <c r="I508" s="92" t="inlineStr">
        <is>
          <t>3월 회의 다과 - (법인카드)</t>
        </is>
      </c>
      <c r="J508" s="92" t="inlineStr">
        <is>
          <t>V10010</t>
        </is>
      </c>
      <c r="K508" s="92" t="inlineStr">
        <is>
          <t>(법인카드)</t>
        </is>
      </c>
      <c r="M508" s="9">
        <f>IF($A508="","",VALUE($A508&amp;"")*12+VALUE($B508&amp;""))</f>
        <v/>
      </c>
      <c r="N508" s="64">
        <f>IF($A508="","",IFERROR(INDEX(부서매핑!$C$5:$C$504,MATCH($G508&amp;"",부서매핑!$A$5:$A$504,0)),"미매핑"))</f>
        <v/>
      </c>
      <c r="O508" s="9">
        <f>IF($A508="","",N508&amp;"|"&amp;$F508)</f>
        <v/>
      </c>
      <c r="P508" s="94">
        <f>IF($A508="",0,$H508*설정!$C$23)</f>
        <v/>
      </c>
      <c r="Q508" s="64">
        <f>IF($A508="","",IF(O508&lt;&gt;원인분석!$C$9,"",IF(AND(M508&gt;=원인분석!$C$10,M508&lt;=원인분석!$C$11),"당기",IF(AND(M508&gt;=원인분석!$C$12,M508&lt;=원인분석!$C$13),"비교",""))))</f>
        <v/>
      </c>
      <c r="R508" s="9">
        <f>IF(Q508="","",$K508&amp;"")</f>
        <v/>
      </c>
      <c r="S508" s="9">
        <f>IF(Q508="","",IF(MATCH(R508,$R$5:$R$100000,0)=ROW()-4,ROW(),""))</f>
        <v/>
      </c>
      <c r="T508" s="9">
        <f>IF(Q508="당기",ABS(P508)+ROW()/1000000000,"")</f>
        <v/>
      </c>
      <c r="U508" s="9">
        <f>IF(Q508="비교",ABS(P508)+ROW()/1000000000,"")</f>
        <v/>
      </c>
      <c r="V508" s="64">
        <f>IF($A508="","",IF(COUNTIF(변동분석!$E$7:$E$506,O508)&gt;0,"Y","N"))</f>
        <v/>
      </c>
      <c r="W508" s="64">
        <f>IF($A508="","",IFERROR(INDEX(계정매핑!$D$5:$D$504,MATCH($F508&amp;"",계정매핑!$A$5:$A$504,0)),"미매핑"))</f>
        <v/>
      </c>
      <c r="X508" s="9">
        <f>IF($A508="","",$F508&amp;"")</f>
        <v/>
      </c>
      <c r="Y508" s="94">
        <f>IF($A508="",0,IF(AE508="직접",IF(AF508="비귀속",$P508,0),$P508*(1-AG508)*IFERROR(INDEX(계정대체기준!$F$20:$F$49,MATCH($N508,계정대체기준!$A$20:$A$49,0)),1)))</f>
        <v/>
      </c>
      <c r="Z508" s="94">
        <f>IF($A508="",0,IF(AE508="직접",IF(AF508="신계약비",$P508,0),$P508*(1-AG508)*IFERROR(INDEX(계정대체기준!$C$20:$C$49,MATCH($N508,계정대체기준!$A$20:$A$49,0)),0)))</f>
        <v/>
      </c>
      <c r="AA508" s="94">
        <f>IF($A508="",0,IF(AE508="직접",IF(OR(AF508="유지비",AF508="손해조사비"),$P508,0),$P508*(1-AG508)*IFERROR(INDEX(계정대체기준!$D$20:$D$49,MATCH($N508,계정대체기준!$A$20:$A$49,0)),0)))</f>
        <v/>
      </c>
      <c r="AB508" s="94">
        <f>IF($A508="",0,IF(AE508="직접",IF(AF508="수금비",$P508,0),$P508*(1-AG508)*IFERROR(INDEX(계정대체기준!$E$20:$E$49,MATCH($N508,계정대체기준!$A$20:$A$49,0)),0)))</f>
        <v/>
      </c>
      <c r="AC508" s="9">
        <f>IF(AND($A508&lt;&gt;"",M508=설정!$C$20,Z508&gt;0),Z508+ROW()/1000000000,"")</f>
        <v/>
      </c>
      <c r="AD508" s="94">
        <f>IF($A508="",0,$P508*AG508)</f>
        <v/>
      </c>
      <c r="AE508" s="64">
        <f>IF($A508="","",IFERROR(INDEX(계정매핑!$E$5:$E$504,MATCH($F508&amp;"",계정매핑!$A$5:$A$504,0))&amp;"","공통비"))</f>
        <v/>
      </c>
      <c r="AF508" s="64">
        <f>IF($A508="","",IF(AE508="직접",IFERROR(INDEX(계정매핑!$F$5:$F$504,MATCH($F508&amp;"",계정매핑!$A$5:$A$504,0))&amp;"","비귀속"),""))</f>
        <v/>
      </c>
      <c r="AG508" s="96">
        <f>IF($A508="",0,IF(AND(AE508&lt;&gt;"직접",IFERROR(INDEX(계정매핑!$G$5:$G$504,MATCH($F508&amp;"",계정매핑!$A$5:$A$504,0))&amp;"","")="유지비",COUNTIF(계정대체기준!$A$6:$A$15,$N508)&gt;0),IFERROR(INDEX(계정대체기준!$E$6:$E$15,MATCH(VALUE($A508&amp;""),계정대체기준!$D$6:$D$15,0)),0),0))</f>
        <v/>
      </c>
      <c r="AH508" s="64">
        <f>IF($A508="","",IF(AD508=0,"",IF(OR(COUNTIF(계정대체기준!$A$77:$A$86,$N508)&gt;0,ISNUMBER(MATCH($X508,계정대체기준!$D$77:$D$86,0)),ISNUMBER(MATCH($F508,계정대체기준!$D$77:$D$86,0))),"Y","N")))</f>
        <v/>
      </c>
    </row>
    <row r="509">
      <c r="A509" s="92" t="n">
        <v>2025</v>
      </c>
      <c r="B509" s="92" t="n">
        <v>3</v>
      </c>
      <c r="C509" s="92" t="inlineStr">
        <is>
          <t>5100000505</t>
        </is>
      </c>
      <c r="D509" s="95" t="n">
        <v>45722</v>
      </c>
      <c r="E509" s="92" t="inlineStr">
        <is>
          <t>KR</t>
        </is>
      </c>
      <c r="F509" s="92" t="n">
        <v>62501000</v>
      </c>
      <c r="G509" s="92" t="n">
        <v>1801</v>
      </c>
      <c r="H509" s="93" t="n">
        <v>129000</v>
      </c>
      <c r="I509" s="92" t="inlineStr">
        <is>
          <t>3월 회의 다과 - T케이터링</t>
        </is>
      </c>
      <c r="J509" s="92" t="inlineStr">
        <is>
          <t>V10005</t>
        </is>
      </c>
      <c r="K509" s="92" t="inlineStr">
        <is>
          <t>T케이터링</t>
        </is>
      </c>
      <c r="M509" s="9">
        <f>IF($A509="","",VALUE($A509&amp;"")*12+VALUE($B509&amp;""))</f>
        <v/>
      </c>
      <c r="N509" s="64">
        <f>IF($A509="","",IFERROR(INDEX(부서매핑!$C$5:$C$504,MATCH($G509&amp;"",부서매핑!$A$5:$A$504,0)),"미매핑"))</f>
        <v/>
      </c>
      <c r="O509" s="9">
        <f>IF($A509="","",N509&amp;"|"&amp;$F509)</f>
        <v/>
      </c>
      <c r="P509" s="94">
        <f>IF($A509="",0,$H509*설정!$C$23)</f>
        <v/>
      </c>
      <c r="Q509" s="64">
        <f>IF($A509="","",IF(O509&lt;&gt;원인분석!$C$9,"",IF(AND(M509&gt;=원인분석!$C$10,M509&lt;=원인분석!$C$11),"당기",IF(AND(M509&gt;=원인분석!$C$12,M509&lt;=원인분석!$C$13),"비교",""))))</f>
        <v/>
      </c>
      <c r="R509" s="9">
        <f>IF(Q509="","",$K509&amp;"")</f>
        <v/>
      </c>
      <c r="S509" s="9">
        <f>IF(Q509="","",IF(MATCH(R509,$R$5:$R$100000,0)=ROW()-4,ROW(),""))</f>
        <v/>
      </c>
      <c r="T509" s="9">
        <f>IF(Q509="당기",ABS(P509)+ROW()/1000000000,"")</f>
        <v/>
      </c>
      <c r="U509" s="9">
        <f>IF(Q509="비교",ABS(P509)+ROW()/1000000000,"")</f>
        <v/>
      </c>
      <c r="V509" s="64">
        <f>IF($A509="","",IF(COUNTIF(변동분석!$E$7:$E$506,O509)&gt;0,"Y","N"))</f>
        <v/>
      </c>
      <c r="W509" s="64">
        <f>IF($A509="","",IFERROR(INDEX(계정매핑!$D$5:$D$504,MATCH($F509&amp;"",계정매핑!$A$5:$A$504,0)),"미매핑"))</f>
        <v/>
      </c>
      <c r="X509" s="9">
        <f>IF($A509="","",$F509&amp;"")</f>
        <v/>
      </c>
      <c r="Y509" s="94">
        <f>IF($A509="",0,IF(AE509="직접",IF(AF509="비귀속",$P509,0),$P509*(1-AG509)*IFERROR(INDEX(계정대체기준!$F$20:$F$49,MATCH($N509,계정대체기준!$A$20:$A$49,0)),1)))</f>
        <v/>
      </c>
      <c r="Z509" s="94">
        <f>IF($A509="",0,IF(AE509="직접",IF(AF509="신계약비",$P509,0),$P509*(1-AG509)*IFERROR(INDEX(계정대체기준!$C$20:$C$49,MATCH($N509,계정대체기준!$A$20:$A$49,0)),0)))</f>
        <v/>
      </c>
      <c r="AA509" s="94">
        <f>IF($A509="",0,IF(AE509="직접",IF(OR(AF509="유지비",AF509="손해조사비"),$P509,0),$P509*(1-AG509)*IFERROR(INDEX(계정대체기준!$D$20:$D$49,MATCH($N509,계정대체기준!$A$20:$A$49,0)),0)))</f>
        <v/>
      </c>
      <c r="AB509" s="94">
        <f>IF($A509="",0,IF(AE509="직접",IF(AF509="수금비",$P509,0),$P509*(1-AG509)*IFERROR(INDEX(계정대체기준!$E$20:$E$49,MATCH($N509,계정대체기준!$A$20:$A$49,0)),0)))</f>
        <v/>
      </c>
      <c r="AC509" s="9">
        <f>IF(AND($A509&lt;&gt;"",M509=설정!$C$20,Z509&gt;0),Z509+ROW()/1000000000,"")</f>
        <v/>
      </c>
      <c r="AD509" s="94">
        <f>IF($A509="",0,$P509*AG509)</f>
        <v/>
      </c>
      <c r="AE509" s="64">
        <f>IF($A509="","",IFERROR(INDEX(계정매핑!$E$5:$E$504,MATCH($F509&amp;"",계정매핑!$A$5:$A$504,0))&amp;"","공통비"))</f>
        <v/>
      </c>
      <c r="AF509" s="64">
        <f>IF($A509="","",IF(AE509="직접",IFERROR(INDEX(계정매핑!$F$5:$F$504,MATCH($F509&amp;"",계정매핑!$A$5:$A$504,0))&amp;"","비귀속"),""))</f>
        <v/>
      </c>
      <c r="AG509" s="96">
        <f>IF($A509="",0,IF(AND(AE509&lt;&gt;"직접",IFERROR(INDEX(계정매핑!$G$5:$G$504,MATCH($F509&amp;"",계정매핑!$A$5:$A$504,0))&amp;"","")="유지비",COUNTIF(계정대체기준!$A$6:$A$15,$N509)&gt;0),IFERROR(INDEX(계정대체기준!$E$6:$E$15,MATCH(VALUE($A509&amp;""),계정대체기준!$D$6:$D$15,0)),0),0))</f>
        <v/>
      </c>
      <c r="AH509" s="64">
        <f>IF($A509="","",IF(AD509=0,"",IF(OR(COUNTIF(계정대체기준!$A$77:$A$86,$N509)&gt;0,ISNUMBER(MATCH($X509,계정대체기준!$D$77:$D$86,0)),ISNUMBER(MATCH($F509,계정대체기준!$D$77:$D$86,0))),"Y","N")))</f>
        <v/>
      </c>
    </row>
    <row r="510">
      <c r="A510" s="92" t="n">
        <v>2025</v>
      </c>
      <c r="B510" s="92" t="n">
        <v>3</v>
      </c>
      <c r="C510" s="92" t="inlineStr">
        <is>
          <t>5100000506</t>
        </is>
      </c>
      <c r="D510" s="95" t="n">
        <v>45722</v>
      </c>
      <c r="E510" s="92" t="inlineStr">
        <is>
          <t>KR</t>
        </is>
      </c>
      <c r="F510" s="92" t="n">
        <v>62601000</v>
      </c>
      <c r="G510" s="92" t="n">
        <v>1602</v>
      </c>
      <c r="H510" s="93" t="n">
        <v>1663000</v>
      </c>
      <c r="I510" s="92" t="inlineStr">
        <is>
          <t>3월 업무추진 - (법인카드)</t>
        </is>
      </c>
      <c r="J510" s="92" t="inlineStr">
        <is>
          <t>V10010</t>
        </is>
      </c>
      <c r="K510" s="92" t="inlineStr">
        <is>
          <t>(법인카드)</t>
        </is>
      </c>
      <c r="M510" s="9">
        <f>IF($A510="","",VALUE($A510&amp;"")*12+VALUE($B510&amp;""))</f>
        <v/>
      </c>
      <c r="N510" s="64">
        <f>IF($A510="","",IFERROR(INDEX(부서매핑!$C$5:$C$504,MATCH($G510&amp;"",부서매핑!$A$5:$A$504,0)),"미매핑"))</f>
        <v/>
      </c>
      <c r="O510" s="9">
        <f>IF($A510="","",N510&amp;"|"&amp;$F510)</f>
        <v/>
      </c>
      <c r="P510" s="94">
        <f>IF($A510="",0,$H510*설정!$C$23)</f>
        <v/>
      </c>
      <c r="Q510" s="64">
        <f>IF($A510="","",IF(O510&lt;&gt;원인분석!$C$9,"",IF(AND(M510&gt;=원인분석!$C$10,M510&lt;=원인분석!$C$11),"당기",IF(AND(M510&gt;=원인분석!$C$12,M510&lt;=원인분석!$C$13),"비교",""))))</f>
        <v/>
      </c>
      <c r="R510" s="9">
        <f>IF(Q510="","",$K510&amp;"")</f>
        <v/>
      </c>
      <c r="S510" s="9">
        <f>IF(Q510="","",IF(MATCH(R510,$R$5:$R$100000,0)=ROW()-4,ROW(),""))</f>
        <v/>
      </c>
      <c r="T510" s="9">
        <f>IF(Q510="당기",ABS(P510)+ROW()/1000000000,"")</f>
        <v/>
      </c>
      <c r="U510" s="9">
        <f>IF(Q510="비교",ABS(P510)+ROW()/1000000000,"")</f>
        <v/>
      </c>
      <c r="V510" s="64">
        <f>IF($A510="","",IF(COUNTIF(변동분석!$E$7:$E$506,O510)&gt;0,"Y","N"))</f>
        <v/>
      </c>
      <c r="W510" s="64">
        <f>IF($A510="","",IFERROR(INDEX(계정매핑!$D$5:$D$504,MATCH($F510&amp;"",계정매핑!$A$5:$A$504,0)),"미매핑"))</f>
        <v/>
      </c>
      <c r="X510" s="9">
        <f>IF($A510="","",$F510&amp;"")</f>
        <v/>
      </c>
      <c r="Y510" s="94">
        <f>IF($A510="",0,IF(AE510="직접",IF(AF510="비귀속",$P510,0),$P510*(1-AG510)*IFERROR(INDEX(계정대체기준!$F$20:$F$49,MATCH($N510,계정대체기준!$A$20:$A$49,0)),1)))</f>
        <v/>
      </c>
      <c r="Z510" s="94">
        <f>IF($A510="",0,IF(AE510="직접",IF(AF510="신계약비",$P510,0),$P510*(1-AG510)*IFERROR(INDEX(계정대체기준!$C$20:$C$49,MATCH($N510,계정대체기준!$A$20:$A$49,0)),0)))</f>
        <v/>
      </c>
      <c r="AA510" s="94">
        <f>IF($A510="",0,IF(AE510="직접",IF(OR(AF510="유지비",AF510="손해조사비"),$P510,0),$P510*(1-AG510)*IFERROR(INDEX(계정대체기준!$D$20:$D$49,MATCH($N510,계정대체기준!$A$20:$A$49,0)),0)))</f>
        <v/>
      </c>
      <c r="AB510" s="94">
        <f>IF($A510="",0,IF(AE510="직접",IF(AF510="수금비",$P510,0),$P510*(1-AG510)*IFERROR(INDEX(계정대체기준!$E$20:$E$49,MATCH($N510,계정대체기준!$A$20:$A$49,0)),0)))</f>
        <v/>
      </c>
      <c r="AC510" s="9">
        <f>IF(AND($A510&lt;&gt;"",M510=설정!$C$20,Z510&gt;0),Z510+ROW()/1000000000,"")</f>
        <v/>
      </c>
      <c r="AD510" s="94">
        <f>IF($A510="",0,$P510*AG510)</f>
        <v/>
      </c>
      <c r="AE510" s="64">
        <f>IF($A510="","",IFERROR(INDEX(계정매핑!$E$5:$E$504,MATCH($F510&amp;"",계정매핑!$A$5:$A$504,0))&amp;"","공통비"))</f>
        <v/>
      </c>
      <c r="AF510" s="64">
        <f>IF($A510="","",IF(AE510="직접",IFERROR(INDEX(계정매핑!$F$5:$F$504,MATCH($F510&amp;"",계정매핑!$A$5:$A$504,0))&amp;"","비귀속"),""))</f>
        <v/>
      </c>
      <c r="AG510" s="96">
        <f>IF($A510="",0,IF(AND(AE510&lt;&gt;"직접",IFERROR(INDEX(계정매핑!$G$5:$G$504,MATCH($F510&amp;"",계정매핑!$A$5:$A$504,0))&amp;"","")="유지비",COUNTIF(계정대체기준!$A$6:$A$15,$N510)&gt;0),IFERROR(INDEX(계정대체기준!$E$6:$E$15,MATCH(VALUE($A510&amp;""),계정대체기준!$D$6:$D$15,0)),0),0))</f>
        <v/>
      </c>
      <c r="AH510" s="64">
        <f>IF($A510="","",IF(AD510=0,"",IF(OR(COUNTIF(계정대체기준!$A$77:$A$86,$N510)&gt;0,ISNUMBER(MATCH($X510,계정대체기준!$D$77:$D$86,0)),ISNUMBER(MATCH($F510,계정대체기준!$D$77:$D$86,0))),"Y","N")))</f>
        <v/>
      </c>
    </row>
    <row r="511">
      <c r="A511" s="92" t="n">
        <v>2025</v>
      </c>
      <c r="B511" s="92" t="n">
        <v>3</v>
      </c>
      <c r="C511" s="92" t="inlineStr">
        <is>
          <t>5100000507</t>
        </is>
      </c>
      <c r="D511" s="95" t="n">
        <v>45722</v>
      </c>
      <c r="E511" s="92" t="inlineStr">
        <is>
          <t>KR</t>
        </is>
      </c>
      <c r="F511" s="92" t="n">
        <v>62901000</v>
      </c>
      <c r="G511" s="92" t="n">
        <v>1951</v>
      </c>
      <c r="H511" s="93" t="n">
        <v>5662000</v>
      </c>
      <c r="I511" s="92" t="inlineStr">
        <is>
          <t>3월 자문 수수료 - K회계법인</t>
        </is>
      </c>
      <c r="J511" s="92" t="inlineStr">
        <is>
          <t>V10011</t>
        </is>
      </c>
      <c r="K511" s="92" t="inlineStr">
        <is>
          <t>K회계법인</t>
        </is>
      </c>
      <c r="M511" s="9">
        <f>IF($A511="","",VALUE($A511&amp;"")*12+VALUE($B511&amp;""))</f>
        <v/>
      </c>
      <c r="N511" s="64">
        <f>IF($A511="","",IFERROR(INDEX(부서매핑!$C$5:$C$504,MATCH($G511&amp;"",부서매핑!$A$5:$A$504,0)),"미매핑"))</f>
        <v/>
      </c>
      <c r="O511" s="9">
        <f>IF($A511="","",N511&amp;"|"&amp;$F511)</f>
        <v/>
      </c>
      <c r="P511" s="94">
        <f>IF($A511="",0,$H511*설정!$C$23)</f>
        <v/>
      </c>
      <c r="Q511" s="64">
        <f>IF($A511="","",IF(O511&lt;&gt;원인분석!$C$9,"",IF(AND(M511&gt;=원인분석!$C$10,M511&lt;=원인분석!$C$11),"당기",IF(AND(M511&gt;=원인분석!$C$12,M511&lt;=원인분석!$C$13),"비교",""))))</f>
        <v/>
      </c>
      <c r="R511" s="9">
        <f>IF(Q511="","",$K511&amp;"")</f>
        <v/>
      </c>
      <c r="S511" s="9">
        <f>IF(Q511="","",IF(MATCH(R511,$R$5:$R$100000,0)=ROW()-4,ROW(),""))</f>
        <v/>
      </c>
      <c r="T511" s="9">
        <f>IF(Q511="당기",ABS(P511)+ROW()/1000000000,"")</f>
        <v/>
      </c>
      <c r="U511" s="9">
        <f>IF(Q511="비교",ABS(P511)+ROW()/1000000000,"")</f>
        <v/>
      </c>
      <c r="V511" s="64">
        <f>IF($A511="","",IF(COUNTIF(변동분석!$E$7:$E$506,O511)&gt;0,"Y","N"))</f>
        <v/>
      </c>
      <c r="W511" s="64">
        <f>IF($A511="","",IFERROR(INDEX(계정매핑!$D$5:$D$504,MATCH($F511&amp;"",계정매핑!$A$5:$A$504,0)),"미매핑"))</f>
        <v/>
      </c>
      <c r="X511" s="9">
        <f>IF($A511="","",$F511&amp;"")</f>
        <v/>
      </c>
      <c r="Y511" s="94">
        <f>IF($A511="",0,IF(AE511="직접",IF(AF511="비귀속",$P511,0),$P511*(1-AG511)*IFERROR(INDEX(계정대체기준!$F$20:$F$49,MATCH($N511,계정대체기준!$A$20:$A$49,0)),1)))</f>
        <v/>
      </c>
      <c r="Z511" s="94">
        <f>IF($A511="",0,IF(AE511="직접",IF(AF511="신계약비",$P511,0),$P511*(1-AG511)*IFERROR(INDEX(계정대체기준!$C$20:$C$49,MATCH($N511,계정대체기준!$A$20:$A$49,0)),0)))</f>
        <v/>
      </c>
      <c r="AA511" s="94">
        <f>IF($A511="",0,IF(AE511="직접",IF(OR(AF511="유지비",AF511="손해조사비"),$P511,0),$P511*(1-AG511)*IFERROR(INDEX(계정대체기준!$D$20:$D$49,MATCH($N511,계정대체기준!$A$20:$A$49,0)),0)))</f>
        <v/>
      </c>
      <c r="AB511" s="94">
        <f>IF($A511="",0,IF(AE511="직접",IF(AF511="수금비",$P511,0),$P511*(1-AG511)*IFERROR(INDEX(계정대체기준!$E$20:$E$49,MATCH($N511,계정대체기준!$A$20:$A$49,0)),0)))</f>
        <v/>
      </c>
      <c r="AC511" s="9">
        <f>IF(AND($A511&lt;&gt;"",M511=설정!$C$20,Z511&gt;0),Z511+ROW()/1000000000,"")</f>
        <v/>
      </c>
      <c r="AD511" s="94">
        <f>IF($A511="",0,$P511*AG511)</f>
        <v/>
      </c>
      <c r="AE511" s="64">
        <f>IF($A511="","",IFERROR(INDEX(계정매핑!$E$5:$E$504,MATCH($F511&amp;"",계정매핑!$A$5:$A$504,0))&amp;"","공통비"))</f>
        <v/>
      </c>
      <c r="AF511" s="64">
        <f>IF($A511="","",IF(AE511="직접",IFERROR(INDEX(계정매핑!$F$5:$F$504,MATCH($F511&amp;"",계정매핑!$A$5:$A$504,0))&amp;"","비귀속"),""))</f>
        <v/>
      </c>
      <c r="AG511" s="96">
        <f>IF($A511="",0,IF(AND(AE511&lt;&gt;"직접",IFERROR(INDEX(계정매핑!$G$5:$G$504,MATCH($F511&amp;"",계정매핑!$A$5:$A$504,0))&amp;"","")="유지비",COUNTIF(계정대체기준!$A$6:$A$15,$N511)&gt;0),IFERROR(INDEX(계정대체기준!$E$6:$E$15,MATCH(VALUE($A511&amp;""),계정대체기준!$D$6:$D$15,0)),0),0))</f>
        <v/>
      </c>
      <c r="AH511" s="64">
        <f>IF($A511="","",IF(AD511=0,"",IF(OR(COUNTIF(계정대체기준!$A$77:$A$86,$N511)&gt;0,ISNUMBER(MATCH($X511,계정대체기준!$D$77:$D$86,0)),ISNUMBER(MATCH($F511,계정대체기준!$D$77:$D$86,0))),"Y","N")))</f>
        <v/>
      </c>
    </row>
    <row r="512">
      <c r="A512" s="92" t="n">
        <v>2025</v>
      </c>
      <c r="B512" s="92" t="n">
        <v>3</v>
      </c>
      <c r="C512" s="92" t="inlineStr">
        <is>
          <t>5100000508</t>
        </is>
      </c>
      <c r="D512" s="95" t="n">
        <v>45722</v>
      </c>
      <c r="E512" s="92" t="inlineStr">
        <is>
          <t>KR</t>
        </is>
      </c>
      <c r="F512" s="92" t="n">
        <v>62902000</v>
      </c>
      <c r="G512" s="92" t="n">
        <v>1401</v>
      </c>
      <c r="H512" s="93" t="n">
        <v>1655000</v>
      </c>
      <c r="I512" s="92" t="inlineStr">
        <is>
          <t>3월 업무 위탁 수수료 - J콜센터</t>
        </is>
      </c>
      <c r="J512" s="92" t="inlineStr">
        <is>
          <t>V10016</t>
        </is>
      </c>
      <c r="K512" s="92" t="inlineStr">
        <is>
          <t>J콜센터</t>
        </is>
      </c>
      <c r="M512" s="9">
        <f>IF($A512="","",VALUE($A512&amp;"")*12+VALUE($B512&amp;""))</f>
        <v/>
      </c>
      <c r="N512" s="64">
        <f>IF($A512="","",IFERROR(INDEX(부서매핑!$C$5:$C$504,MATCH($G512&amp;"",부서매핑!$A$5:$A$504,0)),"미매핑"))</f>
        <v/>
      </c>
      <c r="O512" s="9">
        <f>IF($A512="","",N512&amp;"|"&amp;$F512)</f>
        <v/>
      </c>
      <c r="P512" s="94">
        <f>IF($A512="",0,$H512*설정!$C$23)</f>
        <v/>
      </c>
      <c r="Q512" s="64">
        <f>IF($A512="","",IF(O512&lt;&gt;원인분석!$C$9,"",IF(AND(M512&gt;=원인분석!$C$10,M512&lt;=원인분석!$C$11),"당기",IF(AND(M512&gt;=원인분석!$C$12,M512&lt;=원인분석!$C$13),"비교",""))))</f>
        <v/>
      </c>
      <c r="R512" s="9">
        <f>IF(Q512="","",$K512&amp;"")</f>
        <v/>
      </c>
      <c r="S512" s="9">
        <f>IF(Q512="","",IF(MATCH(R512,$R$5:$R$100000,0)=ROW()-4,ROW(),""))</f>
        <v/>
      </c>
      <c r="T512" s="9">
        <f>IF(Q512="당기",ABS(P512)+ROW()/1000000000,"")</f>
        <v/>
      </c>
      <c r="U512" s="9">
        <f>IF(Q512="비교",ABS(P512)+ROW()/1000000000,"")</f>
        <v/>
      </c>
      <c r="V512" s="64">
        <f>IF($A512="","",IF(COUNTIF(변동분석!$E$7:$E$506,O512)&gt;0,"Y","N"))</f>
        <v/>
      </c>
      <c r="W512" s="64">
        <f>IF($A512="","",IFERROR(INDEX(계정매핑!$D$5:$D$504,MATCH($F512&amp;"",계정매핑!$A$5:$A$504,0)),"미매핑"))</f>
        <v/>
      </c>
      <c r="X512" s="9">
        <f>IF($A512="","",$F512&amp;"")</f>
        <v/>
      </c>
      <c r="Y512" s="94">
        <f>IF($A512="",0,IF(AE512="직접",IF(AF512="비귀속",$P512,0),$P512*(1-AG512)*IFERROR(INDEX(계정대체기준!$F$20:$F$49,MATCH($N512,계정대체기준!$A$20:$A$49,0)),1)))</f>
        <v/>
      </c>
      <c r="Z512" s="94">
        <f>IF($A512="",0,IF(AE512="직접",IF(AF512="신계약비",$P512,0),$P512*(1-AG512)*IFERROR(INDEX(계정대체기준!$C$20:$C$49,MATCH($N512,계정대체기준!$A$20:$A$49,0)),0)))</f>
        <v/>
      </c>
      <c r="AA512" s="94">
        <f>IF($A512="",0,IF(AE512="직접",IF(OR(AF512="유지비",AF512="손해조사비"),$P512,0),$P512*(1-AG512)*IFERROR(INDEX(계정대체기준!$D$20:$D$49,MATCH($N512,계정대체기준!$A$20:$A$49,0)),0)))</f>
        <v/>
      </c>
      <c r="AB512" s="94">
        <f>IF($A512="",0,IF(AE512="직접",IF(AF512="수금비",$P512,0),$P512*(1-AG512)*IFERROR(INDEX(계정대체기준!$E$20:$E$49,MATCH($N512,계정대체기준!$A$20:$A$49,0)),0)))</f>
        <v/>
      </c>
      <c r="AC512" s="9">
        <f>IF(AND($A512&lt;&gt;"",M512=설정!$C$20,Z512&gt;0),Z512+ROW()/1000000000,"")</f>
        <v/>
      </c>
      <c r="AD512" s="94">
        <f>IF($A512="",0,$P512*AG512)</f>
        <v/>
      </c>
      <c r="AE512" s="64">
        <f>IF($A512="","",IFERROR(INDEX(계정매핑!$E$5:$E$504,MATCH($F512&amp;"",계정매핑!$A$5:$A$504,0))&amp;"","공통비"))</f>
        <v/>
      </c>
      <c r="AF512" s="64">
        <f>IF($A512="","",IF(AE512="직접",IFERROR(INDEX(계정매핑!$F$5:$F$504,MATCH($F512&amp;"",계정매핑!$A$5:$A$504,0))&amp;"","비귀속"),""))</f>
        <v/>
      </c>
      <c r="AG512" s="96">
        <f>IF($A512="",0,IF(AND(AE512&lt;&gt;"직접",IFERROR(INDEX(계정매핑!$G$5:$G$504,MATCH($F512&amp;"",계정매핑!$A$5:$A$504,0))&amp;"","")="유지비",COUNTIF(계정대체기준!$A$6:$A$15,$N512)&gt;0),IFERROR(INDEX(계정대체기준!$E$6:$E$15,MATCH(VALUE($A512&amp;""),계정대체기준!$D$6:$D$15,0)),0),0))</f>
        <v/>
      </c>
      <c r="AH512" s="64">
        <f>IF($A512="","",IF(AD512=0,"",IF(OR(COUNTIF(계정대체기준!$A$77:$A$86,$N512)&gt;0,ISNUMBER(MATCH($X512,계정대체기준!$D$77:$D$86,0)),ISNUMBER(MATCH($F512,계정대체기준!$D$77:$D$86,0))),"Y","N")))</f>
        <v/>
      </c>
    </row>
    <row r="513">
      <c r="A513" s="92" t="n">
        <v>2025</v>
      </c>
      <c r="B513" s="92" t="n">
        <v>3</v>
      </c>
      <c r="C513" s="92" t="inlineStr">
        <is>
          <t>5100000509</t>
        </is>
      </c>
      <c r="D513" s="95" t="n">
        <v>45722</v>
      </c>
      <c r="E513" s="92" t="inlineStr">
        <is>
          <t>KR</t>
        </is>
      </c>
      <c r="F513" s="92" t="n">
        <v>62902000</v>
      </c>
      <c r="G513" s="92" t="n">
        <v>1801</v>
      </c>
      <c r="H513" s="93" t="n">
        <v>1802000</v>
      </c>
      <c r="I513" s="92" t="inlineStr">
        <is>
          <t>3월 콜 위탁 수수료(건별)</t>
        </is>
      </c>
      <c r="J513" s="92" t="inlineStr">
        <is>
          <t>V10016</t>
        </is>
      </c>
      <c r="K513" s="92" t="inlineStr">
        <is>
          <t>J콜센터</t>
        </is>
      </c>
      <c r="M513" s="9">
        <f>IF($A513="","",VALUE($A513&amp;"")*12+VALUE($B513&amp;""))</f>
        <v/>
      </c>
      <c r="N513" s="64">
        <f>IF($A513="","",IFERROR(INDEX(부서매핑!$C$5:$C$504,MATCH($G513&amp;"",부서매핑!$A$5:$A$504,0)),"미매핑"))</f>
        <v/>
      </c>
      <c r="O513" s="9">
        <f>IF($A513="","",N513&amp;"|"&amp;$F513)</f>
        <v/>
      </c>
      <c r="P513" s="94">
        <f>IF($A513="",0,$H513*설정!$C$23)</f>
        <v/>
      </c>
      <c r="Q513" s="64">
        <f>IF($A513="","",IF(O513&lt;&gt;원인분석!$C$9,"",IF(AND(M513&gt;=원인분석!$C$10,M513&lt;=원인분석!$C$11),"당기",IF(AND(M513&gt;=원인분석!$C$12,M513&lt;=원인분석!$C$13),"비교",""))))</f>
        <v/>
      </c>
      <c r="R513" s="9">
        <f>IF(Q513="","",$K513&amp;"")</f>
        <v/>
      </c>
      <c r="S513" s="9">
        <f>IF(Q513="","",IF(MATCH(R513,$R$5:$R$100000,0)=ROW()-4,ROW(),""))</f>
        <v/>
      </c>
      <c r="T513" s="9">
        <f>IF(Q513="당기",ABS(P513)+ROW()/1000000000,"")</f>
        <v/>
      </c>
      <c r="U513" s="9">
        <f>IF(Q513="비교",ABS(P513)+ROW()/1000000000,"")</f>
        <v/>
      </c>
      <c r="V513" s="64">
        <f>IF($A513="","",IF(COUNTIF(변동분석!$E$7:$E$506,O513)&gt;0,"Y","N"))</f>
        <v/>
      </c>
      <c r="W513" s="64">
        <f>IF($A513="","",IFERROR(INDEX(계정매핑!$D$5:$D$504,MATCH($F513&amp;"",계정매핑!$A$5:$A$504,0)),"미매핑"))</f>
        <v/>
      </c>
      <c r="X513" s="9">
        <f>IF($A513="","",$F513&amp;"")</f>
        <v/>
      </c>
      <c r="Y513" s="94">
        <f>IF($A513="",0,IF(AE513="직접",IF(AF513="비귀속",$P513,0),$P513*(1-AG513)*IFERROR(INDEX(계정대체기준!$F$20:$F$49,MATCH($N513,계정대체기준!$A$20:$A$49,0)),1)))</f>
        <v/>
      </c>
      <c r="Z513" s="94">
        <f>IF($A513="",0,IF(AE513="직접",IF(AF513="신계약비",$P513,0),$P513*(1-AG513)*IFERROR(INDEX(계정대체기준!$C$20:$C$49,MATCH($N513,계정대체기준!$A$20:$A$49,0)),0)))</f>
        <v/>
      </c>
      <c r="AA513" s="94">
        <f>IF($A513="",0,IF(AE513="직접",IF(OR(AF513="유지비",AF513="손해조사비"),$P513,0),$P513*(1-AG513)*IFERROR(INDEX(계정대체기준!$D$20:$D$49,MATCH($N513,계정대체기준!$A$20:$A$49,0)),0)))</f>
        <v/>
      </c>
      <c r="AB513" s="94">
        <f>IF($A513="",0,IF(AE513="직접",IF(AF513="수금비",$P513,0),$P513*(1-AG513)*IFERROR(INDEX(계정대체기준!$E$20:$E$49,MATCH($N513,계정대체기준!$A$20:$A$49,0)),0)))</f>
        <v/>
      </c>
      <c r="AC513" s="9">
        <f>IF(AND($A513&lt;&gt;"",M513=설정!$C$20,Z513&gt;0),Z513+ROW()/1000000000,"")</f>
        <v/>
      </c>
      <c r="AD513" s="94">
        <f>IF($A513="",0,$P513*AG513)</f>
        <v/>
      </c>
      <c r="AE513" s="64">
        <f>IF($A513="","",IFERROR(INDEX(계정매핑!$E$5:$E$504,MATCH($F513&amp;"",계정매핑!$A$5:$A$504,0))&amp;"","공통비"))</f>
        <v/>
      </c>
      <c r="AF513" s="64">
        <f>IF($A513="","",IF(AE513="직접",IFERROR(INDEX(계정매핑!$F$5:$F$504,MATCH($F513&amp;"",계정매핑!$A$5:$A$504,0))&amp;"","비귀속"),""))</f>
        <v/>
      </c>
      <c r="AG513" s="96">
        <f>IF($A513="",0,IF(AND(AE513&lt;&gt;"직접",IFERROR(INDEX(계정매핑!$G$5:$G$504,MATCH($F513&amp;"",계정매핑!$A$5:$A$504,0))&amp;"","")="유지비",COUNTIF(계정대체기준!$A$6:$A$15,$N513)&gt;0),IFERROR(INDEX(계정대체기준!$E$6:$E$15,MATCH(VALUE($A513&amp;""),계정대체기준!$D$6:$D$15,0)),0),0))</f>
        <v/>
      </c>
      <c r="AH513" s="64">
        <f>IF($A513="","",IF(AD513=0,"",IF(OR(COUNTIF(계정대체기준!$A$77:$A$86,$N513)&gt;0,ISNUMBER(MATCH($X513,계정대체기준!$D$77:$D$86,0)),ISNUMBER(MATCH($F513,계정대체기준!$D$77:$D$86,0))),"Y","N")))</f>
        <v/>
      </c>
    </row>
    <row r="514">
      <c r="A514" s="92" t="n">
        <v>2025</v>
      </c>
      <c r="B514" s="92" t="n">
        <v>3</v>
      </c>
      <c r="C514" s="92" t="inlineStr">
        <is>
          <t>5100000510</t>
        </is>
      </c>
      <c r="D514" s="95" t="n">
        <v>45723</v>
      </c>
      <c r="E514" s="92" t="inlineStr">
        <is>
          <t>KR</t>
        </is>
      </c>
      <c r="F514" s="92" t="n">
        <v>62101000</v>
      </c>
      <c r="G514" s="92" t="n">
        <v>1401</v>
      </c>
      <c r="H514" s="93" t="n">
        <v>471000</v>
      </c>
      <c r="I514" s="92" t="inlineStr">
        <is>
          <t>3월 국내출장 - (법인카드)</t>
        </is>
      </c>
      <c r="J514" s="92" t="inlineStr">
        <is>
          <t>V10010</t>
        </is>
      </c>
      <c r="K514" s="92" t="inlineStr">
        <is>
          <t>(법인카드)</t>
        </is>
      </c>
      <c r="M514" s="9">
        <f>IF($A514="","",VALUE($A514&amp;"")*12+VALUE($B514&amp;""))</f>
        <v/>
      </c>
      <c r="N514" s="64">
        <f>IF($A514="","",IFERROR(INDEX(부서매핑!$C$5:$C$504,MATCH($G514&amp;"",부서매핑!$A$5:$A$504,0)),"미매핑"))</f>
        <v/>
      </c>
      <c r="O514" s="9">
        <f>IF($A514="","",N514&amp;"|"&amp;$F514)</f>
        <v/>
      </c>
      <c r="P514" s="94">
        <f>IF($A514="",0,$H514*설정!$C$23)</f>
        <v/>
      </c>
      <c r="Q514" s="64">
        <f>IF($A514="","",IF(O514&lt;&gt;원인분석!$C$9,"",IF(AND(M514&gt;=원인분석!$C$10,M514&lt;=원인분석!$C$11),"당기",IF(AND(M514&gt;=원인분석!$C$12,M514&lt;=원인분석!$C$13),"비교",""))))</f>
        <v/>
      </c>
      <c r="R514" s="9">
        <f>IF(Q514="","",$K514&amp;"")</f>
        <v/>
      </c>
      <c r="S514" s="9">
        <f>IF(Q514="","",IF(MATCH(R514,$R$5:$R$100000,0)=ROW()-4,ROW(),""))</f>
        <v/>
      </c>
      <c r="T514" s="9">
        <f>IF(Q514="당기",ABS(P514)+ROW()/1000000000,"")</f>
        <v/>
      </c>
      <c r="U514" s="9">
        <f>IF(Q514="비교",ABS(P514)+ROW()/1000000000,"")</f>
        <v/>
      </c>
      <c r="V514" s="64">
        <f>IF($A514="","",IF(COUNTIF(변동분석!$E$7:$E$506,O514)&gt;0,"Y","N"))</f>
        <v/>
      </c>
      <c r="W514" s="64">
        <f>IF($A514="","",IFERROR(INDEX(계정매핑!$D$5:$D$504,MATCH($F514&amp;"",계정매핑!$A$5:$A$504,0)),"미매핑"))</f>
        <v/>
      </c>
      <c r="X514" s="9">
        <f>IF($A514="","",$F514&amp;"")</f>
        <v/>
      </c>
      <c r="Y514" s="94">
        <f>IF($A514="",0,IF(AE514="직접",IF(AF514="비귀속",$P514,0),$P514*(1-AG514)*IFERROR(INDEX(계정대체기준!$F$20:$F$49,MATCH($N514,계정대체기준!$A$20:$A$49,0)),1)))</f>
        <v/>
      </c>
      <c r="Z514" s="94">
        <f>IF($A514="",0,IF(AE514="직접",IF(AF514="신계약비",$P514,0),$P514*(1-AG514)*IFERROR(INDEX(계정대체기준!$C$20:$C$49,MATCH($N514,계정대체기준!$A$20:$A$49,0)),0)))</f>
        <v/>
      </c>
      <c r="AA514" s="94">
        <f>IF($A514="",0,IF(AE514="직접",IF(OR(AF514="유지비",AF514="손해조사비"),$P514,0),$P514*(1-AG514)*IFERROR(INDEX(계정대체기준!$D$20:$D$49,MATCH($N514,계정대체기준!$A$20:$A$49,0)),0)))</f>
        <v/>
      </c>
      <c r="AB514" s="94">
        <f>IF($A514="",0,IF(AE514="직접",IF(AF514="수금비",$P514,0),$P514*(1-AG514)*IFERROR(INDEX(계정대체기준!$E$20:$E$49,MATCH($N514,계정대체기준!$A$20:$A$49,0)),0)))</f>
        <v/>
      </c>
      <c r="AC514" s="9">
        <f>IF(AND($A514&lt;&gt;"",M514=설정!$C$20,Z514&gt;0),Z514+ROW()/1000000000,"")</f>
        <v/>
      </c>
      <c r="AD514" s="94">
        <f>IF($A514="",0,$P514*AG514)</f>
        <v/>
      </c>
      <c r="AE514" s="64">
        <f>IF($A514="","",IFERROR(INDEX(계정매핑!$E$5:$E$504,MATCH($F514&amp;"",계정매핑!$A$5:$A$504,0))&amp;"","공통비"))</f>
        <v/>
      </c>
      <c r="AF514" s="64">
        <f>IF($A514="","",IF(AE514="직접",IFERROR(INDEX(계정매핑!$F$5:$F$504,MATCH($F514&amp;"",계정매핑!$A$5:$A$504,0))&amp;"","비귀속"),""))</f>
        <v/>
      </c>
      <c r="AG514" s="96">
        <f>IF($A514="",0,IF(AND(AE514&lt;&gt;"직접",IFERROR(INDEX(계정매핑!$G$5:$G$504,MATCH($F514&amp;"",계정매핑!$A$5:$A$504,0))&amp;"","")="유지비",COUNTIF(계정대체기준!$A$6:$A$15,$N514)&gt;0),IFERROR(INDEX(계정대체기준!$E$6:$E$15,MATCH(VALUE($A514&amp;""),계정대체기준!$D$6:$D$15,0)),0),0))</f>
        <v/>
      </c>
      <c r="AH514" s="64">
        <f>IF($A514="","",IF(AD514=0,"",IF(OR(COUNTIF(계정대체기준!$A$77:$A$86,$N514)&gt;0,ISNUMBER(MATCH($X514,계정대체기준!$D$77:$D$86,0)),ISNUMBER(MATCH($F514,계정대체기준!$D$77:$D$86,0))),"Y","N")))</f>
        <v/>
      </c>
    </row>
    <row r="515">
      <c r="A515" s="92" t="n">
        <v>2025</v>
      </c>
      <c r="B515" s="92" t="n">
        <v>3</v>
      </c>
      <c r="C515" s="92" t="inlineStr">
        <is>
          <t>5100000511</t>
        </is>
      </c>
      <c r="D515" s="95" t="n">
        <v>45723</v>
      </c>
      <c r="E515" s="92" t="inlineStr">
        <is>
          <t>KR</t>
        </is>
      </c>
      <c r="F515" s="92" t="n">
        <v>62101000</v>
      </c>
      <c r="G515" s="92" t="n">
        <v>1951</v>
      </c>
      <c r="H515" s="93" t="n">
        <v>292000</v>
      </c>
      <c r="I515" s="92" t="inlineStr">
        <is>
          <t>3월 국내출장 - L여행사</t>
        </is>
      </c>
      <c r="J515" s="92" t="inlineStr">
        <is>
          <t>V10018</t>
        </is>
      </c>
      <c r="K515" s="92" t="inlineStr">
        <is>
          <t>L여행사</t>
        </is>
      </c>
      <c r="M515" s="9">
        <f>IF($A515="","",VALUE($A515&amp;"")*12+VALUE($B515&amp;""))</f>
        <v/>
      </c>
      <c r="N515" s="64">
        <f>IF($A515="","",IFERROR(INDEX(부서매핑!$C$5:$C$504,MATCH($G515&amp;"",부서매핑!$A$5:$A$504,0)),"미매핑"))</f>
        <v/>
      </c>
      <c r="O515" s="9">
        <f>IF($A515="","",N515&amp;"|"&amp;$F515)</f>
        <v/>
      </c>
      <c r="P515" s="94">
        <f>IF($A515="",0,$H515*설정!$C$23)</f>
        <v/>
      </c>
      <c r="Q515" s="64">
        <f>IF($A515="","",IF(O515&lt;&gt;원인분석!$C$9,"",IF(AND(M515&gt;=원인분석!$C$10,M515&lt;=원인분석!$C$11),"당기",IF(AND(M515&gt;=원인분석!$C$12,M515&lt;=원인분석!$C$13),"비교",""))))</f>
        <v/>
      </c>
      <c r="R515" s="9">
        <f>IF(Q515="","",$K515&amp;"")</f>
        <v/>
      </c>
      <c r="S515" s="9">
        <f>IF(Q515="","",IF(MATCH(R515,$R$5:$R$100000,0)=ROW()-4,ROW(),""))</f>
        <v/>
      </c>
      <c r="T515" s="9">
        <f>IF(Q515="당기",ABS(P515)+ROW()/1000000000,"")</f>
        <v/>
      </c>
      <c r="U515" s="9">
        <f>IF(Q515="비교",ABS(P515)+ROW()/1000000000,"")</f>
        <v/>
      </c>
      <c r="V515" s="64">
        <f>IF($A515="","",IF(COUNTIF(변동분석!$E$7:$E$506,O515)&gt;0,"Y","N"))</f>
        <v/>
      </c>
      <c r="W515" s="64">
        <f>IF($A515="","",IFERROR(INDEX(계정매핑!$D$5:$D$504,MATCH($F515&amp;"",계정매핑!$A$5:$A$504,0)),"미매핑"))</f>
        <v/>
      </c>
      <c r="X515" s="9">
        <f>IF($A515="","",$F515&amp;"")</f>
        <v/>
      </c>
      <c r="Y515" s="94">
        <f>IF($A515="",0,IF(AE515="직접",IF(AF515="비귀속",$P515,0),$P515*(1-AG515)*IFERROR(INDEX(계정대체기준!$F$20:$F$49,MATCH($N515,계정대체기준!$A$20:$A$49,0)),1)))</f>
        <v/>
      </c>
      <c r="Z515" s="94">
        <f>IF($A515="",0,IF(AE515="직접",IF(AF515="신계약비",$P515,0),$P515*(1-AG515)*IFERROR(INDEX(계정대체기준!$C$20:$C$49,MATCH($N515,계정대체기준!$A$20:$A$49,0)),0)))</f>
        <v/>
      </c>
      <c r="AA515" s="94">
        <f>IF($A515="",0,IF(AE515="직접",IF(OR(AF515="유지비",AF515="손해조사비"),$P515,0),$P515*(1-AG515)*IFERROR(INDEX(계정대체기준!$D$20:$D$49,MATCH($N515,계정대체기준!$A$20:$A$49,0)),0)))</f>
        <v/>
      </c>
      <c r="AB515" s="94">
        <f>IF($A515="",0,IF(AE515="직접",IF(AF515="수금비",$P515,0),$P515*(1-AG515)*IFERROR(INDEX(계정대체기준!$E$20:$E$49,MATCH($N515,계정대체기준!$A$20:$A$49,0)),0)))</f>
        <v/>
      </c>
      <c r="AC515" s="9">
        <f>IF(AND($A515&lt;&gt;"",M515=설정!$C$20,Z515&gt;0),Z515+ROW()/1000000000,"")</f>
        <v/>
      </c>
      <c r="AD515" s="94">
        <f>IF($A515="",0,$P515*AG515)</f>
        <v/>
      </c>
      <c r="AE515" s="64">
        <f>IF($A515="","",IFERROR(INDEX(계정매핑!$E$5:$E$504,MATCH($F515&amp;"",계정매핑!$A$5:$A$504,0))&amp;"","공통비"))</f>
        <v/>
      </c>
      <c r="AF515" s="64">
        <f>IF($A515="","",IF(AE515="직접",IFERROR(INDEX(계정매핑!$F$5:$F$504,MATCH($F515&amp;"",계정매핑!$A$5:$A$504,0))&amp;"","비귀속"),""))</f>
        <v/>
      </c>
      <c r="AG515" s="96">
        <f>IF($A515="",0,IF(AND(AE515&lt;&gt;"직접",IFERROR(INDEX(계정매핑!$G$5:$G$504,MATCH($F515&amp;"",계정매핑!$A$5:$A$504,0))&amp;"","")="유지비",COUNTIF(계정대체기준!$A$6:$A$15,$N515)&gt;0),IFERROR(INDEX(계정대체기준!$E$6:$E$15,MATCH(VALUE($A515&amp;""),계정대체기준!$D$6:$D$15,0)),0),0))</f>
        <v/>
      </c>
      <c r="AH515" s="64">
        <f>IF($A515="","",IF(AD515=0,"",IF(OR(COUNTIF(계정대체기준!$A$77:$A$86,$N515)&gt;0,ISNUMBER(MATCH($X515,계정대체기준!$D$77:$D$86,0)),ISNUMBER(MATCH($F515,계정대체기준!$D$77:$D$86,0))),"Y","N")))</f>
        <v/>
      </c>
    </row>
    <row r="516">
      <c r="A516" s="92" t="n">
        <v>2025</v>
      </c>
      <c r="B516" s="92" t="n">
        <v>3</v>
      </c>
      <c r="C516" s="92" t="inlineStr">
        <is>
          <t>5100000512</t>
        </is>
      </c>
      <c r="D516" s="95" t="n">
        <v>45723</v>
      </c>
      <c r="E516" s="92" t="inlineStr">
        <is>
          <t>KR</t>
        </is>
      </c>
      <c r="F516" s="92" t="n">
        <v>62102000</v>
      </c>
      <c r="G516" s="92" t="n">
        <v>1301</v>
      </c>
      <c r="H516" s="93" t="n">
        <v>95000</v>
      </c>
      <c r="I516" s="92" t="inlineStr">
        <is>
          <t>3월 해외출장 - M항공</t>
        </is>
      </c>
      <c r="J516" s="92" t="inlineStr">
        <is>
          <t>V10001</t>
        </is>
      </c>
      <c r="K516" s="92" t="inlineStr">
        <is>
          <t>M항공</t>
        </is>
      </c>
      <c r="M516" s="9">
        <f>IF($A516="","",VALUE($A516&amp;"")*12+VALUE($B516&amp;""))</f>
        <v/>
      </c>
      <c r="N516" s="64">
        <f>IF($A516="","",IFERROR(INDEX(부서매핑!$C$5:$C$504,MATCH($G516&amp;"",부서매핑!$A$5:$A$504,0)),"미매핑"))</f>
        <v/>
      </c>
      <c r="O516" s="9">
        <f>IF($A516="","",N516&amp;"|"&amp;$F516)</f>
        <v/>
      </c>
      <c r="P516" s="94">
        <f>IF($A516="",0,$H516*설정!$C$23)</f>
        <v/>
      </c>
      <c r="Q516" s="64">
        <f>IF($A516="","",IF(O516&lt;&gt;원인분석!$C$9,"",IF(AND(M516&gt;=원인분석!$C$10,M516&lt;=원인분석!$C$11),"당기",IF(AND(M516&gt;=원인분석!$C$12,M516&lt;=원인분석!$C$13),"비교",""))))</f>
        <v/>
      </c>
      <c r="R516" s="9">
        <f>IF(Q516="","",$K516&amp;"")</f>
        <v/>
      </c>
      <c r="S516" s="9">
        <f>IF(Q516="","",IF(MATCH(R516,$R$5:$R$100000,0)=ROW()-4,ROW(),""))</f>
        <v/>
      </c>
      <c r="T516" s="9">
        <f>IF(Q516="당기",ABS(P516)+ROW()/1000000000,"")</f>
        <v/>
      </c>
      <c r="U516" s="9">
        <f>IF(Q516="비교",ABS(P516)+ROW()/1000000000,"")</f>
        <v/>
      </c>
      <c r="V516" s="64">
        <f>IF($A516="","",IF(COUNTIF(변동분석!$E$7:$E$506,O516)&gt;0,"Y","N"))</f>
        <v/>
      </c>
      <c r="W516" s="64">
        <f>IF($A516="","",IFERROR(INDEX(계정매핑!$D$5:$D$504,MATCH($F516&amp;"",계정매핑!$A$5:$A$504,0)),"미매핑"))</f>
        <v/>
      </c>
      <c r="X516" s="9">
        <f>IF($A516="","",$F516&amp;"")</f>
        <v/>
      </c>
      <c r="Y516" s="94">
        <f>IF($A516="",0,IF(AE516="직접",IF(AF516="비귀속",$P516,0),$P516*(1-AG516)*IFERROR(INDEX(계정대체기준!$F$20:$F$49,MATCH($N516,계정대체기준!$A$20:$A$49,0)),1)))</f>
        <v/>
      </c>
      <c r="Z516" s="94">
        <f>IF($A516="",0,IF(AE516="직접",IF(AF516="신계약비",$P516,0),$P516*(1-AG516)*IFERROR(INDEX(계정대체기준!$C$20:$C$49,MATCH($N516,계정대체기준!$A$20:$A$49,0)),0)))</f>
        <v/>
      </c>
      <c r="AA516" s="94">
        <f>IF($A516="",0,IF(AE516="직접",IF(OR(AF516="유지비",AF516="손해조사비"),$P516,0),$P516*(1-AG516)*IFERROR(INDEX(계정대체기준!$D$20:$D$49,MATCH($N516,계정대체기준!$A$20:$A$49,0)),0)))</f>
        <v/>
      </c>
      <c r="AB516" s="94">
        <f>IF($A516="",0,IF(AE516="직접",IF(AF516="수금비",$P516,0),$P516*(1-AG516)*IFERROR(INDEX(계정대체기준!$E$20:$E$49,MATCH($N516,계정대체기준!$A$20:$A$49,0)),0)))</f>
        <v/>
      </c>
      <c r="AC516" s="9">
        <f>IF(AND($A516&lt;&gt;"",M516=설정!$C$20,Z516&gt;0),Z516+ROW()/1000000000,"")</f>
        <v/>
      </c>
      <c r="AD516" s="94">
        <f>IF($A516="",0,$P516*AG516)</f>
        <v/>
      </c>
      <c r="AE516" s="64">
        <f>IF($A516="","",IFERROR(INDEX(계정매핑!$E$5:$E$504,MATCH($F516&amp;"",계정매핑!$A$5:$A$504,0))&amp;"","공통비"))</f>
        <v/>
      </c>
      <c r="AF516" s="64">
        <f>IF($A516="","",IF(AE516="직접",IFERROR(INDEX(계정매핑!$F$5:$F$504,MATCH($F516&amp;"",계정매핑!$A$5:$A$504,0))&amp;"","비귀속"),""))</f>
        <v/>
      </c>
      <c r="AG516" s="96">
        <f>IF($A516="",0,IF(AND(AE516&lt;&gt;"직접",IFERROR(INDEX(계정매핑!$G$5:$G$504,MATCH($F516&amp;"",계정매핑!$A$5:$A$504,0))&amp;"","")="유지비",COUNTIF(계정대체기준!$A$6:$A$15,$N516)&gt;0),IFERROR(INDEX(계정대체기준!$E$6:$E$15,MATCH(VALUE($A516&amp;""),계정대체기준!$D$6:$D$15,0)),0),0))</f>
        <v/>
      </c>
      <c r="AH516" s="64">
        <f>IF($A516="","",IF(AD516=0,"",IF(OR(COUNTIF(계정대체기준!$A$77:$A$86,$N516)&gt;0,ISNUMBER(MATCH($X516,계정대체기준!$D$77:$D$86,0)),ISNUMBER(MATCH($F516,계정대체기준!$D$77:$D$86,0))),"Y","N")))</f>
        <v/>
      </c>
    </row>
    <row r="517">
      <c r="A517" s="92" t="n">
        <v>2025</v>
      </c>
      <c r="B517" s="92" t="n">
        <v>3</v>
      </c>
      <c r="C517" s="92" t="inlineStr">
        <is>
          <t>5100000513</t>
        </is>
      </c>
      <c r="D517" s="95" t="n">
        <v>45723</v>
      </c>
      <c r="E517" s="92" t="inlineStr">
        <is>
          <t>KR</t>
        </is>
      </c>
      <c r="F517" s="92" t="n">
        <v>62201000</v>
      </c>
      <c r="G517" s="92" t="n">
        <v>1101</v>
      </c>
      <c r="H517" s="93" t="n">
        <v>230000</v>
      </c>
      <c r="I517" s="92" t="inlineStr">
        <is>
          <t>3월 통신요금 - O텔레콤</t>
        </is>
      </c>
      <c r="J517" s="92" t="inlineStr">
        <is>
          <t>V10002</t>
        </is>
      </c>
      <c r="K517" s="92" t="inlineStr">
        <is>
          <t>O텔레콤</t>
        </is>
      </c>
      <c r="M517" s="9">
        <f>IF($A517="","",VALUE($A517&amp;"")*12+VALUE($B517&amp;""))</f>
        <v/>
      </c>
      <c r="N517" s="64">
        <f>IF($A517="","",IFERROR(INDEX(부서매핑!$C$5:$C$504,MATCH($G517&amp;"",부서매핑!$A$5:$A$504,0)),"미매핑"))</f>
        <v/>
      </c>
      <c r="O517" s="9">
        <f>IF($A517="","",N517&amp;"|"&amp;$F517)</f>
        <v/>
      </c>
      <c r="P517" s="94">
        <f>IF($A517="",0,$H517*설정!$C$23)</f>
        <v/>
      </c>
      <c r="Q517" s="64">
        <f>IF($A517="","",IF(O517&lt;&gt;원인분석!$C$9,"",IF(AND(M517&gt;=원인분석!$C$10,M517&lt;=원인분석!$C$11),"당기",IF(AND(M517&gt;=원인분석!$C$12,M517&lt;=원인분석!$C$13),"비교",""))))</f>
        <v/>
      </c>
      <c r="R517" s="9">
        <f>IF(Q517="","",$K517&amp;"")</f>
        <v/>
      </c>
      <c r="S517" s="9">
        <f>IF(Q517="","",IF(MATCH(R517,$R$5:$R$100000,0)=ROW()-4,ROW(),""))</f>
        <v/>
      </c>
      <c r="T517" s="9">
        <f>IF(Q517="당기",ABS(P517)+ROW()/1000000000,"")</f>
        <v/>
      </c>
      <c r="U517" s="9">
        <f>IF(Q517="비교",ABS(P517)+ROW()/1000000000,"")</f>
        <v/>
      </c>
      <c r="V517" s="64">
        <f>IF($A517="","",IF(COUNTIF(변동분석!$E$7:$E$506,O517)&gt;0,"Y","N"))</f>
        <v/>
      </c>
      <c r="W517" s="64">
        <f>IF($A517="","",IFERROR(INDEX(계정매핑!$D$5:$D$504,MATCH($F517&amp;"",계정매핑!$A$5:$A$504,0)),"미매핑"))</f>
        <v/>
      </c>
      <c r="X517" s="9">
        <f>IF($A517="","",$F517&amp;"")</f>
        <v/>
      </c>
      <c r="Y517" s="94">
        <f>IF($A517="",0,IF(AE517="직접",IF(AF517="비귀속",$P517,0),$P517*(1-AG517)*IFERROR(INDEX(계정대체기준!$F$20:$F$49,MATCH($N517,계정대체기준!$A$20:$A$49,0)),1)))</f>
        <v/>
      </c>
      <c r="Z517" s="94">
        <f>IF($A517="",0,IF(AE517="직접",IF(AF517="신계약비",$P517,0),$P517*(1-AG517)*IFERROR(INDEX(계정대체기준!$C$20:$C$49,MATCH($N517,계정대체기준!$A$20:$A$49,0)),0)))</f>
        <v/>
      </c>
      <c r="AA517" s="94">
        <f>IF($A517="",0,IF(AE517="직접",IF(OR(AF517="유지비",AF517="손해조사비"),$P517,0),$P517*(1-AG517)*IFERROR(INDEX(계정대체기준!$D$20:$D$49,MATCH($N517,계정대체기준!$A$20:$A$49,0)),0)))</f>
        <v/>
      </c>
      <c r="AB517" s="94">
        <f>IF($A517="",0,IF(AE517="직접",IF(AF517="수금비",$P517,0),$P517*(1-AG517)*IFERROR(INDEX(계정대체기준!$E$20:$E$49,MATCH($N517,계정대체기준!$A$20:$A$49,0)),0)))</f>
        <v/>
      </c>
      <c r="AC517" s="9">
        <f>IF(AND($A517&lt;&gt;"",M517=설정!$C$20,Z517&gt;0),Z517+ROW()/1000000000,"")</f>
        <v/>
      </c>
      <c r="AD517" s="94">
        <f>IF($A517="",0,$P517*AG517)</f>
        <v/>
      </c>
      <c r="AE517" s="64">
        <f>IF($A517="","",IFERROR(INDEX(계정매핑!$E$5:$E$504,MATCH($F517&amp;"",계정매핑!$A$5:$A$504,0))&amp;"","공통비"))</f>
        <v/>
      </c>
      <c r="AF517" s="64">
        <f>IF($A517="","",IF(AE517="직접",IFERROR(INDEX(계정매핑!$F$5:$F$504,MATCH($F517&amp;"",계정매핑!$A$5:$A$504,0))&amp;"","비귀속"),""))</f>
        <v/>
      </c>
      <c r="AG517" s="96">
        <f>IF($A517="",0,IF(AND(AE517&lt;&gt;"직접",IFERROR(INDEX(계정매핑!$G$5:$G$504,MATCH($F517&amp;"",계정매핑!$A$5:$A$504,0))&amp;"","")="유지비",COUNTIF(계정대체기준!$A$6:$A$15,$N517)&gt;0),IFERROR(INDEX(계정대체기준!$E$6:$E$15,MATCH(VALUE($A517&amp;""),계정대체기준!$D$6:$D$15,0)),0),0))</f>
        <v/>
      </c>
      <c r="AH517" s="64">
        <f>IF($A517="","",IF(AD517=0,"",IF(OR(COUNTIF(계정대체기준!$A$77:$A$86,$N517)&gt;0,ISNUMBER(MATCH($X517,계정대체기준!$D$77:$D$86,0)),ISNUMBER(MATCH($F517,계정대체기준!$D$77:$D$86,0))),"Y","N")))</f>
        <v/>
      </c>
    </row>
    <row r="518">
      <c r="A518" s="92" t="n">
        <v>2025</v>
      </c>
      <c r="B518" s="92" t="n">
        <v>3</v>
      </c>
      <c r="C518" s="92" t="inlineStr">
        <is>
          <t>5100000514</t>
        </is>
      </c>
      <c r="D518" s="95" t="n">
        <v>45723</v>
      </c>
      <c r="E518" s="92" t="inlineStr">
        <is>
          <t>KR</t>
        </is>
      </c>
      <c r="F518" s="92" t="n">
        <v>62201000</v>
      </c>
      <c r="G518" s="92" t="n">
        <v>1201</v>
      </c>
      <c r="H518" s="93" t="n">
        <v>227000</v>
      </c>
      <c r="I518" s="92" t="inlineStr">
        <is>
          <t>3월 통신요금 - O텔레콤</t>
        </is>
      </c>
      <c r="J518" s="92" t="inlineStr">
        <is>
          <t>V10002</t>
        </is>
      </c>
      <c r="K518" s="92" t="inlineStr">
        <is>
          <t>O텔레콤</t>
        </is>
      </c>
      <c r="M518" s="9">
        <f>IF($A518="","",VALUE($A518&amp;"")*12+VALUE($B518&amp;""))</f>
        <v/>
      </c>
      <c r="N518" s="64">
        <f>IF($A518="","",IFERROR(INDEX(부서매핑!$C$5:$C$504,MATCH($G518&amp;"",부서매핑!$A$5:$A$504,0)),"미매핑"))</f>
        <v/>
      </c>
      <c r="O518" s="9">
        <f>IF($A518="","",N518&amp;"|"&amp;$F518)</f>
        <v/>
      </c>
      <c r="P518" s="94">
        <f>IF($A518="",0,$H518*설정!$C$23)</f>
        <v/>
      </c>
      <c r="Q518" s="64">
        <f>IF($A518="","",IF(O518&lt;&gt;원인분석!$C$9,"",IF(AND(M518&gt;=원인분석!$C$10,M518&lt;=원인분석!$C$11),"당기",IF(AND(M518&gt;=원인분석!$C$12,M518&lt;=원인분석!$C$13),"비교",""))))</f>
        <v/>
      </c>
      <c r="R518" s="9">
        <f>IF(Q518="","",$K518&amp;"")</f>
        <v/>
      </c>
      <c r="S518" s="9">
        <f>IF(Q518="","",IF(MATCH(R518,$R$5:$R$100000,0)=ROW()-4,ROW(),""))</f>
        <v/>
      </c>
      <c r="T518" s="9">
        <f>IF(Q518="당기",ABS(P518)+ROW()/1000000000,"")</f>
        <v/>
      </c>
      <c r="U518" s="9">
        <f>IF(Q518="비교",ABS(P518)+ROW()/1000000000,"")</f>
        <v/>
      </c>
      <c r="V518" s="64">
        <f>IF($A518="","",IF(COUNTIF(변동분석!$E$7:$E$506,O518)&gt;0,"Y","N"))</f>
        <v/>
      </c>
      <c r="W518" s="64">
        <f>IF($A518="","",IFERROR(INDEX(계정매핑!$D$5:$D$504,MATCH($F518&amp;"",계정매핑!$A$5:$A$504,0)),"미매핑"))</f>
        <v/>
      </c>
      <c r="X518" s="9">
        <f>IF($A518="","",$F518&amp;"")</f>
        <v/>
      </c>
      <c r="Y518" s="94">
        <f>IF($A518="",0,IF(AE518="직접",IF(AF518="비귀속",$P518,0),$P518*(1-AG518)*IFERROR(INDEX(계정대체기준!$F$20:$F$49,MATCH($N518,계정대체기준!$A$20:$A$49,0)),1)))</f>
        <v/>
      </c>
      <c r="Z518" s="94">
        <f>IF($A518="",0,IF(AE518="직접",IF(AF518="신계약비",$P518,0),$P518*(1-AG518)*IFERROR(INDEX(계정대체기준!$C$20:$C$49,MATCH($N518,계정대체기준!$A$20:$A$49,0)),0)))</f>
        <v/>
      </c>
      <c r="AA518" s="94">
        <f>IF($A518="",0,IF(AE518="직접",IF(OR(AF518="유지비",AF518="손해조사비"),$P518,0),$P518*(1-AG518)*IFERROR(INDEX(계정대체기준!$D$20:$D$49,MATCH($N518,계정대체기준!$A$20:$A$49,0)),0)))</f>
        <v/>
      </c>
      <c r="AB518" s="94">
        <f>IF($A518="",0,IF(AE518="직접",IF(AF518="수금비",$P518,0),$P518*(1-AG518)*IFERROR(INDEX(계정대체기준!$E$20:$E$49,MATCH($N518,계정대체기준!$A$20:$A$49,0)),0)))</f>
        <v/>
      </c>
      <c r="AC518" s="9">
        <f>IF(AND($A518&lt;&gt;"",M518=설정!$C$20,Z518&gt;0),Z518+ROW()/1000000000,"")</f>
        <v/>
      </c>
      <c r="AD518" s="94">
        <f>IF($A518="",0,$P518*AG518)</f>
        <v/>
      </c>
      <c r="AE518" s="64">
        <f>IF($A518="","",IFERROR(INDEX(계정매핑!$E$5:$E$504,MATCH($F518&amp;"",계정매핑!$A$5:$A$504,0))&amp;"","공통비"))</f>
        <v/>
      </c>
      <c r="AF518" s="64">
        <f>IF($A518="","",IF(AE518="직접",IFERROR(INDEX(계정매핑!$F$5:$F$504,MATCH($F518&amp;"",계정매핑!$A$5:$A$504,0))&amp;"","비귀속"),""))</f>
        <v/>
      </c>
      <c r="AG518" s="96">
        <f>IF($A518="",0,IF(AND(AE518&lt;&gt;"직접",IFERROR(INDEX(계정매핑!$G$5:$G$504,MATCH($F518&amp;"",계정매핑!$A$5:$A$504,0))&amp;"","")="유지비",COUNTIF(계정대체기준!$A$6:$A$15,$N518)&gt;0),IFERROR(INDEX(계정대체기준!$E$6:$E$15,MATCH(VALUE($A518&amp;""),계정대체기준!$D$6:$D$15,0)),0),0))</f>
        <v/>
      </c>
      <c r="AH518" s="64">
        <f>IF($A518="","",IF(AD518=0,"",IF(OR(COUNTIF(계정대체기준!$A$77:$A$86,$N518)&gt;0,ISNUMBER(MATCH($X518,계정대체기준!$D$77:$D$86,0)),ISNUMBER(MATCH($F518,계정대체기준!$D$77:$D$86,0))),"Y","N")))</f>
        <v/>
      </c>
    </row>
    <row r="519">
      <c r="A519" s="92" t="n">
        <v>2025</v>
      </c>
      <c r="B519" s="92" t="n">
        <v>3</v>
      </c>
      <c r="C519" s="92" t="inlineStr">
        <is>
          <t>5100000515</t>
        </is>
      </c>
      <c r="D519" s="95" t="n">
        <v>45723</v>
      </c>
      <c r="E519" s="92" t="inlineStr">
        <is>
          <t>KR</t>
        </is>
      </c>
      <c r="F519" s="92" t="n">
        <v>62201000</v>
      </c>
      <c r="G519" s="92" t="n">
        <v>1401</v>
      </c>
      <c r="H519" s="93" t="n">
        <v>179000</v>
      </c>
      <c r="I519" s="92" t="inlineStr">
        <is>
          <t>3월 통신요금 - P통신</t>
        </is>
      </c>
      <c r="J519" s="92" t="inlineStr">
        <is>
          <t>V10014</t>
        </is>
      </c>
      <c r="K519" s="92" t="inlineStr">
        <is>
          <t>P통신</t>
        </is>
      </c>
      <c r="M519" s="9">
        <f>IF($A519="","",VALUE($A519&amp;"")*12+VALUE($B519&amp;""))</f>
        <v/>
      </c>
      <c r="N519" s="64">
        <f>IF($A519="","",IFERROR(INDEX(부서매핑!$C$5:$C$504,MATCH($G519&amp;"",부서매핑!$A$5:$A$504,0)),"미매핑"))</f>
        <v/>
      </c>
      <c r="O519" s="9">
        <f>IF($A519="","",N519&amp;"|"&amp;$F519)</f>
        <v/>
      </c>
      <c r="P519" s="94">
        <f>IF($A519="",0,$H519*설정!$C$23)</f>
        <v/>
      </c>
      <c r="Q519" s="64">
        <f>IF($A519="","",IF(O519&lt;&gt;원인분석!$C$9,"",IF(AND(M519&gt;=원인분석!$C$10,M519&lt;=원인분석!$C$11),"당기",IF(AND(M519&gt;=원인분석!$C$12,M519&lt;=원인분석!$C$13),"비교",""))))</f>
        <v/>
      </c>
      <c r="R519" s="9">
        <f>IF(Q519="","",$K519&amp;"")</f>
        <v/>
      </c>
      <c r="S519" s="9">
        <f>IF(Q519="","",IF(MATCH(R519,$R$5:$R$100000,0)=ROW()-4,ROW(),""))</f>
        <v/>
      </c>
      <c r="T519" s="9">
        <f>IF(Q519="당기",ABS(P519)+ROW()/1000000000,"")</f>
        <v/>
      </c>
      <c r="U519" s="9">
        <f>IF(Q519="비교",ABS(P519)+ROW()/1000000000,"")</f>
        <v/>
      </c>
      <c r="V519" s="64">
        <f>IF($A519="","",IF(COUNTIF(변동분석!$E$7:$E$506,O519)&gt;0,"Y","N"))</f>
        <v/>
      </c>
      <c r="W519" s="64">
        <f>IF($A519="","",IFERROR(INDEX(계정매핑!$D$5:$D$504,MATCH($F519&amp;"",계정매핑!$A$5:$A$504,0)),"미매핑"))</f>
        <v/>
      </c>
      <c r="X519" s="9">
        <f>IF($A519="","",$F519&amp;"")</f>
        <v/>
      </c>
      <c r="Y519" s="94">
        <f>IF($A519="",0,IF(AE519="직접",IF(AF519="비귀속",$P519,0),$P519*(1-AG519)*IFERROR(INDEX(계정대체기준!$F$20:$F$49,MATCH($N519,계정대체기준!$A$20:$A$49,0)),1)))</f>
        <v/>
      </c>
      <c r="Z519" s="94">
        <f>IF($A519="",0,IF(AE519="직접",IF(AF519="신계약비",$P519,0),$P519*(1-AG519)*IFERROR(INDEX(계정대체기준!$C$20:$C$49,MATCH($N519,계정대체기준!$A$20:$A$49,0)),0)))</f>
        <v/>
      </c>
      <c r="AA519" s="94">
        <f>IF($A519="",0,IF(AE519="직접",IF(OR(AF519="유지비",AF519="손해조사비"),$P519,0),$P519*(1-AG519)*IFERROR(INDEX(계정대체기준!$D$20:$D$49,MATCH($N519,계정대체기준!$A$20:$A$49,0)),0)))</f>
        <v/>
      </c>
      <c r="AB519" s="94">
        <f>IF($A519="",0,IF(AE519="직접",IF(AF519="수금비",$P519,0),$P519*(1-AG519)*IFERROR(INDEX(계정대체기준!$E$20:$E$49,MATCH($N519,계정대체기준!$A$20:$A$49,0)),0)))</f>
        <v/>
      </c>
      <c r="AC519" s="9">
        <f>IF(AND($A519&lt;&gt;"",M519=설정!$C$20,Z519&gt;0),Z519+ROW()/1000000000,"")</f>
        <v/>
      </c>
      <c r="AD519" s="94">
        <f>IF($A519="",0,$P519*AG519)</f>
        <v/>
      </c>
      <c r="AE519" s="64">
        <f>IF($A519="","",IFERROR(INDEX(계정매핑!$E$5:$E$504,MATCH($F519&amp;"",계정매핑!$A$5:$A$504,0))&amp;"","공통비"))</f>
        <v/>
      </c>
      <c r="AF519" s="64">
        <f>IF($A519="","",IF(AE519="직접",IFERROR(INDEX(계정매핑!$F$5:$F$504,MATCH($F519&amp;"",계정매핑!$A$5:$A$504,0))&amp;"","비귀속"),""))</f>
        <v/>
      </c>
      <c r="AG519" s="96">
        <f>IF($A519="",0,IF(AND(AE519&lt;&gt;"직접",IFERROR(INDEX(계정매핑!$G$5:$G$504,MATCH($F519&amp;"",계정매핑!$A$5:$A$504,0))&amp;"","")="유지비",COUNTIF(계정대체기준!$A$6:$A$15,$N519)&gt;0),IFERROR(INDEX(계정대체기준!$E$6:$E$15,MATCH(VALUE($A519&amp;""),계정대체기준!$D$6:$D$15,0)),0),0))</f>
        <v/>
      </c>
      <c r="AH519" s="64">
        <f>IF($A519="","",IF(AD519=0,"",IF(OR(COUNTIF(계정대체기준!$A$77:$A$86,$N519)&gt;0,ISNUMBER(MATCH($X519,계정대체기준!$D$77:$D$86,0)),ISNUMBER(MATCH($F519,계정대체기준!$D$77:$D$86,0))),"Y","N")))</f>
        <v/>
      </c>
    </row>
    <row r="520">
      <c r="A520" s="92" t="n">
        <v>2025</v>
      </c>
      <c r="B520" s="92" t="n">
        <v>3</v>
      </c>
      <c r="C520" s="92" t="inlineStr">
        <is>
          <t>5100000516</t>
        </is>
      </c>
      <c r="D520" s="95" t="n">
        <v>45723</v>
      </c>
      <c r="E520" s="92" t="inlineStr">
        <is>
          <t>KR</t>
        </is>
      </c>
      <c r="F520" s="92" t="n">
        <v>62701000</v>
      </c>
      <c r="G520" s="92" t="n">
        <v>1501</v>
      </c>
      <c r="H520" s="93" t="n">
        <v>55407000</v>
      </c>
      <c r="I520" s="92" t="inlineStr">
        <is>
          <t>3월 광고 집행 - F애드</t>
        </is>
      </c>
      <c r="J520" s="92" t="inlineStr">
        <is>
          <t>V10023</t>
        </is>
      </c>
      <c r="K520" s="92" t="inlineStr">
        <is>
          <t>F애드</t>
        </is>
      </c>
      <c r="M520" s="9">
        <f>IF($A520="","",VALUE($A520&amp;"")*12+VALUE($B520&amp;""))</f>
        <v/>
      </c>
      <c r="N520" s="64">
        <f>IF($A520="","",IFERROR(INDEX(부서매핑!$C$5:$C$504,MATCH($G520&amp;"",부서매핑!$A$5:$A$504,0)),"미매핑"))</f>
        <v/>
      </c>
      <c r="O520" s="9">
        <f>IF($A520="","",N520&amp;"|"&amp;$F520)</f>
        <v/>
      </c>
      <c r="P520" s="94">
        <f>IF($A520="",0,$H520*설정!$C$23)</f>
        <v/>
      </c>
      <c r="Q520" s="64">
        <f>IF($A520="","",IF(O520&lt;&gt;원인분석!$C$9,"",IF(AND(M520&gt;=원인분석!$C$10,M520&lt;=원인분석!$C$11),"당기",IF(AND(M520&gt;=원인분석!$C$12,M520&lt;=원인분석!$C$13),"비교",""))))</f>
        <v/>
      </c>
      <c r="R520" s="9">
        <f>IF(Q520="","",$K520&amp;"")</f>
        <v/>
      </c>
      <c r="S520" s="9">
        <f>IF(Q520="","",IF(MATCH(R520,$R$5:$R$100000,0)=ROW()-4,ROW(),""))</f>
        <v/>
      </c>
      <c r="T520" s="9">
        <f>IF(Q520="당기",ABS(P520)+ROW()/1000000000,"")</f>
        <v/>
      </c>
      <c r="U520" s="9">
        <f>IF(Q520="비교",ABS(P520)+ROW()/1000000000,"")</f>
        <v/>
      </c>
      <c r="V520" s="64">
        <f>IF($A520="","",IF(COUNTIF(변동분석!$E$7:$E$506,O520)&gt;0,"Y","N"))</f>
        <v/>
      </c>
      <c r="W520" s="64">
        <f>IF($A520="","",IFERROR(INDEX(계정매핑!$D$5:$D$504,MATCH($F520&amp;"",계정매핑!$A$5:$A$504,0)),"미매핑"))</f>
        <v/>
      </c>
      <c r="X520" s="9">
        <f>IF($A520="","",$F520&amp;"")</f>
        <v/>
      </c>
      <c r="Y520" s="94">
        <f>IF($A520="",0,IF(AE520="직접",IF(AF520="비귀속",$P520,0),$P520*(1-AG520)*IFERROR(INDEX(계정대체기준!$F$20:$F$49,MATCH($N520,계정대체기준!$A$20:$A$49,0)),1)))</f>
        <v/>
      </c>
      <c r="Z520" s="94">
        <f>IF($A520="",0,IF(AE520="직접",IF(AF520="신계약비",$P520,0),$P520*(1-AG520)*IFERROR(INDEX(계정대체기준!$C$20:$C$49,MATCH($N520,계정대체기준!$A$20:$A$49,0)),0)))</f>
        <v/>
      </c>
      <c r="AA520" s="94">
        <f>IF($A520="",0,IF(AE520="직접",IF(OR(AF520="유지비",AF520="손해조사비"),$P520,0),$P520*(1-AG520)*IFERROR(INDEX(계정대체기준!$D$20:$D$49,MATCH($N520,계정대체기준!$A$20:$A$49,0)),0)))</f>
        <v/>
      </c>
      <c r="AB520" s="94">
        <f>IF($A520="",0,IF(AE520="직접",IF(AF520="수금비",$P520,0),$P520*(1-AG520)*IFERROR(INDEX(계정대체기준!$E$20:$E$49,MATCH($N520,계정대체기준!$A$20:$A$49,0)),0)))</f>
        <v/>
      </c>
      <c r="AC520" s="9">
        <f>IF(AND($A520&lt;&gt;"",M520=설정!$C$20,Z520&gt;0),Z520+ROW()/1000000000,"")</f>
        <v/>
      </c>
      <c r="AD520" s="94">
        <f>IF($A520="",0,$P520*AG520)</f>
        <v/>
      </c>
      <c r="AE520" s="64">
        <f>IF($A520="","",IFERROR(INDEX(계정매핑!$E$5:$E$504,MATCH($F520&amp;"",계정매핑!$A$5:$A$504,0))&amp;"","공통비"))</f>
        <v/>
      </c>
      <c r="AF520" s="64">
        <f>IF($A520="","",IF(AE520="직접",IFERROR(INDEX(계정매핑!$F$5:$F$504,MATCH($F520&amp;"",계정매핑!$A$5:$A$504,0))&amp;"","비귀속"),""))</f>
        <v/>
      </c>
      <c r="AG520" s="96">
        <f>IF($A520="",0,IF(AND(AE520&lt;&gt;"직접",IFERROR(INDEX(계정매핑!$G$5:$G$504,MATCH($F520&amp;"",계정매핑!$A$5:$A$504,0))&amp;"","")="유지비",COUNTIF(계정대체기준!$A$6:$A$15,$N520)&gt;0),IFERROR(INDEX(계정대체기준!$E$6:$E$15,MATCH(VALUE($A520&amp;""),계정대체기준!$D$6:$D$15,0)),0),0))</f>
        <v/>
      </c>
      <c r="AH520" s="64">
        <f>IF($A520="","",IF(AD520=0,"",IF(OR(COUNTIF(계정대체기준!$A$77:$A$86,$N520)&gt;0,ISNUMBER(MATCH($X520,계정대체기준!$D$77:$D$86,0)),ISNUMBER(MATCH($F520,계정대체기준!$D$77:$D$86,0))),"Y","N")))</f>
        <v/>
      </c>
    </row>
    <row r="521">
      <c r="A521" s="92" t="n">
        <v>2025</v>
      </c>
      <c r="B521" s="92" t="n">
        <v>3</v>
      </c>
      <c r="C521" s="92" t="inlineStr">
        <is>
          <t>5100000517</t>
        </is>
      </c>
      <c r="D521" s="95" t="n">
        <v>45723</v>
      </c>
      <c r="E521" s="92" t="inlineStr">
        <is>
          <t>KR</t>
        </is>
      </c>
      <c r="F521" s="92" t="n">
        <v>63502000</v>
      </c>
      <c r="G521" s="92" t="n">
        <v>1901</v>
      </c>
      <c r="H521" s="93" t="n">
        <v>228399000</v>
      </c>
      <c r="I521" s="92" t="inlineStr">
        <is>
          <t>3월 유지수수료 - CC금융서비스</t>
        </is>
      </c>
      <c r="J521" s="92" t="inlineStr">
        <is>
          <t>V10029</t>
        </is>
      </c>
      <c r="K521" s="92" t="inlineStr">
        <is>
          <t>CC금융서비스</t>
        </is>
      </c>
      <c r="M521" s="9">
        <f>IF($A521="","",VALUE($A521&amp;"")*12+VALUE($B521&amp;""))</f>
        <v/>
      </c>
      <c r="N521" s="64">
        <f>IF($A521="","",IFERROR(INDEX(부서매핑!$C$5:$C$504,MATCH($G521&amp;"",부서매핑!$A$5:$A$504,0)),"미매핑"))</f>
        <v/>
      </c>
      <c r="O521" s="9">
        <f>IF($A521="","",N521&amp;"|"&amp;$F521)</f>
        <v/>
      </c>
      <c r="P521" s="94">
        <f>IF($A521="",0,$H521*설정!$C$23)</f>
        <v/>
      </c>
      <c r="Q521" s="64">
        <f>IF($A521="","",IF(O521&lt;&gt;원인분석!$C$9,"",IF(AND(M521&gt;=원인분석!$C$10,M521&lt;=원인분석!$C$11),"당기",IF(AND(M521&gt;=원인분석!$C$12,M521&lt;=원인분석!$C$13),"비교",""))))</f>
        <v/>
      </c>
      <c r="R521" s="9">
        <f>IF(Q521="","",$K521&amp;"")</f>
        <v/>
      </c>
      <c r="S521" s="9">
        <f>IF(Q521="","",IF(MATCH(R521,$R$5:$R$100000,0)=ROW()-4,ROW(),""))</f>
        <v/>
      </c>
      <c r="T521" s="9">
        <f>IF(Q521="당기",ABS(P521)+ROW()/1000000000,"")</f>
        <v/>
      </c>
      <c r="U521" s="9">
        <f>IF(Q521="비교",ABS(P521)+ROW()/1000000000,"")</f>
        <v/>
      </c>
      <c r="V521" s="64">
        <f>IF($A521="","",IF(COUNTIF(변동분석!$E$7:$E$506,O521)&gt;0,"Y","N"))</f>
        <v/>
      </c>
      <c r="W521" s="64">
        <f>IF($A521="","",IFERROR(INDEX(계정매핑!$D$5:$D$504,MATCH($F521&amp;"",계정매핑!$A$5:$A$504,0)),"미매핑"))</f>
        <v/>
      </c>
      <c r="X521" s="9">
        <f>IF($A521="","",$F521&amp;"")</f>
        <v/>
      </c>
      <c r="Y521" s="94">
        <f>IF($A521="",0,IF(AE521="직접",IF(AF521="비귀속",$P521,0),$P521*(1-AG521)*IFERROR(INDEX(계정대체기준!$F$20:$F$49,MATCH($N521,계정대체기준!$A$20:$A$49,0)),1)))</f>
        <v/>
      </c>
      <c r="Z521" s="94">
        <f>IF($A521="",0,IF(AE521="직접",IF(AF521="신계약비",$P521,0),$P521*(1-AG521)*IFERROR(INDEX(계정대체기준!$C$20:$C$49,MATCH($N521,계정대체기준!$A$20:$A$49,0)),0)))</f>
        <v/>
      </c>
      <c r="AA521" s="94">
        <f>IF($A521="",0,IF(AE521="직접",IF(OR(AF521="유지비",AF521="손해조사비"),$P521,0),$P521*(1-AG521)*IFERROR(INDEX(계정대체기준!$D$20:$D$49,MATCH($N521,계정대체기준!$A$20:$A$49,0)),0)))</f>
        <v/>
      </c>
      <c r="AB521" s="94">
        <f>IF($A521="",0,IF(AE521="직접",IF(AF521="수금비",$P521,0),$P521*(1-AG521)*IFERROR(INDEX(계정대체기준!$E$20:$E$49,MATCH($N521,계정대체기준!$A$20:$A$49,0)),0)))</f>
        <v/>
      </c>
      <c r="AC521" s="9">
        <f>IF(AND($A521&lt;&gt;"",M521=설정!$C$20,Z521&gt;0),Z521+ROW()/1000000000,"")</f>
        <v/>
      </c>
      <c r="AD521" s="94">
        <f>IF($A521="",0,$P521*AG521)</f>
        <v/>
      </c>
      <c r="AE521" s="64">
        <f>IF($A521="","",IFERROR(INDEX(계정매핑!$E$5:$E$504,MATCH($F521&amp;"",계정매핑!$A$5:$A$504,0))&amp;"","공통비"))</f>
        <v/>
      </c>
      <c r="AF521" s="64">
        <f>IF($A521="","",IF(AE521="직접",IFERROR(INDEX(계정매핑!$F$5:$F$504,MATCH($F521&amp;"",계정매핑!$A$5:$A$504,0))&amp;"","비귀속"),""))</f>
        <v/>
      </c>
      <c r="AG521" s="96">
        <f>IF($A521="",0,IF(AND(AE521&lt;&gt;"직접",IFERROR(INDEX(계정매핑!$G$5:$G$504,MATCH($F521&amp;"",계정매핑!$A$5:$A$504,0))&amp;"","")="유지비",COUNTIF(계정대체기준!$A$6:$A$15,$N521)&gt;0),IFERROR(INDEX(계정대체기준!$E$6:$E$15,MATCH(VALUE($A521&amp;""),계정대체기준!$D$6:$D$15,0)),0),0))</f>
        <v/>
      </c>
      <c r="AH521" s="64">
        <f>IF($A521="","",IF(AD521=0,"",IF(OR(COUNTIF(계정대체기준!$A$77:$A$86,$N521)&gt;0,ISNUMBER(MATCH($X521,계정대체기준!$D$77:$D$86,0)),ISNUMBER(MATCH($F521,계정대체기준!$D$77:$D$86,0))),"Y","N")))</f>
        <v/>
      </c>
    </row>
    <row r="522">
      <c r="A522" s="92" t="n">
        <v>2025</v>
      </c>
      <c r="B522" s="92" t="n">
        <v>3</v>
      </c>
      <c r="C522" s="92" t="inlineStr">
        <is>
          <t>5100000518</t>
        </is>
      </c>
      <c r="D522" s="95" t="n">
        <v>45724</v>
      </c>
      <c r="E522" s="92" t="inlineStr">
        <is>
          <t>KR</t>
        </is>
      </c>
      <c r="F522" s="92" t="n">
        <v>62101000</v>
      </c>
      <c r="G522" s="92" t="n">
        <v>1401</v>
      </c>
      <c r="H522" s="93" t="n">
        <v>283000</v>
      </c>
      <c r="I522" s="92" t="inlineStr">
        <is>
          <t>3월 국내출장 - (법인카드)</t>
        </is>
      </c>
      <c r="J522" s="92" t="inlineStr">
        <is>
          <t>V10010</t>
        </is>
      </c>
      <c r="K522" s="92" t="inlineStr">
        <is>
          <t>(법인카드)</t>
        </is>
      </c>
      <c r="M522" s="9">
        <f>IF($A522="","",VALUE($A522&amp;"")*12+VALUE($B522&amp;""))</f>
        <v/>
      </c>
      <c r="N522" s="64">
        <f>IF($A522="","",IFERROR(INDEX(부서매핑!$C$5:$C$504,MATCH($G522&amp;"",부서매핑!$A$5:$A$504,0)),"미매핑"))</f>
        <v/>
      </c>
      <c r="O522" s="9">
        <f>IF($A522="","",N522&amp;"|"&amp;$F522)</f>
        <v/>
      </c>
      <c r="P522" s="94">
        <f>IF($A522="",0,$H522*설정!$C$23)</f>
        <v/>
      </c>
      <c r="Q522" s="64">
        <f>IF($A522="","",IF(O522&lt;&gt;원인분석!$C$9,"",IF(AND(M522&gt;=원인분석!$C$10,M522&lt;=원인분석!$C$11),"당기",IF(AND(M522&gt;=원인분석!$C$12,M522&lt;=원인분석!$C$13),"비교",""))))</f>
        <v/>
      </c>
      <c r="R522" s="9">
        <f>IF(Q522="","",$K522&amp;"")</f>
        <v/>
      </c>
      <c r="S522" s="9">
        <f>IF(Q522="","",IF(MATCH(R522,$R$5:$R$100000,0)=ROW()-4,ROW(),""))</f>
        <v/>
      </c>
      <c r="T522" s="9">
        <f>IF(Q522="당기",ABS(P522)+ROW()/1000000000,"")</f>
        <v/>
      </c>
      <c r="U522" s="9">
        <f>IF(Q522="비교",ABS(P522)+ROW()/1000000000,"")</f>
        <v/>
      </c>
      <c r="V522" s="64">
        <f>IF($A522="","",IF(COUNTIF(변동분석!$E$7:$E$506,O522)&gt;0,"Y","N"))</f>
        <v/>
      </c>
      <c r="W522" s="64">
        <f>IF($A522="","",IFERROR(INDEX(계정매핑!$D$5:$D$504,MATCH($F522&amp;"",계정매핑!$A$5:$A$504,0)),"미매핑"))</f>
        <v/>
      </c>
      <c r="X522" s="9">
        <f>IF($A522="","",$F522&amp;"")</f>
        <v/>
      </c>
      <c r="Y522" s="94">
        <f>IF($A522="",0,IF(AE522="직접",IF(AF522="비귀속",$P522,0),$P522*(1-AG522)*IFERROR(INDEX(계정대체기준!$F$20:$F$49,MATCH($N522,계정대체기준!$A$20:$A$49,0)),1)))</f>
        <v/>
      </c>
      <c r="Z522" s="94">
        <f>IF($A522="",0,IF(AE522="직접",IF(AF522="신계약비",$P522,0),$P522*(1-AG522)*IFERROR(INDEX(계정대체기준!$C$20:$C$49,MATCH($N522,계정대체기준!$A$20:$A$49,0)),0)))</f>
        <v/>
      </c>
      <c r="AA522" s="94">
        <f>IF($A522="",0,IF(AE522="직접",IF(OR(AF522="유지비",AF522="손해조사비"),$P522,0),$P522*(1-AG522)*IFERROR(INDEX(계정대체기준!$D$20:$D$49,MATCH($N522,계정대체기준!$A$20:$A$49,0)),0)))</f>
        <v/>
      </c>
      <c r="AB522" s="94">
        <f>IF($A522="",0,IF(AE522="직접",IF(AF522="수금비",$P522,0),$P522*(1-AG522)*IFERROR(INDEX(계정대체기준!$E$20:$E$49,MATCH($N522,계정대체기준!$A$20:$A$49,0)),0)))</f>
        <v/>
      </c>
      <c r="AC522" s="9">
        <f>IF(AND($A522&lt;&gt;"",M522=설정!$C$20,Z522&gt;0),Z522+ROW()/1000000000,"")</f>
        <v/>
      </c>
      <c r="AD522" s="94">
        <f>IF($A522="",0,$P522*AG522)</f>
        <v/>
      </c>
      <c r="AE522" s="64">
        <f>IF($A522="","",IFERROR(INDEX(계정매핑!$E$5:$E$504,MATCH($F522&amp;"",계정매핑!$A$5:$A$504,0))&amp;"","공통비"))</f>
        <v/>
      </c>
      <c r="AF522" s="64">
        <f>IF($A522="","",IF(AE522="직접",IFERROR(INDEX(계정매핑!$F$5:$F$504,MATCH($F522&amp;"",계정매핑!$A$5:$A$504,0))&amp;"","비귀속"),""))</f>
        <v/>
      </c>
      <c r="AG522" s="96">
        <f>IF($A522="",0,IF(AND(AE522&lt;&gt;"직접",IFERROR(INDEX(계정매핑!$G$5:$G$504,MATCH($F522&amp;"",계정매핑!$A$5:$A$504,0))&amp;"","")="유지비",COUNTIF(계정대체기준!$A$6:$A$15,$N522)&gt;0),IFERROR(INDEX(계정대체기준!$E$6:$E$15,MATCH(VALUE($A522&amp;""),계정대체기준!$D$6:$D$15,0)),0),0))</f>
        <v/>
      </c>
      <c r="AH522" s="64">
        <f>IF($A522="","",IF(AD522=0,"",IF(OR(COUNTIF(계정대체기준!$A$77:$A$86,$N522)&gt;0,ISNUMBER(MATCH($X522,계정대체기준!$D$77:$D$86,0)),ISNUMBER(MATCH($F522,계정대체기준!$D$77:$D$86,0))),"Y","N")))</f>
        <v/>
      </c>
    </row>
    <row r="523">
      <c r="A523" s="92" t="n">
        <v>2025</v>
      </c>
      <c r="B523" s="92" t="n">
        <v>3</v>
      </c>
      <c r="C523" s="92" t="inlineStr">
        <is>
          <t>5100000519</t>
        </is>
      </c>
      <c r="D523" s="95" t="n">
        <v>45724</v>
      </c>
      <c r="E523" s="92" t="inlineStr">
        <is>
          <t>KR</t>
        </is>
      </c>
      <c r="F523" s="92" t="n">
        <v>62101000</v>
      </c>
      <c r="G523" s="92" t="n">
        <v>1801</v>
      </c>
      <c r="H523" s="93" t="n">
        <v>128000</v>
      </c>
      <c r="I523" s="92" t="inlineStr">
        <is>
          <t>3월 국내출장 - (법인카드)</t>
        </is>
      </c>
      <c r="J523" s="92" t="inlineStr">
        <is>
          <t>V10010</t>
        </is>
      </c>
      <c r="K523" s="92" t="inlineStr">
        <is>
          <t>(법인카드)</t>
        </is>
      </c>
      <c r="M523" s="9">
        <f>IF($A523="","",VALUE($A523&amp;"")*12+VALUE($B523&amp;""))</f>
        <v/>
      </c>
      <c r="N523" s="64">
        <f>IF($A523="","",IFERROR(INDEX(부서매핑!$C$5:$C$504,MATCH($G523&amp;"",부서매핑!$A$5:$A$504,0)),"미매핑"))</f>
        <v/>
      </c>
      <c r="O523" s="9">
        <f>IF($A523="","",N523&amp;"|"&amp;$F523)</f>
        <v/>
      </c>
      <c r="P523" s="94">
        <f>IF($A523="",0,$H523*설정!$C$23)</f>
        <v/>
      </c>
      <c r="Q523" s="64">
        <f>IF($A523="","",IF(O523&lt;&gt;원인분석!$C$9,"",IF(AND(M523&gt;=원인분석!$C$10,M523&lt;=원인분석!$C$11),"당기",IF(AND(M523&gt;=원인분석!$C$12,M523&lt;=원인분석!$C$13),"비교",""))))</f>
        <v/>
      </c>
      <c r="R523" s="9">
        <f>IF(Q523="","",$K523&amp;"")</f>
        <v/>
      </c>
      <c r="S523" s="9">
        <f>IF(Q523="","",IF(MATCH(R523,$R$5:$R$100000,0)=ROW()-4,ROW(),""))</f>
        <v/>
      </c>
      <c r="T523" s="9">
        <f>IF(Q523="당기",ABS(P523)+ROW()/1000000000,"")</f>
        <v/>
      </c>
      <c r="U523" s="9">
        <f>IF(Q523="비교",ABS(P523)+ROW()/1000000000,"")</f>
        <v/>
      </c>
      <c r="V523" s="64">
        <f>IF($A523="","",IF(COUNTIF(변동분석!$E$7:$E$506,O523)&gt;0,"Y","N"))</f>
        <v/>
      </c>
      <c r="W523" s="64">
        <f>IF($A523="","",IFERROR(INDEX(계정매핑!$D$5:$D$504,MATCH($F523&amp;"",계정매핑!$A$5:$A$504,0)),"미매핑"))</f>
        <v/>
      </c>
      <c r="X523" s="9">
        <f>IF($A523="","",$F523&amp;"")</f>
        <v/>
      </c>
      <c r="Y523" s="94">
        <f>IF($A523="",0,IF(AE523="직접",IF(AF523="비귀속",$P523,0),$P523*(1-AG523)*IFERROR(INDEX(계정대체기준!$F$20:$F$49,MATCH($N523,계정대체기준!$A$20:$A$49,0)),1)))</f>
        <v/>
      </c>
      <c r="Z523" s="94">
        <f>IF($A523="",0,IF(AE523="직접",IF(AF523="신계약비",$P523,0),$P523*(1-AG523)*IFERROR(INDEX(계정대체기준!$C$20:$C$49,MATCH($N523,계정대체기준!$A$20:$A$49,0)),0)))</f>
        <v/>
      </c>
      <c r="AA523" s="94">
        <f>IF($A523="",0,IF(AE523="직접",IF(OR(AF523="유지비",AF523="손해조사비"),$P523,0),$P523*(1-AG523)*IFERROR(INDEX(계정대체기준!$D$20:$D$49,MATCH($N523,계정대체기준!$A$20:$A$49,0)),0)))</f>
        <v/>
      </c>
      <c r="AB523" s="94">
        <f>IF($A523="",0,IF(AE523="직접",IF(AF523="수금비",$P523,0),$P523*(1-AG523)*IFERROR(INDEX(계정대체기준!$E$20:$E$49,MATCH($N523,계정대체기준!$A$20:$A$49,0)),0)))</f>
        <v/>
      </c>
      <c r="AC523" s="9">
        <f>IF(AND($A523&lt;&gt;"",M523=설정!$C$20,Z523&gt;0),Z523+ROW()/1000000000,"")</f>
        <v/>
      </c>
      <c r="AD523" s="94">
        <f>IF($A523="",0,$P523*AG523)</f>
        <v/>
      </c>
      <c r="AE523" s="64">
        <f>IF($A523="","",IFERROR(INDEX(계정매핑!$E$5:$E$504,MATCH($F523&amp;"",계정매핑!$A$5:$A$504,0))&amp;"","공통비"))</f>
        <v/>
      </c>
      <c r="AF523" s="64">
        <f>IF($A523="","",IF(AE523="직접",IFERROR(INDEX(계정매핑!$F$5:$F$504,MATCH($F523&amp;"",계정매핑!$A$5:$A$504,0))&amp;"","비귀속"),""))</f>
        <v/>
      </c>
      <c r="AG523" s="96">
        <f>IF($A523="",0,IF(AND(AE523&lt;&gt;"직접",IFERROR(INDEX(계정매핑!$G$5:$G$504,MATCH($F523&amp;"",계정매핑!$A$5:$A$504,0))&amp;"","")="유지비",COUNTIF(계정대체기준!$A$6:$A$15,$N523)&gt;0),IFERROR(INDEX(계정대체기준!$E$6:$E$15,MATCH(VALUE($A523&amp;""),계정대체기준!$D$6:$D$15,0)),0),0))</f>
        <v/>
      </c>
      <c r="AH523" s="64">
        <f>IF($A523="","",IF(AD523=0,"",IF(OR(COUNTIF(계정대체기준!$A$77:$A$86,$N523)&gt;0,ISNUMBER(MATCH($X523,계정대체기준!$D$77:$D$86,0)),ISNUMBER(MATCH($F523,계정대체기준!$D$77:$D$86,0))),"Y","N")))</f>
        <v/>
      </c>
    </row>
    <row r="524">
      <c r="A524" s="92" t="n">
        <v>2025</v>
      </c>
      <c r="B524" s="92" t="n">
        <v>3</v>
      </c>
      <c r="C524" s="92" t="inlineStr">
        <is>
          <t>5100000520</t>
        </is>
      </c>
      <c r="D524" s="95" t="n">
        <v>45724</v>
      </c>
      <c r="E524" s="92" t="inlineStr">
        <is>
          <t>KR</t>
        </is>
      </c>
      <c r="F524" s="92" t="n">
        <v>62101000</v>
      </c>
      <c r="G524" s="92" t="n">
        <v>1951</v>
      </c>
      <c r="H524" s="93" t="n">
        <v>275000</v>
      </c>
      <c r="I524" s="92" t="inlineStr">
        <is>
          <t>3월 국내출장 - (법인카드)</t>
        </is>
      </c>
      <c r="J524" s="92" t="inlineStr">
        <is>
          <t>V10010</t>
        </is>
      </c>
      <c r="K524" s="92" t="inlineStr">
        <is>
          <t>(법인카드)</t>
        </is>
      </c>
      <c r="M524" s="9">
        <f>IF($A524="","",VALUE($A524&amp;"")*12+VALUE($B524&amp;""))</f>
        <v/>
      </c>
      <c r="N524" s="64">
        <f>IF($A524="","",IFERROR(INDEX(부서매핑!$C$5:$C$504,MATCH($G524&amp;"",부서매핑!$A$5:$A$504,0)),"미매핑"))</f>
        <v/>
      </c>
      <c r="O524" s="9">
        <f>IF($A524="","",N524&amp;"|"&amp;$F524)</f>
        <v/>
      </c>
      <c r="P524" s="94">
        <f>IF($A524="",0,$H524*설정!$C$23)</f>
        <v/>
      </c>
      <c r="Q524" s="64">
        <f>IF($A524="","",IF(O524&lt;&gt;원인분석!$C$9,"",IF(AND(M524&gt;=원인분석!$C$10,M524&lt;=원인분석!$C$11),"당기",IF(AND(M524&gt;=원인분석!$C$12,M524&lt;=원인분석!$C$13),"비교",""))))</f>
        <v/>
      </c>
      <c r="R524" s="9">
        <f>IF(Q524="","",$K524&amp;"")</f>
        <v/>
      </c>
      <c r="S524" s="9">
        <f>IF(Q524="","",IF(MATCH(R524,$R$5:$R$100000,0)=ROW()-4,ROW(),""))</f>
        <v/>
      </c>
      <c r="T524" s="9">
        <f>IF(Q524="당기",ABS(P524)+ROW()/1000000000,"")</f>
        <v/>
      </c>
      <c r="U524" s="9">
        <f>IF(Q524="비교",ABS(P524)+ROW()/1000000000,"")</f>
        <v/>
      </c>
      <c r="V524" s="64">
        <f>IF($A524="","",IF(COUNTIF(변동분석!$E$7:$E$506,O524)&gt;0,"Y","N"))</f>
        <v/>
      </c>
      <c r="W524" s="64">
        <f>IF($A524="","",IFERROR(INDEX(계정매핑!$D$5:$D$504,MATCH($F524&amp;"",계정매핑!$A$5:$A$504,0)),"미매핑"))</f>
        <v/>
      </c>
      <c r="X524" s="9">
        <f>IF($A524="","",$F524&amp;"")</f>
        <v/>
      </c>
      <c r="Y524" s="94">
        <f>IF($A524="",0,IF(AE524="직접",IF(AF524="비귀속",$P524,0),$P524*(1-AG524)*IFERROR(INDEX(계정대체기준!$F$20:$F$49,MATCH($N524,계정대체기준!$A$20:$A$49,0)),1)))</f>
        <v/>
      </c>
      <c r="Z524" s="94">
        <f>IF($A524="",0,IF(AE524="직접",IF(AF524="신계약비",$P524,0),$P524*(1-AG524)*IFERROR(INDEX(계정대체기준!$C$20:$C$49,MATCH($N524,계정대체기준!$A$20:$A$49,0)),0)))</f>
        <v/>
      </c>
      <c r="AA524" s="94">
        <f>IF($A524="",0,IF(AE524="직접",IF(OR(AF524="유지비",AF524="손해조사비"),$P524,0),$P524*(1-AG524)*IFERROR(INDEX(계정대체기준!$D$20:$D$49,MATCH($N524,계정대체기준!$A$20:$A$49,0)),0)))</f>
        <v/>
      </c>
      <c r="AB524" s="94">
        <f>IF($A524="",0,IF(AE524="직접",IF(AF524="수금비",$P524,0),$P524*(1-AG524)*IFERROR(INDEX(계정대체기준!$E$20:$E$49,MATCH($N524,계정대체기준!$A$20:$A$49,0)),0)))</f>
        <v/>
      </c>
      <c r="AC524" s="9">
        <f>IF(AND($A524&lt;&gt;"",M524=설정!$C$20,Z524&gt;0),Z524+ROW()/1000000000,"")</f>
        <v/>
      </c>
      <c r="AD524" s="94">
        <f>IF($A524="",0,$P524*AG524)</f>
        <v/>
      </c>
      <c r="AE524" s="64">
        <f>IF($A524="","",IFERROR(INDEX(계정매핑!$E$5:$E$504,MATCH($F524&amp;"",계정매핑!$A$5:$A$504,0))&amp;"","공통비"))</f>
        <v/>
      </c>
      <c r="AF524" s="64">
        <f>IF($A524="","",IF(AE524="직접",IFERROR(INDEX(계정매핑!$F$5:$F$504,MATCH($F524&amp;"",계정매핑!$A$5:$A$504,0))&amp;"","비귀속"),""))</f>
        <v/>
      </c>
      <c r="AG524" s="96">
        <f>IF($A524="",0,IF(AND(AE524&lt;&gt;"직접",IFERROR(INDEX(계정매핑!$G$5:$G$504,MATCH($F524&amp;"",계정매핑!$A$5:$A$504,0))&amp;"","")="유지비",COUNTIF(계정대체기준!$A$6:$A$15,$N524)&gt;0),IFERROR(INDEX(계정대체기준!$E$6:$E$15,MATCH(VALUE($A524&amp;""),계정대체기준!$D$6:$D$15,0)),0),0))</f>
        <v/>
      </c>
      <c r="AH524" s="64">
        <f>IF($A524="","",IF(AD524=0,"",IF(OR(COUNTIF(계정대체기준!$A$77:$A$86,$N524)&gt;0,ISNUMBER(MATCH($X524,계정대체기준!$D$77:$D$86,0)),ISNUMBER(MATCH($F524,계정대체기준!$D$77:$D$86,0))),"Y","N")))</f>
        <v/>
      </c>
    </row>
    <row r="525">
      <c r="A525" s="92" t="n">
        <v>2025</v>
      </c>
      <c r="B525" s="92" t="n">
        <v>3</v>
      </c>
      <c r="C525" s="92" t="inlineStr">
        <is>
          <t>5100000521</t>
        </is>
      </c>
      <c r="D525" s="95" t="n">
        <v>45724</v>
      </c>
      <c r="E525" s="92" t="inlineStr">
        <is>
          <t>KR</t>
        </is>
      </c>
      <c r="F525" s="92" t="n">
        <v>62102000</v>
      </c>
      <c r="G525" s="92" t="n">
        <v>1801</v>
      </c>
      <c r="H525" s="93" t="n">
        <v>45000</v>
      </c>
      <c r="I525" s="92" t="inlineStr">
        <is>
          <t>3월 해외출장 - N호텔</t>
        </is>
      </c>
      <c r="J525" s="92" t="inlineStr">
        <is>
          <t>V10009</t>
        </is>
      </c>
      <c r="K525" s="92" t="inlineStr">
        <is>
          <t>N호텔</t>
        </is>
      </c>
      <c r="M525" s="9">
        <f>IF($A525="","",VALUE($A525&amp;"")*12+VALUE($B525&amp;""))</f>
        <v/>
      </c>
      <c r="N525" s="64">
        <f>IF($A525="","",IFERROR(INDEX(부서매핑!$C$5:$C$504,MATCH($G525&amp;"",부서매핑!$A$5:$A$504,0)),"미매핑"))</f>
        <v/>
      </c>
      <c r="O525" s="9">
        <f>IF($A525="","",N525&amp;"|"&amp;$F525)</f>
        <v/>
      </c>
      <c r="P525" s="94">
        <f>IF($A525="",0,$H525*설정!$C$23)</f>
        <v/>
      </c>
      <c r="Q525" s="64">
        <f>IF($A525="","",IF(O525&lt;&gt;원인분석!$C$9,"",IF(AND(M525&gt;=원인분석!$C$10,M525&lt;=원인분석!$C$11),"당기",IF(AND(M525&gt;=원인분석!$C$12,M525&lt;=원인분석!$C$13),"비교",""))))</f>
        <v/>
      </c>
      <c r="R525" s="9">
        <f>IF(Q525="","",$K525&amp;"")</f>
        <v/>
      </c>
      <c r="S525" s="9">
        <f>IF(Q525="","",IF(MATCH(R525,$R$5:$R$100000,0)=ROW()-4,ROW(),""))</f>
        <v/>
      </c>
      <c r="T525" s="9">
        <f>IF(Q525="당기",ABS(P525)+ROW()/1000000000,"")</f>
        <v/>
      </c>
      <c r="U525" s="9">
        <f>IF(Q525="비교",ABS(P525)+ROW()/1000000000,"")</f>
        <v/>
      </c>
      <c r="V525" s="64">
        <f>IF($A525="","",IF(COUNTIF(변동분석!$E$7:$E$506,O525)&gt;0,"Y","N"))</f>
        <v/>
      </c>
      <c r="W525" s="64">
        <f>IF($A525="","",IFERROR(INDEX(계정매핑!$D$5:$D$504,MATCH($F525&amp;"",계정매핑!$A$5:$A$504,0)),"미매핑"))</f>
        <v/>
      </c>
      <c r="X525" s="9">
        <f>IF($A525="","",$F525&amp;"")</f>
        <v/>
      </c>
      <c r="Y525" s="94">
        <f>IF($A525="",0,IF(AE525="직접",IF(AF525="비귀속",$P525,0),$P525*(1-AG525)*IFERROR(INDEX(계정대체기준!$F$20:$F$49,MATCH($N525,계정대체기준!$A$20:$A$49,0)),1)))</f>
        <v/>
      </c>
      <c r="Z525" s="94">
        <f>IF($A525="",0,IF(AE525="직접",IF(AF525="신계약비",$P525,0),$P525*(1-AG525)*IFERROR(INDEX(계정대체기준!$C$20:$C$49,MATCH($N525,계정대체기준!$A$20:$A$49,0)),0)))</f>
        <v/>
      </c>
      <c r="AA525" s="94">
        <f>IF($A525="",0,IF(AE525="직접",IF(OR(AF525="유지비",AF525="손해조사비"),$P525,0),$P525*(1-AG525)*IFERROR(INDEX(계정대체기준!$D$20:$D$49,MATCH($N525,계정대체기준!$A$20:$A$49,0)),0)))</f>
        <v/>
      </c>
      <c r="AB525" s="94">
        <f>IF($A525="",0,IF(AE525="직접",IF(AF525="수금비",$P525,0),$P525*(1-AG525)*IFERROR(INDEX(계정대체기준!$E$20:$E$49,MATCH($N525,계정대체기준!$A$20:$A$49,0)),0)))</f>
        <v/>
      </c>
      <c r="AC525" s="9">
        <f>IF(AND($A525&lt;&gt;"",M525=설정!$C$20,Z525&gt;0),Z525+ROW()/1000000000,"")</f>
        <v/>
      </c>
      <c r="AD525" s="94">
        <f>IF($A525="",0,$P525*AG525)</f>
        <v/>
      </c>
      <c r="AE525" s="64">
        <f>IF($A525="","",IFERROR(INDEX(계정매핑!$E$5:$E$504,MATCH($F525&amp;"",계정매핑!$A$5:$A$504,0))&amp;"","공통비"))</f>
        <v/>
      </c>
      <c r="AF525" s="64">
        <f>IF($A525="","",IF(AE525="직접",IFERROR(INDEX(계정매핑!$F$5:$F$504,MATCH($F525&amp;"",계정매핑!$A$5:$A$504,0))&amp;"","비귀속"),""))</f>
        <v/>
      </c>
      <c r="AG525" s="96">
        <f>IF($A525="",0,IF(AND(AE525&lt;&gt;"직접",IFERROR(INDEX(계정매핑!$G$5:$G$504,MATCH($F525&amp;"",계정매핑!$A$5:$A$504,0))&amp;"","")="유지비",COUNTIF(계정대체기준!$A$6:$A$15,$N525)&gt;0),IFERROR(INDEX(계정대체기준!$E$6:$E$15,MATCH(VALUE($A525&amp;""),계정대체기준!$D$6:$D$15,0)),0),0))</f>
        <v/>
      </c>
      <c r="AH525" s="64">
        <f>IF($A525="","",IF(AD525=0,"",IF(OR(COUNTIF(계정대체기준!$A$77:$A$86,$N525)&gt;0,ISNUMBER(MATCH($X525,계정대체기준!$D$77:$D$86,0)),ISNUMBER(MATCH($F525,계정대체기준!$D$77:$D$86,0))),"Y","N")))</f>
        <v/>
      </c>
    </row>
    <row r="526">
      <c r="A526" s="92" t="n">
        <v>2025</v>
      </c>
      <c r="B526" s="92" t="n">
        <v>3</v>
      </c>
      <c r="C526" s="92" t="inlineStr">
        <is>
          <t>5100000522</t>
        </is>
      </c>
      <c r="D526" s="95" t="n">
        <v>45724</v>
      </c>
      <c r="E526" s="92" t="inlineStr">
        <is>
          <t>KR</t>
        </is>
      </c>
      <c r="F526" s="92" t="n">
        <v>62201000</v>
      </c>
      <c r="G526" s="92" t="n">
        <v>1801</v>
      </c>
      <c r="H526" s="93" t="n">
        <v>7797000</v>
      </c>
      <c r="I526" s="92" t="inlineStr">
        <is>
          <t>3월 통신요금 - P통신</t>
        </is>
      </c>
      <c r="J526" s="92" t="inlineStr">
        <is>
          <t>V10014</t>
        </is>
      </c>
      <c r="K526" s="92" t="inlineStr">
        <is>
          <t>P통신</t>
        </is>
      </c>
      <c r="M526" s="9">
        <f>IF($A526="","",VALUE($A526&amp;"")*12+VALUE($B526&amp;""))</f>
        <v/>
      </c>
      <c r="N526" s="64">
        <f>IF($A526="","",IFERROR(INDEX(부서매핑!$C$5:$C$504,MATCH($G526&amp;"",부서매핑!$A$5:$A$504,0)),"미매핑"))</f>
        <v/>
      </c>
      <c r="O526" s="9">
        <f>IF($A526="","",N526&amp;"|"&amp;$F526)</f>
        <v/>
      </c>
      <c r="P526" s="94">
        <f>IF($A526="",0,$H526*설정!$C$23)</f>
        <v/>
      </c>
      <c r="Q526" s="64">
        <f>IF($A526="","",IF(O526&lt;&gt;원인분석!$C$9,"",IF(AND(M526&gt;=원인분석!$C$10,M526&lt;=원인분석!$C$11),"당기",IF(AND(M526&gt;=원인분석!$C$12,M526&lt;=원인분석!$C$13),"비교",""))))</f>
        <v/>
      </c>
      <c r="R526" s="9">
        <f>IF(Q526="","",$K526&amp;"")</f>
        <v/>
      </c>
      <c r="S526" s="9">
        <f>IF(Q526="","",IF(MATCH(R526,$R$5:$R$100000,0)=ROW()-4,ROW(),""))</f>
        <v/>
      </c>
      <c r="T526" s="9">
        <f>IF(Q526="당기",ABS(P526)+ROW()/1000000000,"")</f>
        <v/>
      </c>
      <c r="U526" s="9">
        <f>IF(Q526="비교",ABS(P526)+ROW()/1000000000,"")</f>
        <v/>
      </c>
      <c r="V526" s="64">
        <f>IF($A526="","",IF(COUNTIF(변동분석!$E$7:$E$506,O526)&gt;0,"Y","N"))</f>
        <v/>
      </c>
      <c r="W526" s="64">
        <f>IF($A526="","",IFERROR(INDEX(계정매핑!$D$5:$D$504,MATCH($F526&amp;"",계정매핑!$A$5:$A$504,0)),"미매핑"))</f>
        <v/>
      </c>
      <c r="X526" s="9">
        <f>IF($A526="","",$F526&amp;"")</f>
        <v/>
      </c>
      <c r="Y526" s="94">
        <f>IF($A526="",0,IF(AE526="직접",IF(AF526="비귀속",$P526,0),$P526*(1-AG526)*IFERROR(INDEX(계정대체기준!$F$20:$F$49,MATCH($N526,계정대체기준!$A$20:$A$49,0)),1)))</f>
        <v/>
      </c>
      <c r="Z526" s="94">
        <f>IF($A526="",0,IF(AE526="직접",IF(AF526="신계약비",$P526,0),$P526*(1-AG526)*IFERROR(INDEX(계정대체기준!$C$20:$C$49,MATCH($N526,계정대체기준!$A$20:$A$49,0)),0)))</f>
        <v/>
      </c>
      <c r="AA526" s="94">
        <f>IF($A526="",0,IF(AE526="직접",IF(OR(AF526="유지비",AF526="손해조사비"),$P526,0),$P526*(1-AG526)*IFERROR(INDEX(계정대체기준!$D$20:$D$49,MATCH($N526,계정대체기준!$A$20:$A$49,0)),0)))</f>
        <v/>
      </c>
      <c r="AB526" s="94">
        <f>IF($A526="",0,IF(AE526="직접",IF(AF526="수금비",$P526,0),$P526*(1-AG526)*IFERROR(INDEX(계정대체기준!$E$20:$E$49,MATCH($N526,계정대체기준!$A$20:$A$49,0)),0)))</f>
        <v/>
      </c>
      <c r="AC526" s="9">
        <f>IF(AND($A526&lt;&gt;"",M526=설정!$C$20,Z526&gt;0),Z526+ROW()/1000000000,"")</f>
        <v/>
      </c>
      <c r="AD526" s="94">
        <f>IF($A526="",0,$P526*AG526)</f>
        <v/>
      </c>
      <c r="AE526" s="64">
        <f>IF($A526="","",IFERROR(INDEX(계정매핑!$E$5:$E$504,MATCH($F526&amp;"",계정매핑!$A$5:$A$504,0))&amp;"","공통비"))</f>
        <v/>
      </c>
      <c r="AF526" s="64">
        <f>IF($A526="","",IF(AE526="직접",IFERROR(INDEX(계정매핑!$F$5:$F$504,MATCH($F526&amp;"",계정매핑!$A$5:$A$504,0))&amp;"","비귀속"),""))</f>
        <v/>
      </c>
      <c r="AG526" s="96">
        <f>IF($A526="",0,IF(AND(AE526&lt;&gt;"직접",IFERROR(INDEX(계정매핑!$G$5:$G$504,MATCH($F526&amp;"",계정매핑!$A$5:$A$504,0))&amp;"","")="유지비",COUNTIF(계정대체기준!$A$6:$A$15,$N526)&gt;0),IFERROR(INDEX(계정대체기준!$E$6:$E$15,MATCH(VALUE($A526&amp;""),계정대체기준!$D$6:$D$15,0)),0),0))</f>
        <v/>
      </c>
      <c r="AH526" s="64">
        <f>IF($A526="","",IF(AD526=0,"",IF(OR(COUNTIF(계정대체기준!$A$77:$A$86,$N526)&gt;0,ISNUMBER(MATCH($X526,계정대체기준!$D$77:$D$86,0)),ISNUMBER(MATCH($F526,계정대체기준!$D$77:$D$86,0))),"Y","N")))</f>
        <v/>
      </c>
    </row>
    <row r="527">
      <c r="A527" s="92" t="n">
        <v>2025</v>
      </c>
      <c r="B527" s="92" t="n">
        <v>3</v>
      </c>
      <c r="C527" s="92" t="inlineStr">
        <is>
          <t>5100000523</t>
        </is>
      </c>
      <c r="D527" s="95" t="n">
        <v>45724</v>
      </c>
      <c r="E527" s="92" t="inlineStr">
        <is>
          <t>KR</t>
        </is>
      </c>
      <c r="F527" s="92" t="n">
        <v>62701000</v>
      </c>
      <c r="G527" s="92" t="n">
        <v>1502</v>
      </c>
      <c r="H527" s="93" t="n">
        <v>53376000</v>
      </c>
      <c r="I527" s="92" t="inlineStr">
        <is>
          <t>3월 광고 집행 - E미디어</t>
        </is>
      </c>
      <c r="J527" s="92" t="inlineStr">
        <is>
          <t>V10033</t>
        </is>
      </c>
      <c r="K527" s="92" t="inlineStr">
        <is>
          <t>E미디어</t>
        </is>
      </c>
      <c r="M527" s="9">
        <f>IF($A527="","",VALUE($A527&amp;"")*12+VALUE($B527&amp;""))</f>
        <v/>
      </c>
      <c r="N527" s="64">
        <f>IF($A527="","",IFERROR(INDEX(부서매핑!$C$5:$C$504,MATCH($G527&amp;"",부서매핑!$A$5:$A$504,0)),"미매핑"))</f>
        <v/>
      </c>
      <c r="O527" s="9">
        <f>IF($A527="","",N527&amp;"|"&amp;$F527)</f>
        <v/>
      </c>
      <c r="P527" s="94">
        <f>IF($A527="",0,$H527*설정!$C$23)</f>
        <v/>
      </c>
      <c r="Q527" s="64">
        <f>IF($A527="","",IF(O527&lt;&gt;원인분석!$C$9,"",IF(AND(M527&gt;=원인분석!$C$10,M527&lt;=원인분석!$C$11),"당기",IF(AND(M527&gt;=원인분석!$C$12,M527&lt;=원인분석!$C$13),"비교",""))))</f>
        <v/>
      </c>
      <c r="R527" s="9">
        <f>IF(Q527="","",$K527&amp;"")</f>
        <v/>
      </c>
      <c r="S527" s="9">
        <f>IF(Q527="","",IF(MATCH(R527,$R$5:$R$100000,0)=ROW()-4,ROW(),""))</f>
        <v/>
      </c>
      <c r="T527" s="9">
        <f>IF(Q527="당기",ABS(P527)+ROW()/1000000000,"")</f>
        <v/>
      </c>
      <c r="U527" s="9">
        <f>IF(Q527="비교",ABS(P527)+ROW()/1000000000,"")</f>
        <v/>
      </c>
      <c r="V527" s="64">
        <f>IF($A527="","",IF(COUNTIF(변동분석!$E$7:$E$506,O527)&gt;0,"Y","N"))</f>
        <v/>
      </c>
      <c r="W527" s="64">
        <f>IF($A527="","",IFERROR(INDEX(계정매핑!$D$5:$D$504,MATCH($F527&amp;"",계정매핑!$A$5:$A$504,0)),"미매핑"))</f>
        <v/>
      </c>
      <c r="X527" s="9">
        <f>IF($A527="","",$F527&amp;"")</f>
        <v/>
      </c>
      <c r="Y527" s="94">
        <f>IF($A527="",0,IF(AE527="직접",IF(AF527="비귀속",$P527,0),$P527*(1-AG527)*IFERROR(INDEX(계정대체기준!$F$20:$F$49,MATCH($N527,계정대체기준!$A$20:$A$49,0)),1)))</f>
        <v/>
      </c>
      <c r="Z527" s="94">
        <f>IF($A527="",0,IF(AE527="직접",IF(AF527="신계약비",$P527,0),$P527*(1-AG527)*IFERROR(INDEX(계정대체기준!$C$20:$C$49,MATCH($N527,계정대체기준!$A$20:$A$49,0)),0)))</f>
        <v/>
      </c>
      <c r="AA527" s="94">
        <f>IF($A527="",0,IF(AE527="직접",IF(OR(AF527="유지비",AF527="손해조사비"),$P527,0),$P527*(1-AG527)*IFERROR(INDEX(계정대체기준!$D$20:$D$49,MATCH($N527,계정대체기준!$A$20:$A$49,0)),0)))</f>
        <v/>
      </c>
      <c r="AB527" s="94">
        <f>IF($A527="",0,IF(AE527="직접",IF(AF527="수금비",$P527,0),$P527*(1-AG527)*IFERROR(INDEX(계정대체기준!$E$20:$E$49,MATCH($N527,계정대체기준!$A$20:$A$49,0)),0)))</f>
        <v/>
      </c>
      <c r="AC527" s="9">
        <f>IF(AND($A527&lt;&gt;"",M527=설정!$C$20,Z527&gt;0),Z527+ROW()/1000000000,"")</f>
        <v/>
      </c>
      <c r="AD527" s="94">
        <f>IF($A527="",0,$P527*AG527)</f>
        <v/>
      </c>
      <c r="AE527" s="64">
        <f>IF($A527="","",IFERROR(INDEX(계정매핑!$E$5:$E$504,MATCH($F527&amp;"",계정매핑!$A$5:$A$504,0))&amp;"","공통비"))</f>
        <v/>
      </c>
      <c r="AF527" s="64">
        <f>IF($A527="","",IF(AE527="직접",IFERROR(INDEX(계정매핑!$F$5:$F$504,MATCH($F527&amp;"",계정매핑!$A$5:$A$504,0))&amp;"","비귀속"),""))</f>
        <v/>
      </c>
      <c r="AG527" s="96">
        <f>IF($A527="",0,IF(AND(AE527&lt;&gt;"직접",IFERROR(INDEX(계정매핑!$G$5:$G$504,MATCH($F527&amp;"",계정매핑!$A$5:$A$504,0))&amp;"","")="유지비",COUNTIF(계정대체기준!$A$6:$A$15,$N527)&gt;0),IFERROR(INDEX(계정대체기준!$E$6:$E$15,MATCH(VALUE($A527&amp;""),계정대체기준!$D$6:$D$15,0)),0),0))</f>
        <v/>
      </c>
      <c r="AH527" s="64">
        <f>IF($A527="","",IF(AD527=0,"",IF(OR(COUNTIF(계정대체기준!$A$77:$A$86,$N527)&gt;0,ISNUMBER(MATCH($X527,계정대체기준!$D$77:$D$86,0)),ISNUMBER(MATCH($F527,계정대체기준!$D$77:$D$86,0))),"Y","N")))</f>
        <v/>
      </c>
    </row>
    <row r="528">
      <c r="A528" s="92" t="n">
        <v>2025</v>
      </c>
      <c r="B528" s="92" t="n">
        <v>3</v>
      </c>
      <c r="C528" s="92" t="inlineStr">
        <is>
          <t>5100000524</t>
        </is>
      </c>
      <c r="D528" s="95" t="n">
        <v>45724</v>
      </c>
      <c r="E528" s="92" t="inlineStr">
        <is>
          <t>KR</t>
        </is>
      </c>
      <c r="F528" s="92" t="n">
        <v>62902000</v>
      </c>
      <c r="G528" s="92" t="n">
        <v>1401</v>
      </c>
      <c r="H528" s="93" t="n">
        <v>2485000</v>
      </c>
      <c r="I528" s="92" t="inlineStr">
        <is>
          <t>3월 업무 위탁 수수료 - J콜센터</t>
        </is>
      </c>
      <c r="J528" s="92" t="inlineStr">
        <is>
          <t>V10016</t>
        </is>
      </c>
      <c r="K528" s="92" t="inlineStr">
        <is>
          <t>J콜센터</t>
        </is>
      </c>
      <c r="M528" s="9">
        <f>IF($A528="","",VALUE($A528&amp;"")*12+VALUE($B528&amp;""))</f>
        <v/>
      </c>
      <c r="N528" s="64">
        <f>IF($A528="","",IFERROR(INDEX(부서매핑!$C$5:$C$504,MATCH($G528&amp;"",부서매핑!$A$5:$A$504,0)),"미매핑"))</f>
        <v/>
      </c>
      <c r="O528" s="9">
        <f>IF($A528="","",N528&amp;"|"&amp;$F528)</f>
        <v/>
      </c>
      <c r="P528" s="94">
        <f>IF($A528="",0,$H528*설정!$C$23)</f>
        <v/>
      </c>
      <c r="Q528" s="64">
        <f>IF($A528="","",IF(O528&lt;&gt;원인분석!$C$9,"",IF(AND(M528&gt;=원인분석!$C$10,M528&lt;=원인분석!$C$11),"당기",IF(AND(M528&gt;=원인분석!$C$12,M528&lt;=원인분석!$C$13),"비교",""))))</f>
        <v/>
      </c>
      <c r="R528" s="9">
        <f>IF(Q528="","",$K528&amp;"")</f>
        <v/>
      </c>
      <c r="S528" s="9">
        <f>IF(Q528="","",IF(MATCH(R528,$R$5:$R$100000,0)=ROW()-4,ROW(),""))</f>
        <v/>
      </c>
      <c r="T528" s="9">
        <f>IF(Q528="당기",ABS(P528)+ROW()/1000000000,"")</f>
        <v/>
      </c>
      <c r="U528" s="9">
        <f>IF(Q528="비교",ABS(P528)+ROW()/1000000000,"")</f>
        <v/>
      </c>
      <c r="V528" s="64">
        <f>IF($A528="","",IF(COUNTIF(변동분석!$E$7:$E$506,O528)&gt;0,"Y","N"))</f>
        <v/>
      </c>
      <c r="W528" s="64">
        <f>IF($A528="","",IFERROR(INDEX(계정매핑!$D$5:$D$504,MATCH($F528&amp;"",계정매핑!$A$5:$A$504,0)),"미매핑"))</f>
        <v/>
      </c>
      <c r="X528" s="9">
        <f>IF($A528="","",$F528&amp;"")</f>
        <v/>
      </c>
      <c r="Y528" s="94">
        <f>IF($A528="",0,IF(AE528="직접",IF(AF528="비귀속",$P528,0),$P528*(1-AG528)*IFERROR(INDEX(계정대체기준!$F$20:$F$49,MATCH($N528,계정대체기준!$A$20:$A$49,0)),1)))</f>
        <v/>
      </c>
      <c r="Z528" s="94">
        <f>IF($A528="",0,IF(AE528="직접",IF(AF528="신계약비",$P528,0),$P528*(1-AG528)*IFERROR(INDEX(계정대체기준!$C$20:$C$49,MATCH($N528,계정대체기준!$A$20:$A$49,0)),0)))</f>
        <v/>
      </c>
      <c r="AA528" s="94">
        <f>IF($A528="",0,IF(AE528="직접",IF(OR(AF528="유지비",AF528="손해조사비"),$P528,0),$P528*(1-AG528)*IFERROR(INDEX(계정대체기준!$D$20:$D$49,MATCH($N528,계정대체기준!$A$20:$A$49,0)),0)))</f>
        <v/>
      </c>
      <c r="AB528" s="94">
        <f>IF($A528="",0,IF(AE528="직접",IF(AF528="수금비",$P528,0),$P528*(1-AG528)*IFERROR(INDEX(계정대체기준!$E$20:$E$49,MATCH($N528,계정대체기준!$A$20:$A$49,0)),0)))</f>
        <v/>
      </c>
      <c r="AC528" s="9">
        <f>IF(AND($A528&lt;&gt;"",M528=설정!$C$20,Z528&gt;0),Z528+ROW()/1000000000,"")</f>
        <v/>
      </c>
      <c r="AD528" s="94">
        <f>IF($A528="",0,$P528*AG528)</f>
        <v/>
      </c>
      <c r="AE528" s="64">
        <f>IF($A528="","",IFERROR(INDEX(계정매핑!$E$5:$E$504,MATCH($F528&amp;"",계정매핑!$A$5:$A$504,0))&amp;"","공통비"))</f>
        <v/>
      </c>
      <c r="AF528" s="64">
        <f>IF($A528="","",IF(AE528="직접",IFERROR(INDEX(계정매핑!$F$5:$F$504,MATCH($F528&amp;"",계정매핑!$A$5:$A$504,0))&amp;"","비귀속"),""))</f>
        <v/>
      </c>
      <c r="AG528" s="96">
        <f>IF($A528="",0,IF(AND(AE528&lt;&gt;"직접",IFERROR(INDEX(계정매핑!$G$5:$G$504,MATCH($F528&amp;"",계정매핑!$A$5:$A$504,0))&amp;"","")="유지비",COUNTIF(계정대체기준!$A$6:$A$15,$N528)&gt;0),IFERROR(INDEX(계정대체기준!$E$6:$E$15,MATCH(VALUE($A528&amp;""),계정대체기준!$D$6:$D$15,0)),0),0))</f>
        <v/>
      </c>
      <c r="AH528" s="64">
        <f>IF($A528="","",IF(AD528=0,"",IF(OR(COUNTIF(계정대체기준!$A$77:$A$86,$N528)&gt;0,ISNUMBER(MATCH($X528,계정대체기준!$D$77:$D$86,0)),ISNUMBER(MATCH($F528,계정대체기준!$D$77:$D$86,0))),"Y","N")))</f>
        <v/>
      </c>
    </row>
    <row r="529">
      <c r="A529" s="92" t="n">
        <v>2025</v>
      </c>
      <c r="B529" s="92" t="n">
        <v>3</v>
      </c>
      <c r="C529" s="92" t="inlineStr">
        <is>
          <t>5100000525</t>
        </is>
      </c>
      <c r="D529" s="95" t="n">
        <v>45724</v>
      </c>
      <c r="E529" s="92" t="inlineStr">
        <is>
          <t>KR</t>
        </is>
      </c>
      <c r="F529" s="92" t="n">
        <v>62902000</v>
      </c>
      <c r="G529" s="92" t="n">
        <v>1401</v>
      </c>
      <c r="H529" s="93" t="n">
        <v>1730000</v>
      </c>
      <c r="I529" s="92" t="inlineStr">
        <is>
          <t>3월 업무 위탁 수수료 - X서비스</t>
        </is>
      </c>
      <c r="J529" s="92" t="inlineStr">
        <is>
          <t>V10020</t>
        </is>
      </c>
      <c r="K529" s="92" t="inlineStr">
        <is>
          <t>X서비스</t>
        </is>
      </c>
      <c r="M529" s="9">
        <f>IF($A529="","",VALUE($A529&amp;"")*12+VALUE($B529&amp;""))</f>
        <v/>
      </c>
      <c r="N529" s="64">
        <f>IF($A529="","",IFERROR(INDEX(부서매핑!$C$5:$C$504,MATCH($G529&amp;"",부서매핑!$A$5:$A$504,0)),"미매핑"))</f>
        <v/>
      </c>
      <c r="O529" s="9">
        <f>IF($A529="","",N529&amp;"|"&amp;$F529)</f>
        <v/>
      </c>
      <c r="P529" s="94">
        <f>IF($A529="",0,$H529*설정!$C$23)</f>
        <v/>
      </c>
      <c r="Q529" s="64">
        <f>IF($A529="","",IF(O529&lt;&gt;원인분석!$C$9,"",IF(AND(M529&gt;=원인분석!$C$10,M529&lt;=원인분석!$C$11),"당기",IF(AND(M529&gt;=원인분석!$C$12,M529&lt;=원인분석!$C$13),"비교",""))))</f>
        <v/>
      </c>
      <c r="R529" s="9">
        <f>IF(Q529="","",$K529&amp;"")</f>
        <v/>
      </c>
      <c r="S529" s="9">
        <f>IF(Q529="","",IF(MATCH(R529,$R$5:$R$100000,0)=ROW()-4,ROW(),""))</f>
        <v/>
      </c>
      <c r="T529" s="9">
        <f>IF(Q529="당기",ABS(P529)+ROW()/1000000000,"")</f>
        <v/>
      </c>
      <c r="U529" s="9">
        <f>IF(Q529="비교",ABS(P529)+ROW()/1000000000,"")</f>
        <v/>
      </c>
      <c r="V529" s="64">
        <f>IF($A529="","",IF(COUNTIF(변동분석!$E$7:$E$506,O529)&gt;0,"Y","N"))</f>
        <v/>
      </c>
      <c r="W529" s="64">
        <f>IF($A529="","",IFERROR(INDEX(계정매핑!$D$5:$D$504,MATCH($F529&amp;"",계정매핑!$A$5:$A$504,0)),"미매핑"))</f>
        <v/>
      </c>
      <c r="X529" s="9">
        <f>IF($A529="","",$F529&amp;"")</f>
        <v/>
      </c>
      <c r="Y529" s="94">
        <f>IF($A529="",0,IF(AE529="직접",IF(AF529="비귀속",$P529,0),$P529*(1-AG529)*IFERROR(INDEX(계정대체기준!$F$20:$F$49,MATCH($N529,계정대체기준!$A$20:$A$49,0)),1)))</f>
        <v/>
      </c>
      <c r="Z529" s="94">
        <f>IF($A529="",0,IF(AE529="직접",IF(AF529="신계약비",$P529,0),$P529*(1-AG529)*IFERROR(INDEX(계정대체기준!$C$20:$C$49,MATCH($N529,계정대체기준!$A$20:$A$49,0)),0)))</f>
        <v/>
      </c>
      <c r="AA529" s="94">
        <f>IF($A529="",0,IF(AE529="직접",IF(OR(AF529="유지비",AF529="손해조사비"),$P529,0),$P529*(1-AG529)*IFERROR(INDEX(계정대체기준!$D$20:$D$49,MATCH($N529,계정대체기준!$A$20:$A$49,0)),0)))</f>
        <v/>
      </c>
      <c r="AB529" s="94">
        <f>IF($A529="",0,IF(AE529="직접",IF(AF529="수금비",$P529,0),$P529*(1-AG529)*IFERROR(INDEX(계정대체기준!$E$20:$E$49,MATCH($N529,계정대체기준!$A$20:$A$49,0)),0)))</f>
        <v/>
      </c>
      <c r="AC529" s="9">
        <f>IF(AND($A529&lt;&gt;"",M529=설정!$C$20,Z529&gt;0),Z529+ROW()/1000000000,"")</f>
        <v/>
      </c>
      <c r="AD529" s="94">
        <f>IF($A529="",0,$P529*AG529)</f>
        <v/>
      </c>
      <c r="AE529" s="64">
        <f>IF($A529="","",IFERROR(INDEX(계정매핑!$E$5:$E$504,MATCH($F529&amp;"",계정매핑!$A$5:$A$504,0))&amp;"","공통비"))</f>
        <v/>
      </c>
      <c r="AF529" s="64">
        <f>IF($A529="","",IF(AE529="직접",IFERROR(INDEX(계정매핑!$F$5:$F$504,MATCH($F529&amp;"",계정매핑!$A$5:$A$504,0))&amp;"","비귀속"),""))</f>
        <v/>
      </c>
      <c r="AG529" s="96">
        <f>IF($A529="",0,IF(AND(AE529&lt;&gt;"직접",IFERROR(INDEX(계정매핑!$G$5:$G$504,MATCH($F529&amp;"",계정매핑!$A$5:$A$504,0))&amp;"","")="유지비",COUNTIF(계정대체기준!$A$6:$A$15,$N529)&gt;0),IFERROR(INDEX(계정대체기준!$E$6:$E$15,MATCH(VALUE($A529&amp;""),계정대체기준!$D$6:$D$15,0)),0),0))</f>
        <v/>
      </c>
      <c r="AH529" s="64">
        <f>IF($A529="","",IF(AD529=0,"",IF(OR(COUNTIF(계정대체기준!$A$77:$A$86,$N529)&gt;0,ISNUMBER(MATCH($X529,계정대체기준!$D$77:$D$86,0)),ISNUMBER(MATCH($F529,계정대체기준!$D$77:$D$86,0))),"Y","N")))</f>
        <v/>
      </c>
    </row>
    <row r="530">
      <c r="A530" s="92" t="n">
        <v>2025</v>
      </c>
      <c r="B530" s="92" t="n">
        <v>3</v>
      </c>
      <c r="C530" s="92" t="inlineStr">
        <is>
          <t>5100000526</t>
        </is>
      </c>
      <c r="D530" s="95" t="n">
        <v>45724</v>
      </c>
      <c r="E530" s="92" t="inlineStr">
        <is>
          <t>KR</t>
        </is>
      </c>
      <c r="F530" s="92" t="n">
        <v>62902000</v>
      </c>
      <c r="G530" s="92" t="n">
        <v>1801</v>
      </c>
      <c r="H530" s="93" t="n">
        <v>1849000</v>
      </c>
      <c r="I530" s="92" t="inlineStr">
        <is>
          <t>3월 콜 위탁 수수료(건별)</t>
        </is>
      </c>
      <c r="J530" s="92" t="inlineStr">
        <is>
          <t>V10016</t>
        </is>
      </c>
      <c r="K530" s="92" t="inlineStr">
        <is>
          <t>J콜센터</t>
        </is>
      </c>
      <c r="M530" s="9">
        <f>IF($A530="","",VALUE($A530&amp;"")*12+VALUE($B530&amp;""))</f>
        <v/>
      </c>
      <c r="N530" s="64">
        <f>IF($A530="","",IFERROR(INDEX(부서매핑!$C$5:$C$504,MATCH($G530&amp;"",부서매핑!$A$5:$A$504,0)),"미매핑"))</f>
        <v/>
      </c>
      <c r="O530" s="9">
        <f>IF($A530="","",N530&amp;"|"&amp;$F530)</f>
        <v/>
      </c>
      <c r="P530" s="94">
        <f>IF($A530="",0,$H530*설정!$C$23)</f>
        <v/>
      </c>
      <c r="Q530" s="64">
        <f>IF($A530="","",IF(O530&lt;&gt;원인분석!$C$9,"",IF(AND(M530&gt;=원인분석!$C$10,M530&lt;=원인분석!$C$11),"당기",IF(AND(M530&gt;=원인분석!$C$12,M530&lt;=원인분석!$C$13),"비교",""))))</f>
        <v/>
      </c>
      <c r="R530" s="9">
        <f>IF(Q530="","",$K530&amp;"")</f>
        <v/>
      </c>
      <c r="S530" s="9">
        <f>IF(Q530="","",IF(MATCH(R530,$R$5:$R$100000,0)=ROW()-4,ROW(),""))</f>
        <v/>
      </c>
      <c r="T530" s="9">
        <f>IF(Q530="당기",ABS(P530)+ROW()/1000000000,"")</f>
        <v/>
      </c>
      <c r="U530" s="9">
        <f>IF(Q530="비교",ABS(P530)+ROW()/1000000000,"")</f>
        <v/>
      </c>
      <c r="V530" s="64">
        <f>IF($A530="","",IF(COUNTIF(변동분석!$E$7:$E$506,O530)&gt;0,"Y","N"))</f>
        <v/>
      </c>
      <c r="W530" s="64">
        <f>IF($A530="","",IFERROR(INDEX(계정매핑!$D$5:$D$504,MATCH($F530&amp;"",계정매핑!$A$5:$A$504,0)),"미매핑"))</f>
        <v/>
      </c>
      <c r="X530" s="9">
        <f>IF($A530="","",$F530&amp;"")</f>
        <v/>
      </c>
      <c r="Y530" s="94">
        <f>IF($A530="",0,IF(AE530="직접",IF(AF530="비귀속",$P530,0),$P530*(1-AG530)*IFERROR(INDEX(계정대체기준!$F$20:$F$49,MATCH($N530,계정대체기준!$A$20:$A$49,0)),1)))</f>
        <v/>
      </c>
      <c r="Z530" s="94">
        <f>IF($A530="",0,IF(AE530="직접",IF(AF530="신계약비",$P530,0),$P530*(1-AG530)*IFERROR(INDEX(계정대체기준!$C$20:$C$49,MATCH($N530,계정대체기준!$A$20:$A$49,0)),0)))</f>
        <v/>
      </c>
      <c r="AA530" s="94">
        <f>IF($A530="",0,IF(AE530="직접",IF(OR(AF530="유지비",AF530="손해조사비"),$P530,0),$P530*(1-AG530)*IFERROR(INDEX(계정대체기준!$D$20:$D$49,MATCH($N530,계정대체기준!$A$20:$A$49,0)),0)))</f>
        <v/>
      </c>
      <c r="AB530" s="94">
        <f>IF($A530="",0,IF(AE530="직접",IF(AF530="수금비",$P530,0),$P530*(1-AG530)*IFERROR(INDEX(계정대체기준!$E$20:$E$49,MATCH($N530,계정대체기준!$A$20:$A$49,0)),0)))</f>
        <v/>
      </c>
      <c r="AC530" s="9">
        <f>IF(AND($A530&lt;&gt;"",M530=설정!$C$20,Z530&gt;0),Z530+ROW()/1000000000,"")</f>
        <v/>
      </c>
      <c r="AD530" s="94">
        <f>IF($A530="",0,$P530*AG530)</f>
        <v/>
      </c>
      <c r="AE530" s="64">
        <f>IF($A530="","",IFERROR(INDEX(계정매핑!$E$5:$E$504,MATCH($F530&amp;"",계정매핑!$A$5:$A$504,0))&amp;"","공통비"))</f>
        <v/>
      </c>
      <c r="AF530" s="64">
        <f>IF($A530="","",IF(AE530="직접",IFERROR(INDEX(계정매핑!$F$5:$F$504,MATCH($F530&amp;"",계정매핑!$A$5:$A$504,0))&amp;"","비귀속"),""))</f>
        <v/>
      </c>
      <c r="AG530" s="96">
        <f>IF($A530="",0,IF(AND(AE530&lt;&gt;"직접",IFERROR(INDEX(계정매핑!$G$5:$G$504,MATCH($F530&amp;"",계정매핑!$A$5:$A$504,0))&amp;"","")="유지비",COUNTIF(계정대체기준!$A$6:$A$15,$N530)&gt;0),IFERROR(INDEX(계정대체기준!$E$6:$E$15,MATCH(VALUE($A530&amp;""),계정대체기준!$D$6:$D$15,0)),0),0))</f>
        <v/>
      </c>
      <c r="AH530" s="64">
        <f>IF($A530="","",IF(AD530=0,"",IF(OR(COUNTIF(계정대체기준!$A$77:$A$86,$N530)&gt;0,ISNUMBER(MATCH($X530,계정대체기준!$D$77:$D$86,0)),ISNUMBER(MATCH($F530,계정대체기준!$D$77:$D$86,0))),"Y","N")))</f>
        <v/>
      </c>
    </row>
    <row r="531">
      <c r="A531" s="92" t="n">
        <v>2025</v>
      </c>
      <c r="B531" s="92" t="n">
        <v>3</v>
      </c>
      <c r="C531" s="92" t="inlineStr">
        <is>
          <t>5100000527</t>
        </is>
      </c>
      <c r="D531" s="95" t="n">
        <v>45724</v>
      </c>
      <c r="E531" s="92" t="inlineStr">
        <is>
          <t>KR</t>
        </is>
      </c>
      <c r="F531" s="92" t="n">
        <v>62902000</v>
      </c>
      <c r="G531" s="92" t="n">
        <v>1951</v>
      </c>
      <c r="H531" s="93" t="n">
        <v>2650000</v>
      </c>
      <c r="I531" s="92" t="inlineStr">
        <is>
          <t>3월 업무 위탁 수수료 - J콜센터</t>
        </is>
      </c>
      <c r="J531" s="92" t="inlineStr">
        <is>
          <t>V10016</t>
        </is>
      </c>
      <c r="K531" s="92" t="inlineStr">
        <is>
          <t>J콜센터</t>
        </is>
      </c>
      <c r="M531" s="9">
        <f>IF($A531="","",VALUE($A531&amp;"")*12+VALUE($B531&amp;""))</f>
        <v/>
      </c>
      <c r="N531" s="64">
        <f>IF($A531="","",IFERROR(INDEX(부서매핑!$C$5:$C$504,MATCH($G531&amp;"",부서매핑!$A$5:$A$504,0)),"미매핑"))</f>
        <v/>
      </c>
      <c r="O531" s="9">
        <f>IF($A531="","",N531&amp;"|"&amp;$F531)</f>
        <v/>
      </c>
      <c r="P531" s="94">
        <f>IF($A531="",0,$H531*설정!$C$23)</f>
        <v/>
      </c>
      <c r="Q531" s="64">
        <f>IF($A531="","",IF(O531&lt;&gt;원인분석!$C$9,"",IF(AND(M531&gt;=원인분석!$C$10,M531&lt;=원인분석!$C$11),"당기",IF(AND(M531&gt;=원인분석!$C$12,M531&lt;=원인분석!$C$13),"비교",""))))</f>
        <v/>
      </c>
      <c r="R531" s="9">
        <f>IF(Q531="","",$K531&amp;"")</f>
        <v/>
      </c>
      <c r="S531" s="9">
        <f>IF(Q531="","",IF(MATCH(R531,$R$5:$R$100000,0)=ROW()-4,ROW(),""))</f>
        <v/>
      </c>
      <c r="T531" s="9">
        <f>IF(Q531="당기",ABS(P531)+ROW()/1000000000,"")</f>
        <v/>
      </c>
      <c r="U531" s="9">
        <f>IF(Q531="비교",ABS(P531)+ROW()/1000000000,"")</f>
        <v/>
      </c>
      <c r="V531" s="64">
        <f>IF($A531="","",IF(COUNTIF(변동분석!$E$7:$E$506,O531)&gt;0,"Y","N"))</f>
        <v/>
      </c>
      <c r="W531" s="64">
        <f>IF($A531="","",IFERROR(INDEX(계정매핑!$D$5:$D$504,MATCH($F531&amp;"",계정매핑!$A$5:$A$504,0)),"미매핑"))</f>
        <v/>
      </c>
      <c r="X531" s="9">
        <f>IF($A531="","",$F531&amp;"")</f>
        <v/>
      </c>
      <c r="Y531" s="94">
        <f>IF($A531="",0,IF(AE531="직접",IF(AF531="비귀속",$P531,0),$P531*(1-AG531)*IFERROR(INDEX(계정대체기준!$F$20:$F$49,MATCH($N531,계정대체기준!$A$20:$A$49,0)),1)))</f>
        <v/>
      </c>
      <c r="Z531" s="94">
        <f>IF($A531="",0,IF(AE531="직접",IF(AF531="신계약비",$P531,0),$P531*(1-AG531)*IFERROR(INDEX(계정대체기준!$C$20:$C$49,MATCH($N531,계정대체기준!$A$20:$A$49,0)),0)))</f>
        <v/>
      </c>
      <c r="AA531" s="94">
        <f>IF($A531="",0,IF(AE531="직접",IF(OR(AF531="유지비",AF531="손해조사비"),$P531,0),$P531*(1-AG531)*IFERROR(INDEX(계정대체기준!$D$20:$D$49,MATCH($N531,계정대체기준!$A$20:$A$49,0)),0)))</f>
        <v/>
      </c>
      <c r="AB531" s="94">
        <f>IF($A531="",0,IF(AE531="직접",IF(AF531="수금비",$P531,0),$P531*(1-AG531)*IFERROR(INDEX(계정대체기준!$E$20:$E$49,MATCH($N531,계정대체기준!$A$20:$A$49,0)),0)))</f>
        <v/>
      </c>
      <c r="AC531" s="9">
        <f>IF(AND($A531&lt;&gt;"",M531=설정!$C$20,Z531&gt;0),Z531+ROW()/1000000000,"")</f>
        <v/>
      </c>
      <c r="AD531" s="94">
        <f>IF($A531="",0,$P531*AG531)</f>
        <v/>
      </c>
      <c r="AE531" s="64">
        <f>IF($A531="","",IFERROR(INDEX(계정매핑!$E$5:$E$504,MATCH($F531&amp;"",계정매핑!$A$5:$A$504,0))&amp;"","공통비"))</f>
        <v/>
      </c>
      <c r="AF531" s="64">
        <f>IF($A531="","",IF(AE531="직접",IFERROR(INDEX(계정매핑!$F$5:$F$504,MATCH($F531&amp;"",계정매핑!$A$5:$A$504,0))&amp;"","비귀속"),""))</f>
        <v/>
      </c>
      <c r="AG531" s="96">
        <f>IF($A531="",0,IF(AND(AE531&lt;&gt;"직접",IFERROR(INDEX(계정매핑!$G$5:$G$504,MATCH($F531&amp;"",계정매핑!$A$5:$A$504,0))&amp;"","")="유지비",COUNTIF(계정대체기준!$A$6:$A$15,$N531)&gt;0),IFERROR(INDEX(계정대체기준!$E$6:$E$15,MATCH(VALUE($A531&amp;""),계정대체기준!$D$6:$D$15,0)),0),0))</f>
        <v/>
      </c>
      <c r="AH531" s="64">
        <f>IF($A531="","",IF(AD531=0,"",IF(OR(COUNTIF(계정대체기준!$A$77:$A$86,$N531)&gt;0,ISNUMBER(MATCH($X531,계정대체기준!$D$77:$D$86,0)),ISNUMBER(MATCH($F531,계정대체기준!$D$77:$D$86,0))),"Y","N")))</f>
        <v/>
      </c>
    </row>
    <row r="532">
      <c r="A532" s="92" t="n">
        <v>2025</v>
      </c>
      <c r="B532" s="92" t="n">
        <v>3</v>
      </c>
      <c r="C532" s="92" t="inlineStr">
        <is>
          <t>5100000528</t>
        </is>
      </c>
      <c r="D532" s="95" t="n">
        <v>45724</v>
      </c>
      <c r="E532" s="92" t="inlineStr">
        <is>
          <t>KR</t>
        </is>
      </c>
      <c r="F532" s="92" t="n">
        <v>62902000</v>
      </c>
      <c r="G532" s="92" t="n">
        <v>1951</v>
      </c>
      <c r="H532" s="93" t="n">
        <v>2809000</v>
      </c>
      <c r="I532" s="92" t="inlineStr">
        <is>
          <t>3월 업무 위탁 수수료 - X서비스</t>
        </is>
      </c>
      <c r="J532" s="92" t="inlineStr">
        <is>
          <t>V10020</t>
        </is>
      </c>
      <c r="K532" s="92" t="inlineStr">
        <is>
          <t>X서비스</t>
        </is>
      </c>
      <c r="M532" s="9">
        <f>IF($A532="","",VALUE($A532&amp;"")*12+VALUE($B532&amp;""))</f>
        <v/>
      </c>
      <c r="N532" s="64">
        <f>IF($A532="","",IFERROR(INDEX(부서매핑!$C$5:$C$504,MATCH($G532&amp;"",부서매핑!$A$5:$A$504,0)),"미매핑"))</f>
        <v/>
      </c>
      <c r="O532" s="9">
        <f>IF($A532="","",N532&amp;"|"&amp;$F532)</f>
        <v/>
      </c>
      <c r="P532" s="94">
        <f>IF($A532="",0,$H532*설정!$C$23)</f>
        <v/>
      </c>
      <c r="Q532" s="64">
        <f>IF($A532="","",IF(O532&lt;&gt;원인분석!$C$9,"",IF(AND(M532&gt;=원인분석!$C$10,M532&lt;=원인분석!$C$11),"당기",IF(AND(M532&gt;=원인분석!$C$12,M532&lt;=원인분석!$C$13),"비교",""))))</f>
        <v/>
      </c>
      <c r="R532" s="9">
        <f>IF(Q532="","",$K532&amp;"")</f>
        <v/>
      </c>
      <c r="S532" s="9">
        <f>IF(Q532="","",IF(MATCH(R532,$R$5:$R$100000,0)=ROW()-4,ROW(),""))</f>
        <v/>
      </c>
      <c r="T532" s="9">
        <f>IF(Q532="당기",ABS(P532)+ROW()/1000000000,"")</f>
        <v/>
      </c>
      <c r="U532" s="9">
        <f>IF(Q532="비교",ABS(P532)+ROW()/1000000000,"")</f>
        <v/>
      </c>
      <c r="V532" s="64">
        <f>IF($A532="","",IF(COUNTIF(변동분석!$E$7:$E$506,O532)&gt;0,"Y","N"))</f>
        <v/>
      </c>
      <c r="W532" s="64">
        <f>IF($A532="","",IFERROR(INDEX(계정매핑!$D$5:$D$504,MATCH($F532&amp;"",계정매핑!$A$5:$A$504,0)),"미매핑"))</f>
        <v/>
      </c>
      <c r="X532" s="9">
        <f>IF($A532="","",$F532&amp;"")</f>
        <v/>
      </c>
      <c r="Y532" s="94">
        <f>IF($A532="",0,IF(AE532="직접",IF(AF532="비귀속",$P532,0),$P532*(1-AG532)*IFERROR(INDEX(계정대체기준!$F$20:$F$49,MATCH($N532,계정대체기준!$A$20:$A$49,0)),1)))</f>
        <v/>
      </c>
      <c r="Z532" s="94">
        <f>IF($A532="",0,IF(AE532="직접",IF(AF532="신계약비",$P532,0),$P532*(1-AG532)*IFERROR(INDEX(계정대체기준!$C$20:$C$49,MATCH($N532,계정대체기준!$A$20:$A$49,0)),0)))</f>
        <v/>
      </c>
      <c r="AA532" s="94">
        <f>IF($A532="",0,IF(AE532="직접",IF(OR(AF532="유지비",AF532="손해조사비"),$P532,0),$P532*(1-AG532)*IFERROR(INDEX(계정대체기준!$D$20:$D$49,MATCH($N532,계정대체기준!$A$20:$A$49,0)),0)))</f>
        <v/>
      </c>
      <c r="AB532" s="94">
        <f>IF($A532="",0,IF(AE532="직접",IF(AF532="수금비",$P532,0),$P532*(1-AG532)*IFERROR(INDEX(계정대체기준!$E$20:$E$49,MATCH($N532,계정대체기준!$A$20:$A$49,0)),0)))</f>
        <v/>
      </c>
      <c r="AC532" s="9">
        <f>IF(AND($A532&lt;&gt;"",M532=설정!$C$20,Z532&gt;0),Z532+ROW()/1000000000,"")</f>
        <v/>
      </c>
      <c r="AD532" s="94">
        <f>IF($A532="",0,$P532*AG532)</f>
        <v/>
      </c>
      <c r="AE532" s="64">
        <f>IF($A532="","",IFERROR(INDEX(계정매핑!$E$5:$E$504,MATCH($F532&amp;"",계정매핑!$A$5:$A$504,0))&amp;"","공통비"))</f>
        <v/>
      </c>
      <c r="AF532" s="64">
        <f>IF($A532="","",IF(AE532="직접",IFERROR(INDEX(계정매핑!$F$5:$F$504,MATCH($F532&amp;"",계정매핑!$A$5:$A$504,0))&amp;"","비귀속"),""))</f>
        <v/>
      </c>
      <c r="AG532" s="96">
        <f>IF($A532="",0,IF(AND(AE532&lt;&gt;"직접",IFERROR(INDEX(계정매핑!$G$5:$G$504,MATCH($F532&amp;"",계정매핑!$A$5:$A$504,0))&amp;"","")="유지비",COUNTIF(계정대체기준!$A$6:$A$15,$N532)&gt;0),IFERROR(INDEX(계정대체기준!$E$6:$E$15,MATCH(VALUE($A532&amp;""),계정대체기준!$D$6:$D$15,0)),0),0))</f>
        <v/>
      </c>
      <c r="AH532" s="64">
        <f>IF($A532="","",IF(AD532=0,"",IF(OR(COUNTIF(계정대체기준!$A$77:$A$86,$N532)&gt;0,ISNUMBER(MATCH($X532,계정대체기준!$D$77:$D$86,0)),ISNUMBER(MATCH($F532,계정대체기준!$D$77:$D$86,0))),"Y","N")))</f>
        <v/>
      </c>
    </row>
    <row r="533">
      <c r="A533" s="92" t="n">
        <v>2025</v>
      </c>
      <c r="B533" s="92" t="n">
        <v>3</v>
      </c>
      <c r="C533" s="92" t="inlineStr">
        <is>
          <t>5100000529</t>
        </is>
      </c>
      <c r="D533" s="95" t="n">
        <v>45724</v>
      </c>
      <c r="E533" s="92" t="inlineStr">
        <is>
          <t>KR</t>
        </is>
      </c>
      <c r="F533" s="92" t="n">
        <v>63001000</v>
      </c>
      <c r="G533" s="92" t="n">
        <v>1701</v>
      </c>
      <c r="H533" s="93" t="n">
        <v>49491000</v>
      </c>
      <c r="I533" s="92" t="inlineStr">
        <is>
          <t>3월 SW 유지보수 - Y소프트</t>
        </is>
      </c>
      <c r="J533" s="92" t="inlineStr">
        <is>
          <t>V10017</t>
        </is>
      </c>
      <c r="K533" s="92" t="inlineStr">
        <is>
          <t>Y소프트</t>
        </is>
      </c>
      <c r="M533" s="9">
        <f>IF($A533="","",VALUE($A533&amp;"")*12+VALUE($B533&amp;""))</f>
        <v/>
      </c>
      <c r="N533" s="64">
        <f>IF($A533="","",IFERROR(INDEX(부서매핑!$C$5:$C$504,MATCH($G533&amp;"",부서매핑!$A$5:$A$504,0)),"미매핑"))</f>
        <v/>
      </c>
      <c r="O533" s="9">
        <f>IF($A533="","",N533&amp;"|"&amp;$F533)</f>
        <v/>
      </c>
      <c r="P533" s="94">
        <f>IF($A533="",0,$H533*설정!$C$23)</f>
        <v/>
      </c>
      <c r="Q533" s="64">
        <f>IF($A533="","",IF(O533&lt;&gt;원인분석!$C$9,"",IF(AND(M533&gt;=원인분석!$C$10,M533&lt;=원인분석!$C$11),"당기",IF(AND(M533&gt;=원인분석!$C$12,M533&lt;=원인분석!$C$13),"비교",""))))</f>
        <v/>
      </c>
      <c r="R533" s="9">
        <f>IF(Q533="","",$K533&amp;"")</f>
        <v/>
      </c>
      <c r="S533" s="9">
        <f>IF(Q533="","",IF(MATCH(R533,$R$5:$R$100000,0)=ROW()-4,ROW(),""))</f>
        <v/>
      </c>
      <c r="T533" s="9">
        <f>IF(Q533="당기",ABS(P533)+ROW()/1000000000,"")</f>
        <v/>
      </c>
      <c r="U533" s="9">
        <f>IF(Q533="비교",ABS(P533)+ROW()/1000000000,"")</f>
        <v/>
      </c>
      <c r="V533" s="64">
        <f>IF($A533="","",IF(COUNTIF(변동분석!$E$7:$E$506,O533)&gt;0,"Y","N"))</f>
        <v/>
      </c>
      <c r="W533" s="64">
        <f>IF($A533="","",IFERROR(INDEX(계정매핑!$D$5:$D$504,MATCH($F533&amp;"",계정매핑!$A$5:$A$504,0)),"미매핑"))</f>
        <v/>
      </c>
      <c r="X533" s="9">
        <f>IF($A533="","",$F533&amp;"")</f>
        <v/>
      </c>
      <c r="Y533" s="94">
        <f>IF($A533="",0,IF(AE533="직접",IF(AF533="비귀속",$P533,0),$P533*(1-AG533)*IFERROR(INDEX(계정대체기준!$F$20:$F$49,MATCH($N533,계정대체기준!$A$20:$A$49,0)),1)))</f>
        <v/>
      </c>
      <c r="Z533" s="94">
        <f>IF($A533="",0,IF(AE533="직접",IF(AF533="신계약비",$P533,0),$P533*(1-AG533)*IFERROR(INDEX(계정대체기준!$C$20:$C$49,MATCH($N533,계정대체기준!$A$20:$A$49,0)),0)))</f>
        <v/>
      </c>
      <c r="AA533" s="94">
        <f>IF($A533="",0,IF(AE533="직접",IF(OR(AF533="유지비",AF533="손해조사비"),$P533,0),$P533*(1-AG533)*IFERROR(INDEX(계정대체기준!$D$20:$D$49,MATCH($N533,계정대체기준!$A$20:$A$49,0)),0)))</f>
        <v/>
      </c>
      <c r="AB533" s="94">
        <f>IF($A533="",0,IF(AE533="직접",IF(AF533="수금비",$P533,0),$P533*(1-AG533)*IFERROR(INDEX(계정대체기준!$E$20:$E$49,MATCH($N533,계정대체기준!$A$20:$A$49,0)),0)))</f>
        <v/>
      </c>
      <c r="AC533" s="9">
        <f>IF(AND($A533&lt;&gt;"",M533=설정!$C$20,Z533&gt;0),Z533+ROW()/1000000000,"")</f>
        <v/>
      </c>
      <c r="AD533" s="94">
        <f>IF($A533="",0,$P533*AG533)</f>
        <v/>
      </c>
      <c r="AE533" s="64">
        <f>IF($A533="","",IFERROR(INDEX(계정매핑!$E$5:$E$504,MATCH($F533&amp;"",계정매핑!$A$5:$A$504,0))&amp;"","공통비"))</f>
        <v/>
      </c>
      <c r="AF533" s="64">
        <f>IF($A533="","",IF(AE533="직접",IFERROR(INDEX(계정매핑!$F$5:$F$504,MATCH($F533&amp;"",계정매핑!$A$5:$A$504,0))&amp;"","비귀속"),""))</f>
        <v/>
      </c>
      <c r="AG533" s="96">
        <f>IF($A533="",0,IF(AND(AE533&lt;&gt;"직접",IFERROR(INDEX(계정매핑!$G$5:$G$504,MATCH($F533&amp;"",계정매핑!$A$5:$A$504,0))&amp;"","")="유지비",COUNTIF(계정대체기준!$A$6:$A$15,$N533)&gt;0),IFERROR(INDEX(계정대체기준!$E$6:$E$15,MATCH(VALUE($A533&amp;""),계정대체기준!$D$6:$D$15,0)),0),0))</f>
        <v/>
      </c>
      <c r="AH533" s="64">
        <f>IF($A533="","",IF(AD533=0,"",IF(OR(COUNTIF(계정대체기준!$A$77:$A$86,$N533)&gt;0,ISNUMBER(MATCH($X533,계정대체기준!$D$77:$D$86,0)),ISNUMBER(MATCH($F533,계정대체기준!$D$77:$D$86,0))),"Y","N")))</f>
        <v/>
      </c>
    </row>
    <row r="534">
      <c r="A534" s="92" t="n">
        <v>2025</v>
      </c>
      <c r="B534" s="92" t="n">
        <v>3</v>
      </c>
      <c r="C534" s="92" t="inlineStr">
        <is>
          <t>5100000530</t>
        </is>
      </c>
      <c r="D534" s="95" t="n">
        <v>45724</v>
      </c>
      <c r="E534" s="92" t="inlineStr">
        <is>
          <t>KR</t>
        </is>
      </c>
      <c r="F534" s="92" t="n">
        <v>63002000</v>
      </c>
      <c r="G534" s="92" t="n">
        <v>1951</v>
      </c>
      <c r="H534" s="93" t="n">
        <v>8019000</v>
      </c>
      <c r="I534" s="92" t="inlineStr">
        <is>
          <t>3월 클라우드 사용료 - C클라우드</t>
        </is>
      </c>
      <c r="J534" s="92" t="inlineStr">
        <is>
          <t>V10026</t>
        </is>
      </c>
      <c r="K534" s="92" t="inlineStr">
        <is>
          <t>C클라우드</t>
        </is>
      </c>
      <c r="M534" s="9">
        <f>IF($A534="","",VALUE($A534&amp;"")*12+VALUE($B534&amp;""))</f>
        <v/>
      </c>
      <c r="N534" s="64">
        <f>IF($A534="","",IFERROR(INDEX(부서매핑!$C$5:$C$504,MATCH($G534&amp;"",부서매핑!$A$5:$A$504,0)),"미매핑"))</f>
        <v/>
      </c>
      <c r="O534" s="9">
        <f>IF($A534="","",N534&amp;"|"&amp;$F534)</f>
        <v/>
      </c>
      <c r="P534" s="94">
        <f>IF($A534="",0,$H534*설정!$C$23)</f>
        <v/>
      </c>
      <c r="Q534" s="64">
        <f>IF($A534="","",IF(O534&lt;&gt;원인분석!$C$9,"",IF(AND(M534&gt;=원인분석!$C$10,M534&lt;=원인분석!$C$11),"당기",IF(AND(M534&gt;=원인분석!$C$12,M534&lt;=원인분석!$C$13),"비교",""))))</f>
        <v/>
      </c>
      <c r="R534" s="9">
        <f>IF(Q534="","",$K534&amp;"")</f>
        <v/>
      </c>
      <c r="S534" s="9">
        <f>IF(Q534="","",IF(MATCH(R534,$R$5:$R$100000,0)=ROW()-4,ROW(),""))</f>
        <v/>
      </c>
      <c r="T534" s="9">
        <f>IF(Q534="당기",ABS(P534)+ROW()/1000000000,"")</f>
        <v/>
      </c>
      <c r="U534" s="9">
        <f>IF(Q534="비교",ABS(P534)+ROW()/1000000000,"")</f>
        <v/>
      </c>
      <c r="V534" s="64">
        <f>IF($A534="","",IF(COUNTIF(변동분석!$E$7:$E$506,O534)&gt;0,"Y","N"))</f>
        <v/>
      </c>
      <c r="W534" s="64">
        <f>IF($A534="","",IFERROR(INDEX(계정매핑!$D$5:$D$504,MATCH($F534&amp;"",계정매핑!$A$5:$A$504,0)),"미매핑"))</f>
        <v/>
      </c>
      <c r="X534" s="9">
        <f>IF($A534="","",$F534&amp;"")</f>
        <v/>
      </c>
      <c r="Y534" s="94">
        <f>IF($A534="",0,IF(AE534="직접",IF(AF534="비귀속",$P534,0),$P534*(1-AG534)*IFERROR(INDEX(계정대체기준!$F$20:$F$49,MATCH($N534,계정대체기준!$A$20:$A$49,0)),1)))</f>
        <v/>
      </c>
      <c r="Z534" s="94">
        <f>IF($A534="",0,IF(AE534="직접",IF(AF534="신계약비",$P534,0),$P534*(1-AG534)*IFERROR(INDEX(계정대체기준!$C$20:$C$49,MATCH($N534,계정대체기준!$A$20:$A$49,0)),0)))</f>
        <v/>
      </c>
      <c r="AA534" s="94">
        <f>IF($A534="",0,IF(AE534="직접",IF(OR(AF534="유지비",AF534="손해조사비"),$P534,0),$P534*(1-AG534)*IFERROR(INDEX(계정대체기준!$D$20:$D$49,MATCH($N534,계정대체기준!$A$20:$A$49,0)),0)))</f>
        <v/>
      </c>
      <c r="AB534" s="94">
        <f>IF($A534="",0,IF(AE534="직접",IF(AF534="수금비",$P534,0),$P534*(1-AG534)*IFERROR(INDEX(계정대체기준!$E$20:$E$49,MATCH($N534,계정대체기준!$A$20:$A$49,0)),0)))</f>
        <v/>
      </c>
      <c r="AC534" s="9">
        <f>IF(AND($A534&lt;&gt;"",M534=설정!$C$20,Z534&gt;0),Z534+ROW()/1000000000,"")</f>
        <v/>
      </c>
      <c r="AD534" s="94">
        <f>IF($A534="",0,$P534*AG534)</f>
        <v/>
      </c>
      <c r="AE534" s="64">
        <f>IF($A534="","",IFERROR(INDEX(계정매핑!$E$5:$E$504,MATCH($F534&amp;"",계정매핑!$A$5:$A$504,0))&amp;"","공통비"))</f>
        <v/>
      </c>
      <c r="AF534" s="64">
        <f>IF($A534="","",IF(AE534="직접",IFERROR(INDEX(계정매핑!$F$5:$F$504,MATCH($F534&amp;"",계정매핑!$A$5:$A$504,0))&amp;"","비귀속"),""))</f>
        <v/>
      </c>
      <c r="AG534" s="96">
        <f>IF($A534="",0,IF(AND(AE534&lt;&gt;"직접",IFERROR(INDEX(계정매핑!$G$5:$G$504,MATCH($F534&amp;"",계정매핑!$A$5:$A$504,0))&amp;"","")="유지비",COUNTIF(계정대체기준!$A$6:$A$15,$N534)&gt;0),IFERROR(INDEX(계정대체기준!$E$6:$E$15,MATCH(VALUE($A534&amp;""),계정대체기준!$D$6:$D$15,0)),0),0))</f>
        <v/>
      </c>
      <c r="AH534" s="64">
        <f>IF($A534="","",IF(AD534=0,"",IF(OR(COUNTIF(계정대체기준!$A$77:$A$86,$N534)&gt;0,ISNUMBER(MATCH($X534,계정대체기준!$D$77:$D$86,0)),ISNUMBER(MATCH($F534,계정대체기준!$D$77:$D$86,0))),"Y","N")))</f>
        <v/>
      </c>
    </row>
    <row r="535">
      <c r="A535" s="92" t="n">
        <v>2025</v>
      </c>
      <c r="B535" s="92" t="n">
        <v>3</v>
      </c>
      <c r="C535" s="92" t="inlineStr">
        <is>
          <t>5100000531</t>
        </is>
      </c>
      <c r="D535" s="95" t="n">
        <v>45725</v>
      </c>
      <c r="E535" s="92" t="inlineStr">
        <is>
          <t>KR</t>
        </is>
      </c>
      <c r="F535" s="92" t="n">
        <v>62101000</v>
      </c>
      <c r="G535" s="92" t="n">
        <v>1301</v>
      </c>
      <c r="H535" s="93" t="n">
        <v>284000</v>
      </c>
      <c r="I535" s="92" t="inlineStr">
        <is>
          <t>3월 국내출장 - M항공</t>
        </is>
      </c>
      <c r="J535" s="92" t="inlineStr">
        <is>
          <t>V10001</t>
        </is>
      </c>
      <c r="K535" s="92" t="inlineStr">
        <is>
          <t>M항공</t>
        </is>
      </c>
      <c r="M535" s="9">
        <f>IF($A535="","",VALUE($A535&amp;"")*12+VALUE($B535&amp;""))</f>
        <v/>
      </c>
      <c r="N535" s="64">
        <f>IF($A535="","",IFERROR(INDEX(부서매핑!$C$5:$C$504,MATCH($G535&amp;"",부서매핑!$A$5:$A$504,0)),"미매핑"))</f>
        <v/>
      </c>
      <c r="O535" s="9">
        <f>IF($A535="","",N535&amp;"|"&amp;$F535)</f>
        <v/>
      </c>
      <c r="P535" s="94">
        <f>IF($A535="",0,$H535*설정!$C$23)</f>
        <v/>
      </c>
      <c r="Q535" s="64">
        <f>IF($A535="","",IF(O535&lt;&gt;원인분석!$C$9,"",IF(AND(M535&gt;=원인분석!$C$10,M535&lt;=원인분석!$C$11),"당기",IF(AND(M535&gt;=원인분석!$C$12,M535&lt;=원인분석!$C$13),"비교",""))))</f>
        <v/>
      </c>
      <c r="R535" s="9">
        <f>IF(Q535="","",$K535&amp;"")</f>
        <v/>
      </c>
      <c r="S535" s="9">
        <f>IF(Q535="","",IF(MATCH(R535,$R$5:$R$100000,0)=ROW()-4,ROW(),""))</f>
        <v/>
      </c>
      <c r="T535" s="9">
        <f>IF(Q535="당기",ABS(P535)+ROW()/1000000000,"")</f>
        <v/>
      </c>
      <c r="U535" s="9">
        <f>IF(Q535="비교",ABS(P535)+ROW()/1000000000,"")</f>
        <v/>
      </c>
      <c r="V535" s="64">
        <f>IF($A535="","",IF(COUNTIF(변동분석!$E$7:$E$506,O535)&gt;0,"Y","N"))</f>
        <v/>
      </c>
      <c r="W535" s="64">
        <f>IF($A535="","",IFERROR(INDEX(계정매핑!$D$5:$D$504,MATCH($F535&amp;"",계정매핑!$A$5:$A$504,0)),"미매핑"))</f>
        <v/>
      </c>
      <c r="X535" s="9">
        <f>IF($A535="","",$F535&amp;"")</f>
        <v/>
      </c>
      <c r="Y535" s="94">
        <f>IF($A535="",0,IF(AE535="직접",IF(AF535="비귀속",$P535,0),$P535*(1-AG535)*IFERROR(INDEX(계정대체기준!$F$20:$F$49,MATCH($N535,계정대체기준!$A$20:$A$49,0)),1)))</f>
        <v/>
      </c>
      <c r="Z535" s="94">
        <f>IF($A535="",0,IF(AE535="직접",IF(AF535="신계약비",$P535,0),$P535*(1-AG535)*IFERROR(INDEX(계정대체기준!$C$20:$C$49,MATCH($N535,계정대체기준!$A$20:$A$49,0)),0)))</f>
        <v/>
      </c>
      <c r="AA535" s="94">
        <f>IF($A535="",0,IF(AE535="직접",IF(OR(AF535="유지비",AF535="손해조사비"),$P535,0),$P535*(1-AG535)*IFERROR(INDEX(계정대체기준!$D$20:$D$49,MATCH($N535,계정대체기준!$A$20:$A$49,0)),0)))</f>
        <v/>
      </c>
      <c r="AB535" s="94">
        <f>IF($A535="",0,IF(AE535="직접",IF(AF535="수금비",$P535,0),$P535*(1-AG535)*IFERROR(INDEX(계정대체기준!$E$20:$E$49,MATCH($N535,계정대체기준!$A$20:$A$49,0)),0)))</f>
        <v/>
      </c>
      <c r="AC535" s="9">
        <f>IF(AND($A535&lt;&gt;"",M535=설정!$C$20,Z535&gt;0),Z535+ROW()/1000000000,"")</f>
        <v/>
      </c>
      <c r="AD535" s="94">
        <f>IF($A535="",0,$P535*AG535)</f>
        <v/>
      </c>
      <c r="AE535" s="64">
        <f>IF($A535="","",IFERROR(INDEX(계정매핑!$E$5:$E$504,MATCH($F535&amp;"",계정매핑!$A$5:$A$504,0))&amp;"","공통비"))</f>
        <v/>
      </c>
      <c r="AF535" s="64">
        <f>IF($A535="","",IF(AE535="직접",IFERROR(INDEX(계정매핑!$F$5:$F$504,MATCH($F535&amp;"",계정매핑!$A$5:$A$504,0))&amp;"","비귀속"),""))</f>
        <v/>
      </c>
      <c r="AG535" s="96">
        <f>IF($A535="",0,IF(AND(AE535&lt;&gt;"직접",IFERROR(INDEX(계정매핑!$G$5:$G$504,MATCH($F535&amp;"",계정매핑!$A$5:$A$504,0))&amp;"","")="유지비",COUNTIF(계정대체기준!$A$6:$A$15,$N535)&gt;0),IFERROR(INDEX(계정대체기준!$E$6:$E$15,MATCH(VALUE($A535&amp;""),계정대체기준!$D$6:$D$15,0)),0),0))</f>
        <v/>
      </c>
      <c r="AH535" s="64">
        <f>IF($A535="","",IF(AD535=0,"",IF(OR(COUNTIF(계정대체기준!$A$77:$A$86,$N535)&gt;0,ISNUMBER(MATCH($X535,계정대체기준!$D$77:$D$86,0)),ISNUMBER(MATCH($F535,계정대체기준!$D$77:$D$86,0))),"Y","N")))</f>
        <v/>
      </c>
    </row>
    <row r="536">
      <c r="A536" s="92" t="n">
        <v>2025</v>
      </c>
      <c r="B536" s="92" t="n">
        <v>3</v>
      </c>
      <c r="C536" s="92" t="inlineStr">
        <is>
          <t>5100000532</t>
        </is>
      </c>
      <c r="D536" s="95" t="n">
        <v>45725</v>
      </c>
      <c r="E536" s="92" t="inlineStr">
        <is>
          <t>KR</t>
        </is>
      </c>
      <c r="F536" s="92" t="n">
        <v>62101000</v>
      </c>
      <c r="G536" s="92" t="n">
        <v>1601</v>
      </c>
      <c r="H536" s="93" t="n">
        <v>1551000</v>
      </c>
      <c r="I536" s="92" t="inlineStr">
        <is>
          <t>3월 국내출장 - (법인카드)</t>
        </is>
      </c>
      <c r="J536" s="92" t="inlineStr">
        <is>
          <t>V10010</t>
        </is>
      </c>
      <c r="K536" s="92" t="inlineStr">
        <is>
          <t>(법인카드)</t>
        </is>
      </c>
      <c r="M536" s="9">
        <f>IF($A536="","",VALUE($A536&amp;"")*12+VALUE($B536&amp;""))</f>
        <v/>
      </c>
      <c r="N536" s="64">
        <f>IF($A536="","",IFERROR(INDEX(부서매핑!$C$5:$C$504,MATCH($G536&amp;"",부서매핑!$A$5:$A$504,0)),"미매핑"))</f>
        <v/>
      </c>
      <c r="O536" s="9">
        <f>IF($A536="","",N536&amp;"|"&amp;$F536)</f>
        <v/>
      </c>
      <c r="P536" s="94">
        <f>IF($A536="",0,$H536*설정!$C$23)</f>
        <v/>
      </c>
      <c r="Q536" s="64">
        <f>IF($A536="","",IF(O536&lt;&gt;원인분석!$C$9,"",IF(AND(M536&gt;=원인분석!$C$10,M536&lt;=원인분석!$C$11),"당기",IF(AND(M536&gt;=원인분석!$C$12,M536&lt;=원인분석!$C$13),"비교",""))))</f>
        <v/>
      </c>
      <c r="R536" s="9">
        <f>IF(Q536="","",$K536&amp;"")</f>
        <v/>
      </c>
      <c r="S536" s="9">
        <f>IF(Q536="","",IF(MATCH(R536,$R$5:$R$100000,0)=ROW()-4,ROW(),""))</f>
        <v/>
      </c>
      <c r="T536" s="9">
        <f>IF(Q536="당기",ABS(P536)+ROW()/1000000000,"")</f>
        <v/>
      </c>
      <c r="U536" s="9">
        <f>IF(Q536="비교",ABS(P536)+ROW()/1000000000,"")</f>
        <v/>
      </c>
      <c r="V536" s="64">
        <f>IF($A536="","",IF(COUNTIF(변동분석!$E$7:$E$506,O536)&gt;0,"Y","N"))</f>
        <v/>
      </c>
      <c r="W536" s="64">
        <f>IF($A536="","",IFERROR(INDEX(계정매핑!$D$5:$D$504,MATCH($F536&amp;"",계정매핑!$A$5:$A$504,0)),"미매핑"))</f>
        <v/>
      </c>
      <c r="X536" s="9">
        <f>IF($A536="","",$F536&amp;"")</f>
        <v/>
      </c>
      <c r="Y536" s="94">
        <f>IF($A536="",0,IF(AE536="직접",IF(AF536="비귀속",$P536,0),$P536*(1-AG536)*IFERROR(INDEX(계정대체기준!$F$20:$F$49,MATCH($N536,계정대체기준!$A$20:$A$49,0)),1)))</f>
        <v/>
      </c>
      <c r="Z536" s="94">
        <f>IF($A536="",0,IF(AE536="직접",IF(AF536="신계약비",$P536,0),$P536*(1-AG536)*IFERROR(INDEX(계정대체기준!$C$20:$C$49,MATCH($N536,계정대체기준!$A$20:$A$49,0)),0)))</f>
        <v/>
      </c>
      <c r="AA536" s="94">
        <f>IF($A536="",0,IF(AE536="직접",IF(OR(AF536="유지비",AF536="손해조사비"),$P536,0),$P536*(1-AG536)*IFERROR(INDEX(계정대체기준!$D$20:$D$49,MATCH($N536,계정대체기준!$A$20:$A$49,0)),0)))</f>
        <v/>
      </c>
      <c r="AB536" s="94">
        <f>IF($A536="",0,IF(AE536="직접",IF(AF536="수금비",$P536,0),$P536*(1-AG536)*IFERROR(INDEX(계정대체기준!$E$20:$E$49,MATCH($N536,계정대체기준!$A$20:$A$49,0)),0)))</f>
        <v/>
      </c>
      <c r="AC536" s="9">
        <f>IF(AND($A536&lt;&gt;"",M536=설정!$C$20,Z536&gt;0),Z536+ROW()/1000000000,"")</f>
        <v/>
      </c>
      <c r="AD536" s="94">
        <f>IF($A536="",0,$P536*AG536)</f>
        <v/>
      </c>
      <c r="AE536" s="64">
        <f>IF($A536="","",IFERROR(INDEX(계정매핑!$E$5:$E$504,MATCH($F536&amp;"",계정매핑!$A$5:$A$504,0))&amp;"","공통비"))</f>
        <v/>
      </c>
      <c r="AF536" s="64">
        <f>IF($A536="","",IF(AE536="직접",IFERROR(INDEX(계정매핑!$F$5:$F$504,MATCH($F536&amp;"",계정매핑!$A$5:$A$504,0))&amp;"","비귀속"),""))</f>
        <v/>
      </c>
      <c r="AG536" s="96">
        <f>IF($A536="",0,IF(AND(AE536&lt;&gt;"직접",IFERROR(INDEX(계정매핑!$G$5:$G$504,MATCH($F536&amp;"",계정매핑!$A$5:$A$504,0))&amp;"","")="유지비",COUNTIF(계정대체기준!$A$6:$A$15,$N536)&gt;0),IFERROR(INDEX(계정대체기준!$E$6:$E$15,MATCH(VALUE($A536&amp;""),계정대체기준!$D$6:$D$15,0)),0),0))</f>
        <v/>
      </c>
      <c r="AH536" s="64">
        <f>IF($A536="","",IF(AD536=0,"",IF(OR(COUNTIF(계정대체기준!$A$77:$A$86,$N536)&gt;0,ISNUMBER(MATCH($X536,계정대체기준!$D$77:$D$86,0)),ISNUMBER(MATCH($F536,계정대체기준!$D$77:$D$86,0))),"Y","N")))</f>
        <v/>
      </c>
    </row>
    <row r="537">
      <c r="A537" s="92" t="n">
        <v>2025</v>
      </c>
      <c r="B537" s="92" t="n">
        <v>3</v>
      </c>
      <c r="C537" s="92" t="inlineStr">
        <is>
          <t>5100000533</t>
        </is>
      </c>
      <c r="D537" s="95" t="n">
        <v>45725</v>
      </c>
      <c r="E537" s="92" t="inlineStr">
        <is>
          <t>KR</t>
        </is>
      </c>
      <c r="F537" s="92" t="n">
        <v>62102000</v>
      </c>
      <c r="G537" s="92" t="n">
        <v>1301</v>
      </c>
      <c r="H537" s="93" t="n">
        <v>87000</v>
      </c>
      <c r="I537" s="92" t="inlineStr">
        <is>
          <t>3월 해외출장 - N호텔</t>
        </is>
      </c>
      <c r="J537" s="92" t="inlineStr">
        <is>
          <t>V10009</t>
        </is>
      </c>
      <c r="K537" s="92" t="inlineStr">
        <is>
          <t>N호텔</t>
        </is>
      </c>
      <c r="M537" s="9">
        <f>IF($A537="","",VALUE($A537&amp;"")*12+VALUE($B537&amp;""))</f>
        <v/>
      </c>
      <c r="N537" s="64">
        <f>IF($A537="","",IFERROR(INDEX(부서매핑!$C$5:$C$504,MATCH($G537&amp;"",부서매핑!$A$5:$A$504,0)),"미매핑"))</f>
        <v/>
      </c>
      <c r="O537" s="9">
        <f>IF($A537="","",N537&amp;"|"&amp;$F537)</f>
        <v/>
      </c>
      <c r="P537" s="94">
        <f>IF($A537="",0,$H537*설정!$C$23)</f>
        <v/>
      </c>
      <c r="Q537" s="64">
        <f>IF($A537="","",IF(O537&lt;&gt;원인분석!$C$9,"",IF(AND(M537&gt;=원인분석!$C$10,M537&lt;=원인분석!$C$11),"당기",IF(AND(M537&gt;=원인분석!$C$12,M537&lt;=원인분석!$C$13),"비교",""))))</f>
        <v/>
      </c>
      <c r="R537" s="9">
        <f>IF(Q537="","",$K537&amp;"")</f>
        <v/>
      </c>
      <c r="S537" s="9">
        <f>IF(Q537="","",IF(MATCH(R537,$R$5:$R$100000,0)=ROW()-4,ROW(),""))</f>
        <v/>
      </c>
      <c r="T537" s="9">
        <f>IF(Q537="당기",ABS(P537)+ROW()/1000000000,"")</f>
        <v/>
      </c>
      <c r="U537" s="9">
        <f>IF(Q537="비교",ABS(P537)+ROW()/1000000000,"")</f>
        <v/>
      </c>
      <c r="V537" s="64">
        <f>IF($A537="","",IF(COUNTIF(변동분석!$E$7:$E$506,O537)&gt;0,"Y","N"))</f>
        <v/>
      </c>
      <c r="W537" s="64">
        <f>IF($A537="","",IFERROR(INDEX(계정매핑!$D$5:$D$504,MATCH($F537&amp;"",계정매핑!$A$5:$A$504,0)),"미매핑"))</f>
        <v/>
      </c>
      <c r="X537" s="9">
        <f>IF($A537="","",$F537&amp;"")</f>
        <v/>
      </c>
      <c r="Y537" s="94">
        <f>IF($A537="",0,IF(AE537="직접",IF(AF537="비귀속",$P537,0),$P537*(1-AG537)*IFERROR(INDEX(계정대체기준!$F$20:$F$49,MATCH($N537,계정대체기준!$A$20:$A$49,0)),1)))</f>
        <v/>
      </c>
      <c r="Z537" s="94">
        <f>IF($A537="",0,IF(AE537="직접",IF(AF537="신계약비",$P537,0),$P537*(1-AG537)*IFERROR(INDEX(계정대체기준!$C$20:$C$49,MATCH($N537,계정대체기준!$A$20:$A$49,0)),0)))</f>
        <v/>
      </c>
      <c r="AA537" s="94">
        <f>IF($A537="",0,IF(AE537="직접",IF(OR(AF537="유지비",AF537="손해조사비"),$P537,0),$P537*(1-AG537)*IFERROR(INDEX(계정대체기준!$D$20:$D$49,MATCH($N537,계정대체기준!$A$20:$A$49,0)),0)))</f>
        <v/>
      </c>
      <c r="AB537" s="94">
        <f>IF($A537="",0,IF(AE537="직접",IF(AF537="수금비",$P537,0),$P537*(1-AG537)*IFERROR(INDEX(계정대체기준!$E$20:$E$49,MATCH($N537,계정대체기준!$A$20:$A$49,0)),0)))</f>
        <v/>
      </c>
      <c r="AC537" s="9">
        <f>IF(AND($A537&lt;&gt;"",M537=설정!$C$20,Z537&gt;0),Z537+ROW()/1000000000,"")</f>
        <v/>
      </c>
      <c r="AD537" s="94">
        <f>IF($A537="",0,$P537*AG537)</f>
        <v/>
      </c>
      <c r="AE537" s="64">
        <f>IF($A537="","",IFERROR(INDEX(계정매핑!$E$5:$E$504,MATCH($F537&amp;"",계정매핑!$A$5:$A$504,0))&amp;"","공통비"))</f>
        <v/>
      </c>
      <c r="AF537" s="64">
        <f>IF($A537="","",IF(AE537="직접",IFERROR(INDEX(계정매핑!$F$5:$F$504,MATCH($F537&amp;"",계정매핑!$A$5:$A$504,0))&amp;"","비귀속"),""))</f>
        <v/>
      </c>
      <c r="AG537" s="96">
        <f>IF($A537="",0,IF(AND(AE537&lt;&gt;"직접",IFERROR(INDEX(계정매핑!$G$5:$G$504,MATCH($F537&amp;"",계정매핑!$A$5:$A$504,0))&amp;"","")="유지비",COUNTIF(계정대체기준!$A$6:$A$15,$N537)&gt;0),IFERROR(INDEX(계정대체기준!$E$6:$E$15,MATCH(VALUE($A537&amp;""),계정대체기준!$D$6:$D$15,0)),0),0))</f>
        <v/>
      </c>
      <c r="AH537" s="64">
        <f>IF($A537="","",IF(AD537=0,"",IF(OR(COUNTIF(계정대체기준!$A$77:$A$86,$N537)&gt;0,ISNUMBER(MATCH($X537,계정대체기준!$D$77:$D$86,0)),ISNUMBER(MATCH($F537,계정대체기준!$D$77:$D$86,0))),"Y","N")))</f>
        <v/>
      </c>
    </row>
    <row r="538">
      <c r="A538" s="92" t="n">
        <v>2025</v>
      </c>
      <c r="B538" s="92" t="n">
        <v>3</v>
      </c>
      <c r="C538" s="92" t="inlineStr">
        <is>
          <t>5100000534</t>
        </is>
      </c>
      <c r="D538" s="95" t="n">
        <v>45725</v>
      </c>
      <c r="E538" s="92" t="inlineStr">
        <is>
          <t>KR</t>
        </is>
      </c>
      <c r="F538" s="92" t="n">
        <v>62201000</v>
      </c>
      <c r="G538" s="92" t="n">
        <v>1201</v>
      </c>
      <c r="H538" s="93" t="n">
        <v>221000</v>
      </c>
      <c r="I538" s="92" t="inlineStr">
        <is>
          <t>3월 통신요금 - O텔레콤</t>
        </is>
      </c>
      <c r="J538" s="92" t="inlineStr">
        <is>
          <t>V10002</t>
        </is>
      </c>
      <c r="K538" s="92" t="inlineStr">
        <is>
          <t>O텔레콤</t>
        </is>
      </c>
      <c r="M538" s="9">
        <f>IF($A538="","",VALUE($A538&amp;"")*12+VALUE($B538&amp;""))</f>
        <v/>
      </c>
      <c r="N538" s="64">
        <f>IF($A538="","",IFERROR(INDEX(부서매핑!$C$5:$C$504,MATCH($G538&amp;"",부서매핑!$A$5:$A$504,0)),"미매핑"))</f>
        <v/>
      </c>
      <c r="O538" s="9">
        <f>IF($A538="","",N538&amp;"|"&amp;$F538)</f>
        <v/>
      </c>
      <c r="P538" s="94">
        <f>IF($A538="",0,$H538*설정!$C$23)</f>
        <v/>
      </c>
      <c r="Q538" s="64">
        <f>IF($A538="","",IF(O538&lt;&gt;원인분석!$C$9,"",IF(AND(M538&gt;=원인분석!$C$10,M538&lt;=원인분석!$C$11),"당기",IF(AND(M538&gt;=원인분석!$C$12,M538&lt;=원인분석!$C$13),"비교",""))))</f>
        <v/>
      </c>
      <c r="R538" s="9">
        <f>IF(Q538="","",$K538&amp;"")</f>
        <v/>
      </c>
      <c r="S538" s="9">
        <f>IF(Q538="","",IF(MATCH(R538,$R$5:$R$100000,0)=ROW()-4,ROW(),""))</f>
        <v/>
      </c>
      <c r="T538" s="9">
        <f>IF(Q538="당기",ABS(P538)+ROW()/1000000000,"")</f>
        <v/>
      </c>
      <c r="U538" s="9">
        <f>IF(Q538="비교",ABS(P538)+ROW()/1000000000,"")</f>
        <v/>
      </c>
      <c r="V538" s="64">
        <f>IF($A538="","",IF(COUNTIF(변동분석!$E$7:$E$506,O538)&gt;0,"Y","N"))</f>
        <v/>
      </c>
      <c r="W538" s="64">
        <f>IF($A538="","",IFERROR(INDEX(계정매핑!$D$5:$D$504,MATCH($F538&amp;"",계정매핑!$A$5:$A$504,0)),"미매핑"))</f>
        <v/>
      </c>
      <c r="X538" s="9">
        <f>IF($A538="","",$F538&amp;"")</f>
        <v/>
      </c>
      <c r="Y538" s="94">
        <f>IF($A538="",0,IF(AE538="직접",IF(AF538="비귀속",$P538,0),$P538*(1-AG538)*IFERROR(INDEX(계정대체기준!$F$20:$F$49,MATCH($N538,계정대체기준!$A$20:$A$49,0)),1)))</f>
        <v/>
      </c>
      <c r="Z538" s="94">
        <f>IF($A538="",0,IF(AE538="직접",IF(AF538="신계약비",$P538,0),$P538*(1-AG538)*IFERROR(INDEX(계정대체기준!$C$20:$C$49,MATCH($N538,계정대체기준!$A$20:$A$49,0)),0)))</f>
        <v/>
      </c>
      <c r="AA538" s="94">
        <f>IF($A538="",0,IF(AE538="직접",IF(OR(AF538="유지비",AF538="손해조사비"),$P538,0),$P538*(1-AG538)*IFERROR(INDEX(계정대체기준!$D$20:$D$49,MATCH($N538,계정대체기준!$A$20:$A$49,0)),0)))</f>
        <v/>
      </c>
      <c r="AB538" s="94">
        <f>IF($A538="",0,IF(AE538="직접",IF(AF538="수금비",$P538,0),$P538*(1-AG538)*IFERROR(INDEX(계정대체기준!$E$20:$E$49,MATCH($N538,계정대체기준!$A$20:$A$49,0)),0)))</f>
        <v/>
      </c>
      <c r="AC538" s="9">
        <f>IF(AND($A538&lt;&gt;"",M538=설정!$C$20,Z538&gt;0),Z538+ROW()/1000000000,"")</f>
        <v/>
      </c>
      <c r="AD538" s="94">
        <f>IF($A538="",0,$P538*AG538)</f>
        <v/>
      </c>
      <c r="AE538" s="64">
        <f>IF($A538="","",IFERROR(INDEX(계정매핑!$E$5:$E$504,MATCH($F538&amp;"",계정매핑!$A$5:$A$504,0))&amp;"","공통비"))</f>
        <v/>
      </c>
      <c r="AF538" s="64">
        <f>IF($A538="","",IF(AE538="직접",IFERROR(INDEX(계정매핑!$F$5:$F$504,MATCH($F538&amp;"",계정매핑!$A$5:$A$504,0))&amp;"","비귀속"),""))</f>
        <v/>
      </c>
      <c r="AG538" s="96">
        <f>IF($A538="",0,IF(AND(AE538&lt;&gt;"직접",IFERROR(INDEX(계정매핑!$G$5:$G$504,MATCH($F538&amp;"",계정매핑!$A$5:$A$504,0))&amp;"","")="유지비",COUNTIF(계정대체기준!$A$6:$A$15,$N538)&gt;0),IFERROR(INDEX(계정대체기준!$E$6:$E$15,MATCH(VALUE($A538&amp;""),계정대체기준!$D$6:$D$15,0)),0),0))</f>
        <v/>
      </c>
      <c r="AH538" s="64">
        <f>IF($A538="","",IF(AD538=0,"",IF(OR(COUNTIF(계정대체기준!$A$77:$A$86,$N538)&gt;0,ISNUMBER(MATCH($X538,계정대체기준!$D$77:$D$86,0)),ISNUMBER(MATCH($F538,계정대체기준!$D$77:$D$86,0))),"Y","N")))</f>
        <v/>
      </c>
    </row>
    <row r="539">
      <c r="A539" s="92" t="n">
        <v>2025</v>
      </c>
      <c r="B539" s="92" t="n">
        <v>3</v>
      </c>
      <c r="C539" s="92" t="inlineStr">
        <is>
          <t>5100000535</t>
        </is>
      </c>
      <c r="D539" s="95" t="n">
        <v>45725</v>
      </c>
      <c r="E539" s="92" t="inlineStr">
        <is>
          <t>KR</t>
        </is>
      </c>
      <c r="F539" s="92" t="n">
        <v>62301000</v>
      </c>
      <c r="G539" s="92" t="n">
        <v>1201</v>
      </c>
      <c r="H539" s="93" t="n">
        <v>198000</v>
      </c>
      <c r="I539" s="92" t="inlineStr">
        <is>
          <t>3월 소모품 구입 - R문구</t>
        </is>
      </c>
      <c r="J539" s="92" t="inlineStr">
        <is>
          <t>V10022</t>
        </is>
      </c>
      <c r="K539" s="92" t="inlineStr">
        <is>
          <t>R문구</t>
        </is>
      </c>
      <c r="M539" s="9">
        <f>IF($A539="","",VALUE($A539&amp;"")*12+VALUE($B539&amp;""))</f>
        <v/>
      </c>
      <c r="N539" s="64">
        <f>IF($A539="","",IFERROR(INDEX(부서매핑!$C$5:$C$504,MATCH($G539&amp;"",부서매핑!$A$5:$A$504,0)),"미매핑"))</f>
        <v/>
      </c>
      <c r="O539" s="9">
        <f>IF($A539="","",N539&amp;"|"&amp;$F539)</f>
        <v/>
      </c>
      <c r="P539" s="94">
        <f>IF($A539="",0,$H539*설정!$C$23)</f>
        <v/>
      </c>
      <c r="Q539" s="64">
        <f>IF($A539="","",IF(O539&lt;&gt;원인분석!$C$9,"",IF(AND(M539&gt;=원인분석!$C$10,M539&lt;=원인분석!$C$11),"당기",IF(AND(M539&gt;=원인분석!$C$12,M539&lt;=원인분석!$C$13),"비교",""))))</f>
        <v/>
      </c>
      <c r="R539" s="9">
        <f>IF(Q539="","",$K539&amp;"")</f>
        <v/>
      </c>
      <c r="S539" s="9">
        <f>IF(Q539="","",IF(MATCH(R539,$R$5:$R$100000,0)=ROW()-4,ROW(),""))</f>
        <v/>
      </c>
      <c r="T539" s="9">
        <f>IF(Q539="당기",ABS(P539)+ROW()/1000000000,"")</f>
        <v/>
      </c>
      <c r="U539" s="9">
        <f>IF(Q539="비교",ABS(P539)+ROW()/1000000000,"")</f>
        <v/>
      </c>
      <c r="V539" s="64">
        <f>IF($A539="","",IF(COUNTIF(변동분석!$E$7:$E$506,O539)&gt;0,"Y","N"))</f>
        <v/>
      </c>
      <c r="W539" s="64">
        <f>IF($A539="","",IFERROR(INDEX(계정매핑!$D$5:$D$504,MATCH($F539&amp;"",계정매핑!$A$5:$A$504,0)),"미매핑"))</f>
        <v/>
      </c>
      <c r="X539" s="9">
        <f>IF($A539="","",$F539&amp;"")</f>
        <v/>
      </c>
      <c r="Y539" s="94">
        <f>IF($A539="",0,IF(AE539="직접",IF(AF539="비귀속",$P539,0),$P539*(1-AG539)*IFERROR(INDEX(계정대체기준!$F$20:$F$49,MATCH($N539,계정대체기준!$A$20:$A$49,0)),1)))</f>
        <v/>
      </c>
      <c r="Z539" s="94">
        <f>IF($A539="",0,IF(AE539="직접",IF(AF539="신계약비",$P539,0),$P539*(1-AG539)*IFERROR(INDEX(계정대체기준!$C$20:$C$49,MATCH($N539,계정대체기준!$A$20:$A$49,0)),0)))</f>
        <v/>
      </c>
      <c r="AA539" s="94">
        <f>IF($A539="",0,IF(AE539="직접",IF(OR(AF539="유지비",AF539="손해조사비"),$P539,0),$P539*(1-AG539)*IFERROR(INDEX(계정대체기준!$D$20:$D$49,MATCH($N539,계정대체기준!$A$20:$A$49,0)),0)))</f>
        <v/>
      </c>
      <c r="AB539" s="94">
        <f>IF($A539="",0,IF(AE539="직접",IF(AF539="수금비",$P539,0),$P539*(1-AG539)*IFERROR(INDEX(계정대체기준!$E$20:$E$49,MATCH($N539,계정대체기준!$A$20:$A$49,0)),0)))</f>
        <v/>
      </c>
      <c r="AC539" s="9">
        <f>IF(AND($A539&lt;&gt;"",M539=설정!$C$20,Z539&gt;0),Z539+ROW()/1000000000,"")</f>
        <v/>
      </c>
      <c r="AD539" s="94">
        <f>IF($A539="",0,$P539*AG539)</f>
        <v/>
      </c>
      <c r="AE539" s="64">
        <f>IF($A539="","",IFERROR(INDEX(계정매핑!$E$5:$E$504,MATCH($F539&amp;"",계정매핑!$A$5:$A$504,0))&amp;"","공통비"))</f>
        <v/>
      </c>
      <c r="AF539" s="64">
        <f>IF($A539="","",IF(AE539="직접",IFERROR(INDEX(계정매핑!$F$5:$F$504,MATCH($F539&amp;"",계정매핑!$A$5:$A$504,0))&amp;"","비귀속"),""))</f>
        <v/>
      </c>
      <c r="AG539" s="96">
        <f>IF($A539="",0,IF(AND(AE539&lt;&gt;"직접",IFERROR(INDEX(계정매핑!$G$5:$G$504,MATCH($F539&amp;"",계정매핑!$A$5:$A$504,0))&amp;"","")="유지비",COUNTIF(계정대체기준!$A$6:$A$15,$N539)&gt;0),IFERROR(INDEX(계정대체기준!$E$6:$E$15,MATCH(VALUE($A539&amp;""),계정대체기준!$D$6:$D$15,0)),0),0))</f>
        <v/>
      </c>
      <c r="AH539" s="64">
        <f>IF($A539="","",IF(AD539=0,"",IF(OR(COUNTIF(계정대체기준!$A$77:$A$86,$N539)&gt;0,ISNUMBER(MATCH($X539,계정대체기준!$D$77:$D$86,0)),ISNUMBER(MATCH($F539,계정대체기준!$D$77:$D$86,0))),"Y","N")))</f>
        <v/>
      </c>
    </row>
    <row r="540">
      <c r="A540" s="92" t="n">
        <v>2025</v>
      </c>
      <c r="B540" s="92" t="n">
        <v>3</v>
      </c>
      <c r="C540" s="92" t="inlineStr">
        <is>
          <t>5100000536</t>
        </is>
      </c>
      <c r="D540" s="95" t="n">
        <v>45725</v>
      </c>
      <c r="E540" s="92" t="inlineStr">
        <is>
          <t>KR</t>
        </is>
      </c>
      <c r="F540" s="92" t="n">
        <v>62801000</v>
      </c>
      <c r="G540" s="92" t="n">
        <v>1301</v>
      </c>
      <c r="H540" s="93" t="n">
        <v>2614000</v>
      </c>
      <c r="I540" s="92" t="inlineStr">
        <is>
          <t>3월 사내교육 - (사내강사료)</t>
        </is>
      </c>
      <c r="J540" s="92" t="inlineStr">
        <is>
          <t>V10024</t>
        </is>
      </c>
      <c r="K540" s="92" t="inlineStr">
        <is>
          <t>(사내강사료)</t>
        </is>
      </c>
      <c r="M540" s="9">
        <f>IF($A540="","",VALUE($A540&amp;"")*12+VALUE($B540&amp;""))</f>
        <v/>
      </c>
      <c r="N540" s="64">
        <f>IF($A540="","",IFERROR(INDEX(부서매핑!$C$5:$C$504,MATCH($G540&amp;"",부서매핑!$A$5:$A$504,0)),"미매핑"))</f>
        <v/>
      </c>
      <c r="O540" s="9">
        <f>IF($A540="","",N540&amp;"|"&amp;$F540)</f>
        <v/>
      </c>
      <c r="P540" s="94">
        <f>IF($A540="",0,$H540*설정!$C$23)</f>
        <v/>
      </c>
      <c r="Q540" s="64">
        <f>IF($A540="","",IF(O540&lt;&gt;원인분석!$C$9,"",IF(AND(M540&gt;=원인분석!$C$10,M540&lt;=원인분석!$C$11),"당기",IF(AND(M540&gt;=원인분석!$C$12,M540&lt;=원인분석!$C$13),"비교",""))))</f>
        <v/>
      </c>
      <c r="R540" s="9">
        <f>IF(Q540="","",$K540&amp;"")</f>
        <v/>
      </c>
      <c r="S540" s="9">
        <f>IF(Q540="","",IF(MATCH(R540,$R$5:$R$100000,0)=ROW()-4,ROW(),""))</f>
        <v/>
      </c>
      <c r="T540" s="9">
        <f>IF(Q540="당기",ABS(P540)+ROW()/1000000000,"")</f>
        <v/>
      </c>
      <c r="U540" s="9">
        <f>IF(Q540="비교",ABS(P540)+ROW()/1000000000,"")</f>
        <v/>
      </c>
      <c r="V540" s="64">
        <f>IF($A540="","",IF(COUNTIF(변동분석!$E$7:$E$506,O540)&gt;0,"Y","N"))</f>
        <v/>
      </c>
      <c r="W540" s="64">
        <f>IF($A540="","",IFERROR(INDEX(계정매핑!$D$5:$D$504,MATCH($F540&amp;"",계정매핑!$A$5:$A$504,0)),"미매핑"))</f>
        <v/>
      </c>
      <c r="X540" s="9">
        <f>IF($A540="","",$F540&amp;"")</f>
        <v/>
      </c>
      <c r="Y540" s="94">
        <f>IF($A540="",0,IF(AE540="직접",IF(AF540="비귀속",$P540,0),$P540*(1-AG540)*IFERROR(INDEX(계정대체기준!$F$20:$F$49,MATCH($N540,계정대체기준!$A$20:$A$49,0)),1)))</f>
        <v/>
      </c>
      <c r="Z540" s="94">
        <f>IF($A540="",0,IF(AE540="직접",IF(AF540="신계약비",$P540,0),$P540*(1-AG540)*IFERROR(INDEX(계정대체기준!$C$20:$C$49,MATCH($N540,계정대체기준!$A$20:$A$49,0)),0)))</f>
        <v/>
      </c>
      <c r="AA540" s="94">
        <f>IF($A540="",0,IF(AE540="직접",IF(OR(AF540="유지비",AF540="손해조사비"),$P540,0),$P540*(1-AG540)*IFERROR(INDEX(계정대체기준!$D$20:$D$49,MATCH($N540,계정대체기준!$A$20:$A$49,0)),0)))</f>
        <v/>
      </c>
      <c r="AB540" s="94">
        <f>IF($A540="",0,IF(AE540="직접",IF(AF540="수금비",$P540,0),$P540*(1-AG540)*IFERROR(INDEX(계정대체기준!$E$20:$E$49,MATCH($N540,계정대체기준!$A$20:$A$49,0)),0)))</f>
        <v/>
      </c>
      <c r="AC540" s="9">
        <f>IF(AND($A540&lt;&gt;"",M540=설정!$C$20,Z540&gt;0),Z540+ROW()/1000000000,"")</f>
        <v/>
      </c>
      <c r="AD540" s="94">
        <f>IF($A540="",0,$P540*AG540)</f>
        <v/>
      </c>
      <c r="AE540" s="64">
        <f>IF($A540="","",IFERROR(INDEX(계정매핑!$E$5:$E$504,MATCH($F540&amp;"",계정매핑!$A$5:$A$504,0))&amp;"","공통비"))</f>
        <v/>
      </c>
      <c r="AF540" s="64">
        <f>IF($A540="","",IF(AE540="직접",IFERROR(INDEX(계정매핑!$F$5:$F$504,MATCH($F540&amp;"",계정매핑!$A$5:$A$504,0))&amp;"","비귀속"),""))</f>
        <v/>
      </c>
      <c r="AG540" s="96">
        <f>IF($A540="",0,IF(AND(AE540&lt;&gt;"직접",IFERROR(INDEX(계정매핑!$G$5:$G$504,MATCH($F540&amp;"",계정매핑!$A$5:$A$504,0))&amp;"","")="유지비",COUNTIF(계정대체기준!$A$6:$A$15,$N540)&gt;0),IFERROR(INDEX(계정대체기준!$E$6:$E$15,MATCH(VALUE($A540&amp;""),계정대체기준!$D$6:$D$15,0)),0),0))</f>
        <v/>
      </c>
      <c r="AH540" s="64">
        <f>IF($A540="","",IF(AD540=0,"",IF(OR(COUNTIF(계정대체기준!$A$77:$A$86,$N540)&gt;0,ISNUMBER(MATCH($X540,계정대체기준!$D$77:$D$86,0)),ISNUMBER(MATCH($F540,계정대체기준!$D$77:$D$86,0))),"Y","N")))</f>
        <v/>
      </c>
    </row>
    <row r="541">
      <c r="A541" s="92" t="n">
        <v>2025</v>
      </c>
      <c r="B541" s="92" t="n">
        <v>3</v>
      </c>
      <c r="C541" s="92" t="inlineStr">
        <is>
          <t>5100000537</t>
        </is>
      </c>
      <c r="D541" s="95" t="n">
        <v>45725</v>
      </c>
      <c r="E541" s="92" t="inlineStr">
        <is>
          <t>KR</t>
        </is>
      </c>
      <c r="F541" s="92" t="n">
        <v>62901000</v>
      </c>
      <c r="G541" s="92" t="n">
        <v>1201</v>
      </c>
      <c r="H541" s="93" t="n">
        <v>12239000</v>
      </c>
      <c r="I541" s="92" t="inlineStr">
        <is>
          <t>3월 자문 수수료 - W컨설팅</t>
        </is>
      </c>
      <c r="J541" s="92" t="inlineStr">
        <is>
          <t>V10006</t>
        </is>
      </c>
      <c r="K541" s="92" t="inlineStr">
        <is>
          <t>W컨설팅</t>
        </is>
      </c>
      <c r="M541" s="9">
        <f>IF($A541="","",VALUE($A541&amp;"")*12+VALUE($B541&amp;""))</f>
        <v/>
      </c>
      <c r="N541" s="64">
        <f>IF($A541="","",IFERROR(INDEX(부서매핑!$C$5:$C$504,MATCH($G541&amp;"",부서매핑!$A$5:$A$504,0)),"미매핑"))</f>
        <v/>
      </c>
      <c r="O541" s="9">
        <f>IF($A541="","",N541&amp;"|"&amp;$F541)</f>
        <v/>
      </c>
      <c r="P541" s="94">
        <f>IF($A541="",0,$H541*설정!$C$23)</f>
        <v/>
      </c>
      <c r="Q541" s="64">
        <f>IF($A541="","",IF(O541&lt;&gt;원인분석!$C$9,"",IF(AND(M541&gt;=원인분석!$C$10,M541&lt;=원인분석!$C$11),"당기",IF(AND(M541&gt;=원인분석!$C$12,M541&lt;=원인분석!$C$13),"비교",""))))</f>
        <v/>
      </c>
      <c r="R541" s="9">
        <f>IF(Q541="","",$K541&amp;"")</f>
        <v/>
      </c>
      <c r="S541" s="9">
        <f>IF(Q541="","",IF(MATCH(R541,$R$5:$R$100000,0)=ROW()-4,ROW(),""))</f>
        <v/>
      </c>
      <c r="T541" s="9">
        <f>IF(Q541="당기",ABS(P541)+ROW()/1000000000,"")</f>
        <v/>
      </c>
      <c r="U541" s="9">
        <f>IF(Q541="비교",ABS(P541)+ROW()/1000000000,"")</f>
        <v/>
      </c>
      <c r="V541" s="64">
        <f>IF($A541="","",IF(COUNTIF(변동분석!$E$7:$E$506,O541)&gt;0,"Y","N"))</f>
        <v/>
      </c>
      <c r="W541" s="64">
        <f>IF($A541="","",IFERROR(INDEX(계정매핑!$D$5:$D$504,MATCH($F541&amp;"",계정매핑!$A$5:$A$504,0)),"미매핑"))</f>
        <v/>
      </c>
      <c r="X541" s="9">
        <f>IF($A541="","",$F541&amp;"")</f>
        <v/>
      </c>
      <c r="Y541" s="94">
        <f>IF($A541="",0,IF(AE541="직접",IF(AF541="비귀속",$P541,0),$P541*(1-AG541)*IFERROR(INDEX(계정대체기준!$F$20:$F$49,MATCH($N541,계정대체기준!$A$20:$A$49,0)),1)))</f>
        <v/>
      </c>
      <c r="Z541" s="94">
        <f>IF($A541="",0,IF(AE541="직접",IF(AF541="신계약비",$P541,0),$P541*(1-AG541)*IFERROR(INDEX(계정대체기준!$C$20:$C$49,MATCH($N541,계정대체기준!$A$20:$A$49,0)),0)))</f>
        <v/>
      </c>
      <c r="AA541" s="94">
        <f>IF($A541="",0,IF(AE541="직접",IF(OR(AF541="유지비",AF541="손해조사비"),$P541,0),$P541*(1-AG541)*IFERROR(INDEX(계정대체기준!$D$20:$D$49,MATCH($N541,계정대체기준!$A$20:$A$49,0)),0)))</f>
        <v/>
      </c>
      <c r="AB541" s="94">
        <f>IF($A541="",0,IF(AE541="직접",IF(AF541="수금비",$P541,0),$P541*(1-AG541)*IFERROR(INDEX(계정대체기준!$E$20:$E$49,MATCH($N541,계정대체기준!$A$20:$A$49,0)),0)))</f>
        <v/>
      </c>
      <c r="AC541" s="9">
        <f>IF(AND($A541&lt;&gt;"",M541=설정!$C$20,Z541&gt;0),Z541+ROW()/1000000000,"")</f>
        <v/>
      </c>
      <c r="AD541" s="94">
        <f>IF($A541="",0,$P541*AG541)</f>
        <v/>
      </c>
      <c r="AE541" s="64">
        <f>IF($A541="","",IFERROR(INDEX(계정매핑!$E$5:$E$504,MATCH($F541&amp;"",계정매핑!$A$5:$A$504,0))&amp;"","공통비"))</f>
        <v/>
      </c>
      <c r="AF541" s="64">
        <f>IF($A541="","",IF(AE541="직접",IFERROR(INDEX(계정매핑!$F$5:$F$504,MATCH($F541&amp;"",계정매핑!$A$5:$A$504,0))&amp;"","비귀속"),""))</f>
        <v/>
      </c>
      <c r="AG541" s="96">
        <f>IF($A541="",0,IF(AND(AE541&lt;&gt;"직접",IFERROR(INDEX(계정매핑!$G$5:$G$504,MATCH($F541&amp;"",계정매핑!$A$5:$A$504,0))&amp;"","")="유지비",COUNTIF(계정대체기준!$A$6:$A$15,$N541)&gt;0),IFERROR(INDEX(계정대체기준!$E$6:$E$15,MATCH(VALUE($A541&amp;""),계정대체기준!$D$6:$D$15,0)),0),0))</f>
        <v/>
      </c>
      <c r="AH541" s="64">
        <f>IF($A541="","",IF(AD541=0,"",IF(OR(COUNTIF(계정대체기준!$A$77:$A$86,$N541)&gt;0,ISNUMBER(MATCH($X541,계정대체기준!$D$77:$D$86,0)),ISNUMBER(MATCH($F541,계정대체기준!$D$77:$D$86,0))),"Y","N")))</f>
        <v/>
      </c>
    </row>
    <row r="542">
      <c r="A542" s="92" t="n">
        <v>2025</v>
      </c>
      <c r="B542" s="92" t="n">
        <v>3</v>
      </c>
      <c r="C542" s="92" t="inlineStr">
        <is>
          <t>5100000538</t>
        </is>
      </c>
      <c r="D542" s="95" t="n">
        <v>45725</v>
      </c>
      <c r="E542" s="92" t="inlineStr">
        <is>
          <t>KR</t>
        </is>
      </c>
      <c r="F542" s="92" t="n">
        <v>62901000</v>
      </c>
      <c r="G542" s="92" t="n">
        <v>1951</v>
      </c>
      <c r="H542" s="93" t="n">
        <v>4272000</v>
      </c>
      <c r="I542" s="92" t="inlineStr">
        <is>
          <t>3월 자문 수수료 - K회계법인</t>
        </is>
      </c>
      <c r="J542" s="92" t="inlineStr">
        <is>
          <t>V10011</t>
        </is>
      </c>
      <c r="K542" s="92" t="inlineStr">
        <is>
          <t>K회계법인</t>
        </is>
      </c>
      <c r="M542" s="9">
        <f>IF($A542="","",VALUE($A542&amp;"")*12+VALUE($B542&amp;""))</f>
        <v/>
      </c>
      <c r="N542" s="64">
        <f>IF($A542="","",IFERROR(INDEX(부서매핑!$C$5:$C$504,MATCH($G542&amp;"",부서매핑!$A$5:$A$504,0)),"미매핑"))</f>
        <v/>
      </c>
      <c r="O542" s="9">
        <f>IF($A542="","",N542&amp;"|"&amp;$F542)</f>
        <v/>
      </c>
      <c r="P542" s="94">
        <f>IF($A542="",0,$H542*설정!$C$23)</f>
        <v/>
      </c>
      <c r="Q542" s="64">
        <f>IF($A542="","",IF(O542&lt;&gt;원인분석!$C$9,"",IF(AND(M542&gt;=원인분석!$C$10,M542&lt;=원인분석!$C$11),"당기",IF(AND(M542&gt;=원인분석!$C$12,M542&lt;=원인분석!$C$13),"비교",""))))</f>
        <v/>
      </c>
      <c r="R542" s="9">
        <f>IF(Q542="","",$K542&amp;"")</f>
        <v/>
      </c>
      <c r="S542" s="9">
        <f>IF(Q542="","",IF(MATCH(R542,$R$5:$R$100000,0)=ROW()-4,ROW(),""))</f>
        <v/>
      </c>
      <c r="T542" s="9">
        <f>IF(Q542="당기",ABS(P542)+ROW()/1000000000,"")</f>
        <v/>
      </c>
      <c r="U542" s="9">
        <f>IF(Q542="비교",ABS(P542)+ROW()/1000000000,"")</f>
        <v/>
      </c>
      <c r="V542" s="64">
        <f>IF($A542="","",IF(COUNTIF(변동분석!$E$7:$E$506,O542)&gt;0,"Y","N"))</f>
        <v/>
      </c>
      <c r="W542" s="64">
        <f>IF($A542="","",IFERROR(INDEX(계정매핑!$D$5:$D$504,MATCH($F542&amp;"",계정매핑!$A$5:$A$504,0)),"미매핑"))</f>
        <v/>
      </c>
      <c r="X542" s="9">
        <f>IF($A542="","",$F542&amp;"")</f>
        <v/>
      </c>
      <c r="Y542" s="94">
        <f>IF($A542="",0,IF(AE542="직접",IF(AF542="비귀속",$P542,0),$P542*(1-AG542)*IFERROR(INDEX(계정대체기준!$F$20:$F$49,MATCH($N542,계정대체기준!$A$20:$A$49,0)),1)))</f>
        <v/>
      </c>
      <c r="Z542" s="94">
        <f>IF($A542="",0,IF(AE542="직접",IF(AF542="신계약비",$P542,0),$P542*(1-AG542)*IFERROR(INDEX(계정대체기준!$C$20:$C$49,MATCH($N542,계정대체기준!$A$20:$A$49,0)),0)))</f>
        <v/>
      </c>
      <c r="AA542" s="94">
        <f>IF($A542="",0,IF(AE542="직접",IF(OR(AF542="유지비",AF542="손해조사비"),$P542,0),$P542*(1-AG542)*IFERROR(INDEX(계정대체기준!$D$20:$D$49,MATCH($N542,계정대체기준!$A$20:$A$49,0)),0)))</f>
        <v/>
      </c>
      <c r="AB542" s="94">
        <f>IF($A542="",0,IF(AE542="직접",IF(AF542="수금비",$P542,0),$P542*(1-AG542)*IFERROR(INDEX(계정대체기준!$E$20:$E$49,MATCH($N542,계정대체기준!$A$20:$A$49,0)),0)))</f>
        <v/>
      </c>
      <c r="AC542" s="9">
        <f>IF(AND($A542&lt;&gt;"",M542=설정!$C$20,Z542&gt;0),Z542+ROW()/1000000000,"")</f>
        <v/>
      </c>
      <c r="AD542" s="94">
        <f>IF($A542="",0,$P542*AG542)</f>
        <v/>
      </c>
      <c r="AE542" s="64">
        <f>IF($A542="","",IFERROR(INDEX(계정매핑!$E$5:$E$504,MATCH($F542&amp;"",계정매핑!$A$5:$A$504,0))&amp;"","공통비"))</f>
        <v/>
      </c>
      <c r="AF542" s="64">
        <f>IF($A542="","",IF(AE542="직접",IFERROR(INDEX(계정매핑!$F$5:$F$504,MATCH($F542&amp;"",계정매핑!$A$5:$A$504,0))&amp;"","비귀속"),""))</f>
        <v/>
      </c>
      <c r="AG542" s="96">
        <f>IF($A542="",0,IF(AND(AE542&lt;&gt;"직접",IFERROR(INDEX(계정매핑!$G$5:$G$504,MATCH($F542&amp;"",계정매핑!$A$5:$A$504,0))&amp;"","")="유지비",COUNTIF(계정대체기준!$A$6:$A$15,$N542)&gt;0),IFERROR(INDEX(계정대체기준!$E$6:$E$15,MATCH(VALUE($A542&amp;""),계정대체기준!$D$6:$D$15,0)),0),0))</f>
        <v/>
      </c>
      <c r="AH542" s="64">
        <f>IF($A542="","",IF(AD542=0,"",IF(OR(COUNTIF(계정대체기준!$A$77:$A$86,$N542)&gt;0,ISNUMBER(MATCH($X542,계정대체기준!$D$77:$D$86,0)),ISNUMBER(MATCH($F542,계정대체기준!$D$77:$D$86,0))),"Y","N")))</f>
        <v/>
      </c>
    </row>
    <row r="543">
      <c r="A543" s="92" t="n">
        <v>2025</v>
      </c>
      <c r="B543" s="92" t="n">
        <v>3</v>
      </c>
      <c r="C543" s="92" t="inlineStr">
        <is>
          <t>5100000539</t>
        </is>
      </c>
      <c r="D543" s="95" t="n">
        <v>45726</v>
      </c>
      <c r="E543" s="92" t="inlineStr">
        <is>
          <t>KR</t>
        </is>
      </c>
      <c r="F543" s="92" t="n">
        <v>62201000</v>
      </c>
      <c r="G543" s="92" t="n">
        <v>1501</v>
      </c>
      <c r="H543" s="93" t="n">
        <v>248000</v>
      </c>
      <c r="I543" s="92" t="inlineStr">
        <is>
          <t>3월 통신요금 - O텔레콤</t>
        </is>
      </c>
      <c r="J543" s="92" t="inlineStr">
        <is>
          <t>V10002</t>
        </is>
      </c>
      <c r="K543" s="92" t="inlineStr">
        <is>
          <t>O텔레콤</t>
        </is>
      </c>
      <c r="M543" s="9">
        <f>IF($A543="","",VALUE($A543&amp;"")*12+VALUE($B543&amp;""))</f>
        <v/>
      </c>
      <c r="N543" s="64">
        <f>IF($A543="","",IFERROR(INDEX(부서매핑!$C$5:$C$504,MATCH($G543&amp;"",부서매핑!$A$5:$A$504,0)),"미매핑"))</f>
        <v/>
      </c>
      <c r="O543" s="9">
        <f>IF($A543="","",N543&amp;"|"&amp;$F543)</f>
        <v/>
      </c>
      <c r="P543" s="94">
        <f>IF($A543="",0,$H543*설정!$C$23)</f>
        <v/>
      </c>
      <c r="Q543" s="64">
        <f>IF($A543="","",IF(O543&lt;&gt;원인분석!$C$9,"",IF(AND(M543&gt;=원인분석!$C$10,M543&lt;=원인분석!$C$11),"당기",IF(AND(M543&gt;=원인분석!$C$12,M543&lt;=원인분석!$C$13),"비교",""))))</f>
        <v/>
      </c>
      <c r="R543" s="9">
        <f>IF(Q543="","",$K543&amp;"")</f>
        <v/>
      </c>
      <c r="S543" s="9">
        <f>IF(Q543="","",IF(MATCH(R543,$R$5:$R$100000,0)=ROW()-4,ROW(),""))</f>
        <v/>
      </c>
      <c r="T543" s="9">
        <f>IF(Q543="당기",ABS(P543)+ROW()/1000000000,"")</f>
        <v/>
      </c>
      <c r="U543" s="9">
        <f>IF(Q543="비교",ABS(P543)+ROW()/1000000000,"")</f>
        <v/>
      </c>
      <c r="V543" s="64">
        <f>IF($A543="","",IF(COUNTIF(변동분석!$E$7:$E$506,O543)&gt;0,"Y","N"))</f>
        <v/>
      </c>
      <c r="W543" s="64">
        <f>IF($A543="","",IFERROR(INDEX(계정매핑!$D$5:$D$504,MATCH($F543&amp;"",계정매핑!$A$5:$A$504,0)),"미매핑"))</f>
        <v/>
      </c>
      <c r="X543" s="9">
        <f>IF($A543="","",$F543&amp;"")</f>
        <v/>
      </c>
      <c r="Y543" s="94">
        <f>IF($A543="",0,IF(AE543="직접",IF(AF543="비귀속",$P543,0),$P543*(1-AG543)*IFERROR(INDEX(계정대체기준!$F$20:$F$49,MATCH($N543,계정대체기준!$A$20:$A$49,0)),1)))</f>
        <v/>
      </c>
      <c r="Z543" s="94">
        <f>IF($A543="",0,IF(AE543="직접",IF(AF543="신계약비",$P543,0),$P543*(1-AG543)*IFERROR(INDEX(계정대체기준!$C$20:$C$49,MATCH($N543,계정대체기준!$A$20:$A$49,0)),0)))</f>
        <v/>
      </c>
      <c r="AA543" s="94">
        <f>IF($A543="",0,IF(AE543="직접",IF(OR(AF543="유지비",AF543="손해조사비"),$P543,0),$P543*(1-AG543)*IFERROR(INDEX(계정대체기준!$D$20:$D$49,MATCH($N543,계정대체기준!$A$20:$A$49,0)),0)))</f>
        <v/>
      </c>
      <c r="AB543" s="94">
        <f>IF($A543="",0,IF(AE543="직접",IF(AF543="수금비",$P543,0),$P543*(1-AG543)*IFERROR(INDEX(계정대체기준!$E$20:$E$49,MATCH($N543,계정대체기준!$A$20:$A$49,0)),0)))</f>
        <v/>
      </c>
      <c r="AC543" s="9">
        <f>IF(AND($A543&lt;&gt;"",M543=설정!$C$20,Z543&gt;0),Z543+ROW()/1000000000,"")</f>
        <v/>
      </c>
      <c r="AD543" s="94">
        <f>IF($A543="",0,$P543*AG543)</f>
        <v/>
      </c>
      <c r="AE543" s="64">
        <f>IF($A543="","",IFERROR(INDEX(계정매핑!$E$5:$E$504,MATCH($F543&amp;"",계정매핑!$A$5:$A$504,0))&amp;"","공통비"))</f>
        <v/>
      </c>
      <c r="AF543" s="64">
        <f>IF($A543="","",IF(AE543="직접",IFERROR(INDEX(계정매핑!$F$5:$F$504,MATCH($F543&amp;"",계정매핑!$A$5:$A$504,0))&amp;"","비귀속"),""))</f>
        <v/>
      </c>
      <c r="AG543" s="96">
        <f>IF($A543="",0,IF(AND(AE543&lt;&gt;"직접",IFERROR(INDEX(계정매핑!$G$5:$G$504,MATCH($F543&amp;"",계정매핑!$A$5:$A$504,0))&amp;"","")="유지비",COUNTIF(계정대체기준!$A$6:$A$15,$N543)&gt;0),IFERROR(INDEX(계정대체기준!$E$6:$E$15,MATCH(VALUE($A543&amp;""),계정대체기준!$D$6:$D$15,0)),0),0))</f>
        <v/>
      </c>
      <c r="AH543" s="64">
        <f>IF($A543="","",IF(AD543=0,"",IF(OR(COUNTIF(계정대체기준!$A$77:$A$86,$N543)&gt;0,ISNUMBER(MATCH($X543,계정대체기준!$D$77:$D$86,0)),ISNUMBER(MATCH($F543,계정대체기준!$D$77:$D$86,0))),"Y","N")))</f>
        <v/>
      </c>
    </row>
    <row r="544">
      <c r="A544" s="92" t="n">
        <v>2025</v>
      </c>
      <c r="B544" s="92" t="n">
        <v>3</v>
      </c>
      <c r="C544" s="92" t="inlineStr">
        <is>
          <t>5100000540</t>
        </is>
      </c>
      <c r="D544" s="95" t="n">
        <v>45726</v>
      </c>
      <c r="E544" s="92" t="inlineStr">
        <is>
          <t>KR</t>
        </is>
      </c>
      <c r="F544" s="92" t="n">
        <v>62201000</v>
      </c>
      <c r="G544" s="92" t="n">
        <v>1701</v>
      </c>
      <c r="H544" s="93" t="n">
        <v>5509000</v>
      </c>
      <c r="I544" s="92" t="inlineStr">
        <is>
          <t>3월 통신요금 - O텔레콤</t>
        </is>
      </c>
      <c r="J544" s="92" t="inlineStr">
        <is>
          <t>V10002</t>
        </is>
      </c>
      <c r="K544" s="92" t="inlineStr">
        <is>
          <t>O텔레콤</t>
        </is>
      </c>
      <c r="M544" s="9">
        <f>IF($A544="","",VALUE($A544&amp;"")*12+VALUE($B544&amp;""))</f>
        <v/>
      </c>
      <c r="N544" s="64">
        <f>IF($A544="","",IFERROR(INDEX(부서매핑!$C$5:$C$504,MATCH($G544&amp;"",부서매핑!$A$5:$A$504,0)),"미매핑"))</f>
        <v/>
      </c>
      <c r="O544" s="9">
        <f>IF($A544="","",N544&amp;"|"&amp;$F544)</f>
        <v/>
      </c>
      <c r="P544" s="94">
        <f>IF($A544="",0,$H544*설정!$C$23)</f>
        <v/>
      </c>
      <c r="Q544" s="64">
        <f>IF($A544="","",IF(O544&lt;&gt;원인분석!$C$9,"",IF(AND(M544&gt;=원인분석!$C$10,M544&lt;=원인분석!$C$11),"당기",IF(AND(M544&gt;=원인분석!$C$12,M544&lt;=원인분석!$C$13),"비교",""))))</f>
        <v/>
      </c>
      <c r="R544" s="9">
        <f>IF(Q544="","",$K544&amp;"")</f>
        <v/>
      </c>
      <c r="S544" s="9">
        <f>IF(Q544="","",IF(MATCH(R544,$R$5:$R$100000,0)=ROW()-4,ROW(),""))</f>
        <v/>
      </c>
      <c r="T544" s="9">
        <f>IF(Q544="당기",ABS(P544)+ROW()/1000000000,"")</f>
        <v/>
      </c>
      <c r="U544" s="9">
        <f>IF(Q544="비교",ABS(P544)+ROW()/1000000000,"")</f>
        <v/>
      </c>
      <c r="V544" s="64">
        <f>IF($A544="","",IF(COUNTIF(변동분석!$E$7:$E$506,O544)&gt;0,"Y","N"))</f>
        <v/>
      </c>
      <c r="W544" s="64">
        <f>IF($A544="","",IFERROR(INDEX(계정매핑!$D$5:$D$504,MATCH($F544&amp;"",계정매핑!$A$5:$A$504,0)),"미매핑"))</f>
        <v/>
      </c>
      <c r="X544" s="9">
        <f>IF($A544="","",$F544&amp;"")</f>
        <v/>
      </c>
      <c r="Y544" s="94">
        <f>IF($A544="",0,IF(AE544="직접",IF(AF544="비귀속",$P544,0),$P544*(1-AG544)*IFERROR(INDEX(계정대체기준!$F$20:$F$49,MATCH($N544,계정대체기준!$A$20:$A$49,0)),1)))</f>
        <v/>
      </c>
      <c r="Z544" s="94">
        <f>IF($A544="",0,IF(AE544="직접",IF(AF544="신계약비",$P544,0),$P544*(1-AG544)*IFERROR(INDEX(계정대체기준!$C$20:$C$49,MATCH($N544,계정대체기준!$A$20:$A$49,0)),0)))</f>
        <v/>
      </c>
      <c r="AA544" s="94">
        <f>IF($A544="",0,IF(AE544="직접",IF(OR(AF544="유지비",AF544="손해조사비"),$P544,0),$P544*(1-AG544)*IFERROR(INDEX(계정대체기준!$D$20:$D$49,MATCH($N544,계정대체기준!$A$20:$A$49,0)),0)))</f>
        <v/>
      </c>
      <c r="AB544" s="94">
        <f>IF($A544="",0,IF(AE544="직접",IF(AF544="수금비",$P544,0),$P544*(1-AG544)*IFERROR(INDEX(계정대체기준!$E$20:$E$49,MATCH($N544,계정대체기준!$A$20:$A$49,0)),0)))</f>
        <v/>
      </c>
      <c r="AC544" s="9">
        <f>IF(AND($A544&lt;&gt;"",M544=설정!$C$20,Z544&gt;0),Z544+ROW()/1000000000,"")</f>
        <v/>
      </c>
      <c r="AD544" s="94">
        <f>IF($A544="",0,$P544*AG544)</f>
        <v/>
      </c>
      <c r="AE544" s="64">
        <f>IF($A544="","",IFERROR(INDEX(계정매핑!$E$5:$E$504,MATCH($F544&amp;"",계정매핑!$A$5:$A$504,0))&amp;"","공통비"))</f>
        <v/>
      </c>
      <c r="AF544" s="64">
        <f>IF($A544="","",IF(AE544="직접",IFERROR(INDEX(계정매핑!$F$5:$F$504,MATCH($F544&amp;"",계정매핑!$A$5:$A$504,0))&amp;"","비귀속"),""))</f>
        <v/>
      </c>
      <c r="AG544" s="96">
        <f>IF($A544="",0,IF(AND(AE544&lt;&gt;"직접",IFERROR(INDEX(계정매핑!$G$5:$G$504,MATCH($F544&amp;"",계정매핑!$A$5:$A$504,0))&amp;"","")="유지비",COUNTIF(계정대체기준!$A$6:$A$15,$N544)&gt;0),IFERROR(INDEX(계정대체기준!$E$6:$E$15,MATCH(VALUE($A544&amp;""),계정대체기준!$D$6:$D$15,0)),0),0))</f>
        <v/>
      </c>
      <c r="AH544" s="64">
        <f>IF($A544="","",IF(AD544=0,"",IF(OR(COUNTIF(계정대체기준!$A$77:$A$86,$N544)&gt;0,ISNUMBER(MATCH($X544,계정대체기준!$D$77:$D$86,0)),ISNUMBER(MATCH($F544,계정대체기준!$D$77:$D$86,0))),"Y","N")))</f>
        <v/>
      </c>
    </row>
    <row r="545">
      <c r="A545" s="92" t="n">
        <v>2025</v>
      </c>
      <c r="B545" s="92" t="n">
        <v>3</v>
      </c>
      <c r="C545" s="92" t="inlineStr">
        <is>
          <t>5100000541</t>
        </is>
      </c>
      <c r="D545" s="95" t="n">
        <v>45726</v>
      </c>
      <c r="E545" s="92" t="inlineStr">
        <is>
          <t>KR</t>
        </is>
      </c>
      <c r="F545" s="92" t="n">
        <v>62301000</v>
      </c>
      <c r="G545" s="92" t="n">
        <v>1501</v>
      </c>
      <c r="H545" s="93" t="n">
        <v>158000</v>
      </c>
      <c r="I545" s="92" t="inlineStr">
        <is>
          <t>3월 소모품 구입 - R문구</t>
        </is>
      </c>
      <c r="J545" s="92" t="inlineStr">
        <is>
          <t>V10022</t>
        </is>
      </c>
      <c r="K545" s="92" t="inlineStr">
        <is>
          <t>R문구</t>
        </is>
      </c>
      <c r="M545" s="9">
        <f>IF($A545="","",VALUE($A545&amp;"")*12+VALUE($B545&amp;""))</f>
        <v/>
      </c>
      <c r="N545" s="64">
        <f>IF($A545="","",IFERROR(INDEX(부서매핑!$C$5:$C$504,MATCH($G545&amp;"",부서매핑!$A$5:$A$504,0)),"미매핑"))</f>
        <v/>
      </c>
      <c r="O545" s="9">
        <f>IF($A545="","",N545&amp;"|"&amp;$F545)</f>
        <v/>
      </c>
      <c r="P545" s="94">
        <f>IF($A545="",0,$H545*설정!$C$23)</f>
        <v/>
      </c>
      <c r="Q545" s="64">
        <f>IF($A545="","",IF(O545&lt;&gt;원인분석!$C$9,"",IF(AND(M545&gt;=원인분석!$C$10,M545&lt;=원인분석!$C$11),"당기",IF(AND(M545&gt;=원인분석!$C$12,M545&lt;=원인분석!$C$13),"비교",""))))</f>
        <v/>
      </c>
      <c r="R545" s="9">
        <f>IF(Q545="","",$K545&amp;"")</f>
        <v/>
      </c>
      <c r="S545" s="9">
        <f>IF(Q545="","",IF(MATCH(R545,$R$5:$R$100000,0)=ROW()-4,ROW(),""))</f>
        <v/>
      </c>
      <c r="T545" s="9">
        <f>IF(Q545="당기",ABS(P545)+ROW()/1000000000,"")</f>
        <v/>
      </c>
      <c r="U545" s="9">
        <f>IF(Q545="비교",ABS(P545)+ROW()/1000000000,"")</f>
        <v/>
      </c>
      <c r="V545" s="64">
        <f>IF($A545="","",IF(COUNTIF(변동분석!$E$7:$E$506,O545)&gt;0,"Y","N"))</f>
        <v/>
      </c>
      <c r="W545" s="64">
        <f>IF($A545="","",IFERROR(INDEX(계정매핑!$D$5:$D$504,MATCH($F545&amp;"",계정매핑!$A$5:$A$504,0)),"미매핑"))</f>
        <v/>
      </c>
      <c r="X545" s="9">
        <f>IF($A545="","",$F545&amp;"")</f>
        <v/>
      </c>
      <c r="Y545" s="94">
        <f>IF($A545="",0,IF(AE545="직접",IF(AF545="비귀속",$P545,0),$P545*(1-AG545)*IFERROR(INDEX(계정대체기준!$F$20:$F$49,MATCH($N545,계정대체기준!$A$20:$A$49,0)),1)))</f>
        <v/>
      </c>
      <c r="Z545" s="94">
        <f>IF($A545="",0,IF(AE545="직접",IF(AF545="신계약비",$P545,0),$P545*(1-AG545)*IFERROR(INDEX(계정대체기준!$C$20:$C$49,MATCH($N545,계정대체기준!$A$20:$A$49,0)),0)))</f>
        <v/>
      </c>
      <c r="AA545" s="94">
        <f>IF($A545="",0,IF(AE545="직접",IF(OR(AF545="유지비",AF545="손해조사비"),$P545,0),$P545*(1-AG545)*IFERROR(INDEX(계정대체기준!$D$20:$D$49,MATCH($N545,계정대체기준!$A$20:$A$49,0)),0)))</f>
        <v/>
      </c>
      <c r="AB545" s="94">
        <f>IF($A545="",0,IF(AE545="직접",IF(AF545="수금비",$P545,0),$P545*(1-AG545)*IFERROR(INDEX(계정대체기준!$E$20:$E$49,MATCH($N545,계정대체기준!$A$20:$A$49,0)),0)))</f>
        <v/>
      </c>
      <c r="AC545" s="9">
        <f>IF(AND($A545&lt;&gt;"",M545=설정!$C$20,Z545&gt;0),Z545+ROW()/1000000000,"")</f>
        <v/>
      </c>
      <c r="AD545" s="94">
        <f>IF($A545="",0,$P545*AG545)</f>
        <v/>
      </c>
      <c r="AE545" s="64">
        <f>IF($A545="","",IFERROR(INDEX(계정매핑!$E$5:$E$504,MATCH($F545&amp;"",계정매핑!$A$5:$A$504,0))&amp;"","공통비"))</f>
        <v/>
      </c>
      <c r="AF545" s="64">
        <f>IF($A545="","",IF(AE545="직접",IFERROR(INDEX(계정매핑!$F$5:$F$504,MATCH($F545&amp;"",계정매핑!$A$5:$A$504,0))&amp;"","비귀속"),""))</f>
        <v/>
      </c>
      <c r="AG545" s="96">
        <f>IF($A545="",0,IF(AND(AE545&lt;&gt;"직접",IFERROR(INDEX(계정매핑!$G$5:$G$504,MATCH($F545&amp;"",계정매핑!$A$5:$A$504,0))&amp;"","")="유지비",COUNTIF(계정대체기준!$A$6:$A$15,$N545)&gt;0),IFERROR(INDEX(계정대체기준!$E$6:$E$15,MATCH(VALUE($A545&amp;""),계정대체기준!$D$6:$D$15,0)),0),0))</f>
        <v/>
      </c>
      <c r="AH545" s="64">
        <f>IF($A545="","",IF(AD545=0,"",IF(OR(COUNTIF(계정대체기준!$A$77:$A$86,$N545)&gt;0,ISNUMBER(MATCH($X545,계정대체기준!$D$77:$D$86,0)),ISNUMBER(MATCH($F545,계정대체기준!$D$77:$D$86,0))),"Y","N")))</f>
        <v/>
      </c>
    </row>
    <row r="546">
      <c r="A546" s="92" t="n">
        <v>2025</v>
      </c>
      <c r="B546" s="92" t="n">
        <v>3</v>
      </c>
      <c r="C546" s="92" t="inlineStr">
        <is>
          <t>5100000542</t>
        </is>
      </c>
      <c r="D546" s="95" t="n">
        <v>45726</v>
      </c>
      <c r="E546" s="92" t="inlineStr">
        <is>
          <t>KR</t>
        </is>
      </c>
      <c r="F546" s="92" t="n">
        <v>62901000</v>
      </c>
      <c r="G546" s="92" t="n">
        <v>1401</v>
      </c>
      <c r="H546" s="93" t="n">
        <v>2585000</v>
      </c>
      <c r="I546" s="92" t="inlineStr">
        <is>
          <t>3월 자문 수수료 - K회계법인</t>
        </is>
      </c>
      <c r="J546" s="92" t="inlineStr">
        <is>
          <t>V10011</t>
        </is>
      </c>
      <c r="K546" s="92" t="inlineStr">
        <is>
          <t>K회계법인</t>
        </is>
      </c>
      <c r="M546" s="9">
        <f>IF($A546="","",VALUE($A546&amp;"")*12+VALUE($B546&amp;""))</f>
        <v/>
      </c>
      <c r="N546" s="64">
        <f>IF($A546="","",IFERROR(INDEX(부서매핑!$C$5:$C$504,MATCH($G546&amp;"",부서매핑!$A$5:$A$504,0)),"미매핑"))</f>
        <v/>
      </c>
      <c r="O546" s="9">
        <f>IF($A546="","",N546&amp;"|"&amp;$F546)</f>
        <v/>
      </c>
      <c r="P546" s="94">
        <f>IF($A546="",0,$H546*설정!$C$23)</f>
        <v/>
      </c>
      <c r="Q546" s="64">
        <f>IF($A546="","",IF(O546&lt;&gt;원인분석!$C$9,"",IF(AND(M546&gt;=원인분석!$C$10,M546&lt;=원인분석!$C$11),"당기",IF(AND(M546&gt;=원인분석!$C$12,M546&lt;=원인분석!$C$13),"비교",""))))</f>
        <v/>
      </c>
      <c r="R546" s="9">
        <f>IF(Q546="","",$K546&amp;"")</f>
        <v/>
      </c>
      <c r="S546" s="9">
        <f>IF(Q546="","",IF(MATCH(R546,$R$5:$R$100000,0)=ROW()-4,ROW(),""))</f>
        <v/>
      </c>
      <c r="T546" s="9">
        <f>IF(Q546="당기",ABS(P546)+ROW()/1000000000,"")</f>
        <v/>
      </c>
      <c r="U546" s="9">
        <f>IF(Q546="비교",ABS(P546)+ROW()/1000000000,"")</f>
        <v/>
      </c>
      <c r="V546" s="64">
        <f>IF($A546="","",IF(COUNTIF(변동분석!$E$7:$E$506,O546)&gt;0,"Y","N"))</f>
        <v/>
      </c>
      <c r="W546" s="64">
        <f>IF($A546="","",IFERROR(INDEX(계정매핑!$D$5:$D$504,MATCH($F546&amp;"",계정매핑!$A$5:$A$504,0)),"미매핑"))</f>
        <v/>
      </c>
      <c r="X546" s="9">
        <f>IF($A546="","",$F546&amp;"")</f>
        <v/>
      </c>
      <c r="Y546" s="94">
        <f>IF($A546="",0,IF(AE546="직접",IF(AF546="비귀속",$P546,0),$P546*(1-AG546)*IFERROR(INDEX(계정대체기준!$F$20:$F$49,MATCH($N546,계정대체기준!$A$20:$A$49,0)),1)))</f>
        <v/>
      </c>
      <c r="Z546" s="94">
        <f>IF($A546="",0,IF(AE546="직접",IF(AF546="신계약비",$P546,0),$P546*(1-AG546)*IFERROR(INDEX(계정대체기준!$C$20:$C$49,MATCH($N546,계정대체기준!$A$20:$A$49,0)),0)))</f>
        <v/>
      </c>
      <c r="AA546" s="94">
        <f>IF($A546="",0,IF(AE546="직접",IF(OR(AF546="유지비",AF546="손해조사비"),$P546,0),$P546*(1-AG546)*IFERROR(INDEX(계정대체기준!$D$20:$D$49,MATCH($N546,계정대체기준!$A$20:$A$49,0)),0)))</f>
        <v/>
      </c>
      <c r="AB546" s="94">
        <f>IF($A546="",0,IF(AE546="직접",IF(AF546="수금비",$P546,0),$P546*(1-AG546)*IFERROR(INDEX(계정대체기준!$E$20:$E$49,MATCH($N546,계정대체기준!$A$20:$A$49,0)),0)))</f>
        <v/>
      </c>
      <c r="AC546" s="9">
        <f>IF(AND($A546&lt;&gt;"",M546=설정!$C$20,Z546&gt;0),Z546+ROW()/1000000000,"")</f>
        <v/>
      </c>
      <c r="AD546" s="94">
        <f>IF($A546="",0,$P546*AG546)</f>
        <v/>
      </c>
      <c r="AE546" s="64">
        <f>IF($A546="","",IFERROR(INDEX(계정매핑!$E$5:$E$504,MATCH($F546&amp;"",계정매핑!$A$5:$A$504,0))&amp;"","공통비"))</f>
        <v/>
      </c>
      <c r="AF546" s="64">
        <f>IF($A546="","",IF(AE546="직접",IFERROR(INDEX(계정매핑!$F$5:$F$504,MATCH($F546&amp;"",계정매핑!$A$5:$A$504,0))&amp;"","비귀속"),""))</f>
        <v/>
      </c>
      <c r="AG546" s="96">
        <f>IF($A546="",0,IF(AND(AE546&lt;&gt;"직접",IFERROR(INDEX(계정매핑!$G$5:$G$504,MATCH($F546&amp;"",계정매핑!$A$5:$A$504,0))&amp;"","")="유지비",COUNTIF(계정대체기준!$A$6:$A$15,$N546)&gt;0),IFERROR(INDEX(계정대체기준!$E$6:$E$15,MATCH(VALUE($A546&amp;""),계정대체기준!$D$6:$D$15,0)),0),0))</f>
        <v/>
      </c>
      <c r="AH546" s="64">
        <f>IF($A546="","",IF(AD546=0,"",IF(OR(COUNTIF(계정대체기준!$A$77:$A$86,$N546)&gt;0,ISNUMBER(MATCH($X546,계정대체기준!$D$77:$D$86,0)),ISNUMBER(MATCH($F546,계정대체기준!$D$77:$D$86,0))),"Y","N")))</f>
        <v/>
      </c>
    </row>
    <row r="547">
      <c r="A547" s="92" t="n">
        <v>2025</v>
      </c>
      <c r="B547" s="92" t="n">
        <v>3</v>
      </c>
      <c r="C547" s="92" t="inlineStr">
        <is>
          <t>5100000543</t>
        </is>
      </c>
      <c r="D547" s="95" t="n">
        <v>45726</v>
      </c>
      <c r="E547" s="92" t="inlineStr">
        <is>
          <t>KR</t>
        </is>
      </c>
      <c r="F547" s="92" t="n">
        <v>63001000</v>
      </c>
      <c r="G547" s="92" t="n">
        <v>1951</v>
      </c>
      <c r="H547" s="93" t="n">
        <v>2794000</v>
      </c>
      <c r="I547" s="92" t="inlineStr">
        <is>
          <t>3월 SW 유지보수 - Y소프트</t>
        </is>
      </c>
      <c r="J547" s="92" t="inlineStr">
        <is>
          <t>V10017</t>
        </is>
      </c>
      <c r="K547" s="92" t="inlineStr">
        <is>
          <t>Y소프트</t>
        </is>
      </c>
      <c r="M547" s="9">
        <f>IF($A547="","",VALUE($A547&amp;"")*12+VALUE($B547&amp;""))</f>
        <v/>
      </c>
      <c r="N547" s="64">
        <f>IF($A547="","",IFERROR(INDEX(부서매핑!$C$5:$C$504,MATCH($G547&amp;"",부서매핑!$A$5:$A$504,0)),"미매핑"))</f>
        <v/>
      </c>
      <c r="O547" s="9">
        <f>IF($A547="","",N547&amp;"|"&amp;$F547)</f>
        <v/>
      </c>
      <c r="P547" s="94">
        <f>IF($A547="",0,$H547*설정!$C$23)</f>
        <v/>
      </c>
      <c r="Q547" s="64">
        <f>IF($A547="","",IF(O547&lt;&gt;원인분석!$C$9,"",IF(AND(M547&gt;=원인분석!$C$10,M547&lt;=원인분석!$C$11),"당기",IF(AND(M547&gt;=원인분석!$C$12,M547&lt;=원인분석!$C$13),"비교",""))))</f>
        <v/>
      </c>
      <c r="R547" s="9">
        <f>IF(Q547="","",$K547&amp;"")</f>
        <v/>
      </c>
      <c r="S547" s="9">
        <f>IF(Q547="","",IF(MATCH(R547,$R$5:$R$100000,0)=ROW()-4,ROW(),""))</f>
        <v/>
      </c>
      <c r="T547" s="9">
        <f>IF(Q547="당기",ABS(P547)+ROW()/1000000000,"")</f>
        <v/>
      </c>
      <c r="U547" s="9">
        <f>IF(Q547="비교",ABS(P547)+ROW()/1000000000,"")</f>
        <v/>
      </c>
      <c r="V547" s="64">
        <f>IF($A547="","",IF(COUNTIF(변동분석!$E$7:$E$506,O547)&gt;0,"Y","N"))</f>
        <v/>
      </c>
      <c r="W547" s="64">
        <f>IF($A547="","",IFERROR(INDEX(계정매핑!$D$5:$D$504,MATCH($F547&amp;"",계정매핑!$A$5:$A$504,0)),"미매핑"))</f>
        <v/>
      </c>
      <c r="X547" s="9">
        <f>IF($A547="","",$F547&amp;"")</f>
        <v/>
      </c>
      <c r="Y547" s="94">
        <f>IF($A547="",0,IF(AE547="직접",IF(AF547="비귀속",$P547,0),$P547*(1-AG547)*IFERROR(INDEX(계정대체기준!$F$20:$F$49,MATCH($N547,계정대체기준!$A$20:$A$49,0)),1)))</f>
        <v/>
      </c>
      <c r="Z547" s="94">
        <f>IF($A547="",0,IF(AE547="직접",IF(AF547="신계약비",$P547,0),$P547*(1-AG547)*IFERROR(INDEX(계정대체기준!$C$20:$C$49,MATCH($N547,계정대체기준!$A$20:$A$49,0)),0)))</f>
        <v/>
      </c>
      <c r="AA547" s="94">
        <f>IF($A547="",0,IF(AE547="직접",IF(OR(AF547="유지비",AF547="손해조사비"),$P547,0),$P547*(1-AG547)*IFERROR(INDEX(계정대체기준!$D$20:$D$49,MATCH($N547,계정대체기준!$A$20:$A$49,0)),0)))</f>
        <v/>
      </c>
      <c r="AB547" s="94">
        <f>IF($A547="",0,IF(AE547="직접",IF(AF547="수금비",$P547,0),$P547*(1-AG547)*IFERROR(INDEX(계정대체기준!$E$20:$E$49,MATCH($N547,계정대체기준!$A$20:$A$49,0)),0)))</f>
        <v/>
      </c>
      <c r="AC547" s="9">
        <f>IF(AND($A547&lt;&gt;"",M547=설정!$C$20,Z547&gt;0),Z547+ROW()/1000000000,"")</f>
        <v/>
      </c>
      <c r="AD547" s="94">
        <f>IF($A547="",0,$P547*AG547)</f>
        <v/>
      </c>
      <c r="AE547" s="64">
        <f>IF($A547="","",IFERROR(INDEX(계정매핑!$E$5:$E$504,MATCH($F547&amp;"",계정매핑!$A$5:$A$504,0))&amp;"","공통비"))</f>
        <v/>
      </c>
      <c r="AF547" s="64">
        <f>IF($A547="","",IF(AE547="직접",IFERROR(INDEX(계정매핑!$F$5:$F$504,MATCH($F547&amp;"",계정매핑!$A$5:$A$504,0))&amp;"","비귀속"),""))</f>
        <v/>
      </c>
      <c r="AG547" s="96">
        <f>IF($A547="",0,IF(AND(AE547&lt;&gt;"직접",IFERROR(INDEX(계정매핑!$G$5:$G$504,MATCH($F547&amp;"",계정매핑!$A$5:$A$504,0))&amp;"","")="유지비",COUNTIF(계정대체기준!$A$6:$A$15,$N547)&gt;0),IFERROR(INDEX(계정대체기준!$E$6:$E$15,MATCH(VALUE($A547&amp;""),계정대체기준!$D$6:$D$15,0)),0),0))</f>
        <v/>
      </c>
      <c r="AH547" s="64">
        <f>IF($A547="","",IF(AD547=0,"",IF(OR(COUNTIF(계정대체기준!$A$77:$A$86,$N547)&gt;0,ISNUMBER(MATCH($X547,계정대체기준!$D$77:$D$86,0)),ISNUMBER(MATCH($F547,계정대체기준!$D$77:$D$86,0))),"Y","N")))</f>
        <v/>
      </c>
    </row>
    <row r="548">
      <c r="A548" s="92" t="n">
        <v>2025</v>
      </c>
      <c r="B548" s="92" t="n">
        <v>3</v>
      </c>
      <c r="C548" s="92" t="inlineStr">
        <is>
          <t>5100000544</t>
        </is>
      </c>
      <c r="D548" s="95" t="n">
        <v>45727</v>
      </c>
      <c r="E548" s="92" t="inlineStr">
        <is>
          <t>KR</t>
        </is>
      </c>
      <c r="F548" s="92" t="n">
        <v>62101000</v>
      </c>
      <c r="G548" s="92" t="n">
        <v>1301</v>
      </c>
      <c r="H548" s="93" t="n">
        <v>305000</v>
      </c>
      <c r="I548" s="92" t="inlineStr">
        <is>
          <t>3월 국내출장 - L여행사</t>
        </is>
      </c>
      <c r="J548" s="92" t="inlineStr">
        <is>
          <t>V10018</t>
        </is>
      </c>
      <c r="K548" s="92" t="inlineStr">
        <is>
          <t>L여행사</t>
        </is>
      </c>
      <c r="M548" s="9">
        <f>IF($A548="","",VALUE($A548&amp;"")*12+VALUE($B548&amp;""))</f>
        <v/>
      </c>
      <c r="N548" s="64">
        <f>IF($A548="","",IFERROR(INDEX(부서매핑!$C$5:$C$504,MATCH($G548&amp;"",부서매핑!$A$5:$A$504,0)),"미매핑"))</f>
        <v/>
      </c>
      <c r="O548" s="9">
        <f>IF($A548="","",N548&amp;"|"&amp;$F548)</f>
        <v/>
      </c>
      <c r="P548" s="94">
        <f>IF($A548="",0,$H548*설정!$C$23)</f>
        <v/>
      </c>
      <c r="Q548" s="64">
        <f>IF($A548="","",IF(O548&lt;&gt;원인분석!$C$9,"",IF(AND(M548&gt;=원인분석!$C$10,M548&lt;=원인분석!$C$11),"당기",IF(AND(M548&gt;=원인분석!$C$12,M548&lt;=원인분석!$C$13),"비교",""))))</f>
        <v/>
      </c>
      <c r="R548" s="9">
        <f>IF(Q548="","",$K548&amp;"")</f>
        <v/>
      </c>
      <c r="S548" s="9">
        <f>IF(Q548="","",IF(MATCH(R548,$R$5:$R$100000,0)=ROW()-4,ROW(),""))</f>
        <v/>
      </c>
      <c r="T548" s="9">
        <f>IF(Q548="당기",ABS(P548)+ROW()/1000000000,"")</f>
        <v/>
      </c>
      <c r="U548" s="9">
        <f>IF(Q548="비교",ABS(P548)+ROW()/1000000000,"")</f>
        <v/>
      </c>
      <c r="V548" s="64">
        <f>IF($A548="","",IF(COUNTIF(변동분석!$E$7:$E$506,O548)&gt;0,"Y","N"))</f>
        <v/>
      </c>
      <c r="W548" s="64">
        <f>IF($A548="","",IFERROR(INDEX(계정매핑!$D$5:$D$504,MATCH($F548&amp;"",계정매핑!$A$5:$A$504,0)),"미매핑"))</f>
        <v/>
      </c>
      <c r="X548" s="9">
        <f>IF($A548="","",$F548&amp;"")</f>
        <v/>
      </c>
      <c r="Y548" s="94">
        <f>IF($A548="",0,IF(AE548="직접",IF(AF548="비귀속",$P548,0),$P548*(1-AG548)*IFERROR(INDEX(계정대체기준!$F$20:$F$49,MATCH($N548,계정대체기준!$A$20:$A$49,0)),1)))</f>
        <v/>
      </c>
      <c r="Z548" s="94">
        <f>IF($A548="",0,IF(AE548="직접",IF(AF548="신계약비",$P548,0),$P548*(1-AG548)*IFERROR(INDEX(계정대체기준!$C$20:$C$49,MATCH($N548,계정대체기준!$A$20:$A$49,0)),0)))</f>
        <v/>
      </c>
      <c r="AA548" s="94">
        <f>IF($A548="",0,IF(AE548="직접",IF(OR(AF548="유지비",AF548="손해조사비"),$P548,0),$P548*(1-AG548)*IFERROR(INDEX(계정대체기준!$D$20:$D$49,MATCH($N548,계정대체기준!$A$20:$A$49,0)),0)))</f>
        <v/>
      </c>
      <c r="AB548" s="94">
        <f>IF($A548="",0,IF(AE548="직접",IF(AF548="수금비",$P548,0),$P548*(1-AG548)*IFERROR(INDEX(계정대체기준!$E$20:$E$49,MATCH($N548,계정대체기준!$A$20:$A$49,0)),0)))</f>
        <v/>
      </c>
      <c r="AC548" s="9">
        <f>IF(AND($A548&lt;&gt;"",M548=설정!$C$20,Z548&gt;0),Z548+ROW()/1000000000,"")</f>
        <v/>
      </c>
      <c r="AD548" s="94">
        <f>IF($A548="",0,$P548*AG548)</f>
        <v/>
      </c>
      <c r="AE548" s="64">
        <f>IF($A548="","",IFERROR(INDEX(계정매핑!$E$5:$E$504,MATCH($F548&amp;"",계정매핑!$A$5:$A$504,0))&amp;"","공통비"))</f>
        <v/>
      </c>
      <c r="AF548" s="64">
        <f>IF($A548="","",IF(AE548="직접",IFERROR(INDEX(계정매핑!$F$5:$F$504,MATCH($F548&amp;"",계정매핑!$A$5:$A$504,0))&amp;"","비귀속"),""))</f>
        <v/>
      </c>
      <c r="AG548" s="96">
        <f>IF($A548="",0,IF(AND(AE548&lt;&gt;"직접",IFERROR(INDEX(계정매핑!$G$5:$G$504,MATCH($F548&amp;"",계정매핑!$A$5:$A$504,0))&amp;"","")="유지비",COUNTIF(계정대체기준!$A$6:$A$15,$N548)&gt;0),IFERROR(INDEX(계정대체기준!$E$6:$E$15,MATCH(VALUE($A548&amp;""),계정대체기준!$D$6:$D$15,0)),0),0))</f>
        <v/>
      </c>
      <c r="AH548" s="64">
        <f>IF($A548="","",IF(AD548=0,"",IF(OR(COUNTIF(계정대체기준!$A$77:$A$86,$N548)&gt;0,ISNUMBER(MATCH($X548,계정대체기준!$D$77:$D$86,0)),ISNUMBER(MATCH($F548,계정대체기준!$D$77:$D$86,0))),"Y","N")))</f>
        <v/>
      </c>
    </row>
    <row r="549">
      <c r="A549" s="92" t="n">
        <v>2025</v>
      </c>
      <c r="B549" s="92" t="n">
        <v>3</v>
      </c>
      <c r="C549" s="92" t="inlineStr">
        <is>
          <t>5100000545</t>
        </is>
      </c>
      <c r="D549" s="95" t="n">
        <v>45727</v>
      </c>
      <c r="E549" s="92" t="inlineStr">
        <is>
          <t>KR</t>
        </is>
      </c>
      <c r="F549" s="92" t="n">
        <v>62101000</v>
      </c>
      <c r="G549" s="92" t="n">
        <v>1601</v>
      </c>
      <c r="H549" s="93" t="n">
        <v>1128000</v>
      </c>
      <c r="I549" s="92" t="inlineStr">
        <is>
          <t>3월 국내출장 - L여행사</t>
        </is>
      </c>
      <c r="J549" s="92" t="inlineStr">
        <is>
          <t>V10018</t>
        </is>
      </c>
      <c r="K549" s="92" t="inlineStr">
        <is>
          <t>L여행사</t>
        </is>
      </c>
      <c r="M549" s="9">
        <f>IF($A549="","",VALUE($A549&amp;"")*12+VALUE($B549&amp;""))</f>
        <v/>
      </c>
      <c r="N549" s="64">
        <f>IF($A549="","",IFERROR(INDEX(부서매핑!$C$5:$C$504,MATCH($G549&amp;"",부서매핑!$A$5:$A$504,0)),"미매핑"))</f>
        <v/>
      </c>
      <c r="O549" s="9">
        <f>IF($A549="","",N549&amp;"|"&amp;$F549)</f>
        <v/>
      </c>
      <c r="P549" s="94">
        <f>IF($A549="",0,$H549*설정!$C$23)</f>
        <v/>
      </c>
      <c r="Q549" s="64">
        <f>IF($A549="","",IF(O549&lt;&gt;원인분석!$C$9,"",IF(AND(M549&gt;=원인분석!$C$10,M549&lt;=원인분석!$C$11),"당기",IF(AND(M549&gt;=원인분석!$C$12,M549&lt;=원인분석!$C$13),"비교",""))))</f>
        <v/>
      </c>
      <c r="R549" s="9">
        <f>IF(Q549="","",$K549&amp;"")</f>
        <v/>
      </c>
      <c r="S549" s="9">
        <f>IF(Q549="","",IF(MATCH(R549,$R$5:$R$100000,0)=ROW()-4,ROW(),""))</f>
        <v/>
      </c>
      <c r="T549" s="9">
        <f>IF(Q549="당기",ABS(P549)+ROW()/1000000000,"")</f>
        <v/>
      </c>
      <c r="U549" s="9">
        <f>IF(Q549="비교",ABS(P549)+ROW()/1000000000,"")</f>
        <v/>
      </c>
      <c r="V549" s="64">
        <f>IF($A549="","",IF(COUNTIF(변동분석!$E$7:$E$506,O549)&gt;0,"Y","N"))</f>
        <v/>
      </c>
      <c r="W549" s="64">
        <f>IF($A549="","",IFERROR(INDEX(계정매핑!$D$5:$D$504,MATCH($F549&amp;"",계정매핑!$A$5:$A$504,0)),"미매핑"))</f>
        <v/>
      </c>
      <c r="X549" s="9">
        <f>IF($A549="","",$F549&amp;"")</f>
        <v/>
      </c>
      <c r="Y549" s="94">
        <f>IF($A549="",0,IF(AE549="직접",IF(AF549="비귀속",$P549,0),$P549*(1-AG549)*IFERROR(INDEX(계정대체기준!$F$20:$F$49,MATCH($N549,계정대체기준!$A$20:$A$49,0)),1)))</f>
        <v/>
      </c>
      <c r="Z549" s="94">
        <f>IF($A549="",0,IF(AE549="직접",IF(AF549="신계약비",$P549,0),$P549*(1-AG549)*IFERROR(INDEX(계정대체기준!$C$20:$C$49,MATCH($N549,계정대체기준!$A$20:$A$49,0)),0)))</f>
        <v/>
      </c>
      <c r="AA549" s="94">
        <f>IF($A549="",0,IF(AE549="직접",IF(OR(AF549="유지비",AF549="손해조사비"),$P549,0),$P549*(1-AG549)*IFERROR(INDEX(계정대체기준!$D$20:$D$49,MATCH($N549,계정대체기준!$A$20:$A$49,0)),0)))</f>
        <v/>
      </c>
      <c r="AB549" s="94">
        <f>IF($A549="",0,IF(AE549="직접",IF(AF549="수금비",$P549,0),$P549*(1-AG549)*IFERROR(INDEX(계정대체기준!$E$20:$E$49,MATCH($N549,계정대체기준!$A$20:$A$49,0)),0)))</f>
        <v/>
      </c>
      <c r="AC549" s="9">
        <f>IF(AND($A549&lt;&gt;"",M549=설정!$C$20,Z549&gt;0),Z549+ROW()/1000000000,"")</f>
        <v/>
      </c>
      <c r="AD549" s="94">
        <f>IF($A549="",0,$P549*AG549)</f>
        <v/>
      </c>
      <c r="AE549" s="64">
        <f>IF($A549="","",IFERROR(INDEX(계정매핑!$E$5:$E$504,MATCH($F549&amp;"",계정매핑!$A$5:$A$504,0))&amp;"","공통비"))</f>
        <v/>
      </c>
      <c r="AF549" s="64">
        <f>IF($A549="","",IF(AE549="직접",IFERROR(INDEX(계정매핑!$F$5:$F$504,MATCH($F549&amp;"",계정매핑!$A$5:$A$504,0))&amp;"","비귀속"),""))</f>
        <v/>
      </c>
      <c r="AG549" s="96">
        <f>IF($A549="",0,IF(AND(AE549&lt;&gt;"직접",IFERROR(INDEX(계정매핑!$G$5:$G$504,MATCH($F549&amp;"",계정매핑!$A$5:$A$504,0))&amp;"","")="유지비",COUNTIF(계정대체기준!$A$6:$A$15,$N549)&gt;0),IFERROR(INDEX(계정대체기준!$E$6:$E$15,MATCH(VALUE($A549&amp;""),계정대체기준!$D$6:$D$15,0)),0),0))</f>
        <v/>
      </c>
      <c r="AH549" s="64">
        <f>IF($A549="","",IF(AD549=0,"",IF(OR(COUNTIF(계정대체기준!$A$77:$A$86,$N549)&gt;0,ISNUMBER(MATCH($X549,계정대체기준!$D$77:$D$86,0)),ISNUMBER(MATCH($F549,계정대체기준!$D$77:$D$86,0))),"Y","N")))</f>
        <v/>
      </c>
    </row>
    <row r="550">
      <c r="A550" s="92" t="n">
        <v>2025</v>
      </c>
      <c r="B550" s="92" t="n">
        <v>3</v>
      </c>
      <c r="C550" s="92" t="inlineStr">
        <is>
          <t>5100000546</t>
        </is>
      </c>
      <c r="D550" s="95" t="n">
        <v>45727</v>
      </c>
      <c r="E550" s="92" t="inlineStr">
        <is>
          <t>KR</t>
        </is>
      </c>
      <c r="F550" s="92" t="n">
        <v>62101000</v>
      </c>
      <c r="G550" s="92" t="n">
        <v>1951</v>
      </c>
      <c r="H550" s="93" t="n">
        <v>392000</v>
      </c>
      <c r="I550" s="92" t="inlineStr">
        <is>
          <t>3월 국내출장 - (법인카드)</t>
        </is>
      </c>
      <c r="J550" s="92" t="inlineStr">
        <is>
          <t>V10010</t>
        </is>
      </c>
      <c r="K550" s="92" t="inlineStr">
        <is>
          <t>(법인카드)</t>
        </is>
      </c>
      <c r="M550" s="9">
        <f>IF($A550="","",VALUE($A550&amp;"")*12+VALUE($B550&amp;""))</f>
        <v/>
      </c>
      <c r="N550" s="64">
        <f>IF($A550="","",IFERROR(INDEX(부서매핑!$C$5:$C$504,MATCH($G550&amp;"",부서매핑!$A$5:$A$504,0)),"미매핑"))</f>
        <v/>
      </c>
      <c r="O550" s="9">
        <f>IF($A550="","",N550&amp;"|"&amp;$F550)</f>
        <v/>
      </c>
      <c r="P550" s="94">
        <f>IF($A550="",0,$H550*설정!$C$23)</f>
        <v/>
      </c>
      <c r="Q550" s="64">
        <f>IF($A550="","",IF(O550&lt;&gt;원인분석!$C$9,"",IF(AND(M550&gt;=원인분석!$C$10,M550&lt;=원인분석!$C$11),"당기",IF(AND(M550&gt;=원인분석!$C$12,M550&lt;=원인분석!$C$13),"비교",""))))</f>
        <v/>
      </c>
      <c r="R550" s="9">
        <f>IF(Q550="","",$K550&amp;"")</f>
        <v/>
      </c>
      <c r="S550" s="9">
        <f>IF(Q550="","",IF(MATCH(R550,$R$5:$R$100000,0)=ROW()-4,ROW(),""))</f>
        <v/>
      </c>
      <c r="T550" s="9">
        <f>IF(Q550="당기",ABS(P550)+ROW()/1000000000,"")</f>
        <v/>
      </c>
      <c r="U550" s="9">
        <f>IF(Q550="비교",ABS(P550)+ROW()/1000000000,"")</f>
        <v/>
      </c>
      <c r="V550" s="64">
        <f>IF($A550="","",IF(COUNTIF(변동분석!$E$7:$E$506,O550)&gt;0,"Y","N"))</f>
        <v/>
      </c>
      <c r="W550" s="64">
        <f>IF($A550="","",IFERROR(INDEX(계정매핑!$D$5:$D$504,MATCH($F550&amp;"",계정매핑!$A$5:$A$504,0)),"미매핑"))</f>
        <v/>
      </c>
      <c r="X550" s="9">
        <f>IF($A550="","",$F550&amp;"")</f>
        <v/>
      </c>
      <c r="Y550" s="94">
        <f>IF($A550="",0,IF(AE550="직접",IF(AF550="비귀속",$P550,0),$P550*(1-AG550)*IFERROR(INDEX(계정대체기준!$F$20:$F$49,MATCH($N550,계정대체기준!$A$20:$A$49,0)),1)))</f>
        <v/>
      </c>
      <c r="Z550" s="94">
        <f>IF($A550="",0,IF(AE550="직접",IF(AF550="신계약비",$P550,0),$P550*(1-AG550)*IFERROR(INDEX(계정대체기준!$C$20:$C$49,MATCH($N550,계정대체기준!$A$20:$A$49,0)),0)))</f>
        <v/>
      </c>
      <c r="AA550" s="94">
        <f>IF($A550="",0,IF(AE550="직접",IF(OR(AF550="유지비",AF550="손해조사비"),$P550,0),$P550*(1-AG550)*IFERROR(INDEX(계정대체기준!$D$20:$D$49,MATCH($N550,계정대체기준!$A$20:$A$49,0)),0)))</f>
        <v/>
      </c>
      <c r="AB550" s="94">
        <f>IF($A550="",0,IF(AE550="직접",IF(AF550="수금비",$P550,0),$P550*(1-AG550)*IFERROR(INDEX(계정대체기준!$E$20:$E$49,MATCH($N550,계정대체기준!$A$20:$A$49,0)),0)))</f>
        <v/>
      </c>
      <c r="AC550" s="9">
        <f>IF(AND($A550&lt;&gt;"",M550=설정!$C$20,Z550&gt;0),Z550+ROW()/1000000000,"")</f>
        <v/>
      </c>
      <c r="AD550" s="94">
        <f>IF($A550="",0,$P550*AG550)</f>
        <v/>
      </c>
      <c r="AE550" s="64">
        <f>IF($A550="","",IFERROR(INDEX(계정매핑!$E$5:$E$504,MATCH($F550&amp;"",계정매핑!$A$5:$A$504,0))&amp;"","공통비"))</f>
        <v/>
      </c>
      <c r="AF550" s="64">
        <f>IF($A550="","",IF(AE550="직접",IFERROR(INDEX(계정매핑!$F$5:$F$504,MATCH($F550&amp;"",계정매핑!$A$5:$A$504,0))&amp;"","비귀속"),""))</f>
        <v/>
      </c>
      <c r="AG550" s="96">
        <f>IF($A550="",0,IF(AND(AE550&lt;&gt;"직접",IFERROR(INDEX(계정매핑!$G$5:$G$504,MATCH($F550&amp;"",계정매핑!$A$5:$A$504,0))&amp;"","")="유지비",COUNTIF(계정대체기준!$A$6:$A$15,$N550)&gt;0),IFERROR(INDEX(계정대체기준!$E$6:$E$15,MATCH(VALUE($A550&amp;""),계정대체기준!$D$6:$D$15,0)),0),0))</f>
        <v/>
      </c>
      <c r="AH550" s="64">
        <f>IF($A550="","",IF(AD550=0,"",IF(OR(COUNTIF(계정대체기준!$A$77:$A$86,$N550)&gt;0,ISNUMBER(MATCH($X550,계정대체기준!$D$77:$D$86,0)),ISNUMBER(MATCH($F550,계정대체기준!$D$77:$D$86,0))),"Y","N")))</f>
        <v/>
      </c>
    </row>
    <row r="551">
      <c r="A551" s="92" t="n">
        <v>2025</v>
      </c>
      <c r="B551" s="92" t="n">
        <v>3</v>
      </c>
      <c r="C551" s="92" t="inlineStr">
        <is>
          <t>5100000547</t>
        </is>
      </c>
      <c r="D551" s="95" t="n">
        <v>45727</v>
      </c>
      <c r="E551" s="92" t="inlineStr">
        <is>
          <t>KR</t>
        </is>
      </c>
      <c r="F551" s="92" t="n">
        <v>62102000</v>
      </c>
      <c r="G551" s="92" t="n">
        <v>1101</v>
      </c>
      <c r="H551" s="93" t="n">
        <v>114000</v>
      </c>
      <c r="I551" s="92" t="inlineStr">
        <is>
          <t>3월 해외출장 - M항공</t>
        </is>
      </c>
      <c r="J551" s="92" t="inlineStr">
        <is>
          <t>V10001</t>
        </is>
      </c>
      <c r="K551" s="92" t="inlineStr">
        <is>
          <t>M항공</t>
        </is>
      </c>
      <c r="M551" s="9">
        <f>IF($A551="","",VALUE($A551&amp;"")*12+VALUE($B551&amp;""))</f>
        <v/>
      </c>
      <c r="N551" s="64">
        <f>IF($A551="","",IFERROR(INDEX(부서매핑!$C$5:$C$504,MATCH($G551&amp;"",부서매핑!$A$5:$A$504,0)),"미매핑"))</f>
        <v/>
      </c>
      <c r="O551" s="9">
        <f>IF($A551="","",N551&amp;"|"&amp;$F551)</f>
        <v/>
      </c>
      <c r="P551" s="94">
        <f>IF($A551="",0,$H551*설정!$C$23)</f>
        <v/>
      </c>
      <c r="Q551" s="64">
        <f>IF($A551="","",IF(O551&lt;&gt;원인분석!$C$9,"",IF(AND(M551&gt;=원인분석!$C$10,M551&lt;=원인분석!$C$11),"당기",IF(AND(M551&gt;=원인분석!$C$12,M551&lt;=원인분석!$C$13),"비교",""))))</f>
        <v/>
      </c>
      <c r="R551" s="9">
        <f>IF(Q551="","",$K551&amp;"")</f>
        <v/>
      </c>
      <c r="S551" s="9">
        <f>IF(Q551="","",IF(MATCH(R551,$R$5:$R$100000,0)=ROW()-4,ROW(),""))</f>
        <v/>
      </c>
      <c r="T551" s="9">
        <f>IF(Q551="당기",ABS(P551)+ROW()/1000000000,"")</f>
        <v/>
      </c>
      <c r="U551" s="9">
        <f>IF(Q551="비교",ABS(P551)+ROW()/1000000000,"")</f>
        <v/>
      </c>
      <c r="V551" s="64">
        <f>IF($A551="","",IF(COUNTIF(변동분석!$E$7:$E$506,O551)&gt;0,"Y","N"))</f>
        <v/>
      </c>
      <c r="W551" s="64">
        <f>IF($A551="","",IFERROR(INDEX(계정매핑!$D$5:$D$504,MATCH($F551&amp;"",계정매핑!$A$5:$A$504,0)),"미매핑"))</f>
        <v/>
      </c>
      <c r="X551" s="9">
        <f>IF($A551="","",$F551&amp;"")</f>
        <v/>
      </c>
      <c r="Y551" s="94">
        <f>IF($A551="",0,IF(AE551="직접",IF(AF551="비귀속",$P551,0),$P551*(1-AG551)*IFERROR(INDEX(계정대체기준!$F$20:$F$49,MATCH($N551,계정대체기준!$A$20:$A$49,0)),1)))</f>
        <v/>
      </c>
      <c r="Z551" s="94">
        <f>IF($A551="",0,IF(AE551="직접",IF(AF551="신계약비",$P551,0),$P551*(1-AG551)*IFERROR(INDEX(계정대체기준!$C$20:$C$49,MATCH($N551,계정대체기준!$A$20:$A$49,0)),0)))</f>
        <v/>
      </c>
      <c r="AA551" s="94">
        <f>IF($A551="",0,IF(AE551="직접",IF(OR(AF551="유지비",AF551="손해조사비"),$P551,0),$P551*(1-AG551)*IFERROR(INDEX(계정대체기준!$D$20:$D$49,MATCH($N551,계정대체기준!$A$20:$A$49,0)),0)))</f>
        <v/>
      </c>
      <c r="AB551" s="94">
        <f>IF($A551="",0,IF(AE551="직접",IF(AF551="수금비",$P551,0),$P551*(1-AG551)*IFERROR(INDEX(계정대체기준!$E$20:$E$49,MATCH($N551,계정대체기준!$A$20:$A$49,0)),0)))</f>
        <v/>
      </c>
      <c r="AC551" s="9">
        <f>IF(AND($A551&lt;&gt;"",M551=설정!$C$20,Z551&gt;0),Z551+ROW()/1000000000,"")</f>
        <v/>
      </c>
      <c r="AD551" s="94">
        <f>IF($A551="",0,$P551*AG551)</f>
        <v/>
      </c>
      <c r="AE551" s="64">
        <f>IF($A551="","",IFERROR(INDEX(계정매핑!$E$5:$E$504,MATCH($F551&amp;"",계정매핑!$A$5:$A$504,0))&amp;"","공통비"))</f>
        <v/>
      </c>
      <c r="AF551" s="64">
        <f>IF($A551="","",IF(AE551="직접",IFERROR(INDEX(계정매핑!$F$5:$F$504,MATCH($F551&amp;"",계정매핑!$A$5:$A$504,0))&amp;"","비귀속"),""))</f>
        <v/>
      </c>
      <c r="AG551" s="96">
        <f>IF($A551="",0,IF(AND(AE551&lt;&gt;"직접",IFERROR(INDEX(계정매핑!$G$5:$G$504,MATCH($F551&amp;"",계정매핑!$A$5:$A$504,0))&amp;"","")="유지비",COUNTIF(계정대체기준!$A$6:$A$15,$N551)&gt;0),IFERROR(INDEX(계정대체기준!$E$6:$E$15,MATCH(VALUE($A551&amp;""),계정대체기준!$D$6:$D$15,0)),0),0))</f>
        <v/>
      </c>
      <c r="AH551" s="64">
        <f>IF($A551="","",IF(AD551=0,"",IF(OR(COUNTIF(계정대체기준!$A$77:$A$86,$N551)&gt;0,ISNUMBER(MATCH($X551,계정대체기준!$D$77:$D$86,0)),ISNUMBER(MATCH($F551,계정대체기준!$D$77:$D$86,0))),"Y","N")))</f>
        <v/>
      </c>
    </row>
    <row r="552">
      <c r="A552" s="92" t="n">
        <v>2025</v>
      </c>
      <c r="B552" s="92" t="n">
        <v>3</v>
      </c>
      <c r="C552" s="92" t="inlineStr">
        <is>
          <t>5100000548</t>
        </is>
      </c>
      <c r="D552" s="95" t="n">
        <v>45727</v>
      </c>
      <c r="E552" s="92" t="inlineStr">
        <is>
          <t>KR</t>
        </is>
      </c>
      <c r="F552" s="92" t="n">
        <v>62102000</v>
      </c>
      <c r="G552" s="92" t="n">
        <v>1801</v>
      </c>
      <c r="H552" s="93" t="n">
        <v>36000</v>
      </c>
      <c r="I552" s="92" t="inlineStr">
        <is>
          <t>3월 해외출장 - M항공</t>
        </is>
      </c>
      <c r="J552" s="92" t="inlineStr">
        <is>
          <t>V10001</t>
        </is>
      </c>
      <c r="K552" s="92" t="inlineStr">
        <is>
          <t>M항공</t>
        </is>
      </c>
      <c r="M552" s="9">
        <f>IF($A552="","",VALUE($A552&amp;"")*12+VALUE($B552&amp;""))</f>
        <v/>
      </c>
      <c r="N552" s="64">
        <f>IF($A552="","",IFERROR(INDEX(부서매핑!$C$5:$C$504,MATCH($G552&amp;"",부서매핑!$A$5:$A$504,0)),"미매핑"))</f>
        <v/>
      </c>
      <c r="O552" s="9">
        <f>IF($A552="","",N552&amp;"|"&amp;$F552)</f>
        <v/>
      </c>
      <c r="P552" s="94">
        <f>IF($A552="",0,$H552*설정!$C$23)</f>
        <v/>
      </c>
      <c r="Q552" s="64">
        <f>IF($A552="","",IF(O552&lt;&gt;원인분석!$C$9,"",IF(AND(M552&gt;=원인분석!$C$10,M552&lt;=원인분석!$C$11),"당기",IF(AND(M552&gt;=원인분석!$C$12,M552&lt;=원인분석!$C$13),"비교",""))))</f>
        <v/>
      </c>
      <c r="R552" s="9">
        <f>IF(Q552="","",$K552&amp;"")</f>
        <v/>
      </c>
      <c r="S552" s="9">
        <f>IF(Q552="","",IF(MATCH(R552,$R$5:$R$100000,0)=ROW()-4,ROW(),""))</f>
        <v/>
      </c>
      <c r="T552" s="9">
        <f>IF(Q552="당기",ABS(P552)+ROW()/1000000000,"")</f>
        <v/>
      </c>
      <c r="U552" s="9">
        <f>IF(Q552="비교",ABS(P552)+ROW()/1000000000,"")</f>
        <v/>
      </c>
      <c r="V552" s="64">
        <f>IF($A552="","",IF(COUNTIF(변동분석!$E$7:$E$506,O552)&gt;0,"Y","N"))</f>
        <v/>
      </c>
      <c r="W552" s="64">
        <f>IF($A552="","",IFERROR(INDEX(계정매핑!$D$5:$D$504,MATCH($F552&amp;"",계정매핑!$A$5:$A$504,0)),"미매핑"))</f>
        <v/>
      </c>
      <c r="X552" s="9">
        <f>IF($A552="","",$F552&amp;"")</f>
        <v/>
      </c>
      <c r="Y552" s="94">
        <f>IF($A552="",0,IF(AE552="직접",IF(AF552="비귀속",$P552,0),$P552*(1-AG552)*IFERROR(INDEX(계정대체기준!$F$20:$F$49,MATCH($N552,계정대체기준!$A$20:$A$49,0)),1)))</f>
        <v/>
      </c>
      <c r="Z552" s="94">
        <f>IF($A552="",0,IF(AE552="직접",IF(AF552="신계약비",$P552,0),$P552*(1-AG552)*IFERROR(INDEX(계정대체기준!$C$20:$C$49,MATCH($N552,계정대체기준!$A$20:$A$49,0)),0)))</f>
        <v/>
      </c>
      <c r="AA552" s="94">
        <f>IF($A552="",0,IF(AE552="직접",IF(OR(AF552="유지비",AF552="손해조사비"),$P552,0),$P552*(1-AG552)*IFERROR(INDEX(계정대체기준!$D$20:$D$49,MATCH($N552,계정대체기준!$A$20:$A$49,0)),0)))</f>
        <v/>
      </c>
      <c r="AB552" s="94">
        <f>IF($A552="",0,IF(AE552="직접",IF(AF552="수금비",$P552,0),$P552*(1-AG552)*IFERROR(INDEX(계정대체기준!$E$20:$E$49,MATCH($N552,계정대체기준!$A$20:$A$49,0)),0)))</f>
        <v/>
      </c>
      <c r="AC552" s="9">
        <f>IF(AND($A552&lt;&gt;"",M552=설정!$C$20,Z552&gt;0),Z552+ROW()/1000000000,"")</f>
        <v/>
      </c>
      <c r="AD552" s="94">
        <f>IF($A552="",0,$P552*AG552)</f>
        <v/>
      </c>
      <c r="AE552" s="64">
        <f>IF($A552="","",IFERROR(INDEX(계정매핑!$E$5:$E$504,MATCH($F552&amp;"",계정매핑!$A$5:$A$504,0))&amp;"","공통비"))</f>
        <v/>
      </c>
      <c r="AF552" s="64">
        <f>IF($A552="","",IF(AE552="직접",IFERROR(INDEX(계정매핑!$F$5:$F$504,MATCH($F552&amp;"",계정매핑!$A$5:$A$504,0))&amp;"","비귀속"),""))</f>
        <v/>
      </c>
      <c r="AG552" s="96">
        <f>IF($A552="",0,IF(AND(AE552&lt;&gt;"직접",IFERROR(INDEX(계정매핑!$G$5:$G$504,MATCH($F552&amp;"",계정매핑!$A$5:$A$504,0))&amp;"","")="유지비",COUNTIF(계정대체기준!$A$6:$A$15,$N552)&gt;0),IFERROR(INDEX(계정대체기준!$E$6:$E$15,MATCH(VALUE($A552&amp;""),계정대체기준!$D$6:$D$15,0)),0),0))</f>
        <v/>
      </c>
      <c r="AH552" s="64">
        <f>IF($A552="","",IF(AD552=0,"",IF(OR(COUNTIF(계정대체기준!$A$77:$A$86,$N552)&gt;0,ISNUMBER(MATCH($X552,계정대체기준!$D$77:$D$86,0)),ISNUMBER(MATCH($F552,계정대체기준!$D$77:$D$86,0))),"Y","N")))</f>
        <v/>
      </c>
    </row>
    <row r="553">
      <c r="A553" s="92" t="n">
        <v>2025</v>
      </c>
      <c r="B553" s="92" t="n">
        <v>3</v>
      </c>
      <c r="C553" s="92" t="inlineStr">
        <is>
          <t>5100000549</t>
        </is>
      </c>
      <c r="D553" s="95" t="n">
        <v>45727</v>
      </c>
      <c r="E553" s="92" t="inlineStr">
        <is>
          <t>KR</t>
        </is>
      </c>
      <c r="F553" s="92" t="n">
        <v>62201000</v>
      </c>
      <c r="G553" s="92" t="n">
        <v>1301</v>
      </c>
      <c r="H553" s="93" t="n">
        <v>129000</v>
      </c>
      <c r="I553" s="92" t="inlineStr">
        <is>
          <t>3월 통신요금 - O텔레콤</t>
        </is>
      </c>
      <c r="J553" s="92" t="inlineStr">
        <is>
          <t>V10002</t>
        </is>
      </c>
      <c r="K553" s="92" t="inlineStr">
        <is>
          <t>O텔레콤</t>
        </is>
      </c>
      <c r="M553" s="9">
        <f>IF($A553="","",VALUE($A553&amp;"")*12+VALUE($B553&amp;""))</f>
        <v/>
      </c>
      <c r="N553" s="64">
        <f>IF($A553="","",IFERROR(INDEX(부서매핑!$C$5:$C$504,MATCH($G553&amp;"",부서매핑!$A$5:$A$504,0)),"미매핑"))</f>
        <v/>
      </c>
      <c r="O553" s="9">
        <f>IF($A553="","",N553&amp;"|"&amp;$F553)</f>
        <v/>
      </c>
      <c r="P553" s="94">
        <f>IF($A553="",0,$H553*설정!$C$23)</f>
        <v/>
      </c>
      <c r="Q553" s="64">
        <f>IF($A553="","",IF(O553&lt;&gt;원인분석!$C$9,"",IF(AND(M553&gt;=원인분석!$C$10,M553&lt;=원인분석!$C$11),"당기",IF(AND(M553&gt;=원인분석!$C$12,M553&lt;=원인분석!$C$13),"비교",""))))</f>
        <v/>
      </c>
      <c r="R553" s="9">
        <f>IF(Q553="","",$K553&amp;"")</f>
        <v/>
      </c>
      <c r="S553" s="9">
        <f>IF(Q553="","",IF(MATCH(R553,$R$5:$R$100000,0)=ROW()-4,ROW(),""))</f>
        <v/>
      </c>
      <c r="T553" s="9">
        <f>IF(Q553="당기",ABS(P553)+ROW()/1000000000,"")</f>
        <v/>
      </c>
      <c r="U553" s="9">
        <f>IF(Q553="비교",ABS(P553)+ROW()/1000000000,"")</f>
        <v/>
      </c>
      <c r="V553" s="64">
        <f>IF($A553="","",IF(COUNTIF(변동분석!$E$7:$E$506,O553)&gt;0,"Y","N"))</f>
        <v/>
      </c>
      <c r="W553" s="64">
        <f>IF($A553="","",IFERROR(INDEX(계정매핑!$D$5:$D$504,MATCH($F553&amp;"",계정매핑!$A$5:$A$504,0)),"미매핑"))</f>
        <v/>
      </c>
      <c r="X553" s="9">
        <f>IF($A553="","",$F553&amp;"")</f>
        <v/>
      </c>
      <c r="Y553" s="94">
        <f>IF($A553="",0,IF(AE553="직접",IF(AF553="비귀속",$P553,0),$P553*(1-AG553)*IFERROR(INDEX(계정대체기준!$F$20:$F$49,MATCH($N553,계정대체기준!$A$20:$A$49,0)),1)))</f>
        <v/>
      </c>
      <c r="Z553" s="94">
        <f>IF($A553="",0,IF(AE553="직접",IF(AF553="신계약비",$P553,0),$P553*(1-AG553)*IFERROR(INDEX(계정대체기준!$C$20:$C$49,MATCH($N553,계정대체기준!$A$20:$A$49,0)),0)))</f>
        <v/>
      </c>
      <c r="AA553" s="94">
        <f>IF($A553="",0,IF(AE553="직접",IF(OR(AF553="유지비",AF553="손해조사비"),$P553,0),$P553*(1-AG553)*IFERROR(INDEX(계정대체기준!$D$20:$D$49,MATCH($N553,계정대체기준!$A$20:$A$49,0)),0)))</f>
        <v/>
      </c>
      <c r="AB553" s="94">
        <f>IF($A553="",0,IF(AE553="직접",IF(AF553="수금비",$P553,0),$P553*(1-AG553)*IFERROR(INDEX(계정대체기준!$E$20:$E$49,MATCH($N553,계정대체기준!$A$20:$A$49,0)),0)))</f>
        <v/>
      </c>
      <c r="AC553" s="9">
        <f>IF(AND($A553&lt;&gt;"",M553=설정!$C$20,Z553&gt;0),Z553+ROW()/1000000000,"")</f>
        <v/>
      </c>
      <c r="AD553" s="94">
        <f>IF($A553="",0,$P553*AG553)</f>
        <v/>
      </c>
      <c r="AE553" s="64">
        <f>IF($A553="","",IFERROR(INDEX(계정매핑!$E$5:$E$504,MATCH($F553&amp;"",계정매핑!$A$5:$A$504,0))&amp;"","공통비"))</f>
        <v/>
      </c>
      <c r="AF553" s="64">
        <f>IF($A553="","",IF(AE553="직접",IFERROR(INDEX(계정매핑!$F$5:$F$504,MATCH($F553&amp;"",계정매핑!$A$5:$A$504,0))&amp;"","비귀속"),""))</f>
        <v/>
      </c>
      <c r="AG553" s="96">
        <f>IF($A553="",0,IF(AND(AE553&lt;&gt;"직접",IFERROR(INDEX(계정매핑!$G$5:$G$504,MATCH($F553&amp;"",계정매핑!$A$5:$A$504,0))&amp;"","")="유지비",COUNTIF(계정대체기준!$A$6:$A$15,$N553)&gt;0),IFERROR(INDEX(계정대체기준!$E$6:$E$15,MATCH(VALUE($A553&amp;""),계정대체기준!$D$6:$D$15,0)),0),0))</f>
        <v/>
      </c>
      <c r="AH553" s="64">
        <f>IF($A553="","",IF(AD553=0,"",IF(OR(COUNTIF(계정대체기준!$A$77:$A$86,$N553)&gt;0,ISNUMBER(MATCH($X553,계정대체기준!$D$77:$D$86,0)),ISNUMBER(MATCH($F553,계정대체기준!$D$77:$D$86,0))),"Y","N")))</f>
        <v/>
      </c>
    </row>
    <row r="554">
      <c r="A554" s="92" t="n">
        <v>2025</v>
      </c>
      <c r="B554" s="92" t="n">
        <v>3</v>
      </c>
      <c r="C554" s="92" t="inlineStr">
        <is>
          <t>5100000550</t>
        </is>
      </c>
      <c r="D554" s="95" t="n">
        <v>45727</v>
      </c>
      <c r="E554" s="92" t="inlineStr">
        <is>
          <t>KR</t>
        </is>
      </c>
      <c r="F554" s="92" t="n">
        <v>62201000</v>
      </c>
      <c r="G554" s="92" t="n">
        <v>1951</v>
      </c>
      <c r="H554" s="93" t="n">
        <v>284000</v>
      </c>
      <c r="I554" s="92" t="inlineStr">
        <is>
          <t>3월 통신요금 - O텔레콤</t>
        </is>
      </c>
      <c r="J554" s="92" t="inlineStr">
        <is>
          <t>V10002</t>
        </is>
      </c>
      <c r="K554" s="92" t="inlineStr">
        <is>
          <t>O텔레콤</t>
        </is>
      </c>
      <c r="M554" s="9">
        <f>IF($A554="","",VALUE($A554&amp;"")*12+VALUE($B554&amp;""))</f>
        <v/>
      </c>
      <c r="N554" s="64">
        <f>IF($A554="","",IFERROR(INDEX(부서매핑!$C$5:$C$504,MATCH($G554&amp;"",부서매핑!$A$5:$A$504,0)),"미매핑"))</f>
        <v/>
      </c>
      <c r="O554" s="9">
        <f>IF($A554="","",N554&amp;"|"&amp;$F554)</f>
        <v/>
      </c>
      <c r="P554" s="94">
        <f>IF($A554="",0,$H554*설정!$C$23)</f>
        <v/>
      </c>
      <c r="Q554" s="64">
        <f>IF($A554="","",IF(O554&lt;&gt;원인분석!$C$9,"",IF(AND(M554&gt;=원인분석!$C$10,M554&lt;=원인분석!$C$11),"당기",IF(AND(M554&gt;=원인분석!$C$12,M554&lt;=원인분석!$C$13),"비교",""))))</f>
        <v/>
      </c>
      <c r="R554" s="9">
        <f>IF(Q554="","",$K554&amp;"")</f>
        <v/>
      </c>
      <c r="S554" s="9">
        <f>IF(Q554="","",IF(MATCH(R554,$R$5:$R$100000,0)=ROW()-4,ROW(),""))</f>
        <v/>
      </c>
      <c r="T554" s="9">
        <f>IF(Q554="당기",ABS(P554)+ROW()/1000000000,"")</f>
        <v/>
      </c>
      <c r="U554" s="9">
        <f>IF(Q554="비교",ABS(P554)+ROW()/1000000000,"")</f>
        <v/>
      </c>
      <c r="V554" s="64">
        <f>IF($A554="","",IF(COUNTIF(변동분석!$E$7:$E$506,O554)&gt;0,"Y","N"))</f>
        <v/>
      </c>
      <c r="W554" s="64">
        <f>IF($A554="","",IFERROR(INDEX(계정매핑!$D$5:$D$504,MATCH($F554&amp;"",계정매핑!$A$5:$A$504,0)),"미매핑"))</f>
        <v/>
      </c>
      <c r="X554" s="9">
        <f>IF($A554="","",$F554&amp;"")</f>
        <v/>
      </c>
      <c r="Y554" s="94">
        <f>IF($A554="",0,IF(AE554="직접",IF(AF554="비귀속",$P554,0),$P554*(1-AG554)*IFERROR(INDEX(계정대체기준!$F$20:$F$49,MATCH($N554,계정대체기준!$A$20:$A$49,0)),1)))</f>
        <v/>
      </c>
      <c r="Z554" s="94">
        <f>IF($A554="",0,IF(AE554="직접",IF(AF554="신계약비",$P554,0),$P554*(1-AG554)*IFERROR(INDEX(계정대체기준!$C$20:$C$49,MATCH($N554,계정대체기준!$A$20:$A$49,0)),0)))</f>
        <v/>
      </c>
      <c r="AA554" s="94">
        <f>IF($A554="",0,IF(AE554="직접",IF(OR(AF554="유지비",AF554="손해조사비"),$P554,0),$P554*(1-AG554)*IFERROR(INDEX(계정대체기준!$D$20:$D$49,MATCH($N554,계정대체기준!$A$20:$A$49,0)),0)))</f>
        <v/>
      </c>
      <c r="AB554" s="94">
        <f>IF($A554="",0,IF(AE554="직접",IF(AF554="수금비",$P554,0),$P554*(1-AG554)*IFERROR(INDEX(계정대체기준!$E$20:$E$49,MATCH($N554,계정대체기준!$A$20:$A$49,0)),0)))</f>
        <v/>
      </c>
      <c r="AC554" s="9">
        <f>IF(AND($A554&lt;&gt;"",M554=설정!$C$20,Z554&gt;0),Z554+ROW()/1000000000,"")</f>
        <v/>
      </c>
      <c r="AD554" s="94">
        <f>IF($A554="",0,$P554*AG554)</f>
        <v/>
      </c>
      <c r="AE554" s="64">
        <f>IF($A554="","",IFERROR(INDEX(계정매핑!$E$5:$E$504,MATCH($F554&amp;"",계정매핑!$A$5:$A$504,0))&amp;"","공통비"))</f>
        <v/>
      </c>
      <c r="AF554" s="64">
        <f>IF($A554="","",IF(AE554="직접",IFERROR(INDEX(계정매핑!$F$5:$F$504,MATCH($F554&amp;"",계정매핑!$A$5:$A$504,0))&amp;"","비귀속"),""))</f>
        <v/>
      </c>
      <c r="AG554" s="96">
        <f>IF($A554="",0,IF(AND(AE554&lt;&gt;"직접",IFERROR(INDEX(계정매핑!$G$5:$G$504,MATCH($F554&amp;"",계정매핑!$A$5:$A$504,0))&amp;"","")="유지비",COUNTIF(계정대체기준!$A$6:$A$15,$N554)&gt;0),IFERROR(INDEX(계정대체기준!$E$6:$E$15,MATCH(VALUE($A554&amp;""),계정대체기준!$D$6:$D$15,0)),0),0))</f>
        <v/>
      </c>
      <c r="AH554" s="64">
        <f>IF($A554="","",IF(AD554=0,"",IF(OR(COUNTIF(계정대체기준!$A$77:$A$86,$N554)&gt;0,ISNUMBER(MATCH($X554,계정대체기준!$D$77:$D$86,0)),ISNUMBER(MATCH($F554,계정대체기준!$D$77:$D$86,0))),"Y","N")))</f>
        <v/>
      </c>
    </row>
    <row r="555">
      <c r="A555" s="92" t="n">
        <v>2025</v>
      </c>
      <c r="B555" s="92" t="n">
        <v>3</v>
      </c>
      <c r="C555" s="92" t="inlineStr">
        <is>
          <t>5100000551</t>
        </is>
      </c>
      <c r="D555" s="95" t="n">
        <v>45727</v>
      </c>
      <c r="E555" s="92" t="inlineStr">
        <is>
          <t>KR</t>
        </is>
      </c>
      <c r="F555" s="92" t="n">
        <v>62301000</v>
      </c>
      <c r="G555" s="92" t="n">
        <v>1601</v>
      </c>
      <c r="H555" s="93" t="n">
        <v>444000</v>
      </c>
      <c r="I555" s="92" t="inlineStr">
        <is>
          <t>3월 소모품 구입 - Q오피스</t>
        </is>
      </c>
      <c r="J555" s="92" t="inlineStr">
        <is>
          <t>V10003</t>
        </is>
      </c>
      <c r="K555" s="92" t="inlineStr">
        <is>
          <t>Q오피스</t>
        </is>
      </c>
      <c r="M555" s="9">
        <f>IF($A555="","",VALUE($A555&amp;"")*12+VALUE($B555&amp;""))</f>
        <v/>
      </c>
      <c r="N555" s="64">
        <f>IF($A555="","",IFERROR(INDEX(부서매핑!$C$5:$C$504,MATCH($G555&amp;"",부서매핑!$A$5:$A$504,0)),"미매핑"))</f>
        <v/>
      </c>
      <c r="O555" s="9">
        <f>IF($A555="","",N555&amp;"|"&amp;$F555)</f>
        <v/>
      </c>
      <c r="P555" s="94">
        <f>IF($A555="",0,$H555*설정!$C$23)</f>
        <v/>
      </c>
      <c r="Q555" s="64">
        <f>IF($A555="","",IF(O555&lt;&gt;원인분석!$C$9,"",IF(AND(M555&gt;=원인분석!$C$10,M555&lt;=원인분석!$C$11),"당기",IF(AND(M555&gt;=원인분석!$C$12,M555&lt;=원인분석!$C$13),"비교",""))))</f>
        <v/>
      </c>
      <c r="R555" s="9">
        <f>IF(Q555="","",$K555&amp;"")</f>
        <v/>
      </c>
      <c r="S555" s="9">
        <f>IF(Q555="","",IF(MATCH(R555,$R$5:$R$100000,0)=ROW()-4,ROW(),""))</f>
        <v/>
      </c>
      <c r="T555" s="9">
        <f>IF(Q555="당기",ABS(P555)+ROW()/1000000000,"")</f>
        <v/>
      </c>
      <c r="U555" s="9">
        <f>IF(Q555="비교",ABS(P555)+ROW()/1000000000,"")</f>
        <v/>
      </c>
      <c r="V555" s="64">
        <f>IF($A555="","",IF(COUNTIF(변동분석!$E$7:$E$506,O555)&gt;0,"Y","N"))</f>
        <v/>
      </c>
      <c r="W555" s="64">
        <f>IF($A555="","",IFERROR(INDEX(계정매핑!$D$5:$D$504,MATCH($F555&amp;"",계정매핑!$A$5:$A$504,0)),"미매핑"))</f>
        <v/>
      </c>
      <c r="X555" s="9">
        <f>IF($A555="","",$F555&amp;"")</f>
        <v/>
      </c>
      <c r="Y555" s="94">
        <f>IF($A555="",0,IF(AE555="직접",IF(AF555="비귀속",$P555,0),$P555*(1-AG555)*IFERROR(INDEX(계정대체기준!$F$20:$F$49,MATCH($N555,계정대체기준!$A$20:$A$49,0)),1)))</f>
        <v/>
      </c>
      <c r="Z555" s="94">
        <f>IF($A555="",0,IF(AE555="직접",IF(AF555="신계약비",$P555,0),$P555*(1-AG555)*IFERROR(INDEX(계정대체기준!$C$20:$C$49,MATCH($N555,계정대체기준!$A$20:$A$49,0)),0)))</f>
        <v/>
      </c>
      <c r="AA555" s="94">
        <f>IF($A555="",0,IF(AE555="직접",IF(OR(AF555="유지비",AF555="손해조사비"),$P555,0),$P555*(1-AG555)*IFERROR(INDEX(계정대체기준!$D$20:$D$49,MATCH($N555,계정대체기준!$A$20:$A$49,0)),0)))</f>
        <v/>
      </c>
      <c r="AB555" s="94">
        <f>IF($A555="",0,IF(AE555="직접",IF(AF555="수금비",$P555,0),$P555*(1-AG555)*IFERROR(INDEX(계정대체기준!$E$20:$E$49,MATCH($N555,계정대체기준!$A$20:$A$49,0)),0)))</f>
        <v/>
      </c>
      <c r="AC555" s="9">
        <f>IF(AND($A555&lt;&gt;"",M555=설정!$C$20,Z555&gt;0),Z555+ROW()/1000000000,"")</f>
        <v/>
      </c>
      <c r="AD555" s="94">
        <f>IF($A555="",0,$P555*AG555)</f>
        <v/>
      </c>
      <c r="AE555" s="64">
        <f>IF($A555="","",IFERROR(INDEX(계정매핑!$E$5:$E$504,MATCH($F555&amp;"",계정매핑!$A$5:$A$504,0))&amp;"","공통비"))</f>
        <v/>
      </c>
      <c r="AF555" s="64">
        <f>IF($A555="","",IF(AE555="직접",IFERROR(INDEX(계정매핑!$F$5:$F$504,MATCH($F555&amp;"",계정매핑!$A$5:$A$504,0))&amp;"","비귀속"),""))</f>
        <v/>
      </c>
      <c r="AG555" s="96">
        <f>IF($A555="",0,IF(AND(AE555&lt;&gt;"직접",IFERROR(INDEX(계정매핑!$G$5:$G$504,MATCH($F555&amp;"",계정매핑!$A$5:$A$504,0))&amp;"","")="유지비",COUNTIF(계정대체기준!$A$6:$A$15,$N555)&gt;0),IFERROR(INDEX(계정대체기준!$E$6:$E$15,MATCH(VALUE($A555&amp;""),계정대체기준!$D$6:$D$15,0)),0),0))</f>
        <v/>
      </c>
      <c r="AH555" s="64">
        <f>IF($A555="","",IF(AD555=0,"",IF(OR(COUNTIF(계정대체기준!$A$77:$A$86,$N555)&gt;0,ISNUMBER(MATCH($X555,계정대체기준!$D$77:$D$86,0)),ISNUMBER(MATCH($F555,계정대체기준!$D$77:$D$86,0))),"Y","N")))</f>
        <v/>
      </c>
    </row>
    <row r="556">
      <c r="A556" s="92" t="n">
        <v>2025</v>
      </c>
      <c r="B556" s="92" t="n">
        <v>3</v>
      </c>
      <c r="C556" s="92" t="inlineStr">
        <is>
          <t>5100000552</t>
        </is>
      </c>
      <c r="D556" s="95" t="n">
        <v>45727</v>
      </c>
      <c r="E556" s="92" t="inlineStr">
        <is>
          <t>KR</t>
        </is>
      </c>
      <c r="F556" s="92" t="n">
        <v>62301000</v>
      </c>
      <c r="G556" s="92" t="n">
        <v>1701</v>
      </c>
      <c r="H556" s="93" t="n">
        <v>124000</v>
      </c>
      <c r="I556" s="92" t="inlineStr">
        <is>
          <t>3월 소모품 구입 - R문구</t>
        </is>
      </c>
      <c r="J556" s="92" t="inlineStr">
        <is>
          <t>V10022</t>
        </is>
      </c>
      <c r="K556" s="92" t="inlineStr">
        <is>
          <t>R문구</t>
        </is>
      </c>
      <c r="M556" s="9">
        <f>IF($A556="","",VALUE($A556&amp;"")*12+VALUE($B556&amp;""))</f>
        <v/>
      </c>
      <c r="N556" s="64">
        <f>IF($A556="","",IFERROR(INDEX(부서매핑!$C$5:$C$504,MATCH($G556&amp;"",부서매핑!$A$5:$A$504,0)),"미매핑"))</f>
        <v/>
      </c>
      <c r="O556" s="9">
        <f>IF($A556="","",N556&amp;"|"&amp;$F556)</f>
        <v/>
      </c>
      <c r="P556" s="94">
        <f>IF($A556="",0,$H556*설정!$C$23)</f>
        <v/>
      </c>
      <c r="Q556" s="64">
        <f>IF($A556="","",IF(O556&lt;&gt;원인분석!$C$9,"",IF(AND(M556&gt;=원인분석!$C$10,M556&lt;=원인분석!$C$11),"당기",IF(AND(M556&gt;=원인분석!$C$12,M556&lt;=원인분석!$C$13),"비교",""))))</f>
        <v/>
      </c>
      <c r="R556" s="9">
        <f>IF(Q556="","",$K556&amp;"")</f>
        <v/>
      </c>
      <c r="S556" s="9">
        <f>IF(Q556="","",IF(MATCH(R556,$R$5:$R$100000,0)=ROW()-4,ROW(),""))</f>
        <v/>
      </c>
      <c r="T556" s="9">
        <f>IF(Q556="당기",ABS(P556)+ROW()/1000000000,"")</f>
        <v/>
      </c>
      <c r="U556" s="9">
        <f>IF(Q556="비교",ABS(P556)+ROW()/1000000000,"")</f>
        <v/>
      </c>
      <c r="V556" s="64">
        <f>IF($A556="","",IF(COUNTIF(변동분석!$E$7:$E$506,O556)&gt;0,"Y","N"))</f>
        <v/>
      </c>
      <c r="W556" s="64">
        <f>IF($A556="","",IFERROR(INDEX(계정매핑!$D$5:$D$504,MATCH($F556&amp;"",계정매핑!$A$5:$A$504,0)),"미매핑"))</f>
        <v/>
      </c>
      <c r="X556" s="9">
        <f>IF($A556="","",$F556&amp;"")</f>
        <v/>
      </c>
      <c r="Y556" s="94">
        <f>IF($A556="",0,IF(AE556="직접",IF(AF556="비귀속",$P556,0),$P556*(1-AG556)*IFERROR(INDEX(계정대체기준!$F$20:$F$49,MATCH($N556,계정대체기준!$A$20:$A$49,0)),1)))</f>
        <v/>
      </c>
      <c r="Z556" s="94">
        <f>IF($A556="",0,IF(AE556="직접",IF(AF556="신계약비",$P556,0),$P556*(1-AG556)*IFERROR(INDEX(계정대체기준!$C$20:$C$49,MATCH($N556,계정대체기준!$A$20:$A$49,0)),0)))</f>
        <v/>
      </c>
      <c r="AA556" s="94">
        <f>IF($A556="",0,IF(AE556="직접",IF(OR(AF556="유지비",AF556="손해조사비"),$P556,0),$P556*(1-AG556)*IFERROR(INDEX(계정대체기준!$D$20:$D$49,MATCH($N556,계정대체기준!$A$20:$A$49,0)),0)))</f>
        <v/>
      </c>
      <c r="AB556" s="94">
        <f>IF($A556="",0,IF(AE556="직접",IF(AF556="수금비",$P556,0),$P556*(1-AG556)*IFERROR(INDEX(계정대체기준!$E$20:$E$49,MATCH($N556,계정대체기준!$A$20:$A$49,0)),0)))</f>
        <v/>
      </c>
      <c r="AC556" s="9">
        <f>IF(AND($A556&lt;&gt;"",M556=설정!$C$20,Z556&gt;0),Z556+ROW()/1000000000,"")</f>
        <v/>
      </c>
      <c r="AD556" s="94">
        <f>IF($A556="",0,$P556*AG556)</f>
        <v/>
      </c>
      <c r="AE556" s="64">
        <f>IF($A556="","",IFERROR(INDEX(계정매핑!$E$5:$E$504,MATCH($F556&amp;"",계정매핑!$A$5:$A$504,0))&amp;"","공통비"))</f>
        <v/>
      </c>
      <c r="AF556" s="64">
        <f>IF($A556="","",IF(AE556="직접",IFERROR(INDEX(계정매핑!$F$5:$F$504,MATCH($F556&amp;"",계정매핑!$A$5:$A$504,0))&amp;"","비귀속"),""))</f>
        <v/>
      </c>
      <c r="AG556" s="96">
        <f>IF($A556="",0,IF(AND(AE556&lt;&gt;"직접",IFERROR(INDEX(계정매핑!$G$5:$G$504,MATCH($F556&amp;"",계정매핑!$A$5:$A$504,0))&amp;"","")="유지비",COUNTIF(계정대체기준!$A$6:$A$15,$N556)&gt;0),IFERROR(INDEX(계정대체기준!$E$6:$E$15,MATCH(VALUE($A556&amp;""),계정대체기준!$D$6:$D$15,0)),0),0))</f>
        <v/>
      </c>
      <c r="AH556" s="64">
        <f>IF($A556="","",IF(AD556=0,"",IF(OR(COUNTIF(계정대체기준!$A$77:$A$86,$N556)&gt;0,ISNUMBER(MATCH($X556,계정대체기준!$D$77:$D$86,0)),ISNUMBER(MATCH($F556,계정대체기준!$D$77:$D$86,0))),"Y","N")))</f>
        <v/>
      </c>
    </row>
    <row r="557">
      <c r="A557" s="92" t="n">
        <v>2025</v>
      </c>
      <c r="B557" s="92" t="n">
        <v>3</v>
      </c>
      <c r="C557" s="92" t="inlineStr">
        <is>
          <t>5100000553</t>
        </is>
      </c>
      <c r="D557" s="95" t="n">
        <v>45727</v>
      </c>
      <c r="E557" s="92" t="inlineStr">
        <is>
          <t>KR</t>
        </is>
      </c>
      <c r="F557" s="92" t="n">
        <v>62501000</v>
      </c>
      <c r="G557" s="92" t="n">
        <v>1501</v>
      </c>
      <c r="H557" s="93" t="n">
        <v>305000</v>
      </c>
      <c r="I557" s="92" t="inlineStr">
        <is>
          <t>3월 회의 다과 - T케이터링</t>
        </is>
      </c>
      <c r="J557" s="92" t="inlineStr">
        <is>
          <t>V10005</t>
        </is>
      </c>
      <c r="K557" s="92" t="inlineStr">
        <is>
          <t>T케이터링</t>
        </is>
      </c>
      <c r="M557" s="9">
        <f>IF($A557="","",VALUE($A557&amp;"")*12+VALUE($B557&amp;""))</f>
        <v/>
      </c>
      <c r="N557" s="64">
        <f>IF($A557="","",IFERROR(INDEX(부서매핑!$C$5:$C$504,MATCH($G557&amp;"",부서매핑!$A$5:$A$504,0)),"미매핑"))</f>
        <v/>
      </c>
      <c r="O557" s="9">
        <f>IF($A557="","",N557&amp;"|"&amp;$F557)</f>
        <v/>
      </c>
      <c r="P557" s="94">
        <f>IF($A557="",0,$H557*설정!$C$23)</f>
        <v/>
      </c>
      <c r="Q557" s="64">
        <f>IF($A557="","",IF(O557&lt;&gt;원인분석!$C$9,"",IF(AND(M557&gt;=원인분석!$C$10,M557&lt;=원인분석!$C$11),"당기",IF(AND(M557&gt;=원인분석!$C$12,M557&lt;=원인분석!$C$13),"비교",""))))</f>
        <v/>
      </c>
      <c r="R557" s="9">
        <f>IF(Q557="","",$K557&amp;"")</f>
        <v/>
      </c>
      <c r="S557" s="9">
        <f>IF(Q557="","",IF(MATCH(R557,$R$5:$R$100000,0)=ROW()-4,ROW(),""))</f>
        <v/>
      </c>
      <c r="T557" s="9">
        <f>IF(Q557="당기",ABS(P557)+ROW()/1000000000,"")</f>
        <v/>
      </c>
      <c r="U557" s="9">
        <f>IF(Q557="비교",ABS(P557)+ROW()/1000000000,"")</f>
        <v/>
      </c>
      <c r="V557" s="64">
        <f>IF($A557="","",IF(COUNTIF(변동분석!$E$7:$E$506,O557)&gt;0,"Y","N"))</f>
        <v/>
      </c>
      <c r="W557" s="64">
        <f>IF($A557="","",IFERROR(INDEX(계정매핑!$D$5:$D$504,MATCH($F557&amp;"",계정매핑!$A$5:$A$504,0)),"미매핑"))</f>
        <v/>
      </c>
      <c r="X557" s="9">
        <f>IF($A557="","",$F557&amp;"")</f>
        <v/>
      </c>
      <c r="Y557" s="94">
        <f>IF($A557="",0,IF(AE557="직접",IF(AF557="비귀속",$P557,0),$P557*(1-AG557)*IFERROR(INDEX(계정대체기준!$F$20:$F$49,MATCH($N557,계정대체기준!$A$20:$A$49,0)),1)))</f>
        <v/>
      </c>
      <c r="Z557" s="94">
        <f>IF($A557="",0,IF(AE557="직접",IF(AF557="신계약비",$P557,0),$P557*(1-AG557)*IFERROR(INDEX(계정대체기준!$C$20:$C$49,MATCH($N557,계정대체기준!$A$20:$A$49,0)),0)))</f>
        <v/>
      </c>
      <c r="AA557" s="94">
        <f>IF($A557="",0,IF(AE557="직접",IF(OR(AF557="유지비",AF557="손해조사비"),$P557,0),$P557*(1-AG557)*IFERROR(INDEX(계정대체기준!$D$20:$D$49,MATCH($N557,계정대체기준!$A$20:$A$49,0)),0)))</f>
        <v/>
      </c>
      <c r="AB557" s="94">
        <f>IF($A557="",0,IF(AE557="직접",IF(AF557="수금비",$P557,0),$P557*(1-AG557)*IFERROR(INDEX(계정대체기준!$E$20:$E$49,MATCH($N557,계정대체기준!$A$20:$A$49,0)),0)))</f>
        <v/>
      </c>
      <c r="AC557" s="9">
        <f>IF(AND($A557&lt;&gt;"",M557=설정!$C$20,Z557&gt;0),Z557+ROW()/1000000000,"")</f>
        <v/>
      </c>
      <c r="AD557" s="94">
        <f>IF($A557="",0,$P557*AG557)</f>
        <v/>
      </c>
      <c r="AE557" s="64">
        <f>IF($A557="","",IFERROR(INDEX(계정매핑!$E$5:$E$504,MATCH($F557&amp;"",계정매핑!$A$5:$A$504,0))&amp;"","공통비"))</f>
        <v/>
      </c>
      <c r="AF557" s="64">
        <f>IF($A557="","",IF(AE557="직접",IFERROR(INDEX(계정매핑!$F$5:$F$504,MATCH($F557&amp;"",계정매핑!$A$5:$A$504,0))&amp;"","비귀속"),""))</f>
        <v/>
      </c>
      <c r="AG557" s="96">
        <f>IF($A557="",0,IF(AND(AE557&lt;&gt;"직접",IFERROR(INDEX(계정매핑!$G$5:$G$504,MATCH($F557&amp;"",계정매핑!$A$5:$A$504,0))&amp;"","")="유지비",COUNTIF(계정대체기준!$A$6:$A$15,$N557)&gt;0),IFERROR(INDEX(계정대체기준!$E$6:$E$15,MATCH(VALUE($A557&amp;""),계정대체기준!$D$6:$D$15,0)),0),0))</f>
        <v/>
      </c>
      <c r="AH557" s="64">
        <f>IF($A557="","",IF(AD557=0,"",IF(OR(COUNTIF(계정대체기준!$A$77:$A$86,$N557)&gt;0,ISNUMBER(MATCH($X557,계정대체기준!$D$77:$D$86,0)),ISNUMBER(MATCH($F557,계정대체기준!$D$77:$D$86,0))),"Y","N")))</f>
        <v/>
      </c>
    </row>
    <row r="558">
      <c r="A558" s="92" t="n">
        <v>2025</v>
      </c>
      <c r="B558" s="92" t="n">
        <v>3</v>
      </c>
      <c r="C558" s="92" t="inlineStr">
        <is>
          <t>5100000554</t>
        </is>
      </c>
      <c r="D558" s="95" t="n">
        <v>45727</v>
      </c>
      <c r="E558" s="92" t="inlineStr">
        <is>
          <t>KR</t>
        </is>
      </c>
      <c r="F558" s="92" t="n">
        <v>62601000</v>
      </c>
      <c r="G558" s="92" t="n">
        <v>1501</v>
      </c>
      <c r="H558" s="93" t="n">
        <v>1414000</v>
      </c>
      <c r="I558" s="92" t="inlineStr">
        <is>
          <t>3월 업무추진 - (법인카드)</t>
        </is>
      </c>
      <c r="J558" s="92" t="inlineStr">
        <is>
          <t>V10010</t>
        </is>
      </c>
      <c r="K558" s="92" t="inlineStr">
        <is>
          <t>(법인카드)</t>
        </is>
      </c>
      <c r="M558" s="9">
        <f>IF($A558="","",VALUE($A558&amp;"")*12+VALUE($B558&amp;""))</f>
        <v/>
      </c>
      <c r="N558" s="64">
        <f>IF($A558="","",IFERROR(INDEX(부서매핑!$C$5:$C$504,MATCH($G558&amp;"",부서매핑!$A$5:$A$504,0)),"미매핑"))</f>
        <v/>
      </c>
      <c r="O558" s="9">
        <f>IF($A558="","",N558&amp;"|"&amp;$F558)</f>
        <v/>
      </c>
      <c r="P558" s="94">
        <f>IF($A558="",0,$H558*설정!$C$23)</f>
        <v/>
      </c>
      <c r="Q558" s="64">
        <f>IF($A558="","",IF(O558&lt;&gt;원인분석!$C$9,"",IF(AND(M558&gt;=원인분석!$C$10,M558&lt;=원인분석!$C$11),"당기",IF(AND(M558&gt;=원인분석!$C$12,M558&lt;=원인분석!$C$13),"비교",""))))</f>
        <v/>
      </c>
      <c r="R558" s="9">
        <f>IF(Q558="","",$K558&amp;"")</f>
        <v/>
      </c>
      <c r="S558" s="9">
        <f>IF(Q558="","",IF(MATCH(R558,$R$5:$R$100000,0)=ROW()-4,ROW(),""))</f>
        <v/>
      </c>
      <c r="T558" s="9">
        <f>IF(Q558="당기",ABS(P558)+ROW()/1000000000,"")</f>
        <v/>
      </c>
      <c r="U558" s="9">
        <f>IF(Q558="비교",ABS(P558)+ROW()/1000000000,"")</f>
        <v/>
      </c>
      <c r="V558" s="64">
        <f>IF($A558="","",IF(COUNTIF(변동분석!$E$7:$E$506,O558)&gt;0,"Y","N"))</f>
        <v/>
      </c>
      <c r="W558" s="64">
        <f>IF($A558="","",IFERROR(INDEX(계정매핑!$D$5:$D$504,MATCH($F558&amp;"",계정매핑!$A$5:$A$504,0)),"미매핑"))</f>
        <v/>
      </c>
      <c r="X558" s="9">
        <f>IF($A558="","",$F558&amp;"")</f>
        <v/>
      </c>
      <c r="Y558" s="94">
        <f>IF($A558="",0,IF(AE558="직접",IF(AF558="비귀속",$P558,0),$P558*(1-AG558)*IFERROR(INDEX(계정대체기준!$F$20:$F$49,MATCH($N558,계정대체기준!$A$20:$A$49,0)),1)))</f>
        <v/>
      </c>
      <c r="Z558" s="94">
        <f>IF($A558="",0,IF(AE558="직접",IF(AF558="신계약비",$P558,0),$P558*(1-AG558)*IFERROR(INDEX(계정대체기준!$C$20:$C$49,MATCH($N558,계정대체기준!$A$20:$A$49,0)),0)))</f>
        <v/>
      </c>
      <c r="AA558" s="94">
        <f>IF($A558="",0,IF(AE558="직접",IF(OR(AF558="유지비",AF558="손해조사비"),$P558,0),$P558*(1-AG558)*IFERROR(INDEX(계정대체기준!$D$20:$D$49,MATCH($N558,계정대체기준!$A$20:$A$49,0)),0)))</f>
        <v/>
      </c>
      <c r="AB558" s="94">
        <f>IF($A558="",0,IF(AE558="직접",IF(AF558="수금비",$P558,0),$P558*(1-AG558)*IFERROR(INDEX(계정대체기준!$E$20:$E$49,MATCH($N558,계정대체기준!$A$20:$A$49,0)),0)))</f>
        <v/>
      </c>
      <c r="AC558" s="9">
        <f>IF(AND($A558&lt;&gt;"",M558=설정!$C$20,Z558&gt;0),Z558+ROW()/1000000000,"")</f>
        <v/>
      </c>
      <c r="AD558" s="94">
        <f>IF($A558="",0,$P558*AG558)</f>
        <v/>
      </c>
      <c r="AE558" s="64">
        <f>IF($A558="","",IFERROR(INDEX(계정매핑!$E$5:$E$504,MATCH($F558&amp;"",계정매핑!$A$5:$A$504,0))&amp;"","공통비"))</f>
        <v/>
      </c>
      <c r="AF558" s="64">
        <f>IF($A558="","",IF(AE558="직접",IFERROR(INDEX(계정매핑!$F$5:$F$504,MATCH($F558&amp;"",계정매핑!$A$5:$A$504,0))&amp;"","비귀속"),""))</f>
        <v/>
      </c>
      <c r="AG558" s="96">
        <f>IF($A558="",0,IF(AND(AE558&lt;&gt;"직접",IFERROR(INDEX(계정매핑!$G$5:$G$504,MATCH($F558&amp;"",계정매핑!$A$5:$A$504,0))&amp;"","")="유지비",COUNTIF(계정대체기준!$A$6:$A$15,$N558)&gt;0),IFERROR(INDEX(계정대체기준!$E$6:$E$15,MATCH(VALUE($A558&amp;""),계정대체기준!$D$6:$D$15,0)),0),0))</f>
        <v/>
      </c>
      <c r="AH558" s="64">
        <f>IF($A558="","",IF(AD558=0,"",IF(OR(COUNTIF(계정대체기준!$A$77:$A$86,$N558)&gt;0,ISNUMBER(MATCH($X558,계정대체기준!$D$77:$D$86,0)),ISNUMBER(MATCH($F558,계정대체기준!$D$77:$D$86,0))),"Y","N")))</f>
        <v/>
      </c>
    </row>
    <row r="559">
      <c r="A559" s="92" t="n">
        <v>2025</v>
      </c>
      <c r="B559" s="92" t="n">
        <v>3</v>
      </c>
      <c r="C559" s="92" t="inlineStr">
        <is>
          <t>5100000555</t>
        </is>
      </c>
      <c r="D559" s="95" t="n">
        <v>45727</v>
      </c>
      <c r="E559" s="92" t="inlineStr">
        <is>
          <t>KR</t>
        </is>
      </c>
      <c r="F559" s="92" t="n">
        <v>62901000</v>
      </c>
      <c r="G559" s="92" t="n">
        <v>1401</v>
      </c>
      <c r="H559" s="93" t="n">
        <v>4839000</v>
      </c>
      <c r="I559" s="92" t="inlineStr">
        <is>
          <t>3월 자문 수수료 - W컨설팅</t>
        </is>
      </c>
      <c r="J559" s="92" t="inlineStr">
        <is>
          <t>V10006</t>
        </is>
      </c>
      <c r="K559" s="92" t="inlineStr">
        <is>
          <t>W컨설팅</t>
        </is>
      </c>
      <c r="M559" s="9">
        <f>IF($A559="","",VALUE($A559&amp;"")*12+VALUE($B559&amp;""))</f>
        <v/>
      </c>
      <c r="N559" s="64">
        <f>IF($A559="","",IFERROR(INDEX(부서매핑!$C$5:$C$504,MATCH($G559&amp;"",부서매핑!$A$5:$A$504,0)),"미매핑"))</f>
        <v/>
      </c>
      <c r="O559" s="9">
        <f>IF($A559="","",N559&amp;"|"&amp;$F559)</f>
        <v/>
      </c>
      <c r="P559" s="94">
        <f>IF($A559="",0,$H559*설정!$C$23)</f>
        <v/>
      </c>
      <c r="Q559" s="64">
        <f>IF($A559="","",IF(O559&lt;&gt;원인분석!$C$9,"",IF(AND(M559&gt;=원인분석!$C$10,M559&lt;=원인분석!$C$11),"당기",IF(AND(M559&gt;=원인분석!$C$12,M559&lt;=원인분석!$C$13),"비교",""))))</f>
        <v/>
      </c>
      <c r="R559" s="9">
        <f>IF(Q559="","",$K559&amp;"")</f>
        <v/>
      </c>
      <c r="S559" s="9">
        <f>IF(Q559="","",IF(MATCH(R559,$R$5:$R$100000,0)=ROW()-4,ROW(),""))</f>
        <v/>
      </c>
      <c r="T559" s="9">
        <f>IF(Q559="당기",ABS(P559)+ROW()/1000000000,"")</f>
        <v/>
      </c>
      <c r="U559" s="9">
        <f>IF(Q559="비교",ABS(P559)+ROW()/1000000000,"")</f>
        <v/>
      </c>
      <c r="V559" s="64">
        <f>IF($A559="","",IF(COUNTIF(변동분석!$E$7:$E$506,O559)&gt;0,"Y","N"))</f>
        <v/>
      </c>
      <c r="W559" s="64">
        <f>IF($A559="","",IFERROR(INDEX(계정매핑!$D$5:$D$504,MATCH($F559&amp;"",계정매핑!$A$5:$A$504,0)),"미매핑"))</f>
        <v/>
      </c>
      <c r="X559" s="9">
        <f>IF($A559="","",$F559&amp;"")</f>
        <v/>
      </c>
      <c r="Y559" s="94">
        <f>IF($A559="",0,IF(AE559="직접",IF(AF559="비귀속",$P559,0),$P559*(1-AG559)*IFERROR(INDEX(계정대체기준!$F$20:$F$49,MATCH($N559,계정대체기준!$A$20:$A$49,0)),1)))</f>
        <v/>
      </c>
      <c r="Z559" s="94">
        <f>IF($A559="",0,IF(AE559="직접",IF(AF559="신계약비",$P559,0),$P559*(1-AG559)*IFERROR(INDEX(계정대체기준!$C$20:$C$49,MATCH($N559,계정대체기준!$A$20:$A$49,0)),0)))</f>
        <v/>
      </c>
      <c r="AA559" s="94">
        <f>IF($A559="",0,IF(AE559="직접",IF(OR(AF559="유지비",AF559="손해조사비"),$P559,0),$P559*(1-AG559)*IFERROR(INDEX(계정대체기준!$D$20:$D$49,MATCH($N559,계정대체기준!$A$20:$A$49,0)),0)))</f>
        <v/>
      </c>
      <c r="AB559" s="94">
        <f>IF($A559="",0,IF(AE559="직접",IF(AF559="수금비",$P559,0),$P559*(1-AG559)*IFERROR(INDEX(계정대체기준!$E$20:$E$49,MATCH($N559,계정대체기준!$A$20:$A$49,0)),0)))</f>
        <v/>
      </c>
      <c r="AC559" s="9">
        <f>IF(AND($A559&lt;&gt;"",M559=설정!$C$20,Z559&gt;0),Z559+ROW()/1000000000,"")</f>
        <v/>
      </c>
      <c r="AD559" s="94">
        <f>IF($A559="",0,$P559*AG559)</f>
        <v/>
      </c>
      <c r="AE559" s="64">
        <f>IF($A559="","",IFERROR(INDEX(계정매핑!$E$5:$E$504,MATCH($F559&amp;"",계정매핑!$A$5:$A$504,0))&amp;"","공통비"))</f>
        <v/>
      </c>
      <c r="AF559" s="64">
        <f>IF($A559="","",IF(AE559="직접",IFERROR(INDEX(계정매핑!$F$5:$F$504,MATCH($F559&amp;"",계정매핑!$A$5:$A$504,0))&amp;"","비귀속"),""))</f>
        <v/>
      </c>
      <c r="AG559" s="96">
        <f>IF($A559="",0,IF(AND(AE559&lt;&gt;"직접",IFERROR(INDEX(계정매핑!$G$5:$G$504,MATCH($F559&amp;"",계정매핑!$A$5:$A$504,0))&amp;"","")="유지비",COUNTIF(계정대체기준!$A$6:$A$15,$N559)&gt;0),IFERROR(INDEX(계정대체기준!$E$6:$E$15,MATCH(VALUE($A559&amp;""),계정대체기준!$D$6:$D$15,0)),0),0))</f>
        <v/>
      </c>
      <c r="AH559" s="64">
        <f>IF($A559="","",IF(AD559=0,"",IF(OR(COUNTIF(계정대체기준!$A$77:$A$86,$N559)&gt;0,ISNUMBER(MATCH($X559,계정대체기준!$D$77:$D$86,0)),ISNUMBER(MATCH($F559,계정대체기준!$D$77:$D$86,0))),"Y","N")))</f>
        <v/>
      </c>
    </row>
    <row r="560">
      <c r="A560" s="92" t="n">
        <v>2025</v>
      </c>
      <c r="B560" s="92" t="n">
        <v>3</v>
      </c>
      <c r="C560" s="92" t="inlineStr">
        <is>
          <t>5100000556</t>
        </is>
      </c>
      <c r="D560" s="95" t="n">
        <v>45727</v>
      </c>
      <c r="E560" s="92" t="inlineStr">
        <is>
          <t>KR</t>
        </is>
      </c>
      <c r="F560" s="92" t="n">
        <v>62901000</v>
      </c>
      <c r="G560" s="92" t="n">
        <v>1951</v>
      </c>
      <c r="H560" s="93" t="n">
        <v>3488000</v>
      </c>
      <c r="I560" s="92" t="inlineStr">
        <is>
          <t>3월 자문 수수료 - W컨설팅</t>
        </is>
      </c>
      <c r="J560" s="92" t="inlineStr">
        <is>
          <t>V10006</t>
        </is>
      </c>
      <c r="K560" s="92" t="inlineStr">
        <is>
          <t>W컨설팅</t>
        </is>
      </c>
      <c r="M560" s="9">
        <f>IF($A560="","",VALUE($A560&amp;"")*12+VALUE($B560&amp;""))</f>
        <v/>
      </c>
      <c r="N560" s="64">
        <f>IF($A560="","",IFERROR(INDEX(부서매핑!$C$5:$C$504,MATCH($G560&amp;"",부서매핑!$A$5:$A$504,0)),"미매핑"))</f>
        <v/>
      </c>
      <c r="O560" s="9">
        <f>IF($A560="","",N560&amp;"|"&amp;$F560)</f>
        <v/>
      </c>
      <c r="P560" s="94">
        <f>IF($A560="",0,$H560*설정!$C$23)</f>
        <v/>
      </c>
      <c r="Q560" s="64">
        <f>IF($A560="","",IF(O560&lt;&gt;원인분석!$C$9,"",IF(AND(M560&gt;=원인분석!$C$10,M560&lt;=원인분석!$C$11),"당기",IF(AND(M560&gt;=원인분석!$C$12,M560&lt;=원인분석!$C$13),"비교",""))))</f>
        <v/>
      </c>
      <c r="R560" s="9">
        <f>IF(Q560="","",$K560&amp;"")</f>
        <v/>
      </c>
      <c r="S560" s="9">
        <f>IF(Q560="","",IF(MATCH(R560,$R$5:$R$100000,0)=ROW()-4,ROW(),""))</f>
        <v/>
      </c>
      <c r="T560" s="9">
        <f>IF(Q560="당기",ABS(P560)+ROW()/1000000000,"")</f>
        <v/>
      </c>
      <c r="U560" s="9">
        <f>IF(Q560="비교",ABS(P560)+ROW()/1000000000,"")</f>
        <v/>
      </c>
      <c r="V560" s="64">
        <f>IF($A560="","",IF(COUNTIF(변동분석!$E$7:$E$506,O560)&gt;0,"Y","N"))</f>
        <v/>
      </c>
      <c r="W560" s="64">
        <f>IF($A560="","",IFERROR(INDEX(계정매핑!$D$5:$D$504,MATCH($F560&amp;"",계정매핑!$A$5:$A$504,0)),"미매핑"))</f>
        <v/>
      </c>
      <c r="X560" s="9">
        <f>IF($A560="","",$F560&amp;"")</f>
        <v/>
      </c>
      <c r="Y560" s="94">
        <f>IF($A560="",0,IF(AE560="직접",IF(AF560="비귀속",$P560,0),$P560*(1-AG560)*IFERROR(INDEX(계정대체기준!$F$20:$F$49,MATCH($N560,계정대체기준!$A$20:$A$49,0)),1)))</f>
        <v/>
      </c>
      <c r="Z560" s="94">
        <f>IF($A560="",0,IF(AE560="직접",IF(AF560="신계약비",$P560,0),$P560*(1-AG560)*IFERROR(INDEX(계정대체기준!$C$20:$C$49,MATCH($N560,계정대체기준!$A$20:$A$49,0)),0)))</f>
        <v/>
      </c>
      <c r="AA560" s="94">
        <f>IF($A560="",0,IF(AE560="직접",IF(OR(AF560="유지비",AF560="손해조사비"),$P560,0),$P560*(1-AG560)*IFERROR(INDEX(계정대체기준!$D$20:$D$49,MATCH($N560,계정대체기준!$A$20:$A$49,0)),0)))</f>
        <v/>
      </c>
      <c r="AB560" s="94">
        <f>IF($A560="",0,IF(AE560="직접",IF(AF560="수금비",$P560,0),$P560*(1-AG560)*IFERROR(INDEX(계정대체기준!$E$20:$E$49,MATCH($N560,계정대체기준!$A$20:$A$49,0)),0)))</f>
        <v/>
      </c>
      <c r="AC560" s="9">
        <f>IF(AND($A560&lt;&gt;"",M560=설정!$C$20,Z560&gt;0),Z560+ROW()/1000000000,"")</f>
        <v/>
      </c>
      <c r="AD560" s="94">
        <f>IF($A560="",0,$P560*AG560)</f>
        <v/>
      </c>
      <c r="AE560" s="64">
        <f>IF($A560="","",IFERROR(INDEX(계정매핑!$E$5:$E$504,MATCH($F560&amp;"",계정매핑!$A$5:$A$504,0))&amp;"","공통비"))</f>
        <v/>
      </c>
      <c r="AF560" s="64">
        <f>IF($A560="","",IF(AE560="직접",IFERROR(INDEX(계정매핑!$F$5:$F$504,MATCH($F560&amp;"",계정매핑!$A$5:$A$504,0))&amp;"","비귀속"),""))</f>
        <v/>
      </c>
      <c r="AG560" s="96">
        <f>IF($A560="",0,IF(AND(AE560&lt;&gt;"직접",IFERROR(INDEX(계정매핑!$G$5:$G$504,MATCH($F560&amp;"",계정매핑!$A$5:$A$504,0))&amp;"","")="유지비",COUNTIF(계정대체기준!$A$6:$A$15,$N560)&gt;0),IFERROR(INDEX(계정대체기준!$E$6:$E$15,MATCH(VALUE($A560&amp;""),계정대체기준!$D$6:$D$15,0)),0),0))</f>
        <v/>
      </c>
      <c r="AH560" s="64">
        <f>IF($A560="","",IF(AD560=0,"",IF(OR(COUNTIF(계정대체기준!$A$77:$A$86,$N560)&gt;0,ISNUMBER(MATCH($X560,계정대체기준!$D$77:$D$86,0)),ISNUMBER(MATCH($F560,계정대체기준!$D$77:$D$86,0))),"Y","N")))</f>
        <v/>
      </c>
    </row>
    <row r="561">
      <c r="A561" s="92" t="n">
        <v>2025</v>
      </c>
      <c r="B561" s="92" t="n">
        <v>3</v>
      </c>
      <c r="C561" s="92" t="inlineStr">
        <is>
          <t>5100000557</t>
        </is>
      </c>
      <c r="D561" s="95" t="n">
        <v>45727</v>
      </c>
      <c r="E561" s="92" t="inlineStr">
        <is>
          <t>KR</t>
        </is>
      </c>
      <c r="F561" s="92" t="n">
        <v>63601000</v>
      </c>
      <c r="G561" s="92" t="n">
        <v>1801</v>
      </c>
      <c r="H561" s="93" t="n">
        <v>11611000</v>
      </c>
      <c r="I561" s="92" t="inlineStr">
        <is>
          <t>3월 손해사정 수수료 - EE손해사정</t>
        </is>
      </c>
      <c r="J561" s="92" t="inlineStr">
        <is>
          <t>V10008</t>
        </is>
      </c>
      <c r="K561" s="92" t="inlineStr">
        <is>
          <t>EE손해사정</t>
        </is>
      </c>
      <c r="M561" s="9">
        <f>IF($A561="","",VALUE($A561&amp;"")*12+VALUE($B561&amp;""))</f>
        <v/>
      </c>
      <c r="N561" s="64">
        <f>IF($A561="","",IFERROR(INDEX(부서매핑!$C$5:$C$504,MATCH($G561&amp;"",부서매핑!$A$5:$A$504,0)),"미매핑"))</f>
        <v/>
      </c>
      <c r="O561" s="9">
        <f>IF($A561="","",N561&amp;"|"&amp;$F561)</f>
        <v/>
      </c>
      <c r="P561" s="94">
        <f>IF($A561="",0,$H561*설정!$C$23)</f>
        <v/>
      </c>
      <c r="Q561" s="64">
        <f>IF($A561="","",IF(O561&lt;&gt;원인분석!$C$9,"",IF(AND(M561&gt;=원인분석!$C$10,M561&lt;=원인분석!$C$11),"당기",IF(AND(M561&gt;=원인분석!$C$12,M561&lt;=원인분석!$C$13),"비교",""))))</f>
        <v/>
      </c>
      <c r="R561" s="9">
        <f>IF(Q561="","",$K561&amp;"")</f>
        <v/>
      </c>
      <c r="S561" s="9">
        <f>IF(Q561="","",IF(MATCH(R561,$R$5:$R$100000,0)=ROW()-4,ROW(),""))</f>
        <v/>
      </c>
      <c r="T561" s="9">
        <f>IF(Q561="당기",ABS(P561)+ROW()/1000000000,"")</f>
        <v/>
      </c>
      <c r="U561" s="9">
        <f>IF(Q561="비교",ABS(P561)+ROW()/1000000000,"")</f>
        <v/>
      </c>
      <c r="V561" s="64">
        <f>IF($A561="","",IF(COUNTIF(변동분석!$E$7:$E$506,O561)&gt;0,"Y","N"))</f>
        <v/>
      </c>
      <c r="W561" s="64">
        <f>IF($A561="","",IFERROR(INDEX(계정매핑!$D$5:$D$504,MATCH($F561&amp;"",계정매핑!$A$5:$A$504,0)),"미매핑"))</f>
        <v/>
      </c>
      <c r="X561" s="9">
        <f>IF($A561="","",$F561&amp;"")</f>
        <v/>
      </c>
      <c r="Y561" s="94">
        <f>IF($A561="",0,IF(AE561="직접",IF(AF561="비귀속",$P561,0),$P561*(1-AG561)*IFERROR(INDEX(계정대체기준!$F$20:$F$49,MATCH($N561,계정대체기준!$A$20:$A$49,0)),1)))</f>
        <v/>
      </c>
      <c r="Z561" s="94">
        <f>IF($A561="",0,IF(AE561="직접",IF(AF561="신계약비",$P561,0),$P561*(1-AG561)*IFERROR(INDEX(계정대체기준!$C$20:$C$49,MATCH($N561,계정대체기준!$A$20:$A$49,0)),0)))</f>
        <v/>
      </c>
      <c r="AA561" s="94">
        <f>IF($A561="",0,IF(AE561="직접",IF(OR(AF561="유지비",AF561="손해조사비"),$P561,0),$P561*(1-AG561)*IFERROR(INDEX(계정대체기준!$D$20:$D$49,MATCH($N561,계정대체기준!$A$20:$A$49,0)),0)))</f>
        <v/>
      </c>
      <c r="AB561" s="94">
        <f>IF($A561="",0,IF(AE561="직접",IF(AF561="수금비",$P561,0),$P561*(1-AG561)*IFERROR(INDEX(계정대체기준!$E$20:$E$49,MATCH($N561,계정대체기준!$A$20:$A$49,0)),0)))</f>
        <v/>
      </c>
      <c r="AC561" s="9">
        <f>IF(AND($A561&lt;&gt;"",M561=설정!$C$20,Z561&gt;0),Z561+ROW()/1000000000,"")</f>
        <v/>
      </c>
      <c r="AD561" s="94">
        <f>IF($A561="",0,$P561*AG561)</f>
        <v/>
      </c>
      <c r="AE561" s="64">
        <f>IF($A561="","",IFERROR(INDEX(계정매핑!$E$5:$E$504,MATCH($F561&amp;"",계정매핑!$A$5:$A$504,0))&amp;"","공통비"))</f>
        <v/>
      </c>
      <c r="AF561" s="64">
        <f>IF($A561="","",IF(AE561="직접",IFERROR(INDEX(계정매핑!$F$5:$F$504,MATCH($F561&amp;"",계정매핑!$A$5:$A$504,0))&amp;"","비귀속"),""))</f>
        <v/>
      </c>
      <c r="AG561" s="96">
        <f>IF($A561="",0,IF(AND(AE561&lt;&gt;"직접",IFERROR(INDEX(계정매핑!$G$5:$G$504,MATCH($F561&amp;"",계정매핑!$A$5:$A$504,0))&amp;"","")="유지비",COUNTIF(계정대체기준!$A$6:$A$15,$N561)&gt;0),IFERROR(INDEX(계정대체기준!$E$6:$E$15,MATCH(VALUE($A561&amp;""),계정대체기준!$D$6:$D$15,0)),0),0))</f>
        <v/>
      </c>
      <c r="AH561" s="64">
        <f>IF($A561="","",IF(AD561=0,"",IF(OR(COUNTIF(계정대체기준!$A$77:$A$86,$N561)&gt;0,ISNUMBER(MATCH($X561,계정대체기준!$D$77:$D$86,0)),ISNUMBER(MATCH($F561,계정대체기준!$D$77:$D$86,0))),"Y","N")))</f>
        <v/>
      </c>
    </row>
    <row r="562">
      <c r="A562" s="92" t="n">
        <v>2025</v>
      </c>
      <c r="B562" s="92" t="n">
        <v>3</v>
      </c>
      <c r="C562" s="92" t="inlineStr">
        <is>
          <t>5100000558</t>
        </is>
      </c>
      <c r="D562" s="95" t="n">
        <v>45728</v>
      </c>
      <c r="E562" s="92" t="inlineStr">
        <is>
          <t>KR</t>
        </is>
      </c>
      <c r="F562" s="92" t="n">
        <v>62101000</v>
      </c>
      <c r="G562" s="92" t="n">
        <v>1101</v>
      </c>
      <c r="H562" s="93" t="n">
        <v>406000</v>
      </c>
      <c r="I562" s="92" t="inlineStr">
        <is>
          <t>3월 국내출장 - L여행사</t>
        </is>
      </c>
      <c r="J562" s="92" t="inlineStr">
        <is>
          <t>V10018</t>
        </is>
      </c>
      <c r="K562" s="92" t="inlineStr">
        <is>
          <t>L여행사</t>
        </is>
      </c>
      <c r="M562" s="9">
        <f>IF($A562="","",VALUE($A562&amp;"")*12+VALUE($B562&amp;""))</f>
        <v/>
      </c>
      <c r="N562" s="64">
        <f>IF($A562="","",IFERROR(INDEX(부서매핑!$C$5:$C$504,MATCH($G562&amp;"",부서매핑!$A$5:$A$504,0)),"미매핑"))</f>
        <v/>
      </c>
      <c r="O562" s="9">
        <f>IF($A562="","",N562&amp;"|"&amp;$F562)</f>
        <v/>
      </c>
      <c r="P562" s="94">
        <f>IF($A562="",0,$H562*설정!$C$23)</f>
        <v/>
      </c>
      <c r="Q562" s="64">
        <f>IF($A562="","",IF(O562&lt;&gt;원인분석!$C$9,"",IF(AND(M562&gt;=원인분석!$C$10,M562&lt;=원인분석!$C$11),"당기",IF(AND(M562&gt;=원인분석!$C$12,M562&lt;=원인분석!$C$13),"비교",""))))</f>
        <v/>
      </c>
      <c r="R562" s="9">
        <f>IF(Q562="","",$K562&amp;"")</f>
        <v/>
      </c>
      <c r="S562" s="9">
        <f>IF(Q562="","",IF(MATCH(R562,$R$5:$R$100000,0)=ROW()-4,ROW(),""))</f>
        <v/>
      </c>
      <c r="T562" s="9">
        <f>IF(Q562="당기",ABS(P562)+ROW()/1000000000,"")</f>
        <v/>
      </c>
      <c r="U562" s="9">
        <f>IF(Q562="비교",ABS(P562)+ROW()/1000000000,"")</f>
        <v/>
      </c>
      <c r="V562" s="64">
        <f>IF($A562="","",IF(COUNTIF(변동분석!$E$7:$E$506,O562)&gt;0,"Y","N"))</f>
        <v/>
      </c>
      <c r="W562" s="64">
        <f>IF($A562="","",IFERROR(INDEX(계정매핑!$D$5:$D$504,MATCH($F562&amp;"",계정매핑!$A$5:$A$504,0)),"미매핑"))</f>
        <v/>
      </c>
      <c r="X562" s="9">
        <f>IF($A562="","",$F562&amp;"")</f>
        <v/>
      </c>
      <c r="Y562" s="94">
        <f>IF($A562="",0,IF(AE562="직접",IF(AF562="비귀속",$P562,0),$P562*(1-AG562)*IFERROR(INDEX(계정대체기준!$F$20:$F$49,MATCH($N562,계정대체기준!$A$20:$A$49,0)),1)))</f>
        <v/>
      </c>
      <c r="Z562" s="94">
        <f>IF($A562="",0,IF(AE562="직접",IF(AF562="신계약비",$P562,0),$P562*(1-AG562)*IFERROR(INDEX(계정대체기준!$C$20:$C$49,MATCH($N562,계정대체기준!$A$20:$A$49,0)),0)))</f>
        <v/>
      </c>
      <c r="AA562" s="94">
        <f>IF($A562="",0,IF(AE562="직접",IF(OR(AF562="유지비",AF562="손해조사비"),$P562,0),$P562*(1-AG562)*IFERROR(INDEX(계정대체기준!$D$20:$D$49,MATCH($N562,계정대체기준!$A$20:$A$49,0)),0)))</f>
        <v/>
      </c>
      <c r="AB562" s="94">
        <f>IF($A562="",0,IF(AE562="직접",IF(AF562="수금비",$P562,0),$P562*(1-AG562)*IFERROR(INDEX(계정대체기준!$E$20:$E$49,MATCH($N562,계정대체기준!$A$20:$A$49,0)),0)))</f>
        <v/>
      </c>
      <c r="AC562" s="9">
        <f>IF(AND($A562&lt;&gt;"",M562=설정!$C$20,Z562&gt;0),Z562+ROW()/1000000000,"")</f>
        <v/>
      </c>
      <c r="AD562" s="94">
        <f>IF($A562="",0,$P562*AG562)</f>
        <v/>
      </c>
      <c r="AE562" s="64">
        <f>IF($A562="","",IFERROR(INDEX(계정매핑!$E$5:$E$504,MATCH($F562&amp;"",계정매핑!$A$5:$A$504,0))&amp;"","공통비"))</f>
        <v/>
      </c>
      <c r="AF562" s="64">
        <f>IF($A562="","",IF(AE562="직접",IFERROR(INDEX(계정매핑!$F$5:$F$504,MATCH($F562&amp;"",계정매핑!$A$5:$A$504,0))&amp;"","비귀속"),""))</f>
        <v/>
      </c>
      <c r="AG562" s="96">
        <f>IF($A562="",0,IF(AND(AE562&lt;&gt;"직접",IFERROR(INDEX(계정매핑!$G$5:$G$504,MATCH($F562&amp;"",계정매핑!$A$5:$A$504,0))&amp;"","")="유지비",COUNTIF(계정대체기준!$A$6:$A$15,$N562)&gt;0),IFERROR(INDEX(계정대체기준!$E$6:$E$15,MATCH(VALUE($A562&amp;""),계정대체기준!$D$6:$D$15,0)),0),0))</f>
        <v/>
      </c>
      <c r="AH562" s="64">
        <f>IF($A562="","",IF(AD562=0,"",IF(OR(COUNTIF(계정대체기준!$A$77:$A$86,$N562)&gt;0,ISNUMBER(MATCH($X562,계정대체기준!$D$77:$D$86,0)),ISNUMBER(MATCH($F562,계정대체기준!$D$77:$D$86,0))),"Y","N")))</f>
        <v/>
      </c>
    </row>
    <row r="563">
      <c r="A563" s="92" t="n">
        <v>2025</v>
      </c>
      <c r="B563" s="92" t="n">
        <v>3</v>
      </c>
      <c r="C563" s="92" t="inlineStr">
        <is>
          <t>5100000559</t>
        </is>
      </c>
      <c r="D563" s="95" t="n">
        <v>45728</v>
      </c>
      <c r="E563" s="92" t="inlineStr">
        <is>
          <t>KR</t>
        </is>
      </c>
      <c r="F563" s="92" t="n">
        <v>62201000</v>
      </c>
      <c r="G563" s="92" t="n">
        <v>1101</v>
      </c>
      <c r="H563" s="93" t="n">
        <v>238000</v>
      </c>
      <c r="I563" s="92" t="inlineStr">
        <is>
          <t>3월 통신요금 - P통신</t>
        </is>
      </c>
      <c r="J563" s="92" t="inlineStr">
        <is>
          <t>V10014</t>
        </is>
      </c>
      <c r="K563" s="92" t="inlineStr">
        <is>
          <t>P통신</t>
        </is>
      </c>
      <c r="M563" s="9">
        <f>IF($A563="","",VALUE($A563&amp;"")*12+VALUE($B563&amp;""))</f>
        <v/>
      </c>
      <c r="N563" s="64">
        <f>IF($A563="","",IFERROR(INDEX(부서매핑!$C$5:$C$504,MATCH($G563&amp;"",부서매핑!$A$5:$A$504,0)),"미매핑"))</f>
        <v/>
      </c>
      <c r="O563" s="9">
        <f>IF($A563="","",N563&amp;"|"&amp;$F563)</f>
        <v/>
      </c>
      <c r="P563" s="94">
        <f>IF($A563="",0,$H563*설정!$C$23)</f>
        <v/>
      </c>
      <c r="Q563" s="64">
        <f>IF($A563="","",IF(O563&lt;&gt;원인분석!$C$9,"",IF(AND(M563&gt;=원인분석!$C$10,M563&lt;=원인분석!$C$11),"당기",IF(AND(M563&gt;=원인분석!$C$12,M563&lt;=원인분석!$C$13),"비교",""))))</f>
        <v/>
      </c>
      <c r="R563" s="9">
        <f>IF(Q563="","",$K563&amp;"")</f>
        <v/>
      </c>
      <c r="S563" s="9">
        <f>IF(Q563="","",IF(MATCH(R563,$R$5:$R$100000,0)=ROW()-4,ROW(),""))</f>
        <v/>
      </c>
      <c r="T563" s="9">
        <f>IF(Q563="당기",ABS(P563)+ROW()/1000000000,"")</f>
        <v/>
      </c>
      <c r="U563" s="9">
        <f>IF(Q563="비교",ABS(P563)+ROW()/1000000000,"")</f>
        <v/>
      </c>
      <c r="V563" s="64">
        <f>IF($A563="","",IF(COUNTIF(변동분석!$E$7:$E$506,O563)&gt;0,"Y","N"))</f>
        <v/>
      </c>
      <c r="W563" s="64">
        <f>IF($A563="","",IFERROR(INDEX(계정매핑!$D$5:$D$504,MATCH($F563&amp;"",계정매핑!$A$5:$A$504,0)),"미매핑"))</f>
        <v/>
      </c>
      <c r="X563" s="9">
        <f>IF($A563="","",$F563&amp;"")</f>
        <v/>
      </c>
      <c r="Y563" s="94">
        <f>IF($A563="",0,IF(AE563="직접",IF(AF563="비귀속",$P563,0),$P563*(1-AG563)*IFERROR(INDEX(계정대체기준!$F$20:$F$49,MATCH($N563,계정대체기준!$A$20:$A$49,0)),1)))</f>
        <v/>
      </c>
      <c r="Z563" s="94">
        <f>IF($A563="",0,IF(AE563="직접",IF(AF563="신계약비",$P563,0),$P563*(1-AG563)*IFERROR(INDEX(계정대체기준!$C$20:$C$49,MATCH($N563,계정대체기준!$A$20:$A$49,0)),0)))</f>
        <v/>
      </c>
      <c r="AA563" s="94">
        <f>IF($A563="",0,IF(AE563="직접",IF(OR(AF563="유지비",AF563="손해조사비"),$P563,0),$P563*(1-AG563)*IFERROR(INDEX(계정대체기준!$D$20:$D$49,MATCH($N563,계정대체기준!$A$20:$A$49,0)),0)))</f>
        <v/>
      </c>
      <c r="AB563" s="94">
        <f>IF($A563="",0,IF(AE563="직접",IF(AF563="수금비",$P563,0),$P563*(1-AG563)*IFERROR(INDEX(계정대체기준!$E$20:$E$49,MATCH($N563,계정대체기준!$A$20:$A$49,0)),0)))</f>
        <v/>
      </c>
      <c r="AC563" s="9">
        <f>IF(AND($A563&lt;&gt;"",M563=설정!$C$20,Z563&gt;0),Z563+ROW()/1000000000,"")</f>
        <v/>
      </c>
      <c r="AD563" s="94">
        <f>IF($A563="",0,$P563*AG563)</f>
        <v/>
      </c>
      <c r="AE563" s="64">
        <f>IF($A563="","",IFERROR(INDEX(계정매핑!$E$5:$E$504,MATCH($F563&amp;"",계정매핑!$A$5:$A$504,0))&amp;"","공통비"))</f>
        <v/>
      </c>
      <c r="AF563" s="64">
        <f>IF($A563="","",IF(AE563="직접",IFERROR(INDEX(계정매핑!$F$5:$F$504,MATCH($F563&amp;"",계정매핑!$A$5:$A$504,0))&amp;"","비귀속"),""))</f>
        <v/>
      </c>
      <c r="AG563" s="96">
        <f>IF($A563="",0,IF(AND(AE563&lt;&gt;"직접",IFERROR(INDEX(계정매핑!$G$5:$G$504,MATCH($F563&amp;"",계정매핑!$A$5:$A$504,0))&amp;"","")="유지비",COUNTIF(계정대체기준!$A$6:$A$15,$N563)&gt;0),IFERROR(INDEX(계정대체기준!$E$6:$E$15,MATCH(VALUE($A563&amp;""),계정대체기준!$D$6:$D$15,0)),0),0))</f>
        <v/>
      </c>
      <c r="AH563" s="64">
        <f>IF($A563="","",IF(AD563=0,"",IF(OR(COUNTIF(계정대체기준!$A$77:$A$86,$N563)&gt;0,ISNUMBER(MATCH($X563,계정대체기준!$D$77:$D$86,0)),ISNUMBER(MATCH($F563,계정대체기준!$D$77:$D$86,0))),"Y","N")))</f>
        <v/>
      </c>
    </row>
    <row r="564">
      <c r="A564" s="92" t="n">
        <v>2025</v>
      </c>
      <c r="B564" s="92" t="n">
        <v>3</v>
      </c>
      <c r="C564" s="92" t="inlineStr">
        <is>
          <t>5100000560</t>
        </is>
      </c>
      <c r="D564" s="95" t="n">
        <v>45728</v>
      </c>
      <c r="E564" s="92" t="inlineStr">
        <is>
          <t>KR</t>
        </is>
      </c>
      <c r="F564" s="92" t="n">
        <v>62401000</v>
      </c>
      <c r="G564" s="92" t="n">
        <v>1401</v>
      </c>
      <c r="H564" s="93" t="n">
        <v>271000</v>
      </c>
      <c r="I564" s="92" t="inlineStr">
        <is>
          <t>3월 인쇄물 제작 - S출판</t>
        </is>
      </c>
      <c r="J564" s="92" t="inlineStr">
        <is>
          <t>V10015</t>
        </is>
      </c>
      <c r="K564" s="92" t="inlineStr">
        <is>
          <t>S출판</t>
        </is>
      </c>
      <c r="M564" s="9">
        <f>IF($A564="","",VALUE($A564&amp;"")*12+VALUE($B564&amp;""))</f>
        <v/>
      </c>
      <c r="N564" s="64">
        <f>IF($A564="","",IFERROR(INDEX(부서매핑!$C$5:$C$504,MATCH($G564&amp;"",부서매핑!$A$5:$A$504,0)),"미매핑"))</f>
        <v/>
      </c>
      <c r="O564" s="9">
        <f>IF($A564="","",N564&amp;"|"&amp;$F564)</f>
        <v/>
      </c>
      <c r="P564" s="94">
        <f>IF($A564="",0,$H564*설정!$C$23)</f>
        <v/>
      </c>
      <c r="Q564" s="64">
        <f>IF($A564="","",IF(O564&lt;&gt;원인분석!$C$9,"",IF(AND(M564&gt;=원인분석!$C$10,M564&lt;=원인분석!$C$11),"당기",IF(AND(M564&gt;=원인분석!$C$12,M564&lt;=원인분석!$C$13),"비교",""))))</f>
        <v/>
      </c>
      <c r="R564" s="9">
        <f>IF(Q564="","",$K564&amp;"")</f>
        <v/>
      </c>
      <c r="S564" s="9">
        <f>IF(Q564="","",IF(MATCH(R564,$R$5:$R$100000,0)=ROW()-4,ROW(),""))</f>
        <v/>
      </c>
      <c r="T564" s="9">
        <f>IF(Q564="당기",ABS(P564)+ROW()/1000000000,"")</f>
        <v/>
      </c>
      <c r="U564" s="9">
        <f>IF(Q564="비교",ABS(P564)+ROW()/1000000000,"")</f>
        <v/>
      </c>
      <c r="V564" s="64">
        <f>IF($A564="","",IF(COUNTIF(변동분석!$E$7:$E$506,O564)&gt;0,"Y","N"))</f>
        <v/>
      </c>
      <c r="W564" s="64">
        <f>IF($A564="","",IFERROR(INDEX(계정매핑!$D$5:$D$504,MATCH($F564&amp;"",계정매핑!$A$5:$A$504,0)),"미매핑"))</f>
        <v/>
      </c>
      <c r="X564" s="9">
        <f>IF($A564="","",$F564&amp;"")</f>
        <v/>
      </c>
      <c r="Y564" s="94">
        <f>IF($A564="",0,IF(AE564="직접",IF(AF564="비귀속",$P564,0),$P564*(1-AG564)*IFERROR(INDEX(계정대체기준!$F$20:$F$49,MATCH($N564,계정대체기준!$A$20:$A$49,0)),1)))</f>
        <v/>
      </c>
      <c r="Z564" s="94">
        <f>IF($A564="",0,IF(AE564="직접",IF(AF564="신계약비",$P564,0),$P564*(1-AG564)*IFERROR(INDEX(계정대체기준!$C$20:$C$49,MATCH($N564,계정대체기준!$A$20:$A$49,0)),0)))</f>
        <v/>
      </c>
      <c r="AA564" s="94">
        <f>IF($A564="",0,IF(AE564="직접",IF(OR(AF564="유지비",AF564="손해조사비"),$P564,0),$P564*(1-AG564)*IFERROR(INDEX(계정대체기준!$D$20:$D$49,MATCH($N564,계정대체기준!$A$20:$A$49,0)),0)))</f>
        <v/>
      </c>
      <c r="AB564" s="94">
        <f>IF($A564="",0,IF(AE564="직접",IF(AF564="수금비",$P564,0),$P564*(1-AG564)*IFERROR(INDEX(계정대체기준!$E$20:$E$49,MATCH($N564,계정대체기준!$A$20:$A$49,0)),0)))</f>
        <v/>
      </c>
      <c r="AC564" s="9">
        <f>IF(AND($A564&lt;&gt;"",M564=설정!$C$20,Z564&gt;0),Z564+ROW()/1000000000,"")</f>
        <v/>
      </c>
      <c r="AD564" s="94">
        <f>IF($A564="",0,$P564*AG564)</f>
        <v/>
      </c>
      <c r="AE564" s="64">
        <f>IF($A564="","",IFERROR(INDEX(계정매핑!$E$5:$E$504,MATCH($F564&amp;"",계정매핑!$A$5:$A$504,0))&amp;"","공통비"))</f>
        <v/>
      </c>
      <c r="AF564" s="64">
        <f>IF($A564="","",IF(AE564="직접",IFERROR(INDEX(계정매핑!$F$5:$F$504,MATCH($F564&amp;"",계정매핑!$A$5:$A$504,0))&amp;"","비귀속"),""))</f>
        <v/>
      </c>
      <c r="AG564" s="96">
        <f>IF($A564="",0,IF(AND(AE564&lt;&gt;"직접",IFERROR(INDEX(계정매핑!$G$5:$G$504,MATCH($F564&amp;"",계정매핑!$A$5:$A$504,0))&amp;"","")="유지비",COUNTIF(계정대체기준!$A$6:$A$15,$N564)&gt;0),IFERROR(INDEX(계정대체기준!$E$6:$E$15,MATCH(VALUE($A564&amp;""),계정대체기준!$D$6:$D$15,0)),0),0))</f>
        <v/>
      </c>
      <c r="AH564" s="64">
        <f>IF($A564="","",IF(AD564=0,"",IF(OR(COUNTIF(계정대체기준!$A$77:$A$86,$N564)&gt;0,ISNUMBER(MATCH($X564,계정대체기준!$D$77:$D$86,0)),ISNUMBER(MATCH($F564,계정대체기준!$D$77:$D$86,0))),"Y","N")))</f>
        <v/>
      </c>
    </row>
    <row r="565">
      <c r="A565" s="92" t="n">
        <v>2025</v>
      </c>
      <c r="B565" s="92" t="n">
        <v>3</v>
      </c>
      <c r="C565" s="92" t="inlineStr">
        <is>
          <t>5100000561</t>
        </is>
      </c>
      <c r="D565" s="95" t="n">
        <v>45728</v>
      </c>
      <c r="E565" s="92" t="inlineStr">
        <is>
          <t>KR</t>
        </is>
      </c>
      <c r="F565" s="92" t="n">
        <v>62501000</v>
      </c>
      <c r="G565" s="92" t="n">
        <v>1301</v>
      </c>
      <c r="H565" s="93" t="n">
        <v>168000</v>
      </c>
      <c r="I565" s="92" t="inlineStr">
        <is>
          <t>3월 회의 다과 - T케이터링</t>
        </is>
      </c>
      <c r="J565" s="92" t="inlineStr">
        <is>
          <t>V10005</t>
        </is>
      </c>
      <c r="K565" s="92" t="inlineStr">
        <is>
          <t>T케이터링</t>
        </is>
      </c>
      <c r="M565" s="9">
        <f>IF($A565="","",VALUE($A565&amp;"")*12+VALUE($B565&amp;""))</f>
        <v/>
      </c>
      <c r="N565" s="64">
        <f>IF($A565="","",IFERROR(INDEX(부서매핑!$C$5:$C$504,MATCH($G565&amp;"",부서매핑!$A$5:$A$504,0)),"미매핑"))</f>
        <v/>
      </c>
      <c r="O565" s="9">
        <f>IF($A565="","",N565&amp;"|"&amp;$F565)</f>
        <v/>
      </c>
      <c r="P565" s="94">
        <f>IF($A565="",0,$H565*설정!$C$23)</f>
        <v/>
      </c>
      <c r="Q565" s="64">
        <f>IF($A565="","",IF(O565&lt;&gt;원인분석!$C$9,"",IF(AND(M565&gt;=원인분석!$C$10,M565&lt;=원인분석!$C$11),"당기",IF(AND(M565&gt;=원인분석!$C$12,M565&lt;=원인분석!$C$13),"비교",""))))</f>
        <v/>
      </c>
      <c r="R565" s="9">
        <f>IF(Q565="","",$K565&amp;"")</f>
        <v/>
      </c>
      <c r="S565" s="9">
        <f>IF(Q565="","",IF(MATCH(R565,$R$5:$R$100000,0)=ROW()-4,ROW(),""))</f>
        <v/>
      </c>
      <c r="T565" s="9">
        <f>IF(Q565="당기",ABS(P565)+ROW()/1000000000,"")</f>
        <v/>
      </c>
      <c r="U565" s="9">
        <f>IF(Q565="비교",ABS(P565)+ROW()/1000000000,"")</f>
        <v/>
      </c>
      <c r="V565" s="64">
        <f>IF($A565="","",IF(COUNTIF(변동분석!$E$7:$E$506,O565)&gt;0,"Y","N"))</f>
        <v/>
      </c>
      <c r="W565" s="64">
        <f>IF($A565="","",IFERROR(INDEX(계정매핑!$D$5:$D$504,MATCH($F565&amp;"",계정매핑!$A$5:$A$504,0)),"미매핑"))</f>
        <v/>
      </c>
      <c r="X565" s="9">
        <f>IF($A565="","",$F565&amp;"")</f>
        <v/>
      </c>
      <c r="Y565" s="94">
        <f>IF($A565="",0,IF(AE565="직접",IF(AF565="비귀속",$P565,0),$P565*(1-AG565)*IFERROR(INDEX(계정대체기준!$F$20:$F$49,MATCH($N565,계정대체기준!$A$20:$A$49,0)),1)))</f>
        <v/>
      </c>
      <c r="Z565" s="94">
        <f>IF($A565="",0,IF(AE565="직접",IF(AF565="신계약비",$P565,0),$P565*(1-AG565)*IFERROR(INDEX(계정대체기준!$C$20:$C$49,MATCH($N565,계정대체기준!$A$20:$A$49,0)),0)))</f>
        <v/>
      </c>
      <c r="AA565" s="94">
        <f>IF($A565="",0,IF(AE565="직접",IF(OR(AF565="유지비",AF565="손해조사비"),$P565,0),$P565*(1-AG565)*IFERROR(INDEX(계정대체기준!$D$20:$D$49,MATCH($N565,계정대체기준!$A$20:$A$49,0)),0)))</f>
        <v/>
      </c>
      <c r="AB565" s="94">
        <f>IF($A565="",0,IF(AE565="직접",IF(AF565="수금비",$P565,0),$P565*(1-AG565)*IFERROR(INDEX(계정대체기준!$E$20:$E$49,MATCH($N565,계정대체기준!$A$20:$A$49,0)),0)))</f>
        <v/>
      </c>
      <c r="AC565" s="9">
        <f>IF(AND($A565&lt;&gt;"",M565=설정!$C$20,Z565&gt;0),Z565+ROW()/1000000000,"")</f>
        <v/>
      </c>
      <c r="AD565" s="94">
        <f>IF($A565="",0,$P565*AG565)</f>
        <v/>
      </c>
      <c r="AE565" s="64">
        <f>IF($A565="","",IFERROR(INDEX(계정매핑!$E$5:$E$504,MATCH($F565&amp;"",계정매핑!$A$5:$A$504,0))&amp;"","공통비"))</f>
        <v/>
      </c>
      <c r="AF565" s="64">
        <f>IF($A565="","",IF(AE565="직접",IFERROR(INDEX(계정매핑!$F$5:$F$504,MATCH($F565&amp;"",계정매핑!$A$5:$A$504,0))&amp;"","비귀속"),""))</f>
        <v/>
      </c>
      <c r="AG565" s="96">
        <f>IF($A565="",0,IF(AND(AE565&lt;&gt;"직접",IFERROR(INDEX(계정매핑!$G$5:$G$504,MATCH($F565&amp;"",계정매핑!$A$5:$A$504,0))&amp;"","")="유지비",COUNTIF(계정대체기준!$A$6:$A$15,$N565)&gt;0),IFERROR(INDEX(계정대체기준!$E$6:$E$15,MATCH(VALUE($A565&amp;""),계정대체기준!$D$6:$D$15,0)),0),0))</f>
        <v/>
      </c>
      <c r="AH565" s="64">
        <f>IF($A565="","",IF(AD565=0,"",IF(OR(COUNTIF(계정대체기준!$A$77:$A$86,$N565)&gt;0,ISNUMBER(MATCH($X565,계정대체기준!$D$77:$D$86,0)),ISNUMBER(MATCH($F565,계정대체기준!$D$77:$D$86,0))),"Y","N")))</f>
        <v/>
      </c>
    </row>
    <row r="566">
      <c r="A566" s="92" t="n">
        <v>2025</v>
      </c>
      <c r="B566" s="92" t="n">
        <v>3</v>
      </c>
      <c r="C566" s="92" t="inlineStr">
        <is>
          <t>5100000562</t>
        </is>
      </c>
      <c r="D566" s="95" t="n">
        <v>45728</v>
      </c>
      <c r="E566" s="92" t="inlineStr">
        <is>
          <t>KR</t>
        </is>
      </c>
      <c r="F566" s="92" t="n">
        <v>62902000</v>
      </c>
      <c r="G566" s="92" t="n">
        <v>1801</v>
      </c>
      <c r="H566" s="93" t="n">
        <v>1789000</v>
      </c>
      <c r="I566" s="92" t="inlineStr">
        <is>
          <t>3월 콜 위탁 수수료(건별)</t>
        </is>
      </c>
      <c r="J566" s="92" t="inlineStr">
        <is>
          <t>V10016</t>
        </is>
      </c>
      <c r="K566" s="92" t="inlineStr">
        <is>
          <t>J콜센터</t>
        </is>
      </c>
      <c r="M566" s="9">
        <f>IF($A566="","",VALUE($A566&amp;"")*12+VALUE($B566&amp;""))</f>
        <v/>
      </c>
      <c r="N566" s="64">
        <f>IF($A566="","",IFERROR(INDEX(부서매핑!$C$5:$C$504,MATCH($G566&amp;"",부서매핑!$A$5:$A$504,0)),"미매핑"))</f>
        <v/>
      </c>
      <c r="O566" s="9">
        <f>IF($A566="","",N566&amp;"|"&amp;$F566)</f>
        <v/>
      </c>
      <c r="P566" s="94">
        <f>IF($A566="",0,$H566*설정!$C$23)</f>
        <v/>
      </c>
      <c r="Q566" s="64">
        <f>IF($A566="","",IF(O566&lt;&gt;원인분석!$C$9,"",IF(AND(M566&gt;=원인분석!$C$10,M566&lt;=원인분석!$C$11),"당기",IF(AND(M566&gt;=원인분석!$C$12,M566&lt;=원인분석!$C$13),"비교",""))))</f>
        <v/>
      </c>
      <c r="R566" s="9">
        <f>IF(Q566="","",$K566&amp;"")</f>
        <v/>
      </c>
      <c r="S566" s="9">
        <f>IF(Q566="","",IF(MATCH(R566,$R$5:$R$100000,0)=ROW()-4,ROW(),""))</f>
        <v/>
      </c>
      <c r="T566" s="9">
        <f>IF(Q566="당기",ABS(P566)+ROW()/1000000000,"")</f>
        <v/>
      </c>
      <c r="U566" s="9">
        <f>IF(Q566="비교",ABS(P566)+ROW()/1000000000,"")</f>
        <v/>
      </c>
      <c r="V566" s="64">
        <f>IF($A566="","",IF(COUNTIF(변동분석!$E$7:$E$506,O566)&gt;0,"Y","N"))</f>
        <v/>
      </c>
      <c r="W566" s="64">
        <f>IF($A566="","",IFERROR(INDEX(계정매핑!$D$5:$D$504,MATCH($F566&amp;"",계정매핑!$A$5:$A$504,0)),"미매핑"))</f>
        <v/>
      </c>
      <c r="X566" s="9">
        <f>IF($A566="","",$F566&amp;"")</f>
        <v/>
      </c>
      <c r="Y566" s="94">
        <f>IF($A566="",0,IF(AE566="직접",IF(AF566="비귀속",$P566,0),$P566*(1-AG566)*IFERROR(INDEX(계정대체기준!$F$20:$F$49,MATCH($N566,계정대체기준!$A$20:$A$49,0)),1)))</f>
        <v/>
      </c>
      <c r="Z566" s="94">
        <f>IF($A566="",0,IF(AE566="직접",IF(AF566="신계약비",$P566,0),$P566*(1-AG566)*IFERROR(INDEX(계정대체기준!$C$20:$C$49,MATCH($N566,계정대체기준!$A$20:$A$49,0)),0)))</f>
        <v/>
      </c>
      <c r="AA566" s="94">
        <f>IF($A566="",0,IF(AE566="직접",IF(OR(AF566="유지비",AF566="손해조사비"),$P566,0),$P566*(1-AG566)*IFERROR(INDEX(계정대체기준!$D$20:$D$49,MATCH($N566,계정대체기준!$A$20:$A$49,0)),0)))</f>
        <v/>
      </c>
      <c r="AB566" s="94">
        <f>IF($A566="",0,IF(AE566="직접",IF(AF566="수금비",$P566,0),$P566*(1-AG566)*IFERROR(INDEX(계정대체기준!$E$20:$E$49,MATCH($N566,계정대체기준!$A$20:$A$49,0)),0)))</f>
        <v/>
      </c>
      <c r="AC566" s="9">
        <f>IF(AND($A566&lt;&gt;"",M566=설정!$C$20,Z566&gt;0),Z566+ROW()/1000000000,"")</f>
        <v/>
      </c>
      <c r="AD566" s="94">
        <f>IF($A566="",0,$P566*AG566)</f>
        <v/>
      </c>
      <c r="AE566" s="64">
        <f>IF($A566="","",IFERROR(INDEX(계정매핑!$E$5:$E$504,MATCH($F566&amp;"",계정매핑!$A$5:$A$504,0))&amp;"","공통비"))</f>
        <v/>
      </c>
      <c r="AF566" s="64">
        <f>IF($A566="","",IF(AE566="직접",IFERROR(INDEX(계정매핑!$F$5:$F$504,MATCH($F566&amp;"",계정매핑!$A$5:$A$504,0))&amp;"","비귀속"),""))</f>
        <v/>
      </c>
      <c r="AG566" s="96">
        <f>IF($A566="",0,IF(AND(AE566&lt;&gt;"직접",IFERROR(INDEX(계정매핑!$G$5:$G$504,MATCH($F566&amp;"",계정매핑!$A$5:$A$504,0))&amp;"","")="유지비",COUNTIF(계정대체기준!$A$6:$A$15,$N566)&gt;0),IFERROR(INDEX(계정대체기준!$E$6:$E$15,MATCH(VALUE($A566&amp;""),계정대체기준!$D$6:$D$15,0)),0),0))</f>
        <v/>
      </c>
      <c r="AH566" s="64">
        <f>IF($A566="","",IF(AD566=0,"",IF(OR(COUNTIF(계정대체기준!$A$77:$A$86,$N566)&gt;0,ISNUMBER(MATCH($X566,계정대체기준!$D$77:$D$86,0)),ISNUMBER(MATCH($F566,계정대체기준!$D$77:$D$86,0))),"Y","N")))</f>
        <v/>
      </c>
    </row>
    <row r="567">
      <c r="A567" s="92" t="n">
        <v>2025</v>
      </c>
      <c r="B567" s="92" t="n">
        <v>3</v>
      </c>
      <c r="C567" s="92" t="inlineStr">
        <is>
          <t>5100000563</t>
        </is>
      </c>
      <c r="D567" s="95" t="n">
        <v>45728</v>
      </c>
      <c r="E567" s="92" t="inlineStr">
        <is>
          <t>KR</t>
        </is>
      </c>
      <c r="F567" s="92" t="n">
        <v>62902000</v>
      </c>
      <c r="G567" s="92" t="n">
        <v>1801</v>
      </c>
      <c r="H567" s="93" t="n">
        <v>1823000</v>
      </c>
      <c r="I567" s="92" t="inlineStr">
        <is>
          <t>3월 콜 위탁 수수료(건별)</t>
        </is>
      </c>
      <c r="J567" s="92" t="inlineStr">
        <is>
          <t>V10016</t>
        </is>
      </c>
      <c r="K567" s="92" t="inlineStr">
        <is>
          <t>J콜센터</t>
        </is>
      </c>
      <c r="M567" s="9">
        <f>IF($A567="","",VALUE($A567&amp;"")*12+VALUE($B567&amp;""))</f>
        <v/>
      </c>
      <c r="N567" s="64">
        <f>IF($A567="","",IFERROR(INDEX(부서매핑!$C$5:$C$504,MATCH($G567&amp;"",부서매핑!$A$5:$A$504,0)),"미매핑"))</f>
        <v/>
      </c>
      <c r="O567" s="9">
        <f>IF($A567="","",N567&amp;"|"&amp;$F567)</f>
        <v/>
      </c>
      <c r="P567" s="94">
        <f>IF($A567="",0,$H567*설정!$C$23)</f>
        <v/>
      </c>
      <c r="Q567" s="64">
        <f>IF($A567="","",IF(O567&lt;&gt;원인분석!$C$9,"",IF(AND(M567&gt;=원인분석!$C$10,M567&lt;=원인분석!$C$11),"당기",IF(AND(M567&gt;=원인분석!$C$12,M567&lt;=원인분석!$C$13),"비교",""))))</f>
        <v/>
      </c>
      <c r="R567" s="9">
        <f>IF(Q567="","",$K567&amp;"")</f>
        <v/>
      </c>
      <c r="S567" s="9">
        <f>IF(Q567="","",IF(MATCH(R567,$R$5:$R$100000,0)=ROW()-4,ROW(),""))</f>
        <v/>
      </c>
      <c r="T567" s="9">
        <f>IF(Q567="당기",ABS(P567)+ROW()/1000000000,"")</f>
        <v/>
      </c>
      <c r="U567" s="9">
        <f>IF(Q567="비교",ABS(P567)+ROW()/1000000000,"")</f>
        <v/>
      </c>
      <c r="V567" s="64">
        <f>IF($A567="","",IF(COUNTIF(변동분석!$E$7:$E$506,O567)&gt;0,"Y","N"))</f>
        <v/>
      </c>
      <c r="W567" s="64">
        <f>IF($A567="","",IFERROR(INDEX(계정매핑!$D$5:$D$504,MATCH($F567&amp;"",계정매핑!$A$5:$A$504,0)),"미매핑"))</f>
        <v/>
      </c>
      <c r="X567" s="9">
        <f>IF($A567="","",$F567&amp;"")</f>
        <v/>
      </c>
      <c r="Y567" s="94">
        <f>IF($A567="",0,IF(AE567="직접",IF(AF567="비귀속",$P567,0),$P567*(1-AG567)*IFERROR(INDEX(계정대체기준!$F$20:$F$49,MATCH($N567,계정대체기준!$A$20:$A$49,0)),1)))</f>
        <v/>
      </c>
      <c r="Z567" s="94">
        <f>IF($A567="",0,IF(AE567="직접",IF(AF567="신계약비",$P567,0),$P567*(1-AG567)*IFERROR(INDEX(계정대체기준!$C$20:$C$49,MATCH($N567,계정대체기준!$A$20:$A$49,0)),0)))</f>
        <v/>
      </c>
      <c r="AA567" s="94">
        <f>IF($A567="",0,IF(AE567="직접",IF(OR(AF567="유지비",AF567="손해조사비"),$P567,0),$P567*(1-AG567)*IFERROR(INDEX(계정대체기준!$D$20:$D$49,MATCH($N567,계정대체기준!$A$20:$A$49,0)),0)))</f>
        <v/>
      </c>
      <c r="AB567" s="94">
        <f>IF($A567="",0,IF(AE567="직접",IF(AF567="수금비",$P567,0),$P567*(1-AG567)*IFERROR(INDEX(계정대체기준!$E$20:$E$49,MATCH($N567,계정대체기준!$A$20:$A$49,0)),0)))</f>
        <v/>
      </c>
      <c r="AC567" s="9">
        <f>IF(AND($A567&lt;&gt;"",M567=설정!$C$20,Z567&gt;0),Z567+ROW()/1000000000,"")</f>
        <v/>
      </c>
      <c r="AD567" s="94">
        <f>IF($A567="",0,$P567*AG567)</f>
        <v/>
      </c>
      <c r="AE567" s="64">
        <f>IF($A567="","",IFERROR(INDEX(계정매핑!$E$5:$E$504,MATCH($F567&amp;"",계정매핑!$A$5:$A$504,0))&amp;"","공통비"))</f>
        <v/>
      </c>
      <c r="AF567" s="64">
        <f>IF($A567="","",IF(AE567="직접",IFERROR(INDEX(계정매핑!$F$5:$F$504,MATCH($F567&amp;"",계정매핑!$A$5:$A$504,0))&amp;"","비귀속"),""))</f>
        <v/>
      </c>
      <c r="AG567" s="96">
        <f>IF($A567="",0,IF(AND(AE567&lt;&gt;"직접",IFERROR(INDEX(계정매핑!$G$5:$G$504,MATCH($F567&amp;"",계정매핑!$A$5:$A$504,0))&amp;"","")="유지비",COUNTIF(계정대체기준!$A$6:$A$15,$N567)&gt;0),IFERROR(INDEX(계정대체기준!$E$6:$E$15,MATCH(VALUE($A567&amp;""),계정대체기준!$D$6:$D$15,0)),0),0))</f>
        <v/>
      </c>
      <c r="AH567" s="64">
        <f>IF($A567="","",IF(AD567=0,"",IF(OR(COUNTIF(계정대체기준!$A$77:$A$86,$N567)&gt;0,ISNUMBER(MATCH($X567,계정대체기준!$D$77:$D$86,0)),ISNUMBER(MATCH($F567,계정대체기준!$D$77:$D$86,0))),"Y","N")))</f>
        <v/>
      </c>
    </row>
    <row r="568">
      <c r="A568" s="92" t="n">
        <v>2025</v>
      </c>
      <c r="B568" s="92" t="n">
        <v>3</v>
      </c>
      <c r="C568" s="92" t="inlineStr">
        <is>
          <t>5100000564</t>
        </is>
      </c>
      <c r="D568" s="95" t="n">
        <v>45728</v>
      </c>
      <c r="E568" s="92" t="inlineStr">
        <is>
          <t>KR</t>
        </is>
      </c>
      <c r="F568" s="92" t="n">
        <v>63101000</v>
      </c>
      <c r="G568" s="92" t="n">
        <v>1602</v>
      </c>
      <c r="H568" s="93" t="n">
        <v>2843000</v>
      </c>
      <c r="I568" s="92" t="inlineStr">
        <is>
          <t>3월 사무실 임차료 - BB부동산</t>
        </is>
      </c>
      <c r="J568" s="92" t="inlineStr">
        <is>
          <t>V10028</t>
        </is>
      </c>
      <c r="K568" s="92" t="inlineStr">
        <is>
          <t>BB부동산</t>
        </is>
      </c>
      <c r="M568" s="9">
        <f>IF($A568="","",VALUE($A568&amp;"")*12+VALUE($B568&amp;""))</f>
        <v/>
      </c>
      <c r="N568" s="64">
        <f>IF($A568="","",IFERROR(INDEX(부서매핑!$C$5:$C$504,MATCH($G568&amp;"",부서매핑!$A$5:$A$504,0)),"미매핑"))</f>
        <v/>
      </c>
      <c r="O568" s="9">
        <f>IF($A568="","",N568&amp;"|"&amp;$F568)</f>
        <v/>
      </c>
      <c r="P568" s="94">
        <f>IF($A568="",0,$H568*설정!$C$23)</f>
        <v/>
      </c>
      <c r="Q568" s="64">
        <f>IF($A568="","",IF(O568&lt;&gt;원인분석!$C$9,"",IF(AND(M568&gt;=원인분석!$C$10,M568&lt;=원인분석!$C$11),"당기",IF(AND(M568&gt;=원인분석!$C$12,M568&lt;=원인분석!$C$13),"비교",""))))</f>
        <v/>
      </c>
      <c r="R568" s="9">
        <f>IF(Q568="","",$K568&amp;"")</f>
        <v/>
      </c>
      <c r="S568" s="9">
        <f>IF(Q568="","",IF(MATCH(R568,$R$5:$R$100000,0)=ROW()-4,ROW(),""))</f>
        <v/>
      </c>
      <c r="T568" s="9">
        <f>IF(Q568="당기",ABS(P568)+ROW()/1000000000,"")</f>
        <v/>
      </c>
      <c r="U568" s="9">
        <f>IF(Q568="비교",ABS(P568)+ROW()/1000000000,"")</f>
        <v/>
      </c>
      <c r="V568" s="64">
        <f>IF($A568="","",IF(COUNTIF(변동분석!$E$7:$E$506,O568)&gt;0,"Y","N"))</f>
        <v/>
      </c>
      <c r="W568" s="64">
        <f>IF($A568="","",IFERROR(INDEX(계정매핑!$D$5:$D$504,MATCH($F568&amp;"",계정매핑!$A$5:$A$504,0)),"미매핑"))</f>
        <v/>
      </c>
      <c r="X568" s="9">
        <f>IF($A568="","",$F568&amp;"")</f>
        <v/>
      </c>
      <c r="Y568" s="94">
        <f>IF($A568="",0,IF(AE568="직접",IF(AF568="비귀속",$P568,0),$P568*(1-AG568)*IFERROR(INDEX(계정대체기준!$F$20:$F$49,MATCH($N568,계정대체기준!$A$20:$A$49,0)),1)))</f>
        <v/>
      </c>
      <c r="Z568" s="94">
        <f>IF($A568="",0,IF(AE568="직접",IF(AF568="신계약비",$P568,0),$P568*(1-AG568)*IFERROR(INDEX(계정대체기준!$C$20:$C$49,MATCH($N568,계정대체기준!$A$20:$A$49,0)),0)))</f>
        <v/>
      </c>
      <c r="AA568" s="94">
        <f>IF($A568="",0,IF(AE568="직접",IF(OR(AF568="유지비",AF568="손해조사비"),$P568,0),$P568*(1-AG568)*IFERROR(INDEX(계정대체기준!$D$20:$D$49,MATCH($N568,계정대체기준!$A$20:$A$49,0)),0)))</f>
        <v/>
      </c>
      <c r="AB568" s="94">
        <f>IF($A568="",0,IF(AE568="직접",IF(AF568="수금비",$P568,0),$P568*(1-AG568)*IFERROR(INDEX(계정대체기준!$E$20:$E$49,MATCH($N568,계정대체기준!$A$20:$A$49,0)),0)))</f>
        <v/>
      </c>
      <c r="AC568" s="9">
        <f>IF(AND($A568&lt;&gt;"",M568=설정!$C$20,Z568&gt;0),Z568+ROW()/1000000000,"")</f>
        <v/>
      </c>
      <c r="AD568" s="94">
        <f>IF($A568="",0,$P568*AG568)</f>
        <v/>
      </c>
      <c r="AE568" s="64">
        <f>IF($A568="","",IFERROR(INDEX(계정매핑!$E$5:$E$504,MATCH($F568&amp;"",계정매핑!$A$5:$A$504,0))&amp;"","공통비"))</f>
        <v/>
      </c>
      <c r="AF568" s="64">
        <f>IF($A568="","",IF(AE568="직접",IFERROR(INDEX(계정매핑!$F$5:$F$504,MATCH($F568&amp;"",계정매핑!$A$5:$A$504,0))&amp;"","비귀속"),""))</f>
        <v/>
      </c>
      <c r="AG568" s="96">
        <f>IF($A568="",0,IF(AND(AE568&lt;&gt;"직접",IFERROR(INDEX(계정매핑!$G$5:$G$504,MATCH($F568&amp;"",계정매핑!$A$5:$A$504,0))&amp;"","")="유지비",COUNTIF(계정대체기준!$A$6:$A$15,$N568)&gt;0),IFERROR(INDEX(계정대체기준!$E$6:$E$15,MATCH(VALUE($A568&amp;""),계정대체기준!$D$6:$D$15,0)),0),0))</f>
        <v/>
      </c>
      <c r="AH568" s="64">
        <f>IF($A568="","",IF(AD568=0,"",IF(OR(COUNTIF(계정대체기준!$A$77:$A$86,$N568)&gt;0,ISNUMBER(MATCH($X568,계정대체기준!$D$77:$D$86,0)),ISNUMBER(MATCH($F568,계정대체기준!$D$77:$D$86,0))),"Y","N")))</f>
        <v/>
      </c>
    </row>
    <row r="569">
      <c r="A569" s="92" t="n">
        <v>2025</v>
      </c>
      <c r="B569" s="92" t="n">
        <v>3</v>
      </c>
      <c r="C569" s="92" t="inlineStr">
        <is>
          <t>5100000565</t>
        </is>
      </c>
      <c r="D569" s="95" t="n">
        <v>45729</v>
      </c>
      <c r="E569" s="92" t="inlineStr">
        <is>
          <t>KR</t>
        </is>
      </c>
      <c r="F569" s="92" t="n">
        <v>62101000</v>
      </c>
      <c r="G569" s="92" t="n">
        <v>1602</v>
      </c>
      <c r="H569" s="93" t="n">
        <v>1124000</v>
      </c>
      <c r="I569" s="92" t="inlineStr">
        <is>
          <t>3월 국내출장 - M항공</t>
        </is>
      </c>
      <c r="J569" s="92" t="inlineStr">
        <is>
          <t>V10001</t>
        </is>
      </c>
      <c r="K569" s="92" t="inlineStr">
        <is>
          <t>M항공</t>
        </is>
      </c>
      <c r="M569" s="9">
        <f>IF($A569="","",VALUE($A569&amp;"")*12+VALUE($B569&amp;""))</f>
        <v/>
      </c>
      <c r="N569" s="64">
        <f>IF($A569="","",IFERROR(INDEX(부서매핑!$C$5:$C$504,MATCH($G569&amp;"",부서매핑!$A$5:$A$504,0)),"미매핑"))</f>
        <v/>
      </c>
      <c r="O569" s="9">
        <f>IF($A569="","",N569&amp;"|"&amp;$F569)</f>
        <v/>
      </c>
      <c r="P569" s="94">
        <f>IF($A569="",0,$H569*설정!$C$23)</f>
        <v/>
      </c>
      <c r="Q569" s="64">
        <f>IF($A569="","",IF(O569&lt;&gt;원인분석!$C$9,"",IF(AND(M569&gt;=원인분석!$C$10,M569&lt;=원인분석!$C$11),"당기",IF(AND(M569&gt;=원인분석!$C$12,M569&lt;=원인분석!$C$13),"비교",""))))</f>
        <v/>
      </c>
      <c r="R569" s="9">
        <f>IF(Q569="","",$K569&amp;"")</f>
        <v/>
      </c>
      <c r="S569" s="9">
        <f>IF(Q569="","",IF(MATCH(R569,$R$5:$R$100000,0)=ROW()-4,ROW(),""))</f>
        <v/>
      </c>
      <c r="T569" s="9">
        <f>IF(Q569="당기",ABS(P569)+ROW()/1000000000,"")</f>
        <v/>
      </c>
      <c r="U569" s="9">
        <f>IF(Q569="비교",ABS(P569)+ROW()/1000000000,"")</f>
        <v/>
      </c>
      <c r="V569" s="64">
        <f>IF($A569="","",IF(COUNTIF(변동분석!$E$7:$E$506,O569)&gt;0,"Y","N"))</f>
        <v/>
      </c>
      <c r="W569" s="64">
        <f>IF($A569="","",IFERROR(INDEX(계정매핑!$D$5:$D$504,MATCH($F569&amp;"",계정매핑!$A$5:$A$504,0)),"미매핑"))</f>
        <v/>
      </c>
      <c r="X569" s="9">
        <f>IF($A569="","",$F569&amp;"")</f>
        <v/>
      </c>
      <c r="Y569" s="94">
        <f>IF($A569="",0,IF(AE569="직접",IF(AF569="비귀속",$P569,0),$P569*(1-AG569)*IFERROR(INDEX(계정대체기준!$F$20:$F$49,MATCH($N569,계정대체기준!$A$20:$A$49,0)),1)))</f>
        <v/>
      </c>
      <c r="Z569" s="94">
        <f>IF($A569="",0,IF(AE569="직접",IF(AF569="신계약비",$P569,0),$P569*(1-AG569)*IFERROR(INDEX(계정대체기준!$C$20:$C$49,MATCH($N569,계정대체기준!$A$20:$A$49,0)),0)))</f>
        <v/>
      </c>
      <c r="AA569" s="94">
        <f>IF($A569="",0,IF(AE569="직접",IF(OR(AF569="유지비",AF569="손해조사비"),$P569,0),$P569*(1-AG569)*IFERROR(INDEX(계정대체기준!$D$20:$D$49,MATCH($N569,계정대체기준!$A$20:$A$49,0)),0)))</f>
        <v/>
      </c>
      <c r="AB569" s="94">
        <f>IF($A569="",0,IF(AE569="직접",IF(AF569="수금비",$P569,0),$P569*(1-AG569)*IFERROR(INDEX(계정대체기준!$E$20:$E$49,MATCH($N569,계정대체기준!$A$20:$A$49,0)),0)))</f>
        <v/>
      </c>
      <c r="AC569" s="9">
        <f>IF(AND($A569&lt;&gt;"",M569=설정!$C$20,Z569&gt;0),Z569+ROW()/1000000000,"")</f>
        <v/>
      </c>
      <c r="AD569" s="94">
        <f>IF($A569="",0,$P569*AG569)</f>
        <v/>
      </c>
      <c r="AE569" s="64">
        <f>IF($A569="","",IFERROR(INDEX(계정매핑!$E$5:$E$504,MATCH($F569&amp;"",계정매핑!$A$5:$A$504,0))&amp;"","공통비"))</f>
        <v/>
      </c>
      <c r="AF569" s="64">
        <f>IF($A569="","",IF(AE569="직접",IFERROR(INDEX(계정매핑!$F$5:$F$504,MATCH($F569&amp;"",계정매핑!$A$5:$A$504,0))&amp;"","비귀속"),""))</f>
        <v/>
      </c>
      <c r="AG569" s="96">
        <f>IF($A569="",0,IF(AND(AE569&lt;&gt;"직접",IFERROR(INDEX(계정매핑!$G$5:$G$504,MATCH($F569&amp;"",계정매핑!$A$5:$A$504,0))&amp;"","")="유지비",COUNTIF(계정대체기준!$A$6:$A$15,$N569)&gt;0),IFERROR(INDEX(계정대체기준!$E$6:$E$15,MATCH(VALUE($A569&amp;""),계정대체기준!$D$6:$D$15,0)),0),0))</f>
        <v/>
      </c>
      <c r="AH569" s="64">
        <f>IF($A569="","",IF(AD569=0,"",IF(OR(COUNTIF(계정대체기준!$A$77:$A$86,$N569)&gt;0,ISNUMBER(MATCH($X569,계정대체기준!$D$77:$D$86,0)),ISNUMBER(MATCH($F569,계정대체기준!$D$77:$D$86,0))),"Y","N")))</f>
        <v/>
      </c>
    </row>
    <row r="570">
      <c r="A570" s="92" t="n">
        <v>2025</v>
      </c>
      <c r="B570" s="92" t="n">
        <v>3</v>
      </c>
      <c r="C570" s="92" t="inlineStr">
        <is>
          <t>5100000566</t>
        </is>
      </c>
      <c r="D570" s="95" t="n">
        <v>45729</v>
      </c>
      <c r="E570" s="92" t="inlineStr">
        <is>
          <t>KR</t>
        </is>
      </c>
      <c r="F570" s="92" t="n">
        <v>62102000</v>
      </c>
      <c r="G570" s="92" t="n">
        <v>1602</v>
      </c>
      <c r="H570" s="93" t="n">
        <v>299000</v>
      </c>
      <c r="I570" s="92" t="inlineStr">
        <is>
          <t>3월 해외출장 - N호텔</t>
        </is>
      </c>
      <c r="J570" s="92" t="inlineStr">
        <is>
          <t>V10009</t>
        </is>
      </c>
      <c r="K570" s="92" t="inlineStr">
        <is>
          <t>N호텔</t>
        </is>
      </c>
      <c r="M570" s="9">
        <f>IF($A570="","",VALUE($A570&amp;"")*12+VALUE($B570&amp;""))</f>
        <v/>
      </c>
      <c r="N570" s="64">
        <f>IF($A570="","",IFERROR(INDEX(부서매핑!$C$5:$C$504,MATCH($G570&amp;"",부서매핑!$A$5:$A$504,0)),"미매핑"))</f>
        <v/>
      </c>
      <c r="O570" s="9">
        <f>IF($A570="","",N570&amp;"|"&amp;$F570)</f>
        <v/>
      </c>
      <c r="P570" s="94">
        <f>IF($A570="",0,$H570*설정!$C$23)</f>
        <v/>
      </c>
      <c r="Q570" s="64">
        <f>IF($A570="","",IF(O570&lt;&gt;원인분석!$C$9,"",IF(AND(M570&gt;=원인분석!$C$10,M570&lt;=원인분석!$C$11),"당기",IF(AND(M570&gt;=원인분석!$C$12,M570&lt;=원인분석!$C$13),"비교",""))))</f>
        <v/>
      </c>
      <c r="R570" s="9">
        <f>IF(Q570="","",$K570&amp;"")</f>
        <v/>
      </c>
      <c r="S570" s="9">
        <f>IF(Q570="","",IF(MATCH(R570,$R$5:$R$100000,0)=ROW()-4,ROW(),""))</f>
        <v/>
      </c>
      <c r="T570" s="9">
        <f>IF(Q570="당기",ABS(P570)+ROW()/1000000000,"")</f>
        <v/>
      </c>
      <c r="U570" s="9">
        <f>IF(Q570="비교",ABS(P570)+ROW()/1000000000,"")</f>
        <v/>
      </c>
      <c r="V570" s="64">
        <f>IF($A570="","",IF(COUNTIF(변동분석!$E$7:$E$506,O570)&gt;0,"Y","N"))</f>
        <v/>
      </c>
      <c r="W570" s="64">
        <f>IF($A570="","",IFERROR(INDEX(계정매핑!$D$5:$D$504,MATCH($F570&amp;"",계정매핑!$A$5:$A$504,0)),"미매핑"))</f>
        <v/>
      </c>
      <c r="X570" s="9">
        <f>IF($A570="","",$F570&amp;"")</f>
        <v/>
      </c>
      <c r="Y570" s="94">
        <f>IF($A570="",0,IF(AE570="직접",IF(AF570="비귀속",$P570,0),$P570*(1-AG570)*IFERROR(INDEX(계정대체기준!$F$20:$F$49,MATCH($N570,계정대체기준!$A$20:$A$49,0)),1)))</f>
        <v/>
      </c>
      <c r="Z570" s="94">
        <f>IF($A570="",0,IF(AE570="직접",IF(AF570="신계약비",$P570,0),$P570*(1-AG570)*IFERROR(INDEX(계정대체기준!$C$20:$C$49,MATCH($N570,계정대체기준!$A$20:$A$49,0)),0)))</f>
        <v/>
      </c>
      <c r="AA570" s="94">
        <f>IF($A570="",0,IF(AE570="직접",IF(OR(AF570="유지비",AF570="손해조사비"),$P570,0),$P570*(1-AG570)*IFERROR(INDEX(계정대체기준!$D$20:$D$49,MATCH($N570,계정대체기준!$A$20:$A$49,0)),0)))</f>
        <v/>
      </c>
      <c r="AB570" s="94">
        <f>IF($A570="",0,IF(AE570="직접",IF(AF570="수금비",$P570,0),$P570*(1-AG570)*IFERROR(INDEX(계정대체기준!$E$20:$E$49,MATCH($N570,계정대체기준!$A$20:$A$49,0)),0)))</f>
        <v/>
      </c>
      <c r="AC570" s="9">
        <f>IF(AND($A570&lt;&gt;"",M570=설정!$C$20,Z570&gt;0),Z570+ROW()/1000000000,"")</f>
        <v/>
      </c>
      <c r="AD570" s="94">
        <f>IF($A570="",0,$P570*AG570)</f>
        <v/>
      </c>
      <c r="AE570" s="64">
        <f>IF($A570="","",IFERROR(INDEX(계정매핑!$E$5:$E$504,MATCH($F570&amp;"",계정매핑!$A$5:$A$504,0))&amp;"","공통비"))</f>
        <v/>
      </c>
      <c r="AF570" s="64">
        <f>IF($A570="","",IF(AE570="직접",IFERROR(INDEX(계정매핑!$F$5:$F$504,MATCH($F570&amp;"",계정매핑!$A$5:$A$504,0))&amp;"","비귀속"),""))</f>
        <v/>
      </c>
      <c r="AG570" s="96">
        <f>IF($A570="",0,IF(AND(AE570&lt;&gt;"직접",IFERROR(INDEX(계정매핑!$G$5:$G$504,MATCH($F570&amp;"",계정매핑!$A$5:$A$504,0))&amp;"","")="유지비",COUNTIF(계정대체기준!$A$6:$A$15,$N570)&gt;0),IFERROR(INDEX(계정대체기준!$E$6:$E$15,MATCH(VALUE($A570&amp;""),계정대체기준!$D$6:$D$15,0)),0),0))</f>
        <v/>
      </c>
      <c r="AH570" s="64">
        <f>IF($A570="","",IF(AD570=0,"",IF(OR(COUNTIF(계정대체기준!$A$77:$A$86,$N570)&gt;0,ISNUMBER(MATCH($X570,계정대체기준!$D$77:$D$86,0)),ISNUMBER(MATCH($F570,계정대체기준!$D$77:$D$86,0))),"Y","N")))</f>
        <v/>
      </c>
    </row>
    <row r="571">
      <c r="A571" s="92" t="n">
        <v>2025</v>
      </c>
      <c r="B571" s="92" t="n">
        <v>3</v>
      </c>
      <c r="C571" s="92" t="inlineStr">
        <is>
          <t>5100000567</t>
        </is>
      </c>
      <c r="D571" s="95" t="n">
        <v>45729</v>
      </c>
      <c r="E571" s="92" t="inlineStr">
        <is>
          <t>KR</t>
        </is>
      </c>
      <c r="F571" s="92" t="n">
        <v>62102000</v>
      </c>
      <c r="G571" s="92" t="n">
        <v>1701</v>
      </c>
      <c r="H571" s="93" t="n">
        <v>44000</v>
      </c>
      <c r="I571" s="92" t="inlineStr">
        <is>
          <t>3월 해외출장 - M항공</t>
        </is>
      </c>
      <c r="J571" s="92" t="inlineStr">
        <is>
          <t>V10001</t>
        </is>
      </c>
      <c r="K571" s="92" t="inlineStr">
        <is>
          <t>M항공</t>
        </is>
      </c>
      <c r="M571" s="9">
        <f>IF($A571="","",VALUE($A571&amp;"")*12+VALUE($B571&amp;""))</f>
        <v/>
      </c>
      <c r="N571" s="64">
        <f>IF($A571="","",IFERROR(INDEX(부서매핑!$C$5:$C$504,MATCH($G571&amp;"",부서매핑!$A$5:$A$504,0)),"미매핑"))</f>
        <v/>
      </c>
      <c r="O571" s="9">
        <f>IF($A571="","",N571&amp;"|"&amp;$F571)</f>
        <v/>
      </c>
      <c r="P571" s="94">
        <f>IF($A571="",0,$H571*설정!$C$23)</f>
        <v/>
      </c>
      <c r="Q571" s="64">
        <f>IF($A571="","",IF(O571&lt;&gt;원인분석!$C$9,"",IF(AND(M571&gt;=원인분석!$C$10,M571&lt;=원인분석!$C$11),"당기",IF(AND(M571&gt;=원인분석!$C$12,M571&lt;=원인분석!$C$13),"비교",""))))</f>
        <v/>
      </c>
      <c r="R571" s="9">
        <f>IF(Q571="","",$K571&amp;"")</f>
        <v/>
      </c>
      <c r="S571" s="9">
        <f>IF(Q571="","",IF(MATCH(R571,$R$5:$R$100000,0)=ROW()-4,ROW(),""))</f>
        <v/>
      </c>
      <c r="T571" s="9">
        <f>IF(Q571="당기",ABS(P571)+ROW()/1000000000,"")</f>
        <v/>
      </c>
      <c r="U571" s="9">
        <f>IF(Q571="비교",ABS(P571)+ROW()/1000000000,"")</f>
        <v/>
      </c>
      <c r="V571" s="64">
        <f>IF($A571="","",IF(COUNTIF(변동분석!$E$7:$E$506,O571)&gt;0,"Y","N"))</f>
        <v/>
      </c>
      <c r="W571" s="64">
        <f>IF($A571="","",IFERROR(INDEX(계정매핑!$D$5:$D$504,MATCH($F571&amp;"",계정매핑!$A$5:$A$504,0)),"미매핑"))</f>
        <v/>
      </c>
      <c r="X571" s="9">
        <f>IF($A571="","",$F571&amp;"")</f>
        <v/>
      </c>
      <c r="Y571" s="94">
        <f>IF($A571="",0,IF(AE571="직접",IF(AF571="비귀속",$P571,0),$P571*(1-AG571)*IFERROR(INDEX(계정대체기준!$F$20:$F$49,MATCH($N571,계정대체기준!$A$20:$A$49,0)),1)))</f>
        <v/>
      </c>
      <c r="Z571" s="94">
        <f>IF($A571="",0,IF(AE571="직접",IF(AF571="신계약비",$P571,0),$P571*(1-AG571)*IFERROR(INDEX(계정대체기준!$C$20:$C$49,MATCH($N571,계정대체기준!$A$20:$A$49,0)),0)))</f>
        <v/>
      </c>
      <c r="AA571" s="94">
        <f>IF($A571="",0,IF(AE571="직접",IF(OR(AF571="유지비",AF571="손해조사비"),$P571,0),$P571*(1-AG571)*IFERROR(INDEX(계정대체기준!$D$20:$D$49,MATCH($N571,계정대체기준!$A$20:$A$49,0)),0)))</f>
        <v/>
      </c>
      <c r="AB571" s="94">
        <f>IF($A571="",0,IF(AE571="직접",IF(AF571="수금비",$P571,0),$P571*(1-AG571)*IFERROR(INDEX(계정대체기준!$E$20:$E$49,MATCH($N571,계정대체기준!$A$20:$A$49,0)),0)))</f>
        <v/>
      </c>
      <c r="AC571" s="9">
        <f>IF(AND($A571&lt;&gt;"",M571=설정!$C$20,Z571&gt;0),Z571+ROW()/1000000000,"")</f>
        <v/>
      </c>
      <c r="AD571" s="94">
        <f>IF($A571="",0,$P571*AG571)</f>
        <v/>
      </c>
      <c r="AE571" s="64">
        <f>IF($A571="","",IFERROR(INDEX(계정매핑!$E$5:$E$504,MATCH($F571&amp;"",계정매핑!$A$5:$A$504,0))&amp;"","공통비"))</f>
        <v/>
      </c>
      <c r="AF571" s="64">
        <f>IF($A571="","",IF(AE571="직접",IFERROR(INDEX(계정매핑!$F$5:$F$504,MATCH($F571&amp;"",계정매핑!$A$5:$A$504,0))&amp;"","비귀속"),""))</f>
        <v/>
      </c>
      <c r="AG571" s="96">
        <f>IF($A571="",0,IF(AND(AE571&lt;&gt;"직접",IFERROR(INDEX(계정매핑!$G$5:$G$504,MATCH($F571&amp;"",계정매핑!$A$5:$A$504,0))&amp;"","")="유지비",COUNTIF(계정대체기준!$A$6:$A$15,$N571)&gt;0),IFERROR(INDEX(계정대체기준!$E$6:$E$15,MATCH(VALUE($A571&amp;""),계정대체기준!$D$6:$D$15,0)),0),0))</f>
        <v/>
      </c>
      <c r="AH571" s="64">
        <f>IF($A571="","",IF(AD571=0,"",IF(OR(COUNTIF(계정대체기준!$A$77:$A$86,$N571)&gt;0,ISNUMBER(MATCH($X571,계정대체기준!$D$77:$D$86,0)),ISNUMBER(MATCH($F571,계정대체기준!$D$77:$D$86,0))),"Y","N")))</f>
        <v/>
      </c>
    </row>
    <row r="572">
      <c r="A572" s="92" t="n">
        <v>2025</v>
      </c>
      <c r="B572" s="92" t="n">
        <v>3</v>
      </c>
      <c r="C572" s="92" t="inlineStr">
        <is>
          <t>5100000568</t>
        </is>
      </c>
      <c r="D572" s="95" t="n">
        <v>45729</v>
      </c>
      <c r="E572" s="92" t="inlineStr">
        <is>
          <t>KR</t>
        </is>
      </c>
      <c r="F572" s="92" t="n">
        <v>62102000</v>
      </c>
      <c r="G572" s="92" t="n">
        <v>1951</v>
      </c>
      <c r="H572" s="93" t="n">
        <v>67000</v>
      </c>
      <c r="I572" s="92" t="inlineStr">
        <is>
          <t>3월 해외출장 - M항공</t>
        </is>
      </c>
      <c r="J572" s="92" t="inlineStr">
        <is>
          <t>V10001</t>
        </is>
      </c>
      <c r="K572" s="92" t="inlineStr">
        <is>
          <t>M항공</t>
        </is>
      </c>
      <c r="M572" s="9">
        <f>IF($A572="","",VALUE($A572&amp;"")*12+VALUE($B572&amp;""))</f>
        <v/>
      </c>
      <c r="N572" s="64">
        <f>IF($A572="","",IFERROR(INDEX(부서매핑!$C$5:$C$504,MATCH($G572&amp;"",부서매핑!$A$5:$A$504,0)),"미매핑"))</f>
        <v/>
      </c>
      <c r="O572" s="9">
        <f>IF($A572="","",N572&amp;"|"&amp;$F572)</f>
        <v/>
      </c>
      <c r="P572" s="94">
        <f>IF($A572="",0,$H572*설정!$C$23)</f>
        <v/>
      </c>
      <c r="Q572" s="64">
        <f>IF($A572="","",IF(O572&lt;&gt;원인분석!$C$9,"",IF(AND(M572&gt;=원인분석!$C$10,M572&lt;=원인분석!$C$11),"당기",IF(AND(M572&gt;=원인분석!$C$12,M572&lt;=원인분석!$C$13),"비교",""))))</f>
        <v/>
      </c>
      <c r="R572" s="9">
        <f>IF(Q572="","",$K572&amp;"")</f>
        <v/>
      </c>
      <c r="S572" s="9">
        <f>IF(Q572="","",IF(MATCH(R572,$R$5:$R$100000,0)=ROW()-4,ROW(),""))</f>
        <v/>
      </c>
      <c r="T572" s="9">
        <f>IF(Q572="당기",ABS(P572)+ROW()/1000000000,"")</f>
        <v/>
      </c>
      <c r="U572" s="9">
        <f>IF(Q572="비교",ABS(P572)+ROW()/1000000000,"")</f>
        <v/>
      </c>
      <c r="V572" s="64">
        <f>IF($A572="","",IF(COUNTIF(변동분석!$E$7:$E$506,O572)&gt;0,"Y","N"))</f>
        <v/>
      </c>
      <c r="W572" s="64">
        <f>IF($A572="","",IFERROR(INDEX(계정매핑!$D$5:$D$504,MATCH($F572&amp;"",계정매핑!$A$5:$A$504,0)),"미매핑"))</f>
        <v/>
      </c>
      <c r="X572" s="9">
        <f>IF($A572="","",$F572&amp;"")</f>
        <v/>
      </c>
      <c r="Y572" s="94">
        <f>IF($A572="",0,IF(AE572="직접",IF(AF572="비귀속",$P572,0),$P572*(1-AG572)*IFERROR(INDEX(계정대체기준!$F$20:$F$49,MATCH($N572,계정대체기준!$A$20:$A$49,0)),1)))</f>
        <v/>
      </c>
      <c r="Z572" s="94">
        <f>IF($A572="",0,IF(AE572="직접",IF(AF572="신계약비",$P572,0),$P572*(1-AG572)*IFERROR(INDEX(계정대체기준!$C$20:$C$49,MATCH($N572,계정대체기준!$A$20:$A$49,0)),0)))</f>
        <v/>
      </c>
      <c r="AA572" s="94">
        <f>IF($A572="",0,IF(AE572="직접",IF(OR(AF572="유지비",AF572="손해조사비"),$P572,0),$P572*(1-AG572)*IFERROR(INDEX(계정대체기준!$D$20:$D$49,MATCH($N572,계정대체기준!$A$20:$A$49,0)),0)))</f>
        <v/>
      </c>
      <c r="AB572" s="94">
        <f>IF($A572="",0,IF(AE572="직접",IF(AF572="수금비",$P572,0),$P572*(1-AG572)*IFERROR(INDEX(계정대체기준!$E$20:$E$49,MATCH($N572,계정대체기준!$A$20:$A$49,0)),0)))</f>
        <v/>
      </c>
      <c r="AC572" s="9">
        <f>IF(AND($A572&lt;&gt;"",M572=설정!$C$20,Z572&gt;0),Z572+ROW()/1000000000,"")</f>
        <v/>
      </c>
      <c r="AD572" s="94">
        <f>IF($A572="",0,$P572*AG572)</f>
        <v/>
      </c>
      <c r="AE572" s="64">
        <f>IF($A572="","",IFERROR(INDEX(계정매핑!$E$5:$E$504,MATCH($F572&amp;"",계정매핑!$A$5:$A$504,0))&amp;"","공통비"))</f>
        <v/>
      </c>
      <c r="AF572" s="64">
        <f>IF($A572="","",IF(AE572="직접",IFERROR(INDEX(계정매핑!$F$5:$F$504,MATCH($F572&amp;"",계정매핑!$A$5:$A$504,0))&amp;"","비귀속"),""))</f>
        <v/>
      </c>
      <c r="AG572" s="96">
        <f>IF($A572="",0,IF(AND(AE572&lt;&gt;"직접",IFERROR(INDEX(계정매핑!$G$5:$G$504,MATCH($F572&amp;"",계정매핑!$A$5:$A$504,0))&amp;"","")="유지비",COUNTIF(계정대체기준!$A$6:$A$15,$N572)&gt;0),IFERROR(INDEX(계정대체기준!$E$6:$E$15,MATCH(VALUE($A572&amp;""),계정대체기준!$D$6:$D$15,0)),0),0))</f>
        <v/>
      </c>
      <c r="AH572" s="64">
        <f>IF($A572="","",IF(AD572=0,"",IF(OR(COUNTIF(계정대체기준!$A$77:$A$86,$N572)&gt;0,ISNUMBER(MATCH($X572,계정대체기준!$D$77:$D$86,0)),ISNUMBER(MATCH($F572,계정대체기준!$D$77:$D$86,0))),"Y","N")))</f>
        <v/>
      </c>
    </row>
    <row r="573">
      <c r="A573" s="92" t="n">
        <v>2025</v>
      </c>
      <c r="B573" s="92" t="n">
        <v>3</v>
      </c>
      <c r="C573" s="92" t="inlineStr">
        <is>
          <t>5100000569</t>
        </is>
      </c>
      <c r="D573" s="95" t="n">
        <v>45729</v>
      </c>
      <c r="E573" s="92" t="inlineStr">
        <is>
          <t>KR</t>
        </is>
      </c>
      <c r="F573" s="92" t="n">
        <v>62701000</v>
      </c>
      <c r="G573" s="92" t="n">
        <v>1502</v>
      </c>
      <c r="H573" s="93" t="n">
        <v>51217000</v>
      </c>
      <c r="I573" s="92" t="inlineStr">
        <is>
          <t>3월 광고 집행 - F애드</t>
        </is>
      </c>
      <c r="J573" s="92" t="inlineStr">
        <is>
          <t>V10023</t>
        </is>
      </c>
      <c r="K573" s="92" t="inlineStr">
        <is>
          <t>F애드</t>
        </is>
      </c>
      <c r="M573" s="9">
        <f>IF($A573="","",VALUE($A573&amp;"")*12+VALUE($B573&amp;""))</f>
        <v/>
      </c>
      <c r="N573" s="64">
        <f>IF($A573="","",IFERROR(INDEX(부서매핑!$C$5:$C$504,MATCH($G573&amp;"",부서매핑!$A$5:$A$504,0)),"미매핑"))</f>
        <v/>
      </c>
      <c r="O573" s="9">
        <f>IF($A573="","",N573&amp;"|"&amp;$F573)</f>
        <v/>
      </c>
      <c r="P573" s="94">
        <f>IF($A573="",0,$H573*설정!$C$23)</f>
        <v/>
      </c>
      <c r="Q573" s="64">
        <f>IF($A573="","",IF(O573&lt;&gt;원인분석!$C$9,"",IF(AND(M573&gt;=원인분석!$C$10,M573&lt;=원인분석!$C$11),"당기",IF(AND(M573&gt;=원인분석!$C$12,M573&lt;=원인분석!$C$13),"비교",""))))</f>
        <v/>
      </c>
      <c r="R573" s="9">
        <f>IF(Q573="","",$K573&amp;"")</f>
        <v/>
      </c>
      <c r="S573" s="9">
        <f>IF(Q573="","",IF(MATCH(R573,$R$5:$R$100000,0)=ROW()-4,ROW(),""))</f>
        <v/>
      </c>
      <c r="T573" s="9">
        <f>IF(Q573="당기",ABS(P573)+ROW()/1000000000,"")</f>
        <v/>
      </c>
      <c r="U573" s="9">
        <f>IF(Q573="비교",ABS(P573)+ROW()/1000000000,"")</f>
        <v/>
      </c>
      <c r="V573" s="64">
        <f>IF($A573="","",IF(COUNTIF(변동분석!$E$7:$E$506,O573)&gt;0,"Y","N"))</f>
        <v/>
      </c>
      <c r="W573" s="64">
        <f>IF($A573="","",IFERROR(INDEX(계정매핑!$D$5:$D$504,MATCH($F573&amp;"",계정매핑!$A$5:$A$504,0)),"미매핑"))</f>
        <v/>
      </c>
      <c r="X573" s="9">
        <f>IF($A573="","",$F573&amp;"")</f>
        <v/>
      </c>
      <c r="Y573" s="94">
        <f>IF($A573="",0,IF(AE573="직접",IF(AF573="비귀속",$P573,0),$P573*(1-AG573)*IFERROR(INDEX(계정대체기준!$F$20:$F$49,MATCH($N573,계정대체기준!$A$20:$A$49,0)),1)))</f>
        <v/>
      </c>
      <c r="Z573" s="94">
        <f>IF($A573="",0,IF(AE573="직접",IF(AF573="신계약비",$P573,0),$P573*(1-AG573)*IFERROR(INDEX(계정대체기준!$C$20:$C$49,MATCH($N573,계정대체기준!$A$20:$A$49,0)),0)))</f>
        <v/>
      </c>
      <c r="AA573" s="94">
        <f>IF($A573="",0,IF(AE573="직접",IF(OR(AF573="유지비",AF573="손해조사비"),$P573,0),$P573*(1-AG573)*IFERROR(INDEX(계정대체기준!$D$20:$D$49,MATCH($N573,계정대체기준!$A$20:$A$49,0)),0)))</f>
        <v/>
      </c>
      <c r="AB573" s="94">
        <f>IF($A573="",0,IF(AE573="직접",IF(AF573="수금비",$P573,0),$P573*(1-AG573)*IFERROR(INDEX(계정대체기준!$E$20:$E$49,MATCH($N573,계정대체기준!$A$20:$A$49,0)),0)))</f>
        <v/>
      </c>
      <c r="AC573" s="9">
        <f>IF(AND($A573&lt;&gt;"",M573=설정!$C$20,Z573&gt;0),Z573+ROW()/1000000000,"")</f>
        <v/>
      </c>
      <c r="AD573" s="94">
        <f>IF($A573="",0,$P573*AG573)</f>
        <v/>
      </c>
      <c r="AE573" s="64">
        <f>IF($A573="","",IFERROR(INDEX(계정매핑!$E$5:$E$504,MATCH($F573&amp;"",계정매핑!$A$5:$A$504,0))&amp;"","공통비"))</f>
        <v/>
      </c>
      <c r="AF573" s="64">
        <f>IF($A573="","",IF(AE573="직접",IFERROR(INDEX(계정매핑!$F$5:$F$504,MATCH($F573&amp;"",계정매핑!$A$5:$A$504,0))&amp;"","비귀속"),""))</f>
        <v/>
      </c>
      <c r="AG573" s="96">
        <f>IF($A573="",0,IF(AND(AE573&lt;&gt;"직접",IFERROR(INDEX(계정매핑!$G$5:$G$504,MATCH($F573&amp;"",계정매핑!$A$5:$A$504,0))&amp;"","")="유지비",COUNTIF(계정대체기준!$A$6:$A$15,$N573)&gt;0),IFERROR(INDEX(계정대체기준!$E$6:$E$15,MATCH(VALUE($A573&amp;""),계정대체기준!$D$6:$D$15,0)),0),0))</f>
        <v/>
      </c>
      <c r="AH573" s="64">
        <f>IF($A573="","",IF(AD573=0,"",IF(OR(COUNTIF(계정대체기준!$A$77:$A$86,$N573)&gt;0,ISNUMBER(MATCH($X573,계정대체기준!$D$77:$D$86,0)),ISNUMBER(MATCH($F573,계정대체기준!$D$77:$D$86,0))),"Y","N")))</f>
        <v/>
      </c>
    </row>
    <row r="574">
      <c r="A574" s="92" t="n">
        <v>2025</v>
      </c>
      <c r="B574" s="92" t="n">
        <v>3</v>
      </c>
      <c r="C574" s="92" t="inlineStr">
        <is>
          <t>5100000570</t>
        </is>
      </c>
      <c r="D574" s="95" t="n">
        <v>45729</v>
      </c>
      <c r="E574" s="92" t="inlineStr">
        <is>
          <t>KR</t>
        </is>
      </c>
      <c r="F574" s="92" t="n">
        <v>62801000</v>
      </c>
      <c r="G574" s="92" t="n">
        <v>1301</v>
      </c>
      <c r="H574" s="93" t="n">
        <v>2694000</v>
      </c>
      <c r="I574" s="92" t="inlineStr">
        <is>
          <t>3월 사내교육 - (사내강사료)</t>
        </is>
      </c>
      <c r="J574" s="92" t="inlineStr">
        <is>
          <t>V10024</t>
        </is>
      </c>
      <c r="K574" s="92" t="inlineStr">
        <is>
          <t>(사내강사료)</t>
        </is>
      </c>
      <c r="M574" s="9">
        <f>IF($A574="","",VALUE($A574&amp;"")*12+VALUE($B574&amp;""))</f>
        <v/>
      </c>
      <c r="N574" s="64">
        <f>IF($A574="","",IFERROR(INDEX(부서매핑!$C$5:$C$504,MATCH($G574&amp;"",부서매핑!$A$5:$A$504,0)),"미매핑"))</f>
        <v/>
      </c>
      <c r="O574" s="9">
        <f>IF($A574="","",N574&amp;"|"&amp;$F574)</f>
        <v/>
      </c>
      <c r="P574" s="94">
        <f>IF($A574="",0,$H574*설정!$C$23)</f>
        <v/>
      </c>
      <c r="Q574" s="64">
        <f>IF($A574="","",IF(O574&lt;&gt;원인분석!$C$9,"",IF(AND(M574&gt;=원인분석!$C$10,M574&lt;=원인분석!$C$11),"당기",IF(AND(M574&gt;=원인분석!$C$12,M574&lt;=원인분석!$C$13),"비교",""))))</f>
        <v/>
      </c>
      <c r="R574" s="9">
        <f>IF(Q574="","",$K574&amp;"")</f>
        <v/>
      </c>
      <c r="S574" s="9">
        <f>IF(Q574="","",IF(MATCH(R574,$R$5:$R$100000,0)=ROW()-4,ROW(),""))</f>
        <v/>
      </c>
      <c r="T574" s="9">
        <f>IF(Q574="당기",ABS(P574)+ROW()/1000000000,"")</f>
        <v/>
      </c>
      <c r="U574" s="9">
        <f>IF(Q574="비교",ABS(P574)+ROW()/1000000000,"")</f>
        <v/>
      </c>
      <c r="V574" s="64">
        <f>IF($A574="","",IF(COUNTIF(변동분석!$E$7:$E$506,O574)&gt;0,"Y","N"))</f>
        <v/>
      </c>
      <c r="W574" s="64">
        <f>IF($A574="","",IFERROR(INDEX(계정매핑!$D$5:$D$504,MATCH($F574&amp;"",계정매핑!$A$5:$A$504,0)),"미매핑"))</f>
        <v/>
      </c>
      <c r="X574" s="9">
        <f>IF($A574="","",$F574&amp;"")</f>
        <v/>
      </c>
      <c r="Y574" s="94">
        <f>IF($A574="",0,IF(AE574="직접",IF(AF574="비귀속",$P574,0),$P574*(1-AG574)*IFERROR(INDEX(계정대체기준!$F$20:$F$49,MATCH($N574,계정대체기준!$A$20:$A$49,0)),1)))</f>
        <v/>
      </c>
      <c r="Z574" s="94">
        <f>IF($A574="",0,IF(AE574="직접",IF(AF574="신계약비",$P574,0),$P574*(1-AG574)*IFERROR(INDEX(계정대체기준!$C$20:$C$49,MATCH($N574,계정대체기준!$A$20:$A$49,0)),0)))</f>
        <v/>
      </c>
      <c r="AA574" s="94">
        <f>IF($A574="",0,IF(AE574="직접",IF(OR(AF574="유지비",AF574="손해조사비"),$P574,0),$P574*(1-AG574)*IFERROR(INDEX(계정대체기준!$D$20:$D$49,MATCH($N574,계정대체기준!$A$20:$A$49,0)),0)))</f>
        <v/>
      </c>
      <c r="AB574" s="94">
        <f>IF($A574="",0,IF(AE574="직접",IF(AF574="수금비",$P574,0),$P574*(1-AG574)*IFERROR(INDEX(계정대체기준!$E$20:$E$49,MATCH($N574,계정대체기준!$A$20:$A$49,0)),0)))</f>
        <v/>
      </c>
      <c r="AC574" s="9">
        <f>IF(AND($A574&lt;&gt;"",M574=설정!$C$20,Z574&gt;0),Z574+ROW()/1000000000,"")</f>
        <v/>
      </c>
      <c r="AD574" s="94">
        <f>IF($A574="",0,$P574*AG574)</f>
        <v/>
      </c>
      <c r="AE574" s="64">
        <f>IF($A574="","",IFERROR(INDEX(계정매핑!$E$5:$E$504,MATCH($F574&amp;"",계정매핑!$A$5:$A$504,0))&amp;"","공통비"))</f>
        <v/>
      </c>
      <c r="AF574" s="64">
        <f>IF($A574="","",IF(AE574="직접",IFERROR(INDEX(계정매핑!$F$5:$F$504,MATCH($F574&amp;"",계정매핑!$A$5:$A$504,0))&amp;"","비귀속"),""))</f>
        <v/>
      </c>
      <c r="AG574" s="96">
        <f>IF($A574="",0,IF(AND(AE574&lt;&gt;"직접",IFERROR(INDEX(계정매핑!$G$5:$G$504,MATCH($F574&amp;"",계정매핑!$A$5:$A$504,0))&amp;"","")="유지비",COUNTIF(계정대체기준!$A$6:$A$15,$N574)&gt;0),IFERROR(INDEX(계정대체기준!$E$6:$E$15,MATCH(VALUE($A574&amp;""),계정대체기준!$D$6:$D$15,0)),0),0))</f>
        <v/>
      </c>
      <c r="AH574" s="64">
        <f>IF($A574="","",IF(AD574=0,"",IF(OR(COUNTIF(계정대체기준!$A$77:$A$86,$N574)&gt;0,ISNUMBER(MATCH($X574,계정대체기준!$D$77:$D$86,0)),ISNUMBER(MATCH($F574,계정대체기준!$D$77:$D$86,0))),"Y","N")))</f>
        <v/>
      </c>
    </row>
    <row r="575">
      <c r="A575" s="92" t="n">
        <v>2025</v>
      </c>
      <c r="B575" s="92" t="n">
        <v>3</v>
      </c>
      <c r="C575" s="92" t="inlineStr">
        <is>
          <t>5100000571</t>
        </is>
      </c>
      <c r="D575" s="95" t="n">
        <v>45729</v>
      </c>
      <c r="E575" s="92" t="inlineStr">
        <is>
          <t>KR</t>
        </is>
      </c>
      <c r="F575" s="92" t="n">
        <v>62802000</v>
      </c>
      <c r="G575" s="92" t="n">
        <v>1301</v>
      </c>
      <c r="H575" s="93" t="n">
        <v>3415000</v>
      </c>
      <c r="I575" s="92" t="inlineStr">
        <is>
          <t>3월 위탁교육 - V아카데미</t>
        </is>
      </c>
      <c r="J575" s="92" t="inlineStr">
        <is>
          <t>V10027</t>
        </is>
      </c>
      <c r="K575" s="92" t="inlineStr">
        <is>
          <t>V아카데미</t>
        </is>
      </c>
      <c r="M575" s="9">
        <f>IF($A575="","",VALUE($A575&amp;"")*12+VALUE($B575&amp;""))</f>
        <v/>
      </c>
      <c r="N575" s="64">
        <f>IF($A575="","",IFERROR(INDEX(부서매핑!$C$5:$C$504,MATCH($G575&amp;"",부서매핑!$A$5:$A$504,0)),"미매핑"))</f>
        <v/>
      </c>
      <c r="O575" s="9">
        <f>IF($A575="","",N575&amp;"|"&amp;$F575)</f>
        <v/>
      </c>
      <c r="P575" s="94">
        <f>IF($A575="",0,$H575*설정!$C$23)</f>
        <v/>
      </c>
      <c r="Q575" s="64">
        <f>IF($A575="","",IF(O575&lt;&gt;원인분석!$C$9,"",IF(AND(M575&gt;=원인분석!$C$10,M575&lt;=원인분석!$C$11),"당기",IF(AND(M575&gt;=원인분석!$C$12,M575&lt;=원인분석!$C$13),"비교",""))))</f>
        <v/>
      </c>
      <c r="R575" s="9">
        <f>IF(Q575="","",$K575&amp;"")</f>
        <v/>
      </c>
      <c r="S575" s="9">
        <f>IF(Q575="","",IF(MATCH(R575,$R$5:$R$100000,0)=ROW()-4,ROW(),""))</f>
        <v/>
      </c>
      <c r="T575" s="9">
        <f>IF(Q575="당기",ABS(P575)+ROW()/1000000000,"")</f>
        <v/>
      </c>
      <c r="U575" s="9">
        <f>IF(Q575="비교",ABS(P575)+ROW()/1000000000,"")</f>
        <v/>
      </c>
      <c r="V575" s="64">
        <f>IF($A575="","",IF(COUNTIF(변동분석!$E$7:$E$506,O575)&gt;0,"Y","N"))</f>
        <v/>
      </c>
      <c r="W575" s="64">
        <f>IF($A575="","",IFERROR(INDEX(계정매핑!$D$5:$D$504,MATCH($F575&amp;"",계정매핑!$A$5:$A$504,0)),"미매핑"))</f>
        <v/>
      </c>
      <c r="X575" s="9">
        <f>IF($A575="","",$F575&amp;"")</f>
        <v/>
      </c>
      <c r="Y575" s="94">
        <f>IF($A575="",0,IF(AE575="직접",IF(AF575="비귀속",$P575,0),$P575*(1-AG575)*IFERROR(INDEX(계정대체기준!$F$20:$F$49,MATCH($N575,계정대체기준!$A$20:$A$49,0)),1)))</f>
        <v/>
      </c>
      <c r="Z575" s="94">
        <f>IF($A575="",0,IF(AE575="직접",IF(AF575="신계약비",$P575,0),$P575*(1-AG575)*IFERROR(INDEX(계정대체기준!$C$20:$C$49,MATCH($N575,계정대체기준!$A$20:$A$49,0)),0)))</f>
        <v/>
      </c>
      <c r="AA575" s="94">
        <f>IF($A575="",0,IF(AE575="직접",IF(OR(AF575="유지비",AF575="손해조사비"),$P575,0),$P575*(1-AG575)*IFERROR(INDEX(계정대체기준!$D$20:$D$49,MATCH($N575,계정대체기준!$A$20:$A$49,0)),0)))</f>
        <v/>
      </c>
      <c r="AB575" s="94">
        <f>IF($A575="",0,IF(AE575="직접",IF(AF575="수금비",$P575,0),$P575*(1-AG575)*IFERROR(INDEX(계정대체기준!$E$20:$E$49,MATCH($N575,계정대체기준!$A$20:$A$49,0)),0)))</f>
        <v/>
      </c>
      <c r="AC575" s="9">
        <f>IF(AND($A575&lt;&gt;"",M575=설정!$C$20,Z575&gt;0),Z575+ROW()/1000000000,"")</f>
        <v/>
      </c>
      <c r="AD575" s="94">
        <f>IF($A575="",0,$P575*AG575)</f>
        <v/>
      </c>
      <c r="AE575" s="64">
        <f>IF($A575="","",IFERROR(INDEX(계정매핑!$E$5:$E$504,MATCH($F575&amp;"",계정매핑!$A$5:$A$504,0))&amp;"","공통비"))</f>
        <v/>
      </c>
      <c r="AF575" s="64">
        <f>IF($A575="","",IF(AE575="직접",IFERROR(INDEX(계정매핑!$F$5:$F$504,MATCH($F575&amp;"",계정매핑!$A$5:$A$504,0))&amp;"","비귀속"),""))</f>
        <v/>
      </c>
      <c r="AG575" s="96">
        <f>IF($A575="",0,IF(AND(AE575&lt;&gt;"직접",IFERROR(INDEX(계정매핑!$G$5:$G$504,MATCH($F575&amp;"",계정매핑!$A$5:$A$504,0))&amp;"","")="유지비",COUNTIF(계정대체기준!$A$6:$A$15,$N575)&gt;0),IFERROR(INDEX(계정대체기준!$E$6:$E$15,MATCH(VALUE($A575&amp;""),계정대체기준!$D$6:$D$15,0)),0),0))</f>
        <v/>
      </c>
      <c r="AH575" s="64">
        <f>IF($A575="","",IF(AD575=0,"",IF(OR(COUNTIF(계정대체기준!$A$77:$A$86,$N575)&gt;0,ISNUMBER(MATCH($X575,계정대체기준!$D$77:$D$86,0)),ISNUMBER(MATCH($F575,계정대체기준!$D$77:$D$86,0))),"Y","N")))</f>
        <v/>
      </c>
    </row>
    <row r="576">
      <c r="A576" s="92" t="n">
        <v>2025</v>
      </c>
      <c r="B576" s="92" t="n">
        <v>3</v>
      </c>
      <c r="C576" s="92" t="inlineStr">
        <is>
          <t>5100000572</t>
        </is>
      </c>
      <c r="D576" s="95" t="n">
        <v>45730</v>
      </c>
      <c r="E576" s="92" t="inlineStr">
        <is>
          <t>KR</t>
        </is>
      </c>
      <c r="F576" s="92" t="n">
        <v>62102000</v>
      </c>
      <c r="G576" s="92" t="n">
        <v>1201</v>
      </c>
      <c r="H576" s="93" t="n">
        <v>92000</v>
      </c>
      <c r="I576" s="92" t="inlineStr">
        <is>
          <t>3월 해외출장 - N호텔</t>
        </is>
      </c>
      <c r="J576" s="92" t="inlineStr">
        <is>
          <t>V10009</t>
        </is>
      </c>
      <c r="K576" s="92" t="inlineStr">
        <is>
          <t>N호텔</t>
        </is>
      </c>
      <c r="M576" s="9">
        <f>IF($A576="","",VALUE($A576&amp;"")*12+VALUE($B576&amp;""))</f>
        <v/>
      </c>
      <c r="N576" s="64">
        <f>IF($A576="","",IFERROR(INDEX(부서매핑!$C$5:$C$504,MATCH($G576&amp;"",부서매핑!$A$5:$A$504,0)),"미매핑"))</f>
        <v/>
      </c>
      <c r="O576" s="9">
        <f>IF($A576="","",N576&amp;"|"&amp;$F576)</f>
        <v/>
      </c>
      <c r="P576" s="94">
        <f>IF($A576="",0,$H576*설정!$C$23)</f>
        <v/>
      </c>
      <c r="Q576" s="64">
        <f>IF($A576="","",IF(O576&lt;&gt;원인분석!$C$9,"",IF(AND(M576&gt;=원인분석!$C$10,M576&lt;=원인분석!$C$11),"당기",IF(AND(M576&gt;=원인분석!$C$12,M576&lt;=원인분석!$C$13),"비교",""))))</f>
        <v/>
      </c>
      <c r="R576" s="9">
        <f>IF(Q576="","",$K576&amp;"")</f>
        <v/>
      </c>
      <c r="S576" s="9">
        <f>IF(Q576="","",IF(MATCH(R576,$R$5:$R$100000,0)=ROW()-4,ROW(),""))</f>
        <v/>
      </c>
      <c r="T576" s="9">
        <f>IF(Q576="당기",ABS(P576)+ROW()/1000000000,"")</f>
        <v/>
      </c>
      <c r="U576" s="9">
        <f>IF(Q576="비교",ABS(P576)+ROW()/1000000000,"")</f>
        <v/>
      </c>
      <c r="V576" s="64">
        <f>IF($A576="","",IF(COUNTIF(변동분석!$E$7:$E$506,O576)&gt;0,"Y","N"))</f>
        <v/>
      </c>
      <c r="W576" s="64">
        <f>IF($A576="","",IFERROR(INDEX(계정매핑!$D$5:$D$504,MATCH($F576&amp;"",계정매핑!$A$5:$A$504,0)),"미매핑"))</f>
        <v/>
      </c>
      <c r="X576" s="9">
        <f>IF($A576="","",$F576&amp;"")</f>
        <v/>
      </c>
      <c r="Y576" s="94">
        <f>IF($A576="",0,IF(AE576="직접",IF(AF576="비귀속",$P576,0),$P576*(1-AG576)*IFERROR(INDEX(계정대체기준!$F$20:$F$49,MATCH($N576,계정대체기준!$A$20:$A$49,0)),1)))</f>
        <v/>
      </c>
      <c r="Z576" s="94">
        <f>IF($A576="",0,IF(AE576="직접",IF(AF576="신계약비",$P576,0),$P576*(1-AG576)*IFERROR(INDEX(계정대체기준!$C$20:$C$49,MATCH($N576,계정대체기준!$A$20:$A$49,0)),0)))</f>
        <v/>
      </c>
      <c r="AA576" s="94">
        <f>IF($A576="",0,IF(AE576="직접",IF(OR(AF576="유지비",AF576="손해조사비"),$P576,0),$P576*(1-AG576)*IFERROR(INDEX(계정대체기준!$D$20:$D$49,MATCH($N576,계정대체기준!$A$20:$A$49,0)),0)))</f>
        <v/>
      </c>
      <c r="AB576" s="94">
        <f>IF($A576="",0,IF(AE576="직접",IF(AF576="수금비",$P576,0),$P576*(1-AG576)*IFERROR(INDEX(계정대체기준!$E$20:$E$49,MATCH($N576,계정대체기준!$A$20:$A$49,0)),0)))</f>
        <v/>
      </c>
      <c r="AC576" s="9">
        <f>IF(AND($A576&lt;&gt;"",M576=설정!$C$20,Z576&gt;0),Z576+ROW()/1000000000,"")</f>
        <v/>
      </c>
      <c r="AD576" s="94">
        <f>IF($A576="",0,$P576*AG576)</f>
        <v/>
      </c>
      <c r="AE576" s="64">
        <f>IF($A576="","",IFERROR(INDEX(계정매핑!$E$5:$E$504,MATCH($F576&amp;"",계정매핑!$A$5:$A$504,0))&amp;"","공통비"))</f>
        <v/>
      </c>
      <c r="AF576" s="64">
        <f>IF($A576="","",IF(AE576="직접",IFERROR(INDEX(계정매핑!$F$5:$F$504,MATCH($F576&amp;"",계정매핑!$A$5:$A$504,0))&amp;"","비귀속"),""))</f>
        <v/>
      </c>
      <c r="AG576" s="96">
        <f>IF($A576="",0,IF(AND(AE576&lt;&gt;"직접",IFERROR(INDEX(계정매핑!$G$5:$G$504,MATCH($F576&amp;"",계정매핑!$A$5:$A$504,0))&amp;"","")="유지비",COUNTIF(계정대체기준!$A$6:$A$15,$N576)&gt;0),IFERROR(INDEX(계정대체기준!$E$6:$E$15,MATCH(VALUE($A576&amp;""),계정대체기준!$D$6:$D$15,0)),0),0))</f>
        <v/>
      </c>
      <c r="AH576" s="64">
        <f>IF($A576="","",IF(AD576=0,"",IF(OR(COUNTIF(계정대체기준!$A$77:$A$86,$N576)&gt;0,ISNUMBER(MATCH($X576,계정대체기준!$D$77:$D$86,0)),ISNUMBER(MATCH($F576,계정대체기준!$D$77:$D$86,0))),"Y","N")))</f>
        <v/>
      </c>
    </row>
    <row r="577">
      <c r="A577" s="92" t="n">
        <v>2025</v>
      </c>
      <c r="B577" s="92" t="n">
        <v>3</v>
      </c>
      <c r="C577" s="92" t="inlineStr">
        <is>
          <t>5100000573</t>
        </is>
      </c>
      <c r="D577" s="95" t="n">
        <v>45730</v>
      </c>
      <c r="E577" s="92" t="inlineStr">
        <is>
          <t>KR</t>
        </is>
      </c>
      <c r="F577" s="92" t="n">
        <v>62301000</v>
      </c>
      <c r="G577" s="92" t="n">
        <v>1101</v>
      </c>
      <c r="H577" s="93" t="n">
        <v>143000</v>
      </c>
      <c r="I577" s="92" t="inlineStr">
        <is>
          <t>3월 소모품 구입 - Q오피스</t>
        </is>
      </c>
      <c r="J577" s="92" t="inlineStr">
        <is>
          <t>V10003</t>
        </is>
      </c>
      <c r="K577" s="92" t="inlineStr">
        <is>
          <t>Q오피스</t>
        </is>
      </c>
      <c r="M577" s="9">
        <f>IF($A577="","",VALUE($A577&amp;"")*12+VALUE($B577&amp;""))</f>
        <v/>
      </c>
      <c r="N577" s="64">
        <f>IF($A577="","",IFERROR(INDEX(부서매핑!$C$5:$C$504,MATCH($G577&amp;"",부서매핑!$A$5:$A$504,0)),"미매핑"))</f>
        <v/>
      </c>
      <c r="O577" s="9">
        <f>IF($A577="","",N577&amp;"|"&amp;$F577)</f>
        <v/>
      </c>
      <c r="P577" s="94">
        <f>IF($A577="",0,$H577*설정!$C$23)</f>
        <v/>
      </c>
      <c r="Q577" s="64">
        <f>IF($A577="","",IF(O577&lt;&gt;원인분석!$C$9,"",IF(AND(M577&gt;=원인분석!$C$10,M577&lt;=원인분석!$C$11),"당기",IF(AND(M577&gt;=원인분석!$C$12,M577&lt;=원인분석!$C$13),"비교",""))))</f>
        <v/>
      </c>
      <c r="R577" s="9">
        <f>IF(Q577="","",$K577&amp;"")</f>
        <v/>
      </c>
      <c r="S577" s="9">
        <f>IF(Q577="","",IF(MATCH(R577,$R$5:$R$100000,0)=ROW()-4,ROW(),""))</f>
        <v/>
      </c>
      <c r="T577" s="9">
        <f>IF(Q577="당기",ABS(P577)+ROW()/1000000000,"")</f>
        <v/>
      </c>
      <c r="U577" s="9">
        <f>IF(Q577="비교",ABS(P577)+ROW()/1000000000,"")</f>
        <v/>
      </c>
      <c r="V577" s="64">
        <f>IF($A577="","",IF(COUNTIF(변동분석!$E$7:$E$506,O577)&gt;0,"Y","N"))</f>
        <v/>
      </c>
      <c r="W577" s="64">
        <f>IF($A577="","",IFERROR(INDEX(계정매핑!$D$5:$D$504,MATCH($F577&amp;"",계정매핑!$A$5:$A$504,0)),"미매핑"))</f>
        <v/>
      </c>
      <c r="X577" s="9">
        <f>IF($A577="","",$F577&amp;"")</f>
        <v/>
      </c>
      <c r="Y577" s="94">
        <f>IF($A577="",0,IF(AE577="직접",IF(AF577="비귀속",$P577,0),$P577*(1-AG577)*IFERROR(INDEX(계정대체기준!$F$20:$F$49,MATCH($N577,계정대체기준!$A$20:$A$49,0)),1)))</f>
        <v/>
      </c>
      <c r="Z577" s="94">
        <f>IF($A577="",0,IF(AE577="직접",IF(AF577="신계약비",$P577,0),$P577*(1-AG577)*IFERROR(INDEX(계정대체기준!$C$20:$C$49,MATCH($N577,계정대체기준!$A$20:$A$49,0)),0)))</f>
        <v/>
      </c>
      <c r="AA577" s="94">
        <f>IF($A577="",0,IF(AE577="직접",IF(OR(AF577="유지비",AF577="손해조사비"),$P577,0),$P577*(1-AG577)*IFERROR(INDEX(계정대체기준!$D$20:$D$49,MATCH($N577,계정대체기준!$A$20:$A$49,0)),0)))</f>
        <v/>
      </c>
      <c r="AB577" s="94">
        <f>IF($A577="",0,IF(AE577="직접",IF(AF577="수금비",$P577,0),$P577*(1-AG577)*IFERROR(INDEX(계정대체기준!$E$20:$E$49,MATCH($N577,계정대체기준!$A$20:$A$49,0)),0)))</f>
        <v/>
      </c>
      <c r="AC577" s="9">
        <f>IF(AND($A577&lt;&gt;"",M577=설정!$C$20,Z577&gt;0),Z577+ROW()/1000000000,"")</f>
        <v/>
      </c>
      <c r="AD577" s="94">
        <f>IF($A577="",0,$P577*AG577)</f>
        <v/>
      </c>
      <c r="AE577" s="64">
        <f>IF($A577="","",IFERROR(INDEX(계정매핑!$E$5:$E$504,MATCH($F577&amp;"",계정매핑!$A$5:$A$504,0))&amp;"","공통비"))</f>
        <v/>
      </c>
      <c r="AF577" s="64">
        <f>IF($A577="","",IF(AE577="직접",IFERROR(INDEX(계정매핑!$F$5:$F$504,MATCH($F577&amp;"",계정매핑!$A$5:$A$504,0))&amp;"","비귀속"),""))</f>
        <v/>
      </c>
      <c r="AG577" s="96">
        <f>IF($A577="",0,IF(AND(AE577&lt;&gt;"직접",IFERROR(INDEX(계정매핑!$G$5:$G$504,MATCH($F577&amp;"",계정매핑!$A$5:$A$504,0))&amp;"","")="유지비",COUNTIF(계정대체기준!$A$6:$A$15,$N577)&gt;0),IFERROR(INDEX(계정대체기준!$E$6:$E$15,MATCH(VALUE($A577&amp;""),계정대체기준!$D$6:$D$15,0)),0),0))</f>
        <v/>
      </c>
      <c r="AH577" s="64">
        <f>IF($A577="","",IF(AD577=0,"",IF(OR(COUNTIF(계정대체기준!$A$77:$A$86,$N577)&gt;0,ISNUMBER(MATCH($X577,계정대체기준!$D$77:$D$86,0)),ISNUMBER(MATCH($F577,계정대체기준!$D$77:$D$86,0))),"Y","N")))</f>
        <v/>
      </c>
    </row>
    <row r="578">
      <c r="A578" s="92" t="n">
        <v>2025</v>
      </c>
      <c r="B578" s="92" t="n">
        <v>3</v>
      </c>
      <c r="C578" s="92" t="inlineStr">
        <is>
          <t>5100000574</t>
        </is>
      </c>
      <c r="D578" s="95" t="n">
        <v>45730</v>
      </c>
      <c r="E578" s="92" t="inlineStr">
        <is>
          <t>KR</t>
        </is>
      </c>
      <c r="F578" s="92" t="n">
        <v>62401000</v>
      </c>
      <c r="G578" s="92" t="n">
        <v>1801</v>
      </c>
      <c r="H578" s="93" t="n">
        <v>1343000</v>
      </c>
      <c r="I578" s="92" t="inlineStr">
        <is>
          <t>3월 인쇄물 제작 - S출판</t>
        </is>
      </c>
      <c r="J578" s="92" t="inlineStr">
        <is>
          <t>V10015</t>
        </is>
      </c>
      <c r="K578" s="92" t="inlineStr">
        <is>
          <t>S출판</t>
        </is>
      </c>
      <c r="M578" s="9">
        <f>IF($A578="","",VALUE($A578&amp;"")*12+VALUE($B578&amp;""))</f>
        <v/>
      </c>
      <c r="N578" s="64">
        <f>IF($A578="","",IFERROR(INDEX(부서매핑!$C$5:$C$504,MATCH($G578&amp;"",부서매핑!$A$5:$A$504,0)),"미매핑"))</f>
        <v/>
      </c>
      <c r="O578" s="9">
        <f>IF($A578="","",N578&amp;"|"&amp;$F578)</f>
        <v/>
      </c>
      <c r="P578" s="94">
        <f>IF($A578="",0,$H578*설정!$C$23)</f>
        <v/>
      </c>
      <c r="Q578" s="64">
        <f>IF($A578="","",IF(O578&lt;&gt;원인분석!$C$9,"",IF(AND(M578&gt;=원인분석!$C$10,M578&lt;=원인분석!$C$11),"당기",IF(AND(M578&gt;=원인분석!$C$12,M578&lt;=원인분석!$C$13),"비교",""))))</f>
        <v/>
      </c>
      <c r="R578" s="9">
        <f>IF(Q578="","",$K578&amp;"")</f>
        <v/>
      </c>
      <c r="S578" s="9">
        <f>IF(Q578="","",IF(MATCH(R578,$R$5:$R$100000,0)=ROW()-4,ROW(),""))</f>
        <v/>
      </c>
      <c r="T578" s="9">
        <f>IF(Q578="당기",ABS(P578)+ROW()/1000000000,"")</f>
        <v/>
      </c>
      <c r="U578" s="9">
        <f>IF(Q578="비교",ABS(P578)+ROW()/1000000000,"")</f>
        <v/>
      </c>
      <c r="V578" s="64">
        <f>IF($A578="","",IF(COUNTIF(변동분석!$E$7:$E$506,O578)&gt;0,"Y","N"))</f>
        <v/>
      </c>
      <c r="W578" s="64">
        <f>IF($A578="","",IFERROR(INDEX(계정매핑!$D$5:$D$504,MATCH($F578&amp;"",계정매핑!$A$5:$A$504,0)),"미매핑"))</f>
        <v/>
      </c>
      <c r="X578" s="9">
        <f>IF($A578="","",$F578&amp;"")</f>
        <v/>
      </c>
      <c r="Y578" s="94">
        <f>IF($A578="",0,IF(AE578="직접",IF(AF578="비귀속",$P578,0),$P578*(1-AG578)*IFERROR(INDEX(계정대체기준!$F$20:$F$49,MATCH($N578,계정대체기준!$A$20:$A$49,0)),1)))</f>
        <v/>
      </c>
      <c r="Z578" s="94">
        <f>IF($A578="",0,IF(AE578="직접",IF(AF578="신계약비",$P578,0),$P578*(1-AG578)*IFERROR(INDEX(계정대체기준!$C$20:$C$49,MATCH($N578,계정대체기준!$A$20:$A$49,0)),0)))</f>
        <v/>
      </c>
      <c r="AA578" s="94">
        <f>IF($A578="",0,IF(AE578="직접",IF(OR(AF578="유지비",AF578="손해조사비"),$P578,0),$P578*(1-AG578)*IFERROR(INDEX(계정대체기준!$D$20:$D$49,MATCH($N578,계정대체기준!$A$20:$A$49,0)),0)))</f>
        <v/>
      </c>
      <c r="AB578" s="94">
        <f>IF($A578="",0,IF(AE578="직접",IF(AF578="수금비",$P578,0),$P578*(1-AG578)*IFERROR(INDEX(계정대체기준!$E$20:$E$49,MATCH($N578,계정대체기준!$A$20:$A$49,0)),0)))</f>
        <v/>
      </c>
      <c r="AC578" s="9">
        <f>IF(AND($A578&lt;&gt;"",M578=설정!$C$20,Z578&gt;0),Z578+ROW()/1000000000,"")</f>
        <v/>
      </c>
      <c r="AD578" s="94">
        <f>IF($A578="",0,$P578*AG578)</f>
        <v/>
      </c>
      <c r="AE578" s="64">
        <f>IF($A578="","",IFERROR(INDEX(계정매핑!$E$5:$E$504,MATCH($F578&amp;"",계정매핑!$A$5:$A$504,0))&amp;"","공통비"))</f>
        <v/>
      </c>
      <c r="AF578" s="64">
        <f>IF($A578="","",IF(AE578="직접",IFERROR(INDEX(계정매핑!$F$5:$F$504,MATCH($F578&amp;"",계정매핑!$A$5:$A$504,0))&amp;"","비귀속"),""))</f>
        <v/>
      </c>
      <c r="AG578" s="96">
        <f>IF($A578="",0,IF(AND(AE578&lt;&gt;"직접",IFERROR(INDEX(계정매핑!$G$5:$G$504,MATCH($F578&amp;"",계정매핑!$A$5:$A$504,0))&amp;"","")="유지비",COUNTIF(계정대체기준!$A$6:$A$15,$N578)&gt;0),IFERROR(INDEX(계정대체기준!$E$6:$E$15,MATCH(VALUE($A578&amp;""),계정대체기준!$D$6:$D$15,0)),0),0))</f>
        <v/>
      </c>
      <c r="AH578" s="64">
        <f>IF($A578="","",IF(AD578=0,"",IF(OR(COUNTIF(계정대체기준!$A$77:$A$86,$N578)&gt;0,ISNUMBER(MATCH($X578,계정대체기준!$D$77:$D$86,0)),ISNUMBER(MATCH($F578,계정대체기준!$D$77:$D$86,0))),"Y","N")))</f>
        <v/>
      </c>
    </row>
    <row r="579">
      <c r="A579" s="92" t="n">
        <v>2025</v>
      </c>
      <c r="B579" s="92" t="n">
        <v>3</v>
      </c>
      <c r="C579" s="92" t="inlineStr">
        <is>
          <t>5100000575</t>
        </is>
      </c>
      <c r="D579" s="95" t="n">
        <v>45730</v>
      </c>
      <c r="E579" s="92" t="inlineStr">
        <is>
          <t>KR</t>
        </is>
      </c>
      <c r="F579" s="92" t="n">
        <v>62801000</v>
      </c>
      <c r="G579" s="92" t="n">
        <v>1301</v>
      </c>
      <c r="H579" s="93" t="n">
        <v>2722000</v>
      </c>
      <c r="I579" s="92" t="inlineStr">
        <is>
          <t>3월 사내교육 - U에듀</t>
        </is>
      </c>
      <c r="J579" s="92" t="inlineStr">
        <is>
          <t>V10031</t>
        </is>
      </c>
      <c r="K579" s="92" t="inlineStr">
        <is>
          <t>U에듀</t>
        </is>
      </c>
      <c r="M579" s="9">
        <f>IF($A579="","",VALUE($A579&amp;"")*12+VALUE($B579&amp;""))</f>
        <v/>
      </c>
      <c r="N579" s="64">
        <f>IF($A579="","",IFERROR(INDEX(부서매핑!$C$5:$C$504,MATCH($G579&amp;"",부서매핑!$A$5:$A$504,0)),"미매핑"))</f>
        <v/>
      </c>
      <c r="O579" s="9">
        <f>IF($A579="","",N579&amp;"|"&amp;$F579)</f>
        <v/>
      </c>
      <c r="P579" s="94">
        <f>IF($A579="",0,$H579*설정!$C$23)</f>
        <v/>
      </c>
      <c r="Q579" s="64">
        <f>IF($A579="","",IF(O579&lt;&gt;원인분석!$C$9,"",IF(AND(M579&gt;=원인분석!$C$10,M579&lt;=원인분석!$C$11),"당기",IF(AND(M579&gt;=원인분석!$C$12,M579&lt;=원인분석!$C$13),"비교",""))))</f>
        <v/>
      </c>
      <c r="R579" s="9">
        <f>IF(Q579="","",$K579&amp;"")</f>
        <v/>
      </c>
      <c r="S579" s="9">
        <f>IF(Q579="","",IF(MATCH(R579,$R$5:$R$100000,0)=ROW()-4,ROW(),""))</f>
        <v/>
      </c>
      <c r="T579" s="9">
        <f>IF(Q579="당기",ABS(P579)+ROW()/1000000000,"")</f>
        <v/>
      </c>
      <c r="U579" s="9">
        <f>IF(Q579="비교",ABS(P579)+ROW()/1000000000,"")</f>
        <v/>
      </c>
      <c r="V579" s="64">
        <f>IF($A579="","",IF(COUNTIF(변동분석!$E$7:$E$506,O579)&gt;0,"Y","N"))</f>
        <v/>
      </c>
      <c r="W579" s="64">
        <f>IF($A579="","",IFERROR(INDEX(계정매핑!$D$5:$D$504,MATCH($F579&amp;"",계정매핑!$A$5:$A$504,0)),"미매핑"))</f>
        <v/>
      </c>
      <c r="X579" s="9">
        <f>IF($A579="","",$F579&amp;"")</f>
        <v/>
      </c>
      <c r="Y579" s="94">
        <f>IF($A579="",0,IF(AE579="직접",IF(AF579="비귀속",$P579,0),$P579*(1-AG579)*IFERROR(INDEX(계정대체기준!$F$20:$F$49,MATCH($N579,계정대체기준!$A$20:$A$49,0)),1)))</f>
        <v/>
      </c>
      <c r="Z579" s="94">
        <f>IF($A579="",0,IF(AE579="직접",IF(AF579="신계약비",$P579,0),$P579*(1-AG579)*IFERROR(INDEX(계정대체기준!$C$20:$C$49,MATCH($N579,계정대체기준!$A$20:$A$49,0)),0)))</f>
        <v/>
      </c>
      <c r="AA579" s="94">
        <f>IF($A579="",0,IF(AE579="직접",IF(OR(AF579="유지비",AF579="손해조사비"),$P579,0),$P579*(1-AG579)*IFERROR(INDEX(계정대체기준!$D$20:$D$49,MATCH($N579,계정대체기준!$A$20:$A$49,0)),0)))</f>
        <v/>
      </c>
      <c r="AB579" s="94">
        <f>IF($A579="",0,IF(AE579="직접",IF(AF579="수금비",$P579,0),$P579*(1-AG579)*IFERROR(INDEX(계정대체기준!$E$20:$E$49,MATCH($N579,계정대체기준!$A$20:$A$49,0)),0)))</f>
        <v/>
      </c>
      <c r="AC579" s="9">
        <f>IF(AND($A579&lt;&gt;"",M579=설정!$C$20,Z579&gt;0),Z579+ROW()/1000000000,"")</f>
        <v/>
      </c>
      <c r="AD579" s="94">
        <f>IF($A579="",0,$P579*AG579)</f>
        <v/>
      </c>
      <c r="AE579" s="64">
        <f>IF($A579="","",IFERROR(INDEX(계정매핑!$E$5:$E$504,MATCH($F579&amp;"",계정매핑!$A$5:$A$504,0))&amp;"","공통비"))</f>
        <v/>
      </c>
      <c r="AF579" s="64">
        <f>IF($A579="","",IF(AE579="직접",IFERROR(INDEX(계정매핑!$F$5:$F$504,MATCH($F579&amp;"",계정매핑!$A$5:$A$504,0))&amp;"","비귀속"),""))</f>
        <v/>
      </c>
      <c r="AG579" s="96">
        <f>IF($A579="",0,IF(AND(AE579&lt;&gt;"직접",IFERROR(INDEX(계정매핑!$G$5:$G$504,MATCH($F579&amp;"",계정매핑!$A$5:$A$504,0))&amp;"","")="유지비",COUNTIF(계정대체기준!$A$6:$A$15,$N579)&gt;0),IFERROR(INDEX(계정대체기준!$E$6:$E$15,MATCH(VALUE($A579&amp;""),계정대체기준!$D$6:$D$15,0)),0),0))</f>
        <v/>
      </c>
      <c r="AH579" s="64">
        <f>IF($A579="","",IF(AD579=0,"",IF(OR(COUNTIF(계정대체기준!$A$77:$A$86,$N579)&gt;0,ISNUMBER(MATCH($X579,계정대체기준!$D$77:$D$86,0)),ISNUMBER(MATCH($F579,계정대체기준!$D$77:$D$86,0))),"Y","N")))</f>
        <v/>
      </c>
    </row>
    <row r="580">
      <c r="A580" s="92" t="n">
        <v>2025</v>
      </c>
      <c r="B580" s="92" t="n">
        <v>3</v>
      </c>
      <c r="C580" s="92" t="inlineStr">
        <is>
          <t>5100000576</t>
        </is>
      </c>
      <c r="D580" s="95" t="n">
        <v>45730</v>
      </c>
      <c r="E580" s="92" t="inlineStr">
        <is>
          <t>KR</t>
        </is>
      </c>
      <c r="F580" s="92" t="n">
        <v>62901000</v>
      </c>
      <c r="G580" s="92" t="n">
        <v>1801</v>
      </c>
      <c r="H580" s="93" t="n">
        <v>10078000</v>
      </c>
      <c r="I580" s="92" t="inlineStr">
        <is>
          <t>3월 자문 수수료 - W컨설팅</t>
        </is>
      </c>
      <c r="J580" s="92" t="inlineStr">
        <is>
          <t>V10006</t>
        </is>
      </c>
      <c r="K580" s="92" t="inlineStr">
        <is>
          <t>W컨설팅</t>
        </is>
      </c>
      <c r="M580" s="9">
        <f>IF($A580="","",VALUE($A580&amp;"")*12+VALUE($B580&amp;""))</f>
        <v/>
      </c>
      <c r="N580" s="64">
        <f>IF($A580="","",IFERROR(INDEX(부서매핑!$C$5:$C$504,MATCH($G580&amp;"",부서매핑!$A$5:$A$504,0)),"미매핑"))</f>
        <v/>
      </c>
      <c r="O580" s="9">
        <f>IF($A580="","",N580&amp;"|"&amp;$F580)</f>
        <v/>
      </c>
      <c r="P580" s="94">
        <f>IF($A580="",0,$H580*설정!$C$23)</f>
        <v/>
      </c>
      <c r="Q580" s="64">
        <f>IF($A580="","",IF(O580&lt;&gt;원인분석!$C$9,"",IF(AND(M580&gt;=원인분석!$C$10,M580&lt;=원인분석!$C$11),"당기",IF(AND(M580&gt;=원인분석!$C$12,M580&lt;=원인분석!$C$13),"비교",""))))</f>
        <v/>
      </c>
      <c r="R580" s="9">
        <f>IF(Q580="","",$K580&amp;"")</f>
        <v/>
      </c>
      <c r="S580" s="9">
        <f>IF(Q580="","",IF(MATCH(R580,$R$5:$R$100000,0)=ROW()-4,ROW(),""))</f>
        <v/>
      </c>
      <c r="T580" s="9">
        <f>IF(Q580="당기",ABS(P580)+ROW()/1000000000,"")</f>
        <v/>
      </c>
      <c r="U580" s="9">
        <f>IF(Q580="비교",ABS(P580)+ROW()/1000000000,"")</f>
        <v/>
      </c>
      <c r="V580" s="64">
        <f>IF($A580="","",IF(COUNTIF(변동분석!$E$7:$E$506,O580)&gt;0,"Y","N"))</f>
        <v/>
      </c>
      <c r="W580" s="64">
        <f>IF($A580="","",IFERROR(INDEX(계정매핑!$D$5:$D$504,MATCH($F580&amp;"",계정매핑!$A$5:$A$504,0)),"미매핑"))</f>
        <v/>
      </c>
      <c r="X580" s="9">
        <f>IF($A580="","",$F580&amp;"")</f>
        <v/>
      </c>
      <c r="Y580" s="94">
        <f>IF($A580="",0,IF(AE580="직접",IF(AF580="비귀속",$P580,0),$P580*(1-AG580)*IFERROR(INDEX(계정대체기준!$F$20:$F$49,MATCH($N580,계정대체기준!$A$20:$A$49,0)),1)))</f>
        <v/>
      </c>
      <c r="Z580" s="94">
        <f>IF($A580="",0,IF(AE580="직접",IF(AF580="신계약비",$P580,0),$P580*(1-AG580)*IFERROR(INDEX(계정대체기준!$C$20:$C$49,MATCH($N580,계정대체기준!$A$20:$A$49,0)),0)))</f>
        <v/>
      </c>
      <c r="AA580" s="94">
        <f>IF($A580="",0,IF(AE580="직접",IF(OR(AF580="유지비",AF580="손해조사비"),$P580,0),$P580*(1-AG580)*IFERROR(INDEX(계정대체기준!$D$20:$D$49,MATCH($N580,계정대체기준!$A$20:$A$49,0)),0)))</f>
        <v/>
      </c>
      <c r="AB580" s="94">
        <f>IF($A580="",0,IF(AE580="직접",IF(AF580="수금비",$P580,0),$P580*(1-AG580)*IFERROR(INDEX(계정대체기준!$E$20:$E$49,MATCH($N580,계정대체기준!$A$20:$A$49,0)),0)))</f>
        <v/>
      </c>
      <c r="AC580" s="9">
        <f>IF(AND($A580&lt;&gt;"",M580=설정!$C$20,Z580&gt;0),Z580+ROW()/1000000000,"")</f>
        <v/>
      </c>
      <c r="AD580" s="94">
        <f>IF($A580="",0,$P580*AG580)</f>
        <v/>
      </c>
      <c r="AE580" s="64">
        <f>IF($A580="","",IFERROR(INDEX(계정매핑!$E$5:$E$504,MATCH($F580&amp;"",계정매핑!$A$5:$A$504,0))&amp;"","공통비"))</f>
        <v/>
      </c>
      <c r="AF580" s="64">
        <f>IF($A580="","",IF(AE580="직접",IFERROR(INDEX(계정매핑!$F$5:$F$504,MATCH($F580&amp;"",계정매핑!$A$5:$A$504,0))&amp;"","비귀속"),""))</f>
        <v/>
      </c>
      <c r="AG580" s="96">
        <f>IF($A580="",0,IF(AND(AE580&lt;&gt;"직접",IFERROR(INDEX(계정매핑!$G$5:$G$504,MATCH($F580&amp;"",계정매핑!$A$5:$A$504,0))&amp;"","")="유지비",COUNTIF(계정대체기준!$A$6:$A$15,$N580)&gt;0),IFERROR(INDEX(계정대체기준!$E$6:$E$15,MATCH(VALUE($A580&amp;""),계정대체기준!$D$6:$D$15,0)),0),0))</f>
        <v/>
      </c>
      <c r="AH580" s="64">
        <f>IF($A580="","",IF(AD580=0,"",IF(OR(COUNTIF(계정대체기준!$A$77:$A$86,$N580)&gt;0,ISNUMBER(MATCH($X580,계정대체기준!$D$77:$D$86,0)),ISNUMBER(MATCH($F580,계정대체기준!$D$77:$D$86,0))),"Y","N")))</f>
        <v/>
      </c>
    </row>
    <row r="581">
      <c r="A581" s="92" t="n">
        <v>2025</v>
      </c>
      <c r="B581" s="92" t="n">
        <v>3</v>
      </c>
      <c r="C581" s="92" t="inlineStr">
        <is>
          <t>5100000577</t>
        </is>
      </c>
      <c r="D581" s="95" t="n">
        <v>45730</v>
      </c>
      <c r="E581" s="92" t="inlineStr">
        <is>
          <t>KR</t>
        </is>
      </c>
      <c r="F581" s="92" t="n">
        <v>63501000</v>
      </c>
      <c r="G581" s="92" t="n">
        <v>1901</v>
      </c>
      <c r="H581" s="93" t="n">
        <v>517124000</v>
      </c>
      <c r="I581" s="92" t="inlineStr">
        <is>
          <t>3월 모집수수료 - AA보험대리점</t>
        </is>
      </c>
      <c r="J581" s="92" t="inlineStr">
        <is>
          <t>V10034</t>
        </is>
      </c>
      <c r="K581" s="92" t="inlineStr">
        <is>
          <t>AA보험대리점</t>
        </is>
      </c>
      <c r="M581" s="9">
        <f>IF($A581="","",VALUE($A581&amp;"")*12+VALUE($B581&amp;""))</f>
        <v/>
      </c>
      <c r="N581" s="64">
        <f>IF($A581="","",IFERROR(INDEX(부서매핑!$C$5:$C$504,MATCH($G581&amp;"",부서매핑!$A$5:$A$504,0)),"미매핑"))</f>
        <v/>
      </c>
      <c r="O581" s="9">
        <f>IF($A581="","",N581&amp;"|"&amp;$F581)</f>
        <v/>
      </c>
      <c r="P581" s="94">
        <f>IF($A581="",0,$H581*설정!$C$23)</f>
        <v/>
      </c>
      <c r="Q581" s="64">
        <f>IF($A581="","",IF(O581&lt;&gt;원인분석!$C$9,"",IF(AND(M581&gt;=원인분석!$C$10,M581&lt;=원인분석!$C$11),"당기",IF(AND(M581&gt;=원인분석!$C$12,M581&lt;=원인분석!$C$13),"비교",""))))</f>
        <v/>
      </c>
      <c r="R581" s="9">
        <f>IF(Q581="","",$K581&amp;"")</f>
        <v/>
      </c>
      <c r="S581" s="9">
        <f>IF(Q581="","",IF(MATCH(R581,$R$5:$R$100000,0)=ROW()-4,ROW(),""))</f>
        <v/>
      </c>
      <c r="T581" s="9">
        <f>IF(Q581="당기",ABS(P581)+ROW()/1000000000,"")</f>
        <v/>
      </c>
      <c r="U581" s="9">
        <f>IF(Q581="비교",ABS(P581)+ROW()/1000000000,"")</f>
        <v/>
      </c>
      <c r="V581" s="64">
        <f>IF($A581="","",IF(COUNTIF(변동분석!$E$7:$E$506,O581)&gt;0,"Y","N"))</f>
        <v/>
      </c>
      <c r="W581" s="64">
        <f>IF($A581="","",IFERROR(INDEX(계정매핑!$D$5:$D$504,MATCH($F581&amp;"",계정매핑!$A$5:$A$504,0)),"미매핑"))</f>
        <v/>
      </c>
      <c r="X581" s="9">
        <f>IF($A581="","",$F581&amp;"")</f>
        <v/>
      </c>
      <c r="Y581" s="94">
        <f>IF($A581="",0,IF(AE581="직접",IF(AF581="비귀속",$P581,0),$P581*(1-AG581)*IFERROR(INDEX(계정대체기준!$F$20:$F$49,MATCH($N581,계정대체기준!$A$20:$A$49,0)),1)))</f>
        <v/>
      </c>
      <c r="Z581" s="94">
        <f>IF($A581="",0,IF(AE581="직접",IF(AF581="신계약비",$P581,0),$P581*(1-AG581)*IFERROR(INDEX(계정대체기준!$C$20:$C$49,MATCH($N581,계정대체기준!$A$20:$A$49,0)),0)))</f>
        <v/>
      </c>
      <c r="AA581" s="94">
        <f>IF($A581="",0,IF(AE581="직접",IF(OR(AF581="유지비",AF581="손해조사비"),$P581,0),$P581*(1-AG581)*IFERROR(INDEX(계정대체기준!$D$20:$D$49,MATCH($N581,계정대체기준!$A$20:$A$49,0)),0)))</f>
        <v/>
      </c>
      <c r="AB581" s="94">
        <f>IF($A581="",0,IF(AE581="직접",IF(AF581="수금비",$P581,0),$P581*(1-AG581)*IFERROR(INDEX(계정대체기준!$E$20:$E$49,MATCH($N581,계정대체기준!$A$20:$A$49,0)),0)))</f>
        <v/>
      </c>
      <c r="AC581" s="9">
        <f>IF(AND($A581&lt;&gt;"",M581=설정!$C$20,Z581&gt;0),Z581+ROW()/1000000000,"")</f>
        <v/>
      </c>
      <c r="AD581" s="94">
        <f>IF($A581="",0,$P581*AG581)</f>
        <v/>
      </c>
      <c r="AE581" s="64">
        <f>IF($A581="","",IFERROR(INDEX(계정매핑!$E$5:$E$504,MATCH($F581&amp;"",계정매핑!$A$5:$A$504,0))&amp;"","공통비"))</f>
        <v/>
      </c>
      <c r="AF581" s="64">
        <f>IF($A581="","",IF(AE581="직접",IFERROR(INDEX(계정매핑!$F$5:$F$504,MATCH($F581&amp;"",계정매핑!$A$5:$A$504,0))&amp;"","비귀속"),""))</f>
        <v/>
      </c>
      <c r="AG581" s="96">
        <f>IF($A581="",0,IF(AND(AE581&lt;&gt;"직접",IFERROR(INDEX(계정매핑!$G$5:$G$504,MATCH($F581&amp;"",계정매핑!$A$5:$A$504,0))&amp;"","")="유지비",COUNTIF(계정대체기준!$A$6:$A$15,$N581)&gt;0),IFERROR(INDEX(계정대체기준!$E$6:$E$15,MATCH(VALUE($A581&amp;""),계정대체기준!$D$6:$D$15,0)),0),0))</f>
        <v/>
      </c>
      <c r="AH581" s="64">
        <f>IF($A581="","",IF(AD581=0,"",IF(OR(COUNTIF(계정대체기준!$A$77:$A$86,$N581)&gt;0,ISNUMBER(MATCH($X581,계정대체기준!$D$77:$D$86,0)),ISNUMBER(MATCH($F581,계정대체기준!$D$77:$D$86,0))),"Y","N")))</f>
        <v/>
      </c>
    </row>
    <row r="582">
      <c r="A582" s="92" t="n">
        <v>2025</v>
      </c>
      <c r="B582" s="92" t="n">
        <v>3</v>
      </c>
      <c r="C582" s="92" t="inlineStr">
        <is>
          <t>5100000578</t>
        </is>
      </c>
      <c r="D582" s="95" t="n">
        <v>45731</v>
      </c>
      <c r="E582" s="92" t="inlineStr">
        <is>
          <t>KR</t>
        </is>
      </c>
      <c r="F582" s="92" t="n">
        <v>62101000</v>
      </c>
      <c r="G582" s="92" t="n">
        <v>1501</v>
      </c>
      <c r="H582" s="93" t="n">
        <v>540000</v>
      </c>
      <c r="I582" s="92" t="inlineStr">
        <is>
          <t>3월 국내출장 - M항공</t>
        </is>
      </c>
      <c r="J582" s="92" t="inlineStr">
        <is>
          <t>V10001</t>
        </is>
      </c>
      <c r="K582" s="92" t="inlineStr">
        <is>
          <t>M항공</t>
        </is>
      </c>
      <c r="M582" s="9">
        <f>IF($A582="","",VALUE($A582&amp;"")*12+VALUE($B582&amp;""))</f>
        <v/>
      </c>
      <c r="N582" s="64">
        <f>IF($A582="","",IFERROR(INDEX(부서매핑!$C$5:$C$504,MATCH($G582&amp;"",부서매핑!$A$5:$A$504,0)),"미매핑"))</f>
        <v/>
      </c>
      <c r="O582" s="9">
        <f>IF($A582="","",N582&amp;"|"&amp;$F582)</f>
        <v/>
      </c>
      <c r="P582" s="94">
        <f>IF($A582="",0,$H582*설정!$C$23)</f>
        <v/>
      </c>
      <c r="Q582" s="64">
        <f>IF($A582="","",IF(O582&lt;&gt;원인분석!$C$9,"",IF(AND(M582&gt;=원인분석!$C$10,M582&lt;=원인분석!$C$11),"당기",IF(AND(M582&gt;=원인분석!$C$12,M582&lt;=원인분석!$C$13),"비교",""))))</f>
        <v/>
      </c>
      <c r="R582" s="9">
        <f>IF(Q582="","",$K582&amp;"")</f>
        <v/>
      </c>
      <c r="S582" s="9">
        <f>IF(Q582="","",IF(MATCH(R582,$R$5:$R$100000,0)=ROW()-4,ROW(),""))</f>
        <v/>
      </c>
      <c r="T582" s="9">
        <f>IF(Q582="당기",ABS(P582)+ROW()/1000000000,"")</f>
        <v/>
      </c>
      <c r="U582" s="9">
        <f>IF(Q582="비교",ABS(P582)+ROW()/1000000000,"")</f>
        <v/>
      </c>
      <c r="V582" s="64">
        <f>IF($A582="","",IF(COUNTIF(변동분석!$E$7:$E$506,O582)&gt;0,"Y","N"))</f>
        <v/>
      </c>
      <c r="W582" s="64">
        <f>IF($A582="","",IFERROR(INDEX(계정매핑!$D$5:$D$504,MATCH($F582&amp;"",계정매핑!$A$5:$A$504,0)),"미매핑"))</f>
        <v/>
      </c>
      <c r="X582" s="9">
        <f>IF($A582="","",$F582&amp;"")</f>
        <v/>
      </c>
      <c r="Y582" s="94">
        <f>IF($A582="",0,IF(AE582="직접",IF(AF582="비귀속",$P582,0),$P582*(1-AG582)*IFERROR(INDEX(계정대체기준!$F$20:$F$49,MATCH($N582,계정대체기준!$A$20:$A$49,0)),1)))</f>
        <v/>
      </c>
      <c r="Z582" s="94">
        <f>IF($A582="",0,IF(AE582="직접",IF(AF582="신계약비",$P582,0),$P582*(1-AG582)*IFERROR(INDEX(계정대체기준!$C$20:$C$49,MATCH($N582,계정대체기준!$A$20:$A$49,0)),0)))</f>
        <v/>
      </c>
      <c r="AA582" s="94">
        <f>IF($A582="",0,IF(AE582="직접",IF(OR(AF582="유지비",AF582="손해조사비"),$P582,0),$P582*(1-AG582)*IFERROR(INDEX(계정대체기준!$D$20:$D$49,MATCH($N582,계정대체기준!$A$20:$A$49,0)),0)))</f>
        <v/>
      </c>
      <c r="AB582" s="94">
        <f>IF($A582="",0,IF(AE582="직접",IF(AF582="수금비",$P582,0),$P582*(1-AG582)*IFERROR(INDEX(계정대체기준!$E$20:$E$49,MATCH($N582,계정대체기준!$A$20:$A$49,0)),0)))</f>
        <v/>
      </c>
      <c r="AC582" s="9">
        <f>IF(AND($A582&lt;&gt;"",M582=설정!$C$20,Z582&gt;0),Z582+ROW()/1000000000,"")</f>
        <v/>
      </c>
      <c r="AD582" s="94">
        <f>IF($A582="",0,$P582*AG582)</f>
        <v/>
      </c>
      <c r="AE582" s="64">
        <f>IF($A582="","",IFERROR(INDEX(계정매핑!$E$5:$E$504,MATCH($F582&amp;"",계정매핑!$A$5:$A$504,0))&amp;"","공통비"))</f>
        <v/>
      </c>
      <c r="AF582" s="64">
        <f>IF($A582="","",IF(AE582="직접",IFERROR(INDEX(계정매핑!$F$5:$F$504,MATCH($F582&amp;"",계정매핑!$A$5:$A$504,0))&amp;"","비귀속"),""))</f>
        <v/>
      </c>
      <c r="AG582" s="96">
        <f>IF($A582="",0,IF(AND(AE582&lt;&gt;"직접",IFERROR(INDEX(계정매핑!$G$5:$G$504,MATCH($F582&amp;"",계정매핑!$A$5:$A$504,0))&amp;"","")="유지비",COUNTIF(계정대체기준!$A$6:$A$15,$N582)&gt;0),IFERROR(INDEX(계정대체기준!$E$6:$E$15,MATCH(VALUE($A582&amp;""),계정대체기준!$D$6:$D$15,0)),0),0))</f>
        <v/>
      </c>
      <c r="AH582" s="64">
        <f>IF($A582="","",IF(AD582=0,"",IF(OR(COUNTIF(계정대체기준!$A$77:$A$86,$N582)&gt;0,ISNUMBER(MATCH($X582,계정대체기준!$D$77:$D$86,0)),ISNUMBER(MATCH($F582,계정대체기준!$D$77:$D$86,0))),"Y","N")))</f>
        <v/>
      </c>
    </row>
    <row r="583">
      <c r="A583" s="92" t="n">
        <v>2025</v>
      </c>
      <c r="B583" s="92" t="n">
        <v>3</v>
      </c>
      <c r="C583" s="92" t="inlineStr">
        <is>
          <t>5100000579</t>
        </is>
      </c>
      <c r="D583" s="95" t="n">
        <v>45731</v>
      </c>
      <c r="E583" s="92" t="inlineStr">
        <is>
          <t>KR</t>
        </is>
      </c>
      <c r="F583" s="92" t="n">
        <v>62201000</v>
      </c>
      <c r="G583" s="92" t="n">
        <v>1401</v>
      </c>
      <c r="H583" s="93" t="n">
        <v>220000</v>
      </c>
      <c r="I583" s="92" t="inlineStr">
        <is>
          <t>3월 통신요금 - O텔레콤</t>
        </is>
      </c>
      <c r="J583" s="92" t="inlineStr">
        <is>
          <t>V10002</t>
        </is>
      </c>
      <c r="K583" s="92" t="inlineStr">
        <is>
          <t>O텔레콤</t>
        </is>
      </c>
      <c r="M583" s="9">
        <f>IF($A583="","",VALUE($A583&amp;"")*12+VALUE($B583&amp;""))</f>
        <v/>
      </c>
      <c r="N583" s="64">
        <f>IF($A583="","",IFERROR(INDEX(부서매핑!$C$5:$C$504,MATCH($G583&amp;"",부서매핑!$A$5:$A$504,0)),"미매핑"))</f>
        <v/>
      </c>
      <c r="O583" s="9">
        <f>IF($A583="","",N583&amp;"|"&amp;$F583)</f>
        <v/>
      </c>
      <c r="P583" s="94">
        <f>IF($A583="",0,$H583*설정!$C$23)</f>
        <v/>
      </c>
      <c r="Q583" s="64">
        <f>IF($A583="","",IF(O583&lt;&gt;원인분석!$C$9,"",IF(AND(M583&gt;=원인분석!$C$10,M583&lt;=원인분석!$C$11),"당기",IF(AND(M583&gt;=원인분석!$C$12,M583&lt;=원인분석!$C$13),"비교",""))))</f>
        <v/>
      </c>
      <c r="R583" s="9">
        <f>IF(Q583="","",$K583&amp;"")</f>
        <v/>
      </c>
      <c r="S583" s="9">
        <f>IF(Q583="","",IF(MATCH(R583,$R$5:$R$100000,0)=ROW()-4,ROW(),""))</f>
        <v/>
      </c>
      <c r="T583" s="9">
        <f>IF(Q583="당기",ABS(P583)+ROW()/1000000000,"")</f>
        <v/>
      </c>
      <c r="U583" s="9">
        <f>IF(Q583="비교",ABS(P583)+ROW()/1000000000,"")</f>
        <v/>
      </c>
      <c r="V583" s="64">
        <f>IF($A583="","",IF(COUNTIF(변동분석!$E$7:$E$506,O583)&gt;0,"Y","N"))</f>
        <v/>
      </c>
      <c r="W583" s="64">
        <f>IF($A583="","",IFERROR(INDEX(계정매핑!$D$5:$D$504,MATCH($F583&amp;"",계정매핑!$A$5:$A$504,0)),"미매핑"))</f>
        <v/>
      </c>
      <c r="X583" s="9">
        <f>IF($A583="","",$F583&amp;"")</f>
        <v/>
      </c>
      <c r="Y583" s="94">
        <f>IF($A583="",0,IF(AE583="직접",IF(AF583="비귀속",$P583,0),$P583*(1-AG583)*IFERROR(INDEX(계정대체기준!$F$20:$F$49,MATCH($N583,계정대체기준!$A$20:$A$49,0)),1)))</f>
        <v/>
      </c>
      <c r="Z583" s="94">
        <f>IF($A583="",0,IF(AE583="직접",IF(AF583="신계약비",$P583,0),$P583*(1-AG583)*IFERROR(INDEX(계정대체기준!$C$20:$C$49,MATCH($N583,계정대체기준!$A$20:$A$49,0)),0)))</f>
        <v/>
      </c>
      <c r="AA583" s="94">
        <f>IF($A583="",0,IF(AE583="직접",IF(OR(AF583="유지비",AF583="손해조사비"),$P583,0),$P583*(1-AG583)*IFERROR(INDEX(계정대체기준!$D$20:$D$49,MATCH($N583,계정대체기준!$A$20:$A$49,0)),0)))</f>
        <v/>
      </c>
      <c r="AB583" s="94">
        <f>IF($A583="",0,IF(AE583="직접",IF(AF583="수금비",$P583,0),$P583*(1-AG583)*IFERROR(INDEX(계정대체기준!$E$20:$E$49,MATCH($N583,계정대체기준!$A$20:$A$49,0)),0)))</f>
        <v/>
      </c>
      <c r="AC583" s="9">
        <f>IF(AND($A583&lt;&gt;"",M583=설정!$C$20,Z583&gt;0),Z583+ROW()/1000000000,"")</f>
        <v/>
      </c>
      <c r="AD583" s="94">
        <f>IF($A583="",0,$P583*AG583)</f>
        <v/>
      </c>
      <c r="AE583" s="64">
        <f>IF($A583="","",IFERROR(INDEX(계정매핑!$E$5:$E$504,MATCH($F583&amp;"",계정매핑!$A$5:$A$504,0))&amp;"","공통비"))</f>
        <v/>
      </c>
      <c r="AF583" s="64">
        <f>IF($A583="","",IF(AE583="직접",IFERROR(INDEX(계정매핑!$F$5:$F$504,MATCH($F583&amp;"",계정매핑!$A$5:$A$504,0))&amp;"","비귀속"),""))</f>
        <v/>
      </c>
      <c r="AG583" s="96">
        <f>IF($A583="",0,IF(AND(AE583&lt;&gt;"직접",IFERROR(INDEX(계정매핑!$G$5:$G$504,MATCH($F583&amp;"",계정매핑!$A$5:$A$504,0))&amp;"","")="유지비",COUNTIF(계정대체기준!$A$6:$A$15,$N583)&gt;0),IFERROR(INDEX(계정대체기준!$E$6:$E$15,MATCH(VALUE($A583&amp;""),계정대체기준!$D$6:$D$15,0)),0),0))</f>
        <v/>
      </c>
      <c r="AH583" s="64">
        <f>IF($A583="","",IF(AD583=0,"",IF(OR(COUNTIF(계정대체기준!$A$77:$A$86,$N583)&gt;0,ISNUMBER(MATCH($X583,계정대체기준!$D$77:$D$86,0)),ISNUMBER(MATCH($F583,계정대체기준!$D$77:$D$86,0))),"Y","N")))</f>
        <v/>
      </c>
    </row>
    <row r="584">
      <c r="A584" s="92" t="n">
        <v>2025</v>
      </c>
      <c r="B584" s="92" t="n">
        <v>3</v>
      </c>
      <c r="C584" s="92" t="inlineStr">
        <is>
          <t>5100000580</t>
        </is>
      </c>
      <c r="D584" s="95" t="n">
        <v>45731</v>
      </c>
      <c r="E584" s="92" t="inlineStr">
        <is>
          <t>KR</t>
        </is>
      </c>
      <c r="F584" s="92" t="n">
        <v>62902000</v>
      </c>
      <c r="G584" s="92" t="n">
        <v>1201</v>
      </c>
      <c r="H584" s="93" t="n">
        <v>2324000</v>
      </c>
      <c r="I584" s="92" t="inlineStr">
        <is>
          <t>3월 업무 위탁 수수료 - J콜센터</t>
        </is>
      </c>
      <c r="J584" s="92" t="inlineStr">
        <is>
          <t>V10016</t>
        </is>
      </c>
      <c r="K584" s="92" t="inlineStr">
        <is>
          <t>J콜센터</t>
        </is>
      </c>
      <c r="M584" s="9">
        <f>IF($A584="","",VALUE($A584&amp;"")*12+VALUE($B584&amp;""))</f>
        <v/>
      </c>
      <c r="N584" s="64">
        <f>IF($A584="","",IFERROR(INDEX(부서매핑!$C$5:$C$504,MATCH($G584&amp;"",부서매핑!$A$5:$A$504,0)),"미매핑"))</f>
        <v/>
      </c>
      <c r="O584" s="9">
        <f>IF($A584="","",N584&amp;"|"&amp;$F584)</f>
        <v/>
      </c>
      <c r="P584" s="94">
        <f>IF($A584="",0,$H584*설정!$C$23)</f>
        <v/>
      </c>
      <c r="Q584" s="64">
        <f>IF($A584="","",IF(O584&lt;&gt;원인분석!$C$9,"",IF(AND(M584&gt;=원인분석!$C$10,M584&lt;=원인분석!$C$11),"당기",IF(AND(M584&gt;=원인분석!$C$12,M584&lt;=원인분석!$C$13),"비교",""))))</f>
        <v/>
      </c>
      <c r="R584" s="9">
        <f>IF(Q584="","",$K584&amp;"")</f>
        <v/>
      </c>
      <c r="S584" s="9">
        <f>IF(Q584="","",IF(MATCH(R584,$R$5:$R$100000,0)=ROW()-4,ROW(),""))</f>
        <v/>
      </c>
      <c r="T584" s="9">
        <f>IF(Q584="당기",ABS(P584)+ROW()/1000000000,"")</f>
        <v/>
      </c>
      <c r="U584" s="9">
        <f>IF(Q584="비교",ABS(P584)+ROW()/1000000000,"")</f>
        <v/>
      </c>
      <c r="V584" s="64">
        <f>IF($A584="","",IF(COUNTIF(변동분석!$E$7:$E$506,O584)&gt;0,"Y","N"))</f>
        <v/>
      </c>
      <c r="W584" s="64">
        <f>IF($A584="","",IFERROR(INDEX(계정매핑!$D$5:$D$504,MATCH($F584&amp;"",계정매핑!$A$5:$A$504,0)),"미매핑"))</f>
        <v/>
      </c>
      <c r="X584" s="9">
        <f>IF($A584="","",$F584&amp;"")</f>
        <v/>
      </c>
      <c r="Y584" s="94">
        <f>IF($A584="",0,IF(AE584="직접",IF(AF584="비귀속",$P584,0),$P584*(1-AG584)*IFERROR(INDEX(계정대체기준!$F$20:$F$49,MATCH($N584,계정대체기준!$A$20:$A$49,0)),1)))</f>
        <v/>
      </c>
      <c r="Z584" s="94">
        <f>IF($A584="",0,IF(AE584="직접",IF(AF584="신계약비",$P584,0),$P584*(1-AG584)*IFERROR(INDEX(계정대체기준!$C$20:$C$49,MATCH($N584,계정대체기준!$A$20:$A$49,0)),0)))</f>
        <v/>
      </c>
      <c r="AA584" s="94">
        <f>IF($A584="",0,IF(AE584="직접",IF(OR(AF584="유지비",AF584="손해조사비"),$P584,0),$P584*(1-AG584)*IFERROR(INDEX(계정대체기준!$D$20:$D$49,MATCH($N584,계정대체기준!$A$20:$A$49,0)),0)))</f>
        <v/>
      </c>
      <c r="AB584" s="94">
        <f>IF($A584="",0,IF(AE584="직접",IF(AF584="수금비",$P584,0),$P584*(1-AG584)*IFERROR(INDEX(계정대체기준!$E$20:$E$49,MATCH($N584,계정대체기준!$A$20:$A$49,0)),0)))</f>
        <v/>
      </c>
      <c r="AC584" s="9">
        <f>IF(AND($A584&lt;&gt;"",M584=설정!$C$20,Z584&gt;0),Z584+ROW()/1000000000,"")</f>
        <v/>
      </c>
      <c r="AD584" s="94">
        <f>IF($A584="",0,$P584*AG584)</f>
        <v/>
      </c>
      <c r="AE584" s="64">
        <f>IF($A584="","",IFERROR(INDEX(계정매핑!$E$5:$E$504,MATCH($F584&amp;"",계정매핑!$A$5:$A$504,0))&amp;"","공통비"))</f>
        <v/>
      </c>
      <c r="AF584" s="64">
        <f>IF($A584="","",IF(AE584="직접",IFERROR(INDEX(계정매핑!$F$5:$F$504,MATCH($F584&amp;"",계정매핑!$A$5:$A$504,0))&amp;"","비귀속"),""))</f>
        <v/>
      </c>
      <c r="AG584" s="96">
        <f>IF($A584="",0,IF(AND(AE584&lt;&gt;"직접",IFERROR(INDEX(계정매핑!$G$5:$G$504,MATCH($F584&amp;"",계정매핑!$A$5:$A$504,0))&amp;"","")="유지비",COUNTIF(계정대체기준!$A$6:$A$15,$N584)&gt;0),IFERROR(INDEX(계정대체기준!$E$6:$E$15,MATCH(VALUE($A584&amp;""),계정대체기준!$D$6:$D$15,0)),0),0))</f>
        <v/>
      </c>
      <c r="AH584" s="64">
        <f>IF($A584="","",IF(AD584=0,"",IF(OR(COUNTIF(계정대체기준!$A$77:$A$86,$N584)&gt;0,ISNUMBER(MATCH($X584,계정대체기준!$D$77:$D$86,0)),ISNUMBER(MATCH($F584,계정대체기준!$D$77:$D$86,0))),"Y","N")))</f>
        <v/>
      </c>
    </row>
    <row r="585">
      <c r="A585" s="92" t="n">
        <v>2025</v>
      </c>
      <c r="B585" s="92" t="n">
        <v>3</v>
      </c>
      <c r="C585" s="92" t="inlineStr">
        <is>
          <t>5100000581</t>
        </is>
      </c>
      <c r="D585" s="95" t="n">
        <v>45731</v>
      </c>
      <c r="E585" s="92" t="inlineStr">
        <is>
          <t>KR</t>
        </is>
      </c>
      <c r="F585" s="92" t="n">
        <v>62902000</v>
      </c>
      <c r="G585" s="92" t="n">
        <v>1201</v>
      </c>
      <c r="H585" s="93" t="n">
        <v>3026000</v>
      </c>
      <c r="I585" s="92" t="inlineStr">
        <is>
          <t>3월 업무 위탁 수수료 - X서비스</t>
        </is>
      </c>
      <c r="J585" s="92" t="inlineStr">
        <is>
          <t>V10020</t>
        </is>
      </c>
      <c r="K585" s="92" t="inlineStr">
        <is>
          <t>X서비스</t>
        </is>
      </c>
      <c r="M585" s="9">
        <f>IF($A585="","",VALUE($A585&amp;"")*12+VALUE($B585&amp;""))</f>
        <v/>
      </c>
      <c r="N585" s="64">
        <f>IF($A585="","",IFERROR(INDEX(부서매핑!$C$5:$C$504,MATCH($G585&amp;"",부서매핑!$A$5:$A$504,0)),"미매핑"))</f>
        <v/>
      </c>
      <c r="O585" s="9">
        <f>IF($A585="","",N585&amp;"|"&amp;$F585)</f>
        <v/>
      </c>
      <c r="P585" s="94">
        <f>IF($A585="",0,$H585*설정!$C$23)</f>
        <v/>
      </c>
      <c r="Q585" s="64">
        <f>IF($A585="","",IF(O585&lt;&gt;원인분석!$C$9,"",IF(AND(M585&gt;=원인분석!$C$10,M585&lt;=원인분석!$C$11),"당기",IF(AND(M585&gt;=원인분석!$C$12,M585&lt;=원인분석!$C$13),"비교",""))))</f>
        <v/>
      </c>
      <c r="R585" s="9">
        <f>IF(Q585="","",$K585&amp;"")</f>
        <v/>
      </c>
      <c r="S585" s="9">
        <f>IF(Q585="","",IF(MATCH(R585,$R$5:$R$100000,0)=ROW()-4,ROW(),""))</f>
        <v/>
      </c>
      <c r="T585" s="9">
        <f>IF(Q585="당기",ABS(P585)+ROW()/1000000000,"")</f>
        <v/>
      </c>
      <c r="U585" s="9">
        <f>IF(Q585="비교",ABS(P585)+ROW()/1000000000,"")</f>
        <v/>
      </c>
      <c r="V585" s="64">
        <f>IF($A585="","",IF(COUNTIF(변동분석!$E$7:$E$506,O585)&gt;0,"Y","N"))</f>
        <v/>
      </c>
      <c r="W585" s="64">
        <f>IF($A585="","",IFERROR(INDEX(계정매핑!$D$5:$D$504,MATCH($F585&amp;"",계정매핑!$A$5:$A$504,0)),"미매핑"))</f>
        <v/>
      </c>
      <c r="X585" s="9">
        <f>IF($A585="","",$F585&amp;"")</f>
        <v/>
      </c>
      <c r="Y585" s="94">
        <f>IF($A585="",0,IF(AE585="직접",IF(AF585="비귀속",$P585,0),$P585*(1-AG585)*IFERROR(INDEX(계정대체기준!$F$20:$F$49,MATCH($N585,계정대체기준!$A$20:$A$49,0)),1)))</f>
        <v/>
      </c>
      <c r="Z585" s="94">
        <f>IF($A585="",0,IF(AE585="직접",IF(AF585="신계약비",$P585,0),$P585*(1-AG585)*IFERROR(INDEX(계정대체기준!$C$20:$C$49,MATCH($N585,계정대체기준!$A$20:$A$49,0)),0)))</f>
        <v/>
      </c>
      <c r="AA585" s="94">
        <f>IF($A585="",0,IF(AE585="직접",IF(OR(AF585="유지비",AF585="손해조사비"),$P585,0),$P585*(1-AG585)*IFERROR(INDEX(계정대체기준!$D$20:$D$49,MATCH($N585,계정대체기준!$A$20:$A$49,0)),0)))</f>
        <v/>
      </c>
      <c r="AB585" s="94">
        <f>IF($A585="",0,IF(AE585="직접",IF(AF585="수금비",$P585,0),$P585*(1-AG585)*IFERROR(INDEX(계정대체기준!$E$20:$E$49,MATCH($N585,계정대체기준!$A$20:$A$49,0)),0)))</f>
        <v/>
      </c>
      <c r="AC585" s="9">
        <f>IF(AND($A585&lt;&gt;"",M585=설정!$C$20,Z585&gt;0),Z585+ROW()/1000000000,"")</f>
        <v/>
      </c>
      <c r="AD585" s="94">
        <f>IF($A585="",0,$P585*AG585)</f>
        <v/>
      </c>
      <c r="AE585" s="64">
        <f>IF($A585="","",IFERROR(INDEX(계정매핑!$E$5:$E$504,MATCH($F585&amp;"",계정매핑!$A$5:$A$504,0))&amp;"","공통비"))</f>
        <v/>
      </c>
      <c r="AF585" s="64">
        <f>IF($A585="","",IF(AE585="직접",IFERROR(INDEX(계정매핑!$F$5:$F$504,MATCH($F585&amp;"",계정매핑!$A$5:$A$504,0))&amp;"","비귀속"),""))</f>
        <v/>
      </c>
      <c r="AG585" s="96">
        <f>IF($A585="",0,IF(AND(AE585&lt;&gt;"직접",IFERROR(INDEX(계정매핑!$G$5:$G$504,MATCH($F585&amp;"",계정매핑!$A$5:$A$504,0))&amp;"","")="유지비",COUNTIF(계정대체기준!$A$6:$A$15,$N585)&gt;0),IFERROR(INDEX(계정대체기준!$E$6:$E$15,MATCH(VALUE($A585&amp;""),계정대체기준!$D$6:$D$15,0)),0),0))</f>
        <v/>
      </c>
      <c r="AH585" s="64">
        <f>IF($A585="","",IF(AD585=0,"",IF(OR(COUNTIF(계정대체기준!$A$77:$A$86,$N585)&gt;0,ISNUMBER(MATCH($X585,계정대체기준!$D$77:$D$86,0)),ISNUMBER(MATCH($F585,계정대체기준!$D$77:$D$86,0))),"Y","N")))</f>
        <v/>
      </c>
    </row>
    <row r="586">
      <c r="A586" s="92" t="n">
        <v>2025</v>
      </c>
      <c r="B586" s="92" t="n">
        <v>3</v>
      </c>
      <c r="C586" s="92" t="inlineStr">
        <is>
          <t>5100000582</t>
        </is>
      </c>
      <c r="D586" s="95" t="n">
        <v>45731</v>
      </c>
      <c r="E586" s="92" t="inlineStr">
        <is>
          <t>KR</t>
        </is>
      </c>
      <c r="F586" s="92" t="n">
        <v>63001000</v>
      </c>
      <c r="G586" s="92" t="n">
        <v>1701</v>
      </c>
      <c r="H586" s="93" t="n">
        <v>41907000</v>
      </c>
      <c r="I586" s="92" t="inlineStr">
        <is>
          <t>3월 SW 유지보수 - Z시스템</t>
        </is>
      </c>
      <c r="J586" s="92" t="inlineStr">
        <is>
          <t>V10012</t>
        </is>
      </c>
      <c r="K586" s="92" t="inlineStr">
        <is>
          <t>Z시스템</t>
        </is>
      </c>
      <c r="M586" s="9">
        <f>IF($A586="","",VALUE($A586&amp;"")*12+VALUE($B586&amp;""))</f>
        <v/>
      </c>
      <c r="N586" s="64">
        <f>IF($A586="","",IFERROR(INDEX(부서매핑!$C$5:$C$504,MATCH($G586&amp;"",부서매핑!$A$5:$A$504,0)),"미매핑"))</f>
        <v/>
      </c>
      <c r="O586" s="9">
        <f>IF($A586="","",N586&amp;"|"&amp;$F586)</f>
        <v/>
      </c>
      <c r="P586" s="94">
        <f>IF($A586="",0,$H586*설정!$C$23)</f>
        <v/>
      </c>
      <c r="Q586" s="64">
        <f>IF($A586="","",IF(O586&lt;&gt;원인분석!$C$9,"",IF(AND(M586&gt;=원인분석!$C$10,M586&lt;=원인분석!$C$11),"당기",IF(AND(M586&gt;=원인분석!$C$12,M586&lt;=원인분석!$C$13),"비교",""))))</f>
        <v/>
      </c>
      <c r="R586" s="9">
        <f>IF(Q586="","",$K586&amp;"")</f>
        <v/>
      </c>
      <c r="S586" s="9">
        <f>IF(Q586="","",IF(MATCH(R586,$R$5:$R$100000,0)=ROW()-4,ROW(),""))</f>
        <v/>
      </c>
      <c r="T586" s="9">
        <f>IF(Q586="당기",ABS(P586)+ROW()/1000000000,"")</f>
        <v/>
      </c>
      <c r="U586" s="9">
        <f>IF(Q586="비교",ABS(P586)+ROW()/1000000000,"")</f>
        <v/>
      </c>
      <c r="V586" s="64">
        <f>IF($A586="","",IF(COUNTIF(변동분석!$E$7:$E$506,O586)&gt;0,"Y","N"))</f>
        <v/>
      </c>
      <c r="W586" s="64">
        <f>IF($A586="","",IFERROR(INDEX(계정매핑!$D$5:$D$504,MATCH($F586&amp;"",계정매핑!$A$5:$A$504,0)),"미매핑"))</f>
        <v/>
      </c>
      <c r="X586" s="9">
        <f>IF($A586="","",$F586&amp;"")</f>
        <v/>
      </c>
      <c r="Y586" s="94">
        <f>IF($A586="",0,IF(AE586="직접",IF(AF586="비귀속",$P586,0),$P586*(1-AG586)*IFERROR(INDEX(계정대체기준!$F$20:$F$49,MATCH($N586,계정대체기준!$A$20:$A$49,0)),1)))</f>
        <v/>
      </c>
      <c r="Z586" s="94">
        <f>IF($A586="",0,IF(AE586="직접",IF(AF586="신계약비",$P586,0),$P586*(1-AG586)*IFERROR(INDEX(계정대체기준!$C$20:$C$49,MATCH($N586,계정대체기준!$A$20:$A$49,0)),0)))</f>
        <v/>
      </c>
      <c r="AA586" s="94">
        <f>IF($A586="",0,IF(AE586="직접",IF(OR(AF586="유지비",AF586="손해조사비"),$P586,0),$P586*(1-AG586)*IFERROR(INDEX(계정대체기준!$D$20:$D$49,MATCH($N586,계정대체기준!$A$20:$A$49,0)),0)))</f>
        <v/>
      </c>
      <c r="AB586" s="94">
        <f>IF($A586="",0,IF(AE586="직접",IF(AF586="수금비",$P586,0),$P586*(1-AG586)*IFERROR(INDEX(계정대체기준!$E$20:$E$49,MATCH($N586,계정대체기준!$A$20:$A$49,0)),0)))</f>
        <v/>
      </c>
      <c r="AC586" s="9">
        <f>IF(AND($A586&lt;&gt;"",M586=설정!$C$20,Z586&gt;0),Z586+ROW()/1000000000,"")</f>
        <v/>
      </c>
      <c r="AD586" s="94">
        <f>IF($A586="",0,$P586*AG586)</f>
        <v/>
      </c>
      <c r="AE586" s="64">
        <f>IF($A586="","",IFERROR(INDEX(계정매핑!$E$5:$E$504,MATCH($F586&amp;"",계정매핑!$A$5:$A$504,0))&amp;"","공통비"))</f>
        <v/>
      </c>
      <c r="AF586" s="64">
        <f>IF($A586="","",IF(AE586="직접",IFERROR(INDEX(계정매핑!$F$5:$F$504,MATCH($F586&amp;"",계정매핑!$A$5:$A$504,0))&amp;"","비귀속"),""))</f>
        <v/>
      </c>
      <c r="AG586" s="96">
        <f>IF($A586="",0,IF(AND(AE586&lt;&gt;"직접",IFERROR(INDEX(계정매핑!$G$5:$G$504,MATCH($F586&amp;"",계정매핑!$A$5:$A$504,0))&amp;"","")="유지비",COUNTIF(계정대체기준!$A$6:$A$15,$N586)&gt;0),IFERROR(INDEX(계정대체기준!$E$6:$E$15,MATCH(VALUE($A586&amp;""),계정대체기준!$D$6:$D$15,0)),0),0))</f>
        <v/>
      </c>
      <c r="AH586" s="64">
        <f>IF($A586="","",IF(AD586=0,"",IF(OR(COUNTIF(계정대체기준!$A$77:$A$86,$N586)&gt;0,ISNUMBER(MATCH($X586,계정대체기준!$D$77:$D$86,0)),ISNUMBER(MATCH($F586,계정대체기준!$D$77:$D$86,0))),"Y","N")))</f>
        <v/>
      </c>
    </row>
    <row r="587">
      <c r="A587" s="92" t="n">
        <v>2025</v>
      </c>
      <c r="B587" s="92" t="n">
        <v>3</v>
      </c>
      <c r="C587" s="92" t="inlineStr">
        <is>
          <t>5100000583</t>
        </is>
      </c>
      <c r="D587" s="95" t="n">
        <v>45732</v>
      </c>
      <c r="E587" s="92" t="inlineStr">
        <is>
          <t>KR</t>
        </is>
      </c>
      <c r="F587" s="92" t="n">
        <v>62301000</v>
      </c>
      <c r="G587" s="92" t="n">
        <v>1301</v>
      </c>
      <c r="H587" s="93" t="n">
        <v>158000</v>
      </c>
      <c r="I587" s="92" t="inlineStr">
        <is>
          <t>3월 소모품 구입 - R문구</t>
        </is>
      </c>
      <c r="J587" s="92" t="inlineStr">
        <is>
          <t>V10022</t>
        </is>
      </c>
      <c r="K587" s="92" t="inlineStr">
        <is>
          <t>R문구</t>
        </is>
      </c>
      <c r="M587" s="9">
        <f>IF($A587="","",VALUE($A587&amp;"")*12+VALUE($B587&amp;""))</f>
        <v/>
      </c>
      <c r="N587" s="64">
        <f>IF($A587="","",IFERROR(INDEX(부서매핑!$C$5:$C$504,MATCH($G587&amp;"",부서매핑!$A$5:$A$504,0)),"미매핑"))</f>
        <v/>
      </c>
      <c r="O587" s="9">
        <f>IF($A587="","",N587&amp;"|"&amp;$F587)</f>
        <v/>
      </c>
      <c r="P587" s="94">
        <f>IF($A587="",0,$H587*설정!$C$23)</f>
        <v/>
      </c>
      <c r="Q587" s="64">
        <f>IF($A587="","",IF(O587&lt;&gt;원인분석!$C$9,"",IF(AND(M587&gt;=원인분석!$C$10,M587&lt;=원인분석!$C$11),"당기",IF(AND(M587&gt;=원인분석!$C$12,M587&lt;=원인분석!$C$13),"비교",""))))</f>
        <v/>
      </c>
      <c r="R587" s="9">
        <f>IF(Q587="","",$K587&amp;"")</f>
        <v/>
      </c>
      <c r="S587" s="9">
        <f>IF(Q587="","",IF(MATCH(R587,$R$5:$R$100000,0)=ROW()-4,ROW(),""))</f>
        <v/>
      </c>
      <c r="T587" s="9">
        <f>IF(Q587="당기",ABS(P587)+ROW()/1000000000,"")</f>
        <v/>
      </c>
      <c r="U587" s="9">
        <f>IF(Q587="비교",ABS(P587)+ROW()/1000000000,"")</f>
        <v/>
      </c>
      <c r="V587" s="64">
        <f>IF($A587="","",IF(COUNTIF(변동분석!$E$7:$E$506,O587)&gt;0,"Y","N"))</f>
        <v/>
      </c>
      <c r="W587" s="64">
        <f>IF($A587="","",IFERROR(INDEX(계정매핑!$D$5:$D$504,MATCH($F587&amp;"",계정매핑!$A$5:$A$504,0)),"미매핑"))</f>
        <v/>
      </c>
      <c r="X587" s="9">
        <f>IF($A587="","",$F587&amp;"")</f>
        <v/>
      </c>
      <c r="Y587" s="94">
        <f>IF($A587="",0,IF(AE587="직접",IF(AF587="비귀속",$P587,0),$P587*(1-AG587)*IFERROR(INDEX(계정대체기준!$F$20:$F$49,MATCH($N587,계정대체기준!$A$20:$A$49,0)),1)))</f>
        <v/>
      </c>
      <c r="Z587" s="94">
        <f>IF($A587="",0,IF(AE587="직접",IF(AF587="신계약비",$P587,0),$P587*(1-AG587)*IFERROR(INDEX(계정대체기준!$C$20:$C$49,MATCH($N587,계정대체기준!$A$20:$A$49,0)),0)))</f>
        <v/>
      </c>
      <c r="AA587" s="94">
        <f>IF($A587="",0,IF(AE587="직접",IF(OR(AF587="유지비",AF587="손해조사비"),$P587,0),$P587*(1-AG587)*IFERROR(INDEX(계정대체기준!$D$20:$D$49,MATCH($N587,계정대체기준!$A$20:$A$49,0)),0)))</f>
        <v/>
      </c>
      <c r="AB587" s="94">
        <f>IF($A587="",0,IF(AE587="직접",IF(AF587="수금비",$P587,0),$P587*(1-AG587)*IFERROR(INDEX(계정대체기준!$E$20:$E$49,MATCH($N587,계정대체기준!$A$20:$A$49,0)),0)))</f>
        <v/>
      </c>
      <c r="AC587" s="9">
        <f>IF(AND($A587&lt;&gt;"",M587=설정!$C$20,Z587&gt;0),Z587+ROW()/1000000000,"")</f>
        <v/>
      </c>
      <c r="AD587" s="94">
        <f>IF($A587="",0,$P587*AG587)</f>
        <v/>
      </c>
      <c r="AE587" s="64">
        <f>IF($A587="","",IFERROR(INDEX(계정매핑!$E$5:$E$504,MATCH($F587&amp;"",계정매핑!$A$5:$A$504,0))&amp;"","공통비"))</f>
        <v/>
      </c>
      <c r="AF587" s="64">
        <f>IF($A587="","",IF(AE587="직접",IFERROR(INDEX(계정매핑!$F$5:$F$504,MATCH($F587&amp;"",계정매핑!$A$5:$A$504,0))&amp;"","비귀속"),""))</f>
        <v/>
      </c>
      <c r="AG587" s="96">
        <f>IF($A587="",0,IF(AND(AE587&lt;&gt;"직접",IFERROR(INDEX(계정매핑!$G$5:$G$504,MATCH($F587&amp;"",계정매핑!$A$5:$A$504,0))&amp;"","")="유지비",COUNTIF(계정대체기준!$A$6:$A$15,$N587)&gt;0),IFERROR(INDEX(계정대체기준!$E$6:$E$15,MATCH(VALUE($A587&amp;""),계정대체기준!$D$6:$D$15,0)),0),0))</f>
        <v/>
      </c>
      <c r="AH587" s="64">
        <f>IF($A587="","",IF(AD587=0,"",IF(OR(COUNTIF(계정대체기준!$A$77:$A$86,$N587)&gt;0,ISNUMBER(MATCH($X587,계정대체기준!$D$77:$D$86,0)),ISNUMBER(MATCH($F587,계정대체기준!$D$77:$D$86,0))),"Y","N")))</f>
        <v/>
      </c>
    </row>
    <row r="588">
      <c r="A588" s="92" t="n">
        <v>2025</v>
      </c>
      <c r="B588" s="92" t="n">
        <v>3</v>
      </c>
      <c r="C588" s="92" t="inlineStr">
        <is>
          <t>5100000584</t>
        </is>
      </c>
      <c r="D588" s="95" t="n">
        <v>45732</v>
      </c>
      <c r="E588" s="92" t="inlineStr">
        <is>
          <t>KR</t>
        </is>
      </c>
      <c r="F588" s="92" t="n">
        <v>62401000</v>
      </c>
      <c r="G588" s="92" t="n">
        <v>1801</v>
      </c>
      <c r="H588" s="93" t="n">
        <v>2333000</v>
      </c>
      <c r="I588" s="92" t="inlineStr">
        <is>
          <t>3월 인쇄물 제작 - S출판</t>
        </is>
      </c>
      <c r="J588" s="92" t="inlineStr">
        <is>
          <t>V10015</t>
        </is>
      </c>
      <c r="K588" s="92" t="inlineStr">
        <is>
          <t>S출판</t>
        </is>
      </c>
      <c r="M588" s="9">
        <f>IF($A588="","",VALUE($A588&amp;"")*12+VALUE($B588&amp;""))</f>
        <v/>
      </c>
      <c r="N588" s="64">
        <f>IF($A588="","",IFERROR(INDEX(부서매핑!$C$5:$C$504,MATCH($G588&amp;"",부서매핑!$A$5:$A$504,0)),"미매핑"))</f>
        <v/>
      </c>
      <c r="O588" s="9">
        <f>IF($A588="","",N588&amp;"|"&amp;$F588)</f>
        <v/>
      </c>
      <c r="P588" s="94">
        <f>IF($A588="",0,$H588*설정!$C$23)</f>
        <v/>
      </c>
      <c r="Q588" s="64">
        <f>IF($A588="","",IF(O588&lt;&gt;원인분석!$C$9,"",IF(AND(M588&gt;=원인분석!$C$10,M588&lt;=원인분석!$C$11),"당기",IF(AND(M588&gt;=원인분석!$C$12,M588&lt;=원인분석!$C$13),"비교",""))))</f>
        <v/>
      </c>
      <c r="R588" s="9">
        <f>IF(Q588="","",$K588&amp;"")</f>
        <v/>
      </c>
      <c r="S588" s="9">
        <f>IF(Q588="","",IF(MATCH(R588,$R$5:$R$100000,0)=ROW()-4,ROW(),""))</f>
        <v/>
      </c>
      <c r="T588" s="9">
        <f>IF(Q588="당기",ABS(P588)+ROW()/1000000000,"")</f>
        <v/>
      </c>
      <c r="U588" s="9">
        <f>IF(Q588="비교",ABS(P588)+ROW()/1000000000,"")</f>
        <v/>
      </c>
      <c r="V588" s="64">
        <f>IF($A588="","",IF(COUNTIF(변동분석!$E$7:$E$506,O588)&gt;0,"Y","N"))</f>
        <v/>
      </c>
      <c r="W588" s="64">
        <f>IF($A588="","",IFERROR(INDEX(계정매핑!$D$5:$D$504,MATCH($F588&amp;"",계정매핑!$A$5:$A$504,0)),"미매핑"))</f>
        <v/>
      </c>
      <c r="X588" s="9">
        <f>IF($A588="","",$F588&amp;"")</f>
        <v/>
      </c>
      <c r="Y588" s="94">
        <f>IF($A588="",0,IF(AE588="직접",IF(AF588="비귀속",$P588,0),$P588*(1-AG588)*IFERROR(INDEX(계정대체기준!$F$20:$F$49,MATCH($N588,계정대체기준!$A$20:$A$49,0)),1)))</f>
        <v/>
      </c>
      <c r="Z588" s="94">
        <f>IF($A588="",0,IF(AE588="직접",IF(AF588="신계약비",$P588,0),$P588*(1-AG588)*IFERROR(INDEX(계정대체기준!$C$20:$C$49,MATCH($N588,계정대체기준!$A$20:$A$49,0)),0)))</f>
        <v/>
      </c>
      <c r="AA588" s="94">
        <f>IF($A588="",0,IF(AE588="직접",IF(OR(AF588="유지비",AF588="손해조사비"),$P588,0),$P588*(1-AG588)*IFERROR(INDEX(계정대체기준!$D$20:$D$49,MATCH($N588,계정대체기준!$A$20:$A$49,0)),0)))</f>
        <v/>
      </c>
      <c r="AB588" s="94">
        <f>IF($A588="",0,IF(AE588="직접",IF(AF588="수금비",$P588,0),$P588*(1-AG588)*IFERROR(INDEX(계정대체기준!$E$20:$E$49,MATCH($N588,계정대체기준!$A$20:$A$49,0)),0)))</f>
        <v/>
      </c>
      <c r="AC588" s="9">
        <f>IF(AND($A588&lt;&gt;"",M588=설정!$C$20,Z588&gt;0),Z588+ROW()/1000000000,"")</f>
        <v/>
      </c>
      <c r="AD588" s="94">
        <f>IF($A588="",0,$P588*AG588)</f>
        <v/>
      </c>
      <c r="AE588" s="64">
        <f>IF($A588="","",IFERROR(INDEX(계정매핑!$E$5:$E$504,MATCH($F588&amp;"",계정매핑!$A$5:$A$504,0))&amp;"","공통비"))</f>
        <v/>
      </c>
      <c r="AF588" s="64">
        <f>IF($A588="","",IF(AE588="직접",IFERROR(INDEX(계정매핑!$F$5:$F$504,MATCH($F588&amp;"",계정매핑!$A$5:$A$504,0))&amp;"","비귀속"),""))</f>
        <v/>
      </c>
      <c r="AG588" s="96">
        <f>IF($A588="",0,IF(AND(AE588&lt;&gt;"직접",IFERROR(INDEX(계정매핑!$G$5:$G$504,MATCH($F588&amp;"",계정매핑!$A$5:$A$504,0))&amp;"","")="유지비",COUNTIF(계정대체기준!$A$6:$A$15,$N588)&gt;0),IFERROR(INDEX(계정대체기준!$E$6:$E$15,MATCH(VALUE($A588&amp;""),계정대체기준!$D$6:$D$15,0)),0),0))</f>
        <v/>
      </c>
      <c r="AH588" s="64">
        <f>IF($A588="","",IF(AD588=0,"",IF(OR(COUNTIF(계정대체기준!$A$77:$A$86,$N588)&gt;0,ISNUMBER(MATCH($X588,계정대체기준!$D$77:$D$86,0)),ISNUMBER(MATCH($F588,계정대체기준!$D$77:$D$86,0))),"Y","N")))</f>
        <v/>
      </c>
    </row>
    <row r="589">
      <c r="A589" s="92" t="n">
        <v>2025</v>
      </c>
      <c r="B589" s="92" t="n">
        <v>3</v>
      </c>
      <c r="C589" s="92" t="inlineStr">
        <is>
          <t>5100000585</t>
        </is>
      </c>
      <c r="D589" s="95" t="n">
        <v>45732</v>
      </c>
      <c r="E589" s="92" t="inlineStr">
        <is>
          <t>KR</t>
        </is>
      </c>
      <c r="F589" s="92" t="n">
        <v>62501000</v>
      </c>
      <c r="G589" s="92" t="n">
        <v>1601</v>
      </c>
      <c r="H589" s="93" t="n">
        <v>637000</v>
      </c>
      <c r="I589" s="92" t="inlineStr">
        <is>
          <t>3월 회의 다과 - (법인카드)</t>
        </is>
      </c>
      <c r="J589" s="92" t="inlineStr">
        <is>
          <t>V10010</t>
        </is>
      </c>
      <c r="K589" s="92" t="inlineStr">
        <is>
          <t>(법인카드)</t>
        </is>
      </c>
      <c r="M589" s="9">
        <f>IF($A589="","",VALUE($A589&amp;"")*12+VALUE($B589&amp;""))</f>
        <v/>
      </c>
      <c r="N589" s="64">
        <f>IF($A589="","",IFERROR(INDEX(부서매핑!$C$5:$C$504,MATCH($G589&amp;"",부서매핑!$A$5:$A$504,0)),"미매핑"))</f>
        <v/>
      </c>
      <c r="O589" s="9">
        <f>IF($A589="","",N589&amp;"|"&amp;$F589)</f>
        <v/>
      </c>
      <c r="P589" s="94">
        <f>IF($A589="",0,$H589*설정!$C$23)</f>
        <v/>
      </c>
      <c r="Q589" s="64">
        <f>IF($A589="","",IF(O589&lt;&gt;원인분석!$C$9,"",IF(AND(M589&gt;=원인분석!$C$10,M589&lt;=원인분석!$C$11),"당기",IF(AND(M589&gt;=원인분석!$C$12,M589&lt;=원인분석!$C$13),"비교",""))))</f>
        <v/>
      </c>
      <c r="R589" s="9">
        <f>IF(Q589="","",$K589&amp;"")</f>
        <v/>
      </c>
      <c r="S589" s="9">
        <f>IF(Q589="","",IF(MATCH(R589,$R$5:$R$100000,0)=ROW()-4,ROW(),""))</f>
        <v/>
      </c>
      <c r="T589" s="9">
        <f>IF(Q589="당기",ABS(P589)+ROW()/1000000000,"")</f>
        <v/>
      </c>
      <c r="U589" s="9">
        <f>IF(Q589="비교",ABS(P589)+ROW()/1000000000,"")</f>
        <v/>
      </c>
      <c r="V589" s="64">
        <f>IF($A589="","",IF(COUNTIF(변동분석!$E$7:$E$506,O589)&gt;0,"Y","N"))</f>
        <v/>
      </c>
      <c r="W589" s="64">
        <f>IF($A589="","",IFERROR(INDEX(계정매핑!$D$5:$D$504,MATCH($F589&amp;"",계정매핑!$A$5:$A$504,0)),"미매핑"))</f>
        <v/>
      </c>
      <c r="X589" s="9">
        <f>IF($A589="","",$F589&amp;"")</f>
        <v/>
      </c>
      <c r="Y589" s="94">
        <f>IF($A589="",0,IF(AE589="직접",IF(AF589="비귀속",$P589,0),$P589*(1-AG589)*IFERROR(INDEX(계정대체기준!$F$20:$F$49,MATCH($N589,계정대체기준!$A$20:$A$49,0)),1)))</f>
        <v/>
      </c>
      <c r="Z589" s="94">
        <f>IF($A589="",0,IF(AE589="직접",IF(AF589="신계약비",$P589,0),$P589*(1-AG589)*IFERROR(INDEX(계정대체기준!$C$20:$C$49,MATCH($N589,계정대체기준!$A$20:$A$49,0)),0)))</f>
        <v/>
      </c>
      <c r="AA589" s="94">
        <f>IF($A589="",0,IF(AE589="직접",IF(OR(AF589="유지비",AF589="손해조사비"),$P589,0),$P589*(1-AG589)*IFERROR(INDEX(계정대체기준!$D$20:$D$49,MATCH($N589,계정대체기준!$A$20:$A$49,0)),0)))</f>
        <v/>
      </c>
      <c r="AB589" s="94">
        <f>IF($A589="",0,IF(AE589="직접",IF(AF589="수금비",$P589,0),$P589*(1-AG589)*IFERROR(INDEX(계정대체기준!$E$20:$E$49,MATCH($N589,계정대체기준!$A$20:$A$49,0)),0)))</f>
        <v/>
      </c>
      <c r="AC589" s="9">
        <f>IF(AND($A589&lt;&gt;"",M589=설정!$C$20,Z589&gt;0),Z589+ROW()/1000000000,"")</f>
        <v/>
      </c>
      <c r="AD589" s="94">
        <f>IF($A589="",0,$P589*AG589)</f>
        <v/>
      </c>
      <c r="AE589" s="64">
        <f>IF($A589="","",IFERROR(INDEX(계정매핑!$E$5:$E$504,MATCH($F589&amp;"",계정매핑!$A$5:$A$504,0))&amp;"","공통비"))</f>
        <v/>
      </c>
      <c r="AF589" s="64">
        <f>IF($A589="","",IF(AE589="직접",IFERROR(INDEX(계정매핑!$F$5:$F$504,MATCH($F589&amp;"",계정매핑!$A$5:$A$504,0))&amp;"","비귀속"),""))</f>
        <v/>
      </c>
      <c r="AG589" s="96">
        <f>IF($A589="",0,IF(AND(AE589&lt;&gt;"직접",IFERROR(INDEX(계정매핑!$G$5:$G$504,MATCH($F589&amp;"",계정매핑!$A$5:$A$504,0))&amp;"","")="유지비",COUNTIF(계정대체기준!$A$6:$A$15,$N589)&gt;0),IFERROR(INDEX(계정대체기준!$E$6:$E$15,MATCH(VALUE($A589&amp;""),계정대체기준!$D$6:$D$15,0)),0),0))</f>
        <v/>
      </c>
      <c r="AH589" s="64">
        <f>IF($A589="","",IF(AD589=0,"",IF(OR(COUNTIF(계정대체기준!$A$77:$A$86,$N589)&gt;0,ISNUMBER(MATCH($X589,계정대체기준!$D$77:$D$86,0)),ISNUMBER(MATCH($F589,계정대체기준!$D$77:$D$86,0))),"Y","N")))</f>
        <v/>
      </c>
    </row>
    <row r="590">
      <c r="A590" s="92" t="n">
        <v>2025</v>
      </c>
      <c r="B590" s="92" t="n">
        <v>3</v>
      </c>
      <c r="C590" s="92" t="inlineStr">
        <is>
          <t>5100000586</t>
        </is>
      </c>
      <c r="D590" s="95" t="n">
        <v>45732</v>
      </c>
      <c r="E590" s="92" t="inlineStr">
        <is>
          <t>KR</t>
        </is>
      </c>
      <c r="F590" s="92" t="n">
        <v>62601000</v>
      </c>
      <c r="G590" s="92" t="n">
        <v>1301</v>
      </c>
      <c r="H590" s="93" t="n">
        <v>2027000</v>
      </c>
      <c r="I590" s="92" t="inlineStr">
        <is>
          <t>3월 업무추진 - (법인카드)</t>
        </is>
      </c>
      <c r="J590" s="92" t="inlineStr">
        <is>
          <t>V10010</t>
        </is>
      </c>
      <c r="K590" s="92" t="inlineStr">
        <is>
          <t>(법인카드)</t>
        </is>
      </c>
      <c r="M590" s="9">
        <f>IF($A590="","",VALUE($A590&amp;"")*12+VALUE($B590&amp;""))</f>
        <v/>
      </c>
      <c r="N590" s="64">
        <f>IF($A590="","",IFERROR(INDEX(부서매핑!$C$5:$C$504,MATCH($G590&amp;"",부서매핑!$A$5:$A$504,0)),"미매핑"))</f>
        <v/>
      </c>
      <c r="O590" s="9">
        <f>IF($A590="","",N590&amp;"|"&amp;$F590)</f>
        <v/>
      </c>
      <c r="P590" s="94">
        <f>IF($A590="",0,$H590*설정!$C$23)</f>
        <v/>
      </c>
      <c r="Q590" s="64">
        <f>IF($A590="","",IF(O590&lt;&gt;원인분석!$C$9,"",IF(AND(M590&gt;=원인분석!$C$10,M590&lt;=원인분석!$C$11),"당기",IF(AND(M590&gt;=원인분석!$C$12,M590&lt;=원인분석!$C$13),"비교",""))))</f>
        <v/>
      </c>
      <c r="R590" s="9">
        <f>IF(Q590="","",$K590&amp;"")</f>
        <v/>
      </c>
      <c r="S590" s="9">
        <f>IF(Q590="","",IF(MATCH(R590,$R$5:$R$100000,0)=ROW()-4,ROW(),""))</f>
        <v/>
      </c>
      <c r="T590" s="9">
        <f>IF(Q590="당기",ABS(P590)+ROW()/1000000000,"")</f>
        <v/>
      </c>
      <c r="U590" s="9">
        <f>IF(Q590="비교",ABS(P590)+ROW()/1000000000,"")</f>
        <v/>
      </c>
      <c r="V590" s="64">
        <f>IF($A590="","",IF(COUNTIF(변동분석!$E$7:$E$506,O590)&gt;0,"Y","N"))</f>
        <v/>
      </c>
      <c r="W590" s="64">
        <f>IF($A590="","",IFERROR(INDEX(계정매핑!$D$5:$D$504,MATCH($F590&amp;"",계정매핑!$A$5:$A$504,0)),"미매핑"))</f>
        <v/>
      </c>
      <c r="X590" s="9">
        <f>IF($A590="","",$F590&amp;"")</f>
        <v/>
      </c>
      <c r="Y590" s="94">
        <f>IF($A590="",0,IF(AE590="직접",IF(AF590="비귀속",$P590,0),$P590*(1-AG590)*IFERROR(INDEX(계정대체기준!$F$20:$F$49,MATCH($N590,계정대체기준!$A$20:$A$49,0)),1)))</f>
        <v/>
      </c>
      <c r="Z590" s="94">
        <f>IF($A590="",0,IF(AE590="직접",IF(AF590="신계약비",$P590,0),$P590*(1-AG590)*IFERROR(INDEX(계정대체기준!$C$20:$C$49,MATCH($N590,계정대체기준!$A$20:$A$49,0)),0)))</f>
        <v/>
      </c>
      <c r="AA590" s="94">
        <f>IF($A590="",0,IF(AE590="직접",IF(OR(AF590="유지비",AF590="손해조사비"),$P590,0),$P590*(1-AG590)*IFERROR(INDEX(계정대체기준!$D$20:$D$49,MATCH($N590,계정대체기준!$A$20:$A$49,0)),0)))</f>
        <v/>
      </c>
      <c r="AB590" s="94">
        <f>IF($A590="",0,IF(AE590="직접",IF(AF590="수금비",$P590,0),$P590*(1-AG590)*IFERROR(INDEX(계정대체기준!$E$20:$E$49,MATCH($N590,계정대체기준!$A$20:$A$49,0)),0)))</f>
        <v/>
      </c>
      <c r="AC590" s="9">
        <f>IF(AND($A590&lt;&gt;"",M590=설정!$C$20,Z590&gt;0),Z590+ROW()/1000000000,"")</f>
        <v/>
      </c>
      <c r="AD590" s="94">
        <f>IF($A590="",0,$P590*AG590)</f>
        <v/>
      </c>
      <c r="AE590" s="64">
        <f>IF($A590="","",IFERROR(INDEX(계정매핑!$E$5:$E$504,MATCH($F590&amp;"",계정매핑!$A$5:$A$504,0))&amp;"","공통비"))</f>
        <v/>
      </c>
      <c r="AF590" s="64">
        <f>IF($A590="","",IF(AE590="직접",IFERROR(INDEX(계정매핑!$F$5:$F$504,MATCH($F590&amp;"",계정매핑!$A$5:$A$504,0))&amp;"","비귀속"),""))</f>
        <v/>
      </c>
      <c r="AG590" s="96">
        <f>IF($A590="",0,IF(AND(AE590&lt;&gt;"직접",IFERROR(INDEX(계정매핑!$G$5:$G$504,MATCH($F590&amp;"",계정매핑!$A$5:$A$504,0))&amp;"","")="유지비",COUNTIF(계정대체기준!$A$6:$A$15,$N590)&gt;0),IFERROR(INDEX(계정대체기준!$E$6:$E$15,MATCH(VALUE($A590&amp;""),계정대체기준!$D$6:$D$15,0)),0),0))</f>
        <v/>
      </c>
      <c r="AH590" s="64">
        <f>IF($A590="","",IF(AD590=0,"",IF(OR(COUNTIF(계정대체기준!$A$77:$A$86,$N590)&gt;0,ISNUMBER(MATCH($X590,계정대체기준!$D$77:$D$86,0)),ISNUMBER(MATCH($F590,계정대체기준!$D$77:$D$86,0))),"Y","N")))</f>
        <v/>
      </c>
    </row>
    <row r="591">
      <c r="A591" s="92" t="n">
        <v>2025</v>
      </c>
      <c r="B591" s="92" t="n">
        <v>3</v>
      </c>
      <c r="C591" s="92" t="inlineStr">
        <is>
          <t>5100000587</t>
        </is>
      </c>
      <c r="D591" s="95" t="n">
        <v>45732</v>
      </c>
      <c r="E591" s="92" t="inlineStr">
        <is>
          <t>KR</t>
        </is>
      </c>
      <c r="F591" s="92" t="n">
        <v>62802000</v>
      </c>
      <c r="G591" s="92" t="n">
        <v>1301</v>
      </c>
      <c r="H591" s="93" t="n">
        <v>4666000</v>
      </c>
      <c r="I591" s="92" t="inlineStr">
        <is>
          <t>3월 위탁교육 - I교육원</t>
        </is>
      </c>
      <c r="J591" s="92" t="inlineStr">
        <is>
          <t>V10019</t>
        </is>
      </c>
      <c r="K591" s="92" t="inlineStr">
        <is>
          <t>I교육원</t>
        </is>
      </c>
      <c r="M591" s="9">
        <f>IF($A591="","",VALUE($A591&amp;"")*12+VALUE($B591&amp;""))</f>
        <v/>
      </c>
      <c r="N591" s="64">
        <f>IF($A591="","",IFERROR(INDEX(부서매핑!$C$5:$C$504,MATCH($G591&amp;"",부서매핑!$A$5:$A$504,0)),"미매핑"))</f>
        <v/>
      </c>
      <c r="O591" s="9">
        <f>IF($A591="","",N591&amp;"|"&amp;$F591)</f>
        <v/>
      </c>
      <c r="P591" s="94">
        <f>IF($A591="",0,$H591*설정!$C$23)</f>
        <v/>
      </c>
      <c r="Q591" s="64">
        <f>IF($A591="","",IF(O591&lt;&gt;원인분석!$C$9,"",IF(AND(M591&gt;=원인분석!$C$10,M591&lt;=원인분석!$C$11),"당기",IF(AND(M591&gt;=원인분석!$C$12,M591&lt;=원인분석!$C$13),"비교",""))))</f>
        <v/>
      </c>
      <c r="R591" s="9">
        <f>IF(Q591="","",$K591&amp;"")</f>
        <v/>
      </c>
      <c r="S591" s="9">
        <f>IF(Q591="","",IF(MATCH(R591,$R$5:$R$100000,0)=ROW()-4,ROW(),""))</f>
        <v/>
      </c>
      <c r="T591" s="9">
        <f>IF(Q591="당기",ABS(P591)+ROW()/1000000000,"")</f>
        <v/>
      </c>
      <c r="U591" s="9">
        <f>IF(Q591="비교",ABS(P591)+ROW()/1000000000,"")</f>
        <v/>
      </c>
      <c r="V591" s="64">
        <f>IF($A591="","",IF(COUNTIF(변동분석!$E$7:$E$506,O591)&gt;0,"Y","N"))</f>
        <v/>
      </c>
      <c r="W591" s="64">
        <f>IF($A591="","",IFERROR(INDEX(계정매핑!$D$5:$D$504,MATCH($F591&amp;"",계정매핑!$A$5:$A$504,0)),"미매핑"))</f>
        <v/>
      </c>
      <c r="X591" s="9">
        <f>IF($A591="","",$F591&amp;"")</f>
        <v/>
      </c>
      <c r="Y591" s="94">
        <f>IF($A591="",0,IF(AE591="직접",IF(AF591="비귀속",$P591,0),$P591*(1-AG591)*IFERROR(INDEX(계정대체기준!$F$20:$F$49,MATCH($N591,계정대체기준!$A$20:$A$49,0)),1)))</f>
        <v/>
      </c>
      <c r="Z591" s="94">
        <f>IF($A591="",0,IF(AE591="직접",IF(AF591="신계약비",$P591,0),$P591*(1-AG591)*IFERROR(INDEX(계정대체기준!$C$20:$C$49,MATCH($N591,계정대체기준!$A$20:$A$49,0)),0)))</f>
        <v/>
      </c>
      <c r="AA591" s="94">
        <f>IF($A591="",0,IF(AE591="직접",IF(OR(AF591="유지비",AF591="손해조사비"),$P591,0),$P591*(1-AG591)*IFERROR(INDEX(계정대체기준!$D$20:$D$49,MATCH($N591,계정대체기준!$A$20:$A$49,0)),0)))</f>
        <v/>
      </c>
      <c r="AB591" s="94">
        <f>IF($A591="",0,IF(AE591="직접",IF(AF591="수금비",$P591,0),$P591*(1-AG591)*IFERROR(INDEX(계정대체기준!$E$20:$E$49,MATCH($N591,계정대체기준!$A$20:$A$49,0)),0)))</f>
        <v/>
      </c>
      <c r="AC591" s="9">
        <f>IF(AND($A591&lt;&gt;"",M591=설정!$C$20,Z591&gt;0),Z591+ROW()/1000000000,"")</f>
        <v/>
      </c>
      <c r="AD591" s="94">
        <f>IF($A591="",0,$P591*AG591)</f>
        <v/>
      </c>
      <c r="AE591" s="64">
        <f>IF($A591="","",IFERROR(INDEX(계정매핑!$E$5:$E$504,MATCH($F591&amp;"",계정매핑!$A$5:$A$504,0))&amp;"","공통비"))</f>
        <v/>
      </c>
      <c r="AF591" s="64">
        <f>IF($A591="","",IF(AE591="직접",IFERROR(INDEX(계정매핑!$F$5:$F$504,MATCH($F591&amp;"",계정매핑!$A$5:$A$504,0))&amp;"","비귀속"),""))</f>
        <v/>
      </c>
      <c r="AG591" s="96">
        <f>IF($A591="",0,IF(AND(AE591&lt;&gt;"직접",IFERROR(INDEX(계정매핑!$G$5:$G$504,MATCH($F591&amp;"",계정매핑!$A$5:$A$504,0))&amp;"","")="유지비",COUNTIF(계정대체기준!$A$6:$A$15,$N591)&gt;0),IFERROR(INDEX(계정대체기준!$E$6:$E$15,MATCH(VALUE($A591&amp;""),계정대체기준!$D$6:$D$15,0)),0),0))</f>
        <v/>
      </c>
      <c r="AH591" s="64">
        <f>IF($A591="","",IF(AD591=0,"",IF(OR(COUNTIF(계정대체기준!$A$77:$A$86,$N591)&gt;0,ISNUMBER(MATCH($X591,계정대체기준!$D$77:$D$86,0)),ISNUMBER(MATCH($F591,계정대체기준!$D$77:$D$86,0))),"Y","N")))</f>
        <v/>
      </c>
    </row>
    <row r="592">
      <c r="A592" s="92" t="n">
        <v>2025</v>
      </c>
      <c r="B592" s="92" t="n">
        <v>3</v>
      </c>
      <c r="C592" s="92" t="inlineStr">
        <is>
          <t>5100000588</t>
        </is>
      </c>
      <c r="D592" s="95" t="n">
        <v>45732</v>
      </c>
      <c r="E592" s="92" t="inlineStr">
        <is>
          <t>KR</t>
        </is>
      </c>
      <c r="F592" s="92" t="n">
        <v>63501000</v>
      </c>
      <c r="G592" s="92" t="n">
        <v>1902</v>
      </c>
      <c r="H592" s="93" t="n">
        <v>742081000</v>
      </c>
      <c r="I592" s="92" t="inlineStr">
        <is>
          <t>3월 모집수수료 - (전속설계사)</t>
        </is>
      </c>
      <c r="J592" s="92" t="inlineStr">
        <is>
          <t>V10021</t>
        </is>
      </c>
      <c r="K592" s="92" t="inlineStr">
        <is>
          <t>(전속설계사)</t>
        </is>
      </c>
      <c r="M592" s="9">
        <f>IF($A592="","",VALUE($A592&amp;"")*12+VALUE($B592&amp;""))</f>
        <v/>
      </c>
      <c r="N592" s="64">
        <f>IF($A592="","",IFERROR(INDEX(부서매핑!$C$5:$C$504,MATCH($G592&amp;"",부서매핑!$A$5:$A$504,0)),"미매핑"))</f>
        <v/>
      </c>
      <c r="O592" s="9">
        <f>IF($A592="","",N592&amp;"|"&amp;$F592)</f>
        <v/>
      </c>
      <c r="P592" s="94">
        <f>IF($A592="",0,$H592*설정!$C$23)</f>
        <v/>
      </c>
      <c r="Q592" s="64">
        <f>IF($A592="","",IF(O592&lt;&gt;원인분석!$C$9,"",IF(AND(M592&gt;=원인분석!$C$10,M592&lt;=원인분석!$C$11),"당기",IF(AND(M592&gt;=원인분석!$C$12,M592&lt;=원인분석!$C$13),"비교",""))))</f>
        <v/>
      </c>
      <c r="R592" s="9">
        <f>IF(Q592="","",$K592&amp;"")</f>
        <v/>
      </c>
      <c r="S592" s="9">
        <f>IF(Q592="","",IF(MATCH(R592,$R$5:$R$100000,0)=ROW()-4,ROW(),""))</f>
        <v/>
      </c>
      <c r="T592" s="9">
        <f>IF(Q592="당기",ABS(P592)+ROW()/1000000000,"")</f>
        <v/>
      </c>
      <c r="U592" s="9">
        <f>IF(Q592="비교",ABS(P592)+ROW()/1000000000,"")</f>
        <v/>
      </c>
      <c r="V592" s="64">
        <f>IF($A592="","",IF(COUNTIF(변동분석!$E$7:$E$506,O592)&gt;0,"Y","N"))</f>
        <v/>
      </c>
      <c r="W592" s="64">
        <f>IF($A592="","",IFERROR(INDEX(계정매핑!$D$5:$D$504,MATCH($F592&amp;"",계정매핑!$A$5:$A$504,0)),"미매핑"))</f>
        <v/>
      </c>
      <c r="X592" s="9">
        <f>IF($A592="","",$F592&amp;"")</f>
        <v/>
      </c>
      <c r="Y592" s="94">
        <f>IF($A592="",0,IF(AE592="직접",IF(AF592="비귀속",$P592,0),$P592*(1-AG592)*IFERROR(INDEX(계정대체기준!$F$20:$F$49,MATCH($N592,계정대체기준!$A$20:$A$49,0)),1)))</f>
        <v/>
      </c>
      <c r="Z592" s="94">
        <f>IF($A592="",0,IF(AE592="직접",IF(AF592="신계약비",$P592,0),$P592*(1-AG592)*IFERROR(INDEX(계정대체기준!$C$20:$C$49,MATCH($N592,계정대체기준!$A$20:$A$49,0)),0)))</f>
        <v/>
      </c>
      <c r="AA592" s="94">
        <f>IF($A592="",0,IF(AE592="직접",IF(OR(AF592="유지비",AF592="손해조사비"),$P592,0),$P592*(1-AG592)*IFERROR(INDEX(계정대체기준!$D$20:$D$49,MATCH($N592,계정대체기준!$A$20:$A$49,0)),0)))</f>
        <v/>
      </c>
      <c r="AB592" s="94">
        <f>IF($A592="",0,IF(AE592="직접",IF(AF592="수금비",$P592,0),$P592*(1-AG592)*IFERROR(INDEX(계정대체기준!$E$20:$E$49,MATCH($N592,계정대체기준!$A$20:$A$49,0)),0)))</f>
        <v/>
      </c>
      <c r="AC592" s="9">
        <f>IF(AND($A592&lt;&gt;"",M592=설정!$C$20,Z592&gt;0),Z592+ROW()/1000000000,"")</f>
        <v/>
      </c>
      <c r="AD592" s="94">
        <f>IF($A592="",0,$P592*AG592)</f>
        <v/>
      </c>
      <c r="AE592" s="64">
        <f>IF($A592="","",IFERROR(INDEX(계정매핑!$E$5:$E$504,MATCH($F592&amp;"",계정매핑!$A$5:$A$504,0))&amp;"","공통비"))</f>
        <v/>
      </c>
      <c r="AF592" s="64">
        <f>IF($A592="","",IF(AE592="직접",IFERROR(INDEX(계정매핑!$F$5:$F$504,MATCH($F592&amp;"",계정매핑!$A$5:$A$504,0))&amp;"","비귀속"),""))</f>
        <v/>
      </c>
      <c r="AG592" s="96">
        <f>IF($A592="",0,IF(AND(AE592&lt;&gt;"직접",IFERROR(INDEX(계정매핑!$G$5:$G$504,MATCH($F592&amp;"",계정매핑!$A$5:$A$504,0))&amp;"","")="유지비",COUNTIF(계정대체기준!$A$6:$A$15,$N592)&gt;0),IFERROR(INDEX(계정대체기준!$E$6:$E$15,MATCH(VALUE($A592&amp;""),계정대체기준!$D$6:$D$15,0)),0),0))</f>
        <v/>
      </c>
      <c r="AH592" s="64">
        <f>IF($A592="","",IF(AD592=0,"",IF(OR(COUNTIF(계정대체기준!$A$77:$A$86,$N592)&gt;0,ISNUMBER(MATCH($X592,계정대체기준!$D$77:$D$86,0)),ISNUMBER(MATCH($F592,계정대체기준!$D$77:$D$86,0))),"Y","N")))</f>
        <v/>
      </c>
    </row>
    <row r="593">
      <c r="A593" s="92" t="n">
        <v>2025</v>
      </c>
      <c r="B593" s="92" t="n">
        <v>3</v>
      </c>
      <c r="C593" s="92" t="inlineStr">
        <is>
          <t>5100000589</t>
        </is>
      </c>
      <c r="D593" s="95" t="n">
        <v>45733</v>
      </c>
      <c r="E593" s="92" t="inlineStr">
        <is>
          <t>KR</t>
        </is>
      </c>
      <c r="F593" s="92" t="n">
        <v>62101000</v>
      </c>
      <c r="G593" s="92" t="n">
        <v>1701</v>
      </c>
      <c r="H593" s="93" t="n">
        <v>362000</v>
      </c>
      <c r="I593" s="92" t="inlineStr">
        <is>
          <t>3월 국내출장 - (법인카드)</t>
        </is>
      </c>
      <c r="J593" s="92" t="inlineStr">
        <is>
          <t>V10010</t>
        </is>
      </c>
      <c r="K593" s="92" t="inlineStr">
        <is>
          <t>(법인카드)</t>
        </is>
      </c>
      <c r="M593" s="9">
        <f>IF($A593="","",VALUE($A593&amp;"")*12+VALUE($B593&amp;""))</f>
        <v/>
      </c>
      <c r="N593" s="64">
        <f>IF($A593="","",IFERROR(INDEX(부서매핑!$C$5:$C$504,MATCH($G593&amp;"",부서매핑!$A$5:$A$504,0)),"미매핑"))</f>
        <v/>
      </c>
      <c r="O593" s="9">
        <f>IF($A593="","",N593&amp;"|"&amp;$F593)</f>
        <v/>
      </c>
      <c r="P593" s="94">
        <f>IF($A593="",0,$H593*설정!$C$23)</f>
        <v/>
      </c>
      <c r="Q593" s="64">
        <f>IF($A593="","",IF(O593&lt;&gt;원인분석!$C$9,"",IF(AND(M593&gt;=원인분석!$C$10,M593&lt;=원인분석!$C$11),"당기",IF(AND(M593&gt;=원인분석!$C$12,M593&lt;=원인분석!$C$13),"비교",""))))</f>
        <v/>
      </c>
      <c r="R593" s="9">
        <f>IF(Q593="","",$K593&amp;"")</f>
        <v/>
      </c>
      <c r="S593" s="9">
        <f>IF(Q593="","",IF(MATCH(R593,$R$5:$R$100000,0)=ROW()-4,ROW(),""))</f>
        <v/>
      </c>
      <c r="T593" s="9">
        <f>IF(Q593="당기",ABS(P593)+ROW()/1000000000,"")</f>
        <v/>
      </c>
      <c r="U593" s="9">
        <f>IF(Q593="비교",ABS(P593)+ROW()/1000000000,"")</f>
        <v/>
      </c>
      <c r="V593" s="64">
        <f>IF($A593="","",IF(COUNTIF(변동분석!$E$7:$E$506,O593)&gt;0,"Y","N"))</f>
        <v/>
      </c>
      <c r="W593" s="64">
        <f>IF($A593="","",IFERROR(INDEX(계정매핑!$D$5:$D$504,MATCH($F593&amp;"",계정매핑!$A$5:$A$504,0)),"미매핑"))</f>
        <v/>
      </c>
      <c r="X593" s="9">
        <f>IF($A593="","",$F593&amp;"")</f>
        <v/>
      </c>
      <c r="Y593" s="94">
        <f>IF($A593="",0,IF(AE593="직접",IF(AF593="비귀속",$P593,0),$P593*(1-AG593)*IFERROR(INDEX(계정대체기준!$F$20:$F$49,MATCH($N593,계정대체기준!$A$20:$A$49,0)),1)))</f>
        <v/>
      </c>
      <c r="Z593" s="94">
        <f>IF($A593="",0,IF(AE593="직접",IF(AF593="신계약비",$P593,0),$P593*(1-AG593)*IFERROR(INDEX(계정대체기준!$C$20:$C$49,MATCH($N593,계정대체기준!$A$20:$A$49,0)),0)))</f>
        <v/>
      </c>
      <c r="AA593" s="94">
        <f>IF($A593="",0,IF(AE593="직접",IF(OR(AF593="유지비",AF593="손해조사비"),$P593,0),$P593*(1-AG593)*IFERROR(INDEX(계정대체기준!$D$20:$D$49,MATCH($N593,계정대체기준!$A$20:$A$49,0)),0)))</f>
        <v/>
      </c>
      <c r="AB593" s="94">
        <f>IF($A593="",0,IF(AE593="직접",IF(AF593="수금비",$P593,0),$P593*(1-AG593)*IFERROR(INDEX(계정대체기준!$E$20:$E$49,MATCH($N593,계정대체기준!$A$20:$A$49,0)),0)))</f>
        <v/>
      </c>
      <c r="AC593" s="9">
        <f>IF(AND($A593&lt;&gt;"",M593=설정!$C$20,Z593&gt;0),Z593+ROW()/1000000000,"")</f>
        <v/>
      </c>
      <c r="AD593" s="94">
        <f>IF($A593="",0,$P593*AG593)</f>
        <v/>
      </c>
      <c r="AE593" s="64">
        <f>IF($A593="","",IFERROR(INDEX(계정매핑!$E$5:$E$504,MATCH($F593&amp;"",계정매핑!$A$5:$A$504,0))&amp;"","공통비"))</f>
        <v/>
      </c>
      <c r="AF593" s="64">
        <f>IF($A593="","",IF(AE593="직접",IFERROR(INDEX(계정매핑!$F$5:$F$504,MATCH($F593&amp;"",계정매핑!$A$5:$A$504,0))&amp;"","비귀속"),""))</f>
        <v/>
      </c>
      <c r="AG593" s="96">
        <f>IF($A593="",0,IF(AND(AE593&lt;&gt;"직접",IFERROR(INDEX(계정매핑!$G$5:$G$504,MATCH($F593&amp;"",계정매핑!$A$5:$A$504,0))&amp;"","")="유지비",COUNTIF(계정대체기준!$A$6:$A$15,$N593)&gt;0),IFERROR(INDEX(계정대체기준!$E$6:$E$15,MATCH(VALUE($A593&amp;""),계정대체기준!$D$6:$D$15,0)),0),0))</f>
        <v/>
      </c>
      <c r="AH593" s="64">
        <f>IF($A593="","",IF(AD593=0,"",IF(OR(COUNTIF(계정대체기준!$A$77:$A$86,$N593)&gt;0,ISNUMBER(MATCH($X593,계정대체기준!$D$77:$D$86,0)),ISNUMBER(MATCH($F593,계정대체기준!$D$77:$D$86,0))),"Y","N")))</f>
        <v/>
      </c>
    </row>
    <row r="594">
      <c r="A594" s="92" t="n">
        <v>2025</v>
      </c>
      <c r="B594" s="92" t="n">
        <v>3</v>
      </c>
      <c r="C594" s="92" t="inlineStr">
        <is>
          <t>5100000590</t>
        </is>
      </c>
      <c r="D594" s="95" t="n">
        <v>45733</v>
      </c>
      <c r="E594" s="92" t="inlineStr">
        <is>
          <t>KR</t>
        </is>
      </c>
      <c r="F594" s="92" t="n">
        <v>62501000</v>
      </c>
      <c r="G594" s="92" t="n">
        <v>1601</v>
      </c>
      <c r="H594" s="93" t="n">
        <v>341000</v>
      </c>
      <c r="I594" s="92" t="inlineStr">
        <is>
          <t>3월 회의 다과 - (법인카드)</t>
        </is>
      </c>
      <c r="J594" s="92" t="inlineStr">
        <is>
          <t>V10010</t>
        </is>
      </c>
      <c r="K594" s="92" t="inlineStr">
        <is>
          <t>(법인카드)</t>
        </is>
      </c>
      <c r="M594" s="9">
        <f>IF($A594="","",VALUE($A594&amp;"")*12+VALUE($B594&amp;""))</f>
        <v/>
      </c>
      <c r="N594" s="64">
        <f>IF($A594="","",IFERROR(INDEX(부서매핑!$C$5:$C$504,MATCH($G594&amp;"",부서매핑!$A$5:$A$504,0)),"미매핑"))</f>
        <v/>
      </c>
      <c r="O594" s="9">
        <f>IF($A594="","",N594&amp;"|"&amp;$F594)</f>
        <v/>
      </c>
      <c r="P594" s="94">
        <f>IF($A594="",0,$H594*설정!$C$23)</f>
        <v/>
      </c>
      <c r="Q594" s="64">
        <f>IF($A594="","",IF(O594&lt;&gt;원인분석!$C$9,"",IF(AND(M594&gt;=원인분석!$C$10,M594&lt;=원인분석!$C$11),"당기",IF(AND(M594&gt;=원인분석!$C$12,M594&lt;=원인분석!$C$13),"비교",""))))</f>
        <v/>
      </c>
      <c r="R594" s="9">
        <f>IF(Q594="","",$K594&amp;"")</f>
        <v/>
      </c>
      <c r="S594" s="9">
        <f>IF(Q594="","",IF(MATCH(R594,$R$5:$R$100000,0)=ROW()-4,ROW(),""))</f>
        <v/>
      </c>
      <c r="T594" s="9">
        <f>IF(Q594="당기",ABS(P594)+ROW()/1000000000,"")</f>
        <v/>
      </c>
      <c r="U594" s="9">
        <f>IF(Q594="비교",ABS(P594)+ROW()/1000000000,"")</f>
        <v/>
      </c>
      <c r="V594" s="64">
        <f>IF($A594="","",IF(COUNTIF(변동분석!$E$7:$E$506,O594)&gt;0,"Y","N"))</f>
        <v/>
      </c>
      <c r="W594" s="64">
        <f>IF($A594="","",IFERROR(INDEX(계정매핑!$D$5:$D$504,MATCH($F594&amp;"",계정매핑!$A$5:$A$504,0)),"미매핑"))</f>
        <v/>
      </c>
      <c r="X594" s="9">
        <f>IF($A594="","",$F594&amp;"")</f>
        <v/>
      </c>
      <c r="Y594" s="94">
        <f>IF($A594="",0,IF(AE594="직접",IF(AF594="비귀속",$P594,0),$P594*(1-AG594)*IFERROR(INDEX(계정대체기준!$F$20:$F$49,MATCH($N594,계정대체기준!$A$20:$A$49,0)),1)))</f>
        <v/>
      </c>
      <c r="Z594" s="94">
        <f>IF($A594="",0,IF(AE594="직접",IF(AF594="신계약비",$P594,0),$P594*(1-AG594)*IFERROR(INDEX(계정대체기준!$C$20:$C$49,MATCH($N594,계정대체기준!$A$20:$A$49,0)),0)))</f>
        <v/>
      </c>
      <c r="AA594" s="94">
        <f>IF($A594="",0,IF(AE594="직접",IF(OR(AF594="유지비",AF594="손해조사비"),$P594,0),$P594*(1-AG594)*IFERROR(INDEX(계정대체기준!$D$20:$D$49,MATCH($N594,계정대체기준!$A$20:$A$49,0)),0)))</f>
        <v/>
      </c>
      <c r="AB594" s="94">
        <f>IF($A594="",0,IF(AE594="직접",IF(AF594="수금비",$P594,0),$P594*(1-AG594)*IFERROR(INDEX(계정대체기준!$E$20:$E$49,MATCH($N594,계정대체기준!$A$20:$A$49,0)),0)))</f>
        <v/>
      </c>
      <c r="AC594" s="9">
        <f>IF(AND($A594&lt;&gt;"",M594=설정!$C$20,Z594&gt;0),Z594+ROW()/1000000000,"")</f>
        <v/>
      </c>
      <c r="AD594" s="94">
        <f>IF($A594="",0,$P594*AG594)</f>
        <v/>
      </c>
      <c r="AE594" s="64">
        <f>IF($A594="","",IFERROR(INDEX(계정매핑!$E$5:$E$504,MATCH($F594&amp;"",계정매핑!$A$5:$A$504,0))&amp;"","공통비"))</f>
        <v/>
      </c>
      <c r="AF594" s="64">
        <f>IF($A594="","",IF(AE594="직접",IFERROR(INDEX(계정매핑!$F$5:$F$504,MATCH($F594&amp;"",계정매핑!$A$5:$A$504,0))&amp;"","비귀속"),""))</f>
        <v/>
      </c>
      <c r="AG594" s="96">
        <f>IF($A594="",0,IF(AND(AE594&lt;&gt;"직접",IFERROR(INDEX(계정매핑!$G$5:$G$504,MATCH($F594&amp;"",계정매핑!$A$5:$A$504,0))&amp;"","")="유지비",COUNTIF(계정대체기준!$A$6:$A$15,$N594)&gt;0),IFERROR(INDEX(계정대체기준!$E$6:$E$15,MATCH(VALUE($A594&amp;""),계정대체기준!$D$6:$D$15,0)),0),0))</f>
        <v/>
      </c>
      <c r="AH594" s="64">
        <f>IF($A594="","",IF(AD594=0,"",IF(OR(COUNTIF(계정대체기준!$A$77:$A$86,$N594)&gt;0,ISNUMBER(MATCH($X594,계정대체기준!$D$77:$D$86,0)),ISNUMBER(MATCH($F594,계정대체기준!$D$77:$D$86,0))),"Y","N")))</f>
        <v/>
      </c>
    </row>
    <row r="595">
      <c r="A595" s="92" t="n">
        <v>2025</v>
      </c>
      <c r="B595" s="92" t="n">
        <v>3</v>
      </c>
      <c r="C595" s="92" t="inlineStr">
        <is>
          <t>5100000591</t>
        </is>
      </c>
      <c r="D595" s="95" t="n">
        <v>45733</v>
      </c>
      <c r="E595" s="92" t="inlineStr">
        <is>
          <t>KR</t>
        </is>
      </c>
      <c r="F595" s="92" t="n">
        <v>62501000</v>
      </c>
      <c r="G595" s="92" t="n">
        <v>1801</v>
      </c>
      <c r="H595" s="93" t="n">
        <v>99000</v>
      </c>
      <c r="I595" s="92" t="inlineStr">
        <is>
          <t>3월 회의 다과 - (법인카드)</t>
        </is>
      </c>
      <c r="J595" s="92" t="inlineStr">
        <is>
          <t>V10010</t>
        </is>
      </c>
      <c r="K595" s="92" t="inlineStr">
        <is>
          <t>(법인카드)</t>
        </is>
      </c>
      <c r="M595" s="9">
        <f>IF($A595="","",VALUE($A595&amp;"")*12+VALUE($B595&amp;""))</f>
        <v/>
      </c>
      <c r="N595" s="64">
        <f>IF($A595="","",IFERROR(INDEX(부서매핑!$C$5:$C$504,MATCH($G595&amp;"",부서매핑!$A$5:$A$504,0)),"미매핑"))</f>
        <v/>
      </c>
      <c r="O595" s="9">
        <f>IF($A595="","",N595&amp;"|"&amp;$F595)</f>
        <v/>
      </c>
      <c r="P595" s="94">
        <f>IF($A595="",0,$H595*설정!$C$23)</f>
        <v/>
      </c>
      <c r="Q595" s="64">
        <f>IF($A595="","",IF(O595&lt;&gt;원인분석!$C$9,"",IF(AND(M595&gt;=원인분석!$C$10,M595&lt;=원인분석!$C$11),"당기",IF(AND(M595&gt;=원인분석!$C$12,M595&lt;=원인분석!$C$13),"비교",""))))</f>
        <v/>
      </c>
      <c r="R595" s="9">
        <f>IF(Q595="","",$K595&amp;"")</f>
        <v/>
      </c>
      <c r="S595" s="9">
        <f>IF(Q595="","",IF(MATCH(R595,$R$5:$R$100000,0)=ROW()-4,ROW(),""))</f>
        <v/>
      </c>
      <c r="T595" s="9">
        <f>IF(Q595="당기",ABS(P595)+ROW()/1000000000,"")</f>
        <v/>
      </c>
      <c r="U595" s="9">
        <f>IF(Q595="비교",ABS(P595)+ROW()/1000000000,"")</f>
        <v/>
      </c>
      <c r="V595" s="64">
        <f>IF($A595="","",IF(COUNTIF(변동분석!$E$7:$E$506,O595)&gt;0,"Y","N"))</f>
        <v/>
      </c>
      <c r="W595" s="64">
        <f>IF($A595="","",IFERROR(INDEX(계정매핑!$D$5:$D$504,MATCH($F595&amp;"",계정매핑!$A$5:$A$504,0)),"미매핑"))</f>
        <v/>
      </c>
      <c r="X595" s="9">
        <f>IF($A595="","",$F595&amp;"")</f>
        <v/>
      </c>
      <c r="Y595" s="94">
        <f>IF($A595="",0,IF(AE595="직접",IF(AF595="비귀속",$P595,0),$P595*(1-AG595)*IFERROR(INDEX(계정대체기준!$F$20:$F$49,MATCH($N595,계정대체기준!$A$20:$A$49,0)),1)))</f>
        <v/>
      </c>
      <c r="Z595" s="94">
        <f>IF($A595="",0,IF(AE595="직접",IF(AF595="신계약비",$P595,0),$P595*(1-AG595)*IFERROR(INDEX(계정대체기준!$C$20:$C$49,MATCH($N595,계정대체기준!$A$20:$A$49,0)),0)))</f>
        <v/>
      </c>
      <c r="AA595" s="94">
        <f>IF($A595="",0,IF(AE595="직접",IF(OR(AF595="유지비",AF595="손해조사비"),$P595,0),$P595*(1-AG595)*IFERROR(INDEX(계정대체기준!$D$20:$D$49,MATCH($N595,계정대체기준!$A$20:$A$49,0)),0)))</f>
        <v/>
      </c>
      <c r="AB595" s="94">
        <f>IF($A595="",0,IF(AE595="직접",IF(AF595="수금비",$P595,0),$P595*(1-AG595)*IFERROR(INDEX(계정대체기준!$E$20:$E$49,MATCH($N595,계정대체기준!$A$20:$A$49,0)),0)))</f>
        <v/>
      </c>
      <c r="AC595" s="9">
        <f>IF(AND($A595&lt;&gt;"",M595=설정!$C$20,Z595&gt;0),Z595+ROW()/1000000000,"")</f>
        <v/>
      </c>
      <c r="AD595" s="94">
        <f>IF($A595="",0,$P595*AG595)</f>
        <v/>
      </c>
      <c r="AE595" s="64">
        <f>IF($A595="","",IFERROR(INDEX(계정매핑!$E$5:$E$504,MATCH($F595&amp;"",계정매핑!$A$5:$A$504,0))&amp;"","공통비"))</f>
        <v/>
      </c>
      <c r="AF595" s="64">
        <f>IF($A595="","",IF(AE595="직접",IFERROR(INDEX(계정매핑!$F$5:$F$504,MATCH($F595&amp;"",계정매핑!$A$5:$A$504,0))&amp;"","비귀속"),""))</f>
        <v/>
      </c>
      <c r="AG595" s="96">
        <f>IF($A595="",0,IF(AND(AE595&lt;&gt;"직접",IFERROR(INDEX(계정매핑!$G$5:$G$504,MATCH($F595&amp;"",계정매핑!$A$5:$A$504,0))&amp;"","")="유지비",COUNTIF(계정대체기준!$A$6:$A$15,$N595)&gt;0),IFERROR(INDEX(계정대체기준!$E$6:$E$15,MATCH(VALUE($A595&amp;""),계정대체기준!$D$6:$D$15,0)),0),0))</f>
        <v/>
      </c>
      <c r="AH595" s="64">
        <f>IF($A595="","",IF(AD595=0,"",IF(OR(COUNTIF(계정대체기준!$A$77:$A$86,$N595)&gt;0,ISNUMBER(MATCH($X595,계정대체기준!$D$77:$D$86,0)),ISNUMBER(MATCH($F595,계정대체기준!$D$77:$D$86,0))),"Y","N")))</f>
        <v/>
      </c>
    </row>
    <row r="596">
      <c r="A596" s="92" t="n">
        <v>2025</v>
      </c>
      <c r="B596" s="92" t="n">
        <v>3</v>
      </c>
      <c r="C596" s="92" t="inlineStr">
        <is>
          <t>5100000592</t>
        </is>
      </c>
      <c r="D596" s="95" t="n">
        <v>45733</v>
      </c>
      <c r="E596" s="92" t="inlineStr">
        <is>
          <t>KR</t>
        </is>
      </c>
      <c r="F596" s="92" t="n">
        <v>62902000</v>
      </c>
      <c r="G596" s="92" t="n">
        <v>1401</v>
      </c>
      <c r="H596" s="93" t="n">
        <v>2049000</v>
      </c>
      <c r="I596" s="92" t="inlineStr">
        <is>
          <t>3월 업무 위탁 수수료 - X서비스</t>
        </is>
      </c>
      <c r="J596" s="92" t="inlineStr">
        <is>
          <t>V10020</t>
        </is>
      </c>
      <c r="K596" s="92" t="inlineStr">
        <is>
          <t>X서비스</t>
        </is>
      </c>
      <c r="M596" s="9">
        <f>IF($A596="","",VALUE($A596&amp;"")*12+VALUE($B596&amp;""))</f>
        <v/>
      </c>
      <c r="N596" s="64">
        <f>IF($A596="","",IFERROR(INDEX(부서매핑!$C$5:$C$504,MATCH($G596&amp;"",부서매핑!$A$5:$A$504,0)),"미매핑"))</f>
        <v/>
      </c>
      <c r="O596" s="9">
        <f>IF($A596="","",N596&amp;"|"&amp;$F596)</f>
        <v/>
      </c>
      <c r="P596" s="94">
        <f>IF($A596="",0,$H596*설정!$C$23)</f>
        <v/>
      </c>
      <c r="Q596" s="64">
        <f>IF($A596="","",IF(O596&lt;&gt;원인분석!$C$9,"",IF(AND(M596&gt;=원인분석!$C$10,M596&lt;=원인분석!$C$11),"당기",IF(AND(M596&gt;=원인분석!$C$12,M596&lt;=원인분석!$C$13),"비교",""))))</f>
        <v/>
      </c>
      <c r="R596" s="9">
        <f>IF(Q596="","",$K596&amp;"")</f>
        <v/>
      </c>
      <c r="S596" s="9">
        <f>IF(Q596="","",IF(MATCH(R596,$R$5:$R$100000,0)=ROW()-4,ROW(),""))</f>
        <v/>
      </c>
      <c r="T596" s="9">
        <f>IF(Q596="당기",ABS(P596)+ROW()/1000000000,"")</f>
        <v/>
      </c>
      <c r="U596" s="9">
        <f>IF(Q596="비교",ABS(P596)+ROW()/1000000000,"")</f>
        <v/>
      </c>
      <c r="V596" s="64">
        <f>IF($A596="","",IF(COUNTIF(변동분석!$E$7:$E$506,O596)&gt;0,"Y","N"))</f>
        <v/>
      </c>
      <c r="W596" s="64">
        <f>IF($A596="","",IFERROR(INDEX(계정매핑!$D$5:$D$504,MATCH($F596&amp;"",계정매핑!$A$5:$A$504,0)),"미매핑"))</f>
        <v/>
      </c>
      <c r="X596" s="9">
        <f>IF($A596="","",$F596&amp;"")</f>
        <v/>
      </c>
      <c r="Y596" s="94">
        <f>IF($A596="",0,IF(AE596="직접",IF(AF596="비귀속",$P596,0),$P596*(1-AG596)*IFERROR(INDEX(계정대체기준!$F$20:$F$49,MATCH($N596,계정대체기준!$A$20:$A$49,0)),1)))</f>
        <v/>
      </c>
      <c r="Z596" s="94">
        <f>IF($A596="",0,IF(AE596="직접",IF(AF596="신계약비",$P596,0),$P596*(1-AG596)*IFERROR(INDEX(계정대체기준!$C$20:$C$49,MATCH($N596,계정대체기준!$A$20:$A$49,0)),0)))</f>
        <v/>
      </c>
      <c r="AA596" s="94">
        <f>IF($A596="",0,IF(AE596="직접",IF(OR(AF596="유지비",AF596="손해조사비"),$P596,0),$P596*(1-AG596)*IFERROR(INDEX(계정대체기준!$D$20:$D$49,MATCH($N596,계정대체기준!$A$20:$A$49,0)),0)))</f>
        <v/>
      </c>
      <c r="AB596" s="94">
        <f>IF($A596="",0,IF(AE596="직접",IF(AF596="수금비",$P596,0),$P596*(1-AG596)*IFERROR(INDEX(계정대체기준!$E$20:$E$49,MATCH($N596,계정대체기준!$A$20:$A$49,0)),0)))</f>
        <v/>
      </c>
      <c r="AC596" s="9">
        <f>IF(AND($A596&lt;&gt;"",M596=설정!$C$20,Z596&gt;0),Z596+ROW()/1000000000,"")</f>
        <v/>
      </c>
      <c r="AD596" s="94">
        <f>IF($A596="",0,$P596*AG596)</f>
        <v/>
      </c>
      <c r="AE596" s="64">
        <f>IF($A596="","",IFERROR(INDEX(계정매핑!$E$5:$E$504,MATCH($F596&amp;"",계정매핑!$A$5:$A$504,0))&amp;"","공통비"))</f>
        <v/>
      </c>
      <c r="AF596" s="64">
        <f>IF($A596="","",IF(AE596="직접",IFERROR(INDEX(계정매핑!$F$5:$F$504,MATCH($F596&amp;"",계정매핑!$A$5:$A$504,0))&amp;"","비귀속"),""))</f>
        <v/>
      </c>
      <c r="AG596" s="96">
        <f>IF($A596="",0,IF(AND(AE596&lt;&gt;"직접",IFERROR(INDEX(계정매핑!$G$5:$G$504,MATCH($F596&amp;"",계정매핑!$A$5:$A$504,0))&amp;"","")="유지비",COUNTIF(계정대체기준!$A$6:$A$15,$N596)&gt;0),IFERROR(INDEX(계정대체기준!$E$6:$E$15,MATCH(VALUE($A596&amp;""),계정대체기준!$D$6:$D$15,0)),0),0))</f>
        <v/>
      </c>
      <c r="AH596" s="64">
        <f>IF($A596="","",IF(AD596=0,"",IF(OR(COUNTIF(계정대체기준!$A$77:$A$86,$N596)&gt;0,ISNUMBER(MATCH($X596,계정대체기준!$D$77:$D$86,0)),ISNUMBER(MATCH($F596,계정대체기준!$D$77:$D$86,0))),"Y","N")))</f>
        <v/>
      </c>
    </row>
    <row r="597">
      <c r="A597" s="92" t="n">
        <v>2025</v>
      </c>
      <c r="B597" s="92" t="n">
        <v>3</v>
      </c>
      <c r="C597" s="92" t="inlineStr">
        <is>
          <t>5100000593</t>
        </is>
      </c>
      <c r="D597" s="95" t="n">
        <v>45734</v>
      </c>
      <c r="E597" s="92" t="inlineStr">
        <is>
          <t>KR</t>
        </is>
      </c>
      <c r="F597" s="92" t="n">
        <v>62101000</v>
      </c>
      <c r="G597" s="92" t="n">
        <v>1101</v>
      </c>
      <c r="H597" s="93" t="n">
        <v>690000</v>
      </c>
      <c r="I597" s="92" t="inlineStr">
        <is>
          <t>3월 국내출장 - M항공</t>
        </is>
      </c>
      <c r="J597" s="92" t="inlineStr">
        <is>
          <t>V10001</t>
        </is>
      </c>
      <c r="K597" s="92" t="inlineStr">
        <is>
          <t>M항공</t>
        </is>
      </c>
      <c r="M597" s="9">
        <f>IF($A597="","",VALUE($A597&amp;"")*12+VALUE($B597&amp;""))</f>
        <v/>
      </c>
      <c r="N597" s="64">
        <f>IF($A597="","",IFERROR(INDEX(부서매핑!$C$5:$C$504,MATCH($G597&amp;"",부서매핑!$A$5:$A$504,0)),"미매핑"))</f>
        <v/>
      </c>
      <c r="O597" s="9">
        <f>IF($A597="","",N597&amp;"|"&amp;$F597)</f>
        <v/>
      </c>
      <c r="P597" s="94">
        <f>IF($A597="",0,$H597*설정!$C$23)</f>
        <v/>
      </c>
      <c r="Q597" s="64">
        <f>IF($A597="","",IF(O597&lt;&gt;원인분석!$C$9,"",IF(AND(M597&gt;=원인분석!$C$10,M597&lt;=원인분석!$C$11),"당기",IF(AND(M597&gt;=원인분석!$C$12,M597&lt;=원인분석!$C$13),"비교",""))))</f>
        <v/>
      </c>
      <c r="R597" s="9">
        <f>IF(Q597="","",$K597&amp;"")</f>
        <v/>
      </c>
      <c r="S597" s="9">
        <f>IF(Q597="","",IF(MATCH(R597,$R$5:$R$100000,0)=ROW()-4,ROW(),""))</f>
        <v/>
      </c>
      <c r="T597" s="9">
        <f>IF(Q597="당기",ABS(P597)+ROW()/1000000000,"")</f>
        <v/>
      </c>
      <c r="U597" s="9">
        <f>IF(Q597="비교",ABS(P597)+ROW()/1000000000,"")</f>
        <v/>
      </c>
      <c r="V597" s="64">
        <f>IF($A597="","",IF(COUNTIF(변동분석!$E$7:$E$506,O597)&gt;0,"Y","N"))</f>
        <v/>
      </c>
      <c r="W597" s="64">
        <f>IF($A597="","",IFERROR(INDEX(계정매핑!$D$5:$D$504,MATCH($F597&amp;"",계정매핑!$A$5:$A$504,0)),"미매핑"))</f>
        <v/>
      </c>
      <c r="X597" s="9">
        <f>IF($A597="","",$F597&amp;"")</f>
        <v/>
      </c>
      <c r="Y597" s="94">
        <f>IF($A597="",0,IF(AE597="직접",IF(AF597="비귀속",$P597,0),$P597*(1-AG597)*IFERROR(INDEX(계정대체기준!$F$20:$F$49,MATCH($N597,계정대체기준!$A$20:$A$49,0)),1)))</f>
        <v/>
      </c>
      <c r="Z597" s="94">
        <f>IF($A597="",0,IF(AE597="직접",IF(AF597="신계약비",$P597,0),$P597*(1-AG597)*IFERROR(INDEX(계정대체기준!$C$20:$C$49,MATCH($N597,계정대체기준!$A$20:$A$49,0)),0)))</f>
        <v/>
      </c>
      <c r="AA597" s="94">
        <f>IF($A597="",0,IF(AE597="직접",IF(OR(AF597="유지비",AF597="손해조사비"),$P597,0),$P597*(1-AG597)*IFERROR(INDEX(계정대체기준!$D$20:$D$49,MATCH($N597,계정대체기준!$A$20:$A$49,0)),0)))</f>
        <v/>
      </c>
      <c r="AB597" s="94">
        <f>IF($A597="",0,IF(AE597="직접",IF(AF597="수금비",$P597,0),$P597*(1-AG597)*IFERROR(INDEX(계정대체기준!$E$20:$E$49,MATCH($N597,계정대체기준!$A$20:$A$49,0)),0)))</f>
        <v/>
      </c>
      <c r="AC597" s="9">
        <f>IF(AND($A597&lt;&gt;"",M597=설정!$C$20,Z597&gt;0),Z597+ROW()/1000000000,"")</f>
        <v/>
      </c>
      <c r="AD597" s="94">
        <f>IF($A597="",0,$P597*AG597)</f>
        <v/>
      </c>
      <c r="AE597" s="64">
        <f>IF($A597="","",IFERROR(INDEX(계정매핑!$E$5:$E$504,MATCH($F597&amp;"",계정매핑!$A$5:$A$504,0))&amp;"","공통비"))</f>
        <v/>
      </c>
      <c r="AF597" s="64">
        <f>IF($A597="","",IF(AE597="직접",IFERROR(INDEX(계정매핑!$F$5:$F$504,MATCH($F597&amp;"",계정매핑!$A$5:$A$504,0))&amp;"","비귀속"),""))</f>
        <v/>
      </c>
      <c r="AG597" s="96">
        <f>IF($A597="",0,IF(AND(AE597&lt;&gt;"직접",IFERROR(INDEX(계정매핑!$G$5:$G$504,MATCH($F597&amp;"",계정매핑!$A$5:$A$504,0))&amp;"","")="유지비",COUNTIF(계정대체기준!$A$6:$A$15,$N597)&gt;0),IFERROR(INDEX(계정대체기준!$E$6:$E$15,MATCH(VALUE($A597&amp;""),계정대체기준!$D$6:$D$15,0)),0),0))</f>
        <v/>
      </c>
      <c r="AH597" s="64">
        <f>IF($A597="","",IF(AD597=0,"",IF(OR(COUNTIF(계정대체기준!$A$77:$A$86,$N597)&gt;0,ISNUMBER(MATCH($X597,계정대체기준!$D$77:$D$86,0)),ISNUMBER(MATCH($F597,계정대체기준!$D$77:$D$86,0))),"Y","N")))</f>
        <v/>
      </c>
    </row>
    <row r="598">
      <c r="A598" s="92" t="n">
        <v>2025</v>
      </c>
      <c r="B598" s="92" t="n">
        <v>3</v>
      </c>
      <c r="C598" s="92" t="inlineStr">
        <is>
          <t>5100000594</t>
        </is>
      </c>
      <c r="D598" s="95" t="n">
        <v>45734</v>
      </c>
      <c r="E598" s="92" t="inlineStr">
        <is>
          <t>KR</t>
        </is>
      </c>
      <c r="F598" s="92" t="n">
        <v>62101000</v>
      </c>
      <c r="G598" s="92" t="n">
        <v>1201</v>
      </c>
      <c r="H598" s="93" t="n">
        <v>252000</v>
      </c>
      <c r="I598" s="92" t="inlineStr">
        <is>
          <t>3월 국내출장 - (법인카드)</t>
        </is>
      </c>
      <c r="J598" s="92" t="inlineStr">
        <is>
          <t>V10010</t>
        </is>
      </c>
      <c r="K598" s="92" t="inlineStr">
        <is>
          <t>(법인카드)</t>
        </is>
      </c>
      <c r="M598" s="9">
        <f>IF($A598="","",VALUE($A598&amp;"")*12+VALUE($B598&amp;""))</f>
        <v/>
      </c>
      <c r="N598" s="64">
        <f>IF($A598="","",IFERROR(INDEX(부서매핑!$C$5:$C$504,MATCH($G598&amp;"",부서매핑!$A$5:$A$504,0)),"미매핑"))</f>
        <v/>
      </c>
      <c r="O598" s="9">
        <f>IF($A598="","",N598&amp;"|"&amp;$F598)</f>
        <v/>
      </c>
      <c r="P598" s="94">
        <f>IF($A598="",0,$H598*설정!$C$23)</f>
        <v/>
      </c>
      <c r="Q598" s="64">
        <f>IF($A598="","",IF(O598&lt;&gt;원인분석!$C$9,"",IF(AND(M598&gt;=원인분석!$C$10,M598&lt;=원인분석!$C$11),"당기",IF(AND(M598&gt;=원인분석!$C$12,M598&lt;=원인분석!$C$13),"비교",""))))</f>
        <v/>
      </c>
      <c r="R598" s="9">
        <f>IF(Q598="","",$K598&amp;"")</f>
        <v/>
      </c>
      <c r="S598" s="9">
        <f>IF(Q598="","",IF(MATCH(R598,$R$5:$R$100000,0)=ROW()-4,ROW(),""))</f>
        <v/>
      </c>
      <c r="T598" s="9">
        <f>IF(Q598="당기",ABS(P598)+ROW()/1000000000,"")</f>
        <v/>
      </c>
      <c r="U598" s="9">
        <f>IF(Q598="비교",ABS(P598)+ROW()/1000000000,"")</f>
        <v/>
      </c>
      <c r="V598" s="64">
        <f>IF($A598="","",IF(COUNTIF(변동분석!$E$7:$E$506,O598)&gt;0,"Y","N"))</f>
        <v/>
      </c>
      <c r="W598" s="64">
        <f>IF($A598="","",IFERROR(INDEX(계정매핑!$D$5:$D$504,MATCH($F598&amp;"",계정매핑!$A$5:$A$504,0)),"미매핑"))</f>
        <v/>
      </c>
      <c r="X598" s="9">
        <f>IF($A598="","",$F598&amp;"")</f>
        <v/>
      </c>
      <c r="Y598" s="94">
        <f>IF($A598="",0,IF(AE598="직접",IF(AF598="비귀속",$P598,0),$P598*(1-AG598)*IFERROR(INDEX(계정대체기준!$F$20:$F$49,MATCH($N598,계정대체기준!$A$20:$A$49,0)),1)))</f>
        <v/>
      </c>
      <c r="Z598" s="94">
        <f>IF($A598="",0,IF(AE598="직접",IF(AF598="신계약비",$P598,0),$P598*(1-AG598)*IFERROR(INDEX(계정대체기준!$C$20:$C$49,MATCH($N598,계정대체기준!$A$20:$A$49,0)),0)))</f>
        <v/>
      </c>
      <c r="AA598" s="94">
        <f>IF($A598="",0,IF(AE598="직접",IF(OR(AF598="유지비",AF598="손해조사비"),$P598,0),$P598*(1-AG598)*IFERROR(INDEX(계정대체기준!$D$20:$D$49,MATCH($N598,계정대체기준!$A$20:$A$49,0)),0)))</f>
        <v/>
      </c>
      <c r="AB598" s="94">
        <f>IF($A598="",0,IF(AE598="직접",IF(AF598="수금비",$P598,0),$P598*(1-AG598)*IFERROR(INDEX(계정대체기준!$E$20:$E$49,MATCH($N598,계정대체기준!$A$20:$A$49,0)),0)))</f>
        <v/>
      </c>
      <c r="AC598" s="9">
        <f>IF(AND($A598&lt;&gt;"",M598=설정!$C$20,Z598&gt;0),Z598+ROW()/1000000000,"")</f>
        <v/>
      </c>
      <c r="AD598" s="94">
        <f>IF($A598="",0,$P598*AG598)</f>
        <v/>
      </c>
      <c r="AE598" s="64">
        <f>IF($A598="","",IFERROR(INDEX(계정매핑!$E$5:$E$504,MATCH($F598&amp;"",계정매핑!$A$5:$A$504,0))&amp;"","공통비"))</f>
        <v/>
      </c>
      <c r="AF598" s="64">
        <f>IF($A598="","",IF(AE598="직접",IFERROR(INDEX(계정매핑!$F$5:$F$504,MATCH($F598&amp;"",계정매핑!$A$5:$A$504,0))&amp;"","비귀속"),""))</f>
        <v/>
      </c>
      <c r="AG598" s="96">
        <f>IF($A598="",0,IF(AND(AE598&lt;&gt;"직접",IFERROR(INDEX(계정매핑!$G$5:$G$504,MATCH($F598&amp;"",계정매핑!$A$5:$A$504,0))&amp;"","")="유지비",COUNTIF(계정대체기준!$A$6:$A$15,$N598)&gt;0),IFERROR(INDEX(계정대체기준!$E$6:$E$15,MATCH(VALUE($A598&amp;""),계정대체기준!$D$6:$D$15,0)),0),0))</f>
        <v/>
      </c>
      <c r="AH598" s="64">
        <f>IF($A598="","",IF(AD598=0,"",IF(OR(COUNTIF(계정대체기준!$A$77:$A$86,$N598)&gt;0,ISNUMBER(MATCH($X598,계정대체기준!$D$77:$D$86,0)),ISNUMBER(MATCH($F598,계정대체기준!$D$77:$D$86,0))),"Y","N")))</f>
        <v/>
      </c>
    </row>
    <row r="599">
      <c r="A599" s="92" t="n">
        <v>2025</v>
      </c>
      <c r="B599" s="92" t="n">
        <v>3</v>
      </c>
      <c r="C599" s="92" t="inlineStr">
        <is>
          <t>5100000595</t>
        </is>
      </c>
      <c r="D599" s="95" t="n">
        <v>45734</v>
      </c>
      <c r="E599" s="92" t="inlineStr">
        <is>
          <t>KR</t>
        </is>
      </c>
      <c r="F599" s="92" t="n">
        <v>62101000</v>
      </c>
      <c r="G599" s="92" t="n">
        <v>1701</v>
      </c>
      <c r="H599" s="93" t="n">
        <v>386000</v>
      </c>
      <c r="I599" s="92" t="inlineStr">
        <is>
          <t>3월 국내출장 - L여행사</t>
        </is>
      </c>
      <c r="J599" s="92" t="inlineStr">
        <is>
          <t>V10018</t>
        </is>
      </c>
      <c r="K599" s="92" t="inlineStr">
        <is>
          <t>L여행사</t>
        </is>
      </c>
      <c r="M599" s="9">
        <f>IF($A599="","",VALUE($A599&amp;"")*12+VALUE($B599&amp;""))</f>
        <v/>
      </c>
      <c r="N599" s="64">
        <f>IF($A599="","",IFERROR(INDEX(부서매핑!$C$5:$C$504,MATCH($G599&amp;"",부서매핑!$A$5:$A$504,0)),"미매핑"))</f>
        <v/>
      </c>
      <c r="O599" s="9">
        <f>IF($A599="","",N599&amp;"|"&amp;$F599)</f>
        <v/>
      </c>
      <c r="P599" s="94">
        <f>IF($A599="",0,$H599*설정!$C$23)</f>
        <v/>
      </c>
      <c r="Q599" s="64">
        <f>IF($A599="","",IF(O599&lt;&gt;원인분석!$C$9,"",IF(AND(M599&gt;=원인분석!$C$10,M599&lt;=원인분석!$C$11),"당기",IF(AND(M599&gt;=원인분석!$C$12,M599&lt;=원인분석!$C$13),"비교",""))))</f>
        <v/>
      </c>
      <c r="R599" s="9">
        <f>IF(Q599="","",$K599&amp;"")</f>
        <v/>
      </c>
      <c r="S599" s="9">
        <f>IF(Q599="","",IF(MATCH(R599,$R$5:$R$100000,0)=ROW()-4,ROW(),""))</f>
        <v/>
      </c>
      <c r="T599" s="9">
        <f>IF(Q599="당기",ABS(P599)+ROW()/1000000000,"")</f>
        <v/>
      </c>
      <c r="U599" s="9">
        <f>IF(Q599="비교",ABS(P599)+ROW()/1000000000,"")</f>
        <v/>
      </c>
      <c r="V599" s="64">
        <f>IF($A599="","",IF(COUNTIF(변동분석!$E$7:$E$506,O599)&gt;0,"Y","N"))</f>
        <v/>
      </c>
      <c r="W599" s="64">
        <f>IF($A599="","",IFERROR(INDEX(계정매핑!$D$5:$D$504,MATCH($F599&amp;"",계정매핑!$A$5:$A$504,0)),"미매핑"))</f>
        <v/>
      </c>
      <c r="X599" s="9">
        <f>IF($A599="","",$F599&amp;"")</f>
        <v/>
      </c>
      <c r="Y599" s="94">
        <f>IF($A599="",0,IF(AE599="직접",IF(AF599="비귀속",$P599,0),$P599*(1-AG599)*IFERROR(INDEX(계정대체기준!$F$20:$F$49,MATCH($N599,계정대체기준!$A$20:$A$49,0)),1)))</f>
        <v/>
      </c>
      <c r="Z599" s="94">
        <f>IF($A599="",0,IF(AE599="직접",IF(AF599="신계약비",$P599,0),$P599*(1-AG599)*IFERROR(INDEX(계정대체기준!$C$20:$C$49,MATCH($N599,계정대체기준!$A$20:$A$49,0)),0)))</f>
        <v/>
      </c>
      <c r="AA599" s="94">
        <f>IF($A599="",0,IF(AE599="직접",IF(OR(AF599="유지비",AF599="손해조사비"),$P599,0),$P599*(1-AG599)*IFERROR(INDEX(계정대체기준!$D$20:$D$49,MATCH($N599,계정대체기준!$A$20:$A$49,0)),0)))</f>
        <v/>
      </c>
      <c r="AB599" s="94">
        <f>IF($A599="",0,IF(AE599="직접",IF(AF599="수금비",$P599,0),$P599*(1-AG599)*IFERROR(INDEX(계정대체기준!$E$20:$E$49,MATCH($N599,계정대체기준!$A$20:$A$49,0)),0)))</f>
        <v/>
      </c>
      <c r="AC599" s="9">
        <f>IF(AND($A599&lt;&gt;"",M599=설정!$C$20,Z599&gt;0),Z599+ROW()/1000000000,"")</f>
        <v/>
      </c>
      <c r="AD599" s="94">
        <f>IF($A599="",0,$P599*AG599)</f>
        <v/>
      </c>
      <c r="AE599" s="64">
        <f>IF($A599="","",IFERROR(INDEX(계정매핑!$E$5:$E$504,MATCH($F599&amp;"",계정매핑!$A$5:$A$504,0))&amp;"","공통비"))</f>
        <v/>
      </c>
      <c r="AF599" s="64">
        <f>IF($A599="","",IF(AE599="직접",IFERROR(INDEX(계정매핑!$F$5:$F$504,MATCH($F599&amp;"",계정매핑!$A$5:$A$504,0))&amp;"","비귀속"),""))</f>
        <v/>
      </c>
      <c r="AG599" s="96">
        <f>IF($A599="",0,IF(AND(AE599&lt;&gt;"직접",IFERROR(INDEX(계정매핑!$G$5:$G$504,MATCH($F599&amp;"",계정매핑!$A$5:$A$504,0))&amp;"","")="유지비",COUNTIF(계정대체기준!$A$6:$A$15,$N599)&gt;0),IFERROR(INDEX(계정대체기준!$E$6:$E$15,MATCH(VALUE($A599&amp;""),계정대체기준!$D$6:$D$15,0)),0),0))</f>
        <v/>
      </c>
      <c r="AH599" s="64">
        <f>IF($A599="","",IF(AD599=0,"",IF(OR(COUNTIF(계정대체기준!$A$77:$A$86,$N599)&gt;0,ISNUMBER(MATCH($X599,계정대체기준!$D$77:$D$86,0)),ISNUMBER(MATCH($F599,계정대체기준!$D$77:$D$86,0))),"Y","N")))</f>
        <v/>
      </c>
    </row>
    <row r="600">
      <c r="A600" s="92" t="n">
        <v>2025</v>
      </c>
      <c r="B600" s="92" t="n">
        <v>3</v>
      </c>
      <c r="C600" s="92" t="inlineStr">
        <is>
          <t>5100000596</t>
        </is>
      </c>
      <c r="D600" s="95" t="n">
        <v>45734</v>
      </c>
      <c r="E600" s="92" t="inlineStr">
        <is>
          <t>KR</t>
        </is>
      </c>
      <c r="F600" s="92" t="n">
        <v>62102000</v>
      </c>
      <c r="G600" s="92" t="n">
        <v>1701</v>
      </c>
      <c r="H600" s="93" t="n">
        <v>40000</v>
      </c>
      <c r="I600" s="92" t="inlineStr">
        <is>
          <t>3월 해외출장 - N호텔</t>
        </is>
      </c>
      <c r="J600" s="92" t="inlineStr">
        <is>
          <t>V10009</t>
        </is>
      </c>
      <c r="K600" s="92" t="inlineStr">
        <is>
          <t>N호텔</t>
        </is>
      </c>
      <c r="M600" s="9">
        <f>IF($A600="","",VALUE($A600&amp;"")*12+VALUE($B600&amp;""))</f>
        <v/>
      </c>
      <c r="N600" s="64">
        <f>IF($A600="","",IFERROR(INDEX(부서매핑!$C$5:$C$504,MATCH($G600&amp;"",부서매핑!$A$5:$A$504,0)),"미매핑"))</f>
        <v/>
      </c>
      <c r="O600" s="9">
        <f>IF($A600="","",N600&amp;"|"&amp;$F600)</f>
        <v/>
      </c>
      <c r="P600" s="94">
        <f>IF($A600="",0,$H600*설정!$C$23)</f>
        <v/>
      </c>
      <c r="Q600" s="64">
        <f>IF($A600="","",IF(O600&lt;&gt;원인분석!$C$9,"",IF(AND(M600&gt;=원인분석!$C$10,M600&lt;=원인분석!$C$11),"당기",IF(AND(M600&gt;=원인분석!$C$12,M600&lt;=원인분석!$C$13),"비교",""))))</f>
        <v/>
      </c>
      <c r="R600" s="9">
        <f>IF(Q600="","",$K600&amp;"")</f>
        <v/>
      </c>
      <c r="S600" s="9">
        <f>IF(Q600="","",IF(MATCH(R600,$R$5:$R$100000,0)=ROW()-4,ROW(),""))</f>
        <v/>
      </c>
      <c r="T600" s="9">
        <f>IF(Q600="당기",ABS(P600)+ROW()/1000000000,"")</f>
        <v/>
      </c>
      <c r="U600" s="9">
        <f>IF(Q600="비교",ABS(P600)+ROW()/1000000000,"")</f>
        <v/>
      </c>
      <c r="V600" s="64">
        <f>IF($A600="","",IF(COUNTIF(변동분석!$E$7:$E$506,O600)&gt;0,"Y","N"))</f>
        <v/>
      </c>
      <c r="W600" s="64">
        <f>IF($A600="","",IFERROR(INDEX(계정매핑!$D$5:$D$504,MATCH($F600&amp;"",계정매핑!$A$5:$A$504,0)),"미매핑"))</f>
        <v/>
      </c>
      <c r="X600" s="9">
        <f>IF($A600="","",$F600&amp;"")</f>
        <v/>
      </c>
      <c r="Y600" s="94">
        <f>IF($A600="",0,IF(AE600="직접",IF(AF600="비귀속",$P600,0),$P600*(1-AG600)*IFERROR(INDEX(계정대체기준!$F$20:$F$49,MATCH($N600,계정대체기준!$A$20:$A$49,0)),1)))</f>
        <v/>
      </c>
      <c r="Z600" s="94">
        <f>IF($A600="",0,IF(AE600="직접",IF(AF600="신계약비",$P600,0),$P600*(1-AG600)*IFERROR(INDEX(계정대체기준!$C$20:$C$49,MATCH($N600,계정대체기준!$A$20:$A$49,0)),0)))</f>
        <v/>
      </c>
      <c r="AA600" s="94">
        <f>IF($A600="",0,IF(AE600="직접",IF(OR(AF600="유지비",AF600="손해조사비"),$P600,0),$P600*(1-AG600)*IFERROR(INDEX(계정대체기준!$D$20:$D$49,MATCH($N600,계정대체기준!$A$20:$A$49,0)),0)))</f>
        <v/>
      </c>
      <c r="AB600" s="94">
        <f>IF($A600="",0,IF(AE600="직접",IF(AF600="수금비",$P600,0),$P600*(1-AG600)*IFERROR(INDEX(계정대체기준!$E$20:$E$49,MATCH($N600,계정대체기준!$A$20:$A$49,0)),0)))</f>
        <v/>
      </c>
      <c r="AC600" s="9">
        <f>IF(AND($A600&lt;&gt;"",M600=설정!$C$20,Z600&gt;0),Z600+ROW()/1000000000,"")</f>
        <v/>
      </c>
      <c r="AD600" s="94">
        <f>IF($A600="",0,$P600*AG600)</f>
        <v/>
      </c>
      <c r="AE600" s="64">
        <f>IF($A600="","",IFERROR(INDEX(계정매핑!$E$5:$E$504,MATCH($F600&amp;"",계정매핑!$A$5:$A$504,0))&amp;"","공통비"))</f>
        <v/>
      </c>
      <c r="AF600" s="64">
        <f>IF($A600="","",IF(AE600="직접",IFERROR(INDEX(계정매핑!$F$5:$F$504,MATCH($F600&amp;"",계정매핑!$A$5:$A$504,0))&amp;"","비귀속"),""))</f>
        <v/>
      </c>
      <c r="AG600" s="96">
        <f>IF($A600="",0,IF(AND(AE600&lt;&gt;"직접",IFERROR(INDEX(계정매핑!$G$5:$G$504,MATCH($F600&amp;"",계정매핑!$A$5:$A$504,0))&amp;"","")="유지비",COUNTIF(계정대체기준!$A$6:$A$15,$N600)&gt;0),IFERROR(INDEX(계정대체기준!$E$6:$E$15,MATCH(VALUE($A600&amp;""),계정대체기준!$D$6:$D$15,0)),0),0))</f>
        <v/>
      </c>
      <c r="AH600" s="64">
        <f>IF($A600="","",IF(AD600=0,"",IF(OR(COUNTIF(계정대체기준!$A$77:$A$86,$N600)&gt;0,ISNUMBER(MATCH($X600,계정대체기준!$D$77:$D$86,0)),ISNUMBER(MATCH($F600,계정대체기준!$D$77:$D$86,0))),"Y","N")))</f>
        <v/>
      </c>
    </row>
    <row r="601">
      <c r="A601" s="92" t="n">
        <v>2025</v>
      </c>
      <c r="B601" s="92" t="n">
        <v>3</v>
      </c>
      <c r="C601" s="92" t="inlineStr">
        <is>
          <t>5100000597</t>
        </is>
      </c>
      <c r="D601" s="95" t="n">
        <v>45734</v>
      </c>
      <c r="E601" s="92" t="inlineStr">
        <is>
          <t>KR</t>
        </is>
      </c>
      <c r="F601" s="92" t="n">
        <v>62201000</v>
      </c>
      <c r="G601" s="92" t="n">
        <v>1501</v>
      </c>
      <c r="H601" s="93" t="n">
        <v>315000</v>
      </c>
      <c r="I601" s="92" t="inlineStr">
        <is>
          <t>3월 통신요금 - P통신</t>
        </is>
      </c>
      <c r="J601" s="92" t="inlineStr">
        <is>
          <t>V10014</t>
        </is>
      </c>
      <c r="K601" s="92" t="inlineStr">
        <is>
          <t>P통신</t>
        </is>
      </c>
      <c r="M601" s="9">
        <f>IF($A601="","",VALUE($A601&amp;"")*12+VALUE($B601&amp;""))</f>
        <v/>
      </c>
      <c r="N601" s="64">
        <f>IF($A601="","",IFERROR(INDEX(부서매핑!$C$5:$C$504,MATCH($G601&amp;"",부서매핑!$A$5:$A$504,0)),"미매핑"))</f>
        <v/>
      </c>
      <c r="O601" s="9">
        <f>IF($A601="","",N601&amp;"|"&amp;$F601)</f>
        <v/>
      </c>
      <c r="P601" s="94">
        <f>IF($A601="",0,$H601*설정!$C$23)</f>
        <v/>
      </c>
      <c r="Q601" s="64">
        <f>IF($A601="","",IF(O601&lt;&gt;원인분석!$C$9,"",IF(AND(M601&gt;=원인분석!$C$10,M601&lt;=원인분석!$C$11),"당기",IF(AND(M601&gt;=원인분석!$C$12,M601&lt;=원인분석!$C$13),"비교",""))))</f>
        <v/>
      </c>
      <c r="R601" s="9">
        <f>IF(Q601="","",$K601&amp;"")</f>
        <v/>
      </c>
      <c r="S601" s="9">
        <f>IF(Q601="","",IF(MATCH(R601,$R$5:$R$100000,0)=ROW()-4,ROW(),""))</f>
        <v/>
      </c>
      <c r="T601" s="9">
        <f>IF(Q601="당기",ABS(P601)+ROW()/1000000000,"")</f>
        <v/>
      </c>
      <c r="U601" s="9">
        <f>IF(Q601="비교",ABS(P601)+ROW()/1000000000,"")</f>
        <v/>
      </c>
      <c r="V601" s="64">
        <f>IF($A601="","",IF(COUNTIF(변동분석!$E$7:$E$506,O601)&gt;0,"Y","N"))</f>
        <v/>
      </c>
      <c r="W601" s="64">
        <f>IF($A601="","",IFERROR(INDEX(계정매핑!$D$5:$D$504,MATCH($F601&amp;"",계정매핑!$A$5:$A$504,0)),"미매핑"))</f>
        <v/>
      </c>
      <c r="X601" s="9">
        <f>IF($A601="","",$F601&amp;"")</f>
        <v/>
      </c>
      <c r="Y601" s="94">
        <f>IF($A601="",0,IF(AE601="직접",IF(AF601="비귀속",$P601,0),$P601*(1-AG601)*IFERROR(INDEX(계정대체기준!$F$20:$F$49,MATCH($N601,계정대체기준!$A$20:$A$49,0)),1)))</f>
        <v/>
      </c>
      <c r="Z601" s="94">
        <f>IF($A601="",0,IF(AE601="직접",IF(AF601="신계약비",$P601,0),$P601*(1-AG601)*IFERROR(INDEX(계정대체기준!$C$20:$C$49,MATCH($N601,계정대체기준!$A$20:$A$49,0)),0)))</f>
        <v/>
      </c>
      <c r="AA601" s="94">
        <f>IF($A601="",0,IF(AE601="직접",IF(OR(AF601="유지비",AF601="손해조사비"),$P601,0),$P601*(1-AG601)*IFERROR(INDEX(계정대체기준!$D$20:$D$49,MATCH($N601,계정대체기준!$A$20:$A$49,0)),0)))</f>
        <v/>
      </c>
      <c r="AB601" s="94">
        <f>IF($A601="",0,IF(AE601="직접",IF(AF601="수금비",$P601,0),$P601*(1-AG601)*IFERROR(INDEX(계정대체기준!$E$20:$E$49,MATCH($N601,계정대체기준!$A$20:$A$49,0)),0)))</f>
        <v/>
      </c>
      <c r="AC601" s="9">
        <f>IF(AND($A601&lt;&gt;"",M601=설정!$C$20,Z601&gt;0),Z601+ROW()/1000000000,"")</f>
        <v/>
      </c>
      <c r="AD601" s="94">
        <f>IF($A601="",0,$P601*AG601)</f>
        <v/>
      </c>
      <c r="AE601" s="64">
        <f>IF($A601="","",IFERROR(INDEX(계정매핑!$E$5:$E$504,MATCH($F601&amp;"",계정매핑!$A$5:$A$504,0))&amp;"","공통비"))</f>
        <v/>
      </c>
      <c r="AF601" s="64">
        <f>IF($A601="","",IF(AE601="직접",IFERROR(INDEX(계정매핑!$F$5:$F$504,MATCH($F601&amp;"",계정매핑!$A$5:$A$504,0))&amp;"","비귀속"),""))</f>
        <v/>
      </c>
      <c r="AG601" s="96">
        <f>IF($A601="",0,IF(AND(AE601&lt;&gt;"직접",IFERROR(INDEX(계정매핑!$G$5:$G$504,MATCH($F601&amp;"",계정매핑!$A$5:$A$504,0))&amp;"","")="유지비",COUNTIF(계정대체기준!$A$6:$A$15,$N601)&gt;0),IFERROR(INDEX(계정대체기준!$E$6:$E$15,MATCH(VALUE($A601&amp;""),계정대체기준!$D$6:$D$15,0)),0),0))</f>
        <v/>
      </c>
      <c r="AH601" s="64">
        <f>IF($A601="","",IF(AD601=0,"",IF(OR(COUNTIF(계정대체기준!$A$77:$A$86,$N601)&gt;0,ISNUMBER(MATCH($X601,계정대체기준!$D$77:$D$86,0)),ISNUMBER(MATCH($F601,계정대체기준!$D$77:$D$86,0))),"Y","N")))</f>
        <v/>
      </c>
    </row>
    <row r="602">
      <c r="A602" s="92" t="n">
        <v>2025</v>
      </c>
      <c r="B602" s="92" t="n">
        <v>3</v>
      </c>
      <c r="C602" s="92" t="inlineStr">
        <is>
          <t>5100000598</t>
        </is>
      </c>
      <c r="D602" s="95" t="n">
        <v>45734</v>
      </c>
      <c r="E602" s="92" t="inlineStr">
        <is>
          <t>KR</t>
        </is>
      </c>
      <c r="F602" s="92" t="n">
        <v>62301000</v>
      </c>
      <c r="G602" s="92" t="n">
        <v>1201</v>
      </c>
      <c r="H602" s="93" t="n">
        <v>214000</v>
      </c>
      <c r="I602" s="92" t="inlineStr">
        <is>
          <t>3월 소모품 구입 - Q오피스</t>
        </is>
      </c>
      <c r="J602" s="92" t="inlineStr">
        <is>
          <t>V10003</t>
        </is>
      </c>
      <c r="K602" s="92" t="inlineStr">
        <is>
          <t>Q오피스</t>
        </is>
      </c>
      <c r="M602" s="9">
        <f>IF($A602="","",VALUE($A602&amp;"")*12+VALUE($B602&amp;""))</f>
        <v/>
      </c>
      <c r="N602" s="64">
        <f>IF($A602="","",IFERROR(INDEX(부서매핑!$C$5:$C$504,MATCH($G602&amp;"",부서매핑!$A$5:$A$504,0)),"미매핑"))</f>
        <v/>
      </c>
      <c r="O602" s="9">
        <f>IF($A602="","",N602&amp;"|"&amp;$F602)</f>
        <v/>
      </c>
      <c r="P602" s="94">
        <f>IF($A602="",0,$H602*설정!$C$23)</f>
        <v/>
      </c>
      <c r="Q602" s="64">
        <f>IF($A602="","",IF(O602&lt;&gt;원인분석!$C$9,"",IF(AND(M602&gt;=원인분석!$C$10,M602&lt;=원인분석!$C$11),"당기",IF(AND(M602&gt;=원인분석!$C$12,M602&lt;=원인분석!$C$13),"비교",""))))</f>
        <v/>
      </c>
      <c r="R602" s="9">
        <f>IF(Q602="","",$K602&amp;"")</f>
        <v/>
      </c>
      <c r="S602" s="9">
        <f>IF(Q602="","",IF(MATCH(R602,$R$5:$R$100000,0)=ROW()-4,ROW(),""))</f>
        <v/>
      </c>
      <c r="T602" s="9">
        <f>IF(Q602="당기",ABS(P602)+ROW()/1000000000,"")</f>
        <v/>
      </c>
      <c r="U602" s="9">
        <f>IF(Q602="비교",ABS(P602)+ROW()/1000000000,"")</f>
        <v/>
      </c>
      <c r="V602" s="64">
        <f>IF($A602="","",IF(COUNTIF(변동분석!$E$7:$E$506,O602)&gt;0,"Y","N"))</f>
        <v/>
      </c>
      <c r="W602" s="64">
        <f>IF($A602="","",IFERROR(INDEX(계정매핑!$D$5:$D$504,MATCH($F602&amp;"",계정매핑!$A$5:$A$504,0)),"미매핑"))</f>
        <v/>
      </c>
      <c r="X602" s="9">
        <f>IF($A602="","",$F602&amp;"")</f>
        <v/>
      </c>
      <c r="Y602" s="94">
        <f>IF($A602="",0,IF(AE602="직접",IF(AF602="비귀속",$P602,0),$P602*(1-AG602)*IFERROR(INDEX(계정대체기준!$F$20:$F$49,MATCH($N602,계정대체기준!$A$20:$A$49,0)),1)))</f>
        <v/>
      </c>
      <c r="Z602" s="94">
        <f>IF($A602="",0,IF(AE602="직접",IF(AF602="신계약비",$P602,0),$P602*(1-AG602)*IFERROR(INDEX(계정대체기준!$C$20:$C$49,MATCH($N602,계정대체기준!$A$20:$A$49,0)),0)))</f>
        <v/>
      </c>
      <c r="AA602" s="94">
        <f>IF($A602="",0,IF(AE602="직접",IF(OR(AF602="유지비",AF602="손해조사비"),$P602,0),$P602*(1-AG602)*IFERROR(INDEX(계정대체기준!$D$20:$D$49,MATCH($N602,계정대체기준!$A$20:$A$49,0)),0)))</f>
        <v/>
      </c>
      <c r="AB602" s="94">
        <f>IF($A602="",0,IF(AE602="직접",IF(AF602="수금비",$P602,0),$P602*(1-AG602)*IFERROR(INDEX(계정대체기준!$E$20:$E$49,MATCH($N602,계정대체기준!$A$20:$A$49,0)),0)))</f>
        <v/>
      </c>
      <c r="AC602" s="9">
        <f>IF(AND($A602&lt;&gt;"",M602=설정!$C$20,Z602&gt;0),Z602+ROW()/1000000000,"")</f>
        <v/>
      </c>
      <c r="AD602" s="94">
        <f>IF($A602="",0,$P602*AG602)</f>
        <v/>
      </c>
      <c r="AE602" s="64">
        <f>IF($A602="","",IFERROR(INDEX(계정매핑!$E$5:$E$504,MATCH($F602&amp;"",계정매핑!$A$5:$A$504,0))&amp;"","공통비"))</f>
        <v/>
      </c>
      <c r="AF602" s="64">
        <f>IF($A602="","",IF(AE602="직접",IFERROR(INDEX(계정매핑!$F$5:$F$504,MATCH($F602&amp;"",계정매핑!$A$5:$A$504,0))&amp;"","비귀속"),""))</f>
        <v/>
      </c>
      <c r="AG602" s="96">
        <f>IF($A602="",0,IF(AND(AE602&lt;&gt;"직접",IFERROR(INDEX(계정매핑!$G$5:$G$504,MATCH($F602&amp;"",계정매핑!$A$5:$A$504,0))&amp;"","")="유지비",COUNTIF(계정대체기준!$A$6:$A$15,$N602)&gt;0),IFERROR(INDEX(계정대체기준!$E$6:$E$15,MATCH(VALUE($A602&amp;""),계정대체기준!$D$6:$D$15,0)),0),0))</f>
        <v/>
      </c>
      <c r="AH602" s="64">
        <f>IF($A602="","",IF(AD602=0,"",IF(OR(COUNTIF(계정대체기준!$A$77:$A$86,$N602)&gt;0,ISNUMBER(MATCH($X602,계정대체기준!$D$77:$D$86,0)),ISNUMBER(MATCH($F602,계정대체기준!$D$77:$D$86,0))),"Y","N")))</f>
        <v/>
      </c>
    </row>
    <row r="603">
      <c r="A603" s="92" t="n">
        <v>2025</v>
      </c>
      <c r="B603" s="92" t="n">
        <v>3</v>
      </c>
      <c r="C603" s="92" t="inlineStr">
        <is>
          <t>5100000599</t>
        </is>
      </c>
      <c r="D603" s="95" t="n">
        <v>45734</v>
      </c>
      <c r="E603" s="92" t="inlineStr">
        <is>
          <t>KR</t>
        </is>
      </c>
      <c r="F603" s="92" t="n">
        <v>62301000</v>
      </c>
      <c r="G603" s="92" t="n">
        <v>1301</v>
      </c>
      <c r="H603" s="93" t="n">
        <v>242000</v>
      </c>
      <c r="I603" s="92" t="inlineStr">
        <is>
          <t>3월 소모품 구입 - Q오피스</t>
        </is>
      </c>
      <c r="J603" s="92" t="inlineStr">
        <is>
          <t>V10003</t>
        </is>
      </c>
      <c r="K603" s="92" t="inlineStr">
        <is>
          <t>Q오피스</t>
        </is>
      </c>
      <c r="M603" s="9">
        <f>IF($A603="","",VALUE($A603&amp;"")*12+VALUE($B603&amp;""))</f>
        <v/>
      </c>
      <c r="N603" s="64">
        <f>IF($A603="","",IFERROR(INDEX(부서매핑!$C$5:$C$504,MATCH($G603&amp;"",부서매핑!$A$5:$A$504,0)),"미매핑"))</f>
        <v/>
      </c>
      <c r="O603" s="9">
        <f>IF($A603="","",N603&amp;"|"&amp;$F603)</f>
        <v/>
      </c>
      <c r="P603" s="94">
        <f>IF($A603="",0,$H603*설정!$C$23)</f>
        <v/>
      </c>
      <c r="Q603" s="64">
        <f>IF($A603="","",IF(O603&lt;&gt;원인분석!$C$9,"",IF(AND(M603&gt;=원인분석!$C$10,M603&lt;=원인분석!$C$11),"당기",IF(AND(M603&gt;=원인분석!$C$12,M603&lt;=원인분석!$C$13),"비교",""))))</f>
        <v/>
      </c>
      <c r="R603" s="9">
        <f>IF(Q603="","",$K603&amp;"")</f>
        <v/>
      </c>
      <c r="S603" s="9">
        <f>IF(Q603="","",IF(MATCH(R603,$R$5:$R$100000,0)=ROW()-4,ROW(),""))</f>
        <v/>
      </c>
      <c r="T603" s="9">
        <f>IF(Q603="당기",ABS(P603)+ROW()/1000000000,"")</f>
        <v/>
      </c>
      <c r="U603" s="9">
        <f>IF(Q603="비교",ABS(P603)+ROW()/1000000000,"")</f>
        <v/>
      </c>
      <c r="V603" s="64">
        <f>IF($A603="","",IF(COUNTIF(변동분석!$E$7:$E$506,O603)&gt;0,"Y","N"))</f>
        <v/>
      </c>
      <c r="W603" s="64">
        <f>IF($A603="","",IFERROR(INDEX(계정매핑!$D$5:$D$504,MATCH($F603&amp;"",계정매핑!$A$5:$A$504,0)),"미매핑"))</f>
        <v/>
      </c>
      <c r="X603" s="9">
        <f>IF($A603="","",$F603&amp;"")</f>
        <v/>
      </c>
      <c r="Y603" s="94">
        <f>IF($A603="",0,IF(AE603="직접",IF(AF603="비귀속",$P603,0),$P603*(1-AG603)*IFERROR(INDEX(계정대체기준!$F$20:$F$49,MATCH($N603,계정대체기준!$A$20:$A$49,0)),1)))</f>
        <v/>
      </c>
      <c r="Z603" s="94">
        <f>IF($A603="",0,IF(AE603="직접",IF(AF603="신계약비",$P603,0),$P603*(1-AG603)*IFERROR(INDEX(계정대체기준!$C$20:$C$49,MATCH($N603,계정대체기준!$A$20:$A$49,0)),0)))</f>
        <v/>
      </c>
      <c r="AA603" s="94">
        <f>IF($A603="",0,IF(AE603="직접",IF(OR(AF603="유지비",AF603="손해조사비"),$P603,0),$P603*(1-AG603)*IFERROR(INDEX(계정대체기준!$D$20:$D$49,MATCH($N603,계정대체기준!$A$20:$A$49,0)),0)))</f>
        <v/>
      </c>
      <c r="AB603" s="94">
        <f>IF($A603="",0,IF(AE603="직접",IF(AF603="수금비",$P603,0),$P603*(1-AG603)*IFERROR(INDEX(계정대체기준!$E$20:$E$49,MATCH($N603,계정대체기준!$A$20:$A$49,0)),0)))</f>
        <v/>
      </c>
      <c r="AC603" s="9">
        <f>IF(AND($A603&lt;&gt;"",M603=설정!$C$20,Z603&gt;0),Z603+ROW()/1000000000,"")</f>
        <v/>
      </c>
      <c r="AD603" s="94">
        <f>IF($A603="",0,$P603*AG603)</f>
        <v/>
      </c>
      <c r="AE603" s="64">
        <f>IF($A603="","",IFERROR(INDEX(계정매핑!$E$5:$E$504,MATCH($F603&amp;"",계정매핑!$A$5:$A$504,0))&amp;"","공통비"))</f>
        <v/>
      </c>
      <c r="AF603" s="64">
        <f>IF($A603="","",IF(AE603="직접",IFERROR(INDEX(계정매핑!$F$5:$F$504,MATCH($F603&amp;"",계정매핑!$A$5:$A$504,0))&amp;"","비귀속"),""))</f>
        <v/>
      </c>
      <c r="AG603" s="96">
        <f>IF($A603="",0,IF(AND(AE603&lt;&gt;"직접",IFERROR(INDEX(계정매핑!$G$5:$G$504,MATCH($F603&amp;"",계정매핑!$A$5:$A$504,0))&amp;"","")="유지비",COUNTIF(계정대체기준!$A$6:$A$15,$N603)&gt;0),IFERROR(INDEX(계정대체기준!$E$6:$E$15,MATCH(VALUE($A603&amp;""),계정대체기준!$D$6:$D$15,0)),0),0))</f>
        <v/>
      </c>
      <c r="AH603" s="64">
        <f>IF($A603="","",IF(AD603=0,"",IF(OR(COUNTIF(계정대체기준!$A$77:$A$86,$N603)&gt;0,ISNUMBER(MATCH($X603,계정대체기준!$D$77:$D$86,0)),ISNUMBER(MATCH($F603,계정대체기준!$D$77:$D$86,0))),"Y","N")))</f>
        <v/>
      </c>
    </row>
    <row r="604">
      <c r="A604" s="92" t="n">
        <v>2025</v>
      </c>
      <c r="B604" s="92" t="n">
        <v>3</v>
      </c>
      <c r="C604" s="92" t="inlineStr">
        <is>
          <t>5100000600</t>
        </is>
      </c>
      <c r="D604" s="95" t="n">
        <v>45734</v>
      </c>
      <c r="E604" s="92" t="inlineStr">
        <is>
          <t>KR</t>
        </is>
      </c>
      <c r="F604" s="92" t="n">
        <v>62301000</v>
      </c>
      <c r="G604" s="92" t="n">
        <v>1801</v>
      </c>
      <c r="H604" s="93" t="n">
        <v>344000</v>
      </c>
      <c r="I604" s="92" t="inlineStr">
        <is>
          <t>3월 소모품 구입 - R문구</t>
        </is>
      </c>
      <c r="J604" s="92" t="inlineStr">
        <is>
          <t>V10022</t>
        </is>
      </c>
      <c r="K604" s="92" t="inlineStr">
        <is>
          <t>R문구</t>
        </is>
      </c>
      <c r="M604" s="9">
        <f>IF($A604="","",VALUE($A604&amp;"")*12+VALUE($B604&amp;""))</f>
        <v/>
      </c>
      <c r="N604" s="64">
        <f>IF($A604="","",IFERROR(INDEX(부서매핑!$C$5:$C$504,MATCH($G604&amp;"",부서매핑!$A$5:$A$504,0)),"미매핑"))</f>
        <v/>
      </c>
      <c r="O604" s="9">
        <f>IF($A604="","",N604&amp;"|"&amp;$F604)</f>
        <v/>
      </c>
      <c r="P604" s="94">
        <f>IF($A604="",0,$H604*설정!$C$23)</f>
        <v/>
      </c>
      <c r="Q604" s="64">
        <f>IF($A604="","",IF(O604&lt;&gt;원인분석!$C$9,"",IF(AND(M604&gt;=원인분석!$C$10,M604&lt;=원인분석!$C$11),"당기",IF(AND(M604&gt;=원인분석!$C$12,M604&lt;=원인분석!$C$13),"비교",""))))</f>
        <v/>
      </c>
      <c r="R604" s="9">
        <f>IF(Q604="","",$K604&amp;"")</f>
        <v/>
      </c>
      <c r="S604" s="9">
        <f>IF(Q604="","",IF(MATCH(R604,$R$5:$R$100000,0)=ROW()-4,ROW(),""))</f>
        <v/>
      </c>
      <c r="T604" s="9">
        <f>IF(Q604="당기",ABS(P604)+ROW()/1000000000,"")</f>
        <v/>
      </c>
      <c r="U604" s="9">
        <f>IF(Q604="비교",ABS(P604)+ROW()/1000000000,"")</f>
        <v/>
      </c>
      <c r="V604" s="64">
        <f>IF($A604="","",IF(COUNTIF(변동분석!$E$7:$E$506,O604)&gt;0,"Y","N"))</f>
        <v/>
      </c>
      <c r="W604" s="64">
        <f>IF($A604="","",IFERROR(INDEX(계정매핑!$D$5:$D$504,MATCH($F604&amp;"",계정매핑!$A$5:$A$504,0)),"미매핑"))</f>
        <v/>
      </c>
      <c r="X604" s="9">
        <f>IF($A604="","",$F604&amp;"")</f>
        <v/>
      </c>
      <c r="Y604" s="94">
        <f>IF($A604="",0,IF(AE604="직접",IF(AF604="비귀속",$P604,0),$P604*(1-AG604)*IFERROR(INDEX(계정대체기준!$F$20:$F$49,MATCH($N604,계정대체기준!$A$20:$A$49,0)),1)))</f>
        <v/>
      </c>
      <c r="Z604" s="94">
        <f>IF($A604="",0,IF(AE604="직접",IF(AF604="신계약비",$P604,0),$P604*(1-AG604)*IFERROR(INDEX(계정대체기준!$C$20:$C$49,MATCH($N604,계정대체기준!$A$20:$A$49,0)),0)))</f>
        <v/>
      </c>
      <c r="AA604" s="94">
        <f>IF($A604="",0,IF(AE604="직접",IF(OR(AF604="유지비",AF604="손해조사비"),$P604,0),$P604*(1-AG604)*IFERROR(INDEX(계정대체기준!$D$20:$D$49,MATCH($N604,계정대체기준!$A$20:$A$49,0)),0)))</f>
        <v/>
      </c>
      <c r="AB604" s="94">
        <f>IF($A604="",0,IF(AE604="직접",IF(AF604="수금비",$P604,0),$P604*(1-AG604)*IFERROR(INDEX(계정대체기준!$E$20:$E$49,MATCH($N604,계정대체기준!$A$20:$A$49,0)),0)))</f>
        <v/>
      </c>
      <c r="AC604" s="9">
        <f>IF(AND($A604&lt;&gt;"",M604=설정!$C$20,Z604&gt;0),Z604+ROW()/1000000000,"")</f>
        <v/>
      </c>
      <c r="AD604" s="94">
        <f>IF($A604="",0,$P604*AG604)</f>
        <v/>
      </c>
      <c r="AE604" s="64">
        <f>IF($A604="","",IFERROR(INDEX(계정매핑!$E$5:$E$504,MATCH($F604&amp;"",계정매핑!$A$5:$A$504,0))&amp;"","공통비"))</f>
        <v/>
      </c>
      <c r="AF604" s="64">
        <f>IF($A604="","",IF(AE604="직접",IFERROR(INDEX(계정매핑!$F$5:$F$504,MATCH($F604&amp;"",계정매핑!$A$5:$A$504,0))&amp;"","비귀속"),""))</f>
        <v/>
      </c>
      <c r="AG604" s="96">
        <f>IF($A604="",0,IF(AND(AE604&lt;&gt;"직접",IFERROR(INDEX(계정매핑!$G$5:$G$504,MATCH($F604&amp;"",계정매핑!$A$5:$A$504,0))&amp;"","")="유지비",COUNTIF(계정대체기준!$A$6:$A$15,$N604)&gt;0),IFERROR(INDEX(계정대체기준!$E$6:$E$15,MATCH(VALUE($A604&amp;""),계정대체기준!$D$6:$D$15,0)),0),0))</f>
        <v/>
      </c>
      <c r="AH604" s="64">
        <f>IF($A604="","",IF(AD604=0,"",IF(OR(COUNTIF(계정대체기준!$A$77:$A$86,$N604)&gt;0,ISNUMBER(MATCH($X604,계정대체기준!$D$77:$D$86,0)),ISNUMBER(MATCH($F604,계정대체기준!$D$77:$D$86,0))),"Y","N")))</f>
        <v/>
      </c>
    </row>
    <row r="605">
      <c r="A605" s="92" t="n">
        <v>2025</v>
      </c>
      <c r="B605" s="92" t="n">
        <v>3</v>
      </c>
      <c r="C605" s="92" t="inlineStr">
        <is>
          <t>5100000601</t>
        </is>
      </c>
      <c r="D605" s="95" t="n">
        <v>45734</v>
      </c>
      <c r="E605" s="92" t="inlineStr">
        <is>
          <t>KR</t>
        </is>
      </c>
      <c r="F605" s="92" t="n">
        <v>62501000</v>
      </c>
      <c r="G605" s="92" t="n">
        <v>1101</v>
      </c>
      <c r="H605" s="93" t="n">
        <v>153000</v>
      </c>
      <c r="I605" s="92" t="inlineStr">
        <is>
          <t>3월 회의 다과 - (법인카드)</t>
        </is>
      </c>
      <c r="J605" s="92" t="inlineStr">
        <is>
          <t>V10010</t>
        </is>
      </c>
      <c r="K605" s="92" t="inlineStr">
        <is>
          <t>(법인카드)</t>
        </is>
      </c>
      <c r="M605" s="9">
        <f>IF($A605="","",VALUE($A605&amp;"")*12+VALUE($B605&amp;""))</f>
        <v/>
      </c>
      <c r="N605" s="64">
        <f>IF($A605="","",IFERROR(INDEX(부서매핑!$C$5:$C$504,MATCH($G605&amp;"",부서매핑!$A$5:$A$504,0)),"미매핑"))</f>
        <v/>
      </c>
      <c r="O605" s="9">
        <f>IF($A605="","",N605&amp;"|"&amp;$F605)</f>
        <v/>
      </c>
      <c r="P605" s="94">
        <f>IF($A605="",0,$H605*설정!$C$23)</f>
        <v/>
      </c>
      <c r="Q605" s="64">
        <f>IF($A605="","",IF(O605&lt;&gt;원인분석!$C$9,"",IF(AND(M605&gt;=원인분석!$C$10,M605&lt;=원인분석!$C$11),"당기",IF(AND(M605&gt;=원인분석!$C$12,M605&lt;=원인분석!$C$13),"비교",""))))</f>
        <v/>
      </c>
      <c r="R605" s="9">
        <f>IF(Q605="","",$K605&amp;"")</f>
        <v/>
      </c>
      <c r="S605" s="9">
        <f>IF(Q605="","",IF(MATCH(R605,$R$5:$R$100000,0)=ROW()-4,ROW(),""))</f>
        <v/>
      </c>
      <c r="T605" s="9">
        <f>IF(Q605="당기",ABS(P605)+ROW()/1000000000,"")</f>
        <v/>
      </c>
      <c r="U605" s="9">
        <f>IF(Q605="비교",ABS(P605)+ROW()/1000000000,"")</f>
        <v/>
      </c>
      <c r="V605" s="64">
        <f>IF($A605="","",IF(COUNTIF(변동분석!$E$7:$E$506,O605)&gt;0,"Y","N"))</f>
        <v/>
      </c>
      <c r="W605" s="64">
        <f>IF($A605="","",IFERROR(INDEX(계정매핑!$D$5:$D$504,MATCH($F605&amp;"",계정매핑!$A$5:$A$504,0)),"미매핑"))</f>
        <v/>
      </c>
      <c r="X605" s="9">
        <f>IF($A605="","",$F605&amp;"")</f>
        <v/>
      </c>
      <c r="Y605" s="94">
        <f>IF($A605="",0,IF(AE605="직접",IF(AF605="비귀속",$P605,0),$P605*(1-AG605)*IFERROR(INDEX(계정대체기준!$F$20:$F$49,MATCH($N605,계정대체기준!$A$20:$A$49,0)),1)))</f>
        <v/>
      </c>
      <c r="Z605" s="94">
        <f>IF($A605="",0,IF(AE605="직접",IF(AF605="신계약비",$P605,0),$P605*(1-AG605)*IFERROR(INDEX(계정대체기준!$C$20:$C$49,MATCH($N605,계정대체기준!$A$20:$A$49,0)),0)))</f>
        <v/>
      </c>
      <c r="AA605" s="94">
        <f>IF($A605="",0,IF(AE605="직접",IF(OR(AF605="유지비",AF605="손해조사비"),$P605,0),$P605*(1-AG605)*IFERROR(INDEX(계정대체기준!$D$20:$D$49,MATCH($N605,계정대체기준!$A$20:$A$49,0)),0)))</f>
        <v/>
      </c>
      <c r="AB605" s="94">
        <f>IF($A605="",0,IF(AE605="직접",IF(AF605="수금비",$P605,0),$P605*(1-AG605)*IFERROR(INDEX(계정대체기준!$E$20:$E$49,MATCH($N605,계정대체기준!$A$20:$A$49,0)),0)))</f>
        <v/>
      </c>
      <c r="AC605" s="9">
        <f>IF(AND($A605&lt;&gt;"",M605=설정!$C$20,Z605&gt;0),Z605+ROW()/1000000000,"")</f>
        <v/>
      </c>
      <c r="AD605" s="94">
        <f>IF($A605="",0,$P605*AG605)</f>
        <v/>
      </c>
      <c r="AE605" s="64">
        <f>IF($A605="","",IFERROR(INDEX(계정매핑!$E$5:$E$504,MATCH($F605&amp;"",계정매핑!$A$5:$A$504,0))&amp;"","공통비"))</f>
        <v/>
      </c>
      <c r="AF605" s="64">
        <f>IF($A605="","",IF(AE605="직접",IFERROR(INDEX(계정매핑!$F$5:$F$504,MATCH($F605&amp;"",계정매핑!$A$5:$A$504,0))&amp;"","비귀속"),""))</f>
        <v/>
      </c>
      <c r="AG605" s="96">
        <f>IF($A605="",0,IF(AND(AE605&lt;&gt;"직접",IFERROR(INDEX(계정매핑!$G$5:$G$504,MATCH($F605&amp;"",계정매핑!$A$5:$A$504,0))&amp;"","")="유지비",COUNTIF(계정대체기준!$A$6:$A$15,$N605)&gt;0),IFERROR(INDEX(계정대체기준!$E$6:$E$15,MATCH(VALUE($A605&amp;""),계정대체기준!$D$6:$D$15,0)),0),0))</f>
        <v/>
      </c>
      <c r="AH605" s="64">
        <f>IF($A605="","",IF(AD605=0,"",IF(OR(COUNTIF(계정대체기준!$A$77:$A$86,$N605)&gt;0,ISNUMBER(MATCH($X605,계정대체기준!$D$77:$D$86,0)),ISNUMBER(MATCH($F605,계정대체기준!$D$77:$D$86,0))),"Y","N")))</f>
        <v/>
      </c>
    </row>
    <row r="606">
      <c r="A606" s="92" t="n">
        <v>2025</v>
      </c>
      <c r="B606" s="92" t="n">
        <v>3</v>
      </c>
      <c r="C606" s="92" t="inlineStr">
        <is>
          <t>5100000602</t>
        </is>
      </c>
      <c r="D606" s="95" t="n">
        <v>45734</v>
      </c>
      <c r="E606" s="92" t="inlineStr">
        <is>
          <t>KR</t>
        </is>
      </c>
      <c r="F606" s="92" t="n">
        <v>62902000</v>
      </c>
      <c r="G606" s="92" t="n">
        <v>1801</v>
      </c>
      <c r="H606" s="93" t="n">
        <v>1799000</v>
      </c>
      <c r="I606" s="92" t="inlineStr">
        <is>
          <t>3월 콜 위탁 수수료(건별)</t>
        </is>
      </c>
      <c r="J606" s="92" t="inlineStr">
        <is>
          <t>V10016</t>
        </is>
      </c>
      <c r="K606" s="92" t="inlineStr">
        <is>
          <t>J콜센터</t>
        </is>
      </c>
      <c r="M606" s="9">
        <f>IF($A606="","",VALUE($A606&amp;"")*12+VALUE($B606&amp;""))</f>
        <v/>
      </c>
      <c r="N606" s="64">
        <f>IF($A606="","",IFERROR(INDEX(부서매핑!$C$5:$C$504,MATCH($G606&amp;"",부서매핑!$A$5:$A$504,0)),"미매핑"))</f>
        <v/>
      </c>
      <c r="O606" s="9">
        <f>IF($A606="","",N606&amp;"|"&amp;$F606)</f>
        <v/>
      </c>
      <c r="P606" s="94">
        <f>IF($A606="",0,$H606*설정!$C$23)</f>
        <v/>
      </c>
      <c r="Q606" s="64">
        <f>IF($A606="","",IF(O606&lt;&gt;원인분석!$C$9,"",IF(AND(M606&gt;=원인분석!$C$10,M606&lt;=원인분석!$C$11),"당기",IF(AND(M606&gt;=원인분석!$C$12,M606&lt;=원인분석!$C$13),"비교",""))))</f>
        <v/>
      </c>
      <c r="R606" s="9">
        <f>IF(Q606="","",$K606&amp;"")</f>
        <v/>
      </c>
      <c r="S606" s="9">
        <f>IF(Q606="","",IF(MATCH(R606,$R$5:$R$100000,0)=ROW()-4,ROW(),""))</f>
        <v/>
      </c>
      <c r="T606" s="9">
        <f>IF(Q606="당기",ABS(P606)+ROW()/1000000000,"")</f>
        <v/>
      </c>
      <c r="U606" s="9">
        <f>IF(Q606="비교",ABS(P606)+ROW()/1000000000,"")</f>
        <v/>
      </c>
      <c r="V606" s="64">
        <f>IF($A606="","",IF(COUNTIF(변동분석!$E$7:$E$506,O606)&gt;0,"Y","N"))</f>
        <v/>
      </c>
      <c r="W606" s="64">
        <f>IF($A606="","",IFERROR(INDEX(계정매핑!$D$5:$D$504,MATCH($F606&amp;"",계정매핑!$A$5:$A$504,0)),"미매핑"))</f>
        <v/>
      </c>
      <c r="X606" s="9">
        <f>IF($A606="","",$F606&amp;"")</f>
        <v/>
      </c>
      <c r="Y606" s="94">
        <f>IF($A606="",0,IF(AE606="직접",IF(AF606="비귀속",$P606,0),$P606*(1-AG606)*IFERROR(INDEX(계정대체기준!$F$20:$F$49,MATCH($N606,계정대체기준!$A$20:$A$49,0)),1)))</f>
        <v/>
      </c>
      <c r="Z606" s="94">
        <f>IF($A606="",0,IF(AE606="직접",IF(AF606="신계약비",$P606,0),$P606*(1-AG606)*IFERROR(INDEX(계정대체기준!$C$20:$C$49,MATCH($N606,계정대체기준!$A$20:$A$49,0)),0)))</f>
        <v/>
      </c>
      <c r="AA606" s="94">
        <f>IF($A606="",0,IF(AE606="직접",IF(OR(AF606="유지비",AF606="손해조사비"),$P606,0),$P606*(1-AG606)*IFERROR(INDEX(계정대체기준!$D$20:$D$49,MATCH($N606,계정대체기준!$A$20:$A$49,0)),0)))</f>
        <v/>
      </c>
      <c r="AB606" s="94">
        <f>IF($A606="",0,IF(AE606="직접",IF(AF606="수금비",$P606,0),$P606*(1-AG606)*IFERROR(INDEX(계정대체기준!$E$20:$E$49,MATCH($N606,계정대체기준!$A$20:$A$49,0)),0)))</f>
        <v/>
      </c>
      <c r="AC606" s="9">
        <f>IF(AND($A606&lt;&gt;"",M606=설정!$C$20,Z606&gt;0),Z606+ROW()/1000000000,"")</f>
        <v/>
      </c>
      <c r="AD606" s="94">
        <f>IF($A606="",0,$P606*AG606)</f>
        <v/>
      </c>
      <c r="AE606" s="64">
        <f>IF($A606="","",IFERROR(INDEX(계정매핑!$E$5:$E$504,MATCH($F606&amp;"",계정매핑!$A$5:$A$504,0))&amp;"","공통비"))</f>
        <v/>
      </c>
      <c r="AF606" s="64">
        <f>IF($A606="","",IF(AE606="직접",IFERROR(INDEX(계정매핑!$F$5:$F$504,MATCH($F606&amp;"",계정매핑!$A$5:$A$504,0))&amp;"","비귀속"),""))</f>
        <v/>
      </c>
      <c r="AG606" s="96">
        <f>IF($A606="",0,IF(AND(AE606&lt;&gt;"직접",IFERROR(INDEX(계정매핑!$G$5:$G$504,MATCH($F606&amp;"",계정매핑!$A$5:$A$504,0))&amp;"","")="유지비",COUNTIF(계정대체기준!$A$6:$A$15,$N606)&gt;0),IFERROR(INDEX(계정대체기준!$E$6:$E$15,MATCH(VALUE($A606&amp;""),계정대체기준!$D$6:$D$15,0)),0),0))</f>
        <v/>
      </c>
      <c r="AH606" s="64">
        <f>IF($A606="","",IF(AD606=0,"",IF(OR(COUNTIF(계정대체기준!$A$77:$A$86,$N606)&gt;0,ISNUMBER(MATCH($X606,계정대체기준!$D$77:$D$86,0)),ISNUMBER(MATCH($F606,계정대체기준!$D$77:$D$86,0))),"Y","N")))</f>
        <v/>
      </c>
    </row>
    <row r="607">
      <c r="A607" s="92" t="n">
        <v>2025</v>
      </c>
      <c r="B607" s="92" t="n">
        <v>3</v>
      </c>
      <c r="C607" s="92" t="inlineStr">
        <is>
          <t>5100000603</t>
        </is>
      </c>
      <c r="D607" s="95" t="n">
        <v>45734</v>
      </c>
      <c r="E607" s="92" t="inlineStr">
        <is>
          <t>KR</t>
        </is>
      </c>
      <c r="F607" s="92" t="n">
        <v>62902000</v>
      </c>
      <c r="G607" s="92" t="n">
        <v>1801</v>
      </c>
      <c r="H607" s="93" t="n">
        <v>3000000</v>
      </c>
      <c r="I607" s="92" t="inlineStr">
        <is>
          <t>3월 업무 위탁 수수료 - X서비스</t>
        </is>
      </c>
      <c r="J607" s="92" t="inlineStr">
        <is>
          <t>V10020</t>
        </is>
      </c>
      <c r="K607" s="92" t="inlineStr">
        <is>
          <t>X서비스</t>
        </is>
      </c>
      <c r="M607" s="9">
        <f>IF($A607="","",VALUE($A607&amp;"")*12+VALUE($B607&amp;""))</f>
        <v/>
      </c>
      <c r="N607" s="64">
        <f>IF($A607="","",IFERROR(INDEX(부서매핑!$C$5:$C$504,MATCH($G607&amp;"",부서매핑!$A$5:$A$504,0)),"미매핑"))</f>
        <v/>
      </c>
      <c r="O607" s="9">
        <f>IF($A607="","",N607&amp;"|"&amp;$F607)</f>
        <v/>
      </c>
      <c r="P607" s="94">
        <f>IF($A607="",0,$H607*설정!$C$23)</f>
        <v/>
      </c>
      <c r="Q607" s="64">
        <f>IF($A607="","",IF(O607&lt;&gt;원인분석!$C$9,"",IF(AND(M607&gt;=원인분석!$C$10,M607&lt;=원인분석!$C$11),"당기",IF(AND(M607&gt;=원인분석!$C$12,M607&lt;=원인분석!$C$13),"비교",""))))</f>
        <v/>
      </c>
      <c r="R607" s="9">
        <f>IF(Q607="","",$K607&amp;"")</f>
        <v/>
      </c>
      <c r="S607" s="9">
        <f>IF(Q607="","",IF(MATCH(R607,$R$5:$R$100000,0)=ROW()-4,ROW(),""))</f>
        <v/>
      </c>
      <c r="T607" s="9">
        <f>IF(Q607="당기",ABS(P607)+ROW()/1000000000,"")</f>
        <v/>
      </c>
      <c r="U607" s="9">
        <f>IF(Q607="비교",ABS(P607)+ROW()/1000000000,"")</f>
        <v/>
      </c>
      <c r="V607" s="64">
        <f>IF($A607="","",IF(COUNTIF(변동분석!$E$7:$E$506,O607)&gt;0,"Y","N"))</f>
        <v/>
      </c>
      <c r="W607" s="64">
        <f>IF($A607="","",IFERROR(INDEX(계정매핑!$D$5:$D$504,MATCH($F607&amp;"",계정매핑!$A$5:$A$504,0)),"미매핑"))</f>
        <v/>
      </c>
      <c r="X607" s="9">
        <f>IF($A607="","",$F607&amp;"")</f>
        <v/>
      </c>
      <c r="Y607" s="94">
        <f>IF($A607="",0,IF(AE607="직접",IF(AF607="비귀속",$P607,0),$P607*(1-AG607)*IFERROR(INDEX(계정대체기준!$F$20:$F$49,MATCH($N607,계정대체기준!$A$20:$A$49,0)),1)))</f>
        <v/>
      </c>
      <c r="Z607" s="94">
        <f>IF($A607="",0,IF(AE607="직접",IF(AF607="신계약비",$P607,0),$P607*(1-AG607)*IFERROR(INDEX(계정대체기준!$C$20:$C$49,MATCH($N607,계정대체기준!$A$20:$A$49,0)),0)))</f>
        <v/>
      </c>
      <c r="AA607" s="94">
        <f>IF($A607="",0,IF(AE607="직접",IF(OR(AF607="유지비",AF607="손해조사비"),$P607,0),$P607*(1-AG607)*IFERROR(INDEX(계정대체기준!$D$20:$D$49,MATCH($N607,계정대체기준!$A$20:$A$49,0)),0)))</f>
        <v/>
      </c>
      <c r="AB607" s="94">
        <f>IF($A607="",0,IF(AE607="직접",IF(AF607="수금비",$P607,0),$P607*(1-AG607)*IFERROR(INDEX(계정대체기준!$E$20:$E$49,MATCH($N607,계정대체기준!$A$20:$A$49,0)),0)))</f>
        <v/>
      </c>
      <c r="AC607" s="9">
        <f>IF(AND($A607&lt;&gt;"",M607=설정!$C$20,Z607&gt;0),Z607+ROW()/1000000000,"")</f>
        <v/>
      </c>
      <c r="AD607" s="94">
        <f>IF($A607="",0,$P607*AG607)</f>
        <v/>
      </c>
      <c r="AE607" s="64">
        <f>IF($A607="","",IFERROR(INDEX(계정매핑!$E$5:$E$504,MATCH($F607&amp;"",계정매핑!$A$5:$A$504,0))&amp;"","공통비"))</f>
        <v/>
      </c>
      <c r="AF607" s="64">
        <f>IF($A607="","",IF(AE607="직접",IFERROR(INDEX(계정매핑!$F$5:$F$504,MATCH($F607&amp;"",계정매핑!$A$5:$A$504,0))&amp;"","비귀속"),""))</f>
        <v/>
      </c>
      <c r="AG607" s="96">
        <f>IF($A607="",0,IF(AND(AE607&lt;&gt;"직접",IFERROR(INDEX(계정매핑!$G$5:$G$504,MATCH($F607&amp;"",계정매핑!$A$5:$A$504,0))&amp;"","")="유지비",COUNTIF(계정대체기준!$A$6:$A$15,$N607)&gt;0),IFERROR(INDEX(계정대체기준!$E$6:$E$15,MATCH(VALUE($A607&amp;""),계정대체기준!$D$6:$D$15,0)),0),0))</f>
        <v/>
      </c>
      <c r="AH607" s="64">
        <f>IF($A607="","",IF(AD607=0,"",IF(OR(COUNTIF(계정대체기준!$A$77:$A$86,$N607)&gt;0,ISNUMBER(MATCH($X607,계정대체기준!$D$77:$D$86,0)),ISNUMBER(MATCH($F607,계정대체기준!$D$77:$D$86,0))),"Y","N")))</f>
        <v/>
      </c>
    </row>
    <row r="608">
      <c r="A608" s="92" t="n">
        <v>2025</v>
      </c>
      <c r="B608" s="92" t="n">
        <v>3</v>
      </c>
      <c r="C608" s="92" t="inlineStr">
        <is>
          <t>5100000604</t>
        </is>
      </c>
      <c r="D608" s="95" t="n">
        <v>45735</v>
      </c>
      <c r="E608" s="92" t="inlineStr">
        <is>
          <t>KR</t>
        </is>
      </c>
      <c r="F608" s="92" t="n">
        <v>62101000</v>
      </c>
      <c r="G608" s="92" t="n">
        <v>1301</v>
      </c>
      <c r="H608" s="93" t="n">
        <v>289000</v>
      </c>
      <c r="I608" s="92" t="inlineStr">
        <is>
          <t>3월 국내출장 - (법인카드)</t>
        </is>
      </c>
      <c r="J608" s="92" t="inlineStr">
        <is>
          <t>V10010</t>
        </is>
      </c>
      <c r="K608" s="92" t="inlineStr">
        <is>
          <t>(법인카드)</t>
        </is>
      </c>
      <c r="M608" s="9">
        <f>IF($A608="","",VALUE($A608&amp;"")*12+VALUE($B608&amp;""))</f>
        <v/>
      </c>
      <c r="N608" s="64">
        <f>IF($A608="","",IFERROR(INDEX(부서매핑!$C$5:$C$504,MATCH($G608&amp;"",부서매핑!$A$5:$A$504,0)),"미매핑"))</f>
        <v/>
      </c>
      <c r="O608" s="9">
        <f>IF($A608="","",N608&amp;"|"&amp;$F608)</f>
        <v/>
      </c>
      <c r="P608" s="94">
        <f>IF($A608="",0,$H608*설정!$C$23)</f>
        <v/>
      </c>
      <c r="Q608" s="64">
        <f>IF($A608="","",IF(O608&lt;&gt;원인분석!$C$9,"",IF(AND(M608&gt;=원인분석!$C$10,M608&lt;=원인분석!$C$11),"당기",IF(AND(M608&gt;=원인분석!$C$12,M608&lt;=원인분석!$C$13),"비교",""))))</f>
        <v/>
      </c>
      <c r="R608" s="9">
        <f>IF(Q608="","",$K608&amp;"")</f>
        <v/>
      </c>
      <c r="S608" s="9">
        <f>IF(Q608="","",IF(MATCH(R608,$R$5:$R$100000,0)=ROW()-4,ROW(),""))</f>
        <v/>
      </c>
      <c r="T608" s="9">
        <f>IF(Q608="당기",ABS(P608)+ROW()/1000000000,"")</f>
        <v/>
      </c>
      <c r="U608" s="9">
        <f>IF(Q608="비교",ABS(P608)+ROW()/1000000000,"")</f>
        <v/>
      </c>
      <c r="V608" s="64">
        <f>IF($A608="","",IF(COUNTIF(변동분석!$E$7:$E$506,O608)&gt;0,"Y","N"))</f>
        <v/>
      </c>
      <c r="W608" s="64">
        <f>IF($A608="","",IFERROR(INDEX(계정매핑!$D$5:$D$504,MATCH($F608&amp;"",계정매핑!$A$5:$A$504,0)),"미매핑"))</f>
        <v/>
      </c>
      <c r="X608" s="9">
        <f>IF($A608="","",$F608&amp;"")</f>
        <v/>
      </c>
      <c r="Y608" s="94">
        <f>IF($A608="",0,IF(AE608="직접",IF(AF608="비귀속",$P608,0),$P608*(1-AG608)*IFERROR(INDEX(계정대체기준!$F$20:$F$49,MATCH($N608,계정대체기준!$A$20:$A$49,0)),1)))</f>
        <v/>
      </c>
      <c r="Z608" s="94">
        <f>IF($A608="",0,IF(AE608="직접",IF(AF608="신계약비",$P608,0),$P608*(1-AG608)*IFERROR(INDEX(계정대체기준!$C$20:$C$49,MATCH($N608,계정대체기준!$A$20:$A$49,0)),0)))</f>
        <v/>
      </c>
      <c r="AA608" s="94">
        <f>IF($A608="",0,IF(AE608="직접",IF(OR(AF608="유지비",AF608="손해조사비"),$P608,0),$P608*(1-AG608)*IFERROR(INDEX(계정대체기준!$D$20:$D$49,MATCH($N608,계정대체기준!$A$20:$A$49,0)),0)))</f>
        <v/>
      </c>
      <c r="AB608" s="94">
        <f>IF($A608="",0,IF(AE608="직접",IF(AF608="수금비",$P608,0),$P608*(1-AG608)*IFERROR(INDEX(계정대체기준!$E$20:$E$49,MATCH($N608,계정대체기준!$A$20:$A$49,0)),0)))</f>
        <v/>
      </c>
      <c r="AC608" s="9">
        <f>IF(AND($A608&lt;&gt;"",M608=설정!$C$20,Z608&gt;0),Z608+ROW()/1000000000,"")</f>
        <v/>
      </c>
      <c r="AD608" s="94">
        <f>IF($A608="",0,$P608*AG608)</f>
        <v/>
      </c>
      <c r="AE608" s="64">
        <f>IF($A608="","",IFERROR(INDEX(계정매핑!$E$5:$E$504,MATCH($F608&amp;"",계정매핑!$A$5:$A$504,0))&amp;"","공통비"))</f>
        <v/>
      </c>
      <c r="AF608" s="64">
        <f>IF($A608="","",IF(AE608="직접",IFERROR(INDEX(계정매핑!$F$5:$F$504,MATCH($F608&amp;"",계정매핑!$A$5:$A$504,0))&amp;"","비귀속"),""))</f>
        <v/>
      </c>
      <c r="AG608" s="96">
        <f>IF($A608="",0,IF(AND(AE608&lt;&gt;"직접",IFERROR(INDEX(계정매핑!$G$5:$G$504,MATCH($F608&amp;"",계정매핑!$A$5:$A$504,0))&amp;"","")="유지비",COUNTIF(계정대체기준!$A$6:$A$15,$N608)&gt;0),IFERROR(INDEX(계정대체기준!$E$6:$E$15,MATCH(VALUE($A608&amp;""),계정대체기준!$D$6:$D$15,0)),0),0))</f>
        <v/>
      </c>
      <c r="AH608" s="64">
        <f>IF($A608="","",IF(AD608=0,"",IF(OR(COUNTIF(계정대체기준!$A$77:$A$86,$N608)&gt;0,ISNUMBER(MATCH($X608,계정대체기준!$D$77:$D$86,0)),ISNUMBER(MATCH($F608,계정대체기준!$D$77:$D$86,0))),"Y","N")))</f>
        <v/>
      </c>
    </row>
    <row r="609">
      <c r="A609" s="92" t="n">
        <v>2025</v>
      </c>
      <c r="B609" s="92" t="n">
        <v>3</v>
      </c>
      <c r="C609" s="92" t="inlineStr">
        <is>
          <t>5100000605</t>
        </is>
      </c>
      <c r="D609" s="95" t="n">
        <v>45735</v>
      </c>
      <c r="E609" s="92" t="inlineStr">
        <is>
          <t>KR</t>
        </is>
      </c>
      <c r="F609" s="92" t="n">
        <v>62201000</v>
      </c>
      <c r="G609" s="92" t="n">
        <v>1602</v>
      </c>
      <c r="H609" s="93" t="n">
        <v>1141000</v>
      </c>
      <c r="I609" s="92" t="inlineStr">
        <is>
          <t>3월 통신요금 - O텔레콤</t>
        </is>
      </c>
      <c r="J609" s="92" t="inlineStr">
        <is>
          <t>V10002</t>
        </is>
      </c>
      <c r="K609" s="92" t="inlineStr">
        <is>
          <t>O텔레콤</t>
        </is>
      </c>
      <c r="M609" s="9">
        <f>IF($A609="","",VALUE($A609&amp;"")*12+VALUE($B609&amp;""))</f>
        <v/>
      </c>
      <c r="N609" s="64">
        <f>IF($A609="","",IFERROR(INDEX(부서매핑!$C$5:$C$504,MATCH($G609&amp;"",부서매핑!$A$5:$A$504,0)),"미매핑"))</f>
        <v/>
      </c>
      <c r="O609" s="9">
        <f>IF($A609="","",N609&amp;"|"&amp;$F609)</f>
        <v/>
      </c>
      <c r="P609" s="94">
        <f>IF($A609="",0,$H609*설정!$C$23)</f>
        <v/>
      </c>
      <c r="Q609" s="64">
        <f>IF($A609="","",IF(O609&lt;&gt;원인분석!$C$9,"",IF(AND(M609&gt;=원인분석!$C$10,M609&lt;=원인분석!$C$11),"당기",IF(AND(M609&gt;=원인분석!$C$12,M609&lt;=원인분석!$C$13),"비교",""))))</f>
        <v/>
      </c>
      <c r="R609" s="9">
        <f>IF(Q609="","",$K609&amp;"")</f>
        <v/>
      </c>
      <c r="S609" s="9">
        <f>IF(Q609="","",IF(MATCH(R609,$R$5:$R$100000,0)=ROW()-4,ROW(),""))</f>
        <v/>
      </c>
      <c r="T609" s="9">
        <f>IF(Q609="당기",ABS(P609)+ROW()/1000000000,"")</f>
        <v/>
      </c>
      <c r="U609" s="9">
        <f>IF(Q609="비교",ABS(P609)+ROW()/1000000000,"")</f>
        <v/>
      </c>
      <c r="V609" s="64">
        <f>IF($A609="","",IF(COUNTIF(변동분석!$E$7:$E$506,O609)&gt;0,"Y","N"))</f>
        <v/>
      </c>
      <c r="W609" s="64">
        <f>IF($A609="","",IFERROR(INDEX(계정매핑!$D$5:$D$504,MATCH($F609&amp;"",계정매핑!$A$5:$A$504,0)),"미매핑"))</f>
        <v/>
      </c>
      <c r="X609" s="9">
        <f>IF($A609="","",$F609&amp;"")</f>
        <v/>
      </c>
      <c r="Y609" s="94">
        <f>IF($A609="",0,IF(AE609="직접",IF(AF609="비귀속",$P609,0),$P609*(1-AG609)*IFERROR(INDEX(계정대체기준!$F$20:$F$49,MATCH($N609,계정대체기준!$A$20:$A$49,0)),1)))</f>
        <v/>
      </c>
      <c r="Z609" s="94">
        <f>IF($A609="",0,IF(AE609="직접",IF(AF609="신계약비",$P609,0),$P609*(1-AG609)*IFERROR(INDEX(계정대체기준!$C$20:$C$49,MATCH($N609,계정대체기준!$A$20:$A$49,0)),0)))</f>
        <v/>
      </c>
      <c r="AA609" s="94">
        <f>IF($A609="",0,IF(AE609="직접",IF(OR(AF609="유지비",AF609="손해조사비"),$P609,0),$P609*(1-AG609)*IFERROR(INDEX(계정대체기준!$D$20:$D$49,MATCH($N609,계정대체기준!$A$20:$A$49,0)),0)))</f>
        <v/>
      </c>
      <c r="AB609" s="94">
        <f>IF($A609="",0,IF(AE609="직접",IF(AF609="수금비",$P609,0),$P609*(1-AG609)*IFERROR(INDEX(계정대체기준!$E$20:$E$49,MATCH($N609,계정대체기준!$A$20:$A$49,0)),0)))</f>
        <v/>
      </c>
      <c r="AC609" s="9">
        <f>IF(AND($A609&lt;&gt;"",M609=설정!$C$20,Z609&gt;0),Z609+ROW()/1000000000,"")</f>
        <v/>
      </c>
      <c r="AD609" s="94">
        <f>IF($A609="",0,$P609*AG609)</f>
        <v/>
      </c>
      <c r="AE609" s="64">
        <f>IF($A609="","",IFERROR(INDEX(계정매핑!$E$5:$E$504,MATCH($F609&amp;"",계정매핑!$A$5:$A$504,0))&amp;"","공통비"))</f>
        <v/>
      </c>
      <c r="AF609" s="64">
        <f>IF($A609="","",IF(AE609="직접",IFERROR(INDEX(계정매핑!$F$5:$F$504,MATCH($F609&amp;"",계정매핑!$A$5:$A$504,0))&amp;"","비귀속"),""))</f>
        <v/>
      </c>
      <c r="AG609" s="96">
        <f>IF($A609="",0,IF(AND(AE609&lt;&gt;"직접",IFERROR(INDEX(계정매핑!$G$5:$G$504,MATCH($F609&amp;"",계정매핑!$A$5:$A$504,0))&amp;"","")="유지비",COUNTIF(계정대체기준!$A$6:$A$15,$N609)&gt;0),IFERROR(INDEX(계정대체기준!$E$6:$E$15,MATCH(VALUE($A609&amp;""),계정대체기준!$D$6:$D$15,0)),0),0))</f>
        <v/>
      </c>
      <c r="AH609" s="64">
        <f>IF($A609="","",IF(AD609=0,"",IF(OR(COUNTIF(계정대체기준!$A$77:$A$86,$N609)&gt;0,ISNUMBER(MATCH($X609,계정대체기준!$D$77:$D$86,0)),ISNUMBER(MATCH($F609,계정대체기준!$D$77:$D$86,0))),"Y","N")))</f>
        <v/>
      </c>
    </row>
    <row r="610">
      <c r="A610" s="92" t="n">
        <v>2025</v>
      </c>
      <c r="B610" s="92" t="n">
        <v>3</v>
      </c>
      <c r="C610" s="92" t="inlineStr">
        <is>
          <t>5100000606</t>
        </is>
      </c>
      <c r="D610" s="95" t="n">
        <v>45735</v>
      </c>
      <c r="E610" s="92" t="inlineStr">
        <is>
          <t>KR</t>
        </is>
      </c>
      <c r="F610" s="92" t="n">
        <v>62201000</v>
      </c>
      <c r="G610" s="92" t="n">
        <v>1701</v>
      </c>
      <c r="H610" s="93" t="n">
        <v>3819000</v>
      </c>
      <c r="I610" s="92" t="inlineStr">
        <is>
          <t>3월 통신요금 - P통신</t>
        </is>
      </c>
      <c r="J610" s="92" t="inlineStr">
        <is>
          <t>V10014</t>
        </is>
      </c>
      <c r="K610" s="92" t="inlineStr">
        <is>
          <t>P통신</t>
        </is>
      </c>
      <c r="M610" s="9">
        <f>IF($A610="","",VALUE($A610&amp;"")*12+VALUE($B610&amp;""))</f>
        <v/>
      </c>
      <c r="N610" s="64">
        <f>IF($A610="","",IFERROR(INDEX(부서매핑!$C$5:$C$504,MATCH($G610&amp;"",부서매핑!$A$5:$A$504,0)),"미매핑"))</f>
        <v/>
      </c>
      <c r="O610" s="9">
        <f>IF($A610="","",N610&amp;"|"&amp;$F610)</f>
        <v/>
      </c>
      <c r="P610" s="94">
        <f>IF($A610="",0,$H610*설정!$C$23)</f>
        <v/>
      </c>
      <c r="Q610" s="64">
        <f>IF($A610="","",IF(O610&lt;&gt;원인분석!$C$9,"",IF(AND(M610&gt;=원인분석!$C$10,M610&lt;=원인분석!$C$11),"당기",IF(AND(M610&gt;=원인분석!$C$12,M610&lt;=원인분석!$C$13),"비교",""))))</f>
        <v/>
      </c>
      <c r="R610" s="9">
        <f>IF(Q610="","",$K610&amp;"")</f>
        <v/>
      </c>
      <c r="S610" s="9">
        <f>IF(Q610="","",IF(MATCH(R610,$R$5:$R$100000,0)=ROW()-4,ROW(),""))</f>
        <v/>
      </c>
      <c r="T610" s="9">
        <f>IF(Q610="당기",ABS(P610)+ROW()/1000000000,"")</f>
        <v/>
      </c>
      <c r="U610" s="9">
        <f>IF(Q610="비교",ABS(P610)+ROW()/1000000000,"")</f>
        <v/>
      </c>
      <c r="V610" s="64">
        <f>IF($A610="","",IF(COUNTIF(변동분석!$E$7:$E$506,O610)&gt;0,"Y","N"))</f>
        <v/>
      </c>
      <c r="W610" s="64">
        <f>IF($A610="","",IFERROR(INDEX(계정매핑!$D$5:$D$504,MATCH($F610&amp;"",계정매핑!$A$5:$A$504,0)),"미매핑"))</f>
        <v/>
      </c>
      <c r="X610" s="9">
        <f>IF($A610="","",$F610&amp;"")</f>
        <v/>
      </c>
      <c r="Y610" s="94">
        <f>IF($A610="",0,IF(AE610="직접",IF(AF610="비귀속",$P610,0),$P610*(1-AG610)*IFERROR(INDEX(계정대체기준!$F$20:$F$49,MATCH($N610,계정대체기준!$A$20:$A$49,0)),1)))</f>
        <v/>
      </c>
      <c r="Z610" s="94">
        <f>IF($A610="",0,IF(AE610="직접",IF(AF610="신계약비",$P610,0),$P610*(1-AG610)*IFERROR(INDEX(계정대체기준!$C$20:$C$49,MATCH($N610,계정대체기준!$A$20:$A$49,0)),0)))</f>
        <v/>
      </c>
      <c r="AA610" s="94">
        <f>IF($A610="",0,IF(AE610="직접",IF(OR(AF610="유지비",AF610="손해조사비"),$P610,0),$P610*(1-AG610)*IFERROR(INDEX(계정대체기준!$D$20:$D$49,MATCH($N610,계정대체기준!$A$20:$A$49,0)),0)))</f>
        <v/>
      </c>
      <c r="AB610" s="94">
        <f>IF($A610="",0,IF(AE610="직접",IF(AF610="수금비",$P610,0),$P610*(1-AG610)*IFERROR(INDEX(계정대체기준!$E$20:$E$49,MATCH($N610,계정대체기준!$A$20:$A$49,0)),0)))</f>
        <v/>
      </c>
      <c r="AC610" s="9">
        <f>IF(AND($A610&lt;&gt;"",M610=설정!$C$20,Z610&gt;0),Z610+ROW()/1000000000,"")</f>
        <v/>
      </c>
      <c r="AD610" s="94">
        <f>IF($A610="",0,$P610*AG610)</f>
        <v/>
      </c>
      <c r="AE610" s="64">
        <f>IF($A610="","",IFERROR(INDEX(계정매핑!$E$5:$E$504,MATCH($F610&amp;"",계정매핑!$A$5:$A$504,0))&amp;"","공통비"))</f>
        <v/>
      </c>
      <c r="AF610" s="64">
        <f>IF($A610="","",IF(AE610="직접",IFERROR(INDEX(계정매핑!$F$5:$F$504,MATCH($F610&amp;"",계정매핑!$A$5:$A$504,0))&amp;"","비귀속"),""))</f>
        <v/>
      </c>
      <c r="AG610" s="96">
        <f>IF($A610="",0,IF(AND(AE610&lt;&gt;"직접",IFERROR(INDEX(계정매핑!$G$5:$G$504,MATCH($F610&amp;"",계정매핑!$A$5:$A$504,0))&amp;"","")="유지비",COUNTIF(계정대체기준!$A$6:$A$15,$N610)&gt;0),IFERROR(INDEX(계정대체기준!$E$6:$E$15,MATCH(VALUE($A610&amp;""),계정대체기준!$D$6:$D$15,0)),0),0))</f>
        <v/>
      </c>
      <c r="AH610" s="64">
        <f>IF($A610="","",IF(AD610=0,"",IF(OR(COUNTIF(계정대체기준!$A$77:$A$86,$N610)&gt;0,ISNUMBER(MATCH($X610,계정대체기준!$D$77:$D$86,0)),ISNUMBER(MATCH($F610,계정대체기준!$D$77:$D$86,0))),"Y","N")))</f>
        <v/>
      </c>
    </row>
    <row r="611">
      <c r="A611" s="92" t="n">
        <v>2025</v>
      </c>
      <c r="B611" s="92" t="n">
        <v>3</v>
      </c>
      <c r="C611" s="92" t="inlineStr">
        <is>
          <t>5100000607</t>
        </is>
      </c>
      <c r="D611" s="95" t="n">
        <v>45735</v>
      </c>
      <c r="E611" s="92" t="inlineStr">
        <is>
          <t>KR</t>
        </is>
      </c>
      <c r="F611" s="92" t="n">
        <v>62201000</v>
      </c>
      <c r="G611" s="92" t="n">
        <v>1801</v>
      </c>
      <c r="H611" s="93" t="n">
        <v>9259000</v>
      </c>
      <c r="I611" s="92" t="inlineStr">
        <is>
          <t>3월 통신요금 - O텔레콤</t>
        </is>
      </c>
      <c r="J611" s="92" t="inlineStr">
        <is>
          <t>V10002</t>
        </is>
      </c>
      <c r="K611" s="92" t="inlineStr">
        <is>
          <t>O텔레콤</t>
        </is>
      </c>
      <c r="M611" s="9">
        <f>IF($A611="","",VALUE($A611&amp;"")*12+VALUE($B611&amp;""))</f>
        <v/>
      </c>
      <c r="N611" s="64">
        <f>IF($A611="","",IFERROR(INDEX(부서매핑!$C$5:$C$504,MATCH($G611&amp;"",부서매핑!$A$5:$A$504,0)),"미매핑"))</f>
        <v/>
      </c>
      <c r="O611" s="9">
        <f>IF($A611="","",N611&amp;"|"&amp;$F611)</f>
        <v/>
      </c>
      <c r="P611" s="94">
        <f>IF($A611="",0,$H611*설정!$C$23)</f>
        <v/>
      </c>
      <c r="Q611" s="64">
        <f>IF($A611="","",IF(O611&lt;&gt;원인분석!$C$9,"",IF(AND(M611&gt;=원인분석!$C$10,M611&lt;=원인분석!$C$11),"당기",IF(AND(M611&gt;=원인분석!$C$12,M611&lt;=원인분석!$C$13),"비교",""))))</f>
        <v/>
      </c>
      <c r="R611" s="9">
        <f>IF(Q611="","",$K611&amp;"")</f>
        <v/>
      </c>
      <c r="S611" s="9">
        <f>IF(Q611="","",IF(MATCH(R611,$R$5:$R$100000,0)=ROW()-4,ROW(),""))</f>
        <v/>
      </c>
      <c r="T611" s="9">
        <f>IF(Q611="당기",ABS(P611)+ROW()/1000000000,"")</f>
        <v/>
      </c>
      <c r="U611" s="9">
        <f>IF(Q611="비교",ABS(P611)+ROW()/1000000000,"")</f>
        <v/>
      </c>
      <c r="V611" s="64">
        <f>IF($A611="","",IF(COUNTIF(변동분석!$E$7:$E$506,O611)&gt;0,"Y","N"))</f>
        <v/>
      </c>
      <c r="W611" s="64">
        <f>IF($A611="","",IFERROR(INDEX(계정매핑!$D$5:$D$504,MATCH($F611&amp;"",계정매핑!$A$5:$A$504,0)),"미매핑"))</f>
        <v/>
      </c>
      <c r="X611" s="9">
        <f>IF($A611="","",$F611&amp;"")</f>
        <v/>
      </c>
      <c r="Y611" s="94">
        <f>IF($A611="",0,IF(AE611="직접",IF(AF611="비귀속",$P611,0),$P611*(1-AG611)*IFERROR(INDEX(계정대체기준!$F$20:$F$49,MATCH($N611,계정대체기준!$A$20:$A$49,0)),1)))</f>
        <v/>
      </c>
      <c r="Z611" s="94">
        <f>IF($A611="",0,IF(AE611="직접",IF(AF611="신계약비",$P611,0),$P611*(1-AG611)*IFERROR(INDEX(계정대체기준!$C$20:$C$49,MATCH($N611,계정대체기준!$A$20:$A$49,0)),0)))</f>
        <v/>
      </c>
      <c r="AA611" s="94">
        <f>IF($A611="",0,IF(AE611="직접",IF(OR(AF611="유지비",AF611="손해조사비"),$P611,0),$P611*(1-AG611)*IFERROR(INDEX(계정대체기준!$D$20:$D$49,MATCH($N611,계정대체기준!$A$20:$A$49,0)),0)))</f>
        <v/>
      </c>
      <c r="AB611" s="94">
        <f>IF($A611="",0,IF(AE611="직접",IF(AF611="수금비",$P611,0),$P611*(1-AG611)*IFERROR(INDEX(계정대체기준!$E$20:$E$49,MATCH($N611,계정대체기준!$A$20:$A$49,0)),0)))</f>
        <v/>
      </c>
      <c r="AC611" s="9">
        <f>IF(AND($A611&lt;&gt;"",M611=설정!$C$20,Z611&gt;0),Z611+ROW()/1000000000,"")</f>
        <v/>
      </c>
      <c r="AD611" s="94">
        <f>IF($A611="",0,$P611*AG611)</f>
        <v/>
      </c>
      <c r="AE611" s="64">
        <f>IF($A611="","",IFERROR(INDEX(계정매핑!$E$5:$E$504,MATCH($F611&amp;"",계정매핑!$A$5:$A$504,0))&amp;"","공통비"))</f>
        <v/>
      </c>
      <c r="AF611" s="64">
        <f>IF($A611="","",IF(AE611="직접",IFERROR(INDEX(계정매핑!$F$5:$F$504,MATCH($F611&amp;"",계정매핑!$A$5:$A$504,0))&amp;"","비귀속"),""))</f>
        <v/>
      </c>
      <c r="AG611" s="96">
        <f>IF($A611="",0,IF(AND(AE611&lt;&gt;"직접",IFERROR(INDEX(계정매핑!$G$5:$G$504,MATCH($F611&amp;"",계정매핑!$A$5:$A$504,0))&amp;"","")="유지비",COUNTIF(계정대체기준!$A$6:$A$15,$N611)&gt;0),IFERROR(INDEX(계정대체기준!$E$6:$E$15,MATCH(VALUE($A611&amp;""),계정대체기준!$D$6:$D$15,0)),0),0))</f>
        <v/>
      </c>
      <c r="AH611" s="64">
        <f>IF($A611="","",IF(AD611=0,"",IF(OR(COUNTIF(계정대체기준!$A$77:$A$86,$N611)&gt;0,ISNUMBER(MATCH($X611,계정대체기준!$D$77:$D$86,0)),ISNUMBER(MATCH($F611,계정대체기준!$D$77:$D$86,0))),"Y","N")))</f>
        <v/>
      </c>
    </row>
    <row r="612">
      <c r="A612" s="92" t="n">
        <v>2025</v>
      </c>
      <c r="B612" s="92" t="n">
        <v>3</v>
      </c>
      <c r="C612" s="92" t="inlineStr">
        <is>
          <t>5100000608</t>
        </is>
      </c>
      <c r="D612" s="95" t="n">
        <v>45735</v>
      </c>
      <c r="E612" s="92" t="inlineStr">
        <is>
          <t>KR</t>
        </is>
      </c>
      <c r="F612" s="92" t="n">
        <v>62301000</v>
      </c>
      <c r="G612" s="92" t="n">
        <v>1502</v>
      </c>
      <c r="H612" s="93" t="n">
        <v>138000</v>
      </c>
      <c r="I612" s="92" t="inlineStr">
        <is>
          <t>3월 소모품 구입 - R문구</t>
        </is>
      </c>
      <c r="J612" s="92" t="inlineStr">
        <is>
          <t>V10022</t>
        </is>
      </c>
      <c r="K612" s="92" t="inlineStr">
        <is>
          <t>R문구</t>
        </is>
      </c>
      <c r="M612" s="9">
        <f>IF($A612="","",VALUE($A612&amp;"")*12+VALUE($B612&amp;""))</f>
        <v/>
      </c>
      <c r="N612" s="64">
        <f>IF($A612="","",IFERROR(INDEX(부서매핑!$C$5:$C$504,MATCH($G612&amp;"",부서매핑!$A$5:$A$504,0)),"미매핑"))</f>
        <v/>
      </c>
      <c r="O612" s="9">
        <f>IF($A612="","",N612&amp;"|"&amp;$F612)</f>
        <v/>
      </c>
      <c r="P612" s="94">
        <f>IF($A612="",0,$H612*설정!$C$23)</f>
        <v/>
      </c>
      <c r="Q612" s="64">
        <f>IF($A612="","",IF(O612&lt;&gt;원인분석!$C$9,"",IF(AND(M612&gt;=원인분석!$C$10,M612&lt;=원인분석!$C$11),"당기",IF(AND(M612&gt;=원인분석!$C$12,M612&lt;=원인분석!$C$13),"비교",""))))</f>
        <v/>
      </c>
      <c r="R612" s="9">
        <f>IF(Q612="","",$K612&amp;"")</f>
        <v/>
      </c>
      <c r="S612" s="9">
        <f>IF(Q612="","",IF(MATCH(R612,$R$5:$R$100000,0)=ROW()-4,ROW(),""))</f>
        <v/>
      </c>
      <c r="T612" s="9">
        <f>IF(Q612="당기",ABS(P612)+ROW()/1000000000,"")</f>
        <v/>
      </c>
      <c r="U612" s="9">
        <f>IF(Q612="비교",ABS(P612)+ROW()/1000000000,"")</f>
        <v/>
      </c>
      <c r="V612" s="64">
        <f>IF($A612="","",IF(COUNTIF(변동분석!$E$7:$E$506,O612)&gt;0,"Y","N"))</f>
        <v/>
      </c>
      <c r="W612" s="64">
        <f>IF($A612="","",IFERROR(INDEX(계정매핑!$D$5:$D$504,MATCH($F612&amp;"",계정매핑!$A$5:$A$504,0)),"미매핑"))</f>
        <v/>
      </c>
      <c r="X612" s="9">
        <f>IF($A612="","",$F612&amp;"")</f>
        <v/>
      </c>
      <c r="Y612" s="94">
        <f>IF($A612="",0,IF(AE612="직접",IF(AF612="비귀속",$P612,0),$P612*(1-AG612)*IFERROR(INDEX(계정대체기준!$F$20:$F$49,MATCH($N612,계정대체기준!$A$20:$A$49,0)),1)))</f>
        <v/>
      </c>
      <c r="Z612" s="94">
        <f>IF($A612="",0,IF(AE612="직접",IF(AF612="신계약비",$P612,0),$P612*(1-AG612)*IFERROR(INDEX(계정대체기준!$C$20:$C$49,MATCH($N612,계정대체기준!$A$20:$A$49,0)),0)))</f>
        <v/>
      </c>
      <c r="AA612" s="94">
        <f>IF($A612="",0,IF(AE612="직접",IF(OR(AF612="유지비",AF612="손해조사비"),$P612,0),$P612*(1-AG612)*IFERROR(INDEX(계정대체기준!$D$20:$D$49,MATCH($N612,계정대체기준!$A$20:$A$49,0)),0)))</f>
        <v/>
      </c>
      <c r="AB612" s="94">
        <f>IF($A612="",0,IF(AE612="직접",IF(AF612="수금비",$P612,0),$P612*(1-AG612)*IFERROR(INDEX(계정대체기준!$E$20:$E$49,MATCH($N612,계정대체기준!$A$20:$A$49,0)),0)))</f>
        <v/>
      </c>
      <c r="AC612" s="9">
        <f>IF(AND($A612&lt;&gt;"",M612=설정!$C$20,Z612&gt;0),Z612+ROW()/1000000000,"")</f>
        <v/>
      </c>
      <c r="AD612" s="94">
        <f>IF($A612="",0,$P612*AG612)</f>
        <v/>
      </c>
      <c r="AE612" s="64">
        <f>IF($A612="","",IFERROR(INDEX(계정매핑!$E$5:$E$504,MATCH($F612&amp;"",계정매핑!$A$5:$A$504,0))&amp;"","공통비"))</f>
        <v/>
      </c>
      <c r="AF612" s="64">
        <f>IF($A612="","",IF(AE612="직접",IFERROR(INDEX(계정매핑!$F$5:$F$504,MATCH($F612&amp;"",계정매핑!$A$5:$A$504,0))&amp;"","비귀속"),""))</f>
        <v/>
      </c>
      <c r="AG612" s="96">
        <f>IF($A612="",0,IF(AND(AE612&lt;&gt;"직접",IFERROR(INDEX(계정매핑!$G$5:$G$504,MATCH($F612&amp;"",계정매핑!$A$5:$A$504,0))&amp;"","")="유지비",COUNTIF(계정대체기준!$A$6:$A$15,$N612)&gt;0),IFERROR(INDEX(계정대체기준!$E$6:$E$15,MATCH(VALUE($A612&amp;""),계정대체기준!$D$6:$D$15,0)),0),0))</f>
        <v/>
      </c>
      <c r="AH612" s="64">
        <f>IF($A612="","",IF(AD612=0,"",IF(OR(COUNTIF(계정대체기준!$A$77:$A$86,$N612)&gt;0,ISNUMBER(MATCH($X612,계정대체기준!$D$77:$D$86,0)),ISNUMBER(MATCH($F612,계정대체기준!$D$77:$D$86,0))),"Y","N")))</f>
        <v/>
      </c>
    </row>
    <row r="613">
      <c r="A613" s="92" t="n">
        <v>2025</v>
      </c>
      <c r="B613" s="92" t="n">
        <v>3</v>
      </c>
      <c r="C613" s="92" t="inlineStr">
        <is>
          <t>5100000609</t>
        </is>
      </c>
      <c r="D613" s="95" t="n">
        <v>45735</v>
      </c>
      <c r="E613" s="92" t="inlineStr">
        <is>
          <t>KR</t>
        </is>
      </c>
      <c r="F613" s="92" t="n">
        <v>62301000</v>
      </c>
      <c r="G613" s="92" t="n">
        <v>1601</v>
      </c>
      <c r="H613" s="93" t="n">
        <v>422000</v>
      </c>
      <c r="I613" s="92" t="inlineStr">
        <is>
          <t>3월 소모품 구입 - Q오피스</t>
        </is>
      </c>
      <c r="J613" s="92" t="inlineStr">
        <is>
          <t>V10003</t>
        </is>
      </c>
      <c r="K613" s="92" t="inlineStr">
        <is>
          <t>Q오피스</t>
        </is>
      </c>
      <c r="M613" s="9">
        <f>IF($A613="","",VALUE($A613&amp;"")*12+VALUE($B613&amp;""))</f>
        <v/>
      </c>
      <c r="N613" s="64">
        <f>IF($A613="","",IFERROR(INDEX(부서매핑!$C$5:$C$504,MATCH($G613&amp;"",부서매핑!$A$5:$A$504,0)),"미매핑"))</f>
        <v/>
      </c>
      <c r="O613" s="9">
        <f>IF($A613="","",N613&amp;"|"&amp;$F613)</f>
        <v/>
      </c>
      <c r="P613" s="94">
        <f>IF($A613="",0,$H613*설정!$C$23)</f>
        <v/>
      </c>
      <c r="Q613" s="64">
        <f>IF($A613="","",IF(O613&lt;&gt;원인분석!$C$9,"",IF(AND(M613&gt;=원인분석!$C$10,M613&lt;=원인분석!$C$11),"당기",IF(AND(M613&gt;=원인분석!$C$12,M613&lt;=원인분석!$C$13),"비교",""))))</f>
        <v/>
      </c>
      <c r="R613" s="9">
        <f>IF(Q613="","",$K613&amp;"")</f>
        <v/>
      </c>
      <c r="S613" s="9">
        <f>IF(Q613="","",IF(MATCH(R613,$R$5:$R$100000,0)=ROW()-4,ROW(),""))</f>
        <v/>
      </c>
      <c r="T613" s="9">
        <f>IF(Q613="당기",ABS(P613)+ROW()/1000000000,"")</f>
        <v/>
      </c>
      <c r="U613" s="9">
        <f>IF(Q613="비교",ABS(P613)+ROW()/1000000000,"")</f>
        <v/>
      </c>
      <c r="V613" s="64">
        <f>IF($A613="","",IF(COUNTIF(변동분석!$E$7:$E$506,O613)&gt;0,"Y","N"))</f>
        <v/>
      </c>
      <c r="W613" s="64">
        <f>IF($A613="","",IFERROR(INDEX(계정매핑!$D$5:$D$504,MATCH($F613&amp;"",계정매핑!$A$5:$A$504,0)),"미매핑"))</f>
        <v/>
      </c>
      <c r="X613" s="9">
        <f>IF($A613="","",$F613&amp;"")</f>
        <v/>
      </c>
      <c r="Y613" s="94">
        <f>IF($A613="",0,IF(AE613="직접",IF(AF613="비귀속",$P613,0),$P613*(1-AG613)*IFERROR(INDEX(계정대체기준!$F$20:$F$49,MATCH($N613,계정대체기준!$A$20:$A$49,0)),1)))</f>
        <v/>
      </c>
      <c r="Z613" s="94">
        <f>IF($A613="",0,IF(AE613="직접",IF(AF613="신계약비",$P613,0),$P613*(1-AG613)*IFERROR(INDEX(계정대체기준!$C$20:$C$49,MATCH($N613,계정대체기준!$A$20:$A$49,0)),0)))</f>
        <v/>
      </c>
      <c r="AA613" s="94">
        <f>IF($A613="",0,IF(AE613="직접",IF(OR(AF613="유지비",AF613="손해조사비"),$P613,0),$P613*(1-AG613)*IFERROR(INDEX(계정대체기준!$D$20:$D$49,MATCH($N613,계정대체기준!$A$20:$A$49,0)),0)))</f>
        <v/>
      </c>
      <c r="AB613" s="94">
        <f>IF($A613="",0,IF(AE613="직접",IF(AF613="수금비",$P613,0),$P613*(1-AG613)*IFERROR(INDEX(계정대체기준!$E$20:$E$49,MATCH($N613,계정대체기준!$A$20:$A$49,0)),0)))</f>
        <v/>
      </c>
      <c r="AC613" s="9">
        <f>IF(AND($A613&lt;&gt;"",M613=설정!$C$20,Z613&gt;0),Z613+ROW()/1000000000,"")</f>
        <v/>
      </c>
      <c r="AD613" s="94">
        <f>IF($A613="",0,$P613*AG613)</f>
        <v/>
      </c>
      <c r="AE613" s="64">
        <f>IF($A613="","",IFERROR(INDEX(계정매핑!$E$5:$E$504,MATCH($F613&amp;"",계정매핑!$A$5:$A$504,0))&amp;"","공통비"))</f>
        <v/>
      </c>
      <c r="AF613" s="64">
        <f>IF($A613="","",IF(AE613="직접",IFERROR(INDEX(계정매핑!$F$5:$F$504,MATCH($F613&amp;"",계정매핑!$A$5:$A$504,0))&amp;"","비귀속"),""))</f>
        <v/>
      </c>
      <c r="AG613" s="96">
        <f>IF($A613="",0,IF(AND(AE613&lt;&gt;"직접",IFERROR(INDEX(계정매핑!$G$5:$G$504,MATCH($F613&amp;"",계정매핑!$A$5:$A$504,0))&amp;"","")="유지비",COUNTIF(계정대체기준!$A$6:$A$15,$N613)&gt;0),IFERROR(INDEX(계정대체기준!$E$6:$E$15,MATCH(VALUE($A613&amp;""),계정대체기준!$D$6:$D$15,0)),0),0))</f>
        <v/>
      </c>
      <c r="AH613" s="64">
        <f>IF($A613="","",IF(AD613=0,"",IF(OR(COUNTIF(계정대체기준!$A$77:$A$86,$N613)&gt;0,ISNUMBER(MATCH($X613,계정대체기준!$D$77:$D$86,0)),ISNUMBER(MATCH($F613,계정대체기준!$D$77:$D$86,0))),"Y","N")))</f>
        <v/>
      </c>
    </row>
    <row r="614">
      <c r="A614" s="92" t="n">
        <v>2025</v>
      </c>
      <c r="B614" s="92" t="n">
        <v>3</v>
      </c>
      <c r="C614" s="92" t="inlineStr">
        <is>
          <t>5100000610</t>
        </is>
      </c>
      <c r="D614" s="95" t="n">
        <v>45735</v>
      </c>
      <c r="E614" s="92" t="inlineStr">
        <is>
          <t>KR</t>
        </is>
      </c>
      <c r="F614" s="92" t="n">
        <v>62901000</v>
      </c>
      <c r="G614" s="92" t="n">
        <v>1201</v>
      </c>
      <c r="H614" s="93" t="n">
        <v>8402000</v>
      </c>
      <c r="I614" s="92" t="inlineStr">
        <is>
          <t>3월 자문 수수료 - K회계법인</t>
        </is>
      </c>
      <c r="J614" s="92" t="inlineStr">
        <is>
          <t>V10011</t>
        </is>
      </c>
      <c r="K614" s="92" t="inlineStr">
        <is>
          <t>K회계법인</t>
        </is>
      </c>
      <c r="M614" s="9">
        <f>IF($A614="","",VALUE($A614&amp;"")*12+VALUE($B614&amp;""))</f>
        <v/>
      </c>
      <c r="N614" s="64">
        <f>IF($A614="","",IFERROR(INDEX(부서매핑!$C$5:$C$504,MATCH($G614&amp;"",부서매핑!$A$5:$A$504,0)),"미매핑"))</f>
        <v/>
      </c>
      <c r="O614" s="9">
        <f>IF($A614="","",N614&amp;"|"&amp;$F614)</f>
        <v/>
      </c>
      <c r="P614" s="94">
        <f>IF($A614="",0,$H614*설정!$C$23)</f>
        <v/>
      </c>
      <c r="Q614" s="64">
        <f>IF($A614="","",IF(O614&lt;&gt;원인분석!$C$9,"",IF(AND(M614&gt;=원인분석!$C$10,M614&lt;=원인분석!$C$11),"당기",IF(AND(M614&gt;=원인분석!$C$12,M614&lt;=원인분석!$C$13),"비교",""))))</f>
        <v/>
      </c>
      <c r="R614" s="9">
        <f>IF(Q614="","",$K614&amp;"")</f>
        <v/>
      </c>
      <c r="S614" s="9">
        <f>IF(Q614="","",IF(MATCH(R614,$R$5:$R$100000,0)=ROW()-4,ROW(),""))</f>
        <v/>
      </c>
      <c r="T614" s="9">
        <f>IF(Q614="당기",ABS(P614)+ROW()/1000000000,"")</f>
        <v/>
      </c>
      <c r="U614" s="9">
        <f>IF(Q614="비교",ABS(P614)+ROW()/1000000000,"")</f>
        <v/>
      </c>
      <c r="V614" s="64">
        <f>IF($A614="","",IF(COUNTIF(변동분석!$E$7:$E$506,O614)&gt;0,"Y","N"))</f>
        <v/>
      </c>
      <c r="W614" s="64">
        <f>IF($A614="","",IFERROR(INDEX(계정매핑!$D$5:$D$504,MATCH($F614&amp;"",계정매핑!$A$5:$A$504,0)),"미매핑"))</f>
        <v/>
      </c>
      <c r="X614" s="9">
        <f>IF($A614="","",$F614&amp;"")</f>
        <v/>
      </c>
      <c r="Y614" s="94">
        <f>IF($A614="",0,IF(AE614="직접",IF(AF614="비귀속",$P614,0),$P614*(1-AG614)*IFERROR(INDEX(계정대체기준!$F$20:$F$49,MATCH($N614,계정대체기준!$A$20:$A$49,0)),1)))</f>
        <v/>
      </c>
      <c r="Z614" s="94">
        <f>IF($A614="",0,IF(AE614="직접",IF(AF614="신계약비",$P614,0),$P614*(1-AG614)*IFERROR(INDEX(계정대체기준!$C$20:$C$49,MATCH($N614,계정대체기준!$A$20:$A$49,0)),0)))</f>
        <v/>
      </c>
      <c r="AA614" s="94">
        <f>IF($A614="",0,IF(AE614="직접",IF(OR(AF614="유지비",AF614="손해조사비"),$P614,0),$P614*(1-AG614)*IFERROR(INDEX(계정대체기준!$D$20:$D$49,MATCH($N614,계정대체기준!$A$20:$A$49,0)),0)))</f>
        <v/>
      </c>
      <c r="AB614" s="94">
        <f>IF($A614="",0,IF(AE614="직접",IF(AF614="수금비",$P614,0),$P614*(1-AG614)*IFERROR(INDEX(계정대체기준!$E$20:$E$49,MATCH($N614,계정대체기준!$A$20:$A$49,0)),0)))</f>
        <v/>
      </c>
      <c r="AC614" s="9">
        <f>IF(AND($A614&lt;&gt;"",M614=설정!$C$20,Z614&gt;0),Z614+ROW()/1000000000,"")</f>
        <v/>
      </c>
      <c r="AD614" s="94">
        <f>IF($A614="",0,$P614*AG614)</f>
        <v/>
      </c>
      <c r="AE614" s="64">
        <f>IF($A614="","",IFERROR(INDEX(계정매핑!$E$5:$E$504,MATCH($F614&amp;"",계정매핑!$A$5:$A$504,0))&amp;"","공통비"))</f>
        <v/>
      </c>
      <c r="AF614" s="64">
        <f>IF($A614="","",IF(AE614="직접",IFERROR(INDEX(계정매핑!$F$5:$F$504,MATCH($F614&amp;"",계정매핑!$A$5:$A$504,0))&amp;"","비귀속"),""))</f>
        <v/>
      </c>
      <c r="AG614" s="96">
        <f>IF($A614="",0,IF(AND(AE614&lt;&gt;"직접",IFERROR(INDEX(계정매핑!$G$5:$G$504,MATCH($F614&amp;"",계정매핑!$A$5:$A$504,0))&amp;"","")="유지비",COUNTIF(계정대체기준!$A$6:$A$15,$N614)&gt;0),IFERROR(INDEX(계정대체기준!$E$6:$E$15,MATCH(VALUE($A614&amp;""),계정대체기준!$D$6:$D$15,0)),0),0))</f>
        <v/>
      </c>
      <c r="AH614" s="64">
        <f>IF($A614="","",IF(AD614=0,"",IF(OR(COUNTIF(계정대체기준!$A$77:$A$86,$N614)&gt;0,ISNUMBER(MATCH($X614,계정대체기준!$D$77:$D$86,0)),ISNUMBER(MATCH($F614,계정대체기준!$D$77:$D$86,0))),"Y","N")))</f>
        <v/>
      </c>
    </row>
    <row r="615">
      <c r="A615" s="92" t="n">
        <v>2025</v>
      </c>
      <c r="B615" s="92" t="n">
        <v>3</v>
      </c>
      <c r="C615" s="92" t="inlineStr">
        <is>
          <t>5100000611</t>
        </is>
      </c>
      <c r="D615" s="95" t="n">
        <v>45735</v>
      </c>
      <c r="E615" s="92" t="inlineStr">
        <is>
          <t>KR</t>
        </is>
      </c>
      <c r="F615" s="92" t="n">
        <v>63201000</v>
      </c>
      <c r="G615" s="92" t="n">
        <v>1602</v>
      </c>
      <c r="H615" s="93" t="n">
        <v>1820000</v>
      </c>
      <c r="I615" s="92" t="inlineStr">
        <is>
          <t>3월 차량 유지 - H에너지</t>
        </is>
      </c>
      <c r="J615" s="92" t="inlineStr">
        <is>
          <t>V10030</t>
        </is>
      </c>
      <c r="K615" s="92" t="inlineStr">
        <is>
          <t>H에너지</t>
        </is>
      </c>
      <c r="M615" s="9">
        <f>IF($A615="","",VALUE($A615&amp;"")*12+VALUE($B615&amp;""))</f>
        <v/>
      </c>
      <c r="N615" s="64">
        <f>IF($A615="","",IFERROR(INDEX(부서매핑!$C$5:$C$504,MATCH($G615&amp;"",부서매핑!$A$5:$A$504,0)),"미매핑"))</f>
        <v/>
      </c>
      <c r="O615" s="9">
        <f>IF($A615="","",N615&amp;"|"&amp;$F615)</f>
        <v/>
      </c>
      <c r="P615" s="94">
        <f>IF($A615="",0,$H615*설정!$C$23)</f>
        <v/>
      </c>
      <c r="Q615" s="64">
        <f>IF($A615="","",IF(O615&lt;&gt;원인분석!$C$9,"",IF(AND(M615&gt;=원인분석!$C$10,M615&lt;=원인분석!$C$11),"당기",IF(AND(M615&gt;=원인분석!$C$12,M615&lt;=원인분석!$C$13),"비교",""))))</f>
        <v/>
      </c>
      <c r="R615" s="9">
        <f>IF(Q615="","",$K615&amp;"")</f>
        <v/>
      </c>
      <c r="S615" s="9">
        <f>IF(Q615="","",IF(MATCH(R615,$R$5:$R$100000,0)=ROW()-4,ROW(),""))</f>
        <v/>
      </c>
      <c r="T615" s="9">
        <f>IF(Q615="당기",ABS(P615)+ROW()/1000000000,"")</f>
        <v/>
      </c>
      <c r="U615" s="9">
        <f>IF(Q615="비교",ABS(P615)+ROW()/1000000000,"")</f>
        <v/>
      </c>
      <c r="V615" s="64">
        <f>IF($A615="","",IF(COUNTIF(변동분석!$E$7:$E$506,O615)&gt;0,"Y","N"))</f>
        <v/>
      </c>
      <c r="W615" s="64">
        <f>IF($A615="","",IFERROR(INDEX(계정매핑!$D$5:$D$504,MATCH($F615&amp;"",계정매핑!$A$5:$A$504,0)),"미매핑"))</f>
        <v/>
      </c>
      <c r="X615" s="9">
        <f>IF($A615="","",$F615&amp;"")</f>
        <v/>
      </c>
      <c r="Y615" s="94">
        <f>IF($A615="",0,IF(AE615="직접",IF(AF615="비귀속",$P615,0),$P615*(1-AG615)*IFERROR(INDEX(계정대체기준!$F$20:$F$49,MATCH($N615,계정대체기준!$A$20:$A$49,0)),1)))</f>
        <v/>
      </c>
      <c r="Z615" s="94">
        <f>IF($A615="",0,IF(AE615="직접",IF(AF615="신계약비",$P615,0),$P615*(1-AG615)*IFERROR(INDEX(계정대체기준!$C$20:$C$49,MATCH($N615,계정대체기준!$A$20:$A$49,0)),0)))</f>
        <v/>
      </c>
      <c r="AA615" s="94">
        <f>IF($A615="",0,IF(AE615="직접",IF(OR(AF615="유지비",AF615="손해조사비"),$P615,0),$P615*(1-AG615)*IFERROR(INDEX(계정대체기준!$D$20:$D$49,MATCH($N615,계정대체기준!$A$20:$A$49,0)),0)))</f>
        <v/>
      </c>
      <c r="AB615" s="94">
        <f>IF($A615="",0,IF(AE615="직접",IF(AF615="수금비",$P615,0),$P615*(1-AG615)*IFERROR(INDEX(계정대체기준!$E$20:$E$49,MATCH($N615,계정대체기준!$A$20:$A$49,0)),0)))</f>
        <v/>
      </c>
      <c r="AC615" s="9">
        <f>IF(AND($A615&lt;&gt;"",M615=설정!$C$20,Z615&gt;0),Z615+ROW()/1000000000,"")</f>
        <v/>
      </c>
      <c r="AD615" s="94">
        <f>IF($A615="",0,$P615*AG615)</f>
        <v/>
      </c>
      <c r="AE615" s="64">
        <f>IF($A615="","",IFERROR(INDEX(계정매핑!$E$5:$E$504,MATCH($F615&amp;"",계정매핑!$A$5:$A$504,0))&amp;"","공통비"))</f>
        <v/>
      </c>
      <c r="AF615" s="64">
        <f>IF($A615="","",IF(AE615="직접",IFERROR(INDEX(계정매핑!$F$5:$F$504,MATCH($F615&amp;"",계정매핑!$A$5:$A$504,0))&amp;"","비귀속"),""))</f>
        <v/>
      </c>
      <c r="AG615" s="96">
        <f>IF($A615="",0,IF(AND(AE615&lt;&gt;"직접",IFERROR(INDEX(계정매핑!$G$5:$G$504,MATCH($F615&amp;"",계정매핑!$A$5:$A$504,0))&amp;"","")="유지비",COUNTIF(계정대체기준!$A$6:$A$15,$N615)&gt;0),IFERROR(INDEX(계정대체기준!$E$6:$E$15,MATCH(VALUE($A615&amp;""),계정대체기준!$D$6:$D$15,0)),0),0))</f>
        <v/>
      </c>
      <c r="AH615" s="64">
        <f>IF($A615="","",IF(AD615=0,"",IF(OR(COUNTIF(계정대체기준!$A$77:$A$86,$N615)&gt;0,ISNUMBER(MATCH($X615,계정대체기준!$D$77:$D$86,0)),ISNUMBER(MATCH($F615,계정대체기준!$D$77:$D$86,0))),"Y","N")))</f>
        <v/>
      </c>
    </row>
    <row r="616">
      <c r="A616" s="92" t="n">
        <v>2025</v>
      </c>
      <c r="B616" s="92" t="n">
        <v>3</v>
      </c>
      <c r="C616" s="92" t="inlineStr">
        <is>
          <t>5100000612</t>
        </is>
      </c>
      <c r="D616" s="95" t="n">
        <v>45736</v>
      </c>
      <c r="E616" s="92" t="inlineStr">
        <is>
          <t>KR</t>
        </is>
      </c>
      <c r="F616" s="92" t="n">
        <v>62101000</v>
      </c>
      <c r="G616" s="92" t="n">
        <v>1201</v>
      </c>
      <c r="H616" s="93" t="n">
        <v>173000</v>
      </c>
      <c r="I616" s="92" t="inlineStr">
        <is>
          <t>3월 국내출장 - (법인카드)</t>
        </is>
      </c>
      <c r="J616" s="92" t="inlineStr">
        <is>
          <t>V10010</t>
        </is>
      </c>
      <c r="K616" s="92" t="inlineStr">
        <is>
          <t>(법인카드)</t>
        </is>
      </c>
      <c r="M616" s="9">
        <f>IF($A616="","",VALUE($A616&amp;"")*12+VALUE($B616&amp;""))</f>
        <v/>
      </c>
      <c r="N616" s="64">
        <f>IF($A616="","",IFERROR(INDEX(부서매핑!$C$5:$C$504,MATCH($G616&amp;"",부서매핑!$A$5:$A$504,0)),"미매핑"))</f>
        <v/>
      </c>
      <c r="O616" s="9">
        <f>IF($A616="","",N616&amp;"|"&amp;$F616)</f>
        <v/>
      </c>
      <c r="P616" s="94">
        <f>IF($A616="",0,$H616*설정!$C$23)</f>
        <v/>
      </c>
      <c r="Q616" s="64">
        <f>IF($A616="","",IF(O616&lt;&gt;원인분석!$C$9,"",IF(AND(M616&gt;=원인분석!$C$10,M616&lt;=원인분석!$C$11),"당기",IF(AND(M616&gt;=원인분석!$C$12,M616&lt;=원인분석!$C$13),"비교",""))))</f>
        <v/>
      </c>
      <c r="R616" s="9">
        <f>IF(Q616="","",$K616&amp;"")</f>
        <v/>
      </c>
      <c r="S616" s="9">
        <f>IF(Q616="","",IF(MATCH(R616,$R$5:$R$100000,0)=ROW()-4,ROW(),""))</f>
        <v/>
      </c>
      <c r="T616" s="9">
        <f>IF(Q616="당기",ABS(P616)+ROW()/1000000000,"")</f>
        <v/>
      </c>
      <c r="U616" s="9">
        <f>IF(Q616="비교",ABS(P616)+ROW()/1000000000,"")</f>
        <v/>
      </c>
      <c r="V616" s="64">
        <f>IF($A616="","",IF(COUNTIF(변동분석!$E$7:$E$506,O616)&gt;0,"Y","N"))</f>
        <v/>
      </c>
      <c r="W616" s="64">
        <f>IF($A616="","",IFERROR(INDEX(계정매핑!$D$5:$D$504,MATCH($F616&amp;"",계정매핑!$A$5:$A$504,0)),"미매핑"))</f>
        <v/>
      </c>
      <c r="X616" s="9">
        <f>IF($A616="","",$F616&amp;"")</f>
        <v/>
      </c>
      <c r="Y616" s="94">
        <f>IF($A616="",0,IF(AE616="직접",IF(AF616="비귀속",$P616,0),$P616*(1-AG616)*IFERROR(INDEX(계정대체기준!$F$20:$F$49,MATCH($N616,계정대체기준!$A$20:$A$49,0)),1)))</f>
        <v/>
      </c>
      <c r="Z616" s="94">
        <f>IF($A616="",0,IF(AE616="직접",IF(AF616="신계약비",$P616,0),$P616*(1-AG616)*IFERROR(INDEX(계정대체기준!$C$20:$C$49,MATCH($N616,계정대체기준!$A$20:$A$49,0)),0)))</f>
        <v/>
      </c>
      <c r="AA616" s="94">
        <f>IF($A616="",0,IF(AE616="직접",IF(OR(AF616="유지비",AF616="손해조사비"),$P616,0),$P616*(1-AG616)*IFERROR(INDEX(계정대체기준!$D$20:$D$49,MATCH($N616,계정대체기준!$A$20:$A$49,0)),0)))</f>
        <v/>
      </c>
      <c r="AB616" s="94">
        <f>IF($A616="",0,IF(AE616="직접",IF(AF616="수금비",$P616,0),$P616*(1-AG616)*IFERROR(INDEX(계정대체기준!$E$20:$E$49,MATCH($N616,계정대체기준!$A$20:$A$49,0)),0)))</f>
        <v/>
      </c>
      <c r="AC616" s="9">
        <f>IF(AND($A616&lt;&gt;"",M616=설정!$C$20,Z616&gt;0),Z616+ROW()/1000000000,"")</f>
        <v/>
      </c>
      <c r="AD616" s="94">
        <f>IF($A616="",0,$P616*AG616)</f>
        <v/>
      </c>
      <c r="AE616" s="64">
        <f>IF($A616="","",IFERROR(INDEX(계정매핑!$E$5:$E$504,MATCH($F616&amp;"",계정매핑!$A$5:$A$504,0))&amp;"","공통비"))</f>
        <v/>
      </c>
      <c r="AF616" s="64">
        <f>IF($A616="","",IF(AE616="직접",IFERROR(INDEX(계정매핑!$F$5:$F$504,MATCH($F616&amp;"",계정매핑!$A$5:$A$504,0))&amp;"","비귀속"),""))</f>
        <v/>
      </c>
      <c r="AG616" s="96">
        <f>IF($A616="",0,IF(AND(AE616&lt;&gt;"직접",IFERROR(INDEX(계정매핑!$G$5:$G$504,MATCH($F616&amp;"",계정매핑!$A$5:$A$504,0))&amp;"","")="유지비",COUNTIF(계정대체기준!$A$6:$A$15,$N616)&gt;0),IFERROR(INDEX(계정대체기준!$E$6:$E$15,MATCH(VALUE($A616&amp;""),계정대체기준!$D$6:$D$15,0)),0),0))</f>
        <v/>
      </c>
      <c r="AH616" s="64">
        <f>IF($A616="","",IF(AD616=0,"",IF(OR(COUNTIF(계정대체기준!$A$77:$A$86,$N616)&gt;0,ISNUMBER(MATCH($X616,계정대체기준!$D$77:$D$86,0)),ISNUMBER(MATCH($F616,계정대체기준!$D$77:$D$86,0))),"Y","N")))</f>
        <v/>
      </c>
    </row>
    <row r="617">
      <c r="A617" s="92" t="n">
        <v>2025</v>
      </c>
      <c r="B617" s="92" t="n">
        <v>3</v>
      </c>
      <c r="C617" s="92" t="inlineStr">
        <is>
          <t>5100000613</t>
        </is>
      </c>
      <c r="D617" s="95" t="n">
        <v>45736</v>
      </c>
      <c r="E617" s="92" t="inlineStr">
        <is>
          <t>KR</t>
        </is>
      </c>
      <c r="F617" s="92" t="n">
        <v>62102000</v>
      </c>
      <c r="G617" s="92" t="n">
        <v>1701</v>
      </c>
      <c r="H617" s="93" t="n">
        <v>51000</v>
      </c>
      <c r="I617" s="92" t="inlineStr">
        <is>
          <t>3월 해외출장 - N호텔</t>
        </is>
      </c>
      <c r="J617" s="92" t="inlineStr">
        <is>
          <t>V10009</t>
        </is>
      </c>
      <c r="K617" s="92" t="inlineStr">
        <is>
          <t>N호텔</t>
        </is>
      </c>
      <c r="M617" s="9">
        <f>IF($A617="","",VALUE($A617&amp;"")*12+VALUE($B617&amp;""))</f>
        <v/>
      </c>
      <c r="N617" s="64">
        <f>IF($A617="","",IFERROR(INDEX(부서매핑!$C$5:$C$504,MATCH($G617&amp;"",부서매핑!$A$5:$A$504,0)),"미매핑"))</f>
        <v/>
      </c>
      <c r="O617" s="9">
        <f>IF($A617="","",N617&amp;"|"&amp;$F617)</f>
        <v/>
      </c>
      <c r="P617" s="94">
        <f>IF($A617="",0,$H617*설정!$C$23)</f>
        <v/>
      </c>
      <c r="Q617" s="64">
        <f>IF($A617="","",IF(O617&lt;&gt;원인분석!$C$9,"",IF(AND(M617&gt;=원인분석!$C$10,M617&lt;=원인분석!$C$11),"당기",IF(AND(M617&gt;=원인분석!$C$12,M617&lt;=원인분석!$C$13),"비교",""))))</f>
        <v/>
      </c>
      <c r="R617" s="9">
        <f>IF(Q617="","",$K617&amp;"")</f>
        <v/>
      </c>
      <c r="S617" s="9">
        <f>IF(Q617="","",IF(MATCH(R617,$R$5:$R$100000,0)=ROW()-4,ROW(),""))</f>
        <v/>
      </c>
      <c r="T617" s="9">
        <f>IF(Q617="당기",ABS(P617)+ROW()/1000000000,"")</f>
        <v/>
      </c>
      <c r="U617" s="9">
        <f>IF(Q617="비교",ABS(P617)+ROW()/1000000000,"")</f>
        <v/>
      </c>
      <c r="V617" s="64">
        <f>IF($A617="","",IF(COUNTIF(변동분석!$E$7:$E$506,O617)&gt;0,"Y","N"))</f>
        <v/>
      </c>
      <c r="W617" s="64">
        <f>IF($A617="","",IFERROR(INDEX(계정매핑!$D$5:$D$504,MATCH($F617&amp;"",계정매핑!$A$5:$A$504,0)),"미매핑"))</f>
        <v/>
      </c>
      <c r="X617" s="9">
        <f>IF($A617="","",$F617&amp;"")</f>
        <v/>
      </c>
      <c r="Y617" s="94">
        <f>IF($A617="",0,IF(AE617="직접",IF(AF617="비귀속",$P617,0),$P617*(1-AG617)*IFERROR(INDEX(계정대체기준!$F$20:$F$49,MATCH($N617,계정대체기준!$A$20:$A$49,0)),1)))</f>
        <v/>
      </c>
      <c r="Z617" s="94">
        <f>IF($A617="",0,IF(AE617="직접",IF(AF617="신계약비",$P617,0),$P617*(1-AG617)*IFERROR(INDEX(계정대체기준!$C$20:$C$49,MATCH($N617,계정대체기준!$A$20:$A$49,0)),0)))</f>
        <v/>
      </c>
      <c r="AA617" s="94">
        <f>IF($A617="",0,IF(AE617="직접",IF(OR(AF617="유지비",AF617="손해조사비"),$P617,0),$P617*(1-AG617)*IFERROR(INDEX(계정대체기준!$D$20:$D$49,MATCH($N617,계정대체기준!$A$20:$A$49,0)),0)))</f>
        <v/>
      </c>
      <c r="AB617" s="94">
        <f>IF($A617="",0,IF(AE617="직접",IF(AF617="수금비",$P617,0),$P617*(1-AG617)*IFERROR(INDEX(계정대체기준!$E$20:$E$49,MATCH($N617,계정대체기준!$A$20:$A$49,0)),0)))</f>
        <v/>
      </c>
      <c r="AC617" s="9">
        <f>IF(AND($A617&lt;&gt;"",M617=설정!$C$20,Z617&gt;0),Z617+ROW()/1000000000,"")</f>
        <v/>
      </c>
      <c r="AD617" s="94">
        <f>IF($A617="",0,$P617*AG617)</f>
        <v/>
      </c>
      <c r="AE617" s="64">
        <f>IF($A617="","",IFERROR(INDEX(계정매핑!$E$5:$E$504,MATCH($F617&amp;"",계정매핑!$A$5:$A$504,0))&amp;"","공통비"))</f>
        <v/>
      </c>
      <c r="AF617" s="64">
        <f>IF($A617="","",IF(AE617="직접",IFERROR(INDEX(계정매핑!$F$5:$F$504,MATCH($F617&amp;"",계정매핑!$A$5:$A$504,0))&amp;"","비귀속"),""))</f>
        <v/>
      </c>
      <c r="AG617" s="96">
        <f>IF($A617="",0,IF(AND(AE617&lt;&gt;"직접",IFERROR(INDEX(계정매핑!$G$5:$G$504,MATCH($F617&amp;"",계정매핑!$A$5:$A$504,0))&amp;"","")="유지비",COUNTIF(계정대체기준!$A$6:$A$15,$N617)&gt;0),IFERROR(INDEX(계정대체기준!$E$6:$E$15,MATCH(VALUE($A617&amp;""),계정대체기준!$D$6:$D$15,0)),0),0))</f>
        <v/>
      </c>
      <c r="AH617" s="64">
        <f>IF($A617="","",IF(AD617=0,"",IF(OR(COUNTIF(계정대체기준!$A$77:$A$86,$N617)&gt;0,ISNUMBER(MATCH($X617,계정대체기준!$D$77:$D$86,0)),ISNUMBER(MATCH($F617,계정대체기준!$D$77:$D$86,0))),"Y","N")))</f>
        <v/>
      </c>
    </row>
    <row r="618">
      <c r="A618" s="92" t="n">
        <v>2025</v>
      </c>
      <c r="B618" s="92" t="n">
        <v>3</v>
      </c>
      <c r="C618" s="92" t="inlineStr">
        <is>
          <t>5100000614</t>
        </is>
      </c>
      <c r="D618" s="95" t="n">
        <v>45736</v>
      </c>
      <c r="E618" s="92" t="inlineStr">
        <is>
          <t>KR</t>
        </is>
      </c>
      <c r="F618" s="92" t="n">
        <v>62901000</v>
      </c>
      <c r="G618" s="92" t="n">
        <v>1101</v>
      </c>
      <c r="H618" s="93" t="n">
        <v>2463000</v>
      </c>
      <c r="I618" s="92" t="inlineStr">
        <is>
          <t>3월 자문 수수료 - K회계법인</t>
        </is>
      </c>
      <c r="J618" s="92" t="inlineStr">
        <is>
          <t>V10011</t>
        </is>
      </c>
      <c r="K618" s="92" t="inlineStr">
        <is>
          <t>K회계법인</t>
        </is>
      </c>
      <c r="M618" s="9">
        <f>IF($A618="","",VALUE($A618&amp;"")*12+VALUE($B618&amp;""))</f>
        <v/>
      </c>
      <c r="N618" s="64">
        <f>IF($A618="","",IFERROR(INDEX(부서매핑!$C$5:$C$504,MATCH($G618&amp;"",부서매핑!$A$5:$A$504,0)),"미매핑"))</f>
        <v/>
      </c>
      <c r="O618" s="9">
        <f>IF($A618="","",N618&amp;"|"&amp;$F618)</f>
        <v/>
      </c>
      <c r="P618" s="94">
        <f>IF($A618="",0,$H618*설정!$C$23)</f>
        <v/>
      </c>
      <c r="Q618" s="64">
        <f>IF($A618="","",IF(O618&lt;&gt;원인분석!$C$9,"",IF(AND(M618&gt;=원인분석!$C$10,M618&lt;=원인분석!$C$11),"당기",IF(AND(M618&gt;=원인분석!$C$12,M618&lt;=원인분석!$C$13),"비교",""))))</f>
        <v/>
      </c>
      <c r="R618" s="9">
        <f>IF(Q618="","",$K618&amp;"")</f>
        <v/>
      </c>
      <c r="S618" s="9">
        <f>IF(Q618="","",IF(MATCH(R618,$R$5:$R$100000,0)=ROW()-4,ROW(),""))</f>
        <v/>
      </c>
      <c r="T618" s="9">
        <f>IF(Q618="당기",ABS(P618)+ROW()/1000000000,"")</f>
        <v/>
      </c>
      <c r="U618" s="9">
        <f>IF(Q618="비교",ABS(P618)+ROW()/1000000000,"")</f>
        <v/>
      </c>
      <c r="V618" s="64">
        <f>IF($A618="","",IF(COUNTIF(변동분석!$E$7:$E$506,O618)&gt;0,"Y","N"))</f>
        <v/>
      </c>
      <c r="W618" s="64">
        <f>IF($A618="","",IFERROR(INDEX(계정매핑!$D$5:$D$504,MATCH($F618&amp;"",계정매핑!$A$5:$A$504,0)),"미매핑"))</f>
        <v/>
      </c>
      <c r="X618" s="9">
        <f>IF($A618="","",$F618&amp;"")</f>
        <v/>
      </c>
      <c r="Y618" s="94">
        <f>IF($A618="",0,IF(AE618="직접",IF(AF618="비귀속",$P618,0),$P618*(1-AG618)*IFERROR(INDEX(계정대체기준!$F$20:$F$49,MATCH($N618,계정대체기준!$A$20:$A$49,0)),1)))</f>
        <v/>
      </c>
      <c r="Z618" s="94">
        <f>IF($A618="",0,IF(AE618="직접",IF(AF618="신계약비",$P618,0),$P618*(1-AG618)*IFERROR(INDEX(계정대체기준!$C$20:$C$49,MATCH($N618,계정대체기준!$A$20:$A$49,0)),0)))</f>
        <v/>
      </c>
      <c r="AA618" s="94">
        <f>IF($A618="",0,IF(AE618="직접",IF(OR(AF618="유지비",AF618="손해조사비"),$P618,0),$P618*(1-AG618)*IFERROR(INDEX(계정대체기준!$D$20:$D$49,MATCH($N618,계정대체기준!$A$20:$A$49,0)),0)))</f>
        <v/>
      </c>
      <c r="AB618" s="94">
        <f>IF($A618="",0,IF(AE618="직접",IF(AF618="수금비",$P618,0),$P618*(1-AG618)*IFERROR(INDEX(계정대체기준!$E$20:$E$49,MATCH($N618,계정대체기준!$A$20:$A$49,0)),0)))</f>
        <v/>
      </c>
      <c r="AC618" s="9">
        <f>IF(AND($A618&lt;&gt;"",M618=설정!$C$20,Z618&gt;0),Z618+ROW()/1000000000,"")</f>
        <v/>
      </c>
      <c r="AD618" s="94">
        <f>IF($A618="",0,$P618*AG618)</f>
        <v/>
      </c>
      <c r="AE618" s="64">
        <f>IF($A618="","",IFERROR(INDEX(계정매핑!$E$5:$E$504,MATCH($F618&amp;"",계정매핑!$A$5:$A$504,0))&amp;"","공통비"))</f>
        <v/>
      </c>
      <c r="AF618" s="64">
        <f>IF($A618="","",IF(AE618="직접",IFERROR(INDEX(계정매핑!$F$5:$F$504,MATCH($F618&amp;"",계정매핑!$A$5:$A$504,0))&amp;"","비귀속"),""))</f>
        <v/>
      </c>
      <c r="AG618" s="96">
        <f>IF($A618="",0,IF(AND(AE618&lt;&gt;"직접",IFERROR(INDEX(계정매핑!$G$5:$G$504,MATCH($F618&amp;"",계정매핑!$A$5:$A$504,0))&amp;"","")="유지비",COUNTIF(계정대체기준!$A$6:$A$15,$N618)&gt;0),IFERROR(INDEX(계정대체기준!$E$6:$E$15,MATCH(VALUE($A618&amp;""),계정대체기준!$D$6:$D$15,0)),0),0))</f>
        <v/>
      </c>
      <c r="AH618" s="64">
        <f>IF($A618="","",IF(AD618=0,"",IF(OR(COUNTIF(계정대체기준!$A$77:$A$86,$N618)&gt;0,ISNUMBER(MATCH($X618,계정대체기준!$D$77:$D$86,0)),ISNUMBER(MATCH($F618,계정대체기준!$D$77:$D$86,0))),"Y","N")))</f>
        <v/>
      </c>
    </row>
    <row r="619">
      <c r="A619" s="92" t="n">
        <v>2025</v>
      </c>
      <c r="B619" s="92" t="n">
        <v>3</v>
      </c>
      <c r="C619" s="92" t="inlineStr">
        <is>
          <t>5100000615</t>
        </is>
      </c>
      <c r="D619" s="95" t="n">
        <v>45736</v>
      </c>
      <c r="E619" s="92" t="inlineStr">
        <is>
          <t>KR</t>
        </is>
      </c>
      <c r="F619" s="92" t="n">
        <v>62901000</v>
      </c>
      <c r="G619" s="92" t="n">
        <v>1801</v>
      </c>
      <c r="H619" s="93" t="n">
        <v>10205000</v>
      </c>
      <c r="I619" s="92" t="inlineStr">
        <is>
          <t>3월 자문 수수료 - K회계법인</t>
        </is>
      </c>
      <c r="J619" s="92" t="inlineStr">
        <is>
          <t>V10011</t>
        </is>
      </c>
      <c r="K619" s="92" t="inlineStr">
        <is>
          <t>K회계법인</t>
        </is>
      </c>
      <c r="M619" s="9">
        <f>IF($A619="","",VALUE($A619&amp;"")*12+VALUE($B619&amp;""))</f>
        <v/>
      </c>
      <c r="N619" s="64">
        <f>IF($A619="","",IFERROR(INDEX(부서매핑!$C$5:$C$504,MATCH($G619&amp;"",부서매핑!$A$5:$A$504,0)),"미매핑"))</f>
        <v/>
      </c>
      <c r="O619" s="9">
        <f>IF($A619="","",N619&amp;"|"&amp;$F619)</f>
        <v/>
      </c>
      <c r="P619" s="94">
        <f>IF($A619="",0,$H619*설정!$C$23)</f>
        <v/>
      </c>
      <c r="Q619" s="64">
        <f>IF($A619="","",IF(O619&lt;&gt;원인분석!$C$9,"",IF(AND(M619&gt;=원인분석!$C$10,M619&lt;=원인분석!$C$11),"당기",IF(AND(M619&gt;=원인분석!$C$12,M619&lt;=원인분석!$C$13),"비교",""))))</f>
        <v/>
      </c>
      <c r="R619" s="9">
        <f>IF(Q619="","",$K619&amp;"")</f>
        <v/>
      </c>
      <c r="S619" s="9">
        <f>IF(Q619="","",IF(MATCH(R619,$R$5:$R$100000,0)=ROW()-4,ROW(),""))</f>
        <v/>
      </c>
      <c r="T619" s="9">
        <f>IF(Q619="당기",ABS(P619)+ROW()/1000000000,"")</f>
        <v/>
      </c>
      <c r="U619" s="9">
        <f>IF(Q619="비교",ABS(P619)+ROW()/1000000000,"")</f>
        <v/>
      </c>
      <c r="V619" s="64">
        <f>IF($A619="","",IF(COUNTIF(변동분석!$E$7:$E$506,O619)&gt;0,"Y","N"))</f>
        <v/>
      </c>
      <c r="W619" s="64">
        <f>IF($A619="","",IFERROR(INDEX(계정매핑!$D$5:$D$504,MATCH($F619&amp;"",계정매핑!$A$5:$A$504,0)),"미매핑"))</f>
        <v/>
      </c>
      <c r="X619" s="9">
        <f>IF($A619="","",$F619&amp;"")</f>
        <v/>
      </c>
      <c r="Y619" s="94">
        <f>IF($A619="",0,IF(AE619="직접",IF(AF619="비귀속",$P619,0),$P619*(1-AG619)*IFERROR(INDEX(계정대체기준!$F$20:$F$49,MATCH($N619,계정대체기준!$A$20:$A$49,0)),1)))</f>
        <v/>
      </c>
      <c r="Z619" s="94">
        <f>IF($A619="",0,IF(AE619="직접",IF(AF619="신계약비",$P619,0),$P619*(1-AG619)*IFERROR(INDEX(계정대체기준!$C$20:$C$49,MATCH($N619,계정대체기준!$A$20:$A$49,0)),0)))</f>
        <v/>
      </c>
      <c r="AA619" s="94">
        <f>IF($A619="",0,IF(AE619="직접",IF(OR(AF619="유지비",AF619="손해조사비"),$P619,0),$P619*(1-AG619)*IFERROR(INDEX(계정대체기준!$D$20:$D$49,MATCH($N619,계정대체기준!$A$20:$A$49,0)),0)))</f>
        <v/>
      </c>
      <c r="AB619" s="94">
        <f>IF($A619="",0,IF(AE619="직접",IF(AF619="수금비",$P619,0),$P619*(1-AG619)*IFERROR(INDEX(계정대체기준!$E$20:$E$49,MATCH($N619,계정대체기준!$A$20:$A$49,0)),0)))</f>
        <v/>
      </c>
      <c r="AC619" s="9">
        <f>IF(AND($A619&lt;&gt;"",M619=설정!$C$20,Z619&gt;0),Z619+ROW()/1000000000,"")</f>
        <v/>
      </c>
      <c r="AD619" s="94">
        <f>IF($A619="",0,$P619*AG619)</f>
        <v/>
      </c>
      <c r="AE619" s="64">
        <f>IF($A619="","",IFERROR(INDEX(계정매핑!$E$5:$E$504,MATCH($F619&amp;"",계정매핑!$A$5:$A$504,0))&amp;"","공통비"))</f>
        <v/>
      </c>
      <c r="AF619" s="64">
        <f>IF($A619="","",IF(AE619="직접",IFERROR(INDEX(계정매핑!$F$5:$F$504,MATCH($F619&amp;"",계정매핑!$A$5:$A$504,0))&amp;"","비귀속"),""))</f>
        <v/>
      </c>
      <c r="AG619" s="96">
        <f>IF($A619="",0,IF(AND(AE619&lt;&gt;"직접",IFERROR(INDEX(계정매핑!$G$5:$G$504,MATCH($F619&amp;"",계정매핑!$A$5:$A$504,0))&amp;"","")="유지비",COUNTIF(계정대체기준!$A$6:$A$15,$N619)&gt;0),IFERROR(INDEX(계정대체기준!$E$6:$E$15,MATCH(VALUE($A619&amp;""),계정대체기준!$D$6:$D$15,0)),0),0))</f>
        <v/>
      </c>
      <c r="AH619" s="64">
        <f>IF($A619="","",IF(AD619=0,"",IF(OR(COUNTIF(계정대체기준!$A$77:$A$86,$N619)&gt;0,ISNUMBER(MATCH($X619,계정대체기준!$D$77:$D$86,0)),ISNUMBER(MATCH($F619,계정대체기준!$D$77:$D$86,0))),"Y","N")))</f>
        <v/>
      </c>
    </row>
    <row r="620">
      <c r="A620" s="92" t="n">
        <v>2025</v>
      </c>
      <c r="B620" s="92" t="n">
        <v>3</v>
      </c>
      <c r="C620" s="92" t="inlineStr">
        <is>
          <t>5100000616</t>
        </is>
      </c>
      <c r="D620" s="95" t="n">
        <v>45736</v>
      </c>
      <c r="E620" s="92" t="inlineStr">
        <is>
          <t>KR</t>
        </is>
      </c>
      <c r="F620" s="92" t="n">
        <v>62902000</v>
      </c>
      <c r="G620" s="92" t="n">
        <v>1101</v>
      </c>
      <c r="H620" s="93" t="n">
        <v>2298000</v>
      </c>
      <c r="I620" s="92" t="inlineStr">
        <is>
          <t>3월 업무 위탁 수수료 - X서비스</t>
        </is>
      </c>
      <c r="J620" s="92" t="inlineStr">
        <is>
          <t>V10020</t>
        </is>
      </c>
      <c r="K620" s="92" t="inlineStr">
        <is>
          <t>X서비스</t>
        </is>
      </c>
      <c r="M620" s="9">
        <f>IF($A620="","",VALUE($A620&amp;"")*12+VALUE($B620&amp;""))</f>
        <v/>
      </c>
      <c r="N620" s="64">
        <f>IF($A620="","",IFERROR(INDEX(부서매핑!$C$5:$C$504,MATCH($G620&amp;"",부서매핑!$A$5:$A$504,0)),"미매핑"))</f>
        <v/>
      </c>
      <c r="O620" s="9">
        <f>IF($A620="","",N620&amp;"|"&amp;$F620)</f>
        <v/>
      </c>
      <c r="P620" s="94">
        <f>IF($A620="",0,$H620*설정!$C$23)</f>
        <v/>
      </c>
      <c r="Q620" s="64">
        <f>IF($A620="","",IF(O620&lt;&gt;원인분석!$C$9,"",IF(AND(M620&gt;=원인분석!$C$10,M620&lt;=원인분석!$C$11),"당기",IF(AND(M620&gt;=원인분석!$C$12,M620&lt;=원인분석!$C$13),"비교",""))))</f>
        <v/>
      </c>
      <c r="R620" s="9">
        <f>IF(Q620="","",$K620&amp;"")</f>
        <v/>
      </c>
      <c r="S620" s="9">
        <f>IF(Q620="","",IF(MATCH(R620,$R$5:$R$100000,0)=ROW()-4,ROW(),""))</f>
        <v/>
      </c>
      <c r="T620" s="9">
        <f>IF(Q620="당기",ABS(P620)+ROW()/1000000000,"")</f>
        <v/>
      </c>
      <c r="U620" s="9">
        <f>IF(Q620="비교",ABS(P620)+ROW()/1000000000,"")</f>
        <v/>
      </c>
      <c r="V620" s="64">
        <f>IF($A620="","",IF(COUNTIF(변동분석!$E$7:$E$506,O620)&gt;0,"Y","N"))</f>
        <v/>
      </c>
      <c r="W620" s="64">
        <f>IF($A620="","",IFERROR(INDEX(계정매핑!$D$5:$D$504,MATCH($F620&amp;"",계정매핑!$A$5:$A$504,0)),"미매핑"))</f>
        <v/>
      </c>
      <c r="X620" s="9">
        <f>IF($A620="","",$F620&amp;"")</f>
        <v/>
      </c>
      <c r="Y620" s="94">
        <f>IF($A620="",0,IF(AE620="직접",IF(AF620="비귀속",$P620,0),$P620*(1-AG620)*IFERROR(INDEX(계정대체기준!$F$20:$F$49,MATCH($N620,계정대체기준!$A$20:$A$49,0)),1)))</f>
        <v/>
      </c>
      <c r="Z620" s="94">
        <f>IF($A620="",0,IF(AE620="직접",IF(AF620="신계약비",$P620,0),$P620*(1-AG620)*IFERROR(INDEX(계정대체기준!$C$20:$C$49,MATCH($N620,계정대체기준!$A$20:$A$49,0)),0)))</f>
        <v/>
      </c>
      <c r="AA620" s="94">
        <f>IF($A620="",0,IF(AE620="직접",IF(OR(AF620="유지비",AF620="손해조사비"),$P620,0),$P620*(1-AG620)*IFERROR(INDEX(계정대체기준!$D$20:$D$49,MATCH($N620,계정대체기준!$A$20:$A$49,0)),0)))</f>
        <v/>
      </c>
      <c r="AB620" s="94">
        <f>IF($A620="",0,IF(AE620="직접",IF(AF620="수금비",$P620,0),$P620*(1-AG620)*IFERROR(INDEX(계정대체기준!$E$20:$E$49,MATCH($N620,계정대체기준!$A$20:$A$49,0)),0)))</f>
        <v/>
      </c>
      <c r="AC620" s="9">
        <f>IF(AND($A620&lt;&gt;"",M620=설정!$C$20,Z620&gt;0),Z620+ROW()/1000000000,"")</f>
        <v/>
      </c>
      <c r="AD620" s="94">
        <f>IF($A620="",0,$P620*AG620)</f>
        <v/>
      </c>
      <c r="AE620" s="64">
        <f>IF($A620="","",IFERROR(INDEX(계정매핑!$E$5:$E$504,MATCH($F620&amp;"",계정매핑!$A$5:$A$504,0))&amp;"","공통비"))</f>
        <v/>
      </c>
      <c r="AF620" s="64">
        <f>IF($A620="","",IF(AE620="직접",IFERROR(INDEX(계정매핑!$F$5:$F$504,MATCH($F620&amp;"",계정매핑!$A$5:$A$504,0))&amp;"","비귀속"),""))</f>
        <v/>
      </c>
      <c r="AG620" s="96">
        <f>IF($A620="",0,IF(AND(AE620&lt;&gt;"직접",IFERROR(INDEX(계정매핑!$G$5:$G$504,MATCH($F620&amp;"",계정매핑!$A$5:$A$504,0))&amp;"","")="유지비",COUNTIF(계정대체기준!$A$6:$A$15,$N620)&gt;0),IFERROR(INDEX(계정대체기준!$E$6:$E$15,MATCH(VALUE($A620&amp;""),계정대체기준!$D$6:$D$15,0)),0),0))</f>
        <v/>
      </c>
      <c r="AH620" s="64">
        <f>IF($A620="","",IF(AD620=0,"",IF(OR(COUNTIF(계정대체기준!$A$77:$A$86,$N620)&gt;0,ISNUMBER(MATCH($X620,계정대체기준!$D$77:$D$86,0)),ISNUMBER(MATCH($F620,계정대체기준!$D$77:$D$86,0))),"Y","N")))</f>
        <v/>
      </c>
    </row>
    <row r="621">
      <c r="A621" s="92" t="n">
        <v>2025</v>
      </c>
      <c r="B621" s="92" t="n">
        <v>3</v>
      </c>
      <c r="C621" s="92" t="inlineStr">
        <is>
          <t>5100000617</t>
        </is>
      </c>
      <c r="D621" s="95" t="n">
        <v>45736</v>
      </c>
      <c r="E621" s="92" t="inlineStr">
        <is>
          <t>KR</t>
        </is>
      </c>
      <c r="F621" s="92" t="n">
        <v>62902000</v>
      </c>
      <c r="G621" s="92" t="n">
        <v>1801</v>
      </c>
      <c r="H621" s="93" t="n">
        <v>1854000</v>
      </c>
      <c r="I621" s="92" t="inlineStr">
        <is>
          <t>3월 콜 위탁 수수료(건별)</t>
        </is>
      </c>
      <c r="J621" s="92" t="inlineStr">
        <is>
          <t>V10016</t>
        </is>
      </c>
      <c r="K621" s="92" t="inlineStr">
        <is>
          <t>J콜센터</t>
        </is>
      </c>
      <c r="M621" s="9">
        <f>IF($A621="","",VALUE($A621&amp;"")*12+VALUE($B621&amp;""))</f>
        <v/>
      </c>
      <c r="N621" s="64">
        <f>IF($A621="","",IFERROR(INDEX(부서매핑!$C$5:$C$504,MATCH($G621&amp;"",부서매핑!$A$5:$A$504,0)),"미매핑"))</f>
        <v/>
      </c>
      <c r="O621" s="9">
        <f>IF($A621="","",N621&amp;"|"&amp;$F621)</f>
        <v/>
      </c>
      <c r="P621" s="94">
        <f>IF($A621="",0,$H621*설정!$C$23)</f>
        <v/>
      </c>
      <c r="Q621" s="64">
        <f>IF($A621="","",IF(O621&lt;&gt;원인분석!$C$9,"",IF(AND(M621&gt;=원인분석!$C$10,M621&lt;=원인분석!$C$11),"당기",IF(AND(M621&gt;=원인분석!$C$12,M621&lt;=원인분석!$C$13),"비교",""))))</f>
        <v/>
      </c>
      <c r="R621" s="9">
        <f>IF(Q621="","",$K621&amp;"")</f>
        <v/>
      </c>
      <c r="S621" s="9">
        <f>IF(Q621="","",IF(MATCH(R621,$R$5:$R$100000,0)=ROW()-4,ROW(),""))</f>
        <v/>
      </c>
      <c r="T621" s="9">
        <f>IF(Q621="당기",ABS(P621)+ROW()/1000000000,"")</f>
        <v/>
      </c>
      <c r="U621" s="9">
        <f>IF(Q621="비교",ABS(P621)+ROW()/1000000000,"")</f>
        <v/>
      </c>
      <c r="V621" s="64">
        <f>IF($A621="","",IF(COUNTIF(변동분석!$E$7:$E$506,O621)&gt;0,"Y","N"))</f>
        <v/>
      </c>
      <c r="W621" s="64">
        <f>IF($A621="","",IFERROR(INDEX(계정매핑!$D$5:$D$504,MATCH($F621&amp;"",계정매핑!$A$5:$A$504,0)),"미매핑"))</f>
        <v/>
      </c>
      <c r="X621" s="9">
        <f>IF($A621="","",$F621&amp;"")</f>
        <v/>
      </c>
      <c r="Y621" s="94">
        <f>IF($A621="",0,IF(AE621="직접",IF(AF621="비귀속",$P621,0),$P621*(1-AG621)*IFERROR(INDEX(계정대체기준!$F$20:$F$49,MATCH($N621,계정대체기준!$A$20:$A$49,0)),1)))</f>
        <v/>
      </c>
      <c r="Z621" s="94">
        <f>IF($A621="",0,IF(AE621="직접",IF(AF621="신계약비",$P621,0),$P621*(1-AG621)*IFERROR(INDEX(계정대체기준!$C$20:$C$49,MATCH($N621,계정대체기준!$A$20:$A$49,0)),0)))</f>
        <v/>
      </c>
      <c r="AA621" s="94">
        <f>IF($A621="",0,IF(AE621="직접",IF(OR(AF621="유지비",AF621="손해조사비"),$P621,0),$P621*(1-AG621)*IFERROR(INDEX(계정대체기준!$D$20:$D$49,MATCH($N621,계정대체기준!$A$20:$A$49,0)),0)))</f>
        <v/>
      </c>
      <c r="AB621" s="94">
        <f>IF($A621="",0,IF(AE621="직접",IF(AF621="수금비",$P621,0),$P621*(1-AG621)*IFERROR(INDEX(계정대체기준!$E$20:$E$49,MATCH($N621,계정대체기준!$A$20:$A$49,0)),0)))</f>
        <v/>
      </c>
      <c r="AC621" s="9">
        <f>IF(AND($A621&lt;&gt;"",M621=설정!$C$20,Z621&gt;0),Z621+ROW()/1000000000,"")</f>
        <v/>
      </c>
      <c r="AD621" s="94">
        <f>IF($A621="",0,$P621*AG621)</f>
        <v/>
      </c>
      <c r="AE621" s="64">
        <f>IF($A621="","",IFERROR(INDEX(계정매핑!$E$5:$E$504,MATCH($F621&amp;"",계정매핑!$A$5:$A$504,0))&amp;"","공통비"))</f>
        <v/>
      </c>
      <c r="AF621" s="64">
        <f>IF($A621="","",IF(AE621="직접",IFERROR(INDEX(계정매핑!$F$5:$F$504,MATCH($F621&amp;"",계정매핑!$A$5:$A$504,0))&amp;"","비귀속"),""))</f>
        <v/>
      </c>
      <c r="AG621" s="96">
        <f>IF($A621="",0,IF(AND(AE621&lt;&gt;"직접",IFERROR(INDEX(계정매핑!$G$5:$G$504,MATCH($F621&amp;"",계정매핑!$A$5:$A$504,0))&amp;"","")="유지비",COUNTIF(계정대체기준!$A$6:$A$15,$N621)&gt;0),IFERROR(INDEX(계정대체기준!$E$6:$E$15,MATCH(VALUE($A621&amp;""),계정대체기준!$D$6:$D$15,0)),0),0))</f>
        <v/>
      </c>
      <c r="AH621" s="64">
        <f>IF($A621="","",IF(AD621=0,"",IF(OR(COUNTIF(계정대체기준!$A$77:$A$86,$N621)&gt;0,ISNUMBER(MATCH($X621,계정대체기준!$D$77:$D$86,0)),ISNUMBER(MATCH($F621,계정대체기준!$D$77:$D$86,0))),"Y","N")))</f>
        <v/>
      </c>
    </row>
    <row r="622">
      <c r="A622" s="92" t="n">
        <v>2025</v>
      </c>
      <c r="B622" s="92" t="n">
        <v>3</v>
      </c>
      <c r="C622" s="92" t="inlineStr">
        <is>
          <t>5100000618</t>
        </is>
      </c>
      <c r="D622" s="95" t="n">
        <v>45736</v>
      </c>
      <c r="E622" s="92" t="inlineStr">
        <is>
          <t>KR</t>
        </is>
      </c>
      <c r="F622" s="92" t="n">
        <v>63101000</v>
      </c>
      <c r="G622" s="92" t="n">
        <v>1602</v>
      </c>
      <c r="H622" s="93" t="n">
        <v>5958000</v>
      </c>
      <c r="I622" s="92" t="inlineStr">
        <is>
          <t>3월 사무실 임차료 - AA빌딩</t>
        </is>
      </c>
      <c r="J622" s="92" t="inlineStr">
        <is>
          <t>V10007</t>
        </is>
      </c>
      <c r="K622" s="92" t="inlineStr">
        <is>
          <t>AA빌딩</t>
        </is>
      </c>
      <c r="M622" s="9">
        <f>IF($A622="","",VALUE($A622&amp;"")*12+VALUE($B622&amp;""))</f>
        <v/>
      </c>
      <c r="N622" s="64">
        <f>IF($A622="","",IFERROR(INDEX(부서매핑!$C$5:$C$504,MATCH($G622&amp;"",부서매핑!$A$5:$A$504,0)),"미매핑"))</f>
        <v/>
      </c>
      <c r="O622" s="9">
        <f>IF($A622="","",N622&amp;"|"&amp;$F622)</f>
        <v/>
      </c>
      <c r="P622" s="94">
        <f>IF($A622="",0,$H622*설정!$C$23)</f>
        <v/>
      </c>
      <c r="Q622" s="64">
        <f>IF($A622="","",IF(O622&lt;&gt;원인분석!$C$9,"",IF(AND(M622&gt;=원인분석!$C$10,M622&lt;=원인분석!$C$11),"당기",IF(AND(M622&gt;=원인분석!$C$12,M622&lt;=원인분석!$C$13),"비교",""))))</f>
        <v/>
      </c>
      <c r="R622" s="9">
        <f>IF(Q622="","",$K622&amp;"")</f>
        <v/>
      </c>
      <c r="S622" s="9">
        <f>IF(Q622="","",IF(MATCH(R622,$R$5:$R$100000,0)=ROW()-4,ROW(),""))</f>
        <v/>
      </c>
      <c r="T622" s="9">
        <f>IF(Q622="당기",ABS(P622)+ROW()/1000000000,"")</f>
        <v/>
      </c>
      <c r="U622" s="9">
        <f>IF(Q622="비교",ABS(P622)+ROW()/1000000000,"")</f>
        <v/>
      </c>
      <c r="V622" s="64">
        <f>IF($A622="","",IF(COUNTIF(변동분석!$E$7:$E$506,O622)&gt;0,"Y","N"))</f>
        <v/>
      </c>
      <c r="W622" s="64">
        <f>IF($A622="","",IFERROR(INDEX(계정매핑!$D$5:$D$504,MATCH($F622&amp;"",계정매핑!$A$5:$A$504,0)),"미매핑"))</f>
        <v/>
      </c>
      <c r="X622" s="9">
        <f>IF($A622="","",$F622&amp;"")</f>
        <v/>
      </c>
      <c r="Y622" s="94">
        <f>IF($A622="",0,IF(AE622="직접",IF(AF622="비귀속",$P622,0),$P622*(1-AG622)*IFERROR(INDEX(계정대체기준!$F$20:$F$49,MATCH($N622,계정대체기준!$A$20:$A$49,0)),1)))</f>
        <v/>
      </c>
      <c r="Z622" s="94">
        <f>IF($A622="",0,IF(AE622="직접",IF(AF622="신계약비",$P622,0),$P622*(1-AG622)*IFERROR(INDEX(계정대체기준!$C$20:$C$49,MATCH($N622,계정대체기준!$A$20:$A$49,0)),0)))</f>
        <v/>
      </c>
      <c r="AA622" s="94">
        <f>IF($A622="",0,IF(AE622="직접",IF(OR(AF622="유지비",AF622="손해조사비"),$P622,0),$P622*(1-AG622)*IFERROR(INDEX(계정대체기준!$D$20:$D$49,MATCH($N622,계정대체기준!$A$20:$A$49,0)),0)))</f>
        <v/>
      </c>
      <c r="AB622" s="94">
        <f>IF($A622="",0,IF(AE622="직접",IF(AF622="수금비",$P622,0),$P622*(1-AG622)*IFERROR(INDEX(계정대체기준!$E$20:$E$49,MATCH($N622,계정대체기준!$A$20:$A$49,0)),0)))</f>
        <v/>
      </c>
      <c r="AC622" s="9">
        <f>IF(AND($A622&lt;&gt;"",M622=설정!$C$20,Z622&gt;0),Z622+ROW()/1000000000,"")</f>
        <v/>
      </c>
      <c r="AD622" s="94">
        <f>IF($A622="",0,$P622*AG622)</f>
        <v/>
      </c>
      <c r="AE622" s="64">
        <f>IF($A622="","",IFERROR(INDEX(계정매핑!$E$5:$E$504,MATCH($F622&amp;"",계정매핑!$A$5:$A$504,0))&amp;"","공통비"))</f>
        <v/>
      </c>
      <c r="AF622" s="64">
        <f>IF($A622="","",IF(AE622="직접",IFERROR(INDEX(계정매핑!$F$5:$F$504,MATCH($F622&amp;"",계정매핑!$A$5:$A$504,0))&amp;"","비귀속"),""))</f>
        <v/>
      </c>
      <c r="AG622" s="96">
        <f>IF($A622="",0,IF(AND(AE622&lt;&gt;"직접",IFERROR(INDEX(계정매핑!$G$5:$G$504,MATCH($F622&amp;"",계정매핑!$A$5:$A$504,0))&amp;"","")="유지비",COUNTIF(계정대체기준!$A$6:$A$15,$N622)&gt;0),IFERROR(INDEX(계정대체기준!$E$6:$E$15,MATCH(VALUE($A622&amp;""),계정대체기준!$D$6:$D$15,0)),0),0))</f>
        <v/>
      </c>
      <c r="AH622" s="64">
        <f>IF($A622="","",IF(AD622=0,"",IF(OR(COUNTIF(계정대체기준!$A$77:$A$86,$N622)&gt;0,ISNUMBER(MATCH($X622,계정대체기준!$D$77:$D$86,0)),ISNUMBER(MATCH($F622,계정대체기준!$D$77:$D$86,0))),"Y","N")))</f>
        <v/>
      </c>
    </row>
    <row r="623">
      <c r="A623" s="92" t="n">
        <v>2025</v>
      </c>
      <c r="B623" s="92" t="n">
        <v>3</v>
      </c>
      <c r="C623" s="92" t="inlineStr">
        <is>
          <t>5100000619</t>
        </is>
      </c>
      <c r="D623" s="95" t="n">
        <v>45737</v>
      </c>
      <c r="E623" s="92" t="inlineStr">
        <is>
          <t>KR</t>
        </is>
      </c>
      <c r="F623" s="92" t="n">
        <v>62101000</v>
      </c>
      <c r="G623" s="92" t="n">
        <v>1301</v>
      </c>
      <c r="H623" s="93" t="n">
        <v>215000</v>
      </c>
      <c r="I623" s="92" t="inlineStr">
        <is>
          <t>3월 국내출장 - L여행사</t>
        </is>
      </c>
      <c r="J623" s="92" t="inlineStr">
        <is>
          <t>V10018</t>
        </is>
      </c>
      <c r="K623" s="92" t="inlineStr">
        <is>
          <t>L여행사</t>
        </is>
      </c>
      <c r="M623" s="9">
        <f>IF($A623="","",VALUE($A623&amp;"")*12+VALUE($B623&amp;""))</f>
        <v/>
      </c>
      <c r="N623" s="64">
        <f>IF($A623="","",IFERROR(INDEX(부서매핑!$C$5:$C$504,MATCH($G623&amp;"",부서매핑!$A$5:$A$504,0)),"미매핑"))</f>
        <v/>
      </c>
      <c r="O623" s="9">
        <f>IF($A623="","",N623&amp;"|"&amp;$F623)</f>
        <v/>
      </c>
      <c r="P623" s="94">
        <f>IF($A623="",0,$H623*설정!$C$23)</f>
        <v/>
      </c>
      <c r="Q623" s="64">
        <f>IF($A623="","",IF(O623&lt;&gt;원인분석!$C$9,"",IF(AND(M623&gt;=원인분석!$C$10,M623&lt;=원인분석!$C$11),"당기",IF(AND(M623&gt;=원인분석!$C$12,M623&lt;=원인분석!$C$13),"비교",""))))</f>
        <v/>
      </c>
      <c r="R623" s="9">
        <f>IF(Q623="","",$K623&amp;"")</f>
        <v/>
      </c>
      <c r="S623" s="9">
        <f>IF(Q623="","",IF(MATCH(R623,$R$5:$R$100000,0)=ROW()-4,ROW(),""))</f>
        <v/>
      </c>
      <c r="T623" s="9">
        <f>IF(Q623="당기",ABS(P623)+ROW()/1000000000,"")</f>
        <v/>
      </c>
      <c r="U623" s="9">
        <f>IF(Q623="비교",ABS(P623)+ROW()/1000000000,"")</f>
        <v/>
      </c>
      <c r="V623" s="64">
        <f>IF($A623="","",IF(COUNTIF(변동분석!$E$7:$E$506,O623)&gt;0,"Y","N"))</f>
        <v/>
      </c>
      <c r="W623" s="64">
        <f>IF($A623="","",IFERROR(INDEX(계정매핑!$D$5:$D$504,MATCH($F623&amp;"",계정매핑!$A$5:$A$504,0)),"미매핑"))</f>
        <v/>
      </c>
      <c r="X623" s="9">
        <f>IF($A623="","",$F623&amp;"")</f>
        <v/>
      </c>
      <c r="Y623" s="94">
        <f>IF($A623="",0,IF(AE623="직접",IF(AF623="비귀속",$P623,0),$P623*(1-AG623)*IFERROR(INDEX(계정대체기준!$F$20:$F$49,MATCH($N623,계정대체기준!$A$20:$A$49,0)),1)))</f>
        <v/>
      </c>
      <c r="Z623" s="94">
        <f>IF($A623="",0,IF(AE623="직접",IF(AF623="신계약비",$P623,0),$P623*(1-AG623)*IFERROR(INDEX(계정대체기준!$C$20:$C$49,MATCH($N623,계정대체기준!$A$20:$A$49,0)),0)))</f>
        <v/>
      </c>
      <c r="AA623" s="94">
        <f>IF($A623="",0,IF(AE623="직접",IF(OR(AF623="유지비",AF623="손해조사비"),$P623,0),$P623*(1-AG623)*IFERROR(INDEX(계정대체기준!$D$20:$D$49,MATCH($N623,계정대체기준!$A$20:$A$49,0)),0)))</f>
        <v/>
      </c>
      <c r="AB623" s="94">
        <f>IF($A623="",0,IF(AE623="직접",IF(AF623="수금비",$P623,0),$P623*(1-AG623)*IFERROR(INDEX(계정대체기준!$E$20:$E$49,MATCH($N623,계정대체기준!$A$20:$A$49,0)),0)))</f>
        <v/>
      </c>
      <c r="AC623" s="9">
        <f>IF(AND($A623&lt;&gt;"",M623=설정!$C$20,Z623&gt;0),Z623+ROW()/1000000000,"")</f>
        <v/>
      </c>
      <c r="AD623" s="94">
        <f>IF($A623="",0,$P623*AG623)</f>
        <v/>
      </c>
      <c r="AE623" s="64">
        <f>IF($A623="","",IFERROR(INDEX(계정매핑!$E$5:$E$504,MATCH($F623&amp;"",계정매핑!$A$5:$A$504,0))&amp;"","공통비"))</f>
        <v/>
      </c>
      <c r="AF623" s="64">
        <f>IF($A623="","",IF(AE623="직접",IFERROR(INDEX(계정매핑!$F$5:$F$504,MATCH($F623&amp;"",계정매핑!$A$5:$A$504,0))&amp;"","비귀속"),""))</f>
        <v/>
      </c>
      <c r="AG623" s="96">
        <f>IF($A623="",0,IF(AND(AE623&lt;&gt;"직접",IFERROR(INDEX(계정매핑!$G$5:$G$504,MATCH($F623&amp;"",계정매핑!$A$5:$A$504,0))&amp;"","")="유지비",COUNTIF(계정대체기준!$A$6:$A$15,$N623)&gt;0),IFERROR(INDEX(계정대체기준!$E$6:$E$15,MATCH(VALUE($A623&amp;""),계정대체기준!$D$6:$D$15,0)),0),0))</f>
        <v/>
      </c>
      <c r="AH623" s="64">
        <f>IF($A623="","",IF(AD623=0,"",IF(OR(COUNTIF(계정대체기준!$A$77:$A$86,$N623)&gt;0,ISNUMBER(MATCH($X623,계정대체기준!$D$77:$D$86,0)),ISNUMBER(MATCH($F623,계정대체기준!$D$77:$D$86,0))),"Y","N")))</f>
        <v/>
      </c>
    </row>
    <row r="624">
      <c r="A624" s="92" t="n">
        <v>2025</v>
      </c>
      <c r="B624" s="92" t="n">
        <v>3</v>
      </c>
      <c r="C624" s="92" t="inlineStr">
        <is>
          <t>5100000620</t>
        </is>
      </c>
      <c r="D624" s="95" t="n">
        <v>45737</v>
      </c>
      <c r="E624" s="92" t="inlineStr">
        <is>
          <t>KR</t>
        </is>
      </c>
      <c r="F624" s="92" t="n">
        <v>62102000</v>
      </c>
      <c r="G624" s="92" t="n">
        <v>1101</v>
      </c>
      <c r="H624" s="93" t="n">
        <v>142000</v>
      </c>
      <c r="I624" s="92" t="inlineStr">
        <is>
          <t>3월 해외출장 - M항공</t>
        </is>
      </c>
      <c r="J624" s="92" t="inlineStr">
        <is>
          <t>V10001</t>
        </is>
      </c>
      <c r="K624" s="92" t="inlineStr">
        <is>
          <t>M항공</t>
        </is>
      </c>
      <c r="M624" s="9">
        <f>IF($A624="","",VALUE($A624&amp;"")*12+VALUE($B624&amp;""))</f>
        <v/>
      </c>
      <c r="N624" s="64">
        <f>IF($A624="","",IFERROR(INDEX(부서매핑!$C$5:$C$504,MATCH($G624&amp;"",부서매핑!$A$5:$A$504,0)),"미매핑"))</f>
        <v/>
      </c>
      <c r="O624" s="9">
        <f>IF($A624="","",N624&amp;"|"&amp;$F624)</f>
        <v/>
      </c>
      <c r="P624" s="94">
        <f>IF($A624="",0,$H624*설정!$C$23)</f>
        <v/>
      </c>
      <c r="Q624" s="64">
        <f>IF($A624="","",IF(O624&lt;&gt;원인분석!$C$9,"",IF(AND(M624&gt;=원인분석!$C$10,M624&lt;=원인분석!$C$11),"당기",IF(AND(M624&gt;=원인분석!$C$12,M624&lt;=원인분석!$C$13),"비교",""))))</f>
        <v/>
      </c>
      <c r="R624" s="9">
        <f>IF(Q624="","",$K624&amp;"")</f>
        <v/>
      </c>
      <c r="S624" s="9">
        <f>IF(Q624="","",IF(MATCH(R624,$R$5:$R$100000,0)=ROW()-4,ROW(),""))</f>
        <v/>
      </c>
      <c r="T624" s="9">
        <f>IF(Q624="당기",ABS(P624)+ROW()/1000000000,"")</f>
        <v/>
      </c>
      <c r="U624" s="9">
        <f>IF(Q624="비교",ABS(P624)+ROW()/1000000000,"")</f>
        <v/>
      </c>
      <c r="V624" s="64">
        <f>IF($A624="","",IF(COUNTIF(변동분석!$E$7:$E$506,O624)&gt;0,"Y","N"))</f>
        <v/>
      </c>
      <c r="W624" s="64">
        <f>IF($A624="","",IFERROR(INDEX(계정매핑!$D$5:$D$504,MATCH($F624&amp;"",계정매핑!$A$5:$A$504,0)),"미매핑"))</f>
        <v/>
      </c>
      <c r="X624" s="9">
        <f>IF($A624="","",$F624&amp;"")</f>
        <v/>
      </c>
      <c r="Y624" s="94">
        <f>IF($A624="",0,IF(AE624="직접",IF(AF624="비귀속",$P624,0),$P624*(1-AG624)*IFERROR(INDEX(계정대체기준!$F$20:$F$49,MATCH($N624,계정대체기준!$A$20:$A$49,0)),1)))</f>
        <v/>
      </c>
      <c r="Z624" s="94">
        <f>IF($A624="",0,IF(AE624="직접",IF(AF624="신계약비",$P624,0),$P624*(1-AG624)*IFERROR(INDEX(계정대체기준!$C$20:$C$49,MATCH($N624,계정대체기준!$A$20:$A$49,0)),0)))</f>
        <v/>
      </c>
      <c r="AA624" s="94">
        <f>IF($A624="",0,IF(AE624="직접",IF(OR(AF624="유지비",AF624="손해조사비"),$P624,0),$P624*(1-AG624)*IFERROR(INDEX(계정대체기준!$D$20:$D$49,MATCH($N624,계정대체기준!$A$20:$A$49,0)),0)))</f>
        <v/>
      </c>
      <c r="AB624" s="94">
        <f>IF($A624="",0,IF(AE624="직접",IF(AF624="수금비",$P624,0),$P624*(1-AG624)*IFERROR(INDEX(계정대체기준!$E$20:$E$49,MATCH($N624,계정대체기준!$A$20:$A$49,0)),0)))</f>
        <v/>
      </c>
      <c r="AC624" s="9">
        <f>IF(AND($A624&lt;&gt;"",M624=설정!$C$20,Z624&gt;0),Z624+ROW()/1000000000,"")</f>
        <v/>
      </c>
      <c r="AD624" s="94">
        <f>IF($A624="",0,$P624*AG624)</f>
        <v/>
      </c>
      <c r="AE624" s="64">
        <f>IF($A624="","",IFERROR(INDEX(계정매핑!$E$5:$E$504,MATCH($F624&amp;"",계정매핑!$A$5:$A$504,0))&amp;"","공통비"))</f>
        <v/>
      </c>
      <c r="AF624" s="64">
        <f>IF($A624="","",IF(AE624="직접",IFERROR(INDEX(계정매핑!$F$5:$F$504,MATCH($F624&amp;"",계정매핑!$A$5:$A$504,0))&amp;"","비귀속"),""))</f>
        <v/>
      </c>
      <c r="AG624" s="96">
        <f>IF($A624="",0,IF(AND(AE624&lt;&gt;"직접",IFERROR(INDEX(계정매핑!$G$5:$G$504,MATCH($F624&amp;"",계정매핑!$A$5:$A$504,0))&amp;"","")="유지비",COUNTIF(계정대체기준!$A$6:$A$15,$N624)&gt;0),IFERROR(INDEX(계정대체기준!$E$6:$E$15,MATCH(VALUE($A624&amp;""),계정대체기준!$D$6:$D$15,0)),0),0))</f>
        <v/>
      </c>
      <c r="AH624" s="64">
        <f>IF($A624="","",IF(AD624=0,"",IF(OR(COUNTIF(계정대체기준!$A$77:$A$86,$N624)&gt;0,ISNUMBER(MATCH($X624,계정대체기준!$D$77:$D$86,0)),ISNUMBER(MATCH($F624,계정대체기준!$D$77:$D$86,0))),"Y","N")))</f>
        <v/>
      </c>
    </row>
    <row r="625">
      <c r="A625" s="92" t="n">
        <v>2025</v>
      </c>
      <c r="B625" s="92" t="n">
        <v>3</v>
      </c>
      <c r="C625" s="92" t="inlineStr">
        <is>
          <t>5100000621</t>
        </is>
      </c>
      <c r="D625" s="95" t="n">
        <v>45737</v>
      </c>
      <c r="E625" s="92" t="inlineStr">
        <is>
          <t>KR</t>
        </is>
      </c>
      <c r="F625" s="92" t="n">
        <v>62102000</v>
      </c>
      <c r="G625" s="92" t="n">
        <v>1301</v>
      </c>
      <c r="H625" s="93" t="n">
        <v>91000</v>
      </c>
      <c r="I625" s="92" t="inlineStr">
        <is>
          <t>3월 해외출장 - M항공</t>
        </is>
      </c>
      <c r="J625" s="92" t="inlineStr">
        <is>
          <t>V10001</t>
        </is>
      </c>
      <c r="K625" s="92" t="inlineStr">
        <is>
          <t>M항공</t>
        </is>
      </c>
      <c r="M625" s="9">
        <f>IF($A625="","",VALUE($A625&amp;"")*12+VALUE($B625&amp;""))</f>
        <v/>
      </c>
      <c r="N625" s="64">
        <f>IF($A625="","",IFERROR(INDEX(부서매핑!$C$5:$C$504,MATCH($G625&amp;"",부서매핑!$A$5:$A$504,0)),"미매핑"))</f>
        <v/>
      </c>
      <c r="O625" s="9">
        <f>IF($A625="","",N625&amp;"|"&amp;$F625)</f>
        <v/>
      </c>
      <c r="P625" s="94">
        <f>IF($A625="",0,$H625*설정!$C$23)</f>
        <v/>
      </c>
      <c r="Q625" s="64">
        <f>IF($A625="","",IF(O625&lt;&gt;원인분석!$C$9,"",IF(AND(M625&gt;=원인분석!$C$10,M625&lt;=원인분석!$C$11),"당기",IF(AND(M625&gt;=원인분석!$C$12,M625&lt;=원인분석!$C$13),"비교",""))))</f>
        <v/>
      </c>
      <c r="R625" s="9">
        <f>IF(Q625="","",$K625&amp;"")</f>
        <v/>
      </c>
      <c r="S625" s="9">
        <f>IF(Q625="","",IF(MATCH(R625,$R$5:$R$100000,0)=ROW()-4,ROW(),""))</f>
        <v/>
      </c>
      <c r="T625" s="9">
        <f>IF(Q625="당기",ABS(P625)+ROW()/1000000000,"")</f>
        <v/>
      </c>
      <c r="U625" s="9">
        <f>IF(Q625="비교",ABS(P625)+ROW()/1000000000,"")</f>
        <v/>
      </c>
      <c r="V625" s="64">
        <f>IF($A625="","",IF(COUNTIF(변동분석!$E$7:$E$506,O625)&gt;0,"Y","N"))</f>
        <v/>
      </c>
      <c r="W625" s="64">
        <f>IF($A625="","",IFERROR(INDEX(계정매핑!$D$5:$D$504,MATCH($F625&amp;"",계정매핑!$A$5:$A$504,0)),"미매핑"))</f>
        <v/>
      </c>
      <c r="X625" s="9">
        <f>IF($A625="","",$F625&amp;"")</f>
        <v/>
      </c>
      <c r="Y625" s="94">
        <f>IF($A625="",0,IF(AE625="직접",IF(AF625="비귀속",$P625,0),$P625*(1-AG625)*IFERROR(INDEX(계정대체기준!$F$20:$F$49,MATCH($N625,계정대체기준!$A$20:$A$49,0)),1)))</f>
        <v/>
      </c>
      <c r="Z625" s="94">
        <f>IF($A625="",0,IF(AE625="직접",IF(AF625="신계약비",$P625,0),$P625*(1-AG625)*IFERROR(INDEX(계정대체기준!$C$20:$C$49,MATCH($N625,계정대체기준!$A$20:$A$49,0)),0)))</f>
        <v/>
      </c>
      <c r="AA625" s="94">
        <f>IF($A625="",0,IF(AE625="직접",IF(OR(AF625="유지비",AF625="손해조사비"),$P625,0),$P625*(1-AG625)*IFERROR(INDEX(계정대체기준!$D$20:$D$49,MATCH($N625,계정대체기준!$A$20:$A$49,0)),0)))</f>
        <v/>
      </c>
      <c r="AB625" s="94">
        <f>IF($A625="",0,IF(AE625="직접",IF(AF625="수금비",$P625,0),$P625*(1-AG625)*IFERROR(INDEX(계정대체기준!$E$20:$E$49,MATCH($N625,계정대체기준!$A$20:$A$49,0)),0)))</f>
        <v/>
      </c>
      <c r="AC625" s="9">
        <f>IF(AND($A625&lt;&gt;"",M625=설정!$C$20,Z625&gt;0),Z625+ROW()/1000000000,"")</f>
        <v/>
      </c>
      <c r="AD625" s="94">
        <f>IF($A625="",0,$P625*AG625)</f>
        <v/>
      </c>
      <c r="AE625" s="64">
        <f>IF($A625="","",IFERROR(INDEX(계정매핑!$E$5:$E$504,MATCH($F625&amp;"",계정매핑!$A$5:$A$504,0))&amp;"","공통비"))</f>
        <v/>
      </c>
      <c r="AF625" s="64">
        <f>IF($A625="","",IF(AE625="직접",IFERROR(INDEX(계정매핑!$F$5:$F$504,MATCH($F625&amp;"",계정매핑!$A$5:$A$504,0))&amp;"","비귀속"),""))</f>
        <v/>
      </c>
      <c r="AG625" s="96">
        <f>IF($A625="",0,IF(AND(AE625&lt;&gt;"직접",IFERROR(INDEX(계정매핑!$G$5:$G$504,MATCH($F625&amp;"",계정매핑!$A$5:$A$504,0))&amp;"","")="유지비",COUNTIF(계정대체기준!$A$6:$A$15,$N625)&gt;0),IFERROR(INDEX(계정대체기준!$E$6:$E$15,MATCH(VALUE($A625&amp;""),계정대체기준!$D$6:$D$15,0)),0),0))</f>
        <v/>
      </c>
      <c r="AH625" s="64">
        <f>IF($A625="","",IF(AD625=0,"",IF(OR(COUNTIF(계정대체기준!$A$77:$A$86,$N625)&gt;0,ISNUMBER(MATCH($X625,계정대체기준!$D$77:$D$86,0)),ISNUMBER(MATCH($F625,계정대체기준!$D$77:$D$86,0))),"Y","N")))</f>
        <v/>
      </c>
    </row>
    <row r="626">
      <c r="A626" s="92" t="n">
        <v>2025</v>
      </c>
      <c r="B626" s="92" t="n">
        <v>3</v>
      </c>
      <c r="C626" s="92" t="inlineStr">
        <is>
          <t>5100000622</t>
        </is>
      </c>
      <c r="D626" s="95" t="n">
        <v>45737</v>
      </c>
      <c r="E626" s="92" t="inlineStr">
        <is>
          <t>KR</t>
        </is>
      </c>
      <c r="F626" s="92" t="n">
        <v>62102000</v>
      </c>
      <c r="G626" s="92" t="n">
        <v>1401</v>
      </c>
      <c r="H626" s="93" t="n">
        <v>163000</v>
      </c>
      <c r="I626" s="92" t="inlineStr">
        <is>
          <t>3월 해외출장 - N호텔</t>
        </is>
      </c>
      <c r="J626" s="92" t="inlineStr">
        <is>
          <t>V10009</t>
        </is>
      </c>
      <c r="K626" s="92" t="inlineStr">
        <is>
          <t>N호텔</t>
        </is>
      </c>
      <c r="M626" s="9">
        <f>IF($A626="","",VALUE($A626&amp;"")*12+VALUE($B626&amp;""))</f>
        <v/>
      </c>
      <c r="N626" s="64">
        <f>IF($A626="","",IFERROR(INDEX(부서매핑!$C$5:$C$504,MATCH($G626&amp;"",부서매핑!$A$5:$A$504,0)),"미매핑"))</f>
        <v/>
      </c>
      <c r="O626" s="9">
        <f>IF($A626="","",N626&amp;"|"&amp;$F626)</f>
        <v/>
      </c>
      <c r="P626" s="94">
        <f>IF($A626="",0,$H626*설정!$C$23)</f>
        <v/>
      </c>
      <c r="Q626" s="64">
        <f>IF($A626="","",IF(O626&lt;&gt;원인분석!$C$9,"",IF(AND(M626&gt;=원인분석!$C$10,M626&lt;=원인분석!$C$11),"당기",IF(AND(M626&gt;=원인분석!$C$12,M626&lt;=원인분석!$C$13),"비교",""))))</f>
        <v/>
      </c>
      <c r="R626" s="9">
        <f>IF(Q626="","",$K626&amp;"")</f>
        <v/>
      </c>
      <c r="S626" s="9">
        <f>IF(Q626="","",IF(MATCH(R626,$R$5:$R$100000,0)=ROW()-4,ROW(),""))</f>
        <v/>
      </c>
      <c r="T626" s="9">
        <f>IF(Q626="당기",ABS(P626)+ROW()/1000000000,"")</f>
        <v/>
      </c>
      <c r="U626" s="9">
        <f>IF(Q626="비교",ABS(P626)+ROW()/1000000000,"")</f>
        <v/>
      </c>
      <c r="V626" s="64">
        <f>IF($A626="","",IF(COUNTIF(변동분석!$E$7:$E$506,O626)&gt;0,"Y","N"))</f>
        <v/>
      </c>
      <c r="W626" s="64">
        <f>IF($A626="","",IFERROR(INDEX(계정매핑!$D$5:$D$504,MATCH($F626&amp;"",계정매핑!$A$5:$A$504,0)),"미매핑"))</f>
        <v/>
      </c>
      <c r="X626" s="9">
        <f>IF($A626="","",$F626&amp;"")</f>
        <v/>
      </c>
      <c r="Y626" s="94">
        <f>IF($A626="",0,IF(AE626="직접",IF(AF626="비귀속",$P626,0),$P626*(1-AG626)*IFERROR(INDEX(계정대체기준!$F$20:$F$49,MATCH($N626,계정대체기준!$A$20:$A$49,0)),1)))</f>
        <v/>
      </c>
      <c r="Z626" s="94">
        <f>IF($A626="",0,IF(AE626="직접",IF(AF626="신계약비",$P626,0),$P626*(1-AG626)*IFERROR(INDEX(계정대체기준!$C$20:$C$49,MATCH($N626,계정대체기준!$A$20:$A$49,0)),0)))</f>
        <v/>
      </c>
      <c r="AA626" s="94">
        <f>IF($A626="",0,IF(AE626="직접",IF(OR(AF626="유지비",AF626="손해조사비"),$P626,0),$P626*(1-AG626)*IFERROR(INDEX(계정대체기준!$D$20:$D$49,MATCH($N626,계정대체기준!$A$20:$A$49,0)),0)))</f>
        <v/>
      </c>
      <c r="AB626" s="94">
        <f>IF($A626="",0,IF(AE626="직접",IF(AF626="수금비",$P626,0),$P626*(1-AG626)*IFERROR(INDEX(계정대체기준!$E$20:$E$49,MATCH($N626,계정대체기준!$A$20:$A$49,0)),0)))</f>
        <v/>
      </c>
      <c r="AC626" s="9">
        <f>IF(AND($A626&lt;&gt;"",M626=설정!$C$20,Z626&gt;0),Z626+ROW()/1000000000,"")</f>
        <v/>
      </c>
      <c r="AD626" s="94">
        <f>IF($A626="",0,$P626*AG626)</f>
        <v/>
      </c>
      <c r="AE626" s="64">
        <f>IF($A626="","",IFERROR(INDEX(계정매핑!$E$5:$E$504,MATCH($F626&amp;"",계정매핑!$A$5:$A$504,0))&amp;"","공통비"))</f>
        <v/>
      </c>
      <c r="AF626" s="64">
        <f>IF($A626="","",IF(AE626="직접",IFERROR(INDEX(계정매핑!$F$5:$F$504,MATCH($F626&amp;"",계정매핑!$A$5:$A$504,0))&amp;"","비귀속"),""))</f>
        <v/>
      </c>
      <c r="AG626" s="96">
        <f>IF($A626="",0,IF(AND(AE626&lt;&gt;"직접",IFERROR(INDEX(계정매핑!$G$5:$G$504,MATCH($F626&amp;"",계정매핑!$A$5:$A$504,0))&amp;"","")="유지비",COUNTIF(계정대체기준!$A$6:$A$15,$N626)&gt;0),IFERROR(INDEX(계정대체기준!$E$6:$E$15,MATCH(VALUE($A626&amp;""),계정대체기준!$D$6:$D$15,0)),0),0))</f>
        <v/>
      </c>
      <c r="AH626" s="64">
        <f>IF($A626="","",IF(AD626=0,"",IF(OR(COUNTIF(계정대체기준!$A$77:$A$86,$N626)&gt;0,ISNUMBER(MATCH($X626,계정대체기준!$D$77:$D$86,0)),ISNUMBER(MATCH($F626,계정대체기준!$D$77:$D$86,0))),"Y","N")))</f>
        <v/>
      </c>
    </row>
    <row r="627">
      <c r="A627" s="92" t="n">
        <v>2025</v>
      </c>
      <c r="B627" s="92" t="n">
        <v>3</v>
      </c>
      <c r="C627" s="92" t="inlineStr">
        <is>
          <t>5100000623</t>
        </is>
      </c>
      <c r="D627" s="95" t="n">
        <v>45737</v>
      </c>
      <c r="E627" s="92" t="inlineStr">
        <is>
          <t>KR</t>
        </is>
      </c>
      <c r="F627" s="92" t="n">
        <v>62102000</v>
      </c>
      <c r="G627" s="92" t="n">
        <v>1501</v>
      </c>
      <c r="H627" s="93" t="n">
        <v>97000</v>
      </c>
      <c r="I627" s="92" t="inlineStr">
        <is>
          <t>3월 해외출장 - N호텔</t>
        </is>
      </c>
      <c r="J627" s="92" t="inlineStr">
        <is>
          <t>V10009</t>
        </is>
      </c>
      <c r="K627" s="92" t="inlineStr">
        <is>
          <t>N호텔</t>
        </is>
      </c>
      <c r="M627" s="9">
        <f>IF($A627="","",VALUE($A627&amp;"")*12+VALUE($B627&amp;""))</f>
        <v/>
      </c>
      <c r="N627" s="64">
        <f>IF($A627="","",IFERROR(INDEX(부서매핑!$C$5:$C$504,MATCH($G627&amp;"",부서매핑!$A$5:$A$504,0)),"미매핑"))</f>
        <v/>
      </c>
      <c r="O627" s="9">
        <f>IF($A627="","",N627&amp;"|"&amp;$F627)</f>
        <v/>
      </c>
      <c r="P627" s="94">
        <f>IF($A627="",0,$H627*설정!$C$23)</f>
        <v/>
      </c>
      <c r="Q627" s="64">
        <f>IF($A627="","",IF(O627&lt;&gt;원인분석!$C$9,"",IF(AND(M627&gt;=원인분석!$C$10,M627&lt;=원인분석!$C$11),"당기",IF(AND(M627&gt;=원인분석!$C$12,M627&lt;=원인분석!$C$13),"비교",""))))</f>
        <v/>
      </c>
      <c r="R627" s="9">
        <f>IF(Q627="","",$K627&amp;"")</f>
        <v/>
      </c>
      <c r="S627" s="9">
        <f>IF(Q627="","",IF(MATCH(R627,$R$5:$R$100000,0)=ROW()-4,ROW(),""))</f>
        <v/>
      </c>
      <c r="T627" s="9">
        <f>IF(Q627="당기",ABS(P627)+ROW()/1000000000,"")</f>
        <v/>
      </c>
      <c r="U627" s="9">
        <f>IF(Q627="비교",ABS(P627)+ROW()/1000000000,"")</f>
        <v/>
      </c>
      <c r="V627" s="64">
        <f>IF($A627="","",IF(COUNTIF(변동분석!$E$7:$E$506,O627)&gt;0,"Y","N"))</f>
        <v/>
      </c>
      <c r="W627" s="64">
        <f>IF($A627="","",IFERROR(INDEX(계정매핑!$D$5:$D$504,MATCH($F627&amp;"",계정매핑!$A$5:$A$504,0)),"미매핑"))</f>
        <v/>
      </c>
      <c r="X627" s="9">
        <f>IF($A627="","",$F627&amp;"")</f>
        <v/>
      </c>
      <c r="Y627" s="94">
        <f>IF($A627="",0,IF(AE627="직접",IF(AF627="비귀속",$P627,0),$P627*(1-AG627)*IFERROR(INDEX(계정대체기준!$F$20:$F$49,MATCH($N627,계정대체기준!$A$20:$A$49,0)),1)))</f>
        <v/>
      </c>
      <c r="Z627" s="94">
        <f>IF($A627="",0,IF(AE627="직접",IF(AF627="신계약비",$P627,0),$P627*(1-AG627)*IFERROR(INDEX(계정대체기준!$C$20:$C$49,MATCH($N627,계정대체기준!$A$20:$A$49,0)),0)))</f>
        <v/>
      </c>
      <c r="AA627" s="94">
        <f>IF($A627="",0,IF(AE627="직접",IF(OR(AF627="유지비",AF627="손해조사비"),$P627,0),$P627*(1-AG627)*IFERROR(INDEX(계정대체기준!$D$20:$D$49,MATCH($N627,계정대체기준!$A$20:$A$49,0)),0)))</f>
        <v/>
      </c>
      <c r="AB627" s="94">
        <f>IF($A627="",0,IF(AE627="직접",IF(AF627="수금비",$P627,0),$P627*(1-AG627)*IFERROR(INDEX(계정대체기준!$E$20:$E$49,MATCH($N627,계정대체기준!$A$20:$A$49,0)),0)))</f>
        <v/>
      </c>
      <c r="AC627" s="9">
        <f>IF(AND($A627&lt;&gt;"",M627=설정!$C$20,Z627&gt;0),Z627+ROW()/1000000000,"")</f>
        <v/>
      </c>
      <c r="AD627" s="94">
        <f>IF($A627="",0,$P627*AG627)</f>
        <v/>
      </c>
      <c r="AE627" s="64">
        <f>IF($A627="","",IFERROR(INDEX(계정매핑!$E$5:$E$504,MATCH($F627&amp;"",계정매핑!$A$5:$A$504,0))&amp;"","공통비"))</f>
        <v/>
      </c>
      <c r="AF627" s="64">
        <f>IF($A627="","",IF(AE627="직접",IFERROR(INDEX(계정매핑!$F$5:$F$504,MATCH($F627&amp;"",계정매핑!$A$5:$A$504,0))&amp;"","비귀속"),""))</f>
        <v/>
      </c>
      <c r="AG627" s="96">
        <f>IF($A627="",0,IF(AND(AE627&lt;&gt;"직접",IFERROR(INDEX(계정매핑!$G$5:$G$504,MATCH($F627&amp;"",계정매핑!$A$5:$A$504,0))&amp;"","")="유지비",COUNTIF(계정대체기준!$A$6:$A$15,$N627)&gt;0),IFERROR(INDEX(계정대체기준!$E$6:$E$15,MATCH(VALUE($A627&amp;""),계정대체기준!$D$6:$D$15,0)),0),0))</f>
        <v/>
      </c>
      <c r="AH627" s="64">
        <f>IF($A627="","",IF(AD627=0,"",IF(OR(COUNTIF(계정대체기준!$A$77:$A$86,$N627)&gt;0,ISNUMBER(MATCH($X627,계정대체기준!$D$77:$D$86,0)),ISNUMBER(MATCH($F627,계정대체기준!$D$77:$D$86,0))),"Y","N")))</f>
        <v/>
      </c>
    </row>
    <row r="628">
      <c r="A628" s="92" t="n">
        <v>2025</v>
      </c>
      <c r="B628" s="92" t="n">
        <v>3</v>
      </c>
      <c r="C628" s="92" t="inlineStr">
        <is>
          <t>5100000624</t>
        </is>
      </c>
      <c r="D628" s="95" t="n">
        <v>45737</v>
      </c>
      <c r="E628" s="92" t="inlineStr">
        <is>
          <t>KR</t>
        </is>
      </c>
      <c r="F628" s="92" t="n">
        <v>62102000</v>
      </c>
      <c r="G628" s="92" t="n">
        <v>1951</v>
      </c>
      <c r="H628" s="93" t="n">
        <v>105000</v>
      </c>
      <c r="I628" s="92" t="inlineStr">
        <is>
          <t>3월 해외출장 - N호텔</t>
        </is>
      </c>
      <c r="J628" s="92" t="inlineStr">
        <is>
          <t>V10009</t>
        </is>
      </c>
      <c r="K628" s="92" t="inlineStr">
        <is>
          <t>N호텔</t>
        </is>
      </c>
      <c r="M628" s="9">
        <f>IF($A628="","",VALUE($A628&amp;"")*12+VALUE($B628&amp;""))</f>
        <v/>
      </c>
      <c r="N628" s="64">
        <f>IF($A628="","",IFERROR(INDEX(부서매핑!$C$5:$C$504,MATCH($G628&amp;"",부서매핑!$A$5:$A$504,0)),"미매핑"))</f>
        <v/>
      </c>
      <c r="O628" s="9">
        <f>IF($A628="","",N628&amp;"|"&amp;$F628)</f>
        <v/>
      </c>
      <c r="P628" s="94">
        <f>IF($A628="",0,$H628*설정!$C$23)</f>
        <v/>
      </c>
      <c r="Q628" s="64">
        <f>IF($A628="","",IF(O628&lt;&gt;원인분석!$C$9,"",IF(AND(M628&gt;=원인분석!$C$10,M628&lt;=원인분석!$C$11),"당기",IF(AND(M628&gt;=원인분석!$C$12,M628&lt;=원인분석!$C$13),"비교",""))))</f>
        <v/>
      </c>
      <c r="R628" s="9">
        <f>IF(Q628="","",$K628&amp;"")</f>
        <v/>
      </c>
      <c r="S628" s="9">
        <f>IF(Q628="","",IF(MATCH(R628,$R$5:$R$100000,0)=ROW()-4,ROW(),""))</f>
        <v/>
      </c>
      <c r="T628" s="9">
        <f>IF(Q628="당기",ABS(P628)+ROW()/1000000000,"")</f>
        <v/>
      </c>
      <c r="U628" s="9">
        <f>IF(Q628="비교",ABS(P628)+ROW()/1000000000,"")</f>
        <v/>
      </c>
      <c r="V628" s="64">
        <f>IF($A628="","",IF(COUNTIF(변동분석!$E$7:$E$506,O628)&gt;0,"Y","N"))</f>
        <v/>
      </c>
      <c r="W628" s="64">
        <f>IF($A628="","",IFERROR(INDEX(계정매핑!$D$5:$D$504,MATCH($F628&amp;"",계정매핑!$A$5:$A$504,0)),"미매핑"))</f>
        <v/>
      </c>
      <c r="X628" s="9">
        <f>IF($A628="","",$F628&amp;"")</f>
        <v/>
      </c>
      <c r="Y628" s="94">
        <f>IF($A628="",0,IF(AE628="직접",IF(AF628="비귀속",$P628,0),$P628*(1-AG628)*IFERROR(INDEX(계정대체기준!$F$20:$F$49,MATCH($N628,계정대체기준!$A$20:$A$49,0)),1)))</f>
        <v/>
      </c>
      <c r="Z628" s="94">
        <f>IF($A628="",0,IF(AE628="직접",IF(AF628="신계약비",$P628,0),$P628*(1-AG628)*IFERROR(INDEX(계정대체기준!$C$20:$C$49,MATCH($N628,계정대체기준!$A$20:$A$49,0)),0)))</f>
        <v/>
      </c>
      <c r="AA628" s="94">
        <f>IF($A628="",0,IF(AE628="직접",IF(OR(AF628="유지비",AF628="손해조사비"),$P628,0),$P628*(1-AG628)*IFERROR(INDEX(계정대체기준!$D$20:$D$49,MATCH($N628,계정대체기준!$A$20:$A$49,0)),0)))</f>
        <v/>
      </c>
      <c r="AB628" s="94">
        <f>IF($A628="",0,IF(AE628="직접",IF(AF628="수금비",$P628,0),$P628*(1-AG628)*IFERROR(INDEX(계정대체기준!$E$20:$E$49,MATCH($N628,계정대체기준!$A$20:$A$49,0)),0)))</f>
        <v/>
      </c>
      <c r="AC628" s="9">
        <f>IF(AND($A628&lt;&gt;"",M628=설정!$C$20,Z628&gt;0),Z628+ROW()/1000000000,"")</f>
        <v/>
      </c>
      <c r="AD628" s="94">
        <f>IF($A628="",0,$P628*AG628)</f>
        <v/>
      </c>
      <c r="AE628" s="64">
        <f>IF($A628="","",IFERROR(INDEX(계정매핑!$E$5:$E$504,MATCH($F628&amp;"",계정매핑!$A$5:$A$504,0))&amp;"","공통비"))</f>
        <v/>
      </c>
      <c r="AF628" s="64">
        <f>IF($A628="","",IF(AE628="직접",IFERROR(INDEX(계정매핑!$F$5:$F$504,MATCH($F628&amp;"",계정매핑!$A$5:$A$504,0))&amp;"","비귀속"),""))</f>
        <v/>
      </c>
      <c r="AG628" s="96">
        <f>IF($A628="",0,IF(AND(AE628&lt;&gt;"직접",IFERROR(INDEX(계정매핑!$G$5:$G$504,MATCH($F628&amp;"",계정매핑!$A$5:$A$504,0))&amp;"","")="유지비",COUNTIF(계정대체기준!$A$6:$A$15,$N628)&gt;0),IFERROR(INDEX(계정대체기준!$E$6:$E$15,MATCH(VALUE($A628&amp;""),계정대체기준!$D$6:$D$15,0)),0),0))</f>
        <v/>
      </c>
      <c r="AH628" s="64">
        <f>IF($A628="","",IF(AD628=0,"",IF(OR(COUNTIF(계정대체기준!$A$77:$A$86,$N628)&gt;0,ISNUMBER(MATCH($X628,계정대체기준!$D$77:$D$86,0)),ISNUMBER(MATCH($F628,계정대체기준!$D$77:$D$86,0))),"Y","N")))</f>
        <v/>
      </c>
    </row>
    <row r="629">
      <c r="A629" s="92" t="n">
        <v>2025</v>
      </c>
      <c r="B629" s="92" t="n">
        <v>3</v>
      </c>
      <c r="C629" s="92" t="inlineStr">
        <is>
          <t>5100000625</t>
        </is>
      </c>
      <c r="D629" s="95" t="n">
        <v>45737</v>
      </c>
      <c r="E629" s="92" t="inlineStr">
        <is>
          <t>KR</t>
        </is>
      </c>
      <c r="F629" s="92" t="n">
        <v>62201000</v>
      </c>
      <c r="G629" s="92" t="n">
        <v>1201</v>
      </c>
      <c r="H629" s="93" t="n">
        <v>155000</v>
      </c>
      <c r="I629" s="92" t="inlineStr">
        <is>
          <t>3월 통신요금 - P통신</t>
        </is>
      </c>
      <c r="J629" s="92" t="inlineStr">
        <is>
          <t>V10014</t>
        </is>
      </c>
      <c r="K629" s="92" t="inlineStr">
        <is>
          <t>P통신</t>
        </is>
      </c>
      <c r="M629" s="9">
        <f>IF($A629="","",VALUE($A629&amp;"")*12+VALUE($B629&amp;""))</f>
        <v/>
      </c>
      <c r="N629" s="64">
        <f>IF($A629="","",IFERROR(INDEX(부서매핑!$C$5:$C$504,MATCH($G629&amp;"",부서매핑!$A$5:$A$504,0)),"미매핑"))</f>
        <v/>
      </c>
      <c r="O629" s="9">
        <f>IF($A629="","",N629&amp;"|"&amp;$F629)</f>
        <v/>
      </c>
      <c r="P629" s="94">
        <f>IF($A629="",0,$H629*설정!$C$23)</f>
        <v/>
      </c>
      <c r="Q629" s="64">
        <f>IF($A629="","",IF(O629&lt;&gt;원인분석!$C$9,"",IF(AND(M629&gt;=원인분석!$C$10,M629&lt;=원인분석!$C$11),"당기",IF(AND(M629&gt;=원인분석!$C$12,M629&lt;=원인분석!$C$13),"비교",""))))</f>
        <v/>
      </c>
      <c r="R629" s="9">
        <f>IF(Q629="","",$K629&amp;"")</f>
        <v/>
      </c>
      <c r="S629" s="9">
        <f>IF(Q629="","",IF(MATCH(R629,$R$5:$R$100000,0)=ROW()-4,ROW(),""))</f>
        <v/>
      </c>
      <c r="T629" s="9">
        <f>IF(Q629="당기",ABS(P629)+ROW()/1000000000,"")</f>
        <v/>
      </c>
      <c r="U629" s="9">
        <f>IF(Q629="비교",ABS(P629)+ROW()/1000000000,"")</f>
        <v/>
      </c>
      <c r="V629" s="64">
        <f>IF($A629="","",IF(COUNTIF(변동분석!$E$7:$E$506,O629)&gt;0,"Y","N"))</f>
        <v/>
      </c>
      <c r="W629" s="64">
        <f>IF($A629="","",IFERROR(INDEX(계정매핑!$D$5:$D$504,MATCH($F629&amp;"",계정매핑!$A$5:$A$504,0)),"미매핑"))</f>
        <v/>
      </c>
      <c r="X629" s="9">
        <f>IF($A629="","",$F629&amp;"")</f>
        <v/>
      </c>
      <c r="Y629" s="94">
        <f>IF($A629="",0,IF(AE629="직접",IF(AF629="비귀속",$P629,0),$P629*(1-AG629)*IFERROR(INDEX(계정대체기준!$F$20:$F$49,MATCH($N629,계정대체기준!$A$20:$A$49,0)),1)))</f>
        <v/>
      </c>
      <c r="Z629" s="94">
        <f>IF($A629="",0,IF(AE629="직접",IF(AF629="신계약비",$P629,0),$P629*(1-AG629)*IFERROR(INDEX(계정대체기준!$C$20:$C$49,MATCH($N629,계정대체기준!$A$20:$A$49,0)),0)))</f>
        <v/>
      </c>
      <c r="AA629" s="94">
        <f>IF($A629="",0,IF(AE629="직접",IF(OR(AF629="유지비",AF629="손해조사비"),$P629,0),$P629*(1-AG629)*IFERROR(INDEX(계정대체기준!$D$20:$D$49,MATCH($N629,계정대체기준!$A$20:$A$49,0)),0)))</f>
        <v/>
      </c>
      <c r="AB629" s="94">
        <f>IF($A629="",0,IF(AE629="직접",IF(AF629="수금비",$P629,0),$P629*(1-AG629)*IFERROR(INDEX(계정대체기준!$E$20:$E$49,MATCH($N629,계정대체기준!$A$20:$A$49,0)),0)))</f>
        <v/>
      </c>
      <c r="AC629" s="9">
        <f>IF(AND($A629&lt;&gt;"",M629=설정!$C$20,Z629&gt;0),Z629+ROW()/1000000000,"")</f>
        <v/>
      </c>
      <c r="AD629" s="94">
        <f>IF($A629="",0,$P629*AG629)</f>
        <v/>
      </c>
      <c r="AE629" s="64">
        <f>IF($A629="","",IFERROR(INDEX(계정매핑!$E$5:$E$504,MATCH($F629&amp;"",계정매핑!$A$5:$A$504,0))&amp;"","공통비"))</f>
        <v/>
      </c>
      <c r="AF629" s="64">
        <f>IF($A629="","",IF(AE629="직접",IFERROR(INDEX(계정매핑!$F$5:$F$504,MATCH($F629&amp;"",계정매핑!$A$5:$A$504,0))&amp;"","비귀속"),""))</f>
        <v/>
      </c>
      <c r="AG629" s="96">
        <f>IF($A629="",0,IF(AND(AE629&lt;&gt;"직접",IFERROR(INDEX(계정매핑!$G$5:$G$504,MATCH($F629&amp;"",계정매핑!$A$5:$A$504,0))&amp;"","")="유지비",COUNTIF(계정대체기준!$A$6:$A$15,$N629)&gt;0),IFERROR(INDEX(계정대체기준!$E$6:$E$15,MATCH(VALUE($A629&amp;""),계정대체기준!$D$6:$D$15,0)),0),0))</f>
        <v/>
      </c>
      <c r="AH629" s="64">
        <f>IF($A629="","",IF(AD629=0,"",IF(OR(COUNTIF(계정대체기준!$A$77:$A$86,$N629)&gt;0,ISNUMBER(MATCH($X629,계정대체기준!$D$77:$D$86,0)),ISNUMBER(MATCH($F629,계정대체기준!$D$77:$D$86,0))),"Y","N")))</f>
        <v/>
      </c>
    </row>
    <row r="630">
      <c r="A630" s="92" t="n">
        <v>2025</v>
      </c>
      <c r="B630" s="92" t="n">
        <v>3</v>
      </c>
      <c r="C630" s="92" t="inlineStr">
        <is>
          <t>5100000626</t>
        </is>
      </c>
      <c r="D630" s="95" t="n">
        <v>45737</v>
      </c>
      <c r="E630" s="92" t="inlineStr">
        <is>
          <t>KR</t>
        </is>
      </c>
      <c r="F630" s="92" t="n">
        <v>62201000</v>
      </c>
      <c r="G630" s="92" t="n">
        <v>1301</v>
      </c>
      <c r="H630" s="93" t="n">
        <v>146000</v>
      </c>
      <c r="I630" s="92" t="inlineStr">
        <is>
          <t>3월 통신요금 - O텔레콤</t>
        </is>
      </c>
      <c r="J630" s="92" t="inlineStr">
        <is>
          <t>V10002</t>
        </is>
      </c>
      <c r="K630" s="92" t="inlineStr">
        <is>
          <t>O텔레콤</t>
        </is>
      </c>
      <c r="M630" s="9">
        <f>IF($A630="","",VALUE($A630&amp;"")*12+VALUE($B630&amp;""))</f>
        <v/>
      </c>
      <c r="N630" s="64">
        <f>IF($A630="","",IFERROR(INDEX(부서매핑!$C$5:$C$504,MATCH($G630&amp;"",부서매핑!$A$5:$A$504,0)),"미매핑"))</f>
        <v/>
      </c>
      <c r="O630" s="9">
        <f>IF($A630="","",N630&amp;"|"&amp;$F630)</f>
        <v/>
      </c>
      <c r="P630" s="94">
        <f>IF($A630="",0,$H630*설정!$C$23)</f>
        <v/>
      </c>
      <c r="Q630" s="64">
        <f>IF($A630="","",IF(O630&lt;&gt;원인분석!$C$9,"",IF(AND(M630&gt;=원인분석!$C$10,M630&lt;=원인분석!$C$11),"당기",IF(AND(M630&gt;=원인분석!$C$12,M630&lt;=원인분석!$C$13),"비교",""))))</f>
        <v/>
      </c>
      <c r="R630" s="9">
        <f>IF(Q630="","",$K630&amp;"")</f>
        <v/>
      </c>
      <c r="S630" s="9">
        <f>IF(Q630="","",IF(MATCH(R630,$R$5:$R$100000,0)=ROW()-4,ROW(),""))</f>
        <v/>
      </c>
      <c r="T630" s="9">
        <f>IF(Q630="당기",ABS(P630)+ROW()/1000000000,"")</f>
        <v/>
      </c>
      <c r="U630" s="9">
        <f>IF(Q630="비교",ABS(P630)+ROW()/1000000000,"")</f>
        <v/>
      </c>
      <c r="V630" s="64">
        <f>IF($A630="","",IF(COUNTIF(변동분석!$E$7:$E$506,O630)&gt;0,"Y","N"))</f>
        <v/>
      </c>
      <c r="W630" s="64">
        <f>IF($A630="","",IFERROR(INDEX(계정매핑!$D$5:$D$504,MATCH($F630&amp;"",계정매핑!$A$5:$A$504,0)),"미매핑"))</f>
        <v/>
      </c>
      <c r="X630" s="9">
        <f>IF($A630="","",$F630&amp;"")</f>
        <v/>
      </c>
      <c r="Y630" s="94">
        <f>IF($A630="",0,IF(AE630="직접",IF(AF630="비귀속",$P630,0),$P630*(1-AG630)*IFERROR(INDEX(계정대체기준!$F$20:$F$49,MATCH($N630,계정대체기준!$A$20:$A$49,0)),1)))</f>
        <v/>
      </c>
      <c r="Z630" s="94">
        <f>IF($A630="",0,IF(AE630="직접",IF(AF630="신계약비",$P630,0),$P630*(1-AG630)*IFERROR(INDEX(계정대체기준!$C$20:$C$49,MATCH($N630,계정대체기준!$A$20:$A$49,0)),0)))</f>
        <v/>
      </c>
      <c r="AA630" s="94">
        <f>IF($A630="",0,IF(AE630="직접",IF(OR(AF630="유지비",AF630="손해조사비"),$P630,0),$P630*(1-AG630)*IFERROR(INDEX(계정대체기준!$D$20:$D$49,MATCH($N630,계정대체기준!$A$20:$A$49,0)),0)))</f>
        <v/>
      </c>
      <c r="AB630" s="94">
        <f>IF($A630="",0,IF(AE630="직접",IF(AF630="수금비",$P630,0),$P630*(1-AG630)*IFERROR(INDEX(계정대체기준!$E$20:$E$49,MATCH($N630,계정대체기준!$A$20:$A$49,0)),0)))</f>
        <v/>
      </c>
      <c r="AC630" s="9">
        <f>IF(AND($A630&lt;&gt;"",M630=설정!$C$20,Z630&gt;0),Z630+ROW()/1000000000,"")</f>
        <v/>
      </c>
      <c r="AD630" s="94">
        <f>IF($A630="",0,$P630*AG630)</f>
        <v/>
      </c>
      <c r="AE630" s="64">
        <f>IF($A630="","",IFERROR(INDEX(계정매핑!$E$5:$E$504,MATCH($F630&amp;"",계정매핑!$A$5:$A$504,0))&amp;"","공통비"))</f>
        <v/>
      </c>
      <c r="AF630" s="64">
        <f>IF($A630="","",IF(AE630="직접",IFERROR(INDEX(계정매핑!$F$5:$F$504,MATCH($F630&amp;"",계정매핑!$A$5:$A$504,0))&amp;"","비귀속"),""))</f>
        <v/>
      </c>
      <c r="AG630" s="96">
        <f>IF($A630="",0,IF(AND(AE630&lt;&gt;"직접",IFERROR(INDEX(계정매핑!$G$5:$G$504,MATCH($F630&amp;"",계정매핑!$A$5:$A$504,0))&amp;"","")="유지비",COUNTIF(계정대체기준!$A$6:$A$15,$N630)&gt;0),IFERROR(INDEX(계정대체기준!$E$6:$E$15,MATCH(VALUE($A630&amp;""),계정대체기준!$D$6:$D$15,0)),0),0))</f>
        <v/>
      </c>
      <c r="AH630" s="64">
        <f>IF($A630="","",IF(AD630=0,"",IF(OR(COUNTIF(계정대체기준!$A$77:$A$86,$N630)&gt;0,ISNUMBER(MATCH($X630,계정대체기준!$D$77:$D$86,0)),ISNUMBER(MATCH($F630,계정대체기준!$D$77:$D$86,0))),"Y","N")))</f>
        <v/>
      </c>
    </row>
    <row r="631">
      <c r="A631" s="92" t="n">
        <v>2025</v>
      </c>
      <c r="B631" s="92" t="n">
        <v>3</v>
      </c>
      <c r="C631" s="92" t="inlineStr">
        <is>
          <t>5100000627</t>
        </is>
      </c>
      <c r="D631" s="95" t="n">
        <v>45737</v>
      </c>
      <c r="E631" s="92" t="inlineStr">
        <is>
          <t>KR</t>
        </is>
      </c>
      <c r="F631" s="92" t="n">
        <v>62201000</v>
      </c>
      <c r="G631" s="92" t="n">
        <v>1301</v>
      </c>
      <c r="H631" s="93" t="n">
        <v>169000</v>
      </c>
      <c r="I631" s="92" t="inlineStr">
        <is>
          <t>3월 통신요금 - P통신</t>
        </is>
      </c>
      <c r="J631" s="92" t="inlineStr">
        <is>
          <t>V10014</t>
        </is>
      </c>
      <c r="K631" s="92" t="inlineStr">
        <is>
          <t>P통신</t>
        </is>
      </c>
      <c r="M631" s="9">
        <f>IF($A631="","",VALUE($A631&amp;"")*12+VALUE($B631&amp;""))</f>
        <v/>
      </c>
      <c r="N631" s="64">
        <f>IF($A631="","",IFERROR(INDEX(부서매핑!$C$5:$C$504,MATCH($G631&amp;"",부서매핑!$A$5:$A$504,0)),"미매핑"))</f>
        <v/>
      </c>
      <c r="O631" s="9">
        <f>IF($A631="","",N631&amp;"|"&amp;$F631)</f>
        <v/>
      </c>
      <c r="P631" s="94">
        <f>IF($A631="",0,$H631*설정!$C$23)</f>
        <v/>
      </c>
      <c r="Q631" s="64">
        <f>IF($A631="","",IF(O631&lt;&gt;원인분석!$C$9,"",IF(AND(M631&gt;=원인분석!$C$10,M631&lt;=원인분석!$C$11),"당기",IF(AND(M631&gt;=원인분석!$C$12,M631&lt;=원인분석!$C$13),"비교",""))))</f>
        <v/>
      </c>
      <c r="R631" s="9">
        <f>IF(Q631="","",$K631&amp;"")</f>
        <v/>
      </c>
      <c r="S631" s="9">
        <f>IF(Q631="","",IF(MATCH(R631,$R$5:$R$100000,0)=ROW()-4,ROW(),""))</f>
        <v/>
      </c>
      <c r="T631" s="9">
        <f>IF(Q631="당기",ABS(P631)+ROW()/1000000000,"")</f>
        <v/>
      </c>
      <c r="U631" s="9">
        <f>IF(Q631="비교",ABS(P631)+ROW()/1000000000,"")</f>
        <v/>
      </c>
      <c r="V631" s="64">
        <f>IF($A631="","",IF(COUNTIF(변동분석!$E$7:$E$506,O631)&gt;0,"Y","N"))</f>
        <v/>
      </c>
      <c r="W631" s="64">
        <f>IF($A631="","",IFERROR(INDEX(계정매핑!$D$5:$D$504,MATCH($F631&amp;"",계정매핑!$A$5:$A$504,0)),"미매핑"))</f>
        <v/>
      </c>
      <c r="X631" s="9">
        <f>IF($A631="","",$F631&amp;"")</f>
        <v/>
      </c>
      <c r="Y631" s="94">
        <f>IF($A631="",0,IF(AE631="직접",IF(AF631="비귀속",$P631,0),$P631*(1-AG631)*IFERROR(INDEX(계정대체기준!$F$20:$F$49,MATCH($N631,계정대체기준!$A$20:$A$49,0)),1)))</f>
        <v/>
      </c>
      <c r="Z631" s="94">
        <f>IF($A631="",0,IF(AE631="직접",IF(AF631="신계약비",$P631,0),$P631*(1-AG631)*IFERROR(INDEX(계정대체기준!$C$20:$C$49,MATCH($N631,계정대체기준!$A$20:$A$49,0)),0)))</f>
        <v/>
      </c>
      <c r="AA631" s="94">
        <f>IF($A631="",0,IF(AE631="직접",IF(OR(AF631="유지비",AF631="손해조사비"),$P631,0),$P631*(1-AG631)*IFERROR(INDEX(계정대체기준!$D$20:$D$49,MATCH($N631,계정대체기준!$A$20:$A$49,0)),0)))</f>
        <v/>
      </c>
      <c r="AB631" s="94">
        <f>IF($A631="",0,IF(AE631="직접",IF(AF631="수금비",$P631,0),$P631*(1-AG631)*IFERROR(INDEX(계정대체기준!$E$20:$E$49,MATCH($N631,계정대체기준!$A$20:$A$49,0)),0)))</f>
        <v/>
      </c>
      <c r="AC631" s="9">
        <f>IF(AND($A631&lt;&gt;"",M631=설정!$C$20,Z631&gt;0),Z631+ROW()/1000000000,"")</f>
        <v/>
      </c>
      <c r="AD631" s="94">
        <f>IF($A631="",0,$P631*AG631)</f>
        <v/>
      </c>
      <c r="AE631" s="64">
        <f>IF($A631="","",IFERROR(INDEX(계정매핑!$E$5:$E$504,MATCH($F631&amp;"",계정매핑!$A$5:$A$504,0))&amp;"","공통비"))</f>
        <v/>
      </c>
      <c r="AF631" s="64">
        <f>IF($A631="","",IF(AE631="직접",IFERROR(INDEX(계정매핑!$F$5:$F$504,MATCH($F631&amp;"",계정매핑!$A$5:$A$504,0))&amp;"","비귀속"),""))</f>
        <v/>
      </c>
      <c r="AG631" s="96">
        <f>IF($A631="",0,IF(AND(AE631&lt;&gt;"직접",IFERROR(INDEX(계정매핑!$G$5:$G$504,MATCH($F631&amp;"",계정매핑!$A$5:$A$504,0))&amp;"","")="유지비",COUNTIF(계정대체기준!$A$6:$A$15,$N631)&gt;0),IFERROR(INDEX(계정대체기준!$E$6:$E$15,MATCH(VALUE($A631&amp;""),계정대체기준!$D$6:$D$15,0)),0),0))</f>
        <v/>
      </c>
      <c r="AH631" s="64">
        <f>IF($A631="","",IF(AD631=0,"",IF(OR(COUNTIF(계정대체기준!$A$77:$A$86,$N631)&gt;0,ISNUMBER(MATCH($X631,계정대체기준!$D$77:$D$86,0)),ISNUMBER(MATCH($F631,계정대체기준!$D$77:$D$86,0))),"Y","N")))</f>
        <v/>
      </c>
    </row>
    <row r="632">
      <c r="A632" s="92" t="n">
        <v>2025</v>
      </c>
      <c r="B632" s="92" t="n">
        <v>3</v>
      </c>
      <c r="C632" s="92" t="inlineStr">
        <is>
          <t>5100000628</t>
        </is>
      </c>
      <c r="D632" s="95" t="n">
        <v>45737</v>
      </c>
      <c r="E632" s="92" t="inlineStr">
        <is>
          <t>KR</t>
        </is>
      </c>
      <c r="F632" s="92" t="n">
        <v>62301000</v>
      </c>
      <c r="G632" s="92" t="n">
        <v>1201</v>
      </c>
      <c r="H632" s="93" t="n">
        <v>133000</v>
      </c>
      <c r="I632" s="92" t="inlineStr">
        <is>
          <t>3월 소모품 구입 - R문구</t>
        </is>
      </c>
      <c r="J632" s="92" t="inlineStr">
        <is>
          <t>V10022</t>
        </is>
      </c>
      <c r="K632" s="92" t="inlineStr">
        <is>
          <t>R문구</t>
        </is>
      </c>
      <c r="M632" s="9">
        <f>IF($A632="","",VALUE($A632&amp;"")*12+VALUE($B632&amp;""))</f>
        <v/>
      </c>
      <c r="N632" s="64">
        <f>IF($A632="","",IFERROR(INDEX(부서매핑!$C$5:$C$504,MATCH($G632&amp;"",부서매핑!$A$5:$A$504,0)),"미매핑"))</f>
        <v/>
      </c>
      <c r="O632" s="9">
        <f>IF($A632="","",N632&amp;"|"&amp;$F632)</f>
        <v/>
      </c>
      <c r="P632" s="94">
        <f>IF($A632="",0,$H632*설정!$C$23)</f>
        <v/>
      </c>
      <c r="Q632" s="64">
        <f>IF($A632="","",IF(O632&lt;&gt;원인분석!$C$9,"",IF(AND(M632&gt;=원인분석!$C$10,M632&lt;=원인분석!$C$11),"당기",IF(AND(M632&gt;=원인분석!$C$12,M632&lt;=원인분석!$C$13),"비교",""))))</f>
        <v/>
      </c>
      <c r="R632" s="9">
        <f>IF(Q632="","",$K632&amp;"")</f>
        <v/>
      </c>
      <c r="S632" s="9">
        <f>IF(Q632="","",IF(MATCH(R632,$R$5:$R$100000,0)=ROW()-4,ROW(),""))</f>
        <v/>
      </c>
      <c r="T632" s="9">
        <f>IF(Q632="당기",ABS(P632)+ROW()/1000000000,"")</f>
        <v/>
      </c>
      <c r="U632" s="9">
        <f>IF(Q632="비교",ABS(P632)+ROW()/1000000000,"")</f>
        <v/>
      </c>
      <c r="V632" s="64">
        <f>IF($A632="","",IF(COUNTIF(변동분석!$E$7:$E$506,O632)&gt;0,"Y","N"))</f>
        <v/>
      </c>
      <c r="W632" s="64">
        <f>IF($A632="","",IFERROR(INDEX(계정매핑!$D$5:$D$504,MATCH($F632&amp;"",계정매핑!$A$5:$A$504,0)),"미매핑"))</f>
        <v/>
      </c>
      <c r="X632" s="9">
        <f>IF($A632="","",$F632&amp;"")</f>
        <v/>
      </c>
      <c r="Y632" s="94">
        <f>IF($A632="",0,IF(AE632="직접",IF(AF632="비귀속",$P632,0),$P632*(1-AG632)*IFERROR(INDEX(계정대체기준!$F$20:$F$49,MATCH($N632,계정대체기준!$A$20:$A$49,0)),1)))</f>
        <v/>
      </c>
      <c r="Z632" s="94">
        <f>IF($A632="",0,IF(AE632="직접",IF(AF632="신계약비",$P632,0),$P632*(1-AG632)*IFERROR(INDEX(계정대체기준!$C$20:$C$49,MATCH($N632,계정대체기준!$A$20:$A$49,0)),0)))</f>
        <v/>
      </c>
      <c r="AA632" s="94">
        <f>IF($A632="",0,IF(AE632="직접",IF(OR(AF632="유지비",AF632="손해조사비"),$P632,0),$P632*(1-AG632)*IFERROR(INDEX(계정대체기준!$D$20:$D$49,MATCH($N632,계정대체기준!$A$20:$A$49,0)),0)))</f>
        <v/>
      </c>
      <c r="AB632" s="94">
        <f>IF($A632="",0,IF(AE632="직접",IF(AF632="수금비",$P632,0),$P632*(1-AG632)*IFERROR(INDEX(계정대체기준!$E$20:$E$49,MATCH($N632,계정대체기준!$A$20:$A$49,0)),0)))</f>
        <v/>
      </c>
      <c r="AC632" s="9">
        <f>IF(AND($A632&lt;&gt;"",M632=설정!$C$20,Z632&gt;0),Z632+ROW()/1000000000,"")</f>
        <v/>
      </c>
      <c r="AD632" s="94">
        <f>IF($A632="",0,$P632*AG632)</f>
        <v/>
      </c>
      <c r="AE632" s="64">
        <f>IF($A632="","",IFERROR(INDEX(계정매핑!$E$5:$E$504,MATCH($F632&amp;"",계정매핑!$A$5:$A$504,0))&amp;"","공통비"))</f>
        <v/>
      </c>
      <c r="AF632" s="64">
        <f>IF($A632="","",IF(AE632="직접",IFERROR(INDEX(계정매핑!$F$5:$F$504,MATCH($F632&amp;"",계정매핑!$A$5:$A$504,0))&amp;"","비귀속"),""))</f>
        <v/>
      </c>
      <c r="AG632" s="96">
        <f>IF($A632="",0,IF(AND(AE632&lt;&gt;"직접",IFERROR(INDEX(계정매핑!$G$5:$G$504,MATCH($F632&amp;"",계정매핑!$A$5:$A$504,0))&amp;"","")="유지비",COUNTIF(계정대체기준!$A$6:$A$15,$N632)&gt;0),IFERROR(INDEX(계정대체기준!$E$6:$E$15,MATCH(VALUE($A632&amp;""),계정대체기준!$D$6:$D$15,0)),0),0))</f>
        <v/>
      </c>
      <c r="AH632" s="64">
        <f>IF($A632="","",IF(AD632=0,"",IF(OR(COUNTIF(계정대체기준!$A$77:$A$86,$N632)&gt;0,ISNUMBER(MATCH($X632,계정대체기준!$D$77:$D$86,0)),ISNUMBER(MATCH($F632,계정대체기준!$D$77:$D$86,0))),"Y","N")))</f>
        <v/>
      </c>
    </row>
    <row r="633">
      <c r="A633" s="92" t="n">
        <v>2025</v>
      </c>
      <c r="B633" s="92" t="n">
        <v>3</v>
      </c>
      <c r="C633" s="92" t="inlineStr">
        <is>
          <t>5100000629</t>
        </is>
      </c>
      <c r="D633" s="95" t="n">
        <v>45737</v>
      </c>
      <c r="E633" s="92" t="inlineStr">
        <is>
          <t>KR</t>
        </is>
      </c>
      <c r="F633" s="92" t="n">
        <v>62301000</v>
      </c>
      <c r="G633" s="92" t="n">
        <v>1701</v>
      </c>
      <c r="H633" s="93" t="n">
        <v>242000</v>
      </c>
      <c r="I633" s="92" t="inlineStr">
        <is>
          <t>3월 소모품 구입 - R문구</t>
        </is>
      </c>
      <c r="J633" s="92" t="inlineStr">
        <is>
          <t>V10022</t>
        </is>
      </c>
      <c r="K633" s="92" t="inlineStr">
        <is>
          <t>R문구</t>
        </is>
      </c>
      <c r="M633" s="9">
        <f>IF($A633="","",VALUE($A633&amp;"")*12+VALUE($B633&amp;""))</f>
        <v/>
      </c>
      <c r="N633" s="64">
        <f>IF($A633="","",IFERROR(INDEX(부서매핑!$C$5:$C$504,MATCH($G633&amp;"",부서매핑!$A$5:$A$504,0)),"미매핑"))</f>
        <v/>
      </c>
      <c r="O633" s="9">
        <f>IF($A633="","",N633&amp;"|"&amp;$F633)</f>
        <v/>
      </c>
      <c r="P633" s="94">
        <f>IF($A633="",0,$H633*설정!$C$23)</f>
        <v/>
      </c>
      <c r="Q633" s="64">
        <f>IF($A633="","",IF(O633&lt;&gt;원인분석!$C$9,"",IF(AND(M633&gt;=원인분석!$C$10,M633&lt;=원인분석!$C$11),"당기",IF(AND(M633&gt;=원인분석!$C$12,M633&lt;=원인분석!$C$13),"비교",""))))</f>
        <v/>
      </c>
      <c r="R633" s="9">
        <f>IF(Q633="","",$K633&amp;"")</f>
        <v/>
      </c>
      <c r="S633" s="9">
        <f>IF(Q633="","",IF(MATCH(R633,$R$5:$R$100000,0)=ROW()-4,ROW(),""))</f>
        <v/>
      </c>
      <c r="T633" s="9">
        <f>IF(Q633="당기",ABS(P633)+ROW()/1000000000,"")</f>
        <v/>
      </c>
      <c r="U633" s="9">
        <f>IF(Q633="비교",ABS(P633)+ROW()/1000000000,"")</f>
        <v/>
      </c>
      <c r="V633" s="64">
        <f>IF($A633="","",IF(COUNTIF(변동분석!$E$7:$E$506,O633)&gt;0,"Y","N"))</f>
        <v/>
      </c>
      <c r="W633" s="64">
        <f>IF($A633="","",IFERROR(INDEX(계정매핑!$D$5:$D$504,MATCH($F633&amp;"",계정매핑!$A$5:$A$504,0)),"미매핑"))</f>
        <v/>
      </c>
      <c r="X633" s="9">
        <f>IF($A633="","",$F633&amp;"")</f>
        <v/>
      </c>
      <c r="Y633" s="94">
        <f>IF($A633="",0,IF(AE633="직접",IF(AF633="비귀속",$P633,0),$P633*(1-AG633)*IFERROR(INDEX(계정대체기준!$F$20:$F$49,MATCH($N633,계정대체기준!$A$20:$A$49,0)),1)))</f>
        <v/>
      </c>
      <c r="Z633" s="94">
        <f>IF($A633="",0,IF(AE633="직접",IF(AF633="신계약비",$P633,0),$P633*(1-AG633)*IFERROR(INDEX(계정대체기준!$C$20:$C$49,MATCH($N633,계정대체기준!$A$20:$A$49,0)),0)))</f>
        <v/>
      </c>
      <c r="AA633" s="94">
        <f>IF($A633="",0,IF(AE633="직접",IF(OR(AF633="유지비",AF633="손해조사비"),$P633,0),$P633*(1-AG633)*IFERROR(INDEX(계정대체기준!$D$20:$D$49,MATCH($N633,계정대체기준!$A$20:$A$49,0)),0)))</f>
        <v/>
      </c>
      <c r="AB633" s="94">
        <f>IF($A633="",0,IF(AE633="직접",IF(AF633="수금비",$P633,0),$P633*(1-AG633)*IFERROR(INDEX(계정대체기준!$E$20:$E$49,MATCH($N633,계정대체기준!$A$20:$A$49,0)),0)))</f>
        <v/>
      </c>
      <c r="AC633" s="9">
        <f>IF(AND($A633&lt;&gt;"",M633=설정!$C$20,Z633&gt;0),Z633+ROW()/1000000000,"")</f>
        <v/>
      </c>
      <c r="AD633" s="94">
        <f>IF($A633="",0,$P633*AG633)</f>
        <v/>
      </c>
      <c r="AE633" s="64">
        <f>IF($A633="","",IFERROR(INDEX(계정매핑!$E$5:$E$504,MATCH($F633&amp;"",계정매핑!$A$5:$A$504,0))&amp;"","공통비"))</f>
        <v/>
      </c>
      <c r="AF633" s="64">
        <f>IF($A633="","",IF(AE633="직접",IFERROR(INDEX(계정매핑!$F$5:$F$504,MATCH($F633&amp;"",계정매핑!$A$5:$A$504,0))&amp;"","비귀속"),""))</f>
        <v/>
      </c>
      <c r="AG633" s="96">
        <f>IF($A633="",0,IF(AND(AE633&lt;&gt;"직접",IFERROR(INDEX(계정매핑!$G$5:$G$504,MATCH($F633&amp;"",계정매핑!$A$5:$A$504,0))&amp;"","")="유지비",COUNTIF(계정대체기준!$A$6:$A$15,$N633)&gt;0),IFERROR(INDEX(계정대체기준!$E$6:$E$15,MATCH(VALUE($A633&amp;""),계정대체기준!$D$6:$D$15,0)),0),0))</f>
        <v/>
      </c>
      <c r="AH633" s="64">
        <f>IF($A633="","",IF(AD633=0,"",IF(OR(COUNTIF(계정대체기준!$A$77:$A$86,$N633)&gt;0,ISNUMBER(MATCH($X633,계정대체기준!$D$77:$D$86,0)),ISNUMBER(MATCH($F633,계정대체기준!$D$77:$D$86,0))),"Y","N")))</f>
        <v/>
      </c>
    </row>
    <row r="634">
      <c r="A634" s="92" t="n">
        <v>2025</v>
      </c>
      <c r="B634" s="92" t="n">
        <v>3</v>
      </c>
      <c r="C634" s="92" t="inlineStr">
        <is>
          <t>5100000630</t>
        </is>
      </c>
      <c r="D634" s="95" t="n">
        <v>45737</v>
      </c>
      <c r="E634" s="92" t="inlineStr">
        <is>
          <t>KR</t>
        </is>
      </c>
      <c r="F634" s="92" t="n">
        <v>62301000</v>
      </c>
      <c r="G634" s="92" t="n">
        <v>1801</v>
      </c>
      <c r="H634" s="93" t="n">
        <v>497000</v>
      </c>
      <c r="I634" s="92" t="inlineStr">
        <is>
          <t>3월 소모품 구입 - Q오피스</t>
        </is>
      </c>
      <c r="J634" s="92" t="inlineStr">
        <is>
          <t>V10003</t>
        </is>
      </c>
      <c r="K634" s="92" t="inlineStr">
        <is>
          <t>Q오피스</t>
        </is>
      </c>
      <c r="M634" s="9">
        <f>IF($A634="","",VALUE($A634&amp;"")*12+VALUE($B634&amp;""))</f>
        <v/>
      </c>
      <c r="N634" s="64">
        <f>IF($A634="","",IFERROR(INDEX(부서매핑!$C$5:$C$504,MATCH($G634&amp;"",부서매핑!$A$5:$A$504,0)),"미매핑"))</f>
        <v/>
      </c>
      <c r="O634" s="9">
        <f>IF($A634="","",N634&amp;"|"&amp;$F634)</f>
        <v/>
      </c>
      <c r="P634" s="94">
        <f>IF($A634="",0,$H634*설정!$C$23)</f>
        <v/>
      </c>
      <c r="Q634" s="64">
        <f>IF($A634="","",IF(O634&lt;&gt;원인분석!$C$9,"",IF(AND(M634&gt;=원인분석!$C$10,M634&lt;=원인분석!$C$11),"당기",IF(AND(M634&gt;=원인분석!$C$12,M634&lt;=원인분석!$C$13),"비교",""))))</f>
        <v/>
      </c>
      <c r="R634" s="9">
        <f>IF(Q634="","",$K634&amp;"")</f>
        <v/>
      </c>
      <c r="S634" s="9">
        <f>IF(Q634="","",IF(MATCH(R634,$R$5:$R$100000,0)=ROW()-4,ROW(),""))</f>
        <v/>
      </c>
      <c r="T634" s="9">
        <f>IF(Q634="당기",ABS(P634)+ROW()/1000000000,"")</f>
        <v/>
      </c>
      <c r="U634" s="9">
        <f>IF(Q634="비교",ABS(P634)+ROW()/1000000000,"")</f>
        <v/>
      </c>
      <c r="V634" s="64">
        <f>IF($A634="","",IF(COUNTIF(변동분석!$E$7:$E$506,O634)&gt;0,"Y","N"))</f>
        <v/>
      </c>
      <c r="W634" s="64">
        <f>IF($A634="","",IFERROR(INDEX(계정매핑!$D$5:$D$504,MATCH($F634&amp;"",계정매핑!$A$5:$A$504,0)),"미매핑"))</f>
        <v/>
      </c>
      <c r="X634" s="9">
        <f>IF($A634="","",$F634&amp;"")</f>
        <v/>
      </c>
      <c r="Y634" s="94">
        <f>IF($A634="",0,IF(AE634="직접",IF(AF634="비귀속",$P634,0),$P634*(1-AG634)*IFERROR(INDEX(계정대체기준!$F$20:$F$49,MATCH($N634,계정대체기준!$A$20:$A$49,0)),1)))</f>
        <v/>
      </c>
      <c r="Z634" s="94">
        <f>IF($A634="",0,IF(AE634="직접",IF(AF634="신계약비",$P634,0),$P634*(1-AG634)*IFERROR(INDEX(계정대체기준!$C$20:$C$49,MATCH($N634,계정대체기준!$A$20:$A$49,0)),0)))</f>
        <v/>
      </c>
      <c r="AA634" s="94">
        <f>IF($A634="",0,IF(AE634="직접",IF(OR(AF634="유지비",AF634="손해조사비"),$P634,0),$P634*(1-AG634)*IFERROR(INDEX(계정대체기준!$D$20:$D$49,MATCH($N634,계정대체기준!$A$20:$A$49,0)),0)))</f>
        <v/>
      </c>
      <c r="AB634" s="94">
        <f>IF($A634="",0,IF(AE634="직접",IF(AF634="수금비",$P634,0),$P634*(1-AG634)*IFERROR(INDEX(계정대체기준!$E$20:$E$49,MATCH($N634,계정대체기준!$A$20:$A$49,0)),0)))</f>
        <v/>
      </c>
      <c r="AC634" s="9">
        <f>IF(AND($A634&lt;&gt;"",M634=설정!$C$20,Z634&gt;0),Z634+ROW()/1000000000,"")</f>
        <v/>
      </c>
      <c r="AD634" s="94">
        <f>IF($A634="",0,$P634*AG634)</f>
        <v/>
      </c>
      <c r="AE634" s="64">
        <f>IF($A634="","",IFERROR(INDEX(계정매핑!$E$5:$E$504,MATCH($F634&amp;"",계정매핑!$A$5:$A$504,0))&amp;"","공통비"))</f>
        <v/>
      </c>
      <c r="AF634" s="64">
        <f>IF($A634="","",IF(AE634="직접",IFERROR(INDEX(계정매핑!$F$5:$F$504,MATCH($F634&amp;"",계정매핑!$A$5:$A$504,0))&amp;"","비귀속"),""))</f>
        <v/>
      </c>
      <c r="AG634" s="96">
        <f>IF($A634="",0,IF(AND(AE634&lt;&gt;"직접",IFERROR(INDEX(계정매핑!$G$5:$G$504,MATCH($F634&amp;"",계정매핑!$A$5:$A$504,0))&amp;"","")="유지비",COUNTIF(계정대체기준!$A$6:$A$15,$N634)&gt;0),IFERROR(INDEX(계정대체기준!$E$6:$E$15,MATCH(VALUE($A634&amp;""),계정대체기준!$D$6:$D$15,0)),0),0))</f>
        <v/>
      </c>
      <c r="AH634" s="64">
        <f>IF($A634="","",IF(AD634=0,"",IF(OR(COUNTIF(계정대체기준!$A$77:$A$86,$N634)&gt;0,ISNUMBER(MATCH($X634,계정대체기준!$D$77:$D$86,0)),ISNUMBER(MATCH($F634,계정대체기준!$D$77:$D$86,0))),"Y","N")))</f>
        <v/>
      </c>
    </row>
    <row r="635">
      <c r="A635" s="92" t="n">
        <v>2025</v>
      </c>
      <c r="B635" s="92" t="n">
        <v>3</v>
      </c>
      <c r="C635" s="92" t="inlineStr">
        <is>
          <t>5100000631</t>
        </is>
      </c>
      <c r="D635" s="95" t="n">
        <v>45737</v>
      </c>
      <c r="E635" s="92" t="inlineStr">
        <is>
          <t>KR</t>
        </is>
      </c>
      <c r="F635" s="92" t="n">
        <v>62401000</v>
      </c>
      <c r="G635" s="92" t="n">
        <v>1801</v>
      </c>
      <c r="H635" s="93" t="n">
        <v>1556000</v>
      </c>
      <c r="I635" s="92" t="inlineStr">
        <is>
          <t>3월 인쇄물 제작 - G인쇄</t>
        </is>
      </c>
      <c r="J635" s="92" t="inlineStr">
        <is>
          <t>V10004</t>
        </is>
      </c>
      <c r="K635" s="92" t="inlineStr">
        <is>
          <t>G인쇄</t>
        </is>
      </c>
      <c r="M635" s="9">
        <f>IF($A635="","",VALUE($A635&amp;"")*12+VALUE($B635&amp;""))</f>
        <v/>
      </c>
      <c r="N635" s="64">
        <f>IF($A635="","",IFERROR(INDEX(부서매핑!$C$5:$C$504,MATCH($G635&amp;"",부서매핑!$A$5:$A$504,0)),"미매핑"))</f>
        <v/>
      </c>
      <c r="O635" s="9">
        <f>IF($A635="","",N635&amp;"|"&amp;$F635)</f>
        <v/>
      </c>
      <c r="P635" s="94">
        <f>IF($A635="",0,$H635*설정!$C$23)</f>
        <v/>
      </c>
      <c r="Q635" s="64">
        <f>IF($A635="","",IF(O635&lt;&gt;원인분석!$C$9,"",IF(AND(M635&gt;=원인분석!$C$10,M635&lt;=원인분석!$C$11),"당기",IF(AND(M635&gt;=원인분석!$C$12,M635&lt;=원인분석!$C$13),"비교",""))))</f>
        <v/>
      </c>
      <c r="R635" s="9">
        <f>IF(Q635="","",$K635&amp;"")</f>
        <v/>
      </c>
      <c r="S635" s="9">
        <f>IF(Q635="","",IF(MATCH(R635,$R$5:$R$100000,0)=ROW()-4,ROW(),""))</f>
        <v/>
      </c>
      <c r="T635" s="9">
        <f>IF(Q635="당기",ABS(P635)+ROW()/1000000000,"")</f>
        <v/>
      </c>
      <c r="U635" s="9">
        <f>IF(Q635="비교",ABS(P635)+ROW()/1000000000,"")</f>
        <v/>
      </c>
      <c r="V635" s="64">
        <f>IF($A635="","",IF(COUNTIF(변동분석!$E$7:$E$506,O635)&gt;0,"Y","N"))</f>
        <v/>
      </c>
      <c r="W635" s="64">
        <f>IF($A635="","",IFERROR(INDEX(계정매핑!$D$5:$D$504,MATCH($F635&amp;"",계정매핑!$A$5:$A$504,0)),"미매핑"))</f>
        <v/>
      </c>
      <c r="X635" s="9">
        <f>IF($A635="","",$F635&amp;"")</f>
        <v/>
      </c>
      <c r="Y635" s="94">
        <f>IF($A635="",0,IF(AE635="직접",IF(AF635="비귀속",$P635,0),$P635*(1-AG635)*IFERROR(INDEX(계정대체기준!$F$20:$F$49,MATCH($N635,계정대체기준!$A$20:$A$49,0)),1)))</f>
        <v/>
      </c>
      <c r="Z635" s="94">
        <f>IF($A635="",0,IF(AE635="직접",IF(AF635="신계약비",$P635,0),$P635*(1-AG635)*IFERROR(INDEX(계정대체기준!$C$20:$C$49,MATCH($N635,계정대체기준!$A$20:$A$49,0)),0)))</f>
        <v/>
      </c>
      <c r="AA635" s="94">
        <f>IF($A635="",0,IF(AE635="직접",IF(OR(AF635="유지비",AF635="손해조사비"),$P635,0),$P635*(1-AG635)*IFERROR(INDEX(계정대체기준!$D$20:$D$49,MATCH($N635,계정대체기준!$A$20:$A$49,0)),0)))</f>
        <v/>
      </c>
      <c r="AB635" s="94">
        <f>IF($A635="",0,IF(AE635="직접",IF(AF635="수금비",$P635,0),$P635*(1-AG635)*IFERROR(INDEX(계정대체기준!$E$20:$E$49,MATCH($N635,계정대체기준!$A$20:$A$49,0)),0)))</f>
        <v/>
      </c>
      <c r="AC635" s="9">
        <f>IF(AND($A635&lt;&gt;"",M635=설정!$C$20,Z635&gt;0),Z635+ROW()/1000000000,"")</f>
        <v/>
      </c>
      <c r="AD635" s="94">
        <f>IF($A635="",0,$P635*AG635)</f>
        <v/>
      </c>
      <c r="AE635" s="64">
        <f>IF($A635="","",IFERROR(INDEX(계정매핑!$E$5:$E$504,MATCH($F635&amp;"",계정매핑!$A$5:$A$504,0))&amp;"","공통비"))</f>
        <v/>
      </c>
      <c r="AF635" s="64">
        <f>IF($A635="","",IF(AE635="직접",IFERROR(INDEX(계정매핑!$F$5:$F$504,MATCH($F635&amp;"",계정매핑!$A$5:$A$504,0))&amp;"","비귀속"),""))</f>
        <v/>
      </c>
      <c r="AG635" s="96">
        <f>IF($A635="",0,IF(AND(AE635&lt;&gt;"직접",IFERROR(INDEX(계정매핑!$G$5:$G$504,MATCH($F635&amp;"",계정매핑!$A$5:$A$504,0))&amp;"","")="유지비",COUNTIF(계정대체기준!$A$6:$A$15,$N635)&gt;0),IFERROR(INDEX(계정대체기준!$E$6:$E$15,MATCH(VALUE($A635&amp;""),계정대체기준!$D$6:$D$15,0)),0),0))</f>
        <v/>
      </c>
      <c r="AH635" s="64">
        <f>IF($A635="","",IF(AD635=0,"",IF(OR(COUNTIF(계정대체기준!$A$77:$A$86,$N635)&gt;0,ISNUMBER(MATCH($X635,계정대체기준!$D$77:$D$86,0)),ISNUMBER(MATCH($F635,계정대체기준!$D$77:$D$86,0))),"Y","N")))</f>
        <v/>
      </c>
    </row>
    <row r="636">
      <c r="A636" s="92" t="n">
        <v>2025</v>
      </c>
      <c r="B636" s="92" t="n">
        <v>3</v>
      </c>
      <c r="C636" s="92" t="inlineStr">
        <is>
          <t>5100000632</t>
        </is>
      </c>
      <c r="D636" s="95" t="n">
        <v>45737</v>
      </c>
      <c r="E636" s="92" t="inlineStr">
        <is>
          <t>KR</t>
        </is>
      </c>
      <c r="F636" s="92" t="n">
        <v>62501000</v>
      </c>
      <c r="G636" s="92" t="n">
        <v>1101</v>
      </c>
      <c r="H636" s="93" t="n">
        <v>190000</v>
      </c>
      <c r="I636" s="92" t="inlineStr">
        <is>
          <t>3월 회의 다과 - T케이터링</t>
        </is>
      </c>
      <c r="J636" s="92" t="inlineStr">
        <is>
          <t>V10005</t>
        </is>
      </c>
      <c r="K636" s="92" t="inlineStr">
        <is>
          <t>T케이터링</t>
        </is>
      </c>
      <c r="M636" s="9">
        <f>IF($A636="","",VALUE($A636&amp;"")*12+VALUE($B636&amp;""))</f>
        <v/>
      </c>
      <c r="N636" s="64">
        <f>IF($A636="","",IFERROR(INDEX(부서매핑!$C$5:$C$504,MATCH($G636&amp;"",부서매핑!$A$5:$A$504,0)),"미매핑"))</f>
        <v/>
      </c>
      <c r="O636" s="9">
        <f>IF($A636="","",N636&amp;"|"&amp;$F636)</f>
        <v/>
      </c>
      <c r="P636" s="94">
        <f>IF($A636="",0,$H636*설정!$C$23)</f>
        <v/>
      </c>
      <c r="Q636" s="64">
        <f>IF($A636="","",IF(O636&lt;&gt;원인분석!$C$9,"",IF(AND(M636&gt;=원인분석!$C$10,M636&lt;=원인분석!$C$11),"당기",IF(AND(M636&gt;=원인분석!$C$12,M636&lt;=원인분석!$C$13),"비교",""))))</f>
        <v/>
      </c>
      <c r="R636" s="9">
        <f>IF(Q636="","",$K636&amp;"")</f>
        <v/>
      </c>
      <c r="S636" s="9">
        <f>IF(Q636="","",IF(MATCH(R636,$R$5:$R$100000,0)=ROW()-4,ROW(),""))</f>
        <v/>
      </c>
      <c r="T636" s="9">
        <f>IF(Q636="당기",ABS(P636)+ROW()/1000000000,"")</f>
        <v/>
      </c>
      <c r="U636" s="9">
        <f>IF(Q636="비교",ABS(P636)+ROW()/1000000000,"")</f>
        <v/>
      </c>
      <c r="V636" s="64">
        <f>IF($A636="","",IF(COUNTIF(변동분석!$E$7:$E$506,O636)&gt;0,"Y","N"))</f>
        <v/>
      </c>
      <c r="W636" s="64">
        <f>IF($A636="","",IFERROR(INDEX(계정매핑!$D$5:$D$504,MATCH($F636&amp;"",계정매핑!$A$5:$A$504,0)),"미매핑"))</f>
        <v/>
      </c>
      <c r="X636" s="9">
        <f>IF($A636="","",$F636&amp;"")</f>
        <v/>
      </c>
      <c r="Y636" s="94">
        <f>IF($A636="",0,IF(AE636="직접",IF(AF636="비귀속",$P636,0),$P636*(1-AG636)*IFERROR(INDEX(계정대체기준!$F$20:$F$49,MATCH($N636,계정대체기준!$A$20:$A$49,0)),1)))</f>
        <v/>
      </c>
      <c r="Z636" s="94">
        <f>IF($A636="",0,IF(AE636="직접",IF(AF636="신계약비",$P636,0),$P636*(1-AG636)*IFERROR(INDEX(계정대체기준!$C$20:$C$49,MATCH($N636,계정대체기준!$A$20:$A$49,0)),0)))</f>
        <v/>
      </c>
      <c r="AA636" s="94">
        <f>IF($A636="",0,IF(AE636="직접",IF(OR(AF636="유지비",AF636="손해조사비"),$P636,0),$P636*(1-AG636)*IFERROR(INDEX(계정대체기준!$D$20:$D$49,MATCH($N636,계정대체기준!$A$20:$A$49,0)),0)))</f>
        <v/>
      </c>
      <c r="AB636" s="94">
        <f>IF($A636="",0,IF(AE636="직접",IF(AF636="수금비",$P636,0),$P636*(1-AG636)*IFERROR(INDEX(계정대체기준!$E$20:$E$49,MATCH($N636,계정대체기준!$A$20:$A$49,0)),0)))</f>
        <v/>
      </c>
      <c r="AC636" s="9">
        <f>IF(AND($A636&lt;&gt;"",M636=설정!$C$20,Z636&gt;0),Z636+ROW()/1000000000,"")</f>
        <v/>
      </c>
      <c r="AD636" s="94">
        <f>IF($A636="",0,$P636*AG636)</f>
        <v/>
      </c>
      <c r="AE636" s="64">
        <f>IF($A636="","",IFERROR(INDEX(계정매핑!$E$5:$E$504,MATCH($F636&amp;"",계정매핑!$A$5:$A$504,0))&amp;"","공통비"))</f>
        <v/>
      </c>
      <c r="AF636" s="64">
        <f>IF($A636="","",IF(AE636="직접",IFERROR(INDEX(계정매핑!$F$5:$F$504,MATCH($F636&amp;"",계정매핑!$A$5:$A$504,0))&amp;"","비귀속"),""))</f>
        <v/>
      </c>
      <c r="AG636" s="96">
        <f>IF($A636="",0,IF(AND(AE636&lt;&gt;"직접",IFERROR(INDEX(계정매핑!$G$5:$G$504,MATCH($F636&amp;"",계정매핑!$A$5:$A$504,0))&amp;"","")="유지비",COUNTIF(계정대체기준!$A$6:$A$15,$N636)&gt;0),IFERROR(INDEX(계정대체기준!$E$6:$E$15,MATCH(VALUE($A636&amp;""),계정대체기준!$D$6:$D$15,0)),0),0))</f>
        <v/>
      </c>
      <c r="AH636" s="64">
        <f>IF($A636="","",IF(AD636=0,"",IF(OR(COUNTIF(계정대체기준!$A$77:$A$86,$N636)&gt;0,ISNUMBER(MATCH($X636,계정대체기준!$D$77:$D$86,0)),ISNUMBER(MATCH($F636,계정대체기준!$D$77:$D$86,0))),"Y","N")))</f>
        <v/>
      </c>
    </row>
    <row r="637">
      <c r="A637" s="92" t="n">
        <v>2025</v>
      </c>
      <c r="B637" s="92" t="n">
        <v>3</v>
      </c>
      <c r="C637" s="92" t="inlineStr">
        <is>
          <t>5100000633</t>
        </is>
      </c>
      <c r="D637" s="95" t="n">
        <v>45737</v>
      </c>
      <c r="E637" s="92" t="inlineStr">
        <is>
          <t>KR</t>
        </is>
      </c>
      <c r="F637" s="92" t="n">
        <v>63502000</v>
      </c>
      <c r="G637" s="92" t="n">
        <v>1901</v>
      </c>
      <c r="H637" s="93" t="n">
        <v>207307000</v>
      </c>
      <c r="I637" s="92" t="inlineStr">
        <is>
          <t>3월 유지수수료 - (전속설계사)</t>
        </is>
      </c>
      <c r="J637" s="92" t="inlineStr">
        <is>
          <t>V10021</t>
        </is>
      </c>
      <c r="K637" s="92" t="inlineStr">
        <is>
          <t>(전속설계사)</t>
        </is>
      </c>
      <c r="M637" s="9">
        <f>IF($A637="","",VALUE($A637&amp;"")*12+VALUE($B637&amp;""))</f>
        <v/>
      </c>
      <c r="N637" s="64">
        <f>IF($A637="","",IFERROR(INDEX(부서매핑!$C$5:$C$504,MATCH($G637&amp;"",부서매핑!$A$5:$A$504,0)),"미매핑"))</f>
        <v/>
      </c>
      <c r="O637" s="9">
        <f>IF($A637="","",N637&amp;"|"&amp;$F637)</f>
        <v/>
      </c>
      <c r="P637" s="94">
        <f>IF($A637="",0,$H637*설정!$C$23)</f>
        <v/>
      </c>
      <c r="Q637" s="64">
        <f>IF($A637="","",IF(O637&lt;&gt;원인분석!$C$9,"",IF(AND(M637&gt;=원인분석!$C$10,M637&lt;=원인분석!$C$11),"당기",IF(AND(M637&gt;=원인분석!$C$12,M637&lt;=원인분석!$C$13),"비교",""))))</f>
        <v/>
      </c>
      <c r="R637" s="9">
        <f>IF(Q637="","",$K637&amp;"")</f>
        <v/>
      </c>
      <c r="S637" s="9">
        <f>IF(Q637="","",IF(MATCH(R637,$R$5:$R$100000,0)=ROW()-4,ROW(),""))</f>
        <v/>
      </c>
      <c r="T637" s="9">
        <f>IF(Q637="당기",ABS(P637)+ROW()/1000000000,"")</f>
        <v/>
      </c>
      <c r="U637" s="9">
        <f>IF(Q637="비교",ABS(P637)+ROW()/1000000000,"")</f>
        <v/>
      </c>
      <c r="V637" s="64">
        <f>IF($A637="","",IF(COUNTIF(변동분석!$E$7:$E$506,O637)&gt;0,"Y","N"))</f>
        <v/>
      </c>
      <c r="W637" s="64">
        <f>IF($A637="","",IFERROR(INDEX(계정매핑!$D$5:$D$504,MATCH($F637&amp;"",계정매핑!$A$5:$A$504,0)),"미매핑"))</f>
        <v/>
      </c>
      <c r="X637" s="9">
        <f>IF($A637="","",$F637&amp;"")</f>
        <v/>
      </c>
      <c r="Y637" s="94">
        <f>IF($A637="",0,IF(AE637="직접",IF(AF637="비귀속",$P637,0),$P637*(1-AG637)*IFERROR(INDEX(계정대체기준!$F$20:$F$49,MATCH($N637,계정대체기준!$A$20:$A$49,0)),1)))</f>
        <v/>
      </c>
      <c r="Z637" s="94">
        <f>IF($A637="",0,IF(AE637="직접",IF(AF637="신계약비",$P637,0),$P637*(1-AG637)*IFERROR(INDEX(계정대체기준!$C$20:$C$49,MATCH($N637,계정대체기준!$A$20:$A$49,0)),0)))</f>
        <v/>
      </c>
      <c r="AA637" s="94">
        <f>IF($A637="",0,IF(AE637="직접",IF(OR(AF637="유지비",AF637="손해조사비"),$P637,0),$P637*(1-AG637)*IFERROR(INDEX(계정대체기준!$D$20:$D$49,MATCH($N637,계정대체기준!$A$20:$A$49,0)),0)))</f>
        <v/>
      </c>
      <c r="AB637" s="94">
        <f>IF($A637="",0,IF(AE637="직접",IF(AF637="수금비",$P637,0),$P637*(1-AG637)*IFERROR(INDEX(계정대체기준!$E$20:$E$49,MATCH($N637,계정대체기준!$A$20:$A$49,0)),0)))</f>
        <v/>
      </c>
      <c r="AC637" s="9">
        <f>IF(AND($A637&lt;&gt;"",M637=설정!$C$20,Z637&gt;0),Z637+ROW()/1000000000,"")</f>
        <v/>
      </c>
      <c r="AD637" s="94">
        <f>IF($A637="",0,$P637*AG637)</f>
        <v/>
      </c>
      <c r="AE637" s="64">
        <f>IF($A637="","",IFERROR(INDEX(계정매핑!$E$5:$E$504,MATCH($F637&amp;"",계정매핑!$A$5:$A$504,0))&amp;"","공통비"))</f>
        <v/>
      </c>
      <c r="AF637" s="64">
        <f>IF($A637="","",IF(AE637="직접",IFERROR(INDEX(계정매핑!$F$5:$F$504,MATCH($F637&amp;"",계정매핑!$A$5:$A$504,0))&amp;"","비귀속"),""))</f>
        <v/>
      </c>
      <c r="AG637" s="96">
        <f>IF($A637="",0,IF(AND(AE637&lt;&gt;"직접",IFERROR(INDEX(계정매핑!$G$5:$G$504,MATCH($F637&amp;"",계정매핑!$A$5:$A$504,0))&amp;"","")="유지비",COUNTIF(계정대체기준!$A$6:$A$15,$N637)&gt;0),IFERROR(INDEX(계정대체기준!$E$6:$E$15,MATCH(VALUE($A637&amp;""),계정대체기준!$D$6:$D$15,0)),0),0))</f>
        <v/>
      </c>
      <c r="AH637" s="64">
        <f>IF($A637="","",IF(AD637=0,"",IF(OR(COUNTIF(계정대체기준!$A$77:$A$86,$N637)&gt;0,ISNUMBER(MATCH($X637,계정대체기준!$D$77:$D$86,0)),ISNUMBER(MATCH($F637,계정대체기준!$D$77:$D$86,0))),"Y","N")))</f>
        <v/>
      </c>
    </row>
    <row r="638">
      <c r="A638" s="92" t="n">
        <v>2025</v>
      </c>
      <c r="B638" s="92" t="n">
        <v>3</v>
      </c>
      <c r="C638" s="92" t="inlineStr">
        <is>
          <t>5100000634</t>
        </is>
      </c>
      <c r="D638" s="95" t="n">
        <v>45738</v>
      </c>
      <c r="E638" s="92" t="inlineStr">
        <is>
          <t>KR</t>
        </is>
      </c>
      <c r="F638" s="92" t="n">
        <v>62101000</v>
      </c>
      <c r="G638" s="92" t="n">
        <v>1501</v>
      </c>
      <c r="H638" s="93" t="n">
        <v>297000</v>
      </c>
      <c r="I638" s="92" t="inlineStr">
        <is>
          <t>3월 국내출장 - L여행사</t>
        </is>
      </c>
      <c r="J638" s="92" t="inlineStr">
        <is>
          <t>V10018</t>
        </is>
      </c>
      <c r="K638" s="92" t="inlineStr">
        <is>
          <t>L여행사</t>
        </is>
      </c>
      <c r="M638" s="9">
        <f>IF($A638="","",VALUE($A638&amp;"")*12+VALUE($B638&amp;""))</f>
        <v/>
      </c>
      <c r="N638" s="64">
        <f>IF($A638="","",IFERROR(INDEX(부서매핑!$C$5:$C$504,MATCH($G638&amp;"",부서매핑!$A$5:$A$504,0)),"미매핑"))</f>
        <v/>
      </c>
      <c r="O638" s="9">
        <f>IF($A638="","",N638&amp;"|"&amp;$F638)</f>
        <v/>
      </c>
      <c r="P638" s="94">
        <f>IF($A638="",0,$H638*설정!$C$23)</f>
        <v/>
      </c>
      <c r="Q638" s="64">
        <f>IF($A638="","",IF(O638&lt;&gt;원인분석!$C$9,"",IF(AND(M638&gt;=원인분석!$C$10,M638&lt;=원인분석!$C$11),"당기",IF(AND(M638&gt;=원인분석!$C$12,M638&lt;=원인분석!$C$13),"비교",""))))</f>
        <v/>
      </c>
      <c r="R638" s="9">
        <f>IF(Q638="","",$K638&amp;"")</f>
        <v/>
      </c>
      <c r="S638" s="9">
        <f>IF(Q638="","",IF(MATCH(R638,$R$5:$R$100000,0)=ROW()-4,ROW(),""))</f>
        <v/>
      </c>
      <c r="T638" s="9">
        <f>IF(Q638="당기",ABS(P638)+ROW()/1000000000,"")</f>
        <v/>
      </c>
      <c r="U638" s="9">
        <f>IF(Q638="비교",ABS(P638)+ROW()/1000000000,"")</f>
        <v/>
      </c>
      <c r="V638" s="64">
        <f>IF($A638="","",IF(COUNTIF(변동분석!$E$7:$E$506,O638)&gt;0,"Y","N"))</f>
        <v/>
      </c>
      <c r="W638" s="64">
        <f>IF($A638="","",IFERROR(INDEX(계정매핑!$D$5:$D$504,MATCH($F638&amp;"",계정매핑!$A$5:$A$504,0)),"미매핑"))</f>
        <v/>
      </c>
      <c r="X638" s="9">
        <f>IF($A638="","",$F638&amp;"")</f>
        <v/>
      </c>
      <c r="Y638" s="94">
        <f>IF($A638="",0,IF(AE638="직접",IF(AF638="비귀속",$P638,0),$P638*(1-AG638)*IFERROR(INDEX(계정대체기준!$F$20:$F$49,MATCH($N638,계정대체기준!$A$20:$A$49,0)),1)))</f>
        <v/>
      </c>
      <c r="Z638" s="94">
        <f>IF($A638="",0,IF(AE638="직접",IF(AF638="신계약비",$P638,0),$P638*(1-AG638)*IFERROR(INDEX(계정대체기준!$C$20:$C$49,MATCH($N638,계정대체기준!$A$20:$A$49,0)),0)))</f>
        <v/>
      </c>
      <c r="AA638" s="94">
        <f>IF($A638="",0,IF(AE638="직접",IF(OR(AF638="유지비",AF638="손해조사비"),$P638,0),$P638*(1-AG638)*IFERROR(INDEX(계정대체기준!$D$20:$D$49,MATCH($N638,계정대체기준!$A$20:$A$49,0)),0)))</f>
        <v/>
      </c>
      <c r="AB638" s="94">
        <f>IF($A638="",0,IF(AE638="직접",IF(AF638="수금비",$P638,0),$P638*(1-AG638)*IFERROR(INDEX(계정대체기준!$E$20:$E$49,MATCH($N638,계정대체기준!$A$20:$A$49,0)),0)))</f>
        <v/>
      </c>
      <c r="AC638" s="9">
        <f>IF(AND($A638&lt;&gt;"",M638=설정!$C$20,Z638&gt;0),Z638+ROW()/1000000000,"")</f>
        <v/>
      </c>
      <c r="AD638" s="94">
        <f>IF($A638="",0,$P638*AG638)</f>
        <v/>
      </c>
      <c r="AE638" s="64">
        <f>IF($A638="","",IFERROR(INDEX(계정매핑!$E$5:$E$504,MATCH($F638&amp;"",계정매핑!$A$5:$A$504,0))&amp;"","공통비"))</f>
        <v/>
      </c>
      <c r="AF638" s="64">
        <f>IF($A638="","",IF(AE638="직접",IFERROR(INDEX(계정매핑!$F$5:$F$504,MATCH($F638&amp;"",계정매핑!$A$5:$A$504,0))&amp;"","비귀속"),""))</f>
        <v/>
      </c>
      <c r="AG638" s="96">
        <f>IF($A638="",0,IF(AND(AE638&lt;&gt;"직접",IFERROR(INDEX(계정매핑!$G$5:$G$504,MATCH($F638&amp;"",계정매핑!$A$5:$A$504,0))&amp;"","")="유지비",COUNTIF(계정대체기준!$A$6:$A$15,$N638)&gt;0),IFERROR(INDEX(계정대체기준!$E$6:$E$15,MATCH(VALUE($A638&amp;""),계정대체기준!$D$6:$D$15,0)),0),0))</f>
        <v/>
      </c>
      <c r="AH638" s="64">
        <f>IF($A638="","",IF(AD638=0,"",IF(OR(COUNTIF(계정대체기준!$A$77:$A$86,$N638)&gt;0,ISNUMBER(MATCH($X638,계정대체기준!$D$77:$D$86,0)),ISNUMBER(MATCH($F638,계정대체기준!$D$77:$D$86,0))),"Y","N")))</f>
        <v/>
      </c>
    </row>
    <row r="639">
      <c r="A639" s="92" t="n">
        <v>2025</v>
      </c>
      <c r="B639" s="92" t="n">
        <v>3</v>
      </c>
      <c r="C639" s="92" t="inlineStr">
        <is>
          <t>5100000635</t>
        </is>
      </c>
      <c r="D639" s="95" t="n">
        <v>45738</v>
      </c>
      <c r="E639" s="92" t="inlineStr">
        <is>
          <t>KR</t>
        </is>
      </c>
      <c r="F639" s="92" t="n">
        <v>62101000</v>
      </c>
      <c r="G639" s="92" t="n">
        <v>1801</v>
      </c>
      <c r="H639" s="93" t="n">
        <v>246000</v>
      </c>
      <c r="I639" s="92" t="inlineStr">
        <is>
          <t>3월 국내출장 - M항공</t>
        </is>
      </c>
      <c r="J639" s="92" t="inlineStr">
        <is>
          <t>V10001</t>
        </is>
      </c>
      <c r="K639" s="92" t="inlineStr">
        <is>
          <t>M항공</t>
        </is>
      </c>
      <c r="M639" s="9">
        <f>IF($A639="","",VALUE($A639&amp;"")*12+VALUE($B639&amp;""))</f>
        <v/>
      </c>
      <c r="N639" s="64">
        <f>IF($A639="","",IFERROR(INDEX(부서매핑!$C$5:$C$504,MATCH($G639&amp;"",부서매핑!$A$5:$A$504,0)),"미매핑"))</f>
        <v/>
      </c>
      <c r="O639" s="9">
        <f>IF($A639="","",N639&amp;"|"&amp;$F639)</f>
        <v/>
      </c>
      <c r="P639" s="94">
        <f>IF($A639="",0,$H639*설정!$C$23)</f>
        <v/>
      </c>
      <c r="Q639" s="64">
        <f>IF($A639="","",IF(O639&lt;&gt;원인분석!$C$9,"",IF(AND(M639&gt;=원인분석!$C$10,M639&lt;=원인분석!$C$11),"당기",IF(AND(M639&gt;=원인분석!$C$12,M639&lt;=원인분석!$C$13),"비교",""))))</f>
        <v/>
      </c>
      <c r="R639" s="9">
        <f>IF(Q639="","",$K639&amp;"")</f>
        <v/>
      </c>
      <c r="S639" s="9">
        <f>IF(Q639="","",IF(MATCH(R639,$R$5:$R$100000,0)=ROW()-4,ROW(),""))</f>
        <v/>
      </c>
      <c r="T639" s="9">
        <f>IF(Q639="당기",ABS(P639)+ROW()/1000000000,"")</f>
        <v/>
      </c>
      <c r="U639" s="9">
        <f>IF(Q639="비교",ABS(P639)+ROW()/1000000000,"")</f>
        <v/>
      </c>
      <c r="V639" s="64">
        <f>IF($A639="","",IF(COUNTIF(변동분석!$E$7:$E$506,O639)&gt;0,"Y","N"))</f>
        <v/>
      </c>
      <c r="W639" s="64">
        <f>IF($A639="","",IFERROR(INDEX(계정매핑!$D$5:$D$504,MATCH($F639&amp;"",계정매핑!$A$5:$A$504,0)),"미매핑"))</f>
        <v/>
      </c>
      <c r="X639" s="9">
        <f>IF($A639="","",$F639&amp;"")</f>
        <v/>
      </c>
      <c r="Y639" s="94">
        <f>IF($A639="",0,IF(AE639="직접",IF(AF639="비귀속",$P639,0),$P639*(1-AG639)*IFERROR(INDEX(계정대체기준!$F$20:$F$49,MATCH($N639,계정대체기준!$A$20:$A$49,0)),1)))</f>
        <v/>
      </c>
      <c r="Z639" s="94">
        <f>IF($A639="",0,IF(AE639="직접",IF(AF639="신계약비",$P639,0),$P639*(1-AG639)*IFERROR(INDEX(계정대체기준!$C$20:$C$49,MATCH($N639,계정대체기준!$A$20:$A$49,0)),0)))</f>
        <v/>
      </c>
      <c r="AA639" s="94">
        <f>IF($A639="",0,IF(AE639="직접",IF(OR(AF639="유지비",AF639="손해조사비"),$P639,0),$P639*(1-AG639)*IFERROR(INDEX(계정대체기준!$D$20:$D$49,MATCH($N639,계정대체기준!$A$20:$A$49,0)),0)))</f>
        <v/>
      </c>
      <c r="AB639" s="94">
        <f>IF($A639="",0,IF(AE639="직접",IF(AF639="수금비",$P639,0),$P639*(1-AG639)*IFERROR(INDEX(계정대체기준!$E$20:$E$49,MATCH($N639,계정대체기준!$A$20:$A$49,0)),0)))</f>
        <v/>
      </c>
      <c r="AC639" s="9">
        <f>IF(AND($A639&lt;&gt;"",M639=설정!$C$20,Z639&gt;0),Z639+ROW()/1000000000,"")</f>
        <v/>
      </c>
      <c r="AD639" s="94">
        <f>IF($A639="",0,$P639*AG639)</f>
        <v/>
      </c>
      <c r="AE639" s="64">
        <f>IF($A639="","",IFERROR(INDEX(계정매핑!$E$5:$E$504,MATCH($F639&amp;"",계정매핑!$A$5:$A$504,0))&amp;"","공통비"))</f>
        <v/>
      </c>
      <c r="AF639" s="64">
        <f>IF($A639="","",IF(AE639="직접",IFERROR(INDEX(계정매핑!$F$5:$F$504,MATCH($F639&amp;"",계정매핑!$A$5:$A$504,0))&amp;"","비귀속"),""))</f>
        <v/>
      </c>
      <c r="AG639" s="96">
        <f>IF($A639="",0,IF(AND(AE639&lt;&gt;"직접",IFERROR(INDEX(계정매핑!$G$5:$G$504,MATCH($F639&amp;"",계정매핑!$A$5:$A$504,0))&amp;"","")="유지비",COUNTIF(계정대체기준!$A$6:$A$15,$N639)&gt;0),IFERROR(INDEX(계정대체기준!$E$6:$E$15,MATCH(VALUE($A639&amp;""),계정대체기준!$D$6:$D$15,0)),0),0))</f>
        <v/>
      </c>
      <c r="AH639" s="64">
        <f>IF($A639="","",IF(AD639=0,"",IF(OR(COUNTIF(계정대체기준!$A$77:$A$86,$N639)&gt;0,ISNUMBER(MATCH($X639,계정대체기준!$D$77:$D$86,0)),ISNUMBER(MATCH($F639,계정대체기준!$D$77:$D$86,0))),"Y","N")))</f>
        <v/>
      </c>
    </row>
    <row r="640">
      <c r="A640" s="92" t="n">
        <v>2025</v>
      </c>
      <c r="B640" s="92" t="n">
        <v>3</v>
      </c>
      <c r="C640" s="92" t="inlineStr">
        <is>
          <t>5100000636</t>
        </is>
      </c>
      <c r="D640" s="95" t="n">
        <v>45738</v>
      </c>
      <c r="E640" s="92" t="inlineStr">
        <is>
          <t>KR</t>
        </is>
      </c>
      <c r="F640" s="92" t="n">
        <v>62901000</v>
      </c>
      <c r="G640" s="92" t="n">
        <v>1101</v>
      </c>
      <c r="H640" s="93" t="n">
        <v>5227000</v>
      </c>
      <c r="I640" s="92" t="inlineStr">
        <is>
          <t>3월 자문 수수료 - W컨설팅</t>
        </is>
      </c>
      <c r="J640" s="92" t="inlineStr">
        <is>
          <t>V10006</t>
        </is>
      </c>
      <c r="K640" s="92" t="inlineStr">
        <is>
          <t>W컨설팅</t>
        </is>
      </c>
      <c r="M640" s="9">
        <f>IF($A640="","",VALUE($A640&amp;"")*12+VALUE($B640&amp;""))</f>
        <v/>
      </c>
      <c r="N640" s="64">
        <f>IF($A640="","",IFERROR(INDEX(부서매핑!$C$5:$C$504,MATCH($G640&amp;"",부서매핑!$A$5:$A$504,0)),"미매핑"))</f>
        <v/>
      </c>
      <c r="O640" s="9">
        <f>IF($A640="","",N640&amp;"|"&amp;$F640)</f>
        <v/>
      </c>
      <c r="P640" s="94">
        <f>IF($A640="",0,$H640*설정!$C$23)</f>
        <v/>
      </c>
      <c r="Q640" s="64">
        <f>IF($A640="","",IF(O640&lt;&gt;원인분석!$C$9,"",IF(AND(M640&gt;=원인분석!$C$10,M640&lt;=원인분석!$C$11),"당기",IF(AND(M640&gt;=원인분석!$C$12,M640&lt;=원인분석!$C$13),"비교",""))))</f>
        <v/>
      </c>
      <c r="R640" s="9">
        <f>IF(Q640="","",$K640&amp;"")</f>
        <v/>
      </c>
      <c r="S640" s="9">
        <f>IF(Q640="","",IF(MATCH(R640,$R$5:$R$100000,0)=ROW()-4,ROW(),""))</f>
        <v/>
      </c>
      <c r="T640" s="9">
        <f>IF(Q640="당기",ABS(P640)+ROW()/1000000000,"")</f>
        <v/>
      </c>
      <c r="U640" s="9">
        <f>IF(Q640="비교",ABS(P640)+ROW()/1000000000,"")</f>
        <v/>
      </c>
      <c r="V640" s="64">
        <f>IF($A640="","",IF(COUNTIF(변동분석!$E$7:$E$506,O640)&gt;0,"Y","N"))</f>
        <v/>
      </c>
      <c r="W640" s="64">
        <f>IF($A640="","",IFERROR(INDEX(계정매핑!$D$5:$D$504,MATCH($F640&amp;"",계정매핑!$A$5:$A$504,0)),"미매핑"))</f>
        <v/>
      </c>
      <c r="X640" s="9">
        <f>IF($A640="","",$F640&amp;"")</f>
        <v/>
      </c>
      <c r="Y640" s="94">
        <f>IF($A640="",0,IF(AE640="직접",IF(AF640="비귀속",$P640,0),$P640*(1-AG640)*IFERROR(INDEX(계정대체기준!$F$20:$F$49,MATCH($N640,계정대체기준!$A$20:$A$49,0)),1)))</f>
        <v/>
      </c>
      <c r="Z640" s="94">
        <f>IF($A640="",0,IF(AE640="직접",IF(AF640="신계약비",$P640,0),$P640*(1-AG640)*IFERROR(INDEX(계정대체기준!$C$20:$C$49,MATCH($N640,계정대체기준!$A$20:$A$49,0)),0)))</f>
        <v/>
      </c>
      <c r="AA640" s="94">
        <f>IF($A640="",0,IF(AE640="직접",IF(OR(AF640="유지비",AF640="손해조사비"),$P640,0),$P640*(1-AG640)*IFERROR(INDEX(계정대체기준!$D$20:$D$49,MATCH($N640,계정대체기준!$A$20:$A$49,0)),0)))</f>
        <v/>
      </c>
      <c r="AB640" s="94">
        <f>IF($A640="",0,IF(AE640="직접",IF(AF640="수금비",$P640,0),$P640*(1-AG640)*IFERROR(INDEX(계정대체기준!$E$20:$E$49,MATCH($N640,계정대체기준!$A$20:$A$49,0)),0)))</f>
        <v/>
      </c>
      <c r="AC640" s="9">
        <f>IF(AND($A640&lt;&gt;"",M640=설정!$C$20,Z640&gt;0),Z640+ROW()/1000000000,"")</f>
        <v/>
      </c>
      <c r="AD640" s="94">
        <f>IF($A640="",0,$P640*AG640)</f>
        <v/>
      </c>
      <c r="AE640" s="64">
        <f>IF($A640="","",IFERROR(INDEX(계정매핑!$E$5:$E$504,MATCH($F640&amp;"",계정매핑!$A$5:$A$504,0))&amp;"","공통비"))</f>
        <v/>
      </c>
      <c r="AF640" s="64">
        <f>IF($A640="","",IF(AE640="직접",IFERROR(INDEX(계정매핑!$F$5:$F$504,MATCH($F640&amp;"",계정매핑!$A$5:$A$504,0))&amp;"","비귀속"),""))</f>
        <v/>
      </c>
      <c r="AG640" s="96">
        <f>IF($A640="",0,IF(AND(AE640&lt;&gt;"직접",IFERROR(INDEX(계정매핑!$G$5:$G$504,MATCH($F640&amp;"",계정매핑!$A$5:$A$504,0))&amp;"","")="유지비",COUNTIF(계정대체기준!$A$6:$A$15,$N640)&gt;0),IFERROR(INDEX(계정대체기준!$E$6:$E$15,MATCH(VALUE($A640&amp;""),계정대체기준!$D$6:$D$15,0)),0),0))</f>
        <v/>
      </c>
      <c r="AH640" s="64">
        <f>IF($A640="","",IF(AD640=0,"",IF(OR(COUNTIF(계정대체기준!$A$77:$A$86,$N640)&gt;0,ISNUMBER(MATCH($X640,계정대체기준!$D$77:$D$86,0)),ISNUMBER(MATCH($F640,계정대체기준!$D$77:$D$86,0))),"Y","N")))</f>
        <v/>
      </c>
    </row>
    <row r="641">
      <c r="A641" s="92" t="n">
        <v>2025</v>
      </c>
      <c r="B641" s="92" t="n">
        <v>3</v>
      </c>
      <c r="C641" s="92" t="inlineStr">
        <is>
          <t>5100000637</t>
        </is>
      </c>
      <c r="D641" s="95" t="n">
        <v>45738</v>
      </c>
      <c r="E641" s="92" t="inlineStr">
        <is>
          <t>KR</t>
        </is>
      </c>
      <c r="F641" s="92" t="n">
        <v>62902000</v>
      </c>
      <c r="G641" s="92" t="n">
        <v>1801</v>
      </c>
      <c r="H641" s="93" t="n">
        <v>1775000</v>
      </c>
      <c r="I641" s="92" t="inlineStr">
        <is>
          <t>3월 콜 위탁 수수료(건별)</t>
        </is>
      </c>
      <c r="J641" s="92" t="inlineStr">
        <is>
          <t>V10016</t>
        </is>
      </c>
      <c r="K641" s="92" t="inlineStr">
        <is>
          <t>J콜센터</t>
        </is>
      </c>
      <c r="M641" s="9">
        <f>IF($A641="","",VALUE($A641&amp;"")*12+VALUE($B641&amp;""))</f>
        <v/>
      </c>
      <c r="N641" s="64">
        <f>IF($A641="","",IFERROR(INDEX(부서매핑!$C$5:$C$504,MATCH($G641&amp;"",부서매핑!$A$5:$A$504,0)),"미매핑"))</f>
        <v/>
      </c>
      <c r="O641" s="9">
        <f>IF($A641="","",N641&amp;"|"&amp;$F641)</f>
        <v/>
      </c>
      <c r="P641" s="94">
        <f>IF($A641="",0,$H641*설정!$C$23)</f>
        <v/>
      </c>
      <c r="Q641" s="64">
        <f>IF($A641="","",IF(O641&lt;&gt;원인분석!$C$9,"",IF(AND(M641&gt;=원인분석!$C$10,M641&lt;=원인분석!$C$11),"당기",IF(AND(M641&gt;=원인분석!$C$12,M641&lt;=원인분석!$C$13),"비교",""))))</f>
        <v/>
      </c>
      <c r="R641" s="9">
        <f>IF(Q641="","",$K641&amp;"")</f>
        <v/>
      </c>
      <c r="S641" s="9">
        <f>IF(Q641="","",IF(MATCH(R641,$R$5:$R$100000,0)=ROW()-4,ROW(),""))</f>
        <v/>
      </c>
      <c r="T641" s="9">
        <f>IF(Q641="당기",ABS(P641)+ROW()/1000000000,"")</f>
        <v/>
      </c>
      <c r="U641" s="9">
        <f>IF(Q641="비교",ABS(P641)+ROW()/1000000000,"")</f>
        <v/>
      </c>
      <c r="V641" s="64">
        <f>IF($A641="","",IF(COUNTIF(변동분석!$E$7:$E$506,O641)&gt;0,"Y","N"))</f>
        <v/>
      </c>
      <c r="W641" s="64">
        <f>IF($A641="","",IFERROR(INDEX(계정매핑!$D$5:$D$504,MATCH($F641&amp;"",계정매핑!$A$5:$A$504,0)),"미매핑"))</f>
        <v/>
      </c>
      <c r="X641" s="9">
        <f>IF($A641="","",$F641&amp;"")</f>
        <v/>
      </c>
      <c r="Y641" s="94">
        <f>IF($A641="",0,IF(AE641="직접",IF(AF641="비귀속",$P641,0),$P641*(1-AG641)*IFERROR(INDEX(계정대체기준!$F$20:$F$49,MATCH($N641,계정대체기준!$A$20:$A$49,0)),1)))</f>
        <v/>
      </c>
      <c r="Z641" s="94">
        <f>IF($A641="",0,IF(AE641="직접",IF(AF641="신계약비",$P641,0),$P641*(1-AG641)*IFERROR(INDEX(계정대체기준!$C$20:$C$49,MATCH($N641,계정대체기준!$A$20:$A$49,0)),0)))</f>
        <v/>
      </c>
      <c r="AA641" s="94">
        <f>IF($A641="",0,IF(AE641="직접",IF(OR(AF641="유지비",AF641="손해조사비"),$P641,0),$P641*(1-AG641)*IFERROR(INDEX(계정대체기준!$D$20:$D$49,MATCH($N641,계정대체기준!$A$20:$A$49,0)),0)))</f>
        <v/>
      </c>
      <c r="AB641" s="94">
        <f>IF($A641="",0,IF(AE641="직접",IF(AF641="수금비",$P641,0),$P641*(1-AG641)*IFERROR(INDEX(계정대체기준!$E$20:$E$49,MATCH($N641,계정대체기준!$A$20:$A$49,0)),0)))</f>
        <v/>
      </c>
      <c r="AC641" s="9">
        <f>IF(AND($A641&lt;&gt;"",M641=설정!$C$20,Z641&gt;0),Z641+ROW()/1000000000,"")</f>
        <v/>
      </c>
      <c r="AD641" s="94">
        <f>IF($A641="",0,$P641*AG641)</f>
        <v/>
      </c>
      <c r="AE641" s="64">
        <f>IF($A641="","",IFERROR(INDEX(계정매핑!$E$5:$E$504,MATCH($F641&amp;"",계정매핑!$A$5:$A$504,0))&amp;"","공통비"))</f>
        <v/>
      </c>
      <c r="AF641" s="64">
        <f>IF($A641="","",IF(AE641="직접",IFERROR(INDEX(계정매핑!$F$5:$F$504,MATCH($F641&amp;"",계정매핑!$A$5:$A$504,0))&amp;"","비귀속"),""))</f>
        <v/>
      </c>
      <c r="AG641" s="96">
        <f>IF($A641="",0,IF(AND(AE641&lt;&gt;"직접",IFERROR(INDEX(계정매핑!$G$5:$G$504,MATCH($F641&amp;"",계정매핑!$A$5:$A$504,0))&amp;"","")="유지비",COUNTIF(계정대체기준!$A$6:$A$15,$N641)&gt;0),IFERROR(INDEX(계정대체기준!$E$6:$E$15,MATCH(VALUE($A641&amp;""),계정대체기준!$D$6:$D$15,0)),0),0))</f>
        <v/>
      </c>
      <c r="AH641" s="64">
        <f>IF($A641="","",IF(AD641=0,"",IF(OR(COUNTIF(계정대체기준!$A$77:$A$86,$N641)&gt;0,ISNUMBER(MATCH($X641,계정대체기준!$D$77:$D$86,0)),ISNUMBER(MATCH($F641,계정대체기준!$D$77:$D$86,0))),"Y","N")))</f>
        <v/>
      </c>
    </row>
    <row r="642">
      <c r="A642" s="92" t="n">
        <v>2025</v>
      </c>
      <c r="B642" s="92" t="n">
        <v>3</v>
      </c>
      <c r="C642" s="92" t="inlineStr">
        <is>
          <t>5100000638</t>
        </is>
      </c>
      <c r="D642" s="95" t="n">
        <v>45738</v>
      </c>
      <c r="E642" s="92" t="inlineStr">
        <is>
          <t>KR</t>
        </is>
      </c>
      <c r="F642" s="92" t="n">
        <v>63101000</v>
      </c>
      <c r="G642" s="92" t="n">
        <v>1602</v>
      </c>
      <c r="H642" s="93" t="n">
        <v>3883000</v>
      </c>
      <c r="I642" s="92" t="inlineStr">
        <is>
          <t>3월 사무실 임차료 - AA빌딩</t>
        </is>
      </c>
      <c r="J642" s="92" t="inlineStr">
        <is>
          <t>V10007</t>
        </is>
      </c>
      <c r="K642" s="92" t="inlineStr">
        <is>
          <t>AA빌딩</t>
        </is>
      </c>
      <c r="M642" s="9">
        <f>IF($A642="","",VALUE($A642&amp;"")*12+VALUE($B642&amp;""))</f>
        <v/>
      </c>
      <c r="N642" s="64">
        <f>IF($A642="","",IFERROR(INDEX(부서매핑!$C$5:$C$504,MATCH($G642&amp;"",부서매핑!$A$5:$A$504,0)),"미매핑"))</f>
        <v/>
      </c>
      <c r="O642" s="9">
        <f>IF($A642="","",N642&amp;"|"&amp;$F642)</f>
        <v/>
      </c>
      <c r="P642" s="94">
        <f>IF($A642="",0,$H642*설정!$C$23)</f>
        <v/>
      </c>
      <c r="Q642" s="64">
        <f>IF($A642="","",IF(O642&lt;&gt;원인분석!$C$9,"",IF(AND(M642&gt;=원인분석!$C$10,M642&lt;=원인분석!$C$11),"당기",IF(AND(M642&gt;=원인분석!$C$12,M642&lt;=원인분석!$C$13),"비교",""))))</f>
        <v/>
      </c>
      <c r="R642" s="9">
        <f>IF(Q642="","",$K642&amp;"")</f>
        <v/>
      </c>
      <c r="S642" s="9">
        <f>IF(Q642="","",IF(MATCH(R642,$R$5:$R$100000,0)=ROW()-4,ROW(),""))</f>
        <v/>
      </c>
      <c r="T642" s="9">
        <f>IF(Q642="당기",ABS(P642)+ROW()/1000000000,"")</f>
        <v/>
      </c>
      <c r="U642" s="9">
        <f>IF(Q642="비교",ABS(P642)+ROW()/1000000000,"")</f>
        <v/>
      </c>
      <c r="V642" s="64">
        <f>IF($A642="","",IF(COUNTIF(변동분석!$E$7:$E$506,O642)&gt;0,"Y","N"))</f>
        <v/>
      </c>
      <c r="W642" s="64">
        <f>IF($A642="","",IFERROR(INDEX(계정매핑!$D$5:$D$504,MATCH($F642&amp;"",계정매핑!$A$5:$A$504,0)),"미매핑"))</f>
        <v/>
      </c>
      <c r="X642" s="9">
        <f>IF($A642="","",$F642&amp;"")</f>
        <v/>
      </c>
      <c r="Y642" s="94">
        <f>IF($A642="",0,IF(AE642="직접",IF(AF642="비귀속",$P642,0),$P642*(1-AG642)*IFERROR(INDEX(계정대체기준!$F$20:$F$49,MATCH($N642,계정대체기준!$A$20:$A$49,0)),1)))</f>
        <v/>
      </c>
      <c r="Z642" s="94">
        <f>IF($A642="",0,IF(AE642="직접",IF(AF642="신계약비",$P642,0),$P642*(1-AG642)*IFERROR(INDEX(계정대체기준!$C$20:$C$49,MATCH($N642,계정대체기준!$A$20:$A$49,0)),0)))</f>
        <v/>
      </c>
      <c r="AA642" s="94">
        <f>IF($A642="",0,IF(AE642="직접",IF(OR(AF642="유지비",AF642="손해조사비"),$P642,0),$P642*(1-AG642)*IFERROR(INDEX(계정대체기준!$D$20:$D$49,MATCH($N642,계정대체기준!$A$20:$A$49,0)),0)))</f>
        <v/>
      </c>
      <c r="AB642" s="94">
        <f>IF($A642="",0,IF(AE642="직접",IF(AF642="수금비",$P642,0),$P642*(1-AG642)*IFERROR(INDEX(계정대체기준!$E$20:$E$49,MATCH($N642,계정대체기준!$A$20:$A$49,0)),0)))</f>
        <v/>
      </c>
      <c r="AC642" s="9">
        <f>IF(AND($A642&lt;&gt;"",M642=설정!$C$20,Z642&gt;0),Z642+ROW()/1000000000,"")</f>
        <v/>
      </c>
      <c r="AD642" s="94">
        <f>IF($A642="",0,$P642*AG642)</f>
        <v/>
      </c>
      <c r="AE642" s="64">
        <f>IF($A642="","",IFERROR(INDEX(계정매핑!$E$5:$E$504,MATCH($F642&amp;"",계정매핑!$A$5:$A$504,0))&amp;"","공통비"))</f>
        <v/>
      </c>
      <c r="AF642" s="64">
        <f>IF($A642="","",IF(AE642="직접",IFERROR(INDEX(계정매핑!$F$5:$F$504,MATCH($F642&amp;"",계정매핑!$A$5:$A$504,0))&amp;"","비귀속"),""))</f>
        <v/>
      </c>
      <c r="AG642" s="96">
        <f>IF($A642="",0,IF(AND(AE642&lt;&gt;"직접",IFERROR(INDEX(계정매핑!$G$5:$G$504,MATCH($F642&amp;"",계정매핑!$A$5:$A$504,0))&amp;"","")="유지비",COUNTIF(계정대체기준!$A$6:$A$15,$N642)&gt;0),IFERROR(INDEX(계정대체기준!$E$6:$E$15,MATCH(VALUE($A642&amp;""),계정대체기준!$D$6:$D$15,0)),0),0))</f>
        <v/>
      </c>
      <c r="AH642" s="64">
        <f>IF($A642="","",IF(AD642=0,"",IF(OR(COUNTIF(계정대체기준!$A$77:$A$86,$N642)&gt;0,ISNUMBER(MATCH($X642,계정대체기준!$D$77:$D$86,0)),ISNUMBER(MATCH($F642,계정대체기준!$D$77:$D$86,0))),"Y","N")))</f>
        <v/>
      </c>
    </row>
    <row r="643">
      <c r="A643" s="92" t="n">
        <v>2025</v>
      </c>
      <c r="B643" s="92" t="n">
        <v>3</v>
      </c>
      <c r="C643" s="92" t="inlineStr">
        <is>
          <t>5100000639</t>
        </is>
      </c>
      <c r="D643" s="95" t="n">
        <v>45739</v>
      </c>
      <c r="E643" s="92" t="inlineStr">
        <is>
          <t>KR</t>
        </is>
      </c>
      <c r="F643" s="92" t="n">
        <v>62101000</v>
      </c>
      <c r="G643" s="92" t="n">
        <v>1401</v>
      </c>
      <c r="H643" s="93" t="n">
        <v>438000</v>
      </c>
      <c r="I643" s="92" t="inlineStr">
        <is>
          <t>3월 국내출장 - M항공</t>
        </is>
      </c>
      <c r="J643" s="92" t="inlineStr">
        <is>
          <t>V10001</t>
        </is>
      </c>
      <c r="K643" s="92" t="inlineStr">
        <is>
          <t>M항공</t>
        </is>
      </c>
      <c r="M643" s="9">
        <f>IF($A643="","",VALUE($A643&amp;"")*12+VALUE($B643&amp;""))</f>
        <v/>
      </c>
      <c r="N643" s="64">
        <f>IF($A643="","",IFERROR(INDEX(부서매핑!$C$5:$C$504,MATCH($G643&amp;"",부서매핑!$A$5:$A$504,0)),"미매핑"))</f>
        <v/>
      </c>
      <c r="O643" s="9">
        <f>IF($A643="","",N643&amp;"|"&amp;$F643)</f>
        <v/>
      </c>
      <c r="P643" s="94">
        <f>IF($A643="",0,$H643*설정!$C$23)</f>
        <v/>
      </c>
      <c r="Q643" s="64">
        <f>IF($A643="","",IF(O643&lt;&gt;원인분석!$C$9,"",IF(AND(M643&gt;=원인분석!$C$10,M643&lt;=원인분석!$C$11),"당기",IF(AND(M643&gt;=원인분석!$C$12,M643&lt;=원인분석!$C$13),"비교",""))))</f>
        <v/>
      </c>
      <c r="R643" s="9">
        <f>IF(Q643="","",$K643&amp;"")</f>
        <v/>
      </c>
      <c r="S643" s="9">
        <f>IF(Q643="","",IF(MATCH(R643,$R$5:$R$100000,0)=ROW()-4,ROW(),""))</f>
        <v/>
      </c>
      <c r="T643" s="9">
        <f>IF(Q643="당기",ABS(P643)+ROW()/1000000000,"")</f>
        <v/>
      </c>
      <c r="U643" s="9">
        <f>IF(Q643="비교",ABS(P643)+ROW()/1000000000,"")</f>
        <v/>
      </c>
      <c r="V643" s="64">
        <f>IF($A643="","",IF(COUNTIF(변동분석!$E$7:$E$506,O643)&gt;0,"Y","N"))</f>
        <v/>
      </c>
      <c r="W643" s="64">
        <f>IF($A643="","",IFERROR(INDEX(계정매핑!$D$5:$D$504,MATCH($F643&amp;"",계정매핑!$A$5:$A$504,0)),"미매핑"))</f>
        <v/>
      </c>
      <c r="X643" s="9">
        <f>IF($A643="","",$F643&amp;"")</f>
        <v/>
      </c>
      <c r="Y643" s="94">
        <f>IF($A643="",0,IF(AE643="직접",IF(AF643="비귀속",$P643,0),$P643*(1-AG643)*IFERROR(INDEX(계정대체기준!$F$20:$F$49,MATCH($N643,계정대체기준!$A$20:$A$49,0)),1)))</f>
        <v/>
      </c>
      <c r="Z643" s="94">
        <f>IF($A643="",0,IF(AE643="직접",IF(AF643="신계약비",$P643,0),$P643*(1-AG643)*IFERROR(INDEX(계정대체기준!$C$20:$C$49,MATCH($N643,계정대체기준!$A$20:$A$49,0)),0)))</f>
        <v/>
      </c>
      <c r="AA643" s="94">
        <f>IF($A643="",0,IF(AE643="직접",IF(OR(AF643="유지비",AF643="손해조사비"),$P643,0),$P643*(1-AG643)*IFERROR(INDEX(계정대체기준!$D$20:$D$49,MATCH($N643,계정대체기준!$A$20:$A$49,0)),0)))</f>
        <v/>
      </c>
      <c r="AB643" s="94">
        <f>IF($A643="",0,IF(AE643="직접",IF(AF643="수금비",$P643,0),$P643*(1-AG643)*IFERROR(INDEX(계정대체기준!$E$20:$E$49,MATCH($N643,계정대체기준!$A$20:$A$49,0)),0)))</f>
        <v/>
      </c>
      <c r="AC643" s="9">
        <f>IF(AND($A643&lt;&gt;"",M643=설정!$C$20,Z643&gt;0),Z643+ROW()/1000000000,"")</f>
        <v/>
      </c>
      <c r="AD643" s="94">
        <f>IF($A643="",0,$P643*AG643)</f>
        <v/>
      </c>
      <c r="AE643" s="64">
        <f>IF($A643="","",IFERROR(INDEX(계정매핑!$E$5:$E$504,MATCH($F643&amp;"",계정매핑!$A$5:$A$504,0))&amp;"","공통비"))</f>
        <v/>
      </c>
      <c r="AF643" s="64">
        <f>IF($A643="","",IF(AE643="직접",IFERROR(INDEX(계정매핑!$F$5:$F$504,MATCH($F643&amp;"",계정매핑!$A$5:$A$504,0))&amp;"","비귀속"),""))</f>
        <v/>
      </c>
      <c r="AG643" s="96">
        <f>IF($A643="",0,IF(AND(AE643&lt;&gt;"직접",IFERROR(INDEX(계정매핑!$G$5:$G$504,MATCH($F643&amp;"",계정매핑!$A$5:$A$504,0))&amp;"","")="유지비",COUNTIF(계정대체기준!$A$6:$A$15,$N643)&gt;0),IFERROR(INDEX(계정대체기준!$E$6:$E$15,MATCH(VALUE($A643&amp;""),계정대체기준!$D$6:$D$15,0)),0),0))</f>
        <v/>
      </c>
      <c r="AH643" s="64">
        <f>IF($A643="","",IF(AD643=0,"",IF(OR(COUNTIF(계정대체기준!$A$77:$A$86,$N643)&gt;0,ISNUMBER(MATCH($X643,계정대체기준!$D$77:$D$86,0)),ISNUMBER(MATCH($F643,계정대체기준!$D$77:$D$86,0))),"Y","N")))</f>
        <v/>
      </c>
    </row>
    <row r="644">
      <c r="A644" s="92" t="n">
        <v>2025</v>
      </c>
      <c r="B644" s="92" t="n">
        <v>3</v>
      </c>
      <c r="C644" s="92" t="inlineStr">
        <is>
          <t>5100000640</t>
        </is>
      </c>
      <c r="D644" s="95" t="n">
        <v>45739</v>
      </c>
      <c r="E644" s="92" t="inlineStr">
        <is>
          <t>KR</t>
        </is>
      </c>
      <c r="F644" s="92" t="n">
        <v>62201000</v>
      </c>
      <c r="G644" s="92" t="n">
        <v>1101</v>
      </c>
      <c r="H644" s="93" t="n">
        <v>299000</v>
      </c>
      <c r="I644" s="92" t="inlineStr">
        <is>
          <t>3월 통신요금 - O텔레콤</t>
        </is>
      </c>
      <c r="J644" s="92" t="inlineStr">
        <is>
          <t>V10002</t>
        </is>
      </c>
      <c r="K644" s="92" t="inlineStr">
        <is>
          <t>O텔레콤</t>
        </is>
      </c>
      <c r="M644" s="9">
        <f>IF($A644="","",VALUE($A644&amp;"")*12+VALUE($B644&amp;""))</f>
        <v/>
      </c>
      <c r="N644" s="64">
        <f>IF($A644="","",IFERROR(INDEX(부서매핑!$C$5:$C$504,MATCH($G644&amp;"",부서매핑!$A$5:$A$504,0)),"미매핑"))</f>
        <v/>
      </c>
      <c r="O644" s="9">
        <f>IF($A644="","",N644&amp;"|"&amp;$F644)</f>
        <v/>
      </c>
      <c r="P644" s="94">
        <f>IF($A644="",0,$H644*설정!$C$23)</f>
        <v/>
      </c>
      <c r="Q644" s="64">
        <f>IF($A644="","",IF(O644&lt;&gt;원인분석!$C$9,"",IF(AND(M644&gt;=원인분석!$C$10,M644&lt;=원인분석!$C$11),"당기",IF(AND(M644&gt;=원인분석!$C$12,M644&lt;=원인분석!$C$13),"비교",""))))</f>
        <v/>
      </c>
      <c r="R644" s="9">
        <f>IF(Q644="","",$K644&amp;"")</f>
        <v/>
      </c>
      <c r="S644" s="9">
        <f>IF(Q644="","",IF(MATCH(R644,$R$5:$R$100000,0)=ROW()-4,ROW(),""))</f>
        <v/>
      </c>
      <c r="T644" s="9">
        <f>IF(Q644="당기",ABS(P644)+ROW()/1000000000,"")</f>
        <v/>
      </c>
      <c r="U644" s="9">
        <f>IF(Q644="비교",ABS(P644)+ROW()/1000000000,"")</f>
        <v/>
      </c>
      <c r="V644" s="64">
        <f>IF($A644="","",IF(COUNTIF(변동분석!$E$7:$E$506,O644)&gt;0,"Y","N"))</f>
        <v/>
      </c>
      <c r="W644" s="64">
        <f>IF($A644="","",IFERROR(INDEX(계정매핑!$D$5:$D$504,MATCH($F644&amp;"",계정매핑!$A$5:$A$504,0)),"미매핑"))</f>
        <v/>
      </c>
      <c r="X644" s="9">
        <f>IF($A644="","",$F644&amp;"")</f>
        <v/>
      </c>
      <c r="Y644" s="94">
        <f>IF($A644="",0,IF(AE644="직접",IF(AF644="비귀속",$P644,0),$P644*(1-AG644)*IFERROR(INDEX(계정대체기준!$F$20:$F$49,MATCH($N644,계정대체기준!$A$20:$A$49,0)),1)))</f>
        <v/>
      </c>
      <c r="Z644" s="94">
        <f>IF($A644="",0,IF(AE644="직접",IF(AF644="신계약비",$P644,0),$P644*(1-AG644)*IFERROR(INDEX(계정대체기준!$C$20:$C$49,MATCH($N644,계정대체기준!$A$20:$A$49,0)),0)))</f>
        <v/>
      </c>
      <c r="AA644" s="94">
        <f>IF($A644="",0,IF(AE644="직접",IF(OR(AF644="유지비",AF644="손해조사비"),$P644,0),$P644*(1-AG644)*IFERROR(INDEX(계정대체기준!$D$20:$D$49,MATCH($N644,계정대체기준!$A$20:$A$49,0)),0)))</f>
        <v/>
      </c>
      <c r="AB644" s="94">
        <f>IF($A644="",0,IF(AE644="직접",IF(AF644="수금비",$P644,0),$P644*(1-AG644)*IFERROR(INDEX(계정대체기준!$E$20:$E$49,MATCH($N644,계정대체기준!$A$20:$A$49,0)),0)))</f>
        <v/>
      </c>
      <c r="AC644" s="9">
        <f>IF(AND($A644&lt;&gt;"",M644=설정!$C$20,Z644&gt;0),Z644+ROW()/1000000000,"")</f>
        <v/>
      </c>
      <c r="AD644" s="94">
        <f>IF($A644="",0,$P644*AG644)</f>
        <v/>
      </c>
      <c r="AE644" s="64">
        <f>IF($A644="","",IFERROR(INDEX(계정매핑!$E$5:$E$504,MATCH($F644&amp;"",계정매핑!$A$5:$A$504,0))&amp;"","공통비"))</f>
        <v/>
      </c>
      <c r="AF644" s="64">
        <f>IF($A644="","",IF(AE644="직접",IFERROR(INDEX(계정매핑!$F$5:$F$504,MATCH($F644&amp;"",계정매핑!$A$5:$A$504,0))&amp;"","비귀속"),""))</f>
        <v/>
      </c>
      <c r="AG644" s="96">
        <f>IF($A644="",0,IF(AND(AE644&lt;&gt;"직접",IFERROR(INDEX(계정매핑!$G$5:$G$504,MATCH($F644&amp;"",계정매핑!$A$5:$A$504,0))&amp;"","")="유지비",COUNTIF(계정대체기준!$A$6:$A$15,$N644)&gt;0),IFERROR(INDEX(계정대체기준!$E$6:$E$15,MATCH(VALUE($A644&amp;""),계정대체기준!$D$6:$D$15,0)),0),0))</f>
        <v/>
      </c>
      <c r="AH644" s="64">
        <f>IF($A644="","",IF(AD644=0,"",IF(OR(COUNTIF(계정대체기준!$A$77:$A$86,$N644)&gt;0,ISNUMBER(MATCH($X644,계정대체기준!$D$77:$D$86,0)),ISNUMBER(MATCH($F644,계정대체기준!$D$77:$D$86,0))),"Y","N")))</f>
        <v/>
      </c>
    </row>
    <row r="645">
      <c r="A645" s="92" t="n">
        <v>2025</v>
      </c>
      <c r="B645" s="92" t="n">
        <v>3</v>
      </c>
      <c r="C645" s="92" t="inlineStr">
        <is>
          <t>5100000641</t>
        </is>
      </c>
      <c r="D645" s="95" t="n">
        <v>45739</v>
      </c>
      <c r="E645" s="92" t="inlineStr">
        <is>
          <t>KR</t>
        </is>
      </c>
      <c r="F645" s="92" t="n">
        <v>62201000</v>
      </c>
      <c r="G645" s="92" t="n">
        <v>1602</v>
      </c>
      <c r="H645" s="93" t="n">
        <v>740000</v>
      </c>
      <c r="I645" s="92" t="inlineStr">
        <is>
          <t>3월 통신요금 - P통신</t>
        </is>
      </c>
      <c r="J645" s="92" t="inlineStr">
        <is>
          <t>V10014</t>
        </is>
      </c>
      <c r="K645" s="92" t="inlineStr">
        <is>
          <t>P통신</t>
        </is>
      </c>
      <c r="M645" s="9">
        <f>IF($A645="","",VALUE($A645&amp;"")*12+VALUE($B645&amp;""))</f>
        <v/>
      </c>
      <c r="N645" s="64">
        <f>IF($A645="","",IFERROR(INDEX(부서매핑!$C$5:$C$504,MATCH($G645&amp;"",부서매핑!$A$5:$A$504,0)),"미매핑"))</f>
        <v/>
      </c>
      <c r="O645" s="9">
        <f>IF($A645="","",N645&amp;"|"&amp;$F645)</f>
        <v/>
      </c>
      <c r="P645" s="94">
        <f>IF($A645="",0,$H645*설정!$C$23)</f>
        <v/>
      </c>
      <c r="Q645" s="64">
        <f>IF($A645="","",IF(O645&lt;&gt;원인분석!$C$9,"",IF(AND(M645&gt;=원인분석!$C$10,M645&lt;=원인분석!$C$11),"당기",IF(AND(M645&gt;=원인분석!$C$12,M645&lt;=원인분석!$C$13),"비교",""))))</f>
        <v/>
      </c>
      <c r="R645" s="9">
        <f>IF(Q645="","",$K645&amp;"")</f>
        <v/>
      </c>
      <c r="S645" s="9">
        <f>IF(Q645="","",IF(MATCH(R645,$R$5:$R$100000,0)=ROW()-4,ROW(),""))</f>
        <v/>
      </c>
      <c r="T645" s="9">
        <f>IF(Q645="당기",ABS(P645)+ROW()/1000000000,"")</f>
        <v/>
      </c>
      <c r="U645" s="9">
        <f>IF(Q645="비교",ABS(P645)+ROW()/1000000000,"")</f>
        <v/>
      </c>
      <c r="V645" s="64">
        <f>IF($A645="","",IF(COUNTIF(변동분석!$E$7:$E$506,O645)&gt;0,"Y","N"))</f>
        <v/>
      </c>
      <c r="W645" s="64">
        <f>IF($A645="","",IFERROR(INDEX(계정매핑!$D$5:$D$504,MATCH($F645&amp;"",계정매핑!$A$5:$A$504,0)),"미매핑"))</f>
        <v/>
      </c>
      <c r="X645" s="9">
        <f>IF($A645="","",$F645&amp;"")</f>
        <v/>
      </c>
      <c r="Y645" s="94">
        <f>IF($A645="",0,IF(AE645="직접",IF(AF645="비귀속",$P645,0),$P645*(1-AG645)*IFERROR(INDEX(계정대체기준!$F$20:$F$49,MATCH($N645,계정대체기준!$A$20:$A$49,0)),1)))</f>
        <v/>
      </c>
      <c r="Z645" s="94">
        <f>IF($A645="",0,IF(AE645="직접",IF(AF645="신계약비",$P645,0),$P645*(1-AG645)*IFERROR(INDEX(계정대체기준!$C$20:$C$49,MATCH($N645,계정대체기준!$A$20:$A$49,0)),0)))</f>
        <v/>
      </c>
      <c r="AA645" s="94">
        <f>IF($A645="",0,IF(AE645="직접",IF(OR(AF645="유지비",AF645="손해조사비"),$P645,0),$P645*(1-AG645)*IFERROR(INDEX(계정대체기준!$D$20:$D$49,MATCH($N645,계정대체기준!$A$20:$A$49,0)),0)))</f>
        <v/>
      </c>
      <c r="AB645" s="94">
        <f>IF($A645="",0,IF(AE645="직접",IF(AF645="수금비",$P645,0),$P645*(1-AG645)*IFERROR(INDEX(계정대체기준!$E$20:$E$49,MATCH($N645,계정대체기준!$A$20:$A$49,0)),0)))</f>
        <v/>
      </c>
      <c r="AC645" s="9">
        <f>IF(AND($A645&lt;&gt;"",M645=설정!$C$20,Z645&gt;0),Z645+ROW()/1000000000,"")</f>
        <v/>
      </c>
      <c r="AD645" s="94">
        <f>IF($A645="",0,$P645*AG645)</f>
        <v/>
      </c>
      <c r="AE645" s="64">
        <f>IF($A645="","",IFERROR(INDEX(계정매핑!$E$5:$E$504,MATCH($F645&amp;"",계정매핑!$A$5:$A$504,0))&amp;"","공통비"))</f>
        <v/>
      </c>
      <c r="AF645" s="64">
        <f>IF($A645="","",IF(AE645="직접",IFERROR(INDEX(계정매핑!$F$5:$F$504,MATCH($F645&amp;"",계정매핑!$A$5:$A$504,0))&amp;"","비귀속"),""))</f>
        <v/>
      </c>
      <c r="AG645" s="96">
        <f>IF($A645="",0,IF(AND(AE645&lt;&gt;"직접",IFERROR(INDEX(계정매핑!$G$5:$G$504,MATCH($F645&amp;"",계정매핑!$A$5:$A$504,0))&amp;"","")="유지비",COUNTIF(계정대체기준!$A$6:$A$15,$N645)&gt;0),IFERROR(INDEX(계정대체기준!$E$6:$E$15,MATCH(VALUE($A645&amp;""),계정대체기준!$D$6:$D$15,0)),0),0))</f>
        <v/>
      </c>
      <c r="AH645" s="64">
        <f>IF($A645="","",IF(AD645=0,"",IF(OR(COUNTIF(계정대체기준!$A$77:$A$86,$N645)&gt;0,ISNUMBER(MATCH($X645,계정대체기준!$D$77:$D$86,0)),ISNUMBER(MATCH($F645,계정대체기준!$D$77:$D$86,0))),"Y","N")))</f>
        <v/>
      </c>
    </row>
    <row r="646">
      <c r="A646" s="92" t="n">
        <v>2025</v>
      </c>
      <c r="B646" s="92" t="n">
        <v>3</v>
      </c>
      <c r="C646" s="92" t="inlineStr">
        <is>
          <t>5100000642</t>
        </is>
      </c>
      <c r="D646" s="95" t="n">
        <v>45739</v>
      </c>
      <c r="E646" s="92" t="inlineStr">
        <is>
          <t>KR</t>
        </is>
      </c>
      <c r="F646" s="92" t="n">
        <v>62401000</v>
      </c>
      <c r="G646" s="92" t="n">
        <v>1401</v>
      </c>
      <c r="H646" s="93" t="n">
        <v>165000</v>
      </c>
      <c r="I646" s="92" t="inlineStr">
        <is>
          <t>3월 인쇄물 제작 - G인쇄</t>
        </is>
      </c>
      <c r="J646" s="92" t="inlineStr">
        <is>
          <t>V10004</t>
        </is>
      </c>
      <c r="K646" s="92" t="inlineStr">
        <is>
          <t>G인쇄</t>
        </is>
      </c>
      <c r="M646" s="9">
        <f>IF($A646="","",VALUE($A646&amp;"")*12+VALUE($B646&amp;""))</f>
        <v/>
      </c>
      <c r="N646" s="64">
        <f>IF($A646="","",IFERROR(INDEX(부서매핑!$C$5:$C$504,MATCH($G646&amp;"",부서매핑!$A$5:$A$504,0)),"미매핑"))</f>
        <v/>
      </c>
      <c r="O646" s="9">
        <f>IF($A646="","",N646&amp;"|"&amp;$F646)</f>
        <v/>
      </c>
      <c r="P646" s="94">
        <f>IF($A646="",0,$H646*설정!$C$23)</f>
        <v/>
      </c>
      <c r="Q646" s="64">
        <f>IF($A646="","",IF(O646&lt;&gt;원인분석!$C$9,"",IF(AND(M646&gt;=원인분석!$C$10,M646&lt;=원인분석!$C$11),"당기",IF(AND(M646&gt;=원인분석!$C$12,M646&lt;=원인분석!$C$13),"비교",""))))</f>
        <v/>
      </c>
      <c r="R646" s="9">
        <f>IF(Q646="","",$K646&amp;"")</f>
        <v/>
      </c>
      <c r="S646" s="9">
        <f>IF(Q646="","",IF(MATCH(R646,$R$5:$R$100000,0)=ROW()-4,ROW(),""))</f>
        <v/>
      </c>
      <c r="T646" s="9">
        <f>IF(Q646="당기",ABS(P646)+ROW()/1000000000,"")</f>
        <v/>
      </c>
      <c r="U646" s="9">
        <f>IF(Q646="비교",ABS(P646)+ROW()/1000000000,"")</f>
        <v/>
      </c>
      <c r="V646" s="64">
        <f>IF($A646="","",IF(COUNTIF(변동분석!$E$7:$E$506,O646)&gt;0,"Y","N"))</f>
        <v/>
      </c>
      <c r="W646" s="64">
        <f>IF($A646="","",IFERROR(INDEX(계정매핑!$D$5:$D$504,MATCH($F646&amp;"",계정매핑!$A$5:$A$504,0)),"미매핑"))</f>
        <v/>
      </c>
      <c r="X646" s="9">
        <f>IF($A646="","",$F646&amp;"")</f>
        <v/>
      </c>
      <c r="Y646" s="94">
        <f>IF($A646="",0,IF(AE646="직접",IF(AF646="비귀속",$P646,0),$P646*(1-AG646)*IFERROR(INDEX(계정대체기준!$F$20:$F$49,MATCH($N646,계정대체기준!$A$20:$A$49,0)),1)))</f>
        <v/>
      </c>
      <c r="Z646" s="94">
        <f>IF($A646="",0,IF(AE646="직접",IF(AF646="신계약비",$P646,0),$P646*(1-AG646)*IFERROR(INDEX(계정대체기준!$C$20:$C$49,MATCH($N646,계정대체기준!$A$20:$A$49,0)),0)))</f>
        <v/>
      </c>
      <c r="AA646" s="94">
        <f>IF($A646="",0,IF(AE646="직접",IF(OR(AF646="유지비",AF646="손해조사비"),$P646,0),$P646*(1-AG646)*IFERROR(INDEX(계정대체기준!$D$20:$D$49,MATCH($N646,계정대체기준!$A$20:$A$49,0)),0)))</f>
        <v/>
      </c>
      <c r="AB646" s="94">
        <f>IF($A646="",0,IF(AE646="직접",IF(AF646="수금비",$P646,0),$P646*(1-AG646)*IFERROR(INDEX(계정대체기준!$E$20:$E$49,MATCH($N646,계정대체기준!$A$20:$A$49,0)),0)))</f>
        <v/>
      </c>
      <c r="AC646" s="9">
        <f>IF(AND($A646&lt;&gt;"",M646=설정!$C$20,Z646&gt;0),Z646+ROW()/1000000000,"")</f>
        <v/>
      </c>
      <c r="AD646" s="94">
        <f>IF($A646="",0,$P646*AG646)</f>
        <v/>
      </c>
      <c r="AE646" s="64">
        <f>IF($A646="","",IFERROR(INDEX(계정매핑!$E$5:$E$504,MATCH($F646&amp;"",계정매핑!$A$5:$A$504,0))&amp;"","공통비"))</f>
        <v/>
      </c>
      <c r="AF646" s="64">
        <f>IF($A646="","",IF(AE646="직접",IFERROR(INDEX(계정매핑!$F$5:$F$504,MATCH($F646&amp;"",계정매핑!$A$5:$A$504,0))&amp;"","비귀속"),""))</f>
        <v/>
      </c>
      <c r="AG646" s="96">
        <f>IF($A646="",0,IF(AND(AE646&lt;&gt;"직접",IFERROR(INDEX(계정매핑!$G$5:$G$504,MATCH($F646&amp;"",계정매핑!$A$5:$A$504,0))&amp;"","")="유지비",COUNTIF(계정대체기준!$A$6:$A$15,$N646)&gt;0),IFERROR(INDEX(계정대체기준!$E$6:$E$15,MATCH(VALUE($A646&amp;""),계정대체기준!$D$6:$D$15,0)),0),0))</f>
        <v/>
      </c>
      <c r="AH646" s="64">
        <f>IF($A646="","",IF(AD646=0,"",IF(OR(COUNTIF(계정대체기준!$A$77:$A$86,$N646)&gt;0,ISNUMBER(MATCH($X646,계정대체기준!$D$77:$D$86,0)),ISNUMBER(MATCH($F646,계정대체기준!$D$77:$D$86,0))),"Y","N")))</f>
        <v/>
      </c>
    </row>
    <row r="647">
      <c r="A647" s="92" t="n">
        <v>2025</v>
      </c>
      <c r="B647" s="92" t="n">
        <v>3</v>
      </c>
      <c r="C647" s="92" t="inlineStr">
        <is>
          <t>5100000643</t>
        </is>
      </c>
      <c r="D647" s="95" t="n">
        <v>45739</v>
      </c>
      <c r="E647" s="92" t="inlineStr">
        <is>
          <t>KR</t>
        </is>
      </c>
      <c r="F647" s="92" t="n">
        <v>62901000</v>
      </c>
      <c r="G647" s="92" t="n">
        <v>1101</v>
      </c>
      <c r="H647" s="93" t="n">
        <v>3493000</v>
      </c>
      <c r="I647" s="92" t="inlineStr">
        <is>
          <t>3월 자문 수수료 - K회계법인</t>
        </is>
      </c>
      <c r="J647" s="92" t="inlineStr">
        <is>
          <t>V10011</t>
        </is>
      </c>
      <c r="K647" s="92" t="inlineStr">
        <is>
          <t>K회계법인</t>
        </is>
      </c>
      <c r="M647" s="9">
        <f>IF($A647="","",VALUE($A647&amp;"")*12+VALUE($B647&amp;""))</f>
        <v/>
      </c>
      <c r="N647" s="64">
        <f>IF($A647="","",IFERROR(INDEX(부서매핑!$C$5:$C$504,MATCH($G647&amp;"",부서매핑!$A$5:$A$504,0)),"미매핑"))</f>
        <v/>
      </c>
      <c r="O647" s="9">
        <f>IF($A647="","",N647&amp;"|"&amp;$F647)</f>
        <v/>
      </c>
      <c r="P647" s="94">
        <f>IF($A647="",0,$H647*설정!$C$23)</f>
        <v/>
      </c>
      <c r="Q647" s="64">
        <f>IF($A647="","",IF(O647&lt;&gt;원인분석!$C$9,"",IF(AND(M647&gt;=원인분석!$C$10,M647&lt;=원인분석!$C$11),"당기",IF(AND(M647&gt;=원인분석!$C$12,M647&lt;=원인분석!$C$13),"비교",""))))</f>
        <v/>
      </c>
      <c r="R647" s="9">
        <f>IF(Q647="","",$K647&amp;"")</f>
        <v/>
      </c>
      <c r="S647" s="9">
        <f>IF(Q647="","",IF(MATCH(R647,$R$5:$R$100000,0)=ROW()-4,ROW(),""))</f>
        <v/>
      </c>
      <c r="T647" s="9">
        <f>IF(Q647="당기",ABS(P647)+ROW()/1000000000,"")</f>
        <v/>
      </c>
      <c r="U647" s="9">
        <f>IF(Q647="비교",ABS(P647)+ROW()/1000000000,"")</f>
        <v/>
      </c>
      <c r="V647" s="64">
        <f>IF($A647="","",IF(COUNTIF(변동분석!$E$7:$E$506,O647)&gt;0,"Y","N"))</f>
        <v/>
      </c>
      <c r="W647" s="64">
        <f>IF($A647="","",IFERROR(INDEX(계정매핑!$D$5:$D$504,MATCH($F647&amp;"",계정매핑!$A$5:$A$504,0)),"미매핑"))</f>
        <v/>
      </c>
      <c r="X647" s="9">
        <f>IF($A647="","",$F647&amp;"")</f>
        <v/>
      </c>
      <c r="Y647" s="94">
        <f>IF($A647="",0,IF(AE647="직접",IF(AF647="비귀속",$P647,0),$P647*(1-AG647)*IFERROR(INDEX(계정대체기준!$F$20:$F$49,MATCH($N647,계정대체기준!$A$20:$A$49,0)),1)))</f>
        <v/>
      </c>
      <c r="Z647" s="94">
        <f>IF($A647="",0,IF(AE647="직접",IF(AF647="신계약비",$P647,0),$P647*(1-AG647)*IFERROR(INDEX(계정대체기준!$C$20:$C$49,MATCH($N647,계정대체기준!$A$20:$A$49,0)),0)))</f>
        <v/>
      </c>
      <c r="AA647" s="94">
        <f>IF($A647="",0,IF(AE647="직접",IF(OR(AF647="유지비",AF647="손해조사비"),$P647,0),$P647*(1-AG647)*IFERROR(INDEX(계정대체기준!$D$20:$D$49,MATCH($N647,계정대체기준!$A$20:$A$49,0)),0)))</f>
        <v/>
      </c>
      <c r="AB647" s="94">
        <f>IF($A647="",0,IF(AE647="직접",IF(AF647="수금비",$P647,0),$P647*(1-AG647)*IFERROR(INDEX(계정대체기준!$E$20:$E$49,MATCH($N647,계정대체기준!$A$20:$A$49,0)),0)))</f>
        <v/>
      </c>
      <c r="AC647" s="9">
        <f>IF(AND($A647&lt;&gt;"",M647=설정!$C$20,Z647&gt;0),Z647+ROW()/1000000000,"")</f>
        <v/>
      </c>
      <c r="AD647" s="94">
        <f>IF($A647="",0,$P647*AG647)</f>
        <v/>
      </c>
      <c r="AE647" s="64">
        <f>IF($A647="","",IFERROR(INDEX(계정매핑!$E$5:$E$504,MATCH($F647&amp;"",계정매핑!$A$5:$A$504,0))&amp;"","공통비"))</f>
        <v/>
      </c>
      <c r="AF647" s="64">
        <f>IF($A647="","",IF(AE647="직접",IFERROR(INDEX(계정매핑!$F$5:$F$504,MATCH($F647&amp;"",계정매핑!$A$5:$A$504,0))&amp;"","비귀속"),""))</f>
        <v/>
      </c>
      <c r="AG647" s="96">
        <f>IF($A647="",0,IF(AND(AE647&lt;&gt;"직접",IFERROR(INDEX(계정매핑!$G$5:$G$504,MATCH($F647&amp;"",계정매핑!$A$5:$A$504,0))&amp;"","")="유지비",COUNTIF(계정대체기준!$A$6:$A$15,$N647)&gt;0),IFERROR(INDEX(계정대체기준!$E$6:$E$15,MATCH(VALUE($A647&amp;""),계정대체기준!$D$6:$D$15,0)),0),0))</f>
        <v/>
      </c>
      <c r="AH647" s="64">
        <f>IF($A647="","",IF(AD647=0,"",IF(OR(COUNTIF(계정대체기준!$A$77:$A$86,$N647)&gt;0,ISNUMBER(MATCH($X647,계정대체기준!$D$77:$D$86,0)),ISNUMBER(MATCH($F647,계정대체기준!$D$77:$D$86,0))),"Y","N")))</f>
        <v/>
      </c>
    </row>
    <row r="648">
      <c r="A648" s="92" t="n">
        <v>2025</v>
      </c>
      <c r="B648" s="92" t="n">
        <v>3</v>
      </c>
      <c r="C648" s="92" t="inlineStr">
        <is>
          <t>5100000644</t>
        </is>
      </c>
      <c r="D648" s="95" t="n">
        <v>45739</v>
      </c>
      <c r="E648" s="92" t="inlineStr">
        <is>
          <t>KR</t>
        </is>
      </c>
      <c r="F648" s="92" t="n">
        <v>62901000</v>
      </c>
      <c r="G648" s="92" t="n">
        <v>1401</v>
      </c>
      <c r="H648" s="93" t="n">
        <v>4803000</v>
      </c>
      <c r="I648" s="92" t="inlineStr">
        <is>
          <t>3월 자문 수수료 - K회계법인</t>
        </is>
      </c>
      <c r="J648" s="92" t="inlineStr">
        <is>
          <t>V10011</t>
        </is>
      </c>
      <c r="K648" s="92" t="inlineStr">
        <is>
          <t>K회계법인</t>
        </is>
      </c>
      <c r="M648" s="9">
        <f>IF($A648="","",VALUE($A648&amp;"")*12+VALUE($B648&amp;""))</f>
        <v/>
      </c>
      <c r="N648" s="64">
        <f>IF($A648="","",IFERROR(INDEX(부서매핑!$C$5:$C$504,MATCH($G648&amp;"",부서매핑!$A$5:$A$504,0)),"미매핑"))</f>
        <v/>
      </c>
      <c r="O648" s="9">
        <f>IF($A648="","",N648&amp;"|"&amp;$F648)</f>
        <v/>
      </c>
      <c r="P648" s="94">
        <f>IF($A648="",0,$H648*설정!$C$23)</f>
        <v/>
      </c>
      <c r="Q648" s="64">
        <f>IF($A648="","",IF(O648&lt;&gt;원인분석!$C$9,"",IF(AND(M648&gt;=원인분석!$C$10,M648&lt;=원인분석!$C$11),"당기",IF(AND(M648&gt;=원인분석!$C$12,M648&lt;=원인분석!$C$13),"비교",""))))</f>
        <v/>
      </c>
      <c r="R648" s="9">
        <f>IF(Q648="","",$K648&amp;"")</f>
        <v/>
      </c>
      <c r="S648" s="9">
        <f>IF(Q648="","",IF(MATCH(R648,$R$5:$R$100000,0)=ROW()-4,ROW(),""))</f>
        <v/>
      </c>
      <c r="T648" s="9">
        <f>IF(Q648="당기",ABS(P648)+ROW()/1000000000,"")</f>
        <v/>
      </c>
      <c r="U648" s="9">
        <f>IF(Q648="비교",ABS(P648)+ROW()/1000000000,"")</f>
        <v/>
      </c>
      <c r="V648" s="64">
        <f>IF($A648="","",IF(COUNTIF(변동분석!$E$7:$E$506,O648)&gt;0,"Y","N"))</f>
        <v/>
      </c>
      <c r="W648" s="64">
        <f>IF($A648="","",IFERROR(INDEX(계정매핑!$D$5:$D$504,MATCH($F648&amp;"",계정매핑!$A$5:$A$504,0)),"미매핑"))</f>
        <v/>
      </c>
      <c r="X648" s="9">
        <f>IF($A648="","",$F648&amp;"")</f>
        <v/>
      </c>
      <c r="Y648" s="94">
        <f>IF($A648="",0,IF(AE648="직접",IF(AF648="비귀속",$P648,0),$P648*(1-AG648)*IFERROR(INDEX(계정대체기준!$F$20:$F$49,MATCH($N648,계정대체기준!$A$20:$A$49,0)),1)))</f>
        <v/>
      </c>
      <c r="Z648" s="94">
        <f>IF($A648="",0,IF(AE648="직접",IF(AF648="신계약비",$P648,0),$P648*(1-AG648)*IFERROR(INDEX(계정대체기준!$C$20:$C$49,MATCH($N648,계정대체기준!$A$20:$A$49,0)),0)))</f>
        <v/>
      </c>
      <c r="AA648" s="94">
        <f>IF($A648="",0,IF(AE648="직접",IF(OR(AF648="유지비",AF648="손해조사비"),$P648,0),$P648*(1-AG648)*IFERROR(INDEX(계정대체기준!$D$20:$D$49,MATCH($N648,계정대체기준!$A$20:$A$49,0)),0)))</f>
        <v/>
      </c>
      <c r="AB648" s="94">
        <f>IF($A648="",0,IF(AE648="직접",IF(AF648="수금비",$P648,0),$P648*(1-AG648)*IFERROR(INDEX(계정대체기준!$E$20:$E$49,MATCH($N648,계정대체기준!$A$20:$A$49,0)),0)))</f>
        <v/>
      </c>
      <c r="AC648" s="9">
        <f>IF(AND($A648&lt;&gt;"",M648=설정!$C$20,Z648&gt;0),Z648+ROW()/1000000000,"")</f>
        <v/>
      </c>
      <c r="AD648" s="94">
        <f>IF($A648="",0,$P648*AG648)</f>
        <v/>
      </c>
      <c r="AE648" s="64">
        <f>IF($A648="","",IFERROR(INDEX(계정매핑!$E$5:$E$504,MATCH($F648&amp;"",계정매핑!$A$5:$A$504,0))&amp;"","공통비"))</f>
        <v/>
      </c>
      <c r="AF648" s="64">
        <f>IF($A648="","",IF(AE648="직접",IFERROR(INDEX(계정매핑!$F$5:$F$504,MATCH($F648&amp;"",계정매핑!$A$5:$A$504,0))&amp;"","비귀속"),""))</f>
        <v/>
      </c>
      <c r="AG648" s="96">
        <f>IF($A648="",0,IF(AND(AE648&lt;&gt;"직접",IFERROR(INDEX(계정매핑!$G$5:$G$504,MATCH($F648&amp;"",계정매핑!$A$5:$A$504,0))&amp;"","")="유지비",COUNTIF(계정대체기준!$A$6:$A$15,$N648)&gt;0),IFERROR(INDEX(계정대체기준!$E$6:$E$15,MATCH(VALUE($A648&amp;""),계정대체기준!$D$6:$D$15,0)),0),0))</f>
        <v/>
      </c>
      <c r="AH648" s="64">
        <f>IF($A648="","",IF(AD648=0,"",IF(OR(COUNTIF(계정대체기준!$A$77:$A$86,$N648)&gt;0,ISNUMBER(MATCH($X648,계정대체기준!$D$77:$D$86,0)),ISNUMBER(MATCH($F648,계정대체기준!$D$77:$D$86,0))),"Y","N")))</f>
        <v/>
      </c>
    </row>
    <row r="649">
      <c r="A649" s="92" t="n">
        <v>2025</v>
      </c>
      <c r="B649" s="92" t="n">
        <v>3</v>
      </c>
      <c r="C649" s="92" t="inlineStr">
        <is>
          <t>5100000645</t>
        </is>
      </c>
      <c r="D649" s="95" t="n">
        <v>45739</v>
      </c>
      <c r="E649" s="92" t="inlineStr">
        <is>
          <t>KR</t>
        </is>
      </c>
      <c r="F649" s="92" t="n">
        <v>62901000</v>
      </c>
      <c r="G649" s="92" t="n">
        <v>1401</v>
      </c>
      <c r="H649" s="93" t="n">
        <v>5324000</v>
      </c>
      <c r="I649" s="92" t="inlineStr">
        <is>
          <t>3월 자문 수수료 - W컨설팅</t>
        </is>
      </c>
      <c r="J649" s="92" t="inlineStr">
        <is>
          <t>V10006</t>
        </is>
      </c>
      <c r="K649" s="92" t="inlineStr">
        <is>
          <t>W컨설팅</t>
        </is>
      </c>
      <c r="M649" s="9">
        <f>IF($A649="","",VALUE($A649&amp;"")*12+VALUE($B649&amp;""))</f>
        <v/>
      </c>
      <c r="N649" s="64">
        <f>IF($A649="","",IFERROR(INDEX(부서매핑!$C$5:$C$504,MATCH($G649&amp;"",부서매핑!$A$5:$A$504,0)),"미매핑"))</f>
        <v/>
      </c>
      <c r="O649" s="9">
        <f>IF($A649="","",N649&amp;"|"&amp;$F649)</f>
        <v/>
      </c>
      <c r="P649" s="94">
        <f>IF($A649="",0,$H649*설정!$C$23)</f>
        <v/>
      </c>
      <c r="Q649" s="64">
        <f>IF($A649="","",IF(O649&lt;&gt;원인분석!$C$9,"",IF(AND(M649&gt;=원인분석!$C$10,M649&lt;=원인분석!$C$11),"당기",IF(AND(M649&gt;=원인분석!$C$12,M649&lt;=원인분석!$C$13),"비교",""))))</f>
        <v/>
      </c>
      <c r="R649" s="9">
        <f>IF(Q649="","",$K649&amp;"")</f>
        <v/>
      </c>
      <c r="S649" s="9">
        <f>IF(Q649="","",IF(MATCH(R649,$R$5:$R$100000,0)=ROW()-4,ROW(),""))</f>
        <v/>
      </c>
      <c r="T649" s="9">
        <f>IF(Q649="당기",ABS(P649)+ROW()/1000000000,"")</f>
        <v/>
      </c>
      <c r="U649" s="9">
        <f>IF(Q649="비교",ABS(P649)+ROW()/1000000000,"")</f>
        <v/>
      </c>
      <c r="V649" s="64">
        <f>IF($A649="","",IF(COUNTIF(변동분석!$E$7:$E$506,O649)&gt;0,"Y","N"))</f>
        <v/>
      </c>
      <c r="W649" s="64">
        <f>IF($A649="","",IFERROR(INDEX(계정매핑!$D$5:$D$504,MATCH($F649&amp;"",계정매핑!$A$5:$A$504,0)),"미매핑"))</f>
        <v/>
      </c>
      <c r="X649" s="9">
        <f>IF($A649="","",$F649&amp;"")</f>
        <v/>
      </c>
      <c r="Y649" s="94">
        <f>IF($A649="",0,IF(AE649="직접",IF(AF649="비귀속",$P649,0),$P649*(1-AG649)*IFERROR(INDEX(계정대체기준!$F$20:$F$49,MATCH($N649,계정대체기준!$A$20:$A$49,0)),1)))</f>
        <v/>
      </c>
      <c r="Z649" s="94">
        <f>IF($A649="",0,IF(AE649="직접",IF(AF649="신계약비",$P649,0),$P649*(1-AG649)*IFERROR(INDEX(계정대체기준!$C$20:$C$49,MATCH($N649,계정대체기준!$A$20:$A$49,0)),0)))</f>
        <v/>
      </c>
      <c r="AA649" s="94">
        <f>IF($A649="",0,IF(AE649="직접",IF(OR(AF649="유지비",AF649="손해조사비"),$P649,0),$P649*(1-AG649)*IFERROR(INDEX(계정대체기준!$D$20:$D$49,MATCH($N649,계정대체기준!$A$20:$A$49,0)),0)))</f>
        <v/>
      </c>
      <c r="AB649" s="94">
        <f>IF($A649="",0,IF(AE649="직접",IF(AF649="수금비",$P649,0),$P649*(1-AG649)*IFERROR(INDEX(계정대체기준!$E$20:$E$49,MATCH($N649,계정대체기준!$A$20:$A$49,0)),0)))</f>
        <v/>
      </c>
      <c r="AC649" s="9">
        <f>IF(AND($A649&lt;&gt;"",M649=설정!$C$20,Z649&gt;0),Z649+ROW()/1000000000,"")</f>
        <v/>
      </c>
      <c r="AD649" s="94">
        <f>IF($A649="",0,$P649*AG649)</f>
        <v/>
      </c>
      <c r="AE649" s="64">
        <f>IF($A649="","",IFERROR(INDEX(계정매핑!$E$5:$E$504,MATCH($F649&amp;"",계정매핑!$A$5:$A$504,0))&amp;"","공통비"))</f>
        <v/>
      </c>
      <c r="AF649" s="64">
        <f>IF($A649="","",IF(AE649="직접",IFERROR(INDEX(계정매핑!$F$5:$F$504,MATCH($F649&amp;"",계정매핑!$A$5:$A$504,0))&amp;"","비귀속"),""))</f>
        <v/>
      </c>
      <c r="AG649" s="96">
        <f>IF($A649="",0,IF(AND(AE649&lt;&gt;"직접",IFERROR(INDEX(계정매핑!$G$5:$G$504,MATCH($F649&amp;"",계정매핑!$A$5:$A$504,0))&amp;"","")="유지비",COUNTIF(계정대체기준!$A$6:$A$15,$N649)&gt;0),IFERROR(INDEX(계정대체기준!$E$6:$E$15,MATCH(VALUE($A649&amp;""),계정대체기준!$D$6:$D$15,0)),0),0))</f>
        <v/>
      </c>
      <c r="AH649" s="64">
        <f>IF($A649="","",IF(AD649=0,"",IF(OR(COUNTIF(계정대체기준!$A$77:$A$86,$N649)&gt;0,ISNUMBER(MATCH($X649,계정대체기준!$D$77:$D$86,0)),ISNUMBER(MATCH($F649,계정대체기준!$D$77:$D$86,0))),"Y","N")))</f>
        <v/>
      </c>
    </row>
    <row r="650">
      <c r="A650" s="92" t="n">
        <v>2025</v>
      </c>
      <c r="B650" s="92" t="n">
        <v>3</v>
      </c>
      <c r="C650" s="92" t="inlineStr">
        <is>
          <t>5100000646</t>
        </is>
      </c>
      <c r="D650" s="95" t="n">
        <v>45739</v>
      </c>
      <c r="E650" s="92" t="inlineStr">
        <is>
          <t>KR</t>
        </is>
      </c>
      <c r="F650" s="92" t="n">
        <v>63001000</v>
      </c>
      <c r="G650" s="92" t="n">
        <v>1951</v>
      </c>
      <c r="H650" s="93" t="n">
        <v>3082000</v>
      </c>
      <c r="I650" s="92" t="inlineStr">
        <is>
          <t>3월 SW 유지보수 - Z시스템</t>
        </is>
      </c>
      <c r="J650" s="92" t="inlineStr">
        <is>
          <t>V10012</t>
        </is>
      </c>
      <c r="K650" s="92" t="inlineStr">
        <is>
          <t>Z시스템</t>
        </is>
      </c>
      <c r="M650" s="9">
        <f>IF($A650="","",VALUE($A650&amp;"")*12+VALUE($B650&amp;""))</f>
        <v/>
      </c>
      <c r="N650" s="64">
        <f>IF($A650="","",IFERROR(INDEX(부서매핑!$C$5:$C$504,MATCH($G650&amp;"",부서매핑!$A$5:$A$504,0)),"미매핑"))</f>
        <v/>
      </c>
      <c r="O650" s="9">
        <f>IF($A650="","",N650&amp;"|"&amp;$F650)</f>
        <v/>
      </c>
      <c r="P650" s="94">
        <f>IF($A650="",0,$H650*설정!$C$23)</f>
        <v/>
      </c>
      <c r="Q650" s="64">
        <f>IF($A650="","",IF(O650&lt;&gt;원인분석!$C$9,"",IF(AND(M650&gt;=원인분석!$C$10,M650&lt;=원인분석!$C$11),"당기",IF(AND(M650&gt;=원인분석!$C$12,M650&lt;=원인분석!$C$13),"비교",""))))</f>
        <v/>
      </c>
      <c r="R650" s="9">
        <f>IF(Q650="","",$K650&amp;"")</f>
        <v/>
      </c>
      <c r="S650" s="9">
        <f>IF(Q650="","",IF(MATCH(R650,$R$5:$R$100000,0)=ROW()-4,ROW(),""))</f>
        <v/>
      </c>
      <c r="T650" s="9">
        <f>IF(Q650="당기",ABS(P650)+ROW()/1000000000,"")</f>
        <v/>
      </c>
      <c r="U650" s="9">
        <f>IF(Q650="비교",ABS(P650)+ROW()/1000000000,"")</f>
        <v/>
      </c>
      <c r="V650" s="64">
        <f>IF($A650="","",IF(COUNTIF(변동분석!$E$7:$E$506,O650)&gt;0,"Y","N"))</f>
        <v/>
      </c>
      <c r="W650" s="64">
        <f>IF($A650="","",IFERROR(INDEX(계정매핑!$D$5:$D$504,MATCH($F650&amp;"",계정매핑!$A$5:$A$504,0)),"미매핑"))</f>
        <v/>
      </c>
      <c r="X650" s="9">
        <f>IF($A650="","",$F650&amp;"")</f>
        <v/>
      </c>
      <c r="Y650" s="94">
        <f>IF($A650="",0,IF(AE650="직접",IF(AF650="비귀속",$P650,0),$P650*(1-AG650)*IFERROR(INDEX(계정대체기준!$F$20:$F$49,MATCH($N650,계정대체기준!$A$20:$A$49,0)),1)))</f>
        <v/>
      </c>
      <c r="Z650" s="94">
        <f>IF($A650="",0,IF(AE650="직접",IF(AF650="신계약비",$P650,0),$P650*(1-AG650)*IFERROR(INDEX(계정대체기준!$C$20:$C$49,MATCH($N650,계정대체기준!$A$20:$A$49,0)),0)))</f>
        <v/>
      </c>
      <c r="AA650" s="94">
        <f>IF($A650="",0,IF(AE650="직접",IF(OR(AF650="유지비",AF650="손해조사비"),$P650,0),$P650*(1-AG650)*IFERROR(INDEX(계정대체기준!$D$20:$D$49,MATCH($N650,계정대체기준!$A$20:$A$49,0)),0)))</f>
        <v/>
      </c>
      <c r="AB650" s="94">
        <f>IF($A650="",0,IF(AE650="직접",IF(AF650="수금비",$P650,0),$P650*(1-AG650)*IFERROR(INDEX(계정대체기준!$E$20:$E$49,MATCH($N650,계정대체기준!$A$20:$A$49,0)),0)))</f>
        <v/>
      </c>
      <c r="AC650" s="9">
        <f>IF(AND($A650&lt;&gt;"",M650=설정!$C$20,Z650&gt;0),Z650+ROW()/1000000000,"")</f>
        <v/>
      </c>
      <c r="AD650" s="94">
        <f>IF($A650="",0,$P650*AG650)</f>
        <v/>
      </c>
      <c r="AE650" s="64">
        <f>IF($A650="","",IFERROR(INDEX(계정매핑!$E$5:$E$504,MATCH($F650&amp;"",계정매핑!$A$5:$A$504,0))&amp;"","공통비"))</f>
        <v/>
      </c>
      <c r="AF650" s="64">
        <f>IF($A650="","",IF(AE650="직접",IFERROR(INDEX(계정매핑!$F$5:$F$504,MATCH($F650&amp;"",계정매핑!$A$5:$A$504,0))&amp;"","비귀속"),""))</f>
        <v/>
      </c>
      <c r="AG650" s="96">
        <f>IF($A650="",0,IF(AND(AE650&lt;&gt;"직접",IFERROR(INDEX(계정매핑!$G$5:$G$504,MATCH($F650&amp;"",계정매핑!$A$5:$A$504,0))&amp;"","")="유지비",COUNTIF(계정대체기준!$A$6:$A$15,$N650)&gt;0),IFERROR(INDEX(계정대체기준!$E$6:$E$15,MATCH(VALUE($A650&amp;""),계정대체기준!$D$6:$D$15,0)),0),0))</f>
        <v/>
      </c>
      <c r="AH650" s="64">
        <f>IF($A650="","",IF(AD650=0,"",IF(OR(COUNTIF(계정대체기준!$A$77:$A$86,$N650)&gt;0,ISNUMBER(MATCH($X650,계정대체기준!$D$77:$D$86,0)),ISNUMBER(MATCH($F650,계정대체기준!$D$77:$D$86,0))),"Y","N")))</f>
        <v/>
      </c>
    </row>
    <row r="651">
      <c r="A651" s="92" t="n">
        <v>2025</v>
      </c>
      <c r="B651" s="92" t="n">
        <v>3</v>
      </c>
      <c r="C651" s="92" t="inlineStr">
        <is>
          <t>5100000647</t>
        </is>
      </c>
      <c r="D651" s="95" t="n">
        <v>45740</v>
      </c>
      <c r="E651" s="92" t="inlineStr">
        <is>
          <t>KR</t>
        </is>
      </c>
      <c r="F651" s="92" t="n">
        <v>62801000</v>
      </c>
      <c r="G651" s="92" t="n">
        <v>1301</v>
      </c>
      <c r="H651" s="93" t="n">
        <v>3212000</v>
      </c>
      <c r="I651" s="92" t="inlineStr">
        <is>
          <t>3월 사내교육 - U에듀</t>
        </is>
      </c>
      <c r="J651" s="92" t="inlineStr">
        <is>
          <t>V10031</t>
        </is>
      </c>
      <c r="K651" s="92" t="inlineStr">
        <is>
          <t>U에듀</t>
        </is>
      </c>
      <c r="M651" s="9">
        <f>IF($A651="","",VALUE($A651&amp;"")*12+VALUE($B651&amp;""))</f>
        <v/>
      </c>
      <c r="N651" s="64">
        <f>IF($A651="","",IFERROR(INDEX(부서매핑!$C$5:$C$504,MATCH($G651&amp;"",부서매핑!$A$5:$A$504,0)),"미매핑"))</f>
        <v/>
      </c>
      <c r="O651" s="9">
        <f>IF($A651="","",N651&amp;"|"&amp;$F651)</f>
        <v/>
      </c>
      <c r="P651" s="94">
        <f>IF($A651="",0,$H651*설정!$C$23)</f>
        <v/>
      </c>
      <c r="Q651" s="64">
        <f>IF($A651="","",IF(O651&lt;&gt;원인분석!$C$9,"",IF(AND(M651&gt;=원인분석!$C$10,M651&lt;=원인분석!$C$11),"당기",IF(AND(M651&gt;=원인분석!$C$12,M651&lt;=원인분석!$C$13),"비교",""))))</f>
        <v/>
      </c>
      <c r="R651" s="9">
        <f>IF(Q651="","",$K651&amp;"")</f>
        <v/>
      </c>
      <c r="S651" s="9">
        <f>IF(Q651="","",IF(MATCH(R651,$R$5:$R$100000,0)=ROW()-4,ROW(),""))</f>
        <v/>
      </c>
      <c r="T651" s="9">
        <f>IF(Q651="당기",ABS(P651)+ROW()/1000000000,"")</f>
        <v/>
      </c>
      <c r="U651" s="9">
        <f>IF(Q651="비교",ABS(P651)+ROW()/1000000000,"")</f>
        <v/>
      </c>
      <c r="V651" s="64">
        <f>IF($A651="","",IF(COUNTIF(변동분석!$E$7:$E$506,O651)&gt;0,"Y","N"))</f>
        <v/>
      </c>
      <c r="W651" s="64">
        <f>IF($A651="","",IFERROR(INDEX(계정매핑!$D$5:$D$504,MATCH($F651&amp;"",계정매핑!$A$5:$A$504,0)),"미매핑"))</f>
        <v/>
      </c>
      <c r="X651" s="9">
        <f>IF($A651="","",$F651&amp;"")</f>
        <v/>
      </c>
      <c r="Y651" s="94">
        <f>IF($A651="",0,IF(AE651="직접",IF(AF651="비귀속",$P651,0),$P651*(1-AG651)*IFERROR(INDEX(계정대체기준!$F$20:$F$49,MATCH($N651,계정대체기준!$A$20:$A$49,0)),1)))</f>
        <v/>
      </c>
      <c r="Z651" s="94">
        <f>IF($A651="",0,IF(AE651="직접",IF(AF651="신계약비",$P651,0),$P651*(1-AG651)*IFERROR(INDEX(계정대체기준!$C$20:$C$49,MATCH($N651,계정대체기준!$A$20:$A$49,0)),0)))</f>
        <v/>
      </c>
      <c r="AA651" s="94">
        <f>IF($A651="",0,IF(AE651="직접",IF(OR(AF651="유지비",AF651="손해조사비"),$P651,0),$P651*(1-AG651)*IFERROR(INDEX(계정대체기준!$D$20:$D$49,MATCH($N651,계정대체기준!$A$20:$A$49,0)),0)))</f>
        <v/>
      </c>
      <c r="AB651" s="94">
        <f>IF($A651="",0,IF(AE651="직접",IF(AF651="수금비",$P651,0),$P651*(1-AG651)*IFERROR(INDEX(계정대체기준!$E$20:$E$49,MATCH($N651,계정대체기준!$A$20:$A$49,0)),0)))</f>
        <v/>
      </c>
      <c r="AC651" s="9">
        <f>IF(AND($A651&lt;&gt;"",M651=설정!$C$20,Z651&gt;0),Z651+ROW()/1000000000,"")</f>
        <v/>
      </c>
      <c r="AD651" s="94">
        <f>IF($A651="",0,$P651*AG651)</f>
        <v/>
      </c>
      <c r="AE651" s="64">
        <f>IF($A651="","",IFERROR(INDEX(계정매핑!$E$5:$E$504,MATCH($F651&amp;"",계정매핑!$A$5:$A$504,0))&amp;"","공통비"))</f>
        <v/>
      </c>
      <c r="AF651" s="64">
        <f>IF($A651="","",IF(AE651="직접",IFERROR(INDEX(계정매핑!$F$5:$F$504,MATCH($F651&amp;"",계정매핑!$A$5:$A$504,0))&amp;"","비귀속"),""))</f>
        <v/>
      </c>
      <c r="AG651" s="96">
        <f>IF($A651="",0,IF(AND(AE651&lt;&gt;"직접",IFERROR(INDEX(계정매핑!$G$5:$G$504,MATCH($F651&amp;"",계정매핑!$A$5:$A$504,0))&amp;"","")="유지비",COUNTIF(계정대체기준!$A$6:$A$15,$N651)&gt;0),IFERROR(INDEX(계정대체기준!$E$6:$E$15,MATCH(VALUE($A651&amp;""),계정대체기준!$D$6:$D$15,0)),0),0))</f>
        <v/>
      </c>
      <c r="AH651" s="64">
        <f>IF($A651="","",IF(AD651=0,"",IF(OR(COUNTIF(계정대체기준!$A$77:$A$86,$N651)&gt;0,ISNUMBER(MATCH($X651,계정대체기준!$D$77:$D$86,0)),ISNUMBER(MATCH($F651,계정대체기준!$D$77:$D$86,0))),"Y","N")))</f>
        <v/>
      </c>
    </row>
    <row r="652">
      <c r="A652" s="92" t="n">
        <v>2025</v>
      </c>
      <c r="B652" s="92" t="n">
        <v>3</v>
      </c>
      <c r="C652" s="92" t="inlineStr">
        <is>
          <t>5100000648</t>
        </is>
      </c>
      <c r="D652" s="95" t="n">
        <v>45740</v>
      </c>
      <c r="E652" s="92" t="inlineStr">
        <is>
          <t>KR</t>
        </is>
      </c>
      <c r="F652" s="92" t="n">
        <v>62802000</v>
      </c>
      <c r="G652" s="92" t="n">
        <v>1301</v>
      </c>
      <c r="H652" s="93" t="n">
        <v>6005000</v>
      </c>
      <c r="I652" s="92" t="inlineStr">
        <is>
          <t>3월 위탁교육 - I교육원</t>
        </is>
      </c>
      <c r="J652" s="92" t="inlineStr">
        <is>
          <t>V10019</t>
        </is>
      </c>
      <c r="K652" s="92" t="inlineStr">
        <is>
          <t>I교육원</t>
        </is>
      </c>
      <c r="M652" s="9">
        <f>IF($A652="","",VALUE($A652&amp;"")*12+VALUE($B652&amp;""))</f>
        <v/>
      </c>
      <c r="N652" s="64">
        <f>IF($A652="","",IFERROR(INDEX(부서매핑!$C$5:$C$504,MATCH($G652&amp;"",부서매핑!$A$5:$A$504,0)),"미매핑"))</f>
        <v/>
      </c>
      <c r="O652" s="9">
        <f>IF($A652="","",N652&amp;"|"&amp;$F652)</f>
        <v/>
      </c>
      <c r="P652" s="94">
        <f>IF($A652="",0,$H652*설정!$C$23)</f>
        <v/>
      </c>
      <c r="Q652" s="64">
        <f>IF($A652="","",IF(O652&lt;&gt;원인분석!$C$9,"",IF(AND(M652&gt;=원인분석!$C$10,M652&lt;=원인분석!$C$11),"당기",IF(AND(M652&gt;=원인분석!$C$12,M652&lt;=원인분석!$C$13),"비교",""))))</f>
        <v/>
      </c>
      <c r="R652" s="9">
        <f>IF(Q652="","",$K652&amp;"")</f>
        <v/>
      </c>
      <c r="S652" s="9">
        <f>IF(Q652="","",IF(MATCH(R652,$R$5:$R$100000,0)=ROW()-4,ROW(),""))</f>
        <v/>
      </c>
      <c r="T652" s="9">
        <f>IF(Q652="당기",ABS(P652)+ROW()/1000000000,"")</f>
        <v/>
      </c>
      <c r="U652" s="9">
        <f>IF(Q652="비교",ABS(P652)+ROW()/1000000000,"")</f>
        <v/>
      </c>
      <c r="V652" s="64">
        <f>IF($A652="","",IF(COUNTIF(변동분석!$E$7:$E$506,O652)&gt;0,"Y","N"))</f>
        <v/>
      </c>
      <c r="W652" s="64">
        <f>IF($A652="","",IFERROR(INDEX(계정매핑!$D$5:$D$504,MATCH($F652&amp;"",계정매핑!$A$5:$A$504,0)),"미매핑"))</f>
        <v/>
      </c>
      <c r="X652" s="9">
        <f>IF($A652="","",$F652&amp;"")</f>
        <v/>
      </c>
      <c r="Y652" s="94">
        <f>IF($A652="",0,IF(AE652="직접",IF(AF652="비귀속",$P652,0),$P652*(1-AG652)*IFERROR(INDEX(계정대체기준!$F$20:$F$49,MATCH($N652,계정대체기준!$A$20:$A$49,0)),1)))</f>
        <v/>
      </c>
      <c r="Z652" s="94">
        <f>IF($A652="",0,IF(AE652="직접",IF(AF652="신계약비",$P652,0),$P652*(1-AG652)*IFERROR(INDEX(계정대체기준!$C$20:$C$49,MATCH($N652,계정대체기준!$A$20:$A$49,0)),0)))</f>
        <v/>
      </c>
      <c r="AA652" s="94">
        <f>IF($A652="",0,IF(AE652="직접",IF(OR(AF652="유지비",AF652="손해조사비"),$P652,0),$P652*(1-AG652)*IFERROR(INDEX(계정대체기준!$D$20:$D$49,MATCH($N652,계정대체기준!$A$20:$A$49,0)),0)))</f>
        <v/>
      </c>
      <c r="AB652" s="94">
        <f>IF($A652="",0,IF(AE652="직접",IF(AF652="수금비",$P652,0),$P652*(1-AG652)*IFERROR(INDEX(계정대체기준!$E$20:$E$49,MATCH($N652,계정대체기준!$A$20:$A$49,0)),0)))</f>
        <v/>
      </c>
      <c r="AC652" s="9">
        <f>IF(AND($A652&lt;&gt;"",M652=설정!$C$20,Z652&gt;0),Z652+ROW()/1000000000,"")</f>
        <v/>
      </c>
      <c r="AD652" s="94">
        <f>IF($A652="",0,$P652*AG652)</f>
        <v/>
      </c>
      <c r="AE652" s="64">
        <f>IF($A652="","",IFERROR(INDEX(계정매핑!$E$5:$E$504,MATCH($F652&amp;"",계정매핑!$A$5:$A$504,0))&amp;"","공통비"))</f>
        <v/>
      </c>
      <c r="AF652" s="64">
        <f>IF($A652="","",IF(AE652="직접",IFERROR(INDEX(계정매핑!$F$5:$F$504,MATCH($F652&amp;"",계정매핑!$A$5:$A$504,0))&amp;"","비귀속"),""))</f>
        <v/>
      </c>
      <c r="AG652" s="96">
        <f>IF($A652="",0,IF(AND(AE652&lt;&gt;"직접",IFERROR(INDEX(계정매핑!$G$5:$G$504,MATCH($F652&amp;"",계정매핑!$A$5:$A$504,0))&amp;"","")="유지비",COUNTIF(계정대체기준!$A$6:$A$15,$N652)&gt;0),IFERROR(INDEX(계정대체기준!$E$6:$E$15,MATCH(VALUE($A652&amp;""),계정대체기준!$D$6:$D$15,0)),0),0))</f>
        <v/>
      </c>
      <c r="AH652" s="64">
        <f>IF($A652="","",IF(AD652=0,"",IF(OR(COUNTIF(계정대체기준!$A$77:$A$86,$N652)&gt;0,ISNUMBER(MATCH($X652,계정대체기준!$D$77:$D$86,0)),ISNUMBER(MATCH($F652,계정대체기준!$D$77:$D$86,0))),"Y","N")))</f>
        <v/>
      </c>
    </row>
    <row r="653">
      <c r="A653" s="92" t="n">
        <v>2025</v>
      </c>
      <c r="B653" s="92" t="n">
        <v>3</v>
      </c>
      <c r="C653" s="92" t="inlineStr">
        <is>
          <t>5100000649</t>
        </is>
      </c>
      <c r="D653" s="95" t="n">
        <v>45741</v>
      </c>
      <c r="E653" s="92" t="inlineStr">
        <is>
          <t>KR</t>
        </is>
      </c>
      <c r="F653" s="92" t="n">
        <v>62101000</v>
      </c>
      <c r="G653" s="92" t="n">
        <v>1401</v>
      </c>
      <c r="H653" s="93" t="n">
        <v>235000</v>
      </c>
      <c r="I653" s="92" t="inlineStr">
        <is>
          <t>3월 국내출장 - L여행사</t>
        </is>
      </c>
      <c r="J653" s="92" t="inlineStr">
        <is>
          <t>V10018</t>
        </is>
      </c>
      <c r="K653" s="92" t="inlineStr">
        <is>
          <t>L여행사</t>
        </is>
      </c>
      <c r="M653" s="9">
        <f>IF($A653="","",VALUE($A653&amp;"")*12+VALUE($B653&amp;""))</f>
        <v/>
      </c>
      <c r="N653" s="64">
        <f>IF($A653="","",IFERROR(INDEX(부서매핑!$C$5:$C$504,MATCH($G653&amp;"",부서매핑!$A$5:$A$504,0)),"미매핑"))</f>
        <v/>
      </c>
      <c r="O653" s="9">
        <f>IF($A653="","",N653&amp;"|"&amp;$F653)</f>
        <v/>
      </c>
      <c r="P653" s="94">
        <f>IF($A653="",0,$H653*설정!$C$23)</f>
        <v/>
      </c>
      <c r="Q653" s="64">
        <f>IF($A653="","",IF(O653&lt;&gt;원인분석!$C$9,"",IF(AND(M653&gt;=원인분석!$C$10,M653&lt;=원인분석!$C$11),"당기",IF(AND(M653&gt;=원인분석!$C$12,M653&lt;=원인분석!$C$13),"비교",""))))</f>
        <v/>
      </c>
      <c r="R653" s="9">
        <f>IF(Q653="","",$K653&amp;"")</f>
        <v/>
      </c>
      <c r="S653" s="9">
        <f>IF(Q653="","",IF(MATCH(R653,$R$5:$R$100000,0)=ROW()-4,ROW(),""))</f>
        <v/>
      </c>
      <c r="T653" s="9">
        <f>IF(Q653="당기",ABS(P653)+ROW()/1000000000,"")</f>
        <v/>
      </c>
      <c r="U653" s="9">
        <f>IF(Q653="비교",ABS(P653)+ROW()/1000000000,"")</f>
        <v/>
      </c>
      <c r="V653" s="64">
        <f>IF($A653="","",IF(COUNTIF(변동분석!$E$7:$E$506,O653)&gt;0,"Y","N"))</f>
        <v/>
      </c>
      <c r="W653" s="64">
        <f>IF($A653="","",IFERROR(INDEX(계정매핑!$D$5:$D$504,MATCH($F653&amp;"",계정매핑!$A$5:$A$504,0)),"미매핑"))</f>
        <v/>
      </c>
      <c r="X653" s="9">
        <f>IF($A653="","",$F653&amp;"")</f>
        <v/>
      </c>
      <c r="Y653" s="94">
        <f>IF($A653="",0,IF(AE653="직접",IF(AF653="비귀속",$P653,0),$P653*(1-AG653)*IFERROR(INDEX(계정대체기준!$F$20:$F$49,MATCH($N653,계정대체기준!$A$20:$A$49,0)),1)))</f>
        <v/>
      </c>
      <c r="Z653" s="94">
        <f>IF($A653="",0,IF(AE653="직접",IF(AF653="신계약비",$P653,0),$P653*(1-AG653)*IFERROR(INDEX(계정대체기준!$C$20:$C$49,MATCH($N653,계정대체기준!$A$20:$A$49,0)),0)))</f>
        <v/>
      </c>
      <c r="AA653" s="94">
        <f>IF($A653="",0,IF(AE653="직접",IF(OR(AF653="유지비",AF653="손해조사비"),$P653,0),$P653*(1-AG653)*IFERROR(INDEX(계정대체기준!$D$20:$D$49,MATCH($N653,계정대체기준!$A$20:$A$49,0)),0)))</f>
        <v/>
      </c>
      <c r="AB653" s="94">
        <f>IF($A653="",0,IF(AE653="직접",IF(AF653="수금비",$P653,0),$P653*(1-AG653)*IFERROR(INDEX(계정대체기준!$E$20:$E$49,MATCH($N653,계정대체기준!$A$20:$A$49,0)),0)))</f>
        <v/>
      </c>
      <c r="AC653" s="9">
        <f>IF(AND($A653&lt;&gt;"",M653=설정!$C$20,Z653&gt;0),Z653+ROW()/1000000000,"")</f>
        <v/>
      </c>
      <c r="AD653" s="94">
        <f>IF($A653="",0,$P653*AG653)</f>
        <v/>
      </c>
      <c r="AE653" s="64">
        <f>IF($A653="","",IFERROR(INDEX(계정매핑!$E$5:$E$504,MATCH($F653&amp;"",계정매핑!$A$5:$A$504,0))&amp;"","공통비"))</f>
        <v/>
      </c>
      <c r="AF653" s="64">
        <f>IF($A653="","",IF(AE653="직접",IFERROR(INDEX(계정매핑!$F$5:$F$504,MATCH($F653&amp;"",계정매핑!$A$5:$A$504,0))&amp;"","비귀속"),""))</f>
        <v/>
      </c>
      <c r="AG653" s="96">
        <f>IF($A653="",0,IF(AND(AE653&lt;&gt;"직접",IFERROR(INDEX(계정매핑!$G$5:$G$504,MATCH($F653&amp;"",계정매핑!$A$5:$A$504,0))&amp;"","")="유지비",COUNTIF(계정대체기준!$A$6:$A$15,$N653)&gt;0),IFERROR(INDEX(계정대체기준!$E$6:$E$15,MATCH(VALUE($A653&amp;""),계정대체기준!$D$6:$D$15,0)),0),0))</f>
        <v/>
      </c>
      <c r="AH653" s="64">
        <f>IF($A653="","",IF(AD653=0,"",IF(OR(COUNTIF(계정대체기준!$A$77:$A$86,$N653)&gt;0,ISNUMBER(MATCH($X653,계정대체기준!$D$77:$D$86,0)),ISNUMBER(MATCH($F653,계정대체기준!$D$77:$D$86,0))),"Y","N")))</f>
        <v/>
      </c>
    </row>
    <row r="654">
      <c r="A654" s="92" t="n">
        <v>2025</v>
      </c>
      <c r="B654" s="92" t="n">
        <v>3</v>
      </c>
      <c r="C654" s="92" t="inlineStr">
        <is>
          <t>5100000650</t>
        </is>
      </c>
      <c r="D654" s="95" t="n">
        <v>45741</v>
      </c>
      <c r="E654" s="92" t="inlineStr">
        <is>
          <t>KR</t>
        </is>
      </c>
      <c r="F654" s="92" t="n">
        <v>62101000</v>
      </c>
      <c r="G654" s="92" t="n">
        <v>1502</v>
      </c>
      <c r="H654" s="93" t="n">
        <v>646000</v>
      </c>
      <c r="I654" s="92" t="inlineStr">
        <is>
          <t>3월 국내출장 - M항공</t>
        </is>
      </c>
      <c r="J654" s="92" t="inlineStr">
        <is>
          <t>V10001</t>
        </is>
      </c>
      <c r="K654" s="92" t="inlineStr">
        <is>
          <t>M항공</t>
        </is>
      </c>
      <c r="M654" s="9">
        <f>IF($A654="","",VALUE($A654&amp;"")*12+VALUE($B654&amp;""))</f>
        <v/>
      </c>
      <c r="N654" s="64">
        <f>IF($A654="","",IFERROR(INDEX(부서매핑!$C$5:$C$504,MATCH($G654&amp;"",부서매핑!$A$5:$A$504,0)),"미매핑"))</f>
        <v/>
      </c>
      <c r="O654" s="9">
        <f>IF($A654="","",N654&amp;"|"&amp;$F654)</f>
        <v/>
      </c>
      <c r="P654" s="94">
        <f>IF($A654="",0,$H654*설정!$C$23)</f>
        <v/>
      </c>
      <c r="Q654" s="64">
        <f>IF($A654="","",IF(O654&lt;&gt;원인분석!$C$9,"",IF(AND(M654&gt;=원인분석!$C$10,M654&lt;=원인분석!$C$11),"당기",IF(AND(M654&gt;=원인분석!$C$12,M654&lt;=원인분석!$C$13),"비교",""))))</f>
        <v/>
      </c>
      <c r="R654" s="9">
        <f>IF(Q654="","",$K654&amp;"")</f>
        <v/>
      </c>
      <c r="S654" s="9">
        <f>IF(Q654="","",IF(MATCH(R654,$R$5:$R$100000,0)=ROW()-4,ROW(),""))</f>
        <v/>
      </c>
      <c r="T654" s="9">
        <f>IF(Q654="당기",ABS(P654)+ROW()/1000000000,"")</f>
        <v/>
      </c>
      <c r="U654" s="9">
        <f>IF(Q654="비교",ABS(P654)+ROW()/1000000000,"")</f>
        <v/>
      </c>
      <c r="V654" s="64">
        <f>IF($A654="","",IF(COUNTIF(변동분석!$E$7:$E$506,O654)&gt;0,"Y","N"))</f>
        <v/>
      </c>
      <c r="W654" s="64">
        <f>IF($A654="","",IFERROR(INDEX(계정매핑!$D$5:$D$504,MATCH($F654&amp;"",계정매핑!$A$5:$A$504,0)),"미매핑"))</f>
        <v/>
      </c>
      <c r="X654" s="9">
        <f>IF($A654="","",$F654&amp;"")</f>
        <v/>
      </c>
      <c r="Y654" s="94">
        <f>IF($A654="",0,IF(AE654="직접",IF(AF654="비귀속",$P654,0),$P654*(1-AG654)*IFERROR(INDEX(계정대체기준!$F$20:$F$49,MATCH($N654,계정대체기준!$A$20:$A$49,0)),1)))</f>
        <v/>
      </c>
      <c r="Z654" s="94">
        <f>IF($A654="",0,IF(AE654="직접",IF(AF654="신계약비",$P654,0),$P654*(1-AG654)*IFERROR(INDEX(계정대체기준!$C$20:$C$49,MATCH($N654,계정대체기준!$A$20:$A$49,0)),0)))</f>
        <v/>
      </c>
      <c r="AA654" s="94">
        <f>IF($A654="",0,IF(AE654="직접",IF(OR(AF654="유지비",AF654="손해조사비"),$P654,0),$P654*(1-AG654)*IFERROR(INDEX(계정대체기준!$D$20:$D$49,MATCH($N654,계정대체기준!$A$20:$A$49,0)),0)))</f>
        <v/>
      </c>
      <c r="AB654" s="94">
        <f>IF($A654="",0,IF(AE654="직접",IF(AF654="수금비",$P654,0),$P654*(1-AG654)*IFERROR(INDEX(계정대체기준!$E$20:$E$49,MATCH($N654,계정대체기준!$A$20:$A$49,0)),0)))</f>
        <v/>
      </c>
      <c r="AC654" s="9">
        <f>IF(AND($A654&lt;&gt;"",M654=설정!$C$20,Z654&gt;0),Z654+ROW()/1000000000,"")</f>
        <v/>
      </c>
      <c r="AD654" s="94">
        <f>IF($A654="",0,$P654*AG654)</f>
        <v/>
      </c>
      <c r="AE654" s="64">
        <f>IF($A654="","",IFERROR(INDEX(계정매핑!$E$5:$E$504,MATCH($F654&amp;"",계정매핑!$A$5:$A$504,0))&amp;"","공통비"))</f>
        <v/>
      </c>
      <c r="AF654" s="64">
        <f>IF($A654="","",IF(AE654="직접",IFERROR(INDEX(계정매핑!$F$5:$F$504,MATCH($F654&amp;"",계정매핑!$A$5:$A$504,0))&amp;"","비귀속"),""))</f>
        <v/>
      </c>
      <c r="AG654" s="96">
        <f>IF($A654="",0,IF(AND(AE654&lt;&gt;"직접",IFERROR(INDEX(계정매핑!$G$5:$G$504,MATCH($F654&amp;"",계정매핑!$A$5:$A$504,0))&amp;"","")="유지비",COUNTIF(계정대체기준!$A$6:$A$15,$N654)&gt;0),IFERROR(INDEX(계정대체기준!$E$6:$E$15,MATCH(VALUE($A654&amp;""),계정대체기준!$D$6:$D$15,0)),0),0))</f>
        <v/>
      </c>
      <c r="AH654" s="64">
        <f>IF($A654="","",IF(AD654=0,"",IF(OR(COUNTIF(계정대체기준!$A$77:$A$86,$N654)&gt;0,ISNUMBER(MATCH($X654,계정대체기준!$D$77:$D$86,0)),ISNUMBER(MATCH($F654,계정대체기준!$D$77:$D$86,0))),"Y","N")))</f>
        <v/>
      </c>
    </row>
    <row r="655">
      <c r="A655" s="92" t="n">
        <v>2025</v>
      </c>
      <c r="B655" s="92" t="n">
        <v>3</v>
      </c>
      <c r="C655" s="92" t="inlineStr">
        <is>
          <t>5100000651</t>
        </is>
      </c>
      <c r="D655" s="95" t="n">
        <v>45741</v>
      </c>
      <c r="E655" s="92" t="inlineStr">
        <is>
          <t>KR</t>
        </is>
      </c>
      <c r="F655" s="92" t="n">
        <v>62101000</v>
      </c>
      <c r="G655" s="92" t="n">
        <v>1602</v>
      </c>
      <c r="H655" s="93" t="n">
        <v>1284000</v>
      </c>
      <c r="I655" s="92" t="inlineStr">
        <is>
          <t>3월 국내출장 - L여행사</t>
        </is>
      </c>
      <c r="J655" s="92" t="inlineStr">
        <is>
          <t>V10018</t>
        </is>
      </c>
      <c r="K655" s="92" t="inlineStr">
        <is>
          <t>L여행사</t>
        </is>
      </c>
      <c r="M655" s="9">
        <f>IF($A655="","",VALUE($A655&amp;"")*12+VALUE($B655&amp;""))</f>
        <v/>
      </c>
      <c r="N655" s="64">
        <f>IF($A655="","",IFERROR(INDEX(부서매핑!$C$5:$C$504,MATCH($G655&amp;"",부서매핑!$A$5:$A$504,0)),"미매핑"))</f>
        <v/>
      </c>
      <c r="O655" s="9">
        <f>IF($A655="","",N655&amp;"|"&amp;$F655)</f>
        <v/>
      </c>
      <c r="P655" s="94">
        <f>IF($A655="",0,$H655*설정!$C$23)</f>
        <v/>
      </c>
      <c r="Q655" s="64">
        <f>IF($A655="","",IF(O655&lt;&gt;원인분석!$C$9,"",IF(AND(M655&gt;=원인분석!$C$10,M655&lt;=원인분석!$C$11),"당기",IF(AND(M655&gt;=원인분석!$C$12,M655&lt;=원인분석!$C$13),"비교",""))))</f>
        <v/>
      </c>
      <c r="R655" s="9">
        <f>IF(Q655="","",$K655&amp;"")</f>
        <v/>
      </c>
      <c r="S655" s="9">
        <f>IF(Q655="","",IF(MATCH(R655,$R$5:$R$100000,0)=ROW()-4,ROW(),""))</f>
        <v/>
      </c>
      <c r="T655" s="9">
        <f>IF(Q655="당기",ABS(P655)+ROW()/1000000000,"")</f>
        <v/>
      </c>
      <c r="U655" s="9">
        <f>IF(Q655="비교",ABS(P655)+ROW()/1000000000,"")</f>
        <v/>
      </c>
      <c r="V655" s="64">
        <f>IF($A655="","",IF(COUNTIF(변동분석!$E$7:$E$506,O655)&gt;0,"Y","N"))</f>
        <v/>
      </c>
      <c r="W655" s="64">
        <f>IF($A655="","",IFERROR(INDEX(계정매핑!$D$5:$D$504,MATCH($F655&amp;"",계정매핑!$A$5:$A$504,0)),"미매핑"))</f>
        <v/>
      </c>
      <c r="X655" s="9">
        <f>IF($A655="","",$F655&amp;"")</f>
        <v/>
      </c>
      <c r="Y655" s="94">
        <f>IF($A655="",0,IF(AE655="직접",IF(AF655="비귀속",$P655,0),$P655*(1-AG655)*IFERROR(INDEX(계정대체기준!$F$20:$F$49,MATCH($N655,계정대체기준!$A$20:$A$49,0)),1)))</f>
        <v/>
      </c>
      <c r="Z655" s="94">
        <f>IF($A655="",0,IF(AE655="직접",IF(AF655="신계약비",$P655,0),$P655*(1-AG655)*IFERROR(INDEX(계정대체기준!$C$20:$C$49,MATCH($N655,계정대체기준!$A$20:$A$49,0)),0)))</f>
        <v/>
      </c>
      <c r="AA655" s="94">
        <f>IF($A655="",0,IF(AE655="직접",IF(OR(AF655="유지비",AF655="손해조사비"),$P655,0),$P655*(1-AG655)*IFERROR(INDEX(계정대체기준!$D$20:$D$49,MATCH($N655,계정대체기준!$A$20:$A$49,0)),0)))</f>
        <v/>
      </c>
      <c r="AB655" s="94">
        <f>IF($A655="",0,IF(AE655="직접",IF(AF655="수금비",$P655,0),$P655*(1-AG655)*IFERROR(INDEX(계정대체기준!$E$20:$E$49,MATCH($N655,계정대체기준!$A$20:$A$49,0)),0)))</f>
        <v/>
      </c>
      <c r="AC655" s="9">
        <f>IF(AND($A655&lt;&gt;"",M655=설정!$C$20,Z655&gt;0),Z655+ROW()/1000000000,"")</f>
        <v/>
      </c>
      <c r="AD655" s="94">
        <f>IF($A655="",0,$P655*AG655)</f>
        <v/>
      </c>
      <c r="AE655" s="64">
        <f>IF($A655="","",IFERROR(INDEX(계정매핑!$E$5:$E$504,MATCH($F655&amp;"",계정매핑!$A$5:$A$504,0))&amp;"","공통비"))</f>
        <v/>
      </c>
      <c r="AF655" s="64">
        <f>IF($A655="","",IF(AE655="직접",IFERROR(INDEX(계정매핑!$F$5:$F$504,MATCH($F655&amp;"",계정매핑!$A$5:$A$504,0))&amp;"","비귀속"),""))</f>
        <v/>
      </c>
      <c r="AG655" s="96">
        <f>IF($A655="",0,IF(AND(AE655&lt;&gt;"직접",IFERROR(INDEX(계정매핑!$G$5:$G$504,MATCH($F655&amp;"",계정매핑!$A$5:$A$504,0))&amp;"","")="유지비",COUNTIF(계정대체기준!$A$6:$A$15,$N655)&gt;0),IFERROR(INDEX(계정대체기준!$E$6:$E$15,MATCH(VALUE($A655&amp;""),계정대체기준!$D$6:$D$15,0)),0),0))</f>
        <v/>
      </c>
      <c r="AH655" s="64">
        <f>IF($A655="","",IF(AD655=0,"",IF(OR(COUNTIF(계정대체기준!$A$77:$A$86,$N655)&gt;0,ISNUMBER(MATCH($X655,계정대체기준!$D$77:$D$86,0)),ISNUMBER(MATCH($F655,계정대체기준!$D$77:$D$86,0))),"Y","N")))</f>
        <v/>
      </c>
    </row>
    <row r="656">
      <c r="A656" s="92" t="n">
        <v>2025</v>
      </c>
      <c r="B656" s="92" t="n">
        <v>3</v>
      </c>
      <c r="C656" s="92" t="inlineStr">
        <is>
          <t>5100000652</t>
        </is>
      </c>
      <c r="D656" s="95" t="n">
        <v>45741</v>
      </c>
      <c r="E656" s="92" t="inlineStr">
        <is>
          <t>KR</t>
        </is>
      </c>
      <c r="F656" s="92" t="n">
        <v>62101000</v>
      </c>
      <c r="G656" s="92" t="n">
        <v>1801</v>
      </c>
      <c r="H656" s="93" t="n">
        <v>174000</v>
      </c>
      <c r="I656" s="92" t="inlineStr">
        <is>
          <t>3월 국내출장 - (법인카드)</t>
        </is>
      </c>
      <c r="J656" s="92" t="inlineStr">
        <is>
          <t>V10010</t>
        </is>
      </c>
      <c r="K656" s="92" t="inlineStr">
        <is>
          <t>(법인카드)</t>
        </is>
      </c>
      <c r="M656" s="9">
        <f>IF($A656="","",VALUE($A656&amp;"")*12+VALUE($B656&amp;""))</f>
        <v/>
      </c>
      <c r="N656" s="64">
        <f>IF($A656="","",IFERROR(INDEX(부서매핑!$C$5:$C$504,MATCH($G656&amp;"",부서매핑!$A$5:$A$504,0)),"미매핑"))</f>
        <v/>
      </c>
      <c r="O656" s="9">
        <f>IF($A656="","",N656&amp;"|"&amp;$F656)</f>
        <v/>
      </c>
      <c r="P656" s="94">
        <f>IF($A656="",0,$H656*설정!$C$23)</f>
        <v/>
      </c>
      <c r="Q656" s="64">
        <f>IF($A656="","",IF(O656&lt;&gt;원인분석!$C$9,"",IF(AND(M656&gt;=원인분석!$C$10,M656&lt;=원인분석!$C$11),"당기",IF(AND(M656&gt;=원인분석!$C$12,M656&lt;=원인분석!$C$13),"비교",""))))</f>
        <v/>
      </c>
      <c r="R656" s="9">
        <f>IF(Q656="","",$K656&amp;"")</f>
        <v/>
      </c>
      <c r="S656" s="9">
        <f>IF(Q656="","",IF(MATCH(R656,$R$5:$R$100000,0)=ROW()-4,ROW(),""))</f>
        <v/>
      </c>
      <c r="T656" s="9">
        <f>IF(Q656="당기",ABS(P656)+ROW()/1000000000,"")</f>
        <v/>
      </c>
      <c r="U656" s="9">
        <f>IF(Q656="비교",ABS(P656)+ROW()/1000000000,"")</f>
        <v/>
      </c>
      <c r="V656" s="64">
        <f>IF($A656="","",IF(COUNTIF(변동분석!$E$7:$E$506,O656)&gt;0,"Y","N"))</f>
        <v/>
      </c>
      <c r="W656" s="64">
        <f>IF($A656="","",IFERROR(INDEX(계정매핑!$D$5:$D$504,MATCH($F656&amp;"",계정매핑!$A$5:$A$504,0)),"미매핑"))</f>
        <v/>
      </c>
      <c r="X656" s="9">
        <f>IF($A656="","",$F656&amp;"")</f>
        <v/>
      </c>
      <c r="Y656" s="94">
        <f>IF($A656="",0,IF(AE656="직접",IF(AF656="비귀속",$P656,0),$P656*(1-AG656)*IFERROR(INDEX(계정대체기준!$F$20:$F$49,MATCH($N656,계정대체기준!$A$20:$A$49,0)),1)))</f>
        <v/>
      </c>
      <c r="Z656" s="94">
        <f>IF($A656="",0,IF(AE656="직접",IF(AF656="신계약비",$P656,0),$P656*(1-AG656)*IFERROR(INDEX(계정대체기준!$C$20:$C$49,MATCH($N656,계정대체기준!$A$20:$A$49,0)),0)))</f>
        <v/>
      </c>
      <c r="AA656" s="94">
        <f>IF($A656="",0,IF(AE656="직접",IF(OR(AF656="유지비",AF656="손해조사비"),$P656,0),$P656*(1-AG656)*IFERROR(INDEX(계정대체기준!$D$20:$D$49,MATCH($N656,계정대체기준!$A$20:$A$49,0)),0)))</f>
        <v/>
      </c>
      <c r="AB656" s="94">
        <f>IF($A656="",0,IF(AE656="직접",IF(AF656="수금비",$P656,0),$P656*(1-AG656)*IFERROR(INDEX(계정대체기준!$E$20:$E$49,MATCH($N656,계정대체기준!$A$20:$A$49,0)),0)))</f>
        <v/>
      </c>
      <c r="AC656" s="9">
        <f>IF(AND($A656&lt;&gt;"",M656=설정!$C$20,Z656&gt;0),Z656+ROW()/1000000000,"")</f>
        <v/>
      </c>
      <c r="AD656" s="94">
        <f>IF($A656="",0,$P656*AG656)</f>
        <v/>
      </c>
      <c r="AE656" s="64">
        <f>IF($A656="","",IFERROR(INDEX(계정매핑!$E$5:$E$504,MATCH($F656&amp;"",계정매핑!$A$5:$A$504,0))&amp;"","공통비"))</f>
        <v/>
      </c>
      <c r="AF656" s="64">
        <f>IF($A656="","",IF(AE656="직접",IFERROR(INDEX(계정매핑!$F$5:$F$504,MATCH($F656&amp;"",계정매핑!$A$5:$A$504,0))&amp;"","비귀속"),""))</f>
        <v/>
      </c>
      <c r="AG656" s="96">
        <f>IF($A656="",0,IF(AND(AE656&lt;&gt;"직접",IFERROR(INDEX(계정매핑!$G$5:$G$504,MATCH($F656&amp;"",계정매핑!$A$5:$A$504,0))&amp;"","")="유지비",COUNTIF(계정대체기준!$A$6:$A$15,$N656)&gt;0),IFERROR(INDEX(계정대체기준!$E$6:$E$15,MATCH(VALUE($A656&amp;""),계정대체기준!$D$6:$D$15,0)),0),0))</f>
        <v/>
      </c>
      <c r="AH656" s="64">
        <f>IF($A656="","",IF(AD656=0,"",IF(OR(COUNTIF(계정대체기준!$A$77:$A$86,$N656)&gt;0,ISNUMBER(MATCH($X656,계정대체기준!$D$77:$D$86,0)),ISNUMBER(MATCH($F656,계정대체기준!$D$77:$D$86,0))),"Y","N")))</f>
        <v/>
      </c>
    </row>
    <row r="657">
      <c r="A657" s="92" t="n">
        <v>2025</v>
      </c>
      <c r="B657" s="92" t="n">
        <v>3</v>
      </c>
      <c r="C657" s="92" t="inlineStr">
        <is>
          <t>5100000653</t>
        </is>
      </c>
      <c r="D657" s="95" t="n">
        <v>45741</v>
      </c>
      <c r="E657" s="92" t="inlineStr">
        <is>
          <t>KR</t>
        </is>
      </c>
      <c r="F657" s="92" t="n">
        <v>62102000</v>
      </c>
      <c r="G657" s="92" t="n">
        <v>1401</v>
      </c>
      <c r="H657" s="93" t="n">
        <v>108000</v>
      </c>
      <c r="I657" s="92" t="inlineStr">
        <is>
          <t>3월 해외출장 - M항공</t>
        </is>
      </c>
      <c r="J657" s="92" t="inlineStr">
        <is>
          <t>V10001</t>
        </is>
      </c>
      <c r="K657" s="92" t="inlineStr">
        <is>
          <t>M항공</t>
        </is>
      </c>
      <c r="M657" s="9">
        <f>IF($A657="","",VALUE($A657&amp;"")*12+VALUE($B657&amp;""))</f>
        <v/>
      </c>
      <c r="N657" s="64">
        <f>IF($A657="","",IFERROR(INDEX(부서매핑!$C$5:$C$504,MATCH($G657&amp;"",부서매핑!$A$5:$A$504,0)),"미매핑"))</f>
        <v/>
      </c>
      <c r="O657" s="9">
        <f>IF($A657="","",N657&amp;"|"&amp;$F657)</f>
        <v/>
      </c>
      <c r="P657" s="94">
        <f>IF($A657="",0,$H657*설정!$C$23)</f>
        <v/>
      </c>
      <c r="Q657" s="64">
        <f>IF($A657="","",IF(O657&lt;&gt;원인분석!$C$9,"",IF(AND(M657&gt;=원인분석!$C$10,M657&lt;=원인분석!$C$11),"당기",IF(AND(M657&gt;=원인분석!$C$12,M657&lt;=원인분석!$C$13),"비교",""))))</f>
        <v/>
      </c>
      <c r="R657" s="9">
        <f>IF(Q657="","",$K657&amp;"")</f>
        <v/>
      </c>
      <c r="S657" s="9">
        <f>IF(Q657="","",IF(MATCH(R657,$R$5:$R$100000,0)=ROW()-4,ROW(),""))</f>
        <v/>
      </c>
      <c r="T657" s="9">
        <f>IF(Q657="당기",ABS(P657)+ROW()/1000000000,"")</f>
        <v/>
      </c>
      <c r="U657" s="9">
        <f>IF(Q657="비교",ABS(P657)+ROW()/1000000000,"")</f>
        <v/>
      </c>
      <c r="V657" s="64">
        <f>IF($A657="","",IF(COUNTIF(변동분석!$E$7:$E$506,O657)&gt;0,"Y","N"))</f>
        <v/>
      </c>
      <c r="W657" s="64">
        <f>IF($A657="","",IFERROR(INDEX(계정매핑!$D$5:$D$504,MATCH($F657&amp;"",계정매핑!$A$5:$A$504,0)),"미매핑"))</f>
        <v/>
      </c>
      <c r="X657" s="9">
        <f>IF($A657="","",$F657&amp;"")</f>
        <v/>
      </c>
      <c r="Y657" s="94">
        <f>IF($A657="",0,IF(AE657="직접",IF(AF657="비귀속",$P657,0),$P657*(1-AG657)*IFERROR(INDEX(계정대체기준!$F$20:$F$49,MATCH($N657,계정대체기준!$A$20:$A$49,0)),1)))</f>
        <v/>
      </c>
      <c r="Z657" s="94">
        <f>IF($A657="",0,IF(AE657="직접",IF(AF657="신계약비",$P657,0),$P657*(1-AG657)*IFERROR(INDEX(계정대체기준!$C$20:$C$49,MATCH($N657,계정대체기준!$A$20:$A$49,0)),0)))</f>
        <v/>
      </c>
      <c r="AA657" s="94">
        <f>IF($A657="",0,IF(AE657="직접",IF(OR(AF657="유지비",AF657="손해조사비"),$P657,0),$P657*(1-AG657)*IFERROR(INDEX(계정대체기준!$D$20:$D$49,MATCH($N657,계정대체기준!$A$20:$A$49,0)),0)))</f>
        <v/>
      </c>
      <c r="AB657" s="94">
        <f>IF($A657="",0,IF(AE657="직접",IF(AF657="수금비",$P657,0),$P657*(1-AG657)*IFERROR(INDEX(계정대체기준!$E$20:$E$49,MATCH($N657,계정대체기준!$A$20:$A$49,0)),0)))</f>
        <v/>
      </c>
      <c r="AC657" s="9">
        <f>IF(AND($A657&lt;&gt;"",M657=설정!$C$20,Z657&gt;0),Z657+ROW()/1000000000,"")</f>
        <v/>
      </c>
      <c r="AD657" s="94">
        <f>IF($A657="",0,$P657*AG657)</f>
        <v/>
      </c>
      <c r="AE657" s="64">
        <f>IF($A657="","",IFERROR(INDEX(계정매핑!$E$5:$E$504,MATCH($F657&amp;"",계정매핑!$A$5:$A$504,0))&amp;"","공통비"))</f>
        <v/>
      </c>
      <c r="AF657" s="64">
        <f>IF($A657="","",IF(AE657="직접",IFERROR(INDEX(계정매핑!$F$5:$F$504,MATCH($F657&amp;"",계정매핑!$A$5:$A$504,0))&amp;"","비귀속"),""))</f>
        <v/>
      </c>
      <c r="AG657" s="96">
        <f>IF($A657="",0,IF(AND(AE657&lt;&gt;"직접",IFERROR(INDEX(계정매핑!$G$5:$G$504,MATCH($F657&amp;"",계정매핑!$A$5:$A$504,0))&amp;"","")="유지비",COUNTIF(계정대체기준!$A$6:$A$15,$N657)&gt;0),IFERROR(INDEX(계정대체기준!$E$6:$E$15,MATCH(VALUE($A657&amp;""),계정대체기준!$D$6:$D$15,0)),0),0))</f>
        <v/>
      </c>
      <c r="AH657" s="64">
        <f>IF($A657="","",IF(AD657=0,"",IF(OR(COUNTIF(계정대체기준!$A$77:$A$86,$N657)&gt;0,ISNUMBER(MATCH($X657,계정대체기준!$D$77:$D$86,0)),ISNUMBER(MATCH($F657,계정대체기준!$D$77:$D$86,0))),"Y","N")))</f>
        <v/>
      </c>
    </row>
    <row r="658">
      <c r="A658" s="92" t="n">
        <v>2025</v>
      </c>
      <c r="B658" s="92" t="n">
        <v>3</v>
      </c>
      <c r="C658" s="92" t="inlineStr">
        <is>
          <t>5100000654</t>
        </is>
      </c>
      <c r="D658" s="95" t="n">
        <v>45741</v>
      </c>
      <c r="E658" s="92" t="inlineStr">
        <is>
          <t>KR</t>
        </is>
      </c>
      <c r="F658" s="92" t="n">
        <v>62102000</v>
      </c>
      <c r="G658" s="92" t="n">
        <v>1602</v>
      </c>
      <c r="H658" s="93" t="n">
        <v>284000</v>
      </c>
      <c r="I658" s="92" t="inlineStr">
        <is>
          <t>3월 해외출장 - N호텔</t>
        </is>
      </c>
      <c r="J658" s="92" t="inlineStr">
        <is>
          <t>V10009</t>
        </is>
      </c>
      <c r="K658" s="92" t="inlineStr">
        <is>
          <t>N호텔</t>
        </is>
      </c>
      <c r="M658" s="9">
        <f>IF($A658="","",VALUE($A658&amp;"")*12+VALUE($B658&amp;""))</f>
        <v/>
      </c>
      <c r="N658" s="64">
        <f>IF($A658="","",IFERROR(INDEX(부서매핑!$C$5:$C$504,MATCH($G658&amp;"",부서매핑!$A$5:$A$504,0)),"미매핑"))</f>
        <v/>
      </c>
      <c r="O658" s="9">
        <f>IF($A658="","",N658&amp;"|"&amp;$F658)</f>
        <v/>
      </c>
      <c r="P658" s="94">
        <f>IF($A658="",0,$H658*설정!$C$23)</f>
        <v/>
      </c>
      <c r="Q658" s="64">
        <f>IF($A658="","",IF(O658&lt;&gt;원인분석!$C$9,"",IF(AND(M658&gt;=원인분석!$C$10,M658&lt;=원인분석!$C$11),"당기",IF(AND(M658&gt;=원인분석!$C$12,M658&lt;=원인분석!$C$13),"비교",""))))</f>
        <v/>
      </c>
      <c r="R658" s="9">
        <f>IF(Q658="","",$K658&amp;"")</f>
        <v/>
      </c>
      <c r="S658" s="9">
        <f>IF(Q658="","",IF(MATCH(R658,$R$5:$R$100000,0)=ROW()-4,ROW(),""))</f>
        <v/>
      </c>
      <c r="T658" s="9">
        <f>IF(Q658="당기",ABS(P658)+ROW()/1000000000,"")</f>
        <v/>
      </c>
      <c r="U658" s="9">
        <f>IF(Q658="비교",ABS(P658)+ROW()/1000000000,"")</f>
        <v/>
      </c>
      <c r="V658" s="64">
        <f>IF($A658="","",IF(COUNTIF(변동분석!$E$7:$E$506,O658)&gt;0,"Y","N"))</f>
        <v/>
      </c>
      <c r="W658" s="64">
        <f>IF($A658="","",IFERROR(INDEX(계정매핑!$D$5:$D$504,MATCH($F658&amp;"",계정매핑!$A$5:$A$504,0)),"미매핑"))</f>
        <v/>
      </c>
      <c r="X658" s="9">
        <f>IF($A658="","",$F658&amp;"")</f>
        <v/>
      </c>
      <c r="Y658" s="94">
        <f>IF($A658="",0,IF(AE658="직접",IF(AF658="비귀속",$P658,0),$P658*(1-AG658)*IFERROR(INDEX(계정대체기준!$F$20:$F$49,MATCH($N658,계정대체기준!$A$20:$A$49,0)),1)))</f>
        <v/>
      </c>
      <c r="Z658" s="94">
        <f>IF($A658="",0,IF(AE658="직접",IF(AF658="신계약비",$P658,0),$P658*(1-AG658)*IFERROR(INDEX(계정대체기준!$C$20:$C$49,MATCH($N658,계정대체기준!$A$20:$A$49,0)),0)))</f>
        <v/>
      </c>
      <c r="AA658" s="94">
        <f>IF($A658="",0,IF(AE658="직접",IF(OR(AF658="유지비",AF658="손해조사비"),$P658,0),$P658*(1-AG658)*IFERROR(INDEX(계정대체기준!$D$20:$D$49,MATCH($N658,계정대체기준!$A$20:$A$49,0)),0)))</f>
        <v/>
      </c>
      <c r="AB658" s="94">
        <f>IF($A658="",0,IF(AE658="직접",IF(AF658="수금비",$P658,0),$P658*(1-AG658)*IFERROR(INDEX(계정대체기준!$E$20:$E$49,MATCH($N658,계정대체기준!$A$20:$A$49,0)),0)))</f>
        <v/>
      </c>
      <c r="AC658" s="9">
        <f>IF(AND($A658&lt;&gt;"",M658=설정!$C$20,Z658&gt;0),Z658+ROW()/1000000000,"")</f>
        <v/>
      </c>
      <c r="AD658" s="94">
        <f>IF($A658="",0,$P658*AG658)</f>
        <v/>
      </c>
      <c r="AE658" s="64">
        <f>IF($A658="","",IFERROR(INDEX(계정매핑!$E$5:$E$504,MATCH($F658&amp;"",계정매핑!$A$5:$A$504,0))&amp;"","공통비"))</f>
        <v/>
      </c>
      <c r="AF658" s="64">
        <f>IF($A658="","",IF(AE658="직접",IFERROR(INDEX(계정매핑!$F$5:$F$504,MATCH($F658&amp;"",계정매핑!$A$5:$A$504,0))&amp;"","비귀속"),""))</f>
        <v/>
      </c>
      <c r="AG658" s="96">
        <f>IF($A658="",0,IF(AND(AE658&lt;&gt;"직접",IFERROR(INDEX(계정매핑!$G$5:$G$504,MATCH($F658&amp;"",계정매핑!$A$5:$A$504,0))&amp;"","")="유지비",COUNTIF(계정대체기준!$A$6:$A$15,$N658)&gt;0),IFERROR(INDEX(계정대체기준!$E$6:$E$15,MATCH(VALUE($A658&amp;""),계정대체기준!$D$6:$D$15,0)),0),0))</f>
        <v/>
      </c>
      <c r="AH658" s="64">
        <f>IF($A658="","",IF(AD658=0,"",IF(OR(COUNTIF(계정대체기준!$A$77:$A$86,$N658)&gt;0,ISNUMBER(MATCH($X658,계정대체기준!$D$77:$D$86,0)),ISNUMBER(MATCH($F658,계정대체기준!$D$77:$D$86,0))),"Y","N")))</f>
        <v/>
      </c>
    </row>
    <row r="659">
      <c r="A659" s="92" t="n">
        <v>2025</v>
      </c>
      <c r="B659" s="92" t="n">
        <v>3</v>
      </c>
      <c r="C659" s="92" t="inlineStr">
        <is>
          <t>5100000655</t>
        </is>
      </c>
      <c r="D659" s="95" t="n">
        <v>45741</v>
      </c>
      <c r="E659" s="92" t="inlineStr">
        <is>
          <t>KR</t>
        </is>
      </c>
      <c r="F659" s="92" t="n">
        <v>62201000</v>
      </c>
      <c r="G659" s="92" t="n">
        <v>1301</v>
      </c>
      <c r="H659" s="93" t="n">
        <v>143000</v>
      </c>
      <c r="I659" s="92" t="inlineStr">
        <is>
          <t>3월 통신요금 - P통신</t>
        </is>
      </c>
      <c r="J659" s="92" t="inlineStr">
        <is>
          <t>V10014</t>
        </is>
      </c>
      <c r="K659" s="92" t="inlineStr">
        <is>
          <t>P통신</t>
        </is>
      </c>
      <c r="M659" s="9">
        <f>IF($A659="","",VALUE($A659&amp;"")*12+VALUE($B659&amp;""))</f>
        <v/>
      </c>
      <c r="N659" s="64">
        <f>IF($A659="","",IFERROR(INDEX(부서매핑!$C$5:$C$504,MATCH($G659&amp;"",부서매핑!$A$5:$A$504,0)),"미매핑"))</f>
        <v/>
      </c>
      <c r="O659" s="9">
        <f>IF($A659="","",N659&amp;"|"&amp;$F659)</f>
        <v/>
      </c>
      <c r="P659" s="94">
        <f>IF($A659="",0,$H659*설정!$C$23)</f>
        <v/>
      </c>
      <c r="Q659" s="64">
        <f>IF($A659="","",IF(O659&lt;&gt;원인분석!$C$9,"",IF(AND(M659&gt;=원인분석!$C$10,M659&lt;=원인분석!$C$11),"당기",IF(AND(M659&gt;=원인분석!$C$12,M659&lt;=원인분석!$C$13),"비교",""))))</f>
        <v/>
      </c>
      <c r="R659" s="9">
        <f>IF(Q659="","",$K659&amp;"")</f>
        <v/>
      </c>
      <c r="S659" s="9">
        <f>IF(Q659="","",IF(MATCH(R659,$R$5:$R$100000,0)=ROW()-4,ROW(),""))</f>
        <v/>
      </c>
      <c r="T659" s="9">
        <f>IF(Q659="당기",ABS(P659)+ROW()/1000000000,"")</f>
        <v/>
      </c>
      <c r="U659" s="9">
        <f>IF(Q659="비교",ABS(P659)+ROW()/1000000000,"")</f>
        <v/>
      </c>
      <c r="V659" s="64">
        <f>IF($A659="","",IF(COUNTIF(변동분석!$E$7:$E$506,O659)&gt;0,"Y","N"))</f>
        <v/>
      </c>
      <c r="W659" s="64">
        <f>IF($A659="","",IFERROR(INDEX(계정매핑!$D$5:$D$504,MATCH($F659&amp;"",계정매핑!$A$5:$A$504,0)),"미매핑"))</f>
        <v/>
      </c>
      <c r="X659" s="9">
        <f>IF($A659="","",$F659&amp;"")</f>
        <v/>
      </c>
      <c r="Y659" s="94">
        <f>IF($A659="",0,IF(AE659="직접",IF(AF659="비귀속",$P659,0),$P659*(1-AG659)*IFERROR(INDEX(계정대체기준!$F$20:$F$49,MATCH($N659,계정대체기준!$A$20:$A$49,0)),1)))</f>
        <v/>
      </c>
      <c r="Z659" s="94">
        <f>IF($A659="",0,IF(AE659="직접",IF(AF659="신계약비",$P659,0),$P659*(1-AG659)*IFERROR(INDEX(계정대체기준!$C$20:$C$49,MATCH($N659,계정대체기준!$A$20:$A$49,0)),0)))</f>
        <v/>
      </c>
      <c r="AA659" s="94">
        <f>IF($A659="",0,IF(AE659="직접",IF(OR(AF659="유지비",AF659="손해조사비"),$P659,0),$P659*(1-AG659)*IFERROR(INDEX(계정대체기준!$D$20:$D$49,MATCH($N659,계정대체기준!$A$20:$A$49,0)),0)))</f>
        <v/>
      </c>
      <c r="AB659" s="94">
        <f>IF($A659="",0,IF(AE659="직접",IF(AF659="수금비",$P659,0),$P659*(1-AG659)*IFERROR(INDEX(계정대체기준!$E$20:$E$49,MATCH($N659,계정대체기준!$A$20:$A$49,0)),0)))</f>
        <v/>
      </c>
      <c r="AC659" s="9">
        <f>IF(AND($A659&lt;&gt;"",M659=설정!$C$20,Z659&gt;0),Z659+ROW()/1000000000,"")</f>
        <v/>
      </c>
      <c r="AD659" s="94">
        <f>IF($A659="",0,$P659*AG659)</f>
        <v/>
      </c>
      <c r="AE659" s="64">
        <f>IF($A659="","",IFERROR(INDEX(계정매핑!$E$5:$E$504,MATCH($F659&amp;"",계정매핑!$A$5:$A$504,0))&amp;"","공통비"))</f>
        <v/>
      </c>
      <c r="AF659" s="64">
        <f>IF($A659="","",IF(AE659="직접",IFERROR(INDEX(계정매핑!$F$5:$F$504,MATCH($F659&amp;"",계정매핑!$A$5:$A$504,0))&amp;"","비귀속"),""))</f>
        <v/>
      </c>
      <c r="AG659" s="96">
        <f>IF($A659="",0,IF(AND(AE659&lt;&gt;"직접",IFERROR(INDEX(계정매핑!$G$5:$G$504,MATCH($F659&amp;"",계정매핑!$A$5:$A$504,0))&amp;"","")="유지비",COUNTIF(계정대체기준!$A$6:$A$15,$N659)&gt;0),IFERROR(INDEX(계정대체기준!$E$6:$E$15,MATCH(VALUE($A659&amp;""),계정대체기준!$D$6:$D$15,0)),0),0))</f>
        <v/>
      </c>
      <c r="AH659" s="64">
        <f>IF($A659="","",IF(AD659=0,"",IF(OR(COUNTIF(계정대체기준!$A$77:$A$86,$N659)&gt;0,ISNUMBER(MATCH($X659,계정대체기준!$D$77:$D$86,0)),ISNUMBER(MATCH($F659,계정대체기준!$D$77:$D$86,0))),"Y","N")))</f>
        <v/>
      </c>
    </row>
    <row r="660">
      <c r="A660" s="92" t="n">
        <v>2025</v>
      </c>
      <c r="B660" s="92" t="n">
        <v>3</v>
      </c>
      <c r="C660" s="92" t="inlineStr">
        <is>
          <t>5100000656</t>
        </is>
      </c>
      <c r="D660" s="95" t="n">
        <v>45741</v>
      </c>
      <c r="E660" s="92" t="inlineStr">
        <is>
          <t>KR</t>
        </is>
      </c>
      <c r="F660" s="92" t="n">
        <v>62201000</v>
      </c>
      <c r="G660" s="92" t="n">
        <v>1701</v>
      </c>
      <c r="H660" s="93" t="n">
        <v>4635000</v>
      </c>
      <c r="I660" s="92" t="inlineStr">
        <is>
          <t>3월 통신요금 - O텔레콤</t>
        </is>
      </c>
      <c r="J660" s="92" t="inlineStr">
        <is>
          <t>V10002</t>
        </is>
      </c>
      <c r="K660" s="92" t="inlineStr">
        <is>
          <t>O텔레콤</t>
        </is>
      </c>
      <c r="M660" s="9">
        <f>IF($A660="","",VALUE($A660&amp;"")*12+VALUE($B660&amp;""))</f>
        <v/>
      </c>
      <c r="N660" s="64">
        <f>IF($A660="","",IFERROR(INDEX(부서매핑!$C$5:$C$504,MATCH($G660&amp;"",부서매핑!$A$5:$A$504,0)),"미매핑"))</f>
        <v/>
      </c>
      <c r="O660" s="9">
        <f>IF($A660="","",N660&amp;"|"&amp;$F660)</f>
        <v/>
      </c>
      <c r="P660" s="94">
        <f>IF($A660="",0,$H660*설정!$C$23)</f>
        <v/>
      </c>
      <c r="Q660" s="64">
        <f>IF($A660="","",IF(O660&lt;&gt;원인분석!$C$9,"",IF(AND(M660&gt;=원인분석!$C$10,M660&lt;=원인분석!$C$11),"당기",IF(AND(M660&gt;=원인분석!$C$12,M660&lt;=원인분석!$C$13),"비교",""))))</f>
        <v/>
      </c>
      <c r="R660" s="9">
        <f>IF(Q660="","",$K660&amp;"")</f>
        <v/>
      </c>
      <c r="S660" s="9">
        <f>IF(Q660="","",IF(MATCH(R660,$R$5:$R$100000,0)=ROW()-4,ROW(),""))</f>
        <v/>
      </c>
      <c r="T660" s="9">
        <f>IF(Q660="당기",ABS(P660)+ROW()/1000000000,"")</f>
        <v/>
      </c>
      <c r="U660" s="9">
        <f>IF(Q660="비교",ABS(P660)+ROW()/1000000000,"")</f>
        <v/>
      </c>
      <c r="V660" s="64">
        <f>IF($A660="","",IF(COUNTIF(변동분석!$E$7:$E$506,O660)&gt;0,"Y","N"))</f>
        <v/>
      </c>
      <c r="W660" s="64">
        <f>IF($A660="","",IFERROR(INDEX(계정매핑!$D$5:$D$504,MATCH($F660&amp;"",계정매핑!$A$5:$A$504,0)),"미매핑"))</f>
        <v/>
      </c>
      <c r="X660" s="9">
        <f>IF($A660="","",$F660&amp;"")</f>
        <v/>
      </c>
      <c r="Y660" s="94">
        <f>IF($A660="",0,IF(AE660="직접",IF(AF660="비귀속",$P660,0),$P660*(1-AG660)*IFERROR(INDEX(계정대체기준!$F$20:$F$49,MATCH($N660,계정대체기준!$A$20:$A$49,0)),1)))</f>
        <v/>
      </c>
      <c r="Z660" s="94">
        <f>IF($A660="",0,IF(AE660="직접",IF(AF660="신계약비",$P660,0),$P660*(1-AG660)*IFERROR(INDEX(계정대체기준!$C$20:$C$49,MATCH($N660,계정대체기준!$A$20:$A$49,0)),0)))</f>
        <v/>
      </c>
      <c r="AA660" s="94">
        <f>IF($A660="",0,IF(AE660="직접",IF(OR(AF660="유지비",AF660="손해조사비"),$P660,0),$P660*(1-AG660)*IFERROR(INDEX(계정대체기준!$D$20:$D$49,MATCH($N660,계정대체기준!$A$20:$A$49,0)),0)))</f>
        <v/>
      </c>
      <c r="AB660" s="94">
        <f>IF($A660="",0,IF(AE660="직접",IF(AF660="수금비",$P660,0),$P660*(1-AG660)*IFERROR(INDEX(계정대체기준!$E$20:$E$49,MATCH($N660,계정대체기준!$A$20:$A$49,0)),0)))</f>
        <v/>
      </c>
      <c r="AC660" s="9">
        <f>IF(AND($A660&lt;&gt;"",M660=설정!$C$20,Z660&gt;0),Z660+ROW()/1000000000,"")</f>
        <v/>
      </c>
      <c r="AD660" s="94">
        <f>IF($A660="",0,$P660*AG660)</f>
        <v/>
      </c>
      <c r="AE660" s="64">
        <f>IF($A660="","",IFERROR(INDEX(계정매핑!$E$5:$E$504,MATCH($F660&amp;"",계정매핑!$A$5:$A$504,0))&amp;"","공통비"))</f>
        <v/>
      </c>
      <c r="AF660" s="64">
        <f>IF($A660="","",IF(AE660="직접",IFERROR(INDEX(계정매핑!$F$5:$F$504,MATCH($F660&amp;"",계정매핑!$A$5:$A$504,0))&amp;"","비귀속"),""))</f>
        <v/>
      </c>
      <c r="AG660" s="96">
        <f>IF($A660="",0,IF(AND(AE660&lt;&gt;"직접",IFERROR(INDEX(계정매핑!$G$5:$G$504,MATCH($F660&amp;"",계정매핑!$A$5:$A$504,0))&amp;"","")="유지비",COUNTIF(계정대체기준!$A$6:$A$15,$N660)&gt;0),IFERROR(INDEX(계정대체기준!$E$6:$E$15,MATCH(VALUE($A660&amp;""),계정대체기준!$D$6:$D$15,0)),0),0))</f>
        <v/>
      </c>
      <c r="AH660" s="64">
        <f>IF($A660="","",IF(AD660=0,"",IF(OR(COUNTIF(계정대체기준!$A$77:$A$86,$N660)&gt;0,ISNUMBER(MATCH($X660,계정대체기준!$D$77:$D$86,0)),ISNUMBER(MATCH($F660,계정대체기준!$D$77:$D$86,0))),"Y","N")))</f>
        <v/>
      </c>
    </row>
    <row r="661">
      <c r="A661" s="92" t="n">
        <v>2025</v>
      </c>
      <c r="B661" s="92" t="n">
        <v>3</v>
      </c>
      <c r="C661" s="92" t="inlineStr">
        <is>
          <t>5100000657</t>
        </is>
      </c>
      <c r="D661" s="95" t="n">
        <v>45741</v>
      </c>
      <c r="E661" s="92" t="inlineStr">
        <is>
          <t>KR</t>
        </is>
      </c>
      <c r="F661" s="92" t="n">
        <v>62301000</v>
      </c>
      <c r="G661" s="92" t="n">
        <v>1401</v>
      </c>
      <c r="H661" s="93" t="n">
        <v>149000</v>
      </c>
      <c r="I661" s="92" t="inlineStr">
        <is>
          <t>3월 소모품 구입 - Q오피스</t>
        </is>
      </c>
      <c r="J661" s="92" t="inlineStr">
        <is>
          <t>V10003</t>
        </is>
      </c>
      <c r="K661" s="92" t="inlineStr">
        <is>
          <t>Q오피스</t>
        </is>
      </c>
      <c r="M661" s="9">
        <f>IF($A661="","",VALUE($A661&amp;"")*12+VALUE($B661&amp;""))</f>
        <v/>
      </c>
      <c r="N661" s="64">
        <f>IF($A661="","",IFERROR(INDEX(부서매핑!$C$5:$C$504,MATCH($G661&amp;"",부서매핑!$A$5:$A$504,0)),"미매핑"))</f>
        <v/>
      </c>
      <c r="O661" s="9">
        <f>IF($A661="","",N661&amp;"|"&amp;$F661)</f>
        <v/>
      </c>
      <c r="P661" s="94">
        <f>IF($A661="",0,$H661*설정!$C$23)</f>
        <v/>
      </c>
      <c r="Q661" s="64">
        <f>IF($A661="","",IF(O661&lt;&gt;원인분석!$C$9,"",IF(AND(M661&gt;=원인분석!$C$10,M661&lt;=원인분석!$C$11),"당기",IF(AND(M661&gt;=원인분석!$C$12,M661&lt;=원인분석!$C$13),"비교",""))))</f>
        <v/>
      </c>
      <c r="R661" s="9">
        <f>IF(Q661="","",$K661&amp;"")</f>
        <v/>
      </c>
      <c r="S661" s="9">
        <f>IF(Q661="","",IF(MATCH(R661,$R$5:$R$100000,0)=ROW()-4,ROW(),""))</f>
        <v/>
      </c>
      <c r="T661" s="9">
        <f>IF(Q661="당기",ABS(P661)+ROW()/1000000000,"")</f>
        <v/>
      </c>
      <c r="U661" s="9">
        <f>IF(Q661="비교",ABS(P661)+ROW()/1000000000,"")</f>
        <v/>
      </c>
      <c r="V661" s="64">
        <f>IF($A661="","",IF(COUNTIF(변동분석!$E$7:$E$506,O661)&gt;0,"Y","N"))</f>
        <v/>
      </c>
      <c r="W661" s="64">
        <f>IF($A661="","",IFERROR(INDEX(계정매핑!$D$5:$D$504,MATCH($F661&amp;"",계정매핑!$A$5:$A$504,0)),"미매핑"))</f>
        <v/>
      </c>
      <c r="X661" s="9">
        <f>IF($A661="","",$F661&amp;"")</f>
        <v/>
      </c>
      <c r="Y661" s="94">
        <f>IF($A661="",0,IF(AE661="직접",IF(AF661="비귀속",$P661,0),$P661*(1-AG661)*IFERROR(INDEX(계정대체기준!$F$20:$F$49,MATCH($N661,계정대체기준!$A$20:$A$49,0)),1)))</f>
        <v/>
      </c>
      <c r="Z661" s="94">
        <f>IF($A661="",0,IF(AE661="직접",IF(AF661="신계약비",$P661,0),$P661*(1-AG661)*IFERROR(INDEX(계정대체기준!$C$20:$C$49,MATCH($N661,계정대체기준!$A$20:$A$49,0)),0)))</f>
        <v/>
      </c>
      <c r="AA661" s="94">
        <f>IF($A661="",0,IF(AE661="직접",IF(OR(AF661="유지비",AF661="손해조사비"),$P661,0),$P661*(1-AG661)*IFERROR(INDEX(계정대체기준!$D$20:$D$49,MATCH($N661,계정대체기준!$A$20:$A$49,0)),0)))</f>
        <v/>
      </c>
      <c r="AB661" s="94">
        <f>IF($A661="",0,IF(AE661="직접",IF(AF661="수금비",$P661,0),$P661*(1-AG661)*IFERROR(INDEX(계정대체기준!$E$20:$E$49,MATCH($N661,계정대체기준!$A$20:$A$49,0)),0)))</f>
        <v/>
      </c>
      <c r="AC661" s="9">
        <f>IF(AND($A661&lt;&gt;"",M661=설정!$C$20,Z661&gt;0),Z661+ROW()/1000000000,"")</f>
        <v/>
      </c>
      <c r="AD661" s="94">
        <f>IF($A661="",0,$P661*AG661)</f>
        <v/>
      </c>
      <c r="AE661" s="64">
        <f>IF($A661="","",IFERROR(INDEX(계정매핑!$E$5:$E$504,MATCH($F661&amp;"",계정매핑!$A$5:$A$504,0))&amp;"","공통비"))</f>
        <v/>
      </c>
      <c r="AF661" s="64">
        <f>IF($A661="","",IF(AE661="직접",IFERROR(INDEX(계정매핑!$F$5:$F$504,MATCH($F661&amp;"",계정매핑!$A$5:$A$504,0))&amp;"","비귀속"),""))</f>
        <v/>
      </c>
      <c r="AG661" s="96">
        <f>IF($A661="",0,IF(AND(AE661&lt;&gt;"직접",IFERROR(INDEX(계정매핑!$G$5:$G$504,MATCH($F661&amp;"",계정매핑!$A$5:$A$504,0))&amp;"","")="유지비",COUNTIF(계정대체기준!$A$6:$A$15,$N661)&gt;0),IFERROR(INDEX(계정대체기준!$E$6:$E$15,MATCH(VALUE($A661&amp;""),계정대체기준!$D$6:$D$15,0)),0),0))</f>
        <v/>
      </c>
      <c r="AH661" s="64">
        <f>IF($A661="","",IF(AD661=0,"",IF(OR(COUNTIF(계정대체기준!$A$77:$A$86,$N661)&gt;0,ISNUMBER(MATCH($X661,계정대체기준!$D$77:$D$86,0)),ISNUMBER(MATCH($F661,계정대체기준!$D$77:$D$86,0))),"Y","N")))</f>
        <v/>
      </c>
    </row>
    <row r="662">
      <c r="A662" s="92" t="n">
        <v>2025</v>
      </c>
      <c r="B662" s="92" t="n">
        <v>3</v>
      </c>
      <c r="C662" s="92" t="inlineStr">
        <is>
          <t>5100000658</t>
        </is>
      </c>
      <c r="D662" s="95" t="n">
        <v>45741</v>
      </c>
      <c r="E662" s="92" t="inlineStr">
        <is>
          <t>KR</t>
        </is>
      </c>
      <c r="F662" s="92" t="n">
        <v>62301000</v>
      </c>
      <c r="G662" s="92" t="n">
        <v>1701</v>
      </c>
      <c r="H662" s="93" t="n">
        <v>236000</v>
      </c>
      <c r="I662" s="92" t="inlineStr">
        <is>
          <t>3월 소모품 구입 - Q오피스</t>
        </is>
      </c>
      <c r="J662" s="92" t="inlineStr">
        <is>
          <t>V10003</t>
        </is>
      </c>
      <c r="K662" s="92" t="inlineStr">
        <is>
          <t>Q오피스</t>
        </is>
      </c>
      <c r="M662" s="9">
        <f>IF($A662="","",VALUE($A662&amp;"")*12+VALUE($B662&amp;""))</f>
        <v/>
      </c>
      <c r="N662" s="64">
        <f>IF($A662="","",IFERROR(INDEX(부서매핑!$C$5:$C$504,MATCH($G662&amp;"",부서매핑!$A$5:$A$504,0)),"미매핑"))</f>
        <v/>
      </c>
      <c r="O662" s="9">
        <f>IF($A662="","",N662&amp;"|"&amp;$F662)</f>
        <v/>
      </c>
      <c r="P662" s="94">
        <f>IF($A662="",0,$H662*설정!$C$23)</f>
        <v/>
      </c>
      <c r="Q662" s="64">
        <f>IF($A662="","",IF(O662&lt;&gt;원인분석!$C$9,"",IF(AND(M662&gt;=원인분석!$C$10,M662&lt;=원인분석!$C$11),"당기",IF(AND(M662&gt;=원인분석!$C$12,M662&lt;=원인분석!$C$13),"비교",""))))</f>
        <v/>
      </c>
      <c r="R662" s="9">
        <f>IF(Q662="","",$K662&amp;"")</f>
        <v/>
      </c>
      <c r="S662" s="9">
        <f>IF(Q662="","",IF(MATCH(R662,$R$5:$R$100000,0)=ROW()-4,ROW(),""))</f>
        <v/>
      </c>
      <c r="T662" s="9">
        <f>IF(Q662="당기",ABS(P662)+ROW()/1000000000,"")</f>
        <v/>
      </c>
      <c r="U662" s="9">
        <f>IF(Q662="비교",ABS(P662)+ROW()/1000000000,"")</f>
        <v/>
      </c>
      <c r="V662" s="64">
        <f>IF($A662="","",IF(COUNTIF(변동분석!$E$7:$E$506,O662)&gt;0,"Y","N"))</f>
        <v/>
      </c>
      <c r="W662" s="64">
        <f>IF($A662="","",IFERROR(INDEX(계정매핑!$D$5:$D$504,MATCH($F662&amp;"",계정매핑!$A$5:$A$504,0)),"미매핑"))</f>
        <v/>
      </c>
      <c r="X662" s="9">
        <f>IF($A662="","",$F662&amp;"")</f>
        <v/>
      </c>
      <c r="Y662" s="94">
        <f>IF($A662="",0,IF(AE662="직접",IF(AF662="비귀속",$P662,0),$P662*(1-AG662)*IFERROR(INDEX(계정대체기준!$F$20:$F$49,MATCH($N662,계정대체기준!$A$20:$A$49,0)),1)))</f>
        <v/>
      </c>
      <c r="Z662" s="94">
        <f>IF($A662="",0,IF(AE662="직접",IF(AF662="신계약비",$P662,0),$P662*(1-AG662)*IFERROR(INDEX(계정대체기준!$C$20:$C$49,MATCH($N662,계정대체기준!$A$20:$A$49,0)),0)))</f>
        <v/>
      </c>
      <c r="AA662" s="94">
        <f>IF($A662="",0,IF(AE662="직접",IF(OR(AF662="유지비",AF662="손해조사비"),$P662,0),$P662*(1-AG662)*IFERROR(INDEX(계정대체기준!$D$20:$D$49,MATCH($N662,계정대체기준!$A$20:$A$49,0)),0)))</f>
        <v/>
      </c>
      <c r="AB662" s="94">
        <f>IF($A662="",0,IF(AE662="직접",IF(AF662="수금비",$P662,0),$P662*(1-AG662)*IFERROR(INDEX(계정대체기준!$E$20:$E$49,MATCH($N662,계정대체기준!$A$20:$A$49,0)),0)))</f>
        <v/>
      </c>
      <c r="AC662" s="9">
        <f>IF(AND($A662&lt;&gt;"",M662=설정!$C$20,Z662&gt;0),Z662+ROW()/1000000000,"")</f>
        <v/>
      </c>
      <c r="AD662" s="94">
        <f>IF($A662="",0,$P662*AG662)</f>
        <v/>
      </c>
      <c r="AE662" s="64">
        <f>IF($A662="","",IFERROR(INDEX(계정매핑!$E$5:$E$504,MATCH($F662&amp;"",계정매핑!$A$5:$A$504,0))&amp;"","공통비"))</f>
        <v/>
      </c>
      <c r="AF662" s="64">
        <f>IF($A662="","",IF(AE662="직접",IFERROR(INDEX(계정매핑!$F$5:$F$504,MATCH($F662&amp;"",계정매핑!$A$5:$A$504,0))&amp;"","비귀속"),""))</f>
        <v/>
      </c>
      <c r="AG662" s="96">
        <f>IF($A662="",0,IF(AND(AE662&lt;&gt;"직접",IFERROR(INDEX(계정매핑!$G$5:$G$504,MATCH($F662&amp;"",계정매핑!$A$5:$A$504,0))&amp;"","")="유지비",COUNTIF(계정대체기준!$A$6:$A$15,$N662)&gt;0),IFERROR(INDEX(계정대체기준!$E$6:$E$15,MATCH(VALUE($A662&amp;""),계정대체기준!$D$6:$D$15,0)),0),0))</f>
        <v/>
      </c>
      <c r="AH662" s="64">
        <f>IF($A662="","",IF(AD662=0,"",IF(OR(COUNTIF(계정대체기준!$A$77:$A$86,$N662)&gt;0,ISNUMBER(MATCH($X662,계정대체기준!$D$77:$D$86,0)),ISNUMBER(MATCH($F662,계정대체기준!$D$77:$D$86,0))),"Y","N")))</f>
        <v/>
      </c>
    </row>
    <row r="663">
      <c r="A663" s="92" t="n">
        <v>2025</v>
      </c>
      <c r="B663" s="92" t="n">
        <v>3</v>
      </c>
      <c r="C663" s="92" t="inlineStr">
        <is>
          <t>5100000659</t>
        </is>
      </c>
      <c r="D663" s="95" t="n">
        <v>45741</v>
      </c>
      <c r="E663" s="92" t="inlineStr">
        <is>
          <t>KR</t>
        </is>
      </c>
      <c r="F663" s="92" t="n">
        <v>62401000</v>
      </c>
      <c r="G663" s="92" t="n">
        <v>1501</v>
      </c>
      <c r="H663" s="93" t="n">
        <v>3623000</v>
      </c>
      <c r="I663" s="92" t="inlineStr">
        <is>
          <t>3월 인쇄물 제작 - S출판</t>
        </is>
      </c>
      <c r="J663" s="92" t="inlineStr">
        <is>
          <t>V10015</t>
        </is>
      </c>
      <c r="K663" s="92" t="inlineStr">
        <is>
          <t>S출판</t>
        </is>
      </c>
      <c r="M663" s="9">
        <f>IF($A663="","",VALUE($A663&amp;"")*12+VALUE($B663&amp;""))</f>
        <v/>
      </c>
      <c r="N663" s="64">
        <f>IF($A663="","",IFERROR(INDEX(부서매핑!$C$5:$C$504,MATCH($G663&amp;"",부서매핑!$A$5:$A$504,0)),"미매핑"))</f>
        <v/>
      </c>
      <c r="O663" s="9">
        <f>IF($A663="","",N663&amp;"|"&amp;$F663)</f>
        <v/>
      </c>
      <c r="P663" s="94">
        <f>IF($A663="",0,$H663*설정!$C$23)</f>
        <v/>
      </c>
      <c r="Q663" s="64">
        <f>IF($A663="","",IF(O663&lt;&gt;원인분석!$C$9,"",IF(AND(M663&gt;=원인분석!$C$10,M663&lt;=원인분석!$C$11),"당기",IF(AND(M663&gt;=원인분석!$C$12,M663&lt;=원인분석!$C$13),"비교",""))))</f>
        <v/>
      </c>
      <c r="R663" s="9">
        <f>IF(Q663="","",$K663&amp;"")</f>
        <v/>
      </c>
      <c r="S663" s="9">
        <f>IF(Q663="","",IF(MATCH(R663,$R$5:$R$100000,0)=ROW()-4,ROW(),""))</f>
        <v/>
      </c>
      <c r="T663" s="9">
        <f>IF(Q663="당기",ABS(P663)+ROW()/1000000000,"")</f>
        <v/>
      </c>
      <c r="U663" s="9">
        <f>IF(Q663="비교",ABS(P663)+ROW()/1000000000,"")</f>
        <v/>
      </c>
      <c r="V663" s="64">
        <f>IF($A663="","",IF(COUNTIF(변동분석!$E$7:$E$506,O663)&gt;0,"Y","N"))</f>
        <v/>
      </c>
      <c r="W663" s="64">
        <f>IF($A663="","",IFERROR(INDEX(계정매핑!$D$5:$D$504,MATCH($F663&amp;"",계정매핑!$A$5:$A$504,0)),"미매핑"))</f>
        <v/>
      </c>
      <c r="X663" s="9">
        <f>IF($A663="","",$F663&amp;"")</f>
        <v/>
      </c>
      <c r="Y663" s="94">
        <f>IF($A663="",0,IF(AE663="직접",IF(AF663="비귀속",$P663,0),$P663*(1-AG663)*IFERROR(INDEX(계정대체기준!$F$20:$F$49,MATCH($N663,계정대체기준!$A$20:$A$49,0)),1)))</f>
        <v/>
      </c>
      <c r="Z663" s="94">
        <f>IF($A663="",0,IF(AE663="직접",IF(AF663="신계약비",$P663,0),$P663*(1-AG663)*IFERROR(INDEX(계정대체기준!$C$20:$C$49,MATCH($N663,계정대체기준!$A$20:$A$49,0)),0)))</f>
        <v/>
      </c>
      <c r="AA663" s="94">
        <f>IF($A663="",0,IF(AE663="직접",IF(OR(AF663="유지비",AF663="손해조사비"),$P663,0),$P663*(1-AG663)*IFERROR(INDEX(계정대체기준!$D$20:$D$49,MATCH($N663,계정대체기준!$A$20:$A$49,0)),0)))</f>
        <v/>
      </c>
      <c r="AB663" s="94">
        <f>IF($A663="",0,IF(AE663="직접",IF(AF663="수금비",$P663,0),$P663*(1-AG663)*IFERROR(INDEX(계정대체기준!$E$20:$E$49,MATCH($N663,계정대체기준!$A$20:$A$49,0)),0)))</f>
        <v/>
      </c>
      <c r="AC663" s="9">
        <f>IF(AND($A663&lt;&gt;"",M663=설정!$C$20,Z663&gt;0),Z663+ROW()/1000000000,"")</f>
        <v/>
      </c>
      <c r="AD663" s="94">
        <f>IF($A663="",0,$P663*AG663)</f>
        <v/>
      </c>
      <c r="AE663" s="64">
        <f>IF($A663="","",IFERROR(INDEX(계정매핑!$E$5:$E$504,MATCH($F663&amp;"",계정매핑!$A$5:$A$504,0))&amp;"","공통비"))</f>
        <v/>
      </c>
      <c r="AF663" s="64">
        <f>IF($A663="","",IF(AE663="직접",IFERROR(INDEX(계정매핑!$F$5:$F$504,MATCH($F663&amp;"",계정매핑!$A$5:$A$504,0))&amp;"","비귀속"),""))</f>
        <v/>
      </c>
      <c r="AG663" s="96">
        <f>IF($A663="",0,IF(AND(AE663&lt;&gt;"직접",IFERROR(INDEX(계정매핑!$G$5:$G$504,MATCH($F663&amp;"",계정매핑!$A$5:$A$504,0))&amp;"","")="유지비",COUNTIF(계정대체기준!$A$6:$A$15,$N663)&gt;0),IFERROR(INDEX(계정대체기준!$E$6:$E$15,MATCH(VALUE($A663&amp;""),계정대체기준!$D$6:$D$15,0)),0),0))</f>
        <v/>
      </c>
      <c r="AH663" s="64">
        <f>IF($A663="","",IF(AD663=0,"",IF(OR(COUNTIF(계정대체기준!$A$77:$A$86,$N663)&gt;0,ISNUMBER(MATCH($X663,계정대체기준!$D$77:$D$86,0)),ISNUMBER(MATCH($F663,계정대체기준!$D$77:$D$86,0))),"Y","N")))</f>
        <v/>
      </c>
    </row>
    <row r="664">
      <c r="A664" s="92" t="n">
        <v>2025</v>
      </c>
      <c r="B664" s="92" t="n">
        <v>3</v>
      </c>
      <c r="C664" s="92" t="inlineStr">
        <is>
          <t>5100000660</t>
        </is>
      </c>
      <c r="D664" s="95" t="n">
        <v>45741</v>
      </c>
      <c r="E664" s="92" t="inlineStr">
        <is>
          <t>KR</t>
        </is>
      </c>
      <c r="F664" s="92" t="n">
        <v>62501000</v>
      </c>
      <c r="G664" s="92" t="n">
        <v>1501</v>
      </c>
      <c r="H664" s="93" t="n">
        <v>266000</v>
      </c>
      <c r="I664" s="92" t="inlineStr">
        <is>
          <t>3월 회의 다과 - (법인카드)</t>
        </is>
      </c>
      <c r="J664" s="92" t="inlineStr">
        <is>
          <t>V10010</t>
        </is>
      </c>
      <c r="K664" s="92" t="inlineStr">
        <is>
          <t>(법인카드)</t>
        </is>
      </c>
      <c r="M664" s="9">
        <f>IF($A664="","",VALUE($A664&amp;"")*12+VALUE($B664&amp;""))</f>
        <v/>
      </c>
      <c r="N664" s="64">
        <f>IF($A664="","",IFERROR(INDEX(부서매핑!$C$5:$C$504,MATCH($G664&amp;"",부서매핑!$A$5:$A$504,0)),"미매핑"))</f>
        <v/>
      </c>
      <c r="O664" s="9">
        <f>IF($A664="","",N664&amp;"|"&amp;$F664)</f>
        <v/>
      </c>
      <c r="P664" s="94">
        <f>IF($A664="",0,$H664*설정!$C$23)</f>
        <v/>
      </c>
      <c r="Q664" s="64">
        <f>IF($A664="","",IF(O664&lt;&gt;원인분석!$C$9,"",IF(AND(M664&gt;=원인분석!$C$10,M664&lt;=원인분석!$C$11),"당기",IF(AND(M664&gt;=원인분석!$C$12,M664&lt;=원인분석!$C$13),"비교",""))))</f>
        <v/>
      </c>
      <c r="R664" s="9">
        <f>IF(Q664="","",$K664&amp;"")</f>
        <v/>
      </c>
      <c r="S664" s="9">
        <f>IF(Q664="","",IF(MATCH(R664,$R$5:$R$100000,0)=ROW()-4,ROW(),""))</f>
        <v/>
      </c>
      <c r="T664" s="9">
        <f>IF(Q664="당기",ABS(P664)+ROW()/1000000000,"")</f>
        <v/>
      </c>
      <c r="U664" s="9">
        <f>IF(Q664="비교",ABS(P664)+ROW()/1000000000,"")</f>
        <v/>
      </c>
      <c r="V664" s="64">
        <f>IF($A664="","",IF(COUNTIF(변동분석!$E$7:$E$506,O664)&gt;0,"Y","N"))</f>
        <v/>
      </c>
      <c r="W664" s="64">
        <f>IF($A664="","",IFERROR(INDEX(계정매핑!$D$5:$D$504,MATCH($F664&amp;"",계정매핑!$A$5:$A$504,0)),"미매핑"))</f>
        <v/>
      </c>
      <c r="X664" s="9">
        <f>IF($A664="","",$F664&amp;"")</f>
        <v/>
      </c>
      <c r="Y664" s="94">
        <f>IF($A664="",0,IF(AE664="직접",IF(AF664="비귀속",$P664,0),$P664*(1-AG664)*IFERROR(INDEX(계정대체기준!$F$20:$F$49,MATCH($N664,계정대체기준!$A$20:$A$49,0)),1)))</f>
        <v/>
      </c>
      <c r="Z664" s="94">
        <f>IF($A664="",0,IF(AE664="직접",IF(AF664="신계약비",$P664,0),$P664*(1-AG664)*IFERROR(INDEX(계정대체기준!$C$20:$C$49,MATCH($N664,계정대체기준!$A$20:$A$49,0)),0)))</f>
        <v/>
      </c>
      <c r="AA664" s="94">
        <f>IF($A664="",0,IF(AE664="직접",IF(OR(AF664="유지비",AF664="손해조사비"),$P664,0),$P664*(1-AG664)*IFERROR(INDEX(계정대체기준!$D$20:$D$49,MATCH($N664,계정대체기준!$A$20:$A$49,0)),0)))</f>
        <v/>
      </c>
      <c r="AB664" s="94">
        <f>IF($A664="",0,IF(AE664="직접",IF(AF664="수금비",$P664,0),$P664*(1-AG664)*IFERROR(INDEX(계정대체기준!$E$20:$E$49,MATCH($N664,계정대체기준!$A$20:$A$49,0)),0)))</f>
        <v/>
      </c>
      <c r="AC664" s="9">
        <f>IF(AND($A664&lt;&gt;"",M664=설정!$C$20,Z664&gt;0),Z664+ROW()/1000000000,"")</f>
        <v/>
      </c>
      <c r="AD664" s="94">
        <f>IF($A664="",0,$P664*AG664)</f>
        <v/>
      </c>
      <c r="AE664" s="64">
        <f>IF($A664="","",IFERROR(INDEX(계정매핑!$E$5:$E$504,MATCH($F664&amp;"",계정매핑!$A$5:$A$504,0))&amp;"","공통비"))</f>
        <v/>
      </c>
      <c r="AF664" s="64">
        <f>IF($A664="","",IF(AE664="직접",IFERROR(INDEX(계정매핑!$F$5:$F$504,MATCH($F664&amp;"",계정매핑!$A$5:$A$504,0))&amp;"","비귀속"),""))</f>
        <v/>
      </c>
      <c r="AG664" s="96">
        <f>IF($A664="",0,IF(AND(AE664&lt;&gt;"직접",IFERROR(INDEX(계정매핑!$G$5:$G$504,MATCH($F664&amp;"",계정매핑!$A$5:$A$504,0))&amp;"","")="유지비",COUNTIF(계정대체기준!$A$6:$A$15,$N664)&gt;0),IFERROR(INDEX(계정대체기준!$E$6:$E$15,MATCH(VALUE($A664&amp;""),계정대체기준!$D$6:$D$15,0)),0),0))</f>
        <v/>
      </c>
      <c r="AH664" s="64">
        <f>IF($A664="","",IF(AD664=0,"",IF(OR(COUNTIF(계정대체기준!$A$77:$A$86,$N664)&gt;0,ISNUMBER(MATCH($X664,계정대체기준!$D$77:$D$86,0)),ISNUMBER(MATCH($F664,계정대체기준!$D$77:$D$86,0))),"Y","N")))</f>
        <v/>
      </c>
    </row>
    <row r="665">
      <c r="A665" s="92" t="n">
        <v>2025</v>
      </c>
      <c r="B665" s="92" t="n">
        <v>3</v>
      </c>
      <c r="C665" s="92" t="inlineStr">
        <is>
          <t>5100000661</t>
        </is>
      </c>
      <c r="D665" s="95" t="n">
        <v>45741</v>
      </c>
      <c r="E665" s="92" t="inlineStr">
        <is>
          <t>KR</t>
        </is>
      </c>
      <c r="F665" s="92" t="n">
        <v>62902000</v>
      </c>
      <c r="G665" s="92" t="n">
        <v>1801</v>
      </c>
      <c r="H665" s="93" t="n">
        <v>1845000</v>
      </c>
      <c r="I665" s="92" t="inlineStr">
        <is>
          <t>3월 콜 위탁 수수료(건별)</t>
        </is>
      </c>
      <c r="J665" s="92" t="inlineStr">
        <is>
          <t>V10016</t>
        </is>
      </c>
      <c r="K665" s="92" t="inlineStr">
        <is>
          <t>J콜센터</t>
        </is>
      </c>
      <c r="M665" s="9">
        <f>IF($A665="","",VALUE($A665&amp;"")*12+VALUE($B665&amp;""))</f>
        <v/>
      </c>
      <c r="N665" s="64">
        <f>IF($A665="","",IFERROR(INDEX(부서매핑!$C$5:$C$504,MATCH($G665&amp;"",부서매핑!$A$5:$A$504,0)),"미매핑"))</f>
        <v/>
      </c>
      <c r="O665" s="9">
        <f>IF($A665="","",N665&amp;"|"&amp;$F665)</f>
        <v/>
      </c>
      <c r="P665" s="94">
        <f>IF($A665="",0,$H665*설정!$C$23)</f>
        <v/>
      </c>
      <c r="Q665" s="64">
        <f>IF($A665="","",IF(O665&lt;&gt;원인분석!$C$9,"",IF(AND(M665&gt;=원인분석!$C$10,M665&lt;=원인분석!$C$11),"당기",IF(AND(M665&gt;=원인분석!$C$12,M665&lt;=원인분석!$C$13),"비교",""))))</f>
        <v/>
      </c>
      <c r="R665" s="9">
        <f>IF(Q665="","",$K665&amp;"")</f>
        <v/>
      </c>
      <c r="S665" s="9">
        <f>IF(Q665="","",IF(MATCH(R665,$R$5:$R$100000,0)=ROW()-4,ROW(),""))</f>
        <v/>
      </c>
      <c r="T665" s="9">
        <f>IF(Q665="당기",ABS(P665)+ROW()/1000000000,"")</f>
        <v/>
      </c>
      <c r="U665" s="9">
        <f>IF(Q665="비교",ABS(P665)+ROW()/1000000000,"")</f>
        <v/>
      </c>
      <c r="V665" s="64">
        <f>IF($A665="","",IF(COUNTIF(변동분석!$E$7:$E$506,O665)&gt;0,"Y","N"))</f>
        <v/>
      </c>
      <c r="W665" s="64">
        <f>IF($A665="","",IFERROR(INDEX(계정매핑!$D$5:$D$504,MATCH($F665&amp;"",계정매핑!$A$5:$A$504,0)),"미매핑"))</f>
        <v/>
      </c>
      <c r="X665" s="9">
        <f>IF($A665="","",$F665&amp;"")</f>
        <v/>
      </c>
      <c r="Y665" s="94">
        <f>IF($A665="",0,IF(AE665="직접",IF(AF665="비귀속",$P665,0),$P665*(1-AG665)*IFERROR(INDEX(계정대체기준!$F$20:$F$49,MATCH($N665,계정대체기준!$A$20:$A$49,0)),1)))</f>
        <v/>
      </c>
      <c r="Z665" s="94">
        <f>IF($A665="",0,IF(AE665="직접",IF(AF665="신계약비",$P665,0),$P665*(1-AG665)*IFERROR(INDEX(계정대체기준!$C$20:$C$49,MATCH($N665,계정대체기준!$A$20:$A$49,0)),0)))</f>
        <v/>
      </c>
      <c r="AA665" s="94">
        <f>IF($A665="",0,IF(AE665="직접",IF(OR(AF665="유지비",AF665="손해조사비"),$P665,0),$P665*(1-AG665)*IFERROR(INDEX(계정대체기준!$D$20:$D$49,MATCH($N665,계정대체기준!$A$20:$A$49,0)),0)))</f>
        <v/>
      </c>
      <c r="AB665" s="94">
        <f>IF($A665="",0,IF(AE665="직접",IF(AF665="수금비",$P665,0),$P665*(1-AG665)*IFERROR(INDEX(계정대체기준!$E$20:$E$49,MATCH($N665,계정대체기준!$A$20:$A$49,0)),0)))</f>
        <v/>
      </c>
      <c r="AC665" s="9">
        <f>IF(AND($A665&lt;&gt;"",M665=설정!$C$20,Z665&gt;0),Z665+ROW()/1000000000,"")</f>
        <v/>
      </c>
      <c r="AD665" s="94">
        <f>IF($A665="",0,$P665*AG665)</f>
        <v/>
      </c>
      <c r="AE665" s="64">
        <f>IF($A665="","",IFERROR(INDEX(계정매핑!$E$5:$E$504,MATCH($F665&amp;"",계정매핑!$A$5:$A$504,0))&amp;"","공통비"))</f>
        <v/>
      </c>
      <c r="AF665" s="64">
        <f>IF($A665="","",IF(AE665="직접",IFERROR(INDEX(계정매핑!$F$5:$F$504,MATCH($F665&amp;"",계정매핑!$A$5:$A$504,0))&amp;"","비귀속"),""))</f>
        <v/>
      </c>
      <c r="AG665" s="96">
        <f>IF($A665="",0,IF(AND(AE665&lt;&gt;"직접",IFERROR(INDEX(계정매핑!$G$5:$G$504,MATCH($F665&amp;"",계정매핑!$A$5:$A$504,0))&amp;"","")="유지비",COUNTIF(계정대체기준!$A$6:$A$15,$N665)&gt;0),IFERROR(INDEX(계정대체기준!$E$6:$E$15,MATCH(VALUE($A665&amp;""),계정대체기준!$D$6:$D$15,0)),0),0))</f>
        <v/>
      </c>
      <c r="AH665" s="64">
        <f>IF($A665="","",IF(AD665=0,"",IF(OR(COUNTIF(계정대체기준!$A$77:$A$86,$N665)&gt;0,ISNUMBER(MATCH($X665,계정대체기준!$D$77:$D$86,0)),ISNUMBER(MATCH($F665,계정대체기준!$D$77:$D$86,0))),"Y","N")))</f>
        <v/>
      </c>
    </row>
    <row r="666">
      <c r="A666" s="92" t="n">
        <v>2025</v>
      </c>
      <c r="B666" s="92" t="n">
        <v>3</v>
      </c>
      <c r="C666" s="92" t="inlineStr">
        <is>
          <t>5100000662</t>
        </is>
      </c>
      <c r="D666" s="95" t="n">
        <v>45741</v>
      </c>
      <c r="E666" s="92" t="inlineStr">
        <is>
          <t>KR</t>
        </is>
      </c>
      <c r="F666" s="92" t="n">
        <v>63002000</v>
      </c>
      <c r="G666" s="92" t="n">
        <v>1701</v>
      </c>
      <c r="H666" s="93" t="n">
        <v>66000000</v>
      </c>
      <c r="I666" s="92" t="inlineStr">
        <is>
          <t>3월 클라우드 사용료 - C클라우드</t>
        </is>
      </c>
      <c r="J666" s="92" t="inlineStr">
        <is>
          <t>V10026</t>
        </is>
      </c>
      <c r="K666" s="92" t="inlineStr">
        <is>
          <t>C클라우드</t>
        </is>
      </c>
      <c r="M666" s="9">
        <f>IF($A666="","",VALUE($A666&amp;"")*12+VALUE($B666&amp;""))</f>
        <v/>
      </c>
      <c r="N666" s="64">
        <f>IF($A666="","",IFERROR(INDEX(부서매핑!$C$5:$C$504,MATCH($G666&amp;"",부서매핑!$A$5:$A$504,0)),"미매핑"))</f>
        <v/>
      </c>
      <c r="O666" s="9">
        <f>IF($A666="","",N666&amp;"|"&amp;$F666)</f>
        <v/>
      </c>
      <c r="P666" s="94">
        <f>IF($A666="",0,$H666*설정!$C$23)</f>
        <v/>
      </c>
      <c r="Q666" s="64">
        <f>IF($A666="","",IF(O666&lt;&gt;원인분석!$C$9,"",IF(AND(M666&gt;=원인분석!$C$10,M666&lt;=원인분석!$C$11),"당기",IF(AND(M666&gt;=원인분석!$C$12,M666&lt;=원인분석!$C$13),"비교",""))))</f>
        <v/>
      </c>
      <c r="R666" s="9">
        <f>IF(Q666="","",$K666&amp;"")</f>
        <v/>
      </c>
      <c r="S666" s="9">
        <f>IF(Q666="","",IF(MATCH(R666,$R$5:$R$100000,0)=ROW()-4,ROW(),""))</f>
        <v/>
      </c>
      <c r="T666" s="9">
        <f>IF(Q666="당기",ABS(P666)+ROW()/1000000000,"")</f>
        <v/>
      </c>
      <c r="U666" s="9">
        <f>IF(Q666="비교",ABS(P666)+ROW()/1000000000,"")</f>
        <v/>
      </c>
      <c r="V666" s="64">
        <f>IF($A666="","",IF(COUNTIF(변동분석!$E$7:$E$506,O666)&gt;0,"Y","N"))</f>
        <v/>
      </c>
      <c r="W666" s="64">
        <f>IF($A666="","",IFERROR(INDEX(계정매핑!$D$5:$D$504,MATCH($F666&amp;"",계정매핑!$A$5:$A$504,0)),"미매핑"))</f>
        <v/>
      </c>
      <c r="X666" s="9">
        <f>IF($A666="","",$F666&amp;"")</f>
        <v/>
      </c>
      <c r="Y666" s="94">
        <f>IF($A666="",0,IF(AE666="직접",IF(AF666="비귀속",$P666,0),$P666*(1-AG666)*IFERROR(INDEX(계정대체기준!$F$20:$F$49,MATCH($N666,계정대체기준!$A$20:$A$49,0)),1)))</f>
        <v/>
      </c>
      <c r="Z666" s="94">
        <f>IF($A666="",0,IF(AE666="직접",IF(AF666="신계약비",$P666,0),$P666*(1-AG666)*IFERROR(INDEX(계정대체기준!$C$20:$C$49,MATCH($N666,계정대체기준!$A$20:$A$49,0)),0)))</f>
        <v/>
      </c>
      <c r="AA666" s="94">
        <f>IF($A666="",0,IF(AE666="직접",IF(OR(AF666="유지비",AF666="손해조사비"),$P666,0),$P666*(1-AG666)*IFERROR(INDEX(계정대체기준!$D$20:$D$49,MATCH($N666,계정대체기준!$A$20:$A$49,0)),0)))</f>
        <v/>
      </c>
      <c r="AB666" s="94">
        <f>IF($A666="",0,IF(AE666="직접",IF(AF666="수금비",$P666,0),$P666*(1-AG666)*IFERROR(INDEX(계정대체기준!$E$20:$E$49,MATCH($N666,계정대체기준!$A$20:$A$49,0)),0)))</f>
        <v/>
      </c>
      <c r="AC666" s="9">
        <f>IF(AND($A666&lt;&gt;"",M666=설정!$C$20,Z666&gt;0),Z666+ROW()/1000000000,"")</f>
        <v/>
      </c>
      <c r="AD666" s="94">
        <f>IF($A666="",0,$P666*AG666)</f>
        <v/>
      </c>
      <c r="AE666" s="64">
        <f>IF($A666="","",IFERROR(INDEX(계정매핑!$E$5:$E$504,MATCH($F666&amp;"",계정매핑!$A$5:$A$504,0))&amp;"","공통비"))</f>
        <v/>
      </c>
      <c r="AF666" s="64">
        <f>IF($A666="","",IF(AE666="직접",IFERROR(INDEX(계정매핑!$F$5:$F$504,MATCH($F666&amp;"",계정매핑!$A$5:$A$504,0))&amp;"","비귀속"),""))</f>
        <v/>
      </c>
      <c r="AG666" s="96">
        <f>IF($A666="",0,IF(AND(AE666&lt;&gt;"직접",IFERROR(INDEX(계정매핑!$G$5:$G$504,MATCH($F666&amp;"",계정매핑!$A$5:$A$504,0))&amp;"","")="유지비",COUNTIF(계정대체기준!$A$6:$A$15,$N666)&gt;0),IFERROR(INDEX(계정대체기준!$E$6:$E$15,MATCH(VALUE($A666&amp;""),계정대체기준!$D$6:$D$15,0)),0),0))</f>
        <v/>
      </c>
      <c r="AH666" s="64">
        <f>IF($A666="","",IF(AD666=0,"",IF(OR(COUNTIF(계정대체기준!$A$77:$A$86,$N666)&gt;0,ISNUMBER(MATCH($X666,계정대체기준!$D$77:$D$86,0)),ISNUMBER(MATCH($F666,계정대체기준!$D$77:$D$86,0))),"Y","N")))</f>
        <v/>
      </c>
    </row>
    <row r="667">
      <c r="A667" s="92" t="n">
        <v>2025</v>
      </c>
      <c r="B667" s="92" t="n">
        <v>3</v>
      </c>
      <c r="C667" s="92" t="inlineStr">
        <is>
          <t>5100000663</t>
        </is>
      </c>
      <c r="D667" s="95" t="n">
        <v>45741</v>
      </c>
      <c r="E667" s="92" t="inlineStr">
        <is>
          <t>KR</t>
        </is>
      </c>
      <c r="F667" s="92" t="n">
        <v>63501000</v>
      </c>
      <c r="G667" s="92" t="n">
        <v>1901</v>
      </c>
      <c r="H667" s="93" t="n">
        <v>446188000</v>
      </c>
      <c r="I667" s="92" t="inlineStr">
        <is>
          <t>3월 모집수수료 - BB에셋</t>
        </is>
      </c>
      <c r="J667" s="92" t="inlineStr">
        <is>
          <t>V10013</t>
        </is>
      </c>
      <c r="K667" s="92" t="inlineStr">
        <is>
          <t>BB에셋</t>
        </is>
      </c>
      <c r="M667" s="9">
        <f>IF($A667="","",VALUE($A667&amp;"")*12+VALUE($B667&amp;""))</f>
        <v/>
      </c>
      <c r="N667" s="64">
        <f>IF($A667="","",IFERROR(INDEX(부서매핑!$C$5:$C$504,MATCH($G667&amp;"",부서매핑!$A$5:$A$504,0)),"미매핑"))</f>
        <v/>
      </c>
      <c r="O667" s="9">
        <f>IF($A667="","",N667&amp;"|"&amp;$F667)</f>
        <v/>
      </c>
      <c r="P667" s="94">
        <f>IF($A667="",0,$H667*설정!$C$23)</f>
        <v/>
      </c>
      <c r="Q667" s="64">
        <f>IF($A667="","",IF(O667&lt;&gt;원인분석!$C$9,"",IF(AND(M667&gt;=원인분석!$C$10,M667&lt;=원인분석!$C$11),"당기",IF(AND(M667&gt;=원인분석!$C$12,M667&lt;=원인분석!$C$13),"비교",""))))</f>
        <v/>
      </c>
      <c r="R667" s="9">
        <f>IF(Q667="","",$K667&amp;"")</f>
        <v/>
      </c>
      <c r="S667" s="9">
        <f>IF(Q667="","",IF(MATCH(R667,$R$5:$R$100000,0)=ROW()-4,ROW(),""))</f>
        <v/>
      </c>
      <c r="T667" s="9">
        <f>IF(Q667="당기",ABS(P667)+ROW()/1000000000,"")</f>
        <v/>
      </c>
      <c r="U667" s="9">
        <f>IF(Q667="비교",ABS(P667)+ROW()/1000000000,"")</f>
        <v/>
      </c>
      <c r="V667" s="64">
        <f>IF($A667="","",IF(COUNTIF(변동분석!$E$7:$E$506,O667)&gt;0,"Y","N"))</f>
        <v/>
      </c>
      <c r="W667" s="64">
        <f>IF($A667="","",IFERROR(INDEX(계정매핑!$D$5:$D$504,MATCH($F667&amp;"",계정매핑!$A$5:$A$504,0)),"미매핑"))</f>
        <v/>
      </c>
      <c r="X667" s="9">
        <f>IF($A667="","",$F667&amp;"")</f>
        <v/>
      </c>
      <c r="Y667" s="94">
        <f>IF($A667="",0,IF(AE667="직접",IF(AF667="비귀속",$P667,0),$P667*(1-AG667)*IFERROR(INDEX(계정대체기준!$F$20:$F$49,MATCH($N667,계정대체기준!$A$20:$A$49,0)),1)))</f>
        <v/>
      </c>
      <c r="Z667" s="94">
        <f>IF($A667="",0,IF(AE667="직접",IF(AF667="신계약비",$P667,0),$P667*(1-AG667)*IFERROR(INDEX(계정대체기준!$C$20:$C$49,MATCH($N667,계정대체기준!$A$20:$A$49,0)),0)))</f>
        <v/>
      </c>
      <c r="AA667" s="94">
        <f>IF($A667="",0,IF(AE667="직접",IF(OR(AF667="유지비",AF667="손해조사비"),$P667,0),$P667*(1-AG667)*IFERROR(INDEX(계정대체기준!$D$20:$D$49,MATCH($N667,계정대체기준!$A$20:$A$49,0)),0)))</f>
        <v/>
      </c>
      <c r="AB667" s="94">
        <f>IF($A667="",0,IF(AE667="직접",IF(AF667="수금비",$P667,0),$P667*(1-AG667)*IFERROR(INDEX(계정대체기준!$E$20:$E$49,MATCH($N667,계정대체기준!$A$20:$A$49,0)),0)))</f>
        <v/>
      </c>
      <c r="AC667" s="9">
        <f>IF(AND($A667&lt;&gt;"",M667=설정!$C$20,Z667&gt;0),Z667+ROW()/1000000000,"")</f>
        <v/>
      </c>
      <c r="AD667" s="94">
        <f>IF($A667="",0,$P667*AG667)</f>
        <v/>
      </c>
      <c r="AE667" s="64">
        <f>IF($A667="","",IFERROR(INDEX(계정매핑!$E$5:$E$504,MATCH($F667&amp;"",계정매핑!$A$5:$A$504,0))&amp;"","공통비"))</f>
        <v/>
      </c>
      <c r="AF667" s="64">
        <f>IF($A667="","",IF(AE667="직접",IFERROR(INDEX(계정매핑!$F$5:$F$504,MATCH($F667&amp;"",계정매핑!$A$5:$A$504,0))&amp;"","비귀속"),""))</f>
        <v/>
      </c>
      <c r="AG667" s="96">
        <f>IF($A667="",0,IF(AND(AE667&lt;&gt;"직접",IFERROR(INDEX(계정매핑!$G$5:$G$504,MATCH($F667&amp;"",계정매핑!$A$5:$A$504,0))&amp;"","")="유지비",COUNTIF(계정대체기준!$A$6:$A$15,$N667)&gt;0),IFERROR(INDEX(계정대체기준!$E$6:$E$15,MATCH(VALUE($A667&amp;""),계정대체기준!$D$6:$D$15,0)),0),0))</f>
        <v/>
      </c>
      <c r="AH667" s="64">
        <f>IF($A667="","",IF(AD667=0,"",IF(OR(COUNTIF(계정대체기준!$A$77:$A$86,$N667)&gt;0,ISNUMBER(MATCH($X667,계정대체기준!$D$77:$D$86,0)),ISNUMBER(MATCH($F667,계정대체기준!$D$77:$D$86,0))),"Y","N")))</f>
        <v/>
      </c>
    </row>
    <row r="668">
      <c r="A668" s="92" t="n">
        <v>2025</v>
      </c>
      <c r="B668" s="92" t="n">
        <v>3</v>
      </c>
      <c r="C668" s="92" t="inlineStr">
        <is>
          <t>5100000664</t>
        </is>
      </c>
      <c r="D668" s="95" t="n">
        <v>45742</v>
      </c>
      <c r="E668" s="92" t="inlineStr">
        <is>
          <t>KR</t>
        </is>
      </c>
      <c r="F668" s="92" t="n">
        <v>62101000</v>
      </c>
      <c r="G668" s="92" t="n">
        <v>1401</v>
      </c>
      <c r="H668" s="93" t="n">
        <v>273000</v>
      </c>
      <c r="I668" s="92" t="inlineStr">
        <is>
          <t>3월 국내출장 - L여행사</t>
        </is>
      </c>
      <c r="J668" s="92" t="inlineStr">
        <is>
          <t>V10018</t>
        </is>
      </c>
      <c r="K668" s="92" t="inlineStr">
        <is>
          <t>L여행사</t>
        </is>
      </c>
      <c r="M668" s="9">
        <f>IF($A668="","",VALUE($A668&amp;"")*12+VALUE($B668&amp;""))</f>
        <v/>
      </c>
      <c r="N668" s="64">
        <f>IF($A668="","",IFERROR(INDEX(부서매핑!$C$5:$C$504,MATCH($G668&amp;"",부서매핑!$A$5:$A$504,0)),"미매핑"))</f>
        <v/>
      </c>
      <c r="O668" s="9">
        <f>IF($A668="","",N668&amp;"|"&amp;$F668)</f>
        <v/>
      </c>
      <c r="P668" s="94">
        <f>IF($A668="",0,$H668*설정!$C$23)</f>
        <v/>
      </c>
      <c r="Q668" s="64">
        <f>IF($A668="","",IF(O668&lt;&gt;원인분석!$C$9,"",IF(AND(M668&gt;=원인분석!$C$10,M668&lt;=원인분석!$C$11),"당기",IF(AND(M668&gt;=원인분석!$C$12,M668&lt;=원인분석!$C$13),"비교",""))))</f>
        <v/>
      </c>
      <c r="R668" s="9">
        <f>IF(Q668="","",$K668&amp;"")</f>
        <v/>
      </c>
      <c r="S668" s="9">
        <f>IF(Q668="","",IF(MATCH(R668,$R$5:$R$100000,0)=ROW()-4,ROW(),""))</f>
        <v/>
      </c>
      <c r="T668" s="9">
        <f>IF(Q668="당기",ABS(P668)+ROW()/1000000000,"")</f>
        <v/>
      </c>
      <c r="U668" s="9">
        <f>IF(Q668="비교",ABS(P668)+ROW()/1000000000,"")</f>
        <v/>
      </c>
      <c r="V668" s="64">
        <f>IF($A668="","",IF(COUNTIF(변동분석!$E$7:$E$506,O668)&gt;0,"Y","N"))</f>
        <v/>
      </c>
      <c r="W668" s="64">
        <f>IF($A668="","",IFERROR(INDEX(계정매핑!$D$5:$D$504,MATCH($F668&amp;"",계정매핑!$A$5:$A$504,0)),"미매핑"))</f>
        <v/>
      </c>
      <c r="X668" s="9">
        <f>IF($A668="","",$F668&amp;"")</f>
        <v/>
      </c>
      <c r="Y668" s="94">
        <f>IF($A668="",0,IF(AE668="직접",IF(AF668="비귀속",$P668,0),$P668*(1-AG668)*IFERROR(INDEX(계정대체기준!$F$20:$F$49,MATCH($N668,계정대체기준!$A$20:$A$49,0)),1)))</f>
        <v/>
      </c>
      <c r="Z668" s="94">
        <f>IF($A668="",0,IF(AE668="직접",IF(AF668="신계약비",$P668,0),$P668*(1-AG668)*IFERROR(INDEX(계정대체기준!$C$20:$C$49,MATCH($N668,계정대체기준!$A$20:$A$49,0)),0)))</f>
        <v/>
      </c>
      <c r="AA668" s="94">
        <f>IF($A668="",0,IF(AE668="직접",IF(OR(AF668="유지비",AF668="손해조사비"),$P668,0),$P668*(1-AG668)*IFERROR(INDEX(계정대체기준!$D$20:$D$49,MATCH($N668,계정대체기준!$A$20:$A$49,0)),0)))</f>
        <v/>
      </c>
      <c r="AB668" s="94">
        <f>IF($A668="",0,IF(AE668="직접",IF(AF668="수금비",$P668,0),$P668*(1-AG668)*IFERROR(INDEX(계정대체기준!$E$20:$E$49,MATCH($N668,계정대체기준!$A$20:$A$49,0)),0)))</f>
        <v/>
      </c>
      <c r="AC668" s="9">
        <f>IF(AND($A668&lt;&gt;"",M668=설정!$C$20,Z668&gt;0),Z668+ROW()/1000000000,"")</f>
        <v/>
      </c>
      <c r="AD668" s="94">
        <f>IF($A668="",0,$P668*AG668)</f>
        <v/>
      </c>
      <c r="AE668" s="64">
        <f>IF($A668="","",IFERROR(INDEX(계정매핑!$E$5:$E$504,MATCH($F668&amp;"",계정매핑!$A$5:$A$504,0))&amp;"","공통비"))</f>
        <v/>
      </c>
      <c r="AF668" s="64">
        <f>IF($A668="","",IF(AE668="직접",IFERROR(INDEX(계정매핑!$F$5:$F$504,MATCH($F668&amp;"",계정매핑!$A$5:$A$504,0))&amp;"","비귀속"),""))</f>
        <v/>
      </c>
      <c r="AG668" s="96">
        <f>IF($A668="",0,IF(AND(AE668&lt;&gt;"직접",IFERROR(INDEX(계정매핑!$G$5:$G$504,MATCH($F668&amp;"",계정매핑!$A$5:$A$504,0))&amp;"","")="유지비",COUNTIF(계정대체기준!$A$6:$A$15,$N668)&gt;0),IFERROR(INDEX(계정대체기준!$E$6:$E$15,MATCH(VALUE($A668&amp;""),계정대체기준!$D$6:$D$15,0)),0),0))</f>
        <v/>
      </c>
      <c r="AH668" s="64">
        <f>IF($A668="","",IF(AD668=0,"",IF(OR(COUNTIF(계정대체기준!$A$77:$A$86,$N668)&gt;0,ISNUMBER(MATCH($X668,계정대체기준!$D$77:$D$86,0)),ISNUMBER(MATCH($F668,계정대체기준!$D$77:$D$86,0))),"Y","N")))</f>
        <v/>
      </c>
    </row>
    <row r="669">
      <c r="A669" s="92" t="n">
        <v>2025</v>
      </c>
      <c r="B669" s="92" t="n">
        <v>3</v>
      </c>
      <c r="C669" s="92" t="inlineStr">
        <is>
          <t>5100000665</t>
        </is>
      </c>
      <c r="D669" s="95" t="n">
        <v>45742</v>
      </c>
      <c r="E669" s="92" t="inlineStr">
        <is>
          <t>KR</t>
        </is>
      </c>
      <c r="F669" s="92" t="n">
        <v>62102000</v>
      </c>
      <c r="G669" s="92" t="n">
        <v>1501</v>
      </c>
      <c r="H669" s="93" t="n">
        <v>139000</v>
      </c>
      <c r="I669" s="92" t="inlineStr">
        <is>
          <t>3월 해외출장 - N호텔</t>
        </is>
      </c>
      <c r="J669" s="92" t="inlineStr">
        <is>
          <t>V10009</t>
        </is>
      </c>
      <c r="K669" s="92" t="inlineStr">
        <is>
          <t>N호텔</t>
        </is>
      </c>
      <c r="M669" s="9">
        <f>IF($A669="","",VALUE($A669&amp;"")*12+VALUE($B669&amp;""))</f>
        <v/>
      </c>
      <c r="N669" s="64">
        <f>IF($A669="","",IFERROR(INDEX(부서매핑!$C$5:$C$504,MATCH($G669&amp;"",부서매핑!$A$5:$A$504,0)),"미매핑"))</f>
        <v/>
      </c>
      <c r="O669" s="9">
        <f>IF($A669="","",N669&amp;"|"&amp;$F669)</f>
        <v/>
      </c>
      <c r="P669" s="94">
        <f>IF($A669="",0,$H669*설정!$C$23)</f>
        <v/>
      </c>
      <c r="Q669" s="64">
        <f>IF($A669="","",IF(O669&lt;&gt;원인분석!$C$9,"",IF(AND(M669&gt;=원인분석!$C$10,M669&lt;=원인분석!$C$11),"당기",IF(AND(M669&gt;=원인분석!$C$12,M669&lt;=원인분석!$C$13),"비교",""))))</f>
        <v/>
      </c>
      <c r="R669" s="9">
        <f>IF(Q669="","",$K669&amp;"")</f>
        <v/>
      </c>
      <c r="S669" s="9">
        <f>IF(Q669="","",IF(MATCH(R669,$R$5:$R$100000,0)=ROW()-4,ROW(),""))</f>
        <v/>
      </c>
      <c r="T669" s="9">
        <f>IF(Q669="당기",ABS(P669)+ROW()/1000000000,"")</f>
        <v/>
      </c>
      <c r="U669" s="9">
        <f>IF(Q669="비교",ABS(P669)+ROW()/1000000000,"")</f>
        <v/>
      </c>
      <c r="V669" s="64">
        <f>IF($A669="","",IF(COUNTIF(변동분석!$E$7:$E$506,O669)&gt;0,"Y","N"))</f>
        <v/>
      </c>
      <c r="W669" s="64">
        <f>IF($A669="","",IFERROR(INDEX(계정매핑!$D$5:$D$504,MATCH($F669&amp;"",계정매핑!$A$5:$A$504,0)),"미매핑"))</f>
        <v/>
      </c>
      <c r="X669" s="9">
        <f>IF($A669="","",$F669&amp;"")</f>
        <v/>
      </c>
      <c r="Y669" s="94">
        <f>IF($A669="",0,IF(AE669="직접",IF(AF669="비귀속",$P669,0),$P669*(1-AG669)*IFERROR(INDEX(계정대체기준!$F$20:$F$49,MATCH($N669,계정대체기준!$A$20:$A$49,0)),1)))</f>
        <v/>
      </c>
      <c r="Z669" s="94">
        <f>IF($A669="",0,IF(AE669="직접",IF(AF669="신계약비",$P669,0),$P669*(1-AG669)*IFERROR(INDEX(계정대체기준!$C$20:$C$49,MATCH($N669,계정대체기준!$A$20:$A$49,0)),0)))</f>
        <v/>
      </c>
      <c r="AA669" s="94">
        <f>IF($A669="",0,IF(AE669="직접",IF(OR(AF669="유지비",AF669="손해조사비"),$P669,0),$P669*(1-AG669)*IFERROR(INDEX(계정대체기준!$D$20:$D$49,MATCH($N669,계정대체기준!$A$20:$A$49,0)),0)))</f>
        <v/>
      </c>
      <c r="AB669" s="94">
        <f>IF($A669="",0,IF(AE669="직접",IF(AF669="수금비",$P669,0),$P669*(1-AG669)*IFERROR(INDEX(계정대체기준!$E$20:$E$49,MATCH($N669,계정대체기준!$A$20:$A$49,0)),0)))</f>
        <v/>
      </c>
      <c r="AC669" s="9">
        <f>IF(AND($A669&lt;&gt;"",M669=설정!$C$20,Z669&gt;0),Z669+ROW()/1000000000,"")</f>
        <v/>
      </c>
      <c r="AD669" s="94">
        <f>IF($A669="",0,$P669*AG669)</f>
        <v/>
      </c>
      <c r="AE669" s="64">
        <f>IF($A669="","",IFERROR(INDEX(계정매핑!$E$5:$E$504,MATCH($F669&amp;"",계정매핑!$A$5:$A$504,0))&amp;"","공통비"))</f>
        <v/>
      </c>
      <c r="AF669" s="64">
        <f>IF($A669="","",IF(AE669="직접",IFERROR(INDEX(계정매핑!$F$5:$F$504,MATCH($F669&amp;"",계정매핑!$A$5:$A$504,0))&amp;"","비귀속"),""))</f>
        <v/>
      </c>
      <c r="AG669" s="96">
        <f>IF($A669="",0,IF(AND(AE669&lt;&gt;"직접",IFERROR(INDEX(계정매핑!$G$5:$G$504,MATCH($F669&amp;"",계정매핑!$A$5:$A$504,0))&amp;"","")="유지비",COUNTIF(계정대체기준!$A$6:$A$15,$N669)&gt;0),IFERROR(INDEX(계정대체기준!$E$6:$E$15,MATCH(VALUE($A669&amp;""),계정대체기준!$D$6:$D$15,0)),0),0))</f>
        <v/>
      </c>
      <c r="AH669" s="64">
        <f>IF($A669="","",IF(AD669=0,"",IF(OR(COUNTIF(계정대체기준!$A$77:$A$86,$N669)&gt;0,ISNUMBER(MATCH($X669,계정대체기준!$D$77:$D$86,0)),ISNUMBER(MATCH($F669,계정대체기준!$D$77:$D$86,0))),"Y","N")))</f>
        <v/>
      </c>
    </row>
    <row r="670">
      <c r="A670" s="92" t="n">
        <v>2025</v>
      </c>
      <c r="B670" s="92" t="n">
        <v>3</v>
      </c>
      <c r="C670" s="92" t="inlineStr">
        <is>
          <t>5100000666</t>
        </is>
      </c>
      <c r="D670" s="95" t="n">
        <v>45742</v>
      </c>
      <c r="E670" s="92" t="inlineStr">
        <is>
          <t>KR</t>
        </is>
      </c>
      <c r="F670" s="92" t="n">
        <v>62102000</v>
      </c>
      <c r="G670" s="92" t="n">
        <v>1602</v>
      </c>
      <c r="H670" s="93" t="n">
        <v>278000</v>
      </c>
      <c r="I670" s="92" t="inlineStr">
        <is>
          <t>3월 해외출장 - M항공</t>
        </is>
      </c>
      <c r="J670" s="92" t="inlineStr">
        <is>
          <t>V10001</t>
        </is>
      </c>
      <c r="K670" s="92" t="inlineStr">
        <is>
          <t>M항공</t>
        </is>
      </c>
      <c r="M670" s="9">
        <f>IF($A670="","",VALUE($A670&amp;"")*12+VALUE($B670&amp;""))</f>
        <v/>
      </c>
      <c r="N670" s="64">
        <f>IF($A670="","",IFERROR(INDEX(부서매핑!$C$5:$C$504,MATCH($G670&amp;"",부서매핑!$A$5:$A$504,0)),"미매핑"))</f>
        <v/>
      </c>
      <c r="O670" s="9">
        <f>IF($A670="","",N670&amp;"|"&amp;$F670)</f>
        <v/>
      </c>
      <c r="P670" s="94">
        <f>IF($A670="",0,$H670*설정!$C$23)</f>
        <v/>
      </c>
      <c r="Q670" s="64">
        <f>IF($A670="","",IF(O670&lt;&gt;원인분석!$C$9,"",IF(AND(M670&gt;=원인분석!$C$10,M670&lt;=원인분석!$C$11),"당기",IF(AND(M670&gt;=원인분석!$C$12,M670&lt;=원인분석!$C$13),"비교",""))))</f>
        <v/>
      </c>
      <c r="R670" s="9">
        <f>IF(Q670="","",$K670&amp;"")</f>
        <v/>
      </c>
      <c r="S670" s="9">
        <f>IF(Q670="","",IF(MATCH(R670,$R$5:$R$100000,0)=ROW()-4,ROW(),""))</f>
        <v/>
      </c>
      <c r="T670" s="9">
        <f>IF(Q670="당기",ABS(P670)+ROW()/1000000000,"")</f>
        <v/>
      </c>
      <c r="U670" s="9">
        <f>IF(Q670="비교",ABS(P670)+ROW()/1000000000,"")</f>
        <v/>
      </c>
      <c r="V670" s="64">
        <f>IF($A670="","",IF(COUNTIF(변동분석!$E$7:$E$506,O670)&gt;0,"Y","N"))</f>
        <v/>
      </c>
      <c r="W670" s="64">
        <f>IF($A670="","",IFERROR(INDEX(계정매핑!$D$5:$D$504,MATCH($F670&amp;"",계정매핑!$A$5:$A$504,0)),"미매핑"))</f>
        <v/>
      </c>
      <c r="X670" s="9">
        <f>IF($A670="","",$F670&amp;"")</f>
        <v/>
      </c>
      <c r="Y670" s="94">
        <f>IF($A670="",0,IF(AE670="직접",IF(AF670="비귀속",$P670,0),$P670*(1-AG670)*IFERROR(INDEX(계정대체기준!$F$20:$F$49,MATCH($N670,계정대체기준!$A$20:$A$49,0)),1)))</f>
        <v/>
      </c>
      <c r="Z670" s="94">
        <f>IF($A670="",0,IF(AE670="직접",IF(AF670="신계약비",$P670,0),$P670*(1-AG670)*IFERROR(INDEX(계정대체기준!$C$20:$C$49,MATCH($N670,계정대체기준!$A$20:$A$49,0)),0)))</f>
        <v/>
      </c>
      <c r="AA670" s="94">
        <f>IF($A670="",0,IF(AE670="직접",IF(OR(AF670="유지비",AF670="손해조사비"),$P670,0),$P670*(1-AG670)*IFERROR(INDEX(계정대체기준!$D$20:$D$49,MATCH($N670,계정대체기준!$A$20:$A$49,0)),0)))</f>
        <v/>
      </c>
      <c r="AB670" s="94">
        <f>IF($A670="",0,IF(AE670="직접",IF(AF670="수금비",$P670,0),$P670*(1-AG670)*IFERROR(INDEX(계정대체기준!$E$20:$E$49,MATCH($N670,계정대체기준!$A$20:$A$49,0)),0)))</f>
        <v/>
      </c>
      <c r="AC670" s="9">
        <f>IF(AND($A670&lt;&gt;"",M670=설정!$C$20,Z670&gt;0),Z670+ROW()/1000000000,"")</f>
        <v/>
      </c>
      <c r="AD670" s="94">
        <f>IF($A670="",0,$P670*AG670)</f>
        <v/>
      </c>
      <c r="AE670" s="64">
        <f>IF($A670="","",IFERROR(INDEX(계정매핑!$E$5:$E$504,MATCH($F670&amp;"",계정매핑!$A$5:$A$504,0))&amp;"","공통비"))</f>
        <v/>
      </c>
      <c r="AF670" s="64">
        <f>IF($A670="","",IF(AE670="직접",IFERROR(INDEX(계정매핑!$F$5:$F$504,MATCH($F670&amp;"",계정매핑!$A$5:$A$504,0))&amp;"","비귀속"),""))</f>
        <v/>
      </c>
      <c r="AG670" s="96">
        <f>IF($A670="",0,IF(AND(AE670&lt;&gt;"직접",IFERROR(INDEX(계정매핑!$G$5:$G$504,MATCH($F670&amp;"",계정매핑!$A$5:$A$504,0))&amp;"","")="유지비",COUNTIF(계정대체기준!$A$6:$A$15,$N670)&gt;0),IFERROR(INDEX(계정대체기준!$E$6:$E$15,MATCH(VALUE($A670&amp;""),계정대체기준!$D$6:$D$15,0)),0),0))</f>
        <v/>
      </c>
      <c r="AH670" s="64">
        <f>IF($A670="","",IF(AD670=0,"",IF(OR(COUNTIF(계정대체기준!$A$77:$A$86,$N670)&gt;0,ISNUMBER(MATCH($X670,계정대체기준!$D$77:$D$86,0)),ISNUMBER(MATCH($F670,계정대체기준!$D$77:$D$86,0))),"Y","N")))</f>
        <v/>
      </c>
    </row>
    <row r="671">
      <c r="A671" s="92" t="n">
        <v>2025</v>
      </c>
      <c r="B671" s="92" t="n">
        <v>3</v>
      </c>
      <c r="C671" s="92" t="inlineStr">
        <is>
          <t>5100000667</t>
        </is>
      </c>
      <c r="D671" s="95" t="n">
        <v>45742</v>
      </c>
      <c r="E671" s="92" t="inlineStr">
        <is>
          <t>KR</t>
        </is>
      </c>
      <c r="F671" s="92" t="n">
        <v>62301000</v>
      </c>
      <c r="G671" s="92" t="n">
        <v>1501</v>
      </c>
      <c r="H671" s="93" t="n">
        <v>214000</v>
      </c>
      <c r="I671" s="92" t="inlineStr">
        <is>
          <t>3월 소모품 구입 - Q오피스</t>
        </is>
      </c>
      <c r="J671" s="92" t="inlineStr">
        <is>
          <t>V10003</t>
        </is>
      </c>
      <c r="K671" s="92" t="inlineStr">
        <is>
          <t>Q오피스</t>
        </is>
      </c>
      <c r="M671" s="9">
        <f>IF($A671="","",VALUE($A671&amp;"")*12+VALUE($B671&amp;""))</f>
        <v/>
      </c>
      <c r="N671" s="64">
        <f>IF($A671="","",IFERROR(INDEX(부서매핑!$C$5:$C$504,MATCH($G671&amp;"",부서매핑!$A$5:$A$504,0)),"미매핑"))</f>
        <v/>
      </c>
      <c r="O671" s="9">
        <f>IF($A671="","",N671&amp;"|"&amp;$F671)</f>
        <v/>
      </c>
      <c r="P671" s="94">
        <f>IF($A671="",0,$H671*설정!$C$23)</f>
        <v/>
      </c>
      <c r="Q671" s="64">
        <f>IF($A671="","",IF(O671&lt;&gt;원인분석!$C$9,"",IF(AND(M671&gt;=원인분석!$C$10,M671&lt;=원인분석!$C$11),"당기",IF(AND(M671&gt;=원인분석!$C$12,M671&lt;=원인분석!$C$13),"비교",""))))</f>
        <v/>
      </c>
      <c r="R671" s="9">
        <f>IF(Q671="","",$K671&amp;"")</f>
        <v/>
      </c>
      <c r="S671" s="9">
        <f>IF(Q671="","",IF(MATCH(R671,$R$5:$R$100000,0)=ROW()-4,ROW(),""))</f>
        <v/>
      </c>
      <c r="T671" s="9">
        <f>IF(Q671="당기",ABS(P671)+ROW()/1000000000,"")</f>
        <v/>
      </c>
      <c r="U671" s="9">
        <f>IF(Q671="비교",ABS(P671)+ROW()/1000000000,"")</f>
        <v/>
      </c>
      <c r="V671" s="64">
        <f>IF($A671="","",IF(COUNTIF(변동분석!$E$7:$E$506,O671)&gt;0,"Y","N"))</f>
        <v/>
      </c>
      <c r="W671" s="64">
        <f>IF($A671="","",IFERROR(INDEX(계정매핑!$D$5:$D$504,MATCH($F671&amp;"",계정매핑!$A$5:$A$504,0)),"미매핑"))</f>
        <v/>
      </c>
      <c r="X671" s="9">
        <f>IF($A671="","",$F671&amp;"")</f>
        <v/>
      </c>
      <c r="Y671" s="94">
        <f>IF($A671="",0,IF(AE671="직접",IF(AF671="비귀속",$P671,0),$P671*(1-AG671)*IFERROR(INDEX(계정대체기준!$F$20:$F$49,MATCH($N671,계정대체기준!$A$20:$A$49,0)),1)))</f>
        <v/>
      </c>
      <c r="Z671" s="94">
        <f>IF($A671="",0,IF(AE671="직접",IF(AF671="신계약비",$P671,0),$P671*(1-AG671)*IFERROR(INDEX(계정대체기준!$C$20:$C$49,MATCH($N671,계정대체기준!$A$20:$A$49,0)),0)))</f>
        <v/>
      </c>
      <c r="AA671" s="94">
        <f>IF($A671="",0,IF(AE671="직접",IF(OR(AF671="유지비",AF671="손해조사비"),$P671,0),$P671*(1-AG671)*IFERROR(INDEX(계정대체기준!$D$20:$D$49,MATCH($N671,계정대체기준!$A$20:$A$49,0)),0)))</f>
        <v/>
      </c>
      <c r="AB671" s="94">
        <f>IF($A671="",0,IF(AE671="직접",IF(AF671="수금비",$P671,0),$P671*(1-AG671)*IFERROR(INDEX(계정대체기준!$E$20:$E$49,MATCH($N671,계정대체기준!$A$20:$A$49,0)),0)))</f>
        <v/>
      </c>
      <c r="AC671" s="9">
        <f>IF(AND($A671&lt;&gt;"",M671=설정!$C$20,Z671&gt;0),Z671+ROW()/1000000000,"")</f>
        <v/>
      </c>
      <c r="AD671" s="94">
        <f>IF($A671="",0,$P671*AG671)</f>
        <v/>
      </c>
      <c r="AE671" s="64">
        <f>IF($A671="","",IFERROR(INDEX(계정매핑!$E$5:$E$504,MATCH($F671&amp;"",계정매핑!$A$5:$A$504,0))&amp;"","공통비"))</f>
        <v/>
      </c>
      <c r="AF671" s="64">
        <f>IF($A671="","",IF(AE671="직접",IFERROR(INDEX(계정매핑!$F$5:$F$504,MATCH($F671&amp;"",계정매핑!$A$5:$A$504,0))&amp;"","비귀속"),""))</f>
        <v/>
      </c>
      <c r="AG671" s="96">
        <f>IF($A671="",0,IF(AND(AE671&lt;&gt;"직접",IFERROR(INDEX(계정매핑!$G$5:$G$504,MATCH($F671&amp;"",계정매핑!$A$5:$A$504,0))&amp;"","")="유지비",COUNTIF(계정대체기준!$A$6:$A$15,$N671)&gt;0),IFERROR(INDEX(계정대체기준!$E$6:$E$15,MATCH(VALUE($A671&amp;""),계정대체기준!$D$6:$D$15,0)),0),0))</f>
        <v/>
      </c>
      <c r="AH671" s="64">
        <f>IF($A671="","",IF(AD671=0,"",IF(OR(COUNTIF(계정대체기준!$A$77:$A$86,$N671)&gt;0,ISNUMBER(MATCH($X671,계정대체기준!$D$77:$D$86,0)),ISNUMBER(MATCH($F671,계정대체기준!$D$77:$D$86,0))),"Y","N")))</f>
        <v/>
      </c>
    </row>
    <row r="672">
      <c r="A672" s="92" t="n">
        <v>2025</v>
      </c>
      <c r="B672" s="92" t="n">
        <v>3</v>
      </c>
      <c r="C672" s="92" t="inlineStr">
        <is>
          <t>5100000668</t>
        </is>
      </c>
      <c r="D672" s="95" t="n">
        <v>45742</v>
      </c>
      <c r="E672" s="92" t="inlineStr">
        <is>
          <t>KR</t>
        </is>
      </c>
      <c r="F672" s="92" t="n">
        <v>62301000</v>
      </c>
      <c r="G672" s="92" t="n">
        <v>1501</v>
      </c>
      <c r="H672" s="93" t="n">
        <v>124000</v>
      </c>
      <c r="I672" s="92" t="inlineStr">
        <is>
          <t>3월 소모품 구입 - Q오피스</t>
        </is>
      </c>
      <c r="J672" s="92" t="inlineStr">
        <is>
          <t>V10003</t>
        </is>
      </c>
      <c r="K672" s="92" t="inlineStr">
        <is>
          <t>Q오피스</t>
        </is>
      </c>
      <c r="M672" s="9">
        <f>IF($A672="","",VALUE($A672&amp;"")*12+VALUE($B672&amp;""))</f>
        <v/>
      </c>
      <c r="N672" s="64">
        <f>IF($A672="","",IFERROR(INDEX(부서매핑!$C$5:$C$504,MATCH($G672&amp;"",부서매핑!$A$5:$A$504,0)),"미매핑"))</f>
        <v/>
      </c>
      <c r="O672" s="9">
        <f>IF($A672="","",N672&amp;"|"&amp;$F672)</f>
        <v/>
      </c>
      <c r="P672" s="94">
        <f>IF($A672="",0,$H672*설정!$C$23)</f>
        <v/>
      </c>
      <c r="Q672" s="64">
        <f>IF($A672="","",IF(O672&lt;&gt;원인분석!$C$9,"",IF(AND(M672&gt;=원인분석!$C$10,M672&lt;=원인분석!$C$11),"당기",IF(AND(M672&gt;=원인분석!$C$12,M672&lt;=원인분석!$C$13),"비교",""))))</f>
        <v/>
      </c>
      <c r="R672" s="9">
        <f>IF(Q672="","",$K672&amp;"")</f>
        <v/>
      </c>
      <c r="S672" s="9">
        <f>IF(Q672="","",IF(MATCH(R672,$R$5:$R$100000,0)=ROW()-4,ROW(),""))</f>
        <v/>
      </c>
      <c r="T672" s="9">
        <f>IF(Q672="당기",ABS(P672)+ROW()/1000000000,"")</f>
        <v/>
      </c>
      <c r="U672" s="9">
        <f>IF(Q672="비교",ABS(P672)+ROW()/1000000000,"")</f>
        <v/>
      </c>
      <c r="V672" s="64">
        <f>IF($A672="","",IF(COUNTIF(변동분석!$E$7:$E$506,O672)&gt;0,"Y","N"))</f>
        <v/>
      </c>
      <c r="W672" s="64">
        <f>IF($A672="","",IFERROR(INDEX(계정매핑!$D$5:$D$504,MATCH($F672&amp;"",계정매핑!$A$5:$A$504,0)),"미매핑"))</f>
        <v/>
      </c>
      <c r="X672" s="9">
        <f>IF($A672="","",$F672&amp;"")</f>
        <v/>
      </c>
      <c r="Y672" s="94">
        <f>IF($A672="",0,IF(AE672="직접",IF(AF672="비귀속",$P672,0),$P672*(1-AG672)*IFERROR(INDEX(계정대체기준!$F$20:$F$49,MATCH($N672,계정대체기준!$A$20:$A$49,0)),1)))</f>
        <v/>
      </c>
      <c r="Z672" s="94">
        <f>IF($A672="",0,IF(AE672="직접",IF(AF672="신계약비",$P672,0),$P672*(1-AG672)*IFERROR(INDEX(계정대체기준!$C$20:$C$49,MATCH($N672,계정대체기준!$A$20:$A$49,0)),0)))</f>
        <v/>
      </c>
      <c r="AA672" s="94">
        <f>IF($A672="",0,IF(AE672="직접",IF(OR(AF672="유지비",AF672="손해조사비"),$P672,0),$P672*(1-AG672)*IFERROR(INDEX(계정대체기준!$D$20:$D$49,MATCH($N672,계정대체기준!$A$20:$A$49,0)),0)))</f>
        <v/>
      </c>
      <c r="AB672" s="94">
        <f>IF($A672="",0,IF(AE672="직접",IF(AF672="수금비",$P672,0),$P672*(1-AG672)*IFERROR(INDEX(계정대체기준!$E$20:$E$49,MATCH($N672,계정대체기준!$A$20:$A$49,0)),0)))</f>
        <v/>
      </c>
      <c r="AC672" s="9">
        <f>IF(AND($A672&lt;&gt;"",M672=설정!$C$20,Z672&gt;0),Z672+ROW()/1000000000,"")</f>
        <v/>
      </c>
      <c r="AD672" s="94">
        <f>IF($A672="",0,$P672*AG672)</f>
        <v/>
      </c>
      <c r="AE672" s="64">
        <f>IF($A672="","",IFERROR(INDEX(계정매핑!$E$5:$E$504,MATCH($F672&amp;"",계정매핑!$A$5:$A$504,0))&amp;"","공통비"))</f>
        <v/>
      </c>
      <c r="AF672" s="64">
        <f>IF($A672="","",IF(AE672="직접",IFERROR(INDEX(계정매핑!$F$5:$F$504,MATCH($F672&amp;"",계정매핑!$A$5:$A$504,0))&amp;"","비귀속"),""))</f>
        <v/>
      </c>
      <c r="AG672" s="96">
        <f>IF($A672="",0,IF(AND(AE672&lt;&gt;"직접",IFERROR(INDEX(계정매핑!$G$5:$G$504,MATCH($F672&amp;"",계정매핑!$A$5:$A$504,0))&amp;"","")="유지비",COUNTIF(계정대체기준!$A$6:$A$15,$N672)&gt;0),IFERROR(INDEX(계정대체기준!$E$6:$E$15,MATCH(VALUE($A672&amp;""),계정대체기준!$D$6:$D$15,0)),0),0))</f>
        <v/>
      </c>
      <c r="AH672" s="64">
        <f>IF($A672="","",IF(AD672=0,"",IF(OR(COUNTIF(계정대체기준!$A$77:$A$86,$N672)&gt;0,ISNUMBER(MATCH($X672,계정대체기준!$D$77:$D$86,0)),ISNUMBER(MATCH($F672,계정대체기준!$D$77:$D$86,0))),"Y","N")))</f>
        <v/>
      </c>
    </row>
    <row r="673">
      <c r="A673" s="92" t="n">
        <v>2025</v>
      </c>
      <c r="B673" s="92" t="n">
        <v>3</v>
      </c>
      <c r="C673" s="92" t="inlineStr">
        <is>
          <t>5100000669</t>
        </is>
      </c>
      <c r="D673" s="95" t="n">
        <v>45742</v>
      </c>
      <c r="E673" s="92" t="inlineStr">
        <is>
          <t>KR</t>
        </is>
      </c>
      <c r="F673" s="92" t="n">
        <v>62401000</v>
      </c>
      <c r="G673" s="92" t="n">
        <v>1401</v>
      </c>
      <c r="H673" s="93" t="n">
        <v>352000</v>
      </c>
      <c r="I673" s="92" t="inlineStr">
        <is>
          <t>3월 인쇄물 제작 - G인쇄</t>
        </is>
      </c>
      <c r="J673" s="92" t="inlineStr">
        <is>
          <t>V10004</t>
        </is>
      </c>
      <c r="K673" s="92" t="inlineStr">
        <is>
          <t>G인쇄</t>
        </is>
      </c>
      <c r="M673" s="9">
        <f>IF($A673="","",VALUE($A673&amp;"")*12+VALUE($B673&amp;""))</f>
        <v/>
      </c>
      <c r="N673" s="64">
        <f>IF($A673="","",IFERROR(INDEX(부서매핑!$C$5:$C$504,MATCH($G673&amp;"",부서매핑!$A$5:$A$504,0)),"미매핑"))</f>
        <v/>
      </c>
      <c r="O673" s="9">
        <f>IF($A673="","",N673&amp;"|"&amp;$F673)</f>
        <v/>
      </c>
      <c r="P673" s="94">
        <f>IF($A673="",0,$H673*설정!$C$23)</f>
        <v/>
      </c>
      <c r="Q673" s="64">
        <f>IF($A673="","",IF(O673&lt;&gt;원인분석!$C$9,"",IF(AND(M673&gt;=원인분석!$C$10,M673&lt;=원인분석!$C$11),"당기",IF(AND(M673&gt;=원인분석!$C$12,M673&lt;=원인분석!$C$13),"비교",""))))</f>
        <v/>
      </c>
      <c r="R673" s="9">
        <f>IF(Q673="","",$K673&amp;"")</f>
        <v/>
      </c>
      <c r="S673" s="9">
        <f>IF(Q673="","",IF(MATCH(R673,$R$5:$R$100000,0)=ROW()-4,ROW(),""))</f>
        <v/>
      </c>
      <c r="T673" s="9">
        <f>IF(Q673="당기",ABS(P673)+ROW()/1000000000,"")</f>
        <v/>
      </c>
      <c r="U673" s="9">
        <f>IF(Q673="비교",ABS(P673)+ROW()/1000000000,"")</f>
        <v/>
      </c>
      <c r="V673" s="64">
        <f>IF($A673="","",IF(COUNTIF(변동분석!$E$7:$E$506,O673)&gt;0,"Y","N"))</f>
        <v/>
      </c>
      <c r="W673" s="64">
        <f>IF($A673="","",IFERROR(INDEX(계정매핑!$D$5:$D$504,MATCH($F673&amp;"",계정매핑!$A$5:$A$504,0)),"미매핑"))</f>
        <v/>
      </c>
      <c r="X673" s="9">
        <f>IF($A673="","",$F673&amp;"")</f>
        <v/>
      </c>
      <c r="Y673" s="94">
        <f>IF($A673="",0,IF(AE673="직접",IF(AF673="비귀속",$P673,0),$P673*(1-AG673)*IFERROR(INDEX(계정대체기준!$F$20:$F$49,MATCH($N673,계정대체기준!$A$20:$A$49,0)),1)))</f>
        <v/>
      </c>
      <c r="Z673" s="94">
        <f>IF($A673="",0,IF(AE673="직접",IF(AF673="신계약비",$P673,0),$P673*(1-AG673)*IFERROR(INDEX(계정대체기준!$C$20:$C$49,MATCH($N673,계정대체기준!$A$20:$A$49,0)),0)))</f>
        <v/>
      </c>
      <c r="AA673" s="94">
        <f>IF($A673="",0,IF(AE673="직접",IF(OR(AF673="유지비",AF673="손해조사비"),$P673,0),$P673*(1-AG673)*IFERROR(INDEX(계정대체기준!$D$20:$D$49,MATCH($N673,계정대체기준!$A$20:$A$49,0)),0)))</f>
        <v/>
      </c>
      <c r="AB673" s="94">
        <f>IF($A673="",0,IF(AE673="직접",IF(AF673="수금비",$P673,0),$P673*(1-AG673)*IFERROR(INDEX(계정대체기준!$E$20:$E$49,MATCH($N673,계정대체기준!$A$20:$A$49,0)),0)))</f>
        <v/>
      </c>
      <c r="AC673" s="9">
        <f>IF(AND($A673&lt;&gt;"",M673=설정!$C$20,Z673&gt;0),Z673+ROW()/1000000000,"")</f>
        <v/>
      </c>
      <c r="AD673" s="94">
        <f>IF($A673="",0,$P673*AG673)</f>
        <v/>
      </c>
      <c r="AE673" s="64">
        <f>IF($A673="","",IFERROR(INDEX(계정매핑!$E$5:$E$504,MATCH($F673&amp;"",계정매핑!$A$5:$A$504,0))&amp;"","공통비"))</f>
        <v/>
      </c>
      <c r="AF673" s="64">
        <f>IF($A673="","",IF(AE673="직접",IFERROR(INDEX(계정매핑!$F$5:$F$504,MATCH($F673&amp;"",계정매핑!$A$5:$A$504,0))&amp;"","비귀속"),""))</f>
        <v/>
      </c>
      <c r="AG673" s="96">
        <f>IF($A673="",0,IF(AND(AE673&lt;&gt;"직접",IFERROR(INDEX(계정매핑!$G$5:$G$504,MATCH($F673&amp;"",계정매핑!$A$5:$A$504,0))&amp;"","")="유지비",COUNTIF(계정대체기준!$A$6:$A$15,$N673)&gt;0),IFERROR(INDEX(계정대체기준!$E$6:$E$15,MATCH(VALUE($A673&amp;""),계정대체기준!$D$6:$D$15,0)),0),0))</f>
        <v/>
      </c>
      <c r="AH673" s="64">
        <f>IF($A673="","",IF(AD673=0,"",IF(OR(COUNTIF(계정대체기준!$A$77:$A$86,$N673)&gt;0,ISNUMBER(MATCH($X673,계정대체기준!$D$77:$D$86,0)),ISNUMBER(MATCH($F673,계정대체기준!$D$77:$D$86,0))),"Y","N")))</f>
        <v/>
      </c>
    </row>
    <row r="674">
      <c r="A674" s="92" t="n">
        <v>2025</v>
      </c>
      <c r="B674" s="92" t="n">
        <v>3</v>
      </c>
      <c r="C674" s="92" t="inlineStr">
        <is>
          <t>5100000670</t>
        </is>
      </c>
      <c r="D674" s="95" t="n">
        <v>45742</v>
      </c>
      <c r="E674" s="92" t="inlineStr">
        <is>
          <t>KR</t>
        </is>
      </c>
      <c r="F674" s="92" t="n">
        <v>62401000</v>
      </c>
      <c r="G674" s="92" t="n">
        <v>1502</v>
      </c>
      <c r="H674" s="93" t="n">
        <v>2522000</v>
      </c>
      <c r="I674" s="92" t="inlineStr">
        <is>
          <t>3월 인쇄물 제작 - G인쇄</t>
        </is>
      </c>
      <c r="J674" s="92" t="inlineStr">
        <is>
          <t>V10004</t>
        </is>
      </c>
      <c r="K674" s="92" t="inlineStr">
        <is>
          <t>G인쇄</t>
        </is>
      </c>
      <c r="M674" s="9">
        <f>IF($A674="","",VALUE($A674&amp;"")*12+VALUE($B674&amp;""))</f>
        <v/>
      </c>
      <c r="N674" s="64">
        <f>IF($A674="","",IFERROR(INDEX(부서매핑!$C$5:$C$504,MATCH($G674&amp;"",부서매핑!$A$5:$A$504,0)),"미매핑"))</f>
        <v/>
      </c>
      <c r="O674" s="9">
        <f>IF($A674="","",N674&amp;"|"&amp;$F674)</f>
        <v/>
      </c>
      <c r="P674" s="94">
        <f>IF($A674="",0,$H674*설정!$C$23)</f>
        <v/>
      </c>
      <c r="Q674" s="64">
        <f>IF($A674="","",IF(O674&lt;&gt;원인분석!$C$9,"",IF(AND(M674&gt;=원인분석!$C$10,M674&lt;=원인분석!$C$11),"당기",IF(AND(M674&gt;=원인분석!$C$12,M674&lt;=원인분석!$C$13),"비교",""))))</f>
        <v/>
      </c>
      <c r="R674" s="9">
        <f>IF(Q674="","",$K674&amp;"")</f>
        <v/>
      </c>
      <c r="S674" s="9">
        <f>IF(Q674="","",IF(MATCH(R674,$R$5:$R$100000,0)=ROW()-4,ROW(),""))</f>
        <v/>
      </c>
      <c r="T674" s="9">
        <f>IF(Q674="당기",ABS(P674)+ROW()/1000000000,"")</f>
        <v/>
      </c>
      <c r="U674" s="9">
        <f>IF(Q674="비교",ABS(P674)+ROW()/1000000000,"")</f>
        <v/>
      </c>
      <c r="V674" s="64">
        <f>IF($A674="","",IF(COUNTIF(변동분석!$E$7:$E$506,O674)&gt;0,"Y","N"))</f>
        <v/>
      </c>
      <c r="W674" s="64">
        <f>IF($A674="","",IFERROR(INDEX(계정매핑!$D$5:$D$504,MATCH($F674&amp;"",계정매핑!$A$5:$A$504,0)),"미매핑"))</f>
        <v/>
      </c>
      <c r="X674" s="9">
        <f>IF($A674="","",$F674&amp;"")</f>
        <v/>
      </c>
      <c r="Y674" s="94">
        <f>IF($A674="",0,IF(AE674="직접",IF(AF674="비귀속",$P674,0),$P674*(1-AG674)*IFERROR(INDEX(계정대체기준!$F$20:$F$49,MATCH($N674,계정대체기준!$A$20:$A$49,0)),1)))</f>
        <v/>
      </c>
      <c r="Z674" s="94">
        <f>IF($A674="",0,IF(AE674="직접",IF(AF674="신계약비",$P674,0),$P674*(1-AG674)*IFERROR(INDEX(계정대체기준!$C$20:$C$49,MATCH($N674,계정대체기준!$A$20:$A$49,0)),0)))</f>
        <v/>
      </c>
      <c r="AA674" s="94">
        <f>IF($A674="",0,IF(AE674="직접",IF(OR(AF674="유지비",AF674="손해조사비"),$P674,0),$P674*(1-AG674)*IFERROR(INDEX(계정대체기준!$D$20:$D$49,MATCH($N674,계정대체기준!$A$20:$A$49,0)),0)))</f>
        <v/>
      </c>
      <c r="AB674" s="94">
        <f>IF($A674="",0,IF(AE674="직접",IF(AF674="수금비",$P674,0),$P674*(1-AG674)*IFERROR(INDEX(계정대체기준!$E$20:$E$49,MATCH($N674,계정대체기준!$A$20:$A$49,0)),0)))</f>
        <v/>
      </c>
      <c r="AC674" s="9">
        <f>IF(AND($A674&lt;&gt;"",M674=설정!$C$20,Z674&gt;0),Z674+ROW()/1000000000,"")</f>
        <v/>
      </c>
      <c r="AD674" s="94">
        <f>IF($A674="",0,$P674*AG674)</f>
        <v/>
      </c>
      <c r="AE674" s="64">
        <f>IF($A674="","",IFERROR(INDEX(계정매핑!$E$5:$E$504,MATCH($F674&amp;"",계정매핑!$A$5:$A$504,0))&amp;"","공통비"))</f>
        <v/>
      </c>
      <c r="AF674" s="64">
        <f>IF($A674="","",IF(AE674="직접",IFERROR(INDEX(계정매핑!$F$5:$F$504,MATCH($F674&amp;"",계정매핑!$A$5:$A$504,0))&amp;"","비귀속"),""))</f>
        <v/>
      </c>
      <c r="AG674" s="96">
        <f>IF($A674="",0,IF(AND(AE674&lt;&gt;"직접",IFERROR(INDEX(계정매핑!$G$5:$G$504,MATCH($F674&amp;"",계정매핑!$A$5:$A$504,0))&amp;"","")="유지비",COUNTIF(계정대체기준!$A$6:$A$15,$N674)&gt;0),IFERROR(INDEX(계정대체기준!$E$6:$E$15,MATCH(VALUE($A674&amp;""),계정대체기준!$D$6:$D$15,0)),0),0))</f>
        <v/>
      </c>
      <c r="AH674" s="64">
        <f>IF($A674="","",IF(AD674=0,"",IF(OR(COUNTIF(계정대체기준!$A$77:$A$86,$N674)&gt;0,ISNUMBER(MATCH($X674,계정대체기준!$D$77:$D$86,0)),ISNUMBER(MATCH($F674,계정대체기준!$D$77:$D$86,0))),"Y","N")))</f>
        <v/>
      </c>
    </row>
    <row r="675">
      <c r="A675" s="92" t="n">
        <v>2025</v>
      </c>
      <c r="B675" s="92" t="n">
        <v>3</v>
      </c>
      <c r="C675" s="92" t="inlineStr">
        <is>
          <t>5100000671</t>
        </is>
      </c>
      <c r="D675" s="95" t="n">
        <v>45742</v>
      </c>
      <c r="E675" s="92" t="inlineStr">
        <is>
          <t>KR</t>
        </is>
      </c>
      <c r="F675" s="92" t="n">
        <v>62501000</v>
      </c>
      <c r="G675" s="92" t="n">
        <v>1401</v>
      </c>
      <c r="H675" s="93" t="n">
        <v>97000</v>
      </c>
      <c r="I675" s="92" t="inlineStr">
        <is>
          <t>3월 회의 다과 - T케이터링</t>
        </is>
      </c>
      <c r="J675" s="92" t="inlineStr">
        <is>
          <t>V10005</t>
        </is>
      </c>
      <c r="K675" s="92" t="inlineStr">
        <is>
          <t>T케이터링</t>
        </is>
      </c>
      <c r="M675" s="9">
        <f>IF($A675="","",VALUE($A675&amp;"")*12+VALUE($B675&amp;""))</f>
        <v/>
      </c>
      <c r="N675" s="64">
        <f>IF($A675="","",IFERROR(INDEX(부서매핑!$C$5:$C$504,MATCH($G675&amp;"",부서매핑!$A$5:$A$504,0)),"미매핑"))</f>
        <v/>
      </c>
      <c r="O675" s="9">
        <f>IF($A675="","",N675&amp;"|"&amp;$F675)</f>
        <v/>
      </c>
      <c r="P675" s="94">
        <f>IF($A675="",0,$H675*설정!$C$23)</f>
        <v/>
      </c>
      <c r="Q675" s="64">
        <f>IF($A675="","",IF(O675&lt;&gt;원인분석!$C$9,"",IF(AND(M675&gt;=원인분석!$C$10,M675&lt;=원인분석!$C$11),"당기",IF(AND(M675&gt;=원인분석!$C$12,M675&lt;=원인분석!$C$13),"비교",""))))</f>
        <v/>
      </c>
      <c r="R675" s="9">
        <f>IF(Q675="","",$K675&amp;"")</f>
        <v/>
      </c>
      <c r="S675" s="9">
        <f>IF(Q675="","",IF(MATCH(R675,$R$5:$R$100000,0)=ROW()-4,ROW(),""))</f>
        <v/>
      </c>
      <c r="T675" s="9">
        <f>IF(Q675="당기",ABS(P675)+ROW()/1000000000,"")</f>
        <v/>
      </c>
      <c r="U675" s="9">
        <f>IF(Q675="비교",ABS(P675)+ROW()/1000000000,"")</f>
        <v/>
      </c>
      <c r="V675" s="64">
        <f>IF($A675="","",IF(COUNTIF(변동분석!$E$7:$E$506,O675)&gt;0,"Y","N"))</f>
        <v/>
      </c>
      <c r="W675" s="64">
        <f>IF($A675="","",IFERROR(INDEX(계정매핑!$D$5:$D$504,MATCH($F675&amp;"",계정매핑!$A$5:$A$504,0)),"미매핑"))</f>
        <v/>
      </c>
      <c r="X675" s="9">
        <f>IF($A675="","",$F675&amp;"")</f>
        <v/>
      </c>
      <c r="Y675" s="94">
        <f>IF($A675="",0,IF(AE675="직접",IF(AF675="비귀속",$P675,0),$P675*(1-AG675)*IFERROR(INDEX(계정대체기준!$F$20:$F$49,MATCH($N675,계정대체기준!$A$20:$A$49,0)),1)))</f>
        <v/>
      </c>
      <c r="Z675" s="94">
        <f>IF($A675="",0,IF(AE675="직접",IF(AF675="신계약비",$P675,0),$P675*(1-AG675)*IFERROR(INDEX(계정대체기준!$C$20:$C$49,MATCH($N675,계정대체기준!$A$20:$A$49,0)),0)))</f>
        <v/>
      </c>
      <c r="AA675" s="94">
        <f>IF($A675="",0,IF(AE675="직접",IF(OR(AF675="유지비",AF675="손해조사비"),$P675,0),$P675*(1-AG675)*IFERROR(INDEX(계정대체기준!$D$20:$D$49,MATCH($N675,계정대체기준!$A$20:$A$49,0)),0)))</f>
        <v/>
      </c>
      <c r="AB675" s="94">
        <f>IF($A675="",0,IF(AE675="직접",IF(AF675="수금비",$P675,0),$P675*(1-AG675)*IFERROR(INDEX(계정대체기준!$E$20:$E$49,MATCH($N675,계정대체기준!$A$20:$A$49,0)),0)))</f>
        <v/>
      </c>
      <c r="AC675" s="9">
        <f>IF(AND($A675&lt;&gt;"",M675=설정!$C$20,Z675&gt;0),Z675+ROW()/1000000000,"")</f>
        <v/>
      </c>
      <c r="AD675" s="94">
        <f>IF($A675="",0,$P675*AG675)</f>
        <v/>
      </c>
      <c r="AE675" s="64">
        <f>IF($A675="","",IFERROR(INDEX(계정매핑!$E$5:$E$504,MATCH($F675&amp;"",계정매핑!$A$5:$A$504,0))&amp;"","공통비"))</f>
        <v/>
      </c>
      <c r="AF675" s="64">
        <f>IF($A675="","",IF(AE675="직접",IFERROR(INDEX(계정매핑!$F$5:$F$504,MATCH($F675&amp;"",계정매핑!$A$5:$A$504,0))&amp;"","비귀속"),""))</f>
        <v/>
      </c>
      <c r="AG675" s="96">
        <f>IF($A675="",0,IF(AND(AE675&lt;&gt;"직접",IFERROR(INDEX(계정매핑!$G$5:$G$504,MATCH($F675&amp;"",계정매핑!$A$5:$A$504,0))&amp;"","")="유지비",COUNTIF(계정대체기준!$A$6:$A$15,$N675)&gt;0),IFERROR(INDEX(계정대체기준!$E$6:$E$15,MATCH(VALUE($A675&amp;""),계정대체기준!$D$6:$D$15,0)),0),0))</f>
        <v/>
      </c>
      <c r="AH675" s="64">
        <f>IF($A675="","",IF(AD675=0,"",IF(OR(COUNTIF(계정대체기준!$A$77:$A$86,$N675)&gt;0,ISNUMBER(MATCH($X675,계정대체기준!$D$77:$D$86,0)),ISNUMBER(MATCH($F675,계정대체기준!$D$77:$D$86,0))),"Y","N")))</f>
        <v/>
      </c>
    </row>
    <row r="676">
      <c r="A676" s="92" t="n">
        <v>2025</v>
      </c>
      <c r="B676" s="92" t="n">
        <v>3</v>
      </c>
      <c r="C676" s="92" t="inlineStr">
        <is>
          <t>5100000672</t>
        </is>
      </c>
      <c r="D676" s="95" t="n">
        <v>45742</v>
      </c>
      <c r="E676" s="92" t="inlineStr">
        <is>
          <t>KR</t>
        </is>
      </c>
      <c r="F676" s="92" t="n">
        <v>62501000</v>
      </c>
      <c r="G676" s="92" t="n">
        <v>1701</v>
      </c>
      <c r="H676" s="93" t="n">
        <v>121000</v>
      </c>
      <c r="I676" s="92" t="inlineStr">
        <is>
          <t>3월 회의 다과 - T케이터링</t>
        </is>
      </c>
      <c r="J676" s="92" t="inlineStr">
        <is>
          <t>V10005</t>
        </is>
      </c>
      <c r="K676" s="92" t="inlineStr">
        <is>
          <t>T케이터링</t>
        </is>
      </c>
      <c r="M676" s="9">
        <f>IF($A676="","",VALUE($A676&amp;"")*12+VALUE($B676&amp;""))</f>
        <v/>
      </c>
      <c r="N676" s="64">
        <f>IF($A676="","",IFERROR(INDEX(부서매핑!$C$5:$C$504,MATCH($G676&amp;"",부서매핑!$A$5:$A$504,0)),"미매핑"))</f>
        <v/>
      </c>
      <c r="O676" s="9">
        <f>IF($A676="","",N676&amp;"|"&amp;$F676)</f>
        <v/>
      </c>
      <c r="P676" s="94">
        <f>IF($A676="",0,$H676*설정!$C$23)</f>
        <v/>
      </c>
      <c r="Q676" s="64">
        <f>IF($A676="","",IF(O676&lt;&gt;원인분석!$C$9,"",IF(AND(M676&gt;=원인분석!$C$10,M676&lt;=원인분석!$C$11),"당기",IF(AND(M676&gt;=원인분석!$C$12,M676&lt;=원인분석!$C$13),"비교",""))))</f>
        <v/>
      </c>
      <c r="R676" s="9">
        <f>IF(Q676="","",$K676&amp;"")</f>
        <v/>
      </c>
      <c r="S676" s="9">
        <f>IF(Q676="","",IF(MATCH(R676,$R$5:$R$100000,0)=ROW()-4,ROW(),""))</f>
        <v/>
      </c>
      <c r="T676" s="9">
        <f>IF(Q676="당기",ABS(P676)+ROW()/1000000000,"")</f>
        <v/>
      </c>
      <c r="U676" s="9">
        <f>IF(Q676="비교",ABS(P676)+ROW()/1000000000,"")</f>
        <v/>
      </c>
      <c r="V676" s="64">
        <f>IF($A676="","",IF(COUNTIF(변동분석!$E$7:$E$506,O676)&gt;0,"Y","N"))</f>
        <v/>
      </c>
      <c r="W676" s="64">
        <f>IF($A676="","",IFERROR(INDEX(계정매핑!$D$5:$D$504,MATCH($F676&amp;"",계정매핑!$A$5:$A$504,0)),"미매핑"))</f>
        <v/>
      </c>
      <c r="X676" s="9">
        <f>IF($A676="","",$F676&amp;"")</f>
        <v/>
      </c>
      <c r="Y676" s="94">
        <f>IF($A676="",0,IF(AE676="직접",IF(AF676="비귀속",$P676,0),$P676*(1-AG676)*IFERROR(INDEX(계정대체기준!$F$20:$F$49,MATCH($N676,계정대체기준!$A$20:$A$49,0)),1)))</f>
        <v/>
      </c>
      <c r="Z676" s="94">
        <f>IF($A676="",0,IF(AE676="직접",IF(AF676="신계약비",$P676,0),$P676*(1-AG676)*IFERROR(INDEX(계정대체기준!$C$20:$C$49,MATCH($N676,계정대체기준!$A$20:$A$49,0)),0)))</f>
        <v/>
      </c>
      <c r="AA676" s="94">
        <f>IF($A676="",0,IF(AE676="직접",IF(OR(AF676="유지비",AF676="손해조사비"),$P676,0),$P676*(1-AG676)*IFERROR(INDEX(계정대체기준!$D$20:$D$49,MATCH($N676,계정대체기준!$A$20:$A$49,0)),0)))</f>
        <v/>
      </c>
      <c r="AB676" s="94">
        <f>IF($A676="",0,IF(AE676="직접",IF(AF676="수금비",$P676,0),$P676*(1-AG676)*IFERROR(INDEX(계정대체기준!$E$20:$E$49,MATCH($N676,계정대체기준!$A$20:$A$49,0)),0)))</f>
        <v/>
      </c>
      <c r="AC676" s="9">
        <f>IF(AND($A676&lt;&gt;"",M676=설정!$C$20,Z676&gt;0),Z676+ROW()/1000000000,"")</f>
        <v/>
      </c>
      <c r="AD676" s="94">
        <f>IF($A676="",0,$P676*AG676)</f>
        <v/>
      </c>
      <c r="AE676" s="64">
        <f>IF($A676="","",IFERROR(INDEX(계정매핑!$E$5:$E$504,MATCH($F676&amp;"",계정매핑!$A$5:$A$504,0))&amp;"","공통비"))</f>
        <v/>
      </c>
      <c r="AF676" s="64">
        <f>IF($A676="","",IF(AE676="직접",IFERROR(INDEX(계정매핑!$F$5:$F$504,MATCH($F676&amp;"",계정매핑!$A$5:$A$504,0))&amp;"","비귀속"),""))</f>
        <v/>
      </c>
      <c r="AG676" s="96">
        <f>IF($A676="",0,IF(AND(AE676&lt;&gt;"직접",IFERROR(INDEX(계정매핑!$G$5:$G$504,MATCH($F676&amp;"",계정매핑!$A$5:$A$504,0))&amp;"","")="유지비",COUNTIF(계정대체기준!$A$6:$A$15,$N676)&gt;0),IFERROR(INDEX(계정대체기준!$E$6:$E$15,MATCH(VALUE($A676&amp;""),계정대체기준!$D$6:$D$15,0)),0),0))</f>
        <v/>
      </c>
      <c r="AH676" s="64">
        <f>IF($A676="","",IF(AD676=0,"",IF(OR(COUNTIF(계정대체기준!$A$77:$A$86,$N676)&gt;0,ISNUMBER(MATCH($X676,계정대체기준!$D$77:$D$86,0)),ISNUMBER(MATCH($F676,계정대체기준!$D$77:$D$86,0))),"Y","N")))</f>
        <v/>
      </c>
    </row>
    <row r="677">
      <c r="A677" s="92" t="n">
        <v>2025</v>
      </c>
      <c r="B677" s="92" t="n">
        <v>3</v>
      </c>
      <c r="C677" s="92" t="inlineStr">
        <is>
          <t>5100000673</t>
        </is>
      </c>
      <c r="D677" s="95" t="n">
        <v>45742</v>
      </c>
      <c r="E677" s="92" t="inlineStr">
        <is>
          <t>KR</t>
        </is>
      </c>
      <c r="F677" s="92" t="n">
        <v>62902000</v>
      </c>
      <c r="G677" s="92" t="n">
        <v>1101</v>
      </c>
      <c r="H677" s="93" t="n">
        <v>3499000</v>
      </c>
      <c r="I677" s="92" t="inlineStr">
        <is>
          <t>3월 업무 위탁 수수료 - J콜센터</t>
        </is>
      </c>
      <c r="J677" s="92" t="inlineStr">
        <is>
          <t>V10016</t>
        </is>
      </c>
      <c r="K677" s="92" t="inlineStr">
        <is>
          <t>J콜센터</t>
        </is>
      </c>
      <c r="M677" s="9">
        <f>IF($A677="","",VALUE($A677&amp;"")*12+VALUE($B677&amp;""))</f>
        <v/>
      </c>
      <c r="N677" s="64">
        <f>IF($A677="","",IFERROR(INDEX(부서매핑!$C$5:$C$504,MATCH($G677&amp;"",부서매핑!$A$5:$A$504,0)),"미매핑"))</f>
        <v/>
      </c>
      <c r="O677" s="9">
        <f>IF($A677="","",N677&amp;"|"&amp;$F677)</f>
        <v/>
      </c>
      <c r="P677" s="94">
        <f>IF($A677="",0,$H677*설정!$C$23)</f>
        <v/>
      </c>
      <c r="Q677" s="64">
        <f>IF($A677="","",IF(O677&lt;&gt;원인분석!$C$9,"",IF(AND(M677&gt;=원인분석!$C$10,M677&lt;=원인분석!$C$11),"당기",IF(AND(M677&gt;=원인분석!$C$12,M677&lt;=원인분석!$C$13),"비교",""))))</f>
        <v/>
      </c>
      <c r="R677" s="9">
        <f>IF(Q677="","",$K677&amp;"")</f>
        <v/>
      </c>
      <c r="S677" s="9">
        <f>IF(Q677="","",IF(MATCH(R677,$R$5:$R$100000,0)=ROW()-4,ROW(),""))</f>
        <v/>
      </c>
      <c r="T677" s="9">
        <f>IF(Q677="당기",ABS(P677)+ROW()/1000000000,"")</f>
        <v/>
      </c>
      <c r="U677" s="9">
        <f>IF(Q677="비교",ABS(P677)+ROW()/1000000000,"")</f>
        <v/>
      </c>
      <c r="V677" s="64">
        <f>IF($A677="","",IF(COUNTIF(변동분석!$E$7:$E$506,O677)&gt;0,"Y","N"))</f>
        <v/>
      </c>
      <c r="W677" s="64">
        <f>IF($A677="","",IFERROR(INDEX(계정매핑!$D$5:$D$504,MATCH($F677&amp;"",계정매핑!$A$5:$A$504,0)),"미매핑"))</f>
        <v/>
      </c>
      <c r="X677" s="9">
        <f>IF($A677="","",$F677&amp;"")</f>
        <v/>
      </c>
      <c r="Y677" s="94">
        <f>IF($A677="",0,IF(AE677="직접",IF(AF677="비귀속",$P677,0),$P677*(1-AG677)*IFERROR(INDEX(계정대체기준!$F$20:$F$49,MATCH($N677,계정대체기준!$A$20:$A$49,0)),1)))</f>
        <v/>
      </c>
      <c r="Z677" s="94">
        <f>IF($A677="",0,IF(AE677="직접",IF(AF677="신계약비",$P677,0),$P677*(1-AG677)*IFERROR(INDEX(계정대체기준!$C$20:$C$49,MATCH($N677,계정대체기준!$A$20:$A$49,0)),0)))</f>
        <v/>
      </c>
      <c r="AA677" s="94">
        <f>IF($A677="",0,IF(AE677="직접",IF(OR(AF677="유지비",AF677="손해조사비"),$P677,0),$P677*(1-AG677)*IFERROR(INDEX(계정대체기준!$D$20:$D$49,MATCH($N677,계정대체기준!$A$20:$A$49,0)),0)))</f>
        <v/>
      </c>
      <c r="AB677" s="94">
        <f>IF($A677="",0,IF(AE677="직접",IF(AF677="수금비",$P677,0),$P677*(1-AG677)*IFERROR(INDEX(계정대체기준!$E$20:$E$49,MATCH($N677,계정대체기준!$A$20:$A$49,0)),0)))</f>
        <v/>
      </c>
      <c r="AC677" s="9">
        <f>IF(AND($A677&lt;&gt;"",M677=설정!$C$20,Z677&gt;0),Z677+ROW()/1000000000,"")</f>
        <v/>
      </c>
      <c r="AD677" s="94">
        <f>IF($A677="",0,$P677*AG677)</f>
        <v/>
      </c>
      <c r="AE677" s="64">
        <f>IF($A677="","",IFERROR(INDEX(계정매핑!$E$5:$E$504,MATCH($F677&amp;"",계정매핑!$A$5:$A$504,0))&amp;"","공통비"))</f>
        <v/>
      </c>
      <c r="AF677" s="64">
        <f>IF($A677="","",IF(AE677="직접",IFERROR(INDEX(계정매핑!$F$5:$F$504,MATCH($F677&amp;"",계정매핑!$A$5:$A$504,0))&amp;"","비귀속"),""))</f>
        <v/>
      </c>
      <c r="AG677" s="96">
        <f>IF($A677="",0,IF(AND(AE677&lt;&gt;"직접",IFERROR(INDEX(계정매핑!$G$5:$G$504,MATCH($F677&amp;"",계정매핑!$A$5:$A$504,0))&amp;"","")="유지비",COUNTIF(계정대체기준!$A$6:$A$15,$N677)&gt;0),IFERROR(INDEX(계정대체기준!$E$6:$E$15,MATCH(VALUE($A677&amp;""),계정대체기준!$D$6:$D$15,0)),0),0))</f>
        <v/>
      </c>
      <c r="AH677" s="64">
        <f>IF($A677="","",IF(AD677=0,"",IF(OR(COUNTIF(계정대체기준!$A$77:$A$86,$N677)&gt;0,ISNUMBER(MATCH($X677,계정대체기준!$D$77:$D$86,0)),ISNUMBER(MATCH($F677,계정대체기준!$D$77:$D$86,0))),"Y","N")))</f>
        <v/>
      </c>
    </row>
    <row r="678">
      <c r="A678" s="92" t="n">
        <v>2025</v>
      </c>
      <c r="B678" s="92" t="n">
        <v>3</v>
      </c>
      <c r="C678" s="92" t="inlineStr">
        <is>
          <t>5100000674</t>
        </is>
      </c>
      <c r="D678" s="95" t="n">
        <v>45742</v>
      </c>
      <c r="E678" s="92" t="inlineStr">
        <is>
          <t>KR</t>
        </is>
      </c>
      <c r="F678" s="92" t="n">
        <v>62902000</v>
      </c>
      <c r="G678" s="92" t="n">
        <v>1951</v>
      </c>
      <c r="H678" s="93" t="n">
        <v>2491000</v>
      </c>
      <c r="I678" s="92" t="inlineStr">
        <is>
          <t>3월 업무 위탁 수수료 - J콜센터</t>
        </is>
      </c>
      <c r="J678" s="92" t="inlineStr">
        <is>
          <t>V10016</t>
        </is>
      </c>
      <c r="K678" s="92" t="inlineStr">
        <is>
          <t>J콜센터</t>
        </is>
      </c>
      <c r="M678" s="9">
        <f>IF($A678="","",VALUE($A678&amp;"")*12+VALUE($B678&amp;""))</f>
        <v/>
      </c>
      <c r="N678" s="64">
        <f>IF($A678="","",IFERROR(INDEX(부서매핑!$C$5:$C$504,MATCH($G678&amp;"",부서매핑!$A$5:$A$504,0)),"미매핑"))</f>
        <v/>
      </c>
      <c r="O678" s="9">
        <f>IF($A678="","",N678&amp;"|"&amp;$F678)</f>
        <v/>
      </c>
      <c r="P678" s="94">
        <f>IF($A678="",0,$H678*설정!$C$23)</f>
        <v/>
      </c>
      <c r="Q678" s="64">
        <f>IF($A678="","",IF(O678&lt;&gt;원인분석!$C$9,"",IF(AND(M678&gt;=원인분석!$C$10,M678&lt;=원인분석!$C$11),"당기",IF(AND(M678&gt;=원인분석!$C$12,M678&lt;=원인분석!$C$13),"비교",""))))</f>
        <v/>
      </c>
      <c r="R678" s="9">
        <f>IF(Q678="","",$K678&amp;"")</f>
        <v/>
      </c>
      <c r="S678" s="9">
        <f>IF(Q678="","",IF(MATCH(R678,$R$5:$R$100000,0)=ROW()-4,ROW(),""))</f>
        <v/>
      </c>
      <c r="T678" s="9">
        <f>IF(Q678="당기",ABS(P678)+ROW()/1000000000,"")</f>
        <v/>
      </c>
      <c r="U678" s="9">
        <f>IF(Q678="비교",ABS(P678)+ROW()/1000000000,"")</f>
        <v/>
      </c>
      <c r="V678" s="64">
        <f>IF($A678="","",IF(COUNTIF(변동분석!$E$7:$E$506,O678)&gt;0,"Y","N"))</f>
        <v/>
      </c>
      <c r="W678" s="64">
        <f>IF($A678="","",IFERROR(INDEX(계정매핑!$D$5:$D$504,MATCH($F678&amp;"",계정매핑!$A$5:$A$504,0)),"미매핑"))</f>
        <v/>
      </c>
      <c r="X678" s="9">
        <f>IF($A678="","",$F678&amp;"")</f>
        <v/>
      </c>
      <c r="Y678" s="94">
        <f>IF($A678="",0,IF(AE678="직접",IF(AF678="비귀속",$P678,0),$P678*(1-AG678)*IFERROR(INDEX(계정대체기준!$F$20:$F$49,MATCH($N678,계정대체기준!$A$20:$A$49,0)),1)))</f>
        <v/>
      </c>
      <c r="Z678" s="94">
        <f>IF($A678="",0,IF(AE678="직접",IF(AF678="신계약비",$P678,0),$P678*(1-AG678)*IFERROR(INDEX(계정대체기준!$C$20:$C$49,MATCH($N678,계정대체기준!$A$20:$A$49,0)),0)))</f>
        <v/>
      </c>
      <c r="AA678" s="94">
        <f>IF($A678="",0,IF(AE678="직접",IF(OR(AF678="유지비",AF678="손해조사비"),$P678,0),$P678*(1-AG678)*IFERROR(INDEX(계정대체기준!$D$20:$D$49,MATCH($N678,계정대체기준!$A$20:$A$49,0)),0)))</f>
        <v/>
      </c>
      <c r="AB678" s="94">
        <f>IF($A678="",0,IF(AE678="직접",IF(AF678="수금비",$P678,0),$P678*(1-AG678)*IFERROR(INDEX(계정대체기준!$E$20:$E$49,MATCH($N678,계정대체기준!$A$20:$A$49,0)),0)))</f>
        <v/>
      </c>
      <c r="AC678" s="9">
        <f>IF(AND($A678&lt;&gt;"",M678=설정!$C$20,Z678&gt;0),Z678+ROW()/1000000000,"")</f>
        <v/>
      </c>
      <c r="AD678" s="94">
        <f>IF($A678="",0,$P678*AG678)</f>
        <v/>
      </c>
      <c r="AE678" s="64">
        <f>IF($A678="","",IFERROR(INDEX(계정매핑!$E$5:$E$504,MATCH($F678&amp;"",계정매핑!$A$5:$A$504,0))&amp;"","공통비"))</f>
        <v/>
      </c>
      <c r="AF678" s="64">
        <f>IF($A678="","",IF(AE678="직접",IFERROR(INDEX(계정매핑!$F$5:$F$504,MATCH($F678&amp;"",계정매핑!$A$5:$A$504,0))&amp;"","비귀속"),""))</f>
        <v/>
      </c>
      <c r="AG678" s="96">
        <f>IF($A678="",0,IF(AND(AE678&lt;&gt;"직접",IFERROR(INDEX(계정매핑!$G$5:$G$504,MATCH($F678&amp;"",계정매핑!$A$5:$A$504,0))&amp;"","")="유지비",COUNTIF(계정대체기준!$A$6:$A$15,$N678)&gt;0),IFERROR(INDEX(계정대체기준!$E$6:$E$15,MATCH(VALUE($A678&amp;""),계정대체기준!$D$6:$D$15,0)),0),0))</f>
        <v/>
      </c>
      <c r="AH678" s="64">
        <f>IF($A678="","",IF(AD678=0,"",IF(OR(COUNTIF(계정대체기준!$A$77:$A$86,$N678)&gt;0,ISNUMBER(MATCH($X678,계정대체기준!$D$77:$D$86,0)),ISNUMBER(MATCH($F678,계정대체기준!$D$77:$D$86,0))),"Y","N")))</f>
        <v/>
      </c>
    </row>
    <row r="679">
      <c r="A679" s="92" t="n">
        <v>2025</v>
      </c>
      <c r="B679" s="92" t="n">
        <v>3</v>
      </c>
      <c r="C679" s="92" t="inlineStr">
        <is>
          <t>5100000675</t>
        </is>
      </c>
      <c r="D679" s="95" t="n">
        <v>45743</v>
      </c>
      <c r="E679" s="92" t="inlineStr">
        <is>
          <t>KR</t>
        </is>
      </c>
      <c r="F679" s="92" t="n">
        <v>62102000</v>
      </c>
      <c r="G679" s="92" t="n">
        <v>1201</v>
      </c>
      <c r="H679" s="93" t="n">
        <v>85000</v>
      </c>
      <c r="I679" s="92" t="inlineStr">
        <is>
          <t>3월 해외출장 - M항공</t>
        </is>
      </c>
      <c r="J679" s="92" t="inlineStr">
        <is>
          <t>V10001</t>
        </is>
      </c>
      <c r="K679" s="92" t="inlineStr">
        <is>
          <t>M항공</t>
        </is>
      </c>
      <c r="M679" s="9">
        <f>IF($A679="","",VALUE($A679&amp;"")*12+VALUE($B679&amp;""))</f>
        <v/>
      </c>
      <c r="N679" s="64">
        <f>IF($A679="","",IFERROR(INDEX(부서매핑!$C$5:$C$504,MATCH($G679&amp;"",부서매핑!$A$5:$A$504,0)),"미매핑"))</f>
        <v/>
      </c>
      <c r="O679" s="9">
        <f>IF($A679="","",N679&amp;"|"&amp;$F679)</f>
        <v/>
      </c>
      <c r="P679" s="94">
        <f>IF($A679="",0,$H679*설정!$C$23)</f>
        <v/>
      </c>
      <c r="Q679" s="64">
        <f>IF($A679="","",IF(O679&lt;&gt;원인분석!$C$9,"",IF(AND(M679&gt;=원인분석!$C$10,M679&lt;=원인분석!$C$11),"당기",IF(AND(M679&gt;=원인분석!$C$12,M679&lt;=원인분석!$C$13),"비교",""))))</f>
        <v/>
      </c>
      <c r="R679" s="9">
        <f>IF(Q679="","",$K679&amp;"")</f>
        <v/>
      </c>
      <c r="S679" s="9">
        <f>IF(Q679="","",IF(MATCH(R679,$R$5:$R$100000,0)=ROW()-4,ROW(),""))</f>
        <v/>
      </c>
      <c r="T679" s="9">
        <f>IF(Q679="당기",ABS(P679)+ROW()/1000000000,"")</f>
        <v/>
      </c>
      <c r="U679" s="9">
        <f>IF(Q679="비교",ABS(P679)+ROW()/1000000000,"")</f>
        <v/>
      </c>
      <c r="V679" s="64">
        <f>IF($A679="","",IF(COUNTIF(변동분석!$E$7:$E$506,O679)&gt;0,"Y","N"))</f>
        <v/>
      </c>
      <c r="W679" s="64">
        <f>IF($A679="","",IFERROR(INDEX(계정매핑!$D$5:$D$504,MATCH($F679&amp;"",계정매핑!$A$5:$A$504,0)),"미매핑"))</f>
        <v/>
      </c>
      <c r="X679" s="9">
        <f>IF($A679="","",$F679&amp;"")</f>
        <v/>
      </c>
      <c r="Y679" s="94">
        <f>IF($A679="",0,IF(AE679="직접",IF(AF679="비귀속",$P679,0),$P679*(1-AG679)*IFERROR(INDEX(계정대체기준!$F$20:$F$49,MATCH($N679,계정대체기준!$A$20:$A$49,0)),1)))</f>
        <v/>
      </c>
      <c r="Z679" s="94">
        <f>IF($A679="",0,IF(AE679="직접",IF(AF679="신계약비",$P679,0),$P679*(1-AG679)*IFERROR(INDEX(계정대체기준!$C$20:$C$49,MATCH($N679,계정대체기준!$A$20:$A$49,0)),0)))</f>
        <v/>
      </c>
      <c r="AA679" s="94">
        <f>IF($A679="",0,IF(AE679="직접",IF(OR(AF679="유지비",AF679="손해조사비"),$P679,0),$P679*(1-AG679)*IFERROR(INDEX(계정대체기준!$D$20:$D$49,MATCH($N679,계정대체기준!$A$20:$A$49,0)),0)))</f>
        <v/>
      </c>
      <c r="AB679" s="94">
        <f>IF($A679="",0,IF(AE679="직접",IF(AF679="수금비",$P679,0),$P679*(1-AG679)*IFERROR(INDEX(계정대체기준!$E$20:$E$49,MATCH($N679,계정대체기준!$A$20:$A$49,0)),0)))</f>
        <v/>
      </c>
      <c r="AC679" s="9">
        <f>IF(AND($A679&lt;&gt;"",M679=설정!$C$20,Z679&gt;0),Z679+ROW()/1000000000,"")</f>
        <v/>
      </c>
      <c r="AD679" s="94">
        <f>IF($A679="",0,$P679*AG679)</f>
        <v/>
      </c>
      <c r="AE679" s="64">
        <f>IF($A679="","",IFERROR(INDEX(계정매핑!$E$5:$E$504,MATCH($F679&amp;"",계정매핑!$A$5:$A$504,0))&amp;"","공통비"))</f>
        <v/>
      </c>
      <c r="AF679" s="64">
        <f>IF($A679="","",IF(AE679="직접",IFERROR(INDEX(계정매핑!$F$5:$F$504,MATCH($F679&amp;"",계정매핑!$A$5:$A$504,0))&amp;"","비귀속"),""))</f>
        <v/>
      </c>
      <c r="AG679" s="96">
        <f>IF($A679="",0,IF(AND(AE679&lt;&gt;"직접",IFERROR(INDEX(계정매핑!$G$5:$G$504,MATCH($F679&amp;"",계정매핑!$A$5:$A$504,0))&amp;"","")="유지비",COUNTIF(계정대체기준!$A$6:$A$15,$N679)&gt;0),IFERROR(INDEX(계정대체기준!$E$6:$E$15,MATCH(VALUE($A679&amp;""),계정대체기준!$D$6:$D$15,0)),0),0))</f>
        <v/>
      </c>
      <c r="AH679" s="64">
        <f>IF($A679="","",IF(AD679=0,"",IF(OR(COUNTIF(계정대체기준!$A$77:$A$86,$N679)&gt;0,ISNUMBER(MATCH($X679,계정대체기준!$D$77:$D$86,0)),ISNUMBER(MATCH($F679,계정대체기준!$D$77:$D$86,0))),"Y","N")))</f>
        <v/>
      </c>
    </row>
    <row r="680">
      <c r="A680" s="92" t="n">
        <v>2025</v>
      </c>
      <c r="B680" s="92" t="n">
        <v>3</v>
      </c>
      <c r="C680" s="92" t="inlineStr">
        <is>
          <t>5100000676</t>
        </is>
      </c>
      <c r="D680" s="95" t="n">
        <v>45743</v>
      </c>
      <c r="E680" s="92" t="inlineStr">
        <is>
          <t>KR</t>
        </is>
      </c>
      <c r="F680" s="92" t="n">
        <v>62102000</v>
      </c>
      <c r="G680" s="92" t="n">
        <v>1502</v>
      </c>
      <c r="H680" s="93" t="n">
        <v>135000</v>
      </c>
      <c r="I680" s="92" t="inlineStr">
        <is>
          <t>3월 해외출장 - M항공</t>
        </is>
      </c>
      <c r="J680" s="92" t="inlineStr">
        <is>
          <t>V10001</t>
        </is>
      </c>
      <c r="K680" s="92" t="inlineStr">
        <is>
          <t>M항공</t>
        </is>
      </c>
      <c r="M680" s="9">
        <f>IF($A680="","",VALUE($A680&amp;"")*12+VALUE($B680&amp;""))</f>
        <v/>
      </c>
      <c r="N680" s="64">
        <f>IF($A680="","",IFERROR(INDEX(부서매핑!$C$5:$C$504,MATCH($G680&amp;"",부서매핑!$A$5:$A$504,0)),"미매핑"))</f>
        <v/>
      </c>
      <c r="O680" s="9">
        <f>IF($A680="","",N680&amp;"|"&amp;$F680)</f>
        <v/>
      </c>
      <c r="P680" s="94">
        <f>IF($A680="",0,$H680*설정!$C$23)</f>
        <v/>
      </c>
      <c r="Q680" s="64">
        <f>IF($A680="","",IF(O680&lt;&gt;원인분석!$C$9,"",IF(AND(M680&gt;=원인분석!$C$10,M680&lt;=원인분석!$C$11),"당기",IF(AND(M680&gt;=원인분석!$C$12,M680&lt;=원인분석!$C$13),"비교",""))))</f>
        <v/>
      </c>
      <c r="R680" s="9">
        <f>IF(Q680="","",$K680&amp;"")</f>
        <v/>
      </c>
      <c r="S680" s="9">
        <f>IF(Q680="","",IF(MATCH(R680,$R$5:$R$100000,0)=ROW()-4,ROW(),""))</f>
        <v/>
      </c>
      <c r="T680" s="9">
        <f>IF(Q680="당기",ABS(P680)+ROW()/1000000000,"")</f>
        <v/>
      </c>
      <c r="U680" s="9">
        <f>IF(Q680="비교",ABS(P680)+ROW()/1000000000,"")</f>
        <v/>
      </c>
      <c r="V680" s="64">
        <f>IF($A680="","",IF(COUNTIF(변동분석!$E$7:$E$506,O680)&gt;0,"Y","N"))</f>
        <v/>
      </c>
      <c r="W680" s="64">
        <f>IF($A680="","",IFERROR(INDEX(계정매핑!$D$5:$D$504,MATCH($F680&amp;"",계정매핑!$A$5:$A$504,0)),"미매핑"))</f>
        <v/>
      </c>
      <c r="X680" s="9">
        <f>IF($A680="","",$F680&amp;"")</f>
        <v/>
      </c>
      <c r="Y680" s="94">
        <f>IF($A680="",0,IF(AE680="직접",IF(AF680="비귀속",$P680,0),$P680*(1-AG680)*IFERROR(INDEX(계정대체기준!$F$20:$F$49,MATCH($N680,계정대체기준!$A$20:$A$49,0)),1)))</f>
        <v/>
      </c>
      <c r="Z680" s="94">
        <f>IF($A680="",0,IF(AE680="직접",IF(AF680="신계약비",$P680,0),$P680*(1-AG680)*IFERROR(INDEX(계정대체기준!$C$20:$C$49,MATCH($N680,계정대체기준!$A$20:$A$49,0)),0)))</f>
        <v/>
      </c>
      <c r="AA680" s="94">
        <f>IF($A680="",0,IF(AE680="직접",IF(OR(AF680="유지비",AF680="손해조사비"),$P680,0),$P680*(1-AG680)*IFERROR(INDEX(계정대체기준!$D$20:$D$49,MATCH($N680,계정대체기준!$A$20:$A$49,0)),0)))</f>
        <v/>
      </c>
      <c r="AB680" s="94">
        <f>IF($A680="",0,IF(AE680="직접",IF(AF680="수금비",$P680,0),$P680*(1-AG680)*IFERROR(INDEX(계정대체기준!$E$20:$E$49,MATCH($N680,계정대체기준!$A$20:$A$49,0)),0)))</f>
        <v/>
      </c>
      <c r="AC680" s="9">
        <f>IF(AND($A680&lt;&gt;"",M680=설정!$C$20,Z680&gt;0),Z680+ROW()/1000000000,"")</f>
        <v/>
      </c>
      <c r="AD680" s="94">
        <f>IF($A680="",0,$P680*AG680)</f>
        <v/>
      </c>
      <c r="AE680" s="64">
        <f>IF($A680="","",IFERROR(INDEX(계정매핑!$E$5:$E$504,MATCH($F680&amp;"",계정매핑!$A$5:$A$504,0))&amp;"","공통비"))</f>
        <v/>
      </c>
      <c r="AF680" s="64">
        <f>IF($A680="","",IF(AE680="직접",IFERROR(INDEX(계정매핑!$F$5:$F$504,MATCH($F680&amp;"",계정매핑!$A$5:$A$504,0))&amp;"","비귀속"),""))</f>
        <v/>
      </c>
      <c r="AG680" s="96">
        <f>IF($A680="",0,IF(AND(AE680&lt;&gt;"직접",IFERROR(INDEX(계정매핑!$G$5:$G$504,MATCH($F680&amp;"",계정매핑!$A$5:$A$504,0))&amp;"","")="유지비",COUNTIF(계정대체기준!$A$6:$A$15,$N680)&gt;0),IFERROR(INDEX(계정대체기준!$E$6:$E$15,MATCH(VALUE($A680&amp;""),계정대체기준!$D$6:$D$15,0)),0),0))</f>
        <v/>
      </c>
      <c r="AH680" s="64">
        <f>IF($A680="","",IF(AD680=0,"",IF(OR(COUNTIF(계정대체기준!$A$77:$A$86,$N680)&gt;0,ISNUMBER(MATCH($X680,계정대체기준!$D$77:$D$86,0)),ISNUMBER(MATCH($F680,계정대체기준!$D$77:$D$86,0))),"Y","N")))</f>
        <v/>
      </c>
    </row>
    <row r="681">
      <c r="A681" s="92" t="n">
        <v>2025</v>
      </c>
      <c r="B681" s="92" t="n">
        <v>3</v>
      </c>
      <c r="C681" s="92" t="inlineStr">
        <is>
          <t>5100000677</t>
        </is>
      </c>
      <c r="D681" s="95" t="n">
        <v>45743</v>
      </c>
      <c r="E681" s="92" t="inlineStr">
        <is>
          <t>KR</t>
        </is>
      </c>
      <c r="F681" s="92" t="n">
        <v>62102000</v>
      </c>
      <c r="G681" s="92" t="n">
        <v>1601</v>
      </c>
      <c r="H681" s="93" t="n">
        <v>217000</v>
      </c>
      <c r="I681" s="92" t="inlineStr">
        <is>
          <t>3월 해외출장 - M항공</t>
        </is>
      </c>
      <c r="J681" s="92" t="inlineStr">
        <is>
          <t>V10001</t>
        </is>
      </c>
      <c r="K681" s="92" t="inlineStr">
        <is>
          <t>M항공</t>
        </is>
      </c>
      <c r="M681" s="9">
        <f>IF($A681="","",VALUE($A681&amp;"")*12+VALUE($B681&amp;""))</f>
        <v/>
      </c>
      <c r="N681" s="64">
        <f>IF($A681="","",IFERROR(INDEX(부서매핑!$C$5:$C$504,MATCH($G681&amp;"",부서매핑!$A$5:$A$504,0)),"미매핑"))</f>
        <v/>
      </c>
      <c r="O681" s="9">
        <f>IF($A681="","",N681&amp;"|"&amp;$F681)</f>
        <v/>
      </c>
      <c r="P681" s="94">
        <f>IF($A681="",0,$H681*설정!$C$23)</f>
        <v/>
      </c>
      <c r="Q681" s="64">
        <f>IF($A681="","",IF(O681&lt;&gt;원인분석!$C$9,"",IF(AND(M681&gt;=원인분석!$C$10,M681&lt;=원인분석!$C$11),"당기",IF(AND(M681&gt;=원인분석!$C$12,M681&lt;=원인분석!$C$13),"비교",""))))</f>
        <v/>
      </c>
      <c r="R681" s="9">
        <f>IF(Q681="","",$K681&amp;"")</f>
        <v/>
      </c>
      <c r="S681" s="9">
        <f>IF(Q681="","",IF(MATCH(R681,$R$5:$R$100000,0)=ROW()-4,ROW(),""))</f>
        <v/>
      </c>
      <c r="T681" s="9">
        <f>IF(Q681="당기",ABS(P681)+ROW()/1000000000,"")</f>
        <v/>
      </c>
      <c r="U681" s="9">
        <f>IF(Q681="비교",ABS(P681)+ROW()/1000000000,"")</f>
        <v/>
      </c>
      <c r="V681" s="64">
        <f>IF($A681="","",IF(COUNTIF(변동분석!$E$7:$E$506,O681)&gt;0,"Y","N"))</f>
        <v/>
      </c>
      <c r="W681" s="64">
        <f>IF($A681="","",IFERROR(INDEX(계정매핑!$D$5:$D$504,MATCH($F681&amp;"",계정매핑!$A$5:$A$504,0)),"미매핑"))</f>
        <v/>
      </c>
      <c r="X681" s="9">
        <f>IF($A681="","",$F681&amp;"")</f>
        <v/>
      </c>
      <c r="Y681" s="94">
        <f>IF($A681="",0,IF(AE681="직접",IF(AF681="비귀속",$P681,0),$P681*(1-AG681)*IFERROR(INDEX(계정대체기준!$F$20:$F$49,MATCH($N681,계정대체기준!$A$20:$A$49,0)),1)))</f>
        <v/>
      </c>
      <c r="Z681" s="94">
        <f>IF($A681="",0,IF(AE681="직접",IF(AF681="신계약비",$P681,0),$P681*(1-AG681)*IFERROR(INDEX(계정대체기준!$C$20:$C$49,MATCH($N681,계정대체기준!$A$20:$A$49,0)),0)))</f>
        <v/>
      </c>
      <c r="AA681" s="94">
        <f>IF($A681="",0,IF(AE681="직접",IF(OR(AF681="유지비",AF681="손해조사비"),$P681,0),$P681*(1-AG681)*IFERROR(INDEX(계정대체기준!$D$20:$D$49,MATCH($N681,계정대체기준!$A$20:$A$49,0)),0)))</f>
        <v/>
      </c>
      <c r="AB681" s="94">
        <f>IF($A681="",0,IF(AE681="직접",IF(AF681="수금비",$P681,0),$P681*(1-AG681)*IFERROR(INDEX(계정대체기준!$E$20:$E$49,MATCH($N681,계정대체기준!$A$20:$A$49,0)),0)))</f>
        <v/>
      </c>
      <c r="AC681" s="9">
        <f>IF(AND($A681&lt;&gt;"",M681=설정!$C$20,Z681&gt;0),Z681+ROW()/1000000000,"")</f>
        <v/>
      </c>
      <c r="AD681" s="94">
        <f>IF($A681="",0,$P681*AG681)</f>
        <v/>
      </c>
      <c r="AE681" s="64">
        <f>IF($A681="","",IFERROR(INDEX(계정매핑!$E$5:$E$504,MATCH($F681&amp;"",계정매핑!$A$5:$A$504,0))&amp;"","공통비"))</f>
        <v/>
      </c>
      <c r="AF681" s="64">
        <f>IF($A681="","",IF(AE681="직접",IFERROR(INDEX(계정매핑!$F$5:$F$504,MATCH($F681&amp;"",계정매핑!$A$5:$A$504,0))&amp;"","비귀속"),""))</f>
        <v/>
      </c>
      <c r="AG681" s="96">
        <f>IF($A681="",0,IF(AND(AE681&lt;&gt;"직접",IFERROR(INDEX(계정매핑!$G$5:$G$504,MATCH($F681&amp;"",계정매핑!$A$5:$A$504,0))&amp;"","")="유지비",COUNTIF(계정대체기준!$A$6:$A$15,$N681)&gt;0),IFERROR(INDEX(계정대체기준!$E$6:$E$15,MATCH(VALUE($A681&amp;""),계정대체기준!$D$6:$D$15,0)),0),0))</f>
        <v/>
      </c>
      <c r="AH681" s="64">
        <f>IF($A681="","",IF(AD681=0,"",IF(OR(COUNTIF(계정대체기준!$A$77:$A$86,$N681)&gt;0,ISNUMBER(MATCH($X681,계정대체기준!$D$77:$D$86,0)),ISNUMBER(MATCH($F681,계정대체기준!$D$77:$D$86,0))),"Y","N")))</f>
        <v/>
      </c>
    </row>
    <row r="682">
      <c r="A682" s="92" t="n">
        <v>2025</v>
      </c>
      <c r="B682" s="92" t="n">
        <v>3</v>
      </c>
      <c r="C682" s="92" t="inlineStr">
        <is>
          <t>5100000678</t>
        </is>
      </c>
      <c r="D682" s="95" t="n">
        <v>45743</v>
      </c>
      <c r="E682" s="92" t="inlineStr">
        <is>
          <t>KR</t>
        </is>
      </c>
      <c r="F682" s="92" t="n">
        <v>62201000</v>
      </c>
      <c r="G682" s="92" t="n">
        <v>1501</v>
      </c>
      <c r="H682" s="93" t="n">
        <v>264000</v>
      </c>
      <c r="I682" s="92" t="inlineStr">
        <is>
          <t>3월 통신요금 - O텔레콤</t>
        </is>
      </c>
      <c r="J682" s="92" t="inlineStr">
        <is>
          <t>V10002</t>
        </is>
      </c>
      <c r="K682" s="92" t="inlineStr">
        <is>
          <t>O텔레콤</t>
        </is>
      </c>
      <c r="M682" s="9">
        <f>IF($A682="","",VALUE($A682&amp;"")*12+VALUE($B682&amp;""))</f>
        <v/>
      </c>
      <c r="N682" s="64">
        <f>IF($A682="","",IFERROR(INDEX(부서매핑!$C$5:$C$504,MATCH($G682&amp;"",부서매핑!$A$5:$A$504,0)),"미매핑"))</f>
        <v/>
      </c>
      <c r="O682" s="9">
        <f>IF($A682="","",N682&amp;"|"&amp;$F682)</f>
        <v/>
      </c>
      <c r="P682" s="94">
        <f>IF($A682="",0,$H682*설정!$C$23)</f>
        <v/>
      </c>
      <c r="Q682" s="64">
        <f>IF($A682="","",IF(O682&lt;&gt;원인분석!$C$9,"",IF(AND(M682&gt;=원인분석!$C$10,M682&lt;=원인분석!$C$11),"당기",IF(AND(M682&gt;=원인분석!$C$12,M682&lt;=원인분석!$C$13),"비교",""))))</f>
        <v/>
      </c>
      <c r="R682" s="9">
        <f>IF(Q682="","",$K682&amp;"")</f>
        <v/>
      </c>
      <c r="S682" s="9">
        <f>IF(Q682="","",IF(MATCH(R682,$R$5:$R$100000,0)=ROW()-4,ROW(),""))</f>
        <v/>
      </c>
      <c r="T682" s="9">
        <f>IF(Q682="당기",ABS(P682)+ROW()/1000000000,"")</f>
        <v/>
      </c>
      <c r="U682" s="9">
        <f>IF(Q682="비교",ABS(P682)+ROW()/1000000000,"")</f>
        <v/>
      </c>
      <c r="V682" s="64">
        <f>IF($A682="","",IF(COUNTIF(변동분석!$E$7:$E$506,O682)&gt;0,"Y","N"))</f>
        <v/>
      </c>
      <c r="W682" s="64">
        <f>IF($A682="","",IFERROR(INDEX(계정매핑!$D$5:$D$504,MATCH($F682&amp;"",계정매핑!$A$5:$A$504,0)),"미매핑"))</f>
        <v/>
      </c>
      <c r="X682" s="9">
        <f>IF($A682="","",$F682&amp;"")</f>
        <v/>
      </c>
      <c r="Y682" s="94">
        <f>IF($A682="",0,IF(AE682="직접",IF(AF682="비귀속",$P682,0),$P682*(1-AG682)*IFERROR(INDEX(계정대체기준!$F$20:$F$49,MATCH($N682,계정대체기준!$A$20:$A$49,0)),1)))</f>
        <v/>
      </c>
      <c r="Z682" s="94">
        <f>IF($A682="",0,IF(AE682="직접",IF(AF682="신계약비",$P682,0),$P682*(1-AG682)*IFERROR(INDEX(계정대체기준!$C$20:$C$49,MATCH($N682,계정대체기준!$A$20:$A$49,0)),0)))</f>
        <v/>
      </c>
      <c r="AA682" s="94">
        <f>IF($A682="",0,IF(AE682="직접",IF(OR(AF682="유지비",AF682="손해조사비"),$P682,0),$P682*(1-AG682)*IFERROR(INDEX(계정대체기준!$D$20:$D$49,MATCH($N682,계정대체기준!$A$20:$A$49,0)),0)))</f>
        <v/>
      </c>
      <c r="AB682" s="94">
        <f>IF($A682="",0,IF(AE682="직접",IF(AF682="수금비",$P682,0),$P682*(1-AG682)*IFERROR(INDEX(계정대체기준!$E$20:$E$49,MATCH($N682,계정대체기준!$A$20:$A$49,0)),0)))</f>
        <v/>
      </c>
      <c r="AC682" s="9">
        <f>IF(AND($A682&lt;&gt;"",M682=설정!$C$20,Z682&gt;0),Z682+ROW()/1000000000,"")</f>
        <v/>
      </c>
      <c r="AD682" s="94">
        <f>IF($A682="",0,$P682*AG682)</f>
        <v/>
      </c>
      <c r="AE682" s="64">
        <f>IF($A682="","",IFERROR(INDEX(계정매핑!$E$5:$E$504,MATCH($F682&amp;"",계정매핑!$A$5:$A$504,0))&amp;"","공통비"))</f>
        <v/>
      </c>
      <c r="AF682" s="64">
        <f>IF($A682="","",IF(AE682="직접",IFERROR(INDEX(계정매핑!$F$5:$F$504,MATCH($F682&amp;"",계정매핑!$A$5:$A$504,0))&amp;"","비귀속"),""))</f>
        <v/>
      </c>
      <c r="AG682" s="96">
        <f>IF($A682="",0,IF(AND(AE682&lt;&gt;"직접",IFERROR(INDEX(계정매핑!$G$5:$G$504,MATCH($F682&amp;"",계정매핑!$A$5:$A$504,0))&amp;"","")="유지비",COUNTIF(계정대체기준!$A$6:$A$15,$N682)&gt;0),IFERROR(INDEX(계정대체기준!$E$6:$E$15,MATCH(VALUE($A682&amp;""),계정대체기준!$D$6:$D$15,0)),0),0))</f>
        <v/>
      </c>
      <c r="AH682" s="64">
        <f>IF($A682="","",IF(AD682=0,"",IF(OR(COUNTIF(계정대체기준!$A$77:$A$86,$N682)&gt;0,ISNUMBER(MATCH($X682,계정대체기준!$D$77:$D$86,0)),ISNUMBER(MATCH($F682,계정대체기준!$D$77:$D$86,0))),"Y","N")))</f>
        <v/>
      </c>
    </row>
    <row r="683">
      <c r="A683" s="92" t="n">
        <v>2025</v>
      </c>
      <c r="B683" s="92" t="n">
        <v>3</v>
      </c>
      <c r="C683" s="92" t="inlineStr">
        <is>
          <t>5100000679</t>
        </is>
      </c>
      <c r="D683" s="95" t="n">
        <v>45743</v>
      </c>
      <c r="E683" s="92" t="inlineStr">
        <is>
          <t>KR</t>
        </is>
      </c>
      <c r="F683" s="92" t="n">
        <v>62201000</v>
      </c>
      <c r="G683" s="92" t="n">
        <v>1951</v>
      </c>
      <c r="H683" s="93" t="n">
        <v>300000</v>
      </c>
      <c r="I683" s="92" t="inlineStr">
        <is>
          <t>3월 통신요금 - P통신</t>
        </is>
      </c>
      <c r="J683" s="92" t="inlineStr">
        <is>
          <t>V10014</t>
        </is>
      </c>
      <c r="K683" s="92" t="inlineStr">
        <is>
          <t>P통신</t>
        </is>
      </c>
      <c r="M683" s="9">
        <f>IF($A683="","",VALUE($A683&amp;"")*12+VALUE($B683&amp;""))</f>
        <v/>
      </c>
      <c r="N683" s="64">
        <f>IF($A683="","",IFERROR(INDEX(부서매핑!$C$5:$C$504,MATCH($G683&amp;"",부서매핑!$A$5:$A$504,0)),"미매핑"))</f>
        <v/>
      </c>
      <c r="O683" s="9">
        <f>IF($A683="","",N683&amp;"|"&amp;$F683)</f>
        <v/>
      </c>
      <c r="P683" s="94">
        <f>IF($A683="",0,$H683*설정!$C$23)</f>
        <v/>
      </c>
      <c r="Q683" s="64">
        <f>IF($A683="","",IF(O683&lt;&gt;원인분석!$C$9,"",IF(AND(M683&gt;=원인분석!$C$10,M683&lt;=원인분석!$C$11),"당기",IF(AND(M683&gt;=원인분석!$C$12,M683&lt;=원인분석!$C$13),"비교",""))))</f>
        <v/>
      </c>
      <c r="R683" s="9">
        <f>IF(Q683="","",$K683&amp;"")</f>
        <v/>
      </c>
      <c r="S683" s="9">
        <f>IF(Q683="","",IF(MATCH(R683,$R$5:$R$100000,0)=ROW()-4,ROW(),""))</f>
        <v/>
      </c>
      <c r="T683" s="9">
        <f>IF(Q683="당기",ABS(P683)+ROW()/1000000000,"")</f>
        <v/>
      </c>
      <c r="U683" s="9">
        <f>IF(Q683="비교",ABS(P683)+ROW()/1000000000,"")</f>
        <v/>
      </c>
      <c r="V683" s="64">
        <f>IF($A683="","",IF(COUNTIF(변동분석!$E$7:$E$506,O683)&gt;0,"Y","N"))</f>
        <v/>
      </c>
      <c r="W683" s="64">
        <f>IF($A683="","",IFERROR(INDEX(계정매핑!$D$5:$D$504,MATCH($F683&amp;"",계정매핑!$A$5:$A$504,0)),"미매핑"))</f>
        <v/>
      </c>
      <c r="X683" s="9">
        <f>IF($A683="","",$F683&amp;"")</f>
        <v/>
      </c>
      <c r="Y683" s="94">
        <f>IF($A683="",0,IF(AE683="직접",IF(AF683="비귀속",$P683,0),$P683*(1-AG683)*IFERROR(INDEX(계정대체기준!$F$20:$F$49,MATCH($N683,계정대체기준!$A$20:$A$49,0)),1)))</f>
        <v/>
      </c>
      <c r="Z683" s="94">
        <f>IF($A683="",0,IF(AE683="직접",IF(AF683="신계약비",$P683,0),$P683*(1-AG683)*IFERROR(INDEX(계정대체기준!$C$20:$C$49,MATCH($N683,계정대체기준!$A$20:$A$49,0)),0)))</f>
        <v/>
      </c>
      <c r="AA683" s="94">
        <f>IF($A683="",0,IF(AE683="직접",IF(OR(AF683="유지비",AF683="손해조사비"),$P683,0),$P683*(1-AG683)*IFERROR(INDEX(계정대체기준!$D$20:$D$49,MATCH($N683,계정대체기준!$A$20:$A$49,0)),0)))</f>
        <v/>
      </c>
      <c r="AB683" s="94">
        <f>IF($A683="",0,IF(AE683="직접",IF(AF683="수금비",$P683,0),$P683*(1-AG683)*IFERROR(INDEX(계정대체기준!$E$20:$E$49,MATCH($N683,계정대체기준!$A$20:$A$49,0)),0)))</f>
        <v/>
      </c>
      <c r="AC683" s="9">
        <f>IF(AND($A683&lt;&gt;"",M683=설정!$C$20,Z683&gt;0),Z683+ROW()/1000000000,"")</f>
        <v/>
      </c>
      <c r="AD683" s="94">
        <f>IF($A683="",0,$P683*AG683)</f>
        <v/>
      </c>
      <c r="AE683" s="64">
        <f>IF($A683="","",IFERROR(INDEX(계정매핑!$E$5:$E$504,MATCH($F683&amp;"",계정매핑!$A$5:$A$504,0))&amp;"","공통비"))</f>
        <v/>
      </c>
      <c r="AF683" s="64">
        <f>IF($A683="","",IF(AE683="직접",IFERROR(INDEX(계정매핑!$F$5:$F$504,MATCH($F683&amp;"",계정매핑!$A$5:$A$504,0))&amp;"","비귀속"),""))</f>
        <v/>
      </c>
      <c r="AG683" s="96">
        <f>IF($A683="",0,IF(AND(AE683&lt;&gt;"직접",IFERROR(INDEX(계정매핑!$G$5:$G$504,MATCH($F683&amp;"",계정매핑!$A$5:$A$504,0))&amp;"","")="유지비",COUNTIF(계정대체기준!$A$6:$A$15,$N683)&gt;0),IFERROR(INDEX(계정대체기준!$E$6:$E$15,MATCH(VALUE($A683&amp;""),계정대체기준!$D$6:$D$15,0)),0),0))</f>
        <v/>
      </c>
      <c r="AH683" s="64">
        <f>IF($A683="","",IF(AD683=0,"",IF(OR(COUNTIF(계정대체기준!$A$77:$A$86,$N683)&gt;0,ISNUMBER(MATCH($X683,계정대체기준!$D$77:$D$86,0)),ISNUMBER(MATCH($F683,계정대체기준!$D$77:$D$86,0))),"Y","N")))</f>
        <v/>
      </c>
    </row>
    <row r="684">
      <c r="A684" s="92" t="n">
        <v>2025</v>
      </c>
      <c r="B684" s="92" t="n">
        <v>3</v>
      </c>
      <c r="C684" s="92" t="inlineStr">
        <is>
          <t>5100000680</t>
        </is>
      </c>
      <c r="D684" s="95" t="n">
        <v>45743</v>
      </c>
      <c r="E684" s="92" t="inlineStr">
        <is>
          <t>KR</t>
        </is>
      </c>
      <c r="F684" s="92" t="n">
        <v>62301000</v>
      </c>
      <c r="G684" s="92" t="n">
        <v>1101</v>
      </c>
      <c r="H684" s="93" t="n">
        <v>118000</v>
      </c>
      <c r="I684" s="92" t="inlineStr">
        <is>
          <t>3월 소모품 구입 - R문구</t>
        </is>
      </c>
      <c r="J684" s="92" t="inlineStr">
        <is>
          <t>V10022</t>
        </is>
      </c>
      <c r="K684" s="92" t="inlineStr">
        <is>
          <t>R문구</t>
        </is>
      </c>
      <c r="M684" s="9">
        <f>IF($A684="","",VALUE($A684&amp;"")*12+VALUE($B684&amp;""))</f>
        <v/>
      </c>
      <c r="N684" s="64">
        <f>IF($A684="","",IFERROR(INDEX(부서매핑!$C$5:$C$504,MATCH($G684&amp;"",부서매핑!$A$5:$A$504,0)),"미매핑"))</f>
        <v/>
      </c>
      <c r="O684" s="9">
        <f>IF($A684="","",N684&amp;"|"&amp;$F684)</f>
        <v/>
      </c>
      <c r="P684" s="94">
        <f>IF($A684="",0,$H684*설정!$C$23)</f>
        <v/>
      </c>
      <c r="Q684" s="64">
        <f>IF($A684="","",IF(O684&lt;&gt;원인분석!$C$9,"",IF(AND(M684&gt;=원인분석!$C$10,M684&lt;=원인분석!$C$11),"당기",IF(AND(M684&gt;=원인분석!$C$12,M684&lt;=원인분석!$C$13),"비교",""))))</f>
        <v/>
      </c>
      <c r="R684" s="9">
        <f>IF(Q684="","",$K684&amp;"")</f>
        <v/>
      </c>
      <c r="S684" s="9">
        <f>IF(Q684="","",IF(MATCH(R684,$R$5:$R$100000,0)=ROW()-4,ROW(),""))</f>
        <v/>
      </c>
      <c r="T684" s="9">
        <f>IF(Q684="당기",ABS(P684)+ROW()/1000000000,"")</f>
        <v/>
      </c>
      <c r="U684" s="9">
        <f>IF(Q684="비교",ABS(P684)+ROW()/1000000000,"")</f>
        <v/>
      </c>
      <c r="V684" s="64">
        <f>IF($A684="","",IF(COUNTIF(변동분석!$E$7:$E$506,O684)&gt;0,"Y","N"))</f>
        <v/>
      </c>
      <c r="W684" s="64">
        <f>IF($A684="","",IFERROR(INDEX(계정매핑!$D$5:$D$504,MATCH($F684&amp;"",계정매핑!$A$5:$A$504,0)),"미매핑"))</f>
        <v/>
      </c>
      <c r="X684" s="9">
        <f>IF($A684="","",$F684&amp;"")</f>
        <v/>
      </c>
      <c r="Y684" s="94">
        <f>IF($A684="",0,IF(AE684="직접",IF(AF684="비귀속",$P684,0),$P684*(1-AG684)*IFERROR(INDEX(계정대체기준!$F$20:$F$49,MATCH($N684,계정대체기준!$A$20:$A$49,0)),1)))</f>
        <v/>
      </c>
      <c r="Z684" s="94">
        <f>IF($A684="",0,IF(AE684="직접",IF(AF684="신계약비",$P684,0),$P684*(1-AG684)*IFERROR(INDEX(계정대체기준!$C$20:$C$49,MATCH($N684,계정대체기준!$A$20:$A$49,0)),0)))</f>
        <v/>
      </c>
      <c r="AA684" s="94">
        <f>IF($A684="",0,IF(AE684="직접",IF(OR(AF684="유지비",AF684="손해조사비"),$P684,0),$P684*(1-AG684)*IFERROR(INDEX(계정대체기준!$D$20:$D$49,MATCH($N684,계정대체기준!$A$20:$A$49,0)),0)))</f>
        <v/>
      </c>
      <c r="AB684" s="94">
        <f>IF($A684="",0,IF(AE684="직접",IF(AF684="수금비",$P684,0),$P684*(1-AG684)*IFERROR(INDEX(계정대체기준!$E$20:$E$49,MATCH($N684,계정대체기준!$A$20:$A$49,0)),0)))</f>
        <v/>
      </c>
      <c r="AC684" s="9">
        <f>IF(AND($A684&lt;&gt;"",M684=설정!$C$20,Z684&gt;0),Z684+ROW()/1000000000,"")</f>
        <v/>
      </c>
      <c r="AD684" s="94">
        <f>IF($A684="",0,$P684*AG684)</f>
        <v/>
      </c>
      <c r="AE684" s="64">
        <f>IF($A684="","",IFERROR(INDEX(계정매핑!$E$5:$E$504,MATCH($F684&amp;"",계정매핑!$A$5:$A$504,0))&amp;"","공통비"))</f>
        <v/>
      </c>
      <c r="AF684" s="64">
        <f>IF($A684="","",IF(AE684="직접",IFERROR(INDEX(계정매핑!$F$5:$F$504,MATCH($F684&amp;"",계정매핑!$A$5:$A$504,0))&amp;"","비귀속"),""))</f>
        <v/>
      </c>
      <c r="AG684" s="96">
        <f>IF($A684="",0,IF(AND(AE684&lt;&gt;"직접",IFERROR(INDEX(계정매핑!$G$5:$G$504,MATCH($F684&amp;"",계정매핑!$A$5:$A$504,0))&amp;"","")="유지비",COUNTIF(계정대체기준!$A$6:$A$15,$N684)&gt;0),IFERROR(INDEX(계정대체기준!$E$6:$E$15,MATCH(VALUE($A684&amp;""),계정대체기준!$D$6:$D$15,0)),0),0))</f>
        <v/>
      </c>
      <c r="AH684" s="64">
        <f>IF($A684="","",IF(AD684=0,"",IF(OR(COUNTIF(계정대체기준!$A$77:$A$86,$N684)&gt;0,ISNUMBER(MATCH($X684,계정대체기준!$D$77:$D$86,0)),ISNUMBER(MATCH($F684,계정대체기준!$D$77:$D$86,0))),"Y","N")))</f>
        <v/>
      </c>
    </row>
    <row r="685">
      <c r="A685" s="92" t="n">
        <v>2025</v>
      </c>
      <c r="B685" s="92" t="n">
        <v>3</v>
      </c>
      <c r="C685" s="92" t="inlineStr">
        <is>
          <t>5100000681</t>
        </is>
      </c>
      <c r="D685" s="95" t="n">
        <v>45743</v>
      </c>
      <c r="E685" s="92" t="inlineStr">
        <is>
          <t>KR</t>
        </is>
      </c>
      <c r="F685" s="92" t="n">
        <v>62301000</v>
      </c>
      <c r="G685" s="92" t="n">
        <v>1401</v>
      </c>
      <c r="H685" s="93" t="n">
        <v>143000</v>
      </c>
      <c r="I685" s="92" t="inlineStr">
        <is>
          <t>3월 소모품 구입 - R문구</t>
        </is>
      </c>
      <c r="J685" s="92" t="inlineStr">
        <is>
          <t>V10022</t>
        </is>
      </c>
      <c r="K685" s="92" t="inlineStr">
        <is>
          <t>R문구</t>
        </is>
      </c>
      <c r="M685" s="9">
        <f>IF($A685="","",VALUE($A685&amp;"")*12+VALUE($B685&amp;""))</f>
        <v/>
      </c>
      <c r="N685" s="64">
        <f>IF($A685="","",IFERROR(INDEX(부서매핑!$C$5:$C$504,MATCH($G685&amp;"",부서매핑!$A$5:$A$504,0)),"미매핑"))</f>
        <v/>
      </c>
      <c r="O685" s="9">
        <f>IF($A685="","",N685&amp;"|"&amp;$F685)</f>
        <v/>
      </c>
      <c r="P685" s="94">
        <f>IF($A685="",0,$H685*설정!$C$23)</f>
        <v/>
      </c>
      <c r="Q685" s="64">
        <f>IF($A685="","",IF(O685&lt;&gt;원인분석!$C$9,"",IF(AND(M685&gt;=원인분석!$C$10,M685&lt;=원인분석!$C$11),"당기",IF(AND(M685&gt;=원인분석!$C$12,M685&lt;=원인분석!$C$13),"비교",""))))</f>
        <v/>
      </c>
      <c r="R685" s="9">
        <f>IF(Q685="","",$K685&amp;"")</f>
        <v/>
      </c>
      <c r="S685" s="9">
        <f>IF(Q685="","",IF(MATCH(R685,$R$5:$R$100000,0)=ROW()-4,ROW(),""))</f>
        <v/>
      </c>
      <c r="T685" s="9">
        <f>IF(Q685="당기",ABS(P685)+ROW()/1000000000,"")</f>
        <v/>
      </c>
      <c r="U685" s="9">
        <f>IF(Q685="비교",ABS(P685)+ROW()/1000000000,"")</f>
        <v/>
      </c>
      <c r="V685" s="64">
        <f>IF($A685="","",IF(COUNTIF(변동분석!$E$7:$E$506,O685)&gt;0,"Y","N"))</f>
        <v/>
      </c>
      <c r="W685" s="64">
        <f>IF($A685="","",IFERROR(INDEX(계정매핑!$D$5:$D$504,MATCH($F685&amp;"",계정매핑!$A$5:$A$504,0)),"미매핑"))</f>
        <v/>
      </c>
      <c r="X685" s="9">
        <f>IF($A685="","",$F685&amp;"")</f>
        <v/>
      </c>
      <c r="Y685" s="94">
        <f>IF($A685="",0,IF(AE685="직접",IF(AF685="비귀속",$P685,0),$P685*(1-AG685)*IFERROR(INDEX(계정대체기준!$F$20:$F$49,MATCH($N685,계정대체기준!$A$20:$A$49,0)),1)))</f>
        <v/>
      </c>
      <c r="Z685" s="94">
        <f>IF($A685="",0,IF(AE685="직접",IF(AF685="신계약비",$P685,0),$P685*(1-AG685)*IFERROR(INDEX(계정대체기준!$C$20:$C$49,MATCH($N685,계정대체기준!$A$20:$A$49,0)),0)))</f>
        <v/>
      </c>
      <c r="AA685" s="94">
        <f>IF($A685="",0,IF(AE685="직접",IF(OR(AF685="유지비",AF685="손해조사비"),$P685,0),$P685*(1-AG685)*IFERROR(INDEX(계정대체기준!$D$20:$D$49,MATCH($N685,계정대체기준!$A$20:$A$49,0)),0)))</f>
        <v/>
      </c>
      <c r="AB685" s="94">
        <f>IF($A685="",0,IF(AE685="직접",IF(AF685="수금비",$P685,0),$P685*(1-AG685)*IFERROR(INDEX(계정대체기준!$E$20:$E$49,MATCH($N685,계정대체기준!$A$20:$A$49,0)),0)))</f>
        <v/>
      </c>
      <c r="AC685" s="9">
        <f>IF(AND($A685&lt;&gt;"",M685=설정!$C$20,Z685&gt;0),Z685+ROW()/1000000000,"")</f>
        <v/>
      </c>
      <c r="AD685" s="94">
        <f>IF($A685="",0,$P685*AG685)</f>
        <v/>
      </c>
      <c r="AE685" s="64">
        <f>IF($A685="","",IFERROR(INDEX(계정매핑!$E$5:$E$504,MATCH($F685&amp;"",계정매핑!$A$5:$A$504,0))&amp;"","공통비"))</f>
        <v/>
      </c>
      <c r="AF685" s="64">
        <f>IF($A685="","",IF(AE685="직접",IFERROR(INDEX(계정매핑!$F$5:$F$504,MATCH($F685&amp;"",계정매핑!$A$5:$A$504,0))&amp;"","비귀속"),""))</f>
        <v/>
      </c>
      <c r="AG685" s="96">
        <f>IF($A685="",0,IF(AND(AE685&lt;&gt;"직접",IFERROR(INDEX(계정매핑!$G$5:$G$504,MATCH($F685&amp;"",계정매핑!$A$5:$A$504,0))&amp;"","")="유지비",COUNTIF(계정대체기준!$A$6:$A$15,$N685)&gt;0),IFERROR(INDEX(계정대체기준!$E$6:$E$15,MATCH(VALUE($A685&amp;""),계정대체기준!$D$6:$D$15,0)),0),0))</f>
        <v/>
      </c>
      <c r="AH685" s="64">
        <f>IF($A685="","",IF(AD685=0,"",IF(OR(COUNTIF(계정대체기준!$A$77:$A$86,$N685)&gt;0,ISNUMBER(MATCH($X685,계정대체기준!$D$77:$D$86,0)),ISNUMBER(MATCH($F685,계정대체기준!$D$77:$D$86,0))),"Y","N")))</f>
        <v/>
      </c>
    </row>
    <row r="686">
      <c r="A686" s="92" t="n">
        <v>2025</v>
      </c>
      <c r="B686" s="92" t="n">
        <v>3</v>
      </c>
      <c r="C686" s="92" t="inlineStr">
        <is>
          <t>5100000682</t>
        </is>
      </c>
      <c r="D686" s="95" t="n">
        <v>45743</v>
      </c>
      <c r="E686" s="92" t="inlineStr">
        <is>
          <t>KR</t>
        </is>
      </c>
      <c r="F686" s="92" t="n">
        <v>62501000</v>
      </c>
      <c r="G686" s="92" t="n">
        <v>1201</v>
      </c>
      <c r="H686" s="93" t="n">
        <v>197000</v>
      </c>
      <c r="I686" s="92" t="inlineStr">
        <is>
          <t>3월 회의 다과 - (법인카드)</t>
        </is>
      </c>
      <c r="J686" s="92" t="inlineStr">
        <is>
          <t>V10010</t>
        </is>
      </c>
      <c r="K686" s="92" t="inlineStr">
        <is>
          <t>(법인카드)</t>
        </is>
      </c>
      <c r="M686" s="9">
        <f>IF($A686="","",VALUE($A686&amp;"")*12+VALUE($B686&amp;""))</f>
        <v/>
      </c>
      <c r="N686" s="64">
        <f>IF($A686="","",IFERROR(INDEX(부서매핑!$C$5:$C$504,MATCH($G686&amp;"",부서매핑!$A$5:$A$504,0)),"미매핑"))</f>
        <v/>
      </c>
      <c r="O686" s="9">
        <f>IF($A686="","",N686&amp;"|"&amp;$F686)</f>
        <v/>
      </c>
      <c r="P686" s="94">
        <f>IF($A686="",0,$H686*설정!$C$23)</f>
        <v/>
      </c>
      <c r="Q686" s="64">
        <f>IF($A686="","",IF(O686&lt;&gt;원인분석!$C$9,"",IF(AND(M686&gt;=원인분석!$C$10,M686&lt;=원인분석!$C$11),"당기",IF(AND(M686&gt;=원인분석!$C$12,M686&lt;=원인분석!$C$13),"비교",""))))</f>
        <v/>
      </c>
      <c r="R686" s="9">
        <f>IF(Q686="","",$K686&amp;"")</f>
        <v/>
      </c>
      <c r="S686" s="9">
        <f>IF(Q686="","",IF(MATCH(R686,$R$5:$R$100000,0)=ROW()-4,ROW(),""))</f>
        <v/>
      </c>
      <c r="T686" s="9">
        <f>IF(Q686="당기",ABS(P686)+ROW()/1000000000,"")</f>
        <v/>
      </c>
      <c r="U686" s="9">
        <f>IF(Q686="비교",ABS(P686)+ROW()/1000000000,"")</f>
        <v/>
      </c>
      <c r="V686" s="64">
        <f>IF($A686="","",IF(COUNTIF(변동분석!$E$7:$E$506,O686)&gt;0,"Y","N"))</f>
        <v/>
      </c>
      <c r="W686" s="64">
        <f>IF($A686="","",IFERROR(INDEX(계정매핑!$D$5:$D$504,MATCH($F686&amp;"",계정매핑!$A$5:$A$504,0)),"미매핑"))</f>
        <v/>
      </c>
      <c r="X686" s="9">
        <f>IF($A686="","",$F686&amp;"")</f>
        <v/>
      </c>
      <c r="Y686" s="94">
        <f>IF($A686="",0,IF(AE686="직접",IF(AF686="비귀속",$P686,0),$P686*(1-AG686)*IFERROR(INDEX(계정대체기준!$F$20:$F$49,MATCH($N686,계정대체기준!$A$20:$A$49,0)),1)))</f>
        <v/>
      </c>
      <c r="Z686" s="94">
        <f>IF($A686="",0,IF(AE686="직접",IF(AF686="신계약비",$P686,0),$P686*(1-AG686)*IFERROR(INDEX(계정대체기준!$C$20:$C$49,MATCH($N686,계정대체기준!$A$20:$A$49,0)),0)))</f>
        <v/>
      </c>
      <c r="AA686" s="94">
        <f>IF($A686="",0,IF(AE686="직접",IF(OR(AF686="유지비",AF686="손해조사비"),$P686,0),$P686*(1-AG686)*IFERROR(INDEX(계정대체기준!$D$20:$D$49,MATCH($N686,계정대체기준!$A$20:$A$49,0)),0)))</f>
        <v/>
      </c>
      <c r="AB686" s="94">
        <f>IF($A686="",0,IF(AE686="직접",IF(AF686="수금비",$P686,0),$P686*(1-AG686)*IFERROR(INDEX(계정대체기준!$E$20:$E$49,MATCH($N686,계정대체기준!$A$20:$A$49,0)),0)))</f>
        <v/>
      </c>
      <c r="AC686" s="9">
        <f>IF(AND($A686&lt;&gt;"",M686=설정!$C$20,Z686&gt;0),Z686+ROW()/1000000000,"")</f>
        <v/>
      </c>
      <c r="AD686" s="94">
        <f>IF($A686="",0,$P686*AG686)</f>
        <v/>
      </c>
      <c r="AE686" s="64">
        <f>IF($A686="","",IFERROR(INDEX(계정매핑!$E$5:$E$504,MATCH($F686&amp;"",계정매핑!$A$5:$A$504,0))&amp;"","공통비"))</f>
        <v/>
      </c>
      <c r="AF686" s="64">
        <f>IF($A686="","",IF(AE686="직접",IFERROR(INDEX(계정매핑!$F$5:$F$504,MATCH($F686&amp;"",계정매핑!$A$5:$A$504,0))&amp;"","비귀속"),""))</f>
        <v/>
      </c>
      <c r="AG686" s="96">
        <f>IF($A686="",0,IF(AND(AE686&lt;&gt;"직접",IFERROR(INDEX(계정매핑!$G$5:$G$504,MATCH($F686&amp;"",계정매핑!$A$5:$A$504,0))&amp;"","")="유지비",COUNTIF(계정대체기준!$A$6:$A$15,$N686)&gt;0),IFERROR(INDEX(계정대체기준!$E$6:$E$15,MATCH(VALUE($A686&amp;""),계정대체기준!$D$6:$D$15,0)),0),0))</f>
        <v/>
      </c>
      <c r="AH686" s="64">
        <f>IF($A686="","",IF(AD686=0,"",IF(OR(COUNTIF(계정대체기준!$A$77:$A$86,$N686)&gt;0,ISNUMBER(MATCH($X686,계정대체기준!$D$77:$D$86,0)),ISNUMBER(MATCH($F686,계정대체기준!$D$77:$D$86,0))),"Y","N")))</f>
        <v/>
      </c>
    </row>
    <row r="687">
      <c r="A687" s="92" t="n">
        <v>2025</v>
      </c>
      <c r="B687" s="92" t="n">
        <v>3</v>
      </c>
      <c r="C687" s="92" t="inlineStr">
        <is>
          <t>5100000683</t>
        </is>
      </c>
      <c r="D687" s="95" t="n">
        <v>45743</v>
      </c>
      <c r="E687" s="92" t="inlineStr">
        <is>
          <t>KR</t>
        </is>
      </c>
      <c r="F687" s="92" t="n">
        <v>63001000</v>
      </c>
      <c r="G687" s="92" t="n">
        <v>1951</v>
      </c>
      <c r="H687" s="93" t="n">
        <v>3283000</v>
      </c>
      <c r="I687" s="92" t="inlineStr">
        <is>
          <t>3월 SW 유지보수 - Y소프트</t>
        </is>
      </c>
      <c r="J687" s="92" t="inlineStr">
        <is>
          <t>V10017</t>
        </is>
      </c>
      <c r="K687" s="92" t="inlineStr">
        <is>
          <t>Y소프트</t>
        </is>
      </c>
      <c r="M687" s="9">
        <f>IF($A687="","",VALUE($A687&amp;"")*12+VALUE($B687&amp;""))</f>
        <v/>
      </c>
      <c r="N687" s="64">
        <f>IF($A687="","",IFERROR(INDEX(부서매핑!$C$5:$C$504,MATCH($G687&amp;"",부서매핑!$A$5:$A$504,0)),"미매핑"))</f>
        <v/>
      </c>
      <c r="O687" s="9">
        <f>IF($A687="","",N687&amp;"|"&amp;$F687)</f>
        <v/>
      </c>
      <c r="P687" s="94">
        <f>IF($A687="",0,$H687*설정!$C$23)</f>
        <v/>
      </c>
      <c r="Q687" s="64">
        <f>IF($A687="","",IF(O687&lt;&gt;원인분석!$C$9,"",IF(AND(M687&gt;=원인분석!$C$10,M687&lt;=원인분석!$C$11),"당기",IF(AND(M687&gt;=원인분석!$C$12,M687&lt;=원인분석!$C$13),"비교",""))))</f>
        <v/>
      </c>
      <c r="R687" s="9">
        <f>IF(Q687="","",$K687&amp;"")</f>
        <v/>
      </c>
      <c r="S687" s="9">
        <f>IF(Q687="","",IF(MATCH(R687,$R$5:$R$100000,0)=ROW()-4,ROW(),""))</f>
        <v/>
      </c>
      <c r="T687" s="9">
        <f>IF(Q687="당기",ABS(P687)+ROW()/1000000000,"")</f>
        <v/>
      </c>
      <c r="U687" s="9">
        <f>IF(Q687="비교",ABS(P687)+ROW()/1000000000,"")</f>
        <v/>
      </c>
      <c r="V687" s="64">
        <f>IF($A687="","",IF(COUNTIF(변동분석!$E$7:$E$506,O687)&gt;0,"Y","N"))</f>
        <v/>
      </c>
      <c r="W687" s="64">
        <f>IF($A687="","",IFERROR(INDEX(계정매핑!$D$5:$D$504,MATCH($F687&amp;"",계정매핑!$A$5:$A$504,0)),"미매핑"))</f>
        <v/>
      </c>
      <c r="X687" s="9">
        <f>IF($A687="","",$F687&amp;"")</f>
        <v/>
      </c>
      <c r="Y687" s="94">
        <f>IF($A687="",0,IF(AE687="직접",IF(AF687="비귀속",$P687,0),$P687*(1-AG687)*IFERROR(INDEX(계정대체기준!$F$20:$F$49,MATCH($N687,계정대체기준!$A$20:$A$49,0)),1)))</f>
        <v/>
      </c>
      <c r="Z687" s="94">
        <f>IF($A687="",0,IF(AE687="직접",IF(AF687="신계약비",$P687,0),$P687*(1-AG687)*IFERROR(INDEX(계정대체기준!$C$20:$C$49,MATCH($N687,계정대체기준!$A$20:$A$49,0)),0)))</f>
        <v/>
      </c>
      <c r="AA687" s="94">
        <f>IF($A687="",0,IF(AE687="직접",IF(OR(AF687="유지비",AF687="손해조사비"),$P687,0),$P687*(1-AG687)*IFERROR(INDEX(계정대체기준!$D$20:$D$49,MATCH($N687,계정대체기준!$A$20:$A$49,0)),0)))</f>
        <v/>
      </c>
      <c r="AB687" s="94">
        <f>IF($A687="",0,IF(AE687="직접",IF(AF687="수금비",$P687,0),$P687*(1-AG687)*IFERROR(INDEX(계정대체기준!$E$20:$E$49,MATCH($N687,계정대체기준!$A$20:$A$49,0)),0)))</f>
        <v/>
      </c>
      <c r="AC687" s="9">
        <f>IF(AND($A687&lt;&gt;"",M687=설정!$C$20,Z687&gt;0),Z687+ROW()/1000000000,"")</f>
        <v/>
      </c>
      <c r="AD687" s="94">
        <f>IF($A687="",0,$P687*AG687)</f>
        <v/>
      </c>
      <c r="AE687" s="64">
        <f>IF($A687="","",IFERROR(INDEX(계정매핑!$E$5:$E$504,MATCH($F687&amp;"",계정매핑!$A$5:$A$504,0))&amp;"","공통비"))</f>
        <v/>
      </c>
      <c r="AF687" s="64">
        <f>IF($A687="","",IF(AE687="직접",IFERROR(INDEX(계정매핑!$F$5:$F$504,MATCH($F687&amp;"",계정매핑!$A$5:$A$504,0))&amp;"","비귀속"),""))</f>
        <v/>
      </c>
      <c r="AG687" s="96">
        <f>IF($A687="",0,IF(AND(AE687&lt;&gt;"직접",IFERROR(INDEX(계정매핑!$G$5:$G$504,MATCH($F687&amp;"",계정매핑!$A$5:$A$504,0))&amp;"","")="유지비",COUNTIF(계정대체기준!$A$6:$A$15,$N687)&gt;0),IFERROR(INDEX(계정대체기준!$E$6:$E$15,MATCH(VALUE($A687&amp;""),계정대체기준!$D$6:$D$15,0)),0),0))</f>
        <v/>
      </c>
      <c r="AH687" s="64">
        <f>IF($A687="","",IF(AD687=0,"",IF(OR(COUNTIF(계정대체기준!$A$77:$A$86,$N687)&gt;0,ISNUMBER(MATCH($X687,계정대체기준!$D$77:$D$86,0)),ISNUMBER(MATCH($F687,계정대체기준!$D$77:$D$86,0))),"Y","N")))</f>
        <v/>
      </c>
    </row>
    <row r="688">
      <c r="A688" s="92" t="n">
        <v>2025</v>
      </c>
      <c r="B688" s="92" t="n">
        <v>4</v>
      </c>
      <c r="C688" s="92" t="inlineStr">
        <is>
          <t>5100000684</t>
        </is>
      </c>
      <c r="D688" s="95" t="n">
        <v>45749</v>
      </c>
      <c r="E688" s="92" t="inlineStr">
        <is>
          <t>KR</t>
        </is>
      </c>
      <c r="F688" s="92" t="n">
        <v>62201000</v>
      </c>
      <c r="G688" s="92" t="n">
        <v>1951</v>
      </c>
      <c r="H688" s="93" t="n">
        <v>298000</v>
      </c>
      <c r="I688" s="92" t="inlineStr">
        <is>
          <t>4월 통신요금 - P통신</t>
        </is>
      </c>
      <c r="J688" s="92" t="inlineStr">
        <is>
          <t>V10014</t>
        </is>
      </c>
      <c r="K688" s="92" t="inlineStr">
        <is>
          <t>P통신</t>
        </is>
      </c>
      <c r="M688" s="9">
        <f>IF($A688="","",VALUE($A688&amp;"")*12+VALUE($B688&amp;""))</f>
        <v/>
      </c>
      <c r="N688" s="64">
        <f>IF($A688="","",IFERROR(INDEX(부서매핑!$C$5:$C$504,MATCH($G688&amp;"",부서매핑!$A$5:$A$504,0)),"미매핑"))</f>
        <v/>
      </c>
      <c r="O688" s="9">
        <f>IF($A688="","",N688&amp;"|"&amp;$F688)</f>
        <v/>
      </c>
      <c r="P688" s="94">
        <f>IF($A688="",0,$H688*설정!$C$23)</f>
        <v/>
      </c>
      <c r="Q688" s="64">
        <f>IF($A688="","",IF(O688&lt;&gt;원인분석!$C$9,"",IF(AND(M688&gt;=원인분석!$C$10,M688&lt;=원인분석!$C$11),"당기",IF(AND(M688&gt;=원인분석!$C$12,M688&lt;=원인분석!$C$13),"비교",""))))</f>
        <v/>
      </c>
      <c r="R688" s="9">
        <f>IF(Q688="","",$K688&amp;"")</f>
        <v/>
      </c>
      <c r="S688" s="9">
        <f>IF(Q688="","",IF(MATCH(R688,$R$5:$R$100000,0)=ROW()-4,ROW(),""))</f>
        <v/>
      </c>
      <c r="T688" s="9">
        <f>IF(Q688="당기",ABS(P688)+ROW()/1000000000,"")</f>
        <v/>
      </c>
      <c r="U688" s="9">
        <f>IF(Q688="비교",ABS(P688)+ROW()/1000000000,"")</f>
        <v/>
      </c>
      <c r="V688" s="64">
        <f>IF($A688="","",IF(COUNTIF(변동분석!$E$7:$E$506,O688)&gt;0,"Y","N"))</f>
        <v/>
      </c>
      <c r="W688" s="64">
        <f>IF($A688="","",IFERROR(INDEX(계정매핑!$D$5:$D$504,MATCH($F688&amp;"",계정매핑!$A$5:$A$504,0)),"미매핑"))</f>
        <v/>
      </c>
      <c r="X688" s="9">
        <f>IF($A688="","",$F688&amp;"")</f>
        <v/>
      </c>
      <c r="Y688" s="94">
        <f>IF($A688="",0,IF(AE688="직접",IF(AF688="비귀속",$P688,0),$P688*(1-AG688)*IFERROR(INDEX(계정대체기준!$F$20:$F$49,MATCH($N688,계정대체기준!$A$20:$A$49,0)),1)))</f>
        <v/>
      </c>
      <c r="Z688" s="94">
        <f>IF($A688="",0,IF(AE688="직접",IF(AF688="신계약비",$P688,0),$P688*(1-AG688)*IFERROR(INDEX(계정대체기준!$C$20:$C$49,MATCH($N688,계정대체기준!$A$20:$A$49,0)),0)))</f>
        <v/>
      </c>
      <c r="AA688" s="94">
        <f>IF($A688="",0,IF(AE688="직접",IF(OR(AF688="유지비",AF688="손해조사비"),$P688,0),$P688*(1-AG688)*IFERROR(INDEX(계정대체기준!$D$20:$D$49,MATCH($N688,계정대체기준!$A$20:$A$49,0)),0)))</f>
        <v/>
      </c>
      <c r="AB688" s="94">
        <f>IF($A688="",0,IF(AE688="직접",IF(AF688="수금비",$P688,0),$P688*(1-AG688)*IFERROR(INDEX(계정대체기준!$E$20:$E$49,MATCH($N688,계정대체기준!$A$20:$A$49,0)),0)))</f>
        <v/>
      </c>
      <c r="AC688" s="9">
        <f>IF(AND($A688&lt;&gt;"",M688=설정!$C$20,Z688&gt;0),Z688+ROW()/1000000000,"")</f>
        <v/>
      </c>
      <c r="AD688" s="94">
        <f>IF($A688="",0,$P688*AG688)</f>
        <v/>
      </c>
      <c r="AE688" s="64">
        <f>IF($A688="","",IFERROR(INDEX(계정매핑!$E$5:$E$504,MATCH($F688&amp;"",계정매핑!$A$5:$A$504,0))&amp;"","공통비"))</f>
        <v/>
      </c>
      <c r="AF688" s="64">
        <f>IF($A688="","",IF(AE688="직접",IFERROR(INDEX(계정매핑!$F$5:$F$504,MATCH($F688&amp;"",계정매핑!$A$5:$A$504,0))&amp;"","비귀속"),""))</f>
        <v/>
      </c>
      <c r="AG688" s="96">
        <f>IF($A688="",0,IF(AND(AE688&lt;&gt;"직접",IFERROR(INDEX(계정매핑!$G$5:$G$504,MATCH($F688&amp;"",계정매핑!$A$5:$A$504,0))&amp;"","")="유지비",COUNTIF(계정대체기준!$A$6:$A$15,$N688)&gt;0),IFERROR(INDEX(계정대체기준!$E$6:$E$15,MATCH(VALUE($A688&amp;""),계정대체기준!$D$6:$D$15,0)),0),0))</f>
        <v/>
      </c>
      <c r="AH688" s="64">
        <f>IF($A688="","",IF(AD688=0,"",IF(OR(COUNTIF(계정대체기준!$A$77:$A$86,$N688)&gt;0,ISNUMBER(MATCH($X688,계정대체기준!$D$77:$D$86,0)),ISNUMBER(MATCH($F688,계정대체기준!$D$77:$D$86,0))),"Y","N")))</f>
        <v/>
      </c>
    </row>
    <row r="689">
      <c r="A689" s="92" t="n">
        <v>2025</v>
      </c>
      <c r="B689" s="92" t="n">
        <v>4</v>
      </c>
      <c r="C689" s="92" t="inlineStr">
        <is>
          <t>5100000685</t>
        </is>
      </c>
      <c r="D689" s="95" t="n">
        <v>45749</v>
      </c>
      <c r="E689" s="92" t="inlineStr">
        <is>
          <t>KR</t>
        </is>
      </c>
      <c r="F689" s="92" t="n">
        <v>62501000</v>
      </c>
      <c r="G689" s="92" t="n">
        <v>1801</v>
      </c>
      <c r="H689" s="93" t="n">
        <v>164000</v>
      </c>
      <c r="I689" s="92" t="inlineStr">
        <is>
          <t>4월 회의 다과 - T케이터링</t>
        </is>
      </c>
      <c r="J689" s="92" t="inlineStr">
        <is>
          <t>V10005</t>
        </is>
      </c>
      <c r="K689" s="92" t="inlineStr">
        <is>
          <t>T케이터링</t>
        </is>
      </c>
      <c r="M689" s="9">
        <f>IF($A689="","",VALUE($A689&amp;"")*12+VALUE($B689&amp;""))</f>
        <v/>
      </c>
      <c r="N689" s="64">
        <f>IF($A689="","",IFERROR(INDEX(부서매핑!$C$5:$C$504,MATCH($G689&amp;"",부서매핑!$A$5:$A$504,0)),"미매핑"))</f>
        <v/>
      </c>
      <c r="O689" s="9">
        <f>IF($A689="","",N689&amp;"|"&amp;$F689)</f>
        <v/>
      </c>
      <c r="P689" s="94">
        <f>IF($A689="",0,$H689*설정!$C$23)</f>
        <v/>
      </c>
      <c r="Q689" s="64">
        <f>IF($A689="","",IF(O689&lt;&gt;원인분석!$C$9,"",IF(AND(M689&gt;=원인분석!$C$10,M689&lt;=원인분석!$C$11),"당기",IF(AND(M689&gt;=원인분석!$C$12,M689&lt;=원인분석!$C$13),"비교",""))))</f>
        <v/>
      </c>
      <c r="R689" s="9">
        <f>IF(Q689="","",$K689&amp;"")</f>
        <v/>
      </c>
      <c r="S689" s="9">
        <f>IF(Q689="","",IF(MATCH(R689,$R$5:$R$100000,0)=ROW()-4,ROW(),""))</f>
        <v/>
      </c>
      <c r="T689" s="9">
        <f>IF(Q689="당기",ABS(P689)+ROW()/1000000000,"")</f>
        <v/>
      </c>
      <c r="U689" s="9">
        <f>IF(Q689="비교",ABS(P689)+ROW()/1000000000,"")</f>
        <v/>
      </c>
      <c r="V689" s="64">
        <f>IF($A689="","",IF(COUNTIF(변동분석!$E$7:$E$506,O689)&gt;0,"Y","N"))</f>
        <v/>
      </c>
      <c r="W689" s="64">
        <f>IF($A689="","",IFERROR(INDEX(계정매핑!$D$5:$D$504,MATCH($F689&amp;"",계정매핑!$A$5:$A$504,0)),"미매핑"))</f>
        <v/>
      </c>
      <c r="X689" s="9">
        <f>IF($A689="","",$F689&amp;"")</f>
        <v/>
      </c>
      <c r="Y689" s="94">
        <f>IF($A689="",0,IF(AE689="직접",IF(AF689="비귀속",$P689,0),$P689*(1-AG689)*IFERROR(INDEX(계정대체기준!$F$20:$F$49,MATCH($N689,계정대체기준!$A$20:$A$49,0)),1)))</f>
        <v/>
      </c>
      <c r="Z689" s="94">
        <f>IF($A689="",0,IF(AE689="직접",IF(AF689="신계약비",$P689,0),$P689*(1-AG689)*IFERROR(INDEX(계정대체기준!$C$20:$C$49,MATCH($N689,계정대체기준!$A$20:$A$49,0)),0)))</f>
        <v/>
      </c>
      <c r="AA689" s="94">
        <f>IF($A689="",0,IF(AE689="직접",IF(OR(AF689="유지비",AF689="손해조사비"),$P689,0),$P689*(1-AG689)*IFERROR(INDEX(계정대체기준!$D$20:$D$49,MATCH($N689,계정대체기준!$A$20:$A$49,0)),0)))</f>
        <v/>
      </c>
      <c r="AB689" s="94">
        <f>IF($A689="",0,IF(AE689="직접",IF(AF689="수금비",$P689,0),$P689*(1-AG689)*IFERROR(INDEX(계정대체기준!$E$20:$E$49,MATCH($N689,계정대체기준!$A$20:$A$49,0)),0)))</f>
        <v/>
      </c>
      <c r="AC689" s="9">
        <f>IF(AND($A689&lt;&gt;"",M689=설정!$C$20,Z689&gt;0),Z689+ROW()/1000000000,"")</f>
        <v/>
      </c>
      <c r="AD689" s="94">
        <f>IF($A689="",0,$P689*AG689)</f>
        <v/>
      </c>
      <c r="AE689" s="64">
        <f>IF($A689="","",IFERROR(INDEX(계정매핑!$E$5:$E$504,MATCH($F689&amp;"",계정매핑!$A$5:$A$504,0))&amp;"","공통비"))</f>
        <v/>
      </c>
      <c r="AF689" s="64">
        <f>IF($A689="","",IF(AE689="직접",IFERROR(INDEX(계정매핑!$F$5:$F$504,MATCH($F689&amp;"",계정매핑!$A$5:$A$504,0))&amp;"","비귀속"),""))</f>
        <v/>
      </c>
      <c r="AG689" s="96">
        <f>IF($A689="",0,IF(AND(AE689&lt;&gt;"직접",IFERROR(INDEX(계정매핑!$G$5:$G$504,MATCH($F689&amp;"",계정매핑!$A$5:$A$504,0))&amp;"","")="유지비",COUNTIF(계정대체기준!$A$6:$A$15,$N689)&gt;0),IFERROR(INDEX(계정대체기준!$E$6:$E$15,MATCH(VALUE($A689&amp;""),계정대체기준!$D$6:$D$15,0)),0),0))</f>
        <v/>
      </c>
      <c r="AH689" s="64">
        <f>IF($A689="","",IF(AD689=0,"",IF(OR(COUNTIF(계정대체기준!$A$77:$A$86,$N689)&gt;0,ISNUMBER(MATCH($X689,계정대체기준!$D$77:$D$86,0)),ISNUMBER(MATCH($F689,계정대체기준!$D$77:$D$86,0))),"Y","N")))</f>
        <v/>
      </c>
    </row>
    <row r="690">
      <c r="A690" s="92" t="n">
        <v>2025</v>
      </c>
      <c r="B690" s="92" t="n">
        <v>4</v>
      </c>
      <c r="C690" s="92" t="inlineStr">
        <is>
          <t>5100000686</t>
        </is>
      </c>
      <c r="D690" s="95" t="n">
        <v>45749</v>
      </c>
      <c r="E690" s="92" t="inlineStr">
        <is>
          <t>KR</t>
        </is>
      </c>
      <c r="F690" s="92" t="n">
        <v>62901000</v>
      </c>
      <c r="G690" s="92" t="n">
        <v>1801</v>
      </c>
      <c r="H690" s="93" t="n">
        <v>8751000</v>
      </c>
      <c r="I690" s="92" t="inlineStr">
        <is>
          <t>4월 자문 수수료 - K회계법인</t>
        </is>
      </c>
      <c r="J690" s="92" t="inlineStr">
        <is>
          <t>V10011</t>
        </is>
      </c>
      <c r="K690" s="92" t="inlineStr">
        <is>
          <t>K회계법인</t>
        </is>
      </c>
      <c r="M690" s="9">
        <f>IF($A690="","",VALUE($A690&amp;"")*12+VALUE($B690&amp;""))</f>
        <v/>
      </c>
      <c r="N690" s="64">
        <f>IF($A690="","",IFERROR(INDEX(부서매핑!$C$5:$C$504,MATCH($G690&amp;"",부서매핑!$A$5:$A$504,0)),"미매핑"))</f>
        <v/>
      </c>
      <c r="O690" s="9">
        <f>IF($A690="","",N690&amp;"|"&amp;$F690)</f>
        <v/>
      </c>
      <c r="P690" s="94">
        <f>IF($A690="",0,$H690*설정!$C$23)</f>
        <v/>
      </c>
      <c r="Q690" s="64">
        <f>IF($A690="","",IF(O690&lt;&gt;원인분석!$C$9,"",IF(AND(M690&gt;=원인분석!$C$10,M690&lt;=원인분석!$C$11),"당기",IF(AND(M690&gt;=원인분석!$C$12,M690&lt;=원인분석!$C$13),"비교",""))))</f>
        <v/>
      </c>
      <c r="R690" s="9">
        <f>IF(Q690="","",$K690&amp;"")</f>
        <v/>
      </c>
      <c r="S690" s="9">
        <f>IF(Q690="","",IF(MATCH(R690,$R$5:$R$100000,0)=ROW()-4,ROW(),""))</f>
        <v/>
      </c>
      <c r="T690" s="9">
        <f>IF(Q690="당기",ABS(P690)+ROW()/1000000000,"")</f>
        <v/>
      </c>
      <c r="U690" s="9">
        <f>IF(Q690="비교",ABS(P690)+ROW()/1000000000,"")</f>
        <v/>
      </c>
      <c r="V690" s="64">
        <f>IF($A690="","",IF(COUNTIF(변동분석!$E$7:$E$506,O690)&gt;0,"Y","N"))</f>
        <v/>
      </c>
      <c r="W690" s="64">
        <f>IF($A690="","",IFERROR(INDEX(계정매핑!$D$5:$D$504,MATCH($F690&amp;"",계정매핑!$A$5:$A$504,0)),"미매핑"))</f>
        <v/>
      </c>
      <c r="X690" s="9">
        <f>IF($A690="","",$F690&amp;"")</f>
        <v/>
      </c>
      <c r="Y690" s="94">
        <f>IF($A690="",0,IF(AE690="직접",IF(AF690="비귀속",$P690,0),$P690*(1-AG690)*IFERROR(INDEX(계정대체기준!$F$20:$F$49,MATCH($N690,계정대체기준!$A$20:$A$49,0)),1)))</f>
        <v/>
      </c>
      <c r="Z690" s="94">
        <f>IF($A690="",0,IF(AE690="직접",IF(AF690="신계약비",$P690,0),$P690*(1-AG690)*IFERROR(INDEX(계정대체기준!$C$20:$C$49,MATCH($N690,계정대체기준!$A$20:$A$49,0)),0)))</f>
        <v/>
      </c>
      <c r="AA690" s="94">
        <f>IF($A690="",0,IF(AE690="직접",IF(OR(AF690="유지비",AF690="손해조사비"),$P690,0),$P690*(1-AG690)*IFERROR(INDEX(계정대체기준!$D$20:$D$49,MATCH($N690,계정대체기준!$A$20:$A$49,0)),0)))</f>
        <v/>
      </c>
      <c r="AB690" s="94">
        <f>IF($A690="",0,IF(AE690="직접",IF(AF690="수금비",$P690,0),$P690*(1-AG690)*IFERROR(INDEX(계정대체기준!$E$20:$E$49,MATCH($N690,계정대체기준!$A$20:$A$49,0)),0)))</f>
        <v/>
      </c>
      <c r="AC690" s="9">
        <f>IF(AND($A690&lt;&gt;"",M690=설정!$C$20,Z690&gt;0),Z690+ROW()/1000000000,"")</f>
        <v/>
      </c>
      <c r="AD690" s="94">
        <f>IF($A690="",0,$P690*AG690)</f>
        <v/>
      </c>
      <c r="AE690" s="64">
        <f>IF($A690="","",IFERROR(INDEX(계정매핑!$E$5:$E$504,MATCH($F690&amp;"",계정매핑!$A$5:$A$504,0))&amp;"","공통비"))</f>
        <v/>
      </c>
      <c r="AF690" s="64">
        <f>IF($A690="","",IF(AE690="직접",IFERROR(INDEX(계정매핑!$F$5:$F$504,MATCH($F690&amp;"",계정매핑!$A$5:$A$504,0))&amp;"","비귀속"),""))</f>
        <v/>
      </c>
      <c r="AG690" s="96">
        <f>IF($A690="",0,IF(AND(AE690&lt;&gt;"직접",IFERROR(INDEX(계정매핑!$G$5:$G$504,MATCH($F690&amp;"",계정매핑!$A$5:$A$504,0))&amp;"","")="유지비",COUNTIF(계정대체기준!$A$6:$A$15,$N690)&gt;0),IFERROR(INDEX(계정대체기준!$E$6:$E$15,MATCH(VALUE($A690&amp;""),계정대체기준!$D$6:$D$15,0)),0),0))</f>
        <v/>
      </c>
      <c r="AH690" s="64">
        <f>IF($A690="","",IF(AD690=0,"",IF(OR(COUNTIF(계정대체기준!$A$77:$A$86,$N690)&gt;0,ISNUMBER(MATCH($X690,계정대체기준!$D$77:$D$86,0)),ISNUMBER(MATCH($F690,계정대체기준!$D$77:$D$86,0))),"Y","N")))</f>
        <v/>
      </c>
    </row>
    <row r="691">
      <c r="A691" s="92" t="n">
        <v>2025</v>
      </c>
      <c r="B691" s="92" t="n">
        <v>4</v>
      </c>
      <c r="C691" s="92" t="inlineStr">
        <is>
          <t>5100000687</t>
        </is>
      </c>
      <c r="D691" s="95" t="n">
        <v>45749</v>
      </c>
      <c r="E691" s="92" t="inlineStr">
        <is>
          <t>KR</t>
        </is>
      </c>
      <c r="F691" s="92" t="n">
        <v>62901000</v>
      </c>
      <c r="G691" s="92" t="n">
        <v>1801</v>
      </c>
      <c r="H691" s="93" t="n">
        <v>8376000</v>
      </c>
      <c r="I691" s="92" t="inlineStr">
        <is>
          <t>4월 자문 수수료 - W컨설팅</t>
        </is>
      </c>
      <c r="J691" s="92" t="inlineStr">
        <is>
          <t>V10006</t>
        </is>
      </c>
      <c r="K691" s="92" t="inlineStr">
        <is>
          <t>W컨설팅</t>
        </is>
      </c>
      <c r="M691" s="9">
        <f>IF($A691="","",VALUE($A691&amp;"")*12+VALUE($B691&amp;""))</f>
        <v/>
      </c>
      <c r="N691" s="64">
        <f>IF($A691="","",IFERROR(INDEX(부서매핑!$C$5:$C$504,MATCH($G691&amp;"",부서매핑!$A$5:$A$504,0)),"미매핑"))</f>
        <v/>
      </c>
      <c r="O691" s="9">
        <f>IF($A691="","",N691&amp;"|"&amp;$F691)</f>
        <v/>
      </c>
      <c r="P691" s="94">
        <f>IF($A691="",0,$H691*설정!$C$23)</f>
        <v/>
      </c>
      <c r="Q691" s="64">
        <f>IF($A691="","",IF(O691&lt;&gt;원인분석!$C$9,"",IF(AND(M691&gt;=원인분석!$C$10,M691&lt;=원인분석!$C$11),"당기",IF(AND(M691&gt;=원인분석!$C$12,M691&lt;=원인분석!$C$13),"비교",""))))</f>
        <v/>
      </c>
      <c r="R691" s="9">
        <f>IF(Q691="","",$K691&amp;"")</f>
        <v/>
      </c>
      <c r="S691" s="9">
        <f>IF(Q691="","",IF(MATCH(R691,$R$5:$R$100000,0)=ROW()-4,ROW(),""))</f>
        <v/>
      </c>
      <c r="T691" s="9">
        <f>IF(Q691="당기",ABS(P691)+ROW()/1000000000,"")</f>
        <v/>
      </c>
      <c r="U691" s="9">
        <f>IF(Q691="비교",ABS(P691)+ROW()/1000000000,"")</f>
        <v/>
      </c>
      <c r="V691" s="64">
        <f>IF($A691="","",IF(COUNTIF(변동분석!$E$7:$E$506,O691)&gt;0,"Y","N"))</f>
        <v/>
      </c>
      <c r="W691" s="64">
        <f>IF($A691="","",IFERROR(INDEX(계정매핑!$D$5:$D$504,MATCH($F691&amp;"",계정매핑!$A$5:$A$504,0)),"미매핑"))</f>
        <v/>
      </c>
      <c r="X691" s="9">
        <f>IF($A691="","",$F691&amp;"")</f>
        <v/>
      </c>
      <c r="Y691" s="94">
        <f>IF($A691="",0,IF(AE691="직접",IF(AF691="비귀속",$P691,0),$P691*(1-AG691)*IFERROR(INDEX(계정대체기준!$F$20:$F$49,MATCH($N691,계정대체기준!$A$20:$A$49,0)),1)))</f>
        <v/>
      </c>
      <c r="Z691" s="94">
        <f>IF($A691="",0,IF(AE691="직접",IF(AF691="신계약비",$P691,0),$P691*(1-AG691)*IFERROR(INDEX(계정대체기준!$C$20:$C$49,MATCH($N691,계정대체기준!$A$20:$A$49,0)),0)))</f>
        <v/>
      </c>
      <c r="AA691" s="94">
        <f>IF($A691="",0,IF(AE691="직접",IF(OR(AF691="유지비",AF691="손해조사비"),$P691,0),$P691*(1-AG691)*IFERROR(INDEX(계정대체기준!$D$20:$D$49,MATCH($N691,계정대체기준!$A$20:$A$49,0)),0)))</f>
        <v/>
      </c>
      <c r="AB691" s="94">
        <f>IF($A691="",0,IF(AE691="직접",IF(AF691="수금비",$P691,0),$P691*(1-AG691)*IFERROR(INDEX(계정대체기준!$E$20:$E$49,MATCH($N691,계정대체기준!$A$20:$A$49,0)),0)))</f>
        <v/>
      </c>
      <c r="AC691" s="9">
        <f>IF(AND($A691&lt;&gt;"",M691=설정!$C$20,Z691&gt;0),Z691+ROW()/1000000000,"")</f>
        <v/>
      </c>
      <c r="AD691" s="94">
        <f>IF($A691="",0,$P691*AG691)</f>
        <v/>
      </c>
      <c r="AE691" s="64">
        <f>IF($A691="","",IFERROR(INDEX(계정매핑!$E$5:$E$504,MATCH($F691&amp;"",계정매핑!$A$5:$A$504,0))&amp;"","공통비"))</f>
        <v/>
      </c>
      <c r="AF691" s="64">
        <f>IF($A691="","",IF(AE691="직접",IFERROR(INDEX(계정매핑!$F$5:$F$504,MATCH($F691&amp;"",계정매핑!$A$5:$A$504,0))&amp;"","비귀속"),""))</f>
        <v/>
      </c>
      <c r="AG691" s="96">
        <f>IF($A691="",0,IF(AND(AE691&lt;&gt;"직접",IFERROR(INDEX(계정매핑!$G$5:$G$504,MATCH($F691&amp;"",계정매핑!$A$5:$A$504,0))&amp;"","")="유지비",COUNTIF(계정대체기준!$A$6:$A$15,$N691)&gt;0),IFERROR(INDEX(계정대체기준!$E$6:$E$15,MATCH(VALUE($A691&amp;""),계정대체기준!$D$6:$D$15,0)),0),0))</f>
        <v/>
      </c>
      <c r="AH691" s="64">
        <f>IF($A691="","",IF(AD691=0,"",IF(OR(COUNTIF(계정대체기준!$A$77:$A$86,$N691)&gt;0,ISNUMBER(MATCH($X691,계정대체기준!$D$77:$D$86,0)),ISNUMBER(MATCH($F691,계정대체기준!$D$77:$D$86,0))),"Y","N")))</f>
        <v/>
      </c>
    </row>
    <row r="692">
      <c r="A692" s="92" t="n">
        <v>2025</v>
      </c>
      <c r="B692" s="92" t="n">
        <v>4</v>
      </c>
      <c r="C692" s="92" t="inlineStr">
        <is>
          <t>5100000688</t>
        </is>
      </c>
      <c r="D692" s="95" t="n">
        <v>45749</v>
      </c>
      <c r="E692" s="92" t="inlineStr">
        <is>
          <t>KR</t>
        </is>
      </c>
      <c r="F692" s="92" t="n">
        <v>62901000</v>
      </c>
      <c r="G692" s="92" t="n">
        <v>1951</v>
      </c>
      <c r="H692" s="93" t="n">
        <v>11070000</v>
      </c>
      <c r="I692" s="92" t="inlineStr">
        <is>
          <t>4월 자문 수수료 - W컨설팅</t>
        </is>
      </c>
      <c r="J692" s="92" t="inlineStr">
        <is>
          <t>V10006</t>
        </is>
      </c>
      <c r="K692" s="92" t="inlineStr">
        <is>
          <t>W컨설팅</t>
        </is>
      </c>
      <c r="M692" s="9">
        <f>IF($A692="","",VALUE($A692&amp;"")*12+VALUE($B692&amp;""))</f>
        <v/>
      </c>
      <c r="N692" s="64">
        <f>IF($A692="","",IFERROR(INDEX(부서매핑!$C$5:$C$504,MATCH($G692&amp;"",부서매핑!$A$5:$A$504,0)),"미매핑"))</f>
        <v/>
      </c>
      <c r="O692" s="9">
        <f>IF($A692="","",N692&amp;"|"&amp;$F692)</f>
        <v/>
      </c>
      <c r="P692" s="94">
        <f>IF($A692="",0,$H692*설정!$C$23)</f>
        <v/>
      </c>
      <c r="Q692" s="64">
        <f>IF($A692="","",IF(O692&lt;&gt;원인분석!$C$9,"",IF(AND(M692&gt;=원인분석!$C$10,M692&lt;=원인분석!$C$11),"당기",IF(AND(M692&gt;=원인분석!$C$12,M692&lt;=원인분석!$C$13),"비교",""))))</f>
        <v/>
      </c>
      <c r="R692" s="9">
        <f>IF(Q692="","",$K692&amp;"")</f>
        <v/>
      </c>
      <c r="S692" s="9">
        <f>IF(Q692="","",IF(MATCH(R692,$R$5:$R$100000,0)=ROW()-4,ROW(),""))</f>
        <v/>
      </c>
      <c r="T692" s="9">
        <f>IF(Q692="당기",ABS(P692)+ROW()/1000000000,"")</f>
        <v/>
      </c>
      <c r="U692" s="9">
        <f>IF(Q692="비교",ABS(P692)+ROW()/1000000000,"")</f>
        <v/>
      </c>
      <c r="V692" s="64">
        <f>IF($A692="","",IF(COUNTIF(변동분석!$E$7:$E$506,O692)&gt;0,"Y","N"))</f>
        <v/>
      </c>
      <c r="W692" s="64">
        <f>IF($A692="","",IFERROR(INDEX(계정매핑!$D$5:$D$504,MATCH($F692&amp;"",계정매핑!$A$5:$A$504,0)),"미매핑"))</f>
        <v/>
      </c>
      <c r="X692" s="9">
        <f>IF($A692="","",$F692&amp;"")</f>
        <v/>
      </c>
      <c r="Y692" s="94">
        <f>IF($A692="",0,IF(AE692="직접",IF(AF692="비귀속",$P692,0),$P692*(1-AG692)*IFERROR(INDEX(계정대체기준!$F$20:$F$49,MATCH($N692,계정대체기준!$A$20:$A$49,0)),1)))</f>
        <v/>
      </c>
      <c r="Z692" s="94">
        <f>IF($A692="",0,IF(AE692="직접",IF(AF692="신계약비",$P692,0),$P692*(1-AG692)*IFERROR(INDEX(계정대체기준!$C$20:$C$49,MATCH($N692,계정대체기준!$A$20:$A$49,0)),0)))</f>
        <v/>
      </c>
      <c r="AA692" s="94">
        <f>IF($A692="",0,IF(AE692="직접",IF(OR(AF692="유지비",AF692="손해조사비"),$P692,0),$P692*(1-AG692)*IFERROR(INDEX(계정대체기준!$D$20:$D$49,MATCH($N692,계정대체기준!$A$20:$A$49,0)),0)))</f>
        <v/>
      </c>
      <c r="AB692" s="94">
        <f>IF($A692="",0,IF(AE692="직접",IF(AF692="수금비",$P692,0),$P692*(1-AG692)*IFERROR(INDEX(계정대체기준!$E$20:$E$49,MATCH($N692,계정대체기준!$A$20:$A$49,0)),0)))</f>
        <v/>
      </c>
      <c r="AC692" s="9">
        <f>IF(AND($A692&lt;&gt;"",M692=설정!$C$20,Z692&gt;0),Z692+ROW()/1000000000,"")</f>
        <v/>
      </c>
      <c r="AD692" s="94">
        <f>IF($A692="",0,$P692*AG692)</f>
        <v/>
      </c>
      <c r="AE692" s="64">
        <f>IF($A692="","",IFERROR(INDEX(계정매핑!$E$5:$E$504,MATCH($F692&amp;"",계정매핑!$A$5:$A$504,0))&amp;"","공통비"))</f>
        <v/>
      </c>
      <c r="AF692" s="64">
        <f>IF($A692="","",IF(AE692="직접",IFERROR(INDEX(계정매핑!$F$5:$F$504,MATCH($F692&amp;"",계정매핑!$A$5:$A$504,0))&amp;"","비귀속"),""))</f>
        <v/>
      </c>
      <c r="AG692" s="96">
        <f>IF($A692="",0,IF(AND(AE692&lt;&gt;"직접",IFERROR(INDEX(계정매핑!$G$5:$G$504,MATCH($F692&amp;"",계정매핑!$A$5:$A$504,0))&amp;"","")="유지비",COUNTIF(계정대체기준!$A$6:$A$15,$N692)&gt;0),IFERROR(INDEX(계정대체기준!$E$6:$E$15,MATCH(VALUE($A692&amp;""),계정대체기준!$D$6:$D$15,0)),0),0))</f>
        <v/>
      </c>
      <c r="AH692" s="64">
        <f>IF($A692="","",IF(AD692=0,"",IF(OR(COUNTIF(계정대체기준!$A$77:$A$86,$N692)&gt;0,ISNUMBER(MATCH($X692,계정대체기준!$D$77:$D$86,0)),ISNUMBER(MATCH($F692,계정대체기준!$D$77:$D$86,0))),"Y","N")))</f>
        <v/>
      </c>
    </row>
    <row r="693">
      <c r="A693" s="92" t="n">
        <v>2025</v>
      </c>
      <c r="B693" s="92" t="n">
        <v>4</v>
      </c>
      <c r="C693" s="92" t="inlineStr">
        <is>
          <t>5100000689</t>
        </is>
      </c>
      <c r="D693" s="95" t="n">
        <v>45749</v>
      </c>
      <c r="E693" s="92" t="inlineStr">
        <is>
          <t>KR</t>
        </is>
      </c>
      <c r="F693" s="92" t="n">
        <v>62902000</v>
      </c>
      <c r="G693" s="92" t="n">
        <v>1801</v>
      </c>
      <c r="H693" s="93" t="n">
        <v>1849000</v>
      </c>
      <c r="I693" s="92" t="inlineStr">
        <is>
          <t>4월 콜 위탁 수수료(건별)</t>
        </is>
      </c>
      <c r="J693" s="92" t="inlineStr">
        <is>
          <t>V10016</t>
        </is>
      </c>
      <c r="K693" s="92" t="inlineStr">
        <is>
          <t>J콜센터</t>
        </is>
      </c>
      <c r="M693" s="9">
        <f>IF($A693="","",VALUE($A693&amp;"")*12+VALUE($B693&amp;""))</f>
        <v/>
      </c>
      <c r="N693" s="64">
        <f>IF($A693="","",IFERROR(INDEX(부서매핑!$C$5:$C$504,MATCH($G693&amp;"",부서매핑!$A$5:$A$504,0)),"미매핑"))</f>
        <v/>
      </c>
      <c r="O693" s="9">
        <f>IF($A693="","",N693&amp;"|"&amp;$F693)</f>
        <v/>
      </c>
      <c r="P693" s="94">
        <f>IF($A693="",0,$H693*설정!$C$23)</f>
        <v/>
      </c>
      <c r="Q693" s="64">
        <f>IF($A693="","",IF(O693&lt;&gt;원인분석!$C$9,"",IF(AND(M693&gt;=원인분석!$C$10,M693&lt;=원인분석!$C$11),"당기",IF(AND(M693&gt;=원인분석!$C$12,M693&lt;=원인분석!$C$13),"비교",""))))</f>
        <v/>
      </c>
      <c r="R693" s="9">
        <f>IF(Q693="","",$K693&amp;"")</f>
        <v/>
      </c>
      <c r="S693" s="9">
        <f>IF(Q693="","",IF(MATCH(R693,$R$5:$R$100000,0)=ROW()-4,ROW(),""))</f>
        <v/>
      </c>
      <c r="T693" s="9">
        <f>IF(Q693="당기",ABS(P693)+ROW()/1000000000,"")</f>
        <v/>
      </c>
      <c r="U693" s="9">
        <f>IF(Q693="비교",ABS(P693)+ROW()/1000000000,"")</f>
        <v/>
      </c>
      <c r="V693" s="64">
        <f>IF($A693="","",IF(COUNTIF(변동분석!$E$7:$E$506,O693)&gt;0,"Y","N"))</f>
        <v/>
      </c>
      <c r="W693" s="64">
        <f>IF($A693="","",IFERROR(INDEX(계정매핑!$D$5:$D$504,MATCH($F693&amp;"",계정매핑!$A$5:$A$504,0)),"미매핑"))</f>
        <v/>
      </c>
      <c r="X693" s="9">
        <f>IF($A693="","",$F693&amp;"")</f>
        <v/>
      </c>
      <c r="Y693" s="94">
        <f>IF($A693="",0,IF(AE693="직접",IF(AF693="비귀속",$P693,0),$P693*(1-AG693)*IFERROR(INDEX(계정대체기준!$F$20:$F$49,MATCH($N693,계정대체기준!$A$20:$A$49,0)),1)))</f>
        <v/>
      </c>
      <c r="Z693" s="94">
        <f>IF($A693="",0,IF(AE693="직접",IF(AF693="신계약비",$P693,0),$P693*(1-AG693)*IFERROR(INDEX(계정대체기준!$C$20:$C$49,MATCH($N693,계정대체기준!$A$20:$A$49,0)),0)))</f>
        <v/>
      </c>
      <c r="AA693" s="94">
        <f>IF($A693="",0,IF(AE693="직접",IF(OR(AF693="유지비",AF693="손해조사비"),$P693,0),$P693*(1-AG693)*IFERROR(INDEX(계정대체기준!$D$20:$D$49,MATCH($N693,계정대체기준!$A$20:$A$49,0)),0)))</f>
        <v/>
      </c>
      <c r="AB693" s="94">
        <f>IF($A693="",0,IF(AE693="직접",IF(AF693="수금비",$P693,0),$P693*(1-AG693)*IFERROR(INDEX(계정대체기준!$E$20:$E$49,MATCH($N693,계정대체기준!$A$20:$A$49,0)),0)))</f>
        <v/>
      </c>
      <c r="AC693" s="9">
        <f>IF(AND($A693&lt;&gt;"",M693=설정!$C$20,Z693&gt;0),Z693+ROW()/1000000000,"")</f>
        <v/>
      </c>
      <c r="AD693" s="94">
        <f>IF($A693="",0,$P693*AG693)</f>
        <v/>
      </c>
      <c r="AE693" s="64">
        <f>IF($A693="","",IFERROR(INDEX(계정매핑!$E$5:$E$504,MATCH($F693&amp;"",계정매핑!$A$5:$A$504,0))&amp;"","공통비"))</f>
        <v/>
      </c>
      <c r="AF693" s="64">
        <f>IF($A693="","",IF(AE693="직접",IFERROR(INDEX(계정매핑!$F$5:$F$504,MATCH($F693&amp;"",계정매핑!$A$5:$A$504,0))&amp;"","비귀속"),""))</f>
        <v/>
      </c>
      <c r="AG693" s="96">
        <f>IF($A693="",0,IF(AND(AE693&lt;&gt;"직접",IFERROR(INDEX(계정매핑!$G$5:$G$504,MATCH($F693&amp;"",계정매핑!$A$5:$A$504,0))&amp;"","")="유지비",COUNTIF(계정대체기준!$A$6:$A$15,$N693)&gt;0),IFERROR(INDEX(계정대체기준!$E$6:$E$15,MATCH(VALUE($A693&amp;""),계정대체기준!$D$6:$D$15,0)),0),0))</f>
        <v/>
      </c>
      <c r="AH693" s="64">
        <f>IF($A693="","",IF(AD693=0,"",IF(OR(COUNTIF(계정대체기준!$A$77:$A$86,$N693)&gt;0,ISNUMBER(MATCH($X693,계정대체기준!$D$77:$D$86,0)),ISNUMBER(MATCH($F693,계정대체기준!$D$77:$D$86,0))),"Y","N")))</f>
        <v/>
      </c>
    </row>
    <row r="694">
      <c r="A694" s="92" t="n">
        <v>2025</v>
      </c>
      <c r="B694" s="92" t="n">
        <v>4</v>
      </c>
      <c r="C694" s="92" t="inlineStr">
        <is>
          <t>5100000690</t>
        </is>
      </c>
      <c r="D694" s="95" t="n">
        <v>45749</v>
      </c>
      <c r="E694" s="92" t="inlineStr">
        <is>
          <t>KR</t>
        </is>
      </c>
      <c r="F694" s="92" t="n">
        <v>62902000</v>
      </c>
      <c r="G694" s="92" t="n">
        <v>1951</v>
      </c>
      <c r="H694" s="93" t="n">
        <v>1563000</v>
      </c>
      <c r="I694" s="92" t="inlineStr">
        <is>
          <t>4월 업무 위탁 수수료 - X서비스</t>
        </is>
      </c>
      <c r="J694" s="92" t="inlineStr">
        <is>
          <t>V10020</t>
        </is>
      </c>
      <c r="K694" s="92" t="inlineStr">
        <is>
          <t>X서비스</t>
        </is>
      </c>
      <c r="M694" s="9">
        <f>IF($A694="","",VALUE($A694&amp;"")*12+VALUE($B694&amp;""))</f>
        <v/>
      </c>
      <c r="N694" s="64">
        <f>IF($A694="","",IFERROR(INDEX(부서매핑!$C$5:$C$504,MATCH($G694&amp;"",부서매핑!$A$5:$A$504,0)),"미매핑"))</f>
        <v/>
      </c>
      <c r="O694" s="9">
        <f>IF($A694="","",N694&amp;"|"&amp;$F694)</f>
        <v/>
      </c>
      <c r="P694" s="94">
        <f>IF($A694="",0,$H694*설정!$C$23)</f>
        <v/>
      </c>
      <c r="Q694" s="64">
        <f>IF($A694="","",IF(O694&lt;&gt;원인분석!$C$9,"",IF(AND(M694&gt;=원인분석!$C$10,M694&lt;=원인분석!$C$11),"당기",IF(AND(M694&gt;=원인분석!$C$12,M694&lt;=원인분석!$C$13),"비교",""))))</f>
        <v/>
      </c>
      <c r="R694" s="9">
        <f>IF(Q694="","",$K694&amp;"")</f>
        <v/>
      </c>
      <c r="S694" s="9">
        <f>IF(Q694="","",IF(MATCH(R694,$R$5:$R$100000,0)=ROW()-4,ROW(),""))</f>
        <v/>
      </c>
      <c r="T694" s="9">
        <f>IF(Q694="당기",ABS(P694)+ROW()/1000000000,"")</f>
        <v/>
      </c>
      <c r="U694" s="9">
        <f>IF(Q694="비교",ABS(P694)+ROW()/1000000000,"")</f>
        <v/>
      </c>
      <c r="V694" s="64">
        <f>IF($A694="","",IF(COUNTIF(변동분석!$E$7:$E$506,O694)&gt;0,"Y","N"))</f>
        <v/>
      </c>
      <c r="W694" s="64">
        <f>IF($A694="","",IFERROR(INDEX(계정매핑!$D$5:$D$504,MATCH($F694&amp;"",계정매핑!$A$5:$A$504,0)),"미매핑"))</f>
        <v/>
      </c>
      <c r="X694" s="9">
        <f>IF($A694="","",$F694&amp;"")</f>
        <v/>
      </c>
      <c r="Y694" s="94">
        <f>IF($A694="",0,IF(AE694="직접",IF(AF694="비귀속",$P694,0),$P694*(1-AG694)*IFERROR(INDEX(계정대체기준!$F$20:$F$49,MATCH($N694,계정대체기준!$A$20:$A$49,0)),1)))</f>
        <v/>
      </c>
      <c r="Z694" s="94">
        <f>IF($A694="",0,IF(AE694="직접",IF(AF694="신계약비",$P694,0),$P694*(1-AG694)*IFERROR(INDEX(계정대체기준!$C$20:$C$49,MATCH($N694,계정대체기준!$A$20:$A$49,0)),0)))</f>
        <v/>
      </c>
      <c r="AA694" s="94">
        <f>IF($A694="",0,IF(AE694="직접",IF(OR(AF694="유지비",AF694="손해조사비"),$P694,0),$P694*(1-AG694)*IFERROR(INDEX(계정대체기준!$D$20:$D$49,MATCH($N694,계정대체기준!$A$20:$A$49,0)),0)))</f>
        <v/>
      </c>
      <c r="AB694" s="94">
        <f>IF($A694="",0,IF(AE694="직접",IF(AF694="수금비",$P694,0),$P694*(1-AG694)*IFERROR(INDEX(계정대체기준!$E$20:$E$49,MATCH($N694,계정대체기준!$A$20:$A$49,0)),0)))</f>
        <v/>
      </c>
      <c r="AC694" s="9">
        <f>IF(AND($A694&lt;&gt;"",M694=설정!$C$20,Z694&gt;0),Z694+ROW()/1000000000,"")</f>
        <v/>
      </c>
      <c r="AD694" s="94">
        <f>IF($A694="",0,$P694*AG694)</f>
        <v/>
      </c>
      <c r="AE694" s="64">
        <f>IF($A694="","",IFERROR(INDEX(계정매핑!$E$5:$E$504,MATCH($F694&amp;"",계정매핑!$A$5:$A$504,0))&amp;"","공통비"))</f>
        <v/>
      </c>
      <c r="AF694" s="64">
        <f>IF($A694="","",IF(AE694="직접",IFERROR(INDEX(계정매핑!$F$5:$F$504,MATCH($F694&amp;"",계정매핑!$A$5:$A$504,0))&amp;"","비귀속"),""))</f>
        <v/>
      </c>
      <c r="AG694" s="96">
        <f>IF($A694="",0,IF(AND(AE694&lt;&gt;"직접",IFERROR(INDEX(계정매핑!$G$5:$G$504,MATCH($F694&amp;"",계정매핑!$A$5:$A$504,0))&amp;"","")="유지비",COUNTIF(계정대체기준!$A$6:$A$15,$N694)&gt;0),IFERROR(INDEX(계정대체기준!$E$6:$E$15,MATCH(VALUE($A694&amp;""),계정대체기준!$D$6:$D$15,0)),0),0))</f>
        <v/>
      </c>
      <c r="AH694" s="64">
        <f>IF($A694="","",IF(AD694=0,"",IF(OR(COUNTIF(계정대체기준!$A$77:$A$86,$N694)&gt;0,ISNUMBER(MATCH($X694,계정대체기준!$D$77:$D$86,0)),ISNUMBER(MATCH($F694,계정대체기준!$D$77:$D$86,0))),"Y","N")))</f>
        <v/>
      </c>
    </row>
    <row r="695">
      <c r="A695" s="92" t="n">
        <v>2025</v>
      </c>
      <c r="B695" s="92" t="n">
        <v>4</v>
      </c>
      <c r="C695" s="92" t="inlineStr">
        <is>
          <t>5100000691</t>
        </is>
      </c>
      <c r="D695" s="95" t="n">
        <v>45750</v>
      </c>
      <c r="E695" s="92" t="inlineStr">
        <is>
          <t>KR</t>
        </is>
      </c>
      <c r="F695" s="92" t="n">
        <v>62101000</v>
      </c>
      <c r="G695" s="92" t="n">
        <v>1101</v>
      </c>
      <c r="H695" s="93" t="n">
        <v>286000</v>
      </c>
      <c r="I695" s="92" t="inlineStr">
        <is>
          <t>4월 국내출장 - L여행사</t>
        </is>
      </c>
      <c r="J695" s="92" t="inlineStr">
        <is>
          <t>V10018</t>
        </is>
      </c>
      <c r="K695" s="92" t="inlineStr">
        <is>
          <t>L여행사</t>
        </is>
      </c>
      <c r="M695" s="9">
        <f>IF($A695="","",VALUE($A695&amp;"")*12+VALUE($B695&amp;""))</f>
        <v/>
      </c>
      <c r="N695" s="64">
        <f>IF($A695="","",IFERROR(INDEX(부서매핑!$C$5:$C$504,MATCH($G695&amp;"",부서매핑!$A$5:$A$504,0)),"미매핑"))</f>
        <v/>
      </c>
      <c r="O695" s="9">
        <f>IF($A695="","",N695&amp;"|"&amp;$F695)</f>
        <v/>
      </c>
      <c r="P695" s="94">
        <f>IF($A695="",0,$H695*설정!$C$23)</f>
        <v/>
      </c>
      <c r="Q695" s="64">
        <f>IF($A695="","",IF(O695&lt;&gt;원인분석!$C$9,"",IF(AND(M695&gt;=원인분석!$C$10,M695&lt;=원인분석!$C$11),"당기",IF(AND(M695&gt;=원인분석!$C$12,M695&lt;=원인분석!$C$13),"비교",""))))</f>
        <v/>
      </c>
      <c r="R695" s="9">
        <f>IF(Q695="","",$K695&amp;"")</f>
        <v/>
      </c>
      <c r="S695" s="9">
        <f>IF(Q695="","",IF(MATCH(R695,$R$5:$R$100000,0)=ROW()-4,ROW(),""))</f>
        <v/>
      </c>
      <c r="T695" s="9">
        <f>IF(Q695="당기",ABS(P695)+ROW()/1000000000,"")</f>
        <v/>
      </c>
      <c r="U695" s="9">
        <f>IF(Q695="비교",ABS(P695)+ROW()/1000000000,"")</f>
        <v/>
      </c>
      <c r="V695" s="64">
        <f>IF($A695="","",IF(COUNTIF(변동분석!$E$7:$E$506,O695)&gt;0,"Y","N"))</f>
        <v/>
      </c>
      <c r="W695" s="64">
        <f>IF($A695="","",IFERROR(INDEX(계정매핑!$D$5:$D$504,MATCH($F695&amp;"",계정매핑!$A$5:$A$504,0)),"미매핑"))</f>
        <v/>
      </c>
      <c r="X695" s="9">
        <f>IF($A695="","",$F695&amp;"")</f>
        <v/>
      </c>
      <c r="Y695" s="94">
        <f>IF($A695="",0,IF(AE695="직접",IF(AF695="비귀속",$P695,0),$P695*(1-AG695)*IFERROR(INDEX(계정대체기준!$F$20:$F$49,MATCH($N695,계정대체기준!$A$20:$A$49,0)),1)))</f>
        <v/>
      </c>
      <c r="Z695" s="94">
        <f>IF($A695="",0,IF(AE695="직접",IF(AF695="신계약비",$P695,0),$P695*(1-AG695)*IFERROR(INDEX(계정대체기준!$C$20:$C$49,MATCH($N695,계정대체기준!$A$20:$A$49,0)),0)))</f>
        <v/>
      </c>
      <c r="AA695" s="94">
        <f>IF($A695="",0,IF(AE695="직접",IF(OR(AF695="유지비",AF695="손해조사비"),$P695,0),$P695*(1-AG695)*IFERROR(INDEX(계정대체기준!$D$20:$D$49,MATCH($N695,계정대체기준!$A$20:$A$49,0)),0)))</f>
        <v/>
      </c>
      <c r="AB695" s="94">
        <f>IF($A695="",0,IF(AE695="직접",IF(AF695="수금비",$P695,0),$P695*(1-AG695)*IFERROR(INDEX(계정대체기준!$E$20:$E$49,MATCH($N695,계정대체기준!$A$20:$A$49,0)),0)))</f>
        <v/>
      </c>
      <c r="AC695" s="9">
        <f>IF(AND($A695&lt;&gt;"",M695=설정!$C$20,Z695&gt;0),Z695+ROW()/1000000000,"")</f>
        <v/>
      </c>
      <c r="AD695" s="94">
        <f>IF($A695="",0,$P695*AG695)</f>
        <v/>
      </c>
      <c r="AE695" s="64">
        <f>IF($A695="","",IFERROR(INDEX(계정매핑!$E$5:$E$504,MATCH($F695&amp;"",계정매핑!$A$5:$A$504,0))&amp;"","공통비"))</f>
        <v/>
      </c>
      <c r="AF695" s="64">
        <f>IF($A695="","",IF(AE695="직접",IFERROR(INDEX(계정매핑!$F$5:$F$504,MATCH($F695&amp;"",계정매핑!$A$5:$A$504,0))&amp;"","비귀속"),""))</f>
        <v/>
      </c>
      <c r="AG695" s="96">
        <f>IF($A695="",0,IF(AND(AE695&lt;&gt;"직접",IFERROR(INDEX(계정매핑!$G$5:$G$504,MATCH($F695&amp;"",계정매핑!$A$5:$A$504,0))&amp;"","")="유지비",COUNTIF(계정대체기준!$A$6:$A$15,$N695)&gt;0),IFERROR(INDEX(계정대체기준!$E$6:$E$15,MATCH(VALUE($A695&amp;""),계정대체기준!$D$6:$D$15,0)),0),0))</f>
        <v/>
      </c>
      <c r="AH695" s="64">
        <f>IF($A695="","",IF(AD695=0,"",IF(OR(COUNTIF(계정대체기준!$A$77:$A$86,$N695)&gt;0,ISNUMBER(MATCH($X695,계정대체기준!$D$77:$D$86,0)),ISNUMBER(MATCH($F695,계정대체기준!$D$77:$D$86,0))),"Y","N")))</f>
        <v/>
      </c>
    </row>
    <row r="696">
      <c r="A696" s="92" t="n">
        <v>2025</v>
      </c>
      <c r="B696" s="92" t="n">
        <v>4</v>
      </c>
      <c r="C696" s="92" t="inlineStr">
        <is>
          <t>5100000692</t>
        </is>
      </c>
      <c r="D696" s="95" t="n">
        <v>45750</v>
      </c>
      <c r="E696" s="92" t="inlineStr">
        <is>
          <t>KR</t>
        </is>
      </c>
      <c r="F696" s="92" t="n">
        <v>62101000</v>
      </c>
      <c r="G696" s="92" t="n">
        <v>1401</v>
      </c>
      <c r="H696" s="93" t="n">
        <v>417000</v>
      </c>
      <c r="I696" s="92" t="inlineStr">
        <is>
          <t>4월 국내출장 - (법인카드)</t>
        </is>
      </c>
      <c r="J696" s="92" t="inlineStr">
        <is>
          <t>V10010</t>
        </is>
      </c>
      <c r="K696" s="92" t="inlineStr">
        <is>
          <t>(법인카드)</t>
        </is>
      </c>
      <c r="M696" s="9">
        <f>IF($A696="","",VALUE($A696&amp;"")*12+VALUE($B696&amp;""))</f>
        <v/>
      </c>
      <c r="N696" s="64">
        <f>IF($A696="","",IFERROR(INDEX(부서매핑!$C$5:$C$504,MATCH($G696&amp;"",부서매핑!$A$5:$A$504,0)),"미매핑"))</f>
        <v/>
      </c>
      <c r="O696" s="9">
        <f>IF($A696="","",N696&amp;"|"&amp;$F696)</f>
        <v/>
      </c>
      <c r="P696" s="94">
        <f>IF($A696="",0,$H696*설정!$C$23)</f>
        <v/>
      </c>
      <c r="Q696" s="64">
        <f>IF($A696="","",IF(O696&lt;&gt;원인분석!$C$9,"",IF(AND(M696&gt;=원인분석!$C$10,M696&lt;=원인분석!$C$11),"당기",IF(AND(M696&gt;=원인분석!$C$12,M696&lt;=원인분석!$C$13),"비교",""))))</f>
        <v/>
      </c>
      <c r="R696" s="9">
        <f>IF(Q696="","",$K696&amp;"")</f>
        <v/>
      </c>
      <c r="S696" s="9">
        <f>IF(Q696="","",IF(MATCH(R696,$R$5:$R$100000,0)=ROW()-4,ROW(),""))</f>
        <v/>
      </c>
      <c r="T696" s="9">
        <f>IF(Q696="당기",ABS(P696)+ROW()/1000000000,"")</f>
        <v/>
      </c>
      <c r="U696" s="9">
        <f>IF(Q696="비교",ABS(P696)+ROW()/1000000000,"")</f>
        <v/>
      </c>
      <c r="V696" s="64">
        <f>IF($A696="","",IF(COUNTIF(변동분석!$E$7:$E$506,O696)&gt;0,"Y","N"))</f>
        <v/>
      </c>
      <c r="W696" s="64">
        <f>IF($A696="","",IFERROR(INDEX(계정매핑!$D$5:$D$504,MATCH($F696&amp;"",계정매핑!$A$5:$A$504,0)),"미매핑"))</f>
        <v/>
      </c>
      <c r="X696" s="9">
        <f>IF($A696="","",$F696&amp;"")</f>
        <v/>
      </c>
      <c r="Y696" s="94">
        <f>IF($A696="",0,IF(AE696="직접",IF(AF696="비귀속",$P696,0),$P696*(1-AG696)*IFERROR(INDEX(계정대체기준!$F$20:$F$49,MATCH($N696,계정대체기준!$A$20:$A$49,0)),1)))</f>
        <v/>
      </c>
      <c r="Z696" s="94">
        <f>IF($A696="",0,IF(AE696="직접",IF(AF696="신계약비",$P696,0),$P696*(1-AG696)*IFERROR(INDEX(계정대체기준!$C$20:$C$49,MATCH($N696,계정대체기준!$A$20:$A$49,0)),0)))</f>
        <v/>
      </c>
      <c r="AA696" s="94">
        <f>IF($A696="",0,IF(AE696="직접",IF(OR(AF696="유지비",AF696="손해조사비"),$P696,0),$P696*(1-AG696)*IFERROR(INDEX(계정대체기준!$D$20:$D$49,MATCH($N696,계정대체기준!$A$20:$A$49,0)),0)))</f>
        <v/>
      </c>
      <c r="AB696" s="94">
        <f>IF($A696="",0,IF(AE696="직접",IF(AF696="수금비",$P696,0),$P696*(1-AG696)*IFERROR(INDEX(계정대체기준!$E$20:$E$49,MATCH($N696,계정대체기준!$A$20:$A$49,0)),0)))</f>
        <v/>
      </c>
      <c r="AC696" s="9">
        <f>IF(AND($A696&lt;&gt;"",M696=설정!$C$20,Z696&gt;0),Z696+ROW()/1000000000,"")</f>
        <v/>
      </c>
      <c r="AD696" s="94">
        <f>IF($A696="",0,$P696*AG696)</f>
        <v/>
      </c>
      <c r="AE696" s="64">
        <f>IF($A696="","",IFERROR(INDEX(계정매핑!$E$5:$E$504,MATCH($F696&amp;"",계정매핑!$A$5:$A$504,0))&amp;"","공통비"))</f>
        <v/>
      </c>
      <c r="AF696" s="64">
        <f>IF($A696="","",IF(AE696="직접",IFERROR(INDEX(계정매핑!$F$5:$F$504,MATCH($F696&amp;"",계정매핑!$A$5:$A$504,0))&amp;"","비귀속"),""))</f>
        <v/>
      </c>
      <c r="AG696" s="96">
        <f>IF($A696="",0,IF(AND(AE696&lt;&gt;"직접",IFERROR(INDEX(계정매핑!$G$5:$G$504,MATCH($F696&amp;"",계정매핑!$A$5:$A$504,0))&amp;"","")="유지비",COUNTIF(계정대체기준!$A$6:$A$15,$N696)&gt;0),IFERROR(INDEX(계정대체기준!$E$6:$E$15,MATCH(VALUE($A696&amp;""),계정대체기준!$D$6:$D$15,0)),0),0))</f>
        <v/>
      </c>
      <c r="AH696" s="64">
        <f>IF($A696="","",IF(AD696=0,"",IF(OR(COUNTIF(계정대체기준!$A$77:$A$86,$N696)&gt;0,ISNUMBER(MATCH($X696,계정대체기준!$D$77:$D$86,0)),ISNUMBER(MATCH($F696,계정대체기준!$D$77:$D$86,0))),"Y","N")))</f>
        <v/>
      </c>
    </row>
    <row r="697">
      <c r="A697" s="92" t="n">
        <v>2025</v>
      </c>
      <c r="B697" s="92" t="n">
        <v>4</v>
      </c>
      <c r="C697" s="92" t="inlineStr">
        <is>
          <t>5100000693</t>
        </is>
      </c>
      <c r="D697" s="95" t="n">
        <v>45750</v>
      </c>
      <c r="E697" s="92" t="inlineStr">
        <is>
          <t>KR</t>
        </is>
      </c>
      <c r="F697" s="92" t="n">
        <v>62101000</v>
      </c>
      <c r="G697" s="92" t="n">
        <v>1601</v>
      </c>
      <c r="H697" s="93" t="n">
        <v>1783000</v>
      </c>
      <c r="I697" s="92" t="inlineStr">
        <is>
          <t>4월 국내출장 - L여행사</t>
        </is>
      </c>
      <c r="J697" s="92" t="inlineStr">
        <is>
          <t>V10018</t>
        </is>
      </c>
      <c r="K697" s="92" t="inlineStr">
        <is>
          <t>L여행사</t>
        </is>
      </c>
      <c r="M697" s="9">
        <f>IF($A697="","",VALUE($A697&amp;"")*12+VALUE($B697&amp;""))</f>
        <v/>
      </c>
      <c r="N697" s="64">
        <f>IF($A697="","",IFERROR(INDEX(부서매핑!$C$5:$C$504,MATCH($G697&amp;"",부서매핑!$A$5:$A$504,0)),"미매핑"))</f>
        <v/>
      </c>
      <c r="O697" s="9">
        <f>IF($A697="","",N697&amp;"|"&amp;$F697)</f>
        <v/>
      </c>
      <c r="P697" s="94">
        <f>IF($A697="",0,$H697*설정!$C$23)</f>
        <v/>
      </c>
      <c r="Q697" s="64">
        <f>IF($A697="","",IF(O697&lt;&gt;원인분석!$C$9,"",IF(AND(M697&gt;=원인분석!$C$10,M697&lt;=원인분석!$C$11),"당기",IF(AND(M697&gt;=원인분석!$C$12,M697&lt;=원인분석!$C$13),"비교",""))))</f>
        <v/>
      </c>
      <c r="R697" s="9">
        <f>IF(Q697="","",$K697&amp;"")</f>
        <v/>
      </c>
      <c r="S697" s="9">
        <f>IF(Q697="","",IF(MATCH(R697,$R$5:$R$100000,0)=ROW()-4,ROW(),""))</f>
        <v/>
      </c>
      <c r="T697" s="9">
        <f>IF(Q697="당기",ABS(P697)+ROW()/1000000000,"")</f>
        <v/>
      </c>
      <c r="U697" s="9">
        <f>IF(Q697="비교",ABS(P697)+ROW()/1000000000,"")</f>
        <v/>
      </c>
      <c r="V697" s="64">
        <f>IF($A697="","",IF(COUNTIF(변동분석!$E$7:$E$506,O697)&gt;0,"Y","N"))</f>
        <v/>
      </c>
      <c r="W697" s="64">
        <f>IF($A697="","",IFERROR(INDEX(계정매핑!$D$5:$D$504,MATCH($F697&amp;"",계정매핑!$A$5:$A$504,0)),"미매핑"))</f>
        <v/>
      </c>
      <c r="X697" s="9">
        <f>IF($A697="","",$F697&amp;"")</f>
        <v/>
      </c>
      <c r="Y697" s="94">
        <f>IF($A697="",0,IF(AE697="직접",IF(AF697="비귀속",$P697,0),$P697*(1-AG697)*IFERROR(INDEX(계정대체기준!$F$20:$F$49,MATCH($N697,계정대체기준!$A$20:$A$49,0)),1)))</f>
        <v/>
      </c>
      <c r="Z697" s="94">
        <f>IF($A697="",0,IF(AE697="직접",IF(AF697="신계약비",$P697,0),$P697*(1-AG697)*IFERROR(INDEX(계정대체기준!$C$20:$C$49,MATCH($N697,계정대체기준!$A$20:$A$49,0)),0)))</f>
        <v/>
      </c>
      <c r="AA697" s="94">
        <f>IF($A697="",0,IF(AE697="직접",IF(OR(AF697="유지비",AF697="손해조사비"),$P697,0),$P697*(1-AG697)*IFERROR(INDEX(계정대체기준!$D$20:$D$49,MATCH($N697,계정대체기준!$A$20:$A$49,0)),0)))</f>
        <v/>
      </c>
      <c r="AB697" s="94">
        <f>IF($A697="",0,IF(AE697="직접",IF(AF697="수금비",$P697,0),$P697*(1-AG697)*IFERROR(INDEX(계정대체기준!$E$20:$E$49,MATCH($N697,계정대체기준!$A$20:$A$49,0)),0)))</f>
        <v/>
      </c>
      <c r="AC697" s="9">
        <f>IF(AND($A697&lt;&gt;"",M697=설정!$C$20,Z697&gt;0),Z697+ROW()/1000000000,"")</f>
        <v/>
      </c>
      <c r="AD697" s="94">
        <f>IF($A697="",0,$P697*AG697)</f>
        <v/>
      </c>
      <c r="AE697" s="64">
        <f>IF($A697="","",IFERROR(INDEX(계정매핑!$E$5:$E$504,MATCH($F697&amp;"",계정매핑!$A$5:$A$504,0))&amp;"","공통비"))</f>
        <v/>
      </c>
      <c r="AF697" s="64">
        <f>IF($A697="","",IF(AE697="직접",IFERROR(INDEX(계정매핑!$F$5:$F$504,MATCH($F697&amp;"",계정매핑!$A$5:$A$504,0))&amp;"","비귀속"),""))</f>
        <v/>
      </c>
      <c r="AG697" s="96">
        <f>IF($A697="",0,IF(AND(AE697&lt;&gt;"직접",IFERROR(INDEX(계정매핑!$G$5:$G$504,MATCH($F697&amp;"",계정매핑!$A$5:$A$504,0))&amp;"","")="유지비",COUNTIF(계정대체기준!$A$6:$A$15,$N697)&gt;0),IFERROR(INDEX(계정대체기준!$E$6:$E$15,MATCH(VALUE($A697&amp;""),계정대체기준!$D$6:$D$15,0)),0),0))</f>
        <v/>
      </c>
      <c r="AH697" s="64">
        <f>IF($A697="","",IF(AD697=0,"",IF(OR(COUNTIF(계정대체기준!$A$77:$A$86,$N697)&gt;0,ISNUMBER(MATCH($X697,계정대체기준!$D$77:$D$86,0)),ISNUMBER(MATCH($F697,계정대체기준!$D$77:$D$86,0))),"Y","N")))</f>
        <v/>
      </c>
    </row>
    <row r="698">
      <c r="A698" s="92" t="n">
        <v>2025</v>
      </c>
      <c r="B698" s="92" t="n">
        <v>4</v>
      </c>
      <c r="C698" s="92" t="inlineStr">
        <is>
          <t>5100000694</t>
        </is>
      </c>
      <c r="D698" s="95" t="n">
        <v>45750</v>
      </c>
      <c r="E698" s="92" t="inlineStr">
        <is>
          <t>KR</t>
        </is>
      </c>
      <c r="F698" s="92" t="n">
        <v>62102000</v>
      </c>
      <c r="G698" s="92" t="n">
        <v>1101</v>
      </c>
      <c r="H698" s="93" t="n">
        <v>125000</v>
      </c>
      <c r="I698" s="92" t="inlineStr">
        <is>
          <t>4월 해외출장 - M항공</t>
        </is>
      </c>
      <c r="J698" s="92" t="inlineStr">
        <is>
          <t>V10001</t>
        </is>
      </c>
      <c r="K698" s="92" t="inlineStr">
        <is>
          <t>M항공</t>
        </is>
      </c>
      <c r="M698" s="9">
        <f>IF($A698="","",VALUE($A698&amp;"")*12+VALUE($B698&amp;""))</f>
        <v/>
      </c>
      <c r="N698" s="64">
        <f>IF($A698="","",IFERROR(INDEX(부서매핑!$C$5:$C$504,MATCH($G698&amp;"",부서매핑!$A$5:$A$504,0)),"미매핑"))</f>
        <v/>
      </c>
      <c r="O698" s="9">
        <f>IF($A698="","",N698&amp;"|"&amp;$F698)</f>
        <v/>
      </c>
      <c r="P698" s="94">
        <f>IF($A698="",0,$H698*설정!$C$23)</f>
        <v/>
      </c>
      <c r="Q698" s="64">
        <f>IF($A698="","",IF(O698&lt;&gt;원인분석!$C$9,"",IF(AND(M698&gt;=원인분석!$C$10,M698&lt;=원인분석!$C$11),"당기",IF(AND(M698&gt;=원인분석!$C$12,M698&lt;=원인분석!$C$13),"비교",""))))</f>
        <v/>
      </c>
      <c r="R698" s="9">
        <f>IF(Q698="","",$K698&amp;"")</f>
        <v/>
      </c>
      <c r="S698" s="9">
        <f>IF(Q698="","",IF(MATCH(R698,$R$5:$R$100000,0)=ROW()-4,ROW(),""))</f>
        <v/>
      </c>
      <c r="T698" s="9">
        <f>IF(Q698="당기",ABS(P698)+ROW()/1000000000,"")</f>
        <v/>
      </c>
      <c r="U698" s="9">
        <f>IF(Q698="비교",ABS(P698)+ROW()/1000000000,"")</f>
        <v/>
      </c>
      <c r="V698" s="64">
        <f>IF($A698="","",IF(COUNTIF(변동분석!$E$7:$E$506,O698)&gt;0,"Y","N"))</f>
        <v/>
      </c>
      <c r="W698" s="64">
        <f>IF($A698="","",IFERROR(INDEX(계정매핑!$D$5:$D$504,MATCH($F698&amp;"",계정매핑!$A$5:$A$504,0)),"미매핑"))</f>
        <v/>
      </c>
      <c r="X698" s="9">
        <f>IF($A698="","",$F698&amp;"")</f>
        <v/>
      </c>
      <c r="Y698" s="94">
        <f>IF($A698="",0,IF(AE698="직접",IF(AF698="비귀속",$P698,0),$P698*(1-AG698)*IFERROR(INDEX(계정대체기준!$F$20:$F$49,MATCH($N698,계정대체기준!$A$20:$A$49,0)),1)))</f>
        <v/>
      </c>
      <c r="Z698" s="94">
        <f>IF($A698="",0,IF(AE698="직접",IF(AF698="신계약비",$P698,0),$P698*(1-AG698)*IFERROR(INDEX(계정대체기준!$C$20:$C$49,MATCH($N698,계정대체기준!$A$20:$A$49,0)),0)))</f>
        <v/>
      </c>
      <c r="AA698" s="94">
        <f>IF($A698="",0,IF(AE698="직접",IF(OR(AF698="유지비",AF698="손해조사비"),$P698,0),$P698*(1-AG698)*IFERROR(INDEX(계정대체기준!$D$20:$D$49,MATCH($N698,계정대체기준!$A$20:$A$49,0)),0)))</f>
        <v/>
      </c>
      <c r="AB698" s="94">
        <f>IF($A698="",0,IF(AE698="직접",IF(AF698="수금비",$P698,0),$P698*(1-AG698)*IFERROR(INDEX(계정대체기준!$E$20:$E$49,MATCH($N698,계정대체기준!$A$20:$A$49,0)),0)))</f>
        <v/>
      </c>
      <c r="AC698" s="9">
        <f>IF(AND($A698&lt;&gt;"",M698=설정!$C$20,Z698&gt;0),Z698+ROW()/1000000000,"")</f>
        <v/>
      </c>
      <c r="AD698" s="94">
        <f>IF($A698="",0,$P698*AG698)</f>
        <v/>
      </c>
      <c r="AE698" s="64">
        <f>IF($A698="","",IFERROR(INDEX(계정매핑!$E$5:$E$504,MATCH($F698&amp;"",계정매핑!$A$5:$A$504,0))&amp;"","공통비"))</f>
        <v/>
      </c>
      <c r="AF698" s="64">
        <f>IF($A698="","",IF(AE698="직접",IFERROR(INDEX(계정매핑!$F$5:$F$504,MATCH($F698&amp;"",계정매핑!$A$5:$A$504,0))&amp;"","비귀속"),""))</f>
        <v/>
      </c>
      <c r="AG698" s="96">
        <f>IF($A698="",0,IF(AND(AE698&lt;&gt;"직접",IFERROR(INDEX(계정매핑!$G$5:$G$504,MATCH($F698&amp;"",계정매핑!$A$5:$A$504,0))&amp;"","")="유지비",COUNTIF(계정대체기준!$A$6:$A$15,$N698)&gt;0),IFERROR(INDEX(계정대체기준!$E$6:$E$15,MATCH(VALUE($A698&amp;""),계정대체기준!$D$6:$D$15,0)),0),0))</f>
        <v/>
      </c>
      <c r="AH698" s="64">
        <f>IF($A698="","",IF(AD698=0,"",IF(OR(COUNTIF(계정대체기준!$A$77:$A$86,$N698)&gt;0,ISNUMBER(MATCH($X698,계정대체기준!$D$77:$D$86,0)),ISNUMBER(MATCH($F698,계정대체기준!$D$77:$D$86,0))),"Y","N")))</f>
        <v/>
      </c>
    </row>
    <row r="699">
      <c r="A699" s="92" t="n">
        <v>2025</v>
      </c>
      <c r="B699" s="92" t="n">
        <v>4</v>
      </c>
      <c r="C699" s="92" t="inlineStr">
        <is>
          <t>5100000695</t>
        </is>
      </c>
      <c r="D699" s="95" t="n">
        <v>45750</v>
      </c>
      <c r="E699" s="92" t="inlineStr">
        <is>
          <t>KR</t>
        </is>
      </c>
      <c r="F699" s="92" t="n">
        <v>62102000</v>
      </c>
      <c r="G699" s="92" t="n">
        <v>1502</v>
      </c>
      <c r="H699" s="93" t="n">
        <v>108000</v>
      </c>
      <c r="I699" s="92" t="inlineStr">
        <is>
          <t>4월 해외출장 - M항공</t>
        </is>
      </c>
      <c r="J699" s="92" t="inlineStr">
        <is>
          <t>V10001</t>
        </is>
      </c>
      <c r="K699" s="92" t="inlineStr">
        <is>
          <t>M항공</t>
        </is>
      </c>
      <c r="M699" s="9">
        <f>IF($A699="","",VALUE($A699&amp;"")*12+VALUE($B699&amp;""))</f>
        <v/>
      </c>
      <c r="N699" s="64">
        <f>IF($A699="","",IFERROR(INDEX(부서매핑!$C$5:$C$504,MATCH($G699&amp;"",부서매핑!$A$5:$A$504,0)),"미매핑"))</f>
        <v/>
      </c>
      <c r="O699" s="9">
        <f>IF($A699="","",N699&amp;"|"&amp;$F699)</f>
        <v/>
      </c>
      <c r="P699" s="94">
        <f>IF($A699="",0,$H699*설정!$C$23)</f>
        <v/>
      </c>
      <c r="Q699" s="64">
        <f>IF($A699="","",IF(O699&lt;&gt;원인분석!$C$9,"",IF(AND(M699&gt;=원인분석!$C$10,M699&lt;=원인분석!$C$11),"당기",IF(AND(M699&gt;=원인분석!$C$12,M699&lt;=원인분석!$C$13),"비교",""))))</f>
        <v/>
      </c>
      <c r="R699" s="9">
        <f>IF(Q699="","",$K699&amp;"")</f>
        <v/>
      </c>
      <c r="S699" s="9">
        <f>IF(Q699="","",IF(MATCH(R699,$R$5:$R$100000,0)=ROW()-4,ROW(),""))</f>
        <v/>
      </c>
      <c r="T699" s="9">
        <f>IF(Q699="당기",ABS(P699)+ROW()/1000000000,"")</f>
        <v/>
      </c>
      <c r="U699" s="9">
        <f>IF(Q699="비교",ABS(P699)+ROW()/1000000000,"")</f>
        <v/>
      </c>
      <c r="V699" s="64">
        <f>IF($A699="","",IF(COUNTIF(변동분석!$E$7:$E$506,O699)&gt;0,"Y","N"))</f>
        <v/>
      </c>
      <c r="W699" s="64">
        <f>IF($A699="","",IFERROR(INDEX(계정매핑!$D$5:$D$504,MATCH($F699&amp;"",계정매핑!$A$5:$A$504,0)),"미매핑"))</f>
        <v/>
      </c>
      <c r="X699" s="9">
        <f>IF($A699="","",$F699&amp;"")</f>
        <v/>
      </c>
      <c r="Y699" s="94">
        <f>IF($A699="",0,IF(AE699="직접",IF(AF699="비귀속",$P699,0),$P699*(1-AG699)*IFERROR(INDEX(계정대체기준!$F$20:$F$49,MATCH($N699,계정대체기준!$A$20:$A$49,0)),1)))</f>
        <v/>
      </c>
      <c r="Z699" s="94">
        <f>IF($A699="",0,IF(AE699="직접",IF(AF699="신계약비",$P699,0),$P699*(1-AG699)*IFERROR(INDEX(계정대체기준!$C$20:$C$49,MATCH($N699,계정대체기준!$A$20:$A$49,0)),0)))</f>
        <v/>
      </c>
      <c r="AA699" s="94">
        <f>IF($A699="",0,IF(AE699="직접",IF(OR(AF699="유지비",AF699="손해조사비"),$P699,0),$P699*(1-AG699)*IFERROR(INDEX(계정대체기준!$D$20:$D$49,MATCH($N699,계정대체기준!$A$20:$A$49,0)),0)))</f>
        <v/>
      </c>
      <c r="AB699" s="94">
        <f>IF($A699="",0,IF(AE699="직접",IF(AF699="수금비",$P699,0),$P699*(1-AG699)*IFERROR(INDEX(계정대체기준!$E$20:$E$49,MATCH($N699,계정대체기준!$A$20:$A$49,0)),0)))</f>
        <v/>
      </c>
      <c r="AC699" s="9">
        <f>IF(AND($A699&lt;&gt;"",M699=설정!$C$20,Z699&gt;0),Z699+ROW()/1000000000,"")</f>
        <v/>
      </c>
      <c r="AD699" s="94">
        <f>IF($A699="",0,$P699*AG699)</f>
        <v/>
      </c>
      <c r="AE699" s="64">
        <f>IF($A699="","",IFERROR(INDEX(계정매핑!$E$5:$E$504,MATCH($F699&amp;"",계정매핑!$A$5:$A$504,0))&amp;"","공통비"))</f>
        <v/>
      </c>
      <c r="AF699" s="64">
        <f>IF($A699="","",IF(AE699="직접",IFERROR(INDEX(계정매핑!$F$5:$F$504,MATCH($F699&amp;"",계정매핑!$A$5:$A$504,0))&amp;"","비귀속"),""))</f>
        <v/>
      </c>
      <c r="AG699" s="96">
        <f>IF($A699="",0,IF(AND(AE699&lt;&gt;"직접",IFERROR(INDEX(계정매핑!$G$5:$G$504,MATCH($F699&amp;"",계정매핑!$A$5:$A$504,0))&amp;"","")="유지비",COUNTIF(계정대체기준!$A$6:$A$15,$N699)&gt;0),IFERROR(INDEX(계정대체기준!$E$6:$E$15,MATCH(VALUE($A699&amp;""),계정대체기준!$D$6:$D$15,0)),0),0))</f>
        <v/>
      </c>
      <c r="AH699" s="64">
        <f>IF($A699="","",IF(AD699=0,"",IF(OR(COUNTIF(계정대체기준!$A$77:$A$86,$N699)&gt;0,ISNUMBER(MATCH($X699,계정대체기준!$D$77:$D$86,0)),ISNUMBER(MATCH($F699,계정대체기준!$D$77:$D$86,0))),"Y","N")))</f>
        <v/>
      </c>
    </row>
    <row r="700">
      <c r="A700" s="92" t="n">
        <v>2025</v>
      </c>
      <c r="B700" s="92" t="n">
        <v>4</v>
      </c>
      <c r="C700" s="92" t="inlineStr">
        <is>
          <t>5100000696</t>
        </is>
      </c>
      <c r="D700" s="95" t="n">
        <v>45750</v>
      </c>
      <c r="E700" s="92" t="inlineStr">
        <is>
          <t>KR</t>
        </is>
      </c>
      <c r="F700" s="92" t="n">
        <v>62201000</v>
      </c>
      <c r="G700" s="92" t="n">
        <v>1201</v>
      </c>
      <c r="H700" s="93" t="n">
        <v>100000</v>
      </c>
      <c r="I700" s="92" t="inlineStr">
        <is>
          <t>4월 통신요금 - P통신</t>
        </is>
      </c>
      <c r="J700" s="92" t="inlineStr">
        <is>
          <t>V10014</t>
        </is>
      </c>
      <c r="K700" s="92" t="inlineStr">
        <is>
          <t>P통신</t>
        </is>
      </c>
      <c r="M700" s="9">
        <f>IF($A700="","",VALUE($A700&amp;"")*12+VALUE($B700&amp;""))</f>
        <v/>
      </c>
      <c r="N700" s="64">
        <f>IF($A700="","",IFERROR(INDEX(부서매핑!$C$5:$C$504,MATCH($G700&amp;"",부서매핑!$A$5:$A$504,0)),"미매핑"))</f>
        <v/>
      </c>
      <c r="O700" s="9">
        <f>IF($A700="","",N700&amp;"|"&amp;$F700)</f>
        <v/>
      </c>
      <c r="P700" s="94">
        <f>IF($A700="",0,$H700*설정!$C$23)</f>
        <v/>
      </c>
      <c r="Q700" s="64">
        <f>IF($A700="","",IF(O700&lt;&gt;원인분석!$C$9,"",IF(AND(M700&gt;=원인분석!$C$10,M700&lt;=원인분석!$C$11),"당기",IF(AND(M700&gt;=원인분석!$C$12,M700&lt;=원인분석!$C$13),"비교",""))))</f>
        <v/>
      </c>
      <c r="R700" s="9">
        <f>IF(Q700="","",$K700&amp;"")</f>
        <v/>
      </c>
      <c r="S700" s="9">
        <f>IF(Q700="","",IF(MATCH(R700,$R$5:$R$100000,0)=ROW()-4,ROW(),""))</f>
        <v/>
      </c>
      <c r="T700" s="9">
        <f>IF(Q700="당기",ABS(P700)+ROW()/1000000000,"")</f>
        <v/>
      </c>
      <c r="U700" s="9">
        <f>IF(Q700="비교",ABS(P700)+ROW()/1000000000,"")</f>
        <v/>
      </c>
      <c r="V700" s="64">
        <f>IF($A700="","",IF(COUNTIF(변동분석!$E$7:$E$506,O700)&gt;0,"Y","N"))</f>
        <v/>
      </c>
      <c r="W700" s="64">
        <f>IF($A700="","",IFERROR(INDEX(계정매핑!$D$5:$D$504,MATCH($F700&amp;"",계정매핑!$A$5:$A$504,0)),"미매핑"))</f>
        <v/>
      </c>
      <c r="X700" s="9">
        <f>IF($A700="","",$F700&amp;"")</f>
        <v/>
      </c>
      <c r="Y700" s="94">
        <f>IF($A700="",0,IF(AE700="직접",IF(AF700="비귀속",$P700,0),$P700*(1-AG700)*IFERROR(INDEX(계정대체기준!$F$20:$F$49,MATCH($N700,계정대체기준!$A$20:$A$49,0)),1)))</f>
        <v/>
      </c>
      <c r="Z700" s="94">
        <f>IF($A700="",0,IF(AE700="직접",IF(AF700="신계약비",$P700,0),$P700*(1-AG700)*IFERROR(INDEX(계정대체기준!$C$20:$C$49,MATCH($N700,계정대체기준!$A$20:$A$49,0)),0)))</f>
        <v/>
      </c>
      <c r="AA700" s="94">
        <f>IF($A700="",0,IF(AE700="직접",IF(OR(AF700="유지비",AF700="손해조사비"),$P700,0),$P700*(1-AG700)*IFERROR(INDEX(계정대체기준!$D$20:$D$49,MATCH($N700,계정대체기준!$A$20:$A$49,0)),0)))</f>
        <v/>
      </c>
      <c r="AB700" s="94">
        <f>IF($A700="",0,IF(AE700="직접",IF(AF700="수금비",$P700,0),$P700*(1-AG700)*IFERROR(INDEX(계정대체기준!$E$20:$E$49,MATCH($N700,계정대체기준!$A$20:$A$49,0)),0)))</f>
        <v/>
      </c>
      <c r="AC700" s="9">
        <f>IF(AND($A700&lt;&gt;"",M700=설정!$C$20,Z700&gt;0),Z700+ROW()/1000000000,"")</f>
        <v/>
      </c>
      <c r="AD700" s="94">
        <f>IF($A700="",0,$P700*AG700)</f>
        <v/>
      </c>
      <c r="AE700" s="64">
        <f>IF($A700="","",IFERROR(INDEX(계정매핑!$E$5:$E$504,MATCH($F700&amp;"",계정매핑!$A$5:$A$504,0))&amp;"","공통비"))</f>
        <v/>
      </c>
      <c r="AF700" s="64">
        <f>IF($A700="","",IF(AE700="직접",IFERROR(INDEX(계정매핑!$F$5:$F$504,MATCH($F700&amp;"",계정매핑!$A$5:$A$504,0))&amp;"","비귀속"),""))</f>
        <v/>
      </c>
      <c r="AG700" s="96">
        <f>IF($A700="",0,IF(AND(AE700&lt;&gt;"직접",IFERROR(INDEX(계정매핑!$G$5:$G$504,MATCH($F700&amp;"",계정매핑!$A$5:$A$504,0))&amp;"","")="유지비",COUNTIF(계정대체기준!$A$6:$A$15,$N700)&gt;0),IFERROR(INDEX(계정대체기준!$E$6:$E$15,MATCH(VALUE($A700&amp;""),계정대체기준!$D$6:$D$15,0)),0),0))</f>
        <v/>
      </c>
      <c r="AH700" s="64">
        <f>IF($A700="","",IF(AD700=0,"",IF(OR(COUNTIF(계정대체기준!$A$77:$A$86,$N700)&gt;0,ISNUMBER(MATCH($X700,계정대체기준!$D$77:$D$86,0)),ISNUMBER(MATCH($F700,계정대체기준!$D$77:$D$86,0))),"Y","N")))</f>
        <v/>
      </c>
    </row>
    <row r="701">
      <c r="A701" s="92" t="n">
        <v>2025</v>
      </c>
      <c r="B701" s="92" t="n">
        <v>4</v>
      </c>
      <c r="C701" s="92" t="inlineStr">
        <is>
          <t>5100000697</t>
        </is>
      </c>
      <c r="D701" s="95" t="n">
        <v>45750</v>
      </c>
      <c r="E701" s="92" t="inlineStr">
        <is>
          <t>KR</t>
        </is>
      </c>
      <c r="F701" s="92" t="n">
        <v>62201000</v>
      </c>
      <c r="G701" s="92" t="n">
        <v>1951</v>
      </c>
      <c r="H701" s="93" t="n">
        <v>188000</v>
      </c>
      <c r="I701" s="92" t="inlineStr">
        <is>
          <t>4월 통신요금 - O텔레콤</t>
        </is>
      </c>
      <c r="J701" s="92" t="inlineStr">
        <is>
          <t>V10002</t>
        </is>
      </c>
      <c r="K701" s="92" t="inlineStr">
        <is>
          <t>O텔레콤</t>
        </is>
      </c>
      <c r="M701" s="9">
        <f>IF($A701="","",VALUE($A701&amp;"")*12+VALUE($B701&amp;""))</f>
        <v/>
      </c>
      <c r="N701" s="64">
        <f>IF($A701="","",IFERROR(INDEX(부서매핑!$C$5:$C$504,MATCH($G701&amp;"",부서매핑!$A$5:$A$504,0)),"미매핑"))</f>
        <v/>
      </c>
      <c r="O701" s="9">
        <f>IF($A701="","",N701&amp;"|"&amp;$F701)</f>
        <v/>
      </c>
      <c r="P701" s="94">
        <f>IF($A701="",0,$H701*설정!$C$23)</f>
        <v/>
      </c>
      <c r="Q701" s="64">
        <f>IF($A701="","",IF(O701&lt;&gt;원인분석!$C$9,"",IF(AND(M701&gt;=원인분석!$C$10,M701&lt;=원인분석!$C$11),"당기",IF(AND(M701&gt;=원인분석!$C$12,M701&lt;=원인분석!$C$13),"비교",""))))</f>
        <v/>
      </c>
      <c r="R701" s="9">
        <f>IF(Q701="","",$K701&amp;"")</f>
        <v/>
      </c>
      <c r="S701" s="9">
        <f>IF(Q701="","",IF(MATCH(R701,$R$5:$R$100000,0)=ROW()-4,ROW(),""))</f>
        <v/>
      </c>
      <c r="T701" s="9">
        <f>IF(Q701="당기",ABS(P701)+ROW()/1000000000,"")</f>
        <v/>
      </c>
      <c r="U701" s="9">
        <f>IF(Q701="비교",ABS(P701)+ROW()/1000000000,"")</f>
        <v/>
      </c>
      <c r="V701" s="64">
        <f>IF($A701="","",IF(COUNTIF(변동분석!$E$7:$E$506,O701)&gt;0,"Y","N"))</f>
        <v/>
      </c>
      <c r="W701" s="64">
        <f>IF($A701="","",IFERROR(INDEX(계정매핑!$D$5:$D$504,MATCH($F701&amp;"",계정매핑!$A$5:$A$504,0)),"미매핑"))</f>
        <v/>
      </c>
      <c r="X701" s="9">
        <f>IF($A701="","",$F701&amp;"")</f>
        <v/>
      </c>
      <c r="Y701" s="94">
        <f>IF($A701="",0,IF(AE701="직접",IF(AF701="비귀속",$P701,0),$P701*(1-AG701)*IFERROR(INDEX(계정대체기준!$F$20:$F$49,MATCH($N701,계정대체기준!$A$20:$A$49,0)),1)))</f>
        <v/>
      </c>
      <c r="Z701" s="94">
        <f>IF($A701="",0,IF(AE701="직접",IF(AF701="신계약비",$P701,0),$P701*(1-AG701)*IFERROR(INDEX(계정대체기준!$C$20:$C$49,MATCH($N701,계정대체기준!$A$20:$A$49,0)),0)))</f>
        <v/>
      </c>
      <c r="AA701" s="94">
        <f>IF($A701="",0,IF(AE701="직접",IF(OR(AF701="유지비",AF701="손해조사비"),$P701,0),$P701*(1-AG701)*IFERROR(INDEX(계정대체기준!$D$20:$D$49,MATCH($N701,계정대체기준!$A$20:$A$49,0)),0)))</f>
        <v/>
      </c>
      <c r="AB701" s="94">
        <f>IF($A701="",0,IF(AE701="직접",IF(AF701="수금비",$P701,0),$P701*(1-AG701)*IFERROR(INDEX(계정대체기준!$E$20:$E$49,MATCH($N701,계정대체기준!$A$20:$A$49,0)),0)))</f>
        <v/>
      </c>
      <c r="AC701" s="9">
        <f>IF(AND($A701&lt;&gt;"",M701=설정!$C$20,Z701&gt;0),Z701+ROW()/1000000000,"")</f>
        <v/>
      </c>
      <c r="AD701" s="94">
        <f>IF($A701="",0,$P701*AG701)</f>
        <v/>
      </c>
      <c r="AE701" s="64">
        <f>IF($A701="","",IFERROR(INDEX(계정매핑!$E$5:$E$504,MATCH($F701&amp;"",계정매핑!$A$5:$A$504,0))&amp;"","공통비"))</f>
        <v/>
      </c>
      <c r="AF701" s="64">
        <f>IF($A701="","",IF(AE701="직접",IFERROR(INDEX(계정매핑!$F$5:$F$504,MATCH($F701&amp;"",계정매핑!$A$5:$A$504,0))&amp;"","비귀속"),""))</f>
        <v/>
      </c>
      <c r="AG701" s="96">
        <f>IF($A701="",0,IF(AND(AE701&lt;&gt;"직접",IFERROR(INDEX(계정매핑!$G$5:$G$504,MATCH($F701&amp;"",계정매핑!$A$5:$A$504,0))&amp;"","")="유지비",COUNTIF(계정대체기준!$A$6:$A$15,$N701)&gt;0),IFERROR(INDEX(계정대체기준!$E$6:$E$15,MATCH(VALUE($A701&amp;""),계정대체기준!$D$6:$D$15,0)),0),0))</f>
        <v/>
      </c>
      <c r="AH701" s="64">
        <f>IF($A701="","",IF(AD701=0,"",IF(OR(COUNTIF(계정대체기준!$A$77:$A$86,$N701)&gt;0,ISNUMBER(MATCH($X701,계정대체기준!$D$77:$D$86,0)),ISNUMBER(MATCH($F701,계정대체기준!$D$77:$D$86,0))),"Y","N")))</f>
        <v/>
      </c>
    </row>
    <row r="702">
      <c r="A702" s="92" t="n">
        <v>2025</v>
      </c>
      <c r="B702" s="92" t="n">
        <v>4</v>
      </c>
      <c r="C702" s="92" t="inlineStr">
        <is>
          <t>5100000698</t>
        </is>
      </c>
      <c r="D702" s="95" t="n">
        <v>45750</v>
      </c>
      <c r="E702" s="92" t="inlineStr">
        <is>
          <t>KR</t>
        </is>
      </c>
      <c r="F702" s="92" t="n">
        <v>62301000</v>
      </c>
      <c r="G702" s="92" t="n">
        <v>1502</v>
      </c>
      <c r="H702" s="93" t="n">
        <v>133000</v>
      </c>
      <c r="I702" s="92" t="inlineStr">
        <is>
          <t>4월 소모품 구입 - R문구</t>
        </is>
      </c>
      <c r="J702" s="92" t="inlineStr">
        <is>
          <t>V10022</t>
        </is>
      </c>
      <c r="K702" s="92" t="inlineStr">
        <is>
          <t>R문구</t>
        </is>
      </c>
      <c r="M702" s="9">
        <f>IF($A702="","",VALUE($A702&amp;"")*12+VALUE($B702&amp;""))</f>
        <v/>
      </c>
      <c r="N702" s="64">
        <f>IF($A702="","",IFERROR(INDEX(부서매핑!$C$5:$C$504,MATCH($G702&amp;"",부서매핑!$A$5:$A$504,0)),"미매핑"))</f>
        <v/>
      </c>
      <c r="O702" s="9">
        <f>IF($A702="","",N702&amp;"|"&amp;$F702)</f>
        <v/>
      </c>
      <c r="P702" s="94">
        <f>IF($A702="",0,$H702*설정!$C$23)</f>
        <v/>
      </c>
      <c r="Q702" s="64">
        <f>IF($A702="","",IF(O702&lt;&gt;원인분석!$C$9,"",IF(AND(M702&gt;=원인분석!$C$10,M702&lt;=원인분석!$C$11),"당기",IF(AND(M702&gt;=원인분석!$C$12,M702&lt;=원인분석!$C$13),"비교",""))))</f>
        <v/>
      </c>
      <c r="R702" s="9">
        <f>IF(Q702="","",$K702&amp;"")</f>
        <v/>
      </c>
      <c r="S702" s="9">
        <f>IF(Q702="","",IF(MATCH(R702,$R$5:$R$100000,0)=ROW()-4,ROW(),""))</f>
        <v/>
      </c>
      <c r="T702" s="9">
        <f>IF(Q702="당기",ABS(P702)+ROW()/1000000000,"")</f>
        <v/>
      </c>
      <c r="U702" s="9">
        <f>IF(Q702="비교",ABS(P702)+ROW()/1000000000,"")</f>
        <v/>
      </c>
      <c r="V702" s="64">
        <f>IF($A702="","",IF(COUNTIF(변동분석!$E$7:$E$506,O702)&gt;0,"Y","N"))</f>
        <v/>
      </c>
      <c r="W702" s="64">
        <f>IF($A702="","",IFERROR(INDEX(계정매핑!$D$5:$D$504,MATCH($F702&amp;"",계정매핑!$A$5:$A$504,0)),"미매핑"))</f>
        <v/>
      </c>
      <c r="X702" s="9">
        <f>IF($A702="","",$F702&amp;"")</f>
        <v/>
      </c>
      <c r="Y702" s="94">
        <f>IF($A702="",0,IF(AE702="직접",IF(AF702="비귀속",$P702,0),$P702*(1-AG702)*IFERROR(INDEX(계정대체기준!$F$20:$F$49,MATCH($N702,계정대체기준!$A$20:$A$49,0)),1)))</f>
        <v/>
      </c>
      <c r="Z702" s="94">
        <f>IF($A702="",0,IF(AE702="직접",IF(AF702="신계약비",$P702,0),$P702*(1-AG702)*IFERROR(INDEX(계정대체기준!$C$20:$C$49,MATCH($N702,계정대체기준!$A$20:$A$49,0)),0)))</f>
        <v/>
      </c>
      <c r="AA702" s="94">
        <f>IF($A702="",0,IF(AE702="직접",IF(OR(AF702="유지비",AF702="손해조사비"),$P702,0),$P702*(1-AG702)*IFERROR(INDEX(계정대체기준!$D$20:$D$49,MATCH($N702,계정대체기준!$A$20:$A$49,0)),0)))</f>
        <v/>
      </c>
      <c r="AB702" s="94">
        <f>IF($A702="",0,IF(AE702="직접",IF(AF702="수금비",$P702,0),$P702*(1-AG702)*IFERROR(INDEX(계정대체기준!$E$20:$E$49,MATCH($N702,계정대체기준!$A$20:$A$49,0)),0)))</f>
        <v/>
      </c>
      <c r="AC702" s="9">
        <f>IF(AND($A702&lt;&gt;"",M702=설정!$C$20,Z702&gt;0),Z702+ROW()/1000000000,"")</f>
        <v/>
      </c>
      <c r="AD702" s="94">
        <f>IF($A702="",0,$P702*AG702)</f>
        <v/>
      </c>
      <c r="AE702" s="64">
        <f>IF($A702="","",IFERROR(INDEX(계정매핑!$E$5:$E$504,MATCH($F702&amp;"",계정매핑!$A$5:$A$504,0))&amp;"","공통비"))</f>
        <v/>
      </c>
      <c r="AF702" s="64">
        <f>IF($A702="","",IF(AE702="직접",IFERROR(INDEX(계정매핑!$F$5:$F$504,MATCH($F702&amp;"",계정매핑!$A$5:$A$504,0))&amp;"","비귀속"),""))</f>
        <v/>
      </c>
      <c r="AG702" s="96">
        <f>IF($A702="",0,IF(AND(AE702&lt;&gt;"직접",IFERROR(INDEX(계정매핑!$G$5:$G$504,MATCH($F702&amp;"",계정매핑!$A$5:$A$504,0))&amp;"","")="유지비",COUNTIF(계정대체기준!$A$6:$A$15,$N702)&gt;0),IFERROR(INDEX(계정대체기준!$E$6:$E$15,MATCH(VALUE($A702&amp;""),계정대체기준!$D$6:$D$15,0)),0),0))</f>
        <v/>
      </c>
      <c r="AH702" s="64">
        <f>IF($A702="","",IF(AD702=0,"",IF(OR(COUNTIF(계정대체기준!$A$77:$A$86,$N702)&gt;0,ISNUMBER(MATCH($X702,계정대체기준!$D$77:$D$86,0)),ISNUMBER(MATCH($F702,계정대체기준!$D$77:$D$86,0))),"Y","N")))</f>
        <v/>
      </c>
    </row>
    <row r="703">
      <c r="A703" s="92" t="n">
        <v>2025</v>
      </c>
      <c r="B703" s="92" t="n">
        <v>4</v>
      </c>
      <c r="C703" s="92" t="inlineStr">
        <is>
          <t>5100000699</t>
        </is>
      </c>
      <c r="D703" s="95" t="n">
        <v>45750</v>
      </c>
      <c r="E703" s="92" t="inlineStr">
        <is>
          <t>KR</t>
        </is>
      </c>
      <c r="F703" s="92" t="n">
        <v>62501000</v>
      </c>
      <c r="G703" s="92" t="n">
        <v>1501</v>
      </c>
      <c r="H703" s="93" t="n">
        <v>229000</v>
      </c>
      <c r="I703" s="92" t="inlineStr">
        <is>
          <t>4월 회의 다과 - T케이터링</t>
        </is>
      </c>
      <c r="J703" s="92" t="inlineStr">
        <is>
          <t>V10005</t>
        </is>
      </c>
      <c r="K703" s="92" t="inlineStr">
        <is>
          <t>T케이터링</t>
        </is>
      </c>
      <c r="M703" s="9">
        <f>IF($A703="","",VALUE($A703&amp;"")*12+VALUE($B703&amp;""))</f>
        <v/>
      </c>
      <c r="N703" s="64">
        <f>IF($A703="","",IFERROR(INDEX(부서매핑!$C$5:$C$504,MATCH($G703&amp;"",부서매핑!$A$5:$A$504,0)),"미매핑"))</f>
        <v/>
      </c>
      <c r="O703" s="9">
        <f>IF($A703="","",N703&amp;"|"&amp;$F703)</f>
        <v/>
      </c>
      <c r="P703" s="94">
        <f>IF($A703="",0,$H703*설정!$C$23)</f>
        <v/>
      </c>
      <c r="Q703" s="64">
        <f>IF($A703="","",IF(O703&lt;&gt;원인분석!$C$9,"",IF(AND(M703&gt;=원인분석!$C$10,M703&lt;=원인분석!$C$11),"당기",IF(AND(M703&gt;=원인분석!$C$12,M703&lt;=원인분석!$C$13),"비교",""))))</f>
        <v/>
      </c>
      <c r="R703" s="9">
        <f>IF(Q703="","",$K703&amp;"")</f>
        <v/>
      </c>
      <c r="S703" s="9">
        <f>IF(Q703="","",IF(MATCH(R703,$R$5:$R$100000,0)=ROW()-4,ROW(),""))</f>
        <v/>
      </c>
      <c r="T703" s="9">
        <f>IF(Q703="당기",ABS(P703)+ROW()/1000000000,"")</f>
        <v/>
      </c>
      <c r="U703" s="9">
        <f>IF(Q703="비교",ABS(P703)+ROW()/1000000000,"")</f>
        <v/>
      </c>
      <c r="V703" s="64">
        <f>IF($A703="","",IF(COUNTIF(변동분석!$E$7:$E$506,O703)&gt;0,"Y","N"))</f>
        <v/>
      </c>
      <c r="W703" s="64">
        <f>IF($A703="","",IFERROR(INDEX(계정매핑!$D$5:$D$504,MATCH($F703&amp;"",계정매핑!$A$5:$A$504,0)),"미매핑"))</f>
        <v/>
      </c>
      <c r="X703" s="9">
        <f>IF($A703="","",$F703&amp;"")</f>
        <v/>
      </c>
      <c r="Y703" s="94">
        <f>IF($A703="",0,IF(AE703="직접",IF(AF703="비귀속",$P703,0),$P703*(1-AG703)*IFERROR(INDEX(계정대체기준!$F$20:$F$49,MATCH($N703,계정대체기준!$A$20:$A$49,0)),1)))</f>
        <v/>
      </c>
      <c r="Z703" s="94">
        <f>IF($A703="",0,IF(AE703="직접",IF(AF703="신계약비",$P703,0),$P703*(1-AG703)*IFERROR(INDEX(계정대체기준!$C$20:$C$49,MATCH($N703,계정대체기준!$A$20:$A$49,0)),0)))</f>
        <v/>
      </c>
      <c r="AA703" s="94">
        <f>IF($A703="",0,IF(AE703="직접",IF(OR(AF703="유지비",AF703="손해조사비"),$P703,0),$P703*(1-AG703)*IFERROR(INDEX(계정대체기준!$D$20:$D$49,MATCH($N703,계정대체기준!$A$20:$A$49,0)),0)))</f>
        <v/>
      </c>
      <c r="AB703" s="94">
        <f>IF($A703="",0,IF(AE703="직접",IF(AF703="수금비",$P703,0),$P703*(1-AG703)*IFERROR(INDEX(계정대체기준!$E$20:$E$49,MATCH($N703,계정대체기준!$A$20:$A$49,0)),0)))</f>
        <v/>
      </c>
      <c r="AC703" s="9">
        <f>IF(AND($A703&lt;&gt;"",M703=설정!$C$20,Z703&gt;0),Z703+ROW()/1000000000,"")</f>
        <v/>
      </c>
      <c r="AD703" s="94">
        <f>IF($A703="",0,$P703*AG703)</f>
        <v/>
      </c>
      <c r="AE703" s="64">
        <f>IF($A703="","",IFERROR(INDEX(계정매핑!$E$5:$E$504,MATCH($F703&amp;"",계정매핑!$A$5:$A$504,0))&amp;"","공통비"))</f>
        <v/>
      </c>
      <c r="AF703" s="64">
        <f>IF($A703="","",IF(AE703="직접",IFERROR(INDEX(계정매핑!$F$5:$F$504,MATCH($F703&amp;"",계정매핑!$A$5:$A$504,0))&amp;"","비귀속"),""))</f>
        <v/>
      </c>
      <c r="AG703" s="96">
        <f>IF($A703="",0,IF(AND(AE703&lt;&gt;"직접",IFERROR(INDEX(계정매핑!$G$5:$G$504,MATCH($F703&amp;"",계정매핑!$A$5:$A$504,0))&amp;"","")="유지비",COUNTIF(계정대체기준!$A$6:$A$15,$N703)&gt;0),IFERROR(INDEX(계정대체기준!$E$6:$E$15,MATCH(VALUE($A703&amp;""),계정대체기준!$D$6:$D$15,0)),0),0))</f>
        <v/>
      </c>
      <c r="AH703" s="64">
        <f>IF($A703="","",IF(AD703=0,"",IF(OR(COUNTIF(계정대체기준!$A$77:$A$86,$N703)&gt;0,ISNUMBER(MATCH($X703,계정대체기준!$D$77:$D$86,0)),ISNUMBER(MATCH($F703,계정대체기준!$D$77:$D$86,0))),"Y","N")))</f>
        <v/>
      </c>
    </row>
    <row r="704">
      <c r="A704" s="92" t="n">
        <v>2025</v>
      </c>
      <c r="B704" s="92" t="n">
        <v>4</v>
      </c>
      <c r="C704" s="92" t="inlineStr">
        <is>
          <t>5100000700</t>
        </is>
      </c>
      <c r="D704" s="95" t="n">
        <v>45750</v>
      </c>
      <c r="E704" s="92" t="inlineStr">
        <is>
          <t>KR</t>
        </is>
      </c>
      <c r="F704" s="92" t="n">
        <v>62501000</v>
      </c>
      <c r="G704" s="92" t="n">
        <v>1502</v>
      </c>
      <c r="H704" s="93" t="n">
        <v>222000</v>
      </c>
      <c r="I704" s="92" t="inlineStr">
        <is>
          <t>4월 회의 다과 - T케이터링</t>
        </is>
      </c>
      <c r="J704" s="92" t="inlineStr">
        <is>
          <t>V10005</t>
        </is>
      </c>
      <c r="K704" s="92" t="inlineStr">
        <is>
          <t>T케이터링</t>
        </is>
      </c>
      <c r="M704" s="9">
        <f>IF($A704="","",VALUE($A704&amp;"")*12+VALUE($B704&amp;""))</f>
        <v/>
      </c>
      <c r="N704" s="64">
        <f>IF($A704="","",IFERROR(INDEX(부서매핑!$C$5:$C$504,MATCH($G704&amp;"",부서매핑!$A$5:$A$504,0)),"미매핑"))</f>
        <v/>
      </c>
      <c r="O704" s="9">
        <f>IF($A704="","",N704&amp;"|"&amp;$F704)</f>
        <v/>
      </c>
      <c r="P704" s="94">
        <f>IF($A704="",0,$H704*설정!$C$23)</f>
        <v/>
      </c>
      <c r="Q704" s="64">
        <f>IF($A704="","",IF(O704&lt;&gt;원인분석!$C$9,"",IF(AND(M704&gt;=원인분석!$C$10,M704&lt;=원인분석!$C$11),"당기",IF(AND(M704&gt;=원인분석!$C$12,M704&lt;=원인분석!$C$13),"비교",""))))</f>
        <v/>
      </c>
      <c r="R704" s="9">
        <f>IF(Q704="","",$K704&amp;"")</f>
        <v/>
      </c>
      <c r="S704" s="9">
        <f>IF(Q704="","",IF(MATCH(R704,$R$5:$R$100000,0)=ROW()-4,ROW(),""))</f>
        <v/>
      </c>
      <c r="T704" s="9">
        <f>IF(Q704="당기",ABS(P704)+ROW()/1000000000,"")</f>
        <v/>
      </c>
      <c r="U704" s="9">
        <f>IF(Q704="비교",ABS(P704)+ROW()/1000000000,"")</f>
        <v/>
      </c>
      <c r="V704" s="64">
        <f>IF($A704="","",IF(COUNTIF(변동분석!$E$7:$E$506,O704)&gt;0,"Y","N"))</f>
        <v/>
      </c>
      <c r="W704" s="64">
        <f>IF($A704="","",IFERROR(INDEX(계정매핑!$D$5:$D$504,MATCH($F704&amp;"",계정매핑!$A$5:$A$504,0)),"미매핑"))</f>
        <v/>
      </c>
      <c r="X704" s="9">
        <f>IF($A704="","",$F704&amp;"")</f>
        <v/>
      </c>
      <c r="Y704" s="94">
        <f>IF($A704="",0,IF(AE704="직접",IF(AF704="비귀속",$P704,0),$P704*(1-AG704)*IFERROR(INDEX(계정대체기준!$F$20:$F$49,MATCH($N704,계정대체기준!$A$20:$A$49,0)),1)))</f>
        <v/>
      </c>
      <c r="Z704" s="94">
        <f>IF($A704="",0,IF(AE704="직접",IF(AF704="신계약비",$P704,0),$P704*(1-AG704)*IFERROR(INDEX(계정대체기준!$C$20:$C$49,MATCH($N704,계정대체기준!$A$20:$A$49,0)),0)))</f>
        <v/>
      </c>
      <c r="AA704" s="94">
        <f>IF($A704="",0,IF(AE704="직접",IF(OR(AF704="유지비",AF704="손해조사비"),$P704,0),$P704*(1-AG704)*IFERROR(INDEX(계정대체기준!$D$20:$D$49,MATCH($N704,계정대체기준!$A$20:$A$49,0)),0)))</f>
        <v/>
      </c>
      <c r="AB704" s="94">
        <f>IF($A704="",0,IF(AE704="직접",IF(AF704="수금비",$P704,0),$P704*(1-AG704)*IFERROR(INDEX(계정대체기준!$E$20:$E$49,MATCH($N704,계정대체기준!$A$20:$A$49,0)),0)))</f>
        <v/>
      </c>
      <c r="AC704" s="9">
        <f>IF(AND($A704&lt;&gt;"",M704=설정!$C$20,Z704&gt;0),Z704+ROW()/1000000000,"")</f>
        <v/>
      </c>
      <c r="AD704" s="94">
        <f>IF($A704="",0,$P704*AG704)</f>
        <v/>
      </c>
      <c r="AE704" s="64">
        <f>IF($A704="","",IFERROR(INDEX(계정매핑!$E$5:$E$504,MATCH($F704&amp;"",계정매핑!$A$5:$A$504,0))&amp;"","공통비"))</f>
        <v/>
      </c>
      <c r="AF704" s="64">
        <f>IF($A704="","",IF(AE704="직접",IFERROR(INDEX(계정매핑!$F$5:$F$504,MATCH($F704&amp;"",계정매핑!$A$5:$A$504,0))&amp;"","비귀속"),""))</f>
        <v/>
      </c>
      <c r="AG704" s="96">
        <f>IF($A704="",0,IF(AND(AE704&lt;&gt;"직접",IFERROR(INDEX(계정매핑!$G$5:$G$504,MATCH($F704&amp;"",계정매핑!$A$5:$A$504,0))&amp;"","")="유지비",COUNTIF(계정대체기준!$A$6:$A$15,$N704)&gt;0),IFERROR(INDEX(계정대체기준!$E$6:$E$15,MATCH(VALUE($A704&amp;""),계정대체기준!$D$6:$D$15,0)),0),0))</f>
        <v/>
      </c>
      <c r="AH704" s="64">
        <f>IF($A704="","",IF(AD704=0,"",IF(OR(COUNTIF(계정대체기준!$A$77:$A$86,$N704)&gt;0,ISNUMBER(MATCH($X704,계정대체기준!$D$77:$D$86,0)),ISNUMBER(MATCH($F704,계정대체기준!$D$77:$D$86,0))),"Y","N")))</f>
        <v/>
      </c>
    </row>
    <row r="705">
      <c r="A705" s="92" t="n">
        <v>2025</v>
      </c>
      <c r="B705" s="92" t="n">
        <v>4</v>
      </c>
      <c r="C705" s="92" t="inlineStr">
        <is>
          <t>5100000701</t>
        </is>
      </c>
      <c r="D705" s="95" t="n">
        <v>45750</v>
      </c>
      <c r="E705" s="92" t="inlineStr">
        <is>
          <t>KR</t>
        </is>
      </c>
      <c r="F705" s="92" t="n">
        <v>62902000</v>
      </c>
      <c r="G705" s="92" t="n">
        <v>1951</v>
      </c>
      <c r="H705" s="93" t="n">
        <v>1663000</v>
      </c>
      <c r="I705" s="92" t="inlineStr">
        <is>
          <t>4월 업무 위탁 수수료 - X서비스</t>
        </is>
      </c>
      <c r="J705" s="92" t="inlineStr">
        <is>
          <t>V10020</t>
        </is>
      </c>
      <c r="K705" s="92" t="inlineStr">
        <is>
          <t>X서비스</t>
        </is>
      </c>
      <c r="M705" s="9">
        <f>IF($A705="","",VALUE($A705&amp;"")*12+VALUE($B705&amp;""))</f>
        <v/>
      </c>
      <c r="N705" s="64">
        <f>IF($A705="","",IFERROR(INDEX(부서매핑!$C$5:$C$504,MATCH($G705&amp;"",부서매핑!$A$5:$A$504,0)),"미매핑"))</f>
        <v/>
      </c>
      <c r="O705" s="9">
        <f>IF($A705="","",N705&amp;"|"&amp;$F705)</f>
        <v/>
      </c>
      <c r="P705" s="94">
        <f>IF($A705="",0,$H705*설정!$C$23)</f>
        <v/>
      </c>
      <c r="Q705" s="64">
        <f>IF($A705="","",IF(O705&lt;&gt;원인분석!$C$9,"",IF(AND(M705&gt;=원인분석!$C$10,M705&lt;=원인분석!$C$11),"당기",IF(AND(M705&gt;=원인분석!$C$12,M705&lt;=원인분석!$C$13),"비교",""))))</f>
        <v/>
      </c>
      <c r="R705" s="9">
        <f>IF(Q705="","",$K705&amp;"")</f>
        <v/>
      </c>
      <c r="S705" s="9">
        <f>IF(Q705="","",IF(MATCH(R705,$R$5:$R$100000,0)=ROW()-4,ROW(),""))</f>
        <v/>
      </c>
      <c r="T705" s="9">
        <f>IF(Q705="당기",ABS(P705)+ROW()/1000000000,"")</f>
        <v/>
      </c>
      <c r="U705" s="9">
        <f>IF(Q705="비교",ABS(P705)+ROW()/1000000000,"")</f>
        <v/>
      </c>
      <c r="V705" s="64">
        <f>IF($A705="","",IF(COUNTIF(변동분석!$E$7:$E$506,O705)&gt;0,"Y","N"))</f>
        <v/>
      </c>
      <c r="W705" s="64">
        <f>IF($A705="","",IFERROR(INDEX(계정매핑!$D$5:$D$504,MATCH($F705&amp;"",계정매핑!$A$5:$A$504,0)),"미매핑"))</f>
        <v/>
      </c>
      <c r="X705" s="9">
        <f>IF($A705="","",$F705&amp;"")</f>
        <v/>
      </c>
      <c r="Y705" s="94">
        <f>IF($A705="",0,IF(AE705="직접",IF(AF705="비귀속",$P705,0),$P705*(1-AG705)*IFERROR(INDEX(계정대체기준!$F$20:$F$49,MATCH($N705,계정대체기준!$A$20:$A$49,0)),1)))</f>
        <v/>
      </c>
      <c r="Z705" s="94">
        <f>IF($A705="",0,IF(AE705="직접",IF(AF705="신계약비",$P705,0),$P705*(1-AG705)*IFERROR(INDEX(계정대체기준!$C$20:$C$49,MATCH($N705,계정대체기준!$A$20:$A$49,0)),0)))</f>
        <v/>
      </c>
      <c r="AA705" s="94">
        <f>IF($A705="",0,IF(AE705="직접",IF(OR(AF705="유지비",AF705="손해조사비"),$P705,0),$P705*(1-AG705)*IFERROR(INDEX(계정대체기준!$D$20:$D$49,MATCH($N705,계정대체기준!$A$20:$A$49,0)),0)))</f>
        <v/>
      </c>
      <c r="AB705" s="94">
        <f>IF($A705="",0,IF(AE705="직접",IF(AF705="수금비",$P705,0),$P705*(1-AG705)*IFERROR(INDEX(계정대체기준!$E$20:$E$49,MATCH($N705,계정대체기준!$A$20:$A$49,0)),0)))</f>
        <v/>
      </c>
      <c r="AC705" s="9">
        <f>IF(AND($A705&lt;&gt;"",M705=설정!$C$20,Z705&gt;0),Z705+ROW()/1000000000,"")</f>
        <v/>
      </c>
      <c r="AD705" s="94">
        <f>IF($A705="",0,$P705*AG705)</f>
        <v/>
      </c>
      <c r="AE705" s="64">
        <f>IF($A705="","",IFERROR(INDEX(계정매핑!$E$5:$E$504,MATCH($F705&amp;"",계정매핑!$A$5:$A$504,0))&amp;"","공통비"))</f>
        <v/>
      </c>
      <c r="AF705" s="64">
        <f>IF($A705="","",IF(AE705="직접",IFERROR(INDEX(계정매핑!$F$5:$F$504,MATCH($F705&amp;"",계정매핑!$A$5:$A$504,0))&amp;"","비귀속"),""))</f>
        <v/>
      </c>
      <c r="AG705" s="96">
        <f>IF($A705="",0,IF(AND(AE705&lt;&gt;"직접",IFERROR(INDEX(계정매핑!$G$5:$G$504,MATCH($F705&amp;"",계정매핑!$A$5:$A$504,0))&amp;"","")="유지비",COUNTIF(계정대체기준!$A$6:$A$15,$N705)&gt;0),IFERROR(INDEX(계정대체기준!$E$6:$E$15,MATCH(VALUE($A705&amp;""),계정대체기준!$D$6:$D$15,0)),0),0))</f>
        <v/>
      </c>
      <c r="AH705" s="64">
        <f>IF($A705="","",IF(AD705=0,"",IF(OR(COUNTIF(계정대체기준!$A$77:$A$86,$N705)&gt;0,ISNUMBER(MATCH($X705,계정대체기준!$D$77:$D$86,0)),ISNUMBER(MATCH($F705,계정대체기준!$D$77:$D$86,0))),"Y","N")))</f>
        <v/>
      </c>
    </row>
    <row r="706">
      <c r="A706" s="92" t="n">
        <v>2025</v>
      </c>
      <c r="B706" s="92" t="n">
        <v>4</v>
      </c>
      <c r="C706" s="92" t="inlineStr">
        <is>
          <t>5100000702</t>
        </is>
      </c>
      <c r="D706" s="95" t="n">
        <v>45750</v>
      </c>
      <c r="E706" s="92" t="inlineStr">
        <is>
          <t>KR</t>
        </is>
      </c>
      <c r="F706" s="92" t="n">
        <v>63101000</v>
      </c>
      <c r="G706" s="92" t="n">
        <v>1601</v>
      </c>
      <c r="H706" s="93" t="n">
        <v>2689000</v>
      </c>
      <c r="I706" s="92" t="inlineStr">
        <is>
          <t>4월 사무실 임차료 - AA빌딩</t>
        </is>
      </c>
      <c r="J706" s="92" t="inlineStr">
        <is>
          <t>V10007</t>
        </is>
      </c>
      <c r="K706" s="92" t="inlineStr">
        <is>
          <t>AA빌딩</t>
        </is>
      </c>
      <c r="M706" s="9">
        <f>IF($A706="","",VALUE($A706&amp;"")*12+VALUE($B706&amp;""))</f>
        <v/>
      </c>
      <c r="N706" s="64">
        <f>IF($A706="","",IFERROR(INDEX(부서매핑!$C$5:$C$504,MATCH($G706&amp;"",부서매핑!$A$5:$A$504,0)),"미매핑"))</f>
        <v/>
      </c>
      <c r="O706" s="9">
        <f>IF($A706="","",N706&amp;"|"&amp;$F706)</f>
        <v/>
      </c>
      <c r="P706" s="94">
        <f>IF($A706="",0,$H706*설정!$C$23)</f>
        <v/>
      </c>
      <c r="Q706" s="64">
        <f>IF($A706="","",IF(O706&lt;&gt;원인분석!$C$9,"",IF(AND(M706&gt;=원인분석!$C$10,M706&lt;=원인분석!$C$11),"당기",IF(AND(M706&gt;=원인분석!$C$12,M706&lt;=원인분석!$C$13),"비교",""))))</f>
        <v/>
      </c>
      <c r="R706" s="9">
        <f>IF(Q706="","",$K706&amp;"")</f>
        <v/>
      </c>
      <c r="S706" s="9">
        <f>IF(Q706="","",IF(MATCH(R706,$R$5:$R$100000,0)=ROW()-4,ROW(),""))</f>
        <v/>
      </c>
      <c r="T706" s="9">
        <f>IF(Q706="당기",ABS(P706)+ROW()/1000000000,"")</f>
        <v/>
      </c>
      <c r="U706" s="9">
        <f>IF(Q706="비교",ABS(P706)+ROW()/1000000000,"")</f>
        <v/>
      </c>
      <c r="V706" s="64">
        <f>IF($A706="","",IF(COUNTIF(변동분석!$E$7:$E$506,O706)&gt;0,"Y","N"))</f>
        <v/>
      </c>
      <c r="W706" s="64">
        <f>IF($A706="","",IFERROR(INDEX(계정매핑!$D$5:$D$504,MATCH($F706&amp;"",계정매핑!$A$5:$A$504,0)),"미매핑"))</f>
        <v/>
      </c>
      <c r="X706" s="9">
        <f>IF($A706="","",$F706&amp;"")</f>
        <v/>
      </c>
      <c r="Y706" s="94">
        <f>IF($A706="",0,IF(AE706="직접",IF(AF706="비귀속",$P706,0),$P706*(1-AG706)*IFERROR(INDEX(계정대체기준!$F$20:$F$49,MATCH($N706,계정대체기준!$A$20:$A$49,0)),1)))</f>
        <v/>
      </c>
      <c r="Z706" s="94">
        <f>IF($A706="",0,IF(AE706="직접",IF(AF706="신계약비",$P706,0),$P706*(1-AG706)*IFERROR(INDEX(계정대체기준!$C$20:$C$49,MATCH($N706,계정대체기준!$A$20:$A$49,0)),0)))</f>
        <v/>
      </c>
      <c r="AA706" s="94">
        <f>IF($A706="",0,IF(AE706="직접",IF(OR(AF706="유지비",AF706="손해조사비"),$P706,0),$P706*(1-AG706)*IFERROR(INDEX(계정대체기준!$D$20:$D$49,MATCH($N706,계정대체기준!$A$20:$A$49,0)),0)))</f>
        <v/>
      </c>
      <c r="AB706" s="94">
        <f>IF($A706="",0,IF(AE706="직접",IF(AF706="수금비",$P706,0),$P706*(1-AG706)*IFERROR(INDEX(계정대체기준!$E$20:$E$49,MATCH($N706,계정대체기준!$A$20:$A$49,0)),0)))</f>
        <v/>
      </c>
      <c r="AC706" s="9">
        <f>IF(AND($A706&lt;&gt;"",M706=설정!$C$20,Z706&gt;0),Z706+ROW()/1000000000,"")</f>
        <v/>
      </c>
      <c r="AD706" s="94">
        <f>IF($A706="",0,$P706*AG706)</f>
        <v/>
      </c>
      <c r="AE706" s="64">
        <f>IF($A706="","",IFERROR(INDEX(계정매핑!$E$5:$E$504,MATCH($F706&amp;"",계정매핑!$A$5:$A$504,0))&amp;"","공통비"))</f>
        <v/>
      </c>
      <c r="AF706" s="64">
        <f>IF($A706="","",IF(AE706="직접",IFERROR(INDEX(계정매핑!$F$5:$F$504,MATCH($F706&amp;"",계정매핑!$A$5:$A$504,0))&amp;"","비귀속"),""))</f>
        <v/>
      </c>
      <c r="AG706" s="96">
        <f>IF($A706="",0,IF(AND(AE706&lt;&gt;"직접",IFERROR(INDEX(계정매핑!$G$5:$G$504,MATCH($F706&amp;"",계정매핑!$A$5:$A$504,0))&amp;"","")="유지비",COUNTIF(계정대체기준!$A$6:$A$15,$N706)&gt;0),IFERROR(INDEX(계정대체기준!$E$6:$E$15,MATCH(VALUE($A706&amp;""),계정대체기준!$D$6:$D$15,0)),0),0))</f>
        <v/>
      </c>
      <c r="AH706" s="64">
        <f>IF($A706="","",IF(AD706=0,"",IF(OR(COUNTIF(계정대체기준!$A$77:$A$86,$N706)&gt;0,ISNUMBER(MATCH($X706,계정대체기준!$D$77:$D$86,0)),ISNUMBER(MATCH($F706,계정대체기준!$D$77:$D$86,0))),"Y","N")))</f>
        <v/>
      </c>
    </row>
    <row r="707">
      <c r="A707" s="92" t="n">
        <v>2025</v>
      </c>
      <c r="B707" s="92" t="n">
        <v>4</v>
      </c>
      <c r="C707" s="92" t="inlineStr">
        <is>
          <t>5100000703</t>
        </is>
      </c>
      <c r="D707" s="95" t="n">
        <v>45750</v>
      </c>
      <c r="E707" s="92" t="inlineStr">
        <is>
          <t>KR</t>
        </is>
      </c>
      <c r="F707" s="92" t="n">
        <v>63502000</v>
      </c>
      <c r="G707" s="92" t="n">
        <v>1902</v>
      </c>
      <c r="H707" s="93" t="n">
        <v>122235000</v>
      </c>
      <c r="I707" s="92" t="inlineStr">
        <is>
          <t>4월 유지수수료 - CC금융서비스</t>
        </is>
      </c>
      <c r="J707" s="92" t="inlineStr">
        <is>
          <t>V10029</t>
        </is>
      </c>
      <c r="K707" s="92" t="inlineStr">
        <is>
          <t>CC금융서비스</t>
        </is>
      </c>
      <c r="M707" s="9">
        <f>IF($A707="","",VALUE($A707&amp;"")*12+VALUE($B707&amp;""))</f>
        <v/>
      </c>
      <c r="N707" s="64">
        <f>IF($A707="","",IFERROR(INDEX(부서매핑!$C$5:$C$504,MATCH($G707&amp;"",부서매핑!$A$5:$A$504,0)),"미매핑"))</f>
        <v/>
      </c>
      <c r="O707" s="9">
        <f>IF($A707="","",N707&amp;"|"&amp;$F707)</f>
        <v/>
      </c>
      <c r="P707" s="94">
        <f>IF($A707="",0,$H707*설정!$C$23)</f>
        <v/>
      </c>
      <c r="Q707" s="64">
        <f>IF($A707="","",IF(O707&lt;&gt;원인분석!$C$9,"",IF(AND(M707&gt;=원인분석!$C$10,M707&lt;=원인분석!$C$11),"당기",IF(AND(M707&gt;=원인분석!$C$12,M707&lt;=원인분석!$C$13),"비교",""))))</f>
        <v/>
      </c>
      <c r="R707" s="9">
        <f>IF(Q707="","",$K707&amp;"")</f>
        <v/>
      </c>
      <c r="S707" s="9">
        <f>IF(Q707="","",IF(MATCH(R707,$R$5:$R$100000,0)=ROW()-4,ROW(),""))</f>
        <v/>
      </c>
      <c r="T707" s="9">
        <f>IF(Q707="당기",ABS(P707)+ROW()/1000000000,"")</f>
        <v/>
      </c>
      <c r="U707" s="9">
        <f>IF(Q707="비교",ABS(P707)+ROW()/1000000000,"")</f>
        <v/>
      </c>
      <c r="V707" s="64">
        <f>IF($A707="","",IF(COUNTIF(변동분석!$E$7:$E$506,O707)&gt;0,"Y","N"))</f>
        <v/>
      </c>
      <c r="W707" s="64">
        <f>IF($A707="","",IFERROR(INDEX(계정매핑!$D$5:$D$504,MATCH($F707&amp;"",계정매핑!$A$5:$A$504,0)),"미매핑"))</f>
        <v/>
      </c>
      <c r="X707" s="9">
        <f>IF($A707="","",$F707&amp;"")</f>
        <v/>
      </c>
      <c r="Y707" s="94">
        <f>IF($A707="",0,IF(AE707="직접",IF(AF707="비귀속",$P707,0),$P707*(1-AG707)*IFERROR(INDEX(계정대체기준!$F$20:$F$49,MATCH($N707,계정대체기준!$A$20:$A$49,0)),1)))</f>
        <v/>
      </c>
      <c r="Z707" s="94">
        <f>IF($A707="",0,IF(AE707="직접",IF(AF707="신계약비",$P707,0),$P707*(1-AG707)*IFERROR(INDEX(계정대체기준!$C$20:$C$49,MATCH($N707,계정대체기준!$A$20:$A$49,0)),0)))</f>
        <v/>
      </c>
      <c r="AA707" s="94">
        <f>IF($A707="",0,IF(AE707="직접",IF(OR(AF707="유지비",AF707="손해조사비"),$P707,0),$P707*(1-AG707)*IFERROR(INDEX(계정대체기준!$D$20:$D$49,MATCH($N707,계정대체기준!$A$20:$A$49,0)),0)))</f>
        <v/>
      </c>
      <c r="AB707" s="94">
        <f>IF($A707="",0,IF(AE707="직접",IF(AF707="수금비",$P707,0),$P707*(1-AG707)*IFERROR(INDEX(계정대체기준!$E$20:$E$49,MATCH($N707,계정대체기준!$A$20:$A$49,0)),0)))</f>
        <v/>
      </c>
      <c r="AC707" s="9">
        <f>IF(AND($A707&lt;&gt;"",M707=설정!$C$20,Z707&gt;0),Z707+ROW()/1000000000,"")</f>
        <v/>
      </c>
      <c r="AD707" s="94">
        <f>IF($A707="",0,$P707*AG707)</f>
        <v/>
      </c>
      <c r="AE707" s="64">
        <f>IF($A707="","",IFERROR(INDEX(계정매핑!$E$5:$E$504,MATCH($F707&amp;"",계정매핑!$A$5:$A$504,0))&amp;"","공통비"))</f>
        <v/>
      </c>
      <c r="AF707" s="64">
        <f>IF($A707="","",IF(AE707="직접",IFERROR(INDEX(계정매핑!$F$5:$F$504,MATCH($F707&amp;"",계정매핑!$A$5:$A$504,0))&amp;"","비귀속"),""))</f>
        <v/>
      </c>
      <c r="AG707" s="96">
        <f>IF($A707="",0,IF(AND(AE707&lt;&gt;"직접",IFERROR(INDEX(계정매핑!$G$5:$G$504,MATCH($F707&amp;"",계정매핑!$A$5:$A$504,0))&amp;"","")="유지비",COUNTIF(계정대체기준!$A$6:$A$15,$N707)&gt;0),IFERROR(INDEX(계정대체기준!$E$6:$E$15,MATCH(VALUE($A707&amp;""),계정대체기준!$D$6:$D$15,0)),0),0))</f>
        <v/>
      </c>
      <c r="AH707" s="64">
        <f>IF($A707="","",IF(AD707=0,"",IF(OR(COUNTIF(계정대체기준!$A$77:$A$86,$N707)&gt;0,ISNUMBER(MATCH($X707,계정대체기준!$D$77:$D$86,0)),ISNUMBER(MATCH($F707,계정대체기준!$D$77:$D$86,0))),"Y","N")))</f>
        <v/>
      </c>
    </row>
    <row r="708">
      <c r="A708" s="92" t="n">
        <v>2025</v>
      </c>
      <c r="B708" s="92" t="n">
        <v>4</v>
      </c>
      <c r="C708" s="92" t="inlineStr">
        <is>
          <t>5100000704</t>
        </is>
      </c>
      <c r="D708" s="95" t="n">
        <v>45751</v>
      </c>
      <c r="E708" s="92" t="inlineStr">
        <is>
          <t>KR</t>
        </is>
      </c>
      <c r="F708" s="92" t="n">
        <v>62101000</v>
      </c>
      <c r="G708" s="92" t="n">
        <v>1101</v>
      </c>
      <c r="H708" s="93" t="n">
        <v>503000</v>
      </c>
      <c r="I708" s="92" t="inlineStr">
        <is>
          <t>4월 국내출장 - M항공</t>
        </is>
      </c>
      <c r="J708" s="92" t="inlineStr">
        <is>
          <t>V10001</t>
        </is>
      </c>
      <c r="K708" s="92" t="inlineStr">
        <is>
          <t>M항공</t>
        </is>
      </c>
      <c r="M708" s="9">
        <f>IF($A708="","",VALUE($A708&amp;"")*12+VALUE($B708&amp;""))</f>
        <v/>
      </c>
      <c r="N708" s="64">
        <f>IF($A708="","",IFERROR(INDEX(부서매핑!$C$5:$C$504,MATCH($G708&amp;"",부서매핑!$A$5:$A$504,0)),"미매핑"))</f>
        <v/>
      </c>
      <c r="O708" s="9">
        <f>IF($A708="","",N708&amp;"|"&amp;$F708)</f>
        <v/>
      </c>
      <c r="P708" s="94">
        <f>IF($A708="",0,$H708*설정!$C$23)</f>
        <v/>
      </c>
      <c r="Q708" s="64">
        <f>IF($A708="","",IF(O708&lt;&gt;원인분석!$C$9,"",IF(AND(M708&gt;=원인분석!$C$10,M708&lt;=원인분석!$C$11),"당기",IF(AND(M708&gt;=원인분석!$C$12,M708&lt;=원인분석!$C$13),"비교",""))))</f>
        <v/>
      </c>
      <c r="R708" s="9">
        <f>IF(Q708="","",$K708&amp;"")</f>
        <v/>
      </c>
      <c r="S708" s="9">
        <f>IF(Q708="","",IF(MATCH(R708,$R$5:$R$100000,0)=ROW()-4,ROW(),""))</f>
        <v/>
      </c>
      <c r="T708" s="9">
        <f>IF(Q708="당기",ABS(P708)+ROW()/1000000000,"")</f>
        <v/>
      </c>
      <c r="U708" s="9">
        <f>IF(Q708="비교",ABS(P708)+ROW()/1000000000,"")</f>
        <v/>
      </c>
      <c r="V708" s="64">
        <f>IF($A708="","",IF(COUNTIF(변동분석!$E$7:$E$506,O708)&gt;0,"Y","N"))</f>
        <v/>
      </c>
      <c r="W708" s="64">
        <f>IF($A708="","",IFERROR(INDEX(계정매핑!$D$5:$D$504,MATCH($F708&amp;"",계정매핑!$A$5:$A$504,0)),"미매핑"))</f>
        <v/>
      </c>
      <c r="X708" s="9">
        <f>IF($A708="","",$F708&amp;"")</f>
        <v/>
      </c>
      <c r="Y708" s="94">
        <f>IF($A708="",0,IF(AE708="직접",IF(AF708="비귀속",$P708,0),$P708*(1-AG708)*IFERROR(INDEX(계정대체기준!$F$20:$F$49,MATCH($N708,계정대체기준!$A$20:$A$49,0)),1)))</f>
        <v/>
      </c>
      <c r="Z708" s="94">
        <f>IF($A708="",0,IF(AE708="직접",IF(AF708="신계약비",$P708,0),$P708*(1-AG708)*IFERROR(INDEX(계정대체기준!$C$20:$C$49,MATCH($N708,계정대체기준!$A$20:$A$49,0)),0)))</f>
        <v/>
      </c>
      <c r="AA708" s="94">
        <f>IF($A708="",0,IF(AE708="직접",IF(OR(AF708="유지비",AF708="손해조사비"),$P708,0),$P708*(1-AG708)*IFERROR(INDEX(계정대체기준!$D$20:$D$49,MATCH($N708,계정대체기준!$A$20:$A$49,0)),0)))</f>
        <v/>
      </c>
      <c r="AB708" s="94">
        <f>IF($A708="",0,IF(AE708="직접",IF(AF708="수금비",$P708,0),$P708*(1-AG708)*IFERROR(INDEX(계정대체기준!$E$20:$E$49,MATCH($N708,계정대체기준!$A$20:$A$49,0)),0)))</f>
        <v/>
      </c>
      <c r="AC708" s="9">
        <f>IF(AND($A708&lt;&gt;"",M708=설정!$C$20,Z708&gt;0),Z708+ROW()/1000000000,"")</f>
        <v/>
      </c>
      <c r="AD708" s="94">
        <f>IF($A708="",0,$P708*AG708)</f>
        <v/>
      </c>
      <c r="AE708" s="64">
        <f>IF($A708="","",IFERROR(INDEX(계정매핑!$E$5:$E$504,MATCH($F708&amp;"",계정매핑!$A$5:$A$504,0))&amp;"","공통비"))</f>
        <v/>
      </c>
      <c r="AF708" s="64">
        <f>IF($A708="","",IF(AE708="직접",IFERROR(INDEX(계정매핑!$F$5:$F$504,MATCH($F708&amp;"",계정매핑!$A$5:$A$504,0))&amp;"","비귀속"),""))</f>
        <v/>
      </c>
      <c r="AG708" s="96">
        <f>IF($A708="",0,IF(AND(AE708&lt;&gt;"직접",IFERROR(INDEX(계정매핑!$G$5:$G$504,MATCH($F708&amp;"",계정매핑!$A$5:$A$504,0))&amp;"","")="유지비",COUNTIF(계정대체기준!$A$6:$A$15,$N708)&gt;0),IFERROR(INDEX(계정대체기준!$E$6:$E$15,MATCH(VALUE($A708&amp;""),계정대체기준!$D$6:$D$15,0)),0),0))</f>
        <v/>
      </c>
      <c r="AH708" s="64">
        <f>IF($A708="","",IF(AD708=0,"",IF(OR(COUNTIF(계정대체기준!$A$77:$A$86,$N708)&gt;0,ISNUMBER(MATCH($X708,계정대체기준!$D$77:$D$86,0)),ISNUMBER(MATCH($F708,계정대체기준!$D$77:$D$86,0))),"Y","N")))</f>
        <v/>
      </c>
    </row>
    <row r="709">
      <c r="A709" s="92" t="n">
        <v>2025</v>
      </c>
      <c r="B709" s="92" t="n">
        <v>4</v>
      </c>
      <c r="C709" s="92" t="inlineStr">
        <is>
          <t>5100000705</t>
        </is>
      </c>
      <c r="D709" s="95" t="n">
        <v>45751</v>
      </c>
      <c r="E709" s="92" t="inlineStr">
        <is>
          <t>KR</t>
        </is>
      </c>
      <c r="F709" s="92" t="n">
        <v>62101000</v>
      </c>
      <c r="G709" s="92" t="n">
        <v>1951</v>
      </c>
      <c r="H709" s="93" t="n">
        <v>279000</v>
      </c>
      <c r="I709" s="92" t="inlineStr">
        <is>
          <t>4월 국내출장 - (법인카드)</t>
        </is>
      </c>
      <c r="J709" s="92" t="inlineStr">
        <is>
          <t>V10010</t>
        </is>
      </c>
      <c r="K709" s="92" t="inlineStr">
        <is>
          <t>(법인카드)</t>
        </is>
      </c>
      <c r="M709" s="9">
        <f>IF($A709="","",VALUE($A709&amp;"")*12+VALUE($B709&amp;""))</f>
        <v/>
      </c>
      <c r="N709" s="64">
        <f>IF($A709="","",IFERROR(INDEX(부서매핑!$C$5:$C$504,MATCH($G709&amp;"",부서매핑!$A$5:$A$504,0)),"미매핑"))</f>
        <v/>
      </c>
      <c r="O709" s="9">
        <f>IF($A709="","",N709&amp;"|"&amp;$F709)</f>
        <v/>
      </c>
      <c r="P709" s="94">
        <f>IF($A709="",0,$H709*설정!$C$23)</f>
        <v/>
      </c>
      <c r="Q709" s="64">
        <f>IF($A709="","",IF(O709&lt;&gt;원인분석!$C$9,"",IF(AND(M709&gt;=원인분석!$C$10,M709&lt;=원인분석!$C$11),"당기",IF(AND(M709&gt;=원인분석!$C$12,M709&lt;=원인분석!$C$13),"비교",""))))</f>
        <v/>
      </c>
      <c r="R709" s="9">
        <f>IF(Q709="","",$K709&amp;"")</f>
        <v/>
      </c>
      <c r="S709" s="9">
        <f>IF(Q709="","",IF(MATCH(R709,$R$5:$R$100000,0)=ROW()-4,ROW(),""))</f>
        <v/>
      </c>
      <c r="T709" s="9">
        <f>IF(Q709="당기",ABS(P709)+ROW()/1000000000,"")</f>
        <v/>
      </c>
      <c r="U709" s="9">
        <f>IF(Q709="비교",ABS(P709)+ROW()/1000000000,"")</f>
        <v/>
      </c>
      <c r="V709" s="64">
        <f>IF($A709="","",IF(COUNTIF(변동분석!$E$7:$E$506,O709)&gt;0,"Y","N"))</f>
        <v/>
      </c>
      <c r="W709" s="64">
        <f>IF($A709="","",IFERROR(INDEX(계정매핑!$D$5:$D$504,MATCH($F709&amp;"",계정매핑!$A$5:$A$504,0)),"미매핑"))</f>
        <v/>
      </c>
      <c r="X709" s="9">
        <f>IF($A709="","",$F709&amp;"")</f>
        <v/>
      </c>
      <c r="Y709" s="94">
        <f>IF($A709="",0,IF(AE709="직접",IF(AF709="비귀속",$P709,0),$P709*(1-AG709)*IFERROR(INDEX(계정대체기준!$F$20:$F$49,MATCH($N709,계정대체기준!$A$20:$A$49,0)),1)))</f>
        <v/>
      </c>
      <c r="Z709" s="94">
        <f>IF($A709="",0,IF(AE709="직접",IF(AF709="신계약비",$P709,0),$P709*(1-AG709)*IFERROR(INDEX(계정대체기준!$C$20:$C$49,MATCH($N709,계정대체기준!$A$20:$A$49,0)),0)))</f>
        <v/>
      </c>
      <c r="AA709" s="94">
        <f>IF($A709="",0,IF(AE709="직접",IF(OR(AF709="유지비",AF709="손해조사비"),$P709,0),$P709*(1-AG709)*IFERROR(INDEX(계정대체기준!$D$20:$D$49,MATCH($N709,계정대체기준!$A$20:$A$49,0)),0)))</f>
        <v/>
      </c>
      <c r="AB709" s="94">
        <f>IF($A709="",0,IF(AE709="직접",IF(AF709="수금비",$P709,0),$P709*(1-AG709)*IFERROR(INDEX(계정대체기준!$E$20:$E$49,MATCH($N709,계정대체기준!$A$20:$A$49,0)),0)))</f>
        <v/>
      </c>
      <c r="AC709" s="9">
        <f>IF(AND($A709&lt;&gt;"",M709=설정!$C$20,Z709&gt;0),Z709+ROW()/1000000000,"")</f>
        <v/>
      </c>
      <c r="AD709" s="94">
        <f>IF($A709="",0,$P709*AG709)</f>
        <v/>
      </c>
      <c r="AE709" s="64">
        <f>IF($A709="","",IFERROR(INDEX(계정매핑!$E$5:$E$504,MATCH($F709&amp;"",계정매핑!$A$5:$A$504,0))&amp;"","공통비"))</f>
        <v/>
      </c>
      <c r="AF709" s="64">
        <f>IF($A709="","",IF(AE709="직접",IFERROR(INDEX(계정매핑!$F$5:$F$504,MATCH($F709&amp;"",계정매핑!$A$5:$A$504,0))&amp;"","비귀속"),""))</f>
        <v/>
      </c>
      <c r="AG709" s="96">
        <f>IF($A709="",0,IF(AND(AE709&lt;&gt;"직접",IFERROR(INDEX(계정매핑!$G$5:$G$504,MATCH($F709&amp;"",계정매핑!$A$5:$A$504,0))&amp;"","")="유지비",COUNTIF(계정대체기준!$A$6:$A$15,$N709)&gt;0),IFERROR(INDEX(계정대체기준!$E$6:$E$15,MATCH(VALUE($A709&amp;""),계정대체기준!$D$6:$D$15,0)),0),0))</f>
        <v/>
      </c>
      <c r="AH709" s="64">
        <f>IF($A709="","",IF(AD709=0,"",IF(OR(COUNTIF(계정대체기준!$A$77:$A$86,$N709)&gt;0,ISNUMBER(MATCH($X709,계정대체기준!$D$77:$D$86,0)),ISNUMBER(MATCH($F709,계정대체기준!$D$77:$D$86,0))),"Y","N")))</f>
        <v/>
      </c>
    </row>
    <row r="710">
      <c r="A710" s="92" t="n">
        <v>2025</v>
      </c>
      <c r="B710" s="92" t="n">
        <v>4</v>
      </c>
      <c r="C710" s="92" t="inlineStr">
        <is>
          <t>5100000706</t>
        </is>
      </c>
      <c r="D710" s="95" t="n">
        <v>45751</v>
      </c>
      <c r="E710" s="92" t="inlineStr">
        <is>
          <t>KR</t>
        </is>
      </c>
      <c r="F710" s="92" t="n">
        <v>62102000</v>
      </c>
      <c r="G710" s="92" t="n">
        <v>1951</v>
      </c>
      <c r="H710" s="93" t="n">
        <v>90000</v>
      </c>
      <c r="I710" s="92" t="inlineStr">
        <is>
          <t>4월 해외출장 - M항공</t>
        </is>
      </c>
      <c r="J710" s="92" t="inlineStr">
        <is>
          <t>V10001</t>
        </is>
      </c>
      <c r="K710" s="92" t="inlineStr">
        <is>
          <t>M항공</t>
        </is>
      </c>
      <c r="M710" s="9">
        <f>IF($A710="","",VALUE($A710&amp;"")*12+VALUE($B710&amp;""))</f>
        <v/>
      </c>
      <c r="N710" s="64">
        <f>IF($A710="","",IFERROR(INDEX(부서매핑!$C$5:$C$504,MATCH($G710&amp;"",부서매핑!$A$5:$A$504,0)),"미매핑"))</f>
        <v/>
      </c>
      <c r="O710" s="9">
        <f>IF($A710="","",N710&amp;"|"&amp;$F710)</f>
        <v/>
      </c>
      <c r="P710" s="94">
        <f>IF($A710="",0,$H710*설정!$C$23)</f>
        <v/>
      </c>
      <c r="Q710" s="64">
        <f>IF($A710="","",IF(O710&lt;&gt;원인분석!$C$9,"",IF(AND(M710&gt;=원인분석!$C$10,M710&lt;=원인분석!$C$11),"당기",IF(AND(M710&gt;=원인분석!$C$12,M710&lt;=원인분석!$C$13),"비교",""))))</f>
        <v/>
      </c>
      <c r="R710" s="9">
        <f>IF(Q710="","",$K710&amp;"")</f>
        <v/>
      </c>
      <c r="S710" s="9">
        <f>IF(Q710="","",IF(MATCH(R710,$R$5:$R$100000,0)=ROW()-4,ROW(),""))</f>
        <v/>
      </c>
      <c r="T710" s="9">
        <f>IF(Q710="당기",ABS(P710)+ROW()/1000000000,"")</f>
        <v/>
      </c>
      <c r="U710" s="9">
        <f>IF(Q710="비교",ABS(P710)+ROW()/1000000000,"")</f>
        <v/>
      </c>
      <c r="V710" s="64">
        <f>IF($A710="","",IF(COUNTIF(변동분석!$E$7:$E$506,O710)&gt;0,"Y","N"))</f>
        <v/>
      </c>
      <c r="W710" s="64">
        <f>IF($A710="","",IFERROR(INDEX(계정매핑!$D$5:$D$504,MATCH($F710&amp;"",계정매핑!$A$5:$A$504,0)),"미매핑"))</f>
        <v/>
      </c>
      <c r="X710" s="9">
        <f>IF($A710="","",$F710&amp;"")</f>
        <v/>
      </c>
      <c r="Y710" s="94">
        <f>IF($A710="",0,IF(AE710="직접",IF(AF710="비귀속",$P710,0),$P710*(1-AG710)*IFERROR(INDEX(계정대체기준!$F$20:$F$49,MATCH($N710,계정대체기준!$A$20:$A$49,0)),1)))</f>
        <v/>
      </c>
      <c r="Z710" s="94">
        <f>IF($A710="",0,IF(AE710="직접",IF(AF710="신계약비",$P710,0),$P710*(1-AG710)*IFERROR(INDEX(계정대체기준!$C$20:$C$49,MATCH($N710,계정대체기준!$A$20:$A$49,0)),0)))</f>
        <v/>
      </c>
      <c r="AA710" s="94">
        <f>IF($A710="",0,IF(AE710="직접",IF(OR(AF710="유지비",AF710="손해조사비"),$P710,0),$P710*(1-AG710)*IFERROR(INDEX(계정대체기준!$D$20:$D$49,MATCH($N710,계정대체기준!$A$20:$A$49,0)),0)))</f>
        <v/>
      </c>
      <c r="AB710" s="94">
        <f>IF($A710="",0,IF(AE710="직접",IF(AF710="수금비",$P710,0),$P710*(1-AG710)*IFERROR(INDEX(계정대체기준!$E$20:$E$49,MATCH($N710,계정대체기준!$A$20:$A$49,0)),0)))</f>
        <v/>
      </c>
      <c r="AC710" s="9">
        <f>IF(AND($A710&lt;&gt;"",M710=설정!$C$20,Z710&gt;0),Z710+ROW()/1000000000,"")</f>
        <v/>
      </c>
      <c r="AD710" s="94">
        <f>IF($A710="",0,$P710*AG710)</f>
        <v/>
      </c>
      <c r="AE710" s="64">
        <f>IF($A710="","",IFERROR(INDEX(계정매핑!$E$5:$E$504,MATCH($F710&amp;"",계정매핑!$A$5:$A$504,0))&amp;"","공통비"))</f>
        <v/>
      </c>
      <c r="AF710" s="64">
        <f>IF($A710="","",IF(AE710="직접",IFERROR(INDEX(계정매핑!$F$5:$F$504,MATCH($F710&amp;"",계정매핑!$A$5:$A$504,0))&amp;"","비귀속"),""))</f>
        <v/>
      </c>
      <c r="AG710" s="96">
        <f>IF($A710="",0,IF(AND(AE710&lt;&gt;"직접",IFERROR(INDEX(계정매핑!$G$5:$G$504,MATCH($F710&amp;"",계정매핑!$A$5:$A$504,0))&amp;"","")="유지비",COUNTIF(계정대체기준!$A$6:$A$15,$N710)&gt;0),IFERROR(INDEX(계정대체기준!$E$6:$E$15,MATCH(VALUE($A710&amp;""),계정대체기준!$D$6:$D$15,0)),0),0))</f>
        <v/>
      </c>
      <c r="AH710" s="64">
        <f>IF($A710="","",IF(AD710=0,"",IF(OR(COUNTIF(계정대체기준!$A$77:$A$86,$N710)&gt;0,ISNUMBER(MATCH($X710,계정대체기준!$D$77:$D$86,0)),ISNUMBER(MATCH($F710,계정대체기준!$D$77:$D$86,0))),"Y","N")))</f>
        <v/>
      </c>
    </row>
    <row r="711">
      <c r="A711" s="92" t="n">
        <v>2025</v>
      </c>
      <c r="B711" s="92" t="n">
        <v>4</v>
      </c>
      <c r="C711" s="92" t="inlineStr">
        <is>
          <t>5100000707</t>
        </is>
      </c>
      <c r="D711" s="95" t="n">
        <v>45751</v>
      </c>
      <c r="E711" s="92" t="inlineStr">
        <is>
          <t>KR</t>
        </is>
      </c>
      <c r="F711" s="92" t="n">
        <v>62102000</v>
      </c>
      <c r="G711" s="92" t="n">
        <v>1951</v>
      </c>
      <c r="H711" s="93" t="n">
        <v>82000</v>
      </c>
      <c r="I711" s="92" t="inlineStr">
        <is>
          <t>4월 해외출장 - M항공</t>
        </is>
      </c>
      <c r="J711" s="92" t="inlineStr">
        <is>
          <t>V10001</t>
        </is>
      </c>
      <c r="K711" s="92" t="inlineStr">
        <is>
          <t>M항공</t>
        </is>
      </c>
      <c r="M711" s="9">
        <f>IF($A711="","",VALUE($A711&amp;"")*12+VALUE($B711&amp;""))</f>
        <v/>
      </c>
      <c r="N711" s="64">
        <f>IF($A711="","",IFERROR(INDEX(부서매핑!$C$5:$C$504,MATCH($G711&amp;"",부서매핑!$A$5:$A$504,0)),"미매핑"))</f>
        <v/>
      </c>
      <c r="O711" s="9">
        <f>IF($A711="","",N711&amp;"|"&amp;$F711)</f>
        <v/>
      </c>
      <c r="P711" s="94">
        <f>IF($A711="",0,$H711*설정!$C$23)</f>
        <v/>
      </c>
      <c r="Q711" s="64">
        <f>IF($A711="","",IF(O711&lt;&gt;원인분석!$C$9,"",IF(AND(M711&gt;=원인분석!$C$10,M711&lt;=원인분석!$C$11),"당기",IF(AND(M711&gt;=원인분석!$C$12,M711&lt;=원인분석!$C$13),"비교",""))))</f>
        <v/>
      </c>
      <c r="R711" s="9">
        <f>IF(Q711="","",$K711&amp;"")</f>
        <v/>
      </c>
      <c r="S711" s="9">
        <f>IF(Q711="","",IF(MATCH(R711,$R$5:$R$100000,0)=ROW()-4,ROW(),""))</f>
        <v/>
      </c>
      <c r="T711" s="9">
        <f>IF(Q711="당기",ABS(P711)+ROW()/1000000000,"")</f>
        <v/>
      </c>
      <c r="U711" s="9">
        <f>IF(Q711="비교",ABS(P711)+ROW()/1000000000,"")</f>
        <v/>
      </c>
      <c r="V711" s="64">
        <f>IF($A711="","",IF(COUNTIF(변동분석!$E$7:$E$506,O711)&gt;0,"Y","N"))</f>
        <v/>
      </c>
      <c r="W711" s="64">
        <f>IF($A711="","",IFERROR(INDEX(계정매핑!$D$5:$D$504,MATCH($F711&amp;"",계정매핑!$A$5:$A$504,0)),"미매핑"))</f>
        <v/>
      </c>
      <c r="X711" s="9">
        <f>IF($A711="","",$F711&amp;"")</f>
        <v/>
      </c>
      <c r="Y711" s="94">
        <f>IF($A711="",0,IF(AE711="직접",IF(AF711="비귀속",$P711,0),$P711*(1-AG711)*IFERROR(INDEX(계정대체기준!$F$20:$F$49,MATCH($N711,계정대체기준!$A$20:$A$49,0)),1)))</f>
        <v/>
      </c>
      <c r="Z711" s="94">
        <f>IF($A711="",0,IF(AE711="직접",IF(AF711="신계약비",$P711,0),$P711*(1-AG711)*IFERROR(INDEX(계정대체기준!$C$20:$C$49,MATCH($N711,계정대체기준!$A$20:$A$49,0)),0)))</f>
        <v/>
      </c>
      <c r="AA711" s="94">
        <f>IF($A711="",0,IF(AE711="직접",IF(OR(AF711="유지비",AF711="손해조사비"),$P711,0),$P711*(1-AG711)*IFERROR(INDEX(계정대체기준!$D$20:$D$49,MATCH($N711,계정대체기준!$A$20:$A$49,0)),0)))</f>
        <v/>
      </c>
      <c r="AB711" s="94">
        <f>IF($A711="",0,IF(AE711="직접",IF(AF711="수금비",$P711,0),$P711*(1-AG711)*IFERROR(INDEX(계정대체기준!$E$20:$E$49,MATCH($N711,계정대체기준!$A$20:$A$49,0)),0)))</f>
        <v/>
      </c>
      <c r="AC711" s="9">
        <f>IF(AND($A711&lt;&gt;"",M711=설정!$C$20,Z711&gt;0),Z711+ROW()/1000000000,"")</f>
        <v/>
      </c>
      <c r="AD711" s="94">
        <f>IF($A711="",0,$P711*AG711)</f>
        <v/>
      </c>
      <c r="AE711" s="64">
        <f>IF($A711="","",IFERROR(INDEX(계정매핑!$E$5:$E$504,MATCH($F711&amp;"",계정매핑!$A$5:$A$504,0))&amp;"","공통비"))</f>
        <v/>
      </c>
      <c r="AF711" s="64">
        <f>IF($A711="","",IF(AE711="직접",IFERROR(INDEX(계정매핑!$F$5:$F$504,MATCH($F711&amp;"",계정매핑!$A$5:$A$504,0))&amp;"","비귀속"),""))</f>
        <v/>
      </c>
      <c r="AG711" s="96">
        <f>IF($A711="",0,IF(AND(AE711&lt;&gt;"직접",IFERROR(INDEX(계정매핑!$G$5:$G$504,MATCH($F711&amp;"",계정매핑!$A$5:$A$504,0))&amp;"","")="유지비",COUNTIF(계정대체기준!$A$6:$A$15,$N711)&gt;0),IFERROR(INDEX(계정대체기준!$E$6:$E$15,MATCH(VALUE($A711&amp;""),계정대체기준!$D$6:$D$15,0)),0),0))</f>
        <v/>
      </c>
      <c r="AH711" s="64">
        <f>IF($A711="","",IF(AD711=0,"",IF(OR(COUNTIF(계정대체기준!$A$77:$A$86,$N711)&gt;0,ISNUMBER(MATCH($X711,계정대체기준!$D$77:$D$86,0)),ISNUMBER(MATCH($F711,계정대체기준!$D$77:$D$86,0))),"Y","N")))</f>
        <v/>
      </c>
    </row>
    <row r="712">
      <c r="A712" s="92" t="n">
        <v>2025</v>
      </c>
      <c r="B712" s="92" t="n">
        <v>4</v>
      </c>
      <c r="C712" s="92" t="inlineStr">
        <is>
          <t>5100000708</t>
        </is>
      </c>
      <c r="D712" s="95" t="n">
        <v>45751</v>
      </c>
      <c r="E712" s="92" t="inlineStr">
        <is>
          <t>KR</t>
        </is>
      </c>
      <c r="F712" s="92" t="n">
        <v>62401000</v>
      </c>
      <c r="G712" s="92" t="n">
        <v>1502</v>
      </c>
      <c r="H712" s="93" t="n">
        <v>2509000</v>
      </c>
      <c r="I712" s="92" t="inlineStr">
        <is>
          <t>4월 인쇄물 제작 - G인쇄</t>
        </is>
      </c>
      <c r="J712" s="92" t="inlineStr">
        <is>
          <t>V10004</t>
        </is>
      </c>
      <c r="K712" s="92" t="inlineStr">
        <is>
          <t>G인쇄</t>
        </is>
      </c>
      <c r="M712" s="9">
        <f>IF($A712="","",VALUE($A712&amp;"")*12+VALUE($B712&amp;""))</f>
        <v/>
      </c>
      <c r="N712" s="64">
        <f>IF($A712="","",IFERROR(INDEX(부서매핑!$C$5:$C$504,MATCH($G712&amp;"",부서매핑!$A$5:$A$504,0)),"미매핑"))</f>
        <v/>
      </c>
      <c r="O712" s="9">
        <f>IF($A712="","",N712&amp;"|"&amp;$F712)</f>
        <v/>
      </c>
      <c r="P712" s="94">
        <f>IF($A712="",0,$H712*설정!$C$23)</f>
        <v/>
      </c>
      <c r="Q712" s="64">
        <f>IF($A712="","",IF(O712&lt;&gt;원인분석!$C$9,"",IF(AND(M712&gt;=원인분석!$C$10,M712&lt;=원인분석!$C$11),"당기",IF(AND(M712&gt;=원인분석!$C$12,M712&lt;=원인분석!$C$13),"비교",""))))</f>
        <v/>
      </c>
      <c r="R712" s="9">
        <f>IF(Q712="","",$K712&amp;"")</f>
        <v/>
      </c>
      <c r="S712" s="9">
        <f>IF(Q712="","",IF(MATCH(R712,$R$5:$R$100000,0)=ROW()-4,ROW(),""))</f>
        <v/>
      </c>
      <c r="T712" s="9">
        <f>IF(Q712="당기",ABS(P712)+ROW()/1000000000,"")</f>
        <v/>
      </c>
      <c r="U712" s="9">
        <f>IF(Q712="비교",ABS(P712)+ROW()/1000000000,"")</f>
        <v/>
      </c>
      <c r="V712" s="64">
        <f>IF($A712="","",IF(COUNTIF(변동분석!$E$7:$E$506,O712)&gt;0,"Y","N"))</f>
        <v/>
      </c>
      <c r="W712" s="64">
        <f>IF($A712="","",IFERROR(INDEX(계정매핑!$D$5:$D$504,MATCH($F712&amp;"",계정매핑!$A$5:$A$504,0)),"미매핑"))</f>
        <v/>
      </c>
      <c r="X712" s="9">
        <f>IF($A712="","",$F712&amp;"")</f>
        <v/>
      </c>
      <c r="Y712" s="94">
        <f>IF($A712="",0,IF(AE712="직접",IF(AF712="비귀속",$P712,0),$P712*(1-AG712)*IFERROR(INDEX(계정대체기준!$F$20:$F$49,MATCH($N712,계정대체기준!$A$20:$A$49,0)),1)))</f>
        <v/>
      </c>
      <c r="Z712" s="94">
        <f>IF($A712="",0,IF(AE712="직접",IF(AF712="신계약비",$P712,0),$P712*(1-AG712)*IFERROR(INDEX(계정대체기준!$C$20:$C$49,MATCH($N712,계정대체기준!$A$20:$A$49,0)),0)))</f>
        <v/>
      </c>
      <c r="AA712" s="94">
        <f>IF($A712="",0,IF(AE712="직접",IF(OR(AF712="유지비",AF712="손해조사비"),$P712,0),$P712*(1-AG712)*IFERROR(INDEX(계정대체기준!$D$20:$D$49,MATCH($N712,계정대체기준!$A$20:$A$49,0)),0)))</f>
        <v/>
      </c>
      <c r="AB712" s="94">
        <f>IF($A712="",0,IF(AE712="직접",IF(AF712="수금비",$P712,0),$P712*(1-AG712)*IFERROR(INDEX(계정대체기준!$E$20:$E$49,MATCH($N712,계정대체기준!$A$20:$A$49,0)),0)))</f>
        <v/>
      </c>
      <c r="AC712" s="9">
        <f>IF(AND($A712&lt;&gt;"",M712=설정!$C$20,Z712&gt;0),Z712+ROW()/1000000000,"")</f>
        <v/>
      </c>
      <c r="AD712" s="94">
        <f>IF($A712="",0,$P712*AG712)</f>
        <v/>
      </c>
      <c r="AE712" s="64">
        <f>IF($A712="","",IFERROR(INDEX(계정매핑!$E$5:$E$504,MATCH($F712&amp;"",계정매핑!$A$5:$A$504,0))&amp;"","공통비"))</f>
        <v/>
      </c>
      <c r="AF712" s="64">
        <f>IF($A712="","",IF(AE712="직접",IFERROR(INDEX(계정매핑!$F$5:$F$504,MATCH($F712&amp;"",계정매핑!$A$5:$A$504,0))&amp;"","비귀속"),""))</f>
        <v/>
      </c>
      <c r="AG712" s="96">
        <f>IF($A712="",0,IF(AND(AE712&lt;&gt;"직접",IFERROR(INDEX(계정매핑!$G$5:$G$504,MATCH($F712&amp;"",계정매핑!$A$5:$A$504,0))&amp;"","")="유지비",COUNTIF(계정대체기준!$A$6:$A$15,$N712)&gt;0),IFERROR(INDEX(계정대체기준!$E$6:$E$15,MATCH(VALUE($A712&amp;""),계정대체기준!$D$6:$D$15,0)),0),0))</f>
        <v/>
      </c>
      <c r="AH712" s="64">
        <f>IF($A712="","",IF(AD712=0,"",IF(OR(COUNTIF(계정대체기준!$A$77:$A$86,$N712)&gt;0,ISNUMBER(MATCH($X712,계정대체기준!$D$77:$D$86,0)),ISNUMBER(MATCH($F712,계정대체기준!$D$77:$D$86,0))),"Y","N")))</f>
        <v/>
      </c>
    </row>
    <row r="713">
      <c r="A713" s="92" t="n">
        <v>2025</v>
      </c>
      <c r="B713" s="92" t="n">
        <v>4</v>
      </c>
      <c r="C713" s="92" t="inlineStr">
        <is>
          <t>5100000709</t>
        </is>
      </c>
      <c r="D713" s="95" t="n">
        <v>45751</v>
      </c>
      <c r="E713" s="92" t="inlineStr">
        <is>
          <t>KR</t>
        </is>
      </c>
      <c r="F713" s="92" t="n">
        <v>62501000</v>
      </c>
      <c r="G713" s="92" t="n">
        <v>1201</v>
      </c>
      <c r="H713" s="93" t="n">
        <v>135000</v>
      </c>
      <c r="I713" s="92" t="inlineStr">
        <is>
          <t>4월 회의 다과 - (법인카드)</t>
        </is>
      </c>
      <c r="J713" s="92" t="inlineStr">
        <is>
          <t>V10010</t>
        </is>
      </c>
      <c r="K713" s="92" t="inlineStr">
        <is>
          <t>(법인카드)</t>
        </is>
      </c>
      <c r="M713" s="9">
        <f>IF($A713="","",VALUE($A713&amp;"")*12+VALUE($B713&amp;""))</f>
        <v/>
      </c>
      <c r="N713" s="64">
        <f>IF($A713="","",IFERROR(INDEX(부서매핑!$C$5:$C$504,MATCH($G713&amp;"",부서매핑!$A$5:$A$504,0)),"미매핑"))</f>
        <v/>
      </c>
      <c r="O713" s="9">
        <f>IF($A713="","",N713&amp;"|"&amp;$F713)</f>
        <v/>
      </c>
      <c r="P713" s="94">
        <f>IF($A713="",0,$H713*설정!$C$23)</f>
        <v/>
      </c>
      <c r="Q713" s="64">
        <f>IF($A713="","",IF(O713&lt;&gt;원인분석!$C$9,"",IF(AND(M713&gt;=원인분석!$C$10,M713&lt;=원인분석!$C$11),"당기",IF(AND(M713&gt;=원인분석!$C$12,M713&lt;=원인분석!$C$13),"비교",""))))</f>
        <v/>
      </c>
      <c r="R713" s="9">
        <f>IF(Q713="","",$K713&amp;"")</f>
        <v/>
      </c>
      <c r="S713" s="9">
        <f>IF(Q713="","",IF(MATCH(R713,$R$5:$R$100000,0)=ROW()-4,ROW(),""))</f>
        <v/>
      </c>
      <c r="T713" s="9">
        <f>IF(Q713="당기",ABS(P713)+ROW()/1000000000,"")</f>
        <v/>
      </c>
      <c r="U713" s="9">
        <f>IF(Q713="비교",ABS(P713)+ROW()/1000000000,"")</f>
        <v/>
      </c>
      <c r="V713" s="64">
        <f>IF($A713="","",IF(COUNTIF(변동분석!$E$7:$E$506,O713)&gt;0,"Y","N"))</f>
        <v/>
      </c>
      <c r="W713" s="64">
        <f>IF($A713="","",IFERROR(INDEX(계정매핑!$D$5:$D$504,MATCH($F713&amp;"",계정매핑!$A$5:$A$504,0)),"미매핑"))</f>
        <v/>
      </c>
      <c r="X713" s="9">
        <f>IF($A713="","",$F713&amp;"")</f>
        <v/>
      </c>
      <c r="Y713" s="94">
        <f>IF($A713="",0,IF(AE713="직접",IF(AF713="비귀속",$P713,0),$P713*(1-AG713)*IFERROR(INDEX(계정대체기준!$F$20:$F$49,MATCH($N713,계정대체기준!$A$20:$A$49,0)),1)))</f>
        <v/>
      </c>
      <c r="Z713" s="94">
        <f>IF($A713="",0,IF(AE713="직접",IF(AF713="신계약비",$P713,0),$P713*(1-AG713)*IFERROR(INDEX(계정대체기준!$C$20:$C$49,MATCH($N713,계정대체기준!$A$20:$A$49,0)),0)))</f>
        <v/>
      </c>
      <c r="AA713" s="94">
        <f>IF($A713="",0,IF(AE713="직접",IF(OR(AF713="유지비",AF713="손해조사비"),$P713,0),$P713*(1-AG713)*IFERROR(INDEX(계정대체기준!$D$20:$D$49,MATCH($N713,계정대체기준!$A$20:$A$49,0)),0)))</f>
        <v/>
      </c>
      <c r="AB713" s="94">
        <f>IF($A713="",0,IF(AE713="직접",IF(AF713="수금비",$P713,0),$P713*(1-AG713)*IFERROR(INDEX(계정대체기준!$E$20:$E$49,MATCH($N713,계정대체기준!$A$20:$A$49,0)),0)))</f>
        <v/>
      </c>
      <c r="AC713" s="9">
        <f>IF(AND($A713&lt;&gt;"",M713=설정!$C$20,Z713&gt;0),Z713+ROW()/1000000000,"")</f>
        <v/>
      </c>
      <c r="AD713" s="94">
        <f>IF($A713="",0,$P713*AG713)</f>
        <v/>
      </c>
      <c r="AE713" s="64">
        <f>IF($A713="","",IFERROR(INDEX(계정매핑!$E$5:$E$504,MATCH($F713&amp;"",계정매핑!$A$5:$A$504,0))&amp;"","공통비"))</f>
        <v/>
      </c>
      <c r="AF713" s="64">
        <f>IF($A713="","",IF(AE713="직접",IFERROR(INDEX(계정매핑!$F$5:$F$504,MATCH($F713&amp;"",계정매핑!$A$5:$A$504,0))&amp;"","비귀속"),""))</f>
        <v/>
      </c>
      <c r="AG713" s="96">
        <f>IF($A713="",0,IF(AND(AE713&lt;&gt;"직접",IFERROR(INDEX(계정매핑!$G$5:$G$504,MATCH($F713&amp;"",계정매핑!$A$5:$A$504,0))&amp;"","")="유지비",COUNTIF(계정대체기준!$A$6:$A$15,$N713)&gt;0),IFERROR(INDEX(계정대체기준!$E$6:$E$15,MATCH(VALUE($A713&amp;""),계정대체기준!$D$6:$D$15,0)),0),0))</f>
        <v/>
      </c>
      <c r="AH713" s="64">
        <f>IF($A713="","",IF(AD713=0,"",IF(OR(COUNTIF(계정대체기준!$A$77:$A$86,$N713)&gt;0,ISNUMBER(MATCH($X713,계정대체기준!$D$77:$D$86,0)),ISNUMBER(MATCH($F713,계정대체기준!$D$77:$D$86,0))),"Y","N")))</f>
        <v/>
      </c>
    </row>
    <row r="714">
      <c r="A714" s="92" t="n">
        <v>2025</v>
      </c>
      <c r="B714" s="92" t="n">
        <v>4</v>
      </c>
      <c r="C714" s="92" t="inlineStr">
        <is>
          <t>5100000710</t>
        </is>
      </c>
      <c r="D714" s="95" t="n">
        <v>45751</v>
      </c>
      <c r="E714" s="92" t="inlineStr">
        <is>
          <t>KR</t>
        </is>
      </c>
      <c r="F714" s="92" t="n">
        <v>62501000</v>
      </c>
      <c r="G714" s="92" t="n">
        <v>1501</v>
      </c>
      <c r="H714" s="93" t="n">
        <v>323000</v>
      </c>
      <c r="I714" s="92" t="inlineStr">
        <is>
          <t>4월 회의 다과 - (법인카드)</t>
        </is>
      </c>
      <c r="J714" s="92" t="inlineStr">
        <is>
          <t>V10010</t>
        </is>
      </c>
      <c r="K714" s="92" t="inlineStr">
        <is>
          <t>(법인카드)</t>
        </is>
      </c>
      <c r="M714" s="9">
        <f>IF($A714="","",VALUE($A714&amp;"")*12+VALUE($B714&amp;""))</f>
        <v/>
      </c>
      <c r="N714" s="64">
        <f>IF($A714="","",IFERROR(INDEX(부서매핑!$C$5:$C$504,MATCH($G714&amp;"",부서매핑!$A$5:$A$504,0)),"미매핑"))</f>
        <v/>
      </c>
      <c r="O714" s="9">
        <f>IF($A714="","",N714&amp;"|"&amp;$F714)</f>
        <v/>
      </c>
      <c r="P714" s="94">
        <f>IF($A714="",0,$H714*설정!$C$23)</f>
        <v/>
      </c>
      <c r="Q714" s="64">
        <f>IF($A714="","",IF(O714&lt;&gt;원인분석!$C$9,"",IF(AND(M714&gt;=원인분석!$C$10,M714&lt;=원인분석!$C$11),"당기",IF(AND(M714&gt;=원인분석!$C$12,M714&lt;=원인분석!$C$13),"비교",""))))</f>
        <v/>
      </c>
      <c r="R714" s="9">
        <f>IF(Q714="","",$K714&amp;"")</f>
        <v/>
      </c>
      <c r="S714" s="9">
        <f>IF(Q714="","",IF(MATCH(R714,$R$5:$R$100000,0)=ROW()-4,ROW(),""))</f>
        <v/>
      </c>
      <c r="T714" s="9">
        <f>IF(Q714="당기",ABS(P714)+ROW()/1000000000,"")</f>
        <v/>
      </c>
      <c r="U714" s="9">
        <f>IF(Q714="비교",ABS(P714)+ROW()/1000000000,"")</f>
        <v/>
      </c>
      <c r="V714" s="64">
        <f>IF($A714="","",IF(COUNTIF(변동분석!$E$7:$E$506,O714)&gt;0,"Y","N"))</f>
        <v/>
      </c>
      <c r="W714" s="64">
        <f>IF($A714="","",IFERROR(INDEX(계정매핑!$D$5:$D$504,MATCH($F714&amp;"",계정매핑!$A$5:$A$504,0)),"미매핑"))</f>
        <v/>
      </c>
      <c r="X714" s="9">
        <f>IF($A714="","",$F714&amp;"")</f>
        <v/>
      </c>
      <c r="Y714" s="94">
        <f>IF($A714="",0,IF(AE714="직접",IF(AF714="비귀속",$P714,0),$P714*(1-AG714)*IFERROR(INDEX(계정대체기준!$F$20:$F$49,MATCH($N714,계정대체기준!$A$20:$A$49,0)),1)))</f>
        <v/>
      </c>
      <c r="Z714" s="94">
        <f>IF($A714="",0,IF(AE714="직접",IF(AF714="신계약비",$P714,0),$P714*(1-AG714)*IFERROR(INDEX(계정대체기준!$C$20:$C$49,MATCH($N714,계정대체기준!$A$20:$A$49,0)),0)))</f>
        <v/>
      </c>
      <c r="AA714" s="94">
        <f>IF($A714="",0,IF(AE714="직접",IF(OR(AF714="유지비",AF714="손해조사비"),$P714,0),$P714*(1-AG714)*IFERROR(INDEX(계정대체기준!$D$20:$D$49,MATCH($N714,계정대체기준!$A$20:$A$49,0)),0)))</f>
        <v/>
      </c>
      <c r="AB714" s="94">
        <f>IF($A714="",0,IF(AE714="직접",IF(AF714="수금비",$P714,0),$P714*(1-AG714)*IFERROR(INDEX(계정대체기준!$E$20:$E$49,MATCH($N714,계정대체기준!$A$20:$A$49,0)),0)))</f>
        <v/>
      </c>
      <c r="AC714" s="9">
        <f>IF(AND($A714&lt;&gt;"",M714=설정!$C$20,Z714&gt;0),Z714+ROW()/1000000000,"")</f>
        <v/>
      </c>
      <c r="AD714" s="94">
        <f>IF($A714="",0,$P714*AG714)</f>
        <v/>
      </c>
      <c r="AE714" s="64">
        <f>IF($A714="","",IFERROR(INDEX(계정매핑!$E$5:$E$504,MATCH($F714&amp;"",계정매핑!$A$5:$A$504,0))&amp;"","공통비"))</f>
        <v/>
      </c>
      <c r="AF714" s="64">
        <f>IF($A714="","",IF(AE714="직접",IFERROR(INDEX(계정매핑!$F$5:$F$504,MATCH($F714&amp;"",계정매핑!$A$5:$A$504,0))&amp;"","비귀속"),""))</f>
        <v/>
      </c>
      <c r="AG714" s="96">
        <f>IF($A714="",0,IF(AND(AE714&lt;&gt;"직접",IFERROR(INDEX(계정매핑!$G$5:$G$504,MATCH($F714&amp;"",계정매핑!$A$5:$A$504,0))&amp;"","")="유지비",COUNTIF(계정대체기준!$A$6:$A$15,$N714)&gt;0),IFERROR(INDEX(계정대체기준!$E$6:$E$15,MATCH(VALUE($A714&amp;""),계정대체기준!$D$6:$D$15,0)),0),0))</f>
        <v/>
      </c>
      <c r="AH714" s="64">
        <f>IF($A714="","",IF(AD714=0,"",IF(OR(COUNTIF(계정대체기준!$A$77:$A$86,$N714)&gt;0,ISNUMBER(MATCH($X714,계정대체기준!$D$77:$D$86,0)),ISNUMBER(MATCH($F714,계정대체기준!$D$77:$D$86,0))),"Y","N")))</f>
        <v/>
      </c>
    </row>
    <row r="715">
      <c r="A715" s="92" t="n">
        <v>2025</v>
      </c>
      <c r="B715" s="92" t="n">
        <v>4</v>
      </c>
      <c r="C715" s="92" t="inlineStr">
        <is>
          <t>5100000711</t>
        </is>
      </c>
      <c r="D715" s="95" t="n">
        <v>45751</v>
      </c>
      <c r="E715" s="92" t="inlineStr">
        <is>
          <t>KR</t>
        </is>
      </c>
      <c r="F715" s="92" t="n">
        <v>62501000</v>
      </c>
      <c r="G715" s="92" t="n">
        <v>1601</v>
      </c>
      <c r="H715" s="93" t="n">
        <v>422000</v>
      </c>
      <c r="I715" s="92" t="inlineStr">
        <is>
          <t>4월 회의 다과 - T케이터링</t>
        </is>
      </c>
      <c r="J715" s="92" t="inlineStr">
        <is>
          <t>V10005</t>
        </is>
      </c>
      <c r="K715" s="92" t="inlineStr">
        <is>
          <t>T케이터링</t>
        </is>
      </c>
      <c r="M715" s="9">
        <f>IF($A715="","",VALUE($A715&amp;"")*12+VALUE($B715&amp;""))</f>
        <v/>
      </c>
      <c r="N715" s="64">
        <f>IF($A715="","",IFERROR(INDEX(부서매핑!$C$5:$C$504,MATCH($G715&amp;"",부서매핑!$A$5:$A$504,0)),"미매핑"))</f>
        <v/>
      </c>
      <c r="O715" s="9">
        <f>IF($A715="","",N715&amp;"|"&amp;$F715)</f>
        <v/>
      </c>
      <c r="P715" s="94">
        <f>IF($A715="",0,$H715*설정!$C$23)</f>
        <v/>
      </c>
      <c r="Q715" s="64">
        <f>IF($A715="","",IF(O715&lt;&gt;원인분석!$C$9,"",IF(AND(M715&gt;=원인분석!$C$10,M715&lt;=원인분석!$C$11),"당기",IF(AND(M715&gt;=원인분석!$C$12,M715&lt;=원인분석!$C$13),"비교",""))))</f>
        <v/>
      </c>
      <c r="R715" s="9">
        <f>IF(Q715="","",$K715&amp;"")</f>
        <v/>
      </c>
      <c r="S715" s="9">
        <f>IF(Q715="","",IF(MATCH(R715,$R$5:$R$100000,0)=ROW()-4,ROW(),""))</f>
        <v/>
      </c>
      <c r="T715" s="9">
        <f>IF(Q715="당기",ABS(P715)+ROW()/1000000000,"")</f>
        <v/>
      </c>
      <c r="U715" s="9">
        <f>IF(Q715="비교",ABS(P715)+ROW()/1000000000,"")</f>
        <v/>
      </c>
      <c r="V715" s="64">
        <f>IF($A715="","",IF(COUNTIF(변동분석!$E$7:$E$506,O715)&gt;0,"Y","N"))</f>
        <v/>
      </c>
      <c r="W715" s="64">
        <f>IF($A715="","",IFERROR(INDEX(계정매핑!$D$5:$D$504,MATCH($F715&amp;"",계정매핑!$A$5:$A$504,0)),"미매핑"))</f>
        <v/>
      </c>
      <c r="X715" s="9">
        <f>IF($A715="","",$F715&amp;"")</f>
        <v/>
      </c>
      <c r="Y715" s="94">
        <f>IF($A715="",0,IF(AE715="직접",IF(AF715="비귀속",$P715,0),$P715*(1-AG715)*IFERROR(INDEX(계정대체기준!$F$20:$F$49,MATCH($N715,계정대체기준!$A$20:$A$49,0)),1)))</f>
        <v/>
      </c>
      <c r="Z715" s="94">
        <f>IF($A715="",0,IF(AE715="직접",IF(AF715="신계약비",$P715,0),$P715*(1-AG715)*IFERROR(INDEX(계정대체기준!$C$20:$C$49,MATCH($N715,계정대체기준!$A$20:$A$49,0)),0)))</f>
        <v/>
      </c>
      <c r="AA715" s="94">
        <f>IF($A715="",0,IF(AE715="직접",IF(OR(AF715="유지비",AF715="손해조사비"),$P715,0),$P715*(1-AG715)*IFERROR(INDEX(계정대체기준!$D$20:$D$49,MATCH($N715,계정대체기준!$A$20:$A$49,0)),0)))</f>
        <v/>
      </c>
      <c r="AB715" s="94">
        <f>IF($A715="",0,IF(AE715="직접",IF(AF715="수금비",$P715,0),$P715*(1-AG715)*IFERROR(INDEX(계정대체기준!$E$20:$E$49,MATCH($N715,계정대체기준!$A$20:$A$49,0)),0)))</f>
        <v/>
      </c>
      <c r="AC715" s="9">
        <f>IF(AND($A715&lt;&gt;"",M715=설정!$C$20,Z715&gt;0),Z715+ROW()/1000000000,"")</f>
        <v/>
      </c>
      <c r="AD715" s="94">
        <f>IF($A715="",0,$P715*AG715)</f>
        <v/>
      </c>
      <c r="AE715" s="64">
        <f>IF($A715="","",IFERROR(INDEX(계정매핑!$E$5:$E$504,MATCH($F715&amp;"",계정매핑!$A$5:$A$504,0))&amp;"","공통비"))</f>
        <v/>
      </c>
      <c r="AF715" s="64">
        <f>IF($A715="","",IF(AE715="직접",IFERROR(INDEX(계정매핑!$F$5:$F$504,MATCH($F715&amp;"",계정매핑!$A$5:$A$504,0))&amp;"","비귀속"),""))</f>
        <v/>
      </c>
      <c r="AG715" s="96">
        <f>IF($A715="",0,IF(AND(AE715&lt;&gt;"직접",IFERROR(INDEX(계정매핑!$G$5:$G$504,MATCH($F715&amp;"",계정매핑!$A$5:$A$504,0))&amp;"","")="유지비",COUNTIF(계정대체기준!$A$6:$A$15,$N715)&gt;0),IFERROR(INDEX(계정대체기준!$E$6:$E$15,MATCH(VALUE($A715&amp;""),계정대체기준!$D$6:$D$15,0)),0),0))</f>
        <v/>
      </c>
      <c r="AH715" s="64">
        <f>IF($A715="","",IF(AD715=0,"",IF(OR(COUNTIF(계정대체기준!$A$77:$A$86,$N715)&gt;0,ISNUMBER(MATCH($X715,계정대체기준!$D$77:$D$86,0)),ISNUMBER(MATCH($F715,계정대체기준!$D$77:$D$86,0))),"Y","N")))</f>
        <v/>
      </c>
    </row>
    <row r="716">
      <c r="A716" s="92" t="n">
        <v>2025</v>
      </c>
      <c r="B716" s="92" t="n">
        <v>4</v>
      </c>
      <c r="C716" s="92" t="inlineStr">
        <is>
          <t>5100000712</t>
        </is>
      </c>
      <c r="D716" s="95" t="n">
        <v>45751</v>
      </c>
      <c r="E716" s="92" t="inlineStr">
        <is>
          <t>KR</t>
        </is>
      </c>
      <c r="F716" s="92" t="n">
        <v>62901000</v>
      </c>
      <c r="G716" s="92" t="n">
        <v>1801</v>
      </c>
      <c r="H716" s="93" t="n">
        <v>6277000</v>
      </c>
      <c r="I716" s="92" t="inlineStr">
        <is>
          <t>4월 자문 수수료 - K회계법인</t>
        </is>
      </c>
      <c r="J716" s="92" t="inlineStr">
        <is>
          <t>V10011</t>
        </is>
      </c>
      <c r="K716" s="92" t="inlineStr">
        <is>
          <t>K회계법인</t>
        </is>
      </c>
      <c r="M716" s="9">
        <f>IF($A716="","",VALUE($A716&amp;"")*12+VALUE($B716&amp;""))</f>
        <v/>
      </c>
      <c r="N716" s="64">
        <f>IF($A716="","",IFERROR(INDEX(부서매핑!$C$5:$C$504,MATCH($G716&amp;"",부서매핑!$A$5:$A$504,0)),"미매핑"))</f>
        <v/>
      </c>
      <c r="O716" s="9">
        <f>IF($A716="","",N716&amp;"|"&amp;$F716)</f>
        <v/>
      </c>
      <c r="P716" s="94">
        <f>IF($A716="",0,$H716*설정!$C$23)</f>
        <v/>
      </c>
      <c r="Q716" s="64">
        <f>IF($A716="","",IF(O716&lt;&gt;원인분석!$C$9,"",IF(AND(M716&gt;=원인분석!$C$10,M716&lt;=원인분석!$C$11),"당기",IF(AND(M716&gt;=원인분석!$C$12,M716&lt;=원인분석!$C$13),"비교",""))))</f>
        <v/>
      </c>
      <c r="R716" s="9">
        <f>IF(Q716="","",$K716&amp;"")</f>
        <v/>
      </c>
      <c r="S716" s="9">
        <f>IF(Q716="","",IF(MATCH(R716,$R$5:$R$100000,0)=ROW()-4,ROW(),""))</f>
        <v/>
      </c>
      <c r="T716" s="9">
        <f>IF(Q716="당기",ABS(P716)+ROW()/1000000000,"")</f>
        <v/>
      </c>
      <c r="U716" s="9">
        <f>IF(Q716="비교",ABS(P716)+ROW()/1000000000,"")</f>
        <v/>
      </c>
      <c r="V716" s="64">
        <f>IF($A716="","",IF(COUNTIF(변동분석!$E$7:$E$506,O716)&gt;0,"Y","N"))</f>
        <v/>
      </c>
      <c r="W716" s="64">
        <f>IF($A716="","",IFERROR(INDEX(계정매핑!$D$5:$D$504,MATCH($F716&amp;"",계정매핑!$A$5:$A$504,0)),"미매핑"))</f>
        <v/>
      </c>
      <c r="X716" s="9">
        <f>IF($A716="","",$F716&amp;"")</f>
        <v/>
      </c>
      <c r="Y716" s="94">
        <f>IF($A716="",0,IF(AE716="직접",IF(AF716="비귀속",$P716,0),$P716*(1-AG716)*IFERROR(INDEX(계정대체기준!$F$20:$F$49,MATCH($N716,계정대체기준!$A$20:$A$49,0)),1)))</f>
        <v/>
      </c>
      <c r="Z716" s="94">
        <f>IF($A716="",0,IF(AE716="직접",IF(AF716="신계약비",$P716,0),$P716*(1-AG716)*IFERROR(INDEX(계정대체기준!$C$20:$C$49,MATCH($N716,계정대체기준!$A$20:$A$49,0)),0)))</f>
        <v/>
      </c>
      <c r="AA716" s="94">
        <f>IF($A716="",0,IF(AE716="직접",IF(OR(AF716="유지비",AF716="손해조사비"),$P716,0),$P716*(1-AG716)*IFERROR(INDEX(계정대체기준!$D$20:$D$49,MATCH($N716,계정대체기준!$A$20:$A$49,0)),0)))</f>
        <v/>
      </c>
      <c r="AB716" s="94">
        <f>IF($A716="",0,IF(AE716="직접",IF(AF716="수금비",$P716,0),$P716*(1-AG716)*IFERROR(INDEX(계정대체기준!$E$20:$E$49,MATCH($N716,계정대체기준!$A$20:$A$49,0)),0)))</f>
        <v/>
      </c>
      <c r="AC716" s="9">
        <f>IF(AND($A716&lt;&gt;"",M716=설정!$C$20,Z716&gt;0),Z716+ROW()/1000000000,"")</f>
        <v/>
      </c>
      <c r="AD716" s="94">
        <f>IF($A716="",0,$P716*AG716)</f>
        <v/>
      </c>
      <c r="AE716" s="64">
        <f>IF($A716="","",IFERROR(INDEX(계정매핑!$E$5:$E$504,MATCH($F716&amp;"",계정매핑!$A$5:$A$504,0))&amp;"","공통비"))</f>
        <v/>
      </c>
      <c r="AF716" s="64">
        <f>IF($A716="","",IF(AE716="직접",IFERROR(INDEX(계정매핑!$F$5:$F$504,MATCH($F716&amp;"",계정매핑!$A$5:$A$504,0))&amp;"","비귀속"),""))</f>
        <v/>
      </c>
      <c r="AG716" s="96">
        <f>IF($A716="",0,IF(AND(AE716&lt;&gt;"직접",IFERROR(INDEX(계정매핑!$G$5:$G$504,MATCH($F716&amp;"",계정매핑!$A$5:$A$504,0))&amp;"","")="유지비",COUNTIF(계정대체기준!$A$6:$A$15,$N716)&gt;0),IFERROR(INDEX(계정대체기준!$E$6:$E$15,MATCH(VALUE($A716&amp;""),계정대체기준!$D$6:$D$15,0)),0),0))</f>
        <v/>
      </c>
      <c r="AH716" s="64">
        <f>IF($A716="","",IF(AD716=0,"",IF(OR(COUNTIF(계정대체기준!$A$77:$A$86,$N716)&gt;0,ISNUMBER(MATCH($X716,계정대체기준!$D$77:$D$86,0)),ISNUMBER(MATCH($F716,계정대체기준!$D$77:$D$86,0))),"Y","N")))</f>
        <v/>
      </c>
    </row>
    <row r="717">
      <c r="A717" s="92" t="n">
        <v>2025</v>
      </c>
      <c r="B717" s="92" t="n">
        <v>4</v>
      </c>
      <c r="C717" s="92" t="inlineStr">
        <is>
          <t>5100000713</t>
        </is>
      </c>
      <c r="D717" s="95" t="n">
        <v>45752</v>
      </c>
      <c r="E717" s="92" t="inlineStr">
        <is>
          <t>KR</t>
        </is>
      </c>
      <c r="F717" s="92" t="n">
        <v>62101000</v>
      </c>
      <c r="G717" s="92" t="n">
        <v>1401</v>
      </c>
      <c r="H717" s="93" t="n">
        <v>454000</v>
      </c>
      <c r="I717" s="92" t="inlineStr">
        <is>
          <t>4월 국내출장 - M항공</t>
        </is>
      </c>
      <c r="J717" s="92" t="inlineStr">
        <is>
          <t>V10001</t>
        </is>
      </c>
      <c r="K717" s="92" t="inlineStr">
        <is>
          <t>M항공</t>
        </is>
      </c>
      <c r="M717" s="9">
        <f>IF($A717="","",VALUE($A717&amp;"")*12+VALUE($B717&amp;""))</f>
        <v/>
      </c>
      <c r="N717" s="64">
        <f>IF($A717="","",IFERROR(INDEX(부서매핑!$C$5:$C$504,MATCH($G717&amp;"",부서매핑!$A$5:$A$504,0)),"미매핑"))</f>
        <v/>
      </c>
      <c r="O717" s="9">
        <f>IF($A717="","",N717&amp;"|"&amp;$F717)</f>
        <v/>
      </c>
      <c r="P717" s="94">
        <f>IF($A717="",0,$H717*설정!$C$23)</f>
        <v/>
      </c>
      <c r="Q717" s="64">
        <f>IF($A717="","",IF(O717&lt;&gt;원인분석!$C$9,"",IF(AND(M717&gt;=원인분석!$C$10,M717&lt;=원인분석!$C$11),"당기",IF(AND(M717&gt;=원인분석!$C$12,M717&lt;=원인분석!$C$13),"비교",""))))</f>
        <v/>
      </c>
      <c r="R717" s="9">
        <f>IF(Q717="","",$K717&amp;"")</f>
        <v/>
      </c>
      <c r="S717" s="9">
        <f>IF(Q717="","",IF(MATCH(R717,$R$5:$R$100000,0)=ROW()-4,ROW(),""))</f>
        <v/>
      </c>
      <c r="T717" s="9">
        <f>IF(Q717="당기",ABS(P717)+ROW()/1000000000,"")</f>
        <v/>
      </c>
      <c r="U717" s="9">
        <f>IF(Q717="비교",ABS(P717)+ROW()/1000000000,"")</f>
        <v/>
      </c>
      <c r="V717" s="64">
        <f>IF($A717="","",IF(COUNTIF(변동분석!$E$7:$E$506,O717)&gt;0,"Y","N"))</f>
        <v/>
      </c>
      <c r="W717" s="64">
        <f>IF($A717="","",IFERROR(INDEX(계정매핑!$D$5:$D$504,MATCH($F717&amp;"",계정매핑!$A$5:$A$504,0)),"미매핑"))</f>
        <v/>
      </c>
      <c r="X717" s="9">
        <f>IF($A717="","",$F717&amp;"")</f>
        <v/>
      </c>
      <c r="Y717" s="94">
        <f>IF($A717="",0,IF(AE717="직접",IF(AF717="비귀속",$P717,0),$P717*(1-AG717)*IFERROR(INDEX(계정대체기준!$F$20:$F$49,MATCH($N717,계정대체기준!$A$20:$A$49,0)),1)))</f>
        <v/>
      </c>
      <c r="Z717" s="94">
        <f>IF($A717="",0,IF(AE717="직접",IF(AF717="신계약비",$P717,0),$P717*(1-AG717)*IFERROR(INDEX(계정대체기준!$C$20:$C$49,MATCH($N717,계정대체기준!$A$20:$A$49,0)),0)))</f>
        <v/>
      </c>
      <c r="AA717" s="94">
        <f>IF($A717="",0,IF(AE717="직접",IF(OR(AF717="유지비",AF717="손해조사비"),$P717,0),$P717*(1-AG717)*IFERROR(INDEX(계정대체기준!$D$20:$D$49,MATCH($N717,계정대체기준!$A$20:$A$49,0)),0)))</f>
        <v/>
      </c>
      <c r="AB717" s="94">
        <f>IF($A717="",0,IF(AE717="직접",IF(AF717="수금비",$P717,0),$P717*(1-AG717)*IFERROR(INDEX(계정대체기준!$E$20:$E$49,MATCH($N717,계정대체기준!$A$20:$A$49,0)),0)))</f>
        <v/>
      </c>
      <c r="AC717" s="9">
        <f>IF(AND($A717&lt;&gt;"",M717=설정!$C$20,Z717&gt;0),Z717+ROW()/1000000000,"")</f>
        <v/>
      </c>
      <c r="AD717" s="94">
        <f>IF($A717="",0,$P717*AG717)</f>
        <v/>
      </c>
      <c r="AE717" s="64">
        <f>IF($A717="","",IFERROR(INDEX(계정매핑!$E$5:$E$504,MATCH($F717&amp;"",계정매핑!$A$5:$A$504,0))&amp;"","공통비"))</f>
        <v/>
      </c>
      <c r="AF717" s="64">
        <f>IF($A717="","",IF(AE717="직접",IFERROR(INDEX(계정매핑!$F$5:$F$504,MATCH($F717&amp;"",계정매핑!$A$5:$A$504,0))&amp;"","비귀속"),""))</f>
        <v/>
      </c>
      <c r="AG717" s="96">
        <f>IF($A717="",0,IF(AND(AE717&lt;&gt;"직접",IFERROR(INDEX(계정매핑!$G$5:$G$504,MATCH($F717&amp;"",계정매핑!$A$5:$A$504,0))&amp;"","")="유지비",COUNTIF(계정대체기준!$A$6:$A$15,$N717)&gt;0),IFERROR(INDEX(계정대체기준!$E$6:$E$15,MATCH(VALUE($A717&amp;""),계정대체기준!$D$6:$D$15,0)),0),0))</f>
        <v/>
      </c>
      <c r="AH717" s="64">
        <f>IF($A717="","",IF(AD717=0,"",IF(OR(COUNTIF(계정대체기준!$A$77:$A$86,$N717)&gt;0,ISNUMBER(MATCH($X717,계정대체기준!$D$77:$D$86,0)),ISNUMBER(MATCH($F717,계정대체기준!$D$77:$D$86,0))),"Y","N")))</f>
        <v/>
      </c>
    </row>
    <row r="718">
      <c r="A718" s="92" t="n">
        <v>2025</v>
      </c>
      <c r="B718" s="92" t="n">
        <v>4</v>
      </c>
      <c r="C718" s="92" t="inlineStr">
        <is>
          <t>5100000714</t>
        </is>
      </c>
      <c r="D718" s="95" t="n">
        <v>45752</v>
      </c>
      <c r="E718" s="92" t="inlineStr">
        <is>
          <t>KR</t>
        </is>
      </c>
      <c r="F718" s="92" t="n">
        <v>62101000</v>
      </c>
      <c r="G718" s="92" t="n">
        <v>1701</v>
      </c>
      <c r="H718" s="93" t="n">
        <v>336000</v>
      </c>
      <c r="I718" s="92" t="inlineStr">
        <is>
          <t>4월 국내출장 - M항공</t>
        </is>
      </c>
      <c r="J718" s="92" t="inlineStr">
        <is>
          <t>V10001</t>
        </is>
      </c>
      <c r="K718" s="92" t="inlineStr">
        <is>
          <t>M항공</t>
        </is>
      </c>
      <c r="M718" s="9">
        <f>IF($A718="","",VALUE($A718&amp;"")*12+VALUE($B718&amp;""))</f>
        <v/>
      </c>
      <c r="N718" s="64">
        <f>IF($A718="","",IFERROR(INDEX(부서매핑!$C$5:$C$504,MATCH($G718&amp;"",부서매핑!$A$5:$A$504,0)),"미매핑"))</f>
        <v/>
      </c>
      <c r="O718" s="9">
        <f>IF($A718="","",N718&amp;"|"&amp;$F718)</f>
        <v/>
      </c>
      <c r="P718" s="94">
        <f>IF($A718="",0,$H718*설정!$C$23)</f>
        <v/>
      </c>
      <c r="Q718" s="64">
        <f>IF($A718="","",IF(O718&lt;&gt;원인분석!$C$9,"",IF(AND(M718&gt;=원인분석!$C$10,M718&lt;=원인분석!$C$11),"당기",IF(AND(M718&gt;=원인분석!$C$12,M718&lt;=원인분석!$C$13),"비교",""))))</f>
        <v/>
      </c>
      <c r="R718" s="9">
        <f>IF(Q718="","",$K718&amp;"")</f>
        <v/>
      </c>
      <c r="S718" s="9">
        <f>IF(Q718="","",IF(MATCH(R718,$R$5:$R$100000,0)=ROW()-4,ROW(),""))</f>
        <v/>
      </c>
      <c r="T718" s="9">
        <f>IF(Q718="당기",ABS(P718)+ROW()/1000000000,"")</f>
        <v/>
      </c>
      <c r="U718" s="9">
        <f>IF(Q718="비교",ABS(P718)+ROW()/1000000000,"")</f>
        <v/>
      </c>
      <c r="V718" s="64">
        <f>IF($A718="","",IF(COUNTIF(변동분석!$E$7:$E$506,O718)&gt;0,"Y","N"))</f>
        <v/>
      </c>
      <c r="W718" s="64">
        <f>IF($A718="","",IFERROR(INDEX(계정매핑!$D$5:$D$504,MATCH($F718&amp;"",계정매핑!$A$5:$A$504,0)),"미매핑"))</f>
        <v/>
      </c>
      <c r="X718" s="9">
        <f>IF($A718="","",$F718&amp;"")</f>
        <v/>
      </c>
      <c r="Y718" s="94">
        <f>IF($A718="",0,IF(AE718="직접",IF(AF718="비귀속",$P718,0),$P718*(1-AG718)*IFERROR(INDEX(계정대체기준!$F$20:$F$49,MATCH($N718,계정대체기준!$A$20:$A$49,0)),1)))</f>
        <v/>
      </c>
      <c r="Z718" s="94">
        <f>IF($A718="",0,IF(AE718="직접",IF(AF718="신계약비",$P718,0),$P718*(1-AG718)*IFERROR(INDEX(계정대체기준!$C$20:$C$49,MATCH($N718,계정대체기준!$A$20:$A$49,0)),0)))</f>
        <v/>
      </c>
      <c r="AA718" s="94">
        <f>IF($A718="",0,IF(AE718="직접",IF(OR(AF718="유지비",AF718="손해조사비"),$P718,0),$P718*(1-AG718)*IFERROR(INDEX(계정대체기준!$D$20:$D$49,MATCH($N718,계정대체기준!$A$20:$A$49,0)),0)))</f>
        <v/>
      </c>
      <c r="AB718" s="94">
        <f>IF($A718="",0,IF(AE718="직접",IF(AF718="수금비",$P718,0),$P718*(1-AG718)*IFERROR(INDEX(계정대체기준!$E$20:$E$49,MATCH($N718,계정대체기준!$A$20:$A$49,0)),0)))</f>
        <v/>
      </c>
      <c r="AC718" s="9">
        <f>IF(AND($A718&lt;&gt;"",M718=설정!$C$20,Z718&gt;0),Z718+ROW()/1000000000,"")</f>
        <v/>
      </c>
      <c r="AD718" s="94">
        <f>IF($A718="",0,$P718*AG718)</f>
        <v/>
      </c>
      <c r="AE718" s="64">
        <f>IF($A718="","",IFERROR(INDEX(계정매핑!$E$5:$E$504,MATCH($F718&amp;"",계정매핑!$A$5:$A$504,0))&amp;"","공통비"))</f>
        <v/>
      </c>
      <c r="AF718" s="64">
        <f>IF($A718="","",IF(AE718="직접",IFERROR(INDEX(계정매핑!$F$5:$F$504,MATCH($F718&amp;"",계정매핑!$A$5:$A$504,0))&amp;"","비귀속"),""))</f>
        <v/>
      </c>
      <c r="AG718" s="96">
        <f>IF($A718="",0,IF(AND(AE718&lt;&gt;"직접",IFERROR(INDEX(계정매핑!$G$5:$G$504,MATCH($F718&amp;"",계정매핑!$A$5:$A$504,0))&amp;"","")="유지비",COUNTIF(계정대체기준!$A$6:$A$15,$N718)&gt;0),IFERROR(INDEX(계정대체기준!$E$6:$E$15,MATCH(VALUE($A718&amp;""),계정대체기준!$D$6:$D$15,0)),0),0))</f>
        <v/>
      </c>
      <c r="AH718" s="64">
        <f>IF($A718="","",IF(AD718=0,"",IF(OR(COUNTIF(계정대체기준!$A$77:$A$86,$N718)&gt;0,ISNUMBER(MATCH($X718,계정대체기준!$D$77:$D$86,0)),ISNUMBER(MATCH($F718,계정대체기준!$D$77:$D$86,0))),"Y","N")))</f>
        <v/>
      </c>
    </row>
    <row r="719">
      <c r="A719" s="92" t="n">
        <v>2025</v>
      </c>
      <c r="B719" s="92" t="n">
        <v>4</v>
      </c>
      <c r="C719" s="92" t="inlineStr">
        <is>
          <t>5100000715</t>
        </is>
      </c>
      <c r="D719" s="95" t="n">
        <v>45752</v>
      </c>
      <c r="E719" s="92" t="inlineStr">
        <is>
          <t>KR</t>
        </is>
      </c>
      <c r="F719" s="92" t="n">
        <v>62201000</v>
      </c>
      <c r="G719" s="92" t="n">
        <v>1101</v>
      </c>
      <c r="H719" s="93" t="n">
        <v>228000</v>
      </c>
      <c r="I719" s="92" t="inlineStr">
        <is>
          <t>4월 통신요금 - P통신</t>
        </is>
      </c>
      <c r="J719" s="92" t="inlineStr">
        <is>
          <t>V10014</t>
        </is>
      </c>
      <c r="K719" s="92" t="inlineStr">
        <is>
          <t>P통신</t>
        </is>
      </c>
      <c r="M719" s="9">
        <f>IF($A719="","",VALUE($A719&amp;"")*12+VALUE($B719&amp;""))</f>
        <v/>
      </c>
      <c r="N719" s="64">
        <f>IF($A719="","",IFERROR(INDEX(부서매핑!$C$5:$C$504,MATCH($G719&amp;"",부서매핑!$A$5:$A$504,0)),"미매핑"))</f>
        <v/>
      </c>
      <c r="O719" s="9">
        <f>IF($A719="","",N719&amp;"|"&amp;$F719)</f>
        <v/>
      </c>
      <c r="P719" s="94">
        <f>IF($A719="",0,$H719*설정!$C$23)</f>
        <v/>
      </c>
      <c r="Q719" s="64">
        <f>IF($A719="","",IF(O719&lt;&gt;원인분석!$C$9,"",IF(AND(M719&gt;=원인분석!$C$10,M719&lt;=원인분석!$C$11),"당기",IF(AND(M719&gt;=원인분석!$C$12,M719&lt;=원인분석!$C$13),"비교",""))))</f>
        <v/>
      </c>
      <c r="R719" s="9">
        <f>IF(Q719="","",$K719&amp;"")</f>
        <v/>
      </c>
      <c r="S719" s="9">
        <f>IF(Q719="","",IF(MATCH(R719,$R$5:$R$100000,0)=ROW()-4,ROW(),""))</f>
        <v/>
      </c>
      <c r="T719" s="9">
        <f>IF(Q719="당기",ABS(P719)+ROW()/1000000000,"")</f>
        <v/>
      </c>
      <c r="U719" s="9">
        <f>IF(Q719="비교",ABS(P719)+ROW()/1000000000,"")</f>
        <v/>
      </c>
      <c r="V719" s="64">
        <f>IF($A719="","",IF(COUNTIF(변동분석!$E$7:$E$506,O719)&gt;0,"Y","N"))</f>
        <v/>
      </c>
      <c r="W719" s="64">
        <f>IF($A719="","",IFERROR(INDEX(계정매핑!$D$5:$D$504,MATCH($F719&amp;"",계정매핑!$A$5:$A$504,0)),"미매핑"))</f>
        <v/>
      </c>
      <c r="X719" s="9">
        <f>IF($A719="","",$F719&amp;"")</f>
        <v/>
      </c>
      <c r="Y719" s="94">
        <f>IF($A719="",0,IF(AE719="직접",IF(AF719="비귀속",$P719,0),$P719*(1-AG719)*IFERROR(INDEX(계정대체기준!$F$20:$F$49,MATCH($N719,계정대체기준!$A$20:$A$49,0)),1)))</f>
        <v/>
      </c>
      <c r="Z719" s="94">
        <f>IF($A719="",0,IF(AE719="직접",IF(AF719="신계약비",$P719,0),$P719*(1-AG719)*IFERROR(INDEX(계정대체기준!$C$20:$C$49,MATCH($N719,계정대체기준!$A$20:$A$49,0)),0)))</f>
        <v/>
      </c>
      <c r="AA719" s="94">
        <f>IF($A719="",0,IF(AE719="직접",IF(OR(AF719="유지비",AF719="손해조사비"),$P719,0),$P719*(1-AG719)*IFERROR(INDEX(계정대체기준!$D$20:$D$49,MATCH($N719,계정대체기준!$A$20:$A$49,0)),0)))</f>
        <v/>
      </c>
      <c r="AB719" s="94">
        <f>IF($A719="",0,IF(AE719="직접",IF(AF719="수금비",$P719,0),$P719*(1-AG719)*IFERROR(INDEX(계정대체기준!$E$20:$E$49,MATCH($N719,계정대체기준!$A$20:$A$49,0)),0)))</f>
        <v/>
      </c>
      <c r="AC719" s="9">
        <f>IF(AND($A719&lt;&gt;"",M719=설정!$C$20,Z719&gt;0),Z719+ROW()/1000000000,"")</f>
        <v/>
      </c>
      <c r="AD719" s="94">
        <f>IF($A719="",0,$P719*AG719)</f>
        <v/>
      </c>
      <c r="AE719" s="64">
        <f>IF($A719="","",IFERROR(INDEX(계정매핑!$E$5:$E$504,MATCH($F719&amp;"",계정매핑!$A$5:$A$504,0))&amp;"","공통비"))</f>
        <v/>
      </c>
      <c r="AF719" s="64">
        <f>IF($A719="","",IF(AE719="직접",IFERROR(INDEX(계정매핑!$F$5:$F$504,MATCH($F719&amp;"",계정매핑!$A$5:$A$504,0))&amp;"","비귀속"),""))</f>
        <v/>
      </c>
      <c r="AG719" s="96">
        <f>IF($A719="",0,IF(AND(AE719&lt;&gt;"직접",IFERROR(INDEX(계정매핑!$G$5:$G$504,MATCH($F719&amp;"",계정매핑!$A$5:$A$504,0))&amp;"","")="유지비",COUNTIF(계정대체기준!$A$6:$A$15,$N719)&gt;0),IFERROR(INDEX(계정대체기준!$E$6:$E$15,MATCH(VALUE($A719&amp;""),계정대체기준!$D$6:$D$15,0)),0),0))</f>
        <v/>
      </c>
      <c r="AH719" s="64">
        <f>IF($A719="","",IF(AD719=0,"",IF(OR(COUNTIF(계정대체기준!$A$77:$A$86,$N719)&gt;0,ISNUMBER(MATCH($X719,계정대체기준!$D$77:$D$86,0)),ISNUMBER(MATCH($F719,계정대체기준!$D$77:$D$86,0))),"Y","N")))</f>
        <v/>
      </c>
    </row>
    <row r="720">
      <c r="A720" s="92" t="n">
        <v>2025</v>
      </c>
      <c r="B720" s="92" t="n">
        <v>4</v>
      </c>
      <c r="C720" s="92" t="inlineStr">
        <is>
          <t>5100000716</t>
        </is>
      </c>
      <c r="D720" s="95" t="n">
        <v>45752</v>
      </c>
      <c r="E720" s="92" t="inlineStr">
        <is>
          <t>KR</t>
        </is>
      </c>
      <c r="F720" s="92" t="n">
        <v>62201000</v>
      </c>
      <c r="G720" s="92" t="n">
        <v>1502</v>
      </c>
      <c r="H720" s="93" t="n">
        <v>390000</v>
      </c>
      <c r="I720" s="92" t="inlineStr">
        <is>
          <t>4월 통신요금 - O텔레콤</t>
        </is>
      </c>
      <c r="J720" s="92" t="inlineStr">
        <is>
          <t>V10002</t>
        </is>
      </c>
      <c r="K720" s="92" t="inlineStr">
        <is>
          <t>O텔레콤</t>
        </is>
      </c>
      <c r="M720" s="9">
        <f>IF($A720="","",VALUE($A720&amp;"")*12+VALUE($B720&amp;""))</f>
        <v/>
      </c>
      <c r="N720" s="64">
        <f>IF($A720="","",IFERROR(INDEX(부서매핑!$C$5:$C$504,MATCH($G720&amp;"",부서매핑!$A$5:$A$504,0)),"미매핑"))</f>
        <v/>
      </c>
      <c r="O720" s="9">
        <f>IF($A720="","",N720&amp;"|"&amp;$F720)</f>
        <v/>
      </c>
      <c r="P720" s="94">
        <f>IF($A720="",0,$H720*설정!$C$23)</f>
        <v/>
      </c>
      <c r="Q720" s="64">
        <f>IF($A720="","",IF(O720&lt;&gt;원인분석!$C$9,"",IF(AND(M720&gt;=원인분석!$C$10,M720&lt;=원인분석!$C$11),"당기",IF(AND(M720&gt;=원인분석!$C$12,M720&lt;=원인분석!$C$13),"비교",""))))</f>
        <v/>
      </c>
      <c r="R720" s="9">
        <f>IF(Q720="","",$K720&amp;"")</f>
        <v/>
      </c>
      <c r="S720" s="9">
        <f>IF(Q720="","",IF(MATCH(R720,$R$5:$R$100000,0)=ROW()-4,ROW(),""))</f>
        <v/>
      </c>
      <c r="T720" s="9">
        <f>IF(Q720="당기",ABS(P720)+ROW()/1000000000,"")</f>
        <v/>
      </c>
      <c r="U720" s="9">
        <f>IF(Q720="비교",ABS(P720)+ROW()/1000000000,"")</f>
        <v/>
      </c>
      <c r="V720" s="64">
        <f>IF($A720="","",IF(COUNTIF(변동분석!$E$7:$E$506,O720)&gt;0,"Y","N"))</f>
        <v/>
      </c>
      <c r="W720" s="64">
        <f>IF($A720="","",IFERROR(INDEX(계정매핑!$D$5:$D$504,MATCH($F720&amp;"",계정매핑!$A$5:$A$504,0)),"미매핑"))</f>
        <v/>
      </c>
      <c r="X720" s="9">
        <f>IF($A720="","",$F720&amp;"")</f>
        <v/>
      </c>
      <c r="Y720" s="94">
        <f>IF($A720="",0,IF(AE720="직접",IF(AF720="비귀속",$P720,0),$P720*(1-AG720)*IFERROR(INDEX(계정대체기준!$F$20:$F$49,MATCH($N720,계정대체기준!$A$20:$A$49,0)),1)))</f>
        <v/>
      </c>
      <c r="Z720" s="94">
        <f>IF($A720="",0,IF(AE720="직접",IF(AF720="신계약비",$P720,0),$P720*(1-AG720)*IFERROR(INDEX(계정대체기준!$C$20:$C$49,MATCH($N720,계정대체기준!$A$20:$A$49,0)),0)))</f>
        <v/>
      </c>
      <c r="AA720" s="94">
        <f>IF($A720="",0,IF(AE720="직접",IF(OR(AF720="유지비",AF720="손해조사비"),$P720,0),$P720*(1-AG720)*IFERROR(INDEX(계정대체기준!$D$20:$D$49,MATCH($N720,계정대체기준!$A$20:$A$49,0)),0)))</f>
        <v/>
      </c>
      <c r="AB720" s="94">
        <f>IF($A720="",0,IF(AE720="직접",IF(AF720="수금비",$P720,0),$P720*(1-AG720)*IFERROR(INDEX(계정대체기준!$E$20:$E$49,MATCH($N720,계정대체기준!$A$20:$A$49,0)),0)))</f>
        <v/>
      </c>
      <c r="AC720" s="9">
        <f>IF(AND($A720&lt;&gt;"",M720=설정!$C$20,Z720&gt;0),Z720+ROW()/1000000000,"")</f>
        <v/>
      </c>
      <c r="AD720" s="94">
        <f>IF($A720="",0,$P720*AG720)</f>
        <v/>
      </c>
      <c r="AE720" s="64">
        <f>IF($A720="","",IFERROR(INDEX(계정매핑!$E$5:$E$504,MATCH($F720&amp;"",계정매핑!$A$5:$A$504,0))&amp;"","공통비"))</f>
        <v/>
      </c>
      <c r="AF720" s="64">
        <f>IF($A720="","",IF(AE720="직접",IFERROR(INDEX(계정매핑!$F$5:$F$504,MATCH($F720&amp;"",계정매핑!$A$5:$A$504,0))&amp;"","비귀속"),""))</f>
        <v/>
      </c>
      <c r="AG720" s="96">
        <f>IF($A720="",0,IF(AND(AE720&lt;&gt;"직접",IFERROR(INDEX(계정매핑!$G$5:$G$504,MATCH($F720&amp;"",계정매핑!$A$5:$A$504,0))&amp;"","")="유지비",COUNTIF(계정대체기준!$A$6:$A$15,$N720)&gt;0),IFERROR(INDEX(계정대체기준!$E$6:$E$15,MATCH(VALUE($A720&amp;""),계정대체기준!$D$6:$D$15,0)),0),0))</f>
        <v/>
      </c>
      <c r="AH720" s="64">
        <f>IF($A720="","",IF(AD720=0,"",IF(OR(COUNTIF(계정대체기준!$A$77:$A$86,$N720)&gt;0,ISNUMBER(MATCH($X720,계정대체기준!$D$77:$D$86,0)),ISNUMBER(MATCH($F720,계정대체기준!$D$77:$D$86,0))),"Y","N")))</f>
        <v/>
      </c>
    </row>
    <row r="721">
      <c r="A721" s="92" t="n">
        <v>2025</v>
      </c>
      <c r="B721" s="92" t="n">
        <v>4</v>
      </c>
      <c r="C721" s="92" t="inlineStr">
        <is>
          <t>5100000717</t>
        </is>
      </c>
      <c r="D721" s="95" t="n">
        <v>45752</v>
      </c>
      <c r="E721" s="92" t="inlineStr">
        <is>
          <t>KR</t>
        </is>
      </c>
      <c r="F721" s="92" t="n">
        <v>62901000</v>
      </c>
      <c r="G721" s="92" t="n">
        <v>1201</v>
      </c>
      <c r="H721" s="93" t="n">
        <v>6014000</v>
      </c>
      <c r="I721" s="92" t="inlineStr">
        <is>
          <t>4월 자문 수수료 - W컨설팅</t>
        </is>
      </c>
      <c r="J721" s="92" t="inlineStr">
        <is>
          <t>V10006</t>
        </is>
      </c>
      <c r="K721" s="92" t="inlineStr">
        <is>
          <t>W컨설팅</t>
        </is>
      </c>
      <c r="M721" s="9">
        <f>IF($A721="","",VALUE($A721&amp;"")*12+VALUE($B721&amp;""))</f>
        <v/>
      </c>
      <c r="N721" s="64">
        <f>IF($A721="","",IFERROR(INDEX(부서매핑!$C$5:$C$504,MATCH($G721&amp;"",부서매핑!$A$5:$A$504,0)),"미매핑"))</f>
        <v/>
      </c>
      <c r="O721" s="9">
        <f>IF($A721="","",N721&amp;"|"&amp;$F721)</f>
        <v/>
      </c>
      <c r="P721" s="94">
        <f>IF($A721="",0,$H721*설정!$C$23)</f>
        <v/>
      </c>
      <c r="Q721" s="64">
        <f>IF($A721="","",IF(O721&lt;&gt;원인분석!$C$9,"",IF(AND(M721&gt;=원인분석!$C$10,M721&lt;=원인분석!$C$11),"당기",IF(AND(M721&gt;=원인분석!$C$12,M721&lt;=원인분석!$C$13),"비교",""))))</f>
        <v/>
      </c>
      <c r="R721" s="9">
        <f>IF(Q721="","",$K721&amp;"")</f>
        <v/>
      </c>
      <c r="S721" s="9">
        <f>IF(Q721="","",IF(MATCH(R721,$R$5:$R$100000,0)=ROW()-4,ROW(),""))</f>
        <v/>
      </c>
      <c r="T721" s="9">
        <f>IF(Q721="당기",ABS(P721)+ROW()/1000000000,"")</f>
        <v/>
      </c>
      <c r="U721" s="9">
        <f>IF(Q721="비교",ABS(P721)+ROW()/1000000000,"")</f>
        <v/>
      </c>
      <c r="V721" s="64">
        <f>IF($A721="","",IF(COUNTIF(변동분석!$E$7:$E$506,O721)&gt;0,"Y","N"))</f>
        <v/>
      </c>
      <c r="W721" s="64">
        <f>IF($A721="","",IFERROR(INDEX(계정매핑!$D$5:$D$504,MATCH($F721&amp;"",계정매핑!$A$5:$A$504,0)),"미매핑"))</f>
        <v/>
      </c>
      <c r="X721" s="9">
        <f>IF($A721="","",$F721&amp;"")</f>
        <v/>
      </c>
      <c r="Y721" s="94">
        <f>IF($A721="",0,IF(AE721="직접",IF(AF721="비귀속",$P721,0),$P721*(1-AG721)*IFERROR(INDEX(계정대체기준!$F$20:$F$49,MATCH($N721,계정대체기준!$A$20:$A$49,0)),1)))</f>
        <v/>
      </c>
      <c r="Z721" s="94">
        <f>IF($A721="",0,IF(AE721="직접",IF(AF721="신계약비",$P721,0),$P721*(1-AG721)*IFERROR(INDEX(계정대체기준!$C$20:$C$49,MATCH($N721,계정대체기준!$A$20:$A$49,0)),0)))</f>
        <v/>
      </c>
      <c r="AA721" s="94">
        <f>IF($A721="",0,IF(AE721="직접",IF(OR(AF721="유지비",AF721="손해조사비"),$P721,0),$P721*(1-AG721)*IFERROR(INDEX(계정대체기준!$D$20:$D$49,MATCH($N721,계정대체기준!$A$20:$A$49,0)),0)))</f>
        <v/>
      </c>
      <c r="AB721" s="94">
        <f>IF($A721="",0,IF(AE721="직접",IF(AF721="수금비",$P721,0),$P721*(1-AG721)*IFERROR(INDEX(계정대체기준!$E$20:$E$49,MATCH($N721,계정대체기준!$A$20:$A$49,0)),0)))</f>
        <v/>
      </c>
      <c r="AC721" s="9">
        <f>IF(AND($A721&lt;&gt;"",M721=설정!$C$20,Z721&gt;0),Z721+ROW()/1000000000,"")</f>
        <v/>
      </c>
      <c r="AD721" s="94">
        <f>IF($A721="",0,$P721*AG721)</f>
        <v/>
      </c>
      <c r="AE721" s="64">
        <f>IF($A721="","",IFERROR(INDEX(계정매핑!$E$5:$E$504,MATCH($F721&amp;"",계정매핑!$A$5:$A$504,0))&amp;"","공통비"))</f>
        <v/>
      </c>
      <c r="AF721" s="64">
        <f>IF($A721="","",IF(AE721="직접",IFERROR(INDEX(계정매핑!$F$5:$F$504,MATCH($F721&amp;"",계정매핑!$A$5:$A$504,0))&amp;"","비귀속"),""))</f>
        <v/>
      </c>
      <c r="AG721" s="96">
        <f>IF($A721="",0,IF(AND(AE721&lt;&gt;"직접",IFERROR(INDEX(계정매핑!$G$5:$G$504,MATCH($F721&amp;"",계정매핑!$A$5:$A$504,0))&amp;"","")="유지비",COUNTIF(계정대체기준!$A$6:$A$15,$N721)&gt;0),IFERROR(INDEX(계정대체기준!$E$6:$E$15,MATCH(VALUE($A721&amp;""),계정대체기준!$D$6:$D$15,0)),0),0))</f>
        <v/>
      </c>
      <c r="AH721" s="64">
        <f>IF($A721="","",IF(AD721=0,"",IF(OR(COUNTIF(계정대체기준!$A$77:$A$86,$N721)&gt;0,ISNUMBER(MATCH($X721,계정대체기준!$D$77:$D$86,0)),ISNUMBER(MATCH($F721,계정대체기준!$D$77:$D$86,0))),"Y","N")))</f>
        <v/>
      </c>
    </row>
    <row r="722">
      <c r="A722" s="92" t="n">
        <v>2025</v>
      </c>
      <c r="B722" s="92" t="n">
        <v>4</v>
      </c>
      <c r="C722" s="92" t="inlineStr">
        <is>
          <t>5100000718</t>
        </is>
      </c>
      <c r="D722" s="95" t="n">
        <v>45753</v>
      </c>
      <c r="E722" s="92" t="inlineStr">
        <is>
          <t>KR</t>
        </is>
      </c>
      <c r="F722" s="92" t="n">
        <v>62101000</v>
      </c>
      <c r="G722" s="92" t="n">
        <v>1951</v>
      </c>
      <c r="H722" s="93" t="n">
        <v>380000</v>
      </c>
      <c r="I722" s="92" t="inlineStr">
        <is>
          <t>4월 국내출장 - (법인카드)</t>
        </is>
      </c>
      <c r="J722" s="92" t="inlineStr">
        <is>
          <t>V10010</t>
        </is>
      </c>
      <c r="K722" s="92" t="inlineStr">
        <is>
          <t>(법인카드)</t>
        </is>
      </c>
      <c r="M722" s="9">
        <f>IF($A722="","",VALUE($A722&amp;"")*12+VALUE($B722&amp;""))</f>
        <v/>
      </c>
      <c r="N722" s="64">
        <f>IF($A722="","",IFERROR(INDEX(부서매핑!$C$5:$C$504,MATCH($G722&amp;"",부서매핑!$A$5:$A$504,0)),"미매핑"))</f>
        <v/>
      </c>
      <c r="O722" s="9">
        <f>IF($A722="","",N722&amp;"|"&amp;$F722)</f>
        <v/>
      </c>
      <c r="P722" s="94">
        <f>IF($A722="",0,$H722*설정!$C$23)</f>
        <v/>
      </c>
      <c r="Q722" s="64">
        <f>IF($A722="","",IF(O722&lt;&gt;원인분석!$C$9,"",IF(AND(M722&gt;=원인분석!$C$10,M722&lt;=원인분석!$C$11),"당기",IF(AND(M722&gt;=원인분석!$C$12,M722&lt;=원인분석!$C$13),"비교",""))))</f>
        <v/>
      </c>
      <c r="R722" s="9">
        <f>IF(Q722="","",$K722&amp;"")</f>
        <v/>
      </c>
      <c r="S722" s="9">
        <f>IF(Q722="","",IF(MATCH(R722,$R$5:$R$100000,0)=ROW()-4,ROW(),""))</f>
        <v/>
      </c>
      <c r="T722" s="9">
        <f>IF(Q722="당기",ABS(P722)+ROW()/1000000000,"")</f>
        <v/>
      </c>
      <c r="U722" s="9">
        <f>IF(Q722="비교",ABS(P722)+ROW()/1000000000,"")</f>
        <v/>
      </c>
      <c r="V722" s="64">
        <f>IF($A722="","",IF(COUNTIF(변동분석!$E$7:$E$506,O722)&gt;0,"Y","N"))</f>
        <v/>
      </c>
      <c r="W722" s="64">
        <f>IF($A722="","",IFERROR(INDEX(계정매핑!$D$5:$D$504,MATCH($F722&amp;"",계정매핑!$A$5:$A$504,0)),"미매핑"))</f>
        <v/>
      </c>
      <c r="X722" s="9">
        <f>IF($A722="","",$F722&amp;"")</f>
        <v/>
      </c>
      <c r="Y722" s="94">
        <f>IF($A722="",0,IF(AE722="직접",IF(AF722="비귀속",$P722,0),$P722*(1-AG722)*IFERROR(INDEX(계정대체기준!$F$20:$F$49,MATCH($N722,계정대체기준!$A$20:$A$49,0)),1)))</f>
        <v/>
      </c>
      <c r="Z722" s="94">
        <f>IF($A722="",0,IF(AE722="직접",IF(AF722="신계약비",$P722,0),$P722*(1-AG722)*IFERROR(INDEX(계정대체기준!$C$20:$C$49,MATCH($N722,계정대체기준!$A$20:$A$49,0)),0)))</f>
        <v/>
      </c>
      <c r="AA722" s="94">
        <f>IF($A722="",0,IF(AE722="직접",IF(OR(AF722="유지비",AF722="손해조사비"),$P722,0),$P722*(1-AG722)*IFERROR(INDEX(계정대체기준!$D$20:$D$49,MATCH($N722,계정대체기준!$A$20:$A$49,0)),0)))</f>
        <v/>
      </c>
      <c r="AB722" s="94">
        <f>IF($A722="",0,IF(AE722="직접",IF(AF722="수금비",$P722,0),$P722*(1-AG722)*IFERROR(INDEX(계정대체기준!$E$20:$E$49,MATCH($N722,계정대체기준!$A$20:$A$49,0)),0)))</f>
        <v/>
      </c>
      <c r="AC722" s="9">
        <f>IF(AND($A722&lt;&gt;"",M722=설정!$C$20,Z722&gt;0),Z722+ROW()/1000000000,"")</f>
        <v/>
      </c>
      <c r="AD722" s="94">
        <f>IF($A722="",0,$P722*AG722)</f>
        <v/>
      </c>
      <c r="AE722" s="64">
        <f>IF($A722="","",IFERROR(INDEX(계정매핑!$E$5:$E$504,MATCH($F722&amp;"",계정매핑!$A$5:$A$504,0))&amp;"","공통비"))</f>
        <v/>
      </c>
      <c r="AF722" s="64">
        <f>IF($A722="","",IF(AE722="직접",IFERROR(INDEX(계정매핑!$F$5:$F$504,MATCH($F722&amp;"",계정매핑!$A$5:$A$504,0))&amp;"","비귀속"),""))</f>
        <v/>
      </c>
      <c r="AG722" s="96">
        <f>IF($A722="",0,IF(AND(AE722&lt;&gt;"직접",IFERROR(INDEX(계정매핑!$G$5:$G$504,MATCH($F722&amp;"",계정매핑!$A$5:$A$504,0))&amp;"","")="유지비",COUNTIF(계정대체기준!$A$6:$A$15,$N722)&gt;0),IFERROR(INDEX(계정대체기준!$E$6:$E$15,MATCH(VALUE($A722&amp;""),계정대체기준!$D$6:$D$15,0)),0),0))</f>
        <v/>
      </c>
      <c r="AH722" s="64">
        <f>IF($A722="","",IF(AD722=0,"",IF(OR(COUNTIF(계정대체기준!$A$77:$A$86,$N722)&gt;0,ISNUMBER(MATCH($X722,계정대체기준!$D$77:$D$86,0)),ISNUMBER(MATCH($F722,계정대체기준!$D$77:$D$86,0))),"Y","N")))</f>
        <v/>
      </c>
    </row>
    <row r="723">
      <c r="A723" s="92" t="n">
        <v>2025</v>
      </c>
      <c r="B723" s="92" t="n">
        <v>4</v>
      </c>
      <c r="C723" s="92" t="inlineStr">
        <is>
          <t>5100000719</t>
        </is>
      </c>
      <c r="D723" s="95" t="n">
        <v>45753</v>
      </c>
      <c r="E723" s="92" t="inlineStr">
        <is>
          <t>KR</t>
        </is>
      </c>
      <c r="F723" s="92" t="n">
        <v>62201000</v>
      </c>
      <c r="G723" s="92" t="n">
        <v>1401</v>
      </c>
      <c r="H723" s="93" t="n">
        <v>140000</v>
      </c>
      <c r="I723" s="92" t="inlineStr">
        <is>
          <t>4월 통신요금 - P통신</t>
        </is>
      </c>
      <c r="J723" s="92" t="inlineStr">
        <is>
          <t>V10014</t>
        </is>
      </c>
      <c r="K723" s="92" t="inlineStr">
        <is>
          <t>P통신</t>
        </is>
      </c>
      <c r="M723" s="9">
        <f>IF($A723="","",VALUE($A723&amp;"")*12+VALUE($B723&amp;""))</f>
        <v/>
      </c>
      <c r="N723" s="64">
        <f>IF($A723="","",IFERROR(INDEX(부서매핑!$C$5:$C$504,MATCH($G723&amp;"",부서매핑!$A$5:$A$504,0)),"미매핑"))</f>
        <v/>
      </c>
      <c r="O723" s="9">
        <f>IF($A723="","",N723&amp;"|"&amp;$F723)</f>
        <v/>
      </c>
      <c r="P723" s="94">
        <f>IF($A723="",0,$H723*설정!$C$23)</f>
        <v/>
      </c>
      <c r="Q723" s="64">
        <f>IF($A723="","",IF(O723&lt;&gt;원인분석!$C$9,"",IF(AND(M723&gt;=원인분석!$C$10,M723&lt;=원인분석!$C$11),"당기",IF(AND(M723&gt;=원인분석!$C$12,M723&lt;=원인분석!$C$13),"비교",""))))</f>
        <v/>
      </c>
      <c r="R723" s="9">
        <f>IF(Q723="","",$K723&amp;"")</f>
        <v/>
      </c>
      <c r="S723" s="9">
        <f>IF(Q723="","",IF(MATCH(R723,$R$5:$R$100000,0)=ROW()-4,ROW(),""))</f>
        <v/>
      </c>
      <c r="T723" s="9">
        <f>IF(Q723="당기",ABS(P723)+ROW()/1000000000,"")</f>
        <v/>
      </c>
      <c r="U723" s="9">
        <f>IF(Q723="비교",ABS(P723)+ROW()/1000000000,"")</f>
        <v/>
      </c>
      <c r="V723" s="64">
        <f>IF($A723="","",IF(COUNTIF(변동분석!$E$7:$E$506,O723)&gt;0,"Y","N"))</f>
        <v/>
      </c>
      <c r="W723" s="64">
        <f>IF($A723="","",IFERROR(INDEX(계정매핑!$D$5:$D$504,MATCH($F723&amp;"",계정매핑!$A$5:$A$504,0)),"미매핑"))</f>
        <v/>
      </c>
      <c r="X723" s="9">
        <f>IF($A723="","",$F723&amp;"")</f>
        <v/>
      </c>
      <c r="Y723" s="94">
        <f>IF($A723="",0,IF(AE723="직접",IF(AF723="비귀속",$P723,0),$P723*(1-AG723)*IFERROR(INDEX(계정대체기준!$F$20:$F$49,MATCH($N723,계정대체기준!$A$20:$A$49,0)),1)))</f>
        <v/>
      </c>
      <c r="Z723" s="94">
        <f>IF($A723="",0,IF(AE723="직접",IF(AF723="신계약비",$P723,0),$P723*(1-AG723)*IFERROR(INDEX(계정대체기준!$C$20:$C$49,MATCH($N723,계정대체기준!$A$20:$A$49,0)),0)))</f>
        <v/>
      </c>
      <c r="AA723" s="94">
        <f>IF($A723="",0,IF(AE723="직접",IF(OR(AF723="유지비",AF723="손해조사비"),$P723,0),$P723*(1-AG723)*IFERROR(INDEX(계정대체기준!$D$20:$D$49,MATCH($N723,계정대체기준!$A$20:$A$49,0)),0)))</f>
        <v/>
      </c>
      <c r="AB723" s="94">
        <f>IF($A723="",0,IF(AE723="직접",IF(AF723="수금비",$P723,0),$P723*(1-AG723)*IFERROR(INDEX(계정대체기준!$E$20:$E$49,MATCH($N723,계정대체기준!$A$20:$A$49,0)),0)))</f>
        <v/>
      </c>
      <c r="AC723" s="9">
        <f>IF(AND($A723&lt;&gt;"",M723=설정!$C$20,Z723&gt;0),Z723+ROW()/1000000000,"")</f>
        <v/>
      </c>
      <c r="AD723" s="94">
        <f>IF($A723="",0,$P723*AG723)</f>
        <v/>
      </c>
      <c r="AE723" s="64">
        <f>IF($A723="","",IFERROR(INDEX(계정매핑!$E$5:$E$504,MATCH($F723&amp;"",계정매핑!$A$5:$A$504,0))&amp;"","공통비"))</f>
        <v/>
      </c>
      <c r="AF723" s="64">
        <f>IF($A723="","",IF(AE723="직접",IFERROR(INDEX(계정매핑!$F$5:$F$504,MATCH($F723&amp;"",계정매핑!$A$5:$A$504,0))&amp;"","비귀속"),""))</f>
        <v/>
      </c>
      <c r="AG723" s="96">
        <f>IF($A723="",0,IF(AND(AE723&lt;&gt;"직접",IFERROR(INDEX(계정매핑!$G$5:$G$504,MATCH($F723&amp;"",계정매핑!$A$5:$A$504,0))&amp;"","")="유지비",COUNTIF(계정대체기준!$A$6:$A$15,$N723)&gt;0),IFERROR(INDEX(계정대체기준!$E$6:$E$15,MATCH(VALUE($A723&amp;""),계정대체기준!$D$6:$D$15,0)),0),0))</f>
        <v/>
      </c>
      <c r="AH723" s="64">
        <f>IF($A723="","",IF(AD723=0,"",IF(OR(COUNTIF(계정대체기준!$A$77:$A$86,$N723)&gt;0,ISNUMBER(MATCH($X723,계정대체기준!$D$77:$D$86,0)),ISNUMBER(MATCH($F723,계정대체기준!$D$77:$D$86,0))),"Y","N")))</f>
        <v/>
      </c>
    </row>
    <row r="724">
      <c r="A724" s="92" t="n">
        <v>2025</v>
      </c>
      <c r="B724" s="92" t="n">
        <v>4</v>
      </c>
      <c r="C724" s="92" t="inlineStr">
        <is>
          <t>5100000720</t>
        </is>
      </c>
      <c r="D724" s="95" t="n">
        <v>45753</v>
      </c>
      <c r="E724" s="92" t="inlineStr">
        <is>
          <t>KR</t>
        </is>
      </c>
      <c r="F724" s="92" t="n">
        <v>62201000</v>
      </c>
      <c r="G724" s="92" t="n">
        <v>1601</v>
      </c>
      <c r="H724" s="93" t="n">
        <v>694000</v>
      </c>
      <c r="I724" s="92" t="inlineStr">
        <is>
          <t>4월 통신요금 - O텔레콤</t>
        </is>
      </c>
      <c r="J724" s="92" t="inlineStr">
        <is>
          <t>V10002</t>
        </is>
      </c>
      <c r="K724" s="92" t="inlineStr">
        <is>
          <t>O텔레콤</t>
        </is>
      </c>
      <c r="M724" s="9">
        <f>IF($A724="","",VALUE($A724&amp;"")*12+VALUE($B724&amp;""))</f>
        <v/>
      </c>
      <c r="N724" s="64">
        <f>IF($A724="","",IFERROR(INDEX(부서매핑!$C$5:$C$504,MATCH($G724&amp;"",부서매핑!$A$5:$A$504,0)),"미매핑"))</f>
        <v/>
      </c>
      <c r="O724" s="9">
        <f>IF($A724="","",N724&amp;"|"&amp;$F724)</f>
        <v/>
      </c>
      <c r="P724" s="94">
        <f>IF($A724="",0,$H724*설정!$C$23)</f>
        <v/>
      </c>
      <c r="Q724" s="64">
        <f>IF($A724="","",IF(O724&lt;&gt;원인분석!$C$9,"",IF(AND(M724&gt;=원인분석!$C$10,M724&lt;=원인분석!$C$11),"당기",IF(AND(M724&gt;=원인분석!$C$12,M724&lt;=원인분석!$C$13),"비교",""))))</f>
        <v/>
      </c>
      <c r="R724" s="9">
        <f>IF(Q724="","",$K724&amp;"")</f>
        <v/>
      </c>
      <c r="S724" s="9">
        <f>IF(Q724="","",IF(MATCH(R724,$R$5:$R$100000,0)=ROW()-4,ROW(),""))</f>
        <v/>
      </c>
      <c r="T724" s="9">
        <f>IF(Q724="당기",ABS(P724)+ROW()/1000000000,"")</f>
        <v/>
      </c>
      <c r="U724" s="9">
        <f>IF(Q724="비교",ABS(P724)+ROW()/1000000000,"")</f>
        <v/>
      </c>
      <c r="V724" s="64">
        <f>IF($A724="","",IF(COUNTIF(변동분석!$E$7:$E$506,O724)&gt;0,"Y","N"))</f>
        <v/>
      </c>
      <c r="W724" s="64">
        <f>IF($A724="","",IFERROR(INDEX(계정매핑!$D$5:$D$504,MATCH($F724&amp;"",계정매핑!$A$5:$A$504,0)),"미매핑"))</f>
        <v/>
      </c>
      <c r="X724" s="9">
        <f>IF($A724="","",$F724&amp;"")</f>
        <v/>
      </c>
      <c r="Y724" s="94">
        <f>IF($A724="",0,IF(AE724="직접",IF(AF724="비귀속",$P724,0),$P724*(1-AG724)*IFERROR(INDEX(계정대체기준!$F$20:$F$49,MATCH($N724,계정대체기준!$A$20:$A$49,0)),1)))</f>
        <v/>
      </c>
      <c r="Z724" s="94">
        <f>IF($A724="",0,IF(AE724="직접",IF(AF724="신계약비",$P724,0),$P724*(1-AG724)*IFERROR(INDEX(계정대체기준!$C$20:$C$49,MATCH($N724,계정대체기준!$A$20:$A$49,0)),0)))</f>
        <v/>
      </c>
      <c r="AA724" s="94">
        <f>IF($A724="",0,IF(AE724="직접",IF(OR(AF724="유지비",AF724="손해조사비"),$P724,0),$P724*(1-AG724)*IFERROR(INDEX(계정대체기준!$D$20:$D$49,MATCH($N724,계정대체기준!$A$20:$A$49,0)),0)))</f>
        <v/>
      </c>
      <c r="AB724" s="94">
        <f>IF($A724="",0,IF(AE724="직접",IF(AF724="수금비",$P724,0),$P724*(1-AG724)*IFERROR(INDEX(계정대체기준!$E$20:$E$49,MATCH($N724,계정대체기준!$A$20:$A$49,0)),0)))</f>
        <v/>
      </c>
      <c r="AC724" s="9">
        <f>IF(AND($A724&lt;&gt;"",M724=설정!$C$20,Z724&gt;0),Z724+ROW()/1000000000,"")</f>
        <v/>
      </c>
      <c r="AD724" s="94">
        <f>IF($A724="",0,$P724*AG724)</f>
        <v/>
      </c>
      <c r="AE724" s="64">
        <f>IF($A724="","",IFERROR(INDEX(계정매핑!$E$5:$E$504,MATCH($F724&amp;"",계정매핑!$A$5:$A$504,0))&amp;"","공통비"))</f>
        <v/>
      </c>
      <c r="AF724" s="64">
        <f>IF($A724="","",IF(AE724="직접",IFERROR(INDEX(계정매핑!$F$5:$F$504,MATCH($F724&amp;"",계정매핑!$A$5:$A$504,0))&amp;"","비귀속"),""))</f>
        <v/>
      </c>
      <c r="AG724" s="96">
        <f>IF($A724="",0,IF(AND(AE724&lt;&gt;"직접",IFERROR(INDEX(계정매핑!$G$5:$G$504,MATCH($F724&amp;"",계정매핑!$A$5:$A$504,0))&amp;"","")="유지비",COUNTIF(계정대체기준!$A$6:$A$15,$N724)&gt;0),IFERROR(INDEX(계정대체기준!$E$6:$E$15,MATCH(VALUE($A724&amp;""),계정대체기준!$D$6:$D$15,0)),0),0))</f>
        <v/>
      </c>
      <c r="AH724" s="64">
        <f>IF($A724="","",IF(AD724=0,"",IF(OR(COUNTIF(계정대체기준!$A$77:$A$86,$N724)&gt;0,ISNUMBER(MATCH($X724,계정대체기준!$D$77:$D$86,0)),ISNUMBER(MATCH($F724,계정대체기준!$D$77:$D$86,0))),"Y","N")))</f>
        <v/>
      </c>
    </row>
    <row r="725">
      <c r="A725" s="92" t="n">
        <v>2025</v>
      </c>
      <c r="B725" s="92" t="n">
        <v>4</v>
      </c>
      <c r="C725" s="92" t="inlineStr">
        <is>
          <t>5100000721</t>
        </is>
      </c>
      <c r="D725" s="95" t="n">
        <v>45753</v>
      </c>
      <c r="E725" s="92" t="inlineStr">
        <is>
          <t>KR</t>
        </is>
      </c>
      <c r="F725" s="92" t="n">
        <v>62501000</v>
      </c>
      <c r="G725" s="92" t="n">
        <v>1601</v>
      </c>
      <c r="H725" s="93" t="n">
        <v>451000</v>
      </c>
      <c r="I725" s="92" t="inlineStr">
        <is>
          <t>4월 회의 다과 - T케이터링</t>
        </is>
      </c>
      <c r="J725" s="92" t="inlineStr">
        <is>
          <t>V10005</t>
        </is>
      </c>
      <c r="K725" s="92" t="inlineStr">
        <is>
          <t>T케이터링</t>
        </is>
      </c>
      <c r="M725" s="9">
        <f>IF($A725="","",VALUE($A725&amp;"")*12+VALUE($B725&amp;""))</f>
        <v/>
      </c>
      <c r="N725" s="64">
        <f>IF($A725="","",IFERROR(INDEX(부서매핑!$C$5:$C$504,MATCH($G725&amp;"",부서매핑!$A$5:$A$504,0)),"미매핑"))</f>
        <v/>
      </c>
      <c r="O725" s="9">
        <f>IF($A725="","",N725&amp;"|"&amp;$F725)</f>
        <v/>
      </c>
      <c r="P725" s="94">
        <f>IF($A725="",0,$H725*설정!$C$23)</f>
        <v/>
      </c>
      <c r="Q725" s="64">
        <f>IF($A725="","",IF(O725&lt;&gt;원인분석!$C$9,"",IF(AND(M725&gt;=원인분석!$C$10,M725&lt;=원인분석!$C$11),"당기",IF(AND(M725&gt;=원인분석!$C$12,M725&lt;=원인분석!$C$13),"비교",""))))</f>
        <v/>
      </c>
      <c r="R725" s="9">
        <f>IF(Q725="","",$K725&amp;"")</f>
        <v/>
      </c>
      <c r="S725" s="9">
        <f>IF(Q725="","",IF(MATCH(R725,$R$5:$R$100000,0)=ROW()-4,ROW(),""))</f>
        <v/>
      </c>
      <c r="T725" s="9">
        <f>IF(Q725="당기",ABS(P725)+ROW()/1000000000,"")</f>
        <v/>
      </c>
      <c r="U725" s="9">
        <f>IF(Q725="비교",ABS(P725)+ROW()/1000000000,"")</f>
        <v/>
      </c>
      <c r="V725" s="64">
        <f>IF($A725="","",IF(COUNTIF(변동분석!$E$7:$E$506,O725)&gt;0,"Y","N"))</f>
        <v/>
      </c>
      <c r="W725" s="64">
        <f>IF($A725="","",IFERROR(INDEX(계정매핑!$D$5:$D$504,MATCH($F725&amp;"",계정매핑!$A$5:$A$504,0)),"미매핑"))</f>
        <v/>
      </c>
      <c r="X725" s="9">
        <f>IF($A725="","",$F725&amp;"")</f>
        <v/>
      </c>
      <c r="Y725" s="94">
        <f>IF($A725="",0,IF(AE725="직접",IF(AF725="비귀속",$P725,0),$P725*(1-AG725)*IFERROR(INDEX(계정대체기준!$F$20:$F$49,MATCH($N725,계정대체기준!$A$20:$A$49,0)),1)))</f>
        <v/>
      </c>
      <c r="Z725" s="94">
        <f>IF($A725="",0,IF(AE725="직접",IF(AF725="신계약비",$P725,0),$P725*(1-AG725)*IFERROR(INDEX(계정대체기준!$C$20:$C$49,MATCH($N725,계정대체기준!$A$20:$A$49,0)),0)))</f>
        <v/>
      </c>
      <c r="AA725" s="94">
        <f>IF($A725="",0,IF(AE725="직접",IF(OR(AF725="유지비",AF725="손해조사비"),$P725,0),$P725*(1-AG725)*IFERROR(INDEX(계정대체기준!$D$20:$D$49,MATCH($N725,계정대체기준!$A$20:$A$49,0)),0)))</f>
        <v/>
      </c>
      <c r="AB725" s="94">
        <f>IF($A725="",0,IF(AE725="직접",IF(AF725="수금비",$P725,0),$P725*(1-AG725)*IFERROR(INDEX(계정대체기준!$E$20:$E$49,MATCH($N725,계정대체기준!$A$20:$A$49,0)),0)))</f>
        <v/>
      </c>
      <c r="AC725" s="9">
        <f>IF(AND($A725&lt;&gt;"",M725=설정!$C$20,Z725&gt;0),Z725+ROW()/1000000000,"")</f>
        <v/>
      </c>
      <c r="AD725" s="94">
        <f>IF($A725="",0,$P725*AG725)</f>
        <v/>
      </c>
      <c r="AE725" s="64">
        <f>IF($A725="","",IFERROR(INDEX(계정매핑!$E$5:$E$504,MATCH($F725&amp;"",계정매핑!$A$5:$A$504,0))&amp;"","공통비"))</f>
        <v/>
      </c>
      <c r="AF725" s="64">
        <f>IF($A725="","",IF(AE725="직접",IFERROR(INDEX(계정매핑!$F$5:$F$504,MATCH($F725&amp;"",계정매핑!$A$5:$A$504,0))&amp;"","비귀속"),""))</f>
        <v/>
      </c>
      <c r="AG725" s="96">
        <f>IF($A725="",0,IF(AND(AE725&lt;&gt;"직접",IFERROR(INDEX(계정매핑!$G$5:$G$504,MATCH($F725&amp;"",계정매핑!$A$5:$A$504,0))&amp;"","")="유지비",COUNTIF(계정대체기준!$A$6:$A$15,$N725)&gt;0),IFERROR(INDEX(계정대체기준!$E$6:$E$15,MATCH(VALUE($A725&amp;""),계정대체기준!$D$6:$D$15,0)),0),0))</f>
        <v/>
      </c>
      <c r="AH725" s="64">
        <f>IF($A725="","",IF(AD725=0,"",IF(OR(COUNTIF(계정대체기준!$A$77:$A$86,$N725)&gt;0,ISNUMBER(MATCH($X725,계정대체기준!$D$77:$D$86,0)),ISNUMBER(MATCH($F725,계정대체기준!$D$77:$D$86,0))),"Y","N")))</f>
        <v/>
      </c>
    </row>
    <row r="726">
      <c r="A726" s="92" t="n">
        <v>2025</v>
      </c>
      <c r="B726" s="92" t="n">
        <v>4</v>
      </c>
      <c r="C726" s="92" t="inlineStr">
        <is>
          <t>5100000722</t>
        </is>
      </c>
      <c r="D726" s="95" t="n">
        <v>45753</v>
      </c>
      <c r="E726" s="92" t="inlineStr">
        <is>
          <t>KR</t>
        </is>
      </c>
      <c r="F726" s="92" t="n">
        <v>62801000</v>
      </c>
      <c r="G726" s="92" t="n">
        <v>1301</v>
      </c>
      <c r="H726" s="93" t="n">
        <v>4701000</v>
      </c>
      <c r="I726" s="92" t="inlineStr">
        <is>
          <t>4월 사내교육 - U에듀</t>
        </is>
      </c>
      <c r="J726" s="92" t="inlineStr">
        <is>
          <t>V10031</t>
        </is>
      </c>
      <c r="K726" s="92" t="inlineStr">
        <is>
          <t>U에듀</t>
        </is>
      </c>
      <c r="M726" s="9">
        <f>IF($A726="","",VALUE($A726&amp;"")*12+VALUE($B726&amp;""))</f>
        <v/>
      </c>
      <c r="N726" s="64">
        <f>IF($A726="","",IFERROR(INDEX(부서매핑!$C$5:$C$504,MATCH($G726&amp;"",부서매핑!$A$5:$A$504,0)),"미매핑"))</f>
        <v/>
      </c>
      <c r="O726" s="9">
        <f>IF($A726="","",N726&amp;"|"&amp;$F726)</f>
        <v/>
      </c>
      <c r="P726" s="94">
        <f>IF($A726="",0,$H726*설정!$C$23)</f>
        <v/>
      </c>
      <c r="Q726" s="64">
        <f>IF($A726="","",IF(O726&lt;&gt;원인분석!$C$9,"",IF(AND(M726&gt;=원인분석!$C$10,M726&lt;=원인분석!$C$11),"당기",IF(AND(M726&gt;=원인분석!$C$12,M726&lt;=원인분석!$C$13),"비교",""))))</f>
        <v/>
      </c>
      <c r="R726" s="9">
        <f>IF(Q726="","",$K726&amp;"")</f>
        <v/>
      </c>
      <c r="S726" s="9">
        <f>IF(Q726="","",IF(MATCH(R726,$R$5:$R$100000,0)=ROW()-4,ROW(),""))</f>
        <v/>
      </c>
      <c r="T726" s="9">
        <f>IF(Q726="당기",ABS(P726)+ROW()/1000000000,"")</f>
        <v/>
      </c>
      <c r="U726" s="9">
        <f>IF(Q726="비교",ABS(P726)+ROW()/1000000000,"")</f>
        <v/>
      </c>
      <c r="V726" s="64">
        <f>IF($A726="","",IF(COUNTIF(변동분석!$E$7:$E$506,O726)&gt;0,"Y","N"))</f>
        <v/>
      </c>
      <c r="W726" s="64">
        <f>IF($A726="","",IFERROR(INDEX(계정매핑!$D$5:$D$504,MATCH($F726&amp;"",계정매핑!$A$5:$A$504,0)),"미매핑"))</f>
        <v/>
      </c>
      <c r="X726" s="9">
        <f>IF($A726="","",$F726&amp;"")</f>
        <v/>
      </c>
      <c r="Y726" s="94">
        <f>IF($A726="",0,IF(AE726="직접",IF(AF726="비귀속",$P726,0),$P726*(1-AG726)*IFERROR(INDEX(계정대체기준!$F$20:$F$49,MATCH($N726,계정대체기준!$A$20:$A$49,0)),1)))</f>
        <v/>
      </c>
      <c r="Z726" s="94">
        <f>IF($A726="",0,IF(AE726="직접",IF(AF726="신계약비",$P726,0),$P726*(1-AG726)*IFERROR(INDEX(계정대체기준!$C$20:$C$49,MATCH($N726,계정대체기준!$A$20:$A$49,0)),0)))</f>
        <v/>
      </c>
      <c r="AA726" s="94">
        <f>IF($A726="",0,IF(AE726="직접",IF(OR(AF726="유지비",AF726="손해조사비"),$P726,0),$P726*(1-AG726)*IFERROR(INDEX(계정대체기준!$D$20:$D$49,MATCH($N726,계정대체기준!$A$20:$A$49,0)),0)))</f>
        <v/>
      </c>
      <c r="AB726" s="94">
        <f>IF($A726="",0,IF(AE726="직접",IF(AF726="수금비",$P726,0),$P726*(1-AG726)*IFERROR(INDEX(계정대체기준!$E$20:$E$49,MATCH($N726,계정대체기준!$A$20:$A$49,0)),0)))</f>
        <v/>
      </c>
      <c r="AC726" s="9">
        <f>IF(AND($A726&lt;&gt;"",M726=설정!$C$20,Z726&gt;0),Z726+ROW()/1000000000,"")</f>
        <v/>
      </c>
      <c r="AD726" s="94">
        <f>IF($A726="",0,$P726*AG726)</f>
        <v/>
      </c>
      <c r="AE726" s="64">
        <f>IF($A726="","",IFERROR(INDEX(계정매핑!$E$5:$E$504,MATCH($F726&amp;"",계정매핑!$A$5:$A$504,0))&amp;"","공통비"))</f>
        <v/>
      </c>
      <c r="AF726" s="64">
        <f>IF($A726="","",IF(AE726="직접",IFERROR(INDEX(계정매핑!$F$5:$F$504,MATCH($F726&amp;"",계정매핑!$A$5:$A$504,0))&amp;"","비귀속"),""))</f>
        <v/>
      </c>
      <c r="AG726" s="96">
        <f>IF($A726="",0,IF(AND(AE726&lt;&gt;"직접",IFERROR(INDEX(계정매핑!$G$5:$G$504,MATCH($F726&amp;"",계정매핑!$A$5:$A$504,0))&amp;"","")="유지비",COUNTIF(계정대체기준!$A$6:$A$15,$N726)&gt;0),IFERROR(INDEX(계정대체기준!$E$6:$E$15,MATCH(VALUE($A726&amp;""),계정대체기준!$D$6:$D$15,0)),0),0))</f>
        <v/>
      </c>
      <c r="AH726" s="64">
        <f>IF($A726="","",IF(AD726=0,"",IF(OR(COUNTIF(계정대체기준!$A$77:$A$86,$N726)&gt;0,ISNUMBER(MATCH($X726,계정대체기준!$D$77:$D$86,0)),ISNUMBER(MATCH($F726,계정대체기준!$D$77:$D$86,0))),"Y","N")))</f>
        <v/>
      </c>
    </row>
    <row r="727">
      <c r="A727" s="92" t="n">
        <v>2025</v>
      </c>
      <c r="B727" s="92" t="n">
        <v>4</v>
      </c>
      <c r="C727" s="92" t="inlineStr">
        <is>
          <t>5100000723</t>
        </is>
      </c>
      <c r="D727" s="95" t="n">
        <v>45753</v>
      </c>
      <c r="E727" s="92" t="inlineStr">
        <is>
          <t>KR</t>
        </is>
      </c>
      <c r="F727" s="92" t="n">
        <v>63201000</v>
      </c>
      <c r="G727" s="92" t="n">
        <v>1601</v>
      </c>
      <c r="H727" s="93" t="n">
        <v>5334000</v>
      </c>
      <c r="I727" s="92" t="inlineStr">
        <is>
          <t>4월 차량 유지 - D정비</t>
        </is>
      </c>
      <c r="J727" s="92" t="inlineStr">
        <is>
          <t>V10025</t>
        </is>
      </c>
      <c r="K727" s="92" t="inlineStr">
        <is>
          <t>D정비</t>
        </is>
      </c>
      <c r="M727" s="9">
        <f>IF($A727="","",VALUE($A727&amp;"")*12+VALUE($B727&amp;""))</f>
        <v/>
      </c>
      <c r="N727" s="64">
        <f>IF($A727="","",IFERROR(INDEX(부서매핑!$C$5:$C$504,MATCH($G727&amp;"",부서매핑!$A$5:$A$504,0)),"미매핑"))</f>
        <v/>
      </c>
      <c r="O727" s="9">
        <f>IF($A727="","",N727&amp;"|"&amp;$F727)</f>
        <v/>
      </c>
      <c r="P727" s="94">
        <f>IF($A727="",0,$H727*설정!$C$23)</f>
        <v/>
      </c>
      <c r="Q727" s="64">
        <f>IF($A727="","",IF(O727&lt;&gt;원인분석!$C$9,"",IF(AND(M727&gt;=원인분석!$C$10,M727&lt;=원인분석!$C$11),"당기",IF(AND(M727&gt;=원인분석!$C$12,M727&lt;=원인분석!$C$13),"비교",""))))</f>
        <v/>
      </c>
      <c r="R727" s="9">
        <f>IF(Q727="","",$K727&amp;"")</f>
        <v/>
      </c>
      <c r="S727" s="9">
        <f>IF(Q727="","",IF(MATCH(R727,$R$5:$R$100000,0)=ROW()-4,ROW(),""))</f>
        <v/>
      </c>
      <c r="T727" s="9">
        <f>IF(Q727="당기",ABS(P727)+ROW()/1000000000,"")</f>
        <v/>
      </c>
      <c r="U727" s="9">
        <f>IF(Q727="비교",ABS(P727)+ROW()/1000000000,"")</f>
        <v/>
      </c>
      <c r="V727" s="64">
        <f>IF($A727="","",IF(COUNTIF(변동분석!$E$7:$E$506,O727)&gt;0,"Y","N"))</f>
        <v/>
      </c>
      <c r="W727" s="64">
        <f>IF($A727="","",IFERROR(INDEX(계정매핑!$D$5:$D$504,MATCH($F727&amp;"",계정매핑!$A$5:$A$504,0)),"미매핑"))</f>
        <v/>
      </c>
      <c r="X727" s="9">
        <f>IF($A727="","",$F727&amp;"")</f>
        <v/>
      </c>
      <c r="Y727" s="94">
        <f>IF($A727="",0,IF(AE727="직접",IF(AF727="비귀속",$P727,0),$P727*(1-AG727)*IFERROR(INDEX(계정대체기준!$F$20:$F$49,MATCH($N727,계정대체기준!$A$20:$A$49,0)),1)))</f>
        <v/>
      </c>
      <c r="Z727" s="94">
        <f>IF($A727="",0,IF(AE727="직접",IF(AF727="신계약비",$P727,0),$P727*(1-AG727)*IFERROR(INDEX(계정대체기준!$C$20:$C$49,MATCH($N727,계정대체기준!$A$20:$A$49,0)),0)))</f>
        <v/>
      </c>
      <c r="AA727" s="94">
        <f>IF($A727="",0,IF(AE727="직접",IF(OR(AF727="유지비",AF727="손해조사비"),$P727,0),$P727*(1-AG727)*IFERROR(INDEX(계정대체기준!$D$20:$D$49,MATCH($N727,계정대체기준!$A$20:$A$49,0)),0)))</f>
        <v/>
      </c>
      <c r="AB727" s="94">
        <f>IF($A727="",0,IF(AE727="직접",IF(AF727="수금비",$P727,0),$P727*(1-AG727)*IFERROR(INDEX(계정대체기준!$E$20:$E$49,MATCH($N727,계정대체기준!$A$20:$A$49,0)),0)))</f>
        <v/>
      </c>
      <c r="AC727" s="9">
        <f>IF(AND($A727&lt;&gt;"",M727=설정!$C$20,Z727&gt;0),Z727+ROW()/1000000000,"")</f>
        <v/>
      </c>
      <c r="AD727" s="94">
        <f>IF($A727="",0,$P727*AG727)</f>
        <v/>
      </c>
      <c r="AE727" s="64">
        <f>IF($A727="","",IFERROR(INDEX(계정매핑!$E$5:$E$504,MATCH($F727&amp;"",계정매핑!$A$5:$A$504,0))&amp;"","공통비"))</f>
        <v/>
      </c>
      <c r="AF727" s="64">
        <f>IF($A727="","",IF(AE727="직접",IFERROR(INDEX(계정매핑!$F$5:$F$504,MATCH($F727&amp;"",계정매핑!$A$5:$A$504,0))&amp;"","비귀속"),""))</f>
        <v/>
      </c>
      <c r="AG727" s="96">
        <f>IF($A727="",0,IF(AND(AE727&lt;&gt;"직접",IFERROR(INDEX(계정매핑!$G$5:$G$504,MATCH($F727&amp;"",계정매핑!$A$5:$A$504,0))&amp;"","")="유지비",COUNTIF(계정대체기준!$A$6:$A$15,$N727)&gt;0),IFERROR(INDEX(계정대체기준!$E$6:$E$15,MATCH(VALUE($A727&amp;""),계정대체기준!$D$6:$D$15,0)),0),0))</f>
        <v/>
      </c>
      <c r="AH727" s="64">
        <f>IF($A727="","",IF(AD727=0,"",IF(OR(COUNTIF(계정대체기준!$A$77:$A$86,$N727)&gt;0,ISNUMBER(MATCH($X727,계정대체기준!$D$77:$D$86,0)),ISNUMBER(MATCH($F727,계정대체기준!$D$77:$D$86,0))),"Y","N")))</f>
        <v/>
      </c>
    </row>
    <row r="728">
      <c r="A728" s="92" t="n">
        <v>2025</v>
      </c>
      <c r="B728" s="92" t="n">
        <v>4</v>
      </c>
      <c r="C728" s="92" t="inlineStr">
        <is>
          <t>5100000724</t>
        </is>
      </c>
      <c r="D728" s="95" t="n">
        <v>45754</v>
      </c>
      <c r="E728" s="92" t="inlineStr">
        <is>
          <t>KR</t>
        </is>
      </c>
      <c r="F728" s="92" t="n">
        <v>62101000</v>
      </c>
      <c r="G728" s="92" t="n">
        <v>1301</v>
      </c>
      <c r="H728" s="93" t="n">
        <v>200000</v>
      </c>
      <c r="I728" s="92" t="inlineStr">
        <is>
          <t>4월 국내출장 - (법인카드)</t>
        </is>
      </c>
      <c r="J728" s="92" t="inlineStr">
        <is>
          <t>V10010</t>
        </is>
      </c>
      <c r="K728" s="92" t="inlineStr">
        <is>
          <t>(법인카드)</t>
        </is>
      </c>
      <c r="M728" s="9">
        <f>IF($A728="","",VALUE($A728&amp;"")*12+VALUE($B728&amp;""))</f>
        <v/>
      </c>
      <c r="N728" s="64">
        <f>IF($A728="","",IFERROR(INDEX(부서매핑!$C$5:$C$504,MATCH($G728&amp;"",부서매핑!$A$5:$A$504,0)),"미매핑"))</f>
        <v/>
      </c>
      <c r="O728" s="9">
        <f>IF($A728="","",N728&amp;"|"&amp;$F728)</f>
        <v/>
      </c>
      <c r="P728" s="94">
        <f>IF($A728="",0,$H728*설정!$C$23)</f>
        <v/>
      </c>
      <c r="Q728" s="64">
        <f>IF($A728="","",IF(O728&lt;&gt;원인분석!$C$9,"",IF(AND(M728&gt;=원인분석!$C$10,M728&lt;=원인분석!$C$11),"당기",IF(AND(M728&gt;=원인분석!$C$12,M728&lt;=원인분석!$C$13),"비교",""))))</f>
        <v/>
      </c>
      <c r="R728" s="9">
        <f>IF(Q728="","",$K728&amp;"")</f>
        <v/>
      </c>
      <c r="S728" s="9">
        <f>IF(Q728="","",IF(MATCH(R728,$R$5:$R$100000,0)=ROW()-4,ROW(),""))</f>
        <v/>
      </c>
      <c r="T728" s="9">
        <f>IF(Q728="당기",ABS(P728)+ROW()/1000000000,"")</f>
        <v/>
      </c>
      <c r="U728" s="9">
        <f>IF(Q728="비교",ABS(P728)+ROW()/1000000000,"")</f>
        <v/>
      </c>
      <c r="V728" s="64">
        <f>IF($A728="","",IF(COUNTIF(변동분석!$E$7:$E$506,O728)&gt;0,"Y","N"))</f>
        <v/>
      </c>
      <c r="W728" s="64">
        <f>IF($A728="","",IFERROR(INDEX(계정매핑!$D$5:$D$504,MATCH($F728&amp;"",계정매핑!$A$5:$A$504,0)),"미매핑"))</f>
        <v/>
      </c>
      <c r="X728" s="9">
        <f>IF($A728="","",$F728&amp;"")</f>
        <v/>
      </c>
      <c r="Y728" s="94">
        <f>IF($A728="",0,IF(AE728="직접",IF(AF728="비귀속",$P728,0),$P728*(1-AG728)*IFERROR(INDEX(계정대체기준!$F$20:$F$49,MATCH($N728,계정대체기준!$A$20:$A$49,0)),1)))</f>
        <v/>
      </c>
      <c r="Z728" s="94">
        <f>IF($A728="",0,IF(AE728="직접",IF(AF728="신계약비",$P728,0),$P728*(1-AG728)*IFERROR(INDEX(계정대체기준!$C$20:$C$49,MATCH($N728,계정대체기준!$A$20:$A$49,0)),0)))</f>
        <v/>
      </c>
      <c r="AA728" s="94">
        <f>IF($A728="",0,IF(AE728="직접",IF(OR(AF728="유지비",AF728="손해조사비"),$P728,0),$P728*(1-AG728)*IFERROR(INDEX(계정대체기준!$D$20:$D$49,MATCH($N728,계정대체기준!$A$20:$A$49,0)),0)))</f>
        <v/>
      </c>
      <c r="AB728" s="94">
        <f>IF($A728="",0,IF(AE728="직접",IF(AF728="수금비",$P728,0),$P728*(1-AG728)*IFERROR(INDEX(계정대체기준!$E$20:$E$49,MATCH($N728,계정대체기준!$A$20:$A$49,0)),0)))</f>
        <v/>
      </c>
      <c r="AC728" s="9">
        <f>IF(AND($A728&lt;&gt;"",M728=설정!$C$20,Z728&gt;0),Z728+ROW()/1000000000,"")</f>
        <v/>
      </c>
      <c r="AD728" s="94">
        <f>IF($A728="",0,$P728*AG728)</f>
        <v/>
      </c>
      <c r="AE728" s="64">
        <f>IF($A728="","",IFERROR(INDEX(계정매핑!$E$5:$E$504,MATCH($F728&amp;"",계정매핑!$A$5:$A$504,0))&amp;"","공통비"))</f>
        <v/>
      </c>
      <c r="AF728" s="64">
        <f>IF($A728="","",IF(AE728="직접",IFERROR(INDEX(계정매핑!$F$5:$F$504,MATCH($F728&amp;"",계정매핑!$A$5:$A$504,0))&amp;"","비귀속"),""))</f>
        <v/>
      </c>
      <c r="AG728" s="96">
        <f>IF($A728="",0,IF(AND(AE728&lt;&gt;"직접",IFERROR(INDEX(계정매핑!$G$5:$G$504,MATCH($F728&amp;"",계정매핑!$A$5:$A$504,0))&amp;"","")="유지비",COUNTIF(계정대체기준!$A$6:$A$15,$N728)&gt;0),IFERROR(INDEX(계정대체기준!$E$6:$E$15,MATCH(VALUE($A728&amp;""),계정대체기준!$D$6:$D$15,0)),0),0))</f>
        <v/>
      </c>
      <c r="AH728" s="64">
        <f>IF($A728="","",IF(AD728=0,"",IF(OR(COUNTIF(계정대체기준!$A$77:$A$86,$N728)&gt;0,ISNUMBER(MATCH($X728,계정대체기준!$D$77:$D$86,0)),ISNUMBER(MATCH($F728,계정대체기준!$D$77:$D$86,0))),"Y","N")))</f>
        <v/>
      </c>
    </row>
    <row r="729">
      <c r="A729" s="92" t="n">
        <v>2025</v>
      </c>
      <c r="B729" s="92" t="n">
        <v>4</v>
      </c>
      <c r="C729" s="92" t="inlineStr">
        <is>
          <t>5100000725</t>
        </is>
      </c>
      <c r="D729" s="95" t="n">
        <v>45754</v>
      </c>
      <c r="E729" s="92" t="inlineStr">
        <is>
          <t>KR</t>
        </is>
      </c>
      <c r="F729" s="92" t="n">
        <v>62301000</v>
      </c>
      <c r="G729" s="92" t="n">
        <v>1301</v>
      </c>
      <c r="H729" s="93" t="n">
        <v>289000</v>
      </c>
      <c r="I729" s="92" t="inlineStr">
        <is>
          <t>4월 소모품 구입 - Q오피스</t>
        </is>
      </c>
      <c r="J729" s="92" t="inlineStr">
        <is>
          <t>V10003</t>
        </is>
      </c>
      <c r="K729" s="92" t="inlineStr">
        <is>
          <t>Q오피스</t>
        </is>
      </c>
      <c r="M729" s="9">
        <f>IF($A729="","",VALUE($A729&amp;"")*12+VALUE($B729&amp;""))</f>
        <v/>
      </c>
      <c r="N729" s="64">
        <f>IF($A729="","",IFERROR(INDEX(부서매핑!$C$5:$C$504,MATCH($G729&amp;"",부서매핑!$A$5:$A$504,0)),"미매핑"))</f>
        <v/>
      </c>
      <c r="O729" s="9">
        <f>IF($A729="","",N729&amp;"|"&amp;$F729)</f>
        <v/>
      </c>
      <c r="P729" s="94">
        <f>IF($A729="",0,$H729*설정!$C$23)</f>
        <v/>
      </c>
      <c r="Q729" s="64">
        <f>IF($A729="","",IF(O729&lt;&gt;원인분석!$C$9,"",IF(AND(M729&gt;=원인분석!$C$10,M729&lt;=원인분석!$C$11),"당기",IF(AND(M729&gt;=원인분석!$C$12,M729&lt;=원인분석!$C$13),"비교",""))))</f>
        <v/>
      </c>
      <c r="R729" s="9">
        <f>IF(Q729="","",$K729&amp;"")</f>
        <v/>
      </c>
      <c r="S729" s="9">
        <f>IF(Q729="","",IF(MATCH(R729,$R$5:$R$100000,0)=ROW()-4,ROW(),""))</f>
        <v/>
      </c>
      <c r="T729" s="9">
        <f>IF(Q729="당기",ABS(P729)+ROW()/1000000000,"")</f>
        <v/>
      </c>
      <c r="U729" s="9">
        <f>IF(Q729="비교",ABS(P729)+ROW()/1000000000,"")</f>
        <v/>
      </c>
      <c r="V729" s="64">
        <f>IF($A729="","",IF(COUNTIF(변동분석!$E$7:$E$506,O729)&gt;0,"Y","N"))</f>
        <v/>
      </c>
      <c r="W729" s="64">
        <f>IF($A729="","",IFERROR(INDEX(계정매핑!$D$5:$D$504,MATCH($F729&amp;"",계정매핑!$A$5:$A$504,0)),"미매핑"))</f>
        <v/>
      </c>
      <c r="X729" s="9">
        <f>IF($A729="","",$F729&amp;"")</f>
        <v/>
      </c>
      <c r="Y729" s="94">
        <f>IF($A729="",0,IF(AE729="직접",IF(AF729="비귀속",$P729,0),$P729*(1-AG729)*IFERROR(INDEX(계정대체기준!$F$20:$F$49,MATCH($N729,계정대체기준!$A$20:$A$49,0)),1)))</f>
        <v/>
      </c>
      <c r="Z729" s="94">
        <f>IF($A729="",0,IF(AE729="직접",IF(AF729="신계약비",$P729,0),$P729*(1-AG729)*IFERROR(INDEX(계정대체기준!$C$20:$C$49,MATCH($N729,계정대체기준!$A$20:$A$49,0)),0)))</f>
        <v/>
      </c>
      <c r="AA729" s="94">
        <f>IF($A729="",0,IF(AE729="직접",IF(OR(AF729="유지비",AF729="손해조사비"),$P729,0),$P729*(1-AG729)*IFERROR(INDEX(계정대체기준!$D$20:$D$49,MATCH($N729,계정대체기준!$A$20:$A$49,0)),0)))</f>
        <v/>
      </c>
      <c r="AB729" s="94">
        <f>IF($A729="",0,IF(AE729="직접",IF(AF729="수금비",$P729,0),$P729*(1-AG729)*IFERROR(INDEX(계정대체기준!$E$20:$E$49,MATCH($N729,계정대체기준!$A$20:$A$49,0)),0)))</f>
        <v/>
      </c>
      <c r="AC729" s="9">
        <f>IF(AND($A729&lt;&gt;"",M729=설정!$C$20,Z729&gt;0),Z729+ROW()/1000000000,"")</f>
        <v/>
      </c>
      <c r="AD729" s="94">
        <f>IF($A729="",0,$P729*AG729)</f>
        <v/>
      </c>
      <c r="AE729" s="64">
        <f>IF($A729="","",IFERROR(INDEX(계정매핑!$E$5:$E$504,MATCH($F729&amp;"",계정매핑!$A$5:$A$504,0))&amp;"","공통비"))</f>
        <v/>
      </c>
      <c r="AF729" s="64">
        <f>IF($A729="","",IF(AE729="직접",IFERROR(INDEX(계정매핑!$F$5:$F$504,MATCH($F729&amp;"",계정매핑!$A$5:$A$504,0))&amp;"","비귀속"),""))</f>
        <v/>
      </c>
      <c r="AG729" s="96">
        <f>IF($A729="",0,IF(AND(AE729&lt;&gt;"직접",IFERROR(INDEX(계정매핑!$G$5:$G$504,MATCH($F729&amp;"",계정매핑!$A$5:$A$504,0))&amp;"","")="유지비",COUNTIF(계정대체기준!$A$6:$A$15,$N729)&gt;0),IFERROR(INDEX(계정대체기준!$E$6:$E$15,MATCH(VALUE($A729&amp;""),계정대체기준!$D$6:$D$15,0)),0),0))</f>
        <v/>
      </c>
      <c r="AH729" s="64">
        <f>IF($A729="","",IF(AD729=0,"",IF(OR(COUNTIF(계정대체기준!$A$77:$A$86,$N729)&gt;0,ISNUMBER(MATCH($X729,계정대체기준!$D$77:$D$86,0)),ISNUMBER(MATCH($F729,계정대체기준!$D$77:$D$86,0))),"Y","N")))</f>
        <v/>
      </c>
    </row>
    <row r="730">
      <c r="A730" s="92" t="n">
        <v>2025</v>
      </c>
      <c r="B730" s="92" t="n">
        <v>4</v>
      </c>
      <c r="C730" s="92" t="inlineStr">
        <is>
          <t>5100000726</t>
        </is>
      </c>
      <c r="D730" s="95" t="n">
        <v>45754</v>
      </c>
      <c r="E730" s="92" t="inlineStr">
        <is>
          <t>KR</t>
        </is>
      </c>
      <c r="F730" s="92" t="n">
        <v>62301000</v>
      </c>
      <c r="G730" s="92" t="n">
        <v>1401</v>
      </c>
      <c r="H730" s="93" t="n">
        <v>62000</v>
      </c>
      <c r="I730" s="92" t="inlineStr">
        <is>
          <t>4월 소모품 구입 - R문구</t>
        </is>
      </c>
      <c r="J730" s="92" t="inlineStr">
        <is>
          <t>V10022</t>
        </is>
      </c>
      <c r="K730" s="92" t="inlineStr">
        <is>
          <t>R문구</t>
        </is>
      </c>
      <c r="M730" s="9">
        <f>IF($A730="","",VALUE($A730&amp;"")*12+VALUE($B730&amp;""))</f>
        <v/>
      </c>
      <c r="N730" s="64">
        <f>IF($A730="","",IFERROR(INDEX(부서매핑!$C$5:$C$504,MATCH($G730&amp;"",부서매핑!$A$5:$A$504,0)),"미매핑"))</f>
        <v/>
      </c>
      <c r="O730" s="9">
        <f>IF($A730="","",N730&amp;"|"&amp;$F730)</f>
        <v/>
      </c>
      <c r="P730" s="94">
        <f>IF($A730="",0,$H730*설정!$C$23)</f>
        <v/>
      </c>
      <c r="Q730" s="64">
        <f>IF($A730="","",IF(O730&lt;&gt;원인분석!$C$9,"",IF(AND(M730&gt;=원인분석!$C$10,M730&lt;=원인분석!$C$11),"당기",IF(AND(M730&gt;=원인분석!$C$12,M730&lt;=원인분석!$C$13),"비교",""))))</f>
        <v/>
      </c>
      <c r="R730" s="9">
        <f>IF(Q730="","",$K730&amp;"")</f>
        <v/>
      </c>
      <c r="S730" s="9">
        <f>IF(Q730="","",IF(MATCH(R730,$R$5:$R$100000,0)=ROW()-4,ROW(),""))</f>
        <v/>
      </c>
      <c r="T730" s="9">
        <f>IF(Q730="당기",ABS(P730)+ROW()/1000000000,"")</f>
        <v/>
      </c>
      <c r="U730" s="9">
        <f>IF(Q730="비교",ABS(P730)+ROW()/1000000000,"")</f>
        <v/>
      </c>
      <c r="V730" s="64">
        <f>IF($A730="","",IF(COUNTIF(변동분석!$E$7:$E$506,O730)&gt;0,"Y","N"))</f>
        <v/>
      </c>
      <c r="W730" s="64">
        <f>IF($A730="","",IFERROR(INDEX(계정매핑!$D$5:$D$504,MATCH($F730&amp;"",계정매핑!$A$5:$A$504,0)),"미매핑"))</f>
        <v/>
      </c>
      <c r="X730" s="9">
        <f>IF($A730="","",$F730&amp;"")</f>
        <v/>
      </c>
      <c r="Y730" s="94">
        <f>IF($A730="",0,IF(AE730="직접",IF(AF730="비귀속",$P730,0),$P730*(1-AG730)*IFERROR(INDEX(계정대체기준!$F$20:$F$49,MATCH($N730,계정대체기준!$A$20:$A$49,0)),1)))</f>
        <v/>
      </c>
      <c r="Z730" s="94">
        <f>IF($A730="",0,IF(AE730="직접",IF(AF730="신계약비",$P730,0),$P730*(1-AG730)*IFERROR(INDEX(계정대체기준!$C$20:$C$49,MATCH($N730,계정대체기준!$A$20:$A$49,0)),0)))</f>
        <v/>
      </c>
      <c r="AA730" s="94">
        <f>IF($A730="",0,IF(AE730="직접",IF(OR(AF730="유지비",AF730="손해조사비"),$P730,0),$P730*(1-AG730)*IFERROR(INDEX(계정대체기준!$D$20:$D$49,MATCH($N730,계정대체기준!$A$20:$A$49,0)),0)))</f>
        <v/>
      </c>
      <c r="AB730" s="94">
        <f>IF($A730="",0,IF(AE730="직접",IF(AF730="수금비",$P730,0),$P730*(1-AG730)*IFERROR(INDEX(계정대체기준!$E$20:$E$49,MATCH($N730,계정대체기준!$A$20:$A$49,0)),0)))</f>
        <v/>
      </c>
      <c r="AC730" s="9">
        <f>IF(AND($A730&lt;&gt;"",M730=설정!$C$20,Z730&gt;0),Z730+ROW()/1000000000,"")</f>
        <v/>
      </c>
      <c r="AD730" s="94">
        <f>IF($A730="",0,$P730*AG730)</f>
        <v/>
      </c>
      <c r="AE730" s="64">
        <f>IF($A730="","",IFERROR(INDEX(계정매핑!$E$5:$E$504,MATCH($F730&amp;"",계정매핑!$A$5:$A$504,0))&amp;"","공통비"))</f>
        <v/>
      </c>
      <c r="AF730" s="64">
        <f>IF($A730="","",IF(AE730="직접",IFERROR(INDEX(계정매핑!$F$5:$F$504,MATCH($F730&amp;"",계정매핑!$A$5:$A$504,0))&amp;"","비귀속"),""))</f>
        <v/>
      </c>
      <c r="AG730" s="96">
        <f>IF($A730="",0,IF(AND(AE730&lt;&gt;"직접",IFERROR(INDEX(계정매핑!$G$5:$G$504,MATCH($F730&amp;"",계정매핑!$A$5:$A$504,0))&amp;"","")="유지비",COUNTIF(계정대체기준!$A$6:$A$15,$N730)&gt;0),IFERROR(INDEX(계정대체기준!$E$6:$E$15,MATCH(VALUE($A730&amp;""),계정대체기준!$D$6:$D$15,0)),0),0))</f>
        <v/>
      </c>
      <c r="AH730" s="64">
        <f>IF($A730="","",IF(AD730=0,"",IF(OR(COUNTIF(계정대체기준!$A$77:$A$86,$N730)&gt;0,ISNUMBER(MATCH($X730,계정대체기준!$D$77:$D$86,0)),ISNUMBER(MATCH($F730,계정대체기준!$D$77:$D$86,0))),"Y","N")))</f>
        <v/>
      </c>
    </row>
    <row r="731">
      <c r="A731" s="92" t="n">
        <v>2025</v>
      </c>
      <c r="B731" s="92" t="n">
        <v>4</v>
      </c>
      <c r="C731" s="92" t="inlineStr">
        <is>
          <t>5100000727</t>
        </is>
      </c>
      <c r="D731" s="95" t="n">
        <v>45754</v>
      </c>
      <c r="E731" s="92" t="inlineStr">
        <is>
          <t>KR</t>
        </is>
      </c>
      <c r="F731" s="92" t="n">
        <v>62501000</v>
      </c>
      <c r="G731" s="92" t="n">
        <v>1502</v>
      </c>
      <c r="H731" s="93" t="n">
        <v>264000</v>
      </c>
      <c r="I731" s="92" t="inlineStr">
        <is>
          <t>4월 회의 다과 - (법인카드)</t>
        </is>
      </c>
      <c r="J731" s="92" t="inlineStr">
        <is>
          <t>V10010</t>
        </is>
      </c>
      <c r="K731" s="92" t="inlineStr">
        <is>
          <t>(법인카드)</t>
        </is>
      </c>
      <c r="M731" s="9">
        <f>IF($A731="","",VALUE($A731&amp;"")*12+VALUE($B731&amp;""))</f>
        <v/>
      </c>
      <c r="N731" s="64">
        <f>IF($A731="","",IFERROR(INDEX(부서매핑!$C$5:$C$504,MATCH($G731&amp;"",부서매핑!$A$5:$A$504,0)),"미매핑"))</f>
        <v/>
      </c>
      <c r="O731" s="9">
        <f>IF($A731="","",N731&amp;"|"&amp;$F731)</f>
        <v/>
      </c>
      <c r="P731" s="94">
        <f>IF($A731="",0,$H731*설정!$C$23)</f>
        <v/>
      </c>
      <c r="Q731" s="64">
        <f>IF($A731="","",IF(O731&lt;&gt;원인분석!$C$9,"",IF(AND(M731&gt;=원인분석!$C$10,M731&lt;=원인분석!$C$11),"당기",IF(AND(M731&gt;=원인분석!$C$12,M731&lt;=원인분석!$C$13),"비교",""))))</f>
        <v/>
      </c>
      <c r="R731" s="9">
        <f>IF(Q731="","",$K731&amp;"")</f>
        <v/>
      </c>
      <c r="S731" s="9">
        <f>IF(Q731="","",IF(MATCH(R731,$R$5:$R$100000,0)=ROW()-4,ROW(),""))</f>
        <v/>
      </c>
      <c r="T731" s="9">
        <f>IF(Q731="당기",ABS(P731)+ROW()/1000000000,"")</f>
        <v/>
      </c>
      <c r="U731" s="9">
        <f>IF(Q731="비교",ABS(P731)+ROW()/1000000000,"")</f>
        <v/>
      </c>
      <c r="V731" s="64">
        <f>IF($A731="","",IF(COUNTIF(변동분석!$E$7:$E$506,O731)&gt;0,"Y","N"))</f>
        <v/>
      </c>
      <c r="W731" s="64">
        <f>IF($A731="","",IFERROR(INDEX(계정매핑!$D$5:$D$504,MATCH($F731&amp;"",계정매핑!$A$5:$A$504,0)),"미매핑"))</f>
        <v/>
      </c>
      <c r="X731" s="9">
        <f>IF($A731="","",$F731&amp;"")</f>
        <v/>
      </c>
      <c r="Y731" s="94">
        <f>IF($A731="",0,IF(AE731="직접",IF(AF731="비귀속",$P731,0),$P731*(1-AG731)*IFERROR(INDEX(계정대체기준!$F$20:$F$49,MATCH($N731,계정대체기준!$A$20:$A$49,0)),1)))</f>
        <v/>
      </c>
      <c r="Z731" s="94">
        <f>IF($A731="",0,IF(AE731="직접",IF(AF731="신계약비",$P731,0),$P731*(1-AG731)*IFERROR(INDEX(계정대체기준!$C$20:$C$49,MATCH($N731,계정대체기준!$A$20:$A$49,0)),0)))</f>
        <v/>
      </c>
      <c r="AA731" s="94">
        <f>IF($A731="",0,IF(AE731="직접",IF(OR(AF731="유지비",AF731="손해조사비"),$P731,0),$P731*(1-AG731)*IFERROR(INDEX(계정대체기준!$D$20:$D$49,MATCH($N731,계정대체기준!$A$20:$A$49,0)),0)))</f>
        <v/>
      </c>
      <c r="AB731" s="94">
        <f>IF($A731="",0,IF(AE731="직접",IF(AF731="수금비",$P731,0),$P731*(1-AG731)*IFERROR(INDEX(계정대체기준!$E$20:$E$49,MATCH($N731,계정대체기준!$A$20:$A$49,0)),0)))</f>
        <v/>
      </c>
      <c r="AC731" s="9">
        <f>IF(AND($A731&lt;&gt;"",M731=설정!$C$20,Z731&gt;0),Z731+ROW()/1000000000,"")</f>
        <v/>
      </c>
      <c r="AD731" s="94">
        <f>IF($A731="",0,$P731*AG731)</f>
        <v/>
      </c>
      <c r="AE731" s="64">
        <f>IF($A731="","",IFERROR(INDEX(계정매핑!$E$5:$E$504,MATCH($F731&amp;"",계정매핑!$A$5:$A$504,0))&amp;"","공통비"))</f>
        <v/>
      </c>
      <c r="AF731" s="64">
        <f>IF($A731="","",IF(AE731="직접",IFERROR(INDEX(계정매핑!$F$5:$F$504,MATCH($F731&amp;"",계정매핑!$A$5:$A$504,0))&amp;"","비귀속"),""))</f>
        <v/>
      </c>
      <c r="AG731" s="96">
        <f>IF($A731="",0,IF(AND(AE731&lt;&gt;"직접",IFERROR(INDEX(계정매핑!$G$5:$G$504,MATCH($F731&amp;"",계정매핑!$A$5:$A$504,0))&amp;"","")="유지비",COUNTIF(계정대체기준!$A$6:$A$15,$N731)&gt;0),IFERROR(INDEX(계정대체기준!$E$6:$E$15,MATCH(VALUE($A731&amp;""),계정대체기준!$D$6:$D$15,0)),0),0))</f>
        <v/>
      </c>
      <c r="AH731" s="64">
        <f>IF($A731="","",IF(AD731=0,"",IF(OR(COUNTIF(계정대체기준!$A$77:$A$86,$N731)&gt;0,ISNUMBER(MATCH($X731,계정대체기준!$D$77:$D$86,0)),ISNUMBER(MATCH($F731,계정대체기준!$D$77:$D$86,0))),"Y","N")))</f>
        <v/>
      </c>
    </row>
    <row r="732">
      <c r="A732" s="92" t="n">
        <v>2025</v>
      </c>
      <c r="B732" s="92" t="n">
        <v>4</v>
      </c>
      <c r="C732" s="92" t="inlineStr">
        <is>
          <t>5100000728</t>
        </is>
      </c>
      <c r="D732" s="95" t="n">
        <v>45754</v>
      </c>
      <c r="E732" s="92" t="inlineStr">
        <is>
          <t>KR</t>
        </is>
      </c>
      <c r="F732" s="92" t="n">
        <v>62902000</v>
      </c>
      <c r="G732" s="92" t="n">
        <v>1801</v>
      </c>
      <c r="H732" s="93" t="n">
        <v>1770000</v>
      </c>
      <c r="I732" s="92" t="inlineStr">
        <is>
          <t>4월 콜 위탁 수수료(건별)</t>
        </is>
      </c>
      <c r="J732" s="92" t="inlineStr">
        <is>
          <t>V10016</t>
        </is>
      </c>
      <c r="K732" s="92" t="inlineStr">
        <is>
          <t>J콜센터</t>
        </is>
      </c>
      <c r="M732" s="9">
        <f>IF($A732="","",VALUE($A732&amp;"")*12+VALUE($B732&amp;""))</f>
        <v/>
      </c>
      <c r="N732" s="64">
        <f>IF($A732="","",IFERROR(INDEX(부서매핑!$C$5:$C$504,MATCH($G732&amp;"",부서매핑!$A$5:$A$504,0)),"미매핑"))</f>
        <v/>
      </c>
      <c r="O732" s="9">
        <f>IF($A732="","",N732&amp;"|"&amp;$F732)</f>
        <v/>
      </c>
      <c r="P732" s="94">
        <f>IF($A732="",0,$H732*설정!$C$23)</f>
        <v/>
      </c>
      <c r="Q732" s="64">
        <f>IF($A732="","",IF(O732&lt;&gt;원인분석!$C$9,"",IF(AND(M732&gt;=원인분석!$C$10,M732&lt;=원인분석!$C$11),"당기",IF(AND(M732&gt;=원인분석!$C$12,M732&lt;=원인분석!$C$13),"비교",""))))</f>
        <v/>
      </c>
      <c r="R732" s="9">
        <f>IF(Q732="","",$K732&amp;"")</f>
        <v/>
      </c>
      <c r="S732" s="9">
        <f>IF(Q732="","",IF(MATCH(R732,$R$5:$R$100000,0)=ROW()-4,ROW(),""))</f>
        <v/>
      </c>
      <c r="T732" s="9">
        <f>IF(Q732="당기",ABS(P732)+ROW()/1000000000,"")</f>
        <v/>
      </c>
      <c r="U732" s="9">
        <f>IF(Q732="비교",ABS(P732)+ROW()/1000000000,"")</f>
        <v/>
      </c>
      <c r="V732" s="64">
        <f>IF($A732="","",IF(COUNTIF(변동분석!$E$7:$E$506,O732)&gt;0,"Y","N"))</f>
        <v/>
      </c>
      <c r="W732" s="64">
        <f>IF($A732="","",IFERROR(INDEX(계정매핑!$D$5:$D$504,MATCH($F732&amp;"",계정매핑!$A$5:$A$504,0)),"미매핑"))</f>
        <v/>
      </c>
      <c r="X732" s="9">
        <f>IF($A732="","",$F732&amp;"")</f>
        <v/>
      </c>
      <c r="Y732" s="94">
        <f>IF($A732="",0,IF(AE732="직접",IF(AF732="비귀속",$P732,0),$P732*(1-AG732)*IFERROR(INDEX(계정대체기준!$F$20:$F$49,MATCH($N732,계정대체기준!$A$20:$A$49,0)),1)))</f>
        <v/>
      </c>
      <c r="Z732" s="94">
        <f>IF($A732="",0,IF(AE732="직접",IF(AF732="신계약비",$P732,0),$P732*(1-AG732)*IFERROR(INDEX(계정대체기준!$C$20:$C$49,MATCH($N732,계정대체기준!$A$20:$A$49,0)),0)))</f>
        <v/>
      </c>
      <c r="AA732" s="94">
        <f>IF($A732="",0,IF(AE732="직접",IF(OR(AF732="유지비",AF732="손해조사비"),$P732,0),$P732*(1-AG732)*IFERROR(INDEX(계정대체기준!$D$20:$D$49,MATCH($N732,계정대체기준!$A$20:$A$49,0)),0)))</f>
        <v/>
      </c>
      <c r="AB732" s="94">
        <f>IF($A732="",0,IF(AE732="직접",IF(AF732="수금비",$P732,0),$P732*(1-AG732)*IFERROR(INDEX(계정대체기준!$E$20:$E$49,MATCH($N732,계정대체기준!$A$20:$A$49,0)),0)))</f>
        <v/>
      </c>
      <c r="AC732" s="9">
        <f>IF(AND($A732&lt;&gt;"",M732=설정!$C$20,Z732&gt;0),Z732+ROW()/1000000000,"")</f>
        <v/>
      </c>
      <c r="AD732" s="94">
        <f>IF($A732="",0,$P732*AG732)</f>
        <v/>
      </c>
      <c r="AE732" s="64">
        <f>IF($A732="","",IFERROR(INDEX(계정매핑!$E$5:$E$504,MATCH($F732&amp;"",계정매핑!$A$5:$A$504,0))&amp;"","공통비"))</f>
        <v/>
      </c>
      <c r="AF732" s="64">
        <f>IF($A732="","",IF(AE732="직접",IFERROR(INDEX(계정매핑!$F$5:$F$504,MATCH($F732&amp;"",계정매핑!$A$5:$A$504,0))&amp;"","비귀속"),""))</f>
        <v/>
      </c>
      <c r="AG732" s="96">
        <f>IF($A732="",0,IF(AND(AE732&lt;&gt;"직접",IFERROR(INDEX(계정매핑!$G$5:$G$504,MATCH($F732&amp;"",계정매핑!$A$5:$A$504,0))&amp;"","")="유지비",COUNTIF(계정대체기준!$A$6:$A$15,$N732)&gt;0),IFERROR(INDEX(계정대체기준!$E$6:$E$15,MATCH(VALUE($A732&amp;""),계정대체기준!$D$6:$D$15,0)),0),0))</f>
        <v/>
      </c>
      <c r="AH732" s="64">
        <f>IF($A732="","",IF(AD732=0,"",IF(OR(COUNTIF(계정대체기준!$A$77:$A$86,$N732)&gt;0,ISNUMBER(MATCH($X732,계정대체기준!$D$77:$D$86,0)),ISNUMBER(MATCH($F732,계정대체기준!$D$77:$D$86,0))),"Y","N")))</f>
        <v/>
      </c>
    </row>
    <row r="733">
      <c r="A733" s="92" t="n">
        <v>2025</v>
      </c>
      <c r="B733" s="92" t="n">
        <v>4</v>
      </c>
      <c r="C733" s="92" t="inlineStr">
        <is>
          <t>5100000729</t>
        </is>
      </c>
      <c r="D733" s="95" t="n">
        <v>45754</v>
      </c>
      <c r="E733" s="92" t="inlineStr">
        <is>
          <t>KR</t>
        </is>
      </c>
      <c r="F733" s="92" t="n">
        <v>62902000</v>
      </c>
      <c r="G733" s="92" t="n">
        <v>1951</v>
      </c>
      <c r="H733" s="93" t="n">
        <v>2164000</v>
      </c>
      <c r="I733" s="92" t="inlineStr">
        <is>
          <t>4월 업무 위탁 수수료 - J콜센터</t>
        </is>
      </c>
      <c r="J733" s="92" t="inlineStr">
        <is>
          <t>V10016</t>
        </is>
      </c>
      <c r="K733" s="92" t="inlineStr">
        <is>
          <t>J콜센터</t>
        </is>
      </c>
      <c r="M733" s="9">
        <f>IF($A733="","",VALUE($A733&amp;"")*12+VALUE($B733&amp;""))</f>
        <v/>
      </c>
      <c r="N733" s="64">
        <f>IF($A733="","",IFERROR(INDEX(부서매핑!$C$5:$C$504,MATCH($G733&amp;"",부서매핑!$A$5:$A$504,0)),"미매핑"))</f>
        <v/>
      </c>
      <c r="O733" s="9">
        <f>IF($A733="","",N733&amp;"|"&amp;$F733)</f>
        <v/>
      </c>
      <c r="P733" s="94">
        <f>IF($A733="",0,$H733*설정!$C$23)</f>
        <v/>
      </c>
      <c r="Q733" s="64">
        <f>IF($A733="","",IF(O733&lt;&gt;원인분석!$C$9,"",IF(AND(M733&gt;=원인분석!$C$10,M733&lt;=원인분석!$C$11),"당기",IF(AND(M733&gt;=원인분석!$C$12,M733&lt;=원인분석!$C$13),"비교",""))))</f>
        <v/>
      </c>
      <c r="R733" s="9">
        <f>IF(Q733="","",$K733&amp;"")</f>
        <v/>
      </c>
      <c r="S733" s="9">
        <f>IF(Q733="","",IF(MATCH(R733,$R$5:$R$100000,0)=ROW()-4,ROW(),""))</f>
        <v/>
      </c>
      <c r="T733" s="9">
        <f>IF(Q733="당기",ABS(P733)+ROW()/1000000000,"")</f>
        <v/>
      </c>
      <c r="U733" s="9">
        <f>IF(Q733="비교",ABS(P733)+ROW()/1000000000,"")</f>
        <v/>
      </c>
      <c r="V733" s="64">
        <f>IF($A733="","",IF(COUNTIF(변동분석!$E$7:$E$506,O733)&gt;0,"Y","N"))</f>
        <v/>
      </c>
      <c r="W733" s="64">
        <f>IF($A733="","",IFERROR(INDEX(계정매핑!$D$5:$D$504,MATCH($F733&amp;"",계정매핑!$A$5:$A$504,0)),"미매핑"))</f>
        <v/>
      </c>
      <c r="X733" s="9">
        <f>IF($A733="","",$F733&amp;"")</f>
        <v/>
      </c>
      <c r="Y733" s="94">
        <f>IF($A733="",0,IF(AE733="직접",IF(AF733="비귀속",$P733,0),$P733*(1-AG733)*IFERROR(INDEX(계정대체기준!$F$20:$F$49,MATCH($N733,계정대체기준!$A$20:$A$49,0)),1)))</f>
        <v/>
      </c>
      <c r="Z733" s="94">
        <f>IF($A733="",0,IF(AE733="직접",IF(AF733="신계약비",$P733,0),$P733*(1-AG733)*IFERROR(INDEX(계정대체기준!$C$20:$C$49,MATCH($N733,계정대체기준!$A$20:$A$49,0)),0)))</f>
        <v/>
      </c>
      <c r="AA733" s="94">
        <f>IF($A733="",0,IF(AE733="직접",IF(OR(AF733="유지비",AF733="손해조사비"),$P733,0),$P733*(1-AG733)*IFERROR(INDEX(계정대체기준!$D$20:$D$49,MATCH($N733,계정대체기준!$A$20:$A$49,0)),0)))</f>
        <v/>
      </c>
      <c r="AB733" s="94">
        <f>IF($A733="",0,IF(AE733="직접",IF(AF733="수금비",$P733,0),$P733*(1-AG733)*IFERROR(INDEX(계정대체기준!$E$20:$E$49,MATCH($N733,계정대체기준!$A$20:$A$49,0)),0)))</f>
        <v/>
      </c>
      <c r="AC733" s="9">
        <f>IF(AND($A733&lt;&gt;"",M733=설정!$C$20,Z733&gt;0),Z733+ROW()/1000000000,"")</f>
        <v/>
      </c>
      <c r="AD733" s="94">
        <f>IF($A733="",0,$P733*AG733)</f>
        <v/>
      </c>
      <c r="AE733" s="64">
        <f>IF($A733="","",IFERROR(INDEX(계정매핑!$E$5:$E$504,MATCH($F733&amp;"",계정매핑!$A$5:$A$504,0))&amp;"","공통비"))</f>
        <v/>
      </c>
      <c r="AF733" s="64">
        <f>IF($A733="","",IF(AE733="직접",IFERROR(INDEX(계정매핑!$F$5:$F$504,MATCH($F733&amp;"",계정매핑!$A$5:$A$504,0))&amp;"","비귀속"),""))</f>
        <v/>
      </c>
      <c r="AG733" s="96">
        <f>IF($A733="",0,IF(AND(AE733&lt;&gt;"직접",IFERROR(INDEX(계정매핑!$G$5:$G$504,MATCH($F733&amp;"",계정매핑!$A$5:$A$504,0))&amp;"","")="유지비",COUNTIF(계정대체기준!$A$6:$A$15,$N733)&gt;0),IFERROR(INDEX(계정대체기준!$E$6:$E$15,MATCH(VALUE($A733&amp;""),계정대체기준!$D$6:$D$15,0)),0),0))</f>
        <v/>
      </c>
      <c r="AH733" s="64">
        <f>IF($A733="","",IF(AD733=0,"",IF(OR(COUNTIF(계정대체기준!$A$77:$A$86,$N733)&gt;0,ISNUMBER(MATCH($X733,계정대체기준!$D$77:$D$86,0)),ISNUMBER(MATCH($F733,계정대체기준!$D$77:$D$86,0))),"Y","N")))</f>
        <v/>
      </c>
    </row>
    <row r="734">
      <c r="A734" s="92" t="n">
        <v>2025</v>
      </c>
      <c r="B734" s="92" t="n">
        <v>4</v>
      </c>
      <c r="C734" s="92" t="inlineStr">
        <is>
          <t>5100000730</t>
        </is>
      </c>
      <c r="D734" s="95" t="n">
        <v>45755</v>
      </c>
      <c r="E734" s="92" t="inlineStr">
        <is>
          <t>KR</t>
        </is>
      </c>
      <c r="F734" s="92" t="n">
        <v>62101000</v>
      </c>
      <c r="G734" s="92" t="n">
        <v>1101</v>
      </c>
      <c r="H734" s="93" t="n">
        <v>338000</v>
      </c>
      <c r="I734" s="92" t="inlineStr">
        <is>
          <t>4월 국내출장 - (법인카드)</t>
        </is>
      </c>
      <c r="J734" s="92" t="inlineStr">
        <is>
          <t>V10010</t>
        </is>
      </c>
      <c r="K734" s="92" t="inlineStr">
        <is>
          <t>(법인카드)</t>
        </is>
      </c>
      <c r="M734" s="9">
        <f>IF($A734="","",VALUE($A734&amp;"")*12+VALUE($B734&amp;""))</f>
        <v/>
      </c>
      <c r="N734" s="64">
        <f>IF($A734="","",IFERROR(INDEX(부서매핑!$C$5:$C$504,MATCH($G734&amp;"",부서매핑!$A$5:$A$504,0)),"미매핑"))</f>
        <v/>
      </c>
      <c r="O734" s="9">
        <f>IF($A734="","",N734&amp;"|"&amp;$F734)</f>
        <v/>
      </c>
      <c r="P734" s="94">
        <f>IF($A734="",0,$H734*설정!$C$23)</f>
        <v/>
      </c>
      <c r="Q734" s="64">
        <f>IF($A734="","",IF(O734&lt;&gt;원인분석!$C$9,"",IF(AND(M734&gt;=원인분석!$C$10,M734&lt;=원인분석!$C$11),"당기",IF(AND(M734&gt;=원인분석!$C$12,M734&lt;=원인분석!$C$13),"비교",""))))</f>
        <v/>
      </c>
      <c r="R734" s="9">
        <f>IF(Q734="","",$K734&amp;"")</f>
        <v/>
      </c>
      <c r="S734" s="9">
        <f>IF(Q734="","",IF(MATCH(R734,$R$5:$R$100000,0)=ROW()-4,ROW(),""))</f>
        <v/>
      </c>
      <c r="T734" s="9">
        <f>IF(Q734="당기",ABS(P734)+ROW()/1000000000,"")</f>
        <v/>
      </c>
      <c r="U734" s="9">
        <f>IF(Q734="비교",ABS(P734)+ROW()/1000000000,"")</f>
        <v/>
      </c>
      <c r="V734" s="64">
        <f>IF($A734="","",IF(COUNTIF(변동분석!$E$7:$E$506,O734)&gt;0,"Y","N"))</f>
        <v/>
      </c>
      <c r="W734" s="64">
        <f>IF($A734="","",IFERROR(INDEX(계정매핑!$D$5:$D$504,MATCH($F734&amp;"",계정매핑!$A$5:$A$504,0)),"미매핑"))</f>
        <v/>
      </c>
      <c r="X734" s="9">
        <f>IF($A734="","",$F734&amp;"")</f>
        <v/>
      </c>
      <c r="Y734" s="94">
        <f>IF($A734="",0,IF(AE734="직접",IF(AF734="비귀속",$P734,0),$P734*(1-AG734)*IFERROR(INDEX(계정대체기준!$F$20:$F$49,MATCH($N734,계정대체기준!$A$20:$A$49,0)),1)))</f>
        <v/>
      </c>
      <c r="Z734" s="94">
        <f>IF($A734="",0,IF(AE734="직접",IF(AF734="신계약비",$P734,0),$P734*(1-AG734)*IFERROR(INDEX(계정대체기준!$C$20:$C$49,MATCH($N734,계정대체기준!$A$20:$A$49,0)),0)))</f>
        <v/>
      </c>
      <c r="AA734" s="94">
        <f>IF($A734="",0,IF(AE734="직접",IF(OR(AF734="유지비",AF734="손해조사비"),$P734,0),$P734*(1-AG734)*IFERROR(INDEX(계정대체기준!$D$20:$D$49,MATCH($N734,계정대체기준!$A$20:$A$49,0)),0)))</f>
        <v/>
      </c>
      <c r="AB734" s="94">
        <f>IF($A734="",0,IF(AE734="직접",IF(AF734="수금비",$P734,0),$P734*(1-AG734)*IFERROR(INDEX(계정대체기준!$E$20:$E$49,MATCH($N734,계정대체기준!$A$20:$A$49,0)),0)))</f>
        <v/>
      </c>
      <c r="AC734" s="9">
        <f>IF(AND($A734&lt;&gt;"",M734=설정!$C$20,Z734&gt;0),Z734+ROW()/1000000000,"")</f>
        <v/>
      </c>
      <c r="AD734" s="94">
        <f>IF($A734="",0,$P734*AG734)</f>
        <v/>
      </c>
      <c r="AE734" s="64">
        <f>IF($A734="","",IFERROR(INDEX(계정매핑!$E$5:$E$504,MATCH($F734&amp;"",계정매핑!$A$5:$A$504,0))&amp;"","공통비"))</f>
        <v/>
      </c>
      <c r="AF734" s="64">
        <f>IF($A734="","",IF(AE734="직접",IFERROR(INDEX(계정매핑!$F$5:$F$504,MATCH($F734&amp;"",계정매핑!$A$5:$A$504,0))&amp;"","비귀속"),""))</f>
        <v/>
      </c>
      <c r="AG734" s="96">
        <f>IF($A734="",0,IF(AND(AE734&lt;&gt;"직접",IFERROR(INDEX(계정매핑!$G$5:$G$504,MATCH($F734&amp;"",계정매핑!$A$5:$A$504,0))&amp;"","")="유지비",COUNTIF(계정대체기준!$A$6:$A$15,$N734)&gt;0),IFERROR(INDEX(계정대체기준!$E$6:$E$15,MATCH(VALUE($A734&amp;""),계정대체기준!$D$6:$D$15,0)),0),0))</f>
        <v/>
      </c>
      <c r="AH734" s="64">
        <f>IF($A734="","",IF(AD734=0,"",IF(OR(COUNTIF(계정대체기준!$A$77:$A$86,$N734)&gt;0,ISNUMBER(MATCH($X734,계정대체기준!$D$77:$D$86,0)),ISNUMBER(MATCH($F734,계정대체기준!$D$77:$D$86,0))),"Y","N")))</f>
        <v/>
      </c>
    </row>
    <row r="735">
      <c r="A735" s="92" t="n">
        <v>2025</v>
      </c>
      <c r="B735" s="92" t="n">
        <v>4</v>
      </c>
      <c r="C735" s="92" t="inlineStr">
        <is>
          <t>5100000731</t>
        </is>
      </c>
      <c r="D735" s="95" t="n">
        <v>45755</v>
      </c>
      <c r="E735" s="92" t="inlineStr">
        <is>
          <t>KR</t>
        </is>
      </c>
      <c r="F735" s="92" t="n">
        <v>62101000</v>
      </c>
      <c r="G735" s="92" t="n">
        <v>1502</v>
      </c>
      <c r="H735" s="93" t="n">
        <v>368000</v>
      </c>
      <c r="I735" s="92" t="inlineStr">
        <is>
          <t>4월 국내출장 - (법인카드)</t>
        </is>
      </c>
      <c r="J735" s="92" t="inlineStr">
        <is>
          <t>V10010</t>
        </is>
      </c>
      <c r="K735" s="92" t="inlineStr">
        <is>
          <t>(법인카드)</t>
        </is>
      </c>
      <c r="M735" s="9">
        <f>IF($A735="","",VALUE($A735&amp;"")*12+VALUE($B735&amp;""))</f>
        <v/>
      </c>
      <c r="N735" s="64">
        <f>IF($A735="","",IFERROR(INDEX(부서매핑!$C$5:$C$504,MATCH($G735&amp;"",부서매핑!$A$5:$A$504,0)),"미매핑"))</f>
        <v/>
      </c>
      <c r="O735" s="9">
        <f>IF($A735="","",N735&amp;"|"&amp;$F735)</f>
        <v/>
      </c>
      <c r="P735" s="94">
        <f>IF($A735="",0,$H735*설정!$C$23)</f>
        <v/>
      </c>
      <c r="Q735" s="64">
        <f>IF($A735="","",IF(O735&lt;&gt;원인분석!$C$9,"",IF(AND(M735&gt;=원인분석!$C$10,M735&lt;=원인분석!$C$11),"당기",IF(AND(M735&gt;=원인분석!$C$12,M735&lt;=원인분석!$C$13),"비교",""))))</f>
        <v/>
      </c>
      <c r="R735" s="9">
        <f>IF(Q735="","",$K735&amp;"")</f>
        <v/>
      </c>
      <c r="S735" s="9">
        <f>IF(Q735="","",IF(MATCH(R735,$R$5:$R$100000,0)=ROW()-4,ROW(),""))</f>
        <v/>
      </c>
      <c r="T735" s="9">
        <f>IF(Q735="당기",ABS(P735)+ROW()/1000000000,"")</f>
        <v/>
      </c>
      <c r="U735" s="9">
        <f>IF(Q735="비교",ABS(P735)+ROW()/1000000000,"")</f>
        <v/>
      </c>
      <c r="V735" s="64">
        <f>IF($A735="","",IF(COUNTIF(변동분석!$E$7:$E$506,O735)&gt;0,"Y","N"))</f>
        <v/>
      </c>
      <c r="W735" s="64">
        <f>IF($A735="","",IFERROR(INDEX(계정매핑!$D$5:$D$504,MATCH($F735&amp;"",계정매핑!$A$5:$A$504,0)),"미매핑"))</f>
        <v/>
      </c>
      <c r="X735" s="9">
        <f>IF($A735="","",$F735&amp;"")</f>
        <v/>
      </c>
      <c r="Y735" s="94">
        <f>IF($A735="",0,IF(AE735="직접",IF(AF735="비귀속",$P735,0),$P735*(1-AG735)*IFERROR(INDEX(계정대체기준!$F$20:$F$49,MATCH($N735,계정대체기준!$A$20:$A$49,0)),1)))</f>
        <v/>
      </c>
      <c r="Z735" s="94">
        <f>IF($A735="",0,IF(AE735="직접",IF(AF735="신계약비",$P735,0),$P735*(1-AG735)*IFERROR(INDEX(계정대체기준!$C$20:$C$49,MATCH($N735,계정대체기준!$A$20:$A$49,0)),0)))</f>
        <v/>
      </c>
      <c r="AA735" s="94">
        <f>IF($A735="",0,IF(AE735="직접",IF(OR(AF735="유지비",AF735="손해조사비"),$P735,0),$P735*(1-AG735)*IFERROR(INDEX(계정대체기준!$D$20:$D$49,MATCH($N735,계정대체기준!$A$20:$A$49,0)),0)))</f>
        <v/>
      </c>
      <c r="AB735" s="94">
        <f>IF($A735="",0,IF(AE735="직접",IF(AF735="수금비",$P735,0),$P735*(1-AG735)*IFERROR(INDEX(계정대체기준!$E$20:$E$49,MATCH($N735,계정대체기준!$A$20:$A$49,0)),0)))</f>
        <v/>
      </c>
      <c r="AC735" s="9">
        <f>IF(AND($A735&lt;&gt;"",M735=설정!$C$20,Z735&gt;0),Z735+ROW()/1000000000,"")</f>
        <v/>
      </c>
      <c r="AD735" s="94">
        <f>IF($A735="",0,$P735*AG735)</f>
        <v/>
      </c>
      <c r="AE735" s="64">
        <f>IF($A735="","",IFERROR(INDEX(계정매핑!$E$5:$E$504,MATCH($F735&amp;"",계정매핑!$A$5:$A$504,0))&amp;"","공통비"))</f>
        <v/>
      </c>
      <c r="AF735" s="64">
        <f>IF($A735="","",IF(AE735="직접",IFERROR(INDEX(계정매핑!$F$5:$F$504,MATCH($F735&amp;"",계정매핑!$A$5:$A$504,0))&amp;"","비귀속"),""))</f>
        <v/>
      </c>
      <c r="AG735" s="96">
        <f>IF($A735="",0,IF(AND(AE735&lt;&gt;"직접",IFERROR(INDEX(계정매핑!$G$5:$G$504,MATCH($F735&amp;"",계정매핑!$A$5:$A$504,0))&amp;"","")="유지비",COUNTIF(계정대체기준!$A$6:$A$15,$N735)&gt;0),IFERROR(INDEX(계정대체기준!$E$6:$E$15,MATCH(VALUE($A735&amp;""),계정대체기준!$D$6:$D$15,0)),0),0))</f>
        <v/>
      </c>
      <c r="AH735" s="64">
        <f>IF($A735="","",IF(AD735=0,"",IF(OR(COUNTIF(계정대체기준!$A$77:$A$86,$N735)&gt;0,ISNUMBER(MATCH($X735,계정대체기준!$D$77:$D$86,0)),ISNUMBER(MATCH($F735,계정대체기준!$D$77:$D$86,0))),"Y","N")))</f>
        <v/>
      </c>
    </row>
    <row r="736">
      <c r="A736" s="92" t="n">
        <v>2025</v>
      </c>
      <c r="B736" s="92" t="n">
        <v>4</v>
      </c>
      <c r="C736" s="92" t="inlineStr">
        <is>
          <t>5100000732</t>
        </is>
      </c>
      <c r="D736" s="95" t="n">
        <v>45755</v>
      </c>
      <c r="E736" s="92" t="inlineStr">
        <is>
          <t>KR</t>
        </is>
      </c>
      <c r="F736" s="92" t="n">
        <v>62101000</v>
      </c>
      <c r="G736" s="92" t="n">
        <v>1701</v>
      </c>
      <c r="H736" s="93" t="n">
        <v>311000</v>
      </c>
      <c r="I736" s="92" t="inlineStr">
        <is>
          <t>4월 국내출장 - (법인카드)</t>
        </is>
      </c>
      <c r="J736" s="92" t="inlineStr">
        <is>
          <t>V10010</t>
        </is>
      </c>
      <c r="K736" s="92" t="inlineStr">
        <is>
          <t>(법인카드)</t>
        </is>
      </c>
      <c r="M736" s="9">
        <f>IF($A736="","",VALUE($A736&amp;"")*12+VALUE($B736&amp;""))</f>
        <v/>
      </c>
      <c r="N736" s="64">
        <f>IF($A736="","",IFERROR(INDEX(부서매핑!$C$5:$C$504,MATCH($G736&amp;"",부서매핑!$A$5:$A$504,0)),"미매핑"))</f>
        <v/>
      </c>
      <c r="O736" s="9">
        <f>IF($A736="","",N736&amp;"|"&amp;$F736)</f>
        <v/>
      </c>
      <c r="P736" s="94">
        <f>IF($A736="",0,$H736*설정!$C$23)</f>
        <v/>
      </c>
      <c r="Q736" s="64">
        <f>IF($A736="","",IF(O736&lt;&gt;원인분석!$C$9,"",IF(AND(M736&gt;=원인분석!$C$10,M736&lt;=원인분석!$C$11),"당기",IF(AND(M736&gt;=원인분석!$C$12,M736&lt;=원인분석!$C$13),"비교",""))))</f>
        <v/>
      </c>
      <c r="R736" s="9">
        <f>IF(Q736="","",$K736&amp;"")</f>
        <v/>
      </c>
      <c r="S736" s="9">
        <f>IF(Q736="","",IF(MATCH(R736,$R$5:$R$100000,0)=ROW()-4,ROW(),""))</f>
        <v/>
      </c>
      <c r="T736" s="9">
        <f>IF(Q736="당기",ABS(P736)+ROW()/1000000000,"")</f>
        <v/>
      </c>
      <c r="U736" s="9">
        <f>IF(Q736="비교",ABS(P736)+ROW()/1000000000,"")</f>
        <v/>
      </c>
      <c r="V736" s="64">
        <f>IF($A736="","",IF(COUNTIF(변동분석!$E$7:$E$506,O736)&gt;0,"Y","N"))</f>
        <v/>
      </c>
      <c r="W736" s="64">
        <f>IF($A736="","",IFERROR(INDEX(계정매핑!$D$5:$D$504,MATCH($F736&amp;"",계정매핑!$A$5:$A$504,0)),"미매핑"))</f>
        <v/>
      </c>
      <c r="X736" s="9">
        <f>IF($A736="","",$F736&amp;"")</f>
        <v/>
      </c>
      <c r="Y736" s="94">
        <f>IF($A736="",0,IF(AE736="직접",IF(AF736="비귀속",$P736,0),$P736*(1-AG736)*IFERROR(INDEX(계정대체기준!$F$20:$F$49,MATCH($N736,계정대체기준!$A$20:$A$49,0)),1)))</f>
        <v/>
      </c>
      <c r="Z736" s="94">
        <f>IF($A736="",0,IF(AE736="직접",IF(AF736="신계약비",$P736,0),$P736*(1-AG736)*IFERROR(INDEX(계정대체기준!$C$20:$C$49,MATCH($N736,계정대체기준!$A$20:$A$49,0)),0)))</f>
        <v/>
      </c>
      <c r="AA736" s="94">
        <f>IF($A736="",0,IF(AE736="직접",IF(OR(AF736="유지비",AF736="손해조사비"),$P736,0),$P736*(1-AG736)*IFERROR(INDEX(계정대체기준!$D$20:$D$49,MATCH($N736,계정대체기준!$A$20:$A$49,0)),0)))</f>
        <v/>
      </c>
      <c r="AB736" s="94">
        <f>IF($A736="",0,IF(AE736="직접",IF(AF736="수금비",$P736,0),$P736*(1-AG736)*IFERROR(INDEX(계정대체기준!$E$20:$E$49,MATCH($N736,계정대체기준!$A$20:$A$49,0)),0)))</f>
        <v/>
      </c>
      <c r="AC736" s="9">
        <f>IF(AND($A736&lt;&gt;"",M736=설정!$C$20,Z736&gt;0),Z736+ROW()/1000000000,"")</f>
        <v/>
      </c>
      <c r="AD736" s="94">
        <f>IF($A736="",0,$P736*AG736)</f>
        <v/>
      </c>
      <c r="AE736" s="64">
        <f>IF($A736="","",IFERROR(INDEX(계정매핑!$E$5:$E$504,MATCH($F736&amp;"",계정매핑!$A$5:$A$504,0))&amp;"","공통비"))</f>
        <v/>
      </c>
      <c r="AF736" s="64">
        <f>IF($A736="","",IF(AE736="직접",IFERROR(INDEX(계정매핑!$F$5:$F$504,MATCH($F736&amp;"",계정매핑!$A$5:$A$504,0))&amp;"","비귀속"),""))</f>
        <v/>
      </c>
      <c r="AG736" s="96">
        <f>IF($A736="",0,IF(AND(AE736&lt;&gt;"직접",IFERROR(INDEX(계정매핑!$G$5:$G$504,MATCH($F736&amp;"",계정매핑!$A$5:$A$504,0))&amp;"","")="유지비",COUNTIF(계정대체기준!$A$6:$A$15,$N736)&gt;0),IFERROR(INDEX(계정대체기준!$E$6:$E$15,MATCH(VALUE($A736&amp;""),계정대체기준!$D$6:$D$15,0)),0),0))</f>
        <v/>
      </c>
      <c r="AH736" s="64">
        <f>IF($A736="","",IF(AD736=0,"",IF(OR(COUNTIF(계정대체기준!$A$77:$A$86,$N736)&gt;0,ISNUMBER(MATCH($X736,계정대체기준!$D$77:$D$86,0)),ISNUMBER(MATCH($F736,계정대체기준!$D$77:$D$86,0))),"Y","N")))</f>
        <v/>
      </c>
    </row>
    <row r="737">
      <c r="A737" s="92" t="n">
        <v>2025</v>
      </c>
      <c r="B737" s="92" t="n">
        <v>4</v>
      </c>
      <c r="C737" s="92" t="inlineStr">
        <is>
          <t>5100000733</t>
        </is>
      </c>
      <c r="D737" s="95" t="n">
        <v>45755</v>
      </c>
      <c r="E737" s="92" t="inlineStr">
        <is>
          <t>KR</t>
        </is>
      </c>
      <c r="F737" s="92" t="n">
        <v>62102000</v>
      </c>
      <c r="G737" s="92" t="n">
        <v>1401</v>
      </c>
      <c r="H737" s="93" t="n">
        <v>110000</v>
      </c>
      <c r="I737" s="92" t="inlineStr">
        <is>
          <t>4월 해외출장 - N호텔</t>
        </is>
      </c>
      <c r="J737" s="92" t="inlineStr">
        <is>
          <t>V10009</t>
        </is>
      </c>
      <c r="K737" s="92" t="inlineStr">
        <is>
          <t>N호텔</t>
        </is>
      </c>
      <c r="M737" s="9">
        <f>IF($A737="","",VALUE($A737&amp;"")*12+VALUE($B737&amp;""))</f>
        <v/>
      </c>
      <c r="N737" s="64">
        <f>IF($A737="","",IFERROR(INDEX(부서매핑!$C$5:$C$504,MATCH($G737&amp;"",부서매핑!$A$5:$A$504,0)),"미매핑"))</f>
        <v/>
      </c>
      <c r="O737" s="9">
        <f>IF($A737="","",N737&amp;"|"&amp;$F737)</f>
        <v/>
      </c>
      <c r="P737" s="94">
        <f>IF($A737="",0,$H737*설정!$C$23)</f>
        <v/>
      </c>
      <c r="Q737" s="64">
        <f>IF($A737="","",IF(O737&lt;&gt;원인분석!$C$9,"",IF(AND(M737&gt;=원인분석!$C$10,M737&lt;=원인분석!$C$11),"당기",IF(AND(M737&gt;=원인분석!$C$12,M737&lt;=원인분석!$C$13),"비교",""))))</f>
        <v/>
      </c>
      <c r="R737" s="9">
        <f>IF(Q737="","",$K737&amp;"")</f>
        <v/>
      </c>
      <c r="S737" s="9">
        <f>IF(Q737="","",IF(MATCH(R737,$R$5:$R$100000,0)=ROW()-4,ROW(),""))</f>
        <v/>
      </c>
      <c r="T737" s="9">
        <f>IF(Q737="당기",ABS(P737)+ROW()/1000000000,"")</f>
        <v/>
      </c>
      <c r="U737" s="9">
        <f>IF(Q737="비교",ABS(P737)+ROW()/1000000000,"")</f>
        <v/>
      </c>
      <c r="V737" s="64">
        <f>IF($A737="","",IF(COUNTIF(변동분석!$E$7:$E$506,O737)&gt;0,"Y","N"))</f>
        <v/>
      </c>
      <c r="W737" s="64">
        <f>IF($A737="","",IFERROR(INDEX(계정매핑!$D$5:$D$504,MATCH($F737&amp;"",계정매핑!$A$5:$A$504,0)),"미매핑"))</f>
        <v/>
      </c>
      <c r="X737" s="9">
        <f>IF($A737="","",$F737&amp;"")</f>
        <v/>
      </c>
      <c r="Y737" s="94">
        <f>IF($A737="",0,IF(AE737="직접",IF(AF737="비귀속",$P737,0),$P737*(1-AG737)*IFERROR(INDEX(계정대체기준!$F$20:$F$49,MATCH($N737,계정대체기준!$A$20:$A$49,0)),1)))</f>
        <v/>
      </c>
      <c r="Z737" s="94">
        <f>IF($A737="",0,IF(AE737="직접",IF(AF737="신계약비",$P737,0),$P737*(1-AG737)*IFERROR(INDEX(계정대체기준!$C$20:$C$49,MATCH($N737,계정대체기준!$A$20:$A$49,0)),0)))</f>
        <v/>
      </c>
      <c r="AA737" s="94">
        <f>IF($A737="",0,IF(AE737="직접",IF(OR(AF737="유지비",AF737="손해조사비"),$P737,0),$P737*(1-AG737)*IFERROR(INDEX(계정대체기준!$D$20:$D$49,MATCH($N737,계정대체기준!$A$20:$A$49,0)),0)))</f>
        <v/>
      </c>
      <c r="AB737" s="94">
        <f>IF($A737="",0,IF(AE737="직접",IF(AF737="수금비",$P737,0),$P737*(1-AG737)*IFERROR(INDEX(계정대체기준!$E$20:$E$49,MATCH($N737,계정대체기준!$A$20:$A$49,0)),0)))</f>
        <v/>
      </c>
      <c r="AC737" s="9">
        <f>IF(AND($A737&lt;&gt;"",M737=설정!$C$20,Z737&gt;0),Z737+ROW()/1000000000,"")</f>
        <v/>
      </c>
      <c r="AD737" s="94">
        <f>IF($A737="",0,$P737*AG737)</f>
        <v/>
      </c>
      <c r="AE737" s="64">
        <f>IF($A737="","",IFERROR(INDEX(계정매핑!$E$5:$E$504,MATCH($F737&amp;"",계정매핑!$A$5:$A$504,0))&amp;"","공통비"))</f>
        <v/>
      </c>
      <c r="AF737" s="64">
        <f>IF($A737="","",IF(AE737="직접",IFERROR(INDEX(계정매핑!$F$5:$F$504,MATCH($F737&amp;"",계정매핑!$A$5:$A$504,0))&amp;"","비귀속"),""))</f>
        <v/>
      </c>
      <c r="AG737" s="96">
        <f>IF($A737="",0,IF(AND(AE737&lt;&gt;"직접",IFERROR(INDEX(계정매핑!$G$5:$G$504,MATCH($F737&amp;"",계정매핑!$A$5:$A$504,0))&amp;"","")="유지비",COUNTIF(계정대체기준!$A$6:$A$15,$N737)&gt;0),IFERROR(INDEX(계정대체기준!$E$6:$E$15,MATCH(VALUE($A737&amp;""),계정대체기준!$D$6:$D$15,0)),0),0))</f>
        <v/>
      </c>
      <c r="AH737" s="64">
        <f>IF($A737="","",IF(AD737=0,"",IF(OR(COUNTIF(계정대체기준!$A$77:$A$86,$N737)&gt;0,ISNUMBER(MATCH($X737,계정대체기준!$D$77:$D$86,0)),ISNUMBER(MATCH($F737,계정대체기준!$D$77:$D$86,0))),"Y","N")))</f>
        <v/>
      </c>
    </row>
    <row r="738">
      <c r="A738" s="92" t="n">
        <v>2025</v>
      </c>
      <c r="B738" s="92" t="n">
        <v>4</v>
      </c>
      <c r="C738" s="92" t="inlineStr">
        <is>
          <t>5100000734</t>
        </is>
      </c>
      <c r="D738" s="95" t="n">
        <v>45755</v>
      </c>
      <c r="E738" s="92" t="inlineStr">
        <is>
          <t>KR</t>
        </is>
      </c>
      <c r="F738" s="92" t="n">
        <v>62102000</v>
      </c>
      <c r="G738" s="92" t="n">
        <v>1501</v>
      </c>
      <c r="H738" s="93" t="n">
        <v>90000</v>
      </c>
      <c r="I738" s="92" t="inlineStr">
        <is>
          <t>4월 해외출장 - N호텔</t>
        </is>
      </c>
      <c r="J738" s="92" t="inlineStr">
        <is>
          <t>V10009</t>
        </is>
      </c>
      <c r="K738" s="92" t="inlineStr">
        <is>
          <t>N호텔</t>
        </is>
      </c>
      <c r="M738" s="9">
        <f>IF($A738="","",VALUE($A738&amp;"")*12+VALUE($B738&amp;""))</f>
        <v/>
      </c>
      <c r="N738" s="64">
        <f>IF($A738="","",IFERROR(INDEX(부서매핑!$C$5:$C$504,MATCH($G738&amp;"",부서매핑!$A$5:$A$504,0)),"미매핑"))</f>
        <v/>
      </c>
      <c r="O738" s="9">
        <f>IF($A738="","",N738&amp;"|"&amp;$F738)</f>
        <v/>
      </c>
      <c r="P738" s="94">
        <f>IF($A738="",0,$H738*설정!$C$23)</f>
        <v/>
      </c>
      <c r="Q738" s="64">
        <f>IF($A738="","",IF(O738&lt;&gt;원인분석!$C$9,"",IF(AND(M738&gt;=원인분석!$C$10,M738&lt;=원인분석!$C$11),"당기",IF(AND(M738&gt;=원인분석!$C$12,M738&lt;=원인분석!$C$13),"비교",""))))</f>
        <v/>
      </c>
      <c r="R738" s="9">
        <f>IF(Q738="","",$K738&amp;"")</f>
        <v/>
      </c>
      <c r="S738" s="9">
        <f>IF(Q738="","",IF(MATCH(R738,$R$5:$R$100000,0)=ROW()-4,ROW(),""))</f>
        <v/>
      </c>
      <c r="T738" s="9">
        <f>IF(Q738="당기",ABS(P738)+ROW()/1000000000,"")</f>
        <v/>
      </c>
      <c r="U738" s="9">
        <f>IF(Q738="비교",ABS(P738)+ROW()/1000000000,"")</f>
        <v/>
      </c>
      <c r="V738" s="64">
        <f>IF($A738="","",IF(COUNTIF(변동분석!$E$7:$E$506,O738)&gt;0,"Y","N"))</f>
        <v/>
      </c>
      <c r="W738" s="64">
        <f>IF($A738="","",IFERROR(INDEX(계정매핑!$D$5:$D$504,MATCH($F738&amp;"",계정매핑!$A$5:$A$504,0)),"미매핑"))</f>
        <v/>
      </c>
      <c r="X738" s="9">
        <f>IF($A738="","",$F738&amp;"")</f>
        <v/>
      </c>
      <c r="Y738" s="94">
        <f>IF($A738="",0,IF(AE738="직접",IF(AF738="비귀속",$P738,0),$P738*(1-AG738)*IFERROR(INDEX(계정대체기준!$F$20:$F$49,MATCH($N738,계정대체기준!$A$20:$A$49,0)),1)))</f>
        <v/>
      </c>
      <c r="Z738" s="94">
        <f>IF($A738="",0,IF(AE738="직접",IF(AF738="신계약비",$P738,0),$P738*(1-AG738)*IFERROR(INDEX(계정대체기준!$C$20:$C$49,MATCH($N738,계정대체기준!$A$20:$A$49,0)),0)))</f>
        <v/>
      </c>
      <c r="AA738" s="94">
        <f>IF($A738="",0,IF(AE738="직접",IF(OR(AF738="유지비",AF738="손해조사비"),$P738,0),$P738*(1-AG738)*IFERROR(INDEX(계정대체기준!$D$20:$D$49,MATCH($N738,계정대체기준!$A$20:$A$49,0)),0)))</f>
        <v/>
      </c>
      <c r="AB738" s="94">
        <f>IF($A738="",0,IF(AE738="직접",IF(AF738="수금비",$P738,0),$P738*(1-AG738)*IFERROR(INDEX(계정대체기준!$E$20:$E$49,MATCH($N738,계정대체기준!$A$20:$A$49,0)),0)))</f>
        <v/>
      </c>
      <c r="AC738" s="9">
        <f>IF(AND($A738&lt;&gt;"",M738=설정!$C$20,Z738&gt;0),Z738+ROW()/1000000000,"")</f>
        <v/>
      </c>
      <c r="AD738" s="94">
        <f>IF($A738="",0,$P738*AG738)</f>
        <v/>
      </c>
      <c r="AE738" s="64">
        <f>IF($A738="","",IFERROR(INDEX(계정매핑!$E$5:$E$504,MATCH($F738&amp;"",계정매핑!$A$5:$A$504,0))&amp;"","공통비"))</f>
        <v/>
      </c>
      <c r="AF738" s="64">
        <f>IF($A738="","",IF(AE738="직접",IFERROR(INDEX(계정매핑!$F$5:$F$504,MATCH($F738&amp;"",계정매핑!$A$5:$A$504,0))&amp;"","비귀속"),""))</f>
        <v/>
      </c>
      <c r="AG738" s="96">
        <f>IF($A738="",0,IF(AND(AE738&lt;&gt;"직접",IFERROR(INDEX(계정매핑!$G$5:$G$504,MATCH($F738&amp;"",계정매핑!$A$5:$A$504,0))&amp;"","")="유지비",COUNTIF(계정대체기준!$A$6:$A$15,$N738)&gt;0),IFERROR(INDEX(계정대체기준!$E$6:$E$15,MATCH(VALUE($A738&amp;""),계정대체기준!$D$6:$D$15,0)),0),0))</f>
        <v/>
      </c>
      <c r="AH738" s="64">
        <f>IF($A738="","",IF(AD738=0,"",IF(OR(COUNTIF(계정대체기준!$A$77:$A$86,$N738)&gt;0,ISNUMBER(MATCH($X738,계정대체기준!$D$77:$D$86,0)),ISNUMBER(MATCH($F738,계정대체기준!$D$77:$D$86,0))),"Y","N")))</f>
        <v/>
      </c>
    </row>
    <row r="739">
      <c r="A739" s="92" t="n">
        <v>2025</v>
      </c>
      <c r="B739" s="92" t="n">
        <v>4</v>
      </c>
      <c r="C739" s="92" t="inlineStr">
        <is>
          <t>5100000735</t>
        </is>
      </c>
      <c r="D739" s="95" t="n">
        <v>45755</v>
      </c>
      <c r="E739" s="92" t="inlineStr">
        <is>
          <t>KR</t>
        </is>
      </c>
      <c r="F739" s="92" t="n">
        <v>62102000</v>
      </c>
      <c r="G739" s="92" t="n">
        <v>1701</v>
      </c>
      <c r="H739" s="93" t="n">
        <v>63000</v>
      </c>
      <c r="I739" s="92" t="inlineStr">
        <is>
          <t>4월 해외출장 - N호텔</t>
        </is>
      </c>
      <c r="J739" s="92" t="inlineStr">
        <is>
          <t>V10009</t>
        </is>
      </c>
      <c r="K739" s="92" t="inlineStr">
        <is>
          <t>N호텔</t>
        </is>
      </c>
      <c r="M739" s="9">
        <f>IF($A739="","",VALUE($A739&amp;"")*12+VALUE($B739&amp;""))</f>
        <v/>
      </c>
      <c r="N739" s="64">
        <f>IF($A739="","",IFERROR(INDEX(부서매핑!$C$5:$C$504,MATCH($G739&amp;"",부서매핑!$A$5:$A$504,0)),"미매핑"))</f>
        <v/>
      </c>
      <c r="O739" s="9">
        <f>IF($A739="","",N739&amp;"|"&amp;$F739)</f>
        <v/>
      </c>
      <c r="P739" s="94">
        <f>IF($A739="",0,$H739*설정!$C$23)</f>
        <v/>
      </c>
      <c r="Q739" s="64">
        <f>IF($A739="","",IF(O739&lt;&gt;원인분석!$C$9,"",IF(AND(M739&gt;=원인분석!$C$10,M739&lt;=원인분석!$C$11),"당기",IF(AND(M739&gt;=원인분석!$C$12,M739&lt;=원인분석!$C$13),"비교",""))))</f>
        <v/>
      </c>
      <c r="R739" s="9">
        <f>IF(Q739="","",$K739&amp;"")</f>
        <v/>
      </c>
      <c r="S739" s="9">
        <f>IF(Q739="","",IF(MATCH(R739,$R$5:$R$100000,0)=ROW()-4,ROW(),""))</f>
        <v/>
      </c>
      <c r="T739" s="9">
        <f>IF(Q739="당기",ABS(P739)+ROW()/1000000000,"")</f>
        <v/>
      </c>
      <c r="U739" s="9">
        <f>IF(Q739="비교",ABS(P739)+ROW()/1000000000,"")</f>
        <v/>
      </c>
      <c r="V739" s="64">
        <f>IF($A739="","",IF(COUNTIF(변동분석!$E$7:$E$506,O739)&gt;0,"Y","N"))</f>
        <v/>
      </c>
      <c r="W739" s="64">
        <f>IF($A739="","",IFERROR(INDEX(계정매핑!$D$5:$D$504,MATCH($F739&amp;"",계정매핑!$A$5:$A$504,0)),"미매핑"))</f>
        <v/>
      </c>
      <c r="X739" s="9">
        <f>IF($A739="","",$F739&amp;"")</f>
        <v/>
      </c>
      <c r="Y739" s="94">
        <f>IF($A739="",0,IF(AE739="직접",IF(AF739="비귀속",$P739,0),$P739*(1-AG739)*IFERROR(INDEX(계정대체기준!$F$20:$F$49,MATCH($N739,계정대체기준!$A$20:$A$49,0)),1)))</f>
        <v/>
      </c>
      <c r="Z739" s="94">
        <f>IF($A739="",0,IF(AE739="직접",IF(AF739="신계약비",$P739,0),$P739*(1-AG739)*IFERROR(INDEX(계정대체기준!$C$20:$C$49,MATCH($N739,계정대체기준!$A$20:$A$49,0)),0)))</f>
        <v/>
      </c>
      <c r="AA739" s="94">
        <f>IF($A739="",0,IF(AE739="직접",IF(OR(AF739="유지비",AF739="손해조사비"),$P739,0),$P739*(1-AG739)*IFERROR(INDEX(계정대체기준!$D$20:$D$49,MATCH($N739,계정대체기준!$A$20:$A$49,0)),0)))</f>
        <v/>
      </c>
      <c r="AB739" s="94">
        <f>IF($A739="",0,IF(AE739="직접",IF(AF739="수금비",$P739,0),$P739*(1-AG739)*IFERROR(INDEX(계정대체기준!$E$20:$E$49,MATCH($N739,계정대체기준!$A$20:$A$49,0)),0)))</f>
        <v/>
      </c>
      <c r="AC739" s="9">
        <f>IF(AND($A739&lt;&gt;"",M739=설정!$C$20,Z739&gt;0),Z739+ROW()/1000000000,"")</f>
        <v/>
      </c>
      <c r="AD739" s="94">
        <f>IF($A739="",0,$P739*AG739)</f>
        <v/>
      </c>
      <c r="AE739" s="64">
        <f>IF($A739="","",IFERROR(INDEX(계정매핑!$E$5:$E$504,MATCH($F739&amp;"",계정매핑!$A$5:$A$504,0))&amp;"","공통비"))</f>
        <v/>
      </c>
      <c r="AF739" s="64">
        <f>IF($A739="","",IF(AE739="직접",IFERROR(INDEX(계정매핑!$F$5:$F$504,MATCH($F739&amp;"",계정매핑!$A$5:$A$504,0))&amp;"","비귀속"),""))</f>
        <v/>
      </c>
      <c r="AG739" s="96">
        <f>IF($A739="",0,IF(AND(AE739&lt;&gt;"직접",IFERROR(INDEX(계정매핑!$G$5:$G$504,MATCH($F739&amp;"",계정매핑!$A$5:$A$504,0))&amp;"","")="유지비",COUNTIF(계정대체기준!$A$6:$A$15,$N739)&gt;0),IFERROR(INDEX(계정대체기준!$E$6:$E$15,MATCH(VALUE($A739&amp;""),계정대체기준!$D$6:$D$15,0)),0),0))</f>
        <v/>
      </c>
      <c r="AH739" s="64">
        <f>IF($A739="","",IF(AD739=0,"",IF(OR(COUNTIF(계정대체기준!$A$77:$A$86,$N739)&gt;0,ISNUMBER(MATCH($X739,계정대체기준!$D$77:$D$86,0)),ISNUMBER(MATCH($F739,계정대체기준!$D$77:$D$86,0))),"Y","N")))</f>
        <v/>
      </c>
    </row>
    <row r="740">
      <c r="A740" s="92" t="n">
        <v>2025</v>
      </c>
      <c r="B740" s="92" t="n">
        <v>4</v>
      </c>
      <c r="C740" s="92" t="inlineStr">
        <is>
          <t>5100000736</t>
        </is>
      </c>
      <c r="D740" s="95" t="n">
        <v>45755</v>
      </c>
      <c r="E740" s="92" t="inlineStr">
        <is>
          <t>KR</t>
        </is>
      </c>
      <c r="F740" s="92" t="n">
        <v>62301000</v>
      </c>
      <c r="G740" s="92" t="n">
        <v>1701</v>
      </c>
      <c r="H740" s="93" t="n">
        <v>209000</v>
      </c>
      <c r="I740" s="92" t="inlineStr">
        <is>
          <t>4월 소모품 구입 - R문구</t>
        </is>
      </c>
      <c r="J740" s="92" t="inlineStr">
        <is>
          <t>V10022</t>
        </is>
      </c>
      <c r="K740" s="92" t="inlineStr">
        <is>
          <t>R문구</t>
        </is>
      </c>
      <c r="M740" s="9">
        <f>IF($A740="","",VALUE($A740&amp;"")*12+VALUE($B740&amp;""))</f>
        <v/>
      </c>
      <c r="N740" s="64">
        <f>IF($A740="","",IFERROR(INDEX(부서매핑!$C$5:$C$504,MATCH($G740&amp;"",부서매핑!$A$5:$A$504,0)),"미매핑"))</f>
        <v/>
      </c>
      <c r="O740" s="9">
        <f>IF($A740="","",N740&amp;"|"&amp;$F740)</f>
        <v/>
      </c>
      <c r="P740" s="94">
        <f>IF($A740="",0,$H740*설정!$C$23)</f>
        <v/>
      </c>
      <c r="Q740" s="64">
        <f>IF($A740="","",IF(O740&lt;&gt;원인분석!$C$9,"",IF(AND(M740&gt;=원인분석!$C$10,M740&lt;=원인분석!$C$11),"당기",IF(AND(M740&gt;=원인분석!$C$12,M740&lt;=원인분석!$C$13),"비교",""))))</f>
        <v/>
      </c>
      <c r="R740" s="9">
        <f>IF(Q740="","",$K740&amp;"")</f>
        <v/>
      </c>
      <c r="S740" s="9">
        <f>IF(Q740="","",IF(MATCH(R740,$R$5:$R$100000,0)=ROW()-4,ROW(),""))</f>
        <v/>
      </c>
      <c r="T740" s="9">
        <f>IF(Q740="당기",ABS(P740)+ROW()/1000000000,"")</f>
        <v/>
      </c>
      <c r="U740" s="9">
        <f>IF(Q740="비교",ABS(P740)+ROW()/1000000000,"")</f>
        <v/>
      </c>
      <c r="V740" s="64">
        <f>IF($A740="","",IF(COUNTIF(변동분석!$E$7:$E$506,O740)&gt;0,"Y","N"))</f>
        <v/>
      </c>
      <c r="W740" s="64">
        <f>IF($A740="","",IFERROR(INDEX(계정매핑!$D$5:$D$504,MATCH($F740&amp;"",계정매핑!$A$5:$A$504,0)),"미매핑"))</f>
        <v/>
      </c>
      <c r="X740" s="9">
        <f>IF($A740="","",$F740&amp;"")</f>
        <v/>
      </c>
      <c r="Y740" s="94">
        <f>IF($A740="",0,IF(AE740="직접",IF(AF740="비귀속",$P740,0),$P740*(1-AG740)*IFERROR(INDEX(계정대체기준!$F$20:$F$49,MATCH($N740,계정대체기준!$A$20:$A$49,0)),1)))</f>
        <v/>
      </c>
      <c r="Z740" s="94">
        <f>IF($A740="",0,IF(AE740="직접",IF(AF740="신계약비",$P740,0),$P740*(1-AG740)*IFERROR(INDEX(계정대체기준!$C$20:$C$49,MATCH($N740,계정대체기준!$A$20:$A$49,0)),0)))</f>
        <v/>
      </c>
      <c r="AA740" s="94">
        <f>IF($A740="",0,IF(AE740="직접",IF(OR(AF740="유지비",AF740="손해조사비"),$P740,0),$P740*(1-AG740)*IFERROR(INDEX(계정대체기준!$D$20:$D$49,MATCH($N740,계정대체기준!$A$20:$A$49,0)),0)))</f>
        <v/>
      </c>
      <c r="AB740" s="94">
        <f>IF($A740="",0,IF(AE740="직접",IF(AF740="수금비",$P740,0),$P740*(1-AG740)*IFERROR(INDEX(계정대체기준!$E$20:$E$49,MATCH($N740,계정대체기준!$A$20:$A$49,0)),0)))</f>
        <v/>
      </c>
      <c r="AC740" s="9">
        <f>IF(AND($A740&lt;&gt;"",M740=설정!$C$20,Z740&gt;0),Z740+ROW()/1000000000,"")</f>
        <v/>
      </c>
      <c r="AD740" s="94">
        <f>IF($A740="",0,$P740*AG740)</f>
        <v/>
      </c>
      <c r="AE740" s="64">
        <f>IF($A740="","",IFERROR(INDEX(계정매핑!$E$5:$E$504,MATCH($F740&amp;"",계정매핑!$A$5:$A$504,0))&amp;"","공통비"))</f>
        <v/>
      </c>
      <c r="AF740" s="64">
        <f>IF($A740="","",IF(AE740="직접",IFERROR(INDEX(계정매핑!$F$5:$F$504,MATCH($F740&amp;"",계정매핑!$A$5:$A$504,0))&amp;"","비귀속"),""))</f>
        <v/>
      </c>
      <c r="AG740" s="96">
        <f>IF($A740="",0,IF(AND(AE740&lt;&gt;"직접",IFERROR(INDEX(계정매핑!$G$5:$G$504,MATCH($F740&amp;"",계정매핑!$A$5:$A$504,0))&amp;"","")="유지비",COUNTIF(계정대체기준!$A$6:$A$15,$N740)&gt;0),IFERROR(INDEX(계정대체기준!$E$6:$E$15,MATCH(VALUE($A740&amp;""),계정대체기준!$D$6:$D$15,0)),0),0))</f>
        <v/>
      </c>
      <c r="AH740" s="64">
        <f>IF($A740="","",IF(AD740=0,"",IF(OR(COUNTIF(계정대체기준!$A$77:$A$86,$N740)&gt;0,ISNUMBER(MATCH($X740,계정대체기준!$D$77:$D$86,0)),ISNUMBER(MATCH($F740,계정대체기준!$D$77:$D$86,0))),"Y","N")))</f>
        <v/>
      </c>
    </row>
    <row r="741">
      <c r="A741" s="92" t="n">
        <v>2025</v>
      </c>
      <c r="B741" s="92" t="n">
        <v>4</v>
      </c>
      <c r="C741" s="92" t="inlineStr">
        <is>
          <t>5100000737</t>
        </is>
      </c>
      <c r="D741" s="95" t="n">
        <v>45755</v>
      </c>
      <c r="E741" s="92" t="inlineStr">
        <is>
          <t>KR</t>
        </is>
      </c>
      <c r="F741" s="92" t="n">
        <v>62601000</v>
      </c>
      <c r="G741" s="92" t="n">
        <v>1301</v>
      </c>
      <c r="H741" s="93" t="n">
        <v>1096000</v>
      </c>
      <c r="I741" s="92" t="inlineStr">
        <is>
          <t>4월 업무추진 - (법인카드)</t>
        </is>
      </c>
      <c r="J741" s="92" t="inlineStr">
        <is>
          <t>V10010</t>
        </is>
      </c>
      <c r="K741" s="92" t="inlineStr">
        <is>
          <t>(법인카드)</t>
        </is>
      </c>
      <c r="M741" s="9">
        <f>IF($A741="","",VALUE($A741&amp;"")*12+VALUE($B741&amp;""))</f>
        <v/>
      </c>
      <c r="N741" s="64">
        <f>IF($A741="","",IFERROR(INDEX(부서매핑!$C$5:$C$504,MATCH($G741&amp;"",부서매핑!$A$5:$A$504,0)),"미매핑"))</f>
        <v/>
      </c>
      <c r="O741" s="9">
        <f>IF($A741="","",N741&amp;"|"&amp;$F741)</f>
        <v/>
      </c>
      <c r="P741" s="94">
        <f>IF($A741="",0,$H741*설정!$C$23)</f>
        <v/>
      </c>
      <c r="Q741" s="64">
        <f>IF($A741="","",IF(O741&lt;&gt;원인분석!$C$9,"",IF(AND(M741&gt;=원인분석!$C$10,M741&lt;=원인분석!$C$11),"당기",IF(AND(M741&gt;=원인분석!$C$12,M741&lt;=원인분석!$C$13),"비교",""))))</f>
        <v/>
      </c>
      <c r="R741" s="9">
        <f>IF(Q741="","",$K741&amp;"")</f>
        <v/>
      </c>
      <c r="S741" s="9">
        <f>IF(Q741="","",IF(MATCH(R741,$R$5:$R$100000,0)=ROW()-4,ROW(),""))</f>
        <v/>
      </c>
      <c r="T741" s="9">
        <f>IF(Q741="당기",ABS(P741)+ROW()/1000000000,"")</f>
        <v/>
      </c>
      <c r="U741" s="9">
        <f>IF(Q741="비교",ABS(P741)+ROW()/1000000000,"")</f>
        <v/>
      </c>
      <c r="V741" s="64">
        <f>IF($A741="","",IF(COUNTIF(변동분석!$E$7:$E$506,O741)&gt;0,"Y","N"))</f>
        <v/>
      </c>
      <c r="W741" s="64">
        <f>IF($A741="","",IFERROR(INDEX(계정매핑!$D$5:$D$504,MATCH($F741&amp;"",계정매핑!$A$5:$A$504,0)),"미매핑"))</f>
        <v/>
      </c>
      <c r="X741" s="9">
        <f>IF($A741="","",$F741&amp;"")</f>
        <v/>
      </c>
      <c r="Y741" s="94">
        <f>IF($A741="",0,IF(AE741="직접",IF(AF741="비귀속",$P741,0),$P741*(1-AG741)*IFERROR(INDEX(계정대체기준!$F$20:$F$49,MATCH($N741,계정대체기준!$A$20:$A$49,0)),1)))</f>
        <v/>
      </c>
      <c r="Z741" s="94">
        <f>IF($A741="",0,IF(AE741="직접",IF(AF741="신계약비",$P741,0),$P741*(1-AG741)*IFERROR(INDEX(계정대체기준!$C$20:$C$49,MATCH($N741,계정대체기준!$A$20:$A$49,0)),0)))</f>
        <v/>
      </c>
      <c r="AA741" s="94">
        <f>IF($A741="",0,IF(AE741="직접",IF(OR(AF741="유지비",AF741="손해조사비"),$P741,0),$P741*(1-AG741)*IFERROR(INDEX(계정대체기준!$D$20:$D$49,MATCH($N741,계정대체기준!$A$20:$A$49,0)),0)))</f>
        <v/>
      </c>
      <c r="AB741" s="94">
        <f>IF($A741="",0,IF(AE741="직접",IF(AF741="수금비",$P741,0),$P741*(1-AG741)*IFERROR(INDEX(계정대체기준!$E$20:$E$49,MATCH($N741,계정대체기준!$A$20:$A$49,0)),0)))</f>
        <v/>
      </c>
      <c r="AC741" s="9">
        <f>IF(AND($A741&lt;&gt;"",M741=설정!$C$20,Z741&gt;0),Z741+ROW()/1000000000,"")</f>
        <v/>
      </c>
      <c r="AD741" s="94">
        <f>IF($A741="",0,$P741*AG741)</f>
        <v/>
      </c>
      <c r="AE741" s="64">
        <f>IF($A741="","",IFERROR(INDEX(계정매핑!$E$5:$E$504,MATCH($F741&amp;"",계정매핑!$A$5:$A$504,0))&amp;"","공통비"))</f>
        <v/>
      </c>
      <c r="AF741" s="64">
        <f>IF($A741="","",IF(AE741="직접",IFERROR(INDEX(계정매핑!$F$5:$F$504,MATCH($F741&amp;"",계정매핑!$A$5:$A$504,0))&amp;"","비귀속"),""))</f>
        <v/>
      </c>
      <c r="AG741" s="96">
        <f>IF($A741="",0,IF(AND(AE741&lt;&gt;"직접",IFERROR(INDEX(계정매핑!$G$5:$G$504,MATCH($F741&amp;"",계정매핑!$A$5:$A$504,0))&amp;"","")="유지비",COUNTIF(계정대체기준!$A$6:$A$15,$N741)&gt;0),IFERROR(INDEX(계정대체기준!$E$6:$E$15,MATCH(VALUE($A741&amp;""),계정대체기준!$D$6:$D$15,0)),0),0))</f>
        <v/>
      </c>
      <c r="AH741" s="64">
        <f>IF($A741="","",IF(AD741=0,"",IF(OR(COUNTIF(계정대체기준!$A$77:$A$86,$N741)&gt;0,ISNUMBER(MATCH($X741,계정대체기준!$D$77:$D$86,0)),ISNUMBER(MATCH($F741,계정대체기준!$D$77:$D$86,0))),"Y","N")))</f>
        <v/>
      </c>
    </row>
    <row r="742">
      <c r="A742" s="92" t="n">
        <v>2025</v>
      </c>
      <c r="B742" s="92" t="n">
        <v>4</v>
      </c>
      <c r="C742" s="92" t="inlineStr">
        <is>
          <t>5100000738</t>
        </is>
      </c>
      <c r="D742" s="95" t="n">
        <v>45755</v>
      </c>
      <c r="E742" s="92" t="inlineStr">
        <is>
          <t>KR</t>
        </is>
      </c>
      <c r="F742" s="92" t="n">
        <v>62802000</v>
      </c>
      <c r="G742" s="92" t="n">
        <v>1301</v>
      </c>
      <c r="H742" s="93" t="n">
        <v>3221000</v>
      </c>
      <c r="I742" s="92" t="inlineStr">
        <is>
          <t>4월 위탁교육 - I교육원</t>
        </is>
      </c>
      <c r="J742" s="92" t="inlineStr">
        <is>
          <t>V10019</t>
        </is>
      </c>
      <c r="K742" s="92" t="inlineStr">
        <is>
          <t>I교육원</t>
        </is>
      </c>
      <c r="M742" s="9">
        <f>IF($A742="","",VALUE($A742&amp;"")*12+VALUE($B742&amp;""))</f>
        <v/>
      </c>
      <c r="N742" s="64">
        <f>IF($A742="","",IFERROR(INDEX(부서매핑!$C$5:$C$504,MATCH($G742&amp;"",부서매핑!$A$5:$A$504,0)),"미매핑"))</f>
        <v/>
      </c>
      <c r="O742" s="9">
        <f>IF($A742="","",N742&amp;"|"&amp;$F742)</f>
        <v/>
      </c>
      <c r="P742" s="94">
        <f>IF($A742="",0,$H742*설정!$C$23)</f>
        <v/>
      </c>
      <c r="Q742" s="64">
        <f>IF($A742="","",IF(O742&lt;&gt;원인분석!$C$9,"",IF(AND(M742&gt;=원인분석!$C$10,M742&lt;=원인분석!$C$11),"당기",IF(AND(M742&gt;=원인분석!$C$12,M742&lt;=원인분석!$C$13),"비교",""))))</f>
        <v/>
      </c>
      <c r="R742" s="9">
        <f>IF(Q742="","",$K742&amp;"")</f>
        <v/>
      </c>
      <c r="S742" s="9">
        <f>IF(Q742="","",IF(MATCH(R742,$R$5:$R$100000,0)=ROW()-4,ROW(),""))</f>
        <v/>
      </c>
      <c r="T742" s="9">
        <f>IF(Q742="당기",ABS(P742)+ROW()/1000000000,"")</f>
        <v/>
      </c>
      <c r="U742" s="9">
        <f>IF(Q742="비교",ABS(P742)+ROW()/1000000000,"")</f>
        <v/>
      </c>
      <c r="V742" s="64">
        <f>IF($A742="","",IF(COUNTIF(변동분석!$E$7:$E$506,O742)&gt;0,"Y","N"))</f>
        <v/>
      </c>
      <c r="W742" s="64">
        <f>IF($A742="","",IFERROR(INDEX(계정매핑!$D$5:$D$504,MATCH($F742&amp;"",계정매핑!$A$5:$A$504,0)),"미매핑"))</f>
        <v/>
      </c>
      <c r="X742" s="9">
        <f>IF($A742="","",$F742&amp;"")</f>
        <v/>
      </c>
      <c r="Y742" s="94">
        <f>IF($A742="",0,IF(AE742="직접",IF(AF742="비귀속",$P742,0),$P742*(1-AG742)*IFERROR(INDEX(계정대체기준!$F$20:$F$49,MATCH($N742,계정대체기준!$A$20:$A$49,0)),1)))</f>
        <v/>
      </c>
      <c r="Z742" s="94">
        <f>IF($A742="",0,IF(AE742="직접",IF(AF742="신계약비",$P742,0),$P742*(1-AG742)*IFERROR(INDEX(계정대체기준!$C$20:$C$49,MATCH($N742,계정대체기준!$A$20:$A$49,0)),0)))</f>
        <v/>
      </c>
      <c r="AA742" s="94">
        <f>IF($A742="",0,IF(AE742="직접",IF(OR(AF742="유지비",AF742="손해조사비"),$P742,0),$P742*(1-AG742)*IFERROR(INDEX(계정대체기준!$D$20:$D$49,MATCH($N742,계정대체기준!$A$20:$A$49,0)),0)))</f>
        <v/>
      </c>
      <c r="AB742" s="94">
        <f>IF($A742="",0,IF(AE742="직접",IF(AF742="수금비",$P742,0),$P742*(1-AG742)*IFERROR(INDEX(계정대체기준!$E$20:$E$49,MATCH($N742,계정대체기준!$A$20:$A$49,0)),0)))</f>
        <v/>
      </c>
      <c r="AC742" s="9">
        <f>IF(AND($A742&lt;&gt;"",M742=설정!$C$20,Z742&gt;0),Z742+ROW()/1000000000,"")</f>
        <v/>
      </c>
      <c r="AD742" s="94">
        <f>IF($A742="",0,$P742*AG742)</f>
        <v/>
      </c>
      <c r="AE742" s="64">
        <f>IF($A742="","",IFERROR(INDEX(계정매핑!$E$5:$E$504,MATCH($F742&amp;"",계정매핑!$A$5:$A$504,0))&amp;"","공통비"))</f>
        <v/>
      </c>
      <c r="AF742" s="64">
        <f>IF($A742="","",IF(AE742="직접",IFERROR(INDEX(계정매핑!$F$5:$F$504,MATCH($F742&amp;"",계정매핑!$A$5:$A$504,0))&amp;"","비귀속"),""))</f>
        <v/>
      </c>
      <c r="AG742" s="96">
        <f>IF($A742="",0,IF(AND(AE742&lt;&gt;"직접",IFERROR(INDEX(계정매핑!$G$5:$G$504,MATCH($F742&amp;"",계정매핑!$A$5:$A$504,0))&amp;"","")="유지비",COUNTIF(계정대체기준!$A$6:$A$15,$N742)&gt;0),IFERROR(INDEX(계정대체기준!$E$6:$E$15,MATCH(VALUE($A742&amp;""),계정대체기준!$D$6:$D$15,0)),0),0))</f>
        <v/>
      </c>
      <c r="AH742" s="64">
        <f>IF($A742="","",IF(AD742=0,"",IF(OR(COUNTIF(계정대체기준!$A$77:$A$86,$N742)&gt;0,ISNUMBER(MATCH($X742,계정대체기준!$D$77:$D$86,0)),ISNUMBER(MATCH($F742,계정대체기준!$D$77:$D$86,0))),"Y","N")))</f>
        <v/>
      </c>
    </row>
    <row r="743">
      <c r="A743" s="92" t="n">
        <v>2025</v>
      </c>
      <c r="B743" s="92" t="n">
        <v>4</v>
      </c>
      <c r="C743" s="92" t="inlineStr">
        <is>
          <t>5100000739</t>
        </is>
      </c>
      <c r="D743" s="95" t="n">
        <v>45755</v>
      </c>
      <c r="E743" s="92" t="inlineStr">
        <is>
          <t>KR</t>
        </is>
      </c>
      <c r="F743" s="92" t="n">
        <v>62902000</v>
      </c>
      <c r="G743" s="92" t="n">
        <v>1801</v>
      </c>
      <c r="H743" s="93" t="n">
        <v>1798000</v>
      </c>
      <c r="I743" s="92" t="inlineStr">
        <is>
          <t>4월 콜 위탁 수수료(건별)</t>
        </is>
      </c>
      <c r="J743" s="92" t="inlineStr">
        <is>
          <t>V10016</t>
        </is>
      </c>
      <c r="K743" s="92" t="inlineStr">
        <is>
          <t>J콜센터</t>
        </is>
      </c>
      <c r="M743" s="9">
        <f>IF($A743="","",VALUE($A743&amp;"")*12+VALUE($B743&amp;""))</f>
        <v/>
      </c>
      <c r="N743" s="64">
        <f>IF($A743="","",IFERROR(INDEX(부서매핑!$C$5:$C$504,MATCH($G743&amp;"",부서매핑!$A$5:$A$504,0)),"미매핑"))</f>
        <v/>
      </c>
      <c r="O743" s="9">
        <f>IF($A743="","",N743&amp;"|"&amp;$F743)</f>
        <v/>
      </c>
      <c r="P743" s="94">
        <f>IF($A743="",0,$H743*설정!$C$23)</f>
        <v/>
      </c>
      <c r="Q743" s="64">
        <f>IF($A743="","",IF(O743&lt;&gt;원인분석!$C$9,"",IF(AND(M743&gt;=원인분석!$C$10,M743&lt;=원인분석!$C$11),"당기",IF(AND(M743&gt;=원인분석!$C$12,M743&lt;=원인분석!$C$13),"비교",""))))</f>
        <v/>
      </c>
      <c r="R743" s="9">
        <f>IF(Q743="","",$K743&amp;"")</f>
        <v/>
      </c>
      <c r="S743" s="9">
        <f>IF(Q743="","",IF(MATCH(R743,$R$5:$R$100000,0)=ROW()-4,ROW(),""))</f>
        <v/>
      </c>
      <c r="T743" s="9">
        <f>IF(Q743="당기",ABS(P743)+ROW()/1000000000,"")</f>
        <v/>
      </c>
      <c r="U743" s="9">
        <f>IF(Q743="비교",ABS(P743)+ROW()/1000000000,"")</f>
        <v/>
      </c>
      <c r="V743" s="64">
        <f>IF($A743="","",IF(COUNTIF(변동분석!$E$7:$E$506,O743)&gt;0,"Y","N"))</f>
        <v/>
      </c>
      <c r="W743" s="64">
        <f>IF($A743="","",IFERROR(INDEX(계정매핑!$D$5:$D$504,MATCH($F743&amp;"",계정매핑!$A$5:$A$504,0)),"미매핑"))</f>
        <v/>
      </c>
      <c r="X743" s="9">
        <f>IF($A743="","",$F743&amp;"")</f>
        <v/>
      </c>
      <c r="Y743" s="94">
        <f>IF($A743="",0,IF(AE743="직접",IF(AF743="비귀속",$P743,0),$P743*(1-AG743)*IFERROR(INDEX(계정대체기준!$F$20:$F$49,MATCH($N743,계정대체기준!$A$20:$A$49,0)),1)))</f>
        <v/>
      </c>
      <c r="Z743" s="94">
        <f>IF($A743="",0,IF(AE743="직접",IF(AF743="신계약비",$P743,0),$P743*(1-AG743)*IFERROR(INDEX(계정대체기준!$C$20:$C$49,MATCH($N743,계정대체기준!$A$20:$A$49,0)),0)))</f>
        <v/>
      </c>
      <c r="AA743" s="94">
        <f>IF($A743="",0,IF(AE743="직접",IF(OR(AF743="유지비",AF743="손해조사비"),$P743,0),$P743*(1-AG743)*IFERROR(INDEX(계정대체기준!$D$20:$D$49,MATCH($N743,계정대체기준!$A$20:$A$49,0)),0)))</f>
        <v/>
      </c>
      <c r="AB743" s="94">
        <f>IF($A743="",0,IF(AE743="직접",IF(AF743="수금비",$P743,0),$P743*(1-AG743)*IFERROR(INDEX(계정대체기준!$E$20:$E$49,MATCH($N743,계정대체기준!$A$20:$A$49,0)),0)))</f>
        <v/>
      </c>
      <c r="AC743" s="9">
        <f>IF(AND($A743&lt;&gt;"",M743=설정!$C$20,Z743&gt;0),Z743+ROW()/1000000000,"")</f>
        <v/>
      </c>
      <c r="AD743" s="94">
        <f>IF($A743="",0,$P743*AG743)</f>
        <v/>
      </c>
      <c r="AE743" s="64">
        <f>IF($A743="","",IFERROR(INDEX(계정매핑!$E$5:$E$504,MATCH($F743&amp;"",계정매핑!$A$5:$A$504,0))&amp;"","공통비"))</f>
        <v/>
      </c>
      <c r="AF743" s="64">
        <f>IF($A743="","",IF(AE743="직접",IFERROR(INDEX(계정매핑!$F$5:$F$504,MATCH($F743&amp;"",계정매핑!$A$5:$A$504,0))&amp;"","비귀속"),""))</f>
        <v/>
      </c>
      <c r="AG743" s="96">
        <f>IF($A743="",0,IF(AND(AE743&lt;&gt;"직접",IFERROR(INDEX(계정매핑!$G$5:$G$504,MATCH($F743&amp;"",계정매핑!$A$5:$A$504,0))&amp;"","")="유지비",COUNTIF(계정대체기준!$A$6:$A$15,$N743)&gt;0),IFERROR(INDEX(계정대체기준!$E$6:$E$15,MATCH(VALUE($A743&amp;""),계정대체기준!$D$6:$D$15,0)),0),0))</f>
        <v/>
      </c>
      <c r="AH743" s="64">
        <f>IF($A743="","",IF(AD743=0,"",IF(OR(COUNTIF(계정대체기준!$A$77:$A$86,$N743)&gt;0,ISNUMBER(MATCH($X743,계정대체기준!$D$77:$D$86,0)),ISNUMBER(MATCH($F743,계정대체기준!$D$77:$D$86,0))),"Y","N")))</f>
        <v/>
      </c>
    </row>
    <row r="744">
      <c r="A744" s="92" t="n">
        <v>2025</v>
      </c>
      <c r="B744" s="92" t="n">
        <v>4</v>
      </c>
      <c r="C744" s="92" t="inlineStr">
        <is>
          <t>5100000740</t>
        </is>
      </c>
      <c r="D744" s="95" t="n">
        <v>45756</v>
      </c>
      <c r="E744" s="92" t="inlineStr">
        <is>
          <t>KR</t>
        </is>
      </c>
      <c r="F744" s="92" t="n">
        <v>62101000</v>
      </c>
      <c r="G744" s="92" t="n">
        <v>1602</v>
      </c>
      <c r="H744" s="93" t="n">
        <v>1388000</v>
      </c>
      <c r="I744" s="92" t="inlineStr">
        <is>
          <t>4월 국내출장 - M항공</t>
        </is>
      </c>
      <c r="J744" s="92" t="inlineStr">
        <is>
          <t>V10001</t>
        </is>
      </c>
      <c r="K744" s="92" t="inlineStr">
        <is>
          <t>M항공</t>
        </is>
      </c>
      <c r="M744" s="9">
        <f>IF($A744="","",VALUE($A744&amp;"")*12+VALUE($B744&amp;""))</f>
        <v/>
      </c>
      <c r="N744" s="64">
        <f>IF($A744="","",IFERROR(INDEX(부서매핑!$C$5:$C$504,MATCH($G744&amp;"",부서매핑!$A$5:$A$504,0)),"미매핑"))</f>
        <v/>
      </c>
      <c r="O744" s="9">
        <f>IF($A744="","",N744&amp;"|"&amp;$F744)</f>
        <v/>
      </c>
      <c r="P744" s="94">
        <f>IF($A744="",0,$H744*설정!$C$23)</f>
        <v/>
      </c>
      <c r="Q744" s="64">
        <f>IF($A744="","",IF(O744&lt;&gt;원인분석!$C$9,"",IF(AND(M744&gt;=원인분석!$C$10,M744&lt;=원인분석!$C$11),"당기",IF(AND(M744&gt;=원인분석!$C$12,M744&lt;=원인분석!$C$13),"비교",""))))</f>
        <v/>
      </c>
      <c r="R744" s="9">
        <f>IF(Q744="","",$K744&amp;"")</f>
        <v/>
      </c>
      <c r="S744" s="9">
        <f>IF(Q744="","",IF(MATCH(R744,$R$5:$R$100000,0)=ROW()-4,ROW(),""))</f>
        <v/>
      </c>
      <c r="T744" s="9">
        <f>IF(Q744="당기",ABS(P744)+ROW()/1000000000,"")</f>
        <v/>
      </c>
      <c r="U744" s="9">
        <f>IF(Q744="비교",ABS(P744)+ROW()/1000000000,"")</f>
        <v/>
      </c>
      <c r="V744" s="64">
        <f>IF($A744="","",IF(COUNTIF(변동분석!$E$7:$E$506,O744)&gt;0,"Y","N"))</f>
        <v/>
      </c>
      <c r="W744" s="64">
        <f>IF($A744="","",IFERROR(INDEX(계정매핑!$D$5:$D$504,MATCH($F744&amp;"",계정매핑!$A$5:$A$504,0)),"미매핑"))</f>
        <v/>
      </c>
      <c r="X744" s="9">
        <f>IF($A744="","",$F744&amp;"")</f>
        <v/>
      </c>
      <c r="Y744" s="94">
        <f>IF($A744="",0,IF(AE744="직접",IF(AF744="비귀속",$P744,0),$P744*(1-AG744)*IFERROR(INDEX(계정대체기준!$F$20:$F$49,MATCH($N744,계정대체기준!$A$20:$A$49,0)),1)))</f>
        <v/>
      </c>
      <c r="Z744" s="94">
        <f>IF($A744="",0,IF(AE744="직접",IF(AF744="신계약비",$P744,0),$P744*(1-AG744)*IFERROR(INDEX(계정대체기준!$C$20:$C$49,MATCH($N744,계정대체기준!$A$20:$A$49,0)),0)))</f>
        <v/>
      </c>
      <c r="AA744" s="94">
        <f>IF($A744="",0,IF(AE744="직접",IF(OR(AF744="유지비",AF744="손해조사비"),$P744,0),$P744*(1-AG744)*IFERROR(INDEX(계정대체기준!$D$20:$D$49,MATCH($N744,계정대체기준!$A$20:$A$49,0)),0)))</f>
        <v/>
      </c>
      <c r="AB744" s="94">
        <f>IF($A744="",0,IF(AE744="직접",IF(AF744="수금비",$P744,0),$P744*(1-AG744)*IFERROR(INDEX(계정대체기준!$E$20:$E$49,MATCH($N744,계정대체기준!$A$20:$A$49,0)),0)))</f>
        <v/>
      </c>
      <c r="AC744" s="9">
        <f>IF(AND($A744&lt;&gt;"",M744=설정!$C$20,Z744&gt;0),Z744+ROW()/1000000000,"")</f>
        <v/>
      </c>
      <c r="AD744" s="94">
        <f>IF($A744="",0,$P744*AG744)</f>
        <v/>
      </c>
      <c r="AE744" s="64">
        <f>IF($A744="","",IFERROR(INDEX(계정매핑!$E$5:$E$504,MATCH($F744&amp;"",계정매핑!$A$5:$A$504,0))&amp;"","공통비"))</f>
        <v/>
      </c>
      <c r="AF744" s="64">
        <f>IF($A744="","",IF(AE744="직접",IFERROR(INDEX(계정매핑!$F$5:$F$504,MATCH($F744&amp;"",계정매핑!$A$5:$A$504,0))&amp;"","비귀속"),""))</f>
        <v/>
      </c>
      <c r="AG744" s="96">
        <f>IF($A744="",0,IF(AND(AE744&lt;&gt;"직접",IFERROR(INDEX(계정매핑!$G$5:$G$504,MATCH($F744&amp;"",계정매핑!$A$5:$A$504,0))&amp;"","")="유지비",COUNTIF(계정대체기준!$A$6:$A$15,$N744)&gt;0),IFERROR(INDEX(계정대체기준!$E$6:$E$15,MATCH(VALUE($A744&amp;""),계정대체기준!$D$6:$D$15,0)),0),0))</f>
        <v/>
      </c>
      <c r="AH744" s="64">
        <f>IF($A744="","",IF(AD744=0,"",IF(OR(COUNTIF(계정대체기준!$A$77:$A$86,$N744)&gt;0,ISNUMBER(MATCH($X744,계정대체기준!$D$77:$D$86,0)),ISNUMBER(MATCH($F744,계정대체기준!$D$77:$D$86,0))),"Y","N")))</f>
        <v/>
      </c>
    </row>
    <row r="745">
      <c r="A745" s="92" t="n">
        <v>2025</v>
      </c>
      <c r="B745" s="92" t="n">
        <v>4</v>
      </c>
      <c r="C745" s="92" t="inlineStr">
        <is>
          <t>5100000741</t>
        </is>
      </c>
      <c r="D745" s="95" t="n">
        <v>45756</v>
      </c>
      <c r="E745" s="92" t="inlineStr">
        <is>
          <t>KR</t>
        </is>
      </c>
      <c r="F745" s="92" t="n">
        <v>62201000</v>
      </c>
      <c r="G745" s="92" t="n">
        <v>1101</v>
      </c>
      <c r="H745" s="93" t="n">
        <v>151000</v>
      </c>
      <c r="I745" s="92" t="inlineStr">
        <is>
          <t>4월 통신요금 - O텔레콤</t>
        </is>
      </c>
      <c r="J745" s="92" t="inlineStr">
        <is>
          <t>V10002</t>
        </is>
      </c>
      <c r="K745" s="92" t="inlineStr">
        <is>
          <t>O텔레콤</t>
        </is>
      </c>
      <c r="M745" s="9">
        <f>IF($A745="","",VALUE($A745&amp;"")*12+VALUE($B745&amp;""))</f>
        <v/>
      </c>
      <c r="N745" s="64">
        <f>IF($A745="","",IFERROR(INDEX(부서매핑!$C$5:$C$504,MATCH($G745&amp;"",부서매핑!$A$5:$A$504,0)),"미매핑"))</f>
        <v/>
      </c>
      <c r="O745" s="9">
        <f>IF($A745="","",N745&amp;"|"&amp;$F745)</f>
        <v/>
      </c>
      <c r="P745" s="94">
        <f>IF($A745="",0,$H745*설정!$C$23)</f>
        <v/>
      </c>
      <c r="Q745" s="64">
        <f>IF($A745="","",IF(O745&lt;&gt;원인분석!$C$9,"",IF(AND(M745&gt;=원인분석!$C$10,M745&lt;=원인분석!$C$11),"당기",IF(AND(M745&gt;=원인분석!$C$12,M745&lt;=원인분석!$C$13),"비교",""))))</f>
        <v/>
      </c>
      <c r="R745" s="9">
        <f>IF(Q745="","",$K745&amp;"")</f>
        <v/>
      </c>
      <c r="S745" s="9">
        <f>IF(Q745="","",IF(MATCH(R745,$R$5:$R$100000,0)=ROW()-4,ROW(),""))</f>
        <v/>
      </c>
      <c r="T745" s="9">
        <f>IF(Q745="당기",ABS(P745)+ROW()/1000000000,"")</f>
        <v/>
      </c>
      <c r="U745" s="9">
        <f>IF(Q745="비교",ABS(P745)+ROW()/1000000000,"")</f>
        <v/>
      </c>
      <c r="V745" s="64">
        <f>IF($A745="","",IF(COUNTIF(변동분석!$E$7:$E$506,O745)&gt;0,"Y","N"))</f>
        <v/>
      </c>
      <c r="W745" s="64">
        <f>IF($A745="","",IFERROR(INDEX(계정매핑!$D$5:$D$504,MATCH($F745&amp;"",계정매핑!$A$5:$A$504,0)),"미매핑"))</f>
        <v/>
      </c>
      <c r="X745" s="9">
        <f>IF($A745="","",$F745&amp;"")</f>
        <v/>
      </c>
      <c r="Y745" s="94">
        <f>IF($A745="",0,IF(AE745="직접",IF(AF745="비귀속",$P745,0),$P745*(1-AG745)*IFERROR(INDEX(계정대체기준!$F$20:$F$49,MATCH($N745,계정대체기준!$A$20:$A$49,0)),1)))</f>
        <v/>
      </c>
      <c r="Z745" s="94">
        <f>IF($A745="",0,IF(AE745="직접",IF(AF745="신계약비",$P745,0),$P745*(1-AG745)*IFERROR(INDEX(계정대체기준!$C$20:$C$49,MATCH($N745,계정대체기준!$A$20:$A$49,0)),0)))</f>
        <v/>
      </c>
      <c r="AA745" s="94">
        <f>IF($A745="",0,IF(AE745="직접",IF(OR(AF745="유지비",AF745="손해조사비"),$P745,0),$P745*(1-AG745)*IFERROR(INDEX(계정대체기준!$D$20:$D$49,MATCH($N745,계정대체기준!$A$20:$A$49,0)),0)))</f>
        <v/>
      </c>
      <c r="AB745" s="94">
        <f>IF($A745="",0,IF(AE745="직접",IF(AF745="수금비",$P745,0),$P745*(1-AG745)*IFERROR(INDEX(계정대체기준!$E$20:$E$49,MATCH($N745,계정대체기준!$A$20:$A$49,0)),0)))</f>
        <v/>
      </c>
      <c r="AC745" s="9">
        <f>IF(AND($A745&lt;&gt;"",M745=설정!$C$20,Z745&gt;0),Z745+ROW()/1000000000,"")</f>
        <v/>
      </c>
      <c r="AD745" s="94">
        <f>IF($A745="",0,$P745*AG745)</f>
        <v/>
      </c>
      <c r="AE745" s="64">
        <f>IF($A745="","",IFERROR(INDEX(계정매핑!$E$5:$E$504,MATCH($F745&amp;"",계정매핑!$A$5:$A$504,0))&amp;"","공통비"))</f>
        <v/>
      </c>
      <c r="AF745" s="64">
        <f>IF($A745="","",IF(AE745="직접",IFERROR(INDEX(계정매핑!$F$5:$F$504,MATCH($F745&amp;"",계정매핑!$A$5:$A$504,0))&amp;"","비귀속"),""))</f>
        <v/>
      </c>
      <c r="AG745" s="96">
        <f>IF($A745="",0,IF(AND(AE745&lt;&gt;"직접",IFERROR(INDEX(계정매핑!$G$5:$G$504,MATCH($F745&amp;"",계정매핑!$A$5:$A$504,0))&amp;"","")="유지비",COUNTIF(계정대체기준!$A$6:$A$15,$N745)&gt;0),IFERROR(INDEX(계정대체기준!$E$6:$E$15,MATCH(VALUE($A745&amp;""),계정대체기준!$D$6:$D$15,0)),0),0))</f>
        <v/>
      </c>
      <c r="AH745" s="64">
        <f>IF($A745="","",IF(AD745=0,"",IF(OR(COUNTIF(계정대체기준!$A$77:$A$86,$N745)&gt;0,ISNUMBER(MATCH($X745,계정대체기준!$D$77:$D$86,0)),ISNUMBER(MATCH($F745,계정대체기준!$D$77:$D$86,0))),"Y","N")))</f>
        <v/>
      </c>
    </row>
    <row r="746">
      <c r="A746" s="92" t="n">
        <v>2025</v>
      </c>
      <c r="B746" s="92" t="n">
        <v>4</v>
      </c>
      <c r="C746" s="92" t="inlineStr">
        <is>
          <t>5100000742</t>
        </is>
      </c>
      <c r="D746" s="95" t="n">
        <v>45756</v>
      </c>
      <c r="E746" s="92" t="inlineStr">
        <is>
          <t>KR</t>
        </is>
      </c>
      <c r="F746" s="92" t="n">
        <v>62201000</v>
      </c>
      <c r="G746" s="92" t="n">
        <v>1951</v>
      </c>
      <c r="H746" s="93" t="n">
        <v>165000</v>
      </c>
      <c r="I746" s="92" t="inlineStr">
        <is>
          <t>4월 통신요금 - O텔레콤</t>
        </is>
      </c>
      <c r="J746" s="92" t="inlineStr">
        <is>
          <t>V10002</t>
        </is>
      </c>
      <c r="K746" s="92" t="inlineStr">
        <is>
          <t>O텔레콤</t>
        </is>
      </c>
      <c r="M746" s="9">
        <f>IF($A746="","",VALUE($A746&amp;"")*12+VALUE($B746&amp;""))</f>
        <v/>
      </c>
      <c r="N746" s="64">
        <f>IF($A746="","",IFERROR(INDEX(부서매핑!$C$5:$C$504,MATCH($G746&amp;"",부서매핑!$A$5:$A$504,0)),"미매핑"))</f>
        <v/>
      </c>
      <c r="O746" s="9">
        <f>IF($A746="","",N746&amp;"|"&amp;$F746)</f>
        <v/>
      </c>
      <c r="P746" s="94">
        <f>IF($A746="",0,$H746*설정!$C$23)</f>
        <v/>
      </c>
      <c r="Q746" s="64">
        <f>IF($A746="","",IF(O746&lt;&gt;원인분석!$C$9,"",IF(AND(M746&gt;=원인분석!$C$10,M746&lt;=원인분석!$C$11),"당기",IF(AND(M746&gt;=원인분석!$C$12,M746&lt;=원인분석!$C$13),"비교",""))))</f>
        <v/>
      </c>
      <c r="R746" s="9">
        <f>IF(Q746="","",$K746&amp;"")</f>
        <v/>
      </c>
      <c r="S746" s="9">
        <f>IF(Q746="","",IF(MATCH(R746,$R$5:$R$100000,0)=ROW()-4,ROW(),""))</f>
        <v/>
      </c>
      <c r="T746" s="9">
        <f>IF(Q746="당기",ABS(P746)+ROW()/1000000000,"")</f>
        <v/>
      </c>
      <c r="U746" s="9">
        <f>IF(Q746="비교",ABS(P746)+ROW()/1000000000,"")</f>
        <v/>
      </c>
      <c r="V746" s="64">
        <f>IF($A746="","",IF(COUNTIF(변동분석!$E$7:$E$506,O746)&gt;0,"Y","N"))</f>
        <v/>
      </c>
      <c r="W746" s="64">
        <f>IF($A746="","",IFERROR(INDEX(계정매핑!$D$5:$D$504,MATCH($F746&amp;"",계정매핑!$A$5:$A$504,0)),"미매핑"))</f>
        <v/>
      </c>
      <c r="X746" s="9">
        <f>IF($A746="","",$F746&amp;"")</f>
        <v/>
      </c>
      <c r="Y746" s="94">
        <f>IF($A746="",0,IF(AE746="직접",IF(AF746="비귀속",$P746,0),$P746*(1-AG746)*IFERROR(INDEX(계정대체기준!$F$20:$F$49,MATCH($N746,계정대체기준!$A$20:$A$49,0)),1)))</f>
        <v/>
      </c>
      <c r="Z746" s="94">
        <f>IF($A746="",0,IF(AE746="직접",IF(AF746="신계약비",$P746,0),$P746*(1-AG746)*IFERROR(INDEX(계정대체기준!$C$20:$C$49,MATCH($N746,계정대체기준!$A$20:$A$49,0)),0)))</f>
        <v/>
      </c>
      <c r="AA746" s="94">
        <f>IF($A746="",0,IF(AE746="직접",IF(OR(AF746="유지비",AF746="손해조사비"),$P746,0),$P746*(1-AG746)*IFERROR(INDEX(계정대체기준!$D$20:$D$49,MATCH($N746,계정대체기준!$A$20:$A$49,0)),0)))</f>
        <v/>
      </c>
      <c r="AB746" s="94">
        <f>IF($A746="",0,IF(AE746="직접",IF(AF746="수금비",$P746,0),$P746*(1-AG746)*IFERROR(INDEX(계정대체기준!$E$20:$E$49,MATCH($N746,계정대체기준!$A$20:$A$49,0)),0)))</f>
        <v/>
      </c>
      <c r="AC746" s="9">
        <f>IF(AND($A746&lt;&gt;"",M746=설정!$C$20,Z746&gt;0),Z746+ROW()/1000000000,"")</f>
        <v/>
      </c>
      <c r="AD746" s="94">
        <f>IF($A746="",0,$P746*AG746)</f>
        <v/>
      </c>
      <c r="AE746" s="64">
        <f>IF($A746="","",IFERROR(INDEX(계정매핑!$E$5:$E$504,MATCH($F746&amp;"",계정매핑!$A$5:$A$504,0))&amp;"","공통비"))</f>
        <v/>
      </c>
      <c r="AF746" s="64">
        <f>IF($A746="","",IF(AE746="직접",IFERROR(INDEX(계정매핑!$F$5:$F$504,MATCH($F746&amp;"",계정매핑!$A$5:$A$504,0))&amp;"","비귀속"),""))</f>
        <v/>
      </c>
      <c r="AG746" s="96">
        <f>IF($A746="",0,IF(AND(AE746&lt;&gt;"직접",IFERROR(INDEX(계정매핑!$G$5:$G$504,MATCH($F746&amp;"",계정매핑!$A$5:$A$504,0))&amp;"","")="유지비",COUNTIF(계정대체기준!$A$6:$A$15,$N746)&gt;0),IFERROR(INDEX(계정대체기준!$E$6:$E$15,MATCH(VALUE($A746&amp;""),계정대체기준!$D$6:$D$15,0)),0),0))</f>
        <v/>
      </c>
      <c r="AH746" s="64">
        <f>IF($A746="","",IF(AD746=0,"",IF(OR(COUNTIF(계정대체기준!$A$77:$A$86,$N746)&gt;0,ISNUMBER(MATCH($X746,계정대체기준!$D$77:$D$86,0)),ISNUMBER(MATCH($F746,계정대체기준!$D$77:$D$86,0))),"Y","N")))</f>
        <v/>
      </c>
    </row>
    <row r="747">
      <c r="A747" s="92" t="n">
        <v>2025</v>
      </c>
      <c r="B747" s="92" t="n">
        <v>4</v>
      </c>
      <c r="C747" s="92" t="inlineStr">
        <is>
          <t>5100000743</t>
        </is>
      </c>
      <c r="D747" s="95" t="n">
        <v>45756</v>
      </c>
      <c r="E747" s="92" t="inlineStr">
        <is>
          <t>KR</t>
        </is>
      </c>
      <c r="F747" s="92" t="n">
        <v>62301000</v>
      </c>
      <c r="G747" s="92" t="n">
        <v>1101</v>
      </c>
      <c r="H747" s="93" t="n">
        <v>213000</v>
      </c>
      <c r="I747" s="92" t="inlineStr">
        <is>
          <t>4월 소모품 구입 - R문구</t>
        </is>
      </c>
      <c r="J747" s="92" t="inlineStr">
        <is>
          <t>V10022</t>
        </is>
      </c>
      <c r="K747" s="92" t="inlineStr">
        <is>
          <t>R문구</t>
        </is>
      </c>
      <c r="M747" s="9">
        <f>IF($A747="","",VALUE($A747&amp;"")*12+VALUE($B747&amp;""))</f>
        <v/>
      </c>
      <c r="N747" s="64">
        <f>IF($A747="","",IFERROR(INDEX(부서매핑!$C$5:$C$504,MATCH($G747&amp;"",부서매핑!$A$5:$A$504,0)),"미매핑"))</f>
        <v/>
      </c>
      <c r="O747" s="9">
        <f>IF($A747="","",N747&amp;"|"&amp;$F747)</f>
        <v/>
      </c>
      <c r="P747" s="94">
        <f>IF($A747="",0,$H747*설정!$C$23)</f>
        <v/>
      </c>
      <c r="Q747" s="64">
        <f>IF($A747="","",IF(O747&lt;&gt;원인분석!$C$9,"",IF(AND(M747&gt;=원인분석!$C$10,M747&lt;=원인분석!$C$11),"당기",IF(AND(M747&gt;=원인분석!$C$12,M747&lt;=원인분석!$C$13),"비교",""))))</f>
        <v/>
      </c>
      <c r="R747" s="9">
        <f>IF(Q747="","",$K747&amp;"")</f>
        <v/>
      </c>
      <c r="S747" s="9">
        <f>IF(Q747="","",IF(MATCH(R747,$R$5:$R$100000,0)=ROW()-4,ROW(),""))</f>
        <v/>
      </c>
      <c r="T747" s="9">
        <f>IF(Q747="당기",ABS(P747)+ROW()/1000000000,"")</f>
        <v/>
      </c>
      <c r="U747" s="9">
        <f>IF(Q747="비교",ABS(P747)+ROW()/1000000000,"")</f>
        <v/>
      </c>
      <c r="V747" s="64">
        <f>IF($A747="","",IF(COUNTIF(변동분석!$E$7:$E$506,O747)&gt;0,"Y","N"))</f>
        <v/>
      </c>
      <c r="W747" s="64">
        <f>IF($A747="","",IFERROR(INDEX(계정매핑!$D$5:$D$504,MATCH($F747&amp;"",계정매핑!$A$5:$A$504,0)),"미매핑"))</f>
        <v/>
      </c>
      <c r="X747" s="9">
        <f>IF($A747="","",$F747&amp;"")</f>
        <v/>
      </c>
      <c r="Y747" s="94">
        <f>IF($A747="",0,IF(AE747="직접",IF(AF747="비귀속",$P747,0),$P747*(1-AG747)*IFERROR(INDEX(계정대체기준!$F$20:$F$49,MATCH($N747,계정대체기준!$A$20:$A$49,0)),1)))</f>
        <v/>
      </c>
      <c r="Z747" s="94">
        <f>IF($A747="",0,IF(AE747="직접",IF(AF747="신계약비",$P747,0),$P747*(1-AG747)*IFERROR(INDEX(계정대체기준!$C$20:$C$49,MATCH($N747,계정대체기준!$A$20:$A$49,0)),0)))</f>
        <v/>
      </c>
      <c r="AA747" s="94">
        <f>IF($A747="",0,IF(AE747="직접",IF(OR(AF747="유지비",AF747="손해조사비"),$P747,0),$P747*(1-AG747)*IFERROR(INDEX(계정대체기준!$D$20:$D$49,MATCH($N747,계정대체기준!$A$20:$A$49,0)),0)))</f>
        <v/>
      </c>
      <c r="AB747" s="94">
        <f>IF($A747="",0,IF(AE747="직접",IF(AF747="수금비",$P747,0),$P747*(1-AG747)*IFERROR(INDEX(계정대체기준!$E$20:$E$49,MATCH($N747,계정대체기준!$A$20:$A$49,0)),0)))</f>
        <v/>
      </c>
      <c r="AC747" s="9">
        <f>IF(AND($A747&lt;&gt;"",M747=설정!$C$20,Z747&gt;0),Z747+ROW()/1000000000,"")</f>
        <v/>
      </c>
      <c r="AD747" s="94">
        <f>IF($A747="",0,$P747*AG747)</f>
        <v/>
      </c>
      <c r="AE747" s="64">
        <f>IF($A747="","",IFERROR(INDEX(계정매핑!$E$5:$E$504,MATCH($F747&amp;"",계정매핑!$A$5:$A$504,0))&amp;"","공통비"))</f>
        <v/>
      </c>
      <c r="AF747" s="64">
        <f>IF($A747="","",IF(AE747="직접",IFERROR(INDEX(계정매핑!$F$5:$F$504,MATCH($F747&amp;"",계정매핑!$A$5:$A$504,0))&amp;"","비귀속"),""))</f>
        <v/>
      </c>
      <c r="AG747" s="96">
        <f>IF($A747="",0,IF(AND(AE747&lt;&gt;"직접",IFERROR(INDEX(계정매핑!$G$5:$G$504,MATCH($F747&amp;"",계정매핑!$A$5:$A$504,0))&amp;"","")="유지비",COUNTIF(계정대체기준!$A$6:$A$15,$N747)&gt;0),IFERROR(INDEX(계정대체기준!$E$6:$E$15,MATCH(VALUE($A747&amp;""),계정대체기준!$D$6:$D$15,0)),0),0))</f>
        <v/>
      </c>
      <c r="AH747" s="64">
        <f>IF($A747="","",IF(AD747=0,"",IF(OR(COUNTIF(계정대체기준!$A$77:$A$86,$N747)&gt;0,ISNUMBER(MATCH($X747,계정대체기준!$D$77:$D$86,0)),ISNUMBER(MATCH($F747,계정대체기준!$D$77:$D$86,0))),"Y","N")))</f>
        <v/>
      </c>
    </row>
    <row r="748">
      <c r="A748" s="92" t="n">
        <v>2025</v>
      </c>
      <c r="B748" s="92" t="n">
        <v>4</v>
      </c>
      <c r="C748" s="92" t="inlineStr">
        <is>
          <t>5100000744</t>
        </is>
      </c>
      <c r="D748" s="95" t="n">
        <v>45756</v>
      </c>
      <c r="E748" s="92" t="inlineStr">
        <is>
          <t>KR</t>
        </is>
      </c>
      <c r="F748" s="92" t="n">
        <v>62501000</v>
      </c>
      <c r="G748" s="92" t="n">
        <v>1101</v>
      </c>
      <c r="H748" s="93" t="n">
        <v>236000</v>
      </c>
      <c r="I748" s="92" t="inlineStr">
        <is>
          <t>4월 회의 다과 - (법인카드)</t>
        </is>
      </c>
      <c r="J748" s="92" t="inlineStr">
        <is>
          <t>V10010</t>
        </is>
      </c>
      <c r="K748" s="92" t="inlineStr">
        <is>
          <t>(법인카드)</t>
        </is>
      </c>
      <c r="M748" s="9">
        <f>IF($A748="","",VALUE($A748&amp;"")*12+VALUE($B748&amp;""))</f>
        <v/>
      </c>
      <c r="N748" s="64">
        <f>IF($A748="","",IFERROR(INDEX(부서매핑!$C$5:$C$504,MATCH($G748&amp;"",부서매핑!$A$5:$A$504,0)),"미매핑"))</f>
        <v/>
      </c>
      <c r="O748" s="9">
        <f>IF($A748="","",N748&amp;"|"&amp;$F748)</f>
        <v/>
      </c>
      <c r="P748" s="94">
        <f>IF($A748="",0,$H748*설정!$C$23)</f>
        <v/>
      </c>
      <c r="Q748" s="64">
        <f>IF($A748="","",IF(O748&lt;&gt;원인분석!$C$9,"",IF(AND(M748&gt;=원인분석!$C$10,M748&lt;=원인분석!$C$11),"당기",IF(AND(M748&gt;=원인분석!$C$12,M748&lt;=원인분석!$C$13),"비교",""))))</f>
        <v/>
      </c>
      <c r="R748" s="9">
        <f>IF(Q748="","",$K748&amp;"")</f>
        <v/>
      </c>
      <c r="S748" s="9">
        <f>IF(Q748="","",IF(MATCH(R748,$R$5:$R$100000,0)=ROW()-4,ROW(),""))</f>
        <v/>
      </c>
      <c r="T748" s="9">
        <f>IF(Q748="당기",ABS(P748)+ROW()/1000000000,"")</f>
        <v/>
      </c>
      <c r="U748" s="9">
        <f>IF(Q748="비교",ABS(P748)+ROW()/1000000000,"")</f>
        <v/>
      </c>
      <c r="V748" s="64">
        <f>IF($A748="","",IF(COUNTIF(변동분석!$E$7:$E$506,O748)&gt;0,"Y","N"))</f>
        <v/>
      </c>
      <c r="W748" s="64">
        <f>IF($A748="","",IFERROR(INDEX(계정매핑!$D$5:$D$504,MATCH($F748&amp;"",계정매핑!$A$5:$A$504,0)),"미매핑"))</f>
        <v/>
      </c>
      <c r="X748" s="9">
        <f>IF($A748="","",$F748&amp;"")</f>
        <v/>
      </c>
      <c r="Y748" s="94">
        <f>IF($A748="",0,IF(AE748="직접",IF(AF748="비귀속",$P748,0),$P748*(1-AG748)*IFERROR(INDEX(계정대체기준!$F$20:$F$49,MATCH($N748,계정대체기준!$A$20:$A$49,0)),1)))</f>
        <v/>
      </c>
      <c r="Z748" s="94">
        <f>IF($A748="",0,IF(AE748="직접",IF(AF748="신계약비",$P748,0),$P748*(1-AG748)*IFERROR(INDEX(계정대체기준!$C$20:$C$49,MATCH($N748,계정대체기준!$A$20:$A$49,0)),0)))</f>
        <v/>
      </c>
      <c r="AA748" s="94">
        <f>IF($A748="",0,IF(AE748="직접",IF(OR(AF748="유지비",AF748="손해조사비"),$P748,0),$P748*(1-AG748)*IFERROR(INDEX(계정대체기준!$D$20:$D$49,MATCH($N748,계정대체기준!$A$20:$A$49,0)),0)))</f>
        <v/>
      </c>
      <c r="AB748" s="94">
        <f>IF($A748="",0,IF(AE748="직접",IF(AF748="수금비",$P748,0),$P748*(1-AG748)*IFERROR(INDEX(계정대체기준!$E$20:$E$49,MATCH($N748,계정대체기준!$A$20:$A$49,0)),0)))</f>
        <v/>
      </c>
      <c r="AC748" s="9">
        <f>IF(AND($A748&lt;&gt;"",M748=설정!$C$20,Z748&gt;0),Z748+ROW()/1000000000,"")</f>
        <v/>
      </c>
      <c r="AD748" s="94">
        <f>IF($A748="",0,$P748*AG748)</f>
        <v/>
      </c>
      <c r="AE748" s="64">
        <f>IF($A748="","",IFERROR(INDEX(계정매핑!$E$5:$E$504,MATCH($F748&amp;"",계정매핑!$A$5:$A$504,0))&amp;"","공통비"))</f>
        <v/>
      </c>
      <c r="AF748" s="64">
        <f>IF($A748="","",IF(AE748="직접",IFERROR(INDEX(계정매핑!$F$5:$F$504,MATCH($F748&amp;"",계정매핑!$A$5:$A$504,0))&amp;"","비귀속"),""))</f>
        <v/>
      </c>
      <c r="AG748" s="96">
        <f>IF($A748="",0,IF(AND(AE748&lt;&gt;"직접",IFERROR(INDEX(계정매핑!$G$5:$G$504,MATCH($F748&amp;"",계정매핑!$A$5:$A$504,0))&amp;"","")="유지비",COUNTIF(계정대체기준!$A$6:$A$15,$N748)&gt;0),IFERROR(INDEX(계정대체기준!$E$6:$E$15,MATCH(VALUE($A748&amp;""),계정대체기준!$D$6:$D$15,0)),0),0))</f>
        <v/>
      </c>
      <c r="AH748" s="64">
        <f>IF($A748="","",IF(AD748=0,"",IF(OR(COUNTIF(계정대체기준!$A$77:$A$86,$N748)&gt;0,ISNUMBER(MATCH($X748,계정대체기준!$D$77:$D$86,0)),ISNUMBER(MATCH($F748,계정대체기준!$D$77:$D$86,0))),"Y","N")))</f>
        <v/>
      </c>
    </row>
    <row r="749">
      <c r="A749" s="92" t="n">
        <v>2025</v>
      </c>
      <c r="B749" s="92" t="n">
        <v>4</v>
      </c>
      <c r="C749" s="92" t="inlineStr">
        <is>
          <t>5100000745</t>
        </is>
      </c>
      <c r="D749" s="95" t="n">
        <v>45756</v>
      </c>
      <c r="E749" s="92" t="inlineStr">
        <is>
          <t>KR</t>
        </is>
      </c>
      <c r="F749" s="92" t="n">
        <v>62901000</v>
      </c>
      <c r="G749" s="92" t="n">
        <v>1201</v>
      </c>
      <c r="H749" s="93" t="n">
        <v>5585000</v>
      </c>
      <c r="I749" s="92" t="inlineStr">
        <is>
          <t>4월 자문 수수료 - W컨설팅</t>
        </is>
      </c>
      <c r="J749" s="92" t="inlineStr">
        <is>
          <t>V10006</t>
        </is>
      </c>
      <c r="K749" s="92" t="inlineStr">
        <is>
          <t>W컨설팅</t>
        </is>
      </c>
      <c r="M749" s="9">
        <f>IF($A749="","",VALUE($A749&amp;"")*12+VALUE($B749&amp;""))</f>
        <v/>
      </c>
      <c r="N749" s="64">
        <f>IF($A749="","",IFERROR(INDEX(부서매핑!$C$5:$C$504,MATCH($G749&amp;"",부서매핑!$A$5:$A$504,0)),"미매핑"))</f>
        <v/>
      </c>
      <c r="O749" s="9">
        <f>IF($A749="","",N749&amp;"|"&amp;$F749)</f>
        <v/>
      </c>
      <c r="P749" s="94">
        <f>IF($A749="",0,$H749*설정!$C$23)</f>
        <v/>
      </c>
      <c r="Q749" s="64">
        <f>IF($A749="","",IF(O749&lt;&gt;원인분석!$C$9,"",IF(AND(M749&gt;=원인분석!$C$10,M749&lt;=원인분석!$C$11),"당기",IF(AND(M749&gt;=원인분석!$C$12,M749&lt;=원인분석!$C$13),"비교",""))))</f>
        <v/>
      </c>
      <c r="R749" s="9">
        <f>IF(Q749="","",$K749&amp;"")</f>
        <v/>
      </c>
      <c r="S749" s="9">
        <f>IF(Q749="","",IF(MATCH(R749,$R$5:$R$100000,0)=ROW()-4,ROW(),""))</f>
        <v/>
      </c>
      <c r="T749" s="9">
        <f>IF(Q749="당기",ABS(P749)+ROW()/1000000000,"")</f>
        <v/>
      </c>
      <c r="U749" s="9">
        <f>IF(Q749="비교",ABS(P749)+ROW()/1000000000,"")</f>
        <v/>
      </c>
      <c r="V749" s="64">
        <f>IF($A749="","",IF(COUNTIF(변동분석!$E$7:$E$506,O749)&gt;0,"Y","N"))</f>
        <v/>
      </c>
      <c r="W749" s="64">
        <f>IF($A749="","",IFERROR(INDEX(계정매핑!$D$5:$D$504,MATCH($F749&amp;"",계정매핑!$A$5:$A$504,0)),"미매핑"))</f>
        <v/>
      </c>
      <c r="X749" s="9">
        <f>IF($A749="","",$F749&amp;"")</f>
        <v/>
      </c>
      <c r="Y749" s="94">
        <f>IF($A749="",0,IF(AE749="직접",IF(AF749="비귀속",$P749,0),$P749*(1-AG749)*IFERROR(INDEX(계정대체기준!$F$20:$F$49,MATCH($N749,계정대체기준!$A$20:$A$49,0)),1)))</f>
        <v/>
      </c>
      <c r="Z749" s="94">
        <f>IF($A749="",0,IF(AE749="직접",IF(AF749="신계약비",$P749,0),$P749*(1-AG749)*IFERROR(INDEX(계정대체기준!$C$20:$C$49,MATCH($N749,계정대체기준!$A$20:$A$49,0)),0)))</f>
        <v/>
      </c>
      <c r="AA749" s="94">
        <f>IF($A749="",0,IF(AE749="직접",IF(OR(AF749="유지비",AF749="손해조사비"),$P749,0),$P749*(1-AG749)*IFERROR(INDEX(계정대체기준!$D$20:$D$49,MATCH($N749,계정대체기준!$A$20:$A$49,0)),0)))</f>
        <v/>
      </c>
      <c r="AB749" s="94">
        <f>IF($A749="",0,IF(AE749="직접",IF(AF749="수금비",$P749,0),$P749*(1-AG749)*IFERROR(INDEX(계정대체기준!$E$20:$E$49,MATCH($N749,계정대체기준!$A$20:$A$49,0)),0)))</f>
        <v/>
      </c>
      <c r="AC749" s="9">
        <f>IF(AND($A749&lt;&gt;"",M749=설정!$C$20,Z749&gt;0),Z749+ROW()/1000000000,"")</f>
        <v/>
      </c>
      <c r="AD749" s="94">
        <f>IF($A749="",0,$P749*AG749)</f>
        <v/>
      </c>
      <c r="AE749" s="64">
        <f>IF($A749="","",IFERROR(INDEX(계정매핑!$E$5:$E$504,MATCH($F749&amp;"",계정매핑!$A$5:$A$504,0))&amp;"","공통비"))</f>
        <v/>
      </c>
      <c r="AF749" s="64">
        <f>IF($A749="","",IF(AE749="직접",IFERROR(INDEX(계정매핑!$F$5:$F$504,MATCH($F749&amp;"",계정매핑!$A$5:$A$504,0))&amp;"","비귀속"),""))</f>
        <v/>
      </c>
      <c r="AG749" s="96">
        <f>IF($A749="",0,IF(AND(AE749&lt;&gt;"직접",IFERROR(INDEX(계정매핑!$G$5:$G$504,MATCH($F749&amp;"",계정매핑!$A$5:$A$504,0))&amp;"","")="유지비",COUNTIF(계정대체기준!$A$6:$A$15,$N749)&gt;0),IFERROR(INDEX(계정대체기준!$E$6:$E$15,MATCH(VALUE($A749&amp;""),계정대체기준!$D$6:$D$15,0)),0),0))</f>
        <v/>
      </c>
      <c r="AH749" s="64">
        <f>IF($A749="","",IF(AD749=0,"",IF(OR(COUNTIF(계정대체기준!$A$77:$A$86,$N749)&gt;0,ISNUMBER(MATCH($X749,계정대체기준!$D$77:$D$86,0)),ISNUMBER(MATCH($F749,계정대체기준!$D$77:$D$86,0))),"Y","N")))</f>
        <v/>
      </c>
    </row>
    <row r="750">
      <c r="A750" s="92" t="n">
        <v>2025</v>
      </c>
      <c r="B750" s="92" t="n">
        <v>4</v>
      </c>
      <c r="C750" s="92" t="inlineStr">
        <is>
          <t>5100000746</t>
        </is>
      </c>
      <c r="D750" s="95" t="n">
        <v>45756</v>
      </c>
      <c r="E750" s="92" t="inlineStr">
        <is>
          <t>KR</t>
        </is>
      </c>
      <c r="F750" s="92" t="n">
        <v>63001000</v>
      </c>
      <c r="G750" s="92" t="n">
        <v>1951</v>
      </c>
      <c r="H750" s="93" t="n">
        <v>1824000</v>
      </c>
      <c r="I750" s="92" t="inlineStr">
        <is>
          <t>4월 SW 유지보수 - Y소프트</t>
        </is>
      </c>
      <c r="J750" s="92" t="inlineStr">
        <is>
          <t>V10017</t>
        </is>
      </c>
      <c r="K750" s="92" t="inlineStr">
        <is>
          <t>Y소프트</t>
        </is>
      </c>
      <c r="M750" s="9">
        <f>IF($A750="","",VALUE($A750&amp;"")*12+VALUE($B750&amp;""))</f>
        <v/>
      </c>
      <c r="N750" s="64">
        <f>IF($A750="","",IFERROR(INDEX(부서매핑!$C$5:$C$504,MATCH($G750&amp;"",부서매핑!$A$5:$A$504,0)),"미매핑"))</f>
        <v/>
      </c>
      <c r="O750" s="9">
        <f>IF($A750="","",N750&amp;"|"&amp;$F750)</f>
        <v/>
      </c>
      <c r="P750" s="94">
        <f>IF($A750="",0,$H750*설정!$C$23)</f>
        <v/>
      </c>
      <c r="Q750" s="64">
        <f>IF($A750="","",IF(O750&lt;&gt;원인분석!$C$9,"",IF(AND(M750&gt;=원인분석!$C$10,M750&lt;=원인분석!$C$11),"당기",IF(AND(M750&gt;=원인분석!$C$12,M750&lt;=원인분석!$C$13),"비교",""))))</f>
        <v/>
      </c>
      <c r="R750" s="9">
        <f>IF(Q750="","",$K750&amp;"")</f>
        <v/>
      </c>
      <c r="S750" s="9">
        <f>IF(Q750="","",IF(MATCH(R750,$R$5:$R$100000,0)=ROW()-4,ROW(),""))</f>
        <v/>
      </c>
      <c r="T750" s="9">
        <f>IF(Q750="당기",ABS(P750)+ROW()/1000000000,"")</f>
        <v/>
      </c>
      <c r="U750" s="9">
        <f>IF(Q750="비교",ABS(P750)+ROW()/1000000000,"")</f>
        <v/>
      </c>
      <c r="V750" s="64">
        <f>IF($A750="","",IF(COUNTIF(변동분석!$E$7:$E$506,O750)&gt;0,"Y","N"))</f>
        <v/>
      </c>
      <c r="W750" s="64">
        <f>IF($A750="","",IFERROR(INDEX(계정매핑!$D$5:$D$504,MATCH($F750&amp;"",계정매핑!$A$5:$A$504,0)),"미매핑"))</f>
        <v/>
      </c>
      <c r="X750" s="9">
        <f>IF($A750="","",$F750&amp;"")</f>
        <v/>
      </c>
      <c r="Y750" s="94">
        <f>IF($A750="",0,IF(AE750="직접",IF(AF750="비귀속",$P750,0),$P750*(1-AG750)*IFERROR(INDEX(계정대체기준!$F$20:$F$49,MATCH($N750,계정대체기준!$A$20:$A$49,0)),1)))</f>
        <v/>
      </c>
      <c r="Z750" s="94">
        <f>IF($A750="",0,IF(AE750="직접",IF(AF750="신계약비",$P750,0),$P750*(1-AG750)*IFERROR(INDEX(계정대체기준!$C$20:$C$49,MATCH($N750,계정대체기준!$A$20:$A$49,0)),0)))</f>
        <v/>
      </c>
      <c r="AA750" s="94">
        <f>IF($A750="",0,IF(AE750="직접",IF(OR(AF750="유지비",AF750="손해조사비"),$P750,0),$P750*(1-AG750)*IFERROR(INDEX(계정대체기준!$D$20:$D$49,MATCH($N750,계정대체기준!$A$20:$A$49,0)),0)))</f>
        <v/>
      </c>
      <c r="AB750" s="94">
        <f>IF($A750="",0,IF(AE750="직접",IF(AF750="수금비",$P750,0),$P750*(1-AG750)*IFERROR(INDEX(계정대체기준!$E$20:$E$49,MATCH($N750,계정대체기준!$A$20:$A$49,0)),0)))</f>
        <v/>
      </c>
      <c r="AC750" s="9">
        <f>IF(AND($A750&lt;&gt;"",M750=설정!$C$20,Z750&gt;0),Z750+ROW()/1000000000,"")</f>
        <v/>
      </c>
      <c r="AD750" s="94">
        <f>IF($A750="",0,$P750*AG750)</f>
        <v/>
      </c>
      <c r="AE750" s="64">
        <f>IF($A750="","",IFERROR(INDEX(계정매핑!$E$5:$E$504,MATCH($F750&amp;"",계정매핑!$A$5:$A$504,0))&amp;"","공통비"))</f>
        <v/>
      </c>
      <c r="AF750" s="64">
        <f>IF($A750="","",IF(AE750="직접",IFERROR(INDEX(계정매핑!$F$5:$F$504,MATCH($F750&amp;"",계정매핑!$A$5:$A$504,0))&amp;"","비귀속"),""))</f>
        <v/>
      </c>
      <c r="AG750" s="96">
        <f>IF($A750="",0,IF(AND(AE750&lt;&gt;"직접",IFERROR(INDEX(계정매핑!$G$5:$G$504,MATCH($F750&amp;"",계정매핑!$A$5:$A$504,0))&amp;"","")="유지비",COUNTIF(계정대체기준!$A$6:$A$15,$N750)&gt;0),IFERROR(INDEX(계정대체기준!$E$6:$E$15,MATCH(VALUE($A750&amp;""),계정대체기준!$D$6:$D$15,0)),0),0))</f>
        <v/>
      </c>
      <c r="AH750" s="64">
        <f>IF($A750="","",IF(AD750=0,"",IF(OR(COUNTIF(계정대체기준!$A$77:$A$86,$N750)&gt;0,ISNUMBER(MATCH($X750,계정대체기준!$D$77:$D$86,0)),ISNUMBER(MATCH($F750,계정대체기준!$D$77:$D$86,0))),"Y","N")))</f>
        <v/>
      </c>
    </row>
    <row r="751">
      <c r="A751" s="92" t="n">
        <v>2025</v>
      </c>
      <c r="B751" s="92" t="n">
        <v>4</v>
      </c>
      <c r="C751" s="92" t="inlineStr">
        <is>
          <t>5100000747</t>
        </is>
      </c>
      <c r="D751" s="95" t="n">
        <v>45756</v>
      </c>
      <c r="E751" s="92" t="inlineStr">
        <is>
          <t>KR</t>
        </is>
      </c>
      <c r="F751" s="92" t="n">
        <v>63101000</v>
      </c>
      <c r="G751" s="92" t="n">
        <v>1601</v>
      </c>
      <c r="H751" s="93" t="n">
        <v>4849000</v>
      </c>
      <c r="I751" s="92" t="inlineStr">
        <is>
          <t>4월 사무실 임차료 - BB부동산</t>
        </is>
      </c>
      <c r="J751" s="92" t="inlineStr">
        <is>
          <t>V10028</t>
        </is>
      </c>
      <c r="K751" s="92" t="inlineStr">
        <is>
          <t>BB부동산</t>
        </is>
      </c>
      <c r="M751" s="9">
        <f>IF($A751="","",VALUE($A751&amp;"")*12+VALUE($B751&amp;""))</f>
        <v/>
      </c>
      <c r="N751" s="64">
        <f>IF($A751="","",IFERROR(INDEX(부서매핑!$C$5:$C$504,MATCH($G751&amp;"",부서매핑!$A$5:$A$504,0)),"미매핑"))</f>
        <v/>
      </c>
      <c r="O751" s="9">
        <f>IF($A751="","",N751&amp;"|"&amp;$F751)</f>
        <v/>
      </c>
      <c r="P751" s="94">
        <f>IF($A751="",0,$H751*설정!$C$23)</f>
        <v/>
      </c>
      <c r="Q751" s="64">
        <f>IF($A751="","",IF(O751&lt;&gt;원인분석!$C$9,"",IF(AND(M751&gt;=원인분석!$C$10,M751&lt;=원인분석!$C$11),"당기",IF(AND(M751&gt;=원인분석!$C$12,M751&lt;=원인분석!$C$13),"비교",""))))</f>
        <v/>
      </c>
      <c r="R751" s="9">
        <f>IF(Q751="","",$K751&amp;"")</f>
        <v/>
      </c>
      <c r="S751" s="9">
        <f>IF(Q751="","",IF(MATCH(R751,$R$5:$R$100000,0)=ROW()-4,ROW(),""))</f>
        <v/>
      </c>
      <c r="T751" s="9">
        <f>IF(Q751="당기",ABS(P751)+ROW()/1000000000,"")</f>
        <v/>
      </c>
      <c r="U751" s="9">
        <f>IF(Q751="비교",ABS(P751)+ROW()/1000000000,"")</f>
        <v/>
      </c>
      <c r="V751" s="64">
        <f>IF($A751="","",IF(COUNTIF(변동분석!$E$7:$E$506,O751)&gt;0,"Y","N"))</f>
        <v/>
      </c>
      <c r="W751" s="64">
        <f>IF($A751="","",IFERROR(INDEX(계정매핑!$D$5:$D$504,MATCH($F751&amp;"",계정매핑!$A$5:$A$504,0)),"미매핑"))</f>
        <v/>
      </c>
      <c r="X751" s="9">
        <f>IF($A751="","",$F751&amp;"")</f>
        <v/>
      </c>
      <c r="Y751" s="94">
        <f>IF($A751="",0,IF(AE751="직접",IF(AF751="비귀속",$P751,0),$P751*(1-AG751)*IFERROR(INDEX(계정대체기준!$F$20:$F$49,MATCH($N751,계정대체기준!$A$20:$A$49,0)),1)))</f>
        <v/>
      </c>
      <c r="Z751" s="94">
        <f>IF($A751="",0,IF(AE751="직접",IF(AF751="신계약비",$P751,0),$P751*(1-AG751)*IFERROR(INDEX(계정대체기준!$C$20:$C$49,MATCH($N751,계정대체기준!$A$20:$A$49,0)),0)))</f>
        <v/>
      </c>
      <c r="AA751" s="94">
        <f>IF($A751="",0,IF(AE751="직접",IF(OR(AF751="유지비",AF751="손해조사비"),$P751,0),$P751*(1-AG751)*IFERROR(INDEX(계정대체기준!$D$20:$D$49,MATCH($N751,계정대체기준!$A$20:$A$49,0)),0)))</f>
        <v/>
      </c>
      <c r="AB751" s="94">
        <f>IF($A751="",0,IF(AE751="직접",IF(AF751="수금비",$P751,0),$P751*(1-AG751)*IFERROR(INDEX(계정대체기준!$E$20:$E$49,MATCH($N751,계정대체기준!$A$20:$A$49,0)),0)))</f>
        <v/>
      </c>
      <c r="AC751" s="9">
        <f>IF(AND($A751&lt;&gt;"",M751=설정!$C$20,Z751&gt;0),Z751+ROW()/1000000000,"")</f>
        <v/>
      </c>
      <c r="AD751" s="94">
        <f>IF($A751="",0,$P751*AG751)</f>
        <v/>
      </c>
      <c r="AE751" s="64">
        <f>IF($A751="","",IFERROR(INDEX(계정매핑!$E$5:$E$504,MATCH($F751&amp;"",계정매핑!$A$5:$A$504,0))&amp;"","공통비"))</f>
        <v/>
      </c>
      <c r="AF751" s="64">
        <f>IF($A751="","",IF(AE751="직접",IFERROR(INDEX(계정매핑!$F$5:$F$504,MATCH($F751&amp;"",계정매핑!$A$5:$A$504,0))&amp;"","비귀속"),""))</f>
        <v/>
      </c>
      <c r="AG751" s="96">
        <f>IF($A751="",0,IF(AND(AE751&lt;&gt;"직접",IFERROR(INDEX(계정매핑!$G$5:$G$504,MATCH($F751&amp;"",계정매핑!$A$5:$A$504,0))&amp;"","")="유지비",COUNTIF(계정대체기준!$A$6:$A$15,$N751)&gt;0),IFERROR(INDEX(계정대체기준!$E$6:$E$15,MATCH(VALUE($A751&amp;""),계정대체기준!$D$6:$D$15,0)),0),0))</f>
        <v/>
      </c>
      <c r="AH751" s="64">
        <f>IF($A751="","",IF(AD751=0,"",IF(OR(COUNTIF(계정대체기준!$A$77:$A$86,$N751)&gt;0,ISNUMBER(MATCH($X751,계정대체기준!$D$77:$D$86,0)),ISNUMBER(MATCH($F751,계정대체기준!$D$77:$D$86,0))),"Y","N")))</f>
        <v/>
      </c>
    </row>
    <row r="752">
      <c r="A752" s="92" t="n">
        <v>2025</v>
      </c>
      <c r="B752" s="92" t="n">
        <v>4</v>
      </c>
      <c r="C752" s="92" t="inlineStr">
        <is>
          <t>5100000748</t>
        </is>
      </c>
      <c r="D752" s="95" t="n">
        <v>45756</v>
      </c>
      <c r="E752" s="92" t="inlineStr">
        <is>
          <t>KR</t>
        </is>
      </c>
      <c r="F752" s="92" t="n">
        <v>63201000</v>
      </c>
      <c r="G752" s="92" t="n">
        <v>1602</v>
      </c>
      <c r="H752" s="93" t="n">
        <v>1890000</v>
      </c>
      <c r="I752" s="92" t="inlineStr">
        <is>
          <t>4월 차량 유지 - H에너지</t>
        </is>
      </c>
      <c r="J752" s="92" t="inlineStr">
        <is>
          <t>V10030</t>
        </is>
      </c>
      <c r="K752" s="92" t="inlineStr">
        <is>
          <t>H에너지</t>
        </is>
      </c>
      <c r="M752" s="9">
        <f>IF($A752="","",VALUE($A752&amp;"")*12+VALUE($B752&amp;""))</f>
        <v/>
      </c>
      <c r="N752" s="64">
        <f>IF($A752="","",IFERROR(INDEX(부서매핑!$C$5:$C$504,MATCH($G752&amp;"",부서매핑!$A$5:$A$504,0)),"미매핑"))</f>
        <v/>
      </c>
      <c r="O752" s="9">
        <f>IF($A752="","",N752&amp;"|"&amp;$F752)</f>
        <v/>
      </c>
      <c r="P752" s="94">
        <f>IF($A752="",0,$H752*설정!$C$23)</f>
        <v/>
      </c>
      <c r="Q752" s="64">
        <f>IF($A752="","",IF(O752&lt;&gt;원인분석!$C$9,"",IF(AND(M752&gt;=원인분석!$C$10,M752&lt;=원인분석!$C$11),"당기",IF(AND(M752&gt;=원인분석!$C$12,M752&lt;=원인분석!$C$13),"비교",""))))</f>
        <v/>
      </c>
      <c r="R752" s="9">
        <f>IF(Q752="","",$K752&amp;"")</f>
        <v/>
      </c>
      <c r="S752" s="9">
        <f>IF(Q752="","",IF(MATCH(R752,$R$5:$R$100000,0)=ROW()-4,ROW(),""))</f>
        <v/>
      </c>
      <c r="T752" s="9">
        <f>IF(Q752="당기",ABS(P752)+ROW()/1000000000,"")</f>
        <v/>
      </c>
      <c r="U752" s="9">
        <f>IF(Q752="비교",ABS(P752)+ROW()/1000000000,"")</f>
        <v/>
      </c>
      <c r="V752" s="64">
        <f>IF($A752="","",IF(COUNTIF(변동분석!$E$7:$E$506,O752)&gt;0,"Y","N"))</f>
        <v/>
      </c>
      <c r="W752" s="64">
        <f>IF($A752="","",IFERROR(INDEX(계정매핑!$D$5:$D$504,MATCH($F752&amp;"",계정매핑!$A$5:$A$504,0)),"미매핑"))</f>
        <v/>
      </c>
      <c r="X752" s="9">
        <f>IF($A752="","",$F752&amp;"")</f>
        <v/>
      </c>
      <c r="Y752" s="94">
        <f>IF($A752="",0,IF(AE752="직접",IF(AF752="비귀속",$P752,0),$P752*(1-AG752)*IFERROR(INDEX(계정대체기준!$F$20:$F$49,MATCH($N752,계정대체기준!$A$20:$A$49,0)),1)))</f>
        <v/>
      </c>
      <c r="Z752" s="94">
        <f>IF($A752="",0,IF(AE752="직접",IF(AF752="신계약비",$P752,0),$P752*(1-AG752)*IFERROR(INDEX(계정대체기준!$C$20:$C$49,MATCH($N752,계정대체기준!$A$20:$A$49,0)),0)))</f>
        <v/>
      </c>
      <c r="AA752" s="94">
        <f>IF($A752="",0,IF(AE752="직접",IF(OR(AF752="유지비",AF752="손해조사비"),$P752,0),$P752*(1-AG752)*IFERROR(INDEX(계정대체기준!$D$20:$D$49,MATCH($N752,계정대체기준!$A$20:$A$49,0)),0)))</f>
        <v/>
      </c>
      <c r="AB752" s="94">
        <f>IF($A752="",0,IF(AE752="직접",IF(AF752="수금비",$P752,0),$P752*(1-AG752)*IFERROR(INDEX(계정대체기준!$E$20:$E$49,MATCH($N752,계정대체기준!$A$20:$A$49,0)),0)))</f>
        <v/>
      </c>
      <c r="AC752" s="9">
        <f>IF(AND($A752&lt;&gt;"",M752=설정!$C$20,Z752&gt;0),Z752+ROW()/1000000000,"")</f>
        <v/>
      </c>
      <c r="AD752" s="94">
        <f>IF($A752="",0,$P752*AG752)</f>
        <v/>
      </c>
      <c r="AE752" s="64">
        <f>IF($A752="","",IFERROR(INDEX(계정매핑!$E$5:$E$504,MATCH($F752&amp;"",계정매핑!$A$5:$A$504,0))&amp;"","공통비"))</f>
        <v/>
      </c>
      <c r="AF752" s="64">
        <f>IF($A752="","",IF(AE752="직접",IFERROR(INDEX(계정매핑!$F$5:$F$504,MATCH($F752&amp;"",계정매핑!$A$5:$A$504,0))&amp;"","비귀속"),""))</f>
        <v/>
      </c>
      <c r="AG752" s="96">
        <f>IF($A752="",0,IF(AND(AE752&lt;&gt;"직접",IFERROR(INDEX(계정매핑!$G$5:$G$504,MATCH($F752&amp;"",계정매핑!$A$5:$A$504,0))&amp;"","")="유지비",COUNTIF(계정대체기준!$A$6:$A$15,$N752)&gt;0),IFERROR(INDEX(계정대체기준!$E$6:$E$15,MATCH(VALUE($A752&amp;""),계정대체기준!$D$6:$D$15,0)),0),0))</f>
        <v/>
      </c>
      <c r="AH752" s="64">
        <f>IF($A752="","",IF(AD752=0,"",IF(OR(COUNTIF(계정대체기준!$A$77:$A$86,$N752)&gt;0,ISNUMBER(MATCH($X752,계정대체기준!$D$77:$D$86,0)),ISNUMBER(MATCH($F752,계정대체기준!$D$77:$D$86,0))),"Y","N")))</f>
        <v/>
      </c>
    </row>
    <row r="753">
      <c r="A753" s="92" t="n">
        <v>2025</v>
      </c>
      <c r="B753" s="92" t="n">
        <v>4</v>
      </c>
      <c r="C753" s="92" t="inlineStr">
        <is>
          <t>5100000749</t>
        </is>
      </c>
      <c r="D753" s="95" t="n">
        <v>45757</v>
      </c>
      <c r="E753" s="92" t="inlineStr">
        <is>
          <t>KR</t>
        </is>
      </c>
      <c r="F753" s="92" t="n">
        <v>62101000</v>
      </c>
      <c r="G753" s="92" t="n">
        <v>1101</v>
      </c>
      <c r="H753" s="93" t="n">
        <v>588000</v>
      </c>
      <c r="I753" s="92" t="inlineStr">
        <is>
          <t>4월 국내출장 - (법인카드)</t>
        </is>
      </c>
      <c r="J753" s="92" t="inlineStr">
        <is>
          <t>V10010</t>
        </is>
      </c>
      <c r="K753" s="92" t="inlineStr">
        <is>
          <t>(법인카드)</t>
        </is>
      </c>
      <c r="M753" s="9">
        <f>IF($A753="","",VALUE($A753&amp;"")*12+VALUE($B753&amp;""))</f>
        <v/>
      </c>
      <c r="N753" s="64">
        <f>IF($A753="","",IFERROR(INDEX(부서매핑!$C$5:$C$504,MATCH($G753&amp;"",부서매핑!$A$5:$A$504,0)),"미매핑"))</f>
        <v/>
      </c>
      <c r="O753" s="9">
        <f>IF($A753="","",N753&amp;"|"&amp;$F753)</f>
        <v/>
      </c>
      <c r="P753" s="94">
        <f>IF($A753="",0,$H753*설정!$C$23)</f>
        <v/>
      </c>
      <c r="Q753" s="64">
        <f>IF($A753="","",IF(O753&lt;&gt;원인분석!$C$9,"",IF(AND(M753&gt;=원인분석!$C$10,M753&lt;=원인분석!$C$11),"당기",IF(AND(M753&gt;=원인분석!$C$12,M753&lt;=원인분석!$C$13),"비교",""))))</f>
        <v/>
      </c>
      <c r="R753" s="9">
        <f>IF(Q753="","",$K753&amp;"")</f>
        <v/>
      </c>
      <c r="S753" s="9">
        <f>IF(Q753="","",IF(MATCH(R753,$R$5:$R$100000,0)=ROW()-4,ROW(),""))</f>
        <v/>
      </c>
      <c r="T753" s="9">
        <f>IF(Q753="당기",ABS(P753)+ROW()/1000000000,"")</f>
        <v/>
      </c>
      <c r="U753" s="9">
        <f>IF(Q753="비교",ABS(P753)+ROW()/1000000000,"")</f>
        <v/>
      </c>
      <c r="V753" s="64">
        <f>IF($A753="","",IF(COUNTIF(변동분석!$E$7:$E$506,O753)&gt;0,"Y","N"))</f>
        <v/>
      </c>
      <c r="W753" s="64">
        <f>IF($A753="","",IFERROR(INDEX(계정매핑!$D$5:$D$504,MATCH($F753&amp;"",계정매핑!$A$5:$A$504,0)),"미매핑"))</f>
        <v/>
      </c>
      <c r="X753" s="9">
        <f>IF($A753="","",$F753&amp;"")</f>
        <v/>
      </c>
      <c r="Y753" s="94">
        <f>IF($A753="",0,IF(AE753="직접",IF(AF753="비귀속",$P753,0),$P753*(1-AG753)*IFERROR(INDEX(계정대체기준!$F$20:$F$49,MATCH($N753,계정대체기준!$A$20:$A$49,0)),1)))</f>
        <v/>
      </c>
      <c r="Z753" s="94">
        <f>IF($A753="",0,IF(AE753="직접",IF(AF753="신계약비",$P753,0),$P753*(1-AG753)*IFERROR(INDEX(계정대체기준!$C$20:$C$49,MATCH($N753,계정대체기준!$A$20:$A$49,0)),0)))</f>
        <v/>
      </c>
      <c r="AA753" s="94">
        <f>IF($A753="",0,IF(AE753="직접",IF(OR(AF753="유지비",AF753="손해조사비"),$P753,0),$P753*(1-AG753)*IFERROR(INDEX(계정대체기준!$D$20:$D$49,MATCH($N753,계정대체기준!$A$20:$A$49,0)),0)))</f>
        <v/>
      </c>
      <c r="AB753" s="94">
        <f>IF($A753="",0,IF(AE753="직접",IF(AF753="수금비",$P753,0),$P753*(1-AG753)*IFERROR(INDEX(계정대체기준!$E$20:$E$49,MATCH($N753,계정대체기준!$A$20:$A$49,0)),0)))</f>
        <v/>
      </c>
      <c r="AC753" s="9">
        <f>IF(AND($A753&lt;&gt;"",M753=설정!$C$20,Z753&gt;0),Z753+ROW()/1000000000,"")</f>
        <v/>
      </c>
      <c r="AD753" s="94">
        <f>IF($A753="",0,$P753*AG753)</f>
        <v/>
      </c>
      <c r="AE753" s="64">
        <f>IF($A753="","",IFERROR(INDEX(계정매핑!$E$5:$E$504,MATCH($F753&amp;"",계정매핑!$A$5:$A$504,0))&amp;"","공통비"))</f>
        <v/>
      </c>
      <c r="AF753" s="64">
        <f>IF($A753="","",IF(AE753="직접",IFERROR(INDEX(계정매핑!$F$5:$F$504,MATCH($F753&amp;"",계정매핑!$A$5:$A$504,0))&amp;"","비귀속"),""))</f>
        <v/>
      </c>
      <c r="AG753" s="96">
        <f>IF($A753="",0,IF(AND(AE753&lt;&gt;"직접",IFERROR(INDEX(계정매핑!$G$5:$G$504,MATCH($F753&amp;"",계정매핑!$A$5:$A$504,0))&amp;"","")="유지비",COUNTIF(계정대체기준!$A$6:$A$15,$N753)&gt;0),IFERROR(INDEX(계정대체기준!$E$6:$E$15,MATCH(VALUE($A753&amp;""),계정대체기준!$D$6:$D$15,0)),0),0))</f>
        <v/>
      </c>
      <c r="AH753" s="64">
        <f>IF($A753="","",IF(AD753=0,"",IF(OR(COUNTIF(계정대체기준!$A$77:$A$86,$N753)&gt;0,ISNUMBER(MATCH($X753,계정대체기준!$D$77:$D$86,0)),ISNUMBER(MATCH($F753,계정대체기준!$D$77:$D$86,0))),"Y","N")))</f>
        <v/>
      </c>
    </row>
    <row r="754">
      <c r="A754" s="92" t="n">
        <v>2025</v>
      </c>
      <c r="B754" s="92" t="n">
        <v>4</v>
      </c>
      <c r="C754" s="92" t="inlineStr">
        <is>
          <t>5100000750</t>
        </is>
      </c>
      <c r="D754" s="95" t="n">
        <v>45757</v>
      </c>
      <c r="E754" s="92" t="inlineStr">
        <is>
          <t>KR</t>
        </is>
      </c>
      <c r="F754" s="92" t="n">
        <v>62101000</v>
      </c>
      <c r="G754" s="92" t="n">
        <v>1301</v>
      </c>
      <c r="H754" s="93" t="n">
        <v>247000</v>
      </c>
      <c r="I754" s="92" t="inlineStr">
        <is>
          <t>4월 국내출장 - M항공</t>
        </is>
      </c>
      <c r="J754" s="92" t="inlineStr">
        <is>
          <t>V10001</t>
        </is>
      </c>
      <c r="K754" s="92" t="inlineStr">
        <is>
          <t>M항공</t>
        </is>
      </c>
      <c r="M754" s="9">
        <f>IF($A754="","",VALUE($A754&amp;"")*12+VALUE($B754&amp;""))</f>
        <v/>
      </c>
      <c r="N754" s="64">
        <f>IF($A754="","",IFERROR(INDEX(부서매핑!$C$5:$C$504,MATCH($G754&amp;"",부서매핑!$A$5:$A$504,0)),"미매핑"))</f>
        <v/>
      </c>
      <c r="O754" s="9">
        <f>IF($A754="","",N754&amp;"|"&amp;$F754)</f>
        <v/>
      </c>
      <c r="P754" s="94">
        <f>IF($A754="",0,$H754*설정!$C$23)</f>
        <v/>
      </c>
      <c r="Q754" s="64">
        <f>IF($A754="","",IF(O754&lt;&gt;원인분석!$C$9,"",IF(AND(M754&gt;=원인분석!$C$10,M754&lt;=원인분석!$C$11),"당기",IF(AND(M754&gt;=원인분석!$C$12,M754&lt;=원인분석!$C$13),"비교",""))))</f>
        <v/>
      </c>
      <c r="R754" s="9">
        <f>IF(Q754="","",$K754&amp;"")</f>
        <v/>
      </c>
      <c r="S754" s="9">
        <f>IF(Q754="","",IF(MATCH(R754,$R$5:$R$100000,0)=ROW()-4,ROW(),""))</f>
        <v/>
      </c>
      <c r="T754" s="9">
        <f>IF(Q754="당기",ABS(P754)+ROW()/1000000000,"")</f>
        <v/>
      </c>
      <c r="U754" s="9">
        <f>IF(Q754="비교",ABS(P754)+ROW()/1000000000,"")</f>
        <v/>
      </c>
      <c r="V754" s="64">
        <f>IF($A754="","",IF(COUNTIF(변동분석!$E$7:$E$506,O754)&gt;0,"Y","N"))</f>
        <v/>
      </c>
      <c r="W754" s="64">
        <f>IF($A754="","",IFERROR(INDEX(계정매핑!$D$5:$D$504,MATCH($F754&amp;"",계정매핑!$A$5:$A$504,0)),"미매핑"))</f>
        <v/>
      </c>
      <c r="X754" s="9">
        <f>IF($A754="","",$F754&amp;"")</f>
        <v/>
      </c>
      <c r="Y754" s="94">
        <f>IF($A754="",0,IF(AE754="직접",IF(AF754="비귀속",$P754,0),$P754*(1-AG754)*IFERROR(INDEX(계정대체기준!$F$20:$F$49,MATCH($N754,계정대체기준!$A$20:$A$49,0)),1)))</f>
        <v/>
      </c>
      <c r="Z754" s="94">
        <f>IF($A754="",0,IF(AE754="직접",IF(AF754="신계약비",$P754,0),$P754*(1-AG754)*IFERROR(INDEX(계정대체기준!$C$20:$C$49,MATCH($N754,계정대체기준!$A$20:$A$49,0)),0)))</f>
        <v/>
      </c>
      <c r="AA754" s="94">
        <f>IF($A754="",0,IF(AE754="직접",IF(OR(AF754="유지비",AF754="손해조사비"),$P754,0),$P754*(1-AG754)*IFERROR(INDEX(계정대체기준!$D$20:$D$49,MATCH($N754,계정대체기준!$A$20:$A$49,0)),0)))</f>
        <v/>
      </c>
      <c r="AB754" s="94">
        <f>IF($A754="",0,IF(AE754="직접",IF(AF754="수금비",$P754,0),$P754*(1-AG754)*IFERROR(INDEX(계정대체기준!$E$20:$E$49,MATCH($N754,계정대체기준!$A$20:$A$49,0)),0)))</f>
        <v/>
      </c>
      <c r="AC754" s="9">
        <f>IF(AND($A754&lt;&gt;"",M754=설정!$C$20,Z754&gt;0),Z754+ROW()/1000000000,"")</f>
        <v/>
      </c>
      <c r="AD754" s="94">
        <f>IF($A754="",0,$P754*AG754)</f>
        <v/>
      </c>
      <c r="AE754" s="64">
        <f>IF($A754="","",IFERROR(INDEX(계정매핑!$E$5:$E$504,MATCH($F754&amp;"",계정매핑!$A$5:$A$504,0))&amp;"","공통비"))</f>
        <v/>
      </c>
      <c r="AF754" s="64">
        <f>IF($A754="","",IF(AE754="직접",IFERROR(INDEX(계정매핑!$F$5:$F$504,MATCH($F754&amp;"",계정매핑!$A$5:$A$504,0))&amp;"","비귀속"),""))</f>
        <v/>
      </c>
      <c r="AG754" s="96">
        <f>IF($A754="",0,IF(AND(AE754&lt;&gt;"직접",IFERROR(INDEX(계정매핑!$G$5:$G$504,MATCH($F754&amp;"",계정매핑!$A$5:$A$504,0))&amp;"","")="유지비",COUNTIF(계정대체기준!$A$6:$A$15,$N754)&gt;0),IFERROR(INDEX(계정대체기준!$E$6:$E$15,MATCH(VALUE($A754&amp;""),계정대체기준!$D$6:$D$15,0)),0),0))</f>
        <v/>
      </c>
      <c r="AH754" s="64">
        <f>IF($A754="","",IF(AD754=0,"",IF(OR(COUNTIF(계정대체기준!$A$77:$A$86,$N754)&gt;0,ISNUMBER(MATCH($X754,계정대체기준!$D$77:$D$86,0)),ISNUMBER(MATCH($F754,계정대체기준!$D$77:$D$86,0))),"Y","N")))</f>
        <v/>
      </c>
    </row>
    <row r="755">
      <c r="A755" s="92" t="n">
        <v>2025</v>
      </c>
      <c r="B755" s="92" t="n">
        <v>4</v>
      </c>
      <c r="C755" s="92" t="inlineStr">
        <is>
          <t>5100000751</t>
        </is>
      </c>
      <c r="D755" s="95" t="n">
        <v>45757</v>
      </c>
      <c r="E755" s="92" t="inlineStr">
        <is>
          <t>KR</t>
        </is>
      </c>
      <c r="F755" s="92" t="n">
        <v>62101000</v>
      </c>
      <c r="G755" s="92" t="n">
        <v>1701</v>
      </c>
      <c r="H755" s="93" t="n">
        <v>174000</v>
      </c>
      <c r="I755" s="92" t="inlineStr">
        <is>
          <t>4월 국내출장 - L여행사</t>
        </is>
      </c>
      <c r="J755" s="92" t="inlineStr">
        <is>
          <t>V10018</t>
        </is>
      </c>
      <c r="K755" s="92" t="inlineStr">
        <is>
          <t>L여행사</t>
        </is>
      </c>
      <c r="M755" s="9">
        <f>IF($A755="","",VALUE($A755&amp;"")*12+VALUE($B755&amp;""))</f>
        <v/>
      </c>
      <c r="N755" s="64">
        <f>IF($A755="","",IFERROR(INDEX(부서매핑!$C$5:$C$504,MATCH($G755&amp;"",부서매핑!$A$5:$A$504,0)),"미매핑"))</f>
        <v/>
      </c>
      <c r="O755" s="9">
        <f>IF($A755="","",N755&amp;"|"&amp;$F755)</f>
        <v/>
      </c>
      <c r="P755" s="94">
        <f>IF($A755="",0,$H755*설정!$C$23)</f>
        <v/>
      </c>
      <c r="Q755" s="64">
        <f>IF($A755="","",IF(O755&lt;&gt;원인분석!$C$9,"",IF(AND(M755&gt;=원인분석!$C$10,M755&lt;=원인분석!$C$11),"당기",IF(AND(M755&gt;=원인분석!$C$12,M755&lt;=원인분석!$C$13),"비교",""))))</f>
        <v/>
      </c>
      <c r="R755" s="9">
        <f>IF(Q755="","",$K755&amp;"")</f>
        <v/>
      </c>
      <c r="S755" s="9">
        <f>IF(Q755="","",IF(MATCH(R755,$R$5:$R$100000,0)=ROW()-4,ROW(),""))</f>
        <v/>
      </c>
      <c r="T755" s="9">
        <f>IF(Q755="당기",ABS(P755)+ROW()/1000000000,"")</f>
        <v/>
      </c>
      <c r="U755" s="9">
        <f>IF(Q755="비교",ABS(P755)+ROW()/1000000000,"")</f>
        <v/>
      </c>
      <c r="V755" s="64">
        <f>IF($A755="","",IF(COUNTIF(변동분석!$E$7:$E$506,O755)&gt;0,"Y","N"))</f>
        <v/>
      </c>
      <c r="W755" s="64">
        <f>IF($A755="","",IFERROR(INDEX(계정매핑!$D$5:$D$504,MATCH($F755&amp;"",계정매핑!$A$5:$A$504,0)),"미매핑"))</f>
        <v/>
      </c>
      <c r="X755" s="9">
        <f>IF($A755="","",$F755&amp;"")</f>
        <v/>
      </c>
      <c r="Y755" s="94">
        <f>IF($A755="",0,IF(AE755="직접",IF(AF755="비귀속",$P755,0),$P755*(1-AG755)*IFERROR(INDEX(계정대체기준!$F$20:$F$49,MATCH($N755,계정대체기준!$A$20:$A$49,0)),1)))</f>
        <v/>
      </c>
      <c r="Z755" s="94">
        <f>IF($A755="",0,IF(AE755="직접",IF(AF755="신계약비",$P755,0),$P755*(1-AG755)*IFERROR(INDEX(계정대체기준!$C$20:$C$49,MATCH($N755,계정대체기준!$A$20:$A$49,0)),0)))</f>
        <v/>
      </c>
      <c r="AA755" s="94">
        <f>IF($A755="",0,IF(AE755="직접",IF(OR(AF755="유지비",AF755="손해조사비"),$P755,0),$P755*(1-AG755)*IFERROR(INDEX(계정대체기준!$D$20:$D$49,MATCH($N755,계정대체기준!$A$20:$A$49,0)),0)))</f>
        <v/>
      </c>
      <c r="AB755" s="94">
        <f>IF($A755="",0,IF(AE755="직접",IF(AF755="수금비",$P755,0),$P755*(1-AG755)*IFERROR(INDEX(계정대체기준!$E$20:$E$49,MATCH($N755,계정대체기준!$A$20:$A$49,0)),0)))</f>
        <v/>
      </c>
      <c r="AC755" s="9">
        <f>IF(AND($A755&lt;&gt;"",M755=설정!$C$20,Z755&gt;0),Z755+ROW()/1000000000,"")</f>
        <v/>
      </c>
      <c r="AD755" s="94">
        <f>IF($A755="",0,$P755*AG755)</f>
        <v/>
      </c>
      <c r="AE755" s="64">
        <f>IF($A755="","",IFERROR(INDEX(계정매핑!$E$5:$E$504,MATCH($F755&amp;"",계정매핑!$A$5:$A$504,0))&amp;"","공통비"))</f>
        <v/>
      </c>
      <c r="AF755" s="64">
        <f>IF($A755="","",IF(AE755="직접",IFERROR(INDEX(계정매핑!$F$5:$F$504,MATCH($F755&amp;"",계정매핑!$A$5:$A$504,0))&amp;"","비귀속"),""))</f>
        <v/>
      </c>
      <c r="AG755" s="96">
        <f>IF($A755="",0,IF(AND(AE755&lt;&gt;"직접",IFERROR(INDEX(계정매핑!$G$5:$G$504,MATCH($F755&amp;"",계정매핑!$A$5:$A$504,0))&amp;"","")="유지비",COUNTIF(계정대체기준!$A$6:$A$15,$N755)&gt;0),IFERROR(INDEX(계정대체기준!$E$6:$E$15,MATCH(VALUE($A755&amp;""),계정대체기준!$D$6:$D$15,0)),0),0))</f>
        <v/>
      </c>
      <c r="AH755" s="64">
        <f>IF($A755="","",IF(AD755=0,"",IF(OR(COUNTIF(계정대체기준!$A$77:$A$86,$N755)&gt;0,ISNUMBER(MATCH($X755,계정대체기준!$D$77:$D$86,0)),ISNUMBER(MATCH($F755,계정대체기준!$D$77:$D$86,0))),"Y","N")))</f>
        <v/>
      </c>
    </row>
    <row r="756">
      <c r="A756" s="92" t="n">
        <v>2025</v>
      </c>
      <c r="B756" s="92" t="n">
        <v>4</v>
      </c>
      <c r="C756" s="92" t="inlineStr">
        <is>
          <t>5100000752</t>
        </is>
      </c>
      <c r="D756" s="95" t="n">
        <v>45757</v>
      </c>
      <c r="E756" s="92" t="inlineStr">
        <is>
          <t>KR</t>
        </is>
      </c>
      <c r="F756" s="92" t="n">
        <v>62101000</v>
      </c>
      <c r="G756" s="92" t="n">
        <v>1951</v>
      </c>
      <c r="H756" s="93" t="n">
        <v>245000</v>
      </c>
      <c r="I756" s="92" t="inlineStr">
        <is>
          <t>4월 국내출장 - M항공</t>
        </is>
      </c>
      <c r="J756" s="92" t="inlineStr">
        <is>
          <t>V10001</t>
        </is>
      </c>
      <c r="K756" s="92" t="inlineStr">
        <is>
          <t>M항공</t>
        </is>
      </c>
      <c r="M756" s="9">
        <f>IF($A756="","",VALUE($A756&amp;"")*12+VALUE($B756&amp;""))</f>
        <v/>
      </c>
      <c r="N756" s="64">
        <f>IF($A756="","",IFERROR(INDEX(부서매핑!$C$5:$C$504,MATCH($G756&amp;"",부서매핑!$A$5:$A$504,0)),"미매핑"))</f>
        <v/>
      </c>
      <c r="O756" s="9">
        <f>IF($A756="","",N756&amp;"|"&amp;$F756)</f>
        <v/>
      </c>
      <c r="P756" s="94">
        <f>IF($A756="",0,$H756*설정!$C$23)</f>
        <v/>
      </c>
      <c r="Q756" s="64">
        <f>IF($A756="","",IF(O756&lt;&gt;원인분석!$C$9,"",IF(AND(M756&gt;=원인분석!$C$10,M756&lt;=원인분석!$C$11),"당기",IF(AND(M756&gt;=원인분석!$C$12,M756&lt;=원인분석!$C$13),"비교",""))))</f>
        <v/>
      </c>
      <c r="R756" s="9">
        <f>IF(Q756="","",$K756&amp;"")</f>
        <v/>
      </c>
      <c r="S756" s="9">
        <f>IF(Q756="","",IF(MATCH(R756,$R$5:$R$100000,0)=ROW()-4,ROW(),""))</f>
        <v/>
      </c>
      <c r="T756" s="9">
        <f>IF(Q756="당기",ABS(P756)+ROW()/1000000000,"")</f>
        <v/>
      </c>
      <c r="U756" s="9">
        <f>IF(Q756="비교",ABS(P756)+ROW()/1000000000,"")</f>
        <v/>
      </c>
      <c r="V756" s="64">
        <f>IF($A756="","",IF(COUNTIF(변동분석!$E$7:$E$506,O756)&gt;0,"Y","N"))</f>
        <v/>
      </c>
      <c r="W756" s="64">
        <f>IF($A756="","",IFERROR(INDEX(계정매핑!$D$5:$D$504,MATCH($F756&amp;"",계정매핑!$A$5:$A$504,0)),"미매핑"))</f>
        <v/>
      </c>
      <c r="X756" s="9">
        <f>IF($A756="","",$F756&amp;"")</f>
        <v/>
      </c>
      <c r="Y756" s="94">
        <f>IF($A756="",0,IF(AE756="직접",IF(AF756="비귀속",$P756,0),$P756*(1-AG756)*IFERROR(INDEX(계정대체기준!$F$20:$F$49,MATCH($N756,계정대체기준!$A$20:$A$49,0)),1)))</f>
        <v/>
      </c>
      <c r="Z756" s="94">
        <f>IF($A756="",0,IF(AE756="직접",IF(AF756="신계약비",$P756,0),$P756*(1-AG756)*IFERROR(INDEX(계정대체기준!$C$20:$C$49,MATCH($N756,계정대체기준!$A$20:$A$49,0)),0)))</f>
        <v/>
      </c>
      <c r="AA756" s="94">
        <f>IF($A756="",0,IF(AE756="직접",IF(OR(AF756="유지비",AF756="손해조사비"),$P756,0),$P756*(1-AG756)*IFERROR(INDEX(계정대체기준!$D$20:$D$49,MATCH($N756,계정대체기준!$A$20:$A$49,0)),0)))</f>
        <v/>
      </c>
      <c r="AB756" s="94">
        <f>IF($A756="",0,IF(AE756="직접",IF(AF756="수금비",$P756,0),$P756*(1-AG756)*IFERROR(INDEX(계정대체기준!$E$20:$E$49,MATCH($N756,계정대체기준!$A$20:$A$49,0)),0)))</f>
        <v/>
      </c>
      <c r="AC756" s="9">
        <f>IF(AND($A756&lt;&gt;"",M756=설정!$C$20,Z756&gt;0),Z756+ROW()/1000000000,"")</f>
        <v/>
      </c>
      <c r="AD756" s="94">
        <f>IF($A756="",0,$P756*AG756)</f>
        <v/>
      </c>
      <c r="AE756" s="64">
        <f>IF($A756="","",IFERROR(INDEX(계정매핑!$E$5:$E$504,MATCH($F756&amp;"",계정매핑!$A$5:$A$504,0))&amp;"","공통비"))</f>
        <v/>
      </c>
      <c r="AF756" s="64">
        <f>IF($A756="","",IF(AE756="직접",IFERROR(INDEX(계정매핑!$F$5:$F$504,MATCH($F756&amp;"",계정매핑!$A$5:$A$504,0))&amp;"","비귀속"),""))</f>
        <v/>
      </c>
      <c r="AG756" s="96">
        <f>IF($A756="",0,IF(AND(AE756&lt;&gt;"직접",IFERROR(INDEX(계정매핑!$G$5:$G$504,MATCH($F756&amp;"",계정매핑!$A$5:$A$504,0))&amp;"","")="유지비",COUNTIF(계정대체기준!$A$6:$A$15,$N756)&gt;0),IFERROR(INDEX(계정대체기준!$E$6:$E$15,MATCH(VALUE($A756&amp;""),계정대체기준!$D$6:$D$15,0)),0),0))</f>
        <v/>
      </c>
      <c r="AH756" s="64">
        <f>IF($A756="","",IF(AD756=0,"",IF(OR(COUNTIF(계정대체기준!$A$77:$A$86,$N756)&gt;0,ISNUMBER(MATCH($X756,계정대체기준!$D$77:$D$86,0)),ISNUMBER(MATCH($F756,계정대체기준!$D$77:$D$86,0))),"Y","N")))</f>
        <v/>
      </c>
    </row>
    <row r="757">
      <c r="A757" s="92" t="n">
        <v>2025</v>
      </c>
      <c r="B757" s="92" t="n">
        <v>4</v>
      </c>
      <c r="C757" s="92" t="inlineStr">
        <is>
          <t>5100000753</t>
        </is>
      </c>
      <c r="D757" s="95" t="n">
        <v>45757</v>
      </c>
      <c r="E757" s="92" t="inlineStr">
        <is>
          <t>KR</t>
        </is>
      </c>
      <c r="F757" s="92" t="n">
        <v>62102000</v>
      </c>
      <c r="G757" s="92" t="n">
        <v>1201</v>
      </c>
      <c r="H757" s="93" t="n">
        <v>61000</v>
      </c>
      <c r="I757" s="92" t="inlineStr">
        <is>
          <t>4월 해외출장 - M항공</t>
        </is>
      </c>
      <c r="J757" s="92" t="inlineStr">
        <is>
          <t>V10001</t>
        </is>
      </c>
      <c r="K757" s="92" t="inlineStr">
        <is>
          <t>M항공</t>
        </is>
      </c>
      <c r="M757" s="9">
        <f>IF($A757="","",VALUE($A757&amp;"")*12+VALUE($B757&amp;""))</f>
        <v/>
      </c>
      <c r="N757" s="64">
        <f>IF($A757="","",IFERROR(INDEX(부서매핑!$C$5:$C$504,MATCH($G757&amp;"",부서매핑!$A$5:$A$504,0)),"미매핑"))</f>
        <v/>
      </c>
      <c r="O757" s="9">
        <f>IF($A757="","",N757&amp;"|"&amp;$F757)</f>
        <v/>
      </c>
      <c r="P757" s="94">
        <f>IF($A757="",0,$H757*설정!$C$23)</f>
        <v/>
      </c>
      <c r="Q757" s="64">
        <f>IF($A757="","",IF(O757&lt;&gt;원인분석!$C$9,"",IF(AND(M757&gt;=원인분석!$C$10,M757&lt;=원인분석!$C$11),"당기",IF(AND(M757&gt;=원인분석!$C$12,M757&lt;=원인분석!$C$13),"비교",""))))</f>
        <v/>
      </c>
      <c r="R757" s="9">
        <f>IF(Q757="","",$K757&amp;"")</f>
        <v/>
      </c>
      <c r="S757" s="9">
        <f>IF(Q757="","",IF(MATCH(R757,$R$5:$R$100000,0)=ROW()-4,ROW(),""))</f>
        <v/>
      </c>
      <c r="T757" s="9">
        <f>IF(Q757="당기",ABS(P757)+ROW()/1000000000,"")</f>
        <v/>
      </c>
      <c r="U757" s="9">
        <f>IF(Q757="비교",ABS(P757)+ROW()/1000000000,"")</f>
        <v/>
      </c>
      <c r="V757" s="64">
        <f>IF($A757="","",IF(COUNTIF(변동분석!$E$7:$E$506,O757)&gt;0,"Y","N"))</f>
        <v/>
      </c>
      <c r="W757" s="64">
        <f>IF($A757="","",IFERROR(INDEX(계정매핑!$D$5:$D$504,MATCH($F757&amp;"",계정매핑!$A$5:$A$504,0)),"미매핑"))</f>
        <v/>
      </c>
      <c r="X757" s="9">
        <f>IF($A757="","",$F757&amp;"")</f>
        <v/>
      </c>
      <c r="Y757" s="94">
        <f>IF($A757="",0,IF(AE757="직접",IF(AF757="비귀속",$P757,0),$P757*(1-AG757)*IFERROR(INDEX(계정대체기준!$F$20:$F$49,MATCH($N757,계정대체기준!$A$20:$A$49,0)),1)))</f>
        <v/>
      </c>
      <c r="Z757" s="94">
        <f>IF($A757="",0,IF(AE757="직접",IF(AF757="신계약비",$P757,0),$P757*(1-AG757)*IFERROR(INDEX(계정대체기준!$C$20:$C$49,MATCH($N757,계정대체기준!$A$20:$A$49,0)),0)))</f>
        <v/>
      </c>
      <c r="AA757" s="94">
        <f>IF($A757="",0,IF(AE757="직접",IF(OR(AF757="유지비",AF757="손해조사비"),$P757,0),$P757*(1-AG757)*IFERROR(INDEX(계정대체기준!$D$20:$D$49,MATCH($N757,계정대체기준!$A$20:$A$49,0)),0)))</f>
        <v/>
      </c>
      <c r="AB757" s="94">
        <f>IF($A757="",0,IF(AE757="직접",IF(AF757="수금비",$P757,0),$P757*(1-AG757)*IFERROR(INDEX(계정대체기준!$E$20:$E$49,MATCH($N757,계정대체기준!$A$20:$A$49,0)),0)))</f>
        <v/>
      </c>
      <c r="AC757" s="9">
        <f>IF(AND($A757&lt;&gt;"",M757=설정!$C$20,Z757&gt;0),Z757+ROW()/1000000000,"")</f>
        <v/>
      </c>
      <c r="AD757" s="94">
        <f>IF($A757="",0,$P757*AG757)</f>
        <v/>
      </c>
      <c r="AE757" s="64">
        <f>IF($A757="","",IFERROR(INDEX(계정매핑!$E$5:$E$504,MATCH($F757&amp;"",계정매핑!$A$5:$A$504,0))&amp;"","공통비"))</f>
        <v/>
      </c>
      <c r="AF757" s="64">
        <f>IF($A757="","",IF(AE757="직접",IFERROR(INDEX(계정매핑!$F$5:$F$504,MATCH($F757&amp;"",계정매핑!$A$5:$A$504,0))&amp;"","비귀속"),""))</f>
        <v/>
      </c>
      <c r="AG757" s="96">
        <f>IF($A757="",0,IF(AND(AE757&lt;&gt;"직접",IFERROR(INDEX(계정매핑!$G$5:$G$504,MATCH($F757&amp;"",계정매핑!$A$5:$A$504,0))&amp;"","")="유지비",COUNTIF(계정대체기준!$A$6:$A$15,$N757)&gt;0),IFERROR(INDEX(계정대체기준!$E$6:$E$15,MATCH(VALUE($A757&amp;""),계정대체기준!$D$6:$D$15,0)),0),0))</f>
        <v/>
      </c>
      <c r="AH757" s="64">
        <f>IF($A757="","",IF(AD757=0,"",IF(OR(COUNTIF(계정대체기준!$A$77:$A$86,$N757)&gt;0,ISNUMBER(MATCH($X757,계정대체기준!$D$77:$D$86,0)),ISNUMBER(MATCH($F757,계정대체기준!$D$77:$D$86,0))),"Y","N")))</f>
        <v/>
      </c>
    </row>
    <row r="758">
      <c r="A758" s="92" t="n">
        <v>2025</v>
      </c>
      <c r="B758" s="92" t="n">
        <v>4</v>
      </c>
      <c r="C758" s="92" t="inlineStr">
        <is>
          <t>5100000754</t>
        </is>
      </c>
      <c r="D758" s="95" t="n">
        <v>45757</v>
      </c>
      <c r="E758" s="92" t="inlineStr">
        <is>
          <t>KR</t>
        </is>
      </c>
      <c r="F758" s="92" t="n">
        <v>62201000</v>
      </c>
      <c r="G758" s="92" t="n">
        <v>1101</v>
      </c>
      <c r="H758" s="93" t="n">
        <v>241000</v>
      </c>
      <c r="I758" s="92" t="inlineStr">
        <is>
          <t>4월 통신요금 - O텔레콤</t>
        </is>
      </c>
      <c r="J758" s="92" t="inlineStr">
        <is>
          <t>V10002</t>
        </is>
      </c>
      <c r="K758" s="92" t="inlineStr">
        <is>
          <t>O텔레콤</t>
        </is>
      </c>
      <c r="M758" s="9">
        <f>IF($A758="","",VALUE($A758&amp;"")*12+VALUE($B758&amp;""))</f>
        <v/>
      </c>
      <c r="N758" s="64">
        <f>IF($A758="","",IFERROR(INDEX(부서매핑!$C$5:$C$504,MATCH($G758&amp;"",부서매핑!$A$5:$A$504,0)),"미매핑"))</f>
        <v/>
      </c>
      <c r="O758" s="9">
        <f>IF($A758="","",N758&amp;"|"&amp;$F758)</f>
        <v/>
      </c>
      <c r="P758" s="94">
        <f>IF($A758="",0,$H758*설정!$C$23)</f>
        <v/>
      </c>
      <c r="Q758" s="64">
        <f>IF($A758="","",IF(O758&lt;&gt;원인분석!$C$9,"",IF(AND(M758&gt;=원인분석!$C$10,M758&lt;=원인분석!$C$11),"당기",IF(AND(M758&gt;=원인분석!$C$12,M758&lt;=원인분석!$C$13),"비교",""))))</f>
        <v/>
      </c>
      <c r="R758" s="9">
        <f>IF(Q758="","",$K758&amp;"")</f>
        <v/>
      </c>
      <c r="S758" s="9">
        <f>IF(Q758="","",IF(MATCH(R758,$R$5:$R$100000,0)=ROW()-4,ROW(),""))</f>
        <v/>
      </c>
      <c r="T758" s="9">
        <f>IF(Q758="당기",ABS(P758)+ROW()/1000000000,"")</f>
        <v/>
      </c>
      <c r="U758" s="9">
        <f>IF(Q758="비교",ABS(P758)+ROW()/1000000000,"")</f>
        <v/>
      </c>
      <c r="V758" s="64">
        <f>IF($A758="","",IF(COUNTIF(변동분석!$E$7:$E$506,O758)&gt;0,"Y","N"))</f>
        <v/>
      </c>
      <c r="W758" s="64">
        <f>IF($A758="","",IFERROR(INDEX(계정매핑!$D$5:$D$504,MATCH($F758&amp;"",계정매핑!$A$5:$A$504,0)),"미매핑"))</f>
        <v/>
      </c>
      <c r="X758" s="9">
        <f>IF($A758="","",$F758&amp;"")</f>
        <v/>
      </c>
      <c r="Y758" s="94">
        <f>IF($A758="",0,IF(AE758="직접",IF(AF758="비귀속",$P758,0),$P758*(1-AG758)*IFERROR(INDEX(계정대체기준!$F$20:$F$49,MATCH($N758,계정대체기준!$A$20:$A$49,0)),1)))</f>
        <v/>
      </c>
      <c r="Z758" s="94">
        <f>IF($A758="",0,IF(AE758="직접",IF(AF758="신계약비",$P758,0),$P758*(1-AG758)*IFERROR(INDEX(계정대체기준!$C$20:$C$49,MATCH($N758,계정대체기준!$A$20:$A$49,0)),0)))</f>
        <v/>
      </c>
      <c r="AA758" s="94">
        <f>IF($A758="",0,IF(AE758="직접",IF(OR(AF758="유지비",AF758="손해조사비"),$P758,0),$P758*(1-AG758)*IFERROR(INDEX(계정대체기준!$D$20:$D$49,MATCH($N758,계정대체기준!$A$20:$A$49,0)),0)))</f>
        <v/>
      </c>
      <c r="AB758" s="94">
        <f>IF($A758="",0,IF(AE758="직접",IF(AF758="수금비",$P758,0),$P758*(1-AG758)*IFERROR(INDEX(계정대체기준!$E$20:$E$49,MATCH($N758,계정대체기준!$A$20:$A$49,0)),0)))</f>
        <v/>
      </c>
      <c r="AC758" s="9">
        <f>IF(AND($A758&lt;&gt;"",M758=설정!$C$20,Z758&gt;0),Z758+ROW()/1000000000,"")</f>
        <v/>
      </c>
      <c r="AD758" s="94">
        <f>IF($A758="",0,$P758*AG758)</f>
        <v/>
      </c>
      <c r="AE758" s="64">
        <f>IF($A758="","",IFERROR(INDEX(계정매핑!$E$5:$E$504,MATCH($F758&amp;"",계정매핑!$A$5:$A$504,0))&amp;"","공통비"))</f>
        <v/>
      </c>
      <c r="AF758" s="64">
        <f>IF($A758="","",IF(AE758="직접",IFERROR(INDEX(계정매핑!$F$5:$F$504,MATCH($F758&amp;"",계정매핑!$A$5:$A$504,0))&amp;"","비귀속"),""))</f>
        <v/>
      </c>
      <c r="AG758" s="96">
        <f>IF($A758="",0,IF(AND(AE758&lt;&gt;"직접",IFERROR(INDEX(계정매핑!$G$5:$G$504,MATCH($F758&amp;"",계정매핑!$A$5:$A$504,0))&amp;"","")="유지비",COUNTIF(계정대체기준!$A$6:$A$15,$N758)&gt;0),IFERROR(INDEX(계정대체기준!$E$6:$E$15,MATCH(VALUE($A758&amp;""),계정대체기준!$D$6:$D$15,0)),0),0))</f>
        <v/>
      </c>
      <c r="AH758" s="64">
        <f>IF($A758="","",IF(AD758=0,"",IF(OR(COUNTIF(계정대체기준!$A$77:$A$86,$N758)&gt;0,ISNUMBER(MATCH($X758,계정대체기준!$D$77:$D$86,0)),ISNUMBER(MATCH($F758,계정대체기준!$D$77:$D$86,0))),"Y","N")))</f>
        <v/>
      </c>
    </row>
    <row r="759">
      <c r="A759" s="92" t="n">
        <v>2025</v>
      </c>
      <c r="B759" s="92" t="n">
        <v>4</v>
      </c>
      <c r="C759" s="92" t="inlineStr">
        <is>
          <t>5100000755</t>
        </is>
      </c>
      <c r="D759" s="95" t="n">
        <v>45757</v>
      </c>
      <c r="E759" s="92" t="inlineStr">
        <is>
          <t>KR</t>
        </is>
      </c>
      <c r="F759" s="92" t="n">
        <v>62301000</v>
      </c>
      <c r="G759" s="92" t="n">
        <v>1401</v>
      </c>
      <c r="H759" s="93" t="n">
        <v>92000</v>
      </c>
      <c r="I759" s="92" t="inlineStr">
        <is>
          <t>4월 소모품 구입 - Q오피스</t>
        </is>
      </c>
      <c r="J759" s="92" t="inlineStr">
        <is>
          <t>V10003</t>
        </is>
      </c>
      <c r="K759" s="92" t="inlineStr">
        <is>
          <t>Q오피스</t>
        </is>
      </c>
      <c r="M759" s="9">
        <f>IF($A759="","",VALUE($A759&amp;"")*12+VALUE($B759&amp;""))</f>
        <v/>
      </c>
      <c r="N759" s="64">
        <f>IF($A759="","",IFERROR(INDEX(부서매핑!$C$5:$C$504,MATCH($G759&amp;"",부서매핑!$A$5:$A$504,0)),"미매핑"))</f>
        <v/>
      </c>
      <c r="O759" s="9">
        <f>IF($A759="","",N759&amp;"|"&amp;$F759)</f>
        <v/>
      </c>
      <c r="P759" s="94">
        <f>IF($A759="",0,$H759*설정!$C$23)</f>
        <v/>
      </c>
      <c r="Q759" s="64">
        <f>IF($A759="","",IF(O759&lt;&gt;원인분석!$C$9,"",IF(AND(M759&gt;=원인분석!$C$10,M759&lt;=원인분석!$C$11),"당기",IF(AND(M759&gt;=원인분석!$C$12,M759&lt;=원인분석!$C$13),"비교",""))))</f>
        <v/>
      </c>
      <c r="R759" s="9">
        <f>IF(Q759="","",$K759&amp;"")</f>
        <v/>
      </c>
      <c r="S759" s="9">
        <f>IF(Q759="","",IF(MATCH(R759,$R$5:$R$100000,0)=ROW()-4,ROW(),""))</f>
        <v/>
      </c>
      <c r="T759" s="9">
        <f>IF(Q759="당기",ABS(P759)+ROW()/1000000000,"")</f>
        <v/>
      </c>
      <c r="U759" s="9">
        <f>IF(Q759="비교",ABS(P759)+ROW()/1000000000,"")</f>
        <v/>
      </c>
      <c r="V759" s="64">
        <f>IF($A759="","",IF(COUNTIF(변동분석!$E$7:$E$506,O759)&gt;0,"Y","N"))</f>
        <v/>
      </c>
      <c r="W759" s="64">
        <f>IF($A759="","",IFERROR(INDEX(계정매핑!$D$5:$D$504,MATCH($F759&amp;"",계정매핑!$A$5:$A$504,0)),"미매핑"))</f>
        <v/>
      </c>
      <c r="X759" s="9">
        <f>IF($A759="","",$F759&amp;"")</f>
        <v/>
      </c>
      <c r="Y759" s="94">
        <f>IF($A759="",0,IF(AE759="직접",IF(AF759="비귀속",$P759,0),$P759*(1-AG759)*IFERROR(INDEX(계정대체기준!$F$20:$F$49,MATCH($N759,계정대체기준!$A$20:$A$49,0)),1)))</f>
        <v/>
      </c>
      <c r="Z759" s="94">
        <f>IF($A759="",0,IF(AE759="직접",IF(AF759="신계약비",$P759,0),$P759*(1-AG759)*IFERROR(INDEX(계정대체기준!$C$20:$C$49,MATCH($N759,계정대체기준!$A$20:$A$49,0)),0)))</f>
        <v/>
      </c>
      <c r="AA759" s="94">
        <f>IF($A759="",0,IF(AE759="직접",IF(OR(AF759="유지비",AF759="손해조사비"),$P759,0),$P759*(1-AG759)*IFERROR(INDEX(계정대체기준!$D$20:$D$49,MATCH($N759,계정대체기준!$A$20:$A$49,0)),0)))</f>
        <v/>
      </c>
      <c r="AB759" s="94">
        <f>IF($A759="",0,IF(AE759="직접",IF(AF759="수금비",$P759,0),$P759*(1-AG759)*IFERROR(INDEX(계정대체기준!$E$20:$E$49,MATCH($N759,계정대체기준!$A$20:$A$49,0)),0)))</f>
        <v/>
      </c>
      <c r="AC759" s="9">
        <f>IF(AND($A759&lt;&gt;"",M759=설정!$C$20,Z759&gt;0),Z759+ROW()/1000000000,"")</f>
        <v/>
      </c>
      <c r="AD759" s="94">
        <f>IF($A759="",0,$P759*AG759)</f>
        <v/>
      </c>
      <c r="AE759" s="64">
        <f>IF($A759="","",IFERROR(INDEX(계정매핑!$E$5:$E$504,MATCH($F759&amp;"",계정매핑!$A$5:$A$504,0))&amp;"","공통비"))</f>
        <v/>
      </c>
      <c r="AF759" s="64">
        <f>IF($A759="","",IF(AE759="직접",IFERROR(INDEX(계정매핑!$F$5:$F$504,MATCH($F759&amp;"",계정매핑!$A$5:$A$504,0))&amp;"","비귀속"),""))</f>
        <v/>
      </c>
      <c r="AG759" s="96">
        <f>IF($A759="",0,IF(AND(AE759&lt;&gt;"직접",IFERROR(INDEX(계정매핑!$G$5:$G$504,MATCH($F759&amp;"",계정매핑!$A$5:$A$504,0))&amp;"","")="유지비",COUNTIF(계정대체기준!$A$6:$A$15,$N759)&gt;0),IFERROR(INDEX(계정대체기준!$E$6:$E$15,MATCH(VALUE($A759&amp;""),계정대체기준!$D$6:$D$15,0)),0),0))</f>
        <v/>
      </c>
      <c r="AH759" s="64">
        <f>IF($A759="","",IF(AD759=0,"",IF(OR(COUNTIF(계정대체기준!$A$77:$A$86,$N759)&gt;0,ISNUMBER(MATCH($X759,계정대체기준!$D$77:$D$86,0)),ISNUMBER(MATCH($F759,계정대체기준!$D$77:$D$86,0))),"Y","N")))</f>
        <v/>
      </c>
    </row>
    <row r="760">
      <c r="A760" s="92" t="n">
        <v>2025</v>
      </c>
      <c r="B760" s="92" t="n">
        <v>4</v>
      </c>
      <c r="C760" s="92" t="inlineStr">
        <is>
          <t>5100000756</t>
        </is>
      </c>
      <c r="D760" s="95" t="n">
        <v>45757</v>
      </c>
      <c r="E760" s="92" t="inlineStr">
        <is>
          <t>KR</t>
        </is>
      </c>
      <c r="F760" s="92" t="n">
        <v>62401000</v>
      </c>
      <c r="G760" s="92" t="n">
        <v>1401</v>
      </c>
      <c r="H760" s="93" t="n">
        <v>254000</v>
      </c>
      <c r="I760" s="92" t="inlineStr">
        <is>
          <t>4월 인쇄물 제작 - S출판</t>
        </is>
      </c>
      <c r="J760" s="92" t="inlineStr">
        <is>
          <t>V10015</t>
        </is>
      </c>
      <c r="K760" s="92" t="inlineStr">
        <is>
          <t>S출판</t>
        </is>
      </c>
      <c r="M760" s="9">
        <f>IF($A760="","",VALUE($A760&amp;"")*12+VALUE($B760&amp;""))</f>
        <v/>
      </c>
      <c r="N760" s="64">
        <f>IF($A760="","",IFERROR(INDEX(부서매핑!$C$5:$C$504,MATCH($G760&amp;"",부서매핑!$A$5:$A$504,0)),"미매핑"))</f>
        <v/>
      </c>
      <c r="O760" s="9">
        <f>IF($A760="","",N760&amp;"|"&amp;$F760)</f>
        <v/>
      </c>
      <c r="P760" s="94">
        <f>IF($A760="",0,$H760*설정!$C$23)</f>
        <v/>
      </c>
      <c r="Q760" s="64">
        <f>IF($A760="","",IF(O760&lt;&gt;원인분석!$C$9,"",IF(AND(M760&gt;=원인분석!$C$10,M760&lt;=원인분석!$C$11),"당기",IF(AND(M760&gt;=원인분석!$C$12,M760&lt;=원인분석!$C$13),"비교",""))))</f>
        <v/>
      </c>
      <c r="R760" s="9">
        <f>IF(Q760="","",$K760&amp;"")</f>
        <v/>
      </c>
      <c r="S760" s="9">
        <f>IF(Q760="","",IF(MATCH(R760,$R$5:$R$100000,0)=ROW()-4,ROW(),""))</f>
        <v/>
      </c>
      <c r="T760" s="9">
        <f>IF(Q760="당기",ABS(P760)+ROW()/1000000000,"")</f>
        <v/>
      </c>
      <c r="U760" s="9">
        <f>IF(Q760="비교",ABS(P760)+ROW()/1000000000,"")</f>
        <v/>
      </c>
      <c r="V760" s="64">
        <f>IF($A760="","",IF(COUNTIF(변동분석!$E$7:$E$506,O760)&gt;0,"Y","N"))</f>
        <v/>
      </c>
      <c r="W760" s="64">
        <f>IF($A760="","",IFERROR(INDEX(계정매핑!$D$5:$D$504,MATCH($F760&amp;"",계정매핑!$A$5:$A$504,0)),"미매핑"))</f>
        <v/>
      </c>
      <c r="X760" s="9">
        <f>IF($A760="","",$F760&amp;"")</f>
        <v/>
      </c>
      <c r="Y760" s="94">
        <f>IF($A760="",0,IF(AE760="직접",IF(AF760="비귀속",$P760,0),$P760*(1-AG760)*IFERROR(INDEX(계정대체기준!$F$20:$F$49,MATCH($N760,계정대체기준!$A$20:$A$49,0)),1)))</f>
        <v/>
      </c>
      <c r="Z760" s="94">
        <f>IF($A760="",0,IF(AE760="직접",IF(AF760="신계약비",$P760,0),$P760*(1-AG760)*IFERROR(INDEX(계정대체기준!$C$20:$C$49,MATCH($N760,계정대체기준!$A$20:$A$49,0)),0)))</f>
        <v/>
      </c>
      <c r="AA760" s="94">
        <f>IF($A760="",0,IF(AE760="직접",IF(OR(AF760="유지비",AF760="손해조사비"),$P760,0),$P760*(1-AG760)*IFERROR(INDEX(계정대체기준!$D$20:$D$49,MATCH($N760,계정대체기준!$A$20:$A$49,0)),0)))</f>
        <v/>
      </c>
      <c r="AB760" s="94">
        <f>IF($A760="",0,IF(AE760="직접",IF(AF760="수금비",$P760,0),$P760*(1-AG760)*IFERROR(INDEX(계정대체기준!$E$20:$E$49,MATCH($N760,계정대체기준!$A$20:$A$49,0)),0)))</f>
        <v/>
      </c>
      <c r="AC760" s="9">
        <f>IF(AND($A760&lt;&gt;"",M760=설정!$C$20,Z760&gt;0),Z760+ROW()/1000000000,"")</f>
        <v/>
      </c>
      <c r="AD760" s="94">
        <f>IF($A760="",0,$P760*AG760)</f>
        <v/>
      </c>
      <c r="AE760" s="64">
        <f>IF($A760="","",IFERROR(INDEX(계정매핑!$E$5:$E$504,MATCH($F760&amp;"",계정매핑!$A$5:$A$504,0))&amp;"","공통비"))</f>
        <v/>
      </c>
      <c r="AF760" s="64">
        <f>IF($A760="","",IF(AE760="직접",IFERROR(INDEX(계정매핑!$F$5:$F$504,MATCH($F760&amp;"",계정매핑!$A$5:$A$504,0))&amp;"","비귀속"),""))</f>
        <v/>
      </c>
      <c r="AG760" s="96">
        <f>IF($A760="",0,IF(AND(AE760&lt;&gt;"직접",IFERROR(INDEX(계정매핑!$G$5:$G$504,MATCH($F760&amp;"",계정매핑!$A$5:$A$504,0))&amp;"","")="유지비",COUNTIF(계정대체기준!$A$6:$A$15,$N760)&gt;0),IFERROR(INDEX(계정대체기준!$E$6:$E$15,MATCH(VALUE($A760&amp;""),계정대체기준!$D$6:$D$15,0)),0),0))</f>
        <v/>
      </c>
      <c r="AH760" s="64">
        <f>IF($A760="","",IF(AD760=0,"",IF(OR(COUNTIF(계정대체기준!$A$77:$A$86,$N760)&gt;0,ISNUMBER(MATCH($X760,계정대체기준!$D$77:$D$86,0)),ISNUMBER(MATCH($F760,계정대체기준!$D$77:$D$86,0))),"Y","N")))</f>
        <v/>
      </c>
    </row>
    <row r="761">
      <c r="A761" s="92" t="n">
        <v>2025</v>
      </c>
      <c r="B761" s="92" t="n">
        <v>4</v>
      </c>
      <c r="C761" s="92" t="inlineStr">
        <is>
          <t>5100000757</t>
        </is>
      </c>
      <c r="D761" s="95" t="n">
        <v>45757</v>
      </c>
      <c r="E761" s="92" t="inlineStr">
        <is>
          <t>KR</t>
        </is>
      </c>
      <c r="F761" s="92" t="n">
        <v>62801000</v>
      </c>
      <c r="G761" s="92" t="n">
        <v>1301</v>
      </c>
      <c r="H761" s="93" t="n">
        <v>3757000</v>
      </c>
      <c r="I761" s="92" t="inlineStr">
        <is>
          <t>4월 사내교육 - U에듀</t>
        </is>
      </c>
      <c r="J761" s="92" t="inlineStr">
        <is>
          <t>V10031</t>
        </is>
      </c>
      <c r="K761" s="92" t="inlineStr">
        <is>
          <t>U에듀</t>
        </is>
      </c>
      <c r="M761" s="9">
        <f>IF($A761="","",VALUE($A761&amp;"")*12+VALUE($B761&amp;""))</f>
        <v/>
      </c>
      <c r="N761" s="64">
        <f>IF($A761="","",IFERROR(INDEX(부서매핑!$C$5:$C$504,MATCH($G761&amp;"",부서매핑!$A$5:$A$504,0)),"미매핑"))</f>
        <v/>
      </c>
      <c r="O761" s="9">
        <f>IF($A761="","",N761&amp;"|"&amp;$F761)</f>
        <v/>
      </c>
      <c r="P761" s="94">
        <f>IF($A761="",0,$H761*설정!$C$23)</f>
        <v/>
      </c>
      <c r="Q761" s="64">
        <f>IF($A761="","",IF(O761&lt;&gt;원인분석!$C$9,"",IF(AND(M761&gt;=원인분석!$C$10,M761&lt;=원인분석!$C$11),"당기",IF(AND(M761&gt;=원인분석!$C$12,M761&lt;=원인분석!$C$13),"비교",""))))</f>
        <v/>
      </c>
      <c r="R761" s="9">
        <f>IF(Q761="","",$K761&amp;"")</f>
        <v/>
      </c>
      <c r="S761" s="9">
        <f>IF(Q761="","",IF(MATCH(R761,$R$5:$R$100000,0)=ROW()-4,ROW(),""))</f>
        <v/>
      </c>
      <c r="T761" s="9">
        <f>IF(Q761="당기",ABS(P761)+ROW()/1000000000,"")</f>
        <v/>
      </c>
      <c r="U761" s="9">
        <f>IF(Q761="비교",ABS(P761)+ROW()/1000000000,"")</f>
        <v/>
      </c>
      <c r="V761" s="64">
        <f>IF($A761="","",IF(COUNTIF(변동분석!$E$7:$E$506,O761)&gt;0,"Y","N"))</f>
        <v/>
      </c>
      <c r="W761" s="64">
        <f>IF($A761="","",IFERROR(INDEX(계정매핑!$D$5:$D$504,MATCH($F761&amp;"",계정매핑!$A$5:$A$504,0)),"미매핑"))</f>
        <v/>
      </c>
      <c r="X761" s="9">
        <f>IF($A761="","",$F761&amp;"")</f>
        <v/>
      </c>
      <c r="Y761" s="94">
        <f>IF($A761="",0,IF(AE761="직접",IF(AF761="비귀속",$P761,0),$P761*(1-AG761)*IFERROR(INDEX(계정대체기준!$F$20:$F$49,MATCH($N761,계정대체기준!$A$20:$A$49,0)),1)))</f>
        <v/>
      </c>
      <c r="Z761" s="94">
        <f>IF($A761="",0,IF(AE761="직접",IF(AF761="신계약비",$P761,0),$P761*(1-AG761)*IFERROR(INDEX(계정대체기준!$C$20:$C$49,MATCH($N761,계정대체기준!$A$20:$A$49,0)),0)))</f>
        <v/>
      </c>
      <c r="AA761" s="94">
        <f>IF($A761="",0,IF(AE761="직접",IF(OR(AF761="유지비",AF761="손해조사비"),$P761,0),$P761*(1-AG761)*IFERROR(INDEX(계정대체기준!$D$20:$D$49,MATCH($N761,계정대체기준!$A$20:$A$49,0)),0)))</f>
        <v/>
      </c>
      <c r="AB761" s="94">
        <f>IF($A761="",0,IF(AE761="직접",IF(AF761="수금비",$P761,0),$P761*(1-AG761)*IFERROR(INDEX(계정대체기준!$E$20:$E$49,MATCH($N761,계정대체기준!$A$20:$A$49,0)),0)))</f>
        <v/>
      </c>
      <c r="AC761" s="9">
        <f>IF(AND($A761&lt;&gt;"",M761=설정!$C$20,Z761&gt;0),Z761+ROW()/1000000000,"")</f>
        <v/>
      </c>
      <c r="AD761" s="94">
        <f>IF($A761="",0,$P761*AG761)</f>
        <v/>
      </c>
      <c r="AE761" s="64">
        <f>IF($A761="","",IFERROR(INDEX(계정매핑!$E$5:$E$504,MATCH($F761&amp;"",계정매핑!$A$5:$A$504,0))&amp;"","공통비"))</f>
        <v/>
      </c>
      <c r="AF761" s="64">
        <f>IF($A761="","",IF(AE761="직접",IFERROR(INDEX(계정매핑!$F$5:$F$504,MATCH($F761&amp;"",계정매핑!$A$5:$A$504,0))&amp;"","비귀속"),""))</f>
        <v/>
      </c>
      <c r="AG761" s="96">
        <f>IF($A761="",0,IF(AND(AE761&lt;&gt;"직접",IFERROR(INDEX(계정매핑!$G$5:$G$504,MATCH($F761&amp;"",계정매핑!$A$5:$A$504,0))&amp;"","")="유지비",COUNTIF(계정대체기준!$A$6:$A$15,$N761)&gt;0),IFERROR(INDEX(계정대체기준!$E$6:$E$15,MATCH(VALUE($A761&amp;""),계정대체기준!$D$6:$D$15,0)),0),0))</f>
        <v/>
      </c>
      <c r="AH761" s="64">
        <f>IF($A761="","",IF(AD761=0,"",IF(OR(COUNTIF(계정대체기준!$A$77:$A$86,$N761)&gt;0,ISNUMBER(MATCH($X761,계정대체기준!$D$77:$D$86,0)),ISNUMBER(MATCH($F761,계정대체기준!$D$77:$D$86,0))),"Y","N")))</f>
        <v/>
      </c>
    </row>
    <row r="762">
      <c r="A762" s="92" t="n">
        <v>2025</v>
      </c>
      <c r="B762" s="92" t="n">
        <v>4</v>
      </c>
      <c r="C762" s="92" t="inlineStr">
        <is>
          <t>5100000758</t>
        </is>
      </c>
      <c r="D762" s="95" t="n">
        <v>45757</v>
      </c>
      <c r="E762" s="92" t="inlineStr">
        <is>
          <t>KR</t>
        </is>
      </c>
      <c r="F762" s="92" t="n">
        <v>62802000</v>
      </c>
      <c r="G762" s="92" t="n">
        <v>1301</v>
      </c>
      <c r="H762" s="93" t="n">
        <v>5021000</v>
      </c>
      <c r="I762" s="92" t="inlineStr">
        <is>
          <t>4월 위탁교육 - I교육원</t>
        </is>
      </c>
      <c r="J762" s="92" t="inlineStr">
        <is>
          <t>V10019</t>
        </is>
      </c>
      <c r="K762" s="92" t="inlineStr">
        <is>
          <t>I교육원</t>
        </is>
      </c>
      <c r="M762" s="9">
        <f>IF($A762="","",VALUE($A762&amp;"")*12+VALUE($B762&amp;""))</f>
        <v/>
      </c>
      <c r="N762" s="64">
        <f>IF($A762="","",IFERROR(INDEX(부서매핑!$C$5:$C$504,MATCH($G762&amp;"",부서매핑!$A$5:$A$504,0)),"미매핑"))</f>
        <v/>
      </c>
      <c r="O762" s="9">
        <f>IF($A762="","",N762&amp;"|"&amp;$F762)</f>
        <v/>
      </c>
      <c r="P762" s="94">
        <f>IF($A762="",0,$H762*설정!$C$23)</f>
        <v/>
      </c>
      <c r="Q762" s="64">
        <f>IF($A762="","",IF(O762&lt;&gt;원인분석!$C$9,"",IF(AND(M762&gt;=원인분석!$C$10,M762&lt;=원인분석!$C$11),"당기",IF(AND(M762&gt;=원인분석!$C$12,M762&lt;=원인분석!$C$13),"비교",""))))</f>
        <v/>
      </c>
      <c r="R762" s="9">
        <f>IF(Q762="","",$K762&amp;"")</f>
        <v/>
      </c>
      <c r="S762" s="9">
        <f>IF(Q762="","",IF(MATCH(R762,$R$5:$R$100000,0)=ROW()-4,ROW(),""))</f>
        <v/>
      </c>
      <c r="T762" s="9">
        <f>IF(Q762="당기",ABS(P762)+ROW()/1000000000,"")</f>
        <v/>
      </c>
      <c r="U762" s="9">
        <f>IF(Q762="비교",ABS(P762)+ROW()/1000000000,"")</f>
        <v/>
      </c>
      <c r="V762" s="64">
        <f>IF($A762="","",IF(COUNTIF(변동분석!$E$7:$E$506,O762)&gt;0,"Y","N"))</f>
        <v/>
      </c>
      <c r="W762" s="64">
        <f>IF($A762="","",IFERROR(INDEX(계정매핑!$D$5:$D$504,MATCH($F762&amp;"",계정매핑!$A$5:$A$504,0)),"미매핑"))</f>
        <v/>
      </c>
      <c r="X762" s="9">
        <f>IF($A762="","",$F762&amp;"")</f>
        <v/>
      </c>
      <c r="Y762" s="94">
        <f>IF($A762="",0,IF(AE762="직접",IF(AF762="비귀속",$P762,0),$P762*(1-AG762)*IFERROR(INDEX(계정대체기준!$F$20:$F$49,MATCH($N762,계정대체기준!$A$20:$A$49,0)),1)))</f>
        <v/>
      </c>
      <c r="Z762" s="94">
        <f>IF($A762="",0,IF(AE762="직접",IF(AF762="신계약비",$P762,0),$P762*(1-AG762)*IFERROR(INDEX(계정대체기준!$C$20:$C$49,MATCH($N762,계정대체기준!$A$20:$A$49,0)),0)))</f>
        <v/>
      </c>
      <c r="AA762" s="94">
        <f>IF($A762="",0,IF(AE762="직접",IF(OR(AF762="유지비",AF762="손해조사비"),$P762,0),$P762*(1-AG762)*IFERROR(INDEX(계정대체기준!$D$20:$D$49,MATCH($N762,계정대체기준!$A$20:$A$49,0)),0)))</f>
        <v/>
      </c>
      <c r="AB762" s="94">
        <f>IF($A762="",0,IF(AE762="직접",IF(AF762="수금비",$P762,0),$P762*(1-AG762)*IFERROR(INDEX(계정대체기준!$E$20:$E$49,MATCH($N762,계정대체기준!$A$20:$A$49,0)),0)))</f>
        <v/>
      </c>
      <c r="AC762" s="9">
        <f>IF(AND($A762&lt;&gt;"",M762=설정!$C$20,Z762&gt;0),Z762+ROW()/1000000000,"")</f>
        <v/>
      </c>
      <c r="AD762" s="94">
        <f>IF($A762="",0,$P762*AG762)</f>
        <v/>
      </c>
      <c r="AE762" s="64">
        <f>IF($A762="","",IFERROR(INDEX(계정매핑!$E$5:$E$504,MATCH($F762&amp;"",계정매핑!$A$5:$A$504,0))&amp;"","공통비"))</f>
        <v/>
      </c>
      <c r="AF762" s="64">
        <f>IF($A762="","",IF(AE762="직접",IFERROR(INDEX(계정매핑!$F$5:$F$504,MATCH($F762&amp;"",계정매핑!$A$5:$A$504,0))&amp;"","비귀속"),""))</f>
        <v/>
      </c>
      <c r="AG762" s="96">
        <f>IF($A762="",0,IF(AND(AE762&lt;&gt;"직접",IFERROR(INDEX(계정매핑!$G$5:$G$504,MATCH($F762&amp;"",계정매핑!$A$5:$A$504,0))&amp;"","")="유지비",COUNTIF(계정대체기준!$A$6:$A$15,$N762)&gt;0),IFERROR(INDEX(계정대체기준!$E$6:$E$15,MATCH(VALUE($A762&amp;""),계정대체기준!$D$6:$D$15,0)),0),0))</f>
        <v/>
      </c>
      <c r="AH762" s="64">
        <f>IF($A762="","",IF(AD762=0,"",IF(OR(COUNTIF(계정대체기준!$A$77:$A$86,$N762)&gt;0,ISNUMBER(MATCH($X762,계정대체기준!$D$77:$D$86,0)),ISNUMBER(MATCH($F762,계정대체기준!$D$77:$D$86,0))),"Y","N")))</f>
        <v/>
      </c>
    </row>
    <row r="763">
      <c r="A763" s="92" t="n">
        <v>2025</v>
      </c>
      <c r="B763" s="92" t="n">
        <v>4</v>
      </c>
      <c r="C763" s="92" t="inlineStr">
        <is>
          <t>5100000759</t>
        </is>
      </c>
      <c r="D763" s="95" t="n">
        <v>45757</v>
      </c>
      <c r="E763" s="92" t="inlineStr">
        <is>
          <t>KR</t>
        </is>
      </c>
      <c r="F763" s="92" t="n">
        <v>62902000</v>
      </c>
      <c r="G763" s="92" t="n">
        <v>1101</v>
      </c>
      <c r="H763" s="93" t="n">
        <v>1682000</v>
      </c>
      <c r="I763" s="92" t="inlineStr">
        <is>
          <t>4월 업무 위탁 수수료 - J콜센터</t>
        </is>
      </c>
      <c r="J763" s="92" t="inlineStr">
        <is>
          <t>V10016</t>
        </is>
      </c>
      <c r="K763" s="92" t="inlineStr">
        <is>
          <t>J콜센터</t>
        </is>
      </c>
      <c r="M763" s="9">
        <f>IF($A763="","",VALUE($A763&amp;"")*12+VALUE($B763&amp;""))</f>
        <v/>
      </c>
      <c r="N763" s="64">
        <f>IF($A763="","",IFERROR(INDEX(부서매핑!$C$5:$C$504,MATCH($G763&amp;"",부서매핑!$A$5:$A$504,0)),"미매핑"))</f>
        <v/>
      </c>
      <c r="O763" s="9">
        <f>IF($A763="","",N763&amp;"|"&amp;$F763)</f>
        <v/>
      </c>
      <c r="P763" s="94">
        <f>IF($A763="",0,$H763*설정!$C$23)</f>
        <v/>
      </c>
      <c r="Q763" s="64">
        <f>IF($A763="","",IF(O763&lt;&gt;원인분석!$C$9,"",IF(AND(M763&gt;=원인분석!$C$10,M763&lt;=원인분석!$C$11),"당기",IF(AND(M763&gt;=원인분석!$C$12,M763&lt;=원인분석!$C$13),"비교",""))))</f>
        <v/>
      </c>
      <c r="R763" s="9">
        <f>IF(Q763="","",$K763&amp;"")</f>
        <v/>
      </c>
      <c r="S763" s="9">
        <f>IF(Q763="","",IF(MATCH(R763,$R$5:$R$100000,0)=ROW()-4,ROW(),""))</f>
        <v/>
      </c>
      <c r="T763" s="9">
        <f>IF(Q763="당기",ABS(P763)+ROW()/1000000000,"")</f>
        <v/>
      </c>
      <c r="U763" s="9">
        <f>IF(Q763="비교",ABS(P763)+ROW()/1000000000,"")</f>
        <v/>
      </c>
      <c r="V763" s="64">
        <f>IF($A763="","",IF(COUNTIF(변동분석!$E$7:$E$506,O763)&gt;0,"Y","N"))</f>
        <v/>
      </c>
      <c r="W763" s="64">
        <f>IF($A763="","",IFERROR(INDEX(계정매핑!$D$5:$D$504,MATCH($F763&amp;"",계정매핑!$A$5:$A$504,0)),"미매핑"))</f>
        <v/>
      </c>
      <c r="X763" s="9">
        <f>IF($A763="","",$F763&amp;"")</f>
        <v/>
      </c>
      <c r="Y763" s="94">
        <f>IF($A763="",0,IF(AE763="직접",IF(AF763="비귀속",$P763,0),$P763*(1-AG763)*IFERROR(INDEX(계정대체기준!$F$20:$F$49,MATCH($N763,계정대체기준!$A$20:$A$49,0)),1)))</f>
        <v/>
      </c>
      <c r="Z763" s="94">
        <f>IF($A763="",0,IF(AE763="직접",IF(AF763="신계약비",$P763,0),$P763*(1-AG763)*IFERROR(INDEX(계정대체기준!$C$20:$C$49,MATCH($N763,계정대체기준!$A$20:$A$49,0)),0)))</f>
        <v/>
      </c>
      <c r="AA763" s="94">
        <f>IF($A763="",0,IF(AE763="직접",IF(OR(AF763="유지비",AF763="손해조사비"),$P763,0),$P763*(1-AG763)*IFERROR(INDEX(계정대체기준!$D$20:$D$49,MATCH($N763,계정대체기준!$A$20:$A$49,0)),0)))</f>
        <v/>
      </c>
      <c r="AB763" s="94">
        <f>IF($A763="",0,IF(AE763="직접",IF(AF763="수금비",$P763,0),$P763*(1-AG763)*IFERROR(INDEX(계정대체기준!$E$20:$E$49,MATCH($N763,계정대체기준!$A$20:$A$49,0)),0)))</f>
        <v/>
      </c>
      <c r="AC763" s="9">
        <f>IF(AND($A763&lt;&gt;"",M763=설정!$C$20,Z763&gt;0),Z763+ROW()/1000000000,"")</f>
        <v/>
      </c>
      <c r="AD763" s="94">
        <f>IF($A763="",0,$P763*AG763)</f>
        <v/>
      </c>
      <c r="AE763" s="64">
        <f>IF($A763="","",IFERROR(INDEX(계정매핑!$E$5:$E$504,MATCH($F763&amp;"",계정매핑!$A$5:$A$504,0))&amp;"","공통비"))</f>
        <v/>
      </c>
      <c r="AF763" s="64">
        <f>IF($A763="","",IF(AE763="직접",IFERROR(INDEX(계정매핑!$F$5:$F$504,MATCH($F763&amp;"",계정매핑!$A$5:$A$504,0))&amp;"","비귀속"),""))</f>
        <v/>
      </c>
      <c r="AG763" s="96">
        <f>IF($A763="",0,IF(AND(AE763&lt;&gt;"직접",IFERROR(INDEX(계정매핑!$G$5:$G$504,MATCH($F763&amp;"",계정매핑!$A$5:$A$504,0))&amp;"","")="유지비",COUNTIF(계정대체기준!$A$6:$A$15,$N763)&gt;0),IFERROR(INDEX(계정대체기준!$E$6:$E$15,MATCH(VALUE($A763&amp;""),계정대체기준!$D$6:$D$15,0)),0),0))</f>
        <v/>
      </c>
      <c r="AH763" s="64">
        <f>IF($A763="","",IF(AD763=0,"",IF(OR(COUNTIF(계정대체기준!$A$77:$A$86,$N763)&gt;0,ISNUMBER(MATCH($X763,계정대체기준!$D$77:$D$86,0)),ISNUMBER(MATCH($F763,계정대체기준!$D$77:$D$86,0))),"Y","N")))</f>
        <v/>
      </c>
    </row>
    <row r="764">
      <c r="A764" s="92" t="n">
        <v>2025</v>
      </c>
      <c r="B764" s="92" t="n">
        <v>4</v>
      </c>
      <c r="C764" s="92" t="inlineStr">
        <is>
          <t>5100000760</t>
        </is>
      </c>
      <c r="D764" s="95" t="n">
        <v>45757</v>
      </c>
      <c r="E764" s="92" t="inlineStr">
        <is>
          <t>KR</t>
        </is>
      </c>
      <c r="F764" s="92" t="n">
        <v>63001000</v>
      </c>
      <c r="G764" s="92" t="n">
        <v>1701</v>
      </c>
      <c r="H764" s="93" t="n">
        <v>36964000</v>
      </c>
      <c r="I764" s="92" t="inlineStr">
        <is>
          <t>4월 SW 유지보수 - Y소프트</t>
        </is>
      </c>
      <c r="J764" s="92" t="inlineStr">
        <is>
          <t>V10017</t>
        </is>
      </c>
      <c r="K764" s="92" t="inlineStr">
        <is>
          <t>Y소프트</t>
        </is>
      </c>
      <c r="M764" s="9">
        <f>IF($A764="","",VALUE($A764&amp;"")*12+VALUE($B764&amp;""))</f>
        <v/>
      </c>
      <c r="N764" s="64">
        <f>IF($A764="","",IFERROR(INDEX(부서매핑!$C$5:$C$504,MATCH($G764&amp;"",부서매핑!$A$5:$A$504,0)),"미매핑"))</f>
        <v/>
      </c>
      <c r="O764" s="9">
        <f>IF($A764="","",N764&amp;"|"&amp;$F764)</f>
        <v/>
      </c>
      <c r="P764" s="94">
        <f>IF($A764="",0,$H764*설정!$C$23)</f>
        <v/>
      </c>
      <c r="Q764" s="64">
        <f>IF($A764="","",IF(O764&lt;&gt;원인분석!$C$9,"",IF(AND(M764&gt;=원인분석!$C$10,M764&lt;=원인분석!$C$11),"당기",IF(AND(M764&gt;=원인분석!$C$12,M764&lt;=원인분석!$C$13),"비교",""))))</f>
        <v/>
      </c>
      <c r="R764" s="9">
        <f>IF(Q764="","",$K764&amp;"")</f>
        <v/>
      </c>
      <c r="S764" s="9">
        <f>IF(Q764="","",IF(MATCH(R764,$R$5:$R$100000,0)=ROW()-4,ROW(),""))</f>
        <v/>
      </c>
      <c r="T764" s="9">
        <f>IF(Q764="당기",ABS(P764)+ROW()/1000000000,"")</f>
        <v/>
      </c>
      <c r="U764" s="9">
        <f>IF(Q764="비교",ABS(P764)+ROW()/1000000000,"")</f>
        <v/>
      </c>
      <c r="V764" s="64">
        <f>IF($A764="","",IF(COUNTIF(변동분석!$E$7:$E$506,O764)&gt;0,"Y","N"))</f>
        <v/>
      </c>
      <c r="W764" s="64">
        <f>IF($A764="","",IFERROR(INDEX(계정매핑!$D$5:$D$504,MATCH($F764&amp;"",계정매핑!$A$5:$A$504,0)),"미매핑"))</f>
        <v/>
      </c>
      <c r="X764" s="9">
        <f>IF($A764="","",$F764&amp;"")</f>
        <v/>
      </c>
      <c r="Y764" s="94">
        <f>IF($A764="",0,IF(AE764="직접",IF(AF764="비귀속",$P764,0),$P764*(1-AG764)*IFERROR(INDEX(계정대체기준!$F$20:$F$49,MATCH($N764,계정대체기준!$A$20:$A$49,0)),1)))</f>
        <v/>
      </c>
      <c r="Z764" s="94">
        <f>IF($A764="",0,IF(AE764="직접",IF(AF764="신계약비",$P764,0),$P764*(1-AG764)*IFERROR(INDEX(계정대체기준!$C$20:$C$49,MATCH($N764,계정대체기준!$A$20:$A$49,0)),0)))</f>
        <v/>
      </c>
      <c r="AA764" s="94">
        <f>IF($A764="",0,IF(AE764="직접",IF(OR(AF764="유지비",AF764="손해조사비"),$P764,0),$P764*(1-AG764)*IFERROR(INDEX(계정대체기준!$D$20:$D$49,MATCH($N764,계정대체기준!$A$20:$A$49,0)),0)))</f>
        <v/>
      </c>
      <c r="AB764" s="94">
        <f>IF($A764="",0,IF(AE764="직접",IF(AF764="수금비",$P764,0),$P764*(1-AG764)*IFERROR(INDEX(계정대체기준!$E$20:$E$49,MATCH($N764,계정대체기준!$A$20:$A$49,0)),0)))</f>
        <v/>
      </c>
      <c r="AC764" s="9">
        <f>IF(AND($A764&lt;&gt;"",M764=설정!$C$20,Z764&gt;0),Z764+ROW()/1000000000,"")</f>
        <v/>
      </c>
      <c r="AD764" s="94">
        <f>IF($A764="",0,$P764*AG764)</f>
        <v/>
      </c>
      <c r="AE764" s="64">
        <f>IF($A764="","",IFERROR(INDEX(계정매핑!$E$5:$E$504,MATCH($F764&amp;"",계정매핑!$A$5:$A$504,0))&amp;"","공통비"))</f>
        <v/>
      </c>
      <c r="AF764" s="64">
        <f>IF($A764="","",IF(AE764="직접",IFERROR(INDEX(계정매핑!$F$5:$F$504,MATCH($F764&amp;"",계정매핑!$A$5:$A$504,0))&amp;"","비귀속"),""))</f>
        <v/>
      </c>
      <c r="AG764" s="96">
        <f>IF($A764="",0,IF(AND(AE764&lt;&gt;"직접",IFERROR(INDEX(계정매핑!$G$5:$G$504,MATCH($F764&amp;"",계정매핑!$A$5:$A$504,0))&amp;"","")="유지비",COUNTIF(계정대체기준!$A$6:$A$15,$N764)&gt;0),IFERROR(INDEX(계정대체기준!$E$6:$E$15,MATCH(VALUE($A764&amp;""),계정대체기준!$D$6:$D$15,0)),0),0))</f>
        <v/>
      </c>
      <c r="AH764" s="64">
        <f>IF($A764="","",IF(AD764=0,"",IF(OR(COUNTIF(계정대체기준!$A$77:$A$86,$N764)&gt;0,ISNUMBER(MATCH($X764,계정대체기준!$D$77:$D$86,0)),ISNUMBER(MATCH($F764,계정대체기준!$D$77:$D$86,0))),"Y","N")))</f>
        <v/>
      </c>
    </row>
    <row r="765">
      <c r="A765" s="92" t="n">
        <v>2025</v>
      </c>
      <c r="B765" s="92" t="n">
        <v>4</v>
      </c>
      <c r="C765" s="92" t="inlineStr">
        <is>
          <t>5100000761</t>
        </is>
      </c>
      <c r="D765" s="95" t="n">
        <v>45758</v>
      </c>
      <c r="E765" s="92" t="inlineStr">
        <is>
          <t>KR</t>
        </is>
      </c>
      <c r="F765" s="92" t="n">
        <v>62101000</v>
      </c>
      <c r="G765" s="92" t="n">
        <v>1201</v>
      </c>
      <c r="H765" s="93" t="n">
        <v>308000</v>
      </c>
      <c r="I765" s="92" t="inlineStr">
        <is>
          <t>4월 국내출장 - (법인카드)</t>
        </is>
      </c>
      <c r="J765" s="92" t="inlineStr">
        <is>
          <t>V10010</t>
        </is>
      </c>
      <c r="K765" s="92" t="inlineStr">
        <is>
          <t>(법인카드)</t>
        </is>
      </c>
      <c r="M765" s="9">
        <f>IF($A765="","",VALUE($A765&amp;"")*12+VALUE($B765&amp;""))</f>
        <v/>
      </c>
      <c r="N765" s="64">
        <f>IF($A765="","",IFERROR(INDEX(부서매핑!$C$5:$C$504,MATCH($G765&amp;"",부서매핑!$A$5:$A$504,0)),"미매핑"))</f>
        <v/>
      </c>
      <c r="O765" s="9">
        <f>IF($A765="","",N765&amp;"|"&amp;$F765)</f>
        <v/>
      </c>
      <c r="P765" s="94">
        <f>IF($A765="",0,$H765*설정!$C$23)</f>
        <v/>
      </c>
      <c r="Q765" s="64">
        <f>IF($A765="","",IF(O765&lt;&gt;원인분석!$C$9,"",IF(AND(M765&gt;=원인분석!$C$10,M765&lt;=원인분석!$C$11),"당기",IF(AND(M765&gt;=원인분석!$C$12,M765&lt;=원인분석!$C$13),"비교",""))))</f>
        <v/>
      </c>
      <c r="R765" s="9">
        <f>IF(Q765="","",$K765&amp;"")</f>
        <v/>
      </c>
      <c r="S765" s="9">
        <f>IF(Q765="","",IF(MATCH(R765,$R$5:$R$100000,0)=ROW()-4,ROW(),""))</f>
        <v/>
      </c>
      <c r="T765" s="9">
        <f>IF(Q765="당기",ABS(P765)+ROW()/1000000000,"")</f>
        <v/>
      </c>
      <c r="U765" s="9">
        <f>IF(Q765="비교",ABS(P765)+ROW()/1000000000,"")</f>
        <v/>
      </c>
      <c r="V765" s="64">
        <f>IF($A765="","",IF(COUNTIF(변동분석!$E$7:$E$506,O765)&gt;0,"Y","N"))</f>
        <v/>
      </c>
      <c r="W765" s="64">
        <f>IF($A765="","",IFERROR(INDEX(계정매핑!$D$5:$D$504,MATCH($F765&amp;"",계정매핑!$A$5:$A$504,0)),"미매핑"))</f>
        <v/>
      </c>
      <c r="X765" s="9">
        <f>IF($A765="","",$F765&amp;"")</f>
        <v/>
      </c>
      <c r="Y765" s="94">
        <f>IF($A765="",0,IF(AE765="직접",IF(AF765="비귀속",$P765,0),$P765*(1-AG765)*IFERROR(INDEX(계정대체기준!$F$20:$F$49,MATCH($N765,계정대체기준!$A$20:$A$49,0)),1)))</f>
        <v/>
      </c>
      <c r="Z765" s="94">
        <f>IF($A765="",0,IF(AE765="직접",IF(AF765="신계약비",$P765,0),$P765*(1-AG765)*IFERROR(INDEX(계정대체기준!$C$20:$C$49,MATCH($N765,계정대체기준!$A$20:$A$49,0)),0)))</f>
        <v/>
      </c>
      <c r="AA765" s="94">
        <f>IF($A765="",0,IF(AE765="직접",IF(OR(AF765="유지비",AF765="손해조사비"),$P765,0),$P765*(1-AG765)*IFERROR(INDEX(계정대체기준!$D$20:$D$49,MATCH($N765,계정대체기준!$A$20:$A$49,0)),0)))</f>
        <v/>
      </c>
      <c r="AB765" s="94">
        <f>IF($A765="",0,IF(AE765="직접",IF(AF765="수금비",$P765,0),$P765*(1-AG765)*IFERROR(INDEX(계정대체기준!$E$20:$E$49,MATCH($N765,계정대체기준!$A$20:$A$49,0)),0)))</f>
        <v/>
      </c>
      <c r="AC765" s="9">
        <f>IF(AND($A765&lt;&gt;"",M765=설정!$C$20,Z765&gt;0),Z765+ROW()/1000000000,"")</f>
        <v/>
      </c>
      <c r="AD765" s="94">
        <f>IF($A765="",0,$P765*AG765)</f>
        <v/>
      </c>
      <c r="AE765" s="64">
        <f>IF($A765="","",IFERROR(INDEX(계정매핑!$E$5:$E$504,MATCH($F765&amp;"",계정매핑!$A$5:$A$504,0))&amp;"","공통비"))</f>
        <v/>
      </c>
      <c r="AF765" s="64">
        <f>IF($A765="","",IF(AE765="직접",IFERROR(INDEX(계정매핑!$F$5:$F$504,MATCH($F765&amp;"",계정매핑!$A$5:$A$504,0))&amp;"","비귀속"),""))</f>
        <v/>
      </c>
      <c r="AG765" s="96">
        <f>IF($A765="",0,IF(AND(AE765&lt;&gt;"직접",IFERROR(INDEX(계정매핑!$G$5:$G$504,MATCH($F765&amp;"",계정매핑!$A$5:$A$504,0))&amp;"","")="유지비",COUNTIF(계정대체기준!$A$6:$A$15,$N765)&gt;0),IFERROR(INDEX(계정대체기준!$E$6:$E$15,MATCH(VALUE($A765&amp;""),계정대체기준!$D$6:$D$15,0)),0),0))</f>
        <v/>
      </c>
      <c r="AH765" s="64">
        <f>IF($A765="","",IF(AD765=0,"",IF(OR(COUNTIF(계정대체기준!$A$77:$A$86,$N765)&gt;0,ISNUMBER(MATCH($X765,계정대체기준!$D$77:$D$86,0)),ISNUMBER(MATCH($F765,계정대체기준!$D$77:$D$86,0))),"Y","N")))</f>
        <v/>
      </c>
    </row>
    <row r="766">
      <c r="A766" s="92" t="n">
        <v>2025</v>
      </c>
      <c r="B766" s="92" t="n">
        <v>4</v>
      </c>
      <c r="C766" s="92" t="inlineStr">
        <is>
          <t>5100000762</t>
        </is>
      </c>
      <c r="D766" s="95" t="n">
        <v>45758</v>
      </c>
      <c r="E766" s="92" t="inlineStr">
        <is>
          <t>KR</t>
        </is>
      </c>
      <c r="F766" s="92" t="n">
        <v>62102000</v>
      </c>
      <c r="G766" s="92" t="n">
        <v>1601</v>
      </c>
      <c r="H766" s="93" t="n">
        <v>409000</v>
      </c>
      <c r="I766" s="92" t="inlineStr">
        <is>
          <t>4월 해외출장 - N호텔</t>
        </is>
      </c>
      <c r="J766" s="92" t="inlineStr">
        <is>
          <t>V10009</t>
        </is>
      </c>
      <c r="K766" s="92" t="inlineStr">
        <is>
          <t>N호텔</t>
        </is>
      </c>
      <c r="M766" s="9">
        <f>IF($A766="","",VALUE($A766&amp;"")*12+VALUE($B766&amp;""))</f>
        <v/>
      </c>
      <c r="N766" s="64">
        <f>IF($A766="","",IFERROR(INDEX(부서매핑!$C$5:$C$504,MATCH($G766&amp;"",부서매핑!$A$5:$A$504,0)),"미매핑"))</f>
        <v/>
      </c>
      <c r="O766" s="9">
        <f>IF($A766="","",N766&amp;"|"&amp;$F766)</f>
        <v/>
      </c>
      <c r="P766" s="94">
        <f>IF($A766="",0,$H766*설정!$C$23)</f>
        <v/>
      </c>
      <c r="Q766" s="64">
        <f>IF($A766="","",IF(O766&lt;&gt;원인분석!$C$9,"",IF(AND(M766&gt;=원인분석!$C$10,M766&lt;=원인분석!$C$11),"당기",IF(AND(M766&gt;=원인분석!$C$12,M766&lt;=원인분석!$C$13),"비교",""))))</f>
        <v/>
      </c>
      <c r="R766" s="9">
        <f>IF(Q766="","",$K766&amp;"")</f>
        <v/>
      </c>
      <c r="S766" s="9">
        <f>IF(Q766="","",IF(MATCH(R766,$R$5:$R$100000,0)=ROW()-4,ROW(),""))</f>
        <v/>
      </c>
      <c r="T766" s="9">
        <f>IF(Q766="당기",ABS(P766)+ROW()/1000000000,"")</f>
        <v/>
      </c>
      <c r="U766" s="9">
        <f>IF(Q766="비교",ABS(P766)+ROW()/1000000000,"")</f>
        <v/>
      </c>
      <c r="V766" s="64">
        <f>IF($A766="","",IF(COUNTIF(변동분석!$E$7:$E$506,O766)&gt;0,"Y","N"))</f>
        <v/>
      </c>
      <c r="W766" s="64">
        <f>IF($A766="","",IFERROR(INDEX(계정매핑!$D$5:$D$504,MATCH($F766&amp;"",계정매핑!$A$5:$A$504,0)),"미매핑"))</f>
        <v/>
      </c>
      <c r="X766" s="9">
        <f>IF($A766="","",$F766&amp;"")</f>
        <v/>
      </c>
      <c r="Y766" s="94">
        <f>IF($A766="",0,IF(AE766="직접",IF(AF766="비귀속",$P766,0),$P766*(1-AG766)*IFERROR(INDEX(계정대체기준!$F$20:$F$49,MATCH($N766,계정대체기준!$A$20:$A$49,0)),1)))</f>
        <v/>
      </c>
      <c r="Z766" s="94">
        <f>IF($A766="",0,IF(AE766="직접",IF(AF766="신계약비",$P766,0),$P766*(1-AG766)*IFERROR(INDEX(계정대체기준!$C$20:$C$49,MATCH($N766,계정대체기준!$A$20:$A$49,0)),0)))</f>
        <v/>
      </c>
      <c r="AA766" s="94">
        <f>IF($A766="",0,IF(AE766="직접",IF(OR(AF766="유지비",AF766="손해조사비"),$P766,0),$P766*(1-AG766)*IFERROR(INDEX(계정대체기준!$D$20:$D$49,MATCH($N766,계정대체기준!$A$20:$A$49,0)),0)))</f>
        <v/>
      </c>
      <c r="AB766" s="94">
        <f>IF($A766="",0,IF(AE766="직접",IF(AF766="수금비",$P766,0),$P766*(1-AG766)*IFERROR(INDEX(계정대체기준!$E$20:$E$49,MATCH($N766,계정대체기준!$A$20:$A$49,0)),0)))</f>
        <v/>
      </c>
      <c r="AC766" s="9">
        <f>IF(AND($A766&lt;&gt;"",M766=설정!$C$20,Z766&gt;0),Z766+ROW()/1000000000,"")</f>
        <v/>
      </c>
      <c r="AD766" s="94">
        <f>IF($A766="",0,$P766*AG766)</f>
        <v/>
      </c>
      <c r="AE766" s="64">
        <f>IF($A766="","",IFERROR(INDEX(계정매핑!$E$5:$E$504,MATCH($F766&amp;"",계정매핑!$A$5:$A$504,0))&amp;"","공통비"))</f>
        <v/>
      </c>
      <c r="AF766" s="64">
        <f>IF($A766="","",IF(AE766="직접",IFERROR(INDEX(계정매핑!$F$5:$F$504,MATCH($F766&amp;"",계정매핑!$A$5:$A$504,0))&amp;"","비귀속"),""))</f>
        <v/>
      </c>
      <c r="AG766" s="96">
        <f>IF($A766="",0,IF(AND(AE766&lt;&gt;"직접",IFERROR(INDEX(계정매핑!$G$5:$G$504,MATCH($F766&amp;"",계정매핑!$A$5:$A$504,0))&amp;"","")="유지비",COUNTIF(계정대체기준!$A$6:$A$15,$N766)&gt;0),IFERROR(INDEX(계정대체기준!$E$6:$E$15,MATCH(VALUE($A766&amp;""),계정대체기준!$D$6:$D$15,0)),0),0))</f>
        <v/>
      </c>
      <c r="AH766" s="64">
        <f>IF($A766="","",IF(AD766=0,"",IF(OR(COUNTIF(계정대체기준!$A$77:$A$86,$N766)&gt;0,ISNUMBER(MATCH($X766,계정대체기준!$D$77:$D$86,0)),ISNUMBER(MATCH($F766,계정대체기준!$D$77:$D$86,0))),"Y","N")))</f>
        <v/>
      </c>
    </row>
    <row r="767">
      <c r="A767" s="92" t="n">
        <v>2025</v>
      </c>
      <c r="B767" s="92" t="n">
        <v>4</v>
      </c>
      <c r="C767" s="92" t="inlineStr">
        <is>
          <t>5100000763</t>
        </is>
      </c>
      <c r="D767" s="95" t="n">
        <v>45758</v>
      </c>
      <c r="E767" s="92" t="inlineStr">
        <is>
          <t>KR</t>
        </is>
      </c>
      <c r="F767" s="92" t="n">
        <v>62201000</v>
      </c>
      <c r="G767" s="92" t="n">
        <v>1201</v>
      </c>
      <c r="H767" s="93" t="n">
        <v>130000</v>
      </c>
      <c r="I767" s="92" t="inlineStr">
        <is>
          <t>4월 통신요금 - P통신</t>
        </is>
      </c>
      <c r="J767" s="92" t="inlineStr">
        <is>
          <t>V10014</t>
        </is>
      </c>
      <c r="K767" s="92" t="inlineStr">
        <is>
          <t>P통신</t>
        </is>
      </c>
      <c r="M767" s="9">
        <f>IF($A767="","",VALUE($A767&amp;"")*12+VALUE($B767&amp;""))</f>
        <v/>
      </c>
      <c r="N767" s="64">
        <f>IF($A767="","",IFERROR(INDEX(부서매핑!$C$5:$C$504,MATCH($G767&amp;"",부서매핑!$A$5:$A$504,0)),"미매핑"))</f>
        <v/>
      </c>
      <c r="O767" s="9">
        <f>IF($A767="","",N767&amp;"|"&amp;$F767)</f>
        <v/>
      </c>
      <c r="P767" s="94">
        <f>IF($A767="",0,$H767*설정!$C$23)</f>
        <v/>
      </c>
      <c r="Q767" s="64">
        <f>IF($A767="","",IF(O767&lt;&gt;원인분석!$C$9,"",IF(AND(M767&gt;=원인분석!$C$10,M767&lt;=원인분석!$C$11),"당기",IF(AND(M767&gt;=원인분석!$C$12,M767&lt;=원인분석!$C$13),"비교",""))))</f>
        <v/>
      </c>
      <c r="R767" s="9">
        <f>IF(Q767="","",$K767&amp;"")</f>
        <v/>
      </c>
      <c r="S767" s="9">
        <f>IF(Q767="","",IF(MATCH(R767,$R$5:$R$100000,0)=ROW()-4,ROW(),""))</f>
        <v/>
      </c>
      <c r="T767" s="9">
        <f>IF(Q767="당기",ABS(P767)+ROW()/1000000000,"")</f>
        <v/>
      </c>
      <c r="U767" s="9">
        <f>IF(Q767="비교",ABS(P767)+ROW()/1000000000,"")</f>
        <v/>
      </c>
      <c r="V767" s="64">
        <f>IF($A767="","",IF(COUNTIF(변동분석!$E$7:$E$506,O767)&gt;0,"Y","N"))</f>
        <v/>
      </c>
      <c r="W767" s="64">
        <f>IF($A767="","",IFERROR(INDEX(계정매핑!$D$5:$D$504,MATCH($F767&amp;"",계정매핑!$A$5:$A$504,0)),"미매핑"))</f>
        <v/>
      </c>
      <c r="X767" s="9">
        <f>IF($A767="","",$F767&amp;"")</f>
        <v/>
      </c>
      <c r="Y767" s="94">
        <f>IF($A767="",0,IF(AE767="직접",IF(AF767="비귀속",$P767,0),$P767*(1-AG767)*IFERROR(INDEX(계정대체기준!$F$20:$F$49,MATCH($N767,계정대체기준!$A$20:$A$49,0)),1)))</f>
        <v/>
      </c>
      <c r="Z767" s="94">
        <f>IF($A767="",0,IF(AE767="직접",IF(AF767="신계약비",$P767,0),$P767*(1-AG767)*IFERROR(INDEX(계정대체기준!$C$20:$C$49,MATCH($N767,계정대체기준!$A$20:$A$49,0)),0)))</f>
        <v/>
      </c>
      <c r="AA767" s="94">
        <f>IF($A767="",0,IF(AE767="직접",IF(OR(AF767="유지비",AF767="손해조사비"),$P767,0),$P767*(1-AG767)*IFERROR(INDEX(계정대체기준!$D$20:$D$49,MATCH($N767,계정대체기준!$A$20:$A$49,0)),0)))</f>
        <v/>
      </c>
      <c r="AB767" s="94">
        <f>IF($A767="",0,IF(AE767="직접",IF(AF767="수금비",$P767,0),$P767*(1-AG767)*IFERROR(INDEX(계정대체기준!$E$20:$E$49,MATCH($N767,계정대체기준!$A$20:$A$49,0)),0)))</f>
        <v/>
      </c>
      <c r="AC767" s="9">
        <f>IF(AND($A767&lt;&gt;"",M767=설정!$C$20,Z767&gt;0),Z767+ROW()/1000000000,"")</f>
        <v/>
      </c>
      <c r="AD767" s="94">
        <f>IF($A767="",0,$P767*AG767)</f>
        <v/>
      </c>
      <c r="AE767" s="64">
        <f>IF($A767="","",IFERROR(INDEX(계정매핑!$E$5:$E$504,MATCH($F767&amp;"",계정매핑!$A$5:$A$504,0))&amp;"","공통비"))</f>
        <v/>
      </c>
      <c r="AF767" s="64">
        <f>IF($A767="","",IF(AE767="직접",IFERROR(INDEX(계정매핑!$F$5:$F$504,MATCH($F767&amp;"",계정매핑!$A$5:$A$504,0))&amp;"","비귀속"),""))</f>
        <v/>
      </c>
      <c r="AG767" s="96">
        <f>IF($A767="",0,IF(AND(AE767&lt;&gt;"직접",IFERROR(INDEX(계정매핑!$G$5:$G$504,MATCH($F767&amp;"",계정매핑!$A$5:$A$504,0))&amp;"","")="유지비",COUNTIF(계정대체기준!$A$6:$A$15,$N767)&gt;0),IFERROR(INDEX(계정대체기준!$E$6:$E$15,MATCH(VALUE($A767&amp;""),계정대체기준!$D$6:$D$15,0)),0),0))</f>
        <v/>
      </c>
      <c r="AH767" s="64">
        <f>IF($A767="","",IF(AD767=0,"",IF(OR(COUNTIF(계정대체기준!$A$77:$A$86,$N767)&gt;0,ISNUMBER(MATCH($X767,계정대체기준!$D$77:$D$86,0)),ISNUMBER(MATCH($F767,계정대체기준!$D$77:$D$86,0))),"Y","N")))</f>
        <v/>
      </c>
    </row>
    <row r="768">
      <c r="A768" s="92" t="n">
        <v>2025</v>
      </c>
      <c r="B768" s="92" t="n">
        <v>4</v>
      </c>
      <c r="C768" s="92" t="inlineStr">
        <is>
          <t>5100000764</t>
        </is>
      </c>
      <c r="D768" s="95" t="n">
        <v>45758</v>
      </c>
      <c r="E768" s="92" t="inlineStr">
        <is>
          <t>KR</t>
        </is>
      </c>
      <c r="F768" s="92" t="n">
        <v>62201000</v>
      </c>
      <c r="G768" s="92" t="n">
        <v>1801</v>
      </c>
      <c r="H768" s="93" t="n">
        <v>6135000</v>
      </c>
      <c r="I768" s="92" t="inlineStr">
        <is>
          <t>4월 통신요금 - P통신</t>
        </is>
      </c>
      <c r="J768" s="92" t="inlineStr">
        <is>
          <t>V10014</t>
        </is>
      </c>
      <c r="K768" s="92" t="inlineStr">
        <is>
          <t>P통신</t>
        </is>
      </c>
      <c r="M768" s="9">
        <f>IF($A768="","",VALUE($A768&amp;"")*12+VALUE($B768&amp;""))</f>
        <v/>
      </c>
      <c r="N768" s="64">
        <f>IF($A768="","",IFERROR(INDEX(부서매핑!$C$5:$C$504,MATCH($G768&amp;"",부서매핑!$A$5:$A$504,0)),"미매핑"))</f>
        <v/>
      </c>
      <c r="O768" s="9">
        <f>IF($A768="","",N768&amp;"|"&amp;$F768)</f>
        <v/>
      </c>
      <c r="P768" s="94">
        <f>IF($A768="",0,$H768*설정!$C$23)</f>
        <v/>
      </c>
      <c r="Q768" s="64">
        <f>IF($A768="","",IF(O768&lt;&gt;원인분석!$C$9,"",IF(AND(M768&gt;=원인분석!$C$10,M768&lt;=원인분석!$C$11),"당기",IF(AND(M768&gt;=원인분석!$C$12,M768&lt;=원인분석!$C$13),"비교",""))))</f>
        <v/>
      </c>
      <c r="R768" s="9">
        <f>IF(Q768="","",$K768&amp;"")</f>
        <v/>
      </c>
      <c r="S768" s="9">
        <f>IF(Q768="","",IF(MATCH(R768,$R$5:$R$100000,0)=ROW()-4,ROW(),""))</f>
        <v/>
      </c>
      <c r="T768" s="9">
        <f>IF(Q768="당기",ABS(P768)+ROW()/1000000000,"")</f>
        <v/>
      </c>
      <c r="U768" s="9">
        <f>IF(Q768="비교",ABS(P768)+ROW()/1000000000,"")</f>
        <v/>
      </c>
      <c r="V768" s="64">
        <f>IF($A768="","",IF(COUNTIF(변동분석!$E$7:$E$506,O768)&gt;0,"Y","N"))</f>
        <v/>
      </c>
      <c r="W768" s="64">
        <f>IF($A768="","",IFERROR(INDEX(계정매핑!$D$5:$D$504,MATCH($F768&amp;"",계정매핑!$A$5:$A$504,0)),"미매핑"))</f>
        <v/>
      </c>
      <c r="X768" s="9">
        <f>IF($A768="","",$F768&amp;"")</f>
        <v/>
      </c>
      <c r="Y768" s="94">
        <f>IF($A768="",0,IF(AE768="직접",IF(AF768="비귀속",$P768,0),$P768*(1-AG768)*IFERROR(INDEX(계정대체기준!$F$20:$F$49,MATCH($N768,계정대체기준!$A$20:$A$49,0)),1)))</f>
        <v/>
      </c>
      <c r="Z768" s="94">
        <f>IF($A768="",0,IF(AE768="직접",IF(AF768="신계약비",$P768,0),$P768*(1-AG768)*IFERROR(INDEX(계정대체기준!$C$20:$C$49,MATCH($N768,계정대체기준!$A$20:$A$49,0)),0)))</f>
        <v/>
      </c>
      <c r="AA768" s="94">
        <f>IF($A768="",0,IF(AE768="직접",IF(OR(AF768="유지비",AF768="손해조사비"),$P768,0),$P768*(1-AG768)*IFERROR(INDEX(계정대체기준!$D$20:$D$49,MATCH($N768,계정대체기준!$A$20:$A$49,0)),0)))</f>
        <v/>
      </c>
      <c r="AB768" s="94">
        <f>IF($A768="",0,IF(AE768="직접",IF(AF768="수금비",$P768,0),$P768*(1-AG768)*IFERROR(INDEX(계정대체기준!$E$20:$E$49,MATCH($N768,계정대체기준!$A$20:$A$49,0)),0)))</f>
        <v/>
      </c>
      <c r="AC768" s="9">
        <f>IF(AND($A768&lt;&gt;"",M768=설정!$C$20,Z768&gt;0),Z768+ROW()/1000000000,"")</f>
        <v/>
      </c>
      <c r="AD768" s="94">
        <f>IF($A768="",0,$P768*AG768)</f>
        <v/>
      </c>
      <c r="AE768" s="64">
        <f>IF($A768="","",IFERROR(INDEX(계정매핑!$E$5:$E$504,MATCH($F768&amp;"",계정매핑!$A$5:$A$504,0))&amp;"","공통비"))</f>
        <v/>
      </c>
      <c r="AF768" s="64">
        <f>IF($A768="","",IF(AE768="직접",IFERROR(INDEX(계정매핑!$F$5:$F$504,MATCH($F768&amp;"",계정매핑!$A$5:$A$504,0))&amp;"","비귀속"),""))</f>
        <v/>
      </c>
      <c r="AG768" s="96">
        <f>IF($A768="",0,IF(AND(AE768&lt;&gt;"직접",IFERROR(INDEX(계정매핑!$G$5:$G$504,MATCH($F768&amp;"",계정매핑!$A$5:$A$504,0))&amp;"","")="유지비",COUNTIF(계정대체기준!$A$6:$A$15,$N768)&gt;0),IFERROR(INDEX(계정대체기준!$E$6:$E$15,MATCH(VALUE($A768&amp;""),계정대체기준!$D$6:$D$15,0)),0),0))</f>
        <v/>
      </c>
      <c r="AH768" s="64">
        <f>IF($A768="","",IF(AD768=0,"",IF(OR(COUNTIF(계정대체기준!$A$77:$A$86,$N768)&gt;0,ISNUMBER(MATCH($X768,계정대체기준!$D$77:$D$86,0)),ISNUMBER(MATCH($F768,계정대체기준!$D$77:$D$86,0))),"Y","N")))</f>
        <v/>
      </c>
    </row>
    <row r="769">
      <c r="A769" s="92" t="n">
        <v>2025</v>
      </c>
      <c r="B769" s="92" t="n">
        <v>4</v>
      </c>
      <c r="C769" s="92" t="inlineStr">
        <is>
          <t>5100000765</t>
        </is>
      </c>
      <c r="D769" s="95" t="n">
        <v>45758</v>
      </c>
      <c r="E769" s="92" t="inlineStr">
        <is>
          <t>KR</t>
        </is>
      </c>
      <c r="F769" s="92" t="n">
        <v>62301000</v>
      </c>
      <c r="G769" s="92" t="n">
        <v>1701</v>
      </c>
      <c r="H769" s="93" t="n">
        <v>233000</v>
      </c>
      <c r="I769" s="92" t="inlineStr">
        <is>
          <t>4월 소모품 구입 - R문구</t>
        </is>
      </c>
      <c r="J769" s="92" t="inlineStr">
        <is>
          <t>V10022</t>
        </is>
      </c>
      <c r="K769" s="92" t="inlineStr">
        <is>
          <t>R문구</t>
        </is>
      </c>
      <c r="M769" s="9">
        <f>IF($A769="","",VALUE($A769&amp;"")*12+VALUE($B769&amp;""))</f>
        <v/>
      </c>
      <c r="N769" s="64">
        <f>IF($A769="","",IFERROR(INDEX(부서매핑!$C$5:$C$504,MATCH($G769&amp;"",부서매핑!$A$5:$A$504,0)),"미매핑"))</f>
        <v/>
      </c>
      <c r="O769" s="9">
        <f>IF($A769="","",N769&amp;"|"&amp;$F769)</f>
        <v/>
      </c>
      <c r="P769" s="94">
        <f>IF($A769="",0,$H769*설정!$C$23)</f>
        <v/>
      </c>
      <c r="Q769" s="64">
        <f>IF($A769="","",IF(O769&lt;&gt;원인분석!$C$9,"",IF(AND(M769&gt;=원인분석!$C$10,M769&lt;=원인분석!$C$11),"당기",IF(AND(M769&gt;=원인분석!$C$12,M769&lt;=원인분석!$C$13),"비교",""))))</f>
        <v/>
      </c>
      <c r="R769" s="9">
        <f>IF(Q769="","",$K769&amp;"")</f>
        <v/>
      </c>
      <c r="S769" s="9">
        <f>IF(Q769="","",IF(MATCH(R769,$R$5:$R$100000,0)=ROW()-4,ROW(),""))</f>
        <v/>
      </c>
      <c r="T769" s="9">
        <f>IF(Q769="당기",ABS(P769)+ROW()/1000000000,"")</f>
        <v/>
      </c>
      <c r="U769" s="9">
        <f>IF(Q769="비교",ABS(P769)+ROW()/1000000000,"")</f>
        <v/>
      </c>
      <c r="V769" s="64">
        <f>IF($A769="","",IF(COUNTIF(변동분석!$E$7:$E$506,O769)&gt;0,"Y","N"))</f>
        <v/>
      </c>
      <c r="W769" s="64">
        <f>IF($A769="","",IFERROR(INDEX(계정매핑!$D$5:$D$504,MATCH($F769&amp;"",계정매핑!$A$5:$A$504,0)),"미매핑"))</f>
        <v/>
      </c>
      <c r="X769" s="9">
        <f>IF($A769="","",$F769&amp;"")</f>
        <v/>
      </c>
      <c r="Y769" s="94">
        <f>IF($A769="",0,IF(AE769="직접",IF(AF769="비귀속",$P769,0),$P769*(1-AG769)*IFERROR(INDEX(계정대체기준!$F$20:$F$49,MATCH($N769,계정대체기준!$A$20:$A$49,0)),1)))</f>
        <v/>
      </c>
      <c r="Z769" s="94">
        <f>IF($A769="",0,IF(AE769="직접",IF(AF769="신계약비",$P769,0),$P769*(1-AG769)*IFERROR(INDEX(계정대체기준!$C$20:$C$49,MATCH($N769,계정대체기준!$A$20:$A$49,0)),0)))</f>
        <v/>
      </c>
      <c r="AA769" s="94">
        <f>IF($A769="",0,IF(AE769="직접",IF(OR(AF769="유지비",AF769="손해조사비"),$P769,0),$P769*(1-AG769)*IFERROR(INDEX(계정대체기준!$D$20:$D$49,MATCH($N769,계정대체기준!$A$20:$A$49,0)),0)))</f>
        <v/>
      </c>
      <c r="AB769" s="94">
        <f>IF($A769="",0,IF(AE769="직접",IF(AF769="수금비",$P769,0),$P769*(1-AG769)*IFERROR(INDEX(계정대체기준!$E$20:$E$49,MATCH($N769,계정대체기준!$A$20:$A$49,0)),0)))</f>
        <v/>
      </c>
      <c r="AC769" s="9">
        <f>IF(AND($A769&lt;&gt;"",M769=설정!$C$20,Z769&gt;0),Z769+ROW()/1000000000,"")</f>
        <v/>
      </c>
      <c r="AD769" s="94">
        <f>IF($A769="",0,$P769*AG769)</f>
        <v/>
      </c>
      <c r="AE769" s="64">
        <f>IF($A769="","",IFERROR(INDEX(계정매핑!$E$5:$E$504,MATCH($F769&amp;"",계정매핑!$A$5:$A$504,0))&amp;"","공통비"))</f>
        <v/>
      </c>
      <c r="AF769" s="64">
        <f>IF($A769="","",IF(AE769="직접",IFERROR(INDEX(계정매핑!$F$5:$F$504,MATCH($F769&amp;"",계정매핑!$A$5:$A$504,0))&amp;"","비귀속"),""))</f>
        <v/>
      </c>
      <c r="AG769" s="96">
        <f>IF($A769="",0,IF(AND(AE769&lt;&gt;"직접",IFERROR(INDEX(계정매핑!$G$5:$G$504,MATCH($F769&amp;"",계정매핑!$A$5:$A$504,0))&amp;"","")="유지비",COUNTIF(계정대체기준!$A$6:$A$15,$N769)&gt;0),IFERROR(INDEX(계정대체기준!$E$6:$E$15,MATCH(VALUE($A769&amp;""),계정대체기준!$D$6:$D$15,0)),0),0))</f>
        <v/>
      </c>
      <c r="AH769" s="64">
        <f>IF($A769="","",IF(AD769=0,"",IF(OR(COUNTIF(계정대체기준!$A$77:$A$86,$N769)&gt;0,ISNUMBER(MATCH($X769,계정대체기준!$D$77:$D$86,0)),ISNUMBER(MATCH($F769,계정대체기준!$D$77:$D$86,0))),"Y","N")))</f>
        <v/>
      </c>
    </row>
    <row r="770">
      <c r="A770" s="92" t="n">
        <v>2025</v>
      </c>
      <c r="B770" s="92" t="n">
        <v>4</v>
      </c>
      <c r="C770" s="92" t="inlineStr">
        <is>
          <t>5100000766</t>
        </is>
      </c>
      <c r="D770" s="95" t="n">
        <v>45758</v>
      </c>
      <c r="E770" s="92" t="inlineStr">
        <is>
          <t>KR</t>
        </is>
      </c>
      <c r="F770" s="92" t="n">
        <v>62401000</v>
      </c>
      <c r="G770" s="92" t="n">
        <v>1801</v>
      </c>
      <c r="H770" s="93" t="n">
        <v>3119000</v>
      </c>
      <c r="I770" s="92" t="inlineStr">
        <is>
          <t>4월 인쇄물 제작 - G인쇄</t>
        </is>
      </c>
      <c r="J770" s="92" t="inlineStr">
        <is>
          <t>V10004</t>
        </is>
      </c>
      <c r="K770" s="92" t="inlineStr">
        <is>
          <t>G인쇄</t>
        </is>
      </c>
      <c r="M770" s="9">
        <f>IF($A770="","",VALUE($A770&amp;"")*12+VALUE($B770&amp;""))</f>
        <v/>
      </c>
      <c r="N770" s="64">
        <f>IF($A770="","",IFERROR(INDEX(부서매핑!$C$5:$C$504,MATCH($G770&amp;"",부서매핑!$A$5:$A$504,0)),"미매핑"))</f>
        <v/>
      </c>
      <c r="O770" s="9">
        <f>IF($A770="","",N770&amp;"|"&amp;$F770)</f>
        <v/>
      </c>
      <c r="P770" s="94">
        <f>IF($A770="",0,$H770*설정!$C$23)</f>
        <v/>
      </c>
      <c r="Q770" s="64">
        <f>IF($A770="","",IF(O770&lt;&gt;원인분석!$C$9,"",IF(AND(M770&gt;=원인분석!$C$10,M770&lt;=원인분석!$C$11),"당기",IF(AND(M770&gt;=원인분석!$C$12,M770&lt;=원인분석!$C$13),"비교",""))))</f>
        <v/>
      </c>
      <c r="R770" s="9">
        <f>IF(Q770="","",$K770&amp;"")</f>
        <v/>
      </c>
      <c r="S770" s="9">
        <f>IF(Q770="","",IF(MATCH(R770,$R$5:$R$100000,0)=ROW()-4,ROW(),""))</f>
        <v/>
      </c>
      <c r="T770" s="9">
        <f>IF(Q770="당기",ABS(P770)+ROW()/1000000000,"")</f>
        <v/>
      </c>
      <c r="U770" s="9">
        <f>IF(Q770="비교",ABS(P770)+ROW()/1000000000,"")</f>
        <v/>
      </c>
      <c r="V770" s="64">
        <f>IF($A770="","",IF(COUNTIF(변동분석!$E$7:$E$506,O770)&gt;0,"Y","N"))</f>
        <v/>
      </c>
      <c r="W770" s="64">
        <f>IF($A770="","",IFERROR(INDEX(계정매핑!$D$5:$D$504,MATCH($F770&amp;"",계정매핑!$A$5:$A$504,0)),"미매핑"))</f>
        <v/>
      </c>
      <c r="X770" s="9">
        <f>IF($A770="","",$F770&amp;"")</f>
        <v/>
      </c>
      <c r="Y770" s="94">
        <f>IF($A770="",0,IF(AE770="직접",IF(AF770="비귀속",$P770,0),$P770*(1-AG770)*IFERROR(INDEX(계정대체기준!$F$20:$F$49,MATCH($N770,계정대체기준!$A$20:$A$49,0)),1)))</f>
        <v/>
      </c>
      <c r="Z770" s="94">
        <f>IF($A770="",0,IF(AE770="직접",IF(AF770="신계약비",$P770,0),$P770*(1-AG770)*IFERROR(INDEX(계정대체기준!$C$20:$C$49,MATCH($N770,계정대체기준!$A$20:$A$49,0)),0)))</f>
        <v/>
      </c>
      <c r="AA770" s="94">
        <f>IF($A770="",0,IF(AE770="직접",IF(OR(AF770="유지비",AF770="손해조사비"),$P770,0),$P770*(1-AG770)*IFERROR(INDEX(계정대체기준!$D$20:$D$49,MATCH($N770,계정대체기준!$A$20:$A$49,0)),0)))</f>
        <v/>
      </c>
      <c r="AB770" s="94">
        <f>IF($A770="",0,IF(AE770="직접",IF(AF770="수금비",$P770,0),$P770*(1-AG770)*IFERROR(INDEX(계정대체기준!$E$20:$E$49,MATCH($N770,계정대체기준!$A$20:$A$49,0)),0)))</f>
        <v/>
      </c>
      <c r="AC770" s="9">
        <f>IF(AND($A770&lt;&gt;"",M770=설정!$C$20,Z770&gt;0),Z770+ROW()/1000000000,"")</f>
        <v/>
      </c>
      <c r="AD770" s="94">
        <f>IF($A770="",0,$P770*AG770)</f>
        <v/>
      </c>
      <c r="AE770" s="64">
        <f>IF($A770="","",IFERROR(INDEX(계정매핑!$E$5:$E$504,MATCH($F770&amp;"",계정매핑!$A$5:$A$504,0))&amp;"","공통비"))</f>
        <v/>
      </c>
      <c r="AF770" s="64">
        <f>IF($A770="","",IF(AE770="직접",IFERROR(INDEX(계정매핑!$F$5:$F$504,MATCH($F770&amp;"",계정매핑!$A$5:$A$504,0))&amp;"","비귀속"),""))</f>
        <v/>
      </c>
      <c r="AG770" s="96">
        <f>IF($A770="",0,IF(AND(AE770&lt;&gt;"직접",IFERROR(INDEX(계정매핑!$G$5:$G$504,MATCH($F770&amp;"",계정매핑!$A$5:$A$504,0))&amp;"","")="유지비",COUNTIF(계정대체기준!$A$6:$A$15,$N770)&gt;0),IFERROR(INDEX(계정대체기준!$E$6:$E$15,MATCH(VALUE($A770&amp;""),계정대체기준!$D$6:$D$15,0)),0),0))</f>
        <v/>
      </c>
      <c r="AH770" s="64">
        <f>IF($A770="","",IF(AD770=0,"",IF(OR(COUNTIF(계정대체기준!$A$77:$A$86,$N770)&gt;0,ISNUMBER(MATCH($X770,계정대체기준!$D$77:$D$86,0)),ISNUMBER(MATCH($F770,계정대체기준!$D$77:$D$86,0))),"Y","N")))</f>
        <v/>
      </c>
    </row>
    <row r="771">
      <c r="A771" s="92" t="n">
        <v>2025</v>
      </c>
      <c r="B771" s="92" t="n">
        <v>4</v>
      </c>
      <c r="C771" s="92" t="inlineStr">
        <is>
          <t>5100000767</t>
        </is>
      </c>
      <c r="D771" s="95" t="n">
        <v>45758</v>
      </c>
      <c r="E771" s="92" t="inlineStr">
        <is>
          <t>KR</t>
        </is>
      </c>
      <c r="F771" s="92" t="n">
        <v>62601000</v>
      </c>
      <c r="G771" s="92" t="n">
        <v>1101</v>
      </c>
      <c r="H771" s="93" t="n">
        <v>1350000</v>
      </c>
      <c r="I771" s="92" t="inlineStr">
        <is>
          <t>4월 업무추진 - (법인카드)</t>
        </is>
      </c>
      <c r="J771" s="92" t="inlineStr">
        <is>
          <t>V10010</t>
        </is>
      </c>
      <c r="K771" s="92" t="inlineStr">
        <is>
          <t>(법인카드)</t>
        </is>
      </c>
      <c r="M771" s="9">
        <f>IF($A771="","",VALUE($A771&amp;"")*12+VALUE($B771&amp;""))</f>
        <v/>
      </c>
      <c r="N771" s="64">
        <f>IF($A771="","",IFERROR(INDEX(부서매핑!$C$5:$C$504,MATCH($G771&amp;"",부서매핑!$A$5:$A$504,0)),"미매핑"))</f>
        <v/>
      </c>
      <c r="O771" s="9">
        <f>IF($A771="","",N771&amp;"|"&amp;$F771)</f>
        <v/>
      </c>
      <c r="P771" s="94">
        <f>IF($A771="",0,$H771*설정!$C$23)</f>
        <v/>
      </c>
      <c r="Q771" s="64">
        <f>IF($A771="","",IF(O771&lt;&gt;원인분석!$C$9,"",IF(AND(M771&gt;=원인분석!$C$10,M771&lt;=원인분석!$C$11),"당기",IF(AND(M771&gt;=원인분석!$C$12,M771&lt;=원인분석!$C$13),"비교",""))))</f>
        <v/>
      </c>
      <c r="R771" s="9">
        <f>IF(Q771="","",$K771&amp;"")</f>
        <v/>
      </c>
      <c r="S771" s="9">
        <f>IF(Q771="","",IF(MATCH(R771,$R$5:$R$100000,0)=ROW()-4,ROW(),""))</f>
        <v/>
      </c>
      <c r="T771" s="9">
        <f>IF(Q771="당기",ABS(P771)+ROW()/1000000000,"")</f>
        <v/>
      </c>
      <c r="U771" s="9">
        <f>IF(Q771="비교",ABS(P771)+ROW()/1000000000,"")</f>
        <v/>
      </c>
      <c r="V771" s="64">
        <f>IF($A771="","",IF(COUNTIF(변동분석!$E$7:$E$506,O771)&gt;0,"Y","N"))</f>
        <v/>
      </c>
      <c r="W771" s="64">
        <f>IF($A771="","",IFERROR(INDEX(계정매핑!$D$5:$D$504,MATCH($F771&amp;"",계정매핑!$A$5:$A$504,0)),"미매핑"))</f>
        <v/>
      </c>
      <c r="X771" s="9">
        <f>IF($A771="","",$F771&amp;"")</f>
        <v/>
      </c>
      <c r="Y771" s="94">
        <f>IF($A771="",0,IF(AE771="직접",IF(AF771="비귀속",$P771,0),$P771*(1-AG771)*IFERROR(INDEX(계정대체기준!$F$20:$F$49,MATCH($N771,계정대체기준!$A$20:$A$49,0)),1)))</f>
        <v/>
      </c>
      <c r="Z771" s="94">
        <f>IF($A771="",0,IF(AE771="직접",IF(AF771="신계약비",$P771,0),$P771*(1-AG771)*IFERROR(INDEX(계정대체기준!$C$20:$C$49,MATCH($N771,계정대체기준!$A$20:$A$49,0)),0)))</f>
        <v/>
      </c>
      <c r="AA771" s="94">
        <f>IF($A771="",0,IF(AE771="직접",IF(OR(AF771="유지비",AF771="손해조사비"),$P771,0),$P771*(1-AG771)*IFERROR(INDEX(계정대체기준!$D$20:$D$49,MATCH($N771,계정대체기준!$A$20:$A$49,0)),0)))</f>
        <v/>
      </c>
      <c r="AB771" s="94">
        <f>IF($A771="",0,IF(AE771="직접",IF(AF771="수금비",$P771,0),$P771*(1-AG771)*IFERROR(INDEX(계정대체기준!$E$20:$E$49,MATCH($N771,계정대체기준!$A$20:$A$49,0)),0)))</f>
        <v/>
      </c>
      <c r="AC771" s="9">
        <f>IF(AND($A771&lt;&gt;"",M771=설정!$C$20,Z771&gt;0),Z771+ROW()/1000000000,"")</f>
        <v/>
      </c>
      <c r="AD771" s="94">
        <f>IF($A771="",0,$P771*AG771)</f>
        <v/>
      </c>
      <c r="AE771" s="64">
        <f>IF($A771="","",IFERROR(INDEX(계정매핑!$E$5:$E$504,MATCH($F771&amp;"",계정매핑!$A$5:$A$504,0))&amp;"","공통비"))</f>
        <v/>
      </c>
      <c r="AF771" s="64">
        <f>IF($A771="","",IF(AE771="직접",IFERROR(INDEX(계정매핑!$F$5:$F$504,MATCH($F771&amp;"",계정매핑!$A$5:$A$504,0))&amp;"","비귀속"),""))</f>
        <v/>
      </c>
      <c r="AG771" s="96">
        <f>IF($A771="",0,IF(AND(AE771&lt;&gt;"직접",IFERROR(INDEX(계정매핑!$G$5:$G$504,MATCH($F771&amp;"",계정매핑!$A$5:$A$504,0))&amp;"","")="유지비",COUNTIF(계정대체기준!$A$6:$A$15,$N771)&gt;0),IFERROR(INDEX(계정대체기준!$E$6:$E$15,MATCH(VALUE($A771&amp;""),계정대체기준!$D$6:$D$15,0)),0),0))</f>
        <v/>
      </c>
      <c r="AH771" s="64">
        <f>IF($A771="","",IF(AD771=0,"",IF(OR(COUNTIF(계정대체기준!$A$77:$A$86,$N771)&gt;0,ISNUMBER(MATCH($X771,계정대체기준!$D$77:$D$86,0)),ISNUMBER(MATCH($F771,계정대체기준!$D$77:$D$86,0))),"Y","N")))</f>
        <v/>
      </c>
    </row>
    <row r="772">
      <c r="A772" s="92" t="n">
        <v>2025</v>
      </c>
      <c r="B772" s="92" t="n">
        <v>4</v>
      </c>
      <c r="C772" s="92" t="inlineStr">
        <is>
          <t>5100000768</t>
        </is>
      </c>
      <c r="D772" s="95" t="n">
        <v>45758</v>
      </c>
      <c r="E772" s="92" t="inlineStr">
        <is>
          <t>KR</t>
        </is>
      </c>
      <c r="F772" s="92" t="n">
        <v>62701000</v>
      </c>
      <c r="G772" s="92" t="n">
        <v>1501</v>
      </c>
      <c r="H772" s="93" t="n">
        <v>77802000</v>
      </c>
      <c r="I772" s="92" t="inlineStr">
        <is>
          <t>4월 광고 집행 - F애드</t>
        </is>
      </c>
      <c r="J772" s="92" t="inlineStr">
        <is>
          <t>V10023</t>
        </is>
      </c>
      <c r="K772" s="92" t="inlineStr">
        <is>
          <t>F애드</t>
        </is>
      </c>
      <c r="M772" s="9">
        <f>IF($A772="","",VALUE($A772&amp;"")*12+VALUE($B772&amp;""))</f>
        <v/>
      </c>
      <c r="N772" s="64">
        <f>IF($A772="","",IFERROR(INDEX(부서매핑!$C$5:$C$504,MATCH($G772&amp;"",부서매핑!$A$5:$A$504,0)),"미매핑"))</f>
        <v/>
      </c>
      <c r="O772" s="9">
        <f>IF($A772="","",N772&amp;"|"&amp;$F772)</f>
        <v/>
      </c>
      <c r="P772" s="94">
        <f>IF($A772="",0,$H772*설정!$C$23)</f>
        <v/>
      </c>
      <c r="Q772" s="64">
        <f>IF($A772="","",IF(O772&lt;&gt;원인분석!$C$9,"",IF(AND(M772&gt;=원인분석!$C$10,M772&lt;=원인분석!$C$11),"당기",IF(AND(M772&gt;=원인분석!$C$12,M772&lt;=원인분석!$C$13),"비교",""))))</f>
        <v/>
      </c>
      <c r="R772" s="9">
        <f>IF(Q772="","",$K772&amp;"")</f>
        <v/>
      </c>
      <c r="S772" s="9">
        <f>IF(Q772="","",IF(MATCH(R772,$R$5:$R$100000,0)=ROW()-4,ROW(),""))</f>
        <v/>
      </c>
      <c r="T772" s="9">
        <f>IF(Q772="당기",ABS(P772)+ROW()/1000000000,"")</f>
        <v/>
      </c>
      <c r="U772" s="9">
        <f>IF(Q772="비교",ABS(P772)+ROW()/1000000000,"")</f>
        <v/>
      </c>
      <c r="V772" s="64">
        <f>IF($A772="","",IF(COUNTIF(변동분석!$E$7:$E$506,O772)&gt;0,"Y","N"))</f>
        <v/>
      </c>
      <c r="W772" s="64">
        <f>IF($A772="","",IFERROR(INDEX(계정매핑!$D$5:$D$504,MATCH($F772&amp;"",계정매핑!$A$5:$A$504,0)),"미매핑"))</f>
        <v/>
      </c>
      <c r="X772" s="9">
        <f>IF($A772="","",$F772&amp;"")</f>
        <v/>
      </c>
      <c r="Y772" s="94">
        <f>IF($A772="",0,IF(AE772="직접",IF(AF772="비귀속",$P772,0),$P772*(1-AG772)*IFERROR(INDEX(계정대체기준!$F$20:$F$49,MATCH($N772,계정대체기준!$A$20:$A$49,0)),1)))</f>
        <v/>
      </c>
      <c r="Z772" s="94">
        <f>IF($A772="",0,IF(AE772="직접",IF(AF772="신계약비",$P772,0),$P772*(1-AG772)*IFERROR(INDEX(계정대체기준!$C$20:$C$49,MATCH($N772,계정대체기준!$A$20:$A$49,0)),0)))</f>
        <v/>
      </c>
      <c r="AA772" s="94">
        <f>IF($A772="",0,IF(AE772="직접",IF(OR(AF772="유지비",AF772="손해조사비"),$P772,0),$P772*(1-AG772)*IFERROR(INDEX(계정대체기준!$D$20:$D$49,MATCH($N772,계정대체기준!$A$20:$A$49,0)),0)))</f>
        <v/>
      </c>
      <c r="AB772" s="94">
        <f>IF($A772="",0,IF(AE772="직접",IF(AF772="수금비",$P772,0),$P772*(1-AG772)*IFERROR(INDEX(계정대체기준!$E$20:$E$49,MATCH($N772,계정대체기준!$A$20:$A$49,0)),0)))</f>
        <v/>
      </c>
      <c r="AC772" s="9">
        <f>IF(AND($A772&lt;&gt;"",M772=설정!$C$20,Z772&gt;0),Z772+ROW()/1000000000,"")</f>
        <v/>
      </c>
      <c r="AD772" s="94">
        <f>IF($A772="",0,$P772*AG772)</f>
        <v/>
      </c>
      <c r="AE772" s="64">
        <f>IF($A772="","",IFERROR(INDEX(계정매핑!$E$5:$E$504,MATCH($F772&amp;"",계정매핑!$A$5:$A$504,0))&amp;"","공통비"))</f>
        <v/>
      </c>
      <c r="AF772" s="64">
        <f>IF($A772="","",IF(AE772="직접",IFERROR(INDEX(계정매핑!$F$5:$F$504,MATCH($F772&amp;"",계정매핑!$A$5:$A$504,0))&amp;"","비귀속"),""))</f>
        <v/>
      </c>
      <c r="AG772" s="96">
        <f>IF($A772="",0,IF(AND(AE772&lt;&gt;"직접",IFERROR(INDEX(계정매핑!$G$5:$G$504,MATCH($F772&amp;"",계정매핑!$A$5:$A$504,0))&amp;"","")="유지비",COUNTIF(계정대체기준!$A$6:$A$15,$N772)&gt;0),IFERROR(INDEX(계정대체기준!$E$6:$E$15,MATCH(VALUE($A772&amp;""),계정대체기준!$D$6:$D$15,0)),0),0))</f>
        <v/>
      </c>
      <c r="AH772" s="64">
        <f>IF($A772="","",IF(AD772=0,"",IF(OR(COUNTIF(계정대체기준!$A$77:$A$86,$N772)&gt;0,ISNUMBER(MATCH($X772,계정대체기준!$D$77:$D$86,0)),ISNUMBER(MATCH($F772,계정대체기준!$D$77:$D$86,0))),"Y","N")))</f>
        <v/>
      </c>
    </row>
    <row r="773">
      <c r="A773" s="92" t="n">
        <v>2025</v>
      </c>
      <c r="B773" s="92" t="n">
        <v>4</v>
      </c>
      <c r="C773" s="92" t="inlineStr">
        <is>
          <t>5100000769</t>
        </is>
      </c>
      <c r="D773" s="95" t="n">
        <v>45758</v>
      </c>
      <c r="E773" s="92" t="inlineStr">
        <is>
          <t>KR</t>
        </is>
      </c>
      <c r="F773" s="92" t="n">
        <v>62801000</v>
      </c>
      <c r="G773" s="92" t="n">
        <v>1301</v>
      </c>
      <c r="H773" s="93" t="n">
        <v>4941000</v>
      </c>
      <c r="I773" s="92" t="inlineStr">
        <is>
          <t>4월 사내교육 - (사내강사료)</t>
        </is>
      </c>
      <c r="J773" s="92" t="inlineStr">
        <is>
          <t>V10024</t>
        </is>
      </c>
      <c r="K773" s="92" t="inlineStr">
        <is>
          <t>(사내강사료)</t>
        </is>
      </c>
      <c r="M773" s="9">
        <f>IF($A773="","",VALUE($A773&amp;"")*12+VALUE($B773&amp;""))</f>
        <v/>
      </c>
      <c r="N773" s="64">
        <f>IF($A773="","",IFERROR(INDEX(부서매핑!$C$5:$C$504,MATCH($G773&amp;"",부서매핑!$A$5:$A$504,0)),"미매핑"))</f>
        <v/>
      </c>
      <c r="O773" s="9">
        <f>IF($A773="","",N773&amp;"|"&amp;$F773)</f>
        <v/>
      </c>
      <c r="P773" s="94">
        <f>IF($A773="",0,$H773*설정!$C$23)</f>
        <v/>
      </c>
      <c r="Q773" s="64">
        <f>IF($A773="","",IF(O773&lt;&gt;원인분석!$C$9,"",IF(AND(M773&gt;=원인분석!$C$10,M773&lt;=원인분석!$C$11),"당기",IF(AND(M773&gt;=원인분석!$C$12,M773&lt;=원인분석!$C$13),"비교",""))))</f>
        <v/>
      </c>
      <c r="R773" s="9">
        <f>IF(Q773="","",$K773&amp;"")</f>
        <v/>
      </c>
      <c r="S773" s="9">
        <f>IF(Q773="","",IF(MATCH(R773,$R$5:$R$100000,0)=ROW()-4,ROW(),""))</f>
        <v/>
      </c>
      <c r="T773" s="9">
        <f>IF(Q773="당기",ABS(P773)+ROW()/1000000000,"")</f>
        <v/>
      </c>
      <c r="U773" s="9">
        <f>IF(Q773="비교",ABS(P773)+ROW()/1000000000,"")</f>
        <v/>
      </c>
      <c r="V773" s="64">
        <f>IF($A773="","",IF(COUNTIF(변동분석!$E$7:$E$506,O773)&gt;0,"Y","N"))</f>
        <v/>
      </c>
      <c r="W773" s="64">
        <f>IF($A773="","",IFERROR(INDEX(계정매핑!$D$5:$D$504,MATCH($F773&amp;"",계정매핑!$A$5:$A$504,0)),"미매핑"))</f>
        <v/>
      </c>
      <c r="X773" s="9">
        <f>IF($A773="","",$F773&amp;"")</f>
        <v/>
      </c>
      <c r="Y773" s="94">
        <f>IF($A773="",0,IF(AE773="직접",IF(AF773="비귀속",$P773,0),$P773*(1-AG773)*IFERROR(INDEX(계정대체기준!$F$20:$F$49,MATCH($N773,계정대체기준!$A$20:$A$49,0)),1)))</f>
        <v/>
      </c>
      <c r="Z773" s="94">
        <f>IF($A773="",0,IF(AE773="직접",IF(AF773="신계약비",$P773,0),$P773*(1-AG773)*IFERROR(INDEX(계정대체기준!$C$20:$C$49,MATCH($N773,계정대체기준!$A$20:$A$49,0)),0)))</f>
        <v/>
      </c>
      <c r="AA773" s="94">
        <f>IF($A773="",0,IF(AE773="직접",IF(OR(AF773="유지비",AF773="손해조사비"),$P773,0),$P773*(1-AG773)*IFERROR(INDEX(계정대체기준!$D$20:$D$49,MATCH($N773,계정대체기준!$A$20:$A$49,0)),0)))</f>
        <v/>
      </c>
      <c r="AB773" s="94">
        <f>IF($A773="",0,IF(AE773="직접",IF(AF773="수금비",$P773,0),$P773*(1-AG773)*IFERROR(INDEX(계정대체기준!$E$20:$E$49,MATCH($N773,계정대체기준!$A$20:$A$49,0)),0)))</f>
        <v/>
      </c>
      <c r="AC773" s="9">
        <f>IF(AND($A773&lt;&gt;"",M773=설정!$C$20,Z773&gt;0),Z773+ROW()/1000000000,"")</f>
        <v/>
      </c>
      <c r="AD773" s="94">
        <f>IF($A773="",0,$P773*AG773)</f>
        <v/>
      </c>
      <c r="AE773" s="64">
        <f>IF($A773="","",IFERROR(INDEX(계정매핑!$E$5:$E$504,MATCH($F773&amp;"",계정매핑!$A$5:$A$504,0))&amp;"","공통비"))</f>
        <v/>
      </c>
      <c r="AF773" s="64">
        <f>IF($A773="","",IF(AE773="직접",IFERROR(INDEX(계정매핑!$F$5:$F$504,MATCH($F773&amp;"",계정매핑!$A$5:$A$504,0))&amp;"","비귀속"),""))</f>
        <v/>
      </c>
      <c r="AG773" s="96">
        <f>IF($A773="",0,IF(AND(AE773&lt;&gt;"직접",IFERROR(INDEX(계정매핑!$G$5:$G$504,MATCH($F773&amp;"",계정매핑!$A$5:$A$504,0))&amp;"","")="유지비",COUNTIF(계정대체기준!$A$6:$A$15,$N773)&gt;0),IFERROR(INDEX(계정대체기준!$E$6:$E$15,MATCH(VALUE($A773&amp;""),계정대체기준!$D$6:$D$15,0)),0),0))</f>
        <v/>
      </c>
      <c r="AH773" s="64">
        <f>IF($A773="","",IF(AD773=0,"",IF(OR(COUNTIF(계정대체기준!$A$77:$A$86,$N773)&gt;0,ISNUMBER(MATCH($X773,계정대체기준!$D$77:$D$86,0)),ISNUMBER(MATCH($F773,계정대체기준!$D$77:$D$86,0))),"Y","N")))</f>
        <v/>
      </c>
    </row>
    <row r="774">
      <c r="A774" s="92" t="n">
        <v>2025</v>
      </c>
      <c r="B774" s="92" t="n">
        <v>4</v>
      </c>
      <c r="C774" s="92" t="inlineStr">
        <is>
          <t>5100000770</t>
        </is>
      </c>
      <c r="D774" s="95" t="n">
        <v>45758</v>
      </c>
      <c r="E774" s="92" t="inlineStr">
        <is>
          <t>KR</t>
        </is>
      </c>
      <c r="F774" s="92" t="n">
        <v>63002000</v>
      </c>
      <c r="G774" s="92" t="n">
        <v>1951</v>
      </c>
      <c r="H774" s="93" t="n">
        <v>3235000</v>
      </c>
      <c r="I774" s="92" t="inlineStr">
        <is>
          <t>4월 클라우드 사용료 - C클라우드</t>
        </is>
      </c>
      <c r="J774" s="92" t="inlineStr">
        <is>
          <t>V10026</t>
        </is>
      </c>
      <c r="K774" s="92" t="inlineStr">
        <is>
          <t>C클라우드</t>
        </is>
      </c>
      <c r="M774" s="9">
        <f>IF($A774="","",VALUE($A774&amp;"")*12+VALUE($B774&amp;""))</f>
        <v/>
      </c>
      <c r="N774" s="64">
        <f>IF($A774="","",IFERROR(INDEX(부서매핑!$C$5:$C$504,MATCH($G774&amp;"",부서매핑!$A$5:$A$504,0)),"미매핑"))</f>
        <v/>
      </c>
      <c r="O774" s="9">
        <f>IF($A774="","",N774&amp;"|"&amp;$F774)</f>
        <v/>
      </c>
      <c r="P774" s="94">
        <f>IF($A774="",0,$H774*설정!$C$23)</f>
        <v/>
      </c>
      <c r="Q774" s="64">
        <f>IF($A774="","",IF(O774&lt;&gt;원인분석!$C$9,"",IF(AND(M774&gt;=원인분석!$C$10,M774&lt;=원인분석!$C$11),"당기",IF(AND(M774&gt;=원인분석!$C$12,M774&lt;=원인분석!$C$13),"비교",""))))</f>
        <v/>
      </c>
      <c r="R774" s="9">
        <f>IF(Q774="","",$K774&amp;"")</f>
        <v/>
      </c>
      <c r="S774" s="9">
        <f>IF(Q774="","",IF(MATCH(R774,$R$5:$R$100000,0)=ROW()-4,ROW(),""))</f>
        <v/>
      </c>
      <c r="T774" s="9">
        <f>IF(Q774="당기",ABS(P774)+ROW()/1000000000,"")</f>
        <v/>
      </c>
      <c r="U774" s="9">
        <f>IF(Q774="비교",ABS(P774)+ROW()/1000000000,"")</f>
        <v/>
      </c>
      <c r="V774" s="64">
        <f>IF($A774="","",IF(COUNTIF(변동분석!$E$7:$E$506,O774)&gt;0,"Y","N"))</f>
        <v/>
      </c>
      <c r="W774" s="64">
        <f>IF($A774="","",IFERROR(INDEX(계정매핑!$D$5:$D$504,MATCH($F774&amp;"",계정매핑!$A$5:$A$504,0)),"미매핑"))</f>
        <v/>
      </c>
      <c r="X774" s="9">
        <f>IF($A774="","",$F774&amp;"")</f>
        <v/>
      </c>
      <c r="Y774" s="94">
        <f>IF($A774="",0,IF(AE774="직접",IF(AF774="비귀속",$P774,0),$P774*(1-AG774)*IFERROR(INDEX(계정대체기준!$F$20:$F$49,MATCH($N774,계정대체기준!$A$20:$A$49,0)),1)))</f>
        <v/>
      </c>
      <c r="Z774" s="94">
        <f>IF($A774="",0,IF(AE774="직접",IF(AF774="신계약비",$P774,0),$P774*(1-AG774)*IFERROR(INDEX(계정대체기준!$C$20:$C$49,MATCH($N774,계정대체기준!$A$20:$A$49,0)),0)))</f>
        <v/>
      </c>
      <c r="AA774" s="94">
        <f>IF($A774="",0,IF(AE774="직접",IF(OR(AF774="유지비",AF774="손해조사비"),$P774,0),$P774*(1-AG774)*IFERROR(INDEX(계정대체기준!$D$20:$D$49,MATCH($N774,계정대체기준!$A$20:$A$49,0)),0)))</f>
        <v/>
      </c>
      <c r="AB774" s="94">
        <f>IF($A774="",0,IF(AE774="직접",IF(AF774="수금비",$P774,0),$P774*(1-AG774)*IFERROR(INDEX(계정대체기준!$E$20:$E$49,MATCH($N774,계정대체기준!$A$20:$A$49,0)),0)))</f>
        <v/>
      </c>
      <c r="AC774" s="9">
        <f>IF(AND($A774&lt;&gt;"",M774=설정!$C$20,Z774&gt;0),Z774+ROW()/1000000000,"")</f>
        <v/>
      </c>
      <c r="AD774" s="94">
        <f>IF($A774="",0,$P774*AG774)</f>
        <v/>
      </c>
      <c r="AE774" s="64">
        <f>IF($A774="","",IFERROR(INDEX(계정매핑!$E$5:$E$504,MATCH($F774&amp;"",계정매핑!$A$5:$A$504,0))&amp;"","공통비"))</f>
        <v/>
      </c>
      <c r="AF774" s="64">
        <f>IF($A774="","",IF(AE774="직접",IFERROR(INDEX(계정매핑!$F$5:$F$504,MATCH($F774&amp;"",계정매핑!$A$5:$A$504,0))&amp;"","비귀속"),""))</f>
        <v/>
      </c>
      <c r="AG774" s="96">
        <f>IF($A774="",0,IF(AND(AE774&lt;&gt;"직접",IFERROR(INDEX(계정매핑!$G$5:$G$504,MATCH($F774&amp;"",계정매핑!$A$5:$A$504,0))&amp;"","")="유지비",COUNTIF(계정대체기준!$A$6:$A$15,$N774)&gt;0),IFERROR(INDEX(계정대체기준!$E$6:$E$15,MATCH(VALUE($A774&amp;""),계정대체기준!$D$6:$D$15,0)),0),0))</f>
        <v/>
      </c>
      <c r="AH774" s="64">
        <f>IF($A774="","",IF(AD774=0,"",IF(OR(COUNTIF(계정대체기준!$A$77:$A$86,$N774)&gt;0,ISNUMBER(MATCH($X774,계정대체기준!$D$77:$D$86,0)),ISNUMBER(MATCH($F774,계정대체기준!$D$77:$D$86,0))),"Y","N")))</f>
        <v/>
      </c>
    </row>
    <row r="775">
      <c r="A775" s="92" t="n">
        <v>2025</v>
      </c>
      <c r="B775" s="92" t="n">
        <v>4</v>
      </c>
      <c r="C775" s="92" t="inlineStr">
        <is>
          <t>5100000771</t>
        </is>
      </c>
      <c r="D775" s="95" t="n">
        <v>45759</v>
      </c>
      <c r="E775" s="92" t="inlineStr">
        <is>
          <t>KR</t>
        </is>
      </c>
      <c r="F775" s="92" t="n">
        <v>62101000</v>
      </c>
      <c r="G775" s="92" t="n">
        <v>1502</v>
      </c>
      <c r="H775" s="93" t="n">
        <v>389000</v>
      </c>
      <c r="I775" s="92" t="inlineStr">
        <is>
          <t>4월 국내출장 - M항공</t>
        </is>
      </c>
      <c r="J775" s="92" t="inlineStr">
        <is>
          <t>V10001</t>
        </is>
      </c>
      <c r="K775" s="92" t="inlineStr">
        <is>
          <t>M항공</t>
        </is>
      </c>
      <c r="M775" s="9">
        <f>IF($A775="","",VALUE($A775&amp;"")*12+VALUE($B775&amp;""))</f>
        <v/>
      </c>
      <c r="N775" s="64">
        <f>IF($A775="","",IFERROR(INDEX(부서매핑!$C$5:$C$504,MATCH($G775&amp;"",부서매핑!$A$5:$A$504,0)),"미매핑"))</f>
        <v/>
      </c>
      <c r="O775" s="9">
        <f>IF($A775="","",N775&amp;"|"&amp;$F775)</f>
        <v/>
      </c>
      <c r="P775" s="94">
        <f>IF($A775="",0,$H775*설정!$C$23)</f>
        <v/>
      </c>
      <c r="Q775" s="64">
        <f>IF($A775="","",IF(O775&lt;&gt;원인분석!$C$9,"",IF(AND(M775&gt;=원인분석!$C$10,M775&lt;=원인분석!$C$11),"당기",IF(AND(M775&gt;=원인분석!$C$12,M775&lt;=원인분석!$C$13),"비교",""))))</f>
        <v/>
      </c>
      <c r="R775" s="9">
        <f>IF(Q775="","",$K775&amp;"")</f>
        <v/>
      </c>
      <c r="S775" s="9">
        <f>IF(Q775="","",IF(MATCH(R775,$R$5:$R$100000,0)=ROW()-4,ROW(),""))</f>
        <v/>
      </c>
      <c r="T775" s="9">
        <f>IF(Q775="당기",ABS(P775)+ROW()/1000000000,"")</f>
        <v/>
      </c>
      <c r="U775" s="9">
        <f>IF(Q775="비교",ABS(P775)+ROW()/1000000000,"")</f>
        <v/>
      </c>
      <c r="V775" s="64">
        <f>IF($A775="","",IF(COUNTIF(변동분석!$E$7:$E$506,O775)&gt;0,"Y","N"))</f>
        <v/>
      </c>
      <c r="W775" s="64">
        <f>IF($A775="","",IFERROR(INDEX(계정매핑!$D$5:$D$504,MATCH($F775&amp;"",계정매핑!$A$5:$A$504,0)),"미매핑"))</f>
        <v/>
      </c>
      <c r="X775" s="9">
        <f>IF($A775="","",$F775&amp;"")</f>
        <v/>
      </c>
      <c r="Y775" s="94">
        <f>IF($A775="",0,IF(AE775="직접",IF(AF775="비귀속",$P775,0),$P775*(1-AG775)*IFERROR(INDEX(계정대체기준!$F$20:$F$49,MATCH($N775,계정대체기준!$A$20:$A$49,0)),1)))</f>
        <v/>
      </c>
      <c r="Z775" s="94">
        <f>IF($A775="",0,IF(AE775="직접",IF(AF775="신계약비",$P775,0),$P775*(1-AG775)*IFERROR(INDEX(계정대체기준!$C$20:$C$49,MATCH($N775,계정대체기준!$A$20:$A$49,0)),0)))</f>
        <v/>
      </c>
      <c r="AA775" s="94">
        <f>IF($A775="",0,IF(AE775="직접",IF(OR(AF775="유지비",AF775="손해조사비"),$P775,0),$P775*(1-AG775)*IFERROR(INDEX(계정대체기준!$D$20:$D$49,MATCH($N775,계정대체기준!$A$20:$A$49,0)),0)))</f>
        <v/>
      </c>
      <c r="AB775" s="94">
        <f>IF($A775="",0,IF(AE775="직접",IF(AF775="수금비",$P775,0),$P775*(1-AG775)*IFERROR(INDEX(계정대체기준!$E$20:$E$49,MATCH($N775,계정대체기준!$A$20:$A$49,0)),0)))</f>
        <v/>
      </c>
      <c r="AC775" s="9">
        <f>IF(AND($A775&lt;&gt;"",M775=설정!$C$20,Z775&gt;0),Z775+ROW()/1000000000,"")</f>
        <v/>
      </c>
      <c r="AD775" s="94">
        <f>IF($A775="",0,$P775*AG775)</f>
        <v/>
      </c>
      <c r="AE775" s="64">
        <f>IF($A775="","",IFERROR(INDEX(계정매핑!$E$5:$E$504,MATCH($F775&amp;"",계정매핑!$A$5:$A$504,0))&amp;"","공통비"))</f>
        <v/>
      </c>
      <c r="AF775" s="64">
        <f>IF($A775="","",IF(AE775="직접",IFERROR(INDEX(계정매핑!$F$5:$F$504,MATCH($F775&amp;"",계정매핑!$A$5:$A$504,0))&amp;"","비귀속"),""))</f>
        <v/>
      </c>
      <c r="AG775" s="96">
        <f>IF($A775="",0,IF(AND(AE775&lt;&gt;"직접",IFERROR(INDEX(계정매핑!$G$5:$G$504,MATCH($F775&amp;"",계정매핑!$A$5:$A$504,0))&amp;"","")="유지비",COUNTIF(계정대체기준!$A$6:$A$15,$N775)&gt;0),IFERROR(INDEX(계정대체기준!$E$6:$E$15,MATCH(VALUE($A775&amp;""),계정대체기준!$D$6:$D$15,0)),0),0))</f>
        <v/>
      </c>
      <c r="AH775" s="64">
        <f>IF($A775="","",IF(AD775=0,"",IF(OR(COUNTIF(계정대체기준!$A$77:$A$86,$N775)&gt;0,ISNUMBER(MATCH($X775,계정대체기준!$D$77:$D$86,0)),ISNUMBER(MATCH($F775,계정대체기준!$D$77:$D$86,0))),"Y","N")))</f>
        <v/>
      </c>
    </row>
    <row r="776">
      <c r="A776" s="92" t="n">
        <v>2025</v>
      </c>
      <c r="B776" s="92" t="n">
        <v>4</v>
      </c>
      <c r="C776" s="92" t="inlineStr">
        <is>
          <t>5100000772</t>
        </is>
      </c>
      <c r="D776" s="95" t="n">
        <v>45759</v>
      </c>
      <c r="E776" s="92" t="inlineStr">
        <is>
          <t>KR</t>
        </is>
      </c>
      <c r="F776" s="92" t="n">
        <v>62102000</v>
      </c>
      <c r="G776" s="92" t="n">
        <v>1201</v>
      </c>
      <c r="H776" s="93" t="n">
        <v>85000</v>
      </c>
      <c r="I776" s="92" t="inlineStr">
        <is>
          <t>4월 해외출장 - N호텔</t>
        </is>
      </c>
      <c r="J776" s="92" t="inlineStr">
        <is>
          <t>V10009</t>
        </is>
      </c>
      <c r="K776" s="92" t="inlineStr">
        <is>
          <t>N호텔</t>
        </is>
      </c>
      <c r="M776" s="9">
        <f>IF($A776="","",VALUE($A776&amp;"")*12+VALUE($B776&amp;""))</f>
        <v/>
      </c>
      <c r="N776" s="64">
        <f>IF($A776="","",IFERROR(INDEX(부서매핑!$C$5:$C$504,MATCH($G776&amp;"",부서매핑!$A$5:$A$504,0)),"미매핑"))</f>
        <v/>
      </c>
      <c r="O776" s="9">
        <f>IF($A776="","",N776&amp;"|"&amp;$F776)</f>
        <v/>
      </c>
      <c r="P776" s="94">
        <f>IF($A776="",0,$H776*설정!$C$23)</f>
        <v/>
      </c>
      <c r="Q776" s="64">
        <f>IF($A776="","",IF(O776&lt;&gt;원인분석!$C$9,"",IF(AND(M776&gt;=원인분석!$C$10,M776&lt;=원인분석!$C$11),"당기",IF(AND(M776&gt;=원인분석!$C$12,M776&lt;=원인분석!$C$13),"비교",""))))</f>
        <v/>
      </c>
      <c r="R776" s="9">
        <f>IF(Q776="","",$K776&amp;"")</f>
        <v/>
      </c>
      <c r="S776" s="9">
        <f>IF(Q776="","",IF(MATCH(R776,$R$5:$R$100000,0)=ROW()-4,ROW(),""))</f>
        <v/>
      </c>
      <c r="T776" s="9">
        <f>IF(Q776="당기",ABS(P776)+ROW()/1000000000,"")</f>
        <v/>
      </c>
      <c r="U776" s="9">
        <f>IF(Q776="비교",ABS(P776)+ROW()/1000000000,"")</f>
        <v/>
      </c>
      <c r="V776" s="64">
        <f>IF($A776="","",IF(COUNTIF(변동분석!$E$7:$E$506,O776)&gt;0,"Y","N"))</f>
        <v/>
      </c>
      <c r="W776" s="64">
        <f>IF($A776="","",IFERROR(INDEX(계정매핑!$D$5:$D$504,MATCH($F776&amp;"",계정매핑!$A$5:$A$504,0)),"미매핑"))</f>
        <v/>
      </c>
      <c r="X776" s="9">
        <f>IF($A776="","",$F776&amp;"")</f>
        <v/>
      </c>
      <c r="Y776" s="94">
        <f>IF($A776="",0,IF(AE776="직접",IF(AF776="비귀속",$P776,0),$P776*(1-AG776)*IFERROR(INDEX(계정대체기준!$F$20:$F$49,MATCH($N776,계정대체기준!$A$20:$A$49,0)),1)))</f>
        <v/>
      </c>
      <c r="Z776" s="94">
        <f>IF($A776="",0,IF(AE776="직접",IF(AF776="신계약비",$P776,0),$P776*(1-AG776)*IFERROR(INDEX(계정대체기준!$C$20:$C$49,MATCH($N776,계정대체기준!$A$20:$A$49,0)),0)))</f>
        <v/>
      </c>
      <c r="AA776" s="94">
        <f>IF($A776="",0,IF(AE776="직접",IF(OR(AF776="유지비",AF776="손해조사비"),$P776,0),$P776*(1-AG776)*IFERROR(INDEX(계정대체기준!$D$20:$D$49,MATCH($N776,계정대체기준!$A$20:$A$49,0)),0)))</f>
        <v/>
      </c>
      <c r="AB776" s="94">
        <f>IF($A776="",0,IF(AE776="직접",IF(AF776="수금비",$P776,0),$P776*(1-AG776)*IFERROR(INDEX(계정대체기준!$E$20:$E$49,MATCH($N776,계정대체기준!$A$20:$A$49,0)),0)))</f>
        <v/>
      </c>
      <c r="AC776" s="9">
        <f>IF(AND($A776&lt;&gt;"",M776=설정!$C$20,Z776&gt;0),Z776+ROW()/1000000000,"")</f>
        <v/>
      </c>
      <c r="AD776" s="94">
        <f>IF($A776="",0,$P776*AG776)</f>
        <v/>
      </c>
      <c r="AE776" s="64">
        <f>IF($A776="","",IFERROR(INDEX(계정매핑!$E$5:$E$504,MATCH($F776&amp;"",계정매핑!$A$5:$A$504,0))&amp;"","공통비"))</f>
        <v/>
      </c>
      <c r="AF776" s="64">
        <f>IF($A776="","",IF(AE776="직접",IFERROR(INDEX(계정매핑!$F$5:$F$504,MATCH($F776&amp;"",계정매핑!$A$5:$A$504,0))&amp;"","비귀속"),""))</f>
        <v/>
      </c>
      <c r="AG776" s="96">
        <f>IF($A776="",0,IF(AND(AE776&lt;&gt;"직접",IFERROR(INDEX(계정매핑!$G$5:$G$504,MATCH($F776&amp;"",계정매핑!$A$5:$A$504,0))&amp;"","")="유지비",COUNTIF(계정대체기준!$A$6:$A$15,$N776)&gt;0),IFERROR(INDEX(계정대체기준!$E$6:$E$15,MATCH(VALUE($A776&amp;""),계정대체기준!$D$6:$D$15,0)),0),0))</f>
        <v/>
      </c>
      <c r="AH776" s="64">
        <f>IF($A776="","",IF(AD776=0,"",IF(OR(COUNTIF(계정대체기준!$A$77:$A$86,$N776)&gt;0,ISNUMBER(MATCH($X776,계정대체기준!$D$77:$D$86,0)),ISNUMBER(MATCH($F776,계정대체기준!$D$77:$D$86,0))),"Y","N")))</f>
        <v/>
      </c>
    </row>
    <row r="777">
      <c r="A777" s="92" t="n">
        <v>2025</v>
      </c>
      <c r="B777" s="92" t="n">
        <v>4</v>
      </c>
      <c r="C777" s="92" t="inlineStr">
        <is>
          <t>5100000773</t>
        </is>
      </c>
      <c r="D777" s="95" t="n">
        <v>45759</v>
      </c>
      <c r="E777" s="92" t="inlineStr">
        <is>
          <t>KR</t>
        </is>
      </c>
      <c r="F777" s="92" t="n">
        <v>62201000</v>
      </c>
      <c r="G777" s="92" t="n">
        <v>1201</v>
      </c>
      <c r="H777" s="93" t="n">
        <v>185000</v>
      </c>
      <c r="I777" s="92" t="inlineStr">
        <is>
          <t>4월 통신요금 - O텔레콤</t>
        </is>
      </c>
      <c r="J777" s="92" t="inlineStr">
        <is>
          <t>V10002</t>
        </is>
      </c>
      <c r="K777" s="92" t="inlineStr">
        <is>
          <t>O텔레콤</t>
        </is>
      </c>
      <c r="M777" s="9">
        <f>IF($A777="","",VALUE($A777&amp;"")*12+VALUE($B777&amp;""))</f>
        <v/>
      </c>
      <c r="N777" s="64">
        <f>IF($A777="","",IFERROR(INDEX(부서매핑!$C$5:$C$504,MATCH($G777&amp;"",부서매핑!$A$5:$A$504,0)),"미매핑"))</f>
        <v/>
      </c>
      <c r="O777" s="9">
        <f>IF($A777="","",N777&amp;"|"&amp;$F777)</f>
        <v/>
      </c>
      <c r="P777" s="94">
        <f>IF($A777="",0,$H777*설정!$C$23)</f>
        <v/>
      </c>
      <c r="Q777" s="64">
        <f>IF($A777="","",IF(O777&lt;&gt;원인분석!$C$9,"",IF(AND(M777&gt;=원인분석!$C$10,M777&lt;=원인분석!$C$11),"당기",IF(AND(M777&gt;=원인분석!$C$12,M777&lt;=원인분석!$C$13),"비교",""))))</f>
        <v/>
      </c>
      <c r="R777" s="9">
        <f>IF(Q777="","",$K777&amp;"")</f>
        <v/>
      </c>
      <c r="S777" s="9">
        <f>IF(Q777="","",IF(MATCH(R777,$R$5:$R$100000,0)=ROW()-4,ROW(),""))</f>
        <v/>
      </c>
      <c r="T777" s="9">
        <f>IF(Q777="당기",ABS(P777)+ROW()/1000000000,"")</f>
        <v/>
      </c>
      <c r="U777" s="9">
        <f>IF(Q777="비교",ABS(P777)+ROW()/1000000000,"")</f>
        <v/>
      </c>
      <c r="V777" s="64">
        <f>IF($A777="","",IF(COUNTIF(변동분석!$E$7:$E$506,O777)&gt;0,"Y","N"))</f>
        <v/>
      </c>
      <c r="W777" s="64">
        <f>IF($A777="","",IFERROR(INDEX(계정매핑!$D$5:$D$504,MATCH($F777&amp;"",계정매핑!$A$5:$A$504,0)),"미매핑"))</f>
        <v/>
      </c>
      <c r="X777" s="9">
        <f>IF($A777="","",$F777&amp;"")</f>
        <v/>
      </c>
      <c r="Y777" s="94">
        <f>IF($A777="",0,IF(AE777="직접",IF(AF777="비귀속",$P777,0),$P777*(1-AG777)*IFERROR(INDEX(계정대체기준!$F$20:$F$49,MATCH($N777,계정대체기준!$A$20:$A$49,0)),1)))</f>
        <v/>
      </c>
      <c r="Z777" s="94">
        <f>IF($A777="",0,IF(AE777="직접",IF(AF777="신계약비",$P777,0),$P777*(1-AG777)*IFERROR(INDEX(계정대체기준!$C$20:$C$49,MATCH($N777,계정대체기준!$A$20:$A$49,0)),0)))</f>
        <v/>
      </c>
      <c r="AA777" s="94">
        <f>IF($A777="",0,IF(AE777="직접",IF(OR(AF777="유지비",AF777="손해조사비"),$P777,0),$P777*(1-AG777)*IFERROR(INDEX(계정대체기준!$D$20:$D$49,MATCH($N777,계정대체기준!$A$20:$A$49,0)),0)))</f>
        <v/>
      </c>
      <c r="AB777" s="94">
        <f>IF($A777="",0,IF(AE777="직접",IF(AF777="수금비",$P777,0),$P777*(1-AG777)*IFERROR(INDEX(계정대체기준!$E$20:$E$49,MATCH($N777,계정대체기준!$A$20:$A$49,0)),0)))</f>
        <v/>
      </c>
      <c r="AC777" s="9">
        <f>IF(AND($A777&lt;&gt;"",M777=설정!$C$20,Z777&gt;0),Z777+ROW()/1000000000,"")</f>
        <v/>
      </c>
      <c r="AD777" s="94">
        <f>IF($A777="",0,$P777*AG777)</f>
        <v/>
      </c>
      <c r="AE777" s="64">
        <f>IF($A777="","",IFERROR(INDEX(계정매핑!$E$5:$E$504,MATCH($F777&amp;"",계정매핑!$A$5:$A$504,0))&amp;"","공통비"))</f>
        <v/>
      </c>
      <c r="AF777" s="64">
        <f>IF($A777="","",IF(AE777="직접",IFERROR(INDEX(계정매핑!$F$5:$F$504,MATCH($F777&amp;"",계정매핑!$A$5:$A$504,0))&amp;"","비귀속"),""))</f>
        <v/>
      </c>
      <c r="AG777" s="96">
        <f>IF($A777="",0,IF(AND(AE777&lt;&gt;"직접",IFERROR(INDEX(계정매핑!$G$5:$G$504,MATCH($F777&amp;"",계정매핑!$A$5:$A$504,0))&amp;"","")="유지비",COUNTIF(계정대체기준!$A$6:$A$15,$N777)&gt;0),IFERROR(INDEX(계정대체기준!$E$6:$E$15,MATCH(VALUE($A777&amp;""),계정대체기준!$D$6:$D$15,0)),0),0))</f>
        <v/>
      </c>
      <c r="AH777" s="64">
        <f>IF($A777="","",IF(AD777=0,"",IF(OR(COUNTIF(계정대체기준!$A$77:$A$86,$N777)&gt;0,ISNUMBER(MATCH($X777,계정대체기준!$D$77:$D$86,0)),ISNUMBER(MATCH($F777,계정대체기준!$D$77:$D$86,0))),"Y","N")))</f>
        <v/>
      </c>
    </row>
    <row r="778">
      <c r="A778" s="92" t="n">
        <v>2025</v>
      </c>
      <c r="B778" s="92" t="n">
        <v>4</v>
      </c>
      <c r="C778" s="92" t="inlineStr">
        <is>
          <t>5100000774</t>
        </is>
      </c>
      <c r="D778" s="95" t="n">
        <v>45759</v>
      </c>
      <c r="E778" s="92" t="inlineStr">
        <is>
          <t>KR</t>
        </is>
      </c>
      <c r="F778" s="92" t="n">
        <v>62201000</v>
      </c>
      <c r="G778" s="92" t="n">
        <v>1801</v>
      </c>
      <c r="H778" s="93" t="n">
        <v>6195000</v>
      </c>
      <c r="I778" s="92" t="inlineStr">
        <is>
          <t>4월 통신요금 - O텔레콤</t>
        </is>
      </c>
      <c r="J778" s="92" t="inlineStr">
        <is>
          <t>V10002</t>
        </is>
      </c>
      <c r="K778" s="92" t="inlineStr">
        <is>
          <t>O텔레콤</t>
        </is>
      </c>
      <c r="M778" s="9">
        <f>IF($A778="","",VALUE($A778&amp;"")*12+VALUE($B778&amp;""))</f>
        <v/>
      </c>
      <c r="N778" s="64">
        <f>IF($A778="","",IFERROR(INDEX(부서매핑!$C$5:$C$504,MATCH($G778&amp;"",부서매핑!$A$5:$A$504,0)),"미매핑"))</f>
        <v/>
      </c>
      <c r="O778" s="9">
        <f>IF($A778="","",N778&amp;"|"&amp;$F778)</f>
        <v/>
      </c>
      <c r="P778" s="94">
        <f>IF($A778="",0,$H778*설정!$C$23)</f>
        <v/>
      </c>
      <c r="Q778" s="64">
        <f>IF($A778="","",IF(O778&lt;&gt;원인분석!$C$9,"",IF(AND(M778&gt;=원인분석!$C$10,M778&lt;=원인분석!$C$11),"당기",IF(AND(M778&gt;=원인분석!$C$12,M778&lt;=원인분석!$C$13),"비교",""))))</f>
        <v/>
      </c>
      <c r="R778" s="9">
        <f>IF(Q778="","",$K778&amp;"")</f>
        <v/>
      </c>
      <c r="S778" s="9">
        <f>IF(Q778="","",IF(MATCH(R778,$R$5:$R$100000,0)=ROW()-4,ROW(),""))</f>
        <v/>
      </c>
      <c r="T778" s="9">
        <f>IF(Q778="당기",ABS(P778)+ROW()/1000000000,"")</f>
        <v/>
      </c>
      <c r="U778" s="9">
        <f>IF(Q778="비교",ABS(P778)+ROW()/1000000000,"")</f>
        <v/>
      </c>
      <c r="V778" s="64">
        <f>IF($A778="","",IF(COUNTIF(변동분석!$E$7:$E$506,O778)&gt;0,"Y","N"))</f>
        <v/>
      </c>
      <c r="W778" s="64">
        <f>IF($A778="","",IFERROR(INDEX(계정매핑!$D$5:$D$504,MATCH($F778&amp;"",계정매핑!$A$5:$A$504,0)),"미매핑"))</f>
        <v/>
      </c>
      <c r="X778" s="9">
        <f>IF($A778="","",$F778&amp;"")</f>
        <v/>
      </c>
      <c r="Y778" s="94">
        <f>IF($A778="",0,IF(AE778="직접",IF(AF778="비귀속",$P778,0),$P778*(1-AG778)*IFERROR(INDEX(계정대체기준!$F$20:$F$49,MATCH($N778,계정대체기준!$A$20:$A$49,0)),1)))</f>
        <v/>
      </c>
      <c r="Z778" s="94">
        <f>IF($A778="",0,IF(AE778="직접",IF(AF778="신계약비",$P778,0),$P778*(1-AG778)*IFERROR(INDEX(계정대체기준!$C$20:$C$49,MATCH($N778,계정대체기준!$A$20:$A$49,0)),0)))</f>
        <v/>
      </c>
      <c r="AA778" s="94">
        <f>IF($A778="",0,IF(AE778="직접",IF(OR(AF778="유지비",AF778="손해조사비"),$P778,0),$P778*(1-AG778)*IFERROR(INDEX(계정대체기준!$D$20:$D$49,MATCH($N778,계정대체기준!$A$20:$A$49,0)),0)))</f>
        <v/>
      </c>
      <c r="AB778" s="94">
        <f>IF($A778="",0,IF(AE778="직접",IF(AF778="수금비",$P778,0),$P778*(1-AG778)*IFERROR(INDEX(계정대체기준!$E$20:$E$49,MATCH($N778,계정대체기준!$A$20:$A$49,0)),0)))</f>
        <v/>
      </c>
      <c r="AC778" s="9">
        <f>IF(AND($A778&lt;&gt;"",M778=설정!$C$20,Z778&gt;0),Z778+ROW()/1000000000,"")</f>
        <v/>
      </c>
      <c r="AD778" s="94">
        <f>IF($A778="",0,$P778*AG778)</f>
        <v/>
      </c>
      <c r="AE778" s="64">
        <f>IF($A778="","",IFERROR(INDEX(계정매핑!$E$5:$E$504,MATCH($F778&amp;"",계정매핑!$A$5:$A$504,0))&amp;"","공통비"))</f>
        <v/>
      </c>
      <c r="AF778" s="64">
        <f>IF($A778="","",IF(AE778="직접",IFERROR(INDEX(계정매핑!$F$5:$F$504,MATCH($F778&amp;"",계정매핑!$A$5:$A$504,0))&amp;"","비귀속"),""))</f>
        <v/>
      </c>
      <c r="AG778" s="96">
        <f>IF($A778="",0,IF(AND(AE778&lt;&gt;"직접",IFERROR(INDEX(계정매핑!$G$5:$G$504,MATCH($F778&amp;"",계정매핑!$A$5:$A$504,0))&amp;"","")="유지비",COUNTIF(계정대체기준!$A$6:$A$15,$N778)&gt;0),IFERROR(INDEX(계정대체기준!$E$6:$E$15,MATCH(VALUE($A778&amp;""),계정대체기준!$D$6:$D$15,0)),0),0))</f>
        <v/>
      </c>
      <c r="AH778" s="64">
        <f>IF($A778="","",IF(AD778=0,"",IF(OR(COUNTIF(계정대체기준!$A$77:$A$86,$N778)&gt;0,ISNUMBER(MATCH($X778,계정대체기준!$D$77:$D$86,0)),ISNUMBER(MATCH($F778,계정대체기준!$D$77:$D$86,0))),"Y","N")))</f>
        <v/>
      </c>
    </row>
    <row r="779">
      <c r="A779" s="92" t="n">
        <v>2025</v>
      </c>
      <c r="B779" s="92" t="n">
        <v>4</v>
      </c>
      <c r="C779" s="92" t="inlineStr">
        <is>
          <t>5100000775</t>
        </is>
      </c>
      <c r="D779" s="95" t="n">
        <v>45759</v>
      </c>
      <c r="E779" s="92" t="inlineStr">
        <is>
          <t>KR</t>
        </is>
      </c>
      <c r="F779" s="92" t="n">
        <v>62301000</v>
      </c>
      <c r="G779" s="92" t="n">
        <v>1201</v>
      </c>
      <c r="H779" s="93" t="n">
        <v>132000</v>
      </c>
      <c r="I779" s="92" t="inlineStr">
        <is>
          <t>4월 소모품 구입 - R문구</t>
        </is>
      </c>
      <c r="J779" s="92" t="inlineStr">
        <is>
          <t>V10022</t>
        </is>
      </c>
      <c r="K779" s="92" t="inlineStr">
        <is>
          <t>R문구</t>
        </is>
      </c>
      <c r="M779" s="9">
        <f>IF($A779="","",VALUE($A779&amp;"")*12+VALUE($B779&amp;""))</f>
        <v/>
      </c>
      <c r="N779" s="64">
        <f>IF($A779="","",IFERROR(INDEX(부서매핑!$C$5:$C$504,MATCH($G779&amp;"",부서매핑!$A$5:$A$504,0)),"미매핑"))</f>
        <v/>
      </c>
      <c r="O779" s="9">
        <f>IF($A779="","",N779&amp;"|"&amp;$F779)</f>
        <v/>
      </c>
      <c r="P779" s="94">
        <f>IF($A779="",0,$H779*설정!$C$23)</f>
        <v/>
      </c>
      <c r="Q779" s="64">
        <f>IF($A779="","",IF(O779&lt;&gt;원인분석!$C$9,"",IF(AND(M779&gt;=원인분석!$C$10,M779&lt;=원인분석!$C$11),"당기",IF(AND(M779&gt;=원인분석!$C$12,M779&lt;=원인분석!$C$13),"비교",""))))</f>
        <v/>
      </c>
      <c r="R779" s="9">
        <f>IF(Q779="","",$K779&amp;"")</f>
        <v/>
      </c>
      <c r="S779" s="9">
        <f>IF(Q779="","",IF(MATCH(R779,$R$5:$R$100000,0)=ROW()-4,ROW(),""))</f>
        <v/>
      </c>
      <c r="T779" s="9">
        <f>IF(Q779="당기",ABS(P779)+ROW()/1000000000,"")</f>
        <v/>
      </c>
      <c r="U779" s="9">
        <f>IF(Q779="비교",ABS(P779)+ROW()/1000000000,"")</f>
        <v/>
      </c>
      <c r="V779" s="64">
        <f>IF($A779="","",IF(COUNTIF(변동분석!$E$7:$E$506,O779)&gt;0,"Y","N"))</f>
        <v/>
      </c>
      <c r="W779" s="64">
        <f>IF($A779="","",IFERROR(INDEX(계정매핑!$D$5:$D$504,MATCH($F779&amp;"",계정매핑!$A$5:$A$504,0)),"미매핑"))</f>
        <v/>
      </c>
      <c r="X779" s="9">
        <f>IF($A779="","",$F779&amp;"")</f>
        <v/>
      </c>
      <c r="Y779" s="94">
        <f>IF($A779="",0,IF(AE779="직접",IF(AF779="비귀속",$P779,0),$P779*(1-AG779)*IFERROR(INDEX(계정대체기준!$F$20:$F$49,MATCH($N779,계정대체기준!$A$20:$A$49,0)),1)))</f>
        <v/>
      </c>
      <c r="Z779" s="94">
        <f>IF($A779="",0,IF(AE779="직접",IF(AF779="신계약비",$P779,0),$P779*(1-AG779)*IFERROR(INDEX(계정대체기준!$C$20:$C$49,MATCH($N779,계정대체기준!$A$20:$A$49,0)),0)))</f>
        <v/>
      </c>
      <c r="AA779" s="94">
        <f>IF($A779="",0,IF(AE779="직접",IF(OR(AF779="유지비",AF779="손해조사비"),$P779,0),$P779*(1-AG779)*IFERROR(INDEX(계정대체기준!$D$20:$D$49,MATCH($N779,계정대체기준!$A$20:$A$49,0)),0)))</f>
        <v/>
      </c>
      <c r="AB779" s="94">
        <f>IF($A779="",0,IF(AE779="직접",IF(AF779="수금비",$P779,0),$P779*(1-AG779)*IFERROR(INDEX(계정대체기준!$E$20:$E$49,MATCH($N779,계정대체기준!$A$20:$A$49,0)),0)))</f>
        <v/>
      </c>
      <c r="AC779" s="9">
        <f>IF(AND($A779&lt;&gt;"",M779=설정!$C$20,Z779&gt;0),Z779+ROW()/1000000000,"")</f>
        <v/>
      </c>
      <c r="AD779" s="94">
        <f>IF($A779="",0,$P779*AG779)</f>
        <v/>
      </c>
      <c r="AE779" s="64">
        <f>IF($A779="","",IFERROR(INDEX(계정매핑!$E$5:$E$504,MATCH($F779&amp;"",계정매핑!$A$5:$A$504,0))&amp;"","공통비"))</f>
        <v/>
      </c>
      <c r="AF779" s="64">
        <f>IF($A779="","",IF(AE779="직접",IFERROR(INDEX(계정매핑!$F$5:$F$504,MATCH($F779&amp;"",계정매핑!$A$5:$A$504,0))&amp;"","비귀속"),""))</f>
        <v/>
      </c>
      <c r="AG779" s="96">
        <f>IF($A779="",0,IF(AND(AE779&lt;&gt;"직접",IFERROR(INDEX(계정매핑!$G$5:$G$504,MATCH($F779&amp;"",계정매핑!$A$5:$A$504,0))&amp;"","")="유지비",COUNTIF(계정대체기준!$A$6:$A$15,$N779)&gt;0),IFERROR(INDEX(계정대체기준!$E$6:$E$15,MATCH(VALUE($A779&amp;""),계정대체기준!$D$6:$D$15,0)),0),0))</f>
        <v/>
      </c>
      <c r="AH779" s="64">
        <f>IF($A779="","",IF(AD779=0,"",IF(OR(COUNTIF(계정대체기준!$A$77:$A$86,$N779)&gt;0,ISNUMBER(MATCH($X779,계정대체기준!$D$77:$D$86,0)),ISNUMBER(MATCH($F779,계정대체기준!$D$77:$D$86,0))),"Y","N")))</f>
        <v/>
      </c>
    </row>
    <row r="780">
      <c r="A780" s="92" t="n">
        <v>2025</v>
      </c>
      <c r="B780" s="92" t="n">
        <v>4</v>
      </c>
      <c r="C780" s="92" t="inlineStr">
        <is>
          <t>5100000776</t>
        </is>
      </c>
      <c r="D780" s="95" t="n">
        <v>45759</v>
      </c>
      <c r="E780" s="92" t="inlineStr">
        <is>
          <t>KR</t>
        </is>
      </c>
      <c r="F780" s="92" t="n">
        <v>62601000</v>
      </c>
      <c r="G780" s="92" t="n">
        <v>1301</v>
      </c>
      <c r="H780" s="93" t="n">
        <v>623000</v>
      </c>
      <c r="I780" s="92" t="inlineStr">
        <is>
          <t>4월 업무추진 - (법인카드)</t>
        </is>
      </c>
      <c r="J780" s="92" t="inlineStr">
        <is>
          <t>V10010</t>
        </is>
      </c>
      <c r="K780" s="92" t="inlineStr">
        <is>
          <t>(법인카드)</t>
        </is>
      </c>
      <c r="M780" s="9">
        <f>IF($A780="","",VALUE($A780&amp;"")*12+VALUE($B780&amp;""))</f>
        <v/>
      </c>
      <c r="N780" s="64">
        <f>IF($A780="","",IFERROR(INDEX(부서매핑!$C$5:$C$504,MATCH($G780&amp;"",부서매핑!$A$5:$A$504,0)),"미매핑"))</f>
        <v/>
      </c>
      <c r="O780" s="9">
        <f>IF($A780="","",N780&amp;"|"&amp;$F780)</f>
        <v/>
      </c>
      <c r="P780" s="94">
        <f>IF($A780="",0,$H780*설정!$C$23)</f>
        <v/>
      </c>
      <c r="Q780" s="64">
        <f>IF($A780="","",IF(O780&lt;&gt;원인분석!$C$9,"",IF(AND(M780&gt;=원인분석!$C$10,M780&lt;=원인분석!$C$11),"당기",IF(AND(M780&gt;=원인분석!$C$12,M780&lt;=원인분석!$C$13),"비교",""))))</f>
        <v/>
      </c>
      <c r="R780" s="9">
        <f>IF(Q780="","",$K780&amp;"")</f>
        <v/>
      </c>
      <c r="S780" s="9">
        <f>IF(Q780="","",IF(MATCH(R780,$R$5:$R$100000,0)=ROW()-4,ROW(),""))</f>
        <v/>
      </c>
      <c r="T780" s="9">
        <f>IF(Q780="당기",ABS(P780)+ROW()/1000000000,"")</f>
        <v/>
      </c>
      <c r="U780" s="9">
        <f>IF(Q780="비교",ABS(P780)+ROW()/1000000000,"")</f>
        <v/>
      </c>
      <c r="V780" s="64">
        <f>IF($A780="","",IF(COUNTIF(변동분석!$E$7:$E$506,O780)&gt;0,"Y","N"))</f>
        <v/>
      </c>
      <c r="W780" s="64">
        <f>IF($A780="","",IFERROR(INDEX(계정매핑!$D$5:$D$504,MATCH($F780&amp;"",계정매핑!$A$5:$A$504,0)),"미매핑"))</f>
        <v/>
      </c>
      <c r="X780" s="9">
        <f>IF($A780="","",$F780&amp;"")</f>
        <v/>
      </c>
      <c r="Y780" s="94">
        <f>IF($A780="",0,IF(AE780="직접",IF(AF780="비귀속",$P780,0),$P780*(1-AG780)*IFERROR(INDEX(계정대체기준!$F$20:$F$49,MATCH($N780,계정대체기준!$A$20:$A$49,0)),1)))</f>
        <v/>
      </c>
      <c r="Z780" s="94">
        <f>IF($A780="",0,IF(AE780="직접",IF(AF780="신계약비",$P780,0),$P780*(1-AG780)*IFERROR(INDEX(계정대체기준!$C$20:$C$49,MATCH($N780,계정대체기준!$A$20:$A$49,0)),0)))</f>
        <v/>
      </c>
      <c r="AA780" s="94">
        <f>IF($A780="",0,IF(AE780="직접",IF(OR(AF780="유지비",AF780="손해조사비"),$P780,0),$P780*(1-AG780)*IFERROR(INDEX(계정대체기준!$D$20:$D$49,MATCH($N780,계정대체기준!$A$20:$A$49,0)),0)))</f>
        <v/>
      </c>
      <c r="AB780" s="94">
        <f>IF($A780="",0,IF(AE780="직접",IF(AF780="수금비",$P780,0),$P780*(1-AG780)*IFERROR(INDEX(계정대체기준!$E$20:$E$49,MATCH($N780,계정대체기준!$A$20:$A$49,0)),0)))</f>
        <v/>
      </c>
      <c r="AC780" s="9">
        <f>IF(AND($A780&lt;&gt;"",M780=설정!$C$20,Z780&gt;0),Z780+ROW()/1000000000,"")</f>
        <v/>
      </c>
      <c r="AD780" s="94">
        <f>IF($A780="",0,$P780*AG780)</f>
        <v/>
      </c>
      <c r="AE780" s="64">
        <f>IF($A780="","",IFERROR(INDEX(계정매핑!$E$5:$E$504,MATCH($F780&amp;"",계정매핑!$A$5:$A$504,0))&amp;"","공통비"))</f>
        <v/>
      </c>
      <c r="AF780" s="64">
        <f>IF($A780="","",IF(AE780="직접",IFERROR(INDEX(계정매핑!$F$5:$F$504,MATCH($F780&amp;"",계정매핑!$A$5:$A$504,0))&amp;"","비귀속"),""))</f>
        <v/>
      </c>
      <c r="AG780" s="96">
        <f>IF($A780="",0,IF(AND(AE780&lt;&gt;"직접",IFERROR(INDEX(계정매핑!$G$5:$G$504,MATCH($F780&amp;"",계정매핑!$A$5:$A$504,0))&amp;"","")="유지비",COUNTIF(계정대체기준!$A$6:$A$15,$N780)&gt;0),IFERROR(INDEX(계정대체기준!$E$6:$E$15,MATCH(VALUE($A780&amp;""),계정대체기준!$D$6:$D$15,0)),0),0))</f>
        <v/>
      </c>
      <c r="AH780" s="64">
        <f>IF($A780="","",IF(AD780=0,"",IF(OR(COUNTIF(계정대체기준!$A$77:$A$86,$N780)&gt;0,ISNUMBER(MATCH($X780,계정대체기준!$D$77:$D$86,0)),ISNUMBER(MATCH($F780,계정대체기준!$D$77:$D$86,0))),"Y","N")))</f>
        <v/>
      </c>
    </row>
    <row r="781">
      <c r="A781" s="92" t="n">
        <v>2025</v>
      </c>
      <c r="B781" s="92" t="n">
        <v>4</v>
      </c>
      <c r="C781" s="92" t="inlineStr">
        <is>
          <t>5100000777</t>
        </is>
      </c>
      <c r="D781" s="95" t="n">
        <v>45759</v>
      </c>
      <c r="E781" s="92" t="inlineStr">
        <is>
          <t>KR</t>
        </is>
      </c>
      <c r="F781" s="92" t="n">
        <v>62902000</v>
      </c>
      <c r="G781" s="92" t="n">
        <v>1101</v>
      </c>
      <c r="H781" s="93" t="n">
        <v>1347000</v>
      </c>
      <c r="I781" s="92" t="inlineStr">
        <is>
          <t>4월 업무 위탁 수수료 - X서비스</t>
        </is>
      </c>
      <c r="J781" s="92" t="inlineStr">
        <is>
          <t>V10020</t>
        </is>
      </c>
      <c r="K781" s="92" t="inlineStr">
        <is>
          <t>X서비스</t>
        </is>
      </c>
      <c r="M781" s="9">
        <f>IF($A781="","",VALUE($A781&amp;"")*12+VALUE($B781&amp;""))</f>
        <v/>
      </c>
      <c r="N781" s="64">
        <f>IF($A781="","",IFERROR(INDEX(부서매핑!$C$5:$C$504,MATCH($G781&amp;"",부서매핑!$A$5:$A$504,0)),"미매핑"))</f>
        <v/>
      </c>
      <c r="O781" s="9">
        <f>IF($A781="","",N781&amp;"|"&amp;$F781)</f>
        <v/>
      </c>
      <c r="P781" s="94">
        <f>IF($A781="",0,$H781*설정!$C$23)</f>
        <v/>
      </c>
      <c r="Q781" s="64">
        <f>IF($A781="","",IF(O781&lt;&gt;원인분석!$C$9,"",IF(AND(M781&gt;=원인분석!$C$10,M781&lt;=원인분석!$C$11),"당기",IF(AND(M781&gt;=원인분석!$C$12,M781&lt;=원인분석!$C$13),"비교",""))))</f>
        <v/>
      </c>
      <c r="R781" s="9">
        <f>IF(Q781="","",$K781&amp;"")</f>
        <v/>
      </c>
      <c r="S781" s="9">
        <f>IF(Q781="","",IF(MATCH(R781,$R$5:$R$100000,0)=ROW()-4,ROW(),""))</f>
        <v/>
      </c>
      <c r="T781" s="9">
        <f>IF(Q781="당기",ABS(P781)+ROW()/1000000000,"")</f>
        <v/>
      </c>
      <c r="U781" s="9">
        <f>IF(Q781="비교",ABS(P781)+ROW()/1000000000,"")</f>
        <v/>
      </c>
      <c r="V781" s="64">
        <f>IF($A781="","",IF(COUNTIF(변동분석!$E$7:$E$506,O781)&gt;0,"Y","N"))</f>
        <v/>
      </c>
      <c r="W781" s="64">
        <f>IF($A781="","",IFERROR(INDEX(계정매핑!$D$5:$D$504,MATCH($F781&amp;"",계정매핑!$A$5:$A$504,0)),"미매핑"))</f>
        <v/>
      </c>
      <c r="X781" s="9">
        <f>IF($A781="","",$F781&amp;"")</f>
        <v/>
      </c>
      <c r="Y781" s="94">
        <f>IF($A781="",0,IF(AE781="직접",IF(AF781="비귀속",$P781,0),$P781*(1-AG781)*IFERROR(INDEX(계정대체기준!$F$20:$F$49,MATCH($N781,계정대체기준!$A$20:$A$49,0)),1)))</f>
        <v/>
      </c>
      <c r="Z781" s="94">
        <f>IF($A781="",0,IF(AE781="직접",IF(AF781="신계약비",$P781,0),$P781*(1-AG781)*IFERROR(INDEX(계정대체기준!$C$20:$C$49,MATCH($N781,계정대체기준!$A$20:$A$49,0)),0)))</f>
        <v/>
      </c>
      <c r="AA781" s="94">
        <f>IF($A781="",0,IF(AE781="직접",IF(OR(AF781="유지비",AF781="손해조사비"),$P781,0),$P781*(1-AG781)*IFERROR(INDEX(계정대체기준!$D$20:$D$49,MATCH($N781,계정대체기준!$A$20:$A$49,0)),0)))</f>
        <v/>
      </c>
      <c r="AB781" s="94">
        <f>IF($A781="",0,IF(AE781="직접",IF(AF781="수금비",$P781,0),$P781*(1-AG781)*IFERROR(INDEX(계정대체기준!$E$20:$E$49,MATCH($N781,계정대체기준!$A$20:$A$49,0)),0)))</f>
        <v/>
      </c>
      <c r="AC781" s="9">
        <f>IF(AND($A781&lt;&gt;"",M781=설정!$C$20,Z781&gt;0),Z781+ROW()/1000000000,"")</f>
        <v/>
      </c>
      <c r="AD781" s="94">
        <f>IF($A781="",0,$P781*AG781)</f>
        <v/>
      </c>
      <c r="AE781" s="64">
        <f>IF($A781="","",IFERROR(INDEX(계정매핑!$E$5:$E$504,MATCH($F781&amp;"",계정매핑!$A$5:$A$504,0))&amp;"","공통비"))</f>
        <v/>
      </c>
      <c r="AF781" s="64">
        <f>IF($A781="","",IF(AE781="직접",IFERROR(INDEX(계정매핑!$F$5:$F$504,MATCH($F781&amp;"",계정매핑!$A$5:$A$504,0))&amp;"","비귀속"),""))</f>
        <v/>
      </c>
      <c r="AG781" s="96">
        <f>IF($A781="",0,IF(AND(AE781&lt;&gt;"직접",IFERROR(INDEX(계정매핑!$G$5:$G$504,MATCH($F781&amp;"",계정매핑!$A$5:$A$504,0))&amp;"","")="유지비",COUNTIF(계정대체기준!$A$6:$A$15,$N781)&gt;0),IFERROR(INDEX(계정대체기준!$E$6:$E$15,MATCH(VALUE($A781&amp;""),계정대체기준!$D$6:$D$15,0)),0),0))</f>
        <v/>
      </c>
      <c r="AH781" s="64">
        <f>IF($A781="","",IF(AD781=0,"",IF(OR(COUNTIF(계정대체기준!$A$77:$A$86,$N781)&gt;0,ISNUMBER(MATCH($X781,계정대체기준!$D$77:$D$86,0)),ISNUMBER(MATCH($F781,계정대체기준!$D$77:$D$86,0))),"Y","N")))</f>
        <v/>
      </c>
    </row>
    <row r="782">
      <c r="A782" s="92" t="n">
        <v>2025</v>
      </c>
      <c r="B782" s="92" t="n">
        <v>4</v>
      </c>
      <c r="C782" s="92" t="inlineStr">
        <is>
          <t>5100000778</t>
        </is>
      </c>
      <c r="D782" s="95" t="n">
        <v>45759</v>
      </c>
      <c r="E782" s="92" t="inlineStr">
        <is>
          <t>KR</t>
        </is>
      </c>
      <c r="F782" s="92" t="n">
        <v>63101000</v>
      </c>
      <c r="G782" s="92" t="n">
        <v>1601</v>
      </c>
      <c r="H782" s="93" t="n">
        <v>3467000</v>
      </c>
      <c r="I782" s="92" t="inlineStr">
        <is>
          <t>4월 사무실 임차료 - AA빌딩</t>
        </is>
      </c>
      <c r="J782" s="92" t="inlineStr">
        <is>
          <t>V10007</t>
        </is>
      </c>
      <c r="K782" s="92" t="inlineStr">
        <is>
          <t>AA빌딩</t>
        </is>
      </c>
      <c r="M782" s="9">
        <f>IF($A782="","",VALUE($A782&amp;"")*12+VALUE($B782&amp;""))</f>
        <v/>
      </c>
      <c r="N782" s="64">
        <f>IF($A782="","",IFERROR(INDEX(부서매핑!$C$5:$C$504,MATCH($G782&amp;"",부서매핑!$A$5:$A$504,0)),"미매핑"))</f>
        <v/>
      </c>
      <c r="O782" s="9">
        <f>IF($A782="","",N782&amp;"|"&amp;$F782)</f>
        <v/>
      </c>
      <c r="P782" s="94">
        <f>IF($A782="",0,$H782*설정!$C$23)</f>
        <v/>
      </c>
      <c r="Q782" s="64">
        <f>IF($A782="","",IF(O782&lt;&gt;원인분석!$C$9,"",IF(AND(M782&gt;=원인분석!$C$10,M782&lt;=원인분석!$C$11),"당기",IF(AND(M782&gt;=원인분석!$C$12,M782&lt;=원인분석!$C$13),"비교",""))))</f>
        <v/>
      </c>
      <c r="R782" s="9">
        <f>IF(Q782="","",$K782&amp;"")</f>
        <v/>
      </c>
      <c r="S782" s="9">
        <f>IF(Q782="","",IF(MATCH(R782,$R$5:$R$100000,0)=ROW()-4,ROW(),""))</f>
        <v/>
      </c>
      <c r="T782" s="9">
        <f>IF(Q782="당기",ABS(P782)+ROW()/1000000000,"")</f>
        <v/>
      </c>
      <c r="U782" s="9">
        <f>IF(Q782="비교",ABS(P782)+ROW()/1000000000,"")</f>
        <v/>
      </c>
      <c r="V782" s="64">
        <f>IF($A782="","",IF(COUNTIF(변동분석!$E$7:$E$506,O782)&gt;0,"Y","N"))</f>
        <v/>
      </c>
      <c r="W782" s="64">
        <f>IF($A782="","",IFERROR(INDEX(계정매핑!$D$5:$D$504,MATCH($F782&amp;"",계정매핑!$A$5:$A$504,0)),"미매핑"))</f>
        <v/>
      </c>
      <c r="X782" s="9">
        <f>IF($A782="","",$F782&amp;"")</f>
        <v/>
      </c>
      <c r="Y782" s="94">
        <f>IF($A782="",0,IF(AE782="직접",IF(AF782="비귀속",$P782,0),$P782*(1-AG782)*IFERROR(INDEX(계정대체기준!$F$20:$F$49,MATCH($N782,계정대체기준!$A$20:$A$49,0)),1)))</f>
        <v/>
      </c>
      <c r="Z782" s="94">
        <f>IF($A782="",0,IF(AE782="직접",IF(AF782="신계약비",$P782,0),$P782*(1-AG782)*IFERROR(INDEX(계정대체기준!$C$20:$C$49,MATCH($N782,계정대체기준!$A$20:$A$49,0)),0)))</f>
        <v/>
      </c>
      <c r="AA782" s="94">
        <f>IF($A782="",0,IF(AE782="직접",IF(OR(AF782="유지비",AF782="손해조사비"),$P782,0),$P782*(1-AG782)*IFERROR(INDEX(계정대체기준!$D$20:$D$49,MATCH($N782,계정대체기준!$A$20:$A$49,0)),0)))</f>
        <v/>
      </c>
      <c r="AB782" s="94">
        <f>IF($A782="",0,IF(AE782="직접",IF(AF782="수금비",$P782,0),$P782*(1-AG782)*IFERROR(INDEX(계정대체기준!$E$20:$E$49,MATCH($N782,계정대체기준!$A$20:$A$49,0)),0)))</f>
        <v/>
      </c>
      <c r="AC782" s="9">
        <f>IF(AND($A782&lt;&gt;"",M782=설정!$C$20,Z782&gt;0),Z782+ROW()/1000000000,"")</f>
        <v/>
      </c>
      <c r="AD782" s="94">
        <f>IF($A782="",0,$P782*AG782)</f>
        <v/>
      </c>
      <c r="AE782" s="64">
        <f>IF($A782="","",IFERROR(INDEX(계정매핑!$E$5:$E$504,MATCH($F782&amp;"",계정매핑!$A$5:$A$504,0))&amp;"","공통비"))</f>
        <v/>
      </c>
      <c r="AF782" s="64">
        <f>IF($A782="","",IF(AE782="직접",IFERROR(INDEX(계정매핑!$F$5:$F$504,MATCH($F782&amp;"",계정매핑!$A$5:$A$504,0))&amp;"","비귀속"),""))</f>
        <v/>
      </c>
      <c r="AG782" s="96">
        <f>IF($A782="",0,IF(AND(AE782&lt;&gt;"직접",IFERROR(INDEX(계정매핑!$G$5:$G$504,MATCH($F782&amp;"",계정매핑!$A$5:$A$504,0))&amp;"","")="유지비",COUNTIF(계정대체기준!$A$6:$A$15,$N782)&gt;0),IFERROR(INDEX(계정대체기준!$E$6:$E$15,MATCH(VALUE($A782&amp;""),계정대체기준!$D$6:$D$15,0)),0),0))</f>
        <v/>
      </c>
      <c r="AH782" s="64">
        <f>IF($A782="","",IF(AD782=0,"",IF(OR(COUNTIF(계정대체기준!$A$77:$A$86,$N782)&gt;0,ISNUMBER(MATCH($X782,계정대체기준!$D$77:$D$86,0)),ISNUMBER(MATCH($F782,계정대체기준!$D$77:$D$86,0))),"Y","N")))</f>
        <v/>
      </c>
    </row>
    <row r="783">
      <c r="A783" s="92" t="n">
        <v>2025</v>
      </c>
      <c r="B783" s="92" t="n">
        <v>4</v>
      </c>
      <c r="C783" s="92" t="inlineStr">
        <is>
          <t>5100000779</t>
        </is>
      </c>
      <c r="D783" s="95" t="n">
        <v>45759</v>
      </c>
      <c r="E783" s="92" t="inlineStr">
        <is>
          <t>KR</t>
        </is>
      </c>
      <c r="F783" s="92" t="n">
        <v>63501000</v>
      </c>
      <c r="G783" s="92" t="n">
        <v>1902</v>
      </c>
      <c r="H783" s="93" t="n">
        <v>353853000</v>
      </c>
      <c r="I783" s="92" t="inlineStr">
        <is>
          <t>4월 모집수수료 - BB에셋</t>
        </is>
      </c>
      <c r="J783" s="92" t="inlineStr">
        <is>
          <t>V10013</t>
        </is>
      </c>
      <c r="K783" s="92" t="inlineStr">
        <is>
          <t>BB에셋</t>
        </is>
      </c>
      <c r="M783" s="9">
        <f>IF($A783="","",VALUE($A783&amp;"")*12+VALUE($B783&amp;""))</f>
        <v/>
      </c>
      <c r="N783" s="64">
        <f>IF($A783="","",IFERROR(INDEX(부서매핑!$C$5:$C$504,MATCH($G783&amp;"",부서매핑!$A$5:$A$504,0)),"미매핑"))</f>
        <v/>
      </c>
      <c r="O783" s="9">
        <f>IF($A783="","",N783&amp;"|"&amp;$F783)</f>
        <v/>
      </c>
      <c r="P783" s="94">
        <f>IF($A783="",0,$H783*설정!$C$23)</f>
        <v/>
      </c>
      <c r="Q783" s="64">
        <f>IF($A783="","",IF(O783&lt;&gt;원인분석!$C$9,"",IF(AND(M783&gt;=원인분석!$C$10,M783&lt;=원인분석!$C$11),"당기",IF(AND(M783&gt;=원인분석!$C$12,M783&lt;=원인분석!$C$13),"비교",""))))</f>
        <v/>
      </c>
      <c r="R783" s="9">
        <f>IF(Q783="","",$K783&amp;"")</f>
        <v/>
      </c>
      <c r="S783" s="9">
        <f>IF(Q783="","",IF(MATCH(R783,$R$5:$R$100000,0)=ROW()-4,ROW(),""))</f>
        <v/>
      </c>
      <c r="T783" s="9">
        <f>IF(Q783="당기",ABS(P783)+ROW()/1000000000,"")</f>
        <v/>
      </c>
      <c r="U783" s="9">
        <f>IF(Q783="비교",ABS(P783)+ROW()/1000000000,"")</f>
        <v/>
      </c>
      <c r="V783" s="64">
        <f>IF($A783="","",IF(COUNTIF(변동분석!$E$7:$E$506,O783)&gt;0,"Y","N"))</f>
        <v/>
      </c>
      <c r="W783" s="64">
        <f>IF($A783="","",IFERROR(INDEX(계정매핑!$D$5:$D$504,MATCH($F783&amp;"",계정매핑!$A$5:$A$504,0)),"미매핑"))</f>
        <v/>
      </c>
      <c r="X783" s="9">
        <f>IF($A783="","",$F783&amp;"")</f>
        <v/>
      </c>
      <c r="Y783" s="94">
        <f>IF($A783="",0,IF(AE783="직접",IF(AF783="비귀속",$P783,0),$P783*(1-AG783)*IFERROR(INDEX(계정대체기준!$F$20:$F$49,MATCH($N783,계정대체기준!$A$20:$A$49,0)),1)))</f>
        <v/>
      </c>
      <c r="Z783" s="94">
        <f>IF($A783="",0,IF(AE783="직접",IF(AF783="신계약비",$P783,0),$P783*(1-AG783)*IFERROR(INDEX(계정대체기준!$C$20:$C$49,MATCH($N783,계정대체기준!$A$20:$A$49,0)),0)))</f>
        <v/>
      </c>
      <c r="AA783" s="94">
        <f>IF($A783="",0,IF(AE783="직접",IF(OR(AF783="유지비",AF783="손해조사비"),$P783,0),$P783*(1-AG783)*IFERROR(INDEX(계정대체기준!$D$20:$D$49,MATCH($N783,계정대체기준!$A$20:$A$49,0)),0)))</f>
        <v/>
      </c>
      <c r="AB783" s="94">
        <f>IF($A783="",0,IF(AE783="직접",IF(AF783="수금비",$P783,0),$P783*(1-AG783)*IFERROR(INDEX(계정대체기준!$E$20:$E$49,MATCH($N783,계정대체기준!$A$20:$A$49,0)),0)))</f>
        <v/>
      </c>
      <c r="AC783" s="9">
        <f>IF(AND($A783&lt;&gt;"",M783=설정!$C$20,Z783&gt;0),Z783+ROW()/1000000000,"")</f>
        <v/>
      </c>
      <c r="AD783" s="94">
        <f>IF($A783="",0,$P783*AG783)</f>
        <v/>
      </c>
      <c r="AE783" s="64">
        <f>IF($A783="","",IFERROR(INDEX(계정매핑!$E$5:$E$504,MATCH($F783&amp;"",계정매핑!$A$5:$A$504,0))&amp;"","공통비"))</f>
        <v/>
      </c>
      <c r="AF783" s="64">
        <f>IF($A783="","",IF(AE783="직접",IFERROR(INDEX(계정매핑!$F$5:$F$504,MATCH($F783&amp;"",계정매핑!$A$5:$A$504,0))&amp;"","비귀속"),""))</f>
        <v/>
      </c>
      <c r="AG783" s="96">
        <f>IF($A783="",0,IF(AND(AE783&lt;&gt;"직접",IFERROR(INDEX(계정매핑!$G$5:$G$504,MATCH($F783&amp;"",계정매핑!$A$5:$A$504,0))&amp;"","")="유지비",COUNTIF(계정대체기준!$A$6:$A$15,$N783)&gt;0),IFERROR(INDEX(계정대체기준!$E$6:$E$15,MATCH(VALUE($A783&amp;""),계정대체기준!$D$6:$D$15,0)),0),0))</f>
        <v/>
      </c>
      <c r="AH783" s="64">
        <f>IF($A783="","",IF(AD783=0,"",IF(OR(COUNTIF(계정대체기준!$A$77:$A$86,$N783)&gt;0,ISNUMBER(MATCH($X783,계정대체기준!$D$77:$D$86,0)),ISNUMBER(MATCH($F783,계정대체기준!$D$77:$D$86,0))),"Y","N")))</f>
        <v/>
      </c>
    </row>
    <row r="784">
      <c r="A784" s="92" t="n">
        <v>2025</v>
      </c>
      <c r="B784" s="92" t="n">
        <v>4</v>
      </c>
      <c r="C784" s="92" t="inlineStr">
        <is>
          <t>5100000780</t>
        </is>
      </c>
      <c r="D784" s="95" t="n">
        <v>45760</v>
      </c>
      <c r="E784" s="92" t="inlineStr">
        <is>
          <t>KR</t>
        </is>
      </c>
      <c r="F784" s="92" t="n">
        <v>62102000</v>
      </c>
      <c r="G784" s="92" t="n">
        <v>1201</v>
      </c>
      <c r="H784" s="93" t="n">
        <v>43000</v>
      </c>
      <c r="I784" s="92" t="inlineStr">
        <is>
          <t>4월 해외출장 - M항공</t>
        </is>
      </c>
      <c r="J784" s="92" t="inlineStr">
        <is>
          <t>V10001</t>
        </is>
      </c>
      <c r="K784" s="92" t="inlineStr">
        <is>
          <t>M항공</t>
        </is>
      </c>
      <c r="M784" s="9">
        <f>IF($A784="","",VALUE($A784&amp;"")*12+VALUE($B784&amp;""))</f>
        <v/>
      </c>
      <c r="N784" s="64">
        <f>IF($A784="","",IFERROR(INDEX(부서매핑!$C$5:$C$504,MATCH($G784&amp;"",부서매핑!$A$5:$A$504,0)),"미매핑"))</f>
        <v/>
      </c>
      <c r="O784" s="9">
        <f>IF($A784="","",N784&amp;"|"&amp;$F784)</f>
        <v/>
      </c>
      <c r="P784" s="94">
        <f>IF($A784="",0,$H784*설정!$C$23)</f>
        <v/>
      </c>
      <c r="Q784" s="64">
        <f>IF($A784="","",IF(O784&lt;&gt;원인분석!$C$9,"",IF(AND(M784&gt;=원인분석!$C$10,M784&lt;=원인분석!$C$11),"당기",IF(AND(M784&gt;=원인분석!$C$12,M784&lt;=원인분석!$C$13),"비교",""))))</f>
        <v/>
      </c>
      <c r="R784" s="9">
        <f>IF(Q784="","",$K784&amp;"")</f>
        <v/>
      </c>
      <c r="S784" s="9">
        <f>IF(Q784="","",IF(MATCH(R784,$R$5:$R$100000,0)=ROW()-4,ROW(),""))</f>
        <v/>
      </c>
      <c r="T784" s="9">
        <f>IF(Q784="당기",ABS(P784)+ROW()/1000000000,"")</f>
        <v/>
      </c>
      <c r="U784" s="9">
        <f>IF(Q784="비교",ABS(P784)+ROW()/1000000000,"")</f>
        <v/>
      </c>
      <c r="V784" s="64">
        <f>IF($A784="","",IF(COUNTIF(변동분석!$E$7:$E$506,O784)&gt;0,"Y","N"))</f>
        <v/>
      </c>
      <c r="W784" s="64">
        <f>IF($A784="","",IFERROR(INDEX(계정매핑!$D$5:$D$504,MATCH($F784&amp;"",계정매핑!$A$5:$A$504,0)),"미매핑"))</f>
        <v/>
      </c>
      <c r="X784" s="9">
        <f>IF($A784="","",$F784&amp;"")</f>
        <v/>
      </c>
      <c r="Y784" s="94">
        <f>IF($A784="",0,IF(AE784="직접",IF(AF784="비귀속",$P784,0),$P784*(1-AG784)*IFERROR(INDEX(계정대체기준!$F$20:$F$49,MATCH($N784,계정대체기준!$A$20:$A$49,0)),1)))</f>
        <v/>
      </c>
      <c r="Z784" s="94">
        <f>IF($A784="",0,IF(AE784="직접",IF(AF784="신계약비",$P784,0),$P784*(1-AG784)*IFERROR(INDEX(계정대체기준!$C$20:$C$49,MATCH($N784,계정대체기준!$A$20:$A$49,0)),0)))</f>
        <v/>
      </c>
      <c r="AA784" s="94">
        <f>IF($A784="",0,IF(AE784="직접",IF(OR(AF784="유지비",AF784="손해조사비"),$P784,0),$P784*(1-AG784)*IFERROR(INDEX(계정대체기준!$D$20:$D$49,MATCH($N784,계정대체기준!$A$20:$A$49,0)),0)))</f>
        <v/>
      </c>
      <c r="AB784" s="94">
        <f>IF($A784="",0,IF(AE784="직접",IF(AF784="수금비",$P784,0),$P784*(1-AG784)*IFERROR(INDEX(계정대체기준!$E$20:$E$49,MATCH($N784,계정대체기준!$A$20:$A$49,0)),0)))</f>
        <v/>
      </c>
      <c r="AC784" s="9">
        <f>IF(AND($A784&lt;&gt;"",M784=설정!$C$20,Z784&gt;0),Z784+ROW()/1000000000,"")</f>
        <v/>
      </c>
      <c r="AD784" s="94">
        <f>IF($A784="",0,$P784*AG784)</f>
        <v/>
      </c>
      <c r="AE784" s="64">
        <f>IF($A784="","",IFERROR(INDEX(계정매핑!$E$5:$E$504,MATCH($F784&amp;"",계정매핑!$A$5:$A$504,0))&amp;"","공통비"))</f>
        <v/>
      </c>
      <c r="AF784" s="64">
        <f>IF($A784="","",IF(AE784="직접",IFERROR(INDEX(계정매핑!$F$5:$F$504,MATCH($F784&amp;"",계정매핑!$A$5:$A$504,0))&amp;"","비귀속"),""))</f>
        <v/>
      </c>
      <c r="AG784" s="96">
        <f>IF($A784="",0,IF(AND(AE784&lt;&gt;"직접",IFERROR(INDEX(계정매핑!$G$5:$G$504,MATCH($F784&amp;"",계정매핑!$A$5:$A$504,0))&amp;"","")="유지비",COUNTIF(계정대체기준!$A$6:$A$15,$N784)&gt;0),IFERROR(INDEX(계정대체기준!$E$6:$E$15,MATCH(VALUE($A784&amp;""),계정대체기준!$D$6:$D$15,0)),0),0))</f>
        <v/>
      </c>
      <c r="AH784" s="64">
        <f>IF($A784="","",IF(AD784=0,"",IF(OR(COUNTIF(계정대체기준!$A$77:$A$86,$N784)&gt;0,ISNUMBER(MATCH($X784,계정대체기준!$D$77:$D$86,0)),ISNUMBER(MATCH($F784,계정대체기준!$D$77:$D$86,0))),"Y","N")))</f>
        <v/>
      </c>
    </row>
    <row r="785">
      <c r="A785" s="92" t="n">
        <v>2025</v>
      </c>
      <c r="B785" s="92" t="n">
        <v>4</v>
      </c>
      <c r="C785" s="92" t="inlineStr">
        <is>
          <t>5100000781</t>
        </is>
      </c>
      <c r="D785" s="95" t="n">
        <v>45760</v>
      </c>
      <c r="E785" s="92" t="inlineStr">
        <is>
          <t>KR</t>
        </is>
      </c>
      <c r="F785" s="92" t="n">
        <v>62102000</v>
      </c>
      <c r="G785" s="92" t="n">
        <v>1501</v>
      </c>
      <c r="H785" s="93" t="n">
        <v>84000</v>
      </c>
      <c r="I785" s="92" t="inlineStr">
        <is>
          <t>4월 해외출장 - N호텔</t>
        </is>
      </c>
      <c r="J785" s="92" t="inlineStr">
        <is>
          <t>V10009</t>
        </is>
      </c>
      <c r="K785" s="92" t="inlineStr">
        <is>
          <t>N호텔</t>
        </is>
      </c>
      <c r="M785" s="9">
        <f>IF($A785="","",VALUE($A785&amp;"")*12+VALUE($B785&amp;""))</f>
        <v/>
      </c>
      <c r="N785" s="64">
        <f>IF($A785="","",IFERROR(INDEX(부서매핑!$C$5:$C$504,MATCH($G785&amp;"",부서매핑!$A$5:$A$504,0)),"미매핑"))</f>
        <v/>
      </c>
      <c r="O785" s="9">
        <f>IF($A785="","",N785&amp;"|"&amp;$F785)</f>
        <v/>
      </c>
      <c r="P785" s="94">
        <f>IF($A785="",0,$H785*설정!$C$23)</f>
        <v/>
      </c>
      <c r="Q785" s="64">
        <f>IF($A785="","",IF(O785&lt;&gt;원인분석!$C$9,"",IF(AND(M785&gt;=원인분석!$C$10,M785&lt;=원인분석!$C$11),"당기",IF(AND(M785&gt;=원인분석!$C$12,M785&lt;=원인분석!$C$13),"비교",""))))</f>
        <v/>
      </c>
      <c r="R785" s="9">
        <f>IF(Q785="","",$K785&amp;"")</f>
        <v/>
      </c>
      <c r="S785" s="9">
        <f>IF(Q785="","",IF(MATCH(R785,$R$5:$R$100000,0)=ROW()-4,ROW(),""))</f>
        <v/>
      </c>
      <c r="T785" s="9">
        <f>IF(Q785="당기",ABS(P785)+ROW()/1000000000,"")</f>
        <v/>
      </c>
      <c r="U785" s="9">
        <f>IF(Q785="비교",ABS(P785)+ROW()/1000000000,"")</f>
        <v/>
      </c>
      <c r="V785" s="64">
        <f>IF($A785="","",IF(COUNTIF(변동분석!$E$7:$E$506,O785)&gt;0,"Y","N"))</f>
        <v/>
      </c>
      <c r="W785" s="64">
        <f>IF($A785="","",IFERROR(INDEX(계정매핑!$D$5:$D$504,MATCH($F785&amp;"",계정매핑!$A$5:$A$504,0)),"미매핑"))</f>
        <v/>
      </c>
      <c r="X785" s="9">
        <f>IF($A785="","",$F785&amp;"")</f>
        <v/>
      </c>
      <c r="Y785" s="94">
        <f>IF($A785="",0,IF(AE785="직접",IF(AF785="비귀속",$P785,0),$P785*(1-AG785)*IFERROR(INDEX(계정대체기준!$F$20:$F$49,MATCH($N785,계정대체기준!$A$20:$A$49,0)),1)))</f>
        <v/>
      </c>
      <c r="Z785" s="94">
        <f>IF($A785="",0,IF(AE785="직접",IF(AF785="신계약비",$P785,0),$P785*(1-AG785)*IFERROR(INDEX(계정대체기준!$C$20:$C$49,MATCH($N785,계정대체기준!$A$20:$A$49,0)),0)))</f>
        <v/>
      </c>
      <c r="AA785" s="94">
        <f>IF($A785="",0,IF(AE785="직접",IF(OR(AF785="유지비",AF785="손해조사비"),$P785,0),$P785*(1-AG785)*IFERROR(INDEX(계정대체기준!$D$20:$D$49,MATCH($N785,계정대체기준!$A$20:$A$49,0)),0)))</f>
        <v/>
      </c>
      <c r="AB785" s="94">
        <f>IF($A785="",0,IF(AE785="직접",IF(AF785="수금비",$P785,0),$P785*(1-AG785)*IFERROR(INDEX(계정대체기준!$E$20:$E$49,MATCH($N785,계정대체기준!$A$20:$A$49,0)),0)))</f>
        <v/>
      </c>
      <c r="AC785" s="9">
        <f>IF(AND($A785&lt;&gt;"",M785=설정!$C$20,Z785&gt;0),Z785+ROW()/1000000000,"")</f>
        <v/>
      </c>
      <c r="AD785" s="94">
        <f>IF($A785="",0,$P785*AG785)</f>
        <v/>
      </c>
      <c r="AE785" s="64">
        <f>IF($A785="","",IFERROR(INDEX(계정매핑!$E$5:$E$504,MATCH($F785&amp;"",계정매핑!$A$5:$A$504,0))&amp;"","공통비"))</f>
        <v/>
      </c>
      <c r="AF785" s="64">
        <f>IF($A785="","",IF(AE785="직접",IFERROR(INDEX(계정매핑!$F$5:$F$504,MATCH($F785&amp;"",계정매핑!$A$5:$A$504,0))&amp;"","비귀속"),""))</f>
        <v/>
      </c>
      <c r="AG785" s="96">
        <f>IF($A785="",0,IF(AND(AE785&lt;&gt;"직접",IFERROR(INDEX(계정매핑!$G$5:$G$504,MATCH($F785&amp;"",계정매핑!$A$5:$A$504,0))&amp;"","")="유지비",COUNTIF(계정대체기준!$A$6:$A$15,$N785)&gt;0),IFERROR(INDEX(계정대체기준!$E$6:$E$15,MATCH(VALUE($A785&amp;""),계정대체기준!$D$6:$D$15,0)),0),0))</f>
        <v/>
      </c>
      <c r="AH785" s="64">
        <f>IF($A785="","",IF(AD785=0,"",IF(OR(COUNTIF(계정대체기준!$A$77:$A$86,$N785)&gt;0,ISNUMBER(MATCH($X785,계정대체기준!$D$77:$D$86,0)),ISNUMBER(MATCH($F785,계정대체기준!$D$77:$D$86,0))),"Y","N")))</f>
        <v/>
      </c>
    </row>
    <row r="786">
      <c r="A786" s="92" t="n">
        <v>2025</v>
      </c>
      <c r="B786" s="92" t="n">
        <v>4</v>
      </c>
      <c r="C786" s="92" t="inlineStr">
        <is>
          <t>5100000782</t>
        </is>
      </c>
      <c r="D786" s="95" t="n">
        <v>45760</v>
      </c>
      <c r="E786" s="92" t="inlineStr">
        <is>
          <t>KR</t>
        </is>
      </c>
      <c r="F786" s="92" t="n">
        <v>62102000</v>
      </c>
      <c r="G786" s="92" t="n">
        <v>1601</v>
      </c>
      <c r="H786" s="93" t="n">
        <v>371000</v>
      </c>
      <c r="I786" s="92" t="inlineStr">
        <is>
          <t>4월 해외출장 - M항공</t>
        </is>
      </c>
      <c r="J786" s="92" t="inlineStr">
        <is>
          <t>V10001</t>
        </is>
      </c>
      <c r="K786" s="92" t="inlineStr">
        <is>
          <t>M항공</t>
        </is>
      </c>
      <c r="M786" s="9">
        <f>IF($A786="","",VALUE($A786&amp;"")*12+VALUE($B786&amp;""))</f>
        <v/>
      </c>
      <c r="N786" s="64">
        <f>IF($A786="","",IFERROR(INDEX(부서매핑!$C$5:$C$504,MATCH($G786&amp;"",부서매핑!$A$5:$A$504,0)),"미매핑"))</f>
        <v/>
      </c>
      <c r="O786" s="9">
        <f>IF($A786="","",N786&amp;"|"&amp;$F786)</f>
        <v/>
      </c>
      <c r="P786" s="94">
        <f>IF($A786="",0,$H786*설정!$C$23)</f>
        <v/>
      </c>
      <c r="Q786" s="64">
        <f>IF($A786="","",IF(O786&lt;&gt;원인분석!$C$9,"",IF(AND(M786&gt;=원인분석!$C$10,M786&lt;=원인분석!$C$11),"당기",IF(AND(M786&gt;=원인분석!$C$12,M786&lt;=원인분석!$C$13),"비교",""))))</f>
        <v/>
      </c>
      <c r="R786" s="9">
        <f>IF(Q786="","",$K786&amp;"")</f>
        <v/>
      </c>
      <c r="S786" s="9">
        <f>IF(Q786="","",IF(MATCH(R786,$R$5:$R$100000,0)=ROW()-4,ROW(),""))</f>
        <v/>
      </c>
      <c r="T786" s="9">
        <f>IF(Q786="당기",ABS(P786)+ROW()/1000000000,"")</f>
        <v/>
      </c>
      <c r="U786" s="9">
        <f>IF(Q786="비교",ABS(P786)+ROW()/1000000000,"")</f>
        <v/>
      </c>
      <c r="V786" s="64">
        <f>IF($A786="","",IF(COUNTIF(변동분석!$E$7:$E$506,O786)&gt;0,"Y","N"))</f>
        <v/>
      </c>
      <c r="W786" s="64">
        <f>IF($A786="","",IFERROR(INDEX(계정매핑!$D$5:$D$504,MATCH($F786&amp;"",계정매핑!$A$5:$A$504,0)),"미매핑"))</f>
        <v/>
      </c>
      <c r="X786" s="9">
        <f>IF($A786="","",$F786&amp;"")</f>
        <v/>
      </c>
      <c r="Y786" s="94">
        <f>IF($A786="",0,IF(AE786="직접",IF(AF786="비귀속",$P786,0),$P786*(1-AG786)*IFERROR(INDEX(계정대체기준!$F$20:$F$49,MATCH($N786,계정대체기준!$A$20:$A$49,0)),1)))</f>
        <v/>
      </c>
      <c r="Z786" s="94">
        <f>IF($A786="",0,IF(AE786="직접",IF(AF786="신계약비",$P786,0),$P786*(1-AG786)*IFERROR(INDEX(계정대체기준!$C$20:$C$49,MATCH($N786,계정대체기준!$A$20:$A$49,0)),0)))</f>
        <v/>
      </c>
      <c r="AA786" s="94">
        <f>IF($A786="",0,IF(AE786="직접",IF(OR(AF786="유지비",AF786="손해조사비"),$P786,0),$P786*(1-AG786)*IFERROR(INDEX(계정대체기준!$D$20:$D$49,MATCH($N786,계정대체기준!$A$20:$A$49,0)),0)))</f>
        <v/>
      </c>
      <c r="AB786" s="94">
        <f>IF($A786="",0,IF(AE786="직접",IF(AF786="수금비",$P786,0),$P786*(1-AG786)*IFERROR(INDEX(계정대체기준!$E$20:$E$49,MATCH($N786,계정대체기준!$A$20:$A$49,0)),0)))</f>
        <v/>
      </c>
      <c r="AC786" s="9">
        <f>IF(AND($A786&lt;&gt;"",M786=설정!$C$20,Z786&gt;0),Z786+ROW()/1000000000,"")</f>
        <v/>
      </c>
      <c r="AD786" s="94">
        <f>IF($A786="",0,$P786*AG786)</f>
        <v/>
      </c>
      <c r="AE786" s="64">
        <f>IF($A786="","",IFERROR(INDEX(계정매핑!$E$5:$E$504,MATCH($F786&amp;"",계정매핑!$A$5:$A$504,0))&amp;"","공통비"))</f>
        <v/>
      </c>
      <c r="AF786" s="64">
        <f>IF($A786="","",IF(AE786="직접",IFERROR(INDEX(계정매핑!$F$5:$F$504,MATCH($F786&amp;"",계정매핑!$A$5:$A$504,0))&amp;"","비귀속"),""))</f>
        <v/>
      </c>
      <c r="AG786" s="96">
        <f>IF($A786="",0,IF(AND(AE786&lt;&gt;"직접",IFERROR(INDEX(계정매핑!$G$5:$G$504,MATCH($F786&amp;"",계정매핑!$A$5:$A$504,0))&amp;"","")="유지비",COUNTIF(계정대체기준!$A$6:$A$15,$N786)&gt;0),IFERROR(INDEX(계정대체기준!$E$6:$E$15,MATCH(VALUE($A786&amp;""),계정대체기준!$D$6:$D$15,0)),0),0))</f>
        <v/>
      </c>
      <c r="AH786" s="64">
        <f>IF($A786="","",IF(AD786=0,"",IF(OR(COUNTIF(계정대체기준!$A$77:$A$86,$N786)&gt;0,ISNUMBER(MATCH($X786,계정대체기준!$D$77:$D$86,0)),ISNUMBER(MATCH($F786,계정대체기준!$D$77:$D$86,0))),"Y","N")))</f>
        <v/>
      </c>
    </row>
    <row r="787">
      <c r="A787" s="92" t="n">
        <v>2025</v>
      </c>
      <c r="B787" s="92" t="n">
        <v>4</v>
      </c>
      <c r="C787" s="92" t="inlineStr">
        <is>
          <t>5100000783</t>
        </is>
      </c>
      <c r="D787" s="95" t="n">
        <v>45760</v>
      </c>
      <c r="E787" s="92" t="inlineStr">
        <is>
          <t>KR</t>
        </is>
      </c>
      <c r="F787" s="92" t="n">
        <v>62201000</v>
      </c>
      <c r="G787" s="92" t="n">
        <v>1301</v>
      </c>
      <c r="H787" s="93" t="n">
        <v>195000</v>
      </c>
      <c r="I787" s="92" t="inlineStr">
        <is>
          <t>4월 통신요금 - P통신</t>
        </is>
      </c>
      <c r="J787" s="92" t="inlineStr">
        <is>
          <t>V10014</t>
        </is>
      </c>
      <c r="K787" s="92" t="inlineStr">
        <is>
          <t>P통신</t>
        </is>
      </c>
      <c r="M787" s="9">
        <f>IF($A787="","",VALUE($A787&amp;"")*12+VALUE($B787&amp;""))</f>
        <v/>
      </c>
      <c r="N787" s="64">
        <f>IF($A787="","",IFERROR(INDEX(부서매핑!$C$5:$C$504,MATCH($G787&amp;"",부서매핑!$A$5:$A$504,0)),"미매핑"))</f>
        <v/>
      </c>
      <c r="O787" s="9">
        <f>IF($A787="","",N787&amp;"|"&amp;$F787)</f>
        <v/>
      </c>
      <c r="P787" s="94">
        <f>IF($A787="",0,$H787*설정!$C$23)</f>
        <v/>
      </c>
      <c r="Q787" s="64">
        <f>IF($A787="","",IF(O787&lt;&gt;원인분석!$C$9,"",IF(AND(M787&gt;=원인분석!$C$10,M787&lt;=원인분석!$C$11),"당기",IF(AND(M787&gt;=원인분석!$C$12,M787&lt;=원인분석!$C$13),"비교",""))))</f>
        <v/>
      </c>
      <c r="R787" s="9">
        <f>IF(Q787="","",$K787&amp;"")</f>
        <v/>
      </c>
      <c r="S787" s="9">
        <f>IF(Q787="","",IF(MATCH(R787,$R$5:$R$100000,0)=ROW()-4,ROW(),""))</f>
        <v/>
      </c>
      <c r="T787" s="9">
        <f>IF(Q787="당기",ABS(P787)+ROW()/1000000000,"")</f>
        <v/>
      </c>
      <c r="U787" s="9">
        <f>IF(Q787="비교",ABS(P787)+ROW()/1000000000,"")</f>
        <v/>
      </c>
      <c r="V787" s="64">
        <f>IF($A787="","",IF(COUNTIF(변동분석!$E$7:$E$506,O787)&gt;0,"Y","N"))</f>
        <v/>
      </c>
      <c r="W787" s="64">
        <f>IF($A787="","",IFERROR(INDEX(계정매핑!$D$5:$D$504,MATCH($F787&amp;"",계정매핑!$A$5:$A$504,0)),"미매핑"))</f>
        <v/>
      </c>
      <c r="X787" s="9">
        <f>IF($A787="","",$F787&amp;"")</f>
        <v/>
      </c>
      <c r="Y787" s="94">
        <f>IF($A787="",0,IF(AE787="직접",IF(AF787="비귀속",$P787,0),$P787*(1-AG787)*IFERROR(INDEX(계정대체기준!$F$20:$F$49,MATCH($N787,계정대체기준!$A$20:$A$49,0)),1)))</f>
        <v/>
      </c>
      <c r="Z787" s="94">
        <f>IF($A787="",0,IF(AE787="직접",IF(AF787="신계약비",$P787,0),$P787*(1-AG787)*IFERROR(INDEX(계정대체기준!$C$20:$C$49,MATCH($N787,계정대체기준!$A$20:$A$49,0)),0)))</f>
        <v/>
      </c>
      <c r="AA787" s="94">
        <f>IF($A787="",0,IF(AE787="직접",IF(OR(AF787="유지비",AF787="손해조사비"),$P787,0),$P787*(1-AG787)*IFERROR(INDEX(계정대체기준!$D$20:$D$49,MATCH($N787,계정대체기준!$A$20:$A$49,0)),0)))</f>
        <v/>
      </c>
      <c r="AB787" s="94">
        <f>IF($A787="",0,IF(AE787="직접",IF(AF787="수금비",$P787,0),$P787*(1-AG787)*IFERROR(INDEX(계정대체기준!$E$20:$E$49,MATCH($N787,계정대체기준!$A$20:$A$49,0)),0)))</f>
        <v/>
      </c>
      <c r="AC787" s="9">
        <f>IF(AND($A787&lt;&gt;"",M787=설정!$C$20,Z787&gt;0),Z787+ROW()/1000000000,"")</f>
        <v/>
      </c>
      <c r="AD787" s="94">
        <f>IF($A787="",0,$P787*AG787)</f>
        <v/>
      </c>
      <c r="AE787" s="64">
        <f>IF($A787="","",IFERROR(INDEX(계정매핑!$E$5:$E$504,MATCH($F787&amp;"",계정매핑!$A$5:$A$504,0))&amp;"","공통비"))</f>
        <v/>
      </c>
      <c r="AF787" s="64">
        <f>IF($A787="","",IF(AE787="직접",IFERROR(INDEX(계정매핑!$F$5:$F$504,MATCH($F787&amp;"",계정매핑!$A$5:$A$504,0))&amp;"","비귀속"),""))</f>
        <v/>
      </c>
      <c r="AG787" s="96">
        <f>IF($A787="",0,IF(AND(AE787&lt;&gt;"직접",IFERROR(INDEX(계정매핑!$G$5:$G$504,MATCH($F787&amp;"",계정매핑!$A$5:$A$504,0))&amp;"","")="유지비",COUNTIF(계정대체기준!$A$6:$A$15,$N787)&gt;0),IFERROR(INDEX(계정대체기준!$E$6:$E$15,MATCH(VALUE($A787&amp;""),계정대체기준!$D$6:$D$15,0)),0),0))</f>
        <v/>
      </c>
      <c r="AH787" s="64">
        <f>IF($A787="","",IF(AD787=0,"",IF(OR(COUNTIF(계정대체기준!$A$77:$A$86,$N787)&gt;0,ISNUMBER(MATCH($X787,계정대체기준!$D$77:$D$86,0)),ISNUMBER(MATCH($F787,계정대체기준!$D$77:$D$86,0))),"Y","N")))</f>
        <v/>
      </c>
    </row>
    <row r="788">
      <c r="A788" s="92" t="n">
        <v>2025</v>
      </c>
      <c r="B788" s="92" t="n">
        <v>4</v>
      </c>
      <c r="C788" s="92" t="inlineStr">
        <is>
          <t>5100000784</t>
        </is>
      </c>
      <c r="D788" s="95" t="n">
        <v>45760</v>
      </c>
      <c r="E788" s="92" t="inlineStr">
        <is>
          <t>KR</t>
        </is>
      </c>
      <c r="F788" s="92" t="n">
        <v>62201000</v>
      </c>
      <c r="G788" s="92" t="n">
        <v>1701</v>
      </c>
      <c r="H788" s="93" t="n">
        <v>6513000</v>
      </c>
      <c r="I788" s="92" t="inlineStr">
        <is>
          <t>4월 통신요금 - P통신</t>
        </is>
      </c>
      <c r="J788" s="92" t="inlineStr">
        <is>
          <t>V10014</t>
        </is>
      </c>
      <c r="K788" s="92" t="inlineStr">
        <is>
          <t>P통신</t>
        </is>
      </c>
      <c r="M788" s="9">
        <f>IF($A788="","",VALUE($A788&amp;"")*12+VALUE($B788&amp;""))</f>
        <v/>
      </c>
      <c r="N788" s="64">
        <f>IF($A788="","",IFERROR(INDEX(부서매핑!$C$5:$C$504,MATCH($G788&amp;"",부서매핑!$A$5:$A$504,0)),"미매핑"))</f>
        <v/>
      </c>
      <c r="O788" s="9">
        <f>IF($A788="","",N788&amp;"|"&amp;$F788)</f>
        <v/>
      </c>
      <c r="P788" s="94">
        <f>IF($A788="",0,$H788*설정!$C$23)</f>
        <v/>
      </c>
      <c r="Q788" s="64">
        <f>IF($A788="","",IF(O788&lt;&gt;원인분석!$C$9,"",IF(AND(M788&gt;=원인분석!$C$10,M788&lt;=원인분석!$C$11),"당기",IF(AND(M788&gt;=원인분석!$C$12,M788&lt;=원인분석!$C$13),"비교",""))))</f>
        <v/>
      </c>
      <c r="R788" s="9">
        <f>IF(Q788="","",$K788&amp;"")</f>
        <v/>
      </c>
      <c r="S788" s="9">
        <f>IF(Q788="","",IF(MATCH(R788,$R$5:$R$100000,0)=ROW()-4,ROW(),""))</f>
        <v/>
      </c>
      <c r="T788" s="9">
        <f>IF(Q788="당기",ABS(P788)+ROW()/1000000000,"")</f>
        <v/>
      </c>
      <c r="U788" s="9">
        <f>IF(Q788="비교",ABS(P788)+ROW()/1000000000,"")</f>
        <v/>
      </c>
      <c r="V788" s="64">
        <f>IF($A788="","",IF(COUNTIF(변동분석!$E$7:$E$506,O788)&gt;0,"Y","N"))</f>
        <v/>
      </c>
      <c r="W788" s="64">
        <f>IF($A788="","",IFERROR(INDEX(계정매핑!$D$5:$D$504,MATCH($F788&amp;"",계정매핑!$A$5:$A$504,0)),"미매핑"))</f>
        <v/>
      </c>
      <c r="X788" s="9">
        <f>IF($A788="","",$F788&amp;"")</f>
        <v/>
      </c>
      <c r="Y788" s="94">
        <f>IF($A788="",0,IF(AE788="직접",IF(AF788="비귀속",$P788,0),$P788*(1-AG788)*IFERROR(INDEX(계정대체기준!$F$20:$F$49,MATCH($N788,계정대체기준!$A$20:$A$49,0)),1)))</f>
        <v/>
      </c>
      <c r="Z788" s="94">
        <f>IF($A788="",0,IF(AE788="직접",IF(AF788="신계약비",$P788,0),$P788*(1-AG788)*IFERROR(INDEX(계정대체기준!$C$20:$C$49,MATCH($N788,계정대체기준!$A$20:$A$49,0)),0)))</f>
        <v/>
      </c>
      <c r="AA788" s="94">
        <f>IF($A788="",0,IF(AE788="직접",IF(OR(AF788="유지비",AF788="손해조사비"),$P788,0),$P788*(1-AG788)*IFERROR(INDEX(계정대체기준!$D$20:$D$49,MATCH($N788,계정대체기준!$A$20:$A$49,0)),0)))</f>
        <v/>
      </c>
      <c r="AB788" s="94">
        <f>IF($A788="",0,IF(AE788="직접",IF(AF788="수금비",$P788,0),$P788*(1-AG788)*IFERROR(INDEX(계정대체기준!$E$20:$E$49,MATCH($N788,계정대체기준!$A$20:$A$49,0)),0)))</f>
        <v/>
      </c>
      <c r="AC788" s="9">
        <f>IF(AND($A788&lt;&gt;"",M788=설정!$C$20,Z788&gt;0),Z788+ROW()/1000000000,"")</f>
        <v/>
      </c>
      <c r="AD788" s="94">
        <f>IF($A788="",0,$P788*AG788)</f>
        <v/>
      </c>
      <c r="AE788" s="64">
        <f>IF($A788="","",IFERROR(INDEX(계정매핑!$E$5:$E$504,MATCH($F788&amp;"",계정매핑!$A$5:$A$504,0))&amp;"","공통비"))</f>
        <v/>
      </c>
      <c r="AF788" s="64">
        <f>IF($A788="","",IF(AE788="직접",IFERROR(INDEX(계정매핑!$F$5:$F$504,MATCH($F788&amp;"",계정매핑!$A$5:$A$504,0))&amp;"","비귀속"),""))</f>
        <v/>
      </c>
      <c r="AG788" s="96">
        <f>IF($A788="",0,IF(AND(AE788&lt;&gt;"직접",IFERROR(INDEX(계정매핑!$G$5:$G$504,MATCH($F788&amp;"",계정매핑!$A$5:$A$504,0))&amp;"","")="유지비",COUNTIF(계정대체기준!$A$6:$A$15,$N788)&gt;0),IFERROR(INDEX(계정대체기준!$E$6:$E$15,MATCH(VALUE($A788&amp;""),계정대체기준!$D$6:$D$15,0)),0),0))</f>
        <v/>
      </c>
      <c r="AH788" s="64">
        <f>IF($A788="","",IF(AD788=0,"",IF(OR(COUNTIF(계정대체기준!$A$77:$A$86,$N788)&gt;0,ISNUMBER(MATCH($X788,계정대체기준!$D$77:$D$86,0)),ISNUMBER(MATCH($F788,계정대체기준!$D$77:$D$86,0))),"Y","N")))</f>
        <v/>
      </c>
    </row>
    <row r="789">
      <c r="A789" s="92" t="n">
        <v>2025</v>
      </c>
      <c r="B789" s="92" t="n">
        <v>4</v>
      </c>
      <c r="C789" s="92" t="inlineStr">
        <is>
          <t>5100000785</t>
        </is>
      </c>
      <c r="D789" s="95" t="n">
        <v>45760</v>
      </c>
      <c r="E789" s="92" t="inlineStr">
        <is>
          <t>KR</t>
        </is>
      </c>
      <c r="F789" s="92" t="n">
        <v>62301000</v>
      </c>
      <c r="G789" s="92" t="n">
        <v>1101</v>
      </c>
      <c r="H789" s="93" t="n">
        <v>216000</v>
      </c>
      <c r="I789" s="92" t="inlineStr">
        <is>
          <t>4월 소모품 구입 - Q오피스</t>
        </is>
      </c>
      <c r="J789" s="92" t="inlineStr">
        <is>
          <t>V10003</t>
        </is>
      </c>
      <c r="K789" s="92" t="inlineStr">
        <is>
          <t>Q오피스</t>
        </is>
      </c>
      <c r="M789" s="9">
        <f>IF($A789="","",VALUE($A789&amp;"")*12+VALUE($B789&amp;""))</f>
        <v/>
      </c>
      <c r="N789" s="64">
        <f>IF($A789="","",IFERROR(INDEX(부서매핑!$C$5:$C$504,MATCH($G789&amp;"",부서매핑!$A$5:$A$504,0)),"미매핑"))</f>
        <v/>
      </c>
      <c r="O789" s="9">
        <f>IF($A789="","",N789&amp;"|"&amp;$F789)</f>
        <v/>
      </c>
      <c r="P789" s="94">
        <f>IF($A789="",0,$H789*설정!$C$23)</f>
        <v/>
      </c>
      <c r="Q789" s="64">
        <f>IF($A789="","",IF(O789&lt;&gt;원인분석!$C$9,"",IF(AND(M789&gt;=원인분석!$C$10,M789&lt;=원인분석!$C$11),"당기",IF(AND(M789&gt;=원인분석!$C$12,M789&lt;=원인분석!$C$13),"비교",""))))</f>
        <v/>
      </c>
      <c r="R789" s="9">
        <f>IF(Q789="","",$K789&amp;"")</f>
        <v/>
      </c>
      <c r="S789" s="9">
        <f>IF(Q789="","",IF(MATCH(R789,$R$5:$R$100000,0)=ROW()-4,ROW(),""))</f>
        <v/>
      </c>
      <c r="T789" s="9">
        <f>IF(Q789="당기",ABS(P789)+ROW()/1000000000,"")</f>
        <v/>
      </c>
      <c r="U789" s="9">
        <f>IF(Q789="비교",ABS(P789)+ROW()/1000000000,"")</f>
        <v/>
      </c>
      <c r="V789" s="64">
        <f>IF($A789="","",IF(COUNTIF(변동분석!$E$7:$E$506,O789)&gt;0,"Y","N"))</f>
        <v/>
      </c>
      <c r="W789" s="64">
        <f>IF($A789="","",IFERROR(INDEX(계정매핑!$D$5:$D$504,MATCH($F789&amp;"",계정매핑!$A$5:$A$504,0)),"미매핑"))</f>
        <v/>
      </c>
      <c r="X789" s="9">
        <f>IF($A789="","",$F789&amp;"")</f>
        <v/>
      </c>
      <c r="Y789" s="94">
        <f>IF($A789="",0,IF(AE789="직접",IF(AF789="비귀속",$P789,0),$P789*(1-AG789)*IFERROR(INDEX(계정대체기준!$F$20:$F$49,MATCH($N789,계정대체기준!$A$20:$A$49,0)),1)))</f>
        <v/>
      </c>
      <c r="Z789" s="94">
        <f>IF($A789="",0,IF(AE789="직접",IF(AF789="신계약비",$P789,0),$P789*(1-AG789)*IFERROR(INDEX(계정대체기준!$C$20:$C$49,MATCH($N789,계정대체기준!$A$20:$A$49,0)),0)))</f>
        <v/>
      </c>
      <c r="AA789" s="94">
        <f>IF($A789="",0,IF(AE789="직접",IF(OR(AF789="유지비",AF789="손해조사비"),$P789,0),$P789*(1-AG789)*IFERROR(INDEX(계정대체기준!$D$20:$D$49,MATCH($N789,계정대체기준!$A$20:$A$49,0)),0)))</f>
        <v/>
      </c>
      <c r="AB789" s="94">
        <f>IF($A789="",0,IF(AE789="직접",IF(AF789="수금비",$P789,0),$P789*(1-AG789)*IFERROR(INDEX(계정대체기준!$E$20:$E$49,MATCH($N789,계정대체기준!$A$20:$A$49,0)),0)))</f>
        <v/>
      </c>
      <c r="AC789" s="9">
        <f>IF(AND($A789&lt;&gt;"",M789=설정!$C$20,Z789&gt;0),Z789+ROW()/1000000000,"")</f>
        <v/>
      </c>
      <c r="AD789" s="94">
        <f>IF($A789="",0,$P789*AG789)</f>
        <v/>
      </c>
      <c r="AE789" s="64">
        <f>IF($A789="","",IFERROR(INDEX(계정매핑!$E$5:$E$504,MATCH($F789&amp;"",계정매핑!$A$5:$A$504,0))&amp;"","공통비"))</f>
        <v/>
      </c>
      <c r="AF789" s="64">
        <f>IF($A789="","",IF(AE789="직접",IFERROR(INDEX(계정매핑!$F$5:$F$504,MATCH($F789&amp;"",계정매핑!$A$5:$A$504,0))&amp;"","비귀속"),""))</f>
        <v/>
      </c>
      <c r="AG789" s="96">
        <f>IF($A789="",0,IF(AND(AE789&lt;&gt;"직접",IFERROR(INDEX(계정매핑!$G$5:$G$504,MATCH($F789&amp;"",계정매핑!$A$5:$A$504,0))&amp;"","")="유지비",COUNTIF(계정대체기준!$A$6:$A$15,$N789)&gt;0),IFERROR(INDEX(계정대체기준!$E$6:$E$15,MATCH(VALUE($A789&amp;""),계정대체기준!$D$6:$D$15,0)),0),0))</f>
        <v/>
      </c>
      <c r="AH789" s="64">
        <f>IF($A789="","",IF(AD789=0,"",IF(OR(COUNTIF(계정대체기준!$A$77:$A$86,$N789)&gt;0,ISNUMBER(MATCH($X789,계정대체기준!$D$77:$D$86,0)),ISNUMBER(MATCH($F789,계정대체기준!$D$77:$D$86,0))),"Y","N")))</f>
        <v/>
      </c>
    </row>
    <row r="790">
      <c r="A790" s="92" t="n">
        <v>2025</v>
      </c>
      <c r="B790" s="92" t="n">
        <v>4</v>
      </c>
      <c r="C790" s="92" t="inlineStr">
        <is>
          <t>5100000786</t>
        </is>
      </c>
      <c r="D790" s="95" t="n">
        <v>45760</v>
      </c>
      <c r="E790" s="92" t="inlineStr">
        <is>
          <t>KR</t>
        </is>
      </c>
      <c r="F790" s="92" t="n">
        <v>62301000</v>
      </c>
      <c r="G790" s="92" t="n">
        <v>1201</v>
      </c>
      <c r="H790" s="93" t="n">
        <v>91000</v>
      </c>
      <c r="I790" s="92" t="inlineStr">
        <is>
          <t>4월 소모품 구입 - Q오피스</t>
        </is>
      </c>
      <c r="J790" s="92" t="inlineStr">
        <is>
          <t>V10003</t>
        </is>
      </c>
      <c r="K790" s="92" t="inlineStr">
        <is>
          <t>Q오피스</t>
        </is>
      </c>
      <c r="M790" s="9">
        <f>IF($A790="","",VALUE($A790&amp;"")*12+VALUE($B790&amp;""))</f>
        <v/>
      </c>
      <c r="N790" s="64">
        <f>IF($A790="","",IFERROR(INDEX(부서매핑!$C$5:$C$504,MATCH($G790&amp;"",부서매핑!$A$5:$A$504,0)),"미매핑"))</f>
        <v/>
      </c>
      <c r="O790" s="9">
        <f>IF($A790="","",N790&amp;"|"&amp;$F790)</f>
        <v/>
      </c>
      <c r="P790" s="94">
        <f>IF($A790="",0,$H790*설정!$C$23)</f>
        <v/>
      </c>
      <c r="Q790" s="64">
        <f>IF($A790="","",IF(O790&lt;&gt;원인분석!$C$9,"",IF(AND(M790&gt;=원인분석!$C$10,M790&lt;=원인분석!$C$11),"당기",IF(AND(M790&gt;=원인분석!$C$12,M790&lt;=원인분석!$C$13),"비교",""))))</f>
        <v/>
      </c>
      <c r="R790" s="9">
        <f>IF(Q790="","",$K790&amp;"")</f>
        <v/>
      </c>
      <c r="S790" s="9">
        <f>IF(Q790="","",IF(MATCH(R790,$R$5:$R$100000,0)=ROW()-4,ROW(),""))</f>
        <v/>
      </c>
      <c r="T790" s="9">
        <f>IF(Q790="당기",ABS(P790)+ROW()/1000000000,"")</f>
        <v/>
      </c>
      <c r="U790" s="9">
        <f>IF(Q790="비교",ABS(P790)+ROW()/1000000000,"")</f>
        <v/>
      </c>
      <c r="V790" s="64">
        <f>IF($A790="","",IF(COUNTIF(변동분석!$E$7:$E$506,O790)&gt;0,"Y","N"))</f>
        <v/>
      </c>
      <c r="W790" s="64">
        <f>IF($A790="","",IFERROR(INDEX(계정매핑!$D$5:$D$504,MATCH($F790&amp;"",계정매핑!$A$5:$A$504,0)),"미매핑"))</f>
        <v/>
      </c>
      <c r="X790" s="9">
        <f>IF($A790="","",$F790&amp;"")</f>
        <v/>
      </c>
      <c r="Y790" s="94">
        <f>IF($A790="",0,IF(AE790="직접",IF(AF790="비귀속",$P790,0),$P790*(1-AG790)*IFERROR(INDEX(계정대체기준!$F$20:$F$49,MATCH($N790,계정대체기준!$A$20:$A$49,0)),1)))</f>
        <v/>
      </c>
      <c r="Z790" s="94">
        <f>IF($A790="",0,IF(AE790="직접",IF(AF790="신계약비",$P790,0),$P790*(1-AG790)*IFERROR(INDEX(계정대체기준!$C$20:$C$49,MATCH($N790,계정대체기준!$A$20:$A$49,0)),0)))</f>
        <v/>
      </c>
      <c r="AA790" s="94">
        <f>IF($A790="",0,IF(AE790="직접",IF(OR(AF790="유지비",AF790="손해조사비"),$P790,0),$P790*(1-AG790)*IFERROR(INDEX(계정대체기준!$D$20:$D$49,MATCH($N790,계정대체기준!$A$20:$A$49,0)),0)))</f>
        <v/>
      </c>
      <c r="AB790" s="94">
        <f>IF($A790="",0,IF(AE790="직접",IF(AF790="수금비",$P790,0),$P790*(1-AG790)*IFERROR(INDEX(계정대체기준!$E$20:$E$49,MATCH($N790,계정대체기준!$A$20:$A$49,0)),0)))</f>
        <v/>
      </c>
      <c r="AC790" s="9">
        <f>IF(AND($A790&lt;&gt;"",M790=설정!$C$20,Z790&gt;0),Z790+ROW()/1000000000,"")</f>
        <v/>
      </c>
      <c r="AD790" s="94">
        <f>IF($A790="",0,$P790*AG790)</f>
        <v/>
      </c>
      <c r="AE790" s="64">
        <f>IF($A790="","",IFERROR(INDEX(계정매핑!$E$5:$E$504,MATCH($F790&amp;"",계정매핑!$A$5:$A$504,0))&amp;"","공통비"))</f>
        <v/>
      </c>
      <c r="AF790" s="64">
        <f>IF($A790="","",IF(AE790="직접",IFERROR(INDEX(계정매핑!$F$5:$F$504,MATCH($F790&amp;"",계정매핑!$A$5:$A$504,0))&amp;"","비귀속"),""))</f>
        <v/>
      </c>
      <c r="AG790" s="96">
        <f>IF($A790="",0,IF(AND(AE790&lt;&gt;"직접",IFERROR(INDEX(계정매핑!$G$5:$G$504,MATCH($F790&amp;"",계정매핑!$A$5:$A$504,0))&amp;"","")="유지비",COUNTIF(계정대체기준!$A$6:$A$15,$N790)&gt;0),IFERROR(INDEX(계정대체기준!$E$6:$E$15,MATCH(VALUE($A790&amp;""),계정대체기준!$D$6:$D$15,0)),0),0))</f>
        <v/>
      </c>
      <c r="AH790" s="64">
        <f>IF($A790="","",IF(AD790=0,"",IF(OR(COUNTIF(계정대체기준!$A$77:$A$86,$N790)&gt;0,ISNUMBER(MATCH($X790,계정대체기준!$D$77:$D$86,0)),ISNUMBER(MATCH($F790,계정대체기준!$D$77:$D$86,0))),"Y","N")))</f>
        <v/>
      </c>
    </row>
    <row r="791">
      <c r="A791" s="92" t="n">
        <v>2025</v>
      </c>
      <c r="B791" s="92" t="n">
        <v>4</v>
      </c>
      <c r="C791" s="92" t="inlineStr">
        <is>
          <t>5100000787</t>
        </is>
      </c>
      <c r="D791" s="95" t="n">
        <v>45760</v>
      </c>
      <c r="E791" s="92" t="inlineStr">
        <is>
          <t>KR</t>
        </is>
      </c>
      <c r="F791" s="92" t="n">
        <v>62301000</v>
      </c>
      <c r="G791" s="92" t="n">
        <v>1201</v>
      </c>
      <c r="H791" s="93" t="n">
        <v>92000</v>
      </c>
      <c r="I791" s="92" t="inlineStr">
        <is>
          <t>4월 소모품 구입 - R문구</t>
        </is>
      </c>
      <c r="J791" s="92" t="inlineStr">
        <is>
          <t>V10022</t>
        </is>
      </c>
      <c r="K791" s="92" t="inlineStr">
        <is>
          <t>R문구</t>
        </is>
      </c>
      <c r="M791" s="9">
        <f>IF($A791="","",VALUE($A791&amp;"")*12+VALUE($B791&amp;""))</f>
        <v/>
      </c>
      <c r="N791" s="64">
        <f>IF($A791="","",IFERROR(INDEX(부서매핑!$C$5:$C$504,MATCH($G791&amp;"",부서매핑!$A$5:$A$504,0)),"미매핑"))</f>
        <v/>
      </c>
      <c r="O791" s="9">
        <f>IF($A791="","",N791&amp;"|"&amp;$F791)</f>
        <v/>
      </c>
      <c r="P791" s="94">
        <f>IF($A791="",0,$H791*설정!$C$23)</f>
        <v/>
      </c>
      <c r="Q791" s="64">
        <f>IF($A791="","",IF(O791&lt;&gt;원인분석!$C$9,"",IF(AND(M791&gt;=원인분석!$C$10,M791&lt;=원인분석!$C$11),"당기",IF(AND(M791&gt;=원인분석!$C$12,M791&lt;=원인분석!$C$13),"비교",""))))</f>
        <v/>
      </c>
      <c r="R791" s="9">
        <f>IF(Q791="","",$K791&amp;"")</f>
        <v/>
      </c>
      <c r="S791" s="9">
        <f>IF(Q791="","",IF(MATCH(R791,$R$5:$R$100000,0)=ROW()-4,ROW(),""))</f>
        <v/>
      </c>
      <c r="T791" s="9">
        <f>IF(Q791="당기",ABS(P791)+ROW()/1000000000,"")</f>
        <v/>
      </c>
      <c r="U791" s="9">
        <f>IF(Q791="비교",ABS(P791)+ROW()/1000000000,"")</f>
        <v/>
      </c>
      <c r="V791" s="64">
        <f>IF($A791="","",IF(COUNTIF(변동분석!$E$7:$E$506,O791)&gt;0,"Y","N"))</f>
        <v/>
      </c>
      <c r="W791" s="64">
        <f>IF($A791="","",IFERROR(INDEX(계정매핑!$D$5:$D$504,MATCH($F791&amp;"",계정매핑!$A$5:$A$504,0)),"미매핑"))</f>
        <v/>
      </c>
      <c r="X791" s="9">
        <f>IF($A791="","",$F791&amp;"")</f>
        <v/>
      </c>
      <c r="Y791" s="94">
        <f>IF($A791="",0,IF(AE791="직접",IF(AF791="비귀속",$P791,0),$P791*(1-AG791)*IFERROR(INDEX(계정대체기준!$F$20:$F$49,MATCH($N791,계정대체기준!$A$20:$A$49,0)),1)))</f>
        <v/>
      </c>
      <c r="Z791" s="94">
        <f>IF($A791="",0,IF(AE791="직접",IF(AF791="신계약비",$P791,0),$P791*(1-AG791)*IFERROR(INDEX(계정대체기준!$C$20:$C$49,MATCH($N791,계정대체기준!$A$20:$A$49,0)),0)))</f>
        <v/>
      </c>
      <c r="AA791" s="94">
        <f>IF($A791="",0,IF(AE791="직접",IF(OR(AF791="유지비",AF791="손해조사비"),$P791,0),$P791*(1-AG791)*IFERROR(INDEX(계정대체기준!$D$20:$D$49,MATCH($N791,계정대체기준!$A$20:$A$49,0)),0)))</f>
        <v/>
      </c>
      <c r="AB791" s="94">
        <f>IF($A791="",0,IF(AE791="직접",IF(AF791="수금비",$P791,0),$P791*(1-AG791)*IFERROR(INDEX(계정대체기준!$E$20:$E$49,MATCH($N791,계정대체기준!$A$20:$A$49,0)),0)))</f>
        <v/>
      </c>
      <c r="AC791" s="9">
        <f>IF(AND($A791&lt;&gt;"",M791=설정!$C$20,Z791&gt;0),Z791+ROW()/1000000000,"")</f>
        <v/>
      </c>
      <c r="AD791" s="94">
        <f>IF($A791="",0,$P791*AG791)</f>
        <v/>
      </c>
      <c r="AE791" s="64">
        <f>IF($A791="","",IFERROR(INDEX(계정매핑!$E$5:$E$504,MATCH($F791&amp;"",계정매핑!$A$5:$A$504,0))&amp;"","공통비"))</f>
        <v/>
      </c>
      <c r="AF791" s="64">
        <f>IF($A791="","",IF(AE791="직접",IFERROR(INDEX(계정매핑!$F$5:$F$504,MATCH($F791&amp;"",계정매핑!$A$5:$A$504,0))&amp;"","비귀속"),""))</f>
        <v/>
      </c>
      <c r="AG791" s="96">
        <f>IF($A791="",0,IF(AND(AE791&lt;&gt;"직접",IFERROR(INDEX(계정매핑!$G$5:$G$504,MATCH($F791&amp;"",계정매핑!$A$5:$A$504,0))&amp;"","")="유지비",COUNTIF(계정대체기준!$A$6:$A$15,$N791)&gt;0),IFERROR(INDEX(계정대체기준!$E$6:$E$15,MATCH(VALUE($A791&amp;""),계정대체기준!$D$6:$D$15,0)),0),0))</f>
        <v/>
      </c>
      <c r="AH791" s="64">
        <f>IF($A791="","",IF(AD791=0,"",IF(OR(COUNTIF(계정대체기준!$A$77:$A$86,$N791)&gt;0,ISNUMBER(MATCH($X791,계정대체기준!$D$77:$D$86,0)),ISNUMBER(MATCH($F791,계정대체기준!$D$77:$D$86,0))),"Y","N")))</f>
        <v/>
      </c>
    </row>
    <row r="792">
      <c r="A792" s="92" t="n">
        <v>2025</v>
      </c>
      <c r="B792" s="92" t="n">
        <v>4</v>
      </c>
      <c r="C792" s="92" t="inlineStr">
        <is>
          <t>5100000788</t>
        </is>
      </c>
      <c r="D792" s="95" t="n">
        <v>45760</v>
      </c>
      <c r="E792" s="92" t="inlineStr">
        <is>
          <t>KR</t>
        </is>
      </c>
      <c r="F792" s="92" t="n">
        <v>62301000</v>
      </c>
      <c r="G792" s="92" t="n">
        <v>1401</v>
      </c>
      <c r="H792" s="93" t="n">
        <v>63000</v>
      </c>
      <c r="I792" s="92" t="inlineStr">
        <is>
          <t>4월 소모품 구입 - R문구</t>
        </is>
      </c>
      <c r="J792" s="92" t="inlineStr">
        <is>
          <t>V10022</t>
        </is>
      </c>
      <c r="K792" s="92" t="inlineStr">
        <is>
          <t>R문구</t>
        </is>
      </c>
      <c r="M792" s="9">
        <f>IF($A792="","",VALUE($A792&amp;"")*12+VALUE($B792&amp;""))</f>
        <v/>
      </c>
      <c r="N792" s="64">
        <f>IF($A792="","",IFERROR(INDEX(부서매핑!$C$5:$C$504,MATCH($G792&amp;"",부서매핑!$A$5:$A$504,0)),"미매핑"))</f>
        <v/>
      </c>
      <c r="O792" s="9">
        <f>IF($A792="","",N792&amp;"|"&amp;$F792)</f>
        <v/>
      </c>
      <c r="P792" s="94">
        <f>IF($A792="",0,$H792*설정!$C$23)</f>
        <v/>
      </c>
      <c r="Q792" s="64">
        <f>IF($A792="","",IF(O792&lt;&gt;원인분석!$C$9,"",IF(AND(M792&gt;=원인분석!$C$10,M792&lt;=원인분석!$C$11),"당기",IF(AND(M792&gt;=원인분석!$C$12,M792&lt;=원인분석!$C$13),"비교",""))))</f>
        <v/>
      </c>
      <c r="R792" s="9">
        <f>IF(Q792="","",$K792&amp;"")</f>
        <v/>
      </c>
      <c r="S792" s="9">
        <f>IF(Q792="","",IF(MATCH(R792,$R$5:$R$100000,0)=ROW()-4,ROW(),""))</f>
        <v/>
      </c>
      <c r="T792" s="9">
        <f>IF(Q792="당기",ABS(P792)+ROW()/1000000000,"")</f>
        <v/>
      </c>
      <c r="U792" s="9">
        <f>IF(Q792="비교",ABS(P792)+ROW()/1000000000,"")</f>
        <v/>
      </c>
      <c r="V792" s="64">
        <f>IF($A792="","",IF(COUNTIF(변동분석!$E$7:$E$506,O792)&gt;0,"Y","N"))</f>
        <v/>
      </c>
      <c r="W792" s="64">
        <f>IF($A792="","",IFERROR(INDEX(계정매핑!$D$5:$D$504,MATCH($F792&amp;"",계정매핑!$A$5:$A$504,0)),"미매핑"))</f>
        <v/>
      </c>
      <c r="X792" s="9">
        <f>IF($A792="","",$F792&amp;"")</f>
        <v/>
      </c>
      <c r="Y792" s="94">
        <f>IF($A792="",0,IF(AE792="직접",IF(AF792="비귀속",$P792,0),$P792*(1-AG792)*IFERROR(INDEX(계정대체기준!$F$20:$F$49,MATCH($N792,계정대체기준!$A$20:$A$49,0)),1)))</f>
        <v/>
      </c>
      <c r="Z792" s="94">
        <f>IF($A792="",0,IF(AE792="직접",IF(AF792="신계약비",$P792,0),$P792*(1-AG792)*IFERROR(INDEX(계정대체기준!$C$20:$C$49,MATCH($N792,계정대체기준!$A$20:$A$49,0)),0)))</f>
        <v/>
      </c>
      <c r="AA792" s="94">
        <f>IF($A792="",0,IF(AE792="직접",IF(OR(AF792="유지비",AF792="손해조사비"),$P792,0),$P792*(1-AG792)*IFERROR(INDEX(계정대체기준!$D$20:$D$49,MATCH($N792,계정대체기준!$A$20:$A$49,0)),0)))</f>
        <v/>
      </c>
      <c r="AB792" s="94">
        <f>IF($A792="",0,IF(AE792="직접",IF(AF792="수금비",$P792,0),$P792*(1-AG792)*IFERROR(INDEX(계정대체기준!$E$20:$E$49,MATCH($N792,계정대체기준!$A$20:$A$49,0)),0)))</f>
        <v/>
      </c>
      <c r="AC792" s="9">
        <f>IF(AND($A792&lt;&gt;"",M792=설정!$C$20,Z792&gt;0),Z792+ROW()/1000000000,"")</f>
        <v/>
      </c>
      <c r="AD792" s="94">
        <f>IF($A792="",0,$P792*AG792)</f>
        <v/>
      </c>
      <c r="AE792" s="64">
        <f>IF($A792="","",IFERROR(INDEX(계정매핑!$E$5:$E$504,MATCH($F792&amp;"",계정매핑!$A$5:$A$504,0))&amp;"","공통비"))</f>
        <v/>
      </c>
      <c r="AF792" s="64">
        <f>IF($A792="","",IF(AE792="직접",IFERROR(INDEX(계정매핑!$F$5:$F$504,MATCH($F792&amp;"",계정매핑!$A$5:$A$504,0))&amp;"","비귀속"),""))</f>
        <v/>
      </c>
      <c r="AG792" s="96">
        <f>IF($A792="",0,IF(AND(AE792&lt;&gt;"직접",IFERROR(INDEX(계정매핑!$G$5:$G$504,MATCH($F792&amp;"",계정매핑!$A$5:$A$504,0))&amp;"","")="유지비",COUNTIF(계정대체기준!$A$6:$A$15,$N792)&gt;0),IFERROR(INDEX(계정대체기준!$E$6:$E$15,MATCH(VALUE($A792&amp;""),계정대체기준!$D$6:$D$15,0)),0),0))</f>
        <v/>
      </c>
      <c r="AH792" s="64">
        <f>IF($A792="","",IF(AD792=0,"",IF(OR(COUNTIF(계정대체기준!$A$77:$A$86,$N792)&gt;0,ISNUMBER(MATCH($X792,계정대체기준!$D$77:$D$86,0)),ISNUMBER(MATCH($F792,계정대체기준!$D$77:$D$86,0))),"Y","N")))</f>
        <v/>
      </c>
    </row>
    <row r="793">
      <c r="A793" s="92" t="n">
        <v>2025</v>
      </c>
      <c r="B793" s="92" t="n">
        <v>4</v>
      </c>
      <c r="C793" s="92" t="inlineStr">
        <is>
          <t>5100000789</t>
        </is>
      </c>
      <c r="D793" s="95" t="n">
        <v>45760</v>
      </c>
      <c r="E793" s="92" t="inlineStr">
        <is>
          <t>KR</t>
        </is>
      </c>
      <c r="F793" s="92" t="n">
        <v>62301000</v>
      </c>
      <c r="G793" s="92" t="n">
        <v>1502</v>
      </c>
      <c r="H793" s="93" t="n">
        <v>213000</v>
      </c>
      <c r="I793" s="92" t="inlineStr">
        <is>
          <t>4월 소모품 구입 - R문구</t>
        </is>
      </c>
      <c r="J793" s="92" t="inlineStr">
        <is>
          <t>V10022</t>
        </is>
      </c>
      <c r="K793" s="92" t="inlineStr">
        <is>
          <t>R문구</t>
        </is>
      </c>
      <c r="M793" s="9">
        <f>IF($A793="","",VALUE($A793&amp;"")*12+VALUE($B793&amp;""))</f>
        <v/>
      </c>
      <c r="N793" s="64">
        <f>IF($A793="","",IFERROR(INDEX(부서매핑!$C$5:$C$504,MATCH($G793&amp;"",부서매핑!$A$5:$A$504,0)),"미매핑"))</f>
        <v/>
      </c>
      <c r="O793" s="9">
        <f>IF($A793="","",N793&amp;"|"&amp;$F793)</f>
        <v/>
      </c>
      <c r="P793" s="94">
        <f>IF($A793="",0,$H793*설정!$C$23)</f>
        <v/>
      </c>
      <c r="Q793" s="64">
        <f>IF($A793="","",IF(O793&lt;&gt;원인분석!$C$9,"",IF(AND(M793&gt;=원인분석!$C$10,M793&lt;=원인분석!$C$11),"당기",IF(AND(M793&gt;=원인분석!$C$12,M793&lt;=원인분석!$C$13),"비교",""))))</f>
        <v/>
      </c>
      <c r="R793" s="9">
        <f>IF(Q793="","",$K793&amp;"")</f>
        <v/>
      </c>
      <c r="S793" s="9">
        <f>IF(Q793="","",IF(MATCH(R793,$R$5:$R$100000,0)=ROW()-4,ROW(),""))</f>
        <v/>
      </c>
      <c r="T793" s="9">
        <f>IF(Q793="당기",ABS(P793)+ROW()/1000000000,"")</f>
        <v/>
      </c>
      <c r="U793" s="9">
        <f>IF(Q793="비교",ABS(P793)+ROW()/1000000000,"")</f>
        <v/>
      </c>
      <c r="V793" s="64">
        <f>IF($A793="","",IF(COUNTIF(변동분석!$E$7:$E$506,O793)&gt;0,"Y","N"))</f>
        <v/>
      </c>
      <c r="W793" s="64">
        <f>IF($A793="","",IFERROR(INDEX(계정매핑!$D$5:$D$504,MATCH($F793&amp;"",계정매핑!$A$5:$A$504,0)),"미매핑"))</f>
        <v/>
      </c>
      <c r="X793" s="9">
        <f>IF($A793="","",$F793&amp;"")</f>
        <v/>
      </c>
      <c r="Y793" s="94">
        <f>IF($A793="",0,IF(AE793="직접",IF(AF793="비귀속",$P793,0),$P793*(1-AG793)*IFERROR(INDEX(계정대체기준!$F$20:$F$49,MATCH($N793,계정대체기준!$A$20:$A$49,0)),1)))</f>
        <v/>
      </c>
      <c r="Z793" s="94">
        <f>IF($A793="",0,IF(AE793="직접",IF(AF793="신계약비",$P793,0),$P793*(1-AG793)*IFERROR(INDEX(계정대체기준!$C$20:$C$49,MATCH($N793,계정대체기준!$A$20:$A$49,0)),0)))</f>
        <v/>
      </c>
      <c r="AA793" s="94">
        <f>IF($A793="",0,IF(AE793="직접",IF(OR(AF793="유지비",AF793="손해조사비"),$P793,0),$P793*(1-AG793)*IFERROR(INDEX(계정대체기준!$D$20:$D$49,MATCH($N793,계정대체기준!$A$20:$A$49,0)),0)))</f>
        <v/>
      </c>
      <c r="AB793" s="94">
        <f>IF($A793="",0,IF(AE793="직접",IF(AF793="수금비",$P793,0),$P793*(1-AG793)*IFERROR(INDEX(계정대체기준!$E$20:$E$49,MATCH($N793,계정대체기준!$A$20:$A$49,0)),0)))</f>
        <v/>
      </c>
      <c r="AC793" s="9">
        <f>IF(AND($A793&lt;&gt;"",M793=설정!$C$20,Z793&gt;0),Z793+ROW()/1000000000,"")</f>
        <v/>
      </c>
      <c r="AD793" s="94">
        <f>IF($A793="",0,$P793*AG793)</f>
        <v/>
      </c>
      <c r="AE793" s="64">
        <f>IF($A793="","",IFERROR(INDEX(계정매핑!$E$5:$E$504,MATCH($F793&amp;"",계정매핑!$A$5:$A$504,0))&amp;"","공통비"))</f>
        <v/>
      </c>
      <c r="AF793" s="64">
        <f>IF($A793="","",IF(AE793="직접",IFERROR(INDEX(계정매핑!$F$5:$F$504,MATCH($F793&amp;"",계정매핑!$A$5:$A$504,0))&amp;"","비귀속"),""))</f>
        <v/>
      </c>
      <c r="AG793" s="96">
        <f>IF($A793="",0,IF(AND(AE793&lt;&gt;"직접",IFERROR(INDEX(계정매핑!$G$5:$G$504,MATCH($F793&amp;"",계정매핑!$A$5:$A$504,0))&amp;"","")="유지비",COUNTIF(계정대체기준!$A$6:$A$15,$N793)&gt;0),IFERROR(INDEX(계정대체기준!$E$6:$E$15,MATCH(VALUE($A793&amp;""),계정대체기준!$D$6:$D$15,0)),0),0))</f>
        <v/>
      </c>
      <c r="AH793" s="64">
        <f>IF($A793="","",IF(AD793=0,"",IF(OR(COUNTIF(계정대체기준!$A$77:$A$86,$N793)&gt;0,ISNUMBER(MATCH($X793,계정대체기준!$D$77:$D$86,0)),ISNUMBER(MATCH($F793,계정대체기준!$D$77:$D$86,0))),"Y","N")))</f>
        <v/>
      </c>
    </row>
    <row r="794">
      <c r="A794" s="92" t="n">
        <v>2025</v>
      </c>
      <c r="B794" s="92" t="n">
        <v>4</v>
      </c>
      <c r="C794" s="92" t="inlineStr">
        <is>
          <t>5100000790</t>
        </is>
      </c>
      <c r="D794" s="95" t="n">
        <v>45760</v>
      </c>
      <c r="E794" s="92" t="inlineStr">
        <is>
          <t>KR</t>
        </is>
      </c>
      <c r="F794" s="92" t="n">
        <v>62501000</v>
      </c>
      <c r="G794" s="92" t="n">
        <v>1401</v>
      </c>
      <c r="H794" s="93" t="n">
        <v>105000</v>
      </c>
      <c r="I794" s="92" t="inlineStr">
        <is>
          <t>4월 회의 다과 - T케이터링</t>
        </is>
      </c>
      <c r="J794" s="92" t="inlineStr">
        <is>
          <t>V10005</t>
        </is>
      </c>
      <c r="K794" s="92" t="inlineStr">
        <is>
          <t>T케이터링</t>
        </is>
      </c>
      <c r="M794" s="9">
        <f>IF($A794="","",VALUE($A794&amp;"")*12+VALUE($B794&amp;""))</f>
        <v/>
      </c>
      <c r="N794" s="64">
        <f>IF($A794="","",IFERROR(INDEX(부서매핑!$C$5:$C$504,MATCH($G794&amp;"",부서매핑!$A$5:$A$504,0)),"미매핑"))</f>
        <v/>
      </c>
      <c r="O794" s="9">
        <f>IF($A794="","",N794&amp;"|"&amp;$F794)</f>
        <v/>
      </c>
      <c r="P794" s="94">
        <f>IF($A794="",0,$H794*설정!$C$23)</f>
        <v/>
      </c>
      <c r="Q794" s="64">
        <f>IF($A794="","",IF(O794&lt;&gt;원인분석!$C$9,"",IF(AND(M794&gt;=원인분석!$C$10,M794&lt;=원인분석!$C$11),"당기",IF(AND(M794&gt;=원인분석!$C$12,M794&lt;=원인분석!$C$13),"비교",""))))</f>
        <v/>
      </c>
      <c r="R794" s="9">
        <f>IF(Q794="","",$K794&amp;"")</f>
        <v/>
      </c>
      <c r="S794" s="9">
        <f>IF(Q794="","",IF(MATCH(R794,$R$5:$R$100000,0)=ROW()-4,ROW(),""))</f>
        <v/>
      </c>
      <c r="T794" s="9">
        <f>IF(Q794="당기",ABS(P794)+ROW()/1000000000,"")</f>
        <v/>
      </c>
      <c r="U794" s="9">
        <f>IF(Q794="비교",ABS(P794)+ROW()/1000000000,"")</f>
        <v/>
      </c>
      <c r="V794" s="64">
        <f>IF($A794="","",IF(COUNTIF(변동분석!$E$7:$E$506,O794)&gt;0,"Y","N"))</f>
        <v/>
      </c>
      <c r="W794" s="64">
        <f>IF($A794="","",IFERROR(INDEX(계정매핑!$D$5:$D$504,MATCH($F794&amp;"",계정매핑!$A$5:$A$504,0)),"미매핑"))</f>
        <v/>
      </c>
      <c r="X794" s="9">
        <f>IF($A794="","",$F794&amp;"")</f>
        <v/>
      </c>
      <c r="Y794" s="94">
        <f>IF($A794="",0,IF(AE794="직접",IF(AF794="비귀속",$P794,0),$P794*(1-AG794)*IFERROR(INDEX(계정대체기준!$F$20:$F$49,MATCH($N794,계정대체기준!$A$20:$A$49,0)),1)))</f>
        <v/>
      </c>
      <c r="Z794" s="94">
        <f>IF($A794="",0,IF(AE794="직접",IF(AF794="신계약비",$P794,0),$P794*(1-AG794)*IFERROR(INDEX(계정대체기준!$C$20:$C$49,MATCH($N794,계정대체기준!$A$20:$A$49,0)),0)))</f>
        <v/>
      </c>
      <c r="AA794" s="94">
        <f>IF($A794="",0,IF(AE794="직접",IF(OR(AF794="유지비",AF794="손해조사비"),$P794,0),$P794*(1-AG794)*IFERROR(INDEX(계정대체기준!$D$20:$D$49,MATCH($N794,계정대체기준!$A$20:$A$49,0)),0)))</f>
        <v/>
      </c>
      <c r="AB794" s="94">
        <f>IF($A794="",0,IF(AE794="직접",IF(AF794="수금비",$P794,0),$P794*(1-AG794)*IFERROR(INDEX(계정대체기준!$E$20:$E$49,MATCH($N794,계정대체기준!$A$20:$A$49,0)),0)))</f>
        <v/>
      </c>
      <c r="AC794" s="9">
        <f>IF(AND($A794&lt;&gt;"",M794=설정!$C$20,Z794&gt;0),Z794+ROW()/1000000000,"")</f>
        <v/>
      </c>
      <c r="AD794" s="94">
        <f>IF($A794="",0,$P794*AG794)</f>
        <v/>
      </c>
      <c r="AE794" s="64">
        <f>IF($A794="","",IFERROR(INDEX(계정매핑!$E$5:$E$504,MATCH($F794&amp;"",계정매핑!$A$5:$A$504,0))&amp;"","공통비"))</f>
        <v/>
      </c>
      <c r="AF794" s="64">
        <f>IF($A794="","",IF(AE794="직접",IFERROR(INDEX(계정매핑!$F$5:$F$504,MATCH($F794&amp;"",계정매핑!$A$5:$A$504,0))&amp;"","비귀속"),""))</f>
        <v/>
      </c>
      <c r="AG794" s="96">
        <f>IF($A794="",0,IF(AND(AE794&lt;&gt;"직접",IFERROR(INDEX(계정매핑!$G$5:$G$504,MATCH($F794&amp;"",계정매핑!$A$5:$A$504,0))&amp;"","")="유지비",COUNTIF(계정대체기준!$A$6:$A$15,$N794)&gt;0),IFERROR(INDEX(계정대체기준!$E$6:$E$15,MATCH(VALUE($A794&amp;""),계정대체기준!$D$6:$D$15,0)),0),0))</f>
        <v/>
      </c>
      <c r="AH794" s="64">
        <f>IF($A794="","",IF(AD794=0,"",IF(OR(COUNTIF(계정대체기준!$A$77:$A$86,$N794)&gt;0,ISNUMBER(MATCH($X794,계정대체기준!$D$77:$D$86,0)),ISNUMBER(MATCH($F794,계정대체기준!$D$77:$D$86,0))),"Y","N")))</f>
        <v/>
      </c>
    </row>
    <row r="795">
      <c r="A795" s="92" t="n">
        <v>2025</v>
      </c>
      <c r="B795" s="92" t="n">
        <v>4</v>
      </c>
      <c r="C795" s="92" t="inlineStr">
        <is>
          <t>5100000791</t>
        </is>
      </c>
      <c r="D795" s="95" t="n">
        <v>45760</v>
      </c>
      <c r="E795" s="92" t="inlineStr">
        <is>
          <t>KR</t>
        </is>
      </c>
      <c r="F795" s="92" t="n">
        <v>62902000</v>
      </c>
      <c r="G795" s="92" t="n">
        <v>1201</v>
      </c>
      <c r="H795" s="93" t="n">
        <v>1858000</v>
      </c>
      <c r="I795" s="92" t="inlineStr">
        <is>
          <t>4월 업무 위탁 수수료 - X서비스</t>
        </is>
      </c>
      <c r="J795" s="92" t="inlineStr">
        <is>
          <t>V10020</t>
        </is>
      </c>
      <c r="K795" s="92" t="inlineStr">
        <is>
          <t>X서비스</t>
        </is>
      </c>
      <c r="M795" s="9">
        <f>IF($A795="","",VALUE($A795&amp;"")*12+VALUE($B795&amp;""))</f>
        <v/>
      </c>
      <c r="N795" s="64">
        <f>IF($A795="","",IFERROR(INDEX(부서매핑!$C$5:$C$504,MATCH($G795&amp;"",부서매핑!$A$5:$A$504,0)),"미매핑"))</f>
        <v/>
      </c>
      <c r="O795" s="9">
        <f>IF($A795="","",N795&amp;"|"&amp;$F795)</f>
        <v/>
      </c>
      <c r="P795" s="94">
        <f>IF($A795="",0,$H795*설정!$C$23)</f>
        <v/>
      </c>
      <c r="Q795" s="64">
        <f>IF($A795="","",IF(O795&lt;&gt;원인분석!$C$9,"",IF(AND(M795&gt;=원인분석!$C$10,M795&lt;=원인분석!$C$11),"당기",IF(AND(M795&gt;=원인분석!$C$12,M795&lt;=원인분석!$C$13),"비교",""))))</f>
        <v/>
      </c>
      <c r="R795" s="9">
        <f>IF(Q795="","",$K795&amp;"")</f>
        <v/>
      </c>
      <c r="S795" s="9">
        <f>IF(Q795="","",IF(MATCH(R795,$R$5:$R$100000,0)=ROW()-4,ROW(),""))</f>
        <v/>
      </c>
      <c r="T795" s="9">
        <f>IF(Q795="당기",ABS(P795)+ROW()/1000000000,"")</f>
        <v/>
      </c>
      <c r="U795" s="9">
        <f>IF(Q795="비교",ABS(P795)+ROW()/1000000000,"")</f>
        <v/>
      </c>
      <c r="V795" s="64">
        <f>IF($A795="","",IF(COUNTIF(변동분석!$E$7:$E$506,O795)&gt;0,"Y","N"))</f>
        <v/>
      </c>
      <c r="W795" s="64">
        <f>IF($A795="","",IFERROR(INDEX(계정매핑!$D$5:$D$504,MATCH($F795&amp;"",계정매핑!$A$5:$A$504,0)),"미매핑"))</f>
        <v/>
      </c>
      <c r="X795" s="9">
        <f>IF($A795="","",$F795&amp;"")</f>
        <v/>
      </c>
      <c r="Y795" s="94">
        <f>IF($A795="",0,IF(AE795="직접",IF(AF795="비귀속",$P795,0),$P795*(1-AG795)*IFERROR(INDEX(계정대체기준!$F$20:$F$49,MATCH($N795,계정대체기준!$A$20:$A$49,0)),1)))</f>
        <v/>
      </c>
      <c r="Z795" s="94">
        <f>IF($A795="",0,IF(AE795="직접",IF(AF795="신계약비",$P795,0),$P795*(1-AG795)*IFERROR(INDEX(계정대체기준!$C$20:$C$49,MATCH($N795,계정대체기준!$A$20:$A$49,0)),0)))</f>
        <v/>
      </c>
      <c r="AA795" s="94">
        <f>IF($A795="",0,IF(AE795="직접",IF(OR(AF795="유지비",AF795="손해조사비"),$P795,0),$P795*(1-AG795)*IFERROR(INDEX(계정대체기준!$D$20:$D$49,MATCH($N795,계정대체기준!$A$20:$A$49,0)),0)))</f>
        <v/>
      </c>
      <c r="AB795" s="94">
        <f>IF($A795="",0,IF(AE795="직접",IF(AF795="수금비",$P795,0),$P795*(1-AG795)*IFERROR(INDEX(계정대체기준!$E$20:$E$49,MATCH($N795,계정대체기준!$A$20:$A$49,0)),0)))</f>
        <v/>
      </c>
      <c r="AC795" s="9">
        <f>IF(AND($A795&lt;&gt;"",M795=설정!$C$20,Z795&gt;0),Z795+ROW()/1000000000,"")</f>
        <v/>
      </c>
      <c r="AD795" s="94">
        <f>IF($A795="",0,$P795*AG795)</f>
        <v/>
      </c>
      <c r="AE795" s="64">
        <f>IF($A795="","",IFERROR(INDEX(계정매핑!$E$5:$E$504,MATCH($F795&amp;"",계정매핑!$A$5:$A$504,0))&amp;"","공통비"))</f>
        <v/>
      </c>
      <c r="AF795" s="64">
        <f>IF($A795="","",IF(AE795="직접",IFERROR(INDEX(계정매핑!$F$5:$F$504,MATCH($F795&amp;"",계정매핑!$A$5:$A$504,0))&amp;"","비귀속"),""))</f>
        <v/>
      </c>
      <c r="AG795" s="96">
        <f>IF($A795="",0,IF(AND(AE795&lt;&gt;"직접",IFERROR(INDEX(계정매핑!$G$5:$G$504,MATCH($F795&amp;"",계정매핑!$A$5:$A$504,0))&amp;"","")="유지비",COUNTIF(계정대체기준!$A$6:$A$15,$N795)&gt;0),IFERROR(INDEX(계정대체기준!$E$6:$E$15,MATCH(VALUE($A795&amp;""),계정대체기준!$D$6:$D$15,0)),0),0))</f>
        <v/>
      </c>
      <c r="AH795" s="64">
        <f>IF($A795="","",IF(AD795=0,"",IF(OR(COUNTIF(계정대체기준!$A$77:$A$86,$N795)&gt;0,ISNUMBER(MATCH($X795,계정대체기준!$D$77:$D$86,0)),ISNUMBER(MATCH($F795,계정대체기준!$D$77:$D$86,0))),"Y","N")))</f>
        <v/>
      </c>
    </row>
    <row r="796">
      <c r="A796" s="92" t="n">
        <v>2025</v>
      </c>
      <c r="B796" s="92" t="n">
        <v>4</v>
      </c>
      <c r="C796" s="92" t="inlineStr">
        <is>
          <t>5100000792</t>
        </is>
      </c>
      <c r="D796" s="95" t="n">
        <v>45761</v>
      </c>
      <c r="E796" s="92" t="inlineStr">
        <is>
          <t>KR</t>
        </is>
      </c>
      <c r="F796" s="92" t="n">
        <v>62101000</v>
      </c>
      <c r="G796" s="92" t="n">
        <v>1201</v>
      </c>
      <c r="H796" s="93" t="n">
        <v>203000</v>
      </c>
      <c r="I796" s="92" t="inlineStr">
        <is>
          <t>4월 국내출장 - L여행사</t>
        </is>
      </c>
      <c r="J796" s="92" t="inlineStr">
        <is>
          <t>V10018</t>
        </is>
      </c>
      <c r="K796" s="92" t="inlineStr">
        <is>
          <t>L여행사</t>
        </is>
      </c>
      <c r="M796" s="9">
        <f>IF($A796="","",VALUE($A796&amp;"")*12+VALUE($B796&amp;""))</f>
        <v/>
      </c>
      <c r="N796" s="64">
        <f>IF($A796="","",IFERROR(INDEX(부서매핑!$C$5:$C$504,MATCH($G796&amp;"",부서매핑!$A$5:$A$504,0)),"미매핑"))</f>
        <v/>
      </c>
      <c r="O796" s="9">
        <f>IF($A796="","",N796&amp;"|"&amp;$F796)</f>
        <v/>
      </c>
      <c r="P796" s="94">
        <f>IF($A796="",0,$H796*설정!$C$23)</f>
        <v/>
      </c>
      <c r="Q796" s="64">
        <f>IF($A796="","",IF(O796&lt;&gt;원인분석!$C$9,"",IF(AND(M796&gt;=원인분석!$C$10,M796&lt;=원인분석!$C$11),"당기",IF(AND(M796&gt;=원인분석!$C$12,M796&lt;=원인분석!$C$13),"비교",""))))</f>
        <v/>
      </c>
      <c r="R796" s="9">
        <f>IF(Q796="","",$K796&amp;"")</f>
        <v/>
      </c>
      <c r="S796" s="9">
        <f>IF(Q796="","",IF(MATCH(R796,$R$5:$R$100000,0)=ROW()-4,ROW(),""))</f>
        <v/>
      </c>
      <c r="T796" s="9">
        <f>IF(Q796="당기",ABS(P796)+ROW()/1000000000,"")</f>
        <v/>
      </c>
      <c r="U796" s="9">
        <f>IF(Q796="비교",ABS(P796)+ROW()/1000000000,"")</f>
        <v/>
      </c>
      <c r="V796" s="64">
        <f>IF($A796="","",IF(COUNTIF(변동분석!$E$7:$E$506,O796)&gt;0,"Y","N"))</f>
        <v/>
      </c>
      <c r="W796" s="64">
        <f>IF($A796="","",IFERROR(INDEX(계정매핑!$D$5:$D$504,MATCH($F796&amp;"",계정매핑!$A$5:$A$504,0)),"미매핑"))</f>
        <v/>
      </c>
      <c r="X796" s="9">
        <f>IF($A796="","",$F796&amp;"")</f>
        <v/>
      </c>
      <c r="Y796" s="94">
        <f>IF($A796="",0,IF(AE796="직접",IF(AF796="비귀속",$P796,0),$P796*(1-AG796)*IFERROR(INDEX(계정대체기준!$F$20:$F$49,MATCH($N796,계정대체기준!$A$20:$A$49,0)),1)))</f>
        <v/>
      </c>
      <c r="Z796" s="94">
        <f>IF($A796="",0,IF(AE796="직접",IF(AF796="신계약비",$P796,0),$P796*(1-AG796)*IFERROR(INDEX(계정대체기준!$C$20:$C$49,MATCH($N796,계정대체기준!$A$20:$A$49,0)),0)))</f>
        <v/>
      </c>
      <c r="AA796" s="94">
        <f>IF($A796="",0,IF(AE796="직접",IF(OR(AF796="유지비",AF796="손해조사비"),$P796,0),$P796*(1-AG796)*IFERROR(INDEX(계정대체기준!$D$20:$D$49,MATCH($N796,계정대체기준!$A$20:$A$49,0)),0)))</f>
        <v/>
      </c>
      <c r="AB796" s="94">
        <f>IF($A796="",0,IF(AE796="직접",IF(AF796="수금비",$P796,0),$P796*(1-AG796)*IFERROR(INDEX(계정대체기준!$E$20:$E$49,MATCH($N796,계정대체기준!$A$20:$A$49,0)),0)))</f>
        <v/>
      </c>
      <c r="AC796" s="9">
        <f>IF(AND($A796&lt;&gt;"",M796=설정!$C$20,Z796&gt;0),Z796+ROW()/1000000000,"")</f>
        <v/>
      </c>
      <c r="AD796" s="94">
        <f>IF($A796="",0,$P796*AG796)</f>
        <v/>
      </c>
      <c r="AE796" s="64">
        <f>IF($A796="","",IFERROR(INDEX(계정매핑!$E$5:$E$504,MATCH($F796&amp;"",계정매핑!$A$5:$A$504,0))&amp;"","공통비"))</f>
        <v/>
      </c>
      <c r="AF796" s="64">
        <f>IF($A796="","",IF(AE796="직접",IFERROR(INDEX(계정매핑!$F$5:$F$504,MATCH($F796&amp;"",계정매핑!$A$5:$A$504,0))&amp;"","비귀속"),""))</f>
        <v/>
      </c>
      <c r="AG796" s="96">
        <f>IF($A796="",0,IF(AND(AE796&lt;&gt;"직접",IFERROR(INDEX(계정매핑!$G$5:$G$504,MATCH($F796&amp;"",계정매핑!$A$5:$A$504,0))&amp;"","")="유지비",COUNTIF(계정대체기준!$A$6:$A$15,$N796)&gt;0),IFERROR(INDEX(계정대체기준!$E$6:$E$15,MATCH(VALUE($A796&amp;""),계정대체기준!$D$6:$D$15,0)),0),0))</f>
        <v/>
      </c>
      <c r="AH796" s="64">
        <f>IF($A796="","",IF(AD796=0,"",IF(OR(COUNTIF(계정대체기준!$A$77:$A$86,$N796)&gt;0,ISNUMBER(MATCH($X796,계정대체기준!$D$77:$D$86,0)),ISNUMBER(MATCH($F796,계정대체기준!$D$77:$D$86,0))),"Y","N")))</f>
        <v/>
      </c>
    </row>
    <row r="797">
      <c r="A797" s="92" t="n">
        <v>2025</v>
      </c>
      <c r="B797" s="92" t="n">
        <v>4</v>
      </c>
      <c r="C797" s="92" t="inlineStr">
        <is>
          <t>5100000793</t>
        </is>
      </c>
      <c r="D797" s="95" t="n">
        <v>45761</v>
      </c>
      <c r="E797" s="92" t="inlineStr">
        <is>
          <t>KR</t>
        </is>
      </c>
      <c r="F797" s="92" t="n">
        <v>62101000</v>
      </c>
      <c r="G797" s="92" t="n">
        <v>1201</v>
      </c>
      <c r="H797" s="93" t="n">
        <v>178000</v>
      </c>
      <c r="I797" s="92" t="inlineStr">
        <is>
          <t>4월 국내출장 - M항공</t>
        </is>
      </c>
      <c r="J797" s="92" t="inlineStr">
        <is>
          <t>V10001</t>
        </is>
      </c>
      <c r="K797" s="92" t="inlineStr">
        <is>
          <t>M항공</t>
        </is>
      </c>
      <c r="M797" s="9">
        <f>IF($A797="","",VALUE($A797&amp;"")*12+VALUE($B797&amp;""))</f>
        <v/>
      </c>
      <c r="N797" s="64">
        <f>IF($A797="","",IFERROR(INDEX(부서매핑!$C$5:$C$504,MATCH($G797&amp;"",부서매핑!$A$5:$A$504,0)),"미매핑"))</f>
        <v/>
      </c>
      <c r="O797" s="9">
        <f>IF($A797="","",N797&amp;"|"&amp;$F797)</f>
        <v/>
      </c>
      <c r="P797" s="94">
        <f>IF($A797="",0,$H797*설정!$C$23)</f>
        <v/>
      </c>
      <c r="Q797" s="64">
        <f>IF($A797="","",IF(O797&lt;&gt;원인분석!$C$9,"",IF(AND(M797&gt;=원인분석!$C$10,M797&lt;=원인분석!$C$11),"당기",IF(AND(M797&gt;=원인분석!$C$12,M797&lt;=원인분석!$C$13),"비교",""))))</f>
        <v/>
      </c>
      <c r="R797" s="9">
        <f>IF(Q797="","",$K797&amp;"")</f>
        <v/>
      </c>
      <c r="S797" s="9">
        <f>IF(Q797="","",IF(MATCH(R797,$R$5:$R$100000,0)=ROW()-4,ROW(),""))</f>
        <v/>
      </c>
      <c r="T797" s="9">
        <f>IF(Q797="당기",ABS(P797)+ROW()/1000000000,"")</f>
        <v/>
      </c>
      <c r="U797" s="9">
        <f>IF(Q797="비교",ABS(P797)+ROW()/1000000000,"")</f>
        <v/>
      </c>
      <c r="V797" s="64">
        <f>IF($A797="","",IF(COUNTIF(변동분석!$E$7:$E$506,O797)&gt;0,"Y","N"))</f>
        <v/>
      </c>
      <c r="W797" s="64">
        <f>IF($A797="","",IFERROR(INDEX(계정매핑!$D$5:$D$504,MATCH($F797&amp;"",계정매핑!$A$5:$A$504,0)),"미매핑"))</f>
        <v/>
      </c>
      <c r="X797" s="9">
        <f>IF($A797="","",$F797&amp;"")</f>
        <v/>
      </c>
      <c r="Y797" s="94">
        <f>IF($A797="",0,IF(AE797="직접",IF(AF797="비귀속",$P797,0),$P797*(1-AG797)*IFERROR(INDEX(계정대체기준!$F$20:$F$49,MATCH($N797,계정대체기준!$A$20:$A$49,0)),1)))</f>
        <v/>
      </c>
      <c r="Z797" s="94">
        <f>IF($A797="",0,IF(AE797="직접",IF(AF797="신계약비",$P797,0),$P797*(1-AG797)*IFERROR(INDEX(계정대체기준!$C$20:$C$49,MATCH($N797,계정대체기준!$A$20:$A$49,0)),0)))</f>
        <v/>
      </c>
      <c r="AA797" s="94">
        <f>IF($A797="",0,IF(AE797="직접",IF(OR(AF797="유지비",AF797="손해조사비"),$P797,0),$P797*(1-AG797)*IFERROR(INDEX(계정대체기준!$D$20:$D$49,MATCH($N797,계정대체기준!$A$20:$A$49,0)),0)))</f>
        <v/>
      </c>
      <c r="AB797" s="94">
        <f>IF($A797="",0,IF(AE797="직접",IF(AF797="수금비",$P797,0),$P797*(1-AG797)*IFERROR(INDEX(계정대체기준!$E$20:$E$49,MATCH($N797,계정대체기준!$A$20:$A$49,0)),0)))</f>
        <v/>
      </c>
      <c r="AC797" s="9">
        <f>IF(AND($A797&lt;&gt;"",M797=설정!$C$20,Z797&gt;0),Z797+ROW()/1000000000,"")</f>
        <v/>
      </c>
      <c r="AD797" s="94">
        <f>IF($A797="",0,$P797*AG797)</f>
        <v/>
      </c>
      <c r="AE797" s="64">
        <f>IF($A797="","",IFERROR(INDEX(계정매핑!$E$5:$E$504,MATCH($F797&amp;"",계정매핑!$A$5:$A$504,0))&amp;"","공통비"))</f>
        <v/>
      </c>
      <c r="AF797" s="64">
        <f>IF($A797="","",IF(AE797="직접",IFERROR(INDEX(계정매핑!$F$5:$F$504,MATCH($F797&amp;"",계정매핑!$A$5:$A$504,0))&amp;"","비귀속"),""))</f>
        <v/>
      </c>
      <c r="AG797" s="96">
        <f>IF($A797="",0,IF(AND(AE797&lt;&gt;"직접",IFERROR(INDEX(계정매핑!$G$5:$G$504,MATCH($F797&amp;"",계정매핑!$A$5:$A$504,0))&amp;"","")="유지비",COUNTIF(계정대체기준!$A$6:$A$15,$N797)&gt;0),IFERROR(INDEX(계정대체기준!$E$6:$E$15,MATCH(VALUE($A797&amp;""),계정대체기준!$D$6:$D$15,0)),0),0))</f>
        <v/>
      </c>
      <c r="AH797" s="64">
        <f>IF($A797="","",IF(AD797=0,"",IF(OR(COUNTIF(계정대체기준!$A$77:$A$86,$N797)&gt;0,ISNUMBER(MATCH($X797,계정대체기준!$D$77:$D$86,0)),ISNUMBER(MATCH($F797,계정대체기준!$D$77:$D$86,0))),"Y","N")))</f>
        <v/>
      </c>
    </row>
    <row r="798">
      <c r="A798" s="92" t="n">
        <v>2025</v>
      </c>
      <c r="B798" s="92" t="n">
        <v>4</v>
      </c>
      <c r="C798" s="92" t="inlineStr">
        <is>
          <t>5100000794</t>
        </is>
      </c>
      <c r="D798" s="95" t="n">
        <v>45761</v>
      </c>
      <c r="E798" s="92" t="inlineStr">
        <is>
          <t>KR</t>
        </is>
      </c>
      <c r="F798" s="92" t="n">
        <v>62101000</v>
      </c>
      <c r="G798" s="92" t="n">
        <v>1301</v>
      </c>
      <c r="H798" s="93" t="n">
        <v>173000</v>
      </c>
      <c r="I798" s="92" t="inlineStr">
        <is>
          <t>4월 국내출장 - L여행사</t>
        </is>
      </c>
      <c r="J798" s="92" t="inlineStr">
        <is>
          <t>V10018</t>
        </is>
      </c>
      <c r="K798" s="92" t="inlineStr">
        <is>
          <t>L여행사</t>
        </is>
      </c>
      <c r="M798" s="9">
        <f>IF($A798="","",VALUE($A798&amp;"")*12+VALUE($B798&amp;""))</f>
        <v/>
      </c>
      <c r="N798" s="64">
        <f>IF($A798="","",IFERROR(INDEX(부서매핑!$C$5:$C$504,MATCH($G798&amp;"",부서매핑!$A$5:$A$504,0)),"미매핑"))</f>
        <v/>
      </c>
      <c r="O798" s="9">
        <f>IF($A798="","",N798&amp;"|"&amp;$F798)</f>
        <v/>
      </c>
      <c r="P798" s="94">
        <f>IF($A798="",0,$H798*설정!$C$23)</f>
        <v/>
      </c>
      <c r="Q798" s="64">
        <f>IF($A798="","",IF(O798&lt;&gt;원인분석!$C$9,"",IF(AND(M798&gt;=원인분석!$C$10,M798&lt;=원인분석!$C$11),"당기",IF(AND(M798&gt;=원인분석!$C$12,M798&lt;=원인분석!$C$13),"비교",""))))</f>
        <v/>
      </c>
      <c r="R798" s="9">
        <f>IF(Q798="","",$K798&amp;"")</f>
        <v/>
      </c>
      <c r="S798" s="9">
        <f>IF(Q798="","",IF(MATCH(R798,$R$5:$R$100000,0)=ROW()-4,ROW(),""))</f>
        <v/>
      </c>
      <c r="T798" s="9">
        <f>IF(Q798="당기",ABS(P798)+ROW()/1000000000,"")</f>
        <v/>
      </c>
      <c r="U798" s="9">
        <f>IF(Q798="비교",ABS(P798)+ROW()/1000000000,"")</f>
        <v/>
      </c>
      <c r="V798" s="64">
        <f>IF($A798="","",IF(COUNTIF(변동분석!$E$7:$E$506,O798)&gt;0,"Y","N"))</f>
        <v/>
      </c>
      <c r="W798" s="64">
        <f>IF($A798="","",IFERROR(INDEX(계정매핑!$D$5:$D$504,MATCH($F798&amp;"",계정매핑!$A$5:$A$504,0)),"미매핑"))</f>
        <v/>
      </c>
      <c r="X798" s="9">
        <f>IF($A798="","",$F798&amp;"")</f>
        <v/>
      </c>
      <c r="Y798" s="94">
        <f>IF($A798="",0,IF(AE798="직접",IF(AF798="비귀속",$P798,0),$P798*(1-AG798)*IFERROR(INDEX(계정대체기준!$F$20:$F$49,MATCH($N798,계정대체기준!$A$20:$A$49,0)),1)))</f>
        <v/>
      </c>
      <c r="Z798" s="94">
        <f>IF($A798="",0,IF(AE798="직접",IF(AF798="신계약비",$P798,0),$P798*(1-AG798)*IFERROR(INDEX(계정대체기준!$C$20:$C$49,MATCH($N798,계정대체기준!$A$20:$A$49,0)),0)))</f>
        <v/>
      </c>
      <c r="AA798" s="94">
        <f>IF($A798="",0,IF(AE798="직접",IF(OR(AF798="유지비",AF798="손해조사비"),$P798,0),$P798*(1-AG798)*IFERROR(INDEX(계정대체기준!$D$20:$D$49,MATCH($N798,계정대체기준!$A$20:$A$49,0)),0)))</f>
        <v/>
      </c>
      <c r="AB798" s="94">
        <f>IF($A798="",0,IF(AE798="직접",IF(AF798="수금비",$P798,0),$P798*(1-AG798)*IFERROR(INDEX(계정대체기준!$E$20:$E$49,MATCH($N798,계정대체기준!$A$20:$A$49,0)),0)))</f>
        <v/>
      </c>
      <c r="AC798" s="9">
        <f>IF(AND($A798&lt;&gt;"",M798=설정!$C$20,Z798&gt;0),Z798+ROW()/1000000000,"")</f>
        <v/>
      </c>
      <c r="AD798" s="94">
        <f>IF($A798="",0,$P798*AG798)</f>
        <v/>
      </c>
      <c r="AE798" s="64">
        <f>IF($A798="","",IFERROR(INDEX(계정매핑!$E$5:$E$504,MATCH($F798&amp;"",계정매핑!$A$5:$A$504,0))&amp;"","공통비"))</f>
        <v/>
      </c>
      <c r="AF798" s="64">
        <f>IF($A798="","",IF(AE798="직접",IFERROR(INDEX(계정매핑!$F$5:$F$504,MATCH($F798&amp;"",계정매핑!$A$5:$A$504,0))&amp;"","비귀속"),""))</f>
        <v/>
      </c>
      <c r="AG798" s="96">
        <f>IF($A798="",0,IF(AND(AE798&lt;&gt;"직접",IFERROR(INDEX(계정매핑!$G$5:$G$504,MATCH($F798&amp;"",계정매핑!$A$5:$A$504,0))&amp;"","")="유지비",COUNTIF(계정대체기준!$A$6:$A$15,$N798)&gt;0),IFERROR(INDEX(계정대체기준!$E$6:$E$15,MATCH(VALUE($A798&amp;""),계정대체기준!$D$6:$D$15,0)),0),0))</f>
        <v/>
      </c>
      <c r="AH798" s="64">
        <f>IF($A798="","",IF(AD798=0,"",IF(OR(COUNTIF(계정대체기준!$A$77:$A$86,$N798)&gt;0,ISNUMBER(MATCH($X798,계정대체기준!$D$77:$D$86,0)),ISNUMBER(MATCH($F798,계정대체기준!$D$77:$D$86,0))),"Y","N")))</f>
        <v/>
      </c>
    </row>
    <row r="799">
      <c r="A799" s="92" t="n">
        <v>2025</v>
      </c>
      <c r="B799" s="92" t="n">
        <v>4</v>
      </c>
      <c r="C799" s="92" t="inlineStr">
        <is>
          <t>5100000795</t>
        </is>
      </c>
      <c r="D799" s="95" t="n">
        <v>45761</v>
      </c>
      <c r="E799" s="92" t="inlineStr">
        <is>
          <t>KR</t>
        </is>
      </c>
      <c r="F799" s="92" t="n">
        <v>62102000</v>
      </c>
      <c r="G799" s="92" t="n">
        <v>1101</v>
      </c>
      <c r="H799" s="93" t="n">
        <v>168000</v>
      </c>
      <c r="I799" s="92" t="inlineStr">
        <is>
          <t>4월 해외출장 - M항공</t>
        </is>
      </c>
      <c r="J799" s="92" t="inlineStr">
        <is>
          <t>V10001</t>
        </is>
      </c>
      <c r="K799" s="92" t="inlineStr">
        <is>
          <t>M항공</t>
        </is>
      </c>
      <c r="M799" s="9">
        <f>IF($A799="","",VALUE($A799&amp;"")*12+VALUE($B799&amp;""))</f>
        <v/>
      </c>
      <c r="N799" s="64">
        <f>IF($A799="","",IFERROR(INDEX(부서매핑!$C$5:$C$504,MATCH($G799&amp;"",부서매핑!$A$5:$A$504,0)),"미매핑"))</f>
        <v/>
      </c>
      <c r="O799" s="9">
        <f>IF($A799="","",N799&amp;"|"&amp;$F799)</f>
        <v/>
      </c>
      <c r="P799" s="94">
        <f>IF($A799="",0,$H799*설정!$C$23)</f>
        <v/>
      </c>
      <c r="Q799" s="64">
        <f>IF($A799="","",IF(O799&lt;&gt;원인분석!$C$9,"",IF(AND(M799&gt;=원인분석!$C$10,M799&lt;=원인분석!$C$11),"당기",IF(AND(M799&gt;=원인분석!$C$12,M799&lt;=원인분석!$C$13),"비교",""))))</f>
        <v/>
      </c>
      <c r="R799" s="9">
        <f>IF(Q799="","",$K799&amp;"")</f>
        <v/>
      </c>
      <c r="S799" s="9">
        <f>IF(Q799="","",IF(MATCH(R799,$R$5:$R$100000,0)=ROW()-4,ROW(),""))</f>
        <v/>
      </c>
      <c r="T799" s="9">
        <f>IF(Q799="당기",ABS(P799)+ROW()/1000000000,"")</f>
        <v/>
      </c>
      <c r="U799" s="9">
        <f>IF(Q799="비교",ABS(P799)+ROW()/1000000000,"")</f>
        <v/>
      </c>
      <c r="V799" s="64">
        <f>IF($A799="","",IF(COUNTIF(변동분석!$E$7:$E$506,O799)&gt;0,"Y","N"))</f>
        <v/>
      </c>
      <c r="W799" s="64">
        <f>IF($A799="","",IFERROR(INDEX(계정매핑!$D$5:$D$504,MATCH($F799&amp;"",계정매핑!$A$5:$A$504,0)),"미매핑"))</f>
        <v/>
      </c>
      <c r="X799" s="9">
        <f>IF($A799="","",$F799&amp;"")</f>
        <v/>
      </c>
      <c r="Y799" s="94">
        <f>IF($A799="",0,IF(AE799="직접",IF(AF799="비귀속",$P799,0),$P799*(1-AG799)*IFERROR(INDEX(계정대체기준!$F$20:$F$49,MATCH($N799,계정대체기준!$A$20:$A$49,0)),1)))</f>
        <v/>
      </c>
      <c r="Z799" s="94">
        <f>IF($A799="",0,IF(AE799="직접",IF(AF799="신계약비",$P799,0),$P799*(1-AG799)*IFERROR(INDEX(계정대체기준!$C$20:$C$49,MATCH($N799,계정대체기준!$A$20:$A$49,0)),0)))</f>
        <v/>
      </c>
      <c r="AA799" s="94">
        <f>IF($A799="",0,IF(AE799="직접",IF(OR(AF799="유지비",AF799="손해조사비"),$P799,0),$P799*(1-AG799)*IFERROR(INDEX(계정대체기준!$D$20:$D$49,MATCH($N799,계정대체기준!$A$20:$A$49,0)),0)))</f>
        <v/>
      </c>
      <c r="AB799" s="94">
        <f>IF($A799="",0,IF(AE799="직접",IF(AF799="수금비",$P799,0),$P799*(1-AG799)*IFERROR(INDEX(계정대체기준!$E$20:$E$49,MATCH($N799,계정대체기준!$A$20:$A$49,0)),0)))</f>
        <v/>
      </c>
      <c r="AC799" s="9">
        <f>IF(AND($A799&lt;&gt;"",M799=설정!$C$20,Z799&gt;0),Z799+ROW()/1000000000,"")</f>
        <v/>
      </c>
      <c r="AD799" s="94">
        <f>IF($A799="",0,$P799*AG799)</f>
        <v/>
      </c>
      <c r="AE799" s="64">
        <f>IF($A799="","",IFERROR(INDEX(계정매핑!$E$5:$E$504,MATCH($F799&amp;"",계정매핑!$A$5:$A$504,0))&amp;"","공통비"))</f>
        <v/>
      </c>
      <c r="AF799" s="64">
        <f>IF($A799="","",IF(AE799="직접",IFERROR(INDEX(계정매핑!$F$5:$F$504,MATCH($F799&amp;"",계정매핑!$A$5:$A$504,0))&amp;"","비귀속"),""))</f>
        <v/>
      </c>
      <c r="AG799" s="96">
        <f>IF($A799="",0,IF(AND(AE799&lt;&gt;"직접",IFERROR(INDEX(계정매핑!$G$5:$G$504,MATCH($F799&amp;"",계정매핑!$A$5:$A$504,0))&amp;"","")="유지비",COUNTIF(계정대체기준!$A$6:$A$15,$N799)&gt;0),IFERROR(INDEX(계정대체기준!$E$6:$E$15,MATCH(VALUE($A799&amp;""),계정대체기준!$D$6:$D$15,0)),0),0))</f>
        <v/>
      </c>
      <c r="AH799" s="64">
        <f>IF($A799="","",IF(AD799=0,"",IF(OR(COUNTIF(계정대체기준!$A$77:$A$86,$N799)&gt;0,ISNUMBER(MATCH($X799,계정대체기준!$D$77:$D$86,0)),ISNUMBER(MATCH($F799,계정대체기준!$D$77:$D$86,0))),"Y","N")))</f>
        <v/>
      </c>
    </row>
    <row r="800">
      <c r="A800" s="92" t="n">
        <v>2025</v>
      </c>
      <c r="B800" s="92" t="n">
        <v>4</v>
      </c>
      <c r="C800" s="92" t="inlineStr">
        <is>
          <t>5100000796</t>
        </is>
      </c>
      <c r="D800" s="95" t="n">
        <v>45761</v>
      </c>
      <c r="E800" s="92" t="inlineStr">
        <is>
          <t>KR</t>
        </is>
      </c>
      <c r="F800" s="92" t="n">
        <v>62102000</v>
      </c>
      <c r="G800" s="92" t="n">
        <v>1101</v>
      </c>
      <c r="H800" s="93" t="n">
        <v>109000</v>
      </c>
      <c r="I800" s="92" t="inlineStr">
        <is>
          <t>4월 해외출장 - N호텔</t>
        </is>
      </c>
      <c r="J800" s="92" t="inlineStr">
        <is>
          <t>V10009</t>
        </is>
      </c>
      <c r="K800" s="92" t="inlineStr">
        <is>
          <t>N호텔</t>
        </is>
      </c>
      <c r="M800" s="9">
        <f>IF($A800="","",VALUE($A800&amp;"")*12+VALUE($B800&amp;""))</f>
        <v/>
      </c>
      <c r="N800" s="64">
        <f>IF($A800="","",IFERROR(INDEX(부서매핑!$C$5:$C$504,MATCH($G800&amp;"",부서매핑!$A$5:$A$504,0)),"미매핑"))</f>
        <v/>
      </c>
      <c r="O800" s="9">
        <f>IF($A800="","",N800&amp;"|"&amp;$F800)</f>
        <v/>
      </c>
      <c r="P800" s="94">
        <f>IF($A800="",0,$H800*설정!$C$23)</f>
        <v/>
      </c>
      <c r="Q800" s="64">
        <f>IF($A800="","",IF(O800&lt;&gt;원인분석!$C$9,"",IF(AND(M800&gt;=원인분석!$C$10,M800&lt;=원인분석!$C$11),"당기",IF(AND(M800&gt;=원인분석!$C$12,M800&lt;=원인분석!$C$13),"비교",""))))</f>
        <v/>
      </c>
      <c r="R800" s="9">
        <f>IF(Q800="","",$K800&amp;"")</f>
        <v/>
      </c>
      <c r="S800" s="9">
        <f>IF(Q800="","",IF(MATCH(R800,$R$5:$R$100000,0)=ROW()-4,ROW(),""))</f>
        <v/>
      </c>
      <c r="T800" s="9">
        <f>IF(Q800="당기",ABS(P800)+ROW()/1000000000,"")</f>
        <v/>
      </c>
      <c r="U800" s="9">
        <f>IF(Q800="비교",ABS(P800)+ROW()/1000000000,"")</f>
        <v/>
      </c>
      <c r="V800" s="64">
        <f>IF($A800="","",IF(COUNTIF(변동분석!$E$7:$E$506,O800)&gt;0,"Y","N"))</f>
        <v/>
      </c>
      <c r="W800" s="64">
        <f>IF($A800="","",IFERROR(INDEX(계정매핑!$D$5:$D$504,MATCH($F800&amp;"",계정매핑!$A$5:$A$504,0)),"미매핑"))</f>
        <v/>
      </c>
      <c r="X800" s="9">
        <f>IF($A800="","",$F800&amp;"")</f>
        <v/>
      </c>
      <c r="Y800" s="94">
        <f>IF($A800="",0,IF(AE800="직접",IF(AF800="비귀속",$P800,0),$P800*(1-AG800)*IFERROR(INDEX(계정대체기준!$F$20:$F$49,MATCH($N800,계정대체기준!$A$20:$A$49,0)),1)))</f>
        <v/>
      </c>
      <c r="Z800" s="94">
        <f>IF($A800="",0,IF(AE800="직접",IF(AF800="신계약비",$P800,0),$P800*(1-AG800)*IFERROR(INDEX(계정대체기준!$C$20:$C$49,MATCH($N800,계정대체기준!$A$20:$A$49,0)),0)))</f>
        <v/>
      </c>
      <c r="AA800" s="94">
        <f>IF($A800="",0,IF(AE800="직접",IF(OR(AF800="유지비",AF800="손해조사비"),$P800,0),$P800*(1-AG800)*IFERROR(INDEX(계정대체기준!$D$20:$D$49,MATCH($N800,계정대체기준!$A$20:$A$49,0)),0)))</f>
        <v/>
      </c>
      <c r="AB800" s="94">
        <f>IF($A800="",0,IF(AE800="직접",IF(AF800="수금비",$P800,0),$P800*(1-AG800)*IFERROR(INDEX(계정대체기준!$E$20:$E$49,MATCH($N800,계정대체기준!$A$20:$A$49,0)),0)))</f>
        <v/>
      </c>
      <c r="AC800" s="9">
        <f>IF(AND($A800&lt;&gt;"",M800=설정!$C$20,Z800&gt;0),Z800+ROW()/1000000000,"")</f>
        <v/>
      </c>
      <c r="AD800" s="94">
        <f>IF($A800="",0,$P800*AG800)</f>
        <v/>
      </c>
      <c r="AE800" s="64">
        <f>IF($A800="","",IFERROR(INDEX(계정매핑!$E$5:$E$504,MATCH($F800&amp;"",계정매핑!$A$5:$A$504,0))&amp;"","공통비"))</f>
        <v/>
      </c>
      <c r="AF800" s="64">
        <f>IF($A800="","",IF(AE800="직접",IFERROR(INDEX(계정매핑!$F$5:$F$504,MATCH($F800&amp;"",계정매핑!$A$5:$A$504,0))&amp;"","비귀속"),""))</f>
        <v/>
      </c>
      <c r="AG800" s="96">
        <f>IF($A800="",0,IF(AND(AE800&lt;&gt;"직접",IFERROR(INDEX(계정매핑!$G$5:$G$504,MATCH($F800&amp;"",계정매핑!$A$5:$A$504,0))&amp;"","")="유지비",COUNTIF(계정대체기준!$A$6:$A$15,$N800)&gt;0),IFERROR(INDEX(계정대체기준!$E$6:$E$15,MATCH(VALUE($A800&amp;""),계정대체기준!$D$6:$D$15,0)),0),0))</f>
        <v/>
      </c>
      <c r="AH800" s="64">
        <f>IF($A800="","",IF(AD800=0,"",IF(OR(COUNTIF(계정대체기준!$A$77:$A$86,$N800)&gt;0,ISNUMBER(MATCH($X800,계정대체기준!$D$77:$D$86,0)),ISNUMBER(MATCH($F800,계정대체기준!$D$77:$D$86,0))),"Y","N")))</f>
        <v/>
      </c>
    </row>
    <row r="801">
      <c r="A801" s="92" t="n">
        <v>2025</v>
      </c>
      <c r="B801" s="92" t="n">
        <v>4</v>
      </c>
      <c r="C801" s="92" t="inlineStr">
        <is>
          <t>5100000797</t>
        </is>
      </c>
      <c r="D801" s="95" t="n">
        <v>45761</v>
      </c>
      <c r="E801" s="92" t="inlineStr">
        <is>
          <t>KR</t>
        </is>
      </c>
      <c r="F801" s="92" t="n">
        <v>62201000</v>
      </c>
      <c r="G801" s="92" t="n">
        <v>1801</v>
      </c>
      <c r="H801" s="93" t="n">
        <v>4723000</v>
      </c>
      <c r="I801" s="92" t="inlineStr">
        <is>
          <t>4월 통신요금 - O텔레콤</t>
        </is>
      </c>
      <c r="J801" s="92" t="inlineStr">
        <is>
          <t>V10002</t>
        </is>
      </c>
      <c r="K801" s="92" t="inlineStr">
        <is>
          <t>O텔레콤</t>
        </is>
      </c>
      <c r="M801" s="9">
        <f>IF($A801="","",VALUE($A801&amp;"")*12+VALUE($B801&amp;""))</f>
        <v/>
      </c>
      <c r="N801" s="64">
        <f>IF($A801="","",IFERROR(INDEX(부서매핑!$C$5:$C$504,MATCH($G801&amp;"",부서매핑!$A$5:$A$504,0)),"미매핑"))</f>
        <v/>
      </c>
      <c r="O801" s="9">
        <f>IF($A801="","",N801&amp;"|"&amp;$F801)</f>
        <v/>
      </c>
      <c r="P801" s="94">
        <f>IF($A801="",0,$H801*설정!$C$23)</f>
        <v/>
      </c>
      <c r="Q801" s="64">
        <f>IF($A801="","",IF(O801&lt;&gt;원인분석!$C$9,"",IF(AND(M801&gt;=원인분석!$C$10,M801&lt;=원인분석!$C$11),"당기",IF(AND(M801&gt;=원인분석!$C$12,M801&lt;=원인분석!$C$13),"비교",""))))</f>
        <v/>
      </c>
      <c r="R801" s="9">
        <f>IF(Q801="","",$K801&amp;"")</f>
        <v/>
      </c>
      <c r="S801" s="9">
        <f>IF(Q801="","",IF(MATCH(R801,$R$5:$R$100000,0)=ROW()-4,ROW(),""))</f>
        <v/>
      </c>
      <c r="T801" s="9">
        <f>IF(Q801="당기",ABS(P801)+ROW()/1000000000,"")</f>
        <v/>
      </c>
      <c r="U801" s="9">
        <f>IF(Q801="비교",ABS(P801)+ROW()/1000000000,"")</f>
        <v/>
      </c>
      <c r="V801" s="64">
        <f>IF($A801="","",IF(COUNTIF(변동분석!$E$7:$E$506,O801)&gt;0,"Y","N"))</f>
        <v/>
      </c>
      <c r="W801" s="64">
        <f>IF($A801="","",IFERROR(INDEX(계정매핑!$D$5:$D$504,MATCH($F801&amp;"",계정매핑!$A$5:$A$504,0)),"미매핑"))</f>
        <v/>
      </c>
      <c r="X801" s="9">
        <f>IF($A801="","",$F801&amp;"")</f>
        <v/>
      </c>
      <c r="Y801" s="94">
        <f>IF($A801="",0,IF(AE801="직접",IF(AF801="비귀속",$P801,0),$P801*(1-AG801)*IFERROR(INDEX(계정대체기준!$F$20:$F$49,MATCH($N801,계정대체기준!$A$20:$A$49,0)),1)))</f>
        <v/>
      </c>
      <c r="Z801" s="94">
        <f>IF($A801="",0,IF(AE801="직접",IF(AF801="신계약비",$P801,0),$P801*(1-AG801)*IFERROR(INDEX(계정대체기준!$C$20:$C$49,MATCH($N801,계정대체기준!$A$20:$A$49,0)),0)))</f>
        <v/>
      </c>
      <c r="AA801" s="94">
        <f>IF($A801="",0,IF(AE801="직접",IF(OR(AF801="유지비",AF801="손해조사비"),$P801,0),$P801*(1-AG801)*IFERROR(INDEX(계정대체기준!$D$20:$D$49,MATCH($N801,계정대체기준!$A$20:$A$49,0)),0)))</f>
        <v/>
      </c>
      <c r="AB801" s="94">
        <f>IF($A801="",0,IF(AE801="직접",IF(AF801="수금비",$P801,0),$P801*(1-AG801)*IFERROR(INDEX(계정대체기준!$E$20:$E$49,MATCH($N801,계정대체기준!$A$20:$A$49,0)),0)))</f>
        <v/>
      </c>
      <c r="AC801" s="9">
        <f>IF(AND($A801&lt;&gt;"",M801=설정!$C$20,Z801&gt;0),Z801+ROW()/1000000000,"")</f>
        <v/>
      </c>
      <c r="AD801" s="94">
        <f>IF($A801="",0,$P801*AG801)</f>
        <v/>
      </c>
      <c r="AE801" s="64">
        <f>IF($A801="","",IFERROR(INDEX(계정매핑!$E$5:$E$504,MATCH($F801&amp;"",계정매핑!$A$5:$A$504,0))&amp;"","공통비"))</f>
        <v/>
      </c>
      <c r="AF801" s="64">
        <f>IF($A801="","",IF(AE801="직접",IFERROR(INDEX(계정매핑!$F$5:$F$504,MATCH($F801&amp;"",계정매핑!$A$5:$A$504,0))&amp;"","비귀속"),""))</f>
        <v/>
      </c>
      <c r="AG801" s="96">
        <f>IF($A801="",0,IF(AND(AE801&lt;&gt;"직접",IFERROR(INDEX(계정매핑!$G$5:$G$504,MATCH($F801&amp;"",계정매핑!$A$5:$A$504,0))&amp;"","")="유지비",COUNTIF(계정대체기준!$A$6:$A$15,$N801)&gt;0),IFERROR(INDEX(계정대체기준!$E$6:$E$15,MATCH(VALUE($A801&amp;""),계정대체기준!$D$6:$D$15,0)),0),0))</f>
        <v/>
      </c>
      <c r="AH801" s="64">
        <f>IF($A801="","",IF(AD801=0,"",IF(OR(COUNTIF(계정대체기준!$A$77:$A$86,$N801)&gt;0,ISNUMBER(MATCH($X801,계정대체기준!$D$77:$D$86,0)),ISNUMBER(MATCH($F801,계정대체기준!$D$77:$D$86,0))),"Y","N")))</f>
        <v/>
      </c>
    </row>
    <row r="802">
      <c r="A802" s="92" t="n">
        <v>2025</v>
      </c>
      <c r="B802" s="92" t="n">
        <v>4</v>
      </c>
      <c r="C802" s="92" t="inlineStr">
        <is>
          <t>5100000798</t>
        </is>
      </c>
      <c r="D802" s="95" t="n">
        <v>45761</v>
      </c>
      <c r="E802" s="92" t="inlineStr">
        <is>
          <t>KR</t>
        </is>
      </c>
      <c r="F802" s="92" t="n">
        <v>62301000</v>
      </c>
      <c r="G802" s="92" t="n">
        <v>1602</v>
      </c>
      <c r="H802" s="93" t="n">
        <v>277000</v>
      </c>
      <c r="I802" s="92" t="inlineStr">
        <is>
          <t>4월 소모품 구입 - R문구</t>
        </is>
      </c>
      <c r="J802" s="92" t="inlineStr">
        <is>
          <t>V10022</t>
        </is>
      </c>
      <c r="K802" s="92" t="inlineStr">
        <is>
          <t>R문구</t>
        </is>
      </c>
      <c r="M802" s="9">
        <f>IF($A802="","",VALUE($A802&amp;"")*12+VALUE($B802&amp;""))</f>
        <v/>
      </c>
      <c r="N802" s="64">
        <f>IF($A802="","",IFERROR(INDEX(부서매핑!$C$5:$C$504,MATCH($G802&amp;"",부서매핑!$A$5:$A$504,0)),"미매핑"))</f>
        <v/>
      </c>
      <c r="O802" s="9">
        <f>IF($A802="","",N802&amp;"|"&amp;$F802)</f>
        <v/>
      </c>
      <c r="P802" s="94">
        <f>IF($A802="",0,$H802*설정!$C$23)</f>
        <v/>
      </c>
      <c r="Q802" s="64">
        <f>IF($A802="","",IF(O802&lt;&gt;원인분석!$C$9,"",IF(AND(M802&gt;=원인분석!$C$10,M802&lt;=원인분석!$C$11),"당기",IF(AND(M802&gt;=원인분석!$C$12,M802&lt;=원인분석!$C$13),"비교",""))))</f>
        <v/>
      </c>
      <c r="R802" s="9">
        <f>IF(Q802="","",$K802&amp;"")</f>
        <v/>
      </c>
      <c r="S802" s="9">
        <f>IF(Q802="","",IF(MATCH(R802,$R$5:$R$100000,0)=ROW()-4,ROW(),""))</f>
        <v/>
      </c>
      <c r="T802" s="9">
        <f>IF(Q802="당기",ABS(P802)+ROW()/1000000000,"")</f>
        <v/>
      </c>
      <c r="U802" s="9">
        <f>IF(Q802="비교",ABS(P802)+ROW()/1000000000,"")</f>
        <v/>
      </c>
      <c r="V802" s="64">
        <f>IF($A802="","",IF(COUNTIF(변동분석!$E$7:$E$506,O802)&gt;0,"Y","N"))</f>
        <v/>
      </c>
      <c r="W802" s="64">
        <f>IF($A802="","",IFERROR(INDEX(계정매핑!$D$5:$D$504,MATCH($F802&amp;"",계정매핑!$A$5:$A$504,0)),"미매핑"))</f>
        <v/>
      </c>
      <c r="X802" s="9">
        <f>IF($A802="","",$F802&amp;"")</f>
        <v/>
      </c>
      <c r="Y802" s="94">
        <f>IF($A802="",0,IF(AE802="직접",IF(AF802="비귀속",$P802,0),$P802*(1-AG802)*IFERROR(INDEX(계정대체기준!$F$20:$F$49,MATCH($N802,계정대체기준!$A$20:$A$49,0)),1)))</f>
        <v/>
      </c>
      <c r="Z802" s="94">
        <f>IF($A802="",0,IF(AE802="직접",IF(AF802="신계약비",$P802,0),$P802*(1-AG802)*IFERROR(INDEX(계정대체기준!$C$20:$C$49,MATCH($N802,계정대체기준!$A$20:$A$49,0)),0)))</f>
        <v/>
      </c>
      <c r="AA802" s="94">
        <f>IF($A802="",0,IF(AE802="직접",IF(OR(AF802="유지비",AF802="손해조사비"),$P802,0),$P802*(1-AG802)*IFERROR(INDEX(계정대체기준!$D$20:$D$49,MATCH($N802,계정대체기준!$A$20:$A$49,0)),0)))</f>
        <v/>
      </c>
      <c r="AB802" s="94">
        <f>IF($A802="",0,IF(AE802="직접",IF(AF802="수금비",$P802,0),$P802*(1-AG802)*IFERROR(INDEX(계정대체기준!$E$20:$E$49,MATCH($N802,계정대체기준!$A$20:$A$49,0)),0)))</f>
        <v/>
      </c>
      <c r="AC802" s="9">
        <f>IF(AND($A802&lt;&gt;"",M802=설정!$C$20,Z802&gt;0),Z802+ROW()/1000000000,"")</f>
        <v/>
      </c>
      <c r="AD802" s="94">
        <f>IF($A802="",0,$P802*AG802)</f>
        <v/>
      </c>
      <c r="AE802" s="64">
        <f>IF($A802="","",IFERROR(INDEX(계정매핑!$E$5:$E$504,MATCH($F802&amp;"",계정매핑!$A$5:$A$504,0))&amp;"","공통비"))</f>
        <v/>
      </c>
      <c r="AF802" s="64">
        <f>IF($A802="","",IF(AE802="직접",IFERROR(INDEX(계정매핑!$F$5:$F$504,MATCH($F802&amp;"",계정매핑!$A$5:$A$504,0))&amp;"","비귀속"),""))</f>
        <v/>
      </c>
      <c r="AG802" s="96">
        <f>IF($A802="",0,IF(AND(AE802&lt;&gt;"직접",IFERROR(INDEX(계정매핑!$G$5:$G$504,MATCH($F802&amp;"",계정매핑!$A$5:$A$504,0))&amp;"","")="유지비",COUNTIF(계정대체기준!$A$6:$A$15,$N802)&gt;0),IFERROR(INDEX(계정대체기준!$E$6:$E$15,MATCH(VALUE($A802&amp;""),계정대체기준!$D$6:$D$15,0)),0),0))</f>
        <v/>
      </c>
      <c r="AH802" s="64">
        <f>IF($A802="","",IF(AD802=0,"",IF(OR(COUNTIF(계정대체기준!$A$77:$A$86,$N802)&gt;0,ISNUMBER(MATCH($X802,계정대체기준!$D$77:$D$86,0)),ISNUMBER(MATCH($F802,계정대체기준!$D$77:$D$86,0))),"Y","N")))</f>
        <v/>
      </c>
    </row>
    <row r="803">
      <c r="A803" s="92" t="n">
        <v>2025</v>
      </c>
      <c r="B803" s="92" t="n">
        <v>4</v>
      </c>
      <c r="C803" s="92" t="inlineStr">
        <is>
          <t>5100000799</t>
        </is>
      </c>
      <c r="D803" s="95" t="n">
        <v>45761</v>
      </c>
      <c r="E803" s="92" t="inlineStr">
        <is>
          <t>KR</t>
        </is>
      </c>
      <c r="F803" s="92" t="n">
        <v>62501000</v>
      </c>
      <c r="G803" s="92" t="n">
        <v>1101</v>
      </c>
      <c r="H803" s="93" t="n">
        <v>235000</v>
      </c>
      <c r="I803" s="92" t="inlineStr">
        <is>
          <t>4월 회의 다과 - (법인카드)</t>
        </is>
      </c>
      <c r="J803" s="92" t="inlineStr">
        <is>
          <t>V10010</t>
        </is>
      </c>
      <c r="K803" s="92" t="inlineStr">
        <is>
          <t>(법인카드)</t>
        </is>
      </c>
      <c r="M803" s="9">
        <f>IF($A803="","",VALUE($A803&amp;"")*12+VALUE($B803&amp;""))</f>
        <v/>
      </c>
      <c r="N803" s="64">
        <f>IF($A803="","",IFERROR(INDEX(부서매핑!$C$5:$C$504,MATCH($G803&amp;"",부서매핑!$A$5:$A$504,0)),"미매핑"))</f>
        <v/>
      </c>
      <c r="O803" s="9">
        <f>IF($A803="","",N803&amp;"|"&amp;$F803)</f>
        <v/>
      </c>
      <c r="P803" s="94">
        <f>IF($A803="",0,$H803*설정!$C$23)</f>
        <v/>
      </c>
      <c r="Q803" s="64">
        <f>IF($A803="","",IF(O803&lt;&gt;원인분석!$C$9,"",IF(AND(M803&gt;=원인분석!$C$10,M803&lt;=원인분석!$C$11),"당기",IF(AND(M803&gt;=원인분석!$C$12,M803&lt;=원인분석!$C$13),"비교",""))))</f>
        <v/>
      </c>
      <c r="R803" s="9">
        <f>IF(Q803="","",$K803&amp;"")</f>
        <v/>
      </c>
      <c r="S803" s="9">
        <f>IF(Q803="","",IF(MATCH(R803,$R$5:$R$100000,0)=ROW()-4,ROW(),""))</f>
        <v/>
      </c>
      <c r="T803" s="9">
        <f>IF(Q803="당기",ABS(P803)+ROW()/1000000000,"")</f>
        <v/>
      </c>
      <c r="U803" s="9">
        <f>IF(Q803="비교",ABS(P803)+ROW()/1000000000,"")</f>
        <v/>
      </c>
      <c r="V803" s="64">
        <f>IF($A803="","",IF(COUNTIF(변동분석!$E$7:$E$506,O803)&gt;0,"Y","N"))</f>
        <v/>
      </c>
      <c r="W803" s="64">
        <f>IF($A803="","",IFERROR(INDEX(계정매핑!$D$5:$D$504,MATCH($F803&amp;"",계정매핑!$A$5:$A$504,0)),"미매핑"))</f>
        <v/>
      </c>
      <c r="X803" s="9">
        <f>IF($A803="","",$F803&amp;"")</f>
        <v/>
      </c>
      <c r="Y803" s="94">
        <f>IF($A803="",0,IF(AE803="직접",IF(AF803="비귀속",$P803,0),$P803*(1-AG803)*IFERROR(INDEX(계정대체기준!$F$20:$F$49,MATCH($N803,계정대체기준!$A$20:$A$49,0)),1)))</f>
        <v/>
      </c>
      <c r="Z803" s="94">
        <f>IF($A803="",0,IF(AE803="직접",IF(AF803="신계약비",$P803,0),$P803*(1-AG803)*IFERROR(INDEX(계정대체기준!$C$20:$C$49,MATCH($N803,계정대체기준!$A$20:$A$49,0)),0)))</f>
        <v/>
      </c>
      <c r="AA803" s="94">
        <f>IF($A803="",0,IF(AE803="직접",IF(OR(AF803="유지비",AF803="손해조사비"),$P803,0),$P803*(1-AG803)*IFERROR(INDEX(계정대체기준!$D$20:$D$49,MATCH($N803,계정대체기준!$A$20:$A$49,0)),0)))</f>
        <v/>
      </c>
      <c r="AB803" s="94">
        <f>IF($A803="",0,IF(AE803="직접",IF(AF803="수금비",$P803,0),$P803*(1-AG803)*IFERROR(INDEX(계정대체기준!$E$20:$E$49,MATCH($N803,계정대체기준!$A$20:$A$49,0)),0)))</f>
        <v/>
      </c>
      <c r="AC803" s="9">
        <f>IF(AND($A803&lt;&gt;"",M803=설정!$C$20,Z803&gt;0),Z803+ROW()/1000000000,"")</f>
        <v/>
      </c>
      <c r="AD803" s="94">
        <f>IF($A803="",0,$P803*AG803)</f>
        <v/>
      </c>
      <c r="AE803" s="64">
        <f>IF($A803="","",IFERROR(INDEX(계정매핑!$E$5:$E$504,MATCH($F803&amp;"",계정매핑!$A$5:$A$504,0))&amp;"","공통비"))</f>
        <v/>
      </c>
      <c r="AF803" s="64">
        <f>IF($A803="","",IF(AE803="직접",IFERROR(INDEX(계정매핑!$F$5:$F$504,MATCH($F803&amp;"",계정매핑!$A$5:$A$504,0))&amp;"","비귀속"),""))</f>
        <v/>
      </c>
      <c r="AG803" s="96">
        <f>IF($A803="",0,IF(AND(AE803&lt;&gt;"직접",IFERROR(INDEX(계정매핑!$G$5:$G$504,MATCH($F803&amp;"",계정매핑!$A$5:$A$504,0))&amp;"","")="유지비",COUNTIF(계정대체기준!$A$6:$A$15,$N803)&gt;0),IFERROR(INDEX(계정대체기준!$E$6:$E$15,MATCH(VALUE($A803&amp;""),계정대체기준!$D$6:$D$15,0)),0),0))</f>
        <v/>
      </c>
      <c r="AH803" s="64">
        <f>IF($A803="","",IF(AD803=0,"",IF(OR(COUNTIF(계정대체기준!$A$77:$A$86,$N803)&gt;0,ISNUMBER(MATCH($X803,계정대체기준!$D$77:$D$86,0)),ISNUMBER(MATCH($F803,계정대체기준!$D$77:$D$86,0))),"Y","N")))</f>
        <v/>
      </c>
    </row>
    <row r="804">
      <c r="A804" s="92" t="n">
        <v>2025</v>
      </c>
      <c r="B804" s="92" t="n">
        <v>4</v>
      </c>
      <c r="C804" s="92" t="inlineStr">
        <is>
          <t>5100000800</t>
        </is>
      </c>
      <c r="D804" s="95" t="n">
        <v>45761</v>
      </c>
      <c r="E804" s="92" t="inlineStr">
        <is>
          <t>KR</t>
        </is>
      </c>
      <c r="F804" s="92" t="n">
        <v>62601000</v>
      </c>
      <c r="G804" s="92" t="n">
        <v>1502</v>
      </c>
      <c r="H804" s="93" t="n">
        <v>2527000</v>
      </c>
      <c r="I804" s="92" t="inlineStr">
        <is>
          <t>4월 업무추진 - (법인카드)</t>
        </is>
      </c>
      <c r="J804" s="92" t="inlineStr">
        <is>
          <t>V10010</t>
        </is>
      </c>
      <c r="K804" s="92" t="inlineStr">
        <is>
          <t>(법인카드)</t>
        </is>
      </c>
      <c r="M804" s="9">
        <f>IF($A804="","",VALUE($A804&amp;"")*12+VALUE($B804&amp;""))</f>
        <v/>
      </c>
      <c r="N804" s="64">
        <f>IF($A804="","",IFERROR(INDEX(부서매핑!$C$5:$C$504,MATCH($G804&amp;"",부서매핑!$A$5:$A$504,0)),"미매핑"))</f>
        <v/>
      </c>
      <c r="O804" s="9">
        <f>IF($A804="","",N804&amp;"|"&amp;$F804)</f>
        <v/>
      </c>
      <c r="P804" s="94">
        <f>IF($A804="",0,$H804*설정!$C$23)</f>
        <v/>
      </c>
      <c r="Q804" s="64">
        <f>IF($A804="","",IF(O804&lt;&gt;원인분석!$C$9,"",IF(AND(M804&gt;=원인분석!$C$10,M804&lt;=원인분석!$C$11),"당기",IF(AND(M804&gt;=원인분석!$C$12,M804&lt;=원인분석!$C$13),"비교",""))))</f>
        <v/>
      </c>
      <c r="R804" s="9">
        <f>IF(Q804="","",$K804&amp;"")</f>
        <v/>
      </c>
      <c r="S804" s="9">
        <f>IF(Q804="","",IF(MATCH(R804,$R$5:$R$100000,0)=ROW()-4,ROW(),""))</f>
        <v/>
      </c>
      <c r="T804" s="9">
        <f>IF(Q804="당기",ABS(P804)+ROW()/1000000000,"")</f>
        <v/>
      </c>
      <c r="U804" s="9">
        <f>IF(Q804="비교",ABS(P804)+ROW()/1000000000,"")</f>
        <v/>
      </c>
      <c r="V804" s="64">
        <f>IF($A804="","",IF(COUNTIF(변동분석!$E$7:$E$506,O804)&gt;0,"Y","N"))</f>
        <v/>
      </c>
      <c r="W804" s="64">
        <f>IF($A804="","",IFERROR(INDEX(계정매핑!$D$5:$D$504,MATCH($F804&amp;"",계정매핑!$A$5:$A$504,0)),"미매핑"))</f>
        <v/>
      </c>
      <c r="X804" s="9">
        <f>IF($A804="","",$F804&amp;"")</f>
        <v/>
      </c>
      <c r="Y804" s="94">
        <f>IF($A804="",0,IF(AE804="직접",IF(AF804="비귀속",$P804,0),$P804*(1-AG804)*IFERROR(INDEX(계정대체기준!$F$20:$F$49,MATCH($N804,계정대체기준!$A$20:$A$49,0)),1)))</f>
        <v/>
      </c>
      <c r="Z804" s="94">
        <f>IF($A804="",0,IF(AE804="직접",IF(AF804="신계약비",$P804,0),$P804*(1-AG804)*IFERROR(INDEX(계정대체기준!$C$20:$C$49,MATCH($N804,계정대체기준!$A$20:$A$49,0)),0)))</f>
        <v/>
      </c>
      <c r="AA804" s="94">
        <f>IF($A804="",0,IF(AE804="직접",IF(OR(AF804="유지비",AF804="손해조사비"),$P804,0),$P804*(1-AG804)*IFERROR(INDEX(계정대체기준!$D$20:$D$49,MATCH($N804,계정대체기준!$A$20:$A$49,0)),0)))</f>
        <v/>
      </c>
      <c r="AB804" s="94">
        <f>IF($A804="",0,IF(AE804="직접",IF(AF804="수금비",$P804,0),$P804*(1-AG804)*IFERROR(INDEX(계정대체기준!$E$20:$E$49,MATCH($N804,계정대체기준!$A$20:$A$49,0)),0)))</f>
        <v/>
      </c>
      <c r="AC804" s="9">
        <f>IF(AND($A804&lt;&gt;"",M804=설정!$C$20,Z804&gt;0),Z804+ROW()/1000000000,"")</f>
        <v/>
      </c>
      <c r="AD804" s="94">
        <f>IF($A804="",0,$P804*AG804)</f>
        <v/>
      </c>
      <c r="AE804" s="64">
        <f>IF($A804="","",IFERROR(INDEX(계정매핑!$E$5:$E$504,MATCH($F804&amp;"",계정매핑!$A$5:$A$504,0))&amp;"","공통비"))</f>
        <v/>
      </c>
      <c r="AF804" s="64">
        <f>IF($A804="","",IF(AE804="직접",IFERROR(INDEX(계정매핑!$F$5:$F$504,MATCH($F804&amp;"",계정매핑!$A$5:$A$504,0))&amp;"","비귀속"),""))</f>
        <v/>
      </c>
      <c r="AG804" s="96">
        <f>IF($A804="",0,IF(AND(AE804&lt;&gt;"직접",IFERROR(INDEX(계정매핑!$G$5:$G$504,MATCH($F804&amp;"",계정매핑!$A$5:$A$504,0))&amp;"","")="유지비",COUNTIF(계정대체기준!$A$6:$A$15,$N804)&gt;0),IFERROR(INDEX(계정대체기준!$E$6:$E$15,MATCH(VALUE($A804&amp;""),계정대체기준!$D$6:$D$15,0)),0),0))</f>
        <v/>
      </c>
      <c r="AH804" s="64">
        <f>IF($A804="","",IF(AD804=0,"",IF(OR(COUNTIF(계정대체기준!$A$77:$A$86,$N804)&gt;0,ISNUMBER(MATCH($X804,계정대체기준!$D$77:$D$86,0)),ISNUMBER(MATCH($F804,계정대체기준!$D$77:$D$86,0))),"Y","N")))</f>
        <v/>
      </c>
    </row>
    <row r="805">
      <c r="A805" s="92" t="n">
        <v>2025</v>
      </c>
      <c r="B805" s="92" t="n">
        <v>4</v>
      </c>
      <c r="C805" s="92" t="inlineStr">
        <is>
          <t>5100000801</t>
        </is>
      </c>
      <c r="D805" s="95" t="n">
        <v>45761</v>
      </c>
      <c r="E805" s="92" t="inlineStr">
        <is>
          <t>KR</t>
        </is>
      </c>
      <c r="F805" s="92" t="n">
        <v>62901000</v>
      </c>
      <c r="G805" s="92" t="n">
        <v>1401</v>
      </c>
      <c r="H805" s="93" t="n">
        <v>7092000</v>
      </c>
      <c r="I805" s="92" t="inlineStr">
        <is>
          <t>4월 자문 수수료 - K회계법인</t>
        </is>
      </c>
      <c r="J805" s="92" t="inlineStr">
        <is>
          <t>V10011</t>
        </is>
      </c>
      <c r="K805" s="92" t="inlineStr">
        <is>
          <t>K회계법인</t>
        </is>
      </c>
      <c r="M805" s="9">
        <f>IF($A805="","",VALUE($A805&amp;"")*12+VALUE($B805&amp;""))</f>
        <v/>
      </c>
      <c r="N805" s="64">
        <f>IF($A805="","",IFERROR(INDEX(부서매핑!$C$5:$C$504,MATCH($G805&amp;"",부서매핑!$A$5:$A$504,0)),"미매핑"))</f>
        <v/>
      </c>
      <c r="O805" s="9">
        <f>IF($A805="","",N805&amp;"|"&amp;$F805)</f>
        <v/>
      </c>
      <c r="P805" s="94">
        <f>IF($A805="",0,$H805*설정!$C$23)</f>
        <v/>
      </c>
      <c r="Q805" s="64">
        <f>IF($A805="","",IF(O805&lt;&gt;원인분석!$C$9,"",IF(AND(M805&gt;=원인분석!$C$10,M805&lt;=원인분석!$C$11),"당기",IF(AND(M805&gt;=원인분석!$C$12,M805&lt;=원인분석!$C$13),"비교",""))))</f>
        <v/>
      </c>
      <c r="R805" s="9">
        <f>IF(Q805="","",$K805&amp;"")</f>
        <v/>
      </c>
      <c r="S805" s="9">
        <f>IF(Q805="","",IF(MATCH(R805,$R$5:$R$100000,0)=ROW()-4,ROW(),""))</f>
        <v/>
      </c>
      <c r="T805" s="9">
        <f>IF(Q805="당기",ABS(P805)+ROW()/1000000000,"")</f>
        <v/>
      </c>
      <c r="U805" s="9">
        <f>IF(Q805="비교",ABS(P805)+ROW()/1000000000,"")</f>
        <v/>
      </c>
      <c r="V805" s="64">
        <f>IF($A805="","",IF(COUNTIF(변동분석!$E$7:$E$506,O805)&gt;0,"Y","N"))</f>
        <v/>
      </c>
      <c r="W805" s="64">
        <f>IF($A805="","",IFERROR(INDEX(계정매핑!$D$5:$D$504,MATCH($F805&amp;"",계정매핑!$A$5:$A$504,0)),"미매핑"))</f>
        <v/>
      </c>
      <c r="X805" s="9">
        <f>IF($A805="","",$F805&amp;"")</f>
        <v/>
      </c>
      <c r="Y805" s="94">
        <f>IF($A805="",0,IF(AE805="직접",IF(AF805="비귀속",$P805,0),$P805*(1-AG805)*IFERROR(INDEX(계정대체기준!$F$20:$F$49,MATCH($N805,계정대체기준!$A$20:$A$49,0)),1)))</f>
        <v/>
      </c>
      <c r="Z805" s="94">
        <f>IF($A805="",0,IF(AE805="직접",IF(AF805="신계약비",$P805,0),$P805*(1-AG805)*IFERROR(INDEX(계정대체기준!$C$20:$C$49,MATCH($N805,계정대체기준!$A$20:$A$49,0)),0)))</f>
        <v/>
      </c>
      <c r="AA805" s="94">
        <f>IF($A805="",0,IF(AE805="직접",IF(OR(AF805="유지비",AF805="손해조사비"),$P805,0),$P805*(1-AG805)*IFERROR(INDEX(계정대체기준!$D$20:$D$49,MATCH($N805,계정대체기준!$A$20:$A$49,0)),0)))</f>
        <v/>
      </c>
      <c r="AB805" s="94">
        <f>IF($A805="",0,IF(AE805="직접",IF(AF805="수금비",$P805,0),$P805*(1-AG805)*IFERROR(INDEX(계정대체기준!$E$20:$E$49,MATCH($N805,계정대체기준!$A$20:$A$49,0)),0)))</f>
        <v/>
      </c>
      <c r="AC805" s="9">
        <f>IF(AND($A805&lt;&gt;"",M805=설정!$C$20,Z805&gt;0),Z805+ROW()/1000000000,"")</f>
        <v/>
      </c>
      <c r="AD805" s="94">
        <f>IF($A805="",0,$P805*AG805)</f>
        <v/>
      </c>
      <c r="AE805" s="64">
        <f>IF($A805="","",IFERROR(INDEX(계정매핑!$E$5:$E$504,MATCH($F805&amp;"",계정매핑!$A$5:$A$504,0))&amp;"","공통비"))</f>
        <v/>
      </c>
      <c r="AF805" s="64">
        <f>IF($A805="","",IF(AE805="직접",IFERROR(INDEX(계정매핑!$F$5:$F$504,MATCH($F805&amp;"",계정매핑!$A$5:$A$504,0))&amp;"","비귀속"),""))</f>
        <v/>
      </c>
      <c r="AG805" s="96">
        <f>IF($A805="",0,IF(AND(AE805&lt;&gt;"직접",IFERROR(INDEX(계정매핑!$G$5:$G$504,MATCH($F805&amp;"",계정매핑!$A$5:$A$504,0))&amp;"","")="유지비",COUNTIF(계정대체기준!$A$6:$A$15,$N805)&gt;0),IFERROR(INDEX(계정대체기준!$E$6:$E$15,MATCH(VALUE($A805&amp;""),계정대체기준!$D$6:$D$15,0)),0),0))</f>
        <v/>
      </c>
      <c r="AH805" s="64">
        <f>IF($A805="","",IF(AD805=0,"",IF(OR(COUNTIF(계정대체기준!$A$77:$A$86,$N805)&gt;0,ISNUMBER(MATCH($X805,계정대체기준!$D$77:$D$86,0)),ISNUMBER(MATCH($F805,계정대체기준!$D$77:$D$86,0))),"Y","N")))</f>
        <v/>
      </c>
    </row>
    <row r="806">
      <c r="A806" s="92" t="n">
        <v>2025</v>
      </c>
      <c r="B806" s="92" t="n">
        <v>4</v>
      </c>
      <c r="C806" s="92" t="inlineStr">
        <is>
          <t>5100000802</t>
        </is>
      </c>
      <c r="D806" s="95" t="n">
        <v>45761</v>
      </c>
      <c r="E806" s="92" t="inlineStr">
        <is>
          <t>KR</t>
        </is>
      </c>
      <c r="F806" s="92" t="n">
        <v>62901000</v>
      </c>
      <c r="G806" s="92" t="n">
        <v>1951</v>
      </c>
      <c r="H806" s="93" t="n">
        <v>7059000</v>
      </c>
      <c r="I806" s="92" t="inlineStr">
        <is>
          <t>4월 자문 수수료 - K회계법인</t>
        </is>
      </c>
      <c r="J806" s="92" t="inlineStr">
        <is>
          <t>V10011</t>
        </is>
      </c>
      <c r="K806" s="92" t="inlineStr">
        <is>
          <t>K회계법인</t>
        </is>
      </c>
      <c r="M806" s="9">
        <f>IF($A806="","",VALUE($A806&amp;"")*12+VALUE($B806&amp;""))</f>
        <v/>
      </c>
      <c r="N806" s="64">
        <f>IF($A806="","",IFERROR(INDEX(부서매핑!$C$5:$C$504,MATCH($G806&amp;"",부서매핑!$A$5:$A$504,0)),"미매핑"))</f>
        <v/>
      </c>
      <c r="O806" s="9">
        <f>IF($A806="","",N806&amp;"|"&amp;$F806)</f>
        <v/>
      </c>
      <c r="P806" s="94">
        <f>IF($A806="",0,$H806*설정!$C$23)</f>
        <v/>
      </c>
      <c r="Q806" s="64">
        <f>IF($A806="","",IF(O806&lt;&gt;원인분석!$C$9,"",IF(AND(M806&gt;=원인분석!$C$10,M806&lt;=원인분석!$C$11),"당기",IF(AND(M806&gt;=원인분석!$C$12,M806&lt;=원인분석!$C$13),"비교",""))))</f>
        <v/>
      </c>
      <c r="R806" s="9">
        <f>IF(Q806="","",$K806&amp;"")</f>
        <v/>
      </c>
      <c r="S806" s="9">
        <f>IF(Q806="","",IF(MATCH(R806,$R$5:$R$100000,0)=ROW()-4,ROW(),""))</f>
        <v/>
      </c>
      <c r="T806" s="9">
        <f>IF(Q806="당기",ABS(P806)+ROW()/1000000000,"")</f>
        <v/>
      </c>
      <c r="U806" s="9">
        <f>IF(Q806="비교",ABS(P806)+ROW()/1000000000,"")</f>
        <v/>
      </c>
      <c r="V806" s="64">
        <f>IF($A806="","",IF(COUNTIF(변동분석!$E$7:$E$506,O806)&gt;0,"Y","N"))</f>
        <v/>
      </c>
      <c r="W806" s="64">
        <f>IF($A806="","",IFERROR(INDEX(계정매핑!$D$5:$D$504,MATCH($F806&amp;"",계정매핑!$A$5:$A$504,0)),"미매핑"))</f>
        <v/>
      </c>
      <c r="X806" s="9">
        <f>IF($A806="","",$F806&amp;"")</f>
        <v/>
      </c>
      <c r="Y806" s="94">
        <f>IF($A806="",0,IF(AE806="직접",IF(AF806="비귀속",$P806,0),$P806*(1-AG806)*IFERROR(INDEX(계정대체기준!$F$20:$F$49,MATCH($N806,계정대체기준!$A$20:$A$49,0)),1)))</f>
        <v/>
      </c>
      <c r="Z806" s="94">
        <f>IF($A806="",0,IF(AE806="직접",IF(AF806="신계약비",$P806,0),$P806*(1-AG806)*IFERROR(INDEX(계정대체기준!$C$20:$C$49,MATCH($N806,계정대체기준!$A$20:$A$49,0)),0)))</f>
        <v/>
      </c>
      <c r="AA806" s="94">
        <f>IF($A806="",0,IF(AE806="직접",IF(OR(AF806="유지비",AF806="손해조사비"),$P806,0),$P806*(1-AG806)*IFERROR(INDEX(계정대체기준!$D$20:$D$49,MATCH($N806,계정대체기준!$A$20:$A$49,0)),0)))</f>
        <v/>
      </c>
      <c r="AB806" s="94">
        <f>IF($A806="",0,IF(AE806="직접",IF(AF806="수금비",$P806,0),$P806*(1-AG806)*IFERROR(INDEX(계정대체기준!$E$20:$E$49,MATCH($N806,계정대체기준!$A$20:$A$49,0)),0)))</f>
        <v/>
      </c>
      <c r="AC806" s="9">
        <f>IF(AND($A806&lt;&gt;"",M806=설정!$C$20,Z806&gt;0),Z806+ROW()/1000000000,"")</f>
        <v/>
      </c>
      <c r="AD806" s="94">
        <f>IF($A806="",0,$P806*AG806)</f>
        <v/>
      </c>
      <c r="AE806" s="64">
        <f>IF($A806="","",IFERROR(INDEX(계정매핑!$E$5:$E$504,MATCH($F806&amp;"",계정매핑!$A$5:$A$504,0))&amp;"","공통비"))</f>
        <v/>
      </c>
      <c r="AF806" s="64">
        <f>IF($A806="","",IF(AE806="직접",IFERROR(INDEX(계정매핑!$F$5:$F$504,MATCH($F806&amp;"",계정매핑!$A$5:$A$504,0))&amp;"","비귀속"),""))</f>
        <v/>
      </c>
      <c r="AG806" s="96">
        <f>IF($A806="",0,IF(AND(AE806&lt;&gt;"직접",IFERROR(INDEX(계정매핑!$G$5:$G$504,MATCH($F806&amp;"",계정매핑!$A$5:$A$504,0))&amp;"","")="유지비",COUNTIF(계정대체기준!$A$6:$A$15,$N806)&gt;0),IFERROR(INDEX(계정대체기준!$E$6:$E$15,MATCH(VALUE($A806&amp;""),계정대체기준!$D$6:$D$15,0)),0),0))</f>
        <v/>
      </c>
      <c r="AH806" s="64">
        <f>IF($A806="","",IF(AD806=0,"",IF(OR(COUNTIF(계정대체기준!$A$77:$A$86,$N806)&gt;0,ISNUMBER(MATCH($X806,계정대체기준!$D$77:$D$86,0)),ISNUMBER(MATCH($F806,계정대체기준!$D$77:$D$86,0))),"Y","N")))</f>
        <v/>
      </c>
    </row>
    <row r="807">
      <c r="A807" s="92" t="n">
        <v>2025</v>
      </c>
      <c r="B807" s="92" t="n">
        <v>4</v>
      </c>
      <c r="C807" s="92" t="inlineStr">
        <is>
          <t>5100000803</t>
        </is>
      </c>
      <c r="D807" s="95" t="n">
        <v>45761</v>
      </c>
      <c r="E807" s="92" t="inlineStr">
        <is>
          <t>KR</t>
        </is>
      </c>
      <c r="F807" s="92" t="n">
        <v>62902000</v>
      </c>
      <c r="G807" s="92" t="n">
        <v>1101</v>
      </c>
      <c r="H807" s="93" t="n">
        <v>2115000</v>
      </c>
      <c r="I807" s="92" t="inlineStr">
        <is>
          <t>4월 업무 위탁 수수료 - X서비스</t>
        </is>
      </c>
      <c r="J807" s="92" t="inlineStr">
        <is>
          <t>V10020</t>
        </is>
      </c>
      <c r="K807" s="92" t="inlineStr">
        <is>
          <t>X서비스</t>
        </is>
      </c>
      <c r="M807" s="9">
        <f>IF($A807="","",VALUE($A807&amp;"")*12+VALUE($B807&amp;""))</f>
        <v/>
      </c>
      <c r="N807" s="64">
        <f>IF($A807="","",IFERROR(INDEX(부서매핑!$C$5:$C$504,MATCH($G807&amp;"",부서매핑!$A$5:$A$504,0)),"미매핑"))</f>
        <v/>
      </c>
      <c r="O807" s="9">
        <f>IF($A807="","",N807&amp;"|"&amp;$F807)</f>
        <v/>
      </c>
      <c r="P807" s="94">
        <f>IF($A807="",0,$H807*설정!$C$23)</f>
        <v/>
      </c>
      <c r="Q807" s="64">
        <f>IF($A807="","",IF(O807&lt;&gt;원인분석!$C$9,"",IF(AND(M807&gt;=원인분석!$C$10,M807&lt;=원인분석!$C$11),"당기",IF(AND(M807&gt;=원인분석!$C$12,M807&lt;=원인분석!$C$13),"비교",""))))</f>
        <v/>
      </c>
      <c r="R807" s="9">
        <f>IF(Q807="","",$K807&amp;"")</f>
        <v/>
      </c>
      <c r="S807" s="9">
        <f>IF(Q807="","",IF(MATCH(R807,$R$5:$R$100000,0)=ROW()-4,ROW(),""))</f>
        <v/>
      </c>
      <c r="T807" s="9">
        <f>IF(Q807="당기",ABS(P807)+ROW()/1000000000,"")</f>
        <v/>
      </c>
      <c r="U807" s="9">
        <f>IF(Q807="비교",ABS(P807)+ROW()/1000000000,"")</f>
        <v/>
      </c>
      <c r="V807" s="64">
        <f>IF($A807="","",IF(COUNTIF(변동분석!$E$7:$E$506,O807)&gt;0,"Y","N"))</f>
        <v/>
      </c>
      <c r="W807" s="64">
        <f>IF($A807="","",IFERROR(INDEX(계정매핑!$D$5:$D$504,MATCH($F807&amp;"",계정매핑!$A$5:$A$504,0)),"미매핑"))</f>
        <v/>
      </c>
      <c r="X807" s="9">
        <f>IF($A807="","",$F807&amp;"")</f>
        <v/>
      </c>
      <c r="Y807" s="94">
        <f>IF($A807="",0,IF(AE807="직접",IF(AF807="비귀속",$P807,0),$P807*(1-AG807)*IFERROR(INDEX(계정대체기준!$F$20:$F$49,MATCH($N807,계정대체기준!$A$20:$A$49,0)),1)))</f>
        <v/>
      </c>
      <c r="Z807" s="94">
        <f>IF($A807="",0,IF(AE807="직접",IF(AF807="신계약비",$P807,0),$P807*(1-AG807)*IFERROR(INDEX(계정대체기준!$C$20:$C$49,MATCH($N807,계정대체기준!$A$20:$A$49,0)),0)))</f>
        <v/>
      </c>
      <c r="AA807" s="94">
        <f>IF($A807="",0,IF(AE807="직접",IF(OR(AF807="유지비",AF807="손해조사비"),$P807,0),$P807*(1-AG807)*IFERROR(INDEX(계정대체기준!$D$20:$D$49,MATCH($N807,계정대체기준!$A$20:$A$49,0)),0)))</f>
        <v/>
      </c>
      <c r="AB807" s="94">
        <f>IF($A807="",0,IF(AE807="직접",IF(AF807="수금비",$P807,0),$P807*(1-AG807)*IFERROR(INDEX(계정대체기준!$E$20:$E$49,MATCH($N807,계정대체기준!$A$20:$A$49,0)),0)))</f>
        <v/>
      </c>
      <c r="AC807" s="9">
        <f>IF(AND($A807&lt;&gt;"",M807=설정!$C$20,Z807&gt;0),Z807+ROW()/1000000000,"")</f>
        <v/>
      </c>
      <c r="AD807" s="94">
        <f>IF($A807="",0,$P807*AG807)</f>
        <v/>
      </c>
      <c r="AE807" s="64">
        <f>IF($A807="","",IFERROR(INDEX(계정매핑!$E$5:$E$504,MATCH($F807&amp;"",계정매핑!$A$5:$A$504,0))&amp;"","공통비"))</f>
        <v/>
      </c>
      <c r="AF807" s="64">
        <f>IF($A807="","",IF(AE807="직접",IFERROR(INDEX(계정매핑!$F$5:$F$504,MATCH($F807&amp;"",계정매핑!$A$5:$A$504,0))&amp;"","비귀속"),""))</f>
        <v/>
      </c>
      <c r="AG807" s="96">
        <f>IF($A807="",0,IF(AND(AE807&lt;&gt;"직접",IFERROR(INDEX(계정매핑!$G$5:$G$504,MATCH($F807&amp;"",계정매핑!$A$5:$A$504,0))&amp;"","")="유지비",COUNTIF(계정대체기준!$A$6:$A$15,$N807)&gt;0),IFERROR(INDEX(계정대체기준!$E$6:$E$15,MATCH(VALUE($A807&amp;""),계정대체기준!$D$6:$D$15,0)),0),0))</f>
        <v/>
      </c>
      <c r="AH807" s="64">
        <f>IF($A807="","",IF(AD807=0,"",IF(OR(COUNTIF(계정대체기준!$A$77:$A$86,$N807)&gt;0,ISNUMBER(MATCH($X807,계정대체기준!$D$77:$D$86,0)),ISNUMBER(MATCH($F807,계정대체기준!$D$77:$D$86,0))),"Y","N")))</f>
        <v/>
      </c>
    </row>
    <row r="808">
      <c r="A808" s="92" t="n">
        <v>2025</v>
      </c>
      <c r="B808" s="92" t="n">
        <v>4</v>
      </c>
      <c r="C808" s="92" t="inlineStr">
        <is>
          <t>5100000804</t>
        </is>
      </c>
      <c r="D808" s="95" t="n">
        <v>45761</v>
      </c>
      <c r="E808" s="92" t="inlineStr">
        <is>
          <t>KR</t>
        </is>
      </c>
      <c r="F808" s="92" t="n">
        <v>63502000</v>
      </c>
      <c r="G808" s="92" t="n">
        <v>1902</v>
      </c>
      <c r="H808" s="93" t="n">
        <v>138638000</v>
      </c>
      <c r="I808" s="92" t="inlineStr">
        <is>
          <t>4월 유지수수료 - CC금융서비스</t>
        </is>
      </c>
      <c r="J808" s="92" t="inlineStr">
        <is>
          <t>V10029</t>
        </is>
      </c>
      <c r="K808" s="92" t="inlineStr">
        <is>
          <t>CC금융서비스</t>
        </is>
      </c>
      <c r="M808" s="9">
        <f>IF($A808="","",VALUE($A808&amp;"")*12+VALUE($B808&amp;""))</f>
        <v/>
      </c>
      <c r="N808" s="64">
        <f>IF($A808="","",IFERROR(INDEX(부서매핑!$C$5:$C$504,MATCH($G808&amp;"",부서매핑!$A$5:$A$504,0)),"미매핑"))</f>
        <v/>
      </c>
      <c r="O808" s="9">
        <f>IF($A808="","",N808&amp;"|"&amp;$F808)</f>
        <v/>
      </c>
      <c r="P808" s="94">
        <f>IF($A808="",0,$H808*설정!$C$23)</f>
        <v/>
      </c>
      <c r="Q808" s="64">
        <f>IF($A808="","",IF(O808&lt;&gt;원인분석!$C$9,"",IF(AND(M808&gt;=원인분석!$C$10,M808&lt;=원인분석!$C$11),"당기",IF(AND(M808&gt;=원인분석!$C$12,M808&lt;=원인분석!$C$13),"비교",""))))</f>
        <v/>
      </c>
      <c r="R808" s="9">
        <f>IF(Q808="","",$K808&amp;"")</f>
        <v/>
      </c>
      <c r="S808" s="9">
        <f>IF(Q808="","",IF(MATCH(R808,$R$5:$R$100000,0)=ROW()-4,ROW(),""))</f>
        <v/>
      </c>
      <c r="T808" s="9">
        <f>IF(Q808="당기",ABS(P808)+ROW()/1000000000,"")</f>
        <v/>
      </c>
      <c r="U808" s="9">
        <f>IF(Q808="비교",ABS(P808)+ROW()/1000000000,"")</f>
        <v/>
      </c>
      <c r="V808" s="64">
        <f>IF($A808="","",IF(COUNTIF(변동분석!$E$7:$E$506,O808)&gt;0,"Y","N"))</f>
        <v/>
      </c>
      <c r="W808" s="64">
        <f>IF($A808="","",IFERROR(INDEX(계정매핑!$D$5:$D$504,MATCH($F808&amp;"",계정매핑!$A$5:$A$504,0)),"미매핑"))</f>
        <v/>
      </c>
      <c r="X808" s="9">
        <f>IF($A808="","",$F808&amp;"")</f>
        <v/>
      </c>
      <c r="Y808" s="94">
        <f>IF($A808="",0,IF(AE808="직접",IF(AF808="비귀속",$P808,0),$P808*(1-AG808)*IFERROR(INDEX(계정대체기준!$F$20:$F$49,MATCH($N808,계정대체기준!$A$20:$A$49,0)),1)))</f>
        <v/>
      </c>
      <c r="Z808" s="94">
        <f>IF($A808="",0,IF(AE808="직접",IF(AF808="신계약비",$P808,0),$P808*(1-AG808)*IFERROR(INDEX(계정대체기준!$C$20:$C$49,MATCH($N808,계정대체기준!$A$20:$A$49,0)),0)))</f>
        <v/>
      </c>
      <c r="AA808" s="94">
        <f>IF($A808="",0,IF(AE808="직접",IF(OR(AF808="유지비",AF808="손해조사비"),$P808,0),$P808*(1-AG808)*IFERROR(INDEX(계정대체기준!$D$20:$D$49,MATCH($N808,계정대체기준!$A$20:$A$49,0)),0)))</f>
        <v/>
      </c>
      <c r="AB808" s="94">
        <f>IF($A808="",0,IF(AE808="직접",IF(AF808="수금비",$P808,0),$P808*(1-AG808)*IFERROR(INDEX(계정대체기준!$E$20:$E$49,MATCH($N808,계정대체기준!$A$20:$A$49,0)),0)))</f>
        <v/>
      </c>
      <c r="AC808" s="9">
        <f>IF(AND($A808&lt;&gt;"",M808=설정!$C$20,Z808&gt;0),Z808+ROW()/1000000000,"")</f>
        <v/>
      </c>
      <c r="AD808" s="94">
        <f>IF($A808="",0,$P808*AG808)</f>
        <v/>
      </c>
      <c r="AE808" s="64">
        <f>IF($A808="","",IFERROR(INDEX(계정매핑!$E$5:$E$504,MATCH($F808&amp;"",계정매핑!$A$5:$A$504,0))&amp;"","공통비"))</f>
        <v/>
      </c>
      <c r="AF808" s="64">
        <f>IF($A808="","",IF(AE808="직접",IFERROR(INDEX(계정매핑!$F$5:$F$504,MATCH($F808&amp;"",계정매핑!$A$5:$A$504,0))&amp;"","비귀속"),""))</f>
        <v/>
      </c>
      <c r="AG808" s="96">
        <f>IF($A808="",0,IF(AND(AE808&lt;&gt;"직접",IFERROR(INDEX(계정매핑!$G$5:$G$504,MATCH($F808&amp;"",계정매핑!$A$5:$A$504,0))&amp;"","")="유지비",COUNTIF(계정대체기준!$A$6:$A$15,$N808)&gt;0),IFERROR(INDEX(계정대체기준!$E$6:$E$15,MATCH(VALUE($A808&amp;""),계정대체기준!$D$6:$D$15,0)),0),0))</f>
        <v/>
      </c>
      <c r="AH808" s="64">
        <f>IF($A808="","",IF(AD808=0,"",IF(OR(COUNTIF(계정대체기준!$A$77:$A$86,$N808)&gt;0,ISNUMBER(MATCH($X808,계정대체기준!$D$77:$D$86,0)),ISNUMBER(MATCH($F808,계정대체기준!$D$77:$D$86,0))),"Y","N")))</f>
        <v/>
      </c>
    </row>
    <row r="809">
      <c r="A809" s="92" t="n">
        <v>2025</v>
      </c>
      <c r="B809" s="92" t="n">
        <v>4</v>
      </c>
      <c r="C809" s="92" t="inlineStr">
        <is>
          <t>5100000805</t>
        </is>
      </c>
      <c r="D809" s="95" t="n">
        <v>45762</v>
      </c>
      <c r="E809" s="92" t="inlineStr">
        <is>
          <t>KR</t>
        </is>
      </c>
      <c r="F809" s="92" t="n">
        <v>62101000</v>
      </c>
      <c r="G809" s="92" t="n">
        <v>1401</v>
      </c>
      <c r="H809" s="93" t="n">
        <v>506000</v>
      </c>
      <c r="I809" s="92" t="inlineStr">
        <is>
          <t>4월 국내출장 - L여행사</t>
        </is>
      </c>
      <c r="J809" s="92" t="inlineStr">
        <is>
          <t>V10018</t>
        </is>
      </c>
      <c r="K809" s="92" t="inlineStr">
        <is>
          <t>L여행사</t>
        </is>
      </c>
      <c r="M809" s="9">
        <f>IF($A809="","",VALUE($A809&amp;"")*12+VALUE($B809&amp;""))</f>
        <v/>
      </c>
      <c r="N809" s="64">
        <f>IF($A809="","",IFERROR(INDEX(부서매핑!$C$5:$C$504,MATCH($G809&amp;"",부서매핑!$A$5:$A$504,0)),"미매핑"))</f>
        <v/>
      </c>
      <c r="O809" s="9">
        <f>IF($A809="","",N809&amp;"|"&amp;$F809)</f>
        <v/>
      </c>
      <c r="P809" s="94">
        <f>IF($A809="",0,$H809*설정!$C$23)</f>
        <v/>
      </c>
      <c r="Q809" s="64">
        <f>IF($A809="","",IF(O809&lt;&gt;원인분석!$C$9,"",IF(AND(M809&gt;=원인분석!$C$10,M809&lt;=원인분석!$C$11),"당기",IF(AND(M809&gt;=원인분석!$C$12,M809&lt;=원인분석!$C$13),"비교",""))))</f>
        <v/>
      </c>
      <c r="R809" s="9">
        <f>IF(Q809="","",$K809&amp;"")</f>
        <v/>
      </c>
      <c r="S809" s="9">
        <f>IF(Q809="","",IF(MATCH(R809,$R$5:$R$100000,0)=ROW()-4,ROW(),""))</f>
        <v/>
      </c>
      <c r="T809" s="9">
        <f>IF(Q809="당기",ABS(P809)+ROW()/1000000000,"")</f>
        <v/>
      </c>
      <c r="U809" s="9">
        <f>IF(Q809="비교",ABS(P809)+ROW()/1000000000,"")</f>
        <v/>
      </c>
      <c r="V809" s="64">
        <f>IF($A809="","",IF(COUNTIF(변동분석!$E$7:$E$506,O809)&gt;0,"Y","N"))</f>
        <v/>
      </c>
      <c r="W809" s="64">
        <f>IF($A809="","",IFERROR(INDEX(계정매핑!$D$5:$D$504,MATCH($F809&amp;"",계정매핑!$A$5:$A$504,0)),"미매핑"))</f>
        <v/>
      </c>
      <c r="X809" s="9">
        <f>IF($A809="","",$F809&amp;"")</f>
        <v/>
      </c>
      <c r="Y809" s="94">
        <f>IF($A809="",0,IF(AE809="직접",IF(AF809="비귀속",$P809,0),$P809*(1-AG809)*IFERROR(INDEX(계정대체기준!$F$20:$F$49,MATCH($N809,계정대체기준!$A$20:$A$49,0)),1)))</f>
        <v/>
      </c>
      <c r="Z809" s="94">
        <f>IF($A809="",0,IF(AE809="직접",IF(AF809="신계약비",$P809,0),$P809*(1-AG809)*IFERROR(INDEX(계정대체기준!$C$20:$C$49,MATCH($N809,계정대체기준!$A$20:$A$49,0)),0)))</f>
        <v/>
      </c>
      <c r="AA809" s="94">
        <f>IF($A809="",0,IF(AE809="직접",IF(OR(AF809="유지비",AF809="손해조사비"),$P809,0),$P809*(1-AG809)*IFERROR(INDEX(계정대체기준!$D$20:$D$49,MATCH($N809,계정대체기준!$A$20:$A$49,0)),0)))</f>
        <v/>
      </c>
      <c r="AB809" s="94">
        <f>IF($A809="",0,IF(AE809="직접",IF(AF809="수금비",$P809,0),$P809*(1-AG809)*IFERROR(INDEX(계정대체기준!$E$20:$E$49,MATCH($N809,계정대체기준!$A$20:$A$49,0)),0)))</f>
        <v/>
      </c>
      <c r="AC809" s="9">
        <f>IF(AND($A809&lt;&gt;"",M809=설정!$C$20,Z809&gt;0),Z809+ROW()/1000000000,"")</f>
        <v/>
      </c>
      <c r="AD809" s="94">
        <f>IF($A809="",0,$P809*AG809)</f>
        <v/>
      </c>
      <c r="AE809" s="64">
        <f>IF($A809="","",IFERROR(INDEX(계정매핑!$E$5:$E$504,MATCH($F809&amp;"",계정매핑!$A$5:$A$504,0))&amp;"","공통비"))</f>
        <v/>
      </c>
      <c r="AF809" s="64">
        <f>IF($A809="","",IF(AE809="직접",IFERROR(INDEX(계정매핑!$F$5:$F$504,MATCH($F809&amp;"",계정매핑!$A$5:$A$504,0))&amp;"","비귀속"),""))</f>
        <v/>
      </c>
      <c r="AG809" s="96">
        <f>IF($A809="",0,IF(AND(AE809&lt;&gt;"직접",IFERROR(INDEX(계정매핑!$G$5:$G$504,MATCH($F809&amp;"",계정매핑!$A$5:$A$504,0))&amp;"","")="유지비",COUNTIF(계정대체기준!$A$6:$A$15,$N809)&gt;0),IFERROR(INDEX(계정대체기준!$E$6:$E$15,MATCH(VALUE($A809&amp;""),계정대체기준!$D$6:$D$15,0)),0),0))</f>
        <v/>
      </c>
      <c r="AH809" s="64">
        <f>IF($A809="","",IF(AD809=0,"",IF(OR(COUNTIF(계정대체기준!$A$77:$A$86,$N809)&gt;0,ISNUMBER(MATCH($X809,계정대체기준!$D$77:$D$86,0)),ISNUMBER(MATCH($F809,계정대체기준!$D$77:$D$86,0))),"Y","N")))</f>
        <v/>
      </c>
    </row>
    <row r="810">
      <c r="A810" s="92" t="n">
        <v>2025</v>
      </c>
      <c r="B810" s="92" t="n">
        <v>4</v>
      </c>
      <c r="C810" s="92" t="inlineStr">
        <is>
          <t>5100000806</t>
        </is>
      </c>
      <c r="D810" s="95" t="n">
        <v>45762</v>
      </c>
      <c r="E810" s="92" t="inlineStr">
        <is>
          <t>KR</t>
        </is>
      </c>
      <c r="F810" s="92" t="n">
        <v>62101000</v>
      </c>
      <c r="G810" s="92" t="n">
        <v>1601</v>
      </c>
      <c r="H810" s="93" t="n">
        <v>1518000</v>
      </c>
      <c r="I810" s="92" t="inlineStr">
        <is>
          <t>4월 국내출장 - (법인카드)</t>
        </is>
      </c>
      <c r="J810" s="92" t="inlineStr">
        <is>
          <t>V10010</t>
        </is>
      </c>
      <c r="K810" s="92" t="inlineStr">
        <is>
          <t>(법인카드)</t>
        </is>
      </c>
      <c r="M810" s="9">
        <f>IF($A810="","",VALUE($A810&amp;"")*12+VALUE($B810&amp;""))</f>
        <v/>
      </c>
      <c r="N810" s="64">
        <f>IF($A810="","",IFERROR(INDEX(부서매핑!$C$5:$C$504,MATCH($G810&amp;"",부서매핑!$A$5:$A$504,0)),"미매핑"))</f>
        <v/>
      </c>
      <c r="O810" s="9">
        <f>IF($A810="","",N810&amp;"|"&amp;$F810)</f>
        <v/>
      </c>
      <c r="P810" s="94">
        <f>IF($A810="",0,$H810*설정!$C$23)</f>
        <v/>
      </c>
      <c r="Q810" s="64">
        <f>IF($A810="","",IF(O810&lt;&gt;원인분석!$C$9,"",IF(AND(M810&gt;=원인분석!$C$10,M810&lt;=원인분석!$C$11),"당기",IF(AND(M810&gt;=원인분석!$C$12,M810&lt;=원인분석!$C$13),"비교",""))))</f>
        <v/>
      </c>
      <c r="R810" s="9">
        <f>IF(Q810="","",$K810&amp;"")</f>
        <v/>
      </c>
      <c r="S810" s="9">
        <f>IF(Q810="","",IF(MATCH(R810,$R$5:$R$100000,0)=ROW()-4,ROW(),""))</f>
        <v/>
      </c>
      <c r="T810" s="9">
        <f>IF(Q810="당기",ABS(P810)+ROW()/1000000000,"")</f>
        <v/>
      </c>
      <c r="U810" s="9">
        <f>IF(Q810="비교",ABS(P810)+ROW()/1000000000,"")</f>
        <v/>
      </c>
      <c r="V810" s="64">
        <f>IF($A810="","",IF(COUNTIF(변동분석!$E$7:$E$506,O810)&gt;0,"Y","N"))</f>
        <v/>
      </c>
      <c r="W810" s="64">
        <f>IF($A810="","",IFERROR(INDEX(계정매핑!$D$5:$D$504,MATCH($F810&amp;"",계정매핑!$A$5:$A$504,0)),"미매핑"))</f>
        <v/>
      </c>
      <c r="X810" s="9">
        <f>IF($A810="","",$F810&amp;"")</f>
        <v/>
      </c>
      <c r="Y810" s="94">
        <f>IF($A810="",0,IF(AE810="직접",IF(AF810="비귀속",$P810,0),$P810*(1-AG810)*IFERROR(INDEX(계정대체기준!$F$20:$F$49,MATCH($N810,계정대체기준!$A$20:$A$49,0)),1)))</f>
        <v/>
      </c>
      <c r="Z810" s="94">
        <f>IF($A810="",0,IF(AE810="직접",IF(AF810="신계약비",$P810,0),$P810*(1-AG810)*IFERROR(INDEX(계정대체기준!$C$20:$C$49,MATCH($N810,계정대체기준!$A$20:$A$49,0)),0)))</f>
        <v/>
      </c>
      <c r="AA810" s="94">
        <f>IF($A810="",0,IF(AE810="직접",IF(OR(AF810="유지비",AF810="손해조사비"),$P810,0),$P810*(1-AG810)*IFERROR(INDEX(계정대체기준!$D$20:$D$49,MATCH($N810,계정대체기준!$A$20:$A$49,0)),0)))</f>
        <v/>
      </c>
      <c r="AB810" s="94">
        <f>IF($A810="",0,IF(AE810="직접",IF(AF810="수금비",$P810,0),$P810*(1-AG810)*IFERROR(INDEX(계정대체기준!$E$20:$E$49,MATCH($N810,계정대체기준!$A$20:$A$49,0)),0)))</f>
        <v/>
      </c>
      <c r="AC810" s="9">
        <f>IF(AND($A810&lt;&gt;"",M810=설정!$C$20,Z810&gt;0),Z810+ROW()/1000000000,"")</f>
        <v/>
      </c>
      <c r="AD810" s="94">
        <f>IF($A810="",0,$P810*AG810)</f>
        <v/>
      </c>
      <c r="AE810" s="64">
        <f>IF($A810="","",IFERROR(INDEX(계정매핑!$E$5:$E$504,MATCH($F810&amp;"",계정매핑!$A$5:$A$504,0))&amp;"","공통비"))</f>
        <v/>
      </c>
      <c r="AF810" s="64">
        <f>IF($A810="","",IF(AE810="직접",IFERROR(INDEX(계정매핑!$F$5:$F$504,MATCH($F810&amp;"",계정매핑!$A$5:$A$504,0))&amp;"","비귀속"),""))</f>
        <v/>
      </c>
      <c r="AG810" s="96">
        <f>IF($A810="",0,IF(AND(AE810&lt;&gt;"직접",IFERROR(INDEX(계정매핑!$G$5:$G$504,MATCH($F810&amp;"",계정매핑!$A$5:$A$504,0))&amp;"","")="유지비",COUNTIF(계정대체기준!$A$6:$A$15,$N810)&gt;0),IFERROR(INDEX(계정대체기준!$E$6:$E$15,MATCH(VALUE($A810&amp;""),계정대체기준!$D$6:$D$15,0)),0),0))</f>
        <v/>
      </c>
      <c r="AH810" s="64">
        <f>IF($A810="","",IF(AD810=0,"",IF(OR(COUNTIF(계정대체기준!$A$77:$A$86,$N810)&gt;0,ISNUMBER(MATCH($X810,계정대체기준!$D$77:$D$86,0)),ISNUMBER(MATCH($F810,계정대체기준!$D$77:$D$86,0))),"Y","N")))</f>
        <v/>
      </c>
    </row>
    <row r="811">
      <c r="A811" s="92" t="n">
        <v>2025</v>
      </c>
      <c r="B811" s="92" t="n">
        <v>4</v>
      </c>
      <c r="C811" s="92" t="inlineStr">
        <is>
          <t>5100000807</t>
        </is>
      </c>
      <c r="D811" s="95" t="n">
        <v>45762</v>
      </c>
      <c r="E811" s="92" t="inlineStr">
        <is>
          <t>KR</t>
        </is>
      </c>
      <c r="F811" s="92" t="n">
        <v>62101000</v>
      </c>
      <c r="G811" s="92" t="n">
        <v>1801</v>
      </c>
      <c r="H811" s="93" t="n">
        <v>210000</v>
      </c>
      <c r="I811" s="92" t="inlineStr">
        <is>
          <t>4월 국내출장 - L여행사</t>
        </is>
      </c>
      <c r="J811" s="92" t="inlineStr">
        <is>
          <t>V10018</t>
        </is>
      </c>
      <c r="K811" s="92" t="inlineStr">
        <is>
          <t>L여행사</t>
        </is>
      </c>
      <c r="M811" s="9">
        <f>IF($A811="","",VALUE($A811&amp;"")*12+VALUE($B811&amp;""))</f>
        <v/>
      </c>
      <c r="N811" s="64">
        <f>IF($A811="","",IFERROR(INDEX(부서매핑!$C$5:$C$504,MATCH($G811&amp;"",부서매핑!$A$5:$A$504,0)),"미매핑"))</f>
        <v/>
      </c>
      <c r="O811" s="9">
        <f>IF($A811="","",N811&amp;"|"&amp;$F811)</f>
        <v/>
      </c>
      <c r="P811" s="94">
        <f>IF($A811="",0,$H811*설정!$C$23)</f>
        <v/>
      </c>
      <c r="Q811" s="64">
        <f>IF($A811="","",IF(O811&lt;&gt;원인분석!$C$9,"",IF(AND(M811&gt;=원인분석!$C$10,M811&lt;=원인분석!$C$11),"당기",IF(AND(M811&gt;=원인분석!$C$12,M811&lt;=원인분석!$C$13),"비교",""))))</f>
        <v/>
      </c>
      <c r="R811" s="9">
        <f>IF(Q811="","",$K811&amp;"")</f>
        <v/>
      </c>
      <c r="S811" s="9">
        <f>IF(Q811="","",IF(MATCH(R811,$R$5:$R$100000,0)=ROW()-4,ROW(),""))</f>
        <v/>
      </c>
      <c r="T811" s="9">
        <f>IF(Q811="당기",ABS(P811)+ROW()/1000000000,"")</f>
        <v/>
      </c>
      <c r="U811" s="9">
        <f>IF(Q811="비교",ABS(P811)+ROW()/1000000000,"")</f>
        <v/>
      </c>
      <c r="V811" s="64">
        <f>IF($A811="","",IF(COUNTIF(변동분석!$E$7:$E$506,O811)&gt;0,"Y","N"))</f>
        <v/>
      </c>
      <c r="W811" s="64">
        <f>IF($A811="","",IFERROR(INDEX(계정매핑!$D$5:$D$504,MATCH($F811&amp;"",계정매핑!$A$5:$A$504,0)),"미매핑"))</f>
        <v/>
      </c>
      <c r="X811" s="9">
        <f>IF($A811="","",$F811&amp;"")</f>
        <v/>
      </c>
      <c r="Y811" s="94">
        <f>IF($A811="",0,IF(AE811="직접",IF(AF811="비귀속",$P811,0),$P811*(1-AG811)*IFERROR(INDEX(계정대체기준!$F$20:$F$49,MATCH($N811,계정대체기준!$A$20:$A$49,0)),1)))</f>
        <v/>
      </c>
      <c r="Z811" s="94">
        <f>IF($A811="",0,IF(AE811="직접",IF(AF811="신계약비",$P811,0),$P811*(1-AG811)*IFERROR(INDEX(계정대체기준!$C$20:$C$49,MATCH($N811,계정대체기준!$A$20:$A$49,0)),0)))</f>
        <v/>
      </c>
      <c r="AA811" s="94">
        <f>IF($A811="",0,IF(AE811="직접",IF(OR(AF811="유지비",AF811="손해조사비"),$P811,0),$P811*(1-AG811)*IFERROR(INDEX(계정대체기준!$D$20:$D$49,MATCH($N811,계정대체기준!$A$20:$A$49,0)),0)))</f>
        <v/>
      </c>
      <c r="AB811" s="94">
        <f>IF($A811="",0,IF(AE811="직접",IF(AF811="수금비",$P811,0),$P811*(1-AG811)*IFERROR(INDEX(계정대체기준!$E$20:$E$49,MATCH($N811,계정대체기준!$A$20:$A$49,0)),0)))</f>
        <v/>
      </c>
      <c r="AC811" s="9">
        <f>IF(AND($A811&lt;&gt;"",M811=설정!$C$20,Z811&gt;0),Z811+ROW()/1000000000,"")</f>
        <v/>
      </c>
      <c r="AD811" s="94">
        <f>IF($A811="",0,$P811*AG811)</f>
        <v/>
      </c>
      <c r="AE811" s="64">
        <f>IF($A811="","",IFERROR(INDEX(계정매핑!$E$5:$E$504,MATCH($F811&amp;"",계정매핑!$A$5:$A$504,0))&amp;"","공통비"))</f>
        <v/>
      </c>
      <c r="AF811" s="64">
        <f>IF($A811="","",IF(AE811="직접",IFERROR(INDEX(계정매핑!$F$5:$F$504,MATCH($F811&amp;"",계정매핑!$A$5:$A$504,0))&amp;"","비귀속"),""))</f>
        <v/>
      </c>
      <c r="AG811" s="96">
        <f>IF($A811="",0,IF(AND(AE811&lt;&gt;"직접",IFERROR(INDEX(계정매핑!$G$5:$G$504,MATCH($F811&amp;"",계정매핑!$A$5:$A$504,0))&amp;"","")="유지비",COUNTIF(계정대체기준!$A$6:$A$15,$N811)&gt;0),IFERROR(INDEX(계정대체기준!$E$6:$E$15,MATCH(VALUE($A811&amp;""),계정대체기준!$D$6:$D$15,0)),0),0))</f>
        <v/>
      </c>
      <c r="AH811" s="64">
        <f>IF($A811="","",IF(AD811=0,"",IF(OR(COUNTIF(계정대체기준!$A$77:$A$86,$N811)&gt;0,ISNUMBER(MATCH($X811,계정대체기준!$D$77:$D$86,0)),ISNUMBER(MATCH($F811,계정대체기준!$D$77:$D$86,0))),"Y","N")))</f>
        <v/>
      </c>
    </row>
    <row r="812">
      <c r="A812" s="92" t="n">
        <v>2025</v>
      </c>
      <c r="B812" s="92" t="n">
        <v>4</v>
      </c>
      <c r="C812" s="92" t="inlineStr">
        <is>
          <t>5100000808</t>
        </is>
      </c>
      <c r="D812" s="95" t="n">
        <v>45762</v>
      </c>
      <c r="E812" s="92" t="inlineStr">
        <is>
          <t>KR</t>
        </is>
      </c>
      <c r="F812" s="92" t="n">
        <v>62102000</v>
      </c>
      <c r="G812" s="92" t="n">
        <v>1501</v>
      </c>
      <c r="H812" s="93" t="n">
        <v>158000</v>
      </c>
      <c r="I812" s="92" t="inlineStr">
        <is>
          <t>4월 해외출장 - M항공</t>
        </is>
      </c>
      <c r="J812" s="92" t="inlineStr">
        <is>
          <t>V10001</t>
        </is>
      </c>
      <c r="K812" s="92" t="inlineStr">
        <is>
          <t>M항공</t>
        </is>
      </c>
      <c r="M812" s="9">
        <f>IF($A812="","",VALUE($A812&amp;"")*12+VALUE($B812&amp;""))</f>
        <v/>
      </c>
      <c r="N812" s="64">
        <f>IF($A812="","",IFERROR(INDEX(부서매핑!$C$5:$C$504,MATCH($G812&amp;"",부서매핑!$A$5:$A$504,0)),"미매핑"))</f>
        <v/>
      </c>
      <c r="O812" s="9">
        <f>IF($A812="","",N812&amp;"|"&amp;$F812)</f>
        <v/>
      </c>
      <c r="P812" s="94">
        <f>IF($A812="",0,$H812*설정!$C$23)</f>
        <v/>
      </c>
      <c r="Q812" s="64">
        <f>IF($A812="","",IF(O812&lt;&gt;원인분석!$C$9,"",IF(AND(M812&gt;=원인분석!$C$10,M812&lt;=원인분석!$C$11),"당기",IF(AND(M812&gt;=원인분석!$C$12,M812&lt;=원인분석!$C$13),"비교",""))))</f>
        <v/>
      </c>
      <c r="R812" s="9">
        <f>IF(Q812="","",$K812&amp;"")</f>
        <v/>
      </c>
      <c r="S812" s="9">
        <f>IF(Q812="","",IF(MATCH(R812,$R$5:$R$100000,0)=ROW()-4,ROW(),""))</f>
        <v/>
      </c>
      <c r="T812" s="9">
        <f>IF(Q812="당기",ABS(P812)+ROW()/1000000000,"")</f>
        <v/>
      </c>
      <c r="U812" s="9">
        <f>IF(Q812="비교",ABS(P812)+ROW()/1000000000,"")</f>
        <v/>
      </c>
      <c r="V812" s="64">
        <f>IF($A812="","",IF(COUNTIF(변동분석!$E$7:$E$506,O812)&gt;0,"Y","N"))</f>
        <v/>
      </c>
      <c r="W812" s="64">
        <f>IF($A812="","",IFERROR(INDEX(계정매핑!$D$5:$D$504,MATCH($F812&amp;"",계정매핑!$A$5:$A$504,0)),"미매핑"))</f>
        <v/>
      </c>
      <c r="X812" s="9">
        <f>IF($A812="","",$F812&amp;"")</f>
        <v/>
      </c>
      <c r="Y812" s="94">
        <f>IF($A812="",0,IF(AE812="직접",IF(AF812="비귀속",$P812,0),$P812*(1-AG812)*IFERROR(INDEX(계정대체기준!$F$20:$F$49,MATCH($N812,계정대체기준!$A$20:$A$49,0)),1)))</f>
        <v/>
      </c>
      <c r="Z812" s="94">
        <f>IF($A812="",0,IF(AE812="직접",IF(AF812="신계약비",$P812,0),$P812*(1-AG812)*IFERROR(INDEX(계정대체기준!$C$20:$C$49,MATCH($N812,계정대체기준!$A$20:$A$49,0)),0)))</f>
        <v/>
      </c>
      <c r="AA812" s="94">
        <f>IF($A812="",0,IF(AE812="직접",IF(OR(AF812="유지비",AF812="손해조사비"),$P812,0),$P812*(1-AG812)*IFERROR(INDEX(계정대체기준!$D$20:$D$49,MATCH($N812,계정대체기준!$A$20:$A$49,0)),0)))</f>
        <v/>
      </c>
      <c r="AB812" s="94">
        <f>IF($A812="",0,IF(AE812="직접",IF(AF812="수금비",$P812,0),$P812*(1-AG812)*IFERROR(INDEX(계정대체기준!$E$20:$E$49,MATCH($N812,계정대체기준!$A$20:$A$49,0)),0)))</f>
        <v/>
      </c>
      <c r="AC812" s="9">
        <f>IF(AND($A812&lt;&gt;"",M812=설정!$C$20,Z812&gt;0),Z812+ROW()/1000000000,"")</f>
        <v/>
      </c>
      <c r="AD812" s="94">
        <f>IF($A812="",0,$P812*AG812)</f>
        <v/>
      </c>
      <c r="AE812" s="64">
        <f>IF($A812="","",IFERROR(INDEX(계정매핑!$E$5:$E$504,MATCH($F812&amp;"",계정매핑!$A$5:$A$504,0))&amp;"","공통비"))</f>
        <v/>
      </c>
      <c r="AF812" s="64">
        <f>IF($A812="","",IF(AE812="직접",IFERROR(INDEX(계정매핑!$F$5:$F$504,MATCH($F812&amp;"",계정매핑!$A$5:$A$504,0))&amp;"","비귀속"),""))</f>
        <v/>
      </c>
      <c r="AG812" s="96">
        <f>IF($A812="",0,IF(AND(AE812&lt;&gt;"직접",IFERROR(INDEX(계정매핑!$G$5:$G$504,MATCH($F812&amp;"",계정매핑!$A$5:$A$504,0))&amp;"","")="유지비",COUNTIF(계정대체기준!$A$6:$A$15,$N812)&gt;0),IFERROR(INDEX(계정대체기준!$E$6:$E$15,MATCH(VALUE($A812&amp;""),계정대체기준!$D$6:$D$15,0)),0),0))</f>
        <v/>
      </c>
      <c r="AH812" s="64">
        <f>IF($A812="","",IF(AD812=0,"",IF(OR(COUNTIF(계정대체기준!$A$77:$A$86,$N812)&gt;0,ISNUMBER(MATCH($X812,계정대체기준!$D$77:$D$86,0)),ISNUMBER(MATCH($F812,계정대체기준!$D$77:$D$86,0))),"Y","N")))</f>
        <v/>
      </c>
    </row>
    <row r="813">
      <c r="A813" s="92" t="n">
        <v>2025</v>
      </c>
      <c r="B813" s="92" t="n">
        <v>4</v>
      </c>
      <c r="C813" s="92" t="inlineStr">
        <is>
          <t>5100000809</t>
        </is>
      </c>
      <c r="D813" s="95" t="n">
        <v>45762</v>
      </c>
      <c r="E813" s="92" t="inlineStr">
        <is>
          <t>KR</t>
        </is>
      </c>
      <c r="F813" s="92" t="n">
        <v>62102000</v>
      </c>
      <c r="G813" s="92" t="n">
        <v>1951</v>
      </c>
      <c r="H813" s="93" t="n">
        <v>72000</v>
      </c>
      <c r="I813" s="92" t="inlineStr">
        <is>
          <t>4월 해외출장 - N호텔</t>
        </is>
      </c>
      <c r="J813" s="92" t="inlineStr">
        <is>
          <t>V10009</t>
        </is>
      </c>
      <c r="K813" s="92" t="inlineStr">
        <is>
          <t>N호텔</t>
        </is>
      </c>
      <c r="M813" s="9">
        <f>IF($A813="","",VALUE($A813&amp;"")*12+VALUE($B813&amp;""))</f>
        <v/>
      </c>
      <c r="N813" s="64">
        <f>IF($A813="","",IFERROR(INDEX(부서매핑!$C$5:$C$504,MATCH($G813&amp;"",부서매핑!$A$5:$A$504,0)),"미매핑"))</f>
        <v/>
      </c>
      <c r="O813" s="9">
        <f>IF($A813="","",N813&amp;"|"&amp;$F813)</f>
        <v/>
      </c>
      <c r="P813" s="94">
        <f>IF($A813="",0,$H813*설정!$C$23)</f>
        <v/>
      </c>
      <c r="Q813" s="64">
        <f>IF($A813="","",IF(O813&lt;&gt;원인분석!$C$9,"",IF(AND(M813&gt;=원인분석!$C$10,M813&lt;=원인분석!$C$11),"당기",IF(AND(M813&gt;=원인분석!$C$12,M813&lt;=원인분석!$C$13),"비교",""))))</f>
        <v/>
      </c>
      <c r="R813" s="9">
        <f>IF(Q813="","",$K813&amp;"")</f>
        <v/>
      </c>
      <c r="S813" s="9">
        <f>IF(Q813="","",IF(MATCH(R813,$R$5:$R$100000,0)=ROW()-4,ROW(),""))</f>
        <v/>
      </c>
      <c r="T813" s="9">
        <f>IF(Q813="당기",ABS(P813)+ROW()/1000000000,"")</f>
        <v/>
      </c>
      <c r="U813" s="9">
        <f>IF(Q813="비교",ABS(P813)+ROW()/1000000000,"")</f>
        <v/>
      </c>
      <c r="V813" s="64">
        <f>IF($A813="","",IF(COUNTIF(변동분석!$E$7:$E$506,O813)&gt;0,"Y","N"))</f>
        <v/>
      </c>
      <c r="W813" s="64">
        <f>IF($A813="","",IFERROR(INDEX(계정매핑!$D$5:$D$504,MATCH($F813&amp;"",계정매핑!$A$5:$A$504,0)),"미매핑"))</f>
        <v/>
      </c>
      <c r="X813" s="9">
        <f>IF($A813="","",$F813&amp;"")</f>
        <v/>
      </c>
      <c r="Y813" s="94">
        <f>IF($A813="",0,IF(AE813="직접",IF(AF813="비귀속",$P813,0),$P813*(1-AG813)*IFERROR(INDEX(계정대체기준!$F$20:$F$49,MATCH($N813,계정대체기준!$A$20:$A$49,0)),1)))</f>
        <v/>
      </c>
      <c r="Z813" s="94">
        <f>IF($A813="",0,IF(AE813="직접",IF(AF813="신계약비",$P813,0),$P813*(1-AG813)*IFERROR(INDEX(계정대체기준!$C$20:$C$49,MATCH($N813,계정대체기준!$A$20:$A$49,0)),0)))</f>
        <v/>
      </c>
      <c r="AA813" s="94">
        <f>IF($A813="",0,IF(AE813="직접",IF(OR(AF813="유지비",AF813="손해조사비"),$P813,0),$P813*(1-AG813)*IFERROR(INDEX(계정대체기준!$D$20:$D$49,MATCH($N813,계정대체기준!$A$20:$A$49,0)),0)))</f>
        <v/>
      </c>
      <c r="AB813" s="94">
        <f>IF($A813="",0,IF(AE813="직접",IF(AF813="수금비",$P813,0),$P813*(1-AG813)*IFERROR(INDEX(계정대체기준!$E$20:$E$49,MATCH($N813,계정대체기준!$A$20:$A$49,0)),0)))</f>
        <v/>
      </c>
      <c r="AC813" s="9">
        <f>IF(AND($A813&lt;&gt;"",M813=설정!$C$20,Z813&gt;0),Z813+ROW()/1000000000,"")</f>
        <v/>
      </c>
      <c r="AD813" s="94">
        <f>IF($A813="",0,$P813*AG813)</f>
        <v/>
      </c>
      <c r="AE813" s="64">
        <f>IF($A813="","",IFERROR(INDEX(계정매핑!$E$5:$E$504,MATCH($F813&amp;"",계정매핑!$A$5:$A$504,0))&amp;"","공통비"))</f>
        <v/>
      </c>
      <c r="AF813" s="64">
        <f>IF($A813="","",IF(AE813="직접",IFERROR(INDEX(계정매핑!$F$5:$F$504,MATCH($F813&amp;"",계정매핑!$A$5:$A$504,0))&amp;"","비귀속"),""))</f>
        <v/>
      </c>
      <c r="AG813" s="96">
        <f>IF($A813="",0,IF(AND(AE813&lt;&gt;"직접",IFERROR(INDEX(계정매핑!$G$5:$G$504,MATCH($F813&amp;"",계정매핑!$A$5:$A$504,0))&amp;"","")="유지비",COUNTIF(계정대체기준!$A$6:$A$15,$N813)&gt;0),IFERROR(INDEX(계정대체기준!$E$6:$E$15,MATCH(VALUE($A813&amp;""),계정대체기준!$D$6:$D$15,0)),0),0))</f>
        <v/>
      </c>
      <c r="AH813" s="64">
        <f>IF($A813="","",IF(AD813=0,"",IF(OR(COUNTIF(계정대체기준!$A$77:$A$86,$N813)&gt;0,ISNUMBER(MATCH($X813,계정대체기준!$D$77:$D$86,0)),ISNUMBER(MATCH($F813,계정대체기준!$D$77:$D$86,0))),"Y","N")))</f>
        <v/>
      </c>
    </row>
    <row r="814">
      <c r="A814" s="92" t="n">
        <v>2025</v>
      </c>
      <c r="B814" s="92" t="n">
        <v>4</v>
      </c>
      <c r="C814" s="92" t="inlineStr">
        <is>
          <t>5100000810</t>
        </is>
      </c>
      <c r="D814" s="95" t="n">
        <v>45762</v>
      </c>
      <c r="E814" s="92" t="inlineStr">
        <is>
          <t>KR</t>
        </is>
      </c>
      <c r="F814" s="92" t="n">
        <v>62301000</v>
      </c>
      <c r="G814" s="92" t="n">
        <v>1501</v>
      </c>
      <c r="H814" s="93" t="n">
        <v>220000</v>
      </c>
      <c r="I814" s="92" t="inlineStr">
        <is>
          <t>4월 소모품 구입 - Q오피스</t>
        </is>
      </c>
      <c r="J814" s="92" t="inlineStr">
        <is>
          <t>V10003</t>
        </is>
      </c>
      <c r="K814" s="92" t="inlineStr">
        <is>
          <t>Q오피스</t>
        </is>
      </c>
      <c r="M814" s="9">
        <f>IF($A814="","",VALUE($A814&amp;"")*12+VALUE($B814&amp;""))</f>
        <v/>
      </c>
      <c r="N814" s="64">
        <f>IF($A814="","",IFERROR(INDEX(부서매핑!$C$5:$C$504,MATCH($G814&amp;"",부서매핑!$A$5:$A$504,0)),"미매핑"))</f>
        <v/>
      </c>
      <c r="O814" s="9">
        <f>IF($A814="","",N814&amp;"|"&amp;$F814)</f>
        <v/>
      </c>
      <c r="P814" s="94">
        <f>IF($A814="",0,$H814*설정!$C$23)</f>
        <v/>
      </c>
      <c r="Q814" s="64">
        <f>IF($A814="","",IF(O814&lt;&gt;원인분석!$C$9,"",IF(AND(M814&gt;=원인분석!$C$10,M814&lt;=원인분석!$C$11),"당기",IF(AND(M814&gt;=원인분석!$C$12,M814&lt;=원인분석!$C$13),"비교",""))))</f>
        <v/>
      </c>
      <c r="R814" s="9">
        <f>IF(Q814="","",$K814&amp;"")</f>
        <v/>
      </c>
      <c r="S814" s="9">
        <f>IF(Q814="","",IF(MATCH(R814,$R$5:$R$100000,0)=ROW()-4,ROW(),""))</f>
        <v/>
      </c>
      <c r="T814" s="9">
        <f>IF(Q814="당기",ABS(P814)+ROW()/1000000000,"")</f>
        <v/>
      </c>
      <c r="U814" s="9">
        <f>IF(Q814="비교",ABS(P814)+ROW()/1000000000,"")</f>
        <v/>
      </c>
      <c r="V814" s="64">
        <f>IF($A814="","",IF(COUNTIF(변동분석!$E$7:$E$506,O814)&gt;0,"Y","N"))</f>
        <v/>
      </c>
      <c r="W814" s="64">
        <f>IF($A814="","",IFERROR(INDEX(계정매핑!$D$5:$D$504,MATCH($F814&amp;"",계정매핑!$A$5:$A$504,0)),"미매핑"))</f>
        <v/>
      </c>
      <c r="X814" s="9">
        <f>IF($A814="","",$F814&amp;"")</f>
        <v/>
      </c>
      <c r="Y814" s="94">
        <f>IF($A814="",0,IF(AE814="직접",IF(AF814="비귀속",$P814,0),$P814*(1-AG814)*IFERROR(INDEX(계정대체기준!$F$20:$F$49,MATCH($N814,계정대체기준!$A$20:$A$49,0)),1)))</f>
        <v/>
      </c>
      <c r="Z814" s="94">
        <f>IF($A814="",0,IF(AE814="직접",IF(AF814="신계약비",$P814,0),$P814*(1-AG814)*IFERROR(INDEX(계정대체기준!$C$20:$C$49,MATCH($N814,계정대체기준!$A$20:$A$49,0)),0)))</f>
        <v/>
      </c>
      <c r="AA814" s="94">
        <f>IF($A814="",0,IF(AE814="직접",IF(OR(AF814="유지비",AF814="손해조사비"),$P814,0),$P814*(1-AG814)*IFERROR(INDEX(계정대체기준!$D$20:$D$49,MATCH($N814,계정대체기준!$A$20:$A$49,0)),0)))</f>
        <v/>
      </c>
      <c r="AB814" s="94">
        <f>IF($A814="",0,IF(AE814="직접",IF(AF814="수금비",$P814,0),$P814*(1-AG814)*IFERROR(INDEX(계정대체기준!$E$20:$E$49,MATCH($N814,계정대체기준!$A$20:$A$49,0)),0)))</f>
        <v/>
      </c>
      <c r="AC814" s="9">
        <f>IF(AND($A814&lt;&gt;"",M814=설정!$C$20,Z814&gt;0),Z814+ROW()/1000000000,"")</f>
        <v/>
      </c>
      <c r="AD814" s="94">
        <f>IF($A814="",0,$P814*AG814)</f>
        <v/>
      </c>
      <c r="AE814" s="64">
        <f>IF($A814="","",IFERROR(INDEX(계정매핑!$E$5:$E$504,MATCH($F814&amp;"",계정매핑!$A$5:$A$504,0))&amp;"","공통비"))</f>
        <v/>
      </c>
      <c r="AF814" s="64">
        <f>IF($A814="","",IF(AE814="직접",IFERROR(INDEX(계정매핑!$F$5:$F$504,MATCH($F814&amp;"",계정매핑!$A$5:$A$504,0))&amp;"","비귀속"),""))</f>
        <v/>
      </c>
      <c r="AG814" s="96">
        <f>IF($A814="",0,IF(AND(AE814&lt;&gt;"직접",IFERROR(INDEX(계정매핑!$G$5:$G$504,MATCH($F814&amp;"",계정매핑!$A$5:$A$504,0))&amp;"","")="유지비",COUNTIF(계정대체기준!$A$6:$A$15,$N814)&gt;0),IFERROR(INDEX(계정대체기준!$E$6:$E$15,MATCH(VALUE($A814&amp;""),계정대체기준!$D$6:$D$15,0)),0),0))</f>
        <v/>
      </c>
      <c r="AH814" s="64">
        <f>IF($A814="","",IF(AD814=0,"",IF(OR(COUNTIF(계정대체기준!$A$77:$A$86,$N814)&gt;0,ISNUMBER(MATCH($X814,계정대체기준!$D$77:$D$86,0)),ISNUMBER(MATCH($F814,계정대체기준!$D$77:$D$86,0))),"Y","N")))</f>
        <v/>
      </c>
    </row>
    <row r="815">
      <c r="A815" s="92" t="n">
        <v>2025</v>
      </c>
      <c r="B815" s="92" t="n">
        <v>4</v>
      </c>
      <c r="C815" s="92" t="inlineStr">
        <is>
          <t>5100000811</t>
        </is>
      </c>
      <c r="D815" s="95" t="n">
        <v>45762</v>
      </c>
      <c r="E815" s="92" t="inlineStr">
        <is>
          <t>KR</t>
        </is>
      </c>
      <c r="F815" s="92" t="n">
        <v>62501000</v>
      </c>
      <c r="G815" s="92" t="n">
        <v>1201</v>
      </c>
      <c r="H815" s="93" t="n">
        <v>145000</v>
      </c>
      <c r="I815" s="92" t="inlineStr">
        <is>
          <t>4월 회의 다과 - T케이터링</t>
        </is>
      </c>
      <c r="J815" s="92" t="inlineStr">
        <is>
          <t>V10005</t>
        </is>
      </c>
      <c r="K815" s="92" t="inlineStr">
        <is>
          <t>T케이터링</t>
        </is>
      </c>
      <c r="M815" s="9">
        <f>IF($A815="","",VALUE($A815&amp;"")*12+VALUE($B815&amp;""))</f>
        <v/>
      </c>
      <c r="N815" s="64">
        <f>IF($A815="","",IFERROR(INDEX(부서매핑!$C$5:$C$504,MATCH($G815&amp;"",부서매핑!$A$5:$A$504,0)),"미매핑"))</f>
        <v/>
      </c>
      <c r="O815" s="9">
        <f>IF($A815="","",N815&amp;"|"&amp;$F815)</f>
        <v/>
      </c>
      <c r="P815" s="94">
        <f>IF($A815="",0,$H815*설정!$C$23)</f>
        <v/>
      </c>
      <c r="Q815" s="64">
        <f>IF($A815="","",IF(O815&lt;&gt;원인분석!$C$9,"",IF(AND(M815&gt;=원인분석!$C$10,M815&lt;=원인분석!$C$11),"당기",IF(AND(M815&gt;=원인분석!$C$12,M815&lt;=원인분석!$C$13),"비교",""))))</f>
        <v/>
      </c>
      <c r="R815" s="9">
        <f>IF(Q815="","",$K815&amp;"")</f>
        <v/>
      </c>
      <c r="S815" s="9">
        <f>IF(Q815="","",IF(MATCH(R815,$R$5:$R$100000,0)=ROW()-4,ROW(),""))</f>
        <v/>
      </c>
      <c r="T815" s="9">
        <f>IF(Q815="당기",ABS(P815)+ROW()/1000000000,"")</f>
        <v/>
      </c>
      <c r="U815" s="9">
        <f>IF(Q815="비교",ABS(P815)+ROW()/1000000000,"")</f>
        <v/>
      </c>
      <c r="V815" s="64">
        <f>IF($A815="","",IF(COUNTIF(변동분석!$E$7:$E$506,O815)&gt;0,"Y","N"))</f>
        <v/>
      </c>
      <c r="W815" s="64">
        <f>IF($A815="","",IFERROR(INDEX(계정매핑!$D$5:$D$504,MATCH($F815&amp;"",계정매핑!$A$5:$A$504,0)),"미매핑"))</f>
        <v/>
      </c>
      <c r="X815" s="9">
        <f>IF($A815="","",$F815&amp;"")</f>
        <v/>
      </c>
      <c r="Y815" s="94">
        <f>IF($A815="",0,IF(AE815="직접",IF(AF815="비귀속",$P815,0),$P815*(1-AG815)*IFERROR(INDEX(계정대체기준!$F$20:$F$49,MATCH($N815,계정대체기준!$A$20:$A$49,0)),1)))</f>
        <v/>
      </c>
      <c r="Z815" s="94">
        <f>IF($A815="",0,IF(AE815="직접",IF(AF815="신계약비",$P815,0),$P815*(1-AG815)*IFERROR(INDEX(계정대체기준!$C$20:$C$49,MATCH($N815,계정대체기준!$A$20:$A$49,0)),0)))</f>
        <v/>
      </c>
      <c r="AA815" s="94">
        <f>IF($A815="",0,IF(AE815="직접",IF(OR(AF815="유지비",AF815="손해조사비"),$P815,0),$P815*(1-AG815)*IFERROR(INDEX(계정대체기준!$D$20:$D$49,MATCH($N815,계정대체기준!$A$20:$A$49,0)),0)))</f>
        <v/>
      </c>
      <c r="AB815" s="94">
        <f>IF($A815="",0,IF(AE815="직접",IF(AF815="수금비",$P815,0),$P815*(1-AG815)*IFERROR(INDEX(계정대체기준!$E$20:$E$49,MATCH($N815,계정대체기준!$A$20:$A$49,0)),0)))</f>
        <v/>
      </c>
      <c r="AC815" s="9">
        <f>IF(AND($A815&lt;&gt;"",M815=설정!$C$20,Z815&gt;0),Z815+ROW()/1000000000,"")</f>
        <v/>
      </c>
      <c r="AD815" s="94">
        <f>IF($A815="",0,$P815*AG815)</f>
        <v/>
      </c>
      <c r="AE815" s="64">
        <f>IF($A815="","",IFERROR(INDEX(계정매핑!$E$5:$E$504,MATCH($F815&amp;"",계정매핑!$A$5:$A$504,0))&amp;"","공통비"))</f>
        <v/>
      </c>
      <c r="AF815" s="64">
        <f>IF($A815="","",IF(AE815="직접",IFERROR(INDEX(계정매핑!$F$5:$F$504,MATCH($F815&amp;"",계정매핑!$A$5:$A$504,0))&amp;"","비귀속"),""))</f>
        <v/>
      </c>
      <c r="AG815" s="96">
        <f>IF($A815="",0,IF(AND(AE815&lt;&gt;"직접",IFERROR(INDEX(계정매핑!$G$5:$G$504,MATCH($F815&amp;"",계정매핑!$A$5:$A$504,0))&amp;"","")="유지비",COUNTIF(계정대체기준!$A$6:$A$15,$N815)&gt;0),IFERROR(INDEX(계정대체기준!$E$6:$E$15,MATCH(VALUE($A815&amp;""),계정대체기준!$D$6:$D$15,0)),0),0))</f>
        <v/>
      </c>
      <c r="AH815" s="64">
        <f>IF($A815="","",IF(AD815=0,"",IF(OR(COUNTIF(계정대체기준!$A$77:$A$86,$N815)&gt;0,ISNUMBER(MATCH($X815,계정대체기준!$D$77:$D$86,0)),ISNUMBER(MATCH($F815,계정대체기준!$D$77:$D$86,0))),"Y","N")))</f>
        <v/>
      </c>
    </row>
    <row r="816">
      <c r="A816" s="92" t="n">
        <v>2025</v>
      </c>
      <c r="B816" s="92" t="n">
        <v>4</v>
      </c>
      <c r="C816" s="92" t="inlineStr">
        <is>
          <t>5100000812</t>
        </is>
      </c>
      <c r="D816" s="95" t="n">
        <v>45762</v>
      </c>
      <c r="E816" s="92" t="inlineStr">
        <is>
          <t>KR</t>
        </is>
      </c>
      <c r="F816" s="92" t="n">
        <v>62901000</v>
      </c>
      <c r="G816" s="92" t="n">
        <v>1101</v>
      </c>
      <c r="H816" s="93" t="n">
        <v>4020000</v>
      </c>
      <c r="I816" s="92" t="inlineStr">
        <is>
          <t>4월 자문 수수료 - W컨설팅</t>
        </is>
      </c>
      <c r="J816" s="92" t="inlineStr">
        <is>
          <t>V10006</t>
        </is>
      </c>
      <c r="K816" s="92" t="inlineStr">
        <is>
          <t>W컨설팅</t>
        </is>
      </c>
      <c r="M816" s="9">
        <f>IF($A816="","",VALUE($A816&amp;"")*12+VALUE($B816&amp;""))</f>
        <v/>
      </c>
      <c r="N816" s="64">
        <f>IF($A816="","",IFERROR(INDEX(부서매핑!$C$5:$C$504,MATCH($G816&amp;"",부서매핑!$A$5:$A$504,0)),"미매핑"))</f>
        <v/>
      </c>
      <c r="O816" s="9">
        <f>IF($A816="","",N816&amp;"|"&amp;$F816)</f>
        <v/>
      </c>
      <c r="P816" s="94">
        <f>IF($A816="",0,$H816*설정!$C$23)</f>
        <v/>
      </c>
      <c r="Q816" s="64">
        <f>IF($A816="","",IF(O816&lt;&gt;원인분석!$C$9,"",IF(AND(M816&gt;=원인분석!$C$10,M816&lt;=원인분석!$C$11),"당기",IF(AND(M816&gt;=원인분석!$C$12,M816&lt;=원인분석!$C$13),"비교",""))))</f>
        <v/>
      </c>
      <c r="R816" s="9">
        <f>IF(Q816="","",$K816&amp;"")</f>
        <v/>
      </c>
      <c r="S816" s="9">
        <f>IF(Q816="","",IF(MATCH(R816,$R$5:$R$100000,0)=ROW()-4,ROW(),""))</f>
        <v/>
      </c>
      <c r="T816" s="9">
        <f>IF(Q816="당기",ABS(P816)+ROW()/1000000000,"")</f>
        <v/>
      </c>
      <c r="U816" s="9">
        <f>IF(Q816="비교",ABS(P816)+ROW()/1000000000,"")</f>
        <v/>
      </c>
      <c r="V816" s="64">
        <f>IF($A816="","",IF(COUNTIF(변동분석!$E$7:$E$506,O816)&gt;0,"Y","N"))</f>
        <v/>
      </c>
      <c r="W816" s="64">
        <f>IF($A816="","",IFERROR(INDEX(계정매핑!$D$5:$D$504,MATCH($F816&amp;"",계정매핑!$A$5:$A$504,0)),"미매핑"))</f>
        <v/>
      </c>
      <c r="X816" s="9">
        <f>IF($A816="","",$F816&amp;"")</f>
        <v/>
      </c>
      <c r="Y816" s="94">
        <f>IF($A816="",0,IF(AE816="직접",IF(AF816="비귀속",$P816,0),$P816*(1-AG816)*IFERROR(INDEX(계정대체기준!$F$20:$F$49,MATCH($N816,계정대체기준!$A$20:$A$49,0)),1)))</f>
        <v/>
      </c>
      <c r="Z816" s="94">
        <f>IF($A816="",0,IF(AE816="직접",IF(AF816="신계약비",$P816,0),$P816*(1-AG816)*IFERROR(INDEX(계정대체기준!$C$20:$C$49,MATCH($N816,계정대체기준!$A$20:$A$49,0)),0)))</f>
        <v/>
      </c>
      <c r="AA816" s="94">
        <f>IF($A816="",0,IF(AE816="직접",IF(OR(AF816="유지비",AF816="손해조사비"),$P816,0),$P816*(1-AG816)*IFERROR(INDEX(계정대체기준!$D$20:$D$49,MATCH($N816,계정대체기준!$A$20:$A$49,0)),0)))</f>
        <v/>
      </c>
      <c r="AB816" s="94">
        <f>IF($A816="",0,IF(AE816="직접",IF(AF816="수금비",$P816,0),$P816*(1-AG816)*IFERROR(INDEX(계정대체기준!$E$20:$E$49,MATCH($N816,계정대체기준!$A$20:$A$49,0)),0)))</f>
        <v/>
      </c>
      <c r="AC816" s="9">
        <f>IF(AND($A816&lt;&gt;"",M816=설정!$C$20,Z816&gt;0),Z816+ROW()/1000000000,"")</f>
        <v/>
      </c>
      <c r="AD816" s="94">
        <f>IF($A816="",0,$P816*AG816)</f>
        <v/>
      </c>
      <c r="AE816" s="64">
        <f>IF($A816="","",IFERROR(INDEX(계정매핑!$E$5:$E$504,MATCH($F816&amp;"",계정매핑!$A$5:$A$504,0))&amp;"","공통비"))</f>
        <v/>
      </c>
      <c r="AF816" s="64">
        <f>IF($A816="","",IF(AE816="직접",IFERROR(INDEX(계정매핑!$F$5:$F$504,MATCH($F816&amp;"",계정매핑!$A$5:$A$504,0))&amp;"","비귀속"),""))</f>
        <v/>
      </c>
      <c r="AG816" s="96">
        <f>IF($A816="",0,IF(AND(AE816&lt;&gt;"직접",IFERROR(INDEX(계정매핑!$G$5:$G$504,MATCH($F816&amp;"",계정매핑!$A$5:$A$504,0))&amp;"","")="유지비",COUNTIF(계정대체기준!$A$6:$A$15,$N816)&gt;0),IFERROR(INDEX(계정대체기준!$E$6:$E$15,MATCH(VALUE($A816&amp;""),계정대체기준!$D$6:$D$15,0)),0),0))</f>
        <v/>
      </c>
      <c r="AH816" s="64">
        <f>IF($A816="","",IF(AD816=0,"",IF(OR(COUNTIF(계정대체기준!$A$77:$A$86,$N816)&gt;0,ISNUMBER(MATCH($X816,계정대체기준!$D$77:$D$86,0)),ISNUMBER(MATCH($F816,계정대체기준!$D$77:$D$86,0))),"Y","N")))</f>
        <v/>
      </c>
    </row>
    <row r="817">
      <c r="A817" s="92" t="n">
        <v>2025</v>
      </c>
      <c r="B817" s="92" t="n">
        <v>4</v>
      </c>
      <c r="C817" s="92" t="inlineStr">
        <is>
          <t>5100000813</t>
        </is>
      </c>
      <c r="D817" s="95" t="n">
        <v>45762</v>
      </c>
      <c r="E817" s="92" t="inlineStr">
        <is>
          <t>KR</t>
        </is>
      </c>
      <c r="F817" s="92" t="n">
        <v>62902000</v>
      </c>
      <c r="G817" s="92" t="n">
        <v>1801</v>
      </c>
      <c r="H817" s="93" t="n">
        <v>1837000</v>
      </c>
      <c r="I817" s="92" t="inlineStr">
        <is>
          <t>4월 콜 위탁 수수료(건별)</t>
        </is>
      </c>
      <c r="J817" s="92" t="inlineStr">
        <is>
          <t>V10016</t>
        </is>
      </c>
      <c r="K817" s="92" t="inlineStr">
        <is>
          <t>J콜센터</t>
        </is>
      </c>
      <c r="M817" s="9">
        <f>IF($A817="","",VALUE($A817&amp;"")*12+VALUE($B817&amp;""))</f>
        <v/>
      </c>
      <c r="N817" s="64">
        <f>IF($A817="","",IFERROR(INDEX(부서매핑!$C$5:$C$504,MATCH($G817&amp;"",부서매핑!$A$5:$A$504,0)),"미매핑"))</f>
        <v/>
      </c>
      <c r="O817" s="9">
        <f>IF($A817="","",N817&amp;"|"&amp;$F817)</f>
        <v/>
      </c>
      <c r="P817" s="94">
        <f>IF($A817="",0,$H817*설정!$C$23)</f>
        <v/>
      </c>
      <c r="Q817" s="64">
        <f>IF($A817="","",IF(O817&lt;&gt;원인분석!$C$9,"",IF(AND(M817&gt;=원인분석!$C$10,M817&lt;=원인분석!$C$11),"당기",IF(AND(M817&gt;=원인분석!$C$12,M817&lt;=원인분석!$C$13),"비교",""))))</f>
        <v/>
      </c>
      <c r="R817" s="9">
        <f>IF(Q817="","",$K817&amp;"")</f>
        <v/>
      </c>
      <c r="S817" s="9">
        <f>IF(Q817="","",IF(MATCH(R817,$R$5:$R$100000,0)=ROW()-4,ROW(),""))</f>
        <v/>
      </c>
      <c r="T817" s="9">
        <f>IF(Q817="당기",ABS(P817)+ROW()/1000000000,"")</f>
        <v/>
      </c>
      <c r="U817" s="9">
        <f>IF(Q817="비교",ABS(P817)+ROW()/1000000000,"")</f>
        <v/>
      </c>
      <c r="V817" s="64">
        <f>IF($A817="","",IF(COUNTIF(변동분석!$E$7:$E$506,O817)&gt;0,"Y","N"))</f>
        <v/>
      </c>
      <c r="W817" s="64">
        <f>IF($A817="","",IFERROR(INDEX(계정매핑!$D$5:$D$504,MATCH($F817&amp;"",계정매핑!$A$5:$A$504,0)),"미매핑"))</f>
        <v/>
      </c>
      <c r="X817" s="9">
        <f>IF($A817="","",$F817&amp;"")</f>
        <v/>
      </c>
      <c r="Y817" s="94">
        <f>IF($A817="",0,IF(AE817="직접",IF(AF817="비귀속",$P817,0),$P817*(1-AG817)*IFERROR(INDEX(계정대체기준!$F$20:$F$49,MATCH($N817,계정대체기준!$A$20:$A$49,0)),1)))</f>
        <v/>
      </c>
      <c r="Z817" s="94">
        <f>IF($A817="",0,IF(AE817="직접",IF(AF817="신계약비",$P817,0),$P817*(1-AG817)*IFERROR(INDEX(계정대체기준!$C$20:$C$49,MATCH($N817,계정대체기준!$A$20:$A$49,0)),0)))</f>
        <v/>
      </c>
      <c r="AA817" s="94">
        <f>IF($A817="",0,IF(AE817="직접",IF(OR(AF817="유지비",AF817="손해조사비"),$P817,0),$P817*(1-AG817)*IFERROR(INDEX(계정대체기준!$D$20:$D$49,MATCH($N817,계정대체기준!$A$20:$A$49,0)),0)))</f>
        <v/>
      </c>
      <c r="AB817" s="94">
        <f>IF($A817="",0,IF(AE817="직접",IF(AF817="수금비",$P817,0),$P817*(1-AG817)*IFERROR(INDEX(계정대체기준!$E$20:$E$49,MATCH($N817,계정대체기준!$A$20:$A$49,0)),0)))</f>
        <v/>
      </c>
      <c r="AC817" s="9">
        <f>IF(AND($A817&lt;&gt;"",M817=설정!$C$20,Z817&gt;0),Z817+ROW()/1000000000,"")</f>
        <v/>
      </c>
      <c r="AD817" s="94">
        <f>IF($A817="",0,$P817*AG817)</f>
        <v/>
      </c>
      <c r="AE817" s="64">
        <f>IF($A817="","",IFERROR(INDEX(계정매핑!$E$5:$E$504,MATCH($F817&amp;"",계정매핑!$A$5:$A$504,0))&amp;"","공통비"))</f>
        <v/>
      </c>
      <c r="AF817" s="64">
        <f>IF($A817="","",IF(AE817="직접",IFERROR(INDEX(계정매핑!$F$5:$F$504,MATCH($F817&amp;"",계정매핑!$A$5:$A$504,0))&amp;"","비귀속"),""))</f>
        <v/>
      </c>
      <c r="AG817" s="96">
        <f>IF($A817="",0,IF(AND(AE817&lt;&gt;"직접",IFERROR(INDEX(계정매핑!$G$5:$G$504,MATCH($F817&amp;"",계정매핑!$A$5:$A$504,0))&amp;"","")="유지비",COUNTIF(계정대체기준!$A$6:$A$15,$N817)&gt;0),IFERROR(INDEX(계정대체기준!$E$6:$E$15,MATCH(VALUE($A817&amp;""),계정대체기준!$D$6:$D$15,0)),0),0))</f>
        <v/>
      </c>
      <c r="AH817" s="64">
        <f>IF($A817="","",IF(AD817=0,"",IF(OR(COUNTIF(계정대체기준!$A$77:$A$86,$N817)&gt;0,ISNUMBER(MATCH($X817,계정대체기준!$D$77:$D$86,0)),ISNUMBER(MATCH($F817,계정대체기준!$D$77:$D$86,0))),"Y","N")))</f>
        <v/>
      </c>
    </row>
    <row r="818">
      <c r="A818" s="92" t="n">
        <v>2025</v>
      </c>
      <c r="B818" s="92" t="n">
        <v>4</v>
      </c>
      <c r="C818" s="92" t="inlineStr">
        <is>
          <t>5100000814</t>
        </is>
      </c>
      <c r="D818" s="95" t="n">
        <v>45762</v>
      </c>
      <c r="E818" s="92" t="inlineStr">
        <is>
          <t>KR</t>
        </is>
      </c>
      <c r="F818" s="92" t="n">
        <v>63502000</v>
      </c>
      <c r="G818" s="92" t="n">
        <v>1901</v>
      </c>
      <c r="H818" s="93" t="n">
        <v>162919000</v>
      </c>
      <c r="I818" s="92" t="inlineStr">
        <is>
          <t>4월 유지수수료 - (전속설계사)</t>
        </is>
      </c>
      <c r="J818" s="92" t="inlineStr">
        <is>
          <t>V10021</t>
        </is>
      </c>
      <c r="K818" s="92" t="inlineStr">
        <is>
          <t>(전속설계사)</t>
        </is>
      </c>
      <c r="M818" s="9">
        <f>IF($A818="","",VALUE($A818&amp;"")*12+VALUE($B818&amp;""))</f>
        <v/>
      </c>
      <c r="N818" s="64">
        <f>IF($A818="","",IFERROR(INDEX(부서매핑!$C$5:$C$504,MATCH($G818&amp;"",부서매핑!$A$5:$A$504,0)),"미매핑"))</f>
        <v/>
      </c>
      <c r="O818" s="9">
        <f>IF($A818="","",N818&amp;"|"&amp;$F818)</f>
        <v/>
      </c>
      <c r="P818" s="94">
        <f>IF($A818="",0,$H818*설정!$C$23)</f>
        <v/>
      </c>
      <c r="Q818" s="64">
        <f>IF($A818="","",IF(O818&lt;&gt;원인분석!$C$9,"",IF(AND(M818&gt;=원인분석!$C$10,M818&lt;=원인분석!$C$11),"당기",IF(AND(M818&gt;=원인분석!$C$12,M818&lt;=원인분석!$C$13),"비교",""))))</f>
        <v/>
      </c>
      <c r="R818" s="9">
        <f>IF(Q818="","",$K818&amp;"")</f>
        <v/>
      </c>
      <c r="S818" s="9">
        <f>IF(Q818="","",IF(MATCH(R818,$R$5:$R$100000,0)=ROW()-4,ROW(),""))</f>
        <v/>
      </c>
      <c r="T818" s="9">
        <f>IF(Q818="당기",ABS(P818)+ROW()/1000000000,"")</f>
        <v/>
      </c>
      <c r="U818" s="9">
        <f>IF(Q818="비교",ABS(P818)+ROW()/1000000000,"")</f>
        <v/>
      </c>
      <c r="V818" s="64">
        <f>IF($A818="","",IF(COUNTIF(변동분석!$E$7:$E$506,O818)&gt;0,"Y","N"))</f>
        <v/>
      </c>
      <c r="W818" s="64">
        <f>IF($A818="","",IFERROR(INDEX(계정매핑!$D$5:$D$504,MATCH($F818&amp;"",계정매핑!$A$5:$A$504,0)),"미매핑"))</f>
        <v/>
      </c>
      <c r="X818" s="9">
        <f>IF($A818="","",$F818&amp;"")</f>
        <v/>
      </c>
      <c r="Y818" s="94">
        <f>IF($A818="",0,IF(AE818="직접",IF(AF818="비귀속",$P818,0),$P818*(1-AG818)*IFERROR(INDEX(계정대체기준!$F$20:$F$49,MATCH($N818,계정대체기준!$A$20:$A$49,0)),1)))</f>
        <v/>
      </c>
      <c r="Z818" s="94">
        <f>IF($A818="",0,IF(AE818="직접",IF(AF818="신계약비",$P818,0),$P818*(1-AG818)*IFERROR(INDEX(계정대체기준!$C$20:$C$49,MATCH($N818,계정대체기준!$A$20:$A$49,0)),0)))</f>
        <v/>
      </c>
      <c r="AA818" s="94">
        <f>IF($A818="",0,IF(AE818="직접",IF(OR(AF818="유지비",AF818="손해조사비"),$P818,0),$P818*(1-AG818)*IFERROR(INDEX(계정대체기준!$D$20:$D$49,MATCH($N818,계정대체기준!$A$20:$A$49,0)),0)))</f>
        <v/>
      </c>
      <c r="AB818" s="94">
        <f>IF($A818="",0,IF(AE818="직접",IF(AF818="수금비",$P818,0),$P818*(1-AG818)*IFERROR(INDEX(계정대체기준!$E$20:$E$49,MATCH($N818,계정대체기준!$A$20:$A$49,0)),0)))</f>
        <v/>
      </c>
      <c r="AC818" s="9">
        <f>IF(AND($A818&lt;&gt;"",M818=설정!$C$20,Z818&gt;0),Z818+ROW()/1000000000,"")</f>
        <v/>
      </c>
      <c r="AD818" s="94">
        <f>IF($A818="",0,$P818*AG818)</f>
        <v/>
      </c>
      <c r="AE818" s="64">
        <f>IF($A818="","",IFERROR(INDEX(계정매핑!$E$5:$E$504,MATCH($F818&amp;"",계정매핑!$A$5:$A$504,0))&amp;"","공통비"))</f>
        <v/>
      </c>
      <c r="AF818" s="64">
        <f>IF($A818="","",IF(AE818="직접",IFERROR(INDEX(계정매핑!$F$5:$F$504,MATCH($F818&amp;"",계정매핑!$A$5:$A$504,0))&amp;"","비귀속"),""))</f>
        <v/>
      </c>
      <c r="AG818" s="96">
        <f>IF($A818="",0,IF(AND(AE818&lt;&gt;"직접",IFERROR(INDEX(계정매핑!$G$5:$G$504,MATCH($F818&amp;"",계정매핑!$A$5:$A$504,0))&amp;"","")="유지비",COUNTIF(계정대체기준!$A$6:$A$15,$N818)&gt;0),IFERROR(INDEX(계정대체기준!$E$6:$E$15,MATCH(VALUE($A818&amp;""),계정대체기준!$D$6:$D$15,0)),0),0))</f>
        <v/>
      </c>
      <c r="AH818" s="64">
        <f>IF($A818="","",IF(AD818=0,"",IF(OR(COUNTIF(계정대체기준!$A$77:$A$86,$N818)&gt;0,ISNUMBER(MATCH($X818,계정대체기준!$D$77:$D$86,0)),ISNUMBER(MATCH($F818,계정대체기준!$D$77:$D$86,0))),"Y","N")))</f>
        <v/>
      </c>
    </row>
    <row r="819">
      <c r="A819" s="92" t="n">
        <v>2025</v>
      </c>
      <c r="B819" s="92" t="n">
        <v>4</v>
      </c>
      <c r="C819" s="92" t="inlineStr">
        <is>
          <t>5100000815</t>
        </is>
      </c>
      <c r="D819" s="95" t="n">
        <v>45763</v>
      </c>
      <c r="E819" s="92" t="inlineStr">
        <is>
          <t>KR</t>
        </is>
      </c>
      <c r="F819" s="92" t="n">
        <v>62101000</v>
      </c>
      <c r="G819" s="92" t="n">
        <v>1801</v>
      </c>
      <c r="H819" s="93" t="n">
        <v>190000</v>
      </c>
      <c r="I819" s="92" t="inlineStr">
        <is>
          <t>4월 국내출장 - M항공</t>
        </is>
      </c>
      <c r="J819" s="92" t="inlineStr">
        <is>
          <t>V10001</t>
        </is>
      </c>
      <c r="K819" s="92" t="inlineStr">
        <is>
          <t>M항공</t>
        </is>
      </c>
      <c r="M819" s="9">
        <f>IF($A819="","",VALUE($A819&amp;"")*12+VALUE($B819&amp;""))</f>
        <v/>
      </c>
      <c r="N819" s="64">
        <f>IF($A819="","",IFERROR(INDEX(부서매핑!$C$5:$C$504,MATCH($G819&amp;"",부서매핑!$A$5:$A$504,0)),"미매핑"))</f>
        <v/>
      </c>
      <c r="O819" s="9">
        <f>IF($A819="","",N819&amp;"|"&amp;$F819)</f>
        <v/>
      </c>
      <c r="P819" s="94">
        <f>IF($A819="",0,$H819*설정!$C$23)</f>
        <v/>
      </c>
      <c r="Q819" s="64">
        <f>IF($A819="","",IF(O819&lt;&gt;원인분석!$C$9,"",IF(AND(M819&gt;=원인분석!$C$10,M819&lt;=원인분석!$C$11),"당기",IF(AND(M819&gt;=원인분석!$C$12,M819&lt;=원인분석!$C$13),"비교",""))))</f>
        <v/>
      </c>
      <c r="R819" s="9">
        <f>IF(Q819="","",$K819&amp;"")</f>
        <v/>
      </c>
      <c r="S819" s="9">
        <f>IF(Q819="","",IF(MATCH(R819,$R$5:$R$100000,0)=ROW()-4,ROW(),""))</f>
        <v/>
      </c>
      <c r="T819" s="9">
        <f>IF(Q819="당기",ABS(P819)+ROW()/1000000000,"")</f>
        <v/>
      </c>
      <c r="U819" s="9">
        <f>IF(Q819="비교",ABS(P819)+ROW()/1000000000,"")</f>
        <v/>
      </c>
      <c r="V819" s="64">
        <f>IF($A819="","",IF(COUNTIF(변동분석!$E$7:$E$506,O819)&gt;0,"Y","N"))</f>
        <v/>
      </c>
      <c r="W819" s="64">
        <f>IF($A819="","",IFERROR(INDEX(계정매핑!$D$5:$D$504,MATCH($F819&amp;"",계정매핑!$A$5:$A$504,0)),"미매핑"))</f>
        <v/>
      </c>
      <c r="X819" s="9">
        <f>IF($A819="","",$F819&amp;"")</f>
        <v/>
      </c>
      <c r="Y819" s="94">
        <f>IF($A819="",0,IF(AE819="직접",IF(AF819="비귀속",$P819,0),$P819*(1-AG819)*IFERROR(INDEX(계정대체기준!$F$20:$F$49,MATCH($N819,계정대체기준!$A$20:$A$49,0)),1)))</f>
        <v/>
      </c>
      <c r="Z819" s="94">
        <f>IF($A819="",0,IF(AE819="직접",IF(AF819="신계약비",$P819,0),$P819*(1-AG819)*IFERROR(INDEX(계정대체기준!$C$20:$C$49,MATCH($N819,계정대체기준!$A$20:$A$49,0)),0)))</f>
        <v/>
      </c>
      <c r="AA819" s="94">
        <f>IF($A819="",0,IF(AE819="직접",IF(OR(AF819="유지비",AF819="손해조사비"),$P819,0),$P819*(1-AG819)*IFERROR(INDEX(계정대체기준!$D$20:$D$49,MATCH($N819,계정대체기준!$A$20:$A$49,0)),0)))</f>
        <v/>
      </c>
      <c r="AB819" s="94">
        <f>IF($A819="",0,IF(AE819="직접",IF(AF819="수금비",$P819,0),$P819*(1-AG819)*IFERROR(INDEX(계정대체기준!$E$20:$E$49,MATCH($N819,계정대체기준!$A$20:$A$49,0)),0)))</f>
        <v/>
      </c>
      <c r="AC819" s="9">
        <f>IF(AND($A819&lt;&gt;"",M819=설정!$C$20,Z819&gt;0),Z819+ROW()/1000000000,"")</f>
        <v/>
      </c>
      <c r="AD819" s="94">
        <f>IF($A819="",0,$P819*AG819)</f>
        <v/>
      </c>
      <c r="AE819" s="64">
        <f>IF($A819="","",IFERROR(INDEX(계정매핑!$E$5:$E$504,MATCH($F819&amp;"",계정매핑!$A$5:$A$504,0))&amp;"","공통비"))</f>
        <v/>
      </c>
      <c r="AF819" s="64">
        <f>IF($A819="","",IF(AE819="직접",IFERROR(INDEX(계정매핑!$F$5:$F$504,MATCH($F819&amp;"",계정매핑!$A$5:$A$504,0))&amp;"","비귀속"),""))</f>
        <v/>
      </c>
      <c r="AG819" s="96">
        <f>IF($A819="",0,IF(AND(AE819&lt;&gt;"직접",IFERROR(INDEX(계정매핑!$G$5:$G$504,MATCH($F819&amp;"",계정매핑!$A$5:$A$504,0))&amp;"","")="유지비",COUNTIF(계정대체기준!$A$6:$A$15,$N819)&gt;0),IFERROR(INDEX(계정대체기준!$E$6:$E$15,MATCH(VALUE($A819&amp;""),계정대체기준!$D$6:$D$15,0)),0),0))</f>
        <v/>
      </c>
      <c r="AH819" s="64">
        <f>IF($A819="","",IF(AD819=0,"",IF(OR(COUNTIF(계정대체기준!$A$77:$A$86,$N819)&gt;0,ISNUMBER(MATCH($X819,계정대체기준!$D$77:$D$86,0)),ISNUMBER(MATCH($F819,계정대체기준!$D$77:$D$86,0))),"Y","N")))</f>
        <v/>
      </c>
    </row>
    <row r="820">
      <c r="A820" s="92" t="n">
        <v>2025</v>
      </c>
      <c r="B820" s="92" t="n">
        <v>4</v>
      </c>
      <c r="C820" s="92" t="inlineStr">
        <is>
          <t>5100000816</t>
        </is>
      </c>
      <c r="D820" s="95" t="n">
        <v>45763</v>
      </c>
      <c r="E820" s="92" t="inlineStr">
        <is>
          <t>KR</t>
        </is>
      </c>
      <c r="F820" s="92" t="n">
        <v>62101000</v>
      </c>
      <c r="G820" s="92" t="n">
        <v>1951</v>
      </c>
      <c r="H820" s="93" t="n">
        <v>281000</v>
      </c>
      <c r="I820" s="92" t="inlineStr">
        <is>
          <t>4월 국내출장 - L여행사</t>
        </is>
      </c>
      <c r="J820" s="92" t="inlineStr">
        <is>
          <t>V10018</t>
        </is>
      </c>
      <c r="K820" s="92" t="inlineStr">
        <is>
          <t>L여행사</t>
        </is>
      </c>
      <c r="M820" s="9">
        <f>IF($A820="","",VALUE($A820&amp;"")*12+VALUE($B820&amp;""))</f>
        <v/>
      </c>
      <c r="N820" s="64">
        <f>IF($A820="","",IFERROR(INDEX(부서매핑!$C$5:$C$504,MATCH($G820&amp;"",부서매핑!$A$5:$A$504,0)),"미매핑"))</f>
        <v/>
      </c>
      <c r="O820" s="9">
        <f>IF($A820="","",N820&amp;"|"&amp;$F820)</f>
        <v/>
      </c>
      <c r="P820" s="94">
        <f>IF($A820="",0,$H820*설정!$C$23)</f>
        <v/>
      </c>
      <c r="Q820" s="64">
        <f>IF($A820="","",IF(O820&lt;&gt;원인분석!$C$9,"",IF(AND(M820&gt;=원인분석!$C$10,M820&lt;=원인분석!$C$11),"당기",IF(AND(M820&gt;=원인분석!$C$12,M820&lt;=원인분석!$C$13),"비교",""))))</f>
        <v/>
      </c>
      <c r="R820" s="9">
        <f>IF(Q820="","",$K820&amp;"")</f>
        <v/>
      </c>
      <c r="S820" s="9">
        <f>IF(Q820="","",IF(MATCH(R820,$R$5:$R$100000,0)=ROW()-4,ROW(),""))</f>
        <v/>
      </c>
      <c r="T820" s="9">
        <f>IF(Q820="당기",ABS(P820)+ROW()/1000000000,"")</f>
        <v/>
      </c>
      <c r="U820" s="9">
        <f>IF(Q820="비교",ABS(P820)+ROW()/1000000000,"")</f>
        <v/>
      </c>
      <c r="V820" s="64">
        <f>IF($A820="","",IF(COUNTIF(변동분석!$E$7:$E$506,O820)&gt;0,"Y","N"))</f>
        <v/>
      </c>
      <c r="W820" s="64">
        <f>IF($A820="","",IFERROR(INDEX(계정매핑!$D$5:$D$504,MATCH($F820&amp;"",계정매핑!$A$5:$A$504,0)),"미매핑"))</f>
        <v/>
      </c>
      <c r="X820" s="9">
        <f>IF($A820="","",$F820&amp;"")</f>
        <v/>
      </c>
      <c r="Y820" s="94">
        <f>IF($A820="",0,IF(AE820="직접",IF(AF820="비귀속",$P820,0),$P820*(1-AG820)*IFERROR(INDEX(계정대체기준!$F$20:$F$49,MATCH($N820,계정대체기준!$A$20:$A$49,0)),1)))</f>
        <v/>
      </c>
      <c r="Z820" s="94">
        <f>IF($A820="",0,IF(AE820="직접",IF(AF820="신계약비",$P820,0),$P820*(1-AG820)*IFERROR(INDEX(계정대체기준!$C$20:$C$49,MATCH($N820,계정대체기준!$A$20:$A$49,0)),0)))</f>
        <v/>
      </c>
      <c r="AA820" s="94">
        <f>IF($A820="",0,IF(AE820="직접",IF(OR(AF820="유지비",AF820="손해조사비"),$P820,0),$P820*(1-AG820)*IFERROR(INDEX(계정대체기준!$D$20:$D$49,MATCH($N820,계정대체기준!$A$20:$A$49,0)),0)))</f>
        <v/>
      </c>
      <c r="AB820" s="94">
        <f>IF($A820="",0,IF(AE820="직접",IF(AF820="수금비",$P820,0),$P820*(1-AG820)*IFERROR(INDEX(계정대체기준!$E$20:$E$49,MATCH($N820,계정대체기준!$A$20:$A$49,0)),0)))</f>
        <v/>
      </c>
      <c r="AC820" s="9">
        <f>IF(AND($A820&lt;&gt;"",M820=설정!$C$20,Z820&gt;0),Z820+ROW()/1000000000,"")</f>
        <v/>
      </c>
      <c r="AD820" s="94">
        <f>IF($A820="",0,$P820*AG820)</f>
        <v/>
      </c>
      <c r="AE820" s="64">
        <f>IF($A820="","",IFERROR(INDEX(계정매핑!$E$5:$E$504,MATCH($F820&amp;"",계정매핑!$A$5:$A$504,0))&amp;"","공통비"))</f>
        <v/>
      </c>
      <c r="AF820" s="64">
        <f>IF($A820="","",IF(AE820="직접",IFERROR(INDEX(계정매핑!$F$5:$F$504,MATCH($F820&amp;"",계정매핑!$A$5:$A$504,0))&amp;"","비귀속"),""))</f>
        <v/>
      </c>
      <c r="AG820" s="96">
        <f>IF($A820="",0,IF(AND(AE820&lt;&gt;"직접",IFERROR(INDEX(계정매핑!$G$5:$G$504,MATCH($F820&amp;"",계정매핑!$A$5:$A$504,0))&amp;"","")="유지비",COUNTIF(계정대체기준!$A$6:$A$15,$N820)&gt;0),IFERROR(INDEX(계정대체기준!$E$6:$E$15,MATCH(VALUE($A820&amp;""),계정대체기준!$D$6:$D$15,0)),0),0))</f>
        <v/>
      </c>
      <c r="AH820" s="64">
        <f>IF($A820="","",IF(AD820=0,"",IF(OR(COUNTIF(계정대체기준!$A$77:$A$86,$N820)&gt;0,ISNUMBER(MATCH($X820,계정대체기준!$D$77:$D$86,0)),ISNUMBER(MATCH($F820,계정대체기준!$D$77:$D$86,0))),"Y","N")))</f>
        <v/>
      </c>
    </row>
    <row r="821">
      <c r="A821" s="92" t="n">
        <v>2025</v>
      </c>
      <c r="B821" s="92" t="n">
        <v>4</v>
      </c>
      <c r="C821" s="92" t="inlineStr">
        <is>
          <t>5100000817</t>
        </is>
      </c>
      <c r="D821" s="95" t="n">
        <v>45763</v>
      </c>
      <c r="E821" s="92" t="inlineStr">
        <is>
          <t>KR</t>
        </is>
      </c>
      <c r="F821" s="92" t="n">
        <v>62301000</v>
      </c>
      <c r="G821" s="92" t="n">
        <v>1301</v>
      </c>
      <c r="H821" s="93" t="n">
        <v>263000</v>
      </c>
      <c r="I821" s="92" t="inlineStr">
        <is>
          <t>4월 소모품 구입 - Q오피스</t>
        </is>
      </c>
      <c r="J821" s="92" t="inlineStr">
        <is>
          <t>V10003</t>
        </is>
      </c>
      <c r="K821" s="92" t="inlineStr">
        <is>
          <t>Q오피스</t>
        </is>
      </c>
      <c r="M821" s="9">
        <f>IF($A821="","",VALUE($A821&amp;"")*12+VALUE($B821&amp;""))</f>
        <v/>
      </c>
      <c r="N821" s="64">
        <f>IF($A821="","",IFERROR(INDEX(부서매핑!$C$5:$C$504,MATCH($G821&amp;"",부서매핑!$A$5:$A$504,0)),"미매핑"))</f>
        <v/>
      </c>
      <c r="O821" s="9">
        <f>IF($A821="","",N821&amp;"|"&amp;$F821)</f>
        <v/>
      </c>
      <c r="P821" s="94">
        <f>IF($A821="",0,$H821*설정!$C$23)</f>
        <v/>
      </c>
      <c r="Q821" s="64">
        <f>IF($A821="","",IF(O821&lt;&gt;원인분석!$C$9,"",IF(AND(M821&gt;=원인분석!$C$10,M821&lt;=원인분석!$C$11),"당기",IF(AND(M821&gt;=원인분석!$C$12,M821&lt;=원인분석!$C$13),"비교",""))))</f>
        <v/>
      </c>
      <c r="R821" s="9">
        <f>IF(Q821="","",$K821&amp;"")</f>
        <v/>
      </c>
      <c r="S821" s="9">
        <f>IF(Q821="","",IF(MATCH(R821,$R$5:$R$100000,0)=ROW()-4,ROW(),""))</f>
        <v/>
      </c>
      <c r="T821" s="9">
        <f>IF(Q821="당기",ABS(P821)+ROW()/1000000000,"")</f>
        <v/>
      </c>
      <c r="U821" s="9">
        <f>IF(Q821="비교",ABS(P821)+ROW()/1000000000,"")</f>
        <v/>
      </c>
      <c r="V821" s="64">
        <f>IF($A821="","",IF(COUNTIF(변동분석!$E$7:$E$506,O821)&gt;0,"Y","N"))</f>
        <v/>
      </c>
      <c r="W821" s="64">
        <f>IF($A821="","",IFERROR(INDEX(계정매핑!$D$5:$D$504,MATCH($F821&amp;"",계정매핑!$A$5:$A$504,0)),"미매핑"))</f>
        <v/>
      </c>
      <c r="X821" s="9">
        <f>IF($A821="","",$F821&amp;"")</f>
        <v/>
      </c>
      <c r="Y821" s="94">
        <f>IF($A821="",0,IF(AE821="직접",IF(AF821="비귀속",$P821,0),$P821*(1-AG821)*IFERROR(INDEX(계정대체기준!$F$20:$F$49,MATCH($N821,계정대체기준!$A$20:$A$49,0)),1)))</f>
        <v/>
      </c>
      <c r="Z821" s="94">
        <f>IF($A821="",0,IF(AE821="직접",IF(AF821="신계약비",$P821,0),$P821*(1-AG821)*IFERROR(INDEX(계정대체기준!$C$20:$C$49,MATCH($N821,계정대체기준!$A$20:$A$49,0)),0)))</f>
        <v/>
      </c>
      <c r="AA821" s="94">
        <f>IF($A821="",0,IF(AE821="직접",IF(OR(AF821="유지비",AF821="손해조사비"),$P821,0),$P821*(1-AG821)*IFERROR(INDEX(계정대체기준!$D$20:$D$49,MATCH($N821,계정대체기준!$A$20:$A$49,0)),0)))</f>
        <v/>
      </c>
      <c r="AB821" s="94">
        <f>IF($A821="",0,IF(AE821="직접",IF(AF821="수금비",$P821,0),$P821*(1-AG821)*IFERROR(INDEX(계정대체기준!$E$20:$E$49,MATCH($N821,계정대체기준!$A$20:$A$49,0)),0)))</f>
        <v/>
      </c>
      <c r="AC821" s="9">
        <f>IF(AND($A821&lt;&gt;"",M821=설정!$C$20,Z821&gt;0),Z821+ROW()/1000000000,"")</f>
        <v/>
      </c>
      <c r="AD821" s="94">
        <f>IF($A821="",0,$P821*AG821)</f>
        <v/>
      </c>
      <c r="AE821" s="64">
        <f>IF($A821="","",IFERROR(INDEX(계정매핑!$E$5:$E$504,MATCH($F821&amp;"",계정매핑!$A$5:$A$504,0))&amp;"","공통비"))</f>
        <v/>
      </c>
      <c r="AF821" s="64">
        <f>IF($A821="","",IF(AE821="직접",IFERROR(INDEX(계정매핑!$F$5:$F$504,MATCH($F821&amp;"",계정매핑!$A$5:$A$504,0))&amp;"","비귀속"),""))</f>
        <v/>
      </c>
      <c r="AG821" s="96">
        <f>IF($A821="",0,IF(AND(AE821&lt;&gt;"직접",IFERROR(INDEX(계정매핑!$G$5:$G$504,MATCH($F821&amp;"",계정매핑!$A$5:$A$504,0))&amp;"","")="유지비",COUNTIF(계정대체기준!$A$6:$A$15,$N821)&gt;0),IFERROR(INDEX(계정대체기준!$E$6:$E$15,MATCH(VALUE($A821&amp;""),계정대체기준!$D$6:$D$15,0)),0),0))</f>
        <v/>
      </c>
      <c r="AH821" s="64">
        <f>IF($A821="","",IF(AD821=0,"",IF(OR(COUNTIF(계정대체기준!$A$77:$A$86,$N821)&gt;0,ISNUMBER(MATCH($X821,계정대체기준!$D$77:$D$86,0)),ISNUMBER(MATCH($F821,계정대체기준!$D$77:$D$86,0))),"Y","N")))</f>
        <v/>
      </c>
    </row>
    <row r="822">
      <c r="A822" s="92" t="n">
        <v>2025</v>
      </c>
      <c r="B822" s="92" t="n">
        <v>4</v>
      </c>
      <c r="C822" s="92" t="inlineStr">
        <is>
          <t>5100000818</t>
        </is>
      </c>
      <c r="D822" s="95" t="n">
        <v>45763</v>
      </c>
      <c r="E822" s="92" t="inlineStr">
        <is>
          <t>KR</t>
        </is>
      </c>
      <c r="F822" s="92" t="n">
        <v>62501000</v>
      </c>
      <c r="G822" s="92" t="n">
        <v>1401</v>
      </c>
      <c r="H822" s="93" t="n">
        <v>101000</v>
      </c>
      <c r="I822" s="92" t="inlineStr">
        <is>
          <t>4월 회의 다과 - (법인카드)</t>
        </is>
      </c>
      <c r="J822" s="92" t="inlineStr">
        <is>
          <t>V10010</t>
        </is>
      </c>
      <c r="K822" s="92" t="inlineStr">
        <is>
          <t>(법인카드)</t>
        </is>
      </c>
      <c r="M822" s="9">
        <f>IF($A822="","",VALUE($A822&amp;"")*12+VALUE($B822&amp;""))</f>
        <v/>
      </c>
      <c r="N822" s="64">
        <f>IF($A822="","",IFERROR(INDEX(부서매핑!$C$5:$C$504,MATCH($G822&amp;"",부서매핑!$A$5:$A$504,0)),"미매핑"))</f>
        <v/>
      </c>
      <c r="O822" s="9">
        <f>IF($A822="","",N822&amp;"|"&amp;$F822)</f>
        <v/>
      </c>
      <c r="P822" s="94">
        <f>IF($A822="",0,$H822*설정!$C$23)</f>
        <v/>
      </c>
      <c r="Q822" s="64">
        <f>IF($A822="","",IF(O822&lt;&gt;원인분석!$C$9,"",IF(AND(M822&gt;=원인분석!$C$10,M822&lt;=원인분석!$C$11),"당기",IF(AND(M822&gt;=원인분석!$C$12,M822&lt;=원인분석!$C$13),"비교",""))))</f>
        <v/>
      </c>
      <c r="R822" s="9">
        <f>IF(Q822="","",$K822&amp;"")</f>
        <v/>
      </c>
      <c r="S822" s="9">
        <f>IF(Q822="","",IF(MATCH(R822,$R$5:$R$100000,0)=ROW()-4,ROW(),""))</f>
        <v/>
      </c>
      <c r="T822" s="9">
        <f>IF(Q822="당기",ABS(P822)+ROW()/1000000000,"")</f>
        <v/>
      </c>
      <c r="U822" s="9">
        <f>IF(Q822="비교",ABS(P822)+ROW()/1000000000,"")</f>
        <v/>
      </c>
      <c r="V822" s="64">
        <f>IF($A822="","",IF(COUNTIF(변동분석!$E$7:$E$506,O822)&gt;0,"Y","N"))</f>
        <v/>
      </c>
      <c r="W822" s="64">
        <f>IF($A822="","",IFERROR(INDEX(계정매핑!$D$5:$D$504,MATCH($F822&amp;"",계정매핑!$A$5:$A$504,0)),"미매핑"))</f>
        <v/>
      </c>
      <c r="X822" s="9">
        <f>IF($A822="","",$F822&amp;"")</f>
        <v/>
      </c>
      <c r="Y822" s="94">
        <f>IF($A822="",0,IF(AE822="직접",IF(AF822="비귀속",$P822,0),$P822*(1-AG822)*IFERROR(INDEX(계정대체기준!$F$20:$F$49,MATCH($N822,계정대체기준!$A$20:$A$49,0)),1)))</f>
        <v/>
      </c>
      <c r="Z822" s="94">
        <f>IF($A822="",0,IF(AE822="직접",IF(AF822="신계약비",$P822,0),$P822*(1-AG822)*IFERROR(INDEX(계정대체기준!$C$20:$C$49,MATCH($N822,계정대체기준!$A$20:$A$49,0)),0)))</f>
        <v/>
      </c>
      <c r="AA822" s="94">
        <f>IF($A822="",0,IF(AE822="직접",IF(OR(AF822="유지비",AF822="손해조사비"),$P822,0),$P822*(1-AG822)*IFERROR(INDEX(계정대체기준!$D$20:$D$49,MATCH($N822,계정대체기준!$A$20:$A$49,0)),0)))</f>
        <v/>
      </c>
      <c r="AB822" s="94">
        <f>IF($A822="",0,IF(AE822="직접",IF(AF822="수금비",$P822,0),$P822*(1-AG822)*IFERROR(INDEX(계정대체기준!$E$20:$E$49,MATCH($N822,계정대체기준!$A$20:$A$49,0)),0)))</f>
        <v/>
      </c>
      <c r="AC822" s="9">
        <f>IF(AND($A822&lt;&gt;"",M822=설정!$C$20,Z822&gt;0),Z822+ROW()/1000000000,"")</f>
        <v/>
      </c>
      <c r="AD822" s="94">
        <f>IF($A822="",0,$P822*AG822)</f>
        <v/>
      </c>
      <c r="AE822" s="64">
        <f>IF($A822="","",IFERROR(INDEX(계정매핑!$E$5:$E$504,MATCH($F822&amp;"",계정매핑!$A$5:$A$504,0))&amp;"","공통비"))</f>
        <v/>
      </c>
      <c r="AF822" s="64">
        <f>IF($A822="","",IF(AE822="직접",IFERROR(INDEX(계정매핑!$F$5:$F$504,MATCH($F822&amp;"",계정매핑!$A$5:$A$504,0))&amp;"","비귀속"),""))</f>
        <v/>
      </c>
      <c r="AG822" s="96">
        <f>IF($A822="",0,IF(AND(AE822&lt;&gt;"직접",IFERROR(INDEX(계정매핑!$G$5:$G$504,MATCH($F822&amp;"",계정매핑!$A$5:$A$504,0))&amp;"","")="유지비",COUNTIF(계정대체기준!$A$6:$A$15,$N822)&gt;0),IFERROR(INDEX(계정대체기준!$E$6:$E$15,MATCH(VALUE($A822&amp;""),계정대체기준!$D$6:$D$15,0)),0),0))</f>
        <v/>
      </c>
      <c r="AH822" s="64">
        <f>IF($A822="","",IF(AD822=0,"",IF(OR(COUNTIF(계정대체기준!$A$77:$A$86,$N822)&gt;0,ISNUMBER(MATCH($X822,계정대체기준!$D$77:$D$86,0)),ISNUMBER(MATCH($F822,계정대체기준!$D$77:$D$86,0))),"Y","N")))</f>
        <v/>
      </c>
    </row>
    <row r="823">
      <c r="A823" s="92" t="n">
        <v>2025</v>
      </c>
      <c r="B823" s="92" t="n">
        <v>4</v>
      </c>
      <c r="C823" s="92" t="inlineStr">
        <is>
          <t>5100000819</t>
        </is>
      </c>
      <c r="D823" s="95" t="n">
        <v>45763</v>
      </c>
      <c r="E823" s="92" t="inlineStr">
        <is>
          <t>KR</t>
        </is>
      </c>
      <c r="F823" s="92" t="n">
        <v>62902000</v>
      </c>
      <c r="G823" s="92" t="n">
        <v>1801</v>
      </c>
      <c r="H823" s="93" t="n">
        <v>1792000</v>
      </c>
      <c r="I823" s="92" t="inlineStr">
        <is>
          <t>4월 콜 위탁 수수료(건별)</t>
        </is>
      </c>
      <c r="J823" s="92" t="inlineStr">
        <is>
          <t>V10016</t>
        </is>
      </c>
      <c r="K823" s="92" t="inlineStr">
        <is>
          <t>J콜센터</t>
        </is>
      </c>
      <c r="M823" s="9">
        <f>IF($A823="","",VALUE($A823&amp;"")*12+VALUE($B823&amp;""))</f>
        <v/>
      </c>
      <c r="N823" s="64">
        <f>IF($A823="","",IFERROR(INDEX(부서매핑!$C$5:$C$504,MATCH($G823&amp;"",부서매핑!$A$5:$A$504,0)),"미매핑"))</f>
        <v/>
      </c>
      <c r="O823" s="9">
        <f>IF($A823="","",N823&amp;"|"&amp;$F823)</f>
        <v/>
      </c>
      <c r="P823" s="94">
        <f>IF($A823="",0,$H823*설정!$C$23)</f>
        <v/>
      </c>
      <c r="Q823" s="64">
        <f>IF($A823="","",IF(O823&lt;&gt;원인분석!$C$9,"",IF(AND(M823&gt;=원인분석!$C$10,M823&lt;=원인분석!$C$11),"당기",IF(AND(M823&gt;=원인분석!$C$12,M823&lt;=원인분석!$C$13),"비교",""))))</f>
        <v/>
      </c>
      <c r="R823" s="9">
        <f>IF(Q823="","",$K823&amp;"")</f>
        <v/>
      </c>
      <c r="S823" s="9">
        <f>IF(Q823="","",IF(MATCH(R823,$R$5:$R$100000,0)=ROW()-4,ROW(),""))</f>
        <v/>
      </c>
      <c r="T823" s="9">
        <f>IF(Q823="당기",ABS(P823)+ROW()/1000000000,"")</f>
        <v/>
      </c>
      <c r="U823" s="9">
        <f>IF(Q823="비교",ABS(P823)+ROW()/1000000000,"")</f>
        <v/>
      </c>
      <c r="V823" s="64">
        <f>IF($A823="","",IF(COUNTIF(변동분석!$E$7:$E$506,O823)&gt;0,"Y","N"))</f>
        <v/>
      </c>
      <c r="W823" s="64">
        <f>IF($A823="","",IFERROR(INDEX(계정매핑!$D$5:$D$504,MATCH($F823&amp;"",계정매핑!$A$5:$A$504,0)),"미매핑"))</f>
        <v/>
      </c>
      <c r="X823" s="9">
        <f>IF($A823="","",$F823&amp;"")</f>
        <v/>
      </c>
      <c r="Y823" s="94">
        <f>IF($A823="",0,IF(AE823="직접",IF(AF823="비귀속",$P823,0),$P823*(1-AG823)*IFERROR(INDEX(계정대체기준!$F$20:$F$49,MATCH($N823,계정대체기준!$A$20:$A$49,0)),1)))</f>
        <v/>
      </c>
      <c r="Z823" s="94">
        <f>IF($A823="",0,IF(AE823="직접",IF(AF823="신계약비",$P823,0),$P823*(1-AG823)*IFERROR(INDEX(계정대체기준!$C$20:$C$49,MATCH($N823,계정대체기준!$A$20:$A$49,0)),0)))</f>
        <v/>
      </c>
      <c r="AA823" s="94">
        <f>IF($A823="",0,IF(AE823="직접",IF(OR(AF823="유지비",AF823="손해조사비"),$P823,0),$P823*(1-AG823)*IFERROR(INDEX(계정대체기준!$D$20:$D$49,MATCH($N823,계정대체기준!$A$20:$A$49,0)),0)))</f>
        <v/>
      </c>
      <c r="AB823" s="94">
        <f>IF($A823="",0,IF(AE823="직접",IF(AF823="수금비",$P823,0),$P823*(1-AG823)*IFERROR(INDEX(계정대체기준!$E$20:$E$49,MATCH($N823,계정대체기준!$A$20:$A$49,0)),0)))</f>
        <v/>
      </c>
      <c r="AC823" s="9">
        <f>IF(AND($A823&lt;&gt;"",M823=설정!$C$20,Z823&gt;0),Z823+ROW()/1000000000,"")</f>
        <v/>
      </c>
      <c r="AD823" s="94">
        <f>IF($A823="",0,$P823*AG823)</f>
        <v/>
      </c>
      <c r="AE823" s="64">
        <f>IF($A823="","",IFERROR(INDEX(계정매핑!$E$5:$E$504,MATCH($F823&amp;"",계정매핑!$A$5:$A$504,0))&amp;"","공통비"))</f>
        <v/>
      </c>
      <c r="AF823" s="64">
        <f>IF($A823="","",IF(AE823="직접",IFERROR(INDEX(계정매핑!$F$5:$F$504,MATCH($F823&amp;"",계정매핑!$A$5:$A$504,0))&amp;"","비귀속"),""))</f>
        <v/>
      </c>
      <c r="AG823" s="96">
        <f>IF($A823="",0,IF(AND(AE823&lt;&gt;"직접",IFERROR(INDEX(계정매핑!$G$5:$G$504,MATCH($F823&amp;"",계정매핑!$A$5:$A$504,0))&amp;"","")="유지비",COUNTIF(계정대체기준!$A$6:$A$15,$N823)&gt;0),IFERROR(INDEX(계정대체기준!$E$6:$E$15,MATCH(VALUE($A823&amp;""),계정대체기준!$D$6:$D$15,0)),0),0))</f>
        <v/>
      </c>
      <c r="AH823" s="64">
        <f>IF($A823="","",IF(AD823=0,"",IF(OR(COUNTIF(계정대체기준!$A$77:$A$86,$N823)&gt;0,ISNUMBER(MATCH($X823,계정대체기준!$D$77:$D$86,0)),ISNUMBER(MATCH($F823,계정대체기준!$D$77:$D$86,0))),"Y","N")))</f>
        <v/>
      </c>
    </row>
    <row r="824">
      <c r="A824" s="92" t="n">
        <v>2025</v>
      </c>
      <c r="B824" s="92" t="n">
        <v>4</v>
      </c>
      <c r="C824" s="92" t="inlineStr">
        <is>
          <t>5100000820</t>
        </is>
      </c>
      <c r="D824" s="95" t="n">
        <v>45764</v>
      </c>
      <c r="E824" s="92" t="inlineStr">
        <is>
          <t>KR</t>
        </is>
      </c>
      <c r="F824" s="92" t="n">
        <v>62401000</v>
      </c>
      <c r="G824" s="92" t="n">
        <v>1401</v>
      </c>
      <c r="H824" s="93" t="n">
        <v>331000</v>
      </c>
      <c r="I824" s="92" t="inlineStr">
        <is>
          <t>4월 인쇄물 제작 - S출판</t>
        </is>
      </c>
      <c r="J824" s="92" t="inlineStr">
        <is>
          <t>V10015</t>
        </is>
      </c>
      <c r="K824" s="92" t="inlineStr">
        <is>
          <t>S출판</t>
        </is>
      </c>
      <c r="M824" s="9">
        <f>IF($A824="","",VALUE($A824&amp;"")*12+VALUE($B824&amp;""))</f>
        <v/>
      </c>
      <c r="N824" s="64">
        <f>IF($A824="","",IFERROR(INDEX(부서매핑!$C$5:$C$504,MATCH($G824&amp;"",부서매핑!$A$5:$A$504,0)),"미매핑"))</f>
        <v/>
      </c>
      <c r="O824" s="9">
        <f>IF($A824="","",N824&amp;"|"&amp;$F824)</f>
        <v/>
      </c>
      <c r="P824" s="94">
        <f>IF($A824="",0,$H824*설정!$C$23)</f>
        <v/>
      </c>
      <c r="Q824" s="64">
        <f>IF($A824="","",IF(O824&lt;&gt;원인분석!$C$9,"",IF(AND(M824&gt;=원인분석!$C$10,M824&lt;=원인분석!$C$11),"당기",IF(AND(M824&gt;=원인분석!$C$12,M824&lt;=원인분석!$C$13),"비교",""))))</f>
        <v/>
      </c>
      <c r="R824" s="9">
        <f>IF(Q824="","",$K824&amp;"")</f>
        <v/>
      </c>
      <c r="S824" s="9">
        <f>IF(Q824="","",IF(MATCH(R824,$R$5:$R$100000,0)=ROW()-4,ROW(),""))</f>
        <v/>
      </c>
      <c r="T824" s="9">
        <f>IF(Q824="당기",ABS(P824)+ROW()/1000000000,"")</f>
        <v/>
      </c>
      <c r="U824" s="9">
        <f>IF(Q824="비교",ABS(P824)+ROW()/1000000000,"")</f>
        <v/>
      </c>
      <c r="V824" s="64">
        <f>IF($A824="","",IF(COUNTIF(변동분석!$E$7:$E$506,O824)&gt;0,"Y","N"))</f>
        <v/>
      </c>
      <c r="W824" s="64">
        <f>IF($A824="","",IFERROR(INDEX(계정매핑!$D$5:$D$504,MATCH($F824&amp;"",계정매핑!$A$5:$A$504,0)),"미매핑"))</f>
        <v/>
      </c>
      <c r="X824" s="9">
        <f>IF($A824="","",$F824&amp;"")</f>
        <v/>
      </c>
      <c r="Y824" s="94">
        <f>IF($A824="",0,IF(AE824="직접",IF(AF824="비귀속",$P824,0),$P824*(1-AG824)*IFERROR(INDEX(계정대체기준!$F$20:$F$49,MATCH($N824,계정대체기준!$A$20:$A$49,0)),1)))</f>
        <v/>
      </c>
      <c r="Z824" s="94">
        <f>IF($A824="",0,IF(AE824="직접",IF(AF824="신계약비",$P824,0),$P824*(1-AG824)*IFERROR(INDEX(계정대체기준!$C$20:$C$49,MATCH($N824,계정대체기준!$A$20:$A$49,0)),0)))</f>
        <v/>
      </c>
      <c r="AA824" s="94">
        <f>IF($A824="",0,IF(AE824="직접",IF(OR(AF824="유지비",AF824="손해조사비"),$P824,0),$P824*(1-AG824)*IFERROR(INDEX(계정대체기준!$D$20:$D$49,MATCH($N824,계정대체기준!$A$20:$A$49,0)),0)))</f>
        <v/>
      </c>
      <c r="AB824" s="94">
        <f>IF($A824="",0,IF(AE824="직접",IF(AF824="수금비",$P824,0),$P824*(1-AG824)*IFERROR(INDEX(계정대체기준!$E$20:$E$49,MATCH($N824,계정대체기준!$A$20:$A$49,0)),0)))</f>
        <v/>
      </c>
      <c r="AC824" s="9">
        <f>IF(AND($A824&lt;&gt;"",M824=설정!$C$20,Z824&gt;0),Z824+ROW()/1000000000,"")</f>
        <v/>
      </c>
      <c r="AD824" s="94">
        <f>IF($A824="",0,$P824*AG824)</f>
        <v/>
      </c>
      <c r="AE824" s="64">
        <f>IF($A824="","",IFERROR(INDEX(계정매핑!$E$5:$E$504,MATCH($F824&amp;"",계정매핑!$A$5:$A$504,0))&amp;"","공통비"))</f>
        <v/>
      </c>
      <c r="AF824" s="64">
        <f>IF($A824="","",IF(AE824="직접",IFERROR(INDEX(계정매핑!$F$5:$F$504,MATCH($F824&amp;"",계정매핑!$A$5:$A$504,0))&amp;"","비귀속"),""))</f>
        <v/>
      </c>
      <c r="AG824" s="96">
        <f>IF($A824="",0,IF(AND(AE824&lt;&gt;"직접",IFERROR(INDEX(계정매핑!$G$5:$G$504,MATCH($F824&amp;"",계정매핑!$A$5:$A$504,0))&amp;"","")="유지비",COUNTIF(계정대체기준!$A$6:$A$15,$N824)&gt;0),IFERROR(INDEX(계정대체기준!$E$6:$E$15,MATCH(VALUE($A824&amp;""),계정대체기준!$D$6:$D$15,0)),0),0))</f>
        <v/>
      </c>
      <c r="AH824" s="64">
        <f>IF($A824="","",IF(AD824=0,"",IF(OR(COUNTIF(계정대체기준!$A$77:$A$86,$N824)&gt;0,ISNUMBER(MATCH($X824,계정대체기준!$D$77:$D$86,0)),ISNUMBER(MATCH($F824,계정대체기준!$D$77:$D$86,0))),"Y","N")))</f>
        <v/>
      </c>
    </row>
    <row r="825">
      <c r="A825" s="92" t="n">
        <v>2025</v>
      </c>
      <c r="B825" s="92" t="n">
        <v>4</v>
      </c>
      <c r="C825" s="92" t="inlineStr">
        <is>
          <t>5100000821</t>
        </is>
      </c>
      <c r="D825" s="95" t="n">
        <v>45764</v>
      </c>
      <c r="E825" s="92" t="inlineStr">
        <is>
          <t>KR</t>
        </is>
      </c>
      <c r="F825" s="92" t="n">
        <v>62501000</v>
      </c>
      <c r="G825" s="92" t="n">
        <v>1101</v>
      </c>
      <c r="H825" s="93" t="n">
        <v>144000</v>
      </c>
      <c r="I825" s="92" t="inlineStr">
        <is>
          <t>4월 회의 다과 - T케이터링</t>
        </is>
      </c>
      <c r="J825" s="92" t="inlineStr">
        <is>
          <t>V10005</t>
        </is>
      </c>
      <c r="K825" s="92" t="inlineStr">
        <is>
          <t>T케이터링</t>
        </is>
      </c>
      <c r="M825" s="9">
        <f>IF($A825="","",VALUE($A825&amp;"")*12+VALUE($B825&amp;""))</f>
        <v/>
      </c>
      <c r="N825" s="64">
        <f>IF($A825="","",IFERROR(INDEX(부서매핑!$C$5:$C$504,MATCH($G825&amp;"",부서매핑!$A$5:$A$504,0)),"미매핑"))</f>
        <v/>
      </c>
      <c r="O825" s="9">
        <f>IF($A825="","",N825&amp;"|"&amp;$F825)</f>
        <v/>
      </c>
      <c r="P825" s="94">
        <f>IF($A825="",0,$H825*설정!$C$23)</f>
        <v/>
      </c>
      <c r="Q825" s="64">
        <f>IF($A825="","",IF(O825&lt;&gt;원인분석!$C$9,"",IF(AND(M825&gt;=원인분석!$C$10,M825&lt;=원인분석!$C$11),"당기",IF(AND(M825&gt;=원인분석!$C$12,M825&lt;=원인분석!$C$13),"비교",""))))</f>
        <v/>
      </c>
      <c r="R825" s="9">
        <f>IF(Q825="","",$K825&amp;"")</f>
        <v/>
      </c>
      <c r="S825" s="9">
        <f>IF(Q825="","",IF(MATCH(R825,$R$5:$R$100000,0)=ROW()-4,ROW(),""))</f>
        <v/>
      </c>
      <c r="T825" s="9">
        <f>IF(Q825="당기",ABS(P825)+ROW()/1000000000,"")</f>
        <v/>
      </c>
      <c r="U825" s="9">
        <f>IF(Q825="비교",ABS(P825)+ROW()/1000000000,"")</f>
        <v/>
      </c>
      <c r="V825" s="64">
        <f>IF($A825="","",IF(COUNTIF(변동분석!$E$7:$E$506,O825)&gt;0,"Y","N"))</f>
        <v/>
      </c>
      <c r="W825" s="64">
        <f>IF($A825="","",IFERROR(INDEX(계정매핑!$D$5:$D$504,MATCH($F825&amp;"",계정매핑!$A$5:$A$504,0)),"미매핑"))</f>
        <v/>
      </c>
      <c r="X825" s="9">
        <f>IF($A825="","",$F825&amp;"")</f>
        <v/>
      </c>
      <c r="Y825" s="94">
        <f>IF($A825="",0,IF(AE825="직접",IF(AF825="비귀속",$P825,0),$P825*(1-AG825)*IFERROR(INDEX(계정대체기준!$F$20:$F$49,MATCH($N825,계정대체기준!$A$20:$A$49,0)),1)))</f>
        <v/>
      </c>
      <c r="Z825" s="94">
        <f>IF($A825="",0,IF(AE825="직접",IF(AF825="신계약비",$P825,0),$P825*(1-AG825)*IFERROR(INDEX(계정대체기준!$C$20:$C$49,MATCH($N825,계정대체기준!$A$20:$A$49,0)),0)))</f>
        <v/>
      </c>
      <c r="AA825" s="94">
        <f>IF($A825="",0,IF(AE825="직접",IF(OR(AF825="유지비",AF825="손해조사비"),$P825,0),$P825*(1-AG825)*IFERROR(INDEX(계정대체기준!$D$20:$D$49,MATCH($N825,계정대체기준!$A$20:$A$49,0)),0)))</f>
        <v/>
      </c>
      <c r="AB825" s="94">
        <f>IF($A825="",0,IF(AE825="직접",IF(AF825="수금비",$P825,0),$P825*(1-AG825)*IFERROR(INDEX(계정대체기준!$E$20:$E$49,MATCH($N825,계정대체기준!$A$20:$A$49,0)),0)))</f>
        <v/>
      </c>
      <c r="AC825" s="9">
        <f>IF(AND($A825&lt;&gt;"",M825=설정!$C$20,Z825&gt;0),Z825+ROW()/1000000000,"")</f>
        <v/>
      </c>
      <c r="AD825" s="94">
        <f>IF($A825="",0,$P825*AG825)</f>
        <v/>
      </c>
      <c r="AE825" s="64">
        <f>IF($A825="","",IFERROR(INDEX(계정매핑!$E$5:$E$504,MATCH($F825&amp;"",계정매핑!$A$5:$A$504,0))&amp;"","공통비"))</f>
        <v/>
      </c>
      <c r="AF825" s="64">
        <f>IF($A825="","",IF(AE825="직접",IFERROR(INDEX(계정매핑!$F$5:$F$504,MATCH($F825&amp;"",계정매핑!$A$5:$A$504,0))&amp;"","비귀속"),""))</f>
        <v/>
      </c>
      <c r="AG825" s="96">
        <f>IF($A825="",0,IF(AND(AE825&lt;&gt;"직접",IFERROR(INDEX(계정매핑!$G$5:$G$504,MATCH($F825&amp;"",계정매핑!$A$5:$A$504,0))&amp;"","")="유지비",COUNTIF(계정대체기준!$A$6:$A$15,$N825)&gt;0),IFERROR(INDEX(계정대체기준!$E$6:$E$15,MATCH(VALUE($A825&amp;""),계정대체기준!$D$6:$D$15,0)),0),0))</f>
        <v/>
      </c>
      <c r="AH825" s="64">
        <f>IF($A825="","",IF(AD825=0,"",IF(OR(COUNTIF(계정대체기준!$A$77:$A$86,$N825)&gt;0,ISNUMBER(MATCH($X825,계정대체기준!$D$77:$D$86,0)),ISNUMBER(MATCH($F825,계정대체기준!$D$77:$D$86,0))),"Y","N")))</f>
        <v/>
      </c>
    </row>
    <row r="826">
      <c r="A826" s="92" t="n">
        <v>2025</v>
      </c>
      <c r="B826" s="92" t="n">
        <v>4</v>
      </c>
      <c r="C826" s="92" t="inlineStr">
        <is>
          <t>5100000822</t>
        </is>
      </c>
      <c r="D826" s="95" t="n">
        <v>45764</v>
      </c>
      <c r="E826" s="92" t="inlineStr">
        <is>
          <t>KR</t>
        </is>
      </c>
      <c r="F826" s="92" t="n">
        <v>62802000</v>
      </c>
      <c r="G826" s="92" t="n">
        <v>1301</v>
      </c>
      <c r="H826" s="93" t="n">
        <v>4430000</v>
      </c>
      <c r="I826" s="92" t="inlineStr">
        <is>
          <t>4월 위탁교육 - V아카데미</t>
        </is>
      </c>
      <c r="J826" s="92" t="inlineStr">
        <is>
          <t>V10027</t>
        </is>
      </c>
      <c r="K826" s="92" t="inlineStr">
        <is>
          <t>V아카데미</t>
        </is>
      </c>
      <c r="M826" s="9">
        <f>IF($A826="","",VALUE($A826&amp;"")*12+VALUE($B826&amp;""))</f>
        <v/>
      </c>
      <c r="N826" s="64">
        <f>IF($A826="","",IFERROR(INDEX(부서매핑!$C$5:$C$504,MATCH($G826&amp;"",부서매핑!$A$5:$A$504,0)),"미매핑"))</f>
        <v/>
      </c>
      <c r="O826" s="9">
        <f>IF($A826="","",N826&amp;"|"&amp;$F826)</f>
        <v/>
      </c>
      <c r="P826" s="94">
        <f>IF($A826="",0,$H826*설정!$C$23)</f>
        <v/>
      </c>
      <c r="Q826" s="64">
        <f>IF($A826="","",IF(O826&lt;&gt;원인분석!$C$9,"",IF(AND(M826&gt;=원인분석!$C$10,M826&lt;=원인분석!$C$11),"당기",IF(AND(M826&gt;=원인분석!$C$12,M826&lt;=원인분석!$C$13),"비교",""))))</f>
        <v/>
      </c>
      <c r="R826" s="9">
        <f>IF(Q826="","",$K826&amp;"")</f>
        <v/>
      </c>
      <c r="S826" s="9">
        <f>IF(Q826="","",IF(MATCH(R826,$R$5:$R$100000,0)=ROW()-4,ROW(),""))</f>
        <v/>
      </c>
      <c r="T826" s="9">
        <f>IF(Q826="당기",ABS(P826)+ROW()/1000000000,"")</f>
        <v/>
      </c>
      <c r="U826" s="9">
        <f>IF(Q826="비교",ABS(P826)+ROW()/1000000000,"")</f>
        <v/>
      </c>
      <c r="V826" s="64">
        <f>IF($A826="","",IF(COUNTIF(변동분석!$E$7:$E$506,O826)&gt;0,"Y","N"))</f>
        <v/>
      </c>
      <c r="W826" s="64">
        <f>IF($A826="","",IFERROR(INDEX(계정매핑!$D$5:$D$504,MATCH($F826&amp;"",계정매핑!$A$5:$A$504,0)),"미매핑"))</f>
        <v/>
      </c>
      <c r="X826" s="9">
        <f>IF($A826="","",$F826&amp;"")</f>
        <v/>
      </c>
      <c r="Y826" s="94">
        <f>IF($A826="",0,IF(AE826="직접",IF(AF826="비귀속",$P826,0),$P826*(1-AG826)*IFERROR(INDEX(계정대체기준!$F$20:$F$49,MATCH($N826,계정대체기준!$A$20:$A$49,0)),1)))</f>
        <v/>
      </c>
      <c r="Z826" s="94">
        <f>IF($A826="",0,IF(AE826="직접",IF(AF826="신계약비",$P826,0),$P826*(1-AG826)*IFERROR(INDEX(계정대체기준!$C$20:$C$49,MATCH($N826,계정대체기준!$A$20:$A$49,0)),0)))</f>
        <v/>
      </c>
      <c r="AA826" s="94">
        <f>IF($A826="",0,IF(AE826="직접",IF(OR(AF826="유지비",AF826="손해조사비"),$P826,0),$P826*(1-AG826)*IFERROR(INDEX(계정대체기준!$D$20:$D$49,MATCH($N826,계정대체기준!$A$20:$A$49,0)),0)))</f>
        <v/>
      </c>
      <c r="AB826" s="94">
        <f>IF($A826="",0,IF(AE826="직접",IF(AF826="수금비",$P826,0),$P826*(1-AG826)*IFERROR(INDEX(계정대체기준!$E$20:$E$49,MATCH($N826,계정대체기준!$A$20:$A$49,0)),0)))</f>
        <v/>
      </c>
      <c r="AC826" s="9">
        <f>IF(AND($A826&lt;&gt;"",M826=설정!$C$20,Z826&gt;0),Z826+ROW()/1000000000,"")</f>
        <v/>
      </c>
      <c r="AD826" s="94">
        <f>IF($A826="",0,$P826*AG826)</f>
        <v/>
      </c>
      <c r="AE826" s="64">
        <f>IF($A826="","",IFERROR(INDEX(계정매핑!$E$5:$E$504,MATCH($F826&amp;"",계정매핑!$A$5:$A$504,0))&amp;"","공통비"))</f>
        <v/>
      </c>
      <c r="AF826" s="64">
        <f>IF($A826="","",IF(AE826="직접",IFERROR(INDEX(계정매핑!$F$5:$F$504,MATCH($F826&amp;"",계정매핑!$A$5:$A$504,0))&amp;"","비귀속"),""))</f>
        <v/>
      </c>
      <c r="AG826" s="96">
        <f>IF($A826="",0,IF(AND(AE826&lt;&gt;"직접",IFERROR(INDEX(계정매핑!$G$5:$G$504,MATCH($F826&amp;"",계정매핑!$A$5:$A$504,0))&amp;"","")="유지비",COUNTIF(계정대체기준!$A$6:$A$15,$N826)&gt;0),IFERROR(INDEX(계정대체기준!$E$6:$E$15,MATCH(VALUE($A826&amp;""),계정대체기준!$D$6:$D$15,0)),0),0))</f>
        <v/>
      </c>
      <c r="AH826" s="64">
        <f>IF($A826="","",IF(AD826=0,"",IF(OR(COUNTIF(계정대체기준!$A$77:$A$86,$N826)&gt;0,ISNUMBER(MATCH($X826,계정대체기준!$D$77:$D$86,0)),ISNUMBER(MATCH($F826,계정대체기준!$D$77:$D$86,0))),"Y","N")))</f>
        <v/>
      </c>
    </row>
    <row r="827">
      <c r="A827" s="92" t="n">
        <v>2025</v>
      </c>
      <c r="B827" s="92" t="n">
        <v>4</v>
      </c>
      <c r="C827" s="92" t="inlineStr">
        <is>
          <t>5100000823</t>
        </is>
      </c>
      <c r="D827" s="95" t="n">
        <v>45764</v>
      </c>
      <c r="E827" s="92" t="inlineStr">
        <is>
          <t>KR</t>
        </is>
      </c>
      <c r="F827" s="92" t="n">
        <v>63101000</v>
      </c>
      <c r="G827" s="92" t="n">
        <v>1601</v>
      </c>
      <c r="H827" s="93" t="n">
        <v>4384000</v>
      </c>
      <c r="I827" s="92" t="inlineStr">
        <is>
          <t>4월 사무실 임차료 - BB부동산</t>
        </is>
      </c>
      <c r="J827" s="92" t="inlineStr">
        <is>
          <t>V10028</t>
        </is>
      </c>
      <c r="K827" s="92" t="inlineStr">
        <is>
          <t>BB부동산</t>
        </is>
      </c>
      <c r="M827" s="9">
        <f>IF($A827="","",VALUE($A827&amp;"")*12+VALUE($B827&amp;""))</f>
        <v/>
      </c>
      <c r="N827" s="64">
        <f>IF($A827="","",IFERROR(INDEX(부서매핑!$C$5:$C$504,MATCH($G827&amp;"",부서매핑!$A$5:$A$504,0)),"미매핑"))</f>
        <v/>
      </c>
      <c r="O827" s="9">
        <f>IF($A827="","",N827&amp;"|"&amp;$F827)</f>
        <v/>
      </c>
      <c r="P827" s="94">
        <f>IF($A827="",0,$H827*설정!$C$23)</f>
        <v/>
      </c>
      <c r="Q827" s="64">
        <f>IF($A827="","",IF(O827&lt;&gt;원인분석!$C$9,"",IF(AND(M827&gt;=원인분석!$C$10,M827&lt;=원인분석!$C$11),"당기",IF(AND(M827&gt;=원인분석!$C$12,M827&lt;=원인분석!$C$13),"비교",""))))</f>
        <v/>
      </c>
      <c r="R827" s="9">
        <f>IF(Q827="","",$K827&amp;"")</f>
        <v/>
      </c>
      <c r="S827" s="9">
        <f>IF(Q827="","",IF(MATCH(R827,$R$5:$R$100000,0)=ROW()-4,ROW(),""))</f>
        <v/>
      </c>
      <c r="T827" s="9">
        <f>IF(Q827="당기",ABS(P827)+ROW()/1000000000,"")</f>
        <v/>
      </c>
      <c r="U827" s="9">
        <f>IF(Q827="비교",ABS(P827)+ROW()/1000000000,"")</f>
        <v/>
      </c>
      <c r="V827" s="64">
        <f>IF($A827="","",IF(COUNTIF(변동분석!$E$7:$E$506,O827)&gt;0,"Y","N"))</f>
        <v/>
      </c>
      <c r="W827" s="64">
        <f>IF($A827="","",IFERROR(INDEX(계정매핑!$D$5:$D$504,MATCH($F827&amp;"",계정매핑!$A$5:$A$504,0)),"미매핑"))</f>
        <v/>
      </c>
      <c r="X827" s="9">
        <f>IF($A827="","",$F827&amp;"")</f>
        <v/>
      </c>
      <c r="Y827" s="94">
        <f>IF($A827="",0,IF(AE827="직접",IF(AF827="비귀속",$P827,0),$P827*(1-AG827)*IFERROR(INDEX(계정대체기준!$F$20:$F$49,MATCH($N827,계정대체기준!$A$20:$A$49,0)),1)))</f>
        <v/>
      </c>
      <c r="Z827" s="94">
        <f>IF($A827="",0,IF(AE827="직접",IF(AF827="신계약비",$P827,0),$P827*(1-AG827)*IFERROR(INDEX(계정대체기준!$C$20:$C$49,MATCH($N827,계정대체기준!$A$20:$A$49,0)),0)))</f>
        <v/>
      </c>
      <c r="AA827" s="94">
        <f>IF($A827="",0,IF(AE827="직접",IF(OR(AF827="유지비",AF827="손해조사비"),$P827,0),$P827*(1-AG827)*IFERROR(INDEX(계정대체기준!$D$20:$D$49,MATCH($N827,계정대체기준!$A$20:$A$49,0)),0)))</f>
        <v/>
      </c>
      <c r="AB827" s="94">
        <f>IF($A827="",0,IF(AE827="직접",IF(AF827="수금비",$P827,0),$P827*(1-AG827)*IFERROR(INDEX(계정대체기준!$E$20:$E$49,MATCH($N827,계정대체기준!$A$20:$A$49,0)),0)))</f>
        <v/>
      </c>
      <c r="AC827" s="9">
        <f>IF(AND($A827&lt;&gt;"",M827=설정!$C$20,Z827&gt;0),Z827+ROW()/1000000000,"")</f>
        <v/>
      </c>
      <c r="AD827" s="94">
        <f>IF($A827="",0,$P827*AG827)</f>
        <v/>
      </c>
      <c r="AE827" s="64">
        <f>IF($A827="","",IFERROR(INDEX(계정매핑!$E$5:$E$504,MATCH($F827&amp;"",계정매핑!$A$5:$A$504,0))&amp;"","공통비"))</f>
        <v/>
      </c>
      <c r="AF827" s="64">
        <f>IF($A827="","",IF(AE827="직접",IFERROR(INDEX(계정매핑!$F$5:$F$504,MATCH($F827&amp;"",계정매핑!$A$5:$A$504,0))&amp;"","비귀속"),""))</f>
        <v/>
      </c>
      <c r="AG827" s="96">
        <f>IF($A827="",0,IF(AND(AE827&lt;&gt;"직접",IFERROR(INDEX(계정매핑!$G$5:$G$504,MATCH($F827&amp;"",계정매핑!$A$5:$A$504,0))&amp;"","")="유지비",COUNTIF(계정대체기준!$A$6:$A$15,$N827)&gt;0),IFERROR(INDEX(계정대체기준!$E$6:$E$15,MATCH(VALUE($A827&amp;""),계정대체기준!$D$6:$D$15,0)),0),0))</f>
        <v/>
      </c>
      <c r="AH827" s="64">
        <f>IF($A827="","",IF(AD827=0,"",IF(OR(COUNTIF(계정대체기준!$A$77:$A$86,$N827)&gt;0,ISNUMBER(MATCH($X827,계정대체기준!$D$77:$D$86,0)),ISNUMBER(MATCH($F827,계정대체기준!$D$77:$D$86,0))),"Y","N")))</f>
        <v/>
      </c>
    </row>
    <row r="828">
      <c r="A828" s="92" t="n">
        <v>2025</v>
      </c>
      <c r="B828" s="92" t="n">
        <v>4</v>
      </c>
      <c r="C828" s="92" t="inlineStr">
        <is>
          <t>5100000824</t>
        </is>
      </c>
      <c r="D828" s="95" t="n">
        <v>45765</v>
      </c>
      <c r="E828" s="92" t="inlineStr">
        <is>
          <t>KR</t>
        </is>
      </c>
      <c r="F828" s="92" t="n">
        <v>62101000</v>
      </c>
      <c r="G828" s="92" t="n">
        <v>1201</v>
      </c>
      <c r="H828" s="93" t="n">
        <v>321000</v>
      </c>
      <c r="I828" s="92" t="inlineStr">
        <is>
          <t>4월 국내출장 - M항공</t>
        </is>
      </c>
      <c r="J828" s="92" t="inlineStr">
        <is>
          <t>V10001</t>
        </is>
      </c>
      <c r="K828" s="92" t="inlineStr">
        <is>
          <t>M항공</t>
        </is>
      </c>
      <c r="M828" s="9">
        <f>IF($A828="","",VALUE($A828&amp;"")*12+VALUE($B828&amp;""))</f>
        <v/>
      </c>
      <c r="N828" s="64">
        <f>IF($A828="","",IFERROR(INDEX(부서매핑!$C$5:$C$504,MATCH($G828&amp;"",부서매핑!$A$5:$A$504,0)),"미매핑"))</f>
        <v/>
      </c>
      <c r="O828" s="9">
        <f>IF($A828="","",N828&amp;"|"&amp;$F828)</f>
        <v/>
      </c>
      <c r="P828" s="94">
        <f>IF($A828="",0,$H828*설정!$C$23)</f>
        <v/>
      </c>
      <c r="Q828" s="64">
        <f>IF($A828="","",IF(O828&lt;&gt;원인분석!$C$9,"",IF(AND(M828&gt;=원인분석!$C$10,M828&lt;=원인분석!$C$11),"당기",IF(AND(M828&gt;=원인분석!$C$12,M828&lt;=원인분석!$C$13),"비교",""))))</f>
        <v/>
      </c>
      <c r="R828" s="9">
        <f>IF(Q828="","",$K828&amp;"")</f>
        <v/>
      </c>
      <c r="S828" s="9">
        <f>IF(Q828="","",IF(MATCH(R828,$R$5:$R$100000,0)=ROW()-4,ROW(),""))</f>
        <v/>
      </c>
      <c r="T828" s="9">
        <f>IF(Q828="당기",ABS(P828)+ROW()/1000000000,"")</f>
        <v/>
      </c>
      <c r="U828" s="9">
        <f>IF(Q828="비교",ABS(P828)+ROW()/1000000000,"")</f>
        <v/>
      </c>
      <c r="V828" s="64">
        <f>IF($A828="","",IF(COUNTIF(변동분석!$E$7:$E$506,O828)&gt;0,"Y","N"))</f>
        <v/>
      </c>
      <c r="W828" s="64">
        <f>IF($A828="","",IFERROR(INDEX(계정매핑!$D$5:$D$504,MATCH($F828&amp;"",계정매핑!$A$5:$A$504,0)),"미매핑"))</f>
        <v/>
      </c>
      <c r="X828" s="9">
        <f>IF($A828="","",$F828&amp;"")</f>
        <v/>
      </c>
      <c r="Y828" s="94">
        <f>IF($A828="",0,IF(AE828="직접",IF(AF828="비귀속",$P828,0),$P828*(1-AG828)*IFERROR(INDEX(계정대체기준!$F$20:$F$49,MATCH($N828,계정대체기준!$A$20:$A$49,0)),1)))</f>
        <v/>
      </c>
      <c r="Z828" s="94">
        <f>IF($A828="",0,IF(AE828="직접",IF(AF828="신계약비",$P828,0),$P828*(1-AG828)*IFERROR(INDEX(계정대체기준!$C$20:$C$49,MATCH($N828,계정대체기준!$A$20:$A$49,0)),0)))</f>
        <v/>
      </c>
      <c r="AA828" s="94">
        <f>IF($A828="",0,IF(AE828="직접",IF(OR(AF828="유지비",AF828="손해조사비"),$P828,0),$P828*(1-AG828)*IFERROR(INDEX(계정대체기준!$D$20:$D$49,MATCH($N828,계정대체기준!$A$20:$A$49,0)),0)))</f>
        <v/>
      </c>
      <c r="AB828" s="94">
        <f>IF($A828="",0,IF(AE828="직접",IF(AF828="수금비",$P828,0),$P828*(1-AG828)*IFERROR(INDEX(계정대체기준!$E$20:$E$49,MATCH($N828,계정대체기준!$A$20:$A$49,0)),0)))</f>
        <v/>
      </c>
      <c r="AC828" s="9">
        <f>IF(AND($A828&lt;&gt;"",M828=설정!$C$20,Z828&gt;0),Z828+ROW()/1000000000,"")</f>
        <v/>
      </c>
      <c r="AD828" s="94">
        <f>IF($A828="",0,$P828*AG828)</f>
        <v/>
      </c>
      <c r="AE828" s="64">
        <f>IF($A828="","",IFERROR(INDEX(계정매핑!$E$5:$E$504,MATCH($F828&amp;"",계정매핑!$A$5:$A$504,0))&amp;"","공통비"))</f>
        <v/>
      </c>
      <c r="AF828" s="64">
        <f>IF($A828="","",IF(AE828="직접",IFERROR(INDEX(계정매핑!$F$5:$F$504,MATCH($F828&amp;"",계정매핑!$A$5:$A$504,0))&amp;"","비귀속"),""))</f>
        <v/>
      </c>
      <c r="AG828" s="96">
        <f>IF($A828="",0,IF(AND(AE828&lt;&gt;"직접",IFERROR(INDEX(계정매핑!$G$5:$G$504,MATCH($F828&amp;"",계정매핑!$A$5:$A$504,0))&amp;"","")="유지비",COUNTIF(계정대체기준!$A$6:$A$15,$N828)&gt;0),IFERROR(INDEX(계정대체기준!$E$6:$E$15,MATCH(VALUE($A828&amp;""),계정대체기준!$D$6:$D$15,0)),0),0))</f>
        <v/>
      </c>
      <c r="AH828" s="64">
        <f>IF($A828="","",IF(AD828=0,"",IF(OR(COUNTIF(계정대체기준!$A$77:$A$86,$N828)&gt;0,ISNUMBER(MATCH($X828,계정대체기준!$D$77:$D$86,0)),ISNUMBER(MATCH($F828,계정대체기준!$D$77:$D$86,0))),"Y","N")))</f>
        <v/>
      </c>
    </row>
    <row r="829">
      <c r="A829" s="92" t="n">
        <v>2025</v>
      </c>
      <c r="B829" s="92" t="n">
        <v>4</v>
      </c>
      <c r="C829" s="92" t="inlineStr">
        <is>
          <t>5100000825</t>
        </is>
      </c>
      <c r="D829" s="95" t="n">
        <v>45765</v>
      </c>
      <c r="E829" s="92" t="inlineStr">
        <is>
          <t>KR</t>
        </is>
      </c>
      <c r="F829" s="92" t="n">
        <v>62102000</v>
      </c>
      <c r="G829" s="92" t="n">
        <v>1701</v>
      </c>
      <c r="H829" s="93" t="n">
        <v>37000</v>
      </c>
      <c r="I829" s="92" t="inlineStr">
        <is>
          <t>4월 해외출장 - M항공</t>
        </is>
      </c>
      <c r="J829" s="92" t="inlineStr">
        <is>
          <t>V10001</t>
        </is>
      </c>
      <c r="K829" s="92" t="inlineStr">
        <is>
          <t>M항공</t>
        </is>
      </c>
      <c r="M829" s="9">
        <f>IF($A829="","",VALUE($A829&amp;"")*12+VALUE($B829&amp;""))</f>
        <v/>
      </c>
      <c r="N829" s="64">
        <f>IF($A829="","",IFERROR(INDEX(부서매핑!$C$5:$C$504,MATCH($G829&amp;"",부서매핑!$A$5:$A$504,0)),"미매핑"))</f>
        <v/>
      </c>
      <c r="O829" s="9">
        <f>IF($A829="","",N829&amp;"|"&amp;$F829)</f>
        <v/>
      </c>
      <c r="P829" s="94">
        <f>IF($A829="",0,$H829*설정!$C$23)</f>
        <v/>
      </c>
      <c r="Q829" s="64">
        <f>IF($A829="","",IF(O829&lt;&gt;원인분석!$C$9,"",IF(AND(M829&gt;=원인분석!$C$10,M829&lt;=원인분석!$C$11),"당기",IF(AND(M829&gt;=원인분석!$C$12,M829&lt;=원인분석!$C$13),"비교",""))))</f>
        <v/>
      </c>
      <c r="R829" s="9">
        <f>IF(Q829="","",$K829&amp;"")</f>
        <v/>
      </c>
      <c r="S829" s="9">
        <f>IF(Q829="","",IF(MATCH(R829,$R$5:$R$100000,0)=ROW()-4,ROW(),""))</f>
        <v/>
      </c>
      <c r="T829" s="9">
        <f>IF(Q829="당기",ABS(P829)+ROW()/1000000000,"")</f>
        <v/>
      </c>
      <c r="U829" s="9">
        <f>IF(Q829="비교",ABS(P829)+ROW()/1000000000,"")</f>
        <v/>
      </c>
      <c r="V829" s="64">
        <f>IF($A829="","",IF(COUNTIF(변동분석!$E$7:$E$506,O829)&gt;0,"Y","N"))</f>
        <v/>
      </c>
      <c r="W829" s="64">
        <f>IF($A829="","",IFERROR(INDEX(계정매핑!$D$5:$D$504,MATCH($F829&amp;"",계정매핑!$A$5:$A$504,0)),"미매핑"))</f>
        <v/>
      </c>
      <c r="X829" s="9">
        <f>IF($A829="","",$F829&amp;"")</f>
        <v/>
      </c>
      <c r="Y829" s="94">
        <f>IF($A829="",0,IF(AE829="직접",IF(AF829="비귀속",$P829,0),$P829*(1-AG829)*IFERROR(INDEX(계정대체기준!$F$20:$F$49,MATCH($N829,계정대체기준!$A$20:$A$49,0)),1)))</f>
        <v/>
      </c>
      <c r="Z829" s="94">
        <f>IF($A829="",0,IF(AE829="직접",IF(AF829="신계약비",$P829,0),$P829*(1-AG829)*IFERROR(INDEX(계정대체기준!$C$20:$C$49,MATCH($N829,계정대체기준!$A$20:$A$49,0)),0)))</f>
        <v/>
      </c>
      <c r="AA829" s="94">
        <f>IF($A829="",0,IF(AE829="직접",IF(OR(AF829="유지비",AF829="손해조사비"),$P829,0),$P829*(1-AG829)*IFERROR(INDEX(계정대체기준!$D$20:$D$49,MATCH($N829,계정대체기준!$A$20:$A$49,0)),0)))</f>
        <v/>
      </c>
      <c r="AB829" s="94">
        <f>IF($A829="",0,IF(AE829="직접",IF(AF829="수금비",$P829,0),$P829*(1-AG829)*IFERROR(INDEX(계정대체기준!$E$20:$E$49,MATCH($N829,계정대체기준!$A$20:$A$49,0)),0)))</f>
        <v/>
      </c>
      <c r="AC829" s="9">
        <f>IF(AND($A829&lt;&gt;"",M829=설정!$C$20,Z829&gt;0),Z829+ROW()/1000000000,"")</f>
        <v/>
      </c>
      <c r="AD829" s="94">
        <f>IF($A829="",0,$P829*AG829)</f>
        <v/>
      </c>
      <c r="AE829" s="64">
        <f>IF($A829="","",IFERROR(INDEX(계정매핑!$E$5:$E$504,MATCH($F829&amp;"",계정매핑!$A$5:$A$504,0))&amp;"","공통비"))</f>
        <v/>
      </c>
      <c r="AF829" s="64">
        <f>IF($A829="","",IF(AE829="직접",IFERROR(INDEX(계정매핑!$F$5:$F$504,MATCH($F829&amp;"",계정매핑!$A$5:$A$504,0))&amp;"","비귀속"),""))</f>
        <v/>
      </c>
      <c r="AG829" s="96">
        <f>IF($A829="",0,IF(AND(AE829&lt;&gt;"직접",IFERROR(INDEX(계정매핑!$G$5:$G$504,MATCH($F829&amp;"",계정매핑!$A$5:$A$504,0))&amp;"","")="유지비",COUNTIF(계정대체기준!$A$6:$A$15,$N829)&gt;0),IFERROR(INDEX(계정대체기준!$E$6:$E$15,MATCH(VALUE($A829&amp;""),계정대체기준!$D$6:$D$15,0)),0),0))</f>
        <v/>
      </c>
      <c r="AH829" s="64">
        <f>IF($A829="","",IF(AD829=0,"",IF(OR(COUNTIF(계정대체기준!$A$77:$A$86,$N829)&gt;0,ISNUMBER(MATCH($X829,계정대체기준!$D$77:$D$86,0)),ISNUMBER(MATCH($F829,계정대체기준!$D$77:$D$86,0))),"Y","N")))</f>
        <v/>
      </c>
    </row>
    <row r="830">
      <c r="A830" s="92" t="n">
        <v>2025</v>
      </c>
      <c r="B830" s="92" t="n">
        <v>4</v>
      </c>
      <c r="C830" s="92" t="inlineStr">
        <is>
          <t>5100000826</t>
        </is>
      </c>
      <c r="D830" s="95" t="n">
        <v>45765</v>
      </c>
      <c r="E830" s="92" t="inlineStr">
        <is>
          <t>KR</t>
        </is>
      </c>
      <c r="F830" s="92" t="n">
        <v>62201000</v>
      </c>
      <c r="G830" s="92" t="n">
        <v>1951</v>
      </c>
      <c r="H830" s="93" t="n">
        <v>192000</v>
      </c>
      <c r="I830" s="92" t="inlineStr">
        <is>
          <t>4월 통신요금 - P통신</t>
        </is>
      </c>
      <c r="J830" s="92" t="inlineStr">
        <is>
          <t>V10014</t>
        </is>
      </c>
      <c r="K830" s="92" t="inlineStr">
        <is>
          <t>P통신</t>
        </is>
      </c>
      <c r="M830" s="9">
        <f>IF($A830="","",VALUE($A830&amp;"")*12+VALUE($B830&amp;""))</f>
        <v/>
      </c>
      <c r="N830" s="64">
        <f>IF($A830="","",IFERROR(INDEX(부서매핑!$C$5:$C$504,MATCH($G830&amp;"",부서매핑!$A$5:$A$504,0)),"미매핑"))</f>
        <v/>
      </c>
      <c r="O830" s="9">
        <f>IF($A830="","",N830&amp;"|"&amp;$F830)</f>
        <v/>
      </c>
      <c r="P830" s="94">
        <f>IF($A830="",0,$H830*설정!$C$23)</f>
        <v/>
      </c>
      <c r="Q830" s="64">
        <f>IF($A830="","",IF(O830&lt;&gt;원인분석!$C$9,"",IF(AND(M830&gt;=원인분석!$C$10,M830&lt;=원인분석!$C$11),"당기",IF(AND(M830&gt;=원인분석!$C$12,M830&lt;=원인분석!$C$13),"비교",""))))</f>
        <v/>
      </c>
      <c r="R830" s="9">
        <f>IF(Q830="","",$K830&amp;"")</f>
        <v/>
      </c>
      <c r="S830" s="9">
        <f>IF(Q830="","",IF(MATCH(R830,$R$5:$R$100000,0)=ROW()-4,ROW(),""))</f>
        <v/>
      </c>
      <c r="T830" s="9">
        <f>IF(Q830="당기",ABS(P830)+ROW()/1000000000,"")</f>
        <v/>
      </c>
      <c r="U830" s="9">
        <f>IF(Q830="비교",ABS(P830)+ROW()/1000000000,"")</f>
        <v/>
      </c>
      <c r="V830" s="64">
        <f>IF($A830="","",IF(COUNTIF(변동분석!$E$7:$E$506,O830)&gt;0,"Y","N"))</f>
        <v/>
      </c>
      <c r="W830" s="64">
        <f>IF($A830="","",IFERROR(INDEX(계정매핑!$D$5:$D$504,MATCH($F830&amp;"",계정매핑!$A$5:$A$504,0)),"미매핑"))</f>
        <v/>
      </c>
      <c r="X830" s="9">
        <f>IF($A830="","",$F830&amp;"")</f>
        <v/>
      </c>
      <c r="Y830" s="94">
        <f>IF($A830="",0,IF(AE830="직접",IF(AF830="비귀속",$P830,0),$P830*(1-AG830)*IFERROR(INDEX(계정대체기준!$F$20:$F$49,MATCH($N830,계정대체기준!$A$20:$A$49,0)),1)))</f>
        <v/>
      </c>
      <c r="Z830" s="94">
        <f>IF($A830="",0,IF(AE830="직접",IF(AF830="신계약비",$P830,0),$P830*(1-AG830)*IFERROR(INDEX(계정대체기준!$C$20:$C$49,MATCH($N830,계정대체기준!$A$20:$A$49,0)),0)))</f>
        <v/>
      </c>
      <c r="AA830" s="94">
        <f>IF($A830="",0,IF(AE830="직접",IF(OR(AF830="유지비",AF830="손해조사비"),$P830,0),$P830*(1-AG830)*IFERROR(INDEX(계정대체기준!$D$20:$D$49,MATCH($N830,계정대체기준!$A$20:$A$49,0)),0)))</f>
        <v/>
      </c>
      <c r="AB830" s="94">
        <f>IF($A830="",0,IF(AE830="직접",IF(AF830="수금비",$P830,0),$P830*(1-AG830)*IFERROR(INDEX(계정대체기준!$E$20:$E$49,MATCH($N830,계정대체기준!$A$20:$A$49,0)),0)))</f>
        <v/>
      </c>
      <c r="AC830" s="9">
        <f>IF(AND($A830&lt;&gt;"",M830=설정!$C$20,Z830&gt;0),Z830+ROW()/1000000000,"")</f>
        <v/>
      </c>
      <c r="AD830" s="94">
        <f>IF($A830="",0,$P830*AG830)</f>
        <v/>
      </c>
      <c r="AE830" s="64">
        <f>IF($A830="","",IFERROR(INDEX(계정매핑!$E$5:$E$504,MATCH($F830&amp;"",계정매핑!$A$5:$A$504,0))&amp;"","공통비"))</f>
        <v/>
      </c>
      <c r="AF830" s="64">
        <f>IF($A830="","",IF(AE830="직접",IFERROR(INDEX(계정매핑!$F$5:$F$504,MATCH($F830&amp;"",계정매핑!$A$5:$A$504,0))&amp;"","비귀속"),""))</f>
        <v/>
      </c>
      <c r="AG830" s="96">
        <f>IF($A830="",0,IF(AND(AE830&lt;&gt;"직접",IFERROR(INDEX(계정매핑!$G$5:$G$504,MATCH($F830&amp;"",계정매핑!$A$5:$A$504,0))&amp;"","")="유지비",COUNTIF(계정대체기준!$A$6:$A$15,$N830)&gt;0),IFERROR(INDEX(계정대체기준!$E$6:$E$15,MATCH(VALUE($A830&amp;""),계정대체기준!$D$6:$D$15,0)),0),0))</f>
        <v/>
      </c>
      <c r="AH830" s="64">
        <f>IF($A830="","",IF(AD830=0,"",IF(OR(COUNTIF(계정대체기준!$A$77:$A$86,$N830)&gt;0,ISNUMBER(MATCH($X830,계정대체기준!$D$77:$D$86,0)),ISNUMBER(MATCH($F830,계정대체기준!$D$77:$D$86,0))),"Y","N")))</f>
        <v/>
      </c>
    </row>
    <row r="831">
      <c r="A831" s="92" t="n">
        <v>2025</v>
      </c>
      <c r="B831" s="92" t="n">
        <v>4</v>
      </c>
      <c r="C831" s="92" t="inlineStr">
        <is>
          <t>5100000827</t>
        </is>
      </c>
      <c r="D831" s="95" t="n">
        <v>45765</v>
      </c>
      <c r="E831" s="92" t="inlineStr">
        <is>
          <t>KR</t>
        </is>
      </c>
      <c r="F831" s="92" t="n">
        <v>62501000</v>
      </c>
      <c r="G831" s="92" t="n">
        <v>1101</v>
      </c>
      <c r="H831" s="93" t="n">
        <v>230000</v>
      </c>
      <c r="I831" s="92" t="inlineStr">
        <is>
          <t>4월 회의 다과 - T케이터링</t>
        </is>
      </c>
      <c r="J831" s="92" t="inlineStr">
        <is>
          <t>V10005</t>
        </is>
      </c>
      <c r="K831" s="92" t="inlineStr">
        <is>
          <t>T케이터링</t>
        </is>
      </c>
      <c r="M831" s="9">
        <f>IF($A831="","",VALUE($A831&amp;"")*12+VALUE($B831&amp;""))</f>
        <v/>
      </c>
      <c r="N831" s="64">
        <f>IF($A831="","",IFERROR(INDEX(부서매핑!$C$5:$C$504,MATCH($G831&amp;"",부서매핑!$A$5:$A$504,0)),"미매핑"))</f>
        <v/>
      </c>
      <c r="O831" s="9">
        <f>IF($A831="","",N831&amp;"|"&amp;$F831)</f>
        <v/>
      </c>
      <c r="P831" s="94">
        <f>IF($A831="",0,$H831*설정!$C$23)</f>
        <v/>
      </c>
      <c r="Q831" s="64">
        <f>IF($A831="","",IF(O831&lt;&gt;원인분석!$C$9,"",IF(AND(M831&gt;=원인분석!$C$10,M831&lt;=원인분석!$C$11),"당기",IF(AND(M831&gt;=원인분석!$C$12,M831&lt;=원인분석!$C$13),"비교",""))))</f>
        <v/>
      </c>
      <c r="R831" s="9">
        <f>IF(Q831="","",$K831&amp;"")</f>
        <v/>
      </c>
      <c r="S831" s="9">
        <f>IF(Q831="","",IF(MATCH(R831,$R$5:$R$100000,0)=ROW()-4,ROW(),""))</f>
        <v/>
      </c>
      <c r="T831" s="9">
        <f>IF(Q831="당기",ABS(P831)+ROW()/1000000000,"")</f>
        <v/>
      </c>
      <c r="U831" s="9">
        <f>IF(Q831="비교",ABS(P831)+ROW()/1000000000,"")</f>
        <v/>
      </c>
      <c r="V831" s="64">
        <f>IF($A831="","",IF(COUNTIF(변동분석!$E$7:$E$506,O831)&gt;0,"Y","N"))</f>
        <v/>
      </c>
      <c r="W831" s="64">
        <f>IF($A831="","",IFERROR(INDEX(계정매핑!$D$5:$D$504,MATCH($F831&amp;"",계정매핑!$A$5:$A$504,0)),"미매핑"))</f>
        <v/>
      </c>
      <c r="X831" s="9">
        <f>IF($A831="","",$F831&amp;"")</f>
        <v/>
      </c>
      <c r="Y831" s="94">
        <f>IF($A831="",0,IF(AE831="직접",IF(AF831="비귀속",$P831,0),$P831*(1-AG831)*IFERROR(INDEX(계정대체기준!$F$20:$F$49,MATCH($N831,계정대체기준!$A$20:$A$49,0)),1)))</f>
        <v/>
      </c>
      <c r="Z831" s="94">
        <f>IF($A831="",0,IF(AE831="직접",IF(AF831="신계약비",$P831,0),$P831*(1-AG831)*IFERROR(INDEX(계정대체기준!$C$20:$C$49,MATCH($N831,계정대체기준!$A$20:$A$49,0)),0)))</f>
        <v/>
      </c>
      <c r="AA831" s="94">
        <f>IF($A831="",0,IF(AE831="직접",IF(OR(AF831="유지비",AF831="손해조사비"),$P831,0),$P831*(1-AG831)*IFERROR(INDEX(계정대체기준!$D$20:$D$49,MATCH($N831,계정대체기준!$A$20:$A$49,0)),0)))</f>
        <v/>
      </c>
      <c r="AB831" s="94">
        <f>IF($A831="",0,IF(AE831="직접",IF(AF831="수금비",$P831,0),$P831*(1-AG831)*IFERROR(INDEX(계정대체기준!$E$20:$E$49,MATCH($N831,계정대체기준!$A$20:$A$49,0)),0)))</f>
        <v/>
      </c>
      <c r="AC831" s="9">
        <f>IF(AND($A831&lt;&gt;"",M831=설정!$C$20,Z831&gt;0),Z831+ROW()/1000000000,"")</f>
        <v/>
      </c>
      <c r="AD831" s="94">
        <f>IF($A831="",0,$P831*AG831)</f>
        <v/>
      </c>
      <c r="AE831" s="64">
        <f>IF($A831="","",IFERROR(INDEX(계정매핑!$E$5:$E$504,MATCH($F831&amp;"",계정매핑!$A$5:$A$504,0))&amp;"","공통비"))</f>
        <v/>
      </c>
      <c r="AF831" s="64">
        <f>IF($A831="","",IF(AE831="직접",IFERROR(INDEX(계정매핑!$F$5:$F$504,MATCH($F831&amp;"",계정매핑!$A$5:$A$504,0))&amp;"","비귀속"),""))</f>
        <v/>
      </c>
      <c r="AG831" s="96">
        <f>IF($A831="",0,IF(AND(AE831&lt;&gt;"직접",IFERROR(INDEX(계정매핑!$G$5:$G$504,MATCH($F831&amp;"",계정매핑!$A$5:$A$504,0))&amp;"","")="유지비",COUNTIF(계정대체기준!$A$6:$A$15,$N831)&gt;0),IFERROR(INDEX(계정대체기준!$E$6:$E$15,MATCH(VALUE($A831&amp;""),계정대체기준!$D$6:$D$15,0)),0),0))</f>
        <v/>
      </c>
      <c r="AH831" s="64">
        <f>IF($A831="","",IF(AD831=0,"",IF(OR(COUNTIF(계정대체기준!$A$77:$A$86,$N831)&gt;0,ISNUMBER(MATCH($X831,계정대체기준!$D$77:$D$86,0)),ISNUMBER(MATCH($F831,계정대체기준!$D$77:$D$86,0))),"Y","N")))</f>
        <v/>
      </c>
    </row>
    <row r="832">
      <c r="A832" s="92" t="n">
        <v>2025</v>
      </c>
      <c r="B832" s="92" t="n">
        <v>4</v>
      </c>
      <c r="C832" s="92" t="inlineStr">
        <is>
          <t>5100000828</t>
        </is>
      </c>
      <c r="D832" s="95" t="n">
        <v>45765</v>
      </c>
      <c r="E832" s="92" t="inlineStr">
        <is>
          <t>KR</t>
        </is>
      </c>
      <c r="F832" s="92" t="n">
        <v>62501000</v>
      </c>
      <c r="G832" s="92" t="n">
        <v>1301</v>
      </c>
      <c r="H832" s="93" t="n">
        <v>314000</v>
      </c>
      <c r="I832" s="92" t="inlineStr">
        <is>
          <t>4월 회의 다과 - T케이터링</t>
        </is>
      </c>
      <c r="J832" s="92" t="inlineStr">
        <is>
          <t>V10005</t>
        </is>
      </c>
      <c r="K832" s="92" t="inlineStr">
        <is>
          <t>T케이터링</t>
        </is>
      </c>
      <c r="M832" s="9">
        <f>IF($A832="","",VALUE($A832&amp;"")*12+VALUE($B832&amp;""))</f>
        <v/>
      </c>
      <c r="N832" s="64">
        <f>IF($A832="","",IFERROR(INDEX(부서매핑!$C$5:$C$504,MATCH($G832&amp;"",부서매핑!$A$5:$A$504,0)),"미매핑"))</f>
        <v/>
      </c>
      <c r="O832" s="9">
        <f>IF($A832="","",N832&amp;"|"&amp;$F832)</f>
        <v/>
      </c>
      <c r="P832" s="94">
        <f>IF($A832="",0,$H832*설정!$C$23)</f>
        <v/>
      </c>
      <c r="Q832" s="64">
        <f>IF($A832="","",IF(O832&lt;&gt;원인분석!$C$9,"",IF(AND(M832&gt;=원인분석!$C$10,M832&lt;=원인분석!$C$11),"당기",IF(AND(M832&gt;=원인분석!$C$12,M832&lt;=원인분석!$C$13),"비교",""))))</f>
        <v/>
      </c>
      <c r="R832" s="9">
        <f>IF(Q832="","",$K832&amp;"")</f>
        <v/>
      </c>
      <c r="S832" s="9">
        <f>IF(Q832="","",IF(MATCH(R832,$R$5:$R$100000,0)=ROW()-4,ROW(),""))</f>
        <v/>
      </c>
      <c r="T832" s="9">
        <f>IF(Q832="당기",ABS(P832)+ROW()/1000000000,"")</f>
        <v/>
      </c>
      <c r="U832" s="9">
        <f>IF(Q832="비교",ABS(P832)+ROW()/1000000000,"")</f>
        <v/>
      </c>
      <c r="V832" s="64">
        <f>IF($A832="","",IF(COUNTIF(변동분석!$E$7:$E$506,O832)&gt;0,"Y","N"))</f>
        <v/>
      </c>
      <c r="W832" s="64">
        <f>IF($A832="","",IFERROR(INDEX(계정매핑!$D$5:$D$504,MATCH($F832&amp;"",계정매핑!$A$5:$A$504,0)),"미매핑"))</f>
        <v/>
      </c>
      <c r="X832" s="9">
        <f>IF($A832="","",$F832&amp;"")</f>
        <v/>
      </c>
      <c r="Y832" s="94">
        <f>IF($A832="",0,IF(AE832="직접",IF(AF832="비귀속",$P832,0),$P832*(1-AG832)*IFERROR(INDEX(계정대체기준!$F$20:$F$49,MATCH($N832,계정대체기준!$A$20:$A$49,0)),1)))</f>
        <v/>
      </c>
      <c r="Z832" s="94">
        <f>IF($A832="",0,IF(AE832="직접",IF(AF832="신계약비",$P832,0),$P832*(1-AG832)*IFERROR(INDEX(계정대체기준!$C$20:$C$49,MATCH($N832,계정대체기준!$A$20:$A$49,0)),0)))</f>
        <v/>
      </c>
      <c r="AA832" s="94">
        <f>IF($A832="",0,IF(AE832="직접",IF(OR(AF832="유지비",AF832="손해조사비"),$P832,0),$P832*(1-AG832)*IFERROR(INDEX(계정대체기준!$D$20:$D$49,MATCH($N832,계정대체기준!$A$20:$A$49,0)),0)))</f>
        <v/>
      </c>
      <c r="AB832" s="94">
        <f>IF($A832="",0,IF(AE832="직접",IF(AF832="수금비",$P832,0),$P832*(1-AG832)*IFERROR(INDEX(계정대체기준!$E$20:$E$49,MATCH($N832,계정대체기준!$A$20:$A$49,0)),0)))</f>
        <v/>
      </c>
      <c r="AC832" s="9">
        <f>IF(AND($A832&lt;&gt;"",M832=설정!$C$20,Z832&gt;0),Z832+ROW()/1000000000,"")</f>
        <v/>
      </c>
      <c r="AD832" s="94">
        <f>IF($A832="",0,$P832*AG832)</f>
        <v/>
      </c>
      <c r="AE832" s="64">
        <f>IF($A832="","",IFERROR(INDEX(계정매핑!$E$5:$E$504,MATCH($F832&amp;"",계정매핑!$A$5:$A$504,0))&amp;"","공통비"))</f>
        <v/>
      </c>
      <c r="AF832" s="64">
        <f>IF($A832="","",IF(AE832="직접",IFERROR(INDEX(계정매핑!$F$5:$F$504,MATCH($F832&amp;"",계정매핑!$A$5:$A$504,0))&amp;"","비귀속"),""))</f>
        <v/>
      </c>
      <c r="AG832" s="96">
        <f>IF($A832="",0,IF(AND(AE832&lt;&gt;"직접",IFERROR(INDEX(계정매핑!$G$5:$G$504,MATCH($F832&amp;"",계정매핑!$A$5:$A$504,0))&amp;"","")="유지비",COUNTIF(계정대체기준!$A$6:$A$15,$N832)&gt;0),IFERROR(INDEX(계정대체기준!$E$6:$E$15,MATCH(VALUE($A832&amp;""),계정대체기준!$D$6:$D$15,0)),0),0))</f>
        <v/>
      </c>
      <c r="AH832" s="64">
        <f>IF($A832="","",IF(AD832=0,"",IF(OR(COUNTIF(계정대체기준!$A$77:$A$86,$N832)&gt;0,ISNUMBER(MATCH($X832,계정대체기준!$D$77:$D$86,0)),ISNUMBER(MATCH($F832,계정대체기준!$D$77:$D$86,0))),"Y","N")))</f>
        <v/>
      </c>
    </row>
    <row r="833">
      <c r="A833" s="92" t="n">
        <v>2025</v>
      </c>
      <c r="B833" s="92" t="n">
        <v>4</v>
      </c>
      <c r="C833" s="92" t="inlineStr">
        <is>
          <t>5100000829</t>
        </is>
      </c>
      <c r="D833" s="95" t="n">
        <v>45765</v>
      </c>
      <c r="E833" s="92" t="inlineStr">
        <is>
          <t>KR</t>
        </is>
      </c>
      <c r="F833" s="92" t="n">
        <v>62902000</v>
      </c>
      <c r="G833" s="92" t="n">
        <v>1401</v>
      </c>
      <c r="H833" s="93" t="n">
        <v>4450000</v>
      </c>
      <c r="I833" s="92" t="inlineStr">
        <is>
          <t>4월 업무 위탁 수수료 - J콜센터</t>
        </is>
      </c>
      <c r="J833" s="92" t="inlineStr">
        <is>
          <t>V10016</t>
        </is>
      </c>
      <c r="K833" s="92" t="inlineStr">
        <is>
          <t>J콜센터</t>
        </is>
      </c>
      <c r="M833" s="9">
        <f>IF($A833="","",VALUE($A833&amp;"")*12+VALUE($B833&amp;""))</f>
        <v/>
      </c>
      <c r="N833" s="64">
        <f>IF($A833="","",IFERROR(INDEX(부서매핑!$C$5:$C$504,MATCH($G833&amp;"",부서매핑!$A$5:$A$504,0)),"미매핑"))</f>
        <v/>
      </c>
      <c r="O833" s="9">
        <f>IF($A833="","",N833&amp;"|"&amp;$F833)</f>
        <v/>
      </c>
      <c r="P833" s="94">
        <f>IF($A833="",0,$H833*설정!$C$23)</f>
        <v/>
      </c>
      <c r="Q833" s="64">
        <f>IF($A833="","",IF(O833&lt;&gt;원인분석!$C$9,"",IF(AND(M833&gt;=원인분석!$C$10,M833&lt;=원인분석!$C$11),"당기",IF(AND(M833&gt;=원인분석!$C$12,M833&lt;=원인분석!$C$13),"비교",""))))</f>
        <v/>
      </c>
      <c r="R833" s="9">
        <f>IF(Q833="","",$K833&amp;"")</f>
        <v/>
      </c>
      <c r="S833" s="9">
        <f>IF(Q833="","",IF(MATCH(R833,$R$5:$R$100000,0)=ROW()-4,ROW(),""))</f>
        <v/>
      </c>
      <c r="T833" s="9">
        <f>IF(Q833="당기",ABS(P833)+ROW()/1000000000,"")</f>
        <v/>
      </c>
      <c r="U833" s="9">
        <f>IF(Q833="비교",ABS(P833)+ROW()/1000000000,"")</f>
        <v/>
      </c>
      <c r="V833" s="64">
        <f>IF($A833="","",IF(COUNTIF(변동분석!$E$7:$E$506,O833)&gt;0,"Y","N"))</f>
        <v/>
      </c>
      <c r="W833" s="64">
        <f>IF($A833="","",IFERROR(INDEX(계정매핑!$D$5:$D$504,MATCH($F833&amp;"",계정매핑!$A$5:$A$504,0)),"미매핑"))</f>
        <v/>
      </c>
      <c r="X833" s="9">
        <f>IF($A833="","",$F833&amp;"")</f>
        <v/>
      </c>
      <c r="Y833" s="94">
        <f>IF($A833="",0,IF(AE833="직접",IF(AF833="비귀속",$P833,0),$P833*(1-AG833)*IFERROR(INDEX(계정대체기준!$F$20:$F$49,MATCH($N833,계정대체기준!$A$20:$A$49,0)),1)))</f>
        <v/>
      </c>
      <c r="Z833" s="94">
        <f>IF($A833="",0,IF(AE833="직접",IF(AF833="신계약비",$P833,0),$P833*(1-AG833)*IFERROR(INDEX(계정대체기준!$C$20:$C$49,MATCH($N833,계정대체기준!$A$20:$A$49,0)),0)))</f>
        <v/>
      </c>
      <c r="AA833" s="94">
        <f>IF($A833="",0,IF(AE833="직접",IF(OR(AF833="유지비",AF833="손해조사비"),$P833,0),$P833*(1-AG833)*IFERROR(INDEX(계정대체기준!$D$20:$D$49,MATCH($N833,계정대체기준!$A$20:$A$49,0)),0)))</f>
        <v/>
      </c>
      <c r="AB833" s="94">
        <f>IF($A833="",0,IF(AE833="직접",IF(AF833="수금비",$P833,0),$P833*(1-AG833)*IFERROR(INDEX(계정대체기준!$E$20:$E$49,MATCH($N833,계정대체기준!$A$20:$A$49,0)),0)))</f>
        <v/>
      </c>
      <c r="AC833" s="9">
        <f>IF(AND($A833&lt;&gt;"",M833=설정!$C$20,Z833&gt;0),Z833+ROW()/1000000000,"")</f>
        <v/>
      </c>
      <c r="AD833" s="94">
        <f>IF($A833="",0,$P833*AG833)</f>
        <v/>
      </c>
      <c r="AE833" s="64">
        <f>IF($A833="","",IFERROR(INDEX(계정매핑!$E$5:$E$504,MATCH($F833&amp;"",계정매핑!$A$5:$A$504,0))&amp;"","공통비"))</f>
        <v/>
      </c>
      <c r="AF833" s="64">
        <f>IF($A833="","",IF(AE833="직접",IFERROR(INDEX(계정매핑!$F$5:$F$504,MATCH($F833&amp;"",계정매핑!$A$5:$A$504,0))&amp;"","비귀속"),""))</f>
        <v/>
      </c>
      <c r="AG833" s="96">
        <f>IF($A833="",0,IF(AND(AE833&lt;&gt;"직접",IFERROR(INDEX(계정매핑!$G$5:$G$504,MATCH($F833&amp;"",계정매핑!$A$5:$A$504,0))&amp;"","")="유지비",COUNTIF(계정대체기준!$A$6:$A$15,$N833)&gt;0),IFERROR(INDEX(계정대체기준!$E$6:$E$15,MATCH(VALUE($A833&amp;""),계정대체기준!$D$6:$D$15,0)),0),0))</f>
        <v/>
      </c>
      <c r="AH833" s="64">
        <f>IF($A833="","",IF(AD833=0,"",IF(OR(COUNTIF(계정대체기준!$A$77:$A$86,$N833)&gt;0,ISNUMBER(MATCH($X833,계정대체기준!$D$77:$D$86,0)),ISNUMBER(MATCH($F833,계정대체기준!$D$77:$D$86,0))),"Y","N")))</f>
        <v/>
      </c>
    </row>
    <row r="834">
      <c r="A834" s="92" t="n">
        <v>2025</v>
      </c>
      <c r="B834" s="92" t="n">
        <v>4</v>
      </c>
      <c r="C834" s="92" t="inlineStr">
        <is>
          <t>5100000830</t>
        </is>
      </c>
      <c r="D834" s="95" t="n">
        <v>45765</v>
      </c>
      <c r="E834" s="92" t="inlineStr">
        <is>
          <t>KR</t>
        </is>
      </c>
      <c r="F834" s="92" t="n">
        <v>62902000</v>
      </c>
      <c r="G834" s="92" t="n">
        <v>1801</v>
      </c>
      <c r="H834" s="93" t="n">
        <v>1848000</v>
      </c>
      <c r="I834" s="92" t="inlineStr">
        <is>
          <t>4월 콜 위탁 수수료(건별)</t>
        </is>
      </c>
      <c r="J834" s="92" t="inlineStr">
        <is>
          <t>V10016</t>
        </is>
      </c>
      <c r="K834" s="92" t="inlineStr">
        <is>
          <t>J콜센터</t>
        </is>
      </c>
      <c r="M834" s="9">
        <f>IF($A834="","",VALUE($A834&amp;"")*12+VALUE($B834&amp;""))</f>
        <v/>
      </c>
      <c r="N834" s="64">
        <f>IF($A834="","",IFERROR(INDEX(부서매핑!$C$5:$C$504,MATCH($G834&amp;"",부서매핑!$A$5:$A$504,0)),"미매핑"))</f>
        <v/>
      </c>
      <c r="O834" s="9">
        <f>IF($A834="","",N834&amp;"|"&amp;$F834)</f>
        <v/>
      </c>
      <c r="P834" s="94">
        <f>IF($A834="",0,$H834*설정!$C$23)</f>
        <v/>
      </c>
      <c r="Q834" s="64">
        <f>IF($A834="","",IF(O834&lt;&gt;원인분석!$C$9,"",IF(AND(M834&gt;=원인분석!$C$10,M834&lt;=원인분석!$C$11),"당기",IF(AND(M834&gt;=원인분석!$C$12,M834&lt;=원인분석!$C$13),"비교",""))))</f>
        <v/>
      </c>
      <c r="R834" s="9">
        <f>IF(Q834="","",$K834&amp;"")</f>
        <v/>
      </c>
      <c r="S834" s="9">
        <f>IF(Q834="","",IF(MATCH(R834,$R$5:$R$100000,0)=ROW()-4,ROW(),""))</f>
        <v/>
      </c>
      <c r="T834" s="9">
        <f>IF(Q834="당기",ABS(P834)+ROW()/1000000000,"")</f>
        <v/>
      </c>
      <c r="U834" s="9">
        <f>IF(Q834="비교",ABS(P834)+ROW()/1000000000,"")</f>
        <v/>
      </c>
      <c r="V834" s="64">
        <f>IF($A834="","",IF(COUNTIF(변동분석!$E$7:$E$506,O834)&gt;0,"Y","N"))</f>
        <v/>
      </c>
      <c r="W834" s="64">
        <f>IF($A834="","",IFERROR(INDEX(계정매핑!$D$5:$D$504,MATCH($F834&amp;"",계정매핑!$A$5:$A$504,0)),"미매핑"))</f>
        <v/>
      </c>
      <c r="X834" s="9">
        <f>IF($A834="","",$F834&amp;"")</f>
        <v/>
      </c>
      <c r="Y834" s="94">
        <f>IF($A834="",0,IF(AE834="직접",IF(AF834="비귀속",$P834,0),$P834*(1-AG834)*IFERROR(INDEX(계정대체기준!$F$20:$F$49,MATCH($N834,계정대체기준!$A$20:$A$49,0)),1)))</f>
        <v/>
      </c>
      <c r="Z834" s="94">
        <f>IF($A834="",0,IF(AE834="직접",IF(AF834="신계약비",$P834,0),$P834*(1-AG834)*IFERROR(INDEX(계정대체기준!$C$20:$C$49,MATCH($N834,계정대체기준!$A$20:$A$49,0)),0)))</f>
        <v/>
      </c>
      <c r="AA834" s="94">
        <f>IF($A834="",0,IF(AE834="직접",IF(OR(AF834="유지비",AF834="손해조사비"),$P834,0),$P834*(1-AG834)*IFERROR(INDEX(계정대체기준!$D$20:$D$49,MATCH($N834,계정대체기준!$A$20:$A$49,0)),0)))</f>
        <v/>
      </c>
      <c r="AB834" s="94">
        <f>IF($A834="",0,IF(AE834="직접",IF(AF834="수금비",$P834,0),$P834*(1-AG834)*IFERROR(INDEX(계정대체기준!$E$20:$E$49,MATCH($N834,계정대체기준!$A$20:$A$49,0)),0)))</f>
        <v/>
      </c>
      <c r="AC834" s="9">
        <f>IF(AND($A834&lt;&gt;"",M834=설정!$C$20,Z834&gt;0),Z834+ROW()/1000000000,"")</f>
        <v/>
      </c>
      <c r="AD834" s="94">
        <f>IF($A834="",0,$P834*AG834)</f>
        <v/>
      </c>
      <c r="AE834" s="64">
        <f>IF($A834="","",IFERROR(INDEX(계정매핑!$E$5:$E$504,MATCH($F834&amp;"",계정매핑!$A$5:$A$504,0))&amp;"","공통비"))</f>
        <v/>
      </c>
      <c r="AF834" s="64">
        <f>IF($A834="","",IF(AE834="직접",IFERROR(INDEX(계정매핑!$F$5:$F$504,MATCH($F834&amp;"",계정매핑!$A$5:$A$504,0))&amp;"","비귀속"),""))</f>
        <v/>
      </c>
      <c r="AG834" s="96">
        <f>IF($A834="",0,IF(AND(AE834&lt;&gt;"직접",IFERROR(INDEX(계정매핑!$G$5:$G$504,MATCH($F834&amp;"",계정매핑!$A$5:$A$504,0))&amp;"","")="유지비",COUNTIF(계정대체기준!$A$6:$A$15,$N834)&gt;0),IFERROR(INDEX(계정대체기준!$E$6:$E$15,MATCH(VALUE($A834&amp;""),계정대체기준!$D$6:$D$15,0)),0),0))</f>
        <v/>
      </c>
      <c r="AH834" s="64">
        <f>IF($A834="","",IF(AD834=0,"",IF(OR(COUNTIF(계정대체기준!$A$77:$A$86,$N834)&gt;0,ISNUMBER(MATCH($X834,계정대체기준!$D$77:$D$86,0)),ISNUMBER(MATCH($F834,계정대체기준!$D$77:$D$86,0))),"Y","N")))</f>
        <v/>
      </c>
    </row>
    <row r="835">
      <c r="A835" s="92" t="n">
        <v>2025</v>
      </c>
      <c r="B835" s="92" t="n">
        <v>4</v>
      </c>
      <c r="C835" s="92" t="inlineStr">
        <is>
          <t>5100000831</t>
        </is>
      </c>
      <c r="D835" s="95" t="n">
        <v>45765</v>
      </c>
      <c r="E835" s="92" t="inlineStr">
        <is>
          <t>KR</t>
        </is>
      </c>
      <c r="F835" s="92" t="n">
        <v>63001000</v>
      </c>
      <c r="G835" s="92" t="n">
        <v>1701</v>
      </c>
      <c r="H835" s="93" t="n">
        <v>35524000</v>
      </c>
      <c r="I835" s="92" t="inlineStr">
        <is>
          <t>4월 SW 유지보수 - Z시스템</t>
        </is>
      </c>
      <c r="J835" s="92" t="inlineStr">
        <is>
          <t>V10012</t>
        </is>
      </c>
      <c r="K835" s="92" t="inlineStr">
        <is>
          <t>Z시스템</t>
        </is>
      </c>
      <c r="M835" s="9">
        <f>IF($A835="","",VALUE($A835&amp;"")*12+VALUE($B835&amp;""))</f>
        <v/>
      </c>
      <c r="N835" s="64">
        <f>IF($A835="","",IFERROR(INDEX(부서매핑!$C$5:$C$504,MATCH($G835&amp;"",부서매핑!$A$5:$A$504,0)),"미매핑"))</f>
        <v/>
      </c>
      <c r="O835" s="9">
        <f>IF($A835="","",N835&amp;"|"&amp;$F835)</f>
        <v/>
      </c>
      <c r="P835" s="94">
        <f>IF($A835="",0,$H835*설정!$C$23)</f>
        <v/>
      </c>
      <c r="Q835" s="64">
        <f>IF($A835="","",IF(O835&lt;&gt;원인분석!$C$9,"",IF(AND(M835&gt;=원인분석!$C$10,M835&lt;=원인분석!$C$11),"당기",IF(AND(M835&gt;=원인분석!$C$12,M835&lt;=원인분석!$C$13),"비교",""))))</f>
        <v/>
      </c>
      <c r="R835" s="9">
        <f>IF(Q835="","",$K835&amp;"")</f>
        <v/>
      </c>
      <c r="S835" s="9">
        <f>IF(Q835="","",IF(MATCH(R835,$R$5:$R$100000,0)=ROW()-4,ROW(),""))</f>
        <v/>
      </c>
      <c r="T835" s="9">
        <f>IF(Q835="당기",ABS(P835)+ROW()/1000000000,"")</f>
        <v/>
      </c>
      <c r="U835" s="9">
        <f>IF(Q835="비교",ABS(P835)+ROW()/1000000000,"")</f>
        <v/>
      </c>
      <c r="V835" s="64">
        <f>IF($A835="","",IF(COUNTIF(변동분석!$E$7:$E$506,O835)&gt;0,"Y","N"))</f>
        <v/>
      </c>
      <c r="W835" s="64">
        <f>IF($A835="","",IFERROR(INDEX(계정매핑!$D$5:$D$504,MATCH($F835&amp;"",계정매핑!$A$5:$A$504,0)),"미매핑"))</f>
        <v/>
      </c>
      <c r="X835" s="9">
        <f>IF($A835="","",$F835&amp;"")</f>
        <v/>
      </c>
      <c r="Y835" s="94">
        <f>IF($A835="",0,IF(AE835="직접",IF(AF835="비귀속",$P835,0),$P835*(1-AG835)*IFERROR(INDEX(계정대체기준!$F$20:$F$49,MATCH($N835,계정대체기준!$A$20:$A$49,0)),1)))</f>
        <v/>
      </c>
      <c r="Z835" s="94">
        <f>IF($A835="",0,IF(AE835="직접",IF(AF835="신계약비",$P835,0),$P835*(1-AG835)*IFERROR(INDEX(계정대체기준!$C$20:$C$49,MATCH($N835,계정대체기준!$A$20:$A$49,0)),0)))</f>
        <v/>
      </c>
      <c r="AA835" s="94">
        <f>IF($A835="",0,IF(AE835="직접",IF(OR(AF835="유지비",AF835="손해조사비"),$P835,0),$P835*(1-AG835)*IFERROR(INDEX(계정대체기준!$D$20:$D$49,MATCH($N835,계정대체기준!$A$20:$A$49,0)),0)))</f>
        <v/>
      </c>
      <c r="AB835" s="94">
        <f>IF($A835="",0,IF(AE835="직접",IF(AF835="수금비",$P835,0),$P835*(1-AG835)*IFERROR(INDEX(계정대체기준!$E$20:$E$49,MATCH($N835,계정대체기준!$A$20:$A$49,0)),0)))</f>
        <v/>
      </c>
      <c r="AC835" s="9">
        <f>IF(AND($A835&lt;&gt;"",M835=설정!$C$20,Z835&gt;0),Z835+ROW()/1000000000,"")</f>
        <v/>
      </c>
      <c r="AD835" s="94">
        <f>IF($A835="",0,$P835*AG835)</f>
        <v/>
      </c>
      <c r="AE835" s="64">
        <f>IF($A835="","",IFERROR(INDEX(계정매핑!$E$5:$E$504,MATCH($F835&amp;"",계정매핑!$A$5:$A$504,0))&amp;"","공통비"))</f>
        <v/>
      </c>
      <c r="AF835" s="64">
        <f>IF($A835="","",IF(AE835="직접",IFERROR(INDEX(계정매핑!$F$5:$F$504,MATCH($F835&amp;"",계정매핑!$A$5:$A$504,0))&amp;"","비귀속"),""))</f>
        <v/>
      </c>
      <c r="AG835" s="96">
        <f>IF($A835="",0,IF(AND(AE835&lt;&gt;"직접",IFERROR(INDEX(계정매핑!$G$5:$G$504,MATCH($F835&amp;"",계정매핑!$A$5:$A$504,0))&amp;"","")="유지비",COUNTIF(계정대체기준!$A$6:$A$15,$N835)&gt;0),IFERROR(INDEX(계정대체기준!$E$6:$E$15,MATCH(VALUE($A835&amp;""),계정대체기준!$D$6:$D$15,0)),0),0))</f>
        <v/>
      </c>
      <c r="AH835" s="64">
        <f>IF($A835="","",IF(AD835=0,"",IF(OR(COUNTIF(계정대체기준!$A$77:$A$86,$N835)&gt;0,ISNUMBER(MATCH($X835,계정대체기준!$D$77:$D$86,0)),ISNUMBER(MATCH($F835,계정대체기준!$D$77:$D$86,0))),"Y","N")))</f>
        <v/>
      </c>
    </row>
    <row r="836">
      <c r="A836" s="92" t="n">
        <v>2025</v>
      </c>
      <c r="B836" s="92" t="n">
        <v>4</v>
      </c>
      <c r="C836" s="92" t="inlineStr">
        <is>
          <t>5100000832</t>
        </is>
      </c>
      <c r="D836" s="95" t="n">
        <v>45765</v>
      </c>
      <c r="E836" s="92" t="inlineStr">
        <is>
          <t>KR</t>
        </is>
      </c>
      <c r="F836" s="92" t="n">
        <v>63002000</v>
      </c>
      <c r="G836" s="92" t="n">
        <v>1951</v>
      </c>
      <c r="H836" s="93" t="n">
        <v>4678000</v>
      </c>
      <c r="I836" s="92" t="inlineStr">
        <is>
          <t>4월 클라우드 사용료 - C클라우드</t>
        </is>
      </c>
      <c r="J836" s="92" t="inlineStr">
        <is>
          <t>V10026</t>
        </is>
      </c>
      <c r="K836" s="92" t="inlineStr">
        <is>
          <t>C클라우드</t>
        </is>
      </c>
      <c r="M836" s="9">
        <f>IF($A836="","",VALUE($A836&amp;"")*12+VALUE($B836&amp;""))</f>
        <v/>
      </c>
      <c r="N836" s="64">
        <f>IF($A836="","",IFERROR(INDEX(부서매핑!$C$5:$C$504,MATCH($G836&amp;"",부서매핑!$A$5:$A$504,0)),"미매핑"))</f>
        <v/>
      </c>
      <c r="O836" s="9">
        <f>IF($A836="","",N836&amp;"|"&amp;$F836)</f>
        <v/>
      </c>
      <c r="P836" s="94">
        <f>IF($A836="",0,$H836*설정!$C$23)</f>
        <v/>
      </c>
      <c r="Q836" s="64">
        <f>IF($A836="","",IF(O836&lt;&gt;원인분석!$C$9,"",IF(AND(M836&gt;=원인분석!$C$10,M836&lt;=원인분석!$C$11),"당기",IF(AND(M836&gt;=원인분석!$C$12,M836&lt;=원인분석!$C$13),"비교",""))))</f>
        <v/>
      </c>
      <c r="R836" s="9">
        <f>IF(Q836="","",$K836&amp;"")</f>
        <v/>
      </c>
      <c r="S836" s="9">
        <f>IF(Q836="","",IF(MATCH(R836,$R$5:$R$100000,0)=ROW()-4,ROW(),""))</f>
        <v/>
      </c>
      <c r="T836" s="9">
        <f>IF(Q836="당기",ABS(P836)+ROW()/1000000000,"")</f>
        <v/>
      </c>
      <c r="U836" s="9">
        <f>IF(Q836="비교",ABS(P836)+ROW()/1000000000,"")</f>
        <v/>
      </c>
      <c r="V836" s="64">
        <f>IF($A836="","",IF(COUNTIF(변동분석!$E$7:$E$506,O836)&gt;0,"Y","N"))</f>
        <v/>
      </c>
      <c r="W836" s="64">
        <f>IF($A836="","",IFERROR(INDEX(계정매핑!$D$5:$D$504,MATCH($F836&amp;"",계정매핑!$A$5:$A$504,0)),"미매핑"))</f>
        <v/>
      </c>
      <c r="X836" s="9">
        <f>IF($A836="","",$F836&amp;"")</f>
        <v/>
      </c>
      <c r="Y836" s="94">
        <f>IF($A836="",0,IF(AE836="직접",IF(AF836="비귀속",$P836,0),$P836*(1-AG836)*IFERROR(INDEX(계정대체기준!$F$20:$F$49,MATCH($N836,계정대체기준!$A$20:$A$49,0)),1)))</f>
        <v/>
      </c>
      <c r="Z836" s="94">
        <f>IF($A836="",0,IF(AE836="직접",IF(AF836="신계약비",$P836,0),$P836*(1-AG836)*IFERROR(INDEX(계정대체기준!$C$20:$C$49,MATCH($N836,계정대체기준!$A$20:$A$49,0)),0)))</f>
        <v/>
      </c>
      <c r="AA836" s="94">
        <f>IF($A836="",0,IF(AE836="직접",IF(OR(AF836="유지비",AF836="손해조사비"),$P836,0),$P836*(1-AG836)*IFERROR(INDEX(계정대체기준!$D$20:$D$49,MATCH($N836,계정대체기준!$A$20:$A$49,0)),0)))</f>
        <v/>
      </c>
      <c r="AB836" s="94">
        <f>IF($A836="",0,IF(AE836="직접",IF(AF836="수금비",$P836,0),$P836*(1-AG836)*IFERROR(INDEX(계정대체기준!$E$20:$E$49,MATCH($N836,계정대체기준!$A$20:$A$49,0)),0)))</f>
        <v/>
      </c>
      <c r="AC836" s="9">
        <f>IF(AND($A836&lt;&gt;"",M836=설정!$C$20,Z836&gt;0),Z836+ROW()/1000000000,"")</f>
        <v/>
      </c>
      <c r="AD836" s="94">
        <f>IF($A836="",0,$P836*AG836)</f>
        <v/>
      </c>
      <c r="AE836" s="64">
        <f>IF($A836="","",IFERROR(INDEX(계정매핑!$E$5:$E$504,MATCH($F836&amp;"",계정매핑!$A$5:$A$504,0))&amp;"","공통비"))</f>
        <v/>
      </c>
      <c r="AF836" s="64">
        <f>IF($A836="","",IF(AE836="직접",IFERROR(INDEX(계정매핑!$F$5:$F$504,MATCH($F836&amp;"",계정매핑!$A$5:$A$504,0))&amp;"","비귀속"),""))</f>
        <v/>
      </c>
      <c r="AG836" s="96">
        <f>IF($A836="",0,IF(AND(AE836&lt;&gt;"직접",IFERROR(INDEX(계정매핑!$G$5:$G$504,MATCH($F836&amp;"",계정매핑!$A$5:$A$504,0))&amp;"","")="유지비",COUNTIF(계정대체기준!$A$6:$A$15,$N836)&gt;0),IFERROR(INDEX(계정대체기준!$E$6:$E$15,MATCH(VALUE($A836&amp;""),계정대체기준!$D$6:$D$15,0)),0),0))</f>
        <v/>
      </c>
      <c r="AH836" s="64">
        <f>IF($A836="","",IF(AD836=0,"",IF(OR(COUNTIF(계정대체기준!$A$77:$A$86,$N836)&gt;0,ISNUMBER(MATCH($X836,계정대체기준!$D$77:$D$86,0)),ISNUMBER(MATCH($F836,계정대체기준!$D$77:$D$86,0))),"Y","N")))</f>
        <v/>
      </c>
    </row>
    <row r="837">
      <c r="A837" s="92" t="n">
        <v>2025</v>
      </c>
      <c r="B837" s="92" t="n">
        <v>4</v>
      </c>
      <c r="C837" s="92" t="inlineStr">
        <is>
          <t>5100000833</t>
        </is>
      </c>
      <c r="D837" s="95" t="n">
        <v>45766</v>
      </c>
      <c r="E837" s="92" t="inlineStr">
        <is>
          <t>KR</t>
        </is>
      </c>
      <c r="F837" s="92" t="n">
        <v>62101000</v>
      </c>
      <c r="G837" s="92" t="n">
        <v>1801</v>
      </c>
      <c r="H837" s="93" t="n">
        <v>141000</v>
      </c>
      <c r="I837" s="92" t="inlineStr">
        <is>
          <t>4월 국내출장 - (법인카드)</t>
        </is>
      </c>
      <c r="J837" s="92" t="inlineStr">
        <is>
          <t>V10010</t>
        </is>
      </c>
      <c r="K837" s="92" t="inlineStr">
        <is>
          <t>(법인카드)</t>
        </is>
      </c>
      <c r="M837" s="9">
        <f>IF($A837="","",VALUE($A837&amp;"")*12+VALUE($B837&amp;""))</f>
        <v/>
      </c>
      <c r="N837" s="64">
        <f>IF($A837="","",IFERROR(INDEX(부서매핑!$C$5:$C$504,MATCH($G837&amp;"",부서매핑!$A$5:$A$504,0)),"미매핑"))</f>
        <v/>
      </c>
      <c r="O837" s="9">
        <f>IF($A837="","",N837&amp;"|"&amp;$F837)</f>
        <v/>
      </c>
      <c r="P837" s="94">
        <f>IF($A837="",0,$H837*설정!$C$23)</f>
        <v/>
      </c>
      <c r="Q837" s="64">
        <f>IF($A837="","",IF(O837&lt;&gt;원인분석!$C$9,"",IF(AND(M837&gt;=원인분석!$C$10,M837&lt;=원인분석!$C$11),"당기",IF(AND(M837&gt;=원인분석!$C$12,M837&lt;=원인분석!$C$13),"비교",""))))</f>
        <v/>
      </c>
      <c r="R837" s="9">
        <f>IF(Q837="","",$K837&amp;"")</f>
        <v/>
      </c>
      <c r="S837" s="9">
        <f>IF(Q837="","",IF(MATCH(R837,$R$5:$R$100000,0)=ROW()-4,ROW(),""))</f>
        <v/>
      </c>
      <c r="T837" s="9">
        <f>IF(Q837="당기",ABS(P837)+ROW()/1000000000,"")</f>
        <v/>
      </c>
      <c r="U837" s="9">
        <f>IF(Q837="비교",ABS(P837)+ROW()/1000000000,"")</f>
        <v/>
      </c>
      <c r="V837" s="64">
        <f>IF($A837="","",IF(COUNTIF(변동분석!$E$7:$E$506,O837)&gt;0,"Y","N"))</f>
        <v/>
      </c>
      <c r="W837" s="64">
        <f>IF($A837="","",IFERROR(INDEX(계정매핑!$D$5:$D$504,MATCH($F837&amp;"",계정매핑!$A$5:$A$504,0)),"미매핑"))</f>
        <v/>
      </c>
      <c r="X837" s="9">
        <f>IF($A837="","",$F837&amp;"")</f>
        <v/>
      </c>
      <c r="Y837" s="94">
        <f>IF($A837="",0,IF(AE837="직접",IF(AF837="비귀속",$P837,0),$P837*(1-AG837)*IFERROR(INDEX(계정대체기준!$F$20:$F$49,MATCH($N837,계정대체기준!$A$20:$A$49,0)),1)))</f>
        <v/>
      </c>
      <c r="Z837" s="94">
        <f>IF($A837="",0,IF(AE837="직접",IF(AF837="신계약비",$P837,0),$P837*(1-AG837)*IFERROR(INDEX(계정대체기준!$C$20:$C$49,MATCH($N837,계정대체기준!$A$20:$A$49,0)),0)))</f>
        <v/>
      </c>
      <c r="AA837" s="94">
        <f>IF($A837="",0,IF(AE837="직접",IF(OR(AF837="유지비",AF837="손해조사비"),$P837,0),$P837*(1-AG837)*IFERROR(INDEX(계정대체기준!$D$20:$D$49,MATCH($N837,계정대체기준!$A$20:$A$49,0)),0)))</f>
        <v/>
      </c>
      <c r="AB837" s="94">
        <f>IF($A837="",0,IF(AE837="직접",IF(AF837="수금비",$P837,0),$P837*(1-AG837)*IFERROR(INDEX(계정대체기준!$E$20:$E$49,MATCH($N837,계정대체기준!$A$20:$A$49,0)),0)))</f>
        <v/>
      </c>
      <c r="AC837" s="9">
        <f>IF(AND($A837&lt;&gt;"",M837=설정!$C$20,Z837&gt;0),Z837+ROW()/1000000000,"")</f>
        <v/>
      </c>
      <c r="AD837" s="94">
        <f>IF($A837="",0,$P837*AG837)</f>
        <v/>
      </c>
      <c r="AE837" s="64">
        <f>IF($A837="","",IFERROR(INDEX(계정매핑!$E$5:$E$504,MATCH($F837&amp;"",계정매핑!$A$5:$A$504,0))&amp;"","공통비"))</f>
        <v/>
      </c>
      <c r="AF837" s="64">
        <f>IF($A837="","",IF(AE837="직접",IFERROR(INDEX(계정매핑!$F$5:$F$504,MATCH($F837&amp;"",계정매핑!$A$5:$A$504,0))&amp;"","비귀속"),""))</f>
        <v/>
      </c>
      <c r="AG837" s="96">
        <f>IF($A837="",0,IF(AND(AE837&lt;&gt;"직접",IFERROR(INDEX(계정매핑!$G$5:$G$504,MATCH($F837&amp;"",계정매핑!$A$5:$A$504,0))&amp;"","")="유지비",COUNTIF(계정대체기준!$A$6:$A$15,$N837)&gt;0),IFERROR(INDEX(계정대체기준!$E$6:$E$15,MATCH(VALUE($A837&amp;""),계정대체기준!$D$6:$D$15,0)),0),0))</f>
        <v/>
      </c>
      <c r="AH837" s="64">
        <f>IF($A837="","",IF(AD837=0,"",IF(OR(COUNTIF(계정대체기준!$A$77:$A$86,$N837)&gt;0,ISNUMBER(MATCH($X837,계정대체기준!$D$77:$D$86,0)),ISNUMBER(MATCH($F837,계정대체기준!$D$77:$D$86,0))),"Y","N")))</f>
        <v/>
      </c>
    </row>
    <row r="838">
      <c r="A838" s="92" t="n">
        <v>2025</v>
      </c>
      <c r="B838" s="92" t="n">
        <v>4</v>
      </c>
      <c r="C838" s="92" t="inlineStr">
        <is>
          <t>5100000834</t>
        </is>
      </c>
      <c r="D838" s="95" t="n">
        <v>45766</v>
      </c>
      <c r="E838" s="92" t="inlineStr">
        <is>
          <t>KR</t>
        </is>
      </c>
      <c r="F838" s="92" t="n">
        <v>62101000</v>
      </c>
      <c r="G838" s="92" t="n">
        <v>1951</v>
      </c>
      <c r="H838" s="93" t="n">
        <v>262000</v>
      </c>
      <c r="I838" s="92" t="inlineStr">
        <is>
          <t>4월 국내출장 - L여행사</t>
        </is>
      </c>
      <c r="J838" s="92" t="inlineStr">
        <is>
          <t>V10018</t>
        </is>
      </c>
      <c r="K838" s="92" t="inlineStr">
        <is>
          <t>L여행사</t>
        </is>
      </c>
      <c r="M838" s="9">
        <f>IF($A838="","",VALUE($A838&amp;"")*12+VALUE($B838&amp;""))</f>
        <v/>
      </c>
      <c r="N838" s="64">
        <f>IF($A838="","",IFERROR(INDEX(부서매핑!$C$5:$C$504,MATCH($G838&amp;"",부서매핑!$A$5:$A$504,0)),"미매핑"))</f>
        <v/>
      </c>
      <c r="O838" s="9">
        <f>IF($A838="","",N838&amp;"|"&amp;$F838)</f>
        <v/>
      </c>
      <c r="P838" s="94">
        <f>IF($A838="",0,$H838*설정!$C$23)</f>
        <v/>
      </c>
      <c r="Q838" s="64">
        <f>IF($A838="","",IF(O838&lt;&gt;원인분석!$C$9,"",IF(AND(M838&gt;=원인분석!$C$10,M838&lt;=원인분석!$C$11),"당기",IF(AND(M838&gt;=원인분석!$C$12,M838&lt;=원인분석!$C$13),"비교",""))))</f>
        <v/>
      </c>
      <c r="R838" s="9">
        <f>IF(Q838="","",$K838&amp;"")</f>
        <v/>
      </c>
      <c r="S838" s="9">
        <f>IF(Q838="","",IF(MATCH(R838,$R$5:$R$100000,0)=ROW()-4,ROW(),""))</f>
        <v/>
      </c>
      <c r="T838" s="9">
        <f>IF(Q838="당기",ABS(P838)+ROW()/1000000000,"")</f>
        <v/>
      </c>
      <c r="U838" s="9">
        <f>IF(Q838="비교",ABS(P838)+ROW()/1000000000,"")</f>
        <v/>
      </c>
      <c r="V838" s="64">
        <f>IF($A838="","",IF(COUNTIF(변동분석!$E$7:$E$506,O838)&gt;0,"Y","N"))</f>
        <v/>
      </c>
      <c r="W838" s="64">
        <f>IF($A838="","",IFERROR(INDEX(계정매핑!$D$5:$D$504,MATCH($F838&amp;"",계정매핑!$A$5:$A$504,0)),"미매핑"))</f>
        <v/>
      </c>
      <c r="X838" s="9">
        <f>IF($A838="","",$F838&amp;"")</f>
        <v/>
      </c>
      <c r="Y838" s="94">
        <f>IF($A838="",0,IF(AE838="직접",IF(AF838="비귀속",$P838,0),$P838*(1-AG838)*IFERROR(INDEX(계정대체기준!$F$20:$F$49,MATCH($N838,계정대체기준!$A$20:$A$49,0)),1)))</f>
        <v/>
      </c>
      <c r="Z838" s="94">
        <f>IF($A838="",0,IF(AE838="직접",IF(AF838="신계약비",$P838,0),$P838*(1-AG838)*IFERROR(INDEX(계정대체기준!$C$20:$C$49,MATCH($N838,계정대체기준!$A$20:$A$49,0)),0)))</f>
        <v/>
      </c>
      <c r="AA838" s="94">
        <f>IF($A838="",0,IF(AE838="직접",IF(OR(AF838="유지비",AF838="손해조사비"),$P838,0),$P838*(1-AG838)*IFERROR(INDEX(계정대체기준!$D$20:$D$49,MATCH($N838,계정대체기준!$A$20:$A$49,0)),0)))</f>
        <v/>
      </c>
      <c r="AB838" s="94">
        <f>IF($A838="",0,IF(AE838="직접",IF(AF838="수금비",$P838,0),$P838*(1-AG838)*IFERROR(INDEX(계정대체기준!$E$20:$E$49,MATCH($N838,계정대체기준!$A$20:$A$49,0)),0)))</f>
        <v/>
      </c>
      <c r="AC838" s="9">
        <f>IF(AND($A838&lt;&gt;"",M838=설정!$C$20,Z838&gt;0),Z838+ROW()/1000000000,"")</f>
        <v/>
      </c>
      <c r="AD838" s="94">
        <f>IF($A838="",0,$P838*AG838)</f>
        <v/>
      </c>
      <c r="AE838" s="64">
        <f>IF($A838="","",IFERROR(INDEX(계정매핑!$E$5:$E$504,MATCH($F838&amp;"",계정매핑!$A$5:$A$504,0))&amp;"","공통비"))</f>
        <v/>
      </c>
      <c r="AF838" s="64">
        <f>IF($A838="","",IF(AE838="직접",IFERROR(INDEX(계정매핑!$F$5:$F$504,MATCH($F838&amp;"",계정매핑!$A$5:$A$504,0))&amp;"","비귀속"),""))</f>
        <v/>
      </c>
      <c r="AG838" s="96">
        <f>IF($A838="",0,IF(AND(AE838&lt;&gt;"직접",IFERROR(INDEX(계정매핑!$G$5:$G$504,MATCH($F838&amp;"",계정매핑!$A$5:$A$504,0))&amp;"","")="유지비",COUNTIF(계정대체기준!$A$6:$A$15,$N838)&gt;0),IFERROR(INDEX(계정대체기준!$E$6:$E$15,MATCH(VALUE($A838&amp;""),계정대체기준!$D$6:$D$15,0)),0),0))</f>
        <v/>
      </c>
      <c r="AH838" s="64">
        <f>IF($A838="","",IF(AD838=0,"",IF(OR(COUNTIF(계정대체기준!$A$77:$A$86,$N838)&gt;0,ISNUMBER(MATCH($X838,계정대체기준!$D$77:$D$86,0)),ISNUMBER(MATCH($F838,계정대체기준!$D$77:$D$86,0))),"Y","N")))</f>
        <v/>
      </c>
    </row>
    <row r="839">
      <c r="A839" s="92" t="n">
        <v>2025</v>
      </c>
      <c r="B839" s="92" t="n">
        <v>4</v>
      </c>
      <c r="C839" s="92" t="inlineStr">
        <is>
          <t>5100000835</t>
        </is>
      </c>
      <c r="D839" s="95" t="n">
        <v>45766</v>
      </c>
      <c r="E839" s="92" t="inlineStr">
        <is>
          <t>KR</t>
        </is>
      </c>
      <c r="F839" s="92" t="n">
        <v>62201000</v>
      </c>
      <c r="G839" s="92" t="n">
        <v>1301</v>
      </c>
      <c r="H839" s="93" t="n">
        <v>216000</v>
      </c>
      <c r="I839" s="92" t="inlineStr">
        <is>
          <t>4월 통신요금 - O텔레콤</t>
        </is>
      </c>
      <c r="J839" s="92" t="inlineStr">
        <is>
          <t>V10002</t>
        </is>
      </c>
      <c r="K839" s="92" t="inlineStr">
        <is>
          <t>O텔레콤</t>
        </is>
      </c>
      <c r="M839" s="9">
        <f>IF($A839="","",VALUE($A839&amp;"")*12+VALUE($B839&amp;""))</f>
        <v/>
      </c>
      <c r="N839" s="64">
        <f>IF($A839="","",IFERROR(INDEX(부서매핑!$C$5:$C$504,MATCH($G839&amp;"",부서매핑!$A$5:$A$504,0)),"미매핑"))</f>
        <v/>
      </c>
      <c r="O839" s="9">
        <f>IF($A839="","",N839&amp;"|"&amp;$F839)</f>
        <v/>
      </c>
      <c r="P839" s="94">
        <f>IF($A839="",0,$H839*설정!$C$23)</f>
        <v/>
      </c>
      <c r="Q839" s="64">
        <f>IF($A839="","",IF(O839&lt;&gt;원인분석!$C$9,"",IF(AND(M839&gt;=원인분석!$C$10,M839&lt;=원인분석!$C$11),"당기",IF(AND(M839&gt;=원인분석!$C$12,M839&lt;=원인분석!$C$13),"비교",""))))</f>
        <v/>
      </c>
      <c r="R839" s="9">
        <f>IF(Q839="","",$K839&amp;"")</f>
        <v/>
      </c>
      <c r="S839" s="9">
        <f>IF(Q839="","",IF(MATCH(R839,$R$5:$R$100000,0)=ROW()-4,ROW(),""))</f>
        <v/>
      </c>
      <c r="T839" s="9">
        <f>IF(Q839="당기",ABS(P839)+ROW()/1000000000,"")</f>
        <v/>
      </c>
      <c r="U839" s="9">
        <f>IF(Q839="비교",ABS(P839)+ROW()/1000000000,"")</f>
        <v/>
      </c>
      <c r="V839" s="64">
        <f>IF($A839="","",IF(COUNTIF(변동분석!$E$7:$E$506,O839)&gt;0,"Y","N"))</f>
        <v/>
      </c>
      <c r="W839" s="64">
        <f>IF($A839="","",IFERROR(INDEX(계정매핑!$D$5:$D$504,MATCH($F839&amp;"",계정매핑!$A$5:$A$504,0)),"미매핑"))</f>
        <v/>
      </c>
      <c r="X839" s="9">
        <f>IF($A839="","",$F839&amp;"")</f>
        <v/>
      </c>
      <c r="Y839" s="94">
        <f>IF($A839="",0,IF(AE839="직접",IF(AF839="비귀속",$P839,0),$P839*(1-AG839)*IFERROR(INDEX(계정대체기준!$F$20:$F$49,MATCH($N839,계정대체기준!$A$20:$A$49,0)),1)))</f>
        <v/>
      </c>
      <c r="Z839" s="94">
        <f>IF($A839="",0,IF(AE839="직접",IF(AF839="신계약비",$P839,0),$P839*(1-AG839)*IFERROR(INDEX(계정대체기준!$C$20:$C$49,MATCH($N839,계정대체기준!$A$20:$A$49,0)),0)))</f>
        <v/>
      </c>
      <c r="AA839" s="94">
        <f>IF($A839="",0,IF(AE839="직접",IF(OR(AF839="유지비",AF839="손해조사비"),$P839,0),$P839*(1-AG839)*IFERROR(INDEX(계정대체기준!$D$20:$D$49,MATCH($N839,계정대체기준!$A$20:$A$49,0)),0)))</f>
        <v/>
      </c>
      <c r="AB839" s="94">
        <f>IF($A839="",0,IF(AE839="직접",IF(AF839="수금비",$P839,0),$P839*(1-AG839)*IFERROR(INDEX(계정대체기준!$E$20:$E$49,MATCH($N839,계정대체기준!$A$20:$A$49,0)),0)))</f>
        <v/>
      </c>
      <c r="AC839" s="9">
        <f>IF(AND($A839&lt;&gt;"",M839=설정!$C$20,Z839&gt;0),Z839+ROW()/1000000000,"")</f>
        <v/>
      </c>
      <c r="AD839" s="94">
        <f>IF($A839="",0,$P839*AG839)</f>
        <v/>
      </c>
      <c r="AE839" s="64">
        <f>IF($A839="","",IFERROR(INDEX(계정매핑!$E$5:$E$504,MATCH($F839&amp;"",계정매핑!$A$5:$A$504,0))&amp;"","공통비"))</f>
        <v/>
      </c>
      <c r="AF839" s="64">
        <f>IF($A839="","",IF(AE839="직접",IFERROR(INDEX(계정매핑!$F$5:$F$504,MATCH($F839&amp;"",계정매핑!$A$5:$A$504,0))&amp;"","비귀속"),""))</f>
        <v/>
      </c>
      <c r="AG839" s="96">
        <f>IF($A839="",0,IF(AND(AE839&lt;&gt;"직접",IFERROR(INDEX(계정매핑!$G$5:$G$504,MATCH($F839&amp;"",계정매핑!$A$5:$A$504,0))&amp;"","")="유지비",COUNTIF(계정대체기준!$A$6:$A$15,$N839)&gt;0),IFERROR(INDEX(계정대체기준!$E$6:$E$15,MATCH(VALUE($A839&amp;""),계정대체기준!$D$6:$D$15,0)),0),0))</f>
        <v/>
      </c>
      <c r="AH839" s="64">
        <f>IF($A839="","",IF(AD839=0,"",IF(OR(COUNTIF(계정대체기준!$A$77:$A$86,$N839)&gt;0,ISNUMBER(MATCH($X839,계정대체기준!$D$77:$D$86,0)),ISNUMBER(MATCH($F839,계정대체기준!$D$77:$D$86,0))),"Y","N")))</f>
        <v/>
      </c>
    </row>
    <row r="840">
      <c r="A840" s="92" t="n">
        <v>2025</v>
      </c>
      <c r="B840" s="92" t="n">
        <v>4</v>
      </c>
      <c r="C840" s="92" t="inlineStr">
        <is>
          <t>5100000836</t>
        </is>
      </c>
      <c r="D840" s="95" t="n">
        <v>45766</v>
      </c>
      <c r="E840" s="92" t="inlineStr">
        <is>
          <t>KR</t>
        </is>
      </c>
      <c r="F840" s="92" t="n">
        <v>62301000</v>
      </c>
      <c r="G840" s="92" t="n">
        <v>1701</v>
      </c>
      <c r="H840" s="93" t="n">
        <v>199000</v>
      </c>
      <c r="I840" s="92" t="inlineStr">
        <is>
          <t>4월 소모품 구입 - Q오피스</t>
        </is>
      </c>
      <c r="J840" s="92" t="inlineStr">
        <is>
          <t>V10003</t>
        </is>
      </c>
      <c r="K840" s="92" t="inlineStr">
        <is>
          <t>Q오피스</t>
        </is>
      </c>
      <c r="M840" s="9">
        <f>IF($A840="","",VALUE($A840&amp;"")*12+VALUE($B840&amp;""))</f>
        <v/>
      </c>
      <c r="N840" s="64">
        <f>IF($A840="","",IFERROR(INDEX(부서매핑!$C$5:$C$504,MATCH($G840&amp;"",부서매핑!$A$5:$A$504,0)),"미매핑"))</f>
        <v/>
      </c>
      <c r="O840" s="9">
        <f>IF($A840="","",N840&amp;"|"&amp;$F840)</f>
        <v/>
      </c>
      <c r="P840" s="94">
        <f>IF($A840="",0,$H840*설정!$C$23)</f>
        <v/>
      </c>
      <c r="Q840" s="64">
        <f>IF($A840="","",IF(O840&lt;&gt;원인분석!$C$9,"",IF(AND(M840&gt;=원인분석!$C$10,M840&lt;=원인분석!$C$11),"당기",IF(AND(M840&gt;=원인분석!$C$12,M840&lt;=원인분석!$C$13),"비교",""))))</f>
        <v/>
      </c>
      <c r="R840" s="9">
        <f>IF(Q840="","",$K840&amp;"")</f>
        <v/>
      </c>
      <c r="S840" s="9">
        <f>IF(Q840="","",IF(MATCH(R840,$R$5:$R$100000,0)=ROW()-4,ROW(),""))</f>
        <v/>
      </c>
      <c r="T840" s="9">
        <f>IF(Q840="당기",ABS(P840)+ROW()/1000000000,"")</f>
        <v/>
      </c>
      <c r="U840" s="9">
        <f>IF(Q840="비교",ABS(P840)+ROW()/1000000000,"")</f>
        <v/>
      </c>
      <c r="V840" s="64">
        <f>IF($A840="","",IF(COUNTIF(변동분석!$E$7:$E$506,O840)&gt;0,"Y","N"))</f>
        <v/>
      </c>
      <c r="W840" s="64">
        <f>IF($A840="","",IFERROR(INDEX(계정매핑!$D$5:$D$504,MATCH($F840&amp;"",계정매핑!$A$5:$A$504,0)),"미매핑"))</f>
        <v/>
      </c>
      <c r="X840" s="9">
        <f>IF($A840="","",$F840&amp;"")</f>
        <v/>
      </c>
      <c r="Y840" s="94">
        <f>IF($A840="",0,IF(AE840="직접",IF(AF840="비귀속",$P840,0),$P840*(1-AG840)*IFERROR(INDEX(계정대체기준!$F$20:$F$49,MATCH($N840,계정대체기준!$A$20:$A$49,0)),1)))</f>
        <v/>
      </c>
      <c r="Z840" s="94">
        <f>IF($A840="",0,IF(AE840="직접",IF(AF840="신계약비",$P840,0),$P840*(1-AG840)*IFERROR(INDEX(계정대체기준!$C$20:$C$49,MATCH($N840,계정대체기준!$A$20:$A$49,0)),0)))</f>
        <v/>
      </c>
      <c r="AA840" s="94">
        <f>IF($A840="",0,IF(AE840="직접",IF(OR(AF840="유지비",AF840="손해조사비"),$P840,0),$P840*(1-AG840)*IFERROR(INDEX(계정대체기준!$D$20:$D$49,MATCH($N840,계정대체기준!$A$20:$A$49,0)),0)))</f>
        <v/>
      </c>
      <c r="AB840" s="94">
        <f>IF($A840="",0,IF(AE840="직접",IF(AF840="수금비",$P840,0),$P840*(1-AG840)*IFERROR(INDEX(계정대체기준!$E$20:$E$49,MATCH($N840,계정대체기준!$A$20:$A$49,0)),0)))</f>
        <v/>
      </c>
      <c r="AC840" s="9">
        <f>IF(AND($A840&lt;&gt;"",M840=설정!$C$20,Z840&gt;0),Z840+ROW()/1000000000,"")</f>
        <v/>
      </c>
      <c r="AD840" s="94">
        <f>IF($A840="",0,$P840*AG840)</f>
        <v/>
      </c>
      <c r="AE840" s="64">
        <f>IF($A840="","",IFERROR(INDEX(계정매핑!$E$5:$E$504,MATCH($F840&amp;"",계정매핑!$A$5:$A$504,0))&amp;"","공통비"))</f>
        <v/>
      </c>
      <c r="AF840" s="64">
        <f>IF($A840="","",IF(AE840="직접",IFERROR(INDEX(계정매핑!$F$5:$F$504,MATCH($F840&amp;"",계정매핑!$A$5:$A$504,0))&amp;"","비귀속"),""))</f>
        <v/>
      </c>
      <c r="AG840" s="96">
        <f>IF($A840="",0,IF(AND(AE840&lt;&gt;"직접",IFERROR(INDEX(계정매핑!$G$5:$G$504,MATCH($F840&amp;"",계정매핑!$A$5:$A$504,0))&amp;"","")="유지비",COUNTIF(계정대체기준!$A$6:$A$15,$N840)&gt;0),IFERROR(INDEX(계정대체기준!$E$6:$E$15,MATCH(VALUE($A840&amp;""),계정대체기준!$D$6:$D$15,0)),0),0))</f>
        <v/>
      </c>
      <c r="AH840" s="64">
        <f>IF($A840="","",IF(AD840=0,"",IF(OR(COUNTIF(계정대체기준!$A$77:$A$86,$N840)&gt;0,ISNUMBER(MATCH($X840,계정대체기준!$D$77:$D$86,0)),ISNUMBER(MATCH($F840,계정대체기준!$D$77:$D$86,0))),"Y","N")))</f>
        <v/>
      </c>
    </row>
    <row r="841">
      <c r="A841" s="92" t="n">
        <v>2025</v>
      </c>
      <c r="B841" s="92" t="n">
        <v>4</v>
      </c>
      <c r="C841" s="92" t="inlineStr">
        <is>
          <t>5100000837</t>
        </is>
      </c>
      <c r="D841" s="95" t="n">
        <v>45766</v>
      </c>
      <c r="E841" s="92" t="inlineStr">
        <is>
          <t>KR</t>
        </is>
      </c>
      <c r="F841" s="92" t="n">
        <v>62501000</v>
      </c>
      <c r="G841" s="92" t="n">
        <v>1201</v>
      </c>
      <c r="H841" s="93" t="n">
        <v>94000</v>
      </c>
      <c r="I841" s="92" t="inlineStr">
        <is>
          <t>4월 회의 다과 - (법인카드)</t>
        </is>
      </c>
      <c r="J841" s="92" t="inlineStr">
        <is>
          <t>V10010</t>
        </is>
      </c>
      <c r="K841" s="92" t="inlineStr">
        <is>
          <t>(법인카드)</t>
        </is>
      </c>
      <c r="M841" s="9">
        <f>IF($A841="","",VALUE($A841&amp;"")*12+VALUE($B841&amp;""))</f>
        <v/>
      </c>
      <c r="N841" s="64">
        <f>IF($A841="","",IFERROR(INDEX(부서매핑!$C$5:$C$504,MATCH($G841&amp;"",부서매핑!$A$5:$A$504,0)),"미매핑"))</f>
        <v/>
      </c>
      <c r="O841" s="9">
        <f>IF($A841="","",N841&amp;"|"&amp;$F841)</f>
        <v/>
      </c>
      <c r="P841" s="94">
        <f>IF($A841="",0,$H841*설정!$C$23)</f>
        <v/>
      </c>
      <c r="Q841" s="64">
        <f>IF($A841="","",IF(O841&lt;&gt;원인분석!$C$9,"",IF(AND(M841&gt;=원인분석!$C$10,M841&lt;=원인분석!$C$11),"당기",IF(AND(M841&gt;=원인분석!$C$12,M841&lt;=원인분석!$C$13),"비교",""))))</f>
        <v/>
      </c>
      <c r="R841" s="9">
        <f>IF(Q841="","",$K841&amp;"")</f>
        <v/>
      </c>
      <c r="S841" s="9">
        <f>IF(Q841="","",IF(MATCH(R841,$R$5:$R$100000,0)=ROW()-4,ROW(),""))</f>
        <v/>
      </c>
      <c r="T841" s="9">
        <f>IF(Q841="당기",ABS(P841)+ROW()/1000000000,"")</f>
        <v/>
      </c>
      <c r="U841" s="9">
        <f>IF(Q841="비교",ABS(P841)+ROW()/1000000000,"")</f>
        <v/>
      </c>
      <c r="V841" s="64">
        <f>IF($A841="","",IF(COUNTIF(변동분석!$E$7:$E$506,O841)&gt;0,"Y","N"))</f>
        <v/>
      </c>
      <c r="W841" s="64">
        <f>IF($A841="","",IFERROR(INDEX(계정매핑!$D$5:$D$504,MATCH($F841&amp;"",계정매핑!$A$5:$A$504,0)),"미매핑"))</f>
        <v/>
      </c>
      <c r="X841" s="9">
        <f>IF($A841="","",$F841&amp;"")</f>
        <v/>
      </c>
      <c r="Y841" s="94">
        <f>IF($A841="",0,IF(AE841="직접",IF(AF841="비귀속",$P841,0),$P841*(1-AG841)*IFERROR(INDEX(계정대체기준!$F$20:$F$49,MATCH($N841,계정대체기준!$A$20:$A$49,0)),1)))</f>
        <v/>
      </c>
      <c r="Z841" s="94">
        <f>IF($A841="",0,IF(AE841="직접",IF(AF841="신계약비",$P841,0),$P841*(1-AG841)*IFERROR(INDEX(계정대체기준!$C$20:$C$49,MATCH($N841,계정대체기준!$A$20:$A$49,0)),0)))</f>
        <v/>
      </c>
      <c r="AA841" s="94">
        <f>IF($A841="",0,IF(AE841="직접",IF(OR(AF841="유지비",AF841="손해조사비"),$P841,0),$P841*(1-AG841)*IFERROR(INDEX(계정대체기준!$D$20:$D$49,MATCH($N841,계정대체기준!$A$20:$A$49,0)),0)))</f>
        <v/>
      </c>
      <c r="AB841" s="94">
        <f>IF($A841="",0,IF(AE841="직접",IF(AF841="수금비",$P841,0),$P841*(1-AG841)*IFERROR(INDEX(계정대체기준!$E$20:$E$49,MATCH($N841,계정대체기준!$A$20:$A$49,0)),0)))</f>
        <v/>
      </c>
      <c r="AC841" s="9">
        <f>IF(AND($A841&lt;&gt;"",M841=설정!$C$20,Z841&gt;0),Z841+ROW()/1000000000,"")</f>
        <v/>
      </c>
      <c r="AD841" s="94">
        <f>IF($A841="",0,$P841*AG841)</f>
        <v/>
      </c>
      <c r="AE841" s="64">
        <f>IF($A841="","",IFERROR(INDEX(계정매핑!$E$5:$E$504,MATCH($F841&amp;"",계정매핑!$A$5:$A$504,0))&amp;"","공통비"))</f>
        <v/>
      </c>
      <c r="AF841" s="64">
        <f>IF($A841="","",IF(AE841="직접",IFERROR(INDEX(계정매핑!$F$5:$F$504,MATCH($F841&amp;"",계정매핑!$A$5:$A$504,0))&amp;"","비귀속"),""))</f>
        <v/>
      </c>
      <c r="AG841" s="96">
        <f>IF($A841="",0,IF(AND(AE841&lt;&gt;"직접",IFERROR(INDEX(계정매핑!$G$5:$G$504,MATCH($F841&amp;"",계정매핑!$A$5:$A$504,0))&amp;"","")="유지비",COUNTIF(계정대체기준!$A$6:$A$15,$N841)&gt;0),IFERROR(INDEX(계정대체기준!$E$6:$E$15,MATCH(VALUE($A841&amp;""),계정대체기준!$D$6:$D$15,0)),0),0))</f>
        <v/>
      </c>
      <c r="AH841" s="64">
        <f>IF($A841="","",IF(AD841=0,"",IF(OR(COUNTIF(계정대체기준!$A$77:$A$86,$N841)&gt;0,ISNUMBER(MATCH($X841,계정대체기준!$D$77:$D$86,0)),ISNUMBER(MATCH($F841,계정대체기준!$D$77:$D$86,0))),"Y","N")))</f>
        <v/>
      </c>
    </row>
    <row r="842">
      <c r="A842" s="92" t="n">
        <v>2025</v>
      </c>
      <c r="B842" s="92" t="n">
        <v>4</v>
      </c>
      <c r="C842" s="92" t="inlineStr">
        <is>
          <t>5100000838</t>
        </is>
      </c>
      <c r="D842" s="95" t="n">
        <v>45766</v>
      </c>
      <c r="E842" s="92" t="inlineStr">
        <is>
          <t>KR</t>
        </is>
      </c>
      <c r="F842" s="92" t="n">
        <v>62501000</v>
      </c>
      <c r="G842" s="92" t="n">
        <v>1601</v>
      </c>
      <c r="H842" s="93" t="n">
        <v>326000</v>
      </c>
      <c r="I842" s="92" t="inlineStr">
        <is>
          <t>4월 회의 다과 - (법인카드)</t>
        </is>
      </c>
      <c r="J842" s="92" t="inlineStr">
        <is>
          <t>V10010</t>
        </is>
      </c>
      <c r="K842" s="92" t="inlineStr">
        <is>
          <t>(법인카드)</t>
        </is>
      </c>
      <c r="M842" s="9">
        <f>IF($A842="","",VALUE($A842&amp;"")*12+VALUE($B842&amp;""))</f>
        <v/>
      </c>
      <c r="N842" s="64">
        <f>IF($A842="","",IFERROR(INDEX(부서매핑!$C$5:$C$504,MATCH($G842&amp;"",부서매핑!$A$5:$A$504,0)),"미매핑"))</f>
        <v/>
      </c>
      <c r="O842" s="9">
        <f>IF($A842="","",N842&amp;"|"&amp;$F842)</f>
        <v/>
      </c>
      <c r="P842" s="94">
        <f>IF($A842="",0,$H842*설정!$C$23)</f>
        <v/>
      </c>
      <c r="Q842" s="64">
        <f>IF($A842="","",IF(O842&lt;&gt;원인분석!$C$9,"",IF(AND(M842&gt;=원인분석!$C$10,M842&lt;=원인분석!$C$11),"당기",IF(AND(M842&gt;=원인분석!$C$12,M842&lt;=원인분석!$C$13),"비교",""))))</f>
        <v/>
      </c>
      <c r="R842" s="9">
        <f>IF(Q842="","",$K842&amp;"")</f>
        <v/>
      </c>
      <c r="S842" s="9">
        <f>IF(Q842="","",IF(MATCH(R842,$R$5:$R$100000,0)=ROW()-4,ROW(),""))</f>
        <v/>
      </c>
      <c r="T842" s="9">
        <f>IF(Q842="당기",ABS(P842)+ROW()/1000000000,"")</f>
        <v/>
      </c>
      <c r="U842" s="9">
        <f>IF(Q842="비교",ABS(P842)+ROW()/1000000000,"")</f>
        <v/>
      </c>
      <c r="V842" s="64">
        <f>IF($A842="","",IF(COUNTIF(변동분석!$E$7:$E$506,O842)&gt;0,"Y","N"))</f>
        <v/>
      </c>
      <c r="W842" s="64">
        <f>IF($A842="","",IFERROR(INDEX(계정매핑!$D$5:$D$504,MATCH($F842&amp;"",계정매핑!$A$5:$A$504,0)),"미매핑"))</f>
        <v/>
      </c>
      <c r="X842" s="9">
        <f>IF($A842="","",$F842&amp;"")</f>
        <v/>
      </c>
      <c r="Y842" s="94">
        <f>IF($A842="",0,IF(AE842="직접",IF(AF842="비귀속",$P842,0),$P842*(1-AG842)*IFERROR(INDEX(계정대체기준!$F$20:$F$49,MATCH($N842,계정대체기준!$A$20:$A$49,0)),1)))</f>
        <v/>
      </c>
      <c r="Z842" s="94">
        <f>IF($A842="",0,IF(AE842="직접",IF(AF842="신계약비",$P842,0),$P842*(1-AG842)*IFERROR(INDEX(계정대체기준!$C$20:$C$49,MATCH($N842,계정대체기준!$A$20:$A$49,0)),0)))</f>
        <v/>
      </c>
      <c r="AA842" s="94">
        <f>IF($A842="",0,IF(AE842="직접",IF(OR(AF842="유지비",AF842="손해조사비"),$P842,0),$P842*(1-AG842)*IFERROR(INDEX(계정대체기준!$D$20:$D$49,MATCH($N842,계정대체기준!$A$20:$A$49,0)),0)))</f>
        <v/>
      </c>
      <c r="AB842" s="94">
        <f>IF($A842="",0,IF(AE842="직접",IF(AF842="수금비",$P842,0),$P842*(1-AG842)*IFERROR(INDEX(계정대체기준!$E$20:$E$49,MATCH($N842,계정대체기준!$A$20:$A$49,0)),0)))</f>
        <v/>
      </c>
      <c r="AC842" s="9">
        <f>IF(AND($A842&lt;&gt;"",M842=설정!$C$20,Z842&gt;0),Z842+ROW()/1000000000,"")</f>
        <v/>
      </c>
      <c r="AD842" s="94">
        <f>IF($A842="",0,$P842*AG842)</f>
        <v/>
      </c>
      <c r="AE842" s="64">
        <f>IF($A842="","",IFERROR(INDEX(계정매핑!$E$5:$E$504,MATCH($F842&amp;"",계정매핑!$A$5:$A$504,0))&amp;"","공통비"))</f>
        <v/>
      </c>
      <c r="AF842" s="64">
        <f>IF($A842="","",IF(AE842="직접",IFERROR(INDEX(계정매핑!$F$5:$F$504,MATCH($F842&amp;"",계정매핑!$A$5:$A$504,0))&amp;"","비귀속"),""))</f>
        <v/>
      </c>
      <c r="AG842" s="96">
        <f>IF($A842="",0,IF(AND(AE842&lt;&gt;"직접",IFERROR(INDEX(계정매핑!$G$5:$G$504,MATCH($F842&amp;"",계정매핑!$A$5:$A$504,0))&amp;"","")="유지비",COUNTIF(계정대체기준!$A$6:$A$15,$N842)&gt;0),IFERROR(INDEX(계정대체기준!$E$6:$E$15,MATCH(VALUE($A842&amp;""),계정대체기준!$D$6:$D$15,0)),0),0))</f>
        <v/>
      </c>
      <c r="AH842" s="64">
        <f>IF($A842="","",IF(AD842=0,"",IF(OR(COUNTIF(계정대체기준!$A$77:$A$86,$N842)&gt;0,ISNUMBER(MATCH($X842,계정대체기준!$D$77:$D$86,0)),ISNUMBER(MATCH($F842,계정대체기준!$D$77:$D$86,0))),"Y","N")))</f>
        <v/>
      </c>
    </row>
    <row r="843">
      <c r="A843" s="92" t="n">
        <v>2025</v>
      </c>
      <c r="B843" s="92" t="n">
        <v>4</v>
      </c>
      <c r="C843" s="92" t="inlineStr">
        <is>
          <t>5100000839</t>
        </is>
      </c>
      <c r="D843" s="95" t="n">
        <v>45766</v>
      </c>
      <c r="E843" s="92" t="inlineStr">
        <is>
          <t>KR</t>
        </is>
      </c>
      <c r="F843" s="92" t="n">
        <v>62501000</v>
      </c>
      <c r="G843" s="92" t="n">
        <v>1701</v>
      </c>
      <c r="H843" s="93" t="n">
        <v>161000</v>
      </c>
      <c r="I843" s="92" t="inlineStr">
        <is>
          <t>4월 회의 다과 - (법인카드)</t>
        </is>
      </c>
      <c r="J843" s="92" t="inlineStr">
        <is>
          <t>V10010</t>
        </is>
      </c>
      <c r="K843" s="92" t="inlineStr">
        <is>
          <t>(법인카드)</t>
        </is>
      </c>
      <c r="M843" s="9">
        <f>IF($A843="","",VALUE($A843&amp;"")*12+VALUE($B843&amp;""))</f>
        <v/>
      </c>
      <c r="N843" s="64">
        <f>IF($A843="","",IFERROR(INDEX(부서매핑!$C$5:$C$504,MATCH($G843&amp;"",부서매핑!$A$5:$A$504,0)),"미매핑"))</f>
        <v/>
      </c>
      <c r="O843" s="9">
        <f>IF($A843="","",N843&amp;"|"&amp;$F843)</f>
        <v/>
      </c>
      <c r="P843" s="94">
        <f>IF($A843="",0,$H843*설정!$C$23)</f>
        <v/>
      </c>
      <c r="Q843" s="64">
        <f>IF($A843="","",IF(O843&lt;&gt;원인분석!$C$9,"",IF(AND(M843&gt;=원인분석!$C$10,M843&lt;=원인분석!$C$11),"당기",IF(AND(M843&gt;=원인분석!$C$12,M843&lt;=원인분석!$C$13),"비교",""))))</f>
        <v/>
      </c>
      <c r="R843" s="9">
        <f>IF(Q843="","",$K843&amp;"")</f>
        <v/>
      </c>
      <c r="S843" s="9">
        <f>IF(Q843="","",IF(MATCH(R843,$R$5:$R$100000,0)=ROW()-4,ROW(),""))</f>
        <v/>
      </c>
      <c r="T843" s="9">
        <f>IF(Q843="당기",ABS(P843)+ROW()/1000000000,"")</f>
        <v/>
      </c>
      <c r="U843" s="9">
        <f>IF(Q843="비교",ABS(P843)+ROW()/1000000000,"")</f>
        <v/>
      </c>
      <c r="V843" s="64">
        <f>IF($A843="","",IF(COUNTIF(변동분석!$E$7:$E$506,O843)&gt;0,"Y","N"))</f>
        <v/>
      </c>
      <c r="W843" s="64">
        <f>IF($A843="","",IFERROR(INDEX(계정매핑!$D$5:$D$504,MATCH($F843&amp;"",계정매핑!$A$5:$A$504,0)),"미매핑"))</f>
        <v/>
      </c>
      <c r="X843" s="9">
        <f>IF($A843="","",$F843&amp;"")</f>
        <v/>
      </c>
      <c r="Y843" s="94">
        <f>IF($A843="",0,IF(AE843="직접",IF(AF843="비귀속",$P843,0),$P843*(1-AG843)*IFERROR(INDEX(계정대체기준!$F$20:$F$49,MATCH($N843,계정대체기준!$A$20:$A$49,0)),1)))</f>
        <v/>
      </c>
      <c r="Z843" s="94">
        <f>IF($A843="",0,IF(AE843="직접",IF(AF843="신계약비",$P843,0),$P843*(1-AG843)*IFERROR(INDEX(계정대체기준!$C$20:$C$49,MATCH($N843,계정대체기준!$A$20:$A$49,0)),0)))</f>
        <v/>
      </c>
      <c r="AA843" s="94">
        <f>IF($A843="",0,IF(AE843="직접",IF(OR(AF843="유지비",AF843="손해조사비"),$P843,0),$P843*(1-AG843)*IFERROR(INDEX(계정대체기준!$D$20:$D$49,MATCH($N843,계정대체기준!$A$20:$A$49,0)),0)))</f>
        <v/>
      </c>
      <c r="AB843" s="94">
        <f>IF($A843="",0,IF(AE843="직접",IF(AF843="수금비",$P843,0),$P843*(1-AG843)*IFERROR(INDEX(계정대체기준!$E$20:$E$49,MATCH($N843,계정대체기준!$A$20:$A$49,0)),0)))</f>
        <v/>
      </c>
      <c r="AC843" s="9">
        <f>IF(AND($A843&lt;&gt;"",M843=설정!$C$20,Z843&gt;0),Z843+ROW()/1000000000,"")</f>
        <v/>
      </c>
      <c r="AD843" s="94">
        <f>IF($A843="",0,$P843*AG843)</f>
        <v/>
      </c>
      <c r="AE843" s="64">
        <f>IF($A843="","",IFERROR(INDEX(계정매핑!$E$5:$E$504,MATCH($F843&amp;"",계정매핑!$A$5:$A$504,0))&amp;"","공통비"))</f>
        <v/>
      </c>
      <c r="AF843" s="64">
        <f>IF($A843="","",IF(AE843="직접",IFERROR(INDEX(계정매핑!$F$5:$F$504,MATCH($F843&amp;"",계정매핑!$A$5:$A$504,0))&amp;"","비귀속"),""))</f>
        <v/>
      </c>
      <c r="AG843" s="96">
        <f>IF($A843="",0,IF(AND(AE843&lt;&gt;"직접",IFERROR(INDEX(계정매핑!$G$5:$G$504,MATCH($F843&amp;"",계정매핑!$A$5:$A$504,0))&amp;"","")="유지비",COUNTIF(계정대체기준!$A$6:$A$15,$N843)&gt;0),IFERROR(INDEX(계정대체기준!$E$6:$E$15,MATCH(VALUE($A843&amp;""),계정대체기준!$D$6:$D$15,0)),0),0))</f>
        <v/>
      </c>
      <c r="AH843" s="64">
        <f>IF($A843="","",IF(AD843=0,"",IF(OR(COUNTIF(계정대체기준!$A$77:$A$86,$N843)&gt;0,ISNUMBER(MATCH($X843,계정대체기준!$D$77:$D$86,0)),ISNUMBER(MATCH($F843,계정대체기준!$D$77:$D$86,0))),"Y","N")))</f>
        <v/>
      </c>
    </row>
    <row r="844">
      <c r="A844" s="92" t="n">
        <v>2025</v>
      </c>
      <c r="B844" s="92" t="n">
        <v>4</v>
      </c>
      <c r="C844" s="92" t="inlineStr">
        <is>
          <t>5100000840</t>
        </is>
      </c>
      <c r="D844" s="95" t="n">
        <v>45766</v>
      </c>
      <c r="E844" s="92" t="inlineStr">
        <is>
          <t>KR</t>
        </is>
      </c>
      <c r="F844" s="92" t="n">
        <v>62901000</v>
      </c>
      <c r="G844" s="92" t="n">
        <v>1101</v>
      </c>
      <c r="H844" s="93" t="n">
        <v>4471000</v>
      </c>
      <c r="I844" s="92" t="inlineStr">
        <is>
          <t>4월 자문 수수료 - K회계법인</t>
        </is>
      </c>
      <c r="J844" s="92" t="inlineStr">
        <is>
          <t>V10011</t>
        </is>
      </c>
      <c r="K844" s="92" t="inlineStr">
        <is>
          <t>K회계법인</t>
        </is>
      </c>
      <c r="M844" s="9">
        <f>IF($A844="","",VALUE($A844&amp;"")*12+VALUE($B844&amp;""))</f>
        <v/>
      </c>
      <c r="N844" s="64">
        <f>IF($A844="","",IFERROR(INDEX(부서매핑!$C$5:$C$504,MATCH($G844&amp;"",부서매핑!$A$5:$A$504,0)),"미매핑"))</f>
        <v/>
      </c>
      <c r="O844" s="9">
        <f>IF($A844="","",N844&amp;"|"&amp;$F844)</f>
        <v/>
      </c>
      <c r="P844" s="94">
        <f>IF($A844="",0,$H844*설정!$C$23)</f>
        <v/>
      </c>
      <c r="Q844" s="64">
        <f>IF($A844="","",IF(O844&lt;&gt;원인분석!$C$9,"",IF(AND(M844&gt;=원인분석!$C$10,M844&lt;=원인분석!$C$11),"당기",IF(AND(M844&gt;=원인분석!$C$12,M844&lt;=원인분석!$C$13),"비교",""))))</f>
        <v/>
      </c>
      <c r="R844" s="9">
        <f>IF(Q844="","",$K844&amp;"")</f>
        <v/>
      </c>
      <c r="S844" s="9">
        <f>IF(Q844="","",IF(MATCH(R844,$R$5:$R$100000,0)=ROW()-4,ROW(),""))</f>
        <v/>
      </c>
      <c r="T844" s="9">
        <f>IF(Q844="당기",ABS(P844)+ROW()/1000000000,"")</f>
        <v/>
      </c>
      <c r="U844" s="9">
        <f>IF(Q844="비교",ABS(P844)+ROW()/1000000000,"")</f>
        <v/>
      </c>
      <c r="V844" s="64">
        <f>IF($A844="","",IF(COUNTIF(변동분석!$E$7:$E$506,O844)&gt;0,"Y","N"))</f>
        <v/>
      </c>
      <c r="W844" s="64">
        <f>IF($A844="","",IFERROR(INDEX(계정매핑!$D$5:$D$504,MATCH($F844&amp;"",계정매핑!$A$5:$A$504,0)),"미매핑"))</f>
        <v/>
      </c>
      <c r="X844" s="9">
        <f>IF($A844="","",$F844&amp;"")</f>
        <v/>
      </c>
      <c r="Y844" s="94">
        <f>IF($A844="",0,IF(AE844="직접",IF(AF844="비귀속",$P844,0),$P844*(1-AG844)*IFERROR(INDEX(계정대체기준!$F$20:$F$49,MATCH($N844,계정대체기준!$A$20:$A$49,0)),1)))</f>
        <v/>
      </c>
      <c r="Z844" s="94">
        <f>IF($A844="",0,IF(AE844="직접",IF(AF844="신계약비",$P844,0),$P844*(1-AG844)*IFERROR(INDEX(계정대체기준!$C$20:$C$49,MATCH($N844,계정대체기준!$A$20:$A$49,0)),0)))</f>
        <v/>
      </c>
      <c r="AA844" s="94">
        <f>IF($A844="",0,IF(AE844="직접",IF(OR(AF844="유지비",AF844="손해조사비"),$P844,0),$P844*(1-AG844)*IFERROR(INDEX(계정대체기준!$D$20:$D$49,MATCH($N844,계정대체기준!$A$20:$A$49,0)),0)))</f>
        <v/>
      </c>
      <c r="AB844" s="94">
        <f>IF($A844="",0,IF(AE844="직접",IF(AF844="수금비",$P844,0),$P844*(1-AG844)*IFERROR(INDEX(계정대체기준!$E$20:$E$49,MATCH($N844,계정대체기준!$A$20:$A$49,0)),0)))</f>
        <v/>
      </c>
      <c r="AC844" s="9">
        <f>IF(AND($A844&lt;&gt;"",M844=설정!$C$20,Z844&gt;0),Z844+ROW()/1000000000,"")</f>
        <v/>
      </c>
      <c r="AD844" s="94">
        <f>IF($A844="",0,$P844*AG844)</f>
        <v/>
      </c>
      <c r="AE844" s="64">
        <f>IF($A844="","",IFERROR(INDEX(계정매핑!$E$5:$E$504,MATCH($F844&amp;"",계정매핑!$A$5:$A$504,0))&amp;"","공통비"))</f>
        <v/>
      </c>
      <c r="AF844" s="64">
        <f>IF($A844="","",IF(AE844="직접",IFERROR(INDEX(계정매핑!$F$5:$F$504,MATCH($F844&amp;"",계정매핑!$A$5:$A$504,0))&amp;"","비귀속"),""))</f>
        <v/>
      </c>
      <c r="AG844" s="96">
        <f>IF($A844="",0,IF(AND(AE844&lt;&gt;"직접",IFERROR(INDEX(계정매핑!$G$5:$G$504,MATCH($F844&amp;"",계정매핑!$A$5:$A$504,0))&amp;"","")="유지비",COUNTIF(계정대체기준!$A$6:$A$15,$N844)&gt;0),IFERROR(INDEX(계정대체기준!$E$6:$E$15,MATCH(VALUE($A844&amp;""),계정대체기준!$D$6:$D$15,0)),0),0))</f>
        <v/>
      </c>
      <c r="AH844" s="64">
        <f>IF($A844="","",IF(AD844=0,"",IF(OR(COUNTIF(계정대체기준!$A$77:$A$86,$N844)&gt;0,ISNUMBER(MATCH($X844,계정대체기준!$D$77:$D$86,0)),ISNUMBER(MATCH($F844,계정대체기준!$D$77:$D$86,0))),"Y","N")))</f>
        <v/>
      </c>
    </row>
    <row r="845">
      <c r="A845" s="92" t="n">
        <v>2025</v>
      </c>
      <c r="B845" s="92" t="n">
        <v>4</v>
      </c>
      <c r="C845" s="92" t="inlineStr">
        <is>
          <t>5100000841</t>
        </is>
      </c>
      <c r="D845" s="95" t="n">
        <v>45766</v>
      </c>
      <c r="E845" s="92" t="inlineStr">
        <is>
          <t>KR</t>
        </is>
      </c>
      <c r="F845" s="92" t="n">
        <v>62901000</v>
      </c>
      <c r="G845" s="92" t="n">
        <v>1401</v>
      </c>
      <c r="H845" s="93" t="n">
        <v>7440000</v>
      </c>
      <c r="I845" s="92" t="inlineStr">
        <is>
          <t>4월 자문 수수료 - W컨설팅</t>
        </is>
      </c>
      <c r="J845" s="92" t="inlineStr">
        <is>
          <t>V10006</t>
        </is>
      </c>
      <c r="K845" s="92" t="inlineStr">
        <is>
          <t>W컨설팅</t>
        </is>
      </c>
      <c r="M845" s="9">
        <f>IF($A845="","",VALUE($A845&amp;"")*12+VALUE($B845&amp;""))</f>
        <v/>
      </c>
      <c r="N845" s="64">
        <f>IF($A845="","",IFERROR(INDEX(부서매핑!$C$5:$C$504,MATCH($G845&amp;"",부서매핑!$A$5:$A$504,0)),"미매핑"))</f>
        <v/>
      </c>
      <c r="O845" s="9">
        <f>IF($A845="","",N845&amp;"|"&amp;$F845)</f>
        <v/>
      </c>
      <c r="P845" s="94">
        <f>IF($A845="",0,$H845*설정!$C$23)</f>
        <v/>
      </c>
      <c r="Q845" s="64">
        <f>IF($A845="","",IF(O845&lt;&gt;원인분석!$C$9,"",IF(AND(M845&gt;=원인분석!$C$10,M845&lt;=원인분석!$C$11),"당기",IF(AND(M845&gt;=원인분석!$C$12,M845&lt;=원인분석!$C$13),"비교",""))))</f>
        <v/>
      </c>
      <c r="R845" s="9">
        <f>IF(Q845="","",$K845&amp;"")</f>
        <v/>
      </c>
      <c r="S845" s="9">
        <f>IF(Q845="","",IF(MATCH(R845,$R$5:$R$100000,0)=ROW()-4,ROW(),""))</f>
        <v/>
      </c>
      <c r="T845" s="9">
        <f>IF(Q845="당기",ABS(P845)+ROW()/1000000000,"")</f>
        <v/>
      </c>
      <c r="U845" s="9">
        <f>IF(Q845="비교",ABS(P845)+ROW()/1000000000,"")</f>
        <v/>
      </c>
      <c r="V845" s="64">
        <f>IF($A845="","",IF(COUNTIF(변동분석!$E$7:$E$506,O845)&gt;0,"Y","N"))</f>
        <v/>
      </c>
      <c r="W845" s="64">
        <f>IF($A845="","",IFERROR(INDEX(계정매핑!$D$5:$D$504,MATCH($F845&amp;"",계정매핑!$A$5:$A$504,0)),"미매핑"))</f>
        <v/>
      </c>
      <c r="X845" s="9">
        <f>IF($A845="","",$F845&amp;"")</f>
        <v/>
      </c>
      <c r="Y845" s="94">
        <f>IF($A845="",0,IF(AE845="직접",IF(AF845="비귀속",$P845,0),$P845*(1-AG845)*IFERROR(INDEX(계정대체기준!$F$20:$F$49,MATCH($N845,계정대체기준!$A$20:$A$49,0)),1)))</f>
        <v/>
      </c>
      <c r="Z845" s="94">
        <f>IF($A845="",0,IF(AE845="직접",IF(AF845="신계약비",$P845,0),$P845*(1-AG845)*IFERROR(INDEX(계정대체기준!$C$20:$C$49,MATCH($N845,계정대체기준!$A$20:$A$49,0)),0)))</f>
        <v/>
      </c>
      <c r="AA845" s="94">
        <f>IF($A845="",0,IF(AE845="직접",IF(OR(AF845="유지비",AF845="손해조사비"),$P845,0),$P845*(1-AG845)*IFERROR(INDEX(계정대체기준!$D$20:$D$49,MATCH($N845,계정대체기준!$A$20:$A$49,0)),0)))</f>
        <v/>
      </c>
      <c r="AB845" s="94">
        <f>IF($A845="",0,IF(AE845="직접",IF(AF845="수금비",$P845,0),$P845*(1-AG845)*IFERROR(INDEX(계정대체기준!$E$20:$E$49,MATCH($N845,계정대체기준!$A$20:$A$49,0)),0)))</f>
        <v/>
      </c>
      <c r="AC845" s="9">
        <f>IF(AND($A845&lt;&gt;"",M845=설정!$C$20,Z845&gt;0),Z845+ROW()/1000000000,"")</f>
        <v/>
      </c>
      <c r="AD845" s="94">
        <f>IF($A845="",0,$P845*AG845)</f>
        <v/>
      </c>
      <c r="AE845" s="64">
        <f>IF($A845="","",IFERROR(INDEX(계정매핑!$E$5:$E$504,MATCH($F845&amp;"",계정매핑!$A$5:$A$504,0))&amp;"","공통비"))</f>
        <v/>
      </c>
      <c r="AF845" s="64">
        <f>IF($A845="","",IF(AE845="직접",IFERROR(INDEX(계정매핑!$F$5:$F$504,MATCH($F845&amp;"",계정매핑!$A$5:$A$504,0))&amp;"","비귀속"),""))</f>
        <v/>
      </c>
      <c r="AG845" s="96">
        <f>IF($A845="",0,IF(AND(AE845&lt;&gt;"직접",IFERROR(INDEX(계정매핑!$G$5:$G$504,MATCH($F845&amp;"",계정매핑!$A$5:$A$504,0))&amp;"","")="유지비",COUNTIF(계정대체기준!$A$6:$A$15,$N845)&gt;0),IFERROR(INDEX(계정대체기준!$E$6:$E$15,MATCH(VALUE($A845&amp;""),계정대체기준!$D$6:$D$15,0)),0),0))</f>
        <v/>
      </c>
      <c r="AH845" s="64">
        <f>IF($A845="","",IF(AD845=0,"",IF(OR(COUNTIF(계정대체기준!$A$77:$A$86,$N845)&gt;0,ISNUMBER(MATCH($X845,계정대체기준!$D$77:$D$86,0)),ISNUMBER(MATCH($F845,계정대체기준!$D$77:$D$86,0))),"Y","N")))</f>
        <v/>
      </c>
    </row>
    <row r="846">
      <c r="A846" s="92" t="n">
        <v>2025</v>
      </c>
      <c r="B846" s="92" t="n">
        <v>4</v>
      </c>
      <c r="C846" s="92" t="inlineStr">
        <is>
          <t>5100000842</t>
        </is>
      </c>
      <c r="D846" s="95" t="n">
        <v>45766</v>
      </c>
      <c r="E846" s="92" t="inlineStr">
        <is>
          <t>KR</t>
        </is>
      </c>
      <c r="F846" s="92" t="n">
        <v>62902000</v>
      </c>
      <c r="G846" s="92" t="n">
        <v>1201</v>
      </c>
      <c r="H846" s="93" t="n">
        <v>2267000</v>
      </c>
      <c r="I846" s="92" t="inlineStr">
        <is>
          <t>4월 업무 위탁 수수료 - J콜센터</t>
        </is>
      </c>
      <c r="J846" s="92" t="inlineStr">
        <is>
          <t>V10016</t>
        </is>
      </c>
      <c r="K846" s="92" t="inlineStr">
        <is>
          <t>J콜센터</t>
        </is>
      </c>
      <c r="M846" s="9">
        <f>IF($A846="","",VALUE($A846&amp;"")*12+VALUE($B846&amp;""))</f>
        <v/>
      </c>
      <c r="N846" s="64">
        <f>IF($A846="","",IFERROR(INDEX(부서매핑!$C$5:$C$504,MATCH($G846&amp;"",부서매핑!$A$5:$A$504,0)),"미매핑"))</f>
        <v/>
      </c>
      <c r="O846" s="9">
        <f>IF($A846="","",N846&amp;"|"&amp;$F846)</f>
        <v/>
      </c>
      <c r="P846" s="94">
        <f>IF($A846="",0,$H846*설정!$C$23)</f>
        <v/>
      </c>
      <c r="Q846" s="64">
        <f>IF($A846="","",IF(O846&lt;&gt;원인분석!$C$9,"",IF(AND(M846&gt;=원인분석!$C$10,M846&lt;=원인분석!$C$11),"당기",IF(AND(M846&gt;=원인분석!$C$12,M846&lt;=원인분석!$C$13),"비교",""))))</f>
        <v/>
      </c>
      <c r="R846" s="9">
        <f>IF(Q846="","",$K846&amp;"")</f>
        <v/>
      </c>
      <c r="S846" s="9">
        <f>IF(Q846="","",IF(MATCH(R846,$R$5:$R$100000,0)=ROW()-4,ROW(),""))</f>
        <v/>
      </c>
      <c r="T846" s="9">
        <f>IF(Q846="당기",ABS(P846)+ROW()/1000000000,"")</f>
        <v/>
      </c>
      <c r="U846" s="9">
        <f>IF(Q846="비교",ABS(P846)+ROW()/1000000000,"")</f>
        <v/>
      </c>
      <c r="V846" s="64">
        <f>IF($A846="","",IF(COUNTIF(변동분석!$E$7:$E$506,O846)&gt;0,"Y","N"))</f>
        <v/>
      </c>
      <c r="W846" s="64">
        <f>IF($A846="","",IFERROR(INDEX(계정매핑!$D$5:$D$504,MATCH($F846&amp;"",계정매핑!$A$5:$A$504,0)),"미매핑"))</f>
        <v/>
      </c>
      <c r="X846" s="9">
        <f>IF($A846="","",$F846&amp;"")</f>
        <v/>
      </c>
      <c r="Y846" s="94">
        <f>IF($A846="",0,IF(AE846="직접",IF(AF846="비귀속",$P846,0),$P846*(1-AG846)*IFERROR(INDEX(계정대체기준!$F$20:$F$49,MATCH($N846,계정대체기준!$A$20:$A$49,0)),1)))</f>
        <v/>
      </c>
      <c r="Z846" s="94">
        <f>IF($A846="",0,IF(AE846="직접",IF(AF846="신계약비",$P846,0),$P846*(1-AG846)*IFERROR(INDEX(계정대체기준!$C$20:$C$49,MATCH($N846,계정대체기준!$A$20:$A$49,0)),0)))</f>
        <v/>
      </c>
      <c r="AA846" s="94">
        <f>IF($A846="",0,IF(AE846="직접",IF(OR(AF846="유지비",AF846="손해조사비"),$P846,0),$P846*(1-AG846)*IFERROR(INDEX(계정대체기준!$D$20:$D$49,MATCH($N846,계정대체기준!$A$20:$A$49,0)),0)))</f>
        <v/>
      </c>
      <c r="AB846" s="94">
        <f>IF($A846="",0,IF(AE846="직접",IF(AF846="수금비",$P846,0),$P846*(1-AG846)*IFERROR(INDEX(계정대체기준!$E$20:$E$49,MATCH($N846,계정대체기준!$A$20:$A$49,0)),0)))</f>
        <v/>
      </c>
      <c r="AC846" s="9">
        <f>IF(AND($A846&lt;&gt;"",M846=설정!$C$20,Z846&gt;0),Z846+ROW()/1000000000,"")</f>
        <v/>
      </c>
      <c r="AD846" s="94">
        <f>IF($A846="",0,$P846*AG846)</f>
        <v/>
      </c>
      <c r="AE846" s="64">
        <f>IF($A846="","",IFERROR(INDEX(계정매핑!$E$5:$E$504,MATCH($F846&amp;"",계정매핑!$A$5:$A$504,0))&amp;"","공통비"))</f>
        <v/>
      </c>
      <c r="AF846" s="64">
        <f>IF($A846="","",IF(AE846="직접",IFERROR(INDEX(계정매핑!$F$5:$F$504,MATCH($F846&amp;"",계정매핑!$A$5:$A$504,0))&amp;"","비귀속"),""))</f>
        <v/>
      </c>
      <c r="AG846" s="96">
        <f>IF($A846="",0,IF(AND(AE846&lt;&gt;"직접",IFERROR(INDEX(계정매핑!$G$5:$G$504,MATCH($F846&amp;"",계정매핑!$A$5:$A$504,0))&amp;"","")="유지비",COUNTIF(계정대체기준!$A$6:$A$15,$N846)&gt;0),IFERROR(INDEX(계정대체기준!$E$6:$E$15,MATCH(VALUE($A846&amp;""),계정대체기준!$D$6:$D$15,0)),0),0))</f>
        <v/>
      </c>
      <c r="AH846" s="64">
        <f>IF($A846="","",IF(AD846=0,"",IF(OR(COUNTIF(계정대체기준!$A$77:$A$86,$N846)&gt;0,ISNUMBER(MATCH($X846,계정대체기준!$D$77:$D$86,0)),ISNUMBER(MATCH($F846,계정대체기준!$D$77:$D$86,0))),"Y","N")))</f>
        <v/>
      </c>
    </row>
    <row r="847">
      <c r="A847" s="92" t="n">
        <v>2025</v>
      </c>
      <c r="B847" s="92" t="n">
        <v>4</v>
      </c>
      <c r="C847" s="92" t="inlineStr">
        <is>
          <t>5100000843</t>
        </is>
      </c>
      <c r="D847" s="95" t="n">
        <v>45766</v>
      </c>
      <c r="E847" s="92" t="inlineStr">
        <is>
          <t>KR</t>
        </is>
      </c>
      <c r="F847" s="92" t="n">
        <v>62902000</v>
      </c>
      <c r="G847" s="92" t="n">
        <v>1951</v>
      </c>
      <c r="H847" s="93" t="n">
        <v>2313000</v>
      </c>
      <c r="I847" s="92" t="inlineStr">
        <is>
          <t>4월 업무 위탁 수수료 - J콜센터</t>
        </is>
      </c>
      <c r="J847" s="92" t="inlineStr">
        <is>
          <t>V10016</t>
        </is>
      </c>
      <c r="K847" s="92" t="inlineStr">
        <is>
          <t>J콜센터</t>
        </is>
      </c>
      <c r="M847" s="9">
        <f>IF($A847="","",VALUE($A847&amp;"")*12+VALUE($B847&amp;""))</f>
        <v/>
      </c>
      <c r="N847" s="64">
        <f>IF($A847="","",IFERROR(INDEX(부서매핑!$C$5:$C$504,MATCH($G847&amp;"",부서매핑!$A$5:$A$504,0)),"미매핑"))</f>
        <v/>
      </c>
      <c r="O847" s="9">
        <f>IF($A847="","",N847&amp;"|"&amp;$F847)</f>
        <v/>
      </c>
      <c r="P847" s="94">
        <f>IF($A847="",0,$H847*설정!$C$23)</f>
        <v/>
      </c>
      <c r="Q847" s="64">
        <f>IF($A847="","",IF(O847&lt;&gt;원인분석!$C$9,"",IF(AND(M847&gt;=원인분석!$C$10,M847&lt;=원인분석!$C$11),"당기",IF(AND(M847&gt;=원인분석!$C$12,M847&lt;=원인분석!$C$13),"비교",""))))</f>
        <v/>
      </c>
      <c r="R847" s="9">
        <f>IF(Q847="","",$K847&amp;"")</f>
        <v/>
      </c>
      <c r="S847" s="9">
        <f>IF(Q847="","",IF(MATCH(R847,$R$5:$R$100000,0)=ROW()-4,ROW(),""))</f>
        <v/>
      </c>
      <c r="T847" s="9">
        <f>IF(Q847="당기",ABS(P847)+ROW()/1000000000,"")</f>
        <v/>
      </c>
      <c r="U847" s="9">
        <f>IF(Q847="비교",ABS(P847)+ROW()/1000000000,"")</f>
        <v/>
      </c>
      <c r="V847" s="64">
        <f>IF($A847="","",IF(COUNTIF(변동분석!$E$7:$E$506,O847)&gt;0,"Y","N"))</f>
        <v/>
      </c>
      <c r="W847" s="64">
        <f>IF($A847="","",IFERROR(INDEX(계정매핑!$D$5:$D$504,MATCH($F847&amp;"",계정매핑!$A$5:$A$504,0)),"미매핑"))</f>
        <v/>
      </c>
      <c r="X847" s="9">
        <f>IF($A847="","",$F847&amp;"")</f>
        <v/>
      </c>
      <c r="Y847" s="94">
        <f>IF($A847="",0,IF(AE847="직접",IF(AF847="비귀속",$P847,0),$P847*(1-AG847)*IFERROR(INDEX(계정대체기준!$F$20:$F$49,MATCH($N847,계정대체기준!$A$20:$A$49,0)),1)))</f>
        <v/>
      </c>
      <c r="Z847" s="94">
        <f>IF($A847="",0,IF(AE847="직접",IF(AF847="신계약비",$P847,0),$P847*(1-AG847)*IFERROR(INDEX(계정대체기준!$C$20:$C$49,MATCH($N847,계정대체기준!$A$20:$A$49,0)),0)))</f>
        <v/>
      </c>
      <c r="AA847" s="94">
        <f>IF($A847="",0,IF(AE847="직접",IF(OR(AF847="유지비",AF847="손해조사비"),$P847,0),$P847*(1-AG847)*IFERROR(INDEX(계정대체기준!$D$20:$D$49,MATCH($N847,계정대체기준!$A$20:$A$49,0)),0)))</f>
        <v/>
      </c>
      <c r="AB847" s="94">
        <f>IF($A847="",0,IF(AE847="직접",IF(AF847="수금비",$P847,0),$P847*(1-AG847)*IFERROR(INDEX(계정대체기준!$E$20:$E$49,MATCH($N847,계정대체기준!$A$20:$A$49,0)),0)))</f>
        <v/>
      </c>
      <c r="AC847" s="9">
        <f>IF(AND($A847&lt;&gt;"",M847=설정!$C$20,Z847&gt;0),Z847+ROW()/1000000000,"")</f>
        <v/>
      </c>
      <c r="AD847" s="94">
        <f>IF($A847="",0,$P847*AG847)</f>
        <v/>
      </c>
      <c r="AE847" s="64">
        <f>IF($A847="","",IFERROR(INDEX(계정매핑!$E$5:$E$504,MATCH($F847&amp;"",계정매핑!$A$5:$A$504,0))&amp;"","공통비"))</f>
        <v/>
      </c>
      <c r="AF847" s="64">
        <f>IF($A847="","",IF(AE847="직접",IFERROR(INDEX(계정매핑!$F$5:$F$504,MATCH($F847&amp;"",계정매핑!$A$5:$A$504,0))&amp;"","비귀속"),""))</f>
        <v/>
      </c>
      <c r="AG847" s="96">
        <f>IF($A847="",0,IF(AND(AE847&lt;&gt;"직접",IFERROR(INDEX(계정매핑!$G$5:$G$504,MATCH($F847&amp;"",계정매핑!$A$5:$A$504,0))&amp;"","")="유지비",COUNTIF(계정대체기준!$A$6:$A$15,$N847)&gt;0),IFERROR(INDEX(계정대체기준!$E$6:$E$15,MATCH(VALUE($A847&amp;""),계정대체기준!$D$6:$D$15,0)),0),0))</f>
        <v/>
      </c>
      <c r="AH847" s="64">
        <f>IF($A847="","",IF(AD847=0,"",IF(OR(COUNTIF(계정대체기준!$A$77:$A$86,$N847)&gt;0,ISNUMBER(MATCH($X847,계정대체기준!$D$77:$D$86,0)),ISNUMBER(MATCH($F847,계정대체기준!$D$77:$D$86,0))),"Y","N")))</f>
        <v/>
      </c>
    </row>
    <row r="848">
      <c r="A848" s="92" t="n">
        <v>2025</v>
      </c>
      <c r="B848" s="92" t="n">
        <v>4</v>
      </c>
      <c r="C848" s="92" t="inlineStr">
        <is>
          <t>5100000844</t>
        </is>
      </c>
      <c r="D848" s="95" t="n">
        <v>45767</v>
      </c>
      <c r="E848" s="92" t="inlineStr">
        <is>
          <t>KR</t>
        </is>
      </c>
      <c r="F848" s="92" t="n">
        <v>62102000</v>
      </c>
      <c r="G848" s="92" t="n">
        <v>1601</v>
      </c>
      <c r="H848" s="93" t="n">
        <v>264000</v>
      </c>
      <c r="I848" s="92" t="inlineStr">
        <is>
          <t>4월 해외출장 - N호텔</t>
        </is>
      </c>
      <c r="J848" s="92" t="inlineStr">
        <is>
          <t>V10009</t>
        </is>
      </c>
      <c r="K848" s="92" t="inlineStr">
        <is>
          <t>N호텔</t>
        </is>
      </c>
      <c r="M848" s="9">
        <f>IF($A848="","",VALUE($A848&amp;"")*12+VALUE($B848&amp;""))</f>
        <v/>
      </c>
      <c r="N848" s="64">
        <f>IF($A848="","",IFERROR(INDEX(부서매핑!$C$5:$C$504,MATCH($G848&amp;"",부서매핑!$A$5:$A$504,0)),"미매핑"))</f>
        <v/>
      </c>
      <c r="O848" s="9">
        <f>IF($A848="","",N848&amp;"|"&amp;$F848)</f>
        <v/>
      </c>
      <c r="P848" s="94">
        <f>IF($A848="",0,$H848*설정!$C$23)</f>
        <v/>
      </c>
      <c r="Q848" s="64">
        <f>IF($A848="","",IF(O848&lt;&gt;원인분석!$C$9,"",IF(AND(M848&gt;=원인분석!$C$10,M848&lt;=원인분석!$C$11),"당기",IF(AND(M848&gt;=원인분석!$C$12,M848&lt;=원인분석!$C$13),"비교",""))))</f>
        <v/>
      </c>
      <c r="R848" s="9">
        <f>IF(Q848="","",$K848&amp;"")</f>
        <v/>
      </c>
      <c r="S848" s="9">
        <f>IF(Q848="","",IF(MATCH(R848,$R$5:$R$100000,0)=ROW()-4,ROW(),""))</f>
        <v/>
      </c>
      <c r="T848" s="9">
        <f>IF(Q848="당기",ABS(P848)+ROW()/1000000000,"")</f>
        <v/>
      </c>
      <c r="U848" s="9">
        <f>IF(Q848="비교",ABS(P848)+ROW()/1000000000,"")</f>
        <v/>
      </c>
      <c r="V848" s="64">
        <f>IF($A848="","",IF(COUNTIF(변동분석!$E$7:$E$506,O848)&gt;0,"Y","N"))</f>
        <v/>
      </c>
      <c r="W848" s="64">
        <f>IF($A848="","",IFERROR(INDEX(계정매핑!$D$5:$D$504,MATCH($F848&amp;"",계정매핑!$A$5:$A$504,0)),"미매핑"))</f>
        <v/>
      </c>
      <c r="X848" s="9">
        <f>IF($A848="","",$F848&amp;"")</f>
        <v/>
      </c>
      <c r="Y848" s="94">
        <f>IF($A848="",0,IF(AE848="직접",IF(AF848="비귀속",$P848,0),$P848*(1-AG848)*IFERROR(INDEX(계정대체기준!$F$20:$F$49,MATCH($N848,계정대체기준!$A$20:$A$49,0)),1)))</f>
        <v/>
      </c>
      <c r="Z848" s="94">
        <f>IF($A848="",0,IF(AE848="직접",IF(AF848="신계약비",$P848,0),$P848*(1-AG848)*IFERROR(INDEX(계정대체기준!$C$20:$C$49,MATCH($N848,계정대체기준!$A$20:$A$49,0)),0)))</f>
        <v/>
      </c>
      <c r="AA848" s="94">
        <f>IF($A848="",0,IF(AE848="직접",IF(OR(AF848="유지비",AF848="손해조사비"),$P848,0),$P848*(1-AG848)*IFERROR(INDEX(계정대체기준!$D$20:$D$49,MATCH($N848,계정대체기준!$A$20:$A$49,0)),0)))</f>
        <v/>
      </c>
      <c r="AB848" s="94">
        <f>IF($A848="",0,IF(AE848="직접",IF(AF848="수금비",$P848,0),$P848*(1-AG848)*IFERROR(INDEX(계정대체기준!$E$20:$E$49,MATCH($N848,계정대체기준!$A$20:$A$49,0)),0)))</f>
        <v/>
      </c>
      <c r="AC848" s="9">
        <f>IF(AND($A848&lt;&gt;"",M848=설정!$C$20,Z848&gt;0),Z848+ROW()/1000000000,"")</f>
        <v/>
      </c>
      <c r="AD848" s="94">
        <f>IF($A848="",0,$P848*AG848)</f>
        <v/>
      </c>
      <c r="AE848" s="64">
        <f>IF($A848="","",IFERROR(INDEX(계정매핑!$E$5:$E$504,MATCH($F848&amp;"",계정매핑!$A$5:$A$504,0))&amp;"","공통비"))</f>
        <v/>
      </c>
      <c r="AF848" s="64">
        <f>IF($A848="","",IF(AE848="직접",IFERROR(INDEX(계정매핑!$F$5:$F$504,MATCH($F848&amp;"",계정매핑!$A$5:$A$504,0))&amp;"","비귀속"),""))</f>
        <v/>
      </c>
      <c r="AG848" s="96">
        <f>IF($A848="",0,IF(AND(AE848&lt;&gt;"직접",IFERROR(INDEX(계정매핑!$G$5:$G$504,MATCH($F848&amp;"",계정매핑!$A$5:$A$504,0))&amp;"","")="유지비",COUNTIF(계정대체기준!$A$6:$A$15,$N848)&gt;0),IFERROR(INDEX(계정대체기준!$E$6:$E$15,MATCH(VALUE($A848&amp;""),계정대체기준!$D$6:$D$15,0)),0),0))</f>
        <v/>
      </c>
      <c r="AH848" s="64">
        <f>IF($A848="","",IF(AD848=0,"",IF(OR(COUNTIF(계정대체기준!$A$77:$A$86,$N848)&gt;0,ISNUMBER(MATCH($X848,계정대체기준!$D$77:$D$86,0)),ISNUMBER(MATCH($F848,계정대체기준!$D$77:$D$86,0))),"Y","N")))</f>
        <v/>
      </c>
    </row>
    <row r="849">
      <c r="A849" s="92" t="n">
        <v>2025</v>
      </c>
      <c r="B849" s="92" t="n">
        <v>4</v>
      </c>
      <c r="C849" s="92" t="inlineStr">
        <is>
          <t>5100000845</t>
        </is>
      </c>
      <c r="D849" s="95" t="n">
        <v>45767</v>
      </c>
      <c r="E849" s="92" t="inlineStr">
        <is>
          <t>KR</t>
        </is>
      </c>
      <c r="F849" s="92" t="n">
        <v>62102000</v>
      </c>
      <c r="G849" s="92" t="n">
        <v>1701</v>
      </c>
      <c r="H849" s="93" t="n">
        <v>41000</v>
      </c>
      <c r="I849" s="92" t="inlineStr">
        <is>
          <t>4월 해외출장 - N호텔</t>
        </is>
      </c>
      <c r="J849" s="92" t="inlineStr">
        <is>
          <t>V10009</t>
        </is>
      </c>
      <c r="K849" s="92" t="inlineStr">
        <is>
          <t>N호텔</t>
        </is>
      </c>
      <c r="M849" s="9">
        <f>IF($A849="","",VALUE($A849&amp;"")*12+VALUE($B849&amp;""))</f>
        <v/>
      </c>
      <c r="N849" s="64">
        <f>IF($A849="","",IFERROR(INDEX(부서매핑!$C$5:$C$504,MATCH($G849&amp;"",부서매핑!$A$5:$A$504,0)),"미매핑"))</f>
        <v/>
      </c>
      <c r="O849" s="9">
        <f>IF($A849="","",N849&amp;"|"&amp;$F849)</f>
        <v/>
      </c>
      <c r="P849" s="94">
        <f>IF($A849="",0,$H849*설정!$C$23)</f>
        <v/>
      </c>
      <c r="Q849" s="64">
        <f>IF($A849="","",IF(O849&lt;&gt;원인분석!$C$9,"",IF(AND(M849&gt;=원인분석!$C$10,M849&lt;=원인분석!$C$11),"당기",IF(AND(M849&gt;=원인분석!$C$12,M849&lt;=원인분석!$C$13),"비교",""))))</f>
        <v/>
      </c>
      <c r="R849" s="9">
        <f>IF(Q849="","",$K849&amp;"")</f>
        <v/>
      </c>
      <c r="S849" s="9">
        <f>IF(Q849="","",IF(MATCH(R849,$R$5:$R$100000,0)=ROW()-4,ROW(),""))</f>
        <v/>
      </c>
      <c r="T849" s="9">
        <f>IF(Q849="당기",ABS(P849)+ROW()/1000000000,"")</f>
        <v/>
      </c>
      <c r="U849" s="9">
        <f>IF(Q849="비교",ABS(P849)+ROW()/1000000000,"")</f>
        <v/>
      </c>
      <c r="V849" s="64">
        <f>IF($A849="","",IF(COUNTIF(변동분석!$E$7:$E$506,O849)&gt;0,"Y","N"))</f>
        <v/>
      </c>
      <c r="W849" s="64">
        <f>IF($A849="","",IFERROR(INDEX(계정매핑!$D$5:$D$504,MATCH($F849&amp;"",계정매핑!$A$5:$A$504,0)),"미매핑"))</f>
        <v/>
      </c>
      <c r="X849" s="9">
        <f>IF($A849="","",$F849&amp;"")</f>
        <v/>
      </c>
      <c r="Y849" s="94">
        <f>IF($A849="",0,IF(AE849="직접",IF(AF849="비귀속",$P849,0),$P849*(1-AG849)*IFERROR(INDEX(계정대체기준!$F$20:$F$49,MATCH($N849,계정대체기준!$A$20:$A$49,0)),1)))</f>
        <v/>
      </c>
      <c r="Z849" s="94">
        <f>IF($A849="",0,IF(AE849="직접",IF(AF849="신계약비",$P849,0),$P849*(1-AG849)*IFERROR(INDEX(계정대체기준!$C$20:$C$49,MATCH($N849,계정대체기준!$A$20:$A$49,0)),0)))</f>
        <v/>
      </c>
      <c r="AA849" s="94">
        <f>IF($A849="",0,IF(AE849="직접",IF(OR(AF849="유지비",AF849="손해조사비"),$P849,0),$P849*(1-AG849)*IFERROR(INDEX(계정대체기준!$D$20:$D$49,MATCH($N849,계정대체기준!$A$20:$A$49,0)),0)))</f>
        <v/>
      </c>
      <c r="AB849" s="94">
        <f>IF($A849="",0,IF(AE849="직접",IF(AF849="수금비",$P849,0),$P849*(1-AG849)*IFERROR(INDEX(계정대체기준!$E$20:$E$49,MATCH($N849,계정대체기준!$A$20:$A$49,0)),0)))</f>
        <v/>
      </c>
      <c r="AC849" s="9">
        <f>IF(AND($A849&lt;&gt;"",M849=설정!$C$20,Z849&gt;0),Z849+ROW()/1000000000,"")</f>
        <v/>
      </c>
      <c r="AD849" s="94">
        <f>IF($A849="",0,$P849*AG849)</f>
        <v/>
      </c>
      <c r="AE849" s="64">
        <f>IF($A849="","",IFERROR(INDEX(계정매핑!$E$5:$E$504,MATCH($F849&amp;"",계정매핑!$A$5:$A$504,0))&amp;"","공통비"))</f>
        <v/>
      </c>
      <c r="AF849" s="64">
        <f>IF($A849="","",IF(AE849="직접",IFERROR(INDEX(계정매핑!$F$5:$F$504,MATCH($F849&amp;"",계정매핑!$A$5:$A$504,0))&amp;"","비귀속"),""))</f>
        <v/>
      </c>
      <c r="AG849" s="96">
        <f>IF($A849="",0,IF(AND(AE849&lt;&gt;"직접",IFERROR(INDEX(계정매핑!$G$5:$G$504,MATCH($F849&amp;"",계정매핑!$A$5:$A$504,0))&amp;"","")="유지비",COUNTIF(계정대체기준!$A$6:$A$15,$N849)&gt;0),IFERROR(INDEX(계정대체기준!$E$6:$E$15,MATCH(VALUE($A849&amp;""),계정대체기준!$D$6:$D$15,0)),0),0))</f>
        <v/>
      </c>
      <c r="AH849" s="64">
        <f>IF($A849="","",IF(AD849=0,"",IF(OR(COUNTIF(계정대체기준!$A$77:$A$86,$N849)&gt;0,ISNUMBER(MATCH($X849,계정대체기준!$D$77:$D$86,0)),ISNUMBER(MATCH($F849,계정대체기준!$D$77:$D$86,0))),"Y","N")))</f>
        <v/>
      </c>
    </row>
    <row r="850">
      <c r="A850" s="92" t="n">
        <v>2025</v>
      </c>
      <c r="B850" s="92" t="n">
        <v>4</v>
      </c>
      <c r="C850" s="92" t="inlineStr">
        <is>
          <t>5100000846</t>
        </is>
      </c>
      <c r="D850" s="95" t="n">
        <v>45767</v>
      </c>
      <c r="E850" s="92" t="inlineStr">
        <is>
          <t>KR</t>
        </is>
      </c>
      <c r="F850" s="92" t="n">
        <v>62102000</v>
      </c>
      <c r="G850" s="92" t="n">
        <v>1801</v>
      </c>
      <c r="H850" s="93" t="n">
        <v>60000</v>
      </c>
      <c r="I850" s="92" t="inlineStr">
        <is>
          <t>4월 해외출장 - N호텔</t>
        </is>
      </c>
      <c r="J850" s="92" t="inlineStr">
        <is>
          <t>V10009</t>
        </is>
      </c>
      <c r="K850" s="92" t="inlineStr">
        <is>
          <t>N호텔</t>
        </is>
      </c>
      <c r="M850" s="9">
        <f>IF($A850="","",VALUE($A850&amp;"")*12+VALUE($B850&amp;""))</f>
        <v/>
      </c>
      <c r="N850" s="64">
        <f>IF($A850="","",IFERROR(INDEX(부서매핑!$C$5:$C$504,MATCH($G850&amp;"",부서매핑!$A$5:$A$504,0)),"미매핑"))</f>
        <v/>
      </c>
      <c r="O850" s="9">
        <f>IF($A850="","",N850&amp;"|"&amp;$F850)</f>
        <v/>
      </c>
      <c r="P850" s="94">
        <f>IF($A850="",0,$H850*설정!$C$23)</f>
        <v/>
      </c>
      <c r="Q850" s="64">
        <f>IF($A850="","",IF(O850&lt;&gt;원인분석!$C$9,"",IF(AND(M850&gt;=원인분석!$C$10,M850&lt;=원인분석!$C$11),"당기",IF(AND(M850&gt;=원인분석!$C$12,M850&lt;=원인분석!$C$13),"비교",""))))</f>
        <v/>
      </c>
      <c r="R850" s="9">
        <f>IF(Q850="","",$K850&amp;"")</f>
        <v/>
      </c>
      <c r="S850" s="9">
        <f>IF(Q850="","",IF(MATCH(R850,$R$5:$R$100000,0)=ROW()-4,ROW(),""))</f>
        <v/>
      </c>
      <c r="T850" s="9">
        <f>IF(Q850="당기",ABS(P850)+ROW()/1000000000,"")</f>
        <v/>
      </c>
      <c r="U850" s="9">
        <f>IF(Q850="비교",ABS(P850)+ROW()/1000000000,"")</f>
        <v/>
      </c>
      <c r="V850" s="64">
        <f>IF($A850="","",IF(COUNTIF(변동분석!$E$7:$E$506,O850)&gt;0,"Y","N"))</f>
        <v/>
      </c>
      <c r="W850" s="64">
        <f>IF($A850="","",IFERROR(INDEX(계정매핑!$D$5:$D$504,MATCH($F850&amp;"",계정매핑!$A$5:$A$504,0)),"미매핑"))</f>
        <v/>
      </c>
      <c r="X850" s="9">
        <f>IF($A850="","",$F850&amp;"")</f>
        <v/>
      </c>
      <c r="Y850" s="94">
        <f>IF($A850="",0,IF(AE850="직접",IF(AF850="비귀속",$P850,0),$P850*(1-AG850)*IFERROR(INDEX(계정대체기준!$F$20:$F$49,MATCH($N850,계정대체기준!$A$20:$A$49,0)),1)))</f>
        <v/>
      </c>
      <c r="Z850" s="94">
        <f>IF($A850="",0,IF(AE850="직접",IF(AF850="신계약비",$P850,0),$P850*(1-AG850)*IFERROR(INDEX(계정대체기준!$C$20:$C$49,MATCH($N850,계정대체기준!$A$20:$A$49,0)),0)))</f>
        <v/>
      </c>
      <c r="AA850" s="94">
        <f>IF($A850="",0,IF(AE850="직접",IF(OR(AF850="유지비",AF850="손해조사비"),$P850,0),$P850*(1-AG850)*IFERROR(INDEX(계정대체기준!$D$20:$D$49,MATCH($N850,계정대체기준!$A$20:$A$49,0)),0)))</f>
        <v/>
      </c>
      <c r="AB850" s="94">
        <f>IF($A850="",0,IF(AE850="직접",IF(AF850="수금비",$P850,0),$P850*(1-AG850)*IFERROR(INDEX(계정대체기준!$E$20:$E$49,MATCH($N850,계정대체기준!$A$20:$A$49,0)),0)))</f>
        <v/>
      </c>
      <c r="AC850" s="9">
        <f>IF(AND($A850&lt;&gt;"",M850=설정!$C$20,Z850&gt;0),Z850+ROW()/1000000000,"")</f>
        <v/>
      </c>
      <c r="AD850" s="94">
        <f>IF($A850="",0,$P850*AG850)</f>
        <v/>
      </c>
      <c r="AE850" s="64">
        <f>IF($A850="","",IFERROR(INDEX(계정매핑!$E$5:$E$504,MATCH($F850&amp;"",계정매핑!$A$5:$A$504,0))&amp;"","공통비"))</f>
        <v/>
      </c>
      <c r="AF850" s="64">
        <f>IF($A850="","",IF(AE850="직접",IFERROR(INDEX(계정매핑!$F$5:$F$504,MATCH($F850&amp;"",계정매핑!$A$5:$A$504,0))&amp;"","비귀속"),""))</f>
        <v/>
      </c>
      <c r="AG850" s="96">
        <f>IF($A850="",0,IF(AND(AE850&lt;&gt;"직접",IFERROR(INDEX(계정매핑!$G$5:$G$504,MATCH($F850&amp;"",계정매핑!$A$5:$A$504,0))&amp;"","")="유지비",COUNTIF(계정대체기준!$A$6:$A$15,$N850)&gt;0),IFERROR(INDEX(계정대체기준!$E$6:$E$15,MATCH(VALUE($A850&amp;""),계정대체기준!$D$6:$D$15,0)),0),0))</f>
        <v/>
      </c>
      <c r="AH850" s="64">
        <f>IF($A850="","",IF(AD850=0,"",IF(OR(COUNTIF(계정대체기준!$A$77:$A$86,$N850)&gt;0,ISNUMBER(MATCH($X850,계정대체기준!$D$77:$D$86,0)),ISNUMBER(MATCH($F850,계정대체기준!$D$77:$D$86,0))),"Y","N")))</f>
        <v/>
      </c>
    </row>
    <row r="851">
      <c r="A851" s="92" t="n">
        <v>2025</v>
      </c>
      <c r="B851" s="92" t="n">
        <v>4</v>
      </c>
      <c r="C851" s="92" t="inlineStr">
        <is>
          <t>5100000847</t>
        </is>
      </c>
      <c r="D851" s="95" t="n">
        <v>45767</v>
      </c>
      <c r="E851" s="92" t="inlineStr">
        <is>
          <t>KR</t>
        </is>
      </c>
      <c r="F851" s="92" t="n">
        <v>62301000</v>
      </c>
      <c r="G851" s="92" t="n">
        <v>1501</v>
      </c>
      <c r="H851" s="93" t="n">
        <v>115000</v>
      </c>
      <c r="I851" s="92" t="inlineStr">
        <is>
          <t>4월 소모품 구입 - Q오피스</t>
        </is>
      </c>
      <c r="J851" s="92" t="inlineStr">
        <is>
          <t>V10003</t>
        </is>
      </c>
      <c r="K851" s="92" t="inlineStr">
        <is>
          <t>Q오피스</t>
        </is>
      </c>
      <c r="M851" s="9">
        <f>IF($A851="","",VALUE($A851&amp;"")*12+VALUE($B851&amp;""))</f>
        <v/>
      </c>
      <c r="N851" s="64">
        <f>IF($A851="","",IFERROR(INDEX(부서매핑!$C$5:$C$504,MATCH($G851&amp;"",부서매핑!$A$5:$A$504,0)),"미매핑"))</f>
        <v/>
      </c>
      <c r="O851" s="9">
        <f>IF($A851="","",N851&amp;"|"&amp;$F851)</f>
        <v/>
      </c>
      <c r="P851" s="94">
        <f>IF($A851="",0,$H851*설정!$C$23)</f>
        <v/>
      </c>
      <c r="Q851" s="64">
        <f>IF($A851="","",IF(O851&lt;&gt;원인분석!$C$9,"",IF(AND(M851&gt;=원인분석!$C$10,M851&lt;=원인분석!$C$11),"당기",IF(AND(M851&gt;=원인분석!$C$12,M851&lt;=원인분석!$C$13),"비교",""))))</f>
        <v/>
      </c>
      <c r="R851" s="9">
        <f>IF(Q851="","",$K851&amp;"")</f>
        <v/>
      </c>
      <c r="S851" s="9">
        <f>IF(Q851="","",IF(MATCH(R851,$R$5:$R$100000,0)=ROW()-4,ROW(),""))</f>
        <v/>
      </c>
      <c r="T851" s="9">
        <f>IF(Q851="당기",ABS(P851)+ROW()/1000000000,"")</f>
        <v/>
      </c>
      <c r="U851" s="9">
        <f>IF(Q851="비교",ABS(P851)+ROW()/1000000000,"")</f>
        <v/>
      </c>
      <c r="V851" s="64">
        <f>IF($A851="","",IF(COUNTIF(변동분석!$E$7:$E$506,O851)&gt;0,"Y","N"))</f>
        <v/>
      </c>
      <c r="W851" s="64">
        <f>IF($A851="","",IFERROR(INDEX(계정매핑!$D$5:$D$504,MATCH($F851&amp;"",계정매핑!$A$5:$A$504,0)),"미매핑"))</f>
        <v/>
      </c>
      <c r="X851" s="9">
        <f>IF($A851="","",$F851&amp;"")</f>
        <v/>
      </c>
      <c r="Y851" s="94">
        <f>IF($A851="",0,IF(AE851="직접",IF(AF851="비귀속",$P851,0),$P851*(1-AG851)*IFERROR(INDEX(계정대체기준!$F$20:$F$49,MATCH($N851,계정대체기준!$A$20:$A$49,0)),1)))</f>
        <v/>
      </c>
      <c r="Z851" s="94">
        <f>IF($A851="",0,IF(AE851="직접",IF(AF851="신계약비",$P851,0),$P851*(1-AG851)*IFERROR(INDEX(계정대체기준!$C$20:$C$49,MATCH($N851,계정대체기준!$A$20:$A$49,0)),0)))</f>
        <v/>
      </c>
      <c r="AA851" s="94">
        <f>IF($A851="",0,IF(AE851="직접",IF(OR(AF851="유지비",AF851="손해조사비"),$P851,0),$P851*(1-AG851)*IFERROR(INDEX(계정대체기준!$D$20:$D$49,MATCH($N851,계정대체기준!$A$20:$A$49,0)),0)))</f>
        <v/>
      </c>
      <c r="AB851" s="94">
        <f>IF($A851="",0,IF(AE851="직접",IF(AF851="수금비",$P851,0),$P851*(1-AG851)*IFERROR(INDEX(계정대체기준!$E$20:$E$49,MATCH($N851,계정대체기준!$A$20:$A$49,0)),0)))</f>
        <v/>
      </c>
      <c r="AC851" s="9">
        <f>IF(AND($A851&lt;&gt;"",M851=설정!$C$20,Z851&gt;0),Z851+ROW()/1000000000,"")</f>
        <v/>
      </c>
      <c r="AD851" s="94">
        <f>IF($A851="",0,$P851*AG851)</f>
        <v/>
      </c>
      <c r="AE851" s="64">
        <f>IF($A851="","",IFERROR(INDEX(계정매핑!$E$5:$E$504,MATCH($F851&amp;"",계정매핑!$A$5:$A$504,0))&amp;"","공통비"))</f>
        <v/>
      </c>
      <c r="AF851" s="64">
        <f>IF($A851="","",IF(AE851="직접",IFERROR(INDEX(계정매핑!$F$5:$F$504,MATCH($F851&amp;"",계정매핑!$A$5:$A$504,0))&amp;"","비귀속"),""))</f>
        <v/>
      </c>
      <c r="AG851" s="96">
        <f>IF($A851="",0,IF(AND(AE851&lt;&gt;"직접",IFERROR(INDEX(계정매핑!$G$5:$G$504,MATCH($F851&amp;"",계정매핑!$A$5:$A$504,0))&amp;"","")="유지비",COUNTIF(계정대체기준!$A$6:$A$15,$N851)&gt;0),IFERROR(INDEX(계정대체기준!$E$6:$E$15,MATCH(VALUE($A851&amp;""),계정대체기준!$D$6:$D$15,0)),0),0))</f>
        <v/>
      </c>
      <c r="AH851" s="64">
        <f>IF($A851="","",IF(AD851=0,"",IF(OR(COUNTIF(계정대체기준!$A$77:$A$86,$N851)&gt;0,ISNUMBER(MATCH($X851,계정대체기준!$D$77:$D$86,0)),ISNUMBER(MATCH($F851,계정대체기준!$D$77:$D$86,0))),"Y","N")))</f>
        <v/>
      </c>
    </row>
    <row r="852">
      <c r="A852" s="92" t="n">
        <v>2025</v>
      </c>
      <c r="B852" s="92" t="n">
        <v>4</v>
      </c>
      <c r="C852" s="92" t="inlineStr">
        <is>
          <t>5100000848</t>
        </is>
      </c>
      <c r="D852" s="95" t="n">
        <v>45767</v>
      </c>
      <c r="E852" s="92" t="inlineStr">
        <is>
          <t>KR</t>
        </is>
      </c>
      <c r="F852" s="92" t="n">
        <v>62301000</v>
      </c>
      <c r="G852" s="92" t="n">
        <v>1601</v>
      </c>
      <c r="H852" s="93" t="n">
        <v>578000</v>
      </c>
      <c r="I852" s="92" t="inlineStr">
        <is>
          <t>4월 소모품 구입 - Q오피스</t>
        </is>
      </c>
      <c r="J852" s="92" t="inlineStr">
        <is>
          <t>V10003</t>
        </is>
      </c>
      <c r="K852" s="92" t="inlineStr">
        <is>
          <t>Q오피스</t>
        </is>
      </c>
      <c r="M852" s="9">
        <f>IF($A852="","",VALUE($A852&amp;"")*12+VALUE($B852&amp;""))</f>
        <v/>
      </c>
      <c r="N852" s="64">
        <f>IF($A852="","",IFERROR(INDEX(부서매핑!$C$5:$C$504,MATCH($G852&amp;"",부서매핑!$A$5:$A$504,0)),"미매핑"))</f>
        <v/>
      </c>
      <c r="O852" s="9">
        <f>IF($A852="","",N852&amp;"|"&amp;$F852)</f>
        <v/>
      </c>
      <c r="P852" s="94">
        <f>IF($A852="",0,$H852*설정!$C$23)</f>
        <v/>
      </c>
      <c r="Q852" s="64">
        <f>IF($A852="","",IF(O852&lt;&gt;원인분석!$C$9,"",IF(AND(M852&gt;=원인분석!$C$10,M852&lt;=원인분석!$C$11),"당기",IF(AND(M852&gt;=원인분석!$C$12,M852&lt;=원인분석!$C$13),"비교",""))))</f>
        <v/>
      </c>
      <c r="R852" s="9">
        <f>IF(Q852="","",$K852&amp;"")</f>
        <v/>
      </c>
      <c r="S852" s="9">
        <f>IF(Q852="","",IF(MATCH(R852,$R$5:$R$100000,0)=ROW()-4,ROW(),""))</f>
        <v/>
      </c>
      <c r="T852" s="9">
        <f>IF(Q852="당기",ABS(P852)+ROW()/1000000000,"")</f>
        <v/>
      </c>
      <c r="U852" s="9">
        <f>IF(Q852="비교",ABS(P852)+ROW()/1000000000,"")</f>
        <v/>
      </c>
      <c r="V852" s="64">
        <f>IF($A852="","",IF(COUNTIF(변동분석!$E$7:$E$506,O852)&gt;0,"Y","N"))</f>
        <v/>
      </c>
      <c r="W852" s="64">
        <f>IF($A852="","",IFERROR(INDEX(계정매핑!$D$5:$D$504,MATCH($F852&amp;"",계정매핑!$A$5:$A$504,0)),"미매핑"))</f>
        <v/>
      </c>
      <c r="X852" s="9">
        <f>IF($A852="","",$F852&amp;"")</f>
        <v/>
      </c>
      <c r="Y852" s="94">
        <f>IF($A852="",0,IF(AE852="직접",IF(AF852="비귀속",$P852,0),$P852*(1-AG852)*IFERROR(INDEX(계정대체기준!$F$20:$F$49,MATCH($N852,계정대체기준!$A$20:$A$49,0)),1)))</f>
        <v/>
      </c>
      <c r="Z852" s="94">
        <f>IF($A852="",0,IF(AE852="직접",IF(AF852="신계약비",$P852,0),$P852*(1-AG852)*IFERROR(INDEX(계정대체기준!$C$20:$C$49,MATCH($N852,계정대체기준!$A$20:$A$49,0)),0)))</f>
        <v/>
      </c>
      <c r="AA852" s="94">
        <f>IF($A852="",0,IF(AE852="직접",IF(OR(AF852="유지비",AF852="손해조사비"),$P852,0),$P852*(1-AG852)*IFERROR(INDEX(계정대체기준!$D$20:$D$49,MATCH($N852,계정대체기준!$A$20:$A$49,0)),0)))</f>
        <v/>
      </c>
      <c r="AB852" s="94">
        <f>IF($A852="",0,IF(AE852="직접",IF(AF852="수금비",$P852,0),$P852*(1-AG852)*IFERROR(INDEX(계정대체기준!$E$20:$E$49,MATCH($N852,계정대체기준!$A$20:$A$49,0)),0)))</f>
        <v/>
      </c>
      <c r="AC852" s="9">
        <f>IF(AND($A852&lt;&gt;"",M852=설정!$C$20,Z852&gt;0),Z852+ROW()/1000000000,"")</f>
        <v/>
      </c>
      <c r="AD852" s="94">
        <f>IF($A852="",0,$P852*AG852)</f>
        <v/>
      </c>
      <c r="AE852" s="64">
        <f>IF($A852="","",IFERROR(INDEX(계정매핑!$E$5:$E$504,MATCH($F852&amp;"",계정매핑!$A$5:$A$504,0))&amp;"","공통비"))</f>
        <v/>
      </c>
      <c r="AF852" s="64">
        <f>IF($A852="","",IF(AE852="직접",IFERROR(INDEX(계정매핑!$F$5:$F$504,MATCH($F852&amp;"",계정매핑!$A$5:$A$504,0))&amp;"","비귀속"),""))</f>
        <v/>
      </c>
      <c r="AG852" s="96">
        <f>IF($A852="",0,IF(AND(AE852&lt;&gt;"직접",IFERROR(INDEX(계정매핑!$G$5:$G$504,MATCH($F852&amp;"",계정매핑!$A$5:$A$504,0))&amp;"","")="유지비",COUNTIF(계정대체기준!$A$6:$A$15,$N852)&gt;0),IFERROR(INDEX(계정대체기준!$E$6:$E$15,MATCH(VALUE($A852&amp;""),계정대체기준!$D$6:$D$15,0)),0),0))</f>
        <v/>
      </c>
      <c r="AH852" s="64">
        <f>IF($A852="","",IF(AD852=0,"",IF(OR(COUNTIF(계정대체기준!$A$77:$A$86,$N852)&gt;0,ISNUMBER(MATCH($X852,계정대체기준!$D$77:$D$86,0)),ISNUMBER(MATCH($F852,계정대체기준!$D$77:$D$86,0))),"Y","N")))</f>
        <v/>
      </c>
    </row>
    <row r="853">
      <c r="A853" s="92" t="n">
        <v>2025</v>
      </c>
      <c r="B853" s="92" t="n">
        <v>4</v>
      </c>
      <c r="C853" s="92" t="inlineStr">
        <is>
          <t>5100000849</t>
        </is>
      </c>
      <c r="D853" s="95" t="n">
        <v>45767</v>
      </c>
      <c r="E853" s="92" t="inlineStr">
        <is>
          <t>KR</t>
        </is>
      </c>
      <c r="F853" s="92" t="n">
        <v>62501000</v>
      </c>
      <c r="G853" s="92" t="n">
        <v>1401</v>
      </c>
      <c r="H853" s="93" t="n">
        <v>124000</v>
      </c>
      <c r="I853" s="92" t="inlineStr">
        <is>
          <t>4월 회의 다과 - (법인카드)</t>
        </is>
      </c>
      <c r="J853" s="92" t="inlineStr">
        <is>
          <t>V10010</t>
        </is>
      </c>
      <c r="K853" s="92" t="inlineStr">
        <is>
          <t>(법인카드)</t>
        </is>
      </c>
      <c r="M853" s="9">
        <f>IF($A853="","",VALUE($A853&amp;"")*12+VALUE($B853&amp;""))</f>
        <v/>
      </c>
      <c r="N853" s="64">
        <f>IF($A853="","",IFERROR(INDEX(부서매핑!$C$5:$C$504,MATCH($G853&amp;"",부서매핑!$A$5:$A$504,0)),"미매핑"))</f>
        <v/>
      </c>
      <c r="O853" s="9">
        <f>IF($A853="","",N853&amp;"|"&amp;$F853)</f>
        <v/>
      </c>
      <c r="P853" s="94">
        <f>IF($A853="",0,$H853*설정!$C$23)</f>
        <v/>
      </c>
      <c r="Q853" s="64">
        <f>IF($A853="","",IF(O853&lt;&gt;원인분석!$C$9,"",IF(AND(M853&gt;=원인분석!$C$10,M853&lt;=원인분석!$C$11),"당기",IF(AND(M853&gt;=원인분석!$C$12,M853&lt;=원인분석!$C$13),"비교",""))))</f>
        <v/>
      </c>
      <c r="R853" s="9">
        <f>IF(Q853="","",$K853&amp;"")</f>
        <v/>
      </c>
      <c r="S853" s="9">
        <f>IF(Q853="","",IF(MATCH(R853,$R$5:$R$100000,0)=ROW()-4,ROW(),""))</f>
        <v/>
      </c>
      <c r="T853" s="9">
        <f>IF(Q853="당기",ABS(P853)+ROW()/1000000000,"")</f>
        <v/>
      </c>
      <c r="U853" s="9">
        <f>IF(Q853="비교",ABS(P853)+ROW()/1000000000,"")</f>
        <v/>
      </c>
      <c r="V853" s="64">
        <f>IF($A853="","",IF(COUNTIF(변동분석!$E$7:$E$506,O853)&gt;0,"Y","N"))</f>
        <v/>
      </c>
      <c r="W853" s="64">
        <f>IF($A853="","",IFERROR(INDEX(계정매핑!$D$5:$D$504,MATCH($F853&amp;"",계정매핑!$A$5:$A$504,0)),"미매핑"))</f>
        <v/>
      </c>
      <c r="X853" s="9">
        <f>IF($A853="","",$F853&amp;"")</f>
        <v/>
      </c>
      <c r="Y853" s="94">
        <f>IF($A853="",0,IF(AE853="직접",IF(AF853="비귀속",$P853,0),$P853*(1-AG853)*IFERROR(INDEX(계정대체기준!$F$20:$F$49,MATCH($N853,계정대체기준!$A$20:$A$49,0)),1)))</f>
        <v/>
      </c>
      <c r="Z853" s="94">
        <f>IF($A853="",0,IF(AE853="직접",IF(AF853="신계약비",$P853,0),$P853*(1-AG853)*IFERROR(INDEX(계정대체기준!$C$20:$C$49,MATCH($N853,계정대체기준!$A$20:$A$49,0)),0)))</f>
        <v/>
      </c>
      <c r="AA853" s="94">
        <f>IF($A853="",0,IF(AE853="직접",IF(OR(AF853="유지비",AF853="손해조사비"),$P853,0),$P853*(1-AG853)*IFERROR(INDEX(계정대체기준!$D$20:$D$49,MATCH($N853,계정대체기준!$A$20:$A$49,0)),0)))</f>
        <v/>
      </c>
      <c r="AB853" s="94">
        <f>IF($A853="",0,IF(AE853="직접",IF(AF853="수금비",$P853,0),$P853*(1-AG853)*IFERROR(INDEX(계정대체기준!$E$20:$E$49,MATCH($N853,계정대체기준!$A$20:$A$49,0)),0)))</f>
        <v/>
      </c>
      <c r="AC853" s="9">
        <f>IF(AND($A853&lt;&gt;"",M853=설정!$C$20,Z853&gt;0),Z853+ROW()/1000000000,"")</f>
        <v/>
      </c>
      <c r="AD853" s="94">
        <f>IF($A853="",0,$P853*AG853)</f>
        <v/>
      </c>
      <c r="AE853" s="64">
        <f>IF($A853="","",IFERROR(INDEX(계정매핑!$E$5:$E$504,MATCH($F853&amp;"",계정매핑!$A$5:$A$504,0))&amp;"","공통비"))</f>
        <v/>
      </c>
      <c r="AF853" s="64">
        <f>IF($A853="","",IF(AE853="직접",IFERROR(INDEX(계정매핑!$F$5:$F$504,MATCH($F853&amp;"",계정매핑!$A$5:$A$504,0))&amp;"","비귀속"),""))</f>
        <v/>
      </c>
      <c r="AG853" s="96">
        <f>IF($A853="",0,IF(AND(AE853&lt;&gt;"직접",IFERROR(INDEX(계정매핑!$G$5:$G$504,MATCH($F853&amp;"",계정매핑!$A$5:$A$504,0))&amp;"","")="유지비",COUNTIF(계정대체기준!$A$6:$A$15,$N853)&gt;0),IFERROR(INDEX(계정대체기준!$E$6:$E$15,MATCH(VALUE($A853&amp;""),계정대체기준!$D$6:$D$15,0)),0),0))</f>
        <v/>
      </c>
      <c r="AH853" s="64">
        <f>IF($A853="","",IF(AD853=0,"",IF(OR(COUNTIF(계정대체기준!$A$77:$A$86,$N853)&gt;0,ISNUMBER(MATCH($X853,계정대체기준!$D$77:$D$86,0)),ISNUMBER(MATCH($F853,계정대체기준!$D$77:$D$86,0))),"Y","N")))</f>
        <v/>
      </c>
    </row>
    <row r="854">
      <c r="A854" s="92" t="n">
        <v>2025</v>
      </c>
      <c r="B854" s="92" t="n">
        <v>4</v>
      </c>
      <c r="C854" s="92" t="inlineStr">
        <is>
          <t>5100000850</t>
        </is>
      </c>
      <c r="D854" s="95" t="n">
        <v>45767</v>
      </c>
      <c r="E854" s="92" t="inlineStr">
        <is>
          <t>KR</t>
        </is>
      </c>
      <c r="F854" s="92" t="n">
        <v>62902000</v>
      </c>
      <c r="G854" s="92" t="n">
        <v>1201</v>
      </c>
      <c r="H854" s="93" t="n">
        <v>1886000</v>
      </c>
      <c r="I854" s="92" t="inlineStr">
        <is>
          <t>4월 업무 위탁 수수료 - J콜센터</t>
        </is>
      </c>
      <c r="J854" s="92" t="inlineStr">
        <is>
          <t>V10016</t>
        </is>
      </c>
      <c r="K854" s="92" t="inlineStr">
        <is>
          <t>J콜센터</t>
        </is>
      </c>
      <c r="M854" s="9">
        <f>IF($A854="","",VALUE($A854&amp;"")*12+VALUE($B854&amp;""))</f>
        <v/>
      </c>
      <c r="N854" s="64">
        <f>IF($A854="","",IFERROR(INDEX(부서매핑!$C$5:$C$504,MATCH($G854&amp;"",부서매핑!$A$5:$A$504,0)),"미매핑"))</f>
        <v/>
      </c>
      <c r="O854" s="9">
        <f>IF($A854="","",N854&amp;"|"&amp;$F854)</f>
        <v/>
      </c>
      <c r="P854" s="94">
        <f>IF($A854="",0,$H854*설정!$C$23)</f>
        <v/>
      </c>
      <c r="Q854" s="64">
        <f>IF($A854="","",IF(O854&lt;&gt;원인분석!$C$9,"",IF(AND(M854&gt;=원인분석!$C$10,M854&lt;=원인분석!$C$11),"당기",IF(AND(M854&gt;=원인분석!$C$12,M854&lt;=원인분석!$C$13),"비교",""))))</f>
        <v/>
      </c>
      <c r="R854" s="9">
        <f>IF(Q854="","",$K854&amp;"")</f>
        <v/>
      </c>
      <c r="S854" s="9">
        <f>IF(Q854="","",IF(MATCH(R854,$R$5:$R$100000,0)=ROW()-4,ROW(),""))</f>
        <v/>
      </c>
      <c r="T854" s="9">
        <f>IF(Q854="당기",ABS(P854)+ROW()/1000000000,"")</f>
        <v/>
      </c>
      <c r="U854" s="9">
        <f>IF(Q854="비교",ABS(P854)+ROW()/1000000000,"")</f>
        <v/>
      </c>
      <c r="V854" s="64">
        <f>IF($A854="","",IF(COUNTIF(변동분석!$E$7:$E$506,O854)&gt;0,"Y","N"))</f>
        <v/>
      </c>
      <c r="W854" s="64">
        <f>IF($A854="","",IFERROR(INDEX(계정매핑!$D$5:$D$504,MATCH($F854&amp;"",계정매핑!$A$5:$A$504,0)),"미매핑"))</f>
        <v/>
      </c>
      <c r="X854" s="9">
        <f>IF($A854="","",$F854&amp;"")</f>
        <v/>
      </c>
      <c r="Y854" s="94">
        <f>IF($A854="",0,IF(AE854="직접",IF(AF854="비귀속",$P854,0),$P854*(1-AG854)*IFERROR(INDEX(계정대체기준!$F$20:$F$49,MATCH($N854,계정대체기준!$A$20:$A$49,0)),1)))</f>
        <v/>
      </c>
      <c r="Z854" s="94">
        <f>IF($A854="",0,IF(AE854="직접",IF(AF854="신계약비",$P854,0),$P854*(1-AG854)*IFERROR(INDEX(계정대체기준!$C$20:$C$49,MATCH($N854,계정대체기준!$A$20:$A$49,0)),0)))</f>
        <v/>
      </c>
      <c r="AA854" s="94">
        <f>IF($A854="",0,IF(AE854="직접",IF(OR(AF854="유지비",AF854="손해조사비"),$P854,0),$P854*(1-AG854)*IFERROR(INDEX(계정대체기준!$D$20:$D$49,MATCH($N854,계정대체기준!$A$20:$A$49,0)),0)))</f>
        <v/>
      </c>
      <c r="AB854" s="94">
        <f>IF($A854="",0,IF(AE854="직접",IF(AF854="수금비",$P854,0),$P854*(1-AG854)*IFERROR(INDEX(계정대체기준!$E$20:$E$49,MATCH($N854,계정대체기준!$A$20:$A$49,0)),0)))</f>
        <v/>
      </c>
      <c r="AC854" s="9">
        <f>IF(AND($A854&lt;&gt;"",M854=설정!$C$20,Z854&gt;0),Z854+ROW()/1000000000,"")</f>
        <v/>
      </c>
      <c r="AD854" s="94">
        <f>IF($A854="",0,$P854*AG854)</f>
        <v/>
      </c>
      <c r="AE854" s="64">
        <f>IF($A854="","",IFERROR(INDEX(계정매핑!$E$5:$E$504,MATCH($F854&amp;"",계정매핑!$A$5:$A$504,0))&amp;"","공통비"))</f>
        <v/>
      </c>
      <c r="AF854" s="64">
        <f>IF($A854="","",IF(AE854="직접",IFERROR(INDEX(계정매핑!$F$5:$F$504,MATCH($F854&amp;"",계정매핑!$A$5:$A$504,0))&amp;"","비귀속"),""))</f>
        <v/>
      </c>
      <c r="AG854" s="96">
        <f>IF($A854="",0,IF(AND(AE854&lt;&gt;"직접",IFERROR(INDEX(계정매핑!$G$5:$G$504,MATCH($F854&amp;"",계정매핑!$A$5:$A$504,0))&amp;"","")="유지비",COUNTIF(계정대체기준!$A$6:$A$15,$N854)&gt;0),IFERROR(INDEX(계정대체기준!$E$6:$E$15,MATCH(VALUE($A854&amp;""),계정대체기준!$D$6:$D$15,0)),0),0))</f>
        <v/>
      </c>
      <c r="AH854" s="64">
        <f>IF($A854="","",IF(AD854=0,"",IF(OR(COUNTIF(계정대체기준!$A$77:$A$86,$N854)&gt;0,ISNUMBER(MATCH($X854,계정대체기준!$D$77:$D$86,0)),ISNUMBER(MATCH($F854,계정대체기준!$D$77:$D$86,0))),"Y","N")))</f>
        <v/>
      </c>
    </row>
    <row r="855">
      <c r="A855" s="92" t="n">
        <v>2025</v>
      </c>
      <c r="B855" s="92" t="n">
        <v>4</v>
      </c>
      <c r="C855" s="92" t="inlineStr">
        <is>
          <t>5100000851</t>
        </is>
      </c>
      <c r="D855" s="95" t="n">
        <v>45767</v>
      </c>
      <c r="E855" s="92" t="inlineStr">
        <is>
          <t>KR</t>
        </is>
      </c>
      <c r="F855" s="92" t="n">
        <v>63501000</v>
      </c>
      <c r="G855" s="92" t="n">
        <v>1901</v>
      </c>
      <c r="H855" s="93" t="n">
        <v>310357000</v>
      </c>
      <c r="I855" s="92" t="inlineStr">
        <is>
          <t>4월 모집수수료 - AA보험대리점</t>
        </is>
      </c>
      <c r="J855" s="92" t="inlineStr">
        <is>
          <t>V10034</t>
        </is>
      </c>
      <c r="K855" s="92" t="inlineStr">
        <is>
          <t>AA보험대리점</t>
        </is>
      </c>
      <c r="M855" s="9">
        <f>IF($A855="","",VALUE($A855&amp;"")*12+VALUE($B855&amp;""))</f>
        <v/>
      </c>
      <c r="N855" s="64">
        <f>IF($A855="","",IFERROR(INDEX(부서매핑!$C$5:$C$504,MATCH($G855&amp;"",부서매핑!$A$5:$A$504,0)),"미매핑"))</f>
        <v/>
      </c>
      <c r="O855" s="9">
        <f>IF($A855="","",N855&amp;"|"&amp;$F855)</f>
        <v/>
      </c>
      <c r="P855" s="94">
        <f>IF($A855="",0,$H855*설정!$C$23)</f>
        <v/>
      </c>
      <c r="Q855" s="64">
        <f>IF($A855="","",IF(O855&lt;&gt;원인분석!$C$9,"",IF(AND(M855&gt;=원인분석!$C$10,M855&lt;=원인분석!$C$11),"당기",IF(AND(M855&gt;=원인분석!$C$12,M855&lt;=원인분석!$C$13),"비교",""))))</f>
        <v/>
      </c>
      <c r="R855" s="9">
        <f>IF(Q855="","",$K855&amp;"")</f>
        <v/>
      </c>
      <c r="S855" s="9">
        <f>IF(Q855="","",IF(MATCH(R855,$R$5:$R$100000,0)=ROW()-4,ROW(),""))</f>
        <v/>
      </c>
      <c r="T855" s="9">
        <f>IF(Q855="당기",ABS(P855)+ROW()/1000000000,"")</f>
        <v/>
      </c>
      <c r="U855" s="9">
        <f>IF(Q855="비교",ABS(P855)+ROW()/1000000000,"")</f>
        <v/>
      </c>
      <c r="V855" s="64">
        <f>IF($A855="","",IF(COUNTIF(변동분석!$E$7:$E$506,O855)&gt;0,"Y","N"))</f>
        <v/>
      </c>
      <c r="W855" s="64">
        <f>IF($A855="","",IFERROR(INDEX(계정매핑!$D$5:$D$504,MATCH($F855&amp;"",계정매핑!$A$5:$A$504,0)),"미매핑"))</f>
        <v/>
      </c>
      <c r="X855" s="9">
        <f>IF($A855="","",$F855&amp;"")</f>
        <v/>
      </c>
      <c r="Y855" s="94">
        <f>IF($A855="",0,IF(AE855="직접",IF(AF855="비귀속",$P855,0),$P855*(1-AG855)*IFERROR(INDEX(계정대체기준!$F$20:$F$49,MATCH($N855,계정대체기준!$A$20:$A$49,0)),1)))</f>
        <v/>
      </c>
      <c r="Z855" s="94">
        <f>IF($A855="",0,IF(AE855="직접",IF(AF855="신계약비",$P855,0),$P855*(1-AG855)*IFERROR(INDEX(계정대체기준!$C$20:$C$49,MATCH($N855,계정대체기준!$A$20:$A$49,0)),0)))</f>
        <v/>
      </c>
      <c r="AA855" s="94">
        <f>IF($A855="",0,IF(AE855="직접",IF(OR(AF855="유지비",AF855="손해조사비"),$P855,0),$P855*(1-AG855)*IFERROR(INDEX(계정대체기준!$D$20:$D$49,MATCH($N855,계정대체기준!$A$20:$A$49,0)),0)))</f>
        <v/>
      </c>
      <c r="AB855" s="94">
        <f>IF($A855="",0,IF(AE855="직접",IF(AF855="수금비",$P855,0),$P855*(1-AG855)*IFERROR(INDEX(계정대체기준!$E$20:$E$49,MATCH($N855,계정대체기준!$A$20:$A$49,0)),0)))</f>
        <v/>
      </c>
      <c r="AC855" s="9">
        <f>IF(AND($A855&lt;&gt;"",M855=설정!$C$20,Z855&gt;0),Z855+ROW()/1000000000,"")</f>
        <v/>
      </c>
      <c r="AD855" s="94">
        <f>IF($A855="",0,$P855*AG855)</f>
        <v/>
      </c>
      <c r="AE855" s="64">
        <f>IF($A855="","",IFERROR(INDEX(계정매핑!$E$5:$E$504,MATCH($F855&amp;"",계정매핑!$A$5:$A$504,0))&amp;"","공통비"))</f>
        <v/>
      </c>
      <c r="AF855" s="64">
        <f>IF($A855="","",IF(AE855="직접",IFERROR(INDEX(계정매핑!$F$5:$F$504,MATCH($F855&amp;"",계정매핑!$A$5:$A$504,0))&amp;"","비귀속"),""))</f>
        <v/>
      </c>
      <c r="AG855" s="96">
        <f>IF($A855="",0,IF(AND(AE855&lt;&gt;"직접",IFERROR(INDEX(계정매핑!$G$5:$G$504,MATCH($F855&amp;"",계정매핑!$A$5:$A$504,0))&amp;"","")="유지비",COUNTIF(계정대체기준!$A$6:$A$15,$N855)&gt;0),IFERROR(INDEX(계정대체기준!$E$6:$E$15,MATCH(VALUE($A855&amp;""),계정대체기준!$D$6:$D$15,0)),0),0))</f>
        <v/>
      </c>
      <c r="AH855" s="64">
        <f>IF($A855="","",IF(AD855=0,"",IF(OR(COUNTIF(계정대체기준!$A$77:$A$86,$N855)&gt;0,ISNUMBER(MATCH($X855,계정대체기준!$D$77:$D$86,0)),ISNUMBER(MATCH($F855,계정대체기준!$D$77:$D$86,0))),"Y","N")))</f>
        <v/>
      </c>
    </row>
    <row r="856">
      <c r="A856" s="92" t="n">
        <v>2025</v>
      </c>
      <c r="B856" s="92" t="n">
        <v>4</v>
      </c>
      <c r="C856" s="92" t="inlineStr">
        <is>
          <t>5100000852</t>
        </is>
      </c>
      <c r="D856" s="95" t="n">
        <v>45768</v>
      </c>
      <c r="E856" s="92" t="inlineStr">
        <is>
          <t>KR</t>
        </is>
      </c>
      <c r="F856" s="92" t="n">
        <v>62101000</v>
      </c>
      <c r="G856" s="92" t="n">
        <v>1301</v>
      </c>
      <c r="H856" s="93" t="n">
        <v>339000</v>
      </c>
      <c r="I856" s="92" t="inlineStr">
        <is>
          <t>4월 국내출장 - (법인카드)</t>
        </is>
      </c>
      <c r="J856" s="92" t="inlineStr">
        <is>
          <t>V10010</t>
        </is>
      </c>
      <c r="K856" s="92" t="inlineStr">
        <is>
          <t>(법인카드)</t>
        </is>
      </c>
      <c r="M856" s="9">
        <f>IF($A856="","",VALUE($A856&amp;"")*12+VALUE($B856&amp;""))</f>
        <v/>
      </c>
      <c r="N856" s="64">
        <f>IF($A856="","",IFERROR(INDEX(부서매핑!$C$5:$C$504,MATCH($G856&amp;"",부서매핑!$A$5:$A$504,0)),"미매핑"))</f>
        <v/>
      </c>
      <c r="O856" s="9">
        <f>IF($A856="","",N856&amp;"|"&amp;$F856)</f>
        <v/>
      </c>
      <c r="P856" s="94">
        <f>IF($A856="",0,$H856*설정!$C$23)</f>
        <v/>
      </c>
      <c r="Q856" s="64">
        <f>IF($A856="","",IF(O856&lt;&gt;원인분석!$C$9,"",IF(AND(M856&gt;=원인분석!$C$10,M856&lt;=원인분석!$C$11),"당기",IF(AND(M856&gt;=원인분석!$C$12,M856&lt;=원인분석!$C$13),"비교",""))))</f>
        <v/>
      </c>
      <c r="R856" s="9">
        <f>IF(Q856="","",$K856&amp;"")</f>
        <v/>
      </c>
      <c r="S856" s="9">
        <f>IF(Q856="","",IF(MATCH(R856,$R$5:$R$100000,0)=ROW()-4,ROW(),""))</f>
        <v/>
      </c>
      <c r="T856" s="9">
        <f>IF(Q856="당기",ABS(P856)+ROW()/1000000000,"")</f>
        <v/>
      </c>
      <c r="U856" s="9">
        <f>IF(Q856="비교",ABS(P856)+ROW()/1000000000,"")</f>
        <v/>
      </c>
      <c r="V856" s="64">
        <f>IF($A856="","",IF(COUNTIF(변동분석!$E$7:$E$506,O856)&gt;0,"Y","N"))</f>
        <v/>
      </c>
      <c r="W856" s="64">
        <f>IF($A856="","",IFERROR(INDEX(계정매핑!$D$5:$D$504,MATCH($F856&amp;"",계정매핑!$A$5:$A$504,0)),"미매핑"))</f>
        <v/>
      </c>
      <c r="X856" s="9">
        <f>IF($A856="","",$F856&amp;"")</f>
        <v/>
      </c>
      <c r="Y856" s="94">
        <f>IF($A856="",0,IF(AE856="직접",IF(AF856="비귀속",$P856,0),$P856*(1-AG856)*IFERROR(INDEX(계정대체기준!$F$20:$F$49,MATCH($N856,계정대체기준!$A$20:$A$49,0)),1)))</f>
        <v/>
      </c>
      <c r="Z856" s="94">
        <f>IF($A856="",0,IF(AE856="직접",IF(AF856="신계약비",$P856,0),$P856*(1-AG856)*IFERROR(INDEX(계정대체기준!$C$20:$C$49,MATCH($N856,계정대체기준!$A$20:$A$49,0)),0)))</f>
        <v/>
      </c>
      <c r="AA856" s="94">
        <f>IF($A856="",0,IF(AE856="직접",IF(OR(AF856="유지비",AF856="손해조사비"),$P856,0),$P856*(1-AG856)*IFERROR(INDEX(계정대체기준!$D$20:$D$49,MATCH($N856,계정대체기준!$A$20:$A$49,0)),0)))</f>
        <v/>
      </c>
      <c r="AB856" s="94">
        <f>IF($A856="",0,IF(AE856="직접",IF(AF856="수금비",$P856,0),$P856*(1-AG856)*IFERROR(INDEX(계정대체기준!$E$20:$E$49,MATCH($N856,계정대체기준!$A$20:$A$49,0)),0)))</f>
        <v/>
      </c>
      <c r="AC856" s="9">
        <f>IF(AND($A856&lt;&gt;"",M856=설정!$C$20,Z856&gt;0),Z856+ROW()/1000000000,"")</f>
        <v/>
      </c>
      <c r="AD856" s="94">
        <f>IF($A856="",0,$P856*AG856)</f>
        <v/>
      </c>
      <c r="AE856" s="64">
        <f>IF($A856="","",IFERROR(INDEX(계정매핑!$E$5:$E$504,MATCH($F856&amp;"",계정매핑!$A$5:$A$504,0))&amp;"","공통비"))</f>
        <v/>
      </c>
      <c r="AF856" s="64">
        <f>IF($A856="","",IF(AE856="직접",IFERROR(INDEX(계정매핑!$F$5:$F$504,MATCH($F856&amp;"",계정매핑!$A$5:$A$504,0))&amp;"","비귀속"),""))</f>
        <v/>
      </c>
      <c r="AG856" s="96">
        <f>IF($A856="",0,IF(AND(AE856&lt;&gt;"직접",IFERROR(INDEX(계정매핑!$G$5:$G$504,MATCH($F856&amp;"",계정매핑!$A$5:$A$504,0))&amp;"","")="유지비",COUNTIF(계정대체기준!$A$6:$A$15,$N856)&gt;0),IFERROR(INDEX(계정대체기준!$E$6:$E$15,MATCH(VALUE($A856&amp;""),계정대체기준!$D$6:$D$15,0)),0),0))</f>
        <v/>
      </c>
      <c r="AH856" s="64">
        <f>IF($A856="","",IF(AD856=0,"",IF(OR(COUNTIF(계정대체기준!$A$77:$A$86,$N856)&gt;0,ISNUMBER(MATCH($X856,계정대체기준!$D$77:$D$86,0)),ISNUMBER(MATCH($F856,계정대체기준!$D$77:$D$86,0))),"Y","N")))</f>
        <v/>
      </c>
    </row>
    <row r="857">
      <c r="A857" s="92" t="n">
        <v>2025</v>
      </c>
      <c r="B857" s="92" t="n">
        <v>4</v>
      </c>
      <c r="C857" s="92" t="inlineStr">
        <is>
          <t>5100000853</t>
        </is>
      </c>
      <c r="D857" s="95" t="n">
        <v>45768</v>
      </c>
      <c r="E857" s="92" t="inlineStr">
        <is>
          <t>KR</t>
        </is>
      </c>
      <c r="F857" s="92" t="n">
        <v>62101000</v>
      </c>
      <c r="G857" s="92" t="n">
        <v>1401</v>
      </c>
      <c r="H857" s="93" t="n">
        <v>581000</v>
      </c>
      <c r="I857" s="92" t="inlineStr">
        <is>
          <t>4월 국내출장 - (법인카드)</t>
        </is>
      </c>
      <c r="J857" s="92" t="inlineStr">
        <is>
          <t>V10010</t>
        </is>
      </c>
      <c r="K857" s="92" t="inlineStr">
        <is>
          <t>(법인카드)</t>
        </is>
      </c>
      <c r="M857" s="9">
        <f>IF($A857="","",VALUE($A857&amp;"")*12+VALUE($B857&amp;""))</f>
        <v/>
      </c>
      <c r="N857" s="64">
        <f>IF($A857="","",IFERROR(INDEX(부서매핑!$C$5:$C$504,MATCH($G857&amp;"",부서매핑!$A$5:$A$504,0)),"미매핑"))</f>
        <v/>
      </c>
      <c r="O857" s="9">
        <f>IF($A857="","",N857&amp;"|"&amp;$F857)</f>
        <v/>
      </c>
      <c r="P857" s="94">
        <f>IF($A857="",0,$H857*설정!$C$23)</f>
        <v/>
      </c>
      <c r="Q857" s="64">
        <f>IF($A857="","",IF(O857&lt;&gt;원인분석!$C$9,"",IF(AND(M857&gt;=원인분석!$C$10,M857&lt;=원인분석!$C$11),"당기",IF(AND(M857&gt;=원인분석!$C$12,M857&lt;=원인분석!$C$13),"비교",""))))</f>
        <v/>
      </c>
      <c r="R857" s="9">
        <f>IF(Q857="","",$K857&amp;"")</f>
        <v/>
      </c>
      <c r="S857" s="9">
        <f>IF(Q857="","",IF(MATCH(R857,$R$5:$R$100000,0)=ROW()-4,ROW(),""))</f>
        <v/>
      </c>
      <c r="T857" s="9">
        <f>IF(Q857="당기",ABS(P857)+ROW()/1000000000,"")</f>
        <v/>
      </c>
      <c r="U857" s="9">
        <f>IF(Q857="비교",ABS(P857)+ROW()/1000000000,"")</f>
        <v/>
      </c>
      <c r="V857" s="64">
        <f>IF($A857="","",IF(COUNTIF(변동분석!$E$7:$E$506,O857)&gt;0,"Y","N"))</f>
        <v/>
      </c>
      <c r="W857" s="64">
        <f>IF($A857="","",IFERROR(INDEX(계정매핑!$D$5:$D$504,MATCH($F857&amp;"",계정매핑!$A$5:$A$504,0)),"미매핑"))</f>
        <v/>
      </c>
      <c r="X857" s="9">
        <f>IF($A857="","",$F857&amp;"")</f>
        <v/>
      </c>
      <c r="Y857" s="94">
        <f>IF($A857="",0,IF(AE857="직접",IF(AF857="비귀속",$P857,0),$P857*(1-AG857)*IFERROR(INDEX(계정대체기준!$F$20:$F$49,MATCH($N857,계정대체기준!$A$20:$A$49,0)),1)))</f>
        <v/>
      </c>
      <c r="Z857" s="94">
        <f>IF($A857="",0,IF(AE857="직접",IF(AF857="신계약비",$P857,0),$P857*(1-AG857)*IFERROR(INDEX(계정대체기준!$C$20:$C$49,MATCH($N857,계정대체기준!$A$20:$A$49,0)),0)))</f>
        <v/>
      </c>
      <c r="AA857" s="94">
        <f>IF($A857="",0,IF(AE857="직접",IF(OR(AF857="유지비",AF857="손해조사비"),$P857,0),$P857*(1-AG857)*IFERROR(INDEX(계정대체기준!$D$20:$D$49,MATCH($N857,계정대체기준!$A$20:$A$49,0)),0)))</f>
        <v/>
      </c>
      <c r="AB857" s="94">
        <f>IF($A857="",0,IF(AE857="직접",IF(AF857="수금비",$P857,0),$P857*(1-AG857)*IFERROR(INDEX(계정대체기준!$E$20:$E$49,MATCH($N857,계정대체기준!$A$20:$A$49,0)),0)))</f>
        <v/>
      </c>
      <c r="AC857" s="9">
        <f>IF(AND($A857&lt;&gt;"",M857=설정!$C$20,Z857&gt;0),Z857+ROW()/1000000000,"")</f>
        <v/>
      </c>
      <c r="AD857" s="94">
        <f>IF($A857="",0,$P857*AG857)</f>
        <v/>
      </c>
      <c r="AE857" s="64">
        <f>IF($A857="","",IFERROR(INDEX(계정매핑!$E$5:$E$504,MATCH($F857&amp;"",계정매핑!$A$5:$A$504,0))&amp;"","공통비"))</f>
        <v/>
      </c>
      <c r="AF857" s="64">
        <f>IF($A857="","",IF(AE857="직접",IFERROR(INDEX(계정매핑!$F$5:$F$504,MATCH($F857&amp;"",계정매핑!$A$5:$A$504,0))&amp;"","비귀속"),""))</f>
        <v/>
      </c>
      <c r="AG857" s="96">
        <f>IF($A857="",0,IF(AND(AE857&lt;&gt;"직접",IFERROR(INDEX(계정매핑!$G$5:$G$504,MATCH($F857&amp;"",계정매핑!$A$5:$A$504,0))&amp;"","")="유지비",COUNTIF(계정대체기준!$A$6:$A$15,$N857)&gt;0),IFERROR(INDEX(계정대체기준!$E$6:$E$15,MATCH(VALUE($A857&amp;""),계정대체기준!$D$6:$D$15,0)),0),0))</f>
        <v/>
      </c>
      <c r="AH857" s="64">
        <f>IF($A857="","",IF(AD857=0,"",IF(OR(COUNTIF(계정대체기준!$A$77:$A$86,$N857)&gt;0,ISNUMBER(MATCH($X857,계정대체기준!$D$77:$D$86,0)),ISNUMBER(MATCH($F857,계정대체기준!$D$77:$D$86,0))),"Y","N")))</f>
        <v/>
      </c>
    </row>
    <row r="858">
      <c r="A858" s="92" t="n">
        <v>2025</v>
      </c>
      <c r="B858" s="92" t="n">
        <v>4</v>
      </c>
      <c r="C858" s="92" t="inlineStr">
        <is>
          <t>5100000854</t>
        </is>
      </c>
      <c r="D858" s="95" t="n">
        <v>45768</v>
      </c>
      <c r="E858" s="92" t="inlineStr">
        <is>
          <t>KR</t>
        </is>
      </c>
      <c r="F858" s="92" t="n">
        <v>62201000</v>
      </c>
      <c r="G858" s="92" t="n">
        <v>1501</v>
      </c>
      <c r="H858" s="93" t="n">
        <v>259000</v>
      </c>
      <c r="I858" s="92" t="inlineStr">
        <is>
          <t>4월 통신요금 - P통신</t>
        </is>
      </c>
      <c r="J858" s="92" t="inlineStr">
        <is>
          <t>V10014</t>
        </is>
      </c>
      <c r="K858" s="92" t="inlineStr">
        <is>
          <t>P통신</t>
        </is>
      </c>
      <c r="M858" s="9">
        <f>IF($A858="","",VALUE($A858&amp;"")*12+VALUE($B858&amp;""))</f>
        <v/>
      </c>
      <c r="N858" s="64">
        <f>IF($A858="","",IFERROR(INDEX(부서매핑!$C$5:$C$504,MATCH($G858&amp;"",부서매핑!$A$5:$A$504,0)),"미매핑"))</f>
        <v/>
      </c>
      <c r="O858" s="9">
        <f>IF($A858="","",N858&amp;"|"&amp;$F858)</f>
        <v/>
      </c>
      <c r="P858" s="94">
        <f>IF($A858="",0,$H858*설정!$C$23)</f>
        <v/>
      </c>
      <c r="Q858" s="64">
        <f>IF($A858="","",IF(O858&lt;&gt;원인분석!$C$9,"",IF(AND(M858&gt;=원인분석!$C$10,M858&lt;=원인분석!$C$11),"당기",IF(AND(M858&gt;=원인분석!$C$12,M858&lt;=원인분석!$C$13),"비교",""))))</f>
        <v/>
      </c>
      <c r="R858" s="9">
        <f>IF(Q858="","",$K858&amp;"")</f>
        <v/>
      </c>
      <c r="S858" s="9">
        <f>IF(Q858="","",IF(MATCH(R858,$R$5:$R$100000,0)=ROW()-4,ROW(),""))</f>
        <v/>
      </c>
      <c r="T858" s="9">
        <f>IF(Q858="당기",ABS(P858)+ROW()/1000000000,"")</f>
        <v/>
      </c>
      <c r="U858" s="9">
        <f>IF(Q858="비교",ABS(P858)+ROW()/1000000000,"")</f>
        <v/>
      </c>
      <c r="V858" s="64">
        <f>IF($A858="","",IF(COUNTIF(변동분석!$E$7:$E$506,O858)&gt;0,"Y","N"))</f>
        <v/>
      </c>
      <c r="W858" s="64">
        <f>IF($A858="","",IFERROR(INDEX(계정매핑!$D$5:$D$504,MATCH($F858&amp;"",계정매핑!$A$5:$A$504,0)),"미매핑"))</f>
        <v/>
      </c>
      <c r="X858" s="9">
        <f>IF($A858="","",$F858&amp;"")</f>
        <v/>
      </c>
      <c r="Y858" s="94">
        <f>IF($A858="",0,IF(AE858="직접",IF(AF858="비귀속",$P858,0),$P858*(1-AG858)*IFERROR(INDEX(계정대체기준!$F$20:$F$49,MATCH($N858,계정대체기준!$A$20:$A$49,0)),1)))</f>
        <v/>
      </c>
      <c r="Z858" s="94">
        <f>IF($A858="",0,IF(AE858="직접",IF(AF858="신계약비",$P858,0),$P858*(1-AG858)*IFERROR(INDEX(계정대체기준!$C$20:$C$49,MATCH($N858,계정대체기준!$A$20:$A$49,0)),0)))</f>
        <v/>
      </c>
      <c r="AA858" s="94">
        <f>IF($A858="",0,IF(AE858="직접",IF(OR(AF858="유지비",AF858="손해조사비"),$P858,0),$P858*(1-AG858)*IFERROR(INDEX(계정대체기준!$D$20:$D$49,MATCH($N858,계정대체기준!$A$20:$A$49,0)),0)))</f>
        <v/>
      </c>
      <c r="AB858" s="94">
        <f>IF($A858="",0,IF(AE858="직접",IF(AF858="수금비",$P858,0),$P858*(1-AG858)*IFERROR(INDEX(계정대체기준!$E$20:$E$49,MATCH($N858,계정대체기준!$A$20:$A$49,0)),0)))</f>
        <v/>
      </c>
      <c r="AC858" s="9">
        <f>IF(AND($A858&lt;&gt;"",M858=설정!$C$20,Z858&gt;0),Z858+ROW()/1000000000,"")</f>
        <v/>
      </c>
      <c r="AD858" s="94">
        <f>IF($A858="",0,$P858*AG858)</f>
        <v/>
      </c>
      <c r="AE858" s="64">
        <f>IF($A858="","",IFERROR(INDEX(계정매핑!$E$5:$E$504,MATCH($F858&amp;"",계정매핑!$A$5:$A$504,0))&amp;"","공통비"))</f>
        <v/>
      </c>
      <c r="AF858" s="64">
        <f>IF($A858="","",IF(AE858="직접",IFERROR(INDEX(계정매핑!$F$5:$F$504,MATCH($F858&amp;"",계정매핑!$A$5:$A$504,0))&amp;"","비귀속"),""))</f>
        <v/>
      </c>
      <c r="AG858" s="96">
        <f>IF($A858="",0,IF(AND(AE858&lt;&gt;"직접",IFERROR(INDEX(계정매핑!$G$5:$G$504,MATCH($F858&amp;"",계정매핑!$A$5:$A$504,0))&amp;"","")="유지비",COUNTIF(계정대체기준!$A$6:$A$15,$N858)&gt;0),IFERROR(INDEX(계정대체기준!$E$6:$E$15,MATCH(VALUE($A858&amp;""),계정대체기준!$D$6:$D$15,0)),0),0))</f>
        <v/>
      </c>
      <c r="AH858" s="64">
        <f>IF($A858="","",IF(AD858=0,"",IF(OR(COUNTIF(계정대체기준!$A$77:$A$86,$N858)&gt;0,ISNUMBER(MATCH($X858,계정대체기준!$D$77:$D$86,0)),ISNUMBER(MATCH($F858,계정대체기준!$D$77:$D$86,0))),"Y","N")))</f>
        <v/>
      </c>
    </row>
    <row r="859">
      <c r="A859" s="92" t="n">
        <v>2025</v>
      </c>
      <c r="B859" s="92" t="n">
        <v>4</v>
      </c>
      <c r="C859" s="92" t="inlineStr">
        <is>
          <t>5100000855</t>
        </is>
      </c>
      <c r="D859" s="95" t="n">
        <v>45768</v>
      </c>
      <c r="E859" s="92" t="inlineStr">
        <is>
          <t>KR</t>
        </is>
      </c>
      <c r="F859" s="92" t="n">
        <v>62301000</v>
      </c>
      <c r="G859" s="92" t="n">
        <v>1801</v>
      </c>
      <c r="H859" s="93" t="n">
        <v>675000</v>
      </c>
      <c r="I859" s="92" t="inlineStr">
        <is>
          <t>4월 소모품 구입 - Q오피스</t>
        </is>
      </c>
      <c r="J859" s="92" t="inlineStr">
        <is>
          <t>V10003</t>
        </is>
      </c>
      <c r="K859" s="92" t="inlineStr">
        <is>
          <t>Q오피스</t>
        </is>
      </c>
      <c r="M859" s="9">
        <f>IF($A859="","",VALUE($A859&amp;"")*12+VALUE($B859&amp;""))</f>
        <v/>
      </c>
      <c r="N859" s="64">
        <f>IF($A859="","",IFERROR(INDEX(부서매핑!$C$5:$C$504,MATCH($G859&amp;"",부서매핑!$A$5:$A$504,0)),"미매핑"))</f>
        <v/>
      </c>
      <c r="O859" s="9">
        <f>IF($A859="","",N859&amp;"|"&amp;$F859)</f>
        <v/>
      </c>
      <c r="P859" s="94">
        <f>IF($A859="",0,$H859*설정!$C$23)</f>
        <v/>
      </c>
      <c r="Q859" s="64">
        <f>IF($A859="","",IF(O859&lt;&gt;원인분석!$C$9,"",IF(AND(M859&gt;=원인분석!$C$10,M859&lt;=원인분석!$C$11),"당기",IF(AND(M859&gt;=원인분석!$C$12,M859&lt;=원인분석!$C$13),"비교",""))))</f>
        <v/>
      </c>
      <c r="R859" s="9">
        <f>IF(Q859="","",$K859&amp;"")</f>
        <v/>
      </c>
      <c r="S859" s="9">
        <f>IF(Q859="","",IF(MATCH(R859,$R$5:$R$100000,0)=ROW()-4,ROW(),""))</f>
        <v/>
      </c>
      <c r="T859" s="9">
        <f>IF(Q859="당기",ABS(P859)+ROW()/1000000000,"")</f>
        <v/>
      </c>
      <c r="U859" s="9">
        <f>IF(Q859="비교",ABS(P859)+ROW()/1000000000,"")</f>
        <v/>
      </c>
      <c r="V859" s="64">
        <f>IF($A859="","",IF(COUNTIF(변동분석!$E$7:$E$506,O859)&gt;0,"Y","N"))</f>
        <v/>
      </c>
      <c r="W859" s="64">
        <f>IF($A859="","",IFERROR(INDEX(계정매핑!$D$5:$D$504,MATCH($F859&amp;"",계정매핑!$A$5:$A$504,0)),"미매핑"))</f>
        <v/>
      </c>
      <c r="X859" s="9">
        <f>IF($A859="","",$F859&amp;"")</f>
        <v/>
      </c>
      <c r="Y859" s="94">
        <f>IF($A859="",0,IF(AE859="직접",IF(AF859="비귀속",$P859,0),$P859*(1-AG859)*IFERROR(INDEX(계정대체기준!$F$20:$F$49,MATCH($N859,계정대체기준!$A$20:$A$49,0)),1)))</f>
        <v/>
      </c>
      <c r="Z859" s="94">
        <f>IF($A859="",0,IF(AE859="직접",IF(AF859="신계약비",$P859,0),$P859*(1-AG859)*IFERROR(INDEX(계정대체기준!$C$20:$C$49,MATCH($N859,계정대체기준!$A$20:$A$49,0)),0)))</f>
        <v/>
      </c>
      <c r="AA859" s="94">
        <f>IF($A859="",0,IF(AE859="직접",IF(OR(AF859="유지비",AF859="손해조사비"),$P859,0),$P859*(1-AG859)*IFERROR(INDEX(계정대체기준!$D$20:$D$49,MATCH($N859,계정대체기준!$A$20:$A$49,0)),0)))</f>
        <v/>
      </c>
      <c r="AB859" s="94">
        <f>IF($A859="",0,IF(AE859="직접",IF(AF859="수금비",$P859,0),$P859*(1-AG859)*IFERROR(INDEX(계정대체기준!$E$20:$E$49,MATCH($N859,계정대체기준!$A$20:$A$49,0)),0)))</f>
        <v/>
      </c>
      <c r="AC859" s="9">
        <f>IF(AND($A859&lt;&gt;"",M859=설정!$C$20,Z859&gt;0),Z859+ROW()/1000000000,"")</f>
        <v/>
      </c>
      <c r="AD859" s="94">
        <f>IF($A859="",0,$P859*AG859)</f>
        <v/>
      </c>
      <c r="AE859" s="64">
        <f>IF($A859="","",IFERROR(INDEX(계정매핑!$E$5:$E$504,MATCH($F859&amp;"",계정매핑!$A$5:$A$504,0))&amp;"","공통비"))</f>
        <v/>
      </c>
      <c r="AF859" s="64">
        <f>IF($A859="","",IF(AE859="직접",IFERROR(INDEX(계정매핑!$F$5:$F$504,MATCH($F859&amp;"",계정매핑!$A$5:$A$504,0))&amp;"","비귀속"),""))</f>
        <v/>
      </c>
      <c r="AG859" s="96">
        <f>IF($A859="",0,IF(AND(AE859&lt;&gt;"직접",IFERROR(INDEX(계정매핑!$G$5:$G$504,MATCH($F859&amp;"",계정매핑!$A$5:$A$504,0))&amp;"","")="유지비",COUNTIF(계정대체기준!$A$6:$A$15,$N859)&gt;0),IFERROR(INDEX(계정대체기준!$E$6:$E$15,MATCH(VALUE($A859&amp;""),계정대체기준!$D$6:$D$15,0)),0),0))</f>
        <v/>
      </c>
      <c r="AH859" s="64">
        <f>IF($A859="","",IF(AD859=0,"",IF(OR(COUNTIF(계정대체기준!$A$77:$A$86,$N859)&gt;0,ISNUMBER(MATCH($X859,계정대체기준!$D$77:$D$86,0)),ISNUMBER(MATCH($F859,계정대체기준!$D$77:$D$86,0))),"Y","N")))</f>
        <v/>
      </c>
    </row>
    <row r="860">
      <c r="A860" s="92" t="n">
        <v>2025</v>
      </c>
      <c r="B860" s="92" t="n">
        <v>4</v>
      </c>
      <c r="C860" s="92" t="inlineStr">
        <is>
          <t>5100000856</t>
        </is>
      </c>
      <c r="D860" s="95" t="n">
        <v>45768</v>
      </c>
      <c r="E860" s="92" t="inlineStr">
        <is>
          <t>KR</t>
        </is>
      </c>
      <c r="F860" s="92" t="n">
        <v>62601000</v>
      </c>
      <c r="G860" s="92" t="n">
        <v>1101</v>
      </c>
      <c r="H860" s="93" t="n">
        <v>1578000</v>
      </c>
      <c r="I860" s="92" t="inlineStr">
        <is>
          <t>4월 업무추진 - (법인카드)</t>
        </is>
      </c>
      <c r="J860" s="92" t="inlineStr">
        <is>
          <t>V10010</t>
        </is>
      </c>
      <c r="K860" s="92" t="inlineStr">
        <is>
          <t>(법인카드)</t>
        </is>
      </c>
      <c r="M860" s="9">
        <f>IF($A860="","",VALUE($A860&amp;"")*12+VALUE($B860&amp;""))</f>
        <v/>
      </c>
      <c r="N860" s="64">
        <f>IF($A860="","",IFERROR(INDEX(부서매핑!$C$5:$C$504,MATCH($G860&amp;"",부서매핑!$A$5:$A$504,0)),"미매핑"))</f>
        <v/>
      </c>
      <c r="O860" s="9">
        <f>IF($A860="","",N860&amp;"|"&amp;$F860)</f>
        <v/>
      </c>
      <c r="P860" s="94">
        <f>IF($A860="",0,$H860*설정!$C$23)</f>
        <v/>
      </c>
      <c r="Q860" s="64">
        <f>IF($A860="","",IF(O860&lt;&gt;원인분석!$C$9,"",IF(AND(M860&gt;=원인분석!$C$10,M860&lt;=원인분석!$C$11),"당기",IF(AND(M860&gt;=원인분석!$C$12,M860&lt;=원인분석!$C$13),"비교",""))))</f>
        <v/>
      </c>
      <c r="R860" s="9">
        <f>IF(Q860="","",$K860&amp;"")</f>
        <v/>
      </c>
      <c r="S860" s="9">
        <f>IF(Q860="","",IF(MATCH(R860,$R$5:$R$100000,0)=ROW()-4,ROW(),""))</f>
        <v/>
      </c>
      <c r="T860" s="9">
        <f>IF(Q860="당기",ABS(P860)+ROW()/1000000000,"")</f>
        <v/>
      </c>
      <c r="U860" s="9">
        <f>IF(Q860="비교",ABS(P860)+ROW()/1000000000,"")</f>
        <v/>
      </c>
      <c r="V860" s="64">
        <f>IF($A860="","",IF(COUNTIF(변동분석!$E$7:$E$506,O860)&gt;0,"Y","N"))</f>
        <v/>
      </c>
      <c r="W860" s="64">
        <f>IF($A860="","",IFERROR(INDEX(계정매핑!$D$5:$D$504,MATCH($F860&amp;"",계정매핑!$A$5:$A$504,0)),"미매핑"))</f>
        <v/>
      </c>
      <c r="X860" s="9">
        <f>IF($A860="","",$F860&amp;"")</f>
        <v/>
      </c>
      <c r="Y860" s="94">
        <f>IF($A860="",0,IF(AE860="직접",IF(AF860="비귀속",$P860,0),$P860*(1-AG860)*IFERROR(INDEX(계정대체기준!$F$20:$F$49,MATCH($N860,계정대체기준!$A$20:$A$49,0)),1)))</f>
        <v/>
      </c>
      <c r="Z860" s="94">
        <f>IF($A860="",0,IF(AE860="직접",IF(AF860="신계약비",$P860,0),$P860*(1-AG860)*IFERROR(INDEX(계정대체기준!$C$20:$C$49,MATCH($N860,계정대체기준!$A$20:$A$49,0)),0)))</f>
        <v/>
      </c>
      <c r="AA860" s="94">
        <f>IF($A860="",0,IF(AE860="직접",IF(OR(AF860="유지비",AF860="손해조사비"),$P860,0),$P860*(1-AG860)*IFERROR(INDEX(계정대체기준!$D$20:$D$49,MATCH($N860,계정대체기준!$A$20:$A$49,0)),0)))</f>
        <v/>
      </c>
      <c r="AB860" s="94">
        <f>IF($A860="",0,IF(AE860="직접",IF(AF860="수금비",$P860,0),$P860*(1-AG860)*IFERROR(INDEX(계정대체기준!$E$20:$E$49,MATCH($N860,계정대체기준!$A$20:$A$49,0)),0)))</f>
        <v/>
      </c>
      <c r="AC860" s="9">
        <f>IF(AND($A860&lt;&gt;"",M860=설정!$C$20,Z860&gt;0),Z860+ROW()/1000000000,"")</f>
        <v/>
      </c>
      <c r="AD860" s="94">
        <f>IF($A860="",0,$P860*AG860)</f>
        <v/>
      </c>
      <c r="AE860" s="64">
        <f>IF($A860="","",IFERROR(INDEX(계정매핑!$E$5:$E$504,MATCH($F860&amp;"",계정매핑!$A$5:$A$504,0))&amp;"","공통비"))</f>
        <v/>
      </c>
      <c r="AF860" s="64">
        <f>IF($A860="","",IF(AE860="직접",IFERROR(INDEX(계정매핑!$F$5:$F$504,MATCH($F860&amp;"",계정매핑!$A$5:$A$504,0))&amp;"","비귀속"),""))</f>
        <v/>
      </c>
      <c r="AG860" s="96">
        <f>IF($A860="",0,IF(AND(AE860&lt;&gt;"직접",IFERROR(INDEX(계정매핑!$G$5:$G$504,MATCH($F860&amp;"",계정매핑!$A$5:$A$504,0))&amp;"","")="유지비",COUNTIF(계정대체기준!$A$6:$A$15,$N860)&gt;0),IFERROR(INDEX(계정대체기준!$E$6:$E$15,MATCH(VALUE($A860&amp;""),계정대체기준!$D$6:$D$15,0)),0),0))</f>
        <v/>
      </c>
      <c r="AH860" s="64">
        <f>IF($A860="","",IF(AD860=0,"",IF(OR(COUNTIF(계정대체기준!$A$77:$A$86,$N860)&gt;0,ISNUMBER(MATCH($X860,계정대체기준!$D$77:$D$86,0)),ISNUMBER(MATCH($F860,계정대체기준!$D$77:$D$86,0))),"Y","N")))</f>
        <v/>
      </c>
    </row>
    <row r="861">
      <c r="A861" s="92" t="n">
        <v>2025</v>
      </c>
      <c r="B861" s="92" t="n">
        <v>4</v>
      </c>
      <c r="C861" s="92" t="inlineStr">
        <is>
          <t>5100000857</t>
        </is>
      </c>
      <c r="D861" s="95" t="n">
        <v>45768</v>
      </c>
      <c r="E861" s="92" t="inlineStr">
        <is>
          <t>KR</t>
        </is>
      </c>
      <c r="F861" s="92" t="n">
        <v>62601000</v>
      </c>
      <c r="G861" s="92" t="n">
        <v>1602</v>
      </c>
      <c r="H861" s="93" t="n">
        <v>1902000</v>
      </c>
      <c r="I861" s="92" t="inlineStr">
        <is>
          <t>4월 업무추진 - (법인카드)</t>
        </is>
      </c>
      <c r="J861" s="92" t="inlineStr">
        <is>
          <t>V10010</t>
        </is>
      </c>
      <c r="K861" s="92" t="inlineStr">
        <is>
          <t>(법인카드)</t>
        </is>
      </c>
      <c r="M861" s="9">
        <f>IF($A861="","",VALUE($A861&amp;"")*12+VALUE($B861&amp;""))</f>
        <v/>
      </c>
      <c r="N861" s="64">
        <f>IF($A861="","",IFERROR(INDEX(부서매핑!$C$5:$C$504,MATCH($G861&amp;"",부서매핑!$A$5:$A$504,0)),"미매핑"))</f>
        <v/>
      </c>
      <c r="O861" s="9">
        <f>IF($A861="","",N861&amp;"|"&amp;$F861)</f>
        <v/>
      </c>
      <c r="P861" s="94">
        <f>IF($A861="",0,$H861*설정!$C$23)</f>
        <v/>
      </c>
      <c r="Q861" s="64">
        <f>IF($A861="","",IF(O861&lt;&gt;원인분석!$C$9,"",IF(AND(M861&gt;=원인분석!$C$10,M861&lt;=원인분석!$C$11),"당기",IF(AND(M861&gt;=원인분석!$C$12,M861&lt;=원인분석!$C$13),"비교",""))))</f>
        <v/>
      </c>
      <c r="R861" s="9">
        <f>IF(Q861="","",$K861&amp;"")</f>
        <v/>
      </c>
      <c r="S861" s="9">
        <f>IF(Q861="","",IF(MATCH(R861,$R$5:$R$100000,0)=ROW()-4,ROW(),""))</f>
        <v/>
      </c>
      <c r="T861" s="9">
        <f>IF(Q861="당기",ABS(P861)+ROW()/1000000000,"")</f>
        <v/>
      </c>
      <c r="U861" s="9">
        <f>IF(Q861="비교",ABS(P861)+ROW()/1000000000,"")</f>
        <v/>
      </c>
      <c r="V861" s="64">
        <f>IF($A861="","",IF(COUNTIF(변동분석!$E$7:$E$506,O861)&gt;0,"Y","N"))</f>
        <v/>
      </c>
      <c r="W861" s="64">
        <f>IF($A861="","",IFERROR(INDEX(계정매핑!$D$5:$D$504,MATCH($F861&amp;"",계정매핑!$A$5:$A$504,0)),"미매핑"))</f>
        <v/>
      </c>
      <c r="X861" s="9">
        <f>IF($A861="","",$F861&amp;"")</f>
        <v/>
      </c>
      <c r="Y861" s="94">
        <f>IF($A861="",0,IF(AE861="직접",IF(AF861="비귀속",$P861,0),$P861*(1-AG861)*IFERROR(INDEX(계정대체기준!$F$20:$F$49,MATCH($N861,계정대체기준!$A$20:$A$49,0)),1)))</f>
        <v/>
      </c>
      <c r="Z861" s="94">
        <f>IF($A861="",0,IF(AE861="직접",IF(AF861="신계약비",$P861,0),$P861*(1-AG861)*IFERROR(INDEX(계정대체기준!$C$20:$C$49,MATCH($N861,계정대체기준!$A$20:$A$49,0)),0)))</f>
        <v/>
      </c>
      <c r="AA861" s="94">
        <f>IF($A861="",0,IF(AE861="직접",IF(OR(AF861="유지비",AF861="손해조사비"),$P861,0),$P861*(1-AG861)*IFERROR(INDEX(계정대체기준!$D$20:$D$49,MATCH($N861,계정대체기준!$A$20:$A$49,0)),0)))</f>
        <v/>
      </c>
      <c r="AB861" s="94">
        <f>IF($A861="",0,IF(AE861="직접",IF(AF861="수금비",$P861,0),$P861*(1-AG861)*IFERROR(INDEX(계정대체기준!$E$20:$E$49,MATCH($N861,계정대체기준!$A$20:$A$49,0)),0)))</f>
        <v/>
      </c>
      <c r="AC861" s="9">
        <f>IF(AND($A861&lt;&gt;"",M861=설정!$C$20,Z861&gt;0),Z861+ROW()/1000000000,"")</f>
        <v/>
      </c>
      <c r="AD861" s="94">
        <f>IF($A861="",0,$P861*AG861)</f>
        <v/>
      </c>
      <c r="AE861" s="64">
        <f>IF($A861="","",IFERROR(INDEX(계정매핑!$E$5:$E$504,MATCH($F861&amp;"",계정매핑!$A$5:$A$504,0))&amp;"","공통비"))</f>
        <v/>
      </c>
      <c r="AF861" s="64">
        <f>IF($A861="","",IF(AE861="직접",IFERROR(INDEX(계정매핑!$F$5:$F$504,MATCH($F861&amp;"",계정매핑!$A$5:$A$504,0))&amp;"","비귀속"),""))</f>
        <v/>
      </c>
      <c r="AG861" s="96">
        <f>IF($A861="",0,IF(AND(AE861&lt;&gt;"직접",IFERROR(INDEX(계정매핑!$G$5:$G$504,MATCH($F861&amp;"",계정매핑!$A$5:$A$504,0))&amp;"","")="유지비",COUNTIF(계정대체기준!$A$6:$A$15,$N861)&gt;0),IFERROR(INDEX(계정대체기준!$E$6:$E$15,MATCH(VALUE($A861&amp;""),계정대체기준!$D$6:$D$15,0)),0),0))</f>
        <v/>
      </c>
      <c r="AH861" s="64">
        <f>IF($A861="","",IF(AD861=0,"",IF(OR(COUNTIF(계정대체기준!$A$77:$A$86,$N861)&gt;0,ISNUMBER(MATCH($X861,계정대체기준!$D$77:$D$86,0)),ISNUMBER(MATCH($F861,계정대체기준!$D$77:$D$86,0))),"Y","N")))</f>
        <v/>
      </c>
    </row>
    <row r="862">
      <c r="A862" s="92" t="n">
        <v>2025</v>
      </c>
      <c r="B862" s="92" t="n">
        <v>4</v>
      </c>
      <c r="C862" s="92" t="inlineStr">
        <is>
          <t>5100000858</t>
        </is>
      </c>
      <c r="D862" s="95" t="n">
        <v>45768</v>
      </c>
      <c r="E862" s="92" t="inlineStr">
        <is>
          <t>KR</t>
        </is>
      </c>
      <c r="F862" s="92" t="n">
        <v>63001000</v>
      </c>
      <c r="G862" s="92" t="n">
        <v>1701</v>
      </c>
      <c r="H862" s="93" t="n">
        <v>23641000</v>
      </c>
      <c r="I862" s="92" t="inlineStr">
        <is>
          <t>4월 SW 유지보수 - Z시스템</t>
        </is>
      </c>
      <c r="J862" s="92" t="inlineStr">
        <is>
          <t>V10012</t>
        </is>
      </c>
      <c r="K862" s="92" t="inlineStr">
        <is>
          <t>Z시스템</t>
        </is>
      </c>
      <c r="M862" s="9">
        <f>IF($A862="","",VALUE($A862&amp;"")*12+VALUE($B862&amp;""))</f>
        <v/>
      </c>
      <c r="N862" s="64">
        <f>IF($A862="","",IFERROR(INDEX(부서매핑!$C$5:$C$504,MATCH($G862&amp;"",부서매핑!$A$5:$A$504,0)),"미매핑"))</f>
        <v/>
      </c>
      <c r="O862" s="9">
        <f>IF($A862="","",N862&amp;"|"&amp;$F862)</f>
        <v/>
      </c>
      <c r="P862" s="94">
        <f>IF($A862="",0,$H862*설정!$C$23)</f>
        <v/>
      </c>
      <c r="Q862" s="64">
        <f>IF($A862="","",IF(O862&lt;&gt;원인분석!$C$9,"",IF(AND(M862&gt;=원인분석!$C$10,M862&lt;=원인분석!$C$11),"당기",IF(AND(M862&gt;=원인분석!$C$12,M862&lt;=원인분석!$C$13),"비교",""))))</f>
        <v/>
      </c>
      <c r="R862" s="9">
        <f>IF(Q862="","",$K862&amp;"")</f>
        <v/>
      </c>
      <c r="S862" s="9">
        <f>IF(Q862="","",IF(MATCH(R862,$R$5:$R$100000,0)=ROW()-4,ROW(),""))</f>
        <v/>
      </c>
      <c r="T862" s="9">
        <f>IF(Q862="당기",ABS(P862)+ROW()/1000000000,"")</f>
        <v/>
      </c>
      <c r="U862" s="9">
        <f>IF(Q862="비교",ABS(P862)+ROW()/1000000000,"")</f>
        <v/>
      </c>
      <c r="V862" s="64">
        <f>IF($A862="","",IF(COUNTIF(변동분석!$E$7:$E$506,O862)&gt;0,"Y","N"))</f>
        <v/>
      </c>
      <c r="W862" s="64">
        <f>IF($A862="","",IFERROR(INDEX(계정매핑!$D$5:$D$504,MATCH($F862&amp;"",계정매핑!$A$5:$A$504,0)),"미매핑"))</f>
        <v/>
      </c>
      <c r="X862" s="9">
        <f>IF($A862="","",$F862&amp;"")</f>
        <v/>
      </c>
      <c r="Y862" s="94">
        <f>IF($A862="",0,IF(AE862="직접",IF(AF862="비귀속",$P862,0),$P862*(1-AG862)*IFERROR(INDEX(계정대체기준!$F$20:$F$49,MATCH($N862,계정대체기준!$A$20:$A$49,0)),1)))</f>
        <v/>
      </c>
      <c r="Z862" s="94">
        <f>IF($A862="",0,IF(AE862="직접",IF(AF862="신계약비",$P862,0),$P862*(1-AG862)*IFERROR(INDEX(계정대체기준!$C$20:$C$49,MATCH($N862,계정대체기준!$A$20:$A$49,0)),0)))</f>
        <v/>
      </c>
      <c r="AA862" s="94">
        <f>IF($A862="",0,IF(AE862="직접",IF(OR(AF862="유지비",AF862="손해조사비"),$P862,0),$P862*(1-AG862)*IFERROR(INDEX(계정대체기준!$D$20:$D$49,MATCH($N862,계정대체기준!$A$20:$A$49,0)),0)))</f>
        <v/>
      </c>
      <c r="AB862" s="94">
        <f>IF($A862="",0,IF(AE862="직접",IF(AF862="수금비",$P862,0),$P862*(1-AG862)*IFERROR(INDEX(계정대체기준!$E$20:$E$49,MATCH($N862,계정대체기준!$A$20:$A$49,0)),0)))</f>
        <v/>
      </c>
      <c r="AC862" s="9">
        <f>IF(AND($A862&lt;&gt;"",M862=설정!$C$20,Z862&gt;0),Z862+ROW()/1000000000,"")</f>
        <v/>
      </c>
      <c r="AD862" s="94">
        <f>IF($A862="",0,$P862*AG862)</f>
        <v/>
      </c>
      <c r="AE862" s="64">
        <f>IF($A862="","",IFERROR(INDEX(계정매핑!$E$5:$E$504,MATCH($F862&amp;"",계정매핑!$A$5:$A$504,0))&amp;"","공통비"))</f>
        <v/>
      </c>
      <c r="AF862" s="64">
        <f>IF($A862="","",IF(AE862="직접",IFERROR(INDEX(계정매핑!$F$5:$F$504,MATCH($F862&amp;"",계정매핑!$A$5:$A$504,0))&amp;"","비귀속"),""))</f>
        <v/>
      </c>
      <c r="AG862" s="96">
        <f>IF($A862="",0,IF(AND(AE862&lt;&gt;"직접",IFERROR(INDEX(계정매핑!$G$5:$G$504,MATCH($F862&amp;"",계정매핑!$A$5:$A$504,0))&amp;"","")="유지비",COUNTIF(계정대체기준!$A$6:$A$15,$N862)&gt;0),IFERROR(INDEX(계정대체기준!$E$6:$E$15,MATCH(VALUE($A862&amp;""),계정대체기준!$D$6:$D$15,0)),0),0))</f>
        <v/>
      </c>
      <c r="AH862" s="64">
        <f>IF($A862="","",IF(AD862=0,"",IF(OR(COUNTIF(계정대체기준!$A$77:$A$86,$N862)&gt;0,ISNUMBER(MATCH($X862,계정대체기준!$D$77:$D$86,0)),ISNUMBER(MATCH($F862,계정대체기준!$D$77:$D$86,0))),"Y","N")))</f>
        <v/>
      </c>
    </row>
    <row r="863">
      <c r="A863" s="92" t="n">
        <v>2025</v>
      </c>
      <c r="B863" s="92" t="n">
        <v>4</v>
      </c>
      <c r="C863" s="92" t="inlineStr">
        <is>
          <t>5100000859</t>
        </is>
      </c>
      <c r="D863" s="95" t="n">
        <v>45769</v>
      </c>
      <c r="E863" s="92" t="inlineStr">
        <is>
          <t>KR</t>
        </is>
      </c>
      <c r="F863" s="92" t="n">
        <v>62101000</v>
      </c>
      <c r="G863" s="92" t="n">
        <v>1501</v>
      </c>
      <c r="H863" s="93" t="n">
        <v>438000</v>
      </c>
      <c r="I863" s="92" t="inlineStr">
        <is>
          <t>4월 국내출장 - L여행사</t>
        </is>
      </c>
      <c r="J863" s="92" t="inlineStr">
        <is>
          <t>V10018</t>
        </is>
      </c>
      <c r="K863" s="92" t="inlineStr">
        <is>
          <t>L여행사</t>
        </is>
      </c>
      <c r="M863" s="9">
        <f>IF($A863="","",VALUE($A863&amp;"")*12+VALUE($B863&amp;""))</f>
        <v/>
      </c>
      <c r="N863" s="64">
        <f>IF($A863="","",IFERROR(INDEX(부서매핑!$C$5:$C$504,MATCH($G863&amp;"",부서매핑!$A$5:$A$504,0)),"미매핑"))</f>
        <v/>
      </c>
      <c r="O863" s="9">
        <f>IF($A863="","",N863&amp;"|"&amp;$F863)</f>
        <v/>
      </c>
      <c r="P863" s="94">
        <f>IF($A863="",0,$H863*설정!$C$23)</f>
        <v/>
      </c>
      <c r="Q863" s="64">
        <f>IF($A863="","",IF(O863&lt;&gt;원인분석!$C$9,"",IF(AND(M863&gt;=원인분석!$C$10,M863&lt;=원인분석!$C$11),"당기",IF(AND(M863&gt;=원인분석!$C$12,M863&lt;=원인분석!$C$13),"비교",""))))</f>
        <v/>
      </c>
      <c r="R863" s="9">
        <f>IF(Q863="","",$K863&amp;"")</f>
        <v/>
      </c>
      <c r="S863" s="9">
        <f>IF(Q863="","",IF(MATCH(R863,$R$5:$R$100000,0)=ROW()-4,ROW(),""))</f>
        <v/>
      </c>
      <c r="T863" s="9">
        <f>IF(Q863="당기",ABS(P863)+ROW()/1000000000,"")</f>
        <v/>
      </c>
      <c r="U863" s="9">
        <f>IF(Q863="비교",ABS(P863)+ROW()/1000000000,"")</f>
        <v/>
      </c>
      <c r="V863" s="64">
        <f>IF($A863="","",IF(COUNTIF(변동분석!$E$7:$E$506,O863)&gt;0,"Y","N"))</f>
        <v/>
      </c>
      <c r="W863" s="64">
        <f>IF($A863="","",IFERROR(INDEX(계정매핑!$D$5:$D$504,MATCH($F863&amp;"",계정매핑!$A$5:$A$504,0)),"미매핑"))</f>
        <v/>
      </c>
      <c r="X863" s="9">
        <f>IF($A863="","",$F863&amp;"")</f>
        <v/>
      </c>
      <c r="Y863" s="94">
        <f>IF($A863="",0,IF(AE863="직접",IF(AF863="비귀속",$P863,0),$P863*(1-AG863)*IFERROR(INDEX(계정대체기준!$F$20:$F$49,MATCH($N863,계정대체기준!$A$20:$A$49,0)),1)))</f>
        <v/>
      </c>
      <c r="Z863" s="94">
        <f>IF($A863="",0,IF(AE863="직접",IF(AF863="신계약비",$P863,0),$P863*(1-AG863)*IFERROR(INDEX(계정대체기준!$C$20:$C$49,MATCH($N863,계정대체기준!$A$20:$A$49,0)),0)))</f>
        <v/>
      </c>
      <c r="AA863" s="94">
        <f>IF($A863="",0,IF(AE863="직접",IF(OR(AF863="유지비",AF863="손해조사비"),$P863,0),$P863*(1-AG863)*IFERROR(INDEX(계정대체기준!$D$20:$D$49,MATCH($N863,계정대체기준!$A$20:$A$49,0)),0)))</f>
        <v/>
      </c>
      <c r="AB863" s="94">
        <f>IF($A863="",0,IF(AE863="직접",IF(AF863="수금비",$P863,0),$P863*(1-AG863)*IFERROR(INDEX(계정대체기준!$E$20:$E$49,MATCH($N863,계정대체기준!$A$20:$A$49,0)),0)))</f>
        <v/>
      </c>
      <c r="AC863" s="9">
        <f>IF(AND($A863&lt;&gt;"",M863=설정!$C$20,Z863&gt;0),Z863+ROW()/1000000000,"")</f>
        <v/>
      </c>
      <c r="AD863" s="94">
        <f>IF($A863="",0,$P863*AG863)</f>
        <v/>
      </c>
      <c r="AE863" s="64">
        <f>IF($A863="","",IFERROR(INDEX(계정매핑!$E$5:$E$504,MATCH($F863&amp;"",계정매핑!$A$5:$A$504,0))&amp;"","공통비"))</f>
        <v/>
      </c>
      <c r="AF863" s="64">
        <f>IF($A863="","",IF(AE863="직접",IFERROR(INDEX(계정매핑!$F$5:$F$504,MATCH($F863&amp;"",계정매핑!$A$5:$A$504,0))&amp;"","비귀속"),""))</f>
        <v/>
      </c>
      <c r="AG863" s="96">
        <f>IF($A863="",0,IF(AND(AE863&lt;&gt;"직접",IFERROR(INDEX(계정매핑!$G$5:$G$504,MATCH($F863&amp;"",계정매핑!$A$5:$A$504,0))&amp;"","")="유지비",COUNTIF(계정대체기준!$A$6:$A$15,$N863)&gt;0),IFERROR(INDEX(계정대체기준!$E$6:$E$15,MATCH(VALUE($A863&amp;""),계정대체기준!$D$6:$D$15,0)),0),0))</f>
        <v/>
      </c>
      <c r="AH863" s="64">
        <f>IF($A863="","",IF(AD863=0,"",IF(OR(COUNTIF(계정대체기준!$A$77:$A$86,$N863)&gt;0,ISNUMBER(MATCH($X863,계정대체기준!$D$77:$D$86,0)),ISNUMBER(MATCH($F863,계정대체기준!$D$77:$D$86,0))),"Y","N")))</f>
        <v/>
      </c>
    </row>
    <row r="864">
      <c r="A864" s="92" t="n">
        <v>2025</v>
      </c>
      <c r="B864" s="92" t="n">
        <v>4</v>
      </c>
      <c r="C864" s="92" t="inlineStr">
        <is>
          <t>5100000860</t>
        </is>
      </c>
      <c r="D864" s="95" t="n">
        <v>45769</v>
      </c>
      <c r="E864" s="92" t="inlineStr">
        <is>
          <t>KR</t>
        </is>
      </c>
      <c r="F864" s="92" t="n">
        <v>62101000</v>
      </c>
      <c r="G864" s="92" t="n">
        <v>1602</v>
      </c>
      <c r="H864" s="93" t="n">
        <v>1556000</v>
      </c>
      <c r="I864" s="92" t="inlineStr">
        <is>
          <t>4월 국내출장 - L여행사</t>
        </is>
      </c>
      <c r="J864" s="92" t="inlineStr">
        <is>
          <t>V10018</t>
        </is>
      </c>
      <c r="K864" s="92" t="inlineStr">
        <is>
          <t>L여행사</t>
        </is>
      </c>
      <c r="M864" s="9">
        <f>IF($A864="","",VALUE($A864&amp;"")*12+VALUE($B864&amp;""))</f>
        <v/>
      </c>
      <c r="N864" s="64">
        <f>IF($A864="","",IFERROR(INDEX(부서매핑!$C$5:$C$504,MATCH($G864&amp;"",부서매핑!$A$5:$A$504,0)),"미매핑"))</f>
        <v/>
      </c>
      <c r="O864" s="9">
        <f>IF($A864="","",N864&amp;"|"&amp;$F864)</f>
        <v/>
      </c>
      <c r="P864" s="94">
        <f>IF($A864="",0,$H864*설정!$C$23)</f>
        <v/>
      </c>
      <c r="Q864" s="64">
        <f>IF($A864="","",IF(O864&lt;&gt;원인분석!$C$9,"",IF(AND(M864&gt;=원인분석!$C$10,M864&lt;=원인분석!$C$11),"당기",IF(AND(M864&gt;=원인분석!$C$12,M864&lt;=원인분석!$C$13),"비교",""))))</f>
        <v/>
      </c>
      <c r="R864" s="9">
        <f>IF(Q864="","",$K864&amp;"")</f>
        <v/>
      </c>
      <c r="S864" s="9">
        <f>IF(Q864="","",IF(MATCH(R864,$R$5:$R$100000,0)=ROW()-4,ROW(),""))</f>
        <v/>
      </c>
      <c r="T864" s="9">
        <f>IF(Q864="당기",ABS(P864)+ROW()/1000000000,"")</f>
        <v/>
      </c>
      <c r="U864" s="9">
        <f>IF(Q864="비교",ABS(P864)+ROW()/1000000000,"")</f>
        <v/>
      </c>
      <c r="V864" s="64">
        <f>IF($A864="","",IF(COUNTIF(변동분석!$E$7:$E$506,O864)&gt;0,"Y","N"))</f>
        <v/>
      </c>
      <c r="W864" s="64">
        <f>IF($A864="","",IFERROR(INDEX(계정매핑!$D$5:$D$504,MATCH($F864&amp;"",계정매핑!$A$5:$A$504,0)),"미매핑"))</f>
        <v/>
      </c>
      <c r="X864" s="9">
        <f>IF($A864="","",$F864&amp;"")</f>
        <v/>
      </c>
      <c r="Y864" s="94">
        <f>IF($A864="",0,IF(AE864="직접",IF(AF864="비귀속",$P864,0),$P864*(1-AG864)*IFERROR(INDEX(계정대체기준!$F$20:$F$49,MATCH($N864,계정대체기준!$A$20:$A$49,0)),1)))</f>
        <v/>
      </c>
      <c r="Z864" s="94">
        <f>IF($A864="",0,IF(AE864="직접",IF(AF864="신계약비",$P864,0),$P864*(1-AG864)*IFERROR(INDEX(계정대체기준!$C$20:$C$49,MATCH($N864,계정대체기준!$A$20:$A$49,0)),0)))</f>
        <v/>
      </c>
      <c r="AA864" s="94">
        <f>IF($A864="",0,IF(AE864="직접",IF(OR(AF864="유지비",AF864="손해조사비"),$P864,0),$P864*(1-AG864)*IFERROR(INDEX(계정대체기준!$D$20:$D$49,MATCH($N864,계정대체기준!$A$20:$A$49,0)),0)))</f>
        <v/>
      </c>
      <c r="AB864" s="94">
        <f>IF($A864="",0,IF(AE864="직접",IF(AF864="수금비",$P864,0),$P864*(1-AG864)*IFERROR(INDEX(계정대체기준!$E$20:$E$49,MATCH($N864,계정대체기준!$A$20:$A$49,0)),0)))</f>
        <v/>
      </c>
      <c r="AC864" s="9">
        <f>IF(AND($A864&lt;&gt;"",M864=설정!$C$20,Z864&gt;0),Z864+ROW()/1000000000,"")</f>
        <v/>
      </c>
      <c r="AD864" s="94">
        <f>IF($A864="",0,$P864*AG864)</f>
        <v/>
      </c>
      <c r="AE864" s="64">
        <f>IF($A864="","",IFERROR(INDEX(계정매핑!$E$5:$E$504,MATCH($F864&amp;"",계정매핑!$A$5:$A$504,0))&amp;"","공통비"))</f>
        <v/>
      </c>
      <c r="AF864" s="64">
        <f>IF($A864="","",IF(AE864="직접",IFERROR(INDEX(계정매핑!$F$5:$F$504,MATCH($F864&amp;"",계정매핑!$A$5:$A$504,0))&amp;"","비귀속"),""))</f>
        <v/>
      </c>
      <c r="AG864" s="96">
        <f>IF($A864="",0,IF(AND(AE864&lt;&gt;"직접",IFERROR(INDEX(계정매핑!$G$5:$G$504,MATCH($F864&amp;"",계정매핑!$A$5:$A$504,0))&amp;"","")="유지비",COUNTIF(계정대체기준!$A$6:$A$15,$N864)&gt;0),IFERROR(INDEX(계정대체기준!$E$6:$E$15,MATCH(VALUE($A864&amp;""),계정대체기준!$D$6:$D$15,0)),0),0))</f>
        <v/>
      </c>
      <c r="AH864" s="64">
        <f>IF($A864="","",IF(AD864=0,"",IF(OR(COUNTIF(계정대체기준!$A$77:$A$86,$N864)&gt;0,ISNUMBER(MATCH($X864,계정대체기준!$D$77:$D$86,0)),ISNUMBER(MATCH($F864,계정대체기준!$D$77:$D$86,0))),"Y","N")))</f>
        <v/>
      </c>
    </row>
    <row r="865">
      <c r="A865" s="92" t="n">
        <v>2025</v>
      </c>
      <c r="B865" s="92" t="n">
        <v>4</v>
      </c>
      <c r="C865" s="92" t="inlineStr">
        <is>
          <t>5100000861</t>
        </is>
      </c>
      <c r="D865" s="95" t="n">
        <v>45769</v>
      </c>
      <c r="E865" s="92" t="inlineStr">
        <is>
          <t>KR</t>
        </is>
      </c>
      <c r="F865" s="92" t="n">
        <v>62101000</v>
      </c>
      <c r="G865" s="92" t="n">
        <v>1801</v>
      </c>
      <c r="H865" s="93" t="n">
        <v>117000</v>
      </c>
      <c r="I865" s="92" t="inlineStr">
        <is>
          <t>4월 국내출장 - L여행사</t>
        </is>
      </c>
      <c r="J865" s="92" t="inlineStr">
        <is>
          <t>V10018</t>
        </is>
      </c>
      <c r="K865" s="92" t="inlineStr">
        <is>
          <t>L여행사</t>
        </is>
      </c>
      <c r="M865" s="9">
        <f>IF($A865="","",VALUE($A865&amp;"")*12+VALUE($B865&amp;""))</f>
        <v/>
      </c>
      <c r="N865" s="64">
        <f>IF($A865="","",IFERROR(INDEX(부서매핑!$C$5:$C$504,MATCH($G865&amp;"",부서매핑!$A$5:$A$504,0)),"미매핑"))</f>
        <v/>
      </c>
      <c r="O865" s="9">
        <f>IF($A865="","",N865&amp;"|"&amp;$F865)</f>
        <v/>
      </c>
      <c r="P865" s="94">
        <f>IF($A865="",0,$H865*설정!$C$23)</f>
        <v/>
      </c>
      <c r="Q865" s="64">
        <f>IF($A865="","",IF(O865&lt;&gt;원인분석!$C$9,"",IF(AND(M865&gt;=원인분석!$C$10,M865&lt;=원인분석!$C$11),"당기",IF(AND(M865&gt;=원인분석!$C$12,M865&lt;=원인분석!$C$13),"비교",""))))</f>
        <v/>
      </c>
      <c r="R865" s="9">
        <f>IF(Q865="","",$K865&amp;"")</f>
        <v/>
      </c>
      <c r="S865" s="9">
        <f>IF(Q865="","",IF(MATCH(R865,$R$5:$R$100000,0)=ROW()-4,ROW(),""))</f>
        <v/>
      </c>
      <c r="T865" s="9">
        <f>IF(Q865="당기",ABS(P865)+ROW()/1000000000,"")</f>
        <v/>
      </c>
      <c r="U865" s="9">
        <f>IF(Q865="비교",ABS(P865)+ROW()/1000000000,"")</f>
        <v/>
      </c>
      <c r="V865" s="64">
        <f>IF($A865="","",IF(COUNTIF(변동분석!$E$7:$E$506,O865)&gt;0,"Y","N"))</f>
        <v/>
      </c>
      <c r="W865" s="64">
        <f>IF($A865="","",IFERROR(INDEX(계정매핑!$D$5:$D$504,MATCH($F865&amp;"",계정매핑!$A$5:$A$504,0)),"미매핑"))</f>
        <v/>
      </c>
      <c r="X865" s="9">
        <f>IF($A865="","",$F865&amp;"")</f>
        <v/>
      </c>
      <c r="Y865" s="94">
        <f>IF($A865="",0,IF(AE865="직접",IF(AF865="비귀속",$P865,0),$P865*(1-AG865)*IFERROR(INDEX(계정대체기준!$F$20:$F$49,MATCH($N865,계정대체기준!$A$20:$A$49,0)),1)))</f>
        <v/>
      </c>
      <c r="Z865" s="94">
        <f>IF($A865="",0,IF(AE865="직접",IF(AF865="신계약비",$P865,0),$P865*(1-AG865)*IFERROR(INDEX(계정대체기준!$C$20:$C$49,MATCH($N865,계정대체기준!$A$20:$A$49,0)),0)))</f>
        <v/>
      </c>
      <c r="AA865" s="94">
        <f>IF($A865="",0,IF(AE865="직접",IF(OR(AF865="유지비",AF865="손해조사비"),$P865,0),$P865*(1-AG865)*IFERROR(INDEX(계정대체기준!$D$20:$D$49,MATCH($N865,계정대체기준!$A$20:$A$49,0)),0)))</f>
        <v/>
      </c>
      <c r="AB865" s="94">
        <f>IF($A865="",0,IF(AE865="직접",IF(AF865="수금비",$P865,0),$P865*(1-AG865)*IFERROR(INDEX(계정대체기준!$E$20:$E$49,MATCH($N865,계정대체기준!$A$20:$A$49,0)),0)))</f>
        <v/>
      </c>
      <c r="AC865" s="9">
        <f>IF(AND($A865&lt;&gt;"",M865=설정!$C$20,Z865&gt;0),Z865+ROW()/1000000000,"")</f>
        <v/>
      </c>
      <c r="AD865" s="94">
        <f>IF($A865="",0,$P865*AG865)</f>
        <v/>
      </c>
      <c r="AE865" s="64">
        <f>IF($A865="","",IFERROR(INDEX(계정매핑!$E$5:$E$504,MATCH($F865&amp;"",계정매핑!$A$5:$A$504,0))&amp;"","공통비"))</f>
        <v/>
      </c>
      <c r="AF865" s="64">
        <f>IF($A865="","",IF(AE865="직접",IFERROR(INDEX(계정매핑!$F$5:$F$504,MATCH($F865&amp;"",계정매핑!$A$5:$A$504,0))&amp;"","비귀속"),""))</f>
        <v/>
      </c>
      <c r="AG865" s="96">
        <f>IF($A865="",0,IF(AND(AE865&lt;&gt;"직접",IFERROR(INDEX(계정매핑!$G$5:$G$504,MATCH($F865&amp;"",계정매핑!$A$5:$A$504,0))&amp;"","")="유지비",COUNTIF(계정대체기준!$A$6:$A$15,$N865)&gt;0),IFERROR(INDEX(계정대체기준!$E$6:$E$15,MATCH(VALUE($A865&amp;""),계정대체기준!$D$6:$D$15,0)),0),0))</f>
        <v/>
      </c>
      <c r="AH865" s="64">
        <f>IF($A865="","",IF(AD865=0,"",IF(OR(COUNTIF(계정대체기준!$A$77:$A$86,$N865)&gt;0,ISNUMBER(MATCH($X865,계정대체기준!$D$77:$D$86,0)),ISNUMBER(MATCH($F865,계정대체기준!$D$77:$D$86,0))),"Y","N")))</f>
        <v/>
      </c>
    </row>
    <row r="866">
      <c r="A866" s="92" t="n">
        <v>2025</v>
      </c>
      <c r="B866" s="92" t="n">
        <v>4</v>
      </c>
      <c r="C866" s="92" t="inlineStr">
        <is>
          <t>5100000862</t>
        </is>
      </c>
      <c r="D866" s="95" t="n">
        <v>45769</v>
      </c>
      <c r="E866" s="92" t="inlineStr">
        <is>
          <t>KR</t>
        </is>
      </c>
      <c r="F866" s="92" t="n">
        <v>62102000</v>
      </c>
      <c r="G866" s="92" t="n">
        <v>1301</v>
      </c>
      <c r="H866" s="93" t="n">
        <v>107000</v>
      </c>
      <c r="I866" s="92" t="inlineStr">
        <is>
          <t>4월 해외출장 - N호텔</t>
        </is>
      </c>
      <c r="J866" s="92" t="inlineStr">
        <is>
          <t>V10009</t>
        </is>
      </c>
      <c r="K866" s="92" t="inlineStr">
        <is>
          <t>N호텔</t>
        </is>
      </c>
      <c r="M866" s="9">
        <f>IF($A866="","",VALUE($A866&amp;"")*12+VALUE($B866&amp;""))</f>
        <v/>
      </c>
      <c r="N866" s="64">
        <f>IF($A866="","",IFERROR(INDEX(부서매핑!$C$5:$C$504,MATCH($G866&amp;"",부서매핑!$A$5:$A$504,0)),"미매핑"))</f>
        <v/>
      </c>
      <c r="O866" s="9">
        <f>IF($A866="","",N866&amp;"|"&amp;$F866)</f>
        <v/>
      </c>
      <c r="P866" s="94">
        <f>IF($A866="",0,$H866*설정!$C$23)</f>
        <v/>
      </c>
      <c r="Q866" s="64">
        <f>IF($A866="","",IF(O866&lt;&gt;원인분석!$C$9,"",IF(AND(M866&gt;=원인분석!$C$10,M866&lt;=원인분석!$C$11),"당기",IF(AND(M866&gt;=원인분석!$C$12,M866&lt;=원인분석!$C$13),"비교",""))))</f>
        <v/>
      </c>
      <c r="R866" s="9">
        <f>IF(Q866="","",$K866&amp;"")</f>
        <v/>
      </c>
      <c r="S866" s="9">
        <f>IF(Q866="","",IF(MATCH(R866,$R$5:$R$100000,0)=ROW()-4,ROW(),""))</f>
        <v/>
      </c>
      <c r="T866" s="9">
        <f>IF(Q866="당기",ABS(P866)+ROW()/1000000000,"")</f>
        <v/>
      </c>
      <c r="U866" s="9">
        <f>IF(Q866="비교",ABS(P866)+ROW()/1000000000,"")</f>
        <v/>
      </c>
      <c r="V866" s="64">
        <f>IF($A866="","",IF(COUNTIF(변동분석!$E$7:$E$506,O866)&gt;0,"Y","N"))</f>
        <v/>
      </c>
      <c r="W866" s="64">
        <f>IF($A866="","",IFERROR(INDEX(계정매핑!$D$5:$D$504,MATCH($F866&amp;"",계정매핑!$A$5:$A$504,0)),"미매핑"))</f>
        <v/>
      </c>
      <c r="X866" s="9">
        <f>IF($A866="","",$F866&amp;"")</f>
        <v/>
      </c>
      <c r="Y866" s="94">
        <f>IF($A866="",0,IF(AE866="직접",IF(AF866="비귀속",$P866,0),$P866*(1-AG866)*IFERROR(INDEX(계정대체기준!$F$20:$F$49,MATCH($N866,계정대체기준!$A$20:$A$49,0)),1)))</f>
        <v/>
      </c>
      <c r="Z866" s="94">
        <f>IF($A866="",0,IF(AE866="직접",IF(AF866="신계약비",$P866,0),$P866*(1-AG866)*IFERROR(INDEX(계정대체기준!$C$20:$C$49,MATCH($N866,계정대체기준!$A$20:$A$49,0)),0)))</f>
        <v/>
      </c>
      <c r="AA866" s="94">
        <f>IF($A866="",0,IF(AE866="직접",IF(OR(AF866="유지비",AF866="손해조사비"),$P866,0),$P866*(1-AG866)*IFERROR(INDEX(계정대체기준!$D$20:$D$49,MATCH($N866,계정대체기준!$A$20:$A$49,0)),0)))</f>
        <v/>
      </c>
      <c r="AB866" s="94">
        <f>IF($A866="",0,IF(AE866="직접",IF(AF866="수금비",$P866,0),$P866*(1-AG866)*IFERROR(INDEX(계정대체기준!$E$20:$E$49,MATCH($N866,계정대체기준!$A$20:$A$49,0)),0)))</f>
        <v/>
      </c>
      <c r="AC866" s="9">
        <f>IF(AND($A866&lt;&gt;"",M866=설정!$C$20,Z866&gt;0),Z866+ROW()/1000000000,"")</f>
        <v/>
      </c>
      <c r="AD866" s="94">
        <f>IF($A866="",0,$P866*AG866)</f>
        <v/>
      </c>
      <c r="AE866" s="64">
        <f>IF($A866="","",IFERROR(INDEX(계정매핑!$E$5:$E$504,MATCH($F866&amp;"",계정매핑!$A$5:$A$504,0))&amp;"","공통비"))</f>
        <v/>
      </c>
      <c r="AF866" s="64">
        <f>IF($A866="","",IF(AE866="직접",IFERROR(INDEX(계정매핑!$F$5:$F$504,MATCH($F866&amp;"",계정매핑!$A$5:$A$504,0))&amp;"","비귀속"),""))</f>
        <v/>
      </c>
      <c r="AG866" s="96">
        <f>IF($A866="",0,IF(AND(AE866&lt;&gt;"직접",IFERROR(INDEX(계정매핑!$G$5:$G$504,MATCH($F866&amp;"",계정매핑!$A$5:$A$504,0))&amp;"","")="유지비",COUNTIF(계정대체기준!$A$6:$A$15,$N866)&gt;0),IFERROR(INDEX(계정대체기준!$E$6:$E$15,MATCH(VALUE($A866&amp;""),계정대체기준!$D$6:$D$15,0)),0),0))</f>
        <v/>
      </c>
      <c r="AH866" s="64">
        <f>IF($A866="","",IF(AD866=0,"",IF(OR(COUNTIF(계정대체기준!$A$77:$A$86,$N866)&gt;0,ISNUMBER(MATCH($X866,계정대체기준!$D$77:$D$86,0)),ISNUMBER(MATCH($F866,계정대체기준!$D$77:$D$86,0))),"Y","N")))</f>
        <v/>
      </c>
    </row>
    <row r="867">
      <c r="A867" s="92" t="n">
        <v>2025</v>
      </c>
      <c r="B867" s="92" t="n">
        <v>4</v>
      </c>
      <c r="C867" s="92" t="inlineStr">
        <is>
          <t>5100000863</t>
        </is>
      </c>
      <c r="D867" s="95" t="n">
        <v>45769</v>
      </c>
      <c r="E867" s="92" t="inlineStr">
        <is>
          <t>KR</t>
        </is>
      </c>
      <c r="F867" s="92" t="n">
        <v>62102000</v>
      </c>
      <c r="G867" s="92" t="n">
        <v>1401</v>
      </c>
      <c r="H867" s="93" t="n">
        <v>102000</v>
      </c>
      <c r="I867" s="92" t="inlineStr">
        <is>
          <t>4월 해외출장 - M항공</t>
        </is>
      </c>
      <c r="J867" s="92" t="inlineStr">
        <is>
          <t>V10001</t>
        </is>
      </c>
      <c r="K867" s="92" t="inlineStr">
        <is>
          <t>M항공</t>
        </is>
      </c>
      <c r="M867" s="9">
        <f>IF($A867="","",VALUE($A867&amp;"")*12+VALUE($B867&amp;""))</f>
        <v/>
      </c>
      <c r="N867" s="64">
        <f>IF($A867="","",IFERROR(INDEX(부서매핑!$C$5:$C$504,MATCH($G867&amp;"",부서매핑!$A$5:$A$504,0)),"미매핑"))</f>
        <v/>
      </c>
      <c r="O867" s="9">
        <f>IF($A867="","",N867&amp;"|"&amp;$F867)</f>
        <v/>
      </c>
      <c r="P867" s="94">
        <f>IF($A867="",0,$H867*설정!$C$23)</f>
        <v/>
      </c>
      <c r="Q867" s="64">
        <f>IF($A867="","",IF(O867&lt;&gt;원인분석!$C$9,"",IF(AND(M867&gt;=원인분석!$C$10,M867&lt;=원인분석!$C$11),"당기",IF(AND(M867&gt;=원인분석!$C$12,M867&lt;=원인분석!$C$13),"비교",""))))</f>
        <v/>
      </c>
      <c r="R867" s="9">
        <f>IF(Q867="","",$K867&amp;"")</f>
        <v/>
      </c>
      <c r="S867" s="9">
        <f>IF(Q867="","",IF(MATCH(R867,$R$5:$R$100000,0)=ROW()-4,ROW(),""))</f>
        <v/>
      </c>
      <c r="T867" s="9">
        <f>IF(Q867="당기",ABS(P867)+ROW()/1000000000,"")</f>
        <v/>
      </c>
      <c r="U867" s="9">
        <f>IF(Q867="비교",ABS(P867)+ROW()/1000000000,"")</f>
        <v/>
      </c>
      <c r="V867" s="64">
        <f>IF($A867="","",IF(COUNTIF(변동분석!$E$7:$E$506,O867)&gt;0,"Y","N"))</f>
        <v/>
      </c>
      <c r="W867" s="64">
        <f>IF($A867="","",IFERROR(INDEX(계정매핑!$D$5:$D$504,MATCH($F867&amp;"",계정매핑!$A$5:$A$504,0)),"미매핑"))</f>
        <v/>
      </c>
      <c r="X867" s="9">
        <f>IF($A867="","",$F867&amp;"")</f>
        <v/>
      </c>
      <c r="Y867" s="94">
        <f>IF($A867="",0,IF(AE867="직접",IF(AF867="비귀속",$P867,0),$P867*(1-AG867)*IFERROR(INDEX(계정대체기준!$F$20:$F$49,MATCH($N867,계정대체기준!$A$20:$A$49,0)),1)))</f>
        <v/>
      </c>
      <c r="Z867" s="94">
        <f>IF($A867="",0,IF(AE867="직접",IF(AF867="신계약비",$P867,0),$P867*(1-AG867)*IFERROR(INDEX(계정대체기준!$C$20:$C$49,MATCH($N867,계정대체기준!$A$20:$A$49,0)),0)))</f>
        <v/>
      </c>
      <c r="AA867" s="94">
        <f>IF($A867="",0,IF(AE867="직접",IF(OR(AF867="유지비",AF867="손해조사비"),$P867,0),$P867*(1-AG867)*IFERROR(INDEX(계정대체기준!$D$20:$D$49,MATCH($N867,계정대체기준!$A$20:$A$49,0)),0)))</f>
        <v/>
      </c>
      <c r="AB867" s="94">
        <f>IF($A867="",0,IF(AE867="직접",IF(AF867="수금비",$P867,0),$P867*(1-AG867)*IFERROR(INDEX(계정대체기준!$E$20:$E$49,MATCH($N867,계정대체기준!$A$20:$A$49,0)),0)))</f>
        <v/>
      </c>
      <c r="AC867" s="9">
        <f>IF(AND($A867&lt;&gt;"",M867=설정!$C$20,Z867&gt;0),Z867+ROW()/1000000000,"")</f>
        <v/>
      </c>
      <c r="AD867" s="94">
        <f>IF($A867="",0,$P867*AG867)</f>
        <v/>
      </c>
      <c r="AE867" s="64">
        <f>IF($A867="","",IFERROR(INDEX(계정매핑!$E$5:$E$504,MATCH($F867&amp;"",계정매핑!$A$5:$A$504,0))&amp;"","공통비"))</f>
        <v/>
      </c>
      <c r="AF867" s="64">
        <f>IF($A867="","",IF(AE867="직접",IFERROR(INDEX(계정매핑!$F$5:$F$504,MATCH($F867&amp;"",계정매핑!$A$5:$A$504,0))&amp;"","비귀속"),""))</f>
        <v/>
      </c>
      <c r="AG867" s="96">
        <f>IF($A867="",0,IF(AND(AE867&lt;&gt;"직접",IFERROR(INDEX(계정매핑!$G$5:$G$504,MATCH($F867&amp;"",계정매핑!$A$5:$A$504,0))&amp;"","")="유지비",COUNTIF(계정대체기준!$A$6:$A$15,$N867)&gt;0),IFERROR(INDEX(계정대체기준!$E$6:$E$15,MATCH(VALUE($A867&amp;""),계정대체기준!$D$6:$D$15,0)),0),0))</f>
        <v/>
      </c>
      <c r="AH867" s="64">
        <f>IF($A867="","",IF(AD867=0,"",IF(OR(COUNTIF(계정대체기준!$A$77:$A$86,$N867)&gt;0,ISNUMBER(MATCH($X867,계정대체기준!$D$77:$D$86,0)),ISNUMBER(MATCH($F867,계정대체기준!$D$77:$D$86,0))),"Y","N")))</f>
        <v/>
      </c>
    </row>
    <row r="868">
      <c r="A868" s="92" t="n">
        <v>2025</v>
      </c>
      <c r="B868" s="92" t="n">
        <v>4</v>
      </c>
      <c r="C868" s="92" t="inlineStr">
        <is>
          <t>5100000864</t>
        </is>
      </c>
      <c r="D868" s="95" t="n">
        <v>45769</v>
      </c>
      <c r="E868" s="92" t="inlineStr">
        <is>
          <t>KR</t>
        </is>
      </c>
      <c r="F868" s="92" t="n">
        <v>62201000</v>
      </c>
      <c r="G868" s="92" t="n">
        <v>1701</v>
      </c>
      <c r="H868" s="93" t="n">
        <v>6946000</v>
      </c>
      <c r="I868" s="92" t="inlineStr">
        <is>
          <t>4월 통신요금 - O텔레콤</t>
        </is>
      </c>
      <c r="J868" s="92" t="inlineStr">
        <is>
          <t>V10002</t>
        </is>
      </c>
      <c r="K868" s="92" t="inlineStr">
        <is>
          <t>O텔레콤</t>
        </is>
      </c>
      <c r="M868" s="9">
        <f>IF($A868="","",VALUE($A868&amp;"")*12+VALUE($B868&amp;""))</f>
        <v/>
      </c>
      <c r="N868" s="64">
        <f>IF($A868="","",IFERROR(INDEX(부서매핑!$C$5:$C$504,MATCH($G868&amp;"",부서매핑!$A$5:$A$504,0)),"미매핑"))</f>
        <v/>
      </c>
      <c r="O868" s="9">
        <f>IF($A868="","",N868&amp;"|"&amp;$F868)</f>
        <v/>
      </c>
      <c r="P868" s="94">
        <f>IF($A868="",0,$H868*설정!$C$23)</f>
        <v/>
      </c>
      <c r="Q868" s="64">
        <f>IF($A868="","",IF(O868&lt;&gt;원인분석!$C$9,"",IF(AND(M868&gt;=원인분석!$C$10,M868&lt;=원인분석!$C$11),"당기",IF(AND(M868&gt;=원인분석!$C$12,M868&lt;=원인분석!$C$13),"비교",""))))</f>
        <v/>
      </c>
      <c r="R868" s="9">
        <f>IF(Q868="","",$K868&amp;"")</f>
        <v/>
      </c>
      <c r="S868" s="9">
        <f>IF(Q868="","",IF(MATCH(R868,$R$5:$R$100000,0)=ROW()-4,ROW(),""))</f>
        <v/>
      </c>
      <c r="T868" s="9">
        <f>IF(Q868="당기",ABS(P868)+ROW()/1000000000,"")</f>
        <v/>
      </c>
      <c r="U868" s="9">
        <f>IF(Q868="비교",ABS(P868)+ROW()/1000000000,"")</f>
        <v/>
      </c>
      <c r="V868" s="64">
        <f>IF($A868="","",IF(COUNTIF(변동분석!$E$7:$E$506,O868)&gt;0,"Y","N"))</f>
        <v/>
      </c>
      <c r="W868" s="64">
        <f>IF($A868="","",IFERROR(INDEX(계정매핑!$D$5:$D$504,MATCH($F868&amp;"",계정매핑!$A$5:$A$504,0)),"미매핑"))</f>
        <v/>
      </c>
      <c r="X868" s="9">
        <f>IF($A868="","",$F868&amp;"")</f>
        <v/>
      </c>
      <c r="Y868" s="94">
        <f>IF($A868="",0,IF(AE868="직접",IF(AF868="비귀속",$P868,0),$P868*(1-AG868)*IFERROR(INDEX(계정대체기준!$F$20:$F$49,MATCH($N868,계정대체기준!$A$20:$A$49,0)),1)))</f>
        <v/>
      </c>
      <c r="Z868" s="94">
        <f>IF($A868="",0,IF(AE868="직접",IF(AF868="신계약비",$P868,0),$P868*(1-AG868)*IFERROR(INDEX(계정대체기준!$C$20:$C$49,MATCH($N868,계정대체기준!$A$20:$A$49,0)),0)))</f>
        <v/>
      </c>
      <c r="AA868" s="94">
        <f>IF($A868="",0,IF(AE868="직접",IF(OR(AF868="유지비",AF868="손해조사비"),$P868,0),$P868*(1-AG868)*IFERROR(INDEX(계정대체기준!$D$20:$D$49,MATCH($N868,계정대체기준!$A$20:$A$49,0)),0)))</f>
        <v/>
      </c>
      <c r="AB868" s="94">
        <f>IF($A868="",0,IF(AE868="직접",IF(AF868="수금비",$P868,0),$P868*(1-AG868)*IFERROR(INDEX(계정대체기준!$E$20:$E$49,MATCH($N868,계정대체기준!$A$20:$A$49,0)),0)))</f>
        <v/>
      </c>
      <c r="AC868" s="9">
        <f>IF(AND($A868&lt;&gt;"",M868=설정!$C$20,Z868&gt;0),Z868+ROW()/1000000000,"")</f>
        <v/>
      </c>
      <c r="AD868" s="94">
        <f>IF($A868="",0,$P868*AG868)</f>
        <v/>
      </c>
      <c r="AE868" s="64">
        <f>IF($A868="","",IFERROR(INDEX(계정매핑!$E$5:$E$504,MATCH($F868&amp;"",계정매핑!$A$5:$A$504,0))&amp;"","공통비"))</f>
        <v/>
      </c>
      <c r="AF868" s="64">
        <f>IF($A868="","",IF(AE868="직접",IFERROR(INDEX(계정매핑!$F$5:$F$504,MATCH($F868&amp;"",계정매핑!$A$5:$A$504,0))&amp;"","비귀속"),""))</f>
        <v/>
      </c>
      <c r="AG868" s="96">
        <f>IF($A868="",0,IF(AND(AE868&lt;&gt;"직접",IFERROR(INDEX(계정매핑!$G$5:$G$504,MATCH($F868&amp;"",계정매핑!$A$5:$A$504,0))&amp;"","")="유지비",COUNTIF(계정대체기준!$A$6:$A$15,$N868)&gt;0),IFERROR(INDEX(계정대체기준!$E$6:$E$15,MATCH(VALUE($A868&amp;""),계정대체기준!$D$6:$D$15,0)),0),0))</f>
        <v/>
      </c>
      <c r="AH868" s="64">
        <f>IF($A868="","",IF(AD868=0,"",IF(OR(COUNTIF(계정대체기준!$A$77:$A$86,$N868)&gt;0,ISNUMBER(MATCH($X868,계정대체기준!$D$77:$D$86,0)),ISNUMBER(MATCH($F868,계정대체기준!$D$77:$D$86,0))),"Y","N")))</f>
        <v/>
      </c>
    </row>
    <row r="869">
      <c r="A869" s="92" t="n">
        <v>2025</v>
      </c>
      <c r="B869" s="92" t="n">
        <v>4</v>
      </c>
      <c r="C869" s="92" t="inlineStr">
        <is>
          <t>5100000865</t>
        </is>
      </c>
      <c r="D869" s="95" t="n">
        <v>45769</v>
      </c>
      <c r="E869" s="92" t="inlineStr">
        <is>
          <t>KR</t>
        </is>
      </c>
      <c r="F869" s="92" t="n">
        <v>62301000</v>
      </c>
      <c r="G869" s="92" t="n">
        <v>1401</v>
      </c>
      <c r="H869" s="93" t="n">
        <v>91000</v>
      </c>
      <c r="I869" s="92" t="inlineStr">
        <is>
          <t>4월 소모품 구입 - Q오피스</t>
        </is>
      </c>
      <c r="J869" s="92" t="inlineStr">
        <is>
          <t>V10003</t>
        </is>
      </c>
      <c r="K869" s="92" t="inlineStr">
        <is>
          <t>Q오피스</t>
        </is>
      </c>
      <c r="M869" s="9">
        <f>IF($A869="","",VALUE($A869&amp;"")*12+VALUE($B869&amp;""))</f>
        <v/>
      </c>
      <c r="N869" s="64">
        <f>IF($A869="","",IFERROR(INDEX(부서매핑!$C$5:$C$504,MATCH($G869&amp;"",부서매핑!$A$5:$A$504,0)),"미매핑"))</f>
        <v/>
      </c>
      <c r="O869" s="9">
        <f>IF($A869="","",N869&amp;"|"&amp;$F869)</f>
        <v/>
      </c>
      <c r="P869" s="94">
        <f>IF($A869="",0,$H869*설정!$C$23)</f>
        <v/>
      </c>
      <c r="Q869" s="64">
        <f>IF($A869="","",IF(O869&lt;&gt;원인분석!$C$9,"",IF(AND(M869&gt;=원인분석!$C$10,M869&lt;=원인분석!$C$11),"당기",IF(AND(M869&gt;=원인분석!$C$12,M869&lt;=원인분석!$C$13),"비교",""))))</f>
        <v/>
      </c>
      <c r="R869" s="9">
        <f>IF(Q869="","",$K869&amp;"")</f>
        <v/>
      </c>
      <c r="S869" s="9">
        <f>IF(Q869="","",IF(MATCH(R869,$R$5:$R$100000,0)=ROW()-4,ROW(),""))</f>
        <v/>
      </c>
      <c r="T869" s="9">
        <f>IF(Q869="당기",ABS(P869)+ROW()/1000000000,"")</f>
        <v/>
      </c>
      <c r="U869" s="9">
        <f>IF(Q869="비교",ABS(P869)+ROW()/1000000000,"")</f>
        <v/>
      </c>
      <c r="V869" s="64">
        <f>IF($A869="","",IF(COUNTIF(변동분석!$E$7:$E$506,O869)&gt;0,"Y","N"))</f>
        <v/>
      </c>
      <c r="W869" s="64">
        <f>IF($A869="","",IFERROR(INDEX(계정매핑!$D$5:$D$504,MATCH($F869&amp;"",계정매핑!$A$5:$A$504,0)),"미매핑"))</f>
        <v/>
      </c>
      <c r="X869" s="9">
        <f>IF($A869="","",$F869&amp;"")</f>
        <v/>
      </c>
      <c r="Y869" s="94">
        <f>IF($A869="",0,IF(AE869="직접",IF(AF869="비귀속",$P869,0),$P869*(1-AG869)*IFERROR(INDEX(계정대체기준!$F$20:$F$49,MATCH($N869,계정대체기준!$A$20:$A$49,0)),1)))</f>
        <v/>
      </c>
      <c r="Z869" s="94">
        <f>IF($A869="",0,IF(AE869="직접",IF(AF869="신계약비",$P869,0),$P869*(1-AG869)*IFERROR(INDEX(계정대체기준!$C$20:$C$49,MATCH($N869,계정대체기준!$A$20:$A$49,0)),0)))</f>
        <v/>
      </c>
      <c r="AA869" s="94">
        <f>IF($A869="",0,IF(AE869="직접",IF(OR(AF869="유지비",AF869="손해조사비"),$P869,0),$P869*(1-AG869)*IFERROR(INDEX(계정대체기준!$D$20:$D$49,MATCH($N869,계정대체기준!$A$20:$A$49,0)),0)))</f>
        <v/>
      </c>
      <c r="AB869" s="94">
        <f>IF($A869="",0,IF(AE869="직접",IF(AF869="수금비",$P869,0),$P869*(1-AG869)*IFERROR(INDEX(계정대체기준!$E$20:$E$49,MATCH($N869,계정대체기준!$A$20:$A$49,0)),0)))</f>
        <v/>
      </c>
      <c r="AC869" s="9">
        <f>IF(AND($A869&lt;&gt;"",M869=설정!$C$20,Z869&gt;0),Z869+ROW()/1000000000,"")</f>
        <v/>
      </c>
      <c r="AD869" s="94">
        <f>IF($A869="",0,$P869*AG869)</f>
        <v/>
      </c>
      <c r="AE869" s="64">
        <f>IF($A869="","",IFERROR(INDEX(계정매핑!$E$5:$E$504,MATCH($F869&amp;"",계정매핑!$A$5:$A$504,0))&amp;"","공통비"))</f>
        <v/>
      </c>
      <c r="AF869" s="64">
        <f>IF($A869="","",IF(AE869="직접",IFERROR(INDEX(계정매핑!$F$5:$F$504,MATCH($F869&amp;"",계정매핑!$A$5:$A$504,0))&amp;"","비귀속"),""))</f>
        <v/>
      </c>
      <c r="AG869" s="96">
        <f>IF($A869="",0,IF(AND(AE869&lt;&gt;"직접",IFERROR(INDEX(계정매핑!$G$5:$G$504,MATCH($F869&amp;"",계정매핑!$A$5:$A$504,0))&amp;"","")="유지비",COUNTIF(계정대체기준!$A$6:$A$15,$N869)&gt;0),IFERROR(INDEX(계정대체기준!$E$6:$E$15,MATCH(VALUE($A869&amp;""),계정대체기준!$D$6:$D$15,0)),0),0))</f>
        <v/>
      </c>
      <c r="AH869" s="64">
        <f>IF($A869="","",IF(AD869=0,"",IF(OR(COUNTIF(계정대체기준!$A$77:$A$86,$N869)&gt;0,ISNUMBER(MATCH($X869,계정대체기준!$D$77:$D$86,0)),ISNUMBER(MATCH($F869,계정대체기준!$D$77:$D$86,0))),"Y","N")))</f>
        <v/>
      </c>
    </row>
    <row r="870">
      <c r="A870" s="92" t="n">
        <v>2025</v>
      </c>
      <c r="B870" s="92" t="n">
        <v>4</v>
      </c>
      <c r="C870" s="92" t="inlineStr">
        <is>
          <t>5100000866</t>
        </is>
      </c>
      <c r="D870" s="95" t="n">
        <v>45769</v>
      </c>
      <c r="E870" s="92" t="inlineStr">
        <is>
          <t>KR</t>
        </is>
      </c>
      <c r="F870" s="92" t="n">
        <v>62301000</v>
      </c>
      <c r="G870" s="92" t="n">
        <v>1701</v>
      </c>
      <c r="H870" s="93" t="n">
        <v>234000</v>
      </c>
      <c r="I870" s="92" t="inlineStr">
        <is>
          <t>4월 소모품 구입 - Q오피스</t>
        </is>
      </c>
      <c r="J870" s="92" t="inlineStr">
        <is>
          <t>V10003</t>
        </is>
      </c>
      <c r="K870" s="92" t="inlineStr">
        <is>
          <t>Q오피스</t>
        </is>
      </c>
      <c r="M870" s="9">
        <f>IF($A870="","",VALUE($A870&amp;"")*12+VALUE($B870&amp;""))</f>
        <v/>
      </c>
      <c r="N870" s="64">
        <f>IF($A870="","",IFERROR(INDEX(부서매핑!$C$5:$C$504,MATCH($G870&amp;"",부서매핑!$A$5:$A$504,0)),"미매핑"))</f>
        <v/>
      </c>
      <c r="O870" s="9">
        <f>IF($A870="","",N870&amp;"|"&amp;$F870)</f>
        <v/>
      </c>
      <c r="P870" s="94">
        <f>IF($A870="",0,$H870*설정!$C$23)</f>
        <v/>
      </c>
      <c r="Q870" s="64">
        <f>IF($A870="","",IF(O870&lt;&gt;원인분석!$C$9,"",IF(AND(M870&gt;=원인분석!$C$10,M870&lt;=원인분석!$C$11),"당기",IF(AND(M870&gt;=원인분석!$C$12,M870&lt;=원인분석!$C$13),"비교",""))))</f>
        <v/>
      </c>
      <c r="R870" s="9">
        <f>IF(Q870="","",$K870&amp;"")</f>
        <v/>
      </c>
      <c r="S870" s="9">
        <f>IF(Q870="","",IF(MATCH(R870,$R$5:$R$100000,0)=ROW()-4,ROW(),""))</f>
        <v/>
      </c>
      <c r="T870" s="9">
        <f>IF(Q870="당기",ABS(P870)+ROW()/1000000000,"")</f>
        <v/>
      </c>
      <c r="U870" s="9">
        <f>IF(Q870="비교",ABS(P870)+ROW()/1000000000,"")</f>
        <v/>
      </c>
      <c r="V870" s="64">
        <f>IF($A870="","",IF(COUNTIF(변동분석!$E$7:$E$506,O870)&gt;0,"Y","N"))</f>
        <v/>
      </c>
      <c r="W870" s="64">
        <f>IF($A870="","",IFERROR(INDEX(계정매핑!$D$5:$D$504,MATCH($F870&amp;"",계정매핑!$A$5:$A$504,0)),"미매핑"))</f>
        <v/>
      </c>
      <c r="X870" s="9">
        <f>IF($A870="","",$F870&amp;"")</f>
        <v/>
      </c>
      <c r="Y870" s="94">
        <f>IF($A870="",0,IF(AE870="직접",IF(AF870="비귀속",$P870,0),$P870*(1-AG870)*IFERROR(INDEX(계정대체기준!$F$20:$F$49,MATCH($N870,계정대체기준!$A$20:$A$49,0)),1)))</f>
        <v/>
      </c>
      <c r="Z870" s="94">
        <f>IF($A870="",0,IF(AE870="직접",IF(AF870="신계약비",$P870,0),$P870*(1-AG870)*IFERROR(INDEX(계정대체기준!$C$20:$C$49,MATCH($N870,계정대체기준!$A$20:$A$49,0)),0)))</f>
        <v/>
      </c>
      <c r="AA870" s="94">
        <f>IF($A870="",0,IF(AE870="직접",IF(OR(AF870="유지비",AF870="손해조사비"),$P870,0),$P870*(1-AG870)*IFERROR(INDEX(계정대체기준!$D$20:$D$49,MATCH($N870,계정대체기준!$A$20:$A$49,0)),0)))</f>
        <v/>
      </c>
      <c r="AB870" s="94">
        <f>IF($A870="",0,IF(AE870="직접",IF(AF870="수금비",$P870,0),$P870*(1-AG870)*IFERROR(INDEX(계정대체기준!$E$20:$E$49,MATCH($N870,계정대체기준!$A$20:$A$49,0)),0)))</f>
        <v/>
      </c>
      <c r="AC870" s="9">
        <f>IF(AND($A870&lt;&gt;"",M870=설정!$C$20,Z870&gt;0),Z870+ROW()/1000000000,"")</f>
        <v/>
      </c>
      <c r="AD870" s="94">
        <f>IF($A870="",0,$P870*AG870)</f>
        <v/>
      </c>
      <c r="AE870" s="64">
        <f>IF($A870="","",IFERROR(INDEX(계정매핑!$E$5:$E$504,MATCH($F870&amp;"",계정매핑!$A$5:$A$504,0))&amp;"","공통비"))</f>
        <v/>
      </c>
      <c r="AF870" s="64">
        <f>IF($A870="","",IF(AE870="직접",IFERROR(INDEX(계정매핑!$F$5:$F$504,MATCH($F870&amp;"",계정매핑!$A$5:$A$504,0))&amp;"","비귀속"),""))</f>
        <v/>
      </c>
      <c r="AG870" s="96">
        <f>IF($A870="",0,IF(AND(AE870&lt;&gt;"직접",IFERROR(INDEX(계정매핑!$G$5:$G$504,MATCH($F870&amp;"",계정매핑!$A$5:$A$504,0))&amp;"","")="유지비",COUNTIF(계정대체기준!$A$6:$A$15,$N870)&gt;0),IFERROR(INDEX(계정대체기준!$E$6:$E$15,MATCH(VALUE($A870&amp;""),계정대체기준!$D$6:$D$15,0)),0),0))</f>
        <v/>
      </c>
      <c r="AH870" s="64">
        <f>IF($A870="","",IF(AD870=0,"",IF(OR(COUNTIF(계정대체기준!$A$77:$A$86,$N870)&gt;0,ISNUMBER(MATCH($X870,계정대체기준!$D$77:$D$86,0)),ISNUMBER(MATCH($F870,계정대체기준!$D$77:$D$86,0))),"Y","N")))</f>
        <v/>
      </c>
    </row>
    <row r="871">
      <c r="A871" s="92" t="n">
        <v>2025</v>
      </c>
      <c r="B871" s="92" t="n">
        <v>4</v>
      </c>
      <c r="C871" s="92" t="inlineStr">
        <is>
          <t>5100000867</t>
        </is>
      </c>
      <c r="D871" s="95" t="n">
        <v>45769</v>
      </c>
      <c r="E871" s="92" t="inlineStr">
        <is>
          <t>KR</t>
        </is>
      </c>
      <c r="F871" s="92" t="n">
        <v>62501000</v>
      </c>
      <c r="G871" s="92" t="n">
        <v>1301</v>
      </c>
      <c r="H871" s="93" t="n">
        <v>415000</v>
      </c>
      <c r="I871" s="92" t="inlineStr">
        <is>
          <t>4월 회의 다과 - (법인카드)</t>
        </is>
      </c>
      <c r="J871" s="92" t="inlineStr">
        <is>
          <t>V10010</t>
        </is>
      </c>
      <c r="K871" s="92" t="inlineStr">
        <is>
          <t>(법인카드)</t>
        </is>
      </c>
      <c r="M871" s="9">
        <f>IF($A871="","",VALUE($A871&amp;"")*12+VALUE($B871&amp;""))</f>
        <v/>
      </c>
      <c r="N871" s="64">
        <f>IF($A871="","",IFERROR(INDEX(부서매핑!$C$5:$C$504,MATCH($G871&amp;"",부서매핑!$A$5:$A$504,0)),"미매핑"))</f>
        <v/>
      </c>
      <c r="O871" s="9">
        <f>IF($A871="","",N871&amp;"|"&amp;$F871)</f>
        <v/>
      </c>
      <c r="P871" s="94">
        <f>IF($A871="",0,$H871*설정!$C$23)</f>
        <v/>
      </c>
      <c r="Q871" s="64">
        <f>IF($A871="","",IF(O871&lt;&gt;원인분석!$C$9,"",IF(AND(M871&gt;=원인분석!$C$10,M871&lt;=원인분석!$C$11),"당기",IF(AND(M871&gt;=원인분석!$C$12,M871&lt;=원인분석!$C$13),"비교",""))))</f>
        <v/>
      </c>
      <c r="R871" s="9">
        <f>IF(Q871="","",$K871&amp;"")</f>
        <v/>
      </c>
      <c r="S871" s="9">
        <f>IF(Q871="","",IF(MATCH(R871,$R$5:$R$100000,0)=ROW()-4,ROW(),""))</f>
        <v/>
      </c>
      <c r="T871" s="9">
        <f>IF(Q871="당기",ABS(P871)+ROW()/1000000000,"")</f>
        <v/>
      </c>
      <c r="U871" s="9">
        <f>IF(Q871="비교",ABS(P871)+ROW()/1000000000,"")</f>
        <v/>
      </c>
      <c r="V871" s="64">
        <f>IF($A871="","",IF(COUNTIF(변동분석!$E$7:$E$506,O871)&gt;0,"Y","N"))</f>
        <v/>
      </c>
      <c r="W871" s="64">
        <f>IF($A871="","",IFERROR(INDEX(계정매핑!$D$5:$D$504,MATCH($F871&amp;"",계정매핑!$A$5:$A$504,0)),"미매핑"))</f>
        <v/>
      </c>
      <c r="X871" s="9">
        <f>IF($A871="","",$F871&amp;"")</f>
        <v/>
      </c>
      <c r="Y871" s="94">
        <f>IF($A871="",0,IF(AE871="직접",IF(AF871="비귀속",$P871,0),$P871*(1-AG871)*IFERROR(INDEX(계정대체기준!$F$20:$F$49,MATCH($N871,계정대체기준!$A$20:$A$49,0)),1)))</f>
        <v/>
      </c>
      <c r="Z871" s="94">
        <f>IF($A871="",0,IF(AE871="직접",IF(AF871="신계약비",$P871,0),$P871*(1-AG871)*IFERROR(INDEX(계정대체기준!$C$20:$C$49,MATCH($N871,계정대체기준!$A$20:$A$49,0)),0)))</f>
        <v/>
      </c>
      <c r="AA871" s="94">
        <f>IF($A871="",0,IF(AE871="직접",IF(OR(AF871="유지비",AF871="손해조사비"),$P871,0),$P871*(1-AG871)*IFERROR(INDEX(계정대체기준!$D$20:$D$49,MATCH($N871,계정대체기준!$A$20:$A$49,0)),0)))</f>
        <v/>
      </c>
      <c r="AB871" s="94">
        <f>IF($A871="",0,IF(AE871="직접",IF(AF871="수금비",$P871,0),$P871*(1-AG871)*IFERROR(INDEX(계정대체기준!$E$20:$E$49,MATCH($N871,계정대체기준!$A$20:$A$49,0)),0)))</f>
        <v/>
      </c>
      <c r="AC871" s="9">
        <f>IF(AND($A871&lt;&gt;"",M871=설정!$C$20,Z871&gt;0),Z871+ROW()/1000000000,"")</f>
        <v/>
      </c>
      <c r="AD871" s="94">
        <f>IF($A871="",0,$P871*AG871)</f>
        <v/>
      </c>
      <c r="AE871" s="64">
        <f>IF($A871="","",IFERROR(INDEX(계정매핑!$E$5:$E$504,MATCH($F871&amp;"",계정매핑!$A$5:$A$504,0))&amp;"","공통비"))</f>
        <v/>
      </c>
      <c r="AF871" s="64">
        <f>IF($A871="","",IF(AE871="직접",IFERROR(INDEX(계정매핑!$F$5:$F$504,MATCH($F871&amp;"",계정매핑!$A$5:$A$504,0))&amp;"","비귀속"),""))</f>
        <v/>
      </c>
      <c r="AG871" s="96">
        <f>IF($A871="",0,IF(AND(AE871&lt;&gt;"직접",IFERROR(INDEX(계정매핑!$G$5:$G$504,MATCH($F871&amp;"",계정매핑!$A$5:$A$504,0))&amp;"","")="유지비",COUNTIF(계정대체기준!$A$6:$A$15,$N871)&gt;0),IFERROR(INDEX(계정대체기준!$E$6:$E$15,MATCH(VALUE($A871&amp;""),계정대체기준!$D$6:$D$15,0)),0),0))</f>
        <v/>
      </c>
      <c r="AH871" s="64">
        <f>IF($A871="","",IF(AD871=0,"",IF(OR(COUNTIF(계정대체기준!$A$77:$A$86,$N871)&gt;0,ISNUMBER(MATCH($X871,계정대체기준!$D$77:$D$86,0)),ISNUMBER(MATCH($F871,계정대체기준!$D$77:$D$86,0))),"Y","N")))</f>
        <v/>
      </c>
    </row>
    <row r="872">
      <c r="A872" s="92" t="n">
        <v>2025</v>
      </c>
      <c r="B872" s="92" t="n">
        <v>4</v>
      </c>
      <c r="C872" s="92" t="inlineStr">
        <is>
          <t>5100000868</t>
        </is>
      </c>
      <c r="D872" s="95" t="n">
        <v>45769</v>
      </c>
      <c r="E872" s="92" t="inlineStr">
        <is>
          <t>KR</t>
        </is>
      </c>
      <c r="F872" s="92" t="n">
        <v>62901000</v>
      </c>
      <c r="G872" s="92" t="n">
        <v>1101</v>
      </c>
      <c r="H872" s="93" t="n">
        <v>3504000</v>
      </c>
      <c r="I872" s="92" t="inlineStr">
        <is>
          <t>4월 자문 수수료 - K회계법인</t>
        </is>
      </c>
      <c r="J872" s="92" t="inlineStr">
        <is>
          <t>V10011</t>
        </is>
      </c>
      <c r="K872" s="92" t="inlineStr">
        <is>
          <t>K회계법인</t>
        </is>
      </c>
      <c r="M872" s="9">
        <f>IF($A872="","",VALUE($A872&amp;"")*12+VALUE($B872&amp;""))</f>
        <v/>
      </c>
      <c r="N872" s="64">
        <f>IF($A872="","",IFERROR(INDEX(부서매핑!$C$5:$C$504,MATCH($G872&amp;"",부서매핑!$A$5:$A$504,0)),"미매핑"))</f>
        <v/>
      </c>
      <c r="O872" s="9">
        <f>IF($A872="","",N872&amp;"|"&amp;$F872)</f>
        <v/>
      </c>
      <c r="P872" s="94">
        <f>IF($A872="",0,$H872*설정!$C$23)</f>
        <v/>
      </c>
      <c r="Q872" s="64">
        <f>IF($A872="","",IF(O872&lt;&gt;원인분석!$C$9,"",IF(AND(M872&gt;=원인분석!$C$10,M872&lt;=원인분석!$C$11),"당기",IF(AND(M872&gt;=원인분석!$C$12,M872&lt;=원인분석!$C$13),"비교",""))))</f>
        <v/>
      </c>
      <c r="R872" s="9">
        <f>IF(Q872="","",$K872&amp;"")</f>
        <v/>
      </c>
      <c r="S872" s="9">
        <f>IF(Q872="","",IF(MATCH(R872,$R$5:$R$100000,0)=ROW()-4,ROW(),""))</f>
        <v/>
      </c>
      <c r="T872" s="9">
        <f>IF(Q872="당기",ABS(P872)+ROW()/1000000000,"")</f>
        <v/>
      </c>
      <c r="U872" s="9">
        <f>IF(Q872="비교",ABS(P872)+ROW()/1000000000,"")</f>
        <v/>
      </c>
      <c r="V872" s="64">
        <f>IF($A872="","",IF(COUNTIF(변동분석!$E$7:$E$506,O872)&gt;0,"Y","N"))</f>
        <v/>
      </c>
      <c r="W872" s="64">
        <f>IF($A872="","",IFERROR(INDEX(계정매핑!$D$5:$D$504,MATCH($F872&amp;"",계정매핑!$A$5:$A$504,0)),"미매핑"))</f>
        <v/>
      </c>
      <c r="X872" s="9">
        <f>IF($A872="","",$F872&amp;"")</f>
        <v/>
      </c>
      <c r="Y872" s="94">
        <f>IF($A872="",0,IF(AE872="직접",IF(AF872="비귀속",$P872,0),$P872*(1-AG872)*IFERROR(INDEX(계정대체기준!$F$20:$F$49,MATCH($N872,계정대체기준!$A$20:$A$49,0)),1)))</f>
        <v/>
      </c>
      <c r="Z872" s="94">
        <f>IF($A872="",0,IF(AE872="직접",IF(AF872="신계약비",$P872,0),$P872*(1-AG872)*IFERROR(INDEX(계정대체기준!$C$20:$C$49,MATCH($N872,계정대체기준!$A$20:$A$49,0)),0)))</f>
        <v/>
      </c>
      <c r="AA872" s="94">
        <f>IF($A872="",0,IF(AE872="직접",IF(OR(AF872="유지비",AF872="손해조사비"),$P872,0),$P872*(1-AG872)*IFERROR(INDEX(계정대체기준!$D$20:$D$49,MATCH($N872,계정대체기준!$A$20:$A$49,0)),0)))</f>
        <v/>
      </c>
      <c r="AB872" s="94">
        <f>IF($A872="",0,IF(AE872="직접",IF(AF872="수금비",$P872,0),$P872*(1-AG872)*IFERROR(INDEX(계정대체기준!$E$20:$E$49,MATCH($N872,계정대체기준!$A$20:$A$49,0)),0)))</f>
        <v/>
      </c>
      <c r="AC872" s="9">
        <f>IF(AND($A872&lt;&gt;"",M872=설정!$C$20,Z872&gt;0),Z872+ROW()/1000000000,"")</f>
        <v/>
      </c>
      <c r="AD872" s="94">
        <f>IF($A872="",0,$P872*AG872)</f>
        <v/>
      </c>
      <c r="AE872" s="64">
        <f>IF($A872="","",IFERROR(INDEX(계정매핑!$E$5:$E$504,MATCH($F872&amp;"",계정매핑!$A$5:$A$504,0))&amp;"","공통비"))</f>
        <v/>
      </c>
      <c r="AF872" s="64">
        <f>IF($A872="","",IF(AE872="직접",IFERROR(INDEX(계정매핑!$F$5:$F$504,MATCH($F872&amp;"",계정매핑!$A$5:$A$504,0))&amp;"","비귀속"),""))</f>
        <v/>
      </c>
      <c r="AG872" s="96">
        <f>IF($A872="",0,IF(AND(AE872&lt;&gt;"직접",IFERROR(INDEX(계정매핑!$G$5:$G$504,MATCH($F872&amp;"",계정매핑!$A$5:$A$504,0))&amp;"","")="유지비",COUNTIF(계정대체기준!$A$6:$A$15,$N872)&gt;0),IFERROR(INDEX(계정대체기준!$E$6:$E$15,MATCH(VALUE($A872&amp;""),계정대체기준!$D$6:$D$15,0)),0),0))</f>
        <v/>
      </c>
      <c r="AH872" s="64">
        <f>IF($A872="","",IF(AD872=0,"",IF(OR(COUNTIF(계정대체기준!$A$77:$A$86,$N872)&gt;0,ISNUMBER(MATCH($X872,계정대체기준!$D$77:$D$86,0)),ISNUMBER(MATCH($F872,계정대체기준!$D$77:$D$86,0))),"Y","N")))</f>
        <v/>
      </c>
    </row>
    <row r="873">
      <c r="A873" s="92" t="n">
        <v>2025</v>
      </c>
      <c r="B873" s="92" t="n">
        <v>4</v>
      </c>
      <c r="C873" s="92" t="inlineStr">
        <is>
          <t>5100000869</t>
        </is>
      </c>
      <c r="D873" s="95" t="n">
        <v>45769</v>
      </c>
      <c r="E873" s="92" t="inlineStr">
        <is>
          <t>KR</t>
        </is>
      </c>
      <c r="F873" s="92" t="n">
        <v>62902000</v>
      </c>
      <c r="G873" s="92" t="n">
        <v>1801</v>
      </c>
      <c r="H873" s="93" t="n">
        <v>1819000</v>
      </c>
      <c r="I873" s="92" t="inlineStr">
        <is>
          <t>4월 콜 위탁 수수료(건별)</t>
        </is>
      </c>
      <c r="J873" s="92" t="inlineStr">
        <is>
          <t>V10016</t>
        </is>
      </c>
      <c r="K873" s="92" t="inlineStr">
        <is>
          <t>J콜센터</t>
        </is>
      </c>
      <c r="M873" s="9">
        <f>IF($A873="","",VALUE($A873&amp;"")*12+VALUE($B873&amp;""))</f>
        <v/>
      </c>
      <c r="N873" s="64">
        <f>IF($A873="","",IFERROR(INDEX(부서매핑!$C$5:$C$504,MATCH($G873&amp;"",부서매핑!$A$5:$A$504,0)),"미매핑"))</f>
        <v/>
      </c>
      <c r="O873" s="9">
        <f>IF($A873="","",N873&amp;"|"&amp;$F873)</f>
        <v/>
      </c>
      <c r="P873" s="94">
        <f>IF($A873="",0,$H873*설정!$C$23)</f>
        <v/>
      </c>
      <c r="Q873" s="64">
        <f>IF($A873="","",IF(O873&lt;&gt;원인분석!$C$9,"",IF(AND(M873&gt;=원인분석!$C$10,M873&lt;=원인분석!$C$11),"당기",IF(AND(M873&gt;=원인분석!$C$12,M873&lt;=원인분석!$C$13),"비교",""))))</f>
        <v/>
      </c>
      <c r="R873" s="9">
        <f>IF(Q873="","",$K873&amp;"")</f>
        <v/>
      </c>
      <c r="S873" s="9">
        <f>IF(Q873="","",IF(MATCH(R873,$R$5:$R$100000,0)=ROW()-4,ROW(),""))</f>
        <v/>
      </c>
      <c r="T873" s="9">
        <f>IF(Q873="당기",ABS(P873)+ROW()/1000000000,"")</f>
        <v/>
      </c>
      <c r="U873" s="9">
        <f>IF(Q873="비교",ABS(P873)+ROW()/1000000000,"")</f>
        <v/>
      </c>
      <c r="V873" s="64">
        <f>IF($A873="","",IF(COUNTIF(변동분석!$E$7:$E$506,O873)&gt;0,"Y","N"))</f>
        <v/>
      </c>
      <c r="W873" s="64">
        <f>IF($A873="","",IFERROR(INDEX(계정매핑!$D$5:$D$504,MATCH($F873&amp;"",계정매핑!$A$5:$A$504,0)),"미매핑"))</f>
        <v/>
      </c>
      <c r="X873" s="9">
        <f>IF($A873="","",$F873&amp;"")</f>
        <v/>
      </c>
      <c r="Y873" s="94">
        <f>IF($A873="",0,IF(AE873="직접",IF(AF873="비귀속",$P873,0),$P873*(1-AG873)*IFERROR(INDEX(계정대체기준!$F$20:$F$49,MATCH($N873,계정대체기준!$A$20:$A$49,0)),1)))</f>
        <v/>
      </c>
      <c r="Z873" s="94">
        <f>IF($A873="",0,IF(AE873="직접",IF(AF873="신계약비",$P873,0),$P873*(1-AG873)*IFERROR(INDEX(계정대체기준!$C$20:$C$49,MATCH($N873,계정대체기준!$A$20:$A$49,0)),0)))</f>
        <v/>
      </c>
      <c r="AA873" s="94">
        <f>IF($A873="",0,IF(AE873="직접",IF(OR(AF873="유지비",AF873="손해조사비"),$P873,0),$P873*(1-AG873)*IFERROR(INDEX(계정대체기준!$D$20:$D$49,MATCH($N873,계정대체기준!$A$20:$A$49,0)),0)))</f>
        <v/>
      </c>
      <c r="AB873" s="94">
        <f>IF($A873="",0,IF(AE873="직접",IF(AF873="수금비",$P873,0),$P873*(1-AG873)*IFERROR(INDEX(계정대체기준!$E$20:$E$49,MATCH($N873,계정대체기준!$A$20:$A$49,0)),0)))</f>
        <v/>
      </c>
      <c r="AC873" s="9">
        <f>IF(AND($A873&lt;&gt;"",M873=설정!$C$20,Z873&gt;0),Z873+ROW()/1000000000,"")</f>
        <v/>
      </c>
      <c r="AD873" s="94">
        <f>IF($A873="",0,$P873*AG873)</f>
        <v/>
      </c>
      <c r="AE873" s="64">
        <f>IF($A873="","",IFERROR(INDEX(계정매핑!$E$5:$E$504,MATCH($F873&amp;"",계정매핑!$A$5:$A$504,0))&amp;"","공통비"))</f>
        <v/>
      </c>
      <c r="AF873" s="64">
        <f>IF($A873="","",IF(AE873="직접",IFERROR(INDEX(계정매핑!$F$5:$F$504,MATCH($F873&amp;"",계정매핑!$A$5:$A$504,0))&amp;"","비귀속"),""))</f>
        <v/>
      </c>
      <c r="AG873" s="96">
        <f>IF($A873="",0,IF(AND(AE873&lt;&gt;"직접",IFERROR(INDEX(계정매핑!$G$5:$G$504,MATCH($F873&amp;"",계정매핑!$A$5:$A$504,0))&amp;"","")="유지비",COUNTIF(계정대체기준!$A$6:$A$15,$N873)&gt;0),IFERROR(INDEX(계정대체기준!$E$6:$E$15,MATCH(VALUE($A873&amp;""),계정대체기준!$D$6:$D$15,0)),0),0))</f>
        <v/>
      </c>
      <c r="AH873" s="64">
        <f>IF($A873="","",IF(AD873=0,"",IF(OR(COUNTIF(계정대체기준!$A$77:$A$86,$N873)&gt;0,ISNUMBER(MATCH($X873,계정대체기준!$D$77:$D$86,0)),ISNUMBER(MATCH($F873,계정대체기준!$D$77:$D$86,0))),"Y","N")))</f>
        <v/>
      </c>
    </row>
    <row r="874">
      <c r="A874" s="92" t="n">
        <v>2025</v>
      </c>
      <c r="B874" s="92" t="n">
        <v>4</v>
      </c>
      <c r="C874" s="92" t="inlineStr">
        <is>
          <t>5100000870</t>
        </is>
      </c>
      <c r="D874" s="95" t="n">
        <v>45769</v>
      </c>
      <c r="E874" s="92" t="inlineStr">
        <is>
          <t>KR</t>
        </is>
      </c>
      <c r="F874" s="92" t="n">
        <v>63501000</v>
      </c>
      <c r="G874" s="92" t="n">
        <v>1902</v>
      </c>
      <c r="H874" s="93" t="n">
        <v>450560000</v>
      </c>
      <c r="I874" s="92" t="inlineStr">
        <is>
          <t>4월 모집수수료 - AA보험대리점</t>
        </is>
      </c>
      <c r="J874" s="92" t="inlineStr">
        <is>
          <t>V10034</t>
        </is>
      </c>
      <c r="K874" s="92" t="inlineStr">
        <is>
          <t>AA보험대리점</t>
        </is>
      </c>
      <c r="M874" s="9">
        <f>IF($A874="","",VALUE($A874&amp;"")*12+VALUE($B874&amp;""))</f>
        <v/>
      </c>
      <c r="N874" s="64">
        <f>IF($A874="","",IFERROR(INDEX(부서매핑!$C$5:$C$504,MATCH($G874&amp;"",부서매핑!$A$5:$A$504,0)),"미매핑"))</f>
        <v/>
      </c>
      <c r="O874" s="9">
        <f>IF($A874="","",N874&amp;"|"&amp;$F874)</f>
        <v/>
      </c>
      <c r="P874" s="94">
        <f>IF($A874="",0,$H874*설정!$C$23)</f>
        <v/>
      </c>
      <c r="Q874" s="64">
        <f>IF($A874="","",IF(O874&lt;&gt;원인분석!$C$9,"",IF(AND(M874&gt;=원인분석!$C$10,M874&lt;=원인분석!$C$11),"당기",IF(AND(M874&gt;=원인분석!$C$12,M874&lt;=원인분석!$C$13),"비교",""))))</f>
        <v/>
      </c>
      <c r="R874" s="9">
        <f>IF(Q874="","",$K874&amp;"")</f>
        <v/>
      </c>
      <c r="S874" s="9">
        <f>IF(Q874="","",IF(MATCH(R874,$R$5:$R$100000,0)=ROW()-4,ROW(),""))</f>
        <v/>
      </c>
      <c r="T874" s="9">
        <f>IF(Q874="당기",ABS(P874)+ROW()/1000000000,"")</f>
        <v/>
      </c>
      <c r="U874" s="9">
        <f>IF(Q874="비교",ABS(P874)+ROW()/1000000000,"")</f>
        <v/>
      </c>
      <c r="V874" s="64">
        <f>IF($A874="","",IF(COUNTIF(변동분석!$E$7:$E$506,O874)&gt;0,"Y","N"))</f>
        <v/>
      </c>
      <c r="W874" s="64">
        <f>IF($A874="","",IFERROR(INDEX(계정매핑!$D$5:$D$504,MATCH($F874&amp;"",계정매핑!$A$5:$A$504,0)),"미매핑"))</f>
        <v/>
      </c>
      <c r="X874" s="9">
        <f>IF($A874="","",$F874&amp;"")</f>
        <v/>
      </c>
      <c r="Y874" s="94">
        <f>IF($A874="",0,IF(AE874="직접",IF(AF874="비귀속",$P874,0),$P874*(1-AG874)*IFERROR(INDEX(계정대체기준!$F$20:$F$49,MATCH($N874,계정대체기준!$A$20:$A$49,0)),1)))</f>
        <v/>
      </c>
      <c r="Z874" s="94">
        <f>IF($A874="",0,IF(AE874="직접",IF(AF874="신계약비",$P874,0),$P874*(1-AG874)*IFERROR(INDEX(계정대체기준!$C$20:$C$49,MATCH($N874,계정대체기준!$A$20:$A$49,0)),0)))</f>
        <v/>
      </c>
      <c r="AA874" s="94">
        <f>IF($A874="",0,IF(AE874="직접",IF(OR(AF874="유지비",AF874="손해조사비"),$P874,0),$P874*(1-AG874)*IFERROR(INDEX(계정대체기준!$D$20:$D$49,MATCH($N874,계정대체기준!$A$20:$A$49,0)),0)))</f>
        <v/>
      </c>
      <c r="AB874" s="94">
        <f>IF($A874="",0,IF(AE874="직접",IF(AF874="수금비",$P874,0),$P874*(1-AG874)*IFERROR(INDEX(계정대체기준!$E$20:$E$49,MATCH($N874,계정대체기준!$A$20:$A$49,0)),0)))</f>
        <v/>
      </c>
      <c r="AC874" s="9">
        <f>IF(AND($A874&lt;&gt;"",M874=설정!$C$20,Z874&gt;0),Z874+ROW()/1000000000,"")</f>
        <v/>
      </c>
      <c r="AD874" s="94">
        <f>IF($A874="",0,$P874*AG874)</f>
        <v/>
      </c>
      <c r="AE874" s="64">
        <f>IF($A874="","",IFERROR(INDEX(계정매핑!$E$5:$E$504,MATCH($F874&amp;"",계정매핑!$A$5:$A$504,0))&amp;"","공통비"))</f>
        <v/>
      </c>
      <c r="AF874" s="64">
        <f>IF($A874="","",IF(AE874="직접",IFERROR(INDEX(계정매핑!$F$5:$F$504,MATCH($F874&amp;"",계정매핑!$A$5:$A$504,0))&amp;"","비귀속"),""))</f>
        <v/>
      </c>
      <c r="AG874" s="96">
        <f>IF($A874="",0,IF(AND(AE874&lt;&gt;"직접",IFERROR(INDEX(계정매핑!$G$5:$G$504,MATCH($F874&amp;"",계정매핑!$A$5:$A$504,0))&amp;"","")="유지비",COUNTIF(계정대체기준!$A$6:$A$15,$N874)&gt;0),IFERROR(INDEX(계정대체기준!$E$6:$E$15,MATCH(VALUE($A874&amp;""),계정대체기준!$D$6:$D$15,0)),0),0))</f>
        <v/>
      </c>
      <c r="AH874" s="64">
        <f>IF($A874="","",IF(AD874=0,"",IF(OR(COUNTIF(계정대체기준!$A$77:$A$86,$N874)&gt;0,ISNUMBER(MATCH($X874,계정대체기준!$D$77:$D$86,0)),ISNUMBER(MATCH($F874,계정대체기준!$D$77:$D$86,0))),"Y","N")))</f>
        <v/>
      </c>
    </row>
    <row r="875">
      <c r="A875" s="92" t="n">
        <v>2025</v>
      </c>
      <c r="B875" s="92" t="n">
        <v>4</v>
      </c>
      <c r="C875" s="92" t="inlineStr">
        <is>
          <t>5100000871</t>
        </is>
      </c>
      <c r="D875" s="95" t="n">
        <v>45770</v>
      </c>
      <c r="E875" s="92" t="inlineStr">
        <is>
          <t>KR</t>
        </is>
      </c>
      <c r="F875" s="92" t="n">
        <v>62101000</v>
      </c>
      <c r="G875" s="92" t="n">
        <v>1501</v>
      </c>
      <c r="H875" s="93" t="n">
        <v>446000</v>
      </c>
      <c r="I875" s="92" t="inlineStr">
        <is>
          <t>4월 국내출장 - L여행사</t>
        </is>
      </c>
      <c r="J875" s="92" t="inlineStr">
        <is>
          <t>V10018</t>
        </is>
      </c>
      <c r="K875" s="92" t="inlineStr">
        <is>
          <t>L여행사</t>
        </is>
      </c>
      <c r="M875" s="9">
        <f>IF($A875="","",VALUE($A875&amp;"")*12+VALUE($B875&amp;""))</f>
        <v/>
      </c>
      <c r="N875" s="64">
        <f>IF($A875="","",IFERROR(INDEX(부서매핑!$C$5:$C$504,MATCH($G875&amp;"",부서매핑!$A$5:$A$504,0)),"미매핑"))</f>
        <v/>
      </c>
      <c r="O875" s="9">
        <f>IF($A875="","",N875&amp;"|"&amp;$F875)</f>
        <v/>
      </c>
      <c r="P875" s="94">
        <f>IF($A875="",0,$H875*설정!$C$23)</f>
        <v/>
      </c>
      <c r="Q875" s="64">
        <f>IF($A875="","",IF(O875&lt;&gt;원인분석!$C$9,"",IF(AND(M875&gt;=원인분석!$C$10,M875&lt;=원인분석!$C$11),"당기",IF(AND(M875&gt;=원인분석!$C$12,M875&lt;=원인분석!$C$13),"비교",""))))</f>
        <v/>
      </c>
      <c r="R875" s="9">
        <f>IF(Q875="","",$K875&amp;"")</f>
        <v/>
      </c>
      <c r="S875" s="9">
        <f>IF(Q875="","",IF(MATCH(R875,$R$5:$R$100000,0)=ROW()-4,ROW(),""))</f>
        <v/>
      </c>
      <c r="T875" s="9">
        <f>IF(Q875="당기",ABS(P875)+ROW()/1000000000,"")</f>
        <v/>
      </c>
      <c r="U875" s="9">
        <f>IF(Q875="비교",ABS(P875)+ROW()/1000000000,"")</f>
        <v/>
      </c>
      <c r="V875" s="64">
        <f>IF($A875="","",IF(COUNTIF(변동분석!$E$7:$E$506,O875)&gt;0,"Y","N"))</f>
        <v/>
      </c>
      <c r="W875" s="64">
        <f>IF($A875="","",IFERROR(INDEX(계정매핑!$D$5:$D$504,MATCH($F875&amp;"",계정매핑!$A$5:$A$504,0)),"미매핑"))</f>
        <v/>
      </c>
      <c r="X875" s="9">
        <f>IF($A875="","",$F875&amp;"")</f>
        <v/>
      </c>
      <c r="Y875" s="94">
        <f>IF($A875="",0,IF(AE875="직접",IF(AF875="비귀속",$P875,0),$P875*(1-AG875)*IFERROR(INDEX(계정대체기준!$F$20:$F$49,MATCH($N875,계정대체기준!$A$20:$A$49,0)),1)))</f>
        <v/>
      </c>
      <c r="Z875" s="94">
        <f>IF($A875="",0,IF(AE875="직접",IF(AF875="신계약비",$P875,0),$P875*(1-AG875)*IFERROR(INDEX(계정대체기준!$C$20:$C$49,MATCH($N875,계정대체기준!$A$20:$A$49,0)),0)))</f>
        <v/>
      </c>
      <c r="AA875" s="94">
        <f>IF($A875="",0,IF(AE875="직접",IF(OR(AF875="유지비",AF875="손해조사비"),$P875,0),$P875*(1-AG875)*IFERROR(INDEX(계정대체기준!$D$20:$D$49,MATCH($N875,계정대체기준!$A$20:$A$49,0)),0)))</f>
        <v/>
      </c>
      <c r="AB875" s="94">
        <f>IF($A875="",0,IF(AE875="직접",IF(AF875="수금비",$P875,0),$P875*(1-AG875)*IFERROR(INDEX(계정대체기준!$E$20:$E$49,MATCH($N875,계정대체기준!$A$20:$A$49,0)),0)))</f>
        <v/>
      </c>
      <c r="AC875" s="9">
        <f>IF(AND($A875&lt;&gt;"",M875=설정!$C$20,Z875&gt;0),Z875+ROW()/1000000000,"")</f>
        <v/>
      </c>
      <c r="AD875" s="94">
        <f>IF($A875="",0,$P875*AG875)</f>
        <v/>
      </c>
      <c r="AE875" s="64">
        <f>IF($A875="","",IFERROR(INDEX(계정매핑!$E$5:$E$504,MATCH($F875&amp;"",계정매핑!$A$5:$A$504,0))&amp;"","공통비"))</f>
        <v/>
      </c>
      <c r="AF875" s="64">
        <f>IF($A875="","",IF(AE875="직접",IFERROR(INDEX(계정매핑!$F$5:$F$504,MATCH($F875&amp;"",계정매핑!$A$5:$A$504,0))&amp;"","비귀속"),""))</f>
        <v/>
      </c>
      <c r="AG875" s="96">
        <f>IF($A875="",0,IF(AND(AE875&lt;&gt;"직접",IFERROR(INDEX(계정매핑!$G$5:$G$504,MATCH($F875&amp;"",계정매핑!$A$5:$A$504,0))&amp;"","")="유지비",COUNTIF(계정대체기준!$A$6:$A$15,$N875)&gt;0),IFERROR(INDEX(계정대체기준!$E$6:$E$15,MATCH(VALUE($A875&amp;""),계정대체기준!$D$6:$D$15,0)),0),0))</f>
        <v/>
      </c>
      <c r="AH875" s="64">
        <f>IF($A875="","",IF(AD875=0,"",IF(OR(COUNTIF(계정대체기준!$A$77:$A$86,$N875)&gt;0,ISNUMBER(MATCH($X875,계정대체기준!$D$77:$D$86,0)),ISNUMBER(MATCH($F875,계정대체기준!$D$77:$D$86,0))),"Y","N")))</f>
        <v/>
      </c>
    </row>
    <row r="876">
      <c r="A876" s="92" t="n">
        <v>2025</v>
      </c>
      <c r="B876" s="92" t="n">
        <v>4</v>
      </c>
      <c r="C876" s="92" t="inlineStr">
        <is>
          <t>5100000872</t>
        </is>
      </c>
      <c r="D876" s="95" t="n">
        <v>45770</v>
      </c>
      <c r="E876" s="92" t="inlineStr">
        <is>
          <t>KR</t>
        </is>
      </c>
      <c r="F876" s="92" t="n">
        <v>62102000</v>
      </c>
      <c r="G876" s="92" t="n">
        <v>1801</v>
      </c>
      <c r="H876" s="93" t="n">
        <v>59000</v>
      </c>
      <c r="I876" s="92" t="inlineStr">
        <is>
          <t>4월 해외출장 - M항공</t>
        </is>
      </c>
      <c r="J876" s="92" t="inlineStr">
        <is>
          <t>V10001</t>
        </is>
      </c>
      <c r="K876" s="92" t="inlineStr">
        <is>
          <t>M항공</t>
        </is>
      </c>
      <c r="M876" s="9">
        <f>IF($A876="","",VALUE($A876&amp;"")*12+VALUE($B876&amp;""))</f>
        <v/>
      </c>
      <c r="N876" s="64">
        <f>IF($A876="","",IFERROR(INDEX(부서매핑!$C$5:$C$504,MATCH($G876&amp;"",부서매핑!$A$5:$A$504,0)),"미매핑"))</f>
        <v/>
      </c>
      <c r="O876" s="9">
        <f>IF($A876="","",N876&amp;"|"&amp;$F876)</f>
        <v/>
      </c>
      <c r="P876" s="94">
        <f>IF($A876="",0,$H876*설정!$C$23)</f>
        <v/>
      </c>
      <c r="Q876" s="64">
        <f>IF($A876="","",IF(O876&lt;&gt;원인분석!$C$9,"",IF(AND(M876&gt;=원인분석!$C$10,M876&lt;=원인분석!$C$11),"당기",IF(AND(M876&gt;=원인분석!$C$12,M876&lt;=원인분석!$C$13),"비교",""))))</f>
        <v/>
      </c>
      <c r="R876" s="9">
        <f>IF(Q876="","",$K876&amp;"")</f>
        <v/>
      </c>
      <c r="S876" s="9">
        <f>IF(Q876="","",IF(MATCH(R876,$R$5:$R$100000,0)=ROW()-4,ROW(),""))</f>
        <v/>
      </c>
      <c r="T876" s="9">
        <f>IF(Q876="당기",ABS(P876)+ROW()/1000000000,"")</f>
        <v/>
      </c>
      <c r="U876" s="9">
        <f>IF(Q876="비교",ABS(P876)+ROW()/1000000000,"")</f>
        <v/>
      </c>
      <c r="V876" s="64">
        <f>IF($A876="","",IF(COUNTIF(변동분석!$E$7:$E$506,O876)&gt;0,"Y","N"))</f>
        <v/>
      </c>
      <c r="W876" s="64">
        <f>IF($A876="","",IFERROR(INDEX(계정매핑!$D$5:$D$504,MATCH($F876&amp;"",계정매핑!$A$5:$A$504,0)),"미매핑"))</f>
        <v/>
      </c>
      <c r="X876" s="9">
        <f>IF($A876="","",$F876&amp;"")</f>
        <v/>
      </c>
      <c r="Y876" s="94">
        <f>IF($A876="",0,IF(AE876="직접",IF(AF876="비귀속",$P876,0),$P876*(1-AG876)*IFERROR(INDEX(계정대체기준!$F$20:$F$49,MATCH($N876,계정대체기준!$A$20:$A$49,0)),1)))</f>
        <v/>
      </c>
      <c r="Z876" s="94">
        <f>IF($A876="",0,IF(AE876="직접",IF(AF876="신계약비",$P876,0),$P876*(1-AG876)*IFERROR(INDEX(계정대체기준!$C$20:$C$49,MATCH($N876,계정대체기준!$A$20:$A$49,0)),0)))</f>
        <v/>
      </c>
      <c r="AA876" s="94">
        <f>IF($A876="",0,IF(AE876="직접",IF(OR(AF876="유지비",AF876="손해조사비"),$P876,0),$P876*(1-AG876)*IFERROR(INDEX(계정대체기준!$D$20:$D$49,MATCH($N876,계정대체기준!$A$20:$A$49,0)),0)))</f>
        <v/>
      </c>
      <c r="AB876" s="94">
        <f>IF($A876="",0,IF(AE876="직접",IF(AF876="수금비",$P876,0),$P876*(1-AG876)*IFERROR(INDEX(계정대체기준!$E$20:$E$49,MATCH($N876,계정대체기준!$A$20:$A$49,0)),0)))</f>
        <v/>
      </c>
      <c r="AC876" s="9">
        <f>IF(AND($A876&lt;&gt;"",M876=설정!$C$20,Z876&gt;0),Z876+ROW()/1000000000,"")</f>
        <v/>
      </c>
      <c r="AD876" s="94">
        <f>IF($A876="",0,$P876*AG876)</f>
        <v/>
      </c>
      <c r="AE876" s="64">
        <f>IF($A876="","",IFERROR(INDEX(계정매핑!$E$5:$E$504,MATCH($F876&amp;"",계정매핑!$A$5:$A$504,0))&amp;"","공통비"))</f>
        <v/>
      </c>
      <c r="AF876" s="64">
        <f>IF($A876="","",IF(AE876="직접",IFERROR(INDEX(계정매핑!$F$5:$F$504,MATCH($F876&amp;"",계정매핑!$A$5:$A$504,0))&amp;"","비귀속"),""))</f>
        <v/>
      </c>
      <c r="AG876" s="96">
        <f>IF($A876="",0,IF(AND(AE876&lt;&gt;"직접",IFERROR(INDEX(계정매핑!$G$5:$G$504,MATCH($F876&amp;"",계정매핑!$A$5:$A$504,0))&amp;"","")="유지비",COUNTIF(계정대체기준!$A$6:$A$15,$N876)&gt;0),IFERROR(INDEX(계정대체기준!$E$6:$E$15,MATCH(VALUE($A876&amp;""),계정대체기준!$D$6:$D$15,0)),0),0))</f>
        <v/>
      </c>
      <c r="AH876" s="64">
        <f>IF($A876="","",IF(AD876=0,"",IF(OR(COUNTIF(계정대체기준!$A$77:$A$86,$N876)&gt;0,ISNUMBER(MATCH($X876,계정대체기준!$D$77:$D$86,0)),ISNUMBER(MATCH($F876,계정대체기준!$D$77:$D$86,0))),"Y","N")))</f>
        <v/>
      </c>
    </row>
    <row r="877">
      <c r="A877" s="92" t="n">
        <v>2025</v>
      </c>
      <c r="B877" s="92" t="n">
        <v>4</v>
      </c>
      <c r="C877" s="92" t="inlineStr">
        <is>
          <t>5100000873</t>
        </is>
      </c>
      <c r="D877" s="95" t="n">
        <v>45770</v>
      </c>
      <c r="E877" s="92" t="inlineStr">
        <is>
          <t>KR</t>
        </is>
      </c>
      <c r="F877" s="92" t="n">
        <v>62201000</v>
      </c>
      <c r="G877" s="92" t="n">
        <v>1401</v>
      </c>
      <c r="H877" s="93" t="n">
        <v>139000</v>
      </c>
      <c r="I877" s="92" t="inlineStr">
        <is>
          <t>4월 통신요금 - P통신</t>
        </is>
      </c>
      <c r="J877" s="92" t="inlineStr">
        <is>
          <t>V10014</t>
        </is>
      </c>
      <c r="K877" s="92" t="inlineStr">
        <is>
          <t>P통신</t>
        </is>
      </c>
      <c r="M877" s="9">
        <f>IF($A877="","",VALUE($A877&amp;"")*12+VALUE($B877&amp;""))</f>
        <v/>
      </c>
      <c r="N877" s="64">
        <f>IF($A877="","",IFERROR(INDEX(부서매핑!$C$5:$C$504,MATCH($G877&amp;"",부서매핑!$A$5:$A$504,0)),"미매핑"))</f>
        <v/>
      </c>
      <c r="O877" s="9">
        <f>IF($A877="","",N877&amp;"|"&amp;$F877)</f>
        <v/>
      </c>
      <c r="P877" s="94">
        <f>IF($A877="",0,$H877*설정!$C$23)</f>
        <v/>
      </c>
      <c r="Q877" s="64">
        <f>IF($A877="","",IF(O877&lt;&gt;원인분석!$C$9,"",IF(AND(M877&gt;=원인분석!$C$10,M877&lt;=원인분석!$C$11),"당기",IF(AND(M877&gt;=원인분석!$C$12,M877&lt;=원인분석!$C$13),"비교",""))))</f>
        <v/>
      </c>
      <c r="R877" s="9">
        <f>IF(Q877="","",$K877&amp;"")</f>
        <v/>
      </c>
      <c r="S877" s="9">
        <f>IF(Q877="","",IF(MATCH(R877,$R$5:$R$100000,0)=ROW()-4,ROW(),""))</f>
        <v/>
      </c>
      <c r="T877" s="9">
        <f>IF(Q877="당기",ABS(P877)+ROW()/1000000000,"")</f>
        <v/>
      </c>
      <c r="U877" s="9">
        <f>IF(Q877="비교",ABS(P877)+ROW()/1000000000,"")</f>
        <v/>
      </c>
      <c r="V877" s="64">
        <f>IF($A877="","",IF(COUNTIF(변동분석!$E$7:$E$506,O877)&gt;0,"Y","N"))</f>
        <v/>
      </c>
      <c r="W877" s="64">
        <f>IF($A877="","",IFERROR(INDEX(계정매핑!$D$5:$D$504,MATCH($F877&amp;"",계정매핑!$A$5:$A$504,0)),"미매핑"))</f>
        <v/>
      </c>
      <c r="X877" s="9">
        <f>IF($A877="","",$F877&amp;"")</f>
        <v/>
      </c>
      <c r="Y877" s="94">
        <f>IF($A877="",0,IF(AE877="직접",IF(AF877="비귀속",$P877,0),$P877*(1-AG877)*IFERROR(INDEX(계정대체기준!$F$20:$F$49,MATCH($N877,계정대체기준!$A$20:$A$49,0)),1)))</f>
        <v/>
      </c>
      <c r="Z877" s="94">
        <f>IF($A877="",0,IF(AE877="직접",IF(AF877="신계약비",$P877,0),$P877*(1-AG877)*IFERROR(INDEX(계정대체기준!$C$20:$C$49,MATCH($N877,계정대체기준!$A$20:$A$49,0)),0)))</f>
        <v/>
      </c>
      <c r="AA877" s="94">
        <f>IF($A877="",0,IF(AE877="직접",IF(OR(AF877="유지비",AF877="손해조사비"),$P877,0),$P877*(1-AG877)*IFERROR(INDEX(계정대체기준!$D$20:$D$49,MATCH($N877,계정대체기준!$A$20:$A$49,0)),0)))</f>
        <v/>
      </c>
      <c r="AB877" s="94">
        <f>IF($A877="",0,IF(AE877="직접",IF(AF877="수금비",$P877,0),$P877*(1-AG877)*IFERROR(INDEX(계정대체기준!$E$20:$E$49,MATCH($N877,계정대체기준!$A$20:$A$49,0)),0)))</f>
        <v/>
      </c>
      <c r="AC877" s="9">
        <f>IF(AND($A877&lt;&gt;"",M877=설정!$C$20,Z877&gt;0),Z877+ROW()/1000000000,"")</f>
        <v/>
      </c>
      <c r="AD877" s="94">
        <f>IF($A877="",0,$P877*AG877)</f>
        <v/>
      </c>
      <c r="AE877" s="64">
        <f>IF($A877="","",IFERROR(INDEX(계정매핑!$E$5:$E$504,MATCH($F877&amp;"",계정매핑!$A$5:$A$504,0))&amp;"","공통비"))</f>
        <v/>
      </c>
      <c r="AF877" s="64">
        <f>IF($A877="","",IF(AE877="직접",IFERROR(INDEX(계정매핑!$F$5:$F$504,MATCH($F877&amp;"",계정매핑!$A$5:$A$504,0))&amp;"","비귀속"),""))</f>
        <v/>
      </c>
      <c r="AG877" s="96">
        <f>IF($A877="",0,IF(AND(AE877&lt;&gt;"직접",IFERROR(INDEX(계정매핑!$G$5:$G$504,MATCH($F877&amp;"",계정매핑!$A$5:$A$504,0))&amp;"","")="유지비",COUNTIF(계정대체기준!$A$6:$A$15,$N877)&gt;0),IFERROR(INDEX(계정대체기준!$E$6:$E$15,MATCH(VALUE($A877&amp;""),계정대체기준!$D$6:$D$15,0)),0),0))</f>
        <v/>
      </c>
      <c r="AH877" s="64">
        <f>IF($A877="","",IF(AD877=0,"",IF(OR(COUNTIF(계정대체기준!$A$77:$A$86,$N877)&gt;0,ISNUMBER(MATCH($X877,계정대체기준!$D$77:$D$86,0)),ISNUMBER(MATCH($F877,계정대체기준!$D$77:$D$86,0))),"Y","N")))</f>
        <v/>
      </c>
    </row>
    <row r="878">
      <c r="A878" s="92" t="n">
        <v>2025</v>
      </c>
      <c r="B878" s="92" t="n">
        <v>4</v>
      </c>
      <c r="C878" s="92" t="inlineStr">
        <is>
          <t>5100000874</t>
        </is>
      </c>
      <c r="D878" s="95" t="n">
        <v>45770</v>
      </c>
      <c r="E878" s="92" t="inlineStr">
        <is>
          <t>KR</t>
        </is>
      </c>
      <c r="F878" s="92" t="n">
        <v>62201000</v>
      </c>
      <c r="G878" s="92" t="n">
        <v>1502</v>
      </c>
      <c r="H878" s="93" t="n">
        <v>269000</v>
      </c>
      <c r="I878" s="92" t="inlineStr">
        <is>
          <t>4월 통신요금 - P통신</t>
        </is>
      </c>
      <c r="J878" s="92" t="inlineStr">
        <is>
          <t>V10014</t>
        </is>
      </c>
      <c r="K878" s="92" t="inlineStr">
        <is>
          <t>P통신</t>
        </is>
      </c>
      <c r="M878" s="9">
        <f>IF($A878="","",VALUE($A878&amp;"")*12+VALUE($B878&amp;""))</f>
        <v/>
      </c>
      <c r="N878" s="64">
        <f>IF($A878="","",IFERROR(INDEX(부서매핑!$C$5:$C$504,MATCH($G878&amp;"",부서매핑!$A$5:$A$504,0)),"미매핑"))</f>
        <v/>
      </c>
      <c r="O878" s="9">
        <f>IF($A878="","",N878&amp;"|"&amp;$F878)</f>
        <v/>
      </c>
      <c r="P878" s="94">
        <f>IF($A878="",0,$H878*설정!$C$23)</f>
        <v/>
      </c>
      <c r="Q878" s="64">
        <f>IF($A878="","",IF(O878&lt;&gt;원인분석!$C$9,"",IF(AND(M878&gt;=원인분석!$C$10,M878&lt;=원인분석!$C$11),"당기",IF(AND(M878&gt;=원인분석!$C$12,M878&lt;=원인분석!$C$13),"비교",""))))</f>
        <v/>
      </c>
      <c r="R878" s="9">
        <f>IF(Q878="","",$K878&amp;"")</f>
        <v/>
      </c>
      <c r="S878" s="9">
        <f>IF(Q878="","",IF(MATCH(R878,$R$5:$R$100000,0)=ROW()-4,ROW(),""))</f>
        <v/>
      </c>
      <c r="T878" s="9">
        <f>IF(Q878="당기",ABS(P878)+ROW()/1000000000,"")</f>
        <v/>
      </c>
      <c r="U878" s="9">
        <f>IF(Q878="비교",ABS(P878)+ROW()/1000000000,"")</f>
        <v/>
      </c>
      <c r="V878" s="64">
        <f>IF($A878="","",IF(COUNTIF(변동분석!$E$7:$E$506,O878)&gt;0,"Y","N"))</f>
        <v/>
      </c>
      <c r="W878" s="64">
        <f>IF($A878="","",IFERROR(INDEX(계정매핑!$D$5:$D$504,MATCH($F878&amp;"",계정매핑!$A$5:$A$504,0)),"미매핑"))</f>
        <v/>
      </c>
      <c r="X878" s="9">
        <f>IF($A878="","",$F878&amp;"")</f>
        <v/>
      </c>
      <c r="Y878" s="94">
        <f>IF($A878="",0,IF(AE878="직접",IF(AF878="비귀속",$P878,0),$P878*(1-AG878)*IFERROR(INDEX(계정대체기준!$F$20:$F$49,MATCH($N878,계정대체기준!$A$20:$A$49,0)),1)))</f>
        <v/>
      </c>
      <c r="Z878" s="94">
        <f>IF($A878="",0,IF(AE878="직접",IF(AF878="신계약비",$P878,0),$P878*(1-AG878)*IFERROR(INDEX(계정대체기준!$C$20:$C$49,MATCH($N878,계정대체기준!$A$20:$A$49,0)),0)))</f>
        <v/>
      </c>
      <c r="AA878" s="94">
        <f>IF($A878="",0,IF(AE878="직접",IF(OR(AF878="유지비",AF878="손해조사비"),$P878,0),$P878*(1-AG878)*IFERROR(INDEX(계정대체기준!$D$20:$D$49,MATCH($N878,계정대체기준!$A$20:$A$49,0)),0)))</f>
        <v/>
      </c>
      <c r="AB878" s="94">
        <f>IF($A878="",0,IF(AE878="직접",IF(AF878="수금비",$P878,0),$P878*(1-AG878)*IFERROR(INDEX(계정대체기준!$E$20:$E$49,MATCH($N878,계정대체기준!$A$20:$A$49,0)),0)))</f>
        <v/>
      </c>
      <c r="AC878" s="9">
        <f>IF(AND($A878&lt;&gt;"",M878=설정!$C$20,Z878&gt;0),Z878+ROW()/1000000000,"")</f>
        <v/>
      </c>
      <c r="AD878" s="94">
        <f>IF($A878="",0,$P878*AG878)</f>
        <v/>
      </c>
      <c r="AE878" s="64">
        <f>IF($A878="","",IFERROR(INDEX(계정매핑!$E$5:$E$504,MATCH($F878&amp;"",계정매핑!$A$5:$A$504,0))&amp;"","공통비"))</f>
        <v/>
      </c>
      <c r="AF878" s="64">
        <f>IF($A878="","",IF(AE878="직접",IFERROR(INDEX(계정매핑!$F$5:$F$504,MATCH($F878&amp;"",계정매핑!$A$5:$A$504,0))&amp;"","비귀속"),""))</f>
        <v/>
      </c>
      <c r="AG878" s="96">
        <f>IF($A878="",0,IF(AND(AE878&lt;&gt;"직접",IFERROR(INDEX(계정매핑!$G$5:$G$504,MATCH($F878&amp;"",계정매핑!$A$5:$A$504,0))&amp;"","")="유지비",COUNTIF(계정대체기준!$A$6:$A$15,$N878)&gt;0),IFERROR(INDEX(계정대체기준!$E$6:$E$15,MATCH(VALUE($A878&amp;""),계정대체기준!$D$6:$D$15,0)),0),0))</f>
        <v/>
      </c>
      <c r="AH878" s="64">
        <f>IF($A878="","",IF(AD878=0,"",IF(OR(COUNTIF(계정대체기준!$A$77:$A$86,$N878)&gt;0,ISNUMBER(MATCH($X878,계정대체기준!$D$77:$D$86,0)),ISNUMBER(MATCH($F878,계정대체기준!$D$77:$D$86,0))),"Y","N")))</f>
        <v/>
      </c>
    </row>
    <row r="879">
      <c r="A879" s="92" t="n">
        <v>2025</v>
      </c>
      <c r="B879" s="92" t="n">
        <v>4</v>
      </c>
      <c r="C879" s="92" t="inlineStr">
        <is>
          <t>5100000875</t>
        </is>
      </c>
      <c r="D879" s="95" t="n">
        <v>45770</v>
      </c>
      <c r="E879" s="92" t="inlineStr">
        <is>
          <t>KR</t>
        </is>
      </c>
      <c r="F879" s="92" t="n">
        <v>62201000</v>
      </c>
      <c r="G879" s="92" t="n">
        <v>1601</v>
      </c>
      <c r="H879" s="93" t="n">
        <v>710000</v>
      </c>
      <c r="I879" s="92" t="inlineStr">
        <is>
          <t>4월 통신요금 - O텔레콤</t>
        </is>
      </c>
      <c r="J879" s="92" t="inlineStr">
        <is>
          <t>V10002</t>
        </is>
      </c>
      <c r="K879" s="92" t="inlineStr">
        <is>
          <t>O텔레콤</t>
        </is>
      </c>
      <c r="M879" s="9">
        <f>IF($A879="","",VALUE($A879&amp;"")*12+VALUE($B879&amp;""))</f>
        <v/>
      </c>
      <c r="N879" s="64">
        <f>IF($A879="","",IFERROR(INDEX(부서매핑!$C$5:$C$504,MATCH($G879&amp;"",부서매핑!$A$5:$A$504,0)),"미매핑"))</f>
        <v/>
      </c>
      <c r="O879" s="9">
        <f>IF($A879="","",N879&amp;"|"&amp;$F879)</f>
        <v/>
      </c>
      <c r="P879" s="94">
        <f>IF($A879="",0,$H879*설정!$C$23)</f>
        <v/>
      </c>
      <c r="Q879" s="64">
        <f>IF($A879="","",IF(O879&lt;&gt;원인분석!$C$9,"",IF(AND(M879&gt;=원인분석!$C$10,M879&lt;=원인분석!$C$11),"당기",IF(AND(M879&gt;=원인분석!$C$12,M879&lt;=원인분석!$C$13),"비교",""))))</f>
        <v/>
      </c>
      <c r="R879" s="9">
        <f>IF(Q879="","",$K879&amp;"")</f>
        <v/>
      </c>
      <c r="S879" s="9">
        <f>IF(Q879="","",IF(MATCH(R879,$R$5:$R$100000,0)=ROW()-4,ROW(),""))</f>
        <v/>
      </c>
      <c r="T879" s="9">
        <f>IF(Q879="당기",ABS(P879)+ROW()/1000000000,"")</f>
        <v/>
      </c>
      <c r="U879" s="9">
        <f>IF(Q879="비교",ABS(P879)+ROW()/1000000000,"")</f>
        <v/>
      </c>
      <c r="V879" s="64">
        <f>IF($A879="","",IF(COUNTIF(변동분석!$E$7:$E$506,O879)&gt;0,"Y","N"))</f>
        <v/>
      </c>
      <c r="W879" s="64">
        <f>IF($A879="","",IFERROR(INDEX(계정매핑!$D$5:$D$504,MATCH($F879&amp;"",계정매핑!$A$5:$A$504,0)),"미매핑"))</f>
        <v/>
      </c>
      <c r="X879" s="9">
        <f>IF($A879="","",$F879&amp;"")</f>
        <v/>
      </c>
      <c r="Y879" s="94">
        <f>IF($A879="",0,IF(AE879="직접",IF(AF879="비귀속",$P879,0),$P879*(1-AG879)*IFERROR(INDEX(계정대체기준!$F$20:$F$49,MATCH($N879,계정대체기준!$A$20:$A$49,0)),1)))</f>
        <v/>
      </c>
      <c r="Z879" s="94">
        <f>IF($A879="",0,IF(AE879="직접",IF(AF879="신계약비",$P879,0),$P879*(1-AG879)*IFERROR(INDEX(계정대체기준!$C$20:$C$49,MATCH($N879,계정대체기준!$A$20:$A$49,0)),0)))</f>
        <v/>
      </c>
      <c r="AA879" s="94">
        <f>IF($A879="",0,IF(AE879="직접",IF(OR(AF879="유지비",AF879="손해조사비"),$P879,0),$P879*(1-AG879)*IFERROR(INDEX(계정대체기준!$D$20:$D$49,MATCH($N879,계정대체기준!$A$20:$A$49,0)),0)))</f>
        <v/>
      </c>
      <c r="AB879" s="94">
        <f>IF($A879="",0,IF(AE879="직접",IF(AF879="수금비",$P879,0),$P879*(1-AG879)*IFERROR(INDEX(계정대체기준!$E$20:$E$49,MATCH($N879,계정대체기준!$A$20:$A$49,0)),0)))</f>
        <v/>
      </c>
      <c r="AC879" s="9">
        <f>IF(AND($A879&lt;&gt;"",M879=설정!$C$20,Z879&gt;0),Z879+ROW()/1000000000,"")</f>
        <v/>
      </c>
      <c r="AD879" s="94">
        <f>IF($A879="",0,$P879*AG879)</f>
        <v/>
      </c>
      <c r="AE879" s="64">
        <f>IF($A879="","",IFERROR(INDEX(계정매핑!$E$5:$E$504,MATCH($F879&amp;"",계정매핑!$A$5:$A$504,0))&amp;"","공통비"))</f>
        <v/>
      </c>
      <c r="AF879" s="64">
        <f>IF($A879="","",IF(AE879="직접",IFERROR(INDEX(계정매핑!$F$5:$F$504,MATCH($F879&amp;"",계정매핑!$A$5:$A$504,0))&amp;"","비귀속"),""))</f>
        <v/>
      </c>
      <c r="AG879" s="96">
        <f>IF($A879="",0,IF(AND(AE879&lt;&gt;"직접",IFERROR(INDEX(계정매핑!$G$5:$G$504,MATCH($F879&amp;"",계정매핑!$A$5:$A$504,0))&amp;"","")="유지비",COUNTIF(계정대체기준!$A$6:$A$15,$N879)&gt;0),IFERROR(INDEX(계정대체기준!$E$6:$E$15,MATCH(VALUE($A879&amp;""),계정대체기준!$D$6:$D$15,0)),0),0))</f>
        <v/>
      </c>
      <c r="AH879" s="64">
        <f>IF($A879="","",IF(AD879=0,"",IF(OR(COUNTIF(계정대체기준!$A$77:$A$86,$N879)&gt;0,ISNUMBER(MATCH($X879,계정대체기준!$D$77:$D$86,0)),ISNUMBER(MATCH($F879,계정대체기준!$D$77:$D$86,0))),"Y","N")))</f>
        <v/>
      </c>
    </row>
    <row r="880">
      <c r="A880" s="92" t="n">
        <v>2025</v>
      </c>
      <c r="B880" s="92" t="n">
        <v>4</v>
      </c>
      <c r="C880" s="92" t="inlineStr">
        <is>
          <t>5100000876</t>
        </is>
      </c>
      <c r="D880" s="95" t="n">
        <v>45770</v>
      </c>
      <c r="E880" s="92" t="inlineStr">
        <is>
          <t>KR</t>
        </is>
      </c>
      <c r="F880" s="92" t="n">
        <v>62201000</v>
      </c>
      <c r="G880" s="92" t="n">
        <v>1601</v>
      </c>
      <c r="H880" s="93" t="n">
        <v>469000</v>
      </c>
      <c r="I880" s="92" t="inlineStr">
        <is>
          <t>4월 통신요금 - P통신</t>
        </is>
      </c>
      <c r="J880" s="92" t="inlineStr">
        <is>
          <t>V10014</t>
        </is>
      </c>
      <c r="K880" s="92" t="inlineStr">
        <is>
          <t>P통신</t>
        </is>
      </c>
      <c r="M880" s="9">
        <f>IF($A880="","",VALUE($A880&amp;"")*12+VALUE($B880&amp;""))</f>
        <v/>
      </c>
      <c r="N880" s="64">
        <f>IF($A880="","",IFERROR(INDEX(부서매핑!$C$5:$C$504,MATCH($G880&amp;"",부서매핑!$A$5:$A$504,0)),"미매핑"))</f>
        <v/>
      </c>
      <c r="O880" s="9">
        <f>IF($A880="","",N880&amp;"|"&amp;$F880)</f>
        <v/>
      </c>
      <c r="P880" s="94">
        <f>IF($A880="",0,$H880*설정!$C$23)</f>
        <v/>
      </c>
      <c r="Q880" s="64">
        <f>IF($A880="","",IF(O880&lt;&gt;원인분석!$C$9,"",IF(AND(M880&gt;=원인분석!$C$10,M880&lt;=원인분석!$C$11),"당기",IF(AND(M880&gt;=원인분석!$C$12,M880&lt;=원인분석!$C$13),"비교",""))))</f>
        <v/>
      </c>
      <c r="R880" s="9">
        <f>IF(Q880="","",$K880&amp;"")</f>
        <v/>
      </c>
      <c r="S880" s="9">
        <f>IF(Q880="","",IF(MATCH(R880,$R$5:$R$100000,0)=ROW()-4,ROW(),""))</f>
        <v/>
      </c>
      <c r="T880" s="9">
        <f>IF(Q880="당기",ABS(P880)+ROW()/1000000000,"")</f>
        <v/>
      </c>
      <c r="U880" s="9">
        <f>IF(Q880="비교",ABS(P880)+ROW()/1000000000,"")</f>
        <v/>
      </c>
      <c r="V880" s="64">
        <f>IF($A880="","",IF(COUNTIF(변동분석!$E$7:$E$506,O880)&gt;0,"Y","N"))</f>
        <v/>
      </c>
      <c r="W880" s="64">
        <f>IF($A880="","",IFERROR(INDEX(계정매핑!$D$5:$D$504,MATCH($F880&amp;"",계정매핑!$A$5:$A$504,0)),"미매핑"))</f>
        <v/>
      </c>
      <c r="X880" s="9">
        <f>IF($A880="","",$F880&amp;"")</f>
        <v/>
      </c>
      <c r="Y880" s="94">
        <f>IF($A880="",0,IF(AE880="직접",IF(AF880="비귀속",$P880,0),$P880*(1-AG880)*IFERROR(INDEX(계정대체기준!$F$20:$F$49,MATCH($N880,계정대체기준!$A$20:$A$49,0)),1)))</f>
        <v/>
      </c>
      <c r="Z880" s="94">
        <f>IF($A880="",0,IF(AE880="직접",IF(AF880="신계약비",$P880,0),$P880*(1-AG880)*IFERROR(INDEX(계정대체기준!$C$20:$C$49,MATCH($N880,계정대체기준!$A$20:$A$49,0)),0)))</f>
        <v/>
      </c>
      <c r="AA880" s="94">
        <f>IF($A880="",0,IF(AE880="직접",IF(OR(AF880="유지비",AF880="손해조사비"),$P880,0),$P880*(1-AG880)*IFERROR(INDEX(계정대체기준!$D$20:$D$49,MATCH($N880,계정대체기준!$A$20:$A$49,0)),0)))</f>
        <v/>
      </c>
      <c r="AB880" s="94">
        <f>IF($A880="",0,IF(AE880="직접",IF(AF880="수금비",$P880,0),$P880*(1-AG880)*IFERROR(INDEX(계정대체기준!$E$20:$E$49,MATCH($N880,계정대체기준!$A$20:$A$49,0)),0)))</f>
        <v/>
      </c>
      <c r="AC880" s="9">
        <f>IF(AND($A880&lt;&gt;"",M880=설정!$C$20,Z880&gt;0),Z880+ROW()/1000000000,"")</f>
        <v/>
      </c>
      <c r="AD880" s="94">
        <f>IF($A880="",0,$P880*AG880)</f>
        <v/>
      </c>
      <c r="AE880" s="64">
        <f>IF($A880="","",IFERROR(INDEX(계정매핑!$E$5:$E$504,MATCH($F880&amp;"",계정매핑!$A$5:$A$504,0))&amp;"","공통비"))</f>
        <v/>
      </c>
      <c r="AF880" s="64">
        <f>IF($A880="","",IF(AE880="직접",IFERROR(INDEX(계정매핑!$F$5:$F$504,MATCH($F880&amp;"",계정매핑!$A$5:$A$504,0))&amp;"","비귀속"),""))</f>
        <v/>
      </c>
      <c r="AG880" s="96">
        <f>IF($A880="",0,IF(AND(AE880&lt;&gt;"직접",IFERROR(INDEX(계정매핑!$G$5:$G$504,MATCH($F880&amp;"",계정매핑!$A$5:$A$504,0))&amp;"","")="유지비",COUNTIF(계정대체기준!$A$6:$A$15,$N880)&gt;0),IFERROR(INDEX(계정대체기준!$E$6:$E$15,MATCH(VALUE($A880&amp;""),계정대체기준!$D$6:$D$15,0)),0),0))</f>
        <v/>
      </c>
      <c r="AH880" s="64">
        <f>IF($A880="","",IF(AD880=0,"",IF(OR(COUNTIF(계정대체기준!$A$77:$A$86,$N880)&gt;0,ISNUMBER(MATCH($X880,계정대체기준!$D$77:$D$86,0)),ISNUMBER(MATCH($F880,계정대체기준!$D$77:$D$86,0))),"Y","N")))</f>
        <v/>
      </c>
    </row>
    <row r="881">
      <c r="A881" s="92" t="n">
        <v>2025</v>
      </c>
      <c r="B881" s="92" t="n">
        <v>4</v>
      </c>
      <c r="C881" s="92" t="inlineStr">
        <is>
          <t>5100000877</t>
        </is>
      </c>
      <c r="D881" s="95" t="n">
        <v>45770</v>
      </c>
      <c r="E881" s="92" t="inlineStr">
        <is>
          <t>KR</t>
        </is>
      </c>
      <c r="F881" s="92" t="n">
        <v>62301000</v>
      </c>
      <c r="G881" s="92" t="n">
        <v>1301</v>
      </c>
      <c r="H881" s="93" t="n">
        <v>239000</v>
      </c>
      <c r="I881" s="92" t="inlineStr">
        <is>
          <t>4월 소모품 구입 - R문구</t>
        </is>
      </c>
      <c r="J881" s="92" t="inlineStr">
        <is>
          <t>V10022</t>
        </is>
      </c>
      <c r="K881" s="92" t="inlineStr">
        <is>
          <t>R문구</t>
        </is>
      </c>
      <c r="M881" s="9">
        <f>IF($A881="","",VALUE($A881&amp;"")*12+VALUE($B881&amp;""))</f>
        <v/>
      </c>
      <c r="N881" s="64">
        <f>IF($A881="","",IFERROR(INDEX(부서매핑!$C$5:$C$504,MATCH($G881&amp;"",부서매핑!$A$5:$A$504,0)),"미매핑"))</f>
        <v/>
      </c>
      <c r="O881" s="9">
        <f>IF($A881="","",N881&amp;"|"&amp;$F881)</f>
        <v/>
      </c>
      <c r="P881" s="94">
        <f>IF($A881="",0,$H881*설정!$C$23)</f>
        <v/>
      </c>
      <c r="Q881" s="64">
        <f>IF($A881="","",IF(O881&lt;&gt;원인분석!$C$9,"",IF(AND(M881&gt;=원인분석!$C$10,M881&lt;=원인분석!$C$11),"당기",IF(AND(M881&gt;=원인분석!$C$12,M881&lt;=원인분석!$C$13),"비교",""))))</f>
        <v/>
      </c>
      <c r="R881" s="9">
        <f>IF(Q881="","",$K881&amp;"")</f>
        <v/>
      </c>
      <c r="S881" s="9">
        <f>IF(Q881="","",IF(MATCH(R881,$R$5:$R$100000,0)=ROW()-4,ROW(),""))</f>
        <v/>
      </c>
      <c r="T881" s="9">
        <f>IF(Q881="당기",ABS(P881)+ROW()/1000000000,"")</f>
        <v/>
      </c>
      <c r="U881" s="9">
        <f>IF(Q881="비교",ABS(P881)+ROW()/1000000000,"")</f>
        <v/>
      </c>
      <c r="V881" s="64">
        <f>IF($A881="","",IF(COUNTIF(변동분석!$E$7:$E$506,O881)&gt;0,"Y","N"))</f>
        <v/>
      </c>
      <c r="W881" s="64">
        <f>IF($A881="","",IFERROR(INDEX(계정매핑!$D$5:$D$504,MATCH($F881&amp;"",계정매핑!$A$5:$A$504,0)),"미매핑"))</f>
        <v/>
      </c>
      <c r="X881" s="9">
        <f>IF($A881="","",$F881&amp;"")</f>
        <v/>
      </c>
      <c r="Y881" s="94">
        <f>IF($A881="",0,IF(AE881="직접",IF(AF881="비귀속",$P881,0),$P881*(1-AG881)*IFERROR(INDEX(계정대체기준!$F$20:$F$49,MATCH($N881,계정대체기준!$A$20:$A$49,0)),1)))</f>
        <v/>
      </c>
      <c r="Z881" s="94">
        <f>IF($A881="",0,IF(AE881="직접",IF(AF881="신계약비",$P881,0),$P881*(1-AG881)*IFERROR(INDEX(계정대체기준!$C$20:$C$49,MATCH($N881,계정대체기준!$A$20:$A$49,0)),0)))</f>
        <v/>
      </c>
      <c r="AA881" s="94">
        <f>IF($A881="",0,IF(AE881="직접",IF(OR(AF881="유지비",AF881="손해조사비"),$P881,0),$P881*(1-AG881)*IFERROR(INDEX(계정대체기준!$D$20:$D$49,MATCH($N881,계정대체기준!$A$20:$A$49,0)),0)))</f>
        <v/>
      </c>
      <c r="AB881" s="94">
        <f>IF($A881="",0,IF(AE881="직접",IF(AF881="수금비",$P881,0),$P881*(1-AG881)*IFERROR(INDEX(계정대체기준!$E$20:$E$49,MATCH($N881,계정대체기준!$A$20:$A$49,0)),0)))</f>
        <v/>
      </c>
      <c r="AC881" s="9">
        <f>IF(AND($A881&lt;&gt;"",M881=설정!$C$20,Z881&gt;0),Z881+ROW()/1000000000,"")</f>
        <v/>
      </c>
      <c r="AD881" s="94">
        <f>IF($A881="",0,$P881*AG881)</f>
        <v/>
      </c>
      <c r="AE881" s="64">
        <f>IF($A881="","",IFERROR(INDEX(계정매핑!$E$5:$E$504,MATCH($F881&amp;"",계정매핑!$A$5:$A$504,0))&amp;"","공통비"))</f>
        <v/>
      </c>
      <c r="AF881" s="64">
        <f>IF($A881="","",IF(AE881="직접",IFERROR(INDEX(계정매핑!$F$5:$F$504,MATCH($F881&amp;"",계정매핑!$A$5:$A$504,0))&amp;"","비귀속"),""))</f>
        <v/>
      </c>
      <c r="AG881" s="96">
        <f>IF($A881="",0,IF(AND(AE881&lt;&gt;"직접",IFERROR(INDEX(계정매핑!$G$5:$G$504,MATCH($F881&amp;"",계정매핑!$A$5:$A$504,0))&amp;"","")="유지비",COUNTIF(계정대체기준!$A$6:$A$15,$N881)&gt;0),IFERROR(INDEX(계정대체기준!$E$6:$E$15,MATCH(VALUE($A881&amp;""),계정대체기준!$D$6:$D$15,0)),0),0))</f>
        <v/>
      </c>
      <c r="AH881" s="64">
        <f>IF($A881="","",IF(AD881=0,"",IF(OR(COUNTIF(계정대체기준!$A$77:$A$86,$N881)&gt;0,ISNUMBER(MATCH($X881,계정대체기준!$D$77:$D$86,0)),ISNUMBER(MATCH($F881,계정대체기준!$D$77:$D$86,0))),"Y","N")))</f>
        <v/>
      </c>
    </row>
    <row r="882">
      <c r="A882" s="92" t="n">
        <v>2025</v>
      </c>
      <c r="B882" s="92" t="n">
        <v>4</v>
      </c>
      <c r="C882" s="92" t="inlineStr">
        <is>
          <t>5100000878</t>
        </is>
      </c>
      <c r="D882" s="95" t="n">
        <v>45770</v>
      </c>
      <c r="E882" s="92" t="inlineStr">
        <is>
          <t>KR</t>
        </is>
      </c>
      <c r="F882" s="92" t="n">
        <v>62301000</v>
      </c>
      <c r="G882" s="92" t="n">
        <v>1801</v>
      </c>
      <c r="H882" s="93" t="n">
        <v>752000</v>
      </c>
      <c r="I882" s="92" t="inlineStr">
        <is>
          <t>4월 소모품 구입 - R문구</t>
        </is>
      </c>
      <c r="J882" s="92" t="inlineStr">
        <is>
          <t>V10022</t>
        </is>
      </c>
      <c r="K882" s="92" t="inlineStr">
        <is>
          <t>R문구</t>
        </is>
      </c>
      <c r="M882" s="9">
        <f>IF($A882="","",VALUE($A882&amp;"")*12+VALUE($B882&amp;""))</f>
        <v/>
      </c>
      <c r="N882" s="64">
        <f>IF($A882="","",IFERROR(INDEX(부서매핑!$C$5:$C$504,MATCH($G882&amp;"",부서매핑!$A$5:$A$504,0)),"미매핑"))</f>
        <v/>
      </c>
      <c r="O882" s="9">
        <f>IF($A882="","",N882&amp;"|"&amp;$F882)</f>
        <v/>
      </c>
      <c r="P882" s="94">
        <f>IF($A882="",0,$H882*설정!$C$23)</f>
        <v/>
      </c>
      <c r="Q882" s="64">
        <f>IF($A882="","",IF(O882&lt;&gt;원인분석!$C$9,"",IF(AND(M882&gt;=원인분석!$C$10,M882&lt;=원인분석!$C$11),"당기",IF(AND(M882&gt;=원인분석!$C$12,M882&lt;=원인분석!$C$13),"비교",""))))</f>
        <v/>
      </c>
      <c r="R882" s="9">
        <f>IF(Q882="","",$K882&amp;"")</f>
        <v/>
      </c>
      <c r="S882" s="9">
        <f>IF(Q882="","",IF(MATCH(R882,$R$5:$R$100000,0)=ROW()-4,ROW(),""))</f>
        <v/>
      </c>
      <c r="T882" s="9">
        <f>IF(Q882="당기",ABS(P882)+ROW()/1000000000,"")</f>
        <v/>
      </c>
      <c r="U882" s="9">
        <f>IF(Q882="비교",ABS(P882)+ROW()/1000000000,"")</f>
        <v/>
      </c>
      <c r="V882" s="64">
        <f>IF($A882="","",IF(COUNTIF(변동분석!$E$7:$E$506,O882)&gt;0,"Y","N"))</f>
        <v/>
      </c>
      <c r="W882" s="64">
        <f>IF($A882="","",IFERROR(INDEX(계정매핑!$D$5:$D$504,MATCH($F882&amp;"",계정매핑!$A$5:$A$504,0)),"미매핑"))</f>
        <v/>
      </c>
      <c r="X882" s="9">
        <f>IF($A882="","",$F882&amp;"")</f>
        <v/>
      </c>
      <c r="Y882" s="94">
        <f>IF($A882="",0,IF(AE882="직접",IF(AF882="비귀속",$P882,0),$P882*(1-AG882)*IFERROR(INDEX(계정대체기준!$F$20:$F$49,MATCH($N882,계정대체기준!$A$20:$A$49,0)),1)))</f>
        <v/>
      </c>
      <c r="Z882" s="94">
        <f>IF($A882="",0,IF(AE882="직접",IF(AF882="신계약비",$P882,0),$P882*(1-AG882)*IFERROR(INDEX(계정대체기준!$C$20:$C$49,MATCH($N882,계정대체기준!$A$20:$A$49,0)),0)))</f>
        <v/>
      </c>
      <c r="AA882" s="94">
        <f>IF($A882="",0,IF(AE882="직접",IF(OR(AF882="유지비",AF882="손해조사비"),$P882,0),$P882*(1-AG882)*IFERROR(INDEX(계정대체기준!$D$20:$D$49,MATCH($N882,계정대체기준!$A$20:$A$49,0)),0)))</f>
        <v/>
      </c>
      <c r="AB882" s="94">
        <f>IF($A882="",0,IF(AE882="직접",IF(AF882="수금비",$P882,0),$P882*(1-AG882)*IFERROR(INDEX(계정대체기준!$E$20:$E$49,MATCH($N882,계정대체기준!$A$20:$A$49,0)),0)))</f>
        <v/>
      </c>
      <c r="AC882" s="9">
        <f>IF(AND($A882&lt;&gt;"",M882=설정!$C$20,Z882&gt;0),Z882+ROW()/1000000000,"")</f>
        <v/>
      </c>
      <c r="AD882" s="94">
        <f>IF($A882="",0,$P882*AG882)</f>
        <v/>
      </c>
      <c r="AE882" s="64">
        <f>IF($A882="","",IFERROR(INDEX(계정매핑!$E$5:$E$504,MATCH($F882&amp;"",계정매핑!$A$5:$A$504,0))&amp;"","공통비"))</f>
        <v/>
      </c>
      <c r="AF882" s="64">
        <f>IF($A882="","",IF(AE882="직접",IFERROR(INDEX(계정매핑!$F$5:$F$504,MATCH($F882&amp;"",계정매핑!$A$5:$A$504,0))&amp;"","비귀속"),""))</f>
        <v/>
      </c>
      <c r="AG882" s="96">
        <f>IF($A882="",0,IF(AND(AE882&lt;&gt;"직접",IFERROR(INDEX(계정매핑!$G$5:$G$504,MATCH($F882&amp;"",계정매핑!$A$5:$A$504,0))&amp;"","")="유지비",COUNTIF(계정대체기준!$A$6:$A$15,$N882)&gt;0),IFERROR(INDEX(계정대체기준!$E$6:$E$15,MATCH(VALUE($A882&amp;""),계정대체기준!$D$6:$D$15,0)),0),0))</f>
        <v/>
      </c>
      <c r="AH882" s="64">
        <f>IF($A882="","",IF(AD882=0,"",IF(OR(COUNTIF(계정대체기준!$A$77:$A$86,$N882)&gt;0,ISNUMBER(MATCH($X882,계정대체기준!$D$77:$D$86,0)),ISNUMBER(MATCH($F882,계정대체기준!$D$77:$D$86,0))),"Y","N")))</f>
        <v/>
      </c>
    </row>
    <row r="883">
      <c r="A883" s="92" t="n">
        <v>2025</v>
      </c>
      <c r="B883" s="92" t="n">
        <v>4</v>
      </c>
      <c r="C883" s="92" t="inlineStr">
        <is>
          <t>5100000879</t>
        </is>
      </c>
      <c r="D883" s="95" t="n">
        <v>45770</v>
      </c>
      <c r="E883" s="92" t="inlineStr">
        <is>
          <t>KR</t>
        </is>
      </c>
      <c r="F883" s="92" t="n">
        <v>62401000</v>
      </c>
      <c r="G883" s="92" t="n">
        <v>1801</v>
      </c>
      <c r="H883" s="93" t="n">
        <v>2077000</v>
      </c>
      <c r="I883" s="92" t="inlineStr">
        <is>
          <t>4월 인쇄물 제작 - S출판</t>
        </is>
      </c>
      <c r="J883" s="92" t="inlineStr">
        <is>
          <t>V10015</t>
        </is>
      </c>
      <c r="K883" s="92" t="inlineStr">
        <is>
          <t>S출판</t>
        </is>
      </c>
      <c r="M883" s="9">
        <f>IF($A883="","",VALUE($A883&amp;"")*12+VALUE($B883&amp;""))</f>
        <v/>
      </c>
      <c r="N883" s="64">
        <f>IF($A883="","",IFERROR(INDEX(부서매핑!$C$5:$C$504,MATCH($G883&amp;"",부서매핑!$A$5:$A$504,0)),"미매핑"))</f>
        <v/>
      </c>
      <c r="O883" s="9">
        <f>IF($A883="","",N883&amp;"|"&amp;$F883)</f>
        <v/>
      </c>
      <c r="P883" s="94">
        <f>IF($A883="",0,$H883*설정!$C$23)</f>
        <v/>
      </c>
      <c r="Q883" s="64">
        <f>IF($A883="","",IF(O883&lt;&gt;원인분석!$C$9,"",IF(AND(M883&gt;=원인분석!$C$10,M883&lt;=원인분석!$C$11),"당기",IF(AND(M883&gt;=원인분석!$C$12,M883&lt;=원인분석!$C$13),"비교",""))))</f>
        <v/>
      </c>
      <c r="R883" s="9">
        <f>IF(Q883="","",$K883&amp;"")</f>
        <v/>
      </c>
      <c r="S883" s="9">
        <f>IF(Q883="","",IF(MATCH(R883,$R$5:$R$100000,0)=ROW()-4,ROW(),""))</f>
        <v/>
      </c>
      <c r="T883" s="9">
        <f>IF(Q883="당기",ABS(P883)+ROW()/1000000000,"")</f>
        <v/>
      </c>
      <c r="U883" s="9">
        <f>IF(Q883="비교",ABS(P883)+ROW()/1000000000,"")</f>
        <v/>
      </c>
      <c r="V883" s="64">
        <f>IF($A883="","",IF(COUNTIF(변동분석!$E$7:$E$506,O883)&gt;0,"Y","N"))</f>
        <v/>
      </c>
      <c r="W883" s="64">
        <f>IF($A883="","",IFERROR(INDEX(계정매핑!$D$5:$D$504,MATCH($F883&amp;"",계정매핑!$A$5:$A$504,0)),"미매핑"))</f>
        <v/>
      </c>
      <c r="X883" s="9">
        <f>IF($A883="","",$F883&amp;"")</f>
        <v/>
      </c>
      <c r="Y883" s="94">
        <f>IF($A883="",0,IF(AE883="직접",IF(AF883="비귀속",$P883,0),$P883*(1-AG883)*IFERROR(INDEX(계정대체기준!$F$20:$F$49,MATCH($N883,계정대체기준!$A$20:$A$49,0)),1)))</f>
        <v/>
      </c>
      <c r="Z883" s="94">
        <f>IF($A883="",0,IF(AE883="직접",IF(AF883="신계약비",$P883,0),$P883*(1-AG883)*IFERROR(INDEX(계정대체기준!$C$20:$C$49,MATCH($N883,계정대체기준!$A$20:$A$49,0)),0)))</f>
        <v/>
      </c>
      <c r="AA883" s="94">
        <f>IF($A883="",0,IF(AE883="직접",IF(OR(AF883="유지비",AF883="손해조사비"),$P883,0),$P883*(1-AG883)*IFERROR(INDEX(계정대체기준!$D$20:$D$49,MATCH($N883,계정대체기준!$A$20:$A$49,0)),0)))</f>
        <v/>
      </c>
      <c r="AB883" s="94">
        <f>IF($A883="",0,IF(AE883="직접",IF(AF883="수금비",$P883,0),$P883*(1-AG883)*IFERROR(INDEX(계정대체기준!$E$20:$E$49,MATCH($N883,계정대체기준!$A$20:$A$49,0)),0)))</f>
        <v/>
      </c>
      <c r="AC883" s="9">
        <f>IF(AND($A883&lt;&gt;"",M883=설정!$C$20,Z883&gt;0),Z883+ROW()/1000000000,"")</f>
        <v/>
      </c>
      <c r="AD883" s="94">
        <f>IF($A883="",0,$P883*AG883)</f>
        <v/>
      </c>
      <c r="AE883" s="64">
        <f>IF($A883="","",IFERROR(INDEX(계정매핑!$E$5:$E$504,MATCH($F883&amp;"",계정매핑!$A$5:$A$504,0))&amp;"","공통비"))</f>
        <v/>
      </c>
      <c r="AF883" s="64">
        <f>IF($A883="","",IF(AE883="직접",IFERROR(INDEX(계정매핑!$F$5:$F$504,MATCH($F883&amp;"",계정매핑!$A$5:$A$504,0))&amp;"","비귀속"),""))</f>
        <v/>
      </c>
      <c r="AG883" s="96">
        <f>IF($A883="",0,IF(AND(AE883&lt;&gt;"직접",IFERROR(INDEX(계정매핑!$G$5:$G$504,MATCH($F883&amp;"",계정매핑!$A$5:$A$504,0))&amp;"","")="유지비",COUNTIF(계정대체기준!$A$6:$A$15,$N883)&gt;0),IFERROR(INDEX(계정대체기준!$E$6:$E$15,MATCH(VALUE($A883&amp;""),계정대체기준!$D$6:$D$15,0)),0),0))</f>
        <v/>
      </c>
      <c r="AH883" s="64">
        <f>IF($A883="","",IF(AD883=0,"",IF(OR(COUNTIF(계정대체기준!$A$77:$A$86,$N883)&gt;0,ISNUMBER(MATCH($X883,계정대체기준!$D$77:$D$86,0)),ISNUMBER(MATCH($F883,계정대체기준!$D$77:$D$86,0))),"Y","N")))</f>
        <v/>
      </c>
    </row>
    <row r="884">
      <c r="A884" s="92" t="n">
        <v>2025</v>
      </c>
      <c r="B884" s="92" t="n">
        <v>4</v>
      </c>
      <c r="C884" s="92" t="inlineStr">
        <is>
          <t>5100000880</t>
        </is>
      </c>
      <c r="D884" s="95" t="n">
        <v>45770</v>
      </c>
      <c r="E884" s="92" t="inlineStr">
        <is>
          <t>KR</t>
        </is>
      </c>
      <c r="F884" s="92" t="n">
        <v>62501000</v>
      </c>
      <c r="G884" s="92" t="n">
        <v>1801</v>
      </c>
      <c r="H884" s="93" t="n">
        <v>261000</v>
      </c>
      <c r="I884" s="92" t="inlineStr">
        <is>
          <t>4월 회의 다과 - (법인카드)</t>
        </is>
      </c>
      <c r="J884" s="92" t="inlineStr">
        <is>
          <t>V10010</t>
        </is>
      </c>
      <c r="K884" s="92" t="inlineStr">
        <is>
          <t>(법인카드)</t>
        </is>
      </c>
      <c r="M884" s="9">
        <f>IF($A884="","",VALUE($A884&amp;"")*12+VALUE($B884&amp;""))</f>
        <v/>
      </c>
      <c r="N884" s="64">
        <f>IF($A884="","",IFERROR(INDEX(부서매핑!$C$5:$C$504,MATCH($G884&amp;"",부서매핑!$A$5:$A$504,0)),"미매핑"))</f>
        <v/>
      </c>
      <c r="O884" s="9">
        <f>IF($A884="","",N884&amp;"|"&amp;$F884)</f>
        <v/>
      </c>
      <c r="P884" s="94">
        <f>IF($A884="",0,$H884*설정!$C$23)</f>
        <v/>
      </c>
      <c r="Q884" s="64">
        <f>IF($A884="","",IF(O884&lt;&gt;원인분석!$C$9,"",IF(AND(M884&gt;=원인분석!$C$10,M884&lt;=원인분석!$C$11),"당기",IF(AND(M884&gt;=원인분석!$C$12,M884&lt;=원인분석!$C$13),"비교",""))))</f>
        <v/>
      </c>
      <c r="R884" s="9">
        <f>IF(Q884="","",$K884&amp;"")</f>
        <v/>
      </c>
      <c r="S884" s="9">
        <f>IF(Q884="","",IF(MATCH(R884,$R$5:$R$100000,0)=ROW()-4,ROW(),""))</f>
        <v/>
      </c>
      <c r="T884" s="9">
        <f>IF(Q884="당기",ABS(P884)+ROW()/1000000000,"")</f>
        <v/>
      </c>
      <c r="U884" s="9">
        <f>IF(Q884="비교",ABS(P884)+ROW()/1000000000,"")</f>
        <v/>
      </c>
      <c r="V884" s="64">
        <f>IF($A884="","",IF(COUNTIF(변동분석!$E$7:$E$506,O884)&gt;0,"Y","N"))</f>
        <v/>
      </c>
      <c r="W884" s="64">
        <f>IF($A884="","",IFERROR(INDEX(계정매핑!$D$5:$D$504,MATCH($F884&amp;"",계정매핑!$A$5:$A$504,0)),"미매핑"))</f>
        <v/>
      </c>
      <c r="X884" s="9">
        <f>IF($A884="","",$F884&amp;"")</f>
        <v/>
      </c>
      <c r="Y884" s="94">
        <f>IF($A884="",0,IF(AE884="직접",IF(AF884="비귀속",$P884,0),$P884*(1-AG884)*IFERROR(INDEX(계정대체기준!$F$20:$F$49,MATCH($N884,계정대체기준!$A$20:$A$49,0)),1)))</f>
        <v/>
      </c>
      <c r="Z884" s="94">
        <f>IF($A884="",0,IF(AE884="직접",IF(AF884="신계약비",$P884,0),$P884*(1-AG884)*IFERROR(INDEX(계정대체기준!$C$20:$C$49,MATCH($N884,계정대체기준!$A$20:$A$49,0)),0)))</f>
        <v/>
      </c>
      <c r="AA884" s="94">
        <f>IF($A884="",0,IF(AE884="직접",IF(OR(AF884="유지비",AF884="손해조사비"),$P884,0),$P884*(1-AG884)*IFERROR(INDEX(계정대체기준!$D$20:$D$49,MATCH($N884,계정대체기준!$A$20:$A$49,0)),0)))</f>
        <v/>
      </c>
      <c r="AB884" s="94">
        <f>IF($A884="",0,IF(AE884="직접",IF(AF884="수금비",$P884,0),$P884*(1-AG884)*IFERROR(INDEX(계정대체기준!$E$20:$E$49,MATCH($N884,계정대체기준!$A$20:$A$49,0)),0)))</f>
        <v/>
      </c>
      <c r="AC884" s="9">
        <f>IF(AND($A884&lt;&gt;"",M884=설정!$C$20,Z884&gt;0),Z884+ROW()/1000000000,"")</f>
        <v/>
      </c>
      <c r="AD884" s="94">
        <f>IF($A884="",0,$P884*AG884)</f>
        <v/>
      </c>
      <c r="AE884" s="64">
        <f>IF($A884="","",IFERROR(INDEX(계정매핑!$E$5:$E$504,MATCH($F884&amp;"",계정매핑!$A$5:$A$504,0))&amp;"","공통비"))</f>
        <v/>
      </c>
      <c r="AF884" s="64">
        <f>IF($A884="","",IF(AE884="직접",IFERROR(INDEX(계정매핑!$F$5:$F$504,MATCH($F884&amp;"",계정매핑!$A$5:$A$504,0))&amp;"","비귀속"),""))</f>
        <v/>
      </c>
      <c r="AG884" s="96">
        <f>IF($A884="",0,IF(AND(AE884&lt;&gt;"직접",IFERROR(INDEX(계정매핑!$G$5:$G$504,MATCH($F884&amp;"",계정매핑!$A$5:$A$504,0))&amp;"","")="유지비",COUNTIF(계정대체기준!$A$6:$A$15,$N884)&gt;0),IFERROR(INDEX(계정대체기준!$E$6:$E$15,MATCH(VALUE($A884&amp;""),계정대체기준!$D$6:$D$15,0)),0),0))</f>
        <v/>
      </c>
      <c r="AH884" s="64">
        <f>IF($A884="","",IF(AD884=0,"",IF(OR(COUNTIF(계정대체기준!$A$77:$A$86,$N884)&gt;0,ISNUMBER(MATCH($X884,계정대체기준!$D$77:$D$86,0)),ISNUMBER(MATCH($F884,계정대체기준!$D$77:$D$86,0))),"Y","N")))</f>
        <v/>
      </c>
    </row>
    <row r="885">
      <c r="A885" s="92" t="n">
        <v>2025</v>
      </c>
      <c r="B885" s="92" t="n">
        <v>4</v>
      </c>
      <c r="C885" s="92" t="inlineStr">
        <is>
          <t>5100000881</t>
        </is>
      </c>
      <c r="D885" s="95" t="n">
        <v>45770</v>
      </c>
      <c r="E885" s="92" t="inlineStr">
        <is>
          <t>KR</t>
        </is>
      </c>
      <c r="F885" s="92" t="n">
        <v>62902000</v>
      </c>
      <c r="G885" s="92" t="n">
        <v>1201</v>
      </c>
      <c r="H885" s="93" t="n">
        <v>2696000</v>
      </c>
      <c r="I885" s="92" t="inlineStr">
        <is>
          <t>4월 업무 위탁 수수료 - X서비스</t>
        </is>
      </c>
      <c r="J885" s="92" t="inlineStr">
        <is>
          <t>V10020</t>
        </is>
      </c>
      <c r="K885" s="92" t="inlineStr">
        <is>
          <t>X서비스</t>
        </is>
      </c>
      <c r="M885" s="9">
        <f>IF($A885="","",VALUE($A885&amp;"")*12+VALUE($B885&amp;""))</f>
        <v/>
      </c>
      <c r="N885" s="64">
        <f>IF($A885="","",IFERROR(INDEX(부서매핑!$C$5:$C$504,MATCH($G885&amp;"",부서매핑!$A$5:$A$504,0)),"미매핑"))</f>
        <v/>
      </c>
      <c r="O885" s="9">
        <f>IF($A885="","",N885&amp;"|"&amp;$F885)</f>
        <v/>
      </c>
      <c r="P885" s="94">
        <f>IF($A885="",0,$H885*설정!$C$23)</f>
        <v/>
      </c>
      <c r="Q885" s="64">
        <f>IF($A885="","",IF(O885&lt;&gt;원인분석!$C$9,"",IF(AND(M885&gt;=원인분석!$C$10,M885&lt;=원인분석!$C$11),"당기",IF(AND(M885&gt;=원인분석!$C$12,M885&lt;=원인분석!$C$13),"비교",""))))</f>
        <v/>
      </c>
      <c r="R885" s="9">
        <f>IF(Q885="","",$K885&amp;"")</f>
        <v/>
      </c>
      <c r="S885" s="9">
        <f>IF(Q885="","",IF(MATCH(R885,$R$5:$R$100000,0)=ROW()-4,ROW(),""))</f>
        <v/>
      </c>
      <c r="T885" s="9">
        <f>IF(Q885="당기",ABS(P885)+ROW()/1000000000,"")</f>
        <v/>
      </c>
      <c r="U885" s="9">
        <f>IF(Q885="비교",ABS(P885)+ROW()/1000000000,"")</f>
        <v/>
      </c>
      <c r="V885" s="64">
        <f>IF($A885="","",IF(COUNTIF(변동분석!$E$7:$E$506,O885)&gt;0,"Y","N"))</f>
        <v/>
      </c>
      <c r="W885" s="64">
        <f>IF($A885="","",IFERROR(INDEX(계정매핑!$D$5:$D$504,MATCH($F885&amp;"",계정매핑!$A$5:$A$504,0)),"미매핑"))</f>
        <v/>
      </c>
      <c r="X885" s="9">
        <f>IF($A885="","",$F885&amp;"")</f>
        <v/>
      </c>
      <c r="Y885" s="94">
        <f>IF($A885="",0,IF(AE885="직접",IF(AF885="비귀속",$P885,0),$P885*(1-AG885)*IFERROR(INDEX(계정대체기준!$F$20:$F$49,MATCH($N885,계정대체기준!$A$20:$A$49,0)),1)))</f>
        <v/>
      </c>
      <c r="Z885" s="94">
        <f>IF($A885="",0,IF(AE885="직접",IF(AF885="신계약비",$P885,0),$P885*(1-AG885)*IFERROR(INDEX(계정대체기준!$C$20:$C$49,MATCH($N885,계정대체기준!$A$20:$A$49,0)),0)))</f>
        <v/>
      </c>
      <c r="AA885" s="94">
        <f>IF($A885="",0,IF(AE885="직접",IF(OR(AF885="유지비",AF885="손해조사비"),$P885,0),$P885*(1-AG885)*IFERROR(INDEX(계정대체기준!$D$20:$D$49,MATCH($N885,계정대체기준!$A$20:$A$49,0)),0)))</f>
        <v/>
      </c>
      <c r="AB885" s="94">
        <f>IF($A885="",0,IF(AE885="직접",IF(AF885="수금비",$P885,0),$P885*(1-AG885)*IFERROR(INDEX(계정대체기준!$E$20:$E$49,MATCH($N885,계정대체기준!$A$20:$A$49,0)),0)))</f>
        <v/>
      </c>
      <c r="AC885" s="9">
        <f>IF(AND($A885&lt;&gt;"",M885=설정!$C$20,Z885&gt;0),Z885+ROW()/1000000000,"")</f>
        <v/>
      </c>
      <c r="AD885" s="94">
        <f>IF($A885="",0,$P885*AG885)</f>
        <v/>
      </c>
      <c r="AE885" s="64">
        <f>IF($A885="","",IFERROR(INDEX(계정매핑!$E$5:$E$504,MATCH($F885&amp;"",계정매핑!$A$5:$A$504,0))&amp;"","공통비"))</f>
        <v/>
      </c>
      <c r="AF885" s="64">
        <f>IF($A885="","",IF(AE885="직접",IFERROR(INDEX(계정매핑!$F$5:$F$504,MATCH($F885&amp;"",계정매핑!$A$5:$A$504,0))&amp;"","비귀속"),""))</f>
        <v/>
      </c>
      <c r="AG885" s="96">
        <f>IF($A885="",0,IF(AND(AE885&lt;&gt;"직접",IFERROR(INDEX(계정매핑!$G$5:$G$504,MATCH($F885&amp;"",계정매핑!$A$5:$A$504,0))&amp;"","")="유지비",COUNTIF(계정대체기준!$A$6:$A$15,$N885)&gt;0),IFERROR(INDEX(계정대체기준!$E$6:$E$15,MATCH(VALUE($A885&amp;""),계정대체기준!$D$6:$D$15,0)),0),0))</f>
        <v/>
      </c>
      <c r="AH885" s="64">
        <f>IF($A885="","",IF(AD885=0,"",IF(OR(COUNTIF(계정대체기준!$A$77:$A$86,$N885)&gt;0,ISNUMBER(MATCH($X885,계정대체기준!$D$77:$D$86,0)),ISNUMBER(MATCH($F885,계정대체기준!$D$77:$D$86,0))),"Y","N")))</f>
        <v/>
      </c>
    </row>
    <row r="886">
      <c r="A886" s="92" t="n">
        <v>2025</v>
      </c>
      <c r="B886" s="92" t="n">
        <v>4</v>
      </c>
      <c r="C886" s="92" t="inlineStr">
        <is>
          <t>5100000882</t>
        </is>
      </c>
      <c r="D886" s="95" t="n">
        <v>45771</v>
      </c>
      <c r="E886" s="92" t="inlineStr">
        <is>
          <t>KR</t>
        </is>
      </c>
      <c r="F886" s="92" t="n">
        <v>62101000</v>
      </c>
      <c r="G886" s="92" t="n">
        <v>1101</v>
      </c>
      <c r="H886" s="93" t="n">
        <v>269000</v>
      </c>
      <c r="I886" s="92" t="inlineStr">
        <is>
          <t>4월 국내출장 - M항공</t>
        </is>
      </c>
      <c r="J886" s="92" t="inlineStr">
        <is>
          <t>V10001</t>
        </is>
      </c>
      <c r="K886" s="92" t="inlineStr">
        <is>
          <t>M항공</t>
        </is>
      </c>
      <c r="M886" s="9">
        <f>IF($A886="","",VALUE($A886&amp;"")*12+VALUE($B886&amp;""))</f>
        <v/>
      </c>
      <c r="N886" s="64">
        <f>IF($A886="","",IFERROR(INDEX(부서매핑!$C$5:$C$504,MATCH($G886&amp;"",부서매핑!$A$5:$A$504,0)),"미매핑"))</f>
        <v/>
      </c>
      <c r="O886" s="9">
        <f>IF($A886="","",N886&amp;"|"&amp;$F886)</f>
        <v/>
      </c>
      <c r="P886" s="94">
        <f>IF($A886="",0,$H886*설정!$C$23)</f>
        <v/>
      </c>
      <c r="Q886" s="64">
        <f>IF($A886="","",IF(O886&lt;&gt;원인분석!$C$9,"",IF(AND(M886&gt;=원인분석!$C$10,M886&lt;=원인분석!$C$11),"당기",IF(AND(M886&gt;=원인분석!$C$12,M886&lt;=원인분석!$C$13),"비교",""))))</f>
        <v/>
      </c>
      <c r="R886" s="9">
        <f>IF(Q886="","",$K886&amp;"")</f>
        <v/>
      </c>
      <c r="S886" s="9">
        <f>IF(Q886="","",IF(MATCH(R886,$R$5:$R$100000,0)=ROW()-4,ROW(),""))</f>
        <v/>
      </c>
      <c r="T886" s="9">
        <f>IF(Q886="당기",ABS(P886)+ROW()/1000000000,"")</f>
        <v/>
      </c>
      <c r="U886" s="9">
        <f>IF(Q886="비교",ABS(P886)+ROW()/1000000000,"")</f>
        <v/>
      </c>
      <c r="V886" s="64">
        <f>IF($A886="","",IF(COUNTIF(변동분석!$E$7:$E$506,O886)&gt;0,"Y","N"))</f>
        <v/>
      </c>
      <c r="W886" s="64">
        <f>IF($A886="","",IFERROR(INDEX(계정매핑!$D$5:$D$504,MATCH($F886&amp;"",계정매핑!$A$5:$A$504,0)),"미매핑"))</f>
        <v/>
      </c>
      <c r="X886" s="9">
        <f>IF($A886="","",$F886&amp;"")</f>
        <v/>
      </c>
      <c r="Y886" s="94">
        <f>IF($A886="",0,IF(AE886="직접",IF(AF886="비귀속",$P886,0),$P886*(1-AG886)*IFERROR(INDEX(계정대체기준!$F$20:$F$49,MATCH($N886,계정대체기준!$A$20:$A$49,0)),1)))</f>
        <v/>
      </c>
      <c r="Z886" s="94">
        <f>IF($A886="",0,IF(AE886="직접",IF(AF886="신계약비",$P886,0),$P886*(1-AG886)*IFERROR(INDEX(계정대체기준!$C$20:$C$49,MATCH($N886,계정대체기준!$A$20:$A$49,0)),0)))</f>
        <v/>
      </c>
      <c r="AA886" s="94">
        <f>IF($A886="",0,IF(AE886="직접",IF(OR(AF886="유지비",AF886="손해조사비"),$P886,0),$P886*(1-AG886)*IFERROR(INDEX(계정대체기준!$D$20:$D$49,MATCH($N886,계정대체기준!$A$20:$A$49,0)),0)))</f>
        <v/>
      </c>
      <c r="AB886" s="94">
        <f>IF($A886="",0,IF(AE886="직접",IF(AF886="수금비",$P886,0),$P886*(1-AG886)*IFERROR(INDEX(계정대체기준!$E$20:$E$49,MATCH($N886,계정대체기준!$A$20:$A$49,0)),0)))</f>
        <v/>
      </c>
      <c r="AC886" s="9">
        <f>IF(AND($A886&lt;&gt;"",M886=설정!$C$20,Z886&gt;0),Z886+ROW()/1000000000,"")</f>
        <v/>
      </c>
      <c r="AD886" s="94">
        <f>IF($A886="",0,$P886*AG886)</f>
        <v/>
      </c>
      <c r="AE886" s="64">
        <f>IF($A886="","",IFERROR(INDEX(계정매핑!$E$5:$E$504,MATCH($F886&amp;"",계정매핑!$A$5:$A$504,0))&amp;"","공통비"))</f>
        <v/>
      </c>
      <c r="AF886" s="64">
        <f>IF($A886="","",IF(AE886="직접",IFERROR(INDEX(계정매핑!$F$5:$F$504,MATCH($F886&amp;"",계정매핑!$A$5:$A$504,0))&amp;"","비귀속"),""))</f>
        <v/>
      </c>
      <c r="AG886" s="96">
        <f>IF($A886="",0,IF(AND(AE886&lt;&gt;"직접",IFERROR(INDEX(계정매핑!$G$5:$G$504,MATCH($F886&amp;"",계정매핑!$A$5:$A$504,0))&amp;"","")="유지비",COUNTIF(계정대체기준!$A$6:$A$15,$N886)&gt;0),IFERROR(INDEX(계정대체기준!$E$6:$E$15,MATCH(VALUE($A886&amp;""),계정대체기준!$D$6:$D$15,0)),0),0))</f>
        <v/>
      </c>
      <c r="AH886" s="64">
        <f>IF($A886="","",IF(AD886=0,"",IF(OR(COUNTIF(계정대체기준!$A$77:$A$86,$N886)&gt;0,ISNUMBER(MATCH($X886,계정대체기준!$D$77:$D$86,0)),ISNUMBER(MATCH($F886,계정대체기준!$D$77:$D$86,0))),"Y","N")))</f>
        <v/>
      </c>
    </row>
    <row r="887">
      <c r="A887" s="92" t="n">
        <v>2025</v>
      </c>
      <c r="B887" s="92" t="n">
        <v>4</v>
      </c>
      <c r="C887" s="92" t="inlineStr">
        <is>
          <t>5100000883</t>
        </is>
      </c>
      <c r="D887" s="95" t="n">
        <v>45771</v>
      </c>
      <c r="E887" s="92" t="inlineStr">
        <is>
          <t>KR</t>
        </is>
      </c>
      <c r="F887" s="92" t="n">
        <v>62102000</v>
      </c>
      <c r="G887" s="92" t="n">
        <v>1301</v>
      </c>
      <c r="H887" s="93" t="n">
        <v>163000</v>
      </c>
      <c r="I887" s="92" t="inlineStr">
        <is>
          <t>4월 해외출장 - M항공</t>
        </is>
      </c>
      <c r="J887" s="92" t="inlineStr">
        <is>
          <t>V10001</t>
        </is>
      </c>
      <c r="K887" s="92" t="inlineStr">
        <is>
          <t>M항공</t>
        </is>
      </c>
      <c r="M887" s="9">
        <f>IF($A887="","",VALUE($A887&amp;"")*12+VALUE($B887&amp;""))</f>
        <v/>
      </c>
      <c r="N887" s="64">
        <f>IF($A887="","",IFERROR(INDEX(부서매핑!$C$5:$C$504,MATCH($G887&amp;"",부서매핑!$A$5:$A$504,0)),"미매핑"))</f>
        <v/>
      </c>
      <c r="O887" s="9">
        <f>IF($A887="","",N887&amp;"|"&amp;$F887)</f>
        <v/>
      </c>
      <c r="P887" s="94">
        <f>IF($A887="",0,$H887*설정!$C$23)</f>
        <v/>
      </c>
      <c r="Q887" s="64">
        <f>IF($A887="","",IF(O887&lt;&gt;원인분석!$C$9,"",IF(AND(M887&gt;=원인분석!$C$10,M887&lt;=원인분석!$C$11),"당기",IF(AND(M887&gt;=원인분석!$C$12,M887&lt;=원인분석!$C$13),"비교",""))))</f>
        <v/>
      </c>
      <c r="R887" s="9">
        <f>IF(Q887="","",$K887&amp;"")</f>
        <v/>
      </c>
      <c r="S887" s="9">
        <f>IF(Q887="","",IF(MATCH(R887,$R$5:$R$100000,0)=ROW()-4,ROW(),""))</f>
        <v/>
      </c>
      <c r="T887" s="9">
        <f>IF(Q887="당기",ABS(P887)+ROW()/1000000000,"")</f>
        <v/>
      </c>
      <c r="U887" s="9">
        <f>IF(Q887="비교",ABS(P887)+ROW()/1000000000,"")</f>
        <v/>
      </c>
      <c r="V887" s="64">
        <f>IF($A887="","",IF(COUNTIF(변동분석!$E$7:$E$506,O887)&gt;0,"Y","N"))</f>
        <v/>
      </c>
      <c r="W887" s="64">
        <f>IF($A887="","",IFERROR(INDEX(계정매핑!$D$5:$D$504,MATCH($F887&amp;"",계정매핑!$A$5:$A$504,0)),"미매핑"))</f>
        <v/>
      </c>
      <c r="X887" s="9">
        <f>IF($A887="","",$F887&amp;"")</f>
        <v/>
      </c>
      <c r="Y887" s="94">
        <f>IF($A887="",0,IF(AE887="직접",IF(AF887="비귀속",$P887,0),$P887*(1-AG887)*IFERROR(INDEX(계정대체기준!$F$20:$F$49,MATCH($N887,계정대체기준!$A$20:$A$49,0)),1)))</f>
        <v/>
      </c>
      <c r="Z887" s="94">
        <f>IF($A887="",0,IF(AE887="직접",IF(AF887="신계약비",$P887,0),$P887*(1-AG887)*IFERROR(INDEX(계정대체기준!$C$20:$C$49,MATCH($N887,계정대체기준!$A$20:$A$49,0)),0)))</f>
        <v/>
      </c>
      <c r="AA887" s="94">
        <f>IF($A887="",0,IF(AE887="직접",IF(OR(AF887="유지비",AF887="손해조사비"),$P887,0),$P887*(1-AG887)*IFERROR(INDEX(계정대체기준!$D$20:$D$49,MATCH($N887,계정대체기준!$A$20:$A$49,0)),0)))</f>
        <v/>
      </c>
      <c r="AB887" s="94">
        <f>IF($A887="",0,IF(AE887="직접",IF(AF887="수금비",$P887,0),$P887*(1-AG887)*IFERROR(INDEX(계정대체기준!$E$20:$E$49,MATCH($N887,계정대체기준!$A$20:$A$49,0)),0)))</f>
        <v/>
      </c>
      <c r="AC887" s="9">
        <f>IF(AND($A887&lt;&gt;"",M887=설정!$C$20,Z887&gt;0),Z887+ROW()/1000000000,"")</f>
        <v/>
      </c>
      <c r="AD887" s="94">
        <f>IF($A887="",0,$P887*AG887)</f>
        <v/>
      </c>
      <c r="AE887" s="64">
        <f>IF($A887="","",IFERROR(INDEX(계정매핑!$E$5:$E$504,MATCH($F887&amp;"",계정매핑!$A$5:$A$504,0))&amp;"","공통비"))</f>
        <v/>
      </c>
      <c r="AF887" s="64">
        <f>IF($A887="","",IF(AE887="직접",IFERROR(INDEX(계정매핑!$F$5:$F$504,MATCH($F887&amp;"",계정매핑!$A$5:$A$504,0))&amp;"","비귀속"),""))</f>
        <v/>
      </c>
      <c r="AG887" s="96">
        <f>IF($A887="",0,IF(AND(AE887&lt;&gt;"직접",IFERROR(INDEX(계정매핑!$G$5:$G$504,MATCH($F887&amp;"",계정매핑!$A$5:$A$504,0))&amp;"","")="유지비",COUNTIF(계정대체기준!$A$6:$A$15,$N887)&gt;0),IFERROR(INDEX(계정대체기준!$E$6:$E$15,MATCH(VALUE($A887&amp;""),계정대체기준!$D$6:$D$15,0)),0),0))</f>
        <v/>
      </c>
      <c r="AH887" s="64">
        <f>IF($A887="","",IF(AD887=0,"",IF(OR(COUNTIF(계정대체기준!$A$77:$A$86,$N887)&gt;0,ISNUMBER(MATCH($X887,계정대체기준!$D$77:$D$86,0)),ISNUMBER(MATCH($F887,계정대체기준!$D$77:$D$86,0))),"Y","N")))</f>
        <v/>
      </c>
    </row>
    <row r="888">
      <c r="A888" s="92" t="n">
        <v>2025</v>
      </c>
      <c r="B888" s="92" t="n">
        <v>4</v>
      </c>
      <c r="C888" s="92" t="inlineStr">
        <is>
          <t>5100000884</t>
        </is>
      </c>
      <c r="D888" s="95" t="n">
        <v>45771</v>
      </c>
      <c r="E888" s="92" t="inlineStr">
        <is>
          <t>KR</t>
        </is>
      </c>
      <c r="F888" s="92" t="n">
        <v>62201000</v>
      </c>
      <c r="G888" s="92" t="n">
        <v>1401</v>
      </c>
      <c r="H888" s="93" t="n">
        <v>204000</v>
      </c>
      <c r="I888" s="92" t="inlineStr">
        <is>
          <t>4월 통신요금 - O텔레콤</t>
        </is>
      </c>
      <c r="J888" s="92" t="inlineStr">
        <is>
          <t>V10002</t>
        </is>
      </c>
      <c r="K888" s="92" t="inlineStr">
        <is>
          <t>O텔레콤</t>
        </is>
      </c>
      <c r="M888" s="9">
        <f>IF($A888="","",VALUE($A888&amp;"")*12+VALUE($B888&amp;""))</f>
        <v/>
      </c>
      <c r="N888" s="64">
        <f>IF($A888="","",IFERROR(INDEX(부서매핑!$C$5:$C$504,MATCH($G888&amp;"",부서매핑!$A$5:$A$504,0)),"미매핑"))</f>
        <v/>
      </c>
      <c r="O888" s="9">
        <f>IF($A888="","",N888&amp;"|"&amp;$F888)</f>
        <v/>
      </c>
      <c r="P888" s="94">
        <f>IF($A888="",0,$H888*설정!$C$23)</f>
        <v/>
      </c>
      <c r="Q888" s="64">
        <f>IF($A888="","",IF(O888&lt;&gt;원인분석!$C$9,"",IF(AND(M888&gt;=원인분석!$C$10,M888&lt;=원인분석!$C$11),"당기",IF(AND(M888&gt;=원인분석!$C$12,M888&lt;=원인분석!$C$13),"비교",""))))</f>
        <v/>
      </c>
      <c r="R888" s="9">
        <f>IF(Q888="","",$K888&amp;"")</f>
        <v/>
      </c>
      <c r="S888" s="9">
        <f>IF(Q888="","",IF(MATCH(R888,$R$5:$R$100000,0)=ROW()-4,ROW(),""))</f>
        <v/>
      </c>
      <c r="T888" s="9">
        <f>IF(Q888="당기",ABS(P888)+ROW()/1000000000,"")</f>
        <v/>
      </c>
      <c r="U888" s="9">
        <f>IF(Q888="비교",ABS(P888)+ROW()/1000000000,"")</f>
        <v/>
      </c>
      <c r="V888" s="64">
        <f>IF($A888="","",IF(COUNTIF(변동분석!$E$7:$E$506,O888)&gt;0,"Y","N"))</f>
        <v/>
      </c>
      <c r="W888" s="64">
        <f>IF($A888="","",IFERROR(INDEX(계정매핑!$D$5:$D$504,MATCH($F888&amp;"",계정매핑!$A$5:$A$504,0)),"미매핑"))</f>
        <v/>
      </c>
      <c r="X888" s="9">
        <f>IF($A888="","",$F888&amp;"")</f>
        <v/>
      </c>
      <c r="Y888" s="94">
        <f>IF($A888="",0,IF(AE888="직접",IF(AF888="비귀속",$P888,0),$P888*(1-AG888)*IFERROR(INDEX(계정대체기준!$F$20:$F$49,MATCH($N888,계정대체기준!$A$20:$A$49,0)),1)))</f>
        <v/>
      </c>
      <c r="Z888" s="94">
        <f>IF($A888="",0,IF(AE888="직접",IF(AF888="신계약비",$P888,0),$P888*(1-AG888)*IFERROR(INDEX(계정대체기준!$C$20:$C$49,MATCH($N888,계정대체기준!$A$20:$A$49,0)),0)))</f>
        <v/>
      </c>
      <c r="AA888" s="94">
        <f>IF($A888="",0,IF(AE888="직접",IF(OR(AF888="유지비",AF888="손해조사비"),$P888,0),$P888*(1-AG888)*IFERROR(INDEX(계정대체기준!$D$20:$D$49,MATCH($N888,계정대체기준!$A$20:$A$49,0)),0)))</f>
        <v/>
      </c>
      <c r="AB888" s="94">
        <f>IF($A888="",0,IF(AE888="직접",IF(AF888="수금비",$P888,0),$P888*(1-AG888)*IFERROR(INDEX(계정대체기준!$E$20:$E$49,MATCH($N888,계정대체기준!$A$20:$A$49,0)),0)))</f>
        <v/>
      </c>
      <c r="AC888" s="9">
        <f>IF(AND($A888&lt;&gt;"",M888=설정!$C$20,Z888&gt;0),Z888+ROW()/1000000000,"")</f>
        <v/>
      </c>
      <c r="AD888" s="94">
        <f>IF($A888="",0,$P888*AG888)</f>
        <v/>
      </c>
      <c r="AE888" s="64">
        <f>IF($A888="","",IFERROR(INDEX(계정매핑!$E$5:$E$504,MATCH($F888&amp;"",계정매핑!$A$5:$A$504,0))&amp;"","공통비"))</f>
        <v/>
      </c>
      <c r="AF888" s="64">
        <f>IF($A888="","",IF(AE888="직접",IFERROR(INDEX(계정매핑!$F$5:$F$504,MATCH($F888&amp;"",계정매핑!$A$5:$A$504,0))&amp;"","비귀속"),""))</f>
        <v/>
      </c>
      <c r="AG888" s="96">
        <f>IF($A888="",0,IF(AND(AE888&lt;&gt;"직접",IFERROR(INDEX(계정매핑!$G$5:$G$504,MATCH($F888&amp;"",계정매핑!$A$5:$A$504,0))&amp;"","")="유지비",COUNTIF(계정대체기준!$A$6:$A$15,$N888)&gt;0),IFERROR(INDEX(계정대체기준!$E$6:$E$15,MATCH(VALUE($A888&amp;""),계정대체기준!$D$6:$D$15,0)),0),0))</f>
        <v/>
      </c>
      <c r="AH888" s="64">
        <f>IF($A888="","",IF(AD888=0,"",IF(OR(COUNTIF(계정대체기준!$A$77:$A$86,$N888)&gt;0,ISNUMBER(MATCH($X888,계정대체기준!$D$77:$D$86,0)),ISNUMBER(MATCH($F888,계정대체기준!$D$77:$D$86,0))),"Y","N")))</f>
        <v/>
      </c>
    </row>
    <row r="889">
      <c r="A889" s="92" t="n">
        <v>2025</v>
      </c>
      <c r="B889" s="92" t="n">
        <v>4</v>
      </c>
      <c r="C889" s="92" t="inlineStr">
        <is>
          <t>5100000885</t>
        </is>
      </c>
      <c r="D889" s="95" t="n">
        <v>45771</v>
      </c>
      <c r="E889" s="92" t="inlineStr">
        <is>
          <t>KR</t>
        </is>
      </c>
      <c r="F889" s="92" t="n">
        <v>62401000</v>
      </c>
      <c r="G889" s="92" t="n">
        <v>1401</v>
      </c>
      <c r="H889" s="93" t="n">
        <v>186000</v>
      </c>
      <c r="I889" s="92" t="inlineStr">
        <is>
          <t>4월 인쇄물 제작 - G인쇄</t>
        </is>
      </c>
      <c r="J889" s="92" t="inlineStr">
        <is>
          <t>V10004</t>
        </is>
      </c>
      <c r="K889" s="92" t="inlineStr">
        <is>
          <t>G인쇄</t>
        </is>
      </c>
      <c r="M889" s="9">
        <f>IF($A889="","",VALUE($A889&amp;"")*12+VALUE($B889&amp;""))</f>
        <v/>
      </c>
      <c r="N889" s="64">
        <f>IF($A889="","",IFERROR(INDEX(부서매핑!$C$5:$C$504,MATCH($G889&amp;"",부서매핑!$A$5:$A$504,0)),"미매핑"))</f>
        <v/>
      </c>
      <c r="O889" s="9">
        <f>IF($A889="","",N889&amp;"|"&amp;$F889)</f>
        <v/>
      </c>
      <c r="P889" s="94">
        <f>IF($A889="",0,$H889*설정!$C$23)</f>
        <v/>
      </c>
      <c r="Q889" s="64">
        <f>IF($A889="","",IF(O889&lt;&gt;원인분석!$C$9,"",IF(AND(M889&gt;=원인분석!$C$10,M889&lt;=원인분석!$C$11),"당기",IF(AND(M889&gt;=원인분석!$C$12,M889&lt;=원인분석!$C$13),"비교",""))))</f>
        <v/>
      </c>
      <c r="R889" s="9">
        <f>IF(Q889="","",$K889&amp;"")</f>
        <v/>
      </c>
      <c r="S889" s="9">
        <f>IF(Q889="","",IF(MATCH(R889,$R$5:$R$100000,0)=ROW()-4,ROW(),""))</f>
        <v/>
      </c>
      <c r="T889" s="9">
        <f>IF(Q889="당기",ABS(P889)+ROW()/1000000000,"")</f>
        <v/>
      </c>
      <c r="U889" s="9">
        <f>IF(Q889="비교",ABS(P889)+ROW()/1000000000,"")</f>
        <v/>
      </c>
      <c r="V889" s="64">
        <f>IF($A889="","",IF(COUNTIF(변동분석!$E$7:$E$506,O889)&gt;0,"Y","N"))</f>
        <v/>
      </c>
      <c r="W889" s="64">
        <f>IF($A889="","",IFERROR(INDEX(계정매핑!$D$5:$D$504,MATCH($F889&amp;"",계정매핑!$A$5:$A$504,0)),"미매핑"))</f>
        <v/>
      </c>
      <c r="X889" s="9">
        <f>IF($A889="","",$F889&amp;"")</f>
        <v/>
      </c>
      <c r="Y889" s="94">
        <f>IF($A889="",0,IF(AE889="직접",IF(AF889="비귀속",$P889,0),$P889*(1-AG889)*IFERROR(INDEX(계정대체기준!$F$20:$F$49,MATCH($N889,계정대체기준!$A$20:$A$49,0)),1)))</f>
        <v/>
      </c>
      <c r="Z889" s="94">
        <f>IF($A889="",0,IF(AE889="직접",IF(AF889="신계약비",$P889,0),$P889*(1-AG889)*IFERROR(INDEX(계정대체기준!$C$20:$C$49,MATCH($N889,계정대체기준!$A$20:$A$49,0)),0)))</f>
        <v/>
      </c>
      <c r="AA889" s="94">
        <f>IF($A889="",0,IF(AE889="직접",IF(OR(AF889="유지비",AF889="손해조사비"),$P889,0),$P889*(1-AG889)*IFERROR(INDEX(계정대체기준!$D$20:$D$49,MATCH($N889,계정대체기준!$A$20:$A$49,0)),0)))</f>
        <v/>
      </c>
      <c r="AB889" s="94">
        <f>IF($A889="",0,IF(AE889="직접",IF(AF889="수금비",$P889,0),$P889*(1-AG889)*IFERROR(INDEX(계정대체기준!$E$20:$E$49,MATCH($N889,계정대체기준!$A$20:$A$49,0)),0)))</f>
        <v/>
      </c>
      <c r="AC889" s="9">
        <f>IF(AND($A889&lt;&gt;"",M889=설정!$C$20,Z889&gt;0),Z889+ROW()/1000000000,"")</f>
        <v/>
      </c>
      <c r="AD889" s="94">
        <f>IF($A889="",0,$P889*AG889)</f>
        <v/>
      </c>
      <c r="AE889" s="64">
        <f>IF($A889="","",IFERROR(INDEX(계정매핑!$E$5:$E$504,MATCH($F889&amp;"",계정매핑!$A$5:$A$504,0))&amp;"","공통비"))</f>
        <v/>
      </c>
      <c r="AF889" s="64">
        <f>IF($A889="","",IF(AE889="직접",IFERROR(INDEX(계정매핑!$F$5:$F$504,MATCH($F889&amp;"",계정매핑!$A$5:$A$504,0))&amp;"","비귀속"),""))</f>
        <v/>
      </c>
      <c r="AG889" s="96">
        <f>IF($A889="",0,IF(AND(AE889&lt;&gt;"직접",IFERROR(INDEX(계정매핑!$G$5:$G$504,MATCH($F889&amp;"",계정매핑!$A$5:$A$504,0))&amp;"","")="유지비",COUNTIF(계정대체기준!$A$6:$A$15,$N889)&gt;0),IFERROR(INDEX(계정대체기준!$E$6:$E$15,MATCH(VALUE($A889&amp;""),계정대체기준!$D$6:$D$15,0)),0),0))</f>
        <v/>
      </c>
      <c r="AH889" s="64">
        <f>IF($A889="","",IF(AD889=0,"",IF(OR(COUNTIF(계정대체기준!$A$77:$A$86,$N889)&gt;0,ISNUMBER(MATCH($X889,계정대체기준!$D$77:$D$86,0)),ISNUMBER(MATCH($F889,계정대체기준!$D$77:$D$86,0))),"Y","N")))</f>
        <v/>
      </c>
    </row>
    <row r="890">
      <c r="A890" s="92" t="n">
        <v>2025</v>
      </c>
      <c r="B890" s="92" t="n">
        <v>4</v>
      </c>
      <c r="C890" s="92" t="inlineStr">
        <is>
          <t>5100000886</t>
        </is>
      </c>
      <c r="D890" s="95" t="n">
        <v>45771</v>
      </c>
      <c r="E890" s="92" t="inlineStr">
        <is>
          <t>KR</t>
        </is>
      </c>
      <c r="F890" s="92" t="n">
        <v>62401000</v>
      </c>
      <c r="G890" s="92" t="n">
        <v>1501</v>
      </c>
      <c r="H890" s="93" t="n">
        <v>3027000</v>
      </c>
      <c r="I890" s="92" t="inlineStr">
        <is>
          <t>4월 인쇄물 제작 - S출판</t>
        </is>
      </c>
      <c r="J890" s="92" t="inlineStr">
        <is>
          <t>V10015</t>
        </is>
      </c>
      <c r="K890" s="92" t="inlineStr">
        <is>
          <t>S출판</t>
        </is>
      </c>
      <c r="M890" s="9">
        <f>IF($A890="","",VALUE($A890&amp;"")*12+VALUE($B890&amp;""))</f>
        <v/>
      </c>
      <c r="N890" s="64">
        <f>IF($A890="","",IFERROR(INDEX(부서매핑!$C$5:$C$504,MATCH($G890&amp;"",부서매핑!$A$5:$A$504,0)),"미매핑"))</f>
        <v/>
      </c>
      <c r="O890" s="9">
        <f>IF($A890="","",N890&amp;"|"&amp;$F890)</f>
        <v/>
      </c>
      <c r="P890" s="94">
        <f>IF($A890="",0,$H890*설정!$C$23)</f>
        <v/>
      </c>
      <c r="Q890" s="64">
        <f>IF($A890="","",IF(O890&lt;&gt;원인분석!$C$9,"",IF(AND(M890&gt;=원인분석!$C$10,M890&lt;=원인분석!$C$11),"당기",IF(AND(M890&gt;=원인분석!$C$12,M890&lt;=원인분석!$C$13),"비교",""))))</f>
        <v/>
      </c>
      <c r="R890" s="9">
        <f>IF(Q890="","",$K890&amp;"")</f>
        <v/>
      </c>
      <c r="S890" s="9">
        <f>IF(Q890="","",IF(MATCH(R890,$R$5:$R$100000,0)=ROW()-4,ROW(),""))</f>
        <v/>
      </c>
      <c r="T890" s="9">
        <f>IF(Q890="당기",ABS(P890)+ROW()/1000000000,"")</f>
        <v/>
      </c>
      <c r="U890" s="9">
        <f>IF(Q890="비교",ABS(P890)+ROW()/1000000000,"")</f>
        <v/>
      </c>
      <c r="V890" s="64">
        <f>IF($A890="","",IF(COUNTIF(변동분석!$E$7:$E$506,O890)&gt;0,"Y","N"))</f>
        <v/>
      </c>
      <c r="W890" s="64">
        <f>IF($A890="","",IFERROR(INDEX(계정매핑!$D$5:$D$504,MATCH($F890&amp;"",계정매핑!$A$5:$A$504,0)),"미매핑"))</f>
        <v/>
      </c>
      <c r="X890" s="9">
        <f>IF($A890="","",$F890&amp;"")</f>
        <v/>
      </c>
      <c r="Y890" s="94">
        <f>IF($A890="",0,IF(AE890="직접",IF(AF890="비귀속",$P890,0),$P890*(1-AG890)*IFERROR(INDEX(계정대체기준!$F$20:$F$49,MATCH($N890,계정대체기준!$A$20:$A$49,0)),1)))</f>
        <v/>
      </c>
      <c r="Z890" s="94">
        <f>IF($A890="",0,IF(AE890="직접",IF(AF890="신계약비",$P890,0),$P890*(1-AG890)*IFERROR(INDEX(계정대체기준!$C$20:$C$49,MATCH($N890,계정대체기준!$A$20:$A$49,0)),0)))</f>
        <v/>
      </c>
      <c r="AA890" s="94">
        <f>IF($A890="",0,IF(AE890="직접",IF(OR(AF890="유지비",AF890="손해조사비"),$P890,0),$P890*(1-AG890)*IFERROR(INDEX(계정대체기준!$D$20:$D$49,MATCH($N890,계정대체기준!$A$20:$A$49,0)),0)))</f>
        <v/>
      </c>
      <c r="AB890" s="94">
        <f>IF($A890="",0,IF(AE890="직접",IF(AF890="수금비",$P890,0),$P890*(1-AG890)*IFERROR(INDEX(계정대체기준!$E$20:$E$49,MATCH($N890,계정대체기준!$A$20:$A$49,0)),0)))</f>
        <v/>
      </c>
      <c r="AC890" s="9">
        <f>IF(AND($A890&lt;&gt;"",M890=설정!$C$20,Z890&gt;0),Z890+ROW()/1000000000,"")</f>
        <v/>
      </c>
      <c r="AD890" s="94">
        <f>IF($A890="",0,$P890*AG890)</f>
        <v/>
      </c>
      <c r="AE890" s="64">
        <f>IF($A890="","",IFERROR(INDEX(계정매핑!$E$5:$E$504,MATCH($F890&amp;"",계정매핑!$A$5:$A$504,0))&amp;"","공통비"))</f>
        <v/>
      </c>
      <c r="AF890" s="64">
        <f>IF($A890="","",IF(AE890="직접",IFERROR(INDEX(계정매핑!$F$5:$F$504,MATCH($F890&amp;"",계정매핑!$A$5:$A$504,0))&amp;"","비귀속"),""))</f>
        <v/>
      </c>
      <c r="AG890" s="96">
        <f>IF($A890="",0,IF(AND(AE890&lt;&gt;"직접",IFERROR(INDEX(계정매핑!$G$5:$G$504,MATCH($F890&amp;"",계정매핑!$A$5:$A$504,0))&amp;"","")="유지비",COUNTIF(계정대체기준!$A$6:$A$15,$N890)&gt;0),IFERROR(INDEX(계정대체기준!$E$6:$E$15,MATCH(VALUE($A890&amp;""),계정대체기준!$D$6:$D$15,0)),0),0))</f>
        <v/>
      </c>
      <c r="AH890" s="64">
        <f>IF($A890="","",IF(AD890=0,"",IF(OR(COUNTIF(계정대체기준!$A$77:$A$86,$N890)&gt;0,ISNUMBER(MATCH($X890,계정대체기준!$D$77:$D$86,0)),ISNUMBER(MATCH($F890,계정대체기준!$D$77:$D$86,0))),"Y","N")))</f>
        <v/>
      </c>
    </row>
    <row r="891">
      <c r="A891" s="92" t="n">
        <v>2025</v>
      </c>
      <c r="B891" s="92" t="n">
        <v>4</v>
      </c>
      <c r="C891" s="92" t="inlineStr">
        <is>
          <t>5100000887</t>
        </is>
      </c>
      <c r="D891" s="95" t="n">
        <v>45771</v>
      </c>
      <c r="E891" s="92" t="inlineStr">
        <is>
          <t>KR</t>
        </is>
      </c>
      <c r="F891" s="92" t="n">
        <v>62501000</v>
      </c>
      <c r="G891" s="92" t="n">
        <v>1401</v>
      </c>
      <c r="H891" s="93" t="n">
        <v>121000</v>
      </c>
      <c r="I891" s="92" t="inlineStr">
        <is>
          <t>4월 회의 다과 - T케이터링</t>
        </is>
      </c>
      <c r="J891" s="92" t="inlineStr">
        <is>
          <t>V10005</t>
        </is>
      </c>
      <c r="K891" s="92" t="inlineStr">
        <is>
          <t>T케이터링</t>
        </is>
      </c>
      <c r="M891" s="9">
        <f>IF($A891="","",VALUE($A891&amp;"")*12+VALUE($B891&amp;""))</f>
        <v/>
      </c>
      <c r="N891" s="64">
        <f>IF($A891="","",IFERROR(INDEX(부서매핑!$C$5:$C$504,MATCH($G891&amp;"",부서매핑!$A$5:$A$504,0)),"미매핑"))</f>
        <v/>
      </c>
      <c r="O891" s="9">
        <f>IF($A891="","",N891&amp;"|"&amp;$F891)</f>
        <v/>
      </c>
      <c r="P891" s="94">
        <f>IF($A891="",0,$H891*설정!$C$23)</f>
        <v/>
      </c>
      <c r="Q891" s="64">
        <f>IF($A891="","",IF(O891&lt;&gt;원인분석!$C$9,"",IF(AND(M891&gt;=원인분석!$C$10,M891&lt;=원인분석!$C$11),"당기",IF(AND(M891&gt;=원인분석!$C$12,M891&lt;=원인분석!$C$13),"비교",""))))</f>
        <v/>
      </c>
      <c r="R891" s="9">
        <f>IF(Q891="","",$K891&amp;"")</f>
        <v/>
      </c>
      <c r="S891" s="9">
        <f>IF(Q891="","",IF(MATCH(R891,$R$5:$R$100000,0)=ROW()-4,ROW(),""))</f>
        <v/>
      </c>
      <c r="T891" s="9">
        <f>IF(Q891="당기",ABS(P891)+ROW()/1000000000,"")</f>
        <v/>
      </c>
      <c r="U891" s="9">
        <f>IF(Q891="비교",ABS(P891)+ROW()/1000000000,"")</f>
        <v/>
      </c>
      <c r="V891" s="64">
        <f>IF($A891="","",IF(COUNTIF(변동분석!$E$7:$E$506,O891)&gt;0,"Y","N"))</f>
        <v/>
      </c>
      <c r="W891" s="64">
        <f>IF($A891="","",IFERROR(INDEX(계정매핑!$D$5:$D$504,MATCH($F891&amp;"",계정매핑!$A$5:$A$504,0)),"미매핑"))</f>
        <v/>
      </c>
      <c r="X891" s="9">
        <f>IF($A891="","",$F891&amp;"")</f>
        <v/>
      </c>
      <c r="Y891" s="94">
        <f>IF($A891="",0,IF(AE891="직접",IF(AF891="비귀속",$P891,0),$P891*(1-AG891)*IFERROR(INDEX(계정대체기준!$F$20:$F$49,MATCH($N891,계정대체기준!$A$20:$A$49,0)),1)))</f>
        <v/>
      </c>
      <c r="Z891" s="94">
        <f>IF($A891="",0,IF(AE891="직접",IF(AF891="신계약비",$P891,0),$P891*(1-AG891)*IFERROR(INDEX(계정대체기준!$C$20:$C$49,MATCH($N891,계정대체기준!$A$20:$A$49,0)),0)))</f>
        <v/>
      </c>
      <c r="AA891" s="94">
        <f>IF($A891="",0,IF(AE891="직접",IF(OR(AF891="유지비",AF891="손해조사비"),$P891,0),$P891*(1-AG891)*IFERROR(INDEX(계정대체기준!$D$20:$D$49,MATCH($N891,계정대체기준!$A$20:$A$49,0)),0)))</f>
        <v/>
      </c>
      <c r="AB891" s="94">
        <f>IF($A891="",0,IF(AE891="직접",IF(AF891="수금비",$P891,0),$P891*(1-AG891)*IFERROR(INDEX(계정대체기준!$E$20:$E$49,MATCH($N891,계정대체기준!$A$20:$A$49,0)),0)))</f>
        <v/>
      </c>
      <c r="AC891" s="9">
        <f>IF(AND($A891&lt;&gt;"",M891=설정!$C$20,Z891&gt;0),Z891+ROW()/1000000000,"")</f>
        <v/>
      </c>
      <c r="AD891" s="94">
        <f>IF($A891="",0,$P891*AG891)</f>
        <v/>
      </c>
      <c r="AE891" s="64">
        <f>IF($A891="","",IFERROR(INDEX(계정매핑!$E$5:$E$504,MATCH($F891&amp;"",계정매핑!$A$5:$A$504,0))&amp;"","공통비"))</f>
        <v/>
      </c>
      <c r="AF891" s="64">
        <f>IF($A891="","",IF(AE891="직접",IFERROR(INDEX(계정매핑!$F$5:$F$504,MATCH($F891&amp;"",계정매핑!$A$5:$A$504,0))&amp;"","비귀속"),""))</f>
        <v/>
      </c>
      <c r="AG891" s="96">
        <f>IF($A891="",0,IF(AND(AE891&lt;&gt;"직접",IFERROR(INDEX(계정매핑!$G$5:$G$504,MATCH($F891&amp;"",계정매핑!$A$5:$A$504,0))&amp;"","")="유지비",COUNTIF(계정대체기준!$A$6:$A$15,$N891)&gt;0),IFERROR(INDEX(계정대체기준!$E$6:$E$15,MATCH(VALUE($A891&amp;""),계정대체기준!$D$6:$D$15,0)),0),0))</f>
        <v/>
      </c>
      <c r="AH891" s="64">
        <f>IF($A891="","",IF(AD891=0,"",IF(OR(COUNTIF(계정대체기준!$A$77:$A$86,$N891)&gt;0,ISNUMBER(MATCH($X891,계정대체기준!$D$77:$D$86,0)),ISNUMBER(MATCH($F891,계정대체기준!$D$77:$D$86,0))),"Y","N")))</f>
        <v/>
      </c>
    </row>
    <row r="892">
      <c r="A892" s="92" t="n">
        <v>2025</v>
      </c>
      <c r="B892" s="92" t="n">
        <v>4</v>
      </c>
      <c r="C892" s="92" t="inlineStr">
        <is>
          <t>5100000888</t>
        </is>
      </c>
      <c r="D892" s="95" t="n">
        <v>45771</v>
      </c>
      <c r="E892" s="92" t="inlineStr">
        <is>
          <t>KR</t>
        </is>
      </c>
      <c r="F892" s="92" t="n">
        <v>62901000</v>
      </c>
      <c r="G892" s="92" t="n">
        <v>1201</v>
      </c>
      <c r="H892" s="93" t="n">
        <v>7757000</v>
      </c>
      <c r="I892" s="92" t="inlineStr">
        <is>
          <t>4월 자문 수수료 - K회계법인</t>
        </is>
      </c>
      <c r="J892" s="92" t="inlineStr">
        <is>
          <t>V10011</t>
        </is>
      </c>
      <c r="K892" s="92" t="inlineStr">
        <is>
          <t>K회계법인</t>
        </is>
      </c>
      <c r="M892" s="9">
        <f>IF($A892="","",VALUE($A892&amp;"")*12+VALUE($B892&amp;""))</f>
        <v/>
      </c>
      <c r="N892" s="64">
        <f>IF($A892="","",IFERROR(INDEX(부서매핑!$C$5:$C$504,MATCH($G892&amp;"",부서매핑!$A$5:$A$504,0)),"미매핑"))</f>
        <v/>
      </c>
      <c r="O892" s="9">
        <f>IF($A892="","",N892&amp;"|"&amp;$F892)</f>
        <v/>
      </c>
      <c r="P892" s="94">
        <f>IF($A892="",0,$H892*설정!$C$23)</f>
        <v/>
      </c>
      <c r="Q892" s="64">
        <f>IF($A892="","",IF(O892&lt;&gt;원인분석!$C$9,"",IF(AND(M892&gt;=원인분석!$C$10,M892&lt;=원인분석!$C$11),"당기",IF(AND(M892&gt;=원인분석!$C$12,M892&lt;=원인분석!$C$13),"비교",""))))</f>
        <v/>
      </c>
      <c r="R892" s="9">
        <f>IF(Q892="","",$K892&amp;"")</f>
        <v/>
      </c>
      <c r="S892" s="9">
        <f>IF(Q892="","",IF(MATCH(R892,$R$5:$R$100000,0)=ROW()-4,ROW(),""))</f>
        <v/>
      </c>
      <c r="T892" s="9">
        <f>IF(Q892="당기",ABS(P892)+ROW()/1000000000,"")</f>
        <v/>
      </c>
      <c r="U892" s="9">
        <f>IF(Q892="비교",ABS(P892)+ROW()/1000000000,"")</f>
        <v/>
      </c>
      <c r="V892" s="64">
        <f>IF($A892="","",IF(COUNTIF(변동분석!$E$7:$E$506,O892)&gt;0,"Y","N"))</f>
        <v/>
      </c>
      <c r="W892" s="64">
        <f>IF($A892="","",IFERROR(INDEX(계정매핑!$D$5:$D$504,MATCH($F892&amp;"",계정매핑!$A$5:$A$504,0)),"미매핑"))</f>
        <v/>
      </c>
      <c r="X892" s="9">
        <f>IF($A892="","",$F892&amp;"")</f>
        <v/>
      </c>
      <c r="Y892" s="94">
        <f>IF($A892="",0,IF(AE892="직접",IF(AF892="비귀속",$P892,0),$P892*(1-AG892)*IFERROR(INDEX(계정대체기준!$F$20:$F$49,MATCH($N892,계정대체기준!$A$20:$A$49,0)),1)))</f>
        <v/>
      </c>
      <c r="Z892" s="94">
        <f>IF($A892="",0,IF(AE892="직접",IF(AF892="신계약비",$P892,0),$P892*(1-AG892)*IFERROR(INDEX(계정대체기준!$C$20:$C$49,MATCH($N892,계정대체기준!$A$20:$A$49,0)),0)))</f>
        <v/>
      </c>
      <c r="AA892" s="94">
        <f>IF($A892="",0,IF(AE892="직접",IF(OR(AF892="유지비",AF892="손해조사비"),$P892,0),$P892*(1-AG892)*IFERROR(INDEX(계정대체기준!$D$20:$D$49,MATCH($N892,계정대체기준!$A$20:$A$49,0)),0)))</f>
        <v/>
      </c>
      <c r="AB892" s="94">
        <f>IF($A892="",0,IF(AE892="직접",IF(AF892="수금비",$P892,0),$P892*(1-AG892)*IFERROR(INDEX(계정대체기준!$E$20:$E$49,MATCH($N892,계정대체기준!$A$20:$A$49,0)),0)))</f>
        <v/>
      </c>
      <c r="AC892" s="9">
        <f>IF(AND($A892&lt;&gt;"",M892=설정!$C$20,Z892&gt;0),Z892+ROW()/1000000000,"")</f>
        <v/>
      </c>
      <c r="AD892" s="94">
        <f>IF($A892="",0,$P892*AG892)</f>
        <v/>
      </c>
      <c r="AE892" s="64">
        <f>IF($A892="","",IFERROR(INDEX(계정매핑!$E$5:$E$504,MATCH($F892&amp;"",계정매핑!$A$5:$A$504,0))&amp;"","공통비"))</f>
        <v/>
      </c>
      <c r="AF892" s="64">
        <f>IF($A892="","",IF(AE892="직접",IFERROR(INDEX(계정매핑!$F$5:$F$504,MATCH($F892&amp;"",계정매핑!$A$5:$A$504,0))&amp;"","비귀속"),""))</f>
        <v/>
      </c>
      <c r="AG892" s="96">
        <f>IF($A892="",0,IF(AND(AE892&lt;&gt;"직접",IFERROR(INDEX(계정매핑!$G$5:$G$504,MATCH($F892&amp;"",계정매핑!$A$5:$A$504,0))&amp;"","")="유지비",COUNTIF(계정대체기준!$A$6:$A$15,$N892)&gt;0),IFERROR(INDEX(계정대체기준!$E$6:$E$15,MATCH(VALUE($A892&amp;""),계정대체기준!$D$6:$D$15,0)),0),0))</f>
        <v/>
      </c>
      <c r="AH892" s="64">
        <f>IF($A892="","",IF(AD892=0,"",IF(OR(COUNTIF(계정대체기준!$A$77:$A$86,$N892)&gt;0,ISNUMBER(MATCH($X892,계정대체기준!$D$77:$D$86,0)),ISNUMBER(MATCH($F892,계정대체기준!$D$77:$D$86,0))),"Y","N")))</f>
        <v/>
      </c>
    </row>
    <row r="893">
      <c r="A893" s="92" t="n">
        <v>2025</v>
      </c>
      <c r="B893" s="92" t="n">
        <v>4</v>
      </c>
      <c r="C893" s="92" t="inlineStr">
        <is>
          <t>5100000889</t>
        </is>
      </c>
      <c r="D893" s="95" t="n">
        <v>45771</v>
      </c>
      <c r="E893" s="92" t="inlineStr">
        <is>
          <t>KR</t>
        </is>
      </c>
      <c r="F893" s="92" t="n">
        <v>62901000</v>
      </c>
      <c r="G893" s="92" t="n">
        <v>1801</v>
      </c>
      <c r="H893" s="93" t="n">
        <v>7882000</v>
      </c>
      <c r="I893" s="92" t="inlineStr">
        <is>
          <t>4월 자문 수수료 - W컨설팅</t>
        </is>
      </c>
      <c r="J893" s="92" t="inlineStr">
        <is>
          <t>V10006</t>
        </is>
      </c>
      <c r="K893" s="92" t="inlineStr">
        <is>
          <t>W컨설팅</t>
        </is>
      </c>
      <c r="M893" s="9">
        <f>IF($A893="","",VALUE($A893&amp;"")*12+VALUE($B893&amp;""))</f>
        <v/>
      </c>
      <c r="N893" s="64">
        <f>IF($A893="","",IFERROR(INDEX(부서매핑!$C$5:$C$504,MATCH($G893&amp;"",부서매핑!$A$5:$A$504,0)),"미매핑"))</f>
        <v/>
      </c>
      <c r="O893" s="9">
        <f>IF($A893="","",N893&amp;"|"&amp;$F893)</f>
        <v/>
      </c>
      <c r="P893" s="94">
        <f>IF($A893="",0,$H893*설정!$C$23)</f>
        <v/>
      </c>
      <c r="Q893" s="64">
        <f>IF($A893="","",IF(O893&lt;&gt;원인분석!$C$9,"",IF(AND(M893&gt;=원인분석!$C$10,M893&lt;=원인분석!$C$11),"당기",IF(AND(M893&gt;=원인분석!$C$12,M893&lt;=원인분석!$C$13),"비교",""))))</f>
        <v/>
      </c>
      <c r="R893" s="9">
        <f>IF(Q893="","",$K893&amp;"")</f>
        <v/>
      </c>
      <c r="S893" s="9">
        <f>IF(Q893="","",IF(MATCH(R893,$R$5:$R$100000,0)=ROW()-4,ROW(),""))</f>
        <v/>
      </c>
      <c r="T893" s="9">
        <f>IF(Q893="당기",ABS(P893)+ROW()/1000000000,"")</f>
        <v/>
      </c>
      <c r="U893" s="9">
        <f>IF(Q893="비교",ABS(P893)+ROW()/1000000000,"")</f>
        <v/>
      </c>
      <c r="V893" s="64">
        <f>IF($A893="","",IF(COUNTIF(변동분석!$E$7:$E$506,O893)&gt;0,"Y","N"))</f>
        <v/>
      </c>
      <c r="W893" s="64">
        <f>IF($A893="","",IFERROR(INDEX(계정매핑!$D$5:$D$504,MATCH($F893&amp;"",계정매핑!$A$5:$A$504,0)),"미매핑"))</f>
        <v/>
      </c>
      <c r="X893" s="9">
        <f>IF($A893="","",$F893&amp;"")</f>
        <v/>
      </c>
      <c r="Y893" s="94">
        <f>IF($A893="",0,IF(AE893="직접",IF(AF893="비귀속",$P893,0),$P893*(1-AG893)*IFERROR(INDEX(계정대체기준!$F$20:$F$49,MATCH($N893,계정대체기준!$A$20:$A$49,0)),1)))</f>
        <v/>
      </c>
      <c r="Z893" s="94">
        <f>IF($A893="",0,IF(AE893="직접",IF(AF893="신계약비",$P893,0),$P893*(1-AG893)*IFERROR(INDEX(계정대체기준!$C$20:$C$49,MATCH($N893,계정대체기준!$A$20:$A$49,0)),0)))</f>
        <v/>
      </c>
      <c r="AA893" s="94">
        <f>IF($A893="",0,IF(AE893="직접",IF(OR(AF893="유지비",AF893="손해조사비"),$P893,0),$P893*(1-AG893)*IFERROR(INDEX(계정대체기준!$D$20:$D$49,MATCH($N893,계정대체기준!$A$20:$A$49,0)),0)))</f>
        <v/>
      </c>
      <c r="AB893" s="94">
        <f>IF($A893="",0,IF(AE893="직접",IF(AF893="수금비",$P893,0),$P893*(1-AG893)*IFERROR(INDEX(계정대체기준!$E$20:$E$49,MATCH($N893,계정대체기준!$A$20:$A$49,0)),0)))</f>
        <v/>
      </c>
      <c r="AC893" s="9">
        <f>IF(AND($A893&lt;&gt;"",M893=설정!$C$20,Z893&gt;0),Z893+ROW()/1000000000,"")</f>
        <v/>
      </c>
      <c r="AD893" s="94">
        <f>IF($A893="",0,$P893*AG893)</f>
        <v/>
      </c>
      <c r="AE893" s="64">
        <f>IF($A893="","",IFERROR(INDEX(계정매핑!$E$5:$E$504,MATCH($F893&amp;"",계정매핑!$A$5:$A$504,0))&amp;"","공통비"))</f>
        <v/>
      </c>
      <c r="AF893" s="64">
        <f>IF($A893="","",IF(AE893="직접",IFERROR(INDEX(계정매핑!$F$5:$F$504,MATCH($F893&amp;"",계정매핑!$A$5:$A$504,0))&amp;"","비귀속"),""))</f>
        <v/>
      </c>
      <c r="AG893" s="96">
        <f>IF($A893="",0,IF(AND(AE893&lt;&gt;"직접",IFERROR(INDEX(계정매핑!$G$5:$G$504,MATCH($F893&amp;"",계정매핑!$A$5:$A$504,0))&amp;"","")="유지비",COUNTIF(계정대체기준!$A$6:$A$15,$N893)&gt;0),IFERROR(INDEX(계정대체기준!$E$6:$E$15,MATCH(VALUE($A893&amp;""),계정대체기준!$D$6:$D$15,0)),0),0))</f>
        <v/>
      </c>
      <c r="AH893" s="64">
        <f>IF($A893="","",IF(AD893=0,"",IF(OR(COUNTIF(계정대체기준!$A$77:$A$86,$N893)&gt;0,ISNUMBER(MATCH($X893,계정대체기준!$D$77:$D$86,0)),ISNUMBER(MATCH($F893,계정대체기준!$D$77:$D$86,0))),"Y","N")))</f>
        <v/>
      </c>
    </row>
    <row r="894">
      <c r="A894" s="92" t="n">
        <v>2025</v>
      </c>
      <c r="B894" s="92" t="n">
        <v>4</v>
      </c>
      <c r="C894" s="92" t="inlineStr">
        <is>
          <t>5100000890</t>
        </is>
      </c>
      <c r="D894" s="95" t="n">
        <v>45771</v>
      </c>
      <c r="E894" s="92" t="inlineStr">
        <is>
          <t>KR</t>
        </is>
      </c>
      <c r="F894" s="92" t="n">
        <v>62902000</v>
      </c>
      <c r="G894" s="92" t="n">
        <v>1801</v>
      </c>
      <c r="H894" s="93" t="n">
        <v>1832000</v>
      </c>
      <c r="I894" s="92" t="inlineStr">
        <is>
          <t>4월 콜 위탁 수수료(건별)</t>
        </is>
      </c>
      <c r="J894" s="92" t="inlineStr">
        <is>
          <t>V10016</t>
        </is>
      </c>
      <c r="K894" s="92" t="inlineStr">
        <is>
          <t>J콜센터</t>
        </is>
      </c>
      <c r="M894" s="9">
        <f>IF($A894="","",VALUE($A894&amp;"")*12+VALUE($B894&amp;""))</f>
        <v/>
      </c>
      <c r="N894" s="64">
        <f>IF($A894="","",IFERROR(INDEX(부서매핑!$C$5:$C$504,MATCH($G894&amp;"",부서매핑!$A$5:$A$504,0)),"미매핑"))</f>
        <v/>
      </c>
      <c r="O894" s="9">
        <f>IF($A894="","",N894&amp;"|"&amp;$F894)</f>
        <v/>
      </c>
      <c r="P894" s="94">
        <f>IF($A894="",0,$H894*설정!$C$23)</f>
        <v/>
      </c>
      <c r="Q894" s="64">
        <f>IF($A894="","",IF(O894&lt;&gt;원인분석!$C$9,"",IF(AND(M894&gt;=원인분석!$C$10,M894&lt;=원인분석!$C$11),"당기",IF(AND(M894&gt;=원인분석!$C$12,M894&lt;=원인분석!$C$13),"비교",""))))</f>
        <v/>
      </c>
      <c r="R894" s="9">
        <f>IF(Q894="","",$K894&amp;"")</f>
        <v/>
      </c>
      <c r="S894" s="9">
        <f>IF(Q894="","",IF(MATCH(R894,$R$5:$R$100000,0)=ROW()-4,ROW(),""))</f>
        <v/>
      </c>
      <c r="T894" s="9">
        <f>IF(Q894="당기",ABS(P894)+ROW()/1000000000,"")</f>
        <v/>
      </c>
      <c r="U894" s="9">
        <f>IF(Q894="비교",ABS(P894)+ROW()/1000000000,"")</f>
        <v/>
      </c>
      <c r="V894" s="64">
        <f>IF($A894="","",IF(COUNTIF(변동분석!$E$7:$E$506,O894)&gt;0,"Y","N"))</f>
        <v/>
      </c>
      <c r="W894" s="64">
        <f>IF($A894="","",IFERROR(INDEX(계정매핑!$D$5:$D$504,MATCH($F894&amp;"",계정매핑!$A$5:$A$504,0)),"미매핑"))</f>
        <v/>
      </c>
      <c r="X894" s="9">
        <f>IF($A894="","",$F894&amp;"")</f>
        <v/>
      </c>
      <c r="Y894" s="94">
        <f>IF($A894="",0,IF(AE894="직접",IF(AF894="비귀속",$P894,0),$P894*(1-AG894)*IFERROR(INDEX(계정대체기준!$F$20:$F$49,MATCH($N894,계정대체기준!$A$20:$A$49,0)),1)))</f>
        <v/>
      </c>
      <c r="Z894" s="94">
        <f>IF($A894="",0,IF(AE894="직접",IF(AF894="신계약비",$P894,0),$P894*(1-AG894)*IFERROR(INDEX(계정대체기준!$C$20:$C$49,MATCH($N894,계정대체기준!$A$20:$A$49,0)),0)))</f>
        <v/>
      </c>
      <c r="AA894" s="94">
        <f>IF($A894="",0,IF(AE894="직접",IF(OR(AF894="유지비",AF894="손해조사비"),$P894,0),$P894*(1-AG894)*IFERROR(INDEX(계정대체기준!$D$20:$D$49,MATCH($N894,계정대체기준!$A$20:$A$49,0)),0)))</f>
        <v/>
      </c>
      <c r="AB894" s="94">
        <f>IF($A894="",0,IF(AE894="직접",IF(AF894="수금비",$P894,0),$P894*(1-AG894)*IFERROR(INDEX(계정대체기준!$E$20:$E$49,MATCH($N894,계정대체기준!$A$20:$A$49,0)),0)))</f>
        <v/>
      </c>
      <c r="AC894" s="9">
        <f>IF(AND($A894&lt;&gt;"",M894=설정!$C$20,Z894&gt;0),Z894+ROW()/1000000000,"")</f>
        <v/>
      </c>
      <c r="AD894" s="94">
        <f>IF($A894="",0,$P894*AG894)</f>
        <v/>
      </c>
      <c r="AE894" s="64">
        <f>IF($A894="","",IFERROR(INDEX(계정매핑!$E$5:$E$504,MATCH($F894&amp;"",계정매핑!$A$5:$A$504,0))&amp;"","공통비"))</f>
        <v/>
      </c>
      <c r="AF894" s="64">
        <f>IF($A894="","",IF(AE894="직접",IFERROR(INDEX(계정매핑!$F$5:$F$504,MATCH($F894&amp;"",계정매핑!$A$5:$A$504,0))&amp;"","비귀속"),""))</f>
        <v/>
      </c>
      <c r="AG894" s="96">
        <f>IF($A894="",0,IF(AND(AE894&lt;&gt;"직접",IFERROR(INDEX(계정매핑!$G$5:$G$504,MATCH($F894&amp;"",계정매핑!$A$5:$A$504,0))&amp;"","")="유지비",COUNTIF(계정대체기준!$A$6:$A$15,$N894)&gt;0),IFERROR(INDEX(계정대체기준!$E$6:$E$15,MATCH(VALUE($A894&amp;""),계정대체기준!$D$6:$D$15,0)),0),0))</f>
        <v/>
      </c>
      <c r="AH894" s="64">
        <f>IF($A894="","",IF(AD894=0,"",IF(OR(COUNTIF(계정대체기준!$A$77:$A$86,$N894)&gt;0,ISNUMBER(MATCH($X894,계정대체기준!$D$77:$D$86,0)),ISNUMBER(MATCH($F894,계정대체기준!$D$77:$D$86,0))),"Y","N")))</f>
        <v/>
      </c>
    </row>
    <row r="895">
      <c r="A895" s="92" t="n">
        <v>2025</v>
      </c>
      <c r="B895" s="92" t="n">
        <v>4</v>
      </c>
      <c r="C895" s="92" t="inlineStr">
        <is>
          <t>5100000891</t>
        </is>
      </c>
      <c r="D895" s="95" t="n">
        <v>45771</v>
      </c>
      <c r="E895" s="92" t="inlineStr">
        <is>
          <t>KR</t>
        </is>
      </c>
      <c r="F895" s="92" t="n">
        <v>62902000</v>
      </c>
      <c r="G895" s="92" t="n">
        <v>1801</v>
      </c>
      <c r="H895" s="93" t="n">
        <v>1817000</v>
      </c>
      <c r="I895" s="92" t="inlineStr">
        <is>
          <t>4월 콜 위탁 수수료(건별)</t>
        </is>
      </c>
      <c r="J895" s="92" t="inlineStr">
        <is>
          <t>V10016</t>
        </is>
      </c>
      <c r="K895" s="92" t="inlineStr">
        <is>
          <t>J콜센터</t>
        </is>
      </c>
      <c r="M895" s="9">
        <f>IF($A895="","",VALUE($A895&amp;"")*12+VALUE($B895&amp;""))</f>
        <v/>
      </c>
      <c r="N895" s="64">
        <f>IF($A895="","",IFERROR(INDEX(부서매핑!$C$5:$C$504,MATCH($G895&amp;"",부서매핑!$A$5:$A$504,0)),"미매핑"))</f>
        <v/>
      </c>
      <c r="O895" s="9">
        <f>IF($A895="","",N895&amp;"|"&amp;$F895)</f>
        <v/>
      </c>
      <c r="P895" s="94">
        <f>IF($A895="",0,$H895*설정!$C$23)</f>
        <v/>
      </c>
      <c r="Q895" s="64">
        <f>IF($A895="","",IF(O895&lt;&gt;원인분석!$C$9,"",IF(AND(M895&gt;=원인분석!$C$10,M895&lt;=원인분석!$C$11),"당기",IF(AND(M895&gt;=원인분석!$C$12,M895&lt;=원인분석!$C$13),"비교",""))))</f>
        <v/>
      </c>
      <c r="R895" s="9">
        <f>IF(Q895="","",$K895&amp;"")</f>
        <v/>
      </c>
      <c r="S895" s="9">
        <f>IF(Q895="","",IF(MATCH(R895,$R$5:$R$100000,0)=ROW()-4,ROW(),""))</f>
        <v/>
      </c>
      <c r="T895" s="9">
        <f>IF(Q895="당기",ABS(P895)+ROW()/1000000000,"")</f>
        <v/>
      </c>
      <c r="U895" s="9">
        <f>IF(Q895="비교",ABS(P895)+ROW()/1000000000,"")</f>
        <v/>
      </c>
      <c r="V895" s="64">
        <f>IF($A895="","",IF(COUNTIF(변동분석!$E$7:$E$506,O895)&gt;0,"Y","N"))</f>
        <v/>
      </c>
      <c r="W895" s="64">
        <f>IF($A895="","",IFERROR(INDEX(계정매핑!$D$5:$D$504,MATCH($F895&amp;"",계정매핑!$A$5:$A$504,0)),"미매핑"))</f>
        <v/>
      </c>
      <c r="X895" s="9">
        <f>IF($A895="","",$F895&amp;"")</f>
        <v/>
      </c>
      <c r="Y895" s="94">
        <f>IF($A895="",0,IF(AE895="직접",IF(AF895="비귀속",$P895,0),$P895*(1-AG895)*IFERROR(INDEX(계정대체기준!$F$20:$F$49,MATCH($N895,계정대체기준!$A$20:$A$49,0)),1)))</f>
        <v/>
      </c>
      <c r="Z895" s="94">
        <f>IF($A895="",0,IF(AE895="직접",IF(AF895="신계약비",$P895,0),$P895*(1-AG895)*IFERROR(INDEX(계정대체기준!$C$20:$C$49,MATCH($N895,계정대체기준!$A$20:$A$49,0)),0)))</f>
        <v/>
      </c>
      <c r="AA895" s="94">
        <f>IF($A895="",0,IF(AE895="직접",IF(OR(AF895="유지비",AF895="손해조사비"),$P895,0),$P895*(1-AG895)*IFERROR(INDEX(계정대체기준!$D$20:$D$49,MATCH($N895,계정대체기준!$A$20:$A$49,0)),0)))</f>
        <v/>
      </c>
      <c r="AB895" s="94">
        <f>IF($A895="",0,IF(AE895="직접",IF(AF895="수금비",$P895,0),$P895*(1-AG895)*IFERROR(INDEX(계정대체기준!$E$20:$E$49,MATCH($N895,계정대체기준!$A$20:$A$49,0)),0)))</f>
        <v/>
      </c>
      <c r="AC895" s="9">
        <f>IF(AND($A895&lt;&gt;"",M895=설정!$C$20,Z895&gt;0),Z895+ROW()/1000000000,"")</f>
        <v/>
      </c>
      <c r="AD895" s="94">
        <f>IF($A895="",0,$P895*AG895)</f>
        <v/>
      </c>
      <c r="AE895" s="64">
        <f>IF($A895="","",IFERROR(INDEX(계정매핑!$E$5:$E$504,MATCH($F895&amp;"",계정매핑!$A$5:$A$504,0))&amp;"","공통비"))</f>
        <v/>
      </c>
      <c r="AF895" s="64">
        <f>IF($A895="","",IF(AE895="직접",IFERROR(INDEX(계정매핑!$F$5:$F$504,MATCH($F895&amp;"",계정매핑!$A$5:$A$504,0))&amp;"","비귀속"),""))</f>
        <v/>
      </c>
      <c r="AG895" s="96">
        <f>IF($A895="",0,IF(AND(AE895&lt;&gt;"직접",IFERROR(INDEX(계정매핑!$G$5:$G$504,MATCH($F895&amp;"",계정매핑!$A$5:$A$504,0))&amp;"","")="유지비",COUNTIF(계정대체기준!$A$6:$A$15,$N895)&gt;0),IFERROR(INDEX(계정대체기준!$E$6:$E$15,MATCH(VALUE($A895&amp;""),계정대체기준!$D$6:$D$15,0)),0),0))</f>
        <v/>
      </c>
      <c r="AH895" s="64">
        <f>IF($A895="","",IF(AD895=0,"",IF(OR(COUNTIF(계정대체기준!$A$77:$A$86,$N895)&gt;0,ISNUMBER(MATCH($X895,계정대체기준!$D$77:$D$86,0)),ISNUMBER(MATCH($F895,계정대체기준!$D$77:$D$86,0))),"Y","N")))</f>
        <v/>
      </c>
    </row>
    <row r="896">
      <c r="A896" s="92" t="n">
        <v>2025</v>
      </c>
      <c r="B896" s="92" t="n">
        <v>4</v>
      </c>
      <c r="C896" s="92" t="inlineStr">
        <is>
          <t>5100000892</t>
        </is>
      </c>
      <c r="D896" s="95" t="n">
        <v>45771</v>
      </c>
      <c r="E896" s="92" t="inlineStr">
        <is>
          <t>KR</t>
        </is>
      </c>
      <c r="F896" s="92" t="n">
        <v>63001000</v>
      </c>
      <c r="G896" s="92" t="n">
        <v>1951</v>
      </c>
      <c r="H896" s="93" t="n">
        <v>3596000</v>
      </c>
      <c r="I896" s="92" t="inlineStr">
        <is>
          <t>4월 SW 유지보수 - Y소프트</t>
        </is>
      </c>
      <c r="J896" s="92" t="inlineStr">
        <is>
          <t>V10017</t>
        </is>
      </c>
      <c r="K896" s="92" t="inlineStr">
        <is>
          <t>Y소프트</t>
        </is>
      </c>
      <c r="M896" s="9">
        <f>IF($A896="","",VALUE($A896&amp;"")*12+VALUE($B896&amp;""))</f>
        <v/>
      </c>
      <c r="N896" s="64">
        <f>IF($A896="","",IFERROR(INDEX(부서매핑!$C$5:$C$504,MATCH($G896&amp;"",부서매핑!$A$5:$A$504,0)),"미매핑"))</f>
        <v/>
      </c>
      <c r="O896" s="9">
        <f>IF($A896="","",N896&amp;"|"&amp;$F896)</f>
        <v/>
      </c>
      <c r="P896" s="94">
        <f>IF($A896="",0,$H896*설정!$C$23)</f>
        <v/>
      </c>
      <c r="Q896" s="64">
        <f>IF($A896="","",IF(O896&lt;&gt;원인분석!$C$9,"",IF(AND(M896&gt;=원인분석!$C$10,M896&lt;=원인분석!$C$11),"당기",IF(AND(M896&gt;=원인분석!$C$12,M896&lt;=원인분석!$C$13),"비교",""))))</f>
        <v/>
      </c>
      <c r="R896" s="9">
        <f>IF(Q896="","",$K896&amp;"")</f>
        <v/>
      </c>
      <c r="S896" s="9">
        <f>IF(Q896="","",IF(MATCH(R896,$R$5:$R$100000,0)=ROW()-4,ROW(),""))</f>
        <v/>
      </c>
      <c r="T896" s="9">
        <f>IF(Q896="당기",ABS(P896)+ROW()/1000000000,"")</f>
        <v/>
      </c>
      <c r="U896" s="9">
        <f>IF(Q896="비교",ABS(P896)+ROW()/1000000000,"")</f>
        <v/>
      </c>
      <c r="V896" s="64">
        <f>IF($A896="","",IF(COUNTIF(변동분석!$E$7:$E$506,O896)&gt;0,"Y","N"))</f>
        <v/>
      </c>
      <c r="W896" s="64">
        <f>IF($A896="","",IFERROR(INDEX(계정매핑!$D$5:$D$504,MATCH($F896&amp;"",계정매핑!$A$5:$A$504,0)),"미매핑"))</f>
        <v/>
      </c>
      <c r="X896" s="9">
        <f>IF($A896="","",$F896&amp;"")</f>
        <v/>
      </c>
      <c r="Y896" s="94">
        <f>IF($A896="",0,IF(AE896="직접",IF(AF896="비귀속",$P896,0),$P896*(1-AG896)*IFERROR(INDEX(계정대체기준!$F$20:$F$49,MATCH($N896,계정대체기준!$A$20:$A$49,0)),1)))</f>
        <v/>
      </c>
      <c r="Z896" s="94">
        <f>IF($A896="",0,IF(AE896="직접",IF(AF896="신계약비",$P896,0),$P896*(1-AG896)*IFERROR(INDEX(계정대체기준!$C$20:$C$49,MATCH($N896,계정대체기준!$A$20:$A$49,0)),0)))</f>
        <v/>
      </c>
      <c r="AA896" s="94">
        <f>IF($A896="",0,IF(AE896="직접",IF(OR(AF896="유지비",AF896="손해조사비"),$P896,0),$P896*(1-AG896)*IFERROR(INDEX(계정대체기준!$D$20:$D$49,MATCH($N896,계정대체기준!$A$20:$A$49,0)),0)))</f>
        <v/>
      </c>
      <c r="AB896" s="94">
        <f>IF($A896="",0,IF(AE896="직접",IF(AF896="수금비",$P896,0),$P896*(1-AG896)*IFERROR(INDEX(계정대체기준!$E$20:$E$49,MATCH($N896,계정대체기준!$A$20:$A$49,0)),0)))</f>
        <v/>
      </c>
      <c r="AC896" s="9">
        <f>IF(AND($A896&lt;&gt;"",M896=설정!$C$20,Z896&gt;0),Z896+ROW()/1000000000,"")</f>
        <v/>
      </c>
      <c r="AD896" s="94">
        <f>IF($A896="",0,$P896*AG896)</f>
        <v/>
      </c>
      <c r="AE896" s="64">
        <f>IF($A896="","",IFERROR(INDEX(계정매핑!$E$5:$E$504,MATCH($F896&amp;"",계정매핑!$A$5:$A$504,0))&amp;"","공통비"))</f>
        <v/>
      </c>
      <c r="AF896" s="64">
        <f>IF($A896="","",IF(AE896="직접",IFERROR(INDEX(계정매핑!$F$5:$F$504,MATCH($F896&amp;"",계정매핑!$A$5:$A$504,0))&amp;"","비귀속"),""))</f>
        <v/>
      </c>
      <c r="AG896" s="96">
        <f>IF($A896="",0,IF(AND(AE896&lt;&gt;"직접",IFERROR(INDEX(계정매핑!$G$5:$G$504,MATCH($F896&amp;"",계정매핑!$A$5:$A$504,0))&amp;"","")="유지비",COUNTIF(계정대체기준!$A$6:$A$15,$N896)&gt;0),IFERROR(INDEX(계정대체기준!$E$6:$E$15,MATCH(VALUE($A896&amp;""),계정대체기준!$D$6:$D$15,0)),0),0))</f>
        <v/>
      </c>
      <c r="AH896" s="64">
        <f>IF($A896="","",IF(AD896=0,"",IF(OR(COUNTIF(계정대체기준!$A$77:$A$86,$N896)&gt;0,ISNUMBER(MATCH($X896,계정대체기준!$D$77:$D$86,0)),ISNUMBER(MATCH($F896,계정대체기준!$D$77:$D$86,0))),"Y","N")))</f>
        <v/>
      </c>
    </row>
    <row r="897">
      <c r="A897" s="92" t="n">
        <v>2025</v>
      </c>
      <c r="B897" s="92" t="n">
        <v>4</v>
      </c>
      <c r="C897" s="92" t="inlineStr">
        <is>
          <t>5100000893</t>
        </is>
      </c>
      <c r="D897" s="95" t="n">
        <v>45772</v>
      </c>
      <c r="E897" s="92" t="inlineStr">
        <is>
          <t>KR</t>
        </is>
      </c>
      <c r="F897" s="92" t="n">
        <v>62101000</v>
      </c>
      <c r="G897" s="92" t="n">
        <v>1301</v>
      </c>
      <c r="H897" s="93" t="n">
        <v>337000</v>
      </c>
      <c r="I897" s="92" t="inlineStr">
        <is>
          <t>4월 국내출장 - M항공</t>
        </is>
      </c>
      <c r="J897" s="92" t="inlineStr">
        <is>
          <t>V10001</t>
        </is>
      </c>
      <c r="K897" s="92" t="inlineStr">
        <is>
          <t>M항공</t>
        </is>
      </c>
      <c r="M897" s="9">
        <f>IF($A897="","",VALUE($A897&amp;"")*12+VALUE($B897&amp;""))</f>
        <v/>
      </c>
      <c r="N897" s="64">
        <f>IF($A897="","",IFERROR(INDEX(부서매핑!$C$5:$C$504,MATCH($G897&amp;"",부서매핑!$A$5:$A$504,0)),"미매핑"))</f>
        <v/>
      </c>
      <c r="O897" s="9">
        <f>IF($A897="","",N897&amp;"|"&amp;$F897)</f>
        <v/>
      </c>
      <c r="P897" s="94">
        <f>IF($A897="",0,$H897*설정!$C$23)</f>
        <v/>
      </c>
      <c r="Q897" s="64">
        <f>IF($A897="","",IF(O897&lt;&gt;원인분석!$C$9,"",IF(AND(M897&gt;=원인분석!$C$10,M897&lt;=원인분석!$C$11),"당기",IF(AND(M897&gt;=원인분석!$C$12,M897&lt;=원인분석!$C$13),"비교",""))))</f>
        <v/>
      </c>
      <c r="R897" s="9">
        <f>IF(Q897="","",$K897&amp;"")</f>
        <v/>
      </c>
      <c r="S897" s="9">
        <f>IF(Q897="","",IF(MATCH(R897,$R$5:$R$100000,0)=ROW()-4,ROW(),""))</f>
        <v/>
      </c>
      <c r="T897" s="9">
        <f>IF(Q897="당기",ABS(P897)+ROW()/1000000000,"")</f>
        <v/>
      </c>
      <c r="U897" s="9">
        <f>IF(Q897="비교",ABS(P897)+ROW()/1000000000,"")</f>
        <v/>
      </c>
      <c r="V897" s="64">
        <f>IF($A897="","",IF(COUNTIF(변동분석!$E$7:$E$506,O897)&gt;0,"Y","N"))</f>
        <v/>
      </c>
      <c r="W897" s="64">
        <f>IF($A897="","",IFERROR(INDEX(계정매핑!$D$5:$D$504,MATCH($F897&amp;"",계정매핑!$A$5:$A$504,0)),"미매핑"))</f>
        <v/>
      </c>
      <c r="X897" s="9">
        <f>IF($A897="","",$F897&amp;"")</f>
        <v/>
      </c>
      <c r="Y897" s="94">
        <f>IF($A897="",0,IF(AE897="직접",IF(AF897="비귀속",$P897,0),$P897*(1-AG897)*IFERROR(INDEX(계정대체기준!$F$20:$F$49,MATCH($N897,계정대체기준!$A$20:$A$49,0)),1)))</f>
        <v/>
      </c>
      <c r="Z897" s="94">
        <f>IF($A897="",0,IF(AE897="직접",IF(AF897="신계약비",$P897,0),$P897*(1-AG897)*IFERROR(INDEX(계정대체기준!$C$20:$C$49,MATCH($N897,계정대체기준!$A$20:$A$49,0)),0)))</f>
        <v/>
      </c>
      <c r="AA897" s="94">
        <f>IF($A897="",0,IF(AE897="직접",IF(OR(AF897="유지비",AF897="손해조사비"),$P897,0),$P897*(1-AG897)*IFERROR(INDEX(계정대체기준!$D$20:$D$49,MATCH($N897,계정대체기준!$A$20:$A$49,0)),0)))</f>
        <v/>
      </c>
      <c r="AB897" s="94">
        <f>IF($A897="",0,IF(AE897="직접",IF(AF897="수금비",$P897,0),$P897*(1-AG897)*IFERROR(INDEX(계정대체기준!$E$20:$E$49,MATCH($N897,계정대체기준!$A$20:$A$49,0)),0)))</f>
        <v/>
      </c>
      <c r="AC897" s="9">
        <f>IF(AND($A897&lt;&gt;"",M897=설정!$C$20,Z897&gt;0),Z897+ROW()/1000000000,"")</f>
        <v/>
      </c>
      <c r="AD897" s="94">
        <f>IF($A897="",0,$P897*AG897)</f>
        <v/>
      </c>
      <c r="AE897" s="64">
        <f>IF($A897="","",IFERROR(INDEX(계정매핑!$E$5:$E$504,MATCH($F897&amp;"",계정매핑!$A$5:$A$504,0))&amp;"","공통비"))</f>
        <v/>
      </c>
      <c r="AF897" s="64">
        <f>IF($A897="","",IF(AE897="직접",IFERROR(INDEX(계정매핑!$F$5:$F$504,MATCH($F897&amp;"",계정매핑!$A$5:$A$504,0))&amp;"","비귀속"),""))</f>
        <v/>
      </c>
      <c r="AG897" s="96">
        <f>IF($A897="",0,IF(AND(AE897&lt;&gt;"직접",IFERROR(INDEX(계정매핑!$G$5:$G$504,MATCH($F897&amp;"",계정매핑!$A$5:$A$504,0))&amp;"","")="유지비",COUNTIF(계정대체기준!$A$6:$A$15,$N897)&gt;0),IFERROR(INDEX(계정대체기준!$E$6:$E$15,MATCH(VALUE($A897&amp;""),계정대체기준!$D$6:$D$15,0)),0),0))</f>
        <v/>
      </c>
      <c r="AH897" s="64">
        <f>IF($A897="","",IF(AD897=0,"",IF(OR(COUNTIF(계정대체기준!$A$77:$A$86,$N897)&gt;0,ISNUMBER(MATCH($X897,계정대체기준!$D$77:$D$86,0)),ISNUMBER(MATCH($F897,계정대체기준!$D$77:$D$86,0))),"Y","N")))</f>
        <v/>
      </c>
    </row>
    <row r="898">
      <c r="A898" s="92" t="n">
        <v>2025</v>
      </c>
      <c r="B898" s="92" t="n">
        <v>4</v>
      </c>
      <c r="C898" s="92" t="inlineStr">
        <is>
          <t>5100000894</t>
        </is>
      </c>
      <c r="D898" s="95" t="n">
        <v>45772</v>
      </c>
      <c r="E898" s="92" t="inlineStr">
        <is>
          <t>KR</t>
        </is>
      </c>
      <c r="F898" s="92" t="n">
        <v>62101000</v>
      </c>
      <c r="G898" s="92" t="n">
        <v>1502</v>
      </c>
      <c r="H898" s="93" t="n">
        <v>474000</v>
      </c>
      <c r="I898" s="92" t="inlineStr">
        <is>
          <t>4월 국내출장 - M항공</t>
        </is>
      </c>
      <c r="J898" s="92" t="inlineStr">
        <is>
          <t>V10001</t>
        </is>
      </c>
      <c r="K898" s="92" t="inlineStr">
        <is>
          <t>M항공</t>
        </is>
      </c>
      <c r="M898" s="9">
        <f>IF($A898="","",VALUE($A898&amp;"")*12+VALUE($B898&amp;""))</f>
        <v/>
      </c>
      <c r="N898" s="64">
        <f>IF($A898="","",IFERROR(INDEX(부서매핑!$C$5:$C$504,MATCH($G898&amp;"",부서매핑!$A$5:$A$504,0)),"미매핑"))</f>
        <v/>
      </c>
      <c r="O898" s="9">
        <f>IF($A898="","",N898&amp;"|"&amp;$F898)</f>
        <v/>
      </c>
      <c r="P898" s="94">
        <f>IF($A898="",0,$H898*설정!$C$23)</f>
        <v/>
      </c>
      <c r="Q898" s="64">
        <f>IF($A898="","",IF(O898&lt;&gt;원인분석!$C$9,"",IF(AND(M898&gt;=원인분석!$C$10,M898&lt;=원인분석!$C$11),"당기",IF(AND(M898&gt;=원인분석!$C$12,M898&lt;=원인분석!$C$13),"비교",""))))</f>
        <v/>
      </c>
      <c r="R898" s="9">
        <f>IF(Q898="","",$K898&amp;"")</f>
        <v/>
      </c>
      <c r="S898" s="9">
        <f>IF(Q898="","",IF(MATCH(R898,$R$5:$R$100000,0)=ROW()-4,ROW(),""))</f>
        <v/>
      </c>
      <c r="T898" s="9">
        <f>IF(Q898="당기",ABS(P898)+ROW()/1000000000,"")</f>
        <v/>
      </c>
      <c r="U898" s="9">
        <f>IF(Q898="비교",ABS(P898)+ROW()/1000000000,"")</f>
        <v/>
      </c>
      <c r="V898" s="64">
        <f>IF($A898="","",IF(COUNTIF(변동분석!$E$7:$E$506,O898)&gt;0,"Y","N"))</f>
        <v/>
      </c>
      <c r="W898" s="64">
        <f>IF($A898="","",IFERROR(INDEX(계정매핑!$D$5:$D$504,MATCH($F898&amp;"",계정매핑!$A$5:$A$504,0)),"미매핑"))</f>
        <v/>
      </c>
      <c r="X898" s="9">
        <f>IF($A898="","",$F898&amp;"")</f>
        <v/>
      </c>
      <c r="Y898" s="94">
        <f>IF($A898="",0,IF(AE898="직접",IF(AF898="비귀속",$P898,0),$P898*(1-AG898)*IFERROR(INDEX(계정대체기준!$F$20:$F$49,MATCH($N898,계정대체기준!$A$20:$A$49,0)),1)))</f>
        <v/>
      </c>
      <c r="Z898" s="94">
        <f>IF($A898="",0,IF(AE898="직접",IF(AF898="신계약비",$P898,0),$P898*(1-AG898)*IFERROR(INDEX(계정대체기준!$C$20:$C$49,MATCH($N898,계정대체기준!$A$20:$A$49,0)),0)))</f>
        <v/>
      </c>
      <c r="AA898" s="94">
        <f>IF($A898="",0,IF(AE898="직접",IF(OR(AF898="유지비",AF898="손해조사비"),$P898,0),$P898*(1-AG898)*IFERROR(INDEX(계정대체기준!$D$20:$D$49,MATCH($N898,계정대체기준!$A$20:$A$49,0)),0)))</f>
        <v/>
      </c>
      <c r="AB898" s="94">
        <f>IF($A898="",0,IF(AE898="직접",IF(AF898="수금비",$P898,0),$P898*(1-AG898)*IFERROR(INDEX(계정대체기준!$E$20:$E$49,MATCH($N898,계정대체기준!$A$20:$A$49,0)),0)))</f>
        <v/>
      </c>
      <c r="AC898" s="9">
        <f>IF(AND($A898&lt;&gt;"",M898=설정!$C$20,Z898&gt;0),Z898+ROW()/1000000000,"")</f>
        <v/>
      </c>
      <c r="AD898" s="94">
        <f>IF($A898="",0,$P898*AG898)</f>
        <v/>
      </c>
      <c r="AE898" s="64">
        <f>IF($A898="","",IFERROR(INDEX(계정매핑!$E$5:$E$504,MATCH($F898&amp;"",계정매핑!$A$5:$A$504,0))&amp;"","공통비"))</f>
        <v/>
      </c>
      <c r="AF898" s="64">
        <f>IF($A898="","",IF(AE898="직접",IFERROR(INDEX(계정매핑!$F$5:$F$504,MATCH($F898&amp;"",계정매핑!$A$5:$A$504,0))&amp;"","비귀속"),""))</f>
        <v/>
      </c>
      <c r="AG898" s="96">
        <f>IF($A898="",0,IF(AND(AE898&lt;&gt;"직접",IFERROR(INDEX(계정매핑!$G$5:$G$504,MATCH($F898&amp;"",계정매핑!$A$5:$A$504,0))&amp;"","")="유지비",COUNTIF(계정대체기준!$A$6:$A$15,$N898)&gt;0),IFERROR(INDEX(계정대체기준!$E$6:$E$15,MATCH(VALUE($A898&amp;""),계정대체기준!$D$6:$D$15,0)),0),0))</f>
        <v/>
      </c>
      <c r="AH898" s="64">
        <f>IF($A898="","",IF(AD898=0,"",IF(OR(COUNTIF(계정대체기준!$A$77:$A$86,$N898)&gt;0,ISNUMBER(MATCH($X898,계정대체기준!$D$77:$D$86,0)),ISNUMBER(MATCH($F898,계정대체기준!$D$77:$D$86,0))),"Y","N")))</f>
        <v/>
      </c>
    </row>
    <row r="899">
      <c r="A899" s="92" t="n">
        <v>2025</v>
      </c>
      <c r="B899" s="92" t="n">
        <v>4</v>
      </c>
      <c r="C899" s="92" t="inlineStr">
        <is>
          <t>5100000895</t>
        </is>
      </c>
      <c r="D899" s="95" t="n">
        <v>45772</v>
      </c>
      <c r="E899" s="92" t="inlineStr">
        <is>
          <t>KR</t>
        </is>
      </c>
      <c r="F899" s="92" t="n">
        <v>62102000</v>
      </c>
      <c r="G899" s="92" t="n">
        <v>1401</v>
      </c>
      <c r="H899" s="93" t="n">
        <v>70000</v>
      </c>
      <c r="I899" s="92" t="inlineStr">
        <is>
          <t>4월 해외출장 - N호텔</t>
        </is>
      </c>
      <c r="J899" s="92" t="inlineStr">
        <is>
          <t>V10009</t>
        </is>
      </c>
      <c r="K899" s="92" t="inlineStr">
        <is>
          <t>N호텔</t>
        </is>
      </c>
      <c r="M899" s="9">
        <f>IF($A899="","",VALUE($A899&amp;"")*12+VALUE($B899&amp;""))</f>
        <v/>
      </c>
      <c r="N899" s="64">
        <f>IF($A899="","",IFERROR(INDEX(부서매핑!$C$5:$C$504,MATCH($G899&amp;"",부서매핑!$A$5:$A$504,0)),"미매핑"))</f>
        <v/>
      </c>
      <c r="O899" s="9">
        <f>IF($A899="","",N899&amp;"|"&amp;$F899)</f>
        <v/>
      </c>
      <c r="P899" s="94">
        <f>IF($A899="",0,$H899*설정!$C$23)</f>
        <v/>
      </c>
      <c r="Q899" s="64">
        <f>IF($A899="","",IF(O899&lt;&gt;원인분석!$C$9,"",IF(AND(M899&gt;=원인분석!$C$10,M899&lt;=원인분석!$C$11),"당기",IF(AND(M899&gt;=원인분석!$C$12,M899&lt;=원인분석!$C$13),"비교",""))))</f>
        <v/>
      </c>
      <c r="R899" s="9">
        <f>IF(Q899="","",$K899&amp;"")</f>
        <v/>
      </c>
      <c r="S899" s="9">
        <f>IF(Q899="","",IF(MATCH(R899,$R$5:$R$100000,0)=ROW()-4,ROW(),""))</f>
        <v/>
      </c>
      <c r="T899" s="9">
        <f>IF(Q899="당기",ABS(P899)+ROW()/1000000000,"")</f>
        <v/>
      </c>
      <c r="U899" s="9">
        <f>IF(Q899="비교",ABS(P899)+ROW()/1000000000,"")</f>
        <v/>
      </c>
      <c r="V899" s="64">
        <f>IF($A899="","",IF(COUNTIF(변동분석!$E$7:$E$506,O899)&gt;0,"Y","N"))</f>
        <v/>
      </c>
      <c r="W899" s="64">
        <f>IF($A899="","",IFERROR(INDEX(계정매핑!$D$5:$D$504,MATCH($F899&amp;"",계정매핑!$A$5:$A$504,0)),"미매핑"))</f>
        <v/>
      </c>
      <c r="X899" s="9">
        <f>IF($A899="","",$F899&amp;"")</f>
        <v/>
      </c>
      <c r="Y899" s="94">
        <f>IF($A899="",0,IF(AE899="직접",IF(AF899="비귀속",$P899,0),$P899*(1-AG899)*IFERROR(INDEX(계정대체기준!$F$20:$F$49,MATCH($N899,계정대체기준!$A$20:$A$49,0)),1)))</f>
        <v/>
      </c>
      <c r="Z899" s="94">
        <f>IF($A899="",0,IF(AE899="직접",IF(AF899="신계약비",$P899,0),$P899*(1-AG899)*IFERROR(INDEX(계정대체기준!$C$20:$C$49,MATCH($N899,계정대체기준!$A$20:$A$49,0)),0)))</f>
        <v/>
      </c>
      <c r="AA899" s="94">
        <f>IF($A899="",0,IF(AE899="직접",IF(OR(AF899="유지비",AF899="손해조사비"),$P899,0),$P899*(1-AG899)*IFERROR(INDEX(계정대체기준!$D$20:$D$49,MATCH($N899,계정대체기준!$A$20:$A$49,0)),0)))</f>
        <v/>
      </c>
      <c r="AB899" s="94">
        <f>IF($A899="",0,IF(AE899="직접",IF(AF899="수금비",$P899,0),$P899*(1-AG899)*IFERROR(INDEX(계정대체기준!$E$20:$E$49,MATCH($N899,계정대체기준!$A$20:$A$49,0)),0)))</f>
        <v/>
      </c>
      <c r="AC899" s="9">
        <f>IF(AND($A899&lt;&gt;"",M899=설정!$C$20,Z899&gt;0),Z899+ROW()/1000000000,"")</f>
        <v/>
      </c>
      <c r="AD899" s="94">
        <f>IF($A899="",0,$P899*AG899)</f>
        <v/>
      </c>
      <c r="AE899" s="64">
        <f>IF($A899="","",IFERROR(INDEX(계정매핑!$E$5:$E$504,MATCH($F899&amp;"",계정매핑!$A$5:$A$504,0))&amp;"","공통비"))</f>
        <v/>
      </c>
      <c r="AF899" s="64">
        <f>IF($A899="","",IF(AE899="직접",IFERROR(INDEX(계정매핑!$F$5:$F$504,MATCH($F899&amp;"",계정매핑!$A$5:$A$504,0))&amp;"","비귀속"),""))</f>
        <v/>
      </c>
      <c r="AG899" s="96">
        <f>IF($A899="",0,IF(AND(AE899&lt;&gt;"직접",IFERROR(INDEX(계정매핑!$G$5:$G$504,MATCH($F899&amp;"",계정매핑!$A$5:$A$504,0))&amp;"","")="유지비",COUNTIF(계정대체기준!$A$6:$A$15,$N899)&gt;0),IFERROR(INDEX(계정대체기준!$E$6:$E$15,MATCH(VALUE($A899&amp;""),계정대체기준!$D$6:$D$15,0)),0),0))</f>
        <v/>
      </c>
      <c r="AH899" s="64">
        <f>IF($A899="","",IF(AD899=0,"",IF(OR(COUNTIF(계정대체기준!$A$77:$A$86,$N899)&gt;0,ISNUMBER(MATCH($X899,계정대체기준!$D$77:$D$86,0)),ISNUMBER(MATCH($F899,계정대체기준!$D$77:$D$86,0))),"Y","N")))</f>
        <v/>
      </c>
    </row>
    <row r="900">
      <c r="A900" s="92" t="n">
        <v>2025</v>
      </c>
      <c r="B900" s="92" t="n">
        <v>4</v>
      </c>
      <c r="C900" s="92" t="inlineStr">
        <is>
          <t>5100000896</t>
        </is>
      </c>
      <c r="D900" s="95" t="n">
        <v>45772</v>
      </c>
      <c r="E900" s="92" t="inlineStr">
        <is>
          <t>KR</t>
        </is>
      </c>
      <c r="F900" s="92" t="n">
        <v>62901000</v>
      </c>
      <c r="G900" s="92" t="n">
        <v>1401</v>
      </c>
      <c r="H900" s="93" t="n">
        <v>4211000</v>
      </c>
      <c r="I900" s="92" t="inlineStr">
        <is>
          <t>4월 자문 수수료 - W컨설팅</t>
        </is>
      </c>
      <c r="J900" s="92" t="inlineStr">
        <is>
          <t>V10006</t>
        </is>
      </c>
      <c r="K900" s="92" t="inlineStr">
        <is>
          <t>W컨설팅</t>
        </is>
      </c>
      <c r="M900" s="9">
        <f>IF($A900="","",VALUE($A900&amp;"")*12+VALUE($B900&amp;""))</f>
        <v/>
      </c>
      <c r="N900" s="64">
        <f>IF($A900="","",IFERROR(INDEX(부서매핑!$C$5:$C$504,MATCH($G900&amp;"",부서매핑!$A$5:$A$504,0)),"미매핑"))</f>
        <v/>
      </c>
      <c r="O900" s="9">
        <f>IF($A900="","",N900&amp;"|"&amp;$F900)</f>
        <v/>
      </c>
      <c r="P900" s="94">
        <f>IF($A900="",0,$H900*설정!$C$23)</f>
        <v/>
      </c>
      <c r="Q900" s="64">
        <f>IF($A900="","",IF(O900&lt;&gt;원인분석!$C$9,"",IF(AND(M900&gt;=원인분석!$C$10,M900&lt;=원인분석!$C$11),"당기",IF(AND(M900&gt;=원인분석!$C$12,M900&lt;=원인분석!$C$13),"비교",""))))</f>
        <v/>
      </c>
      <c r="R900" s="9">
        <f>IF(Q900="","",$K900&amp;"")</f>
        <v/>
      </c>
      <c r="S900" s="9">
        <f>IF(Q900="","",IF(MATCH(R900,$R$5:$R$100000,0)=ROW()-4,ROW(),""))</f>
        <v/>
      </c>
      <c r="T900" s="9">
        <f>IF(Q900="당기",ABS(P900)+ROW()/1000000000,"")</f>
        <v/>
      </c>
      <c r="U900" s="9">
        <f>IF(Q900="비교",ABS(P900)+ROW()/1000000000,"")</f>
        <v/>
      </c>
      <c r="V900" s="64">
        <f>IF($A900="","",IF(COUNTIF(변동분석!$E$7:$E$506,O900)&gt;0,"Y","N"))</f>
        <v/>
      </c>
      <c r="W900" s="64">
        <f>IF($A900="","",IFERROR(INDEX(계정매핑!$D$5:$D$504,MATCH($F900&amp;"",계정매핑!$A$5:$A$504,0)),"미매핑"))</f>
        <v/>
      </c>
      <c r="X900" s="9">
        <f>IF($A900="","",$F900&amp;"")</f>
        <v/>
      </c>
      <c r="Y900" s="94">
        <f>IF($A900="",0,IF(AE900="직접",IF(AF900="비귀속",$P900,0),$P900*(1-AG900)*IFERROR(INDEX(계정대체기준!$F$20:$F$49,MATCH($N900,계정대체기준!$A$20:$A$49,0)),1)))</f>
        <v/>
      </c>
      <c r="Z900" s="94">
        <f>IF($A900="",0,IF(AE900="직접",IF(AF900="신계약비",$P900,0),$P900*(1-AG900)*IFERROR(INDEX(계정대체기준!$C$20:$C$49,MATCH($N900,계정대체기준!$A$20:$A$49,0)),0)))</f>
        <v/>
      </c>
      <c r="AA900" s="94">
        <f>IF($A900="",0,IF(AE900="직접",IF(OR(AF900="유지비",AF900="손해조사비"),$P900,0),$P900*(1-AG900)*IFERROR(INDEX(계정대체기준!$D$20:$D$49,MATCH($N900,계정대체기준!$A$20:$A$49,0)),0)))</f>
        <v/>
      </c>
      <c r="AB900" s="94">
        <f>IF($A900="",0,IF(AE900="직접",IF(AF900="수금비",$P900,0),$P900*(1-AG900)*IFERROR(INDEX(계정대체기준!$E$20:$E$49,MATCH($N900,계정대체기준!$A$20:$A$49,0)),0)))</f>
        <v/>
      </c>
      <c r="AC900" s="9">
        <f>IF(AND($A900&lt;&gt;"",M900=설정!$C$20,Z900&gt;0),Z900+ROW()/1000000000,"")</f>
        <v/>
      </c>
      <c r="AD900" s="94">
        <f>IF($A900="",0,$P900*AG900)</f>
        <v/>
      </c>
      <c r="AE900" s="64">
        <f>IF($A900="","",IFERROR(INDEX(계정매핑!$E$5:$E$504,MATCH($F900&amp;"",계정매핑!$A$5:$A$504,0))&amp;"","공통비"))</f>
        <v/>
      </c>
      <c r="AF900" s="64">
        <f>IF($A900="","",IF(AE900="직접",IFERROR(INDEX(계정매핑!$F$5:$F$504,MATCH($F900&amp;"",계정매핑!$A$5:$A$504,0))&amp;"","비귀속"),""))</f>
        <v/>
      </c>
      <c r="AG900" s="96">
        <f>IF($A900="",0,IF(AND(AE900&lt;&gt;"직접",IFERROR(INDEX(계정매핑!$G$5:$G$504,MATCH($F900&amp;"",계정매핑!$A$5:$A$504,0))&amp;"","")="유지비",COUNTIF(계정대체기준!$A$6:$A$15,$N900)&gt;0),IFERROR(INDEX(계정대체기준!$E$6:$E$15,MATCH(VALUE($A900&amp;""),계정대체기준!$D$6:$D$15,0)),0),0))</f>
        <v/>
      </c>
      <c r="AH900" s="64">
        <f>IF($A900="","",IF(AD900=0,"",IF(OR(COUNTIF(계정대체기준!$A$77:$A$86,$N900)&gt;0,ISNUMBER(MATCH($X900,계정대체기준!$D$77:$D$86,0)),ISNUMBER(MATCH($F900,계정대체기준!$D$77:$D$86,0))),"Y","N")))</f>
        <v/>
      </c>
    </row>
    <row r="901">
      <c r="A901" s="92" t="n">
        <v>2025</v>
      </c>
      <c r="B901" s="92" t="n">
        <v>4</v>
      </c>
      <c r="C901" s="92" t="inlineStr">
        <is>
          <t>5100000897</t>
        </is>
      </c>
      <c r="D901" s="95" t="n">
        <v>45772</v>
      </c>
      <c r="E901" s="92" t="inlineStr">
        <is>
          <t>KR</t>
        </is>
      </c>
      <c r="F901" s="92" t="n">
        <v>62902000</v>
      </c>
      <c r="G901" s="92" t="n">
        <v>1801</v>
      </c>
      <c r="H901" s="93" t="n">
        <v>3000000</v>
      </c>
      <c r="I901" s="92" t="inlineStr">
        <is>
          <t>4월 업무 위탁 수수료 - X서비스</t>
        </is>
      </c>
      <c r="J901" s="92" t="inlineStr">
        <is>
          <t>V10020</t>
        </is>
      </c>
      <c r="K901" s="92" t="inlineStr">
        <is>
          <t>X서비스</t>
        </is>
      </c>
      <c r="M901" s="9">
        <f>IF($A901="","",VALUE($A901&amp;"")*12+VALUE($B901&amp;""))</f>
        <v/>
      </c>
      <c r="N901" s="64">
        <f>IF($A901="","",IFERROR(INDEX(부서매핑!$C$5:$C$504,MATCH($G901&amp;"",부서매핑!$A$5:$A$504,0)),"미매핑"))</f>
        <v/>
      </c>
      <c r="O901" s="9">
        <f>IF($A901="","",N901&amp;"|"&amp;$F901)</f>
        <v/>
      </c>
      <c r="P901" s="94">
        <f>IF($A901="",0,$H901*설정!$C$23)</f>
        <v/>
      </c>
      <c r="Q901" s="64">
        <f>IF($A901="","",IF(O901&lt;&gt;원인분석!$C$9,"",IF(AND(M901&gt;=원인분석!$C$10,M901&lt;=원인분석!$C$11),"당기",IF(AND(M901&gt;=원인분석!$C$12,M901&lt;=원인분석!$C$13),"비교",""))))</f>
        <v/>
      </c>
      <c r="R901" s="9">
        <f>IF(Q901="","",$K901&amp;"")</f>
        <v/>
      </c>
      <c r="S901" s="9">
        <f>IF(Q901="","",IF(MATCH(R901,$R$5:$R$100000,0)=ROW()-4,ROW(),""))</f>
        <v/>
      </c>
      <c r="T901" s="9">
        <f>IF(Q901="당기",ABS(P901)+ROW()/1000000000,"")</f>
        <v/>
      </c>
      <c r="U901" s="9">
        <f>IF(Q901="비교",ABS(P901)+ROW()/1000000000,"")</f>
        <v/>
      </c>
      <c r="V901" s="64">
        <f>IF($A901="","",IF(COUNTIF(변동분석!$E$7:$E$506,O901)&gt;0,"Y","N"))</f>
        <v/>
      </c>
      <c r="W901" s="64">
        <f>IF($A901="","",IFERROR(INDEX(계정매핑!$D$5:$D$504,MATCH($F901&amp;"",계정매핑!$A$5:$A$504,0)),"미매핑"))</f>
        <v/>
      </c>
      <c r="X901" s="9">
        <f>IF($A901="","",$F901&amp;"")</f>
        <v/>
      </c>
      <c r="Y901" s="94">
        <f>IF($A901="",0,IF(AE901="직접",IF(AF901="비귀속",$P901,0),$P901*(1-AG901)*IFERROR(INDEX(계정대체기준!$F$20:$F$49,MATCH($N901,계정대체기준!$A$20:$A$49,0)),1)))</f>
        <v/>
      </c>
      <c r="Z901" s="94">
        <f>IF($A901="",0,IF(AE901="직접",IF(AF901="신계약비",$P901,0),$P901*(1-AG901)*IFERROR(INDEX(계정대체기준!$C$20:$C$49,MATCH($N901,계정대체기준!$A$20:$A$49,0)),0)))</f>
        <v/>
      </c>
      <c r="AA901" s="94">
        <f>IF($A901="",0,IF(AE901="직접",IF(OR(AF901="유지비",AF901="손해조사비"),$P901,0),$P901*(1-AG901)*IFERROR(INDEX(계정대체기준!$D$20:$D$49,MATCH($N901,계정대체기준!$A$20:$A$49,0)),0)))</f>
        <v/>
      </c>
      <c r="AB901" s="94">
        <f>IF($A901="",0,IF(AE901="직접",IF(AF901="수금비",$P901,0),$P901*(1-AG901)*IFERROR(INDEX(계정대체기준!$E$20:$E$49,MATCH($N901,계정대체기준!$A$20:$A$49,0)),0)))</f>
        <v/>
      </c>
      <c r="AC901" s="9">
        <f>IF(AND($A901&lt;&gt;"",M901=설정!$C$20,Z901&gt;0),Z901+ROW()/1000000000,"")</f>
        <v/>
      </c>
      <c r="AD901" s="94">
        <f>IF($A901="",0,$P901*AG901)</f>
        <v/>
      </c>
      <c r="AE901" s="64">
        <f>IF($A901="","",IFERROR(INDEX(계정매핑!$E$5:$E$504,MATCH($F901&amp;"",계정매핑!$A$5:$A$504,0))&amp;"","공통비"))</f>
        <v/>
      </c>
      <c r="AF901" s="64">
        <f>IF($A901="","",IF(AE901="직접",IFERROR(INDEX(계정매핑!$F$5:$F$504,MATCH($F901&amp;"",계정매핑!$A$5:$A$504,0))&amp;"","비귀속"),""))</f>
        <v/>
      </c>
      <c r="AG901" s="96">
        <f>IF($A901="",0,IF(AND(AE901&lt;&gt;"직접",IFERROR(INDEX(계정매핑!$G$5:$G$504,MATCH($F901&amp;"",계정매핑!$A$5:$A$504,0))&amp;"","")="유지비",COUNTIF(계정대체기준!$A$6:$A$15,$N901)&gt;0),IFERROR(INDEX(계정대체기준!$E$6:$E$15,MATCH(VALUE($A901&amp;""),계정대체기준!$D$6:$D$15,0)),0),0))</f>
        <v/>
      </c>
      <c r="AH901" s="64">
        <f>IF($A901="","",IF(AD901=0,"",IF(OR(COUNTIF(계정대체기준!$A$77:$A$86,$N901)&gt;0,ISNUMBER(MATCH($X901,계정대체기준!$D$77:$D$86,0)),ISNUMBER(MATCH($F901,계정대체기준!$D$77:$D$86,0))),"Y","N")))</f>
        <v/>
      </c>
    </row>
    <row r="902">
      <c r="A902" s="92" t="n">
        <v>2025</v>
      </c>
      <c r="B902" s="92" t="n">
        <v>4</v>
      </c>
      <c r="C902" s="92" t="inlineStr">
        <is>
          <t>5100000898</t>
        </is>
      </c>
      <c r="D902" s="95" t="n">
        <v>45772</v>
      </c>
      <c r="E902" s="92" t="inlineStr">
        <is>
          <t>KR</t>
        </is>
      </c>
      <c r="F902" s="92" t="n">
        <v>63002000</v>
      </c>
      <c r="G902" s="92" t="n">
        <v>1701</v>
      </c>
      <c r="H902" s="93" t="n">
        <v>66000000</v>
      </c>
      <c r="I902" s="92" t="inlineStr">
        <is>
          <t>4월 클라우드 사용료 - C클라우드</t>
        </is>
      </c>
      <c r="J902" s="92" t="inlineStr">
        <is>
          <t>V10026</t>
        </is>
      </c>
      <c r="K902" s="92" t="inlineStr">
        <is>
          <t>C클라우드</t>
        </is>
      </c>
      <c r="M902" s="9">
        <f>IF($A902="","",VALUE($A902&amp;"")*12+VALUE($B902&amp;""))</f>
        <v/>
      </c>
      <c r="N902" s="64">
        <f>IF($A902="","",IFERROR(INDEX(부서매핑!$C$5:$C$504,MATCH($G902&amp;"",부서매핑!$A$5:$A$504,0)),"미매핑"))</f>
        <v/>
      </c>
      <c r="O902" s="9">
        <f>IF($A902="","",N902&amp;"|"&amp;$F902)</f>
        <v/>
      </c>
      <c r="P902" s="94">
        <f>IF($A902="",0,$H902*설정!$C$23)</f>
        <v/>
      </c>
      <c r="Q902" s="64">
        <f>IF($A902="","",IF(O902&lt;&gt;원인분석!$C$9,"",IF(AND(M902&gt;=원인분석!$C$10,M902&lt;=원인분석!$C$11),"당기",IF(AND(M902&gt;=원인분석!$C$12,M902&lt;=원인분석!$C$13),"비교",""))))</f>
        <v/>
      </c>
      <c r="R902" s="9">
        <f>IF(Q902="","",$K902&amp;"")</f>
        <v/>
      </c>
      <c r="S902" s="9">
        <f>IF(Q902="","",IF(MATCH(R902,$R$5:$R$100000,0)=ROW()-4,ROW(),""))</f>
        <v/>
      </c>
      <c r="T902" s="9">
        <f>IF(Q902="당기",ABS(P902)+ROW()/1000000000,"")</f>
        <v/>
      </c>
      <c r="U902" s="9">
        <f>IF(Q902="비교",ABS(P902)+ROW()/1000000000,"")</f>
        <v/>
      </c>
      <c r="V902" s="64">
        <f>IF($A902="","",IF(COUNTIF(변동분석!$E$7:$E$506,O902)&gt;0,"Y","N"))</f>
        <v/>
      </c>
      <c r="W902" s="64">
        <f>IF($A902="","",IFERROR(INDEX(계정매핑!$D$5:$D$504,MATCH($F902&amp;"",계정매핑!$A$5:$A$504,0)),"미매핑"))</f>
        <v/>
      </c>
      <c r="X902" s="9">
        <f>IF($A902="","",$F902&amp;"")</f>
        <v/>
      </c>
      <c r="Y902" s="94">
        <f>IF($A902="",0,IF(AE902="직접",IF(AF902="비귀속",$P902,0),$P902*(1-AG902)*IFERROR(INDEX(계정대체기준!$F$20:$F$49,MATCH($N902,계정대체기준!$A$20:$A$49,0)),1)))</f>
        <v/>
      </c>
      <c r="Z902" s="94">
        <f>IF($A902="",0,IF(AE902="직접",IF(AF902="신계약비",$P902,0),$P902*(1-AG902)*IFERROR(INDEX(계정대체기준!$C$20:$C$49,MATCH($N902,계정대체기준!$A$20:$A$49,0)),0)))</f>
        <v/>
      </c>
      <c r="AA902" s="94">
        <f>IF($A902="",0,IF(AE902="직접",IF(OR(AF902="유지비",AF902="손해조사비"),$P902,0),$P902*(1-AG902)*IFERROR(INDEX(계정대체기준!$D$20:$D$49,MATCH($N902,계정대체기준!$A$20:$A$49,0)),0)))</f>
        <v/>
      </c>
      <c r="AB902" s="94">
        <f>IF($A902="",0,IF(AE902="직접",IF(AF902="수금비",$P902,0),$P902*(1-AG902)*IFERROR(INDEX(계정대체기준!$E$20:$E$49,MATCH($N902,계정대체기준!$A$20:$A$49,0)),0)))</f>
        <v/>
      </c>
      <c r="AC902" s="9">
        <f>IF(AND($A902&lt;&gt;"",M902=설정!$C$20,Z902&gt;0),Z902+ROW()/1000000000,"")</f>
        <v/>
      </c>
      <c r="AD902" s="94">
        <f>IF($A902="",0,$P902*AG902)</f>
        <v/>
      </c>
      <c r="AE902" s="64">
        <f>IF($A902="","",IFERROR(INDEX(계정매핑!$E$5:$E$504,MATCH($F902&amp;"",계정매핑!$A$5:$A$504,0))&amp;"","공통비"))</f>
        <v/>
      </c>
      <c r="AF902" s="64">
        <f>IF($A902="","",IF(AE902="직접",IFERROR(INDEX(계정매핑!$F$5:$F$504,MATCH($F902&amp;"",계정매핑!$A$5:$A$504,0))&amp;"","비귀속"),""))</f>
        <v/>
      </c>
      <c r="AG902" s="96">
        <f>IF($A902="",0,IF(AND(AE902&lt;&gt;"직접",IFERROR(INDEX(계정매핑!$G$5:$G$504,MATCH($F902&amp;"",계정매핑!$A$5:$A$504,0))&amp;"","")="유지비",COUNTIF(계정대체기준!$A$6:$A$15,$N902)&gt;0),IFERROR(INDEX(계정대체기준!$E$6:$E$15,MATCH(VALUE($A902&amp;""),계정대체기준!$D$6:$D$15,0)),0),0))</f>
        <v/>
      </c>
      <c r="AH902" s="64">
        <f>IF($A902="","",IF(AD902=0,"",IF(OR(COUNTIF(계정대체기준!$A$77:$A$86,$N902)&gt;0,ISNUMBER(MATCH($X902,계정대체기준!$D$77:$D$86,0)),ISNUMBER(MATCH($F902,계정대체기준!$D$77:$D$86,0))),"Y","N")))</f>
        <v/>
      </c>
    </row>
    <row r="903">
      <c r="A903" s="92" t="n">
        <v>2025</v>
      </c>
      <c r="B903" s="92" t="n">
        <v>4</v>
      </c>
      <c r="C903" s="92" t="inlineStr">
        <is>
          <t>5100000899</t>
        </is>
      </c>
      <c r="D903" s="95" t="n">
        <v>45772</v>
      </c>
      <c r="E903" s="92" t="inlineStr">
        <is>
          <t>KR</t>
        </is>
      </c>
      <c r="F903" s="92" t="n">
        <v>63501000</v>
      </c>
      <c r="G903" s="92" t="n">
        <v>1902</v>
      </c>
      <c r="H903" s="93" t="n">
        <v>291044000</v>
      </c>
      <c r="I903" s="92" t="inlineStr">
        <is>
          <t>4월 모집수수료 - BB에셋</t>
        </is>
      </c>
      <c r="J903" s="92" t="inlineStr">
        <is>
          <t>V10013</t>
        </is>
      </c>
      <c r="K903" s="92" t="inlineStr">
        <is>
          <t>BB에셋</t>
        </is>
      </c>
      <c r="M903" s="9">
        <f>IF($A903="","",VALUE($A903&amp;"")*12+VALUE($B903&amp;""))</f>
        <v/>
      </c>
      <c r="N903" s="64">
        <f>IF($A903="","",IFERROR(INDEX(부서매핑!$C$5:$C$504,MATCH($G903&amp;"",부서매핑!$A$5:$A$504,0)),"미매핑"))</f>
        <v/>
      </c>
      <c r="O903" s="9">
        <f>IF($A903="","",N903&amp;"|"&amp;$F903)</f>
        <v/>
      </c>
      <c r="P903" s="94">
        <f>IF($A903="",0,$H903*설정!$C$23)</f>
        <v/>
      </c>
      <c r="Q903" s="64">
        <f>IF($A903="","",IF(O903&lt;&gt;원인분석!$C$9,"",IF(AND(M903&gt;=원인분석!$C$10,M903&lt;=원인분석!$C$11),"당기",IF(AND(M903&gt;=원인분석!$C$12,M903&lt;=원인분석!$C$13),"비교",""))))</f>
        <v/>
      </c>
      <c r="R903" s="9">
        <f>IF(Q903="","",$K903&amp;"")</f>
        <v/>
      </c>
      <c r="S903" s="9">
        <f>IF(Q903="","",IF(MATCH(R903,$R$5:$R$100000,0)=ROW()-4,ROW(),""))</f>
        <v/>
      </c>
      <c r="T903" s="9">
        <f>IF(Q903="당기",ABS(P903)+ROW()/1000000000,"")</f>
        <v/>
      </c>
      <c r="U903" s="9">
        <f>IF(Q903="비교",ABS(P903)+ROW()/1000000000,"")</f>
        <v/>
      </c>
      <c r="V903" s="64">
        <f>IF($A903="","",IF(COUNTIF(변동분석!$E$7:$E$506,O903)&gt;0,"Y","N"))</f>
        <v/>
      </c>
      <c r="W903" s="64">
        <f>IF($A903="","",IFERROR(INDEX(계정매핑!$D$5:$D$504,MATCH($F903&amp;"",계정매핑!$A$5:$A$504,0)),"미매핑"))</f>
        <v/>
      </c>
      <c r="X903" s="9">
        <f>IF($A903="","",$F903&amp;"")</f>
        <v/>
      </c>
      <c r="Y903" s="94">
        <f>IF($A903="",0,IF(AE903="직접",IF(AF903="비귀속",$P903,0),$P903*(1-AG903)*IFERROR(INDEX(계정대체기준!$F$20:$F$49,MATCH($N903,계정대체기준!$A$20:$A$49,0)),1)))</f>
        <v/>
      </c>
      <c r="Z903" s="94">
        <f>IF($A903="",0,IF(AE903="직접",IF(AF903="신계약비",$P903,0),$P903*(1-AG903)*IFERROR(INDEX(계정대체기준!$C$20:$C$49,MATCH($N903,계정대체기준!$A$20:$A$49,0)),0)))</f>
        <v/>
      </c>
      <c r="AA903" s="94">
        <f>IF($A903="",0,IF(AE903="직접",IF(OR(AF903="유지비",AF903="손해조사비"),$P903,0),$P903*(1-AG903)*IFERROR(INDEX(계정대체기준!$D$20:$D$49,MATCH($N903,계정대체기준!$A$20:$A$49,0)),0)))</f>
        <v/>
      </c>
      <c r="AB903" s="94">
        <f>IF($A903="",0,IF(AE903="직접",IF(AF903="수금비",$P903,0),$P903*(1-AG903)*IFERROR(INDEX(계정대체기준!$E$20:$E$49,MATCH($N903,계정대체기준!$A$20:$A$49,0)),0)))</f>
        <v/>
      </c>
      <c r="AC903" s="9">
        <f>IF(AND($A903&lt;&gt;"",M903=설정!$C$20,Z903&gt;0),Z903+ROW()/1000000000,"")</f>
        <v/>
      </c>
      <c r="AD903" s="94">
        <f>IF($A903="",0,$P903*AG903)</f>
        <v/>
      </c>
      <c r="AE903" s="64">
        <f>IF($A903="","",IFERROR(INDEX(계정매핑!$E$5:$E$504,MATCH($F903&amp;"",계정매핑!$A$5:$A$504,0))&amp;"","공통비"))</f>
        <v/>
      </c>
      <c r="AF903" s="64">
        <f>IF($A903="","",IF(AE903="직접",IFERROR(INDEX(계정매핑!$F$5:$F$504,MATCH($F903&amp;"",계정매핑!$A$5:$A$504,0))&amp;"","비귀속"),""))</f>
        <v/>
      </c>
      <c r="AG903" s="96">
        <f>IF($A903="",0,IF(AND(AE903&lt;&gt;"직접",IFERROR(INDEX(계정매핑!$G$5:$G$504,MATCH($F903&amp;"",계정매핑!$A$5:$A$504,0))&amp;"","")="유지비",COUNTIF(계정대체기준!$A$6:$A$15,$N903)&gt;0),IFERROR(INDEX(계정대체기준!$E$6:$E$15,MATCH(VALUE($A903&amp;""),계정대체기준!$D$6:$D$15,0)),0),0))</f>
        <v/>
      </c>
      <c r="AH903" s="64">
        <f>IF($A903="","",IF(AD903=0,"",IF(OR(COUNTIF(계정대체기준!$A$77:$A$86,$N903)&gt;0,ISNUMBER(MATCH($X903,계정대체기준!$D$77:$D$86,0)),ISNUMBER(MATCH($F903,계정대체기준!$D$77:$D$86,0))),"Y","N")))</f>
        <v/>
      </c>
    </row>
    <row r="904">
      <c r="A904" s="92" t="n">
        <v>2025</v>
      </c>
      <c r="B904" s="92" t="n">
        <v>4</v>
      </c>
      <c r="C904" s="92" t="inlineStr">
        <is>
          <t>5100000900</t>
        </is>
      </c>
      <c r="D904" s="95" t="n">
        <v>45772</v>
      </c>
      <c r="E904" s="92" t="inlineStr">
        <is>
          <t>KR</t>
        </is>
      </c>
      <c r="F904" s="92" t="n">
        <v>63601000</v>
      </c>
      <c r="G904" s="92" t="n">
        <v>1801</v>
      </c>
      <c r="H904" s="93" t="n">
        <v>17127000</v>
      </c>
      <c r="I904" s="92" t="inlineStr">
        <is>
          <t>4월 손해사정 수수료 - EE손해사정</t>
        </is>
      </c>
      <c r="J904" s="92" t="inlineStr">
        <is>
          <t>V10008</t>
        </is>
      </c>
      <c r="K904" s="92" t="inlineStr">
        <is>
          <t>EE손해사정</t>
        </is>
      </c>
      <c r="M904" s="9">
        <f>IF($A904="","",VALUE($A904&amp;"")*12+VALUE($B904&amp;""))</f>
        <v/>
      </c>
      <c r="N904" s="64">
        <f>IF($A904="","",IFERROR(INDEX(부서매핑!$C$5:$C$504,MATCH($G904&amp;"",부서매핑!$A$5:$A$504,0)),"미매핑"))</f>
        <v/>
      </c>
      <c r="O904" s="9">
        <f>IF($A904="","",N904&amp;"|"&amp;$F904)</f>
        <v/>
      </c>
      <c r="P904" s="94">
        <f>IF($A904="",0,$H904*설정!$C$23)</f>
        <v/>
      </c>
      <c r="Q904" s="64">
        <f>IF($A904="","",IF(O904&lt;&gt;원인분석!$C$9,"",IF(AND(M904&gt;=원인분석!$C$10,M904&lt;=원인분석!$C$11),"당기",IF(AND(M904&gt;=원인분석!$C$12,M904&lt;=원인분석!$C$13),"비교",""))))</f>
        <v/>
      </c>
      <c r="R904" s="9">
        <f>IF(Q904="","",$K904&amp;"")</f>
        <v/>
      </c>
      <c r="S904" s="9">
        <f>IF(Q904="","",IF(MATCH(R904,$R$5:$R$100000,0)=ROW()-4,ROW(),""))</f>
        <v/>
      </c>
      <c r="T904" s="9">
        <f>IF(Q904="당기",ABS(P904)+ROW()/1000000000,"")</f>
        <v/>
      </c>
      <c r="U904" s="9">
        <f>IF(Q904="비교",ABS(P904)+ROW()/1000000000,"")</f>
        <v/>
      </c>
      <c r="V904" s="64">
        <f>IF($A904="","",IF(COUNTIF(변동분석!$E$7:$E$506,O904)&gt;0,"Y","N"))</f>
        <v/>
      </c>
      <c r="W904" s="64">
        <f>IF($A904="","",IFERROR(INDEX(계정매핑!$D$5:$D$504,MATCH($F904&amp;"",계정매핑!$A$5:$A$504,0)),"미매핑"))</f>
        <v/>
      </c>
      <c r="X904" s="9">
        <f>IF($A904="","",$F904&amp;"")</f>
        <v/>
      </c>
      <c r="Y904" s="94">
        <f>IF($A904="",0,IF(AE904="직접",IF(AF904="비귀속",$P904,0),$P904*(1-AG904)*IFERROR(INDEX(계정대체기준!$F$20:$F$49,MATCH($N904,계정대체기준!$A$20:$A$49,0)),1)))</f>
        <v/>
      </c>
      <c r="Z904" s="94">
        <f>IF($A904="",0,IF(AE904="직접",IF(AF904="신계약비",$P904,0),$P904*(1-AG904)*IFERROR(INDEX(계정대체기준!$C$20:$C$49,MATCH($N904,계정대체기준!$A$20:$A$49,0)),0)))</f>
        <v/>
      </c>
      <c r="AA904" s="94">
        <f>IF($A904="",0,IF(AE904="직접",IF(OR(AF904="유지비",AF904="손해조사비"),$P904,0),$P904*(1-AG904)*IFERROR(INDEX(계정대체기준!$D$20:$D$49,MATCH($N904,계정대체기준!$A$20:$A$49,0)),0)))</f>
        <v/>
      </c>
      <c r="AB904" s="94">
        <f>IF($A904="",0,IF(AE904="직접",IF(AF904="수금비",$P904,0),$P904*(1-AG904)*IFERROR(INDEX(계정대체기준!$E$20:$E$49,MATCH($N904,계정대체기준!$A$20:$A$49,0)),0)))</f>
        <v/>
      </c>
      <c r="AC904" s="9">
        <f>IF(AND($A904&lt;&gt;"",M904=설정!$C$20,Z904&gt;0),Z904+ROW()/1000000000,"")</f>
        <v/>
      </c>
      <c r="AD904" s="94">
        <f>IF($A904="",0,$P904*AG904)</f>
        <v/>
      </c>
      <c r="AE904" s="64">
        <f>IF($A904="","",IFERROR(INDEX(계정매핑!$E$5:$E$504,MATCH($F904&amp;"",계정매핑!$A$5:$A$504,0))&amp;"","공통비"))</f>
        <v/>
      </c>
      <c r="AF904" s="64">
        <f>IF($A904="","",IF(AE904="직접",IFERROR(INDEX(계정매핑!$F$5:$F$504,MATCH($F904&amp;"",계정매핑!$A$5:$A$504,0))&amp;"","비귀속"),""))</f>
        <v/>
      </c>
      <c r="AG904" s="96">
        <f>IF($A904="",0,IF(AND(AE904&lt;&gt;"직접",IFERROR(INDEX(계정매핑!$G$5:$G$504,MATCH($F904&amp;"",계정매핑!$A$5:$A$504,0))&amp;"","")="유지비",COUNTIF(계정대체기준!$A$6:$A$15,$N904)&gt;0),IFERROR(INDEX(계정대체기준!$E$6:$E$15,MATCH(VALUE($A904&amp;""),계정대체기준!$D$6:$D$15,0)),0),0))</f>
        <v/>
      </c>
      <c r="AH904" s="64">
        <f>IF($A904="","",IF(AD904=0,"",IF(OR(COUNTIF(계정대체기준!$A$77:$A$86,$N904)&gt;0,ISNUMBER(MATCH($X904,계정대체기준!$D$77:$D$86,0)),ISNUMBER(MATCH($F904,계정대체기준!$D$77:$D$86,0))),"Y","N")))</f>
        <v/>
      </c>
    </row>
    <row r="905">
      <c r="A905" s="92" t="n">
        <v>2025</v>
      </c>
      <c r="B905" s="92" t="n">
        <v>4</v>
      </c>
      <c r="C905" s="92" t="inlineStr">
        <is>
          <t>5100000901</t>
        </is>
      </c>
      <c r="D905" s="95" t="n">
        <v>45773</v>
      </c>
      <c r="E905" s="92" t="inlineStr">
        <is>
          <t>KR</t>
        </is>
      </c>
      <c r="F905" s="92" t="n">
        <v>62201000</v>
      </c>
      <c r="G905" s="92" t="n">
        <v>1201</v>
      </c>
      <c r="H905" s="93" t="n">
        <v>156000</v>
      </c>
      <c r="I905" s="92" t="inlineStr">
        <is>
          <t>4월 통신요금 - O텔레콤</t>
        </is>
      </c>
      <c r="J905" s="92" t="inlineStr">
        <is>
          <t>V10002</t>
        </is>
      </c>
      <c r="K905" s="92" t="inlineStr">
        <is>
          <t>O텔레콤</t>
        </is>
      </c>
      <c r="M905" s="9">
        <f>IF($A905="","",VALUE($A905&amp;"")*12+VALUE($B905&amp;""))</f>
        <v/>
      </c>
      <c r="N905" s="64">
        <f>IF($A905="","",IFERROR(INDEX(부서매핑!$C$5:$C$504,MATCH($G905&amp;"",부서매핑!$A$5:$A$504,0)),"미매핑"))</f>
        <v/>
      </c>
      <c r="O905" s="9">
        <f>IF($A905="","",N905&amp;"|"&amp;$F905)</f>
        <v/>
      </c>
      <c r="P905" s="94">
        <f>IF($A905="",0,$H905*설정!$C$23)</f>
        <v/>
      </c>
      <c r="Q905" s="64">
        <f>IF($A905="","",IF(O905&lt;&gt;원인분석!$C$9,"",IF(AND(M905&gt;=원인분석!$C$10,M905&lt;=원인분석!$C$11),"당기",IF(AND(M905&gt;=원인분석!$C$12,M905&lt;=원인분석!$C$13),"비교",""))))</f>
        <v/>
      </c>
      <c r="R905" s="9">
        <f>IF(Q905="","",$K905&amp;"")</f>
        <v/>
      </c>
      <c r="S905" s="9">
        <f>IF(Q905="","",IF(MATCH(R905,$R$5:$R$100000,0)=ROW()-4,ROW(),""))</f>
        <v/>
      </c>
      <c r="T905" s="9">
        <f>IF(Q905="당기",ABS(P905)+ROW()/1000000000,"")</f>
        <v/>
      </c>
      <c r="U905" s="9">
        <f>IF(Q905="비교",ABS(P905)+ROW()/1000000000,"")</f>
        <v/>
      </c>
      <c r="V905" s="64">
        <f>IF($A905="","",IF(COUNTIF(변동분석!$E$7:$E$506,O905)&gt;0,"Y","N"))</f>
        <v/>
      </c>
      <c r="W905" s="64">
        <f>IF($A905="","",IFERROR(INDEX(계정매핑!$D$5:$D$504,MATCH($F905&amp;"",계정매핑!$A$5:$A$504,0)),"미매핑"))</f>
        <v/>
      </c>
      <c r="X905" s="9">
        <f>IF($A905="","",$F905&amp;"")</f>
        <v/>
      </c>
      <c r="Y905" s="94">
        <f>IF($A905="",0,IF(AE905="직접",IF(AF905="비귀속",$P905,0),$P905*(1-AG905)*IFERROR(INDEX(계정대체기준!$F$20:$F$49,MATCH($N905,계정대체기준!$A$20:$A$49,0)),1)))</f>
        <v/>
      </c>
      <c r="Z905" s="94">
        <f>IF($A905="",0,IF(AE905="직접",IF(AF905="신계약비",$P905,0),$P905*(1-AG905)*IFERROR(INDEX(계정대체기준!$C$20:$C$49,MATCH($N905,계정대체기준!$A$20:$A$49,0)),0)))</f>
        <v/>
      </c>
      <c r="AA905" s="94">
        <f>IF($A905="",0,IF(AE905="직접",IF(OR(AF905="유지비",AF905="손해조사비"),$P905,0),$P905*(1-AG905)*IFERROR(INDEX(계정대체기준!$D$20:$D$49,MATCH($N905,계정대체기준!$A$20:$A$49,0)),0)))</f>
        <v/>
      </c>
      <c r="AB905" s="94">
        <f>IF($A905="",0,IF(AE905="직접",IF(AF905="수금비",$P905,0),$P905*(1-AG905)*IFERROR(INDEX(계정대체기준!$E$20:$E$49,MATCH($N905,계정대체기준!$A$20:$A$49,0)),0)))</f>
        <v/>
      </c>
      <c r="AC905" s="9">
        <f>IF(AND($A905&lt;&gt;"",M905=설정!$C$20,Z905&gt;0),Z905+ROW()/1000000000,"")</f>
        <v/>
      </c>
      <c r="AD905" s="94">
        <f>IF($A905="",0,$P905*AG905)</f>
        <v/>
      </c>
      <c r="AE905" s="64">
        <f>IF($A905="","",IFERROR(INDEX(계정매핑!$E$5:$E$504,MATCH($F905&amp;"",계정매핑!$A$5:$A$504,0))&amp;"","공통비"))</f>
        <v/>
      </c>
      <c r="AF905" s="64">
        <f>IF($A905="","",IF(AE905="직접",IFERROR(INDEX(계정매핑!$F$5:$F$504,MATCH($F905&amp;"",계정매핑!$A$5:$A$504,0))&amp;"","비귀속"),""))</f>
        <v/>
      </c>
      <c r="AG905" s="96">
        <f>IF($A905="",0,IF(AND(AE905&lt;&gt;"직접",IFERROR(INDEX(계정매핑!$G$5:$G$504,MATCH($F905&amp;"",계정매핑!$A$5:$A$504,0))&amp;"","")="유지비",COUNTIF(계정대체기준!$A$6:$A$15,$N905)&gt;0),IFERROR(INDEX(계정대체기준!$E$6:$E$15,MATCH(VALUE($A905&amp;""),계정대체기준!$D$6:$D$15,0)),0),0))</f>
        <v/>
      </c>
      <c r="AH905" s="64">
        <f>IF($A905="","",IF(AD905=0,"",IF(OR(COUNTIF(계정대체기준!$A$77:$A$86,$N905)&gt;0,ISNUMBER(MATCH($X905,계정대체기준!$D$77:$D$86,0)),ISNUMBER(MATCH($F905,계정대체기준!$D$77:$D$86,0))),"Y","N")))</f>
        <v/>
      </c>
    </row>
    <row r="906">
      <c r="A906" s="92" t="n">
        <v>2025</v>
      </c>
      <c r="B906" s="92" t="n">
        <v>4</v>
      </c>
      <c r="C906" s="92" t="inlineStr">
        <is>
          <t>5100000902</t>
        </is>
      </c>
      <c r="D906" s="95" t="n">
        <v>45773</v>
      </c>
      <c r="E906" s="92" t="inlineStr">
        <is>
          <t>KR</t>
        </is>
      </c>
      <c r="F906" s="92" t="n">
        <v>62201000</v>
      </c>
      <c r="G906" s="92" t="n">
        <v>1301</v>
      </c>
      <c r="H906" s="93" t="n">
        <v>172000</v>
      </c>
      <c r="I906" s="92" t="inlineStr">
        <is>
          <t>4월 통신요금 - P통신</t>
        </is>
      </c>
      <c r="J906" s="92" t="inlineStr">
        <is>
          <t>V10014</t>
        </is>
      </c>
      <c r="K906" s="92" t="inlineStr">
        <is>
          <t>P통신</t>
        </is>
      </c>
      <c r="M906" s="9">
        <f>IF($A906="","",VALUE($A906&amp;"")*12+VALUE($B906&amp;""))</f>
        <v/>
      </c>
      <c r="N906" s="64">
        <f>IF($A906="","",IFERROR(INDEX(부서매핑!$C$5:$C$504,MATCH($G906&amp;"",부서매핑!$A$5:$A$504,0)),"미매핑"))</f>
        <v/>
      </c>
      <c r="O906" s="9">
        <f>IF($A906="","",N906&amp;"|"&amp;$F906)</f>
        <v/>
      </c>
      <c r="P906" s="94">
        <f>IF($A906="",0,$H906*설정!$C$23)</f>
        <v/>
      </c>
      <c r="Q906" s="64">
        <f>IF($A906="","",IF(O906&lt;&gt;원인분석!$C$9,"",IF(AND(M906&gt;=원인분석!$C$10,M906&lt;=원인분석!$C$11),"당기",IF(AND(M906&gt;=원인분석!$C$12,M906&lt;=원인분석!$C$13),"비교",""))))</f>
        <v/>
      </c>
      <c r="R906" s="9">
        <f>IF(Q906="","",$K906&amp;"")</f>
        <v/>
      </c>
      <c r="S906" s="9">
        <f>IF(Q906="","",IF(MATCH(R906,$R$5:$R$100000,0)=ROW()-4,ROW(),""))</f>
        <v/>
      </c>
      <c r="T906" s="9">
        <f>IF(Q906="당기",ABS(P906)+ROW()/1000000000,"")</f>
        <v/>
      </c>
      <c r="U906" s="9">
        <f>IF(Q906="비교",ABS(P906)+ROW()/1000000000,"")</f>
        <v/>
      </c>
      <c r="V906" s="64">
        <f>IF($A906="","",IF(COUNTIF(변동분석!$E$7:$E$506,O906)&gt;0,"Y","N"))</f>
        <v/>
      </c>
      <c r="W906" s="64">
        <f>IF($A906="","",IFERROR(INDEX(계정매핑!$D$5:$D$504,MATCH($F906&amp;"",계정매핑!$A$5:$A$504,0)),"미매핑"))</f>
        <v/>
      </c>
      <c r="X906" s="9">
        <f>IF($A906="","",$F906&amp;"")</f>
        <v/>
      </c>
      <c r="Y906" s="94">
        <f>IF($A906="",0,IF(AE906="직접",IF(AF906="비귀속",$P906,0),$P906*(1-AG906)*IFERROR(INDEX(계정대체기준!$F$20:$F$49,MATCH($N906,계정대체기준!$A$20:$A$49,0)),1)))</f>
        <v/>
      </c>
      <c r="Z906" s="94">
        <f>IF($A906="",0,IF(AE906="직접",IF(AF906="신계약비",$P906,0),$P906*(1-AG906)*IFERROR(INDEX(계정대체기준!$C$20:$C$49,MATCH($N906,계정대체기준!$A$20:$A$49,0)),0)))</f>
        <v/>
      </c>
      <c r="AA906" s="94">
        <f>IF($A906="",0,IF(AE906="직접",IF(OR(AF906="유지비",AF906="손해조사비"),$P906,0),$P906*(1-AG906)*IFERROR(INDEX(계정대체기준!$D$20:$D$49,MATCH($N906,계정대체기준!$A$20:$A$49,0)),0)))</f>
        <v/>
      </c>
      <c r="AB906" s="94">
        <f>IF($A906="",0,IF(AE906="직접",IF(AF906="수금비",$P906,0),$P906*(1-AG906)*IFERROR(INDEX(계정대체기준!$E$20:$E$49,MATCH($N906,계정대체기준!$A$20:$A$49,0)),0)))</f>
        <v/>
      </c>
      <c r="AC906" s="9">
        <f>IF(AND($A906&lt;&gt;"",M906=설정!$C$20,Z906&gt;0),Z906+ROW()/1000000000,"")</f>
        <v/>
      </c>
      <c r="AD906" s="94">
        <f>IF($A906="",0,$P906*AG906)</f>
        <v/>
      </c>
      <c r="AE906" s="64">
        <f>IF($A906="","",IFERROR(INDEX(계정매핑!$E$5:$E$504,MATCH($F906&amp;"",계정매핑!$A$5:$A$504,0))&amp;"","공통비"))</f>
        <v/>
      </c>
      <c r="AF906" s="64">
        <f>IF($A906="","",IF(AE906="직접",IFERROR(INDEX(계정매핑!$F$5:$F$504,MATCH($F906&amp;"",계정매핑!$A$5:$A$504,0))&amp;"","비귀속"),""))</f>
        <v/>
      </c>
      <c r="AG906" s="96">
        <f>IF($A906="",0,IF(AND(AE906&lt;&gt;"직접",IFERROR(INDEX(계정매핑!$G$5:$G$504,MATCH($F906&amp;"",계정매핑!$A$5:$A$504,0))&amp;"","")="유지비",COUNTIF(계정대체기준!$A$6:$A$15,$N906)&gt;0),IFERROR(INDEX(계정대체기준!$E$6:$E$15,MATCH(VALUE($A906&amp;""),계정대체기준!$D$6:$D$15,0)),0),0))</f>
        <v/>
      </c>
      <c r="AH906" s="64">
        <f>IF($A906="","",IF(AD906=0,"",IF(OR(COUNTIF(계정대체기준!$A$77:$A$86,$N906)&gt;0,ISNUMBER(MATCH($X906,계정대체기준!$D$77:$D$86,0)),ISNUMBER(MATCH($F906,계정대체기준!$D$77:$D$86,0))),"Y","N")))</f>
        <v/>
      </c>
    </row>
    <row r="907">
      <c r="A907" s="92" t="n">
        <v>2025</v>
      </c>
      <c r="B907" s="92" t="n">
        <v>4</v>
      </c>
      <c r="C907" s="92" t="inlineStr">
        <is>
          <t>5100000903</t>
        </is>
      </c>
      <c r="D907" s="95" t="n">
        <v>45773</v>
      </c>
      <c r="E907" s="92" t="inlineStr">
        <is>
          <t>KR</t>
        </is>
      </c>
      <c r="F907" s="92" t="n">
        <v>62301000</v>
      </c>
      <c r="G907" s="92" t="n">
        <v>1201</v>
      </c>
      <c r="H907" s="93" t="n">
        <v>161000</v>
      </c>
      <c r="I907" s="92" t="inlineStr">
        <is>
          <t>4월 소모품 구입 - Q오피스</t>
        </is>
      </c>
      <c r="J907" s="92" t="inlineStr">
        <is>
          <t>V10003</t>
        </is>
      </c>
      <c r="K907" s="92" t="inlineStr">
        <is>
          <t>Q오피스</t>
        </is>
      </c>
      <c r="M907" s="9">
        <f>IF($A907="","",VALUE($A907&amp;"")*12+VALUE($B907&amp;""))</f>
        <v/>
      </c>
      <c r="N907" s="64">
        <f>IF($A907="","",IFERROR(INDEX(부서매핑!$C$5:$C$504,MATCH($G907&amp;"",부서매핑!$A$5:$A$504,0)),"미매핑"))</f>
        <v/>
      </c>
      <c r="O907" s="9">
        <f>IF($A907="","",N907&amp;"|"&amp;$F907)</f>
        <v/>
      </c>
      <c r="P907" s="94">
        <f>IF($A907="",0,$H907*설정!$C$23)</f>
        <v/>
      </c>
      <c r="Q907" s="64">
        <f>IF($A907="","",IF(O907&lt;&gt;원인분석!$C$9,"",IF(AND(M907&gt;=원인분석!$C$10,M907&lt;=원인분석!$C$11),"당기",IF(AND(M907&gt;=원인분석!$C$12,M907&lt;=원인분석!$C$13),"비교",""))))</f>
        <v/>
      </c>
      <c r="R907" s="9">
        <f>IF(Q907="","",$K907&amp;"")</f>
        <v/>
      </c>
      <c r="S907" s="9">
        <f>IF(Q907="","",IF(MATCH(R907,$R$5:$R$100000,0)=ROW()-4,ROW(),""))</f>
        <v/>
      </c>
      <c r="T907" s="9">
        <f>IF(Q907="당기",ABS(P907)+ROW()/1000000000,"")</f>
        <v/>
      </c>
      <c r="U907" s="9">
        <f>IF(Q907="비교",ABS(P907)+ROW()/1000000000,"")</f>
        <v/>
      </c>
      <c r="V907" s="64">
        <f>IF($A907="","",IF(COUNTIF(변동분석!$E$7:$E$506,O907)&gt;0,"Y","N"))</f>
        <v/>
      </c>
      <c r="W907" s="64">
        <f>IF($A907="","",IFERROR(INDEX(계정매핑!$D$5:$D$504,MATCH($F907&amp;"",계정매핑!$A$5:$A$504,0)),"미매핑"))</f>
        <v/>
      </c>
      <c r="X907" s="9">
        <f>IF($A907="","",$F907&amp;"")</f>
        <v/>
      </c>
      <c r="Y907" s="94">
        <f>IF($A907="",0,IF(AE907="직접",IF(AF907="비귀속",$P907,0),$P907*(1-AG907)*IFERROR(INDEX(계정대체기준!$F$20:$F$49,MATCH($N907,계정대체기준!$A$20:$A$49,0)),1)))</f>
        <v/>
      </c>
      <c r="Z907" s="94">
        <f>IF($A907="",0,IF(AE907="직접",IF(AF907="신계약비",$P907,0),$P907*(1-AG907)*IFERROR(INDEX(계정대체기준!$C$20:$C$49,MATCH($N907,계정대체기준!$A$20:$A$49,0)),0)))</f>
        <v/>
      </c>
      <c r="AA907" s="94">
        <f>IF($A907="",0,IF(AE907="직접",IF(OR(AF907="유지비",AF907="손해조사비"),$P907,0),$P907*(1-AG907)*IFERROR(INDEX(계정대체기준!$D$20:$D$49,MATCH($N907,계정대체기준!$A$20:$A$49,0)),0)))</f>
        <v/>
      </c>
      <c r="AB907" s="94">
        <f>IF($A907="",0,IF(AE907="직접",IF(AF907="수금비",$P907,0),$P907*(1-AG907)*IFERROR(INDEX(계정대체기준!$E$20:$E$49,MATCH($N907,계정대체기준!$A$20:$A$49,0)),0)))</f>
        <v/>
      </c>
      <c r="AC907" s="9">
        <f>IF(AND($A907&lt;&gt;"",M907=설정!$C$20,Z907&gt;0),Z907+ROW()/1000000000,"")</f>
        <v/>
      </c>
      <c r="AD907" s="94">
        <f>IF($A907="",0,$P907*AG907)</f>
        <v/>
      </c>
      <c r="AE907" s="64">
        <f>IF($A907="","",IFERROR(INDEX(계정매핑!$E$5:$E$504,MATCH($F907&amp;"",계정매핑!$A$5:$A$504,0))&amp;"","공통비"))</f>
        <v/>
      </c>
      <c r="AF907" s="64">
        <f>IF($A907="","",IF(AE907="직접",IFERROR(INDEX(계정매핑!$F$5:$F$504,MATCH($F907&amp;"",계정매핑!$A$5:$A$504,0))&amp;"","비귀속"),""))</f>
        <v/>
      </c>
      <c r="AG907" s="96">
        <f>IF($A907="",0,IF(AND(AE907&lt;&gt;"직접",IFERROR(INDEX(계정매핑!$G$5:$G$504,MATCH($F907&amp;"",계정매핑!$A$5:$A$504,0))&amp;"","")="유지비",COUNTIF(계정대체기준!$A$6:$A$15,$N907)&gt;0),IFERROR(INDEX(계정대체기준!$E$6:$E$15,MATCH(VALUE($A907&amp;""),계정대체기준!$D$6:$D$15,0)),0),0))</f>
        <v/>
      </c>
      <c r="AH907" s="64">
        <f>IF($A907="","",IF(AD907=0,"",IF(OR(COUNTIF(계정대체기준!$A$77:$A$86,$N907)&gt;0,ISNUMBER(MATCH($X907,계정대체기준!$D$77:$D$86,0)),ISNUMBER(MATCH($F907,계정대체기준!$D$77:$D$86,0))),"Y","N")))</f>
        <v/>
      </c>
    </row>
    <row r="908">
      <c r="A908" s="92" t="n">
        <v>2025</v>
      </c>
      <c r="B908" s="92" t="n">
        <v>4</v>
      </c>
      <c r="C908" s="92" t="inlineStr">
        <is>
          <t>5100000904</t>
        </is>
      </c>
      <c r="D908" s="95" t="n">
        <v>45773</v>
      </c>
      <c r="E908" s="92" t="inlineStr">
        <is>
          <t>KR</t>
        </is>
      </c>
      <c r="F908" s="92" t="n">
        <v>62401000</v>
      </c>
      <c r="G908" s="92" t="n">
        <v>1801</v>
      </c>
      <c r="H908" s="93" t="n">
        <v>2460000</v>
      </c>
      <c r="I908" s="92" t="inlineStr">
        <is>
          <t>4월 인쇄물 제작 - G인쇄</t>
        </is>
      </c>
      <c r="J908" s="92" t="inlineStr">
        <is>
          <t>V10004</t>
        </is>
      </c>
      <c r="K908" s="92" t="inlineStr">
        <is>
          <t>G인쇄</t>
        </is>
      </c>
      <c r="M908" s="9">
        <f>IF($A908="","",VALUE($A908&amp;"")*12+VALUE($B908&amp;""))</f>
        <v/>
      </c>
      <c r="N908" s="64">
        <f>IF($A908="","",IFERROR(INDEX(부서매핑!$C$5:$C$504,MATCH($G908&amp;"",부서매핑!$A$5:$A$504,0)),"미매핑"))</f>
        <v/>
      </c>
      <c r="O908" s="9">
        <f>IF($A908="","",N908&amp;"|"&amp;$F908)</f>
        <v/>
      </c>
      <c r="P908" s="94">
        <f>IF($A908="",0,$H908*설정!$C$23)</f>
        <v/>
      </c>
      <c r="Q908" s="64">
        <f>IF($A908="","",IF(O908&lt;&gt;원인분석!$C$9,"",IF(AND(M908&gt;=원인분석!$C$10,M908&lt;=원인분석!$C$11),"당기",IF(AND(M908&gt;=원인분석!$C$12,M908&lt;=원인분석!$C$13),"비교",""))))</f>
        <v/>
      </c>
      <c r="R908" s="9">
        <f>IF(Q908="","",$K908&amp;"")</f>
        <v/>
      </c>
      <c r="S908" s="9">
        <f>IF(Q908="","",IF(MATCH(R908,$R$5:$R$100000,0)=ROW()-4,ROW(),""))</f>
        <v/>
      </c>
      <c r="T908" s="9">
        <f>IF(Q908="당기",ABS(P908)+ROW()/1000000000,"")</f>
        <v/>
      </c>
      <c r="U908" s="9">
        <f>IF(Q908="비교",ABS(P908)+ROW()/1000000000,"")</f>
        <v/>
      </c>
      <c r="V908" s="64">
        <f>IF($A908="","",IF(COUNTIF(변동분석!$E$7:$E$506,O908)&gt;0,"Y","N"))</f>
        <v/>
      </c>
      <c r="W908" s="64">
        <f>IF($A908="","",IFERROR(INDEX(계정매핑!$D$5:$D$504,MATCH($F908&amp;"",계정매핑!$A$5:$A$504,0)),"미매핑"))</f>
        <v/>
      </c>
      <c r="X908" s="9">
        <f>IF($A908="","",$F908&amp;"")</f>
        <v/>
      </c>
      <c r="Y908" s="94">
        <f>IF($A908="",0,IF(AE908="직접",IF(AF908="비귀속",$P908,0),$P908*(1-AG908)*IFERROR(INDEX(계정대체기준!$F$20:$F$49,MATCH($N908,계정대체기준!$A$20:$A$49,0)),1)))</f>
        <v/>
      </c>
      <c r="Z908" s="94">
        <f>IF($A908="",0,IF(AE908="직접",IF(AF908="신계약비",$P908,0),$P908*(1-AG908)*IFERROR(INDEX(계정대체기준!$C$20:$C$49,MATCH($N908,계정대체기준!$A$20:$A$49,0)),0)))</f>
        <v/>
      </c>
      <c r="AA908" s="94">
        <f>IF($A908="",0,IF(AE908="직접",IF(OR(AF908="유지비",AF908="손해조사비"),$P908,0),$P908*(1-AG908)*IFERROR(INDEX(계정대체기준!$D$20:$D$49,MATCH($N908,계정대체기준!$A$20:$A$49,0)),0)))</f>
        <v/>
      </c>
      <c r="AB908" s="94">
        <f>IF($A908="",0,IF(AE908="직접",IF(AF908="수금비",$P908,0),$P908*(1-AG908)*IFERROR(INDEX(계정대체기준!$E$20:$E$49,MATCH($N908,계정대체기준!$A$20:$A$49,0)),0)))</f>
        <v/>
      </c>
      <c r="AC908" s="9">
        <f>IF(AND($A908&lt;&gt;"",M908=설정!$C$20,Z908&gt;0),Z908+ROW()/1000000000,"")</f>
        <v/>
      </c>
      <c r="AD908" s="94">
        <f>IF($A908="",0,$P908*AG908)</f>
        <v/>
      </c>
      <c r="AE908" s="64">
        <f>IF($A908="","",IFERROR(INDEX(계정매핑!$E$5:$E$504,MATCH($F908&amp;"",계정매핑!$A$5:$A$504,0))&amp;"","공통비"))</f>
        <v/>
      </c>
      <c r="AF908" s="64">
        <f>IF($A908="","",IF(AE908="직접",IFERROR(INDEX(계정매핑!$F$5:$F$504,MATCH($F908&amp;"",계정매핑!$A$5:$A$504,0))&amp;"","비귀속"),""))</f>
        <v/>
      </c>
      <c r="AG908" s="96">
        <f>IF($A908="",0,IF(AND(AE908&lt;&gt;"직접",IFERROR(INDEX(계정매핑!$G$5:$G$504,MATCH($F908&amp;"",계정매핑!$A$5:$A$504,0))&amp;"","")="유지비",COUNTIF(계정대체기준!$A$6:$A$15,$N908)&gt;0),IFERROR(INDEX(계정대체기준!$E$6:$E$15,MATCH(VALUE($A908&amp;""),계정대체기준!$D$6:$D$15,0)),0),0))</f>
        <v/>
      </c>
      <c r="AH908" s="64">
        <f>IF($A908="","",IF(AD908=0,"",IF(OR(COUNTIF(계정대체기준!$A$77:$A$86,$N908)&gt;0,ISNUMBER(MATCH($X908,계정대체기준!$D$77:$D$86,0)),ISNUMBER(MATCH($F908,계정대체기준!$D$77:$D$86,0))),"Y","N")))</f>
        <v/>
      </c>
    </row>
    <row r="909">
      <c r="A909" s="92" t="n">
        <v>2025</v>
      </c>
      <c r="B909" s="92" t="n">
        <v>4</v>
      </c>
      <c r="C909" s="92" t="inlineStr">
        <is>
          <t>5100000905</t>
        </is>
      </c>
      <c r="D909" s="95" t="n">
        <v>45773</v>
      </c>
      <c r="E909" s="92" t="inlineStr">
        <is>
          <t>KR</t>
        </is>
      </c>
      <c r="F909" s="92" t="n">
        <v>62501000</v>
      </c>
      <c r="G909" s="92" t="n">
        <v>1701</v>
      </c>
      <c r="H909" s="93" t="n">
        <v>200000</v>
      </c>
      <c r="I909" s="92" t="inlineStr">
        <is>
          <t>4월 회의 다과 - T케이터링</t>
        </is>
      </c>
      <c r="J909" s="92" t="inlineStr">
        <is>
          <t>V10005</t>
        </is>
      </c>
      <c r="K909" s="92" t="inlineStr">
        <is>
          <t>T케이터링</t>
        </is>
      </c>
      <c r="M909" s="9">
        <f>IF($A909="","",VALUE($A909&amp;"")*12+VALUE($B909&amp;""))</f>
        <v/>
      </c>
      <c r="N909" s="64">
        <f>IF($A909="","",IFERROR(INDEX(부서매핑!$C$5:$C$504,MATCH($G909&amp;"",부서매핑!$A$5:$A$504,0)),"미매핑"))</f>
        <v/>
      </c>
      <c r="O909" s="9">
        <f>IF($A909="","",N909&amp;"|"&amp;$F909)</f>
        <v/>
      </c>
      <c r="P909" s="94">
        <f>IF($A909="",0,$H909*설정!$C$23)</f>
        <v/>
      </c>
      <c r="Q909" s="64">
        <f>IF($A909="","",IF(O909&lt;&gt;원인분석!$C$9,"",IF(AND(M909&gt;=원인분석!$C$10,M909&lt;=원인분석!$C$11),"당기",IF(AND(M909&gt;=원인분석!$C$12,M909&lt;=원인분석!$C$13),"비교",""))))</f>
        <v/>
      </c>
      <c r="R909" s="9">
        <f>IF(Q909="","",$K909&amp;"")</f>
        <v/>
      </c>
      <c r="S909" s="9">
        <f>IF(Q909="","",IF(MATCH(R909,$R$5:$R$100000,0)=ROW()-4,ROW(),""))</f>
        <v/>
      </c>
      <c r="T909" s="9">
        <f>IF(Q909="당기",ABS(P909)+ROW()/1000000000,"")</f>
        <v/>
      </c>
      <c r="U909" s="9">
        <f>IF(Q909="비교",ABS(P909)+ROW()/1000000000,"")</f>
        <v/>
      </c>
      <c r="V909" s="64">
        <f>IF($A909="","",IF(COUNTIF(변동분석!$E$7:$E$506,O909)&gt;0,"Y","N"))</f>
        <v/>
      </c>
      <c r="W909" s="64">
        <f>IF($A909="","",IFERROR(INDEX(계정매핑!$D$5:$D$504,MATCH($F909&amp;"",계정매핑!$A$5:$A$504,0)),"미매핑"))</f>
        <v/>
      </c>
      <c r="X909" s="9">
        <f>IF($A909="","",$F909&amp;"")</f>
        <v/>
      </c>
      <c r="Y909" s="94">
        <f>IF($A909="",0,IF(AE909="직접",IF(AF909="비귀속",$P909,0),$P909*(1-AG909)*IFERROR(INDEX(계정대체기준!$F$20:$F$49,MATCH($N909,계정대체기준!$A$20:$A$49,0)),1)))</f>
        <v/>
      </c>
      <c r="Z909" s="94">
        <f>IF($A909="",0,IF(AE909="직접",IF(AF909="신계약비",$P909,0),$P909*(1-AG909)*IFERROR(INDEX(계정대체기준!$C$20:$C$49,MATCH($N909,계정대체기준!$A$20:$A$49,0)),0)))</f>
        <v/>
      </c>
      <c r="AA909" s="94">
        <f>IF($A909="",0,IF(AE909="직접",IF(OR(AF909="유지비",AF909="손해조사비"),$P909,0),$P909*(1-AG909)*IFERROR(INDEX(계정대체기준!$D$20:$D$49,MATCH($N909,계정대체기준!$A$20:$A$49,0)),0)))</f>
        <v/>
      </c>
      <c r="AB909" s="94">
        <f>IF($A909="",0,IF(AE909="직접",IF(AF909="수금비",$P909,0),$P909*(1-AG909)*IFERROR(INDEX(계정대체기준!$E$20:$E$49,MATCH($N909,계정대체기준!$A$20:$A$49,0)),0)))</f>
        <v/>
      </c>
      <c r="AC909" s="9">
        <f>IF(AND($A909&lt;&gt;"",M909=설정!$C$20,Z909&gt;0),Z909+ROW()/1000000000,"")</f>
        <v/>
      </c>
      <c r="AD909" s="94">
        <f>IF($A909="",0,$P909*AG909)</f>
        <v/>
      </c>
      <c r="AE909" s="64">
        <f>IF($A909="","",IFERROR(INDEX(계정매핑!$E$5:$E$504,MATCH($F909&amp;"",계정매핑!$A$5:$A$504,0))&amp;"","공통비"))</f>
        <v/>
      </c>
      <c r="AF909" s="64">
        <f>IF($A909="","",IF(AE909="직접",IFERROR(INDEX(계정매핑!$F$5:$F$504,MATCH($F909&amp;"",계정매핑!$A$5:$A$504,0))&amp;"","비귀속"),""))</f>
        <v/>
      </c>
      <c r="AG909" s="96">
        <f>IF($A909="",0,IF(AND(AE909&lt;&gt;"직접",IFERROR(INDEX(계정매핑!$G$5:$G$504,MATCH($F909&amp;"",계정매핑!$A$5:$A$504,0))&amp;"","")="유지비",COUNTIF(계정대체기준!$A$6:$A$15,$N909)&gt;0),IFERROR(INDEX(계정대체기준!$E$6:$E$15,MATCH(VALUE($A909&amp;""),계정대체기준!$D$6:$D$15,0)),0),0))</f>
        <v/>
      </c>
      <c r="AH909" s="64">
        <f>IF($A909="","",IF(AD909=0,"",IF(OR(COUNTIF(계정대체기준!$A$77:$A$86,$N909)&gt;0,ISNUMBER(MATCH($X909,계정대체기준!$D$77:$D$86,0)),ISNUMBER(MATCH($F909,계정대체기준!$D$77:$D$86,0))),"Y","N")))</f>
        <v/>
      </c>
    </row>
    <row r="910">
      <c r="A910" s="92" t="n">
        <v>2025</v>
      </c>
      <c r="B910" s="92" t="n">
        <v>4</v>
      </c>
      <c r="C910" s="92" t="inlineStr">
        <is>
          <t>5100000906</t>
        </is>
      </c>
      <c r="D910" s="95" t="n">
        <v>45773</v>
      </c>
      <c r="E910" s="92" t="inlineStr">
        <is>
          <t>KR</t>
        </is>
      </c>
      <c r="F910" s="92" t="n">
        <v>62902000</v>
      </c>
      <c r="G910" s="92" t="n">
        <v>1401</v>
      </c>
      <c r="H910" s="93" t="n">
        <v>3262000</v>
      </c>
      <c r="I910" s="92" t="inlineStr">
        <is>
          <t>4월 업무 위탁 수수료 - X서비스</t>
        </is>
      </c>
      <c r="J910" s="92" t="inlineStr">
        <is>
          <t>V10020</t>
        </is>
      </c>
      <c r="K910" s="92" t="inlineStr">
        <is>
          <t>X서비스</t>
        </is>
      </c>
      <c r="M910" s="9">
        <f>IF($A910="","",VALUE($A910&amp;"")*12+VALUE($B910&amp;""))</f>
        <v/>
      </c>
      <c r="N910" s="64">
        <f>IF($A910="","",IFERROR(INDEX(부서매핑!$C$5:$C$504,MATCH($G910&amp;"",부서매핑!$A$5:$A$504,0)),"미매핑"))</f>
        <v/>
      </c>
      <c r="O910" s="9">
        <f>IF($A910="","",N910&amp;"|"&amp;$F910)</f>
        <v/>
      </c>
      <c r="P910" s="94">
        <f>IF($A910="",0,$H910*설정!$C$23)</f>
        <v/>
      </c>
      <c r="Q910" s="64">
        <f>IF($A910="","",IF(O910&lt;&gt;원인분석!$C$9,"",IF(AND(M910&gt;=원인분석!$C$10,M910&lt;=원인분석!$C$11),"당기",IF(AND(M910&gt;=원인분석!$C$12,M910&lt;=원인분석!$C$13),"비교",""))))</f>
        <v/>
      </c>
      <c r="R910" s="9">
        <f>IF(Q910="","",$K910&amp;"")</f>
        <v/>
      </c>
      <c r="S910" s="9">
        <f>IF(Q910="","",IF(MATCH(R910,$R$5:$R$100000,0)=ROW()-4,ROW(),""))</f>
        <v/>
      </c>
      <c r="T910" s="9">
        <f>IF(Q910="당기",ABS(P910)+ROW()/1000000000,"")</f>
        <v/>
      </c>
      <c r="U910" s="9">
        <f>IF(Q910="비교",ABS(P910)+ROW()/1000000000,"")</f>
        <v/>
      </c>
      <c r="V910" s="64">
        <f>IF($A910="","",IF(COUNTIF(변동분석!$E$7:$E$506,O910)&gt;0,"Y","N"))</f>
        <v/>
      </c>
      <c r="W910" s="64">
        <f>IF($A910="","",IFERROR(INDEX(계정매핑!$D$5:$D$504,MATCH($F910&amp;"",계정매핑!$A$5:$A$504,0)),"미매핑"))</f>
        <v/>
      </c>
      <c r="X910" s="9">
        <f>IF($A910="","",$F910&amp;"")</f>
        <v/>
      </c>
      <c r="Y910" s="94">
        <f>IF($A910="",0,IF(AE910="직접",IF(AF910="비귀속",$P910,0),$P910*(1-AG910)*IFERROR(INDEX(계정대체기준!$F$20:$F$49,MATCH($N910,계정대체기준!$A$20:$A$49,0)),1)))</f>
        <v/>
      </c>
      <c r="Z910" s="94">
        <f>IF($A910="",0,IF(AE910="직접",IF(AF910="신계약비",$P910,0),$P910*(1-AG910)*IFERROR(INDEX(계정대체기준!$C$20:$C$49,MATCH($N910,계정대체기준!$A$20:$A$49,0)),0)))</f>
        <v/>
      </c>
      <c r="AA910" s="94">
        <f>IF($A910="",0,IF(AE910="직접",IF(OR(AF910="유지비",AF910="손해조사비"),$P910,0),$P910*(1-AG910)*IFERROR(INDEX(계정대체기준!$D$20:$D$49,MATCH($N910,계정대체기준!$A$20:$A$49,0)),0)))</f>
        <v/>
      </c>
      <c r="AB910" s="94">
        <f>IF($A910="",0,IF(AE910="직접",IF(AF910="수금비",$P910,0),$P910*(1-AG910)*IFERROR(INDEX(계정대체기준!$E$20:$E$49,MATCH($N910,계정대체기준!$A$20:$A$49,0)),0)))</f>
        <v/>
      </c>
      <c r="AC910" s="9">
        <f>IF(AND($A910&lt;&gt;"",M910=설정!$C$20,Z910&gt;0),Z910+ROW()/1000000000,"")</f>
        <v/>
      </c>
      <c r="AD910" s="94">
        <f>IF($A910="",0,$P910*AG910)</f>
        <v/>
      </c>
      <c r="AE910" s="64">
        <f>IF($A910="","",IFERROR(INDEX(계정매핑!$E$5:$E$504,MATCH($F910&amp;"",계정매핑!$A$5:$A$504,0))&amp;"","공통비"))</f>
        <v/>
      </c>
      <c r="AF910" s="64">
        <f>IF($A910="","",IF(AE910="직접",IFERROR(INDEX(계정매핑!$F$5:$F$504,MATCH($F910&amp;"",계정매핑!$A$5:$A$504,0))&amp;"","비귀속"),""))</f>
        <v/>
      </c>
      <c r="AG910" s="96">
        <f>IF($A910="",0,IF(AND(AE910&lt;&gt;"직접",IFERROR(INDEX(계정매핑!$G$5:$G$504,MATCH($F910&amp;"",계정매핑!$A$5:$A$504,0))&amp;"","")="유지비",COUNTIF(계정대체기준!$A$6:$A$15,$N910)&gt;0),IFERROR(INDEX(계정대체기준!$E$6:$E$15,MATCH(VALUE($A910&amp;""),계정대체기준!$D$6:$D$15,0)),0),0))</f>
        <v/>
      </c>
      <c r="AH910" s="64">
        <f>IF($A910="","",IF(AD910=0,"",IF(OR(COUNTIF(계정대체기준!$A$77:$A$86,$N910)&gt;0,ISNUMBER(MATCH($X910,계정대체기준!$D$77:$D$86,0)),ISNUMBER(MATCH($F910,계정대체기준!$D$77:$D$86,0))),"Y","N")))</f>
        <v/>
      </c>
    </row>
    <row r="911">
      <c r="A911" s="92" t="n">
        <v>2025</v>
      </c>
      <c r="B911" s="92" t="n">
        <v>4</v>
      </c>
      <c r="C911" s="92" t="inlineStr">
        <is>
          <t>5100000907</t>
        </is>
      </c>
      <c r="D911" s="95" t="n">
        <v>45774</v>
      </c>
      <c r="E911" s="92" t="inlineStr">
        <is>
          <t>KR</t>
        </is>
      </c>
      <c r="F911" s="92" t="n">
        <v>62101000</v>
      </c>
      <c r="G911" s="92" t="n">
        <v>1501</v>
      </c>
      <c r="H911" s="93" t="n">
        <v>502000</v>
      </c>
      <c r="I911" s="92" t="inlineStr">
        <is>
          <t>4월 국내출장 - (법인카드)</t>
        </is>
      </c>
      <c r="J911" s="92" t="inlineStr">
        <is>
          <t>V10010</t>
        </is>
      </c>
      <c r="K911" s="92" t="inlineStr">
        <is>
          <t>(법인카드)</t>
        </is>
      </c>
      <c r="M911" s="9">
        <f>IF($A911="","",VALUE($A911&amp;"")*12+VALUE($B911&amp;""))</f>
        <v/>
      </c>
      <c r="N911" s="64">
        <f>IF($A911="","",IFERROR(INDEX(부서매핑!$C$5:$C$504,MATCH($G911&amp;"",부서매핑!$A$5:$A$504,0)),"미매핑"))</f>
        <v/>
      </c>
      <c r="O911" s="9">
        <f>IF($A911="","",N911&amp;"|"&amp;$F911)</f>
        <v/>
      </c>
      <c r="P911" s="94">
        <f>IF($A911="",0,$H911*설정!$C$23)</f>
        <v/>
      </c>
      <c r="Q911" s="64">
        <f>IF($A911="","",IF(O911&lt;&gt;원인분석!$C$9,"",IF(AND(M911&gt;=원인분석!$C$10,M911&lt;=원인분석!$C$11),"당기",IF(AND(M911&gt;=원인분석!$C$12,M911&lt;=원인분석!$C$13),"비교",""))))</f>
        <v/>
      </c>
      <c r="R911" s="9">
        <f>IF(Q911="","",$K911&amp;"")</f>
        <v/>
      </c>
      <c r="S911" s="9">
        <f>IF(Q911="","",IF(MATCH(R911,$R$5:$R$100000,0)=ROW()-4,ROW(),""))</f>
        <v/>
      </c>
      <c r="T911" s="9">
        <f>IF(Q911="당기",ABS(P911)+ROW()/1000000000,"")</f>
        <v/>
      </c>
      <c r="U911" s="9">
        <f>IF(Q911="비교",ABS(P911)+ROW()/1000000000,"")</f>
        <v/>
      </c>
      <c r="V911" s="64">
        <f>IF($A911="","",IF(COUNTIF(변동분석!$E$7:$E$506,O911)&gt;0,"Y","N"))</f>
        <v/>
      </c>
      <c r="W911" s="64">
        <f>IF($A911="","",IFERROR(INDEX(계정매핑!$D$5:$D$504,MATCH($F911&amp;"",계정매핑!$A$5:$A$504,0)),"미매핑"))</f>
        <v/>
      </c>
      <c r="X911" s="9">
        <f>IF($A911="","",$F911&amp;"")</f>
        <v/>
      </c>
      <c r="Y911" s="94">
        <f>IF($A911="",0,IF(AE911="직접",IF(AF911="비귀속",$P911,0),$P911*(1-AG911)*IFERROR(INDEX(계정대체기준!$F$20:$F$49,MATCH($N911,계정대체기준!$A$20:$A$49,0)),1)))</f>
        <v/>
      </c>
      <c r="Z911" s="94">
        <f>IF($A911="",0,IF(AE911="직접",IF(AF911="신계약비",$P911,0),$P911*(1-AG911)*IFERROR(INDEX(계정대체기준!$C$20:$C$49,MATCH($N911,계정대체기준!$A$20:$A$49,0)),0)))</f>
        <v/>
      </c>
      <c r="AA911" s="94">
        <f>IF($A911="",0,IF(AE911="직접",IF(OR(AF911="유지비",AF911="손해조사비"),$P911,0),$P911*(1-AG911)*IFERROR(INDEX(계정대체기준!$D$20:$D$49,MATCH($N911,계정대체기준!$A$20:$A$49,0)),0)))</f>
        <v/>
      </c>
      <c r="AB911" s="94">
        <f>IF($A911="",0,IF(AE911="직접",IF(AF911="수금비",$P911,0),$P911*(1-AG911)*IFERROR(INDEX(계정대체기준!$E$20:$E$49,MATCH($N911,계정대체기준!$A$20:$A$49,0)),0)))</f>
        <v/>
      </c>
      <c r="AC911" s="9">
        <f>IF(AND($A911&lt;&gt;"",M911=설정!$C$20,Z911&gt;0),Z911+ROW()/1000000000,"")</f>
        <v/>
      </c>
      <c r="AD911" s="94">
        <f>IF($A911="",0,$P911*AG911)</f>
        <v/>
      </c>
      <c r="AE911" s="64">
        <f>IF($A911="","",IFERROR(INDEX(계정매핑!$E$5:$E$504,MATCH($F911&amp;"",계정매핑!$A$5:$A$504,0))&amp;"","공통비"))</f>
        <v/>
      </c>
      <c r="AF911" s="64">
        <f>IF($A911="","",IF(AE911="직접",IFERROR(INDEX(계정매핑!$F$5:$F$504,MATCH($F911&amp;"",계정매핑!$A$5:$A$504,0))&amp;"","비귀속"),""))</f>
        <v/>
      </c>
      <c r="AG911" s="96">
        <f>IF($A911="",0,IF(AND(AE911&lt;&gt;"직접",IFERROR(INDEX(계정매핑!$G$5:$G$504,MATCH($F911&amp;"",계정매핑!$A$5:$A$504,0))&amp;"","")="유지비",COUNTIF(계정대체기준!$A$6:$A$15,$N911)&gt;0),IFERROR(INDEX(계정대체기준!$E$6:$E$15,MATCH(VALUE($A911&amp;""),계정대체기준!$D$6:$D$15,0)),0),0))</f>
        <v/>
      </c>
      <c r="AH911" s="64">
        <f>IF($A911="","",IF(AD911=0,"",IF(OR(COUNTIF(계정대체기준!$A$77:$A$86,$N911)&gt;0,ISNUMBER(MATCH($X911,계정대체기준!$D$77:$D$86,0)),ISNUMBER(MATCH($F911,계정대체기준!$D$77:$D$86,0))),"Y","N")))</f>
        <v/>
      </c>
    </row>
    <row r="912">
      <c r="A912" s="92" t="n">
        <v>2025</v>
      </c>
      <c r="B912" s="92" t="n">
        <v>4</v>
      </c>
      <c r="C912" s="92" t="inlineStr">
        <is>
          <t>5100000908</t>
        </is>
      </c>
      <c r="D912" s="95" t="n">
        <v>45774</v>
      </c>
      <c r="E912" s="92" t="inlineStr">
        <is>
          <t>KR</t>
        </is>
      </c>
      <c r="F912" s="92" t="n">
        <v>62301000</v>
      </c>
      <c r="G912" s="92" t="n">
        <v>1602</v>
      </c>
      <c r="H912" s="93" t="n">
        <v>295000</v>
      </c>
      <c r="I912" s="92" t="inlineStr">
        <is>
          <t>4월 소모품 구입 - Q오피스</t>
        </is>
      </c>
      <c r="J912" s="92" t="inlineStr">
        <is>
          <t>V10003</t>
        </is>
      </c>
      <c r="K912" s="92" t="inlineStr">
        <is>
          <t>Q오피스</t>
        </is>
      </c>
      <c r="M912" s="9">
        <f>IF($A912="","",VALUE($A912&amp;"")*12+VALUE($B912&amp;""))</f>
        <v/>
      </c>
      <c r="N912" s="64">
        <f>IF($A912="","",IFERROR(INDEX(부서매핑!$C$5:$C$504,MATCH($G912&amp;"",부서매핑!$A$5:$A$504,0)),"미매핑"))</f>
        <v/>
      </c>
      <c r="O912" s="9">
        <f>IF($A912="","",N912&amp;"|"&amp;$F912)</f>
        <v/>
      </c>
      <c r="P912" s="94">
        <f>IF($A912="",0,$H912*설정!$C$23)</f>
        <v/>
      </c>
      <c r="Q912" s="64">
        <f>IF($A912="","",IF(O912&lt;&gt;원인분석!$C$9,"",IF(AND(M912&gt;=원인분석!$C$10,M912&lt;=원인분석!$C$11),"당기",IF(AND(M912&gt;=원인분석!$C$12,M912&lt;=원인분석!$C$13),"비교",""))))</f>
        <v/>
      </c>
      <c r="R912" s="9">
        <f>IF(Q912="","",$K912&amp;"")</f>
        <v/>
      </c>
      <c r="S912" s="9">
        <f>IF(Q912="","",IF(MATCH(R912,$R$5:$R$100000,0)=ROW()-4,ROW(),""))</f>
        <v/>
      </c>
      <c r="T912" s="9">
        <f>IF(Q912="당기",ABS(P912)+ROW()/1000000000,"")</f>
        <v/>
      </c>
      <c r="U912" s="9">
        <f>IF(Q912="비교",ABS(P912)+ROW()/1000000000,"")</f>
        <v/>
      </c>
      <c r="V912" s="64">
        <f>IF($A912="","",IF(COUNTIF(변동분석!$E$7:$E$506,O912)&gt;0,"Y","N"))</f>
        <v/>
      </c>
      <c r="W912" s="64">
        <f>IF($A912="","",IFERROR(INDEX(계정매핑!$D$5:$D$504,MATCH($F912&amp;"",계정매핑!$A$5:$A$504,0)),"미매핑"))</f>
        <v/>
      </c>
      <c r="X912" s="9">
        <f>IF($A912="","",$F912&amp;"")</f>
        <v/>
      </c>
      <c r="Y912" s="94">
        <f>IF($A912="",0,IF(AE912="직접",IF(AF912="비귀속",$P912,0),$P912*(1-AG912)*IFERROR(INDEX(계정대체기준!$F$20:$F$49,MATCH($N912,계정대체기준!$A$20:$A$49,0)),1)))</f>
        <v/>
      </c>
      <c r="Z912" s="94">
        <f>IF($A912="",0,IF(AE912="직접",IF(AF912="신계약비",$P912,0),$P912*(1-AG912)*IFERROR(INDEX(계정대체기준!$C$20:$C$49,MATCH($N912,계정대체기준!$A$20:$A$49,0)),0)))</f>
        <v/>
      </c>
      <c r="AA912" s="94">
        <f>IF($A912="",0,IF(AE912="직접",IF(OR(AF912="유지비",AF912="손해조사비"),$P912,0),$P912*(1-AG912)*IFERROR(INDEX(계정대체기준!$D$20:$D$49,MATCH($N912,계정대체기준!$A$20:$A$49,0)),0)))</f>
        <v/>
      </c>
      <c r="AB912" s="94">
        <f>IF($A912="",0,IF(AE912="직접",IF(AF912="수금비",$P912,0),$P912*(1-AG912)*IFERROR(INDEX(계정대체기준!$E$20:$E$49,MATCH($N912,계정대체기준!$A$20:$A$49,0)),0)))</f>
        <v/>
      </c>
      <c r="AC912" s="9">
        <f>IF(AND($A912&lt;&gt;"",M912=설정!$C$20,Z912&gt;0),Z912+ROW()/1000000000,"")</f>
        <v/>
      </c>
      <c r="AD912" s="94">
        <f>IF($A912="",0,$P912*AG912)</f>
        <v/>
      </c>
      <c r="AE912" s="64">
        <f>IF($A912="","",IFERROR(INDEX(계정매핑!$E$5:$E$504,MATCH($F912&amp;"",계정매핑!$A$5:$A$504,0))&amp;"","공통비"))</f>
        <v/>
      </c>
      <c r="AF912" s="64">
        <f>IF($A912="","",IF(AE912="직접",IFERROR(INDEX(계정매핑!$F$5:$F$504,MATCH($F912&amp;"",계정매핑!$A$5:$A$504,0))&amp;"","비귀속"),""))</f>
        <v/>
      </c>
      <c r="AG912" s="96">
        <f>IF($A912="",0,IF(AND(AE912&lt;&gt;"직접",IFERROR(INDEX(계정매핑!$G$5:$G$504,MATCH($F912&amp;"",계정매핑!$A$5:$A$504,0))&amp;"","")="유지비",COUNTIF(계정대체기준!$A$6:$A$15,$N912)&gt;0),IFERROR(INDEX(계정대체기준!$E$6:$E$15,MATCH(VALUE($A912&amp;""),계정대체기준!$D$6:$D$15,0)),0),0))</f>
        <v/>
      </c>
      <c r="AH912" s="64">
        <f>IF($A912="","",IF(AD912=0,"",IF(OR(COUNTIF(계정대체기준!$A$77:$A$86,$N912)&gt;0,ISNUMBER(MATCH($X912,계정대체기준!$D$77:$D$86,0)),ISNUMBER(MATCH($F912,계정대체기준!$D$77:$D$86,0))),"Y","N")))</f>
        <v/>
      </c>
    </row>
    <row r="913">
      <c r="A913" s="92" t="n">
        <v>2025</v>
      </c>
      <c r="B913" s="92" t="n">
        <v>4</v>
      </c>
      <c r="C913" s="92" t="inlineStr">
        <is>
          <t>5100000909</t>
        </is>
      </c>
      <c r="D913" s="95" t="n">
        <v>45774</v>
      </c>
      <c r="E913" s="92" t="inlineStr">
        <is>
          <t>KR</t>
        </is>
      </c>
      <c r="F913" s="92" t="n">
        <v>62601000</v>
      </c>
      <c r="G913" s="92" t="n">
        <v>1601</v>
      </c>
      <c r="H913" s="93" t="n">
        <v>1390000</v>
      </c>
      <c r="I913" s="92" t="inlineStr">
        <is>
          <t>4월 업무추진 - (법인카드)</t>
        </is>
      </c>
      <c r="J913" s="92" t="inlineStr">
        <is>
          <t>V10010</t>
        </is>
      </c>
      <c r="K913" s="92" t="inlineStr">
        <is>
          <t>(법인카드)</t>
        </is>
      </c>
      <c r="M913" s="9">
        <f>IF($A913="","",VALUE($A913&amp;"")*12+VALUE($B913&amp;""))</f>
        <v/>
      </c>
      <c r="N913" s="64">
        <f>IF($A913="","",IFERROR(INDEX(부서매핑!$C$5:$C$504,MATCH($G913&amp;"",부서매핑!$A$5:$A$504,0)),"미매핑"))</f>
        <v/>
      </c>
      <c r="O913" s="9">
        <f>IF($A913="","",N913&amp;"|"&amp;$F913)</f>
        <v/>
      </c>
      <c r="P913" s="94">
        <f>IF($A913="",0,$H913*설정!$C$23)</f>
        <v/>
      </c>
      <c r="Q913" s="64">
        <f>IF($A913="","",IF(O913&lt;&gt;원인분석!$C$9,"",IF(AND(M913&gt;=원인분석!$C$10,M913&lt;=원인분석!$C$11),"당기",IF(AND(M913&gt;=원인분석!$C$12,M913&lt;=원인분석!$C$13),"비교",""))))</f>
        <v/>
      </c>
      <c r="R913" s="9">
        <f>IF(Q913="","",$K913&amp;"")</f>
        <v/>
      </c>
      <c r="S913" s="9">
        <f>IF(Q913="","",IF(MATCH(R913,$R$5:$R$100000,0)=ROW()-4,ROW(),""))</f>
        <v/>
      </c>
      <c r="T913" s="9">
        <f>IF(Q913="당기",ABS(P913)+ROW()/1000000000,"")</f>
        <v/>
      </c>
      <c r="U913" s="9">
        <f>IF(Q913="비교",ABS(P913)+ROW()/1000000000,"")</f>
        <v/>
      </c>
      <c r="V913" s="64">
        <f>IF($A913="","",IF(COUNTIF(변동분석!$E$7:$E$506,O913)&gt;0,"Y","N"))</f>
        <v/>
      </c>
      <c r="W913" s="64">
        <f>IF($A913="","",IFERROR(INDEX(계정매핑!$D$5:$D$504,MATCH($F913&amp;"",계정매핑!$A$5:$A$504,0)),"미매핑"))</f>
        <v/>
      </c>
      <c r="X913" s="9">
        <f>IF($A913="","",$F913&amp;"")</f>
        <v/>
      </c>
      <c r="Y913" s="94">
        <f>IF($A913="",0,IF(AE913="직접",IF(AF913="비귀속",$P913,0),$P913*(1-AG913)*IFERROR(INDEX(계정대체기준!$F$20:$F$49,MATCH($N913,계정대체기준!$A$20:$A$49,0)),1)))</f>
        <v/>
      </c>
      <c r="Z913" s="94">
        <f>IF($A913="",0,IF(AE913="직접",IF(AF913="신계약비",$P913,0),$P913*(1-AG913)*IFERROR(INDEX(계정대체기준!$C$20:$C$49,MATCH($N913,계정대체기준!$A$20:$A$49,0)),0)))</f>
        <v/>
      </c>
      <c r="AA913" s="94">
        <f>IF($A913="",0,IF(AE913="직접",IF(OR(AF913="유지비",AF913="손해조사비"),$P913,0),$P913*(1-AG913)*IFERROR(INDEX(계정대체기준!$D$20:$D$49,MATCH($N913,계정대체기준!$A$20:$A$49,0)),0)))</f>
        <v/>
      </c>
      <c r="AB913" s="94">
        <f>IF($A913="",0,IF(AE913="직접",IF(AF913="수금비",$P913,0),$P913*(1-AG913)*IFERROR(INDEX(계정대체기준!$E$20:$E$49,MATCH($N913,계정대체기준!$A$20:$A$49,0)),0)))</f>
        <v/>
      </c>
      <c r="AC913" s="9">
        <f>IF(AND($A913&lt;&gt;"",M913=설정!$C$20,Z913&gt;0),Z913+ROW()/1000000000,"")</f>
        <v/>
      </c>
      <c r="AD913" s="94">
        <f>IF($A913="",0,$P913*AG913)</f>
        <v/>
      </c>
      <c r="AE913" s="64">
        <f>IF($A913="","",IFERROR(INDEX(계정매핑!$E$5:$E$504,MATCH($F913&amp;"",계정매핑!$A$5:$A$504,0))&amp;"","공통비"))</f>
        <v/>
      </c>
      <c r="AF913" s="64">
        <f>IF($A913="","",IF(AE913="직접",IFERROR(INDEX(계정매핑!$F$5:$F$504,MATCH($F913&amp;"",계정매핑!$A$5:$A$504,0))&amp;"","비귀속"),""))</f>
        <v/>
      </c>
      <c r="AG913" s="96">
        <f>IF($A913="",0,IF(AND(AE913&lt;&gt;"직접",IFERROR(INDEX(계정매핑!$G$5:$G$504,MATCH($F913&amp;"",계정매핑!$A$5:$A$504,0))&amp;"","")="유지비",COUNTIF(계정대체기준!$A$6:$A$15,$N913)&gt;0),IFERROR(INDEX(계정대체기준!$E$6:$E$15,MATCH(VALUE($A913&amp;""),계정대체기준!$D$6:$D$15,0)),0),0))</f>
        <v/>
      </c>
      <c r="AH913" s="64">
        <f>IF($A913="","",IF(AD913=0,"",IF(OR(COUNTIF(계정대체기준!$A$77:$A$86,$N913)&gt;0,ISNUMBER(MATCH($X913,계정대체기준!$D$77:$D$86,0)),ISNUMBER(MATCH($F913,계정대체기준!$D$77:$D$86,0))),"Y","N")))</f>
        <v/>
      </c>
    </row>
    <row r="914">
      <c r="A914" s="92" t="n">
        <v>2025</v>
      </c>
      <c r="B914" s="92" t="n">
        <v>4</v>
      </c>
      <c r="C914" s="92" t="inlineStr">
        <is>
          <t>5100000910</t>
        </is>
      </c>
      <c r="D914" s="95" t="n">
        <v>45774</v>
      </c>
      <c r="E914" s="92" t="inlineStr">
        <is>
          <t>KR</t>
        </is>
      </c>
      <c r="F914" s="92" t="n">
        <v>62701000</v>
      </c>
      <c r="G914" s="92" t="n">
        <v>1501</v>
      </c>
      <c r="H914" s="93" t="n">
        <v>72198000</v>
      </c>
      <c r="I914" s="92" t="inlineStr">
        <is>
          <t>4월 광고 집행 - E미디어</t>
        </is>
      </c>
      <c r="J914" s="92" t="inlineStr">
        <is>
          <t>V10033</t>
        </is>
      </c>
      <c r="K914" s="92" t="inlineStr">
        <is>
          <t>E미디어</t>
        </is>
      </c>
      <c r="M914" s="9">
        <f>IF($A914="","",VALUE($A914&amp;"")*12+VALUE($B914&amp;""))</f>
        <v/>
      </c>
      <c r="N914" s="64">
        <f>IF($A914="","",IFERROR(INDEX(부서매핑!$C$5:$C$504,MATCH($G914&amp;"",부서매핑!$A$5:$A$504,0)),"미매핑"))</f>
        <v/>
      </c>
      <c r="O914" s="9">
        <f>IF($A914="","",N914&amp;"|"&amp;$F914)</f>
        <v/>
      </c>
      <c r="P914" s="94">
        <f>IF($A914="",0,$H914*설정!$C$23)</f>
        <v/>
      </c>
      <c r="Q914" s="64">
        <f>IF($A914="","",IF(O914&lt;&gt;원인분석!$C$9,"",IF(AND(M914&gt;=원인분석!$C$10,M914&lt;=원인분석!$C$11),"당기",IF(AND(M914&gt;=원인분석!$C$12,M914&lt;=원인분석!$C$13),"비교",""))))</f>
        <v/>
      </c>
      <c r="R914" s="9">
        <f>IF(Q914="","",$K914&amp;"")</f>
        <v/>
      </c>
      <c r="S914" s="9">
        <f>IF(Q914="","",IF(MATCH(R914,$R$5:$R$100000,0)=ROW()-4,ROW(),""))</f>
        <v/>
      </c>
      <c r="T914" s="9">
        <f>IF(Q914="당기",ABS(P914)+ROW()/1000000000,"")</f>
        <v/>
      </c>
      <c r="U914" s="9">
        <f>IF(Q914="비교",ABS(P914)+ROW()/1000000000,"")</f>
        <v/>
      </c>
      <c r="V914" s="64">
        <f>IF($A914="","",IF(COUNTIF(변동분석!$E$7:$E$506,O914)&gt;0,"Y","N"))</f>
        <v/>
      </c>
      <c r="W914" s="64">
        <f>IF($A914="","",IFERROR(INDEX(계정매핑!$D$5:$D$504,MATCH($F914&amp;"",계정매핑!$A$5:$A$504,0)),"미매핑"))</f>
        <v/>
      </c>
      <c r="X914" s="9">
        <f>IF($A914="","",$F914&amp;"")</f>
        <v/>
      </c>
      <c r="Y914" s="94">
        <f>IF($A914="",0,IF(AE914="직접",IF(AF914="비귀속",$P914,0),$P914*(1-AG914)*IFERROR(INDEX(계정대체기준!$F$20:$F$49,MATCH($N914,계정대체기준!$A$20:$A$49,0)),1)))</f>
        <v/>
      </c>
      <c r="Z914" s="94">
        <f>IF($A914="",0,IF(AE914="직접",IF(AF914="신계약비",$P914,0),$P914*(1-AG914)*IFERROR(INDEX(계정대체기준!$C$20:$C$49,MATCH($N914,계정대체기준!$A$20:$A$49,0)),0)))</f>
        <v/>
      </c>
      <c r="AA914" s="94">
        <f>IF($A914="",0,IF(AE914="직접",IF(OR(AF914="유지비",AF914="손해조사비"),$P914,0),$P914*(1-AG914)*IFERROR(INDEX(계정대체기준!$D$20:$D$49,MATCH($N914,계정대체기준!$A$20:$A$49,0)),0)))</f>
        <v/>
      </c>
      <c r="AB914" s="94">
        <f>IF($A914="",0,IF(AE914="직접",IF(AF914="수금비",$P914,0),$P914*(1-AG914)*IFERROR(INDEX(계정대체기준!$E$20:$E$49,MATCH($N914,계정대체기준!$A$20:$A$49,0)),0)))</f>
        <v/>
      </c>
      <c r="AC914" s="9">
        <f>IF(AND($A914&lt;&gt;"",M914=설정!$C$20,Z914&gt;0),Z914+ROW()/1000000000,"")</f>
        <v/>
      </c>
      <c r="AD914" s="94">
        <f>IF($A914="",0,$P914*AG914)</f>
        <v/>
      </c>
      <c r="AE914" s="64">
        <f>IF($A914="","",IFERROR(INDEX(계정매핑!$E$5:$E$504,MATCH($F914&amp;"",계정매핑!$A$5:$A$504,0))&amp;"","공통비"))</f>
        <v/>
      </c>
      <c r="AF914" s="64">
        <f>IF($A914="","",IF(AE914="직접",IFERROR(INDEX(계정매핑!$F$5:$F$504,MATCH($F914&amp;"",계정매핑!$A$5:$A$504,0))&amp;"","비귀속"),""))</f>
        <v/>
      </c>
      <c r="AG914" s="96">
        <f>IF($A914="",0,IF(AND(AE914&lt;&gt;"직접",IFERROR(INDEX(계정매핑!$G$5:$G$504,MATCH($F914&amp;"",계정매핑!$A$5:$A$504,0))&amp;"","")="유지비",COUNTIF(계정대체기준!$A$6:$A$15,$N914)&gt;0),IFERROR(INDEX(계정대체기준!$E$6:$E$15,MATCH(VALUE($A914&amp;""),계정대체기준!$D$6:$D$15,0)),0),0))</f>
        <v/>
      </c>
      <c r="AH914" s="64">
        <f>IF($A914="","",IF(AD914=0,"",IF(OR(COUNTIF(계정대체기준!$A$77:$A$86,$N914)&gt;0,ISNUMBER(MATCH($X914,계정대체기준!$D$77:$D$86,0)),ISNUMBER(MATCH($F914,계정대체기준!$D$77:$D$86,0))),"Y","N")))</f>
        <v/>
      </c>
    </row>
    <row r="915">
      <c r="A915" s="92" t="n">
        <v>2025</v>
      </c>
      <c r="B915" s="92" t="n">
        <v>4</v>
      </c>
      <c r="C915" s="92" t="inlineStr">
        <is>
          <t>5100000911</t>
        </is>
      </c>
      <c r="D915" s="95" t="n">
        <v>45774</v>
      </c>
      <c r="E915" s="92" t="inlineStr">
        <is>
          <t>KR</t>
        </is>
      </c>
      <c r="F915" s="92" t="n">
        <v>63001000</v>
      </c>
      <c r="G915" s="92" t="n">
        <v>1951</v>
      </c>
      <c r="H915" s="93" t="n">
        <v>3647000</v>
      </c>
      <c r="I915" s="92" t="inlineStr">
        <is>
          <t>4월 SW 유지보수 - Z시스템</t>
        </is>
      </c>
      <c r="J915" s="92" t="inlineStr">
        <is>
          <t>V10012</t>
        </is>
      </c>
      <c r="K915" s="92" t="inlineStr">
        <is>
          <t>Z시스템</t>
        </is>
      </c>
      <c r="M915" s="9">
        <f>IF($A915="","",VALUE($A915&amp;"")*12+VALUE($B915&amp;""))</f>
        <v/>
      </c>
      <c r="N915" s="64">
        <f>IF($A915="","",IFERROR(INDEX(부서매핑!$C$5:$C$504,MATCH($G915&amp;"",부서매핑!$A$5:$A$504,0)),"미매핑"))</f>
        <v/>
      </c>
      <c r="O915" s="9">
        <f>IF($A915="","",N915&amp;"|"&amp;$F915)</f>
        <v/>
      </c>
      <c r="P915" s="94">
        <f>IF($A915="",0,$H915*설정!$C$23)</f>
        <v/>
      </c>
      <c r="Q915" s="64">
        <f>IF($A915="","",IF(O915&lt;&gt;원인분석!$C$9,"",IF(AND(M915&gt;=원인분석!$C$10,M915&lt;=원인분석!$C$11),"당기",IF(AND(M915&gt;=원인분석!$C$12,M915&lt;=원인분석!$C$13),"비교",""))))</f>
        <v/>
      </c>
      <c r="R915" s="9">
        <f>IF(Q915="","",$K915&amp;"")</f>
        <v/>
      </c>
      <c r="S915" s="9">
        <f>IF(Q915="","",IF(MATCH(R915,$R$5:$R$100000,0)=ROW()-4,ROW(),""))</f>
        <v/>
      </c>
      <c r="T915" s="9">
        <f>IF(Q915="당기",ABS(P915)+ROW()/1000000000,"")</f>
        <v/>
      </c>
      <c r="U915" s="9">
        <f>IF(Q915="비교",ABS(P915)+ROW()/1000000000,"")</f>
        <v/>
      </c>
      <c r="V915" s="64">
        <f>IF($A915="","",IF(COUNTIF(변동분석!$E$7:$E$506,O915)&gt;0,"Y","N"))</f>
        <v/>
      </c>
      <c r="W915" s="64">
        <f>IF($A915="","",IFERROR(INDEX(계정매핑!$D$5:$D$504,MATCH($F915&amp;"",계정매핑!$A$5:$A$504,0)),"미매핑"))</f>
        <v/>
      </c>
      <c r="X915" s="9">
        <f>IF($A915="","",$F915&amp;"")</f>
        <v/>
      </c>
      <c r="Y915" s="94">
        <f>IF($A915="",0,IF(AE915="직접",IF(AF915="비귀속",$P915,0),$P915*(1-AG915)*IFERROR(INDEX(계정대체기준!$F$20:$F$49,MATCH($N915,계정대체기준!$A$20:$A$49,0)),1)))</f>
        <v/>
      </c>
      <c r="Z915" s="94">
        <f>IF($A915="",0,IF(AE915="직접",IF(AF915="신계약비",$P915,0),$P915*(1-AG915)*IFERROR(INDEX(계정대체기준!$C$20:$C$49,MATCH($N915,계정대체기준!$A$20:$A$49,0)),0)))</f>
        <v/>
      </c>
      <c r="AA915" s="94">
        <f>IF($A915="",0,IF(AE915="직접",IF(OR(AF915="유지비",AF915="손해조사비"),$P915,0),$P915*(1-AG915)*IFERROR(INDEX(계정대체기준!$D$20:$D$49,MATCH($N915,계정대체기준!$A$20:$A$49,0)),0)))</f>
        <v/>
      </c>
      <c r="AB915" s="94">
        <f>IF($A915="",0,IF(AE915="직접",IF(AF915="수금비",$P915,0),$P915*(1-AG915)*IFERROR(INDEX(계정대체기준!$E$20:$E$49,MATCH($N915,계정대체기준!$A$20:$A$49,0)),0)))</f>
        <v/>
      </c>
      <c r="AC915" s="9">
        <f>IF(AND($A915&lt;&gt;"",M915=설정!$C$20,Z915&gt;0),Z915+ROW()/1000000000,"")</f>
        <v/>
      </c>
      <c r="AD915" s="94">
        <f>IF($A915="",0,$P915*AG915)</f>
        <v/>
      </c>
      <c r="AE915" s="64">
        <f>IF($A915="","",IFERROR(INDEX(계정매핑!$E$5:$E$504,MATCH($F915&amp;"",계정매핑!$A$5:$A$504,0))&amp;"","공통비"))</f>
        <v/>
      </c>
      <c r="AF915" s="64">
        <f>IF($A915="","",IF(AE915="직접",IFERROR(INDEX(계정매핑!$F$5:$F$504,MATCH($F915&amp;"",계정매핑!$A$5:$A$504,0))&amp;"","비귀속"),""))</f>
        <v/>
      </c>
      <c r="AG915" s="96">
        <f>IF($A915="",0,IF(AND(AE915&lt;&gt;"직접",IFERROR(INDEX(계정매핑!$G$5:$G$504,MATCH($F915&amp;"",계정매핑!$A$5:$A$504,0))&amp;"","")="유지비",COUNTIF(계정대체기준!$A$6:$A$15,$N915)&gt;0),IFERROR(INDEX(계정대체기준!$E$6:$E$15,MATCH(VALUE($A915&amp;""),계정대체기준!$D$6:$D$15,0)),0),0))</f>
        <v/>
      </c>
      <c r="AH915" s="64">
        <f>IF($A915="","",IF(AD915=0,"",IF(OR(COUNTIF(계정대체기준!$A$77:$A$86,$N915)&gt;0,ISNUMBER(MATCH($X915,계정대체기준!$D$77:$D$86,0)),ISNUMBER(MATCH($F915,계정대체기준!$D$77:$D$86,0))),"Y","N")))</f>
        <v/>
      </c>
    </row>
    <row r="916">
      <c r="A916" s="92" t="n">
        <v>2025</v>
      </c>
      <c r="B916" s="92" t="n">
        <v>4</v>
      </c>
      <c r="C916" s="92" t="inlineStr">
        <is>
          <t>5100000912</t>
        </is>
      </c>
      <c r="D916" s="95" t="n">
        <v>45774</v>
      </c>
      <c r="E916" s="92" t="inlineStr">
        <is>
          <t>KR</t>
        </is>
      </c>
      <c r="F916" s="92" t="n">
        <v>63501000</v>
      </c>
      <c r="G916" s="92" t="n">
        <v>1902</v>
      </c>
      <c r="H916" s="93" t="n">
        <v>299653000</v>
      </c>
      <c r="I916" s="92" t="inlineStr">
        <is>
          <t>4월 모집수수료 - (전속설계사)</t>
        </is>
      </c>
      <c r="J916" s="92" t="inlineStr">
        <is>
          <t>V10021</t>
        </is>
      </c>
      <c r="K916" s="92" t="inlineStr">
        <is>
          <t>(전속설계사)</t>
        </is>
      </c>
      <c r="M916" s="9">
        <f>IF($A916="","",VALUE($A916&amp;"")*12+VALUE($B916&amp;""))</f>
        <v/>
      </c>
      <c r="N916" s="64">
        <f>IF($A916="","",IFERROR(INDEX(부서매핑!$C$5:$C$504,MATCH($G916&amp;"",부서매핑!$A$5:$A$504,0)),"미매핑"))</f>
        <v/>
      </c>
      <c r="O916" s="9">
        <f>IF($A916="","",N916&amp;"|"&amp;$F916)</f>
        <v/>
      </c>
      <c r="P916" s="94">
        <f>IF($A916="",0,$H916*설정!$C$23)</f>
        <v/>
      </c>
      <c r="Q916" s="64">
        <f>IF($A916="","",IF(O916&lt;&gt;원인분석!$C$9,"",IF(AND(M916&gt;=원인분석!$C$10,M916&lt;=원인분석!$C$11),"당기",IF(AND(M916&gt;=원인분석!$C$12,M916&lt;=원인분석!$C$13),"비교",""))))</f>
        <v/>
      </c>
      <c r="R916" s="9">
        <f>IF(Q916="","",$K916&amp;"")</f>
        <v/>
      </c>
      <c r="S916" s="9">
        <f>IF(Q916="","",IF(MATCH(R916,$R$5:$R$100000,0)=ROW()-4,ROW(),""))</f>
        <v/>
      </c>
      <c r="T916" s="9">
        <f>IF(Q916="당기",ABS(P916)+ROW()/1000000000,"")</f>
        <v/>
      </c>
      <c r="U916" s="9">
        <f>IF(Q916="비교",ABS(P916)+ROW()/1000000000,"")</f>
        <v/>
      </c>
      <c r="V916" s="64">
        <f>IF($A916="","",IF(COUNTIF(변동분석!$E$7:$E$506,O916)&gt;0,"Y","N"))</f>
        <v/>
      </c>
      <c r="W916" s="64">
        <f>IF($A916="","",IFERROR(INDEX(계정매핑!$D$5:$D$504,MATCH($F916&amp;"",계정매핑!$A$5:$A$504,0)),"미매핑"))</f>
        <v/>
      </c>
      <c r="X916" s="9">
        <f>IF($A916="","",$F916&amp;"")</f>
        <v/>
      </c>
      <c r="Y916" s="94">
        <f>IF($A916="",0,IF(AE916="직접",IF(AF916="비귀속",$P916,0),$P916*(1-AG916)*IFERROR(INDEX(계정대체기준!$F$20:$F$49,MATCH($N916,계정대체기준!$A$20:$A$49,0)),1)))</f>
        <v/>
      </c>
      <c r="Z916" s="94">
        <f>IF($A916="",0,IF(AE916="직접",IF(AF916="신계약비",$P916,0),$P916*(1-AG916)*IFERROR(INDEX(계정대체기준!$C$20:$C$49,MATCH($N916,계정대체기준!$A$20:$A$49,0)),0)))</f>
        <v/>
      </c>
      <c r="AA916" s="94">
        <f>IF($A916="",0,IF(AE916="직접",IF(OR(AF916="유지비",AF916="손해조사비"),$P916,0),$P916*(1-AG916)*IFERROR(INDEX(계정대체기준!$D$20:$D$49,MATCH($N916,계정대체기준!$A$20:$A$49,0)),0)))</f>
        <v/>
      </c>
      <c r="AB916" s="94">
        <f>IF($A916="",0,IF(AE916="직접",IF(AF916="수금비",$P916,0),$P916*(1-AG916)*IFERROR(INDEX(계정대체기준!$E$20:$E$49,MATCH($N916,계정대체기준!$A$20:$A$49,0)),0)))</f>
        <v/>
      </c>
      <c r="AC916" s="9">
        <f>IF(AND($A916&lt;&gt;"",M916=설정!$C$20,Z916&gt;0),Z916+ROW()/1000000000,"")</f>
        <v/>
      </c>
      <c r="AD916" s="94">
        <f>IF($A916="",0,$P916*AG916)</f>
        <v/>
      </c>
      <c r="AE916" s="64">
        <f>IF($A916="","",IFERROR(INDEX(계정매핑!$E$5:$E$504,MATCH($F916&amp;"",계정매핑!$A$5:$A$504,0))&amp;"","공통비"))</f>
        <v/>
      </c>
      <c r="AF916" s="64">
        <f>IF($A916="","",IF(AE916="직접",IFERROR(INDEX(계정매핑!$F$5:$F$504,MATCH($F916&amp;"",계정매핑!$A$5:$A$504,0))&amp;"","비귀속"),""))</f>
        <v/>
      </c>
      <c r="AG916" s="96">
        <f>IF($A916="",0,IF(AND(AE916&lt;&gt;"직접",IFERROR(INDEX(계정매핑!$G$5:$G$504,MATCH($F916&amp;"",계정매핑!$A$5:$A$504,0))&amp;"","")="유지비",COUNTIF(계정대체기준!$A$6:$A$15,$N916)&gt;0),IFERROR(INDEX(계정대체기준!$E$6:$E$15,MATCH(VALUE($A916&amp;""),계정대체기준!$D$6:$D$15,0)),0),0))</f>
        <v/>
      </c>
      <c r="AH916" s="64">
        <f>IF($A916="","",IF(AD916=0,"",IF(OR(COUNTIF(계정대체기준!$A$77:$A$86,$N916)&gt;0,ISNUMBER(MATCH($X916,계정대체기준!$D$77:$D$86,0)),ISNUMBER(MATCH($F916,계정대체기준!$D$77:$D$86,0))),"Y","N")))</f>
        <v/>
      </c>
    </row>
    <row r="917">
      <c r="A917" s="92" t="n">
        <v>2025</v>
      </c>
      <c r="B917" s="92" t="n">
        <v>4</v>
      </c>
      <c r="C917" s="92" t="inlineStr">
        <is>
          <t>5100000913</t>
        </is>
      </c>
      <c r="D917" s="95" t="n">
        <v>45774</v>
      </c>
      <c r="E917" s="92" t="inlineStr">
        <is>
          <t>KR</t>
        </is>
      </c>
      <c r="F917" s="92" t="n">
        <v>63601000</v>
      </c>
      <c r="G917" s="92" t="n">
        <v>1801</v>
      </c>
      <c r="H917" s="93" t="n">
        <v>10532000</v>
      </c>
      <c r="I917" s="92" t="inlineStr">
        <is>
          <t>4월 손해사정 수수료 - DD손해사정</t>
        </is>
      </c>
      <c r="J917" s="92" t="inlineStr">
        <is>
          <t>V10032</t>
        </is>
      </c>
      <c r="K917" s="92" t="inlineStr">
        <is>
          <t>DD손해사정</t>
        </is>
      </c>
      <c r="M917" s="9">
        <f>IF($A917="","",VALUE($A917&amp;"")*12+VALUE($B917&amp;""))</f>
        <v/>
      </c>
      <c r="N917" s="64">
        <f>IF($A917="","",IFERROR(INDEX(부서매핑!$C$5:$C$504,MATCH($G917&amp;"",부서매핑!$A$5:$A$504,0)),"미매핑"))</f>
        <v/>
      </c>
      <c r="O917" s="9">
        <f>IF($A917="","",N917&amp;"|"&amp;$F917)</f>
        <v/>
      </c>
      <c r="P917" s="94">
        <f>IF($A917="",0,$H917*설정!$C$23)</f>
        <v/>
      </c>
      <c r="Q917" s="64">
        <f>IF($A917="","",IF(O917&lt;&gt;원인분석!$C$9,"",IF(AND(M917&gt;=원인분석!$C$10,M917&lt;=원인분석!$C$11),"당기",IF(AND(M917&gt;=원인분석!$C$12,M917&lt;=원인분석!$C$13),"비교",""))))</f>
        <v/>
      </c>
      <c r="R917" s="9">
        <f>IF(Q917="","",$K917&amp;"")</f>
        <v/>
      </c>
      <c r="S917" s="9">
        <f>IF(Q917="","",IF(MATCH(R917,$R$5:$R$100000,0)=ROW()-4,ROW(),""))</f>
        <v/>
      </c>
      <c r="T917" s="9">
        <f>IF(Q917="당기",ABS(P917)+ROW()/1000000000,"")</f>
        <v/>
      </c>
      <c r="U917" s="9">
        <f>IF(Q917="비교",ABS(P917)+ROW()/1000000000,"")</f>
        <v/>
      </c>
      <c r="V917" s="64">
        <f>IF($A917="","",IF(COUNTIF(변동분석!$E$7:$E$506,O917)&gt;0,"Y","N"))</f>
        <v/>
      </c>
      <c r="W917" s="64">
        <f>IF($A917="","",IFERROR(INDEX(계정매핑!$D$5:$D$504,MATCH($F917&amp;"",계정매핑!$A$5:$A$504,0)),"미매핑"))</f>
        <v/>
      </c>
      <c r="X917" s="9">
        <f>IF($A917="","",$F917&amp;"")</f>
        <v/>
      </c>
      <c r="Y917" s="94">
        <f>IF($A917="",0,IF(AE917="직접",IF(AF917="비귀속",$P917,0),$P917*(1-AG917)*IFERROR(INDEX(계정대체기준!$F$20:$F$49,MATCH($N917,계정대체기준!$A$20:$A$49,0)),1)))</f>
        <v/>
      </c>
      <c r="Z917" s="94">
        <f>IF($A917="",0,IF(AE917="직접",IF(AF917="신계약비",$P917,0),$P917*(1-AG917)*IFERROR(INDEX(계정대체기준!$C$20:$C$49,MATCH($N917,계정대체기준!$A$20:$A$49,0)),0)))</f>
        <v/>
      </c>
      <c r="AA917" s="94">
        <f>IF($A917="",0,IF(AE917="직접",IF(OR(AF917="유지비",AF917="손해조사비"),$P917,0),$P917*(1-AG917)*IFERROR(INDEX(계정대체기준!$D$20:$D$49,MATCH($N917,계정대체기준!$A$20:$A$49,0)),0)))</f>
        <v/>
      </c>
      <c r="AB917" s="94">
        <f>IF($A917="",0,IF(AE917="직접",IF(AF917="수금비",$P917,0),$P917*(1-AG917)*IFERROR(INDEX(계정대체기준!$E$20:$E$49,MATCH($N917,계정대체기준!$A$20:$A$49,0)),0)))</f>
        <v/>
      </c>
      <c r="AC917" s="9">
        <f>IF(AND($A917&lt;&gt;"",M917=설정!$C$20,Z917&gt;0),Z917+ROW()/1000000000,"")</f>
        <v/>
      </c>
      <c r="AD917" s="94">
        <f>IF($A917="",0,$P917*AG917)</f>
        <v/>
      </c>
      <c r="AE917" s="64">
        <f>IF($A917="","",IFERROR(INDEX(계정매핑!$E$5:$E$504,MATCH($F917&amp;"",계정매핑!$A$5:$A$504,0))&amp;"","공통비"))</f>
        <v/>
      </c>
      <c r="AF917" s="64">
        <f>IF($A917="","",IF(AE917="직접",IFERROR(INDEX(계정매핑!$F$5:$F$504,MATCH($F917&amp;"",계정매핑!$A$5:$A$504,0))&amp;"","비귀속"),""))</f>
        <v/>
      </c>
      <c r="AG917" s="96">
        <f>IF($A917="",0,IF(AND(AE917&lt;&gt;"직접",IFERROR(INDEX(계정매핑!$G$5:$G$504,MATCH($F917&amp;"",계정매핑!$A$5:$A$504,0))&amp;"","")="유지비",COUNTIF(계정대체기준!$A$6:$A$15,$N917)&gt;0),IFERROR(INDEX(계정대체기준!$E$6:$E$15,MATCH(VALUE($A917&amp;""),계정대체기준!$D$6:$D$15,0)),0),0))</f>
        <v/>
      </c>
      <c r="AH917" s="64">
        <f>IF($A917="","",IF(AD917=0,"",IF(OR(COUNTIF(계정대체기준!$A$77:$A$86,$N917)&gt;0,ISNUMBER(MATCH($X917,계정대체기준!$D$77:$D$86,0)),ISNUMBER(MATCH($F917,계정대체기준!$D$77:$D$86,0))),"Y","N")))</f>
        <v/>
      </c>
    </row>
    <row r="918">
      <c r="A918" s="92" t="n">
        <v>2025</v>
      </c>
      <c r="B918" s="92" t="n">
        <v>5</v>
      </c>
      <c r="C918" s="92" t="inlineStr">
        <is>
          <t>5100000914</t>
        </is>
      </c>
      <c r="D918" s="95" t="n">
        <v>45779</v>
      </c>
      <c r="E918" s="92" t="inlineStr">
        <is>
          <t>KR</t>
        </is>
      </c>
      <c r="F918" s="92" t="n">
        <v>62101000</v>
      </c>
      <c r="G918" s="92" t="n">
        <v>1301</v>
      </c>
      <c r="H918" s="93" t="n">
        <v>228000</v>
      </c>
      <c r="I918" s="92" t="inlineStr">
        <is>
          <t>5월 국내출장 - M항공</t>
        </is>
      </c>
      <c r="J918" s="92" t="inlineStr">
        <is>
          <t>V10001</t>
        </is>
      </c>
      <c r="K918" s="92" t="inlineStr">
        <is>
          <t>M항공</t>
        </is>
      </c>
      <c r="M918" s="9">
        <f>IF($A918="","",VALUE($A918&amp;"")*12+VALUE($B918&amp;""))</f>
        <v/>
      </c>
      <c r="N918" s="64">
        <f>IF($A918="","",IFERROR(INDEX(부서매핑!$C$5:$C$504,MATCH($G918&amp;"",부서매핑!$A$5:$A$504,0)),"미매핑"))</f>
        <v/>
      </c>
      <c r="O918" s="9">
        <f>IF($A918="","",N918&amp;"|"&amp;$F918)</f>
        <v/>
      </c>
      <c r="P918" s="94">
        <f>IF($A918="",0,$H918*설정!$C$23)</f>
        <v/>
      </c>
      <c r="Q918" s="64">
        <f>IF($A918="","",IF(O918&lt;&gt;원인분석!$C$9,"",IF(AND(M918&gt;=원인분석!$C$10,M918&lt;=원인분석!$C$11),"당기",IF(AND(M918&gt;=원인분석!$C$12,M918&lt;=원인분석!$C$13),"비교",""))))</f>
        <v/>
      </c>
      <c r="R918" s="9">
        <f>IF(Q918="","",$K918&amp;"")</f>
        <v/>
      </c>
      <c r="S918" s="9">
        <f>IF(Q918="","",IF(MATCH(R918,$R$5:$R$100000,0)=ROW()-4,ROW(),""))</f>
        <v/>
      </c>
      <c r="T918" s="9">
        <f>IF(Q918="당기",ABS(P918)+ROW()/1000000000,"")</f>
        <v/>
      </c>
      <c r="U918" s="9">
        <f>IF(Q918="비교",ABS(P918)+ROW()/1000000000,"")</f>
        <v/>
      </c>
      <c r="V918" s="64">
        <f>IF($A918="","",IF(COUNTIF(변동분석!$E$7:$E$506,O918)&gt;0,"Y","N"))</f>
        <v/>
      </c>
      <c r="W918" s="64">
        <f>IF($A918="","",IFERROR(INDEX(계정매핑!$D$5:$D$504,MATCH($F918&amp;"",계정매핑!$A$5:$A$504,0)),"미매핑"))</f>
        <v/>
      </c>
      <c r="X918" s="9">
        <f>IF($A918="","",$F918&amp;"")</f>
        <v/>
      </c>
      <c r="Y918" s="94">
        <f>IF($A918="",0,IF(AE918="직접",IF(AF918="비귀속",$P918,0),$P918*(1-AG918)*IFERROR(INDEX(계정대체기준!$F$20:$F$49,MATCH($N918,계정대체기준!$A$20:$A$49,0)),1)))</f>
        <v/>
      </c>
      <c r="Z918" s="94">
        <f>IF($A918="",0,IF(AE918="직접",IF(AF918="신계약비",$P918,0),$P918*(1-AG918)*IFERROR(INDEX(계정대체기준!$C$20:$C$49,MATCH($N918,계정대체기준!$A$20:$A$49,0)),0)))</f>
        <v/>
      </c>
      <c r="AA918" s="94">
        <f>IF($A918="",0,IF(AE918="직접",IF(OR(AF918="유지비",AF918="손해조사비"),$P918,0),$P918*(1-AG918)*IFERROR(INDEX(계정대체기준!$D$20:$D$49,MATCH($N918,계정대체기준!$A$20:$A$49,0)),0)))</f>
        <v/>
      </c>
      <c r="AB918" s="94">
        <f>IF($A918="",0,IF(AE918="직접",IF(AF918="수금비",$P918,0),$P918*(1-AG918)*IFERROR(INDEX(계정대체기준!$E$20:$E$49,MATCH($N918,계정대체기준!$A$20:$A$49,0)),0)))</f>
        <v/>
      </c>
      <c r="AC918" s="9">
        <f>IF(AND($A918&lt;&gt;"",M918=설정!$C$20,Z918&gt;0),Z918+ROW()/1000000000,"")</f>
        <v/>
      </c>
      <c r="AD918" s="94">
        <f>IF($A918="",0,$P918*AG918)</f>
        <v/>
      </c>
      <c r="AE918" s="64">
        <f>IF($A918="","",IFERROR(INDEX(계정매핑!$E$5:$E$504,MATCH($F918&amp;"",계정매핑!$A$5:$A$504,0))&amp;"","공통비"))</f>
        <v/>
      </c>
      <c r="AF918" s="64">
        <f>IF($A918="","",IF(AE918="직접",IFERROR(INDEX(계정매핑!$F$5:$F$504,MATCH($F918&amp;"",계정매핑!$A$5:$A$504,0))&amp;"","비귀속"),""))</f>
        <v/>
      </c>
      <c r="AG918" s="96">
        <f>IF($A918="",0,IF(AND(AE918&lt;&gt;"직접",IFERROR(INDEX(계정매핑!$G$5:$G$504,MATCH($F918&amp;"",계정매핑!$A$5:$A$504,0))&amp;"","")="유지비",COUNTIF(계정대체기준!$A$6:$A$15,$N918)&gt;0),IFERROR(INDEX(계정대체기준!$E$6:$E$15,MATCH(VALUE($A918&amp;""),계정대체기준!$D$6:$D$15,0)),0),0))</f>
        <v/>
      </c>
      <c r="AH918" s="64">
        <f>IF($A918="","",IF(AD918=0,"",IF(OR(COUNTIF(계정대체기준!$A$77:$A$86,$N918)&gt;0,ISNUMBER(MATCH($X918,계정대체기준!$D$77:$D$86,0)),ISNUMBER(MATCH($F918,계정대체기준!$D$77:$D$86,0))),"Y","N")))</f>
        <v/>
      </c>
    </row>
    <row r="919">
      <c r="A919" s="92" t="n">
        <v>2025</v>
      </c>
      <c r="B919" s="92" t="n">
        <v>5</v>
      </c>
      <c r="C919" s="92" t="inlineStr">
        <is>
          <t>5100000915</t>
        </is>
      </c>
      <c r="D919" s="95" t="n">
        <v>45779</v>
      </c>
      <c r="E919" s="92" t="inlineStr">
        <is>
          <t>KR</t>
        </is>
      </c>
      <c r="F919" s="92" t="n">
        <v>62101000</v>
      </c>
      <c r="G919" s="92" t="n">
        <v>1401</v>
      </c>
      <c r="H919" s="93" t="n">
        <v>403000</v>
      </c>
      <c r="I919" s="92" t="inlineStr">
        <is>
          <t>5월 국내출장 - (법인카드)</t>
        </is>
      </c>
      <c r="J919" s="92" t="inlineStr">
        <is>
          <t>V10010</t>
        </is>
      </c>
      <c r="K919" s="92" t="inlineStr">
        <is>
          <t>(법인카드)</t>
        </is>
      </c>
      <c r="M919" s="9">
        <f>IF($A919="","",VALUE($A919&amp;"")*12+VALUE($B919&amp;""))</f>
        <v/>
      </c>
      <c r="N919" s="64">
        <f>IF($A919="","",IFERROR(INDEX(부서매핑!$C$5:$C$504,MATCH($G919&amp;"",부서매핑!$A$5:$A$504,0)),"미매핑"))</f>
        <v/>
      </c>
      <c r="O919" s="9">
        <f>IF($A919="","",N919&amp;"|"&amp;$F919)</f>
        <v/>
      </c>
      <c r="P919" s="94">
        <f>IF($A919="",0,$H919*설정!$C$23)</f>
        <v/>
      </c>
      <c r="Q919" s="64">
        <f>IF($A919="","",IF(O919&lt;&gt;원인분석!$C$9,"",IF(AND(M919&gt;=원인분석!$C$10,M919&lt;=원인분석!$C$11),"당기",IF(AND(M919&gt;=원인분석!$C$12,M919&lt;=원인분석!$C$13),"비교",""))))</f>
        <v/>
      </c>
      <c r="R919" s="9">
        <f>IF(Q919="","",$K919&amp;"")</f>
        <v/>
      </c>
      <c r="S919" s="9">
        <f>IF(Q919="","",IF(MATCH(R919,$R$5:$R$100000,0)=ROW()-4,ROW(),""))</f>
        <v/>
      </c>
      <c r="T919" s="9">
        <f>IF(Q919="당기",ABS(P919)+ROW()/1000000000,"")</f>
        <v/>
      </c>
      <c r="U919" s="9">
        <f>IF(Q919="비교",ABS(P919)+ROW()/1000000000,"")</f>
        <v/>
      </c>
      <c r="V919" s="64">
        <f>IF($A919="","",IF(COUNTIF(변동분석!$E$7:$E$506,O919)&gt;0,"Y","N"))</f>
        <v/>
      </c>
      <c r="W919" s="64">
        <f>IF($A919="","",IFERROR(INDEX(계정매핑!$D$5:$D$504,MATCH($F919&amp;"",계정매핑!$A$5:$A$504,0)),"미매핑"))</f>
        <v/>
      </c>
      <c r="X919" s="9">
        <f>IF($A919="","",$F919&amp;"")</f>
        <v/>
      </c>
      <c r="Y919" s="94">
        <f>IF($A919="",0,IF(AE919="직접",IF(AF919="비귀속",$P919,0),$P919*(1-AG919)*IFERROR(INDEX(계정대체기준!$F$20:$F$49,MATCH($N919,계정대체기준!$A$20:$A$49,0)),1)))</f>
        <v/>
      </c>
      <c r="Z919" s="94">
        <f>IF($A919="",0,IF(AE919="직접",IF(AF919="신계약비",$P919,0),$P919*(1-AG919)*IFERROR(INDEX(계정대체기준!$C$20:$C$49,MATCH($N919,계정대체기준!$A$20:$A$49,0)),0)))</f>
        <v/>
      </c>
      <c r="AA919" s="94">
        <f>IF($A919="",0,IF(AE919="직접",IF(OR(AF919="유지비",AF919="손해조사비"),$P919,0),$P919*(1-AG919)*IFERROR(INDEX(계정대체기준!$D$20:$D$49,MATCH($N919,계정대체기준!$A$20:$A$49,0)),0)))</f>
        <v/>
      </c>
      <c r="AB919" s="94">
        <f>IF($A919="",0,IF(AE919="직접",IF(AF919="수금비",$P919,0),$P919*(1-AG919)*IFERROR(INDEX(계정대체기준!$E$20:$E$49,MATCH($N919,계정대체기준!$A$20:$A$49,0)),0)))</f>
        <v/>
      </c>
      <c r="AC919" s="9">
        <f>IF(AND($A919&lt;&gt;"",M919=설정!$C$20,Z919&gt;0),Z919+ROW()/1000000000,"")</f>
        <v/>
      </c>
      <c r="AD919" s="94">
        <f>IF($A919="",0,$P919*AG919)</f>
        <v/>
      </c>
      <c r="AE919" s="64">
        <f>IF($A919="","",IFERROR(INDEX(계정매핑!$E$5:$E$504,MATCH($F919&amp;"",계정매핑!$A$5:$A$504,0))&amp;"","공통비"))</f>
        <v/>
      </c>
      <c r="AF919" s="64">
        <f>IF($A919="","",IF(AE919="직접",IFERROR(INDEX(계정매핑!$F$5:$F$504,MATCH($F919&amp;"",계정매핑!$A$5:$A$504,0))&amp;"","비귀속"),""))</f>
        <v/>
      </c>
      <c r="AG919" s="96">
        <f>IF($A919="",0,IF(AND(AE919&lt;&gt;"직접",IFERROR(INDEX(계정매핑!$G$5:$G$504,MATCH($F919&amp;"",계정매핑!$A$5:$A$504,0))&amp;"","")="유지비",COUNTIF(계정대체기준!$A$6:$A$15,$N919)&gt;0),IFERROR(INDEX(계정대체기준!$E$6:$E$15,MATCH(VALUE($A919&amp;""),계정대체기준!$D$6:$D$15,0)),0),0))</f>
        <v/>
      </c>
      <c r="AH919" s="64">
        <f>IF($A919="","",IF(AD919=0,"",IF(OR(COUNTIF(계정대체기준!$A$77:$A$86,$N919)&gt;0,ISNUMBER(MATCH($X919,계정대체기준!$D$77:$D$86,0)),ISNUMBER(MATCH($F919,계정대체기준!$D$77:$D$86,0))),"Y","N")))</f>
        <v/>
      </c>
    </row>
    <row r="920">
      <c r="A920" s="92" t="n">
        <v>2025</v>
      </c>
      <c r="B920" s="92" t="n">
        <v>5</v>
      </c>
      <c r="C920" s="92" t="inlineStr">
        <is>
          <t>5100000916</t>
        </is>
      </c>
      <c r="D920" s="95" t="n">
        <v>45779</v>
      </c>
      <c r="E920" s="92" t="inlineStr">
        <is>
          <t>KR</t>
        </is>
      </c>
      <c r="F920" s="92" t="n">
        <v>62101000</v>
      </c>
      <c r="G920" s="92" t="n">
        <v>1601</v>
      </c>
      <c r="H920" s="93" t="n">
        <v>1626000</v>
      </c>
      <c r="I920" s="92" t="inlineStr">
        <is>
          <t>5월 국내출장 - L여행사</t>
        </is>
      </c>
      <c r="J920" s="92" t="inlineStr">
        <is>
          <t>V10018</t>
        </is>
      </c>
      <c r="K920" s="92" t="inlineStr">
        <is>
          <t>L여행사</t>
        </is>
      </c>
      <c r="M920" s="9">
        <f>IF($A920="","",VALUE($A920&amp;"")*12+VALUE($B920&amp;""))</f>
        <v/>
      </c>
      <c r="N920" s="64">
        <f>IF($A920="","",IFERROR(INDEX(부서매핑!$C$5:$C$504,MATCH($G920&amp;"",부서매핑!$A$5:$A$504,0)),"미매핑"))</f>
        <v/>
      </c>
      <c r="O920" s="9">
        <f>IF($A920="","",N920&amp;"|"&amp;$F920)</f>
        <v/>
      </c>
      <c r="P920" s="94">
        <f>IF($A920="",0,$H920*설정!$C$23)</f>
        <v/>
      </c>
      <c r="Q920" s="64">
        <f>IF($A920="","",IF(O920&lt;&gt;원인분석!$C$9,"",IF(AND(M920&gt;=원인분석!$C$10,M920&lt;=원인분석!$C$11),"당기",IF(AND(M920&gt;=원인분석!$C$12,M920&lt;=원인분석!$C$13),"비교",""))))</f>
        <v/>
      </c>
      <c r="R920" s="9">
        <f>IF(Q920="","",$K920&amp;"")</f>
        <v/>
      </c>
      <c r="S920" s="9">
        <f>IF(Q920="","",IF(MATCH(R920,$R$5:$R$100000,0)=ROW()-4,ROW(),""))</f>
        <v/>
      </c>
      <c r="T920" s="9">
        <f>IF(Q920="당기",ABS(P920)+ROW()/1000000000,"")</f>
        <v/>
      </c>
      <c r="U920" s="9">
        <f>IF(Q920="비교",ABS(P920)+ROW()/1000000000,"")</f>
        <v/>
      </c>
      <c r="V920" s="64">
        <f>IF($A920="","",IF(COUNTIF(변동분석!$E$7:$E$506,O920)&gt;0,"Y","N"))</f>
        <v/>
      </c>
      <c r="W920" s="64">
        <f>IF($A920="","",IFERROR(INDEX(계정매핑!$D$5:$D$504,MATCH($F920&amp;"",계정매핑!$A$5:$A$504,0)),"미매핑"))</f>
        <v/>
      </c>
      <c r="X920" s="9">
        <f>IF($A920="","",$F920&amp;"")</f>
        <v/>
      </c>
      <c r="Y920" s="94">
        <f>IF($A920="",0,IF(AE920="직접",IF(AF920="비귀속",$P920,0),$P920*(1-AG920)*IFERROR(INDEX(계정대체기준!$F$20:$F$49,MATCH($N920,계정대체기준!$A$20:$A$49,0)),1)))</f>
        <v/>
      </c>
      <c r="Z920" s="94">
        <f>IF($A920="",0,IF(AE920="직접",IF(AF920="신계약비",$P920,0),$P920*(1-AG920)*IFERROR(INDEX(계정대체기준!$C$20:$C$49,MATCH($N920,계정대체기준!$A$20:$A$49,0)),0)))</f>
        <v/>
      </c>
      <c r="AA920" s="94">
        <f>IF($A920="",0,IF(AE920="직접",IF(OR(AF920="유지비",AF920="손해조사비"),$P920,0),$P920*(1-AG920)*IFERROR(INDEX(계정대체기준!$D$20:$D$49,MATCH($N920,계정대체기준!$A$20:$A$49,0)),0)))</f>
        <v/>
      </c>
      <c r="AB920" s="94">
        <f>IF($A920="",0,IF(AE920="직접",IF(AF920="수금비",$P920,0),$P920*(1-AG920)*IFERROR(INDEX(계정대체기준!$E$20:$E$49,MATCH($N920,계정대체기준!$A$20:$A$49,0)),0)))</f>
        <v/>
      </c>
      <c r="AC920" s="9">
        <f>IF(AND($A920&lt;&gt;"",M920=설정!$C$20,Z920&gt;0),Z920+ROW()/1000000000,"")</f>
        <v/>
      </c>
      <c r="AD920" s="94">
        <f>IF($A920="",0,$P920*AG920)</f>
        <v/>
      </c>
      <c r="AE920" s="64">
        <f>IF($A920="","",IFERROR(INDEX(계정매핑!$E$5:$E$504,MATCH($F920&amp;"",계정매핑!$A$5:$A$504,0))&amp;"","공통비"))</f>
        <v/>
      </c>
      <c r="AF920" s="64">
        <f>IF($A920="","",IF(AE920="직접",IFERROR(INDEX(계정매핑!$F$5:$F$504,MATCH($F920&amp;"",계정매핑!$A$5:$A$504,0))&amp;"","비귀속"),""))</f>
        <v/>
      </c>
      <c r="AG920" s="96">
        <f>IF($A920="",0,IF(AND(AE920&lt;&gt;"직접",IFERROR(INDEX(계정매핑!$G$5:$G$504,MATCH($F920&amp;"",계정매핑!$A$5:$A$504,0))&amp;"","")="유지비",COUNTIF(계정대체기준!$A$6:$A$15,$N920)&gt;0),IFERROR(INDEX(계정대체기준!$E$6:$E$15,MATCH(VALUE($A920&amp;""),계정대체기준!$D$6:$D$15,0)),0),0))</f>
        <v/>
      </c>
      <c r="AH920" s="64">
        <f>IF($A920="","",IF(AD920=0,"",IF(OR(COUNTIF(계정대체기준!$A$77:$A$86,$N920)&gt;0,ISNUMBER(MATCH($X920,계정대체기준!$D$77:$D$86,0)),ISNUMBER(MATCH($F920,계정대체기준!$D$77:$D$86,0))),"Y","N")))</f>
        <v/>
      </c>
    </row>
    <row r="921">
      <c r="A921" s="92" t="n">
        <v>2025</v>
      </c>
      <c r="B921" s="92" t="n">
        <v>5</v>
      </c>
      <c r="C921" s="92" t="inlineStr">
        <is>
          <t>5100000917</t>
        </is>
      </c>
      <c r="D921" s="95" t="n">
        <v>45779</v>
      </c>
      <c r="E921" s="92" t="inlineStr">
        <is>
          <t>KR</t>
        </is>
      </c>
      <c r="F921" s="92" t="n">
        <v>62102000</v>
      </c>
      <c r="G921" s="92" t="n">
        <v>1401</v>
      </c>
      <c r="H921" s="93" t="n">
        <v>119000</v>
      </c>
      <c r="I921" s="92" t="inlineStr">
        <is>
          <t>5월 해외출장 - N호텔</t>
        </is>
      </c>
      <c r="J921" s="92" t="inlineStr">
        <is>
          <t>V10009</t>
        </is>
      </c>
      <c r="K921" s="92" t="inlineStr">
        <is>
          <t>N호텔</t>
        </is>
      </c>
      <c r="M921" s="9">
        <f>IF($A921="","",VALUE($A921&amp;"")*12+VALUE($B921&amp;""))</f>
        <v/>
      </c>
      <c r="N921" s="64">
        <f>IF($A921="","",IFERROR(INDEX(부서매핑!$C$5:$C$504,MATCH($G921&amp;"",부서매핑!$A$5:$A$504,0)),"미매핑"))</f>
        <v/>
      </c>
      <c r="O921" s="9">
        <f>IF($A921="","",N921&amp;"|"&amp;$F921)</f>
        <v/>
      </c>
      <c r="P921" s="94">
        <f>IF($A921="",0,$H921*설정!$C$23)</f>
        <v/>
      </c>
      <c r="Q921" s="64">
        <f>IF($A921="","",IF(O921&lt;&gt;원인분석!$C$9,"",IF(AND(M921&gt;=원인분석!$C$10,M921&lt;=원인분석!$C$11),"당기",IF(AND(M921&gt;=원인분석!$C$12,M921&lt;=원인분석!$C$13),"비교",""))))</f>
        <v/>
      </c>
      <c r="R921" s="9">
        <f>IF(Q921="","",$K921&amp;"")</f>
        <v/>
      </c>
      <c r="S921" s="9">
        <f>IF(Q921="","",IF(MATCH(R921,$R$5:$R$100000,0)=ROW()-4,ROW(),""))</f>
        <v/>
      </c>
      <c r="T921" s="9">
        <f>IF(Q921="당기",ABS(P921)+ROW()/1000000000,"")</f>
        <v/>
      </c>
      <c r="U921" s="9">
        <f>IF(Q921="비교",ABS(P921)+ROW()/1000000000,"")</f>
        <v/>
      </c>
      <c r="V921" s="64">
        <f>IF($A921="","",IF(COUNTIF(변동분석!$E$7:$E$506,O921)&gt;0,"Y","N"))</f>
        <v/>
      </c>
      <c r="W921" s="64">
        <f>IF($A921="","",IFERROR(INDEX(계정매핑!$D$5:$D$504,MATCH($F921&amp;"",계정매핑!$A$5:$A$504,0)),"미매핑"))</f>
        <v/>
      </c>
      <c r="X921" s="9">
        <f>IF($A921="","",$F921&amp;"")</f>
        <v/>
      </c>
      <c r="Y921" s="94">
        <f>IF($A921="",0,IF(AE921="직접",IF(AF921="비귀속",$P921,0),$P921*(1-AG921)*IFERROR(INDEX(계정대체기준!$F$20:$F$49,MATCH($N921,계정대체기준!$A$20:$A$49,0)),1)))</f>
        <v/>
      </c>
      <c r="Z921" s="94">
        <f>IF($A921="",0,IF(AE921="직접",IF(AF921="신계약비",$P921,0),$P921*(1-AG921)*IFERROR(INDEX(계정대체기준!$C$20:$C$49,MATCH($N921,계정대체기준!$A$20:$A$49,0)),0)))</f>
        <v/>
      </c>
      <c r="AA921" s="94">
        <f>IF($A921="",0,IF(AE921="직접",IF(OR(AF921="유지비",AF921="손해조사비"),$P921,0),$P921*(1-AG921)*IFERROR(INDEX(계정대체기준!$D$20:$D$49,MATCH($N921,계정대체기준!$A$20:$A$49,0)),0)))</f>
        <v/>
      </c>
      <c r="AB921" s="94">
        <f>IF($A921="",0,IF(AE921="직접",IF(AF921="수금비",$P921,0),$P921*(1-AG921)*IFERROR(INDEX(계정대체기준!$E$20:$E$49,MATCH($N921,계정대체기준!$A$20:$A$49,0)),0)))</f>
        <v/>
      </c>
      <c r="AC921" s="9">
        <f>IF(AND($A921&lt;&gt;"",M921=설정!$C$20,Z921&gt;0),Z921+ROW()/1000000000,"")</f>
        <v/>
      </c>
      <c r="AD921" s="94">
        <f>IF($A921="",0,$P921*AG921)</f>
        <v/>
      </c>
      <c r="AE921" s="64">
        <f>IF($A921="","",IFERROR(INDEX(계정매핑!$E$5:$E$504,MATCH($F921&amp;"",계정매핑!$A$5:$A$504,0))&amp;"","공통비"))</f>
        <v/>
      </c>
      <c r="AF921" s="64">
        <f>IF($A921="","",IF(AE921="직접",IFERROR(INDEX(계정매핑!$F$5:$F$504,MATCH($F921&amp;"",계정매핑!$A$5:$A$504,0))&amp;"","비귀속"),""))</f>
        <v/>
      </c>
      <c r="AG921" s="96">
        <f>IF($A921="",0,IF(AND(AE921&lt;&gt;"직접",IFERROR(INDEX(계정매핑!$G$5:$G$504,MATCH($F921&amp;"",계정매핑!$A$5:$A$504,0))&amp;"","")="유지비",COUNTIF(계정대체기준!$A$6:$A$15,$N921)&gt;0),IFERROR(INDEX(계정대체기준!$E$6:$E$15,MATCH(VALUE($A921&amp;""),계정대체기준!$D$6:$D$15,0)),0),0))</f>
        <v/>
      </c>
      <c r="AH921" s="64">
        <f>IF($A921="","",IF(AD921=0,"",IF(OR(COUNTIF(계정대체기준!$A$77:$A$86,$N921)&gt;0,ISNUMBER(MATCH($X921,계정대체기준!$D$77:$D$86,0)),ISNUMBER(MATCH($F921,계정대체기준!$D$77:$D$86,0))),"Y","N")))</f>
        <v/>
      </c>
    </row>
    <row r="922">
      <c r="A922" s="92" t="n">
        <v>2025</v>
      </c>
      <c r="B922" s="92" t="n">
        <v>5</v>
      </c>
      <c r="C922" s="92" t="inlineStr">
        <is>
          <t>5100000918</t>
        </is>
      </c>
      <c r="D922" s="95" t="n">
        <v>45779</v>
      </c>
      <c r="E922" s="92" t="inlineStr">
        <is>
          <t>KR</t>
        </is>
      </c>
      <c r="F922" s="92" t="n">
        <v>62102000</v>
      </c>
      <c r="G922" s="92" t="n">
        <v>1501</v>
      </c>
      <c r="H922" s="93" t="n">
        <v>129000</v>
      </c>
      <c r="I922" s="92" t="inlineStr">
        <is>
          <t>5월 해외출장 - N호텔</t>
        </is>
      </c>
      <c r="J922" s="92" t="inlineStr">
        <is>
          <t>V10009</t>
        </is>
      </c>
      <c r="K922" s="92" t="inlineStr">
        <is>
          <t>N호텔</t>
        </is>
      </c>
      <c r="M922" s="9">
        <f>IF($A922="","",VALUE($A922&amp;"")*12+VALUE($B922&amp;""))</f>
        <v/>
      </c>
      <c r="N922" s="64">
        <f>IF($A922="","",IFERROR(INDEX(부서매핑!$C$5:$C$504,MATCH($G922&amp;"",부서매핑!$A$5:$A$504,0)),"미매핑"))</f>
        <v/>
      </c>
      <c r="O922" s="9">
        <f>IF($A922="","",N922&amp;"|"&amp;$F922)</f>
        <v/>
      </c>
      <c r="P922" s="94">
        <f>IF($A922="",0,$H922*설정!$C$23)</f>
        <v/>
      </c>
      <c r="Q922" s="64">
        <f>IF($A922="","",IF(O922&lt;&gt;원인분석!$C$9,"",IF(AND(M922&gt;=원인분석!$C$10,M922&lt;=원인분석!$C$11),"당기",IF(AND(M922&gt;=원인분석!$C$12,M922&lt;=원인분석!$C$13),"비교",""))))</f>
        <v/>
      </c>
      <c r="R922" s="9">
        <f>IF(Q922="","",$K922&amp;"")</f>
        <v/>
      </c>
      <c r="S922" s="9">
        <f>IF(Q922="","",IF(MATCH(R922,$R$5:$R$100000,0)=ROW()-4,ROW(),""))</f>
        <v/>
      </c>
      <c r="T922" s="9">
        <f>IF(Q922="당기",ABS(P922)+ROW()/1000000000,"")</f>
        <v/>
      </c>
      <c r="U922" s="9">
        <f>IF(Q922="비교",ABS(P922)+ROW()/1000000000,"")</f>
        <v/>
      </c>
      <c r="V922" s="64">
        <f>IF($A922="","",IF(COUNTIF(변동분석!$E$7:$E$506,O922)&gt;0,"Y","N"))</f>
        <v/>
      </c>
      <c r="W922" s="64">
        <f>IF($A922="","",IFERROR(INDEX(계정매핑!$D$5:$D$504,MATCH($F922&amp;"",계정매핑!$A$5:$A$504,0)),"미매핑"))</f>
        <v/>
      </c>
      <c r="X922" s="9">
        <f>IF($A922="","",$F922&amp;"")</f>
        <v/>
      </c>
      <c r="Y922" s="94">
        <f>IF($A922="",0,IF(AE922="직접",IF(AF922="비귀속",$P922,0),$P922*(1-AG922)*IFERROR(INDEX(계정대체기준!$F$20:$F$49,MATCH($N922,계정대체기준!$A$20:$A$49,0)),1)))</f>
        <v/>
      </c>
      <c r="Z922" s="94">
        <f>IF($A922="",0,IF(AE922="직접",IF(AF922="신계약비",$P922,0),$P922*(1-AG922)*IFERROR(INDEX(계정대체기준!$C$20:$C$49,MATCH($N922,계정대체기준!$A$20:$A$49,0)),0)))</f>
        <v/>
      </c>
      <c r="AA922" s="94">
        <f>IF($A922="",0,IF(AE922="직접",IF(OR(AF922="유지비",AF922="손해조사비"),$P922,0),$P922*(1-AG922)*IFERROR(INDEX(계정대체기준!$D$20:$D$49,MATCH($N922,계정대체기준!$A$20:$A$49,0)),0)))</f>
        <v/>
      </c>
      <c r="AB922" s="94">
        <f>IF($A922="",0,IF(AE922="직접",IF(AF922="수금비",$P922,0),$P922*(1-AG922)*IFERROR(INDEX(계정대체기준!$E$20:$E$49,MATCH($N922,계정대체기준!$A$20:$A$49,0)),0)))</f>
        <v/>
      </c>
      <c r="AC922" s="9">
        <f>IF(AND($A922&lt;&gt;"",M922=설정!$C$20,Z922&gt;0),Z922+ROW()/1000000000,"")</f>
        <v/>
      </c>
      <c r="AD922" s="94">
        <f>IF($A922="",0,$P922*AG922)</f>
        <v/>
      </c>
      <c r="AE922" s="64">
        <f>IF($A922="","",IFERROR(INDEX(계정매핑!$E$5:$E$504,MATCH($F922&amp;"",계정매핑!$A$5:$A$504,0))&amp;"","공통비"))</f>
        <v/>
      </c>
      <c r="AF922" s="64">
        <f>IF($A922="","",IF(AE922="직접",IFERROR(INDEX(계정매핑!$F$5:$F$504,MATCH($F922&amp;"",계정매핑!$A$5:$A$504,0))&amp;"","비귀속"),""))</f>
        <v/>
      </c>
      <c r="AG922" s="96">
        <f>IF($A922="",0,IF(AND(AE922&lt;&gt;"직접",IFERROR(INDEX(계정매핑!$G$5:$G$504,MATCH($F922&amp;"",계정매핑!$A$5:$A$504,0))&amp;"","")="유지비",COUNTIF(계정대체기준!$A$6:$A$15,$N922)&gt;0),IFERROR(INDEX(계정대체기준!$E$6:$E$15,MATCH(VALUE($A922&amp;""),계정대체기준!$D$6:$D$15,0)),0),0))</f>
        <v/>
      </c>
      <c r="AH922" s="64">
        <f>IF($A922="","",IF(AD922=0,"",IF(OR(COUNTIF(계정대체기준!$A$77:$A$86,$N922)&gt;0,ISNUMBER(MATCH($X922,계정대체기준!$D$77:$D$86,0)),ISNUMBER(MATCH($F922,계정대체기준!$D$77:$D$86,0))),"Y","N")))</f>
        <v/>
      </c>
    </row>
    <row r="923">
      <c r="A923" s="92" t="n">
        <v>2025</v>
      </c>
      <c r="B923" s="92" t="n">
        <v>5</v>
      </c>
      <c r="C923" s="92" t="inlineStr">
        <is>
          <t>5100000919</t>
        </is>
      </c>
      <c r="D923" s="95" t="n">
        <v>45779</v>
      </c>
      <c r="E923" s="92" t="inlineStr">
        <is>
          <t>KR</t>
        </is>
      </c>
      <c r="F923" s="92" t="n">
        <v>62301000</v>
      </c>
      <c r="G923" s="92" t="n">
        <v>1301</v>
      </c>
      <c r="H923" s="93" t="n">
        <v>255000</v>
      </c>
      <c r="I923" s="92" t="inlineStr">
        <is>
          <t>5월 소모품 구입 - R문구</t>
        </is>
      </c>
      <c r="J923" s="92" t="inlineStr">
        <is>
          <t>V10022</t>
        </is>
      </c>
      <c r="K923" s="92" t="inlineStr">
        <is>
          <t>R문구</t>
        </is>
      </c>
      <c r="M923" s="9">
        <f>IF($A923="","",VALUE($A923&amp;"")*12+VALUE($B923&amp;""))</f>
        <v/>
      </c>
      <c r="N923" s="64">
        <f>IF($A923="","",IFERROR(INDEX(부서매핑!$C$5:$C$504,MATCH($G923&amp;"",부서매핑!$A$5:$A$504,0)),"미매핑"))</f>
        <v/>
      </c>
      <c r="O923" s="9">
        <f>IF($A923="","",N923&amp;"|"&amp;$F923)</f>
        <v/>
      </c>
      <c r="P923" s="94">
        <f>IF($A923="",0,$H923*설정!$C$23)</f>
        <v/>
      </c>
      <c r="Q923" s="64">
        <f>IF($A923="","",IF(O923&lt;&gt;원인분석!$C$9,"",IF(AND(M923&gt;=원인분석!$C$10,M923&lt;=원인분석!$C$11),"당기",IF(AND(M923&gt;=원인분석!$C$12,M923&lt;=원인분석!$C$13),"비교",""))))</f>
        <v/>
      </c>
      <c r="R923" s="9">
        <f>IF(Q923="","",$K923&amp;"")</f>
        <v/>
      </c>
      <c r="S923" s="9">
        <f>IF(Q923="","",IF(MATCH(R923,$R$5:$R$100000,0)=ROW()-4,ROW(),""))</f>
        <v/>
      </c>
      <c r="T923" s="9">
        <f>IF(Q923="당기",ABS(P923)+ROW()/1000000000,"")</f>
        <v/>
      </c>
      <c r="U923" s="9">
        <f>IF(Q923="비교",ABS(P923)+ROW()/1000000000,"")</f>
        <v/>
      </c>
      <c r="V923" s="64">
        <f>IF($A923="","",IF(COUNTIF(변동분석!$E$7:$E$506,O923)&gt;0,"Y","N"))</f>
        <v/>
      </c>
      <c r="W923" s="64">
        <f>IF($A923="","",IFERROR(INDEX(계정매핑!$D$5:$D$504,MATCH($F923&amp;"",계정매핑!$A$5:$A$504,0)),"미매핑"))</f>
        <v/>
      </c>
      <c r="X923" s="9">
        <f>IF($A923="","",$F923&amp;"")</f>
        <v/>
      </c>
      <c r="Y923" s="94">
        <f>IF($A923="",0,IF(AE923="직접",IF(AF923="비귀속",$P923,0),$P923*(1-AG923)*IFERROR(INDEX(계정대체기준!$F$20:$F$49,MATCH($N923,계정대체기준!$A$20:$A$49,0)),1)))</f>
        <v/>
      </c>
      <c r="Z923" s="94">
        <f>IF($A923="",0,IF(AE923="직접",IF(AF923="신계약비",$P923,0),$P923*(1-AG923)*IFERROR(INDEX(계정대체기준!$C$20:$C$49,MATCH($N923,계정대체기준!$A$20:$A$49,0)),0)))</f>
        <v/>
      </c>
      <c r="AA923" s="94">
        <f>IF($A923="",0,IF(AE923="직접",IF(OR(AF923="유지비",AF923="손해조사비"),$P923,0),$P923*(1-AG923)*IFERROR(INDEX(계정대체기준!$D$20:$D$49,MATCH($N923,계정대체기준!$A$20:$A$49,0)),0)))</f>
        <v/>
      </c>
      <c r="AB923" s="94">
        <f>IF($A923="",0,IF(AE923="직접",IF(AF923="수금비",$P923,0),$P923*(1-AG923)*IFERROR(INDEX(계정대체기준!$E$20:$E$49,MATCH($N923,계정대체기준!$A$20:$A$49,0)),0)))</f>
        <v/>
      </c>
      <c r="AC923" s="9">
        <f>IF(AND($A923&lt;&gt;"",M923=설정!$C$20,Z923&gt;0),Z923+ROW()/1000000000,"")</f>
        <v/>
      </c>
      <c r="AD923" s="94">
        <f>IF($A923="",0,$P923*AG923)</f>
        <v/>
      </c>
      <c r="AE923" s="64">
        <f>IF($A923="","",IFERROR(INDEX(계정매핑!$E$5:$E$504,MATCH($F923&amp;"",계정매핑!$A$5:$A$504,0))&amp;"","공통비"))</f>
        <v/>
      </c>
      <c r="AF923" s="64">
        <f>IF($A923="","",IF(AE923="직접",IFERROR(INDEX(계정매핑!$F$5:$F$504,MATCH($F923&amp;"",계정매핑!$A$5:$A$504,0))&amp;"","비귀속"),""))</f>
        <v/>
      </c>
      <c r="AG923" s="96">
        <f>IF($A923="",0,IF(AND(AE923&lt;&gt;"직접",IFERROR(INDEX(계정매핑!$G$5:$G$504,MATCH($F923&amp;"",계정매핑!$A$5:$A$504,0))&amp;"","")="유지비",COUNTIF(계정대체기준!$A$6:$A$15,$N923)&gt;0),IFERROR(INDEX(계정대체기준!$E$6:$E$15,MATCH(VALUE($A923&amp;""),계정대체기준!$D$6:$D$15,0)),0),0))</f>
        <v/>
      </c>
      <c r="AH923" s="64">
        <f>IF($A923="","",IF(AD923=0,"",IF(OR(COUNTIF(계정대체기준!$A$77:$A$86,$N923)&gt;0,ISNUMBER(MATCH($X923,계정대체기준!$D$77:$D$86,0)),ISNUMBER(MATCH($F923,계정대체기준!$D$77:$D$86,0))),"Y","N")))</f>
        <v/>
      </c>
    </row>
    <row r="924">
      <c r="A924" s="92" t="n">
        <v>2025</v>
      </c>
      <c r="B924" s="92" t="n">
        <v>5</v>
      </c>
      <c r="C924" s="92" t="inlineStr">
        <is>
          <t>5100000920</t>
        </is>
      </c>
      <c r="D924" s="95" t="n">
        <v>45779</v>
      </c>
      <c r="E924" s="92" t="inlineStr">
        <is>
          <t>KR</t>
        </is>
      </c>
      <c r="F924" s="92" t="n">
        <v>62301000</v>
      </c>
      <c r="G924" s="92" t="n">
        <v>1602</v>
      </c>
      <c r="H924" s="93" t="n">
        <v>322000</v>
      </c>
      <c r="I924" s="92" t="inlineStr">
        <is>
          <t>5월 소모품 구입 - Q오피스</t>
        </is>
      </c>
      <c r="J924" s="92" t="inlineStr">
        <is>
          <t>V10003</t>
        </is>
      </c>
      <c r="K924" s="92" t="inlineStr">
        <is>
          <t>Q오피스</t>
        </is>
      </c>
      <c r="M924" s="9">
        <f>IF($A924="","",VALUE($A924&amp;"")*12+VALUE($B924&amp;""))</f>
        <v/>
      </c>
      <c r="N924" s="64">
        <f>IF($A924="","",IFERROR(INDEX(부서매핑!$C$5:$C$504,MATCH($G924&amp;"",부서매핑!$A$5:$A$504,0)),"미매핑"))</f>
        <v/>
      </c>
      <c r="O924" s="9">
        <f>IF($A924="","",N924&amp;"|"&amp;$F924)</f>
        <v/>
      </c>
      <c r="P924" s="94">
        <f>IF($A924="",0,$H924*설정!$C$23)</f>
        <v/>
      </c>
      <c r="Q924" s="64">
        <f>IF($A924="","",IF(O924&lt;&gt;원인분석!$C$9,"",IF(AND(M924&gt;=원인분석!$C$10,M924&lt;=원인분석!$C$11),"당기",IF(AND(M924&gt;=원인분석!$C$12,M924&lt;=원인분석!$C$13),"비교",""))))</f>
        <v/>
      </c>
      <c r="R924" s="9">
        <f>IF(Q924="","",$K924&amp;"")</f>
        <v/>
      </c>
      <c r="S924" s="9">
        <f>IF(Q924="","",IF(MATCH(R924,$R$5:$R$100000,0)=ROW()-4,ROW(),""))</f>
        <v/>
      </c>
      <c r="T924" s="9">
        <f>IF(Q924="당기",ABS(P924)+ROW()/1000000000,"")</f>
        <v/>
      </c>
      <c r="U924" s="9">
        <f>IF(Q924="비교",ABS(P924)+ROW()/1000000000,"")</f>
        <v/>
      </c>
      <c r="V924" s="64">
        <f>IF($A924="","",IF(COUNTIF(변동분석!$E$7:$E$506,O924)&gt;0,"Y","N"))</f>
        <v/>
      </c>
      <c r="W924" s="64">
        <f>IF($A924="","",IFERROR(INDEX(계정매핑!$D$5:$D$504,MATCH($F924&amp;"",계정매핑!$A$5:$A$504,0)),"미매핑"))</f>
        <v/>
      </c>
      <c r="X924" s="9">
        <f>IF($A924="","",$F924&amp;"")</f>
        <v/>
      </c>
      <c r="Y924" s="94">
        <f>IF($A924="",0,IF(AE924="직접",IF(AF924="비귀속",$P924,0),$P924*(1-AG924)*IFERROR(INDEX(계정대체기준!$F$20:$F$49,MATCH($N924,계정대체기준!$A$20:$A$49,0)),1)))</f>
        <v/>
      </c>
      <c r="Z924" s="94">
        <f>IF($A924="",0,IF(AE924="직접",IF(AF924="신계약비",$P924,0),$P924*(1-AG924)*IFERROR(INDEX(계정대체기준!$C$20:$C$49,MATCH($N924,계정대체기준!$A$20:$A$49,0)),0)))</f>
        <v/>
      </c>
      <c r="AA924" s="94">
        <f>IF($A924="",0,IF(AE924="직접",IF(OR(AF924="유지비",AF924="손해조사비"),$P924,0),$P924*(1-AG924)*IFERROR(INDEX(계정대체기준!$D$20:$D$49,MATCH($N924,계정대체기준!$A$20:$A$49,0)),0)))</f>
        <v/>
      </c>
      <c r="AB924" s="94">
        <f>IF($A924="",0,IF(AE924="직접",IF(AF924="수금비",$P924,0),$P924*(1-AG924)*IFERROR(INDEX(계정대체기준!$E$20:$E$49,MATCH($N924,계정대체기준!$A$20:$A$49,0)),0)))</f>
        <v/>
      </c>
      <c r="AC924" s="9">
        <f>IF(AND($A924&lt;&gt;"",M924=설정!$C$20,Z924&gt;0),Z924+ROW()/1000000000,"")</f>
        <v/>
      </c>
      <c r="AD924" s="94">
        <f>IF($A924="",0,$P924*AG924)</f>
        <v/>
      </c>
      <c r="AE924" s="64">
        <f>IF($A924="","",IFERROR(INDEX(계정매핑!$E$5:$E$504,MATCH($F924&amp;"",계정매핑!$A$5:$A$504,0))&amp;"","공통비"))</f>
        <v/>
      </c>
      <c r="AF924" s="64">
        <f>IF($A924="","",IF(AE924="직접",IFERROR(INDEX(계정매핑!$F$5:$F$504,MATCH($F924&amp;"",계정매핑!$A$5:$A$504,0))&amp;"","비귀속"),""))</f>
        <v/>
      </c>
      <c r="AG924" s="96">
        <f>IF($A924="",0,IF(AND(AE924&lt;&gt;"직접",IFERROR(INDEX(계정매핑!$G$5:$G$504,MATCH($F924&amp;"",계정매핑!$A$5:$A$504,0))&amp;"","")="유지비",COUNTIF(계정대체기준!$A$6:$A$15,$N924)&gt;0),IFERROR(INDEX(계정대체기준!$E$6:$E$15,MATCH(VALUE($A924&amp;""),계정대체기준!$D$6:$D$15,0)),0),0))</f>
        <v/>
      </c>
      <c r="AH924" s="64">
        <f>IF($A924="","",IF(AD924=0,"",IF(OR(COUNTIF(계정대체기준!$A$77:$A$86,$N924)&gt;0,ISNUMBER(MATCH($X924,계정대체기준!$D$77:$D$86,0)),ISNUMBER(MATCH($F924,계정대체기준!$D$77:$D$86,0))),"Y","N")))</f>
        <v/>
      </c>
    </row>
    <row r="925">
      <c r="A925" s="92" t="n">
        <v>2025</v>
      </c>
      <c r="B925" s="92" t="n">
        <v>5</v>
      </c>
      <c r="C925" s="92" t="inlineStr">
        <is>
          <t>5100000921</t>
        </is>
      </c>
      <c r="D925" s="95" t="n">
        <v>45779</v>
      </c>
      <c r="E925" s="92" t="inlineStr">
        <is>
          <t>KR</t>
        </is>
      </c>
      <c r="F925" s="92" t="n">
        <v>62501000</v>
      </c>
      <c r="G925" s="92" t="n">
        <v>1201</v>
      </c>
      <c r="H925" s="93" t="n">
        <v>87000</v>
      </c>
      <c r="I925" s="92" t="inlineStr">
        <is>
          <t>5월 회의 다과 - (법인카드)</t>
        </is>
      </c>
      <c r="J925" s="92" t="inlineStr">
        <is>
          <t>V10010</t>
        </is>
      </c>
      <c r="K925" s="92" t="inlineStr">
        <is>
          <t>(법인카드)</t>
        </is>
      </c>
      <c r="M925" s="9">
        <f>IF($A925="","",VALUE($A925&amp;"")*12+VALUE($B925&amp;""))</f>
        <v/>
      </c>
      <c r="N925" s="64">
        <f>IF($A925="","",IFERROR(INDEX(부서매핑!$C$5:$C$504,MATCH($G925&amp;"",부서매핑!$A$5:$A$504,0)),"미매핑"))</f>
        <v/>
      </c>
      <c r="O925" s="9">
        <f>IF($A925="","",N925&amp;"|"&amp;$F925)</f>
        <v/>
      </c>
      <c r="P925" s="94">
        <f>IF($A925="",0,$H925*설정!$C$23)</f>
        <v/>
      </c>
      <c r="Q925" s="64">
        <f>IF($A925="","",IF(O925&lt;&gt;원인분석!$C$9,"",IF(AND(M925&gt;=원인분석!$C$10,M925&lt;=원인분석!$C$11),"당기",IF(AND(M925&gt;=원인분석!$C$12,M925&lt;=원인분석!$C$13),"비교",""))))</f>
        <v/>
      </c>
      <c r="R925" s="9">
        <f>IF(Q925="","",$K925&amp;"")</f>
        <v/>
      </c>
      <c r="S925" s="9">
        <f>IF(Q925="","",IF(MATCH(R925,$R$5:$R$100000,0)=ROW()-4,ROW(),""))</f>
        <v/>
      </c>
      <c r="T925" s="9">
        <f>IF(Q925="당기",ABS(P925)+ROW()/1000000000,"")</f>
        <v/>
      </c>
      <c r="U925" s="9">
        <f>IF(Q925="비교",ABS(P925)+ROW()/1000000000,"")</f>
        <v/>
      </c>
      <c r="V925" s="64">
        <f>IF($A925="","",IF(COUNTIF(변동분석!$E$7:$E$506,O925)&gt;0,"Y","N"))</f>
        <v/>
      </c>
      <c r="W925" s="64">
        <f>IF($A925="","",IFERROR(INDEX(계정매핑!$D$5:$D$504,MATCH($F925&amp;"",계정매핑!$A$5:$A$504,0)),"미매핑"))</f>
        <v/>
      </c>
      <c r="X925" s="9">
        <f>IF($A925="","",$F925&amp;"")</f>
        <v/>
      </c>
      <c r="Y925" s="94">
        <f>IF($A925="",0,IF(AE925="직접",IF(AF925="비귀속",$P925,0),$P925*(1-AG925)*IFERROR(INDEX(계정대체기준!$F$20:$F$49,MATCH($N925,계정대체기준!$A$20:$A$49,0)),1)))</f>
        <v/>
      </c>
      <c r="Z925" s="94">
        <f>IF($A925="",0,IF(AE925="직접",IF(AF925="신계약비",$P925,0),$P925*(1-AG925)*IFERROR(INDEX(계정대체기준!$C$20:$C$49,MATCH($N925,계정대체기준!$A$20:$A$49,0)),0)))</f>
        <v/>
      </c>
      <c r="AA925" s="94">
        <f>IF($A925="",0,IF(AE925="직접",IF(OR(AF925="유지비",AF925="손해조사비"),$P925,0),$P925*(1-AG925)*IFERROR(INDEX(계정대체기준!$D$20:$D$49,MATCH($N925,계정대체기준!$A$20:$A$49,0)),0)))</f>
        <v/>
      </c>
      <c r="AB925" s="94">
        <f>IF($A925="",0,IF(AE925="직접",IF(AF925="수금비",$P925,0),$P925*(1-AG925)*IFERROR(INDEX(계정대체기준!$E$20:$E$49,MATCH($N925,계정대체기준!$A$20:$A$49,0)),0)))</f>
        <v/>
      </c>
      <c r="AC925" s="9">
        <f>IF(AND($A925&lt;&gt;"",M925=설정!$C$20,Z925&gt;0),Z925+ROW()/1000000000,"")</f>
        <v/>
      </c>
      <c r="AD925" s="94">
        <f>IF($A925="",0,$P925*AG925)</f>
        <v/>
      </c>
      <c r="AE925" s="64">
        <f>IF($A925="","",IFERROR(INDEX(계정매핑!$E$5:$E$504,MATCH($F925&amp;"",계정매핑!$A$5:$A$504,0))&amp;"","공통비"))</f>
        <v/>
      </c>
      <c r="AF925" s="64">
        <f>IF($A925="","",IF(AE925="직접",IFERROR(INDEX(계정매핑!$F$5:$F$504,MATCH($F925&amp;"",계정매핑!$A$5:$A$504,0))&amp;"","비귀속"),""))</f>
        <v/>
      </c>
      <c r="AG925" s="96">
        <f>IF($A925="",0,IF(AND(AE925&lt;&gt;"직접",IFERROR(INDEX(계정매핑!$G$5:$G$504,MATCH($F925&amp;"",계정매핑!$A$5:$A$504,0))&amp;"","")="유지비",COUNTIF(계정대체기준!$A$6:$A$15,$N925)&gt;0),IFERROR(INDEX(계정대체기준!$E$6:$E$15,MATCH(VALUE($A925&amp;""),계정대체기준!$D$6:$D$15,0)),0),0))</f>
        <v/>
      </c>
      <c r="AH925" s="64">
        <f>IF($A925="","",IF(AD925=0,"",IF(OR(COUNTIF(계정대체기준!$A$77:$A$86,$N925)&gt;0,ISNUMBER(MATCH($X925,계정대체기준!$D$77:$D$86,0)),ISNUMBER(MATCH($F925,계정대체기준!$D$77:$D$86,0))),"Y","N")))</f>
        <v/>
      </c>
    </row>
    <row r="926">
      <c r="A926" s="92" t="n">
        <v>2025</v>
      </c>
      <c r="B926" s="92" t="n">
        <v>5</v>
      </c>
      <c r="C926" s="92" t="inlineStr">
        <is>
          <t>5100000922</t>
        </is>
      </c>
      <c r="D926" s="95" t="n">
        <v>45779</v>
      </c>
      <c r="E926" s="92" t="inlineStr">
        <is>
          <t>KR</t>
        </is>
      </c>
      <c r="F926" s="92" t="n">
        <v>62601000</v>
      </c>
      <c r="G926" s="92" t="n">
        <v>1501</v>
      </c>
      <c r="H926" s="93" t="n">
        <v>1311000</v>
      </c>
      <c r="I926" s="92" t="inlineStr">
        <is>
          <t>5월 업무추진 - (법인카드)</t>
        </is>
      </c>
      <c r="J926" s="92" t="inlineStr">
        <is>
          <t>V10010</t>
        </is>
      </c>
      <c r="K926" s="92" t="inlineStr">
        <is>
          <t>(법인카드)</t>
        </is>
      </c>
      <c r="M926" s="9">
        <f>IF($A926="","",VALUE($A926&amp;"")*12+VALUE($B926&amp;""))</f>
        <v/>
      </c>
      <c r="N926" s="64">
        <f>IF($A926="","",IFERROR(INDEX(부서매핑!$C$5:$C$504,MATCH($G926&amp;"",부서매핑!$A$5:$A$504,0)),"미매핑"))</f>
        <v/>
      </c>
      <c r="O926" s="9">
        <f>IF($A926="","",N926&amp;"|"&amp;$F926)</f>
        <v/>
      </c>
      <c r="P926" s="94">
        <f>IF($A926="",0,$H926*설정!$C$23)</f>
        <v/>
      </c>
      <c r="Q926" s="64">
        <f>IF($A926="","",IF(O926&lt;&gt;원인분석!$C$9,"",IF(AND(M926&gt;=원인분석!$C$10,M926&lt;=원인분석!$C$11),"당기",IF(AND(M926&gt;=원인분석!$C$12,M926&lt;=원인분석!$C$13),"비교",""))))</f>
        <v/>
      </c>
      <c r="R926" s="9">
        <f>IF(Q926="","",$K926&amp;"")</f>
        <v/>
      </c>
      <c r="S926" s="9">
        <f>IF(Q926="","",IF(MATCH(R926,$R$5:$R$100000,0)=ROW()-4,ROW(),""))</f>
        <v/>
      </c>
      <c r="T926" s="9">
        <f>IF(Q926="당기",ABS(P926)+ROW()/1000000000,"")</f>
        <v/>
      </c>
      <c r="U926" s="9">
        <f>IF(Q926="비교",ABS(P926)+ROW()/1000000000,"")</f>
        <v/>
      </c>
      <c r="V926" s="64">
        <f>IF($A926="","",IF(COUNTIF(변동분석!$E$7:$E$506,O926)&gt;0,"Y","N"))</f>
        <v/>
      </c>
      <c r="W926" s="64">
        <f>IF($A926="","",IFERROR(INDEX(계정매핑!$D$5:$D$504,MATCH($F926&amp;"",계정매핑!$A$5:$A$504,0)),"미매핑"))</f>
        <v/>
      </c>
      <c r="X926" s="9">
        <f>IF($A926="","",$F926&amp;"")</f>
        <v/>
      </c>
      <c r="Y926" s="94">
        <f>IF($A926="",0,IF(AE926="직접",IF(AF926="비귀속",$P926,0),$P926*(1-AG926)*IFERROR(INDEX(계정대체기준!$F$20:$F$49,MATCH($N926,계정대체기준!$A$20:$A$49,0)),1)))</f>
        <v/>
      </c>
      <c r="Z926" s="94">
        <f>IF($A926="",0,IF(AE926="직접",IF(AF926="신계약비",$P926,0),$P926*(1-AG926)*IFERROR(INDEX(계정대체기준!$C$20:$C$49,MATCH($N926,계정대체기준!$A$20:$A$49,0)),0)))</f>
        <v/>
      </c>
      <c r="AA926" s="94">
        <f>IF($A926="",0,IF(AE926="직접",IF(OR(AF926="유지비",AF926="손해조사비"),$P926,0),$P926*(1-AG926)*IFERROR(INDEX(계정대체기준!$D$20:$D$49,MATCH($N926,계정대체기준!$A$20:$A$49,0)),0)))</f>
        <v/>
      </c>
      <c r="AB926" s="94">
        <f>IF($A926="",0,IF(AE926="직접",IF(AF926="수금비",$P926,0),$P926*(1-AG926)*IFERROR(INDEX(계정대체기준!$E$20:$E$49,MATCH($N926,계정대체기준!$A$20:$A$49,0)),0)))</f>
        <v/>
      </c>
      <c r="AC926" s="9">
        <f>IF(AND($A926&lt;&gt;"",M926=설정!$C$20,Z926&gt;0),Z926+ROW()/1000000000,"")</f>
        <v/>
      </c>
      <c r="AD926" s="94">
        <f>IF($A926="",0,$P926*AG926)</f>
        <v/>
      </c>
      <c r="AE926" s="64">
        <f>IF($A926="","",IFERROR(INDEX(계정매핑!$E$5:$E$504,MATCH($F926&amp;"",계정매핑!$A$5:$A$504,0))&amp;"","공통비"))</f>
        <v/>
      </c>
      <c r="AF926" s="64">
        <f>IF($A926="","",IF(AE926="직접",IFERROR(INDEX(계정매핑!$F$5:$F$504,MATCH($F926&amp;"",계정매핑!$A$5:$A$504,0))&amp;"","비귀속"),""))</f>
        <v/>
      </c>
      <c r="AG926" s="96">
        <f>IF($A926="",0,IF(AND(AE926&lt;&gt;"직접",IFERROR(INDEX(계정매핑!$G$5:$G$504,MATCH($F926&amp;"",계정매핑!$A$5:$A$504,0))&amp;"","")="유지비",COUNTIF(계정대체기준!$A$6:$A$15,$N926)&gt;0),IFERROR(INDEX(계정대체기준!$E$6:$E$15,MATCH(VALUE($A926&amp;""),계정대체기준!$D$6:$D$15,0)),0),0))</f>
        <v/>
      </c>
      <c r="AH926" s="64">
        <f>IF($A926="","",IF(AD926=0,"",IF(OR(COUNTIF(계정대체기준!$A$77:$A$86,$N926)&gt;0,ISNUMBER(MATCH($X926,계정대체기준!$D$77:$D$86,0)),ISNUMBER(MATCH($F926,계정대체기준!$D$77:$D$86,0))),"Y","N")))</f>
        <v/>
      </c>
    </row>
    <row r="927">
      <c r="A927" s="92" t="n">
        <v>2025</v>
      </c>
      <c r="B927" s="92" t="n">
        <v>5</v>
      </c>
      <c r="C927" s="92" t="inlineStr">
        <is>
          <t>5100000923</t>
        </is>
      </c>
      <c r="D927" s="95" t="n">
        <v>45779</v>
      </c>
      <c r="E927" s="92" t="inlineStr">
        <is>
          <t>KR</t>
        </is>
      </c>
      <c r="F927" s="92" t="n">
        <v>62901000</v>
      </c>
      <c r="G927" s="92" t="n">
        <v>1101</v>
      </c>
      <c r="H927" s="93" t="n">
        <v>1847000</v>
      </c>
      <c r="I927" s="92" t="inlineStr">
        <is>
          <t>5월 자문 수수료 - W컨설팅</t>
        </is>
      </c>
      <c r="J927" s="92" t="inlineStr">
        <is>
          <t>V10006</t>
        </is>
      </c>
      <c r="K927" s="92" t="inlineStr">
        <is>
          <t>W컨설팅</t>
        </is>
      </c>
      <c r="M927" s="9">
        <f>IF($A927="","",VALUE($A927&amp;"")*12+VALUE($B927&amp;""))</f>
        <v/>
      </c>
      <c r="N927" s="64">
        <f>IF($A927="","",IFERROR(INDEX(부서매핑!$C$5:$C$504,MATCH($G927&amp;"",부서매핑!$A$5:$A$504,0)),"미매핑"))</f>
        <v/>
      </c>
      <c r="O927" s="9">
        <f>IF($A927="","",N927&amp;"|"&amp;$F927)</f>
        <v/>
      </c>
      <c r="P927" s="94">
        <f>IF($A927="",0,$H927*설정!$C$23)</f>
        <v/>
      </c>
      <c r="Q927" s="64">
        <f>IF($A927="","",IF(O927&lt;&gt;원인분석!$C$9,"",IF(AND(M927&gt;=원인분석!$C$10,M927&lt;=원인분석!$C$11),"당기",IF(AND(M927&gt;=원인분석!$C$12,M927&lt;=원인분석!$C$13),"비교",""))))</f>
        <v/>
      </c>
      <c r="R927" s="9">
        <f>IF(Q927="","",$K927&amp;"")</f>
        <v/>
      </c>
      <c r="S927" s="9">
        <f>IF(Q927="","",IF(MATCH(R927,$R$5:$R$100000,0)=ROW()-4,ROW(),""))</f>
        <v/>
      </c>
      <c r="T927" s="9">
        <f>IF(Q927="당기",ABS(P927)+ROW()/1000000000,"")</f>
        <v/>
      </c>
      <c r="U927" s="9">
        <f>IF(Q927="비교",ABS(P927)+ROW()/1000000000,"")</f>
        <v/>
      </c>
      <c r="V927" s="64">
        <f>IF($A927="","",IF(COUNTIF(변동분석!$E$7:$E$506,O927)&gt;0,"Y","N"))</f>
        <v/>
      </c>
      <c r="W927" s="64">
        <f>IF($A927="","",IFERROR(INDEX(계정매핑!$D$5:$D$504,MATCH($F927&amp;"",계정매핑!$A$5:$A$504,0)),"미매핑"))</f>
        <v/>
      </c>
      <c r="X927" s="9">
        <f>IF($A927="","",$F927&amp;"")</f>
        <v/>
      </c>
      <c r="Y927" s="94">
        <f>IF($A927="",0,IF(AE927="직접",IF(AF927="비귀속",$P927,0),$P927*(1-AG927)*IFERROR(INDEX(계정대체기준!$F$20:$F$49,MATCH($N927,계정대체기준!$A$20:$A$49,0)),1)))</f>
        <v/>
      </c>
      <c r="Z927" s="94">
        <f>IF($A927="",0,IF(AE927="직접",IF(AF927="신계약비",$P927,0),$P927*(1-AG927)*IFERROR(INDEX(계정대체기준!$C$20:$C$49,MATCH($N927,계정대체기준!$A$20:$A$49,0)),0)))</f>
        <v/>
      </c>
      <c r="AA927" s="94">
        <f>IF($A927="",0,IF(AE927="직접",IF(OR(AF927="유지비",AF927="손해조사비"),$P927,0),$P927*(1-AG927)*IFERROR(INDEX(계정대체기준!$D$20:$D$49,MATCH($N927,계정대체기준!$A$20:$A$49,0)),0)))</f>
        <v/>
      </c>
      <c r="AB927" s="94">
        <f>IF($A927="",0,IF(AE927="직접",IF(AF927="수금비",$P927,0),$P927*(1-AG927)*IFERROR(INDEX(계정대체기준!$E$20:$E$49,MATCH($N927,계정대체기준!$A$20:$A$49,0)),0)))</f>
        <v/>
      </c>
      <c r="AC927" s="9">
        <f>IF(AND($A927&lt;&gt;"",M927=설정!$C$20,Z927&gt;0),Z927+ROW()/1000000000,"")</f>
        <v/>
      </c>
      <c r="AD927" s="94">
        <f>IF($A927="",0,$P927*AG927)</f>
        <v/>
      </c>
      <c r="AE927" s="64">
        <f>IF($A927="","",IFERROR(INDEX(계정매핑!$E$5:$E$504,MATCH($F927&amp;"",계정매핑!$A$5:$A$504,0))&amp;"","공통비"))</f>
        <v/>
      </c>
      <c r="AF927" s="64">
        <f>IF($A927="","",IF(AE927="직접",IFERROR(INDEX(계정매핑!$F$5:$F$504,MATCH($F927&amp;"",계정매핑!$A$5:$A$504,0))&amp;"","비귀속"),""))</f>
        <v/>
      </c>
      <c r="AG927" s="96">
        <f>IF($A927="",0,IF(AND(AE927&lt;&gt;"직접",IFERROR(INDEX(계정매핑!$G$5:$G$504,MATCH($F927&amp;"",계정매핑!$A$5:$A$504,0))&amp;"","")="유지비",COUNTIF(계정대체기준!$A$6:$A$15,$N927)&gt;0),IFERROR(INDEX(계정대체기준!$E$6:$E$15,MATCH(VALUE($A927&amp;""),계정대체기준!$D$6:$D$15,0)),0),0))</f>
        <v/>
      </c>
      <c r="AH927" s="64">
        <f>IF($A927="","",IF(AD927=0,"",IF(OR(COUNTIF(계정대체기준!$A$77:$A$86,$N927)&gt;0,ISNUMBER(MATCH($X927,계정대체기준!$D$77:$D$86,0)),ISNUMBER(MATCH($F927,계정대체기준!$D$77:$D$86,0))),"Y","N")))</f>
        <v/>
      </c>
    </row>
    <row r="928">
      <c r="A928" s="92" t="n">
        <v>2025</v>
      </c>
      <c r="B928" s="92" t="n">
        <v>5</v>
      </c>
      <c r="C928" s="92" t="inlineStr">
        <is>
          <t>5100000924</t>
        </is>
      </c>
      <c r="D928" s="95" t="n">
        <v>45779</v>
      </c>
      <c r="E928" s="92" t="inlineStr">
        <is>
          <t>KR</t>
        </is>
      </c>
      <c r="F928" s="92" t="n">
        <v>62902000</v>
      </c>
      <c r="G928" s="92" t="n">
        <v>1801</v>
      </c>
      <c r="H928" s="93" t="n">
        <v>1839000</v>
      </c>
      <c r="I928" s="92" t="inlineStr">
        <is>
          <t>5월 콜 위탁 수수료(건별)</t>
        </is>
      </c>
      <c r="J928" s="92" t="inlineStr">
        <is>
          <t>V10016</t>
        </is>
      </c>
      <c r="K928" s="92" t="inlineStr">
        <is>
          <t>J콜센터</t>
        </is>
      </c>
      <c r="M928" s="9">
        <f>IF($A928="","",VALUE($A928&amp;"")*12+VALUE($B928&amp;""))</f>
        <v/>
      </c>
      <c r="N928" s="64">
        <f>IF($A928="","",IFERROR(INDEX(부서매핑!$C$5:$C$504,MATCH($G928&amp;"",부서매핑!$A$5:$A$504,0)),"미매핑"))</f>
        <v/>
      </c>
      <c r="O928" s="9">
        <f>IF($A928="","",N928&amp;"|"&amp;$F928)</f>
        <v/>
      </c>
      <c r="P928" s="94">
        <f>IF($A928="",0,$H928*설정!$C$23)</f>
        <v/>
      </c>
      <c r="Q928" s="64">
        <f>IF($A928="","",IF(O928&lt;&gt;원인분석!$C$9,"",IF(AND(M928&gt;=원인분석!$C$10,M928&lt;=원인분석!$C$11),"당기",IF(AND(M928&gt;=원인분석!$C$12,M928&lt;=원인분석!$C$13),"비교",""))))</f>
        <v/>
      </c>
      <c r="R928" s="9">
        <f>IF(Q928="","",$K928&amp;"")</f>
        <v/>
      </c>
      <c r="S928" s="9">
        <f>IF(Q928="","",IF(MATCH(R928,$R$5:$R$100000,0)=ROW()-4,ROW(),""))</f>
        <v/>
      </c>
      <c r="T928" s="9">
        <f>IF(Q928="당기",ABS(P928)+ROW()/1000000000,"")</f>
        <v/>
      </c>
      <c r="U928" s="9">
        <f>IF(Q928="비교",ABS(P928)+ROW()/1000000000,"")</f>
        <v/>
      </c>
      <c r="V928" s="64">
        <f>IF($A928="","",IF(COUNTIF(변동분석!$E$7:$E$506,O928)&gt;0,"Y","N"))</f>
        <v/>
      </c>
      <c r="W928" s="64">
        <f>IF($A928="","",IFERROR(INDEX(계정매핑!$D$5:$D$504,MATCH($F928&amp;"",계정매핑!$A$5:$A$504,0)),"미매핑"))</f>
        <v/>
      </c>
      <c r="X928" s="9">
        <f>IF($A928="","",$F928&amp;"")</f>
        <v/>
      </c>
      <c r="Y928" s="94">
        <f>IF($A928="",0,IF(AE928="직접",IF(AF928="비귀속",$P928,0),$P928*(1-AG928)*IFERROR(INDEX(계정대체기준!$F$20:$F$49,MATCH($N928,계정대체기준!$A$20:$A$49,0)),1)))</f>
        <v/>
      </c>
      <c r="Z928" s="94">
        <f>IF($A928="",0,IF(AE928="직접",IF(AF928="신계약비",$P928,0),$P928*(1-AG928)*IFERROR(INDEX(계정대체기준!$C$20:$C$49,MATCH($N928,계정대체기준!$A$20:$A$49,0)),0)))</f>
        <v/>
      </c>
      <c r="AA928" s="94">
        <f>IF($A928="",0,IF(AE928="직접",IF(OR(AF928="유지비",AF928="손해조사비"),$P928,0),$P928*(1-AG928)*IFERROR(INDEX(계정대체기준!$D$20:$D$49,MATCH($N928,계정대체기준!$A$20:$A$49,0)),0)))</f>
        <v/>
      </c>
      <c r="AB928" s="94">
        <f>IF($A928="",0,IF(AE928="직접",IF(AF928="수금비",$P928,0),$P928*(1-AG928)*IFERROR(INDEX(계정대체기준!$E$20:$E$49,MATCH($N928,계정대체기준!$A$20:$A$49,0)),0)))</f>
        <v/>
      </c>
      <c r="AC928" s="9">
        <f>IF(AND($A928&lt;&gt;"",M928=설정!$C$20,Z928&gt;0),Z928+ROW()/1000000000,"")</f>
        <v/>
      </c>
      <c r="AD928" s="94">
        <f>IF($A928="",0,$P928*AG928)</f>
        <v/>
      </c>
      <c r="AE928" s="64">
        <f>IF($A928="","",IFERROR(INDEX(계정매핑!$E$5:$E$504,MATCH($F928&amp;"",계정매핑!$A$5:$A$504,0))&amp;"","공통비"))</f>
        <v/>
      </c>
      <c r="AF928" s="64">
        <f>IF($A928="","",IF(AE928="직접",IFERROR(INDEX(계정매핑!$F$5:$F$504,MATCH($F928&amp;"",계정매핑!$A$5:$A$504,0))&amp;"","비귀속"),""))</f>
        <v/>
      </c>
      <c r="AG928" s="96">
        <f>IF($A928="",0,IF(AND(AE928&lt;&gt;"직접",IFERROR(INDEX(계정매핑!$G$5:$G$504,MATCH($F928&amp;"",계정매핑!$A$5:$A$504,0))&amp;"","")="유지비",COUNTIF(계정대체기준!$A$6:$A$15,$N928)&gt;0),IFERROR(INDEX(계정대체기준!$E$6:$E$15,MATCH(VALUE($A928&amp;""),계정대체기준!$D$6:$D$15,0)),0),0))</f>
        <v/>
      </c>
      <c r="AH928" s="64">
        <f>IF($A928="","",IF(AD928=0,"",IF(OR(COUNTIF(계정대체기준!$A$77:$A$86,$N928)&gt;0,ISNUMBER(MATCH($X928,계정대체기준!$D$77:$D$86,0)),ISNUMBER(MATCH($F928,계정대체기준!$D$77:$D$86,0))),"Y","N")))</f>
        <v/>
      </c>
    </row>
    <row r="929">
      <c r="A929" s="92" t="n">
        <v>2025</v>
      </c>
      <c r="B929" s="92" t="n">
        <v>5</v>
      </c>
      <c r="C929" s="92" t="inlineStr">
        <is>
          <t>5100000925</t>
        </is>
      </c>
      <c r="D929" s="95" t="n">
        <v>45780</v>
      </c>
      <c r="E929" s="92" t="inlineStr">
        <is>
          <t>KR</t>
        </is>
      </c>
      <c r="F929" s="92" t="n">
        <v>62101000</v>
      </c>
      <c r="G929" s="92" t="n">
        <v>1701</v>
      </c>
      <c r="H929" s="93" t="n">
        <v>184000</v>
      </c>
      <c r="I929" s="92" t="inlineStr">
        <is>
          <t>5월 국내출장 - L여행사</t>
        </is>
      </c>
      <c r="J929" s="92" t="inlineStr">
        <is>
          <t>V10018</t>
        </is>
      </c>
      <c r="K929" s="92" t="inlineStr">
        <is>
          <t>L여행사</t>
        </is>
      </c>
      <c r="M929" s="9">
        <f>IF($A929="","",VALUE($A929&amp;"")*12+VALUE($B929&amp;""))</f>
        <v/>
      </c>
      <c r="N929" s="64">
        <f>IF($A929="","",IFERROR(INDEX(부서매핑!$C$5:$C$504,MATCH($G929&amp;"",부서매핑!$A$5:$A$504,0)),"미매핑"))</f>
        <v/>
      </c>
      <c r="O929" s="9">
        <f>IF($A929="","",N929&amp;"|"&amp;$F929)</f>
        <v/>
      </c>
      <c r="P929" s="94">
        <f>IF($A929="",0,$H929*설정!$C$23)</f>
        <v/>
      </c>
      <c r="Q929" s="64">
        <f>IF($A929="","",IF(O929&lt;&gt;원인분석!$C$9,"",IF(AND(M929&gt;=원인분석!$C$10,M929&lt;=원인분석!$C$11),"당기",IF(AND(M929&gt;=원인분석!$C$12,M929&lt;=원인분석!$C$13),"비교",""))))</f>
        <v/>
      </c>
      <c r="R929" s="9">
        <f>IF(Q929="","",$K929&amp;"")</f>
        <v/>
      </c>
      <c r="S929" s="9">
        <f>IF(Q929="","",IF(MATCH(R929,$R$5:$R$100000,0)=ROW()-4,ROW(),""))</f>
        <v/>
      </c>
      <c r="T929" s="9">
        <f>IF(Q929="당기",ABS(P929)+ROW()/1000000000,"")</f>
        <v/>
      </c>
      <c r="U929" s="9">
        <f>IF(Q929="비교",ABS(P929)+ROW()/1000000000,"")</f>
        <v/>
      </c>
      <c r="V929" s="64">
        <f>IF($A929="","",IF(COUNTIF(변동분석!$E$7:$E$506,O929)&gt;0,"Y","N"))</f>
        <v/>
      </c>
      <c r="W929" s="64">
        <f>IF($A929="","",IFERROR(INDEX(계정매핑!$D$5:$D$504,MATCH($F929&amp;"",계정매핑!$A$5:$A$504,0)),"미매핑"))</f>
        <v/>
      </c>
      <c r="X929" s="9">
        <f>IF($A929="","",$F929&amp;"")</f>
        <v/>
      </c>
      <c r="Y929" s="94">
        <f>IF($A929="",0,IF(AE929="직접",IF(AF929="비귀속",$P929,0),$P929*(1-AG929)*IFERROR(INDEX(계정대체기준!$F$20:$F$49,MATCH($N929,계정대체기준!$A$20:$A$49,0)),1)))</f>
        <v/>
      </c>
      <c r="Z929" s="94">
        <f>IF($A929="",0,IF(AE929="직접",IF(AF929="신계약비",$P929,0),$P929*(1-AG929)*IFERROR(INDEX(계정대체기준!$C$20:$C$49,MATCH($N929,계정대체기준!$A$20:$A$49,0)),0)))</f>
        <v/>
      </c>
      <c r="AA929" s="94">
        <f>IF($A929="",0,IF(AE929="직접",IF(OR(AF929="유지비",AF929="손해조사비"),$P929,0),$P929*(1-AG929)*IFERROR(INDEX(계정대체기준!$D$20:$D$49,MATCH($N929,계정대체기준!$A$20:$A$49,0)),0)))</f>
        <v/>
      </c>
      <c r="AB929" s="94">
        <f>IF($A929="",0,IF(AE929="직접",IF(AF929="수금비",$P929,0),$P929*(1-AG929)*IFERROR(INDEX(계정대체기준!$E$20:$E$49,MATCH($N929,계정대체기준!$A$20:$A$49,0)),0)))</f>
        <v/>
      </c>
      <c r="AC929" s="9">
        <f>IF(AND($A929&lt;&gt;"",M929=설정!$C$20,Z929&gt;0),Z929+ROW()/1000000000,"")</f>
        <v/>
      </c>
      <c r="AD929" s="94">
        <f>IF($A929="",0,$P929*AG929)</f>
        <v/>
      </c>
      <c r="AE929" s="64">
        <f>IF($A929="","",IFERROR(INDEX(계정매핑!$E$5:$E$504,MATCH($F929&amp;"",계정매핑!$A$5:$A$504,0))&amp;"","공통비"))</f>
        <v/>
      </c>
      <c r="AF929" s="64">
        <f>IF($A929="","",IF(AE929="직접",IFERROR(INDEX(계정매핑!$F$5:$F$504,MATCH($F929&amp;"",계정매핑!$A$5:$A$504,0))&amp;"","비귀속"),""))</f>
        <v/>
      </c>
      <c r="AG929" s="96">
        <f>IF($A929="",0,IF(AND(AE929&lt;&gt;"직접",IFERROR(INDEX(계정매핑!$G$5:$G$504,MATCH($F929&amp;"",계정매핑!$A$5:$A$504,0))&amp;"","")="유지비",COUNTIF(계정대체기준!$A$6:$A$15,$N929)&gt;0),IFERROR(INDEX(계정대체기준!$E$6:$E$15,MATCH(VALUE($A929&amp;""),계정대체기준!$D$6:$D$15,0)),0),0))</f>
        <v/>
      </c>
      <c r="AH929" s="64">
        <f>IF($A929="","",IF(AD929=0,"",IF(OR(COUNTIF(계정대체기준!$A$77:$A$86,$N929)&gt;0,ISNUMBER(MATCH($X929,계정대체기준!$D$77:$D$86,0)),ISNUMBER(MATCH($F929,계정대체기준!$D$77:$D$86,0))),"Y","N")))</f>
        <v/>
      </c>
    </row>
    <row r="930">
      <c r="A930" s="92" t="n">
        <v>2025</v>
      </c>
      <c r="B930" s="92" t="n">
        <v>5</v>
      </c>
      <c r="C930" s="92" t="inlineStr">
        <is>
          <t>5100000926</t>
        </is>
      </c>
      <c r="D930" s="95" t="n">
        <v>45780</v>
      </c>
      <c r="E930" s="92" t="inlineStr">
        <is>
          <t>KR</t>
        </is>
      </c>
      <c r="F930" s="92" t="n">
        <v>62102000</v>
      </c>
      <c r="G930" s="92" t="n">
        <v>1801</v>
      </c>
      <c r="H930" s="93" t="n">
        <v>67000</v>
      </c>
      <c r="I930" s="92" t="inlineStr">
        <is>
          <t>5월 해외출장 - M항공</t>
        </is>
      </c>
      <c r="J930" s="92" t="inlineStr">
        <is>
          <t>V10001</t>
        </is>
      </c>
      <c r="K930" s="92" t="inlineStr">
        <is>
          <t>M항공</t>
        </is>
      </c>
      <c r="M930" s="9">
        <f>IF($A930="","",VALUE($A930&amp;"")*12+VALUE($B930&amp;""))</f>
        <v/>
      </c>
      <c r="N930" s="64">
        <f>IF($A930="","",IFERROR(INDEX(부서매핑!$C$5:$C$504,MATCH($G930&amp;"",부서매핑!$A$5:$A$504,0)),"미매핑"))</f>
        <v/>
      </c>
      <c r="O930" s="9">
        <f>IF($A930="","",N930&amp;"|"&amp;$F930)</f>
        <v/>
      </c>
      <c r="P930" s="94">
        <f>IF($A930="",0,$H930*설정!$C$23)</f>
        <v/>
      </c>
      <c r="Q930" s="64">
        <f>IF($A930="","",IF(O930&lt;&gt;원인분석!$C$9,"",IF(AND(M930&gt;=원인분석!$C$10,M930&lt;=원인분석!$C$11),"당기",IF(AND(M930&gt;=원인분석!$C$12,M930&lt;=원인분석!$C$13),"비교",""))))</f>
        <v/>
      </c>
      <c r="R930" s="9">
        <f>IF(Q930="","",$K930&amp;"")</f>
        <v/>
      </c>
      <c r="S930" s="9">
        <f>IF(Q930="","",IF(MATCH(R930,$R$5:$R$100000,0)=ROW()-4,ROW(),""))</f>
        <v/>
      </c>
      <c r="T930" s="9">
        <f>IF(Q930="당기",ABS(P930)+ROW()/1000000000,"")</f>
        <v/>
      </c>
      <c r="U930" s="9">
        <f>IF(Q930="비교",ABS(P930)+ROW()/1000000000,"")</f>
        <v/>
      </c>
      <c r="V930" s="64">
        <f>IF($A930="","",IF(COUNTIF(변동분석!$E$7:$E$506,O930)&gt;0,"Y","N"))</f>
        <v/>
      </c>
      <c r="W930" s="64">
        <f>IF($A930="","",IFERROR(INDEX(계정매핑!$D$5:$D$504,MATCH($F930&amp;"",계정매핑!$A$5:$A$504,0)),"미매핑"))</f>
        <v/>
      </c>
      <c r="X930" s="9">
        <f>IF($A930="","",$F930&amp;"")</f>
        <v/>
      </c>
      <c r="Y930" s="94">
        <f>IF($A930="",0,IF(AE930="직접",IF(AF930="비귀속",$P930,0),$P930*(1-AG930)*IFERROR(INDEX(계정대체기준!$F$20:$F$49,MATCH($N930,계정대체기준!$A$20:$A$49,0)),1)))</f>
        <v/>
      </c>
      <c r="Z930" s="94">
        <f>IF($A930="",0,IF(AE930="직접",IF(AF930="신계약비",$P930,0),$P930*(1-AG930)*IFERROR(INDEX(계정대체기준!$C$20:$C$49,MATCH($N930,계정대체기준!$A$20:$A$49,0)),0)))</f>
        <v/>
      </c>
      <c r="AA930" s="94">
        <f>IF($A930="",0,IF(AE930="직접",IF(OR(AF930="유지비",AF930="손해조사비"),$P930,0),$P930*(1-AG930)*IFERROR(INDEX(계정대체기준!$D$20:$D$49,MATCH($N930,계정대체기준!$A$20:$A$49,0)),0)))</f>
        <v/>
      </c>
      <c r="AB930" s="94">
        <f>IF($A930="",0,IF(AE930="직접",IF(AF930="수금비",$P930,0),$P930*(1-AG930)*IFERROR(INDEX(계정대체기준!$E$20:$E$49,MATCH($N930,계정대체기준!$A$20:$A$49,0)),0)))</f>
        <v/>
      </c>
      <c r="AC930" s="9">
        <f>IF(AND($A930&lt;&gt;"",M930=설정!$C$20,Z930&gt;0),Z930+ROW()/1000000000,"")</f>
        <v/>
      </c>
      <c r="AD930" s="94">
        <f>IF($A930="",0,$P930*AG930)</f>
        <v/>
      </c>
      <c r="AE930" s="64">
        <f>IF($A930="","",IFERROR(INDEX(계정매핑!$E$5:$E$504,MATCH($F930&amp;"",계정매핑!$A$5:$A$504,0))&amp;"","공통비"))</f>
        <v/>
      </c>
      <c r="AF930" s="64">
        <f>IF($A930="","",IF(AE930="직접",IFERROR(INDEX(계정매핑!$F$5:$F$504,MATCH($F930&amp;"",계정매핑!$A$5:$A$504,0))&amp;"","비귀속"),""))</f>
        <v/>
      </c>
      <c r="AG930" s="96">
        <f>IF($A930="",0,IF(AND(AE930&lt;&gt;"직접",IFERROR(INDEX(계정매핑!$G$5:$G$504,MATCH($F930&amp;"",계정매핑!$A$5:$A$504,0))&amp;"","")="유지비",COUNTIF(계정대체기준!$A$6:$A$15,$N930)&gt;0),IFERROR(INDEX(계정대체기준!$E$6:$E$15,MATCH(VALUE($A930&amp;""),계정대체기준!$D$6:$D$15,0)),0),0))</f>
        <v/>
      </c>
      <c r="AH930" s="64">
        <f>IF($A930="","",IF(AD930=0,"",IF(OR(COUNTIF(계정대체기준!$A$77:$A$86,$N930)&gt;0,ISNUMBER(MATCH($X930,계정대체기준!$D$77:$D$86,0)),ISNUMBER(MATCH($F930,계정대체기준!$D$77:$D$86,0))),"Y","N")))</f>
        <v/>
      </c>
    </row>
    <row r="931">
      <c r="A931" s="92" t="n">
        <v>2025</v>
      </c>
      <c r="B931" s="92" t="n">
        <v>5</v>
      </c>
      <c r="C931" s="92" t="inlineStr">
        <is>
          <t>5100000927</t>
        </is>
      </c>
      <c r="D931" s="95" t="n">
        <v>45780</v>
      </c>
      <c r="E931" s="92" t="inlineStr">
        <is>
          <t>KR</t>
        </is>
      </c>
      <c r="F931" s="92" t="n">
        <v>62102000</v>
      </c>
      <c r="G931" s="92" t="n">
        <v>1951</v>
      </c>
      <c r="H931" s="93" t="n">
        <v>67000</v>
      </c>
      <c r="I931" s="92" t="inlineStr">
        <is>
          <t>5월 해외출장 - M항공</t>
        </is>
      </c>
      <c r="J931" s="92" t="inlineStr">
        <is>
          <t>V10001</t>
        </is>
      </c>
      <c r="K931" s="92" t="inlineStr">
        <is>
          <t>M항공</t>
        </is>
      </c>
      <c r="M931" s="9">
        <f>IF($A931="","",VALUE($A931&amp;"")*12+VALUE($B931&amp;""))</f>
        <v/>
      </c>
      <c r="N931" s="64">
        <f>IF($A931="","",IFERROR(INDEX(부서매핑!$C$5:$C$504,MATCH($G931&amp;"",부서매핑!$A$5:$A$504,0)),"미매핑"))</f>
        <v/>
      </c>
      <c r="O931" s="9">
        <f>IF($A931="","",N931&amp;"|"&amp;$F931)</f>
        <v/>
      </c>
      <c r="P931" s="94">
        <f>IF($A931="",0,$H931*설정!$C$23)</f>
        <v/>
      </c>
      <c r="Q931" s="64">
        <f>IF($A931="","",IF(O931&lt;&gt;원인분석!$C$9,"",IF(AND(M931&gt;=원인분석!$C$10,M931&lt;=원인분석!$C$11),"당기",IF(AND(M931&gt;=원인분석!$C$12,M931&lt;=원인분석!$C$13),"비교",""))))</f>
        <v/>
      </c>
      <c r="R931" s="9">
        <f>IF(Q931="","",$K931&amp;"")</f>
        <v/>
      </c>
      <c r="S931" s="9">
        <f>IF(Q931="","",IF(MATCH(R931,$R$5:$R$100000,0)=ROW()-4,ROW(),""))</f>
        <v/>
      </c>
      <c r="T931" s="9">
        <f>IF(Q931="당기",ABS(P931)+ROW()/1000000000,"")</f>
        <v/>
      </c>
      <c r="U931" s="9">
        <f>IF(Q931="비교",ABS(P931)+ROW()/1000000000,"")</f>
        <v/>
      </c>
      <c r="V931" s="64">
        <f>IF($A931="","",IF(COUNTIF(변동분석!$E$7:$E$506,O931)&gt;0,"Y","N"))</f>
        <v/>
      </c>
      <c r="W931" s="64">
        <f>IF($A931="","",IFERROR(INDEX(계정매핑!$D$5:$D$504,MATCH($F931&amp;"",계정매핑!$A$5:$A$504,0)),"미매핑"))</f>
        <v/>
      </c>
      <c r="X931" s="9">
        <f>IF($A931="","",$F931&amp;"")</f>
        <v/>
      </c>
      <c r="Y931" s="94">
        <f>IF($A931="",0,IF(AE931="직접",IF(AF931="비귀속",$P931,0),$P931*(1-AG931)*IFERROR(INDEX(계정대체기준!$F$20:$F$49,MATCH($N931,계정대체기준!$A$20:$A$49,0)),1)))</f>
        <v/>
      </c>
      <c r="Z931" s="94">
        <f>IF($A931="",0,IF(AE931="직접",IF(AF931="신계약비",$P931,0),$P931*(1-AG931)*IFERROR(INDEX(계정대체기준!$C$20:$C$49,MATCH($N931,계정대체기준!$A$20:$A$49,0)),0)))</f>
        <v/>
      </c>
      <c r="AA931" s="94">
        <f>IF($A931="",0,IF(AE931="직접",IF(OR(AF931="유지비",AF931="손해조사비"),$P931,0),$P931*(1-AG931)*IFERROR(INDEX(계정대체기준!$D$20:$D$49,MATCH($N931,계정대체기준!$A$20:$A$49,0)),0)))</f>
        <v/>
      </c>
      <c r="AB931" s="94">
        <f>IF($A931="",0,IF(AE931="직접",IF(AF931="수금비",$P931,0),$P931*(1-AG931)*IFERROR(INDEX(계정대체기준!$E$20:$E$49,MATCH($N931,계정대체기준!$A$20:$A$49,0)),0)))</f>
        <v/>
      </c>
      <c r="AC931" s="9">
        <f>IF(AND($A931&lt;&gt;"",M931=설정!$C$20,Z931&gt;0),Z931+ROW()/1000000000,"")</f>
        <v/>
      </c>
      <c r="AD931" s="94">
        <f>IF($A931="",0,$P931*AG931)</f>
        <v/>
      </c>
      <c r="AE931" s="64">
        <f>IF($A931="","",IFERROR(INDEX(계정매핑!$E$5:$E$504,MATCH($F931&amp;"",계정매핑!$A$5:$A$504,0))&amp;"","공통비"))</f>
        <v/>
      </c>
      <c r="AF931" s="64">
        <f>IF($A931="","",IF(AE931="직접",IFERROR(INDEX(계정매핑!$F$5:$F$504,MATCH($F931&amp;"",계정매핑!$A$5:$A$504,0))&amp;"","비귀속"),""))</f>
        <v/>
      </c>
      <c r="AG931" s="96">
        <f>IF($A931="",0,IF(AND(AE931&lt;&gt;"직접",IFERROR(INDEX(계정매핑!$G$5:$G$504,MATCH($F931&amp;"",계정매핑!$A$5:$A$504,0))&amp;"","")="유지비",COUNTIF(계정대체기준!$A$6:$A$15,$N931)&gt;0),IFERROR(INDEX(계정대체기준!$E$6:$E$15,MATCH(VALUE($A931&amp;""),계정대체기준!$D$6:$D$15,0)),0),0))</f>
        <v/>
      </c>
      <c r="AH931" s="64">
        <f>IF($A931="","",IF(AD931=0,"",IF(OR(COUNTIF(계정대체기준!$A$77:$A$86,$N931)&gt;0,ISNUMBER(MATCH($X931,계정대체기준!$D$77:$D$86,0)),ISNUMBER(MATCH($F931,계정대체기준!$D$77:$D$86,0))),"Y","N")))</f>
        <v/>
      </c>
    </row>
    <row r="932">
      <c r="A932" s="92" t="n">
        <v>2025</v>
      </c>
      <c r="B932" s="92" t="n">
        <v>5</v>
      </c>
      <c r="C932" s="92" t="inlineStr">
        <is>
          <t>5100000928</t>
        </is>
      </c>
      <c r="D932" s="95" t="n">
        <v>45780</v>
      </c>
      <c r="E932" s="92" t="inlineStr">
        <is>
          <t>KR</t>
        </is>
      </c>
      <c r="F932" s="92" t="n">
        <v>62201000</v>
      </c>
      <c r="G932" s="92" t="n">
        <v>1601</v>
      </c>
      <c r="H932" s="93" t="n">
        <v>616000</v>
      </c>
      <c r="I932" s="92" t="inlineStr">
        <is>
          <t>5월 통신요금 - O텔레콤</t>
        </is>
      </c>
      <c r="J932" s="92" t="inlineStr">
        <is>
          <t>V10002</t>
        </is>
      </c>
      <c r="K932" s="92" t="inlineStr">
        <is>
          <t>O텔레콤</t>
        </is>
      </c>
      <c r="M932" s="9">
        <f>IF($A932="","",VALUE($A932&amp;"")*12+VALUE($B932&amp;""))</f>
        <v/>
      </c>
      <c r="N932" s="64">
        <f>IF($A932="","",IFERROR(INDEX(부서매핑!$C$5:$C$504,MATCH($G932&amp;"",부서매핑!$A$5:$A$504,0)),"미매핑"))</f>
        <v/>
      </c>
      <c r="O932" s="9">
        <f>IF($A932="","",N932&amp;"|"&amp;$F932)</f>
        <v/>
      </c>
      <c r="P932" s="94">
        <f>IF($A932="",0,$H932*설정!$C$23)</f>
        <v/>
      </c>
      <c r="Q932" s="64">
        <f>IF($A932="","",IF(O932&lt;&gt;원인분석!$C$9,"",IF(AND(M932&gt;=원인분석!$C$10,M932&lt;=원인분석!$C$11),"당기",IF(AND(M932&gt;=원인분석!$C$12,M932&lt;=원인분석!$C$13),"비교",""))))</f>
        <v/>
      </c>
      <c r="R932" s="9">
        <f>IF(Q932="","",$K932&amp;"")</f>
        <v/>
      </c>
      <c r="S932" s="9">
        <f>IF(Q932="","",IF(MATCH(R932,$R$5:$R$100000,0)=ROW()-4,ROW(),""))</f>
        <v/>
      </c>
      <c r="T932" s="9">
        <f>IF(Q932="당기",ABS(P932)+ROW()/1000000000,"")</f>
        <v/>
      </c>
      <c r="U932" s="9">
        <f>IF(Q932="비교",ABS(P932)+ROW()/1000000000,"")</f>
        <v/>
      </c>
      <c r="V932" s="64">
        <f>IF($A932="","",IF(COUNTIF(변동분석!$E$7:$E$506,O932)&gt;0,"Y","N"))</f>
        <v/>
      </c>
      <c r="W932" s="64">
        <f>IF($A932="","",IFERROR(INDEX(계정매핑!$D$5:$D$504,MATCH($F932&amp;"",계정매핑!$A$5:$A$504,0)),"미매핑"))</f>
        <v/>
      </c>
      <c r="X932" s="9">
        <f>IF($A932="","",$F932&amp;"")</f>
        <v/>
      </c>
      <c r="Y932" s="94">
        <f>IF($A932="",0,IF(AE932="직접",IF(AF932="비귀속",$P932,0),$P932*(1-AG932)*IFERROR(INDEX(계정대체기준!$F$20:$F$49,MATCH($N932,계정대체기준!$A$20:$A$49,0)),1)))</f>
        <v/>
      </c>
      <c r="Z932" s="94">
        <f>IF($A932="",0,IF(AE932="직접",IF(AF932="신계약비",$P932,0),$P932*(1-AG932)*IFERROR(INDEX(계정대체기준!$C$20:$C$49,MATCH($N932,계정대체기준!$A$20:$A$49,0)),0)))</f>
        <v/>
      </c>
      <c r="AA932" s="94">
        <f>IF($A932="",0,IF(AE932="직접",IF(OR(AF932="유지비",AF932="손해조사비"),$P932,0),$P932*(1-AG932)*IFERROR(INDEX(계정대체기준!$D$20:$D$49,MATCH($N932,계정대체기준!$A$20:$A$49,0)),0)))</f>
        <v/>
      </c>
      <c r="AB932" s="94">
        <f>IF($A932="",0,IF(AE932="직접",IF(AF932="수금비",$P932,0),$P932*(1-AG932)*IFERROR(INDEX(계정대체기준!$E$20:$E$49,MATCH($N932,계정대체기준!$A$20:$A$49,0)),0)))</f>
        <v/>
      </c>
      <c r="AC932" s="9">
        <f>IF(AND($A932&lt;&gt;"",M932=설정!$C$20,Z932&gt;0),Z932+ROW()/1000000000,"")</f>
        <v/>
      </c>
      <c r="AD932" s="94">
        <f>IF($A932="",0,$P932*AG932)</f>
        <v/>
      </c>
      <c r="AE932" s="64">
        <f>IF($A932="","",IFERROR(INDEX(계정매핑!$E$5:$E$504,MATCH($F932&amp;"",계정매핑!$A$5:$A$504,0))&amp;"","공통비"))</f>
        <v/>
      </c>
      <c r="AF932" s="64">
        <f>IF($A932="","",IF(AE932="직접",IFERROR(INDEX(계정매핑!$F$5:$F$504,MATCH($F932&amp;"",계정매핑!$A$5:$A$504,0))&amp;"","비귀속"),""))</f>
        <v/>
      </c>
      <c r="AG932" s="96">
        <f>IF($A932="",0,IF(AND(AE932&lt;&gt;"직접",IFERROR(INDEX(계정매핑!$G$5:$G$504,MATCH($F932&amp;"",계정매핑!$A$5:$A$504,0))&amp;"","")="유지비",COUNTIF(계정대체기준!$A$6:$A$15,$N932)&gt;0),IFERROR(INDEX(계정대체기준!$E$6:$E$15,MATCH(VALUE($A932&amp;""),계정대체기준!$D$6:$D$15,0)),0),0))</f>
        <v/>
      </c>
      <c r="AH932" s="64">
        <f>IF($A932="","",IF(AD932=0,"",IF(OR(COUNTIF(계정대체기준!$A$77:$A$86,$N932)&gt;0,ISNUMBER(MATCH($X932,계정대체기준!$D$77:$D$86,0)),ISNUMBER(MATCH($F932,계정대체기준!$D$77:$D$86,0))),"Y","N")))</f>
        <v/>
      </c>
    </row>
    <row r="933">
      <c r="A933" s="92" t="n">
        <v>2025</v>
      </c>
      <c r="B933" s="92" t="n">
        <v>5</v>
      </c>
      <c r="C933" s="92" t="inlineStr">
        <is>
          <t>5100000929</t>
        </is>
      </c>
      <c r="D933" s="95" t="n">
        <v>45780</v>
      </c>
      <c r="E933" s="92" t="inlineStr">
        <is>
          <t>KR</t>
        </is>
      </c>
      <c r="F933" s="92" t="n">
        <v>62201000</v>
      </c>
      <c r="G933" s="92" t="n">
        <v>1951</v>
      </c>
      <c r="H933" s="93" t="n">
        <v>234000</v>
      </c>
      <c r="I933" s="92" t="inlineStr">
        <is>
          <t>5월 통신요금 - O텔레콤</t>
        </is>
      </c>
      <c r="J933" s="92" t="inlineStr">
        <is>
          <t>V10002</t>
        </is>
      </c>
      <c r="K933" s="92" t="inlineStr">
        <is>
          <t>O텔레콤</t>
        </is>
      </c>
      <c r="M933" s="9">
        <f>IF($A933="","",VALUE($A933&amp;"")*12+VALUE($B933&amp;""))</f>
        <v/>
      </c>
      <c r="N933" s="64">
        <f>IF($A933="","",IFERROR(INDEX(부서매핑!$C$5:$C$504,MATCH($G933&amp;"",부서매핑!$A$5:$A$504,0)),"미매핑"))</f>
        <v/>
      </c>
      <c r="O933" s="9">
        <f>IF($A933="","",N933&amp;"|"&amp;$F933)</f>
        <v/>
      </c>
      <c r="P933" s="94">
        <f>IF($A933="",0,$H933*설정!$C$23)</f>
        <v/>
      </c>
      <c r="Q933" s="64">
        <f>IF($A933="","",IF(O933&lt;&gt;원인분석!$C$9,"",IF(AND(M933&gt;=원인분석!$C$10,M933&lt;=원인분석!$C$11),"당기",IF(AND(M933&gt;=원인분석!$C$12,M933&lt;=원인분석!$C$13),"비교",""))))</f>
        <v/>
      </c>
      <c r="R933" s="9">
        <f>IF(Q933="","",$K933&amp;"")</f>
        <v/>
      </c>
      <c r="S933" s="9">
        <f>IF(Q933="","",IF(MATCH(R933,$R$5:$R$100000,0)=ROW()-4,ROW(),""))</f>
        <v/>
      </c>
      <c r="T933" s="9">
        <f>IF(Q933="당기",ABS(P933)+ROW()/1000000000,"")</f>
        <v/>
      </c>
      <c r="U933" s="9">
        <f>IF(Q933="비교",ABS(P933)+ROW()/1000000000,"")</f>
        <v/>
      </c>
      <c r="V933" s="64">
        <f>IF($A933="","",IF(COUNTIF(변동분석!$E$7:$E$506,O933)&gt;0,"Y","N"))</f>
        <v/>
      </c>
      <c r="W933" s="64">
        <f>IF($A933="","",IFERROR(INDEX(계정매핑!$D$5:$D$504,MATCH($F933&amp;"",계정매핑!$A$5:$A$504,0)),"미매핑"))</f>
        <v/>
      </c>
      <c r="X933" s="9">
        <f>IF($A933="","",$F933&amp;"")</f>
        <v/>
      </c>
      <c r="Y933" s="94">
        <f>IF($A933="",0,IF(AE933="직접",IF(AF933="비귀속",$P933,0),$P933*(1-AG933)*IFERROR(INDEX(계정대체기준!$F$20:$F$49,MATCH($N933,계정대체기준!$A$20:$A$49,0)),1)))</f>
        <v/>
      </c>
      <c r="Z933" s="94">
        <f>IF($A933="",0,IF(AE933="직접",IF(AF933="신계약비",$P933,0),$P933*(1-AG933)*IFERROR(INDEX(계정대체기준!$C$20:$C$49,MATCH($N933,계정대체기준!$A$20:$A$49,0)),0)))</f>
        <v/>
      </c>
      <c r="AA933" s="94">
        <f>IF($A933="",0,IF(AE933="직접",IF(OR(AF933="유지비",AF933="손해조사비"),$P933,0),$P933*(1-AG933)*IFERROR(INDEX(계정대체기준!$D$20:$D$49,MATCH($N933,계정대체기준!$A$20:$A$49,0)),0)))</f>
        <v/>
      </c>
      <c r="AB933" s="94">
        <f>IF($A933="",0,IF(AE933="직접",IF(AF933="수금비",$P933,0),$P933*(1-AG933)*IFERROR(INDEX(계정대체기준!$E$20:$E$49,MATCH($N933,계정대체기준!$A$20:$A$49,0)),0)))</f>
        <v/>
      </c>
      <c r="AC933" s="9">
        <f>IF(AND($A933&lt;&gt;"",M933=설정!$C$20,Z933&gt;0),Z933+ROW()/1000000000,"")</f>
        <v/>
      </c>
      <c r="AD933" s="94">
        <f>IF($A933="",0,$P933*AG933)</f>
        <v/>
      </c>
      <c r="AE933" s="64">
        <f>IF($A933="","",IFERROR(INDEX(계정매핑!$E$5:$E$504,MATCH($F933&amp;"",계정매핑!$A$5:$A$504,0))&amp;"","공통비"))</f>
        <v/>
      </c>
      <c r="AF933" s="64">
        <f>IF($A933="","",IF(AE933="직접",IFERROR(INDEX(계정매핑!$F$5:$F$504,MATCH($F933&amp;"",계정매핑!$A$5:$A$504,0))&amp;"","비귀속"),""))</f>
        <v/>
      </c>
      <c r="AG933" s="96">
        <f>IF($A933="",0,IF(AND(AE933&lt;&gt;"직접",IFERROR(INDEX(계정매핑!$G$5:$G$504,MATCH($F933&amp;"",계정매핑!$A$5:$A$504,0))&amp;"","")="유지비",COUNTIF(계정대체기준!$A$6:$A$15,$N933)&gt;0),IFERROR(INDEX(계정대체기준!$E$6:$E$15,MATCH(VALUE($A933&amp;""),계정대체기준!$D$6:$D$15,0)),0),0))</f>
        <v/>
      </c>
      <c r="AH933" s="64">
        <f>IF($A933="","",IF(AD933=0,"",IF(OR(COUNTIF(계정대체기준!$A$77:$A$86,$N933)&gt;0,ISNUMBER(MATCH($X933,계정대체기준!$D$77:$D$86,0)),ISNUMBER(MATCH($F933,계정대체기준!$D$77:$D$86,0))),"Y","N")))</f>
        <v/>
      </c>
    </row>
    <row r="934">
      <c r="A934" s="92" t="n">
        <v>2025</v>
      </c>
      <c r="B934" s="92" t="n">
        <v>5</v>
      </c>
      <c r="C934" s="92" t="inlineStr">
        <is>
          <t>5100000930</t>
        </is>
      </c>
      <c r="D934" s="95" t="n">
        <v>45780</v>
      </c>
      <c r="E934" s="92" t="inlineStr">
        <is>
          <t>KR</t>
        </is>
      </c>
      <c r="F934" s="92" t="n">
        <v>62401000</v>
      </c>
      <c r="G934" s="92" t="n">
        <v>1801</v>
      </c>
      <c r="H934" s="93" t="n">
        <v>1359000</v>
      </c>
      <c r="I934" s="92" t="inlineStr">
        <is>
          <t>5월 인쇄물 제작 - G인쇄</t>
        </is>
      </c>
      <c r="J934" s="92" t="inlineStr">
        <is>
          <t>V10004</t>
        </is>
      </c>
      <c r="K934" s="92" t="inlineStr">
        <is>
          <t>G인쇄</t>
        </is>
      </c>
      <c r="M934" s="9">
        <f>IF($A934="","",VALUE($A934&amp;"")*12+VALUE($B934&amp;""))</f>
        <v/>
      </c>
      <c r="N934" s="64">
        <f>IF($A934="","",IFERROR(INDEX(부서매핑!$C$5:$C$504,MATCH($G934&amp;"",부서매핑!$A$5:$A$504,0)),"미매핑"))</f>
        <v/>
      </c>
      <c r="O934" s="9">
        <f>IF($A934="","",N934&amp;"|"&amp;$F934)</f>
        <v/>
      </c>
      <c r="P934" s="94">
        <f>IF($A934="",0,$H934*설정!$C$23)</f>
        <v/>
      </c>
      <c r="Q934" s="64">
        <f>IF($A934="","",IF(O934&lt;&gt;원인분석!$C$9,"",IF(AND(M934&gt;=원인분석!$C$10,M934&lt;=원인분석!$C$11),"당기",IF(AND(M934&gt;=원인분석!$C$12,M934&lt;=원인분석!$C$13),"비교",""))))</f>
        <v/>
      </c>
      <c r="R934" s="9">
        <f>IF(Q934="","",$K934&amp;"")</f>
        <v/>
      </c>
      <c r="S934" s="9">
        <f>IF(Q934="","",IF(MATCH(R934,$R$5:$R$100000,0)=ROW()-4,ROW(),""))</f>
        <v/>
      </c>
      <c r="T934" s="9">
        <f>IF(Q934="당기",ABS(P934)+ROW()/1000000000,"")</f>
        <v/>
      </c>
      <c r="U934" s="9">
        <f>IF(Q934="비교",ABS(P934)+ROW()/1000000000,"")</f>
        <v/>
      </c>
      <c r="V934" s="64">
        <f>IF($A934="","",IF(COUNTIF(변동분석!$E$7:$E$506,O934)&gt;0,"Y","N"))</f>
        <v/>
      </c>
      <c r="W934" s="64">
        <f>IF($A934="","",IFERROR(INDEX(계정매핑!$D$5:$D$504,MATCH($F934&amp;"",계정매핑!$A$5:$A$504,0)),"미매핑"))</f>
        <v/>
      </c>
      <c r="X934" s="9">
        <f>IF($A934="","",$F934&amp;"")</f>
        <v/>
      </c>
      <c r="Y934" s="94">
        <f>IF($A934="",0,IF(AE934="직접",IF(AF934="비귀속",$P934,0),$P934*(1-AG934)*IFERROR(INDEX(계정대체기준!$F$20:$F$49,MATCH($N934,계정대체기준!$A$20:$A$49,0)),1)))</f>
        <v/>
      </c>
      <c r="Z934" s="94">
        <f>IF($A934="",0,IF(AE934="직접",IF(AF934="신계약비",$P934,0),$P934*(1-AG934)*IFERROR(INDEX(계정대체기준!$C$20:$C$49,MATCH($N934,계정대체기준!$A$20:$A$49,0)),0)))</f>
        <v/>
      </c>
      <c r="AA934" s="94">
        <f>IF($A934="",0,IF(AE934="직접",IF(OR(AF934="유지비",AF934="손해조사비"),$P934,0),$P934*(1-AG934)*IFERROR(INDEX(계정대체기준!$D$20:$D$49,MATCH($N934,계정대체기준!$A$20:$A$49,0)),0)))</f>
        <v/>
      </c>
      <c r="AB934" s="94">
        <f>IF($A934="",0,IF(AE934="직접",IF(AF934="수금비",$P934,0),$P934*(1-AG934)*IFERROR(INDEX(계정대체기준!$E$20:$E$49,MATCH($N934,계정대체기준!$A$20:$A$49,0)),0)))</f>
        <v/>
      </c>
      <c r="AC934" s="9">
        <f>IF(AND($A934&lt;&gt;"",M934=설정!$C$20,Z934&gt;0),Z934+ROW()/1000000000,"")</f>
        <v/>
      </c>
      <c r="AD934" s="94">
        <f>IF($A934="",0,$P934*AG934)</f>
        <v/>
      </c>
      <c r="AE934" s="64">
        <f>IF($A934="","",IFERROR(INDEX(계정매핑!$E$5:$E$504,MATCH($F934&amp;"",계정매핑!$A$5:$A$504,0))&amp;"","공통비"))</f>
        <v/>
      </c>
      <c r="AF934" s="64">
        <f>IF($A934="","",IF(AE934="직접",IFERROR(INDEX(계정매핑!$F$5:$F$504,MATCH($F934&amp;"",계정매핑!$A$5:$A$504,0))&amp;"","비귀속"),""))</f>
        <v/>
      </c>
      <c r="AG934" s="96">
        <f>IF($A934="",0,IF(AND(AE934&lt;&gt;"직접",IFERROR(INDEX(계정매핑!$G$5:$G$504,MATCH($F934&amp;"",계정매핑!$A$5:$A$504,0))&amp;"","")="유지비",COUNTIF(계정대체기준!$A$6:$A$15,$N934)&gt;0),IFERROR(INDEX(계정대체기준!$E$6:$E$15,MATCH(VALUE($A934&amp;""),계정대체기준!$D$6:$D$15,0)),0),0))</f>
        <v/>
      </c>
      <c r="AH934" s="64">
        <f>IF($A934="","",IF(AD934=0,"",IF(OR(COUNTIF(계정대체기준!$A$77:$A$86,$N934)&gt;0,ISNUMBER(MATCH($X934,계정대체기준!$D$77:$D$86,0)),ISNUMBER(MATCH($F934,계정대체기준!$D$77:$D$86,0))),"Y","N")))</f>
        <v/>
      </c>
    </row>
    <row r="935">
      <c r="A935" s="92" t="n">
        <v>2025</v>
      </c>
      <c r="B935" s="92" t="n">
        <v>5</v>
      </c>
      <c r="C935" s="92" t="inlineStr">
        <is>
          <t>5100000931</t>
        </is>
      </c>
      <c r="D935" s="95" t="n">
        <v>45780</v>
      </c>
      <c r="E935" s="92" t="inlineStr">
        <is>
          <t>KR</t>
        </is>
      </c>
      <c r="F935" s="92" t="n">
        <v>62501000</v>
      </c>
      <c r="G935" s="92" t="n">
        <v>1502</v>
      </c>
      <c r="H935" s="93" t="n">
        <v>373000</v>
      </c>
      <c r="I935" s="92" t="inlineStr">
        <is>
          <t>5월 회의 다과 - (법인카드)</t>
        </is>
      </c>
      <c r="J935" s="92" t="inlineStr">
        <is>
          <t>V10010</t>
        </is>
      </c>
      <c r="K935" s="92" t="inlineStr">
        <is>
          <t>(법인카드)</t>
        </is>
      </c>
      <c r="M935" s="9">
        <f>IF($A935="","",VALUE($A935&amp;"")*12+VALUE($B935&amp;""))</f>
        <v/>
      </c>
      <c r="N935" s="64">
        <f>IF($A935="","",IFERROR(INDEX(부서매핑!$C$5:$C$504,MATCH($G935&amp;"",부서매핑!$A$5:$A$504,0)),"미매핑"))</f>
        <v/>
      </c>
      <c r="O935" s="9">
        <f>IF($A935="","",N935&amp;"|"&amp;$F935)</f>
        <v/>
      </c>
      <c r="P935" s="94">
        <f>IF($A935="",0,$H935*설정!$C$23)</f>
        <v/>
      </c>
      <c r="Q935" s="64">
        <f>IF($A935="","",IF(O935&lt;&gt;원인분석!$C$9,"",IF(AND(M935&gt;=원인분석!$C$10,M935&lt;=원인분석!$C$11),"당기",IF(AND(M935&gt;=원인분석!$C$12,M935&lt;=원인분석!$C$13),"비교",""))))</f>
        <v/>
      </c>
      <c r="R935" s="9">
        <f>IF(Q935="","",$K935&amp;"")</f>
        <v/>
      </c>
      <c r="S935" s="9">
        <f>IF(Q935="","",IF(MATCH(R935,$R$5:$R$100000,0)=ROW()-4,ROW(),""))</f>
        <v/>
      </c>
      <c r="T935" s="9">
        <f>IF(Q935="당기",ABS(P935)+ROW()/1000000000,"")</f>
        <v/>
      </c>
      <c r="U935" s="9">
        <f>IF(Q935="비교",ABS(P935)+ROW()/1000000000,"")</f>
        <v/>
      </c>
      <c r="V935" s="64">
        <f>IF($A935="","",IF(COUNTIF(변동분석!$E$7:$E$506,O935)&gt;0,"Y","N"))</f>
        <v/>
      </c>
      <c r="W935" s="64">
        <f>IF($A935="","",IFERROR(INDEX(계정매핑!$D$5:$D$504,MATCH($F935&amp;"",계정매핑!$A$5:$A$504,0)),"미매핑"))</f>
        <v/>
      </c>
      <c r="X935" s="9">
        <f>IF($A935="","",$F935&amp;"")</f>
        <v/>
      </c>
      <c r="Y935" s="94">
        <f>IF($A935="",0,IF(AE935="직접",IF(AF935="비귀속",$P935,0),$P935*(1-AG935)*IFERROR(INDEX(계정대체기준!$F$20:$F$49,MATCH($N935,계정대체기준!$A$20:$A$49,0)),1)))</f>
        <v/>
      </c>
      <c r="Z935" s="94">
        <f>IF($A935="",0,IF(AE935="직접",IF(AF935="신계약비",$P935,0),$P935*(1-AG935)*IFERROR(INDEX(계정대체기준!$C$20:$C$49,MATCH($N935,계정대체기준!$A$20:$A$49,0)),0)))</f>
        <v/>
      </c>
      <c r="AA935" s="94">
        <f>IF($A935="",0,IF(AE935="직접",IF(OR(AF935="유지비",AF935="손해조사비"),$P935,0),$P935*(1-AG935)*IFERROR(INDEX(계정대체기준!$D$20:$D$49,MATCH($N935,계정대체기준!$A$20:$A$49,0)),0)))</f>
        <v/>
      </c>
      <c r="AB935" s="94">
        <f>IF($A935="",0,IF(AE935="직접",IF(AF935="수금비",$P935,0),$P935*(1-AG935)*IFERROR(INDEX(계정대체기준!$E$20:$E$49,MATCH($N935,계정대체기준!$A$20:$A$49,0)),0)))</f>
        <v/>
      </c>
      <c r="AC935" s="9">
        <f>IF(AND($A935&lt;&gt;"",M935=설정!$C$20,Z935&gt;0),Z935+ROW()/1000000000,"")</f>
        <v/>
      </c>
      <c r="AD935" s="94">
        <f>IF($A935="",0,$P935*AG935)</f>
        <v/>
      </c>
      <c r="AE935" s="64">
        <f>IF($A935="","",IFERROR(INDEX(계정매핑!$E$5:$E$504,MATCH($F935&amp;"",계정매핑!$A$5:$A$504,0))&amp;"","공통비"))</f>
        <v/>
      </c>
      <c r="AF935" s="64">
        <f>IF($A935="","",IF(AE935="직접",IFERROR(INDEX(계정매핑!$F$5:$F$504,MATCH($F935&amp;"",계정매핑!$A$5:$A$504,0))&amp;"","비귀속"),""))</f>
        <v/>
      </c>
      <c r="AG935" s="96">
        <f>IF($A935="",0,IF(AND(AE935&lt;&gt;"직접",IFERROR(INDEX(계정매핑!$G$5:$G$504,MATCH($F935&amp;"",계정매핑!$A$5:$A$504,0))&amp;"","")="유지비",COUNTIF(계정대체기준!$A$6:$A$15,$N935)&gt;0),IFERROR(INDEX(계정대체기준!$E$6:$E$15,MATCH(VALUE($A935&amp;""),계정대체기준!$D$6:$D$15,0)),0),0))</f>
        <v/>
      </c>
      <c r="AH935" s="64">
        <f>IF($A935="","",IF(AD935=0,"",IF(OR(COUNTIF(계정대체기준!$A$77:$A$86,$N935)&gt;0,ISNUMBER(MATCH($X935,계정대체기준!$D$77:$D$86,0)),ISNUMBER(MATCH($F935,계정대체기준!$D$77:$D$86,0))),"Y","N")))</f>
        <v/>
      </c>
    </row>
    <row r="936">
      <c r="A936" s="92" t="n">
        <v>2025</v>
      </c>
      <c r="B936" s="92" t="n">
        <v>5</v>
      </c>
      <c r="C936" s="92" t="inlineStr">
        <is>
          <t>5100000932</t>
        </is>
      </c>
      <c r="D936" s="95" t="n">
        <v>45780</v>
      </c>
      <c r="E936" s="92" t="inlineStr">
        <is>
          <t>KR</t>
        </is>
      </c>
      <c r="F936" s="92" t="n">
        <v>62501000</v>
      </c>
      <c r="G936" s="92" t="n">
        <v>1801</v>
      </c>
      <c r="H936" s="93" t="n">
        <v>161000</v>
      </c>
      <c r="I936" s="92" t="inlineStr">
        <is>
          <t>5월 회의 다과 - T케이터링</t>
        </is>
      </c>
      <c r="J936" s="92" t="inlineStr">
        <is>
          <t>V10005</t>
        </is>
      </c>
      <c r="K936" s="92" t="inlineStr">
        <is>
          <t>T케이터링</t>
        </is>
      </c>
      <c r="M936" s="9">
        <f>IF($A936="","",VALUE($A936&amp;"")*12+VALUE($B936&amp;""))</f>
        <v/>
      </c>
      <c r="N936" s="64">
        <f>IF($A936="","",IFERROR(INDEX(부서매핑!$C$5:$C$504,MATCH($G936&amp;"",부서매핑!$A$5:$A$504,0)),"미매핑"))</f>
        <v/>
      </c>
      <c r="O936" s="9">
        <f>IF($A936="","",N936&amp;"|"&amp;$F936)</f>
        <v/>
      </c>
      <c r="P936" s="94">
        <f>IF($A936="",0,$H936*설정!$C$23)</f>
        <v/>
      </c>
      <c r="Q936" s="64">
        <f>IF($A936="","",IF(O936&lt;&gt;원인분석!$C$9,"",IF(AND(M936&gt;=원인분석!$C$10,M936&lt;=원인분석!$C$11),"당기",IF(AND(M936&gt;=원인분석!$C$12,M936&lt;=원인분석!$C$13),"비교",""))))</f>
        <v/>
      </c>
      <c r="R936" s="9">
        <f>IF(Q936="","",$K936&amp;"")</f>
        <v/>
      </c>
      <c r="S936" s="9">
        <f>IF(Q936="","",IF(MATCH(R936,$R$5:$R$100000,0)=ROW()-4,ROW(),""))</f>
        <v/>
      </c>
      <c r="T936" s="9">
        <f>IF(Q936="당기",ABS(P936)+ROW()/1000000000,"")</f>
        <v/>
      </c>
      <c r="U936" s="9">
        <f>IF(Q936="비교",ABS(P936)+ROW()/1000000000,"")</f>
        <v/>
      </c>
      <c r="V936" s="64">
        <f>IF($A936="","",IF(COUNTIF(변동분석!$E$7:$E$506,O936)&gt;0,"Y","N"))</f>
        <v/>
      </c>
      <c r="W936" s="64">
        <f>IF($A936="","",IFERROR(INDEX(계정매핑!$D$5:$D$504,MATCH($F936&amp;"",계정매핑!$A$5:$A$504,0)),"미매핑"))</f>
        <v/>
      </c>
      <c r="X936" s="9">
        <f>IF($A936="","",$F936&amp;"")</f>
        <v/>
      </c>
      <c r="Y936" s="94">
        <f>IF($A936="",0,IF(AE936="직접",IF(AF936="비귀속",$P936,0),$P936*(1-AG936)*IFERROR(INDEX(계정대체기준!$F$20:$F$49,MATCH($N936,계정대체기준!$A$20:$A$49,0)),1)))</f>
        <v/>
      </c>
      <c r="Z936" s="94">
        <f>IF($A936="",0,IF(AE936="직접",IF(AF936="신계약비",$P936,0),$P936*(1-AG936)*IFERROR(INDEX(계정대체기준!$C$20:$C$49,MATCH($N936,계정대체기준!$A$20:$A$49,0)),0)))</f>
        <v/>
      </c>
      <c r="AA936" s="94">
        <f>IF($A936="",0,IF(AE936="직접",IF(OR(AF936="유지비",AF936="손해조사비"),$P936,0),$P936*(1-AG936)*IFERROR(INDEX(계정대체기준!$D$20:$D$49,MATCH($N936,계정대체기준!$A$20:$A$49,0)),0)))</f>
        <v/>
      </c>
      <c r="AB936" s="94">
        <f>IF($A936="",0,IF(AE936="직접",IF(AF936="수금비",$P936,0),$P936*(1-AG936)*IFERROR(INDEX(계정대체기준!$E$20:$E$49,MATCH($N936,계정대체기준!$A$20:$A$49,0)),0)))</f>
        <v/>
      </c>
      <c r="AC936" s="9">
        <f>IF(AND($A936&lt;&gt;"",M936=설정!$C$20,Z936&gt;0),Z936+ROW()/1000000000,"")</f>
        <v/>
      </c>
      <c r="AD936" s="94">
        <f>IF($A936="",0,$P936*AG936)</f>
        <v/>
      </c>
      <c r="AE936" s="64">
        <f>IF($A936="","",IFERROR(INDEX(계정매핑!$E$5:$E$504,MATCH($F936&amp;"",계정매핑!$A$5:$A$504,0))&amp;"","공통비"))</f>
        <v/>
      </c>
      <c r="AF936" s="64">
        <f>IF($A936="","",IF(AE936="직접",IFERROR(INDEX(계정매핑!$F$5:$F$504,MATCH($F936&amp;"",계정매핑!$A$5:$A$504,0))&amp;"","비귀속"),""))</f>
        <v/>
      </c>
      <c r="AG936" s="96">
        <f>IF($A936="",0,IF(AND(AE936&lt;&gt;"직접",IFERROR(INDEX(계정매핑!$G$5:$G$504,MATCH($F936&amp;"",계정매핑!$A$5:$A$504,0))&amp;"","")="유지비",COUNTIF(계정대체기준!$A$6:$A$15,$N936)&gt;0),IFERROR(INDEX(계정대체기준!$E$6:$E$15,MATCH(VALUE($A936&amp;""),계정대체기준!$D$6:$D$15,0)),0),0))</f>
        <v/>
      </c>
      <c r="AH936" s="64">
        <f>IF($A936="","",IF(AD936=0,"",IF(OR(COUNTIF(계정대체기준!$A$77:$A$86,$N936)&gt;0,ISNUMBER(MATCH($X936,계정대체기준!$D$77:$D$86,0)),ISNUMBER(MATCH($F936,계정대체기준!$D$77:$D$86,0))),"Y","N")))</f>
        <v/>
      </c>
    </row>
    <row r="937">
      <c r="A937" s="92" t="n">
        <v>2025</v>
      </c>
      <c r="B937" s="92" t="n">
        <v>5</v>
      </c>
      <c r="C937" s="92" t="inlineStr">
        <is>
          <t>5100000933</t>
        </is>
      </c>
      <c r="D937" s="95" t="n">
        <v>45780</v>
      </c>
      <c r="E937" s="92" t="inlineStr">
        <is>
          <t>KR</t>
        </is>
      </c>
      <c r="F937" s="92" t="n">
        <v>63001000</v>
      </c>
      <c r="G937" s="92" t="n">
        <v>1951</v>
      </c>
      <c r="H937" s="93" t="n">
        <v>2849000</v>
      </c>
      <c r="I937" s="92" t="inlineStr">
        <is>
          <t>5월 SW 유지보수 - Z시스템</t>
        </is>
      </c>
      <c r="J937" s="92" t="inlineStr">
        <is>
          <t>V10012</t>
        </is>
      </c>
      <c r="K937" s="92" t="inlineStr">
        <is>
          <t>Z시스템</t>
        </is>
      </c>
      <c r="M937" s="9">
        <f>IF($A937="","",VALUE($A937&amp;"")*12+VALUE($B937&amp;""))</f>
        <v/>
      </c>
      <c r="N937" s="64">
        <f>IF($A937="","",IFERROR(INDEX(부서매핑!$C$5:$C$504,MATCH($G937&amp;"",부서매핑!$A$5:$A$504,0)),"미매핑"))</f>
        <v/>
      </c>
      <c r="O937" s="9">
        <f>IF($A937="","",N937&amp;"|"&amp;$F937)</f>
        <v/>
      </c>
      <c r="P937" s="94">
        <f>IF($A937="",0,$H937*설정!$C$23)</f>
        <v/>
      </c>
      <c r="Q937" s="64">
        <f>IF($A937="","",IF(O937&lt;&gt;원인분석!$C$9,"",IF(AND(M937&gt;=원인분석!$C$10,M937&lt;=원인분석!$C$11),"당기",IF(AND(M937&gt;=원인분석!$C$12,M937&lt;=원인분석!$C$13),"비교",""))))</f>
        <v/>
      </c>
      <c r="R937" s="9">
        <f>IF(Q937="","",$K937&amp;"")</f>
        <v/>
      </c>
      <c r="S937" s="9">
        <f>IF(Q937="","",IF(MATCH(R937,$R$5:$R$100000,0)=ROW()-4,ROW(),""))</f>
        <v/>
      </c>
      <c r="T937" s="9">
        <f>IF(Q937="당기",ABS(P937)+ROW()/1000000000,"")</f>
        <v/>
      </c>
      <c r="U937" s="9">
        <f>IF(Q937="비교",ABS(P937)+ROW()/1000000000,"")</f>
        <v/>
      </c>
      <c r="V937" s="64">
        <f>IF($A937="","",IF(COUNTIF(변동분석!$E$7:$E$506,O937)&gt;0,"Y","N"))</f>
        <v/>
      </c>
      <c r="W937" s="64">
        <f>IF($A937="","",IFERROR(INDEX(계정매핑!$D$5:$D$504,MATCH($F937&amp;"",계정매핑!$A$5:$A$504,0)),"미매핑"))</f>
        <v/>
      </c>
      <c r="X937" s="9">
        <f>IF($A937="","",$F937&amp;"")</f>
        <v/>
      </c>
      <c r="Y937" s="94">
        <f>IF($A937="",0,IF(AE937="직접",IF(AF937="비귀속",$P937,0),$P937*(1-AG937)*IFERROR(INDEX(계정대체기준!$F$20:$F$49,MATCH($N937,계정대체기준!$A$20:$A$49,0)),1)))</f>
        <v/>
      </c>
      <c r="Z937" s="94">
        <f>IF($A937="",0,IF(AE937="직접",IF(AF937="신계약비",$P937,0),$P937*(1-AG937)*IFERROR(INDEX(계정대체기준!$C$20:$C$49,MATCH($N937,계정대체기준!$A$20:$A$49,0)),0)))</f>
        <v/>
      </c>
      <c r="AA937" s="94">
        <f>IF($A937="",0,IF(AE937="직접",IF(OR(AF937="유지비",AF937="손해조사비"),$P937,0),$P937*(1-AG937)*IFERROR(INDEX(계정대체기준!$D$20:$D$49,MATCH($N937,계정대체기준!$A$20:$A$49,0)),0)))</f>
        <v/>
      </c>
      <c r="AB937" s="94">
        <f>IF($A937="",0,IF(AE937="직접",IF(AF937="수금비",$P937,0),$P937*(1-AG937)*IFERROR(INDEX(계정대체기준!$E$20:$E$49,MATCH($N937,계정대체기준!$A$20:$A$49,0)),0)))</f>
        <v/>
      </c>
      <c r="AC937" s="9">
        <f>IF(AND($A937&lt;&gt;"",M937=설정!$C$20,Z937&gt;0),Z937+ROW()/1000000000,"")</f>
        <v/>
      </c>
      <c r="AD937" s="94">
        <f>IF($A937="",0,$P937*AG937)</f>
        <v/>
      </c>
      <c r="AE937" s="64">
        <f>IF($A937="","",IFERROR(INDEX(계정매핑!$E$5:$E$504,MATCH($F937&amp;"",계정매핑!$A$5:$A$504,0))&amp;"","공통비"))</f>
        <v/>
      </c>
      <c r="AF937" s="64">
        <f>IF($A937="","",IF(AE937="직접",IFERROR(INDEX(계정매핑!$F$5:$F$504,MATCH($F937&amp;"",계정매핑!$A$5:$A$504,0))&amp;"","비귀속"),""))</f>
        <v/>
      </c>
      <c r="AG937" s="96">
        <f>IF($A937="",0,IF(AND(AE937&lt;&gt;"직접",IFERROR(INDEX(계정매핑!$G$5:$G$504,MATCH($F937&amp;"",계정매핑!$A$5:$A$504,0))&amp;"","")="유지비",COUNTIF(계정대체기준!$A$6:$A$15,$N937)&gt;0),IFERROR(INDEX(계정대체기준!$E$6:$E$15,MATCH(VALUE($A937&amp;""),계정대체기준!$D$6:$D$15,0)),0),0))</f>
        <v/>
      </c>
      <c r="AH937" s="64">
        <f>IF($A937="","",IF(AD937=0,"",IF(OR(COUNTIF(계정대체기준!$A$77:$A$86,$N937)&gt;0,ISNUMBER(MATCH($X937,계정대체기준!$D$77:$D$86,0)),ISNUMBER(MATCH($F937,계정대체기준!$D$77:$D$86,0))),"Y","N")))</f>
        <v/>
      </c>
    </row>
    <row r="938">
      <c r="A938" s="92" t="n">
        <v>2025</v>
      </c>
      <c r="B938" s="92" t="n">
        <v>5</v>
      </c>
      <c r="C938" s="92" t="inlineStr">
        <is>
          <t>5100000934</t>
        </is>
      </c>
      <c r="D938" s="95" t="n">
        <v>45781</v>
      </c>
      <c r="E938" s="92" t="inlineStr">
        <is>
          <t>KR</t>
        </is>
      </c>
      <c r="F938" s="92" t="n">
        <v>62101000</v>
      </c>
      <c r="G938" s="92" t="n">
        <v>1701</v>
      </c>
      <c r="H938" s="93" t="n">
        <v>217000</v>
      </c>
      <c r="I938" s="92" t="inlineStr">
        <is>
          <t>5월 국내출장 - M항공</t>
        </is>
      </c>
      <c r="J938" s="92" t="inlineStr">
        <is>
          <t>V10001</t>
        </is>
      </c>
      <c r="K938" s="92" t="inlineStr">
        <is>
          <t>M항공</t>
        </is>
      </c>
      <c r="M938" s="9">
        <f>IF($A938="","",VALUE($A938&amp;"")*12+VALUE($B938&amp;""))</f>
        <v/>
      </c>
      <c r="N938" s="64">
        <f>IF($A938="","",IFERROR(INDEX(부서매핑!$C$5:$C$504,MATCH($G938&amp;"",부서매핑!$A$5:$A$504,0)),"미매핑"))</f>
        <v/>
      </c>
      <c r="O938" s="9">
        <f>IF($A938="","",N938&amp;"|"&amp;$F938)</f>
        <v/>
      </c>
      <c r="P938" s="94">
        <f>IF($A938="",0,$H938*설정!$C$23)</f>
        <v/>
      </c>
      <c r="Q938" s="64">
        <f>IF($A938="","",IF(O938&lt;&gt;원인분석!$C$9,"",IF(AND(M938&gt;=원인분석!$C$10,M938&lt;=원인분석!$C$11),"당기",IF(AND(M938&gt;=원인분석!$C$12,M938&lt;=원인분석!$C$13),"비교",""))))</f>
        <v/>
      </c>
      <c r="R938" s="9">
        <f>IF(Q938="","",$K938&amp;"")</f>
        <v/>
      </c>
      <c r="S938" s="9">
        <f>IF(Q938="","",IF(MATCH(R938,$R$5:$R$100000,0)=ROW()-4,ROW(),""))</f>
        <v/>
      </c>
      <c r="T938" s="9">
        <f>IF(Q938="당기",ABS(P938)+ROW()/1000000000,"")</f>
        <v/>
      </c>
      <c r="U938" s="9">
        <f>IF(Q938="비교",ABS(P938)+ROW()/1000000000,"")</f>
        <v/>
      </c>
      <c r="V938" s="64">
        <f>IF($A938="","",IF(COUNTIF(변동분석!$E$7:$E$506,O938)&gt;0,"Y","N"))</f>
        <v/>
      </c>
      <c r="W938" s="64">
        <f>IF($A938="","",IFERROR(INDEX(계정매핑!$D$5:$D$504,MATCH($F938&amp;"",계정매핑!$A$5:$A$504,0)),"미매핑"))</f>
        <v/>
      </c>
      <c r="X938" s="9">
        <f>IF($A938="","",$F938&amp;"")</f>
        <v/>
      </c>
      <c r="Y938" s="94">
        <f>IF($A938="",0,IF(AE938="직접",IF(AF938="비귀속",$P938,0),$P938*(1-AG938)*IFERROR(INDEX(계정대체기준!$F$20:$F$49,MATCH($N938,계정대체기준!$A$20:$A$49,0)),1)))</f>
        <v/>
      </c>
      <c r="Z938" s="94">
        <f>IF($A938="",0,IF(AE938="직접",IF(AF938="신계약비",$P938,0),$P938*(1-AG938)*IFERROR(INDEX(계정대체기준!$C$20:$C$49,MATCH($N938,계정대체기준!$A$20:$A$49,0)),0)))</f>
        <v/>
      </c>
      <c r="AA938" s="94">
        <f>IF($A938="",0,IF(AE938="직접",IF(OR(AF938="유지비",AF938="손해조사비"),$P938,0),$P938*(1-AG938)*IFERROR(INDEX(계정대체기준!$D$20:$D$49,MATCH($N938,계정대체기준!$A$20:$A$49,0)),0)))</f>
        <v/>
      </c>
      <c r="AB938" s="94">
        <f>IF($A938="",0,IF(AE938="직접",IF(AF938="수금비",$P938,0),$P938*(1-AG938)*IFERROR(INDEX(계정대체기준!$E$20:$E$49,MATCH($N938,계정대체기준!$A$20:$A$49,0)),0)))</f>
        <v/>
      </c>
      <c r="AC938" s="9">
        <f>IF(AND($A938&lt;&gt;"",M938=설정!$C$20,Z938&gt;0),Z938+ROW()/1000000000,"")</f>
        <v/>
      </c>
      <c r="AD938" s="94">
        <f>IF($A938="",0,$P938*AG938)</f>
        <v/>
      </c>
      <c r="AE938" s="64">
        <f>IF($A938="","",IFERROR(INDEX(계정매핑!$E$5:$E$504,MATCH($F938&amp;"",계정매핑!$A$5:$A$504,0))&amp;"","공통비"))</f>
        <v/>
      </c>
      <c r="AF938" s="64">
        <f>IF($A938="","",IF(AE938="직접",IFERROR(INDEX(계정매핑!$F$5:$F$504,MATCH($F938&amp;"",계정매핑!$A$5:$A$504,0))&amp;"","비귀속"),""))</f>
        <v/>
      </c>
      <c r="AG938" s="96">
        <f>IF($A938="",0,IF(AND(AE938&lt;&gt;"직접",IFERROR(INDEX(계정매핑!$G$5:$G$504,MATCH($F938&amp;"",계정매핑!$A$5:$A$504,0))&amp;"","")="유지비",COUNTIF(계정대체기준!$A$6:$A$15,$N938)&gt;0),IFERROR(INDEX(계정대체기준!$E$6:$E$15,MATCH(VALUE($A938&amp;""),계정대체기준!$D$6:$D$15,0)),0),0))</f>
        <v/>
      </c>
      <c r="AH938" s="64">
        <f>IF($A938="","",IF(AD938=0,"",IF(OR(COUNTIF(계정대체기준!$A$77:$A$86,$N938)&gt;0,ISNUMBER(MATCH($X938,계정대체기준!$D$77:$D$86,0)),ISNUMBER(MATCH($F938,계정대체기준!$D$77:$D$86,0))),"Y","N")))</f>
        <v/>
      </c>
    </row>
    <row r="939">
      <c r="A939" s="92" t="n">
        <v>2025</v>
      </c>
      <c r="B939" s="92" t="n">
        <v>5</v>
      </c>
      <c r="C939" s="92" t="inlineStr">
        <is>
          <t>5100000935</t>
        </is>
      </c>
      <c r="D939" s="95" t="n">
        <v>45781</v>
      </c>
      <c r="E939" s="92" t="inlineStr">
        <is>
          <t>KR</t>
        </is>
      </c>
      <c r="F939" s="92" t="n">
        <v>62101000</v>
      </c>
      <c r="G939" s="92" t="n">
        <v>1701</v>
      </c>
      <c r="H939" s="93" t="n">
        <v>235000</v>
      </c>
      <c r="I939" s="92" t="inlineStr">
        <is>
          <t>5월 국내출장 - (법인카드)</t>
        </is>
      </c>
      <c r="J939" s="92" t="inlineStr">
        <is>
          <t>V10010</t>
        </is>
      </c>
      <c r="K939" s="92" t="inlineStr">
        <is>
          <t>(법인카드)</t>
        </is>
      </c>
      <c r="M939" s="9">
        <f>IF($A939="","",VALUE($A939&amp;"")*12+VALUE($B939&amp;""))</f>
        <v/>
      </c>
      <c r="N939" s="64">
        <f>IF($A939="","",IFERROR(INDEX(부서매핑!$C$5:$C$504,MATCH($G939&amp;"",부서매핑!$A$5:$A$504,0)),"미매핑"))</f>
        <v/>
      </c>
      <c r="O939" s="9">
        <f>IF($A939="","",N939&amp;"|"&amp;$F939)</f>
        <v/>
      </c>
      <c r="P939" s="94">
        <f>IF($A939="",0,$H939*설정!$C$23)</f>
        <v/>
      </c>
      <c r="Q939" s="64">
        <f>IF($A939="","",IF(O939&lt;&gt;원인분석!$C$9,"",IF(AND(M939&gt;=원인분석!$C$10,M939&lt;=원인분석!$C$11),"당기",IF(AND(M939&gt;=원인분석!$C$12,M939&lt;=원인분석!$C$13),"비교",""))))</f>
        <v/>
      </c>
      <c r="R939" s="9">
        <f>IF(Q939="","",$K939&amp;"")</f>
        <v/>
      </c>
      <c r="S939" s="9">
        <f>IF(Q939="","",IF(MATCH(R939,$R$5:$R$100000,0)=ROW()-4,ROW(),""))</f>
        <v/>
      </c>
      <c r="T939" s="9">
        <f>IF(Q939="당기",ABS(P939)+ROW()/1000000000,"")</f>
        <v/>
      </c>
      <c r="U939" s="9">
        <f>IF(Q939="비교",ABS(P939)+ROW()/1000000000,"")</f>
        <v/>
      </c>
      <c r="V939" s="64">
        <f>IF($A939="","",IF(COUNTIF(변동분석!$E$7:$E$506,O939)&gt;0,"Y","N"))</f>
        <v/>
      </c>
      <c r="W939" s="64">
        <f>IF($A939="","",IFERROR(INDEX(계정매핑!$D$5:$D$504,MATCH($F939&amp;"",계정매핑!$A$5:$A$504,0)),"미매핑"))</f>
        <v/>
      </c>
      <c r="X939" s="9">
        <f>IF($A939="","",$F939&amp;"")</f>
        <v/>
      </c>
      <c r="Y939" s="94">
        <f>IF($A939="",0,IF(AE939="직접",IF(AF939="비귀속",$P939,0),$P939*(1-AG939)*IFERROR(INDEX(계정대체기준!$F$20:$F$49,MATCH($N939,계정대체기준!$A$20:$A$49,0)),1)))</f>
        <v/>
      </c>
      <c r="Z939" s="94">
        <f>IF($A939="",0,IF(AE939="직접",IF(AF939="신계약비",$P939,0),$P939*(1-AG939)*IFERROR(INDEX(계정대체기준!$C$20:$C$49,MATCH($N939,계정대체기준!$A$20:$A$49,0)),0)))</f>
        <v/>
      </c>
      <c r="AA939" s="94">
        <f>IF($A939="",0,IF(AE939="직접",IF(OR(AF939="유지비",AF939="손해조사비"),$P939,0),$P939*(1-AG939)*IFERROR(INDEX(계정대체기준!$D$20:$D$49,MATCH($N939,계정대체기준!$A$20:$A$49,0)),0)))</f>
        <v/>
      </c>
      <c r="AB939" s="94">
        <f>IF($A939="",0,IF(AE939="직접",IF(AF939="수금비",$P939,0),$P939*(1-AG939)*IFERROR(INDEX(계정대체기준!$E$20:$E$49,MATCH($N939,계정대체기준!$A$20:$A$49,0)),0)))</f>
        <v/>
      </c>
      <c r="AC939" s="9">
        <f>IF(AND($A939&lt;&gt;"",M939=설정!$C$20,Z939&gt;0),Z939+ROW()/1000000000,"")</f>
        <v/>
      </c>
      <c r="AD939" s="94">
        <f>IF($A939="",0,$P939*AG939)</f>
        <v/>
      </c>
      <c r="AE939" s="64">
        <f>IF($A939="","",IFERROR(INDEX(계정매핑!$E$5:$E$504,MATCH($F939&amp;"",계정매핑!$A$5:$A$504,0))&amp;"","공통비"))</f>
        <v/>
      </c>
      <c r="AF939" s="64">
        <f>IF($A939="","",IF(AE939="직접",IFERROR(INDEX(계정매핑!$F$5:$F$504,MATCH($F939&amp;"",계정매핑!$A$5:$A$504,0))&amp;"","비귀속"),""))</f>
        <v/>
      </c>
      <c r="AG939" s="96">
        <f>IF($A939="",0,IF(AND(AE939&lt;&gt;"직접",IFERROR(INDEX(계정매핑!$G$5:$G$504,MATCH($F939&amp;"",계정매핑!$A$5:$A$504,0))&amp;"","")="유지비",COUNTIF(계정대체기준!$A$6:$A$15,$N939)&gt;0),IFERROR(INDEX(계정대체기준!$E$6:$E$15,MATCH(VALUE($A939&amp;""),계정대체기준!$D$6:$D$15,0)),0),0))</f>
        <v/>
      </c>
      <c r="AH939" s="64">
        <f>IF($A939="","",IF(AD939=0,"",IF(OR(COUNTIF(계정대체기준!$A$77:$A$86,$N939)&gt;0,ISNUMBER(MATCH($X939,계정대체기준!$D$77:$D$86,0)),ISNUMBER(MATCH($F939,계정대체기준!$D$77:$D$86,0))),"Y","N")))</f>
        <v/>
      </c>
    </row>
    <row r="940">
      <c r="A940" s="92" t="n">
        <v>2025</v>
      </c>
      <c r="B940" s="92" t="n">
        <v>5</v>
      </c>
      <c r="C940" s="92" t="inlineStr">
        <is>
          <t>5100000936</t>
        </is>
      </c>
      <c r="D940" s="95" t="n">
        <v>45781</v>
      </c>
      <c r="E940" s="92" t="inlineStr">
        <is>
          <t>KR</t>
        </is>
      </c>
      <c r="F940" s="92" t="n">
        <v>62301000</v>
      </c>
      <c r="G940" s="92" t="n">
        <v>1501</v>
      </c>
      <c r="H940" s="93" t="n">
        <v>238000</v>
      </c>
      <c r="I940" s="92" t="inlineStr">
        <is>
          <t>5월 소모품 구입 - R문구</t>
        </is>
      </c>
      <c r="J940" s="92" t="inlineStr">
        <is>
          <t>V10022</t>
        </is>
      </c>
      <c r="K940" s="92" t="inlineStr">
        <is>
          <t>R문구</t>
        </is>
      </c>
      <c r="M940" s="9">
        <f>IF($A940="","",VALUE($A940&amp;"")*12+VALUE($B940&amp;""))</f>
        <v/>
      </c>
      <c r="N940" s="64">
        <f>IF($A940="","",IFERROR(INDEX(부서매핑!$C$5:$C$504,MATCH($G940&amp;"",부서매핑!$A$5:$A$504,0)),"미매핑"))</f>
        <v/>
      </c>
      <c r="O940" s="9">
        <f>IF($A940="","",N940&amp;"|"&amp;$F940)</f>
        <v/>
      </c>
      <c r="P940" s="94">
        <f>IF($A940="",0,$H940*설정!$C$23)</f>
        <v/>
      </c>
      <c r="Q940" s="64">
        <f>IF($A940="","",IF(O940&lt;&gt;원인분석!$C$9,"",IF(AND(M940&gt;=원인분석!$C$10,M940&lt;=원인분석!$C$11),"당기",IF(AND(M940&gt;=원인분석!$C$12,M940&lt;=원인분석!$C$13),"비교",""))))</f>
        <v/>
      </c>
      <c r="R940" s="9">
        <f>IF(Q940="","",$K940&amp;"")</f>
        <v/>
      </c>
      <c r="S940" s="9">
        <f>IF(Q940="","",IF(MATCH(R940,$R$5:$R$100000,0)=ROW()-4,ROW(),""))</f>
        <v/>
      </c>
      <c r="T940" s="9">
        <f>IF(Q940="당기",ABS(P940)+ROW()/1000000000,"")</f>
        <v/>
      </c>
      <c r="U940" s="9">
        <f>IF(Q940="비교",ABS(P940)+ROW()/1000000000,"")</f>
        <v/>
      </c>
      <c r="V940" s="64">
        <f>IF($A940="","",IF(COUNTIF(변동분석!$E$7:$E$506,O940)&gt;0,"Y","N"))</f>
        <v/>
      </c>
      <c r="W940" s="64">
        <f>IF($A940="","",IFERROR(INDEX(계정매핑!$D$5:$D$504,MATCH($F940&amp;"",계정매핑!$A$5:$A$504,0)),"미매핑"))</f>
        <v/>
      </c>
      <c r="X940" s="9">
        <f>IF($A940="","",$F940&amp;"")</f>
        <v/>
      </c>
      <c r="Y940" s="94">
        <f>IF($A940="",0,IF(AE940="직접",IF(AF940="비귀속",$P940,0),$P940*(1-AG940)*IFERROR(INDEX(계정대체기준!$F$20:$F$49,MATCH($N940,계정대체기준!$A$20:$A$49,0)),1)))</f>
        <v/>
      </c>
      <c r="Z940" s="94">
        <f>IF($A940="",0,IF(AE940="직접",IF(AF940="신계약비",$P940,0),$P940*(1-AG940)*IFERROR(INDEX(계정대체기준!$C$20:$C$49,MATCH($N940,계정대체기준!$A$20:$A$49,0)),0)))</f>
        <v/>
      </c>
      <c r="AA940" s="94">
        <f>IF($A940="",0,IF(AE940="직접",IF(OR(AF940="유지비",AF940="손해조사비"),$P940,0),$P940*(1-AG940)*IFERROR(INDEX(계정대체기준!$D$20:$D$49,MATCH($N940,계정대체기준!$A$20:$A$49,0)),0)))</f>
        <v/>
      </c>
      <c r="AB940" s="94">
        <f>IF($A940="",0,IF(AE940="직접",IF(AF940="수금비",$P940,0),$P940*(1-AG940)*IFERROR(INDEX(계정대체기준!$E$20:$E$49,MATCH($N940,계정대체기준!$A$20:$A$49,0)),0)))</f>
        <v/>
      </c>
      <c r="AC940" s="9">
        <f>IF(AND($A940&lt;&gt;"",M940=설정!$C$20,Z940&gt;0),Z940+ROW()/1000000000,"")</f>
        <v/>
      </c>
      <c r="AD940" s="94">
        <f>IF($A940="",0,$P940*AG940)</f>
        <v/>
      </c>
      <c r="AE940" s="64">
        <f>IF($A940="","",IFERROR(INDEX(계정매핑!$E$5:$E$504,MATCH($F940&amp;"",계정매핑!$A$5:$A$504,0))&amp;"","공통비"))</f>
        <v/>
      </c>
      <c r="AF940" s="64">
        <f>IF($A940="","",IF(AE940="직접",IFERROR(INDEX(계정매핑!$F$5:$F$504,MATCH($F940&amp;"",계정매핑!$A$5:$A$504,0))&amp;"","비귀속"),""))</f>
        <v/>
      </c>
      <c r="AG940" s="96">
        <f>IF($A940="",0,IF(AND(AE940&lt;&gt;"직접",IFERROR(INDEX(계정매핑!$G$5:$G$504,MATCH($F940&amp;"",계정매핑!$A$5:$A$504,0))&amp;"","")="유지비",COUNTIF(계정대체기준!$A$6:$A$15,$N940)&gt;0),IFERROR(INDEX(계정대체기준!$E$6:$E$15,MATCH(VALUE($A940&amp;""),계정대체기준!$D$6:$D$15,0)),0),0))</f>
        <v/>
      </c>
      <c r="AH940" s="64">
        <f>IF($A940="","",IF(AD940=0,"",IF(OR(COUNTIF(계정대체기준!$A$77:$A$86,$N940)&gt;0,ISNUMBER(MATCH($X940,계정대체기준!$D$77:$D$86,0)),ISNUMBER(MATCH($F940,계정대체기준!$D$77:$D$86,0))),"Y","N")))</f>
        <v/>
      </c>
    </row>
    <row r="941">
      <c r="A941" s="92" t="n">
        <v>2025</v>
      </c>
      <c r="B941" s="92" t="n">
        <v>5</v>
      </c>
      <c r="C941" s="92" t="inlineStr">
        <is>
          <t>5100000937</t>
        </is>
      </c>
      <c r="D941" s="95" t="n">
        <v>45781</v>
      </c>
      <c r="E941" s="92" t="inlineStr">
        <is>
          <t>KR</t>
        </is>
      </c>
      <c r="F941" s="92" t="n">
        <v>62901000</v>
      </c>
      <c r="G941" s="92" t="n">
        <v>1401</v>
      </c>
      <c r="H941" s="93" t="n">
        <v>6005000</v>
      </c>
      <c r="I941" s="92" t="inlineStr">
        <is>
          <t>5월 자문 수수료 - K회계법인</t>
        </is>
      </c>
      <c r="J941" s="92" t="inlineStr">
        <is>
          <t>V10011</t>
        </is>
      </c>
      <c r="K941" s="92" t="inlineStr">
        <is>
          <t>K회계법인</t>
        </is>
      </c>
      <c r="M941" s="9">
        <f>IF($A941="","",VALUE($A941&amp;"")*12+VALUE($B941&amp;""))</f>
        <v/>
      </c>
      <c r="N941" s="64">
        <f>IF($A941="","",IFERROR(INDEX(부서매핑!$C$5:$C$504,MATCH($G941&amp;"",부서매핑!$A$5:$A$504,0)),"미매핑"))</f>
        <v/>
      </c>
      <c r="O941" s="9">
        <f>IF($A941="","",N941&amp;"|"&amp;$F941)</f>
        <v/>
      </c>
      <c r="P941" s="94">
        <f>IF($A941="",0,$H941*설정!$C$23)</f>
        <v/>
      </c>
      <c r="Q941" s="64">
        <f>IF($A941="","",IF(O941&lt;&gt;원인분석!$C$9,"",IF(AND(M941&gt;=원인분석!$C$10,M941&lt;=원인분석!$C$11),"당기",IF(AND(M941&gt;=원인분석!$C$12,M941&lt;=원인분석!$C$13),"비교",""))))</f>
        <v/>
      </c>
      <c r="R941" s="9">
        <f>IF(Q941="","",$K941&amp;"")</f>
        <v/>
      </c>
      <c r="S941" s="9">
        <f>IF(Q941="","",IF(MATCH(R941,$R$5:$R$100000,0)=ROW()-4,ROW(),""))</f>
        <v/>
      </c>
      <c r="T941" s="9">
        <f>IF(Q941="당기",ABS(P941)+ROW()/1000000000,"")</f>
        <v/>
      </c>
      <c r="U941" s="9">
        <f>IF(Q941="비교",ABS(P941)+ROW()/1000000000,"")</f>
        <v/>
      </c>
      <c r="V941" s="64">
        <f>IF($A941="","",IF(COUNTIF(변동분석!$E$7:$E$506,O941)&gt;0,"Y","N"))</f>
        <v/>
      </c>
      <c r="W941" s="64">
        <f>IF($A941="","",IFERROR(INDEX(계정매핑!$D$5:$D$504,MATCH($F941&amp;"",계정매핑!$A$5:$A$504,0)),"미매핑"))</f>
        <v/>
      </c>
      <c r="X941" s="9">
        <f>IF($A941="","",$F941&amp;"")</f>
        <v/>
      </c>
      <c r="Y941" s="94">
        <f>IF($A941="",0,IF(AE941="직접",IF(AF941="비귀속",$P941,0),$P941*(1-AG941)*IFERROR(INDEX(계정대체기준!$F$20:$F$49,MATCH($N941,계정대체기준!$A$20:$A$49,0)),1)))</f>
        <v/>
      </c>
      <c r="Z941" s="94">
        <f>IF($A941="",0,IF(AE941="직접",IF(AF941="신계약비",$P941,0),$P941*(1-AG941)*IFERROR(INDEX(계정대체기준!$C$20:$C$49,MATCH($N941,계정대체기준!$A$20:$A$49,0)),0)))</f>
        <v/>
      </c>
      <c r="AA941" s="94">
        <f>IF($A941="",0,IF(AE941="직접",IF(OR(AF941="유지비",AF941="손해조사비"),$P941,0),$P941*(1-AG941)*IFERROR(INDEX(계정대체기준!$D$20:$D$49,MATCH($N941,계정대체기준!$A$20:$A$49,0)),0)))</f>
        <v/>
      </c>
      <c r="AB941" s="94">
        <f>IF($A941="",0,IF(AE941="직접",IF(AF941="수금비",$P941,0),$P941*(1-AG941)*IFERROR(INDEX(계정대체기준!$E$20:$E$49,MATCH($N941,계정대체기준!$A$20:$A$49,0)),0)))</f>
        <v/>
      </c>
      <c r="AC941" s="9">
        <f>IF(AND($A941&lt;&gt;"",M941=설정!$C$20,Z941&gt;0),Z941+ROW()/1000000000,"")</f>
        <v/>
      </c>
      <c r="AD941" s="94">
        <f>IF($A941="",0,$P941*AG941)</f>
        <v/>
      </c>
      <c r="AE941" s="64">
        <f>IF($A941="","",IFERROR(INDEX(계정매핑!$E$5:$E$504,MATCH($F941&amp;"",계정매핑!$A$5:$A$504,0))&amp;"","공통비"))</f>
        <v/>
      </c>
      <c r="AF941" s="64">
        <f>IF($A941="","",IF(AE941="직접",IFERROR(INDEX(계정매핑!$F$5:$F$504,MATCH($F941&amp;"",계정매핑!$A$5:$A$504,0))&amp;"","비귀속"),""))</f>
        <v/>
      </c>
      <c r="AG941" s="96">
        <f>IF($A941="",0,IF(AND(AE941&lt;&gt;"직접",IFERROR(INDEX(계정매핑!$G$5:$G$504,MATCH($F941&amp;"",계정매핑!$A$5:$A$504,0))&amp;"","")="유지비",COUNTIF(계정대체기준!$A$6:$A$15,$N941)&gt;0),IFERROR(INDEX(계정대체기준!$E$6:$E$15,MATCH(VALUE($A941&amp;""),계정대체기준!$D$6:$D$15,0)),0),0))</f>
        <v/>
      </c>
      <c r="AH941" s="64">
        <f>IF($A941="","",IF(AD941=0,"",IF(OR(COUNTIF(계정대체기준!$A$77:$A$86,$N941)&gt;0,ISNUMBER(MATCH($X941,계정대체기준!$D$77:$D$86,0)),ISNUMBER(MATCH($F941,계정대체기준!$D$77:$D$86,0))),"Y","N")))</f>
        <v/>
      </c>
    </row>
    <row r="942">
      <c r="A942" s="92" t="n">
        <v>2025</v>
      </c>
      <c r="B942" s="92" t="n">
        <v>5</v>
      </c>
      <c r="C942" s="92" t="inlineStr">
        <is>
          <t>5100000938</t>
        </is>
      </c>
      <c r="D942" s="95" t="n">
        <v>45781</v>
      </c>
      <c r="E942" s="92" t="inlineStr">
        <is>
          <t>KR</t>
        </is>
      </c>
      <c r="F942" s="92" t="n">
        <v>62901000</v>
      </c>
      <c r="G942" s="92" t="n">
        <v>1401</v>
      </c>
      <c r="H942" s="93" t="n">
        <v>10505000</v>
      </c>
      <c r="I942" s="92" t="inlineStr">
        <is>
          <t>5월 자문 수수료 - W컨설팅</t>
        </is>
      </c>
      <c r="J942" s="92" t="inlineStr">
        <is>
          <t>V10006</t>
        </is>
      </c>
      <c r="K942" s="92" t="inlineStr">
        <is>
          <t>W컨설팅</t>
        </is>
      </c>
      <c r="M942" s="9">
        <f>IF($A942="","",VALUE($A942&amp;"")*12+VALUE($B942&amp;""))</f>
        <v/>
      </c>
      <c r="N942" s="64">
        <f>IF($A942="","",IFERROR(INDEX(부서매핑!$C$5:$C$504,MATCH($G942&amp;"",부서매핑!$A$5:$A$504,0)),"미매핑"))</f>
        <v/>
      </c>
      <c r="O942" s="9">
        <f>IF($A942="","",N942&amp;"|"&amp;$F942)</f>
        <v/>
      </c>
      <c r="P942" s="94">
        <f>IF($A942="",0,$H942*설정!$C$23)</f>
        <v/>
      </c>
      <c r="Q942" s="64">
        <f>IF($A942="","",IF(O942&lt;&gt;원인분석!$C$9,"",IF(AND(M942&gt;=원인분석!$C$10,M942&lt;=원인분석!$C$11),"당기",IF(AND(M942&gt;=원인분석!$C$12,M942&lt;=원인분석!$C$13),"비교",""))))</f>
        <v/>
      </c>
      <c r="R942" s="9">
        <f>IF(Q942="","",$K942&amp;"")</f>
        <v/>
      </c>
      <c r="S942" s="9">
        <f>IF(Q942="","",IF(MATCH(R942,$R$5:$R$100000,0)=ROW()-4,ROW(),""))</f>
        <v/>
      </c>
      <c r="T942" s="9">
        <f>IF(Q942="당기",ABS(P942)+ROW()/1000000000,"")</f>
        <v/>
      </c>
      <c r="U942" s="9">
        <f>IF(Q942="비교",ABS(P942)+ROW()/1000000000,"")</f>
        <v/>
      </c>
      <c r="V942" s="64">
        <f>IF($A942="","",IF(COUNTIF(변동분석!$E$7:$E$506,O942)&gt;0,"Y","N"))</f>
        <v/>
      </c>
      <c r="W942" s="64">
        <f>IF($A942="","",IFERROR(INDEX(계정매핑!$D$5:$D$504,MATCH($F942&amp;"",계정매핑!$A$5:$A$504,0)),"미매핑"))</f>
        <v/>
      </c>
      <c r="X942" s="9">
        <f>IF($A942="","",$F942&amp;"")</f>
        <v/>
      </c>
      <c r="Y942" s="94">
        <f>IF($A942="",0,IF(AE942="직접",IF(AF942="비귀속",$P942,0),$P942*(1-AG942)*IFERROR(INDEX(계정대체기준!$F$20:$F$49,MATCH($N942,계정대체기준!$A$20:$A$49,0)),1)))</f>
        <v/>
      </c>
      <c r="Z942" s="94">
        <f>IF($A942="",0,IF(AE942="직접",IF(AF942="신계약비",$P942,0),$P942*(1-AG942)*IFERROR(INDEX(계정대체기준!$C$20:$C$49,MATCH($N942,계정대체기준!$A$20:$A$49,0)),0)))</f>
        <v/>
      </c>
      <c r="AA942" s="94">
        <f>IF($A942="",0,IF(AE942="직접",IF(OR(AF942="유지비",AF942="손해조사비"),$P942,0),$P942*(1-AG942)*IFERROR(INDEX(계정대체기준!$D$20:$D$49,MATCH($N942,계정대체기준!$A$20:$A$49,0)),0)))</f>
        <v/>
      </c>
      <c r="AB942" s="94">
        <f>IF($A942="",0,IF(AE942="직접",IF(AF942="수금비",$P942,0),$P942*(1-AG942)*IFERROR(INDEX(계정대체기준!$E$20:$E$49,MATCH($N942,계정대체기준!$A$20:$A$49,0)),0)))</f>
        <v/>
      </c>
      <c r="AC942" s="9">
        <f>IF(AND($A942&lt;&gt;"",M942=설정!$C$20,Z942&gt;0),Z942+ROW()/1000000000,"")</f>
        <v/>
      </c>
      <c r="AD942" s="94">
        <f>IF($A942="",0,$P942*AG942)</f>
        <v/>
      </c>
      <c r="AE942" s="64">
        <f>IF($A942="","",IFERROR(INDEX(계정매핑!$E$5:$E$504,MATCH($F942&amp;"",계정매핑!$A$5:$A$504,0))&amp;"","공통비"))</f>
        <v/>
      </c>
      <c r="AF942" s="64">
        <f>IF($A942="","",IF(AE942="직접",IFERROR(INDEX(계정매핑!$F$5:$F$504,MATCH($F942&amp;"",계정매핑!$A$5:$A$504,0))&amp;"","비귀속"),""))</f>
        <v/>
      </c>
      <c r="AG942" s="96">
        <f>IF($A942="",0,IF(AND(AE942&lt;&gt;"직접",IFERROR(INDEX(계정매핑!$G$5:$G$504,MATCH($F942&amp;"",계정매핑!$A$5:$A$504,0))&amp;"","")="유지비",COUNTIF(계정대체기준!$A$6:$A$15,$N942)&gt;0),IFERROR(INDEX(계정대체기준!$E$6:$E$15,MATCH(VALUE($A942&amp;""),계정대체기준!$D$6:$D$15,0)),0),0))</f>
        <v/>
      </c>
      <c r="AH942" s="64">
        <f>IF($A942="","",IF(AD942=0,"",IF(OR(COUNTIF(계정대체기준!$A$77:$A$86,$N942)&gt;0,ISNUMBER(MATCH($X942,계정대체기준!$D$77:$D$86,0)),ISNUMBER(MATCH($F942,계정대체기준!$D$77:$D$86,0))),"Y","N")))</f>
        <v/>
      </c>
    </row>
    <row r="943">
      <c r="A943" s="92" t="n">
        <v>2025</v>
      </c>
      <c r="B943" s="92" t="n">
        <v>5</v>
      </c>
      <c r="C943" s="92" t="inlineStr">
        <is>
          <t>5100000939</t>
        </is>
      </c>
      <c r="D943" s="95" t="n">
        <v>45781</v>
      </c>
      <c r="E943" s="92" t="inlineStr">
        <is>
          <t>KR</t>
        </is>
      </c>
      <c r="F943" s="92" t="n">
        <v>62902000</v>
      </c>
      <c r="G943" s="92" t="n">
        <v>1801</v>
      </c>
      <c r="H943" s="93" t="n">
        <v>1788000</v>
      </c>
      <c r="I943" s="92" t="inlineStr">
        <is>
          <t>5월 콜 위탁 수수료(건별)</t>
        </is>
      </c>
      <c r="J943" s="92" t="inlineStr">
        <is>
          <t>V10016</t>
        </is>
      </c>
      <c r="K943" s="92" t="inlineStr">
        <is>
          <t>J콜센터</t>
        </is>
      </c>
      <c r="M943" s="9">
        <f>IF($A943="","",VALUE($A943&amp;"")*12+VALUE($B943&amp;""))</f>
        <v/>
      </c>
      <c r="N943" s="64">
        <f>IF($A943="","",IFERROR(INDEX(부서매핑!$C$5:$C$504,MATCH($G943&amp;"",부서매핑!$A$5:$A$504,0)),"미매핑"))</f>
        <v/>
      </c>
      <c r="O943" s="9">
        <f>IF($A943="","",N943&amp;"|"&amp;$F943)</f>
        <v/>
      </c>
      <c r="P943" s="94">
        <f>IF($A943="",0,$H943*설정!$C$23)</f>
        <v/>
      </c>
      <c r="Q943" s="64">
        <f>IF($A943="","",IF(O943&lt;&gt;원인분석!$C$9,"",IF(AND(M943&gt;=원인분석!$C$10,M943&lt;=원인분석!$C$11),"당기",IF(AND(M943&gt;=원인분석!$C$12,M943&lt;=원인분석!$C$13),"비교",""))))</f>
        <v/>
      </c>
      <c r="R943" s="9">
        <f>IF(Q943="","",$K943&amp;"")</f>
        <v/>
      </c>
      <c r="S943" s="9">
        <f>IF(Q943="","",IF(MATCH(R943,$R$5:$R$100000,0)=ROW()-4,ROW(),""))</f>
        <v/>
      </c>
      <c r="T943" s="9">
        <f>IF(Q943="당기",ABS(P943)+ROW()/1000000000,"")</f>
        <v/>
      </c>
      <c r="U943" s="9">
        <f>IF(Q943="비교",ABS(P943)+ROW()/1000000000,"")</f>
        <v/>
      </c>
      <c r="V943" s="64">
        <f>IF($A943="","",IF(COUNTIF(변동분석!$E$7:$E$506,O943)&gt;0,"Y","N"))</f>
        <v/>
      </c>
      <c r="W943" s="64">
        <f>IF($A943="","",IFERROR(INDEX(계정매핑!$D$5:$D$504,MATCH($F943&amp;"",계정매핑!$A$5:$A$504,0)),"미매핑"))</f>
        <v/>
      </c>
      <c r="X943" s="9">
        <f>IF($A943="","",$F943&amp;"")</f>
        <v/>
      </c>
      <c r="Y943" s="94">
        <f>IF($A943="",0,IF(AE943="직접",IF(AF943="비귀속",$P943,0),$P943*(1-AG943)*IFERROR(INDEX(계정대체기준!$F$20:$F$49,MATCH($N943,계정대체기준!$A$20:$A$49,0)),1)))</f>
        <v/>
      </c>
      <c r="Z943" s="94">
        <f>IF($A943="",0,IF(AE943="직접",IF(AF943="신계약비",$P943,0),$P943*(1-AG943)*IFERROR(INDEX(계정대체기준!$C$20:$C$49,MATCH($N943,계정대체기준!$A$20:$A$49,0)),0)))</f>
        <v/>
      </c>
      <c r="AA943" s="94">
        <f>IF($A943="",0,IF(AE943="직접",IF(OR(AF943="유지비",AF943="손해조사비"),$P943,0),$P943*(1-AG943)*IFERROR(INDEX(계정대체기준!$D$20:$D$49,MATCH($N943,계정대체기준!$A$20:$A$49,0)),0)))</f>
        <v/>
      </c>
      <c r="AB943" s="94">
        <f>IF($A943="",0,IF(AE943="직접",IF(AF943="수금비",$P943,0),$P943*(1-AG943)*IFERROR(INDEX(계정대체기준!$E$20:$E$49,MATCH($N943,계정대체기준!$A$20:$A$49,0)),0)))</f>
        <v/>
      </c>
      <c r="AC943" s="9">
        <f>IF(AND($A943&lt;&gt;"",M943=설정!$C$20,Z943&gt;0),Z943+ROW()/1000000000,"")</f>
        <v/>
      </c>
      <c r="AD943" s="94">
        <f>IF($A943="",0,$P943*AG943)</f>
        <v/>
      </c>
      <c r="AE943" s="64">
        <f>IF($A943="","",IFERROR(INDEX(계정매핑!$E$5:$E$504,MATCH($F943&amp;"",계정매핑!$A$5:$A$504,0))&amp;"","공통비"))</f>
        <v/>
      </c>
      <c r="AF943" s="64">
        <f>IF($A943="","",IF(AE943="직접",IFERROR(INDEX(계정매핑!$F$5:$F$504,MATCH($F943&amp;"",계정매핑!$A$5:$A$504,0))&amp;"","비귀속"),""))</f>
        <v/>
      </c>
      <c r="AG943" s="96">
        <f>IF($A943="",0,IF(AND(AE943&lt;&gt;"직접",IFERROR(INDEX(계정매핑!$G$5:$G$504,MATCH($F943&amp;"",계정매핑!$A$5:$A$504,0))&amp;"","")="유지비",COUNTIF(계정대체기준!$A$6:$A$15,$N943)&gt;0),IFERROR(INDEX(계정대체기준!$E$6:$E$15,MATCH(VALUE($A943&amp;""),계정대체기준!$D$6:$D$15,0)),0),0))</f>
        <v/>
      </c>
      <c r="AH943" s="64">
        <f>IF($A943="","",IF(AD943=0,"",IF(OR(COUNTIF(계정대체기준!$A$77:$A$86,$N943)&gt;0,ISNUMBER(MATCH($X943,계정대체기준!$D$77:$D$86,0)),ISNUMBER(MATCH($F943,계정대체기준!$D$77:$D$86,0))),"Y","N")))</f>
        <v/>
      </c>
    </row>
    <row r="944">
      <c r="A944" s="92" t="n">
        <v>2025</v>
      </c>
      <c r="B944" s="92" t="n">
        <v>5</v>
      </c>
      <c r="C944" s="92" t="inlineStr">
        <is>
          <t>5100000940</t>
        </is>
      </c>
      <c r="D944" s="95" t="n">
        <v>45781</v>
      </c>
      <c r="E944" s="92" t="inlineStr">
        <is>
          <t>KR</t>
        </is>
      </c>
      <c r="F944" s="92" t="n">
        <v>63001000</v>
      </c>
      <c r="G944" s="92" t="n">
        <v>1701</v>
      </c>
      <c r="H944" s="93" t="n">
        <v>29765000</v>
      </c>
      <c r="I944" s="92" t="inlineStr">
        <is>
          <t>5월 SW 유지보수 - Y소프트</t>
        </is>
      </c>
      <c r="J944" s="92" t="inlineStr">
        <is>
          <t>V10017</t>
        </is>
      </c>
      <c r="K944" s="92" t="inlineStr">
        <is>
          <t>Y소프트</t>
        </is>
      </c>
      <c r="M944" s="9">
        <f>IF($A944="","",VALUE($A944&amp;"")*12+VALUE($B944&amp;""))</f>
        <v/>
      </c>
      <c r="N944" s="64">
        <f>IF($A944="","",IFERROR(INDEX(부서매핑!$C$5:$C$504,MATCH($G944&amp;"",부서매핑!$A$5:$A$504,0)),"미매핑"))</f>
        <v/>
      </c>
      <c r="O944" s="9">
        <f>IF($A944="","",N944&amp;"|"&amp;$F944)</f>
        <v/>
      </c>
      <c r="P944" s="94">
        <f>IF($A944="",0,$H944*설정!$C$23)</f>
        <v/>
      </c>
      <c r="Q944" s="64">
        <f>IF($A944="","",IF(O944&lt;&gt;원인분석!$C$9,"",IF(AND(M944&gt;=원인분석!$C$10,M944&lt;=원인분석!$C$11),"당기",IF(AND(M944&gt;=원인분석!$C$12,M944&lt;=원인분석!$C$13),"비교",""))))</f>
        <v/>
      </c>
      <c r="R944" s="9">
        <f>IF(Q944="","",$K944&amp;"")</f>
        <v/>
      </c>
      <c r="S944" s="9">
        <f>IF(Q944="","",IF(MATCH(R944,$R$5:$R$100000,0)=ROW()-4,ROW(),""))</f>
        <v/>
      </c>
      <c r="T944" s="9">
        <f>IF(Q944="당기",ABS(P944)+ROW()/1000000000,"")</f>
        <v/>
      </c>
      <c r="U944" s="9">
        <f>IF(Q944="비교",ABS(P944)+ROW()/1000000000,"")</f>
        <v/>
      </c>
      <c r="V944" s="64">
        <f>IF($A944="","",IF(COUNTIF(변동분석!$E$7:$E$506,O944)&gt;0,"Y","N"))</f>
        <v/>
      </c>
      <c r="W944" s="64">
        <f>IF($A944="","",IFERROR(INDEX(계정매핑!$D$5:$D$504,MATCH($F944&amp;"",계정매핑!$A$5:$A$504,0)),"미매핑"))</f>
        <v/>
      </c>
      <c r="X944" s="9">
        <f>IF($A944="","",$F944&amp;"")</f>
        <v/>
      </c>
      <c r="Y944" s="94">
        <f>IF($A944="",0,IF(AE944="직접",IF(AF944="비귀속",$P944,0),$P944*(1-AG944)*IFERROR(INDEX(계정대체기준!$F$20:$F$49,MATCH($N944,계정대체기준!$A$20:$A$49,0)),1)))</f>
        <v/>
      </c>
      <c r="Z944" s="94">
        <f>IF($A944="",0,IF(AE944="직접",IF(AF944="신계약비",$P944,0),$P944*(1-AG944)*IFERROR(INDEX(계정대체기준!$C$20:$C$49,MATCH($N944,계정대체기준!$A$20:$A$49,0)),0)))</f>
        <v/>
      </c>
      <c r="AA944" s="94">
        <f>IF($A944="",0,IF(AE944="직접",IF(OR(AF944="유지비",AF944="손해조사비"),$P944,0),$P944*(1-AG944)*IFERROR(INDEX(계정대체기준!$D$20:$D$49,MATCH($N944,계정대체기준!$A$20:$A$49,0)),0)))</f>
        <v/>
      </c>
      <c r="AB944" s="94">
        <f>IF($A944="",0,IF(AE944="직접",IF(AF944="수금비",$P944,0),$P944*(1-AG944)*IFERROR(INDEX(계정대체기준!$E$20:$E$49,MATCH($N944,계정대체기준!$A$20:$A$49,0)),0)))</f>
        <v/>
      </c>
      <c r="AC944" s="9">
        <f>IF(AND($A944&lt;&gt;"",M944=설정!$C$20,Z944&gt;0),Z944+ROW()/1000000000,"")</f>
        <v/>
      </c>
      <c r="AD944" s="94">
        <f>IF($A944="",0,$P944*AG944)</f>
        <v/>
      </c>
      <c r="AE944" s="64">
        <f>IF($A944="","",IFERROR(INDEX(계정매핑!$E$5:$E$504,MATCH($F944&amp;"",계정매핑!$A$5:$A$504,0))&amp;"","공통비"))</f>
        <v/>
      </c>
      <c r="AF944" s="64">
        <f>IF($A944="","",IF(AE944="직접",IFERROR(INDEX(계정매핑!$F$5:$F$504,MATCH($F944&amp;"",계정매핑!$A$5:$A$504,0))&amp;"","비귀속"),""))</f>
        <v/>
      </c>
      <c r="AG944" s="96">
        <f>IF($A944="",0,IF(AND(AE944&lt;&gt;"직접",IFERROR(INDEX(계정매핑!$G$5:$G$504,MATCH($F944&amp;"",계정매핑!$A$5:$A$504,0))&amp;"","")="유지비",COUNTIF(계정대체기준!$A$6:$A$15,$N944)&gt;0),IFERROR(INDEX(계정대체기준!$E$6:$E$15,MATCH(VALUE($A944&amp;""),계정대체기준!$D$6:$D$15,0)),0),0))</f>
        <v/>
      </c>
      <c r="AH944" s="64">
        <f>IF($A944="","",IF(AD944=0,"",IF(OR(COUNTIF(계정대체기준!$A$77:$A$86,$N944)&gt;0,ISNUMBER(MATCH($X944,계정대체기준!$D$77:$D$86,0)),ISNUMBER(MATCH($F944,계정대체기준!$D$77:$D$86,0))),"Y","N")))</f>
        <v/>
      </c>
    </row>
    <row r="945">
      <c r="A945" s="92" t="n">
        <v>2025</v>
      </c>
      <c r="B945" s="92" t="n">
        <v>5</v>
      </c>
      <c r="C945" s="92" t="inlineStr">
        <is>
          <t>5100000941</t>
        </is>
      </c>
      <c r="D945" s="95" t="n">
        <v>45781</v>
      </c>
      <c r="E945" s="92" t="inlineStr">
        <is>
          <t>KR</t>
        </is>
      </c>
      <c r="F945" s="92" t="n">
        <v>63502000</v>
      </c>
      <c r="G945" s="92" t="n">
        <v>1901</v>
      </c>
      <c r="H945" s="93" t="n">
        <v>181107000</v>
      </c>
      <c r="I945" s="92" t="inlineStr">
        <is>
          <t>5월 유지수수료 - (전속설계사)</t>
        </is>
      </c>
      <c r="J945" s="92" t="inlineStr">
        <is>
          <t>V10021</t>
        </is>
      </c>
      <c r="K945" s="92" t="inlineStr">
        <is>
          <t>(전속설계사)</t>
        </is>
      </c>
      <c r="M945" s="9">
        <f>IF($A945="","",VALUE($A945&amp;"")*12+VALUE($B945&amp;""))</f>
        <v/>
      </c>
      <c r="N945" s="64">
        <f>IF($A945="","",IFERROR(INDEX(부서매핑!$C$5:$C$504,MATCH($G945&amp;"",부서매핑!$A$5:$A$504,0)),"미매핑"))</f>
        <v/>
      </c>
      <c r="O945" s="9">
        <f>IF($A945="","",N945&amp;"|"&amp;$F945)</f>
        <v/>
      </c>
      <c r="P945" s="94">
        <f>IF($A945="",0,$H945*설정!$C$23)</f>
        <v/>
      </c>
      <c r="Q945" s="64">
        <f>IF($A945="","",IF(O945&lt;&gt;원인분석!$C$9,"",IF(AND(M945&gt;=원인분석!$C$10,M945&lt;=원인분석!$C$11),"당기",IF(AND(M945&gt;=원인분석!$C$12,M945&lt;=원인분석!$C$13),"비교",""))))</f>
        <v/>
      </c>
      <c r="R945" s="9">
        <f>IF(Q945="","",$K945&amp;"")</f>
        <v/>
      </c>
      <c r="S945" s="9">
        <f>IF(Q945="","",IF(MATCH(R945,$R$5:$R$100000,0)=ROW()-4,ROW(),""))</f>
        <v/>
      </c>
      <c r="T945" s="9">
        <f>IF(Q945="당기",ABS(P945)+ROW()/1000000000,"")</f>
        <v/>
      </c>
      <c r="U945" s="9">
        <f>IF(Q945="비교",ABS(P945)+ROW()/1000000000,"")</f>
        <v/>
      </c>
      <c r="V945" s="64">
        <f>IF($A945="","",IF(COUNTIF(변동분석!$E$7:$E$506,O945)&gt;0,"Y","N"))</f>
        <v/>
      </c>
      <c r="W945" s="64">
        <f>IF($A945="","",IFERROR(INDEX(계정매핑!$D$5:$D$504,MATCH($F945&amp;"",계정매핑!$A$5:$A$504,0)),"미매핑"))</f>
        <v/>
      </c>
      <c r="X945" s="9">
        <f>IF($A945="","",$F945&amp;"")</f>
        <v/>
      </c>
      <c r="Y945" s="94">
        <f>IF($A945="",0,IF(AE945="직접",IF(AF945="비귀속",$P945,0),$P945*(1-AG945)*IFERROR(INDEX(계정대체기준!$F$20:$F$49,MATCH($N945,계정대체기준!$A$20:$A$49,0)),1)))</f>
        <v/>
      </c>
      <c r="Z945" s="94">
        <f>IF($A945="",0,IF(AE945="직접",IF(AF945="신계약비",$P945,0),$P945*(1-AG945)*IFERROR(INDEX(계정대체기준!$C$20:$C$49,MATCH($N945,계정대체기준!$A$20:$A$49,0)),0)))</f>
        <v/>
      </c>
      <c r="AA945" s="94">
        <f>IF($A945="",0,IF(AE945="직접",IF(OR(AF945="유지비",AF945="손해조사비"),$P945,0),$P945*(1-AG945)*IFERROR(INDEX(계정대체기준!$D$20:$D$49,MATCH($N945,계정대체기준!$A$20:$A$49,0)),0)))</f>
        <v/>
      </c>
      <c r="AB945" s="94">
        <f>IF($A945="",0,IF(AE945="직접",IF(AF945="수금비",$P945,0),$P945*(1-AG945)*IFERROR(INDEX(계정대체기준!$E$20:$E$49,MATCH($N945,계정대체기준!$A$20:$A$49,0)),0)))</f>
        <v/>
      </c>
      <c r="AC945" s="9">
        <f>IF(AND($A945&lt;&gt;"",M945=설정!$C$20,Z945&gt;0),Z945+ROW()/1000000000,"")</f>
        <v/>
      </c>
      <c r="AD945" s="94">
        <f>IF($A945="",0,$P945*AG945)</f>
        <v/>
      </c>
      <c r="AE945" s="64">
        <f>IF($A945="","",IFERROR(INDEX(계정매핑!$E$5:$E$504,MATCH($F945&amp;"",계정매핑!$A$5:$A$504,0))&amp;"","공통비"))</f>
        <v/>
      </c>
      <c r="AF945" s="64">
        <f>IF($A945="","",IF(AE945="직접",IFERROR(INDEX(계정매핑!$F$5:$F$504,MATCH($F945&amp;"",계정매핑!$A$5:$A$504,0))&amp;"","비귀속"),""))</f>
        <v/>
      </c>
      <c r="AG945" s="96">
        <f>IF($A945="",0,IF(AND(AE945&lt;&gt;"직접",IFERROR(INDEX(계정매핑!$G$5:$G$504,MATCH($F945&amp;"",계정매핑!$A$5:$A$504,0))&amp;"","")="유지비",COUNTIF(계정대체기준!$A$6:$A$15,$N945)&gt;0),IFERROR(INDEX(계정대체기준!$E$6:$E$15,MATCH(VALUE($A945&amp;""),계정대체기준!$D$6:$D$15,0)),0),0))</f>
        <v/>
      </c>
      <c r="AH945" s="64">
        <f>IF($A945="","",IF(AD945=0,"",IF(OR(COUNTIF(계정대체기준!$A$77:$A$86,$N945)&gt;0,ISNUMBER(MATCH($X945,계정대체기준!$D$77:$D$86,0)),ISNUMBER(MATCH($F945,계정대체기준!$D$77:$D$86,0))),"Y","N")))</f>
        <v/>
      </c>
    </row>
    <row r="946">
      <c r="A946" s="92" t="n">
        <v>2025</v>
      </c>
      <c r="B946" s="92" t="n">
        <v>5</v>
      </c>
      <c r="C946" s="92" t="inlineStr">
        <is>
          <t>5100000942</t>
        </is>
      </c>
      <c r="D946" s="95" t="n">
        <v>45782</v>
      </c>
      <c r="E946" s="92" t="inlineStr">
        <is>
          <t>KR</t>
        </is>
      </c>
      <c r="F946" s="92" t="n">
        <v>62101000</v>
      </c>
      <c r="G946" s="92" t="n">
        <v>1201</v>
      </c>
      <c r="H946" s="93" t="n">
        <v>250000</v>
      </c>
      <c r="I946" s="92" t="inlineStr">
        <is>
          <t>5월 국내출장 - (법인카드)</t>
        </is>
      </c>
      <c r="J946" s="92" t="inlineStr">
        <is>
          <t>V10010</t>
        </is>
      </c>
      <c r="K946" s="92" t="inlineStr">
        <is>
          <t>(법인카드)</t>
        </is>
      </c>
      <c r="M946" s="9">
        <f>IF($A946="","",VALUE($A946&amp;"")*12+VALUE($B946&amp;""))</f>
        <v/>
      </c>
      <c r="N946" s="64">
        <f>IF($A946="","",IFERROR(INDEX(부서매핑!$C$5:$C$504,MATCH($G946&amp;"",부서매핑!$A$5:$A$504,0)),"미매핑"))</f>
        <v/>
      </c>
      <c r="O946" s="9">
        <f>IF($A946="","",N946&amp;"|"&amp;$F946)</f>
        <v/>
      </c>
      <c r="P946" s="94">
        <f>IF($A946="",0,$H946*설정!$C$23)</f>
        <v/>
      </c>
      <c r="Q946" s="64">
        <f>IF($A946="","",IF(O946&lt;&gt;원인분석!$C$9,"",IF(AND(M946&gt;=원인분석!$C$10,M946&lt;=원인분석!$C$11),"당기",IF(AND(M946&gt;=원인분석!$C$12,M946&lt;=원인분석!$C$13),"비교",""))))</f>
        <v/>
      </c>
      <c r="R946" s="9">
        <f>IF(Q946="","",$K946&amp;"")</f>
        <v/>
      </c>
      <c r="S946" s="9">
        <f>IF(Q946="","",IF(MATCH(R946,$R$5:$R$100000,0)=ROW()-4,ROW(),""))</f>
        <v/>
      </c>
      <c r="T946" s="9">
        <f>IF(Q946="당기",ABS(P946)+ROW()/1000000000,"")</f>
        <v/>
      </c>
      <c r="U946" s="9">
        <f>IF(Q946="비교",ABS(P946)+ROW()/1000000000,"")</f>
        <v/>
      </c>
      <c r="V946" s="64">
        <f>IF($A946="","",IF(COUNTIF(변동분석!$E$7:$E$506,O946)&gt;0,"Y","N"))</f>
        <v/>
      </c>
      <c r="W946" s="64">
        <f>IF($A946="","",IFERROR(INDEX(계정매핑!$D$5:$D$504,MATCH($F946&amp;"",계정매핑!$A$5:$A$504,0)),"미매핑"))</f>
        <v/>
      </c>
      <c r="X946" s="9">
        <f>IF($A946="","",$F946&amp;"")</f>
        <v/>
      </c>
      <c r="Y946" s="94">
        <f>IF($A946="",0,IF(AE946="직접",IF(AF946="비귀속",$P946,0),$P946*(1-AG946)*IFERROR(INDEX(계정대체기준!$F$20:$F$49,MATCH($N946,계정대체기준!$A$20:$A$49,0)),1)))</f>
        <v/>
      </c>
      <c r="Z946" s="94">
        <f>IF($A946="",0,IF(AE946="직접",IF(AF946="신계약비",$P946,0),$P946*(1-AG946)*IFERROR(INDEX(계정대체기준!$C$20:$C$49,MATCH($N946,계정대체기준!$A$20:$A$49,0)),0)))</f>
        <v/>
      </c>
      <c r="AA946" s="94">
        <f>IF($A946="",0,IF(AE946="직접",IF(OR(AF946="유지비",AF946="손해조사비"),$P946,0),$P946*(1-AG946)*IFERROR(INDEX(계정대체기준!$D$20:$D$49,MATCH($N946,계정대체기준!$A$20:$A$49,0)),0)))</f>
        <v/>
      </c>
      <c r="AB946" s="94">
        <f>IF($A946="",0,IF(AE946="직접",IF(AF946="수금비",$P946,0),$P946*(1-AG946)*IFERROR(INDEX(계정대체기준!$E$20:$E$49,MATCH($N946,계정대체기준!$A$20:$A$49,0)),0)))</f>
        <v/>
      </c>
      <c r="AC946" s="9">
        <f>IF(AND($A946&lt;&gt;"",M946=설정!$C$20,Z946&gt;0),Z946+ROW()/1000000000,"")</f>
        <v/>
      </c>
      <c r="AD946" s="94">
        <f>IF($A946="",0,$P946*AG946)</f>
        <v/>
      </c>
      <c r="AE946" s="64">
        <f>IF($A946="","",IFERROR(INDEX(계정매핑!$E$5:$E$504,MATCH($F946&amp;"",계정매핑!$A$5:$A$504,0))&amp;"","공통비"))</f>
        <v/>
      </c>
      <c r="AF946" s="64">
        <f>IF($A946="","",IF(AE946="직접",IFERROR(INDEX(계정매핑!$F$5:$F$504,MATCH($F946&amp;"",계정매핑!$A$5:$A$504,0))&amp;"","비귀속"),""))</f>
        <v/>
      </c>
      <c r="AG946" s="96">
        <f>IF($A946="",0,IF(AND(AE946&lt;&gt;"직접",IFERROR(INDEX(계정매핑!$G$5:$G$504,MATCH($F946&amp;"",계정매핑!$A$5:$A$504,0))&amp;"","")="유지비",COUNTIF(계정대체기준!$A$6:$A$15,$N946)&gt;0),IFERROR(INDEX(계정대체기준!$E$6:$E$15,MATCH(VALUE($A946&amp;""),계정대체기준!$D$6:$D$15,0)),0),0))</f>
        <v/>
      </c>
      <c r="AH946" s="64">
        <f>IF($A946="","",IF(AD946=0,"",IF(OR(COUNTIF(계정대체기준!$A$77:$A$86,$N946)&gt;0,ISNUMBER(MATCH($X946,계정대체기준!$D$77:$D$86,0)),ISNUMBER(MATCH($F946,계정대체기준!$D$77:$D$86,0))),"Y","N")))</f>
        <v/>
      </c>
    </row>
    <row r="947">
      <c r="A947" s="92" t="n">
        <v>2025</v>
      </c>
      <c r="B947" s="92" t="n">
        <v>5</v>
      </c>
      <c r="C947" s="92" t="inlineStr">
        <is>
          <t>5100000943</t>
        </is>
      </c>
      <c r="D947" s="95" t="n">
        <v>45782</v>
      </c>
      <c r="E947" s="92" t="inlineStr">
        <is>
          <t>KR</t>
        </is>
      </c>
      <c r="F947" s="92" t="n">
        <v>62102000</v>
      </c>
      <c r="G947" s="92" t="n">
        <v>1301</v>
      </c>
      <c r="H947" s="93" t="n">
        <v>55000</v>
      </c>
      <c r="I947" s="92" t="inlineStr">
        <is>
          <t>5월 해외출장 - M항공</t>
        </is>
      </c>
      <c r="J947" s="92" t="inlineStr">
        <is>
          <t>V10001</t>
        </is>
      </c>
      <c r="K947" s="92" t="inlineStr">
        <is>
          <t>M항공</t>
        </is>
      </c>
      <c r="M947" s="9">
        <f>IF($A947="","",VALUE($A947&amp;"")*12+VALUE($B947&amp;""))</f>
        <v/>
      </c>
      <c r="N947" s="64">
        <f>IF($A947="","",IFERROR(INDEX(부서매핑!$C$5:$C$504,MATCH($G947&amp;"",부서매핑!$A$5:$A$504,0)),"미매핑"))</f>
        <v/>
      </c>
      <c r="O947" s="9">
        <f>IF($A947="","",N947&amp;"|"&amp;$F947)</f>
        <v/>
      </c>
      <c r="P947" s="94">
        <f>IF($A947="",0,$H947*설정!$C$23)</f>
        <v/>
      </c>
      <c r="Q947" s="64">
        <f>IF($A947="","",IF(O947&lt;&gt;원인분석!$C$9,"",IF(AND(M947&gt;=원인분석!$C$10,M947&lt;=원인분석!$C$11),"당기",IF(AND(M947&gt;=원인분석!$C$12,M947&lt;=원인분석!$C$13),"비교",""))))</f>
        <v/>
      </c>
      <c r="R947" s="9">
        <f>IF(Q947="","",$K947&amp;"")</f>
        <v/>
      </c>
      <c r="S947" s="9">
        <f>IF(Q947="","",IF(MATCH(R947,$R$5:$R$100000,0)=ROW()-4,ROW(),""))</f>
        <v/>
      </c>
      <c r="T947" s="9">
        <f>IF(Q947="당기",ABS(P947)+ROW()/1000000000,"")</f>
        <v/>
      </c>
      <c r="U947" s="9">
        <f>IF(Q947="비교",ABS(P947)+ROW()/1000000000,"")</f>
        <v/>
      </c>
      <c r="V947" s="64">
        <f>IF($A947="","",IF(COUNTIF(변동분석!$E$7:$E$506,O947)&gt;0,"Y","N"))</f>
        <v/>
      </c>
      <c r="W947" s="64">
        <f>IF($A947="","",IFERROR(INDEX(계정매핑!$D$5:$D$504,MATCH($F947&amp;"",계정매핑!$A$5:$A$504,0)),"미매핑"))</f>
        <v/>
      </c>
      <c r="X947" s="9">
        <f>IF($A947="","",$F947&amp;"")</f>
        <v/>
      </c>
      <c r="Y947" s="94">
        <f>IF($A947="",0,IF(AE947="직접",IF(AF947="비귀속",$P947,0),$P947*(1-AG947)*IFERROR(INDEX(계정대체기준!$F$20:$F$49,MATCH($N947,계정대체기준!$A$20:$A$49,0)),1)))</f>
        <v/>
      </c>
      <c r="Z947" s="94">
        <f>IF($A947="",0,IF(AE947="직접",IF(AF947="신계약비",$P947,0),$P947*(1-AG947)*IFERROR(INDEX(계정대체기준!$C$20:$C$49,MATCH($N947,계정대체기준!$A$20:$A$49,0)),0)))</f>
        <v/>
      </c>
      <c r="AA947" s="94">
        <f>IF($A947="",0,IF(AE947="직접",IF(OR(AF947="유지비",AF947="손해조사비"),$P947,0),$P947*(1-AG947)*IFERROR(INDEX(계정대체기준!$D$20:$D$49,MATCH($N947,계정대체기준!$A$20:$A$49,0)),0)))</f>
        <v/>
      </c>
      <c r="AB947" s="94">
        <f>IF($A947="",0,IF(AE947="직접",IF(AF947="수금비",$P947,0),$P947*(1-AG947)*IFERROR(INDEX(계정대체기준!$E$20:$E$49,MATCH($N947,계정대체기준!$A$20:$A$49,0)),0)))</f>
        <v/>
      </c>
      <c r="AC947" s="9">
        <f>IF(AND($A947&lt;&gt;"",M947=설정!$C$20,Z947&gt;0),Z947+ROW()/1000000000,"")</f>
        <v/>
      </c>
      <c r="AD947" s="94">
        <f>IF($A947="",0,$P947*AG947)</f>
        <v/>
      </c>
      <c r="AE947" s="64">
        <f>IF($A947="","",IFERROR(INDEX(계정매핑!$E$5:$E$504,MATCH($F947&amp;"",계정매핑!$A$5:$A$504,0))&amp;"","공통비"))</f>
        <v/>
      </c>
      <c r="AF947" s="64">
        <f>IF($A947="","",IF(AE947="직접",IFERROR(INDEX(계정매핑!$F$5:$F$504,MATCH($F947&amp;"",계정매핑!$A$5:$A$504,0))&amp;"","비귀속"),""))</f>
        <v/>
      </c>
      <c r="AG947" s="96">
        <f>IF($A947="",0,IF(AND(AE947&lt;&gt;"직접",IFERROR(INDEX(계정매핑!$G$5:$G$504,MATCH($F947&amp;"",계정매핑!$A$5:$A$504,0))&amp;"","")="유지비",COUNTIF(계정대체기준!$A$6:$A$15,$N947)&gt;0),IFERROR(INDEX(계정대체기준!$E$6:$E$15,MATCH(VALUE($A947&amp;""),계정대체기준!$D$6:$D$15,0)),0),0))</f>
        <v/>
      </c>
      <c r="AH947" s="64">
        <f>IF($A947="","",IF(AD947=0,"",IF(OR(COUNTIF(계정대체기준!$A$77:$A$86,$N947)&gt;0,ISNUMBER(MATCH($X947,계정대체기준!$D$77:$D$86,0)),ISNUMBER(MATCH($F947,계정대체기준!$D$77:$D$86,0))),"Y","N")))</f>
        <v/>
      </c>
    </row>
    <row r="948">
      <c r="A948" s="92" t="n">
        <v>2025</v>
      </c>
      <c r="B948" s="92" t="n">
        <v>5</v>
      </c>
      <c r="C948" s="92" t="inlineStr">
        <is>
          <t>5100000944</t>
        </is>
      </c>
      <c r="D948" s="95" t="n">
        <v>45782</v>
      </c>
      <c r="E948" s="92" t="inlineStr">
        <is>
          <t>KR</t>
        </is>
      </c>
      <c r="F948" s="92" t="n">
        <v>62102000</v>
      </c>
      <c r="G948" s="92" t="n">
        <v>1951</v>
      </c>
      <c r="H948" s="93" t="n">
        <v>60000</v>
      </c>
      <c r="I948" s="92" t="inlineStr">
        <is>
          <t>5월 해외출장 - N호텔</t>
        </is>
      </c>
      <c r="J948" s="92" t="inlineStr">
        <is>
          <t>V10009</t>
        </is>
      </c>
      <c r="K948" s="92" t="inlineStr">
        <is>
          <t>N호텔</t>
        </is>
      </c>
      <c r="M948" s="9">
        <f>IF($A948="","",VALUE($A948&amp;"")*12+VALUE($B948&amp;""))</f>
        <v/>
      </c>
      <c r="N948" s="64">
        <f>IF($A948="","",IFERROR(INDEX(부서매핑!$C$5:$C$504,MATCH($G948&amp;"",부서매핑!$A$5:$A$504,0)),"미매핑"))</f>
        <v/>
      </c>
      <c r="O948" s="9">
        <f>IF($A948="","",N948&amp;"|"&amp;$F948)</f>
        <v/>
      </c>
      <c r="P948" s="94">
        <f>IF($A948="",0,$H948*설정!$C$23)</f>
        <v/>
      </c>
      <c r="Q948" s="64">
        <f>IF($A948="","",IF(O948&lt;&gt;원인분석!$C$9,"",IF(AND(M948&gt;=원인분석!$C$10,M948&lt;=원인분석!$C$11),"당기",IF(AND(M948&gt;=원인분석!$C$12,M948&lt;=원인분석!$C$13),"비교",""))))</f>
        <v/>
      </c>
      <c r="R948" s="9">
        <f>IF(Q948="","",$K948&amp;"")</f>
        <v/>
      </c>
      <c r="S948" s="9">
        <f>IF(Q948="","",IF(MATCH(R948,$R$5:$R$100000,0)=ROW()-4,ROW(),""))</f>
        <v/>
      </c>
      <c r="T948" s="9">
        <f>IF(Q948="당기",ABS(P948)+ROW()/1000000000,"")</f>
        <v/>
      </c>
      <c r="U948" s="9">
        <f>IF(Q948="비교",ABS(P948)+ROW()/1000000000,"")</f>
        <v/>
      </c>
      <c r="V948" s="64">
        <f>IF($A948="","",IF(COUNTIF(변동분석!$E$7:$E$506,O948)&gt;0,"Y","N"))</f>
        <v/>
      </c>
      <c r="W948" s="64">
        <f>IF($A948="","",IFERROR(INDEX(계정매핑!$D$5:$D$504,MATCH($F948&amp;"",계정매핑!$A$5:$A$504,0)),"미매핑"))</f>
        <v/>
      </c>
      <c r="X948" s="9">
        <f>IF($A948="","",$F948&amp;"")</f>
        <v/>
      </c>
      <c r="Y948" s="94">
        <f>IF($A948="",0,IF(AE948="직접",IF(AF948="비귀속",$P948,0),$P948*(1-AG948)*IFERROR(INDEX(계정대체기준!$F$20:$F$49,MATCH($N948,계정대체기준!$A$20:$A$49,0)),1)))</f>
        <v/>
      </c>
      <c r="Z948" s="94">
        <f>IF($A948="",0,IF(AE948="직접",IF(AF948="신계약비",$P948,0),$P948*(1-AG948)*IFERROR(INDEX(계정대체기준!$C$20:$C$49,MATCH($N948,계정대체기준!$A$20:$A$49,0)),0)))</f>
        <v/>
      </c>
      <c r="AA948" s="94">
        <f>IF($A948="",0,IF(AE948="직접",IF(OR(AF948="유지비",AF948="손해조사비"),$P948,0),$P948*(1-AG948)*IFERROR(INDEX(계정대체기준!$D$20:$D$49,MATCH($N948,계정대체기준!$A$20:$A$49,0)),0)))</f>
        <v/>
      </c>
      <c r="AB948" s="94">
        <f>IF($A948="",0,IF(AE948="직접",IF(AF948="수금비",$P948,0),$P948*(1-AG948)*IFERROR(INDEX(계정대체기준!$E$20:$E$49,MATCH($N948,계정대체기준!$A$20:$A$49,0)),0)))</f>
        <v/>
      </c>
      <c r="AC948" s="9">
        <f>IF(AND($A948&lt;&gt;"",M948=설정!$C$20,Z948&gt;0),Z948+ROW()/1000000000,"")</f>
        <v/>
      </c>
      <c r="AD948" s="94">
        <f>IF($A948="",0,$P948*AG948)</f>
        <v/>
      </c>
      <c r="AE948" s="64">
        <f>IF($A948="","",IFERROR(INDEX(계정매핑!$E$5:$E$504,MATCH($F948&amp;"",계정매핑!$A$5:$A$504,0))&amp;"","공통비"))</f>
        <v/>
      </c>
      <c r="AF948" s="64">
        <f>IF($A948="","",IF(AE948="직접",IFERROR(INDEX(계정매핑!$F$5:$F$504,MATCH($F948&amp;"",계정매핑!$A$5:$A$504,0))&amp;"","비귀속"),""))</f>
        <v/>
      </c>
      <c r="AG948" s="96">
        <f>IF($A948="",0,IF(AND(AE948&lt;&gt;"직접",IFERROR(INDEX(계정매핑!$G$5:$G$504,MATCH($F948&amp;"",계정매핑!$A$5:$A$504,0))&amp;"","")="유지비",COUNTIF(계정대체기준!$A$6:$A$15,$N948)&gt;0),IFERROR(INDEX(계정대체기준!$E$6:$E$15,MATCH(VALUE($A948&amp;""),계정대체기준!$D$6:$D$15,0)),0),0))</f>
        <v/>
      </c>
      <c r="AH948" s="64">
        <f>IF($A948="","",IF(AD948=0,"",IF(OR(COUNTIF(계정대체기준!$A$77:$A$86,$N948)&gt;0,ISNUMBER(MATCH($X948,계정대체기준!$D$77:$D$86,0)),ISNUMBER(MATCH($F948,계정대체기준!$D$77:$D$86,0))),"Y","N")))</f>
        <v/>
      </c>
    </row>
    <row r="949">
      <c r="A949" s="92" t="n">
        <v>2025</v>
      </c>
      <c r="B949" s="92" t="n">
        <v>5</v>
      </c>
      <c r="C949" s="92" t="inlineStr">
        <is>
          <t>5100000945</t>
        </is>
      </c>
      <c r="D949" s="95" t="n">
        <v>45782</v>
      </c>
      <c r="E949" s="92" t="inlineStr">
        <is>
          <t>KR</t>
        </is>
      </c>
      <c r="F949" s="92" t="n">
        <v>62201000</v>
      </c>
      <c r="G949" s="92" t="n">
        <v>1101</v>
      </c>
      <c r="H949" s="93" t="n">
        <v>272000</v>
      </c>
      <c r="I949" s="92" t="inlineStr">
        <is>
          <t>5월 통신요금 - O텔레콤</t>
        </is>
      </c>
      <c r="J949" s="92" t="inlineStr">
        <is>
          <t>V10002</t>
        </is>
      </c>
      <c r="K949" s="92" t="inlineStr">
        <is>
          <t>O텔레콤</t>
        </is>
      </c>
      <c r="M949" s="9">
        <f>IF($A949="","",VALUE($A949&amp;"")*12+VALUE($B949&amp;""))</f>
        <v/>
      </c>
      <c r="N949" s="64">
        <f>IF($A949="","",IFERROR(INDEX(부서매핑!$C$5:$C$504,MATCH($G949&amp;"",부서매핑!$A$5:$A$504,0)),"미매핑"))</f>
        <v/>
      </c>
      <c r="O949" s="9">
        <f>IF($A949="","",N949&amp;"|"&amp;$F949)</f>
        <v/>
      </c>
      <c r="P949" s="94">
        <f>IF($A949="",0,$H949*설정!$C$23)</f>
        <v/>
      </c>
      <c r="Q949" s="64">
        <f>IF($A949="","",IF(O949&lt;&gt;원인분석!$C$9,"",IF(AND(M949&gt;=원인분석!$C$10,M949&lt;=원인분석!$C$11),"당기",IF(AND(M949&gt;=원인분석!$C$12,M949&lt;=원인분석!$C$13),"비교",""))))</f>
        <v/>
      </c>
      <c r="R949" s="9">
        <f>IF(Q949="","",$K949&amp;"")</f>
        <v/>
      </c>
      <c r="S949" s="9">
        <f>IF(Q949="","",IF(MATCH(R949,$R$5:$R$100000,0)=ROW()-4,ROW(),""))</f>
        <v/>
      </c>
      <c r="T949" s="9">
        <f>IF(Q949="당기",ABS(P949)+ROW()/1000000000,"")</f>
        <v/>
      </c>
      <c r="U949" s="9">
        <f>IF(Q949="비교",ABS(P949)+ROW()/1000000000,"")</f>
        <v/>
      </c>
      <c r="V949" s="64">
        <f>IF($A949="","",IF(COUNTIF(변동분석!$E$7:$E$506,O949)&gt;0,"Y","N"))</f>
        <v/>
      </c>
      <c r="W949" s="64">
        <f>IF($A949="","",IFERROR(INDEX(계정매핑!$D$5:$D$504,MATCH($F949&amp;"",계정매핑!$A$5:$A$504,0)),"미매핑"))</f>
        <v/>
      </c>
      <c r="X949" s="9">
        <f>IF($A949="","",$F949&amp;"")</f>
        <v/>
      </c>
      <c r="Y949" s="94">
        <f>IF($A949="",0,IF(AE949="직접",IF(AF949="비귀속",$P949,0),$P949*(1-AG949)*IFERROR(INDEX(계정대체기준!$F$20:$F$49,MATCH($N949,계정대체기준!$A$20:$A$49,0)),1)))</f>
        <v/>
      </c>
      <c r="Z949" s="94">
        <f>IF($A949="",0,IF(AE949="직접",IF(AF949="신계약비",$P949,0),$P949*(1-AG949)*IFERROR(INDEX(계정대체기준!$C$20:$C$49,MATCH($N949,계정대체기준!$A$20:$A$49,0)),0)))</f>
        <v/>
      </c>
      <c r="AA949" s="94">
        <f>IF($A949="",0,IF(AE949="직접",IF(OR(AF949="유지비",AF949="손해조사비"),$P949,0),$P949*(1-AG949)*IFERROR(INDEX(계정대체기준!$D$20:$D$49,MATCH($N949,계정대체기준!$A$20:$A$49,0)),0)))</f>
        <v/>
      </c>
      <c r="AB949" s="94">
        <f>IF($A949="",0,IF(AE949="직접",IF(AF949="수금비",$P949,0),$P949*(1-AG949)*IFERROR(INDEX(계정대체기준!$E$20:$E$49,MATCH($N949,계정대체기준!$A$20:$A$49,0)),0)))</f>
        <v/>
      </c>
      <c r="AC949" s="9">
        <f>IF(AND($A949&lt;&gt;"",M949=설정!$C$20,Z949&gt;0),Z949+ROW()/1000000000,"")</f>
        <v/>
      </c>
      <c r="AD949" s="94">
        <f>IF($A949="",0,$P949*AG949)</f>
        <v/>
      </c>
      <c r="AE949" s="64">
        <f>IF($A949="","",IFERROR(INDEX(계정매핑!$E$5:$E$504,MATCH($F949&amp;"",계정매핑!$A$5:$A$504,0))&amp;"","공통비"))</f>
        <v/>
      </c>
      <c r="AF949" s="64">
        <f>IF($A949="","",IF(AE949="직접",IFERROR(INDEX(계정매핑!$F$5:$F$504,MATCH($F949&amp;"",계정매핑!$A$5:$A$504,0))&amp;"","비귀속"),""))</f>
        <v/>
      </c>
      <c r="AG949" s="96">
        <f>IF($A949="",0,IF(AND(AE949&lt;&gt;"직접",IFERROR(INDEX(계정매핑!$G$5:$G$504,MATCH($F949&amp;"",계정매핑!$A$5:$A$504,0))&amp;"","")="유지비",COUNTIF(계정대체기준!$A$6:$A$15,$N949)&gt;0),IFERROR(INDEX(계정대체기준!$E$6:$E$15,MATCH(VALUE($A949&amp;""),계정대체기준!$D$6:$D$15,0)),0),0))</f>
        <v/>
      </c>
      <c r="AH949" s="64">
        <f>IF($A949="","",IF(AD949=0,"",IF(OR(COUNTIF(계정대체기준!$A$77:$A$86,$N949)&gt;0,ISNUMBER(MATCH($X949,계정대체기준!$D$77:$D$86,0)),ISNUMBER(MATCH($F949,계정대체기준!$D$77:$D$86,0))),"Y","N")))</f>
        <v/>
      </c>
    </row>
    <row r="950">
      <c r="A950" s="92" t="n">
        <v>2025</v>
      </c>
      <c r="B950" s="92" t="n">
        <v>5</v>
      </c>
      <c r="C950" s="92" t="inlineStr">
        <is>
          <t>5100000946</t>
        </is>
      </c>
      <c r="D950" s="95" t="n">
        <v>45782</v>
      </c>
      <c r="E950" s="92" t="inlineStr">
        <is>
          <t>KR</t>
        </is>
      </c>
      <c r="F950" s="92" t="n">
        <v>62201000</v>
      </c>
      <c r="G950" s="92" t="n">
        <v>1201</v>
      </c>
      <c r="H950" s="93" t="n">
        <v>123000</v>
      </c>
      <c r="I950" s="92" t="inlineStr">
        <is>
          <t>5월 통신요금 - O텔레콤</t>
        </is>
      </c>
      <c r="J950" s="92" t="inlineStr">
        <is>
          <t>V10002</t>
        </is>
      </c>
      <c r="K950" s="92" t="inlineStr">
        <is>
          <t>O텔레콤</t>
        </is>
      </c>
      <c r="M950" s="9">
        <f>IF($A950="","",VALUE($A950&amp;"")*12+VALUE($B950&amp;""))</f>
        <v/>
      </c>
      <c r="N950" s="64">
        <f>IF($A950="","",IFERROR(INDEX(부서매핑!$C$5:$C$504,MATCH($G950&amp;"",부서매핑!$A$5:$A$504,0)),"미매핑"))</f>
        <v/>
      </c>
      <c r="O950" s="9">
        <f>IF($A950="","",N950&amp;"|"&amp;$F950)</f>
        <v/>
      </c>
      <c r="P950" s="94">
        <f>IF($A950="",0,$H950*설정!$C$23)</f>
        <v/>
      </c>
      <c r="Q950" s="64">
        <f>IF($A950="","",IF(O950&lt;&gt;원인분석!$C$9,"",IF(AND(M950&gt;=원인분석!$C$10,M950&lt;=원인분석!$C$11),"당기",IF(AND(M950&gt;=원인분석!$C$12,M950&lt;=원인분석!$C$13),"비교",""))))</f>
        <v/>
      </c>
      <c r="R950" s="9">
        <f>IF(Q950="","",$K950&amp;"")</f>
        <v/>
      </c>
      <c r="S950" s="9">
        <f>IF(Q950="","",IF(MATCH(R950,$R$5:$R$100000,0)=ROW()-4,ROW(),""))</f>
        <v/>
      </c>
      <c r="T950" s="9">
        <f>IF(Q950="당기",ABS(P950)+ROW()/1000000000,"")</f>
        <v/>
      </c>
      <c r="U950" s="9">
        <f>IF(Q950="비교",ABS(P950)+ROW()/1000000000,"")</f>
        <v/>
      </c>
      <c r="V950" s="64">
        <f>IF($A950="","",IF(COUNTIF(변동분석!$E$7:$E$506,O950)&gt;0,"Y","N"))</f>
        <v/>
      </c>
      <c r="W950" s="64">
        <f>IF($A950="","",IFERROR(INDEX(계정매핑!$D$5:$D$504,MATCH($F950&amp;"",계정매핑!$A$5:$A$504,0)),"미매핑"))</f>
        <v/>
      </c>
      <c r="X950" s="9">
        <f>IF($A950="","",$F950&amp;"")</f>
        <v/>
      </c>
      <c r="Y950" s="94">
        <f>IF($A950="",0,IF(AE950="직접",IF(AF950="비귀속",$P950,0),$P950*(1-AG950)*IFERROR(INDEX(계정대체기준!$F$20:$F$49,MATCH($N950,계정대체기준!$A$20:$A$49,0)),1)))</f>
        <v/>
      </c>
      <c r="Z950" s="94">
        <f>IF($A950="",0,IF(AE950="직접",IF(AF950="신계약비",$P950,0),$P950*(1-AG950)*IFERROR(INDEX(계정대체기준!$C$20:$C$49,MATCH($N950,계정대체기준!$A$20:$A$49,0)),0)))</f>
        <v/>
      </c>
      <c r="AA950" s="94">
        <f>IF($A950="",0,IF(AE950="직접",IF(OR(AF950="유지비",AF950="손해조사비"),$P950,0),$P950*(1-AG950)*IFERROR(INDEX(계정대체기준!$D$20:$D$49,MATCH($N950,계정대체기준!$A$20:$A$49,0)),0)))</f>
        <v/>
      </c>
      <c r="AB950" s="94">
        <f>IF($A950="",0,IF(AE950="직접",IF(AF950="수금비",$P950,0),$P950*(1-AG950)*IFERROR(INDEX(계정대체기준!$E$20:$E$49,MATCH($N950,계정대체기준!$A$20:$A$49,0)),0)))</f>
        <v/>
      </c>
      <c r="AC950" s="9">
        <f>IF(AND($A950&lt;&gt;"",M950=설정!$C$20,Z950&gt;0),Z950+ROW()/1000000000,"")</f>
        <v/>
      </c>
      <c r="AD950" s="94">
        <f>IF($A950="",0,$P950*AG950)</f>
        <v/>
      </c>
      <c r="AE950" s="64">
        <f>IF($A950="","",IFERROR(INDEX(계정매핑!$E$5:$E$504,MATCH($F950&amp;"",계정매핑!$A$5:$A$504,0))&amp;"","공통비"))</f>
        <v/>
      </c>
      <c r="AF950" s="64">
        <f>IF($A950="","",IF(AE950="직접",IFERROR(INDEX(계정매핑!$F$5:$F$504,MATCH($F950&amp;"",계정매핑!$A$5:$A$504,0))&amp;"","비귀속"),""))</f>
        <v/>
      </c>
      <c r="AG950" s="96">
        <f>IF($A950="",0,IF(AND(AE950&lt;&gt;"직접",IFERROR(INDEX(계정매핑!$G$5:$G$504,MATCH($F950&amp;"",계정매핑!$A$5:$A$504,0))&amp;"","")="유지비",COUNTIF(계정대체기준!$A$6:$A$15,$N950)&gt;0),IFERROR(INDEX(계정대체기준!$E$6:$E$15,MATCH(VALUE($A950&amp;""),계정대체기준!$D$6:$D$15,0)),0),0))</f>
        <v/>
      </c>
      <c r="AH950" s="64">
        <f>IF($A950="","",IF(AD950=0,"",IF(OR(COUNTIF(계정대체기준!$A$77:$A$86,$N950)&gt;0,ISNUMBER(MATCH($X950,계정대체기준!$D$77:$D$86,0)),ISNUMBER(MATCH($F950,계정대체기준!$D$77:$D$86,0))),"Y","N")))</f>
        <v/>
      </c>
    </row>
    <row r="951">
      <c r="A951" s="92" t="n">
        <v>2025</v>
      </c>
      <c r="B951" s="92" t="n">
        <v>5</v>
      </c>
      <c r="C951" s="92" t="inlineStr">
        <is>
          <t>5100000947</t>
        </is>
      </c>
      <c r="D951" s="95" t="n">
        <v>45782</v>
      </c>
      <c r="E951" s="92" t="inlineStr">
        <is>
          <t>KR</t>
        </is>
      </c>
      <c r="F951" s="92" t="n">
        <v>62201000</v>
      </c>
      <c r="G951" s="92" t="n">
        <v>1701</v>
      </c>
      <c r="H951" s="93" t="n">
        <v>5861000</v>
      </c>
      <c r="I951" s="92" t="inlineStr">
        <is>
          <t>5월 통신요금 - O텔레콤</t>
        </is>
      </c>
      <c r="J951" s="92" t="inlineStr">
        <is>
          <t>V10002</t>
        </is>
      </c>
      <c r="K951" s="92" t="inlineStr">
        <is>
          <t>O텔레콤</t>
        </is>
      </c>
      <c r="M951" s="9">
        <f>IF($A951="","",VALUE($A951&amp;"")*12+VALUE($B951&amp;""))</f>
        <v/>
      </c>
      <c r="N951" s="64">
        <f>IF($A951="","",IFERROR(INDEX(부서매핑!$C$5:$C$504,MATCH($G951&amp;"",부서매핑!$A$5:$A$504,0)),"미매핑"))</f>
        <v/>
      </c>
      <c r="O951" s="9">
        <f>IF($A951="","",N951&amp;"|"&amp;$F951)</f>
        <v/>
      </c>
      <c r="P951" s="94">
        <f>IF($A951="",0,$H951*설정!$C$23)</f>
        <v/>
      </c>
      <c r="Q951" s="64">
        <f>IF($A951="","",IF(O951&lt;&gt;원인분석!$C$9,"",IF(AND(M951&gt;=원인분석!$C$10,M951&lt;=원인분석!$C$11),"당기",IF(AND(M951&gt;=원인분석!$C$12,M951&lt;=원인분석!$C$13),"비교",""))))</f>
        <v/>
      </c>
      <c r="R951" s="9">
        <f>IF(Q951="","",$K951&amp;"")</f>
        <v/>
      </c>
      <c r="S951" s="9">
        <f>IF(Q951="","",IF(MATCH(R951,$R$5:$R$100000,0)=ROW()-4,ROW(),""))</f>
        <v/>
      </c>
      <c r="T951" s="9">
        <f>IF(Q951="당기",ABS(P951)+ROW()/1000000000,"")</f>
        <v/>
      </c>
      <c r="U951" s="9">
        <f>IF(Q951="비교",ABS(P951)+ROW()/1000000000,"")</f>
        <v/>
      </c>
      <c r="V951" s="64">
        <f>IF($A951="","",IF(COUNTIF(변동분석!$E$7:$E$506,O951)&gt;0,"Y","N"))</f>
        <v/>
      </c>
      <c r="W951" s="64">
        <f>IF($A951="","",IFERROR(INDEX(계정매핑!$D$5:$D$504,MATCH($F951&amp;"",계정매핑!$A$5:$A$504,0)),"미매핑"))</f>
        <v/>
      </c>
      <c r="X951" s="9">
        <f>IF($A951="","",$F951&amp;"")</f>
        <v/>
      </c>
      <c r="Y951" s="94">
        <f>IF($A951="",0,IF(AE951="직접",IF(AF951="비귀속",$P951,0),$P951*(1-AG951)*IFERROR(INDEX(계정대체기준!$F$20:$F$49,MATCH($N951,계정대체기준!$A$20:$A$49,0)),1)))</f>
        <v/>
      </c>
      <c r="Z951" s="94">
        <f>IF($A951="",0,IF(AE951="직접",IF(AF951="신계약비",$P951,0),$P951*(1-AG951)*IFERROR(INDEX(계정대체기준!$C$20:$C$49,MATCH($N951,계정대체기준!$A$20:$A$49,0)),0)))</f>
        <v/>
      </c>
      <c r="AA951" s="94">
        <f>IF($A951="",0,IF(AE951="직접",IF(OR(AF951="유지비",AF951="손해조사비"),$P951,0),$P951*(1-AG951)*IFERROR(INDEX(계정대체기준!$D$20:$D$49,MATCH($N951,계정대체기준!$A$20:$A$49,0)),0)))</f>
        <v/>
      </c>
      <c r="AB951" s="94">
        <f>IF($A951="",0,IF(AE951="직접",IF(AF951="수금비",$P951,0),$P951*(1-AG951)*IFERROR(INDEX(계정대체기준!$E$20:$E$49,MATCH($N951,계정대체기준!$A$20:$A$49,0)),0)))</f>
        <v/>
      </c>
      <c r="AC951" s="9">
        <f>IF(AND($A951&lt;&gt;"",M951=설정!$C$20,Z951&gt;0),Z951+ROW()/1000000000,"")</f>
        <v/>
      </c>
      <c r="AD951" s="94">
        <f>IF($A951="",0,$P951*AG951)</f>
        <v/>
      </c>
      <c r="AE951" s="64">
        <f>IF($A951="","",IFERROR(INDEX(계정매핑!$E$5:$E$504,MATCH($F951&amp;"",계정매핑!$A$5:$A$504,0))&amp;"","공통비"))</f>
        <v/>
      </c>
      <c r="AF951" s="64">
        <f>IF($A951="","",IF(AE951="직접",IFERROR(INDEX(계정매핑!$F$5:$F$504,MATCH($F951&amp;"",계정매핑!$A$5:$A$504,0))&amp;"","비귀속"),""))</f>
        <v/>
      </c>
      <c r="AG951" s="96">
        <f>IF($A951="",0,IF(AND(AE951&lt;&gt;"직접",IFERROR(INDEX(계정매핑!$G$5:$G$504,MATCH($F951&amp;"",계정매핑!$A$5:$A$504,0))&amp;"","")="유지비",COUNTIF(계정대체기준!$A$6:$A$15,$N951)&gt;0),IFERROR(INDEX(계정대체기준!$E$6:$E$15,MATCH(VALUE($A951&amp;""),계정대체기준!$D$6:$D$15,0)),0),0))</f>
        <v/>
      </c>
      <c r="AH951" s="64">
        <f>IF($A951="","",IF(AD951=0,"",IF(OR(COUNTIF(계정대체기준!$A$77:$A$86,$N951)&gt;0,ISNUMBER(MATCH($X951,계정대체기준!$D$77:$D$86,0)),ISNUMBER(MATCH($F951,계정대체기준!$D$77:$D$86,0))),"Y","N")))</f>
        <v/>
      </c>
    </row>
    <row r="952">
      <c r="A952" s="92" t="n">
        <v>2025</v>
      </c>
      <c r="B952" s="92" t="n">
        <v>5</v>
      </c>
      <c r="C952" s="92" t="inlineStr">
        <is>
          <t>5100000948</t>
        </is>
      </c>
      <c r="D952" s="95" t="n">
        <v>45782</v>
      </c>
      <c r="E952" s="92" t="inlineStr">
        <is>
          <t>KR</t>
        </is>
      </c>
      <c r="F952" s="92" t="n">
        <v>62201000</v>
      </c>
      <c r="G952" s="92" t="n">
        <v>1951</v>
      </c>
      <c r="H952" s="93" t="n">
        <v>170000</v>
      </c>
      <c r="I952" s="92" t="inlineStr">
        <is>
          <t>5월 통신요금 - O텔레콤</t>
        </is>
      </c>
      <c r="J952" s="92" t="inlineStr">
        <is>
          <t>V10002</t>
        </is>
      </c>
      <c r="K952" s="92" t="inlineStr">
        <is>
          <t>O텔레콤</t>
        </is>
      </c>
      <c r="M952" s="9">
        <f>IF($A952="","",VALUE($A952&amp;"")*12+VALUE($B952&amp;""))</f>
        <v/>
      </c>
      <c r="N952" s="64">
        <f>IF($A952="","",IFERROR(INDEX(부서매핑!$C$5:$C$504,MATCH($G952&amp;"",부서매핑!$A$5:$A$504,0)),"미매핑"))</f>
        <v/>
      </c>
      <c r="O952" s="9">
        <f>IF($A952="","",N952&amp;"|"&amp;$F952)</f>
        <v/>
      </c>
      <c r="P952" s="94">
        <f>IF($A952="",0,$H952*설정!$C$23)</f>
        <v/>
      </c>
      <c r="Q952" s="64">
        <f>IF($A952="","",IF(O952&lt;&gt;원인분석!$C$9,"",IF(AND(M952&gt;=원인분석!$C$10,M952&lt;=원인분석!$C$11),"당기",IF(AND(M952&gt;=원인분석!$C$12,M952&lt;=원인분석!$C$13),"비교",""))))</f>
        <v/>
      </c>
      <c r="R952" s="9">
        <f>IF(Q952="","",$K952&amp;"")</f>
        <v/>
      </c>
      <c r="S952" s="9">
        <f>IF(Q952="","",IF(MATCH(R952,$R$5:$R$100000,0)=ROW()-4,ROW(),""))</f>
        <v/>
      </c>
      <c r="T952" s="9">
        <f>IF(Q952="당기",ABS(P952)+ROW()/1000000000,"")</f>
        <v/>
      </c>
      <c r="U952" s="9">
        <f>IF(Q952="비교",ABS(P952)+ROW()/1000000000,"")</f>
        <v/>
      </c>
      <c r="V952" s="64">
        <f>IF($A952="","",IF(COUNTIF(변동분석!$E$7:$E$506,O952)&gt;0,"Y","N"))</f>
        <v/>
      </c>
      <c r="W952" s="64">
        <f>IF($A952="","",IFERROR(INDEX(계정매핑!$D$5:$D$504,MATCH($F952&amp;"",계정매핑!$A$5:$A$504,0)),"미매핑"))</f>
        <v/>
      </c>
      <c r="X952" s="9">
        <f>IF($A952="","",$F952&amp;"")</f>
        <v/>
      </c>
      <c r="Y952" s="94">
        <f>IF($A952="",0,IF(AE952="직접",IF(AF952="비귀속",$P952,0),$P952*(1-AG952)*IFERROR(INDEX(계정대체기준!$F$20:$F$49,MATCH($N952,계정대체기준!$A$20:$A$49,0)),1)))</f>
        <v/>
      </c>
      <c r="Z952" s="94">
        <f>IF($A952="",0,IF(AE952="직접",IF(AF952="신계약비",$P952,0),$P952*(1-AG952)*IFERROR(INDEX(계정대체기준!$C$20:$C$49,MATCH($N952,계정대체기준!$A$20:$A$49,0)),0)))</f>
        <v/>
      </c>
      <c r="AA952" s="94">
        <f>IF($A952="",0,IF(AE952="직접",IF(OR(AF952="유지비",AF952="손해조사비"),$P952,0),$P952*(1-AG952)*IFERROR(INDEX(계정대체기준!$D$20:$D$49,MATCH($N952,계정대체기준!$A$20:$A$49,0)),0)))</f>
        <v/>
      </c>
      <c r="AB952" s="94">
        <f>IF($A952="",0,IF(AE952="직접",IF(AF952="수금비",$P952,0),$P952*(1-AG952)*IFERROR(INDEX(계정대체기준!$E$20:$E$49,MATCH($N952,계정대체기준!$A$20:$A$49,0)),0)))</f>
        <v/>
      </c>
      <c r="AC952" s="9">
        <f>IF(AND($A952&lt;&gt;"",M952=설정!$C$20,Z952&gt;0),Z952+ROW()/1000000000,"")</f>
        <v/>
      </c>
      <c r="AD952" s="94">
        <f>IF($A952="",0,$P952*AG952)</f>
        <v/>
      </c>
      <c r="AE952" s="64">
        <f>IF($A952="","",IFERROR(INDEX(계정매핑!$E$5:$E$504,MATCH($F952&amp;"",계정매핑!$A$5:$A$504,0))&amp;"","공통비"))</f>
        <v/>
      </c>
      <c r="AF952" s="64">
        <f>IF($A952="","",IF(AE952="직접",IFERROR(INDEX(계정매핑!$F$5:$F$504,MATCH($F952&amp;"",계정매핑!$A$5:$A$504,0))&amp;"","비귀속"),""))</f>
        <v/>
      </c>
      <c r="AG952" s="96">
        <f>IF($A952="",0,IF(AND(AE952&lt;&gt;"직접",IFERROR(INDEX(계정매핑!$G$5:$G$504,MATCH($F952&amp;"",계정매핑!$A$5:$A$504,0))&amp;"","")="유지비",COUNTIF(계정대체기준!$A$6:$A$15,$N952)&gt;0),IFERROR(INDEX(계정대체기준!$E$6:$E$15,MATCH(VALUE($A952&amp;""),계정대체기준!$D$6:$D$15,0)),0),0))</f>
        <v/>
      </c>
      <c r="AH952" s="64">
        <f>IF($A952="","",IF(AD952=0,"",IF(OR(COUNTIF(계정대체기준!$A$77:$A$86,$N952)&gt;0,ISNUMBER(MATCH($X952,계정대체기준!$D$77:$D$86,0)),ISNUMBER(MATCH($F952,계정대체기준!$D$77:$D$86,0))),"Y","N")))</f>
        <v/>
      </c>
    </row>
    <row r="953">
      <c r="A953" s="92" t="n">
        <v>2025</v>
      </c>
      <c r="B953" s="92" t="n">
        <v>5</v>
      </c>
      <c r="C953" s="92" t="inlineStr">
        <is>
          <t>5100000949</t>
        </is>
      </c>
      <c r="D953" s="95" t="n">
        <v>45782</v>
      </c>
      <c r="E953" s="92" t="inlineStr">
        <is>
          <t>KR</t>
        </is>
      </c>
      <c r="F953" s="92" t="n">
        <v>63001000</v>
      </c>
      <c r="G953" s="92" t="n">
        <v>1701</v>
      </c>
      <c r="H953" s="93" t="n">
        <v>42225000</v>
      </c>
      <c r="I953" s="92" t="inlineStr">
        <is>
          <t>5월 SW 유지보수 - Y소프트</t>
        </is>
      </c>
      <c r="J953" s="92" t="inlineStr">
        <is>
          <t>V10017</t>
        </is>
      </c>
      <c r="K953" s="92" t="inlineStr">
        <is>
          <t>Y소프트</t>
        </is>
      </c>
      <c r="M953" s="9">
        <f>IF($A953="","",VALUE($A953&amp;"")*12+VALUE($B953&amp;""))</f>
        <v/>
      </c>
      <c r="N953" s="64">
        <f>IF($A953="","",IFERROR(INDEX(부서매핑!$C$5:$C$504,MATCH($G953&amp;"",부서매핑!$A$5:$A$504,0)),"미매핑"))</f>
        <v/>
      </c>
      <c r="O953" s="9">
        <f>IF($A953="","",N953&amp;"|"&amp;$F953)</f>
        <v/>
      </c>
      <c r="P953" s="94">
        <f>IF($A953="",0,$H953*설정!$C$23)</f>
        <v/>
      </c>
      <c r="Q953" s="64">
        <f>IF($A953="","",IF(O953&lt;&gt;원인분석!$C$9,"",IF(AND(M953&gt;=원인분석!$C$10,M953&lt;=원인분석!$C$11),"당기",IF(AND(M953&gt;=원인분석!$C$12,M953&lt;=원인분석!$C$13),"비교",""))))</f>
        <v/>
      </c>
      <c r="R953" s="9">
        <f>IF(Q953="","",$K953&amp;"")</f>
        <v/>
      </c>
      <c r="S953" s="9">
        <f>IF(Q953="","",IF(MATCH(R953,$R$5:$R$100000,0)=ROW()-4,ROW(),""))</f>
        <v/>
      </c>
      <c r="T953" s="9">
        <f>IF(Q953="당기",ABS(P953)+ROW()/1000000000,"")</f>
        <v/>
      </c>
      <c r="U953" s="9">
        <f>IF(Q953="비교",ABS(P953)+ROW()/1000000000,"")</f>
        <v/>
      </c>
      <c r="V953" s="64">
        <f>IF($A953="","",IF(COUNTIF(변동분석!$E$7:$E$506,O953)&gt;0,"Y","N"))</f>
        <v/>
      </c>
      <c r="W953" s="64">
        <f>IF($A953="","",IFERROR(INDEX(계정매핑!$D$5:$D$504,MATCH($F953&amp;"",계정매핑!$A$5:$A$504,0)),"미매핑"))</f>
        <v/>
      </c>
      <c r="X953" s="9">
        <f>IF($A953="","",$F953&amp;"")</f>
        <v/>
      </c>
      <c r="Y953" s="94">
        <f>IF($A953="",0,IF(AE953="직접",IF(AF953="비귀속",$P953,0),$P953*(1-AG953)*IFERROR(INDEX(계정대체기준!$F$20:$F$49,MATCH($N953,계정대체기준!$A$20:$A$49,0)),1)))</f>
        <v/>
      </c>
      <c r="Z953" s="94">
        <f>IF($A953="",0,IF(AE953="직접",IF(AF953="신계약비",$P953,0),$P953*(1-AG953)*IFERROR(INDEX(계정대체기준!$C$20:$C$49,MATCH($N953,계정대체기준!$A$20:$A$49,0)),0)))</f>
        <v/>
      </c>
      <c r="AA953" s="94">
        <f>IF($A953="",0,IF(AE953="직접",IF(OR(AF953="유지비",AF953="손해조사비"),$P953,0),$P953*(1-AG953)*IFERROR(INDEX(계정대체기준!$D$20:$D$49,MATCH($N953,계정대체기준!$A$20:$A$49,0)),0)))</f>
        <v/>
      </c>
      <c r="AB953" s="94">
        <f>IF($A953="",0,IF(AE953="직접",IF(AF953="수금비",$P953,0),$P953*(1-AG953)*IFERROR(INDEX(계정대체기준!$E$20:$E$49,MATCH($N953,계정대체기준!$A$20:$A$49,0)),0)))</f>
        <v/>
      </c>
      <c r="AC953" s="9">
        <f>IF(AND($A953&lt;&gt;"",M953=설정!$C$20,Z953&gt;0),Z953+ROW()/1000000000,"")</f>
        <v/>
      </c>
      <c r="AD953" s="94">
        <f>IF($A953="",0,$P953*AG953)</f>
        <v/>
      </c>
      <c r="AE953" s="64">
        <f>IF($A953="","",IFERROR(INDEX(계정매핑!$E$5:$E$504,MATCH($F953&amp;"",계정매핑!$A$5:$A$504,0))&amp;"","공통비"))</f>
        <v/>
      </c>
      <c r="AF953" s="64">
        <f>IF($A953="","",IF(AE953="직접",IFERROR(INDEX(계정매핑!$F$5:$F$504,MATCH($F953&amp;"",계정매핑!$A$5:$A$504,0))&amp;"","비귀속"),""))</f>
        <v/>
      </c>
      <c r="AG953" s="96">
        <f>IF($A953="",0,IF(AND(AE953&lt;&gt;"직접",IFERROR(INDEX(계정매핑!$G$5:$G$504,MATCH($F953&amp;"",계정매핑!$A$5:$A$504,0))&amp;"","")="유지비",COUNTIF(계정대체기준!$A$6:$A$15,$N953)&gt;0),IFERROR(INDEX(계정대체기준!$E$6:$E$15,MATCH(VALUE($A953&amp;""),계정대체기준!$D$6:$D$15,0)),0),0))</f>
        <v/>
      </c>
      <c r="AH953" s="64">
        <f>IF($A953="","",IF(AD953=0,"",IF(OR(COUNTIF(계정대체기준!$A$77:$A$86,$N953)&gt;0,ISNUMBER(MATCH($X953,계정대체기준!$D$77:$D$86,0)),ISNUMBER(MATCH($F953,계정대체기준!$D$77:$D$86,0))),"Y","N")))</f>
        <v/>
      </c>
    </row>
    <row r="954">
      <c r="A954" s="92" t="n">
        <v>2025</v>
      </c>
      <c r="B954" s="92" t="n">
        <v>5</v>
      </c>
      <c r="C954" s="92" t="inlineStr">
        <is>
          <t>5100000950</t>
        </is>
      </c>
      <c r="D954" s="95" t="n">
        <v>45782</v>
      </c>
      <c r="E954" s="92" t="inlineStr">
        <is>
          <t>KR</t>
        </is>
      </c>
      <c r="F954" s="92" t="n">
        <v>63501000</v>
      </c>
      <c r="G954" s="92" t="n">
        <v>1902</v>
      </c>
      <c r="H954" s="93" t="n">
        <v>303274000</v>
      </c>
      <c r="I954" s="92" t="inlineStr">
        <is>
          <t>5월 모집수수료 - AA보험대리점</t>
        </is>
      </c>
      <c r="J954" s="92" t="inlineStr">
        <is>
          <t>V10034</t>
        </is>
      </c>
      <c r="K954" s="92" t="inlineStr">
        <is>
          <t>AA보험대리점</t>
        </is>
      </c>
      <c r="M954" s="9">
        <f>IF($A954="","",VALUE($A954&amp;"")*12+VALUE($B954&amp;""))</f>
        <v/>
      </c>
      <c r="N954" s="64">
        <f>IF($A954="","",IFERROR(INDEX(부서매핑!$C$5:$C$504,MATCH($G954&amp;"",부서매핑!$A$5:$A$504,0)),"미매핑"))</f>
        <v/>
      </c>
      <c r="O954" s="9">
        <f>IF($A954="","",N954&amp;"|"&amp;$F954)</f>
        <v/>
      </c>
      <c r="P954" s="94">
        <f>IF($A954="",0,$H954*설정!$C$23)</f>
        <v/>
      </c>
      <c r="Q954" s="64">
        <f>IF($A954="","",IF(O954&lt;&gt;원인분석!$C$9,"",IF(AND(M954&gt;=원인분석!$C$10,M954&lt;=원인분석!$C$11),"당기",IF(AND(M954&gt;=원인분석!$C$12,M954&lt;=원인분석!$C$13),"비교",""))))</f>
        <v/>
      </c>
      <c r="R954" s="9">
        <f>IF(Q954="","",$K954&amp;"")</f>
        <v/>
      </c>
      <c r="S954" s="9">
        <f>IF(Q954="","",IF(MATCH(R954,$R$5:$R$100000,0)=ROW()-4,ROW(),""))</f>
        <v/>
      </c>
      <c r="T954" s="9">
        <f>IF(Q954="당기",ABS(P954)+ROW()/1000000000,"")</f>
        <v/>
      </c>
      <c r="U954" s="9">
        <f>IF(Q954="비교",ABS(P954)+ROW()/1000000000,"")</f>
        <v/>
      </c>
      <c r="V954" s="64">
        <f>IF($A954="","",IF(COUNTIF(변동분석!$E$7:$E$506,O954)&gt;0,"Y","N"))</f>
        <v/>
      </c>
      <c r="W954" s="64">
        <f>IF($A954="","",IFERROR(INDEX(계정매핑!$D$5:$D$504,MATCH($F954&amp;"",계정매핑!$A$5:$A$504,0)),"미매핑"))</f>
        <v/>
      </c>
      <c r="X954" s="9">
        <f>IF($A954="","",$F954&amp;"")</f>
        <v/>
      </c>
      <c r="Y954" s="94">
        <f>IF($A954="",0,IF(AE954="직접",IF(AF954="비귀속",$P954,0),$P954*(1-AG954)*IFERROR(INDEX(계정대체기준!$F$20:$F$49,MATCH($N954,계정대체기준!$A$20:$A$49,0)),1)))</f>
        <v/>
      </c>
      <c r="Z954" s="94">
        <f>IF($A954="",0,IF(AE954="직접",IF(AF954="신계약비",$P954,0),$P954*(1-AG954)*IFERROR(INDEX(계정대체기준!$C$20:$C$49,MATCH($N954,계정대체기준!$A$20:$A$49,0)),0)))</f>
        <v/>
      </c>
      <c r="AA954" s="94">
        <f>IF($A954="",0,IF(AE954="직접",IF(OR(AF954="유지비",AF954="손해조사비"),$P954,0),$P954*(1-AG954)*IFERROR(INDEX(계정대체기준!$D$20:$D$49,MATCH($N954,계정대체기준!$A$20:$A$49,0)),0)))</f>
        <v/>
      </c>
      <c r="AB954" s="94">
        <f>IF($A954="",0,IF(AE954="직접",IF(AF954="수금비",$P954,0),$P954*(1-AG954)*IFERROR(INDEX(계정대체기준!$E$20:$E$49,MATCH($N954,계정대체기준!$A$20:$A$49,0)),0)))</f>
        <v/>
      </c>
      <c r="AC954" s="9">
        <f>IF(AND($A954&lt;&gt;"",M954=설정!$C$20,Z954&gt;0),Z954+ROW()/1000000000,"")</f>
        <v/>
      </c>
      <c r="AD954" s="94">
        <f>IF($A954="",0,$P954*AG954)</f>
        <v/>
      </c>
      <c r="AE954" s="64">
        <f>IF($A954="","",IFERROR(INDEX(계정매핑!$E$5:$E$504,MATCH($F954&amp;"",계정매핑!$A$5:$A$504,0))&amp;"","공통비"))</f>
        <v/>
      </c>
      <c r="AF954" s="64">
        <f>IF($A954="","",IF(AE954="직접",IFERROR(INDEX(계정매핑!$F$5:$F$504,MATCH($F954&amp;"",계정매핑!$A$5:$A$504,0))&amp;"","비귀속"),""))</f>
        <v/>
      </c>
      <c r="AG954" s="96">
        <f>IF($A954="",0,IF(AND(AE954&lt;&gt;"직접",IFERROR(INDEX(계정매핑!$G$5:$G$504,MATCH($F954&amp;"",계정매핑!$A$5:$A$504,0))&amp;"","")="유지비",COUNTIF(계정대체기준!$A$6:$A$15,$N954)&gt;0),IFERROR(INDEX(계정대체기준!$E$6:$E$15,MATCH(VALUE($A954&amp;""),계정대체기준!$D$6:$D$15,0)),0),0))</f>
        <v/>
      </c>
      <c r="AH954" s="64">
        <f>IF($A954="","",IF(AD954=0,"",IF(OR(COUNTIF(계정대체기준!$A$77:$A$86,$N954)&gt;0,ISNUMBER(MATCH($X954,계정대체기준!$D$77:$D$86,0)),ISNUMBER(MATCH($F954,계정대체기준!$D$77:$D$86,0))),"Y","N")))</f>
        <v/>
      </c>
    </row>
    <row r="955">
      <c r="A955" s="92" t="n">
        <v>2025</v>
      </c>
      <c r="B955" s="92" t="n">
        <v>5</v>
      </c>
      <c r="C955" s="92" t="inlineStr">
        <is>
          <t>5100000951</t>
        </is>
      </c>
      <c r="D955" s="95" t="n">
        <v>45783</v>
      </c>
      <c r="E955" s="92" t="inlineStr">
        <is>
          <t>KR</t>
        </is>
      </c>
      <c r="F955" s="92" t="n">
        <v>62101000</v>
      </c>
      <c r="G955" s="92" t="n">
        <v>1301</v>
      </c>
      <c r="H955" s="93" t="n">
        <v>232000</v>
      </c>
      <c r="I955" s="92" t="inlineStr">
        <is>
          <t>5월 국내출장 - L여행사</t>
        </is>
      </c>
      <c r="J955" s="92" t="inlineStr">
        <is>
          <t>V10018</t>
        </is>
      </c>
      <c r="K955" s="92" t="inlineStr">
        <is>
          <t>L여행사</t>
        </is>
      </c>
      <c r="M955" s="9">
        <f>IF($A955="","",VALUE($A955&amp;"")*12+VALUE($B955&amp;""))</f>
        <v/>
      </c>
      <c r="N955" s="64">
        <f>IF($A955="","",IFERROR(INDEX(부서매핑!$C$5:$C$504,MATCH($G955&amp;"",부서매핑!$A$5:$A$504,0)),"미매핑"))</f>
        <v/>
      </c>
      <c r="O955" s="9">
        <f>IF($A955="","",N955&amp;"|"&amp;$F955)</f>
        <v/>
      </c>
      <c r="P955" s="94">
        <f>IF($A955="",0,$H955*설정!$C$23)</f>
        <v/>
      </c>
      <c r="Q955" s="64">
        <f>IF($A955="","",IF(O955&lt;&gt;원인분석!$C$9,"",IF(AND(M955&gt;=원인분석!$C$10,M955&lt;=원인분석!$C$11),"당기",IF(AND(M955&gt;=원인분석!$C$12,M955&lt;=원인분석!$C$13),"비교",""))))</f>
        <v/>
      </c>
      <c r="R955" s="9">
        <f>IF(Q955="","",$K955&amp;"")</f>
        <v/>
      </c>
      <c r="S955" s="9">
        <f>IF(Q955="","",IF(MATCH(R955,$R$5:$R$100000,0)=ROW()-4,ROW(),""))</f>
        <v/>
      </c>
      <c r="T955" s="9">
        <f>IF(Q955="당기",ABS(P955)+ROW()/1000000000,"")</f>
        <v/>
      </c>
      <c r="U955" s="9">
        <f>IF(Q955="비교",ABS(P955)+ROW()/1000000000,"")</f>
        <v/>
      </c>
      <c r="V955" s="64">
        <f>IF($A955="","",IF(COUNTIF(변동분석!$E$7:$E$506,O955)&gt;0,"Y","N"))</f>
        <v/>
      </c>
      <c r="W955" s="64">
        <f>IF($A955="","",IFERROR(INDEX(계정매핑!$D$5:$D$504,MATCH($F955&amp;"",계정매핑!$A$5:$A$504,0)),"미매핑"))</f>
        <v/>
      </c>
      <c r="X955" s="9">
        <f>IF($A955="","",$F955&amp;"")</f>
        <v/>
      </c>
      <c r="Y955" s="94">
        <f>IF($A955="",0,IF(AE955="직접",IF(AF955="비귀속",$P955,0),$P955*(1-AG955)*IFERROR(INDEX(계정대체기준!$F$20:$F$49,MATCH($N955,계정대체기준!$A$20:$A$49,0)),1)))</f>
        <v/>
      </c>
      <c r="Z955" s="94">
        <f>IF($A955="",0,IF(AE955="직접",IF(AF955="신계약비",$P955,0),$P955*(1-AG955)*IFERROR(INDEX(계정대체기준!$C$20:$C$49,MATCH($N955,계정대체기준!$A$20:$A$49,0)),0)))</f>
        <v/>
      </c>
      <c r="AA955" s="94">
        <f>IF($A955="",0,IF(AE955="직접",IF(OR(AF955="유지비",AF955="손해조사비"),$P955,0),$P955*(1-AG955)*IFERROR(INDEX(계정대체기준!$D$20:$D$49,MATCH($N955,계정대체기준!$A$20:$A$49,0)),0)))</f>
        <v/>
      </c>
      <c r="AB955" s="94">
        <f>IF($A955="",0,IF(AE955="직접",IF(AF955="수금비",$P955,0),$P955*(1-AG955)*IFERROR(INDEX(계정대체기준!$E$20:$E$49,MATCH($N955,계정대체기준!$A$20:$A$49,0)),0)))</f>
        <v/>
      </c>
      <c r="AC955" s="9">
        <f>IF(AND($A955&lt;&gt;"",M955=설정!$C$20,Z955&gt;0),Z955+ROW()/1000000000,"")</f>
        <v/>
      </c>
      <c r="AD955" s="94">
        <f>IF($A955="",0,$P955*AG955)</f>
        <v/>
      </c>
      <c r="AE955" s="64">
        <f>IF($A955="","",IFERROR(INDEX(계정매핑!$E$5:$E$504,MATCH($F955&amp;"",계정매핑!$A$5:$A$504,0))&amp;"","공통비"))</f>
        <v/>
      </c>
      <c r="AF955" s="64">
        <f>IF($A955="","",IF(AE955="직접",IFERROR(INDEX(계정매핑!$F$5:$F$504,MATCH($F955&amp;"",계정매핑!$A$5:$A$504,0))&amp;"","비귀속"),""))</f>
        <v/>
      </c>
      <c r="AG955" s="96">
        <f>IF($A955="",0,IF(AND(AE955&lt;&gt;"직접",IFERROR(INDEX(계정매핑!$G$5:$G$504,MATCH($F955&amp;"",계정매핑!$A$5:$A$504,0))&amp;"","")="유지비",COUNTIF(계정대체기준!$A$6:$A$15,$N955)&gt;0),IFERROR(INDEX(계정대체기준!$E$6:$E$15,MATCH(VALUE($A955&amp;""),계정대체기준!$D$6:$D$15,0)),0),0))</f>
        <v/>
      </c>
      <c r="AH955" s="64">
        <f>IF($A955="","",IF(AD955=0,"",IF(OR(COUNTIF(계정대체기준!$A$77:$A$86,$N955)&gt;0,ISNUMBER(MATCH($X955,계정대체기준!$D$77:$D$86,0)),ISNUMBER(MATCH($F955,계정대체기준!$D$77:$D$86,0))),"Y","N")))</f>
        <v/>
      </c>
    </row>
    <row r="956">
      <c r="A956" s="92" t="n">
        <v>2025</v>
      </c>
      <c r="B956" s="92" t="n">
        <v>5</v>
      </c>
      <c r="C956" s="92" t="inlineStr">
        <is>
          <t>5100000952</t>
        </is>
      </c>
      <c r="D956" s="95" t="n">
        <v>45783</v>
      </c>
      <c r="E956" s="92" t="inlineStr">
        <is>
          <t>KR</t>
        </is>
      </c>
      <c r="F956" s="92" t="n">
        <v>62101000</v>
      </c>
      <c r="G956" s="92" t="n">
        <v>1301</v>
      </c>
      <c r="H956" s="93" t="n">
        <v>234000</v>
      </c>
      <c r="I956" s="92" t="inlineStr">
        <is>
          <t>5월 국내출장 - (법인카드)</t>
        </is>
      </c>
      <c r="J956" s="92" t="inlineStr">
        <is>
          <t>V10010</t>
        </is>
      </c>
      <c r="K956" s="92" t="inlineStr">
        <is>
          <t>(법인카드)</t>
        </is>
      </c>
      <c r="M956" s="9">
        <f>IF($A956="","",VALUE($A956&amp;"")*12+VALUE($B956&amp;""))</f>
        <v/>
      </c>
      <c r="N956" s="64">
        <f>IF($A956="","",IFERROR(INDEX(부서매핑!$C$5:$C$504,MATCH($G956&amp;"",부서매핑!$A$5:$A$504,0)),"미매핑"))</f>
        <v/>
      </c>
      <c r="O956" s="9">
        <f>IF($A956="","",N956&amp;"|"&amp;$F956)</f>
        <v/>
      </c>
      <c r="P956" s="94">
        <f>IF($A956="",0,$H956*설정!$C$23)</f>
        <v/>
      </c>
      <c r="Q956" s="64">
        <f>IF($A956="","",IF(O956&lt;&gt;원인분석!$C$9,"",IF(AND(M956&gt;=원인분석!$C$10,M956&lt;=원인분석!$C$11),"당기",IF(AND(M956&gt;=원인분석!$C$12,M956&lt;=원인분석!$C$13),"비교",""))))</f>
        <v/>
      </c>
      <c r="R956" s="9">
        <f>IF(Q956="","",$K956&amp;"")</f>
        <v/>
      </c>
      <c r="S956" s="9">
        <f>IF(Q956="","",IF(MATCH(R956,$R$5:$R$100000,0)=ROW()-4,ROW(),""))</f>
        <v/>
      </c>
      <c r="T956" s="9">
        <f>IF(Q956="당기",ABS(P956)+ROW()/1000000000,"")</f>
        <v/>
      </c>
      <c r="U956" s="9">
        <f>IF(Q956="비교",ABS(P956)+ROW()/1000000000,"")</f>
        <v/>
      </c>
      <c r="V956" s="64">
        <f>IF($A956="","",IF(COUNTIF(변동분석!$E$7:$E$506,O956)&gt;0,"Y","N"))</f>
        <v/>
      </c>
      <c r="W956" s="64">
        <f>IF($A956="","",IFERROR(INDEX(계정매핑!$D$5:$D$504,MATCH($F956&amp;"",계정매핑!$A$5:$A$504,0)),"미매핑"))</f>
        <v/>
      </c>
      <c r="X956" s="9">
        <f>IF($A956="","",$F956&amp;"")</f>
        <v/>
      </c>
      <c r="Y956" s="94">
        <f>IF($A956="",0,IF(AE956="직접",IF(AF956="비귀속",$P956,0),$P956*(1-AG956)*IFERROR(INDEX(계정대체기준!$F$20:$F$49,MATCH($N956,계정대체기준!$A$20:$A$49,0)),1)))</f>
        <v/>
      </c>
      <c r="Z956" s="94">
        <f>IF($A956="",0,IF(AE956="직접",IF(AF956="신계약비",$P956,0),$P956*(1-AG956)*IFERROR(INDEX(계정대체기준!$C$20:$C$49,MATCH($N956,계정대체기준!$A$20:$A$49,0)),0)))</f>
        <v/>
      </c>
      <c r="AA956" s="94">
        <f>IF($A956="",0,IF(AE956="직접",IF(OR(AF956="유지비",AF956="손해조사비"),$P956,0),$P956*(1-AG956)*IFERROR(INDEX(계정대체기준!$D$20:$D$49,MATCH($N956,계정대체기준!$A$20:$A$49,0)),0)))</f>
        <v/>
      </c>
      <c r="AB956" s="94">
        <f>IF($A956="",0,IF(AE956="직접",IF(AF956="수금비",$P956,0),$P956*(1-AG956)*IFERROR(INDEX(계정대체기준!$E$20:$E$49,MATCH($N956,계정대체기준!$A$20:$A$49,0)),0)))</f>
        <v/>
      </c>
      <c r="AC956" s="9">
        <f>IF(AND($A956&lt;&gt;"",M956=설정!$C$20,Z956&gt;0),Z956+ROW()/1000000000,"")</f>
        <v/>
      </c>
      <c r="AD956" s="94">
        <f>IF($A956="",0,$P956*AG956)</f>
        <v/>
      </c>
      <c r="AE956" s="64">
        <f>IF($A956="","",IFERROR(INDEX(계정매핑!$E$5:$E$504,MATCH($F956&amp;"",계정매핑!$A$5:$A$504,0))&amp;"","공통비"))</f>
        <v/>
      </c>
      <c r="AF956" s="64">
        <f>IF($A956="","",IF(AE956="직접",IFERROR(INDEX(계정매핑!$F$5:$F$504,MATCH($F956&amp;"",계정매핑!$A$5:$A$504,0))&amp;"","비귀속"),""))</f>
        <v/>
      </c>
      <c r="AG956" s="96">
        <f>IF($A956="",0,IF(AND(AE956&lt;&gt;"직접",IFERROR(INDEX(계정매핑!$G$5:$G$504,MATCH($F956&amp;"",계정매핑!$A$5:$A$504,0))&amp;"","")="유지비",COUNTIF(계정대체기준!$A$6:$A$15,$N956)&gt;0),IFERROR(INDEX(계정대체기준!$E$6:$E$15,MATCH(VALUE($A956&amp;""),계정대체기준!$D$6:$D$15,0)),0),0))</f>
        <v/>
      </c>
      <c r="AH956" s="64">
        <f>IF($A956="","",IF(AD956=0,"",IF(OR(COUNTIF(계정대체기준!$A$77:$A$86,$N956)&gt;0,ISNUMBER(MATCH($X956,계정대체기준!$D$77:$D$86,0)),ISNUMBER(MATCH($F956,계정대체기준!$D$77:$D$86,0))),"Y","N")))</f>
        <v/>
      </c>
    </row>
    <row r="957">
      <c r="A957" s="92" t="n">
        <v>2025</v>
      </c>
      <c r="B957" s="92" t="n">
        <v>5</v>
      </c>
      <c r="C957" s="92" t="inlineStr">
        <is>
          <t>5100000953</t>
        </is>
      </c>
      <c r="D957" s="95" t="n">
        <v>45783</v>
      </c>
      <c r="E957" s="92" t="inlineStr">
        <is>
          <t>KR</t>
        </is>
      </c>
      <c r="F957" s="92" t="n">
        <v>62101000</v>
      </c>
      <c r="G957" s="92" t="n">
        <v>1801</v>
      </c>
      <c r="H957" s="93" t="n">
        <v>234000</v>
      </c>
      <c r="I957" s="92" t="inlineStr">
        <is>
          <t>5월 국내출장 - L여행사</t>
        </is>
      </c>
      <c r="J957" s="92" t="inlineStr">
        <is>
          <t>V10018</t>
        </is>
      </c>
      <c r="K957" s="92" t="inlineStr">
        <is>
          <t>L여행사</t>
        </is>
      </c>
      <c r="M957" s="9">
        <f>IF($A957="","",VALUE($A957&amp;"")*12+VALUE($B957&amp;""))</f>
        <v/>
      </c>
      <c r="N957" s="64">
        <f>IF($A957="","",IFERROR(INDEX(부서매핑!$C$5:$C$504,MATCH($G957&amp;"",부서매핑!$A$5:$A$504,0)),"미매핑"))</f>
        <v/>
      </c>
      <c r="O957" s="9">
        <f>IF($A957="","",N957&amp;"|"&amp;$F957)</f>
        <v/>
      </c>
      <c r="P957" s="94">
        <f>IF($A957="",0,$H957*설정!$C$23)</f>
        <v/>
      </c>
      <c r="Q957" s="64">
        <f>IF($A957="","",IF(O957&lt;&gt;원인분석!$C$9,"",IF(AND(M957&gt;=원인분석!$C$10,M957&lt;=원인분석!$C$11),"당기",IF(AND(M957&gt;=원인분석!$C$12,M957&lt;=원인분석!$C$13),"비교",""))))</f>
        <v/>
      </c>
      <c r="R957" s="9">
        <f>IF(Q957="","",$K957&amp;"")</f>
        <v/>
      </c>
      <c r="S957" s="9">
        <f>IF(Q957="","",IF(MATCH(R957,$R$5:$R$100000,0)=ROW()-4,ROW(),""))</f>
        <v/>
      </c>
      <c r="T957" s="9">
        <f>IF(Q957="당기",ABS(P957)+ROW()/1000000000,"")</f>
        <v/>
      </c>
      <c r="U957" s="9">
        <f>IF(Q957="비교",ABS(P957)+ROW()/1000000000,"")</f>
        <v/>
      </c>
      <c r="V957" s="64">
        <f>IF($A957="","",IF(COUNTIF(변동분석!$E$7:$E$506,O957)&gt;0,"Y","N"))</f>
        <v/>
      </c>
      <c r="W957" s="64">
        <f>IF($A957="","",IFERROR(INDEX(계정매핑!$D$5:$D$504,MATCH($F957&amp;"",계정매핑!$A$5:$A$504,0)),"미매핑"))</f>
        <v/>
      </c>
      <c r="X957" s="9">
        <f>IF($A957="","",$F957&amp;"")</f>
        <v/>
      </c>
      <c r="Y957" s="94">
        <f>IF($A957="",0,IF(AE957="직접",IF(AF957="비귀속",$P957,0),$P957*(1-AG957)*IFERROR(INDEX(계정대체기준!$F$20:$F$49,MATCH($N957,계정대체기준!$A$20:$A$49,0)),1)))</f>
        <v/>
      </c>
      <c r="Z957" s="94">
        <f>IF($A957="",0,IF(AE957="직접",IF(AF957="신계약비",$P957,0),$P957*(1-AG957)*IFERROR(INDEX(계정대체기준!$C$20:$C$49,MATCH($N957,계정대체기준!$A$20:$A$49,0)),0)))</f>
        <v/>
      </c>
      <c r="AA957" s="94">
        <f>IF($A957="",0,IF(AE957="직접",IF(OR(AF957="유지비",AF957="손해조사비"),$P957,0),$P957*(1-AG957)*IFERROR(INDEX(계정대체기준!$D$20:$D$49,MATCH($N957,계정대체기준!$A$20:$A$49,0)),0)))</f>
        <v/>
      </c>
      <c r="AB957" s="94">
        <f>IF($A957="",0,IF(AE957="직접",IF(AF957="수금비",$P957,0),$P957*(1-AG957)*IFERROR(INDEX(계정대체기준!$E$20:$E$49,MATCH($N957,계정대체기준!$A$20:$A$49,0)),0)))</f>
        <v/>
      </c>
      <c r="AC957" s="9">
        <f>IF(AND($A957&lt;&gt;"",M957=설정!$C$20,Z957&gt;0),Z957+ROW()/1000000000,"")</f>
        <v/>
      </c>
      <c r="AD957" s="94">
        <f>IF($A957="",0,$P957*AG957)</f>
        <v/>
      </c>
      <c r="AE957" s="64">
        <f>IF($A957="","",IFERROR(INDEX(계정매핑!$E$5:$E$504,MATCH($F957&amp;"",계정매핑!$A$5:$A$504,0))&amp;"","공통비"))</f>
        <v/>
      </c>
      <c r="AF957" s="64">
        <f>IF($A957="","",IF(AE957="직접",IFERROR(INDEX(계정매핑!$F$5:$F$504,MATCH($F957&amp;"",계정매핑!$A$5:$A$504,0))&amp;"","비귀속"),""))</f>
        <v/>
      </c>
      <c r="AG957" s="96">
        <f>IF($A957="",0,IF(AND(AE957&lt;&gt;"직접",IFERROR(INDEX(계정매핑!$G$5:$G$504,MATCH($F957&amp;"",계정매핑!$A$5:$A$504,0))&amp;"","")="유지비",COUNTIF(계정대체기준!$A$6:$A$15,$N957)&gt;0),IFERROR(INDEX(계정대체기준!$E$6:$E$15,MATCH(VALUE($A957&amp;""),계정대체기준!$D$6:$D$15,0)),0),0))</f>
        <v/>
      </c>
      <c r="AH957" s="64">
        <f>IF($A957="","",IF(AD957=0,"",IF(OR(COUNTIF(계정대체기준!$A$77:$A$86,$N957)&gt;0,ISNUMBER(MATCH($X957,계정대체기준!$D$77:$D$86,0)),ISNUMBER(MATCH($F957,계정대체기준!$D$77:$D$86,0))),"Y","N")))</f>
        <v/>
      </c>
    </row>
    <row r="958">
      <c r="A958" s="92" t="n">
        <v>2025</v>
      </c>
      <c r="B958" s="92" t="n">
        <v>5</v>
      </c>
      <c r="C958" s="92" t="inlineStr">
        <is>
          <t>5100000954</t>
        </is>
      </c>
      <c r="D958" s="95" t="n">
        <v>45783</v>
      </c>
      <c r="E958" s="92" t="inlineStr">
        <is>
          <t>KR</t>
        </is>
      </c>
      <c r="F958" s="92" t="n">
        <v>62102000</v>
      </c>
      <c r="G958" s="92" t="n">
        <v>1401</v>
      </c>
      <c r="H958" s="93" t="n">
        <v>102000</v>
      </c>
      <c r="I958" s="92" t="inlineStr">
        <is>
          <t>5월 해외출장 - N호텔</t>
        </is>
      </c>
      <c r="J958" s="92" t="inlineStr">
        <is>
          <t>V10009</t>
        </is>
      </c>
      <c r="K958" s="92" t="inlineStr">
        <is>
          <t>N호텔</t>
        </is>
      </c>
      <c r="M958" s="9">
        <f>IF($A958="","",VALUE($A958&amp;"")*12+VALUE($B958&amp;""))</f>
        <v/>
      </c>
      <c r="N958" s="64">
        <f>IF($A958="","",IFERROR(INDEX(부서매핑!$C$5:$C$504,MATCH($G958&amp;"",부서매핑!$A$5:$A$504,0)),"미매핑"))</f>
        <v/>
      </c>
      <c r="O958" s="9">
        <f>IF($A958="","",N958&amp;"|"&amp;$F958)</f>
        <v/>
      </c>
      <c r="P958" s="94">
        <f>IF($A958="",0,$H958*설정!$C$23)</f>
        <v/>
      </c>
      <c r="Q958" s="64">
        <f>IF($A958="","",IF(O958&lt;&gt;원인분석!$C$9,"",IF(AND(M958&gt;=원인분석!$C$10,M958&lt;=원인분석!$C$11),"당기",IF(AND(M958&gt;=원인분석!$C$12,M958&lt;=원인분석!$C$13),"비교",""))))</f>
        <v/>
      </c>
      <c r="R958" s="9">
        <f>IF(Q958="","",$K958&amp;"")</f>
        <v/>
      </c>
      <c r="S958" s="9">
        <f>IF(Q958="","",IF(MATCH(R958,$R$5:$R$100000,0)=ROW()-4,ROW(),""))</f>
        <v/>
      </c>
      <c r="T958" s="9">
        <f>IF(Q958="당기",ABS(P958)+ROW()/1000000000,"")</f>
        <v/>
      </c>
      <c r="U958" s="9">
        <f>IF(Q958="비교",ABS(P958)+ROW()/1000000000,"")</f>
        <v/>
      </c>
      <c r="V958" s="64">
        <f>IF($A958="","",IF(COUNTIF(변동분석!$E$7:$E$506,O958)&gt;0,"Y","N"))</f>
        <v/>
      </c>
      <c r="W958" s="64">
        <f>IF($A958="","",IFERROR(INDEX(계정매핑!$D$5:$D$504,MATCH($F958&amp;"",계정매핑!$A$5:$A$504,0)),"미매핑"))</f>
        <v/>
      </c>
      <c r="X958" s="9">
        <f>IF($A958="","",$F958&amp;"")</f>
        <v/>
      </c>
      <c r="Y958" s="94">
        <f>IF($A958="",0,IF(AE958="직접",IF(AF958="비귀속",$P958,0),$P958*(1-AG958)*IFERROR(INDEX(계정대체기준!$F$20:$F$49,MATCH($N958,계정대체기준!$A$20:$A$49,0)),1)))</f>
        <v/>
      </c>
      <c r="Z958" s="94">
        <f>IF($A958="",0,IF(AE958="직접",IF(AF958="신계약비",$P958,0),$P958*(1-AG958)*IFERROR(INDEX(계정대체기준!$C$20:$C$49,MATCH($N958,계정대체기준!$A$20:$A$49,0)),0)))</f>
        <v/>
      </c>
      <c r="AA958" s="94">
        <f>IF($A958="",0,IF(AE958="직접",IF(OR(AF958="유지비",AF958="손해조사비"),$P958,0),$P958*(1-AG958)*IFERROR(INDEX(계정대체기준!$D$20:$D$49,MATCH($N958,계정대체기준!$A$20:$A$49,0)),0)))</f>
        <v/>
      </c>
      <c r="AB958" s="94">
        <f>IF($A958="",0,IF(AE958="직접",IF(AF958="수금비",$P958,0),$P958*(1-AG958)*IFERROR(INDEX(계정대체기준!$E$20:$E$49,MATCH($N958,계정대체기준!$A$20:$A$49,0)),0)))</f>
        <v/>
      </c>
      <c r="AC958" s="9">
        <f>IF(AND($A958&lt;&gt;"",M958=설정!$C$20,Z958&gt;0),Z958+ROW()/1000000000,"")</f>
        <v/>
      </c>
      <c r="AD958" s="94">
        <f>IF($A958="",0,$P958*AG958)</f>
        <v/>
      </c>
      <c r="AE958" s="64">
        <f>IF($A958="","",IFERROR(INDEX(계정매핑!$E$5:$E$504,MATCH($F958&amp;"",계정매핑!$A$5:$A$504,0))&amp;"","공통비"))</f>
        <v/>
      </c>
      <c r="AF958" s="64">
        <f>IF($A958="","",IF(AE958="직접",IFERROR(INDEX(계정매핑!$F$5:$F$504,MATCH($F958&amp;"",계정매핑!$A$5:$A$504,0))&amp;"","비귀속"),""))</f>
        <v/>
      </c>
      <c r="AG958" s="96">
        <f>IF($A958="",0,IF(AND(AE958&lt;&gt;"직접",IFERROR(INDEX(계정매핑!$G$5:$G$504,MATCH($F958&amp;"",계정매핑!$A$5:$A$504,0))&amp;"","")="유지비",COUNTIF(계정대체기준!$A$6:$A$15,$N958)&gt;0),IFERROR(INDEX(계정대체기준!$E$6:$E$15,MATCH(VALUE($A958&amp;""),계정대체기준!$D$6:$D$15,0)),0),0))</f>
        <v/>
      </c>
      <c r="AH958" s="64">
        <f>IF($A958="","",IF(AD958=0,"",IF(OR(COUNTIF(계정대체기준!$A$77:$A$86,$N958)&gt;0,ISNUMBER(MATCH($X958,계정대체기준!$D$77:$D$86,0)),ISNUMBER(MATCH($F958,계정대체기준!$D$77:$D$86,0))),"Y","N")))</f>
        <v/>
      </c>
    </row>
    <row r="959">
      <c r="A959" s="92" t="n">
        <v>2025</v>
      </c>
      <c r="B959" s="92" t="n">
        <v>5</v>
      </c>
      <c r="C959" s="92" t="inlineStr">
        <is>
          <t>5100000955</t>
        </is>
      </c>
      <c r="D959" s="95" t="n">
        <v>45783</v>
      </c>
      <c r="E959" s="92" t="inlineStr">
        <is>
          <t>KR</t>
        </is>
      </c>
      <c r="F959" s="92" t="n">
        <v>62102000</v>
      </c>
      <c r="G959" s="92" t="n">
        <v>1951</v>
      </c>
      <c r="H959" s="93" t="n">
        <v>55000</v>
      </c>
      <c r="I959" s="92" t="inlineStr">
        <is>
          <t>5월 해외출장 - N호텔</t>
        </is>
      </c>
      <c r="J959" s="92" t="inlineStr">
        <is>
          <t>V10009</t>
        </is>
      </c>
      <c r="K959" s="92" t="inlineStr">
        <is>
          <t>N호텔</t>
        </is>
      </c>
      <c r="M959" s="9">
        <f>IF($A959="","",VALUE($A959&amp;"")*12+VALUE($B959&amp;""))</f>
        <v/>
      </c>
      <c r="N959" s="64">
        <f>IF($A959="","",IFERROR(INDEX(부서매핑!$C$5:$C$504,MATCH($G959&amp;"",부서매핑!$A$5:$A$504,0)),"미매핑"))</f>
        <v/>
      </c>
      <c r="O959" s="9">
        <f>IF($A959="","",N959&amp;"|"&amp;$F959)</f>
        <v/>
      </c>
      <c r="P959" s="94">
        <f>IF($A959="",0,$H959*설정!$C$23)</f>
        <v/>
      </c>
      <c r="Q959" s="64">
        <f>IF($A959="","",IF(O959&lt;&gt;원인분석!$C$9,"",IF(AND(M959&gt;=원인분석!$C$10,M959&lt;=원인분석!$C$11),"당기",IF(AND(M959&gt;=원인분석!$C$12,M959&lt;=원인분석!$C$13),"비교",""))))</f>
        <v/>
      </c>
      <c r="R959" s="9">
        <f>IF(Q959="","",$K959&amp;"")</f>
        <v/>
      </c>
      <c r="S959" s="9">
        <f>IF(Q959="","",IF(MATCH(R959,$R$5:$R$100000,0)=ROW()-4,ROW(),""))</f>
        <v/>
      </c>
      <c r="T959" s="9">
        <f>IF(Q959="당기",ABS(P959)+ROW()/1000000000,"")</f>
        <v/>
      </c>
      <c r="U959" s="9">
        <f>IF(Q959="비교",ABS(P959)+ROW()/1000000000,"")</f>
        <v/>
      </c>
      <c r="V959" s="64">
        <f>IF($A959="","",IF(COUNTIF(변동분석!$E$7:$E$506,O959)&gt;0,"Y","N"))</f>
        <v/>
      </c>
      <c r="W959" s="64">
        <f>IF($A959="","",IFERROR(INDEX(계정매핑!$D$5:$D$504,MATCH($F959&amp;"",계정매핑!$A$5:$A$504,0)),"미매핑"))</f>
        <v/>
      </c>
      <c r="X959" s="9">
        <f>IF($A959="","",$F959&amp;"")</f>
        <v/>
      </c>
      <c r="Y959" s="94">
        <f>IF($A959="",0,IF(AE959="직접",IF(AF959="비귀속",$P959,0),$P959*(1-AG959)*IFERROR(INDEX(계정대체기준!$F$20:$F$49,MATCH($N959,계정대체기준!$A$20:$A$49,0)),1)))</f>
        <v/>
      </c>
      <c r="Z959" s="94">
        <f>IF($A959="",0,IF(AE959="직접",IF(AF959="신계약비",$P959,0),$P959*(1-AG959)*IFERROR(INDEX(계정대체기준!$C$20:$C$49,MATCH($N959,계정대체기준!$A$20:$A$49,0)),0)))</f>
        <v/>
      </c>
      <c r="AA959" s="94">
        <f>IF($A959="",0,IF(AE959="직접",IF(OR(AF959="유지비",AF959="손해조사비"),$P959,0),$P959*(1-AG959)*IFERROR(INDEX(계정대체기준!$D$20:$D$49,MATCH($N959,계정대체기준!$A$20:$A$49,0)),0)))</f>
        <v/>
      </c>
      <c r="AB959" s="94">
        <f>IF($A959="",0,IF(AE959="직접",IF(AF959="수금비",$P959,0),$P959*(1-AG959)*IFERROR(INDEX(계정대체기준!$E$20:$E$49,MATCH($N959,계정대체기준!$A$20:$A$49,0)),0)))</f>
        <v/>
      </c>
      <c r="AC959" s="9">
        <f>IF(AND($A959&lt;&gt;"",M959=설정!$C$20,Z959&gt;0),Z959+ROW()/1000000000,"")</f>
        <v/>
      </c>
      <c r="AD959" s="94">
        <f>IF($A959="",0,$P959*AG959)</f>
        <v/>
      </c>
      <c r="AE959" s="64">
        <f>IF($A959="","",IFERROR(INDEX(계정매핑!$E$5:$E$504,MATCH($F959&amp;"",계정매핑!$A$5:$A$504,0))&amp;"","공통비"))</f>
        <v/>
      </c>
      <c r="AF959" s="64">
        <f>IF($A959="","",IF(AE959="직접",IFERROR(INDEX(계정매핑!$F$5:$F$504,MATCH($F959&amp;"",계정매핑!$A$5:$A$504,0))&amp;"","비귀속"),""))</f>
        <v/>
      </c>
      <c r="AG959" s="96">
        <f>IF($A959="",0,IF(AND(AE959&lt;&gt;"직접",IFERROR(INDEX(계정매핑!$G$5:$G$504,MATCH($F959&amp;"",계정매핑!$A$5:$A$504,0))&amp;"","")="유지비",COUNTIF(계정대체기준!$A$6:$A$15,$N959)&gt;0),IFERROR(INDEX(계정대체기준!$E$6:$E$15,MATCH(VALUE($A959&amp;""),계정대체기준!$D$6:$D$15,0)),0),0))</f>
        <v/>
      </c>
      <c r="AH959" s="64">
        <f>IF($A959="","",IF(AD959=0,"",IF(OR(COUNTIF(계정대체기준!$A$77:$A$86,$N959)&gt;0,ISNUMBER(MATCH($X959,계정대체기준!$D$77:$D$86,0)),ISNUMBER(MATCH($F959,계정대체기준!$D$77:$D$86,0))),"Y","N")))</f>
        <v/>
      </c>
    </row>
    <row r="960">
      <c r="A960" s="92" t="n">
        <v>2025</v>
      </c>
      <c r="B960" s="92" t="n">
        <v>5</v>
      </c>
      <c r="C960" s="92" t="inlineStr">
        <is>
          <t>5100000956</t>
        </is>
      </c>
      <c r="D960" s="95" t="n">
        <v>45783</v>
      </c>
      <c r="E960" s="92" t="inlineStr">
        <is>
          <t>KR</t>
        </is>
      </c>
      <c r="F960" s="92" t="n">
        <v>62201000</v>
      </c>
      <c r="G960" s="92" t="n">
        <v>1401</v>
      </c>
      <c r="H960" s="93" t="n">
        <v>305000</v>
      </c>
      <c r="I960" s="92" t="inlineStr">
        <is>
          <t>5월 통신요금 - P통신</t>
        </is>
      </c>
      <c r="J960" s="92" t="inlineStr">
        <is>
          <t>V10014</t>
        </is>
      </c>
      <c r="K960" s="92" t="inlineStr">
        <is>
          <t>P통신</t>
        </is>
      </c>
      <c r="M960" s="9">
        <f>IF($A960="","",VALUE($A960&amp;"")*12+VALUE($B960&amp;""))</f>
        <v/>
      </c>
      <c r="N960" s="64">
        <f>IF($A960="","",IFERROR(INDEX(부서매핑!$C$5:$C$504,MATCH($G960&amp;"",부서매핑!$A$5:$A$504,0)),"미매핑"))</f>
        <v/>
      </c>
      <c r="O960" s="9">
        <f>IF($A960="","",N960&amp;"|"&amp;$F960)</f>
        <v/>
      </c>
      <c r="P960" s="94">
        <f>IF($A960="",0,$H960*설정!$C$23)</f>
        <v/>
      </c>
      <c r="Q960" s="64">
        <f>IF($A960="","",IF(O960&lt;&gt;원인분석!$C$9,"",IF(AND(M960&gt;=원인분석!$C$10,M960&lt;=원인분석!$C$11),"당기",IF(AND(M960&gt;=원인분석!$C$12,M960&lt;=원인분석!$C$13),"비교",""))))</f>
        <v/>
      </c>
      <c r="R960" s="9">
        <f>IF(Q960="","",$K960&amp;"")</f>
        <v/>
      </c>
      <c r="S960" s="9">
        <f>IF(Q960="","",IF(MATCH(R960,$R$5:$R$100000,0)=ROW()-4,ROW(),""))</f>
        <v/>
      </c>
      <c r="T960" s="9">
        <f>IF(Q960="당기",ABS(P960)+ROW()/1000000000,"")</f>
        <v/>
      </c>
      <c r="U960" s="9">
        <f>IF(Q960="비교",ABS(P960)+ROW()/1000000000,"")</f>
        <v/>
      </c>
      <c r="V960" s="64">
        <f>IF($A960="","",IF(COUNTIF(변동분석!$E$7:$E$506,O960)&gt;0,"Y","N"))</f>
        <v/>
      </c>
      <c r="W960" s="64">
        <f>IF($A960="","",IFERROR(INDEX(계정매핑!$D$5:$D$504,MATCH($F960&amp;"",계정매핑!$A$5:$A$504,0)),"미매핑"))</f>
        <v/>
      </c>
      <c r="X960" s="9">
        <f>IF($A960="","",$F960&amp;"")</f>
        <v/>
      </c>
      <c r="Y960" s="94">
        <f>IF($A960="",0,IF(AE960="직접",IF(AF960="비귀속",$P960,0),$P960*(1-AG960)*IFERROR(INDEX(계정대체기준!$F$20:$F$49,MATCH($N960,계정대체기준!$A$20:$A$49,0)),1)))</f>
        <v/>
      </c>
      <c r="Z960" s="94">
        <f>IF($A960="",0,IF(AE960="직접",IF(AF960="신계약비",$P960,0),$P960*(1-AG960)*IFERROR(INDEX(계정대체기준!$C$20:$C$49,MATCH($N960,계정대체기준!$A$20:$A$49,0)),0)))</f>
        <v/>
      </c>
      <c r="AA960" s="94">
        <f>IF($A960="",0,IF(AE960="직접",IF(OR(AF960="유지비",AF960="손해조사비"),$P960,0),$P960*(1-AG960)*IFERROR(INDEX(계정대체기준!$D$20:$D$49,MATCH($N960,계정대체기준!$A$20:$A$49,0)),0)))</f>
        <v/>
      </c>
      <c r="AB960" s="94">
        <f>IF($A960="",0,IF(AE960="직접",IF(AF960="수금비",$P960,0),$P960*(1-AG960)*IFERROR(INDEX(계정대체기준!$E$20:$E$49,MATCH($N960,계정대체기준!$A$20:$A$49,0)),0)))</f>
        <v/>
      </c>
      <c r="AC960" s="9">
        <f>IF(AND($A960&lt;&gt;"",M960=설정!$C$20,Z960&gt;0),Z960+ROW()/1000000000,"")</f>
        <v/>
      </c>
      <c r="AD960" s="94">
        <f>IF($A960="",0,$P960*AG960)</f>
        <v/>
      </c>
      <c r="AE960" s="64">
        <f>IF($A960="","",IFERROR(INDEX(계정매핑!$E$5:$E$504,MATCH($F960&amp;"",계정매핑!$A$5:$A$504,0))&amp;"","공통비"))</f>
        <v/>
      </c>
      <c r="AF960" s="64">
        <f>IF($A960="","",IF(AE960="직접",IFERROR(INDEX(계정매핑!$F$5:$F$504,MATCH($F960&amp;"",계정매핑!$A$5:$A$504,0))&amp;"","비귀속"),""))</f>
        <v/>
      </c>
      <c r="AG960" s="96">
        <f>IF($A960="",0,IF(AND(AE960&lt;&gt;"직접",IFERROR(INDEX(계정매핑!$G$5:$G$504,MATCH($F960&amp;"",계정매핑!$A$5:$A$504,0))&amp;"","")="유지비",COUNTIF(계정대체기준!$A$6:$A$15,$N960)&gt;0),IFERROR(INDEX(계정대체기준!$E$6:$E$15,MATCH(VALUE($A960&amp;""),계정대체기준!$D$6:$D$15,0)),0),0))</f>
        <v/>
      </c>
      <c r="AH960" s="64">
        <f>IF($A960="","",IF(AD960=0,"",IF(OR(COUNTIF(계정대체기준!$A$77:$A$86,$N960)&gt;0,ISNUMBER(MATCH($X960,계정대체기준!$D$77:$D$86,0)),ISNUMBER(MATCH($F960,계정대체기준!$D$77:$D$86,0))),"Y","N")))</f>
        <v/>
      </c>
    </row>
    <row r="961">
      <c r="A961" s="92" t="n">
        <v>2025</v>
      </c>
      <c r="B961" s="92" t="n">
        <v>5</v>
      </c>
      <c r="C961" s="92" t="inlineStr">
        <is>
          <t>5100000957</t>
        </is>
      </c>
      <c r="D961" s="95" t="n">
        <v>45784</v>
      </c>
      <c r="E961" s="92" t="inlineStr">
        <is>
          <t>KR</t>
        </is>
      </c>
      <c r="F961" s="92" t="n">
        <v>62101000</v>
      </c>
      <c r="G961" s="92" t="n">
        <v>1401</v>
      </c>
      <c r="H961" s="93" t="n">
        <v>515000</v>
      </c>
      <c r="I961" s="92" t="inlineStr">
        <is>
          <t>5월 국내출장 - (법인카드)</t>
        </is>
      </c>
      <c r="J961" s="92" t="inlineStr">
        <is>
          <t>V10010</t>
        </is>
      </c>
      <c r="K961" s="92" t="inlineStr">
        <is>
          <t>(법인카드)</t>
        </is>
      </c>
      <c r="M961" s="9">
        <f>IF($A961="","",VALUE($A961&amp;"")*12+VALUE($B961&amp;""))</f>
        <v/>
      </c>
      <c r="N961" s="64">
        <f>IF($A961="","",IFERROR(INDEX(부서매핑!$C$5:$C$504,MATCH($G961&amp;"",부서매핑!$A$5:$A$504,0)),"미매핑"))</f>
        <v/>
      </c>
      <c r="O961" s="9">
        <f>IF($A961="","",N961&amp;"|"&amp;$F961)</f>
        <v/>
      </c>
      <c r="P961" s="94">
        <f>IF($A961="",0,$H961*설정!$C$23)</f>
        <v/>
      </c>
      <c r="Q961" s="64">
        <f>IF($A961="","",IF(O961&lt;&gt;원인분석!$C$9,"",IF(AND(M961&gt;=원인분석!$C$10,M961&lt;=원인분석!$C$11),"당기",IF(AND(M961&gt;=원인분석!$C$12,M961&lt;=원인분석!$C$13),"비교",""))))</f>
        <v/>
      </c>
      <c r="R961" s="9">
        <f>IF(Q961="","",$K961&amp;"")</f>
        <v/>
      </c>
      <c r="S961" s="9">
        <f>IF(Q961="","",IF(MATCH(R961,$R$5:$R$100000,0)=ROW()-4,ROW(),""))</f>
        <v/>
      </c>
      <c r="T961" s="9">
        <f>IF(Q961="당기",ABS(P961)+ROW()/1000000000,"")</f>
        <v/>
      </c>
      <c r="U961" s="9">
        <f>IF(Q961="비교",ABS(P961)+ROW()/1000000000,"")</f>
        <v/>
      </c>
      <c r="V961" s="64">
        <f>IF($A961="","",IF(COUNTIF(변동분석!$E$7:$E$506,O961)&gt;0,"Y","N"))</f>
        <v/>
      </c>
      <c r="W961" s="64">
        <f>IF($A961="","",IFERROR(INDEX(계정매핑!$D$5:$D$504,MATCH($F961&amp;"",계정매핑!$A$5:$A$504,0)),"미매핑"))</f>
        <v/>
      </c>
      <c r="X961" s="9">
        <f>IF($A961="","",$F961&amp;"")</f>
        <v/>
      </c>
      <c r="Y961" s="94">
        <f>IF($A961="",0,IF(AE961="직접",IF(AF961="비귀속",$P961,0),$P961*(1-AG961)*IFERROR(INDEX(계정대체기준!$F$20:$F$49,MATCH($N961,계정대체기준!$A$20:$A$49,0)),1)))</f>
        <v/>
      </c>
      <c r="Z961" s="94">
        <f>IF($A961="",0,IF(AE961="직접",IF(AF961="신계약비",$P961,0),$P961*(1-AG961)*IFERROR(INDEX(계정대체기준!$C$20:$C$49,MATCH($N961,계정대체기준!$A$20:$A$49,0)),0)))</f>
        <v/>
      </c>
      <c r="AA961" s="94">
        <f>IF($A961="",0,IF(AE961="직접",IF(OR(AF961="유지비",AF961="손해조사비"),$P961,0),$P961*(1-AG961)*IFERROR(INDEX(계정대체기준!$D$20:$D$49,MATCH($N961,계정대체기준!$A$20:$A$49,0)),0)))</f>
        <v/>
      </c>
      <c r="AB961" s="94">
        <f>IF($A961="",0,IF(AE961="직접",IF(AF961="수금비",$P961,0),$P961*(1-AG961)*IFERROR(INDEX(계정대체기준!$E$20:$E$49,MATCH($N961,계정대체기준!$A$20:$A$49,0)),0)))</f>
        <v/>
      </c>
      <c r="AC961" s="9">
        <f>IF(AND($A961&lt;&gt;"",M961=설정!$C$20,Z961&gt;0),Z961+ROW()/1000000000,"")</f>
        <v/>
      </c>
      <c r="AD961" s="94">
        <f>IF($A961="",0,$P961*AG961)</f>
        <v/>
      </c>
      <c r="AE961" s="64">
        <f>IF($A961="","",IFERROR(INDEX(계정매핑!$E$5:$E$504,MATCH($F961&amp;"",계정매핑!$A$5:$A$504,0))&amp;"","공통비"))</f>
        <v/>
      </c>
      <c r="AF961" s="64">
        <f>IF($A961="","",IF(AE961="직접",IFERROR(INDEX(계정매핑!$F$5:$F$504,MATCH($F961&amp;"",계정매핑!$A$5:$A$504,0))&amp;"","비귀속"),""))</f>
        <v/>
      </c>
      <c r="AG961" s="96">
        <f>IF($A961="",0,IF(AND(AE961&lt;&gt;"직접",IFERROR(INDEX(계정매핑!$G$5:$G$504,MATCH($F961&amp;"",계정매핑!$A$5:$A$504,0))&amp;"","")="유지비",COUNTIF(계정대체기준!$A$6:$A$15,$N961)&gt;0),IFERROR(INDEX(계정대체기준!$E$6:$E$15,MATCH(VALUE($A961&amp;""),계정대체기준!$D$6:$D$15,0)),0),0))</f>
        <v/>
      </c>
      <c r="AH961" s="64">
        <f>IF($A961="","",IF(AD961=0,"",IF(OR(COUNTIF(계정대체기준!$A$77:$A$86,$N961)&gt;0,ISNUMBER(MATCH($X961,계정대체기준!$D$77:$D$86,0)),ISNUMBER(MATCH($F961,계정대체기준!$D$77:$D$86,0))),"Y","N")))</f>
        <v/>
      </c>
    </row>
    <row r="962">
      <c r="A962" s="92" t="n">
        <v>2025</v>
      </c>
      <c r="B962" s="92" t="n">
        <v>5</v>
      </c>
      <c r="C962" s="92" t="inlineStr">
        <is>
          <t>5100000958</t>
        </is>
      </c>
      <c r="D962" s="95" t="n">
        <v>45784</v>
      </c>
      <c r="E962" s="92" t="inlineStr">
        <is>
          <t>KR</t>
        </is>
      </c>
      <c r="F962" s="92" t="n">
        <v>62201000</v>
      </c>
      <c r="G962" s="92" t="n">
        <v>1401</v>
      </c>
      <c r="H962" s="93" t="n">
        <v>264000</v>
      </c>
      <c r="I962" s="92" t="inlineStr">
        <is>
          <t>5월 통신요금 - O텔레콤</t>
        </is>
      </c>
      <c r="J962" s="92" t="inlineStr">
        <is>
          <t>V10002</t>
        </is>
      </c>
      <c r="K962" s="92" t="inlineStr">
        <is>
          <t>O텔레콤</t>
        </is>
      </c>
      <c r="M962" s="9">
        <f>IF($A962="","",VALUE($A962&amp;"")*12+VALUE($B962&amp;""))</f>
        <v/>
      </c>
      <c r="N962" s="64">
        <f>IF($A962="","",IFERROR(INDEX(부서매핑!$C$5:$C$504,MATCH($G962&amp;"",부서매핑!$A$5:$A$504,0)),"미매핑"))</f>
        <v/>
      </c>
      <c r="O962" s="9">
        <f>IF($A962="","",N962&amp;"|"&amp;$F962)</f>
        <v/>
      </c>
      <c r="P962" s="94">
        <f>IF($A962="",0,$H962*설정!$C$23)</f>
        <v/>
      </c>
      <c r="Q962" s="64">
        <f>IF($A962="","",IF(O962&lt;&gt;원인분석!$C$9,"",IF(AND(M962&gt;=원인분석!$C$10,M962&lt;=원인분석!$C$11),"당기",IF(AND(M962&gt;=원인분석!$C$12,M962&lt;=원인분석!$C$13),"비교",""))))</f>
        <v/>
      </c>
      <c r="R962" s="9">
        <f>IF(Q962="","",$K962&amp;"")</f>
        <v/>
      </c>
      <c r="S962" s="9">
        <f>IF(Q962="","",IF(MATCH(R962,$R$5:$R$100000,0)=ROW()-4,ROW(),""))</f>
        <v/>
      </c>
      <c r="T962" s="9">
        <f>IF(Q962="당기",ABS(P962)+ROW()/1000000000,"")</f>
        <v/>
      </c>
      <c r="U962" s="9">
        <f>IF(Q962="비교",ABS(P962)+ROW()/1000000000,"")</f>
        <v/>
      </c>
      <c r="V962" s="64">
        <f>IF($A962="","",IF(COUNTIF(변동분석!$E$7:$E$506,O962)&gt;0,"Y","N"))</f>
        <v/>
      </c>
      <c r="W962" s="64">
        <f>IF($A962="","",IFERROR(INDEX(계정매핑!$D$5:$D$504,MATCH($F962&amp;"",계정매핑!$A$5:$A$504,0)),"미매핑"))</f>
        <v/>
      </c>
      <c r="X962" s="9">
        <f>IF($A962="","",$F962&amp;"")</f>
        <v/>
      </c>
      <c r="Y962" s="94">
        <f>IF($A962="",0,IF(AE962="직접",IF(AF962="비귀속",$P962,0),$P962*(1-AG962)*IFERROR(INDEX(계정대체기준!$F$20:$F$49,MATCH($N962,계정대체기준!$A$20:$A$49,0)),1)))</f>
        <v/>
      </c>
      <c r="Z962" s="94">
        <f>IF($A962="",0,IF(AE962="직접",IF(AF962="신계약비",$P962,0),$P962*(1-AG962)*IFERROR(INDEX(계정대체기준!$C$20:$C$49,MATCH($N962,계정대체기준!$A$20:$A$49,0)),0)))</f>
        <v/>
      </c>
      <c r="AA962" s="94">
        <f>IF($A962="",0,IF(AE962="직접",IF(OR(AF962="유지비",AF962="손해조사비"),$P962,0),$P962*(1-AG962)*IFERROR(INDEX(계정대체기준!$D$20:$D$49,MATCH($N962,계정대체기준!$A$20:$A$49,0)),0)))</f>
        <v/>
      </c>
      <c r="AB962" s="94">
        <f>IF($A962="",0,IF(AE962="직접",IF(AF962="수금비",$P962,0),$P962*(1-AG962)*IFERROR(INDEX(계정대체기준!$E$20:$E$49,MATCH($N962,계정대체기준!$A$20:$A$49,0)),0)))</f>
        <v/>
      </c>
      <c r="AC962" s="9">
        <f>IF(AND($A962&lt;&gt;"",M962=설정!$C$20,Z962&gt;0),Z962+ROW()/1000000000,"")</f>
        <v/>
      </c>
      <c r="AD962" s="94">
        <f>IF($A962="",0,$P962*AG962)</f>
        <v/>
      </c>
      <c r="AE962" s="64">
        <f>IF($A962="","",IFERROR(INDEX(계정매핑!$E$5:$E$504,MATCH($F962&amp;"",계정매핑!$A$5:$A$504,0))&amp;"","공통비"))</f>
        <v/>
      </c>
      <c r="AF962" s="64">
        <f>IF($A962="","",IF(AE962="직접",IFERROR(INDEX(계정매핑!$F$5:$F$504,MATCH($F962&amp;"",계정매핑!$A$5:$A$504,0))&amp;"","비귀속"),""))</f>
        <v/>
      </c>
      <c r="AG962" s="96">
        <f>IF($A962="",0,IF(AND(AE962&lt;&gt;"직접",IFERROR(INDEX(계정매핑!$G$5:$G$504,MATCH($F962&amp;"",계정매핑!$A$5:$A$504,0))&amp;"","")="유지비",COUNTIF(계정대체기준!$A$6:$A$15,$N962)&gt;0),IFERROR(INDEX(계정대체기준!$E$6:$E$15,MATCH(VALUE($A962&amp;""),계정대체기준!$D$6:$D$15,0)),0),0))</f>
        <v/>
      </c>
      <c r="AH962" s="64">
        <f>IF($A962="","",IF(AD962=0,"",IF(OR(COUNTIF(계정대체기준!$A$77:$A$86,$N962)&gt;0,ISNUMBER(MATCH($X962,계정대체기준!$D$77:$D$86,0)),ISNUMBER(MATCH($F962,계정대체기준!$D$77:$D$86,0))),"Y","N")))</f>
        <v/>
      </c>
    </row>
    <row r="963">
      <c r="A963" s="92" t="n">
        <v>2025</v>
      </c>
      <c r="B963" s="92" t="n">
        <v>5</v>
      </c>
      <c r="C963" s="92" t="inlineStr">
        <is>
          <t>5100000959</t>
        </is>
      </c>
      <c r="D963" s="95" t="n">
        <v>45784</v>
      </c>
      <c r="E963" s="92" t="inlineStr">
        <is>
          <t>KR</t>
        </is>
      </c>
      <c r="F963" s="92" t="n">
        <v>62201000</v>
      </c>
      <c r="G963" s="92" t="n">
        <v>1602</v>
      </c>
      <c r="H963" s="93" t="n">
        <v>388000</v>
      </c>
      <c r="I963" s="92" t="inlineStr">
        <is>
          <t>5월 통신요금 - O텔레콤</t>
        </is>
      </c>
      <c r="J963" s="92" t="inlineStr">
        <is>
          <t>V10002</t>
        </is>
      </c>
      <c r="K963" s="92" t="inlineStr">
        <is>
          <t>O텔레콤</t>
        </is>
      </c>
      <c r="M963" s="9">
        <f>IF($A963="","",VALUE($A963&amp;"")*12+VALUE($B963&amp;""))</f>
        <v/>
      </c>
      <c r="N963" s="64">
        <f>IF($A963="","",IFERROR(INDEX(부서매핑!$C$5:$C$504,MATCH($G963&amp;"",부서매핑!$A$5:$A$504,0)),"미매핑"))</f>
        <v/>
      </c>
      <c r="O963" s="9">
        <f>IF($A963="","",N963&amp;"|"&amp;$F963)</f>
        <v/>
      </c>
      <c r="P963" s="94">
        <f>IF($A963="",0,$H963*설정!$C$23)</f>
        <v/>
      </c>
      <c r="Q963" s="64">
        <f>IF($A963="","",IF(O963&lt;&gt;원인분석!$C$9,"",IF(AND(M963&gt;=원인분석!$C$10,M963&lt;=원인분석!$C$11),"당기",IF(AND(M963&gt;=원인분석!$C$12,M963&lt;=원인분석!$C$13),"비교",""))))</f>
        <v/>
      </c>
      <c r="R963" s="9">
        <f>IF(Q963="","",$K963&amp;"")</f>
        <v/>
      </c>
      <c r="S963" s="9">
        <f>IF(Q963="","",IF(MATCH(R963,$R$5:$R$100000,0)=ROW()-4,ROW(),""))</f>
        <v/>
      </c>
      <c r="T963" s="9">
        <f>IF(Q963="당기",ABS(P963)+ROW()/1000000000,"")</f>
        <v/>
      </c>
      <c r="U963" s="9">
        <f>IF(Q963="비교",ABS(P963)+ROW()/1000000000,"")</f>
        <v/>
      </c>
      <c r="V963" s="64">
        <f>IF($A963="","",IF(COUNTIF(변동분석!$E$7:$E$506,O963)&gt;0,"Y","N"))</f>
        <v/>
      </c>
      <c r="W963" s="64">
        <f>IF($A963="","",IFERROR(INDEX(계정매핑!$D$5:$D$504,MATCH($F963&amp;"",계정매핑!$A$5:$A$504,0)),"미매핑"))</f>
        <v/>
      </c>
      <c r="X963" s="9">
        <f>IF($A963="","",$F963&amp;"")</f>
        <v/>
      </c>
      <c r="Y963" s="94">
        <f>IF($A963="",0,IF(AE963="직접",IF(AF963="비귀속",$P963,0),$P963*(1-AG963)*IFERROR(INDEX(계정대체기준!$F$20:$F$49,MATCH($N963,계정대체기준!$A$20:$A$49,0)),1)))</f>
        <v/>
      </c>
      <c r="Z963" s="94">
        <f>IF($A963="",0,IF(AE963="직접",IF(AF963="신계약비",$P963,0),$P963*(1-AG963)*IFERROR(INDEX(계정대체기준!$C$20:$C$49,MATCH($N963,계정대체기준!$A$20:$A$49,0)),0)))</f>
        <v/>
      </c>
      <c r="AA963" s="94">
        <f>IF($A963="",0,IF(AE963="직접",IF(OR(AF963="유지비",AF963="손해조사비"),$P963,0),$P963*(1-AG963)*IFERROR(INDEX(계정대체기준!$D$20:$D$49,MATCH($N963,계정대체기준!$A$20:$A$49,0)),0)))</f>
        <v/>
      </c>
      <c r="AB963" s="94">
        <f>IF($A963="",0,IF(AE963="직접",IF(AF963="수금비",$P963,0),$P963*(1-AG963)*IFERROR(INDEX(계정대체기준!$E$20:$E$49,MATCH($N963,계정대체기준!$A$20:$A$49,0)),0)))</f>
        <v/>
      </c>
      <c r="AC963" s="9">
        <f>IF(AND($A963&lt;&gt;"",M963=설정!$C$20,Z963&gt;0),Z963+ROW()/1000000000,"")</f>
        <v/>
      </c>
      <c r="AD963" s="94">
        <f>IF($A963="",0,$P963*AG963)</f>
        <v/>
      </c>
      <c r="AE963" s="64">
        <f>IF($A963="","",IFERROR(INDEX(계정매핑!$E$5:$E$504,MATCH($F963&amp;"",계정매핑!$A$5:$A$504,0))&amp;"","공통비"))</f>
        <v/>
      </c>
      <c r="AF963" s="64">
        <f>IF($A963="","",IF(AE963="직접",IFERROR(INDEX(계정매핑!$F$5:$F$504,MATCH($F963&amp;"",계정매핑!$A$5:$A$504,0))&amp;"","비귀속"),""))</f>
        <v/>
      </c>
      <c r="AG963" s="96">
        <f>IF($A963="",0,IF(AND(AE963&lt;&gt;"직접",IFERROR(INDEX(계정매핑!$G$5:$G$504,MATCH($F963&amp;"",계정매핑!$A$5:$A$504,0))&amp;"","")="유지비",COUNTIF(계정대체기준!$A$6:$A$15,$N963)&gt;0),IFERROR(INDEX(계정대체기준!$E$6:$E$15,MATCH(VALUE($A963&amp;""),계정대체기준!$D$6:$D$15,0)),0),0))</f>
        <v/>
      </c>
      <c r="AH963" s="64">
        <f>IF($A963="","",IF(AD963=0,"",IF(OR(COUNTIF(계정대체기준!$A$77:$A$86,$N963)&gt;0,ISNUMBER(MATCH($X963,계정대체기준!$D$77:$D$86,0)),ISNUMBER(MATCH($F963,계정대체기준!$D$77:$D$86,0))),"Y","N")))</f>
        <v/>
      </c>
    </row>
    <row r="964">
      <c r="A964" s="92" t="n">
        <v>2025</v>
      </c>
      <c r="B964" s="92" t="n">
        <v>5</v>
      </c>
      <c r="C964" s="92" t="inlineStr">
        <is>
          <t>5100000960</t>
        </is>
      </c>
      <c r="D964" s="95" t="n">
        <v>45784</v>
      </c>
      <c r="E964" s="92" t="inlineStr">
        <is>
          <t>KR</t>
        </is>
      </c>
      <c r="F964" s="92" t="n">
        <v>62301000</v>
      </c>
      <c r="G964" s="92" t="n">
        <v>1401</v>
      </c>
      <c r="H964" s="93" t="n">
        <v>153000</v>
      </c>
      <c r="I964" s="92" t="inlineStr">
        <is>
          <t>5월 소모품 구입 - R문구</t>
        </is>
      </c>
      <c r="J964" s="92" t="inlineStr">
        <is>
          <t>V10022</t>
        </is>
      </c>
      <c r="K964" s="92" t="inlineStr">
        <is>
          <t>R문구</t>
        </is>
      </c>
      <c r="M964" s="9">
        <f>IF($A964="","",VALUE($A964&amp;"")*12+VALUE($B964&amp;""))</f>
        <v/>
      </c>
      <c r="N964" s="64">
        <f>IF($A964="","",IFERROR(INDEX(부서매핑!$C$5:$C$504,MATCH($G964&amp;"",부서매핑!$A$5:$A$504,0)),"미매핑"))</f>
        <v/>
      </c>
      <c r="O964" s="9">
        <f>IF($A964="","",N964&amp;"|"&amp;$F964)</f>
        <v/>
      </c>
      <c r="P964" s="94">
        <f>IF($A964="",0,$H964*설정!$C$23)</f>
        <v/>
      </c>
      <c r="Q964" s="64">
        <f>IF($A964="","",IF(O964&lt;&gt;원인분석!$C$9,"",IF(AND(M964&gt;=원인분석!$C$10,M964&lt;=원인분석!$C$11),"당기",IF(AND(M964&gt;=원인분석!$C$12,M964&lt;=원인분석!$C$13),"비교",""))))</f>
        <v/>
      </c>
      <c r="R964" s="9">
        <f>IF(Q964="","",$K964&amp;"")</f>
        <v/>
      </c>
      <c r="S964" s="9">
        <f>IF(Q964="","",IF(MATCH(R964,$R$5:$R$100000,0)=ROW()-4,ROW(),""))</f>
        <v/>
      </c>
      <c r="T964" s="9">
        <f>IF(Q964="당기",ABS(P964)+ROW()/1000000000,"")</f>
        <v/>
      </c>
      <c r="U964" s="9">
        <f>IF(Q964="비교",ABS(P964)+ROW()/1000000000,"")</f>
        <v/>
      </c>
      <c r="V964" s="64">
        <f>IF($A964="","",IF(COUNTIF(변동분석!$E$7:$E$506,O964)&gt;0,"Y","N"))</f>
        <v/>
      </c>
      <c r="W964" s="64">
        <f>IF($A964="","",IFERROR(INDEX(계정매핑!$D$5:$D$504,MATCH($F964&amp;"",계정매핑!$A$5:$A$504,0)),"미매핑"))</f>
        <v/>
      </c>
      <c r="X964" s="9">
        <f>IF($A964="","",$F964&amp;"")</f>
        <v/>
      </c>
      <c r="Y964" s="94">
        <f>IF($A964="",0,IF(AE964="직접",IF(AF964="비귀속",$P964,0),$P964*(1-AG964)*IFERROR(INDEX(계정대체기준!$F$20:$F$49,MATCH($N964,계정대체기준!$A$20:$A$49,0)),1)))</f>
        <v/>
      </c>
      <c r="Z964" s="94">
        <f>IF($A964="",0,IF(AE964="직접",IF(AF964="신계약비",$P964,0),$P964*(1-AG964)*IFERROR(INDEX(계정대체기준!$C$20:$C$49,MATCH($N964,계정대체기준!$A$20:$A$49,0)),0)))</f>
        <v/>
      </c>
      <c r="AA964" s="94">
        <f>IF($A964="",0,IF(AE964="직접",IF(OR(AF964="유지비",AF964="손해조사비"),$P964,0),$P964*(1-AG964)*IFERROR(INDEX(계정대체기준!$D$20:$D$49,MATCH($N964,계정대체기준!$A$20:$A$49,0)),0)))</f>
        <v/>
      </c>
      <c r="AB964" s="94">
        <f>IF($A964="",0,IF(AE964="직접",IF(AF964="수금비",$P964,0),$P964*(1-AG964)*IFERROR(INDEX(계정대체기준!$E$20:$E$49,MATCH($N964,계정대체기준!$A$20:$A$49,0)),0)))</f>
        <v/>
      </c>
      <c r="AC964" s="9">
        <f>IF(AND($A964&lt;&gt;"",M964=설정!$C$20,Z964&gt;0),Z964+ROW()/1000000000,"")</f>
        <v/>
      </c>
      <c r="AD964" s="94">
        <f>IF($A964="",0,$P964*AG964)</f>
        <v/>
      </c>
      <c r="AE964" s="64">
        <f>IF($A964="","",IFERROR(INDEX(계정매핑!$E$5:$E$504,MATCH($F964&amp;"",계정매핑!$A$5:$A$504,0))&amp;"","공통비"))</f>
        <v/>
      </c>
      <c r="AF964" s="64">
        <f>IF($A964="","",IF(AE964="직접",IFERROR(INDEX(계정매핑!$F$5:$F$504,MATCH($F964&amp;"",계정매핑!$A$5:$A$504,0))&amp;"","비귀속"),""))</f>
        <v/>
      </c>
      <c r="AG964" s="96">
        <f>IF($A964="",0,IF(AND(AE964&lt;&gt;"직접",IFERROR(INDEX(계정매핑!$G$5:$G$504,MATCH($F964&amp;"",계정매핑!$A$5:$A$504,0))&amp;"","")="유지비",COUNTIF(계정대체기준!$A$6:$A$15,$N964)&gt;0),IFERROR(INDEX(계정대체기준!$E$6:$E$15,MATCH(VALUE($A964&amp;""),계정대체기준!$D$6:$D$15,0)),0),0))</f>
        <v/>
      </c>
      <c r="AH964" s="64">
        <f>IF($A964="","",IF(AD964=0,"",IF(OR(COUNTIF(계정대체기준!$A$77:$A$86,$N964)&gt;0,ISNUMBER(MATCH($X964,계정대체기준!$D$77:$D$86,0)),ISNUMBER(MATCH($F964,계정대체기준!$D$77:$D$86,0))),"Y","N")))</f>
        <v/>
      </c>
    </row>
    <row r="965">
      <c r="A965" s="92" t="n">
        <v>2025</v>
      </c>
      <c r="B965" s="92" t="n">
        <v>5</v>
      </c>
      <c r="C965" s="92" t="inlineStr">
        <is>
          <t>5100000961</t>
        </is>
      </c>
      <c r="D965" s="95" t="n">
        <v>45784</v>
      </c>
      <c r="E965" s="92" t="inlineStr">
        <is>
          <t>KR</t>
        </is>
      </c>
      <c r="F965" s="92" t="n">
        <v>62501000</v>
      </c>
      <c r="G965" s="92" t="n">
        <v>1502</v>
      </c>
      <c r="H965" s="93" t="n">
        <v>438000</v>
      </c>
      <c r="I965" s="92" t="inlineStr">
        <is>
          <t>5월 회의 다과 - T케이터링</t>
        </is>
      </c>
      <c r="J965" s="92" t="inlineStr">
        <is>
          <t>V10005</t>
        </is>
      </c>
      <c r="K965" s="92" t="inlineStr">
        <is>
          <t>T케이터링</t>
        </is>
      </c>
      <c r="M965" s="9">
        <f>IF($A965="","",VALUE($A965&amp;"")*12+VALUE($B965&amp;""))</f>
        <v/>
      </c>
      <c r="N965" s="64">
        <f>IF($A965="","",IFERROR(INDEX(부서매핑!$C$5:$C$504,MATCH($G965&amp;"",부서매핑!$A$5:$A$504,0)),"미매핑"))</f>
        <v/>
      </c>
      <c r="O965" s="9">
        <f>IF($A965="","",N965&amp;"|"&amp;$F965)</f>
        <v/>
      </c>
      <c r="P965" s="94">
        <f>IF($A965="",0,$H965*설정!$C$23)</f>
        <v/>
      </c>
      <c r="Q965" s="64">
        <f>IF($A965="","",IF(O965&lt;&gt;원인분석!$C$9,"",IF(AND(M965&gt;=원인분석!$C$10,M965&lt;=원인분석!$C$11),"당기",IF(AND(M965&gt;=원인분석!$C$12,M965&lt;=원인분석!$C$13),"비교",""))))</f>
        <v/>
      </c>
      <c r="R965" s="9">
        <f>IF(Q965="","",$K965&amp;"")</f>
        <v/>
      </c>
      <c r="S965" s="9">
        <f>IF(Q965="","",IF(MATCH(R965,$R$5:$R$100000,0)=ROW()-4,ROW(),""))</f>
        <v/>
      </c>
      <c r="T965" s="9">
        <f>IF(Q965="당기",ABS(P965)+ROW()/1000000000,"")</f>
        <v/>
      </c>
      <c r="U965" s="9">
        <f>IF(Q965="비교",ABS(P965)+ROW()/1000000000,"")</f>
        <v/>
      </c>
      <c r="V965" s="64">
        <f>IF($A965="","",IF(COUNTIF(변동분석!$E$7:$E$506,O965)&gt;0,"Y","N"))</f>
        <v/>
      </c>
      <c r="W965" s="64">
        <f>IF($A965="","",IFERROR(INDEX(계정매핑!$D$5:$D$504,MATCH($F965&amp;"",계정매핑!$A$5:$A$504,0)),"미매핑"))</f>
        <v/>
      </c>
      <c r="X965" s="9">
        <f>IF($A965="","",$F965&amp;"")</f>
        <v/>
      </c>
      <c r="Y965" s="94">
        <f>IF($A965="",0,IF(AE965="직접",IF(AF965="비귀속",$P965,0),$P965*(1-AG965)*IFERROR(INDEX(계정대체기준!$F$20:$F$49,MATCH($N965,계정대체기준!$A$20:$A$49,0)),1)))</f>
        <v/>
      </c>
      <c r="Z965" s="94">
        <f>IF($A965="",0,IF(AE965="직접",IF(AF965="신계약비",$P965,0),$P965*(1-AG965)*IFERROR(INDEX(계정대체기준!$C$20:$C$49,MATCH($N965,계정대체기준!$A$20:$A$49,0)),0)))</f>
        <v/>
      </c>
      <c r="AA965" s="94">
        <f>IF($A965="",0,IF(AE965="직접",IF(OR(AF965="유지비",AF965="손해조사비"),$P965,0),$P965*(1-AG965)*IFERROR(INDEX(계정대체기준!$D$20:$D$49,MATCH($N965,계정대체기준!$A$20:$A$49,0)),0)))</f>
        <v/>
      </c>
      <c r="AB965" s="94">
        <f>IF($A965="",0,IF(AE965="직접",IF(AF965="수금비",$P965,0),$P965*(1-AG965)*IFERROR(INDEX(계정대체기준!$E$20:$E$49,MATCH($N965,계정대체기준!$A$20:$A$49,0)),0)))</f>
        <v/>
      </c>
      <c r="AC965" s="9">
        <f>IF(AND($A965&lt;&gt;"",M965=설정!$C$20,Z965&gt;0),Z965+ROW()/1000000000,"")</f>
        <v/>
      </c>
      <c r="AD965" s="94">
        <f>IF($A965="",0,$P965*AG965)</f>
        <v/>
      </c>
      <c r="AE965" s="64">
        <f>IF($A965="","",IFERROR(INDEX(계정매핑!$E$5:$E$504,MATCH($F965&amp;"",계정매핑!$A$5:$A$504,0))&amp;"","공통비"))</f>
        <v/>
      </c>
      <c r="AF965" s="64">
        <f>IF($A965="","",IF(AE965="직접",IFERROR(INDEX(계정매핑!$F$5:$F$504,MATCH($F965&amp;"",계정매핑!$A$5:$A$504,0))&amp;"","비귀속"),""))</f>
        <v/>
      </c>
      <c r="AG965" s="96">
        <f>IF($A965="",0,IF(AND(AE965&lt;&gt;"직접",IFERROR(INDEX(계정매핑!$G$5:$G$504,MATCH($F965&amp;"",계정매핑!$A$5:$A$504,0))&amp;"","")="유지비",COUNTIF(계정대체기준!$A$6:$A$15,$N965)&gt;0),IFERROR(INDEX(계정대체기준!$E$6:$E$15,MATCH(VALUE($A965&amp;""),계정대체기준!$D$6:$D$15,0)),0),0))</f>
        <v/>
      </c>
      <c r="AH965" s="64">
        <f>IF($A965="","",IF(AD965=0,"",IF(OR(COUNTIF(계정대체기준!$A$77:$A$86,$N965)&gt;0,ISNUMBER(MATCH($X965,계정대체기준!$D$77:$D$86,0)),ISNUMBER(MATCH($F965,계정대체기준!$D$77:$D$86,0))),"Y","N")))</f>
        <v/>
      </c>
    </row>
    <row r="966">
      <c r="A966" s="92" t="n">
        <v>2025</v>
      </c>
      <c r="B966" s="92" t="n">
        <v>5</v>
      </c>
      <c r="C966" s="92" t="inlineStr">
        <is>
          <t>5100000962</t>
        </is>
      </c>
      <c r="D966" s="95" t="n">
        <v>45784</v>
      </c>
      <c r="E966" s="92" t="inlineStr">
        <is>
          <t>KR</t>
        </is>
      </c>
      <c r="F966" s="92" t="n">
        <v>62501000</v>
      </c>
      <c r="G966" s="92" t="n">
        <v>1801</v>
      </c>
      <c r="H966" s="93" t="n">
        <v>99000</v>
      </c>
      <c r="I966" s="92" t="inlineStr">
        <is>
          <t>5월 회의 다과 - T케이터링</t>
        </is>
      </c>
      <c r="J966" s="92" t="inlineStr">
        <is>
          <t>V10005</t>
        </is>
      </c>
      <c r="K966" s="92" t="inlineStr">
        <is>
          <t>T케이터링</t>
        </is>
      </c>
      <c r="M966" s="9">
        <f>IF($A966="","",VALUE($A966&amp;"")*12+VALUE($B966&amp;""))</f>
        <v/>
      </c>
      <c r="N966" s="64">
        <f>IF($A966="","",IFERROR(INDEX(부서매핑!$C$5:$C$504,MATCH($G966&amp;"",부서매핑!$A$5:$A$504,0)),"미매핑"))</f>
        <v/>
      </c>
      <c r="O966" s="9">
        <f>IF($A966="","",N966&amp;"|"&amp;$F966)</f>
        <v/>
      </c>
      <c r="P966" s="94">
        <f>IF($A966="",0,$H966*설정!$C$23)</f>
        <v/>
      </c>
      <c r="Q966" s="64">
        <f>IF($A966="","",IF(O966&lt;&gt;원인분석!$C$9,"",IF(AND(M966&gt;=원인분석!$C$10,M966&lt;=원인분석!$C$11),"당기",IF(AND(M966&gt;=원인분석!$C$12,M966&lt;=원인분석!$C$13),"비교",""))))</f>
        <v/>
      </c>
      <c r="R966" s="9">
        <f>IF(Q966="","",$K966&amp;"")</f>
        <v/>
      </c>
      <c r="S966" s="9">
        <f>IF(Q966="","",IF(MATCH(R966,$R$5:$R$100000,0)=ROW()-4,ROW(),""))</f>
        <v/>
      </c>
      <c r="T966" s="9">
        <f>IF(Q966="당기",ABS(P966)+ROW()/1000000000,"")</f>
        <v/>
      </c>
      <c r="U966" s="9">
        <f>IF(Q966="비교",ABS(P966)+ROW()/1000000000,"")</f>
        <v/>
      </c>
      <c r="V966" s="64">
        <f>IF($A966="","",IF(COUNTIF(변동분석!$E$7:$E$506,O966)&gt;0,"Y","N"))</f>
        <v/>
      </c>
      <c r="W966" s="64">
        <f>IF($A966="","",IFERROR(INDEX(계정매핑!$D$5:$D$504,MATCH($F966&amp;"",계정매핑!$A$5:$A$504,0)),"미매핑"))</f>
        <v/>
      </c>
      <c r="X966" s="9">
        <f>IF($A966="","",$F966&amp;"")</f>
        <v/>
      </c>
      <c r="Y966" s="94">
        <f>IF($A966="",0,IF(AE966="직접",IF(AF966="비귀속",$P966,0),$P966*(1-AG966)*IFERROR(INDEX(계정대체기준!$F$20:$F$49,MATCH($N966,계정대체기준!$A$20:$A$49,0)),1)))</f>
        <v/>
      </c>
      <c r="Z966" s="94">
        <f>IF($A966="",0,IF(AE966="직접",IF(AF966="신계약비",$P966,0),$P966*(1-AG966)*IFERROR(INDEX(계정대체기준!$C$20:$C$49,MATCH($N966,계정대체기준!$A$20:$A$49,0)),0)))</f>
        <v/>
      </c>
      <c r="AA966" s="94">
        <f>IF($A966="",0,IF(AE966="직접",IF(OR(AF966="유지비",AF966="손해조사비"),$P966,0),$P966*(1-AG966)*IFERROR(INDEX(계정대체기준!$D$20:$D$49,MATCH($N966,계정대체기준!$A$20:$A$49,0)),0)))</f>
        <v/>
      </c>
      <c r="AB966" s="94">
        <f>IF($A966="",0,IF(AE966="직접",IF(AF966="수금비",$P966,0),$P966*(1-AG966)*IFERROR(INDEX(계정대체기준!$E$20:$E$49,MATCH($N966,계정대체기준!$A$20:$A$49,0)),0)))</f>
        <v/>
      </c>
      <c r="AC966" s="9">
        <f>IF(AND($A966&lt;&gt;"",M966=설정!$C$20,Z966&gt;0),Z966+ROW()/1000000000,"")</f>
        <v/>
      </c>
      <c r="AD966" s="94">
        <f>IF($A966="",0,$P966*AG966)</f>
        <v/>
      </c>
      <c r="AE966" s="64">
        <f>IF($A966="","",IFERROR(INDEX(계정매핑!$E$5:$E$504,MATCH($F966&amp;"",계정매핑!$A$5:$A$504,0))&amp;"","공통비"))</f>
        <v/>
      </c>
      <c r="AF966" s="64">
        <f>IF($A966="","",IF(AE966="직접",IFERROR(INDEX(계정매핑!$F$5:$F$504,MATCH($F966&amp;"",계정매핑!$A$5:$A$504,0))&amp;"","비귀속"),""))</f>
        <v/>
      </c>
      <c r="AG966" s="96">
        <f>IF($A966="",0,IF(AND(AE966&lt;&gt;"직접",IFERROR(INDEX(계정매핑!$G$5:$G$504,MATCH($F966&amp;"",계정매핑!$A$5:$A$504,0))&amp;"","")="유지비",COUNTIF(계정대체기준!$A$6:$A$15,$N966)&gt;0),IFERROR(INDEX(계정대체기준!$E$6:$E$15,MATCH(VALUE($A966&amp;""),계정대체기준!$D$6:$D$15,0)),0),0))</f>
        <v/>
      </c>
      <c r="AH966" s="64">
        <f>IF($A966="","",IF(AD966=0,"",IF(OR(COUNTIF(계정대체기준!$A$77:$A$86,$N966)&gt;0,ISNUMBER(MATCH($X966,계정대체기준!$D$77:$D$86,0)),ISNUMBER(MATCH($F966,계정대체기준!$D$77:$D$86,0))),"Y","N")))</f>
        <v/>
      </c>
    </row>
    <row r="967">
      <c r="A967" s="92" t="n">
        <v>2025</v>
      </c>
      <c r="B967" s="92" t="n">
        <v>5</v>
      </c>
      <c r="C967" s="92" t="inlineStr">
        <is>
          <t>5100000963</t>
        </is>
      </c>
      <c r="D967" s="95" t="n">
        <v>45784</v>
      </c>
      <c r="E967" s="92" t="inlineStr">
        <is>
          <t>KR</t>
        </is>
      </c>
      <c r="F967" s="92" t="n">
        <v>62601000</v>
      </c>
      <c r="G967" s="92" t="n">
        <v>1301</v>
      </c>
      <c r="H967" s="93" t="n">
        <v>1655000</v>
      </c>
      <c r="I967" s="92" t="inlineStr">
        <is>
          <t>5월 업무추진 - (법인카드)</t>
        </is>
      </c>
      <c r="J967" s="92" t="inlineStr">
        <is>
          <t>V10010</t>
        </is>
      </c>
      <c r="K967" s="92" t="inlineStr">
        <is>
          <t>(법인카드)</t>
        </is>
      </c>
      <c r="M967" s="9">
        <f>IF($A967="","",VALUE($A967&amp;"")*12+VALUE($B967&amp;""))</f>
        <v/>
      </c>
      <c r="N967" s="64">
        <f>IF($A967="","",IFERROR(INDEX(부서매핑!$C$5:$C$504,MATCH($G967&amp;"",부서매핑!$A$5:$A$504,0)),"미매핑"))</f>
        <v/>
      </c>
      <c r="O967" s="9">
        <f>IF($A967="","",N967&amp;"|"&amp;$F967)</f>
        <v/>
      </c>
      <c r="P967" s="94">
        <f>IF($A967="",0,$H967*설정!$C$23)</f>
        <v/>
      </c>
      <c r="Q967" s="64">
        <f>IF($A967="","",IF(O967&lt;&gt;원인분석!$C$9,"",IF(AND(M967&gt;=원인분석!$C$10,M967&lt;=원인분석!$C$11),"당기",IF(AND(M967&gt;=원인분석!$C$12,M967&lt;=원인분석!$C$13),"비교",""))))</f>
        <v/>
      </c>
      <c r="R967" s="9">
        <f>IF(Q967="","",$K967&amp;"")</f>
        <v/>
      </c>
      <c r="S967" s="9">
        <f>IF(Q967="","",IF(MATCH(R967,$R$5:$R$100000,0)=ROW()-4,ROW(),""))</f>
        <v/>
      </c>
      <c r="T967" s="9">
        <f>IF(Q967="당기",ABS(P967)+ROW()/1000000000,"")</f>
        <v/>
      </c>
      <c r="U967" s="9">
        <f>IF(Q967="비교",ABS(P967)+ROW()/1000000000,"")</f>
        <v/>
      </c>
      <c r="V967" s="64">
        <f>IF($A967="","",IF(COUNTIF(변동분석!$E$7:$E$506,O967)&gt;0,"Y","N"))</f>
        <v/>
      </c>
      <c r="W967" s="64">
        <f>IF($A967="","",IFERROR(INDEX(계정매핑!$D$5:$D$504,MATCH($F967&amp;"",계정매핑!$A$5:$A$504,0)),"미매핑"))</f>
        <v/>
      </c>
      <c r="X967" s="9">
        <f>IF($A967="","",$F967&amp;"")</f>
        <v/>
      </c>
      <c r="Y967" s="94">
        <f>IF($A967="",0,IF(AE967="직접",IF(AF967="비귀속",$P967,0),$P967*(1-AG967)*IFERROR(INDEX(계정대체기준!$F$20:$F$49,MATCH($N967,계정대체기준!$A$20:$A$49,0)),1)))</f>
        <v/>
      </c>
      <c r="Z967" s="94">
        <f>IF($A967="",0,IF(AE967="직접",IF(AF967="신계약비",$P967,0),$P967*(1-AG967)*IFERROR(INDEX(계정대체기준!$C$20:$C$49,MATCH($N967,계정대체기준!$A$20:$A$49,0)),0)))</f>
        <v/>
      </c>
      <c r="AA967" s="94">
        <f>IF($A967="",0,IF(AE967="직접",IF(OR(AF967="유지비",AF967="손해조사비"),$P967,0),$P967*(1-AG967)*IFERROR(INDEX(계정대체기준!$D$20:$D$49,MATCH($N967,계정대체기준!$A$20:$A$49,0)),0)))</f>
        <v/>
      </c>
      <c r="AB967" s="94">
        <f>IF($A967="",0,IF(AE967="직접",IF(AF967="수금비",$P967,0),$P967*(1-AG967)*IFERROR(INDEX(계정대체기준!$E$20:$E$49,MATCH($N967,계정대체기준!$A$20:$A$49,0)),0)))</f>
        <v/>
      </c>
      <c r="AC967" s="9">
        <f>IF(AND($A967&lt;&gt;"",M967=설정!$C$20,Z967&gt;0),Z967+ROW()/1000000000,"")</f>
        <v/>
      </c>
      <c r="AD967" s="94">
        <f>IF($A967="",0,$P967*AG967)</f>
        <v/>
      </c>
      <c r="AE967" s="64">
        <f>IF($A967="","",IFERROR(INDEX(계정매핑!$E$5:$E$504,MATCH($F967&amp;"",계정매핑!$A$5:$A$504,0))&amp;"","공통비"))</f>
        <v/>
      </c>
      <c r="AF967" s="64">
        <f>IF($A967="","",IF(AE967="직접",IFERROR(INDEX(계정매핑!$F$5:$F$504,MATCH($F967&amp;"",계정매핑!$A$5:$A$504,0))&amp;"","비귀속"),""))</f>
        <v/>
      </c>
      <c r="AG967" s="96">
        <f>IF($A967="",0,IF(AND(AE967&lt;&gt;"직접",IFERROR(INDEX(계정매핑!$G$5:$G$504,MATCH($F967&amp;"",계정매핑!$A$5:$A$504,0))&amp;"","")="유지비",COUNTIF(계정대체기준!$A$6:$A$15,$N967)&gt;0),IFERROR(INDEX(계정대체기준!$E$6:$E$15,MATCH(VALUE($A967&amp;""),계정대체기준!$D$6:$D$15,0)),0),0))</f>
        <v/>
      </c>
      <c r="AH967" s="64">
        <f>IF($A967="","",IF(AD967=0,"",IF(OR(COUNTIF(계정대체기준!$A$77:$A$86,$N967)&gt;0,ISNUMBER(MATCH($X967,계정대체기준!$D$77:$D$86,0)),ISNUMBER(MATCH($F967,계정대체기준!$D$77:$D$86,0))),"Y","N")))</f>
        <v/>
      </c>
    </row>
    <row r="968">
      <c r="A968" s="92" t="n">
        <v>2025</v>
      </c>
      <c r="B968" s="92" t="n">
        <v>5</v>
      </c>
      <c r="C968" s="92" t="inlineStr">
        <is>
          <t>5100000964</t>
        </is>
      </c>
      <c r="D968" s="95" t="n">
        <v>45784</v>
      </c>
      <c r="E968" s="92" t="inlineStr">
        <is>
          <t>KR</t>
        </is>
      </c>
      <c r="F968" s="92" t="n">
        <v>62701000</v>
      </c>
      <c r="G968" s="92" t="n">
        <v>1502</v>
      </c>
      <c r="H968" s="93" t="n">
        <v>27660000</v>
      </c>
      <c r="I968" s="92" t="inlineStr">
        <is>
          <t>5월 광고 집행 - E미디어</t>
        </is>
      </c>
      <c r="J968" s="92" t="inlineStr">
        <is>
          <t>V10033</t>
        </is>
      </c>
      <c r="K968" s="92" t="inlineStr">
        <is>
          <t>E미디어</t>
        </is>
      </c>
      <c r="M968" s="9">
        <f>IF($A968="","",VALUE($A968&amp;"")*12+VALUE($B968&amp;""))</f>
        <v/>
      </c>
      <c r="N968" s="64">
        <f>IF($A968="","",IFERROR(INDEX(부서매핑!$C$5:$C$504,MATCH($G968&amp;"",부서매핑!$A$5:$A$504,0)),"미매핑"))</f>
        <v/>
      </c>
      <c r="O968" s="9">
        <f>IF($A968="","",N968&amp;"|"&amp;$F968)</f>
        <v/>
      </c>
      <c r="P968" s="94">
        <f>IF($A968="",0,$H968*설정!$C$23)</f>
        <v/>
      </c>
      <c r="Q968" s="64">
        <f>IF($A968="","",IF(O968&lt;&gt;원인분석!$C$9,"",IF(AND(M968&gt;=원인분석!$C$10,M968&lt;=원인분석!$C$11),"당기",IF(AND(M968&gt;=원인분석!$C$12,M968&lt;=원인분석!$C$13),"비교",""))))</f>
        <v/>
      </c>
      <c r="R968" s="9">
        <f>IF(Q968="","",$K968&amp;"")</f>
        <v/>
      </c>
      <c r="S968" s="9">
        <f>IF(Q968="","",IF(MATCH(R968,$R$5:$R$100000,0)=ROW()-4,ROW(),""))</f>
        <v/>
      </c>
      <c r="T968" s="9">
        <f>IF(Q968="당기",ABS(P968)+ROW()/1000000000,"")</f>
        <v/>
      </c>
      <c r="U968" s="9">
        <f>IF(Q968="비교",ABS(P968)+ROW()/1000000000,"")</f>
        <v/>
      </c>
      <c r="V968" s="64">
        <f>IF($A968="","",IF(COUNTIF(변동분석!$E$7:$E$506,O968)&gt;0,"Y","N"))</f>
        <v/>
      </c>
      <c r="W968" s="64">
        <f>IF($A968="","",IFERROR(INDEX(계정매핑!$D$5:$D$504,MATCH($F968&amp;"",계정매핑!$A$5:$A$504,0)),"미매핑"))</f>
        <v/>
      </c>
      <c r="X968" s="9">
        <f>IF($A968="","",$F968&amp;"")</f>
        <v/>
      </c>
      <c r="Y968" s="94">
        <f>IF($A968="",0,IF(AE968="직접",IF(AF968="비귀속",$P968,0),$P968*(1-AG968)*IFERROR(INDEX(계정대체기준!$F$20:$F$49,MATCH($N968,계정대체기준!$A$20:$A$49,0)),1)))</f>
        <v/>
      </c>
      <c r="Z968" s="94">
        <f>IF($A968="",0,IF(AE968="직접",IF(AF968="신계약비",$P968,0),$P968*(1-AG968)*IFERROR(INDEX(계정대체기준!$C$20:$C$49,MATCH($N968,계정대체기준!$A$20:$A$49,0)),0)))</f>
        <v/>
      </c>
      <c r="AA968" s="94">
        <f>IF($A968="",0,IF(AE968="직접",IF(OR(AF968="유지비",AF968="손해조사비"),$P968,0),$P968*(1-AG968)*IFERROR(INDEX(계정대체기준!$D$20:$D$49,MATCH($N968,계정대체기준!$A$20:$A$49,0)),0)))</f>
        <v/>
      </c>
      <c r="AB968" s="94">
        <f>IF($A968="",0,IF(AE968="직접",IF(AF968="수금비",$P968,0),$P968*(1-AG968)*IFERROR(INDEX(계정대체기준!$E$20:$E$49,MATCH($N968,계정대체기준!$A$20:$A$49,0)),0)))</f>
        <v/>
      </c>
      <c r="AC968" s="9">
        <f>IF(AND($A968&lt;&gt;"",M968=설정!$C$20,Z968&gt;0),Z968+ROW()/1000000000,"")</f>
        <v/>
      </c>
      <c r="AD968" s="94">
        <f>IF($A968="",0,$P968*AG968)</f>
        <v/>
      </c>
      <c r="AE968" s="64">
        <f>IF($A968="","",IFERROR(INDEX(계정매핑!$E$5:$E$504,MATCH($F968&amp;"",계정매핑!$A$5:$A$504,0))&amp;"","공통비"))</f>
        <v/>
      </c>
      <c r="AF968" s="64">
        <f>IF($A968="","",IF(AE968="직접",IFERROR(INDEX(계정매핑!$F$5:$F$504,MATCH($F968&amp;"",계정매핑!$A$5:$A$504,0))&amp;"","비귀속"),""))</f>
        <v/>
      </c>
      <c r="AG968" s="96">
        <f>IF($A968="",0,IF(AND(AE968&lt;&gt;"직접",IFERROR(INDEX(계정매핑!$G$5:$G$504,MATCH($F968&amp;"",계정매핑!$A$5:$A$504,0))&amp;"","")="유지비",COUNTIF(계정대체기준!$A$6:$A$15,$N968)&gt;0),IFERROR(INDEX(계정대체기준!$E$6:$E$15,MATCH(VALUE($A968&amp;""),계정대체기준!$D$6:$D$15,0)),0),0))</f>
        <v/>
      </c>
      <c r="AH968" s="64">
        <f>IF($A968="","",IF(AD968=0,"",IF(OR(COUNTIF(계정대체기준!$A$77:$A$86,$N968)&gt;0,ISNUMBER(MATCH($X968,계정대체기준!$D$77:$D$86,0)),ISNUMBER(MATCH($F968,계정대체기준!$D$77:$D$86,0))),"Y","N")))</f>
        <v/>
      </c>
    </row>
    <row r="969">
      <c r="A969" s="92" t="n">
        <v>2025</v>
      </c>
      <c r="B969" s="92" t="n">
        <v>5</v>
      </c>
      <c r="C969" s="92" t="inlineStr">
        <is>
          <t>5100000965</t>
        </is>
      </c>
      <c r="D969" s="95" t="n">
        <v>45784</v>
      </c>
      <c r="E969" s="92" t="inlineStr">
        <is>
          <t>KR</t>
        </is>
      </c>
      <c r="F969" s="92" t="n">
        <v>62802000</v>
      </c>
      <c r="G969" s="92" t="n">
        <v>1301</v>
      </c>
      <c r="H969" s="93" t="n">
        <v>6419000</v>
      </c>
      <c r="I969" s="92" t="inlineStr">
        <is>
          <t>5월 위탁교육 - I교육원</t>
        </is>
      </c>
      <c r="J969" s="92" t="inlineStr">
        <is>
          <t>V10019</t>
        </is>
      </c>
      <c r="K969" s="92" t="inlineStr">
        <is>
          <t>I교육원</t>
        </is>
      </c>
      <c r="M969" s="9">
        <f>IF($A969="","",VALUE($A969&amp;"")*12+VALUE($B969&amp;""))</f>
        <v/>
      </c>
      <c r="N969" s="64">
        <f>IF($A969="","",IFERROR(INDEX(부서매핑!$C$5:$C$504,MATCH($G969&amp;"",부서매핑!$A$5:$A$504,0)),"미매핑"))</f>
        <v/>
      </c>
      <c r="O969" s="9">
        <f>IF($A969="","",N969&amp;"|"&amp;$F969)</f>
        <v/>
      </c>
      <c r="P969" s="94">
        <f>IF($A969="",0,$H969*설정!$C$23)</f>
        <v/>
      </c>
      <c r="Q969" s="64">
        <f>IF($A969="","",IF(O969&lt;&gt;원인분석!$C$9,"",IF(AND(M969&gt;=원인분석!$C$10,M969&lt;=원인분석!$C$11),"당기",IF(AND(M969&gt;=원인분석!$C$12,M969&lt;=원인분석!$C$13),"비교",""))))</f>
        <v/>
      </c>
      <c r="R969" s="9">
        <f>IF(Q969="","",$K969&amp;"")</f>
        <v/>
      </c>
      <c r="S969" s="9">
        <f>IF(Q969="","",IF(MATCH(R969,$R$5:$R$100000,0)=ROW()-4,ROW(),""))</f>
        <v/>
      </c>
      <c r="T969" s="9">
        <f>IF(Q969="당기",ABS(P969)+ROW()/1000000000,"")</f>
        <v/>
      </c>
      <c r="U969" s="9">
        <f>IF(Q969="비교",ABS(P969)+ROW()/1000000000,"")</f>
        <v/>
      </c>
      <c r="V969" s="64">
        <f>IF($A969="","",IF(COUNTIF(변동분석!$E$7:$E$506,O969)&gt;0,"Y","N"))</f>
        <v/>
      </c>
      <c r="W969" s="64">
        <f>IF($A969="","",IFERROR(INDEX(계정매핑!$D$5:$D$504,MATCH($F969&amp;"",계정매핑!$A$5:$A$504,0)),"미매핑"))</f>
        <v/>
      </c>
      <c r="X969" s="9">
        <f>IF($A969="","",$F969&amp;"")</f>
        <v/>
      </c>
      <c r="Y969" s="94">
        <f>IF($A969="",0,IF(AE969="직접",IF(AF969="비귀속",$P969,0),$P969*(1-AG969)*IFERROR(INDEX(계정대체기준!$F$20:$F$49,MATCH($N969,계정대체기준!$A$20:$A$49,0)),1)))</f>
        <v/>
      </c>
      <c r="Z969" s="94">
        <f>IF($A969="",0,IF(AE969="직접",IF(AF969="신계약비",$P969,0),$P969*(1-AG969)*IFERROR(INDEX(계정대체기준!$C$20:$C$49,MATCH($N969,계정대체기준!$A$20:$A$49,0)),0)))</f>
        <v/>
      </c>
      <c r="AA969" s="94">
        <f>IF($A969="",0,IF(AE969="직접",IF(OR(AF969="유지비",AF969="손해조사비"),$P969,0),$P969*(1-AG969)*IFERROR(INDEX(계정대체기준!$D$20:$D$49,MATCH($N969,계정대체기준!$A$20:$A$49,0)),0)))</f>
        <v/>
      </c>
      <c r="AB969" s="94">
        <f>IF($A969="",0,IF(AE969="직접",IF(AF969="수금비",$P969,0),$P969*(1-AG969)*IFERROR(INDEX(계정대체기준!$E$20:$E$49,MATCH($N969,계정대체기준!$A$20:$A$49,0)),0)))</f>
        <v/>
      </c>
      <c r="AC969" s="9">
        <f>IF(AND($A969&lt;&gt;"",M969=설정!$C$20,Z969&gt;0),Z969+ROW()/1000000000,"")</f>
        <v/>
      </c>
      <c r="AD969" s="94">
        <f>IF($A969="",0,$P969*AG969)</f>
        <v/>
      </c>
      <c r="AE969" s="64">
        <f>IF($A969="","",IFERROR(INDEX(계정매핑!$E$5:$E$504,MATCH($F969&amp;"",계정매핑!$A$5:$A$504,0))&amp;"","공통비"))</f>
        <v/>
      </c>
      <c r="AF969" s="64">
        <f>IF($A969="","",IF(AE969="직접",IFERROR(INDEX(계정매핑!$F$5:$F$504,MATCH($F969&amp;"",계정매핑!$A$5:$A$504,0))&amp;"","비귀속"),""))</f>
        <v/>
      </c>
      <c r="AG969" s="96">
        <f>IF($A969="",0,IF(AND(AE969&lt;&gt;"직접",IFERROR(INDEX(계정매핑!$G$5:$G$504,MATCH($F969&amp;"",계정매핑!$A$5:$A$504,0))&amp;"","")="유지비",COUNTIF(계정대체기준!$A$6:$A$15,$N969)&gt;0),IFERROR(INDEX(계정대체기준!$E$6:$E$15,MATCH(VALUE($A969&amp;""),계정대체기준!$D$6:$D$15,0)),0),0))</f>
        <v/>
      </c>
      <c r="AH969" s="64">
        <f>IF($A969="","",IF(AD969=0,"",IF(OR(COUNTIF(계정대체기준!$A$77:$A$86,$N969)&gt;0,ISNUMBER(MATCH($X969,계정대체기준!$D$77:$D$86,0)),ISNUMBER(MATCH($F969,계정대체기준!$D$77:$D$86,0))),"Y","N")))</f>
        <v/>
      </c>
    </row>
    <row r="970">
      <c r="A970" s="92" t="n">
        <v>2025</v>
      </c>
      <c r="B970" s="92" t="n">
        <v>5</v>
      </c>
      <c r="C970" s="92" t="inlineStr">
        <is>
          <t>5100000966</t>
        </is>
      </c>
      <c r="D970" s="95" t="n">
        <v>45784</v>
      </c>
      <c r="E970" s="92" t="inlineStr">
        <is>
          <t>KR</t>
        </is>
      </c>
      <c r="F970" s="92" t="n">
        <v>62902000</v>
      </c>
      <c r="G970" s="92" t="n">
        <v>1801</v>
      </c>
      <c r="H970" s="93" t="n">
        <v>1775000</v>
      </c>
      <c r="I970" s="92" t="inlineStr">
        <is>
          <t>5월 콜 위탁 수수료(건별)</t>
        </is>
      </c>
      <c r="J970" s="92" t="inlineStr">
        <is>
          <t>V10016</t>
        </is>
      </c>
      <c r="K970" s="92" t="inlineStr">
        <is>
          <t>J콜센터</t>
        </is>
      </c>
      <c r="M970" s="9">
        <f>IF($A970="","",VALUE($A970&amp;"")*12+VALUE($B970&amp;""))</f>
        <v/>
      </c>
      <c r="N970" s="64">
        <f>IF($A970="","",IFERROR(INDEX(부서매핑!$C$5:$C$504,MATCH($G970&amp;"",부서매핑!$A$5:$A$504,0)),"미매핑"))</f>
        <v/>
      </c>
      <c r="O970" s="9">
        <f>IF($A970="","",N970&amp;"|"&amp;$F970)</f>
        <v/>
      </c>
      <c r="P970" s="94">
        <f>IF($A970="",0,$H970*설정!$C$23)</f>
        <v/>
      </c>
      <c r="Q970" s="64">
        <f>IF($A970="","",IF(O970&lt;&gt;원인분석!$C$9,"",IF(AND(M970&gt;=원인분석!$C$10,M970&lt;=원인분석!$C$11),"당기",IF(AND(M970&gt;=원인분석!$C$12,M970&lt;=원인분석!$C$13),"비교",""))))</f>
        <v/>
      </c>
      <c r="R970" s="9">
        <f>IF(Q970="","",$K970&amp;"")</f>
        <v/>
      </c>
      <c r="S970" s="9">
        <f>IF(Q970="","",IF(MATCH(R970,$R$5:$R$100000,0)=ROW()-4,ROW(),""))</f>
        <v/>
      </c>
      <c r="T970" s="9">
        <f>IF(Q970="당기",ABS(P970)+ROW()/1000000000,"")</f>
        <v/>
      </c>
      <c r="U970" s="9">
        <f>IF(Q970="비교",ABS(P970)+ROW()/1000000000,"")</f>
        <v/>
      </c>
      <c r="V970" s="64">
        <f>IF($A970="","",IF(COUNTIF(변동분석!$E$7:$E$506,O970)&gt;0,"Y","N"))</f>
        <v/>
      </c>
      <c r="W970" s="64">
        <f>IF($A970="","",IFERROR(INDEX(계정매핑!$D$5:$D$504,MATCH($F970&amp;"",계정매핑!$A$5:$A$504,0)),"미매핑"))</f>
        <v/>
      </c>
      <c r="X970" s="9">
        <f>IF($A970="","",$F970&amp;"")</f>
        <v/>
      </c>
      <c r="Y970" s="94">
        <f>IF($A970="",0,IF(AE970="직접",IF(AF970="비귀속",$P970,0),$P970*(1-AG970)*IFERROR(INDEX(계정대체기준!$F$20:$F$49,MATCH($N970,계정대체기준!$A$20:$A$49,0)),1)))</f>
        <v/>
      </c>
      <c r="Z970" s="94">
        <f>IF($A970="",0,IF(AE970="직접",IF(AF970="신계약비",$P970,0),$P970*(1-AG970)*IFERROR(INDEX(계정대체기준!$C$20:$C$49,MATCH($N970,계정대체기준!$A$20:$A$49,0)),0)))</f>
        <v/>
      </c>
      <c r="AA970" s="94">
        <f>IF($A970="",0,IF(AE970="직접",IF(OR(AF970="유지비",AF970="손해조사비"),$P970,0),$P970*(1-AG970)*IFERROR(INDEX(계정대체기준!$D$20:$D$49,MATCH($N970,계정대체기준!$A$20:$A$49,0)),0)))</f>
        <v/>
      </c>
      <c r="AB970" s="94">
        <f>IF($A970="",0,IF(AE970="직접",IF(AF970="수금비",$P970,0),$P970*(1-AG970)*IFERROR(INDEX(계정대체기준!$E$20:$E$49,MATCH($N970,계정대체기준!$A$20:$A$49,0)),0)))</f>
        <v/>
      </c>
      <c r="AC970" s="9">
        <f>IF(AND($A970&lt;&gt;"",M970=설정!$C$20,Z970&gt;0),Z970+ROW()/1000000000,"")</f>
        <v/>
      </c>
      <c r="AD970" s="94">
        <f>IF($A970="",0,$P970*AG970)</f>
        <v/>
      </c>
      <c r="AE970" s="64">
        <f>IF($A970="","",IFERROR(INDEX(계정매핑!$E$5:$E$504,MATCH($F970&amp;"",계정매핑!$A$5:$A$504,0))&amp;"","공통비"))</f>
        <v/>
      </c>
      <c r="AF970" s="64">
        <f>IF($A970="","",IF(AE970="직접",IFERROR(INDEX(계정매핑!$F$5:$F$504,MATCH($F970&amp;"",계정매핑!$A$5:$A$504,0))&amp;"","비귀속"),""))</f>
        <v/>
      </c>
      <c r="AG970" s="96">
        <f>IF($A970="",0,IF(AND(AE970&lt;&gt;"직접",IFERROR(INDEX(계정매핑!$G$5:$G$504,MATCH($F970&amp;"",계정매핑!$A$5:$A$504,0))&amp;"","")="유지비",COUNTIF(계정대체기준!$A$6:$A$15,$N970)&gt;0),IFERROR(INDEX(계정대체기준!$E$6:$E$15,MATCH(VALUE($A970&amp;""),계정대체기준!$D$6:$D$15,0)),0),0))</f>
        <v/>
      </c>
      <c r="AH970" s="64">
        <f>IF($A970="","",IF(AD970=0,"",IF(OR(COUNTIF(계정대체기준!$A$77:$A$86,$N970)&gt;0,ISNUMBER(MATCH($X970,계정대체기준!$D$77:$D$86,0)),ISNUMBER(MATCH($F970,계정대체기준!$D$77:$D$86,0))),"Y","N")))</f>
        <v/>
      </c>
    </row>
    <row r="971">
      <c r="A971" s="92" t="n">
        <v>2025</v>
      </c>
      <c r="B971" s="92" t="n">
        <v>5</v>
      </c>
      <c r="C971" s="92" t="inlineStr">
        <is>
          <t>5100000967</t>
        </is>
      </c>
      <c r="D971" s="95" t="n">
        <v>45784</v>
      </c>
      <c r="E971" s="92" t="inlineStr">
        <is>
          <t>KR</t>
        </is>
      </c>
      <c r="F971" s="92" t="n">
        <v>63002000</v>
      </c>
      <c r="G971" s="92" t="n">
        <v>1951</v>
      </c>
      <c r="H971" s="93" t="n">
        <v>4552000</v>
      </c>
      <c r="I971" s="92" t="inlineStr">
        <is>
          <t>5월 클라우드 사용료 - C클라우드</t>
        </is>
      </c>
      <c r="J971" s="92" t="inlineStr">
        <is>
          <t>V10026</t>
        </is>
      </c>
      <c r="K971" s="92" t="inlineStr">
        <is>
          <t>C클라우드</t>
        </is>
      </c>
      <c r="M971" s="9">
        <f>IF($A971="","",VALUE($A971&amp;"")*12+VALUE($B971&amp;""))</f>
        <v/>
      </c>
      <c r="N971" s="64">
        <f>IF($A971="","",IFERROR(INDEX(부서매핑!$C$5:$C$504,MATCH($G971&amp;"",부서매핑!$A$5:$A$504,0)),"미매핑"))</f>
        <v/>
      </c>
      <c r="O971" s="9">
        <f>IF($A971="","",N971&amp;"|"&amp;$F971)</f>
        <v/>
      </c>
      <c r="P971" s="94">
        <f>IF($A971="",0,$H971*설정!$C$23)</f>
        <v/>
      </c>
      <c r="Q971" s="64">
        <f>IF($A971="","",IF(O971&lt;&gt;원인분석!$C$9,"",IF(AND(M971&gt;=원인분석!$C$10,M971&lt;=원인분석!$C$11),"당기",IF(AND(M971&gt;=원인분석!$C$12,M971&lt;=원인분석!$C$13),"비교",""))))</f>
        <v/>
      </c>
      <c r="R971" s="9">
        <f>IF(Q971="","",$K971&amp;"")</f>
        <v/>
      </c>
      <c r="S971" s="9">
        <f>IF(Q971="","",IF(MATCH(R971,$R$5:$R$100000,0)=ROW()-4,ROW(),""))</f>
        <v/>
      </c>
      <c r="T971" s="9">
        <f>IF(Q971="당기",ABS(P971)+ROW()/1000000000,"")</f>
        <v/>
      </c>
      <c r="U971" s="9">
        <f>IF(Q971="비교",ABS(P971)+ROW()/1000000000,"")</f>
        <v/>
      </c>
      <c r="V971" s="64">
        <f>IF($A971="","",IF(COUNTIF(변동분석!$E$7:$E$506,O971)&gt;0,"Y","N"))</f>
        <v/>
      </c>
      <c r="W971" s="64">
        <f>IF($A971="","",IFERROR(INDEX(계정매핑!$D$5:$D$504,MATCH($F971&amp;"",계정매핑!$A$5:$A$504,0)),"미매핑"))</f>
        <v/>
      </c>
      <c r="X971" s="9">
        <f>IF($A971="","",$F971&amp;"")</f>
        <v/>
      </c>
      <c r="Y971" s="94">
        <f>IF($A971="",0,IF(AE971="직접",IF(AF971="비귀속",$P971,0),$P971*(1-AG971)*IFERROR(INDEX(계정대체기준!$F$20:$F$49,MATCH($N971,계정대체기준!$A$20:$A$49,0)),1)))</f>
        <v/>
      </c>
      <c r="Z971" s="94">
        <f>IF($A971="",0,IF(AE971="직접",IF(AF971="신계약비",$P971,0),$P971*(1-AG971)*IFERROR(INDEX(계정대체기준!$C$20:$C$49,MATCH($N971,계정대체기준!$A$20:$A$49,0)),0)))</f>
        <v/>
      </c>
      <c r="AA971" s="94">
        <f>IF($A971="",0,IF(AE971="직접",IF(OR(AF971="유지비",AF971="손해조사비"),$P971,0),$P971*(1-AG971)*IFERROR(INDEX(계정대체기준!$D$20:$D$49,MATCH($N971,계정대체기준!$A$20:$A$49,0)),0)))</f>
        <v/>
      </c>
      <c r="AB971" s="94">
        <f>IF($A971="",0,IF(AE971="직접",IF(AF971="수금비",$P971,0),$P971*(1-AG971)*IFERROR(INDEX(계정대체기준!$E$20:$E$49,MATCH($N971,계정대체기준!$A$20:$A$49,0)),0)))</f>
        <v/>
      </c>
      <c r="AC971" s="9">
        <f>IF(AND($A971&lt;&gt;"",M971=설정!$C$20,Z971&gt;0),Z971+ROW()/1000000000,"")</f>
        <v/>
      </c>
      <c r="AD971" s="94">
        <f>IF($A971="",0,$P971*AG971)</f>
        <v/>
      </c>
      <c r="AE971" s="64">
        <f>IF($A971="","",IFERROR(INDEX(계정매핑!$E$5:$E$504,MATCH($F971&amp;"",계정매핑!$A$5:$A$504,0))&amp;"","공통비"))</f>
        <v/>
      </c>
      <c r="AF971" s="64">
        <f>IF($A971="","",IF(AE971="직접",IFERROR(INDEX(계정매핑!$F$5:$F$504,MATCH($F971&amp;"",계정매핑!$A$5:$A$504,0))&amp;"","비귀속"),""))</f>
        <v/>
      </c>
      <c r="AG971" s="96">
        <f>IF($A971="",0,IF(AND(AE971&lt;&gt;"직접",IFERROR(INDEX(계정매핑!$G$5:$G$504,MATCH($F971&amp;"",계정매핑!$A$5:$A$504,0))&amp;"","")="유지비",COUNTIF(계정대체기준!$A$6:$A$15,$N971)&gt;0),IFERROR(INDEX(계정대체기준!$E$6:$E$15,MATCH(VALUE($A971&amp;""),계정대체기준!$D$6:$D$15,0)),0),0))</f>
        <v/>
      </c>
      <c r="AH971" s="64">
        <f>IF($A971="","",IF(AD971=0,"",IF(OR(COUNTIF(계정대체기준!$A$77:$A$86,$N971)&gt;0,ISNUMBER(MATCH($X971,계정대체기준!$D$77:$D$86,0)),ISNUMBER(MATCH($F971,계정대체기준!$D$77:$D$86,0))),"Y","N")))</f>
        <v/>
      </c>
    </row>
    <row r="972">
      <c r="A972" s="92" t="n">
        <v>2025</v>
      </c>
      <c r="B972" s="92" t="n">
        <v>5</v>
      </c>
      <c r="C972" s="92" t="inlineStr">
        <is>
          <t>5100000968</t>
        </is>
      </c>
      <c r="D972" s="95" t="n">
        <v>45785</v>
      </c>
      <c r="E972" s="92" t="inlineStr">
        <is>
          <t>KR</t>
        </is>
      </c>
      <c r="F972" s="92" t="n">
        <v>62101000</v>
      </c>
      <c r="G972" s="92" t="n">
        <v>1502</v>
      </c>
      <c r="H972" s="93" t="n">
        <v>329000</v>
      </c>
      <c r="I972" s="92" t="inlineStr">
        <is>
          <t>5월 국내출장 - M항공</t>
        </is>
      </c>
      <c r="J972" s="92" t="inlineStr">
        <is>
          <t>V10001</t>
        </is>
      </c>
      <c r="K972" s="92" t="inlineStr">
        <is>
          <t>M항공</t>
        </is>
      </c>
      <c r="M972" s="9">
        <f>IF($A972="","",VALUE($A972&amp;"")*12+VALUE($B972&amp;""))</f>
        <v/>
      </c>
      <c r="N972" s="64">
        <f>IF($A972="","",IFERROR(INDEX(부서매핑!$C$5:$C$504,MATCH($G972&amp;"",부서매핑!$A$5:$A$504,0)),"미매핑"))</f>
        <v/>
      </c>
      <c r="O972" s="9">
        <f>IF($A972="","",N972&amp;"|"&amp;$F972)</f>
        <v/>
      </c>
      <c r="P972" s="94">
        <f>IF($A972="",0,$H972*설정!$C$23)</f>
        <v/>
      </c>
      <c r="Q972" s="64">
        <f>IF($A972="","",IF(O972&lt;&gt;원인분석!$C$9,"",IF(AND(M972&gt;=원인분석!$C$10,M972&lt;=원인분석!$C$11),"당기",IF(AND(M972&gt;=원인분석!$C$12,M972&lt;=원인분석!$C$13),"비교",""))))</f>
        <v/>
      </c>
      <c r="R972" s="9">
        <f>IF(Q972="","",$K972&amp;"")</f>
        <v/>
      </c>
      <c r="S972" s="9">
        <f>IF(Q972="","",IF(MATCH(R972,$R$5:$R$100000,0)=ROW()-4,ROW(),""))</f>
        <v/>
      </c>
      <c r="T972" s="9">
        <f>IF(Q972="당기",ABS(P972)+ROW()/1000000000,"")</f>
        <v/>
      </c>
      <c r="U972" s="9">
        <f>IF(Q972="비교",ABS(P972)+ROW()/1000000000,"")</f>
        <v/>
      </c>
      <c r="V972" s="64">
        <f>IF($A972="","",IF(COUNTIF(변동분석!$E$7:$E$506,O972)&gt;0,"Y","N"))</f>
        <v/>
      </c>
      <c r="W972" s="64">
        <f>IF($A972="","",IFERROR(INDEX(계정매핑!$D$5:$D$504,MATCH($F972&amp;"",계정매핑!$A$5:$A$504,0)),"미매핑"))</f>
        <v/>
      </c>
      <c r="X972" s="9">
        <f>IF($A972="","",$F972&amp;"")</f>
        <v/>
      </c>
      <c r="Y972" s="94">
        <f>IF($A972="",0,IF(AE972="직접",IF(AF972="비귀속",$P972,0),$P972*(1-AG972)*IFERROR(INDEX(계정대체기준!$F$20:$F$49,MATCH($N972,계정대체기준!$A$20:$A$49,0)),1)))</f>
        <v/>
      </c>
      <c r="Z972" s="94">
        <f>IF($A972="",0,IF(AE972="직접",IF(AF972="신계약비",$P972,0),$P972*(1-AG972)*IFERROR(INDEX(계정대체기준!$C$20:$C$49,MATCH($N972,계정대체기준!$A$20:$A$49,0)),0)))</f>
        <v/>
      </c>
      <c r="AA972" s="94">
        <f>IF($A972="",0,IF(AE972="직접",IF(OR(AF972="유지비",AF972="손해조사비"),$P972,0),$P972*(1-AG972)*IFERROR(INDEX(계정대체기준!$D$20:$D$49,MATCH($N972,계정대체기준!$A$20:$A$49,0)),0)))</f>
        <v/>
      </c>
      <c r="AB972" s="94">
        <f>IF($A972="",0,IF(AE972="직접",IF(AF972="수금비",$P972,0),$P972*(1-AG972)*IFERROR(INDEX(계정대체기준!$E$20:$E$49,MATCH($N972,계정대체기준!$A$20:$A$49,0)),0)))</f>
        <v/>
      </c>
      <c r="AC972" s="9">
        <f>IF(AND($A972&lt;&gt;"",M972=설정!$C$20,Z972&gt;0),Z972+ROW()/1000000000,"")</f>
        <v/>
      </c>
      <c r="AD972" s="94">
        <f>IF($A972="",0,$P972*AG972)</f>
        <v/>
      </c>
      <c r="AE972" s="64">
        <f>IF($A972="","",IFERROR(INDEX(계정매핑!$E$5:$E$504,MATCH($F972&amp;"",계정매핑!$A$5:$A$504,0))&amp;"","공통비"))</f>
        <v/>
      </c>
      <c r="AF972" s="64">
        <f>IF($A972="","",IF(AE972="직접",IFERROR(INDEX(계정매핑!$F$5:$F$504,MATCH($F972&amp;"",계정매핑!$A$5:$A$504,0))&amp;"","비귀속"),""))</f>
        <v/>
      </c>
      <c r="AG972" s="96">
        <f>IF($A972="",0,IF(AND(AE972&lt;&gt;"직접",IFERROR(INDEX(계정매핑!$G$5:$G$504,MATCH($F972&amp;"",계정매핑!$A$5:$A$504,0))&amp;"","")="유지비",COUNTIF(계정대체기준!$A$6:$A$15,$N972)&gt;0),IFERROR(INDEX(계정대체기준!$E$6:$E$15,MATCH(VALUE($A972&amp;""),계정대체기준!$D$6:$D$15,0)),0),0))</f>
        <v/>
      </c>
      <c r="AH972" s="64">
        <f>IF($A972="","",IF(AD972=0,"",IF(OR(COUNTIF(계정대체기준!$A$77:$A$86,$N972)&gt;0,ISNUMBER(MATCH($X972,계정대체기준!$D$77:$D$86,0)),ISNUMBER(MATCH($F972,계정대체기준!$D$77:$D$86,0))),"Y","N")))</f>
        <v/>
      </c>
    </row>
    <row r="973">
      <c r="A973" s="92" t="n">
        <v>2025</v>
      </c>
      <c r="B973" s="92" t="n">
        <v>5</v>
      </c>
      <c r="C973" s="92" t="inlineStr">
        <is>
          <t>5100000969</t>
        </is>
      </c>
      <c r="D973" s="95" t="n">
        <v>45785</v>
      </c>
      <c r="E973" s="92" t="inlineStr">
        <is>
          <t>KR</t>
        </is>
      </c>
      <c r="F973" s="92" t="n">
        <v>62101000</v>
      </c>
      <c r="G973" s="92" t="n">
        <v>1801</v>
      </c>
      <c r="H973" s="93" t="n">
        <v>300000</v>
      </c>
      <c r="I973" s="92" t="inlineStr">
        <is>
          <t>5월 국내출장 - M항공</t>
        </is>
      </c>
      <c r="J973" s="92" t="inlineStr">
        <is>
          <t>V10001</t>
        </is>
      </c>
      <c r="K973" s="92" t="inlineStr">
        <is>
          <t>M항공</t>
        </is>
      </c>
      <c r="M973" s="9">
        <f>IF($A973="","",VALUE($A973&amp;"")*12+VALUE($B973&amp;""))</f>
        <v/>
      </c>
      <c r="N973" s="64">
        <f>IF($A973="","",IFERROR(INDEX(부서매핑!$C$5:$C$504,MATCH($G973&amp;"",부서매핑!$A$5:$A$504,0)),"미매핑"))</f>
        <v/>
      </c>
      <c r="O973" s="9">
        <f>IF($A973="","",N973&amp;"|"&amp;$F973)</f>
        <v/>
      </c>
      <c r="P973" s="94">
        <f>IF($A973="",0,$H973*설정!$C$23)</f>
        <v/>
      </c>
      <c r="Q973" s="64">
        <f>IF($A973="","",IF(O973&lt;&gt;원인분석!$C$9,"",IF(AND(M973&gt;=원인분석!$C$10,M973&lt;=원인분석!$C$11),"당기",IF(AND(M973&gt;=원인분석!$C$12,M973&lt;=원인분석!$C$13),"비교",""))))</f>
        <v/>
      </c>
      <c r="R973" s="9">
        <f>IF(Q973="","",$K973&amp;"")</f>
        <v/>
      </c>
      <c r="S973" s="9">
        <f>IF(Q973="","",IF(MATCH(R973,$R$5:$R$100000,0)=ROW()-4,ROW(),""))</f>
        <v/>
      </c>
      <c r="T973" s="9">
        <f>IF(Q973="당기",ABS(P973)+ROW()/1000000000,"")</f>
        <v/>
      </c>
      <c r="U973" s="9">
        <f>IF(Q973="비교",ABS(P973)+ROW()/1000000000,"")</f>
        <v/>
      </c>
      <c r="V973" s="64">
        <f>IF($A973="","",IF(COUNTIF(변동분석!$E$7:$E$506,O973)&gt;0,"Y","N"))</f>
        <v/>
      </c>
      <c r="W973" s="64">
        <f>IF($A973="","",IFERROR(INDEX(계정매핑!$D$5:$D$504,MATCH($F973&amp;"",계정매핑!$A$5:$A$504,0)),"미매핑"))</f>
        <v/>
      </c>
      <c r="X973" s="9">
        <f>IF($A973="","",$F973&amp;"")</f>
        <v/>
      </c>
      <c r="Y973" s="94">
        <f>IF($A973="",0,IF(AE973="직접",IF(AF973="비귀속",$P973,0),$P973*(1-AG973)*IFERROR(INDEX(계정대체기준!$F$20:$F$49,MATCH($N973,계정대체기준!$A$20:$A$49,0)),1)))</f>
        <v/>
      </c>
      <c r="Z973" s="94">
        <f>IF($A973="",0,IF(AE973="직접",IF(AF973="신계약비",$P973,0),$P973*(1-AG973)*IFERROR(INDEX(계정대체기준!$C$20:$C$49,MATCH($N973,계정대체기준!$A$20:$A$49,0)),0)))</f>
        <v/>
      </c>
      <c r="AA973" s="94">
        <f>IF($A973="",0,IF(AE973="직접",IF(OR(AF973="유지비",AF973="손해조사비"),$P973,0),$P973*(1-AG973)*IFERROR(INDEX(계정대체기준!$D$20:$D$49,MATCH($N973,계정대체기준!$A$20:$A$49,0)),0)))</f>
        <v/>
      </c>
      <c r="AB973" s="94">
        <f>IF($A973="",0,IF(AE973="직접",IF(AF973="수금비",$P973,0),$P973*(1-AG973)*IFERROR(INDEX(계정대체기준!$E$20:$E$49,MATCH($N973,계정대체기준!$A$20:$A$49,0)),0)))</f>
        <v/>
      </c>
      <c r="AC973" s="9">
        <f>IF(AND($A973&lt;&gt;"",M973=설정!$C$20,Z973&gt;0),Z973+ROW()/1000000000,"")</f>
        <v/>
      </c>
      <c r="AD973" s="94">
        <f>IF($A973="",0,$P973*AG973)</f>
        <v/>
      </c>
      <c r="AE973" s="64">
        <f>IF($A973="","",IFERROR(INDEX(계정매핑!$E$5:$E$504,MATCH($F973&amp;"",계정매핑!$A$5:$A$504,0))&amp;"","공통비"))</f>
        <v/>
      </c>
      <c r="AF973" s="64">
        <f>IF($A973="","",IF(AE973="직접",IFERROR(INDEX(계정매핑!$F$5:$F$504,MATCH($F973&amp;"",계정매핑!$A$5:$A$504,0))&amp;"","비귀속"),""))</f>
        <v/>
      </c>
      <c r="AG973" s="96">
        <f>IF($A973="",0,IF(AND(AE973&lt;&gt;"직접",IFERROR(INDEX(계정매핑!$G$5:$G$504,MATCH($F973&amp;"",계정매핑!$A$5:$A$504,0))&amp;"","")="유지비",COUNTIF(계정대체기준!$A$6:$A$15,$N973)&gt;0),IFERROR(INDEX(계정대체기준!$E$6:$E$15,MATCH(VALUE($A973&amp;""),계정대체기준!$D$6:$D$15,0)),0),0))</f>
        <v/>
      </c>
      <c r="AH973" s="64">
        <f>IF($A973="","",IF(AD973=0,"",IF(OR(COUNTIF(계정대체기준!$A$77:$A$86,$N973)&gt;0,ISNUMBER(MATCH($X973,계정대체기준!$D$77:$D$86,0)),ISNUMBER(MATCH($F973,계정대체기준!$D$77:$D$86,0))),"Y","N")))</f>
        <v/>
      </c>
    </row>
    <row r="974">
      <c r="A974" s="92" t="n">
        <v>2025</v>
      </c>
      <c r="B974" s="92" t="n">
        <v>5</v>
      </c>
      <c r="C974" s="92" t="inlineStr">
        <is>
          <t>5100000970</t>
        </is>
      </c>
      <c r="D974" s="95" t="n">
        <v>45785</v>
      </c>
      <c r="E974" s="92" t="inlineStr">
        <is>
          <t>KR</t>
        </is>
      </c>
      <c r="F974" s="92" t="n">
        <v>62102000</v>
      </c>
      <c r="G974" s="92" t="n">
        <v>1301</v>
      </c>
      <c r="H974" s="93" t="n">
        <v>72000</v>
      </c>
      <c r="I974" s="92" t="inlineStr">
        <is>
          <t>5월 해외출장 - M항공</t>
        </is>
      </c>
      <c r="J974" s="92" t="inlineStr">
        <is>
          <t>V10001</t>
        </is>
      </c>
      <c r="K974" s="92" t="inlineStr">
        <is>
          <t>M항공</t>
        </is>
      </c>
      <c r="M974" s="9">
        <f>IF($A974="","",VALUE($A974&amp;"")*12+VALUE($B974&amp;""))</f>
        <v/>
      </c>
      <c r="N974" s="64">
        <f>IF($A974="","",IFERROR(INDEX(부서매핑!$C$5:$C$504,MATCH($G974&amp;"",부서매핑!$A$5:$A$504,0)),"미매핑"))</f>
        <v/>
      </c>
      <c r="O974" s="9">
        <f>IF($A974="","",N974&amp;"|"&amp;$F974)</f>
        <v/>
      </c>
      <c r="P974" s="94">
        <f>IF($A974="",0,$H974*설정!$C$23)</f>
        <v/>
      </c>
      <c r="Q974" s="64">
        <f>IF($A974="","",IF(O974&lt;&gt;원인분석!$C$9,"",IF(AND(M974&gt;=원인분석!$C$10,M974&lt;=원인분석!$C$11),"당기",IF(AND(M974&gt;=원인분석!$C$12,M974&lt;=원인분석!$C$13),"비교",""))))</f>
        <v/>
      </c>
      <c r="R974" s="9">
        <f>IF(Q974="","",$K974&amp;"")</f>
        <v/>
      </c>
      <c r="S974" s="9">
        <f>IF(Q974="","",IF(MATCH(R974,$R$5:$R$100000,0)=ROW()-4,ROW(),""))</f>
        <v/>
      </c>
      <c r="T974" s="9">
        <f>IF(Q974="당기",ABS(P974)+ROW()/1000000000,"")</f>
        <v/>
      </c>
      <c r="U974" s="9">
        <f>IF(Q974="비교",ABS(P974)+ROW()/1000000000,"")</f>
        <v/>
      </c>
      <c r="V974" s="64">
        <f>IF($A974="","",IF(COUNTIF(변동분석!$E$7:$E$506,O974)&gt;0,"Y","N"))</f>
        <v/>
      </c>
      <c r="W974" s="64">
        <f>IF($A974="","",IFERROR(INDEX(계정매핑!$D$5:$D$504,MATCH($F974&amp;"",계정매핑!$A$5:$A$504,0)),"미매핑"))</f>
        <v/>
      </c>
      <c r="X974" s="9">
        <f>IF($A974="","",$F974&amp;"")</f>
        <v/>
      </c>
      <c r="Y974" s="94">
        <f>IF($A974="",0,IF(AE974="직접",IF(AF974="비귀속",$P974,0),$P974*(1-AG974)*IFERROR(INDEX(계정대체기준!$F$20:$F$49,MATCH($N974,계정대체기준!$A$20:$A$49,0)),1)))</f>
        <v/>
      </c>
      <c r="Z974" s="94">
        <f>IF($A974="",0,IF(AE974="직접",IF(AF974="신계약비",$P974,0),$P974*(1-AG974)*IFERROR(INDEX(계정대체기준!$C$20:$C$49,MATCH($N974,계정대체기준!$A$20:$A$49,0)),0)))</f>
        <v/>
      </c>
      <c r="AA974" s="94">
        <f>IF($A974="",0,IF(AE974="직접",IF(OR(AF974="유지비",AF974="손해조사비"),$P974,0),$P974*(1-AG974)*IFERROR(INDEX(계정대체기준!$D$20:$D$49,MATCH($N974,계정대체기준!$A$20:$A$49,0)),0)))</f>
        <v/>
      </c>
      <c r="AB974" s="94">
        <f>IF($A974="",0,IF(AE974="직접",IF(AF974="수금비",$P974,0),$P974*(1-AG974)*IFERROR(INDEX(계정대체기준!$E$20:$E$49,MATCH($N974,계정대체기준!$A$20:$A$49,0)),0)))</f>
        <v/>
      </c>
      <c r="AC974" s="9">
        <f>IF(AND($A974&lt;&gt;"",M974=설정!$C$20,Z974&gt;0),Z974+ROW()/1000000000,"")</f>
        <v/>
      </c>
      <c r="AD974" s="94">
        <f>IF($A974="",0,$P974*AG974)</f>
        <v/>
      </c>
      <c r="AE974" s="64">
        <f>IF($A974="","",IFERROR(INDEX(계정매핑!$E$5:$E$504,MATCH($F974&amp;"",계정매핑!$A$5:$A$504,0))&amp;"","공통비"))</f>
        <v/>
      </c>
      <c r="AF974" s="64">
        <f>IF($A974="","",IF(AE974="직접",IFERROR(INDEX(계정매핑!$F$5:$F$504,MATCH($F974&amp;"",계정매핑!$A$5:$A$504,0))&amp;"","비귀속"),""))</f>
        <v/>
      </c>
      <c r="AG974" s="96">
        <f>IF($A974="",0,IF(AND(AE974&lt;&gt;"직접",IFERROR(INDEX(계정매핑!$G$5:$G$504,MATCH($F974&amp;"",계정매핑!$A$5:$A$504,0))&amp;"","")="유지비",COUNTIF(계정대체기준!$A$6:$A$15,$N974)&gt;0),IFERROR(INDEX(계정대체기준!$E$6:$E$15,MATCH(VALUE($A974&amp;""),계정대체기준!$D$6:$D$15,0)),0),0))</f>
        <v/>
      </c>
      <c r="AH974" s="64">
        <f>IF($A974="","",IF(AD974=0,"",IF(OR(COUNTIF(계정대체기준!$A$77:$A$86,$N974)&gt;0,ISNUMBER(MATCH($X974,계정대체기준!$D$77:$D$86,0)),ISNUMBER(MATCH($F974,계정대체기준!$D$77:$D$86,0))),"Y","N")))</f>
        <v/>
      </c>
    </row>
    <row r="975">
      <c r="A975" s="92" t="n">
        <v>2025</v>
      </c>
      <c r="B975" s="92" t="n">
        <v>5</v>
      </c>
      <c r="C975" s="92" t="inlineStr">
        <is>
          <t>5100000971</t>
        </is>
      </c>
      <c r="D975" s="95" t="n">
        <v>45785</v>
      </c>
      <c r="E975" s="92" t="inlineStr">
        <is>
          <t>KR</t>
        </is>
      </c>
      <c r="F975" s="92" t="n">
        <v>62201000</v>
      </c>
      <c r="G975" s="92" t="n">
        <v>1101</v>
      </c>
      <c r="H975" s="93" t="n">
        <v>213000</v>
      </c>
      <c r="I975" s="92" t="inlineStr">
        <is>
          <t>5월 통신요금 - P통신</t>
        </is>
      </c>
      <c r="J975" s="92" t="inlineStr">
        <is>
          <t>V10014</t>
        </is>
      </c>
      <c r="K975" s="92" t="inlineStr">
        <is>
          <t>P통신</t>
        </is>
      </c>
      <c r="M975" s="9">
        <f>IF($A975="","",VALUE($A975&amp;"")*12+VALUE($B975&amp;""))</f>
        <v/>
      </c>
      <c r="N975" s="64">
        <f>IF($A975="","",IFERROR(INDEX(부서매핑!$C$5:$C$504,MATCH($G975&amp;"",부서매핑!$A$5:$A$504,0)),"미매핑"))</f>
        <v/>
      </c>
      <c r="O975" s="9">
        <f>IF($A975="","",N975&amp;"|"&amp;$F975)</f>
        <v/>
      </c>
      <c r="P975" s="94">
        <f>IF($A975="",0,$H975*설정!$C$23)</f>
        <v/>
      </c>
      <c r="Q975" s="64">
        <f>IF($A975="","",IF(O975&lt;&gt;원인분석!$C$9,"",IF(AND(M975&gt;=원인분석!$C$10,M975&lt;=원인분석!$C$11),"당기",IF(AND(M975&gt;=원인분석!$C$12,M975&lt;=원인분석!$C$13),"비교",""))))</f>
        <v/>
      </c>
      <c r="R975" s="9">
        <f>IF(Q975="","",$K975&amp;"")</f>
        <v/>
      </c>
      <c r="S975" s="9">
        <f>IF(Q975="","",IF(MATCH(R975,$R$5:$R$100000,0)=ROW()-4,ROW(),""))</f>
        <v/>
      </c>
      <c r="T975" s="9">
        <f>IF(Q975="당기",ABS(P975)+ROW()/1000000000,"")</f>
        <v/>
      </c>
      <c r="U975" s="9">
        <f>IF(Q975="비교",ABS(P975)+ROW()/1000000000,"")</f>
        <v/>
      </c>
      <c r="V975" s="64">
        <f>IF($A975="","",IF(COUNTIF(변동분석!$E$7:$E$506,O975)&gt;0,"Y","N"))</f>
        <v/>
      </c>
      <c r="W975" s="64">
        <f>IF($A975="","",IFERROR(INDEX(계정매핑!$D$5:$D$504,MATCH($F975&amp;"",계정매핑!$A$5:$A$504,0)),"미매핑"))</f>
        <v/>
      </c>
      <c r="X975" s="9">
        <f>IF($A975="","",$F975&amp;"")</f>
        <v/>
      </c>
      <c r="Y975" s="94">
        <f>IF($A975="",0,IF(AE975="직접",IF(AF975="비귀속",$P975,0),$P975*(1-AG975)*IFERROR(INDEX(계정대체기준!$F$20:$F$49,MATCH($N975,계정대체기준!$A$20:$A$49,0)),1)))</f>
        <v/>
      </c>
      <c r="Z975" s="94">
        <f>IF($A975="",0,IF(AE975="직접",IF(AF975="신계약비",$P975,0),$P975*(1-AG975)*IFERROR(INDEX(계정대체기준!$C$20:$C$49,MATCH($N975,계정대체기준!$A$20:$A$49,0)),0)))</f>
        <v/>
      </c>
      <c r="AA975" s="94">
        <f>IF($A975="",0,IF(AE975="직접",IF(OR(AF975="유지비",AF975="손해조사비"),$P975,0),$P975*(1-AG975)*IFERROR(INDEX(계정대체기준!$D$20:$D$49,MATCH($N975,계정대체기준!$A$20:$A$49,0)),0)))</f>
        <v/>
      </c>
      <c r="AB975" s="94">
        <f>IF($A975="",0,IF(AE975="직접",IF(AF975="수금비",$P975,0),$P975*(1-AG975)*IFERROR(INDEX(계정대체기준!$E$20:$E$49,MATCH($N975,계정대체기준!$A$20:$A$49,0)),0)))</f>
        <v/>
      </c>
      <c r="AC975" s="9">
        <f>IF(AND($A975&lt;&gt;"",M975=설정!$C$20,Z975&gt;0),Z975+ROW()/1000000000,"")</f>
        <v/>
      </c>
      <c r="AD975" s="94">
        <f>IF($A975="",0,$P975*AG975)</f>
        <v/>
      </c>
      <c r="AE975" s="64">
        <f>IF($A975="","",IFERROR(INDEX(계정매핑!$E$5:$E$504,MATCH($F975&amp;"",계정매핑!$A$5:$A$504,0))&amp;"","공통비"))</f>
        <v/>
      </c>
      <c r="AF975" s="64">
        <f>IF($A975="","",IF(AE975="직접",IFERROR(INDEX(계정매핑!$F$5:$F$504,MATCH($F975&amp;"",계정매핑!$A$5:$A$504,0))&amp;"","비귀속"),""))</f>
        <v/>
      </c>
      <c r="AG975" s="96">
        <f>IF($A975="",0,IF(AND(AE975&lt;&gt;"직접",IFERROR(INDEX(계정매핑!$G$5:$G$504,MATCH($F975&amp;"",계정매핑!$A$5:$A$504,0))&amp;"","")="유지비",COUNTIF(계정대체기준!$A$6:$A$15,$N975)&gt;0),IFERROR(INDEX(계정대체기준!$E$6:$E$15,MATCH(VALUE($A975&amp;""),계정대체기준!$D$6:$D$15,0)),0),0))</f>
        <v/>
      </c>
      <c r="AH975" s="64">
        <f>IF($A975="","",IF(AD975=0,"",IF(OR(COUNTIF(계정대체기준!$A$77:$A$86,$N975)&gt;0,ISNUMBER(MATCH($X975,계정대체기준!$D$77:$D$86,0)),ISNUMBER(MATCH($F975,계정대체기준!$D$77:$D$86,0))),"Y","N")))</f>
        <v/>
      </c>
    </row>
    <row r="976">
      <c r="A976" s="92" t="n">
        <v>2025</v>
      </c>
      <c r="B976" s="92" t="n">
        <v>5</v>
      </c>
      <c r="C976" s="92" t="inlineStr">
        <is>
          <t>5100000972</t>
        </is>
      </c>
      <c r="D976" s="95" t="n">
        <v>45785</v>
      </c>
      <c r="E976" s="92" t="inlineStr">
        <is>
          <t>KR</t>
        </is>
      </c>
      <c r="F976" s="92" t="n">
        <v>62301000</v>
      </c>
      <c r="G976" s="92" t="n">
        <v>1401</v>
      </c>
      <c r="H976" s="93" t="n">
        <v>197000</v>
      </c>
      <c r="I976" s="92" t="inlineStr">
        <is>
          <t>5월 소모품 구입 - Q오피스</t>
        </is>
      </c>
      <c r="J976" s="92" t="inlineStr">
        <is>
          <t>V10003</t>
        </is>
      </c>
      <c r="K976" s="92" t="inlineStr">
        <is>
          <t>Q오피스</t>
        </is>
      </c>
      <c r="M976" s="9">
        <f>IF($A976="","",VALUE($A976&amp;"")*12+VALUE($B976&amp;""))</f>
        <v/>
      </c>
      <c r="N976" s="64">
        <f>IF($A976="","",IFERROR(INDEX(부서매핑!$C$5:$C$504,MATCH($G976&amp;"",부서매핑!$A$5:$A$504,0)),"미매핑"))</f>
        <v/>
      </c>
      <c r="O976" s="9">
        <f>IF($A976="","",N976&amp;"|"&amp;$F976)</f>
        <v/>
      </c>
      <c r="P976" s="94">
        <f>IF($A976="",0,$H976*설정!$C$23)</f>
        <v/>
      </c>
      <c r="Q976" s="64">
        <f>IF($A976="","",IF(O976&lt;&gt;원인분석!$C$9,"",IF(AND(M976&gt;=원인분석!$C$10,M976&lt;=원인분석!$C$11),"당기",IF(AND(M976&gt;=원인분석!$C$12,M976&lt;=원인분석!$C$13),"비교",""))))</f>
        <v/>
      </c>
      <c r="R976" s="9">
        <f>IF(Q976="","",$K976&amp;"")</f>
        <v/>
      </c>
      <c r="S976" s="9">
        <f>IF(Q976="","",IF(MATCH(R976,$R$5:$R$100000,0)=ROW()-4,ROW(),""))</f>
        <v/>
      </c>
      <c r="T976" s="9">
        <f>IF(Q976="당기",ABS(P976)+ROW()/1000000000,"")</f>
        <v/>
      </c>
      <c r="U976" s="9">
        <f>IF(Q976="비교",ABS(P976)+ROW()/1000000000,"")</f>
        <v/>
      </c>
      <c r="V976" s="64">
        <f>IF($A976="","",IF(COUNTIF(변동분석!$E$7:$E$506,O976)&gt;0,"Y","N"))</f>
        <v/>
      </c>
      <c r="W976" s="64">
        <f>IF($A976="","",IFERROR(INDEX(계정매핑!$D$5:$D$504,MATCH($F976&amp;"",계정매핑!$A$5:$A$504,0)),"미매핑"))</f>
        <v/>
      </c>
      <c r="X976" s="9">
        <f>IF($A976="","",$F976&amp;"")</f>
        <v/>
      </c>
      <c r="Y976" s="94">
        <f>IF($A976="",0,IF(AE976="직접",IF(AF976="비귀속",$P976,0),$P976*(1-AG976)*IFERROR(INDEX(계정대체기준!$F$20:$F$49,MATCH($N976,계정대체기준!$A$20:$A$49,0)),1)))</f>
        <v/>
      </c>
      <c r="Z976" s="94">
        <f>IF($A976="",0,IF(AE976="직접",IF(AF976="신계약비",$P976,0),$P976*(1-AG976)*IFERROR(INDEX(계정대체기준!$C$20:$C$49,MATCH($N976,계정대체기준!$A$20:$A$49,0)),0)))</f>
        <v/>
      </c>
      <c r="AA976" s="94">
        <f>IF($A976="",0,IF(AE976="직접",IF(OR(AF976="유지비",AF976="손해조사비"),$P976,0),$P976*(1-AG976)*IFERROR(INDEX(계정대체기준!$D$20:$D$49,MATCH($N976,계정대체기준!$A$20:$A$49,0)),0)))</f>
        <v/>
      </c>
      <c r="AB976" s="94">
        <f>IF($A976="",0,IF(AE976="직접",IF(AF976="수금비",$P976,0),$P976*(1-AG976)*IFERROR(INDEX(계정대체기준!$E$20:$E$49,MATCH($N976,계정대체기준!$A$20:$A$49,0)),0)))</f>
        <v/>
      </c>
      <c r="AC976" s="9">
        <f>IF(AND($A976&lt;&gt;"",M976=설정!$C$20,Z976&gt;0),Z976+ROW()/1000000000,"")</f>
        <v/>
      </c>
      <c r="AD976" s="94">
        <f>IF($A976="",0,$P976*AG976)</f>
        <v/>
      </c>
      <c r="AE976" s="64">
        <f>IF($A976="","",IFERROR(INDEX(계정매핑!$E$5:$E$504,MATCH($F976&amp;"",계정매핑!$A$5:$A$504,0))&amp;"","공통비"))</f>
        <v/>
      </c>
      <c r="AF976" s="64">
        <f>IF($A976="","",IF(AE976="직접",IFERROR(INDEX(계정매핑!$F$5:$F$504,MATCH($F976&amp;"",계정매핑!$A$5:$A$504,0))&amp;"","비귀속"),""))</f>
        <v/>
      </c>
      <c r="AG976" s="96">
        <f>IF($A976="",0,IF(AND(AE976&lt;&gt;"직접",IFERROR(INDEX(계정매핑!$G$5:$G$504,MATCH($F976&amp;"",계정매핑!$A$5:$A$504,0))&amp;"","")="유지비",COUNTIF(계정대체기준!$A$6:$A$15,$N976)&gt;0),IFERROR(INDEX(계정대체기준!$E$6:$E$15,MATCH(VALUE($A976&amp;""),계정대체기준!$D$6:$D$15,0)),0),0))</f>
        <v/>
      </c>
      <c r="AH976" s="64">
        <f>IF($A976="","",IF(AD976=0,"",IF(OR(COUNTIF(계정대체기준!$A$77:$A$86,$N976)&gt;0,ISNUMBER(MATCH($X976,계정대체기준!$D$77:$D$86,0)),ISNUMBER(MATCH($F976,계정대체기준!$D$77:$D$86,0))),"Y","N")))</f>
        <v/>
      </c>
    </row>
    <row r="977">
      <c r="A977" s="92" t="n">
        <v>2025</v>
      </c>
      <c r="B977" s="92" t="n">
        <v>5</v>
      </c>
      <c r="C977" s="92" t="inlineStr">
        <is>
          <t>5100000973</t>
        </is>
      </c>
      <c r="D977" s="95" t="n">
        <v>45785</v>
      </c>
      <c r="E977" s="92" t="inlineStr">
        <is>
          <t>KR</t>
        </is>
      </c>
      <c r="F977" s="92" t="n">
        <v>62501000</v>
      </c>
      <c r="G977" s="92" t="n">
        <v>1601</v>
      </c>
      <c r="H977" s="93" t="n">
        <v>578000</v>
      </c>
      <c r="I977" s="92" t="inlineStr">
        <is>
          <t>5월 회의 다과 - T케이터링</t>
        </is>
      </c>
      <c r="J977" s="92" t="inlineStr">
        <is>
          <t>V10005</t>
        </is>
      </c>
      <c r="K977" s="92" t="inlineStr">
        <is>
          <t>T케이터링</t>
        </is>
      </c>
      <c r="M977" s="9">
        <f>IF($A977="","",VALUE($A977&amp;"")*12+VALUE($B977&amp;""))</f>
        <v/>
      </c>
      <c r="N977" s="64">
        <f>IF($A977="","",IFERROR(INDEX(부서매핑!$C$5:$C$504,MATCH($G977&amp;"",부서매핑!$A$5:$A$504,0)),"미매핑"))</f>
        <v/>
      </c>
      <c r="O977" s="9">
        <f>IF($A977="","",N977&amp;"|"&amp;$F977)</f>
        <v/>
      </c>
      <c r="P977" s="94">
        <f>IF($A977="",0,$H977*설정!$C$23)</f>
        <v/>
      </c>
      <c r="Q977" s="64">
        <f>IF($A977="","",IF(O977&lt;&gt;원인분석!$C$9,"",IF(AND(M977&gt;=원인분석!$C$10,M977&lt;=원인분석!$C$11),"당기",IF(AND(M977&gt;=원인분석!$C$12,M977&lt;=원인분석!$C$13),"비교",""))))</f>
        <v/>
      </c>
      <c r="R977" s="9">
        <f>IF(Q977="","",$K977&amp;"")</f>
        <v/>
      </c>
      <c r="S977" s="9">
        <f>IF(Q977="","",IF(MATCH(R977,$R$5:$R$100000,0)=ROW()-4,ROW(),""))</f>
        <v/>
      </c>
      <c r="T977" s="9">
        <f>IF(Q977="당기",ABS(P977)+ROW()/1000000000,"")</f>
        <v/>
      </c>
      <c r="U977" s="9">
        <f>IF(Q977="비교",ABS(P977)+ROW()/1000000000,"")</f>
        <v/>
      </c>
      <c r="V977" s="64">
        <f>IF($A977="","",IF(COUNTIF(변동분석!$E$7:$E$506,O977)&gt;0,"Y","N"))</f>
        <v/>
      </c>
      <c r="W977" s="64">
        <f>IF($A977="","",IFERROR(INDEX(계정매핑!$D$5:$D$504,MATCH($F977&amp;"",계정매핑!$A$5:$A$504,0)),"미매핑"))</f>
        <v/>
      </c>
      <c r="X977" s="9">
        <f>IF($A977="","",$F977&amp;"")</f>
        <v/>
      </c>
      <c r="Y977" s="94">
        <f>IF($A977="",0,IF(AE977="직접",IF(AF977="비귀속",$P977,0),$P977*(1-AG977)*IFERROR(INDEX(계정대체기준!$F$20:$F$49,MATCH($N977,계정대체기준!$A$20:$A$49,0)),1)))</f>
        <v/>
      </c>
      <c r="Z977" s="94">
        <f>IF($A977="",0,IF(AE977="직접",IF(AF977="신계약비",$P977,0),$P977*(1-AG977)*IFERROR(INDEX(계정대체기준!$C$20:$C$49,MATCH($N977,계정대체기준!$A$20:$A$49,0)),0)))</f>
        <v/>
      </c>
      <c r="AA977" s="94">
        <f>IF($A977="",0,IF(AE977="직접",IF(OR(AF977="유지비",AF977="손해조사비"),$P977,0),$P977*(1-AG977)*IFERROR(INDEX(계정대체기준!$D$20:$D$49,MATCH($N977,계정대체기준!$A$20:$A$49,0)),0)))</f>
        <v/>
      </c>
      <c r="AB977" s="94">
        <f>IF($A977="",0,IF(AE977="직접",IF(AF977="수금비",$P977,0),$P977*(1-AG977)*IFERROR(INDEX(계정대체기준!$E$20:$E$49,MATCH($N977,계정대체기준!$A$20:$A$49,0)),0)))</f>
        <v/>
      </c>
      <c r="AC977" s="9">
        <f>IF(AND($A977&lt;&gt;"",M977=설정!$C$20,Z977&gt;0),Z977+ROW()/1000000000,"")</f>
        <v/>
      </c>
      <c r="AD977" s="94">
        <f>IF($A977="",0,$P977*AG977)</f>
        <v/>
      </c>
      <c r="AE977" s="64">
        <f>IF($A977="","",IFERROR(INDEX(계정매핑!$E$5:$E$504,MATCH($F977&amp;"",계정매핑!$A$5:$A$504,0))&amp;"","공통비"))</f>
        <v/>
      </c>
      <c r="AF977" s="64">
        <f>IF($A977="","",IF(AE977="직접",IFERROR(INDEX(계정매핑!$F$5:$F$504,MATCH($F977&amp;"",계정매핑!$A$5:$A$504,0))&amp;"","비귀속"),""))</f>
        <v/>
      </c>
      <c r="AG977" s="96">
        <f>IF($A977="",0,IF(AND(AE977&lt;&gt;"직접",IFERROR(INDEX(계정매핑!$G$5:$G$504,MATCH($F977&amp;"",계정매핑!$A$5:$A$504,0))&amp;"","")="유지비",COUNTIF(계정대체기준!$A$6:$A$15,$N977)&gt;0),IFERROR(INDEX(계정대체기준!$E$6:$E$15,MATCH(VALUE($A977&amp;""),계정대체기준!$D$6:$D$15,0)),0),0))</f>
        <v/>
      </c>
      <c r="AH977" s="64">
        <f>IF($A977="","",IF(AD977=0,"",IF(OR(COUNTIF(계정대체기준!$A$77:$A$86,$N977)&gt;0,ISNUMBER(MATCH($X977,계정대체기준!$D$77:$D$86,0)),ISNUMBER(MATCH($F977,계정대체기준!$D$77:$D$86,0))),"Y","N")))</f>
        <v/>
      </c>
    </row>
    <row r="978">
      <c r="A978" s="92" t="n">
        <v>2025</v>
      </c>
      <c r="B978" s="92" t="n">
        <v>5</v>
      </c>
      <c r="C978" s="92" t="inlineStr">
        <is>
          <t>5100000974</t>
        </is>
      </c>
      <c r="D978" s="95" t="n">
        <v>45785</v>
      </c>
      <c r="E978" s="92" t="inlineStr">
        <is>
          <t>KR</t>
        </is>
      </c>
      <c r="F978" s="92" t="n">
        <v>62901000</v>
      </c>
      <c r="G978" s="92" t="n">
        <v>1101</v>
      </c>
      <c r="H978" s="93" t="n">
        <v>2075000</v>
      </c>
      <c r="I978" s="92" t="inlineStr">
        <is>
          <t>5월 자문 수수료 - W컨설팅</t>
        </is>
      </c>
      <c r="J978" s="92" t="inlineStr">
        <is>
          <t>V10006</t>
        </is>
      </c>
      <c r="K978" s="92" t="inlineStr">
        <is>
          <t>W컨설팅</t>
        </is>
      </c>
      <c r="M978" s="9">
        <f>IF($A978="","",VALUE($A978&amp;"")*12+VALUE($B978&amp;""))</f>
        <v/>
      </c>
      <c r="N978" s="64">
        <f>IF($A978="","",IFERROR(INDEX(부서매핑!$C$5:$C$504,MATCH($G978&amp;"",부서매핑!$A$5:$A$504,0)),"미매핑"))</f>
        <v/>
      </c>
      <c r="O978" s="9">
        <f>IF($A978="","",N978&amp;"|"&amp;$F978)</f>
        <v/>
      </c>
      <c r="P978" s="94">
        <f>IF($A978="",0,$H978*설정!$C$23)</f>
        <v/>
      </c>
      <c r="Q978" s="64">
        <f>IF($A978="","",IF(O978&lt;&gt;원인분석!$C$9,"",IF(AND(M978&gt;=원인분석!$C$10,M978&lt;=원인분석!$C$11),"당기",IF(AND(M978&gt;=원인분석!$C$12,M978&lt;=원인분석!$C$13),"비교",""))))</f>
        <v/>
      </c>
      <c r="R978" s="9">
        <f>IF(Q978="","",$K978&amp;"")</f>
        <v/>
      </c>
      <c r="S978" s="9">
        <f>IF(Q978="","",IF(MATCH(R978,$R$5:$R$100000,0)=ROW()-4,ROW(),""))</f>
        <v/>
      </c>
      <c r="T978" s="9">
        <f>IF(Q978="당기",ABS(P978)+ROW()/1000000000,"")</f>
        <v/>
      </c>
      <c r="U978" s="9">
        <f>IF(Q978="비교",ABS(P978)+ROW()/1000000000,"")</f>
        <v/>
      </c>
      <c r="V978" s="64">
        <f>IF($A978="","",IF(COUNTIF(변동분석!$E$7:$E$506,O978)&gt;0,"Y","N"))</f>
        <v/>
      </c>
      <c r="W978" s="64">
        <f>IF($A978="","",IFERROR(INDEX(계정매핑!$D$5:$D$504,MATCH($F978&amp;"",계정매핑!$A$5:$A$504,0)),"미매핑"))</f>
        <v/>
      </c>
      <c r="X978" s="9">
        <f>IF($A978="","",$F978&amp;"")</f>
        <v/>
      </c>
      <c r="Y978" s="94">
        <f>IF($A978="",0,IF(AE978="직접",IF(AF978="비귀속",$P978,0),$P978*(1-AG978)*IFERROR(INDEX(계정대체기준!$F$20:$F$49,MATCH($N978,계정대체기준!$A$20:$A$49,0)),1)))</f>
        <v/>
      </c>
      <c r="Z978" s="94">
        <f>IF($A978="",0,IF(AE978="직접",IF(AF978="신계약비",$P978,0),$P978*(1-AG978)*IFERROR(INDEX(계정대체기준!$C$20:$C$49,MATCH($N978,계정대체기준!$A$20:$A$49,0)),0)))</f>
        <v/>
      </c>
      <c r="AA978" s="94">
        <f>IF($A978="",0,IF(AE978="직접",IF(OR(AF978="유지비",AF978="손해조사비"),$P978,0),$P978*(1-AG978)*IFERROR(INDEX(계정대체기준!$D$20:$D$49,MATCH($N978,계정대체기준!$A$20:$A$49,0)),0)))</f>
        <v/>
      </c>
      <c r="AB978" s="94">
        <f>IF($A978="",0,IF(AE978="직접",IF(AF978="수금비",$P978,0),$P978*(1-AG978)*IFERROR(INDEX(계정대체기준!$E$20:$E$49,MATCH($N978,계정대체기준!$A$20:$A$49,0)),0)))</f>
        <v/>
      </c>
      <c r="AC978" s="9">
        <f>IF(AND($A978&lt;&gt;"",M978=설정!$C$20,Z978&gt;0),Z978+ROW()/1000000000,"")</f>
        <v/>
      </c>
      <c r="AD978" s="94">
        <f>IF($A978="",0,$P978*AG978)</f>
        <v/>
      </c>
      <c r="AE978" s="64">
        <f>IF($A978="","",IFERROR(INDEX(계정매핑!$E$5:$E$504,MATCH($F978&amp;"",계정매핑!$A$5:$A$504,0))&amp;"","공통비"))</f>
        <v/>
      </c>
      <c r="AF978" s="64">
        <f>IF($A978="","",IF(AE978="직접",IFERROR(INDEX(계정매핑!$F$5:$F$504,MATCH($F978&amp;"",계정매핑!$A$5:$A$504,0))&amp;"","비귀속"),""))</f>
        <v/>
      </c>
      <c r="AG978" s="96">
        <f>IF($A978="",0,IF(AND(AE978&lt;&gt;"직접",IFERROR(INDEX(계정매핑!$G$5:$G$504,MATCH($F978&amp;"",계정매핑!$A$5:$A$504,0))&amp;"","")="유지비",COUNTIF(계정대체기준!$A$6:$A$15,$N978)&gt;0),IFERROR(INDEX(계정대체기준!$E$6:$E$15,MATCH(VALUE($A978&amp;""),계정대체기준!$D$6:$D$15,0)),0),0))</f>
        <v/>
      </c>
      <c r="AH978" s="64">
        <f>IF($A978="","",IF(AD978=0,"",IF(OR(COUNTIF(계정대체기준!$A$77:$A$86,$N978)&gt;0,ISNUMBER(MATCH($X978,계정대체기준!$D$77:$D$86,0)),ISNUMBER(MATCH($F978,계정대체기준!$D$77:$D$86,0))),"Y","N")))</f>
        <v/>
      </c>
    </row>
    <row r="979">
      <c r="A979" s="92" t="n">
        <v>2025</v>
      </c>
      <c r="B979" s="92" t="n">
        <v>5</v>
      </c>
      <c r="C979" s="92" t="inlineStr">
        <is>
          <t>5100000975</t>
        </is>
      </c>
      <c r="D979" s="95" t="n">
        <v>45785</v>
      </c>
      <c r="E979" s="92" t="inlineStr">
        <is>
          <t>KR</t>
        </is>
      </c>
      <c r="F979" s="92" t="n">
        <v>63501000</v>
      </c>
      <c r="G979" s="92" t="n">
        <v>1901</v>
      </c>
      <c r="H979" s="93" t="n">
        <v>464942000</v>
      </c>
      <c r="I979" s="92" t="inlineStr">
        <is>
          <t>5월 모집수수료 - (전속설계사)</t>
        </is>
      </c>
      <c r="J979" s="92" t="inlineStr">
        <is>
          <t>V10021</t>
        </is>
      </c>
      <c r="K979" s="92" t="inlineStr">
        <is>
          <t>(전속설계사)</t>
        </is>
      </c>
      <c r="M979" s="9">
        <f>IF($A979="","",VALUE($A979&amp;"")*12+VALUE($B979&amp;""))</f>
        <v/>
      </c>
      <c r="N979" s="64">
        <f>IF($A979="","",IFERROR(INDEX(부서매핑!$C$5:$C$504,MATCH($G979&amp;"",부서매핑!$A$5:$A$504,0)),"미매핑"))</f>
        <v/>
      </c>
      <c r="O979" s="9">
        <f>IF($A979="","",N979&amp;"|"&amp;$F979)</f>
        <v/>
      </c>
      <c r="P979" s="94">
        <f>IF($A979="",0,$H979*설정!$C$23)</f>
        <v/>
      </c>
      <c r="Q979" s="64">
        <f>IF($A979="","",IF(O979&lt;&gt;원인분석!$C$9,"",IF(AND(M979&gt;=원인분석!$C$10,M979&lt;=원인분석!$C$11),"당기",IF(AND(M979&gt;=원인분석!$C$12,M979&lt;=원인분석!$C$13),"비교",""))))</f>
        <v/>
      </c>
      <c r="R979" s="9">
        <f>IF(Q979="","",$K979&amp;"")</f>
        <v/>
      </c>
      <c r="S979" s="9">
        <f>IF(Q979="","",IF(MATCH(R979,$R$5:$R$100000,0)=ROW()-4,ROW(),""))</f>
        <v/>
      </c>
      <c r="T979" s="9">
        <f>IF(Q979="당기",ABS(P979)+ROW()/1000000000,"")</f>
        <v/>
      </c>
      <c r="U979" s="9">
        <f>IF(Q979="비교",ABS(P979)+ROW()/1000000000,"")</f>
        <v/>
      </c>
      <c r="V979" s="64">
        <f>IF($A979="","",IF(COUNTIF(변동분석!$E$7:$E$506,O979)&gt;0,"Y","N"))</f>
        <v/>
      </c>
      <c r="W979" s="64">
        <f>IF($A979="","",IFERROR(INDEX(계정매핑!$D$5:$D$504,MATCH($F979&amp;"",계정매핑!$A$5:$A$504,0)),"미매핑"))</f>
        <v/>
      </c>
      <c r="X979" s="9">
        <f>IF($A979="","",$F979&amp;"")</f>
        <v/>
      </c>
      <c r="Y979" s="94">
        <f>IF($A979="",0,IF(AE979="직접",IF(AF979="비귀속",$P979,0),$P979*(1-AG979)*IFERROR(INDEX(계정대체기준!$F$20:$F$49,MATCH($N979,계정대체기준!$A$20:$A$49,0)),1)))</f>
        <v/>
      </c>
      <c r="Z979" s="94">
        <f>IF($A979="",0,IF(AE979="직접",IF(AF979="신계약비",$P979,0),$P979*(1-AG979)*IFERROR(INDEX(계정대체기준!$C$20:$C$49,MATCH($N979,계정대체기준!$A$20:$A$49,0)),0)))</f>
        <v/>
      </c>
      <c r="AA979" s="94">
        <f>IF($A979="",0,IF(AE979="직접",IF(OR(AF979="유지비",AF979="손해조사비"),$P979,0),$P979*(1-AG979)*IFERROR(INDEX(계정대체기준!$D$20:$D$49,MATCH($N979,계정대체기준!$A$20:$A$49,0)),0)))</f>
        <v/>
      </c>
      <c r="AB979" s="94">
        <f>IF($A979="",0,IF(AE979="직접",IF(AF979="수금비",$P979,0),$P979*(1-AG979)*IFERROR(INDEX(계정대체기준!$E$20:$E$49,MATCH($N979,계정대체기준!$A$20:$A$49,0)),0)))</f>
        <v/>
      </c>
      <c r="AC979" s="9">
        <f>IF(AND($A979&lt;&gt;"",M979=설정!$C$20,Z979&gt;0),Z979+ROW()/1000000000,"")</f>
        <v/>
      </c>
      <c r="AD979" s="94">
        <f>IF($A979="",0,$P979*AG979)</f>
        <v/>
      </c>
      <c r="AE979" s="64">
        <f>IF($A979="","",IFERROR(INDEX(계정매핑!$E$5:$E$504,MATCH($F979&amp;"",계정매핑!$A$5:$A$504,0))&amp;"","공통비"))</f>
        <v/>
      </c>
      <c r="AF979" s="64">
        <f>IF($A979="","",IF(AE979="직접",IFERROR(INDEX(계정매핑!$F$5:$F$504,MATCH($F979&amp;"",계정매핑!$A$5:$A$504,0))&amp;"","비귀속"),""))</f>
        <v/>
      </c>
      <c r="AG979" s="96">
        <f>IF($A979="",0,IF(AND(AE979&lt;&gt;"직접",IFERROR(INDEX(계정매핑!$G$5:$G$504,MATCH($F979&amp;"",계정매핑!$A$5:$A$504,0))&amp;"","")="유지비",COUNTIF(계정대체기준!$A$6:$A$15,$N979)&gt;0),IFERROR(INDEX(계정대체기준!$E$6:$E$15,MATCH(VALUE($A979&amp;""),계정대체기준!$D$6:$D$15,0)),0),0))</f>
        <v/>
      </c>
      <c r="AH979" s="64">
        <f>IF($A979="","",IF(AD979=0,"",IF(OR(COUNTIF(계정대체기준!$A$77:$A$86,$N979)&gt;0,ISNUMBER(MATCH($X979,계정대체기준!$D$77:$D$86,0)),ISNUMBER(MATCH($F979,계정대체기준!$D$77:$D$86,0))),"Y","N")))</f>
        <v/>
      </c>
    </row>
    <row r="980">
      <c r="A980" s="92" t="n">
        <v>2025</v>
      </c>
      <c r="B980" s="92" t="n">
        <v>5</v>
      </c>
      <c r="C980" s="92" t="inlineStr">
        <is>
          <t>5100000976</t>
        </is>
      </c>
      <c r="D980" s="95" t="n">
        <v>45786</v>
      </c>
      <c r="E980" s="92" t="inlineStr">
        <is>
          <t>KR</t>
        </is>
      </c>
      <c r="F980" s="92" t="n">
        <v>62101000</v>
      </c>
      <c r="G980" s="92" t="n">
        <v>1401</v>
      </c>
      <c r="H980" s="93" t="n">
        <v>264000</v>
      </c>
      <c r="I980" s="92" t="inlineStr">
        <is>
          <t>5월 국내출장 - M항공</t>
        </is>
      </c>
      <c r="J980" s="92" t="inlineStr">
        <is>
          <t>V10001</t>
        </is>
      </c>
      <c r="K980" s="92" t="inlineStr">
        <is>
          <t>M항공</t>
        </is>
      </c>
      <c r="M980" s="9">
        <f>IF($A980="","",VALUE($A980&amp;"")*12+VALUE($B980&amp;""))</f>
        <v/>
      </c>
      <c r="N980" s="64">
        <f>IF($A980="","",IFERROR(INDEX(부서매핑!$C$5:$C$504,MATCH($G980&amp;"",부서매핑!$A$5:$A$504,0)),"미매핑"))</f>
        <v/>
      </c>
      <c r="O980" s="9">
        <f>IF($A980="","",N980&amp;"|"&amp;$F980)</f>
        <v/>
      </c>
      <c r="P980" s="94">
        <f>IF($A980="",0,$H980*설정!$C$23)</f>
        <v/>
      </c>
      <c r="Q980" s="64">
        <f>IF($A980="","",IF(O980&lt;&gt;원인분석!$C$9,"",IF(AND(M980&gt;=원인분석!$C$10,M980&lt;=원인분석!$C$11),"당기",IF(AND(M980&gt;=원인분석!$C$12,M980&lt;=원인분석!$C$13),"비교",""))))</f>
        <v/>
      </c>
      <c r="R980" s="9">
        <f>IF(Q980="","",$K980&amp;"")</f>
        <v/>
      </c>
      <c r="S980" s="9">
        <f>IF(Q980="","",IF(MATCH(R980,$R$5:$R$100000,0)=ROW()-4,ROW(),""))</f>
        <v/>
      </c>
      <c r="T980" s="9">
        <f>IF(Q980="당기",ABS(P980)+ROW()/1000000000,"")</f>
        <v/>
      </c>
      <c r="U980" s="9">
        <f>IF(Q980="비교",ABS(P980)+ROW()/1000000000,"")</f>
        <v/>
      </c>
      <c r="V980" s="64">
        <f>IF($A980="","",IF(COUNTIF(변동분석!$E$7:$E$506,O980)&gt;0,"Y","N"))</f>
        <v/>
      </c>
      <c r="W980" s="64">
        <f>IF($A980="","",IFERROR(INDEX(계정매핑!$D$5:$D$504,MATCH($F980&amp;"",계정매핑!$A$5:$A$504,0)),"미매핑"))</f>
        <v/>
      </c>
      <c r="X980" s="9">
        <f>IF($A980="","",$F980&amp;"")</f>
        <v/>
      </c>
      <c r="Y980" s="94">
        <f>IF($A980="",0,IF(AE980="직접",IF(AF980="비귀속",$P980,0),$P980*(1-AG980)*IFERROR(INDEX(계정대체기준!$F$20:$F$49,MATCH($N980,계정대체기준!$A$20:$A$49,0)),1)))</f>
        <v/>
      </c>
      <c r="Z980" s="94">
        <f>IF($A980="",0,IF(AE980="직접",IF(AF980="신계약비",$P980,0),$P980*(1-AG980)*IFERROR(INDEX(계정대체기준!$C$20:$C$49,MATCH($N980,계정대체기준!$A$20:$A$49,0)),0)))</f>
        <v/>
      </c>
      <c r="AA980" s="94">
        <f>IF($A980="",0,IF(AE980="직접",IF(OR(AF980="유지비",AF980="손해조사비"),$P980,0),$P980*(1-AG980)*IFERROR(INDEX(계정대체기준!$D$20:$D$49,MATCH($N980,계정대체기준!$A$20:$A$49,0)),0)))</f>
        <v/>
      </c>
      <c r="AB980" s="94">
        <f>IF($A980="",0,IF(AE980="직접",IF(AF980="수금비",$P980,0),$P980*(1-AG980)*IFERROR(INDEX(계정대체기준!$E$20:$E$49,MATCH($N980,계정대체기준!$A$20:$A$49,0)),0)))</f>
        <v/>
      </c>
      <c r="AC980" s="9">
        <f>IF(AND($A980&lt;&gt;"",M980=설정!$C$20,Z980&gt;0),Z980+ROW()/1000000000,"")</f>
        <v/>
      </c>
      <c r="AD980" s="94">
        <f>IF($A980="",0,$P980*AG980)</f>
        <v/>
      </c>
      <c r="AE980" s="64">
        <f>IF($A980="","",IFERROR(INDEX(계정매핑!$E$5:$E$504,MATCH($F980&amp;"",계정매핑!$A$5:$A$504,0))&amp;"","공통비"))</f>
        <v/>
      </c>
      <c r="AF980" s="64">
        <f>IF($A980="","",IF(AE980="직접",IFERROR(INDEX(계정매핑!$F$5:$F$504,MATCH($F980&amp;"",계정매핑!$A$5:$A$504,0))&amp;"","비귀속"),""))</f>
        <v/>
      </c>
      <c r="AG980" s="96">
        <f>IF($A980="",0,IF(AND(AE980&lt;&gt;"직접",IFERROR(INDEX(계정매핑!$G$5:$G$504,MATCH($F980&amp;"",계정매핑!$A$5:$A$504,0))&amp;"","")="유지비",COUNTIF(계정대체기준!$A$6:$A$15,$N980)&gt;0),IFERROR(INDEX(계정대체기준!$E$6:$E$15,MATCH(VALUE($A980&amp;""),계정대체기준!$D$6:$D$15,0)),0),0))</f>
        <v/>
      </c>
      <c r="AH980" s="64">
        <f>IF($A980="","",IF(AD980=0,"",IF(OR(COUNTIF(계정대체기준!$A$77:$A$86,$N980)&gt;0,ISNUMBER(MATCH($X980,계정대체기준!$D$77:$D$86,0)),ISNUMBER(MATCH($F980,계정대체기준!$D$77:$D$86,0))),"Y","N")))</f>
        <v/>
      </c>
    </row>
    <row r="981">
      <c r="A981" s="92" t="n">
        <v>2025</v>
      </c>
      <c r="B981" s="92" t="n">
        <v>5</v>
      </c>
      <c r="C981" s="92" t="inlineStr">
        <is>
          <t>5100000977</t>
        </is>
      </c>
      <c r="D981" s="95" t="n">
        <v>45786</v>
      </c>
      <c r="E981" s="92" t="inlineStr">
        <is>
          <t>KR</t>
        </is>
      </c>
      <c r="F981" s="92" t="n">
        <v>62101000</v>
      </c>
      <c r="G981" s="92" t="n">
        <v>1701</v>
      </c>
      <c r="H981" s="93" t="n">
        <v>169000</v>
      </c>
      <c r="I981" s="92" t="inlineStr">
        <is>
          <t>5월 국내출장 - L여행사</t>
        </is>
      </c>
      <c r="J981" s="92" t="inlineStr">
        <is>
          <t>V10018</t>
        </is>
      </c>
      <c r="K981" s="92" t="inlineStr">
        <is>
          <t>L여행사</t>
        </is>
      </c>
      <c r="M981" s="9">
        <f>IF($A981="","",VALUE($A981&amp;"")*12+VALUE($B981&amp;""))</f>
        <v/>
      </c>
      <c r="N981" s="64">
        <f>IF($A981="","",IFERROR(INDEX(부서매핑!$C$5:$C$504,MATCH($G981&amp;"",부서매핑!$A$5:$A$504,0)),"미매핑"))</f>
        <v/>
      </c>
      <c r="O981" s="9">
        <f>IF($A981="","",N981&amp;"|"&amp;$F981)</f>
        <v/>
      </c>
      <c r="P981" s="94">
        <f>IF($A981="",0,$H981*설정!$C$23)</f>
        <v/>
      </c>
      <c r="Q981" s="64">
        <f>IF($A981="","",IF(O981&lt;&gt;원인분석!$C$9,"",IF(AND(M981&gt;=원인분석!$C$10,M981&lt;=원인분석!$C$11),"당기",IF(AND(M981&gt;=원인분석!$C$12,M981&lt;=원인분석!$C$13),"비교",""))))</f>
        <v/>
      </c>
      <c r="R981" s="9">
        <f>IF(Q981="","",$K981&amp;"")</f>
        <v/>
      </c>
      <c r="S981" s="9">
        <f>IF(Q981="","",IF(MATCH(R981,$R$5:$R$100000,0)=ROW()-4,ROW(),""))</f>
        <v/>
      </c>
      <c r="T981" s="9">
        <f>IF(Q981="당기",ABS(P981)+ROW()/1000000000,"")</f>
        <v/>
      </c>
      <c r="U981" s="9">
        <f>IF(Q981="비교",ABS(P981)+ROW()/1000000000,"")</f>
        <v/>
      </c>
      <c r="V981" s="64">
        <f>IF($A981="","",IF(COUNTIF(변동분석!$E$7:$E$506,O981)&gt;0,"Y","N"))</f>
        <v/>
      </c>
      <c r="W981" s="64">
        <f>IF($A981="","",IFERROR(INDEX(계정매핑!$D$5:$D$504,MATCH($F981&amp;"",계정매핑!$A$5:$A$504,0)),"미매핑"))</f>
        <v/>
      </c>
      <c r="X981" s="9">
        <f>IF($A981="","",$F981&amp;"")</f>
        <v/>
      </c>
      <c r="Y981" s="94">
        <f>IF($A981="",0,IF(AE981="직접",IF(AF981="비귀속",$P981,0),$P981*(1-AG981)*IFERROR(INDEX(계정대체기준!$F$20:$F$49,MATCH($N981,계정대체기준!$A$20:$A$49,0)),1)))</f>
        <v/>
      </c>
      <c r="Z981" s="94">
        <f>IF($A981="",0,IF(AE981="직접",IF(AF981="신계약비",$P981,0),$P981*(1-AG981)*IFERROR(INDEX(계정대체기준!$C$20:$C$49,MATCH($N981,계정대체기준!$A$20:$A$49,0)),0)))</f>
        <v/>
      </c>
      <c r="AA981" s="94">
        <f>IF($A981="",0,IF(AE981="직접",IF(OR(AF981="유지비",AF981="손해조사비"),$P981,0),$P981*(1-AG981)*IFERROR(INDEX(계정대체기준!$D$20:$D$49,MATCH($N981,계정대체기준!$A$20:$A$49,0)),0)))</f>
        <v/>
      </c>
      <c r="AB981" s="94">
        <f>IF($A981="",0,IF(AE981="직접",IF(AF981="수금비",$P981,0),$P981*(1-AG981)*IFERROR(INDEX(계정대체기준!$E$20:$E$49,MATCH($N981,계정대체기준!$A$20:$A$49,0)),0)))</f>
        <v/>
      </c>
      <c r="AC981" s="9">
        <f>IF(AND($A981&lt;&gt;"",M981=설정!$C$20,Z981&gt;0),Z981+ROW()/1000000000,"")</f>
        <v/>
      </c>
      <c r="AD981" s="94">
        <f>IF($A981="",0,$P981*AG981)</f>
        <v/>
      </c>
      <c r="AE981" s="64">
        <f>IF($A981="","",IFERROR(INDEX(계정매핑!$E$5:$E$504,MATCH($F981&amp;"",계정매핑!$A$5:$A$504,0))&amp;"","공통비"))</f>
        <v/>
      </c>
      <c r="AF981" s="64">
        <f>IF($A981="","",IF(AE981="직접",IFERROR(INDEX(계정매핑!$F$5:$F$504,MATCH($F981&amp;"",계정매핑!$A$5:$A$504,0))&amp;"","비귀속"),""))</f>
        <v/>
      </c>
      <c r="AG981" s="96">
        <f>IF($A981="",0,IF(AND(AE981&lt;&gt;"직접",IFERROR(INDEX(계정매핑!$G$5:$G$504,MATCH($F981&amp;"",계정매핑!$A$5:$A$504,0))&amp;"","")="유지비",COUNTIF(계정대체기준!$A$6:$A$15,$N981)&gt;0),IFERROR(INDEX(계정대체기준!$E$6:$E$15,MATCH(VALUE($A981&amp;""),계정대체기준!$D$6:$D$15,0)),0),0))</f>
        <v/>
      </c>
      <c r="AH981" s="64">
        <f>IF($A981="","",IF(AD981=0,"",IF(OR(COUNTIF(계정대체기준!$A$77:$A$86,$N981)&gt;0,ISNUMBER(MATCH($X981,계정대체기준!$D$77:$D$86,0)),ISNUMBER(MATCH($F981,계정대체기준!$D$77:$D$86,0))),"Y","N")))</f>
        <v/>
      </c>
    </row>
    <row r="982">
      <c r="A982" s="92" t="n">
        <v>2025</v>
      </c>
      <c r="B982" s="92" t="n">
        <v>5</v>
      </c>
      <c r="C982" s="92" t="inlineStr">
        <is>
          <t>5100000978</t>
        </is>
      </c>
      <c r="D982" s="95" t="n">
        <v>45786</v>
      </c>
      <c r="E982" s="92" t="inlineStr">
        <is>
          <t>KR</t>
        </is>
      </c>
      <c r="F982" s="92" t="n">
        <v>62102000</v>
      </c>
      <c r="G982" s="92" t="n">
        <v>1602</v>
      </c>
      <c r="H982" s="93" t="n">
        <v>320000</v>
      </c>
      <c r="I982" s="92" t="inlineStr">
        <is>
          <t>5월 해외출장 - N호텔</t>
        </is>
      </c>
      <c r="J982" s="92" t="inlineStr">
        <is>
          <t>V10009</t>
        </is>
      </c>
      <c r="K982" s="92" t="inlineStr">
        <is>
          <t>N호텔</t>
        </is>
      </c>
      <c r="M982" s="9">
        <f>IF($A982="","",VALUE($A982&amp;"")*12+VALUE($B982&amp;""))</f>
        <v/>
      </c>
      <c r="N982" s="64">
        <f>IF($A982="","",IFERROR(INDEX(부서매핑!$C$5:$C$504,MATCH($G982&amp;"",부서매핑!$A$5:$A$504,0)),"미매핑"))</f>
        <v/>
      </c>
      <c r="O982" s="9">
        <f>IF($A982="","",N982&amp;"|"&amp;$F982)</f>
        <v/>
      </c>
      <c r="P982" s="94">
        <f>IF($A982="",0,$H982*설정!$C$23)</f>
        <v/>
      </c>
      <c r="Q982" s="64">
        <f>IF($A982="","",IF(O982&lt;&gt;원인분석!$C$9,"",IF(AND(M982&gt;=원인분석!$C$10,M982&lt;=원인분석!$C$11),"당기",IF(AND(M982&gt;=원인분석!$C$12,M982&lt;=원인분석!$C$13),"비교",""))))</f>
        <v/>
      </c>
      <c r="R982" s="9">
        <f>IF(Q982="","",$K982&amp;"")</f>
        <v/>
      </c>
      <c r="S982" s="9">
        <f>IF(Q982="","",IF(MATCH(R982,$R$5:$R$100000,0)=ROW()-4,ROW(),""))</f>
        <v/>
      </c>
      <c r="T982" s="9">
        <f>IF(Q982="당기",ABS(P982)+ROW()/1000000000,"")</f>
        <v/>
      </c>
      <c r="U982" s="9">
        <f>IF(Q982="비교",ABS(P982)+ROW()/1000000000,"")</f>
        <v/>
      </c>
      <c r="V982" s="64">
        <f>IF($A982="","",IF(COUNTIF(변동분석!$E$7:$E$506,O982)&gt;0,"Y","N"))</f>
        <v/>
      </c>
      <c r="W982" s="64">
        <f>IF($A982="","",IFERROR(INDEX(계정매핑!$D$5:$D$504,MATCH($F982&amp;"",계정매핑!$A$5:$A$504,0)),"미매핑"))</f>
        <v/>
      </c>
      <c r="X982" s="9">
        <f>IF($A982="","",$F982&amp;"")</f>
        <v/>
      </c>
      <c r="Y982" s="94">
        <f>IF($A982="",0,IF(AE982="직접",IF(AF982="비귀속",$P982,0),$P982*(1-AG982)*IFERROR(INDEX(계정대체기준!$F$20:$F$49,MATCH($N982,계정대체기준!$A$20:$A$49,0)),1)))</f>
        <v/>
      </c>
      <c r="Z982" s="94">
        <f>IF($A982="",0,IF(AE982="직접",IF(AF982="신계약비",$P982,0),$P982*(1-AG982)*IFERROR(INDEX(계정대체기준!$C$20:$C$49,MATCH($N982,계정대체기준!$A$20:$A$49,0)),0)))</f>
        <v/>
      </c>
      <c r="AA982" s="94">
        <f>IF($A982="",0,IF(AE982="직접",IF(OR(AF982="유지비",AF982="손해조사비"),$P982,0),$P982*(1-AG982)*IFERROR(INDEX(계정대체기준!$D$20:$D$49,MATCH($N982,계정대체기준!$A$20:$A$49,0)),0)))</f>
        <v/>
      </c>
      <c r="AB982" s="94">
        <f>IF($A982="",0,IF(AE982="직접",IF(AF982="수금비",$P982,0),$P982*(1-AG982)*IFERROR(INDEX(계정대체기준!$E$20:$E$49,MATCH($N982,계정대체기준!$A$20:$A$49,0)),0)))</f>
        <v/>
      </c>
      <c r="AC982" s="9">
        <f>IF(AND($A982&lt;&gt;"",M982=설정!$C$20,Z982&gt;0),Z982+ROW()/1000000000,"")</f>
        <v/>
      </c>
      <c r="AD982" s="94">
        <f>IF($A982="",0,$P982*AG982)</f>
        <v/>
      </c>
      <c r="AE982" s="64">
        <f>IF($A982="","",IFERROR(INDEX(계정매핑!$E$5:$E$504,MATCH($F982&amp;"",계정매핑!$A$5:$A$504,0))&amp;"","공통비"))</f>
        <v/>
      </c>
      <c r="AF982" s="64">
        <f>IF($A982="","",IF(AE982="직접",IFERROR(INDEX(계정매핑!$F$5:$F$504,MATCH($F982&amp;"",계정매핑!$A$5:$A$504,0))&amp;"","비귀속"),""))</f>
        <v/>
      </c>
      <c r="AG982" s="96">
        <f>IF($A982="",0,IF(AND(AE982&lt;&gt;"직접",IFERROR(INDEX(계정매핑!$G$5:$G$504,MATCH($F982&amp;"",계정매핑!$A$5:$A$504,0))&amp;"","")="유지비",COUNTIF(계정대체기준!$A$6:$A$15,$N982)&gt;0),IFERROR(INDEX(계정대체기준!$E$6:$E$15,MATCH(VALUE($A982&amp;""),계정대체기준!$D$6:$D$15,0)),0),0))</f>
        <v/>
      </c>
      <c r="AH982" s="64">
        <f>IF($A982="","",IF(AD982=0,"",IF(OR(COUNTIF(계정대체기준!$A$77:$A$86,$N982)&gt;0,ISNUMBER(MATCH($X982,계정대체기준!$D$77:$D$86,0)),ISNUMBER(MATCH($F982,계정대체기준!$D$77:$D$86,0))),"Y","N")))</f>
        <v/>
      </c>
    </row>
    <row r="983">
      <c r="A983" s="92" t="n">
        <v>2025</v>
      </c>
      <c r="B983" s="92" t="n">
        <v>5</v>
      </c>
      <c r="C983" s="92" t="inlineStr">
        <is>
          <t>5100000979</t>
        </is>
      </c>
      <c r="D983" s="95" t="n">
        <v>45786</v>
      </c>
      <c r="E983" s="92" t="inlineStr">
        <is>
          <t>KR</t>
        </is>
      </c>
      <c r="F983" s="92" t="n">
        <v>62201000</v>
      </c>
      <c r="G983" s="92" t="n">
        <v>1502</v>
      </c>
      <c r="H983" s="93" t="n">
        <v>322000</v>
      </c>
      <c r="I983" s="92" t="inlineStr">
        <is>
          <t>5월 통신요금 - O텔레콤</t>
        </is>
      </c>
      <c r="J983" s="92" t="inlineStr">
        <is>
          <t>V10002</t>
        </is>
      </c>
      <c r="K983" s="92" t="inlineStr">
        <is>
          <t>O텔레콤</t>
        </is>
      </c>
      <c r="M983" s="9">
        <f>IF($A983="","",VALUE($A983&amp;"")*12+VALUE($B983&amp;""))</f>
        <v/>
      </c>
      <c r="N983" s="64">
        <f>IF($A983="","",IFERROR(INDEX(부서매핑!$C$5:$C$504,MATCH($G983&amp;"",부서매핑!$A$5:$A$504,0)),"미매핑"))</f>
        <v/>
      </c>
      <c r="O983" s="9">
        <f>IF($A983="","",N983&amp;"|"&amp;$F983)</f>
        <v/>
      </c>
      <c r="P983" s="94">
        <f>IF($A983="",0,$H983*설정!$C$23)</f>
        <v/>
      </c>
      <c r="Q983" s="64">
        <f>IF($A983="","",IF(O983&lt;&gt;원인분석!$C$9,"",IF(AND(M983&gt;=원인분석!$C$10,M983&lt;=원인분석!$C$11),"당기",IF(AND(M983&gt;=원인분석!$C$12,M983&lt;=원인분석!$C$13),"비교",""))))</f>
        <v/>
      </c>
      <c r="R983" s="9">
        <f>IF(Q983="","",$K983&amp;"")</f>
        <v/>
      </c>
      <c r="S983" s="9">
        <f>IF(Q983="","",IF(MATCH(R983,$R$5:$R$100000,0)=ROW()-4,ROW(),""))</f>
        <v/>
      </c>
      <c r="T983" s="9">
        <f>IF(Q983="당기",ABS(P983)+ROW()/1000000000,"")</f>
        <v/>
      </c>
      <c r="U983" s="9">
        <f>IF(Q983="비교",ABS(P983)+ROW()/1000000000,"")</f>
        <v/>
      </c>
      <c r="V983" s="64">
        <f>IF($A983="","",IF(COUNTIF(변동분석!$E$7:$E$506,O983)&gt;0,"Y","N"))</f>
        <v/>
      </c>
      <c r="W983" s="64">
        <f>IF($A983="","",IFERROR(INDEX(계정매핑!$D$5:$D$504,MATCH($F983&amp;"",계정매핑!$A$5:$A$504,0)),"미매핑"))</f>
        <v/>
      </c>
      <c r="X983" s="9">
        <f>IF($A983="","",$F983&amp;"")</f>
        <v/>
      </c>
      <c r="Y983" s="94">
        <f>IF($A983="",0,IF(AE983="직접",IF(AF983="비귀속",$P983,0),$P983*(1-AG983)*IFERROR(INDEX(계정대체기준!$F$20:$F$49,MATCH($N983,계정대체기준!$A$20:$A$49,0)),1)))</f>
        <v/>
      </c>
      <c r="Z983" s="94">
        <f>IF($A983="",0,IF(AE983="직접",IF(AF983="신계약비",$P983,0),$P983*(1-AG983)*IFERROR(INDEX(계정대체기준!$C$20:$C$49,MATCH($N983,계정대체기준!$A$20:$A$49,0)),0)))</f>
        <v/>
      </c>
      <c r="AA983" s="94">
        <f>IF($A983="",0,IF(AE983="직접",IF(OR(AF983="유지비",AF983="손해조사비"),$P983,0),$P983*(1-AG983)*IFERROR(INDEX(계정대체기준!$D$20:$D$49,MATCH($N983,계정대체기준!$A$20:$A$49,0)),0)))</f>
        <v/>
      </c>
      <c r="AB983" s="94">
        <f>IF($A983="",0,IF(AE983="직접",IF(AF983="수금비",$P983,0),$P983*(1-AG983)*IFERROR(INDEX(계정대체기준!$E$20:$E$49,MATCH($N983,계정대체기준!$A$20:$A$49,0)),0)))</f>
        <v/>
      </c>
      <c r="AC983" s="9">
        <f>IF(AND($A983&lt;&gt;"",M983=설정!$C$20,Z983&gt;0),Z983+ROW()/1000000000,"")</f>
        <v/>
      </c>
      <c r="AD983" s="94">
        <f>IF($A983="",0,$P983*AG983)</f>
        <v/>
      </c>
      <c r="AE983" s="64">
        <f>IF($A983="","",IFERROR(INDEX(계정매핑!$E$5:$E$504,MATCH($F983&amp;"",계정매핑!$A$5:$A$504,0))&amp;"","공통비"))</f>
        <v/>
      </c>
      <c r="AF983" s="64">
        <f>IF($A983="","",IF(AE983="직접",IFERROR(INDEX(계정매핑!$F$5:$F$504,MATCH($F983&amp;"",계정매핑!$A$5:$A$504,0))&amp;"","비귀속"),""))</f>
        <v/>
      </c>
      <c r="AG983" s="96">
        <f>IF($A983="",0,IF(AND(AE983&lt;&gt;"직접",IFERROR(INDEX(계정매핑!$G$5:$G$504,MATCH($F983&amp;"",계정매핑!$A$5:$A$504,0))&amp;"","")="유지비",COUNTIF(계정대체기준!$A$6:$A$15,$N983)&gt;0),IFERROR(INDEX(계정대체기준!$E$6:$E$15,MATCH(VALUE($A983&amp;""),계정대체기준!$D$6:$D$15,0)),0),0))</f>
        <v/>
      </c>
      <c r="AH983" s="64">
        <f>IF($A983="","",IF(AD983=0,"",IF(OR(COUNTIF(계정대체기준!$A$77:$A$86,$N983)&gt;0,ISNUMBER(MATCH($X983,계정대체기준!$D$77:$D$86,0)),ISNUMBER(MATCH($F983,계정대체기준!$D$77:$D$86,0))),"Y","N")))</f>
        <v/>
      </c>
    </row>
    <row r="984">
      <c r="A984" s="92" t="n">
        <v>2025</v>
      </c>
      <c r="B984" s="92" t="n">
        <v>5</v>
      </c>
      <c r="C984" s="92" t="inlineStr">
        <is>
          <t>5100000980</t>
        </is>
      </c>
      <c r="D984" s="95" t="n">
        <v>45786</v>
      </c>
      <c r="E984" s="92" t="inlineStr">
        <is>
          <t>KR</t>
        </is>
      </c>
      <c r="F984" s="92" t="n">
        <v>62301000</v>
      </c>
      <c r="G984" s="92" t="n">
        <v>1801</v>
      </c>
      <c r="H984" s="93" t="n">
        <v>573000</v>
      </c>
      <c r="I984" s="92" t="inlineStr">
        <is>
          <t>5월 소모품 구입 - Q오피스</t>
        </is>
      </c>
      <c r="J984" s="92" t="inlineStr">
        <is>
          <t>V10003</t>
        </is>
      </c>
      <c r="K984" s="92" t="inlineStr">
        <is>
          <t>Q오피스</t>
        </is>
      </c>
      <c r="M984" s="9">
        <f>IF($A984="","",VALUE($A984&amp;"")*12+VALUE($B984&amp;""))</f>
        <v/>
      </c>
      <c r="N984" s="64">
        <f>IF($A984="","",IFERROR(INDEX(부서매핑!$C$5:$C$504,MATCH($G984&amp;"",부서매핑!$A$5:$A$504,0)),"미매핑"))</f>
        <v/>
      </c>
      <c r="O984" s="9">
        <f>IF($A984="","",N984&amp;"|"&amp;$F984)</f>
        <v/>
      </c>
      <c r="P984" s="94">
        <f>IF($A984="",0,$H984*설정!$C$23)</f>
        <v/>
      </c>
      <c r="Q984" s="64">
        <f>IF($A984="","",IF(O984&lt;&gt;원인분석!$C$9,"",IF(AND(M984&gt;=원인분석!$C$10,M984&lt;=원인분석!$C$11),"당기",IF(AND(M984&gt;=원인분석!$C$12,M984&lt;=원인분석!$C$13),"비교",""))))</f>
        <v/>
      </c>
      <c r="R984" s="9">
        <f>IF(Q984="","",$K984&amp;"")</f>
        <v/>
      </c>
      <c r="S984" s="9">
        <f>IF(Q984="","",IF(MATCH(R984,$R$5:$R$100000,0)=ROW()-4,ROW(),""))</f>
        <v/>
      </c>
      <c r="T984" s="9">
        <f>IF(Q984="당기",ABS(P984)+ROW()/1000000000,"")</f>
        <v/>
      </c>
      <c r="U984" s="9">
        <f>IF(Q984="비교",ABS(P984)+ROW()/1000000000,"")</f>
        <v/>
      </c>
      <c r="V984" s="64">
        <f>IF($A984="","",IF(COUNTIF(변동분석!$E$7:$E$506,O984)&gt;0,"Y","N"))</f>
        <v/>
      </c>
      <c r="W984" s="64">
        <f>IF($A984="","",IFERROR(INDEX(계정매핑!$D$5:$D$504,MATCH($F984&amp;"",계정매핑!$A$5:$A$504,0)),"미매핑"))</f>
        <v/>
      </c>
      <c r="X984" s="9">
        <f>IF($A984="","",$F984&amp;"")</f>
        <v/>
      </c>
      <c r="Y984" s="94">
        <f>IF($A984="",0,IF(AE984="직접",IF(AF984="비귀속",$P984,0),$P984*(1-AG984)*IFERROR(INDEX(계정대체기준!$F$20:$F$49,MATCH($N984,계정대체기준!$A$20:$A$49,0)),1)))</f>
        <v/>
      </c>
      <c r="Z984" s="94">
        <f>IF($A984="",0,IF(AE984="직접",IF(AF984="신계약비",$P984,0),$P984*(1-AG984)*IFERROR(INDEX(계정대체기준!$C$20:$C$49,MATCH($N984,계정대체기준!$A$20:$A$49,0)),0)))</f>
        <v/>
      </c>
      <c r="AA984" s="94">
        <f>IF($A984="",0,IF(AE984="직접",IF(OR(AF984="유지비",AF984="손해조사비"),$P984,0),$P984*(1-AG984)*IFERROR(INDEX(계정대체기준!$D$20:$D$49,MATCH($N984,계정대체기준!$A$20:$A$49,0)),0)))</f>
        <v/>
      </c>
      <c r="AB984" s="94">
        <f>IF($A984="",0,IF(AE984="직접",IF(AF984="수금비",$P984,0),$P984*(1-AG984)*IFERROR(INDEX(계정대체기준!$E$20:$E$49,MATCH($N984,계정대체기준!$A$20:$A$49,0)),0)))</f>
        <v/>
      </c>
      <c r="AC984" s="9">
        <f>IF(AND($A984&lt;&gt;"",M984=설정!$C$20,Z984&gt;0),Z984+ROW()/1000000000,"")</f>
        <v/>
      </c>
      <c r="AD984" s="94">
        <f>IF($A984="",0,$P984*AG984)</f>
        <v/>
      </c>
      <c r="AE984" s="64">
        <f>IF($A984="","",IFERROR(INDEX(계정매핑!$E$5:$E$504,MATCH($F984&amp;"",계정매핑!$A$5:$A$504,0))&amp;"","공통비"))</f>
        <v/>
      </c>
      <c r="AF984" s="64">
        <f>IF($A984="","",IF(AE984="직접",IFERROR(INDEX(계정매핑!$F$5:$F$504,MATCH($F984&amp;"",계정매핑!$A$5:$A$504,0))&amp;"","비귀속"),""))</f>
        <v/>
      </c>
      <c r="AG984" s="96">
        <f>IF($A984="",0,IF(AND(AE984&lt;&gt;"직접",IFERROR(INDEX(계정매핑!$G$5:$G$504,MATCH($F984&amp;"",계정매핑!$A$5:$A$504,0))&amp;"","")="유지비",COUNTIF(계정대체기준!$A$6:$A$15,$N984)&gt;0),IFERROR(INDEX(계정대체기준!$E$6:$E$15,MATCH(VALUE($A984&amp;""),계정대체기준!$D$6:$D$15,0)),0),0))</f>
        <v/>
      </c>
      <c r="AH984" s="64">
        <f>IF($A984="","",IF(AD984=0,"",IF(OR(COUNTIF(계정대체기준!$A$77:$A$86,$N984)&gt;0,ISNUMBER(MATCH($X984,계정대체기준!$D$77:$D$86,0)),ISNUMBER(MATCH($F984,계정대체기준!$D$77:$D$86,0))),"Y","N")))</f>
        <v/>
      </c>
    </row>
    <row r="985">
      <c r="A985" s="92" t="n">
        <v>2025</v>
      </c>
      <c r="B985" s="92" t="n">
        <v>5</v>
      </c>
      <c r="C985" s="92" t="inlineStr">
        <is>
          <t>5100000981</t>
        </is>
      </c>
      <c r="D985" s="95" t="n">
        <v>45786</v>
      </c>
      <c r="E985" s="92" t="inlineStr">
        <is>
          <t>KR</t>
        </is>
      </c>
      <c r="F985" s="92" t="n">
        <v>62802000</v>
      </c>
      <c r="G985" s="92" t="n">
        <v>1301</v>
      </c>
      <c r="H985" s="93" t="n">
        <v>6999000</v>
      </c>
      <c r="I985" s="92" t="inlineStr">
        <is>
          <t>5월 위탁교육 - V아카데미</t>
        </is>
      </c>
      <c r="J985" s="92" t="inlineStr">
        <is>
          <t>V10027</t>
        </is>
      </c>
      <c r="K985" s="92" t="inlineStr">
        <is>
          <t>V아카데미</t>
        </is>
      </c>
      <c r="M985" s="9">
        <f>IF($A985="","",VALUE($A985&amp;"")*12+VALUE($B985&amp;""))</f>
        <v/>
      </c>
      <c r="N985" s="64">
        <f>IF($A985="","",IFERROR(INDEX(부서매핑!$C$5:$C$504,MATCH($G985&amp;"",부서매핑!$A$5:$A$504,0)),"미매핑"))</f>
        <v/>
      </c>
      <c r="O985" s="9">
        <f>IF($A985="","",N985&amp;"|"&amp;$F985)</f>
        <v/>
      </c>
      <c r="P985" s="94">
        <f>IF($A985="",0,$H985*설정!$C$23)</f>
        <v/>
      </c>
      <c r="Q985" s="64">
        <f>IF($A985="","",IF(O985&lt;&gt;원인분석!$C$9,"",IF(AND(M985&gt;=원인분석!$C$10,M985&lt;=원인분석!$C$11),"당기",IF(AND(M985&gt;=원인분석!$C$12,M985&lt;=원인분석!$C$13),"비교",""))))</f>
        <v/>
      </c>
      <c r="R985" s="9">
        <f>IF(Q985="","",$K985&amp;"")</f>
        <v/>
      </c>
      <c r="S985" s="9">
        <f>IF(Q985="","",IF(MATCH(R985,$R$5:$R$100000,0)=ROW()-4,ROW(),""))</f>
        <v/>
      </c>
      <c r="T985" s="9">
        <f>IF(Q985="당기",ABS(P985)+ROW()/1000000000,"")</f>
        <v/>
      </c>
      <c r="U985" s="9">
        <f>IF(Q985="비교",ABS(P985)+ROW()/1000000000,"")</f>
        <v/>
      </c>
      <c r="V985" s="64">
        <f>IF($A985="","",IF(COUNTIF(변동분석!$E$7:$E$506,O985)&gt;0,"Y","N"))</f>
        <v/>
      </c>
      <c r="W985" s="64">
        <f>IF($A985="","",IFERROR(INDEX(계정매핑!$D$5:$D$504,MATCH($F985&amp;"",계정매핑!$A$5:$A$504,0)),"미매핑"))</f>
        <v/>
      </c>
      <c r="X985" s="9">
        <f>IF($A985="","",$F985&amp;"")</f>
        <v/>
      </c>
      <c r="Y985" s="94">
        <f>IF($A985="",0,IF(AE985="직접",IF(AF985="비귀속",$P985,0),$P985*(1-AG985)*IFERROR(INDEX(계정대체기준!$F$20:$F$49,MATCH($N985,계정대체기준!$A$20:$A$49,0)),1)))</f>
        <v/>
      </c>
      <c r="Z985" s="94">
        <f>IF($A985="",0,IF(AE985="직접",IF(AF985="신계약비",$P985,0),$P985*(1-AG985)*IFERROR(INDEX(계정대체기준!$C$20:$C$49,MATCH($N985,계정대체기준!$A$20:$A$49,0)),0)))</f>
        <v/>
      </c>
      <c r="AA985" s="94">
        <f>IF($A985="",0,IF(AE985="직접",IF(OR(AF985="유지비",AF985="손해조사비"),$P985,0),$P985*(1-AG985)*IFERROR(INDEX(계정대체기준!$D$20:$D$49,MATCH($N985,계정대체기준!$A$20:$A$49,0)),0)))</f>
        <v/>
      </c>
      <c r="AB985" s="94">
        <f>IF($A985="",0,IF(AE985="직접",IF(AF985="수금비",$P985,0),$P985*(1-AG985)*IFERROR(INDEX(계정대체기준!$E$20:$E$49,MATCH($N985,계정대체기준!$A$20:$A$49,0)),0)))</f>
        <v/>
      </c>
      <c r="AC985" s="9">
        <f>IF(AND($A985&lt;&gt;"",M985=설정!$C$20,Z985&gt;0),Z985+ROW()/1000000000,"")</f>
        <v/>
      </c>
      <c r="AD985" s="94">
        <f>IF($A985="",0,$P985*AG985)</f>
        <v/>
      </c>
      <c r="AE985" s="64">
        <f>IF($A985="","",IFERROR(INDEX(계정매핑!$E$5:$E$504,MATCH($F985&amp;"",계정매핑!$A$5:$A$504,0))&amp;"","공통비"))</f>
        <v/>
      </c>
      <c r="AF985" s="64">
        <f>IF($A985="","",IF(AE985="직접",IFERROR(INDEX(계정매핑!$F$5:$F$504,MATCH($F985&amp;"",계정매핑!$A$5:$A$504,0))&amp;"","비귀속"),""))</f>
        <v/>
      </c>
      <c r="AG985" s="96">
        <f>IF($A985="",0,IF(AND(AE985&lt;&gt;"직접",IFERROR(INDEX(계정매핑!$G$5:$G$504,MATCH($F985&amp;"",계정매핑!$A$5:$A$504,0))&amp;"","")="유지비",COUNTIF(계정대체기준!$A$6:$A$15,$N985)&gt;0),IFERROR(INDEX(계정대체기준!$E$6:$E$15,MATCH(VALUE($A985&amp;""),계정대체기준!$D$6:$D$15,0)),0),0))</f>
        <v/>
      </c>
      <c r="AH985" s="64">
        <f>IF($A985="","",IF(AD985=0,"",IF(OR(COUNTIF(계정대체기준!$A$77:$A$86,$N985)&gt;0,ISNUMBER(MATCH($X985,계정대체기준!$D$77:$D$86,0)),ISNUMBER(MATCH($F985,계정대체기준!$D$77:$D$86,0))),"Y","N")))</f>
        <v/>
      </c>
    </row>
    <row r="986">
      <c r="A986" s="92" t="n">
        <v>2025</v>
      </c>
      <c r="B986" s="92" t="n">
        <v>5</v>
      </c>
      <c r="C986" s="92" t="inlineStr">
        <is>
          <t>5100000982</t>
        </is>
      </c>
      <c r="D986" s="95" t="n">
        <v>45786</v>
      </c>
      <c r="E986" s="92" t="inlineStr">
        <is>
          <t>KR</t>
        </is>
      </c>
      <c r="F986" s="92" t="n">
        <v>62901000</v>
      </c>
      <c r="G986" s="92" t="n">
        <v>1201</v>
      </c>
      <c r="H986" s="93" t="n">
        <v>6696000</v>
      </c>
      <c r="I986" s="92" t="inlineStr">
        <is>
          <t>5월 자문 수수료 - W컨설팅</t>
        </is>
      </c>
      <c r="J986" s="92" t="inlineStr">
        <is>
          <t>V10006</t>
        </is>
      </c>
      <c r="K986" s="92" t="inlineStr">
        <is>
          <t>W컨설팅</t>
        </is>
      </c>
      <c r="M986" s="9">
        <f>IF($A986="","",VALUE($A986&amp;"")*12+VALUE($B986&amp;""))</f>
        <v/>
      </c>
      <c r="N986" s="64">
        <f>IF($A986="","",IFERROR(INDEX(부서매핑!$C$5:$C$504,MATCH($G986&amp;"",부서매핑!$A$5:$A$504,0)),"미매핑"))</f>
        <v/>
      </c>
      <c r="O986" s="9">
        <f>IF($A986="","",N986&amp;"|"&amp;$F986)</f>
        <v/>
      </c>
      <c r="P986" s="94">
        <f>IF($A986="",0,$H986*설정!$C$23)</f>
        <v/>
      </c>
      <c r="Q986" s="64">
        <f>IF($A986="","",IF(O986&lt;&gt;원인분석!$C$9,"",IF(AND(M986&gt;=원인분석!$C$10,M986&lt;=원인분석!$C$11),"당기",IF(AND(M986&gt;=원인분석!$C$12,M986&lt;=원인분석!$C$13),"비교",""))))</f>
        <v/>
      </c>
      <c r="R986" s="9">
        <f>IF(Q986="","",$K986&amp;"")</f>
        <v/>
      </c>
      <c r="S986" s="9">
        <f>IF(Q986="","",IF(MATCH(R986,$R$5:$R$100000,0)=ROW()-4,ROW(),""))</f>
        <v/>
      </c>
      <c r="T986" s="9">
        <f>IF(Q986="당기",ABS(P986)+ROW()/1000000000,"")</f>
        <v/>
      </c>
      <c r="U986" s="9">
        <f>IF(Q986="비교",ABS(P986)+ROW()/1000000000,"")</f>
        <v/>
      </c>
      <c r="V986" s="64">
        <f>IF($A986="","",IF(COUNTIF(변동분석!$E$7:$E$506,O986)&gt;0,"Y","N"))</f>
        <v/>
      </c>
      <c r="W986" s="64">
        <f>IF($A986="","",IFERROR(INDEX(계정매핑!$D$5:$D$504,MATCH($F986&amp;"",계정매핑!$A$5:$A$504,0)),"미매핑"))</f>
        <v/>
      </c>
      <c r="X986" s="9">
        <f>IF($A986="","",$F986&amp;"")</f>
        <v/>
      </c>
      <c r="Y986" s="94">
        <f>IF($A986="",0,IF(AE986="직접",IF(AF986="비귀속",$P986,0),$P986*(1-AG986)*IFERROR(INDEX(계정대체기준!$F$20:$F$49,MATCH($N986,계정대체기준!$A$20:$A$49,0)),1)))</f>
        <v/>
      </c>
      <c r="Z986" s="94">
        <f>IF($A986="",0,IF(AE986="직접",IF(AF986="신계약비",$P986,0),$P986*(1-AG986)*IFERROR(INDEX(계정대체기준!$C$20:$C$49,MATCH($N986,계정대체기준!$A$20:$A$49,0)),0)))</f>
        <v/>
      </c>
      <c r="AA986" s="94">
        <f>IF($A986="",0,IF(AE986="직접",IF(OR(AF986="유지비",AF986="손해조사비"),$P986,0),$P986*(1-AG986)*IFERROR(INDEX(계정대체기준!$D$20:$D$49,MATCH($N986,계정대체기준!$A$20:$A$49,0)),0)))</f>
        <v/>
      </c>
      <c r="AB986" s="94">
        <f>IF($A986="",0,IF(AE986="직접",IF(AF986="수금비",$P986,0),$P986*(1-AG986)*IFERROR(INDEX(계정대체기준!$E$20:$E$49,MATCH($N986,계정대체기준!$A$20:$A$49,0)),0)))</f>
        <v/>
      </c>
      <c r="AC986" s="9">
        <f>IF(AND($A986&lt;&gt;"",M986=설정!$C$20,Z986&gt;0),Z986+ROW()/1000000000,"")</f>
        <v/>
      </c>
      <c r="AD986" s="94">
        <f>IF($A986="",0,$P986*AG986)</f>
        <v/>
      </c>
      <c r="AE986" s="64">
        <f>IF($A986="","",IFERROR(INDEX(계정매핑!$E$5:$E$504,MATCH($F986&amp;"",계정매핑!$A$5:$A$504,0))&amp;"","공통비"))</f>
        <v/>
      </c>
      <c r="AF986" s="64">
        <f>IF($A986="","",IF(AE986="직접",IFERROR(INDEX(계정매핑!$F$5:$F$504,MATCH($F986&amp;"",계정매핑!$A$5:$A$504,0))&amp;"","비귀속"),""))</f>
        <v/>
      </c>
      <c r="AG986" s="96">
        <f>IF($A986="",0,IF(AND(AE986&lt;&gt;"직접",IFERROR(INDEX(계정매핑!$G$5:$G$504,MATCH($F986&amp;"",계정매핑!$A$5:$A$504,0))&amp;"","")="유지비",COUNTIF(계정대체기준!$A$6:$A$15,$N986)&gt;0),IFERROR(INDEX(계정대체기준!$E$6:$E$15,MATCH(VALUE($A986&amp;""),계정대체기준!$D$6:$D$15,0)),0),0))</f>
        <v/>
      </c>
      <c r="AH986" s="64">
        <f>IF($A986="","",IF(AD986=0,"",IF(OR(COUNTIF(계정대체기준!$A$77:$A$86,$N986)&gt;0,ISNUMBER(MATCH($X986,계정대체기준!$D$77:$D$86,0)),ISNUMBER(MATCH($F986,계정대체기준!$D$77:$D$86,0))),"Y","N")))</f>
        <v/>
      </c>
    </row>
    <row r="987">
      <c r="A987" s="92" t="n">
        <v>2025</v>
      </c>
      <c r="B987" s="92" t="n">
        <v>5</v>
      </c>
      <c r="C987" s="92" t="inlineStr">
        <is>
          <t>5100000983</t>
        </is>
      </c>
      <c r="D987" s="95" t="n">
        <v>45786</v>
      </c>
      <c r="E987" s="92" t="inlineStr">
        <is>
          <t>KR</t>
        </is>
      </c>
      <c r="F987" s="92" t="n">
        <v>62902000</v>
      </c>
      <c r="G987" s="92" t="n">
        <v>1201</v>
      </c>
      <c r="H987" s="93" t="n">
        <v>2643000</v>
      </c>
      <c r="I987" s="92" t="inlineStr">
        <is>
          <t>5월 업무 위탁 수수료 - J콜센터</t>
        </is>
      </c>
      <c r="J987" s="92" t="inlineStr">
        <is>
          <t>V10016</t>
        </is>
      </c>
      <c r="K987" s="92" t="inlineStr">
        <is>
          <t>J콜센터</t>
        </is>
      </c>
      <c r="M987" s="9">
        <f>IF($A987="","",VALUE($A987&amp;"")*12+VALUE($B987&amp;""))</f>
        <v/>
      </c>
      <c r="N987" s="64">
        <f>IF($A987="","",IFERROR(INDEX(부서매핑!$C$5:$C$504,MATCH($G987&amp;"",부서매핑!$A$5:$A$504,0)),"미매핑"))</f>
        <v/>
      </c>
      <c r="O987" s="9">
        <f>IF($A987="","",N987&amp;"|"&amp;$F987)</f>
        <v/>
      </c>
      <c r="P987" s="94">
        <f>IF($A987="",0,$H987*설정!$C$23)</f>
        <v/>
      </c>
      <c r="Q987" s="64">
        <f>IF($A987="","",IF(O987&lt;&gt;원인분석!$C$9,"",IF(AND(M987&gt;=원인분석!$C$10,M987&lt;=원인분석!$C$11),"당기",IF(AND(M987&gt;=원인분석!$C$12,M987&lt;=원인분석!$C$13),"비교",""))))</f>
        <v/>
      </c>
      <c r="R987" s="9">
        <f>IF(Q987="","",$K987&amp;"")</f>
        <v/>
      </c>
      <c r="S987" s="9">
        <f>IF(Q987="","",IF(MATCH(R987,$R$5:$R$100000,0)=ROW()-4,ROW(),""))</f>
        <v/>
      </c>
      <c r="T987" s="9">
        <f>IF(Q987="당기",ABS(P987)+ROW()/1000000000,"")</f>
        <v/>
      </c>
      <c r="U987" s="9">
        <f>IF(Q987="비교",ABS(P987)+ROW()/1000000000,"")</f>
        <v/>
      </c>
      <c r="V987" s="64">
        <f>IF($A987="","",IF(COUNTIF(변동분석!$E$7:$E$506,O987)&gt;0,"Y","N"))</f>
        <v/>
      </c>
      <c r="W987" s="64">
        <f>IF($A987="","",IFERROR(INDEX(계정매핑!$D$5:$D$504,MATCH($F987&amp;"",계정매핑!$A$5:$A$504,0)),"미매핑"))</f>
        <v/>
      </c>
      <c r="X987" s="9">
        <f>IF($A987="","",$F987&amp;"")</f>
        <v/>
      </c>
      <c r="Y987" s="94">
        <f>IF($A987="",0,IF(AE987="직접",IF(AF987="비귀속",$P987,0),$P987*(1-AG987)*IFERROR(INDEX(계정대체기준!$F$20:$F$49,MATCH($N987,계정대체기준!$A$20:$A$49,0)),1)))</f>
        <v/>
      </c>
      <c r="Z987" s="94">
        <f>IF($A987="",0,IF(AE987="직접",IF(AF987="신계약비",$P987,0),$P987*(1-AG987)*IFERROR(INDEX(계정대체기준!$C$20:$C$49,MATCH($N987,계정대체기준!$A$20:$A$49,0)),0)))</f>
        <v/>
      </c>
      <c r="AA987" s="94">
        <f>IF($A987="",0,IF(AE987="직접",IF(OR(AF987="유지비",AF987="손해조사비"),$P987,0),$P987*(1-AG987)*IFERROR(INDEX(계정대체기준!$D$20:$D$49,MATCH($N987,계정대체기준!$A$20:$A$49,0)),0)))</f>
        <v/>
      </c>
      <c r="AB987" s="94">
        <f>IF($A987="",0,IF(AE987="직접",IF(AF987="수금비",$P987,0),$P987*(1-AG987)*IFERROR(INDEX(계정대체기준!$E$20:$E$49,MATCH($N987,계정대체기준!$A$20:$A$49,0)),0)))</f>
        <v/>
      </c>
      <c r="AC987" s="9">
        <f>IF(AND($A987&lt;&gt;"",M987=설정!$C$20,Z987&gt;0),Z987+ROW()/1000000000,"")</f>
        <v/>
      </c>
      <c r="AD987" s="94">
        <f>IF($A987="",0,$P987*AG987)</f>
        <v/>
      </c>
      <c r="AE987" s="64">
        <f>IF($A987="","",IFERROR(INDEX(계정매핑!$E$5:$E$504,MATCH($F987&amp;"",계정매핑!$A$5:$A$504,0))&amp;"","공통비"))</f>
        <v/>
      </c>
      <c r="AF987" s="64">
        <f>IF($A987="","",IF(AE987="직접",IFERROR(INDEX(계정매핑!$F$5:$F$504,MATCH($F987&amp;"",계정매핑!$A$5:$A$504,0))&amp;"","비귀속"),""))</f>
        <v/>
      </c>
      <c r="AG987" s="96">
        <f>IF($A987="",0,IF(AND(AE987&lt;&gt;"직접",IFERROR(INDEX(계정매핑!$G$5:$G$504,MATCH($F987&amp;"",계정매핑!$A$5:$A$504,0))&amp;"","")="유지비",COUNTIF(계정대체기준!$A$6:$A$15,$N987)&gt;0),IFERROR(INDEX(계정대체기준!$E$6:$E$15,MATCH(VALUE($A987&amp;""),계정대체기준!$D$6:$D$15,0)),0),0))</f>
        <v/>
      </c>
      <c r="AH987" s="64">
        <f>IF($A987="","",IF(AD987=0,"",IF(OR(COUNTIF(계정대체기준!$A$77:$A$86,$N987)&gt;0,ISNUMBER(MATCH($X987,계정대체기준!$D$77:$D$86,0)),ISNUMBER(MATCH($F987,계정대체기준!$D$77:$D$86,0))),"Y","N")))</f>
        <v/>
      </c>
    </row>
    <row r="988">
      <c r="A988" s="92" t="n">
        <v>2025</v>
      </c>
      <c r="B988" s="92" t="n">
        <v>5</v>
      </c>
      <c r="C988" s="92" t="inlineStr">
        <is>
          <t>5100000984</t>
        </is>
      </c>
      <c r="D988" s="95" t="n">
        <v>45786</v>
      </c>
      <c r="E988" s="92" t="inlineStr">
        <is>
          <t>KR</t>
        </is>
      </c>
      <c r="F988" s="92" t="n">
        <v>62902000</v>
      </c>
      <c r="G988" s="92" t="n">
        <v>1801</v>
      </c>
      <c r="H988" s="93" t="n">
        <v>1812000</v>
      </c>
      <c r="I988" s="92" t="inlineStr">
        <is>
          <t>5월 콜 위탁 수수료(건별)</t>
        </is>
      </c>
      <c r="J988" s="92" t="inlineStr">
        <is>
          <t>V10016</t>
        </is>
      </c>
      <c r="K988" s="92" t="inlineStr">
        <is>
          <t>J콜센터</t>
        </is>
      </c>
      <c r="M988" s="9">
        <f>IF($A988="","",VALUE($A988&amp;"")*12+VALUE($B988&amp;""))</f>
        <v/>
      </c>
      <c r="N988" s="64">
        <f>IF($A988="","",IFERROR(INDEX(부서매핑!$C$5:$C$504,MATCH($G988&amp;"",부서매핑!$A$5:$A$504,0)),"미매핑"))</f>
        <v/>
      </c>
      <c r="O988" s="9">
        <f>IF($A988="","",N988&amp;"|"&amp;$F988)</f>
        <v/>
      </c>
      <c r="P988" s="94">
        <f>IF($A988="",0,$H988*설정!$C$23)</f>
        <v/>
      </c>
      <c r="Q988" s="64">
        <f>IF($A988="","",IF(O988&lt;&gt;원인분석!$C$9,"",IF(AND(M988&gt;=원인분석!$C$10,M988&lt;=원인분석!$C$11),"당기",IF(AND(M988&gt;=원인분석!$C$12,M988&lt;=원인분석!$C$13),"비교",""))))</f>
        <v/>
      </c>
      <c r="R988" s="9">
        <f>IF(Q988="","",$K988&amp;"")</f>
        <v/>
      </c>
      <c r="S988" s="9">
        <f>IF(Q988="","",IF(MATCH(R988,$R$5:$R$100000,0)=ROW()-4,ROW(),""))</f>
        <v/>
      </c>
      <c r="T988" s="9">
        <f>IF(Q988="당기",ABS(P988)+ROW()/1000000000,"")</f>
        <v/>
      </c>
      <c r="U988" s="9">
        <f>IF(Q988="비교",ABS(P988)+ROW()/1000000000,"")</f>
        <v/>
      </c>
      <c r="V988" s="64">
        <f>IF($A988="","",IF(COUNTIF(변동분석!$E$7:$E$506,O988)&gt;0,"Y","N"))</f>
        <v/>
      </c>
      <c r="W988" s="64">
        <f>IF($A988="","",IFERROR(INDEX(계정매핑!$D$5:$D$504,MATCH($F988&amp;"",계정매핑!$A$5:$A$504,0)),"미매핑"))</f>
        <v/>
      </c>
      <c r="X988" s="9">
        <f>IF($A988="","",$F988&amp;"")</f>
        <v/>
      </c>
      <c r="Y988" s="94">
        <f>IF($A988="",0,IF(AE988="직접",IF(AF988="비귀속",$P988,0),$P988*(1-AG988)*IFERROR(INDEX(계정대체기준!$F$20:$F$49,MATCH($N988,계정대체기준!$A$20:$A$49,0)),1)))</f>
        <v/>
      </c>
      <c r="Z988" s="94">
        <f>IF($A988="",0,IF(AE988="직접",IF(AF988="신계약비",$P988,0),$P988*(1-AG988)*IFERROR(INDEX(계정대체기준!$C$20:$C$49,MATCH($N988,계정대체기준!$A$20:$A$49,0)),0)))</f>
        <v/>
      </c>
      <c r="AA988" s="94">
        <f>IF($A988="",0,IF(AE988="직접",IF(OR(AF988="유지비",AF988="손해조사비"),$P988,0),$P988*(1-AG988)*IFERROR(INDEX(계정대체기준!$D$20:$D$49,MATCH($N988,계정대체기준!$A$20:$A$49,0)),0)))</f>
        <v/>
      </c>
      <c r="AB988" s="94">
        <f>IF($A988="",0,IF(AE988="직접",IF(AF988="수금비",$P988,0),$P988*(1-AG988)*IFERROR(INDEX(계정대체기준!$E$20:$E$49,MATCH($N988,계정대체기준!$A$20:$A$49,0)),0)))</f>
        <v/>
      </c>
      <c r="AC988" s="9">
        <f>IF(AND($A988&lt;&gt;"",M988=설정!$C$20,Z988&gt;0),Z988+ROW()/1000000000,"")</f>
        <v/>
      </c>
      <c r="AD988" s="94">
        <f>IF($A988="",0,$P988*AG988)</f>
        <v/>
      </c>
      <c r="AE988" s="64">
        <f>IF($A988="","",IFERROR(INDEX(계정매핑!$E$5:$E$504,MATCH($F988&amp;"",계정매핑!$A$5:$A$504,0))&amp;"","공통비"))</f>
        <v/>
      </c>
      <c r="AF988" s="64">
        <f>IF($A988="","",IF(AE988="직접",IFERROR(INDEX(계정매핑!$F$5:$F$504,MATCH($F988&amp;"",계정매핑!$A$5:$A$504,0))&amp;"","비귀속"),""))</f>
        <v/>
      </c>
      <c r="AG988" s="96">
        <f>IF($A988="",0,IF(AND(AE988&lt;&gt;"직접",IFERROR(INDEX(계정매핑!$G$5:$G$504,MATCH($F988&amp;"",계정매핑!$A$5:$A$504,0))&amp;"","")="유지비",COUNTIF(계정대체기준!$A$6:$A$15,$N988)&gt;0),IFERROR(INDEX(계정대체기준!$E$6:$E$15,MATCH(VALUE($A988&amp;""),계정대체기준!$D$6:$D$15,0)),0),0))</f>
        <v/>
      </c>
      <c r="AH988" s="64">
        <f>IF($A988="","",IF(AD988=0,"",IF(OR(COUNTIF(계정대체기준!$A$77:$A$86,$N988)&gt;0,ISNUMBER(MATCH($X988,계정대체기준!$D$77:$D$86,0)),ISNUMBER(MATCH($F988,계정대체기준!$D$77:$D$86,0))),"Y","N")))</f>
        <v/>
      </c>
    </row>
    <row r="989">
      <c r="A989" s="92" t="n">
        <v>2025</v>
      </c>
      <c r="B989" s="92" t="n">
        <v>5</v>
      </c>
      <c r="C989" s="92" t="inlineStr">
        <is>
          <t>5100000985</t>
        </is>
      </c>
      <c r="D989" s="95" t="n">
        <v>45786</v>
      </c>
      <c r="E989" s="92" t="inlineStr">
        <is>
          <t>KR</t>
        </is>
      </c>
      <c r="F989" s="92" t="n">
        <v>63101000</v>
      </c>
      <c r="G989" s="92" t="n">
        <v>1602</v>
      </c>
      <c r="H989" s="93" t="n">
        <v>6554000</v>
      </c>
      <c r="I989" s="92" t="inlineStr">
        <is>
          <t>5월 사무실 임차료 - BB부동산</t>
        </is>
      </c>
      <c r="J989" s="92" t="inlineStr">
        <is>
          <t>V10028</t>
        </is>
      </c>
      <c r="K989" s="92" t="inlineStr">
        <is>
          <t>BB부동산</t>
        </is>
      </c>
      <c r="M989" s="9">
        <f>IF($A989="","",VALUE($A989&amp;"")*12+VALUE($B989&amp;""))</f>
        <v/>
      </c>
      <c r="N989" s="64">
        <f>IF($A989="","",IFERROR(INDEX(부서매핑!$C$5:$C$504,MATCH($G989&amp;"",부서매핑!$A$5:$A$504,0)),"미매핑"))</f>
        <v/>
      </c>
      <c r="O989" s="9">
        <f>IF($A989="","",N989&amp;"|"&amp;$F989)</f>
        <v/>
      </c>
      <c r="P989" s="94">
        <f>IF($A989="",0,$H989*설정!$C$23)</f>
        <v/>
      </c>
      <c r="Q989" s="64">
        <f>IF($A989="","",IF(O989&lt;&gt;원인분석!$C$9,"",IF(AND(M989&gt;=원인분석!$C$10,M989&lt;=원인분석!$C$11),"당기",IF(AND(M989&gt;=원인분석!$C$12,M989&lt;=원인분석!$C$13),"비교",""))))</f>
        <v/>
      </c>
      <c r="R989" s="9">
        <f>IF(Q989="","",$K989&amp;"")</f>
        <v/>
      </c>
      <c r="S989" s="9">
        <f>IF(Q989="","",IF(MATCH(R989,$R$5:$R$100000,0)=ROW()-4,ROW(),""))</f>
        <v/>
      </c>
      <c r="T989" s="9">
        <f>IF(Q989="당기",ABS(P989)+ROW()/1000000000,"")</f>
        <v/>
      </c>
      <c r="U989" s="9">
        <f>IF(Q989="비교",ABS(P989)+ROW()/1000000000,"")</f>
        <v/>
      </c>
      <c r="V989" s="64">
        <f>IF($A989="","",IF(COUNTIF(변동분석!$E$7:$E$506,O989)&gt;0,"Y","N"))</f>
        <v/>
      </c>
      <c r="W989" s="64">
        <f>IF($A989="","",IFERROR(INDEX(계정매핑!$D$5:$D$504,MATCH($F989&amp;"",계정매핑!$A$5:$A$504,0)),"미매핑"))</f>
        <v/>
      </c>
      <c r="X989" s="9">
        <f>IF($A989="","",$F989&amp;"")</f>
        <v/>
      </c>
      <c r="Y989" s="94">
        <f>IF($A989="",0,IF(AE989="직접",IF(AF989="비귀속",$P989,0),$P989*(1-AG989)*IFERROR(INDEX(계정대체기준!$F$20:$F$49,MATCH($N989,계정대체기준!$A$20:$A$49,0)),1)))</f>
        <v/>
      </c>
      <c r="Z989" s="94">
        <f>IF($A989="",0,IF(AE989="직접",IF(AF989="신계약비",$P989,0),$P989*(1-AG989)*IFERROR(INDEX(계정대체기준!$C$20:$C$49,MATCH($N989,계정대체기준!$A$20:$A$49,0)),0)))</f>
        <v/>
      </c>
      <c r="AA989" s="94">
        <f>IF($A989="",0,IF(AE989="직접",IF(OR(AF989="유지비",AF989="손해조사비"),$P989,0),$P989*(1-AG989)*IFERROR(INDEX(계정대체기준!$D$20:$D$49,MATCH($N989,계정대체기준!$A$20:$A$49,0)),0)))</f>
        <v/>
      </c>
      <c r="AB989" s="94">
        <f>IF($A989="",0,IF(AE989="직접",IF(AF989="수금비",$P989,0),$P989*(1-AG989)*IFERROR(INDEX(계정대체기준!$E$20:$E$49,MATCH($N989,계정대체기준!$A$20:$A$49,0)),0)))</f>
        <v/>
      </c>
      <c r="AC989" s="9">
        <f>IF(AND($A989&lt;&gt;"",M989=설정!$C$20,Z989&gt;0),Z989+ROW()/1000000000,"")</f>
        <v/>
      </c>
      <c r="AD989" s="94">
        <f>IF($A989="",0,$P989*AG989)</f>
        <v/>
      </c>
      <c r="AE989" s="64">
        <f>IF($A989="","",IFERROR(INDEX(계정매핑!$E$5:$E$504,MATCH($F989&amp;"",계정매핑!$A$5:$A$504,0))&amp;"","공통비"))</f>
        <v/>
      </c>
      <c r="AF989" s="64">
        <f>IF($A989="","",IF(AE989="직접",IFERROR(INDEX(계정매핑!$F$5:$F$504,MATCH($F989&amp;"",계정매핑!$A$5:$A$504,0))&amp;"","비귀속"),""))</f>
        <v/>
      </c>
      <c r="AG989" s="96">
        <f>IF($A989="",0,IF(AND(AE989&lt;&gt;"직접",IFERROR(INDEX(계정매핑!$G$5:$G$504,MATCH($F989&amp;"",계정매핑!$A$5:$A$504,0))&amp;"","")="유지비",COUNTIF(계정대체기준!$A$6:$A$15,$N989)&gt;0),IFERROR(INDEX(계정대체기준!$E$6:$E$15,MATCH(VALUE($A989&amp;""),계정대체기준!$D$6:$D$15,0)),0),0))</f>
        <v/>
      </c>
      <c r="AH989" s="64">
        <f>IF($A989="","",IF(AD989=0,"",IF(OR(COUNTIF(계정대체기준!$A$77:$A$86,$N989)&gt;0,ISNUMBER(MATCH($X989,계정대체기준!$D$77:$D$86,0)),ISNUMBER(MATCH($F989,계정대체기준!$D$77:$D$86,0))),"Y","N")))</f>
        <v/>
      </c>
    </row>
    <row r="990">
      <c r="A990" s="92" t="n">
        <v>2025</v>
      </c>
      <c r="B990" s="92" t="n">
        <v>5</v>
      </c>
      <c r="C990" s="92" t="inlineStr">
        <is>
          <t>5100000986</t>
        </is>
      </c>
      <c r="D990" s="95" t="n">
        <v>45787</v>
      </c>
      <c r="E990" s="92" t="inlineStr">
        <is>
          <t>KR</t>
        </is>
      </c>
      <c r="F990" s="92" t="n">
        <v>62101000</v>
      </c>
      <c r="G990" s="92" t="n">
        <v>1501</v>
      </c>
      <c r="H990" s="93" t="n">
        <v>255000</v>
      </c>
      <c r="I990" s="92" t="inlineStr">
        <is>
          <t>5월 국내출장 - L여행사</t>
        </is>
      </c>
      <c r="J990" s="92" t="inlineStr">
        <is>
          <t>V10018</t>
        </is>
      </c>
      <c r="K990" s="92" t="inlineStr">
        <is>
          <t>L여행사</t>
        </is>
      </c>
      <c r="M990" s="9">
        <f>IF($A990="","",VALUE($A990&amp;"")*12+VALUE($B990&amp;""))</f>
        <v/>
      </c>
      <c r="N990" s="64">
        <f>IF($A990="","",IFERROR(INDEX(부서매핑!$C$5:$C$504,MATCH($G990&amp;"",부서매핑!$A$5:$A$504,0)),"미매핑"))</f>
        <v/>
      </c>
      <c r="O990" s="9">
        <f>IF($A990="","",N990&amp;"|"&amp;$F990)</f>
        <v/>
      </c>
      <c r="P990" s="94">
        <f>IF($A990="",0,$H990*설정!$C$23)</f>
        <v/>
      </c>
      <c r="Q990" s="64">
        <f>IF($A990="","",IF(O990&lt;&gt;원인분석!$C$9,"",IF(AND(M990&gt;=원인분석!$C$10,M990&lt;=원인분석!$C$11),"당기",IF(AND(M990&gt;=원인분석!$C$12,M990&lt;=원인분석!$C$13),"비교",""))))</f>
        <v/>
      </c>
      <c r="R990" s="9">
        <f>IF(Q990="","",$K990&amp;"")</f>
        <v/>
      </c>
      <c r="S990" s="9">
        <f>IF(Q990="","",IF(MATCH(R990,$R$5:$R$100000,0)=ROW()-4,ROW(),""))</f>
        <v/>
      </c>
      <c r="T990" s="9">
        <f>IF(Q990="당기",ABS(P990)+ROW()/1000000000,"")</f>
        <v/>
      </c>
      <c r="U990" s="9">
        <f>IF(Q990="비교",ABS(P990)+ROW()/1000000000,"")</f>
        <v/>
      </c>
      <c r="V990" s="64">
        <f>IF($A990="","",IF(COUNTIF(변동분석!$E$7:$E$506,O990)&gt;0,"Y","N"))</f>
        <v/>
      </c>
      <c r="W990" s="64">
        <f>IF($A990="","",IFERROR(INDEX(계정매핑!$D$5:$D$504,MATCH($F990&amp;"",계정매핑!$A$5:$A$504,0)),"미매핑"))</f>
        <v/>
      </c>
      <c r="X990" s="9">
        <f>IF($A990="","",$F990&amp;"")</f>
        <v/>
      </c>
      <c r="Y990" s="94">
        <f>IF($A990="",0,IF(AE990="직접",IF(AF990="비귀속",$P990,0),$P990*(1-AG990)*IFERROR(INDEX(계정대체기준!$F$20:$F$49,MATCH($N990,계정대체기준!$A$20:$A$49,0)),1)))</f>
        <v/>
      </c>
      <c r="Z990" s="94">
        <f>IF($A990="",0,IF(AE990="직접",IF(AF990="신계약비",$P990,0),$P990*(1-AG990)*IFERROR(INDEX(계정대체기준!$C$20:$C$49,MATCH($N990,계정대체기준!$A$20:$A$49,0)),0)))</f>
        <v/>
      </c>
      <c r="AA990" s="94">
        <f>IF($A990="",0,IF(AE990="직접",IF(OR(AF990="유지비",AF990="손해조사비"),$P990,0),$P990*(1-AG990)*IFERROR(INDEX(계정대체기준!$D$20:$D$49,MATCH($N990,계정대체기준!$A$20:$A$49,0)),0)))</f>
        <v/>
      </c>
      <c r="AB990" s="94">
        <f>IF($A990="",0,IF(AE990="직접",IF(AF990="수금비",$P990,0),$P990*(1-AG990)*IFERROR(INDEX(계정대체기준!$E$20:$E$49,MATCH($N990,계정대체기준!$A$20:$A$49,0)),0)))</f>
        <v/>
      </c>
      <c r="AC990" s="9">
        <f>IF(AND($A990&lt;&gt;"",M990=설정!$C$20,Z990&gt;0),Z990+ROW()/1000000000,"")</f>
        <v/>
      </c>
      <c r="AD990" s="94">
        <f>IF($A990="",0,$P990*AG990)</f>
        <v/>
      </c>
      <c r="AE990" s="64">
        <f>IF($A990="","",IFERROR(INDEX(계정매핑!$E$5:$E$504,MATCH($F990&amp;"",계정매핑!$A$5:$A$504,0))&amp;"","공통비"))</f>
        <v/>
      </c>
      <c r="AF990" s="64">
        <f>IF($A990="","",IF(AE990="직접",IFERROR(INDEX(계정매핑!$F$5:$F$504,MATCH($F990&amp;"",계정매핑!$A$5:$A$504,0))&amp;"","비귀속"),""))</f>
        <v/>
      </c>
      <c r="AG990" s="96">
        <f>IF($A990="",0,IF(AND(AE990&lt;&gt;"직접",IFERROR(INDEX(계정매핑!$G$5:$G$504,MATCH($F990&amp;"",계정매핑!$A$5:$A$504,0))&amp;"","")="유지비",COUNTIF(계정대체기준!$A$6:$A$15,$N990)&gt;0),IFERROR(INDEX(계정대체기준!$E$6:$E$15,MATCH(VALUE($A990&amp;""),계정대체기준!$D$6:$D$15,0)),0),0))</f>
        <v/>
      </c>
      <c r="AH990" s="64">
        <f>IF($A990="","",IF(AD990=0,"",IF(OR(COUNTIF(계정대체기준!$A$77:$A$86,$N990)&gt;0,ISNUMBER(MATCH($X990,계정대체기준!$D$77:$D$86,0)),ISNUMBER(MATCH($F990,계정대체기준!$D$77:$D$86,0))),"Y","N")))</f>
        <v/>
      </c>
    </row>
    <row r="991">
      <c r="A991" s="92" t="n">
        <v>2025</v>
      </c>
      <c r="B991" s="92" t="n">
        <v>5</v>
      </c>
      <c r="C991" s="92" t="inlineStr">
        <is>
          <t>5100000987</t>
        </is>
      </c>
      <c r="D991" s="95" t="n">
        <v>45787</v>
      </c>
      <c r="E991" s="92" t="inlineStr">
        <is>
          <t>KR</t>
        </is>
      </c>
      <c r="F991" s="92" t="n">
        <v>62101000</v>
      </c>
      <c r="G991" s="92" t="n">
        <v>1601</v>
      </c>
      <c r="H991" s="93" t="n">
        <v>1130000</v>
      </c>
      <c r="I991" s="92" t="inlineStr">
        <is>
          <t>5월 국내출장 - (법인카드)</t>
        </is>
      </c>
      <c r="J991" s="92" t="inlineStr">
        <is>
          <t>V10010</t>
        </is>
      </c>
      <c r="K991" s="92" t="inlineStr">
        <is>
          <t>(법인카드)</t>
        </is>
      </c>
      <c r="M991" s="9">
        <f>IF($A991="","",VALUE($A991&amp;"")*12+VALUE($B991&amp;""))</f>
        <v/>
      </c>
      <c r="N991" s="64">
        <f>IF($A991="","",IFERROR(INDEX(부서매핑!$C$5:$C$504,MATCH($G991&amp;"",부서매핑!$A$5:$A$504,0)),"미매핑"))</f>
        <v/>
      </c>
      <c r="O991" s="9">
        <f>IF($A991="","",N991&amp;"|"&amp;$F991)</f>
        <v/>
      </c>
      <c r="P991" s="94">
        <f>IF($A991="",0,$H991*설정!$C$23)</f>
        <v/>
      </c>
      <c r="Q991" s="64">
        <f>IF($A991="","",IF(O991&lt;&gt;원인분석!$C$9,"",IF(AND(M991&gt;=원인분석!$C$10,M991&lt;=원인분석!$C$11),"당기",IF(AND(M991&gt;=원인분석!$C$12,M991&lt;=원인분석!$C$13),"비교",""))))</f>
        <v/>
      </c>
      <c r="R991" s="9">
        <f>IF(Q991="","",$K991&amp;"")</f>
        <v/>
      </c>
      <c r="S991" s="9">
        <f>IF(Q991="","",IF(MATCH(R991,$R$5:$R$100000,0)=ROW()-4,ROW(),""))</f>
        <v/>
      </c>
      <c r="T991" s="9">
        <f>IF(Q991="당기",ABS(P991)+ROW()/1000000000,"")</f>
        <v/>
      </c>
      <c r="U991" s="9">
        <f>IF(Q991="비교",ABS(P991)+ROW()/1000000000,"")</f>
        <v/>
      </c>
      <c r="V991" s="64">
        <f>IF($A991="","",IF(COUNTIF(변동분석!$E$7:$E$506,O991)&gt;0,"Y","N"))</f>
        <v/>
      </c>
      <c r="W991" s="64">
        <f>IF($A991="","",IFERROR(INDEX(계정매핑!$D$5:$D$504,MATCH($F991&amp;"",계정매핑!$A$5:$A$504,0)),"미매핑"))</f>
        <v/>
      </c>
      <c r="X991" s="9">
        <f>IF($A991="","",$F991&amp;"")</f>
        <v/>
      </c>
      <c r="Y991" s="94">
        <f>IF($A991="",0,IF(AE991="직접",IF(AF991="비귀속",$P991,0),$P991*(1-AG991)*IFERROR(INDEX(계정대체기준!$F$20:$F$49,MATCH($N991,계정대체기준!$A$20:$A$49,0)),1)))</f>
        <v/>
      </c>
      <c r="Z991" s="94">
        <f>IF($A991="",0,IF(AE991="직접",IF(AF991="신계약비",$P991,0),$P991*(1-AG991)*IFERROR(INDEX(계정대체기준!$C$20:$C$49,MATCH($N991,계정대체기준!$A$20:$A$49,0)),0)))</f>
        <v/>
      </c>
      <c r="AA991" s="94">
        <f>IF($A991="",0,IF(AE991="직접",IF(OR(AF991="유지비",AF991="손해조사비"),$P991,0),$P991*(1-AG991)*IFERROR(INDEX(계정대체기준!$D$20:$D$49,MATCH($N991,계정대체기준!$A$20:$A$49,0)),0)))</f>
        <v/>
      </c>
      <c r="AB991" s="94">
        <f>IF($A991="",0,IF(AE991="직접",IF(AF991="수금비",$P991,0),$P991*(1-AG991)*IFERROR(INDEX(계정대체기준!$E$20:$E$49,MATCH($N991,계정대체기준!$A$20:$A$49,0)),0)))</f>
        <v/>
      </c>
      <c r="AC991" s="9">
        <f>IF(AND($A991&lt;&gt;"",M991=설정!$C$20,Z991&gt;0),Z991+ROW()/1000000000,"")</f>
        <v/>
      </c>
      <c r="AD991" s="94">
        <f>IF($A991="",0,$P991*AG991)</f>
        <v/>
      </c>
      <c r="AE991" s="64">
        <f>IF($A991="","",IFERROR(INDEX(계정매핑!$E$5:$E$504,MATCH($F991&amp;"",계정매핑!$A$5:$A$504,0))&amp;"","공통비"))</f>
        <v/>
      </c>
      <c r="AF991" s="64">
        <f>IF($A991="","",IF(AE991="직접",IFERROR(INDEX(계정매핑!$F$5:$F$504,MATCH($F991&amp;"",계정매핑!$A$5:$A$504,0))&amp;"","비귀속"),""))</f>
        <v/>
      </c>
      <c r="AG991" s="96">
        <f>IF($A991="",0,IF(AND(AE991&lt;&gt;"직접",IFERROR(INDEX(계정매핑!$G$5:$G$504,MATCH($F991&amp;"",계정매핑!$A$5:$A$504,0))&amp;"","")="유지비",COUNTIF(계정대체기준!$A$6:$A$15,$N991)&gt;0),IFERROR(INDEX(계정대체기준!$E$6:$E$15,MATCH(VALUE($A991&amp;""),계정대체기준!$D$6:$D$15,0)),0),0))</f>
        <v/>
      </c>
      <c r="AH991" s="64">
        <f>IF($A991="","",IF(AD991=0,"",IF(OR(COUNTIF(계정대체기준!$A$77:$A$86,$N991)&gt;0,ISNUMBER(MATCH($X991,계정대체기준!$D$77:$D$86,0)),ISNUMBER(MATCH($F991,계정대체기준!$D$77:$D$86,0))),"Y","N")))</f>
        <v/>
      </c>
    </row>
    <row r="992">
      <c r="A992" s="92" t="n">
        <v>2025</v>
      </c>
      <c r="B992" s="92" t="n">
        <v>5</v>
      </c>
      <c r="C992" s="92" t="inlineStr">
        <is>
          <t>5100000988</t>
        </is>
      </c>
      <c r="D992" s="95" t="n">
        <v>45787</v>
      </c>
      <c r="E992" s="92" t="inlineStr">
        <is>
          <t>KR</t>
        </is>
      </c>
      <c r="F992" s="92" t="n">
        <v>62102000</v>
      </c>
      <c r="G992" s="92" t="n">
        <v>1101</v>
      </c>
      <c r="H992" s="93" t="n">
        <v>218000</v>
      </c>
      <c r="I992" s="92" t="inlineStr">
        <is>
          <t>5월 해외출장 - N호텔</t>
        </is>
      </c>
      <c r="J992" s="92" t="inlineStr">
        <is>
          <t>V10009</t>
        </is>
      </c>
      <c r="K992" s="92" t="inlineStr">
        <is>
          <t>N호텔</t>
        </is>
      </c>
      <c r="M992" s="9">
        <f>IF($A992="","",VALUE($A992&amp;"")*12+VALUE($B992&amp;""))</f>
        <v/>
      </c>
      <c r="N992" s="64">
        <f>IF($A992="","",IFERROR(INDEX(부서매핑!$C$5:$C$504,MATCH($G992&amp;"",부서매핑!$A$5:$A$504,0)),"미매핑"))</f>
        <v/>
      </c>
      <c r="O992" s="9">
        <f>IF($A992="","",N992&amp;"|"&amp;$F992)</f>
        <v/>
      </c>
      <c r="P992" s="94">
        <f>IF($A992="",0,$H992*설정!$C$23)</f>
        <v/>
      </c>
      <c r="Q992" s="64">
        <f>IF($A992="","",IF(O992&lt;&gt;원인분석!$C$9,"",IF(AND(M992&gt;=원인분석!$C$10,M992&lt;=원인분석!$C$11),"당기",IF(AND(M992&gt;=원인분석!$C$12,M992&lt;=원인분석!$C$13),"비교",""))))</f>
        <v/>
      </c>
      <c r="R992" s="9">
        <f>IF(Q992="","",$K992&amp;"")</f>
        <v/>
      </c>
      <c r="S992" s="9">
        <f>IF(Q992="","",IF(MATCH(R992,$R$5:$R$100000,0)=ROW()-4,ROW(),""))</f>
        <v/>
      </c>
      <c r="T992" s="9">
        <f>IF(Q992="당기",ABS(P992)+ROW()/1000000000,"")</f>
        <v/>
      </c>
      <c r="U992" s="9">
        <f>IF(Q992="비교",ABS(P992)+ROW()/1000000000,"")</f>
        <v/>
      </c>
      <c r="V992" s="64">
        <f>IF($A992="","",IF(COUNTIF(변동분석!$E$7:$E$506,O992)&gt;0,"Y","N"))</f>
        <v/>
      </c>
      <c r="W992" s="64">
        <f>IF($A992="","",IFERROR(INDEX(계정매핑!$D$5:$D$504,MATCH($F992&amp;"",계정매핑!$A$5:$A$504,0)),"미매핑"))</f>
        <v/>
      </c>
      <c r="X992" s="9">
        <f>IF($A992="","",$F992&amp;"")</f>
        <v/>
      </c>
      <c r="Y992" s="94">
        <f>IF($A992="",0,IF(AE992="직접",IF(AF992="비귀속",$P992,0),$P992*(1-AG992)*IFERROR(INDEX(계정대체기준!$F$20:$F$49,MATCH($N992,계정대체기준!$A$20:$A$49,0)),1)))</f>
        <v/>
      </c>
      <c r="Z992" s="94">
        <f>IF($A992="",0,IF(AE992="직접",IF(AF992="신계약비",$P992,0),$P992*(1-AG992)*IFERROR(INDEX(계정대체기준!$C$20:$C$49,MATCH($N992,계정대체기준!$A$20:$A$49,0)),0)))</f>
        <v/>
      </c>
      <c r="AA992" s="94">
        <f>IF($A992="",0,IF(AE992="직접",IF(OR(AF992="유지비",AF992="손해조사비"),$P992,0),$P992*(1-AG992)*IFERROR(INDEX(계정대체기준!$D$20:$D$49,MATCH($N992,계정대체기준!$A$20:$A$49,0)),0)))</f>
        <v/>
      </c>
      <c r="AB992" s="94">
        <f>IF($A992="",0,IF(AE992="직접",IF(AF992="수금비",$P992,0),$P992*(1-AG992)*IFERROR(INDEX(계정대체기준!$E$20:$E$49,MATCH($N992,계정대체기준!$A$20:$A$49,0)),0)))</f>
        <v/>
      </c>
      <c r="AC992" s="9">
        <f>IF(AND($A992&lt;&gt;"",M992=설정!$C$20,Z992&gt;0),Z992+ROW()/1000000000,"")</f>
        <v/>
      </c>
      <c r="AD992" s="94">
        <f>IF($A992="",0,$P992*AG992)</f>
        <v/>
      </c>
      <c r="AE992" s="64">
        <f>IF($A992="","",IFERROR(INDEX(계정매핑!$E$5:$E$504,MATCH($F992&amp;"",계정매핑!$A$5:$A$504,0))&amp;"","공통비"))</f>
        <v/>
      </c>
      <c r="AF992" s="64">
        <f>IF($A992="","",IF(AE992="직접",IFERROR(INDEX(계정매핑!$F$5:$F$504,MATCH($F992&amp;"",계정매핑!$A$5:$A$504,0))&amp;"","비귀속"),""))</f>
        <v/>
      </c>
      <c r="AG992" s="96">
        <f>IF($A992="",0,IF(AND(AE992&lt;&gt;"직접",IFERROR(INDEX(계정매핑!$G$5:$G$504,MATCH($F992&amp;"",계정매핑!$A$5:$A$504,0))&amp;"","")="유지비",COUNTIF(계정대체기준!$A$6:$A$15,$N992)&gt;0),IFERROR(INDEX(계정대체기준!$E$6:$E$15,MATCH(VALUE($A992&amp;""),계정대체기준!$D$6:$D$15,0)),0),0))</f>
        <v/>
      </c>
      <c r="AH992" s="64">
        <f>IF($A992="","",IF(AD992=0,"",IF(OR(COUNTIF(계정대체기준!$A$77:$A$86,$N992)&gt;0,ISNUMBER(MATCH($X992,계정대체기준!$D$77:$D$86,0)),ISNUMBER(MATCH($F992,계정대체기준!$D$77:$D$86,0))),"Y","N")))</f>
        <v/>
      </c>
    </row>
    <row r="993">
      <c r="A993" s="92" t="n">
        <v>2025</v>
      </c>
      <c r="B993" s="92" t="n">
        <v>5</v>
      </c>
      <c r="C993" s="92" t="inlineStr">
        <is>
          <t>5100000989</t>
        </is>
      </c>
      <c r="D993" s="95" t="n">
        <v>45787</v>
      </c>
      <c r="E993" s="92" t="inlineStr">
        <is>
          <t>KR</t>
        </is>
      </c>
      <c r="F993" s="92" t="n">
        <v>62801000</v>
      </c>
      <c r="G993" s="92" t="n">
        <v>1301</v>
      </c>
      <c r="H993" s="93" t="n">
        <v>3204000</v>
      </c>
      <c r="I993" s="92" t="inlineStr">
        <is>
          <t>5월 사내교육 - (사내강사료)</t>
        </is>
      </c>
      <c r="J993" s="92" t="inlineStr">
        <is>
          <t>V10024</t>
        </is>
      </c>
      <c r="K993" s="92" t="inlineStr">
        <is>
          <t>(사내강사료)</t>
        </is>
      </c>
      <c r="M993" s="9">
        <f>IF($A993="","",VALUE($A993&amp;"")*12+VALUE($B993&amp;""))</f>
        <v/>
      </c>
      <c r="N993" s="64">
        <f>IF($A993="","",IFERROR(INDEX(부서매핑!$C$5:$C$504,MATCH($G993&amp;"",부서매핑!$A$5:$A$504,0)),"미매핑"))</f>
        <v/>
      </c>
      <c r="O993" s="9">
        <f>IF($A993="","",N993&amp;"|"&amp;$F993)</f>
        <v/>
      </c>
      <c r="P993" s="94">
        <f>IF($A993="",0,$H993*설정!$C$23)</f>
        <v/>
      </c>
      <c r="Q993" s="64">
        <f>IF($A993="","",IF(O993&lt;&gt;원인분석!$C$9,"",IF(AND(M993&gt;=원인분석!$C$10,M993&lt;=원인분석!$C$11),"당기",IF(AND(M993&gt;=원인분석!$C$12,M993&lt;=원인분석!$C$13),"비교",""))))</f>
        <v/>
      </c>
      <c r="R993" s="9">
        <f>IF(Q993="","",$K993&amp;"")</f>
        <v/>
      </c>
      <c r="S993" s="9">
        <f>IF(Q993="","",IF(MATCH(R993,$R$5:$R$100000,0)=ROW()-4,ROW(),""))</f>
        <v/>
      </c>
      <c r="T993" s="9">
        <f>IF(Q993="당기",ABS(P993)+ROW()/1000000000,"")</f>
        <v/>
      </c>
      <c r="U993" s="9">
        <f>IF(Q993="비교",ABS(P993)+ROW()/1000000000,"")</f>
        <v/>
      </c>
      <c r="V993" s="64">
        <f>IF($A993="","",IF(COUNTIF(변동분석!$E$7:$E$506,O993)&gt;0,"Y","N"))</f>
        <v/>
      </c>
      <c r="W993" s="64">
        <f>IF($A993="","",IFERROR(INDEX(계정매핑!$D$5:$D$504,MATCH($F993&amp;"",계정매핑!$A$5:$A$504,0)),"미매핑"))</f>
        <v/>
      </c>
      <c r="X993" s="9">
        <f>IF($A993="","",$F993&amp;"")</f>
        <v/>
      </c>
      <c r="Y993" s="94">
        <f>IF($A993="",0,IF(AE993="직접",IF(AF993="비귀속",$P993,0),$P993*(1-AG993)*IFERROR(INDEX(계정대체기준!$F$20:$F$49,MATCH($N993,계정대체기준!$A$20:$A$49,0)),1)))</f>
        <v/>
      </c>
      <c r="Z993" s="94">
        <f>IF($A993="",0,IF(AE993="직접",IF(AF993="신계약비",$P993,0),$P993*(1-AG993)*IFERROR(INDEX(계정대체기준!$C$20:$C$49,MATCH($N993,계정대체기준!$A$20:$A$49,0)),0)))</f>
        <v/>
      </c>
      <c r="AA993" s="94">
        <f>IF($A993="",0,IF(AE993="직접",IF(OR(AF993="유지비",AF993="손해조사비"),$P993,0),$P993*(1-AG993)*IFERROR(INDEX(계정대체기준!$D$20:$D$49,MATCH($N993,계정대체기준!$A$20:$A$49,0)),0)))</f>
        <v/>
      </c>
      <c r="AB993" s="94">
        <f>IF($A993="",0,IF(AE993="직접",IF(AF993="수금비",$P993,0),$P993*(1-AG993)*IFERROR(INDEX(계정대체기준!$E$20:$E$49,MATCH($N993,계정대체기준!$A$20:$A$49,0)),0)))</f>
        <v/>
      </c>
      <c r="AC993" s="9">
        <f>IF(AND($A993&lt;&gt;"",M993=설정!$C$20,Z993&gt;0),Z993+ROW()/1000000000,"")</f>
        <v/>
      </c>
      <c r="AD993" s="94">
        <f>IF($A993="",0,$P993*AG993)</f>
        <v/>
      </c>
      <c r="AE993" s="64">
        <f>IF($A993="","",IFERROR(INDEX(계정매핑!$E$5:$E$504,MATCH($F993&amp;"",계정매핑!$A$5:$A$504,0))&amp;"","공통비"))</f>
        <v/>
      </c>
      <c r="AF993" s="64">
        <f>IF($A993="","",IF(AE993="직접",IFERROR(INDEX(계정매핑!$F$5:$F$504,MATCH($F993&amp;"",계정매핑!$A$5:$A$504,0))&amp;"","비귀속"),""))</f>
        <v/>
      </c>
      <c r="AG993" s="96">
        <f>IF($A993="",0,IF(AND(AE993&lt;&gt;"직접",IFERROR(INDEX(계정매핑!$G$5:$G$504,MATCH($F993&amp;"",계정매핑!$A$5:$A$504,0))&amp;"","")="유지비",COUNTIF(계정대체기준!$A$6:$A$15,$N993)&gt;0),IFERROR(INDEX(계정대체기준!$E$6:$E$15,MATCH(VALUE($A993&amp;""),계정대체기준!$D$6:$D$15,0)),0),0))</f>
        <v/>
      </c>
      <c r="AH993" s="64">
        <f>IF($A993="","",IF(AD993=0,"",IF(OR(COUNTIF(계정대체기준!$A$77:$A$86,$N993)&gt;0,ISNUMBER(MATCH($X993,계정대체기준!$D$77:$D$86,0)),ISNUMBER(MATCH($F993,계정대체기준!$D$77:$D$86,0))),"Y","N")))</f>
        <v/>
      </c>
    </row>
    <row r="994">
      <c r="A994" s="92" t="n">
        <v>2025</v>
      </c>
      <c r="B994" s="92" t="n">
        <v>5</v>
      </c>
      <c r="C994" s="92" t="inlineStr">
        <is>
          <t>5100000990</t>
        </is>
      </c>
      <c r="D994" s="95" t="n">
        <v>45787</v>
      </c>
      <c r="E994" s="92" t="inlineStr">
        <is>
          <t>KR</t>
        </is>
      </c>
      <c r="F994" s="92" t="n">
        <v>62902000</v>
      </c>
      <c r="G994" s="92" t="n">
        <v>1801</v>
      </c>
      <c r="H994" s="93" t="n">
        <v>1755000</v>
      </c>
      <c r="I994" s="92" t="inlineStr">
        <is>
          <t>5월 콜 위탁 수수료(건별)</t>
        </is>
      </c>
      <c r="J994" s="92" t="inlineStr">
        <is>
          <t>V10016</t>
        </is>
      </c>
      <c r="K994" s="92" t="inlineStr">
        <is>
          <t>J콜센터</t>
        </is>
      </c>
      <c r="M994" s="9">
        <f>IF($A994="","",VALUE($A994&amp;"")*12+VALUE($B994&amp;""))</f>
        <v/>
      </c>
      <c r="N994" s="64">
        <f>IF($A994="","",IFERROR(INDEX(부서매핑!$C$5:$C$504,MATCH($G994&amp;"",부서매핑!$A$5:$A$504,0)),"미매핑"))</f>
        <v/>
      </c>
      <c r="O994" s="9">
        <f>IF($A994="","",N994&amp;"|"&amp;$F994)</f>
        <v/>
      </c>
      <c r="P994" s="94">
        <f>IF($A994="",0,$H994*설정!$C$23)</f>
        <v/>
      </c>
      <c r="Q994" s="64">
        <f>IF($A994="","",IF(O994&lt;&gt;원인분석!$C$9,"",IF(AND(M994&gt;=원인분석!$C$10,M994&lt;=원인분석!$C$11),"당기",IF(AND(M994&gt;=원인분석!$C$12,M994&lt;=원인분석!$C$13),"비교",""))))</f>
        <v/>
      </c>
      <c r="R994" s="9">
        <f>IF(Q994="","",$K994&amp;"")</f>
        <v/>
      </c>
      <c r="S994" s="9">
        <f>IF(Q994="","",IF(MATCH(R994,$R$5:$R$100000,0)=ROW()-4,ROW(),""))</f>
        <v/>
      </c>
      <c r="T994" s="9">
        <f>IF(Q994="당기",ABS(P994)+ROW()/1000000000,"")</f>
        <v/>
      </c>
      <c r="U994" s="9">
        <f>IF(Q994="비교",ABS(P994)+ROW()/1000000000,"")</f>
        <v/>
      </c>
      <c r="V994" s="64">
        <f>IF($A994="","",IF(COUNTIF(변동분석!$E$7:$E$506,O994)&gt;0,"Y","N"))</f>
        <v/>
      </c>
      <c r="W994" s="64">
        <f>IF($A994="","",IFERROR(INDEX(계정매핑!$D$5:$D$504,MATCH($F994&amp;"",계정매핑!$A$5:$A$504,0)),"미매핑"))</f>
        <v/>
      </c>
      <c r="X994" s="9">
        <f>IF($A994="","",$F994&amp;"")</f>
        <v/>
      </c>
      <c r="Y994" s="94">
        <f>IF($A994="",0,IF(AE994="직접",IF(AF994="비귀속",$P994,0),$P994*(1-AG994)*IFERROR(INDEX(계정대체기준!$F$20:$F$49,MATCH($N994,계정대체기준!$A$20:$A$49,0)),1)))</f>
        <v/>
      </c>
      <c r="Z994" s="94">
        <f>IF($A994="",0,IF(AE994="직접",IF(AF994="신계약비",$P994,0),$P994*(1-AG994)*IFERROR(INDEX(계정대체기준!$C$20:$C$49,MATCH($N994,계정대체기준!$A$20:$A$49,0)),0)))</f>
        <v/>
      </c>
      <c r="AA994" s="94">
        <f>IF($A994="",0,IF(AE994="직접",IF(OR(AF994="유지비",AF994="손해조사비"),$P994,0),$P994*(1-AG994)*IFERROR(INDEX(계정대체기준!$D$20:$D$49,MATCH($N994,계정대체기준!$A$20:$A$49,0)),0)))</f>
        <v/>
      </c>
      <c r="AB994" s="94">
        <f>IF($A994="",0,IF(AE994="직접",IF(AF994="수금비",$P994,0),$P994*(1-AG994)*IFERROR(INDEX(계정대체기준!$E$20:$E$49,MATCH($N994,계정대체기준!$A$20:$A$49,0)),0)))</f>
        <v/>
      </c>
      <c r="AC994" s="9">
        <f>IF(AND($A994&lt;&gt;"",M994=설정!$C$20,Z994&gt;0),Z994+ROW()/1000000000,"")</f>
        <v/>
      </c>
      <c r="AD994" s="94">
        <f>IF($A994="",0,$P994*AG994)</f>
        <v/>
      </c>
      <c r="AE994" s="64">
        <f>IF($A994="","",IFERROR(INDEX(계정매핑!$E$5:$E$504,MATCH($F994&amp;"",계정매핑!$A$5:$A$504,0))&amp;"","공통비"))</f>
        <v/>
      </c>
      <c r="AF994" s="64">
        <f>IF($A994="","",IF(AE994="직접",IFERROR(INDEX(계정매핑!$F$5:$F$504,MATCH($F994&amp;"",계정매핑!$A$5:$A$504,0))&amp;"","비귀속"),""))</f>
        <v/>
      </c>
      <c r="AG994" s="96">
        <f>IF($A994="",0,IF(AND(AE994&lt;&gt;"직접",IFERROR(INDEX(계정매핑!$G$5:$G$504,MATCH($F994&amp;"",계정매핑!$A$5:$A$504,0))&amp;"","")="유지비",COUNTIF(계정대체기준!$A$6:$A$15,$N994)&gt;0),IFERROR(INDEX(계정대체기준!$E$6:$E$15,MATCH(VALUE($A994&amp;""),계정대체기준!$D$6:$D$15,0)),0),0))</f>
        <v/>
      </c>
      <c r="AH994" s="64">
        <f>IF($A994="","",IF(AD994=0,"",IF(OR(COUNTIF(계정대체기준!$A$77:$A$86,$N994)&gt;0,ISNUMBER(MATCH($X994,계정대체기준!$D$77:$D$86,0)),ISNUMBER(MATCH($F994,계정대체기준!$D$77:$D$86,0))),"Y","N")))</f>
        <v/>
      </c>
    </row>
    <row r="995">
      <c r="A995" s="92" t="n">
        <v>2025</v>
      </c>
      <c r="B995" s="92" t="n">
        <v>5</v>
      </c>
      <c r="C995" s="92" t="inlineStr">
        <is>
          <t>5100000991</t>
        </is>
      </c>
      <c r="D995" s="95" t="n">
        <v>45788</v>
      </c>
      <c r="E995" s="92" t="inlineStr">
        <is>
          <t>KR</t>
        </is>
      </c>
      <c r="F995" s="92" t="n">
        <v>62101000</v>
      </c>
      <c r="G995" s="92" t="n">
        <v>1201</v>
      </c>
      <c r="H995" s="93" t="n">
        <v>208000</v>
      </c>
      <c r="I995" s="92" t="inlineStr">
        <is>
          <t>5월 국내출장 - (법인카드)</t>
        </is>
      </c>
      <c r="J995" s="92" t="inlineStr">
        <is>
          <t>V10010</t>
        </is>
      </c>
      <c r="K995" s="92" t="inlineStr">
        <is>
          <t>(법인카드)</t>
        </is>
      </c>
      <c r="M995" s="9">
        <f>IF($A995="","",VALUE($A995&amp;"")*12+VALUE($B995&amp;""))</f>
        <v/>
      </c>
      <c r="N995" s="64">
        <f>IF($A995="","",IFERROR(INDEX(부서매핑!$C$5:$C$504,MATCH($G995&amp;"",부서매핑!$A$5:$A$504,0)),"미매핑"))</f>
        <v/>
      </c>
      <c r="O995" s="9">
        <f>IF($A995="","",N995&amp;"|"&amp;$F995)</f>
        <v/>
      </c>
      <c r="P995" s="94">
        <f>IF($A995="",0,$H995*설정!$C$23)</f>
        <v/>
      </c>
      <c r="Q995" s="64">
        <f>IF($A995="","",IF(O995&lt;&gt;원인분석!$C$9,"",IF(AND(M995&gt;=원인분석!$C$10,M995&lt;=원인분석!$C$11),"당기",IF(AND(M995&gt;=원인분석!$C$12,M995&lt;=원인분석!$C$13),"비교",""))))</f>
        <v/>
      </c>
      <c r="R995" s="9">
        <f>IF(Q995="","",$K995&amp;"")</f>
        <v/>
      </c>
      <c r="S995" s="9">
        <f>IF(Q995="","",IF(MATCH(R995,$R$5:$R$100000,0)=ROW()-4,ROW(),""))</f>
        <v/>
      </c>
      <c r="T995" s="9">
        <f>IF(Q995="당기",ABS(P995)+ROW()/1000000000,"")</f>
        <v/>
      </c>
      <c r="U995" s="9">
        <f>IF(Q995="비교",ABS(P995)+ROW()/1000000000,"")</f>
        <v/>
      </c>
      <c r="V995" s="64">
        <f>IF($A995="","",IF(COUNTIF(변동분석!$E$7:$E$506,O995)&gt;0,"Y","N"))</f>
        <v/>
      </c>
      <c r="W995" s="64">
        <f>IF($A995="","",IFERROR(INDEX(계정매핑!$D$5:$D$504,MATCH($F995&amp;"",계정매핑!$A$5:$A$504,0)),"미매핑"))</f>
        <v/>
      </c>
      <c r="X995" s="9">
        <f>IF($A995="","",$F995&amp;"")</f>
        <v/>
      </c>
      <c r="Y995" s="94">
        <f>IF($A995="",0,IF(AE995="직접",IF(AF995="비귀속",$P995,0),$P995*(1-AG995)*IFERROR(INDEX(계정대체기준!$F$20:$F$49,MATCH($N995,계정대체기준!$A$20:$A$49,0)),1)))</f>
        <v/>
      </c>
      <c r="Z995" s="94">
        <f>IF($A995="",0,IF(AE995="직접",IF(AF995="신계약비",$P995,0),$P995*(1-AG995)*IFERROR(INDEX(계정대체기준!$C$20:$C$49,MATCH($N995,계정대체기준!$A$20:$A$49,0)),0)))</f>
        <v/>
      </c>
      <c r="AA995" s="94">
        <f>IF($A995="",0,IF(AE995="직접",IF(OR(AF995="유지비",AF995="손해조사비"),$P995,0),$P995*(1-AG995)*IFERROR(INDEX(계정대체기준!$D$20:$D$49,MATCH($N995,계정대체기준!$A$20:$A$49,0)),0)))</f>
        <v/>
      </c>
      <c r="AB995" s="94">
        <f>IF($A995="",0,IF(AE995="직접",IF(AF995="수금비",$P995,0),$P995*(1-AG995)*IFERROR(INDEX(계정대체기준!$E$20:$E$49,MATCH($N995,계정대체기준!$A$20:$A$49,0)),0)))</f>
        <v/>
      </c>
      <c r="AC995" s="9">
        <f>IF(AND($A995&lt;&gt;"",M995=설정!$C$20,Z995&gt;0),Z995+ROW()/1000000000,"")</f>
        <v/>
      </c>
      <c r="AD995" s="94">
        <f>IF($A995="",0,$P995*AG995)</f>
        <v/>
      </c>
      <c r="AE995" s="64">
        <f>IF($A995="","",IFERROR(INDEX(계정매핑!$E$5:$E$504,MATCH($F995&amp;"",계정매핑!$A$5:$A$504,0))&amp;"","공통비"))</f>
        <v/>
      </c>
      <c r="AF995" s="64">
        <f>IF($A995="","",IF(AE995="직접",IFERROR(INDEX(계정매핑!$F$5:$F$504,MATCH($F995&amp;"",계정매핑!$A$5:$A$504,0))&amp;"","비귀속"),""))</f>
        <v/>
      </c>
      <c r="AG995" s="96">
        <f>IF($A995="",0,IF(AND(AE995&lt;&gt;"직접",IFERROR(INDEX(계정매핑!$G$5:$G$504,MATCH($F995&amp;"",계정매핑!$A$5:$A$504,0))&amp;"","")="유지비",COUNTIF(계정대체기준!$A$6:$A$15,$N995)&gt;0),IFERROR(INDEX(계정대체기준!$E$6:$E$15,MATCH(VALUE($A995&amp;""),계정대체기준!$D$6:$D$15,0)),0),0))</f>
        <v/>
      </c>
      <c r="AH995" s="64">
        <f>IF($A995="","",IF(AD995=0,"",IF(OR(COUNTIF(계정대체기준!$A$77:$A$86,$N995)&gt;0,ISNUMBER(MATCH($X995,계정대체기준!$D$77:$D$86,0)),ISNUMBER(MATCH($F995,계정대체기준!$D$77:$D$86,0))),"Y","N")))</f>
        <v/>
      </c>
    </row>
    <row r="996">
      <c r="A996" s="92" t="n">
        <v>2025</v>
      </c>
      <c r="B996" s="92" t="n">
        <v>5</v>
      </c>
      <c r="C996" s="92" t="inlineStr">
        <is>
          <t>5100000992</t>
        </is>
      </c>
      <c r="D996" s="95" t="n">
        <v>45788</v>
      </c>
      <c r="E996" s="92" t="inlineStr">
        <is>
          <t>KR</t>
        </is>
      </c>
      <c r="F996" s="92" t="n">
        <v>62101000</v>
      </c>
      <c r="G996" s="92" t="n">
        <v>1951</v>
      </c>
      <c r="H996" s="93" t="n">
        <v>436000</v>
      </c>
      <c r="I996" s="92" t="inlineStr">
        <is>
          <t>5월 국내출장 - L여행사</t>
        </is>
      </c>
      <c r="J996" s="92" t="inlineStr">
        <is>
          <t>V10018</t>
        </is>
      </c>
      <c r="K996" s="92" t="inlineStr">
        <is>
          <t>L여행사</t>
        </is>
      </c>
      <c r="M996" s="9">
        <f>IF($A996="","",VALUE($A996&amp;"")*12+VALUE($B996&amp;""))</f>
        <v/>
      </c>
      <c r="N996" s="64">
        <f>IF($A996="","",IFERROR(INDEX(부서매핑!$C$5:$C$504,MATCH($G996&amp;"",부서매핑!$A$5:$A$504,0)),"미매핑"))</f>
        <v/>
      </c>
      <c r="O996" s="9">
        <f>IF($A996="","",N996&amp;"|"&amp;$F996)</f>
        <v/>
      </c>
      <c r="P996" s="94">
        <f>IF($A996="",0,$H996*설정!$C$23)</f>
        <v/>
      </c>
      <c r="Q996" s="64">
        <f>IF($A996="","",IF(O996&lt;&gt;원인분석!$C$9,"",IF(AND(M996&gt;=원인분석!$C$10,M996&lt;=원인분석!$C$11),"당기",IF(AND(M996&gt;=원인분석!$C$12,M996&lt;=원인분석!$C$13),"비교",""))))</f>
        <v/>
      </c>
      <c r="R996" s="9">
        <f>IF(Q996="","",$K996&amp;"")</f>
        <v/>
      </c>
      <c r="S996" s="9">
        <f>IF(Q996="","",IF(MATCH(R996,$R$5:$R$100000,0)=ROW()-4,ROW(),""))</f>
        <v/>
      </c>
      <c r="T996" s="9">
        <f>IF(Q996="당기",ABS(P996)+ROW()/1000000000,"")</f>
        <v/>
      </c>
      <c r="U996" s="9">
        <f>IF(Q996="비교",ABS(P996)+ROW()/1000000000,"")</f>
        <v/>
      </c>
      <c r="V996" s="64">
        <f>IF($A996="","",IF(COUNTIF(변동분석!$E$7:$E$506,O996)&gt;0,"Y","N"))</f>
        <v/>
      </c>
      <c r="W996" s="64">
        <f>IF($A996="","",IFERROR(INDEX(계정매핑!$D$5:$D$504,MATCH($F996&amp;"",계정매핑!$A$5:$A$504,0)),"미매핑"))</f>
        <v/>
      </c>
      <c r="X996" s="9">
        <f>IF($A996="","",$F996&amp;"")</f>
        <v/>
      </c>
      <c r="Y996" s="94">
        <f>IF($A996="",0,IF(AE996="직접",IF(AF996="비귀속",$P996,0),$P996*(1-AG996)*IFERROR(INDEX(계정대체기준!$F$20:$F$49,MATCH($N996,계정대체기준!$A$20:$A$49,0)),1)))</f>
        <v/>
      </c>
      <c r="Z996" s="94">
        <f>IF($A996="",0,IF(AE996="직접",IF(AF996="신계약비",$P996,0),$P996*(1-AG996)*IFERROR(INDEX(계정대체기준!$C$20:$C$49,MATCH($N996,계정대체기준!$A$20:$A$49,0)),0)))</f>
        <v/>
      </c>
      <c r="AA996" s="94">
        <f>IF($A996="",0,IF(AE996="직접",IF(OR(AF996="유지비",AF996="손해조사비"),$P996,0),$P996*(1-AG996)*IFERROR(INDEX(계정대체기준!$D$20:$D$49,MATCH($N996,계정대체기준!$A$20:$A$49,0)),0)))</f>
        <v/>
      </c>
      <c r="AB996" s="94">
        <f>IF($A996="",0,IF(AE996="직접",IF(AF996="수금비",$P996,0),$P996*(1-AG996)*IFERROR(INDEX(계정대체기준!$E$20:$E$49,MATCH($N996,계정대체기준!$A$20:$A$49,0)),0)))</f>
        <v/>
      </c>
      <c r="AC996" s="9">
        <f>IF(AND($A996&lt;&gt;"",M996=설정!$C$20,Z996&gt;0),Z996+ROW()/1000000000,"")</f>
        <v/>
      </c>
      <c r="AD996" s="94">
        <f>IF($A996="",0,$P996*AG996)</f>
        <v/>
      </c>
      <c r="AE996" s="64">
        <f>IF($A996="","",IFERROR(INDEX(계정매핑!$E$5:$E$504,MATCH($F996&amp;"",계정매핑!$A$5:$A$504,0))&amp;"","공통비"))</f>
        <v/>
      </c>
      <c r="AF996" s="64">
        <f>IF($A996="","",IF(AE996="직접",IFERROR(INDEX(계정매핑!$F$5:$F$504,MATCH($F996&amp;"",계정매핑!$A$5:$A$504,0))&amp;"","비귀속"),""))</f>
        <v/>
      </c>
      <c r="AG996" s="96">
        <f>IF($A996="",0,IF(AND(AE996&lt;&gt;"직접",IFERROR(INDEX(계정매핑!$G$5:$G$504,MATCH($F996&amp;"",계정매핑!$A$5:$A$504,0))&amp;"","")="유지비",COUNTIF(계정대체기준!$A$6:$A$15,$N996)&gt;0),IFERROR(INDEX(계정대체기준!$E$6:$E$15,MATCH(VALUE($A996&amp;""),계정대체기준!$D$6:$D$15,0)),0),0))</f>
        <v/>
      </c>
      <c r="AH996" s="64">
        <f>IF($A996="","",IF(AD996=0,"",IF(OR(COUNTIF(계정대체기준!$A$77:$A$86,$N996)&gt;0,ISNUMBER(MATCH($X996,계정대체기준!$D$77:$D$86,0)),ISNUMBER(MATCH($F996,계정대체기준!$D$77:$D$86,0))),"Y","N")))</f>
        <v/>
      </c>
    </row>
    <row r="997">
      <c r="A997" s="92" t="n">
        <v>2025</v>
      </c>
      <c r="B997" s="92" t="n">
        <v>5</v>
      </c>
      <c r="C997" s="92" t="inlineStr">
        <is>
          <t>5100000993</t>
        </is>
      </c>
      <c r="D997" s="95" t="n">
        <v>45788</v>
      </c>
      <c r="E997" s="92" t="inlineStr">
        <is>
          <t>KR</t>
        </is>
      </c>
      <c r="F997" s="92" t="n">
        <v>62101000</v>
      </c>
      <c r="G997" s="92" t="n">
        <v>1951</v>
      </c>
      <c r="H997" s="93" t="n">
        <v>496000</v>
      </c>
      <c r="I997" s="92" t="inlineStr">
        <is>
          <t>5월 국내출장 - (법인카드)</t>
        </is>
      </c>
      <c r="J997" s="92" t="inlineStr">
        <is>
          <t>V10010</t>
        </is>
      </c>
      <c r="K997" s="92" t="inlineStr">
        <is>
          <t>(법인카드)</t>
        </is>
      </c>
      <c r="M997" s="9">
        <f>IF($A997="","",VALUE($A997&amp;"")*12+VALUE($B997&amp;""))</f>
        <v/>
      </c>
      <c r="N997" s="64">
        <f>IF($A997="","",IFERROR(INDEX(부서매핑!$C$5:$C$504,MATCH($G997&amp;"",부서매핑!$A$5:$A$504,0)),"미매핑"))</f>
        <v/>
      </c>
      <c r="O997" s="9">
        <f>IF($A997="","",N997&amp;"|"&amp;$F997)</f>
        <v/>
      </c>
      <c r="P997" s="94">
        <f>IF($A997="",0,$H997*설정!$C$23)</f>
        <v/>
      </c>
      <c r="Q997" s="64">
        <f>IF($A997="","",IF(O997&lt;&gt;원인분석!$C$9,"",IF(AND(M997&gt;=원인분석!$C$10,M997&lt;=원인분석!$C$11),"당기",IF(AND(M997&gt;=원인분석!$C$12,M997&lt;=원인분석!$C$13),"비교",""))))</f>
        <v/>
      </c>
      <c r="R997" s="9">
        <f>IF(Q997="","",$K997&amp;"")</f>
        <v/>
      </c>
      <c r="S997" s="9">
        <f>IF(Q997="","",IF(MATCH(R997,$R$5:$R$100000,0)=ROW()-4,ROW(),""))</f>
        <v/>
      </c>
      <c r="T997" s="9">
        <f>IF(Q997="당기",ABS(P997)+ROW()/1000000000,"")</f>
        <v/>
      </c>
      <c r="U997" s="9">
        <f>IF(Q997="비교",ABS(P997)+ROW()/1000000000,"")</f>
        <v/>
      </c>
      <c r="V997" s="64">
        <f>IF($A997="","",IF(COUNTIF(변동분석!$E$7:$E$506,O997)&gt;0,"Y","N"))</f>
        <v/>
      </c>
      <c r="W997" s="64">
        <f>IF($A997="","",IFERROR(INDEX(계정매핑!$D$5:$D$504,MATCH($F997&amp;"",계정매핑!$A$5:$A$504,0)),"미매핑"))</f>
        <v/>
      </c>
      <c r="X997" s="9">
        <f>IF($A997="","",$F997&amp;"")</f>
        <v/>
      </c>
      <c r="Y997" s="94">
        <f>IF($A997="",0,IF(AE997="직접",IF(AF997="비귀속",$P997,0),$P997*(1-AG997)*IFERROR(INDEX(계정대체기준!$F$20:$F$49,MATCH($N997,계정대체기준!$A$20:$A$49,0)),1)))</f>
        <v/>
      </c>
      <c r="Z997" s="94">
        <f>IF($A997="",0,IF(AE997="직접",IF(AF997="신계약비",$P997,0),$P997*(1-AG997)*IFERROR(INDEX(계정대체기준!$C$20:$C$49,MATCH($N997,계정대체기준!$A$20:$A$49,0)),0)))</f>
        <v/>
      </c>
      <c r="AA997" s="94">
        <f>IF($A997="",0,IF(AE997="직접",IF(OR(AF997="유지비",AF997="손해조사비"),$P997,0),$P997*(1-AG997)*IFERROR(INDEX(계정대체기준!$D$20:$D$49,MATCH($N997,계정대체기준!$A$20:$A$49,0)),0)))</f>
        <v/>
      </c>
      <c r="AB997" s="94">
        <f>IF($A997="",0,IF(AE997="직접",IF(AF997="수금비",$P997,0),$P997*(1-AG997)*IFERROR(INDEX(계정대체기준!$E$20:$E$49,MATCH($N997,계정대체기준!$A$20:$A$49,0)),0)))</f>
        <v/>
      </c>
      <c r="AC997" s="9">
        <f>IF(AND($A997&lt;&gt;"",M997=설정!$C$20,Z997&gt;0),Z997+ROW()/1000000000,"")</f>
        <v/>
      </c>
      <c r="AD997" s="94">
        <f>IF($A997="",0,$P997*AG997)</f>
        <v/>
      </c>
      <c r="AE997" s="64">
        <f>IF($A997="","",IFERROR(INDEX(계정매핑!$E$5:$E$504,MATCH($F997&amp;"",계정매핑!$A$5:$A$504,0))&amp;"","공통비"))</f>
        <v/>
      </c>
      <c r="AF997" s="64">
        <f>IF($A997="","",IF(AE997="직접",IFERROR(INDEX(계정매핑!$F$5:$F$504,MATCH($F997&amp;"",계정매핑!$A$5:$A$504,0))&amp;"","비귀속"),""))</f>
        <v/>
      </c>
      <c r="AG997" s="96">
        <f>IF($A997="",0,IF(AND(AE997&lt;&gt;"직접",IFERROR(INDEX(계정매핑!$G$5:$G$504,MATCH($F997&amp;"",계정매핑!$A$5:$A$504,0))&amp;"","")="유지비",COUNTIF(계정대체기준!$A$6:$A$15,$N997)&gt;0),IFERROR(INDEX(계정대체기준!$E$6:$E$15,MATCH(VALUE($A997&amp;""),계정대체기준!$D$6:$D$15,0)),0),0))</f>
        <v/>
      </c>
      <c r="AH997" s="64">
        <f>IF($A997="","",IF(AD997=0,"",IF(OR(COUNTIF(계정대체기준!$A$77:$A$86,$N997)&gt;0,ISNUMBER(MATCH($X997,계정대체기준!$D$77:$D$86,0)),ISNUMBER(MATCH($F997,계정대체기준!$D$77:$D$86,0))),"Y","N")))</f>
        <v/>
      </c>
    </row>
    <row r="998">
      <c r="A998" s="92" t="n">
        <v>2025</v>
      </c>
      <c r="B998" s="92" t="n">
        <v>5</v>
      </c>
      <c r="C998" s="92" t="inlineStr">
        <is>
          <t>5100000994</t>
        </is>
      </c>
      <c r="D998" s="95" t="n">
        <v>45788</v>
      </c>
      <c r="E998" s="92" t="inlineStr">
        <is>
          <t>KR</t>
        </is>
      </c>
      <c r="F998" s="92" t="n">
        <v>62102000</v>
      </c>
      <c r="G998" s="92" t="n">
        <v>1301</v>
      </c>
      <c r="H998" s="93" t="n">
        <v>64000</v>
      </c>
      <c r="I998" s="92" t="inlineStr">
        <is>
          <t>5월 해외출장 - N호텔</t>
        </is>
      </c>
      <c r="J998" s="92" t="inlineStr">
        <is>
          <t>V10009</t>
        </is>
      </c>
      <c r="K998" s="92" t="inlineStr">
        <is>
          <t>N호텔</t>
        </is>
      </c>
      <c r="M998" s="9">
        <f>IF($A998="","",VALUE($A998&amp;"")*12+VALUE($B998&amp;""))</f>
        <v/>
      </c>
      <c r="N998" s="64">
        <f>IF($A998="","",IFERROR(INDEX(부서매핑!$C$5:$C$504,MATCH($G998&amp;"",부서매핑!$A$5:$A$504,0)),"미매핑"))</f>
        <v/>
      </c>
      <c r="O998" s="9">
        <f>IF($A998="","",N998&amp;"|"&amp;$F998)</f>
        <v/>
      </c>
      <c r="P998" s="94">
        <f>IF($A998="",0,$H998*설정!$C$23)</f>
        <v/>
      </c>
      <c r="Q998" s="64">
        <f>IF($A998="","",IF(O998&lt;&gt;원인분석!$C$9,"",IF(AND(M998&gt;=원인분석!$C$10,M998&lt;=원인분석!$C$11),"당기",IF(AND(M998&gt;=원인분석!$C$12,M998&lt;=원인분석!$C$13),"비교",""))))</f>
        <v/>
      </c>
      <c r="R998" s="9">
        <f>IF(Q998="","",$K998&amp;"")</f>
        <v/>
      </c>
      <c r="S998" s="9">
        <f>IF(Q998="","",IF(MATCH(R998,$R$5:$R$100000,0)=ROW()-4,ROW(),""))</f>
        <v/>
      </c>
      <c r="T998" s="9">
        <f>IF(Q998="당기",ABS(P998)+ROW()/1000000000,"")</f>
        <v/>
      </c>
      <c r="U998" s="9">
        <f>IF(Q998="비교",ABS(P998)+ROW()/1000000000,"")</f>
        <v/>
      </c>
      <c r="V998" s="64">
        <f>IF($A998="","",IF(COUNTIF(변동분석!$E$7:$E$506,O998)&gt;0,"Y","N"))</f>
        <v/>
      </c>
      <c r="W998" s="64">
        <f>IF($A998="","",IFERROR(INDEX(계정매핑!$D$5:$D$504,MATCH($F998&amp;"",계정매핑!$A$5:$A$504,0)),"미매핑"))</f>
        <v/>
      </c>
      <c r="X998" s="9">
        <f>IF($A998="","",$F998&amp;"")</f>
        <v/>
      </c>
      <c r="Y998" s="94">
        <f>IF($A998="",0,IF(AE998="직접",IF(AF998="비귀속",$P998,0),$P998*(1-AG998)*IFERROR(INDEX(계정대체기준!$F$20:$F$49,MATCH($N998,계정대체기준!$A$20:$A$49,0)),1)))</f>
        <v/>
      </c>
      <c r="Z998" s="94">
        <f>IF($A998="",0,IF(AE998="직접",IF(AF998="신계약비",$P998,0),$P998*(1-AG998)*IFERROR(INDEX(계정대체기준!$C$20:$C$49,MATCH($N998,계정대체기준!$A$20:$A$49,0)),0)))</f>
        <v/>
      </c>
      <c r="AA998" s="94">
        <f>IF($A998="",0,IF(AE998="직접",IF(OR(AF998="유지비",AF998="손해조사비"),$P998,0),$P998*(1-AG998)*IFERROR(INDEX(계정대체기준!$D$20:$D$49,MATCH($N998,계정대체기준!$A$20:$A$49,0)),0)))</f>
        <v/>
      </c>
      <c r="AB998" s="94">
        <f>IF($A998="",0,IF(AE998="직접",IF(AF998="수금비",$P998,0),$P998*(1-AG998)*IFERROR(INDEX(계정대체기준!$E$20:$E$49,MATCH($N998,계정대체기준!$A$20:$A$49,0)),0)))</f>
        <v/>
      </c>
      <c r="AC998" s="9">
        <f>IF(AND($A998&lt;&gt;"",M998=설정!$C$20,Z998&gt;0),Z998+ROW()/1000000000,"")</f>
        <v/>
      </c>
      <c r="AD998" s="94">
        <f>IF($A998="",0,$P998*AG998)</f>
        <v/>
      </c>
      <c r="AE998" s="64">
        <f>IF($A998="","",IFERROR(INDEX(계정매핑!$E$5:$E$504,MATCH($F998&amp;"",계정매핑!$A$5:$A$504,0))&amp;"","공통비"))</f>
        <v/>
      </c>
      <c r="AF998" s="64">
        <f>IF($A998="","",IF(AE998="직접",IFERROR(INDEX(계정매핑!$F$5:$F$504,MATCH($F998&amp;"",계정매핑!$A$5:$A$504,0))&amp;"","비귀속"),""))</f>
        <v/>
      </c>
      <c r="AG998" s="96">
        <f>IF($A998="",0,IF(AND(AE998&lt;&gt;"직접",IFERROR(INDEX(계정매핑!$G$5:$G$504,MATCH($F998&amp;"",계정매핑!$A$5:$A$504,0))&amp;"","")="유지비",COUNTIF(계정대체기준!$A$6:$A$15,$N998)&gt;0),IFERROR(INDEX(계정대체기준!$E$6:$E$15,MATCH(VALUE($A998&amp;""),계정대체기준!$D$6:$D$15,0)),0),0))</f>
        <v/>
      </c>
      <c r="AH998" s="64">
        <f>IF($A998="","",IF(AD998=0,"",IF(OR(COUNTIF(계정대체기준!$A$77:$A$86,$N998)&gt;0,ISNUMBER(MATCH($X998,계정대체기준!$D$77:$D$86,0)),ISNUMBER(MATCH($F998,계정대체기준!$D$77:$D$86,0))),"Y","N")))</f>
        <v/>
      </c>
    </row>
    <row r="999">
      <c r="A999" s="92" t="n">
        <v>2025</v>
      </c>
      <c r="B999" s="92" t="n">
        <v>5</v>
      </c>
      <c r="C999" s="92" t="inlineStr">
        <is>
          <t>5100000995</t>
        </is>
      </c>
      <c r="D999" s="95" t="n">
        <v>45788</v>
      </c>
      <c r="E999" s="92" t="inlineStr">
        <is>
          <t>KR</t>
        </is>
      </c>
      <c r="F999" s="92" t="n">
        <v>62102000</v>
      </c>
      <c r="G999" s="92" t="n">
        <v>1602</v>
      </c>
      <c r="H999" s="93" t="n">
        <v>275000</v>
      </c>
      <c r="I999" s="92" t="inlineStr">
        <is>
          <t>5월 해외출장 - M항공</t>
        </is>
      </c>
      <c r="J999" s="92" t="inlineStr">
        <is>
          <t>V10001</t>
        </is>
      </c>
      <c r="K999" s="92" t="inlineStr">
        <is>
          <t>M항공</t>
        </is>
      </c>
      <c r="M999" s="9">
        <f>IF($A999="","",VALUE($A999&amp;"")*12+VALUE($B999&amp;""))</f>
        <v/>
      </c>
      <c r="N999" s="64">
        <f>IF($A999="","",IFERROR(INDEX(부서매핑!$C$5:$C$504,MATCH($G999&amp;"",부서매핑!$A$5:$A$504,0)),"미매핑"))</f>
        <v/>
      </c>
      <c r="O999" s="9">
        <f>IF($A999="","",N999&amp;"|"&amp;$F999)</f>
        <v/>
      </c>
      <c r="P999" s="94">
        <f>IF($A999="",0,$H999*설정!$C$23)</f>
        <v/>
      </c>
      <c r="Q999" s="64">
        <f>IF($A999="","",IF(O999&lt;&gt;원인분석!$C$9,"",IF(AND(M999&gt;=원인분석!$C$10,M999&lt;=원인분석!$C$11),"당기",IF(AND(M999&gt;=원인분석!$C$12,M999&lt;=원인분석!$C$13),"비교",""))))</f>
        <v/>
      </c>
      <c r="R999" s="9">
        <f>IF(Q999="","",$K999&amp;"")</f>
        <v/>
      </c>
      <c r="S999" s="9">
        <f>IF(Q999="","",IF(MATCH(R999,$R$5:$R$100000,0)=ROW()-4,ROW(),""))</f>
        <v/>
      </c>
      <c r="T999" s="9">
        <f>IF(Q999="당기",ABS(P999)+ROW()/1000000000,"")</f>
        <v/>
      </c>
      <c r="U999" s="9">
        <f>IF(Q999="비교",ABS(P999)+ROW()/1000000000,"")</f>
        <v/>
      </c>
      <c r="V999" s="64">
        <f>IF($A999="","",IF(COUNTIF(변동분석!$E$7:$E$506,O999)&gt;0,"Y","N"))</f>
        <v/>
      </c>
      <c r="W999" s="64">
        <f>IF($A999="","",IFERROR(INDEX(계정매핑!$D$5:$D$504,MATCH($F999&amp;"",계정매핑!$A$5:$A$504,0)),"미매핑"))</f>
        <v/>
      </c>
      <c r="X999" s="9">
        <f>IF($A999="","",$F999&amp;"")</f>
        <v/>
      </c>
      <c r="Y999" s="94">
        <f>IF($A999="",0,IF(AE999="직접",IF(AF999="비귀속",$P999,0),$P999*(1-AG999)*IFERROR(INDEX(계정대체기준!$F$20:$F$49,MATCH($N999,계정대체기준!$A$20:$A$49,0)),1)))</f>
        <v/>
      </c>
      <c r="Z999" s="94">
        <f>IF($A999="",0,IF(AE999="직접",IF(AF999="신계약비",$P999,0),$P999*(1-AG999)*IFERROR(INDEX(계정대체기준!$C$20:$C$49,MATCH($N999,계정대체기준!$A$20:$A$49,0)),0)))</f>
        <v/>
      </c>
      <c r="AA999" s="94">
        <f>IF($A999="",0,IF(AE999="직접",IF(OR(AF999="유지비",AF999="손해조사비"),$P999,0),$P999*(1-AG999)*IFERROR(INDEX(계정대체기준!$D$20:$D$49,MATCH($N999,계정대체기준!$A$20:$A$49,0)),0)))</f>
        <v/>
      </c>
      <c r="AB999" s="94">
        <f>IF($A999="",0,IF(AE999="직접",IF(AF999="수금비",$P999,0),$P999*(1-AG999)*IFERROR(INDEX(계정대체기준!$E$20:$E$49,MATCH($N999,계정대체기준!$A$20:$A$49,0)),0)))</f>
        <v/>
      </c>
      <c r="AC999" s="9">
        <f>IF(AND($A999&lt;&gt;"",M999=설정!$C$20,Z999&gt;0),Z999+ROW()/1000000000,"")</f>
        <v/>
      </c>
      <c r="AD999" s="94">
        <f>IF($A999="",0,$P999*AG999)</f>
        <v/>
      </c>
      <c r="AE999" s="64">
        <f>IF($A999="","",IFERROR(INDEX(계정매핑!$E$5:$E$504,MATCH($F999&amp;"",계정매핑!$A$5:$A$504,0))&amp;"","공통비"))</f>
        <v/>
      </c>
      <c r="AF999" s="64">
        <f>IF($A999="","",IF(AE999="직접",IFERROR(INDEX(계정매핑!$F$5:$F$504,MATCH($F999&amp;"",계정매핑!$A$5:$A$504,0))&amp;"","비귀속"),""))</f>
        <v/>
      </c>
      <c r="AG999" s="96">
        <f>IF($A999="",0,IF(AND(AE999&lt;&gt;"직접",IFERROR(INDEX(계정매핑!$G$5:$G$504,MATCH($F999&amp;"",계정매핑!$A$5:$A$504,0))&amp;"","")="유지비",COUNTIF(계정대체기준!$A$6:$A$15,$N999)&gt;0),IFERROR(INDEX(계정대체기준!$E$6:$E$15,MATCH(VALUE($A999&amp;""),계정대체기준!$D$6:$D$15,0)),0),0))</f>
        <v/>
      </c>
      <c r="AH999" s="64">
        <f>IF($A999="","",IF(AD999=0,"",IF(OR(COUNTIF(계정대체기준!$A$77:$A$86,$N999)&gt;0,ISNUMBER(MATCH($X999,계정대체기준!$D$77:$D$86,0)),ISNUMBER(MATCH($F999,계정대체기준!$D$77:$D$86,0))),"Y","N")))</f>
        <v/>
      </c>
    </row>
    <row r="1000">
      <c r="A1000" s="92" t="n">
        <v>2025</v>
      </c>
      <c r="B1000" s="92" t="n">
        <v>5</v>
      </c>
      <c r="C1000" s="92" t="inlineStr">
        <is>
          <t>5100000996</t>
        </is>
      </c>
      <c r="D1000" s="95" t="n">
        <v>45788</v>
      </c>
      <c r="E1000" s="92" t="inlineStr">
        <is>
          <t>KR</t>
        </is>
      </c>
      <c r="F1000" s="92" t="n">
        <v>62201000</v>
      </c>
      <c r="G1000" s="92" t="n">
        <v>1951</v>
      </c>
      <c r="H1000" s="93" t="n">
        <v>152000</v>
      </c>
      <c r="I1000" s="92" t="inlineStr">
        <is>
          <t>5월 통신요금 - P통신</t>
        </is>
      </c>
      <c r="J1000" s="92" t="inlineStr">
        <is>
          <t>V10014</t>
        </is>
      </c>
      <c r="K1000" s="92" t="inlineStr">
        <is>
          <t>P통신</t>
        </is>
      </c>
      <c r="M1000" s="9">
        <f>IF($A1000="","",VALUE($A1000&amp;"")*12+VALUE($B1000&amp;""))</f>
        <v/>
      </c>
      <c r="N1000" s="64">
        <f>IF($A1000="","",IFERROR(INDEX(부서매핑!$C$5:$C$504,MATCH($G1000&amp;"",부서매핑!$A$5:$A$504,0)),"미매핑"))</f>
        <v/>
      </c>
      <c r="O1000" s="9">
        <f>IF($A1000="","",N1000&amp;"|"&amp;$F1000)</f>
        <v/>
      </c>
      <c r="P1000" s="94">
        <f>IF($A1000="",0,$H1000*설정!$C$23)</f>
        <v/>
      </c>
      <c r="Q1000" s="64">
        <f>IF($A1000="","",IF(O1000&lt;&gt;원인분석!$C$9,"",IF(AND(M1000&gt;=원인분석!$C$10,M1000&lt;=원인분석!$C$11),"당기",IF(AND(M1000&gt;=원인분석!$C$12,M1000&lt;=원인분석!$C$13),"비교",""))))</f>
        <v/>
      </c>
      <c r="R1000" s="9">
        <f>IF(Q1000="","",$K1000&amp;"")</f>
        <v/>
      </c>
      <c r="S1000" s="9">
        <f>IF(Q1000="","",IF(MATCH(R1000,$R$5:$R$100000,0)=ROW()-4,ROW(),""))</f>
        <v/>
      </c>
      <c r="T1000" s="9">
        <f>IF(Q1000="당기",ABS(P1000)+ROW()/1000000000,"")</f>
        <v/>
      </c>
      <c r="U1000" s="9">
        <f>IF(Q1000="비교",ABS(P1000)+ROW()/1000000000,"")</f>
        <v/>
      </c>
      <c r="V1000" s="64">
        <f>IF($A1000="","",IF(COUNTIF(변동분석!$E$7:$E$506,O1000)&gt;0,"Y","N"))</f>
        <v/>
      </c>
      <c r="W1000" s="64">
        <f>IF($A1000="","",IFERROR(INDEX(계정매핑!$D$5:$D$504,MATCH($F1000&amp;"",계정매핑!$A$5:$A$504,0)),"미매핑"))</f>
        <v/>
      </c>
      <c r="X1000" s="9">
        <f>IF($A1000="","",$F1000&amp;"")</f>
        <v/>
      </c>
      <c r="Y1000" s="94">
        <f>IF($A1000="",0,IF(AE1000="직접",IF(AF1000="비귀속",$P1000,0),$P1000*(1-AG1000)*IFERROR(INDEX(계정대체기준!$F$20:$F$49,MATCH($N1000,계정대체기준!$A$20:$A$49,0)),1)))</f>
        <v/>
      </c>
      <c r="Z1000" s="94">
        <f>IF($A1000="",0,IF(AE1000="직접",IF(AF1000="신계약비",$P1000,0),$P1000*(1-AG1000)*IFERROR(INDEX(계정대체기준!$C$20:$C$49,MATCH($N1000,계정대체기준!$A$20:$A$49,0)),0)))</f>
        <v/>
      </c>
      <c r="AA1000" s="94">
        <f>IF($A1000="",0,IF(AE1000="직접",IF(OR(AF1000="유지비",AF1000="손해조사비"),$P1000,0),$P1000*(1-AG1000)*IFERROR(INDEX(계정대체기준!$D$20:$D$49,MATCH($N1000,계정대체기준!$A$20:$A$49,0)),0)))</f>
        <v/>
      </c>
      <c r="AB1000" s="94">
        <f>IF($A1000="",0,IF(AE1000="직접",IF(AF1000="수금비",$P1000,0),$P1000*(1-AG1000)*IFERROR(INDEX(계정대체기준!$E$20:$E$49,MATCH($N1000,계정대체기준!$A$20:$A$49,0)),0)))</f>
        <v/>
      </c>
      <c r="AC1000" s="9">
        <f>IF(AND($A1000&lt;&gt;"",M1000=설정!$C$20,Z1000&gt;0),Z1000+ROW()/1000000000,"")</f>
        <v/>
      </c>
      <c r="AD1000" s="94">
        <f>IF($A1000="",0,$P1000*AG1000)</f>
        <v/>
      </c>
      <c r="AE1000" s="64">
        <f>IF($A1000="","",IFERROR(INDEX(계정매핑!$E$5:$E$504,MATCH($F1000&amp;"",계정매핑!$A$5:$A$504,0))&amp;"","공통비"))</f>
        <v/>
      </c>
      <c r="AF1000" s="64">
        <f>IF($A1000="","",IF(AE1000="직접",IFERROR(INDEX(계정매핑!$F$5:$F$504,MATCH($F1000&amp;"",계정매핑!$A$5:$A$504,0))&amp;"","비귀속"),""))</f>
        <v/>
      </c>
      <c r="AG1000" s="96">
        <f>IF($A1000="",0,IF(AND(AE1000&lt;&gt;"직접",IFERROR(INDEX(계정매핑!$G$5:$G$504,MATCH($F1000&amp;"",계정매핑!$A$5:$A$504,0))&amp;"","")="유지비",COUNTIF(계정대체기준!$A$6:$A$15,$N1000)&gt;0),IFERROR(INDEX(계정대체기준!$E$6:$E$15,MATCH(VALUE($A1000&amp;""),계정대체기준!$D$6:$D$15,0)),0),0))</f>
        <v/>
      </c>
      <c r="AH1000" s="64">
        <f>IF($A1000="","",IF(AD1000=0,"",IF(OR(COUNTIF(계정대체기준!$A$77:$A$86,$N1000)&gt;0,ISNUMBER(MATCH($X1000,계정대체기준!$D$77:$D$86,0)),ISNUMBER(MATCH($F1000,계정대체기준!$D$77:$D$86,0))),"Y","N")))</f>
        <v/>
      </c>
    </row>
    <row r="1001">
      <c r="A1001" s="92" t="n">
        <v>2025</v>
      </c>
      <c r="B1001" s="92" t="n">
        <v>5</v>
      </c>
      <c r="C1001" s="92" t="inlineStr">
        <is>
          <t>5100000997</t>
        </is>
      </c>
      <c r="D1001" s="95" t="n">
        <v>45788</v>
      </c>
      <c r="E1001" s="92" t="inlineStr">
        <is>
          <t>KR</t>
        </is>
      </c>
      <c r="F1001" s="92" t="n">
        <v>62301000</v>
      </c>
      <c r="G1001" s="92" t="n">
        <v>1502</v>
      </c>
      <c r="H1001" s="93" t="n">
        <v>234000</v>
      </c>
      <c r="I1001" s="92" t="inlineStr">
        <is>
          <t>5월 소모품 구입 - Q오피스</t>
        </is>
      </c>
      <c r="J1001" s="92" t="inlineStr">
        <is>
          <t>V10003</t>
        </is>
      </c>
      <c r="K1001" s="92" t="inlineStr">
        <is>
          <t>Q오피스</t>
        </is>
      </c>
      <c r="M1001" s="9">
        <f>IF($A1001="","",VALUE($A1001&amp;"")*12+VALUE($B1001&amp;""))</f>
        <v/>
      </c>
      <c r="N1001" s="64">
        <f>IF($A1001="","",IFERROR(INDEX(부서매핑!$C$5:$C$504,MATCH($G1001&amp;"",부서매핑!$A$5:$A$504,0)),"미매핑"))</f>
        <v/>
      </c>
      <c r="O1001" s="9">
        <f>IF($A1001="","",N1001&amp;"|"&amp;$F1001)</f>
        <v/>
      </c>
      <c r="P1001" s="94">
        <f>IF($A1001="",0,$H1001*설정!$C$23)</f>
        <v/>
      </c>
      <c r="Q1001" s="64">
        <f>IF($A1001="","",IF(O1001&lt;&gt;원인분석!$C$9,"",IF(AND(M1001&gt;=원인분석!$C$10,M1001&lt;=원인분석!$C$11),"당기",IF(AND(M1001&gt;=원인분석!$C$12,M1001&lt;=원인분석!$C$13),"비교",""))))</f>
        <v/>
      </c>
      <c r="R1001" s="9">
        <f>IF(Q1001="","",$K1001&amp;"")</f>
        <v/>
      </c>
      <c r="S1001" s="9">
        <f>IF(Q1001="","",IF(MATCH(R1001,$R$5:$R$100000,0)=ROW()-4,ROW(),""))</f>
        <v/>
      </c>
      <c r="T1001" s="9">
        <f>IF(Q1001="당기",ABS(P1001)+ROW()/1000000000,"")</f>
        <v/>
      </c>
      <c r="U1001" s="9">
        <f>IF(Q1001="비교",ABS(P1001)+ROW()/1000000000,"")</f>
        <v/>
      </c>
      <c r="V1001" s="64">
        <f>IF($A1001="","",IF(COUNTIF(변동분석!$E$7:$E$506,O1001)&gt;0,"Y","N"))</f>
        <v/>
      </c>
      <c r="W1001" s="64">
        <f>IF($A1001="","",IFERROR(INDEX(계정매핑!$D$5:$D$504,MATCH($F1001&amp;"",계정매핑!$A$5:$A$504,0)),"미매핑"))</f>
        <v/>
      </c>
      <c r="X1001" s="9">
        <f>IF($A1001="","",$F1001&amp;"")</f>
        <v/>
      </c>
      <c r="Y1001" s="94">
        <f>IF($A1001="",0,IF(AE1001="직접",IF(AF1001="비귀속",$P1001,0),$P1001*(1-AG1001)*IFERROR(INDEX(계정대체기준!$F$20:$F$49,MATCH($N1001,계정대체기준!$A$20:$A$49,0)),1)))</f>
        <v/>
      </c>
      <c r="Z1001" s="94">
        <f>IF($A1001="",0,IF(AE1001="직접",IF(AF1001="신계약비",$P1001,0),$P1001*(1-AG1001)*IFERROR(INDEX(계정대체기준!$C$20:$C$49,MATCH($N1001,계정대체기준!$A$20:$A$49,0)),0)))</f>
        <v/>
      </c>
      <c r="AA1001" s="94">
        <f>IF($A1001="",0,IF(AE1001="직접",IF(OR(AF1001="유지비",AF1001="손해조사비"),$P1001,0),$P1001*(1-AG1001)*IFERROR(INDEX(계정대체기준!$D$20:$D$49,MATCH($N1001,계정대체기준!$A$20:$A$49,0)),0)))</f>
        <v/>
      </c>
      <c r="AB1001" s="94">
        <f>IF($A1001="",0,IF(AE1001="직접",IF(AF1001="수금비",$P1001,0),$P1001*(1-AG1001)*IFERROR(INDEX(계정대체기준!$E$20:$E$49,MATCH($N1001,계정대체기준!$A$20:$A$49,0)),0)))</f>
        <v/>
      </c>
      <c r="AC1001" s="9">
        <f>IF(AND($A1001&lt;&gt;"",M1001=설정!$C$20,Z1001&gt;0),Z1001+ROW()/1000000000,"")</f>
        <v/>
      </c>
      <c r="AD1001" s="94">
        <f>IF($A1001="",0,$P1001*AG1001)</f>
        <v/>
      </c>
      <c r="AE1001" s="64">
        <f>IF($A1001="","",IFERROR(INDEX(계정매핑!$E$5:$E$504,MATCH($F1001&amp;"",계정매핑!$A$5:$A$504,0))&amp;"","공통비"))</f>
        <v/>
      </c>
      <c r="AF1001" s="64">
        <f>IF($A1001="","",IF(AE1001="직접",IFERROR(INDEX(계정매핑!$F$5:$F$504,MATCH($F1001&amp;"",계정매핑!$A$5:$A$504,0))&amp;"","비귀속"),""))</f>
        <v/>
      </c>
      <c r="AG1001" s="96">
        <f>IF($A1001="",0,IF(AND(AE1001&lt;&gt;"직접",IFERROR(INDEX(계정매핑!$G$5:$G$504,MATCH($F1001&amp;"",계정매핑!$A$5:$A$504,0))&amp;"","")="유지비",COUNTIF(계정대체기준!$A$6:$A$15,$N1001)&gt;0),IFERROR(INDEX(계정대체기준!$E$6:$E$15,MATCH(VALUE($A1001&amp;""),계정대체기준!$D$6:$D$15,0)),0),0))</f>
        <v/>
      </c>
      <c r="AH1001" s="64">
        <f>IF($A1001="","",IF(AD1001=0,"",IF(OR(COUNTIF(계정대체기준!$A$77:$A$86,$N1001)&gt;0,ISNUMBER(MATCH($X1001,계정대체기준!$D$77:$D$86,0)),ISNUMBER(MATCH($F1001,계정대체기준!$D$77:$D$86,0))),"Y","N")))</f>
        <v/>
      </c>
    </row>
    <row r="1002">
      <c r="A1002" s="92" t="n">
        <v>2025</v>
      </c>
      <c r="B1002" s="92" t="n">
        <v>5</v>
      </c>
      <c r="C1002" s="92" t="inlineStr">
        <is>
          <t>5100000998</t>
        </is>
      </c>
      <c r="D1002" s="95" t="n">
        <v>45788</v>
      </c>
      <c r="E1002" s="92" t="inlineStr">
        <is>
          <t>KR</t>
        </is>
      </c>
      <c r="F1002" s="92" t="n">
        <v>62301000</v>
      </c>
      <c r="G1002" s="92" t="n">
        <v>1601</v>
      </c>
      <c r="H1002" s="93" t="n">
        <v>332000</v>
      </c>
      <c r="I1002" s="92" t="inlineStr">
        <is>
          <t>5월 소모품 구입 - R문구</t>
        </is>
      </c>
      <c r="J1002" s="92" t="inlineStr">
        <is>
          <t>V10022</t>
        </is>
      </c>
      <c r="K1002" s="92" t="inlineStr">
        <is>
          <t>R문구</t>
        </is>
      </c>
      <c r="M1002" s="9">
        <f>IF($A1002="","",VALUE($A1002&amp;"")*12+VALUE($B1002&amp;""))</f>
        <v/>
      </c>
      <c r="N1002" s="64">
        <f>IF($A1002="","",IFERROR(INDEX(부서매핑!$C$5:$C$504,MATCH($G1002&amp;"",부서매핑!$A$5:$A$504,0)),"미매핑"))</f>
        <v/>
      </c>
      <c r="O1002" s="9">
        <f>IF($A1002="","",N1002&amp;"|"&amp;$F1002)</f>
        <v/>
      </c>
      <c r="P1002" s="94">
        <f>IF($A1002="",0,$H1002*설정!$C$23)</f>
        <v/>
      </c>
      <c r="Q1002" s="64">
        <f>IF($A1002="","",IF(O1002&lt;&gt;원인분석!$C$9,"",IF(AND(M1002&gt;=원인분석!$C$10,M1002&lt;=원인분석!$C$11),"당기",IF(AND(M1002&gt;=원인분석!$C$12,M1002&lt;=원인분석!$C$13),"비교",""))))</f>
        <v/>
      </c>
      <c r="R1002" s="9">
        <f>IF(Q1002="","",$K1002&amp;"")</f>
        <v/>
      </c>
      <c r="S1002" s="9">
        <f>IF(Q1002="","",IF(MATCH(R1002,$R$5:$R$100000,0)=ROW()-4,ROW(),""))</f>
        <v/>
      </c>
      <c r="T1002" s="9">
        <f>IF(Q1002="당기",ABS(P1002)+ROW()/1000000000,"")</f>
        <v/>
      </c>
      <c r="U1002" s="9">
        <f>IF(Q1002="비교",ABS(P1002)+ROW()/1000000000,"")</f>
        <v/>
      </c>
      <c r="V1002" s="64">
        <f>IF($A1002="","",IF(COUNTIF(변동분석!$E$7:$E$506,O1002)&gt;0,"Y","N"))</f>
        <v/>
      </c>
      <c r="W1002" s="64">
        <f>IF($A1002="","",IFERROR(INDEX(계정매핑!$D$5:$D$504,MATCH($F1002&amp;"",계정매핑!$A$5:$A$504,0)),"미매핑"))</f>
        <v/>
      </c>
      <c r="X1002" s="9">
        <f>IF($A1002="","",$F1002&amp;"")</f>
        <v/>
      </c>
      <c r="Y1002" s="94">
        <f>IF($A1002="",0,IF(AE1002="직접",IF(AF1002="비귀속",$P1002,0),$P1002*(1-AG1002)*IFERROR(INDEX(계정대체기준!$F$20:$F$49,MATCH($N1002,계정대체기준!$A$20:$A$49,0)),1)))</f>
        <v/>
      </c>
      <c r="Z1002" s="94">
        <f>IF($A1002="",0,IF(AE1002="직접",IF(AF1002="신계약비",$P1002,0),$P1002*(1-AG1002)*IFERROR(INDEX(계정대체기준!$C$20:$C$49,MATCH($N1002,계정대체기준!$A$20:$A$49,0)),0)))</f>
        <v/>
      </c>
      <c r="AA1002" s="94">
        <f>IF($A1002="",0,IF(AE1002="직접",IF(OR(AF1002="유지비",AF1002="손해조사비"),$P1002,0),$P1002*(1-AG1002)*IFERROR(INDEX(계정대체기준!$D$20:$D$49,MATCH($N1002,계정대체기준!$A$20:$A$49,0)),0)))</f>
        <v/>
      </c>
      <c r="AB1002" s="94">
        <f>IF($A1002="",0,IF(AE1002="직접",IF(AF1002="수금비",$P1002,0),$P1002*(1-AG1002)*IFERROR(INDEX(계정대체기준!$E$20:$E$49,MATCH($N1002,계정대체기준!$A$20:$A$49,0)),0)))</f>
        <v/>
      </c>
      <c r="AC1002" s="9">
        <f>IF(AND($A1002&lt;&gt;"",M1002=설정!$C$20,Z1002&gt;0),Z1002+ROW()/1000000000,"")</f>
        <v/>
      </c>
      <c r="AD1002" s="94">
        <f>IF($A1002="",0,$P1002*AG1002)</f>
        <v/>
      </c>
      <c r="AE1002" s="64">
        <f>IF($A1002="","",IFERROR(INDEX(계정매핑!$E$5:$E$504,MATCH($F1002&amp;"",계정매핑!$A$5:$A$504,0))&amp;"","공통비"))</f>
        <v/>
      </c>
      <c r="AF1002" s="64">
        <f>IF($A1002="","",IF(AE1002="직접",IFERROR(INDEX(계정매핑!$F$5:$F$504,MATCH($F1002&amp;"",계정매핑!$A$5:$A$504,0))&amp;"","비귀속"),""))</f>
        <v/>
      </c>
      <c r="AG1002" s="96">
        <f>IF($A1002="",0,IF(AND(AE1002&lt;&gt;"직접",IFERROR(INDEX(계정매핑!$G$5:$G$504,MATCH($F1002&amp;"",계정매핑!$A$5:$A$504,0))&amp;"","")="유지비",COUNTIF(계정대체기준!$A$6:$A$15,$N1002)&gt;0),IFERROR(INDEX(계정대체기준!$E$6:$E$15,MATCH(VALUE($A1002&amp;""),계정대체기준!$D$6:$D$15,0)),0),0))</f>
        <v/>
      </c>
      <c r="AH1002" s="64">
        <f>IF($A1002="","",IF(AD1002=0,"",IF(OR(COUNTIF(계정대체기준!$A$77:$A$86,$N1002)&gt;0,ISNUMBER(MATCH($X1002,계정대체기준!$D$77:$D$86,0)),ISNUMBER(MATCH($F1002,계정대체기준!$D$77:$D$86,0))),"Y","N")))</f>
        <v/>
      </c>
    </row>
    <row r="1003">
      <c r="A1003" s="92" t="n">
        <v>2025</v>
      </c>
      <c r="B1003" s="92" t="n">
        <v>5</v>
      </c>
      <c r="C1003" s="92" t="inlineStr">
        <is>
          <t>5100000999</t>
        </is>
      </c>
      <c r="D1003" s="95" t="n">
        <v>45788</v>
      </c>
      <c r="E1003" s="92" t="inlineStr">
        <is>
          <t>KR</t>
        </is>
      </c>
      <c r="F1003" s="92" t="n">
        <v>62902000</v>
      </c>
      <c r="G1003" s="92" t="n">
        <v>1201</v>
      </c>
      <c r="H1003" s="93" t="n">
        <v>3362000</v>
      </c>
      <c r="I1003" s="92" t="inlineStr">
        <is>
          <t>5월 업무 위탁 수수료 - J콜센터</t>
        </is>
      </c>
      <c r="J1003" s="92" t="inlineStr">
        <is>
          <t>V10016</t>
        </is>
      </c>
      <c r="K1003" s="92" t="inlineStr">
        <is>
          <t>J콜센터</t>
        </is>
      </c>
      <c r="M1003" s="9">
        <f>IF($A1003="","",VALUE($A1003&amp;"")*12+VALUE($B1003&amp;""))</f>
        <v/>
      </c>
      <c r="N1003" s="64">
        <f>IF($A1003="","",IFERROR(INDEX(부서매핑!$C$5:$C$504,MATCH($G1003&amp;"",부서매핑!$A$5:$A$504,0)),"미매핑"))</f>
        <v/>
      </c>
      <c r="O1003" s="9">
        <f>IF($A1003="","",N1003&amp;"|"&amp;$F1003)</f>
        <v/>
      </c>
      <c r="P1003" s="94">
        <f>IF($A1003="",0,$H1003*설정!$C$23)</f>
        <v/>
      </c>
      <c r="Q1003" s="64">
        <f>IF($A1003="","",IF(O1003&lt;&gt;원인분석!$C$9,"",IF(AND(M1003&gt;=원인분석!$C$10,M1003&lt;=원인분석!$C$11),"당기",IF(AND(M1003&gt;=원인분석!$C$12,M1003&lt;=원인분석!$C$13),"비교",""))))</f>
        <v/>
      </c>
      <c r="R1003" s="9">
        <f>IF(Q1003="","",$K1003&amp;"")</f>
        <v/>
      </c>
      <c r="S1003" s="9">
        <f>IF(Q1003="","",IF(MATCH(R1003,$R$5:$R$100000,0)=ROW()-4,ROW(),""))</f>
        <v/>
      </c>
      <c r="T1003" s="9">
        <f>IF(Q1003="당기",ABS(P1003)+ROW()/1000000000,"")</f>
        <v/>
      </c>
      <c r="U1003" s="9">
        <f>IF(Q1003="비교",ABS(P1003)+ROW()/1000000000,"")</f>
        <v/>
      </c>
      <c r="V1003" s="64">
        <f>IF($A1003="","",IF(COUNTIF(변동분석!$E$7:$E$506,O1003)&gt;0,"Y","N"))</f>
        <v/>
      </c>
      <c r="W1003" s="64">
        <f>IF($A1003="","",IFERROR(INDEX(계정매핑!$D$5:$D$504,MATCH($F1003&amp;"",계정매핑!$A$5:$A$504,0)),"미매핑"))</f>
        <v/>
      </c>
      <c r="X1003" s="9">
        <f>IF($A1003="","",$F1003&amp;"")</f>
        <v/>
      </c>
      <c r="Y1003" s="94">
        <f>IF($A1003="",0,IF(AE1003="직접",IF(AF1003="비귀속",$P1003,0),$P1003*(1-AG1003)*IFERROR(INDEX(계정대체기준!$F$20:$F$49,MATCH($N1003,계정대체기준!$A$20:$A$49,0)),1)))</f>
        <v/>
      </c>
      <c r="Z1003" s="94">
        <f>IF($A1003="",0,IF(AE1003="직접",IF(AF1003="신계약비",$P1003,0),$P1003*(1-AG1003)*IFERROR(INDEX(계정대체기준!$C$20:$C$49,MATCH($N1003,계정대체기준!$A$20:$A$49,0)),0)))</f>
        <v/>
      </c>
      <c r="AA1003" s="94">
        <f>IF($A1003="",0,IF(AE1003="직접",IF(OR(AF1003="유지비",AF1003="손해조사비"),$P1003,0),$P1003*(1-AG1003)*IFERROR(INDEX(계정대체기준!$D$20:$D$49,MATCH($N1003,계정대체기준!$A$20:$A$49,0)),0)))</f>
        <v/>
      </c>
      <c r="AB1003" s="94">
        <f>IF($A1003="",0,IF(AE1003="직접",IF(AF1003="수금비",$P1003,0),$P1003*(1-AG1003)*IFERROR(INDEX(계정대체기준!$E$20:$E$49,MATCH($N1003,계정대체기준!$A$20:$A$49,0)),0)))</f>
        <v/>
      </c>
      <c r="AC1003" s="9">
        <f>IF(AND($A1003&lt;&gt;"",M1003=설정!$C$20,Z1003&gt;0),Z1003+ROW()/1000000000,"")</f>
        <v/>
      </c>
      <c r="AD1003" s="94">
        <f>IF($A1003="",0,$P1003*AG1003)</f>
        <v/>
      </c>
      <c r="AE1003" s="64">
        <f>IF($A1003="","",IFERROR(INDEX(계정매핑!$E$5:$E$504,MATCH($F1003&amp;"",계정매핑!$A$5:$A$504,0))&amp;"","공통비"))</f>
        <v/>
      </c>
      <c r="AF1003" s="64">
        <f>IF($A1003="","",IF(AE1003="직접",IFERROR(INDEX(계정매핑!$F$5:$F$504,MATCH($F1003&amp;"",계정매핑!$A$5:$A$504,0))&amp;"","비귀속"),""))</f>
        <v/>
      </c>
      <c r="AG1003" s="96">
        <f>IF($A1003="",0,IF(AND(AE1003&lt;&gt;"직접",IFERROR(INDEX(계정매핑!$G$5:$G$504,MATCH($F1003&amp;"",계정매핑!$A$5:$A$504,0))&amp;"","")="유지비",COUNTIF(계정대체기준!$A$6:$A$15,$N1003)&gt;0),IFERROR(INDEX(계정대체기준!$E$6:$E$15,MATCH(VALUE($A1003&amp;""),계정대체기준!$D$6:$D$15,0)),0),0))</f>
        <v/>
      </c>
      <c r="AH1003" s="64">
        <f>IF($A1003="","",IF(AD1003=0,"",IF(OR(COUNTIF(계정대체기준!$A$77:$A$86,$N1003)&gt;0,ISNUMBER(MATCH($X1003,계정대체기준!$D$77:$D$86,0)),ISNUMBER(MATCH($F1003,계정대체기준!$D$77:$D$86,0))),"Y","N")))</f>
        <v/>
      </c>
    </row>
    <row r="1004">
      <c r="A1004" s="92" t="n">
        <v>2025</v>
      </c>
      <c r="B1004" s="92" t="n">
        <v>5</v>
      </c>
      <c r="C1004" s="92" t="inlineStr">
        <is>
          <t>5100001000</t>
        </is>
      </c>
      <c r="D1004" s="95" t="n">
        <v>45788</v>
      </c>
      <c r="E1004" s="92" t="inlineStr">
        <is>
          <t>KR</t>
        </is>
      </c>
      <c r="F1004" s="92" t="n">
        <v>63001000</v>
      </c>
      <c r="G1004" s="92" t="n">
        <v>1701</v>
      </c>
      <c r="H1004" s="93" t="n">
        <v>24590000</v>
      </c>
      <c r="I1004" s="92" t="inlineStr">
        <is>
          <t>5월 SW 유지보수 - Z시스템</t>
        </is>
      </c>
      <c r="J1004" s="92" t="inlineStr">
        <is>
          <t>V10012</t>
        </is>
      </c>
      <c r="K1004" s="92" t="inlineStr">
        <is>
          <t>Z시스템</t>
        </is>
      </c>
      <c r="M1004" s="9">
        <f>IF($A1004="","",VALUE($A1004&amp;"")*12+VALUE($B1004&amp;""))</f>
        <v/>
      </c>
      <c r="N1004" s="64">
        <f>IF($A1004="","",IFERROR(INDEX(부서매핑!$C$5:$C$504,MATCH($G1004&amp;"",부서매핑!$A$5:$A$504,0)),"미매핑"))</f>
        <v/>
      </c>
      <c r="O1004" s="9">
        <f>IF($A1004="","",N1004&amp;"|"&amp;$F1004)</f>
        <v/>
      </c>
      <c r="P1004" s="94">
        <f>IF($A1004="",0,$H1004*설정!$C$23)</f>
        <v/>
      </c>
      <c r="Q1004" s="64">
        <f>IF($A1004="","",IF(O1004&lt;&gt;원인분석!$C$9,"",IF(AND(M1004&gt;=원인분석!$C$10,M1004&lt;=원인분석!$C$11),"당기",IF(AND(M1004&gt;=원인분석!$C$12,M1004&lt;=원인분석!$C$13),"비교",""))))</f>
        <v/>
      </c>
      <c r="R1004" s="9">
        <f>IF(Q1004="","",$K1004&amp;"")</f>
        <v/>
      </c>
      <c r="S1004" s="9">
        <f>IF(Q1004="","",IF(MATCH(R1004,$R$5:$R$100000,0)=ROW()-4,ROW(),""))</f>
        <v/>
      </c>
      <c r="T1004" s="9">
        <f>IF(Q1004="당기",ABS(P1004)+ROW()/1000000000,"")</f>
        <v/>
      </c>
      <c r="U1004" s="9">
        <f>IF(Q1004="비교",ABS(P1004)+ROW()/1000000000,"")</f>
        <v/>
      </c>
      <c r="V1004" s="64">
        <f>IF($A1004="","",IF(COUNTIF(변동분석!$E$7:$E$506,O1004)&gt;0,"Y","N"))</f>
        <v/>
      </c>
      <c r="W1004" s="64">
        <f>IF($A1004="","",IFERROR(INDEX(계정매핑!$D$5:$D$504,MATCH($F1004&amp;"",계정매핑!$A$5:$A$504,0)),"미매핑"))</f>
        <v/>
      </c>
      <c r="X1004" s="9">
        <f>IF($A1004="","",$F1004&amp;"")</f>
        <v/>
      </c>
      <c r="Y1004" s="94">
        <f>IF($A1004="",0,IF(AE1004="직접",IF(AF1004="비귀속",$P1004,0),$P1004*(1-AG1004)*IFERROR(INDEX(계정대체기준!$F$20:$F$49,MATCH($N1004,계정대체기준!$A$20:$A$49,0)),1)))</f>
        <v/>
      </c>
      <c r="Z1004" s="94">
        <f>IF($A1004="",0,IF(AE1004="직접",IF(AF1004="신계약비",$P1004,0),$P1004*(1-AG1004)*IFERROR(INDEX(계정대체기준!$C$20:$C$49,MATCH($N1004,계정대체기준!$A$20:$A$49,0)),0)))</f>
        <v/>
      </c>
      <c r="AA1004" s="94">
        <f>IF($A1004="",0,IF(AE1004="직접",IF(OR(AF1004="유지비",AF1004="손해조사비"),$P1004,0),$P1004*(1-AG1004)*IFERROR(INDEX(계정대체기준!$D$20:$D$49,MATCH($N1004,계정대체기준!$A$20:$A$49,0)),0)))</f>
        <v/>
      </c>
      <c r="AB1004" s="94">
        <f>IF($A1004="",0,IF(AE1004="직접",IF(AF1004="수금비",$P1004,0),$P1004*(1-AG1004)*IFERROR(INDEX(계정대체기준!$E$20:$E$49,MATCH($N1004,계정대체기준!$A$20:$A$49,0)),0)))</f>
        <v/>
      </c>
      <c r="AC1004" s="9">
        <f>IF(AND($A1004&lt;&gt;"",M1004=설정!$C$20,Z1004&gt;0),Z1004+ROW()/1000000000,"")</f>
        <v/>
      </c>
      <c r="AD1004" s="94">
        <f>IF($A1004="",0,$P1004*AG1004)</f>
        <v/>
      </c>
      <c r="AE1004" s="64">
        <f>IF($A1004="","",IFERROR(INDEX(계정매핑!$E$5:$E$504,MATCH($F1004&amp;"",계정매핑!$A$5:$A$504,0))&amp;"","공통비"))</f>
        <v/>
      </c>
      <c r="AF1004" s="64">
        <f>IF($A1004="","",IF(AE1004="직접",IFERROR(INDEX(계정매핑!$F$5:$F$504,MATCH($F1004&amp;"",계정매핑!$A$5:$A$504,0))&amp;"","비귀속"),""))</f>
        <v/>
      </c>
      <c r="AG1004" s="96">
        <f>IF($A1004="",0,IF(AND(AE1004&lt;&gt;"직접",IFERROR(INDEX(계정매핑!$G$5:$G$504,MATCH($F1004&amp;"",계정매핑!$A$5:$A$504,0))&amp;"","")="유지비",COUNTIF(계정대체기준!$A$6:$A$15,$N1004)&gt;0),IFERROR(INDEX(계정대체기준!$E$6:$E$15,MATCH(VALUE($A1004&amp;""),계정대체기준!$D$6:$D$15,0)),0),0))</f>
        <v/>
      </c>
      <c r="AH1004" s="64">
        <f>IF($A1004="","",IF(AD1004=0,"",IF(OR(COUNTIF(계정대체기준!$A$77:$A$86,$N1004)&gt;0,ISNUMBER(MATCH($X1004,계정대체기준!$D$77:$D$86,0)),ISNUMBER(MATCH($F1004,계정대체기준!$D$77:$D$86,0))),"Y","N")))</f>
        <v/>
      </c>
    </row>
    <row r="1005">
      <c r="A1005" s="92" t="n">
        <v>2025</v>
      </c>
      <c r="B1005" s="92" t="n">
        <v>5</v>
      </c>
      <c r="C1005" s="92" t="inlineStr">
        <is>
          <t>5100001001</t>
        </is>
      </c>
      <c r="D1005" s="95" t="n">
        <v>45788</v>
      </c>
      <c r="E1005" s="92" t="inlineStr">
        <is>
          <t>KR</t>
        </is>
      </c>
      <c r="F1005" s="92" t="n">
        <v>63501000</v>
      </c>
      <c r="G1005" s="92" t="n">
        <v>1902</v>
      </c>
      <c r="H1005" s="93" t="n">
        <v>537528000</v>
      </c>
      <c r="I1005" s="92" t="inlineStr">
        <is>
          <t>5월 모집수수료 - AA보험대리점</t>
        </is>
      </c>
      <c r="J1005" s="92" t="inlineStr">
        <is>
          <t>V10034</t>
        </is>
      </c>
      <c r="K1005" s="92" t="inlineStr">
        <is>
          <t>AA보험대리점</t>
        </is>
      </c>
      <c r="M1005" s="9">
        <f>IF($A1005="","",VALUE($A1005&amp;"")*12+VALUE($B1005&amp;""))</f>
        <v/>
      </c>
      <c r="N1005" s="64">
        <f>IF($A1005="","",IFERROR(INDEX(부서매핑!$C$5:$C$504,MATCH($G1005&amp;"",부서매핑!$A$5:$A$504,0)),"미매핑"))</f>
        <v/>
      </c>
      <c r="O1005" s="9">
        <f>IF($A1005="","",N1005&amp;"|"&amp;$F1005)</f>
        <v/>
      </c>
      <c r="P1005" s="94">
        <f>IF($A1005="",0,$H1005*설정!$C$23)</f>
        <v/>
      </c>
      <c r="Q1005" s="64">
        <f>IF($A1005="","",IF(O1005&lt;&gt;원인분석!$C$9,"",IF(AND(M1005&gt;=원인분석!$C$10,M1005&lt;=원인분석!$C$11),"당기",IF(AND(M1005&gt;=원인분석!$C$12,M1005&lt;=원인분석!$C$13),"비교",""))))</f>
        <v/>
      </c>
      <c r="R1005" s="9">
        <f>IF(Q1005="","",$K1005&amp;"")</f>
        <v/>
      </c>
      <c r="S1005" s="9">
        <f>IF(Q1005="","",IF(MATCH(R1005,$R$5:$R$100000,0)=ROW()-4,ROW(),""))</f>
        <v/>
      </c>
      <c r="T1005" s="9">
        <f>IF(Q1005="당기",ABS(P1005)+ROW()/1000000000,"")</f>
        <v/>
      </c>
      <c r="U1005" s="9">
        <f>IF(Q1005="비교",ABS(P1005)+ROW()/1000000000,"")</f>
        <v/>
      </c>
      <c r="V1005" s="64">
        <f>IF($A1005="","",IF(COUNTIF(변동분석!$E$7:$E$506,O1005)&gt;0,"Y","N"))</f>
        <v/>
      </c>
      <c r="W1005" s="64">
        <f>IF($A1005="","",IFERROR(INDEX(계정매핑!$D$5:$D$504,MATCH($F1005&amp;"",계정매핑!$A$5:$A$504,0)),"미매핑"))</f>
        <v/>
      </c>
      <c r="X1005" s="9">
        <f>IF($A1005="","",$F1005&amp;"")</f>
        <v/>
      </c>
      <c r="Y1005" s="94">
        <f>IF($A1005="",0,IF(AE1005="직접",IF(AF1005="비귀속",$P1005,0),$P1005*(1-AG1005)*IFERROR(INDEX(계정대체기준!$F$20:$F$49,MATCH($N1005,계정대체기준!$A$20:$A$49,0)),1)))</f>
        <v/>
      </c>
      <c r="Z1005" s="94">
        <f>IF($A1005="",0,IF(AE1005="직접",IF(AF1005="신계약비",$P1005,0),$P1005*(1-AG1005)*IFERROR(INDEX(계정대체기준!$C$20:$C$49,MATCH($N1005,계정대체기준!$A$20:$A$49,0)),0)))</f>
        <v/>
      </c>
      <c r="AA1005" s="94">
        <f>IF($A1005="",0,IF(AE1005="직접",IF(OR(AF1005="유지비",AF1005="손해조사비"),$P1005,0),$P1005*(1-AG1005)*IFERROR(INDEX(계정대체기준!$D$20:$D$49,MATCH($N1005,계정대체기준!$A$20:$A$49,0)),0)))</f>
        <v/>
      </c>
      <c r="AB1005" s="94">
        <f>IF($A1005="",0,IF(AE1005="직접",IF(AF1005="수금비",$P1005,0),$P1005*(1-AG1005)*IFERROR(INDEX(계정대체기준!$E$20:$E$49,MATCH($N1005,계정대체기준!$A$20:$A$49,0)),0)))</f>
        <v/>
      </c>
      <c r="AC1005" s="9">
        <f>IF(AND($A1005&lt;&gt;"",M1005=설정!$C$20,Z1005&gt;0),Z1005+ROW()/1000000000,"")</f>
        <v/>
      </c>
      <c r="AD1005" s="94">
        <f>IF($A1005="",0,$P1005*AG1005)</f>
        <v/>
      </c>
      <c r="AE1005" s="64">
        <f>IF($A1005="","",IFERROR(INDEX(계정매핑!$E$5:$E$504,MATCH($F1005&amp;"",계정매핑!$A$5:$A$504,0))&amp;"","공통비"))</f>
        <v/>
      </c>
      <c r="AF1005" s="64">
        <f>IF($A1005="","",IF(AE1005="직접",IFERROR(INDEX(계정매핑!$F$5:$F$504,MATCH($F1005&amp;"",계정매핑!$A$5:$A$504,0))&amp;"","비귀속"),""))</f>
        <v/>
      </c>
      <c r="AG1005" s="96">
        <f>IF($A1005="",0,IF(AND(AE1005&lt;&gt;"직접",IFERROR(INDEX(계정매핑!$G$5:$G$504,MATCH($F1005&amp;"",계정매핑!$A$5:$A$504,0))&amp;"","")="유지비",COUNTIF(계정대체기준!$A$6:$A$15,$N1005)&gt;0),IFERROR(INDEX(계정대체기준!$E$6:$E$15,MATCH(VALUE($A1005&amp;""),계정대체기준!$D$6:$D$15,0)),0),0))</f>
        <v/>
      </c>
      <c r="AH1005" s="64">
        <f>IF($A1005="","",IF(AD1005=0,"",IF(OR(COUNTIF(계정대체기준!$A$77:$A$86,$N1005)&gt;0,ISNUMBER(MATCH($X1005,계정대체기준!$D$77:$D$86,0)),ISNUMBER(MATCH($F1005,계정대체기준!$D$77:$D$86,0))),"Y","N")))</f>
        <v/>
      </c>
    </row>
    <row r="1006">
      <c r="A1006" s="92" t="n">
        <v>2025</v>
      </c>
      <c r="B1006" s="92" t="n">
        <v>5</v>
      </c>
      <c r="C1006" s="92" t="inlineStr">
        <is>
          <t>5100001002</t>
        </is>
      </c>
      <c r="D1006" s="95" t="n">
        <v>45789</v>
      </c>
      <c r="E1006" s="92" t="inlineStr">
        <is>
          <t>KR</t>
        </is>
      </c>
      <c r="F1006" s="92" t="n">
        <v>62101000</v>
      </c>
      <c r="G1006" s="92" t="n">
        <v>1502</v>
      </c>
      <c r="H1006" s="93" t="n">
        <v>565000</v>
      </c>
      <c r="I1006" s="92" t="inlineStr">
        <is>
          <t>5월 국내출장 - (법인카드)</t>
        </is>
      </c>
      <c r="J1006" s="92" t="inlineStr">
        <is>
          <t>V10010</t>
        </is>
      </c>
      <c r="K1006" s="92" t="inlineStr">
        <is>
          <t>(법인카드)</t>
        </is>
      </c>
      <c r="M1006" s="9">
        <f>IF($A1006="","",VALUE($A1006&amp;"")*12+VALUE($B1006&amp;""))</f>
        <v/>
      </c>
      <c r="N1006" s="64">
        <f>IF($A1006="","",IFERROR(INDEX(부서매핑!$C$5:$C$504,MATCH($G1006&amp;"",부서매핑!$A$5:$A$504,0)),"미매핑"))</f>
        <v/>
      </c>
      <c r="O1006" s="9">
        <f>IF($A1006="","",N1006&amp;"|"&amp;$F1006)</f>
        <v/>
      </c>
      <c r="P1006" s="94">
        <f>IF($A1006="",0,$H1006*설정!$C$23)</f>
        <v/>
      </c>
      <c r="Q1006" s="64">
        <f>IF($A1006="","",IF(O1006&lt;&gt;원인분석!$C$9,"",IF(AND(M1006&gt;=원인분석!$C$10,M1006&lt;=원인분석!$C$11),"당기",IF(AND(M1006&gt;=원인분석!$C$12,M1006&lt;=원인분석!$C$13),"비교",""))))</f>
        <v/>
      </c>
      <c r="R1006" s="9">
        <f>IF(Q1006="","",$K1006&amp;"")</f>
        <v/>
      </c>
      <c r="S1006" s="9">
        <f>IF(Q1006="","",IF(MATCH(R1006,$R$5:$R$100000,0)=ROW()-4,ROW(),""))</f>
        <v/>
      </c>
      <c r="T1006" s="9">
        <f>IF(Q1006="당기",ABS(P1006)+ROW()/1000000000,"")</f>
        <v/>
      </c>
      <c r="U1006" s="9">
        <f>IF(Q1006="비교",ABS(P1006)+ROW()/1000000000,"")</f>
        <v/>
      </c>
      <c r="V1006" s="64">
        <f>IF($A1006="","",IF(COUNTIF(변동분석!$E$7:$E$506,O1006)&gt;0,"Y","N"))</f>
        <v/>
      </c>
      <c r="W1006" s="64">
        <f>IF($A1006="","",IFERROR(INDEX(계정매핑!$D$5:$D$504,MATCH($F1006&amp;"",계정매핑!$A$5:$A$504,0)),"미매핑"))</f>
        <v/>
      </c>
      <c r="X1006" s="9">
        <f>IF($A1006="","",$F1006&amp;"")</f>
        <v/>
      </c>
      <c r="Y1006" s="94">
        <f>IF($A1006="",0,IF(AE1006="직접",IF(AF1006="비귀속",$P1006,0),$P1006*(1-AG1006)*IFERROR(INDEX(계정대체기준!$F$20:$F$49,MATCH($N1006,계정대체기준!$A$20:$A$49,0)),1)))</f>
        <v/>
      </c>
      <c r="Z1006" s="94">
        <f>IF($A1006="",0,IF(AE1006="직접",IF(AF1006="신계약비",$P1006,0),$P1006*(1-AG1006)*IFERROR(INDEX(계정대체기준!$C$20:$C$49,MATCH($N1006,계정대체기준!$A$20:$A$49,0)),0)))</f>
        <v/>
      </c>
      <c r="AA1006" s="94">
        <f>IF($A1006="",0,IF(AE1006="직접",IF(OR(AF1006="유지비",AF1006="손해조사비"),$P1006,0),$P1006*(1-AG1006)*IFERROR(INDEX(계정대체기준!$D$20:$D$49,MATCH($N1006,계정대체기준!$A$20:$A$49,0)),0)))</f>
        <v/>
      </c>
      <c r="AB1006" s="94">
        <f>IF($A1006="",0,IF(AE1006="직접",IF(AF1006="수금비",$P1006,0),$P1006*(1-AG1006)*IFERROR(INDEX(계정대체기준!$E$20:$E$49,MATCH($N1006,계정대체기준!$A$20:$A$49,0)),0)))</f>
        <v/>
      </c>
      <c r="AC1006" s="9">
        <f>IF(AND($A1006&lt;&gt;"",M1006=설정!$C$20,Z1006&gt;0),Z1006+ROW()/1000000000,"")</f>
        <v/>
      </c>
      <c r="AD1006" s="94">
        <f>IF($A1006="",0,$P1006*AG1006)</f>
        <v/>
      </c>
      <c r="AE1006" s="64">
        <f>IF($A1006="","",IFERROR(INDEX(계정매핑!$E$5:$E$504,MATCH($F1006&amp;"",계정매핑!$A$5:$A$504,0))&amp;"","공통비"))</f>
        <v/>
      </c>
      <c r="AF1006" s="64">
        <f>IF($A1006="","",IF(AE1006="직접",IFERROR(INDEX(계정매핑!$F$5:$F$504,MATCH($F1006&amp;"",계정매핑!$A$5:$A$504,0))&amp;"","비귀속"),""))</f>
        <v/>
      </c>
      <c r="AG1006" s="96">
        <f>IF($A1006="",0,IF(AND(AE1006&lt;&gt;"직접",IFERROR(INDEX(계정매핑!$G$5:$G$504,MATCH($F1006&amp;"",계정매핑!$A$5:$A$504,0))&amp;"","")="유지비",COUNTIF(계정대체기준!$A$6:$A$15,$N1006)&gt;0),IFERROR(INDEX(계정대체기준!$E$6:$E$15,MATCH(VALUE($A1006&amp;""),계정대체기준!$D$6:$D$15,0)),0),0))</f>
        <v/>
      </c>
      <c r="AH1006" s="64">
        <f>IF($A1006="","",IF(AD1006=0,"",IF(OR(COUNTIF(계정대체기준!$A$77:$A$86,$N1006)&gt;0,ISNUMBER(MATCH($X1006,계정대체기준!$D$77:$D$86,0)),ISNUMBER(MATCH($F1006,계정대체기준!$D$77:$D$86,0))),"Y","N")))</f>
        <v/>
      </c>
    </row>
    <row r="1007">
      <c r="A1007" s="92" t="n">
        <v>2025</v>
      </c>
      <c r="B1007" s="92" t="n">
        <v>5</v>
      </c>
      <c r="C1007" s="92" t="inlineStr">
        <is>
          <t>5100001003</t>
        </is>
      </c>
      <c r="D1007" s="95" t="n">
        <v>45789</v>
      </c>
      <c r="E1007" s="92" t="inlineStr">
        <is>
          <t>KR</t>
        </is>
      </c>
      <c r="F1007" s="92" t="n">
        <v>62101000</v>
      </c>
      <c r="G1007" s="92" t="n">
        <v>1601</v>
      </c>
      <c r="H1007" s="93" t="n">
        <v>1083000</v>
      </c>
      <c r="I1007" s="92" t="inlineStr">
        <is>
          <t>5월 국내출장 - M항공</t>
        </is>
      </c>
      <c r="J1007" s="92" t="inlineStr">
        <is>
          <t>V10001</t>
        </is>
      </c>
      <c r="K1007" s="92" t="inlineStr">
        <is>
          <t>M항공</t>
        </is>
      </c>
      <c r="M1007" s="9">
        <f>IF($A1007="","",VALUE($A1007&amp;"")*12+VALUE($B1007&amp;""))</f>
        <v/>
      </c>
      <c r="N1007" s="64">
        <f>IF($A1007="","",IFERROR(INDEX(부서매핑!$C$5:$C$504,MATCH($G1007&amp;"",부서매핑!$A$5:$A$504,0)),"미매핑"))</f>
        <v/>
      </c>
      <c r="O1007" s="9">
        <f>IF($A1007="","",N1007&amp;"|"&amp;$F1007)</f>
        <v/>
      </c>
      <c r="P1007" s="94">
        <f>IF($A1007="",0,$H1007*설정!$C$23)</f>
        <v/>
      </c>
      <c r="Q1007" s="64">
        <f>IF($A1007="","",IF(O1007&lt;&gt;원인분석!$C$9,"",IF(AND(M1007&gt;=원인분석!$C$10,M1007&lt;=원인분석!$C$11),"당기",IF(AND(M1007&gt;=원인분석!$C$12,M1007&lt;=원인분석!$C$13),"비교",""))))</f>
        <v/>
      </c>
      <c r="R1007" s="9">
        <f>IF(Q1007="","",$K1007&amp;"")</f>
        <v/>
      </c>
      <c r="S1007" s="9">
        <f>IF(Q1007="","",IF(MATCH(R1007,$R$5:$R$100000,0)=ROW()-4,ROW(),""))</f>
        <v/>
      </c>
      <c r="T1007" s="9">
        <f>IF(Q1007="당기",ABS(P1007)+ROW()/1000000000,"")</f>
        <v/>
      </c>
      <c r="U1007" s="9">
        <f>IF(Q1007="비교",ABS(P1007)+ROW()/1000000000,"")</f>
        <v/>
      </c>
      <c r="V1007" s="64">
        <f>IF($A1007="","",IF(COUNTIF(변동분석!$E$7:$E$506,O1007)&gt;0,"Y","N"))</f>
        <v/>
      </c>
      <c r="W1007" s="64">
        <f>IF($A1007="","",IFERROR(INDEX(계정매핑!$D$5:$D$504,MATCH($F1007&amp;"",계정매핑!$A$5:$A$504,0)),"미매핑"))</f>
        <v/>
      </c>
      <c r="X1007" s="9">
        <f>IF($A1007="","",$F1007&amp;"")</f>
        <v/>
      </c>
      <c r="Y1007" s="94">
        <f>IF($A1007="",0,IF(AE1007="직접",IF(AF1007="비귀속",$P1007,0),$P1007*(1-AG1007)*IFERROR(INDEX(계정대체기준!$F$20:$F$49,MATCH($N1007,계정대체기준!$A$20:$A$49,0)),1)))</f>
        <v/>
      </c>
      <c r="Z1007" s="94">
        <f>IF($A1007="",0,IF(AE1007="직접",IF(AF1007="신계약비",$P1007,0),$P1007*(1-AG1007)*IFERROR(INDEX(계정대체기준!$C$20:$C$49,MATCH($N1007,계정대체기준!$A$20:$A$49,0)),0)))</f>
        <v/>
      </c>
      <c r="AA1007" s="94">
        <f>IF($A1007="",0,IF(AE1007="직접",IF(OR(AF1007="유지비",AF1007="손해조사비"),$P1007,0),$P1007*(1-AG1007)*IFERROR(INDEX(계정대체기준!$D$20:$D$49,MATCH($N1007,계정대체기준!$A$20:$A$49,0)),0)))</f>
        <v/>
      </c>
      <c r="AB1007" s="94">
        <f>IF($A1007="",0,IF(AE1007="직접",IF(AF1007="수금비",$P1007,0),$P1007*(1-AG1007)*IFERROR(INDEX(계정대체기준!$E$20:$E$49,MATCH($N1007,계정대체기준!$A$20:$A$49,0)),0)))</f>
        <v/>
      </c>
      <c r="AC1007" s="9">
        <f>IF(AND($A1007&lt;&gt;"",M1007=설정!$C$20,Z1007&gt;0),Z1007+ROW()/1000000000,"")</f>
        <v/>
      </c>
      <c r="AD1007" s="94">
        <f>IF($A1007="",0,$P1007*AG1007)</f>
        <v/>
      </c>
      <c r="AE1007" s="64">
        <f>IF($A1007="","",IFERROR(INDEX(계정매핑!$E$5:$E$504,MATCH($F1007&amp;"",계정매핑!$A$5:$A$504,0))&amp;"","공통비"))</f>
        <v/>
      </c>
      <c r="AF1007" s="64">
        <f>IF($A1007="","",IF(AE1007="직접",IFERROR(INDEX(계정매핑!$F$5:$F$504,MATCH($F1007&amp;"",계정매핑!$A$5:$A$504,0))&amp;"","비귀속"),""))</f>
        <v/>
      </c>
      <c r="AG1007" s="96">
        <f>IF($A1007="",0,IF(AND(AE1007&lt;&gt;"직접",IFERROR(INDEX(계정매핑!$G$5:$G$504,MATCH($F1007&amp;"",계정매핑!$A$5:$A$504,0))&amp;"","")="유지비",COUNTIF(계정대체기준!$A$6:$A$15,$N1007)&gt;0),IFERROR(INDEX(계정대체기준!$E$6:$E$15,MATCH(VALUE($A1007&amp;""),계정대체기준!$D$6:$D$15,0)),0),0))</f>
        <v/>
      </c>
      <c r="AH1007" s="64">
        <f>IF($A1007="","",IF(AD1007=0,"",IF(OR(COUNTIF(계정대체기준!$A$77:$A$86,$N1007)&gt;0,ISNUMBER(MATCH($X1007,계정대체기준!$D$77:$D$86,0)),ISNUMBER(MATCH($F1007,계정대체기준!$D$77:$D$86,0))),"Y","N")))</f>
        <v/>
      </c>
    </row>
    <row r="1008">
      <c r="A1008" s="92" t="n">
        <v>2025</v>
      </c>
      <c r="B1008" s="92" t="n">
        <v>5</v>
      </c>
      <c r="C1008" s="92" t="inlineStr">
        <is>
          <t>5100001004</t>
        </is>
      </c>
      <c r="D1008" s="95" t="n">
        <v>45789</v>
      </c>
      <c r="E1008" s="92" t="inlineStr">
        <is>
          <t>KR</t>
        </is>
      </c>
      <c r="F1008" s="92" t="n">
        <v>62102000</v>
      </c>
      <c r="G1008" s="92" t="n">
        <v>1201</v>
      </c>
      <c r="H1008" s="93" t="n">
        <v>59000</v>
      </c>
      <c r="I1008" s="92" t="inlineStr">
        <is>
          <t>5월 해외출장 - N호텔</t>
        </is>
      </c>
      <c r="J1008" s="92" t="inlineStr">
        <is>
          <t>V10009</t>
        </is>
      </c>
      <c r="K1008" s="92" t="inlineStr">
        <is>
          <t>N호텔</t>
        </is>
      </c>
      <c r="M1008" s="9">
        <f>IF($A1008="","",VALUE($A1008&amp;"")*12+VALUE($B1008&amp;""))</f>
        <v/>
      </c>
      <c r="N1008" s="64">
        <f>IF($A1008="","",IFERROR(INDEX(부서매핑!$C$5:$C$504,MATCH($G1008&amp;"",부서매핑!$A$5:$A$504,0)),"미매핑"))</f>
        <v/>
      </c>
      <c r="O1008" s="9">
        <f>IF($A1008="","",N1008&amp;"|"&amp;$F1008)</f>
        <v/>
      </c>
      <c r="P1008" s="94">
        <f>IF($A1008="",0,$H1008*설정!$C$23)</f>
        <v/>
      </c>
      <c r="Q1008" s="64">
        <f>IF($A1008="","",IF(O1008&lt;&gt;원인분석!$C$9,"",IF(AND(M1008&gt;=원인분석!$C$10,M1008&lt;=원인분석!$C$11),"당기",IF(AND(M1008&gt;=원인분석!$C$12,M1008&lt;=원인분석!$C$13),"비교",""))))</f>
        <v/>
      </c>
      <c r="R1008" s="9">
        <f>IF(Q1008="","",$K1008&amp;"")</f>
        <v/>
      </c>
      <c r="S1008" s="9">
        <f>IF(Q1008="","",IF(MATCH(R1008,$R$5:$R$100000,0)=ROW()-4,ROW(),""))</f>
        <v/>
      </c>
      <c r="T1008" s="9">
        <f>IF(Q1008="당기",ABS(P1008)+ROW()/1000000000,"")</f>
        <v/>
      </c>
      <c r="U1008" s="9">
        <f>IF(Q1008="비교",ABS(P1008)+ROW()/1000000000,"")</f>
        <v/>
      </c>
      <c r="V1008" s="64">
        <f>IF($A1008="","",IF(COUNTIF(변동분석!$E$7:$E$506,O1008)&gt;0,"Y","N"))</f>
        <v/>
      </c>
      <c r="W1008" s="64">
        <f>IF($A1008="","",IFERROR(INDEX(계정매핑!$D$5:$D$504,MATCH($F1008&amp;"",계정매핑!$A$5:$A$504,0)),"미매핑"))</f>
        <v/>
      </c>
      <c r="X1008" s="9">
        <f>IF($A1008="","",$F1008&amp;"")</f>
        <v/>
      </c>
      <c r="Y1008" s="94">
        <f>IF($A1008="",0,IF(AE1008="직접",IF(AF1008="비귀속",$P1008,0),$P1008*(1-AG1008)*IFERROR(INDEX(계정대체기준!$F$20:$F$49,MATCH($N1008,계정대체기준!$A$20:$A$49,0)),1)))</f>
        <v/>
      </c>
      <c r="Z1008" s="94">
        <f>IF($A1008="",0,IF(AE1008="직접",IF(AF1008="신계약비",$P1008,0),$P1008*(1-AG1008)*IFERROR(INDEX(계정대체기준!$C$20:$C$49,MATCH($N1008,계정대체기준!$A$20:$A$49,0)),0)))</f>
        <v/>
      </c>
      <c r="AA1008" s="94">
        <f>IF($A1008="",0,IF(AE1008="직접",IF(OR(AF1008="유지비",AF1008="손해조사비"),$P1008,0),$P1008*(1-AG1008)*IFERROR(INDEX(계정대체기준!$D$20:$D$49,MATCH($N1008,계정대체기준!$A$20:$A$49,0)),0)))</f>
        <v/>
      </c>
      <c r="AB1008" s="94">
        <f>IF($A1008="",0,IF(AE1008="직접",IF(AF1008="수금비",$P1008,0),$P1008*(1-AG1008)*IFERROR(INDEX(계정대체기준!$E$20:$E$49,MATCH($N1008,계정대체기준!$A$20:$A$49,0)),0)))</f>
        <v/>
      </c>
      <c r="AC1008" s="9">
        <f>IF(AND($A1008&lt;&gt;"",M1008=설정!$C$20,Z1008&gt;0),Z1008+ROW()/1000000000,"")</f>
        <v/>
      </c>
      <c r="AD1008" s="94">
        <f>IF($A1008="",0,$P1008*AG1008)</f>
        <v/>
      </c>
      <c r="AE1008" s="64">
        <f>IF($A1008="","",IFERROR(INDEX(계정매핑!$E$5:$E$504,MATCH($F1008&amp;"",계정매핑!$A$5:$A$504,0))&amp;"","공통비"))</f>
        <v/>
      </c>
      <c r="AF1008" s="64">
        <f>IF($A1008="","",IF(AE1008="직접",IFERROR(INDEX(계정매핑!$F$5:$F$504,MATCH($F1008&amp;"",계정매핑!$A$5:$A$504,0))&amp;"","비귀속"),""))</f>
        <v/>
      </c>
      <c r="AG1008" s="96">
        <f>IF($A1008="",0,IF(AND(AE1008&lt;&gt;"직접",IFERROR(INDEX(계정매핑!$G$5:$G$504,MATCH($F1008&amp;"",계정매핑!$A$5:$A$504,0))&amp;"","")="유지비",COUNTIF(계정대체기준!$A$6:$A$15,$N1008)&gt;0),IFERROR(INDEX(계정대체기준!$E$6:$E$15,MATCH(VALUE($A1008&amp;""),계정대체기준!$D$6:$D$15,0)),0),0))</f>
        <v/>
      </c>
      <c r="AH1008" s="64">
        <f>IF($A1008="","",IF(AD1008=0,"",IF(OR(COUNTIF(계정대체기준!$A$77:$A$86,$N1008)&gt;0,ISNUMBER(MATCH($X1008,계정대체기준!$D$77:$D$86,0)),ISNUMBER(MATCH($F1008,계정대체기준!$D$77:$D$86,0))),"Y","N")))</f>
        <v/>
      </c>
    </row>
    <row r="1009">
      <c r="A1009" s="92" t="n">
        <v>2025</v>
      </c>
      <c r="B1009" s="92" t="n">
        <v>5</v>
      </c>
      <c r="C1009" s="92" t="inlineStr">
        <is>
          <t>5100001005</t>
        </is>
      </c>
      <c r="D1009" s="95" t="n">
        <v>45789</v>
      </c>
      <c r="E1009" s="92" t="inlineStr">
        <is>
          <t>KR</t>
        </is>
      </c>
      <c r="F1009" s="92" t="n">
        <v>62102000</v>
      </c>
      <c r="G1009" s="92" t="n">
        <v>1701</v>
      </c>
      <c r="H1009" s="93" t="n">
        <v>42000</v>
      </c>
      <c r="I1009" s="92" t="inlineStr">
        <is>
          <t>5월 해외출장 - M항공</t>
        </is>
      </c>
      <c r="J1009" s="92" t="inlineStr">
        <is>
          <t>V10001</t>
        </is>
      </c>
      <c r="K1009" s="92" t="inlineStr">
        <is>
          <t>M항공</t>
        </is>
      </c>
      <c r="M1009" s="9">
        <f>IF($A1009="","",VALUE($A1009&amp;"")*12+VALUE($B1009&amp;""))</f>
        <v/>
      </c>
      <c r="N1009" s="64">
        <f>IF($A1009="","",IFERROR(INDEX(부서매핑!$C$5:$C$504,MATCH($G1009&amp;"",부서매핑!$A$5:$A$504,0)),"미매핑"))</f>
        <v/>
      </c>
      <c r="O1009" s="9">
        <f>IF($A1009="","",N1009&amp;"|"&amp;$F1009)</f>
        <v/>
      </c>
      <c r="P1009" s="94">
        <f>IF($A1009="",0,$H1009*설정!$C$23)</f>
        <v/>
      </c>
      <c r="Q1009" s="64">
        <f>IF($A1009="","",IF(O1009&lt;&gt;원인분석!$C$9,"",IF(AND(M1009&gt;=원인분석!$C$10,M1009&lt;=원인분석!$C$11),"당기",IF(AND(M1009&gt;=원인분석!$C$12,M1009&lt;=원인분석!$C$13),"비교",""))))</f>
        <v/>
      </c>
      <c r="R1009" s="9">
        <f>IF(Q1009="","",$K1009&amp;"")</f>
        <v/>
      </c>
      <c r="S1009" s="9">
        <f>IF(Q1009="","",IF(MATCH(R1009,$R$5:$R$100000,0)=ROW()-4,ROW(),""))</f>
        <v/>
      </c>
      <c r="T1009" s="9">
        <f>IF(Q1009="당기",ABS(P1009)+ROW()/1000000000,"")</f>
        <v/>
      </c>
      <c r="U1009" s="9">
        <f>IF(Q1009="비교",ABS(P1009)+ROW()/1000000000,"")</f>
        <v/>
      </c>
      <c r="V1009" s="64">
        <f>IF($A1009="","",IF(COUNTIF(변동분석!$E$7:$E$506,O1009)&gt;0,"Y","N"))</f>
        <v/>
      </c>
      <c r="W1009" s="64">
        <f>IF($A1009="","",IFERROR(INDEX(계정매핑!$D$5:$D$504,MATCH($F1009&amp;"",계정매핑!$A$5:$A$504,0)),"미매핑"))</f>
        <v/>
      </c>
      <c r="X1009" s="9">
        <f>IF($A1009="","",$F1009&amp;"")</f>
        <v/>
      </c>
      <c r="Y1009" s="94">
        <f>IF($A1009="",0,IF(AE1009="직접",IF(AF1009="비귀속",$P1009,0),$P1009*(1-AG1009)*IFERROR(INDEX(계정대체기준!$F$20:$F$49,MATCH($N1009,계정대체기준!$A$20:$A$49,0)),1)))</f>
        <v/>
      </c>
      <c r="Z1009" s="94">
        <f>IF($A1009="",0,IF(AE1009="직접",IF(AF1009="신계약비",$P1009,0),$P1009*(1-AG1009)*IFERROR(INDEX(계정대체기준!$C$20:$C$49,MATCH($N1009,계정대체기준!$A$20:$A$49,0)),0)))</f>
        <v/>
      </c>
      <c r="AA1009" s="94">
        <f>IF($A1009="",0,IF(AE1009="직접",IF(OR(AF1009="유지비",AF1009="손해조사비"),$P1009,0),$P1009*(1-AG1009)*IFERROR(INDEX(계정대체기준!$D$20:$D$49,MATCH($N1009,계정대체기준!$A$20:$A$49,0)),0)))</f>
        <v/>
      </c>
      <c r="AB1009" s="94">
        <f>IF($A1009="",0,IF(AE1009="직접",IF(AF1009="수금비",$P1009,0),$P1009*(1-AG1009)*IFERROR(INDEX(계정대체기준!$E$20:$E$49,MATCH($N1009,계정대체기준!$A$20:$A$49,0)),0)))</f>
        <v/>
      </c>
      <c r="AC1009" s="9">
        <f>IF(AND($A1009&lt;&gt;"",M1009=설정!$C$20,Z1009&gt;0),Z1009+ROW()/1000000000,"")</f>
        <v/>
      </c>
      <c r="AD1009" s="94">
        <f>IF($A1009="",0,$P1009*AG1009)</f>
        <v/>
      </c>
      <c r="AE1009" s="64">
        <f>IF($A1009="","",IFERROR(INDEX(계정매핑!$E$5:$E$504,MATCH($F1009&amp;"",계정매핑!$A$5:$A$504,0))&amp;"","공통비"))</f>
        <v/>
      </c>
      <c r="AF1009" s="64">
        <f>IF($A1009="","",IF(AE1009="직접",IFERROR(INDEX(계정매핑!$F$5:$F$504,MATCH($F1009&amp;"",계정매핑!$A$5:$A$504,0))&amp;"","비귀속"),""))</f>
        <v/>
      </c>
      <c r="AG1009" s="96">
        <f>IF($A1009="",0,IF(AND(AE1009&lt;&gt;"직접",IFERROR(INDEX(계정매핑!$G$5:$G$504,MATCH($F1009&amp;"",계정매핑!$A$5:$A$504,0))&amp;"","")="유지비",COUNTIF(계정대체기준!$A$6:$A$15,$N1009)&gt;0),IFERROR(INDEX(계정대체기준!$E$6:$E$15,MATCH(VALUE($A1009&amp;""),계정대체기준!$D$6:$D$15,0)),0),0))</f>
        <v/>
      </c>
      <c r="AH1009" s="64">
        <f>IF($A1009="","",IF(AD1009=0,"",IF(OR(COUNTIF(계정대체기준!$A$77:$A$86,$N1009)&gt;0,ISNUMBER(MATCH($X1009,계정대체기준!$D$77:$D$86,0)),ISNUMBER(MATCH($F1009,계정대체기준!$D$77:$D$86,0))),"Y","N")))</f>
        <v/>
      </c>
    </row>
    <row r="1010">
      <c r="A1010" s="92" t="n">
        <v>2025</v>
      </c>
      <c r="B1010" s="92" t="n">
        <v>5</v>
      </c>
      <c r="C1010" s="92" t="inlineStr">
        <is>
          <t>5100001006</t>
        </is>
      </c>
      <c r="D1010" s="95" t="n">
        <v>45789</v>
      </c>
      <c r="E1010" s="92" t="inlineStr">
        <is>
          <t>KR</t>
        </is>
      </c>
      <c r="F1010" s="92" t="n">
        <v>62201000</v>
      </c>
      <c r="G1010" s="92" t="n">
        <v>1501</v>
      </c>
      <c r="H1010" s="93" t="n">
        <v>180000</v>
      </c>
      <c r="I1010" s="92" t="inlineStr">
        <is>
          <t>5월 통신요금 - P통신</t>
        </is>
      </c>
      <c r="J1010" s="92" t="inlineStr">
        <is>
          <t>V10014</t>
        </is>
      </c>
      <c r="K1010" s="92" t="inlineStr">
        <is>
          <t>P통신</t>
        </is>
      </c>
      <c r="M1010" s="9">
        <f>IF($A1010="","",VALUE($A1010&amp;"")*12+VALUE($B1010&amp;""))</f>
        <v/>
      </c>
      <c r="N1010" s="64">
        <f>IF($A1010="","",IFERROR(INDEX(부서매핑!$C$5:$C$504,MATCH($G1010&amp;"",부서매핑!$A$5:$A$504,0)),"미매핑"))</f>
        <v/>
      </c>
      <c r="O1010" s="9">
        <f>IF($A1010="","",N1010&amp;"|"&amp;$F1010)</f>
        <v/>
      </c>
      <c r="P1010" s="94">
        <f>IF($A1010="",0,$H1010*설정!$C$23)</f>
        <v/>
      </c>
      <c r="Q1010" s="64">
        <f>IF($A1010="","",IF(O1010&lt;&gt;원인분석!$C$9,"",IF(AND(M1010&gt;=원인분석!$C$10,M1010&lt;=원인분석!$C$11),"당기",IF(AND(M1010&gt;=원인분석!$C$12,M1010&lt;=원인분석!$C$13),"비교",""))))</f>
        <v/>
      </c>
      <c r="R1010" s="9">
        <f>IF(Q1010="","",$K1010&amp;"")</f>
        <v/>
      </c>
      <c r="S1010" s="9">
        <f>IF(Q1010="","",IF(MATCH(R1010,$R$5:$R$100000,0)=ROW()-4,ROW(),""))</f>
        <v/>
      </c>
      <c r="T1010" s="9">
        <f>IF(Q1010="당기",ABS(P1010)+ROW()/1000000000,"")</f>
        <v/>
      </c>
      <c r="U1010" s="9">
        <f>IF(Q1010="비교",ABS(P1010)+ROW()/1000000000,"")</f>
        <v/>
      </c>
      <c r="V1010" s="64">
        <f>IF($A1010="","",IF(COUNTIF(변동분석!$E$7:$E$506,O1010)&gt;0,"Y","N"))</f>
        <v/>
      </c>
      <c r="W1010" s="64">
        <f>IF($A1010="","",IFERROR(INDEX(계정매핑!$D$5:$D$504,MATCH($F1010&amp;"",계정매핑!$A$5:$A$504,0)),"미매핑"))</f>
        <v/>
      </c>
      <c r="X1010" s="9">
        <f>IF($A1010="","",$F1010&amp;"")</f>
        <v/>
      </c>
      <c r="Y1010" s="94">
        <f>IF($A1010="",0,IF(AE1010="직접",IF(AF1010="비귀속",$P1010,0),$P1010*(1-AG1010)*IFERROR(INDEX(계정대체기준!$F$20:$F$49,MATCH($N1010,계정대체기준!$A$20:$A$49,0)),1)))</f>
        <v/>
      </c>
      <c r="Z1010" s="94">
        <f>IF($A1010="",0,IF(AE1010="직접",IF(AF1010="신계약비",$P1010,0),$P1010*(1-AG1010)*IFERROR(INDEX(계정대체기준!$C$20:$C$49,MATCH($N1010,계정대체기준!$A$20:$A$49,0)),0)))</f>
        <v/>
      </c>
      <c r="AA1010" s="94">
        <f>IF($A1010="",0,IF(AE1010="직접",IF(OR(AF1010="유지비",AF1010="손해조사비"),$P1010,0),$P1010*(1-AG1010)*IFERROR(INDEX(계정대체기준!$D$20:$D$49,MATCH($N1010,계정대체기준!$A$20:$A$49,0)),0)))</f>
        <v/>
      </c>
      <c r="AB1010" s="94">
        <f>IF($A1010="",0,IF(AE1010="직접",IF(AF1010="수금비",$P1010,0),$P1010*(1-AG1010)*IFERROR(INDEX(계정대체기준!$E$20:$E$49,MATCH($N1010,계정대체기준!$A$20:$A$49,0)),0)))</f>
        <v/>
      </c>
      <c r="AC1010" s="9">
        <f>IF(AND($A1010&lt;&gt;"",M1010=설정!$C$20,Z1010&gt;0),Z1010+ROW()/1000000000,"")</f>
        <v/>
      </c>
      <c r="AD1010" s="94">
        <f>IF($A1010="",0,$P1010*AG1010)</f>
        <v/>
      </c>
      <c r="AE1010" s="64">
        <f>IF($A1010="","",IFERROR(INDEX(계정매핑!$E$5:$E$504,MATCH($F1010&amp;"",계정매핑!$A$5:$A$504,0))&amp;"","공통비"))</f>
        <v/>
      </c>
      <c r="AF1010" s="64">
        <f>IF($A1010="","",IF(AE1010="직접",IFERROR(INDEX(계정매핑!$F$5:$F$504,MATCH($F1010&amp;"",계정매핑!$A$5:$A$504,0))&amp;"","비귀속"),""))</f>
        <v/>
      </c>
      <c r="AG1010" s="96">
        <f>IF($A1010="",0,IF(AND(AE1010&lt;&gt;"직접",IFERROR(INDEX(계정매핑!$G$5:$G$504,MATCH($F1010&amp;"",계정매핑!$A$5:$A$504,0))&amp;"","")="유지비",COUNTIF(계정대체기준!$A$6:$A$15,$N1010)&gt;0),IFERROR(INDEX(계정대체기준!$E$6:$E$15,MATCH(VALUE($A1010&amp;""),계정대체기준!$D$6:$D$15,0)),0),0))</f>
        <v/>
      </c>
      <c r="AH1010" s="64">
        <f>IF($A1010="","",IF(AD1010=0,"",IF(OR(COUNTIF(계정대체기준!$A$77:$A$86,$N1010)&gt;0,ISNUMBER(MATCH($X1010,계정대체기준!$D$77:$D$86,0)),ISNUMBER(MATCH($F1010,계정대체기준!$D$77:$D$86,0))),"Y","N")))</f>
        <v/>
      </c>
    </row>
    <row r="1011">
      <c r="A1011" s="92" t="n">
        <v>2025</v>
      </c>
      <c r="B1011" s="92" t="n">
        <v>5</v>
      </c>
      <c r="C1011" s="92" t="inlineStr">
        <is>
          <t>5100001007</t>
        </is>
      </c>
      <c r="D1011" s="95" t="n">
        <v>45789</v>
      </c>
      <c r="E1011" s="92" t="inlineStr">
        <is>
          <t>KR</t>
        </is>
      </c>
      <c r="F1011" s="92" t="n">
        <v>62301000</v>
      </c>
      <c r="G1011" s="92" t="n">
        <v>1301</v>
      </c>
      <c r="H1011" s="93" t="n">
        <v>172000</v>
      </c>
      <c r="I1011" s="92" t="inlineStr">
        <is>
          <t>5월 소모품 구입 - R문구</t>
        </is>
      </c>
      <c r="J1011" s="92" t="inlineStr">
        <is>
          <t>V10022</t>
        </is>
      </c>
      <c r="K1011" s="92" t="inlineStr">
        <is>
          <t>R문구</t>
        </is>
      </c>
      <c r="M1011" s="9">
        <f>IF($A1011="","",VALUE($A1011&amp;"")*12+VALUE($B1011&amp;""))</f>
        <v/>
      </c>
      <c r="N1011" s="64">
        <f>IF($A1011="","",IFERROR(INDEX(부서매핑!$C$5:$C$504,MATCH($G1011&amp;"",부서매핑!$A$5:$A$504,0)),"미매핑"))</f>
        <v/>
      </c>
      <c r="O1011" s="9">
        <f>IF($A1011="","",N1011&amp;"|"&amp;$F1011)</f>
        <v/>
      </c>
      <c r="P1011" s="94">
        <f>IF($A1011="",0,$H1011*설정!$C$23)</f>
        <v/>
      </c>
      <c r="Q1011" s="64">
        <f>IF($A1011="","",IF(O1011&lt;&gt;원인분석!$C$9,"",IF(AND(M1011&gt;=원인분석!$C$10,M1011&lt;=원인분석!$C$11),"당기",IF(AND(M1011&gt;=원인분석!$C$12,M1011&lt;=원인분석!$C$13),"비교",""))))</f>
        <v/>
      </c>
      <c r="R1011" s="9">
        <f>IF(Q1011="","",$K1011&amp;"")</f>
        <v/>
      </c>
      <c r="S1011" s="9">
        <f>IF(Q1011="","",IF(MATCH(R1011,$R$5:$R$100000,0)=ROW()-4,ROW(),""))</f>
        <v/>
      </c>
      <c r="T1011" s="9">
        <f>IF(Q1011="당기",ABS(P1011)+ROW()/1000000000,"")</f>
        <v/>
      </c>
      <c r="U1011" s="9">
        <f>IF(Q1011="비교",ABS(P1011)+ROW()/1000000000,"")</f>
        <v/>
      </c>
      <c r="V1011" s="64">
        <f>IF($A1011="","",IF(COUNTIF(변동분석!$E$7:$E$506,O1011)&gt;0,"Y","N"))</f>
        <v/>
      </c>
      <c r="W1011" s="64">
        <f>IF($A1011="","",IFERROR(INDEX(계정매핑!$D$5:$D$504,MATCH($F1011&amp;"",계정매핑!$A$5:$A$504,0)),"미매핑"))</f>
        <v/>
      </c>
      <c r="X1011" s="9">
        <f>IF($A1011="","",$F1011&amp;"")</f>
        <v/>
      </c>
      <c r="Y1011" s="94">
        <f>IF($A1011="",0,IF(AE1011="직접",IF(AF1011="비귀속",$P1011,0),$P1011*(1-AG1011)*IFERROR(INDEX(계정대체기준!$F$20:$F$49,MATCH($N1011,계정대체기준!$A$20:$A$49,0)),1)))</f>
        <v/>
      </c>
      <c r="Z1011" s="94">
        <f>IF($A1011="",0,IF(AE1011="직접",IF(AF1011="신계약비",$P1011,0),$P1011*(1-AG1011)*IFERROR(INDEX(계정대체기준!$C$20:$C$49,MATCH($N1011,계정대체기준!$A$20:$A$49,0)),0)))</f>
        <v/>
      </c>
      <c r="AA1011" s="94">
        <f>IF($A1011="",0,IF(AE1011="직접",IF(OR(AF1011="유지비",AF1011="손해조사비"),$P1011,0),$P1011*(1-AG1011)*IFERROR(INDEX(계정대체기준!$D$20:$D$49,MATCH($N1011,계정대체기준!$A$20:$A$49,0)),0)))</f>
        <v/>
      </c>
      <c r="AB1011" s="94">
        <f>IF($A1011="",0,IF(AE1011="직접",IF(AF1011="수금비",$P1011,0),$P1011*(1-AG1011)*IFERROR(INDEX(계정대체기준!$E$20:$E$49,MATCH($N1011,계정대체기준!$A$20:$A$49,0)),0)))</f>
        <v/>
      </c>
      <c r="AC1011" s="9">
        <f>IF(AND($A1011&lt;&gt;"",M1011=설정!$C$20,Z1011&gt;0),Z1011+ROW()/1000000000,"")</f>
        <v/>
      </c>
      <c r="AD1011" s="94">
        <f>IF($A1011="",0,$P1011*AG1011)</f>
        <v/>
      </c>
      <c r="AE1011" s="64">
        <f>IF($A1011="","",IFERROR(INDEX(계정매핑!$E$5:$E$504,MATCH($F1011&amp;"",계정매핑!$A$5:$A$504,0))&amp;"","공통비"))</f>
        <v/>
      </c>
      <c r="AF1011" s="64">
        <f>IF($A1011="","",IF(AE1011="직접",IFERROR(INDEX(계정매핑!$F$5:$F$504,MATCH($F1011&amp;"",계정매핑!$A$5:$A$504,0))&amp;"","비귀속"),""))</f>
        <v/>
      </c>
      <c r="AG1011" s="96">
        <f>IF($A1011="",0,IF(AND(AE1011&lt;&gt;"직접",IFERROR(INDEX(계정매핑!$G$5:$G$504,MATCH($F1011&amp;"",계정매핑!$A$5:$A$504,0))&amp;"","")="유지비",COUNTIF(계정대체기준!$A$6:$A$15,$N1011)&gt;0),IFERROR(INDEX(계정대체기준!$E$6:$E$15,MATCH(VALUE($A1011&amp;""),계정대체기준!$D$6:$D$15,0)),0),0))</f>
        <v/>
      </c>
      <c r="AH1011" s="64">
        <f>IF($A1011="","",IF(AD1011=0,"",IF(OR(COUNTIF(계정대체기준!$A$77:$A$86,$N1011)&gt;0,ISNUMBER(MATCH($X1011,계정대체기준!$D$77:$D$86,0)),ISNUMBER(MATCH($F1011,계정대체기준!$D$77:$D$86,0))),"Y","N")))</f>
        <v/>
      </c>
    </row>
    <row r="1012">
      <c r="A1012" s="92" t="n">
        <v>2025</v>
      </c>
      <c r="B1012" s="92" t="n">
        <v>5</v>
      </c>
      <c r="C1012" s="92" t="inlineStr">
        <is>
          <t>5100001008</t>
        </is>
      </c>
      <c r="D1012" s="95" t="n">
        <v>45789</v>
      </c>
      <c r="E1012" s="92" t="inlineStr">
        <is>
          <t>KR</t>
        </is>
      </c>
      <c r="F1012" s="92" t="n">
        <v>62301000</v>
      </c>
      <c r="G1012" s="92" t="n">
        <v>1701</v>
      </c>
      <c r="H1012" s="93" t="n">
        <v>250000</v>
      </c>
      <c r="I1012" s="92" t="inlineStr">
        <is>
          <t>5월 소모품 구입 - R문구</t>
        </is>
      </c>
      <c r="J1012" s="92" t="inlineStr">
        <is>
          <t>V10022</t>
        </is>
      </c>
      <c r="K1012" s="92" t="inlineStr">
        <is>
          <t>R문구</t>
        </is>
      </c>
      <c r="M1012" s="9">
        <f>IF($A1012="","",VALUE($A1012&amp;"")*12+VALUE($B1012&amp;""))</f>
        <v/>
      </c>
      <c r="N1012" s="64">
        <f>IF($A1012="","",IFERROR(INDEX(부서매핑!$C$5:$C$504,MATCH($G1012&amp;"",부서매핑!$A$5:$A$504,0)),"미매핑"))</f>
        <v/>
      </c>
      <c r="O1012" s="9">
        <f>IF($A1012="","",N1012&amp;"|"&amp;$F1012)</f>
        <v/>
      </c>
      <c r="P1012" s="94">
        <f>IF($A1012="",0,$H1012*설정!$C$23)</f>
        <v/>
      </c>
      <c r="Q1012" s="64">
        <f>IF($A1012="","",IF(O1012&lt;&gt;원인분석!$C$9,"",IF(AND(M1012&gt;=원인분석!$C$10,M1012&lt;=원인분석!$C$11),"당기",IF(AND(M1012&gt;=원인분석!$C$12,M1012&lt;=원인분석!$C$13),"비교",""))))</f>
        <v/>
      </c>
      <c r="R1012" s="9">
        <f>IF(Q1012="","",$K1012&amp;"")</f>
        <v/>
      </c>
      <c r="S1012" s="9">
        <f>IF(Q1012="","",IF(MATCH(R1012,$R$5:$R$100000,0)=ROW()-4,ROW(),""))</f>
        <v/>
      </c>
      <c r="T1012" s="9">
        <f>IF(Q1012="당기",ABS(P1012)+ROW()/1000000000,"")</f>
        <v/>
      </c>
      <c r="U1012" s="9">
        <f>IF(Q1012="비교",ABS(P1012)+ROW()/1000000000,"")</f>
        <v/>
      </c>
      <c r="V1012" s="64">
        <f>IF($A1012="","",IF(COUNTIF(변동분석!$E$7:$E$506,O1012)&gt;0,"Y","N"))</f>
        <v/>
      </c>
      <c r="W1012" s="64">
        <f>IF($A1012="","",IFERROR(INDEX(계정매핑!$D$5:$D$504,MATCH($F1012&amp;"",계정매핑!$A$5:$A$504,0)),"미매핑"))</f>
        <v/>
      </c>
      <c r="X1012" s="9">
        <f>IF($A1012="","",$F1012&amp;"")</f>
        <v/>
      </c>
      <c r="Y1012" s="94">
        <f>IF($A1012="",0,IF(AE1012="직접",IF(AF1012="비귀속",$P1012,0),$P1012*(1-AG1012)*IFERROR(INDEX(계정대체기준!$F$20:$F$49,MATCH($N1012,계정대체기준!$A$20:$A$49,0)),1)))</f>
        <v/>
      </c>
      <c r="Z1012" s="94">
        <f>IF($A1012="",0,IF(AE1012="직접",IF(AF1012="신계약비",$P1012,0),$P1012*(1-AG1012)*IFERROR(INDEX(계정대체기준!$C$20:$C$49,MATCH($N1012,계정대체기준!$A$20:$A$49,0)),0)))</f>
        <v/>
      </c>
      <c r="AA1012" s="94">
        <f>IF($A1012="",0,IF(AE1012="직접",IF(OR(AF1012="유지비",AF1012="손해조사비"),$P1012,0),$P1012*(1-AG1012)*IFERROR(INDEX(계정대체기준!$D$20:$D$49,MATCH($N1012,계정대체기준!$A$20:$A$49,0)),0)))</f>
        <v/>
      </c>
      <c r="AB1012" s="94">
        <f>IF($A1012="",0,IF(AE1012="직접",IF(AF1012="수금비",$P1012,0),$P1012*(1-AG1012)*IFERROR(INDEX(계정대체기준!$E$20:$E$49,MATCH($N1012,계정대체기준!$A$20:$A$49,0)),0)))</f>
        <v/>
      </c>
      <c r="AC1012" s="9">
        <f>IF(AND($A1012&lt;&gt;"",M1012=설정!$C$20,Z1012&gt;0),Z1012+ROW()/1000000000,"")</f>
        <v/>
      </c>
      <c r="AD1012" s="94">
        <f>IF($A1012="",0,$P1012*AG1012)</f>
        <v/>
      </c>
      <c r="AE1012" s="64">
        <f>IF($A1012="","",IFERROR(INDEX(계정매핑!$E$5:$E$504,MATCH($F1012&amp;"",계정매핑!$A$5:$A$504,0))&amp;"","공통비"))</f>
        <v/>
      </c>
      <c r="AF1012" s="64">
        <f>IF($A1012="","",IF(AE1012="직접",IFERROR(INDEX(계정매핑!$F$5:$F$504,MATCH($F1012&amp;"",계정매핑!$A$5:$A$504,0))&amp;"","비귀속"),""))</f>
        <v/>
      </c>
      <c r="AG1012" s="96">
        <f>IF($A1012="",0,IF(AND(AE1012&lt;&gt;"직접",IFERROR(INDEX(계정매핑!$G$5:$G$504,MATCH($F1012&amp;"",계정매핑!$A$5:$A$504,0))&amp;"","")="유지비",COUNTIF(계정대체기준!$A$6:$A$15,$N1012)&gt;0),IFERROR(INDEX(계정대체기준!$E$6:$E$15,MATCH(VALUE($A1012&amp;""),계정대체기준!$D$6:$D$15,0)),0),0))</f>
        <v/>
      </c>
      <c r="AH1012" s="64">
        <f>IF($A1012="","",IF(AD1012=0,"",IF(OR(COUNTIF(계정대체기준!$A$77:$A$86,$N1012)&gt;0,ISNUMBER(MATCH($X1012,계정대체기준!$D$77:$D$86,0)),ISNUMBER(MATCH($F1012,계정대체기준!$D$77:$D$86,0))),"Y","N")))</f>
        <v/>
      </c>
    </row>
    <row r="1013">
      <c r="A1013" s="92" t="n">
        <v>2025</v>
      </c>
      <c r="B1013" s="92" t="n">
        <v>5</v>
      </c>
      <c r="C1013" s="92" t="inlineStr">
        <is>
          <t>5100001009</t>
        </is>
      </c>
      <c r="D1013" s="95" t="n">
        <v>45789</v>
      </c>
      <c r="E1013" s="92" t="inlineStr">
        <is>
          <t>KR</t>
        </is>
      </c>
      <c r="F1013" s="92" t="n">
        <v>62501000</v>
      </c>
      <c r="G1013" s="92" t="n">
        <v>1201</v>
      </c>
      <c r="H1013" s="93" t="n">
        <v>122000</v>
      </c>
      <c r="I1013" s="92" t="inlineStr">
        <is>
          <t>5월 회의 다과 - T케이터링</t>
        </is>
      </c>
      <c r="J1013" s="92" t="inlineStr">
        <is>
          <t>V10005</t>
        </is>
      </c>
      <c r="K1013" s="92" t="inlineStr">
        <is>
          <t>T케이터링</t>
        </is>
      </c>
      <c r="M1013" s="9">
        <f>IF($A1013="","",VALUE($A1013&amp;"")*12+VALUE($B1013&amp;""))</f>
        <v/>
      </c>
      <c r="N1013" s="64">
        <f>IF($A1013="","",IFERROR(INDEX(부서매핑!$C$5:$C$504,MATCH($G1013&amp;"",부서매핑!$A$5:$A$504,0)),"미매핑"))</f>
        <v/>
      </c>
      <c r="O1013" s="9">
        <f>IF($A1013="","",N1013&amp;"|"&amp;$F1013)</f>
        <v/>
      </c>
      <c r="P1013" s="94">
        <f>IF($A1013="",0,$H1013*설정!$C$23)</f>
        <v/>
      </c>
      <c r="Q1013" s="64">
        <f>IF($A1013="","",IF(O1013&lt;&gt;원인분석!$C$9,"",IF(AND(M1013&gt;=원인분석!$C$10,M1013&lt;=원인분석!$C$11),"당기",IF(AND(M1013&gt;=원인분석!$C$12,M1013&lt;=원인분석!$C$13),"비교",""))))</f>
        <v/>
      </c>
      <c r="R1013" s="9">
        <f>IF(Q1013="","",$K1013&amp;"")</f>
        <v/>
      </c>
      <c r="S1013" s="9">
        <f>IF(Q1013="","",IF(MATCH(R1013,$R$5:$R$100000,0)=ROW()-4,ROW(),""))</f>
        <v/>
      </c>
      <c r="T1013" s="9">
        <f>IF(Q1013="당기",ABS(P1013)+ROW()/1000000000,"")</f>
        <v/>
      </c>
      <c r="U1013" s="9">
        <f>IF(Q1013="비교",ABS(P1013)+ROW()/1000000000,"")</f>
        <v/>
      </c>
      <c r="V1013" s="64">
        <f>IF($A1013="","",IF(COUNTIF(변동분석!$E$7:$E$506,O1013)&gt;0,"Y","N"))</f>
        <v/>
      </c>
      <c r="W1013" s="64">
        <f>IF($A1013="","",IFERROR(INDEX(계정매핑!$D$5:$D$504,MATCH($F1013&amp;"",계정매핑!$A$5:$A$504,0)),"미매핑"))</f>
        <v/>
      </c>
      <c r="X1013" s="9">
        <f>IF($A1013="","",$F1013&amp;"")</f>
        <v/>
      </c>
      <c r="Y1013" s="94">
        <f>IF($A1013="",0,IF(AE1013="직접",IF(AF1013="비귀속",$P1013,0),$P1013*(1-AG1013)*IFERROR(INDEX(계정대체기준!$F$20:$F$49,MATCH($N1013,계정대체기준!$A$20:$A$49,0)),1)))</f>
        <v/>
      </c>
      <c r="Z1013" s="94">
        <f>IF($A1013="",0,IF(AE1013="직접",IF(AF1013="신계약비",$P1013,0),$P1013*(1-AG1013)*IFERROR(INDEX(계정대체기준!$C$20:$C$49,MATCH($N1013,계정대체기준!$A$20:$A$49,0)),0)))</f>
        <v/>
      </c>
      <c r="AA1013" s="94">
        <f>IF($A1013="",0,IF(AE1013="직접",IF(OR(AF1013="유지비",AF1013="손해조사비"),$P1013,0),$P1013*(1-AG1013)*IFERROR(INDEX(계정대체기준!$D$20:$D$49,MATCH($N1013,계정대체기준!$A$20:$A$49,0)),0)))</f>
        <v/>
      </c>
      <c r="AB1013" s="94">
        <f>IF($A1013="",0,IF(AE1013="직접",IF(AF1013="수금비",$P1013,0),$P1013*(1-AG1013)*IFERROR(INDEX(계정대체기준!$E$20:$E$49,MATCH($N1013,계정대체기준!$A$20:$A$49,0)),0)))</f>
        <v/>
      </c>
      <c r="AC1013" s="9">
        <f>IF(AND($A1013&lt;&gt;"",M1013=설정!$C$20,Z1013&gt;0),Z1013+ROW()/1000000000,"")</f>
        <v/>
      </c>
      <c r="AD1013" s="94">
        <f>IF($A1013="",0,$P1013*AG1013)</f>
        <v/>
      </c>
      <c r="AE1013" s="64">
        <f>IF($A1013="","",IFERROR(INDEX(계정매핑!$E$5:$E$504,MATCH($F1013&amp;"",계정매핑!$A$5:$A$504,0))&amp;"","공통비"))</f>
        <v/>
      </c>
      <c r="AF1013" s="64">
        <f>IF($A1013="","",IF(AE1013="직접",IFERROR(INDEX(계정매핑!$F$5:$F$504,MATCH($F1013&amp;"",계정매핑!$A$5:$A$504,0))&amp;"","비귀속"),""))</f>
        <v/>
      </c>
      <c r="AG1013" s="96">
        <f>IF($A1013="",0,IF(AND(AE1013&lt;&gt;"직접",IFERROR(INDEX(계정매핑!$G$5:$G$504,MATCH($F1013&amp;"",계정매핑!$A$5:$A$504,0))&amp;"","")="유지비",COUNTIF(계정대체기준!$A$6:$A$15,$N1013)&gt;0),IFERROR(INDEX(계정대체기준!$E$6:$E$15,MATCH(VALUE($A1013&amp;""),계정대체기준!$D$6:$D$15,0)),0),0))</f>
        <v/>
      </c>
      <c r="AH1013" s="64">
        <f>IF($A1013="","",IF(AD1013=0,"",IF(OR(COUNTIF(계정대체기준!$A$77:$A$86,$N1013)&gt;0,ISNUMBER(MATCH($X1013,계정대체기준!$D$77:$D$86,0)),ISNUMBER(MATCH($F1013,계정대체기준!$D$77:$D$86,0))),"Y","N")))</f>
        <v/>
      </c>
    </row>
    <row r="1014">
      <c r="A1014" s="92" t="n">
        <v>2025</v>
      </c>
      <c r="B1014" s="92" t="n">
        <v>5</v>
      </c>
      <c r="C1014" s="92" t="inlineStr">
        <is>
          <t>5100001010</t>
        </is>
      </c>
      <c r="D1014" s="95" t="n">
        <v>45789</v>
      </c>
      <c r="E1014" s="92" t="inlineStr">
        <is>
          <t>KR</t>
        </is>
      </c>
      <c r="F1014" s="92" t="n">
        <v>62501000</v>
      </c>
      <c r="G1014" s="92" t="n">
        <v>1701</v>
      </c>
      <c r="H1014" s="93" t="n">
        <v>112000</v>
      </c>
      <c r="I1014" s="92" t="inlineStr">
        <is>
          <t>5월 회의 다과 - (법인카드)</t>
        </is>
      </c>
      <c r="J1014" s="92" t="inlineStr">
        <is>
          <t>V10010</t>
        </is>
      </c>
      <c r="K1014" s="92" t="inlineStr">
        <is>
          <t>(법인카드)</t>
        </is>
      </c>
      <c r="M1014" s="9">
        <f>IF($A1014="","",VALUE($A1014&amp;"")*12+VALUE($B1014&amp;""))</f>
        <v/>
      </c>
      <c r="N1014" s="64">
        <f>IF($A1014="","",IFERROR(INDEX(부서매핑!$C$5:$C$504,MATCH($G1014&amp;"",부서매핑!$A$5:$A$504,0)),"미매핑"))</f>
        <v/>
      </c>
      <c r="O1014" s="9">
        <f>IF($A1014="","",N1014&amp;"|"&amp;$F1014)</f>
        <v/>
      </c>
      <c r="P1014" s="94">
        <f>IF($A1014="",0,$H1014*설정!$C$23)</f>
        <v/>
      </c>
      <c r="Q1014" s="64">
        <f>IF($A1014="","",IF(O1014&lt;&gt;원인분석!$C$9,"",IF(AND(M1014&gt;=원인분석!$C$10,M1014&lt;=원인분석!$C$11),"당기",IF(AND(M1014&gt;=원인분석!$C$12,M1014&lt;=원인분석!$C$13),"비교",""))))</f>
        <v/>
      </c>
      <c r="R1014" s="9">
        <f>IF(Q1014="","",$K1014&amp;"")</f>
        <v/>
      </c>
      <c r="S1014" s="9">
        <f>IF(Q1014="","",IF(MATCH(R1014,$R$5:$R$100000,0)=ROW()-4,ROW(),""))</f>
        <v/>
      </c>
      <c r="T1014" s="9">
        <f>IF(Q1014="당기",ABS(P1014)+ROW()/1000000000,"")</f>
        <v/>
      </c>
      <c r="U1014" s="9">
        <f>IF(Q1014="비교",ABS(P1014)+ROW()/1000000000,"")</f>
        <v/>
      </c>
      <c r="V1014" s="64">
        <f>IF($A1014="","",IF(COUNTIF(변동분석!$E$7:$E$506,O1014)&gt;0,"Y","N"))</f>
        <v/>
      </c>
      <c r="W1014" s="64">
        <f>IF($A1014="","",IFERROR(INDEX(계정매핑!$D$5:$D$504,MATCH($F1014&amp;"",계정매핑!$A$5:$A$504,0)),"미매핑"))</f>
        <v/>
      </c>
      <c r="X1014" s="9">
        <f>IF($A1014="","",$F1014&amp;"")</f>
        <v/>
      </c>
      <c r="Y1014" s="94">
        <f>IF($A1014="",0,IF(AE1014="직접",IF(AF1014="비귀속",$P1014,0),$P1014*(1-AG1014)*IFERROR(INDEX(계정대체기준!$F$20:$F$49,MATCH($N1014,계정대체기준!$A$20:$A$49,0)),1)))</f>
        <v/>
      </c>
      <c r="Z1014" s="94">
        <f>IF($A1014="",0,IF(AE1014="직접",IF(AF1014="신계약비",$P1014,0),$P1014*(1-AG1014)*IFERROR(INDEX(계정대체기준!$C$20:$C$49,MATCH($N1014,계정대체기준!$A$20:$A$49,0)),0)))</f>
        <v/>
      </c>
      <c r="AA1014" s="94">
        <f>IF($A1014="",0,IF(AE1014="직접",IF(OR(AF1014="유지비",AF1014="손해조사비"),$P1014,0),$P1014*(1-AG1014)*IFERROR(INDEX(계정대체기준!$D$20:$D$49,MATCH($N1014,계정대체기준!$A$20:$A$49,0)),0)))</f>
        <v/>
      </c>
      <c r="AB1014" s="94">
        <f>IF($A1014="",0,IF(AE1014="직접",IF(AF1014="수금비",$P1014,0),$P1014*(1-AG1014)*IFERROR(INDEX(계정대체기준!$E$20:$E$49,MATCH($N1014,계정대체기준!$A$20:$A$49,0)),0)))</f>
        <v/>
      </c>
      <c r="AC1014" s="9">
        <f>IF(AND($A1014&lt;&gt;"",M1014=설정!$C$20,Z1014&gt;0),Z1014+ROW()/1000000000,"")</f>
        <v/>
      </c>
      <c r="AD1014" s="94">
        <f>IF($A1014="",0,$P1014*AG1014)</f>
        <v/>
      </c>
      <c r="AE1014" s="64">
        <f>IF($A1014="","",IFERROR(INDEX(계정매핑!$E$5:$E$504,MATCH($F1014&amp;"",계정매핑!$A$5:$A$504,0))&amp;"","공통비"))</f>
        <v/>
      </c>
      <c r="AF1014" s="64">
        <f>IF($A1014="","",IF(AE1014="직접",IFERROR(INDEX(계정매핑!$F$5:$F$504,MATCH($F1014&amp;"",계정매핑!$A$5:$A$504,0))&amp;"","비귀속"),""))</f>
        <v/>
      </c>
      <c r="AG1014" s="96">
        <f>IF($A1014="",0,IF(AND(AE1014&lt;&gt;"직접",IFERROR(INDEX(계정매핑!$G$5:$G$504,MATCH($F1014&amp;"",계정매핑!$A$5:$A$504,0))&amp;"","")="유지비",COUNTIF(계정대체기준!$A$6:$A$15,$N1014)&gt;0),IFERROR(INDEX(계정대체기준!$E$6:$E$15,MATCH(VALUE($A1014&amp;""),계정대체기준!$D$6:$D$15,0)),0),0))</f>
        <v/>
      </c>
      <c r="AH1014" s="64">
        <f>IF($A1014="","",IF(AD1014=0,"",IF(OR(COUNTIF(계정대체기준!$A$77:$A$86,$N1014)&gt;0,ISNUMBER(MATCH($X1014,계정대체기준!$D$77:$D$86,0)),ISNUMBER(MATCH($F1014,계정대체기준!$D$77:$D$86,0))),"Y","N")))</f>
        <v/>
      </c>
    </row>
    <row r="1015">
      <c r="A1015" s="92" t="n">
        <v>2025</v>
      </c>
      <c r="B1015" s="92" t="n">
        <v>5</v>
      </c>
      <c r="C1015" s="92" t="inlineStr">
        <is>
          <t>5100001011</t>
        </is>
      </c>
      <c r="D1015" s="95" t="n">
        <v>45789</v>
      </c>
      <c r="E1015" s="92" t="inlineStr">
        <is>
          <t>KR</t>
        </is>
      </c>
      <c r="F1015" s="92" t="n">
        <v>62701000</v>
      </c>
      <c r="G1015" s="92" t="n">
        <v>1501</v>
      </c>
      <c r="H1015" s="93" t="n">
        <v>44063000</v>
      </c>
      <c r="I1015" s="92" t="inlineStr">
        <is>
          <t>5월 광고 집행 - E미디어</t>
        </is>
      </c>
      <c r="J1015" s="92" t="inlineStr">
        <is>
          <t>V10033</t>
        </is>
      </c>
      <c r="K1015" s="92" t="inlineStr">
        <is>
          <t>E미디어</t>
        </is>
      </c>
      <c r="M1015" s="9">
        <f>IF($A1015="","",VALUE($A1015&amp;"")*12+VALUE($B1015&amp;""))</f>
        <v/>
      </c>
      <c r="N1015" s="64">
        <f>IF($A1015="","",IFERROR(INDEX(부서매핑!$C$5:$C$504,MATCH($G1015&amp;"",부서매핑!$A$5:$A$504,0)),"미매핑"))</f>
        <v/>
      </c>
      <c r="O1015" s="9">
        <f>IF($A1015="","",N1015&amp;"|"&amp;$F1015)</f>
        <v/>
      </c>
      <c r="P1015" s="94">
        <f>IF($A1015="",0,$H1015*설정!$C$23)</f>
        <v/>
      </c>
      <c r="Q1015" s="64">
        <f>IF($A1015="","",IF(O1015&lt;&gt;원인분석!$C$9,"",IF(AND(M1015&gt;=원인분석!$C$10,M1015&lt;=원인분석!$C$11),"당기",IF(AND(M1015&gt;=원인분석!$C$12,M1015&lt;=원인분석!$C$13),"비교",""))))</f>
        <v/>
      </c>
      <c r="R1015" s="9">
        <f>IF(Q1015="","",$K1015&amp;"")</f>
        <v/>
      </c>
      <c r="S1015" s="9">
        <f>IF(Q1015="","",IF(MATCH(R1015,$R$5:$R$100000,0)=ROW()-4,ROW(),""))</f>
        <v/>
      </c>
      <c r="T1015" s="9">
        <f>IF(Q1015="당기",ABS(P1015)+ROW()/1000000000,"")</f>
        <v/>
      </c>
      <c r="U1015" s="9">
        <f>IF(Q1015="비교",ABS(P1015)+ROW()/1000000000,"")</f>
        <v/>
      </c>
      <c r="V1015" s="64">
        <f>IF($A1015="","",IF(COUNTIF(변동분석!$E$7:$E$506,O1015)&gt;0,"Y","N"))</f>
        <v/>
      </c>
      <c r="W1015" s="64">
        <f>IF($A1015="","",IFERROR(INDEX(계정매핑!$D$5:$D$504,MATCH($F1015&amp;"",계정매핑!$A$5:$A$504,0)),"미매핑"))</f>
        <v/>
      </c>
      <c r="X1015" s="9">
        <f>IF($A1015="","",$F1015&amp;"")</f>
        <v/>
      </c>
      <c r="Y1015" s="94">
        <f>IF($A1015="",0,IF(AE1015="직접",IF(AF1015="비귀속",$P1015,0),$P1015*(1-AG1015)*IFERROR(INDEX(계정대체기준!$F$20:$F$49,MATCH($N1015,계정대체기준!$A$20:$A$49,0)),1)))</f>
        <v/>
      </c>
      <c r="Z1015" s="94">
        <f>IF($A1015="",0,IF(AE1015="직접",IF(AF1015="신계약비",$P1015,0),$P1015*(1-AG1015)*IFERROR(INDEX(계정대체기준!$C$20:$C$49,MATCH($N1015,계정대체기준!$A$20:$A$49,0)),0)))</f>
        <v/>
      </c>
      <c r="AA1015" s="94">
        <f>IF($A1015="",0,IF(AE1015="직접",IF(OR(AF1015="유지비",AF1015="손해조사비"),$P1015,0),$P1015*(1-AG1015)*IFERROR(INDEX(계정대체기준!$D$20:$D$49,MATCH($N1015,계정대체기준!$A$20:$A$49,0)),0)))</f>
        <v/>
      </c>
      <c r="AB1015" s="94">
        <f>IF($A1015="",0,IF(AE1015="직접",IF(AF1015="수금비",$P1015,0),$P1015*(1-AG1015)*IFERROR(INDEX(계정대체기준!$E$20:$E$49,MATCH($N1015,계정대체기준!$A$20:$A$49,0)),0)))</f>
        <v/>
      </c>
      <c r="AC1015" s="9">
        <f>IF(AND($A1015&lt;&gt;"",M1015=설정!$C$20,Z1015&gt;0),Z1015+ROW()/1000000000,"")</f>
        <v/>
      </c>
      <c r="AD1015" s="94">
        <f>IF($A1015="",0,$P1015*AG1015)</f>
        <v/>
      </c>
      <c r="AE1015" s="64">
        <f>IF($A1015="","",IFERROR(INDEX(계정매핑!$E$5:$E$504,MATCH($F1015&amp;"",계정매핑!$A$5:$A$504,0))&amp;"","공통비"))</f>
        <v/>
      </c>
      <c r="AF1015" s="64">
        <f>IF($A1015="","",IF(AE1015="직접",IFERROR(INDEX(계정매핑!$F$5:$F$504,MATCH($F1015&amp;"",계정매핑!$A$5:$A$504,0))&amp;"","비귀속"),""))</f>
        <v/>
      </c>
      <c r="AG1015" s="96">
        <f>IF($A1015="",0,IF(AND(AE1015&lt;&gt;"직접",IFERROR(INDEX(계정매핑!$G$5:$G$504,MATCH($F1015&amp;"",계정매핑!$A$5:$A$504,0))&amp;"","")="유지비",COUNTIF(계정대체기준!$A$6:$A$15,$N1015)&gt;0),IFERROR(INDEX(계정대체기준!$E$6:$E$15,MATCH(VALUE($A1015&amp;""),계정대체기준!$D$6:$D$15,0)),0),0))</f>
        <v/>
      </c>
      <c r="AH1015" s="64">
        <f>IF($A1015="","",IF(AD1015=0,"",IF(OR(COUNTIF(계정대체기준!$A$77:$A$86,$N1015)&gt;0,ISNUMBER(MATCH($X1015,계정대체기준!$D$77:$D$86,0)),ISNUMBER(MATCH($F1015,계정대체기준!$D$77:$D$86,0))),"Y","N")))</f>
        <v/>
      </c>
    </row>
    <row r="1016">
      <c r="A1016" s="92" t="n">
        <v>2025</v>
      </c>
      <c r="B1016" s="92" t="n">
        <v>5</v>
      </c>
      <c r="C1016" s="92" t="inlineStr">
        <is>
          <t>5100001012</t>
        </is>
      </c>
      <c r="D1016" s="95" t="n">
        <v>45789</v>
      </c>
      <c r="E1016" s="92" t="inlineStr">
        <is>
          <t>KR</t>
        </is>
      </c>
      <c r="F1016" s="92" t="n">
        <v>62901000</v>
      </c>
      <c r="G1016" s="92" t="n">
        <v>1801</v>
      </c>
      <c r="H1016" s="93" t="n">
        <v>6879000</v>
      </c>
      <c r="I1016" s="92" t="inlineStr">
        <is>
          <t>5월 자문 수수료 - W컨설팅</t>
        </is>
      </c>
      <c r="J1016" s="92" t="inlineStr">
        <is>
          <t>V10006</t>
        </is>
      </c>
      <c r="K1016" s="92" t="inlineStr">
        <is>
          <t>W컨설팅</t>
        </is>
      </c>
      <c r="M1016" s="9">
        <f>IF($A1016="","",VALUE($A1016&amp;"")*12+VALUE($B1016&amp;""))</f>
        <v/>
      </c>
      <c r="N1016" s="64">
        <f>IF($A1016="","",IFERROR(INDEX(부서매핑!$C$5:$C$504,MATCH($G1016&amp;"",부서매핑!$A$5:$A$504,0)),"미매핑"))</f>
        <v/>
      </c>
      <c r="O1016" s="9">
        <f>IF($A1016="","",N1016&amp;"|"&amp;$F1016)</f>
        <v/>
      </c>
      <c r="P1016" s="94">
        <f>IF($A1016="",0,$H1016*설정!$C$23)</f>
        <v/>
      </c>
      <c r="Q1016" s="64">
        <f>IF($A1016="","",IF(O1016&lt;&gt;원인분석!$C$9,"",IF(AND(M1016&gt;=원인분석!$C$10,M1016&lt;=원인분석!$C$11),"당기",IF(AND(M1016&gt;=원인분석!$C$12,M1016&lt;=원인분석!$C$13),"비교",""))))</f>
        <v/>
      </c>
      <c r="R1016" s="9">
        <f>IF(Q1016="","",$K1016&amp;"")</f>
        <v/>
      </c>
      <c r="S1016" s="9">
        <f>IF(Q1016="","",IF(MATCH(R1016,$R$5:$R$100000,0)=ROW()-4,ROW(),""))</f>
        <v/>
      </c>
      <c r="T1016" s="9">
        <f>IF(Q1016="당기",ABS(P1016)+ROW()/1000000000,"")</f>
        <v/>
      </c>
      <c r="U1016" s="9">
        <f>IF(Q1016="비교",ABS(P1016)+ROW()/1000000000,"")</f>
        <v/>
      </c>
      <c r="V1016" s="64">
        <f>IF($A1016="","",IF(COUNTIF(변동분석!$E$7:$E$506,O1016)&gt;0,"Y","N"))</f>
        <v/>
      </c>
      <c r="W1016" s="64">
        <f>IF($A1016="","",IFERROR(INDEX(계정매핑!$D$5:$D$504,MATCH($F1016&amp;"",계정매핑!$A$5:$A$504,0)),"미매핑"))</f>
        <v/>
      </c>
      <c r="X1016" s="9">
        <f>IF($A1016="","",$F1016&amp;"")</f>
        <v/>
      </c>
      <c r="Y1016" s="94">
        <f>IF($A1016="",0,IF(AE1016="직접",IF(AF1016="비귀속",$P1016,0),$P1016*(1-AG1016)*IFERROR(INDEX(계정대체기준!$F$20:$F$49,MATCH($N1016,계정대체기준!$A$20:$A$49,0)),1)))</f>
        <v/>
      </c>
      <c r="Z1016" s="94">
        <f>IF($A1016="",0,IF(AE1016="직접",IF(AF1016="신계약비",$P1016,0),$P1016*(1-AG1016)*IFERROR(INDEX(계정대체기준!$C$20:$C$49,MATCH($N1016,계정대체기준!$A$20:$A$49,0)),0)))</f>
        <v/>
      </c>
      <c r="AA1016" s="94">
        <f>IF($A1016="",0,IF(AE1016="직접",IF(OR(AF1016="유지비",AF1016="손해조사비"),$P1016,0),$P1016*(1-AG1016)*IFERROR(INDEX(계정대체기준!$D$20:$D$49,MATCH($N1016,계정대체기준!$A$20:$A$49,0)),0)))</f>
        <v/>
      </c>
      <c r="AB1016" s="94">
        <f>IF($A1016="",0,IF(AE1016="직접",IF(AF1016="수금비",$P1016,0),$P1016*(1-AG1016)*IFERROR(INDEX(계정대체기준!$E$20:$E$49,MATCH($N1016,계정대체기준!$A$20:$A$49,0)),0)))</f>
        <v/>
      </c>
      <c r="AC1016" s="9">
        <f>IF(AND($A1016&lt;&gt;"",M1016=설정!$C$20,Z1016&gt;0),Z1016+ROW()/1000000000,"")</f>
        <v/>
      </c>
      <c r="AD1016" s="94">
        <f>IF($A1016="",0,$P1016*AG1016)</f>
        <v/>
      </c>
      <c r="AE1016" s="64">
        <f>IF($A1016="","",IFERROR(INDEX(계정매핑!$E$5:$E$504,MATCH($F1016&amp;"",계정매핑!$A$5:$A$504,0))&amp;"","공통비"))</f>
        <v/>
      </c>
      <c r="AF1016" s="64">
        <f>IF($A1016="","",IF(AE1016="직접",IFERROR(INDEX(계정매핑!$F$5:$F$504,MATCH($F1016&amp;"",계정매핑!$A$5:$A$504,0))&amp;"","비귀속"),""))</f>
        <v/>
      </c>
      <c r="AG1016" s="96">
        <f>IF($A1016="",0,IF(AND(AE1016&lt;&gt;"직접",IFERROR(INDEX(계정매핑!$G$5:$G$504,MATCH($F1016&amp;"",계정매핑!$A$5:$A$504,0))&amp;"","")="유지비",COUNTIF(계정대체기준!$A$6:$A$15,$N1016)&gt;0),IFERROR(INDEX(계정대체기준!$E$6:$E$15,MATCH(VALUE($A1016&amp;""),계정대체기준!$D$6:$D$15,0)),0),0))</f>
        <v/>
      </c>
      <c r="AH1016" s="64">
        <f>IF($A1016="","",IF(AD1016=0,"",IF(OR(COUNTIF(계정대체기준!$A$77:$A$86,$N1016)&gt;0,ISNUMBER(MATCH($X1016,계정대체기준!$D$77:$D$86,0)),ISNUMBER(MATCH($F1016,계정대체기준!$D$77:$D$86,0))),"Y","N")))</f>
        <v/>
      </c>
    </row>
    <row r="1017">
      <c r="A1017" s="92" t="n">
        <v>2025</v>
      </c>
      <c r="B1017" s="92" t="n">
        <v>5</v>
      </c>
      <c r="C1017" s="92" t="inlineStr">
        <is>
          <t>5100001013</t>
        </is>
      </c>
      <c r="D1017" s="95" t="n">
        <v>45790</v>
      </c>
      <c r="E1017" s="92" t="inlineStr">
        <is>
          <t>KR</t>
        </is>
      </c>
      <c r="F1017" s="92" t="n">
        <v>62101000</v>
      </c>
      <c r="G1017" s="92" t="n">
        <v>1801</v>
      </c>
      <c r="H1017" s="93" t="n">
        <v>233000</v>
      </c>
      <c r="I1017" s="92" t="inlineStr">
        <is>
          <t>5월 국내출장 - (법인카드)</t>
        </is>
      </c>
      <c r="J1017" s="92" t="inlineStr">
        <is>
          <t>V10010</t>
        </is>
      </c>
      <c r="K1017" s="92" t="inlineStr">
        <is>
          <t>(법인카드)</t>
        </is>
      </c>
      <c r="M1017" s="9">
        <f>IF($A1017="","",VALUE($A1017&amp;"")*12+VALUE($B1017&amp;""))</f>
        <v/>
      </c>
      <c r="N1017" s="64">
        <f>IF($A1017="","",IFERROR(INDEX(부서매핑!$C$5:$C$504,MATCH($G1017&amp;"",부서매핑!$A$5:$A$504,0)),"미매핑"))</f>
        <v/>
      </c>
      <c r="O1017" s="9">
        <f>IF($A1017="","",N1017&amp;"|"&amp;$F1017)</f>
        <v/>
      </c>
      <c r="P1017" s="94">
        <f>IF($A1017="",0,$H1017*설정!$C$23)</f>
        <v/>
      </c>
      <c r="Q1017" s="64">
        <f>IF($A1017="","",IF(O1017&lt;&gt;원인분석!$C$9,"",IF(AND(M1017&gt;=원인분석!$C$10,M1017&lt;=원인분석!$C$11),"당기",IF(AND(M1017&gt;=원인분석!$C$12,M1017&lt;=원인분석!$C$13),"비교",""))))</f>
        <v/>
      </c>
      <c r="R1017" s="9">
        <f>IF(Q1017="","",$K1017&amp;"")</f>
        <v/>
      </c>
      <c r="S1017" s="9">
        <f>IF(Q1017="","",IF(MATCH(R1017,$R$5:$R$100000,0)=ROW()-4,ROW(),""))</f>
        <v/>
      </c>
      <c r="T1017" s="9">
        <f>IF(Q1017="당기",ABS(P1017)+ROW()/1000000000,"")</f>
        <v/>
      </c>
      <c r="U1017" s="9">
        <f>IF(Q1017="비교",ABS(P1017)+ROW()/1000000000,"")</f>
        <v/>
      </c>
      <c r="V1017" s="64">
        <f>IF($A1017="","",IF(COUNTIF(변동분석!$E$7:$E$506,O1017)&gt;0,"Y","N"))</f>
        <v/>
      </c>
      <c r="W1017" s="64">
        <f>IF($A1017="","",IFERROR(INDEX(계정매핑!$D$5:$D$504,MATCH($F1017&amp;"",계정매핑!$A$5:$A$504,0)),"미매핑"))</f>
        <v/>
      </c>
      <c r="X1017" s="9">
        <f>IF($A1017="","",$F1017&amp;"")</f>
        <v/>
      </c>
      <c r="Y1017" s="94">
        <f>IF($A1017="",0,IF(AE1017="직접",IF(AF1017="비귀속",$P1017,0),$P1017*(1-AG1017)*IFERROR(INDEX(계정대체기준!$F$20:$F$49,MATCH($N1017,계정대체기준!$A$20:$A$49,0)),1)))</f>
        <v/>
      </c>
      <c r="Z1017" s="94">
        <f>IF($A1017="",0,IF(AE1017="직접",IF(AF1017="신계약비",$P1017,0),$P1017*(1-AG1017)*IFERROR(INDEX(계정대체기준!$C$20:$C$49,MATCH($N1017,계정대체기준!$A$20:$A$49,0)),0)))</f>
        <v/>
      </c>
      <c r="AA1017" s="94">
        <f>IF($A1017="",0,IF(AE1017="직접",IF(OR(AF1017="유지비",AF1017="손해조사비"),$P1017,0),$P1017*(1-AG1017)*IFERROR(INDEX(계정대체기준!$D$20:$D$49,MATCH($N1017,계정대체기준!$A$20:$A$49,0)),0)))</f>
        <v/>
      </c>
      <c r="AB1017" s="94">
        <f>IF($A1017="",0,IF(AE1017="직접",IF(AF1017="수금비",$P1017,0),$P1017*(1-AG1017)*IFERROR(INDEX(계정대체기준!$E$20:$E$49,MATCH($N1017,계정대체기준!$A$20:$A$49,0)),0)))</f>
        <v/>
      </c>
      <c r="AC1017" s="9">
        <f>IF(AND($A1017&lt;&gt;"",M1017=설정!$C$20,Z1017&gt;0),Z1017+ROW()/1000000000,"")</f>
        <v/>
      </c>
      <c r="AD1017" s="94">
        <f>IF($A1017="",0,$P1017*AG1017)</f>
        <v/>
      </c>
      <c r="AE1017" s="64">
        <f>IF($A1017="","",IFERROR(INDEX(계정매핑!$E$5:$E$504,MATCH($F1017&amp;"",계정매핑!$A$5:$A$504,0))&amp;"","공통비"))</f>
        <v/>
      </c>
      <c r="AF1017" s="64">
        <f>IF($A1017="","",IF(AE1017="직접",IFERROR(INDEX(계정매핑!$F$5:$F$504,MATCH($F1017&amp;"",계정매핑!$A$5:$A$504,0))&amp;"","비귀속"),""))</f>
        <v/>
      </c>
      <c r="AG1017" s="96">
        <f>IF($A1017="",0,IF(AND(AE1017&lt;&gt;"직접",IFERROR(INDEX(계정매핑!$G$5:$G$504,MATCH($F1017&amp;"",계정매핑!$A$5:$A$504,0))&amp;"","")="유지비",COUNTIF(계정대체기준!$A$6:$A$15,$N1017)&gt;0),IFERROR(INDEX(계정대체기준!$E$6:$E$15,MATCH(VALUE($A1017&amp;""),계정대체기준!$D$6:$D$15,0)),0),0))</f>
        <v/>
      </c>
      <c r="AH1017" s="64">
        <f>IF($A1017="","",IF(AD1017=0,"",IF(OR(COUNTIF(계정대체기준!$A$77:$A$86,$N1017)&gt;0,ISNUMBER(MATCH($X1017,계정대체기준!$D$77:$D$86,0)),ISNUMBER(MATCH($F1017,계정대체기준!$D$77:$D$86,0))),"Y","N")))</f>
        <v/>
      </c>
    </row>
    <row r="1018">
      <c r="A1018" s="92" t="n">
        <v>2025</v>
      </c>
      <c r="B1018" s="92" t="n">
        <v>5</v>
      </c>
      <c r="C1018" s="92" t="inlineStr">
        <is>
          <t>5100001014</t>
        </is>
      </c>
      <c r="D1018" s="95" t="n">
        <v>45790</v>
      </c>
      <c r="E1018" s="92" t="inlineStr">
        <is>
          <t>KR</t>
        </is>
      </c>
      <c r="F1018" s="92" t="n">
        <v>62301000</v>
      </c>
      <c r="G1018" s="92" t="n">
        <v>1601</v>
      </c>
      <c r="H1018" s="93" t="n">
        <v>349000</v>
      </c>
      <c r="I1018" s="92" t="inlineStr">
        <is>
          <t>5월 소모품 구입 - R문구</t>
        </is>
      </c>
      <c r="J1018" s="92" t="inlineStr">
        <is>
          <t>V10022</t>
        </is>
      </c>
      <c r="K1018" s="92" t="inlineStr">
        <is>
          <t>R문구</t>
        </is>
      </c>
      <c r="M1018" s="9">
        <f>IF($A1018="","",VALUE($A1018&amp;"")*12+VALUE($B1018&amp;""))</f>
        <v/>
      </c>
      <c r="N1018" s="64">
        <f>IF($A1018="","",IFERROR(INDEX(부서매핑!$C$5:$C$504,MATCH($G1018&amp;"",부서매핑!$A$5:$A$504,0)),"미매핑"))</f>
        <v/>
      </c>
      <c r="O1018" s="9">
        <f>IF($A1018="","",N1018&amp;"|"&amp;$F1018)</f>
        <v/>
      </c>
      <c r="P1018" s="94">
        <f>IF($A1018="",0,$H1018*설정!$C$23)</f>
        <v/>
      </c>
      <c r="Q1018" s="64">
        <f>IF($A1018="","",IF(O1018&lt;&gt;원인분석!$C$9,"",IF(AND(M1018&gt;=원인분석!$C$10,M1018&lt;=원인분석!$C$11),"당기",IF(AND(M1018&gt;=원인분석!$C$12,M1018&lt;=원인분석!$C$13),"비교",""))))</f>
        <v/>
      </c>
      <c r="R1018" s="9">
        <f>IF(Q1018="","",$K1018&amp;"")</f>
        <v/>
      </c>
      <c r="S1018" s="9">
        <f>IF(Q1018="","",IF(MATCH(R1018,$R$5:$R$100000,0)=ROW()-4,ROW(),""))</f>
        <v/>
      </c>
      <c r="T1018" s="9">
        <f>IF(Q1018="당기",ABS(P1018)+ROW()/1000000000,"")</f>
        <v/>
      </c>
      <c r="U1018" s="9">
        <f>IF(Q1018="비교",ABS(P1018)+ROW()/1000000000,"")</f>
        <v/>
      </c>
      <c r="V1018" s="64">
        <f>IF($A1018="","",IF(COUNTIF(변동분석!$E$7:$E$506,O1018)&gt;0,"Y","N"))</f>
        <v/>
      </c>
      <c r="W1018" s="64">
        <f>IF($A1018="","",IFERROR(INDEX(계정매핑!$D$5:$D$504,MATCH($F1018&amp;"",계정매핑!$A$5:$A$504,0)),"미매핑"))</f>
        <v/>
      </c>
      <c r="X1018" s="9">
        <f>IF($A1018="","",$F1018&amp;"")</f>
        <v/>
      </c>
      <c r="Y1018" s="94">
        <f>IF($A1018="",0,IF(AE1018="직접",IF(AF1018="비귀속",$P1018,0),$P1018*(1-AG1018)*IFERROR(INDEX(계정대체기준!$F$20:$F$49,MATCH($N1018,계정대체기준!$A$20:$A$49,0)),1)))</f>
        <v/>
      </c>
      <c r="Z1018" s="94">
        <f>IF($A1018="",0,IF(AE1018="직접",IF(AF1018="신계약비",$P1018,0),$P1018*(1-AG1018)*IFERROR(INDEX(계정대체기준!$C$20:$C$49,MATCH($N1018,계정대체기준!$A$20:$A$49,0)),0)))</f>
        <v/>
      </c>
      <c r="AA1018" s="94">
        <f>IF($A1018="",0,IF(AE1018="직접",IF(OR(AF1018="유지비",AF1018="손해조사비"),$P1018,0),$P1018*(1-AG1018)*IFERROR(INDEX(계정대체기준!$D$20:$D$49,MATCH($N1018,계정대체기준!$A$20:$A$49,0)),0)))</f>
        <v/>
      </c>
      <c r="AB1018" s="94">
        <f>IF($A1018="",0,IF(AE1018="직접",IF(AF1018="수금비",$P1018,0),$P1018*(1-AG1018)*IFERROR(INDEX(계정대체기준!$E$20:$E$49,MATCH($N1018,계정대체기준!$A$20:$A$49,0)),0)))</f>
        <v/>
      </c>
      <c r="AC1018" s="9">
        <f>IF(AND($A1018&lt;&gt;"",M1018=설정!$C$20,Z1018&gt;0),Z1018+ROW()/1000000000,"")</f>
        <v/>
      </c>
      <c r="AD1018" s="94">
        <f>IF($A1018="",0,$P1018*AG1018)</f>
        <v/>
      </c>
      <c r="AE1018" s="64">
        <f>IF($A1018="","",IFERROR(INDEX(계정매핑!$E$5:$E$504,MATCH($F1018&amp;"",계정매핑!$A$5:$A$504,0))&amp;"","공통비"))</f>
        <v/>
      </c>
      <c r="AF1018" s="64">
        <f>IF($A1018="","",IF(AE1018="직접",IFERROR(INDEX(계정매핑!$F$5:$F$504,MATCH($F1018&amp;"",계정매핑!$A$5:$A$504,0))&amp;"","비귀속"),""))</f>
        <v/>
      </c>
      <c r="AG1018" s="96">
        <f>IF($A1018="",0,IF(AND(AE1018&lt;&gt;"직접",IFERROR(INDEX(계정매핑!$G$5:$G$504,MATCH($F1018&amp;"",계정매핑!$A$5:$A$504,0))&amp;"","")="유지비",COUNTIF(계정대체기준!$A$6:$A$15,$N1018)&gt;0),IFERROR(INDEX(계정대체기준!$E$6:$E$15,MATCH(VALUE($A1018&amp;""),계정대체기준!$D$6:$D$15,0)),0),0))</f>
        <v/>
      </c>
      <c r="AH1018" s="64">
        <f>IF($A1018="","",IF(AD1018=0,"",IF(OR(COUNTIF(계정대체기준!$A$77:$A$86,$N1018)&gt;0,ISNUMBER(MATCH($X1018,계정대체기준!$D$77:$D$86,0)),ISNUMBER(MATCH($F1018,계정대체기준!$D$77:$D$86,0))),"Y","N")))</f>
        <v/>
      </c>
    </row>
    <row r="1019">
      <c r="A1019" s="92" t="n">
        <v>2025</v>
      </c>
      <c r="B1019" s="92" t="n">
        <v>5</v>
      </c>
      <c r="C1019" s="92" t="inlineStr">
        <is>
          <t>5100001015</t>
        </is>
      </c>
      <c r="D1019" s="95" t="n">
        <v>45790</v>
      </c>
      <c r="E1019" s="92" t="inlineStr">
        <is>
          <t>KR</t>
        </is>
      </c>
      <c r="F1019" s="92" t="n">
        <v>62901000</v>
      </c>
      <c r="G1019" s="92" t="n">
        <v>1201</v>
      </c>
      <c r="H1019" s="93" t="n">
        <v>5985000</v>
      </c>
      <c r="I1019" s="92" t="inlineStr">
        <is>
          <t>5월 자문 수수료 - K회계법인</t>
        </is>
      </c>
      <c r="J1019" s="92" t="inlineStr">
        <is>
          <t>V10011</t>
        </is>
      </c>
      <c r="K1019" s="92" t="inlineStr">
        <is>
          <t>K회계법인</t>
        </is>
      </c>
      <c r="M1019" s="9">
        <f>IF($A1019="","",VALUE($A1019&amp;"")*12+VALUE($B1019&amp;""))</f>
        <v/>
      </c>
      <c r="N1019" s="64">
        <f>IF($A1019="","",IFERROR(INDEX(부서매핑!$C$5:$C$504,MATCH($G1019&amp;"",부서매핑!$A$5:$A$504,0)),"미매핑"))</f>
        <v/>
      </c>
      <c r="O1019" s="9">
        <f>IF($A1019="","",N1019&amp;"|"&amp;$F1019)</f>
        <v/>
      </c>
      <c r="P1019" s="94">
        <f>IF($A1019="",0,$H1019*설정!$C$23)</f>
        <v/>
      </c>
      <c r="Q1019" s="64">
        <f>IF($A1019="","",IF(O1019&lt;&gt;원인분석!$C$9,"",IF(AND(M1019&gt;=원인분석!$C$10,M1019&lt;=원인분석!$C$11),"당기",IF(AND(M1019&gt;=원인분석!$C$12,M1019&lt;=원인분석!$C$13),"비교",""))))</f>
        <v/>
      </c>
      <c r="R1019" s="9">
        <f>IF(Q1019="","",$K1019&amp;"")</f>
        <v/>
      </c>
      <c r="S1019" s="9">
        <f>IF(Q1019="","",IF(MATCH(R1019,$R$5:$R$100000,0)=ROW()-4,ROW(),""))</f>
        <v/>
      </c>
      <c r="T1019" s="9">
        <f>IF(Q1019="당기",ABS(P1019)+ROW()/1000000000,"")</f>
        <v/>
      </c>
      <c r="U1019" s="9">
        <f>IF(Q1019="비교",ABS(P1019)+ROW()/1000000000,"")</f>
        <v/>
      </c>
      <c r="V1019" s="64">
        <f>IF($A1019="","",IF(COUNTIF(변동분석!$E$7:$E$506,O1019)&gt;0,"Y","N"))</f>
        <v/>
      </c>
      <c r="W1019" s="64">
        <f>IF($A1019="","",IFERROR(INDEX(계정매핑!$D$5:$D$504,MATCH($F1019&amp;"",계정매핑!$A$5:$A$504,0)),"미매핑"))</f>
        <v/>
      </c>
      <c r="X1019" s="9">
        <f>IF($A1019="","",$F1019&amp;"")</f>
        <v/>
      </c>
      <c r="Y1019" s="94">
        <f>IF($A1019="",0,IF(AE1019="직접",IF(AF1019="비귀속",$P1019,0),$P1019*(1-AG1019)*IFERROR(INDEX(계정대체기준!$F$20:$F$49,MATCH($N1019,계정대체기준!$A$20:$A$49,0)),1)))</f>
        <v/>
      </c>
      <c r="Z1019" s="94">
        <f>IF($A1019="",0,IF(AE1019="직접",IF(AF1019="신계약비",$P1019,0),$P1019*(1-AG1019)*IFERROR(INDEX(계정대체기준!$C$20:$C$49,MATCH($N1019,계정대체기준!$A$20:$A$49,0)),0)))</f>
        <v/>
      </c>
      <c r="AA1019" s="94">
        <f>IF($A1019="",0,IF(AE1019="직접",IF(OR(AF1019="유지비",AF1019="손해조사비"),$P1019,0),$P1019*(1-AG1019)*IFERROR(INDEX(계정대체기준!$D$20:$D$49,MATCH($N1019,계정대체기준!$A$20:$A$49,0)),0)))</f>
        <v/>
      </c>
      <c r="AB1019" s="94">
        <f>IF($A1019="",0,IF(AE1019="직접",IF(AF1019="수금비",$P1019,0),$P1019*(1-AG1019)*IFERROR(INDEX(계정대체기준!$E$20:$E$49,MATCH($N1019,계정대체기준!$A$20:$A$49,0)),0)))</f>
        <v/>
      </c>
      <c r="AC1019" s="9">
        <f>IF(AND($A1019&lt;&gt;"",M1019=설정!$C$20,Z1019&gt;0),Z1019+ROW()/1000000000,"")</f>
        <v/>
      </c>
      <c r="AD1019" s="94">
        <f>IF($A1019="",0,$P1019*AG1019)</f>
        <v/>
      </c>
      <c r="AE1019" s="64">
        <f>IF($A1019="","",IFERROR(INDEX(계정매핑!$E$5:$E$504,MATCH($F1019&amp;"",계정매핑!$A$5:$A$504,0))&amp;"","공통비"))</f>
        <v/>
      </c>
      <c r="AF1019" s="64">
        <f>IF($A1019="","",IF(AE1019="직접",IFERROR(INDEX(계정매핑!$F$5:$F$504,MATCH($F1019&amp;"",계정매핑!$A$5:$A$504,0))&amp;"","비귀속"),""))</f>
        <v/>
      </c>
      <c r="AG1019" s="96">
        <f>IF($A1019="",0,IF(AND(AE1019&lt;&gt;"직접",IFERROR(INDEX(계정매핑!$G$5:$G$504,MATCH($F1019&amp;"",계정매핑!$A$5:$A$504,0))&amp;"","")="유지비",COUNTIF(계정대체기준!$A$6:$A$15,$N1019)&gt;0),IFERROR(INDEX(계정대체기준!$E$6:$E$15,MATCH(VALUE($A1019&amp;""),계정대체기준!$D$6:$D$15,0)),0),0))</f>
        <v/>
      </c>
      <c r="AH1019" s="64">
        <f>IF($A1019="","",IF(AD1019=0,"",IF(OR(COUNTIF(계정대체기준!$A$77:$A$86,$N1019)&gt;0,ISNUMBER(MATCH($X1019,계정대체기준!$D$77:$D$86,0)),ISNUMBER(MATCH($F1019,계정대체기준!$D$77:$D$86,0))),"Y","N")))</f>
        <v/>
      </c>
    </row>
    <row r="1020">
      <c r="A1020" s="92" t="n">
        <v>2025</v>
      </c>
      <c r="B1020" s="92" t="n">
        <v>5</v>
      </c>
      <c r="C1020" s="92" t="inlineStr">
        <is>
          <t>5100001016</t>
        </is>
      </c>
      <c r="D1020" s="95" t="n">
        <v>45791</v>
      </c>
      <c r="E1020" s="92" t="inlineStr">
        <is>
          <t>KR</t>
        </is>
      </c>
      <c r="F1020" s="92" t="n">
        <v>62201000</v>
      </c>
      <c r="G1020" s="92" t="n">
        <v>1951</v>
      </c>
      <c r="H1020" s="93" t="n">
        <v>254000</v>
      </c>
      <c r="I1020" s="92" t="inlineStr">
        <is>
          <t>5월 통신요금 - P통신</t>
        </is>
      </c>
      <c r="J1020" s="92" t="inlineStr">
        <is>
          <t>V10014</t>
        </is>
      </c>
      <c r="K1020" s="92" t="inlineStr">
        <is>
          <t>P통신</t>
        </is>
      </c>
      <c r="M1020" s="9">
        <f>IF($A1020="","",VALUE($A1020&amp;"")*12+VALUE($B1020&amp;""))</f>
        <v/>
      </c>
      <c r="N1020" s="64">
        <f>IF($A1020="","",IFERROR(INDEX(부서매핑!$C$5:$C$504,MATCH($G1020&amp;"",부서매핑!$A$5:$A$504,0)),"미매핑"))</f>
        <v/>
      </c>
      <c r="O1020" s="9">
        <f>IF($A1020="","",N1020&amp;"|"&amp;$F1020)</f>
        <v/>
      </c>
      <c r="P1020" s="94">
        <f>IF($A1020="",0,$H1020*설정!$C$23)</f>
        <v/>
      </c>
      <c r="Q1020" s="64">
        <f>IF($A1020="","",IF(O1020&lt;&gt;원인분석!$C$9,"",IF(AND(M1020&gt;=원인분석!$C$10,M1020&lt;=원인분석!$C$11),"당기",IF(AND(M1020&gt;=원인분석!$C$12,M1020&lt;=원인분석!$C$13),"비교",""))))</f>
        <v/>
      </c>
      <c r="R1020" s="9">
        <f>IF(Q1020="","",$K1020&amp;"")</f>
        <v/>
      </c>
      <c r="S1020" s="9">
        <f>IF(Q1020="","",IF(MATCH(R1020,$R$5:$R$100000,0)=ROW()-4,ROW(),""))</f>
        <v/>
      </c>
      <c r="T1020" s="9">
        <f>IF(Q1020="당기",ABS(P1020)+ROW()/1000000000,"")</f>
        <v/>
      </c>
      <c r="U1020" s="9">
        <f>IF(Q1020="비교",ABS(P1020)+ROW()/1000000000,"")</f>
        <v/>
      </c>
      <c r="V1020" s="64">
        <f>IF($A1020="","",IF(COUNTIF(변동분석!$E$7:$E$506,O1020)&gt;0,"Y","N"))</f>
        <v/>
      </c>
      <c r="W1020" s="64">
        <f>IF($A1020="","",IFERROR(INDEX(계정매핑!$D$5:$D$504,MATCH($F1020&amp;"",계정매핑!$A$5:$A$504,0)),"미매핑"))</f>
        <v/>
      </c>
      <c r="X1020" s="9">
        <f>IF($A1020="","",$F1020&amp;"")</f>
        <v/>
      </c>
      <c r="Y1020" s="94">
        <f>IF($A1020="",0,IF(AE1020="직접",IF(AF1020="비귀속",$P1020,0),$P1020*(1-AG1020)*IFERROR(INDEX(계정대체기준!$F$20:$F$49,MATCH($N1020,계정대체기준!$A$20:$A$49,0)),1)))</f>
        <v/>
      </c>
      <c r="Z1020" s="94">
        <f>IF($A1020="",0,IF(AE1020="직접",IF(AF1020="신계약비",$P1020,0),$P1020*(1-AG1020)*IFERROR(INDEX(계정대체기준!$C$20:$C$49,MATCH($N1020,계정대체기준!$A$20:$A$49,0)),0)))</f>
        <v/>
      </c>
      <c r="AA1020" s="94">
        <f>IF($A1020="",0,IF(AE1020="직접",IF(OR(AF1020="유지비",AF1020="손해조사비"),$P1020,0),$P1020*(1-AG1020)*IFERROR(INDEX(계정대체기준!$D$20:$D$49,MATCH($N1020,계정대체기준!$A$20:$A$49,0)),0)))</f>
        <v/>
      </c>
      <c r="AB1020" s="94">
        <f>IF($A1020="",0,IF(AE1020="직접",IF(AF1020="수금비",$P1020,0),$P1020*(1-AG1020)*IFERROR(INDEX(계정대체기준!$E$20:$E$49,MATCH($N1020,계정대체기준!$A$20:$A$49,0)),0)))</f>
        <v/>
      </c>
      <c r="AC1020" s="9">
        <f>IF(AND($A1020&lt;&gt;"",M1020=설정!$C$20,Z1020&gt;0),Z1020+ROW()/1000000000,"")</f>
        <v/>
      </c>
      <c r="AD1020" s="94">
        <f>IF($A1020="",0,$P1020*AG1020)</f>
        <v/>
      </c>
      <c r="AE1020" s="64">
        <f>IF($A1020="","",IFERROR(INDEX(계정매핑!$E$5:$E$504,MATCH($F1020&amp;"",계정매핑!$A$5:$A$504,0))&amp;"","공통비"))</f>
        <v/>
      </c>
      <c r="AF1020" s="64">
        <f>IF($A1020="","",IF(AE1020="직접",IFERROR(INDEX(계정매핑!$F$5:$F$504,MATCH($F1020&amp;"",계정매핑!$A$5:$A$504,0))&amp;"","비귀속"),""))</f>
        <v/>
      </c>
      <c r="AG1020" s="96">
        <f>IF($A1020="",0,IF(AND(AE1020&lt;&gt;"직접",IFERROR(INDEX(계정매핑!$G$5:$G$504,MATCH($F1020&amp;"",계정매핑!$A$5:$A$504,0))&amp;"","")="유지비",COUNTIF(계정대체기준!$A$6:$A$15,$N1020)&gt;0),IFERROR(INDEX(계정대체기준!$E$6:$E$15,MATCH(VALUE($A1020&amp;""),계정대체기준!$D$6:$D$15,0)),0),0))</f>
        <v/>
      </c>
      <c r="AH1020" s="64">
        <f>IF($A1020="","",IF(AD1020=0,"",IF(OR(COUNTIF(계정대체기준!$A$77:$A$86,$N1020)&gt;0,ISNUMBER(MATCH($X1020,계정대체기준!$D$77:$D$86,0)),ISNUMBER(MATCH($F1020,계정대체기준!$D$77:$D$86,0))),"Y","N")))</f>
        <v/>
      </c>
    </row>
    <row r="1021">
      <c r="A1021" s="92" t="n">
        <v>2025</v>
      </c>
      <c r="B1021" s="92" t="n">
        <v>5</v>
      </c>
      <c r="C1021" s="92" t="inlineStr">
        <is>
          <t>5100001017</t>
        </is>
      </c>
      <c r="D1021" s="95" t="n">
        <v>45791</v>
      </c>
      <c r="E1021" s="92" t="inlineStr">
        <is>
          <t>KR</t>
        </is>
      </c>
      <c r="F1021" s="92" t="n">
        <v>62301000</v>
      </c>
      <c r="G1021" s="92" t="n">
        <v>1701</v>
      </c>
      <c r="H1021" s="93" t="n">
        <v>257000</v>
      </c>
      <c r="I1021" s="92" t="inlineStr">
        <is>
          <t>5월 소모품 구입 - Q오피스</t>
        </is>
      </c>
      <c r="J1021" s="92" t="inlineStr">
        <is>
          <t>V10003</t>
        </is>
      </c>
      <c r="K1021" s="92" t="inlineStr">
        <is>
          <t>Q오피스</t>
        </is>
      </c>
      <c r="M1021" s="9">
        <f>IF($A1021="","",VALUE($A1021&amp;"")*12+VALUE($B1021&amp;""))</f>
        <v/>
      </c>
      <c r="N1021" s="64">
        <f>IF($A1021="","",IFERROR(INDEX(부서매핑!$C$5:$C$504,MATCH($G1021&amp;"",부서매핑!$A$5:$A$504,0)),"미매핑"))</f>
        <v/>
      </c>
      <c r="O1021" s="9">
        <f>IF($A1021="","",N1021&amp;"|"&amp;$F1021)</f>
        <v/>
      </c>
      <c r="P1021" s="94">
        <f>IF($A1021="",0,$H1021*설정!$C$23)</f>
        <v/>
      </c>
      <c r="Q1021" s="64">
        <f>IF($A1021="","",IF(O1021&lt;&gt;원인분석!$C$9,"",IF(AND(M1021&gt;=원인분석!$C$10,M1021&lt;=원인분석!$C$11),"당기",IF(AND(M1021&gt;=원인분석!$C$12,M1021&lt;=원인분석!$C$13),"비교",""))))</f>
        <v/>
      </c>
      <c r="R1021" s="9">
        <f>IF(Q1021="","",$K1021&amp;"")</f>
        <v/>
      </c>
      <c r="S1021" s="9">
        <f>IF(Q1021="","",IF(MATCH(R1021,$R$5:$R$100000,0)=ROW()-4,ROW(),""))</f>
        <v/>
      </c>
      <c r="T1021" s="9">
        <f>IF(Q1021="당기",ABS(P1021)+ROW()/1000000000,"")</f>
        <v/>
      </c>
      <c r="U1021" s="9">
        <f>IF(Q1021="비교",ABS(P1021)+ROW()/1000000000,"")</f>
        <v/>
      </c>
      <c r="V1021" s="64">
        <f>IF($A1021="","",IF(COUNTIF(변동분석!$E$7:$E$506,O1021)&gt;0,"Y","N"))</f>
        <v/>
      </c>
      <c r="W1021" s="64">
        <f>IF($A1021="","",IFERROR(INDEX(계정매핑!$D$5:$D$504,MATCH($F1021&amp;"",계정매핑!$A$5:$A$504,0)),"미매핑"))</f>
        <v/>
      </c>
      <c r="X1021" s="9">
        <f>IF($A1021="","",$F1021&amp;"")</f>
        <v/>
      </c>
      <c r="Y1021" s="94">
        <f>IF($A1021="",0,IF(AE1021="직접",IF(AF1021="비귀속",$P1021,0),$P1021*(1-AG1021)*IFERROR(INDEX(계정대체기준!$F$20:$F$49,MATCH($N1021,계정대체기준!$A$20:$A$49,0)),1)))</f>
        <v/>
      </c>
      <c r="Z1021" s="94">
        <f>IF($A1021="",0,IF(AE1021="직접",IF(AF1021="신계약비",$P1021,0),$P1021*(1-AG1021)*IFERROR(INDEX(계정대체기준!$C$20:$C$49,MATCH($N1021,계정대체기준!$A$20:$A$49,0)),0)))</f>
        <v/>
      </c>
      <c r="AA1021" s="94">
        <f>IF($A1021="",0,IF(AE1021="직접",IF(OR(AF1021="유지비",AF1021="손해조사비"),$P1021,0),$P1021*(1-AG1021)*IFERROR(INDEX(계정대체기준!$D$20:$D$49,MATCH($N1021,계정대체기준!$A$20:$A$49,0)),0)))</f>
        <v/>
      </c>
      <c r="AB1021" s="94">
        <f>IF($A1021="",0,IF(AE1021="직접",IF(AF1021="수금비",$P1021,0),$P1021*(1-AG1021)*IFERROR(INDEX(계정대체기준!$E$20:$E$49,MATCH($N1021,계정대체기준!$A$20:$A$49,0)),0)))</f>
        <v/>
      </c>
      <c r="AC1021" s="9">
        <f>IF(AND($A1021&lt;&gt;"",M1021=설정!$C$20,Z1021&gt;0),Z1021+ROW()/1000000000,"")</f>
        <v/>
      </c>
      <c r="AD1021" s="94">
        <f>IF($A1021="",0,$P1021*AG1021)</f>
        <v/>
      </c>
      <c r="AE1021" s="64">
        <f>IF($A1021="","",IFERROR(INDEX(계정매핑!$E$5:$E$504,MATCH($F1021&amp;"",계정매핑!$A$5:$A$504,0))&amp;"","공통비"))</f>
        <v/>
      </c>
      <c r="AF1021" s="64">
        <f>IF($A1021="","",IF(AE1021="직접",IFERROR(INDEX(계정매핑!$F$5:$F$504,MATCH($F1021&amp;"",계정매핑!$A$5:$A$504,0))&amp;"","비귀속"),""))</f>
        <v/>
      </c>
      <c r="AG1021" s="96">
        <f>IF($A1021="",0,IF(AND(AE1021&lt;&gt;"직접",IFERROR(INDEX(계정매핑!$G$5:$G$504,MATCH($F1021&amp;"",계정매핑!$A$5:$A$504,0))&amp;"","")="유지비",COUNTIF(계정대체기준!$A$6:$A$15,$N1021)&gt;0),IFERROR(INDEX(계정대체기준!$E$6:$E$15,MATCH(VALUE($A1021&amp;""),계정대체기준!$D$6:$D$15,0)),0),0))</f>
        <v/>
      </c>
      <c r="AH1021" s="64">
        <f>IF($A1021="","",IF(AD1021=0,"",IF(OR(COUNTIF(계정대체기준!$A$77:$A$86,$N1021)&gt;0,ISNUMBER(MATCH($X1021,계정대체기준!$D$77:$D$86,0)),ISNUMBER(MATCH($F1021,계정대체기준!$D$77:$D$86,0))),"Y","N")))</f>
        <v/>
      </c>
    </row>
    <row r="1022">
      <c r="A1022" s="92" t="n">
        <v>2025</v>
      </c>
      <c r="B1022" s="92" t="n">
        <v>5</v>
      </c>
      <c r="C1022" s="92" t="inlineStr">
        <is>
          <t>5100001018</t>
        </is>
      </c>
      <c r="D1022" s="95" t="n">
        <v>45791</v>
      </c>
      <c r="E1022" s="92" t="inlineStr">
        <is>
          <t>KR</t>
        </is>
      </c>
      <c r="F1022" s="92" t="n">
        <v>62401000</v>
      </c>
      <c r="G1022" s="92" t="n">
        <v>1801</v>
      </c>
      <c r="H1022" s="93" t="n">
        <v>1971000</v>
      </c>
      <c r="I1022" s="92" t="inlineStr">
        <is>
          <t>5월 인쇄물 제작 - G인쇄</t>
        </is>
      </c>
      <c r="J1022" s="92" t="inlineStr">
        <is>
          <t>V10004</t>
        </is>
      </c>
      <c r="K1022" s="92" t="inlineStr">
        <is>
          <t>G인쇄</t>
        </is>
      </c>
      <c r="M1022" s="9">
        <f>IF($A1022="","",VALUE($A1022&amp;"")*12+VALUE($B1022&amp;""))</f>
        <v/>
      </c>
      <c r="N1022" s="64">
        <f>IF($A1022="","",IFERROR(INDEX(부서매핑!$C$5:$C$504,MATCH($G1022&amp;"",부서매핑!$A$5:$A$504,0)),"미매핑"))</f>
        <v/>
      </c>
      <c r="O1022" s="9">
        <f>IF($A1022="","",N1022&amp;"|"&amp;$F1022)</f>
        <v/>
      </c>
      <c r="P1022" s="94">
        <f>IF($A1022="",0,$H1022*설정!$C$23)</f>
        <v/>
      </c>
      <c r="Q1022" s="64">
        <f>IF($A1022="","",IF(O1022&lt;&gt;원인분석!$C$9,"",IF(AND(M1022&gt;=원인분석!$C$10,M1022&lt;=원인분석!$C$11),"당기",IF(AND(M1022&gt;=원인분석!$C$12,M1022&lt;=원인분석!$C$13),"비교",""))))</f>
        <v/>
      </c>
      <c r="R1022" s="9">
        <f>IF(Q1022="","",$K1022&amp;"")</f>
        <v/>
      </c>
      <c r="S1022" s="9">
        <f>IF(Q1022="","",IF(MATCH(R1022,$R$5:$R$100000,0)=ROW()-4,ROW(),""))</f>
        <v/>
      </c>
      <c r="T1022" s="9">
        <f>IF(Q1022="당기",ABS(P1022)+ROW()/1000000000,"")</f>
        <v/>
      </c>
      <c r="U1022" s="9">
        <f>IF(Q1022="비교",ABS(P1022)+ROW()/1000000000,"")</f>
        <v/>
      </c>
      <c r="V1022" s="64">
        <f>IF($A1022="","",IF(COUNTIF(변동분석!$E$7:$E$506,O1022)&gt;0,"Y","N"))</f>
        <v/>
      </c>
      <c r="W1022" s="64">
        <f>IF($A1022="","",IFERROR(INDEX(계정매핑!$D$5:$D$504,MATCH($F1022&amp;"",계정매핑!$A$5:$A$504,0)),"미매핑"))</f>
        <v/>
      </c>
      <c r="X1022" s="9">
        <f>IF($A1022="","",$F1022&amp;"")</f>
        <v/>
      </c>
      <c r="Y1022" s="94">
        <f>IF($A1022="",0,IF(AE1022="직접",IF(AF1022="비귀속",$P1022,0),$P1022*(1-AG1022)*IFERROR(INDEX(계정대체기준!$F$20:$F$49,MATCH($N1022,계정대체기준!$A$20:$A$49,0)),1)))</f>
        <v/>
      </c>
      <c r="Z1022" s="94">
        <f>IF($A1022="",0,IF(AE1022="직접",IF(AF1022="신계약비",$P1022,0),$P1022*(1-AG1022)*IFERROR(INDEX(계정대체기준!$C$20:$C$49,MATCH($N1022,계정대체기준!$A$20:$A$49,0)),0)))</f>
        <v/>
      </c>
      <c r="AA1022" s="94">
        <f>IF($A1022="",0,IF(AE1022="직접",IF(OR(AF1022="유지비",AF1022="손해조사비"),$P1022,0),$P1022*(1-AG1022)*IFERROR(INDEX(계정대체기준!$D$20:$D$49,MATCH($N1022,계정대체기준!$A$20:$A$49,0)),0)))</f>
        <v/>
      </c>
      <c r="AB1022" s="94">
        <f>IF($A1022="",0,IF(AE1022="직접",IF(AF1022="수금비",$P1022,0),$P1022*(1-AG1022)*IFERROR(INDEX(계정대체기준!$E$20:$E$49,MATCH($N1022,계정대체기준!$A$20:$A$49,0)),0)))</f>
        <v/>
      </c>
      <c r="AC1022" s="9">
        <f>IF(AND($A1022&lt;&gt;"",M1022=설정!$C$20,Z1022&gt;0),Z1022+ROW()/1000000000,"")</f>
        <v/>
      </c>
      <c r="AD1022" s="94">
        <f>IF($A1022="",0,$P1022*AG1022)</f>
        <v/>
      </c>
      <c r="AE1022" s="64">
        <f>IF($A1022="","",IFERROR(INDEX(계정매핑!$E$5:$E$504,MATCH($F1022&amp;"",계정매핑!$A$5:$A$504,0))&amp;"","공통비"))</f>
        <v/>
      </c>
      <c r="AF1022" s="64">
        <f>IF($A1022="","",IF(AE1022="직접",IFERROR(INDEX(계정매핑!$F$5:$F$504,MATCH($F1022&amp;"",계정매핑!$A$5:$A$504,0))&amp;"","비귀속"),""))</f>
        <v/>
      </c>
      <c r="AG1022" s="96">
        <f>IF($A1022="",0,IF(AND(AE1022&lt;&gt;"직접",IFERROR(INDEX(계정매핑!$G$5:$G$504,MATCH($F1022&amp;"",계정매핑!$A$5:$A$504,0))&amp;"","")="유지비",COUNTIF(계정대체기준!$A$6:$A$15,$N1022)&gt;0),IFERROR(INDEX(계정대체기준!$E$6:$E$15,MATCH(VALUE($A1022&amp;""),계정대체기준!$D$6:$D$15,0)),0),0))</f>
        <v/>
      </c>
      <c r="AH1022" s="64">
        <f>IF($A1022="","",IF(AD1022=0,"",IF(OR(COUNTIF(계정대체기준!$A$77:$A$86,$N1022)&gt;0,ISNUMBER(MATCH($X1022,계정대체기준!$D$77:$D$86,0)),ISNUMBER(MATCH($F1022,계정대체기준!$D$77:$D$86,0))),"Y","N")))</f>
        <v/>
      </c>
    </row>
    <row r="1023">
      <c r="A1023" s="92" t="n">
        <v>2025</v>
      </c>
      <c r="B1023" s="92" t="n">
        <v>5</v>
      </c>
      <c r="C1023" s="92" t="inlineStr">
        <is>
          <t>5100001019</t>
        </is>
      </c>
      <c r="D1023" s="95" t="n">
        <v>45791</v>
      </c>
      <c r="E1023" s="92" t="inlineStr">
        <is>
          <t>KR</t>
        </is>
      </c>
      <c r="F1023" s="92" t="n">
        <v>63201000</v>
      </c>
      <c r="G1023" s="92" t="n">
        <v>1601</v>
      </c>
      <c r="H1023" s="93" t="n">
        <v>1843000</v>
      </c>
      <c r="I1023" s="92" t="inlineStr">
        <is>
          <t>5월 차량 유지 - H에너지</t>
        </is>
      </c>
      <c r="J1023" s="92" t="inlineStr">
        <is>
          <t>V10030</t>
        </is>
      </c>
      <c r="K1023" s="92" t="inlineStr">
        <is>
          <t>H에너지</t>
        </is>
      </c>
      <c r="M1023" s="9">
        <f>IF($A1023="","",VALUE($A1023&amp;"")*12+VALUE($B1023&amp;""))</f>
        <v/>
      </c>
      <c r="N1023" s="64">
        <f>IF($A1023="","",IFERROR(INDEX(부서매핑!$C$5:$C$504,MATCH($G1023&amp;"",부서매핑!$A$5:$A$504,0)),"미매핑"))</f>
        <v/>
      </c>
      <c r="O1023" s="9">
        <f>IF($A1023="","",N1023&amp;"|"&amp;$F1023)</f>
        <v/>
      </c>
      <c r="P1023" s="94">
        <f>IF($A1023="",0,$H1023*설정!$C$23)</f>
        <v/>
      </c>
      <c r="Q1023" s="64">
        <f>IF($A1023="","",IF(O1023&lt;&gt;원인분석!$C$9,"",IF(AND(M1023&gt;=원인분석!$C$10,M1023&lt;=원인분석!$C$11),"당기",IF(AND(M1023&gt;=원인분석!$C$12,M1023&lt;=원인분석!$C$13),"비교",""))))</f>
        <v/>
      </c>
      <c r="R1023" s="9">
        <f>IF(Q1023="","",$K1023&amp;"")</f>
        <v/>
      </c>
      <c r="S1023" s="9">
        <f>IF(Q1023="","",IF(MATCH(R1023,$R$5:$R$100000,0)=ROW()-4,ROW(),""))</f>
        <v/>
      </c>
      <c r="T1023" s="9">
        <f>IF(Q1023="당기",ABS(P1023)+ROW()/1000000000,"")</f>
        <v/>
      </c>
      <c r="U1023" s="9">
        <f>IF(Q1023="비교",ABS(P1023)+ROW()/1000000000,"")</f>
        <v/>
      </c>
      <c r="V1023" s="64">
        <f>IF($A1023="","",IF(COUNTIF(변동분석!$E$7:$E$506,O1023)&gt;0,"Y","N"))</f>
        <v/>
      </c>
      <c r="W1023" s="64">
        <f>IF($A1023="","",IFERROR(INDEX(계정매핑!$D$5:$D$504,MATCH($F1023&amp;"",계정매핑!$A$5:$A$504,0)),"미매핑"))</f>
        <v/>
      </c>
      <c r="X1023" s="9">
        <f>IF($A1023="","",$F1023&amp;"")</f>
        <v/>
      </c>
      <c r="Y1023" s="94">
        <f>IF($A1023="",0,IF(AE1023="직접",IF(AF1023="비귀속",$P1023,0),$P1023*(1-AG1023)*IFERROR(INDEX(계정대체기준!$F$20:$F$49,MATCH($N1023,계정대체기준!$A$20:$A$49,0)),1)))</f>
        <v/>
      </c>
      <c r="Z1023" s="94">
        <f>IF($A1023="",0,IF(AE1023="직접",IF(AF1023="신계약비",$P1023,0),$P1023*(1-AG1023)*IFERROR(INDEX(계정대체기준!$C$20:$C$49,MATCH($N1023,계정대체기준!$A$20:$A$49,0)),0)))</f>
        <v/>
      </c>
      <c r="AA1023" s="94">
        <f>IF($A1023="",0,IF(AE1023="직접",IF(OR(AF1023="유지비",AF1023="손해조사비"),$P1023,0),$P1023*(1-AG1023)*IFERROR(INDEX(계정대체기준!$D$20:$D$49,MATCH($N1023,계정대체기준!$A$20:$A$49,0)),0)))</f>
        <v/>
      </c>
      <c r="AB1023" s="94">
        <f>IF($A1023="",0,IF(AE1023="직접",IF(AF1023="수금비",$P1023,0),$P1023*(1-AG1023)*IFERROR(INDEX(계정대체기준!$E$20:$E$49,MATCH($N1023,계정대체기준!$A$20:$A$49,0)),0)))</f>
        <v/>
      </c>
      <c r="AC1023" s="9">
        <f>IF(AND($A1023&lt;&gt;"",M1023=설정!$C$20,Z1023&gt;0),Z1023+ROW()/1000000000,"")</f>
        <v/>
      </c>
      <c r="AD1023" s="94">
        <f>IF($A1023="",0,$P1023*AG1023)</f>
        <v/>
      </c>
      <c r="AE1023" s="64">
        <f>IF($A1023="","",IFERROR(INDEX(계정매핑!$E$5:$E$504,MATCH($F1023&amp;"",계정매핑!$A$5:$A$504,0))&amp;"","공통비"))</f>
        <v/>
      </c>
      <c r="AF1023" s="64">
        <f>IF($A1023="","",IF(AE1023="직접",IFERROR(INDEX(계정매핑!$F$5:$F$504,MATCH($F1023&amp;"",계정매핑!$A$5:$A$504,0))&amp;"","비귀속"),""))</f>
        <v/>
      </c>
      <c r="AG1023" s="96">
        <f>IF($A1023="",0,IF(AND(AE1023&lt;&gt;"직접",IFERROR(INDEX(계정매핑!$G$5:$G$504,MATCH($F1023&amp;"",계정매핑!$A$5:$A$504,0))&amp;"","")="유지비",COUNTIF(계정대체기준!$A$6:$A$15,$N1023)&gt;0),IFERROR(INDEX(계정대체기준!$E$6:$E$15,MATCH(VALUE($A1023&amp;""),계정대체기준!$D$6:$D$15,0)),0),0))</f>
        <v/>
      </c>
      <c r="AH1023" s="64">
        <f>IF($A1023="","",IF(AD1023=0,"",IF(OR(COUNTIF(계정대체기준!$A$77:$A$86,$N1023)&gt;0,ISNUMBER(MATCH($X1023,계정대체기준!$D$77:$D$86,0)),ISNUMBER(MATCH($F1023,계정대체기준!$D$77:$D$86,0))),"Y","N")))</f>
        <v/>
      </c>
    </row>
    <row r="1024">
      <c r="A1024" s="92" t="n">
        <v>2025</v>
      </c>
      <c r="B1024" s="92" t="n">
        <v>5</v>
      </c>
      <c r="C1024" s="92" t="inlineStr">
        <is>
          <t>5100001020</t>
        </is>
      </c>
      <c r="D1024" s="95" t="n">
        <v>45791</v>
      </c>
      <c r="E1024" s="92" t="inlineStr">
        <is>
          <t>KR</t>
        </is>
      </c>
      <c r="F1024" s="92" t="n">
        <v>63502000</v>
      </c>
      <c r="G1024" s="92" t="n">
        <v>1902</v>
      </c>
      <c r="H1024" s="93" t="n">
        <v>130622000</v>
      </c>
      <c r="I1024" s="92" t="inlineStr">
        <is>
          <t>5월 유지수수료 - (전속설계사)</t>
        </is>
      </c>
      <c r="J1024" s="92" t="inlineStr">
        <is>
          <t>V10021</t>
        </is>
      </c>
      <c r="K1024" s="92" t="inlineStr">
        <is>
          <t>(전속설계사)</t>
        </is>
      </c>
      <c r="M1024" s="9">
        <f>IF($A1024="","",VALUE($A1024&amp;"")*12+VALUE($B1024&amp;""))</f>
        <v/>
      </c>
      <c r="N1024" s="64">
        <f>IF($A1024="","",IFERROR(INDEX(부서매핑!$C$5:$C$504,MATCH($G1024&amp;"",부서매핑!$A$5:$A$504,0)),"미매핑"))</f>
        <v/>
      </c>
      <c r="O1024" s="9">
        <f>IF($A1024="","",N1024&amp;"|"&amp;$F1024)</f>
        <v/>
      </c>
      <c r="P1024" s="94">
        <f>IF($A1024="",0,$H1024*설정!$C$23)</f>
        <v/>
      </c>
      <c r="Q1024" s="64">
        <f>IF($A1024="","",IF(O1024&lt;&gt;원인분석!$C$9,"",IF(AND(M1024&gt;=원인분석!$C$10,M1024&lt;=원인분석!$C$11),"당기",IF(AND(M1024&gt;=원인분석!$C$12,M1024&lt;=원인분석!$C$13),"비교",""))))</f>
        <v/>
      </c>
      <c r="R1024" s="9">
        <f>IF(Q1024="","",$K1024&amp;"")</f>
        <v/>
      </c>
      <c r="S1024" s="9">
        <f>IF(Q1024="","",IF(MATCH(R1024,$R$5:$R$100000,0)=ROW()-4,ROW(),""))</f>
        <v/>
      </c>
      <c r="T1024" s="9">
        <f>IF(Q1024="당기",ABS(P1024)+ROW()/1000000000,"")</f>
        <v/>
      </c>
      <c r="U1024" s="9">
        <f>IF(Q1024="비교",ABS(P1024)+ROW()/1000000000,"")</f>
        <v/>
      </c>
      <c r="V1024" s="64">
        <f>IF($A1024="","",IF(COUNTIF(변동분석!$E$7:$E$506,O1024)&gt;0,"Y","N"))</f>
        <v/>
      </c>
      <c r="W1024" s="64">
        <f>IF($A1024="","",IFERROR(INDEX(계정매핑!$D$5:$D$504,MATCH($F1024&amp;"",계정매핑!$A$5:$A$504,0)),"미매핑"))</f>
        <v/>
      </c>
      <c r="X1024" s="9">
        <f>IF($A1024="","",$F1024&amp;"")</f>
        <v/>
      </c>
      <c r="Y1024" s="94">
        <f>IF($A1024="",0,IF(AE1024="직접",IF(AF1024="비귀속",$P1024,0),$P1024*(1-AG1024)*IFERROR(INDEX(계정대체기준!$F$20:$F$49,MATCH($N1024,계정대체기준!$A$20:$A$49,0)),1)))</f>
        <v/>
      </c>
      <c r="Z1024" s="94">
        <f>IF($A1024="",0,IF(AE1024="직접",IF(AF1024="신계약비",$P1024,0),$P1024*(1-AG1024)*IFERROR(INDEX(계정대체기준!$C$20:$C$49,MATCH($N1024,계정대체기준!$A$20:$A$49,0)),0)))</f>
        <v/>
      </c>
      <c r="AA1024" s="94">
        <f>IF($A1024="",0,IF(AE1024="직접",IF(OR(AF1024="유지비",AF1024="손해조사비"),$P1024,0),$P1024*(1-AG1024)*IFERROR(INDEX(계정대체기준!$D$20:$D$49,MATCH($N1024,계정대체기준!$A$20:$A$49,0)),0)))</f>
        <v/>
      </c>
      <c r="AB1024" s="94">
        <f>IF($A1024="",0,IF(AE1024="직접",IF(AF1024="수금비",$P1024,0),$P1024*(1-AG1024)*IFERROR(INDEX(계정대체기준!$E$20:$E$49,MATCH($N1024,계정대체기준!$A$20:$A$49,0)),0)))</f>
        <v/>
      </c>
      <c r="AC1024" s="9">
        <f>IF(AND($A1024&lt;&gt;"",M1024=설정!$C$20,Z1024&gt;0),Z1024+ROW()/1000000000,"")</f>
        <v/>
      </c>
      <c r="AD1024" s="94">
        <f>IF($A1024="",0,$P1024*AG1024)</f>
        <v/>
      </c>
      <c r="AE1024" s="64">
        <f>IF($A1024="","",IFERROR(INDEX(계정매핑!$E$5:$E$504,MATCH($F1024&amp;"",계정매핑!$A$5:$A$504,0))&amp;"","공통비"))</f>
        <v/>
      </c>
      <c r="AF1024" s="64">
        <f>IF($A1024="","",IF(AE1024="직접",IFERROR(INDEX(계정매핑!$F$5:$F$504,MATCH($F1024&amp;"",계정매핑!$A$5:$A$504,0))&amp;"","비귀속"),""))</f>
        <v/>
      </c>
      <c r="AG1024" s="96">
        <f>IF($A1024="",0,IF(AND(AE1024&lt;&gt;"직접",IFERROR(INDEX(계정매핑!$G$5:$G$504,MATCH($F1024&amp;"",계정매핑!$A$5:$A$504,0))&amp;"","")="유지비",COUNTIF(계정대체기준!$A$6:$A$15,$N1024)&gt;0),IFERROR(INDEX(계정대체기준!$E$6:$E$15,MATCH(VALUE($A1024&amp;""),계정대체기준!$D$6:$D$15,0)),0),0))</f>
        <v/>
      </c>
      <c r="AH1024" s="64">
        <f>IF($A1024="","",IF(AD1024=0,"",IF(OR(COUNTIF(계정대체기준!$A$77:$A$86,$N1024)&gt;0,ISNUMBER(MATCH($X1024,계정대체기준!$D$77:$D$86,0)),ISNUMBER(MATCH($F1024,계정대체기준!$D$77:$D$86,0))),"Y","N")))</f>
        <v/>
      </c>
    </row>
    <row r="1025">
      <c r="A1025" s="92" t="n">
        <v>2025</v>
      </c>
      <c r="B1025" s="92" t="n">
        <v>5</v>
      </c>
      <c r="C1025" s="92" t="inlineStr">
        <is>
          <t>5100001021</t>
        </is>
      </c>
      <c r="D1025" s="95" t="n">
        <v>45792</v>
      </c>
      <c r="E1025" s="92" t="inlineStr">
        <is>
          <t>KR</t>
        </is>
      </c>
      <c r="F1025" s="92" t="n">
        <v>62101000</v>
      </c>
      <c r="G1025" s="92" t="n">
        <v>1501</v>
      </c>
      <c r="H1025" s="93" t="n">
        <v>337000</v>
      </c>
      <c r="I1025" s="92" t="inlineStr">
        <is>
          <t>5월 국내출장 - L여행사</t>
        </is>
      </c>
      <c r="J1025" s="92" t="inlineStr">
        <is>
          <t>V10018</t>
        </is>
      </c>
      <c r="K1025" s="92" t="inlineStr">
        <is>
          <t>L여행사</t>
        </is>
      </c>
      <c r="M1025" s="9">
        <f>IF($A1025="","",VALUE($A1025&amp;"")*12+VALUE($B1025&amp;""))</f>
        <v/>
      </c>
      <c r="N1025" s="64">
        <f>IF($A1025="","",IFERROR(INDEX(부서매핑!$C$5:$C$504,MATCH($G1025&amp;"",부서매핑!$A$5:$A$504,0)),"미매핑"))</f>
        <v/>
      </c>
      <c r="O1025" s="9">
        <f>IF($A1025="","",N1025&amp;"|"&amp;$F1025)</f>
        <v/>
      </c>
      <c r="P1025" s="94">
        <f>IF($A1025="",0,$H1025*설정!$C$23)</f>
        <v/>
      </c>
      <c r="Q1025" s="64">
        <f>IF($A1025="","",IF(O1025&lt;&gt;원인분석!$C$9,"",IF(AND(M1025&gt;=원인분석!$C$10,M1025&lt;=원인분석!$C$11),"당기",IF(AND(M1025&gt;=원인분석!$C$12,M1025&lt;=원인분석!$C$13),"비교",""))))</f>
        <v/>
      </c>
      <c r="R1025" s="9">
        <f>IF(Q1025="","",$K1025&amp;"")</f>
        <v/>
      </c>
      <c r="S1025" s="9">
        <f>IF(Q1025="","",IF(MATCH(R1025,$R$5:$R$100000,0)=ROW()-4,ROW(),""))</f>
        <v/>
      </c>
      <c r="T1025" s="9">
        <f>IF(Q1025="당기",ABS(P1025)+ROW()/1000000000,"")</f>
        <v/>
      </c>
      <c r="U1025" s="9">
        <f>IF(Q1025="비교",ABS(P1025)+ROW()/1000000000,"")</f>
        <v/>
      </c>
      <c r="V1025" s="64">
        <f>IF($A1025="","",IF(COUNTIF(변동분석!$E$7:$E$506,O1025)&gt;0,"Y","N"))</f>
        <v/>
      </c>
      <c r="W1025" s="64">
        <f>IF($A1025="","",IFERROR(INDEX(계정매핑!$D$5:$D$504,MATCH($F1025&amp;"",계정매핑!$A$5:$A$504,0)),"미매핑"))</f>
        <v/>
      </c>
      <c r="X1025" s="9">
        <f>IF($A1025="","",$F1025&amp;"")</f>
        <v/>
      </c>
      <c r="Y1025" s="94">
        <f>IF($A1025="",0,IF(AE1025="직접",IF(AF1025="비귀속",$P1025,0),$P1025*(1-AG1025)*IFERROR(INDEX(계정대체기준!$F$20:$F$49,MATCH($N1025,계정대체기준!$A$20:$A$49,0)),1)))</f>
        <v/>
      </c>
      <c r="Z1025" s="94">
        <f>IF($A1025="",0,IF(AE1025="직접",IF(AF1025="신계약비",$P1025,0),$P1025*(1-AG1025)*IFERROR(INDEX(계정대체기준!$C$20:$C$49,MATCH($N1025,계정대체기준!$A$20:$A$49,0)),0)))</f>
        <v/>
      </c>
      <c r="AA1025" s="94">
        <f>IF($A1025="",0,IF(AE1025="직접",IF(OR(AF1025="유지비",AF1025="손해조사비"),$P1025,0),$P1025*(1-AG1025)*IFERROR(INDEX(계정대체기준!$D$20:$D$49,MATCH($N1025,계정대체기준!$A$20:$A$49,0)),0)))</f>
        <v/>
      </c>
      <c r="AB1025" s="94">
        <f>IF($A1025="",0,IF(AE1025="직접",IF(AF1025="수금비",$P1025,0),$P1025*(1-AG1025)*IFERROR(INDEX(계정대체기준!$E$20:$E$49,MATCH($N1025,계정대체기준!$A$20:$A$49,0)),0)))</f>
        <v/>
      </c>
      <c r="AC1025" s="9">
        <f>IF(AND($A1025&lt;&gt;"",M1025=설정!$C$20,Z1025&gt;0),Z1025+ROW()/1000000000,"")</f>
        <v/>
      </c>
      <c r="AD1025" s="94">
        <f>IF($A1025="",0,$P1025*AG1025)</f>
        <v/>
      </c>
      <c r="AE1025" s="64">
        <f>IF($A1025="","",IFERROR(INDEX(계정매핑!$E$5:$E$504,MATCH($F1025&amp;"",계정매핑!$A$5:$A$504,0))&amp;"","공통비"))</f>
        <v/>
      </c>
      <c r="AF1025" s="64">
        <f>IF($A1025="","",IF(AE1025="직접",IFERROR(INDEX(계정매핑!$F$5:$F$504,MATCH($F1025&amp;"",계정매핑!$A$5:$A$504,0))&amp;"","비귀속"),""))</f>
        <v/>
      </c>
      <c r="AG1025" s="96">
        <f>IF($A1025="",0,IF(AND(AE1025&lt;&gt;"직접",IFERROR(INDEX(계정매핑!$G$5:$G$504,MATCH($F1025&amp;"",계정매핑!$A$5:$A$504,0))&amp;"","")="유지비",COUNTIF(계정대체기준!$A$6:$A$15,$N1025)&gt;0),IFERROR(INDEX(계정대체기준!$E$6:$E$15,MATCH(VALUE($A1025&amp;""),계정대체기준!$D$6:$D$15,0)),0),0))</f>
        <v/>
      </c>
      <c r="AH1025" s="64">
        <f>IF($A1025="","",IF(AD1025=0,"",IF(OR(COUNTIF(계정대체기준!$A$77:$A$86,$N1025)&gt;0,ISNUMBER(MATCH($X1025,계정대체기준!$D$77:$D$86,0)),ISNUMBER(MATCH($F1025,계정대체기준!$D$77:$D$86,0))),"Y","N")))</f>
        <v/>
      </c>
    </row>
    <row r="1026">
      <c r="A1026" s="92" t="n">
        <v>2025</v>
      </c>
      <c r="B1026" s="92" t="n">
        <v>5</v>
      </c>
      <c r="C1026" s="92" t="inlineStr">
        <is>
          <t>5100001022</t>
        </is>
      </c>
      <c r="D1026" s="95" t="n">
        <v>45792</v>
      </c>
      <c r="E1026" s="92" t="inlineStr">
        <is>
          <t>KR</t>
        </is>
      </c>
      <c r="F1026" s="92" t="n">
        <v>62201000</v>
      </c>
      <c r="G1026" s="92" t="n">
        <v>1101</v>
      </c>
      <c r="H1026" s="93" t="n">
        <v>247000</v>
      </c>
      <c r="I1026" s="92" t="inlineStr">
        <is>
          <t>5월 통신요금 - O텔레콤</t>
        </is>
      </c>
      <c r="J1026" s="92" t="inlineStr">
        <is>
          <t>V10002</t>
        </is>
      </c>
      <c r="K1026" s="92" t="inlineStr">
        <is>
          <t>O텔레콤</t>
        </is>
      </c>
      <c r="M1026" s="9">
        <f>IF($A1026="","",VALUE($A1026&amp;"")*12+VALUE($B1026&amp;""))</f>
        <v/>
      </c>
      <c r="N1026" s="64">
        <f>IF($A1026="","",IFERROR(INDEX(부서매핑!$C$5:$C$504,MATCH($G1026&amp;"",부서매핑!$A$5:$A$504,0)),"미매핑"))</f>
        <v/>
      </c>
      <c r="O1026" s="9">
        <f>IF($A1026="","",N1026&amp;"|"&amp;$F1026)</f>
        <v/>
      </c>
      <c r="P1026" s="94">
        <f>IF($A1026="",0,$H1026*설정!$C$23)</f>
        <v/>
      </c>
      <c r="Q1026" s="64">
        <f>IF($A1026="","",IF(O1026&lt;&gt;원인분석!$C$9,"",IF(AND(M1026&gt;=원인분석!$C$10,M1026&lt;=원인분석!$C$11),"당기",IF(AND(M1026&gt;=원인분석!$C$12,M1026&lt;=원인분석!$C$13),"비교",""))))</f>
        <v/>
      </c>
      <c r="R1026" s="9">
        <f>IF(Q1026="","",$K1026&amp;"")</f>
        <v/>
      </c>
      <c r="S1026" s="9">
        <f>IF(Q1026="","",IF(MATCH(R1026,$R$5:$R$100000,0)=ROW()-4,ROW(),""))</f>
        <v/>
      </c>
      <c r="T1026" s="9">
        <f>IF(Q1026="당기",ABS(P1026)+ROW()/1000000000,"")</f>
        <v/>
      </c>
      <c r="U1026" s="9">
        <f>IF(Q1026="비교",ABS(P1026)+ROW()/1000000000,"")</f>
        <v/>
      </c>
      <c r="V1026" s="64">
        <f>IF($A1026="","",IF(COUNTIF(변동분석!$E$7:$E$506,O1026)&gt;0,"Y","N"))</f>
        <v/>
      </c>
      <c r="W1026" s="64">
        <f>IF($A1026="","",IFERROR(INDEX(계정매핑!$D$5:$D$504,MATCH($F1026&amp;"",계정매핑!$A$5:$A$504,0)),"미매핑"))</f>
        <v/>
      </c>
      <c r="X1026" s="9">
        <f>IF($A1026="","",$F1026&amp;"")</f>
        <v/>
      </c>
      <c r="Y1026" s="94">
        <f>IF($A1026="",0,IF(AE1026="직접",IF(AF1026="비귀속",$P1026,0),$P1026*(1-AG1026)*IFERROR(INDEX(계정대체기준!$F$20:$F$49,MATCH($N1026,계정대체기준!$A$20:$A$49,0)),1)))</f>
        <v/>
      </c>
      <c r="Z1026" s="94">
        <f>IF($A1026="",0,IF(AE1026="직접",IF(AF1026="신계약비",$P1026,0),$P1026*(1-AG1026)*IFERROR(INDEX(계정대체기준!$C$20:$C$49,MATCH($N1026,계정대체기준!$A$20:$A$49,0)),0)))</f>
        <v/>
      </c>
      <c r="AA1026" s="94">
        <f>IF($A1026="",0,IF(AE1026="직접",IF(OR(AF1026="유지비",AF1026="손해조사비"),$P1026,0),$P1026*(1-AG1026)*IFERROR(INDEX(계정대체기준!$D$20:$D$49,MATCH($N1026,계정대체기준!$A$20:$A$49,0)),0)))</f>
        <v/>
      </c>
      <c r="AB1026" s="94">
        <f>IF($A1026="",0,IF(AE1026="직접",IF(AF1026="수금비",$P1026,0),$P1026*(1-AG1026)*IFERROR(INDEX(계정대체기준!$E$20:$E$49,MATCH($N1026,계정대체기준!$A$20:$A$49,0)),0)))</f>
        <v/>
      </c>
      <c r="AC1026" s="9">
        <f>IF(AND($A1026&lt;&gt;"",M1026=설정!$C$20,Z1026&gt;0),Z1026+ROW()/1000000000,"")</f>
        <v/>
      </c>
      <c r="AD1026" s="94">
        <f>IF($A1026="",0,$P1026*AG1026)</f>
        <v/>
      </c>
      <c r="AE1026" s="64">
        <f>IF($A1026="","",IFERROR(INDEX(계정매핑!$E$5:$E$504,MATCH($F1026&amp;"",계정매핑!$A$5:$A$504,0))&amp;"","공통비"))</f>
        <v/>
      </c>
      <c r="AF1026" s="64">
        <f>IF($A1026="","",IF(AE1026="직접",IFERROR(INDEX(계정매핑!$F$5:$F$504,MATCH($F1026&amp;"",계정매핑!$A$5:$A$504,0))&amp;"","비귀속"),""))</f>
        <v/>
      </c>
      <c r="AG1026" s="96">
        <f>IF($A1026="",0,IF(AND(AE1026&lt;&gt;"직접",IFERROR(INDEX(계정매핑!$G$5:$G$504,MATCH($F1026&amp;"",계정매핑!$A$5:$A$504,0))&amp;"","")="유지비",COUNTIF(계정대체기준!$A$6:$A$15,$N1026)&gt;0),IFERROR(INDEX(계정대체기준!$E$6:$E$15,MATCH(VALUE($A1026&amp;""),계정대체기준!$D$6:$D$15,0)),0),0))</f>
        <v/>
      </c>
      <c r="AH1026" s="64">
        <f>IF($A1026="","",IF(AD1026=0,"",IF(OR(COUNTIF(계정대체기준!$A$77:$A$86,$N1026)&gt;0,ISNUMBER(MATCH($X1026,계정대체기준!$D$77:$D$86,0)),ISNUMBER(MATCH($F1026,계정대체기준!$D$77:$D$86,0))),"Y","N")))</f>
        <v/>
      </c>
    </row>
    <row r="1027">
      <c r="A1027" s="92" t="n">
        <v>2025</v>
      </c>
      <c r="B1027" s="92" t="n">
        <v>5</v>
      </c>
      <c r="C1027" s="92" t="inlineStr">
        <is>
          <t>5100001023</t>
        </is>
      </c>
      <c r="D1027" s="95" t="n">
        <v>45792</v>
      </c>
      <c r="E1027" s="92" t="inlineStr">
        <is>
          <t>KR</t>
        </is>
      </c>
      <c r="F1027" s="92" t="n">
        <v>62201000</v>
      </c>
      <c r="G1027" s="92" t="n">
        <v>1801</v>
      </c>
      <c r="H1027" s="93" t="n">
        <v>5667000</v>
      </c>
      <c r="I1027" s="92" t="inlineStr">
        <is>
          <t>5월 통신요금 - O텔레콤</t>
        </is>
      </c>
      <c r="J1027" s="92" t="inlineStr">
        <is>
          <t>V10002</t>
        </is>
      </c>
      <c r="K1027" s="92" t="inlineStr">
        <is>
          <t>O텔레콤</t>
        </is>
      </c>
      <c r="M1027" s="9">
        <f>IF($A1027="","",VALUE($A1027&amp;"")*12+VALUE($B1027&amp;""))</f>
        <v/>
      </c>
      <c r="N1027" s="64">
        <f>IF($A1027="","",IFERROR(INDEX(부서매핑!$C$5:$C$504,MATCH($G1027&amp;"",부서매핑!$A$5:$A$504,0)),"미매핑"))</f>
        <v/>
      </c>
      <c r="O1027" s="9">
        <f>IF($A1027="","",N1027&amp;"|"&amp;$F1027)</f>
        <v/>
      </c>
      <c r="P1027" s="94">
        <f>IF($A1027="",0,$H1027*설정!$C$23)</f>
        <v/>
      </c>
      <c r="Q1027" s="64">
        <f>IF($A1027="","",IF(O1027&lt;&gt;원인분석!$C$9,"",IF(AND(M1027&gt;=원인분석!$C$10,M1027&lt;=원인분석!$C$11),"당기",IF(AND(M1027&gt;=원인분석!$C$12,M1027&lt;=원인분석!$C$13),"비교",""))))</f>
        <v/>
      </c>
      <c r="R1027" s="9">
        <f>IF(Q1027="","",$K1027&amp;"")</f>
        <v/>
      </c>
      <c r="S1027" s="9">
        <f>IF(Q1027="","",IF(MATCH(R1027,$R$5:$R$100000,0)=ROW()-4,ROW(),""))</f>
        <v/>
      </c>
      <c r="T1027" s="9">
        <f>IF(Q1027="당기",ABS(P1027)+ROW()/1000000000,"")</f>
        <v/>
      </c>
      <c r="U1027" s="9">
        <f>IF(Q1027="비교",ABS(P1027)+ROW()/1000000000,"")</f>
        <v/>
      </c>
      <c r="V1027" s="64">
        <f>IF($A1027="","",IF(COUNTIF(변동분석!$E$7:$E$506,O1027)&gt;0,"Y","N"))</f>
        <v/>
      </c>
      <c r="W1027" s="64">
        <f>IF($A1027="","",IFERROR(INDEX(계정매핑!$D$5:$D$504,MATCH($F1027&amp;"",계정매핑!$A$5:$A$504,0)),"미매핑"))</f>
        <v/>
      </c>
      <c r="X1027" s="9">
        <f>IF($A1027="","",$F1027&amp;"")</f>
        <v/>
      </c>
      <c r="Y1027" s="94">
        <f>IF($A1027="",0,IF(AE1027="직접",IF(AF1027="비귀속",$P1027,0),$P1027*(1-AG1027)*IFERROR(INDEX(계정대체기준!$F$20:$F$49,MATCH($N1027,계정대체기준!$A$20:$A$49,0)),1)))</f>
        <v/>
      </c>
      <c r="Z1027" s="94">
        <f>IF($A1027="",0,IF(AE1027="직접",IF(AF1027="신계약비",$P1027,0),$P1027*(1-AG1027)*IFERROR(INDEX(계정대체기준!$C$20:$C$49,MATCH($N1027,계정대체기준!$A$20:$A$49,0)),0)))</f>
        <v/>
      </c>
      <c r="AA1027" s="94">
        <f>IF($A1027="",0,IF(AE1027="직접",IF(OR(AF1027="유지비",AF1027="손해조사비"),$P1027,0),$P1027*(1-AG1027)*IFERROR(INDEX(계정대체기준!$D$20:$D$49,MATCH($N1027,계정대체기준!$A$20:$A$49,0)),0)))</f>
        <v/>
      </c>
      <c r="AB1027" s="94">
        <f>IF($A1027="",0,IF(AE1027="직접",IF(AF1027="수금비",$P1027,0),$P1027*(1-AG1027)*IFERROR(INDEX(계정대체기준!$E$20:$E$49,MATCH($N1027,계정대체기준!$A$20:$A$49,0)),0)))</f>
        <v/>
      </c>
      <c r="AC1027" s="9">
        <f>IF(AND($A1027&lt;&gt;"",M1027=설정!$C$20,Z1027&gt;0),Z1027+ROW()/1000000000,"")</f>
        <v/>
      </c>
      <c r="AD1027" s="94">
        <f>IF($A1027="",0,$P1027*AG1027)</f>
        <v/>
      </c>
      <c r="AE1027" s="64">
        <f>IF($A1027="","",IFERROR(INDEX(계정매핑!$E$5:$E$504,MATCH($F1027&amp;"",계정매핑!$A$5:$A$504,0))&amp;"","공통비"))</f>
        <v/>
      </c>
      <c r="AF1027" s="64">
        <f>IF($A1027="","",IF(AE1027="직접",IFERROR(INDEX(계정매핑!$F$5:$F$504,MATCH($F1027&amp;"",계정매핑!$A$5:$A$504,0))&amp;"","비귀속"),""))</f>
        <v/>
      </c>
      <c r="AG1027" s="96">
        <f>IF($A1027="",0,IF(AND(AE1027&lt;&gt;"직접",IFERROR(INDEX(계정매핑!$G$5:$G$504,MATCH($F1027&amp;"",계정매핑!$A$5:$A$504,0))&amp;"","")="유지비",COUNTIF(계정대체기준!$A$6:$A$15,$N1027)&gt;0),IFERROR(INDEX(계정대체기준!$E$6:$E$15,MATCH(VALUE($A1027&amp;""),계정대체기준!$D$6:$D$15,0)),0),0))</f>
        <v/>
      </c>
      <c r="AH1027" s="64">
        <f>IF($A1027="","",IF(AD1027=0,"",IF(OR(COUNTIF(계정대체기준!$A$77:$A$86,$N1027)&gt;0,ISNUMBER(MATCH($X1027,계정대체기준!$D$77:$D$86,0)),ISNUMBER(MATCH($F1027,계정대체기준!$D$77:$D$86,0))),"Y","N")))</f>
        <v/>
      </c>
    </row>
    <row r="1028">
      <c r="A1028" s="92" t="n">
        <v>2025</v>
      </c>
      <c r="B1028" s="92" t="n">
        <v>5</v>
      </c>
      <c r="C1028" s="92" t="inlineStr">
        <is>
          <t>5100001024</t>
        </is>
      </c>
      <c r="D1028" s="95" t="n">
        <v>45792</v>
      </c>
      <c r="E1028" s="92" t="inlineStr">
        <is>
          <t>KR</t>
        </is>
      </c>
      <c r="F1028" s="92" t="n">
        <v>62501000</v>
      </c>
      <c r="G1028" s="92" t="n">
        <v>1201</v>
      </c>
      <c r="H1028" s="93" t="n">
        <v>201000</v>
      </c>
      <c r="I1028" s="92" t="inlineStr">
        <is>
          <t>5월 회의 다과 - T케이터링</t>
        </is>
      </c>
      <c r="J1028" s="92" t="inlineStr">
        <is>
          <t>V10005</t>
        </is>
      </c>
      <c r="K1028" s="92" t="inlineStr">
        <is>
          <t>T케이터링</t>
        </is>
      </c>
      <c r="M1028" s="9">
        <f>IF($A1028="","",VALUE($A1028&amp;"")*12+VALUE($B1028&amp;""))</f>
        <v/>
      </c>
      <c r="N1028" s="64">
        <f>IF($A1028="","",IFERROR(INDEX(부서매핑!$C$5:$C$504,MATCH($G1028&amp;"",부서매핑!$A$5:$A$504,0)),"미매핑"))</f>
        <v/>
      </c>
      <c r="O1028" s="9">
        <f>IF($A1028="","",N1028&amp;"|"&amp;$F1028)</f>
        <v/>
      </c>
      <c r="P1028" s="94">
        <f>IF($A1028="",0,$H1028*설정!$C$23)</f>
        <v/>
      </c>
      <c r="Q1028" s="64">
        <f>IF($A1028="","",IF(O1028&lt;&gt;원인분석!$C$9,"",IF(AND(M1028&gt;=원인분석!$C$10,M1028&lt;=원인분석!$C$11),"당기",IF(AND(M1028&gt;=원인분석!$C$12,M1028&lt;=원인분석!$C$13),"비교",""))))</f>
        <v/>
      </c>
      <c r="R1028" s="9">
        <f>IF(Q1028="","",$K1028&amp;"")</f>
        <v/>
      </c>
      <c r="S1028" s="9">
        <f>IF(Q1028="","",IF(MATCH(R1028,$R$5:$R$100000,0)=ROW()-4,ROW(),""))</f>
        <v/>
      </c>
      <c r="T1028" s="9">
        <f>IF(Q1028="당기",ABS(P1028)+ROW()/1000000000,"")</f>
        <v/>
      </c>
      <c r="U1028" s="9">
        <f>IF(Q1028="비교",ABS(P1028)+ROW()/1000000000,"")</f>
        <v/>
      </c>
      <c r="V1028" s="64">
        <f>IF($A1028="","",IF(COUNTIF(변동분석!$E$7:$E$506,O1028)&gt;0,"Y","N"))</f>
        <v/>
      </c>
      <c r="W1028" s="64">
        <f>IF($A1028="","",IFERROR(INDEX(계정매핑!$D$5:$D$504,MATCH($F1028&amp;"",계정매핑!$A$5:$A$504,0)),"미매핑"))</f>
        <v/>
      </c>
      <c r="X1028" s="9">
        <f>IF($A1028="","",$F1028&amp;"")</f>
        <v/>
      </c>
      <c r="Y1028" s="94">
        <f>IF($A1028="",0,IF(AE1028="직접",IF(AF1028="비귀속",$P1028,0),$P1028*(1-AG1028)*IFERROR(INDEX(계정대체기준!$F$20:$F$49,MATCH($N1028,계정대체기준!$A$20:$A$49,0)),1)))</f>
        <v/>
      </c>
      <c r="Z1028" s="94">
        <f>IF($A1028="",0,IF(AE1028="직접",IF(AF1028="신계약비",$P1028,0),$P1028*(1-AG1028)*IFERROR(INDEX(계정대체기준!$C$20:$C$49,MATCH($N1028,계정대체기준!$A$20:$A$49,0)),0)))</f>
        <v/>
      </c>
      <c r="AA1028" s="94">
        <f>IF($A1028="",0,IF(AE1028="직접",IF(OR(AF1028="유지비",AF1028="손해조사비"),$P1028,0),$P1028*(1-AG1028)*IFERROR(INDEX(계정대체기준!$D$20:$D$49,MATCH($N1028,계정대체기준!$A$20:$A$49,0)),0)))</f>
        <v/>
      </c>
      <c r="AB1028" s="94">
        <f>IF($A1028="",0,IF(AE1028="직접",IF(AF1028="수금비",$P1028,0),$P1028*(1-AG1028)*IFERROR(INDEX(계정대체기준!$E$20:$E$49,MATCH($N1028,계정대체기준!$A$20:$A$49,0)),0)))</f>
        <v/>
      </c>
      <c r="AC1028" s="9">
        <f>IF(AND($A1028&lt;&gt;"",M1028=설정!$C$20,Z1028&gt;0),Z1028+ROW()/1000000000,"")</f>
        <v/>
      </c>
      <c r="AD1028" s="94">
        <f>IF($A1028="",0,$P1028*AG1028)</f>
        <v/>
      </c>
      <c r="AE1028" s="64">
        <f>IF($A1028="","",IFERROR(INDEX(계정매핑!$E$5:$E$504,MATCH($F1028&amp;"",계정매핑!$A$5:$A$504,0))&amp;"","공통비"))</f>
        <v/>
      </c>
      <c r="AF1028" s="64">
        <f>IF($A1028="","",IF(AE1028="직접",IFERROR(INDEX(계정매핑!$F$5:$F$504,MATCH($F1028&amp;"",계정매핑!$A$5:$A$504,0))&amp;"","비귀속"),""))</f>
        <v/>
      </c>
      <c r="AG1028" s="96">
        <f>IF($A1028="",0,IF(AND(AE1028&lt;&gt;"직접",IFERROR(INDEX(계정매핑!$G$5:$G$504,MATCH($F1028&amp;"",계정매핑!$A$5:$A$504,0))&amp;"","")="유지비",COUNTIF(계정대체기준!$A$6:$A$15,$N1028)&gt;0),IFERROR(INDEX(계정대체기준!$E$6:$E$15,MATCH(VALUE($A1028&amp;""),계정대체기준!$D$6:$D$15,0)),0),0))</f>
        <v/>
      </c>
      <c r="AH1028" s="64">
        <f>IF($A1028="","",IF(AD1028=0,"",IF(OR(COUNTIF(계정대체기준!$A$77:$A$86,$N1028)&gt;0,ISNUMBER(MATCH($X1028,계정대체기준!$D$77:$D$86,0)),ISNUMBER(MATCH($F1028,계정대체기준!$D$77:$D$86,0))),"Y","N")))</f>
        <v/>
      </c>
    </row>
    <row r="1029">
      <c r="A1029" s="92" t="n">
        <v>2025</v>
      </c>
      <c r="B1029" s="92" t="n">
        <v>5</v>
      </c>
      <c r="C1029" s="92" t="inlineStr">
        <is>
          <t>5100001025</t>
        </is>
      </c>
      <c r="D1029" s="95" t="n">
        <v>45792</v>
      </c>
      <c r="E1029" s="92" t="inlineStr">
        <is>
          <t>KR</t>
        </is>
      </c>
      <c r="F1029" s="92" t="n">
        <v>62901000</v>
      </c>
      <c r="G1029" s="92" t="n">
        <v>1951</v>
      </c>
      <c r="H1029" s="93" t="n">
        <v>5196000</v>
      </c>
      <c r="I1029" s="92" t="inlineStr">
        <is>
          <t>5월 자문 수수료 - W컨설팅</t>
        </is>
      </c>
      <c r="J1029" s="92" t="inlineStr">
        <is>
          <t>V10006</t>
        </is>
      </c>
      <c r="K1029" s="92" t="inlineStr">
        <is>
          <t>W컨설팅</t>
        </is>
      </c>
      <c r="M1029" s="9">
        <f>IF($A1029="","",VALUE($A1029&amp;"")*12+VALUE($B1029&amp;""))</f>
        <v/>
      </c>
      <c r="N1029" s="64">
        <f>IF($A1029="","",IFERROR(INDEX(부서매핑!$C$5:$C$504,MATCH($G1029&amp;"",부서매핑!$A$5:$A$504,0)),"미매핑"))</f>
        <v/>
      </c>
      <c r="O1029" s="9">
        <f>IF($A1029="","",N1029&amp;"|"&amp;$F1029)</f>
        <v/>
      </c>
      <c r="P1029" s="94">
        <f>IF($A1029="",0,$H1029*설정!$C$23)</f>
        <v/>
      </c>
      <c r="Q1029" s="64">
        <f>IF($A1029="","",IF(O1029&lt;&gt;원인분석!$C$9,"",IF(AND(M1029&gt;=원인분석!$C$10,M1029&lt;=원인분석!$C$11),"당기",IF(AND(M1029&gt;=원인분석!$C$12,M1029&lt;=원인분석!$C$13),"비교",""))))</f>
        <v/>
      </c>
      <c r="R1029" s="9">
        <f>IF(Q1029="","",$K1029&amp;"")</f>
        <v/>
      </c>
      <c r="S1029" s="9">
        <f>IF(Q1029="","",IF(MATCH(R1029,$R$5:$R$100000,0)=ROW()-4,ROW(),""))</f>
        <v/>
      </c>
      <c r="T1029" s="9">
        <f>IF(Q1029="당기",ABS(P1029)+ROW()/1000000000,"")</f>
        <v/>
      </c>
      <c r="U1029" s="9">
        <f>IF(Q1029="비교",ABS(P1029)+ROW()/1000000000,"")</f>
        <v/>
      </c>
      <c r="V1029" s="64">
        <f>IF($A1029="","",IF(COUNTIF(변동분석!$E$7:$E$506,O1029)&gt;0,"Y","N"))</f>
        <v/>
      </c>
      <c r="W1029" s="64">
        <f>IF($A1029="","",IFERROR(INDEX(계정매핑!$D$5:$D$504,MATCH($F1029&amp;"",계정매핑!$A$5:$A$504,0)),"미매핑"))</f>
        <v/>
      </c>
      <c r="X1029" s="9">
        <f>IF($A1029="","",$F1029&amp;"")</f>
        <v/>
      </c>
      <c r="Y1029" s="94">
        <f>IF($A1029="",0,IF(AE1029="직접",IF(AF1029="비귀속",$P1029,0),$P1029*(1-AG1029)*IFERROR(INDEX(계정대체기준!$F$20:$F$49,MATCH($N1029,계정대체기준!$A$20:$A$49,0)),1)))</f>
        <v/>
      </c>
      <c r="Z1029" s="94">
        <f>IF($A1029="",0,IF(AE1029="직접",IF(AF1029="신계약비",$P1029,0),$P1029*(1-AG1029)*IFERROR(INDEX(계정대체기준!$C$20:$C$49,MATCH($N1029,계정대체기준!$A$20:$A$49,0)),0)))</f>
        <v/>
      </c>
      <c r="AA1029" s="94">
        <f>IF($A1029="",0,IF(AE1029="직접",IF(OR(AF1029="유지비",AF1029="손해조사비"),$P1029,0),$P1029*(1-AG1029)*IFERROR(INDEX(계정대체기준!$D$20:$D$49,MATCH($N1029,계정대체기준!$A$20:$A$49,0)),0)))</f>
        <v/>
      </c>
      <c r="AB1029" s="94">
        <f>IF($A1029="",0,IF(AE1029="직접",IF(AF1029="수금비",$P1029,0),$P1029*(1-AG1029)*IFERROR(INDEX(계정대체기준!$E$20:$E$49,MATCH($N1029,계정대체기준!$A$20:$A$49,0)),0)))</f>
        <v/>
      </c>
      <c r="AC1029" s="9">
        <f>IF(AND($A1029&lt;&gt;"",M1029=설정!$C$20,Z1029&gt;0),Z1029+ROW()/1000000000,"")</f>
        <v/>
      </c>
      <c r="AD1029" s="94">
        <f>IF($A1029="",0,$P1029*AG1029)</f>
        <v/>
      </c>
      <c r="AE1029" s="64">
        <f>IF($A1029="","",IFERROR(INDEX(계정매핑!$E$5:$E$504,MATCH($F1029&amp;"",계정매핑!$A$5:$A$504,0))&amp;"","공통비"))</f>
        <v/>
      </c>
      <c r="AF1029" s="64">
        <f>IF($A1029="","",IF(AE1029="직접",IFERROR(INDEX(계정매핑!$F$5:$F$504,MATCH($F1029&amp;"",계정매핑!$A$5:$A$504,0))&amp;"","비귀속"),""))</f>
        <v/>
      </c>
      <c r="AG1029" s="96">
        <f>IF($A1029="",0,IF(AND(AE1029&lt;&gt;"직접",IFERROR(INDEX(계정매핑!$G$5:$G$504,MATCH($F1029&amp;"",계정매핑!$A$5:$A$504,0))&amp;"","")="유지비",COUNTIF(계정대체기준!$A$6:$A$15,$N1029)&gt;0),IFERROR(INDEX(계정대체기준!$E$6:$E$15,MATCH(VALUE($A1029&amp;""),계정대체기준!$D$6:$D$15,0)),0),0))</f>
        <v/>
      </c>
      <c r="AH1029" s="64">
        <f>IF($A1029="","",IF(AD1029=0,"",IF(OR(COUNTIF(계정대체기준!$A$77:$A$86,$N1029)&gt;0,ISNUMBER(MATCH($X1029,계정대체기준!$D$77:$D$86,0)),ISNUMBER(MATCH($F1029,계정대체기준!$D$77:$D$86,0))),"Y","N")))</f>
        <v/>
      </c>
    </row>
    <row r="1030">
      <c r="A1030" s="92" t="n">
        <v>2025</v>
      </c>
      <c r="B1030" s="92" t="n">
        <v>5</v>
      </c>
      <c r="C1030" s="92" t="inlineStr">
        <is>
          <t>5100001026</t>
        </is>
      </c>
      <c r="D1030" s="95" t="n">
        <v>45793</v>
      </c>
      <c r="E1030" s="92" t="inlineStr">
        <is>
          <t>KR</t>
        </is>
      </c>
      <c r="F1030" s="92" t="n">
        <v>62101000</v>
      </c>
      <c r="G1030" s="92" t="n">
        <v>1401</v>
      </c>
      <c r="H1030" s="93" t="n">
        <v>377000</v>
      </c>
      <c r="I1030" s="92" t="inlineStr">
        <is>
          <t>5월 국내출장 - M항공</t>
        </is>
      </c>
      <c r="J1030" s="92" t="inlineStr">
        <is>
          <t>V10001</t>
        </is>
      </c>
      <c r="K1030" s="92" t="inlineStr">
        <is>
          <t>M항공</t>
        </is>
      </c>
      <c r="M1030" s="9">
        <f>IF($A1030="","",VALUE($A1030&amp;"")*12+VALUE($B1030&amp;""))</f>
        <v/>
      </c>
      <c r="N1030" s="64">
        <f>IF($A1030="","",IFERROR(INDEX(부서매핑!$C$5:$C$504,MATCH($G1030&amp;"",부서매핑!$A$5:$A$504,0)),"미매핑"))</f>
        <v/>
      </c>
      <c r="O1030" s="9">
        <f>IF($A1030="","",N1030&amp;"|"&amp;$F1030)</f>
        <v/>
      </c>
      <c r="P1030" s="94">
        <f>IF($A1030="",0,$H1030*설정!$C$23)</f>
        <v/>
      </c>
      <c r="Q1030" s="64">
        <f>IF($A1030="","",IF(O1030&lt;&gt;원인분석!$C$9,"",IF(AND(M1030&gt;=원인분석!$C$10,M1030&lt;=원인분석!$C$11),"당기",IF(AND(M1030&gt;=원인분석!$C$12,M1030&lt;=원인분석!$C$13),"비교",""))))</f>
        <v/>
      </c>
      <c r="R1030" s="9">
        <f>IF(Q1030="","",$K1030&amp;"")</f>
        <v/>
      </c>
      <c r="S1030" s="9">
        <f>IF(Q1030="","",IF(MATCH(R1030,$R$5:$R$100000,0)=ROW()-4,ROW(),""))</f>
        <v/>
      </c>
      <c r="T1030" s="9">
        <f>IF(Q1030="당기",ABS(P1030)+ROW()/1000000000,"")</f>
        <v/>
      </c>
      <c r="U1030" s="9">
        <f>IF(Q1030="비교",ABS(P1030)+ROW()/1000000000,"")</f>
        <v/>
      </c>
      <c r="V1030" s="64">
        <f>IF($A1030="","",IF(COUNTIF(변동분석!$E$7:$E$506,O1030)&gt;0,"Y","N"))</f>
        <v/>
      </c>
      <c r="W1030" s="64">
        <f>IF($A1030="","",IFERROR(INDEX(계정매핑!$D$5:$D$504,MATCH($F1030&amp;"",계정매핑!$A$5:$A$504,0)),"미매핑"))</f>
        <v/>
      </c>
      <c r="X1030" s="9">
        <f>IF($A1030="","",$F1030&amp;"")</f>
        <v/>
      </c>
      <c r="Y1030" s="94">
        <f>IF($A1030="",0,IF(AE1030="직접",IF(AF1030="비귀속",$P1030,0),$P1030*(1-AG1030)*IFERROR(INDEX(계정대체기준!$F$20:$F$49,MATCH($N1030,계정대체기준!$A$20:$A$49,0)),1)))</f>
        <v/>
      </c>
      <c r="Z1030" s="94">
        <f>IF($A1030="",0,IF(AE1030="직접",IF(AF1030="신계약비",$P1030,0),$P1030*(1-AG1030)*IFERROR(INDEX(계정대체기준!$C$20:$C$49,MATCH($N1030,계정대체기준!$A$20:$A$49,0)),0)))</f>
        <v/>
      </c>
      <c r="AA1030" s="94">
        <f>IF($A1030="",0,IF(AE1030="직접",IF(OR(AF1030="유지비",AF1030="손해조사비"),$P1030,0),$P1030*(1-AG1030)*IFERROR(INDEX(계정대체기준!$D$20:$D$49,MATCH($N1030,계정대체기준!$A$20:$A$49,0)),0)))</f>
        <v/>
      </c>
      <c r="AB1030" s="94">
        <f>IF($A1030="",0,IF(AE1030="직접",IF(AF1030="수금비",$P1030,0),$P1030*(1-AG1030)*IFERROR(INDEX(계정대체기준!$E$20:$E$49,MATCH($N1030,계정대체기준!$A$20:$A$49,0)),0)))</f>
        <v/>
      </c>
      <c r="AC1030" s="9">
        <f>IF(AND($A1030&lt;&gt;"",M1030=설정!$C$20,Z1030&gt;0),Z1030+ROW()/1000000000,"")</f>
        <v/>
      </c>
      <c r="AD1030" s="94">
        <f>IF($A1030="",0,$P1030*AG1030)</f>
        <v/>
      </c>
      <c r="AE1030" s="64">
        <f>IF($A1030="","",IFERROR(INDEX(계정매핑!$E$5:$E$504,MATCH($F1030&amp;"",계정매핑!$A$5:$A$504,0))&amp;"","공통비"))</f>
        <v/>
      </c>
      <c r="AF1030" s="64">
        <f>IF($A1030="","",IF(AE1030="직접",IFERROR(INDEX(계정매핑!$F$5:$F$504,MATCH($F1030&amp;"",계정매핑!$A$5:$A$504,0))&amp;"","비귀속"),""))</f>
        <v/>
      </c>
      <c r="AG1030" s="96">
        <f>IF($A1030="",0,IF(AND(AE1030&lt;&gt;"직접",IFERROR(INDEX(계정매핑!$G$5:$G$504,MATCH($F1030&amp;"",계정매핑!$A$5:$A$504,0))&amp;"","")="유지비",COUNTIF(계정대체기준!$A$6:$A$15,$N1030)&gt;0),IFERROR(INDEX(계정대체기준!$E$6:$E$15,MATCH(VALUE($A1030&amp;""),계정대체기준!$D$6:$D$15,0)),0),0))</f>
        <v/>
      </c>
      <c r="AH1030" s="64">
        <f>IF($A1030="","",IF(AD1030=0,"",IF(OR(COUNTIF(계정대체기준!$A$77:$A$86,$N1030)&gt;0,ISNUMBER(MATCH($X1030,계정대체기준!$D$77:$D$86,0)),ISNUMBER(MATCH($F1030,계정대체기준!$D$77:$D$86,0))),"Y","N")))</f>
        <v/>
      </c>
    </row>
    <row r="1031">
      <c r="A1031" s="92" t="n">
        <v>2025</v>
      </c>
      <c r="B1031" s="92" t="n">
        <v>5</v>
      </c>
      <c r="C1031" s="92" t="inlineStr">
        <is>
          <t>5100001027</t>
        </is>
      </c>
      <c r="D1031" s="95" t="n">
        <v>45793</v>
      </c>
      <c r="E1031" s="92" t="inlineStr">
        <is>
          <t>KR</t>
        </is>
      </c>
      <c r="F1031" s="92" t="n">
        <v>62101000</v>
      </c>
      <c r="G1031" s="92" t="n">
        <v>1602</v>
      </c>
      <c r="H1031" s="93" t="n">
        <v>1722000</v>
      </c>
      <c r="I1031" s="92" t="inlineStr">
        <is>
          <t>5월 국내출장 - L여행사</t>
        </is>
      </c>
      <c r="J1031" s="92" t="inlineStr">
        <is>
          <t>V10018</t>
        </is>
      </c>
      <c r="K1031" s="92" t="inlineStr">
        <is>
          <t>L여행사</t>
        </is>
      </c>
      <c r="M1031" s="9">
        <f>IF($A1031="","",VALUE($A1031&amp;"")*12+VALUE($B1031&amp;""))</f>
        <v/>
      </c>
      <c r="N1031" s="64">
        <f>IF($A1031="","",IFERROR(INDEX(부서매핑!$C$5:$C$504,MATCH($G1031&amp;"",부서매핑!$A$5:$A$504,0)),"미매핑"))</f>
        <v/>
      </c>
      <c r="O1031" s="9">
        <f>IF($A1031="","",N1031&amp;"|"&amp;$F1031)</f>
        <v/>
      </c>
      <c r="P1031" s="94">
        <f>IF($A1031="",0,$H1031*설정!$C$23)</f>
        <v/>
      </c>
      <c r="Q1031" s="64">
        <f>IF($A1031="","",IF(O1031&lt;&gt;원인분석!$C$9,"",IF(AND(M1031&gt;=원인분석!$C$10,M1031&lt;=원인분석!$C$11),"당기",IF(AND(M1031&gt;=원인분석!$C$12,M1031&lt;=원인분석!$C$13),"비교",""))))</f>
        <v/>
      </c>
      <c r="R1031" s="9">
        <f>IF(Q1031="","",$K1031&amp;"")</f>
        <v/>
      </c>
      <c r="S1031" s="9">
        <f>IF(Q1031="","",IF(MATCH(R1031,$R$5:$R$100000,0)=ROW()-4,ROW(),""))</f>
        <v/>
      </c>
      <c r="T1031" s="9">
        <f>IF(Q1031="당기",ABS(P1031)+ROW()/1000000000,"")</f>
        <v/>
      </c>
      <c r="U1031" s="9">
        <f>IF(Q1031="비교",ABS(P1031)+ROW()/1000000000,"")</f>
        <v/>
      </c>
      <c r="V1031" s="64">
        <f>IF($A1031="","",IF(COUNTIF(변동분석!$E$7:$E$506,O1031)&gt;0,"Y","N"))</f>
        <v/>
      </c>
      <c r="W1031" s="64">
        <f>IF($A1031="","",IFERROR(INDEX(계정매핑!$D$5:$D$504,MATCH($F1031&amp;"",계정매핑!$A$5:$A$504,0)),"미매핑"))</f>
        <v/>
      </c>
      <c r="X1031" s="9">
        <f>IF($A1031="","",$F1031&amp;"")</f>
        <v/>
      </c>
      <c r="Y1031" s="94">
        <f>IF($A1031="",0,IF(AE1031="직접",IF(AF1031="비귀속",$P1031,0),$P1031*(1-AG1031)*IFERROR(INDEX(계정대체기준!$F$20:$F$49,MATCH($N1031,계정대체기준!$A$20:$A$49,0)),1)))</f>
        <v/>
      </c>
      <c r="Z1031" s="94">
        <f>IF($A1031="",0,IF(AE1031="직접",IF(AF1031="신계약비",$P1031,0),$P1031*(1-AG1031)*IFERROR(INDEX(계정대체기준!$C$20:$C$49,MATCH($N1031,계정대체기준!$A$20:$A$49,0)),0)))</f>
        <v/>
      </c>
      <c r="AA1031" s="94">
        <f>IF($A1031="",0,IF(AE1031="직접",IF(OR(AF1031="유지비",AF1031="손해조사비"),$P1031,0),$P1031*(1-AG1031)*IFERROR(INDEX(계정대체기준!$D$20:$D$49,MATCH($N1031,계정대체기준!$A$20:$A$49,0)),0)))</f>
        <v/>
      </c>
      <c r="AB1031" s="94">
        <f>IF($A1031="",0,IF(AE1031="직접",IF(AF1031="수금비",$P1031,0),$P1031*(1-AG1031)*IFERROR(INDEX(계정대체기준!$E$20:$E$49,MATCH($N1031,계정대체기준!$A$20:$A$49,0)),0)))</f>
        <v/>
      </c>
      <c r="AC1031" s="9">
        <f>IF(AND($A1031&lt;&gt;"",M1031=설정!$C$20,Z1031&gt;0),Z1031+ROW()/1000000000,"")</f>
        <v/>
      </c>
      <c r="AD1031" s="94">
        <f>IF($A1031="",0,$P1031*AG1031)</f>
        <v/>
      </c>
      <c r="AE1031" s="64">
        <f>IF($A1031="","",IFERROR(INDEX(계정매핑!$E$5:$E$504,MATCH($F1031&amp;"",계정매핑!$A$5:$A$504,0))&amp;"","공통비"))</f>
        <v/>
      </c>
      <c r="AF1031" s="64">
        <f>IF($A1031="","",IF(AE1031="직접",IFERROR(INDEX(계정매핑!$F$5:$F$504,MATCH($F1031&amp;"",계정매핑!$A$5:$A$504,0))&amp;"","비귀속"),""))</f>
        <v/>
      </c>
      <c r="AG1031" s="96">
        <f>IF($A1031="",0,IF(AND(AE1031&lt;&gt;"직접",IFERROR(INDEX(계정매핑!$G$5:$G$504,MATCH($F1031&amp;"",계정매핑!$A$5:$A$504,0))&amp;"","")="유지비",COUNTIF(계정대체기준!$A$6:$A$15,$N1031)&gt;0),IFERROR(INDEX(계정대체기준!$E$6:$E$15,MATCH(VALUE($A1031&amp;""),계정대체기준!$D$6:$D$15,0)),0),0))</f>
        <v/>
      </c>
      <c r="AH1031" s="64">
        <f>IF($A1031="","",IF(AD1031=0,"",IF(OR(COUNTIF(계정대체기준!$A$77:$A$86,$N1031)&gt;0,ISNUMBER(MATCH($X1031,계정대체기준!$D$77:$D$86,0)),ISNUMBER(MATCH($F1031,계정대체기준!$D$77:$D$86,0))),"Y","N")))</f>
        <v/>
      </c>
    </row>
    <row r="1032">
      <c r="A1032" s="92" t="n">
        <v>2025</v>
      </c>
      <c r="B1032" s="92" t="n">
        <v>5</v>
      </c>
      <c r="C1032" s="92" t="inlineStr">
        <is>
          <t>5100001028</t>
        </is>
      </c>
      <c r="D1032" s="95" t="n">
        <v>45793</v>
      </c>
      <c r="E1032" s="92" t="inlineStr">
        <is>
          <t>KR</t>
        </is>
      </c>
      <c r="F1032" s="92" t="n">
        <v>62102000</v>
      </c>
      <c r="G1032" s="92" t="n">
        <v>1101</v>
      </c>
      <c r="H1032" s="93" t="n">
        <v>109000</v>
      </c>
      <c r="I1032" s="92" t="inlineStr">
        <is>
          <t>5월 해외출장 - M항공</t>
        </is>
      </c>
      <c r="J1032" s="92" t="inlineStr">
        <is>
          <t>V10001</t>
        </is>
      </c>
      <c r="K1032" s="92" t="inlineStr">
        <is>
          <t>M항공</t>
        </is>
      </c>
      <c r="M1032" s="9">
        <f>IF($A1032="","",VALUE($A1032&amp;"")*12+VALUE($B1032&amp;""))</f>
        <v/>
      </c>
      <c r="N1032" s="64">
        <f>IF($A1032="","",IFERROR(INDEX(부서매핑!$C$5:$C$504,MATCH($G1032&amp;"",부서매핑!$A$5:$A$504,0)),"미매핑"))</f>
        <v/>
      </c>
      <c r="O1032" s="9">
        <f>IF($A1032="","",N1032&amp;"|"&amp;$F1032)</f>
        <v/>
      </c>
      <c r="P1032" s="94">
        <f>IF($A1032="",0,$H1032*설정!$C$23)</f>
        <v/>
      </c>
      <c r="Q1032" s="64">
        <f>IF($A1032="","",IF(O1032&lt;&gt;원인분석!$C$9,"",IF(AND(M1032&gt;=원인분석!$C$10,M1032&lt;=원인분석!$C$11),"당기",IF(AND(M1032&gt;=원인분석!$C$12,M1032&lt;=원인분석!$C$13),"비교",""))))</f>
        <v/>
      </c>
      <c r="R1032" s="9">
        <f>IF(Q1032="","",$K1032&amp;"")</f>
        <v/>
      </c>
      <c r="S1032" s="9">
        <f>IF(Q1032="","",IF(MATCH(R1032,$R$5:$R$100000,0)=ROW()-4,ROW(),""))</f>
        <v/>
      </c>
      <c r="T1032" s="9">
        <f>IF(Q1032="당기",ABS(P1032)+ROW()/1000000000,"")</f>
        <v/>
      </c>
      <c r="U1032" s="9">
        <f>IF(Q1032="비교",ABS(P1032)+ROW()/1000000000,"")</f>
        <v/>
      </c>
      <c r="V1032" s="64">
        <f>IF($A1032="","",IF(COUNTIF(변동분석!$E$7:$E$506,O1032)&gt;0,"Y","N"))</f>
        <v/>
      </c>
      <c r="W1032" s="64">
        <f>IF($A1032="","",IFERROR(INDEX(계정매핑!$D$5:$D$504,MATCH($F1032&amp;"",계정매핑!$A$5:$A$504,0)),"미매핑"))</f>
        <v/>
      </c>
      <c r="X1032" s="9">
        <f>IF($A1032="","",$F1032&amp;"")</f>
        <v/>
      </c>
      <c r="Y1032" s="94">
        <f>IF($A1032="",0,IF(AE1032="직접",IF(AF1032="비귀속",$P1032,0),$P1032*(1-AG1032)*IFERROR(INDEX(계정대체기준!$F$20:$F$49,MATCH($N1032,계정대체기준!$A$20:$A$49,0)),1)))</f>
        <v/>
      </c>
      <c r="Z1032" s="94">
        <f>IF($A1032="",0,IF(AE1032="직접",IF(AF1032="신계약비",$P1032,0),$P1032*(1-AG1032)*IFERROR(INDEX(계정대체기준!$C$20:$C$49,MATCH($N1032,계정대체기준!$A$20:$A$49,0)),0)))</f>
        <v/>
      </c>
      <c r="AA1032" s="94">
        <f>IF($A1032="",0,IF(AE1032="직접",IF(OR(AF1032="유지비",AF1032="손해조사비"),$P1032,0),$P1032*(1-AG1032)*IFERROR(INDEX(계정대체기준!$D$20:$D$49,MATCH($N1032,계정대체기준!$A$20:$A$49,0)),0)))</f>
        <v/>
      </c>
      <c r="AB1032" s="94">
        <f>IF($A1032="",0,IF(AE1032="직접",IF(AF1032="수금비",$P1032,0),$P1032*(1-AG1032)*IFERROR(INDEX(계정대체기준!$E$20:$E$49,MATCH($N1032,계정대체기준!$A$20:$A$49,0)),0)))</f>
        <v/>
      </c>
      <c r="AC1032" s="9">
        <f>IF(AND($A1032&lt;&gt;"",M1032=설정!$C$20,Z1032&gt;0),Z1032+ROW()/1000000000,"")</f>
        <v/>
      </c>
      <c r="AD1032" s="94">
        <f>IF($A1032="",0,$P1032*AG1032)</f>
        <v/>
      </c>
      <c r="AE1032" s="64">
        <f>IF($A1032="","",IFERROR(INDEX(계정매핑!$E$5:$E$504,MATCH($F1032&amp;"",계정매핑!$A$5:$A$504,0))&amp;"","공통비"))</f>
        <v/>
      </c>
      <c r="AF1032" s="64">
        <f>IF($A1032="","",IF(AE1032="직접",IFERROR(INDEX(계정매핑!$F$5:$F$504,MATCH($F1032&amp;"",계정매핑!$A$5:$A$504,0))&amp;"","비귀속"),""))</f>
        <v/>
      </c>
      <c r="AG1032" s="96">
        <f>IF($A1032="",0,IF(AND(AE1032&lt;&gt;"직접",IFERROR(INDEX(계정매핑!$G$5:$G$504,MATCH($F1032&amp;"",계정매핑!$A$5:$A$504,0))&amp;"","")="유지비",COUNTIF(계정대체기준!$A$6:$A$15,$N1032)&gt;0),IFERROR(INDEX(계정대체기준!$E$6:$E$15,MATCH(VALUE($A1032&amp;""),계정대체기준!$D$6:$D$15,0)),0),0))</f>
        <v/>
      </c>
      <c r="AH1032" s="64">
        <f>IF($A1032="","",IF(AD1032=0,"",IF(OR(COUNTIF(계정대체기준!$A$77:$A$86,$N1032)&gt;0,ISNUMBER(MATCH($X1032,계정대체기준!$D$77:$D$86,0)),ISNUMBER(MATCH($F1032,계정대체기준!$D$77:$D$86,0))),"Y","N")))</f>
        <v/>
      </c>
    </row>
    <row r="1033">
      <c r="A1033" s="92" t="n">
        <v>2025</v>
      </c>
      <c r="B1033" s="92" t="n">
        <v>5</v>
      </c>
      <c r="C1033" s="92" t="inlineStr">
        <is>
          <t>5100001029</t>
        </is>
      </c>
      <c r="D1033" s="95" t="n">
        <v>45793</v>
      </c>
      <c r="E1033" s="92" t="inlineStr">
        <is>
          <t>KR</t>
        </is>
      </c>
      <c r="F1033" s="92" t="n">
        <v>62201000</v>
      </c>
      <c r="G1033" s="92" t="n">
        <v>1301</v>
      </c>
      <c r="H1033" s="93" t="n">
        <v>176000</v>
      </c>
      <c r="I1033" s="92" t="inlineStr">
        <is>
          <t>5월 통신요금 - P통신</t>
        </is>
      </c>
      <c r="J1033" s="92" t="inlineStr">
        <is>
          <t>V10014</t>
        </is>
      </c>
      <c r="K1033" s="92" t="inlineStr">
        <is>
          <t>P통신</t>
        </is>
      </c>
      <c r="M1033" s="9">
        <f>IF($A1033="","",VALUE($A1033&amp;"")*12+VALUE($B1033&amp;""))</f>
        <v/>
      </c>
      <c r="N1033" s="64">
        <f>IF($A1033="","",IFERROR(INDEX(부서매핑!$C$5:$C$504,MATCH($G1033&amp;"",부서매핑!$A$5:$A$504,0)),"미매핑"))</f>
        <v/>
      </c>
      <c r="O1033" s="9">
        <f>IF($A1033="","",N1033&amp;"|"&amp;$F1033)</f>
        <v/>
      </c>
      <c r="P1033" s="94">
        <f>IF($A1033="",0,$H1033*설정!$C$23)</f>
        <v/>
      </c>
      <c r="Q1033" s="64">
        <f>IF($A1033="","",IF(O1033&lt;&gt;원인분석!$C$9,"",IF(AND(M1033&gt;=원인분석!$C$10,M1033&lt;=원인분석!$C$11),"당기",IF(AND(M1033&gt;=원인분석!$C$12,M1033&lt;=원인분석!$C$13),"비교",""))))</f>
        <v/>
      </c>
      <c r="R1033" s="9">
        <f>IF(Q1033="","",$K1033&amp;"")</f>
        <v/>
      </c>
      <c r="S1033" s="9">
        <f>IF(Q1033="","",IF(MATCH(R1033,$R$5:$R$100000,0)=ROW()-4,ROW(),""))</f>
        <v/>
      </c>
      <c r="T1033" s="9">
        <f>IF(Q1033="당기",ABS(P1033)+ROW()/1000000000,"")</f>
        <v/>
      </c>
      <c r="U1033" s="9">
        <f>IF(Q1033="비교",ABS(P1033)+ROW()/1000000000,"")</f>
        <v/>
      </c>
      <c r="V1033" s="64">
        <f>IF($A1033="","",IF(COUNTIF(변동분석!$E$7:$E$506,O1033)&gt;0,"Y","N"))</f>
        <v/>
      </c>
      <c r="W1033" s="64">
        <f>IF($A1033="","",IFERROR(INDEX(계정매핑!$D$5:$D$504,MATCH($F1033&amp;"",계정매핑!$A$5:$A$504,0)),"미매핑"))</f>
        <v/>
      </c>
      <c r="X1033" s="9">
        <f>IF($A1033="","",$F1033&amp;"")</f>
        <v/>
      </c>
      <c r="Y1033" s="94">
        <f>IF($A1033="",0,IF(AE1033="직접",IF(AF1033="비귀속",$P1033,0),$P1033*(1-AG1033)*IFERROR(INDEX(계정대체기준!$F$20:$F$49,MATCH($N1033,계정대체기준!$A$20:$A$49,0)),1)))</f>
        <v/>
      </c>
      <c r="Z1033" s="94">
        <f>IF($A1033="",0,IF(AE1033="직접",IF(AF1033="신계약비",$P1033,0),$P1033*(1-AG1033)*IFERROR(INDEX(계정대체기준!$C$20:$C$49,MATCH($N1033,계정대체기준!$A$20:$A$49,0)),0)))</f>
        <v/>
      </c>
      <c r="AA1033" s="94">
        <f>IF($A1033="",0,IF(AE1033="직접",IF(OR(AF1033="유지비",AF1033="손해조사비"),$P1033,0),$P1033*(1-AG1033)*IFERROR(INDEX(계정대체기준!$D$20:$D$49,MATCH($N1033,계정대체기준!$A$20:$A$49,0)),0)))</f>
        <v/>
      </c>
      <c r="AB1033" s="94">
        <f>IF($A1033="",0,IF(AE1033="직접",IF(AF1033="수금비",$P1033,0),$P1033*(1-AG1033)*IFERROR(INDEX(계정대체기준!$E$20:$E$49,MATCH($N1033,계정대체기준!$A$20:$A$49,0)),0)))</f>
        <v/>
      </c>
      <c r="AC1033" s="9">
        <f>IF(AND($A1033&lt;&gt;"",M1033=설정!$C$20,Z1033&gt;0),Z1033+ROW()/1000000000,"")</f>
        <v/>
      </c>
      <c r="AD1033" s="94">
        <f>IF($A1033="",0,$P1033*AG1033)</f>
        <v/>
      </c>
      <c r="AE1033" s="64">
        <f>IF($A1033="","",IFERROR(INDEX(계정매핑!$E$5:$E$504,MATCH($F1033&amp;"",계정매핑!$A$5:$A$504,0))&amp;"","공통비"))</f>
        <v/>
      </c>
      <c r="AF1033" s="64">
        <f>IF($A1033="","",IF(AE1033="직접",IFERROR(INDEX(계정매핑!$F$5:$F$504,MATCH($F1033&amp;"",계정매핑!$A$5:$A$504,0))&amp;"","비귀속"),""))</f>
        <v/>
      </c>
      <c r="AG1033" s="96">
        <f>IF($A1033="",0,IF(AND(AE1033&lt;&gt;"직접",IFERROR(INDEX(계정매핑!$G$5:$G$504,MATCH($F1033&amp;"",계정매핑!$A$5:$A$504,0))&amp;"","")="유지비",COUNTIF(계정대체기준!$A$6:$A$15,$N1033)&gt;0),IFERROR(INDEX(계정대체기준!$E$6:$E$15,MATCH(VALUE($A1033&amp;""),계정대체기준!$D$6:$D$15,0)),0),0))</f>
        <v/>
      </c>
      <c r="AH1033" s="64">
        <f>IF($A1033="","",IF(AD1033=0,"",IF(OR(COUNTIF(계정대체기준!$A$77:$A$86,$N1033)&gt;0,ISNUMBER(MATCH($X1033,계정대체기준!$D$77:$D$86,0)),ISNUMBER(MATCH($F1033,계정대체기준!$D$77:$D$86,0))),"Y","N")))</f>
        <v/>
      </c>
    </row>
    <row r="1034">
      <c r="A1034" s="92" t="n">
        <v>2025</v>
      </c>
      <c r="B1034" s="92" t="n">
        <v>5</v>
      </c>
      <c r="C1034" s="92" t="inlineStr">
        <is>
          <t>5100001030</t>
        </is>
      </c>
      <c r="D1034" s="95" t="n">
        <v>45793</v>
      </c>
      <c r="E1034" s="92" t="inlineStr">
        <is>
          <t>KR</t>
        </is>
      </c>
      <c r="F1034" s="92" t="n">
        <v>62501000</v>
      </c>
      <c r="G1034" s="92" t="n">
        <v>1701</v>
      </c>
      <c r="H1034" s="93" t="n">
        <v>131000</v>
      </c>
      <c r="I1034" s="92" t="inlineStr">
        <is>
          <t>5월 회의 다과 - T케이터링</t>
        </is>
      </c>
      <c r="J1034" s="92" t="inlineStr">
        <is>
          <t>V10005</t>
        </is>
      </c>
      <c r="K1034" s="92" t="inlineStr">
        <is>
          <t>T케이터링</t>
        </is>
      </c>
      <c r="M1034" s="9">
        <f>IF($A1034="","",VALUE($A1034&amp;"")*12+VALUE($B1034&amp;""))</f>
        <v/>
      </c>
      <c r="N1034" s="64">
        <f>IF($A1034="","",IFERROR(INDEX(부서매핑!$C$5:$C$504,MATCH($G1034&amp;"",부서매핑!$A$5:$A$504,0)),"미매핑"))</f>
        <v/>
      </c>
      <c r="O1034" s="9">
        <f>IF($A1034="","",N1034&amp;"|"&amp;$F1034)</f>
        <v/>
      </c>
      <c r="P1034" s="94">
        <f>IF($A1034="",0,$H1034*설정!$C$23)</f>
        <v/>
      </c>
      <c r="Q1034" s="64">
        <f>IF($A1034="","",IF(O1034&lt;&gt;원인분석!$C$9,"",IF(AND(M1034&gt;=원인분석!$C$10,M1034&lt;=원인분석!$C$11),"당기",IF(AND(M1034&gt;=원인분석!$C$12,M1034&lt;=원인분석!$C$13),"비교",""))))</f>
        <v/>
      </c>
      <c r="R1034" s="9">
        <f>IF(Q1034="","",$K1034&amp;"")</f>
        <v/>
      </c>
      <c r="S1034" s="9">
        <f>IF(Q1034="","",IF(MATCH(R1034,$R$5:$R$100000,0)=ROW()-4,ROW(),""))</f>
        <v/>
      </c>
      <c r="T1034" s="9">
        <f>IF(Q1034="당기",ABS(P1034)+ROW()/1000000000,"")</f>
        <v/>
      </c>
      <c r="U1034" s="9">
        <f>IF(Q1034="비교",ABS(P1034)+ROW()/1000000000,"")</f>
        <v/>
      </c>
      <c r="V1034" s="64">
        <f>IF($A1034="","",IF(COUNTIF(변동분석!$E$7:$E$506,O1034)&gt;0,"Y","N"))</f>
        <v/>
      </c>
      <c r="W1034" s="64">
        <f>IF($A1034="","",IFERROR(INDEX(계정매핑!$D$5:$D$504,MATCH($F1034&amp;"",계정매핑!$A$5:$A$504,0)),"미매핑"))</f>
        <v/>
      </c>
      <c r="X1034" s="9">
        <f>IF($A1034="","",$F1034&amp;"")</f>
        <v/>
      </c>
      <c r="Y1034" s="94">
        <f>IF($A1034="",0,IF(AE1034="직접",IF(AF1034="비귀속",$P1034,0),$P1034*(1-AG1034)*IFERROR(INDEX(계정대체기준!$F$20:$F$49,MATCH($N1034,계정대체기준!$A$20:$A$49,0)),1)))</f>
        <v/>
      </c>
      <c r="Z1034" s="94">
        <f>IF($A1034="",0,IF(AE1034="직접",IF(AF1034="신계약비",$P1034,0),$P1034*(1-AG1034)*IFERROR(INDEX(계정대체기준!$C$20:$C$49,MATCH($N1034,계정대체기준!$A$20:$A$49,0)),0)))</f>
        <v/>
      </c>
      <c r="AA1034" s="94">
        <f>IF($A1034="",0,IF(AE1034="직접",IF(OR(AF1034="유지비",AF1034="손해조사비"),$P1034,0),$P1034*(1-AG1034)*IFERROR(INDEX(계정대체기준!$D$20:$D$49,MATCH($N1034,계정대체기준!$A$20:$A$49,0)),0)))</f>
        <v/>
      </c>
      <c r="AB1034" s="94">
        <f>IF($A1034="",0,IF(AE1034="직접",IF(AF1034="수금비",$P1034,0),$P1034*(1-AG1034)*IFERROR(INDEX(계정대체기준!$E$20:$E$49,MATCH($N1034,계정대체기준!$A$20:$A$49,0)),0)))</f>
        <v/>
      </c>
      <c r="AC1034" s="9">
        <f>IF(AND($A1034&lt;&gt;"",M1034=설정!$C$20,Z1034&gt;0),Z1034+ROW()/1000000000,"")</f>
        <v/>
      </c>
      <c r="AD1034" s="94">
        <f>IF($A1034="",0,$P1034*AG1034)</f>
        <v/>
      </c>
      <c r="AE1034" s="64">
        <f>IF($A1034="","",IFERROR(INDEX(계정매핑!$E$5:$E$504,MATCH($F1034&amp;"",계정매핑!$A$5:$A$504,0))&amp;"","공통비"))</f>
        <v/>
      </c>
      <c r="AF1034" s="64">
        <f>IF($A1034="","",IF(AE1034="직접",IFERROR(INDEX(계정매핑!$F$5:$F$504,MATCH($F1034&amp;"",계정매핑!$A$5:$A$504,0))&amp;"","비귀속"),""))</f>
        <v/>
      </c>
      <c r="AG1034" s="96">
        <f>IF($A1034="",0,IF(AND(AE1034&lt;&gt;"직접",IFERROR(INDEX(계정매핑!$G$5:$G$504,MATCH($F1034&amp;"",계정매핑!$A$5:$A$504,0))&amp;"","")="유지비",COUNTIF(계정대체기준!$A$6:$A$15,$N1034)&gt;0),IFERROR(INDEX(계정대체기준!$E$6:$E$15,MATCH(VALUE($A1034&amp;""),계정대체기준!$D$6:$D$15,0)),0),0))</f>
        <v/>
      </c>
      <c r="AH1034" s="64">
        <f>IF($A1034="","",IF(AD1034=0,"",IF(OR(COUNTIF(계정대체기준!$A$77:$A$86,$N1034)&gt;0,ISNUMBER(MATCH($X1034,계정대체기준!$D$77:$D$86,0)),ISNUMBER(MATCH($F1034,계정대체기준!$D$77:$D$86,0))),"Y","N")))</f>
        <v/>
      </c>
    </row>
    <row r="1035">
      <c r="A1035" s="92" t="n">
        <v>2025</v>
      </c>
      <c r="B1035" s="92" t="n">
        <v>5</v>
      </c>
      <c r="C1035" s="92" t="inlineStr">
        <is>
          <t>5100001031</t>
        </is>
      </c>
      <c r="D1035" s="95" t="n">
        <v>45793</v>
      </c>
      <c r="E1035" s="92" t="inlineStr">
        <is>
          <t>KR</t>
        </is>
      </c>
      <c r="F1035" s="92" t="n">
        <v>62801000</v>
      </c>
      <c r="G1035" s="92" t="n">
        <v>1301</v>
      </c>
      <c r="H1035" s="93" t="n">
        <v>4641000</v>
      </c>
      <c r="I1035" s="92" t="inlineStr">
        <is>
          <t>5월 사내교육 - U에듀</t>
        </is>
      </c>
      <c r="J1035" s="92" t="inlineStr">
        <is>
          <t>V10031</t>
        </is>
      </c>
      <c r="K1035" s="92" t="inlineStr">
        <is>
          <t>U에듀</t>
        </is>
      </c>
      <c r="M1035" s="9">
        <f>IF($A1035="","",VALUE($A1035&amp;"")*12+VALUE($B1035&amp;""))</f>
        <v/>
      </c>
      <c r="N1035" s="64">
        <f>IF($A1035="","",IFERROR(INDEX(부서매핑!$C$5:$C$504,MATCH($G1035&amp;"",부서매핑!$A$5:$A$504,0)),"미매핑"))</f>
        <v/>
      </c>
      <c r="O1035" s="9">
        <f>IF($A1035="","",N1035&amp;"|"&amp;$F1035)</f>
        <v/>
      </c>
      <c r="P1035" s="94">
        <f>IF($A1035="",0,$H1035*설정!$C$23)</f>
        <v/>
      </c>
      <c r="Q1035" s="64">
        <f>IF($A1035="","",IF(O1035&lt;&gt;원인분석!$C$9,"",IF(AND(M1035&gt;=원인분석!$C$10,M1035&lt;=원인분석!$C$11),"당기",IF(AND(M1035&gt;=원인분석!$C$12,M1035&lt;=원인분석!$C$13),"비교",""))))</f>
        <v/>
      </c>
      <c r="R1035" s="9">
        <f>IF(Q1035="","",$K1035&amp;"")</f>
        <v/>
      </c>
      <c r="S1035" s="9">
        <f>IF(Q1035="","",IF(MATCH(R1035,$R$5:$R$100000,0)=ROW()-4,ROW(),""))</f>
        <v/>
      </c>
      <c r="T1035" s="9">
        <f>IF(Q1035="당기",ABS(P1035)+ROW()/1000000000,"")</f>
        <v/>
      </c>
      <c r="U1035" s="9">
        <f>IF(Q1035="비교",ABS(P1035)+ROW()/1000000000,"")</f>
        <v/>
      </c>
      <c r="V1035" s="64">
        <f>IF($A1035="","",IF(COUNTIF(변동분석!$E$7:$E$506,O1035)&gt;0,"Y","N"))</f>
        <v/>
      </c>
      <c r="W1035" s="64">
        <f>IF($A1035="","",IFERROR(INDEX(계정매핑!$D$5:$D$504,MATCH($F1035&amp;"",계정매핑!$A$5:$A$504,0)),"미매핑"))</f>
        <v/>
      </c>
      <c r="X1035" s="9">
        <f>IF($A1035="","",$F1035&amp;"")</f>
        <v/>
      </c>
      <c r="Y1035" s="94">
        <f>IF($A1035="",0,IF(AE1035="직접",IF(AF1035="비귀속",$P1035,0),$P1035*(1-AG1035)*IFERROR(INDEX(계정대체기준!$F$20:$F$49,MATCH($N1035,계정대체기준!$A$20:$A$49,0)),1)))</f>
        <v/>
      </c>
      <c r="Z1035" s="94">
        <f>IF($A1035="",0,IF(AE1035="직접",IF(AF1035="신계약비",$P1035,0),$P1035*(1-AG1035)*IFERROR(INDEX(계정대체기준!$C$20:$C$49,MATCH($N1035,계정대체기준!$A$20:$A$49,0)),0)))</f>
        <v/>
      </c>
      <c r="AA1035" s="94">
        <f>IF($A1035="",0,IF(AE1035="직접",IF(OR(AF1035="유지비",AF1035="손해조사비"),$P1035,0),$P1035*(1-AG1035)*IFERROR(INDEX(계정대체기준!$D$20:$D$49,MATCH($N1035,계정대체기준!$A$20:$A$49,0)),0)))</f>
        <v/>
      </c>
      <c r="AB1035" s="94">
        <f>IF($A1035="",0,IF(AE1035="직접",IF(AF1035="수금비",$P1035,0),$P1035*(1-AG1035)*IFERROR(INDEX(계정대체기준!$E$20:$E$49,MATCH($N1035,계정대체기준!$A$20:$A$49,0)),0)))</f>
        <v/>
      </c>
      <c r="AC1035" s="9">
        <f>IF(AND($A1035&lt;&gt;"",M1035=설정!$C$20,Z1035&gt;0),Z1035+ROW()/1000000000,"")</f>
        <v/>
      </c>
      <c r="AD1035" s="94">
        <f>IF($A1035="",0,$P1035*AG1035)</f>
        <v/>
      </c>
      <c r="AE1035" s="64">
        <f>IF($A1035="","",IFERROR(INDEX(계정매핑!$E$5:$E$504,MATCH($F1035&amp;"",계정매핑!$A$5:$A$504,0))&amp;"","공통비"))</f>
        <v/>
      </c>
      <c r="AF1035" s="64">
        <f>IF($A1035="","",IF(AE1035="직접",IFERROR(INDEX(계정매핑!$F$5:$F$504,MATCH($F1035&amp;"",계정매핑!$A$5:$A$504,0))&amp;"","비귀속"),""))</f>
        <v/>
      </c>
      <c r="AG1035" s="96">
        <f>IF($A1035="",0,IF(AND(AE1035&lt;&gt;"직접",IFERROR(INDEX(계정매핑!$G$5:$G$504,MATCH($F1035&amp;"",계정매핑!$A$5:$A$504,0))&amp;"","")="유지비",COUNTIF(계정대체기준!$A$6:$A$15,$N1035)&gt;0),IFERROR(INDEX(계정대체기준!$E$6:$E$15,MATCH(VALUE($A1035&amp;""),계정대체기준!$D$6:$D$15,0)),0),0))</f>
        <v/>
      </c>
      <c r="AH1035" s="64">
        <f>IF($A1035="","",IF(AD1035=0,"",IF(OR(COUNTIF(계정대체기준!$A$77:$A$86,$N1035)&gt;0,ISNUMBER(MATCH($X1035,계정대체기준!$D$77:$D$86,0)),ISNUMBER(MATCH($F1035,계정대체기준!$D$77:$D$86,0))),"Y","N")))</f>
        <v/>
      </c>
    </row>
    <row r="1036">
      <c r="A1036" s="92" t="n">
        <v>2025</v>
      </c>
      <c r="B1036" s="92" t="n">
        <v>5</v>
      </c>
      <c r="C1036" s="92" t="inlineStr">
        <is>
          <t>5100001032</t>
        </is>
      </c>
      <c r="D1036" s="95" t="n">
        <v>45793</v>
      </c>
      <c r="E1036" s="92" t="inlineStr">
        <is>
          <t>KR</t>
        </is>
      </c>
      <c r="F1036" s="92" t="n">
        <v>63201000</v>
      </c>
      <c r="G1036" s="92" t="n">
        <v>1602</v>
      </c>
      <c r="H1036" s="93" t="n">
        <v>5404000</v>
      </c>
      <c r="I1036" s="92" t="inlineStr">
        <is>
          <t>5월 차량 유지 - D정비</t>
        </is>
      </c>
      <c r="J1036" s="92" t="inlineStr">
        <is>
          <t>V10025</t>
        </is>
      </c>
      <c r="K1036" s="92" t="inlineStr">
        <is>
          <t>D정비</t>
        </is>
      </c>
      <c r="M1036" s="9">
        <f>IF($A1036="","",VALUE($A1036&amp;"")*12+VALUE($B1036&amp;""))</f>
        <v/>
      </c>
      <c r="N1036" s="64">
        <f>IF($A1036="","",IFERROR(INDEX(부서매핑!$C$5:$C$504,MATCH($G1036&amp;"",부서매핑!$A$5:$A$504,0)),"미매핑"))</f>
        <v/>
      </c>
      <c r="O1036" s="9">
        <f>IF($A1036="","",N1036&amp;"|"&amp;$F1036)</f>
        <v/>
      </c>
      <c r="P1036" s="94">
        <f>IF($A1036="",0,$H1036*설정!$C$23)</f>
        <v/>
      </c>
      <c r="Q1036" s="64">
        <f>IF($A1036="","",IF(O1036&lt;&gt;원인분석!$C$9,"",IF(AND(M1036&gt;=원인분석!$C$10,M1036&lt;=원인분석!$C$11),"당기",IF(AND(M1036&gt;=원인분석!$C$12,M1036&lt;=원인분석!$C$13),"비교",""))))</f>
        <v/>
      </c>
      <c r="R1036" s="9">
        <f>IF(Q1036="","",$K1036&amp;"")</f>
        <v/>
      </c>
      <c r="S1036" s="9">
        <f>IF(Q1036="","",IF(MATCH(R1036,$R$5:$R$100000,0)=ROW()-4,ROW(),""))</f>
        <v/>
      </c>
      <c r="T1036" s="9">
        <f>IF(Q1036="당기",ABS(P1036)+ROW()/1000000000,"")</f>
        <v/>
      </c>
      <c r="U1036" s="9">
        <f>IF(Q1036="비교",ABS(P1036)+ROW()/1000000000,"")</f>
        <v/>
      </c>
      <c r="V1036" s="64">
        <f>IF($A1036="","",IF(COUNTIF(변동분석!$E$7:$E$506,O1036)&gt;0,"Y","N"))</f>
        <v/>
      </c>
      <c r="W1036" s="64">
        <f>IF($A1036="","",IFERROR(INDEX(계정매핑!$D$5:$D$504,MATCH($F1036&amp;"",계정매핑!$A$5:$A$504,0)),"미매핑"))</f>
        <v/>
      </c>
      <c r="X1036" s="9">
        <f>IF($A1036="","",$F1036&amp;"")</f>
        <v/>
      </c>
      <c r="Y1036" s="94">
        <f>IF($A1036="",0,IF(AE1036="직접",IF(AF1036="비귀속",$P1036,0),$P1036*(1-AG1036)*IFERROR(INDEX(계정대체기준!$F$20:$F$49,MATCH($N1036,계정대체기준!$A$20:$A$49,0)),1)))</f>
        <v/>
      </c>
      <c r="Z1036" s="94">
        <f>IF($A1036="",0,IF(AE1036="직접",IF(AF1036="신계약비",$P1036,0),$P1036*(1-AG1036)*IFERROR(INDEX(계정대체기준!$C$20:$C$49,MATCH($N1036,계정대체기준!$A$20:$A$49,0)),0)))</f>
        <v/>
      </c>
      <c r="AA1036" s="94">
        <f>IF($A1036="",0,IF(AE1036="직접",IF(OR(AF1036="유지비",AF1036="손해조사비"),$P1036,0),$P1036*(1-AG1036)*IFERROR(INDEX(계정대체기준!$D$20:$D$49,MATCH($N1036,계정대체기준!$A$20:$A$49,0)),0)))</f>
        <v/>
      </c>
      <c r="AB1036" s="94">
        <f>IF($A1036="",0,IF(AE1036="직접",IF(AF1036="수금비",$P1036,0),$P1036*(1-AG1036)*IFERROR(INDEX(계정대체기준!$E$20:$E$49,MATCH($N1036,계정대체기준!$A$20:$A$49,0)),0)))</f>
        <v/>
      </c>
      <c r="AC1036" s="9">
        <f>IF(AND($A1036&lt;&gt;"",M1036=설정!$C$20,Z1036&gt;0),Z1036+ROW()/1000000000,"")</f>
        <v/>
      </c>
      <c r="AD1036" s="94">
        <f>IF($A1036="",0,$P1036*AG1036)</f>
        <v/>
      </c>
      <c r="AE1036" s="64">
        <f>IF($A1036="","",IFERROR(INDEX(계정매핑!$E$5:$E$504,MATCH($F1036&amp;"",계정매핑!$A$5:$A$504,0))&amp;"","공통비"))</f>
        <v/>
      </c>
      <c r="AF1036" s="64">
        <f>IF($A1036="","",IF(AE1036="직접",IFERROR(INDEX(계정매핑!$F$5:$F$504,MATCH($F1036&amp;"",계정매핑!$A$5:$A$504,0))&amp;"","비귀속"),""))</f>
        <v/>
      </c>
      <c r="AG1036" s="96">
        <f>IF($A1036="",0,IF(AND(AE1036&lt;&gt;"직접",IFERROR(INDEX(계정매핑!$G$5:$G$504,MATCH($F1036&amp;"",계정매핑!$A$5:$A$504,0))&amp;"","")="유지비",COUNTIF(계정대체기준!$A$6:$A$15,$N1036)&gt;0),IFERROR(INDEX(계정대체기준!$E$6:$E$15,MATCH(VALUE($A1036&amp;""),계정대체기준!$D$6:$D$15,0)),0),0))</f>
        <v/>
      </c>
      <c r="AH1036" s="64">
        <f>IF($A1036="","",IF(AD1036=0,"",IF(OR(COUNTIF(계정대체기준!$A$77:$A$86,$N1036)&gt;0,ISNUMBER(MATCH($X1036,계정대체기준!$D$77:$D$86,0)),ISNUMBER(MATCH($F1036,계정대체기준!$D$77:$D$86,0))),"Y","N")))</f>
        <v/>
      </c>
    </row>
    <row r="1037">
      <c r="A1037" s="92" t="n">
        <v>2025</v>
      </c>
      <c r="B1037" s="92" t="n">
        <v>5</v>
      </c>
      <c r="C1037" s="92" t="inlineStr">
        <is>
          <t>5100001033</t>
        </is>
      </c>
      <c r="D1037" s="95" t="n">
        <v>45794</v>
      </c>
      <c r="E1037" s="92" t="inlineStr">
        <is>
          <t>KR</t>
        </is>
      </c>
      <c r="F1037" s="92" t="n">
        <v>62101000</v>
      </c>
      <c r="G1037" s="92" t="n">
        <v>1101</v>
      </c>
      <c r="H1037" s="93" t="n">
        <v>428000</v>
      </c>
      <c r="I1037" s="92" t="inlineStr">
        <is>
          <t>5월 국내출장 - L여행사</t>
        </is>
      </c>
      <c r="J1037" s="92" t="inlineStr">
        <is>
          <t>V10018</t>
        </is>
      </c>
      <c r="K1037" s="92" t="inlineStr">
        <is>
          <t>L여행사</t>
        </is>
      </c>
      <c r="M1037" s="9">
        <f>IF($A1037="","",VALUE($A1037&amp;"")*12+VALUE($B1037&amp;""))</f>
        <v/>
      </c>
      <c r="N1037" s="64">
        <f>IF($A1037="","",IFERROR(INDEX(부서매핑!$C$5:$C$504,MATCH($G1037&amp;"",부서매핑!$A$5:$A$504,0)),"미매핑"))</f>
        <v/>
      </c>
      <c r="O1037" s="9">
        <f>IF($A1037="","",N1037&amp;"|"&amp;$F1037)</f>
        <v/>
      </c>
      <c r="P1037" s="94">
        <f>IF($A1037="",0,$H1037*설정!$C$23)</f>
        <v/>
      </c>
      <c r="Q1037" s="64">
        <f>IF($A1037="","",IF(O1037&lt;&gt;원인분석!$C$9,"",IF(AND(M1037&gt;=원인분석!$C$10,M1037&lt;=원인분석!$C$11),"당기",IF(AND(M1037&gt;=원인분석!$C$12,M1037&lt;=원인분석!$C$13),"비교",""))))</f>
        <v/>
      </c>
      <c r="R1037" s="9">
        <f>IF(Q1037="","",$K1037&amp;"")</f>
        <v/>
      </c>
      <c r="S1037" s="9">
        <f>IF(Q1037="","",IF(MATCH(R1037,$R$5:$R$100000,0)=ROW()-4,ROW(),""))</f>
        <v/>
      </c>
      <c r="T1037" s="9">
        <f>IF(Q1037="당기",ABS(P1037)+ROW()/1000000000,"")</f>
        <v/>
      </c>
      <c r="U1037" s="9">
        <f>IF(Q1037="비교",ABS(P1037)+ROW()/1000000000,"")</f>
        <v/>
      </c>
      <c r="V1037" s="64">
        <f>IF($A1037="","",IF(COUNTIF(변동분석!$E$7:$E$506,O1037)&gt;0,"Y","N"))</f>
        <v/>
      </c>
      <c r="W1037" s="64">
        <f>IF($A1037="","",IFERROR(INDEX(계정매핑!$D$5:$D$504,MATCH($F1037&amp;"",계정매핑!$A$5:$A$504,0)),"미매핑"))</f>
        <v/>
      </c>
      <c r="X1037" s="9">
        <f>IF($A1037="","",$F1037&amp;"")</f>
        <v/>
      </c>
      <c r="Y1037" s="94">
        <f>IF($A1037="",0,IF(AE1037="직접",IF(AF1037="비귀속",$P1037,0),$P1037*(1-AG1037)*IFERROR(INDEX(계정대체기준!$F$20:$F$49,MATCH($N1037,계정대체기준!$A$20:$A$49,0)),1)))</f>
        <v/>
      </c>
      <c r="Z1037" s="94">
        <f>IF($A1037="",0,IF(AE1037="직접",IF(AF1037="신계약비",$P1037,0),$P1037*(1-AG1037)*IFERROR(INDEX(계정대체기준!$C$20:$C$49,MATCH($N1037,계정대체기준!$A$20:$A$49,0)),0)))</f>
        <v/>
      </c>
      <c r="AA1037" s="94">
        <f>IF($A1037="",0,IF(AE1037="직접",IF(OR(AF1037="유지비",AF1037="손해조사비"),$P1037,0),$P1037*(1-AG1037)*IFERROR(INDEX(계정대체기준!$D$20:$D$49,MATCH($N1037,계정대체기준!$A$20:$A$49,0)),0)))</f>
        <v/>
      </c>
      <c r="AB1037" s="94">
        <f>IF($A1037="",0,IF(AE1037="직접",IF(AF1037="수금비",$P1037,0),$P1037*(1-AG1037)*IFERROR(INDEX(계정대체기준!$E$20:$E$49,MATCH($N1037,계정대체기준!$A$20:$A$49,0)),0)))</f>
        <v/>
      </c>
      <c r="AC1037" s="9">
        <f>IF(AND($A1037&lt;&gt;"",M1037=설정!$C$20,Z1037&gt;0),Z1037+ROW()/1000000000,"")</f>
        <v/>
      </c>
      <c r="AD1037" s="94">
        <f>IF($A1037="",0,$P1037*AG1037)</f>
        <v/>
      </c>
      <c r="AE1037" s="64">
        <f>IF($A1037="","",IFERROR(INDEX(계정매핑!$E$5:$E$504,MATCH($F1037&amp;"",계정매핑!$A$5:$A$504,0))&amp;"","공통비"))</f>
        <v/>
      </c>
      <c r="AF1037" s="64">
        <f>IF($A1037="","",IF(AE1037="직접",IFERROR(INDEX(계정매핑!$F$5:$F$504,MATCH($F1037&amp;"",계정매핑!$A$5:$A$504,0))&amp;"","비귀속"),""))</f>
        <v/>
      </c>
      <c r="AG1037" s="96">
        <f>IF($A1037="",0,IF(AND(AE1037&lt;&gt;"직접",IFERROR(INDEX(계정매핑!$G$5:$G$504,MATCH($F1037&amp;"",계정매핑!$A$5:$A$504,0))&amp;"","")="유지비",COUNTIF(계정대체기준!$A$6:$A$15,$N1037)&gt;0),IFERROR(INDEX(계정대체기준!$E$6:$E$15,MATCH(VALUE($A1037&amp;""),계정대체기준!$D$6:$D$15,0)),0),0))</f>
        <v/>
      </c>
      <c r="AH1037" s="64">
        <f>IF($A1037="","",IF(AD1037=0,"",IF(OR(COUNTIF(계정대체기준!$A$77:$A$86,$N1037)&gt;0,ISNUMBER(MATCH($X1037,계정대체기준!$D$77:$D$86,0)),ISNUMBER(MATCH($F1037,계정대체기준!$D$77:$D$86,0))),"Y","N")))</f>
        <v/>
      </c>
    </row>
    <row r="1038">
      <c r="A1038" s="92" t="n">
        <v>2025</v>
      </c>
      <c r="B1038" s="92" t="n">
        <v>5</v>
      </c>
      <c r="C1038" s="92" t="inlineStr">
        <is>
          <t>5100001034</t>
        </is>
      </c>
      <c r="D1038" s="95" t="n">
        <v>45794</v>
      </c>
      <c r="E1038" s="92" t="inlineStr">
        <is>
          <t>KR</t>
        </is>
      </c>
      <c r="F1038" s="92" t="n">
        <v>62101000</v>
      </c>
      <c r="G1038" s="92" t="n">
        <v>1201</v>
      </c>
      <c r="H1038" s="93" t="n">
        <v>186000</v>
      </c>
      <c r="I1038" s="92" t="inlineStr">
        <is>
          <t>5월 국내출장 - L여행사</t>
        </is>
      </c>
      <c r="J1038" s="92" t="inlineStr">
        <is>
          <t>V10018</t>
        </is>
      </c>
      <c r="K1038" s="92" t="inlineStr">
        <is>
          <t>L여행사</t>
        </is>
      </c>
      <c r="M1038" s="9">
        <f>IF($A1038="","",VALUE($A1038&amp;"")*12+VALUE($B1038&amp;""))</f>
        <v/>
      </c>
      <c r="N1038" s="64">
        <f>IF($A1038="","",IFERROR(INDEX(부서매핑!$C$5:$C$504,MATCH($G1038&amp;"",부서매핑!$A$5:$A$504,0)),"미매핑"))</f>
        <v/>
      </c>
      <c r="O1038" s="9">
        <f>IF($A1038="","",N1038&amp;"|"&amp;$F1038)</f>
        <v/>
      </c>
      <c r="P1038" s="94">
        <f>IF($A1038="",0,$H1038*설정!$C$23)</f>
        <v/>
      </c>
      <c r="Q1038" s="64">
        <f>IF($A1038="","",IF(O1038&lt;&gt;원인분석!$C$9,"",IF(AND(M1038&gt;=원인분석!$C$10,M1038&lt;=원인분석!$C$11),"당기",IF(AND(M1038&gt;=원인분석!$C$12,M1038&lt;=원인분석!$C$13),"비교",""))))</f>
        <v/>
      </c>
      <c r="R1038" s="9">
        <f>IF(Q1038="","",$K1038&amp;"")</f>
        <v/>
      </c>
      <c r="S1038" s="9">
        <f>IF(Q1038="","",IF(MATCH(R1038,$R$5:$R$100000,0)=ROW()-4,ROW(),""))</f>
        <v/>
      </c>
      <c r="T1038" s="9">
        <f>IF(Q1038="당기",ABS(P1038)+ROW()/1000000000,"")</f>
        <v/>
      </c>
      <c r="U1038" s="9">
        <f>IF(Q1038="비교",ABS(P1038)+ROW()/1000000000,"")</f>
        <v/>
      </c>
      <c r="V1038" s="64">
        <f>IF($A1038="","",IF(COUNTIF(변동분석!$E$7:$E$506,O1038)&gt;0,"Y","N"))</f>
        <v/>
      </c>
      <c r="W1038" s="64">
        <f>IF($A1038="","",IFERROR(INDEX(계정매핑!$D$5:$D$504,MATCH($F1038&amp;"",계정매핑!$A$5:$A$504,0)),"미매핑"))</f>
        <v/>
      </c>
      <c r="X1038" s="9">
        <f>IF($A1038="","",$F1038&amp;"")</f>
        <v/>
      </c>
      <c r="Y1038" s="94">
        <f>IF($A1038="",0,IF(AE1038="직접",IF(AF1038="비귀속",$P1038,0),$P1038*(1-AG1038)*IFERROR(INDEX(계정대체기준!$F$20:$F$49,MATCH($N1038,계정대체기준!$A$20:$A$49,0)),1)))</f>
        <v/>
      </c>
      <c r="Z1038" s="94">
        <f>IF($A1038="",0,IF(AE1038="직접",IF(AF1038="신계약비",$P1038,0),$P1038*(1-AG1038)*IFERROR(INDEX(계정대체기준!$C$20:$C$49,MATCH($N1038,계정대체기준!$A$20:$A$49,0)),0)))</f>
        <v/>
      </c>
      <c r="AA1038" s="94">
        <f>IF($A1038="",0,IF(AE1038="직접",IF(OR(AF1038="유지비",AF1038="손해조사비"),$P1038,0),$P1038*(1-AG1038)*IFERROR(INDEX(계정대체기준!$D$20:$D$49,MATCH($N1038,계정대체기준!$A$20:$A$49,0)),0)))</f>
        <v/>
      </c>
      <c r="AB1038" s="94">
        <f>IF($A1038="",0,IF(AE1038="직접",IF(AF1038="수금비",$P1038,0),$P1038*(1-AG1038)*IFERROR(INDEX(계정대체기준!$E$20:$E$49,MATCH($N1038,계정대체기준!$A$20:$A$49,0)),0)))</f>
        <v/>
      </c>
      <c r="AC1038" s="9">
        <f>IF(AND($A1038&lt;&gt;"",M1038=설정!$C$20,Z1038&gt;0),Z1038+ROW()/1000000000,"")</f>
        <v/>
      </c>
      <c r="AD1038" s="94">
        <f>IF($A1038="",0,$P1038*AG1038)</f>
        <v/>
      </c>
      <c r="AE1038" s="64">
        <f>IF($A1038="","",IFERROR(INDEX(계정매핑!$E$5:$E$504,MATCH($F1038&amp;"",계정매핑!$A$5:$A$504,0))&amp;"","공통비"))</f>
        <v/>
      </c>
      <c r="AF1038" s="64">
        <f>IF($A1038="","",IF(AE1038="직접",IFERROR(INDEX(계정매핑!$F$5:$F$504,MATCH($F1038&amp;"",계정매핑!$A$5:$A$504,0))&amp;"","비귀속"),""))</f>
        <v/>
      </c>
      <c r="AG1038" s="96">
        <f>IF($A1038="",0,IF(AND(AE1038&lt;&gt;"직접",IFERROR(INDEX(계정매핑!$G$5:$G$504,MATCH($F1038&amp;"",계정매핑!$A$5:$A$504,0))&amp;"","")="유지비",COUNTIF(계정대체기준!$A$6:$A$15,$N1038)&gt;0),IFERROR(INDEX(계정대체기준!$E$6:$E$15,MATCH(VALUE($A1038&amp;""),계정대체기준!$D$6:$D$15,0)),0),0))</f>
        <v/>
      </c>
      <c r="AH1038" s="64">
        <f>IF($A1038="","",IF(AD1038=0,"",IF(OR(COUNTIF(계정대체기준!$A$77:$A$86,$N1038)&gt;0,ISNUMBER(MATCH($X1038,계정대체기준!$D$77:$D$86,0)),ISNUMBER(MATCH($F1038,계정대체기준!$D$77:$D$86,0))),"Y","N")))</f>
        <v/>
      </c>
    </row>
    <row r="1039">
      <c r="A1039" s="92" t="n">
        <v>2025</v>
      </c>
      <c r="B1039" s="92" t="n">
        <v>5</v>
      </c>
      <c r="C1039" s="92" t="inlineStr">
        <is>
          <t>5100001035</t>
        </is>
      </c>
      <c r="D1039" s="95" t="n">
        <v>45794</v>
      </c>
      <c r="E1039" s="92" t="inlineStr">
        <is>
          <t>KR</t>
        </is>
      </c>
      <c r="F1039" s="92" t="n">
        <v>62101000</v>
      </c>
      <c r="G1039" s="92" t="n">
        <v>1701</v>
      </c>
      <c r="H1039" s="93" t="n">
        <v>173000</v>
      </c>
      <c r="I1039" s="92" t="inlineStr">
        <is>
          <t>5월 국내출장 - M항공</t>
        </is>
      </c>
      <c r="J1039" s="92" t="inlineStr">
        <is>
          <t>V10001</t>
        </is>
      </c>
      <c r="K1039" s="92" t="inlineStr">
        <is>
          <t>M항공</t>
        </is>
      </c>
      <c r="M1039" s="9">
        <f>IF($A1039="","",VALUE($A1039&amp;"")*12+VALUE($B1039&amp;""))</f>
        <v/>
      </c>
      <c r="N1039" s="64">
        <f>IF($A1039="","",IFERROR(INDEX(부서매핑!$C$5:$C$504,MATCH($G1039&amp;"",부서매핑!$A$5:$A$504,0)),"미매핑"))</f>
        <v/>
      </c>
      <c r="O1039" s="9">
        <f>IF($A1039="","",N1039&amp;"|"&amp;$F1039)</f>
        <v/>
      </c>
      <c r="P1039" s="94">
        <f>IF($A1039="",0,$H1039*설정!$C$23)</f>
        <v/>
      </c>
      <c r="Q1039" s="64">
        <f>IF($A1039="","",IF(O1039&lt;&gt;원인분석!$C$9,"",IF(AND(M1039&gt;=원인분석!$C$10,M1039&lt;=원인분석!$C$11),"당기",IF(AND(M1039&gt;=원인분석!$C$12,M1039&lt;=원인분석!$C$13),"비교",""))))</f>
        <v/>
      </c>
      <c r="R1039" s="9">
        <f>IF(Q1039="","",$K1039&amp;"")</f>
        <v/>
      </c>
      <c r="S1039" s="9">
        <f>IF(Q1039="","",IF(MATCH(R1039,$R$5:$R$100000,0)=ROW()-4,ROW(),""))</f>
        <v/>
      </c>
      <c r="T1039" s="9">
        <f>IF(Q1039="당기",ABS(P1039)+ROW()/1000000000,"")</f>
        <v/>
      </c>
      <c r="U1039" s="9">
        <f>IF(Q1039="비교",ABS(P1039)+ROW()/1000000000,"")</f>
        <v/>
      </c>
      <c r="V1039" s="64">
        <f>IF($A1039="","",IF(COUNTIF(변동분석!$E$7:$E$506,O1039)&gt;0,"Y","N"))</f>
        <v/>
      </c>
      <c r="W1039" s="64">
        <f>IF($A1039="","",IFERROR(INDEX(계정매핑!$D$5:$D$504,MATCH($F1039&amp;"",계정매핑!$A$5:$A$504,0)),"미매핑"))</f>
        <v/>
      </c>
      <c r="X1039" s="9">
        <f>IF($A1039="","",$F1039&amp;"")</f>
        <v/>
      </c>
      <c r="Y1039" s="94">
        <f>IF($A1039="",0,IF(AE1039="직접",IF(AF1039="비귀속",$P1039,0),$P1039*(1-AG1039)*IFERROR(INDEX(계정대체기준!$F$20:$F$49,MATCH($N1039,계정대체기준!$A$20:$A$49,0)),1)))</f>
        <v/>
      </c>
      <c r="Z1039" s="94">
        <f>IF($A1039="",0,IF(AE1039="직접",IF(AF1039="신계약비",$P1039,0),$P1039*(1-AG1039)*IFERROR(INDEX(계정대체기준!$C$20:$C$49,MATCH($N1039,계정대체기준!$A$20:$A$49,0)),0)))</f>
        <v/>
      </c>
      <c r="AA1039" s="94">
        <f>IF($A1039="",0,IF(AE1039="직접",IF(OR(AF1039="유지비",AF1039="손해조사비"),$P1039,0),$P1039*(1-AG1039)*IFERROR(INDEX(계정대체기준!$D$20:$D$49,MATCH($N1039,계정대체기준!$A$20:$A$49,0)),0)))</f>
        <v/>
      </c>
      <c r="AB1039" s="94">
        <f>IF($A1039="",0,IF(AE1039="직접",IF(AF1039="수금비",$P1039,0),$P1039*(1-AG1039)*IFERROR(INDEX(계정대체기준!$E$20:$E$49,MATCH($N1039,계정대체기준!$A$20:$A$49,0)),0)))</f>
        <v/>
      </c>
      <c r="AC1039" s="9">
        <f>IF(AND($A1039&lt;&gt;"",M1039=설정!$C$20,Z1039&gt;0),Z1039+ROW()/1000000000,"")</f>
        <v/>
      </c>
      <c r="AD1039" s="94">
        <f>IF($A1039="",0,$P1039*AG1039)</f>
        <v/>
      </c>
      <c r="AE1039" s="64">
        <f>IF($A1039="","",IFERROR(INDEX(계정매핑!$E$5:$E$504,MATCH($F1039&amp;"",계정매핑!$A$5:$A$504,0))&amp;"","공통비"))</f>
        <v/>
      </c>
      <c r="AF1039" s="64">
        <f>IF($A1039="","",IF(AE1039="직접",IFERROR(INDEX(계정매핑!$F$5:$F$504,MATCH($F1039&amp;"",계정매핑!$A$5:$A$504,0))&amp;"","비귀속"),""))</f>
        <v/>
      </c>
      <c r="AG1039" s="96">
        <f>IF($A1039="",0,IF(AND(AE1039&lt;&gt;"직접",IFERROR(INDEX(계정매핑!$G$5:$G$504,MATCH($F1039&amp;"",계정매핑!$A$5:$A$504,0))&amp;"","")="유지비",COUNTIF(계정대체기준!$A$6:$A$15,$N1039)&gt;0),IFERROR(INDEX(계정대체기준!$E$6:$E$15,MATCH(VALUE($A1039&amp;""),계정대체기준!$D$6:$D$15,0)),0),0))</f>
        <v/>
      </c>
      <c r="AH1039" s="64">
        <f>IF($A1039="","",IF(AD1039=0,"",IF(OR(COUNTIF(계정대체기준!$A$77:$A$86,$N1039)&gt;0,ISNUMBER(MATCH($X1039,계정대체기준!$D$77:$D$86,0)),ISNUMBER(MATCH($F1039,계정대체기준!$D$77:$D$86,0))),"Y","N")))</f>
        <v/>
      </c>
    </row>
    <row r="1040">
      <c r="A1040" s="92" t="n">
        <v>2025</v>
      </c>
      <c r="B1040" s="92" t="n">
        <v>5</v>
      </c>
      <c r="C1040" s="92" t="inlineStr">
        <is>
          <t>5100001036</t>
        </is>
      </c>
      <c r="D1040" s="95" t="n">
        <v>45794</v>
      </c>
      <c r="E1040" s="92" t="inlineStr">
        <is>
          <t>KR</t>
        </is>
      </c>
      <c r="F1040" s="92" t="n">
        <v>62102000</v>
      </c>
      <c r="G1040" s="92" t="n">
        <v>1201</v>
      </c>
      <c r="H1040" s="93" t="n">
        <v>61000</v>
      </c>
      <c r="I1040" s="92" t="inlineStr">
        <is>
          <t>5월 해외출장 - M항공</t>
        </is>
      </c>
      <c r="J1040" s="92" t="inlineStr">
        <is>
          <t>V10001</t>
        </is>
      </c>
      <c r="K1040" s="92" t="inlineStr">
        <is>
          <t>M항공</t>
        </is>
      </c>
      <c r="M1040" s="9">
        <f>IF($A1040="","",VALUE($A1040&amp;"")*12+VALUE($B1040&amp;""))</f>
        <v/>
      </c>
      <c r="N1040" s="64">
        <f>IF($A1040="","",IFERROR(INDEX(부서매핑!$C$5:$C$504,MATCH($G1040&amp;"",부서매핑!$A$5:$A$504,0)),"미매핑"))</f>
        <v/>
      </c>
      <c r="O1040" s="9">
        <f>IF($A1040="","",N1040&amp;"|"&amp;$F1040)</f>
        <v/>
      </c>
      <c r="P1040" s="94">
        <f>IF($A1040="",0,$H1040*설정!$C$23)</f>
        <v/>
      </c>
      <c r="Q1040" s="64">
        <f>IF($A1040="","",IF(O1040&lt;&gt;원인분석!$C$9,"",IF(AND(M1040&gt;=원인분석!$C$10,M1040&lt;=원인분석!$C$11),"당기",IF(AND(M1040&gt;=원인분석!$C$12,M1040&lt;=원인분석!$C$13),"비교",""))))</f>
        <v/>
      </c>
      <c r="R1040" s="9">
        <f>IF(Q1040="","",$K1040&amp;"")</f>
        <v/>
      </c>
      <c r="S1040" s="9">
        <f>IF(Q1040="","",IF(MATCH(R1040,$R$5:$R$100000,0)=ROW()-4,ROW(),""))</f>
        <v/>
      </c>
      <c r="T1040" s="9">
        <f>IF(Q1040="당기",ABS(P1040)+ROW()/1000000000,"")</f>
        <v/>
      </c>
      <c r="U1040" s="9">
        <f>IF(Q1040="비교",ABS(P1040)+ROW()/1000000000,"")</f>
        <v/>
      </c>
      <c r="V1040" s="64">
        <f>IF($A1040="","",IF(COUNTIF(변동분석!$E$7:$E$506,O1040)&gt;0,"Y","N"))</f>
        <v/>
      </c>
      <c r="W1040" s="64">
        <f>IF($A1040="","",IFERROR(INDEX(계정매핑!$D$5:$D$504,MATCH($F1040&amp;"",계정매핑!$A$5:$A$504,0)),"미매핑"))</f>
        <v/>
      </c>
      <c r="X1040" s="9">
        <f>IF($A1040="","",$F1040&amp;"")</f>
        <v/>
      </c>
      <c r="Y1040" s="94">
        <f>IF($A1040="",0,IF(AE1040="직접",IF(AF1040="비귀속",$P1040,0),$P1040*(1-AG1040)*IFERROR(INDEX(계정대체기준!$F$20:$F$49,MATCH($N1040,계정대체기준!$A$20:$A$49,0)),1)))</f>
        <v/>
      </c>
      <c r="Z1040" s="94">
        <f>IF($A1040="",0,IF(AE1040="직접",IF(AF1040="신계약비",$P1040,0),$P1040*(1-AG1040)*IFERROR(INDEX(계정대체기준!$C$20:$C$49,MATCH($N1040,계정대체기준!$A$20:$A$49,0)),0)))</f>
        <v/>
      </c>
      <c r="AA1040" s="94">
        <f>IF($A1040="",0,IF(AE1040="직접",IF(OR(AF1040="유지비",AF1040="손해조사비"),$P1040,0),$P1040*(1-AG1040)*IFERROR(INDEX(계정대체기준!$D$20:$D$49,MATCH($N1040,계정대체기준!$A$20:$A$49,0)),0)))</f>
        <v/>
      </c>
      <c r="AB1040" s="94">
        <f>IF($A1040="",0,IF(AE1040="직접",IF(AF1040="수금비",$P1040,0),$P1040*(1-AG1040)*IFERROR(INDEX(계정대체기준!$E$20:$E$49,MATCH($N1040,계정대체기준!$A$20:$A$49,0)),0)))</f>
        <v/>
      </c>
      <c r="AC1040" s="9">
        <f>IF(AND($A1040&lt;&gt;"",M1040=설정!$C$20,Z1040&gt;0),Z1040+ROW()/1000000000,"")</f>
        <v/>
      </c>
      <c r="AD1040" s="94">
        <f>IF($A1040="",0,$P1040*AG1040)</f>
        <v/>
      </c>
      <c r="AE1040" s="64">
        <f>IF($A1040="","",IFERROR(INDEX(계정매핑!$E$5:$E$504,MATCH($F1040&amp;"",계정매핑!$A$5:$A$504,0))&amp;"","공통비"))</f>
        <v/>
      </c>
      <c r="AF1040" s="64">
        <f>IF($A1040="","",IF(AE1040="직접",IFERROR(INDEX(계정매핑!$F$5:$F$504,MATCH($F1040&amp;"",계정매핑!$A$5:$A$504,0))&amp;"","비귀속"),""))</f>
        <v/>
      </c>
      <c r="AG1040" s="96">
        <f>IF($A1040="",0,IF(AND(AE1040&lt;&gt;"직접",IFERROR(INDEX(계정매핑!$G$5:$G$504,MATCH($F1040&amp;"",계정매핑!$A$5:$A$504,0))&amp;"","")="유지비",COUNTIF(계정대체기준!$A$6:$A$15,$N1040)&gt;0),IFERROR(INDEX(계정대체기준!$E$6:$E$15,MATCH(VALUE($A1040&amp;""),계정대체기준!$D$6:$D$15,0)),0),0))</f>
        <v/>
      </c>
      <c r="AH1040" s="64">
        <f>IF($A1040="","",IF(AD1040=0,"",IF(OR(COUNTIF(계정대체기준!$A$77:$A$86,$N1040)&gt;0,ISNUMBER(MATCH($X1040,계정대체기준!$D$77:$D$86,0)),ISNUMBER(MATCH($F1040,계정대체기준!$D$77:$D$86,0))),"Y","N")))</f>
        <v/>
      </c>
    </row>
    <row r="1041">
      <c r="A1041" s="92" t="n">
        <v>2025</v>
      </c>
      <c r="B1041" s="92" t="n">
        <v>5</v>
      </c>
      <c r="C1041" s="92" t="inlineStr">
        <is>
          <t>5100001037</t>
        </is>
      </c>
      <c r="D1041" s="95" t="n">
        <v>45794</v>
      </c>
      <c r="E1041" s="92" t="inlineStr">
        <is>
          <t>KR</t>
        </is>
      </c>
      <c r="F1041" s="92" t="n">
        <v>62201000</v>
      </c>
      <c r="G1041" s="92" t="n">
        <v>1201</v>
      </c>
      <c r="H1041" s="93" t="n">
        <v>173000</v>
      </c>
      <c r="I1041" s="92" t="inlineStr">
        <is>
          <t>5월 통신요금 - O텔레콤</t>
        </is>
      </c>
      <c r="J1041" s="92" t="inlineStr">
        <is>
          <t>V10002</t>
        </is>
      </c>
      <c r="K1041" s="92" t="inlineStr">
        <is>
          <t>O텔레콤</t>
        </is>
      </c>
      <c r="M1041" s="9">
        <f>IF($A1041="","",VALUE($A1041&amp;"")*12+VALUE($B1041&amp;""))</f>
        <v/>
      </c>
      <c r="N1041" s="64">
        <f>IF($A1041="","",IFERROR(INDEX(부서매핑!$C$5:$C$504,MATCH($G1041&amp;"",부서매핑!$A$5:$A$504,0)),"미매핑"))</f>
        <v/>
      </c>
      <c r="O1041" s="9">
        <f>IF($A1041="","",N1041&amp;"|"&amp;$F1041)</f>
        <v/>
      </c>
      <c r="P1041" s="94">
        <f>IF($A1041="",0,$H1041*설정!$C$23)</f>
        <v/>
      </c>
      <c r="Q1041" s="64">
        <f>IF($A1041="","",IF(O1041&lt;&gt;원인분석!$C$9,"",IF(AND(M1041&gt;=원인분석!$C$10,M1041&lt;=원인분석!$C$11),"당기",IF(AND(M1041&gt;=원인분석!$C$12,M1041&lt;=원인분석!$C$13),"비교",""))))</f>
        <v/>
      </c>
      <c r="R1041" s="9">
        <f>IF(Q1041="","",$K1041&amp;"")</f>
        <v/>
      </c>
      <c r="S1041" s="9">
        <f>IF(Q1041="","",IF(MATCH(R1041,$R$5:$R$100000,0)=ROW()-4,ROW(),""))</f>
        <v/>
      </c>
      <c r="T1041" s="9">
        <f>IF(Q1041="당기",ABS(P1041)+ROW()/1000000000,"")</f>
        <v/>
      </c>
      <c r="U1041" s="9">
        <f>IF(Q1041="비교",ABS(P1041)+ROW()/1000000000,"")</f>
        <v/>
      </c>
      <c r="V1041" s="64">
        <f>IF($A1041="","",IF(COUNTIF(변동분석!$E$7:$E$506,O1041)&gt;0,"Y","N"))</f>
        <v/>
      </c>
      <c r="W1041" s="64">
        <f>IF($A1041="","",IFERROR(INDEX(계정매핑!$D$5:$D$504,MATCH($F1041&amp;"",계정매핑!$A$5:$A$504,0)),"미매핑"))</f>
        <v/>
      </c>
      <c r="X1041" s="9">
        <f>IF($A1041="","",$F1041&amp;"")</f>
        <v/>
      </c>
      <c r="Y1041" s="94">
        <f>IF($A1041="",0,IF(AE1041="직접",IF(AF1041="비귀속",$P1041,0),$P1041*(1-AG1041)*IFERROR(INDEX(계정대체기준!$F$20:$F$49,MATCH($N1041,계정대체기준!$A$20:$A$49,0)),1)))</f>
        <v/>
      </c>
      <c r="Z1041" s="94">
        <f>IF($A1041="",0,IF(AE1041="직접",IF(AF1041="신계약비",$P1041,0),$P1041*(1-AG1041)*IFERROR(INDEX(계정대체기준!$C$20:$C$49,MATCH($N1041,계정대체기준!$A$20:$A$49,0)),0)))</f>
        <v/>
      </c>
      <c r="AA1041" s="94">
        <f>IF($A1041="",0,IF(AE1041="직접",IF(OR(AF1041="유지비",AF1041="손해조사비"),$P1041,0),$P1041*(1-AG1041)*IFERROR(INDEX(계정대체기준!$D$20:$D$49,MATCH($N1041,계정대체기준!$A$20:$A$49,0)),0)))</f>
        <v/>
      </c>
      <c r="AB1041" s="94">
        <f>IF($A1041="",0,IF(AE1041="직접",IF(AF1041="수금비",$P1041,0),$P1041*(1-AG1041)*IFERROR(INDEX(계정대체기준!$E$20:$E$49,MATCH($N1041,계정대체기준!$A$20:$A$49,0)),0)))</f>
        <v/>
      </c>
      <c r="AC1041" s="9">
        <f>IF(AND($A1041&lt;&gt;"",M1041=설정!$C$20,Z1041&gt;0),Z1041+ROW()/1000000000,"")</f>
        <v/>
      </c>
      <c r="AD1041" s="94">
        <f>IF($A1041="",0,$P1041*AG1041)</f>
        <v/>
      </c>
      <c r="AE1041" s="64">
        <f>IF($A1041="","",IFERROR(INDEX(계정매핑!$E$5:$E$504,MATCH($F1041&amp;"",계정매핑!$A$5:$A$504,0))&amp;"","공통비"))</f>
        <v/>
      </c>
      <c r="AF1041" s="64">
        <f>IF($A1041="","",IF(AE1041="직접",IFERROR(INDEX(계정매핑!$F$5:$F$504,MATCH($F1041&amp;"",계정매핑!$A$5:$A$504,0))&amp;"","비귀속"),""))</f>
        <v/>
      </c>
      <c r="AG1041" s="96">
        <f>IF($A1041="",0,IF(AND(AE1041&lt;&gt;"직접",IFERROR(INDEX(계정매핑!$G$5:$G$504,MATCH($F1041&amp;"",계정매핑!$A$5:$A$504,0))&amp;"","")="유지비",COUNTIF(계정대체기준!$A$6:$A$15,$N1041)&gt;0),IFERROR(INDEX(계정대체기준!$E$6:$E$15,MATCH(VALUE($A1041&amp;""),계정대체기준!$D$6:$D$15,0)),0),0))</f>
        <v/>
      </c>
      <c r="AH1041" s="64">
        <f>IF($A1041="","",IF(AD1041=0,"",IF(OR(COUNTIF(계정대체기준!$A$77:$A$86,$N1041)&gt;0,ISNUMBER(MATCH($X1041,계정대체기준!$D$77:$D$86,0)),ISNUMBER(MATCH($F1041,계정대체기준!$D$77:$D$86,0))),"Y","N")))</f>
        <v/>
      </c>
    </row>
    <row r="1042">
      <c r="A1042" s="92" t="n">
        <v>2025</v>
      </c>
      <c r="B1042" s="92" t="n">
        <v>5</v>
      </c>
      <c r="C1042" s="92" t="inlineStr">
        <is>
          <t>5100001038</t>
        </is>
      </c>
      <c r="D1042" s="95" t="n">
        <v>45794</v>
      </c>
      <c r="E1042" s="92" t="inlineStr">
        <is>
          <t>KR</t>
        </is>
      </c>
      <c r="F1042" s="92" t="n">
        <v>62301000</v>
      </c>
      <c r="G1042" s="92" t="n">
        <v>1701</v>
      </c>
      <c r="H1042" s="93" t="n">
        <v>251000</v>
      </c>
      <c r="I1042" s="92" t="inlineStr">
        <is>
          <t>5월 소모품 구입 - R문구</t>
        </is>
      </c>
      <c r="J1042" s="92" t="inlineStr">
        <is>
          <t>V10022</t>
        </is>
      </c>
      <c r="K1042" s="92" t="inlineStr">
        <is>
          <t>R문구</t>
        </is>
      </c>
      <c r="M1042" s="9">
        <f>IF($A1042="","",VALUE($A1042&amp;"")*12+VALUE($B1042&amp;""))</f>
        <v/>
      </c>
      <c r="N1042" s="64">
        <f>IF($A1042="","",IFERROR(INDEX(부서매핑!$C$5:$C$504,MATCH($G1042&amp;"",부서매핑!$A$5:$A$504,0)),"미매핑"))</f>
        <v/>
      </c>
      <c r="O1042" s="9">
        <f>IF($A1042="","",N1042&amp;"|"&amp;$F1042)</f>
        <v/>
      </c>
      <c r="P1042" s="94">
        <f>IF($A1042="",0,$H1042*설정!$C$23)</f>
        <v/>
      </c>
      <c r="Q1042" s="64">
        <f>IF($A1042="","",IF(O1042&lt;&gt;원인분석!$C$9,"",IF(AND(M1042&gt;=원인분석!$C$10,M1042&lt;=원인분석!$C$11),"당기",IF(AND(M1042&gt;=원인분석!$C$12,M1042&lt;=원인분석!$C$13),"비교",""))))</f>
        <v/>
      </c>
      <c r="R1042" s="9">
        <f>IF(Q1042="","",$K1042&amp;"")</f>
        <v/>
      </c>
      <c r="S1042" s="9">
        <f>IF(Q1042="","",IF(MATCH(R1042,$R$5:$R$100000,0)=ROW()-4,ROW(),""))</f>
        <v/>
      </c>
      <c r="T1042" s="9">
        <f>IF(Q1042="당기",ABS(P1042)+ROW()/1000000000,"")</f>
        <v/>
      </c>
      <c r="U1042" s="9">
        <f>IF(Q1042="비교",ABS(P1042)+ROW()/1000000000,"")</f>
        <v/>
      </c>
      <c r="V1042" s="64">
        <f>IF($A1042="","",IF(COUNTIF(변동분석!$E$7:$E$506,O1042)&gt;0,"Y","N"))</f>
        <v/>
      </c>
      <c r="W1042" s="64">
        <f>IF($A1042="","",IFERROR(INDEX(계정매핑!$D$5:$D$504,MATCH($F1042&amp;"",계정매핑!$A$5:$A$504,0)),"미매핑"))</f>
        <v/>
      </c>
      <c r="X1042" s="9">
        <f>IF($A1042="","",$F1042&amp;"")</f>
        <v/>
      </c>
      <c r="Y1042" s="94">
        <f>IF($A1042="",0,IF(AE1042="직접",IF(AF1042="비귀속",$P1042,0),$P1042*(1-AG1042)*IFERROR(INDEX(계정대체기준!$F$20:$F$49,MATCH($N1042,계정대체기준!$A$20:$A$49,0)),1)))</f>
        <v/>
      </c>
      <c r="Z1042" s="94">
        <f>IF($A1042="",0,IF(AE1042="직접",IF(AF1042="신계약비",$P1042,0),$P1042*(1-AG1042)*IFERROR(INDEX(계정대체기준!$C$20:$C$49,MATCH($N1042,계정대체기준!$A$20:$A$49,0)),0)))</f>
        <v/>
      </c>
      <c r="AA1042" s="94">
        <f>IF($A1042="",0,IF(AE1042="직접",IF(OR(AF1042="유지비",AF1042="손해조사비"),$P1042,0),$P1042*(1-AG1042)*IFERROR(INDEX(계정대체기준!$D$20:$D$49,MATCH($N1042,계정대체기준!$A$20:$A$49,0)),0)))</f>
        <v/>
      </c>
      <c r="AB1042" s="94">
        <f>IF($A1042="",0,IF(AE1042="직접",IF(AF1042="수금비",$P1042,0),$P1042*(1-AG1042)*IFERROR(INDEX(계정대체기준!$E$20:$E$49,MATCH($N1042,계정대체기준!$A$20:$A$49,0)),0)))</f>
        <v/>
      </c>
      <c r="AC1042" s="9">
        <f>IF(AND($A1042&lt;&gt;"",M1042=설정!$C$20,Z1042&gt;0),Z1042+ROW()/1000000000,"")</f>
        <v/>
      </c>
      <c r="AD1042" s="94">
        <f>IF($A1042="",0,$P1042*AG1042)</f>
        <v/>
      </c>
      <c r="AE1042" s="64">
        <f>IF($A1042="","",IFERROR(INDEX(계정매핑!$E$5:$E$504,MATCH($F1042&amp;"",계정매핑!$A$5:$A$504,0))&amp;"","공통비"))</f>
        <v/>
      </c>
      <c r="AF1042" s="64">
        <f>IF($A1042="","",IF(AE1042="직접",IFERROR(INDEX(계정매핑!$F$5:$F$504,MATCH($F1042&amp;"",계정매핑!$A$5:$A$504,0))&amp;"","비귀속"),""))</f>
        <v/>
      </c>
      <c r="AG1042" s="96">
        <f>IF($A1042="",0,IF(AND(AE1042&lt;&gt;"직접",IFERROR(INDEX(계정매핑!$G$5:$G$504,MATCH($F1042&amp;"",계정매핑!$A$5:$A$504,0))&amp;"","")="유지비",COUNTIF(계정대체기준!$A$6:$A$15,$N1042)&gt;0),IFERROR(INDEX(계정대체기준!$E$6:$E$15,MATCH(VALUE($A1042&amp;""),계정대체기준!$D$6:$D$15,0)),0),0))</f>
        <v/>
      </c>
      <c r="AH1042" s="64">
        <f>IF($A1042="","",IF(AD1042=0,"",IF(OR(COUNTIF(계정대체기준!$A$77:$A$86,$N1042)&gt;0,ISNUMBER(MATCH($X1042,계정대체기준!$D$77:$D$86,0)),ISNUMBER(MATCH($F1042,계정대체기준!$D$77:$D$86,0))),"Y","N")))</f>
        <v/>
      </c>
    </row>
    <row r="1043">
      <c r="A1043" s="92" t="n">
        <v>2025</v>
      </c>
      <c r="B1043" s="92" t="n">
        <v>5</v>
      </c>
      <c r="C1043" s="92" t="inlineStr">
        <is>
          <t>5100001039</t>
        </is>
      </c>
      <c r="D1043" s="95" t="n">
        <v>45794</v>
      </c>
      <c r="E1043" s="92" t="inlineStr">
        <is>
          <t>KR</t>
        </is>
      </c>
      <c r="F1043" s="92" t="n">
        <v>62601000</v>
      </c>
      <c r="G1043" s="92" t="n">
        <v>1602</v>
      </c>
      <c r="H1043" s="93" t="n">
        <v>1601000</v>
      </c>
      <c r="I1043" s="92" t="inlineStr">
        <is>
          <t>5월 업무추진 - (법인카드)</t>
        </is>
      </c>
      <c r="J1043" s="92" t="inlineStr">
        <is>
          <t>V10010</t>
        </is>
      </c>
      <c r="K1043" s="92" t="inlineStr">
        <is>
          <t>(법인카드)</t>
        </is>
      </c>
      <c r="M1043" s="9">
        <f>IF($A1043="","",VALUE($A1043&amp;"")*12+VALUE($B1043&amp;""))</f>
        <v/>
      </c>
      <c r="N1043" s="64">
        <f>IF($A1043="","",IFERROR(INDEX(부서매핑!$C$5:$C$504,MATCH($G1043&amp;"",부서매핑!$A$5:$A$504,0)),"미매핑"))</f>
        <v/>
      </c>
      <c r="O1043" s="9">
        <f>IF($A1043="","",N1043&amp;"|"&amp;$F1043)</f>
        <v/>
      </c>
      <c r="P1043" s="94">
        <f>IF($A1043="",0,$H1043*설정!$C$23)</f>
        <v/>
      </c>
      <c r="Q1043" s="64">
        <f>IF($A1043="","",IF(O1043&lt;&gt;원인분석!$C$9,"",IF(AND(M1043&gt;=원인분석!$C$10,M1043&lt;=원인분석!$C$11),"당기",IF(AND(M1043&gt;=원인분석!$C$12,M1043&lt;=원인분석!$C$13),"비교",""))))</f>
        <v/>
      </c>
      <c r="R1043" s="9">
        <f>IF(Q1043="","",$K1043&amp;"")</f>
        <v/>
      </c>
      <c r="S1043" s="9">
        <f>IF(Q1043="","",IF(MATCH(R1043,$R$5:$R$100000,0)=ROW()-4,ROW(),""))</f>
        <v/>
      </c>
      <c r="T1043" s="9">
        <f>IF(Q1043="당기",ABS(P1043)+ROW()/1000000000,"")</f>
        <v/>
      </c>
      <c r="U1043" s="9">
        <f>IF(Q1043="비교",ABS(P1043)+ROW()/1000000000,"")</f>
        <v/>
      </c>
      <c r="V1043" s="64">
        <f>IF($A1043="","",IF(COUNTIF(변동분석!$E$7:$E$506,O1043)&gt;0,"Y","N"))</f>
        <v/>
      </c>
      <c r="W1043" s="64">
        <f>IF($A1043="","",IFERROR(INDEX(계정매핑!$D$5:$D$504,MATCH($F1043&amp;"",계정매핑!$A$5:$A$504,0)),"미매핑"))</f>
        <v/>
      </c>
      <c r="X1043" s="9">
        <f>IF($A1043="","",$F1043&amp;"")</f>
        <v/>
      </c>
      <c r="Y1043" s="94">
        <f>IF($A1043="",0,IF(AE1043="직접",IF(AF1043="비귀속",$P1043,0),$P1043*(1-AG1043)*IFERROR(INDEX(계정대체기준!$F$20:$F$49,MATCH($N1043,계정대체기준!$A$20:$A$49,0)),1)))</f>
        <v/>
      </c>
      <c r="Z1043" s="94">
        <f>IF($A1043="",0,IF(AE1043="직접",IF(AF1043="신계약비",$P1043,0),$P1043*(1-AG1043)*IFERROR(INDEX(계정대체기준!$C$20:$C$49,MATCH($N1043,계정대체기준!$A$20:$A$49,0)),0)))</f>
        <v/>
      </c>
      <c r="AA1043" s="94">
        <f>IF($A1043="",0,IF(AE1043="직접",IF(OR(AF1043="유지비",AF1043="손해조사비"),$P1043,0),$P1043*(1-AG1043)*IFERROR(INDEX(계정대체기준!$D$20:$D$49,MATCH($N1043,계정대체기준!$A$20:$A$49,0)),0)))</f>
        <v/>
      </c>
      <c r="AB1043" s="94">
        <f>IF($A1043="",0,IF(AE1043="직접",IF(AF1043="수금비",$P1043,0),$P1043*(1-AG1043)*IFERROR(INDEX(계정대체기준!$E$20:$E$49,MATCH($N1043,계정대체기준!$A$20:$A$49,0)),0)))</f>
        <v/>
      </c>
      <c r="AC1043" s="9">
        <f>IF(AND($A1043&lt;&gt;"",M1043=설정!$C$20,Z1043&gt;0),Z1043+ROW()/1000000000,"")</f>
        <v/>
      </c>
      <c r="AD1043" s="94">
        <f>IF($A1043="",0,$P1043*AG1043)</f>
        <v/>
      </c>
      <c r="AE1043" s="64">
        <f>IF($A1043="","",IFERROR(INDEX(계정매핑!$E$5:$E$504,MATCH($F1043&amp;"",계정매핑!$A$5:$A$504,0))&amp;"","공통비"))</f>
        <v/>
      </c>
      <c r="AF1043" s="64">
        <f>IF($A1043="","",IF(AE1043="직접",IFERROR(INDEX(계정매핑!$F$5:$F$504,MATCH($F1043&amp;"",계정매핑!$A$5:$A$504,0))&amp;"","비귀속"),""))</f>
        <v/>
      </c>
      <c r="AG1043" s="96">
        <f>IF($A1043="",0,IF(AND(AE1043&lt;&gt;"직접",IFERROR(INDEX(계정매핑!$G$5:$G$504,MATCH($F1043&amp;"",계정매핑!$A$5:$A$504,0))&amp;"","")="유지비",COUNTIF(계정대체기준!$A$6:$A$15,$N1043)&gt;0),IFERROR(INDEX(계정대체기준!$E$6:$E$15,MATCH(VALUE($A1043&amp;""),계정대체기준!$D$6:$D$15,0)),0),0))</f>
        <v/>
      </c>
      <c r="AH1043" s="64">
        <f>IF($A1043="","",IF(AD1043=0,"",IF(OR(COUNTIF(계정대체기준!$A$77:$A$86,$N1043)&gt;0,ISNUMBER(MATCH($X1043,계정대체기준!$D$77:$D$86,0)),ISNUMBER(MATCH($F1043,계정대체기준!$D$77:$D$86,0))),"Y","N")))</f>
        <v/>
      </c>
    </row>
    <row r="1044">
      <c r="A1044" s="92" t="n">
        <v>2025</v>
      </c>
      <c r="B1044" s="92" t="n">
        <v>5</v>
      </c>
      <c r="C1044" s="92" t="inlineStr">
        <is>
          <t>5100001040</t>
        </is>
      </c>
      <c r="D1044" s="95" t="n">
        <v>45794</v>
      </c>
      <c r="E1044" s="92" t="inlineStr">
        <is>
          <t>KR</t>
        </is>
      </c>
      <c r="F1044" s="92" t="n">
        <v>62901000</v>
      </c>
      <c r="G1044" s="92" t="n">
        <v>1101</v>
      </c>
      <c r="H1044" s="93" t="n">
        <v>3888000</v>
      </c>
      <c r="I1044" s="92" t="inlineStr">
        <is>
          <t>5월 자문 수수료 - K회계법인</t>
        </is>
      </c>
      <c r="J1044" s="92" t="inlineStr">
        <is>
          <t>V10011</t>
        </is>
      </c>
      <c r="K1044" s="92" t="inlineStr">
        <is>
          <t>K회계법인</t>
        </is>
      </c>
      <c r="M1044" s="9">
        <f>IF($A1044="","",VALUE($A1044&amp;"")*12+VALUE($B1044&amp;""))</f>
        <v/>
      </c>
      <c r="N1044" s="64">
        <f>IF($A1044="","",IFERROR(INDEX(부서매핑!$C$5:$C$504,MATCH($G1044&amp;"",부서매핑!$A$5:$A$504,0)),"미매핑"))</f>
        <v/>
      </c>
      <c r="O1044" s="9">
        <f>IF($A1044="","",N1044&amp;"|"&amp;$F1044)</f>
        <v/>
      </c>
      <c r="P1044" s="94">
        <f>IF($A1044="",0,$H1044*설정!$C$23)</f>
        <v/>
      </c>
      <c r="Q1044" s="64">
        <f>IF($A1044="","",IF(O1044&lt;&gt;원인분석!$C$9,"",IF(AND(M1044&gt;=원인분석!$C$10,M1044&lt;=원인분석!$C$11),"당기",IF(AND(M1044&gt;=원인분석!$C$12,M1044&lt;=원인분석!$C$13),"비교",""))))</f>
        <v/>
      </c>
      <c r="R1044" s="9">
        <f>IF(Q1044="","",$K1044&amp;"")</f>
        <v/>
      </c>
      <c r="S1044" s="9">
        <f>IF(Q1044="","",IF(MATCH(R1044,$R$5:$R$100000,0)=ROW()-4,ROW(),""))</f>
        <v/>
      </c>
      <c r="T1044" s="9">
        <f>IF(Q1044="당기",ABS(P1044)+ROW()/1000000000,"")</f>
        <v/>
      </c>
      <c r="U1044" s="9">
        <f>IF(Q1044="비교",ABS(P1044)+ROW()/1000000000,"")</f>
        <v/>
      </c>
      <c r="V1044" s="64">
        <f>IF($A1044="","",IF(COUNTIF(변동분석!$E$7:$E$506,O1044)&gt;0,"Y","N"))</f>
        <v/>
      </c>
      <c r="W1044" s="64">
        <f>IF($A1044="","",IFERROR(INDEX(계정매핑!$D$5:$D$504,MATCH($F1044&amp;"",계정매핑!$A$5:$A$504,0)),"미매핑"))</f>
        <v/>
      </c>
      <c r="X1044" s="9">
        <f>IF($A1044="","",$F1044&amp;"")</f>
        <v/>
      </c>
      <c r="Y1044" s="94">
        <f>IF($A1044="",0,IF(AE1044="직접",IF(AF1044="비귀속",$P1044,0),$P1044*(1-AG1044)*IFERROR(INDEX(계정대체기준!$F$20:$F$49,MATCH($N1044,계정대체기준!$A$20:$A$49,0)),1)))</f>
        <v/>
      </c>
      <c r="Z1044" s="94">
        <f>IF($A1044="",0,IF(AE1044="직접",IF(AF1044="신계약비",$P1044,0),$P1044*(1-AG1044)*IFERROR(INDEX(계정대체기준!$C$20:$C$49,MATCH($N1044,계정대체기준!$A$20:$A$49,0)),0)))</f>
        <v/>
      </c>
      <c r="AA1044" s="94">
        <f>IF($A1044="",0,IF(AE1044="직접",IF(OR(AF1044="유지비",AF1044="손해조사비"),$P1044,0),$P1044*(1-AG1044)*IFERROR(INDEX(계정대체기준!$D$20:$D$49,MATCH($N1044,계정대체기준!$A$20:$A$49,0)),0)))</f>
        <v/>
      </c>
      <c r="AB1044" s="94">
        <f>IF($A1044="",0,IF(AE1044="직접",IF(AF1044="수금비",$P1044,0),$P1044*(1-AG1044)*IFERROR(INDEX(계정대체기준!$E$20:$E$49,MATCH($N1044,계정대체기준!$A$20:$A$49,0)),0)))</f>
        <v/>
      </c>
      <c r="AC1044" s="9">
        <f>IF(AND($A1044&lt;&gt;"",M1044=설정!$C$20,Z1044&gt;0),Z1044+ROW()/1000000000,"")</f>
        <v/>
      </c>
      <c r="AD1044" s="94">
        <f>IF($A1044="",0,$P1044*AG1044)</f>
        <v/>
      </c>
      <c r="AE1044" s="64">
        <f>IF($A1044="","",IFERROR(INDEX(계정매핑!$E$5:$E$504,MATCH($F1044&amp;"",계정매핑!$A$5:$A$504,0))&amp;"","공통비"))</f>
        <v/>
      </c>
      <c r="AF1044" s="64">
        <f>IF($A1044="","",IF(AE1044="직접",IFERROR(INDEX(계정매핑!$F$5:$F$504,MATCH($F1044&amp;"",계정매핑!$A$5:$A$504,0))&amp;"","비귀속"),""))</f>
        <v/>
      </c>
      <c r="AG1044" s="96">
        <f>IF($A1044="",0,IF(AND(AE1044&lt;&gt;"직접",IFERROR(INDEX(계정매핑!$G$5:$G$504,MATCH($F1044&amp;"",계정매핑!$A$5:$A$504,0))&amp;"","")="유지비",COUNTIF(계정대체기준!$A$6:$A$15,$N1044)&gt;0),IFERROR(INDEX(계정대체기준!$E$6:$E$15,MATCH(VALUE($A1044&amp;""),계정대체기준!$D$6:$D$15,0)),0),0))</f>
        <v/>
      </c>
      <c r="AH1044" s="64">
        <f>IF($A1044="","",IF(AD1044=0,"",IF(OR(COUNTIF(계정대체기준!$A$77:$A$86,$N1044)&gt;0,ISNUMBER(MATCH($X1044,계정대체기준!$D$77:$D$86,0)),ISNUMBER(MATCH($F1044,계정대체기준!$D$77:$D$86,0))),"Y","N")))</f>
        <v/>
      </c>
    </row>
    <row r="1045">
      <c r="A1045" s="92" t="n">
        <v>2025</v>
      </c>
      <c r="B1045" s="92" t="n">
        <v>5</v>
      </c>
      <c r="C1045" s="92" t="inlineStr">
        <is>
          <t>5100001041</t>
        </is>
      </c>
      <c r="D1045" s="95" t="n">
        <v>45794</v>
      </c>
      <c r="E1045" s="92" t="inlineStr">
        <is>
          <t>KR</t>
        </is>
      </c>
      <c r="F1045" s="92" t="n">
        <v>62901000</v>
      </c>
      <c r="G1045" s="92" t="n">
        <v>1801</v>
      </c>
      <c r="H1045" s="93" t="n">
        <v>12063000</v>
      </c>
      <c r="I1045" s="92" t="inlineStr">
        <is>
          <t>5월 자문 수수료 - W컨설팅</t>
        </is>
      </c>
      <c r="J1045" s="92" t="inlineStr">
        <is>
          <t>V10006</t>
        </is>
      </c>
      <c r="K1045" s="92" t="inlineStr">
        <is>
          <t>W컨설팅</t>
        </is>
      </c>
      <c r="M1045" s="9">
        <f>IF($A1045="","",VALUE($A1045&amp;"")*12+VALUE($B1045&amp;""))</f>
        <v/>
      </c>
      <c r="N1045" s="64">
        <f>IF($A1045="","",IFERROR(INDEX(부서매핑!$C$5:$C$504,MATCH($G1045&amp;"",부서매핑!$A$5:$A$504,0)),"미매핑"))</f>
        <v/>
      </c>
      <c r="O1045" s="9">
        <f>IF($A1045="","",N1045&amp;"|"&amp;$F1045)</f>
        <v/>
      </c>
      <c r="P1045" s="94">
        <f>IF($A1045="",0,$H1045*설정!$C$23)</f>
        <v/>
      </c>
      <c r="Q1045" s="64">
        <f>IF($A1045="","",IF(O1045&lt;&gt;원인분석!$C$9,"",IF(AND(M1045&gt;=원인분석!$C$10,M1045&lt;=원인분석!$C$11),"당기",IF(AND(M1045&gt;=원인분석!$C$12,M1045&lt;=원인분석!$C$13),"비교",""))))</f>
        <v/>
      </c>
      <c r="R1045" s="9">
        <f>IF(Q1045="","",$K1045&amp;"")</f>
        <v/>
      </c>
      <c r="S1045" s="9">
        <f>IF(Q1045="","",IF(MATCH(R1045,$R$5:$R$100000,0)=ROW()-4,ROW(),""))</f>
        <v/>
      </c>
      <c r="T1045" s="9">
        <f>IF(Q1045="당기",ABS(P1045)+ROW()/1000000000,"")</f>
        <v/>
      </c>
      <c r="U1045" s="9">
        <f>IF(Q1045="비교",ABS(P1045)+ROW()/1000000000,"")</f>
        <v/>
      </c>
      <c r="V1045" s="64">
        <f>IF($A1045="","",IF(COUNTIF(변동분석!$E$7:$E$506,O1045)&gt;0,"Y","N"))</f>
        <v/>
      </c>
      <c r="W1045" s="64">
        <f>IF($A1045="","",IFERROR(INDEX(계정매핑!$D$5:$D$504,MATCH($F1045&amp;"",계정매핑!$A$5:$A$504,0)),"미매핑"))</f>
        <v/>
      </c>
      <c r="X1045" s="9">
        <f>IF($A1045="","",$F1045&amp;"")</f>
        <v/>
      </c>
      <c r="Y1045" s="94">
        <f>IF($A1045="",0,IF(AE1045="직접",IF(AF1045="비귀속",$P1045,0),$P1045*(1-AG1045)*IFERROR(INDEX(계정대체기준!$F$20:$F$49,MATCH($N1045,계정대체기준!$A$20:$A$49,0)),1)))</f>
        <v/>
      </c>
      <c r="Z1045" s="94">
        <f>IF($A1045="",0,IF(AE1045="직접",IF(AF1045="신계약비",$P1045,0),$P1045*(1-AG1045)*IFERROR(INDEX(계정대체기준!$C$20:$C$49,MATCH($N1045,계정대체기준!$A$20:$A$49,0)),0)))</f>
        <v/>
      </c>
      <c r="AA1045" s="94">
        <f>IF($A1045="",0,IF(AE1045="직접",IF(OR(AF1045="유지비",AF1045="손해조사비"),$P1045,0),$P1045*(1-AG1045)*IFERROR(INDEX(계정대체기준!$D$20:$D$49,MATCH($N1045,계정대체기준!$A$20:$A$49,0)),0)))</f>
        <v/>
      </c>
      <c r="AB1045" s="94">
        <f>IF($A1045="",0,IF(AE1045="직접",IF(AF1045="수금비",$P1045,0),$P1045*(1-AG1045)*IFERROR(INDEX(계정대체기준!$E$20:$E$49,MATCH($N1045,계정대체기준!$A$20:$A$49,0)),0)))</f>
        <v/>
      </c>
      <c r="AC1045" s="9">
        <f>IF(AND($A1045&lt;&gt;"",M1045=설정!$C$20,Z1045&gt;0),Z1045+ROW()/1000000000,"")</f>
        <v/>
      </c>
      <c r="AD1045" s="94">
        <f>IF($A1045="",0,$P1045*AG1045)</f>
        <v/>
      </c>
      <c r="AE1045" s="64">
        <f>IF($A1045="","",IFERROR(INDEX(계정매핑!$E$5:$E$504,MATCH($F1045&amp;"",계정매핑!$A$5:$A$504,0))&amp;"","공통비"))</f>
        <v/>
      </c>
      <c r="AF1045" s="64">
        <f>IF($A1045="","",IF(AE1045="직접",IFERROR(INDEX(계정매핑!$F$5:$F$504,MATCH($F1045&amp;"",계정매핑!$A$5:$A$504,0))&amp;"","비귀속"),""))</f>
        <v/>
      </c>
      <c r="AG1045" s="96">
        <f>IF($A1045="",0,IF(AND(AE1045&lt;&gt;"직접",IFERROR(INDEX(계정매핑!$G$5:$G$504,MATCH($F1045&amp;"",계정매핑!$A$5:$A$504,0))&amp;"","")="유지비",COUNTIF(계정대체기준!$A$6:$A$15,$N1045)&gt;0),IFERROR(INDEX(계정대체기준!$E$6:$E$15,MATCH(VALUE($A1045&amp;""),계정대체기준!$D$6:$D$15,0)),0),0))</f>
        <v/>
      </c>
      <c r="AH1045" s="64">
        <f>IF($A1045="","",IF(AD1045=0,"",IF(OR(COUNTIF(계정대체기준!$A$77:$A$86,$N1045)&gt;0,ISNUMBER(MATCH($X1045,계정대체기준!$D$77:$D$86,0)),ISNUMBER(MATCH($F1045,계정대체기준!$D$77:$D$86,0))),"Y","N")))</f>
        <v/>
      </c>
    </row>
    <row r="1046">
      <c r="A1046" s="92" t="n">
        <v>2025</v>
      </c>
      <c r="B1046" s="92" t="n">
        <v>5</v>
      </c>
      <c r="C1046" s="92" t="inlineStr">
        <is>
          <t>5100001042</t>
        </is>
      </c>
      <c r="D1046" s="95" t="n">
        <v>45794</v>
      </c>
      <c r="E1046" s="92" t="inlineStr">
        <is>
          <t>KR</t>
        </is>
      </c>
      <c r="F1046" s="92" t="n">
        <v>62902000</v>
      </c>
      <c r="G1046" s="92" t="n">
        <v>1201</v>
      </c>
      <c r="H1046" s="93" t="n">
        <v>3450000</v>
      </c>
      <c r="I1046" s="92" t="inlineStr">
        <is>
          <t>5월 업무 위탁 수수료 - X서비스</t>
        </is>
      </c>
      <c r="J1046" s="92" t="inlineStr">
        <is>
          <t>V10020</t>
        </is>
      </c>
      <c r="K1046" s="92" t="inlineStr">
        <is>
          <t>X서비스</t>
        </is>
      </c>
      <c r="M1046" s="9">
        <f>IF($A1046="","",VALUE($A1046&amp;"")*12+VALUE($B1046&amp;""))</f>
        <v/>
      </c>
      <c r="N1046" s="64">
        <f>IF($A1046="","",IFERROR(INDEX(부서매핑!$C$5:$C$504,MATCH($G1046&amp;"",부서매핑!$A$5:$A$504,0)),"미매핑"))</f>
        <v/>
      </c>
      <c r="O1046" s="9">
        <f>IF($A1046="","",N1046&amp;"|"&amp;$F1046)</f>
        <v/>
      </c>
      <c r="P1046" s="94">
        <f>IF($A1046="",0,$H1046*설정!$C$23)</f>
        <v/>
      </c>
      <c r="Q1046" s="64">
        <f>IF($A1046="","",IF(O1046&lt;&gt;원인분석!$C$9,"",IF(AND(M1046&gt;=원인분석!$C$10,M1046&lt;=원인분석!$C$11),"당기",IF(AND(M1046&gt;=원인분석!$C$12,M1046&lt;=원인분석!$C$13),"비교",""))))</f>
        <v/>
      </c>
      <c r="R1046" s="9">
        <f>IF(Q1046="","",$K1046&amp;"")</f>
        <v/>
      </c>
      <c r="S1046" s="9">
        <f>IF(Q1046="","",IF(MATCH(R1046,$R$5:$R$100000,0)=ROW()-4,ROW(),""))</f>
        <v/>
      </c>
      <c r="T1046" s="9">
        <f>IF(Q1046="당기",ABS(P1046)+ROW()/1000000000,"")</f>
        <v/>
      </c>
      <c r="U1046" s="9">
        <f>IF(Q1046="비교",ABS(P1046)+ROW()/1000000000,"")</f>
        <v/>
      </c>
      <c r="V1046" s="64">
        <f>IF($A1046="","",IF(COUNTIF(변동분석!$E$7:$E$506,O1046)&gt;0,"Y","N"))</f>
        <v/>
      </c>
      <c r="W1046" s="64">
        <f>IF($A1046="","",IFERROR(INDEX(계정매핑!$D$5:$D$504,MATCH($F1046&amp;"",계정매핑!$A$5:$A$504,0)),"미매핑"))</f>
        <v/>
      </c>
      <c r="X1046" s="9">
        <f>IF($A1046="","",$F1046&amp;"")</f>
        <v/>
      </c>
      <c r="Y1046" s="94">
        <f>IF($A1046="",0,IF(AE1046="직접",IF(AF1046="비귀속",$P1046,0),$P1046*(1-AG1046)*IFERROR(INDEX(계정대체기준!$F$20:$F$49,MATCH($N1046,계정대체기준!$A$20:$A$49,0)),1)))</f>
        <v/>
      </c>
      <c r="Z1046" s="94">
        <f>IF($A1046="",0,IF(AE1046="직접",IF(AF1046="신계약비",$P1046,0),$P1046*(1-AG1046)*IFERROR(INDEX(계정대체기준!$C$20:$C$49,MATCH($N1046,계정대체기준!$A$20:$A$49,0)),0)))</f>
        <v/>
      </c>
      <c r="AA1046" s="94">
        <f>IF($A1046="",0,IF(AE1046="직접",IF(OR(AF1046="유지비",AF1046="손해조사비"),$P1046,0),$P1046*(1-AG1046)*IFERROR(INDEX(계정대체기준!$D$20:$D$49,MATCH($N1046,계정대체기준!$A$20:$A$49,0)),0)))</f>
        <v/>
      </c>
      <c r="AB1046" s="94">
        <f>IF($A1046="",0,IF(AE1046="직접",IF(AF1046="수금비",$P1046,0),$P1046*(1-AG1046)*IFERROR(INDEX(계정대체기준!$E$20:$E$49,MATCH($N1046,계정대체기준!$A$20:$A$49,0)),0)))</f>
        <v/>
      </c>
      <c r="AC1046" s="9">
        <f>IF(AND($A1046&lt;&gt;"",M1046=설정!$C$20,Z1046&gt;0),Z1046+ROW()/1000000000,"")</f>
        <v/>
      </c>
      <c r="AD1046" s="94">
        <f>IF($A1046="",0,$P1046*AG1046)</f>
        <v/>
      </c>
      <c r="AE1046" s="64">
        <f>IF($A1046="","",IFERROR(INDEX(계정매핑!$E$5:$E$504,MATCH($F1046&amp;"",계정매핑!$A$5:$A$504,0))&amp;"","공통비"))</f>
        <v/>
      </c>
      <c r="AF1046" s="64">
        <f>IF($A1046="","",IF(AE1046="직접",IFERROR(INDEX(계정매핑!$F$5:$F$504,MATCH($F1046&amp;"",계정매핑!$A$5:$A$504,0))&amp;"","비귀속"),""))</f>
        <v/>
      </c>
      <c r="AG1046" s="96">
        <f>IF($A1046="",0,IF(AND(AE1046&lt;&gt;"직접",IFERROR(INDEX(계정매핑!$G$5:$G$504,MATCH($F1046&amp;"",계정매핑!$A$5:$A$504,0))&amp;"","")="유지비",COUNTIF(계정대체기준!$A$6:$A$15,$N1046)&gt;0),IFERROR(INDEX(계정대체기준!$E$6:$E$15,MATCH(VALUE($A1046&amp;""),계정대체기준!$D$6:$D$15,0)),0),0))</f>
        <v/>
      </c>
      <c r="AH1046" s="64">
        <f>IF($A1046="","",IF(AD1046=0,"",IF(OR(COUNTIF(계정대체기준!$A$77:$A$86,$N1046)&gt;0,ISNUMBER(MATCH($X1046,계정대체기준!$D$77:$D$86,0)),ISNUMBER(MATCH($F1046,계정대체기준!$D$77:$D$86,0))),"Y","N")))</f>
        <v/>
      </c>
    </row>
    <row r="1047">
      <c r="A1047" s="92" t="n">
        <v>2025</v>
      </c>
      <c r="B1047" s="92" t="n">
        <v>5</v>
      </c>
      <c r="C1047" s="92" t="inlineStr">
        <is>
          <t>5100001043</t>
        </is>
      </c>
      <c r="D1047" s="95" t="n">
        <v>45795</v>
      </c>
      <c r="E1047" s="92" t="inlineStr">
        <is>
          <t>KR</t>
        </is>
      </c>
      <c r="F1047" s="92" t="n">
        <v>62101000</v>
      </c>
      <c r="G1047" s="92" t="n">
        <v>1101</v>
      </c>
      <c r="H1047" s="93" t="n">
        <v>368000</v>
      </c>
      <c r="I1047" s="92" t="inlineStr">
        <is>
          <t>5월 국내출장 - M항공</t>
        </is>
      </c>
      <c r="J1047" s="92" t="inlineStr">
        <is>
          <t>V10001</t>
        </is>
      </c>
      <c r="K1047" s="92" t="inlineStr">
        <is>
          <t>M항공</t>
        </is>
      </c>
      <c r="M1047" s="9">
        <f>IF($A1047="","",VALUE($A1047&amp;"")*12+VALUE($B1047&amp;""))</f>
        <v/>
      </c>
      <c r="N1047" s="64">
        <f>IF($A1047="","",IFERROR(INDEX(부서매핑!$C$5:$C$504,MATCH($G1047&amp;"",부서매핑!$A$5:$A$504,0)),"미매핑"))</f>
        <v/>
      </c>
      <c r="O1047" s="9">
        <f>IF($A1047="","",N1047&amp;"|"&amp;$F1047)</f>
        <v/>
      </c>
      <c r="P1047" s="94">
        <f>IF($A1047="",0,$H1047*설정!$C$23)</f>
        <v/>
      </c>
      <c r="Q1047" s="64">
        <f>IF($A1047="","",IF(O1047&lt;&gt;원인분석!$C$9,"",IF(AND(M1047&gt;=원인분석!$C$10,M1047&lt;=원인분석!$C$11),"당기",IF(AND(M1047&gt;=원인분석!$C$12,M1047&lt;=원인분석!$C$13),"비교",""))))</f>
        <v/>
      </c>
      <c r="R1047" s="9">
        <f>IF(Q1047="","",$K1047&amp;"")</f>
        <v/>
      </c>
      <c r="S1047" s="9">
        <f>IF(Q1047="","",IF(MATCH(R1047,$R$5:$R$100000,0)=ROW()-4,ROW(),""))</f>
        <v/>
      </c>
      <c r="T1047" s="9">
        <f>IF(Q1047="당기",ABS(P1047)+ROW()/1000000000,"")</f>
        <v/>
      </c>
      <c r="U1047" s="9">
        <f>IF(Q1047="비교",ABS(P1047)+ROW()/1000000000,"")</f>
        <v/>
      </c>
      <c r="V1047" s="64">
        <f>IF($A1047="","",IF(COUNTIF(변동분석!$E$7:$E$506,O1047)&gt;0,"Y","N"))</f>
        <v/>
      </c>
      <c r="W1047" s="64">
        <f>IF($A1047="","",IFERROR(INDEX(계정매핑!$D$5:$D$504,MATCH($F1047&amp;"",계정매핑!$A$5:$A$504,0)),"미매핑"))</f>
        <v/>
      </c>
      <c r="X1047" s="9">
        <f>IF($A1047="","",$F1047&amp;"")</f>
        <v/>
      </c>
      <c r="Y1047" s="94">
        <f>IF($A1047="",0,IF(AE1047="직접",IF(AF1047="비귀속",$P1047,0),$P1047*(1-AG1047)*IFERROR(INDEX(계정대체기준!$F$20:$F$49,MATCH($N1047,계정대체기준!$A$20:$A$49,0)),1)))</f>
        <v/>
      </c>
      <c r="Z1047" s="94">
        <f>IF($A1047="",0,IF(AE1047="직접",IF(AF1047="신계약비",$P1047,0),$P1047*(1-AG1047)*IFERROR(INDEX(계정대체기준!$C$20:$C$49,MATCH($N1047,계정대체기준!$A$20:$A$49,0)),0)))</f>
        <v/>
      </c>
      <c r="AA1047" s="94">
        <f>IF($A1047="",0,IF(AE1047="직접",IF(OR(AF1047="유지비",AF1047="손해조사비"),$P1047,0),$P1047*(1-AG1047)*IFERROR(INDEX(계정대체기준!$D$20:$D$49,MATCH($N1047,계정대체기준!$A$20:$A$49,0)),0)))</f>
        <v/>
      </c>
      <c r="AB1047" s="94">
        <f>IF($A1047="",0,IF(AE1047="직접",IF(AF1047="수금비",$P1047,0),$P1047*(1-AG1047)*IFERROR(INDEX(계정대체기준!$E$20:$E$49,MATCH($N1047,계정대체기준!$A$20:$A$49,0)),0)))</f>
        <v/>
      </c>
      <c r="AC1047" s="9">
        <f>IF(AND($A1047&lt;&gt;"",M1047=설정!$C$20,Z1047&gt;0),Z1047+ROW()/1000000000,"")</f>
        <v/>
      </c>
      <c r="AD1047" s="94">
        <f>IF($A1047="",0,$P1047*AG1047)</f>
        <v/>
      </c>
      <c r="AE1047" s="64">
        <f>IF($A1047="","",IFERROR(INDEX(계정매핑!$E$5:$E$504,MATCH($F1047&amp;"",계정매핑!$A$5:$A$504,0))&amp;"","공통비"))</f>
        <v/>
      </c>
      <c r="AF1047" s="64">
        <f>IF($A1047="","",IF(AE1047="직접",IFERROR(INDEX(계정매핑!$F$5:$F$504,MATCH($F1047&amp;"",계정매핑!$A$5:$A$504,0))&amp;"","비귀속"),""))</f>
        <v/>
      </c>
      <c r="AG1047" s="96">
        <f>IF($A1047="",0,IF(AND(AE1047&lt;&gt;"직접",IFERROR(INDEX(계정매핑!$G$5:$G$504,MATCH($F1047&amp;"",계정매핑!$A$5:$A$504,0))&amp;"","")="유지비",COUNTIF(계정대체기준!$A$6:$A$15,$N1047)&gt;0),IFERROR(INDEX(계정대체기준!$E$6:$E$15,MATCH(VALUE($A1047&amp;""),계정대체기준!$D$6:$D$15,0)),0),0))</f>
        <v/>
      </c>
      <c r="AH1047" s="64">
        <f>IF($A1047="","",IF(AD1047=0,"",IF(OR(COUNTIF(계정대체기준!$A$77:$A$86,$N1047)&gt;0,ISNUMBER(MATCH($X1047,계정대체기준!$D$77:$D$86,0)),ISNUMBER(MATCH($F1047,계정대체기준!$D$77:$D$86,0))),"Y","N")))</f>
        <v/>
      </c>
    </row>
    <row r="1048">
      <c r="A1048" s="92" t="n">
        <v>2025</v>
      </c>
      <c r="B1048" s="92" t="n">
        <v>5</v>
      </c>
      <c r="C1048" s="92" t="inlineStr">
        <is>
          <t>5100001044</t>
        </is>
      </c>
      <c r="D1048" s="95" t="n">
        <v>45795</v>
      </c>
      <c r="E1048" s="92" t="inlineStr">
        <is>
          <t>KR</t>
        </is>
      </c>
      <c r="F1048" s="92" t="n">
        <v>62102000</v>
      </c>
      <c r="G1048" s="92" t="n">
        <v>1701</v>
      </c>
      <c r="H1048" s="93" t="n">
        <v>47000</v>
      </c>
      <c r="I1048" s="92" t="inlineStr">
        <is>
          <t>5월 해외출장 - N호텔</t>
        </is>
      </c>
      <c r="J1048" s="92" t="inlineStr">
        <is>
          <t>V10009</t>
        </is>
      </c>
      <c r="K1048" s="92" t="inlineStr">
        <is>
          <t>N호텔</t>
        </is>
      </c>
      <c r="M1048" s="9">
        <f>IF($A1048="","",VALUE($A1048&amp;"")*12+VALUE($B1048&amp;""))</f>
        <v/>
      </c>
      <c r="N1048" s="64">
        <f>IF($A1048="","",IFERROR(INDEX(부서매핑!$C$5:$C$504,MATCH($G1048&amp;"",부서매핑!$A$5:$A$504,0)),"미매핑"))</f>
        <v/>
      </c>
      <c r="O1048" s="9">
        <f>IF($A1048="","",N1048&amp;"|"&amp;$F1048)</f>
        <v/>
      </c>
      <c r="P1048" s="94">
        <f>IF($A1048="",0,$H1048*설정!$C$23)</f>
        <v/>
      </c>
      <c r="Q1048" s="64">
        <f>IF($A1048="","",IF(O1048&lt;&gt;원인분석!$C$9,"",IF(AND(M1048&gt;=원인분석!$C$10,M1048&lt;=원인분석!$C$11),"당기",IF(AND(M1048&gt;=원인분석!$C$12,M1048&lt;=원인분석!$C$13),"비교",""))))</f>
        <v/>
      </c>
      <c r="R1048" s="9">
        <f>IF(Q1048="","",$K1048&amp;"")</f>
        <v/>
      </c>
      <c r="S1048" s="9">
        <f>IF(Q1048="","",IF(MATCH(R1048,$R$5:$R$100000,0)=ROW()-4,ROW(),""))</f>
        <v/>
      </c>
      <c r="T1048" s="9">
        <f>IF(Q1048="당기",ABS(P1048)+ROW()/1000000000,"")</f>
        <v/>
      </c>
      <c r="U1048" s="9">
        <f>IF(Q1048="비교",ABS(P1048)+ROW()/1000000000,"")</f>
        <v/>
      </c>
      <c r="V1048" s="64">
        <f>IF($A1048="","",IF(COUNTIF(변동분석!$E$7:$E$506,O1048)&gt;0,"Y","N"))</f>
        <v/>
      </c>
      <c r="W1048" s="64">
        <f>IF($A1048="","",IFERROR(INDEX(계정매핑!$D$5:$D$504,MATCH($F1048&amp;"",계정매핑!$A$5:$A$504,0)),"미매핑"))</f>
        <v/>
      </c>
      <c r="X1048" s="9">
        <f>IF($A1048="","",$F1048&amp;"")</f>
        <v/>
      </c>
      <c r="Y1048" s="94">
        <f>IF($A1048="",0,IF(AE1048="직접",IF(AF1048="비귀속",$P1048,0),$P1048*(1-AG1048)*IFERROR(INDEX(계정대체기준!$F$20:$F$49,MATCH($N1048,계정대체기준!$A$20:$A$49,0)),1)))</f>
        <v/>
      </c>
      <c r="Z1048" s="94">
        <f>IF($A1048="",0,IF(AE1048="직접",IF(AF1048="신계약비",$P1048,0),$P1048*(1-AG1048)*IFERROR(INDEX(계정대체기준!$C$20:$C$49,MATCH($N1048,계정대체기준!$A$20:$A$49,0)),0)))</f>
        <v/>
      </c>
      <c r="AA1048" s="94">
        <f>IF($A1048="",0,IF(AE1048="직접",IF(OR(AF1048="유지비",AF1048="손해조사비"),$P1048,0),$P1048*(1-AG1048)*IFERROR(INDEX(계정대체기준!$D$20:$D$49,MATCH($N1048,계정대체기준!$A$20:$A$49,0)),0)))</f>
        <v/>
      </c>
      <c r="AB1048" s="94">
        <f>IF($A1048="",0,IF(AE1048="직접",IF(AF1048="수금비",$P1048,0),$P1048*(1-AG1048)*IFERROR(INDEX(계정대체기준!$E$20:$E$49,MATCH($N1048,계정대체기준!$A$20:$A$49,0)),0)))</f>
        <v/>
      </c>
      <c r="AC1048" s="9">
        <f>IF(AND($A1048&lt;&gt;"",M1048=설정!$C$20,Z1048&gt;0),Z1048+ROW()/1000000000,"")</f>
        <v/>
      </c>
      <c r="AD1048" s="94">
        <f>IF($A1048="",0,$P1048*AG1048)</f>
        <v/>
      </c>
      <c r="AE1048" s="64">
        <f>IF($A1048="","",IFERROR(INDEX(계정매핑!$E$5:$E$504,MATCH($F1048&amp;"",계정매핑!$A$5:$A$504,0))&amp;"","공통비"))</f>
        <v/>
      </c>
      <c r="AF1048" s="64">
        <f>IF($A1048="","",IF(AE1048="직접",IFERROR(INDEX(계정매핑!$F$5:$F$504,MATCH($F1048&amp;"",계정매핑!$A$5:$A$504,0))&amp;"","비귀속"),""))</f>
        <v/>
      </c>
      <c r="AG1048" s="96">
        <f>IF($A1048="",0,IF(AND(AE1048&lt;&gt;"직접",IFERROR(INDEX(계정매핑!$G$5:$G$504,MATCH($F1048&amp;"",계정매핑!$A$5:$A$504,0))&amp;"","")="유지비",COUNTIF(계정대체기준!$A$6:$A$15,$N1048)&gt;0),IFERROR(INDEX(계정대체기준!$E$6:$E$15,MATCH(VALUE($A1048&amp;""),계정대체기준!$D$6:$D$15,0)),0),0))</f>
        <v/>
      </c>
      <c r="AH1048" s="64">
        <f>IF($A1048="","",IF(AD1048=0,"",IF(OR(COUNTIF(계정대체기준!$A$77:$A$86,$N1048)&gt;0,ISNUMBER(MATCH($X1048,계정대체기준!$D$77:$D$86,0)),ISNUMBER(MATCH($F1048,계정대체기준!$D$77:$D$86,0))),"Y","N")))</f>
        <v/>
      </c>
    </row>
    <row r="1049">
      <c r="A1049" s="92" t="n">
        <v>2025</v>
      </c>
      <c r="B1049" s="92" t="n">
        <v>5</v>
      </c>
      <c r="C1049" s="92" t="inlineStr">
        <is>
          <t>5100001045</t>
        </is>
      </c>
      <c r="D1049" s="95" t="n">
        <v>45795</v>
      </c>
      <c r="E1049" s="92" t="inlineStr">
        <is>
          <t>KR</t>
        </is>
      </c>
      <c r="F1049" s="92" t="n">
        <v>62102000</v>
      </c>
      <c r="G1049" s="92" t="n">
        <v>1801</v>
      </c>
      <c r="H1049" s="93" t="n">
        <v>61000</v>
      </c>
      <c r="I1049" s="92" t="inlineStr">
        <is>
          <t>5월 해외출장 - N호텔</t>
        </is>
      </c>
      <c r="J1049" s="92" t="inlineStr">
        <is>
          <t>V10009</t>
        </is>
      </c>
      <c r="K1049" s="92" t="inlineStr">
        <is>
          <t>N호텔</t>
        </is>
      </c>
      <c r="M1049" s="9">
        <f>IF($A1049="","",VALUE($A1049&amp;"")*12+VALUE($B1049&amp;""))</f>
        <v/>
      </c>
      <c r="N1049" s="64">
        <f>IF($A1049="","",IFERROR(INDEX(부서매핑!$C$5:$C$504,MATCH($G1049&amp;"",부서매핑!$A$5:$A$504,0)),"미매핑"))</f>
        <v/>
      </c>
      <c r="O1049" s="9">
        <f>IF($A1049="","",N1049&amp;"|"&amp;$F1049)</f>
        <v/>
      </c>
      <c r="P1049" s="94">
        <f>IF($A1049="",0,$H1049*설정!$C$23)</f>
        <v/>
      </c>
      <c r="Q1049" s="64">
        <f>IF($A1049="","",IF(O1049&lt;&gt;원인분석!$C$9,"",IF(AND(M1049&gt;=원인분석!$C$10,M1049&lt;=원인분석!$C$11),"당기",IF(AND(M1049&gt;=원인분석!$C$12,M1049&lt;=원인분석!$C$13),"비교",""))))</f>
        <v/>
      </c>
      <c r="R1049" s="9">
        <f>IF(Q1049="","",$K1049&amp;"")</f>
        <v/>
      </c>
      <c r="S1049" s="9">
        <f>IF(Q1049="","",IF(MATCH(R1049,$R$5:$R$100000,0)=ROW()-4,ROW(),""))</f>
        <v/>
      </c>
      <c r="T1049" s="9">
        <f>IF(Q1049="당기",ABS(P1049)+ROW()/1000000000,"")</f>
        <v/>
      </c>
      <c r="U1049" s="9">
        <f>IF(Q1049="비교",ABS(P1049)+ROW()/1000000000,"")</f>
        <v/>
      </c>
      <c r="V1049" s="64">
        <f>IF($A1049="","",IF(COUNTIF(변동분석!$E$7:$E$506,O1049)&gt;0,"Y","N"))</f>
        <v/>
      </c>
      <c r="W1049" s="64">
        <f>IF($A1049="","",IFERROR(INDEX(계정매핑!$D$5:$D$504,MATCH($F1049&amp;"",계정매핑!$A$5:$A$504,0)),"미매핑"))</f>
        <v/>
      </c>
      <c r="X1049" s="9">
        <f>IF($A1049="","",$F1049&amp;"")</f>
        <v/>
      </c>
      <c r="Y1049" s="94">
        <f>IF($A1049="",0,IF(AE1049="직접",IF(AF1049="비귀속",$P1049,0),$P1049*(1-AG1049)*IFERROR(INDEX(계정대체기준!$F$20:$F$49,MATCH($N1049,계정대체기준!$A$20:$A$49,0)),1)))</f>
        <v/>
      </c>
      <c r="Z1049" s="94">
        <f>IF($A1049="",0,IF(AE1049="직접",IF(AF1049="신계약비",$P1049,0),$P1049*(1-AG1049)*IFERROR(INDEX(계정대체기준!$C$20:$C$49,MATCH($N1049,계정대체기준!$A$20:$A$49,0)),0)))</f>
        <v/>
      </c>
      <c r="AA1049" s="94">
        <f>IF($A1049="",0,IF(AE1049="직접",IF(OR(AF1049="유지비",AF1049="손해조사비"),$P1049,0),$P1049*(1-AG1049)*IFERROR(INDEX(계정대체기준!$D$20:$D$49,MATCH($N1049,계정대체기준!$A$20:$A$49,0)),0)))</f>
        <v/>
      </c>
      <c r="AB1049" s="94">
        <f>IF($A1049="",0,IF(AE1049="직접",IF(AF1049="수금비",$P1049,0),$P1049*(1-AG1049)*IFERROR(INDEX(계정대체기준!$E$20:$E$49,MATCH($N1049,계정대체기준!$A$20:$A$49,0)),0)))</f>
        <v/>
      </c>
      <c r="AC1049" s="9">
        <f>IF(AND($A1049&lt;&gt;"",M1049=설정!$C$20,Z1049&gt;0),Z1049+ROW()/1000000000,"")</f>
        <v/>
      </c>
      <c r="AD1049" s="94">
        <f>IF($A1049="",0,$P1049*AG1049)</f>
        <v/>
      </c>
      <c r="AE1049" s="64">
        <f>IF($A1049="","",IFERROR(INDEX(계정매핑!$E$5:$E$504,MATCH($F1049&amp;"",계정매핑!$A$5:$A$504,0))&amp;"","공통비"))</f>
        <v/>
      </c>
      <c r="AF1049" s="64">
        <f>IF($A1049="","",IF(AE1049="직접",IFERROR(INDEX(계정매핑!$F$5:$F$504,MATCH($F1049&amp;"",계정매핑!$A$5:$A$504,0))&amp;"","비귀속"),""))</f>
        <v/>
      </c>
      <c r="AG1049" s="96">
        <f>IF($A1049="",0,IF(AND(AE1049&lt;&gt;"직접",IFERROR(INDEX(계정매핑!$G$5:$G$504,MATCH($F1049&amp;"",계정매핑!$A$5:$A$504,0))&amp;"","")="유지비",COUNTIF(계정대체기준!$A$6:$A$15,$N1049)&gt;0),IFERROR(INDEX(계정대체기준!$E$6:$E$15,MATCH(VALUE($A1049&amp;""),계정대체기준!$D$6:$D$15,0)),0),0))</f>
        <v/>
      </c>
      <c r="AH1049" s="64">
        <f>IF($A1049="","",IF(AD1049=0,"",IF(OR(COUNTIF(계정대체기준!$A$77:$A$86,$N1049)&gt;0,ISNUMBER(MATCH($X1049,계정대체기준!$D$77:$D$86,0)),ISNUMBER(MATCH($F1049,계정대체기준!$D$77:$D$86,0))),"Y","N")))</f>
        <v/>
      </c>
    </row>
    <row r="1050">
      <c r="A1050" s="92" t="n">
        <v>2025</v>
      </c>
      <c r="B1050" s="92" t="n">
        <v>5</v>
      </c>
      <c r="C1050" s="92" t="inlineStr">
        <is>
          <t>5100001046</t>
        </is>
      </c>
      <c r="D1050" s="95" t="n">
        <v>45795</v>
      </c>
      <c r="E1050" s="92" t="inlineStr">
        <is>
          <t>KR</t>
        </is>
      </c>
      <c r="F1050" s="92" t="n">
        <v>62201000</v>
      </c>
      <c r="G1050" s="92" t="n">
        <v>1601</v>
      </c>
      <c r="H1050" s="93" t="n">
        <v>380000</v>
      </c>
      <c r="I1050" s="92" t="inlineStr">
        <is>
          <t>5월 통신요금 - P통신</t>
        </is>
      </c>
      <c r="J1050" s="92" t="inlineStr">
        <is>
          <t>V10014</t>
        </is>
      </c>
      <c r="K1050" s="92" t="inlineStr">
        <is>
          <t>P통신</t>
        </is>
      </c>
      <c r="M1050" s="9">
        <f>IF($A1050="","",VALUE($A1050&amp;"")*12+VALUE($B1050&amp;""))</f>
        <v/>
      </c>
      <c r="N1050" s="64">
        <f>IF($A1050="","",IFERROR(INDEX(부서매핑!$C$5:$C$504,MATCH($G1050&amp;"",부서매핑!$A$5:$A$504,0)),"미매핑"))</f>
        <v/>
      </c>
      <c r="O1050" s="9">
        <f>IF($A1050="","",N1050&amp;"|"&amp;$F1050)</f>
        <v/>
      </c>
      <c r="P1050" s="94">
        <f>IF($A1050="",0,$H1050*설정!$C$23)</f>
        <v/>
      </c>
      <c r="Q1050" s="64">
        <f>IF($A1050="","",IF(O1050&lt;&gt;원인분석!$C$9,"",IF(AND(M1050&gt;=원인분석!$C$10,M1050&lt;=원인분석!$C$11),"당기",IF(AND(M1050&gt;=원인분석!$C$12,M1050&lt;=원인분석!$C$13),"비교",""))))</f>
        <v/>
      </c>
      <c r="R1050" s="9">
        <f>IF(Q1050="","",$K1050&amp;"")</f>
        <v/>
      </c>
      <c r="S1050" s="9">
        <f>IF(Q1050="","",IF(MATCH(R1050,$R$5:$R$100000,0)=ROW()-4,ROW(),""))</f>
        <v/>
      </c>
      <c r="T1050" s="9">
        <f>IF(Q1050="당기",ABS(P1050)+ROW()/1000000000,"")</f>
        <v/>
      </c>
      <c r="U1050" s="9">
        <f>IF(Q1050="비교",ABS(P1050)+ROW()/1000000000,"")</f>
        <v/>
      </c>
      <c r="V1050" s="64">
        <f>IF($A1050="","",IF(COUNTIF(변동분석!$E$7:$E$506,O1050)&gt;0,"Y","N"))</f>
        <v/>
      </c>
      <c r="W1050" s="64">
        <f>IF($A1050="","",IFERROR(INDEX(계정매핑!$D$5:$D$504,MATCH($F1050&amp;"",계정매핑!$A$5:$A$504,0)),"미매핑"))</f>
        <v/>
      </c>
      <c r="X1050" s="9">
        <f>IF($A1050="","",$F1050&amp;"")</f>
        <v/>
      </c>
      <c r="Y1050" s="94">
        <f>IF($A1050="",0,IF(AE1050="직접",IF(AF1050="비귀속",$P1050,0),$P1050*(1-AG1050)*IFERROR(INDEX(계정대체기준!$F$20:$F$49,MATCH($N1050,계정대체기준!$A$20:$A$49,0)),1)))</f>
        <v/>
      </c>
      <c r="Z1050" s="94">
        <f>IF($A1050="",0,IF(AE1050="직접",IF(AF1050="신계약비",$P1050,0),$P1050*(1-AG1050)*IFERROR(INDEX(계정대체기준!$C$20:$C$49,MATCH($N1050,계정대체기준!$A$20:$A$49,0)),0)))</f>
        <v/>
      </c>
      <c r="AA1050" s="94">
        <f>IF($A1050="",0,IF(AE1050="직접",IF(OR(AF1050="유지비",AF1050="손해조사비"),$P1050,0),$P1050*(1-AG1050)*IFERROR(INDEX(계정대체기준!$D$20:$D$49,MATCH($N1050,계정대체기준!$A$20:$A$49,0)),0)))</f>
        <v/>
      </c>
      <c r="AB1050" s="94">
        <f>IF($A1050="",0,IF(AE1050="직접",IF(AF1050="수금비",$P1050,0),$P1050*(1-AG1050)*IFERROR(INDEX(계정대체기준!$E$20:$E$49,MATCH($N1050,계정대체기준!$A$20:$A$49,0)),0)))</f>
        <v/>
      </c>
      <c r="AC1050" s="9">
        <f>IF(AND($A1050&lt;&gt;"",M1050=설정!$C$20,Z1050&gt;0),Z1050+ROW()/1000000000,"")</f>
        <v/>
      </c>
      <c r="AD1050" s="94">
        <f>IF($A1050="",0,$P1050*AG1050)</f>
        <v/>
      </c>
      <c r="AE1050" s="64">
        <f>IF($A1050="","",IFERROR(INDEX(계정매핑!$E$5:$E$504,MATCH($F1050&amp;"",계정매핑!$A$5:$A$504,0))&amp;"","공통비"))</f>
        <v/>
      </c>
      <c r="AF1050" s="64">
        <f>IF($A1050="","",IF(AE1050="직접",IFERROR(INDEX(계정매핑!$F$5:$F$504,MATCH($F1050&amp;"",계정매핑!$A$5:$A$504,0))&amp;"","비귀속"),""))</f>
        <v/>
      </c>
      <c r="AG1050" s="96">
        <f>IF($A1050="",0,IF(AND(AE1050&lt;&gt;"직접",IFERROR(INDEX(계정매핑!$G$5:$G$504,MATCH($F1050&amp;"",계정매핑!$A$5:$A$504,0))&amp;"","")="유지비",COUNTIF(계정대체기준!$A$6:$A$15,$N1050)&gt;0),IFERROR(INDEX(계정대체기준!$E$6:$E$15,MATCH(VALUE($A1050&amp;""),계정대체기준!$D$6:$D$15,0)),0),0))</f>
        <v/>
      </c>
      <c r="AH1050" s="64">
        <f>IF($A1050="","",IF(AD1050=0,"",IF(OR(COUNTIF(계정대체기준!$A$77:$A$86,$N1050)&gt;0,ISNUMBER(MATCH($X1050,계정대체기준!$D$77:$D$86,0)),ISNUMBER(MATCH($F1050,계정대체기준!$D$77:$D$86,0))),"Y","N")))</f>
        <v/>
      </c>
    </row>
    <row r="1051">
      <c r="A1051" s="92" t="n">
        <v>2025</v>
      </c>
      <c r="B1051" s="92" t="n">
        <v>5</v>
      </c>
      <c r="C1051" s="92" t="inlineStr">
        <is>
          <t>5100001047</t>
        </is>
      </c>
      <c r="D1051" s="95" t="n">
        <v>45795</v>
      </c>
      <c r="E1051" s="92" t="inlineStr">
        <is>
          <t>KR</t>
        </is>
      </c>
      <c r="F1051" s="92" t="n">
        <v>62201000</v>
      </c>
      <c r="G1051" s="92" t="n">
        <v>1602</v>
      </c>
      <c r="H1051" s="93" t="n">
        <v>607000</v>
      </c>
      <c r="I1051" s="92" t="inlineStr">
        <is>
          <t>5월 통신요금 - P통신</t>
        </is>
      </c>
      <c r="J1051" s="92" t="inlineStr">
        <is>
          <t>V10014</t>
        </is>
      </c>
      <c r="K1051" s="92" t="inlineStr">
        <is>
          <t>P통신</t>
        </is>
      </c>
      <c r="M1051" s="9">
        <f>IF($A1051="","",VALUE($A1051&amp;"")*12+VALUE($B1051&amp;""))</f>
        <v/>
      </c>
      <c r="N1051" s="64">
        <f>IF($A1051="","",IFERROR(INDEX(부서매핑!$C$5:$C$504,MATCH($G1051&amp;"",부서매핑!$A$5:$A$504,0)),"미매핑"))</f>
        <v/>
      </c>
      <c r="O1051" s="9">
        <f>IF($A1051="","",N1051&amp;"|"&amp;$F1051)</f>
        <v/>
      </c>
      <c r="P1051" s="94">
        <f>IF($A1051="",0,$H1051*설정!$C$23)</f>
        <v/>
      </c>
      <c r="Q1051" s="64">
        <f>IF($A1051="","",IF(O1051&lt;&gt;원인분석!$C$9,"",IF(AND(M1051&gt;=원인분석!$C$10,M1051&lt;=원인분석!$C$11),"당기",IF(AND(M1051&gt;=원인분석!$C$12,M1051&lt;=원인분석!$C$13),"비교",""))))</f>
        <v/>
      </c>
      <c r="R1051" s="9">
        <f>IF(Q1051="","",$K1051&amp;"")</f>
        <v/>
      </c>
      <c r="S1051" s="9">
        <f>IF(Q1051="","",IF(MATCH(R1051,$R$5:$R$100000,0)=ROW()-4,ROW(),""))</f>
        <v/>
      </c>
      <c r="T1051" s="9">
        <f>IF(Q1051="당기",ABS(P1051)+ROW()/1000000000,"")</f>
        <v/>
      </c>
      <c r="U1051" s="9">
        <f>IF(Q1051="비교",ABS(P1051)+ROW()/1000000000,"")</f>
        <v/>
      </c>
      <c r="V1051" s="64">
        <f>IF($A1051="","",IF(COUNTIF(변동분석!$E$7:$E$506,O1051)&gt;0,"Y","N"))</f>
        <v/>
      </c>
      <c r="W1051" s="64">
        <f>IF($A1051="","",IFERROR(INDEX(계정매핑!$D$5:$D$504,MATCH($F1051&amp;"",계정매핑!$A$5:$A$504,0)),"미매핑"))</f>
        <v/>
      </c>
      <c r="X1051" s="9">
        <f>IF($A1051="","",$F1051&amp;"")</f>
        <v/>
      </c>
      <c r="Y1051" s="94">
        <f>IF($A1051="",0,IF(AE1051="직접",IF(AF1051="비귀속",$P1051,0),$P1051*(1-AG1051)*IFERROR(INDEX(계정대체기준!$F$20:$F$49,MATCH($N1051,계정대체기준!$A$20:$A$49,0)),1)))</f>
        <v/>
      </c>
      <c r="Z1051" s="94">
        <f>IF($A1051="",0,IF(AE1051="직접",IF(AF1051="신계약비",$P1051,0),$P1051*(1-AG1051)*IFERROR(INDEX(계정대체기준!$C$20:$C$49,MATCH($N1051,계정대체기준!$A$20:$A$49,0)),0)))</f>
        <v/>
      </c>
      <c r="AA1051" s="94">
        <f>IF($A1051="",0,IF(AE1051="직접",IF(OR(AF1051="유지비",AF1051="손해조사비"),$P1051,0),$P1051*(1-AG1051)*IFERROR(INDEX(계정대체기준!$D$20:$D$49,MATCH($N1051,계정대체기준!$A$20:$A$49,0)),0)))</f>
        <v/>
      </c>
      <c r="AB1051" s="94">
        <f>IF($A1051="",0,IF(AE1051="직접",IF(AF1051="수금비",$P1051,0),$P1051*(1-AG1051)*IFERROR(INDEX(계정대체기준!$E$20:$E$49,MATCH($N1051,계정대체기준!$A$20:$A$49,0)),0)))</f>
        <v/>
      </c>
      <c r="AC1051" s="9">
        <f>IF(AND($A1051&lt;&gt;"",M1051=설정!$C$20,Z1051&gt;0),Z1051+ROW()/1000000000,"")</f>
        <v/>
      </c>
      <c r="AD1051" s="94">
        <f>IF($A1051="",0,$P1051*AG1051)</f>
        <v/>
      </c>
      <c r="AE1051" s="64">
        <f>IF($A1051="","",IFERROR(INDEX(계정매핑!$E$5:$E$504,MATCH($F1051&amp;"",계정매핑!$A$5:$A$504,0))&amp;"","공통비"))</f>
        <v/>
      </c>
      <c r="AF1051" s="64">
        <f>IF($A1051="","",IF(AE1051="직접",IFERROR(INDEX(계정매핑!$F$5:$F$504,MATCH($F1051&amp;"",계정매핑!$A$5:$A$504,0))&amp;"","비귀속"),""))</f>
        <v/>
      </c>
      <c r="AG1051" s="96">
        <f>IF($A1051="",0,IF(AND(AE1051&lt;&gt;"직접",IFERROR(INDEX(계정매핑!$G$5:$G$504,MATCH($F1051&amp;"",계정매핑!$A$5:$A$504,0))&amp;"","")="유지비",COUNTIF(계정대체기준!$A$6:$A$15,$N1051)&gt;0),IFERROR(INDEX(계정대체기준!$E$6:$E$15,MATCH(VALUE($A1051&amp;""),계정대체기준!$D$6:$D$15,0)),0),0))</f>
        <v/>
      </c>
      <c r="AH1051" s="64">
        <f>IF($A1051="","",IF(AD1051=0,"",IF(OR(COUNTIF(계정대체기준!$A$77:$A$86,$N1051)&gt;0,ISNUMBER(MATCH($X1051,계정대체기준!$D$77:$D$86,0)),ISNUMBER(MATCH($F1051,계정대체기준!$D$77:$D$86,0))),"Y","N")))</f>
        <v/>
      </c>
    </row>
    <row r="1052">
      <c r="A1052" s="92" t="n">
        <v>2025</v>
      </c>
      <c r="B1052" s="92" t="n">
        <v>5</v>
      </c>
      <c r="C1052" s="92" t="inlineStr">
        <is>
          <t>5100001048</t>
        </is>
      </c>
      <c r="D1052" s="95" t="n">
        <v>45795</v>
      </c>
      <c r="E1052" s="92" t="inlineStr">
        <is>
          <t>KR</t>
        </is>
      </c>
      <c r="F1052" s="92" t="n">
        <v>62301000</v>
      </c>
      <c r="G1052" s="92" t="n">
        <v>1301</v>
      </c>
      <c r="H1052" s="93" t="n">
        <v>204000</v>
      </c>
      <c r="I1052" s="92" t="inlineStr">
        <is>
          <t>5월 소모품 구입 - Q오피스</t>
        </is>
      </c>
      <c r="J1052" s="92" t="inlineStr">
        <is>
          <t>V10003</t>
        </is>
      </c>
      <c r="K1052" s="92" t="inlineStr">
        <is>
          <t>Q오피스</t>
        </is>
      </c>
      <c r="M1052" s="9">
        <f>IF($A1052="","",VALUE($A1052&amp;"")*12+VALUE($B1052&amp;""))</f>
        <v/>
      </c>
      <c r="N1052" s="64">
        <f>IF($A1052="","",IFERROR(INDEX(부서매핑!$C$5:$C$504,MATCH($G1052&amp;"",부서매핑!$A$5:$A$504,0)),"미매핑"))</f>
        <v/>
      </c>
      <c r="O1052" s="9">
        <f>IF($A1052="","",N1052&amp;"|"&amp;$F1052)</f>
        <v/>
      </c>
      <c r="P1052" s="94">
        <f>IF($A1052="",0,$H1052*설정!$C$23)</f>
        <v/>
      </c>
      <c r="Q1052" s="64">
        <f>IF($A1052="","",IF(O1052&lt;&gt;원인분석!$C$9,"",IF(AND(M1052&gt;=원인분석!$C$10,M1052&lt;=원인분석!$C$11),"당기",IF(AND(M1052&gt;=원인분석!$C$12,M1052&lt;=원인분석!$C$13),"비교",""))))</f>
        <v/>
      </c>
      <c r="R1052" s="9">
        <f>IF(Q1052="","",$K1052&amp;"")</f>
        <v/>
      </c>
      <c r="S1052" s="9">
        <f>IF(Q1052="","",IF(MATCH(R1052,$R$5:$R$100000,0)=ROW()-4,ROW(),""))</f>
        <v/>
      </c>
      <c r="T1052" s="9">
        <f>IF(Q1052="당기",ABS(P1052)+ROW()/1000000000,"")</f>
        <v/>
      </c>
      <c r="U1052" s="9">
        <f>IF(Q1052="비교",ABS(P1052)+ROW()/1000000000,"")</f>
        <v/>
      </c>
      <c r="V1052" s="64">
        <f>IF($A1052="","",IF(COUNTIF(변동분석!$E$7:$E$506,O1052)&gt;0,"Y","N"))</f>
        <v/>
      </c>
      <c r="W1052" s="64">
        <f>IF($A1052="","",IFERROR(INDEX(계정매핑!$D$5:$D$504,MATCH($F1052&amp;"",계정매핑!$A$5:$A$504,0)),"미매핑"))</f>
        <v/>
      </c>
      <c r="X1052" s="9">
        <f>IF($A1052="","",$F1052&amp;"")</f>
        <v/>
      </c>
      <c r="Y1052" s="94">
        <f>IF($A1052="",0,IF(AE1052="직접",IF(AF1052="비귀속",$P1052,0),$P1052*(1-AG1052)*IFERROR(INDEX(계정대체기준!$F$20:$F$49,MATCH($N1052,계정대체기준!$A$20:$A$49,0)),1)))</f>
        <v/>
      </c>
      <c r="Z1052" s="94">
        <f>IF($A1052="",0,IF(AE1052="직접",IF(AF1052="신계약비",$P1052,0),$P1052*(1-AG1052)*IFERROR(INDEX(계정대체기준!$C$20:$C$49,MATCH($N1052,계정대체기준!$A$20:$A$49,0)),0)))</f>
        <v/>
      </c>
      <c r="AA1052" s="94">
        <f>IF($A1052="",0,IF(AE1052="직접",IF(OR(AF1052="유지비",AF1052="손해조사비"),$P1052,0),$P1052*(1-AG1052)*IFERROR(INDEX(계정대체기준!$D$20:$D$49,MATCH($N1052,계정대체기준!$A$20:$A$49,0)),0)))</f>
        <v/>
      </c>
      <c r="AB1052" s="94">
        <f>IF($A1052="",0,IF(AE1052="직접",IF(AF1052="수금비",$P1052,0),$P1052*(1-AG1052)*IFERROR(INDEX(계정대체기준!$E$20:$E$49,MATCH($N1052,계정대체기준!$A$20:$A$49,0)),0)))</f>
        <v/>
      </c>
      <c r="AC1052" s="9">
        <f>IF(AND($A1052&lt;&gt;"",M1052=설정!$C$20,Z1052&gt;0),Z1052+ROW()/1000000000,"")</f>
        <v/>
      </c>
      <c r="AD1052" s="94">
        <f>IF($A1052="",0,$P1052*AG1052)</f>
        <v/>
      </c>
      <c r="AE1052" s="64">
        <f>IF($A1052="","",IFERROR(INDEX(계정매핑!$E$5:$E$504,MATCH($F1052&amp;"",계정매핑!$A$5:$A$504,0))&amp;"","공통비"))</f>
        <v/>
      </c>
      <c r="AF1052" s="64">
        <f>IF($A1052="","",IF(AE1052="직접",IFERROR(INDEX(계정매핑!$F$5:$F$504,MATCH($F1052&amp;"",계정매핑!$A$5:$A$504,0))&amp;"","비귀속"),""))</f>
        <v/>
      </c>
      <c r="AG1052" s="96">
        <f>IF($A1052="",0,IF(AND(AE1052&lt;&gt;"직접",IFERROR(INDEX(계정매핑!$G$5:$G$504,MATCH($F1052&amp;"",계정매핑!$A$5:$A$504,0))&amp;"","")="유지비",COUNTIF(계정대체기준!$A$6:$A$15,$N1052)&gt;0),IFERROR(INDEX(계정대체기준!$E$6:$E$15,MATCH(VALUE($A1052&amp;""),계정대체기준!$D$6:$D$15,0)),0),0))</f>
        <v/>
      </c>
      <c r="AH1052" s="64">
        <f>IF($A1052="","",IF(AD1052=0,"",IF(OR(COUNTIF(계정대체기준!$A$77:$A$86,$N1052)&gt;0,ISNUMBER(MATCH($X1052,계정대체기준!$D$77:$D$86,0)),ISNUMBER(MATCH($F1052,계정대체기준!$D$77:$D$86,0))),"Y","N")))</f>
        <v/>
      </c>
    </row>
    <row r="1053">
      <c r="A1053" s="92" t="n">
        <v>2025</v>
      </c>
      <c r="B1053" s="92" t="n">
        <v>5</v>
      </c>
      <c r="C1053" s="92" t="inlineStr">
        <is>
          <t>5100001049</t>
        </is>
      </c>
      <c r="D1053" s="95" t="n">
        <v>45795</v>
      </c>
      <c r="E1053" s="92" t="inlineStr">
        <is>
          <t>KR</t>
        </is>
      </c>
      <c r="F1053" s="92" t="n">
        <v>62301000</v>
      </c>
      <c r="G1053" s="92" t="n">
        <v>1801</v>
      </c>
      <c r="H1053" s="93" t="n">
        <v>460000</v>
      </c>
      <c r="I1053" s="92" t="inlineStr">
        <is>
          <t>5월 소모품 구입 - Q오피스</t>
        </is>
      </c>
      <c r="J1053" s="92" t="inlineStr">
        <is>
          <t>V10003</t>
        </is>
      </c>
      <c r="K1053" s="92" t="inlineStr">
        <is>
          <t>Q오피스</t>
        </is>
      </c>
      <c r="M1053" s="9">
        <f>IF($A1053="","",VALUE($A1053&amp;"")*12+VALUE($B1053&amp;""))</f>
        <v/>
      </c>
      <c r="N1053" s="64">
        <f>IF($A1053="","",IFERROR(INDEX(부서매핑!$C$5:$C$504,MATCH($G1053&amp;"",부서매핑!$A$5:$A$504,0)),"미매핑"))</f>
        <v/>
      </c>
      <c r="O1053" s="9">
        <f>IF($A1053="","",N1053&amp;"|"&amp;$F1053)</f>
        <v/>
      </c>
      <c r="P1053" s="94">
        <f>IF($A1053="",0,$H1053*설정!$C$23)</f>
        <v/>
      </c>
      <c r="Q1053" s="64">
        <f>IF($A1053="","",IF(O1053&lt;&gt;원인분석!$C$9,"",IF(AND(M1053&gt;=원인분석!$C$10,M1053&lt;=원인분석!$C$11),"당기",IF(AND(M1053&gt;=원인분석!$C$12,M1053&lt;=원인분석!$C$13),"비교",""))))</f>
        <v/>
      </c>
      <c r="R1053" s="9">
        <f>IF(Q1053="","",$K1053&amp;"")</f>
        <v/>
      </c>
      <c r="S1053" s="9">
        <f>IF(Q1053="","",IF(MATCH(R1053,$R$5:$R$100000,0)=ROW()-4,ROW(),""))</f>
        <v/>
      </c>
      <c r="T1053" s="9">
        <f>IF(Q1053="당기",ABS(P1053)+ROW()/1000000000,"")</f>
        <v/>
      </c>
      <c r="U1053" s="9">
        <f>IF(Q1053="비교",ABS(P1053)+ROW()/1000000000,"")</f>
        <v/>
      </c>
      <c r="V1053" s="64">
        <f>IF($A1053="","",IF(COUNTIF(변동분석!$E$7:$E$506,O1053)&gt;0,"Y","N"))</f>
        <v/>
      </c>
      <c r="W1053" s="64">
        <f>IF($A1053="","",IFERROR(INDEX(계정매핑!$D$5:$D$504,MATCH($F1053&amp;"",계정매핑!$A$5:$A$504,0)),"미매핑"))</f>
        <v/>
      </c>
      <c r="X1053" s="9">
        <f>IF($A1053="","",$F1053&amp;"")</f>
        <v/>
      </c>
      <c r="Y1053" s="94">
        <f>IF($A1053="",0,IF(AE1053="직접",IF(AF1053="비귀속",$P1053,0),$P1053*(1-AG1053)*IFERROR(INDEX(계정대체기준!$F$20:$F$49,MATCH($N1053,계정대체기준!$A$20:$A$49,0)),1)))</f>
        <v/>
      </c>
      <c r="Z1053" s="94">
        <f>IF($A1053="",0,IF(AE1053="직접",IF(AF1053="신계약비",$P1053,0),$P1053*(1-AG1053)*IFERROR(INDEX(계정대체기준!$C$20:$C$49,MATCH($N1053,계정대체기준!$A$20:$A$49,0)),0)))</f>
        <v/>
      </c>
      <c r="AA1053" s="94">
        <f>IF($A1053="",0,IF(AE1053="직접",IF(OR(AF1053="유지비",AF1053="손해조사비"),$P1053,0),$P1053*(1-AG1053)*IFERROR(INDEX(계정대체기준!$D$20:$D$49,MATCH($N1053,계정대체기준!$A$20:$A$49,0)),0)))</f>
        <v/>
      </c>
      <c r="AB1053" s="94">
        <f>IF($A1053="",0,IF(AE1053="직접",IF(AF1053="수금비",$P1053,0),$P1053*(1-AG1053)*IFERROR(INDEX(계정대체기준!$E$20:$E$49,MATCH($N1053,계정대체기준!$A$20:$A$49,0)),0)))</f>
        <v/>
      </c>
      <c r="AC1053" s="9">
        <f>IF(AND($A1053&lt;&gt;"",M1053=설정!$C$20,Z1053&gt;0),Z1053+ROW()/1000000000,"")</f>
        <v/>
      </c>
      <c r="AD1053" s="94">
        <f>IF($A1053="",0,$P1053*AG1053)</f>
        <v/>
      </c>
      <c r="AE1053" s="64">
        <f>IF($A1053="","",IFERROR(INDEX(계정매핑!$E$5:$E$504,MATCH($F1053&amp;"",계정매핑!$A$5:$A$504,0))&amp;"","공통비"))</f>
        <v/>
      </c>
      <c r="AF1053" s="64">
        <f>IF($A1053="","",IF(AE1053="직접",IFERROR(INDEX(계정매핑!$F$5:$F$504,MATCH($F1053&amp;"",계정매핑!$A$5:$A$504,0))&amp;"","비귀속"),""))</f>
        <v/>
      </c>
      <c r="AG1053" s="96">
        <f>IF($A1053="",0,IF(AND(AE1053&lt;&gt;"직접",IFERROR(INDEX(계정매핑!$G$5:$G$504,MATCH($F1053&amp;"",계정매핑!$A$5:$A$504,0))&amp;"","")="유지비",COUNTIF(계정대체기준!$A$6:$A$15,$N1053)&gt;0),IFERROR(INDEX(계정대체기준!$E$6:$E$15,MATCH(VALUE($A1053&amp;""),계정대체기준!$D$6:$D$15,0)),0),0))</f>
        <v/>
      </c>
      <c r="AH1053" s="64">
        <f>IF($A1053="","",IF(AD1053=0,"",IF(OR(COUNTIF(계정대체기준!$A$77:$A$86,$N1053)&gt;0,ISNUMBER(MATCH($X1053,계정대체기준!$D$77:$D$86,0)),ISNUMBER(MATCH($F1053,계정대체기준!$D$77:$D$86,0))),"Y","N")))</f>
        <v/>
      </c>
    </row>
    <row r="1054">
      <c r="A1054" s="92" t="n">
        <v>2025</v>
      </c>
      <c r="B1054" s="92" t="n">
        <v>5</v>
      </c>
      <c r="C1054" s="92" t="inlineStr">
        <is>
          <t>5100001050</t>
        </is>
      </c>
      <c r="D1054" s="95" t="n">
        <v>45795</v>
      </c>
      <c r="E1054" s="92" t="inlineStr">
        <is>
          <t>KR</t>
        </is>
      </c>
      <c r="F1054" s="92" t="n">
        <v>62801000</v>
      </c>
      <c r="G1054" s="92" t="n">
        <v>1301</v>
      </c>
      <c r="H1054" s="93" t="n">
        <v>4565000</v>
      </c>
      <c r="I1054" s="92" t="inlineStr">
        <is>
          <t>5월 사내교육 - (사내강사료)</t>
        </is>
      </c>
      <c r="J1054" s="92" t="inlineStr">
        <is>
          <t>V10024</t>
        </is>
      </c>
      <c r="K1054" s="92" t="inlineStr">
        <is>
          <t>(사내강사료)</t>
        </is>
      </c>
      <c r="M1054" s="9">
        <f>IF($A1054="","",VALUE($A1054&amp;"")*12+VALUE($B1054&amp;""))</f>
        <v/>
      </c>
      <c r="N1054" s="64">
        <f>IF($A1054="","",IFERROR(INDEX(부서매핑!$C$5:$C$504,MATCH($G1054&amp;"",부서매핑!$A$5:$A$504,0)),"미매핑"))</f>
        <v/>
      </c>
      <c r="O1054" s="9">
        <f>IF($A1054="","",N1054&amp;"|"&amp;$F1054)</f>
        <v/>
      </c>
      <c r="P1054" s="94">
        <f>IF($A1054="",0,$H1054*설정!$C$23)</f>
        <v/>
      </c>
      <c r="Q1054" s="64">
        <f>IF($A1054="","",IF(O1054&lt;&gt;원인분석!$C$9,"",IF(AND(M1054&gt;=원인분석!$C$10,M1054&lt;=원인분석!$C$11),"당기",IF(AND(M1054&gt;=원인분석!$C$12,M1054&lt;=원인분석!$C$13),"비교",""))))</f>
        <v/>
      </c>
      <c r="R1054" s="9">
        <f>IF(Q1054="","",$K1054&amp;"")</f>
        <v/>
      </c>
      <c r="S1054" s="9">
        <f>IF(Q1054="","",IF(MATCH(R1054,$R$5:$R$100000,0)=ROW()-4,ROW(),""))</f>
        <v/>
      </c>
      <c r="T1054" s="9">
        <f>IF(Q1054="당기",ABS(P1054)+ROW()/1000000000,"")</f>
        <v/>
      </c>
      <c r="U1054" s="9">
        <f>IF(Q1054="비교",ABS(P1054)+ROW()/1000000000,"")</f>
        <v/>
      </c>
      <c r="V1054" s="64">
        <f>IF($A1054="","",IF(COUNTIF(변동분석!$E$7:$E$506,O1054)&gt;0,"Y","N"))</f>
        <v/>
      </c>
      <c r="W1054" s="64">
        <f>IF($A1054="","",IFERROR(INDEX(계정매핑!$D$5:$D$504,MATCH($F1054&amp;"",계정매핑!$A$5:$A$504,0)),"미매핑"))</f>
        <v/>
      </c>
      <c r="X1054" s="9">
        <f>IF($A1054="","",$F1054&amp;"")</f>
        <v/>
      </c>
      <c r="Y1054" s="94">
        <f>IF($A1054="",0,IF(AE1054="직접",IF(AF1054="비귀속",$P1054,0),$P1054*(1-AG1054)*IFERROR(INDEX(계정대체기준!$F$20:$F$49,MATCH($N1054,계정대체기준!$A$20:$A$49,0)),1)))</f>
        <v/>
      </c>
      <c r="Z1054" s="94">
        <f>IF($A1054="",0,IF(AE1054="직접",IF(AF1054="신계약비",$P1054,0),$P1054*(1-AG1054)*IFERROR(INDEX(계정대체기준!$C$20:$C$49,MATCH($N1054,계정대체기준!$A$20:$A$49,0)),0)))</f>
        <v/>
      </c>
      <c r="AA1054" s="94">
        <f>IF($A1054="",0,IF(AE1054="직접",IF(OR(AF1054="유지비",AF1054="손해조사비"),$P1054,0),$P1054*(1-AG1054)*IFERROR(INDEX(계정대체기준!$D$20:$D$49,MATCH($N1054,계정대체기준!$A$20:$A$49,0)),0)))</f>
        <v/>
      </c>
      <c r="AB1054" s="94">
        <f>IF($A1054="",0,IF(AE1054="직접",IF(AF1054="수금비",$P1054,0),$P1054*(1-AG1054)*IFERROR(INDEX(계정대체기준!$E$20:$E$49,MATCH($N1054,계정대체기준!$A$20:$A$49,0)),0)))</f>
        <v/>
      </c>
      <c r="AC1054" s="9">
        <f>IF(AND($A1054&lt;&gt;"",M1054=설정!$C$20,Z1054&gt;0),Z1054+ROW()/1000000000,"")</f>
        <v/>
      </c>
      <c r="AD1054" s="94">
        <f>IF($A1054="",0,$P1054*AG1054)</f>
        <v/>
      </c>
      <c r="AE1054" s="64">
        <f>IF($A1054="","",IFERROR(INDEX(계정매핑!$E$5:$E$504,MATCH($F1054&amp;"",계정매핑!$A$5:$A$504,0))&amp;"","공통비"))</f>
        <v/>
      </c>
      <c r="AF1054" s="64">
        <f>IF($A1054="","",IF(AE1054="직접",IFERROR(INDEX(계정매핑!$F$5:$F$504,MATCH($F1054&amp;"",계정매핑!$A$5:$A$504,0))&amp;"","비귀속"),""))</f>
        <v/>
      </c>
      <c r="AG1054" s="96">
        <f>IF($A1054="",0,IF(AND(AE1054&lt;&gt;"직접",IFERROR(INDEX(계정매핑!$G$5:$G$504,MATCH($F1054&amp;"",계정매핑!$A$5:$A$504,0))&amp;"","")="유지비",COUNTIF(계정대체기준!$A$6:$A$15,$N1054)&gt;0),IFERROR(INDEX(계정대체기준!$E$6:$E$15,MATCH(VALUE($A1054&amp;""),계정대체기준!$D$6:$D$15,0)),0),0))</f>
        <v/>
      </c>
      <c r="AH1054" s="64">
        <f>IF($A1054="","",IF(AD1054=0,"",IF(OR(COUNTIF(계정대체기준!$A$77:$A$86,$N1054)&gt;0,ISNUMBER(MATCH($X1054,계정대체기준!$D$77:$D$86,0)),ISNUMBER(MATCH($F1054,계정대체기준!$D$77:$D$86,0))),"Y","N")))</f>
        <v/>
      </c>
    </row>
    <row r="1055">
      <c r="A1055" s="92" t="n">
        <v>2025</v>
      </c>
      <c r="B1055" s="92" t="n">
        <v>5</v>
      </c>
      <c r="C1055" s="92" t="inlineStr">
        <is>
          <t>5100001051</t>
        </is>
      </c>
      <c r="D1055" s="95" t="n">
        <v>45795</v>
      </c>
      <c r="E1055" s="92" t="inlineStr">
        <is>
          <t>KR</t>
        </is>
      </c>
      <c r="F1055" s="92" t="n">
        <v>62901000</v>
      </c>
      <c r="G1055" s="92" t="n">
        <v>1101</v>
      </c>
      <c r="H1055" s="93" t="n">
        <v>2652000</v>
      </c>
      <c r="I1055" s="92" t="inlineStr">
        <is>
          <t>5월 자문 수수료 - K회계법인</t>
        </is>
      </c>
      <c r="J1055" s="92" t="inlineStr">
        <is>
          <t>V10011</t>
        </is>
      </c>
      <c r="K1055" s="92" t="inlineStr">
        <is>
          <t>K회계법인</t>
        </is>
      </c>
      <c r="M1055" s="9">
        <f>IF($A1055="","",VALUE($A1055&amp;"")*12+VALUE($B1055&amp;""))</f>
        <v/>
      </c>
      <c r="N1055" s="64">
        <f>IF($A1055="","",IFERROR(INDEX(부서매핑!$C$5:$C$504,MATCH($G1055&amp;"",부서매핑!$A$5:$A$504,0)),"미매핑"))</f>
        <v/>
      </c>
      <c r="O1055" s="9">
        <f>IF($A1055="","",N1055&amp;"|"&amp;$F1055)</f>
        <v/>
      </c>
      <c r="P1055" s="94">
        <f>IF($A1055="",0,$H1055*설정!$C$23)</f>
        <v/>
      </c>
      <c r="Q1055" s="64">
        <f>IF($A1055="","",IF(O1055&lt;&gt;원인분석!$C$9,"",IF(AND(M1055&gt;=원인분석!$C$10,M1055&lt;=원인분석!$C$11),"당기",IF(AND(M1055&gt;=원인분석!$C$12,M1055&lt;=원인분석!$C$13),"비교",""))))</f>
        <v/>
      </c>
      <c r="R1055" s="9">
        <f>IF(Q1055="","",$K1055&amp;"")</f>
        <v/>
      </c>
      <c r="S1055" s="9">
        <f>IF(Q1055="","",IF(MATCH(R1055,$R$5:$R$100000,0)=ROW()-4,ROW(),""))</f>
        <v/>
      </c>
      <c r="T1055" s="9">
        <f>IF(Q1055="당기",ABS(P1055)+ROW()/1000000000,"")</f>
        <v/>
      </c>
      <c r="U1055" s="9">
        <f>IF(Q1055="비교",ABS(P1055)+ROW()/1000000000,"")</f>
        <v/>
      </c>
      <c r="V1055" s="64">
        <f>IF($A1055="","",IF(COUNTIF(변동분석!$E$7:$E$506,O1055)&gt;0,"Y","N"))</f>
        <v/>
      </c>
      <c r="W1055" s="64">
        <f>IF($A1055="","",IFERROR(INDEX(계정매핑!$D$5:$D$504,MATCH($F1055&amp;"",계정매핑!$A$5:$A$504,0)),"미매핑"))</f>
        <v/>
      </c>
      <c r="X1055" s="9">
        <f>IF($A1055="","",$F1055&amp;"")</f>
        <v/>
      </c>
      <c r="Y1055" s="94">
        <f>IF($A1055="",0,IF(AE1055="직접",IF(AF1055="비귀속",$P1055,0),$P1055*(1-AG1055)*IFERROR(INDEX(계정대체기준!$F$20:$F$49,MATCH($N1055,계정대체기준!$A$20:$A$49,0)),1)))</f>
        <v/>
      </c>
      <c r="Z1055" s="94">
        <f>IF($A1055="",0,IF(AE1055="직접",IF(AF1055="신계약비",$P1055,0),$P1055*(1-AG1055)*IFERROR(INDEX(계정대체기준!$C$20:$C$49,MATCH($N1055,계정대체기준!$A$20:$A$49,0)),0)))</f>
        <v/>
      </c>
      <c r="AA1055" s="94">
        <f>IF($A1055="",0,IF(AE1055="직접",IF(OR(AF1055="유지비",AF1055="손해조사비"),$P1055,0),$P1055*(1-AG1055)*IFERROR(INDEX(계정대체기준!$D$20:$D$49,MATCH($N1055,계정대체기준!$A$20:$A$49,0)),0)))</f>
        <v/>
      </c>
      <c r="AB1055" s="94">
        <f>IF($A1055="",0,IF(AE1055="직접",IF(AF1055="수금비",$P1055,0),$P1055*(1-AG1055)*IFERROR(INDEX(계정대체기준!$E$20:$E$49,MATCH($N1055,계정대체기준!$A$20:$A$49,0)),0)))</f>
        <v/>
      </c>
      <c r="AC1055" s="9">
        <f>IF(AND($A1055&lt;&gt;"",M1055=설정!$C$20,Z1055&gt;0),Z1055+ROW()/1000000000,"")</f>
        <v/>
      </c>
      <c r="AD1055" s="94">
        <f>IF($A1055="",0,$P1055*AG1055)</f>
        <v/>
      </c>
      <c r="AE1055" s="64">
        <f>IF($A1055="","",IFERROR(INDEX(계정매핑!$E$5:$E$504,MATCH($F1055&amp;"",계정매핑!$A$5:$A$504,0))&amp;"","공통비"))</f>
        <v/>
      </c>
      <c r="AF1055" s="64">
        <f>IF($A1055="","",IF(AE1055="직접",IFERROR(INDEX(계정매핑!$F$5:$F$504,MATCH($F1055&amp;"",계정매핑!$A$5:$A$504,0))&amp;"","비귀속"),""))</f>
        <v/>
      </c>
      <c r="AG1055" s="96">
        <f>IF($A1055="",0,IF(AND(AE1055&lt;&gt;"직접",IFERROR(INDEX(계정매핑!$G$5:$G$504,MATCH($F1055&amp;"",계정매핑!$A$5:$A$504,0))&amp;"","")="유지비",COUNTIF(계정대체기준!$A$6:$A$15,$N1055)&gt;0),IFERROR(INDEX(계정대체기준!$E$6:$E$15,MATCH(VALUE($A1055&amp;""),계정대체기준!$D$6:$D$15,0)),0),0))</f>
        <v/>
      </c>
      <c r="AH1055" s="64">
        <f>IF($A1055="","",IF(AD1055=0,"",IF(OR(COUNTIF(계정대체기준!$A$77:$A$86,$N1055)&gt;0,ISNUMBER(MATCH($X1055,계정대체기준!$D$77:$D$86,0)),ISNUMBER(MATCH($F1055,계정대체기준!$D$77:$D$86,0))),"Y","N")))</f>
        <v/>
      </c>
    </row>
    <row r="1056">
      <c r="A1056" s="92" t="n">
        <v>2025</v>
      </c>
      <c r="B1056" s="92" t="n">
        <v>5</v>
      </c>
      <c r="C1056" s="92" t="inlineStr">
        <is>
          <t>5100001052</t>
        </is>
      </c>
      <c r="D1056" s="95" t="n">
        <v>45795</v>
      </c>
      <c r="E1056" s="92" t="inlineStr">
        <is>
          <t>KR</t>
        </is>
      </c>
      <c r="F1056" s="92" t="n">
        <v>63002000</v>
      </c>
      <c r="G1056" s="92" t="n">
        <v>1951</v>
      </c>
      <c r="H1056" s="93" t="n">
        <v>2941000</v>
      </c>
      <c r="I1056" s="92" t="inlineStr">
        <is>
          <t>5월 클라우드 사용료 - C클라우드</t>
        </is>
      </c>
      <c r="J1056" s="92" t="inlineStr">
        <is>
          <t>V10026</t>
        </is>
      </c>
      <c r="K1056" s="92" t="inlineStr">
        <is>
          <t>C클라우드</t>
        </is>
      </c>
      <c r="M1056" s="9">
        <f>IF($A1056="","",VALUE($A1056&amp;"")*12+VALUE($B1056&amp;""))</f>
        <v/>
      </c>
      <c r="N1056" s="64">
        <f>IF($A1056="","",IFERROR(INDEX(부서매핑!$C$5:$C$504,MATCH($G1056&amp;"",부서매핑!$A$5:$A$504,0)),"미매핑"))</f>
        <v/>
      </c>
      <c r="O1056" s="9">
        <f>IF($A1056="","",N1056&amp;"|"&amp;$F1056)</f>
        <v/>
      </c>
      <c r="P1056" s="94">
        <f>IF($A1056="",0,$H1056*설정!$C$23)</f>
        <v/>
      </c>
      <c r="Q1056" s="64">
        <f>IF($A1056="","",IF(O1056&lt;&gt;원인분석!$C$9,"",IF(AND(M1056&gt;=원인분석!$C$10,M1056&lt;=원인분석!$C$11),"당기",IF(AND(M1056&gt;=원인분석!$C$12,M1056&lt;=원인분석!$C$13),"비교",""))))</f>
        <v/>
      </c>
      <c r="R1056" s="9">
        <f>IF(Q1056="","",$K1056&amp;"")</f>
        <v/>
      </c>
      <c r="S1056" s="9">
        <f>IF(Q1056="","",IF(MATCH(R1056,$R$5:$R$100000,0)=ROW()-4,ROW(),""))</f>
        <v/>
      </c>
      <c r="T1056" s="9">
        <f>IF(Q1056="당기",ABS(P1056)+ROW()/1000000000,"")</f>
        <v/>
      </c>
      <c r="U1056" s="9">
        <f>IF(Q1056="비교",ABS(P1056)+ROW()/1000000000,"")</f>
        <v/>
      </c>
      <c r="V1056" s="64">
        <f>IF($A1056="","",IF(COUNTIF(변동분석!$E$7:$E$506,O1056)&gt;0,"Y","N"))</f>
        <v/>
      </c>
      <c r="W1056" s="64">
        <f>IF($A1056="","",IFERROR(INDEX(계정매핑!$D$5:$D$504,MATCH($F1056&amp;"",계정매핑!$A$5:$A$504,0)),"미매핑"))</f>
        <v/>
      </c>
      <c r="X1056" s="9">
        <f>IF($A1056="","",$F1056&amp;"")</f>
        <v/>
      </c>
      <c r="Y1056" s="94">
        <f>IF($A1056="",0,IF(AE1056="직접",IF(AF1056="비귀속",$P1056,0),$P1056*(1-AG1056)*IFERROR(INDEX(계정대체기준!$F$20:$F$49,MATCH($N1056,계정대체기준!$A$20:$A$49,0)),1)))</f>
        <v/>
      </c>
      <c r="Z1056" s="94">
        <f>IF($A1056="",0,IF(AE1056="직접",IF(AF1056="신계약비",$P1056,0),$P1056*(1-AG1056)*IFERROR(INDEX(계정대체기준!$C$20:$C$49,MATCH($N1056,계정대체기준!$A$20:$A$49,0)),0)))</f>
        <v/>
      </c>
      <c r="AA1056" s="94">
        <f>IF($A1056="",0,IF(AE1056="직접",IF(OR(AF1056="유지비",AF1056="손해조사비"),$P1056,0),$P1056*(1-AG1056)*IFERROR(INDEX(계정대체기준!$D$20:$D$49,MATCH($N1056,계정대체기준!$A$20:$A$49,0)),0)))</f>
        <v/>
      </c>
      <c r="AB1056" s="94">
        <f>IF($A1056="",0,IF(AE1056="직접",IF(AF1056="수금비",$P1056,0),$P1056*(1-AG1056)*IFERROR(INDEX(계정대체기준!$E$20:$E$49,MATCH($N1056,계정대체기준!$A$20:$A$49,0)),0)))</f>
        <v/>
      </c>
      <c r="AC1056" s="9">
        <f>IF(AND($A1056&lt;&gt;"",M1056=설정!$C$20,Z1056&gt;0),Z1056+ROW()/1000000000,"")</f>
        <v/>
      </c>
      <c r="AD1056" s="94">
        <f>IF($A1056="",0,$P1056*AG1056)</f>
        <v/>
      </c>
      <c r="AE1056" s="64">
        <f>IF($A1056="","",IFERROR(INDEX(계정매핑!$E$5:$E$504,MATCH($F1056&amp;"",계정매핑!$A$5:$A$504,0))&amp;"","공통비"))</f>
        <v/>
      </c>
      <c r="AF1056" s="64">
        <f>IF($A1056="","",IF(AE1056="직접",IFERROR(INDEX(계정매핑!$F$5:$F$504,MATCH($F1056&amp;"",계정매핑!$A$5:$A$504,0))&amp;"","비귀속"),""))</f>
        <v/>
      </c>
      <c r="AG1056" s="96">
        <f>IF($A1056="",0,IF(AND(AE1056&lt;&gt;"직접",IFERROR(INDEX(계정매핑!$G$5:$G$504,MATCH($F1056&amp;"",계정매핑!$A$5:$A$504,0))&amp;"","")="유지비",COUNTIF(계정대체기준!$A$6:$A$15,$N1056)&gt;0),IFERROR(INDEX(계정대체기준!$E$6:$E$15,MATCH(VALUE($A1056&amp;""),계정대체기준!$D$6:$D$15,0)),0),0))</f>
        <v/>
      </c>
      <c r="AH1056" s="64">
        <f>IF($A1056="","",IF(AD1056=0,"",IF(OR(COUNTIF(계정대체기준!$A$77:$A$86,$N1056)&gt;0,ISNUMBER(MATCH($X1056,계정대체기준!$D$77:$D$86,0)),ISNUMBER(MATCH($F1056,계정대체기준!$D$77:$D$86,0))),"Y","N")))</f>
        <v/>
      </c>
    </row>
    <row r="1057">
      <c r="A1057" s="92" t="n">
        <v>2025</v>
      </c>
      <c r="B1057" s="92" t="n">
        <v>5</v>
      </c>
      <c r="C1057" s="92" t="inlineStr">
        <is>
          <t>5100001053</t>
        </is>
      </c>
      <c r="D1057" s="95" t="n">
        <v>45796</v>
      </c>
      <c r="E1057" s="92" t="inlineStr">
        <is>
          <t>KR</t>
        </is>
      </c>
      <c r="F1057" s="92" t="n">
        <v>62101000</v>
      </c>
      <c r="G1057" s="92" t="n">
        <v>1101</v>
      </c>
      <c r="H1057" s="93" t="n">
        <v>705000</v>
      </c>
      <c r="I1057" s="92" t="inlineStr">
        <is>
          <t>5월 국내출장 - M항공</t>
        </is>
      </c>
      <c r="J1057" s="92" t="inlineStr">
        <is>
          <t>V10001</t>
        </is>
      </c>
      <c r="K1057" s="92" t="inlineStr">
        <is>
          <t>M항공</t>
        </is>
      </c>
      <c r="M1057" s="9">
        <f>IF($A1057="","",VALUE($A1057&amp;"")*12+VALUE($B1057&amp;""))</f>
        <v/>
      </c>
      <c r="N1057" s="64">
        <f>IF($A1057="","",IFERROR(INDEX(부서매핑!$C$5:$C$504,MATCH($G1057&amp;"",부서매핑!$A$5:$A$504,0)),"미매핑"))</f>
        <v/>
      </c>
      <c r="O1057" s="9">
        <f>IF($A1057="","",N1057&amp;"|"&amp;$F1057)</f>
        <v/>
      </c>
      <c r="P1057" s="94">
        <f>IF($A1057="",0,$H1057*설정!$C$23)</f>
        <v/>
      </c>
      <c r="Q1057" s="64">
        <f>IF($A1057="","",IF(O1057&lt;&gt;원인분석!$C$9,"",IF(AND(M1057&gt;=원인분석!$C$10,M1057&lt;=원인분석!$C$11),"당기",IF(AND(M1057&gt;=원인분석!$C$12,M1057&lt;=원인분석!$C$13),"비교",""))))</f>
        <v/>
      </c>
      <c r="R1057" s="9">
        <f>IF(Q1057="","",$K1057&amp;"")</f>
        <v/>
      </c>
      <c r="S1057" s="9">
        <f>IF(Q1057="","",IF(MATCH(R1057,$R$5:$R$100000,0)=ROW()-4,ROW(),""))</f>
        <v/>
      </c>
      <c r="T1057" s="9">
        <f>IF(Q1057="당기",ABS(P1057)+ROW()/1000000000,"")</f>
        <v/>
      </c>
      <c r="U1057" s="9">
        <f>IF(Q1057="비교",ABS(P1057)+ROW()/1000000000,"")</f>
        <v/>
      </c>
      <c r="V1057" s="64">
        <f>IF($A1057="","",IF(COUNTIF(변동분석!$E$7:$E$506,O1057)&gt;0,"Y","N"))</f>
        <v/>
      </c>
      <c r="W1057" s="64">
        <f>IF($A1057="","",IFERROR(INDEX(계정매핑!$D$5:$D$504,MATCH($F1057&amp;"",계정매핑!$A$5:$A$504,0)),"미매핑"))</f>
        <v/>
      </c>
      <c r="X1057" s="9">
        <f>IF($A1057="","",$F1057&amp;"")</f>
        <v/>
      </c>
      <c r="Y1057" s="94">
        <f>IF($A1057="",0,IF(AE1057="직접",IF(AF1057="비귀속",$P1057,0),$P1057*(1-AG1057)*IFERROR(INDEX(계정대체기준!$F$20:$F$49,MATCH($N1057,계정대체기준!$A$20:$A$49,0)),1)))</f>
        <v/>
      </c>
      <c r="Z1057" s="94">
        <f>IF($A1057="",0,IF(AE1057="직접",IF(AF1057="신계약비",$P1057,0),$P1057*(1-AG1057)*IFERROR(INDEX(계정대체기준!$C$20:$C$49,MATCH($N1057,계정대체기준!$A$20:$A$49,0)),0)))</f>
        <v/>
      </c>
      <c r="AA1057" s="94">
        <f>IF($A1057="",0,IF(AE1057="직접",IF(OR(AF1057="유지비",AF1057="손해조사비"),$P1057,0),$P1057*(1-AG1057)*IFERROR(INDEX(계정대체기준!$D$20:$D$49,MATCH($N1057,계정대체기준!$A$20:$A$49,0)),0)))</f>
        <v/>
      </c>
      <c r="AB1057" s="94">
        <f>IF($A1057="",0,IF(AE1057="직접",IF(AF1057="수금비",$P1057,0),$P1057*(1-AG1057)*IFERROR(INDEX(계정대체기준!$E$20:$E$49,MATCH($N1057,계정대체기준!$A$20:$A$49,0)),0)))</f>
        <v/>
      </c>
      <c r="AC1057" s="9">
        <f>IF(AND($A1057&lt;&gt;"",M1057=설정!$C$20,Z1057&gt;0),Z1057+ROW()/1000000000,"")</f>
        <v/>
      </c>
      <c r="AD1057" s="94">
        <f>IF($A1057="",0,$P1057*AG1057)</f>
        <v/>
      </c>
      <c r="AE1057" s="64">
        <f>IF($A1057="","",IFERROR(INDEX(계정매핑!$E$5:$E$504,MATCH($F1057&amp;"",계정매핑!$A$5:$A$504,0))&amp;"","공통비"))</f>
        <v/>
      </c>
      <c r="AF1057" s="64">
        <f>IF($A1057="","",IF(AE1057="직접",IFERROR(INDEX(계정매핑!$F$5:$F$504,MATCH($F1057&amp;"",계정매핑!$A$5:$A$504,0))&amp;"","비귀속"),""))</f>
        <v/>
      </c>
      <c r="AG1057" s="96">
        <f>IF($A1057="",0,IF(AND(AE1057&lt;&gt;"직접",IFERROR(INDEX(계정매핑!$G$5:$G$504,MATCH($F1057&amp;"",계정매핑!$A$5:$A$504,0))&amp;"","")="유지비",COUNTIF(계정대체기준!$A$6:$A$15,$N1057)&gt;0),IFERROR(INDEX(계정대체기준!$E$6:$E$15,MATCH(VALUE($A1057&amp;""),계정대체기준!$D$6:$D$15,0)),0),0))</f>
        <v/>
      </c>
      <c r="AH1057" s="64">
        <f>IF($A1057="","",IF(AD1057=0,"",IF(OR(COUNTIF(계정대체기준!$A$77:$A$86,$N1057)&gt;0,ISNUMBER(MATCH($X1057,계정대체기준!$D$77:$D$86,0)),ISNUMBER(MATCH($F1057,계정대체기준!$D$77:$D$86,0))),"Y","N")))</f>
        <v/>
      </c>
    </row>
    <row r="1058">
      <c r="A1058" s="92" t="n">
        <v>2025</v>
      </c>
      <c r="B1058" s="92" t="n">
        <v>5</v>
      </c>
      <c r="C1058" s="92" t="inlineStr">
        <is>
          <t>5100001054</t>
        </is>
      </c>
      <c r="D1058" s="95" t="n">
        <v>45796</v>
      </c>
      <c r="E1058" s="92" t="inlineStr">
        <is>
          <t>KR</t>
        </is>
      </c>
      <c r="F1058" s="92" t="n">
        <v>62101000</v>
      </c>
      <c r="G1058" s="92" t="n">
        <v>1201</v>
      </c>
      <c r="H1058" s="93" t="n">
        <v>171000</v>
      </c>
      <c r="I1058" s="92" t="inlineStr">
        <is>
          <t>5월 국내출장 - M항공</t>
        </is>
      </c>
      <c r="J1058" s="92" t="inlineStr">
        <is>
          <t>V10001</t>
        </is>
      </c>
      <c r="K1058" s="92" t="inlineStr">
        <is>
          <t>M항공</t>
        </is>
      </c>
      <c r="M1058" s="9">
        <f>IF($A1058="","",VALUE($A1058&amp;"")*12+VALUE($B1058&amp;""))</f>
        <v/>
      </c>
      <c r="N1058" s="64">
        <f>IF($A1058="","",IFERROR(INDEX(부서매핑!$C$5:$C$504,MATCH($G1058&amp;"",부서매핑!$A$5:$A$504,0)),"미매핑"))</f>
        <v/>
      </c>
      <c r="O1058" s="9">
        <f>IF($A1058="","",N1058&amp;"|"&amp;$F1058)</f>
        <v/>
      </c>
      <c r="P1058" s="94">
        <f>IF($A1058="",0,$H1058*설정!$C$23)</f>
        <v/>
      </c>
      <c r="Q1058" s="64">
        <f>IF($A1058="","",IF(O1058&lt;&gt;원인분석!$C$9,"",IF(AND(M1058&gt;=원인분석!$C$10,M1058&lt;=원인분석!$C$11),"당기",IF(AND(M1058&gt;=원인분석!$C$12,M1058&lt;=원인분석!$C$13),"비교",""))))</f>
        <v/>
      </c>
      <c r="R1058" s="9">
        <f>IF(Q1058="","",$K1058&amp;"")</f>
        <v/>
      </c>
      <c r="S1058" s="9">
        <f>IF(Q1058="","",IF(MATCH(R1058,$R$5:$R$100000,0)=ROW()-4,ROW(),""))</f>
        <v/>
      </c>
      <c r="T1058" s="9">
        <f>IF(Q1058="당기",ABS(P1058)+ROW()/1000000000,"")</f>
        <v/>
      </c>
      <c r="U1058" s="9">
        <f>IF(Q1058="비교",ABS(P1058)+ROW()/1000000000,"")</f>
        <v/>
      </c>
      <c r="V1058" s="64">
        <f>IF($A1058="","",IF(COUNTIF(변동분석!$E$7:$E$506,O1058)&gt;0,"Y","N"))</f>
        <v/>
      </c>
      <c r="W1058" s="64">
        <f>IF($A1058="","",IFERROR(INDEX(계정매핑!$D$5:$D$504,MATCH($F1058&amp;"",계정매핑!$A$5:$A$504,0)),"미매핑"))</f>
        <v/>
      </c>
      <c r="X1058" s="9">
        <f>IF($A1058="","",$F1058&amp;"")</f>
        <v/>
      </c>
      <c r="Y1058" s="94">
        <f>IF($A1058="",0,IF(AE1058="직접",IF(AF1058="비귀속",$P1058,0),$P1058*(1-AG1058)*IFERROR(INDEX(계정대체기준!$F$20:$F$49,MATCH($N1058,계정대체기준!$A$20:$A$49,0)),1)))</f>
        <v/>
      </c>
      <c r="Z1058" s="94">
        <f>IF($A1058="",0,IF(AE1058="직접",IF(AF1058="신계약비",$P1058,0),$P1058*(1-AG1058)*IFERROR(INDEX(계정대체기준!$C$20:$C$49,MATCH($N1058,계정대체기준!$A$20:$A$49,0)),0)))</f>
        <v/>
      </c>
      <c r="AA1058" s="94">
        <f>IF($A1058="",0,IF(AE1058="직접",IF(OR(AF1058="유지비",AF1058="손해조사비"),$P1058,0),$P1058*(1-AG1058)*IFERROR(INDEX(계정대체기준!$D$20:$D$49,MATCH($N1058,계정대체기준!$A$20:$A$49,0)),0)))</f>
        <v/>
      </c>
      <c r="AB1058" s="94">
        <f>IF($A1058="",0,IF(AE1058="직접",IF(AF1058="수금비",$P1058,0),$P1058*(1-AG1058)*IFERROR(INDEX(계정대체기준!$E$20:$E$49,MATCH($N1058,계정대체기준!$A$20:$A$49,0)),0)))</f>
        <v/>
      </c>
      <c r="AC1058" s="9">
        <f>IF(AND($A1058&lt;&gt;"",M1058=설정!$C$20,Z1058&gt;0),Z1058+ROW()/1000000000,"")</f>
        <v/>
      </c>
      <c r="AD1058" s="94">
        <f>IF($A1058="",0,$P1058*AG1058)</f>
        <v/>
      </c>
      <c r="AE1058" s="64">
        <f>IF($A1058="","",IFERROR(INDEX(계정매핑!$E$5:$E$504,MATCH($F1058&amp;"",계정매핑!$A$5:$A$504,0))&amp;"","공통비"))</f>
        <v/>
      </c>
      <c r="AF1058" s="64">
        <f>IF($A1058="","",IF(AE1058="직접",IFERROR(INDEX(계정매핑!$F$5:$F$504,MATCH($F1058&amp;"",계정매핑!$A$5:$A$504,0))&amp;"","비귀속"),""))</f>
        <v/>
      </c>
      <c r="AG1058" s="96">
        <f>IF($A1058="",0,IF(AND(AE1058&lt;&gt;"직접",IFERROR(INDEX(계정매핑!$G$5:$G$504,MATCH($F1058&amp;"",계정매핑!$A$5:$A$504,0))&amp;"","")="유지비",COUNTIF(계정대체기준!$A$6:$A$15,$N1058)&gt;0),IFERROR(INDEX(계정대체기준!$E$6:$E$15,MATCH(VALUE($A1058&amp;""),계정대체기준!$D$6:$D$15,0)),0),0))</f>
        <v/>
      </c>
      <c r="AH1058" s="64">
        <f>IF($A1058="","",IF(AD1058=0,"",IF(OR(COUNTIF(계정대체기준!$A$77:$A$86,$N1058)&gt;0,ISNUMBER(MATCH($X1058,계정대체기준!$D$77:$D$86,0)),ISNUMBER(MATCH($F1058,계정대체기준!$D$77:$D$86,0))),"Y","N")))</f>
        <v/>
      </c>
    </row>
    <row r="1059">
      <c r="A1059" s="92" t="n">
        <v>2025</v>
      </c>
      <c r="B1059" s="92" t="n">
        <v>5</v>
      </c>
      <c r="C1059" s="92" t="inlineStr">
        <is>
          <t>5100001055</t>
        </is>
      </c>
      <c r="D1059" s="95" t="n">
        <v>45796</v>
      </c>
      <c r="E1059" s="92" t="inlineStr">
        <is>
          <t>KR</t>
        </is>
      </c>
      <c r="F1059" s="92" t="n">
        <v>62102000</v>
      </c>
      <c r="G1059" s="92" t="n">
        <v>1301</v>
      </c>
      <c r="H1059" s="93" t="n">
        <v>76000</v>
      </c>
      <c r="I1059" s="92" t="inlineStr">
        <is>
          <t>5월 해외출장 - N호텔</t>
        </is>
      </c>
      <c r="J1059" s="92" t="inlineStr">
        <is>
          <t>V10009</t>
        </is>
      </c>
      <c r="K1059" s="92" t="inlineStr">
        <is>
          <t>N호텔</t>
        </is>
      </c>
      <c r="M1059" s="9">
        <f>IF($A1059="","",VALUE($A1059&amp;"")*12+VALUE($B1059&amp;""))</f>
        <v/>
      </c>
      <c r="N1059" s="64">
        <f>IF($A1059="","",IFERROR(INDEX(부서매핑!$C$5:$C$504,MATCH($G1059&amp;"",부서매핑!$A$5:$A$504,0)),"미매핑"))</f>
        <v/>
      </c>
      <c r="O1059" s="9">
        <f>IF($A1059="","",N1059&amp;"|"&amp;$F1059)</f>
        <v/>
      </c>
      <c r="P1059" s="94">
        <f>IF($A1059="",0,$H1059*설정!$C$23)</f>
        <v/>
      </c>
      <c r="Q1059" s="64">
        <f>IF($A1059="","",IF(O1059&lt;&gt;원인분석!$C$9,"",IF(AND(M1059&gt;=원인분석!$C$10,M1059&lt;=원인분석!$C$11),"당기",IF(AND(M1059&gt;=원인분석!$C$12,M1059&lt;=원인분석!$C$13),"비교",""))))</f>
        <v/>
      </c>
      <c r="R1059" s="9">
        <f>IF(Q1059="","",$K1059&amp;"")</f>
        <v/>
      </c>
      <c r="S1059" s="9">
        <f>IF(Q1059="","",IF(MATCH(R1059,$R$5:$R$100000,0)=ROW()-4,ROW(),""))</f>
        <v/>
      </c>
      <c r="T1059" s="9">
        <f>IF(Q1059="당기",ABS(P1059)+ROW()/1000000000,"")</f>
        <v/>
      </c>
      <c r="U1059" s="9">
        <f>IF(Q1059="비교",ABS(P1059)+ROW()/1000000000,"")</f>
        <v/>
      </c>
      <c r="V1059" s="64">
        <f>IF($A1059="","",IF(COUNTIF(변동분석!$E$7:$E$506,O1059)&gt;0,"Y","N"))</f>
        <v/>
      </c>
      <c r="W1059" s="64">
        <f>IF($A1059="","",IFERROR(INDEX(계정매핑!$D$5:$D$504,MATCH($F1059&amp;"",계정매핑!$A$5:$A$504,0)),"미매핑"))</f>
        <v/>
      </c>
      <c r="X1059" s="9">
        <f>IF($A1059="","",$F1059&amp;"")</f>
        <v/>
      </c>
      <c r="Y1059" s="94">
        <f>IF($A1059="",0,IF(AE1059="직접",IF(AF1059="비귀속",$P1059,0),$P1059*(1-AG1059)*IFERROR(INDEX(계정대체기준!$F$20:$F$49,MATCH($N1059,계정대체기준!$A$20:$A$49,0)),1)))</f>
        <v/>
      </c>
      <c r="Z1059" s="94">
        <f>IF($A1059="",0,IF(AE1059="직접",IF(AF1059="신계약비",$P1059,0),$P1059*(1-AG1059)*IFERROR(INDEX(계정대체기준!$C$20:$C$49,MATCH($N1059,계정대체기준!$A$20:$A$49,0)),0)))</f>
        <v/>
      </c>
      <c r="AA1059" s="94">
        <f>IF($A1059="",0,IF(AE1059="직접",IF(OR(AF1059="유지비",AF1059="손해조사비"),$P1059,0),$P1059*(1-AG1059)*IFERROR(INDEX(계정대체기준!$D$20:$D$49,MATCH($N1059,계정대체기준!$A$20:$A$49,0)),0)))</f>
        <v/>
      </c>
      <c r="AB1059" s="94">
        <f>IF($A1059="",0,IF(AE1059="직접",IF(AF1059="수금비",$P1059,0),$P1059*(1-AG1059)*IFERROR(INDEX(계정대체기준!$E$20:$E$49,MATCH($N1059,계정대체기준!$A$20:$A$49,0)),0)))</f>
        <v/>
      </c>
      <c r="AC1059" s="9">
        <f>IF(AND($A1059&lt;&gt;"",M1059=설정!$C$20,Z1059&gt;0),Z1059+ROW()/1000000000,"")</f>
        <v/>
      </c>
      <c r="AD1059" s="94">
        <f>IF($A1059="",0,$P1059*AG1059)</f>
        <v/>
      </c>
      <c r="AE1059" s="64">
        <f>IF($A1059="","",IFERROR(INDEX(계정매핑!$E$5:$E$504,MATCH($F1059&amp;"",계정매핑!$A$5:$A$504,0))&amp;"","공통비"))</f>
        <v/>
      </c>
      <c r="AF1059" s="64">
        <f>IF($A1059="","",IF(AE1059="직접",IFERROR(INDEX(계정매핑!$F$5:$F$504,MATCH($F1059&amp;"",계정매핑!$A$5:$A$504,0))&amp;"","비귀속"),""))</f>
        <v/>
      </c>
      <c r="AG1059" s="96">
        <f>IF($A1059="",0,IF(AND(AE1059&lt;&gt;"직접",IFERROR(INDEX(계정매핑!$G$5:$G$504,MATCH($F1059&amp;"",계정매핑!$A$5:$A$504,0))&amp;"","")="유지비",COUNTIF(계정대체기준!$A$6:$A$15,$N1059)&gt;0),IFERROR(INDEX(계정대체기준!$E$6:$E$15,MATCH(VALUE($A1059&amp;""),계정대체기준!$D$6:$D$15,0)),0),0))</f>
        <v/>
      </c>
      <c r="AH1059" s="64">
        <f>IF($A1059="","",IF(AD1059=0,"",IF(OR(COUNTIF(계정대체기준!$A$77:$A$86,$N1059)&gt;0,ISNUMBER(MATCH($X1059,계정대체기준!$D$77:$D$86,0)),ISNUMBER(MATCH($F1059,계정대체기준!$D$77:$D$86,0))),"Y","N")))</f>
        <v/>
      </c>
    </row>
    <row r="1060">
      <c r="A1060" s="92" t="n">
        <v>2025</v>
      </c>
      <c r="B1060" s="92" t="n">
        <v>5</v>
      </c>
      <c r="C1060" s="92" t="inlineStr">
        <is>
          <t>5100001056</t>
        </is>
      </c>
      <c r="D1060" s="95" t="n">
        <v>45796</v>
      </c>
      <c r="E1060" s="92" t="inlineStr">
        <is>
          <t>KR</t>
        </is>
      </c>
      <c r="F1060" s="92" t="n">
        <v>62201000</v>
      </c>
      <c r="G1060" s="92" t="n">
        <v>1201</v>
      </c>
      <c r="H1060" s="93" t="n">
        <v>117000</v>
      </c>
      <c r="I1060" s="92" t="inlineStr">
        <is>
          <t>5월 통신요금 - P통신</t>
        </is>
      </c>
      <c r="J1060" s="92" t="inlineStr">
        <is>
          <t>V10014</t>
        </is>
      </c>
      <c r="K1060" s="92" t="inlineStr">
        <is>
          <t>P통신</t>
        </is>
      </c>
      <c r="M1060" s="9">
        <f>IF($A1060="","",VALUE($A1060&amp;"")*12+VALUE($B1060&amp;""))</f>
        <v/>
      </c>
      <c r="N1060" s="64">
        <f>IF($A1060="","",IFERROR(INDEX(부서매핑!$C$5:$C$504,MATCH($G1060&amp;"",부서매핑!$A$5:$A$504,0)),"미매핑"))</f>
        <v/>
      </c>
      <c r="O1060" s="9">
        <f>IF($A1060="","",N1060&amp;"|"&amp;$F1060)</f>
        <v/>
      </c>
      <c r="P1060" s="94">
        <f>IF($A1060="",0,$H1060*설정!$C$23)</f>
        <v/>
      </c>
      <c r="Q1060" s="64">
        <f>IF($A1060="","",IF(O1060&lt;&gt;원인분석!$C$9,"",IF(AND(M1060&gt;=원인분석!$C$10,M1060&lt;=원인분석!$C$11),"당기",IF(AND(M1060&gt;=원인분석!$C$12,M1060&lt;=원인분석!$C$13),"비교",""))))</f>
        <v/>
      </c>
      <c r="R1060" s="9">
        <f>IF(Q1060="","",$K1060&amp;"")</f>
        <v/>
      </c>
      <c r="S1060" s="9">
        <f>IF(Q1060="","",IF(MATCH(R1060,$R$5:$R$100000,0)=ROW()-4,ROW(),""))</f>
        <v/>
      </c>
      <c r="T1060" s="9">
        <f>IF(Q1060="당기",ABS(P1060)+ROW()/1000000000,"")</f>
        <v/>
      </c>
      <c r="U1060" s="9">
        <f>IF(Q1060="비교",ABS(P1060)+ROW()/1000000000,"")</f>
        <v/>
      </c>
      <c r="V1060" s="64">
        <f>IF($A1060="","",IF(COUNTIF(변동분석!$E$7:$E$506,O1060)&gt;0,"Y","N"))</f>
        <v/>
      </c>
      <c r="W1060" s="64">
        <f>IF($A1060="","",IFERROR(INDEX(계정매핑!$D$5:$D$504,MATCH($F1060&amp;"",계정매핑!$A$5:$A$504,0)),"미매핑"))</f>
        <v/>
      </c>
      <c r="X1060" s="9">
        <f>IF($A1060="","",$F1060&amp;"")</f>
        <v/>
      </c>
      <c r="Y1060" s="94">
        <f>IF($A1060="",0,IF(AE1060="직접",IF(AF1060="비귀속",$P1060,0),$P1060*(1-AG1060)*IFERROR(INDEX(계정대체기준!$F$20:$F$49,MATCH($N1060,계정대체기준!$A$20:$A$49,0)),1)))</f>
        <v/>
      </c>
      <c r="Z1060" s="94">
        <f>IF($A1060="",0,IF(AE1060="직접",IF(AF1060="신계약비",$P1060,0),$P1060*(1-AG1060)*IFERROR(INDEX(계정대체기준!$C$20:$C$49,MATCH($N1060,계정대체기준!$A$20:$A$49,0)),0)))</f>
        <v/>
      </c>
      <c r="AA1060" s="94">
        <f>IF($A1060="",0,IF(AE1060="직접",IF(OR(AF1060="유지비",AF1060="손해조사비"),$P1060,0),$P1060*(1-AG1060)*IFERROR(INDEX(계정대체기준!$D$20:$D$49,MATCH($N1060,계정대체기준!$A$20:$A$49,0)),0)))</f>
        <v/>
      </c>
      <c r="AB1060" s="94">
        <f>IF($A1060="",0,IF(AE1060="직접",IF(AF1060="수금비",$P1060,0),$P1060*(1-AG1060)*IFERROR(INDEX(계정대체기준!$E$20:$E$49,MATCH($N1060,계정대체기준!$A$20:$A$49,0)),0)))</f>
        <v/>
      </c>
      <c r="AC1060" s="9">
        <f>IF(AND($A1060&lt;&gt;"",M1060=설정!$C$20,Z1060&gt;0),Z1060+ROW()/1000000000,"")</f>
        <v/>
      </c>
      <c r="AD1060" s="94">
        <f>IF($A1060="",0,$P1060*AG1060)</f>
        <v/>
      </c>
      <c r="AE1060" s="64">
        <f>IF($A1060="","",IFERROR(INDEX(계정매핑!$E$5:$E$504,MATCH($F1060&amp;"",계정매핑!$A$5:$A$504,0))&amp;"","공통비"))</f>
        <v/>
      </c>
      <c r="AF1060" s="64">
        <f>IF($A1060="","",IF(AE1060="직접",IFERROR(INDEX(계정매핑!$F$5:$F$504,MATCH($F1060&amp;"",계정매핑!$A$5:$A$504,0))&amp;"","비귀속"),""))</f>
        <v/>
      </c>
      <c r="AG1060" s="96">
        <f>IF($A1060="",0,IF(AND(AE1060&lt;&gt;"직접",IFERROR(INDEX(계정매핑!$G$5:$G$504,MATCH($F1060&amp;"",계정매핑!$A$5:$A$504,0))&amp;"","")="유지비",COUNTIF(계정대체기준!$A$6:$A$15,$N1060)&gt;0),IFERROR(INDEX(계정대체기준!$E$6:$E$15,MATCH(VALUE($A1060&amp;""),계정대체기준!$D$6:$D$15,0)),0),0))</f>
        <v/>
      </c>
      <c r="AH1060" s="64">
        <f>IF($A1060="","",IF(AD1060=0,"",IF(OR(COUNTIF(계정대체기준!$A$77:$A$86,$N1060)&gt;0,ISNUMBER(MATCH($X1060,계정대체기준!$D$77:$D$86,0)),ISNUMBER(MATCH($F1060,계정대체기준!$D$77:$D$86,0))),"Y","N")))</f>
        <v/>
      </c>
    </row>
    <row r="1061">
      <c r="A1061" s="92" t="n">
        <v>2025</v>
      </c>
      <c r="B1061" s="92" t="n">
        <v>5</v>
      </c>
      <c r="C1061" s="92" t="inlineStr">
        <is>
          <t>5100001057</t>
        </is>
      </c>
      <c r="D1061" s="95" t="n">
        <v>45796</v>
      </c>
      <c r="E1061" s="92" t="inlineStr">
        <is>
          <t>KR</t>
        </is>
      </c>
      <c r="F1061" s="92" t="n">
        <v>62201000</v>
      </c>
      <c r="G1061" s="92" t="n">
        <v>1801</v>
      </c>
      <c r="H1061" s="93" t="n">
        <v>4621000</v>
      </c>
      <c r="I1061" s="92" t="inlineStr">
        <is>
          <t>5월 통신요금 - P통신</t>
        </is>
      </c>
      <c r="J1061" s="92" t="inlineStr">
        <is>
          <t>V10014</t>
        </is>
      </c>
      <c r="K1061" s="92" t="inlineStr">
        <is>
          <t>P통신</t>
        </is>
      </c>
      <c r="M1061" s="9">
        <f>IF($A1061="","",VALUE($A1061&amp;"")*12+VALUE($B1061&amp;""))</f>
        <v/>
      </c>
      <c r="N1061" s="64">
        <f>IF($A1061="","",IFERROR(INDEX(부서매핑!$C$5:$C$504,MATCH($G1061&amp;"",부서매핑!$A$5:$A$504,0)),"미매핑"))</f>
        <v/>
      </c>
      <c r="O1061" s="9">
        <f>IF($A1061="","",N1061&amp;"|"&amp;$F1061)</f>
        <v/>
      </c>
      <c r="P1061" s="94">
        <f>IF($A1061="",0,$H1061*설정!$C$23)</f>
        <v/>
      </c>
      <c r="Q1061" s="64">
        <f>IF($A1061="","",IF(O1061&lt;&gt;원인분석!$C$9,"",IF(AND(M1061&gt;=원인분석!$C$10,M1061&lt;=원인분석!$C$11),"당기",IF(AND(M1061&gt;=원인분석!$C$12,M1061&lt;=원인분석!$C$13),"비교",""))))</f>
        <v/>
      </c>
      <c r="R1061" s="9">
        <f>IF(Q1061="","",$K1061&amp;"")</f>
        <v/>
      </c>
      <c r="S1061" s="9">
        <f>IF(Q1061="","",IF(MATCH(R1061,$R$5:$R$100000,0)=ROW()-4,ROW(),""))</f>
        <v/>
      </c>
      <c r="T1061" s="9">
        <f>IF(Q1061="당기",ABS(P1061)+ROW()/1000000000,"")</f>
        <v/>
      </c>
      <c r="U1061" s="9">
        <f>IF(Q1061="비교",ABS(P1061)+ROW()/1000000000,"")</f>
        <v/>
      </c>
      <c r="V1061" s="64">
        <f>IF($A1061="","",IF(COUNTIF(변동분석!$E$7:$E$506,O1061)&gt;0,"Y","N"))</f>
        <v/>
      </c>
      <c r="W1061" s="64">
        <f>IF($A1061="","",IFERROR(INDEX(계정매핑!$D$5:$D$504,MATCH($F1061&amp;"",계정매핑!$A$5:$A$504,0)),"미매핑"))</f>
        <v/>
      </c>
      <c r="X1061" s="9">
        <f>IF($A1061="","",$F1061&amp;"")</f>
        <v/>
      </c>
      <c r="Y1061" s="94">
        <f>IF($A1061="",0,IF(AE1061="직접",IF(AF1061="비귀속",$P1061,0),$P1061*(1-AG1061)*IFERROR(INDEX(계정대체기준!$F$20:$F$49,MATCH($N1061,계정대체기준!$A$20:$A$49,0)),1)))</f>
        <v/>
      </c>
      <c r="Z1061" s="94">
        <f>IF($A1061="",0,IF(AE1061="직접",IF(AF1061="신계약비",$P1061,0),$P1061*(1-AG1061)*IFERROR(INDEX(계정대체기준!$C$20:$C$49,MATCH($N1061,계정대체기준!$A$20:$A$49,0)),0)))</f>
        <v/>
      </c>
      <c r="AA1061" s="94">
        <f>IF($A1061="",0,IF(AE1061="직접",IF(OR(AF1061="유지비",AF1061="손해조사비"),$P1061,0),$P1061*(1-AG1061)*IFERROR(INDEX(계정대체기준!$D$20:$D$49,MATCH($N1061,계정대체기준!$A$20:$A$49,0)),0)))</f>
        <v/>
      </c>
      <c r="AB1061" s="94">
        <f>IF($A1061="",0,IF(AE1061="직접",IF(AF1061="수금비",$P1061,0),$P1061*(1-AG1061)*IFERROR(INDEX(계정대체기준!$E$20:$E$49,MATCH($N1061,계정대체기준!$A$20:$A$49,0)),0)))</f>
        <v/>
      </c>
      <c r="AC1061" s="9">
        <f>IF(AND($A1061&lt;&gt;"",M1061=설정!$C$20,Z1061&gt;0),Z1061+ROW()/1000000000,"")</f>
        <v/>
      </c>
      <c r="AD1061" s="94">
        <f>IF($A1061="",0,$P1061*AG1061)</f>
        <v/>
      </c>
      <c r="AE1061" s="64">
        <f>IF($A1061="","",IFERROR(INDEX(계정매핑!$E$5:$E$504,MATCH($F1061&amp;"",계정매핑!$A$5:$A$504,0))&amp;"","공통비"))</f>
        <v/>
      </c>
      <c r="AF1061" s="64">
        <f>IF($A1061="","",IF(AE1061="직접",IFERROR(INDEX(계정매핑!$F$5:$F$504,MATCH($F1061&amp;"",계정매핑!$A$5:$A$504,0))&amp;"","비귀속"),""))</f>
        <v/>
      </c>
      <c r="AG1061" s="96">
        <f>IF($A1061="",0,IF(AND(AE1061&lt;&gt;"직접",IFERROR(INDEX(계정매핑!$G$5:$G$504,MATCH($F1061&amp;"",계정매핑!$A$5:$A$504,0))&amp;"","")="유지비",COUNTIF(계정대체기준!$A$6:$A$15,$N1061)&gt;0),IFERROR(INDEX(계정대체기준!$E$6:$E$15,MATCH(VALUE($A1061&amp;""),계정대체기준!$D$6:$D$15,0)),0),0))</f>
        <v/>
      </c>
      <c r="AH1061" s="64">
        <f>IF($A1061="","",IF(AD1061=0,"",IF(OR(COUNTIF(계정대체기준!$A$77:$A$86,$N1061)&gt;0,ISNUMBER(MATCH($X1061,계정대체기준!$D$77:$D$86,0)),ISNUMBER(MATCH($F1061,계정대체기준!$D$77:$D$86,0))),"Y","N")))</f>
        <v/>
      </c>
    </row>
    <row r="1062">
      <c r="A1062" s="92" t="n">
        <v>2025</v>
      </c>
      <c r="B1062" s="92" t="n">
        <v>5</v>
      </c>
      <c r="C1062" s="92" t="inlineStr">
        <is>
          <t>5100001058</t>
        </is>
      </c>
      <c r="D1062" s="95" t="n">
        <v>45796</v>
      </c>
      <c r="E1062" s="92" t="inlineStr">
        <is>
          <t>KR</t>
        </is>
      </c>
      <c r="F1062" s="92" t="n">
        <v>62301000</v>
      </c>
      <c r="G1062" s="92" t="n">
        <v>1201</v>
      </c>
      <c r="H1062" s="93" t="n">
        <v>119000</v>
      </c>
      <c r="I1062" s="92" t="inlineStr">
        <is>
          <t>5월 소모품 구입 - R문구</t>
        </is>
      </c>
      <c r="J1062" s="92" t="inlineStr">
        <is>
          <t>V10022</t>
        </is>
      </c>
      <c r="K1062" s="92" t="inlineStr">
        <is>
          <t>R문구</t>
        </is>
      </c>
      <c r="M1062" s="9">
        <f>IF($A1062="","",VALUE($A1062&amp;"")*12+VALUE($B1062&amp;""))</f>
        <v/>
      </c>
      <c r="N1062" s="64">
        <f>IF($A1062="","",IFERROR(INDEX(부서매핑!$C$5:$C$504,MATCH($G1062&amp;"",부서매핑!$A$5:$A$504,0)),"미매핑"))</f>
        <v/>
      </c>
      <c r="O1062" s="9">
        <f>IF($A1062="","",N1062&amp;"|"&amp;$F1062)</f>
        <v/>
      </c>
      <c r="P1062" s="94">
        <f>IF($A1062="",0,$H1062*설정!$C$23)</f>
        <v/>
      </c>
      <c r="Q1062" s="64">
        <f>IF($A1062="","",IF(O1062&lt;&gt;원인분석!$C$9,"",IF(AND(M1062&gt;=원인분석!$C$10,M1062&lt;=원인분석!$C$11),"당기",IF(AND(M1062&gt;=원인분석!$C$12,M1062&lt;=원인분석!$C$13),"비교",""))))</f>
        <v/>
      </c>
      <c r="R1062" s="9">
        <f>IF(Q1062="","",$K1062&amp;"")</f>
        <v/>
      </c>
      <c r="S1062" s="9">
        <f>IF(Q1062="","",IF(MATCH(R1062,$R$5:$R$100000,0)=ROW()-4,ROW(),""))</f>
        <v/>
      </c>
      <c r="T1062" s="9">
        <f>IF(Q1062="당기",ABS(P1062)+ROW()/1000000000,"")</f>
        <v/>
      </c>
      <c r="U1062" s="9">
        <f>IF(Q1062="비교",ABS(P1062)+ROW()/1000000000,"")</f>
        <v/>
      </c>
      <c r="V1062" s="64">
        <f>IF($A1062="","",IF(COUNTIF(변동분석!$E$7:$E$506,O1062)&gt;0,"Y","N"))</f>
        <v/>
      </c>
      <c r="W1062" s="64">
        <f>IF($A1062="","",IFERROR(INDEX(계정매핑!$D$5:$D$504,MATCH($F1062&amp;"",계정매핑!$A$5:$A$504,0)),"미매핑"))</f>
        <v/>
      </c>
      <c r="X1062" s="9">
        <f>IF($A1062="","",$F1062&amp;"")</f>
        <v/>
      </c>
      <c r="Y1062" s="94">
        <f>IF($A1062="",0,IF(AE1062="직접",IF(AF1062="비귀속",$P1062,0),$P1062*(1-AG1062)*IFERROR(INDEX(계정대체기준!$F$20:$F$49,MATCH($N1062,계정대체기준!$A$20:$A$49,0)),1)))</f>
        <v/>
      </c>
      <c r="Z1062" s="94">
        <f>IF($A1062="",0,IF(AE1062="직접",IF(AF1062="신계약비",$P1062,0),$P1062*(1-AG1062)*IFERROR(INDEX(계정대체기준!$C$20:$C$49,MATCH($N1062,계정대체기준!$A$20:$A$49,0)),0)))</f>
        <v/>
      </c>
      <c r="AA1062" s="94">
        <f>IF($A1062="",0,IF(AE1062="직접",IF(OR(AF1062="유지비",AF1062="손해조사비"),$P1062,0),$P1062*(1-AG1062)*IFERROR(INDEX(계정대체기준!$D$20:$D$49,MATCH($N1062,계정대체기준!$A$20:$A$49,0)),0)))</f>
        <v/>
      </c>
      <c r="AB1062" s="94">
        <f>IF($A1062="",0,IF(AE1062="직접",IF(AF1062="수금비",$P1062,0),$P1062*(1-AG1062)*IFERROR(INDEX(계정대체기준!$E$20:$E$49,MATCH($N1062,계정대체기준!$A$20:$A$49,0)),0)))</f>
        <v/>
      </c>
      <c r="AC1062" s="9">
        <f>IF(AND($A1062&lt;&gt;"",M1062=설정!$C$20,Z1062&gt;0),Z1062+ROW()/1000000000,"")</f>
        <v/>
      </c>
      <c r="AD1062" s="94">
        <f>IF($A1062="",0,$P1062*AG1062)</f>
        <v/>
      </c>
      <c r="AE1062" s="64">
        <f>IF($A1062="","",IFERROR(INDEX(계정매핑!$E$5:$E$504,MATCH($F1062&amp;"",계정매핑!$A$5:$A$504,0))&amp;"","공통비"))</f>
        <v/>
      </c>
      <c r="AF1062" s="64">
        <f>IF($A1062="","",IF(AE1062="직접",IFERROR(INDEX(계정매핑!$F$5:$F$504,MATCH($F1062&amp;"",계정매핑!$A$5:$A$504,0))&amp;"","비귀속"),""))</f>
        <v/>
      </c>
      <c r="AG1062" s="96">
        <f>IF($A1062="",0,IF(AND(AE1062&lt;&gt;"직접",IFERROR(INDEX(계정매핑!$G$5:$G$504,MATCH($F1062&amp;"",계정매핑!$A$5:$A$504,0))&amp;"","")="유지비",COUNTIF(계정대체기준!$A$6:$A$15,$N1062)&gt;0),IFERROR(INDEX(계정대체기준!$E$6:$E$15,MATCH(VALUE($A1062&amp;""),계정대체기준!$D$6:$D$15,0)),0),0))</f>
        <v/>
      </c>
      <c r="AH1062" s="64">
        <f>IF($A1062="","",IF(AD1062=0,"",IF(OR(COUNTIF(계정대체기준!$A$77:$A$86,$N1062)&gt;0,ISNUMBER(MATCH($X1062,계정대체기준!$D$77:$D$86,0)),ISNUMBER(MATCH($F1062,계정대체기준!$D$77:$D$86,0))),"Y","N")))</f>
        <v/>
      </c>
    </row>
    <row r="1063">
      <c r="A1063" s="92" t="n">
        <v>2025</v>
      </c>
      <c r="B1063" s="92" t="n">
        <v>5</v>
      </c>
      <c r="C1063" s="92" t="inlineStr">
        <is>
          <t>5100001059</t>
        </is>
      </c>
      <c r="D1063" s="95" t="n">
        <v>45796</v>
      </c>
      <c r="E1063" s="92" t="inlineStr">
        <is>
          <t>KR</t>
        </is>
      </c>
      <c r="F1063" s="92" t="n">
        <v>62301000</v>
      </c>
      <c r="G1063" s="92" t="n">
        <v>1501</v>
      </c>
      <c r="H1063" s="93" t="n">
        <v>276000</v>
      </c>
      <c r="I1063" s="92" t="inlineStr">
        <is>
          <t>5월 소모품 구입 - Q오피스</t>
        </is>
      </c>
      <c r="J1063" s="92" t="inlineStr">
        <is>
          <t>V10003</t>
        </is>
      </c>
      <c r="K1063" s="92" t="inlineStr">
        <is>
          <t>Q오피스</t>
        </is>
      </c>
      <c r="M1063" s="9">
        <f>IF($A1063="","",VALUE($A1063&amp;"")*12+VALUE($B1063&amp;""))</f>
        <v/>
      </c>
      <c r="N1063" s="64">
        <f>IF($A1063="","",IFERROR(INDEX(부서매핑!$C$5:$C$504,MATCH($G1063&amp;"",부서매핑!$A$5:$A$504,0)),"미매핑"))</f>
        <v/>
      </c>
      <c r="O1063" s="9">
        <f>IF($A1063="","",N1063&amp;"|"&amp;$F1063)</f>
        <v/>
      </c>
      <c r="P1063" s="94">
        <f>IF($A1063="",0,$H1063*설정!$C$23)</f>
        <v/>
      </c>
      <c r="Q1063" s="64">
        <f>IF($A1063="","",IF(O1063&lt;&gt;원인분석!$C$9,"",IF(AND(M1063&gt;=원인분석!$C$10,M1063&lt;=원인분석!$C$11),"당기",IF(AND(M1063&gt;=원인분석!$C$12,M1063&lt;=원인분석!$C$13),"비교",""))))</f>
        <v/>
      </c>
      <c r="R1063" s="9">
        <f>IF(Q1063="","",$K1063&amp;"")</f>
        <v/>
      </c>
      <c r="S1063" s="9">
        <f>IF(Q1063="","",IF(MATCH(R1063,$R$5:$R$100000,0)=ROW()-4,ROW(),""))</f>
        <v/>
      </c>
      <c r="T1063" s="9">
        <f>IF(Q1063="당기",ABS(P1063)+ROW()/1000000000,"")</f>
        <v/>
      </c>
      <c r="U1063" s="9">
        <f>IF(Q1063="비교",ABS(P1063)+ROW()/1000000000,"")</f>
        <v/>
      </c>
      <c r="V1063" s="64">
        <f>IF($A1063="","",IF(COUNTIF(변동분석!$E$7:$E$506,O1063)&gt;0,"Y","N"))</f>
        <v/>
      </c>
      <c r="W1063" s="64">
        <f>IF($A1063="","",IFERROR(INDEX(계정매핑!$D$5:$D$504,MATCH($F1063&amp;"",계정매핑!$A$5:$A$504,0)),"미매핑"))</f>
        <v/>
      </c>
      <c r="X1063" s="9">
        <f>IF($A1063="","",$F1063&amp;"")</f>
        <v/>
      </c>
      <c r="Y1063" s="94">
        <f>IF($A1063="",0,IF(AE1063="직접",IF(AF1063="비귀속",$P1063,0),$P1063*(1-AG1063)*IFERROR(INDEX(계정대체기준!$F$20:$F$49,MATCH($N1063,계정대체기준!$A$20:$A$49,0)),1)))</f>
        <v/>
      </c>
      <c r="Z1063" s="94">
        <f>IF($A1063="",0,IF(AE1063="직접",IF(AF1063="신계약비",$P1063,0),$P1063*(1-AG1063)*IFERROR(INDEX(계정대체기준!$C$20:$C$49,MATCH($N1063,계정대체기준!$A$20:$A$49,0)),0)))</f>
        <v/>
      </c>
      <c r="AA1063" s="94">
        <f>IF($A1063="",0,IF(AE1063="직접",IF(OR(AF1063="유지비",AF1063="손해조사비"),$P1063,0),$P1063*(1-AG1063)*IFERROR(INDEX(계정대체기준!$D$20:$D$49,MATCH($N1063,계정대체기준!$A$20:$A$49,0)),0)))</f>
        <v/>
      </c>
      <c r="AB1063" s="94">
        <f>IF($A1063="",0,IF(AE1063="직접",IF(AF1063="수금비",$P1063,0),$P1063*(1-AG1063)*IFERROR(INDEX(계정대체기준!$E$20:$E$49,MATCH($N1063,계정대체기준!$A$20:$A$49,0)),0)))</f>
        <v/>
      </c>
      <c r="AC1063" s="9">
        <f>IF(AND($A1063&lt;&gt;"",M1063=설정!$C$20,Z1063&gt;0),Z1063+ROW()/1000000000,"")</f>
        <v/>
      </c>
      <c r="AD1063" s="94">
        <f>IF($A1063="",0,$P1063*AG1063)</f>
        <v/>
      </c>
      <c r="AE1063" s="64">
        <f>IF($A1063="","",IFERROR(INDEX(계정매핑!$E$5:$E$504,MATCH($F1063&amp;"",계정매핑!$A$5:$A$504,0))&amp;"","공통비"))</f>
        <v/>
      </c>
      <c r="AF1063" s="64">
        <f>IF($A1063="","",IF(AE1063="직접",IFERROR(INDEX(계정매핑!$F$5:$F$504,MATCH($F1063&amp;"",계정매핑!$A$5:$A$504,0))&amp;"","비귀속"),""))</f>
        <v/>
      </c>
      <c r="AG1063" s="96">
        <f>IF($A1063="",0,IF(AND(AE1063&lt;&gt;"직접",IFERROR(INDEX(계정매핑!$G$5:$G$504,MATCH($F1063&amp;"",계정매핑!$A$5:$A$504,0))&amp;"","")="유지비",COUNTIF(계정대체기준!$A$6:$A$15,$N1063)&gt;0),IFERROR(INDEX(계정대체기준!$E$6:$E$15,MATCH(VALUE($A1063&amp;""),계정대체기준!$D$6:$D$15,0)),0),0))</f>
        <v/>
      </c>
      <c r="AH1063" s="64">
        <f>IF($A1063="","",IF(AD1063=0,"",IF(OR(COUNTIF(계정대체기준!$A$77:$A$86,$N1063)&gt;0,ISNUMBER(MATCH($X1063,계정대체기준!$D$77:$D$86,0)),ISNUMBER(MATCH($F1063,계정대체기준!$D$77:$D$86,0))),"Y","N")))</f>
        <v/>
      </c>
    </row>
    <row r="1064">
      <c r="A1064" s="92" t="n">
        <v>2025</v>
      </c>
      <c r="B1064" s="92" t="n">
        <v>5</v>
      </c>
      <c r="C1064" s="92" t="inlineStr">
        <is>
          <t>5100001060</t>
        </is>
      </c>
      <c r="D1064" s="95" t="n">
        <v>45796</v>
      </c>
      <c r="E1064" s="92" t="inlineStr">
        <is>
          <t>KR</t>
        </is>
      </c>
      <c r="F1064" s="92" t="n">
        <v>62401000</v>
      </c>
      <c r="G1064" s="92" t="n">
        <v>1501</v>
      </c>
      <c r="H1064" s="93" t="n">
        <v>2192000</v>
      </c>
      <c r="I1064" s="92" t="inlineStr">
        <is>
          <t>5월 인쇄물 제작 - G인쇄</t>
        </is>
      </c>
      <c r="J1064" s="92" t="inlineStr">
        <is>
          <t>V10004</t>
        </is>
      </c>
      <c r="K1064" s="92" t="inlineStr">
        <is>
          <t>G인쇄</t>
        </is>
      </c>
      <c r="M1064" s="9">
        <f>IF($A1064="","",VALUE($A1064&amp;"")*12+VALUE($B1064&amp;""))</f>
        <v/>
      </c>
      <c r="N1064" s="64">
        <f>IF($A1064="","",IFERROR(INDEX(부서매핑!$C$5:$C$504,MATCH($G1064&amp;"",부서매핑!$A$5:$A$504,0)),"미매핑"))</f>
        <v/>
      </c>
      <c r="O1064" s="9">
        <f>IF($A1064="","",N1064&amp;"|"&amp;$F1064)</f>
        <v/>
      </c>
      <c r="P1064" s="94">
        <f>IF($A1064="",0,$H1064*설정!$C$23)</f>
        <v/>
      </c>
      <c r="Q1064" s="64">
        <f>IF($A1064="","",IF(O1064&lt;&gt;원인분석!$C$9,"",IF(AND(M1064&gt;=원인분석!$C$10,M1064&lt;=원인분석!$C$11),"당기",IF(AND(M1064&gt;=원인분석!$C$12,M1064&lt;=원인분석!$C$13),"비교",""))))</f>
        <v/>
      </c>
      <c r="R1064" s="9">
        <f>IF(Q1064="","",$K1064&amp;"")</f>
        <v/>
      </c>
      <c r="S1064" s="9">
        <f>IF(Q1064="","",IF(MATCH(R1064,$R$5:$R$100000,0)=ROW()-4,ROW(),""))</f>
        <v/>
      </c>
      <c r="T1064" s="9">
        <f>IF(Q1064="당기",ABS(P1064)+ROW()/1000000000,"")</f>
        <v/>
      </c>
      <c r="U1064" s="9">
        <f>IF(Q1064="비교",ABS(P1064)+ROW()/1000000000,"")</f>
        <v/>
      </c>
      <c r="V1064" s="64">
        <f>IF($A1064="","",IF(COUNTIF(변동분석!$E$7:$E$506,O1064)&gt;0,"Y","N"))</f>
        <v/>
      </c>
      <c r="W1064" s="64">
        <f>IF($A1064="","",IFERROR(INDEX(계정매핑!$D$5:$D$504,MATCH($F1064&amp;"",계정매핑!$A$5:$A$504,0)),"미매핑"))</f>
        <v/>
      </c>
      <c r="X1064" s="9">
        <f>IF($A1064="","",$F1064&amp;"")</f>
        <v/>
      </c>
      <c r="Y1064" s="94">
        <f>IF($A1064="",0,IF(AE1064="직접",IF(AF1064="비귀속",$P1064,0),$P1064*(1-AG1064)*IFERROR(INDEX(계정대체기준!$F$20:$F$49,MATCH($N1064,계정대체기준!$A$20:$A$49,0)),1)))</f>
        <v/>
      </c>
      <c r="Z1064" s="94">
        <f>IF($A1064="",0,IF(AE1064="직접",IF(AF1064="신계약비",$P1064,0),$P1064*(1-AG1064)*IFERROR(INDEX(계정대체기준!$C$20:$C$49,MATCH($N1064,계정대체기준!$A$20:$A$49,0)),0)))</f>
        <v/>
      </c>
      <c r="AA1064" s="94">
        <f>IF($A1064="",0,IF(AE1064="직접",IF(OR(AF1064="유지비",AF1064="손해조사비"),$P1064,0),$P1064*(1-AG1064)*IFERROR(INDEX(계정대체기준!$D$20:$D$49,MATCH($N1064,계정대체기준!$A$20:$A$49,0)),0)))</f>
        <v/>
      </c>
      <c r="AB1064" s="94">
        <f>IF($A1064="",0,IF(AE1064="직접",IF(AF1064="수금비",$P1064,0),$P1064*(1-AG1064)*IFERROR(INDEX(계정대체기준!$E$20:$E$49,MATCH($N1064,계정대체기준!$A$20:$A$49,0)),0)))</f>
        <v/>
      </c>
      <c r="AC1064" s="9">
        <f>IF(AND($A1064&lt;&gt;"",M1064=설정!$C$20,Z1064&gt;0),Z1064+ROW()/1000000000,"")</f>
        <v/>
      </c>
      <c r="AD1064" s="94">
        <f>IF($A1064="",0,$P1064*AG1064)</f>
        <v/>
      </c>
      <c r="AE1064" s="64">
        <f>IF($A1064="","",IFERROR(INDEX(계정매핑!$E$5:$E$504,MATCH($F1064&amp;"",계정매핑!$A$5:$A$504,0))&amp;"","공통비"))</f>
        <v/>
      </c>
      <c r="AF1064" s="64">
        <f>IF($A1064="","",IF(AE1064="직접",IFERROR(INDEX(계정매핑!$F$5:$F$504,MATCH($F1064&amp;"",계정매핑!$A$5:$A$504,0))&amp;"","비귀속"),""))</f>
        <v/>
      </c>
      <c r="AG1064" s="96">
        <f>IF($A1064="",0,IF(AND(AE1064&lt;&gt;"직접",IFERROR(INDEX(계정매핑!$G$5:$G$504,MATCH($F1064&amp;"",계정매핑!$A$5:$A$504,0))&amp;"","")="유지비",COUNTIF(계정대체기준!$A$6:$A$15,$N1064)&gt;0),IFERROR(INDEX(계정대체기준!$E$6:$E$15,MATCH(VALUE($A1064&amp;""),계정대체기준!$D$6:$D$15,0)),0),0))</f>
        <v/>
      </c>
      <c r="AH1064" s="64">
        <f>IF($A1064="","",IF(AD1064=0,"",IF(OR(COUNTIF(계정대체기준!$A$77:$A$86,$N1064)&gt;0,ISNUMBER(MATCH($X1064,계정대체기준!$D$77:$D$86,0)),ISNUMBER(MATCH($F1064,계정대체기준!$D$77:$D$86,0))),"Y","N")))</f>
        <v/>
      </c>
    </row>
    <row r="1065">
      <c r="A1065" s="92" t="n">
        <v>2025</v>
      </c>
      <c r="B1065" s="92" t="n">
        <v>5</v>
      </c>
      <c r="C1065" s="92" t="inlineStr">
        <is>
          <t>5100001061</t>
        </is>
      </c>
      <c r="D1065" s="95" t="n">
        <v>45796</v>
      </c>
      <c r="E1065" s="92" t="inlineStr">
        <is>
          <t>KR</t>
        </is>
      </c>
      <c r="F1065" s="92" t="n">
        <v>62401000</v>
      </c>
      <c r="G1065" s="92" t="n">
        <v>1801</v>
      </c>
      <c r="H1065" s="93" t="n">
        <v>2064000</v>
      </c>
      <c r="I1065" s="92" t="inlineStr">
        <is>
          <t>5월 인쇄물 제작 - S출판</t>
        </is>
      </c>
      <c r="J1065" s="92" t="inlineStr">
        <is>
          <t>V10015</t>
        </is>
      </c>
      <c r="K1065" s="92" t="inlineStr">
        <is>
          <t>S출판</t>
        </is>
      </c>
      <c r="M1065" s="9">
        <f>IF($A1065="","",VALUE($A1065&amp;"")*12+VALUE($B1065&amp;""))</f>
        <v/>
      </c>
      <c r="N1065" s="64">
        <f>IF($A1065="","",IFERROR(INDEX(부서매핑!$C$5:$C$504,MATCH($G1065&amp;"",부서매핑!$A$5:$A$504,0)),"미매핑"))</f>
        <v/>
      </c>
      <c r="O1065" s="9">
        <f>IF($A1065="","",N1065&amp;"|"&amp;$F1065)</f>
        <v/>
      </c>
      <c r="P1065" s="94">
        <f>IF($A1065="",0,$H1065*설정!$C$23)</f>
        <v/>
      </c>
      <c r="Q1065" s="64">
        <f>IF($A1065="","",IF(O1065&lt;&gt;원인분석!$C$9,"",IF(AND(M1065&gt;=원인분석!$C$10,M1065&lt;=원인분석!$C$11),"당기",IF(AND(M1065&gt;=원인분석!$C$12,M1065&lt;=원인분석!$C$13),"비교",""))))</f>
        <v/>
      </c>
      <c r="R1065" s="9">
        <f>IF(Q1065="","",$K1065&amp;"")</f>
        <v/>
      </c>
      <c r="S1065" s="9">
        <f>IF(Q1065="","",IF(MATCH(R1065,$R$5:$R$100000,0)=ROW()-4,ROW(),""))</f>
        <v/>
      </c>
      <c r="T1065" s="9">
        <f>IF(Q1065="당기",ABS(P1065)+ROW()/1000000000,"")</f>
        <v/>
      </c>
      <c r="U1065" s="9">
        <f>IF(Q1065="비교",ABS(P1065)+ROW()/1000000000,"")</f>
        <v/>
      </c>
      <c r="V1065" s="64">
        <f>IF($A1065="","",IF(COUNTIF(변동분석!$E$7:$E$506,O1065)&gt;0,"Y","N"))</f>
        <v/>
      </c>
      <c r="W1065" s="64">
        <f>IF($A1065="","",IFERROR(INDEX(계정매핑!$D$5:$D$504,MATCH($F1065&amp;"",계정매핑!$A$5:$A$504,0)),"미매핑"))</f>
        <v/>
      </c>
      <c r="X1065" s="9">
        <f>IF($A1065="","",$F1065&amp;"")</f>
        <v/>
      </c>
      <c r="Y1065" s="94">
        <f>IF($A1065="",0,IF(AE1065="직접",IF(AF1065="비귀속",$P1065,0),$P1065*(1-AG1065)*IFERROR(INDEX(계정대체기준!$F$20:$F$49,MATCH($N1065,계정대체기준!$A$20:$A$49,0)),1)))</f>
        <v/>
      </c>
      <c r="Z1065" s="94">
        <f>IF($A1065="",0,IF(AE1065="직접",IF(AF1065="신계약비",$P1065,0),$P1065*(1-AG1065)*IFERROR(INDEX(계정대체기준!$C$20:$C$49,MATCH($N1065,계정대체기준!$A$20:$A$49,0)),0)))</f>
        <v/>
      </c>
      <c r="AA1065" s="94">
        <f>IF($A1065="",0,IF(AE1065="직접",IF(OR(AF1065="유지비",AF1065="손해조사비"),$P1065,0),$P1065*(1-AG1065)*IFERROR(INDEX(계정대체기준!$D$20:$D$49,MATCH($N1065,계정대체기준!$A$20:$A$49,0)),0)))</f>
        <v/>
      </c>
      <c r="AB1065" s="94">
        <f>IF($A1065="",0,IF(AE1065="직접",IF(AF1065="수금비",$P1065,0),$P1065*(1-AG1065)*IFERROR(INDEX(계정대체기준!$E$20:$E$49,MATCH($N1065,계정대체기준!$A$20:$A$49,0)),0)))</f>
        <v/>
      </c>
      <c r="AC1065" s="9">
        <f>IF(AND($A1065&lt;&gt;"",M1065=설정!$C$20,Z1065&gt;0),Z1065+ROW()/1000000000,"")</f>
        <v/>
      </c>
      <c r="AD1065" s="94">
        <f>IF($A1065="",0,$P1065*AG1065)</f>
        <v/>
      </c>
      <c r="AE1065" s="64">
        <f>IF($A1065="","",IFERROR(INDEX(계정매핑!$E$5:$E$504,MATCH($F1065&amp;"",계정매핑!$A$5:$A$504,0))&amp;"","공통비"))</f>
        <v/>
      </c>
      <c r="AF1065" s="64">
        <f>IF($A1065="","",IF(AE1065="직접",IFERROR(INDEX(계정매핑!$F$5:$F$504,MATCH($F1065&amp;"",계정매핑!$A$5:$A$504,0))&amp;"","비귀속"),""))</f>
        <v/>
      </c>
      <c r="AG1065" s="96">
        <f>IF($A1065="",0,IF(AND(AE1065&lt;&gt;"직접",IFERROR(INDEX(계정매핑!$G$5:$G$504,MATCH($F1065&amp;"",계정매핑!$A$5:$A$504,0))&amp;"","")="유지비",COUNTIF(계정대체기준!$A$6:$A$15,$N1065)&gt;0),IFERROR(INDEX(계정대체기준!$E$6:$E$15,MATCH(VALUE($A1065&amp;""),계정대체기준!$D$6:$D$15,0)),0),0))</f>
        <v/>
      </c>
      <c r="AH1065" s="64">
        <f>IF($A1065="","",IF(AD1065=0,"",IF(OR(COUNTIF(계정대체기준!$A$77:$A$86,$N1065)&gt;0,ISNUMBER(MATCH($X1065,계정대체기준!$D$77:$D$86,0)),ISNUMBER(MATCH($F1065,계정대체기준!$D$77:$D$86,0))),"Y","N")))</f>
        <v/>
      </c>
    </row>
    <row r="1066">
      <c r="A1066" s="92" t="n">
        <v>2025</v>
      </c>
      <c r="B1066" s="92" t="n">
        <v>5</v>
      </c>
      <c r="C1066" s="92" t="inlineStr">
        <is>
          <t>5100001062</t>
        </is>
      </c>
      <c r="D1066" s="95" t="n">
        <v>45796</v>
      </c>
      <c r="E1066" s="92" t="inlineStr">
        <is>
          <t>KR</t>
        </is>
      </c>
      <c r="F1066" s="92" t="n">
        <v>62501000</v>
      </c>
      <c r="G1066" s="92" t="n">
        <v>1101</v>
      </c>
      <c r="H1066" s="93" t="n">
        <v>291000</v>
      </c>
      <c r="I1066" s="92" t="inlineStr">
        <is>
          <t>5월 회의 다과 - (법인카드)</t>
        </is>
      </c>
      <c r="J1066" s="92" t="inlineStr">
        <is>
          <t>V10010</t>
        </is>
      </c>
      <c r="K1066" s="92" t="inlineStr">
        <is>
          <t>(법인카드)</t>
        </is>
      </c>
      <c r="M1066" s="9">
        <f>IF($A1066="","",VALUE($A1066&amp;"")*12+VALUE($B1066&amp;""))</f>
        <v/>
      </c>
      <c r="N1066" s="64">
        <f>IF($A1066="","",IFERROR(INDEX(부서매핑!$C$5:$C$504,MATCH($G1066&amp;"",부서매핑!$A$5:$A$504,0)),"미매핑"))</f>
        <v/>
      </c>
      <c r="O1066" s="9">
        <f>IF($A1066="","",N1066&amp;"|"&amp;$F1066)</f>
        <v/>
      </c>
      <c r="P1066" s="94">
        <f>IF($A1066="",0,$H1066*설정!$C$23)</f>
        <v/>
      </c>
      <c r="Q1066" s="64">
        <f>IF($A1066="","",IF(O1066&lt;&gt;원인분석!$C$9,"",IF(AND(M1066&gt;=원인분석!$C$10,M1066&lt;=원인분석!$C$11),"당기",IF(AND(M1066&gt;=원인분석!$C$12,M1066&lt;=원인분석!$C$13),"비교",""))))</f>
        <v/>
      </c>
      <c r="R1066" s="9">
        <f>IF(Q1066="","",$K1066&amp;"")</f>
        <v/>
      </c>
      <c r="S1066" s="9">
        <f>IF(Q1066="","",IF(MATCH(R1066,$R$5:$R$100000,0)=ROW()-4,ROW(),""))</f>
        <v/>
      </c>
      <c r="T1066" s="9">
        <f>IF(Q1066="당기",ABS(P1066)+ROW()/1000000000,"")</f>
        <v/>
      </c>
      <c r="U1066" s="9">
        <f>IF(Q1066="비교",ABS(P1066)+ROW()/1000000000,"")</f>
        <v/>
      </c>
      <c r="V1066" s="64">
        <f>IF($A1066="","",IF(COUNTIF(변동분석!$E$7:$E$506,O1066)&gt;0,"Y","N"))</f>
        <v/>
      </c>
      <c r="W1066" s="64">
        <f>IF($A1066="","",IFERROR(INDEX(계정매핑!$D$5:$D$504,MATCH($F1066&amp;"",계정매핑!$A$5:$A$504,0)),"미매핑"))</f>
        <v/>
      </c>
      <c r="X1066" s="9">
        <f>IF($A1066="","",$F1066&amp;"")</f>
        <v/>
      </c>
      <c r="Y1066" s="94">
        <f>IF($A1066="",0,IF(AE1066="직접",IF(AF1066="비귀속",$P1066,0),$P1066*(1-AG1066)*IFERROR(INDEX(계정대체기준!$F$20:$F$49,MATCH($N1066,계정대체기준!$A$20:$A$49,0)),1)))</f>
        <v/>
      </c>
      <c r="Z1066" s="94">
        <f>IF($A1066="",0,IF(AE1066="직접",IF(AF1066="신계약비",$P1066,0),$P1066*(1-AG1066)*IFERROR(INDEX(계정대체기준!$C$20:$C$49,MATCH($N1066,계정대체기준!$A$20:$A$49,0)),0)))</f>
        <v/>
      </c>
      <c r="AA1066" s="94">
        <f>IF($A1066="",0,IF(AE1066="직접",IF(OR(AF1066="유지비",AF1066="손해조사비"),$P1066,0),$P1066*(1-AG1066)*IFERROR(INDEX(계정대체기준!$D$20:$D$49,MATCH($N1066,계정대체기준!$A$20:$A$49,0)),0)))</f>
        <v/>
      </c>
      <c r="AB1066" s="94">
        <f>IF($A1066="",0,IF(AE1066="직접",IF(AF1066="수금비",$P1066,0),$P1066*(1-AG1066)*IFERROR(INDEX(계정대체기준!$E$20:$E$49,MATCH($N1066,계정대체기준!$A$20:$A$49,0)),0)))</f>
        <v/>
      </c>
      <c r="AC1066" s="9">
        <f>IF(AND($A1066&lt;&gt;"",M1066=설정!$C$20,Z1066&gt;0),Z1066+ROW()/1000000000,"")</f>
        <v/>
      </c>
      <c r="AD1066" s="94">
        <f>IF($A1066="",0,$P1066*AG1066)</f>
        <v/>
      </c>
      <c r="AE1066" s="64">
        <f>IF($A1066="","",IFERROR(INDEX(계정매핑!$E$5:$E$504,MATCH($F1066&amp;"",계정매핑!$A$5:$A$504,0))&amp;"","공통비"))</f>
        <v/>
      </c>
      <c r="AF1066" s="64">
        <f>IF($A1066="","",IF(AE1066="직접",IFERROR(INDEX(계정매핑!$F$5:$F$504,MATCH($F1066&amp;"",계정매핑!$A$5:$A$504,0))&amp;"","비귀속"),""))</f>
        <v/>
      </c>
      <c r="AG1066" s="96">
        <f>IF($A1066="",0,IF(AND(AE1066&lt;&gt;"직접",IFERROR(INDEX(계정매핑!$G$5:$G$504,MATCH($F1066&amp;"",계정매핑!$A$5:$A$504,0))&amp;"","")="유지비",COUNTIF(계정대체기준!$A$6:$A$15,$N1066)&gt;0),IFERROR(INDEX(계정대체기준!$E$6:$E$15,MATCH(VALUE($A1066&amp;""),계정대체기준!$D$6:$D$15,0)),0),0))</f>
        <v/>
      </c>
      <c r="AH1066" s="64">
        <f>IF($A1066="","",IF(AD1066=0,"",IF(OR(COUNTIF(계정대체기준!$A$77:$A$86,$N1066)&gt;0,ISNUMBER(MATCH($X1066,계정대체기준!$D$77:$D$86,0)),ISNUMBER(MATCH($F1066,계정대체기준!$D$77:$D$86,0))),"Y","N")))</f>
        <v/>
      </c>
    </row>
    <row r="1067">
      <c r="A1067" s="92" t="n">
        <v>2025</v>
      </c>
      <c r="B1067" s="92" t="n">
        <v>5</v>
      </c>
      <c r="C1067" s="92" t="inlineStr">
        <is>
          <t>5100001063</t>
        </is>
      </c>
      <c r="D1067" s="95" t="n">
        <v>45796</v>
      </c>
      <c r="E1067" s="92" t="inlineStr">
        <is>
          <t>KR</t>
        </is>
      </c>
      <c r="F1067" s="92" t="n">
        <v>62501000</v>
      </c>
      <c r="G1067" s="92" t="n">
        <v>1401</v>
      </c>
      <c r="H1067" s="93" t="n">
        <v>143000</v>
      </c>
      <c r="I1067" s="92" t="inlineStr">
        <is>
          <t>5월 회의 다과 - (법인카드)</t>
        </is>
      </c>
      <c r="J1067" s="92" t="inlineStr">
        <is>
          <t>V10010</t>
        </is>
      </c>
      <c r="K1067" s="92" t="inlineStr">
        <is>
          <t>(법인카드)</t>
        </is>
      </c>
      <c r="M1067" s="9">
        <f>IF($A1067="","",VALUE($A1067&amp;"")*12+VALUE($B1067&amp;""))</f>
        <v/>
      </c>
      <c r="N1067" s="64">
        <f>IF($A1067="","",IFERROR(INDEX(부서매핑!$C$5:$C$504,MATCH($G1067&amp;"",부서매핑!$A$5:$A$504,0)),"미매핑"))</f>
        <v/>
      </c>
      <c r="O1067" s="9">
        <f>IF($A1067="","",N1067&amp;"|"&amp;$F1067)</f>
        <v/>
      </c>
      <c r="P1067" s="94">
        <f>IF($A1067="",0,$H1067*설정!$C$23)</f>
        <v/>
      </c>
      <c r="Q1067" s="64">
        <f>IF($A1067="","",IF(O1067&lt;&gt;원인분석!$C$9,"",IF(AND(M1067&gt;=원인분석!$C$10,M1067&lt;=원인분석!$C$11),"당기",IF(AND(M1067&gt;=원인분석!$C$12,M1067&lt;=원인분석!$C$13),"비교",""))))</f>
        <v/>
      </c>
      <c r="R1067" s="9">
        <f>IF(Q1067="","",$K1067&amp;"")</f>
        <v/>
      </c>
      <c r="S1067" s="9">
        <f>IF(Q1067="","",IF(MATCH(R1067,$R$5:$R$100000,0)=ROW()-4,ROW(),""))</f>
        <v/>
      </c>
      <c r="T1067" s="9">
        <f>IF(Q1067="당기",ABS(P1067)+ROW()/1000000000,"")</f>
        <v/>
      </c>
      <c r="U1067" s="9">
        <f>IF(Q1067="비교",ABS(P1067)+ROW()/1000000000,"")</f>
        <v/>
      </c>
      <c r="V1067" s="64">
        <f>IF($A1067="","",IF(COUNTIF(변동분석!$E$7:$E$506,O1067)&gt;0,"Y","N"))</f>
        <v/>
      </c>
      <c r="W1067" s="64">
        <f>IF($A1067="","",IFERROR(INDEX(계정매핑!$D$5:$D$504,MATCH($F1067&amp;"",계정매핑!$A$5:$A$504,0)),"미매핑"))</f>
        <v/>
      </c>
      <c r="X1067" s="9">
        <f>IF($A1067="","",$F1067&amp;"")</f>
        <v/>
      </c>
      <c r="Y1067" s="94">
        <f>IF($A1067="",0,IF(AE1067="직접",IF(AF1067="비귀속",$P1067,0),$P1067*(1-AG1067)*IFERROR(INDEX(계정대체기준!$F$20:$F$49,MATCH($N1067,계정대체기준!$A$20:$A$49,0)),1)))</f>
        <v/>
      </c>
      <c r="Z1067" s="94">
        <f>IF($A1067="",0,IF(AE1067="직접",IF(AF1067="신계약비",$P1067,0),$P1067*(1-AG1067)*IFERROR(INDEX(계정대체기준!$C$20:$C$49,MATCH($N1067,계정대체기준!$A$20:$A$49,0)),0)))</f>
        <v/>
      </c>
      <c r="AA1067" s="94">
        <f>IF($A1067="",0,IF(AE1067="직접",IF(OR(AF1067="유지비",AF1067="손해조사비"),$P1067,0),$P1067*(1-AG1067)*IFERROR(INDEX(계정대체기준!$D$20:$D$49,MATCH($N1067,계정대체기준!$A$20:$A$49,0)),0)))</f>
        <v/>
      </c>
      <c r="AB1067" s="94">
        <f>IF($A1067="",0,IF(AE1067="직접",IF(AF1067="수금비",$P1067,0),$P1067*(1-AG1067)*IFERROR(INDEX(계정대체기준!$E$20:$E$49,MATCH($N1067,계정대체기준!$A$20:$A$49,0)),0)))</f>
        <v/>
      </c>
      <c r="AC1067" s="9">
        <f>IF(AND($A1067&lt;&gt;"",M1067=설정!$C$20,Z1067&gt;0),Z1067+ROW()/1000000000,"")</f>
        <v/>
      </c>
      <c r="AD1067" s="94">
        <f>IF($A1067="",0,$P1067*AG1067)</f>
        <v/>
      </c>
      <c r="AE1067" s="64">
        <f>IF($A1067="","",IFERROR(INDEX(계정매핑!$E$5:$E$504,MATCH($F1067&amp;"",계정매핑!$A$5:$A$504,0))&amp;"","공통비"))</f>
        <v/>
      </c>
      <c r="AF1067" s="64">
        <f>IF($A1067="","",IF(AE1067="직접",IFERROR(INDEX(계정매핑!$F$5:$F$504,MATCH($F1067&amp;"",계정매핑!$A$5:$A$504,0))&amp;"","비귀속"),""))</f>
        <v/>
      </c>
      <c r="AG1067" s="96">
        <f>IF($A1067="",0,IF(AND(AE1067&lt;&gt;"직접",IFERROR(INDEX(계정매핑!$G$5:$G$504,MATCH($F1067&amp;"",계정매핑!$A$5:$A$504,0))&amp;"","")="유지비",COUNTIF(계정대체기준!$A$6:$A$15,$N1067)&gt;0),IFERROR(INDEX(계정대체기준!$E$6:$E$15,MATCH(VALUE($A1067&amp;""),계정대체기준!$D$6:$D$15,0)),0),0))</f>
        <v/>
      </c>
      <c r="AH1067" s="64">
        <f>IF($A1067="","",IF(AD1067=0,"",IF(OR(COUNTIF(계정대체기준!$A$77:$A$86,$N1067)&gt;0,ISNUMBER(MATCH($X1067,계정대체기준!$D$77:$D$86,0)),ISNUMBER(MATCH($F1067,계정대체기준!$D$77:$D$86,0))),"Y","N")))</f>
        <v/>
      </c>
    </row>
    <row r="1068">
      <c r="A1068" s="92" t="n">
        <v>2025</v>
      </c>
      <c r="B1068" s="92" t="n">
        <v>5</v>
      </c>
      <c r="C1068" s="92" t="inlineStr">
        <is>
          <t>5100001064</t>
        </is>
      </c>
      <c r="D1068" s="95" t="n">
        <v>45796</v>
      </c>
      <c r="E1068" s="92" t="inlineStr">
        <is>
          <t>KR</t>
        </is>
      </c>
      <c r="F1068" s="92" t="n">
        <v>62601000</v>
      </c>
      <c r="G1068" s="92" t="n">
        <v>1501</v>
      </c>
      <c r="H1068" s="93" t="n">
        <v>1645000</v>
      </c>
      <c r="I1068" s="92" t="inlineStr">
        <is>
          <t>5월 업무추진 - (법인카드)</t>
        </is>
      </c>
      <c r="J1068" s="92" t="inlineStr">
        <is>
          <t>V10010</t>
        </is>
      </c>
      <c r="K1068" s="92" t="inlineStr">
        <is>
          <t>(법인카드)</t>
        </is>
      </c>
      <c r="M1068" s="9">
        <f>IF($A1068="","",VALUE($A1068&amp;"")*12+VALUE($B1068&amp;""))</f>
        <v/>
      </c>
      <c r="N1068" s="64">
        <f>IF($A1068="","",IFERROR(INDEX(부서매핑!$C$5:$C$504,MATCH($G1068&amp;"",부서매핑!$A$5:$A$504,0)),"미매핑"))</f>
        <v/>
      </c>
      <c r="O1068" s="9">
        <f>IF($A1068="","",N1068&amp;"|"&amp;$F1068)</f>
        <v/>
      </c>
      <c r="P1068" s="94">
        <f>IF($A1068="",0,$H1068*설정!$C$23)</f>
        <v/>
      </c>
      <c r="Q1068" s="64">
        <f>IF($A1068="","",IF(O1068&lt;&gt;원인분석!$C$9,"",IF(AND(M1068&gt;=원인분석!$C$10,M1068&lt;=원인분석!$C$11),"당기",IF(AND(M1068&gt;=원인분석!$C$12,M1068&lt;=원인분석!$C$13),"비교",""))))</f>
        <v/>
      </c>
      <c r="R1068" s="9">
        <f>IF(Q1068="","",$K1068&amp;"")</f>
        <v/>
      </c>
      <c r="S1068" s="9">
        <f>IF(Q1068="","",IF(MATCH(R1068,$R$5:$R$100000,0)=ROW()-4,ROW(),""))</f>
        <v/>
      </c>
      <c r="T1068" s="9">
        <f>IF(Q1068="당기",ABS(P1068)+ROW()/1000000000,"")</f>
        <v/>
      </c>
      <c r="U1068" s="9">
        <f>IF(Q1068="비교",ABS(P1068)+ROW()/1000000000,"")</f>
        <v/>
      </c>
      <c r="V1068" s="64">
        <f>IF($A1068="","",IF(COUNTIF(변동분석!$E$7:$E$506,O1068)&gt;0,"Y","N"))</f>
        <v/>
      </c>
      <c r="W1068" s="64">
        <f>IF($A1068="","",IFERROR(INDEX(계정매핑!$D$5:$D$504,MATCH($F1068&amp;"",계정매핑!$A$5:$A$504,0)),"미매핑"))</f>
        <v/>
      </c>
      <c r="X1068" s="9">
        <f>IF($A1068="","",$F1068&amp;"")</f>
        <v/>
      </c>
      <c r="Y1068" s="94">
        <f>IF($A1068="",0,IF(AE1068="직접",IF(AF1068="비귀속",$P1068,0),$P1068*(1-AG1068)*IFERROR(INDEX(계정대체기준!$F$20:$F$49,MATCH($N1068,계정대체기준!$A$20:$A$49,0)),1)))</f>
        <v/>
      </c>
      <c r="Z1068" s="94">
        <f>IF($A1068="",0,IF(AE1068="직접",IF(AF1068="신계약비",$P1068,0),$P1068*(1-AG1068)*IFERROR(INDEX(계정대체기준!$C$20:$C$49,MATCH($N1068,계정대체기준!$A$20:$A$49,0)),0)))</f>
        <v/>
      </c>
      <c r="AA1068" s="94">
        <f>IF($A1068="",0,IF(AE1068="직접",IF(OR(AF1068="유지비",AF1068="손해조사비"),$P1068,0),$P1068*(1-AG1068)*IFERROR(INDEX(계정대체기준!$D$20:$D$49,MATCH($N1068,계정대체기준!$A$20:$A$49,0)),0)))</f>
        <v/>
      </c>
      <c r="AB1068" s="94">
        <f>IF($A1068="",0,IF(AE1068="직접",IF(AF1068="수금비",$P1068,0),$P1068*(1-AG1068)*IFERROR(INDEX(계정대체기준!$E$20:$E$49,MATCH($N1068,계정대체기준!$A$20:$A$49,0)),0)))</f>
        <v/>
      </c>
      <c r="AC1068" s="9">
        <f>IF(AND($A1068&lt;&gt;"",M1068=설정!$C$20,Z1068&gt;0),Z1068+ROW()/1000000000,"")</f>
        <v/>
      </c>
      <c r="AD1068" s="94">
        <f>IF($A1068="",0,$P1068*AG1068)</f>
        <v/>
      </c>
      <c r="AE1068" s="64">
        <f>IF($A1068="","",IFERROR(INDEX(계정매핑!$E$5:$E$504,MATCH($F1068&amp;"",계정매핑!$A$5:$A$504,0))&amp;"","공통비"))</f>
        <v/>
      </c>
      <c r="AF1068" s="64">
        <f>IF($A1068="","",IF(AE1068="직접",IFERROR(INDEX(계정매핑!$F$5:$F$504,MATCH($F1068&amp;"",계정매핑!$A$5:$A$504,0))&amp;"","비귀속"),""))</f>
        <v/>
      </c>
      <c r="AG1068" s="96">
        <f>IF($A1068="",0,IF(AND(AE1068&lt;&gt;"직접",IFERROR(INDEX(계정매핑!$G$5:$G$504,MATCH($F1068&amp;"",계정매핑!$A$5:$A$504,0))&amp;"","")="유지비",COUNTIF(계정대체기준!$A$6:$A$15,$N1068)&gt;0),IFERROR(INDEX(계정대체기준!$E$6:$E$15,MATCH(VALUE($A1068&amp;""),계정대체기준!$D$6:$D$15,0)),0),0))</f>
        <v/>
      </c>
      <c r="AH1068" s="64">
        <f>IF($A1068="","",IF(AD1068=0,"",IF(OR(COUNTIF(계정대체기준!$A$77:$A$86,$N1068)&gt;0,ISNUMBER(MATCH($X1068,계정대체기준!$D$77:$D$86,0)),ISNUMBER(MATCH($F1068,계정대체기준!$D$77:$D$86,0))),"Y","N")))</f>
        <v/>
      </c>
    </row>
    <row r="1069">
      <c r="A1069" s="92" t="n">
        <v>2025</v>
      </c>
      <c r="B1069" s="92" t="n">
        <v>5</v>
      </c>
      <c r="C1069" s="92" t="inlineStr">
        <is>
          <t>5100001065</t>
        </is>
      </c>
      <c r="D1069" s="95" t="n">
        <v>45797</v>
      </c>
      <c r="E1069" s="92" t="inlineStr">
        <is>
          <t>KR</t>
        </is>
      </c>
      <c r="F1069" s="92" t="n">
        <v>62101000</v>
      </c>
      <c r="G1069" s="92" t="n">
        <v>1201</v>
      </c>
      <c r="H1069" s="93" t="n">
        <v>229000</v>
      </c>
      <c r="I1069" s="92" t="inlineStr">
        <is>
          <t>5월 국내출장 - M항공</t>
        </is>
      </c>
      <c r="J1069" s="92" t="inlineStr">
        <is>
          <t>V10001</t>
        </is>
      </c>
      <c r="K1069" s="92" t="inlineStr">
        <is>
          <t>M항공</t>
        </is>
      </c>
      <c r="M1069" s="9">
        <f>IF($A1069="","",VALUE($A1069&amp;"")*12+VALUE($B1069&amp;""))</f>
        <v/>
      </c>
      <c r="N1069" s="64">
        <f>IF($A1069="","",IFERROR(INDEX(부서매핑!$C$5:$C$504,MATCH($G1069&amp;"",부서매핑!$A$5:$A$504,0)),"미매핑"))</f>
        <v/>
      </c>
      <c r="O1069" s="9">
        <f>IF($A1069="","",N1069&amp;"|"&amp;$F1069)</f>
        <v/>
      </c>
      <c r="P1069" s="94">
        <f>IF($A1069="",0,$H1069*설정!$C$23)</f>
        <v/>
      </c>
      <c r="Q1069" s="64">
        <f>IF($A1069="","",IF(O1069&lt;&gt;원인분석!$C$9,"",IF(AND(M1069&gt;=원인분석!$C$10,M1069&lt;=원인분석!$C$11),"당기",IF(AND(M1069&gt;=원인분석!$C$12,M1069&lt;=원인분석!$C$13),"비교",""))))</f>
        <v/>
      </c>
      <c r="R1069" s="9">
        <f>IF(Q1069="","",$K1069&amp;"")</f>
        <v/>
      </c>
      <c r="S1069" s="9">
        <f>IF(Q1069="","",IF(MATCH(R1069,$R$5:$R$100000,0)=ROW()-4,ROW(),""))</f>
        <v/>
      </c>
      <c r="T1069" s="9">
        <f>IF(Q1069="당기",ABS(P1069)+ROW()/1000000000,"")</f>
        <v/>
      </c>
      <c r="U1069" s="9">
        <f>IF(Q1069="비교",ABS(P1069)+ROW()/1000000000,"")</f>
        <v/>
      </c>
      <c r="V1069" s="64">
        <f>IF($A1069="","",IF(COUNTIF(변동분석!$E$7:$E$506,O1069)&gt;0,"Y","N"))</f>
        <v/>
      </c>
      <c r="W1069" s="64">
        <f>IF($A1069="","",IFERROR(INDEX(계정매핑!$D$5:$D$504,MATCH($F1069&amp;"",계정매핑!$A$5:$A$504,0)),"미매핑"))</f>
        <v/>
      </c>
      <c r="X1069" s="9">
        <f>IF($A1069="","",$F1069&amp;"")</f>
        <v/>
      </c>
      <c r="Y1069" s="94">
        <f>IF($A1069="",0,IF(AE1069="직접",IF(AF1069="비귀속",$P1069,0),$P1069*(1-AG1069)*IFERROR(INDEX(계정대체기준!$F$20:$F$49,MATCH($N1069,계정대체기준!$A$20:$A$49,0)),1)))</f>
        <v/>
      </c>
      <c r="Z1069" s="94">
        <f>IF($A1069="",0,IF(AE1069="직접",IF(AF1069="신계약비",$P1069,0),$P1069*(1-AG1069)*IFERROR(INDEX(계정대체기준!$C$20:$C$49,MATCH($N1069,계정대체기준!$A$20:$A$49,0)),0)))</f>
        <v/>
      </c>
      <c r="AA1069" s="94">
        <f>IF($A1069="",0,IF(AE1069="직접",IF(OR(AF1069="유지비",AF1069="손해조사비"),$P1069,0),$P1069*(1-AG1069)*IFERROR(INDEX(계정대체기준!$D$20:$D$49,MATCH($N1069,계정대체기준!$A$20:$A$49,0)),0)))</f>
        <v/>
      </c>
      <c r="AB1069" s="94">
        <f>IF($A1069="",0,IF(AE1069="직접",IF(AF1069="수금비",$P1069,0),$P1069*(1-AG1069)*IFERROR(INDEX(계정대체기준!$E$20:$E$49,MATCH($N1069,계정대체기준!$A$20:$A$49,0)),0)))</f>
        <v/>
      </c>
      <c r="AC1069" s="9">
        <f>IF(AND($A1069&lt;&gt;"",M1069=설정!$C$20,Z1069&gt;0),Z1069+ROW()/1000000000,"")</f>
        <v/>
      </c>
      <c r="AD1069" s="94">
        <f>IF($A1069="",0,$P1069*AG1069)</f>
        <v/>
      </c>
      <c r="AE1069" s="64">
        <f>IF($A1069="","",IFERROR(INDEX(계정매핑!$E$5:$E$504,MATCH($F1069&amp;"",계정매핑!$A$5:$A$504,0))&amp;"","공통비"))</f>
        <v/>
      </c>
      <c r="AF1069" s="64">
        <f>IF($A1069="","",IF(AE1069="직접",IFERROR(INDEX(계정매핑!$F$5:$F$504,MATCH($F1069&amp;"",계정매핑!$A$5:$A$504,0))&amp;"","비귀속"),""))</f>
        <v/>
      </c>
      <c r="AG1069" s="96">
        <f>IF($A1069="",0,IF(AND(AE1069&lt;&gt;"직접",IFERROR(INDEX(계정매핑!$G$5:$G$504,MATCH($F1069&amp;"",계정매핑!$A$5:$A$504,0))&amp;"","")="유지비",COUNTIF(계정대체기준!$A$6:$A$15,$N1069)&gt;0),IFERROR(INDEX(계정대체기준!$E$6:$E$15,MATCH(VALUE($A1069&amp;""),계정대체기준!$D$6:$D$15,0)),0),0))</f>
        <v/>
      </c>
      <c r="AH1069" s="64">
        <f>IF($A1069="","",IF(AD1069=0,"",IF(OR(COUNTIF(계정대체기준!$A$77:$A$86,$N1069)&gt;0,ISNUMBER(MATCH($X1069,계정대체기준!$D$77:$D$86,0)),ISNUMBER(MATCH($F1069,계정대체기준!$D$77:$D$86,0))),"Y","N")))</f>
        <v/>
      </c>
    </row>
    <row r="1070">
      <c r="A1070" s="92" t="n">
        <v>2025</v>
      </c>
      <c r="B1070" s="92" t="n">
        <v>5</v>
      </c>
      <c r="C1070" s="92" t="inlineStr">
        <is>
          <t>5100001066</t>
        </is>
      </c>
      <c r="D1070" s="95" t="n">
        <v>45797</v>
      </c>
      <c r="E1070" s="92" t="inlineStr">
        <is>
          <t>KR</t>
        </is>
      </c>
      <c r="F1070" s="92" t="n">
        <v>62101000</v>
      </c>
      <c r="G1070" s="92" t="n">
        <v>1951</v>
      </c>
      <c r="H1070" s="93" t="n">
        <v>445000</v>
      </c>
      <c r="I1070" s="92" t="inlineStr">
        <is>
          <t>5월 국내출장 - M항공</t>
        </is>
      </c>
      <c r="J1070" s="92" t="inlineStr">
        <is>
          <t>V10001</t>
        </is>
      </c>
      <c r="K1070" s="92" t="inlineStr">
        <is>
          <t>M항공</t>
        </is>
      </c>
      <c r="M1070" s="9">
        <f>IF($A1070="","",VALUE($A1070&amp;"")*12+VALUE($B1070&amp;""))</f>
        <v/>
      </c>
      <c r="N1070" s="64">
        <f>IF($A1070="","",IFERROR(INDEX(부서매핑!$C$5:$C$504,MATCH($G1070&amp;"",부서매핑!$A$5:$A$504,0)),"미매핑"))</f>
        <v/>
      </c>
      <c r="O1070" s="9">
        <f>IF($A1070="","",N1070&amp;"|"&amp;$F1070)</f>
        <v/>
      </c>
      <c r="P1070" s="94">
        <f>IF($A1070="",0,$H1070*설정!$C$23)</f>
        <v/>
      </c>
      <c r="Q1070" s="64">
        <f>IF($A1070="","",IF(O1070&lt;&gt;원인분석!$C$9,"",IF(AND(M1070&gt;=원인분석!$C$10,M1070&lt;=원인분석!$C$11),"당기",IF(AND(M1070&gt;=원인분석!$C$12,M1070&lt;=원인분석!$C$13),"비교",""))))</f>
        <v/>
      </c>
      <c r="R1070" s="9">
        <f>IF(Q1070="","",$K1070&amp;"")</f>
        <v/>
      </c>
      <c r="S1070" s="9">
        <f>IF(Q1070="","",IF(MATCH(R1070,$R$5:$R$100000,0)=ROW()-4,ROW(),""))</f>
        <v/>
      </c>
      <c r="T1070" s="9">
        <f>IF(Q1070="당기",ABS(P1070)+ROW()/1000000000,"")</f>
        <v/>
      </c>
      <c r="U1070" s="9">
        <f>IF(Q1070="비교",ABS(P1070)+ROW()/1000000000,"")</f>
        <v/>
      </c>
      <c r="V1070" s="64">
        <f>IF($A1070="","",IF(COUNTIF(변동분석!$E$7:$E$506,O1070)&gt;0,"Y","N"))</f>
        <v/>
      </c>
      <c r="W1070" s="64">
        <f>IF($A1070="","",IFERROR(INDEX(계정매핑!$D$5:$D$504,MATCH($F1070&amp;"",계정매핑!$A$5:$A$504,0)),"미매핑"))</f>
        <v/>
      </c>
      <c r="X1070" s="9">
        <f>IF($A1070="","",$F1070&amp;"")</f>
        <v/>
      </c>
      <c r="Y1070" s="94">
        <f>IF($A1070="",0,IF(AE1070="직접",IF(AF1070="비귀속",$P1070,0),$P1070*(1-AG1070)*IFERROR(INDEX(계정대체기준!$F$20:$F$49,MATCH($N1070,계정대체기준!$A$20:$A$49,0)),1)))</f>
        <v/>
      </c>
      <c r="Z1070" s="94">
        <f>IF($A1070="",0,IF(AE1070="직접",IF(AF1070="신계약비",$P1070,0),$P1070*(1-AG1070)*IFERROR(INDEX(계정대체기준!$C$20:$C$49,MATCH($N1070,계정대체기준!$A$20:$A$49,0)),0)))</f>
        <v/>
      </c>
      <c r="AA1070" s="94">
        <f>IF($A1070="",0,IF(AE1070="직접",IF(OR(AF1070="유지비",AF1070="손해조사비"),$P1070,0),$P1070*(1-AG1070)*IFERROR(INDEX(계정대체기준!$D$20:$D$49,MATCH($N1070,계정대체기준!$A$20:$A$49,0)),0)))</f>
        <v/>
      </c>
      <c r="AB1070" s="94">
        <f>IF($A1070="",0,IF(AE1070="직접",IF(AF1070="수금비",$P1070,0),$P1070*(1-AG1070)*IFERROR(INDEX(계정대체기준!$E$20:$E$49,MATCH($N1070,계정대체기준!$A$20:$A$49,0)),0)))</f>
        <v/>
      </c>
      <c r="AC1070" s="9">
        <f>IF(AND($A1070&lt;&gt;"",M1070=설정!$C$20,Z1070&gt;0),Z1070+ROW()/1000000000,"")</f>
        <v/>
      </c>
      <c r="AD1070" s="94">
        <f>IF($A1070="",0,$P1070*AG1070)</f>
        <v/>
      </c>
      <c r="AE1070" s="64">
        <f>IF($A1070="","",IFERROR(INDEX(계정매핑!$E$5:$E$504,MATCH($F1070&amp;"",계정매핑!$A$5:$A$504,0))&amp;"","공통비"))</f>
        <v/>
      </c>
      <c r="AF1070" s="64">
        <f>IF($A1070="","",IF(AE1070="직접",IFERROR(INDEX(계정매핑!$F$5:$F$504,MATCH($F1070&amp;"",계정매핑!$A$5:$A$504,0))&amp;"","비귀속"),""))</f>
        <v/>
      </c>
      <c r="AG1070" s="96">
        <f>IF($A1070="",0,IF(AND(AE1070&lt;&gt;"직접",IFERROR(INDEX(계정매핑!$G$5:$G$504,MATCH($F1070&amp;"",계정매핑!$A$5:$A$504,0))&amp;"","")="유지비",COUNTIF(계정대체기준!$A$6:$A$15,$N1070)&gt;0),IFERROR(INDEX(계정대체기준!$E$6:$E$15,MATCH(VALUE($A1070&amp;""),계정대체기준!$D$6:$D$15,0)),0),0))</f>
        <v/>
      </c>
      <c r="AH1070" s="64">
        <f>IF($A1070="","",IF(AD1070=0,"",IF(OR(COUNTIF(계정대체기준!$A$77:$A$86,$N1070)&gt;0,ISNUMBER(MATCH($X1070,계정대체기준!$D$77:$D$86,0)),ISNUMBER(MATCH($F1070,계정대체기준!$D$77:$D$86,0))),"Y","N")))</f>
        <v/>
      </c>
    </row>
    <row r="1071">
      <c r="A1071" s="92" t="n">
        <v>2025</v>
      </c>
      <c r="B1071" s="92" t="n">
        <v>5</v>
      </c>
      <c r="C1071" s="92" t="inlineStr">
        <is>
          <t>5100001067</t>
        </is>
      </c>
      <c r="D1071" s="95" t="n">
        <v>45797</v>
      </c>
      <c r="E1071" s="92" t="inlineStr">
        <is>
          <t>KR</t>
        </is>
      </c>
      <c r="F1071" s="92" t="n">
        <v>62102000</v>
      </c>
      <c r="G1071" s="92" t="n">
        <v>1502</v>
      </c>
      <c r="H1071" s="93" t="n">
        <v>152000</v>
      </c>
      <c r="I1071" s="92" t="inlineStr">
        <is>
          <t>5월 해외출장 - M항공</t>
        </is>
      </c>
      <c r="J1071" s="92" t="inlineStr">
        <is>
          <t>V10001</t>
        </is>
      </c>
      <c r="K1071" s="92" t="inlineStr">
        <is>
          <t>M항공</t>
        </is>
      </c>
      <c r="M1071" s="9">
        <f>IF($A1071="","",VALUE($A1071&amp;"")*12+VALUE($B1071&amp;""))</f>
        <v/>
      </c>
      <c r="N1071" s="64">
        <f>IF($A1071="","",IFERROR(INDEX(부서매핑!$C$5:$C$504,MATCH($G1071&amp;"",부서매핑!$A$5:$A$504,0)),"미매핑"))</f>
        <v/>
      </c>
      <c r="O1071" s="9">
        <f>IF($A1071="","",N1071&amp;"|"&amp;$F1071)</f>
        <v/>
      </c>
      <c r="P1071" s="94">
        <f>IF($A1071="",0,$H1071*설정!$C$23)</f>
        <v/>
      </c>
      <c r="Q1071" s="64">
        <f>IF($A1071="","",IF(O1071&lt;&gt;원인분석!$C$9,"",IF(AND(M1071&gt;=원인분석!$C$10,M1071&lt;=원인분석!$C$11),"당기",IF(AND(M1071&gt;=원인분석!$C$12,M1071&lt;=원인분석!$C$13),"비교",""))))</f>
        <v/>
      </c>
      <c r="R1071" s="9">
        <f>IF(Q1071="","",$K1071&amp;"")</f>
        <v/>
      </c>
      <c r="S1071" s="9">
        <f>IF(Q1071="","",IF(MATCH(R1071,$R$5:$R$100000,0)=ROW()-4,ROW(),""))</f>
        <v/>
      </c>
      <c r="T1071" s="9">
        <f>IF(Q1071="당기",ABS(P1071)+ROW()/1000000000,"")</f>
        <v/>
      </c>
      <c r="U1071" s="9">
        <f>IF(Q1071="비교",ABS(P1071)+ROW()/1000000000,"")</f>
        <v/>
      </c>
      <c r="V1071" s="64">
        <f>IF($A1071="","",IF(COUNTIF(변동분석!$E$7:$E$506,O1071)&gt;0,"Y","N"))</f>
        <v/>
      </c>
      <c r="W1071" s="64">
        <f>IF($A1071="","",IFERROR(INDEX(계정매핑!$D$5:$D$504,MATCH($F1071&amp;"",계정매핑!$A$5:$A$504,0)),"미매핑"))</f>
        <v/>
      </c>
      <c r="X1071" s="9">
        <f>IF($A1071="","",$F1071&amp;"")</f>
        <v/>
      </c>
      <c r="Y1071" s="94">
        <f>IF($A1071="",0,IF(AE1071="직접",IF(AF1071="비귀속",$P1071,0),$P1071*(1-AG1071)*IFERROR(INDEX(계정대체기준!$F$20:$F$49,MATCH($N1071,계정대체기준!$A$20:$A$49,0)),1)))</f>
        <v/>
      </c>
      <c r="Z1071" s="94">
        <f>IF($A1071="",0,IF(AE1071="직접",IF(AF1071="신계약비",$P1071,0),$P1071*(1-AG1071)*IFERROR(INDEX(계정대체기준!$C$20:$C$49,MATCH($N1071,계정대체기준!$A$20:$A$49,0)),0)))</f>
        <v/>
      </c>
      <c r="AA1071" s="94">
        <f>IF($A1071="",0,IF(AE1071="직접",IF(OR(AF1071="유지비",AF1071="손해조사비"),$P1071,0),$P1071*(1-AG1071)*IFERROR(INDEX(계정대체기준!$D$20:$D$49,MATCH($N1071,계정대체기준!$A$20:$A$49,0)),0)))</f>
        <v/>
      </c>
      <c r="AB1071" s="94">
        <f>IF($A1071="",0,IF(AE1071="직접",IF(AF1071="수금비",$P1071,0),$P1071*(1-AG1071)*IFERROR(INDEX(계정대체기준!$E$20:$E$49,MATCH($N1071,계정대체기준!$A$20:$A$49,0)),0)))</f>
        <v/>
      </c>
      <c r="AC1071" s="9">
        <f>IF(AND($A1071&lt;&gt;"",M1071=설정!$C$20,Z1071&gt;0),Z1071+ROW()/1000000000,"")</f>
        <v/>
      </c>
      <c r="AD1071" s="94">
        <f>IF($A1071="",0,$P1071*AG1071)</f>
        <v/>
      </c>
      <c r="AE1071" s="64">
        <f>IF($A1071="","",IFERROR(INDEX(계정매핑!$E$5:$E$504,MATCH($F1071&amp;"",계정매핑!$A$5:$A$504,0))&amp;"","공통비"))</f>
        <v/>
      </c>
      <c r="AF1071" s="64">
        <f>IF($A1071="","",IF(AE1071="직접",IFERROR(INDEX(계정매핑!$F$5:$F$504,MATCH($F1071&amp;"",계정매핑!$A$5:$A$504,0))&amp;"","비귀속"),""))</f>
        <v/>
      </c>
      <c r="AG1071" s="96">
        <f>IF($A1071="",0,IF(AND(AE1071&lt;&gt;"직접",IFERROR(INDEX(계정매핑!$G$5:$G$504,MATCH($F1071&amp;"",계정매핑!$A$5:$A$504,0))&amp;"","")="유지비",COUNTIF(계정대체기준!$A$6:$A$15,$N1071)&gt;0),IFERROR(INDEX(계정대체기준!$E$6:$E$15,MATCH(VALUE($A1071&amp;""),계정대체기준!$D$6:$D$15,0)),0),0))</f>
        <v/>
      </c>
      <c r="AH1071" s="64">
        <f>IF($A1071="","",IF(AD1071=0,"",IF(OR(COUNTIF(계정대체기준!$A$77:$A$86,$N1071)&gt;0,ISNUMBER(MATCH($X1071,계정대체기준!$D$77:$D$86,0)),ISNUMBER(MATCH($F1071,계정대체기준!$D$77:$D$86,0))),"Y","N")))</f>
        <v/>
      </c>
    </row>
    <row r="1072">
      <c r="A1072" s="92" t="n">
        <v>2025</v>
      </c>
      <c r="B1072" s="92" t="n">
        <v>5</v>
      </c>
      <c r="C1072" s="92" t="inlineStr">
        <is>
          <t>5100001068</t>
        </is>
      </c>
      <c r="D1072" s="95" t="n">
        <v>45797</v>
      </c>
      <c r="E1072" s="92" t="inlineStr">
        <is>
          <t>KR</t>
        </is>
      </c>
      <c r="F1072" s="92" t="n">
        <v>62201000</v>
      </c>
      <c r="G1072" s="92" t="n">
        <v>1801</v>
      </c>
      <c r="H1072" s="93" t="n">
        <v>6558000</v>
      </c>
      <c r="I1072" s="92" t="inlineStr">
        <is>
          <t>5월 통신요금 - O텔레콤</t>
        </is>
      </c>
      <c r="J1072" s="92" t="inlineStr">
        <is>
          <t>V10002</t>
        </is>
      </c>
      <c r="K1072" s="92" t="inlineStr">
        <is>
          <t>O텔레콤</t>
        </is>
      </c>
      <c r="M1072" s="9">
        <f>IF($A1072="","",VALUE($A1072&amp;"")*12+VALUE($B1072&amp;""))</f>
        <v/>
      </c>
      <c r="N1072" s="64">
        <f>IF($A1072="","",IFERROR(INDEX(부서매핑!$C$5:$C$504,MATCH($G1072&amp;"",부서매핑!$A$5:$A$504,0)),"미매핑"))</f>
        <v/>
      </c>
      <c r="O1072" s="9">
        <f>IF($A1072="","",N1072&amp;"|"&amp;$F1072)</f>
        <v/>
      </c>
      <c r="P1072" s="94">
        <f>IF($A1072="",0,$H1072*설정!$C$23)</f>
        <v/>
      </c>
      <c r="Q1072" s="64">
        <f>IF($A1072="","",IF(O1072&lt;&gt;원인분석!$C$9,"",IF(AND(M1072&gt;=원인분석!$C$10,M1072&lt;=원인분석!$C$11),"당기",IF(AND(M1072&gt;=원인분석!$C$12,M1072&lt;=원인분석!$C$13),"비교",""))))</f>
        <v/>
      </c>
      <c r="R1072" s="9">
        <f>IF(Q1072="","",$K1072&amp;"")</f>
        <v/>
      </c>
      <c r="S1072" s="9">
        <f>IF(Q1072="","",IF(MATCH(R1072,$R$5:$R$100000,0)=ROW()-4,ROW(),""))</f>
        <v/>
      </c>
      <c r="T1072" s="9">
        <f>IF(Q1072="당기",ABS(P1072)+ROW()/1000000000,"")</f>
        <v/>
      </c>
      <c r="U1072" s="9">
        <f>IF(Q1072="비교",ABS(P1072)+ROW()/1000000000,"")</f>
        <v/>
      </c>
      <c r="V1072" s="64">
        <f>IF($A1072="","",IF(COUNTIF(변동분석!$E$7:$E$506,O1072)&gt;0,"Y","N"))</f>
        <v/>
      </c>
      <c r="W1072" s="64">
        <f>IF($A1072="","",IFERROR(INDEX(계정매핑!$D$5:$D$504,MATCH($F1072&amp;"",계정매핑!$A$5:$A$504,0)),"미매핑"))</f>
        <v/>
      </c>
      <c r="X1072" s="9">
        <f>IF($A1072="","",$F1072&amp;"")</f>
        <v/>
      </c>
      <c r="Y1072" s="94">
        <f>IF($A1072="",0,IF(AE1072="직접",IF(AF1072="비귀속",$P1072,0),$P1072*(1-AG1072)*IFERROR(INDEX(계정대체기준!$F$20:$F$49,MATCH($N1072,계정대체기준!$A$20:$A$49,0)),1)))</f>
        <v/>
      </c>
      <c r="Z1072" s="94">
        <f>IF($A1072="",0,IF(AE1072="직접",IF(AF1072="신계약비",$P1072,0),$P1072*(1-AG1072)*IFERROR(INDEX(계정대체기준!$C$20:$C$49,MATCH($N1072,계정대체기준!$A$20:$A$49,0)),0)))</f>
        <v/>
      </c>
      <c r="AA1072" s="94">
        <f>IF($A1072="",0,IF(AE1072="직접",IF(OR(AF1072="유지비",AF1072="손해조사비"),$P1072,0),$P1072*(1-AG1072)*IFERROR(INDEX(계정대체기준!$D$20:$D$49,MATCH($N1072,계정대체기준!$A$20:$A$49,0)),0)))</f>
        <v/>
      </c>
      <c r="AB1072" s="94">
        <f>IF($A1072="",0,IF(AE1072="직접",IF(AF1072="수금비",$P1072,0),$P1072*(1-AG1072)*IFERROR(INDEX(계정대체기준!$E$20:$E$49,MATCH($N1072,계정대체기준!$A$20:$A$49,0)),0)))</f>
        <v/>
      </c>
      <c r="AC1072" s="9">
        <f>IF(AND($A1072&lt;&gt;"",M1072=설정!$C$20,Z1072&gt;0),Z1072+ROW()/1000000000,"")</f>
        <v/>
      </c>
      <c r="AD1072" s="94">
        <f>IF($A1072="",0,$P1072*AG1072)</f>
        <v/>
      </c>
      <c r="AE1072" s="64">
        <f>IF($A1072="","",IFERROR(INDEX(계정매핑!$E$5:$E$504,MATCH($F1072&amp;"",계정매핑!$A$5:$A$504,0))&amp;"","공통비"))</f>
        <v/>
      </c>
      <c r="AF1072" s="64">
        <f>IF($A1072="","",IF(AE1072="직접",IFERROR(INDEX(계정매핑!$F$5:$F$504,MATCH($F1072&amp;"",계정매핑!$A$5:$A$504,0))&amp;"","비귀속"),""))</f>
        <v/>
      </c>
      <c r="AG1072" s="96">
        <f>IF($A1072="",0,IF(AND(AE1072&lt;&gt;"직접",IFERROR(INDEX(계정매핑!$G$5:$G$504,MATCH($F1072&amp;"",계정매핑!$A$5:$A$504,0))&amp;"","")="유지비",COUNTIF(계정대체기준!$A$6:$A$15,$N1072)&gt;0),IFERROR(INDEX(계정대체기준!$E$6:$E$15,MATCH(VALUE($A1072&amp;""),계정대체기준!$D$6:$D$15,0)),0),0))</f>
        <v/>
      </c>
      <c r="AH1072" s="64">
        <f>IF($A1072="","",IF(AD1072=0,"",IF(OR(COUNTIF(계정대체기준!$A$77:$A$86,$N1072)&gt;0,ISNUMBER(MATCH($X1072,계정대체기준!$D$77:$D$86,0)),ISNUMBER(MATCH($F1072,계정대체기준!$D$77:$D$86,0))),"Y","N")))</f>
        <v/>
      </c>
    </row>
    <row r="1073">
      <c r="A1073" s="92" t="n">
        <v>2025</v>
      </c>
      <c r="B1073" s="92" t="n">
        <v>5</v>
      </c>
      <c r="C1073" s="92" t="inlineStr">
        <is>
          <t>5100001069</t>
        </is>
      </c>
      <c r="D1073" s="95" t="n">
        <v>45797</v>
      </c>
      <c r="E1073" s="92" t="inlineStr">
        <is>
          <t>KR</t>
        </is>
      </c>
      <c r="F1073" s="92" t="n">
        <v>62501000</v>
      </c>
      <c r="G1073" s="92" t="n">
        <v>1301</v>
      </c>
      <c r="H1073" s="93" t="n">
        <v>354000</v>
      </c>
      <c r="I1073" s="92" t="inlineStr">
        <is>
          <t>5월 회의 다과 - (법인카드)</t>
        </is>
      </c>
      <c r="J1073" s="92" t="inlineStr">
        <is>
          <t>V10010</t>
        </is>
      </c>
      <c r="K1073" s="92" t="inlineStr">
        <is>
          <t>(법인카드)</t>
        </is>
      </c>
      <c r="M1073" s="9">
        <f>IF($A1073="","",VALUE($A1073&amp;"")*12+VALUE($B1073&amp;""))</f>
        <v/>
      </c>
      <c r="N1073" s="64">
        <f>IF($A1073="","",IFERROR(INDEX(부서매핑!$C$5:$C$504,MATCH($G1073&amp;"",부서매핑!$A$5:$A$504,0)),"미매핑"))</f>
        <v/>
      </c>
      <c r="O1073" s="9">
        <f>IF($A1073="","",N1073&amp;"|"&amp;$F1073)</f>
        <v/>
      </c>
      <c r="P1073" s="94">
        <f>IF($A1073="",0,$H1073*설정!$C$23)</f>
        <v/>
      </c>
      <c r="Q1073" s="64">
        <f>IF($A1073="","",IF(O1073&lt;&gt;원인분석!$C$9,"",IF(AND(M1073&gt;=원인분석!$C$10,M1073&lt;=원인분석!$C$11),"당기",IF(AND(M1073&gt;=원인분석!$C$12,M1073&lt;=원인분석!$C$13),"비교",""))))</f>
        <v/>
      </c>
      <c r="R1073" s="9">
        <f>IF(Q1073="","",$K1073&amp;"")</f>
        <v/>
      </c>
      <c r="S1073" s="9">
        <f>IF(Q1073="","",IF(MATCH(R1073,$R$5:$R$100000,0)=ROW()-4,ROW(),""))</f>
        <v/>
      </c>
      <c r="T1073" s="9">
        <f>IF(Q1073="당기",ABS(P1073)+ROW()/1000000000,"")</f>
        <v/>
      </c>
      <c r="U1073" s="9">
        <f>IF(Q1073="비교",ABS(P1073)+ROW()/1000000000,"")</f>
        <v/>
      </c>
      <c r="V1073" s="64">
        <f>IF($A1073="","",IF(COUNTIF(변동분석!$E$7:$E$506,O1073)&gt;0,"Y","N"))</f>
        <v/>
      </c>
      <c r="W1073" s="64">
        <f>IF($A1073="","",IFERROR(INDEX(계정매핑!$D$5:$D$504,MATCH($F1073&amp;"",계정매핑!$A$5:$A$504,0)),"미매핑"))</f>
        <v/>
      </c>
      <c r="X1073" s="9">
        <f>IF($A1073="","",$F1073&amp;"")</f>
        <v/>
      </c>
      <c r="Y1073" s="94">
        <f>IF($A1073="",0,IF(AE1073="직접",IF(AF1073="비귀속",$P1073,0),$P1073*(1-AG1073)*IFERROR(INDEX(계정대체기준!$F$20:$F$49,MATCH($N1073,계정대체기준!$A$20:$A$49,0)),1)))</f>
        <v/>
      </c>
      <c r="Z1073" s="94">
        <f>IF($A1073="",0,IF(AE1073="직접",IF(AF1073="신계약비",$P1073,0),$P1073*(1-AG1073)*IFERROR(INDEX(계정대체기준!$C$20:$C$49,MATCH($N1073,계정대체기준!$A$20:$A$49,0)),0)))</f>
        <v/>
      </c>
      <c r="AA1073" s="94">
        <f>IF($A1073="",0,IF(AE1073="직접",IF(OR(AF1073="유지비",AF1073="손해조사비"),$P1073,0),$P1073*(1-AG1073)*IFERROR(INDEX(계정대체기준!$D$20:$D$49,MATCH($N1073,계정대체기준!$A$20:$A$49,0)),0)))</f>
        <v/>
      </c>
      <c r="AB1073" s="94">
        <f>IF($A1073="",0,IF(AE1073="직접",IF(AF1073="수금비",$P1073,0),$P1073*(1-AG1073)*IFERROR(INDEX(계정대체기준!$E$20:$E$49,MATCH($N1073,계정대체기준!$A$20:$A$49,0)),0)))</f>
        <v/>
      </c>
      <c r="AC1073" s="9">
        <f>IF(AND($A1073&lt;&gt;"",M1073=설정!$C$20,Z1073&gt;0),Z1073+ROW()/1000000000,"")</f>
        <v/>
      </c>
      <c r="AD1073" s="94">
        <f>IF($A1073="",0,$P1073*AG1073)</f>
        <v/>
      </c>
      <c r="AE1073" s="64">
        <f>IF($A1073="","",IFERROR(INDEX(계정매핑!$E$5:$E$504,MATCH($F1073&amp;"",계정매핑!$A$5:$A$504,0))&amp;"","공통비"))</f>
        <v/>
      </c>
      <c r="AF1073" s="64">
        <f>IF($A1073="","",IF(AE1073="직접",IFERROR(INDEX(계정매핑!$F$5:$F$504,MATCH($F1073&amp;"",계정매핑!$A$5:$A$504,0))&amp;"","비귀속"),""))</f>
        <v/>
      </c>
      <c r="AG1073" s="96">
        <f>IF($A1073="",0,IF(AND(AE1073&lt;&gt;"직접",IFERROR(INDEX(계정매핑!$G$5:$G$504,MATCH($F1073&amp;"",계정매핑!$A$5:$A$504,0))&amp;"","")="유지비",COUNTIF(계정대체기준!$A$6:$A$15,$N1073)&gt;0),IFERROR(INDEX(계정대체기준!$E$6:$E$15,MATCH(VALUE($A1073&amp;""),계정대체기준!$D$6:$D$15,0)),0),0))</f>
        <v/>
      </c>
      <c r="AH1073" s="64">
        <f>IF($A1073="","",IF(AD1073=0,"",IF(OR(COUNTIF(계정대체기준!$A$77:$A$86,$N1073)&gt;0,ISNUMBER(MATCH($X1073,계정대체기준!$D$77:$D$86,0)),ISNUMBER(MATCH($F1073,계정대체기준!$D$77:$D$86,0))),"Y","N")))</f>
        <v/>
      </c>
    </row>
    <row r="1074">
      <c r="A1074" s="92" t="n">
        <v>2025</v>
      </c>
      <c r="B1074" s="92" t="n">
        <v>5</v>
      </c>
      <c r="C1074" s="92" t="inlineStr">
        <is>
          <t>5100001070</t>
        </is>
      </c>
      <c r="D1074" s="95" t="n">
        <v>45797</v>
      </c>
      <c r="E1074" s="92" t="inlineStr">
        <is>
          <t>KR</t>
        </is>
      </c>
      <c r="F1074" s="92" t="n">
        <v>62501000</v>
      </c>
      <c r="G1074" s="92" t="n">
        <v>1801</v>
      </c>
      <c r="H1074" s="93" t="n">
        <v>179000</v>
      </c>
      <c r="I1074" s="92" t="inlineStr">
        <is>
          <t>5월 회의 다과 - (법인카드)</t>
        </is>
      </c>
      <c r="J1074" s="92" t="inlineStr">
        <is>
          <t>V10010</t>
        </is>
      </c>
      <c r="K1074" s="92" t="inlineStr">
        <is>
          <t>(법인카드)</t>
        </is>
      </c>
      <c r="M1074" s="9">
        <f>IF($A1074="","",VALUE($A1074&amp;"")*12+VALUE($B1074&amp;""))</f>
        <v/>
      </c>
      <c r="N1074" s="64">
        <f>IF($A1074="","",IFERROR(INDEX(부서매핑!$C$5:$C$504,MATCH($G1074&amp;"",부서매핑!$A$5:$A$504,0)),"미매핑"))</f>
        <v/>
      </c>
      <c r="O1074" s="9">
        <f>IF($A1074="","",N1074&amp;"|"&amp;$F1074)</f>
        <v/>
      </c>
      <c r="P1074" s="94">
        <f>IF($A1074="",0,$H1074*설정!$C$23)</f>
        <v/>
      </c>
      <c r="Q1074" s="64">
        <f>IF($A1074="","",IF(O1074&lt;&gt;원인분석!$C$9,"",IF(AND(M1074&gt;=원인분석!$C$10,M1074&lt;=원인분석!$C$11),"당기",IF(AND(M1074&gt;=원인분석!$C$12,M1074&lt;=원인분석!$C$13),"비교",""))))</f>
        <v/>
      </c>
      <c r="R1074" s="9">
        <f>IF(Q1074="","",$K1074&amp;"")</f>
        <v/>
      </c>
      <c r="S1074" s="9">
        <f>IF(Q1074="","",IF(MATCH(R1074,$R$5:$R$100000,0)=ROW()-4,ROW(),""))</f>
        <v/>
      </c>
      <c r="T1074" s="9">
        <f>IF(Q1074="당기",ABS(P1074)+ROW()/1000000000,"")</f>
        <v/>
      </c>
      <c r="U1074" s="9">
        <f>IF(Q1074="비교",ABS(P1074)+ROW()/1000000000,"")</f>
        <v/>
      </c>
      <c r="V1074" s="64">
        <f>IF($A1074="","",IF(COUNTIF(변동분석!$E$7:$E$506,O1074)&gt;0,"Y","N"))</f>
        <v/>
      </c>
      <c r="W1074" s="64">
        <f>IF($A1074="","",IFERROR(INDEX(계정매핑!$D$5:$D$504,MATCH($F1074&amp;"",계정매핑!$A$5:$A$504,0)),"미매핑"))</f>
        <v/>
      </c>
      <c r="X1074" s="9">
        <f>IF($A1074="","",$F1074&amp;"")</f>
        <v/>
      </c>
      <c r="Y1074" s="94">
        <f>IF($A1074="",0,IF(AE1074="직접",IF(AF1074="비귀속",$P1074,0),$P1074*(1-AG1074)*IFERROR(INDEX(계정대체기준!$F$20:$F$49,MATCH($N1074,계정대체기준!$A$20:$A$49,0)),1)))</f>
        <v/>
      </c>
      <c r="Z1074" s="94">
        <f>IF($A1074="",0,IF(AE1074="직접",IF(AF1074="신계약비",$P1074,0),$P1074*(1-AG1074)*IFERROR(INDEX(계정대체기준!$C$20:$C$49,MATCH($N1074,계정대체기준!$A$20:$A$49,0)),0)))</f>
        <v/>
      </c>
      <c r="AA1074" s="94">
        <f>IF($A1074="",0,IF(AE1074="직접",IF(OR(AF1074="유지비",AF1074="손해조사비"),$P1074,0),$P1074*(1-AG1074)*IFERROR(INDEX(계정대체기준!$D$20:$D$49,MATCH($N1074,계정대체기준!$A$20:$A$49,0)),0)))</f>
        <v/>
      </c>
      <c r="AB1074" s="94">
        <f>IF($A1074="",0,IF(AE1074="직접",IF(AF1074="수금비",$P1074,0),$P1074*(1-AG1074)*IFERROR(INDEX(계정대체기준!$E$20:$E$49,MATCH($N1074,계정대체기준!$A$20:$A$49,0)),0)))</f>
        <v/>
      </c>
      <c r="AC1074" s="9">
        <f>IF(AND($A1074&lt;&gt;"",M1074=설정!$C$20,Z1074&gt;0),Z1074+ROW()/1000000000,"")</f>
        <v/>
      </c>
      <c r="AD1074" s="94">
        <f>IF($A1074="",0,$P1074*AG1074)</f>
        <v/>
      </c>
      <c r="AE1074" s="64">
        <f>IF($A1074="","",IFERROR(INDEX(계정매핑!$E$5:$E$504,MATCH($F1074&amp;"",계정매핑!$A$5:$A$504,0))&amp;"","공통비"))</f>
        <v/>
      </c>
      <c r="AF1074" s="64">
        <f>IF($A1074="","",IF(AE1074="직접",IFERROR(INDEX(계정매핑!$F$5:$F$504,MATCH($F1074&amp;"",계정매핑!$A$5:$A$504,0))&amp;"","비귀속"),""))</f>
        <v/>
      </c>
      <c r="AG1074" s="96">
        <f>IF($A1074="",0,IF(AND(AE1074&lt;&gt;"직접",IFERROR(INDEX(계정매핑!$G$5:$G$504,MATCH($F1074&amp;"",계정매핑!$A$5:$A$504,0))&amp;"","")="유지비",COUNTIF(계정대체기준!$A$6:$A$15,$N1074)&gt;0),IFERROR(INDEX(계정대체기준!$E$6:$E$15,MATCH(VALUE($A1074&amp;""),계정대체기준!$D$6:$D$15,0)),0),0))</f>
        <v/>
      </c>
      <c r="AH1074" s="64">
        <f>IF($A1074="","",IF(AD1074=0,"",IF(OR(COUNTIF(계정대체기준!$A$77:$A$86,$N1074)&gt;0,ISNUMBER(MATCH($X1074,계정대체기준!$D$77:$D$86,0)),ISNUMBER(MATCH($F1074,계정대체기준!$D$77:$D$86,0))),"Y","N")))</f>
        <v/>
      </c>
    </row>
    <row r="1075">
      <c r="A1075" s="92" t="n">
        <v>2025</v>
      </c>
      <c r="B1075" s="92" t="n">
        <v>5</v>
      </c>
      <c r="C1075" s="92" t="inlineStr">
        <is>
          <t>5100001071</t>
        </is>
      </c>
      <c r="D1075" s="95" t="n">
        <v>45797</v>
      </c>
      <c r="E1075" s="92" t="inlineStr">
        <is>
          <t>KR</t>
        </is>
      </c>
      <c r="F1075" s="92" t="n">
        <v>62601000</v>
      </c>
      <c r="G1075" s="92" t="n">
        <v>1101</v>
      </c>
      <c r="H1075" s="93" t="n">
        <v>2867000</v>
      </c>
      <c r="I1075" s="92" t="inlineStr">
        <is>
          <t>5월 업무추진 - (법인카드)</t>
        </is>
      </c>
      <c r="J1075" s="92" t="inlineStr">
        <is>
          <t>V10010</t>
        </is>
      </c>
      <c r="K1075" s="92" t="inlineStr">
        <is>
          <t>(법인카드)</t>
        </is>
      </c>
      <c r="M1075" s="9">
        <f>IF($A1075="","",VALUE($A1075&amp;"")*12+VALUE($B1075&amp;""))</f>
        <v/>
      </c>
      <c r="N1075" s="64">
        <f>IF($A1075="","",IFERROR(INDEX(부서매핑!$C$5:$C$504,MATCH($G1075&amp;"",부서매핑!$A$5:$A$504,0)),"미매핑"))</f>
        <v/>
      </c>
      <c r="O1075" s="9">
        <f>IF($A1075="","",N1075&amp;"|"&amp;$F1075)</f>
        <v/>
      </c>
      <c r="P1075" s="94">
        <f>IF($A1075="",0,$H1075*설정!$C$23)</f>
        <v/>
      </c>
      <c r="Q1075" s="64">
        <f>IF($A1075="","",IF(O1075&lt;&gt;원인분석!$C$9,"",IF(AND(M1075&gt;=원인분석!$C$10,M1075&lt;=원인분석!$C$11),"당기",IF(AND(M1075&gt;=원인분석!$C$12,M1075&lt;=원인분석!$C$13),"비교",""))))</f>
        <v/>
      </c>
      <c r="R1075" s="9">
        <f>IF(Q1075="","",$K1075&amp;"")</f>
        <v/>
      </c>
      <c r="S1075" s="9">
        <f>IF(Q1075="","",IF(MATCH(R1075,$R$5:$R$100000,0)=ROW()-4,ROW(),""))</f>
        <v/>
      </c>
      <c r="T1075" s="9">
        <f>IF(Q1075="당기",ABS(P1075)+ROW()/1000000000,"")</f>
        <v/>
      </c>
      <c r="U1075" s="9">
        <f>IF(Q1075="비교",ABS(P1075)+ROW()/1000000000,"")</f>
        <v/>
      </c>
      <c r="V1075" s="64">
        <f>IF($A1075="","",IF(COUNTIF(변동분석!$E$7:$E$506,O1075)&gt;0,"Y","N"))</f>
        <v/>
      </c>
      <c r="W1075" s="64">
        <f>IF($A1075="","",IFERROR(INDEX(계정매핑!$D$5:$D$504,MATCH($F1075&amp;"",계정매핑!$A$5:$A$504,0)),"미매핑"))</f>
        <v/>
      </c>
      <c r="X1075" s="9">
        <f>IF($A1075="","",$F1075&amp;"")</f>
        <v/>
      </c>
      <c r="Y1075" s="94">
        <f>IF($A1075="",0,IF(AE1075="직접",IF(AF1075="비귀속",$P1075,0),$P1075*(1-AG1075)*IFERROR(INDEX(계정대체기준!$F$20:$F$49,MATCH($N1075,계정대체기준!$A$20:$A$49,0)),1)))</f>
        <v/>
      </c>
      <c r="Z1075" s="94">
        <f>IF($A1075="",0,IF(AE1075="직접",IF(AF1075="신계약비",$P1075,0),$P1075*(1-AG1075)*IFERROR(INDEX(계정대체기준!$C$20:$C$49,MATCH($N1075,계정대체기준!$A$20:$A$49,0)),0)))</f>
        <v/>
      </c>
      <c r="AA1075" s="94">
        <f>IF($A1075="",0,IF(AE1075="직접",IF(OR(AF1075="유지비",AF1075="손해조사비"),$P1075,0),$P1075*(1-AG1075)*IFERROR(INDEX(계정대체기준!$D$20:$D$49,MATCH($N1075,계정대체기준!$A$20:$A$49,0)),0)))</f>
        <v/>
      </c>
      <c r="AB1075" s="94">
        <f>IF($A1075="",0,IF(AE1075="직접",IF(AF1075="수금비",$P1075,0),$P1075*(1-AG1075)*IFERROR(INDEX(계정대체기준!$E$20:$E$49,MATCH($N1075,계정대체기준!$A$20:$A$49,0)),0)))</f>
        <v/>
      </c>
      <c r="AC1075" s="9">
        <f>IF(AND($A1075&lt;&gt;"",M1075=설정!$C$20,Z1075&gt;0),Z1075+ROW()/1000000000,"")</f>
        <v/>
      </c>
      <c r="AD1075" s="94">
        <f>IF($A1075="",0,$P1075*AG1075)</f>
        <v/>
      </c>
      <c r="AE1075" s="64">
        <f>IF($A1075="","",IFERROR(INDEX(계정매핑!$E$5:$E$504,MATCH($F1075&amp;"",계정매핑!$A$5:$A$504,0))&amp;"","공통비"))</f>
        <v/>
      </c>
      <c r="AF1075" s="64">
        <f>IF($A1075="","",IF(AE1075="직접",IFERROR(INDEX(계정매핑!$F$5:$F$504,MATCH($F1075&amp;"",계정매핑!$A$5:$A$504,0))&amp;"","비귀속"),""))</f>
        <v/>
      </c>
      <c r="AG1075" s="96">
        <f>IF($A1075="",0,IF(AND(AE1075&lt;&gt;"직접",IFERROR(INDEX(계정매핑!$G$5:$G$504,MATCH($F1075&amp;"",계정매핑!$A$5:$A$504,0))&amp;"","")="유지비",COUNTIF(계정대체기준!$A$6:$A$15,$N1075)&gt;0),IFERROR(INDEX(계정대체기준!$E$6:$E$15,MATCH(VALUE($A1075&amp;""),계정대체기준!$D$6:$D$15,0)),0),0))</f>
        <v/>
      </c>
      <c r="AH1075" s="64">
        <f>IF($A1075="","",IF(AD1075=0,"",IF(OR(COUNTIF(계정대체기준!$A$77:$A$86,$N1075)&gt;0,ISNUMBER(MATCH($X1075,계정대체기준!$D$77:$D$86,0)),ISNUMBER(MATCH($F1075,계정대체기준!$D$77:$D$86,0))),"Y","N")))</f>
        <v/>
      </c>
    </row>
    <row r="1076">
      <c r="A1076" s="92" t="n">
        <v>2025</v>
      </c>
      <c r="B1076" s="92" t="n">
        <v>5</v>
      </c>
      <c r="C1076" s="92" t="inlineStr">
        <is>
          <t>5100001072</t>
        </is>
      </c>
      <c r="D1076" s="95" t="n">
        <v>45797</v>
      </c>
      <c r="E1076" s="92" t="inlineStr">
        <is>
          <t>KR</t>
        </is>
      </c>
      <c r="F1076" s="92" t="n">
        <v>62902000</v>
      </c>
      <c r="G1076" s="92" t="n">
        <v>1951</v>
      </c>
      <c r="H1076" s="93" t="n">
        <v>4592000</v>
      </c>
      <c r="I1076" s="92" t="inlineStr">
        <is>
          <t>5월 업무 위탁 수수료 - X서비스</t>
        </is>
      </c>
      <c r="J1076" s="92" t="inlineStr">
        <is>
          <t>V10020</t>
        </is>
      </c>
      <c r="K1076" s="92" t="inlineStr">
        <is>
          <t>X서비스</t>
        </is>
      </c>
      <c r="M1076" s="9">
        <f>IF($A1076="","",VALUE($A1076&amp;"")*12+VALUE($B1076&amp;""))</f>
        <v/>
      </c>
      <c r="N1076" s="64">
        <f>IF($A1076="","",IFERROR(INDEX(부서매핑!$C$5:$C$504,MATCH($G1076&amp;"",부서매핑!$A$5:$A$504,0)),"미매핑"))</f>
        <v/>
      </c>
      <c r="O1076" s="9">
        <f>IF($A1076="","",N1076&amp;"|"&amp;$F1076)</f>
        <v/>
      </c>
      <c r="P1076" s="94">
        <f>IF($A1076="",0,$H1076*설정!$C$23)</f>
        <v/>
      </c>
      <c r="Q1076" s="64">
        <f>IF($A1076="","",IF(O1076&lt;&gt;원인분석!$C$9,"",IF(AND(M1076&gt;=원인분석!$C$10,M1076&lt;=원인분석!$C$11),"당기",IF(AND(M1076&gt;=원인분석!$C$12,M1076&lt;=원인분석!$C$13),"비교",""))))</f>
        <v/>
      </c>
      <c r="R1076" s="9">
        <f>IF(Q1076="","",$K1076&amp;"")</f>
        <v/>
      </c>
      <c r="S1076" s="9">
        <f>IF(Q1076="","",IF(MATCH(R1076,$R$5:$R$100000,0)=ROW()-4,ROW(),""))</f>
        <v/>
      </c>
      <c r="T1076" s="9">
        <f>IF(Q1076="당기",ABS(P1076)+ROW()/1000000000,"")</f>
        <v/>
      </c>
      <c r="U1076" s="9">
        <f>IF(Q1076="비교",ABS(P1076)+ROW()/1000000000,"")</f>
        <v/>
      </c>
      <c r="V1076" s="64">
        <f>IF($A1076="","",IF(COUNTIF(변동분석!$E$7:$E$506,O1076)&gt;0,"Y","N"))</f>
        <v/>
      </c>
      <c r="W1076" s="64">
        <f>IF($A1076="","",IFERROR(INDEX(계정매핑!$D$5:$D$504,MATCH($F1076&amp;"",계정매핑!$A$5:$A$504,0)),"미매핑"))</f>
        <v/>
      </c>
      <c r="X1076" s="9">
        <f>IF($A1076="","",$F1076&amp;"")</f>
        <v/>
      </c>
      <c r="Y1076" s="94">
        <f>IF($A1076="",0,IF(AE1076="직접",IF(AF1076="비귀속",$P1076,0),$P1076*(1-AG1076)*IFERROR(INDEX(계정대체기준!$F$20:$F$49,MATCH($N1076,계정대체기준!$A$20:$A$49,0)),1)))</f>
        <v/>
      </c>
      <c r="Z1076" s="94">
        <f>IF($A1076="",0,IF(AE1076="직접",IF(AF1076="신계약비",$P1076,0),$P1076*(1-AG1076)*IFERROR(INDEX(계정대체기준!$C$20:$C$49,MATCH($N1076,계정대체기준!$A$20:$A$49,0)),0)))</f>
        <v/>
      </c>
      <c r="AA1076" s="94">
        <f>IF($A1076="",0,IF(AE1076="직접",IF(OR(AF1076="유지비",AF1076="손해조사비"),$P1076,0),$P1076*(1-AG1076)*IFERROR(INDEX(계정대체기준!$D$20:$D$49,MATCH($N1076,계정대체기준!$A$20:$A$49,0)),0)))</f>
        <v/>
      </c>
      <c r="AB1076" s="94">
        <f>IF($A1076="",0,IF(AE1076="직접",IF(AF1076="수금비",$P1076,0),$P1076*(1-AG1076)*IFERROR(INDEX(계정대체기준!$E$20:$E$49,MATCH($N1076,계정대체기준!$A$20:$A$49,0)),0)))</f>
        <v/>
      </c>
      <c r="AC1076" s="9">
        <f>IF(AND($A1076&lt;&gt;"",M1076=설정!$C$20,Z1076&gt;0),Z1076+ROW()/1000000000,"")</f>
        <v/>
      </c>
      <c r="AD1076" s="94">
        <f>IF($A1076="",0,$P1076*AG1076)</f>
        <v/>
      </c>
      <c r="AE1076" s="64">
        <f>IF($A1076="","",IFERROR(INDEX(계정매핑!$E$5:$E$504,MATCH($F1076&amp;"",계정매핑!$A$5:$A$504,0))&amp;"","공통비"))</f>
        <v/>
      </c>
      <c r="AF1076" s="64">
        <f>IF($A1076="","",IF(AE1076="직접",IFERROR(INDEX(계정매핑!$F$5:$F$504,MATCH($F1076&amp;"",계정매핑!$A$5:$A$504,0))&amp;"","비귀속"),""))</f>
        <v/>
      </c>
      <c r="AG1076" s="96">
        <f>IF($A1076="",0,IF(AND(AE1076&lt;&gt;"직접",IFERROR(INDEX(계정매핑!$G$5:$G$504,MATCH($F1076&amp;"",계정매핑!$A$5:$A$504,0))&amp;"","")="유지비",COUNTIF(계정대체기준!$A$6:$A$15,$N1076)&gt;0),IFERROR(INDEX(계정대체기준!$E$6:$E$15,MATCH(VALUE($A1076&amp;""),계정대체기준!$D$6:$D$15,0)),0),0))</f>
        <v/>
      </c>
      <c r="AH1076" s="64">
        <f>IF($A1076="","",IF(AD1076=0,"",IF(OR(COUNTIF(계정대체기준!$A$77:$A$86,$N1076)&gt;0,ISNUMBER(MATCH($X1076,계정대체기준!$D$77:$D$86,0)),ISNUMBER(MATCH($F1076,계정대체기준!$D$77:$D$86,0))),"Y","N")))</f>
        <v/>
      </c>
    </row>
    <row r="1077">
      <c r="A1077" s="92" t="n">
        <v>2025</v>
      </c>
      <c r="B1077" s="92" t="n">
        <v>5</v>
      </c>
      <c r="C1077" s="92" t="inlineStr">
        <is>
          <t>5100001073</t>
        </is>
      </c>
      <c r="D1077" s="95" t="n">
        <v>45797</v>
      </c>
      <c r="E1077" s="92" t="inlineStr">
        <is>
          <t>KR</t>
        </is>
      </c>
      <c r="F1077" s="92" t="n">
        <v>63601000</v>
      </c>
      <c r="G1077" s="92" t="n">
        <v>1801</v>
      </c>
      <c r="H1077" s="93" t="n">
        <v>9319000</v>
      </c>
      <c r="I1077" s="92" t="inlineStr">
        <is>
          <t>5월 손해사정 수수료 - DD손해사정</t>
        </is>
      </c>
      <c r="J1077" s="92" t="inlineStr">
        <is>
          <t>V10032</t>
        </is>
      </c>
      <c r="K1077" s="92" t="inlineStr">
        <is>
          <t>DD손해사정</t>
        </is>
      </c>
      <c r="M1077" s="9">
        <f>IF($A1077="","",VALUE($A1077&amp;"")*12+VALUE($B1077&amp;""))</f>
        <v/>
      </c>
      <c r="N1077" s="64">
        <f>IF($A1077="","",IFERROR(INDEX(부서매핑!$C$5:$C$504,MATCH($G1077&amp;"",부서매핑!$A$5:$A$504,0)),"미매핑"))</f>
        <v/>
      </c>
      <c r="O1077" s="9">
        <f>IF($A1077="","",N1077&amp;"|"&amp;$F1077)</f>
        <v/>
      </c>
      <c r="P1077" s="94">
        <f>IF($A1077="",0,$H1077*설정!$C$23)</f>
        <v/>
      </c>
      <c r="Q1077" s="64">
        <f>IF($A1077="","",IF(O1077&lt;&gt;원인분석!$C$9,"",IF(AND(M1077&gt;=원인분석!$C$10,M1077&lt;=원인분석!$C$11),"당기",IF(AND(M1077&gt;=원인분석!$C$12,M1077&lt;=원인분석!$C$13),"비교",""))))</f>
        <v/>
      </c>
      <c r="R1077" s="9">
        <f>IF(Q1077="","",$K1077&amp;"")</f>
        <v/>
      </c>
      <c r="S1077" s="9">
        <f>IF(Q1077="","",IF(MATCH(R1077,$R$5:$R$100000,0)=ROW()-4,ROW(),""))</f>
        <v/>
      </c>
      <c r="T1077" s="9">
        <f>IF(Q1077="당기",ABS(P1077)+ROW()/1000000000,"")</f>
        <v/>
      </c>
      <c r="U1077" s="9">
        <f>IF(Q1077="비교",ABS(P1077)+ROW()/1000000000,"")</f>
        <v/>
      </c>
      <c r="V1077" s="64">
        <f>IF($A1077="","",IF(COUNTIF(변동분석!$E$7:$E$506,O1077)&gt;0,"Y","N"))</f>
        <v/>
      </c>
      <c r="W1077" s="64">
        <f>IF($A1077="","",IFERROR(INDEX(계정매핑!$D$5:$D$504,MATCH($F1077&amp;"",계정매핑!$A$5:$A$504,0)),"미매핑"))</f>
        <v/>
      </c>
      <c r="X1077" s="9">
        <f>IF($A1077="","",$F1077&amp;"")</f>
        <v/>
      </c>
      <c r="Y1077" s="94">
        <f>IF($A1077="",0,IF(AE1077="직접",IF(AF1077="비귀속",$P1077,0),$P1077*(1-AG1077)*IFERROR(INDEX(계정대체기준!$F$20:$F$49,MATCH($N1077,계정대체기준!$A$20:$A$49,0)),1)))</f>
        <v/>
      </c>
      <c r="Z1077" s="94">
        <f>IF($A1077="",0,IF(AE1077="직접",IF(AF1077="신계약비",$P1077,0),$P1077*(1-AG1077)*IFERROR(INDEX(계정대체기준!$C$20:$C$49,MATCH($N1077,계정대체기준!$A$20:$A$49,0)),0)))</f>
        <v/>
      </c>
      <c r="AA1077" s="94">
        <f>IF($A1077="",0,IF(AE1077="직접",IF(OR(AF1077="유지비",AF1077="손해조사비"),$P1077,0),$P1077*(1-AG1077)*IFERROR(INDEX(계정대체기준!$D$20:$D$49,MATCH($N1077,계정대체기준!$A$20:$A$49,0)),0)))</f>
        <v/>
      </c>
      <c r="AB1077" s="94">
        <f>IF($A1077="",0,IF(AE1077="직접",IF(AF1077="수금비",$P1077,0),$P1077*(1-AG1077)*IFERROR(INDEX(계정대체기준!$E$20:$E$49,MATCH($N1077,계정대체기준!$A$20:$A$49,0)),0)))</f>
        <v/>
      </c>
      <c r="AC1077" s="9">
        <f>IF(AND($A1077&lt;&gt;"",M1077=설정!$C$20,Z1077&gt;0),Z1077+ROW()/1000000000,"")</f>
        <v/>
      </c>
      <c r="AD1077" s="94">
        <f>IF($A1077="",0,$P1077*AG1077)</f>
        <v/>
      </c>
      <c r="AE1077" s="64">
        <f>IF($A1077="","",IFERROR(INDEX(계정매핑!$E$5:$E$504,MATCH($F1077&amp;"",계정매핑!$A$5:$A$504,0))&amp;"","공통비"))</f>
        <v/>
      </c>
      <c r="AF1077" s="64">
        <f>IF($A1077="","",IF(AE1077="직접",IFERROR(INDEX(계정매핑!$F$5:$F$504,MATCH($F1077&amp;"",계정매핑!$A$5:$A$504,0))&amp;"","비귀속"),""))</f>
        <v/>
      </c>
      <c r="AG1077" s="96">
        <f>IF($A1077="",0,IF(AND(AE1077&lt;&gt;"직접",IFERROR(INDEX(계정매핑!$G$5:$G$504,MATCH($F1077&amp;"",계정매핑!$A$5:$A$504,0))&amp;"","")="유지비",COUNTIF(계정대체기준!$A$6:$A$15,$N1077)&gt;0),IFERROR(INDEX(계정대체기준!$E$6:$E$15,MATCH(VALUE($A1077&amp;""),계정대체기준!$D$6:$D$15,0)),0),0))</f>
        <v/>
      </c>
      <c r="AH1077" s="64">
        <f>IF($A1077="","",IF(AD1077=0,"",IF(OR(COUNTIF(계정대체기준!$A$77:$A$86,$N1077)&gt;0,ISNUMBER(MATCH($X1077,계정대체기준!$D$77:$D$86,0)),ISNUMBER(MATCH($F1077,계정대체기준!$D$77:$D$86,0))),"Y","N")))</f>
        <v/>
      </c>
    </row>
    <row r="1078">
      <c r="A1078" s="92" t="n">
        <v>2025</v>
      </c>
      <c r="B1078" s="92" t="n">
        <v>5</v>
      </c>
      <c r="C1078" s="92" t="inlineStr">
        <is>
          <t>5100001074</t>
        </is>
      </c>
      <c r="D1078" s="95" t="n">
        <v>45798</v>
      </c>
      <c r="E1078" s="92" t="inlineStr">
        <is>
          <t>KR</t>
        </is>
      </c>
      <c r="F1078" s="92" t="n">
        <v>62102000</v>
      </c>
      <c r="G1078" s="92" t="n">
        <v>1701</v>
      </c>
      <c r="H1078" s="93" t="n">
        <v>49000</v>
      </c>
      <c r="I1078" s="92" t="inlineStr">
        <is>
          <t>5월 해외출장 - M항공</t>
        </is>
      </c>
      <c r="J1078" s="92" t="inlineStr">
        <is>
          <t>V10001</t>
        </is>
      </c>
      <c r="K1078" s="92" t="inlineStr">
        <is>
          <t>M항공</t>
        </is>
      </c>
      <c r="M1078" s="9">
        <f>IF($A1078="","",VALUE($A1078&amp;"")*12+VALUE($B1078&amp;""))</f>
        <v/>
      </c>
      <c r="N1078" s="64">
        <f>IF($A1078="","",IFERROR(INDEX(부서매핑!$C$5:$C$504,MATCH($G1078&amp;"",부서매핑!$A$5:$A$504,0)),"미매핑"))</f>
        <v/>
      </c>
      <c r="O1078" s="9">
        <f>IF($A1078="","",N1078&amp;"|"&amp;$F1078)</f>
        <v/>
      </c>
      <c r="P1078" s="94">
        <f>IF($A1078="",0,$H1078*설정!$C$23)</f>
        <v/>
      </c>
      <c r="Q1078" s="64">
        <f>IF($A1078="","",IF(O1078&lt;&gt;원인분석!$C$9,"",IF(AND(M1078&gt;=원인분석!$C$10,M1078&lt;=원인분석!$C$11),"당기",IF(AND(M1078&gt;=원인분석!$C$12,M1078&lt;=원인분석!$C$13),"비교",""))))</f>
        <v/>
      </c>
      <c r="R1078" s="9">
        <f>IF(Q1078="","",$K1078&amp;"")</f>
        <v/>
      </c>
      <c r="S1078" s="9">
        <f>IF(Q1078="","",IF(MATCH(R1078,$R$5:$R$100000,0)=ROW()-4,ROW(),""))</f>
        <v/>
      </c>
      <c r="T1078" s="9">
        <f>IF(Q1078="당기",ABS(P1078)+ROW()/1000000000,"")</f>
        <v/>
      </c>
      <c r="U1078" s="9">
        <f>IF(Q1078="비교",ABS(P1078)+ROW()/1000000000,"")</f>
        <v/>
      </c>
      <c r="V1078" s="64">
        <f>IF($A1078="","",IF(COUNTIF(변동분석!$E$7:$E$506,O1078)&gt;0,"Y","N"))</f>
        <v/>
      </c>
      <c r="W1078" s="64">
        <f>IF($A1078="","",IFERROR(INDEX(계정매핑!$D$5:$D$504,MATCH($F1078&amp;"",계정매핑!$A$5:$A$504,0)),"미매핑"))</f>
        <v/>
      </c>
      <c r="X1078" s="9">
        <f>IF($A1078="","",$F1078&amp;"")</f>
        <v/>
      </c>
      <c r="Y1078" s="94">
        <f>IF($A1078="",0,IF(AE1078="직접",IF(AF1078="비귀속",$P1078,0),$P1078*(1-AG1078)*IFERROR(INDEX(계정대체기준!$F$20:$F$49,MATCH($N1078,계정대체기준!$A$20:$A$49,0)),1)))</f>
        <v/>
      </c>
      <c r="Z1078" s="94">
        <f>IF($A1078="",0,IF(AE1078="직접",IF(AF1078="신계약비",$P1078,0),$P1078*(1-AG1078)*IFERROR(INDEX(계정대체기준!$C$20:$C$49,MATCH($N1078,계정대체기준!$A$20:$A$49,0)),0)))</f>
        <v/>
      </c>
      <c r="AA1078" s="94">
        <f>IF($A1078="",0,IF(AE1078="직접",IF(OR(AF1078="유지비",AF1078="손해조사비"),$P1078,0),$P1078*(1-AG1078)*IFERROR(INDEX(계정대체기준!$D$20:$D$49,MATCH($N1078,계정대체기준!$A$20:$A$49,0)),0)))</f>
        <v/>
      </c>
      <c r="AB1078" s="94">
        <f>IF($A1078="",0,IF(AE1078="직접",IF(AF1078="수금비",$P1078,0),$P1078*(1-AG1078)*IFERROR(INDEX(계정대체기준!$E$20:$E$49,MATCH($N1078,계정대체기준!$A$20:$A$49,0)),0)))</f>
        <v/>
      </c>
      <c r="AC1078" s="9">
        <f>IF(AND($A1078&lt;&gt;"",M1078=설정!$C$20,Z1078&gt;0),Z1078+ROW()/1000000000,"")</f>
        <v/>
      </c>
      <c r="AD1078" s="94">
        <f>IF($A1078="",0,$P1078*AG1078)</f>
        <v/>
      </c>
      <c r="AE1078" s="64">
        <f>IF($A1078="","",IFERROR(INDEX(계정매핑!$E$5:$E$504,MATCH($F1078&amp;"",계정매핑!$A$5:$A$504,0))&amp;"","공통비"))</f>
        <v/>
      </c>
      <c r="AF1078" s="64">
        <f>IF($A1078="","",IF(AE1078="직접",IFERROR(INDEX(계정매핑!$F$5:$F$504,MATCH($F1078&amp;"",계정매핑!$A$5:$A$504,0))&amp;"","비귀속"),""))</f>
        <v/>
      </c>
      <c r="AG1078" s="96">
        <f>IF($A1078="",0,IF(AND(AE1078&lt;&gt;"직접",IFERROR(INDEX(계정매핑!$G$5:$G$504,MATCH($F1078&amp;"",계정매핑!$A$5:$A$504,0))&amp;"","")="유지비",COUNTIF(계정대체기준!$A$6:$A$15,$N1078)&gt;0),IFERROR(INDEX(계정대체기준!$E$6:$E$15,MATCH(VALUE($A1078&amp;""),계정대체기준!$D$6:$D$15,0)),0),0))</f>
        <v/>
      </c>
      <c r="AH1078" s="64">
        <f>IF($A1078="","",IF(AD1078=0,"",IF(OR(COUNTIF(계정대체기준!$A$77:$A$86,$N1078)&gt;0,ISNUMBER(MATCH($X1078,계정대체기준!$D$77:$D$86,0)),ISNUMBER(MATCH($F1078,계정대체기준!$D$77:$D$86,0))),"Y","N")))</f>
        <v/>
      </c>
    </row>
    <row r="1079">
      <c r="A1079" s="92" t="n">
        <v>2025</v>
      </c>
      <c r="B1079" s="92" t="n">
        <v>5</v>
      </c>
      <c r="C1079" s="92" t="inlineStr">
        <is>
          <t>5100001075</t>
        </is>
      </c>
      <c r="D1079" s="95" t="n">
        <v>45798</v>
      </c>
      <c r="E1079" s="92" t="inlineStr">
        <is>
          <t>KR</t>
        </is>
      </c>
      <c r="F1079" s="92" t="n">
        <v>62301000</v>
      </c>
      <c r="G1079" s="92" t="n">
        <v>1101</v>
      </c>
      <c r="H1079" s="93" t="n">
        <v>157000</v>
      </c>
      <c r="I1079" s="92" t="inlineStr">
        <is>
          <t>5월 소모품 구입 - R문구</t>
        </is>
      </c>
      <c r="J1079" s="92" t="inlineStr">
        <is>
          <t>V10022</t>
        </is>
      </c>
      <c r="K1079" s="92" t="inlineStr">
        <is>
          <t>R문구</t>
        </is>
      </c>
      <c r="M1079" s="9">
        <f>IF($A1079="","",VALUE($A1079&amp;"")*12+VALUE($B1079&amp;""))</f>
        <v/>
      </c>
      <c r="N1079" s="64">
        <f>IF($A1079="","",IFERROR(INDEX(부서매핑!$C$5:$C$504,MATCH($G1079&amp;"",부서매핑!$A$5:$A$504,0)),"미매핑"))</f>
        <v/>
      </c>
      <c r="O1079" s="9">
        <f>IF($A1079="","",N1079&amp;"|"&amp;$F1079)</f>
        <v/>
      </c>
      <c r="P1079" s="94">
        <f>IF($A1079="",0,$H1079*설정!$C$23)</f>
        <v/>
      </c>
      <c r="Q1079" s="64">
        <f>IF($A1079="","",IF(O1079&lt;&gt;원인분석!$C$9,"",IF(AND(M1079&gt;=원인분석!$C$10,M1079&lt;=원인분석!$C$11),"당기",IF(AND(M1079&gt;=원인분석!$C$12,M1079&lt;=원인분석!$C$13),"비교",""))))</f>
        <v/>
      </c>
      <c r="R1079" s="9">
        <f>IF(Q1079="","",$K1079&amp;"")</f>
        <v/>
      </c>
      <c r="S1079" s="9">
        <f>IF(Q1079="","",IF(MATCH(R1079,$R$5:$R$100000,0)=ROW()-4,ROW(),""))</f>
        <v/>
      </c>
      <c r="T1079" s="9">
        <f>IF(Q1079="당기",ABS(P1079)+ROW()/1000000000,"")</f>
        <v/>
      </c>
      <c r="U1079" s="9">
        <f>IF(Q1079="비교",ABS(P1079)+ROW()/1000000000,"")</f>
        <v/>
      </c>
      <c r="V1079" s="64">
        <f>IF($A1079="","",IF(COUNTIF(변동분석!$E$7:$E$506,O1079)&gt;0,"Y","N"))</f>
        <v/>
      </c>
      <c r="W1079" s="64">
        <f>IF($A1079="","",IFERROR(INDEX(계정매핑!$D$5:$D$504,MATCH($F1079&amp;"",계정매핑!$A$5:$A$504,0)),"미매핑"))</f>
        <v/>
      </c>
      <c r="X1079" s="9">
        <f>IF($A1079="","",$F1079&amp;"")</f>
        <v/>
      </c>
      <c r="Y1079" s="94">
        <f>IF($A1079="",0,IF(AE1079="직접",IF(AF1079="비귀속",$P1079,0),$P1079*(1-AG1079)*IFERROR(INDEX(계정대체기준!$F$20:$F$49,MATCH($N1079,계정대체기준!$A$20:$A$49,0)),1)))</f>
        <v/>
      </c>
      <c r="Z1079" s="94">
        <f>IF($A1079="",0,IF(AE1079="직접",IF(AF1079="신계약비",$P1079,0),$P1079*(1-AG1079)*IFERROR(INDEX(계정대체기준!$C$20:$C$49,MATCH($N1079,계정대체기준!$A$20:$A$49,0)),0)))</f>
        <v/>
      </c>
      <c r="AA1079" s="94">
        <f>IF($A1079="",0,IF(AE1079="직접",IF(OR(AF1079="유지비",AF1079="손해조사비"),$P1079,0),$P1079*(1-AG1079)*IFERROR(INDEX(계정대체기준!$D$20:$D$49,MATCH($N1079,계정대체기준!$A$20:$A$49,0)),0)))</f>
        <v/>
      </c>
      <c r="AB1079" s="94">
        <f>IF($A1079="",0,IF(AE1079="직접",IF(AF1079="수금비",$P1079,0),$P1079*(1-AG1079)*IFERROR(INDEX(계정대체기준!$E$20:$E$49,MATCH($N1079,계정대체기준!$A$20:$A$49,0)),0)))</f>
        <v/>
      </c>
      <c r="AC1079" s="9">
        <f>IF(AND($A1079&lt;&gt;"",M1079=설정!$C$20,Z1079&gt;0),Z1079+ROW()/1000000000,"")</f>
        <v/>
      </c>
      <c r="AD1079" s="94">
        <f>IF($A1079="",0,$P1079*AG1079)</f>
        <v/>
      </c>
      <c r="AE1079" s="64">
        <f>IF($A1079="","",IFERROR(INDEX(계정매핑!$E$5:$E$504,MATCH($F1079&amp;"",계정매핑!$A$5:$A$504,0))&amp;"","공통비"))</f>
        <v/>
      </c>
      <c r="AF1079" s="64">
        <f>IF($A1079="","",IF(AE1079="직접",IFERROR(INDEX(계정매핑!$F$5:$F$504,MATCH($F1079&amp;"",계정매핑!$A$5:$A$504,0))&amp;"","비귀속"),""))</f>
        <v/>
      </c>
      <c r="AG1079" s="96">
        <f>IF($A1079="",0,IF(AND(AE1079&lt;&gt;"직접",IFERROR(INDEX(계정매핑!$G$5:$G$504,MATCH($F1079&amp;"",계정매핑!$A$5:$A$504,0))&amp;"","")="유지비",COUNTIF(계정대체기준!$A$6:$A$15,$N1079)&gt;0),IFERROR(INDEX(계정대체기준!$E$6:$E$15,MATCH(VALUE($A1079&amp;""),계정대체기준!$D$6:$D$15,0)),0),0))</f>
        <v/>
      </c>
      <c r="AH1079" s="64">
        <f>IF($A1079="","",IF(AD1079=0,"",IF(OR(COUNTIF(계정대체기준!$A$77:$A$86,$N1079)&gt;0,ISNUMBER(MATCH($X1079,계정대체기준!$D$77:$D$86,0)),ISNUMBER(MATCH($F1079,계정대체기준!$D$77:$D$86,0))),"Y","N")))</f>
        <v/>
      </c>
    </row>
    <row r="1080">
      <c r="A1080" s="92" t="n">
        <v>2025</v>
      </c>
      <c r="B1080" s="92" t="n">
        <v>5</v>
      </c>
      <c r="C1080" s="92" t="inlineStr">
        <is>
          <t>5100001076</t>
        </is>
      </c>
      <c r="D1080" s="95" t="n">
        <v>45798</v>
      </c>
      <c r="E1080" s="92" t="inlineStr">
        <is>
          <t>KR</t>
        </is>
      </c>
      <c r="F1080" s="92" t="n">
        <v>62501000</v>
      </c>
      <c r="G1080" s="92" t="n">
        <v>1301</v>
      </c>
      <c r="H1080" s="93" t="n">
        <v>320000</v>
      </c>
      <c r="I1080" s="92" t="inlineStr">
        <is>
          <t>5월 회의 다과 - T케이터링</t>
        </is>
      </c>
      <c r="J1080" s="92" t="inlineStr">
        <is>
          <t>V10005</t>
        </is>
      </c>
      <c r="K1080" s="92" t="inlineStr">
        <is>
          <t>T케이터링</t>
        </is>
      </c>
      <c r="M1080" s="9">
        <f>IF($A1080="","",VALUE($A1080&amp;"")*12+VALUE($B1080&amp;""))</f>
        <v/>
      </c>
      <c r="N1080" s="64">
        <f>IF($A1080="","",IFERROR(INDEX(부서매핑!$C$5:$C$504,MATCH($G1080&amp;"",부서매핑!$A$5:$A$504,0)),"미매핑"))</f>
        <v/>
      </c>
      <c r="O1080" s="9">
        <f>IF($A1080="","",N1080&amp;"|"&amp;$F1080)</f>
        <v/>
      </c>
      <c r="P1080" s="94">
        <f>IF($A1080="",0,$H1080*설정!$C$23)</f>
        <v/>
      </c>
      <c r="Q1080" s="64">
        <f>IF($A1080="","",IF(O1080&lt;&gt;원인분석!$C$9,"",IF(AND(M1080&gt;=원인분석!$C$10,M1080&lt;=원인분석!$C$11),"당기",IF(AND(M1080&gt;=원인분석!$C$12,M1080&lt;=원인분석!$C$13),"비교",""))))</f>
        <v/>
      </c>
      <c r="R1080" s="9">
        <f>IF(Q1080="","",$K1080&amp;"")</f>
        <v/>
      </c>
      <c r="S1080" s="9">
        <f>IF(Q1080="","",IF(MATCH(R1080,$R$5:$R$100000,0)=ROW()-4,ROW(),""))</f>
        <v/>
      </c>
      <c r="T1080" s="9">
        <f>IF(Q1080="당기",ABS(P1080)+ROW()/1000000000,"")</f>
        <v/>
      </c>
      <c r="U1080" s="9">
        <f>IF(Q1080="비교",ABS(P1080)+ROW()/1000000000,"")</f>
        <v/>
      </c>
      <c r="V1080" s="64">
        <f>IF($A1080="","",IF(COUNTIF(변동분석!$E$7:$E$506,O1080)&gt;0,"Y","N"))</f>
        <v/>
      </c>
      <c r="W1080" s="64">
        <f>IF($A1080="","",IFERROR(INDEX(계정매핑!$D$5:$D$504,MATCH($F1080&amp;"",계정매핑!$A$5:$A$504,0)),"미매핑"))</f>
        <v/>
      </c>
      <c r="X1080" s="9">
        <f>IF($A1080="","",$F1080&amp;"")</f>
        <v/>
      </c>
      <c r="Y1080" s="94">
        <f>IF($A1080="",0,IF(AE1080="직접",IF(AF1080="비귀속",$P1080,0),$P1080*(1-AG1080)*IFERROR(INDEX(계정대체기준!$F$20:$F$49,MATCH($N1080,계정대체기준!$A$20:$A$49,0)),1)))</f>
        <v/>
      </c>
      <c r="Z1080" s="94">
        <f>IF($A1080="",0,IF(AE1080="직접",IF(AF1080="신계약비",$P1080,0),$P1080*(1-AG1080)*IFERROR(INDEX(계정대체기준!$C$20:$C$49,MATCH($N1080,계정대체기준!$A$20:$A$49,0)),0)))</f>
        <v/>
      </c>
      <c r="AA1080" s="94">
        <f>IF($A1080="",0,IF(AE1080="직접",IF(OR(AF1080="유지비",AF1080="손해조사비"),$P1080,0),$P1080*(1-AG1080)*IFERROR(INDEX(계정대체기준!$D$20:$D$49,MATCH($N1080,계정대체기준!$A$20:$A$49,0)),0)))</f>
        <v/>
      </c>
      <c r="AB1080" s="94">
        <f>IF($A1080="",0,IF(AE1080="직접",IF(AF1080="수금비",$P1080,0),$P1080*(1-AG1080)*IFERROR(INDEX(계정대체기준!$E$20:$E$49,MATCH($N1080,계정대체기준!$A$20:$A$49,0)),0)))</f>
        <v/>
      </c>
      <c r="AC1080" s="9">
        <f>IF(AND($A1080&lt;&gt;"",M1080=설정!$C$20,Z1080&gt;0),Z1080+ROW()/1000000000,"")</f>
        <v/>
      </c>
      <c r="AD1080" s="94">
        <f>IF($A1080="",0,$P1080*AG1080)</f>
        <v/>
      </c>
      <c r="AE1080" s="64">
        <f>IF($A1080="","",IFERROR(INDEX(계정매핑!$E$5:$E$504,MATCH($F1080&amp;"",계정매핑!$A$5:$A$504,0))&amp;"","공통비"))</f>
        <v/>
      </c>
      <c r="AF1080" s="64">
        <f>IF($A1080="","",IF(AE1080="직접",IFERROR(INDEX(계정매핑!$F$5:$F$504,MATCH($F1080&amp;"",계정매핑!$A$5:$A$504,0))&amp;"","비귀속"),""))</f>
        <v/>
      </c>
      <c r="AG1080" s="96">
        <f>IF($A1080="",0,IF(AND(AE1080&lt;&gt;"직접",IFERROR(INDEX(계정매핑!$G$5:$G$504,MATCH($F1080&amp;"",계정매핑!$A$5:$A$504,0))&amp;"","")="유지비",COUNTIF(계정대체기준!$A$6:$A$15,$N1080)&gt;0),IFERROR(INDEX(계정대체기준!$E$6:$E$15,MATCH(VALUE($A1080&amp;""),계정대체기준!$D$6:$D$15,0)),0),0))</f>
        <v/>
      </c>
      <c r="AH1080" s="64">
        <f>IF($A1080="","",IF(AD1080=0,"",IF(OR(COUNTIF(계정대체기준!$A$77:$A$86,$N1080)&gt;0,ISNUMBER(MATCH($X1080,계정대체기준!$D$77:$D$86,0)),ISNUMBER(MATCH($F1080,계정대체기준!$D$77:$D$86,0))),"Y","N")))</f>
        <v/>
      </c>
    </row>
    <row r="1081">
      <c r="A1081" s="92" t="n">
        <v>2025</v>
      </c>
      <c r="B1081" s="92" t="n">
        <v>5</v>
      </c>
      <c r="C1081" s="92" t="inlineStr">
        <is>
          <t>5100001077</t>
        </is>
      </c>
      <c r="D1081" s="95" t="n">
        <v>45798</v>
      </c>
      <c r="E1081" s="92" t="inlineStr">
        <is>
          <t>KR</t>
        </is>
      </c>
      <c r="F1081" s="92" t="n">
        <v>62501000</v>
      </c>
      <c r="G1081" s="92" t="n">
        <v>1602</v>
      </c>
      <c r="H1081" s="93" t="n">
        <v>316000</v>
      </c>
      <c r="I1081" s="92" t="inlineStr">
        <is>
          <t>5월 회의 다과 - (법인카드)</t>
        </is>
      </c>
      <c r="J1081" s="92" t="inlineStr">
        <is>
          <t>V10010</t>
        </is>
      </c>
      <c r="K1081" s="92" t="inlineStr">
        <is>
          <t>(법인카드)</t>
        </is>
      </c>
      <c r="M1081" s="9">
        <f>IF($A1081="","",VALUE($A1081&amp;"")*12+VALUE($B1081&amp;""))</f>
        <v/>
      </c>
      <c r="N1081" s="64">
        <f>IF($A1081="","",IFERROR(INDEX(부서매핑!$C$5:$C$504,MATCH($G1081&amp;"",부서매핑!$A$5:$A$504,0)),"미매핑"))</f>
        <v/>
      </c>
      <c r="O1081" s="9">
        <f>IF($A1081="","",N1081&amp;"|"&amp;$F1081)</f>
        <v/>
      </c>
      <c r="P1081" s="94">
        <f>IF($A1081="",0,$H1081*설정!$C$23)</f>
        <v/>
      </c>
      <c r="Q1081" s="64">
        <f>IF($A1081="","",IF(O1081&lt;&gt;원인분석!$C$9,"",IF(AND(M1081&gt;=원인분석!$C$10,M1081&lt;=원인분석!$C$11),"당기",IF(AND(M1081&gt;=원인분석!$C$12,M1081&lt;=원인분석!$C$13),"비교",""))))</f>
        <v/>
      </c>
      <c r="R1081" s="9">
        <f>IF(Q1081="","",$K1081&amp;"")</f>
        <v/>
      </c>
      <c r="S1081" s="9">
        <f>IF(Q1081="","",IF(MATCH(R1081,$R$5:$R$100000,0)=ROW()-4,ROW(),""))</f>
        <v/>
      </c>
      <c r="T1081" s="9">
        <f>IF(Q1081="당기",ABS(P1081)+ROW()/1000000000,"")</f>
        <v/>
      </c>
      <c r="U1081" s="9">
        <f>IF(Q1081="비교",ABS(P1081)+ROW()/1000000000,"")</f>
        <v/>
      </c>
      <c r="V1081" s="64">
        <f>IF($A1081="","",IF(COUNTIF(변동분석!$E$7:$E$506,O1081)&gt;0,"Y","N"))</f>
        <v/>
      </c>
      <c r="W1081" s="64">
        <f>IF($A1081="","",IFERROR(INDEX(계정매핑!$D$5:$D$504,MATCH($F1081&amp;"",계정매핑!$A$5:$A$504,0)),"미매핑"))</f>
        <v/>
      </c>
      <c r="X1081" s="9">
        <f>IF($A1081="","",$F1081&amp;"")</f>
        <v/>
      </c>
      <c r="Y1081" s="94">
        <f>IF($A1081="",0,IF(AE1081="직접",IF(AF1081="비귀속",$P1081,0),$P1081*(1-AG1081)*IFERROR(INDEX(계정대체기준!$F$20:$F$49,MATCH($N1081,계정대체기준!$A$20:$A$49,0)),1)))</f>
        <v/>
      </c>
      <c r="Z1081" s="94">
        <f>IF($A1081="",0,IF(AE1081="직접",IF(AF1081="신계약비",$P1081,0),$P1081*(1-AG1081)*IFERROR(INDEX(계정대체기준!$C$20:$C$49,MATCH($N1081,계정대체기준!$A$20:$A$49,0)),0)))</f>
        <v/>
      </c>
      <c r="AA1081" s="94">
        <f>IF($A1081="",0,IF(AE1081="직접",IF(OR(AF1081="유지비",AF1081="손해조사비"),$P1081,0),$P1081*(1-AG1081)*IFERROR(INDEX(계정대체기준!$D$20:$D$49,MATCH($N1081,계정대체기준!$A$20:$A$49,0)),0)))</f>
        <v/>
      </c>
      <c r="AB1081" s="94">
        <f>IF($A1081="",0,IF(AE1081="직접",IF(AF1081="수금비",$P1081,0),$P1081*(1-AG1081)*IFERROR(INDEX(계정대체기준!$E$20:$E$49,MATCH($N1081,계정대체기준!$A$20:$A$49,0)),0)))</f>
        <v/>
      </c>
      <c r="AC1081" s="9">
        <f>IF(AND($A1081&lt;&gt;"",M1081=설정!$C$20,Z1081&gt;0),Z1081+ROW()/1000000000,"")</f>
        <v/>
      </c>
      <c r="AD1081" s="94">
        <f>IF($A1081="",0,$P1081*AG1081)</f>
        <v/>
      </c>
      <c r="AE1081" s="64">
        <f>IF($A1081="","",IFERROR(INDEX(계정매핑!$E$5:$E$504,MATCH($F1081&amp;"",계정매핑!$A$5:$A$504,0))&amp;"","공통비"))</f>
        <v/>
      </c>
      <c r="AF1081" s="64">
        <f>IF($A1081="","",IF(AE1081="직접",IFERROR(INDEX(계정매핑!$F$5:$F$504,MATCH($F1081&amp;"",계정매핑!$A$5:$A$504,0))&amp;"","비귀속"),""))</f>
        <v/>
      </c>
      <c r="AG1081" s="96">
        <f>IF($A1081="",0,IF(AND(AE1081&lt;&gt;"직접",IFERROR(INDEX(계정매핑!$G$5:$G$504,MATCH($F1081&amp;"",계정매핑!$A$5:$A$504,0))&amp;"","")="유지비",COUNTIF(계정대체기준!$A$6:$A$15,$N1081)&gt;0),IFERROR(INDEX(계정대체기준!$E$6:$E$15,MATCH(VALUE($A1081&amp;""),계정대체기준!$D$6:$D$15,0)),0),0))</f>
        <v/>
      </c>
      <c r="AH1081" s="64">
        <f>IF($A1081="","",IF(AD1081=0,"",IF(OR(COUNTIF(계정대체기준!$A$77:$A$86,$N1081)&gt;0,ISNUMBER(MATCH($X1081,계정대체기준!$D$77:$D$86,0)),ISNUMBER(MATCH($F1081,계정대체기준!$D$77:$D$86,0))),"Y","N")))</f>
        <v/>
      </c>
    </row>
    <row r="1082">
      <c r="A1082" s="92" t="n">
        <v>2025</v>
      </c>
      <c r="B1082" s="92" t="n">
        <v>5</v>
      </c>
      <c r="C1082" s="92" t="inlineStr">
        <is>
          <t>5100001078</t>
        </is>
      </c>
      <c r="D1082" s="95" t="n">
        <v>45798</v>
      </c>
      <c r="E1082" s="92" t="inlineStr">
        <is>
          <t>KR</t>
        </is>
      </c>
      <c r="F1082" s="92" t="n">
        <v>62901000</v>
      </c>
      <c r="G1082" s="92" t="n">
        <v>1201</v>
      </c>
      <c r="H1082" s="93" t="n">
        <v>5352000</v>
      </c>
      <c r="I1082" s="92" t="inlineStr">
        <is>
          <t>5월 자문 수수료 - W컨설팅</t>
        </is>
      </c>
      <c r="J1082" s="92" t="inlineStr">
        <is>
          <t>V10006</t>
        </is>
      </c>
      <c r="K1082" s="92" t="inlineStr">
        <is>
          <t>W컨설팅</t>
        </is>
      </c>
      <c r="M1082" s="9">
        <f>IF($A1082="","",VALUE($A1082&amp;"")*12+VALUE($B1082&amp;""))</f>
        <v/>
      </c>
      <c r="N1082" s="64">
        <f>IF($A1082="","",IFERROR(INDEX(부서매핑!$C$5:$C$504,MATCH($G1082&amp;"",부서매핑!$A$5:$A$504,0)),"미매핑"))</f>
        <v/>
      </c>
      <c r="O1082" s="9">
        <f>IF($A1082="","",N1082&amp;"|"&amp;$F1082)</f>
        <v/>
      </c>
      <c r="P1082" s="94">
        <f>IF($A1082="",0,$H1082*설정!$C$23)</f>
        <v/>
      </c>
      <c r="Q1082" s="64">
        <f>IF($A1082="","",IF(O1082&lt;&gt;원인분석!$C$9,"",IF(AND(M1082&gt;=원인분석!$C$10,M1082&lt;=원인분석!$C$11),"당기",IF(AND(M1082&gt;=원인분석!$C$12,M1082&lt;=원인분석!$C$13),"비교",""))))</f>
        <v/>
      </c>
      <c r="R1082" s="9">
        <f>IF(Q1082="","",$K1082&amp;"")</f>
        <v/>
      </c>
      <c r="S1082" s="9">
        <f>IF(Q1082="","",IF(MATCH(R1082,$R$5:$R$100000,0)=ROW()-4,ROW(),""))</f>
        <v/>
      </c>
      <c r="T1082" s="9">
        <f>IF(Q1082="당기",ABS(P1082)+ROW()/1000000000,"")</f>
        <v/>
      </c>
      <c r="U1082" s="9">
        <f>IF(Q1082="비교",ABS(P1082)+ROW()/1000000000,"")</f>
        <v/>
      </c>
      <c r="V1082" s="64">
        <f>IF($A1082="","",IF(COUNTIF(변동분석!$E$7:$E$506,O1082)&gt;0,"Y","N"))</f>
        <v/>
      </c>
      <c r="W1082" s="64">
        <f>IF($A1082="","",IFERROR(INDEX(계정매핑!$D$5:$D$504,MATCH($F1082&amp;"",계정매핑!$A$5:$A$504,0)),"미매핑"))</f>
        <v/>
      </c>
      <c r="X1082" s="9">
        <f>IF($A1082="","",$F1082&amp;"")</f>
        <v/>
      </c>
      <c r="Y1082" s="94">
        <f>IF($A1082="",0,IF(AE1082="직접",IF(AF1082="비귀속",$P1082,0),$P1082*(1-AG1082)*IFERROR(INDEX(계정대체기준!$F$20:$F$49,MATCH($N1082,계정대체기준!$A$20:$A$49,0)),1)))</f>
        <v/>
      </c>
      <c r="Z1082" s="94">
        <f>IF($A1082="",0,IF(AE1082="직접",IF(AF1082="신계약비",$P1082,0),$P1082*(1-AG1082)*IFERROR(INDEX(계정대체기준!$C$20:$C$49,MATCH($N1082,계정대체기준!$A$20:$A$49,0)),0)))</f>
        <v/>
      </c>
      <c r="AA1082" s="94">
        <f>IF($A1082="",0,IF(AE1082="직접",IF(OR(AF1082="유지비",AF1082="손해조사비"),$P1082,0),$P1082*(1-AG1082)*IFERROR(INDEX(계정대체기준!$D$20:$D$49,MATCH($N1082,계정대체기준!$A$20:$A$49,0)),0)))</f>
        <v/>
      </c>
      <c r="AB1082" s="94">
        <f>IF($A1082="",0,IF(AE1082="직접",IF(AF1082="수금비",$P1082,0),$P1082*(1-AG1082)*IFERROR(INDEX(계정대체기준!$E$20:$E$49,MATCH($N1082,계정대체기준!$A$20:$A$49,0)),0)))</f>
        <v/>
      </c>
      <c r="AC1082" s="9">
        <f>IF(AND($A1082&lt;&gt;"",M1082=설정!$C$20,Z1082&gt;0),Z1082+ROW()/1000000000,"")</f>
        <v/>
      </c>
      <c r="AD1082" s="94">
        <f>IF($A1082="",0,$P1082*AG1082)</f>
        <v/>
      </c>
      <c r="AE1082" s="64">
        <f>IF($A1082="","",IFERROR(INDEX(계정매핑!$E$5:$E$504,MATCH($F1082&amp;"",계정매핑!$A$5:$A$504,0))&amp;"","공통비"))</f>
        <v/>
      </c>
      <c r="AF1082" s="64">
        <f>IF($A1082="","",IF(AE1082="직접",IFERROR(INDEX(계정매핑!$F$5:$F$504,MATCH($F1082&amp;"",계정매핑!$A$5:$A$504,0))&amp;"","비귀속"),""))</f>
        <v/>
      </c>
      <c r="AG1082" s="96">
        <f>IF($A1082="",0,IF(AND(AE1082&lt;&gt;"직접",IFERROR(INDEX(계정매핑!$G$5:$G$504,MATCH($F1082&amp;"",계정매핑!$A$5:$A$504,0))&amp;"","")="유지비",COUNTIF(계정대체기준!$A$6:$A$15,$N1082)&gt;0),IFERROR(INDEX(계정대체기준!$E$6:$E$15,MATCH(VALUE($A1082&amp;""),계정대체기준!$D$6:$D$15,0)),0),0))</f>
        <v/>
      </c>
      <c r="AH1082" s="64">
        <f>IF($A1082="","",IF(AD1082=0,"",IF(OR(COUNTIF(계정대체기준!$A$77:$A$86,$N1082)&gt;0,ISNUMBER(MATCH($X1082,계정대체기준!$D$77:$D$86,0)),ISNUMBER(MATCH($F1082,계정대체기준!$D$77:$D$86,0))),"Y","N")))</f>
        <v/>
      </c>
    </row>
    <row r="1083">
      <c r="A1083" s="92" t="n">
        <v>2025</v>
      </c>
      <c r="B1083" s="92" t="n">
        <v>5</v>
      </c>
      <c r="C1083" s="92" t="inlineStr">
        <is>
          <t>5100001079</t>
        </is>
      </c>
      <c r="D1083" s="95" t="n">
        <v>45798</v>
      </c>
      <c r="E1083" s="92" t="inlineStr">
        <is>
          <t>KR</t>
        </is>
      </c>
      <c r="F1083" s="92" t="n">
        <v>62902000</v>
      </c>
      <c r="G1083" s="92" t="n">
        <v>1101</v>
      </c>
      <c r="H1083" s="93" t="n">
        <v>2725000</v>
      </c>
      <c r="I1083" s="92" t="inlineStr">
        <is>
          <t>5월 업무 위탁 수수료 - X서비스</t>
        </is>
      </c>
      <c r="J1083" s="92" t="inlineStr">
        <is>
          <t>V10020</t>
        </is>
      </c>
      <c r="K1083" s="92" t="inlineStr">
        <is>
          <t>X서비스</t>
        </is>
      </c>
      <c r="M1083" s="9">
        <f>IF($A1083="","",VALUE($A1083&amp;"")*12+VALUE($B1083&amp;""))</f>
        <v/>
      </c>
      <c r="N1083" s="64">
        <f>IF($A1083="","",IFERROR(INDEX(부서매핑!$C$5:$C$504,MATCH($G1083&amp;"",부서매핑!$A$5:$A$504,0)),"미매핑"))</f>
        <v/>
      </c>
      <c r="O1083" s="9">
        <f>IF($A1083="","",N1083&amp;"|"&amp;$F1083)</f>
        <v/>
      </c>
      <c r="P1083" s="94">
        <f>IF($A1083="",0,$H1083*설정!$C$23)</f>
        <v/>
      </c>
      <c r="Q1083" s="64">
        <f>IF($A1083="","",IF(O1083&lt;&gt;원인분석!$C$9,"",IF(AND(M1083&gt;=원인분석!$C$10,M1083&lt;=원인분석!$C$11),"당기",IF(AND(M1083&gt;=원인분석!$C$12,M1083&lt;=원인분석!$C$13),"비교",""))))</f>
        <v/>
      </c>
      <c r="R1083" s="9">
        <f>IF(Q1083="","",$K1083&amp;"")</f>
        <v/>
      </c>
      <c r="S1083" s="9">
        <f>IF(Q1083="","",IF(MATCH(R1083,$R$5:$R$100000,0)=ROW()-4,ROW(),""))</f>
        <v/>
      </c>
      <c r="T1083" s="9">
        <f>IF(Q1083="당기",ABS(P1083)+ROW()/1000000000,"")</f>
        <v/>
      </c>
      <c r="U1083" s="9">
        <f>IF(Q1083="비교",ABS(P1083)+ROW()/1000000000,"")</f>
        <v/>
      </c>
      <c r="V1083" s="64">
        <f>IF($A1083="","",IF(COUNTIF(변동분석!$E$7:$E$506,O1083)&gt;0,"Y","N"))</f>
        <v/>
      </c>
      <c r="W1083" s="64">
        <f>IF($A1083="","",IFERROR(INDEX(계정매핑!$D$5:$D$504,MATCH($F1083&amp;"",계정매핑!$A$5:$A$504,0)),"미매핑"))</f>
        <v/>
      </c>
      <c r="X1083" s="9">
        <f>IF($A1083="","",$F1083&amp;"")</f>
        <v/>
      </c>
      <c r="Y1083" s="94">
        <f>IF($A1083="",0,IF(AE1083="직접",IF(AF1083="비귀속",$P1083,0),$P1083*(1-AG1083)*IFERROR(INDEX(계정대체기준!$F$20:$F$49,MATCH($N1083,계정대체기준!$A$20:$A$49,0)),1)))</f>
        <v/>
      </c>
      <c r="Z1083" s="94">
        <f>IF($A1083="",0,IF(AE1083="직접",IF(AF1083="신계약비",$P1083,0),$P1083*(1-AG1083)*IFERROR(INDEX(계정대체기준!$C$20:$C$49,MATCH($N1083,계정대체기준!$A$20:$A$49,0)),0)))</f>
        <v/>
      </c>
      <c r="AA1083" s="94">
        <f>IF($A1083="",0,IF(AE1083="직접",IF(OR(AF1083="유지비",AF1083="손해조사비"),$P1083,0),$P1083*(1-AG1083)*IFERROR(INDEX(계정대체기준!$D$20:$D$49,MATCH($N1083,계정대체기준!$A$20:$A$49,0)),0)))</f>
        <v/>
      </c>
      <c r="AB1083" s="94">
        <f>IF($A1083="",0,IF(AE1083="직접",IF(AF1083="수금비",$P1083,0),$P1083*(1-AG1083)*IFERROR(INDEX(계정대체기준!$E$20:$E$49,MATCH($N1083,계정대체기준!$A$20:$A$49,0)),0)))</f>
        <v/>
      </c>
      <c r="AC1083" s="9">
        <f>IF(AND($A1083&lt;&gt;"",M1083=설정!$C$20,Z1083&gt;0),Z1083+ROW()/1000000000,"")</f>
        <v/>
      </c>
      <c r="AD1083" s="94">
        <f>IF($A1083="",0,$P1083*AG1083)</f>
        <v/>
      </c>
      <c r="AE1083" s="64">
        <f>IF($A1083="","",IFERROR(INDEX(계정매핑!$E$5:$E$504,MATCH($F1083&amp;"",계정매핑!$A$5:$A$504,0))&amp;"","공통비"))</f>
        <v/>
      </c>
      <c r="AF1083" s="64">
        <f>IF($A1083="","",IF(AE1083="직접",IFERROR(INDEX(계정매핑!$F$5:$F$504,MATCH($F1083&amp;"",계정매핑!$A$5:$A$504,0))&amp;"","비귀속"),""))</f>
        <v/>
      </c>
      <c r="AG1083" s="96">
        <f>IF($A1083="",0,IF(AND(AE1083&lt;&gt;"직접",IFERROR(INDEX(계정매핑!$G$5:$G$504,MATCH($F1083&amp;"",계정매핑!$A$5:$A$504,0))&amp;"","")="유지비",COUNTIF(계정대체기준!$A$6:$A$15,$N1083)&gt;0),IFERROR(INDEX(계정대체기준!$E$6:$E$15,MATCH(VALUE($A1083&amp;""),계정대체기준!$D$6:$D$15,0)),0),0))</f>
        <v/>
      </c>
      <c r="AH1083" s="64">
        <f>IF($A1083="","",IF(AD1083=0,"",IF(OR(COUNTIF(계정대체기준!$A$77:$A$86,$N1083)&gt;0,ISNUMBER(MATCH($X1083,계정대체기준!$D$77:$D$86,0)),ISNUMBER(MATCH($F1083,계정대체기준!$D$77:$D$86,0))),"Y","N")))</f>
        <v/>
      </c>
    </row>
    <row r="1084">
      <c r="A1084" s="92" t="n">
        <v>2025</v>
      </c>
      <c r="B1084" s="92" t="n">
        <v>5</v>
      </c>
      <c r="C1084" s="92" t="inlineStr">
        <is>
          <t>5100001080</t>
        </is>
      </c>
      <c r="D1084" s="95" t="n">
        <v>45798</v>
      </c>
      <c r="E1084" s="92" t="inlineStr">
        <is>
          <t>KR</t>
        </is>
      </c>
      <c r="F1084" s="92" t="n">
        <v>63001000</v>
      </c>
      <c r="G1084" s="92" t="n">
        <v>1951</v>
      </c>
      <c r="H1084" s="93" t="n">
        <v>3107000</v>
      </c>
      <c r="I1084" s="92" t="inlineStr">
        <is>
          <t>5월 SW 유지보수 - Y소프트</t>
        </is>
      </c>
      <c r="J1084" s="92" t="inlineStr">
        <is>
          <t>V10017</t>
        </is>
      </c>
      <c r="K1084" s="92" t="inlineStr">
        <is>
          <t>Y소프트</t>
        </is>
      </c>
      <c r="M1084" s="9">
        <f>IF($A1084="","",VALUE($A1084&amp;"")*12+VALUE($B1084&amp;""))</f>
        <v/>
      </c>
      <c r="N1084" s="64">
        <f>IF($A1084="","",IFERROR(INDEX(부서매핑!$C$5:$C$504,MATCH($G1084&amp;"",부서매핑!$A$5:$A$504,0)),"미매핑"))</f>
        <v/>
      </c>
      <c r="O1084" s="9">
        <f>IF($A1084="","",N1084&amp;"|"&amp;$F1084)</f>
        <v/>
      </c>
      <c r="P1084" s="94">
        <f>IF($A1084="",0,$H1084*설정!$C$23)</f>
        <v/>
      </c>
      <c r="Q1084" s="64">
        <f>IF($A1084="","",IF(O1084&lt;&gt;원인분석!$C$9,"",IF(AND(M1084&gt;=원인분석!$C$10,M1084&lt;=원인분석!$C$11),"당기",IF(AND(M1084&gt;=원인분석!$C$12,M1084&lt;=원인분석!$C$13),"비교",""))))</f>
        <v/>
      </c>
      <c r="R1084" s="9">
        <f>IF(Q1084="","",$K1084&amp;"")</f>
        <v/>
      </c>
      <c r="S1084" s="9">
        <f>IF(Q1084="","",IF(MATCH(R1084,$R$5:$R$100000,0)=ROW()-4,ROW(),""))</f>
        <v/>
      </c>
      <c r="T1084" s="9">
        <f>IF(Q1084="당기",ABS(P1084)+ROW()/1000000000,"")</f>
        <v/>
      </c>
      <c r="U1084" s="9">
        <f>IF(Q1084="비교",ABS(P1084)+ROW()/1000000000,"")</f>
        <v/>
      </c>
      <c r="V1084" s="64">
        <f>IF($A1084="","",IF(COUNTIF(변동분석!$E$7:$E$506,O1084)&gt;0,"Y","N"))</f>
        <v/>
      </c>
      <c r="W1084" s="64">
        <f>IF($A1084="","",IFERROR(INDEX(계정매핑!$D$5:$D$504,MATCH($F1084&amp;"",계정매핑!$A$5:$A$504,0)),"미매핑"))</f>
        <v/>
      </c>
      <c r="X1084" s="9">
        <f>IF($A1084="","",$F1084&amp;"")</f>
        <v/>
      </c>
      <c r="Y1084" s="94">
        <f>IF($A1084="",0,IF(AE1084="직접",IF(AF1084="비귀속",$P1084,0),$P1084*(1-AG1084)*IFERROR(INDEX(계정대체기준!$F$20:$F$49,MATCH($N1084,계정대체기준!$A$20:$A$49,0)),1)))</f>
        <v/>
      </c>
      <c r="Z1084" s="94">
        <f>IF($A1084="",0,IF(AE1084="직접",IF(AF1084="신계약비",$P1084,0),$P1084*(1-AG1084)*IFERROR(INDEX(계정대체기준!$C$20:$C$49,MATCH($N1084,계정대체기준!$A$20:$A$49,0)),0)))</f>
        <v/>
      </c>
      <c r="AA1084" s="94">
        <f>IF($A1084="",0,IF(AE1084="직접",IF(OR(AF1084="유지비",AF1084="손해조사비"),$P1084,0),$P1084*(1-AG1084)*IFERROR(INDEX(계정대체기준!$D$20:$D$49,MATCH($N1084,계정대체기준!$A$20:$A$49,0)),0)))</f>
        <v/>
      </c>
      <c r="AB1084" s="94">
        <f>IF($A1084="",0,IF(AE1084="직접",IF(AF1084="수금비",$P1084,0),$P1084*(1-AG1084)*IFERROR(INDEX(계정대체기준!$E$20:$E$49,MATCH($N1084,계정대체기준!$A$20:$A$49,0)),0)))</f>
        <v/>
      </c>
      <c r="AC1084" s="9">
        <f>IF(AND($A1084&lt;&gt;"",M1084=설정!$C$20,Z1084&gt;0),Z1084+ROW()/1000000000,"")</f>
        <v/>
      </c>
      <c r="AD1084" s="94">
        <f>IF($A1084="",0,$P1084*AG1084)</f>
        <v/>
      </c>
      <c r="AE1084" s="64">
        <f>IF($A1084="","",IFERROR(INDEX(계정매핑!$E$5:$E$504,MATCH($F1084&amp;"",계정매핑!$A$5:$A$504,0))&amp;"","공통비"))</f>
        <v/>
      </c>
      <c r="AF1084" s="64">
        <f>IF($A1084="","",IF(AE1084="직접",IFERROR(INDEX(계정매핑!$F$5:$F$504,MATCH($F1084&amp;"",계정매핑!$A$5:$A$504,0))&amp;"","비귀속"),""))</f>
        <v/>
      </c>
      <c r="AG1084" s="96">
        <f>IF($A1084="",0,IF(AND(AE1084&lt;&gt;"직접",IFERROR(INDEX(계정매핑!$G$5:$G$504,MATCH($F1084&amp;"",계정매핑!$A$5:$A$504,0))&amp;"","")="유지비",COUNTIF(계정대체기준!$A$6:$A$15,$N1084)&gt;0),IFERROR(INDEX(계정대체기준!$E$6:$E$15,MATCH(VALUE($A1084&amp;""),계정대체기준!$D$6:$D$15,0)),0),0))</f>
        <v/>
      </c>
      <c r="AH1084" s="64">
        <f>IF($A1084="","",IF(AD1084=0,"",IF(OR(COUNTIF(계정대체기준!$A$77:$A$86,$N1084)&gt;0,ISNUMBER(MATCH($X1084,계정대체기준!$D$77:$D$86,0)),ISNUMBER(MATCH($F1084,계정대체기준!$D$77:$D$86,0))),"Y","N")))</f>
        <v/>
      </c>
    </row>
    <row r="1085">
      <c r="A1085" s="92" t="n">
        <v>2025</v>
      </c>
      <c r="B1085" s="92" t="n">
        <v>5</v>
      </c>
      <c r="C1085" s="92" t="inlineStr">
        <is>
          <t>5100001081</t>
        </is>
      </c>
      <c r="D1085" s="95" t="n">
        <v>45798</v>
      </c>
      <c r="E1085" s="92" t="inlineStr">
        <is>
          <t>KR</t>
        </is>
      </c>
      <c r="F1085" s="92" t="n">
        <v>63101000</v>
      </c>
      <c r="G1085" s="92" t="n">
        <v>1601</v>
      </c>
      <c r="H1085" s="93" t="n">
        <v>8672000</v>
      </c>
      <c r="I1085" s="92" t="inlineStr">
        <is>
          <t>5월 사무실 임차료 - AA빌딩</t>
        </is>
      </c>
      <c r="J1085" s="92" t="inlineStr">
        <is>
          <t>V10007</t>
        </is>
      </c>
      <c r="K1085" s="92" t="inlineStr">
        <is>
          <t>AA빌딩</t>
        </is>
      </c>
      <c r="M1085" s="9">
        <f>IF($A1085="","",VALUE($A1085&amp;"")*12+VALUE($B1085&amp;""))</f>
        <v/>
      </c>
      <c r="N1085" s="64">
        <f>IF($A1085="","",IFERROR(INDEX(부서매핑!$C$5:$C$504,MATCH($G1085&amp;"",부서매핑!$A$5:$A$504,0)),"미매핑"))</f>
        <v/>
      </c>
      <c r="O1085" s="9">
        <f>IF($A1085="","",N1085&amp;"|"&amp;$F1085)</f>
        <v/>
      </c>
      <c r="P1085" s="94">
        <f>IF($A1085="",0,$H1085*설정!$C$23)</f>
        <v/>
      </c>
      <c r="Q1085" s="64">
        <f>IF($A1085="","",IF(O1085&lt;&gt;원인분석!$C$9,"",IF(AND(M1085&gt;=원인분석!$C$10,M1085&lt;=원인분석!$C$11),"당기",IF(AND(M1085&gt;=원인분석!$C$12,M1085&lt;=원인분석!$C$13),"비교",""))))</f>
        <v/>
      </c>
      <c r="R1085" s="9">
        <f>IF(Q1085="","",$K1085&amp;"")</f>
        <v/>
      </c>
      <c r="S1085" s="9">
        <f>IF(Q1085="","",IF(MATCH(R1085,$R$5:$R$100000,0)=ROW()-4,ROW(),""))</f>
        <v/>
      </c>
      <c r="T1085" s="9">
        <f>IF(Q1085="당기",ABS(P1085)+ROW()/1000000000,"")</f>
        <v/>
      </c>
      <c r="U1085" s="9">
        <f>IF(Q1085="비교",ABS(P1085)+ROW()/1000000000,"")</f>
        <v/>
      </c>
      <c r="V1085" s="64">
        <f>IF($A1085="","",IF(COUNTIF(변동분석!$E$7:$E$506,O1085)&gt;0,"Y","N"))</f>
        <v/>
      </c>
      <c r="W1085" s="64">
        <f>IF($A1085="","",IFERROR(INDEX(계정매핑!$D$5:$D$504,MATCH($F1085&amp;"",계정매핑!$A$5:$A$504,0)),"미매핑"))</f>
        <v/>
      </c>
      <c r="X1085" s="9">
        <f>IF($A1085="","",$F1085&amp;"")</f>
        <v/>
      </c>
      <c r="Y1085" s="94">
        <f>IF($A1085="",0,IF(AE1085="직접",IF(AF1085="비귀속",$P1085,0),$P1085*(1-AG1085)*IFERROR(INDEX(계정대체기준!$F$20:$F$49,MATCH($N1085,계정대체기준!$A$20:$A$49,0)),1)))</f>
        <v/>
      </c>
      <c r="Z1085" s="94">
        <f>IF($A1085="",0,IF(AE1085="직접",IF(AF1085="신계약비",$P1085,0),$P1085*(1-AG1085)*IFERROR(INDEX(계정대체기준!$C$20:$C$49,MATCH($N1085,계정대체기준!$A$20:$A$49,0)),0)))</f>
        <v/>
      </c>
      <c r="AA1085" s="94">
        <f>IF($A1085="",0,IF(AE1085="직접",IF(OR(AF1085="유지비",AF1085="손해조사비"),$P1085,0),$P1085*(1-AG1085)*IFERROR(INDEX(계정대체기준!$D$20:$D$49,MATCH($N1085,계정대체기준!$A$20:$A$49,0)),0)))</f>
        <v/>
      </c>
      <c r="AB1085" s="94">
        <f>IF($A1085="",0,IF(AE1085="직접",IF(AF1085="수금비",$P1085,0),$P1085*(1-AG1085)*IFERROR(INDEX(계정대체기준!$E$20:$E$49,MATCH($N1085,계정대체기준!$A$20:$A$49,0)),0)))</f>
        <v/>
      </c>
      <c r="AC1085" s="9">
        <f>IF(AND($A1085&lt;&gt;"",M1085=설정!$C$20,Z1085&gt;0),Z1085+ROW()/1000000000,"")</f>
        <v/>
      </c>
      <c r="AD1085" s="94">
        <f>IF($A1085="",0,$P1085*AG1085)</f>
        <v/>
      </c>
      <c r="AE1085" s="64">
        <f>IF($A1085="","",IFERROR(INDEX(계정매핑!$E$5:$E$504,MATCH($F1085&amp;"",계정매핑!$A$5:$A$504,0))&amp;"","공통비"))</f>
        <v/>
      </c>
      <c r="AF1085" s="64">
        <f>IF($A1085="","",IF(AE1085="직접",IFERROR(INDEX(계정매핑!$F$5:$F$504,MATCH($F1085&amp;"",계정매핑!$A$5:$A$504,0))&amp;"","비귀속"),""))</f>
        <v/>
      </c>
      <c r="AG1085" s="96">
        <f>IF($A1085="",0,IF(AND(AE1085&lt;&gt;"직접",IFERROR(INDEX(계정매핑!$G$5:$G$504,MATCH($F1085&amp;"",계정매핑!$A$5:$A$504,0))&amp;"","")="유지비",COUNTIF(계정대체기준!$A$6:$A$15,$N1085)&gt;0),IFERROR(INDEX(계정대체기준!$E$6:$E$15,MATCH(VALUE($A1085&amp;""),계정대체기준!$D$6:$D$15,0)),0),0))</f>
        <v/>
      </c>
      <c r="AH1085" s="64">
        <f>IF($A1085="","",IF(AD1085=0,"",IF(OR(COUNTIF(계정대체기준!$A$77:$A$86,$N1085)&gt;0,ISNUMBER(MATCH($X1085,계정대체기준!$D$77:$D$86,0)),ISNUMBER(MATCH($F1085,계정대체기준!$D$77:$D$86,0))),"Y","N")))</f>
        <v/>
      </c>
    </row>
    <row r="1086">
      <c r="A1086" s="92" t="n">
        <v>2025</v>
      </c>
      <c r="B1086" s="92" t="n">
        <v>5</v>
      </c>
      <c r="C1086" s="92" t="inlineStr">
        <is>
          <t>5100001082</t>
        </is>
      </c>
      <c r="D1086" s="95" t="n">
        <v>45798</v>
      </c>
      <c r="E1086" s="92" t="inlineStr">
        <is>
          <t>KR</t>
        </is>
      </c>
      <c r="F1086" s="92" t="n">
        <v>63601000</v>
      </c>
      <c r="G1086" s="92" t="n">
        <v>1801</v>
      </c>
      <c r="H1086" s="93" t="n">
        <v>11373000</v>
      </c>
      <c r="I1086" s="92" t="inlineStr">
        <is>
          <t>5월 손해사정 수수료 - EE손해사정</t>
        </is>
      </c>
      <c r="J1086" s="92" t="inlineStr">
        <is>
          <t>V10008</t>
        </is>
      </c>
      <c r="K1086" s="92" t="inlineStr">
        <is>
          <t>EE손해사정</t>
        </is>
      </c>
      <c r="M1086" s="9">
        <f>IF($A1086="","",VALUE($A1086&amp;"")*12+VALUE($B1086&amp;""))</f>
        <v/>
      </c>
      <c r="N1086" s="64">
        <f>IF($A1086="","",IFERROR(INDEX(부서매핑!$C$5:$C$504,MATCH($G1086&amp;"",부서매핑!$A$5:$A$504,0)),"미매핑"))</f>
        <v/>
      </c>
      <c r="O1086" s="9">
        <f>IF($A1086="","",N1086&amp;"|"&amp;$F1086)</f>
        <v/>
      </c>
      <c r="P1086" s="94">
        <f>IF($A1086="",0,$H1086*설정!$C$23)</f>
        <v/>
      </c>
      <c r="Q1086" s="64">
        <f>IF($A1086="","",IF(O1086&lt;&gt;원인분석!$C$9,"",IF(AND(M1086&gt;=원인분석!$C$10,M1086&lt;=원인분석!$C$11),"당기",IF(AND(M1086&gt;=원인분석!$C$12,M1086&lt;=원인분석!$C$13),"비교",""))))</f>
        <v/>
      </c>
      <c r="R1086" s="9">
        <f>IF(Q1086="","",$K1086&amp;"")</f>
        <v/>
      </c>
      <c r="S1086" s="9">
        <f>IF(Q1086="","",IF(MATCH(R1086,$R$5:$R$100000,0)=ROW()-4,ROW(),""))</f>
        <v/>
      </c>
      <c r="T1086" s="9">
        <f>IF(Q1086="당기",ABS(P1086)+ROW()/1000000000,"")</f>
        <v/>
      </c>
      <c r="U1086" s="9">
        <f>IF(Q1086="비교",ABS(P1086)+ROW()/1000000000,"")</f>
        <v/>
      </c>
      <c r="V1086" s="64">
        <f>IF($A1086="","",IF(COUNTIF(변동분석!$E$7:$E$506,O1086)&gt;0,"Y","N"))</f>
        <v/>
      </c>
      <c r="W1086" s="64">
        <f>IF($A1086="","",IFERROR(INDEX(계정매핑!$D$5:$D$504,MATCH($F1086&amp;"",계정매핑!$A$5:$A$504,0)),"미매핑"))</f>
        <v/>
      </c>
      <c r="X1086" s="9">
        <f>IF($A1086="","",$F1086&amp;"")</f>
        <v/>
      </c>
      <c r="Y1086" s="94">
        <f>IF($A1086="",0,IF(AE1086="직접",IF(AF1086="비귀속",$P1086,0),$P1086*(1-AG1086)*IFERROR(INDEX(계정대체기준!$F$20:$F$49,MATCH($N1086,계정대체기준!$A$20:$A$49,0)),1)))</f>
        <v/>
      </c>
      <c r="Z1086" s="94">
        <f>IF($A1086="",0,IF(AE1086="직접",IF(AF1086="신계약비",$P1086,0),$P1086*(1-AG1086)*IFERROR(INDEX(계정대체기준!$C$20:$C$49,MATCH($N1086,계정대체기준!$A$20:$A$49,0)),0)))</f>
        <v/>
      </c>
      <c r="AA1086" s="94">
        <f>IF($A1086="",0,IF(AE1086="직접",IF(OR(AF1086="유지비",AF1086="손해조사비"),$P1086,0),$P1086*(1-AG1086)*IFERROR(INDEX(계정대체기준!$D$20:$D$49,MATCH($N1086,계정대체기준!$A$20:$A$49,0)),0)))</f>
        <v/>
      </c>
      <c r="AB1086" s="94">
        <f>IF($A1086="",0,IF(AE1086="직접",IF(AF1086="수금비",$P1086,0),$P1086*(1-AG1086)*IFERROR(INDEX(계정대체기준!$E$20:$E$49,MATCH($N1086,계정대체기준!$A$20:$A$49,0)),0)))</f>
        <v/>
      </c>
      <c r="AC1086" s="9">
        <f>IF(AND($A1086&lt;&gt;"",M1086=설정!$C$20,Z1086&gt;0),Z1086+ROW()/1000000000,"")</f>
        <v/>
      </c>
      <c r="AD1086" s="94">
        <f>IF($A1086="",0,$P1086*AG1086)</f>
        <v/>
      </c>
      <c r="AE1086" s="64">
        <f>IF($A1086="","",IFERROR(INDEX(계정매핑!$E$5:$E$504,MATCH($F1086&amp;"",계정매핑!$A$5:$A$504,0))&amp;"","공통비"))</f>
        <v/>
      </c>
      <c r="AF1086" s="64">
        <f>IF($A1086="","",IF(AE1086="직접",IFERROR(INDEX(계정매핑!$F$5:$F$504,MATCH($F1086&amp;"",계정매핑!$A$5:$A$504,0))&amp;"","비귀속"),""))</f>
        <v/>
      </c>
      <c r="AG1086" s="96">
        <f>IF($A1086="",0,IF(AND(AE1086&lt;&gt;"직접",IFERROR(INDEX(계정매핑!$G$5:$G$504,MATCH($F1086&amp;"",계정매핑!$A$5:$A$504,0))&amp;"","")="유지비",COUNTIF(계정대체기준!$A$6:$A$15,$N1086)&gt;0),IFERROR(INDEX(계정대체기준!$E$6:$E$15,MATCH(VALUE($A1086&amp;""),계정대체기준!$D$6:$D$15,0)),0),0))</f>
        <v/>
      </c>
      <c r="AH1086" s="64">
        <f>IF($A1086="","",IF(AD1086=0,"",IF(OR(COUNTIF(계정대체기준!$A$77:$A$86,$N1086)&gt;0,ISNUMBER(MATCH($X1086,계정대체기준!$D$77:$D$86,0)),ISNUMBER(MATCH($F1086,계정대체기준!$D$77:$D$86,0))),"Y","N")))</f>
        <v/>
      </c>
    </row>
    <row r="1087">
      <c r="A1087" s="92" t="n">
        <v>2025</v>
      </c>
      <c r="B1087" s="92" t="n">
        <v>5</v>
      </c>
      <c r="C1087" s="92" t="inlineStr">
        <is>
          <t>5100001083</t>
        </is>
      </c>
      <c r="D1087" s="95" t="n">
        <v>45799</v>
      </c>
      <c r="E1087" s="92" t="inlineStr">
        <is>
          <t>KR</t>
        </is>
      </c>
      <c r="F1087" s="92" t="n">
        <v>62102000</v>
      </c>
      <c r="G1087" s="92" t="n">
        <v>1502</v>
      </c>
      <c r="H1087" s="93" t="n">
        <v>164000</v>
      </c>
      <c r="I1087" s="92" t="inlineStr">
        <is>
          <t>5월 해외출장 - M항공</t>
        </is>
      </c>
      <c r="J1087" s="92" t="inlineStr">
        <is>
          <t>V10001</t>
        </is>
      </c>
      <c r="K1087" s="92" t="inlineStr">
        <is>
          <t>M항공</t>
        </is>
      </c>
      <c r="M1087" s="9">
        <f>IF($A1087="","",VALUE($A1087&amp;"")*12+VALUE($B1087&amp;""))</f>
        <v/>
      </c>
      <c r="N1087" s="64">
        <f>IF($A1087="","",IFERROR(INDEX(부서매핑!$C$5:$C$504,MATCH($G1087&amp;"",부서매핑!$A$5:$A$504,0)),"미매핑"))</f>
        <v/>
      </c>
      <c r="O1087" s="9">
        <f>IF($A1087="","",N1087&amp;"|"&amp;$F1087)</f>
        <v/>
      </c>
      <c r="P1087" s="94">
        <f>IF($A1087="",0,$H1087*설정!$C$23)</f>
        <v/>
      </c>
      <c r="Q1087" s="64">
        <f>IF($A1087="","",IF(O1087&lt;&gt;원인분석!$C$9,"",IF(AND(M1087&gt;=원인분석!$C$10,M1087&lt;=원인분석!$C$11),"당기",IF(AND(M1087&gt;=원인분석!$C$12,M1087&lt;=원인분석!$C$13),"비교",""))))</f>
        <v/>
      </c>
      <c r="R1087" s="9">
        <f>IF(Q1087="","",$K1087&amp;"")</f>
        <v/>
      </c>
      <c r="S1087" s="9">
        <f>IF(Q1087="","",IF(MATCH(R1087,$R$5:$R$100000,0)=ROW()-4,ROW(),""))</f>
        <v/>
      </c>
      <c r="T1087" s="9">
        <f>IF(Q1087="당기",ABS(P1087)+ROW()/1000000000,"")</f>
        <v/>
      </c>
      <c r="U1087" s="9">
        <f>IF(Q1087="비교",ABS(P1087)+ROW()/1000000000,"")</f>
        <v/>
      </c>
      <c r="V1087" s="64">
        <f>IF($A1087="","",IF(COUNTIF(변동분석!$E$7:$E$506,O1087)&gt;0,"Y","N"))</f>
        <v/>
      </c>
      <c r="W1087" s="64">
        <f>IF($A1087="","",IFERROR(INDEX(계정매핑!$D$5:$D$504,MATCH($F1087&amp;"",계정매핑!$A$5:$A$504,0)),"미매핑"))</f>
        <v/>
      </c>
      <c r="X1087" s="9">
        <f>IF($A1087="","",$F1087&amp;"")</f>
        <v/>
      </c>
      <c r="Y1087" s="94">
        <f>IF($A1087="",0,IF(AE1087="직접",IF(AF1087="비귀속",$P1087,0),$P1087*(1-AG1087)*IFERROR(INDEX(계정대체기준!$F$20:$F$49,MATCH($N1087,계정대체기준!$A$20:$A$49,0)),1)))</f>
        <v/>
      </c>
      <c r="Z1087" s="94">
        <f>IF($A1087="",0,IF(AE1087="직접",IF(AF1087="신계약비",$P1087,0),$P1087*(1-AG1087)*IFERROR(INDEX(계정대체기준!$C$20:$C$49,MATCH($N1087,계정대체기준!$A$20:$A$49,0)),0)))</f>
        <v/>
      </c>
      <c r="AA1087" s="94">
        <f>IF($A1087="",0,IF(AE1087="직접",IF(OR(AF1087="유지비",AF1087="손해조사비"),$P1087,0),$P1087*(1-AG1087)*IFERROR(INDEX(계정대체기준!$D$20:$D$49,MATCH($N1087,계정대체기준!$A$20:$A$49,0)),0)))</f>
        <v/>
      </c>
      <c r="AB1087" s="94">
        <f>IF($A1087="",0,IF(AE1087="직접",IF(AF1087="수금비",$P1087,0),$P1087*(1-AG1087)*IFERROR(INDEX(계정대체기준!$E$20:$E$49,MATCH($N1087,계정대체기준!$A$20:$A$49,0)),0)))</f>
        <v/>
      </c>
      <c r="AC1087" s="9">
        <f>IF(AND($A1087&lt;&gt;"",M1087=설정!$C$20,Z1087&gt;0),Z1087+ROW()/1000000000,"")</f>
        <v/>
      </c>
      <c r="AD1087" s="94">
        <f>IF($A1087="",0,$P1087*AG1087)</f>
        <v/>
      </c>
      <c r="AE1087" s="64">
        <f>IF($A1087="","",IFERROR(INDEX(계정매핑!$E$5:$E$504,MATCH($F1087&amp;"",계정매핑!$A$5:$A$504,0))&amp;"","공통비"))</f>
        <v/>
      </c>
      <c r="AF1087" s="64">
        <f>IF($A1087="","",IF(AE1087="직접",IFERROR(INDEX(계정매핑!$F$5:$F$504,MATCH($F1087&amp;"",계정매핑!$A$5:$A$504,0))&amp;"","비귀속"),""))</f>
        <v/>
      </c>
      <c r="AG1087" s="96">
        <f>IF($A1087="",0,IF(AND(AE1087&lt;&gt;"직접",IFERROR(INDEX(계정매핑!$G$5:$G$504,MATCH($F1087&amp;"",계정매핑!$A$5:$A$504,0))&amp;"","")="유지비",COUNTIF(계정대체기준!$A$6:$A$15,$N1087)&gt;0),IFERROR(INDEX(계정대체기준!$E$6:$E$15,MATCH(VALUE($A1087&amp;""),계정대체기준!$D$6:$D$15,0)),0),0))</f>
        <v/>
      </c>
      <c r="AH1087" s="64">
        <f>IF($A1087="","",IF(AD1087=0,"",IF(OR(COUNTIF(계정대체기준!$A$77:$A$86,$N1087)&gt;0,ISNUMBER(MATCH($X1087,계정대체기준!$D$77:$D$86,0)),ISNUMBER(MATCH($F1087,계정대체기준!$D$77:$D$86,0))),"Y","N")))</f>
        <v/>
      </c>
    </row>
    <row r="1088">
      <c r="A1088" s="92" t="n">
        <v>2025</v>
      </c>
      <c r="B1088" s="92" t="n">
        <v>5</v>
      </c>
      <c r="C1088" s="92" t="inlineStr">
        <is>
          <t>5100001084</t>
        </is>
      </c>
      <c r="D1088" s="95" t="n">
        <v>45799</v>
      </c>
      <c r="E1088" s="92" t="inlineStr">
        <is>
          <t>KR</t>
        </is>
      </c>
      <c r="F1088" s="92" t="n">
        <v>62201000</v>
      </c>
      <c r="G1088" s="92" t="n">
        <v>1701</v>
      </c>
      <c r="H1088" s="93" t="n">
        <v>5889000</v>
      </c>
      <c r="I1088" s="92" t="inlineStr">
        <is>
          <t>5월 통신요금 - P통신</t>
        </is>
      </c>
      <c r="J1088" s="92" t="inlineStr">
        <is>
          <t>V10014</t>
        </is>
      </c>
      <c r="K1088" s="92" t="inlineStr">
        <is>
          <t>P통신</t>
        </is>
      </c>
      <c r="M1088" s="9">
        <f>IF($A1088="","",VALUE($A1088&amp;"")*12+VALUE($B1088&amp;""))</f>
        <v/>
      </c>
      <c r="N1088" s="64">
        <f>IF($A1088="","",IFERROR(INDEX(부서매핑!$C$5:$C$504,MATCH($G1088&amp;"",부서매핑!$A$5:$A$504,0)),"미매핑"))</f>
        <v/>
      </c>
      <c r="O1088" s="9">
        <f>IF($A1088="","",N1088&amp;"|"&amp;$F1088)</f>
        <v/>
      </c>
      <c r="P1088" s="94">
        <f>IF($A1088="",0,$H1088*설정!$C$23)</f>
        <v/>
      </c>
      <c r="Q1088" s="64">
        <f>IF($A1088="","",IF(O1088&lt;&gt;원인분석!$C$9,"",IF(AND(M1088&gt;=원인분석!$C$10,M1088&lt;=원인분석!$C$11),"당기",IF(AND(M1088&gt;=원인분석!$C$12,M1088&lt;=원인분석!$C$13),"비교",""))))</f>
        <v/>
      </c>
      <c r="R1088" s="9">
        <f>IF(Q1088="","",$K1088&amp;"")</f>
        <v/>
      </c>
      <c r="S1088" s="9">
        <f>IF(Q1088="","",IF(MATCH(R1088,$R$5:$R$100000,0)=ROW()-4,ROW(),""))</f>
        <v/>
      </c>
      <c r="T1088" s="9">
        <f>IF(Q1088="당기",ABS(P1088)+ROW()/1000000000,"")</f>
        <v/>
      </c>
      <c r="U1088" s="9">
        <f>IF(Q1088="비교",ABS(P1088)+ROW()/1000000000,"")</f>
        <v/>
      </c>
      <c r="V1088" s="64">
        <f>IF($A1088="","",IF(COUNTIF(변동분석!$E$7:$E$506,O1088)&gt;0,"Y","N"))</f>
        <v/>
      </c>
      <c r="W1088" s="64">
        <f>IF($A1088="","",IFERROR(INDEX(계정매핑!$D$5:$D$504,MATCH($F1088&amp;"",계정매핑!$A$5:$A$504,0)),"미매핑"))</f>
        <v/>
      </c>
      <c r="X1088" s="9">
        <f>IF($A1088="","",$F1088&amp;"")</f>
        <v/>
      </c>
      <c r="Y1088" s="94">
        <f>IF($A1088="",0,IF(AE1088="직접",IF(AF1088="비귀속",$P1088,0),$P1088*(1-AG1088)*IFERROR(INDEX(계정대체기준!$F$20:$F$49,MATCH($N1088,계정대체기준!$A$20:$A$49,0)),1)))</f>
        <v/>
      </c>
      <c r="Z1088" s="94">
        <f>IF($A1088="",0,IF(AE1088="직접",IF(AF1088="신계약비",$P1088,0),$P1088*(1-AG1088)*IFERROR(INDEX(계정대체기준!$C$20:$C$49,MATCH($N1088,계정대체기준!$A$20:$A$49,0)),0)))</f>
        <v/>
      </c>
      <c r="AA1088" s="94">
        <f>IF($A1088="",0,IF(AE1088="직접",IF(OR(AF1088="유지비",AF1088="손해조사비"),$P1088,0),$P1088*(1-AG1088)*IFERROR(INDEX(계정대체기준!$D$20:$D$49,MATCH($N1088,계정대체기준!$A$20:$A$49,0)),0)))</f>
        <v/>
      </c>
      <c r="AB1088" s="94">
        <f>IF($A1088="",0,IF(AE1088="직접",IF(AF1088="수금비",$P1088,0),$P1088*(1-AG1088)*IFERROR(INDEX(계정대체기준!$E$20:$E$49,MATCH($N1088,계정대체기준!$A$20:$A$49,0)),0)))</f>
        <v/>
      </c>
      <c r="AC1088" s="9">
        <f>IF(AND($A1088&lt;&gt;"",M1088=설정!$C$20,Z1088&gt;0),Z1088+ROW()/1000000000,"")</f>
        <v/>
      </c>
      <c r="AD1088" s="94">
        <f>IF($A1088="",0,$P1088*AG1088)</f>
        <v/>
      </c>
      <c r="AE1088" s="64">
        <f>IF($A1088="","",IFERROR(INDEX(계정매핑!$E$5:$E$504,MATCH($F1088&amp;"",계정매핑!$A$5:$A$504,0))&amp;"","공통비"))</f>
        <v/>
      </c>
      <c r="AF1088" s="64">
        <f>IF($A1088="","",IF(AE1088="직접",IFERROR(INDEX(계정매핑!$F$5:$F$504,MATCH($F1088&amp;"",계정매핑!$A$5:$A$504,0))&amp;"","비귀속"),""))</f>
        <v/>
      </c>
      <c r="AG1088" s="96">
        <f>IF($A1088="",0,IF(AND(AE1088&lt;&gt;"직접",IFERROR(INDEX(계정매핑!$G$5:$G$504,MATCH($F1088&amp;"",계정매핑!$A$5:$A$504,0))&amp;"","")="유지비",COUNTIF(계정대체기준!$A$6:$A$15,$N1088)&gt;0),IFERROR(INDEX(계정대체기준!$E$6:$E$15,MATCH(VALUE($A1088&amp;""),계정대체기준!$D$6:$D$15,0)),0),0))</f>
        <v/>
      </c>
      <c r="AH1088" s="64">
        <f>IF($A1088="","",IF(AD1088=0,"",IF(OR(COUNTIF(계정대체기준!$A$77:$A$86,$N1088)&gt;0,ISNUMBER(MATCH($X1088,계정대체기준!$D$77:$D$86,0)),ISNUMBER(MATCH($F1088,계정대체기준!$D$77:$D$86,0))),"Y","N")))</f>
        <v/>
      </c>
    </row>
    <row r="1089">
      <c r="A1089" s="92" t="n">
        <v>2025</v>
      </c>
      <c r="B1089" s="92" t="n">
        <v>5</v>
      </c>
      <c r="C1089" s="92" t="inlineStr">
        <is>
          <t>5100001085</t>
        </is>
      </c>
      <c r="D1089" s="95" t="n">
        <v>45799</v>
      </c>
      <c r="E1089" s="92" t="inlineStr">
        <is>
          <t>KR</t>
        </is>
      </c>
      <c r="F1089" s="92" t="n">
        <v>62301000</v>
      </c>
      <c r="G1089" s="92" t="n">
        <v>1101</v>
      </c>
      <c r="H1089" s="93" t="n">
        <v>167000</v>
      </c>
      <c r="I1089" s="92" t="inlineStr">
        <is>
          <t>5월 소모품 구입 - R문구</t>
        </is>
      </c>
      <c r="J1089" s="92" t="inlineStr">
        <is>
          <t>V10022</t>
        </is>
      </c>
      <c r="K1089" s="92" t="inlineStr">
        <is>
          <t>R문구</t>
        </is>
      </c>
      <c r="M1089" s="9">
        <f>IF($A1089="","",VALUE($A1089&amp;"")*12+VALUE($B1089&amp;""))</f>
        <v/>
      </c>
      <c r="N1089" s="64">
        <f>IF($A1089="","",IFERROR(INDEX(부서매핑!$C$5:$C$504,MATCH($G1089&amp;"",부서매핑!$A$5:$A$504,0)),"미매핑"))</f>
        <v/>
      </c>
      <c r="O1089" s="9">
        <f>IF($A1089="","",N1089&amp;"|"&amp;$F1089)</f>
        <v/>
      </c>
      <c r="P1089" s="94">
        <f>IF($A1089="",0,$H1089*설정!$C$23)</f>
        <v/>
      </c>
      <c r="Q1089" s="64">
        <f>IF($A1089="","",IF(O1089&lt;&gt;원인분석!$C$9,"",IF(AND(M1089&gt;=원인분석!$C$10,M1089&lt;=원인분석!$C$11),"당기",IF(AND(M1089&gt;=원인분석!$C$12,M1089&lt;=원인분석!$C$13),"비교",""))))</f>
        <v/>
      </c>
      <c r="R1089" s="9">
        <f>IF(Q1089="","",$K1089&amp;"")</f>
        <v/>
      </c>
      <c r="S1089" s="9">
        <f>IF(Q1089="","",IF(MATCH(R1089,$R$5:$R$100000,0)=ROW()-4,ROW(),""))</f>
        <v/>
      </c>
      <c r="T1089" s="9">
        <f>IF(Q1089="당기",ABS(P1089)+ROW()/1000000000,"")</f>
        <v/>
      </c>
      <c r="U1089" s="9">
        <f>IF(Q1089="비교",ABS(P1089)+ROW()/1000000000,"")</f>
        <v/>
      </c>
      <c r="V1089" s="64">
        <f>IF($A1089="","",IF(COUNTIF(변동분석!$E$7:$E$506,O1089)&gt;0,"Y","N"))</f>
        <v/>
      </c>
      <c r="W1089" s="64">
        <f>IF($A1089="","",IFERROR(INDEX(계정매핑!$D$5:$D$504,MATCH($F1089&amp;"",계정매핑!$A$5:$A$504,0)),"미매핑"))</f>
        <v/>
      </c>
      <c r="X1089" s="9">
        <f>IF($A1089="","",$F1089&amp;"")</f>
        <v/>
      </c>
      <c r="Y1089" s="94">
        <f>IF($A1089="",0,IF(AE1089="직접",IF(AF1089="비귀속",$P1089,0),$P1089*(1-AG1089)*IFERROR(INDEX(계정대체기준!$F$20:$F$49,MATCH($N1089,계정대체기준!$A$20:$A$49,0)),1)))</f>
        <v/>
      </c>
      <c r="Z1089" s="94">
        <f>IF($A1089="",0,IF(AE1089="직접",IF(AF1089="신계약비",$P1089,0),$P1089*(1-AG1089)*IFERROR(INDEX(계정대체기준!$C$20:$C$49,MATCH($N1089,계정대체기준!$A$20:$A$49,0)),0)))</f>
        <v/>
      </c>
      <c r="AA1089" s="94">
        <f>IF($A1089="",0,IF(AE1089="직접",IF(OR(AF1089="유지비",AF1089="손해조사비"),$P1089,0),$P1089*(1-AG1089)*IFERROR(INDEX(계정대체기준!$D$20:$D$49,MATCH($N1089,계정대체기준!$A$20:$A$49,0)),0)))</f>
        <v/>
      </c>
      <c r="AB1089" s="94">
        <f>IF($A1089="",0,IF(AE1089="직접",IF(AF1089="수금비",$P1089,0),$P1089*(1-AG1089)*IFERROR(INDEX(계정대체기준!$E$20:$E$49,MATCH($N1089,계정대체기준!$A$20:$A$49,0)),0)))</f>
        <v/>
      </c>
      <c r="AC1089" s="9">
        <f>IF(AND($A1089&lt;&gt;"",M1089=설정!$C$20,Z1089&gt;0),Z1089+ROW()/1000000000,"")</f>
        <v/>
      </c>
      <c r="AD1089" s="94">
        <f>IF($A1089="",0,$P1089*AG1089)</f>
        <v/>
      </c>
      <c r="AE1089" s="64">
        <f>IF($A1089="","",IFERROR(INDEX(계정매핑!$E$5:$E$504,MATCH($F1089&amp;"",계정매핑!$A$5:$A$504,0))&amp;"","공통비"))</f>
        <v/>
      </c>
      <c r="AF1089" s="64">
        <f>IF($A1089="","",IF(AE1089="직접",IFERROR(INDEX(계정매핑!$F$5:$F$504,MATCH($F1089&amp;"",계정매핑!$A$5:$A$504,0))&amp;"","비귀속"),""))</f>
        <v/>
      </c>
      <c r="AG1089" s="96">
        <f>IF($A1089="",0,IF(AND(AE1089&lt;&gt;"직접",IFERROR(INDEX(계정매핑!$G$5:$G$504,MATCH($F1089&amp;"",계정매핑!$A$5:$A$504,0))&amp;"","")="유지비",COUNTIF(계정대체기준!$A$6:$A$15,$N1089)&gt;0),IFERROR(INDEX(계정대체기준!$E$6:$E$15,MATCH(VALUE($A1089&amp;""),계정대체기준!$D$6:$D$15,0)),0),0))</f>
        <v/>
      </c>
      <c r="AH1089" s="64">
        <f>IF($A1089="","",IF(AD1089=0,"",IF(OR(COUNTIF(계정대체기준!$A$77:$A$86,$N1089)&gt;0,ISNUMBER(MATCH($X1089,계정대체기준!$D$77:$D$86,0)),ISNUMBER(MATCH($F1089,계정대체기준!$D$77:$D$86,0))),"Y","N")))</f>
        <v/>
      </c>
    </row>
    <row r="1090">
      <c r="A1090" s="92" t="n">
        <v>2025</v>
      </c>
      <c r="B1090" s="92" t="n">
        <v>5</v>
      </c>
      <c r="C1090" s="92" t="inlineStr">
        <is>
          <t>5100001086</t>
        </is>
      </c>
      <c r="D1090" s="95" t="n">
        <v>45799</v>
      </c>
      <c r="E1090" s="92" t="inlineStr">
        <is>
          <t>KR</t>
        </is>
      </c>
      <c r="F1090" s="92" t="n">
        <v>62501000</v>
      </c>
      <c r="G1090" s="92" t="n">
        <v>1401</v>
      </c>
      <c r="H1090" s="93" t="n">
        <v>116000</v>
      </c>
      <c r="I1090" s="92" t="inlineStr">
        <is>
          <t>5월 회의 다과 - T케이터링</t>
        </is>
      </c>
      <c r="J1090" s="92" t="inlineStr">
        <is>
          <t>V10005</t>
        </is>
      </c>
      <c r="K1090" s="92" t="inlineStr">
        <is>
          <t>T케이터링</t>
        </is>
      </c>
      <c r="M1090" s="9">
        <f>IF($A1090="","",VALUE($A1090&amp;"")*12+VALUE($B1090&amp;""))</f>
        <v/>
      </c>
      <c r="N1090" s="64">
        <f>IF($A1090="","",IFERROR(INDEX(부서매핑!$C$5:$C$504,MATCH($G1090&amp;"",부서매핑!$A$5:$A$504,0)),"미매핑"))</f>
        <v/>
      </c>
      <c r="O1090" s="9">
        <f>IF($A1090="","",N1090&amp;"|"&amp;$F1090)</f>
        <v/>
      </c>
      <c r="P1090" s="94">
        <f>IF($A1090="",0,$H1090*설정!$C$23)</f>
        <v/>
      </c>
      <c r="Q1090" s="64">
        <f>IF($A1090="","",IF(O1090&lt;&gt;원인분석!$C$9,"",IF(AND(M1090&gt;=원인분석!$C$10,M1090&lt;=원인분석!$C$11),"당기",IF(AND(M1090&gt;=원인분석!$C$12,M1090&lt;=원인분석!$C$13),"비교",""))))</f>
        <v/>
      </c>
      <c r="R1090" s="9">
        <f>IF(Q1090="","",$K1090&amp;"")</f>
        <v/>
      </c>
      <c r="S1090" s="9">
        <f>IF(Q1090="","",IF(MATCH(R1090,$R$5:$R$100000,0)=ROW()-4,ROW(),""))</f>
        <v/>
      </c>
      <c r="T1090" s="9">
        <f>IF(Q1090="당기",ABS(P1090)+ROW()/1000000000,"")</f>
        <v/>
      </c>
      <c r="U1090" s="9">
        <f>IF(Q1090="비교",ABS(P1090)+ROW()/1000000000,"")</f>
        <v/>
      </c>
      <c r="V1090" s="64">
        <f>IF($A1090="","",IF(COUNTIF(변동분석!$E$7:$E$506,O1090)&gt;0,"Y","N"))</f>
        <v/>
      </c>
      <c r="W1090" s="64">
        <f>IF($A1090="","",IFERROR(INDEX(계정매핑!$D$5:$D$504,MATCH($F1090&amp;"",계정매핑!$A$5:$A$504,0)),"미매핑"))</f>
        <v/>
      </c>
      <c r="X1090" s="9">
        <f>IF($A1090="","",$F1090&amp;"")</f>
        <v/>
      </c>
      <c r="Y1090" s="94">
        <f>IF($A1090="",0,IF(AE1090="직접",IF(AF1090="비귀속",$P1090,0),$P1090*(1-AG1090)*IFERROR(INDEX(계정대체기준!$F$20:$F$49,MATCH($N1090,계정대체기준!$A$20:$A$49,0)),1)))</f>
        <v/>
      </c>
      <c r="Z1090" s="94">
        <f>IF($A1090="",0,IF(AE1090="직접",IF(AF1090="신계약비",$P1090,0),$P1090*(1-AG1090)*IFERROR(INDEX(계정대체기준!$C$20:$C$49,MATCH($N1090,계정대체기준!$A$20:$A$49,0)),0)))</f>
        <v/>
      </c>
      <c r="AA1090" s="94">
        <f>IF($A1090="",0,IF(AE1090="직접",IF(OR(AF1090="유지비",AF1090="손해조사비"),$P1090,0),$P1090*(1-AG1090)*IFERROR(INDEX(계정대체기준!$D$20:$D$49,MATCH($N1090,계정대체기준!$A$20:$A$49,0)),0)))</f>
        <v/>
      </c>
      <c r="AB1090" s="94">
        <f>IF($A1090="",0,IF(AE1090="직접",IF(AF1090="수금비",$P1090,0),$P1090*(1-AG1090)*IFERROR(INDEX(계정대체기준!$E$20:$E$49,MATCH($N1090,계정대체기준!$A$20:$A$49,0)),0)))</f>
        <v/>
      </c>
      <c r="AC1090" s="9">
        <f>IF(AND($A1090&lt;&gt;"",M1090=설정!$C$20,Z1090&gt;0),Z1090+ROW()/1000000000,"")</f>
        <v/>
      </c>
      <c r="AD1090" s="94">
        <f>IF($A1090="",0,$P1090*AG1090)</f>
        <v/>
      </c>
      <c r="AE1090" s="64">
        <f>IF($A1090="","",IFERROR(INDEX(계정매핑!$E$5:$E$504,MATCH($F1090&amp;"",계정매핑!$A$5:$A$504,0))&amp;"","공통비"))</f>
        <v/>
      </c>
      <c r="AF1090" s="64">
        <f>IF($A1090="","",IF(AE1090="직접",IFERROR(INDEX(계정매핑!$F$5:$F$504,MATCH($F1090&amp;"",계정매핑!$A$5:$A$504,0))&amp;"","비귀속"),""))</f>
        <v/>
      </c>
      <c r="AG1090" s="96">
        <f>IF($A1090="",0,IF(AND(AE1090&lt;&gt;"직접",IFERROR(INDEX(계정매핑!$G$5:$G$504,MATCH($F1090&amp;"",계정매핑!$A$5:$A$504,0))&amp;"","")="유지비",COUNTIF(계정대체기준!$A$6:$A$15,$N1090)&gt;0),IFERROR(INDEX(계정대체기준!$E$6:$E$15,MATCH(VALUE($A1090&amp;""),계정대체기준!$D$6:$D$15,0)),0),0))</f>
        <v/>
      </c>
      <c r="AH1090" s="64">
        <f>IF($A1090="","",IF(AD1090=0,"",IF(OR(COUNTIF(계정대체기준!$A$77:$A$86,$N1090)&gt;0,ISNUMBER(MATCH($X1090,계정대체기준!$D$77:$D$86,0)),ISNUMBER(MATCH($F1090,계정대체기준!$D$77:$D$86,0))),"Y","N")))</f>
        <v/>
      </c>
    </row>
    <row r="1091">
      <c r="A1091" s="92" t="n">
        <v>2025</v>
      </c>
      <c r="B1091" s="92" t="n">
        <v>5</v>
      </c>
      <c r="C1091" s="92" t="inlineStr">
        <is>
          <t>5100001087</t>
        </is>
      </c>
      <c r="D1091" s="95" t="n">
        <v>45799</v>
      </c>
      <c r="E1091" s="92" t="inlineStr">
        <is>
          <t>KR</t>
        </is>
      </c>
      <c r="F1091" s="92" t="n">
        <v>62501000</v>
      </c>
      <c r="G1091" s="92" t="n">
        <v>1401</v>
      </c>
      <c r="H1091" s="93" t="n">
        <v>126000</v>
      </c>
      <c r="I1091" s="92" t="inlineStr">
        <is>
          <t>5월 회의 다과 - T케이터링</t>
        </is>
      </c>
      <c r="J1091" s="92" t="inlineStr">
        <is>
          <t>V10005</t>
        </is>
      </c>
      <c r="K1091" s="92" t="inlineStr">
        <is>
          <t>T케이터링</t>
        </is>
      </c>
      <c r="M1091" s="9">
        <f>IF($A1091="","",VALUE($A1091&amp;"")*12+VALUE($B1091&amp;""))</f>
        <v/>
      </c>
      <c r="N1091" s="64">
        <f>IF($A1091="","",IFERROR(INDEX(부서매핑!$C$5:$C$504,MATCH($G1091&amp;"",부서매핑!$A$5:$A$504,0)),"미매핑"))</f>
        <v/>
      </c>
      <c r="O1091" s="9">
        <f>IF($A1091="","",N1091&amp;"|"&amp;$F1091)</f>
        <v/>
      </c>
      <c r="P1091" s="94">
        <f>IF($A1091="",0,$H1091*설정!$C$23)</f>
        <v/>
      </c>
      <c r="Q1091" s="64">
        <f>IF($A1091="","",IF(O1091&lt;&gt;원인분석!$C$9,"",IF(AND(M1091&gt;=원인분석!$C$10,M1091&lt;=원인분석!$C$11),"당기",IF(AND(M1091&gt;=원인분석!$C$12,M1091&lt;=원인분석!$C$13),"비교",""))))</f>
        <v/>
      </c>
      <c r="R1091" s="9">
        <f>IF(Q1091="","",$K1091&amp;"")</f>
        <v/>
      </c>
      <c r="S1091" s="9">
        <f>IF(Q1091="","",IF(MATCH(R1091,$R$5:$R$100000,0)=ROW()-4,ROW(),""))</f>
        <v/>
      </c>
      <c r="T1091" s="9">
        <f>IF(Q1091="당기",ABS(P1091)+ROW()/1000000000,"")</f>
        <v/>
      </c>
      <c r="U1091" s="9">
        <f>IF(Q1091="비교",ABS(P1091)+ROW()/1000000000,"")</f>
        <v/>
      </c>
      <c r="V1091" s="64">
        <f>IF($A1091="","",IF(COUNTIF(변동분석!$E$7:$E$506,O1091)&gt;0,"Y","N"))</f>
        <v/>
      </c>
      <c r="W1091" s="64">
        <f>IF($A1091="","",IFERROR(INDEX(계정매핑!$D$5:$D$504,MATCH($F1091&amp;"",계정매핑!$A$5:$A$504,0)),"미매핑"))</f>
        <v/>
      </c>
      <c r="X1091" s="9">
        <f>IF($A1091="","",$F1091&amp;"")</f>
        <v/>
      </c>
      <c r="Y1091" s="94">
        <f>IF($A1091="",0,IF(AE1091="직접",IF(AF1091="비귀속",$P1091,0),$P1091*(1-AG1091)*IFERROR(INDEX(계정대체기준!$F$20:$F$49,MATCH($N1091,계정대체기준!$A$20:$A$49,0)),1)))</f>
        <v/>
      </c>
      <c r="Z1091" s="94">
        <f>IF($A1091="",0,IF(AE1091="직접",IF(AF1091="신계약비",$P1091,0),$P1091*(1-AG1091)*IFERROR(INDEX(계정대체기준!$C$20:$C$49,MATCH($N1091,계정대체기준!$A$20:$A$49,0)),0)))</f>
        <v/>
      </c>
      <c r="AA1091" s="94">
        <f>IF($A1091="",0,IF(AE1091="직접",IF(OR(AF1091="유지비",AF1091="손해조사비"),$P1091,0),$P1091*(1-AG1091)*IFERROR(INDEX(계정대체기준!$D$20:$D$49,MATCH($N1091,계정대체기준!$A$20:$A$49,0)),0)))</f>
        <v/>
      </c>
      <c r="AB1091" s="94">
        <f>IF($A1091="",0,IF(AE1091="직접",IF(AF1091="수금비",$P1091,0),$P1091*(1-AG1091)*IFERROR(INDEX(계정대체기준!$E$20:$E$49,MATCH($N1091,계정대체기준!$A$20:$A$49,0)),0)))</f>
        <v/>
      </c>
      <c r="AC1091" s="9">
        <f>IF(AND($A1091&lt;&gt;"",M1091=설정!$C$20,Z1091&gt;0),Z1091+ROW()/1000000000,"")</f>
        <v/>
      </c>
      <c r="AD1091" s="94">
        <f>IF($A1091="",0,$P1091*AG1091)</f>
        <v/>
      </c>
      <c r="AE1091" s="64">
        <f>IF($A1091="","",IFERROR(INDEX(계정매핑!$E$5:$E$504,MATCH($F1091&amp;"",계정매핑!$A$5:$A$504,0))&amp;"","공통비"))</f>
        <v/>
      </c>
      <c r="AF1091" s="64">
        <f>IF($A1091="","",IF(AE1091="직접",IFERROR(INDEX(계정매핑!$F$5:$F$504,MATCH($F1091&amp;"",계정매핑!$A$5:$A$504,0))&amp;"","비귀속"),""))</f>
        <v/>
      </c>
      <c r="AG1091" s="96">
        <f>IF($A1091="",0,IF(AND(AE1091&lt;&gt;"직접",IFERROR(INDEX(계정매핑!$G$5:$G$504,MATCH($F1091&amp;"",계정매핑!$A$5:$A$504,0))&amp;"","")="유지비",COUNTIF(계정대체기준!$A$6:$A$15,$N1091)&gt;0),IFERROR(INDEX(계정대체기준!$E$6:$E$15,MATCH(VALUE($A1091&amp;""),계정대체기준!$D$6:$D$15,0)),0),0))</f>
        <v/>
      </c>
      <c r="AH1091" s="64">
        <f>IF($A1091="","",IF(AD1091=0,"",IF(OR(COUNTIF(계정대체기준!$A$77:$A$86,$N1091)&gt;0,ISNUMBER(MATCH($X1091,계정대체기준!$D$77:$D$86,0)),ISNUMBER(MATCH($F1091,계정대체기준!$D$77:$D$86,0))),"Y","N")))</f>
        <v/>
      </c>
    </row>
    <row r="1092">
      <c r="A1092" s="92" t="n">
        <v>2025</v>
      </c>
      <c r="B1092" s="92" t="n">
        <v>5</v>
      </c>
      <c r="C1092" s="92" t="inlineStr">
        <is>
          <t>5100001088</t>
        </is>
      </c>
      <c r="D1092" s="95" t="n">
        <v>45799</v>
      </c>
      <c r="E1092" s="92" t="inlineStr">
        <is>
          <t>KR</t>
        </is>
      </c>
      <c r="F1092" s="92" t="n">
        <v>62902000</v>
      </c>
      <c r="G1092" s="92" t="n">
        <v>1101</v>
      </c>
      <c r="H1092" s="93" t="n">
        <v>2856000</v>
      </c>
      <c r="I1092" s="92" t="inlineStr">
        <is>
          <t>5월 업무 위탁 수수료 - J콜센터</t>
        </is>
      </c>
      <c r="J1092" s="92" t="inlineStr">
        <is>
          <t>V10016</t>
        </is>
      </c>
      <c r="K1092" s="92" t="inlineStr">
        <is>
          <t>J콜센터</t>
        </is>
      </c>
      <c r="M1092" s="9">
        <f>IF($A1092="","",VALUE($A1092&amp;"")*12+VALUE($B1092&amp;""))</f>
        <v/>
      </c>
      <c r="N1092" s="64">
        <f>IF($A1092="","",IFERROR(INDEX(부서매핑!$C$5:$C$504,MATCH($G1092&amp;"",부서매핑!$A$5:$A$504,0)),"미매핑"))</f>
        <v/>
      </c>
      <c r="O1092" s="9">
        <f>IF($A1092="","",N1092&amp;"|"&amp;$F1092)</f>
        <v/>
      </c>
      <c r="P1092" s="94">
        <f>IF($A1092="",0,$H1092*설정!$C$23)</f>
        <v/>
      </c>
      <c r="Q1092" s="64">
        <f>IF($A1092="","",IF(O1092&lt;&gt;원인분석!$C$9,"",IF(AND(M1092&gt;=원인분석!$C$10,M1092&lt;=원인분석!$C$11),"당기",IF(AND(M1092&gt;=원인분석!$C$12,M1092&lt;=원인분석!$C$13),"비교",""))))</f>
        <v/>
      </c>
      <c r="R1092" s="9">
        <f>IF(Q1092="","",$K1092&amp;"")</f>
        <v/>
      </c>
      <c r="S1092" s="9">
        <f>IF(Q1092="","",IF(MATCH(R1092,$R$5:$R$100000,0)=ROW()-4,ROW(),""))</f>
        <v/>
      </c>
      <c r="T1092" s="9">
        <f>IF(Q1092="당기",ABS(P1092)+ROW()/1000000000,"")</f>
        <v/>
      </c>
      <c r="U1092" s="9">
        <f>IF(Q1092="비교",ABS(P1092)+ROW()/1000000000,"")</f>
        <v/>
      </c>
      <c r="V1092" s="64">
        <f>IF($A1092="","",IF(COUNTIF(변동분석!$E$7:$E$506,O1092)&gt;0,"Y","N"))</f>
        <v/>
      </c>
      <c r="W1092" s="64">
        <f>IF($A1092="","",IFERROR(INDEX(계정매핑!$D$5:$D$504,MATCH($F1092&amp;"",계정매핑!$A$5:$A$504,0)),"미매핑"))</f>
        <v/>
      </c>
      <c r="X1092" s="9">
        <f>IF($A1092="","",$F1092&amp;"")</f>
        <v/>
      </c>
      <c r="Y1092" s="94">
        <f>IF($A1092="",0,IF(AE1092="직접",IF(AF1092="비귀속",$P1092,0),$P1092*(1-AG1092)*IFERROR(INDEX(계정대체기준!$F$20:$F$49,MATCH($N1092,계정대체기준!$A$20:$A$49,0)),1)))</f>
        <v/>
      </c>
      <c r="Z1092" s="94">
        <f>IF($A1092="",0,IF(AE1092="직접",IF(AF1092="신계약비",$P1092,0),$P1092*(1-AG1092)*IFERROR(INDEX(계정대체기준!$C$20:$C$49,MATCH($N1092,계정대체기준!$A$20:$A$49,0)),0)))</f>
        <v/>
      </c>
      <c r="AA1092" s="94">
        <f>IF($A1092="",0,IF(AE1092="직접",IF(OR(AF1092="유지비",AF1092="손해조사비"),$P1092,0),$P1092*(1-AG1092)*IFERROR(INDEX(계정대체기준!$D$20:$D$49,MATCH($N1092,계정대체기준!$A$20:$A$49,0)),0)))</f>
        <v/>
      </c>
      <c r="AB1092" s="94">
        <f>IF($A1092="",0,IF(AE1092="직접",IF(AF1092="수금비",$P1092,0),$P1092*(1-AG1092)*IFERROR(INDEX(계정대체기준!$E$20:$E$49,MATCH($N1092,계정대체기준!$A$20:$A$49,0)),0)))</f>
        <v/>
      </c>
      <c r="AC1092" s="9">
        <f>IF(AND($A1092&lt;&gt;"",M1092=설정!$C$20,Z1092&gt;0),Z1092+ROW()/1000000000,"")</f>
        <v/>
      </c>
      <c r="AD1092" s="94">
        <f>IF($A1092="",0,$P1092*AG1092)</f>
        <v/>
      </c>
      <c r="AE1092" s="64">
        <f>IF($A1092="","",IFERROR(INDEX(계정매핑!$E$5:$E$504,MATCH($F1092&amp;"",계정매핑!$A$5:$A$504,0))&amp;"","공통비"))</f>
        <v/>
      </c>
      <c r="AF1092" s="64">
        <f>IF($A1092="","",IF(AE1092="직접",IFERROR(INDEX(계정매핑!$F$5:$F$504,MATCH($F1092&amp;"",계정매핑!$A$5:$A$504,0))&amp;"","비귀속"),""))</f>
        <v/>
      </c>
      <c r="AG1092" s="96">
        <f>IF($A1092="",0,IF(AND(AE1092&lt;&gt;"직접",IFERROR(INDEX(계정매핑!$G$5:$G$504,MATCH($F1092&amp;"",계정매핑!$A$5:$A$504,0))&amp;"","")="유지비",COUNTIF(계정대체기준!$A$6:$A$15,$N1092)&gt;0),IFERROR(INDEX(계정대체기준!$E$6:$E$15,MATCH(VALUE($A1092&amp;""),계정대체기준!$D$6:$D$15,0)),0),0))</f>
        <v/>
      </c>
      <c r="AH1092" s="64">
        <f>IF($A1092="","",IF(AD1092=0,"",IF(OR(COUNTIF(계정대체기준!$A$77:$A$86,$N1092)&gt;0,ISNUMBER(MATCH($X1092,계정대체기준!$D$77:$D$86,0)),ISNUMBER(MATCH($F1092,계정대체기준!$D$77:$D$86,0))),"Y","N")))</f>
        <v/>
      </c>
    </row>
    <row r="1093">
      <c r="A1093" s="92" t="n">
        <v>2025</v>
      </c>
      <c r="B1093" s="92" t="n">
        <v>5</v>
      </c>
      <c r="C1093" s="92" t="inlineStr">
        <is>
          <t>5100001089</t>
        </is>
      </c>
      <c r="D1093" s="95" t="n">
        <v>45799</v>
      </c>
      <c r="E1093" s="92" t="inlineStr">
        <is>
          <t>KR</t>
        </is>
      </c>
      <c r="F1093" s="92" t="n">
        <v>62902000</v>
      </c>
      <c r="G1093" s="92" t="n">
        <v>1401</v>
      </c>
      <c r="H1093" s="93" t="n">
        <v>3353000</v>
      </c>
      <c r="I1093" s="92" t="inlineStr">
        <is>
          <t>5월 업무 위탁 수수료 - J콜센터</t>
        </is>
      </c>
      <c r="J1093" s="92" t="inlineStr">
        <is>
          <t>V10016</t>
        </is>
      </c>
      <c r="K1093" s="92" t="inlineStr">
        <is>
          <t>J콜센터</t>
        </is>
      </c>
      <c r="M1093" s="9">
        <f>IF($A1093="","",VALUE($A1093&amp;"")*12+VALUE($B1093&amp;""))</f>
        <v/>
      </c>
      <c r="N1093" s="64">
        <f>IF($A1093="","",IFERROR(INDEX(부서매핑!$C$5:$C$504,MATCH($G1093&amp;"",부서매핑!$A$5:$A$504,0)),"미매핑"))</f>
        <v/>
      </c>
      <c r="O1093" s="9">
        <f>IF($A1093="","",N1093&amp;"|"&amp;$F1093)</f>
        <v/>
      </c>
      <c r="P1093" s="94">
        <f>IF($A1093="",0,$H1093*설정!$C$23)</f>
        <v/>
      </c>
      <c r="Q1093" s="64">
        <f>IF($A1093="","",IF(O1093&lt;&gt;원인분석!$C$9,"",IF(AND(M1093&gt;=원인분석!$C$10,M1093&lt;=원인분석!$C$11),"당기",IF(AND(M1093&gt;=원인분석!$C$12,M1093&lt;=원인분석!$C$13),"비교",""))))</f>
        <v/>
      </c>
      <c r="R1093" s="9">
        <f>IF(Q1093="","",$K1093&amp;"")</f>
        <v/>
      </c>
      <c r="S1093" s="9">
        <f>IF(Q1093="","",IF(MATCH(R1093,$R$5:$R$100000,0)=ROW()-4,ROW(),""))</f>
        <v/>
      </c>
      <c r="T1093" s="9">
        <f>IF(Q1093="당기",ABS(P1093)+ROW()/1000000000,"")</f>
        <v/>
      </c>
      <c r="U1093" s="9">
        <f>IF(Q1093="비교",ABS(P1093)+ROW()/1000000000,"")</f>
        <v/>
      </c>
      <c r="V1093" s="64">
        <f>IF($A1093="","",IF(COUNTIF(변동분석!$E$7:$E$506,O1093)&gt;0,"Y","N"))</f>
        <v/>
      </c>
      <c r="W1093" s="64">
        <f>IF($A1093="","",IFERROR(INDEX(계정매핑!$D$5:$D$504,MATCH($F1093&amp;"",계정매핑!$A$5:$A$504,0)),"미매핑"))</f>
        <v/>
      </c>
      <c r="X1093" s="9">
        <f>IF($A1093="","",$F1093&amp;"")</f>
        <v/>
      </c>
      <c r="Y1093" s="94">
        <f>IF($A1093="",0,IF(AE1093="직접",IF(AF1093="비귀속",$P1093,0),$P1093*(1-AG1093)*IFERROR(INDEX(계정대체기준!$F$20:$F$49,MATCH($N1093,계정대체기준!$A$20:$A$49,0)),1)))</f>
        <v/>
      </c>
      <c r="Z1093" s="94">
        <f>IF($A1093="",0,IF(AE1093="직접",IF(AF1093="신계약비",$P1093,0),$P1093*(1-AG1093)*IFERROR(INDEX(계정대체기준!$C$20:$C$49,MATCH($N1093,계정대체기준!$A$20:$A$49,0)),0)))</f>
        <v/>
      </c>
      <c r="AA1093" s="94">
        <f>IF($A1093="",0,IF(AE1093="직접",IF(OR(AF1093="유지비",AF1093="손해조사비"),$P1093,0),$P1093*(1-AG1093)*IFERROR(INDEX(계정대체기준!$D$20:$D$49,MATCH($N1093,계정대체기준!$A$20:$A$49,0)),0)))</f>
        <v/>
      </c>
      <c r="AB1093" s="94">
        <f>IF($A1093="",0,IF(AE1093="직접",IF(AF1093="수금비",$P1093,0),$P1093*(1-AG1093)*IFERROR(INDEX(계정대체기준!$E$20:$E$49,MATCH($N1093,계정대체기준!$A$20:$A$49,0)),0)))</f>
        <v/>
      </c>
      <c r="AC1093" s="9">
        <f>IF(AND($A1093&lt;&gt;"",M1093=설정!$C$20,Z1093&gt;0),Z1093+ROW()/1000000000,"")</f>
        <v/>
      </c>
      <c r="AD1093" s="94">
        <f>IF($A1093="",0,$P1093*AG1093)</f>
        <v/>
      </c>
      <c r="AE1093" s="64">
        <f>IF($A1093="","",IFERROR(INDEX(계정매핑!$E$5:$E$504,MATCH($F1093&amp;"",계정매핑!$A$5:$A$504,0))&amp;"","공통비"))</f>
        <v/>
      </c>
      <c r="AF1093" s="64">
        <f>IF($A1093="","",IF(AE1093="직접",IFERROR(INDEX(계정매핑!$F$5:$F$504,MATCH($F1093&amp;"",계정매핑!$A$5:$A$504,0))&amp;"","비귀속"),""))</f>
        <v/>
      </c>
      <c r="AG1093" s="96">
        <f>IF($A1093="",0,IF(AND(AE1093&lt;&gt;"직접",IFERROR(INDEX(계정매핑!$G$5:$G$504,MATCH($F1093&amp;"",계정매핑!$A$5:$A$504,0))&amp;"","")="유지비",COUNTIF(계정대체기준!$A$6:$A$15,$N1093)&gt;0),IFERROR(INDEX(계정대체기준!$E$6:$E$15,MATCH(VALUE($A1093&amp;""),계정대체기준!$D$6:$D$15,0)),0),0))</f>
        <v/>
      </c>
      <c r="AH1093" s="64">
        <f>IF($A1093="","",IF(AD1093=0,"",IF(OR(COUNTIF(계정대체기준!$A$77:$A$86,$N1093)&gt;0,ISNUMBER(MATCH($X1093,계정대체기준!$D$77:$D$86,0)),ISNUMBER(MATCH($F1093,계정대체기준!$D$77:$D$86,0))),"Y","N")))</f>
        <v/>
      </c>
    </row>
    <row r="1094">
      <c r="A1094" s="92" t="n">
        <v>2025</v>
      </c>
      <c r="B1094" s="92" t="n">
        <v>5</v>
      </c>
      <c r="C1094" s="92" t="inlineStr">
        <is>
          <t>5100001090</t>
        </is>
      </c>
      <c r="D1094" s="95" t="n">
        <v>45799</v>
      </c>
      <c r="E1094" s="92" t="inlineStr">
        <is>
          <t>KR</t>
        </is>
      </c>
      <c r="F1094" s="92" t="n">
        <v>62902000</v>
      </c>
      <c r="G1094" s="92" t="n">
        <v>1801</v>
      </c>
      <c r="H1094" s="93" t="n">
        <v>1826000</v>
      </c>
      <c r="I1094" s="92" t="inlineStr">
        <is>
          <t>5월 콜 위탁 수수료(건별)</t>
        </is>
      </c>
      <c r="J1094" s="92" t="inlineStr">
        <is>
          <t>V10016</t>
        </is>
      </c>
      <c r="K1094" s="92" t="inlineStr">
        <is>
          <t>J콜센터</t>
        </is>
      </c>
      <c r="M1094" s="9">
        <f>IF($A1094="","",VALUE($A1094&amp;"")*12+VALUE($B1094&amp;""))</f>
        <v/>
      </c>
      <c r="N1094" s="64">
        <f>IF($A1094="","",IFERROR(INDEX(부서매핑!$C$5:$C$504,MATCH($G1094&amp;"",부서매핑!$A$5:$A$504,0)),"미매핑"))</f>
        <v/>
      </c>
      <c r="O1094" s="9">
        <f>IF($A1094="","",N1094&amp;"|"&amp;$F1094)</f>
        <v/>
      </c>
      <c r="P1094" s="94">
        <f>IF($A1094="",0,$H1094*설정!$C$23)</f>
        <v/>
      </c>
      <c r="Q1094" s="64">
        <f>IF($A1094="","",IF(O1094&lt;&gt;원인분석!$C$9,"",IF(AND(M1094&gt;=원인분석!$C$10,M1094&lt;=원인분석!$C$11),"당기",IF(AND(M1094&gt;=원인분석!$C$12,M1094&lt;=원인분석!$C$13),"비교",""))))</f>
        <v/>
      </c>
      <c r="R1094" s="9">
        <f>IF(Q1094="","",$K1094&amp;"")</f>
        <v/>
      </c>
      <c r="S1094" s="9">
        <f>IF(Q1094="","",IF(MATCH(R1094,$R$5:$R$100000,0)=ROW()-4,ROW(),""))</f>
        <v/>
      </c>
      <c r="T1094" s="9">
        <f>IF(Q1094="당기",ABS(P1094)+ROW()/1000000000,"")</f>
        <v/>
      </c>
      <c r="U1094" s="9">
        <f>IF(Q1094="비교",ABS(P1094)+ROW()/1000000000,"")</f>
        <v/>
      </c>
      <c r="V1094" s="64">
        <f>IF($A1094="","",IF(COUNTIF(변동분석!$E$7:$E$506,O1094)&gt;0,"Y","N"))</f>
        <v/>
      </c>
      <c r="W1094" s="64">
        <f>IF($A1094="","",IFERROR(INDEX(계정매핑!$D$5:$D$504,MATCH($F1094&amp;"",계정매핑!$A$5:$A$504,0)),"미매핑"))</f>
        <v/>
      </c>
      <c r="X1094" s="9">
        <f>IF($A1094="","",$F1094&amp;"")</f>
        <v/>
      </c>
      <c r="Y1094" s="94">
        <f>IF($A1094="",0,IF(AE1094="직접",IF(AF1094="비귀속",$P1094,0),$P1094*(1-AG1094)*IFERROR(INDEX(계정대체기준!$F$20:$F$49,MATCH($N1094,계정대체기준!$A$20:$A$49,0)),1)))</f>
        <v/>
      </c>
      <c r="Z1094" s="94">
        <f>IF($A1094="",0,IF(AE1094="직접",IF(AF1094="신계약비",$P1094,0),$P1094*(1-AG1094)*IFERROR(INDEX(계정대체기준!$C$20:$C$49,MATCH($N1094,계정대체기준!$A$20:$A$49,0)),0)))</f>
        <v/>
      </c>
      <c r="AA1094" s="94">
        <f>IF($A1094="",0,IF(AE1094="직접",IF(OR(AF1094="유지비",AF1094="손해조사비"),$P1094,0),$P1094*(1-AG1094)*IFERROR(INDEX(계정대체기준!$D$20:$D$49,MATCH($N1094,계정대체기준!$A$20:$A$49,0)),0)))</f>
        <v/>
      </c>
      <c r="AB1094" s="94">
        <f>IF($A1094="",0,IF(AE1094="직접",IF(AF1094="수금비",$P1094,0),$P1094*(1-AG1094)*IFERROR(INDEX(계정대체기준!$E$20:$E$49,MATCH($N1094,계정대체기준!$A$20:$A$49,0)),0)))</f>
        <v/>
      </c>
      <c r="AC1094" s="9">
        <f>IF(AND($A1094&lt;&gt;"",M1094=설정!$C$20,Z1094&gt;0),Z1094+ROW()/1000000000,"")</f>
        <v/>
      </c>
      <c r="AD1094" s="94">
        <f>IF($A1094="",0,$P1094*AG1094)</f>
        <v/>
      </c>
      <c r="AE1094" s="64">
        <f>IF($A1094="","",IFERROR(INDEX(계정매핑!$E$5:$E$504,MATCH($F1094&amp;"",계정매핑!$A$5:$A$504,0))&amp;"","공통비"))</f>
        <v/>
      </c>
      <c r="AF1094" s="64">
        <f>IF($A1094="","",IF(AE1094="직접",IFERROR(INDEX(계정매핑!$F$5:$F$504,MATCH($F1094&amp;"",계정매핑!$A$5:$A$504,0))&amp;"","비귀속"),""))</f>
        <v/>
      </c>
      <c r="AG1094" s="96">
        <f>IF($A1094="",0,IF(AND(AE1094&lt;&gt;"직접",IFERROR(INDEX(계정매핑!$G$5:$G$504,MATCH($F1094&amp;"",계정매핑!$A$5:$A$504,0))&amp;"","")="유지비",COUNTIF(계정대체기준!$A$6:$A$15,$N1094)&gt;0),IFERROR(INDEX(계정대체기준!$E$6:$E$15,MATCH(VALUE($A1094&amp;""),계정대체기준!$D$6:$D$15,0)),0),0))</f>
        <v/>
      </c>
      <c r="AH1094" s="64">
        <f>IF($A1094="","",IF(AD1094=0,"",IF(OR(COUNTIF(계정대체기준!$A$77:$A$86,$N1094)&gt;0,ISNUMBER(MATCH($X1094,계정대체기준!$D$77:$D$86,0)),ISNUMBER(MATCH($F1094,계정대체기준!$D$77:$D$86,0))),"Y","N")))</f>
        <v/>
      </c>
    </row>
    <row r="1095">
      <c r="A1095" s="92" t="n">
        <v>2025</v>
      </c>
      <c r="B1095" s="92" t="n">
        <v>5</v>
      </c>
      <c r="C1095" s="92" t="inlineStr">
        <is>
          <t>5100001091</t>
        </is>
      </c>
      <c r="D1095" s="95" t="n">
        <v>45799</v>
      </c>
      <c r="E1095" s="92" t="inlineStr">
        <is>
          <t>KR</t>
        </is>
      </c>
      <c r="F1095" s="92" t="n">
        <v>63501000</v>
      </c>
      <c r="G1095" s="92" t="n">
        <v>1902</v>
      </c>
      <c r="H1095" s="93" t="n">
        <v>434711000</v>
      </c>
      <c r="I1095" s="92" t="inlineStr">
        <is>
          <t>5월 모집수수료 - BB에셋</t>
        </is>
      </c>
      <c r="J1095" s="92" t="inlineStr">
        <is>
          <t>V10013</t>
        </is>
      </c>
      <c r="K1095" s="92" t="inlineStr">
        <is>
          <t>BB에셋</t>
        </is>
      </c>
      <c r="M1095" s="9">
        <f>IF($A1095="","",VALUE($A1095&amp;"")*12+VALUE($B1095&amp;""))</f>
        <v/>
      </c>
      <c r="N1095" s="64">
        <f>IF($A1095="","",IFERROR(INDEX(부서매핑!$C$5:$C$504,MATCH($G1095&amp;"",부서매핑!$A$5:$A$504,0)),"미매핑"))</f>
        <v/>
      </c>
      <c r="O1095" s="9">
        <f>IF($A1095="","",N1095&amp;"|"&amp;$F1095)</f>
        <v/>
      </c>
      <c r="P1095" s="94">
        <f>IF($A1095="",0,$H1095*설정!$C$23)</f>
        <v/>
      </c>
      <c r="Q1095" s="64">
        <f>IF($A1095="","",IF(O1095&lt;&gt;원인분석!$C$9,"",IF(AND(M1095&gt;=원인분석!$C$10,M1095&lt;=원인분석!$C$11),"당기",IF(AND(M1095&gt;=원인분석!$C$12,M1095&lt;=원인분석!$C$13),"비교",""))))</f>
        <v/>
      </c>
      <c r="R1095" s="9">
        <f>IF(Q1095="","",$K1095&amp;"")</f>
        <v/>
      </c>
      <c r="S1095" s="9">
        <f>IF(Q1095="","",IF(MATCH(R1095,$R$5:$R$100000,0)=ROW()-4,ROW(),""))</f>
        <v/>
      </c>
      <c r="T1095" s="9">
        <f>IF(Q1095="당기",ABS(P1095)+ROW()/1000000000,"")</f>
        <v/>
      </c>
      <c r="U1095" s="9">
        <f>IF(Q1095="비교",ABS(P1095)+ROW()/1000000000,"")</f>
        <v/>
      </c>
      <c r="V1095" s="64">
        <f>IF($A1095="","",IF(COUNTIF(변동분석!$E$7:$E$506,O1095)&gt;0,"Y","N"))</f>
        <v/>
      </c>
      <c r="W1095" s="64">
        <f>IF($A1095="","",IFERROR(INDEX(계정매핑!$D$5:$D$504,MATCH($F1095&amp;"",계정매핑!$A$5:$A$504,0)),"미매핑"))</f>
        <v/>
      </c>
      <c r="X1095" s="9">
        <f>IF($A1095="","",$F1095&amp;"")</f>
        <v/>
      </c>
      <c r="Y1095" s="94">
        <f>IF($A1095="",0,IF(AE1095="직접",IF(AF1095="비귀속",$P1095,0),$P1095*(1-AG1095)*IFERROR(INDEX(계정대체기준!$F$20:$F$49,MATCH($N1095,계정대체기준!$A$20:$A$49,0)),1)))</f>
        <v/>
      </c>
      <c r="Z1095" s="94">
        <f>IF($A1095="",0,IF(AE1095="직접",IF(AF1095="신계약비",$P1095,0),$P1095*(1-AG1095)*IFERROR(INDEX(계정대체기준!$C$20:$C$49,MATCH($N1095,계정대체기준!$A$20:$A$49,0)),0)))</f>
        <v/>
      </c>
      <c r="AA1095" s="94">
        <f>IF($A1095="",0,IF(AE1095="직접",IF(OR(AF1095="유지비",AF1095="손해조사비"),$P1095,0),$P1095*(1-AG1095)*IFERROR(INDEX(계정대체기준!$D$20:$D$49,MATCH($N1095,계정대체기준!$A$20:$A$49,0)),0)))</f>
        <v/>
      </c>
      <c r="AB1095" s="94">
        <f>IF($A1095="",0,IF(AE1095="직접",IF(AF1095="수금비",$P1095,0),$P1095*(1-AG1095)*IFERROR(INDEX(계정대체기준!$E$20:$E$49,MATCH($N1095,계정대체기준!$A$20:$A$49,0)),0)))</f>
        <v/>
      </c>
      <c r="AC1095" s="9">
        <f>IF(AND($A1095&lt;&gt;"",M1095=설정!$C$20,Z1095&gt;0),Z1095+ROW()/1000000000,"")</f>
        <v/>
      </c>
      <c r="AD1095" s="94">
        <f>IF($A1095="",0,$P1095*AG1095)</f>
        <v/>
      </c>
      <c r="AE1095" s="64">
        <f>IF($A1095="","",IFERROR(INDEX(계정매핑!$E$5:$E$504,MATCH($F1095&amp;"",계정매핑!$A$5:$A$504,0))&amp;"","공통비"))</f>
        <v/>
      </c>
      <c r="AF1095" s="64">
        <f>IF($A1095="","",IF(AE1095="직접",IFERROR(INDEX(계정매핑!$F$5:$F$504,MATCH($F1095&amp;"",계정매핑!$A$5:$A$504,0))&amp;"","비귀속"),""))</f>
        <v/>
      </c>
      <c r="AG1095" s="96">
        <f>IF($A1095="",0,IF(AND(AE1095&lt;&gt;"직접",IFERROR(INDEX(계정매핑!$G$5:$G$504,MATCH($F1095&amp;"",계정매핑!$A$5:$A$504,0))&amp;"","")="유지비",COUNTIF(계정대체기준!$A$6:$A$15,$N1095)&gt;0),IFERROR(INDEX(계정대체기준!$E$6:$E$15,MATCH(VALUE($A1095&amp;""),계정대체기준!$D$6:$D$15,0)),0),0))</f>
        <v/>
      </c>
      <c r="AH1095" s="64">
        <f>IF($A1095="","",IF(AD1095=0,"",IF(OR(COUNTIF(계정대체기준!$A$77:$A$86,$N1095)&gt;0,ISNUMBER(MATCH($X1095,계정대체기준!$D$77:$D$86,0)),ISNUMBER(MATCH($F1095,계정대체기준!$D$77:$D$86,0))),"Y","N")))</f>
        <v/>
      </c>
    </row>
    <row r="1096">
      <c r="A1096" s="92" t="n">
        <v>2025</v>
      </c>
      <c r="B1096" s="92" t="n">
        <v>5</v>
      </c>
      <c r="C1096" s="92" t="inlineStr">
        <is>
          <t>5100001092</t>
        </is>
      </c>
      <c r="D1096" s="95" t="n">
        <v>45800</v>
      </c>
      <c r="E1096" s="92" t="inlineStr">
        <is>
          <t>KR</t>
        </is>
      </c>
      <c r="F1096" s="92" t="n">
        <v>62102000</v>
      </c>
      <c r="G1096" s="92" t="n">
        <v>1201</v>
      </c>
      <c r="H1096" s="93" t="n">
        <v>66000</v>
      </c>
      <c r="I1096" s="92" t="inlineStr">
        <is>
          <t>5월 해외출장 - N호텔</t>
        </is>
      </c>
      <c r="J1096" s="92" t="inlineStr">
        <is>
          <t>V10009</t>
        </is>
      </c>
      <c r="K1096" s="92" t="inlineStr">
        <is>
          <t>N호텔</t>
        </is>
      </c>
      <c r="M1096" s="9">
        <f>IF($A1096="","",VALUE($A1096&amp;"")*12+VALUE($B1096&amp;""))</f>
        <v/>
      </c>
      <c r="N1096" s="64">
        <f>IF($A1096="","",IFERROR(INDEX(부서매핑!$C$5:$C$504,MATCH($G1096&amp;"",부서매핑!$A$5:$A$504,0)),"미매핑"))</f>
        <v/>
      </c>
      <c r="O1096" s="9">
        <f>IF($A1096="","",N1096&amp;"|"&amp;$F1096)</f>
        <v/>
      </c>
      <c r="P1096" s="94">
        <f>IF($A1096="",0,$H1096*설정!$C$23)</f>
        <v/>
      </c>
      <c r="Q1096" s="64">
        <f>IF($A1096="","",IF(O1096&lt;&gt;원인분석!$C$9,"",IF(AND(M1096&gt;=원인분석!$C$10,M1096&lt;=원인분석!$C$11),"당기",IF(AND(M1096&gt;=원인분석!$C$12,M1096&lt;=원인분석!$C$13),"비교",""))))</f>
        <v/>
      </c>
      <c r="R1096" s="9">
        <f>IF(Q1096="","",$K1096&amp;"")</f>
        <v/>
      </c>
      <c r="S1096" s="9">
        <f>IF(Q1096="","",IF(MATCH(R1096,$R$5:$R$100000,0)=ROW()-4,ROW(),""))</f>
        <v/>
      </c>
      <c r="T1096" s="9">
        <f>IF(Q1096="당기",ABS(P1096)+ROW()/1000000000,"")</f>
        <v/>
      </c>
      <c r="U1096" s="9">
        <f>IF(Q1096="비교",ABS(P1096)+ROW()/1000000000,"")</f>
        <v/>
      </c>
      <c r="V1096" s="64">
        <f>IF($A1096="","",IF(COUNTIF(변동분석!$E$7:$E$506,O1096)&gt;0,"Y","N"))</f>
        <v/>
      </c>
      <c r="W1096" s="64">
        <f>IF($A1096="","",IFERROR(INDEX(계정매핑!$D$5:$D$504,MATCH($F1096&amp;"",계정매핑!$A$5:$A$504,0)),"미매핑"))</f>
        <v/>
      </c>
      <c r="X1096" s="9">
        <f>IF($A1096="","",$F1096&amp;"")</f>
        <v/>
      </c>
      <c r="Y1096" s="94">
        <f>IF($A1096="",0,IF(AE1096="직접",IF(AF1096="비귀속",$P1096,0),$P1096*(1-AG1096)*IFERROR(INDEX(계정대체기준!$F$20:$F$49,MATCH($N1096,계정대체기준!$A$20:$A$49,0)),1)))</f>
        <v/>
      </c>
      <c r="Z1096" s="94">
        <f>IF($A1096="",0,IF(AE1096="직접",IF(AF1096="신계약비",$P1096,0),$P1096*(1-AG1096)*IFERROR(INDEX(계정대체기준!$C$20:$C$49,MATCH($N1096,계정대체기준!$A$20:$A$49,0)),0)))</f>
        <v/>
      </c>
      <c r="AA1096" s="94">
        <f>IF($A1096="",0,IF(AE1096="직접",IF(OR(AF1096="유지비",AF1096="손해조사비"),$P1096,0),$P1096*(1-AG1096)*IFERROR(INDEX(계정대체기준!$D$20:$D$49,MATCH($N1096,계정대체기준!$A$20:$A$49,0)),0)))</f>
        <v/>
      </c>
      <c r="AB1096" s="94">
        <f>IF($A1096="",0,IF(AE1096="직접",IF(AF1096="수금비",$P1096,0),$P1096*(1-AG1096)*IFERROR(INDEX(계정대체기준!$E$20:$E$49,MATCH($N1096,계정대체기준!$A$20:$A$49,0)),0)))</f>
        <v/>
      </c>
      <c r="AC1096" s="9">
        <f>IF(AND($A1096&lt;&gt;"",M1096=설정!$C$20,Z1096&gt;0),Z1096+ROW()/1000000000,"")</f>
        <v/>
      </c>
      <c r="AD1096" s="94">
        <f>IF($A1096="",0,$P1096*AG1096)</f>
        <v/>
      </c>
      <c r="AE1096" s="64">
        <f>IF($A1096="","",IFERROR(INDEX(계정매핑!$E$5:$E$504,MATCH($F1096&amp;"",계정매핑!$A$5:$A$504,0))&amp;"","공통비"))</f>
        <v/>
      </c>
      <c r="AF1096" s="64">
        <f>IF($A1096="","",IF(AE1096="직접",IFERROR(INDEX(계정매핑!$F$5:$F$504,MATCH($F1096&amp;"",계정매핑!$A$5:$A$504,0))&amp;"","비귀속"),""))</f>
        <v/>
      </c>
      <c r="AG1096" s="96">
        <f>IF($A1096="",0,IF(AND(AE1096&lt;&gt;"직접",IFERROR(INDEX(계정매핑!$G$5:$G$504,MATCH($F1096&amp;"",계정매핑!$A$5:$A$504,0))&amp;"","")="유지비",COUNTIF(계정대체기준!$A$6:$A$15,$N1096)&gt;0),IFERROR(INDEX(계정대체기준!$E$6:$E$15,MATCH(VALUE($A1096&amp;""),계정대체기준!$D$6:$D$15,0)),0),0))</f>
        <v/>
      </c>
      <c r="AH1096" s="64">
        <f>IF($A1096="","",IF(AD1096=0,"",IF(OR(COUNTIF(계정대체기준!$A$77:$A$86,$N1096)&gt;0,ISNUMBER(MATCH($X1096,계정대체기준!$D$77:$D$86,0)),ISNUMBER(MATCH($F1096,계정대체기준!$D$77:$D$86,0))),"Y","N")))</f>
        <v/>
      </c>
    </row>
    <row r="1097">
      <c r="A1097" s="92" t="n">
        <v>2025</v>
      </c>
      <c r="B1097" s="92" t="n">
        <v>5</v>
      </c>
      <c r="C1097" s="92" t="inlineStr">
        <is>
          <t>5100001093</t>
        </is>
      </c>
      <c r="D1097" s="95" t="n">
        <v>45800</v>
      </c>
      <c r="E1097" s="92" t="inlineStr">
        <is>
          <t>KR</t>
        </is>
      </c>
      <c r="F1097" s="92" t="n">
        <v>62102000</v>
      </c>
      <c r="G1097" s="92" t="n">
        <v>1401</v>
      </c>
      <c r="H1097" s="93" t="n">
        <v>70000</v>
      </c>
      <c r="I1097" s="92" t="inlineStr">
        <is>
          <t>5월 해외출장 - M항공</t>
        </is>
      </c>
      <c r="J1097" s="92" t="inlineStr">
        <is>
          <t>V10001</t>
        </is>
      </c>
      <c r="K1097" s="92" t="inlineStr">
        <is>
          <t>M항공</t>
        </is>
      </c>
      <c r="M1097" s="9">
        <f>IF($A1097="","",VALUE($A1097&amp;"")*12+VALUE($B1097&amp;""))</f>
        <v/>
      </c>
      <c r="N1097" s="64">
        <f>IF($A1097="","",IFERROR(INDEX(부서매핑!$C$5:$C$504,MATCH($G1097&amp;"",부서매핑!$A$5:$A$504,0)),"미매핑"))</f>
        <v/>
      </c>
      <c r="O1097" s="9">
        <f>IF($A1097="","",N1097&amp;"|"&amp;$F1097)</f>
        <v/>
      </c>
      <c r="P1097" s="94">
        <f>IF($A1097="",0,$H1097*설정!$C$23)</f>
        <v/>
      </c>
      <c r="Q1097" s="64">
        <f>IF($A1097="","",IF(O1097&lt;&gt;원인분석!$C$9,"",IF(AND(M1097&gt;=원인분석!$C$10,M1097&lt;=원인분석!$C$11),"당기",IF(AND(M1097&gt;=원인분석!$C$12,M1097&lt;=원인분석!$C$13),"비교",""))))</f>
        <v/>
      </c>
      <c r="R1097" s="9">
        <f>IF(Q1097="","",$K1097&amp;"")</f>
        <v/>
      </c>
      <c r="S1097" s="9">
        <f>IF(Q1097="","",IF(MATCH(R1097,$R$5:$R$100000,0)=ROW()-4,ROW(),""))</f>
        <v/>
      </c>
      <c r="T1097" s="9">
        <f>IF(Q1097="당기",ABS(P1097)+ROW()/1000000000,"")</f>
        <v/>
      </c>
      <c r="U1097" s="9">
        <f>IF(Q1097="비교",ABS(P1097)+ROW()/1000000000,"")</f>
        <v/>
      </c>
      <c r="V1097" s="64">
        <f>IF($A1097="","",IF(COUNTIF(변동분석!$E$7:$E$506,O1097)&gt;0,"Y","N"))</f>
        <v/>
      </c>
      <c r="W1097" s="64">
        <f>IF($A1097="","",IFERROR(INDEX(계정매핑!$D$5:$D$504,MATCH($F1097&amp;"",계정매핑!$A$5:$A$504,0)),"미매핑"))</f>
        <v/>
      </c>
      <c r="X1097" s="9">
        <f>IF($A1097="","",$F1097&amp;"")</f>
        <v/>
      </c>
      <c r="Y1097" s="94">
        <f>IF($A1097="",0,IF(AE1097="직접",IF(AF1097="비귀속",$P1097,0),$P1097*(1-AG1097)*IFERROR(INDEX(계정대체기준!$F$20:$F$49,MATCH($N1097,계정대체기준!$A$20:$A$49,0)),1)))</f>
        <v/>
      </c>
      <c r="Z1097" s="94">
        <f>IF($A1097="",0,IF(AE1097="직접",IF(AF1097="신계약비",$P1097,0),$P1097*(1-AG1097)*IFERROR(INDEX(계정대체기준!$C$20:$C$49,MATCH($N1097,계정대체기준!$A$20:$A$49,0)),0)))</f>
        <v/>
      </c>
      <c r="AA1097" s="94">
        <f>IF($A1097="",0,IF(AE1097="직접",IF(OR(AF1097="유지비",AF1097="손해조사비"),$P1097,0),$P1097*(1-AG1097)*IFERROR(INDEX(계정대체기준!$D$20:$D$49,MATCH($N1097,계정대체기준!$A$20:$A$49,0)),0)))</f>
        <v/>
      </c>
      <c r="AB1097" s="94">
        <f>IF($A1097="",0,IF(AE1097="직접",IF(AF1097="수금비",$P1097,0),$P1097*(1-AG1097)*IFERROR(INDEX(계정대체기준!$E$20:$E$49,MATCH($N1097,계정대체기준!$A$20:$A$49,0)),0)))</f>
        <v/>
      </c>
      <c r="AC1097" s="9">
        <f>IF(AND($A1097&lt;&gt;"",M1097=설정!$C$20,Z1097&gt;0),Z1097+ROW()/1000000000,"")</f>
        <v/>
      </c>
      <c r="AD1097" s="94">
        <f>IF($A1097="",0,$P1097*AG1097)</f>
        <v/>
      </c>
      <c r="AE1097" s="64">
        <f>IF($A1097="","",IFERROR(INDEX(계정매핑!$E$5:$E$504,MATCH($F1097&amp;"",계정매핑!$A$5:$A$504,0))&amp;"","공통비"))</f>
        <v/>
      </c>
      <c r="AF1097" s="64">
        <f>IF($A1097="","",IF(AE1097="직접",IFERROR(INDEX(계정매핑!$F$5:$F$504,MATCH($F1097&amp;"",계정매핑!$A$5:$A$504,0))&amp;"","비귀속"),""))</f>
        <v/>
      </c>
      <c r="AG1097" s="96">
        <f>IF($A1097="",0,IF(AND(AE1097&lt;&gt;"직접",IFERROR(INDEX(계정매핑!$G$5:$G$504,MATCH($F1097&amp;"",계정매핑!$A$5:$A$504,0))&amp;"","")="유지비",COUNTIF(계정대체기준!$A$6:$A$15,$N1097)&gt;0),IFERROR(INDEX(계정대체기준!$E$6:$E$15,MATCH(VALUE($A1097&amp;""),계정대체기준!$D$6:$D$15,0)),0),0))</f>
        <v/>
      </c>
      <c r="AH1097" s="64">
        <f>IF($A1097="","",IF(AD1097=0,"",IF(OR(COUNTIF(계정대체기준!$A$77:$A$86,$N1097)&gt;0,ISNUMBER(MATCH($X1097,계정대체기준!$D$77:$D$86,0)),ISNUMBER(MATCH($F1097,계정대체기준!$D$77:$D$86,0))),"Y","N")))</f>
        <v/>
      </c>
    </row>
    <row r="1098">
      <c r="A1098" s="92" t="n">
        <v>2025</v>
      </c>
      <c r="B1098" s="92" t="n">
        <v>5</v>
      </c>
      <c r="C1098" s="92" t="inlineStr">
        <is>
          <t>5100001094</t>
        </is>
      </c>
      <c r="D1098" s="95" t="n">
        <v>45800</v>
      </c>
      <c r="E1098" s="92" t="inlineStr">
        <is>
          <t>KR</t>
        </is>
      </c>
      <c r="F1098" s="92" t="n">
        <v>62401000</v>
      </c>
      <c r="G1098" s="92" t="n">
        <v>1401</v>
      </c>
      <c r="H1098" s="93" t="n">
        <v>381000</v>
      </c>
      <c r="I1098" s="92" t="inlineStr">
        <is>
          <t>5월 인쇄물 제작 - G인쇄</t>
        </is>
      </c>
      <c r="J1098" s="92" t="inlineStr">
        <is>
          <t>V10004</t>
        </is>
      </c>
      <c r="K1098" s="92" t="inlineStr">
        <is>
          <t>G인쇄</t>
        </is>
      </c>
      <c r="M1098" s="9">
        <f>IF($A1098="","",VALUE($A1098&amp;"")*12+VALUE($B1098&amp;""))</f>
        <v/>
      </c>
      <c r="N1098" s="64">
        <f>IF($A1098="","",IFERROR(INDEX(부서매핑!$C$5:$C$504,MATCH($G1098&amp;"",부서매핑!$A$5:$A$504,0)),"미매핑"))</f>
        <v/>
      </c>
      <c r="O1098" s="9">
        <f>IF($A1098="","",N1098&amp;"|"&amp;$F1098)</f>
        <v/>
      </c>
      <c r="P1098" s="94">
        <f>IF($A1098="",0,$H1098*설정!$C$23)</f>
        <v/>
      </c>
      <c r="Q1098" s="64">
        <f>IF($A1098="","",IF(O1098&lt;&gt;원인분석!$C$9,"",IF(AND(M1098&gt;=원인분석!$C$10,M1098&lt;=원인분석!$C$11),"당기",IF(AND(M1098&gt;=원인분석!$C$12,M1098&lt;=원인분석!$C$13),"비교",""))))</f>
        <v/>
      </c>
      <c r="R1098" s="9">
        <f>IF(Q1098="","",$K1098&amp;"")</f>
        <v/>
      </c>
      <c r="S1098" s="9">
        <f>IF(Q1098="","",IF(MATCH(R1098,$R$5:$R$100000,0)=ROW()-4,ROW(),""))</f>
        <v/>
      </c>
      <c r="T1098" s="9">
        <f>IF(Q1098="당기",ABS(P1098)+ROW()/1000000000,"")</f>
        <v/>
      </c>
      <c r="U1098" s="9">
        <f>IF(Q1098="비교",ABS(P1098)+ROW()/1000000000,"")</f>
        <v/>
      </c>
      <c r="V1098" s="64">
        <f>IF($A1098="","",IF(COUNTIF(변동분석!$E$7:$E$506,O1098)&gt;0,"Y","N"))</f>
        <v/>
      </c>
      <c r="W1098" s="64">
        <f>IF($A1098="","",IFERROR(INDEX(계정매핑!$D$5:$D$504,MATCH($F1098&amp;"",계정매핑!$A$5:$A$504,0)),"미매핑"))</f>
        <v/>
      </c>
      <c r="X1098" s="9">
        <f>IF($A1098="","",$F1098&amp;"")</f>
        <v/>
      </c>
      <c r="Y1098" s="94">
        <f>IF($A1098="",0,IF(AE1098="직접",IF(AF1098="비귀속",$P1098,0),$P1098*(1-AG1098)*IFERROR(INDEX(계정대체기준!$F$20:$F$49,MATCH($N1098,계정대체기준!$A$20:$A$49,0)),1)))</f>
        <v/>
      </c>
      <c r="Z1098" s="94">
        <f>IF($A1098="",0,IF(AE1098="직접",IF(AF1098="신계약비",$P1098,0),$P1098*(1-AG1098)*IFERROR(INDEX(계정대체기준!$C$20:$C$49,MATCH($N1098,계정대체기준!$A$20:$A$49,0)),0)))</f>
        <v/>
      </c>
      <c r="AA1098" s="94">
        <f>IF($A1098="",0,IF(AE1098="직접",IF(OR(AF1098="유지비",AF1098="손해조사비"),$P1098,0),$P1098*(1-AG1098)*IFERROR(INDEX(계정대체기준!$D$20:$D$49,MATCH($N1098,계정대체기준!$A$20:$A$49,0)),0)))</f>
        <v/>
      </c>
      <c r="AB1098" s="94">
        <f>IF($A1098="",0,IF(AE1098="직접",IF(AF1098="수금비",$P1098,0),$P1098*(1-AG1098)*IFERROR(INDEX(계정대체기준!$E$20:$E$49,MATCH($N1098,계정대체기준!$A$20:$A$49,0)),0)))</f>
        <v/>
      </c>
      <c r="AC1098" s="9">
        <f>IF(AND($A1098&lt;&gt;"",M1098=설정!$C$20,Z1098&gt;0),Z1098+ROW()/1000000000,"")</f>
        <v/>
      </c>
      <c r="AD1098" s="94">
        <f>IF($A1098="",0,$P1098*AG1098)</f>
        <v/>
      </c>
      <c r="AE1098" s="64">
        <f>IF($A1098="","",IFERROR(INDEX(계정매핑!$E$5:$E$504,MATCH($F1098&amp;"",계정매핑!$A$5:$A$504,0))&amp;"","공통비"))</f>
        <v/>
      </c>
      <c r="AF1098" s="64">
        <f>IF($A1098="","",IF(AE1098="직접",IFERROR(INDEX(계정매핑!$F$5:$F$504,MATCH($F1098&amp;"",계정매핑!$A$5:$A$504,0))&amp;"","비귀속"),""))</f>
        <v/>
      </c>
      <c r="AG1098" s="96">
        <f>IF($A1098="",0,IF(AND(AE1098&lt;&gt;"직접",IFERROR(INDEX(계정매핑!$G$5:$G$504,MATCH($F1098&amp;"",계정매핑!$A$5:$A$504,0))&amp;"","")="유지비",COUNTIF(계정대체기준!$A$6:$A$15,$N1098)&gt;0),IFERROR(INDEX(계정대체기준!$E$6:$E$15,MATCH(VALUE($A1098&amp;""),계정대체기준!$D$6:$D$15,0)),0),0))</f>
        <v/>
      </c>
      <c r="AH1098" s="64">
        <f>IF($A1098="","",IF(AD1098=0,"",IF(OR(COUNTIF(계정대체기준!$A$77:$A$86,$N1098)&gt;0,ISNUMBER(MATCH($X1098,계정대체기준!$D$77:$D$86,0)),ISNUMBER(MATCH($F1098,계정대체기준!$D$77:$D$86,0))),"Y","N")))</f>
        <v/>
      </c>
    </row>
    <row r="1099">
      <c r="A1099" s="92" t="n">
        <v>2025</v>
      </c>
      <c r="B1099" s="92" t="n">
        <v>5</v>
      </c>
      <c r="C1099" s="92" t="inlineStr">
        <is>
          <t>5100001095</t>
        </is>
      </c>
      <c r="D1099" s="95" t="n">
        <v>45800</v>
      </c>
      <c r="E1099" s="92" t="inlineStr">
        <is>
          <t>KR</t>
        </is>
      </c>
      <c r="F1099" s="92" t="n">
        <v>62501000</v>
      </c>
      <c r="G1099" s="92" t="n">
        <v>1101</v>
      </c>
      <c r="H1099" s="93" t="n">
        <v>271000</v>
      </c>
      <c r="I1099" s="92" t="inlineStr">
        <is>
          <t>5월 회의 다과 - (법인카드)</t>
        </is>
      </c>
      <c r="J1099" s="92" t="inlineStr">
        <is>
          <t>V10010</t>
        </is>
      </c>
      <c r="K1099" s="92" t="inlineStr">
        <is>
          <t>(법인카드)</t>
        </is>
      </c>
      <c r="M1099" s="9">
        <f>IF($A1099="","",VALUE($A1099&amp;"")*12+VALUE($B1099&amp;""))</f>
        <v/>
      </c>
      <c r="N1099" s="64">
        <f>IF($A1099="","",IFERROR(INDEX(부서매핑!$C$5:$C$504,MATCH($G1099&amp;"",부서매핑!$A$5:$A$504,0)),"미매핑"))</f>
        <v/>
      </c>
      <c r="O1099" s="9">
        <f>IF($A1099="","",N1099&amp;"|"&amp;$F1099)</f>
        <v/>
      </c>
      <c r="P1099" s="94">
        <f>IF($A1099="",0,$H1099*설정!$C$23)</f>
        <v/>
      </c>
      <c r="Q1099" s="64">
        <f>IF($A1099="","",IF(O1099&lt;&gt;원인분석!$C$9,"",IF(AND(M1099&gt;=원인분석!$C$10,M1099&lt;=원인분석!$C$11),"당기",IF(AND(M1099&gt;=원인분석!$C$12,M1099&lt;=원인분석!$C$13),"비교",""))))</f>
        <v/>
      </c>
      <c r="R1099" s="9">
        <f>IF(Q1099="","",$K1099&amp;"")</f>
        <v/>
      </c>
      <c r="S1099" s="9">
        <f>IF(Q1099="","",IF(MATCH(R1099,$R$5:$R$100000,0)=ROW()-4,ROW(),""))</f>
        <v/>
      </c>
      <c r="T1099" s="9">
        <f>IF(Q1099="당기",ABS(P1099)+ROW()/1000000000,"")</f>
        <v/>
      </c>
      <c r="U1099" s="9">
        <f>IF(Q1099="비교",ABS(P1099)+ROW()/1000000000,"")</f>
        <v/>
      </c>
      <c r="V1099" s="64">
        <f>IF($A1099="","",IF(COUNTIF(변동분석!$E$7:$E$506,O1099)&gt;0,"Y","N"))</f>
        <v/>
      </c>
      <c r="W1099" s="64">
        <f>IF($A1099="","",IFERROR(INDEX(계정매핑!$D$5:$D$504,MATCH($F1099&amp;"",계정매핑!$A$5:$A$504,0)),"미매핑"))</f>
        <v/>
      </c>
      <c r="X1099" s="9">
        <f>IF($A1099="","",$F1099&amp;"")</f>
        <v/>
      </c>
      <c r="Y1099" s="94">
        <f>IF($A1099="",0,IF(AE1099="직접",IF(AF1099="비귀속",$P1099,0),$P1099*(1-AG1099)*IFERROR(INDEX(계정대체기준!$F$20:$F$49,MATCH($N1099,계정대체기준!$A$20:$A$49,0)),1)))</f>
        <v/>
      </c>
      <c r="Z1099" s="94">
        <f>IF($A1099="",0,IF(AE1099="직접",IF(AF1099="신계약비",$P1099,0),$P1099*(1-AG1099)*IFERROR(INDEX(계정대체기준!$C$20:$C$49,MATCH($N1099,계정대체기준!$A$20:$A$49,0)),0)))</f>
        <v/>
      </c>
      <c r="AA1099" s="94">
        <f>IF($A1099="",0,IF(AE1099="직접",IF(OR(AF1099="유지비",AF1099="손해조사비"),$P1099,0),$P1099*(1-AG1099)*IFERROR(INDEX(계정대체기준!$D$20:$D$49,MATCH($N1099,계정대체기준!$A$20:$A$49,0)),0)))</f>
        <v/>
      </c>
      <c r="AB1099" s="94">
        <f>IF($A1099="",0,IF(AE1099="직접",IF(AF1099="수금비",$P1099,0),$P1099*(1-AG1099)*IFERROR(INDEX(계정대체기준!$E$20:$E$49,MATCH($N1099,계정대체기준!$A$20:$A$49,0)),0)))</f>
        <v/>
      </c>
      <c r="AC1099" s="9">
        <f>IF(AND($A1099&lt;&gt;"",M1099=설정!$C$20,Z1099&gt;0),Z1099+ROW()/1000000000,"")</f>
        <v/>
      </c>
      <c r="AD1099" s="94">
        <f>IF($A1099="",0,$P1099*AG1099)</f>
        <v/>
      </c>
      <c r="AE1099" s="64">
        <f>IF($A1099="","",IFERROR(INDEX(계정매핑!$E$5:$E$504,MATCH($F1099&amp;"",계정매핑!$A$5:$A$504,0))&amp;"","공통비"))</f>
        <v/>
      </c>
      <c r="AF1099" s="64">
        <f>IF($A1099="","",IF(AE1099="직접",IFERROR(INDEX(계정매핑!$F$5:$F$504,MATCH($F1099&amp;"",계정매핑!$A$5:$A$504,0))&amp;"","비귀속"),""))</f>
        <v/>
      </c>
      <c r="AG1099" s="96">
        <f>IF($A1099="",0,IF(AND(AE1099&lt;&gt;"직접",IFERROR(INDEX(계정매핑!$G$5:$G$504,MATCH($F1099&amp;"",계정매핑!$A$5:$A$504,0))&amp;"","")="유지비",COUNTIF(계정대체기준!$A$6:$A$15,$N1099)&gt;0),IFERROR(INDEX(계정대체기준!$E$6:$E$15,MATCH(VALUE($A1099&amp;""),계정대체기준!$D$6:$D$15,0)),0),0))</f>
        <v/>
      </c>
      <c r="AH1099" s="64">
        <f>IF($A1099="","",IF(AD1099=0,"",IF(OR(COUNTIF(계정대체기준!$A$77:$A$86,$N1099)&gt;0,ISNUMBER(MATCH($X1099,계정대체기준!$D$77:$D$86,0)),ISNUMBER(MATCH($F1099,계정대체기준!$D$77:$D$86,0))),"Y","N")))</f>
        <v/>
      </c>
    </row>
    <row r="1100">
      <c r="A1100" s="92" t="n">
        <v>2025</v>
      </c>
      <c r="B1100" s="92" t="n">
        <v>5</v>
      </c>
      <c r="C1100" s="92" t="inlineStr">
        <is>
          <t>5100001096</t>
        </is>
      </c>
      <c r="D1100" s="95" t="n">
        <v>45800</v>
      </c>
      <c r="E1100" s="92" t="inlineStr">
        <is>
          <t>KR</t>
        </is>
      </c>
      <c r="F1100" s="92" t="n">
        <v>62501000</v>
      </c>
      <c r="G1100" s="92" t="n">
        <v>1501</v>
      </c>
      <c r="H1100" s="93" t="n">
        <v>231000</v>
      </c>
      <c r="I1100" s="92" t="inlineStr">
        <is>
          <t>5월 회의 다과 - (법인카드)</t>
        </is>
      </c>
      <c r="J1100" s="92" t="inlineStr">
        <is>
          <t>V10010</t>
        </is>
      </c>
      <c r="K1100" s="92" t="inlineStr">
        <is>
          <t>(법인카드)</t>
        </is>
      </c>
      <c r="M1100" s="9">
        <f>IF($A1100="","",VALUE($A1100&amp;"")*12+VALUE($B1100&amp;""))</f>
        <v/>
      </c>
      <c r="N1100" s="64">
        <f>IF($A1100="","",IFERROR(INDEX(부서매핑!$C$5:$C$504,MATCH($G1100&amp;"",부서매핑!$A$5:$A$504,0)),"미매핑"))</f>
        <v/>
      </c>
      <c r="O1100" s="9">
        <f>IF($A1100="","",N1100&amp;"|"&amp;$F1100)</f>
        <v/>
      </c>
      <c r="P1100" s="94">
        <f>IF($A1100="",0,$H1100*설정!$C$23)</f>
        <v/>
      </c>
      <c r="Q1100" s="64">
        <f>IF($A1100="","",IF(O1100&lt;&gt;원인분석!$C$9,"",IF(AND(M1100&gt;=원인분석!$C$10,M1100&lt;=원인분석!$C$11),"당기",IF(AND(M1100&gt;=원인분석!$C$12,M1100&lt;=원인분석!$C$13),"비교",""))))</f>
        <v/>
      </c>
      <c r="R1100" s="9">
        <f>IF(Q1100="","",$K1100&amp;"")</f>
        <v/>
      </c>
      <c r="S1100" s="9">
        <f>IF(Q1100="","",IF(MATCH(R1100,$R$5:$R$100000,0)=ROW()-4,ROW(),""))</f>
        <v/>
      </c>
      <c r="T1100" s="9">
        <f>IF(Q1100="당기",ABS(P1100)+ROW()/1000000000,"")</f>
        <v/>
      </c>
      <c r="U1100" s="9">
        <f>IF(Q1100="비교",ABS(P1100)+ROW()/1000000000,"")</f>
        <v/>
      </c>
      <c r="V1100" s="64">
        <f>IF($A1100="","",IF(COUNTIF(변동분석!$E$7:$E$506,O1100)&gt;0,"Y","N"))</f>
        <v/>
      </c>
      <c r="W1100" s="64">
        <f>IF($A1100="","",IFERROR(INDEX(계정매핑!$D$5:$D$504,MATCH($F1100&amp;"",계정매핑!$A$5:$A$504,0)),"미매핑"))</f>
        <v/>
      </c>
      <c r="X1100" s="9">
        <f>IF($A1100="","",$F1100&amp;"")</f>
        <v/>
      </c>
      <c r="Y1100" s="94">
        <f>IF($A1100="",0,IF(AE1100="직접",IF(AF1100="비귀속",$P1100,0),$P1100*(1-AG1100)*IFERROR(INDEX(계정대체기준!$F$20:$F$49,MATCH($N1100,계정대체기준!$A$20:$A$49,0)),1)))</f>
        <v/>
      </c>
      <c r="Z1100" s="94">
        <f>IF($A1100="",0,IF(AE1100="직접",IF(AF1100="신계약비",$P1100,0),$P1100*(1-AG1100)*IFERROR(INDEX(계정대체기준!$C$20:$C$49,MATCH($N1100,계정대체기준!$A$20:$A$49,0)),0)))</f>
        <v/>
      </c>
      <c r="AA1100" s="94">
        <f>IF($A1100="",0,IF(AE1100="직접",IF(OR(AF1100="유지비",AF1100="손해조사비"),$P1100,0),$P1100*(1-AG1100)*IFERROR(INDEX(계정대체기준!$D$20:$D$49,MATCH($N1100,계정대체기준!$A$20:$A$49,0)),0)))</f>
        <v/>
      </c>
      <c r="AB1100" s="94">
        <f>IF($A1100="",0,IF(AE1100="직접",IF(AF1100="수금비",$P1100,0),$P1100*(1-AG1100)*IFERROR(INDEX(계정대체기준!$E$20:$E$49,MATCH($N1100,계정대체기준!$A$20:$A$49,0)),0)))</f>
        <v/>
      </c>
      <c r="AC1100" s="9">
        <f>IF(AND($A1100&lt;&gt;"",M1100=설정!$C$20,Z1100&gt;0),Z1100+ROW()/1000000000,"")</f>
        <v/>
      </c>
      <c r="AD1100" s="94">
        <f>IF($A1100="",0,$P1100*AG1100)</f>
        <v/>
      </c>
      <c r="AE1100" s="64">
        <f>IF($A1100="","",IFERROR(INDEX(계정매핑!$E$5:$E$504,MATCH($F1100&amp;"",계정매핑!$A$5:$A$504,0))&amp;"","공통비"))</f>
        <v/>
      </c>
      <c r="AF1100" s="64">
        <f>IF($A1100="","",IF(AE1100="직접",IFERROR(INDEX(계정매핑!$F$5:$F$504,MATCH($F1100&amp;"",계정매핑!$A$5:$A$504,0))&amp;"","비귀속"),""))</f>
        <v/>
      </c>
      <c r="AG1100" s="96">
        <f>IF($A1100="",0,IF(AND(AE1100&lt;&gt;"직접",IFERROR(INDEX(계정매핑!$G$5:$G$504,MATCH($F1100&amp;"",계정매핑!$A$5:$A$504,0))&amp;"","")="유지비",COUNTIF(계정대체기준!$A$6:$A$15,$N1100)&gt;0),IFERROR(INDEX(계정대체기준!$E$6:$E$15,MATCH(VALUE($A1100&amp;""),계정대체기준!$D$6:$D$15,0)),0),0))</f>
        <v/>
      </c>
      <c r="AH1100" s="64">
        <f>IF($A1100="","",IF(AD1100=0,"",IF(OR(COUNTIF(계정대체기준!$A$77:$A$86,$N1100)&gt;0,ISNUMBER(MATCH($X1100,계정대체기준!$D$77:$D$86,0)),ISNUMBER(MATCH($F1100,계정대체기준!$D$77:$D$86,0))),"Y","N")))</f>
        <v/>
      </c>
    </row>
    <row r="1101">
      <c r="A1101" s="92" t="n">
        <v>2025</v>
      </c>
      <c r="B1101" s="92" t="n">
        <v>5</v>
      </c>
      <c r="C1101" s="92" t="inlineStr">
        <is>
          <t>5100001097</t>
        </is>
      </c>
      <c r="D1101" s="95" t="n">
        <v>45800</v>
      </c>
      <c r="E1101" s="92" t="inlineStr">
        <is>
          <t>KR</t>
        </is>
      </c>
      <c r="F1101" s="92" t="n">
        <v>62701000</v>
      </c>
      <c r="G1101" s="92" t="n">
        <v>1501</v>
      </c>
      <c r="H1101" s="93" t="n">
        <v>40902000</v>
      </c>
      <c r="I1101" s="92" t="inlineStr">
        <is>
          <t>5월 광고 집행 - F애드</t>
        </is>
      </c>
      <c r="J1101" s="92" t="inlineStr">
        <is>
          <t>V10023</t>
        </is>
      </c>
      <c r="K1101" s="92" t="inlineStr">
        <is>
          <t>F애드</t>
        </is>
      </c>
      <c r="M1101" s="9">
        <f>IF($A1101="","",VALUE($A1101&amp;"")*12+VALUE($B1101&amp;""))</f>
        <v/>
      </c>
      <c r="N1101" s="64">
        <f>IF($A1101="","",IFERROR(INDEX(부서매핑!$C$5:$C$504,MATCH($G1101&amp;"",부서매핑!$A$5:$A$504,0)),"미매핑"))</f>
        <v/>
      </c>
      <c r="O1101" s="9">
        <f>IF($A1101="","",N1101&amp;"|"&amp;$F1101)</f>
        <v/>
      </c>
      <c r="P1101" s="94">
        <f>IF($A1101="",0,$H1101*설정!$C$23)</f>
        <v/>
      </c>
      <c r="Q1101" s="64">
        <f>IF($A1101="","",IF(O1101&lt;&gt;원인분석!$C$9,"",IF(AND(M1101&gt;=원인분석!$C$10,M1101&lt;=원인분석!$C$11),"당기",IF(AND(M1101&gt;=원인분석!$C$12,M1101&lt;=원인분석!$C$13),"비교",""))))</f>
        <v/>
      </c>
      <c r="R1101" s="9">
        <f>IF(Q1101="","",$K1101&amp;"")</f>
        <v/>
      </c>
      <c r="S1101" s="9">
        <f>IF(Q1101="","",IF(MATCH(R1101,$R$5:$R$100000,0)=ROW()-4,ROW(),""))</f>
        <v/>
      </c>
      <c r="T1101" s="9">
        <f>IF(Q1101="당기",ABS(P1101)+ROW()/1000000000,"")</f>
        <v/>
      </c>
      <c r="U1101" s="9">
        <f>IF(Q1101="비교",ABS(P1101)+ROW()/1000000000,"")</f>
        <v/>
      </c>
      <c r="V1101" s="64">
        <f>IF($A1101="","",IF(COUNTIF(변동분석!$E$7:$E$506,O1101)&gt;0,"Y","N"))</f>
        <v/>
      </c>
      <c r="W1101" s="64">
        <f>IF($A1101="","",IFERROR(INDEX(계정매핑!$D$5:$D$504,MATCH($F1101&amp;"",계정매핑!$A$5:$A$504,0)),"미매핑"))</f>
        <v/>
      </c>
      <c r="X1101" s="9">
        <f>IF($A1101="","",$F1101&amp;"")</f>
        <v/>
      </c>
      <c r="Y1101" s="94">
        <f>IF($A1101="",0,IF(AE1101="직접",IF(AF1101="비귀속",$P1101,0),$P1101*(1-AG1101)*IFERROR(INDEX(계정대체기준!$F$20:$F$49,MATCH($N1101,계정대체기준!$A$20:$A$49,0)),1)))</f>
        <v/>
      </c>
      <c r="Z1101" s="94">
        <f>IF($A1101="",0,IF(AE1101="직접",IF(AF1101="신계약비",$P1101,0),$P1101*(1-AG1101)*IFERROR(INDEX(계정대체기준!$C$20:$C$49,MATCH($N1101,계정대체기준!$A$20:$A$49,0)),0)))</f>
        <v/>
      </c>
      <c r="AA1101" s="94">
        <f>IF($A1101="",0,IF(AE1101="직접",IF(OR(AF1101="유지비",AF1101="손해조사비"),$P1101,0),$P1101*(1-AG1101)*IFERROR(INDEX(계정대체기준!$D$20:$D$49,MATCH($N1101,계정대체기준!$A$20:$A$49,0)),0)))</f>
        <v/>
      </c>
      <c r="AB1101" s="94">
        <f>IF($A1101="",0,IF(AE1101="직접",IF(AF1101="수금비",$P1101,0),$P1101*(1-AG1101)*IFERROR(INDEX(계정대체기준!$E$20:$E$49,MATCH($N1101,계정대체기준!$A$20:$A$49,0)),0)))</f>
        <v/>
      </c>
      <c r="AC1101" s="9">
        <f>IF(AND($A1101&lt;&gt;"",M1101=설정!$C$20,Z1101&gt;0),Z1101+ROW()/1000000000,"")</f>
        <v/>
      </c>
      <c r="AD1101" s="94">
        <f>IF($A1101="",0,$P1101*AG1101)</f>
        <v/>
      </c>
      <c r="AE1101" s="64">
        <f>IF($A1101="","",IFERROR(INDEX(계정매핑!$E$5:$E$504,MATCH($F1101&amp;"",계정매핑!$A$5:$A$504,0))&amp;"","공통비"))</f>
        <v/>
      </c>
      <c r="AF1101" s="64">
        <f>IF($A1101="","",IF(AE1101="직접",IFERROR(INDEX(계정매핑!$F$5:$F$504,MATCH($F1101&amp;"",계정매핑!$A$5:$A$504,0))&amp;"","비귀속"),""))</f>
        <v/>
      </c>
      <c r="AG1101" s="96">
        <f>IF($A1101="",0,IF(AND(AE1101&lt;&gt;"직접",IFERROR(INDEX(계정매핑!$G$5:$G$504,MATCH($F1101&amp;"",계정매핑!$A$5:$A$504,0))&amp;"","")="유지비",COUNTIF(계정대체기준!$A$6:$A$15,$N1101)&gt;0),IFERROR(INDEX(계정대체기준!$E$6:$E$15,MATCH(VALUE($A1101&amp;""),계정대체기준!$D$6:$D$15,0)),0),0))</f>
        <v/>
      </c>
      <c r="AH1101" s="64">
        <f>IF($A1101="","",IF(AD1101=0,"",IF(OR(COUNTIF(계정대체기준!$A$77:$A$86,$N1101)&gt;0,ISNUMBER(MATCH($X1101,계정대체기준!$D$77:$D$86,0)),ISNUMBER(MATCH($F1101,계정대체기준!$D$77:$D$86,0))),"Y","N")))</f>
        <v/>
      </c>
    </row>
    <row r="1102">
      <c r="A1102" s="92" t="n">
        <v>2025</v>
      </c>
      <c r="B1102" s="92" t="n">
        <v>5</v>
      </c>
      <c r="C1102" s="92" t="inlineStr">
        <is>
          <t>5100001098</t>
        </is>
      </c>
      <c r="D1102" s="95" t="n">
        <v>45800</v>
      </c>
      <c r="E1102" s="92" t="inlineStr">
        <is>
          <t>KR</t>
        </is>
      </c>
      <c r="F1102" s="92" t="n">
        <v>62901000</v>
      </c>
      <c r="G1102" s="92" t="n">
        <v>1951</v>
      </c>
      <c r="H1102" s="93" t="n">
        <v>4195000</v>
      </c>
      <c r="I1102" s="92" t="inlineStr">
        <is>
          <t>5월 자문 수수료 - K회계법인</t>
        </is>
      </c>
      <c r="J1102" s="92" t="inlineStr">
        <is>
          <t>V10011</t>
        </is>
      </c>
      <c r="K1102" s="92" t="inlineStr">
        <is>
          <t>K회계법인</t>
        </is>
      </c>
      <c r="M1102" s="9">
        <f>IF($A1102="","",VALUE($A1102&amp;"")*12+VALUE($B1102&amp;""))</f>
        <v/>
      </c>
      <c r="N1102" s="64">
        <f>IF($A1102="","",IFERROR(INDEX(부서매핑!$C$5:$C$504,MATCH($G1102&amp;"",부서매핑!$A$5:$A$504,0)),"미매핑"))</f>
        <v/>
      </c>
      <c r="O1102" s="9">
        <f>IF($A1102="","",N1102&amp;"|"&amp;$F1102)</f>
        <v/>
      </c>
      <c r="P1102" s="94">
        <f>IF($A1102="",0,$H1102*설정!$C$23)</f>
        <v/>
      </c>
      <c r="Q1102" s="64">
        <f>IF($A1102="","",IF(O1102&lt;&gt;원인분석!$C$9,"",IF(AND(M1102&gt;=원인분석!$C$10,M1102&lt;=원인분석!$C$11),"당기",IF(AND(M1102&gt;=원인분석!$C$12,M1102&lt;=원인분석!$C$13),"비교",""))))</f>
        <v/>
      </c>
      <c r="R1102" s="9">
        <f>IF(Q1102="","",$K1102&amp;"")</f>
        <v/>
      </c>
      <c r="S1102" s="9">
        <f>IF(Q1102="","",IF(MATCH(R1102,$R$5:$R$100000,0)=ROW()-4,ROW(),""))</f>
        <v/>
      </c>
      <c r="T1102" s="9">
        <f>IF(Q1102="당기",ABS(P1102)+ROW()/1000000000,"")</f>
        <v/>
      </c>
      <c r="U1102" s="9">
        <f>IF(Q1102="비교",ABS(P1102)+ROW()/1000000000,"")</f>
        <v/>
      </c>
      <c r="V1102" s="64">
        <f>IF($A1102="","",IF(COUNTIF(변동분석!$E$7:$E$506,O1102)&gt;0,"Y","N"))</f>
        <v/>
      </c>
      <c r="W1102" s="64">
        <f>IF($A1102="","",IFERROR(INDEX(계정매핑!$D$5:$D$504,MATCH($F1102&amp;"",계정매핑!$A$5:$A$504,0)),"미매핑"))</f>
        <v/>
      </c>
      <c r="X1102" s="9">
        <f>IF($A1102="","",$F1102&amp;"")</f>
        <v/>
      </c>
      <c r="Y1102" s="94">
        <f>IF($A1102="",0,IF(AE1102="직접",IF(AF1102="비귀속",$P1102,0),$P1102*(1-AG1102)*IFERROR(INDEX(계정대체기준!$F$20:$F$49,MATCH($N1102,계정대체기준!$A$20:$A$49,0)),1)))</f>
        <v/>
      </c>
      <c r="Z1102" s="94">
        <f>IF($A1102="",0,IF(AE1102="직접",IF(AF1102="신계약비",$P1102,0),$P1102*(1-AG1102)*IFERROR(INDEX(계정대체기준!$C$20:$C$49,MATCH($N1102,계정대체기준!$A$20:$A$49,0)),0)))</f>
        <v/>
      </c>
      <c r="AA1102" s="94">
        <f>IF($A1102="",0,IF(AE1102="직접",IF(OR(AF1102="유지비",AF1102="손해조사비"),$P1102,0),$P1102*(1-AG1102)*IFERROR(INDEX(계정대체기준!$D$20:$D$49,MATCH($N1102,계정대체기준!$A$20:$A$49,0)),0)))</f>
        <v/>
      </c>
      <c r="AB1102" s="94">
        <f>IF($A1102="",0,IF(AE1102="직접",IF(AF1102="수금비",$P1102,0),$P1102*(1-AG1102)*IFERROR(INDEX(계정대체기준!$E$20:$E$49,MATCH($N1102,계정대체기준!$A$20:$A$49,0)),0)))</f>
        <v/>
      </c>
      <c r="AC1102" s="9">
        <f>IF(AND($A1102&lt;&gt;"",M1102=설정!$C$20,Z1102&gt;0),Z1102+ROW()/1000000000,"")</f>
        <v/>
      </c>
      <c r="AD1102" s="94">
        <f>IF($A1102="",0,$P1102*AG1102)</f>
        <v/>
      </c>
      <c r="AE1102" s="64">
        <f>IF($A1102="","",IFERROR(INDEX(계정매핑!$E$5:$E$504,MATCH($F1102&amp;"",계정매핑!$A$5:$A$504,0))&amp;"","공통비"))</f>
        <v/>
      </c>
      <c r="AF1102" s="64">
        <f>IF($A1102="","",IF(AE1102="직접",IFERROR(INDEX(계정매핑!$F$5:$F$504,MATCH($F1102&amp;"",계정매핑!$A$5:$A$504,0))&amp;"","비귀속"),""))</f>
        <v/>
      </c>
      <c r="AG1102" s="96">
        <f>IF($A1102="",0,IF(AND(AE1102&lt;&gt;"직접",IFERROR(INDEX(계정매핑!$G$5:$G$504,MATCH($F1102&amp;"",계정매핑!$A$5:$A$504,0))&amp;"","")="유지비",COUNTIF(계정대체기준!$A$6:$A$15,$N1102)&gt;0),IFERROR(INDEX(계정대체기준!$E$6:$E$15,MATCH(VALUE($A1102&amp;""),계정대체기준!$D$6:$D$15,0)),0),0))</f>
        <v/>
      </c>
      <c r="AH1102" s="64">
        <f>IF($A1102="","",IF(AD1102=0,"",IF(OR(COUNTIF(계정대체기준!$A$77:$A$86,$N1102)&gt;0,ISNUMBER(MATCH($X1102,계정대체기준!$D$77:$D$86,0)),ISNUMBER(MATCH($F1102,계정대체기준!$D$77:$D$86,0))),"Y","N")))</f>
        <v/>
      </c>
    </row>
    <row r="1103">
      <c r="A1103" s="92" t="n">
        <v>2025</v>
      </c>
      <c r="B1103" s="92" t="n">
        <v>5</v>
      </c>
      <c r="C1103" s="92" t="inlineStr">
        <is>
          <t>5100001099</t>
        </is>
      </c>
      <c r="D1103" s="95" t="n">
        <v>45800</v>
      </c>
      <c r="E1103" s="92" t="inlineStr">
        <is>
          <t>KR</t>
        </is>
      </c>
      <c r="F1103" s="92" t="n">
        <v>62902000</v>
      </c>
      <c r="G1103" s="92" t="n">
        <v>1401</v>
      </c>
      <c r="H1103" s="93" t="n">
        <v>4488000</v>
      </c>
      <c r="I1103" s="92" t="inlineStr">
        <is>
          <t>5월 업무 위탁 수수료 - X서비스</t>
        </is>
      </c>
      <c r="J1103" s="92" t="inlineStr">
        <is>
          <t>V10020</t>
        </is>
      </c>
      <c r="K1103" s="92" t="inlineStr">
        <is>
          <t>X서비스</t>
        </is>
      </c>
      <c r="M1103" s="9">
        <f>IF($A1103="","",VALUE($A1103&amp;"")*12+VALUE($B1103&amp;""))</f>
        <v/>
      </c>
      <c r="N1103" s="64">
        <f>IF($A1103="","",IFERROR(INDEX(부서매핑!$C$5:$C$504,MATCH($G1103&amp;"",부서매핑!$A$5:$A$504,0)),"미매핑"))</f>
        <v/>
      </c>
      <c r="O1103" s="9">
        <f>IF($A1103="","",N1103&amp;"|"&amp;$F1103)</f>
        <v/>
      </c>
      <c r="P1103" s="94">
        <f>IF($A1103="",0,$H1103*설정!$C$23)</f>
        <v/>
      </c>
      <c r="Q1103" s="64">
        <f>IF($A1103="","",IF(O1103&lt;&gt;원인분석!$C$9,"",IF(AND(M1103&gt;=원인분석!$C$10,M1103&lt;=원인분석!$C$11),"당기",IF(AND(M1103&gt;=원인분석!$C$12,M1103&lt;=원인분석!$C$13),"비교",""))))</f>
        <v/>
      </c>
      <c r="R1103" s="9">
        <f>IF(Q1103="","",$K1103&amp;"")</f>
        <v/>
      </c>
      <c r="S1103" s="9">
        <f>IF(Q1103="","",IF(MATCH(R1103,$R$5:$R$100000,0)=ROW()-4,ROW(),""))</f>
        <v/>
      </c>
      <c r="T1103" s="9">
        <f>IF(Q1103="당기",ABS(P1103)+ROW()/1000000000,"")</f>
        <v/>
      </c>
      <c r="U1103" s="9">
        <f>IF(Q1103="비교",ABS(P1103)+ROW()/1000000000,"")</f>
        <v/>
      </c>
      <c r="V1103" s="64">
        <f>IF($A1103="","",IF(COUNTIF(변동분석!$E$7:$E$506,O1103)&gt;0,"Y","N"))</f>
        <v/>
      </c>
      <c r="W1103" s="64">
        <f>IF($A1103="","",IFERROR(INDEX(계정매핑!$D$5:$D$504,MATCH($F1103&amp;"",계정매핑!$A$5:$A$504,0)),"미매핑"))</f>
        <v/>
      </c>
      <c r="X1103" s="9">
        <f>IF($A1103="","",$F1103&amp;"")</f>
        <v/>
      </c>
      <c r="Y1103" s="94">
        <f>IF($A1103="",0,IF(AE1103="직접",IF(AF1103="비귀속",$P1103,0),$P1103*(1-AG1103)*IFERROR(INDEX(계정대체기준!$F$20:$F$49,MATCH($N1103,계정대체기준!$A$20:$A$49,0)),1)))</f>
        <v/>
      </c>
      <c r="Z1103" s="94">
        <f>IF($A1103="",0,IF(AE1103="직접",IF(AF1103="신계약비",$P1103,0),$P1103*(1-AG1103)*IFERROR(INDEX(계정대체기준!$C$20:$C$49,MATCH($N1103,계정대체기준!$A$20:$A$49,0)),0)))</f>
        <v/>
      </c>
      <c r="AA1103" s="94">
        <f>IF($A1103="",0,IF(AE1103="직접",IF(OR(AF1103="유지비",AF1103="손해조사비"),$P1103,0),$P1103*(1-AG1103)*IFERROR(INDEX(계정대체기준!$D$20:$D$49,MATCH($N1103,계정대체기준!$A$20:$A$49,0)),0)))</f>
        <v/>
      </c>
      <c r="AB1103" s="94">
        <f>IF($A1103="",0,IF(AE1103="직접",IF(AF1103="수금비",$P1103,0),$P1103*(1-AG1103)*IFERROR(INDEX(계정대체기준!$E$20:$E$49,MATCH($N1103,계정대체기준!$A$20:$A$49,0)),0)))</f>
        <v/>
      </c>
      <c r="AC1103" s="9">
        <f>IF(AND($A1103&lt;&gt;"",M1103=설정!$C$20,Z1103&gt;0),Z1103+ROW()/1000000000,"")</f>
        <v/>
      </c>
      <c r="AD1103" s="94">
        <f>IF($A1103="",0,$P1103*AG1103)</f>
        <v/>
      </c>
      <c r="AE1103" s="64">
        <f>IF($A1103="","",IFERROR(INDEX(계정매핑!$E$5:$E$504,MATCH($F1103&amp;"",계정매핑!$A$5:$A$504,0))&amp;"","공통비"))</f>
        <v/>
      </c>
      <c r="AF1103" s="64">
        <f>IF($A1103="","",IF(AE1103="직접",IFERROR(INDEX(계정매핑!$F$5:$F$504,MATCH($F1103&amp;"",계정매핑!$A$5:$A$504,0))&amp;"","비귀속"),""))</f>
        <v/>
      </c>
      <c r="AG1103" s="96">
        <f>IF($A1103="",0,IF(AND(AE1103&lt;&gt;"직접",IFERROR(INDEX(계정매핑!$G$5:$G$504,MATCH($F1103&amp;"",계정매핑!$A$5:$A$504,0))&amp;"","")="유지비",COUNTIF(계정대체기준!$A$6:$A$15,$N1103)&gt;0),IFERROR(INDEX(계정대체기준!$E$6:$E$15,MATCH(VALUE($A1103&amp;""),계정대체기준!$D$6:$D$15,0)),0),0))</f>
        <v/>
      </c>
      <c r="AH1103" s="64">
        <f>IF($A1103="","",IF(AD1103=0,"",IF(OR(COUNTIF(계정대체기준!$A$77:$A$86,$N1103)&gt;0,ISNUMBER(MATCH($X1103,계정대체기준!$D$77:$D$86,0)),ISNUMBER(MATCH($F1103,계정대체기준!$D$77:$D$86,0))),"Y","N")))</f>
        <v/>
      </c>
    </row>
    <row r="1104">
      <c r="A1104" s="92" t="n">
        <v>2025</v>
      </c>
      <c r="B1104" s="92" t="n">
        <v>5</v>
      </c>
      <c r="C1104" s="92" t="inlineStr">
        <is>
          <t>5100001100</t>
        </is>
      </c>
      <c r="D1104" s="95" t="n">
        <v>45800</v>
      </c>
      <c r="E1104" s="92" t="inlineStr">
        <is>
          <t>KR</t>
        </is>
      </c>
      <c r="F1104" s="92" t="n">
        <v>62902000</v>
      </c>
      <c r="G1104" s="92" t="n">
        <v>1951</v>
      </c>
      <c r="H1104" s="93" t="n">
        <v>3173000</v>
      </c>
      <c r="I1104" s="92" t="inlineStr">
        <is>
          <t>5월 업무 위탁 수수료 - J콜센터</t>
        </is>
      </c>
      <c r="J1104" s="92" t="inlineStr">
        <is>
          <t>V10016</t>
        </is>
      </c>
      <c r="K1104" s="92" t="inlineStr">
        <is>
          <t>J콜센터</t>
        </is>
      </c>
      <c r="M1104" s="9">
        <f>IF($A1104="","",VALUE($A1104&amp;"")*12+VALUE($B1104&amp;""))</f>
        <v/>
      </c>
      <c r="N1104" s="64">
        <f>IF($A1104="","",IFERROR(INDEX(부서매핑!$C$5:$C$504,MATCH($G1104&amp;"",부서매핑!$A$5:$A$504,0)),"미매핑"))</f>
        <v/>
      </c>
      <c r="O1104" s="9">
        <f>IF($A1104="","",N1104&amp;"|"&amp;$F1104)</f>
        <v/>
      </c>
      <c r="P1104" s="94">
        <f>IF($A1104="",0,$H1104*설정!$C$23)</f>
        <v/>
      </c>
      <c r="Q1104" s="64">
        <f>IF($A1104="","",IF(O1104&lt;&gt;원인분석!$C$9,"",IF(AND(M1104&gt;=원인분석!$C$10,M1104&lt;=원인분석!$C$11),"당기",IF(AND(M1104&gt;=원인분석!$C$12,M1104&lt;=원인분석!$C$13),"비교",""))))</f>
        <v/>
      </c>
      <c r="R1104" s="9">
        <f>IF(Q1104="","",$K1104&amp;"")</f>
        <v/>
      </c>
      <c r="S1104" s="9">
        <f>IF(Q1104="","",IF(MATCH(R1104,$R$5:$R$100000,0)=ROW()-4,ROW(),""))</f>
        <v/>
      </c>
      <c r="T1104" s="9">
        <f>IF(Q1104="당기",ABS(P1104)+ROW()/1000000000,"")</f>
        <v/>
      </c>
      <c r="U1104" s="9">
        <f>IF(Q1104="비교",ABS(P1104)+ROW()/1000000000,"")</f>
        <v/>
      </c>
      <c r="V1104" s="64">
        <f>IF($A1104="","",IF(COUNTIF(변동분석!$E$7:$E$506,O1104)&gt;0,"Y","N"))</f>
        <v/>
      </c>
      <c r="W1104" s="64">
        <f>IF($A1104="","",IFERROR(INDEX(계정매핑!$D$5:$D$504,MATCH($F1104&amp;"",계정매핑!$A$5:$A$504,0)),"미매핑"))</f>
        <v/>
      </c>
      <c r="X1104" s="9">
        <f>IF($A1104="","",$F1104&amp;"")</f>
        <v/>
      </c>
      <c r="Y1104" s="94">
        <f>IF($A1104="",0,IF(AE1104="직접",IF(AF1104="비귀속",$P1104,0),$P1104*(1-AG1104)*IFERROR(INDEX(계정대체기준!$F$20:$F$49,MATCH($N1104,계정대체기준!$A$20:$A$49,0)),1)))</f>
        <v/>
      </c>
      <c r="Z1104" s="94">
        <f>IF($A1104="",0,IF(AE1104="직접",IF(AF1104="신계약비",$P1104,0),$P1104*(1-AG1104)*IFERROR(INDEX(계정대체기준!$C$20:$C$49,MATCH($N1104,계정대체기준!$A$20:$A$49,0)),0)))</f>
        <v/>
      </c>
      <c r="AA1104" s="94">
        <f>IF($A1104="",0,IF(AE1104="직접",IF(OR(AF1104="유지비",AF1104="손해조사비"),$P1104,0),$P1104*(1-AG1104)*IFERROR(INDEX(계정대체기준!$D$20:$D$49,MATCH($N1104,계정대체기준!$A$20:$A$49,0)),0)))</f>
        <v/>
      </c>
      <c r="AB1104" s="94">
        <f>IF($A1104="",0,IF(AE1104="직접",IF(AF1104="수금비",$P1104,0),$P1104*(1-AG1104)*IFERROR(INDEX(계정대체기준!$E$20:$E$49,MATCH($N1104,계정대체기준!$A$20:$A$49,0)),0)))</f>
        <v/>
      </c>
      <c r="AC1104" s="9">
        <f>IF(AND($A1104&lt;&gt;"",M1104=설정!$C$20,Z1104&gt;0),Z1104+ROW()/1000000000,"")</f>
        <v/>
      </c>
      <c r="AD1104" s="94">
        <f>IF($A1104="",0,$P1104*AG1104)</f>
        <v/>
      </c>
      <c r="AE1104" s="64">
        <f>IF($A1104="","",IFERROR(INDEX(계정매핑!$E$5:$E$504,MATCH($F1104&amp;"",계정매핑!$A$5:$A$504,0))&amp;"","공통비"))</f>
        <v/>
      </c>
      <c r="AF1104" s="64">
        <f>IF($A1104="","",IF(AE1104="직접",IFERROR(INDEX(계정매핑!$F$5:$F$504,MATCH($F1104&amp;"",계정매핑!$A$5:$A$504,0))&amp;"","비귀속"),""))</f>
        <v/>
      </c>
      <c r="AG1104" s="96">
        <f>IF($A1104="",0,IF(AND(AE1104&lt;&gt;"직접",IFERROR(INDEX(계정매핑!$G$5:$G$504,MATCH($F1104&amp;"",계정매핑!$A$5:$A$504,0))&amp;"","")="유지비",COUNTIF(계정대체기준!$A$6:$A$15,$N1104)&gt;0),IFERROR(INDEX(계정대체기준!$E$6:$E$15,MATCH(VALUE($A1104&amp;""),계정대체기준!$D$6:$D$15,0)),0),0))</f>
        <v/>
      </c>
      <c r="AH1104" s="64">
        <f>IF($A1104="","",IF(AD1104=0,"",IF(OR(COUNTIF(계정대체기준!$A$77:$A$86,$N1104)&gt;0,ISNUMBER(MATCH($X1104,계정대체기준!$D$77:$D$86,0)),ISNUMBER(MATCH($F1104,계정대체기준!$D$77:$D$86,0))),"Y","N")))</f>
        <v/>
      </c>
    </row>
    <row r="1105">
      <c r="A1105" s="92" t="n">
        <v>2025</v>
      </c>
      <c r="B1105" s="92" t="n">
        <v>5</v>
      </c>
      <c r="C1105" s="92" t="inlineStr">
        <is>
          <t>5100001101</t>
        </is>
      </c>
      <c r="D1105" s="95" t="n">
        <v>45801</v>
      </c>
      <c r="E1105" s="92" t="inlineStr">
        <is>
          <t>KR</t>
        </is>
      </c>
      <c r="F1105" s="92" t="n">
        <v>62102000</v>
      </c>
      <c r="G1105" s="92" t="n">
        <v>1602</v>
      </c>
      <c r="H1105" s="93" t="n">
        <v>376000</v>
      </c>
      <c r="I1105" s="92" t="inlineStr">
        <is>
          <t>5월 해외출장 - N호텔</t>
        </is>
      </c>
      <c r="J1105" s="92" t="inlineStr">
        <is>
          <t>V10009</t>
        </is>
      </c>
      <c r="K1105" s="92" t="inlineStr">
        <is>
          <t>N호텔</t>
        </is>
      </c>
      <c r="M1105" s="9">
        <f>IF($A1105="","",VALUE($A1105&amp;"")*12+VALUE($B1105&amp;""))</f>
        <v/>
      </c>
      <c r="N1105" s="64">
        <f>IF($A1105="","",IFERROR(INDEX(부서매핑!$C$5:$C$504,MATCH($G1105&amp;"",부서매핑!$A$5:$A$504,0)),"미매핑"))</f>
        <v/>
      </c>
      <c r="O1105" s="9">
        <f>IF($A1105="","",N1105&amp;"|"&amp;$F1105)</f>
        <v/>
      </c>
      <c r="P1105" s="94">
        <f>IF($A1105="",0,$H1105*설정!$C$23)</f>
        <v/>
      </c>
      <c r="Q1105" s="64">
        <f>IF($A1105="","",IF(O1105&lt;&gt;원인분석!$C$9,"",IF(AND(M1105&gt;=원인분석!$C$10,M1105&lt;=원인분석!$C$11),"당기",IF(AND(M1105&gt;=원인분석!$C$12,M1105&lt;=원인분석!$C$13),"비교",""))))</f>
        <v/>
      </c>
      <c r="R1105" s="9">
        <f>IF(Q1105="","",$K1105&amp;"")</f>
        <v/>
      </c>
      <c r="S1105" s="9">
        <f>IF(Q1105="","",IF(MATCH(R1105,$R$5:$R$100000,0)=ROW()-4,ROW(),""))</f>
        <v/>
      </c>
      <c r="T1105" s="9">
        <f>IF(Q1105="당기",ABS(P1105)+ROW()/1000000000,"")</f>
        <v/>
      </c>
      <c r="U1105" s="9">
        <f>IF(Q1105="비교",ABS(P1105)+ROW()/1000000000,"")</f>
        <v/>
      </c>
      <c r="V1105" s="64">
        <f>IF($A1105="","",IF(COUNTIF(변동분석!$E$7:$E$506,O1105)&gt;0,"Y","N"))</f>
        <v/>
      </c>
      <c r="W1105" s="64">
        <f>IF($A1105="","",IFERROR(INDEX(계정매핑!$D$5:$D$504,MATCH($F1105&amp;"",계정매핑!$A$5:$A$504,0)),"미매핑"))</f>
        <v/>
      </c>
      <c r="X1105" s="9">
        <f>IF($A1105="","",$F1105&amp;"")</f>
        <v/>
      </c>
      <c r="Y1105" s="94">
        <f>IF($A1105="",0,IF(AE1105="직접",IF(AF1105="비귀속",$P1105,0),$P1105*(1-AG1105)*IFERROR(INDEX(계정대체기준!$F$20:$F$49,MATCH($N1105,계정대체기준!$A$20:$A$49,0)),1)))</f>
        <v/>
      </c>
      <c r="Z1105" s="94">
        <f>IF($A1105="",0,IF(AE1105="직접",IF(AF1105="신계약비",$P1105,0),$P1105*(1-AG1105)*IFERROR(INDEX(계정대체기준!$C$20:$C$49,MATCH($N1105,계정대체기준!$A$20:$A$49,0)),0)))</f>
        <v/>
      </c>
      <c r="AA1105" s="94">
        <f>IF($A1105="",0,IF(AE1105="직접",IF(OR(AF1105="유지비",AF1105="손해조사비"),$P1105,0),$P1105*(1-AG1105)*IFERROR(INDEX(계정대체기준!$D$20:$D$49,MATCH($N1105,계정대체기준!$A$20:$A$49,0)),0)))</f>
        <v/>
      </c>
      <c r="AB1105" s="94">
        <f>IF($A1105="",0,IF(AE1105="직접",IF(AF1105="수금비",$P1105,0),$P1105*(1-AG1105)*IFERROR(INDEX(계정대체기준!$E$20:$E$49,MATCH($N1105,계정대체기준!$A$20:$A$49,0)),0)))</f>
        <v/>
      </c>
      <c r="AC1105" s="9">
        <f>IF(AND($A1105&lt;&gt;"",M1105=설정!$C$20,Z1105&gt;0),Z1105+ROW()/1000000000,"")</f>
        <v/>
      </c>
      <c r="AD1105" s="94">
        <f>IF($A1105="",0,$P1105*AG1105)</f>
        <v/>
      </c>
      <c r="AE1105" s="64">
        <f>IF($A1105="","",IFERROR(INDEX(계정매핑!$E$5:$E$504,MATCH($F1105&amp;"",계정매핑!$A$5:$A$504,0))&amp;"","공통비"))</f>
        <v/>
      </c>
      <c r="AF1105" s="64">
        <f>IF($A1105="","",IF(AE1105="직접",IFERROR(INDEX(계정매핑!$F$5:$F$504,MATCH($F1105&amp;"",계정매핑!$A$5:$A$504,0))&amp;"","비귀속"),""))</f>
        <v/>
      </c>
      <c r="AG1105" s="96">
        <f>IF($A1105="",0,IF(AND(AE1105&lt;&gt;"직접",IFERROR(INDEX(계정매핑!$G$5:$G$504,MATCH($F1105&amp;"",계정매핑!$A$5:$A$504,0))&amp;"","")="유지비",COUNTIF(계정대체기준!$A$6:$A$15,$N1105)&gt;0),IFERROR(INDEX(계정대체기준!$E$6:$E$15,MATCH(VALUE($A1105&amp;""),계정대체기준!$D$6:$D$15,0)),0),0))</f>
        <v/>
      </c>
      <c r="AH1105" s="64">
        <f>IF($A1105="","",IF(AD1105=0,"",IF(OR(COUNTIF(계정대체기준!$A$77:$A$86,$N1105)&gt;0,ISNUMBER(MATCH($X1105,계정대체기준!$D$77:$D$86,0)),ISNUMBER(MATCH($F1105,계정대체기준!$D$77:$D$86,0))),"Y","N")))</f>
        <v/>
      </c>
    </row>
    <row r="1106">
      <c r="A1106" s="92" t="n">
        <v>2025</v>
      </c>
      <c r="B1106" s="92" t="n">
        <v>5</v>
      </c>
      <c r="C1106" s="92" t="inlineStr">
        <is>
          <t>5100001102</t>
        </is>
      </c>
      <c r="D1106" s="95" t="n">
        <v>45801</v>
      </c>
      <c r="E1106" s="92" t="inlineStr">
        <is>
          <t>KR</t>
        </is>
      </c>
      <c r="F1106" s="92" t="n">
        <v>62201000</v>
      </c>
      <c r="G1106" s="92" t="n">
        <v>1501</v>
      </c>
      <c r="H1106" s="93" t="n">
        <v>367000</v>
      </c>
      <c r="I1106" s="92" t="inlineStr">
        <is>
          <t>5월 통신요금 - P통신</t>
        </is>
      </c>
      <c r="J1106" s="92" t="inlineStr">
        <is>
          <t>V10014</t>
        </is>
      </c>
      <c r="K1106" s="92" t="inlineStr">
        <is>
          <t>P통신</t>
        </is>
      </c>
      <c r="M1106" s="9">
        <f>IF($A1106="","",VALUE($A1106&amp;"")*12+VALUE($B1106&amp;""))</f>
        <v/>
      </c>
      <c r="N1106" s="64">
        <f>IF($A1106="","",IFERROR(INDEX(부서매핑!$C$5:$C$504,MATCH($G1106&amp;"",부서매핑!$A$5:$A$504,0)),"미매핑"))</f>
        <v/>
      </c>
      <c r="O1106" s="9">
        <f>IF($A1106="","",N1106&amp;"|"&amp;$F1106)</f>
        <v/>
      </c>
      <c r="P1106" s="94">
        <f>IF($A1106="",0,$H1106*설정!$C$23)</f>
        <v/>
      </c>
      <c r="Q1106" s="64">
        <f>IF($A1106="","",IF(O1106&lt;&gt;원인분석!$C$9,"",IF(AND(M1106&gt;=원인분석!$C$10,M1106&lt;=원인분석!$C$11),"당기",IF(AND(M1106&gt;=원인분석!$C$12,M1106&lt;=원인분석!$C$13),"비교",""))))</f>
        <v/>
      </c>
      <c r="R1106" s="9">
        <f>IF(Q1106="","",$K1106&amp;"")</f>
        <v/>
      </c>
      <c r="S1106" s="9">
        <f>IF(Q1106="","",IF(MATCH(R1106,$R$5:$R$100000,0)=ROW()-4,ROW(),""))</f>
        <v/>
      </c>
      <c r="T1106" s="9">
        <f>IF(Q1106="당기",ABS(P1106)+ROW()/1000000000,"")</f>
        <v/>
      </c>
      <c r="U1106" s="9">
        <f>IF(Q1106="비교",ABS(P1106)+ROW()/1000000000,"")</f>
        <v/>
      </c>
      <c r="V1106" s="64">
        <f>IF($A1106="","",IF(COUNTIF(변동분석!$E$7:$E$506,O1106)&gt;0,"Y","N"))</f>
        <v/>
      </c>
      <c r="W1106" s="64">
        <f>IF($A1106="","",IFERROR(INDEX(계정매핑!$D$5:$D$504,MATCH($F1106&amp;"",계정매핑!$A$5:$A$504,0)),"미매핑"))</f>
        <v/>
      </c>
      <c r="X1106" s="9">
        <f>IF($A1106="","",$F1106&amp;"")</f>
        <v/>
      </c>
      <c r="Y1106" s="94">
        <f>IF($A1106="",0,IF(AE1106="직접",IF(AF1106="비귀속",$P1106,0),$P1106*(1-AG1106)*IFERROR(INDEX(계정대체기준!$F$20:$F$49,MATCH($N1106,계정대체기준!$A$20:$A$49,0)),1)))</f>
        <v/>
      </c>
      <c r="Z1106" s="94">
        <f>IF($A1106="",0,IF(AE1106="직접",IF(AF1106="신계약비",$P1106,0),$P1106*(1-AG1106)*IFERROR(INDEX(계정대체기준!$C$20:$C$49,MATCH($N1106,계정대체기준!$A$20:$A$49,0)),0)))</f>
        <v/>
      </c>
      <c r="AA1106" s="94">
        <f>IF($A1106="",0,IF(AE1106="직접",IF(OR(AF1106="유지비",AF1106="손해조사비"),$P1106,0),$P1106*(1-AG1106)*IFERROR(INDEX(계정대체기준!$D$20:$D$49,MATCH($N1106,계정대체기준!$A$20:$A$49,0)),0)))</f>
        <v/>
      </c>
      <c r="AB1106" s="94">
        <f>IF($A1106="",0,IF(AE1106="직접",IF(AF1106="수금비",$P1106,0),$P1106*(1-AG1106)*IFERROR(INDEX(계정대체기준!$E$20:$E$49,MATCH($N1106,계정대체기준!$A$20:$A$49,0)),0)))</f>
        <v/>
      </c>
      <c r="AC1106" s="9">
        <f>IF(AND($A1106&lt;&gt;"",M1106=설정!$C$20,Z1106&gt;0),Z1106+ROW()/1000000000,"")</f>
        <v/>
      </c>
      <c r="AD1106" s="94">
        <f>IF($A1106="",0,$P1106*AG1106)</f>
        <v/>
      </c>
      <c r="AE1106" s="64">
        <f>IF($A1106="","",IFERROR(INDEX(계정매핑!$E$5:$E$504,MATCH($F1106&amp;"",계정매핑!$A$5:$A$504,0))&amp;"","공통비"))</f>
        <v/>
      </c>
      <c r="AF1106" s="64">
        <f>IF($A1106="","",IF(AE1106="직접",IFERROR(INDEX(계정매핑!$F$5:$F$504,MATCH($F1106&amp;"",계정매핑!$A$5:$A$504,0))&amp;"","비귀속"),""))</f>
        <v/>
      </c>
      <c r="AG1106" s="96">
        <f>IF($A1106="",0,IF(AND(AE1106&lt;&gt;"직접",IFERROR(INDEX(계정매핑!$G$5:$G$504,MATCH($F1106&amp;"",계정매핑!$A$5:$A$504,0))&amp;"","")="유지비",COUNTIF(계정대체기준!$A$6:$A$15,$N1106)&gt;0),IFERROR(INDEX(계정대체기준!$E$6:$E$15,MATCH(VALUE($A1106&amp;""),계정대체기준!$D$6:$D$15,0)),0),0))</f>
        <v/>
      </c>
      <c r="AH1106" s="64">
        <f>IF($A1106="","",IF(AD1106=0,"",IF(OR(COUNTIF(계정대체기준!$A$77:$A$86,$N1106)&gt;0,ISNUMBER(MATCH($X1106,계정대체기준!$D$77:$D$86,0)),ISNUMBER(MATCH($F1106,계정대체기준!$D$77:$D$86,0))),"Y","N")))</f>
        <v/>
      </c>
    </row>
    <row r="1107">
      <c r="A1107" s="92" t="n">
        <v>2025</v>
      </c>
      <c r="B1107" s="92" t="n">
        <v>5</v>
      </c>
      <c r="C1107" s="92" t="inlineStr">
        <is>
          <t>5100001103</t>
        </is>
      </c>
      <c r="D1107" s="95" t="n">
        <v>45801</v>
      </c>
      <c r="E1107" s="92" t="inlineStr">
        <is>
          <t>KR</t>
        </is>
      </c>
      <c r="F1107" s="92" t="n">
        <v>62301000</v>
      </c>
      <c r="G1107" s="92" t="n">
        <v>1201</v>
      </c>
      <c r="H1107" s="93" t="n">
        <v>146000</v>
      </c>
      <c r="I1107" s="92" t="inlineStr">
        <is>
          <t>5월 소모품 구입 - Q오피스</t>
        </is>
      </c>
      <c r="J1107" s="92" t="inlineStr">
        <is>
          <t>V10003</t>
        </is>
      </c>
      <c r="K1107" s="92" t="inlineStr">
        <is>
          <t>Q오피스</t>
        </is>
      </c>
      <c r="M1107" s="9">
        <f>IF($A1107="","",VALUE($A1107&amp;"")*12+VALUE($B1107&amp;""))</f>
        <v/>
      </c>
      <c r="N1107" s="64">
        <f>IF($A1107="","",IFERROR(INDEX(부서매핑!$C$5:$C$504,MATCH($G1107&amp;"",부서매핑!$A$5:$A$504,0)),"미매핑"))</f>
        <v/>
      </c>
      <c r="O1107" s="9">
        <f>IF($A1107="","",N1107&amp;"|"&amp;$F1107)</f>
        <v/>
      </c>
      <c r="P1107" s="94">
        <f>IF($A1107="",0,$H1107*설정!$C$23)</f>
        <v/>
      </c>
      <c r="Q1107" s="64">
        <f>IF($A1107="","",IF(O1107&lt;&gt;원인분석!$C$9,"",IF(AND(M1107&gt;=원인분석!$C$10,M1107&lt;=원인분석!$C$11),"당기",IF(AND(M1107&gt;=원인분석!$C$12,M1107&lt;=원인분석!$C$13),"비교",""))))</f>
        <v/>
      </c>
      <c r="R1107" s="9">
        <f>IF(Q1107="","",$K1107&amp;"")</f>
        <v/>
      </c>
      <c r="S1107" s="9">
        <f>IF(Q1107="","",IF(MATCH(R1107,$R$5:$R$100000,0)=ROW()-4,ROW(),""))</f>
        <v/>
      </c>
      <c r="T1107" s="9">
        <f>IF(Q1107="당기",ABS(P1107)+ROW()/1000000000,"")</f>
        <v/>
      </c>
      <c r="U1107" s="9">
        <f>IF(Q1107="비교",ABS(P1107)+ROW()/1000000000,"")</f>
        <v/>
      </c>
      <c r="V1107" s="64">
        <f>IF($A1107="","",IF(COUNTIF(변동분석!$E$7:$E$506,O1107)&gt;0,"Y","N"))</f>
        <v/>
      </c>
      <c r="W1107" s="64">
        <f>IF($A1107="","",IFERROR(INDEX(계정매핑!$D$5:$D$504,MATCH($F1107&amp;"",계정매핑!$A$5:$A$504,0)),"미매핑"))</f>
        <v/>
      </c>
      <c r="X1107" s="9">
        <f>IF($A1107="","",$F1107&amp;"")</f>
        <v/>
      </c>
      <c r="Y1107" s="94">
        <f>IF($A1107="",0,IF(AE1107="직접",IF(AF1107="비귀속",$P1107,0),$P1107*(1-AG1107)*IFERROR(INDEX(계정대체기준!$F$20:$F$49,MATCH($N1107,계정대체기준!$A$20:$A$49,0)),1)))</f>
        <v/>
      </c>
      <c r="Z1107" s="94">
        <f>IF($A1107="",0,IF(AE1107="직접",IF(AF1107="신계약비",$P1107,0),$P1107*(1-AG1107)*IFERROR(INDEX(계정대체기준!$C$20:$C$49,MATCH($N1107,계정대체기준!$A$20:$A$49,0)),0)))</f>
        <v/>
      </c>
      <c r="AA1107" s="94">
        <f>IF($A1107="",0,IF(AE1107="직접",IF(OR(AF1107="유지비",AF1107="손해조사비"),$P1107,0),$P1107*(1-AG1107)*IFERROR(INDEX(계정대체기준!$D$20:$D$49,MATCH($N1107,계정대체기준!$A$20:$A$49,0)),0)))</f>
        <v/>
      </c>
      <c r="AB1107" s="94">
        <f>IF($A1107="",0,IF(AE1107="직접",IF(AF1107="수금비",$P1107,0),$P1107*(1-AG1107)*IFERROR(INDEX(계정대체기준!$E$20:$E$49,MATCH($N1107,계정대체기준!$A$20:$A$49,0)),0)))</f>
        <v/>
      </c>
      <c r="AC1107" s="9">
        <f>IF(AND($A1107&lt;&gt;"",M1107=설정!$C$20,Z1107&gt;0),Z1107+ROW()/1000000000,"")</f>
        <v/>
      </c>
      <c r="AD1107" s="94">
        <f>IF($A1107="",0,$P1107*AG1107)</f>
        <v/>
      </c>
      <c r="AE1107" s="64">
        <f>IF($A1107="","",IFERROR(INDEX(계정매핑!$E$5:$E$504,MATCH($F1107&amp;"",계정매핑!$A$5:$A$504,0))&amp;"","공통비"))</f>
        <v/>
      </c>
      <c r="AF1107" s="64">
        <f>IF($A1107="","",IF(AE1107="직접",IFERROR(INDEX(계정매핑!$F$5:$F$504,MATCH($F1107&amp;"",계정매핑!$A$5:$A$504,0))&amp;"","비귀속"),""))</f>
        <v/>
      </c>
      <c r="AG1107" s="96">
        <f>IF($A1107="",0,IF(AND(AE1107&lt;&gt;"직접",IFERROR(INDEX(계정매핑!$G$5:$G$504,MATCH($F1107&amp;"",계정매핑!$A$5:$A$504,0))&amp;"","")="유지비",COUNTIF(계정대체기준!$A$6:$A$15,$N1107)&gt;0),IFERROR(INDEX(계정대체기준!$E$6:$E$15,MATCH(VALUE($A1107&amp;""),계정대체기준!$D$6:$D$15,0)),0),0))</f>
        <v/>
      </c>
      <c r="AH1107" s="64">
        <f>IF($A1107="","",IF(AD1107=0,"",IF(OR(COUNTIF(계정대체기준!$A$77:$A$86,$N1107)&gt;0,ISNUMBER(MATCH($X1107,계정대체기준!$D$77:$D$86,0)),ISNUMBER(MATCH($F1107,계정대체기준!$D$77:$D$86,0))),"Y","N")))</f>
        <v/>
      </c>
    </row>
    <row r="1108">
      <c r="A1108" s="92" t="n">
        <v>2025</v>
      </c>
      <c r="B1108" s="92" t="n">
        <v>5</v>
      </c>
      <c r="C1108" s="92" t="inlineStr">
        <is>
          <t>5100001104</t>
        </is>
      </c>
      <c r="D1108" s="95" t="n">
        <v>45801</v>
      </c>
      <c r="E1108" s="92" t="inlineStr">
        <is>
          <t>KR</t>
        </is>
      </c>
      <c r="F1108" s="92" t="n">
        <v>62401000</v>
      </c>
      <c r="G1108" s="92" t="n">
        <v>1401</v>
      </c>
      <c r="H1108" s="93" t="n">
        <v>512000</v>
      </c>
      <c r="I1108" s="92" t="inlineStr">
        <is>
          <t>5월 인쇄물 제작 - S출판</t>
        </is>
      </c>
      <c r="J1108" s="92" t="inlineStr">
        <is>
          <t>V10015</t>
        </is>
      </c>
      <c r="K1108" s="92" t="inlineStr">
        <is>
          <t>S출판</t>
        </is>
      </c>
      <c r="M1108" s="9">
        <f>IF($A1108="","",VALUE($A1108&amp;"")*12+VALUE($B1108&amp;""))</f>
        <v/>
      </c>
      <c r="N1108" s="64">
        <f>IF($A1108="","",IFERROR(INDEX(부서매핑!$C$5:$C$504,MATCH($G1108&amp;"",부서매핑!$A$5:$A$504,0)),"미매핑"))</f>
        <v/>
      </c>
      <c r="O1108" s="9">
        <f>IF($A1108="","",N1108&amp;"|"&amp;$F1108)</f>
        <v/>
      </c>
      <c r="P1108" s="94">
        <f>IF($A1108="",0,$H1108*설정!$C$23)</f>
        <v/>
      </c>
      <c r="Q1108" s="64">
        <f>IF($A1108="","",IF(O1108&lt;&gt;원인분석!$C$9,"",IF(AND(M1108&gt;=원인분석!$C$10,M1108&lt;=원인분석!$C$11),"당기",IF(AND(M1108&gt;=원인분석!$C$12,M1108&lt;=원인분석!$C$13),"비교",""))))</f>
        <v/>
      </c>
      <c r="R1108" s="9">
        <f>IF(Q1108="","",$K1108&amp;"")</f>
        <v/>
      </c>
      <c r="S1108" s="9">
        <f>IF(Q1108="","",IF(MATCH(R1108,$R$5:$R$100000,0)=ROW()-4,ROW(),""))</f>
        <v/>
      </c>
      <c r="T1108" s="9">
        <f>IF(Q1108="당기",ABS(P1108)+ROW()/1000000000,"")</f>
        <v/>
      </c>
      <c r="U1108" s="9">
        <f>IF(Q1108="비교",ABS(P1108)+ROW()/1000000000,"")</f>
        <v/>
      </c>
      <c r="V1108" s="64">
        <f>IF($A1108="","",IF(COUNTIF(변동분석!$E$7:$E$506,O1108)&gt;0,"Y","N"))</f>
        <v/>
      </c>
      <c r="W1108" s="64">
        <f>IF($A1108="","",IFERROR(INDEX(계정매핑!$D$5:$D$504,MATCH($F1108&amp;"",계정매핑!$A$5:$A$504,0)),"미매핑"))</f>
        <v/>
      </c>
      <c r="X1108" s="9">
        <f>IF($A1108="","",$F1108&amp;"")</f>
        <v/>
      </c>
      <c r="Y1108" s="94">
        <f>IF($A1108="",0,IF(AE1108="직접",IF(AF1108="비귀속",$P1108,0),$P1108*(1-AG1108)*IFERROR(INDEX(계정대체기준!$F$20:$F$49,MATCH($N1108,계정대체기준!$A$20:$A$49,0)),1)))</f>
        <v/>
      </c>
      <c r="Z1108" s="94">
        <f>IF($A1108="",0,IF(AE1108="직접",IF(AF1108="신계약비",$P1108,0),$P1108*(1-AG1108)*IFERROR(INDEX(계정대체기준!$C$20:$C$49,MATCH($N1108,계정대체기준!$A$20:$A$49,0)),0)))</f>
        <v/>
      </c>
      <c r="AA1108" s="94">
        <f>IF($A1108="",0,IF(AE1108="직접",IF(OR(AF1108="유지비",AF1108="손해조사비"),$P1108,0),$P1108*(1-AG1108)*IFERROR(INDEX(계정대체기준!$D$20:$D$49,MATCH($N1108,계정대체기준!$A$20:$A$49,0)),0)))</f>
        <v/>
      </c>
      <c r="AB1108" s="94">
        <f>IF($A1108="",0,IF(AE1108="직접",IF(AF1108="수금비",$P1108,0),$P1108*(1-AG1108)*IFERROR(INDEX(계정대체기준!$E$20:$E$49,MATCH($N1108,계정대체기준!$A$20:$A$49,0)),0)))</f>
        <v/>
      </c>
      <c r="AC1108" s="9">
        <f>IF(AND($A1108&lt;&gt;"",M1108=설정!$C$20,Z1108&gt;0),Z1108+ROW()/1000000000,"")</f>
        <v/>
      </c>
      <c r="AD1108" s="94">
        <f>IF($A1108="",0,$P1108*AG1108)</f>
        <v/>
      </c>
      <c r="AE1108" s="64">
        <f>IF($A1108="","",IFERROR(INDEX(계정매핑!$E$5:$E$504,MATCH($F1108&amp;"",계정매핑!$A$5:$A$504,0))&amp;"","공통비"))</f>
        <v/>
      </c>
      <c r="AF1108" s="64">
        <f>IF($A1108="","",IF(AE1108="직접",IFERROR(INDEX(계정매핑!$F$5:$F$504,MATCH($F1108&amp;"",계정매핑!$A$5:$A$504,0))&amp;"","비귀속"),""))</f>
        <v/>
      </c>
      <c r="AG1108" s="96">
        <f>IF($A1108="",0,IF(AND(AE1108&lt;&gt;"직접",IFERROR(INDEX(계정매핑!$G$5:$G$504,MATCH($F1108&amp;"",계정매핑!$A$5:$A$504,0))&amp;"","")="유지비",COUNTIF(계정대체기준!$A$6:$A$15,$N1108)&gt;0),IFERROR(INDEX(계정대체기준!$E$6:$E$15,MATCH(VALUE($A1108&amp;""),계정대체기준!$D$6:$D$15,0)),0),0))</f>
        <v/>
      </c>
      <c r="AH1108" s="64">
        <f>IF($A1108="","",IF(AD1108=0,"",IF(OR(COUNTIF(계정대체기준!$A$77:$A$86,$N1108)&gt;0,ISNUMBER(MATCH($X1108,계정대체기준!$D$77:$D$86,0)),ISNUMBER(MATCH($F1108,계정대체기준!$D$77:$D$86,0))),"Y","N")))</f>
        <v/>
      </c>
    </row>
    <row r="1109">
      <c r="A1109" s="92" t="n">
        <v>2025</v>
      </c>
      <c r="B1109" s="92" t="n">
        <v>5</v>
      </c>
      <c r="C1109" s="92" t="inlineStr">
        <is>
          <t>5100001105</t>
        </is>
      </c>
      <c r="D1109" s="95" t="n">
        <v>45801</v>
      </c>
      <c r="E1109" s="92" t="inlineStr">
        <is>
          <t>KR</t>
        </is>
      </c>
      <c r="F1109" s="92" t="n">
        <v>62401000</v>
      </c>
      <c r="G1109" s="92" t="n">
        <v>1801</v>
      </c>
      <c r="H1109" s="93" t="n">
        <v>1919000</v>
      </c>
      <c r="I1109" s="92" t="inlineStr">
        <is>
          <t>5월 인쇄물 제작 - S출판</t>
        </is>
      </c>
      <c r="J1109" s="92" t="inlineStr">
        <is>
          <t>V10015</t>
        </is>
      </c>
      <c r="K1109" s="92" t="inlineStr">
        <is>
          <t>S출판</t>
        </is>
      </c>
      <c r="M1109" s="9">
        <f>IF($A1109="","",VALUE($A1109&amp;"")*12+VALUE($B1109&amp;""))</f>
        <v/>
      </c>
      <c r="N1109" s="64">
        <f>IF($A1109="","",IFERROR(INDEX(부서매핑!$C$5:$C$504,MATCH($G1109&amp;"",부서매핑!$A$5:$A$504,0)),"미매핑"))</f>
        <v/>
      </c>
      <c r="O1109" s="9">
        <f>IF($A1109="","",N1109&amp;"|"&amp;$F1109)</f>
        <v/>
      </c>
      <c r="P1109" s="94">
        <f>IF($A1109="",0,$H1109*설정!$C$23)</f>
        <v/>
      </c>
      <c r="Q1109" s="64">
        <f>IF($A1109="","",IF(O1109&lt;&gt;원인분석!$C$9,"",IF(AND(M1109&gt;=원인분석!$C$10,M1109&lt;=원인분석!$C$11),"당기",IF(AND(M1109&gt;=원인분석!$C$12,M1109&lt;=원인분석!$C$13),"비교",""))))</f>
        <v/>
      </c>
      <c r="R1109" s="9">
        <f>IF(Q1109="","",$K1109&amp;"")</f>
        <v/>
      </c>
      <c r="S1109" s="9">
        <f>IF(Q1109="","",IF(MATCH(R1109,$R$5:$R$100000,0)=ROW()-4,ROW(),""))</f>
        <v/>
      </c>
      <c r="T1109" s="9">
        <f>IF(Q1109="당기",ABS(P1109)+ROW()/1000000000,"")</f>
        <v/>
      </c>
      <c r="U1109" s="9">
        <f>IF(Q1109="비교",ABS(P1109)+ROW()/1000000000,"")</f>
        <v/>
      </c>
      <c r="V1109" s="64">
        <f>IF($A1109="","",IF(COUNTIF(변동분석!$E$7:$E$506,O1109)&gt;0,"Y","N"))</f>
        <v/>
      </c>
      <c r="W1109" s="64">
        <f>IF($A1109="","",IFERROR(INDEX(계정매핑!$D$5:$D$504,MATCH($F1109&amp;"",계정매핑!$A$5:$A$504,0)),"미매핑"))</f>
        <v/>
      </c>
      <c r="X1109" s="9">
        <f>IF($A1109="","",$F1109&amp;"")</f>
        <v/>
      </c>
      <c r="Y1109" s="94">
        <f>IF($A1109="",0,IF(AE1109="직접",IF(AF1109="비귀속",$P1109,0),$P1109*(1-AG1109)*IFERROR(INDEX(계정대체기준!$F$20:$F$49,MATCH($N1109,계정대체기준!$A$20:$A$49,0)),1)))</f>
        <v/>
      </c>
      <c r="Z1109" s="94">
        <f>IF($A1109="",0,IF(AE1109="직접",IF(AF1109="신계약비",$P1109,0),$P1109*(1-AG1109)*IFERROR(INDEX(계정대체기준!$C$20:$C$49,MATCH($N1109,계정대체기준!$A$20:$A$49,0)),0)))</f>
        <v/>
      </c>
      <c r="AA1109" s="94">
        <f>IF($A1109="",0,IF(AE1109="직접",IF(OR(AF1109="유지비",AF1109="손해조사비"),$P1109,0),$P1109*(1-AG1109)*IFERROR(INDEX(계정대체기준!$D$20:$D$49,MATCH($N1109,계정대체기준!$A$20:$A$49,0)),0)))</f>
        <v/>
      </c>
      <c r="AB1109" s="94">
        <f>IF($A1109="",0,IF(AE1109="직접",IF(AF1109="수금비",$P1109,0),$P1109*(1-AG1109)*IFERROR(INDEX(계정대체기준!$E$20:$E$49,MATCH($N1109,계정대체기준!$A$20:$A$49,0)),0)))</f>
        <v/>
      </c>
      <c r="AC1109" s="9">
        <f>IF(AND($A1109&lt;&gt;"",M1109=설정!$C$20,Z1109&gt;0),Z1109+ROW()/1000000000,"")</f>
        <v/>
      </c>
      <c r="AD1109" s="94">
        <f>IF($A1109="",0,$P1109*AG1109)</f>
        <v/>
      </c>
      <c r="AE1109" s="64">
        <f>IF($A1109="","",IFERROR(INDEX(계정매핑!$E$5:$E$504,MATCH($F1109&amp;"",계정매핑!$A$5:$A$504,0))&amp;"","공통비"))</f>
        <v/>
      </c>
      <c r="AF1109" s="64">
        <f>IF($A1109="","",IF(AE1109="직접",IFERROR(INDEX(계정매핑!$F$5:$F$504,MATCH($F1109&amp;"",계정매핑!$A$5:$A$504,0))&amp;"","비귀속"),""))</f>
        <v/>
      </c>
      <c r="AG1109" s="96">
        <f>IF($A1109="",0,IF(AND(AE1109&lt;&gt;"직접",IFERROR(INDEX(계정매핑!$G$5:$G$504,MATCH($F1109&amp;"",계정매핑!$A$5:$A$504,0))&amp;"","")="유지비",COUNTIF(계정대체기준!$A$6:$A$15,$N1109)&gt;0),IFERROR(INDEX(계정대체기준!$E$6:$E$15,MATCH(VALUE($A1109&amp;""),계정대체기준!$D$6:$D$15,0)),0),0))</f>
        <v/>
      </c>
      <c r="AH1109" s="64">
        <f>IF($A1109="","",IF(AD1109=0,"",IF(OR(COUNTIF(계정대체기준!$A$77:$A$86,$N1109)&gt;0,ISNUMBER(MATCH($X1109,계정대체기준!$D$77:$D$86,0)),ISNUMBER(MATCH($F1109,계정대체기준!$D$77:$D$86,0))),"Y","N")))</f>
        <v/>
      </c>
    </row>
    <row r="1110">
      <c r="A1110" s="92" t="n">
        <v>2025</v>
      </c>
      <c r="B1110" s="92" t="n">
        <v>5</v>
      </c>
      <c r="C1110" s="92" t="inlineStr">
        <is>
          <t>5100001106</t>
        </is>
      </c>
      <c r="D1110" s="95" t="n">
        <v>45801</v>
      </c>
      <c r="E1110" s="92" t="inlineStr">
        <is>
          <t>KR</t>
        </is>
      </c>
      <c r="F1110" s="92" t="n">
        <v>62501000</v>
      </c>
      <c r="G1110" s="92" t="n">
        <v>1701</v>
      </c>
      <c r="H1110" s="93" t="n">
        <v>116000</v>
      </c>
      <c r="I1110" s="92" t="inlineStr">
        <is>
          <t>5월 회의 다과 - (법인카드)</t>
        </is>
      </c>
      <c r="J1110" s="92" t="inlineStr">
        <is>
          <t>V10010</t>
        </is>
      </c>
      <c r="K1110" s="92" t="inlineStr">
        <is>
          <t>(법인카드)</t>
        </is>
      </c>
      <c r="M1110" s="9">
        <f>IF($A1110="","",VALUE($A1110&amp;"")*12+VALUE($B1110&amp;""))</f>
        <v/>
      </c>
      <c r="N1110" s="64">
        <f>IF($A1110="","",IFERROR(INDEX(부서매핑!$C$5:$C$504,MATCH($G1110&amp;"",부서매핑!$A$5:$A$504,0)),"미매핑"))</f>
        <v/>
      </c>
      <c r="O1110" s="9">
        <f>IF($A1110="","",N1110&amp;"|"&amp;$F1110)</f>
        <v/>
      </c>
      <c r="P1110" s="94">
        <f>IF($A1110="",0,$H1110*설정!$C$23)</f>
        <v/>
      </c>
      <c r="Q1110" s="64">
        <f>IF($A1110="","",IF(O1110&lt;&gt;원인분석!$C$9,"",IF(AND(M1110&gt;=원인분석!$C$10,M1110&lt;=원인분석!$C$11),"당기",IF(AND(M1110&gt;=원인분석!$C$12,M1110&lt;=원인분석!$C$13),"비교",""))))</f>
        <v/>
      </c>
      <c r="R1110" s="9">
        <f>IF(Q1110="","",$K1110&amp;"")</f>
        <v/>
      </c>
      <c r="S1110" s="9">
        <f>IF(Q1110="","",IF(MATCH(R1110,$R$5:$R$100000,0)=ROW()-4,ROW(),""))</f>
        <v/>
      </c>
      <c r="T1110" s="9">
        <f>IF(Q1110="당기",ABS(P1110)+ROW()/1000000000,"")</f>
        <v/>
      </c>
      <c r="U1110" s="9">
        <f>IF(Q1110="비교",ABS(P1110)+ROW()/1000000000,"")</f>
        <v/>
      </c>
      <c r="V1110" s="64">
        <f>IF($A1110="","",IF(COUNTIF(변동분석!$E$7:$E$506,O1110)&gt;0,"Y","N"))</f>
        <v/>
      </c>
      <c r="W1110" s="64">
        <f>IF($A1110="","",IFERROR(INDEX(계정매핑!$D$5:$D$504,MATCH($F1110&amp;"",계정매핑!$A$5:$A$504,0)),"미매핑"))</f>
        <v/>
      </c>
      <c r="X1110" s="9">
        <f>IF($A1110="","",$F1110&amp;"")</f>
        <v/>
      </c>
      <c r="Y1110" s="94">
        <f>IF($A1110="",0,IF(AE1110="직접",IF(AF1110="비귀속",$P1110,0),$P1110*(1-AG1110)*IFERROR(INDEX(계정대체기준!$F$20:$F$49,MATCH($N1110,계정대체기준!$A$20:$A$49,0)),1)))</f>
        <v/>
      </c>
      <c r="Z1110" s="94">
        <f>IF($A1110="",0,IF(AE1110="직접",IF(AF1110="신계약비",$P1110,0),$P1110*(1-AG1110)*IFERROR(INDEX(계정대체기준!$C$20:$C$49,MATCH($N1110,계정대체기준!$A$20:$A$49,0)),0)))</f>
        <v/>
      </c>
      <c r="AA1110" s="94">
        <f>IF($A1110="",0,IF(AE1110="직접",IF(OR(AF1110="유지비",AF1110="손해조사비"),$P1110,0),$P1110*(1-AG1110)*IFERROR(INDEX(계정대체기준!$D$20:$D$49,MATCH($N1110,계정대체기준!$A$20:$A$49,0)),0)))</f>
        <v/>
      </c>
      <c r="AB1110" s="94">
        <f>IF($A1110="",0,IF(AE1110="직접",IF(AF1110="수금비",$P1110,0),$P1110*(1-AG1110)*IFERROR(INDEX(계정대체기준!$E$20:$E$49,MATCH($N1110,계정대체기준!$A$20:$A$49,0)),0)))</f>
        <v/>
      </c>
      <c r="AC1110" s="9">
        <f>IF(AND($A1110&lt;&gt;"",M1110=설정!$C$20,Z1110&gt;0),Z1110+ROW()/1000000000,"")</f>
        <v/>
      </c>
      <c r="AD1110" s="94">
        <f>IF($A1110="",0,$P1110*AG1110)</f>
        <v/>
      </c>
      <c r="AE1110" s="64">
        <f>IF($A1110="","",IFERROR(INDEX(계정매핑!$E$5:$E$504,MATCH($F1110&amp;"",계정매핑!$A$5:$A$504,0))&amp;"","공통비"))</f>
        <v/>
      </c>
      <c r="AF1110" s="64">
        <f>IF($A1110="","",IF(AE1110="직접",IFERROR(INDEX(계정매핑!$F$5:$F$504,MATCH($F1110&amp;"",계정매핑!$A$5:$A$504,0))&amp;"","비귀속"),""))</f>
        <v/>
      </c>
      <c r="AG1110" s="96">
        <f>IF($A1110="",0,IF(AND(AE1110&lt;&gt;"직접",IFERROR(INDEX(계정매핑!$G$5:$G$504,MATCH($F1110&amp;"",계정매핑!$A$5:$A$504,0))&amp;"","")="유지비",COUNTIF(계정대체기준!$A$6:$A$15,$N1110)&gt;0),IFERROR(INDEX(계정대체기준!$E$6:$E$15,MATCH(VALUE($A1110&amp;""),계정대체기준!$D$6:$D$15,0)),0),0))</f>
        <v/>
      </c>
      <c r="AH1110" s="64">
        <f>IF($A1110="","",IF(AD1110=0,"",IF(OR(COUNTIF(계정대체기준!$A$77:$A$86,$N1110)&gt;0,ISNUMBER(MATCH($X1110,계정대체기준!$D$77:$D$86,0)),ISNUMBER(MATCH($F1110,계정대체기준!$D$77:$D$86,0))),"Y","N")))</f>
        <v/>
      </c>
    </row>
    <row r="1111">
      <c r="A1111" s="92" t="n">
        <v>2025</v>
      </c>
      <c r="B1111" s="92" t="n">
        <v>5</v>
      </c>
      <c r="C1111" s="92" t="inlineStr">
        <is>
          <t>5100001107</t>
        </is>
      </c>
      <c r="D1111" s="95" t="n">
        <v>45801</v>
      </c>
      <c r="E1111" s="92" t="inlineStr">
        <is>
          <t>KR</t>
        </is>
      </c>
      <c r="F1111" s="92" t="n">
        <v>62901000</v>
      </c>
      <c r="G1111" s="92" t="n">
        <v>1951</v>
      </c>
      <c r="H1111" s="93" t="n">
        <v>4661000</v>
      </c>
      <c r="I1111" s="92" t="inlineStr">
        <is>
          <t>5월 자문 수수료 - W컨설팅</t>
        </is>
      </c>
      <c r="J1111" s="92" t="inlineStr">
        <is>
          <t>V10006</t>
        </is>
      </c>
      <c r="K1111" s="92" t="inlineStr">
        <is>
          <t>W컨설팅</t>
        </is>
      </c>
      <c r="M1111" s="9">
        <f>IF($A1111="","",VALUE($A1111&amp;"")*12+VALUE($B1111&amp;""))</f>
        <v/>
      </c>
      <c r="N1111" s="64">
        <f>IF($A1111="","",IFERROR(INDEX(부서매핑!$C$5:$C$504,MATCH($G1111&amp;"",부서매핑!$A$5:$A$504,0)),"미매핑"))</f>
        <v/>
      </c>
      <c r="O1111" s="9">
        <f>IF($A1111="","",N1111&amp;"|"&amp;$F1111)</f>
        <v/>
      </c>
      <c r="P1111" s="94">
        <f>IF($A1111="",0,$H1111*설정!$C$23)</f>
        <v/>
      </c>
      <c r="Q1111" s="64">
        <f>IF($A1111="","",IF(O1111&lt;&gt;원인분석!$C$9,"",IF(AND(M1111&gt;=원인분석!$C$10,M1111&lt;=원인분석!$C$11),"당기",IF(AND(M1111&gt;=원인분석!$C$12,M1111&lt;=원인분석!$C$13),"비교",""))))</f>
        <v/>
      </c>
      <c r="R1111" s="9">
        <f>IF(Q1111="","",$K1111&amp;"")</f>
        <v/>
      </c>
      <c r="S1111" s="9">
        <f>IF(Q1111="","",IF(MATCH(R1111,$R$5:$R$100000,0)=ROW()-4,ROW(),""))</f>
        <v/>
      </c>
      <c r="T1111" s="9">
        <f>IF(Q1111="당기",ABS(P1111)+ROW()/1000000000,"")</f>
        <v/>
      </c>
      <c r="U1111" s="9">
        <f>IF(Q1111="비교",ABS(P1111)+ROW()/1000000000,"")</f>
        <v/>
      </c>
      <c r="V1111" s="64">
        <f>IF($A1111="","",IF(COUNTIF(변동분석!$E$7:$E$506,O1111)&gt;0,"Y","N"))</f>
        <v/>
      </c>
      <c r="W1111" s="64">
        <f>IF($A1111="","",IFERROR(INDEX(계정매핑!$D$5:$D$504,MATCH($F1111&amp;"",계정매핑!$A$5:$A$504,0)),"미매핑"))</f>
        <v/>
      </c>
      <c r="X1111" s="9">
        <f>IF($A1111="","",$F1111&amp;"")</f>
        <v/>
      </c>
      <c r="Y1111" s="94">
        <f>IF($A1111="",0,IF(AE1111="직접",IF(AF1111="비귀속",$P1111,0),$P1111*(1-AG1111)*IFERROR(INDEX(계정대체기준!$F$20:$F$49,MATCH($N1111,계정대체기준!$A$20:$A$49,0)),1)))</f>
        <v/>
      </c>
      <c r="Z1111" s="94">
        <f>IF($A1111="",0,IF(AE1111="직접",IF(AF1111="신계약비",$P1111,0),$P1111*(1-AG1111)*IFERROR(INDEX(계정대체기준!$C$20:$C$49,MATCH($N1111,계정대체기준!$A$20:$A$49,0)),0)))</f>
        <v/>
      </c>
      <c r="AA1111" s="94">
        <f>IF($A1111="",0,IF(AE1111="직접",IF(OR(AF1111="유지비",AF1111="손해조사비"),$P1111,0),$P1111*(1-AG1111)*IFERROR(INDEX(계정대체기준!$D$20:$D$49,MATCH($N1111,계정대체기준!$A$20:$A$49,0)),0)))</f>
        <v/>
      </c>
      <c r="AB1111" s="94">
        <f>IF($A1111="",0,IF(AE1111="직접",IF(AF1111="수금비",$P1111,0),$P1111*(1-AG1111)*IFERROR(INDEX(계정대체기준!$E$20:$E$49,MATCH($N1111,계정대체기준!$A$20:$A$49,0)),0)))</f>
        <v/>
      </c>
      <c r="AC1111" s="9">
        <f>IF(AND($A1111&lt;&gt;"",M1111=설정!$C$20,Z1111&gt;0),Z1111+ROW()/1000000000,"")</f>
        <v/>
      </c>
      <c r="AD1111" s="94">
        <f>IF($A1111="",0,$P1111*AG1111)</f>
        <v/>
      </c>
      <c r="AE1111" s="64">
        <f>IF($A1111="","",IFERROR(INDEX(계정매핑!$E$5:$E$504,MATCH($F1111&amp;"",계정매핑!$A$5:$A$504,0))&amp;"","공통비"))</f>
        <v/>
      </c>
      <c r="AF1111" s="64">
        <f>IF($A1111="","",IF(AE1111="직접",IFERROR(INDEX(계정매핑!$F$5:$F$504,MATCH($F1111&amp;"",계정매핑!$A$5:$A$504,0))&amp;"","비귀속"),""))</f>
        <v/>
      </c>
      <c r="AG1111" s="96">
        <f>IF($A1111="",0,IF(AND(AE1111&lt;&gt;"직접",IFERROR(INDEX(계정매핑!$G$5:$G$504,MATCH($F1111&amp;"",계정매핑!$A$5:$A$504,0))&amp;"","")="유지비",COUNTIF(계정대체기준!$A$6:$A$15,$N1111)&gt;0),IFERROR(INDEX(계정대체기준!$E$6:$E$15,MATCH(VALUE($A1111&amp;""),계정대체기준!$D$6:$D$15,0)),0),0))</f>
        <v/>
      </c>
      <c r="AH1111" s="64">
        <f>IF($A1111="","",IF(AD1111=0,"",IF(OR(COUNTIF(계정대체기준!$A$77:$A$86,$N1111)&gt;0,ISNUMBER(MATCH($X1111,계정대체기준!$D$77:$D$86,0)),ISNUMBER(MATCH($F1111,계정대체기준!$D$77:$D$86,0))),"Y","N")))</f>
        <v/>
      </c>
    </row>
    <row r="1112">
      <c r="A1112" s="92" t="n">
        <v>2025</v>
      </c>
      <c r="B1112" s="92" t="n">
        <v>5</v>
      </c>
      <c r="C1112" s="92" t="inlineStr">
        <is>
          <t>5100001108</t>
        </is>
      </c>
      <c r="D1112" s="95" t="n">
        <v>45802</v>
      </c>
      <c r="E1112" s="92" t="inlineStr">
        <is>
          <t>KR</t>
        </is>
      </c>
      <c r="F1112" s="92" t="n">
        <v>62101000</v>
      </c>
      <c r="G1112" s="92" t="n">
        <v>1101</v>
      </c>
      <c r="H1112" s="93" t="n">
        <v>588000</v>
      </c>
      <c r="I1112" s="92" t="inlineStr">
        <is>
          <t>5월 국내출장 - (법인카드)</t>
        </is>
      </c>
      <c r="J1112" s="92" t="inlineStr">
        <is>
          <t>V10010</t>
        </is>
      </c>
      <c r="K1112" s="92" t="inlineStr">
        <is>
          <t>(법인카드)</t>
        </is>
      </c>
      <c r="M1112" s="9">
        <f>IF($A1112="","",VALUE($A1112&amp;"")*12+VALUE($B1112&amp;""))</f>
        <v/>
      </c>
      <c r="N1112" s="64">
        <f>IF($A1112="","",IFERROR(INDEX(부서매핑!$C$5:$C$504,MATCH($G1112&amp;"",부서매핑!$A$5:$A$504,0)),"미매핑"))</f>
        <v/>
      </c>
      <c r="O1112" s="9">
        <f>IF($A1112="","",N1112&amp;"|"&amp;$F1112)</f>
        <v/>
      </c>
      <c r="P1112" s="94">
        <f>IF($A1112="",0,$H1112*설정!$C$23)</f>
        <v/>
      </c>
      <c r="Q1112" s="64">
        <f>IF($A1112="","",IF(O1112&lt;&gt;원인분석!$C$9,"",IF(AND(M1112&gt;=원인분석!$C$10,M1112&lt;=원인분석!$C$11),"당기",IF(AND(M1112&gt;=원인분석!$C$12,M1112&lt;=원인분석!$C$13),"비교",""))))</f>
        <v/>
      </c>
      <c r="R1112" s="9">
        <f>IF(Q1112="","",$K1112&amp;"")</f>
        <v/>
      </c>
      <c r="S1112" s="9">
        <f>IF(Q1112="","",IF(MATCH(R1112,$R$5:$R$100000,0)=ROW()-4,ROW(),""))</f>
        <v/>
      </c>
      <c r="T1112" s="9">
        <f>IF(Q1112="당기",ABS(P1112)+ROW()/1000000000,"")</f>
        <v/>
      </c>
      <c r="U1112" s="9">
        <f>IF(Q1112="비교",ABS(P1112)+ROW()/1000000000,"")</f>
        <v/>
      </c>
      <c r="V1112" s="64">
        <f>IF($A1112="","",IF(COUNTIF(변동분석!$E$7:$E$506,O1112)&gt;0,"Y","N"))</f>
        <v/>
      </c>
      <c r="W1112" s="64">
        <f>IF($A1112="","",IFERROR(INDEX(계정매핑!$D$5:$D$504,MATCH($F1112&amp;"",계정매핑!$A$5:$A$504,0)),"미매핑"))</f>
        <v/>
      </c>
      <c r="X1112" s="9">
        <f>IF($A1112="","",$F1112&amp;"")</f>
        <v/>
      </c>
      <c r="Y1112" s="94">
        <f>IF($A1112="",0,IF(AE1112="직접",IF(AF1112="비귀속",$P1112,0),$P1112*(1-AG1112)*IFERROR(INDEX(계정대체기준!$F$20:$F$49,MATCH($N1112,계정대체기준!$A$20:$A$49,0)),1)))</f>
        <v/>
      </c>
      <c r="Z1112" s="94">
        <f>IF($A1112="",0,IF(AE1112="직접",IF(AF1112="신계약비",$P1112,0),$P1112*(1-AG1112)*IFERROR(INDEX(계정대체기준!$C$20:$C$49,MATCH($N1112,계정대체기준!$A$20:$A$49,0)),0)))</f>
        <v/>
      </c>
      <c r="AA1112" s="94">
        <f>IF($A1112="",0,IF(AE1112="직접",IF(OR(AF1112="유지비",AF1112="손해조사비"),$P1112,0),$P1112*(1-AG1112)*IFERROR(INDEX(계정대체기준!$D$20:$D$49,MATCH($N1112,계정대체기준!$A$20:$A$49,0)),0)))</f>
        <v/>
      </c>
      <c r="AB1112" s="94">
        <f>IF($A1112="",0,IF(AE1112="직접",IF(AF1112="수금비",$P1112,0),$P1112*(1-AG1112)*IFERROR(INDEX(계정대체기준!$E$20:$E$49,MATCH($N1112,계정대체기준!$A$20:$A$49,0)),0)))</f>
        <v/>
      </c>
      <c r="AC1112" s="9">
        <f>IF(AND($A1112&lt;&gt;"",M1112=설정!$C$20,Z1112&gt;0),Z1112+ROW()/1000000000,"")</f>
        <v/>
      </c>
      <c r="AD1112" s="94">
        <f>IF($A1112="",0,$P1112*AG1112)</f>
        <v/>
      </c>
      <c r="AE1112" s="64">
        <f>IF($A1112="","",IFERROR(INDEX(계정매핑!$E$5:$E$504,MATCH($F1112&amp;"",계정매핑!$A$5:$A$504,0))&amp;"","공통비"))</f>
        <v/>
      </c>
      <c r="AF1112" s="64">
        <f>IF($A1112="","",IF(AE1112="직접",IFERROR(INDEX(계정매핑!$F$5:$F$504,MATCH($F1112&amp;"",계정매핑!$A$5:$A$504,0))&amp;"","비귀속"),""))</f>
        <v/>
      </c>
      <c r="AG1112" s="96">
        <f>IF($A1112="",0,IF(AND(AE1112&lt;&gt;"직접",IFERROR(INDEX(계정매핑!$G$5:$G$504,MATCH($F1112&amp;"",계정매핑!$A$5:$A$504,0))&amp;"","")="유지비",COUNTIF(계정대체기준!$A$6:$A$15,$N1112)&gt;0),IFERROR(INDEX(계정대체기준!$E$6:$E$15,MATCH(VALUE($A1112&amp;""),계정대체기준!$D$6:$D$15,0)),0),0))</f>
        <v/>
      </c>
      <c r="AH1112" s="64">
        <f>IF($A1112="","",IF(AD1112=0,"",IF(OR(COUNTIF(계정대체기준!$A$77:$A$86,$N1112)&gt;0,ISNUMBER(MATCH($X1112,계정대체기준!$D$77:$D$86,0)),ISNUMBER(MATCH($F1112,계정대체기준!$D$77:$D$86,0))),"Y","N")))</f>
        <v/>
      </c>
    </row>
    <row r="1113">
      <c r="A1113" s="92" t="n">
        <v>2025</v>
      </c>
      <c r="B1113" s="92" t="n">
        <v>5</v>
      </c>
      <c r="C1113" s="92" t="inlineStr">
        <is>
          <t>5100001109</t>
        </is>
      </c>
      <c r="D1113" s="95" t="n">
        <v>45802</v>
      </c>
      <c r="E1113" s="92" t="inlineStr">
        <is>
          <t>KR</t>
        </is>
      </c>
      <c r="F1113" s="92" t="n">
        <v>62101000</v>
      </c>
      <c r="G1113" s="92" t="n">
        <v>1301</v>
      </c>
      <c r="H1113" s="93" t="n">
        <v>368000</v>
      </c>
      <c r="I1113" s="92" t="inlineStr">
        <is>
          <t>5월 국내출장 - M항공</t>
        </is>
      </c>
      <c r="J1113" s="92" t="inlineStr">
        <is>
          <t>V10001</t>
        </is>
      </c>
      <c r="K1113" s="92" t="inlineStr">
        <is>
          <t>M항공</t>
        </is>
      </c>
      <c r="M1113" s="9">
        <f>IF($A1113="","",VALUE($A1113&amp;"")*12+VALUE($B1113&amp;""))</f>
        <v/>
      </c>
      <c r="N1113" s="64">
        <f>IF($A1113="","",IFERROR(INDEX(부서매핑!$C$5:$C$504,MATCH($G1113&amp;"",부서매핑!$A$5:$A$504,0)),"미매핑"))</f>
        <v/>
      </c>
      <c r="O1113" s="9">
        <f>IF($A1113="","",N1113&amp;"|"&amp;$F1113)</f>
        <v/>
      </c>
      <c r="P1113" s="94">
        <f>IF($A1113="",0,$H1113*설정!$C$23)</f>
        <v/>
      </c>
      <c r="Q1113" s="64">
        <f>IF($A1113="","",IF(O1113&lt;&gt;원인분석!$C$9,"",IF(AND(M1113&gt;=원인분석!$C$10,M1113&lt;=원인분석!$C$11),"당기",IF(AND(M1113&gt;=원인분석!$C$12,M1113&lt;=원인분석!$C$13),"비교",""))))</f>
        <v/>
      </c>
      <c r="R1113" s="9">
        <f>IF(Q1113="","",$K1113&amp;"")</f>
        <v/>
      </c>
      <c r="S1113" s="9">
        <f>IF(Q1113="","",IF(MATCH(R1113,$R$5:$R$100000,0)=ROW()-4,ROW(),""))</f>
        <v/>
      </c>
      <c r="T1113" s="9">
        <f>IF(Q1113="당기",ABS(P1113)+ROW()/1000000000,"")</f>
        <v/>
      </c>
      <c r="U1113" s="9">
        <f>IF(Q1113="비교",ABS(P1113)+ROW()/1000000000,"")</f>
        <v/>
      </c>
      <c r="V1113" s="64">
        <f>IF($A1113="","",IF(COUNTIF(변동분석!$E$7:$E$506,O1113)&gt;0,"Y","N"))</f>
        <v/>
      </c>
      <c r="W1113" s="64">
        <f>IF($A1113="","",IFERROR(INDEX(계정매핑!$D$5:$D$504,MATCH($F1113&amp;"",계정매핑!$A$5:$A$504,0)),"미매핑"))</f>
        <v/>
      </c>
      <c r="X1113" s="9">
        <f>IF($A1113="","",$F1113&amp;"")</f>
        <v/>
      </c>
      <c r="Y1113" s="94">
        <f>IF($A1113="",0,IF(AE1113="직접",IF(AF1113="비귀속",$P1113,0),$P1113*(1-AG1113)*IFERROR(INDEX(계정대체기준!$F$20:$F$49,MATCH($N1113,계정대체기준!$A$20:$A$49,0)),1)))</f>
        <v/>
      </c>
      <c r="Z1113" s="94">
        <f>IF($A1113="",0,IF(AE1113="직접",IF(AF1113="신계약비",$P1113,0),$P1113*(1-AG1113)*IFERROR(INDEX(계정대체기준!$C$20:$C$49,MATCH($N1113,계정대체기준!$A$20:$A$49,0)),0)))</f>
        <v/>
      </c>
      <c r="AA1113" s="94">
        <f>IF($A1113="",0,IF(AE1113="직접",IF(OR(AF1113="유지비",AF1113="손해조사비"),$P1113,0),$P1113*(1-AG1113)*IFERROR(INDEX(계정대체기준!$D$20:$D$49,MATCH($N1113,계정대체기준!$A$20:$A$49,0)),0)))</f>
        <v/>
      </c>
      <c r="AB1113" s="94">
        <f>IF($A1113="",0,IF(AE1113="직접",IF(AF1113="수금비",$P1113,0),$P1113*(1-AG1113)*IFERROR(INDEX(계정대체기준!$E$20:$E$49,MATCH($N1113,계정대체기준!$A$20:$A$49,0)),0)))</f>
        <v/>
      </c>
      <c r="AC1113" s="9">
        <f>IF(AND($A1113&lt;&gt;"",M1113=설정!$C$20,Z1113&gt;0),Z1113+ROW()/1000000000,"")</f>
        <v/>
      </c>
      <c r="AD1113" s="94">
        <f>IF($A1113="",0,$P1113*AG1113)</f>
        <v/>
      </c>
      <c r="AE1113" s="64">
        <f>IF($A1113="","",IFERROR(INDEX(계정매핑!$E$5:$E$504,MATCH($F1113&amp;"",계정매핑!$A$5:$A$504,0))&amp;"","공통비"))</f>
        <v/>
      </c>
      <c r="AF1113" s="64">
        <f>IF($A1113="","",IF(AE1113="직접",IFERROR(INDEX(계정매핑!$F$5:$F$504,MATCH($F1113&amp;"",계정매핑!$A$5:$A$504,0))&amp;"","비귀속"),""))</f>
        <v/>
      </c>
      <c r="AG1113" s="96">
        <f>IF($A1113="",0,IF(AND(AE1113&lt;&gt;"직접",IFERROR(INDEX(계정매핑!$G$5:$G$504,MATCH($F1113&amp;"",계정매핑!$A$5:$A$504,0))&amp;"","")="유지비",COUNTIF(계정대체기준!$A$6:$A$15,$N1113)&gt;0),IFERROR(INDEX(계정대체기준!$E$6:$E$15,MATCH(VALUE($A1113&amp;""),계정대체기준!$D$6:$D$15,0)),0),0))</f>
        <v/>
      </c>
      <c r="AH1113" s="64">
        <f>IF($A1113="","",IF(AD1113=0,"",IF(OR(COUNTIF(계정대체기준!$A$77:$A$86,$N1113)&gt;0,ISNUMBER(MATCH($X1113,계정대체기준!$D$77:$D$86,0)),ISNUMBER(MATCH($F1113,계정대체기준!$D$77:$D$86,0))),"Y","N")))</f>
        <v/>
      </c>
    </row>
    <row r="1114">
      <c r="A1114" s="92" t="n">
        <v>2025</v>
      </c>
      <c r="B1114" s="92" t="n">
        <v>5</v>
      </c>
      <c r="C1114" s="92" t="inlineStr">
        <is>
          <t>5100001110</t>
        </is>
      </c>
      <c r="D1114" s="95" t="n">
        <v>45802</v>
      </c>
      <c r="E1114" s="92" t="inlineStr">
        <is>
          <t>KR</t>
        </is>
      </c>
      <c r="F1114" s="92" t="n">
        <v>62101000</v>
      </c>
      <c r="G1114" s="92" t="n">
        <v>1501</v>
      </c>
      <c r="H1114" s="93" t="n">
        <v>536000</v>
      </c>
      <c r="I1114" s="92" t="inlineStr">
        <is>
          <t>5월 국내출장 - M항공</t>
        </is>
      </c>
      <c r="J1114" s="92" t="inlineStr">
        <is>
          <t>V10001</t>
        </is>
      </c>
      <c r="K1114" s="92" t="inlineStr">
        <is>
          <t>M항공</t>
        </is>
      </c>
      <c r="M1114" s="9">
        <f>IF($A1114="","",VALUE($A1114&amp;"")*12+VALUE($B1114&amp;""))</f>
        <v/>
      </c>
      <c r="N1114" s="64">
        <f>IF($A1114="","",IFERROR(INDEX(부서매핑!$C$5:$C$504,MATCH($G1114&amp;"",부서매핑!$A$5:$A$504,0)),"미매핑"))</f>
        <v/>
      </c>
      <c r="O1114" s="9">
        <f>IF($A1114="","",N1114&amp;"|"&amp;$F1114)</f>
        <v/>
      </c>
      <c r="P1114" s="94">
        <f>IF($A1114="",0,$H1114*설정!$C$23)</f>
        <v/>
      </c>
      <c r="Q1114" s="64">
        <f>IF($A1114="","",IF(O1114&lt;&gt;원인분석!$C$9,"",IF(AND(M1114&gt;=원인분석!$C$10,M1114&lt;=원인분석!$C$11),"당기",IF(AND(M1114&gt;=원인분석!$C$12,M1114&lt;=원인분석!$C$13),"비교",""))))</f>
        <v/>
      </c>
      <c r="R1114" s="9">
        <f>IF(Q1114="","",$K1114&amp;"")</f>
        <v/>
      </c>
      <c r="S1114" s="9">
        <f>IF(Q1114="","",IF(MATCH(R1114,$R$5:$R$100000,0)=ROW()-4,ROW(),""))</f>
        <v/>
      </c>
      <c r="T1114" s="9">
        <f>IF(Q1114="당기",ABS(P1114)+ROW()/1000000000,"")</f>
        <v/>
      </c>
      <c r="U1114" s="9">
        <f>IF(Q1114="비교",ABS(P1114)+ROW()/1000000000,"")</f>
        <v/>
      </c>
      <c r="V1114" s="64">
        <f>IF($A1114="","",IF(COUNTIF(변동분석!$E$7:$E$506,O1114)&gt;0,"Y","N"))</f>
        <v/>
      </c>
      <c r="W1114" s="64">
        <f>IF($A1114="","",IFERROR(INDEX(계정매핑!$D$5:$D$504,MATCH($F1114&amp;"",계정매핑!$A$5:$A$504,0)),"미매핑"))</f>
        <v/>
      </c>
      <c r="X1114" s="9">
        <f>IF($A1114="","",$F1114&amp;"")</f>
        <v/>
      </c>
      <c r="Y1114" s="94">
        <f>IF($A1114="",0,IF(AE1114="직접",IF(AF1114="비귀속",$P1114,0),$P1114*(1-AG1114)*IFERROR(INDEX(계정대체기준!$F$20:$F$49,MATCH($N1114,계정대체기준!$A$20:$A$49,0)),1)))</f>
        <v/>
      </c>
      <c r="Z1114" s="94">
        <f>IF($A1114="",0,IF(AE1114="직접",IF(AF1114="신계약비",$P1114,0),$P1114*(1-AG1114)*IFERROR(INDEX(계정대체기준!$C$20:$C$49,MATCH($N1114,계정대체기준!$A$20:$A$49,0)),0)))</f>
        <v/>
      </c>
      <c r="AA1114" s="94">
        <f>IF($A1114="",0,IF(AE1114="직접",IF(OR(AF1114="유지비",AF1114="손해조사비"),$P1114,0),$P1114*(1-AG1114)*IFERROR(INDEX(계정대체기준!$D$20:$D$49,MATCH($N1114,계정대체기준!$A$20:$A$49,0)),0)))</f>
        <v/>
      </c>
      <c r="AB1114" s="94">
        <f>IF($A1114="",0,IF(AE1114="직접",IF(AF1114="수금비",$P1114,0),$P1114*(1-AG1114)*IFERROR(INDEX(계정대체기준!$E$20:$E$49,MATCH($N1114,계정대체기준!$A$20:$A$49,0)),0)))</f>
        <v/>
      </c>
      <c r="AC1114" s="9">
        <f>IF(AND($A1114&lt;&gt;"",M1114=설정!$C$20,Z1114&gt;0),Z1114+ROW()/1000000000,"")</f>
        <v/>
      </c>
      <c r="AD1114" s="94">
        <f>IF($A1114="",0,$P1114*AG1114)</f>
        <v/>
      </c>
      <c r="AE1114" s="64">
        <f>IF($A1114="","",IFERROR(INDEX(계정매핑!$E$5:$E$504,MATCH($F1114&amp;"",계정매핑!$A$5:$A$504,0))&amp;"","공통비"))</f>
        <v/>
      </c>
      <c r="AF1114" s="64">
        <f>IF($A1114="","",IF(AE1114="직접",IFERROR(INDEX(계정매핑!$F$5:$F$504,MATCH($F1114&amp;"",계정매핑!$A$5:$A$504,0))&amp;"","비귀속"),""))</f>
        <v/>
      </c>
      <c r="AG1114" s="96">
        <f>IF($A1114="",0,IF(AND(AE1114&lt;&gt;"직접",IFERROR(INDEX(계정매핑!$G$5:$G$504,MATCH($F1114&amp;"",계정매핑!$A$5:$A$504,0))&amp;"","")="유지비",COUNTIF(계정대체기준!$A$6:$A$15,$N1114)&gt;0),IFERROR(INDEX(계정대체기준!$E$6:$E$15,MATCH(VALUE($A1114&amp;""),계정대체기준!$D$6:$D$15,0)),0),0))</f>
        <v/>
      </c>
      <c r="AH1114" s="64">
        <f>IF($A1114="","",IF(AD1114=0,"",IF(OR(COUNTIF(계정대체기준!$A$77:$A$86,$N1114)&gt;0,ISNUMBER(MATCH($X1114,계정대체기준!$D$77:$D$86,0)),ISNUMBER(MATCH($F1114,계정대체기준!$D$77:$D$86,0))),"Y","N")))</f>
        <v/>
      </c>
    </row>
    <row r="1115">
      <c r="A1115" s="92" t="n">
        <v>2025</v>
      </c>
      <c r="B1115" s="92" t="n">
        <v>5</v>
      </c>
      <c r="C1115" s="92" t="inlineStr">
        <is>
          <t>5100001111</t>
        </is>
      </c>
      <c r="D1115" s="95" t="n">
        <v>45802</v>
      </c>
      <c r="E1115" s="92" t="inlineStr">
        <is>
          <t>KR</t>
        </is>
      </c>
      <c r="F1115" s="92" t="n">
        <v>62101000</v>
      </c>
      <c r="G1115" s="92" t="n">
        <v>1501</v>
      </c>
      <c r="H1115" s="93" t="n">
        <v>389000</v>
      </c>
      <c r="I1115" s="92" t="inlineStr">
        <is>
          <t>5월 국내출장 - (법인카드)</t>
        </is>
      </c>
      <c r="J1115" s="92" t="inlineStr">
        <is>
          <t>V10010</t>
        </is>
      </c>
      <c r="K1115" s="92" t="inlineStr">
        <is>
          <t>(법인카드)</t>
        </is>
      </c>
      <c r="M1115" s="9">
        <f>IF($A1115="","",VALUE($A1115&amp;"")*12+VALUE($B1115&amp;""))</f>
        <v/>
      </c>
      <c r="N1115" s="64">
        <f>IF($A1115="","",IFERROR(INDEX(부서매핑!$C$5:$C$504,MATCH($G1115&amp;"",부서매핑!$A$5:$A$504,0)),"미매핑"))</f>
        <v/>
      </c>
      <c r="O1115" s="9">
        <f>IF($A1115="","",N1115&amp;"|"&amp;$F1115)</f>
        <v/>
      </c>
      <c r="P1115" s="94">
        <f>IF($A1115="",0,$H1115*설정!$C$23)</f>
        <v/>
      </c>
      <c r="Q1115" s="64">
        <f>IF($A1115="","",IF(O1115&lt;&gt;원인분석!$C$9,"",IF(AND(M1115&gt;=원인분석!$C$10,M1115&lt;=원인분석!$C$11),"당기",IF(AND(M1115&gt;=원인분석!$C$12,M1115&lt;=원인분석!$C$13),"비교",""))))</f>
        <v/>
      </c>
      <c r="R1115" s="9">
        <f>IF(Q1115="","",$K1115&amp;"")</f>
        <v/>
      </c>
      <c r="S1115" s="9">
        <f>IF(Q1115="","",IF(MATCH(R1115,$R$5:$R$100000,0)=ROW()-4,ROW(),""))</f>
        <v/>
      </c>
      <c r="T1115" s="9">
        <f>IF(Q1115="당기",ABS(P1115)+ROW()/1000000000,"")</f>
        <v/>
      </c>
      <c r="U1115" s="9">
        <f>IF(Q1115="비교",ABS(P1115)+ROW()/1000000000,"")</f>
        <v/>
      </c>
      <c r="V1115" s="64">
        <f>IF($A1115="","",IF(COUNTIF(변동분석!$E$7:$E$506,O1115)&gt;0,"Y","N"))</f>
        <v/>
      </c>
      <c r="W1115" s="64">
        <f>IF($A1115="","",IFERROR(INDEX(계정매핑!$D$5:$D$504,MATCH($F1115&amp;"",계정매핑!$A$5:$A$504,0)),"미매핑"))</f>
        <v/>
      </c>
      <c r="X1115" s="9">
        <f>IF($A1115="","",$F1115&amp;"")</f>
        <v/>
      </c>
      <c r="Y1115" s="94">
        <f>IF($A1115="",0,IF(AE1115="직접",IF(AF1115="비귀속",$P1115,0),$P1115*(1-AG1115)*IFERROR(INDEX(계정대체기준!$F$20:$F$49,MATCH($N1115,계정대체기준!$A$20:$A$49,0)),1)))</f>
        <v/>
      </c>
      <c r="Z1115" s="94">
        <f>IF($A1115="",0,IF(AE1115="직접",IF(AF1115="신계약비",$P1115,0),$P1115*(1-AG1115)*IFERROR(INDEX(계정대체기준!$C$20:$C$49,MATCH($N1115,계정대체기준!$A$20:$A$49,0)),0)))</f>
        <v/>
      </c>
      <c r="AA1115" s="94">
        <f>IF($A1115="",0,IF(AE1115="직접",IF(OR(AF1115="유지비",AF1115="손해조사비"),$P1115,0),$P1115*(1-AG1115)*IFERROR(INDEX(계정대체기준!$D$20:$D$49,MATCH($N1115,계정대체기준!$A$20:$A$49,0)),0)))</f>
        <v/>
      </c>
      <c r="AB1115" s="94">
        <f>IF($A1115="",0,IF(AE1115="직접",IF(AF1115="수금비",$P1115,0),$P1115*(1-AG1115)*IFERROR(INDEX(계정대체기준!$E$20:$E$49,MATCH($N1115,계정대체기준!$A$20:$A$49,0)),0)))</f>
        <v/>
      </c>
      <c r="AC1115" s="9">
        <f>IF(AND($A1115&lt;&gt;"",M1115=설정!$C$20,Z1115&gt;0),Z1115+ROW()/1000000000,"")</f>
        <v/>
      </c>
      <c r="AD1115" s="94">
        <f>IF($A1115="",0,$P1115*AG1115)</f>
        <v/>
      </c>
      <c r="AE1115" s="64">
        <f>IF($A1115="","",IFERROR(INDEX(계정매핑!$E$5:$E$504,MATCH($F1115&amp;"",계정매핑!$A$5:$A$504,0))&amp;"","공통비"))</f>
        <v/>
      </c>
      <c r="AF1115" s="64">
        <f>IF($A1115="","",IF(AE1115="직접",IFERROR(INDEX(계정매핑!$F$5:$F$504,MATCH($F1115&amp;"",계정매핑!$A$5:$A$504,0))&amp;"","비귀속"),""))</f>
        <v/>
      </c>
      <c r="AG1115" s="96">
        <f>IF($A1115="",0,IF(AND(AE1115&lt;&gt;"직접",IFERROR(INDEX(계정매핑!$G$5:$G$504,MATCH($F1115&amp;"",계정매핑!$A$5:$A$504,0))&amp;"","")="유지비",COUNTIF(계정대체기준!$A$6:$A$15,$N1115)&gt;0),IFERROR(INDEX(계정대체기준!$E$6:$E$15,MATCH(VALUE($A1115&amp;""),계정대체기준!$D$6:$D$15,0)),0),0))</f>
        <v/>
      </c>
      <c r="AH1115" s="64">
        <f>IF($A1115="","",IF(AD1115=0,"",IF(OR(COUNTIF(계정대체기준!$A$77:$A$86,$N1115)&gt;0,ISNUMBER(MATCH($X1115,계정대체기준!$D$77:$D$86,0)),ISNUMBER(MATCH($F1115,계정대체기준!$D$77:$D$86,0))),"Y","N")))</f>
        <v/>
      </c>
    </row>
    <row r="1116">
      <c r="A1116" s="92" t="n">
        <v>2025</v>
      </c>
      <c r="B1116" s="92" t="n">
        <v>5</v>
      </c>
      <c r="C1116" s="92" t="inlineStr">
        <is>
          <t>5100001112</t>
        </is>
      </c>
      <c r="D1116" s="95" t="n">
        <v>45802</v>
      </c>
      <c r="E1116" s="92" t="inlineStr">
        <is>
          <t>KR</t>
        </is>
      </c>
      <c r="F1116" s="92" t="n">
        <v>62102000</v>
      </c>
      <c r="G1116" s="92" t="n">
        <v>1951</v>
      </c>
      <c r="H1116" s="93" t="n">
        <v>79000</v>
      </c>
      <c r="I1116" s="92" t="inlineStr">
        <is>
          <t>5월 해외출장 - M항공</t>
        </is>
      </c>
      <c r="J1116" s="92" t="inlineStr">
        <is>
          <t>V10001</t>
        </is>
      </c>
      <c r="K1116" s="92" t="inlineStr">
        <is>
          <t>M항공</t>
        </is>
      </c>
      <c r="M1116" s="9">
        <f>IF($A1116="","",VALUE($A1116&amp;"")*12+VALUE($B1116&amp;""))</f>
        <v/>
      </c>
      <c r="N1116" s="64">
        <f>IF($A1116="","",IFERROR(INDEX(부서매핑!$C$5:$C$504,MATCH($G1116&amp;"",부서매핑!$A$5:$A$504,0)),"미매핑"))</f>
        <v/>
      </c>
      <c r="O1116" s="9">
        <f>IF($A1116="","",N1116&amp;"|"&amp;$F1116)</f>
        <v/>
      </c>
      <c r="P1116" s="94">
        <f>IF($A1116="",0,$H1116*설정!$C$23)</f>
        <v/>
      </c>
      <c r="Q1116" s="64">
        <f>IF($A1116="","",IF(O1116&lt;&gt;원인분석!$C$9,"",IF(AND(M1116&gt;=원인분석!$C$10,M1116&lt;=원인분석!$C$11),"당기",IF(AND(M1116&gt;=원인분석!$C$12,M1116&lt;=원인분석!$C$13),"비교",""))))</f>
        <v/>
      </c>
      <c r="R1116" s="9">
        <f>IF(Q1116="","",$K1116&amp;"")</f>
        <v/>
      </c>
      <c r="S1116" s="9">
        <f>IF(Q1116="","",IF(MATCH(R1116,$R$5:$R$100000,0)=ROW()-4,ROW(),""))</f>
        <v/>
      </c>
      <c r="T1116" s="9">
        <f>IF(Q1116="당기",ABS(P1116)+ROW()/1000000000,"")</f>
        <v/>
      </c>
      <c r="U1116" s="9">
        <f>IF(Q1116="비교",ABS(P1116)+ROW()/1000000000,"")</f>
        <v/>
      </c>
      <c r="V1116" s="64">
        <f>IF($A1116="","",IF(COUNTIF(변동분석!$E$7:$E$506,O1116)&gt;0,"Y","N"))</f>
        <v/>
      </c>
      <c r="W1116" s="64">
        <f>IF($A1116="","",IFERROR(INDEX(계정매핑!$D$5:$D$504,MATCH($F1116&amp;"",계정매핑!$A$5:$A$504,0)),"미매핑"))</f>
        <v/>
      </c>
      <c r="X1116" s="9">
        <f>IF($A1116="","",$F1116&amp;"")</f>
        <v/>
      </c>
      <c r="Y1116" s="94">
        <f>IF($A1116="",0,IF(AE1116="직접",IF(AF1116="비귀속",$P1116,0),$P1116*(1-AG1116)*IFERROR(INDEX(계정대체기준!$F$20:$F$49,MATCH($N1116,계정대체기준!$A$20:$A$49,0)),1)))</f>
        <v/>
      </c>
      <c r="Z1116" s="94">
        <f>IF($A1116="",0,IF(AE1116="직접",IF(AF1116="신계약비",$P1116,0),$P1116*(1-AG1116)*IFERROR(INDEX(계정대체기준!$C$20:$C$49,MATCH($N1116,계정대체기준!$A$20:$A$49,0)),0)))</f>
        <v/>
      </c>
      <c r="AA1116" s="94">
        <f>IF($A1116="",0,IF(AE1116="직접",IF(OR(AF1116="유지비",AF1116="손해조사비"),$P1116,0),$P1116*(1-AG1116)*IFERROR(INDEX(계정대체기준!$D$20:$D$49,MATCH($N1116,계정대체기준!$A$20:$A$49,0)),0)))</f>
        <v/>
      </c>
      <c r="AB1116" s="94">
        <f>IF($A1116="",0,IF(AE1116="직접",IF(AF1116="수금비",$P1116,0),$P1116*(1-AG1116)*IFERROR(INDEX(계정대체기준!$E$20:$E$49,MATCH($N1116,계정대체기준!$A$20:$A$49,0)),0)))</f>
        <v/>
      </c>
      <c r="AC1116" s="9">
        <f>IF(AND($A1116&lt;&gt;"",M1116=설정!$C$20,Z1116&gt;0),Z1116+ROW()/1000000000,"")</f>
        <v/>
      </c>
      <c r="AD1116" s="94">
        <f>IF($A1116="",0,$P1116*AG1116)</f>
        <v/>
      </c>
      <c r="AE1116" s="64">
        <f>IF($A1116="","",IFERROR(INDEX(계정매핑!$E$5:$E$504,MATCH($F1116&amp;"",계정매핑!$A$5:$A$504,0))&amp;"","공통비"))</f>
        <v/>
      </c>
      <c r="AF1116" s="64">
        <f>IF($A1116="","",IF(AE1116="직접",IFERROR(INDEX(계정매핑!$F$5:$F$504,MATCH($F1116&amp;"",계정매핑!$A$5:$A$504,0))&amp;"","비귀속"),""))</f>
        <v/>
      </c>
      <c r="AG1116" s="96">
        <f>IF($A1116="",0,IF(AND(AE1116&lt;&gt;"직접",IFERROR(INDEX(계정매핑!$G$5:$G$504,MATCH($F1116&amp;"",계정매핑!$A$5:$A$504,0))&amp;"","")="유지비",COUNTIF(계정대체기준!$A$6:$A$15,$N1116)&gt;0),IFERROR(INDEX(계정대체기준!$E$6:$E$15,MATCH(VALUE($A1116&amp;""),계정대체기준!$D$6:$D$15,0)),0),0))</f>
        <v/>
      </c>
      <c r="AH1116" s="64">
        <f>IF($A1116="","",IF(AD1116=0,"",IF(OR(COUNTIF(계정대체기준!$A$77:$A$86,$N1116)&gt;0,ISNUMBER(MATCH($X1116,계정대체기준!$D$77:$D$86,0)),ISNUMBER(MATCH($F1116,계정대체기준!$D$77:$D$86,0))),"Y","N")))</f>
        <v/>
      </c>
    </row>
    <row r="1117">
      <c r="A1117" s="92" t="n">
        <v>2025</v>
      </c>
      <c r="B1117" s="92" t="n">
        <v>5</v>
      </c>
      <c r="C1117" s="92" t="inlineStr">
        <is>
          <t>5100001113</t>
        </is>
      </c>
      <c r="D1117" s="95" t="n">
        <v>45802</v>
      </c>
      <c r="E1117" s="92" t="inlineStr">
        <is>
          <t>KR</t>
        </is>
      </c>
      <c r="F1117" s="92" t="n">
        <v>62301000</v>
      </c>
      <c r="G1117" s="92" t="n">
        <v>1801</v>
      </c>
      <c r="H1117" s="93" t="n">
        <v>444000</v>
      </c>
      <c r="I1117" s="92" t="inlineStr">
        <is>
          <t>5월 소모품 구입 - R문구</t>
        </is>
      </c>
      <c r="J1117" s="92" t="inlineStr">
        <is>
          <t>V10022</t>
        </is>
      </c>
      <c r="K1117" s="92" t="inlineStr">
        <is>
          <t>R문구</t>
        </is>
      </c>
      <c r="M1117" s="9">
        <f>IF($A1117="","",VALUE($A1117&amp;"")*12+VALUE($B1117&amp;""))</f>
        <v/>
      </c>
      <c r="N1117" s="64">
        <f>IF($A1117="","",IFERROR(INDEX(부서매핑!$C$5:$C$504,MATCH($G1117&amp;"",부서매핑!$A$5:$A$504,0)),"미매핑"))</f>
        <v/>
      </c>
      <c r="O1117" s="9">
        <f>IF($A1117="","",N1117&amp;"|"&amp;$F1117)</f>
        <v/>
      </c>
      <c r="P1117" s="94">
        <f>IF($A1117="",0,$H1117*설정!$C$23)</f>
        <v/>
      </c>
      <c r="Q1117" s="64">
        <f>IF($A1117="","",IF(O1117&lt;&gt;원인분석!$C$9,"",IF(AND(M1117&gt;=원인분석!$C$10,M1117&lt;=원인분석!$C$11),"당기",IF(AND(M1117&gt;=원인분석!$C$12,M1117&lt;=원인분석!$C$13),"비교",""))))</f>
        <v/>
      </c>
      <c r="R1117" s="9">
        <f>IF(Q1117="","",$K1117&amp;"")</f>
        <v/>
      </c>
      <c r="S1117" s="9">
        <f>IF(Q1117="","",IF(MATCH(R1117,$R$5:$R$100000,0)=ROW()-4,ROW(),""))</f>
        <v/>
      </c>
      <c r="T1117" s="9">
        <f>IF(Q1117="당기",ABS(P1117)+ROW()/1000000000,"")</f>
        <v/>
      </c>
      <c r="U1117" s="9">
        <f>IF(Q1117="비교",ABS(P1117)+ROW()/1000000000,"")</f>
        <v/>
      </c>
      <c r="V1117" s="64">
        <f>IF($A1117="","",IF(COUNTIF(변동분석!$E$7:$E$506,O1117)&gt;0,"Y","N"))</f>
        <v/>
      </c>
      <c r="W1117" s="64">
        <f>IF($A1117="","",IFERROR(INDEX(계정매핑!$D$5:$D$504,MATCH($F1117&amp;"",계정매핑!$A$5:$A$504,0)),"미매핑"))</f>
        <v/>
      </c>
      <c r="X1117" s="9">
        <f>IF($A1117="","",$F1117&amp;"")</f>
        <v/>
      </c>
      <c r="Y1117" s="94">
        <f>IF($A1117="",0,IF(AE1117="직접",IF(AF1117="비귀속",$P1117,0),$P1117*(1-AG1117)*IFERROR(INDEX(계정대체기준!$F$20:$F$49,MATCH($N1117,계정대체기준!$A$20:$A$49,0)),1)))</f>
        <v/>
      </c>
      <c r="Z1117" s="94">
        <f>IF($A1117="",0,IF(AE1117="직접",IF(AF1117="신계약비",$P1117,0),$P1117*(1-AG1117)*IFERROR(INDEX(계정대체기준!$C$20:$C$49,MATCH($N1117,계정대체기준!$A$20:$A$49,0)),0)))</f>
        <v/>
      </c>
      <c r="AA1117" s="94">
        <f>IF($A1117="",0,IF(AE1117="직접",IF(OR(AF1117="유지비",AF1117="손해조사비"),$P1117,0),$P1117*(1-AG1117)*IFERROR(INDEX(계정대체기준!$D$20:$D$49,MATCH($N1117,계정대체기준!$A$20:$A$49,0)),0)))</f>
        <v/>
      </c>
      <c r="AB1117" s="94">
        <f>IF($A1117="",0,IF(AE1117="직접",IF(AF1117="수금비",$P1117,0),$P1117*(1-AG1117)*IFERROR(INDEX(계정대체기준!$E$20:$E$49,MATCH($N1117,계정대체기준!$A$20:$A$49,0)),0)))</f>
        <v/>
      </c>
      <c r="AC1117" s="9">
        <f>IF(AND($A1117&lt;&gt;"",M1117=설정!$C$20,Z1117&gt;0),Z1117+ROW()/1000000000,"")</f>
        <v/>
      </c>
      <c r="AD1117" s="94">
        <f>IF($A1117="",0,$P1117*AG1117)</f>
        <v/>
      </c>
      <c r="AE1117" s="64">
        <f>IF($A1117="","",IFERROR(INDEX(계정매핑!$E$5:$E$504,MATCH($F1117&amp;"",계정매핑!$A$5:$A$504,0))&amp;"","공통비"))</f>
        <v/>
      </c>
      <c r="AF1117" s="64">
        <f>IF($A1117="","",IF(AE1117="직접",IFERROR(INDEX(계정매핑!$F$5:$F$504,MATCH($F1117&amp;"",계정매핑!$A$5:$A$504,0))&amp;"","비귀속"),""))</f>
        <v/>
      </c>
      <c r="AG1117" s="96">
        <f>IF($A1117="",0,IF(AND(AE1117&lt;&gt;"직접",IFERROR(INDEX(계정매핑!$G$5:$G$504,MATCH($F1117&amp;"",계정매핑!$A$5:$A$504,0))&amp;"","")="유지비",COUNTIF(계정대체기준!$A$6:$A$15,$N1117)&gt;0),IFERROR(INDEX(계정대체기준!$E$6:$E$15,MATCH(VALUE($A1117&amp;""),계정대체기준!$D$6:$D$15,0)),0),0))</f>
        <v/>
      </c>
      <c r="AH1117" s="64">
        <f>IF($A1117="","",IF(AD1117=0,"",IF(OR(COUNTIF(계정대체기준!$A$77:$A$86,$N1117)&gt;0,ISNUMBER(MATCH($X1117,계정대체기준!$D$77:$D$86,0)),ISNUMBER(MATCH($F1117,계정대체기준!$D$77:$D$86,0))),"Y","N")))</f>
        <v/>
      </c>
    </row>
    <row r="1118">
      <c r="A1118" s="92" t="n">
        <v>2025</v>
      </c>
      <c r="B1118" s="92" t="n">
        <v>5</v>
      </c>
      <c r="C1118" s="92" t="inlineStr">
        <is>
          <t>5100001114</t>
        </is>
      </c>
      <c r="D1118" s="95" t="n">
        <v>45802</v>
      </c>
      <c r="E1118" s="92" t="inlineStr">
        <is>
          <t>KR</t>
        </is>
      </c>
      <c r="F1118" s="92" t="n">
        <v>62601000</v>
      </c>
      <c r="G1118" s="92" t="n">
        <v>1602</v>
      </c>
      <c r="H1118" s="93" t="n">
        <v>1134000</v>
      </c>
      <c r="I1118" s="92" t="inlineStr">
        <is>
          <t>5월 업무추진 - (법인카드)</t>
        </is>
      </c>
      <c r="J1118" s="92" t="inlineStr">
        <is>
          <t>V10010</t>
        </is>
      </c>
      <c r="K1118" s="92" t="inlineStr">
        <is>
          <t>(법인카드)</t>
        </is>
      </c>
      <c r="M1118" s="9">
        <f>IF($A1118="","",VALUE($A1118&amp;"")*12+VALUE($B1118&amp;""))</f>
        <v/>
      </c>
      <c r="N1118" s="64">
        <f>IF($A1118="","",IFERROR(INDEX(부서매핑!$C$5:$C$504,MATCH($G1118&amp;"",부서매핑!$A$5:$A$504,0)),"미매핑"))</f>
        <v/>
      </c>
      <c r="O1118" s="9">
        <f>IF($A1118="","",N1118&amp;"|"&amp;$F1118)</f>
        <v/>
      </c>
      <c r="P1118" s="94">
        <f>IF($A1118="",0,$H1118*설정!$C$23)</f>
        <v/>
      </c>
      <c r="Q1118" s="64">
        <f>IF($A1118="","",IF(O1118&lt;&gt;원인분석!$C$9,"",IF(AND(M1118&gt;=원인분석!$C$10,M1118&lt;=원인분석!$C$11),"당기",IF(AND(M1118&gt;=원인분석!$C$12,M1118&lt;=원인분석!$C$13),"비교",""))))</f>
        <v/>
      </c>
      <c r="R1118" s="9">
        <f>IF(Q1118="","",$K1118&amp;"")</f>
        <v/>
      </c>
      <c r="S1118" s="9">
        <f>IF(Q1118="","",IF(MATCH(R1118,$R$5:$R$100000,0)=ROW()-4,ROW(),""))</f>
        <v/>
      </c>
      <c r="T1118" s="9">
        <f>IF(Q1118="당기",ABS(P1118)+ROW()/1000000000,"")</f>
        <v/>
      </c>
      <c r="U1118" s="9">
        <f>IF(Q1118="비교",ABS(P1118)+ROW()/1000000000,"")</f>
        <v/>
      </c>
      <c r="V1118" s="64">
        <f>IF($A1118="","",IF(COUNTIF(변동분석!$E$7:$E$506,O1118)&gt;0,"Y","N"))</f>
        <v/>
      </c>
      <c r="W1118" s="64">
        <f>IF($A1118="","",IFERROR(INDEX(계정매핑!$D$5:$D$504,MATCH($F1118&amp;"",계정매핑!$A$5:$A$504,0)),"미매핑"))</f>
        <v/>
      </c>
      <c r="X1118" s="9">
        <f>IF($A1118="","",$F1118&amp;"")</f>
        <v/>
      </c>
      <c r="Y1118" s="94">
        <f>IF($A1118="",0,IF(AE1118="직접",IF(AF1118="비귀속",$P1118,0),$P1118*(1-AG1118)*IFERROR(INDEX(계정대체기준!$F$20:$F$49,MATCH($N1118,계정대체기준!$A$20:$A$49,0)),1)))</f>
        <v/>
      </c>
      <c r="Z1118" s="94">
        <f>IF($A1118="",0,IF(AE1118="직접",IF(AF1118="신계약비",$P1118,0),$P1118*(1-AG1118)*IFERROR(INDEX(계정대체기준!$C$20:$C$49,MATCH($N1118,계정대체기준!$A$20:$A$49,0)),0)))</f>
        <v/>
      </c>
      <c r="AA1118" s="94">
        <f>IF($A1118="",0,IF(AE1118="직접",IF(OR(AF1118="유지비",AF1118="손해조사비"),$P1118,0),$P1118*(1-AG1118)*IFERROR(INDEX(계정대체기준!$D$20:$D$49,MATCH($N1118,계정대체기준!$A$20:$A$49,0)),0)))</f>
        <v/>
      </c>
      <c r="AB1118" s="94">
        <f>IF($A1118="",0,IF(AE1118="직접",IF(AF1118="수금비",$P1118,0),$P1118*(1-AG1118)*IFERROR(INDEX(계정대체기준!$E$20:$E$49,MATCH($N1118,계정대체기준!$A$20:$A$49,0)),0)))</f>
        <v/>
      </c>
      <c r="AC1118" s="9">
        <f>IF(AND($A1118&lt;&gt;"",M1118=설정!$C$20,Z1118&gt;0),Z1118+ROW()/1000000000,"")</f>
        <v/>
      </c>
      <c r="AD1118" s="94">
        <f>IF($A1118="",0,$P1118*AG1118)</f>
        <v/>
      </c>
      <c r="AE1118" s="64">
        <f>IF($A1118="","",IFERROR(INDEX(계정매핑!$E$5:$E$504,MATCH($F1118&amp;"",계정매핑!$A$5:$A$504,0))&amp;"","공통비"))</f>
        <v/>
      </c>
      <c r="AF1118" s="64">
        <f>IF($A1118="","",IF(AE1118="직접",IFERROR(INDEX(계정매핑!$F$5:$F$504,MATCH($F1118&amp;"",계정매핑!$A$5:$A$504,0))&amp;"","비귀속"),""))</f>
        <v/>
      </c>
      <c r="AG1118" s="96">
        <f>IF($A1118="",0,IF(AND(AE1118&lt;&gt;"직접",IFERROR(INDEX(계정매핑!$G$5:$G$504,MATCH($F1118&amp;"",계정매핑!$A$5:$A$504,0))&amp;"","")="유지비",COUNTIF(계정대체기준!$A$6:$A$15,$N1118)&gt;0),IFERROR(INDEX(계정대체기준!$E$6:$E$15,MATCH(VALUE($A1118&amp;""),계정대체기준!$D$6:$D$15,0)),0),0))</f>
        <v/>
      </c>
      <c r="AH1118" s="64">
        <f>IF($A1118="","",IF(AD1118=0,"",IF(OR(COUNTIF(계정대체기준!$A$77:$A$86,$N1118)&gt;0,ISNUMBER(MATCH($X1118,계정대체기준!$D$77:$D$86,0)),ISNUMBER(MATCH($F1118,계정대체기준!$D$77:$D$86,0))),"Y","N")))</f>
        <v/>
      </c>
    </row>
    <row r="1119">
      <c r="A1119" s="92" t="n">
        <v>2025</v>
      </c>
      <c r="B1119" s="92" t="n">
        <v>5</v>
      </c>
      <c r="C1119" s="92" t="inlineStr">
        <is>
          <t>5100001115</t>
        </is>
      </c>
      <c r="D1119" s="95" t="n">
        <v>45802</v>
      </c>
      <c r="E1119" s="92" t="inlineStr">
        <is>
          <t>KR</t>
        </is>
      </c>
      <c r="F1119" s="92" t="n">
        <v>62902000</v>
      </c>
      <c r="G1119" s="92" t="n">
        <v>1801</v>
      </c>
      <c r="H1119" s="93" t="n">
        <v>1771000</v>
      </c>
      <c r="I1119" s="92" t="inlineStr">
        <is>
          <t>5월 콜 위탁 수수료(건별)</t>
        </is>
      </c>
      <c r="J1119" s="92" t="inlineStr">
        <is>
          <t>V10016</t>
        </is>
      </c>
      <c r="K1119" s="92" t="inlineStr">
        <is>
          <t>J콜센터</t>
        </is>
      </c>
      <c r="M1119" s="9">
        <f>IF($A1119="","",VALUE($A1119&amp;"")*12+VALUE($B1119&amp;""))</f>
        <v/>
      </c>
      <c r="N1119" s="64">
        <f>IF($A1119="","",IFERROR(INDEX(부서매핑!$C$5:$C$504,MATCH($G1119&amp;"",부서매핑!$A$5:$A$504,0)),"미매핑"))</f>
        <v/>
      </c>
      <c r="O1119" s="9">
        <f>IF($A1119="","",N1119&amp;"|"&amp;$F1119)</f>
        <v/>
      </c>
      <c r="P1119" s="94">
        <f>IF($A1119="",0,$H1119*설정!$C$23)</f>
        <v/>
      </c>
      <c r="Q1119" s="64">
        <f>IF($A1119="","",IF(O1119&lt;&gt;원인분석!$C$9,"",IF(AND(M1119&gt;=원인분석!$C$10,M1119&lt;=원인분석!$C$11),"당기",IF(AND(M1119&gt;=원인분석!$C$12,M1119&lt;=원인분석!$C$13),"비교",""))))</f>
        <v/>
      </c>
      <c r="R1119" s="9">
        <f>IF(Q1119="","",$K1119&amp;"")</f>
        <v/>
      </c>
      <c r="S1119" s="9">
        <f>IF(Q1119="","",IF(MATCH(R1119,$R$5:$R$100000,0)=ROW()-4,ROW(),""))</f>
        <v/>
      </c>
      <c r="T1119" s="9">
        <f>IF(Q1119="당기",ABS(P1119)+ROW()/1000000000,"")</f>
        <v/>
      </c>
      <c r="U1119" s="9">
        <f>IF(Q1119="비교",ABS(P1119)+ROW()/1000000000,"")</f>
        <v/>
      </c>
      <c r="V1119" s="64">
        <f>IF($A1119="","",IF(COUNTIF(변동분석!$E$7:$E$506,O1119)&gt;0,"Y","N"))</f>
        <v/>
      </c>
      <c r="W1119" s="64">
        <f>IF($A1119="","",IFERROR(INDEX(계정매핑!$D$5:$D$504,MATCH($F1119&amp;"",계정매핑!$A$5:$A$504,0)),"미매핑"))</f>
        <v/>
      </c>
      <c r="X1119" s="9">
        <f>IF($A1119="","",$F1119&amp;"")</f>
        <v/>
      </c>
      <c r="Y1119" s="94">
        <f>IF($A1119="",0,IF(AE1119="직접",IF(AF1119="비귀속",$P1119,0),$P1119*(1-AG1119)*IFERROR(INDEX(계정대체기준!$F$20:$F$49,MATCH($N1119,계정대체기준!$A$20:$A$49,0)),1)))</f>
        <v/>
      </c>
      <c r="Z1119" s="94">
        <f>IF($A1119="",0,IF(AE1119="직접",IF(AF1119="신계약비",$P1119,0),$P1119*(1-AG1119)*IFERROR(INDEX(계정대체기준!$C$20:$C$49,MATCH($N1119,계정대체기준!$A$20:$A$49,0)),0)))</f>
        <v/>
      </c>
      <c r="AA1119" s="94">
        <f>IF($A1119="",0,IF(AE1119="직접",IF(OR(AF1119="유지비",AF1119="손해조사비"),$P1119,0),$P1119*(1-AG1119)*IFERROR(INDEX(계정대체기준!$D$20:$D$49,MATCH($N1119,계정대체기준!$A$20:$A$49,0)),0)))</f>
        <v/>
      </c>
      <c r="AB1119" s="94">
        <f>IF($A1119="",0,IF(AE1119="직접",IF(AF1119="수금비",$P1119,0),$P1119*(1-AG1119)*IFERROR(INDEX(계정대체기준!$E$20:$E$49,MATCH($N1119,계정대체기준!$A$20:$A$49,0)),0)))</f>
        <v/>
      </c>
      <c r="AC1119" s="9">
        <f>IF(AND($A1119&lt;&gt;"",M1119=설정!$C$20,Z1119&gt;0),Z1119+ROW()/1000000000,"")</f>
        <v/>
      </c>
      <c r="AD1119" s="94">
        <f>IF($A1119="",0,$P1119*AG1119)</f>
        <v/>
      </c>
      <c r="AE1119" s="64">
        <f>IF($A1119="","",IFERROR(INDEX(계정매핑!$E$5:$E$504,MATCH($F1119&amp;"",계정매핑!$A$5:$A$504,0))&amp;"","공통비"))</f>
        <v/>
      </c>
      <c r="AF1119" s="64">
        <f>IF($A1119="","",IF(AE1119="직접",IFERROR(INDEX(계정매핑!$F$5:$F$504,MATCH($F1119&amp;"",계정매핑!$A$5:$A$504,0))&amp;"","비귀속"),""))</f>
        <v/>
      </c>
      <c r="AG1119" s="96">
        <f>IF($A1119="",0,IF(AND(AE1119&lt;&gt;"직접",IFERROR(INDEX(계정매핑!$G$5:$G$504,MATCH($F1119&amp;"",계정매핑!$A$5:$A$504,0))&amp;"","")="유지비",COUNTIF(계정대체기준!$A$6:$A$15,$N1119)&gt;0),IFERROR(INDEX(계정대체기준!$E$6:$E$15,MATCH(VALUE($A1119&amp;""),계정대체기준!$D$6:$D$15,0)),0),0))</f>
        <v/>
      </c>
      <c r="AH1119" s="64">
        <f>IF($A1119="","",IF(AD1119=0,"",IF(OR(COUNTIF(계정대체기준!$A$77:$A$86,$N1119)&gt;0,ISNUMBER(MATCH($X1119,계정대체기준!$D$77:$D$86,0)),ISNUMBER(MATCH($F1119,계정대체기준!$D$77:$D$86,0))),"Y","N")))</f>
        <v/>
      </c>
    </row>
    <row r="1120">
      <c r="A1120" s="92" t="n">
        <v>2025</v>
      </c>
      <c r="B1120" s="92" t="n">
        <v>5</v>
      </c>
      <c r="C1120" s="92" t="inlineStr">
        <is>
          <t>5100001116</t>
        </is>
      </c>
      <c r="D1120" s="95" t="n">
        <v>45802</v>
      </c>
      <c r="E1120" s="92" t="inlineStr">
        <is>
          <t>KR</t>
        </is>
      </c>
      <c r="F1120" s="92" t="n">
        <v>62902000</v>
      </c>
      <c r="G1120" s="92" t="n">
        <v>1801</v>
      </c>
      <c r="H1120" s="93" t="n">
        <v>1757000</v>
      </c>
      <c r="I1120" s="92" t="inlineStr">
        <is>
          <t>5월 콜 위탁 수수료(건별)</t>
        </is>
      </c>
      <c r="J1120" s="92" t="inlineStr">
        <is>
          <t>V10016</t>
        </is>
      </c>
      <c r="K1120" s="92" t="inlineStr">
        <is>
          <t>J콜센터</t>
        </is>
      </c>
      <c r="M1120" s="9">
        <f>IF($A1120="","",VALUE($A1120&amp;"")*12+VALUE($B1120&amp;""))</f>
        <v/>
      </c>
      <c r="N1120" s="64">
        <f>IF($A1120="","",IFERROR(INDEX(부서매핑!$C$5:$C$504,MATCH($G1120&amp;"",부서매핑!$A$5:$A$504,0)),"미매핑"))</f>
        <v/>
      </c>
      <c r="O1120" s="9">
        <f>IF($A1120="","",N1120&amp;"|"&amp;$F1120)</f>
        <v/>
      </c>
      <c r="P1120" s="94">
        <f>IF($A1120="",0,$H1120*설정!$C$23)</f>
        <v/>
      </c>
      <c r="Q1120" s="64">
        <f>IF($A1120="","",IF(O1120&lt;&gt;원인분석!$C$9,"",IF(AND(M1120&gt;=원인분석!$C$10,M1120&lt;=원인분석!$C$11),"당기",IF(AND(M1120&gt;=원인분석!$C$12,M1120&lt;=원인분석!$C$13),"비교",""))))</f>
        <v/>
      </c>
      <c r="R1120" s="9">
        <f>IF(Q1120="","",$K1120&amp;"")</f>
        <v/>
      </c>
      <c r="S1120" s="9">
        <f>IF(Q1120="","",IF(MATCH(R1120,$R$5:$R$100000,0)=ROW()-4,ROW(),""))</f>
        <v/>
      </c>
      <c r="T1120" s="9">
        <f>IF(Q1120="당기",ABS(P1120)+ROW()/1000000000,"")</f>
        <v/>
      </c>
      <c r="U1120" s="9">
        <f>IF(Q1120="비교",ABS(P1120)+ROW()/1000000000,"")</f>
        <v/>
      </c>
      <c r="V1120" s="64">
        <f>IF($A1120="","",IF(COUNTIF(변동분석!$E$7:$E$506,O1120)&gt;0,"Y","N"))</f>
        <v/>
      </c>
      <c r="W1120" s="64">
        <f>IF($A1120="","",IFERROR(INDEX(계정매핑!$D$5:$D$504,MATCH($F1120&amp;"",계정매핑!$A$5:$A$504,0)),"미매핑"))</f>
        <v/>
      </c>
      <c r="X1120" s="9">
        <f>IF($A1120="","",$F1120&amp;"")</f>
        <v/>
      </c>
      <c r="Y1120" s="94">
        <f>IF($A1120="",0,IF(AE1120="직접",IF(AF1120="비귀속",$P1120,0),$P1120*(1-AG1120)*IFERROR(INDEX(계정대체기준!$F$20:$F$49,MATCH($N1120,계정대체기준!$A$20:$A$49,0)),1)))</f>
        <v/>
      </c>
      <c r="Z1120" s="94">
        <f>IF($A1120="",0,IF(AE1120="직접",IF(AF1120="신계약비",$P1120,0),$P1120*(1-AG1120)*IFERROR(INDEX(계정대체기준!$C$20:$C$49,MATCH($N1120,계정대체기준!$A$20:$A$49,0)),0)))</f>
        <v/>
      </c>
      <c r="AA1120" s="94">
        <f>IF($A1120="",0,IF(AE1120="직접",IF(OR(AF1120="유지비",AF1120="손해조사비"),$P1120,0),$P1120*(1-AG1120)*IFERROR(INDEX(계정대체기준!$D$20:$D$49,MATCH($N1120,계정대체기준!$A$20:$A$49,0)),0)))</f>
        <v/>
      </c>
      <c r="AB1120" s="94">
        <f>IF($A1120="",0,IF(AE1120="직접",IF(AF1120="수금비",$P1120,0),$P1120*(1-AG1120)*IFERROR(INDEX(계정대체기준!$E$20:$E$49,MATCH($N1120,계정대체기준!$A$20:$A$49,0)),0)))</f>
        <v/>
      </c>
      <c r="AC1120" s="9">
        <f>IF(AND($A1120&lt;&gt;"",M1120=설정!$C$20,Z1120&gt;0),Z1120+ROW()/1000000000,"")</f>
        <v/>
      </c>
      <c r="AD1120" s="94">
        <f>IF($A1120="",0,$P1120*AG1120)</f>
        <v/>
      </c>
      <c r="AE1120" s="64">
        <f>IF($A1120="","",IFERROR(INDEX(계정매핑!$E$5:$E$504,MATCH($F1120&amp;"",계정매핑!$A$5:$A$504,0))&amp;"","공통비"))</f>
        <v/>
      </c>
      <c r="AF1120" s="64">
        <f>IF($A1120="","",IF(AE1120="직접",IFERROR(INDEX(계정매핑!$F$5:$F$504,MATCH($F1120&amp;"",계정매핑!$A$5:$A$504,0))&amp;"","비귀속"),""))</f>
        <v/>
      </c>
      <c r="AG1120" s="96">
        <f>IF($A1120="",0,IF(AND(AE1120&lt;&gt;"직접",IFERROR(INDEX(계정매핑!$G$5:$G$504,MATCH($F1120&amp;"",계정매핑!$A$5:$A$504,0))&amp;"","")="유지비",COUNTIF(계정대체기준!$A$6:$A$15,$N1120)&gt;0),IFERROR(INDEX(계정대체기준!$E$6:$E$15,MATCH(VALUE($A1120&amp;""),계정대체기준!$D$6:$D$15,0)),0),0))</f>
        <v/>
      </c>
      <c r="AH1120" s="64">
        <f>IF($A1120="","",IF(AD1120=0,"",IF(OR(COUNTIF(계정대체기준!$A$77:$A$86,$N1120)&gt;0,ISNUMBER(MATCH($X1120,계정대체기준!$D$77:$D$86,0)),ISNUMBER(MATCH($F1120,계정대체기준!$D$77:$D$86,0))),"Y","N")))</f>
        <v/>
      </c>
    </row>
    <row r="1121">
      <c r="A1121" s="92" t="n">
        <v>2025</v>
      </c>
      <c r="B1121" s="92" t="n">
        <v>5</v>
      </c>
      <c r="C1121" s="92" t="inlineStr">
        <is>
          <t>5100001117</t>
        </is>
      </c>
      <c r="D1121" s="95" t="n">
        <v>45802</v>
      </c>
      <c r="E1121" s="92" t="inlineStr">
        <is>
          <t>KR</t>
        </is>
      </c>
      <c r="F1121" s="92" t="n">
        <v>62902000</v>
      </c>
      <c r="G1121" s="92" t="n">
        <v>1801</v>
      </c>
      <c r="H1121" s="93" t="n">
        <v>3000000</v>
      </c>
      <c r="I1121" s="92" t="inlineStr">
        <is>
          <t>5월 업무 위탁 수수료 - X서비스</t>
        </is>
      </c>
      <c r="J1121" s="92" t="inlineStr">
        <is>
          <t>V10020</t>
        </is>
      </c>
      <c r="K1121" s="92" t="inlineStr">
        <is>
          <t>X서비스</t>
        </is>
      </c>
      <c r="M1121" s="9">
        <f>IF($A1121="","",VALUE($A1121&amp;"")*12+VALUE($B1121&amp;""))</f>
        <v/>
      </c>
      <c r="N1121" s="64">
        <f>IF($A1121="","",IFERROR(INDEX(부서매핑!$C$5:$C$504,MATCH($G1121&amp;"",부서매핑!$A$5:$A$504,0)),"미매핑"))</f>
        <v/>
      </c>
      <c r="O1121" s="9">
        <f>IF($A1121="","",N1121&amp;"|"&amp;$F1121)</f>
        <v/>
      </c>
      <c r="P1121" s="94">
        <f>IF($A1121="",0,$H1121*설정!$C$23)</f>
        <v/>
      </c>
      <c r="Q1121" s="64">
        <f>IF($A1121="","",IF(O1121&lt;&gt;원인분석!$C$9,"",IF(AND(M1121&gt;=원인분석!$C$10,M1121&lt;=원인분석!$C$11),"당기",IF(AND(M1121&gt;=원인분석!$C$12,M1121&lt;=원인분석!$C$13),"비교",""))))</f>
        <v/>
      </c>
      <c r="R1121" s="9">
        <f>IF(Q1121="","",$K1121&amp;"")</f>
        <v/>
      </c>
      <c r="S1121" s="9">
        <f>IF(Q1121="","",IF(MATCH(R1121,$R$5:$R$100000,0)=ROW()-4,ROW(),""))</f>
        <v/>
      </c>
      <c r="T1121" s="9">
        <f>IF(Q1121="당기",ABS(P1121)+ROW()/1000000000,"")</f>
        <v/>
      </c>
      <c r="U1121" s="9">
        <f>IF(Q1121="비교",ABS(P1121)+ROW()/1000000000,"")</f>
        <v/>
      </c>
      <c r="V1121" s="64">
        <f>IF($A1121="","",IF(COUNTIF(변동분석!$E$7:$E$506,O1121)&gt;0,"Y","N"))</f>
        <v/>
      </c>
      <c r="W1121" s="64">
        <f>IF($A1121="","",IFERROR(INDEX(계정매핑!$D$5:$D$504,MATCH($F1121&amp;"",계정매핑!$A$5:$A$504,0)),"미매핑"))</f>
        <v/>
      </c>
      <c r="X1121" s="9">
        <f>IF($A1121="","",$F1121&amp;"")</f>
        <v/>
      </c>
      <c r="Y1121" s="94">
        <f>IF($A1121="",0,IF(AE1121="직접",IF(AF1121="비귀속",$P1121,0),$P1121*(1-AG1121)*IFERROR(INDEX(계정대체기준!$F$20:$F$49,MATCH($N1121,계정대체기준!$A$20:$A$49,0)),1)))</f>
        <v/>
      </c>
      <c r="Z1121" s="94">
        <f>IF($A1121="",0,IF(AE1121="직접",IF(AF1121="신계약비",$P1121,0),$P1121*(1-AG1121)*IFERROR(INDEX(계정대체기준!$C$20:$C$49,MATCH($N1121,계정대체기준!$A$20:$A$49,0)),0)))</f>
        <v/>
      </c>
      <c r="AA1121" s="94">
        <f>IF($A1121="",0,IF(AE1121="직접",IF(OR(AF1121="유지비",AF1121="손해조사비"),$P1121,0),$P1121*(1-AG1121)*IFERROR(INDEX(계정대체기준!$D$20:$D$49,MATCH($N1121,계정대체기준!$A$20:$A$49,0)),0)))</f>
        <v/>
      </c>
      <c r="AB1121" s="94">
        <f>IF($A1121="",0,IF(AE1121="직접",IF(AF1121="수금비",$P1121,0),$P1121*(1-AG1121)*IFERROR(INDEX(계정대체기준!$E$20:$E$49,MATCH($N1121,계정대체기준!$A$20:$A$49,0)),0)))</f>
        <v/>
      </c>
      <c r="AC1121" s="9">
        <f>IF(AND($A1121&lt;&gt;"",M1121=설정!$C$20,Z1121&gt;0),Z1121+ROW()/1000000000,"")</f>
        <v/>
      </c>
      <c r="AD1121" s="94">
        <f>IF($A1121="",0,$P1121*AG1121)</f>
        <v/>
      </c>
      <c r="AE1121" s="64">
        <f>IF($A1121="","",IFERROR(INDEX(계정매핑!$E$5:$E$504,MATCH($F1121&amp;"",계정매핑!$A$5:$A$504,0))&amp;"","공통비"))</f>
        <v/>
      </c>
      <c r="AF1121" s="64">
        <f>IF($A1121="","",IF(AE1121="직접",IFERROR(INDEX(계정매핑!$F$5:$F$504,MATCH($F1121&amp;"",계정매핑!$A$5:$A$504,0))&amp;"","비귀속"),""))</f>
        <v/>
      </c>
      <c r="AG1121" s="96">
        <f>IF($A1121="",0,IF(AND(AE1121&lt;&gt;"직접",IFERROR(INDEX(계정매핑!$G$5:$G$504,MATCH($F1121&amp;"",계정매핑!$A$5:$A$504,0))&amp;"","")="유지비",COUNTIF(계정대체기준!$A$6:$A$15,$N1121)&gt;0),IFERROR(INDEX(계정대체기준!$E$6:$E$15,MATCH(VALUE($A1121&amp;""),계정대체기준!$D$6:$D$15,0)),0),0))</f>
        <v/>
      </c>
      <c r="AH1121" s="64">
        <f>IF($A1121="","",IF(AD1121=0,"",IF(OR(COUNTIF(계정대체기준!$A$77:$A$86,$N1121)&gt;0,ISNUMBER(MATCH($X1121,계정대체기준!$D$77:$D$86,0)),ISNUMBER(MATCH($F1121,계정대체기준!$D$77:$D$86,0))),"Y","N")))</f>
        <v/>
      </c>
    </row>
    <row r="1122">
      <c r="A1122" s="92" t="n">
        <v>2025</v>
      </c>
      <c r="B1122" s="92" t="n">
        <v>5</v>
      </c>
      <c r="C1122" s="92" t="inlineStr">
        <is>
          <t>5100001118</t>
        </is>
      </c>
      <c r="D1122" s="95" t="n">
        <v>45802</v>
      </c>
      <c r="E1122" s="92" t="inlineStr">
        <is>
          <t>KR</t>
        </is>
      </c>
      <c r="F1122" s="92" t="n">
        <v>63002000</v>
      </c>
      <c r="G1122" s="92" t="n">
        <v>1701</v>
      </c>
      <c r="H1122" s="93" t="n">
        <v>67000000</v>
      </c>
      <c r="I1122" s="92" t="inlineStr">
        <is>
          <t>5월 클라우드 사용료 - C클라우드</t>
        </is>
      </c>
      <c r="J1122" s="92" t="inlineStr">
        <is>
          <t>V10026</t>
        </is>
      </c>
      <c r="K1122" s="92" t="inlineStr">
        <is>
          <t>C클라우드</t>
        </is>
      </c>
      <c r="M1122" s="9">
        <f>IF($A1122="","",VALUE($A1122&amp;"")*12+VALUE($B1122&amp;""))</f>
        <v/>
      </c>
      <c r="N1122" s="64">
        <f>IF($A1122="","",IFERROR(INDEX(부서매핑!$C$5:$C$504,MATCH($G1122&amp;"",부서매핑!$A$5:$A$504,0)),"미매핑"))</f>
        <v/>
      </c>
      <c r="O1122" s="9">
        <f>IF($A1122="","",N1122&amp;"|"&amp;$F1122)</f>
        <v/>
      </c>
      <c r="P1122" s="94">
        <f>IF($A1122="",0,$H1122*설정!$C$23)</f>
        <v/>
      </c>
      <c r="Q1122" s="64">
        <f>IF($A1122="","",IF(O1122&lt;&gt;원인분석!$C$9,"",IF(AND(M1122&gt;=원인분석!$C$10,M1122&lt;=원인분석!$C$11),"당기",IF(AND(M1122&gt;=원인분석!$C$12,M1122&lt;=원인분석!$C$13),"비교",""))))</f>
        <v/>
      </c>
      <c r="R1122" s="9">
        <f>IF(Q1122="","",$K1122&amp;"")</f>
        <v/>
      </c>
      <c r="S1122" s="9">
        <f>IF(Q1122="","",IF(MATCH(R1122,$R$5:$R$100000,0)=ROW()-4,ROW(),""))</f>
        <v/>
      </c>
      <c r="T1122" s="9">
        <f>IF(Q1122="당기",ABS(P1122)+ROW()/1000000000,"")</f>
        <v/>
      </c>
      <c r="U1122" s="9">
        <f>IF(Q1122="비교",ABS(P1122)+ROW()/1000000000,"")</f>
        <v/>
      </c>
      <c r="V1122" s="64">
        <f>IF($A1122="","",IF(COUNTIF(변동분석!$E$7:$E$506,O1122)&gt;0,"Y","N"))</f>
        <v/>
      </c>
      <c r="W1122" s="64">
        <f>IF($A1122="","",IFERROR(INDEX(계정매핑!$D$5:$D$504,MATCH($F1122&amp;"",계정매핑!$A$5:$A$504,0)),"미매핑"))</f>
        <v/>
      </c>
      <c r="X1122" s="9">
        <f>IF($A1122="","",$F1122&amp;"")</f>
        <v/>
      </c>
      <c r="Y1122" s="94">
        <f>IF($A1122="",0,IF(AE1122="직접",IF(AF1122="비귀속",$P1122,0),$P1122*(1-AG1122)*IFERROR(INDEX(계정대체기준!$F$20:$F$49,MATCH($N1122,계정대체기준!$A$20:$A$49,0)),1)))</f>
        <v/>
      </c>
      <c r="Z1122" s="94">
        <f>IF($A1122="",0,IF(AE1122="직접",IF(AF1122="신계약비",$P1122,0),$P1122*(1-AG1122)*IFERROR(INDEX(계정대체기준!$C$20:$C$49,MATCH($N1122,계정대체기준!$A$20:$A$49,0)),0)))</f>
        <v/>
      </c>
      <c r="AA1122" s="94">
        <f>IF($A1122="",0,IF(AE1122="직접",IF(OR(AF1122="유지비",AF1122="손해조사비"),$P1122,0),$P1122*(1-AG1122)*IFERROR(INDEX(계정대체기준!$D$20:$D$49,MATCH($N1122,계정대체기준!$A$20:$A$49,0)),0)))</f>
        <v/>
      </c>
      <c r="AB1122" s="94">
        <f>IF($A1122="",0,IF(AE1122="직접",IF(AF1122="수금비",$P1122,0),$P1122*(1-AG1122)*IFERROR(INDEX(계정대체기준!$E$20:$E$49,MATCH($N1122,계정대체기준!$A$20:$A$49,0)),0)))</f>
        <v/>
      </c>
      <c r="AC1122" s="9">
        <f>IF(AND($A1122&lt;&gt;"",M1122=설정!$C$20,Z1122&gt;0),Z1122+ROW()/1000000000,"")</f>
        <v/>
      </c>
      <c r="AD1122" s="94">
        <f>IF($A1122="",0,$P1122*AG1122)</f>
        <v/>
      </c>
      <c r="AE1122" s="64">
        <f>IF($A1122="","",IFERROR(INDEX(계정매핑!$E$5:$E$504,MATCH($F1122&amp;"",계정매핑!$A$5:$A$504,0))&amp;"","공통비"))</f>
        <v/>
      </c>
      <c r="AF1122" s="64">
        <f>IF($A1122="","",IF(AE1122="직접",IFERROR(INDEX(계정매핑!$F$5:$F$504,MATCH($F1122&amp;"",계정매핑!$A$5:$A$504,0))&amp;"","비귀속"),""))</f>
        <v/>
      </c>
      <c r="AG1122" s="96">
        <f>IF($A1122="",0,IF(AND(AE1122&lt;&gt;"직접",IFERROR(INDEX(계정매핑!$G$5:$G$504,MATCH($F1122&amp;"",계정매핑!$A$5:$A$504,0))&amp;"","")="유지비",COUNTIF(계정대체기준!$A$6:$A$15,$N1122)&gt;0),IFERROR(INDEX(계정대체기준!$E$6:$E$15,MATCH(VALUE($A1122&amp;""),계정대체기준!$D$6:$D$15,0)),0),0))</f>
        <v/>
      </c>
      <c r="AH1122" s="64">
        <f>IF($A1122="","",IF(AD1122=0,"",IF(OR(COUNTIF(계정대체기준!$A$77:$A$86,$N1122)&gt;0,ISNUMBER(MATCH($X1122,계정대체기준!$D$77:$D$86,0)),ISNUMBER(MATCH($F1122,계정대체기준!$D$77:$D$86,0))),"Y","N")))</f>
        <v/>
      </c>
    </row>
    <row r="1123">
      <c r="A1123" s="92" t="n">
        <v>2025</v>
      </c>
      <c r="B1123" s="92" t="n">
        <v>5</v>
      </c>
      <c r="C1123" s="92" t="inlineStr">
        <is>
          <t>5100001119</t>
        </is>
      </c>
      <c r="D1123" s="95" t="n">
        <v>45802</v>
      </c>
      <c r="E1123" s="92" t="inlineStr">
        <is>
          <t>KR</t>
        </is>
      </c>
      <c r="F1123" s="92" t="n">
        <v>63601000</v>
      </c>
      <c r="G1123" s="92" t="n">
        <v>1801</v>
      </c>
      <c r="H1123" s="93" t="n">
        <v>8827000</v>
      </c>
      <c r="I1123" s="92" t="inlineStr">
        <is>
          <t>5월 손해사정 수수료 - DD손해사정</t>
        </is>
      </c>
      <c r="J1123" s="92" t="inlineStr">
        <is>
          <t>V10032</t>
        </is>
      </c>
      <c r="K1123" s="92" t="inlineStr">
        <is>
          <t>DD손해사정</t>
        </is>
      </c>
      <c r="M1123" s="9">
        <f>IF($A1123="","",VALUE($A1123&amp;"")*12+VALUE($B1123&amp;""))</f>
        <v/>
      </c>
      <c r="N1123" s="64">
        <f>IF($A1123="","",IFERROR(INDEX(부서매핑!$C$5:$C$504,MATCH($G1123&amp;"",부서매핑!$A$5:$A$504,0)),"미매핑"))</f>
        <v/>
      </c>
      <c r="O1123" s="9">
        <f>IF($A1123="","",N1123&amp;"|"&amp;$F1123)</f>
        <v/>
      </c>
      <c r="P1123" s="94">
        <f>IF($A1123="",0,$H1123*설정!$C$23)</f>
        <v/>
      </c>
      <c r="Q1123" s="64">
        <f>IF($A1123="","",IF(O1123&lt;&gt;원인분석!$C$9,"",IF(AND(M1123&gt;=원인분석!$C$10,M1123&lt;=원인분석!$C$11),"당기",IF(AND(M1123&gt;=원인분석!$C$12,M1123&lt;=원인분석!$C$13),"비교",""))))</f>
        <v/>
      </c>
      <c r="R1123" s="9">
        <f>IF(Q1123="","",$K1123&amp;"")</f>
        <v/>
      </c>
      <c r="S1123" s="9">
        <f>IF(Q1123="","",IF(MATCH(R1123,$R$5:$R$100000,0)=ROW()-4,ROW(),""))</f>
        <v/>
      </c>
      <c r="T1123" s="9">
        <f>IF(Q1123="당기",ABS(P1123)+ROW()/1000000000,"")</f>
        <v/>
      </c>
      <c r="U1123" s="9">
        <f>IF(Q1123="비교",ABS(P1123)+ROW()/1000000000,"")</f>
        <v/>
      </c>
      <c r="V1123" s="64">
        <f>IF($A1123="","",IF(COUNTIF(변동분석!$E$7:$E$506,O1123)&gt;0,"Y","N"))</f>
        <v/>
      </c>
      <c r="W1123" s="64">
        <f>IF($A1123="","",IFERROR(INDEX(계정매핑!$D$5:$D$504,MATCH($F1123&amp;"",계정매핑!$A$5:$A$504,0)),"미매핑"))</f>
        <v/>
      </c>
      <c r="X1123" s="9">
        <f>IF($A1123="","",$F1123&amp;"")</f>
        <v/>
      </c>
      <c r="Y1123" s="94">
        <f>IF($A1123="",0,IF(AE1123="직접",IF(AF1123="비귀속",$P1123,0),$P1123*(1-AG1123)*IFERROR(INDEX(계정대체기준!$F$20:$F$49,MATCH($N1123,계정대체기준!$A$20:$A$49,0)),1)))</f>
        <v/>
      </c>
      <c r="Z1123" s="94">
        <f>IF($A1123="",0,IF(AE1123="직접",IF(AF1123="신계약비",$P1123,0),$P1123*(1-AG1123)*IFERROR(INDEX(계정대체기준!$C$20:$C$49,MATCH($N1123,계정대체기준!$A$20:$A$49,0)),0)))</f>
        <v/>
      </c>
      <c r="AA1123" s="94">
        <f>IF($A1123="",0,IF(AE1123="직접",IF(OR(AF1123="유지비",AF1123="손해조사비"),$P1123,0),$P1123*(1-AG1123)*IFERROR(INDEX(계정대체기준!$D$20:$D$49,MATCH($N1123,계정대체기준!$A$20:$A$49,0)),0)))</f>
        <v/>
      </c>
      <c r="AB1123" s="94">
        <f>IF($A1123="",0,IF(AE1123="직접",IF(AF1123="수금비",$P1123,0),$P1123*(1-AG1123)*IFERROR(INDEX(계정대체기준!$E$20:$E$49,MATCH($N1123,계정대체기준!$A$20:$A$49,0)),0)))</f>
        <v/>
      </c>
      <c r="AC1123" s="9">
        <f>IF(AND($A1123&lt;&gt;"",M1123=설정!$C$20,Z1123&gt;0),Z1123+ROW()/1000000000,"")</f>
        <v/>
      </c>
      <c r="AD1123" s="94">
        <f>IF($A1123="",0,$P1123*AG1123)</f>
        <v/>
      </c>
      <c r="AE1123" s="64">
        <f>IF($A1123="","",IFERROR(INDEX(계정매핑!$E$5:$E$504,MATCH($F1123&amp;"",계정매핑!$A$5:$A$504,0))&amp;"","공통비"))</f>
        <v/>
      </c>
      <c r="AF1123" s="64">
        <f>IF($A1123="","",IF(AE1123="직접",IFERROR(INDEX(계정매핑!$F$5:$F$504,MATCH($F1123&amp;"",계정매핑!$A$5:$A$504,0))&amp;"","비귀속"),""))</f>
        <v/>
      </c>
      <c r="AG1123" s="96">
        <f>IF($A1123="",0,IF(AND(AE1123&lt;&gt;"직접",IFERROR(INDEX(계정매핑!$G$5:$G$504,MATCH($F1123&amp;"",계정매핑!$A$5:$A$504,0))&amp;"","")="유지비",COUNTIF(계정대체기준!$A$6:$A$15,$N1123)&gt;0),IFERROR(INDEX(계정대체기준!$E$6:$E$15,MATCH(VALUE($A1123&amp;""),계정대체기준!$D$6:$D$15,0)),0),0))</f>
        <v/>
      </c>
      <c r="AH1123" s="64">
        <f>IF($A1123="","",IF(AD1123=0,"",IF(OR(COUNTIF(계정대체기준!$A$77:$A$86,$N1123)&gt;0,ISNUMBER(MATCH($X1123,계정대체기준!$D$77:$D$86,0)),ISNUMBER(MATCH($F1123,계정대체기준!$D$77:$D$86,0))),"Y","N")))</f>
        <v/>
      </c>
    </row>
    <row r="1124">
      <c r="A1124" s="92" t="n">
        <v>2025</v>
      </c>
      <c r="B1124" s="92" t="n">
        <v>5</v>
      </c>
      <c r="C1124" s="92" t="inlineStr">
        <is>
          <t>5100001120</t>
        </is>
      </c>
      <c r="D1124" s="95" t="n">
        <v>45803</v>
      </c>
      <c r="E1124" s="92" t="inlineStr">
        <is>
          <t>KR</t>
        </is>
      </c>
      <c r="F1124" s="92" t="n">
        <v>62101000</v>
      </c>
      <c r="G1124" s="92" t="n">
        <v>1301</v>
      </c>
      <c r="H1124" s="93" t="n">
        <v>469000</v>
      </c>
      <c r="I1124" s="92" t="inlineStr">
        <is>
          <t>5월 국내출장 - (법인카드)</t>
        </is>
      </c>
      <c r="J1124" s="92" t="inlineStr">
        <is>
          <t>V10010</t>
        </is>
      </c>
      <c r="K1124" s="92" t="inlineStr">
        <is>
          <t>(법인카드)</t>
        </is>
      </c>
      <c r="M1124" s="9">
        <f>IF($A1124="","",VALUE($A1124&amp;"")*12+VALUE($B1124&amp;""))</f>
        <v/>
      </c>
      <c r="N1124" s="64">
        <f>IF($A1124="","",IFERROR(INDEX(부서매핑!$C$5:$C$504,MATCH($G1124&amp;"",부서매핑!$A$5:$A$504,0)),"미매핑"))</f>
        <v/>
      </c>
      <c r="O1124" s="9">
        <f>IF($A1124="","",N1124&amp;"|"&amp;$F1124)</f>
        <v/>
      </c>
      <c r="P1124" s="94">
        <f>IF($A1124="",0,$H1124*설정!$C$23)</f>
        <v/>
      </c>
      <c r="Q1124" s="64">
        <f>IF($A1124="","",IF(O1124&lt;&gt;원인분석!$C$9,"",IF(AND(M1124&gt;=원인분석!$C$10,M1124&lt;=원인분석!$C$11),"당기",IF(AND(M1124&gt;=원인분석!$C$12,M1124&lt;=원인분석!$C$13),"비교",""))))</f>
        <v/>
      </c>
      <c r="R1124" s="9">
        <f>IF(Q1124="","",$K1124&amp;"")</f>
        <v/>
      </c>
      <c r="S1124" s="9">
        <f>IF(Q1124="","",IF(MATCH(R1124,$R$5:$R$100000,0)=ROW()-4,ROW(),""))</f>
        <v/>
      </c>
      <c r="T1124" s="9">
        <f>IF(Q1124="당기",ABS(P1124)+ROW()/1000000000,"")</f>
        <v/>
      </c>
      <c r="U1124" s="9">
        <f>IF(Q1124="비교",ABS(P1124)+ROW()/1000000000,"")</f>
        <v/>
      </c>
      <c r="V1124" s="64">
        <f>IF($A1124="","",IF(COUNTIF(변동분석!$E$7:$E$506,O1124)&gt;0,"Y","N"))</f>
        <v/>
      </c>
      <c r="W1124" s="64">
        <f>IF($A1124="","",IFERROR(INDEX(계정매핑!$D$5:$D$504,MATCH($F1124&amp;"",계정매핑!$A$5:$A$504,0)),"미매핑"))</f>
        <v/>
      </c>
      <c r="X1124" s="9">
        <f>IF($A1124="","",$F1124&amp;"")</f>
        <v/>
      </c>
      <c r="Y1124" s="94">
        <f>IF($A1124="",0,IF(AE1124="직접",IF(AF1124="비귀속",$P1124,0),$P1124*(1-AG1124)*IFERROR(INDEX(계정대체기준!$F$20:$F$49,MATCH($N1124,계정대체기준!$A$20:$A$49,0)),1)))</f>
        <v/>
      </c>
      <c r="Z1124" s="94">
        <f>IF($A1124="",0,IF(AE1124="직접",IF(AF1124="신계약비",$P1124,0),$P1124*(1-AG1124)*IFERROR(INDEX(계정대체기준!$C$20:$C$49,MATCH($N1124,계정대체기준!$A$20:$A$49,0)),0)))</f>
        <v/>
      </c>
      <c r="AA1124" s="94">
        <f>IF($A1124="",0,IF(AE1124="직접",IF(OR(AF1124="유지비",AF1124="손해조사비"),$P1124,0),$P1124*(1-AG1124)*IFERROR(INDEX(계정대체기준!$D$20:$D$49,MATCH($N1124,계정대체기준!$A$20:$A$49,0)),0)))</f>
        <v/>
      </c>
      <c r="AB1124" s="94">
        <f>IF($A1124="",0,IF(AE1124="직접",IF(AF1124="수금비",$P1124,0),$P1124*(1-AG1124)*IFERROR(INDEX(계정대체기준!$E$20:$E$49,MATCH($N1124,계정대체기준!$A$20:$A$49,0)),0)))</f>
        <v/>
      </c>
      <c r="AC1124" s="9">
        <f>IF(AND($A1124&lt;&gt;"",M1124=설정!$C$20,Z1124&gt;0),Z1124+ROW()/1000000000,"")</f>
        <v/>
      </c>
      <c r="AD1124" s="94">
        <f>IF($A1124="",0,$P1124*AG1124)</f>
        <v/>
      </c>
      <c r="AE1124" s="64">
        <f>IF($A1124="","",IFERROR(INDEX(계정매핑!$E$5:$E$504,MATCH($F1124&amp;"",계정매핑!$A$5:$A$504,0))&amp;"","공통비"))</f>
        <v/>
      </c>
      <c r="AF1124" s="64">
        <f>IF($A1124="","",IF(AE1124="직접",IFERROR(INDEX(계정매핑!$F$5:$F$504,MATCH($F1124&amp;"",계정매핑!$A$5:$A$504,0))&amp;"","비귀속"),""))</f>
        <v/>
      </c>
      <c r="AG1124" s="96">
        <f>IF($A1124="",0,IF(AND(AE1124&lt;&gt;"직접",IFERROR(INDEX(계정매핑!$G$5:$G$504,MATCH($F1124&amp;"",계정매핑!$A$5:$A$504,0))&amp;"","")="유지비",COUNTIF(계정대체기준!$A$6:$A$15,$N1124)&gt;0),IFERROR(INDEX(계정대체기준!$E$6:$E$15,MATCH(VALUE($A1124&amp;""),계정대체기준!$D$6:$D$15,0)),0),0))</f>
        <v/>
      </c>
      <c r="AH1124" s="64">
        <f>IF($A1124="","",IF(AD1124=0,"",IF(OR(COUNTIF(계정대체기준!$A$77:$A$86,$N1124)&gt;0,ISNUMBER(MATCH($X1124,계정대체기준!$D$77:$D$86,0)),ISNUMBER(MATCH($F1124,계정대체기준!$D$77:$D$86,0))),"Y","N")))</f>
        <v/>
      </c>
    </row>
    <row r="1125">
      <c r="A1125" s="92" t="n">
        <v>2025</v>
      </c>
      <c r="B1125" s="92" t="n">
        <v>5</v>
      </c>
      <c r="C1125" s="92" t="inlineStr">
        <is>
          <t>5100001121</t>
        </is>
      </c>
      <c r="D1125" s="95" t="n">
        <v>45803</v>
      </c>
      <c r="E1125" s="92" t="inlineStr">
        <is>
          <t>KR</t>
        </is>
      </c>
      <c r="F1125" s="92" t="n">
        <v>62102000</v>
      </c>
      <c r="G1125" s="92" t="n">
        <v>1501</v>
      </c>
      <c r="H1125" s="93" t="n">
        <v>83000</v>
      </c>
      <c r="I1125" s="92" t="inlineStr">
        <is>
          <t>5월 해외출장 - N호텔</t>
        </is>
      </c>
      <c r="J1125" s="92" t="inlineStr">
        <is>
          <t>V10009</t>
        </is>
      </c>
      <c r="K1125" s="92" t="inlineStr">
        <is>
          <t>N호텔</t>
        </is>
      </c>
      <c r="M1125" s="9">
        <f>IF($A1125="","",VALUE($A1125&amp;"")*12+VALUE($B1125&amp;""))</f>
        <v/>
      </c>
      <c r="N1125" s="64">
        <f>IF($A1125="","",IFERROR(INDEX(부서매핑!$C$5:$C$504,MATCH($G1125&amp;"",부서매핑!$A$5:$A$504,0)),"미매핑"))</f>
        <v/>
      </c>
      <c r="O1125" s="9">
        <f>IF($A1125="","",N1125&amp;"|"&amp;$F1125)</f>
        <v/>
      </c>
      <c r="P1125" s="94">
        <f>IF($A1125="",0,$H1125*설정!$C$23)</f>
        <v/>
      </c>
      <c r="Q1125" s="64">
        <f>IF($A1125="","",IF(O1125&lt;&gt;원인분석!$C$9,"",IF(AND(M1125&gt;=원인분석!$C$10,M1125&lt;=원인분석!$C$11),"당기",IF(AND(M1125&gt;=원인분석!$C$12,M1125&lt;=원인분석!$C$13),"비교",""))))</f>
        <v/>
      </c>
      <c r="R1125" s="9">
        <f>IF(Q1125="","",$K1125&amp;"")</f>
        <v/>
      </c>
      <c r="S1125" s="9">
        <f>IF(Q1125="","",IF(MATCH(R1125,$R$5:$R$100000,0)=ROW()-4,ROW(),""))</f>
        <v/>
      </c>
      <c r="T1125" s="9">
        <f>IF(Q1125="당기",ABS(P1125)+ROW()/1000000000,"")</f>
        <v/>
      </c>
      <c r="U1125" s="9">
        <f>IF(Q1125="비교",ABS(P1125)+ROW()/1000000000,"")</f>
        <v/>
      </c>
      <c r="V1125" s="64">
        <f>IF($A1125="","",IF(COUNTIF(변동분석!$E$7:$E$506,O1125)&gt;0,"Y","N"))</f>
        <v/>
      </c>
      <c r="W1125" s="64">
        <f>IF($A1125="","",IFERROR(INDEX(계정매핑!$D$5:$D$504,MATCH($F1125&amp;"",계정매핑!$A$5:$A$504,0)),"미매핑"))</f>
        <v/>
      </c>
      <c r="X1125" s="9">
        <f>IF($A1125="","",$F1125&amp;"")</f>
        <v/>
      </c>
      <c r="Y1125" s="94">
        <f>IF($A1125="",0,IF(AE1125="직접",IF(AF1125="비귀속",$P1125,0),$P1125*(1-AG1125)*IFERROR(INDEX(계정대체기준!$F$20:$F$49,MATCH($N1125,계정대체기준!$A$20:$A$49,0)),1)))</f>
        <v/>
      </c>
      <c r="Z1125" s="94">
        <f>IF($A1125="",0,IF(AE1125="직접",IF(AF1125="신계약비",$P1125,0),$P1125*(1-AG1125)*IFERROR(INDEX(계정대체기준!$C$20:$C$49,MATCH($N1125,계정대체기준!$A$20:$A$49,0)),0)))</f>
        <v/>
      </c>
      <c r="AA1125" s="94">
        <f>IF($A1125="",0,IF(AE1125="직접",IF(OR(AF1125="유지비",AF1125="손해조사비"),$P1125,0),$P1125*(1-AG1125)*IFERROR(INDEX(계정대체기준!$D$20:$D$49,MATCH($N1125,계정대체기준!$A$20:$A$49,0)),0)))</f>
        <v/>
      </c>
      <c r="AB1125" s="94">
        <f>IF($A1125="",0,IF(AE1125="직접",IF(AF1125="수금비",$P1125,0),$P1125*(1-AG1125)*IFERROR(INDEX(계정대체기준!$E$20:$E$49,MATCH($N1125,계정대체기준!$A$20:$A$49,0)),0)))</f>
        <v/>
      </c>
      <c r="AC1125" s="9">
        <f>IF(AND($A1125&lt;&gt;"",M1125=설정!$C$20,Z1125&gt;0),Z1125+ROW()/1000000000,"")</f>
        <v/>
      </c>
      <c r="AD1125" s="94">
        <f>IF($A1125="",0,$P1125*AG1125)</f>
        <v/>
      </c>
      <c r="AE1125" s="64">
        <f>IF($A1125="","",IFERROR(INDEX(계정매핑!$E$5:$E$504,MATCH($F1125&amp;"",계정매핑!$A$5:$A$504,0))&amp;"","공통비"))</f>
        <v/>
      </c>
      <c r="AF1125" s="64">
        <f>IF($A1125="","",IF(AE1125="직접",IFERROR(INDEX(계정매핑!$F$5:$F$504,MATCH($F1125&amp;"",계정매핑!$A$5:$A$504,0))&amp;"","비귀속"),""))</f>
        <v/>
      </c>
      <c r="AG1125" s="96">
        <f>IF($A1125="",0,IF(AND(AE1125&lt;&gt;"직접",IFERROR(INDEX(계정매핑!$G$5:$G$504,MATCH($F1125&amp;"",계정매핑!$A$5:$A$504,0))&amp;"","")="유지비",COUNTIF(계정대체기준!$A$6:$A$15,$N1125)&gt;0),IFERROR(INDEX(계정대체기준!$E$6:$E$15,MATCH(VALUE($A1125&amp;""),계정대체기준!$D$6:$D$15,0)),0),0))</f>
        <v/>
      </c>
      <c r="AH1125" s="64">
        <f>IF($A1125="","",IF(AD1125=0,"",IF(OR(COUNTIF(계정대체기준!$A$77:$A$86,$N1125)&gt;0,ISNUMBER(MATCH($X1125,계정대체기준!$D$77:$D$86,0)),ISNUMBER(MATCH($F1125,계정대체기준!$D$77:$D$86,0))),"Y","N")))</f>
        <v/>
      </c>
    </row>
    <row r="1126">
      <c r="A1126" s="92" t="n">
        <v>2025</v>
      </c>
      <c r="B1126" s="92" t="n">
        <v>5</v>
      </c>
      <c r="C1126" s="92" t="inlineStr">
        <is>
          <t>5100001122</t>
        </is>
      </c>
      <c r="D1126" s="95" t="n">
        <v>45803</v>
      </c>
      <c r="E1126" s="92" t="inlineStr">
        <is>
          <t>KR</t>
        </is>
      </c>
      <c r="F1126" s="92" t="n">
        <v>62201000</v>
      </c>
      <c r="G1126" s="92" t="n">
        <v>1201</v>
      </c>
      <c r="H1126" s="93" t="n">
        <v>144000</v>
      </c>
      <c r="I1126" s="92" t="inlineStr">
        <is>
          <t>5월 통신요금 - P통신</t>
        </is>
      </c>
      <c r="J1126" s="92" t="inlineStr">
        <is>
          <t>V10014</t>
        </is>
      </c>
      <c r="K1126" s="92" t="inlineStr">
        <is>
          <t>P통신</t>
        </is>
      </c>
      <c r="M1126" s="9">
        <f>IF($A1126="","",VALUE($A1126&amp;"")*12+VALUE($B1126&amp;""))</f>
        <v/>
      </c>
      <c r="N1126" s="64">
        <f>IF($A1126="","",IFERROR(INDEX(부서매핑!$C$5:$C$504,MATCH($G1126&amp;"",부서매핑!$A$5:$A$504,0)),"미매핑"))</f>
        <v/>
      </c>
      <c r="O1126" s="9">
        <f>IF($A1126="","",N1126&amp;"|"&amp;$F1126)</f>
        <v/>
      </c>
      <c r="P1126" s="94">
        <f>IF($A1126="",0,$H1126*설정!$C$23)</f>
        <v/>
      </c>
      <c r="Q1126" s="64">
        <f>IF($A1126="","",IF(O1126&lt;&gt;원인분석!$C$9,"",IF(AND(M1126&gt;=원인분석!$C$10,M1126&lt;=원인분석!$C$11),"당기",IF(AND(M1126&gt;=원인분석!$C$12,M1126&lt;=원인분석!$C$13),"비교",""))))</f>
        <v/>
      </c>
      <c r="R1126" s="9">
        <f>IF(Q1126="","",$K1126&amp;"")</f>
        <v/>
      </c>
      <c r="S1126" s="9">
        <f>IF(Q1126="","",IF(MATCH(R1126,$R$5:$R$100000,0)=ROW()-4,ROW(),""))</f>
        <v/>
      </c>
      <c r="T1126" s="9">
        <f>IF(Q1126="당기",ABS(P1126)+ROW()/1000000000,"")</f>
        <v/>
      </c>
      <c r="U1126" s="9">
        <f>IF(Q1126="비교",ABS(P1126)+ROW()/1000000000,"")</f>
        <v/>
      </c>
      <c r="V1126" s="64">
        <f>IF($A1126="","",IF(COUNTIF(변동분석!$E$7:$E$506,O1126)&gt;0,"Y","N"))</f>
        <v/>
      </c>
      <c r="W1126" s="64">
        <f>IF($A1126="","",IFERROR(INDEX(계정매핑!$D$5:$D$504,MATCH($F1126&amp;"",계정매핑!$A$5:$A$504,0)),"미매핑"))</f>
        <v/>
      </c>
      <c r="X1126" s="9">
        <f>IF($A1126="","",$F1126&amp;"")</f>
        <v/>
      </c>
      <c r="Y1126" s="94">
        <f>IF($A1126="",0,IF(AE1126="직접",IF(AF1126="비귀속",$P1126,0),$P1126*(1-AG1126)*IFERROR(INDEX(계정대체기준!$F$20:$F$49,MATCH($N1126,계정대체기준!$A$20:$A$49,0)),1)))</f>
        <v/>
      </c>
      <c r="Z1126" s="94">
        <f>IF($A1126="",0,IF(AE1126="직접",IF(AF1126="신계약비",$P1126,0),$P1126*(1-AG1126)*IFERROR(INDEX(계정대체기준!$C$20:$C$49,MATCH($N1126,계정대체기준!$A$20:$A$49,0)),0)))</f>
        <v/>
      </c>
      <c r="AA1126" s="94">
        <f>IF($A1126="",0,IF(AE1126="직접",IF(OR(AF1126="유지비",AF1126="손해조사비"),$P1126,0),$P1126*(1-AG1126)*IFERROR(INDEX(계정대체기준!$D$20:$D$49,MATCH($N1126,계정대체기준!$A$20:$A$49,0)),0)))</f>
        <v/>
      </c>
      <c r="AB1126" s="94">
        <f>IF($A1126="",0,IF(AE1126="직접",IF(AF1126="수금비",$P1126,0),$P1126*(1-AG1126)*IFERROR(INDEX(계정대체기준!$E$20:$E$49,MATCH($N1126,계정대체기준!$A$20:$A$49,0)),0)))</f>
        <v/>
      </c>
      <c r="AC1126" s="9">
        <f>IF(AND($A1126&lt;&gt;"",M1126=설정!$C$20,Z1126&gt;0),Z1126+ROW()/1000000000,"")</f>
        <v/>
      </c>
      <c r="AD1126" s="94">
        <f>IF($A1126="",0,$P1126*AG1126)</f>
        <v/>
      </c>
      <c r="AE1126" s="64">
        <f>IF($A1126="","",IFERROR(INDEX(계정매핑!$E$5:$E$504,MATCH($F1126&amp;"",계정매핑!$A$5:$A$504,0))&amp;"","공통비"))</f>
        <v/>
      </c>
      <c r="AF1126" s="64">
        <f>IF($A1126="","",IF(AE1126="직접",IFERROR(INDEX(계정매핑!$F$5:$F$504,MATCH($F1126&amp;"",계정매핑!$A$5:$A$504,0))&amp;"","비귀속"),""))</f>
        <v/>
      </c>
      <c r="AG1126" s="96">
        <f>IF($A1126="",0,IF(AND(AE1126&lt;&gt;"직접",IFERROR(INDEX(계정매핑!$G$5:$G$504,MATCH($F1126&amp;"",계정매핑!$A$5:$A$504,0))&amp;"","")="유지비",COUNTIF(계정대체기준!$A$6:$A$15,$N1126)&gt;0),IFERROR(INDEX(계정대체기준!$E$6:$E$15,MATCH(VALUE($A1126&amp;""),계정대체기준!$D$6:$D$15,0)),0),0))</f>
        <v/>
      </c>
      <c r="AH1126" s="64">
        <f>IF($A1126="","",IF(AD1126=0,"",IF(OR(COUNTIF(계정대체기준!$A$77:$A$86,$N1126)&gt;0,ISNUMBER(MATCH($X1126,계정대체기준!$D$77:$D$86,0)),ISNUMBER(MATCH($F1126,계정대체기준!$D$77:$D$86,0))),"Y","N")))</f>
        <v/>
      </c>
    </row>
    <row r="1127">
      <c r="A1127" s="92" t="n">
        <v>2025</v>
      </c>
      <c r="B1127" s="92" t="n">
        <v>5</v>
      </c>
      <c r="C1127" s="92" t="inlineStr">
        <is>
          <t>5100001123</t>
        </is>
      </c>
      <c r="D1127" s="95" t="n">
        <v>45803</v>
      </c>
      <c r="E1127" s="92" t="inlineStr">
        <is>
          <t>KR</t>
        </is>
      </c>
      <c r="F1127" s="92" t="n">
        <v>62201000</v>
      </c>
      <c r="G1127" s="92" t="n">
        <v>1301</v>
      </c>
      <c r="H1127" s="93" t="n">
        <v>146000</v>
      </c>
      <c r="I1127" s="92" t="inlineStr">
        <is>
          <t>5월 통신요금 - O텔레콤</t>
        </is>
      </c>
      <c r="J1127" s="92" t="inlineStr">
        <is>
          <t>V10002</t>
        </is>
      </c>
      <c r="K1127" s="92" t="inlineStr">
        <is>
          <t>O텔레콤</t>
        </is>
      </c>
      <c r="M1127" s="9">
        <f>IF($A1127="","",VALUE($A1127&amp;"")*12+VALUE($B1127&amp;""))</f>
        <v/>
      </c>
      <c r="N1127" s="64">
        <f>IF($A1127="","",IFERROR(INDEX(부서매핑!$C$5:$C$504,MATCH($G1127&amp;"",부서매핑!$A$5:$A$504,0)),"미매핑"))</f>
        <v/>
      </c>
      <c r="O1127" s="9">
        <f>IF($A1127="","",N1127&amp;"|"&amp;$F1127)</f>
        <v/>
      </c>
      <c r="P1127" s="94">
        <f>IF($A1127="",0,$H1127*설정!$C$23)</f>
        <v/>
      </c>
      <c r="Q1127" s="64">
        <f>IF($A1127="","",IF(O1127&lt;&gt;원인분석!$C$9,"",IF(AND(M1127&gt;=원인분석!$C$10,M1127&lt;=원인분석!$C$11),"당기",IF(AND(M1127&gt;=원인분석!$C$12,M1127&lt;=원인분석!$C$13),"비교",""))))</f>
        <v/>
      </c>
      <c r="R1127" s="9">
        <f>IF(Q1127="","",$K1127&amp;"")</f>
        <v/>
      </c>
      <c r="S1127" s="9">
        <f>IF(Q1127="","",IF(MATCH(R1127,$R$5:$R$100000,0)=ROW()-4,ROW(),""))</f>
        <v/>
      </c>
      <c r="T1127" s="9">
        <f>IF(Q1127="당기",ABS(P1127)+ROW()/1000000000,"")</f>
        <v/>
      </c>
      <c r="U1127" s="9">
        <f>IF(Q1127="비교",ABS(P1127)+ROW()/1000000000,"")</f>
        <v/>
      </c>
      <c r="V1127" s="64">
        <f>IF($A1127="","",IF(COUNTIF(변동분석!$E$7:$E$506,O1127)&gt;0,"Y","N"))</f>
        <v/>
      </c>
      <c r="W1127" s="64">
        <f>IF($A1127="","",IFERROR(INDEX(계정매핑!$D$5:$D$504,MATCH($F1127&amp;"",계정매핑!$A$5:$A$504,0)),"미매핑"))</f>
        <v/>
      </c>
      <c r="X1127" s="9">
        <f>IF($A1127="","",$F1127&amp;"")</f>
        <v/>
      </c>
      <c r="Y1127" s="94">
        <f>IF($A1127="",0,IF(AE1127="직접",IF(AF1127="비귀속",$P1127,0),$P1127*(1-AG1127)*IFERROR(INDEX(계정대체기준!$F$20:$F$49,MATCH($N1127,계정대체기준!$A$20:$A$49,0)),1)))</f>
        <v/>
      </c>
      <c r="Z1127" s="94">
        <f>IF($A1127="",0,IF(AE1127="직접",IF(AF1127="신계약비",$P1127,0),$P1127*(1-AG1127)*IFERROR(INDEX(계정대체기준!$C$20:$C$49,MATCH($N1127,계정대체기준!$A$20:$A$49,0)),0)))</f>
        <v/>
      </c>
      <c r="AA1127" s="94">
        <f>IF($A1127="",0,IF(AE1127="직접",IF(OR(AF1127="유지비",AF1127="손해조사비"),$P1127,0),$P1127*(1-AG1127)*IFERROR(INDEX(계정대체기준!$D$20:$D$49,MATCH($N1127,계정대체기준!$A$20:$A$49,0)),0)))</f>
        <v/>
      </c>
      <c r="AB1127" s="94">
        <f>IF($A1127="",0,IF(AE1127="직접",IF(AF1127="수금비",$P1127,0),$P1127*(1-AG1127)*IFERROR(INDEX(계정대체기준!$E$20:$E$49,MATCH($N1127,계정대체기준!$A$20:$A$49,0)),0)))</f>
        <v/>
      </c>
      <c r="AC1127" s="9">
        <f>IF(AND($A1127&lt;&gt;"",M1127=설정!$C$20,Z1127&gt;0),Z1127+ROW()/1000000000,"")</f>
        <v/>
      </c>
      <c r="AD1127" s="94">
        <f>IF($A1127="",0,$P1127*AG1127)</f>
        <v/>
      </c>
      <c r="AE1127" s="64">
        <f>IF($A1127="","",IFERROR(INDEX(계정매핑!$E$5:$E$504,MATCH($F1127&amp;"",계정매핑!$A$5:$A$504,0))&amp;"","공통비"))</f>
        <v/>
      </c>
      <c r="AF1127" s="64">
        <f>IF($A1127="","",IF(AE1127="직접",IFERROR(INDEX(계정매핑!$F$5:$F$504,MATCH($F1127&amp;"",계정매핑!$A$5:$A$504,0))&amp;"","비귀속"),""))</f>
        <v/>
      </c>
      <c r="AG1127" s="96">
        <f>IF($A1127="",0,IF(AND(AE1127&lt;&gt;"직접",IFERROR(INDEX(계정매핑!$G$5:$G$504,MATCH($F1127&amp;"",계정매핑!$A$5:$A$504,0))&amp;"","")="유지비",COUNTIF(계정대체기준!$A$6:$A$15,$N1127)&gt;0),IFERROR(INDEX(계정대체기준!$E$6:$E$15,MATCH(VALUE($A1127&amp;""),계정대체기준!$D$6:$D$15,0)),0),0))</f>
        <v/>
      </c>
      <c r="AH1127" s="64">
        <f>IF($A1127="","",IF(AD1127=0,"",IF(OR(COUNTIF(계정대체기준!$A$77:$A$86,$N1127)&gt;0,ISNUMBER(MATCH($X1127,계정대체기준!$D$77:$D$86,0)),ISNUMBER(MATCH($F1127,계정대체기준!$D$77:$D$86,0))),"Y","N")))</f>
        <v/>
      </c>
    </row>
    <row r="1128">
      <c r="A1128" s="92" t="n">
        <v>2025</v>
      </c>
      <c r="B1128" s="92" t="n">
        <v>5</v>
      </c>
      <c r="C1128" s="92" t="inlineStr">
        <is>
          <t>5100001124</t>
        </is>
      </c>
      <c r="D1128" s="95" t="n">
        <v>45803</v>
      </c>
      <c r="E1128" s="92" t="inlineStr">
        <is>
          <t>KR</t>
        </is>
      </c>
      <c r="F1128" s="92" t="n">
        <v>62301000</v>
      </c>
      <c r="G1128" s="92" t="n">
        <v>1201</v>
      </c>
      <c r="H1128" s="93" t="n">
        <v>220000</v>
      </c>
      <c r="I1128" s="92" t="inlineStr">
        <is>
          <t>5월 소모품 구입 - Q오피스</t>
        </is>
      </c>
      <c r="J1128" s="92" t="inlineStr">
        <is>
          <t>V10003</t>
        </is>
      </c>
      <c r="K1128" s="92" t="inlineStr">
        <is>
          <t>Q오피스</t>
        </is>
      </c>
      <c r="M1128" s="9">
        <f>IF($A1128="","",VALUE($A1128&amp;"")*12+VALUE($B1128&amp;""))</f>
        <v/>
      </c>
      <c r="N1128" s="64">
        <f>IF($A1128="","",IFERROR(INDEX(부서매핑!$C$5:$C$504,MATCH($G1128&amp;"",부서매핑!$A$5:$A$504,0)),"미매핑"))</f>
        <v/>
      </c>
      <c r="O1128" s="9">
        <f>IF($A1128="","",N1128&amp;"|"&amp;$F1128)</f>
        <v/>
      </c>
      <c r="P1128" s="94">
        <f>IF($A1128="",0,$H1128*설정!$C$23)</f>
        <v/>
      </c>
      <c r="Q1128" s="64">
        <f>IF($A1128="","",IF(O1128&lt;&gt;원인분석!$C$9,"",IF(AND(M1128&gt;=원인분석!$C$10,M1128&lt;=원인분석!$C$11),"당기",IF(AND(M1128&gt;=원인분석!$C$12,M1128&lt;=원인분석!$C$13),"비교",""))))</f>
        <v/>
      </c>
      <c r="R1128" s="9">
        <f>IF(Q1128="","",$K1128&amp;"")</f>
        <v/>
      </c>
      <c r="S1128" s="9">
        <f>IF(Q1128="","",IF(MATCH(R1128,$R$5:$R$100000,0)=ROW()-4,ROW(),""))</f>
        <v/>
      </c>
      <c r="T1128" s="9">
        <f>IF(Q1128="당기",ABS(P1128)+ROW()/1000000000,"")</f>
        <v/>
      </c>
      <c r="U1128" s="9">
        <f>IF(Q1128="비교",ABS(P1128)+ROW()/1000000000,"")</f>
        <v/>
      </c>
      <c r="V1128" s="64">
        <f>IF($A1128="","",IF(COUNTIF(변동분석!$E$7:$E$506,O1128)&gt;0,"Y","N"))</f>
        <v/>
      </c>
      <c r="W1128" s="64">
        <f>IF($A1128="","",IFERROR(INDEX(계정매핑!$D$5:$D$504,MATCH($F1128&amp;"",계정매핑!$A$5:$A$504,0)),"미매핑"))</f>
        <v/>
      </c>
      <c r="X1128" s="9">
        <f>IF($A1128="","",$F1128&amp;"")</f>
        <v/>
      </c>
      <c r="Y1128" s="94">
        <f>IF($A1128="",0,IF(AE1128="직접",IF(AF1128="비귀속",$P1128,0),$P1128*(1-AG1128)*IFERROR(INDEX(계정대체기준!$F$20:$F$49,MATCH($N1128,계정대체기준!$A$20:$A$49,0)),1)))</f>
        <v/>
      </c>
      <c r="Z1128" s="94">
        <f>IF($A1128="",0,IF(AE1128="직접",IF(AF1128="신계약비",$P1128,0),$P1128*(1-AG1128)*IFERROR(INDEX(계정대체기준!$C$20:$C$49,MATCH($N1128,계정대체기준!$A$20:$A$49,0)),0)))</f>
        <v/>
      </c>
      <c r="AA1128" s="94">
        <f>IF($A1128="",0,IF(AE1128="직접",IF(OR(AF1128="유지비",AF1128="손해조사비"),$P1128,0),$P1128*(1-AG1128)*IFERROR(INDEX(계정대체기준!$D$20:$D$49,MATCH($N1128,계정대체기준!$A$20:$A$49,0)),0)))</f>
        <v/>
      </c>
      <c r="AB1128" s="94">
        <f>IF($A1128="",0,IF(AE1128="직접",IF(AF1128="수금비",$P1128,0),$P1128*(1-AG1128)*IFERROR(INDEX(계정대체기준!$E$20:$E$49,MATCH($N1128,계정대체기준!$A$20:$A$49,0)),0)))</f>
        <v/>
      </c>
      <c r="AC1128" s="9">
        <f>IF(AND($A1128&lt;&gt;"",M1128=설정!$C$20,Z1128&gt;0),Z1128+ROW()/1000000000,"")</f>
        <v/>
      </c>
      <c r="AD1128" s="94">
        <f>IF($A1128="",0,$P1128*AG1128)</f>
        <v/>
      </c>
      <c r="AE1128" s="64">
        <f>IF($A1128="","",IFERROR(INDEX(계정매핑!$E$5:$E$504,MATCH($F1128&amp;"",계정매핑!$A$5:$A$504,0))&amp;"","공통비"))</f>
        <v/>
      </c>
      <c r="AF1128" s="64">
        <f>IF($A1128="","",IF(AE1128="직접",IFERROR(INDEX(계정매핑!$F$5:$F$504,MATCH($F1128&amp;"",계정매핑!$A$5:$A$504,0))&amp;"","비귀속"),""))</f>
        <v/>
      </c>
      <c r="AG1128" s="96">
        <f>IF($A1128="",0,IF(AND(AE1128&lt;&gt;"직접",IFERROR(INDEX(계정매핑!$G$5:$G$504,MATCH($F1128&amp;"",계정매핑!$A$5:$A$504,0))&amp;"","")="유지비",COUNTIF(계정대체기준!$A$6:$A$15,$N1128)&gt;0),IFERROR(INDEX(계정대체기준!$E$6:$E$15,MATCH(VALUE($A1128&amp;""),계정대체기준!$D$6:$D$15,0)),0),0))</f>
        <v/>
      </c>
      <c r="AH1128" s="64">
        <f>IF($A1128="","",IF(AD1128=0,"",IF(OR(COUNTIF(계정대체기준!$A$77:$A$86,$N1128)&gt;0,ISNUMBER(MATCH($X1128,계정대체기준!$D$77:$D$86,0)),ISNUMBER(MATCH($F1128,계정대체기준!$D$77:$D$86,0))),"Y","N")))</f>
        <v/>
      </c>
    </row>
    <row r="1129">
      <c r="A1129" s="92" t="n">
        <v>2025</v>
      </c>
      <c r="B1129" s="92" t="n">
        <v>5</v>
      </c>
      <c r="C1129" s="92" t="inlineStr">
        <is>
          <t>5100001125</t>
        </is>
      </c>
      <c r="D1129" s="95" t="n">
        <v>45803</v>
      </c>
      <c r="E1129" s="92" t="inlineStr">
        <is>
          <t>KR</t>
        </is>
      </c>
      <c r="F1129" s="92" t="n">
        <v>62501000</v>
      </c>
      <c r="G1129" s="92" t="n">
        <v>1601</v>
      </c>
      <c r="H1129" s="93" t="n">
        <v>552000</v>
      </c>
      <c r="I1129" s="92" t="inlineStr">
        <is>
          <t>5월 회의 다과 - T케이터링</t>
        </is>
      </c>
      <c r="J1129" s="92" t="inlineStr">
        <is>
          <t>V10005</t>
        </is>
      </c>
      <c r="K1129" s="92" t="inlineStr">
        <is>
          <t>T케이터링</t>
        </is>
      </c>
      <c r="M1129" s="9">
        <f>IF($A1129="","",VALUE($A1129&amp;"")*12+VALUE($B1129&amp;""))</f>
        <v/>
      </c>
      <c r="N1129" s="64">
        <f>IF($A1129="","",IFERROR(INDEX(부서매핑!$C$5:$C$504,MATCH($G1129&amp;"",부서매핑!$A$5:$A$504,0)),"미매핑"))</f>
        <v/>
      </c>
      <c r="O1129" s="9">
        <f>IF($A1129="","",N1129&amp;"|"&amp;$F1129)</f>
        <v/>
      </c>
      <c r="P1129" s="94">
        <f>IF($A1129="",0,$H1129*설정!$C$23)</f>
        <v/>
      </c>
      <c r="Q1129" s="64">
        <f>IF($A1129="","",IF(O1129&lt;&gt;원인분석!$C$9,"",IF(AND(M1129&gt;=원인분석!$C$10,M1129&lt;=원인분석!$C$11),"당기",IF(AND(M1129&gt;=원인분석!$C$12,M1129&lt;=원인분석!$C$13),"비교",""))))</f>
        <v/>
      </c>
      <c r="R1129" s="9">
        <f>IF(Q1129="","",$K1129&amp;"")</f>
        <v/>
      </c>
      <c r="S1129" s="9">
        <f>IF(Q1129="","",IF(MATCH(R1129,$R$5:$R$100000,0)=ROW()-4,ROW(),""))</f>
        <v/>
      </c>
      <c r="T1129" s="9">
        <f>IF(Q1129="당기",ABS(P1129)+ROW()/1000000000,"")</f>
        <v/>
      </c>
      <c r="U1129" s="9">
        <f>IF(Q1129="비교",ABS(P1129)+ROW()/1000000000,"")</f>
        <v/>
      </c>
      <c r="V1129" s="64">
        <f>IF($A1129="","",IF(COUNTIF(변동분석!$E$7:$E$506,O1129)&gt;0,"Y","N"))</f>
        <v/>
      </c>
      <c r="W1129" s="64">
        <f>IF($A1129="","",IFERROR(INDEX(계정매핑!$D$5:$D$504,MATCH($F1129&amp;"",계정매핑!$A$5:$A$504,0)),"미매핑"))</f>
        <v/>
      </c>
      <c r="X1129" s="9">
        <f>IF($A1129="","",$F1129&amp;"")</f>
        <v/>
      </c>
      <c r="Y1129" s="94">
        <f>IF($A1129="",0,IF(AE1129="직접",IF(AF1129="비귀속",$P1129,0),$P1129*(1-AG1129)*IFERROR(INDEX(계정대체기준!$F$20:$F$49,MATCH($N1129,계정대체기준!$A$20:$A$49,0)),1)))</f>
        <v/>
      </c>
      <c r="Z1129" s="94">
        <f>IF($A1129="",0,IF(AE1129="직접",IF(AF1129="신계약비",$P1129,0),$P1129*(1-AG1129)*IFERROR(INDEX(계정대체기준!$C$20:$C$49,MATCH($N1129,계정대체기준!$A$20:$A$49,0)),0)))</f>
        <v/>
      </c>
      <c r="AA1129" s="94">
        <f>IF($A1129="",0,IF(AE1129="직접",IF(OR(AF1129="유지비",AF1129="손해조사비"),$P1129,0),$P1129*(1-AG1129)*IFERROR(INDEX(계정대체기준!$D$20:$D$49,MATCH($N1129,계정대체기준!$A$20:$A$49,0)),0)))</f>
        <v/>
      </c>
      <c r="AB1129" s="94">
        <f>IF($A1129="",0,IF(AE1129="직접",IF(AF1129="수금비",$P1129,0),$P1129*(1-AG1129)*IFERROR(INDEX(계정대체기준!$E$20:$E$49,MATCH($N1129,계정대체기준!$A$20:$A$49,0)),0)))</f>
        <v/>
      </c>
      <c r="AC1129" s="9">
        <f>IF(AND($A1129&lt;&gt;"",M1129=설정!$C$20,Z1129&gt;0),Z1129+ROW()/1000000000,"")</f>
        <v/>
      </c>
      <c r="AD1129" s="94">
        <f>IF($A1129="",0,$P1129*AG1129)</f>
        <v/>
      </c>
      <c r="AE1129" s="64">
        <f>IF($A1129="","",IFERROR(INDEX(계정매핑!$E$5:$E$504,MATCH($F1129&amp;"",계정매핑!$A$5:$A$504,0))&amp;"","공통비"))</f>
        <v/>
      </c>
      <c r="AF1129" s="64">
        <f>IF($A1129="","",IF(AE1129="직접",IFERROR(INDEX(계정매핑!$F$5:$F$504,MATCH($F1129&amp;"",계정매핑!$A$5:$A$504,0))&amp;"","비귀속"),""))</f>
        <v/>
      </c>
      <c r="AG1129" s="96">
        <f>IF($A1129="",0,IF(AND(AE1129&lt;&gt;"직접",IFERROR(INDEX(계정매핑!$G$5:$G$504,MATCH($F1129&amp;"",계정매핑!$A$5:$A$504,0))&amp;"","")="유지비",COUNTIF(계정대체기준!$A$6:$A$15,$N1129)&gt;0),IFERROR(INDEX(계정대체기준!$E$6:$E$15,MATCH(VALUE($A1129&amp;""),계정대체기준!$D$6:$D$15,0)),0),0))</f>
        <v/>
      </c>
      <c r="AH1129" s="64">
        <f>IF($A1129="","",IF(AD1129=0,"",IF(OR(COUNTIF(계정대체기준!$A$77:$A$86,$N1129)&gt;0,ISNUMBER(MATCH($X1129,계정대체기준!$D$77:$D$86,0)),ISNUMBER(MATCH($F1129,계정대체기준!$D$77:$D$86,0))),"Y","N")))</f>
        <v/>
      </c>
    </row>
    <row r="1130">
      <c r="A1130" s="92" t="n">
        <v>2025</v>
      </c>
      <c r="B1130" s="92" t="n">
        <v>5</v>
      </c>
      <c r="C1130" s="92" t="inlineStr">
        <is>
          <t>5100001126</t>
        </is>
      </c>
      <c r="D1130" s="95" t="n">
        <v>45803</v>
      </c>
      <c r="E1130" s="92" t="inlineStr">
        <is>
          <t>KR</t>
        </is>
      </c>
      <c r="F1130" s="92" t="n">
        <v>62901000</v>
      </c>
      <c r="G1130" s="92" t="n">
        <v>1801</v>
      </c>
      <c r="H1130" s="93" t="n">
        <v>9636000</v>
      </c>
      <c r="I1130" s="92" t="inlineStr">
        <is>
          <t>5월 자문 수수료 - K회계법인</t>
        </is>
      </c>
      <c r="J1130" s="92" t="inlineStr">
        <is>
          <t>V10011</t>
        </is>
      </c>
      <c r="K1130" s="92" t="inlineStr">
        <is>
          <t>K회계법인</t>
        </is>
      </c>
      <c r="M1130" s="9">
        <f>IF($A1130="","",VALUE($A1130&amp;"")*12+VALUE($B1130&amp;""))</f>
        <v/>
      </c>
      <c r="N1130" s="64">
        <f>IF($A1130="","",IFERROR(INDEX(부서매핑!$C$5:$C$504,MATCH($G1130&amp;"",부서매핑!$A$5:$A$504,0)),"미매핑"))</f>
        <v/>
      </c>
      <c r="O1130" s="9">
        <f>IF($A1130="","",N1130&amp;"|"&amp;$F1130)</f>
        <v/>
      </c>
      <c r="P1130" s="94">
        <f>IF($A1130="",0,$H1130*설정!$C$23)</f>
        <v/>
      </c>
      <c r="Q1130" s="64">
        <f>IF($A1130="","",IF(O1130&lt;&gt;원인분석!$C$9,"",IF(AND(M1130&gt;=원인분석!$C$10,M1130&lt;=원인분석!$C$11),"당기",IF(AND(M1130&gt;=원인분석!$C$12,M1130&lt;=원인분석!$C$13),"비교",""))))</f>
        <v/>
      </c>
      <c r="R1130" s="9">
        <f>IF(Q1130="","",$K1130&amp;"")</f>
        <v/>
      </c>
      <c r="S1130" s="9">
        <f>IF(Q1130="","",IF(MATCH(R1130,$R$5:$R$100000,0)=ROW()-4,ROW(),""))</f>
        <v/>
      </c>
      <c r="T1130" s="9">
        <f>IF(Q1130="당기",ABS(P1130)+ROW()/1000000000,"")</f>
        <v/>
      </c>
      <c r="U1130" s="9">
        <f>IF(Q1130="비교",ABS(P1130)+ROW()/1000000000,"")</f>
        <v/>
      </c>
      <c r="V1130" s="64">
        <f>IF($A1130="","",IF(COUNTIF(변동분석!$E$7:$E$506,O1130)&gt;0,"Y","N"))</f>
        <v/>
      </c>
      <c r="W1130" s="64">
        <f>IF($A1130="","",IFERROR(INDEX(계정매핑!$D$5:$D$504,MATCH($F1130&amp;"",계정매핑!$A$5:$A$504,0)),"미매핑"))</f>
        <v/>
      </c>
      <c r="X1130" s="9">
        <f>IF($A1130="","",$F1130&amp;"")</f>
        <v/>
      </c>
      <c r="Y1130" s="94">
        <f>IF($A1130="",0,IF(AE1130="직접",IF(AF1130="비귀속",$P1130,0),$P1130*(1-AG1130)*IFERROR(INDEX(계정대체기준!$F$20:$F$49,MATCH($N1130,계정대체기준!$A$20:$A$49,0)),1)))</f>
        <v/>
      </c>
      <c r="Z1130" s="94">
        <f>IF($A1130="",0,IF(AE1130="직접",IF(AF1130="신계약비",$P1130,0),$P1130*(1-AG1130)*IFERROR(INDEX(계정대체기준!$C$20:$C$49,MATCH($N1130,계정대체기준!$A$20:$A$49,0)),0)))</f>
        <v/>
      </c>
      <c r="AA1130" s="94">
        <f>IF($A1130="",0,IF(AE1130="직접",IF(OR(AF1130="유지비",AF1130="손해조사비"),$P1130,0),$P1130*(1-AG1130)*IFERROR(INDEX(계정대체기준!$D$20:$D$49,MATCH($N1130,계정대체기준!$A$20:$A$49,0)),0)))</f>
        <v/>
      </c>
      <c r="AB1130" s="94">
        <f>IF($A1130="",0,IF(AE1130="직접",IF(AF1130="수금비",$P1130,0),$P1130*(1-AG1130)*IFERROR(INDEX(계정대체기준!$E$20:$E$49,MATCH($N1130,계정대체기준!$A$20:$A$49,0)),0)))</f>
        <v/>
      </c>
      <c r="AC1130" s="9">
        <f>IF(AND($A1130&lt;&gt;"",M1130=설정!$C$20,Z1130&gt;0),Z1130+ROW()/1000000000,"")</f>
        <v/>
      </c>
      <c r="AD1130" s="94">
        <f>IF($A1130="",0,$P1130*AG1130)</f>
        <v/>
      </c>
      <c r="AE1130" s="64">
        <f>IF($A1130="","",IFERROR(INDEX(계정매핑!$E$5:$E$504,MATCH($F1130&amp;"",계정매핑!$A$5:$A$504,0))&amp;"","공통비"))</f>
        <v/>
      </c>
      <c r="AF1130" s="64">
        <f>IF($A1130="","",IF(AE1130="직접",IFERROR(INDEX(계정매핑!$F$5:$F$504,MATCH($F1130&amp;"",계정매핑!$A$5:$A$504,0))&amp;"","비귀속"),""))</f>
        <v/>
      </c>
      <c r="AG1130" s="96">
        <f>IF($A1130="",0,IF(AND(AE1130&lt;&gt;"직접",IFERROR(INDEX(계정매핑!$G$5:$G$504,MATCH($F1130&amp;"",계정매핑!$A$5:$A$504,0))&amp;"","")="유지비",COUNTIF(계정대체기준!$A$6:$A$15,$N1130)&gt;0),IFERROR(INDEX(계정대체기준!$E$6:$E$15,MATCH(VALUE($A1130&amp;""),계정대체기준!$D$6:$D$15,0)),0),0))</f>
        <v/>
      </c>
      <c r="AH1130" s="64">
        <f>IF($A1130="","",IF(AD1130=0,"",IF(OR(COUNTIF(계정대체기준!$A$77:$A$86,$N1130)&gt;0,ISNUMBER(MATCH($X1130,계정대체기준!$D$77:$D$86,0)),ISNUMBER(MATCH($F1130,계정대체기준!$D$77:$D$86,0))),"Y","N")))</f>
        <v/>
      </c>
    </row>
    <row r="1131">
      <c r="A1131" s="92" t="n">
        <v>2025</v>
      </c>
      <c r="B1131" s="92" t="n">
        <v>5</v>
      </c>
      <c r="C1131" s="92" t="inlineStr">
        <is>
          <t>5100001127</t>
        </is>
      </c>
      <c r="D1131" s="95" t="n">
        <v>45803</v>
      </c>
      <c r="E1131" s="92" t="inlineStr">
        <is>
          <t>KR</t>
        </is>
      </c>
      <c r="F1131" s="92" t="n">
        <v>62901000</v>
      </c>
      <c r="G1131" s="92" t="n">
        <v>1951</v>
      </c>
      <c r="H1131" s="93" t="n">
        <v>3739000</v>
      </c>
      <c r="I1131" s="92" t="inlineStr">
        <is>
          <t>5월 자문 수수료 - K회계법인</t>
        </is>
      </c>
      <c r="J1131" s="92" t="inlineStr">
        <is>
          <t>V10011</t>
        </is>
      </c>
      <c r="K1131" s="92" t="inlineStr">
        <is>
          <t>K회계법인</t>
        </is>
      </c>
      <c r="M1131" s="9">
        <f>IF($A1131="","",VALUE($A1131&amp;"")*12+VALUE($B1131&amp;""))</f>
        <v/>
      </c>
      <c r="N1131" s="64">
        <f>IF($A1131="","",IFERROR(INDEX(부서매핑!$C$5:$C$504,MATCH($G1131&amp;"",부서매핑!$A$5:$A$504,0)),"미매핑"))</f>
        <v/>
      </c>
      <c r="O1131" s="9">
        <f>IF($A1131="","",N1131&amp;"|"&amp;$F1131)</f>
        <v/>
      </c>
      <c r="P1131" s="94">
        <f>IF($A1131="",0,$H1131*설정!$C$23)</f>
        <v/>
      </c>
      <c r="Q1131" s="64">
        <f>IF($A1131="","",IF(O1131&lt;&gt;원인분석!$C$9,"",IF(AND(M1131&gt;=원인분석!$C$10,M1131&lt;=원인분석!$C$11),"당기",IF(AND(M1131&gt;=원인분석!$C$12,M1131&lt;=원인분석!$C$13),"비교",""))))</f>
        <v/>
      </c>
      <c r="R1131" s="9">
        <f>IF(Q1131="","",$K1131&amp;"")</f>
        <v/>
      </c>
      <c r="S1131" s="9">
        <f>IF(Q1131="","",IF(MATCH(R1131,$R$5:$R$100000,0)=ROW()-4,ROW(),""))</f>
        <v/>
      </c>
      <c r="T1131" s="9">
        <f>IF(Q1131="당기",ABS(P1131)+ROW()/1000000000,"")</f>
        <v/>
      </c>
      <c r="U1131" s="9">
        <f>IF(Q1131="비교",ABS(P1131)+ROW()/1000000000,"")</f>
        <v/>
      </c>
      <c r="V1131" s="64">
        <f>IF($A1131="","",IF(COUNTIF(변동분석!$E$7:$E$506,O1131)&gt;0,"Y","N"))</f>
        <v/>
      </c>
      <c r="W1131" s="64">
        <f>IF($A1131="","",IFERROR(INDEX(계정매핑!$D$5:$D$504,MATCH($F1131&amp;"",계정매핑!$A$5:$A$504,0)),"미매핑"))</f>
        <v/>
      </c>
      <c r="X1131" s="9">
        <f>IF($A1131="","",$F1131&amp;"")</f>
        <v/>
      </c>
      <c r="Y1131" s="94">
        <f>IF($A1131="",0,IF(AE1131="직접",IF(AF1131="비귀속",$P1131,0),$P1131*(1-AG1131)*IFERROR(INDEX(계정대체기준!$F$20:$F$49,MATCH($N1131,계정대체기준!$A$20:$A$49,0)),1)))</f>
        <v/>
      </c>
      <c r="Z1131" s="94">
        <f>IF($A1131="",0,IF(AE1131="직접",IF(AF1131="신계약비",$P1131,0),$P1131*(1-AG1131)*IFERROR(INDEX(계정대체기준!$C$20:$C$49,MATCH($N1131,계정대체기준!$A$20:$A$49,0)),0)))</f>
        <v/>
      </c>
      <c r="AA1131" s="94">
        <f>IF($A1131="",0,IF(AE1131="직접",IF(OR(AF1131="유지비",AF1131="손해조사비"),$P1131,0),$P1131*(1-AG1131)*IFERROR(INDEX(계정대체기준!$D$20:$D$49,MATCH($N1131,계정대체기준!$A$20:$A$49,0)),0)))</f>
        <v/>
      </c>
      <c r="AB1131" s="94">
        <f>IF($A1131="",0,IF(AE1131="직접",IF(AF1131="수금비",$P1131,0),$P1131*(1-AG1131)*IFERROR(INDEX(계정대체기준!$E$20:$E$49,MATCH($N1131,계정대체기준!$A$20:$A$49,0)),0)))</f>
        <v/>
      </c>
      <c r="AC1131" s="9">
        <f>IF(AND($A1131&lt;&gt;"",M1131=설정!$C$20,Z1131&gt;0),Z1131+ROW()/1000000000,"")</f>
        <v/>
      </c>
      <c r="AD1131" s="94">
        <f>IF($A1131="",0,$P1131*AG1131)</f>
        <v/>
      </c>
      <c r="AE1131" s="64">
        <f>IF($A1131="","",IFERROR(INDEX(계정매핑!$E$5:$E$504,MATCH($F1131&amp;"",계정매핑!$A$5:$A$504,0))&amp;"","공통비"))</f>
        <v/>
      </c>
      <c r="AF1131" s="64">
        <f>IF($A1131="","",IF(AE1131="직접",IFERROR(INDEX(계정매핑!$F$5:$F$504,MATCH($F1131&amp;"",계정매핑!$A$5:$A$504,0))&amp;"","비귀속"),""))</f>
        <v/>
      </c>
      <c r="AG1131" s="96">
        <f>IF($A1131="",0,IF(AND(AE1131&lt;&gt;"직접",IFERROR(INDEX(계정매핑!$G$5:$G$504,MATCH($F1131&amp;"",계정매핑!$A$5:$A$504,0))&amp;"","")="유지비",COUNTIF(계정대체기준!$A$6:$A$15,$N1131)&gt;0),IFERROR(INDEX(계정대체기준!$E$6:$E$15,MATCH(VALUE($A1131&amp;""),계정대체기준!$D$6:$D$15,0)),0),0))</f>
        <v/>
      </c>
      <c r="AH1131" s="64">
        <f>IF($A1131="","",IF(AD1131=0,"",IF(OR(COUNTIF(계정대체기준!$A$77:$A$86,$N1131)&gt;0,ISNUMBER(MATCH($X1131,계정대체기준!$D$77:$D$86,0)),ISNUMBER(MATCH($F1131,계정대체기준!$D$77:$D$86,0))),"Y","N")))</f>
        <v/>
      </c>
    </row>
    <row r="1132">
      <c r="A1132" s="92" t="n">
        <v>2025</v>
      </c>
      <c r="B1132" s="92" t="n">
        <v>5</v>
      </c>
      <c r="C1132" s="92" t="inlineStr">
        <is>
          <t>5100001128</t>
        </is>
      </c>
      <c r="D1132" s="95" t="n">
        <v>45803</v>
      </c>
      <c r="E1132" s="92" t="inlineStr">
        <is>
          <t>KR</t>
        </is>
      </c>
      <c r="F1132" s="92" t="n">
        <v>62902000</v>
      </c>
      <c r="G1132" s="92" t="n">
        <v>1801</v>
      </c>
      <c r="H1132" s="93" t="n">
        <v>1842000</v>
      </c>
      <c r="I1132" s="92" t="inlineStr">
        <is>
          <t>5월 콜 위탁 수수료(건별)</t>
        </is>
      </c>
      <c r="J1132" s="92" t="inlineStr">
        <is>
          <t>V10016</t>
        </is>
      </c>
      <c r="K1132" s="92" t="inlineStr">
        <is>
          <t>J콜센터</t>
        </is>
      </c>
      <c r="M1132" s="9">
        <f>IF($A1132="","",VALUE($A1132&amp;"")*12+VALUE($B1132&amp;""))</f>
        <v/>
      </c>
      <c r="N1132" s="64">
        <f>IF($A1132="","",IFERROR(INDEX(부서매핑!$C$5:$C$504,MATCH($G1132&amp;"",부서매핑!$A$5:$A$504,0)),"미매핑"))</f>
        <v/>
      </c>
      <c r="O1132" s="9">
        <f>IF($A1132="","",N1132&amp;"|"&amp;$F1132)</f>
        <v/>
      </c>
      <c r="P1132" s="94">
        <f>IF($A1132="",0,$H1132*설정!$C$23)</f>
        <v/>
      </c>
      <c r="Q1132" s="64">
        <f>IF($A1132="","",IF(O1132&lt;&gt;원인분석!$C$9,"",IF(AND(M1132&gt;=원인분석!$C$10,M1132&lt;=원인분석!$C$11),"당기",IF(AND(M1132&gt;=원인분석!$C$12,M1132&lt;=원인분석!$C$13),"비교",""))))</f>
        <v/>
      </c>
      <c r="R1132" s="9">
        <f>IF(Q1132="","",$K1132&amp;"")</f>
        <v/>
      </c>
      <c r="S1132" s="9">
        <f>IF(Q1132="","",IF(MATCH(R1132,$R$5:$R$100000,0)=ROW()-4,ROW(),""))</f>
        <v/>
      </c>
      <c r="T1132" s="9">
        <f>IF(Q1132="당기",ABS(P1132)+ROW()/1000000000,"")</f>
        <v/>
      </c>
      <c r="U1132" s="9">
        <f>IF(Q1132="비교",ABS(P1132)+ROW()/1000000000,"")</f>
        <v/>
      </c>
      <c r="V1132" s="64">
        <f>IF($A1132="","",IF(COUNTIF(변동분석!$E$7:$E$506,O1132)&gt;0,"Y","N"))</f>
        <v/>
      </c>
      <c r="W1132" s="64">
        <f>IF($A1132="","",IFERROR(INDEX(계정매핑!$D$5:$D$504,MATCH($F1132&amp;"",계정매핑!$A$5:$A$504,0)),"미매핑"))</f>
        <v/>
      </c>
      <c r="X1132" s="9">
        <f>IF($A1132="","",$F1132&amp;"")</f>
        <v/>
      </c>
      <c r="Y1132" s="94">
        <f>IF($A1132="",0,IF(AE1132="직접",IF(AF1132="비귀속",$P1132,0),$P1132*(1-AG1132)*IFERROR(INDEX(계정대체기준!$F$20:$F$49,MATCH($N1132,계정대체기준!$A$20:$A$49,0)),1)))</f>
        <v/>
      </c>
      <c r="Z1132" s="94">
        <f>IF($A1132="",0,IF(AE1132="직접",IF(AF1132="신계약비",$P1132,0),$P1132*(1-AG1132)*IFERROR(INDEX(계정대체기준!$C$20:$C$49,MATCH($N1132,계정대체기준!$A$20:$A$49,0)),0)))</f>
        <v/>
      </c>
      <c r="AA1132" s="94">
        <f>IF($A1132="",0,IF(AE1132="직접",IF(OR(AF1132="유지비",AF1132="손해조사비"),$P1132,0),$P1132*(1-AG1132)*IFERROR(INDEX(계정대체기준!$D$20:$D$49,MATCH($N1132,계정대체기준!$A$20:$A$49,0)),0)))</f>
        <v/>
      </c>
      <c r="AB1132" s="94">
        <f>IF($A1132="",0,IF(AE1132="직접",IF(AF1132="수금비",$P1132,0),$P1132*(1-AG1132)*IFERROR(INDEX(계정대체기준!$E$20:$E$49,MATCH($N1132,계정대체기준!$A$20:$A$49,0)),0)))</f>
        <v/>
      </c>
      <c r="AC1132" s="9">
        <f>IF(AND($A1132&lt;&gt;"",M1132=설정!$C$20,Z1132&gt;0),Z1132+ROW()/1000000000,"")</f>
        <v/>
      </c>
      <c r="AD1132" s="94">
        <f>IF($A1132="",0,$P1132*AG1132)</f>
        <v/>
      </c>
      <c r="AE1132" s="64">
        <f>IF($A1132="","",IFERROR(INDEX(계정매핑!$E$5:$E$504,MATCH($F1132&amp;"",계정매핑!$A$5:$A$504,0))&amp;"","공통비"))</f>
        <v/>
      </c>
      <c r="AF1132" s="64">
        <f>IF($A1132="","",IF(AE1132="직접",IFERROR(INDEX(계정매핑!$F$5:$F$504,MATCH($F1132&amp;"",계정매핑!$A$5:$A$504,0))&amp;"","비귀속"),""))</f>
        <v/>
      </c>
      <c r="AG1132" s="96">
        <f>IF($A1132="",0,IF(AND(AE1132&lt;&gt;"직접",IFERROR(INDEX(계정매핑!$G$5:$G$504,MATCH($F1132&amp;"",계정매핑!$A$5:$A$504,0))&amp;"","")="유지비",COUNTIF(계정대체기준!$A$6:$A$15,$N1132)&gt;0),IFERROR(INDEX(계정대체기준!$E$6:$E$15,MATCH(VALUE($A1132&amp;""),계정대체기준!$D$6:$D$15,0)),0),0))</f>
        <v/>
      </c>
      <c r="AH1132" s="64">
        <f>IF($A1132="","",IF(AD1132=0,"",IF(OR(COUNTIF(계정대체기준!$A$77:$A$86,$N1132)&gt;0,ISNUMBER(MATCH($X1132,계정대체기준!$D$77:$D$86,0)),ISNUMBER(MATCH($F1132,계정대체기준!$D$77:$D$86,0))),"Y","N")))</f>
        <v/>
      </c>
    </row>
    <row r="1133">
      <c r="A1133" s="92" t="n">
        <v>2025</v>
      </c>
      <c r="B1133" s="92" t="n">
        <v>5</v>
      </c>
      <c r="C1133" s="92" t="inlineStr">
        <is>
          <t>5100001129</t>
        </is>
      </c>
      <c r="D1133" s="95" t="n">
        <v>45803</v>
      </c>
      <c r="E1133" s="92" t="inlineStr">
        <is>
          <t>KR</t>
        </is>
      </c>
      <c r="F1133" s="92" t="n">
        <v>63001000</v>
      </c>
      <c r="G1133" s="92" t="n">
        <v>1951</v>
      </c>
      <c r="H1133" s="93" t="n">
        <v>2999000</v>
      </c>
      <c r="I1133" s="92" t="inlineStr">
        <is>
          <t>5월 SW 유지보수 - Y소프트</t>
        </is>
      </c>
      <c r="J1133" s="92" t="inlineStr">
        <is>
          <t>V10017</t>
        </is>
      </c>
      <c r="K1133" s="92" t="inlineStr">
        <is>
          <t>Y소프트</t>
        </is>
      </c>
      <c r="M1133" s="9">
        <f>IF($A1133="","",VALUE($A1133&amp;"")*12+VALUE($B1133&amp;""))</f>
        <v/>
      </c>
      <c r="N1133" s="64">
        <f>IF($A1133="","",IFERROR(INDEX(부서매핑!$C$5:$C$504,MATCH($G1133&amp;"",부서매핑!$A$5:$A$504,0)),"미매핑"))</f>
        <v/>
      </c>
      <c r="O1133" s="9">
        <f>IF($A1133="","",N1133&amp;"|"&amp;$F1133)</f>
        <v/>
      </c>
      <c r="P1133" s="94">
        <f>IF($A1133="",0,$H1133*설정!$C$23)</f>
        <v/>
      </c>
      <c r="Q1133" s="64">
        <f>IF($A1133="","",IF(O1133&lt;&gt;원인분석!$C$9,"",IF(AND(M1133&gt;=원인분석!$C$10,M1133&lt;=원인분석!$C$11),"당기",IF(AND(M1133&gt;=원인분석!$C$12,M1133&lt;=원인분석!$C$13),"비교",""))))</f>
        <v/>
      </c>
      <c r="R1133" s="9">
        <f>IF(Q1133="","",$K1133&amp;"")</f>
        <v/>
      </c>
      <c r="S1133" s="9">
        <f>IF(Q1133="","",IF(MATCH(R1133,$R$5:$R$100000,0)=ROW()-4,ROW(),""))</f>
        <v/>
      </c>
      <c r="T1133" s="9">
        <f>IF(Q1133="당기",ABS(P1133)+ROW()/1000000000,"")</f>
        <v/>
      </c>
      <c r="U1133" s="9">
        <f>IF(Q1133="비교",ABS(P1133)+ROW()/1000000000,"")</f>
        <v/>
      </c>
      <c r="V1133" s="64">
        <f>IF($A1133="","",IF(COUNTIF(변동분석!$E$7:$E$506,O1133)&gt;0,"Y","N"))</f>
        <v/>
      </c>
      <c r="W1133" s="64">
        <f>IF($A1133="","",IFERROR(INDEX(계정매핑!$D$5:$D$504,MATCH($F1133&amp;"",계정매핑!$A$5:$A$504,0)),"미매핑"))</f>
        <v/>
      </c>
      <c r="X1133" s="9">
        <f>IF($A1133="","",$F1133&amp;"")</f>
        <v/>
      </c>
      <c r="Y1133" s="94">
        <f>IF($A1133="",0,IF(AE1133="직접",IF(AF1133="비귀속",$P1133,0),$P1133*(1-AG1133)*IFERROR(INDEX(계정대체기준!$F$20:$F$49,MATCH($N1133,계정대체기준!$A$20:$A$49,0)),1)))</f>
        <v/>
      </c>
      <c r="Z1133" s="94">
        <f>IF($A1133="",0,IF(AE1133="직접",IF(AF1133="신계약비",$P1133,0),$P1133*(1-AG1133)*IFERROR(INDEX(계정대체기준!$C$20:$C$49,MATCH($N1133,계정대체기준!$A$20:$A$49,0)),0)))</f>
        <v/>
      </c>
      <c r="AA1133" s="94">
        <f>IF($A1133="",0,IF(AE1133="직접",IF(OR(AF1133="유지비",AF1133="손해조사비"),$P1133,0),$P1133*(1-AG1133)*IFERROR(INDEX(계정대체기준!$D$20:$D$49,MATCH($N1133,계정대체기준!$A$20:$A$49,0)),0)))</f>
        <v/>
      </c>
      <c r="AB1133" s="94">
        <f>IF($A1133="",0,IF(AE1133="직접",IF(AF1133="수금비",$P1133,0),$P1133*(1-AG1133)*IFERROR(INDEX(계정대체기준!$E$20:$E$49,MATCH($N1133,계정대체기준!$A$20:$A$49,0)),0)))</f>
        <v/>
      </c>
      <c r="AC1133" s="9">
        <f>IF(AND($A1133&lt;&gt;"",M1133=설정!$C$20,Z1133&gt;0),Z1133+ROW()/1000000000,"")</f>
        <v/>
      </c>
      <c r="AD1133" s="94">
        <f>IF($A1133="",0,$P1133*AG1133)</f>
        <v/>
      </c>
      <c r="AE1133" s="64">
        <f>IF($A1133="","",IFERROR(INDEX(계정매핑!$E$5:$E$504,MATCH($F1133&amp;"",계정매핑!$A$5:$A$504,0))&amp;"","공통비"))</f>
        <v/>
      </c>
      <c r="AF1133" s="64">
        <f>IF($A1133="","",IF(AE1133="직접",IFERROR(INDEX(계정매핑!$F$5:$F$504,MATCH($F1133&amp;"",계정매핑!$A$5:$A$504,0))&amp;"","비귀속"),""))</f>
        <v/>
      </c>
      <c r="AG1133" s="96">
        <f>IF($A1133="",0,IF(AND(AE1133&lt;&gt;"직접",IFERROR(INDEX(계정매핑!$G$5:$G$504,MATCH($F1133&amp;"",계정매핑!$A$5:$A$504,0))&amp;"","")="유지비",COUNTIF(계정대체기준!$A$6:$A$15,$N1133)&gt;0),IFERROR(INDEX(계정대체기준!$E$6:$E$15,MATCH(VALUE($A1133&amp;""),계정대체기준!$D$6:$D$15,0)),0),0))</f>
        <v/>
      </c>
      <c r="AH1133" s="64">
        <f>IF($A1133="","",IF(AD1133=0,"",IF(OR(COUNTIF(계정대체기준!$A$77:$A$86,$N1133)&gt;0,ISNUMBER(MATCH($X1133,계정대체기준!$D$77:$D$86,0)),ISNUMBER(MATCH($F1133,계정대체기준!$D$77:$D$86,0))),"Y","N")))</f>
        <v/>
      </c>
    </row>
    <row r="1134">
      <c r="A1134" s="92" t="n">
        <v>2025</v>
      </c>
      <c r="B1134" s="92" t="n">
        <v>5</v>
      </c>
      <c r="C1134" s="92" t="inlineStr">
        <is>
          <t>5100001130</t>
        </is>
      </c>
      <c r="D1134" s="95" t="n">
        <v>45803</v>
      </c>
      <c r="E1134" s="92" t="inlineStr">
        <is>
          <t>KR</t>
        </is>
      </c>
      <c r="F1134" s="92" t="n">
        <v>63502000</v>
      </c>
      <c r="G1134" s="92" t="n">
        <v>1902</v>
      </c>
      <c r="H1134" s="93" t="n">
        <v>112661000</v>
      </c>
      <c r="I1134" s="92" t="inlineStr">
        <is>
          <t>5월 유지수수료 - CC금융서비스</t>
        </is>
      </c>
      <c r="J1134" s="92" t="inlineStr">
        <is>
          <t>V10029</t>
        </is>
      </c>
      <c r="K1134" s="92" t="inlineStr">
        <is>
          <t>CC금융서비스</t>
        </is>
      </c>
      <c r="M1134" s="9">
        <f>IF($A1134="","",VALUE($A1134&amp;"")*12+VALUE($B1134&amp;""))</f>
        <v/>
      </c>
      <c r="N1134" s="64">
        <f>IF($A1134="","",IFERROR(INDEX(부서매핑!$C$5:$C$504,MATCH($G1134&amp;"",부서매핑!$A$5:$A$504,0)),"미매핑"))</f>
        <v/>
      </c>
      <c r="O1134" s="9">
        <f>IF($A1134="","",N1134&amp;"|"&amp;$F1134)</f>
        <v/>
      </c>
      <c r="P1134" s="94">
        <f>IF($A1134="",0,$H1134*설정!$C$23)</f>
        <v/>
      </c>
      <c r="Q1134" s="64">
        <f>IF($A1134="","",IF(O1134&lt;&gt;원인분석!$C$9,"",IF(AND(M1134&gt;=원인분석!$C$10,M1134&lt;=원인분석!$C$11),"당기",IF(AND(M1134&gt;=원인분석!$C$12,M1134&lt;=원인분석!$C$13),"비교",""))))</f>
        <v/>
      </c>
      <c r="R1134" s="9">
        <f>IF(Q1134="","",$K1134&amp;"")</f>
        <v/>
      </c>
      <c r="S1134" s="9">
        <f>IF(Q1134="","",IF(MATCH(R1134,$R$5:$R$100000,0)=ROW()-4,ROW(),""))</f>
        <v/>
      </c>
      <c r="T1134" s="9">
        <f>IF(Q1134="당기",ABS(P1134)+ROW()/1000000000,"")</f>
        <v/>
      </c>
      <c r="U1134" s="9">
        <f>IF(Q1134="비교",ABS(P1134)+ROW()/1000000000,"")</f>
        <v/>
      </c>
      <c r="V1134" s="64">
        <f>IF($A1134="","",IF(COUNTIF(변동분석!$E$7:$E$506,O1134)&gt;0,"Y","N"))</f>
        <v/>
      </c>
      <c r="W1134" s="64">
        <f>IF($A1134="","",IFERROR(INDEX(계정매핑!$D$5:$D$504,MATCH($F1134&amp;"",계정매핑!$A$5:$A$504,0)),"미매핑"))</f>
        <v/>
      </c>
      <c r="X1134" s="9">
        <f>IF($A1134="","",$F1134&amp;"")</f>
        <v/>
      </c>
      <c r="Y1134" s="94">
        <f>IF($A1134="",0,IF(AE1134="직접",IF(AF1134="비귀속",$P1134,0),$P1134*(1-AG1134)*IFERROR(INDEX(계정대체기준!$F$20:$F$49,MATCH($N1134,계정대체기준!$A$20:$A$49,0)),1)))</f>
        <v/>
      </c>
      <c r="Z1134" s="94">
        <f>IF($A1134="",0,IF(AE1134="직접",IF(AF1134="신계약비",$P1134,0),$P1134*(1-AG1134)*IFERROR(INDEX(계정대체기준!$C$20:$C$49,MATCH($N1134,계정대체기준!$A$20:$A$49,0)),0)))</f>
        <v/>
      </c>
      <c r="AA1134" s="94">
        <f>IF($A1134="",0,IF(AE1134="직접",IF(OR(AF1134="유지비",AF1134="손해조사비"),$P1134,0),$P1134*(1-AG1134)*IFERROR(INDEX(계정대체기준!$D$20:$D$49,MATCH($N1134,계정대체기준!$A$20:$A$49,0)),0)))</f>
        <v/>
      </c>
      <c r="AB1134" s="94">
        <f>IF($A1134="",0,IF(AE1134="직접",IF(AF1134="수금비",$P1134,0),$P1134*(1-AG1134)*IFERROR(INDEX(계정대체기준!$E$20:$E$49,MATCH($N1134,계정대체기준!$A$20:$A$49,0)),0)))</f>
        <v/>
      </c>
      <c r="AC1134" s="9">
        <f>IF(AND($A1134&lt;&gt;"",M1134=설정!$C$20,Z1134&gt;0),Z1134+ROW()/1000000000,"")</f>
        <v/>
      </c>
      <c r="AD1134" s="94">
        <f>IF($A1134="",0,$P1134*AG1134)</f>
        <v/>
      </c>
      <c r="AE1134" s="64">
        <f>IF($A1134="","",IFERROR(INDEX(계정매핑!$E$5:$E$504,MATCH($F1134&amp;"",계정매핑!$A$5:$A$504,0))&amp;"","공통비"))</f>
        <v/>
      </c>
      <c r="AF1134" s="64">
        <f>IF($A1134="","",IF(AE1134="직접",IFERROR(INDEX(계정매핑!$F$5:$F$504,MATCH($F1134&amp;"",계정매핑!$A$5:$A$504,0))&amp;"","비귀속"),""))</f>
        <v/>
      </c>
      <c r="AG1134" s="96">
        <f>IF($A1134="",0,IF(AND(AE1134&lt;&gt;"직접",IFERROR(INDEX(계정매핑!$G$5:$G$504,MATCH($F1134&amp;"",계정매핑!$A$5:$A$504,0))&amp;"","")="유지비",COUNTIF(계정대체기준!$A$6:$A$15,$N1134)&gt;0),IFERROR(INDEX(계정대체기준!$E$6:$E$15,MATCH(VALUE($A1134&amp;""),계정대체기준!$D$6:$D$15,0)),0),0))</f>
        <v/>
      </c>
      <c r="AH1134" s="64">
        <f>IF($A1134="","",IF(AD1134=0,"",IF(OR(COUNTIF(계정대체기준!$A$77:$A$86,$N1134)&gt;0,ISNUMBER(MATCH($X1134,계정대체기준!$D$77:$D$86,0)),ISNUMBER(MATCH($F1134,계정대체기준!$D$77:$D$86,0))),"Y","N")))</f>
        <v/>
      </c>
    </row>
    <row r="1135">
      <c r="A1135" s="92" t="n">
        <v>2025</v>
      </c>
      <c r="B1135" s="92" t="n">
        <v>5</v>
      </c>
      <c r="C1135" s="92" t="inlineStr">
        <is>
          <t>5100001131</t>
        </is>
      </c>
      <c r="D1135" s="95" t="n">
        <v>45804</v>
      </c>
      <c r="E1135" s="92" t="inlineStr">
        <is>
          <t>KR</t>
        </is>
      </c>
      <c r="F1135" s="92" t="n">
        <v>62101000</v>
      </c>
      <c r="G1135" s="92" t="n">
        <v>1401</v>
      </c>
      <c r="H1135" s="93" t="n">
        <v>434000</v>
      </c>
      <c r="I1135" s="92" t="inlineStr">
        <is>
          <t>5월 국내출장 - L여행사</t>
        </is>
      </c>
      <c r="J1135" s="92" t="inlineStr">
        <is>
          <t>V10018</t>
        </is>
      </c>
      <c r="K1135" s="92" t="inlineStr">
        <is>
          <t>L여행사</t>
        </is>
      </c>
      <c r="M1135" s="9">
        <f>IF($A1135="","",VALUE($A1135&amp;"")*12+VALUE($B1135&amp;""))</f>
        <v/>
      </c>
      <c r="N1135" s="64">
        <f>IF($A1135="","",IFERROR(INDEX(부서매핑!$C$5:$C$504,MATCH($G1135&amp;"",부서매핑!$A$5:$A$504,0)),"미매핑"))</f>
        <v/>
      </c>
      <c r="O1135" s="9">
        <f>IF($A1135="","",N1135&amp;"|"&amp;$F1135)</f>
        <v/>
      </c>
      <c r="P1135" s="94">
        <f>IF($A1135="",0,$H1135*설정!$C$23)</f>
        <v/>
      </c>
      <c r="Q1135" s="64">
        <f>IF($A1135="","",IF(O1135&lt;&gt;원인분석!$C$9,"",IF(AND(M1135&gt;=원인분석!$C$10,M1135&lt;=원인분석!$C$11),"당기",IF(AND(M1135&gt;=원인분석!$C$12,M1135&lt;=원인분석!$C$13),"비교",""))))</f>
        <v/>
      </c>
      <c r="R1135" s="9">
        <f>IF(Q1135="","",$K1135&amp;"")</f>
        <v/>
      </c>
      <c r="S1135" s="9">
        <f>IF(Q1135="","",IF(MATCH(R1135,$R$5:$R$100000,0)=ROW()-4,ROW(),""))</f>
        <v/>
      </c>
      <c r="T1135" s="9">
        <f>IF(Q1135="당기",ABS(P1135)+ROW()/1000000000,"")</f>
        <v/>
      </c>
      <c r="U1135" s="9">
        <f>IF(Q1135="비교",ABS(P1135)+ROW()/1000000000,"")</f>
        <v/>
      </c>
      <c r="V1135" s="64">
        <f>IF($A1135="","",IF(COUNTIF(변동분석!$E$7:$E$506,O1135)&gt;0,"Y","N"))</f>
        <v/>
      </c>
      <c r="W1135" s="64">
        <f>IF($A1135="","",IFERROR(INDEX(계정매핑!$D$5:$D$504,MATCH($F1135&amp;"",계정매핑!$A$5:$A$504,0)),"미매핑"))</f>
        <v/>
      </c>
      <c r="X1135" s="9">
        <f>IF($A1135="","",$F1135&amp;"")</f>
        <v/>
      </c>
      <c r="Y1135" s="94">
        <f>IF($A1135="",0,IF(AE1135="직접",IF(AF1135="비귀속",$P1135,0),$P1135*(1-AG1135)*IFERROR(INDEX(계정대체기준!$F$20:$F$49,MATCH($N1135,계정대체기준!$A$20:$A$49,0)),1)))</f>
        <v/>
      </c>
      <c r="Z1135" s="94">
        <f>IF($A1135="",0,IF(AE1135="직접",IF(AF1135="신계약비",$P1135,0),$P1135*(1-AG1135)*IFERROR(INDEX(계정대체기준!$C$20:$C$49,MATCH($N1135,계정대체기준!$A$20:$A$49,0)),0)))</f>
        <v/>
      </c>
      <c r="AA1135" s="94">
        <f>IF($A1135="",0,IF(AE1135="직접",IF(OR(AF1135="유지비",AF1135="손해조사비"),$P1135,0),$P1135*(1-AG1135)*IFERROR(INDEX(계정대체기준!$D$20:$D$49,MATCH($N1135,계정대체기준!$A$20:$A$49,0)),0)))</f>
        <v/>
      </c>
      <c r="AB1135" s="94">
        <f>IF($A1135="",0,IF(AE1135="직접",IF(AF1135="수금비",$P1135,0),$P1135*(1-AG1135)*IFERROR(INDEX(계정대체기준!$E$20:$E$49,MATCH($N1135,계정대체기준!$A$20:$A$49,0)),0)))</f>
        <v/>
      </c>
      <c r="AC1135" s="9">
        <f>IF(AND($A1135&lt;&gt;"",M1135=설정!$C$20,Z1135&gt;0),Z1135+ROW()/1000000000,"")</f>
        <v/>
      </c>
      <c r="AD1135" s="94">
        <f>IF($A1135="",0,$P1135*AG1135)</f>
        <v/>
      </c>
      <c r="AE1135" s="64">
        <f>IF($A1135="","",IFERROR(INDEX(계정매핑!$E$5:$E$504,MATCH($F1135&amp;"",계정매핑!$A$5:$A$504,0))&amp;"","공통비"))</f>
        <v/>
      </c>
      <c r="AF1135" s="64">
        <f>IF($A1135="","",IF(AE1135="직접",IFERROR(INDEX(계정매핑!$F$5:$F$504,MATCH($F1135&amp;"",계정매핑!$A$5:$A$504,0))&amp;"","비귀속"),""))</f>
        <v/>
      </c>
      <c r="AG1135" s="96">
        <f>IF($A1135="",0,IF(AND(AE1135&lt;&gt;"직접",IFERROR(INDEX(계정매핑!$G$5:$G$504,MATCH($F1135&amp;"",계정매핑!$A$5:$A$504,0))&amp;"","")="유지비",COUNTIF(계정대체기준!$A$6:$A$15,$N1135)&gt;0),IFERROR(INDEX(계정대체기준!$E$6:$E$15,MATCH(VALUE($A1135&amp;""),계정대체기준!$D$6:$D$15,0)),0),0))</f>
        <v/>
      </c>
      <c r="AH1135" s="64">
        <f>IF($A1135="","",IF(AD1135=0,"",IF(OR(COUNTIF(계정대체기준!$A$77:$A$86,$N1135)&gt;0,ISNUMBER(MATCH($X1135,계정대체기준!$D$77:$D$86,0)),ISNUMBER(MATCH($F1135,계정대체기준!$D$77:$D$86,0))),"Y","N")))</f>
        <v/>
      </c>
    </row>
    <row r="1136">
      <c r="A1136" s="92" t="n">
        <v>2025</v>
      </c>
      <c r="B1136" s="92" t="n">
        <v>5</v>
      </c>
      <c r="C1136" s="92" t="inlineStr">
        <is>
          <t>5100001132</t>
        </is>
      </c>
      <c r="D1136" s="95" t="n">
        <v>45804</v>
      </c>
      <c r="E1136" s="92" t="inlineStr">
        <is>
          <t>KR</t>
        </is>
      </c>
      <c r="F1136" s="92" t="n">
        <v>62102000</v>
      </c>
      <c r="G1136" s="92" t="n">
        <v>1101</v>
      </c>
      <c r="H1136" s="93" t="n">
        <v>119000</v>
      </c>
      <c r="I1136" s="92" t="inlineStr">
        <is>
          <t>5월 해외출장 - N호텔</t>
        </is>
      </c>
      <c r="J1136" s="92" t="inlineStr">
        <is>
          <t>V10009</t>
        </is>
      </c>
      <c r="K1136" s="92" t="inlineStr">
        <is>
          <t>N호텔</t>
        </is>
      </c>
      <c r="M1136" s="9">
        <f>IF($A1136="","",VALUE($A1136&amp;"")*12+VALUE($B1136&amp;""))</f>
        <v/>
      </c>
      <c r="N1136" s="64">
        <f>IF($A1136="","",IFERROR(INDEX(부서매핑!$C$5:$C$504,MATCH($G1136&amp;"",부서매핑!$A$5:$A$504,0)),"미매핑"))</f>
        <v/>
      </c>
      <c r="O1136" s="9">
        <f>IF($A1136="","",N1136&amp;"|"&amp;$F1136)</f>
        <v/>
      </c>
      <c r="P1136" s="94">
        <f>IF($A1136="",0,$H1136*설정!$C$23)</f>
        <v/>
      </c>
      <c r="Q1136" s="64">
        <f>IF($A1136="","",IF(O1136&lt;&gt;원인분석!$C$9,"",IF(AND(M1136&gt;=원인분석!$C$10,M1136&lt;=원인분석!$C$11),"당기",IF(AND(M1136&gt;=원인분석!$C$12,M1136&lt;=원인분석!$C$13),"비교",""))))</f>
        <v/>
      </c>
      <c r="R1136" s="9">
        <f>IF(Q1136="","",$K1136&amp;"")</f>
        <v/>
      </c>
      <c r="S1136" s="9">
        <f>IF(Q1136="","",IF(MATCH(R1136,$R$5:$R$100000,0)=ROW()-4,ROW(),""))</f>
        <v/>
      </c>
      <c r="T1136" s="9">
        <f>IF(Q1136="당기",ABS(P1136)+ROW()/1000000000,"")</f>
        <v/>
      </c>
      <c r="U1136" s="9">
        <f>IF(Q1136="비교",ABS(P1136)+ROW()/1000000000,"")</f>
        <v/>
      </c>
      <c r="V1136" s="64">
        <f>IF($A1136="","",IF(COUNTIF(변동분석!$E$7:$E$506,O1136)&gt;0,"Y","N"))</f>
        <v/>
      </c>
      <c r="W1136" s="64">
        <f>IF($A1136="","",IFERROR(INDEX(계정매핑!$D$5:$D$504,MATCH($F1136&amp;"",계정매핑!$A$5:$A$504,0)),"미매핑"))</f>
        <v/>
      </c>
      <c r="X1136" s="9">
        <f>IF($A1136="","",$F1136&amp;"")</f>
        <v/>
      </c>
      <c r="Y1136" s="94">
        <f>IF($A1136="",0,IF(AE1136="직접",IF(AF1136="비귀속",$P1136,0),$P1136*(1-AG1136)*IFERROR(INDEX(계정대체기준!$F$20:$F$49,MATCH($N1136,계정대체기준!$A$20:$A$49,0)),1)))</f>
        <v/>
      </c>
      <c r="Z1136" s="94">
        <f>IF($A1136="",0,IF(AE1136="직접",IF(AF1136="신계약비",$P1136,0),$P1136*(1-AG1136)*IFERROR(INDEX(계정대체기준!$C$20:$C$49,MATCH($N1136,계정대체기준!$A$20:$A$49,0)),0)))</f>
        <v/>
      </c>
      <c r="AA1136" s="94">
        <f>IF($A1136="",0,IF(AE1136="직접",IF(OR(AF1136="유지비",AF1136="손해조사비"),$P1136,0),$P1136*(1-AG1136)*IFERROR(INDEX(계정대체기준!$D$20:$D$49,MATCH($N1136,계정대체기준!$A$20:$A$49,0)),0)))</f>
        <v/>
      </c>
      <c r="AB1136" s="94">
        <f>IF($A1136="",0,IF(AE1136="직접",IF(AF1136="수금비",$P1136,0),$P1136*(1-AG1136)*IFERROR(INDEX(계정대체기준!$E$20:$E$49,MATCH($N1136,계정대체기준!$A$20:$A$49,0)),0)))</f>
        <v/>
      </c>
      <c r="AC1136" s="9">
        <f>IF(AND($A1136&lt;&gt;"",M1136=설정!$C$20,Z1136&gt;0),Z1136+ROW()/1000000000,"")</f>
        <v/>
      </c>
      <c r="AD1136" s="94">
        <f>IF($A1136="",0,$P1136*AG1136)</f>
        <v/>
      </c>
      <c r="AE1136" s="64">
        <f>IF($A1136="","",IFERROR(INDEX(계정매핑!$E$5:$E$504,MATCH($F1136&amp;"",계정매핑!$A$5:$A$504,0))&amp;"","공통비"))</f>
        <v/>
      </c>
      <c r="AF1136" s="64">
        <f>IF($A1136="","",IF(AE1136="직접",IFERROR(INDEX(계정매핑!$F$5:$F$504,MATCH($F1136&amp;"",계정매핑!$A$5:$A$504,0))&amp;"","비귀속"),""))</f>
        <v/>
      </c>
      <c r="AG1136" s="96">
        <f>IF($A1136="",0,IF(AND(AE1136&lt;&gt;"직접",IFERROR(INDEX(계정매핑!$G$5:$G$504,MATCH($F1136&amp;"",계정매핑!$A$5:$A$504,0))&amp;"","")="유지비",COUNTIF(계정대체기준!$A$6:$A$15,$N1136)&gt;0),IFERROR(INDEX(계정대체기준!$E$6:$E$15,MATCH(VALUE($A1136&amp;""),계정대체기준!$D$6:$D$15,0)),0),0))</f>
        <v/>
      </c>
      <c r="AH1136" s="64">
        <f>IF($A1136="","",IF(AD1136=0,"",IF(OR(COUNTIF(계정대체기준!$A$77:$A$86,$N1136)&gt;0,ISNUMBER(MATCH($X1136,계정대체기준!$D$77:$D$86,0)),ISNUMBER(MATCH($F1136,계정대체기준!$D$77:$D$86,0))),"Y","N")))</f>
        <v/>
      </c>
    </row>
    <row r="1137">
      <c r="A1137" s="92" t="n">
        <v>2025</v>
      </c>
      <c r="B1137" s="92" t="n">
        <v>5</v>
      </c>
      <c r="C1137" s="92" t="inlineStr">
        <is>
          <t>5100001133</t>
        </is>
      </c>
      <c r="D1137" s="95" t="n">
        <v>45804</v>
      </c>
      <c r="E1137" s="92" t="inlineStr">
        <is>
          <t>KR</t>
        </is>
      </c>
      <c r="F1137" s="92" t="n">
        <v>62201000</v>
      </c>
      <c r="G1137" s="92" t="n">
        <v>1301</v>
      </c>
      <c r="H1137" s="93" t="n">
        <v>274000</v>
      </c>
      <c r="I1137" s="92" t="inlineStr">
        <is>
          <t>5월 통신요금 - P통신</t>
        </is>
      </c>
      <c r="J1137" s="92" t="inlineStr">
        <is>
          <t>V10014</t>
        </is>
      </c>
      <c r="K1137" s="92" t="inlineStr">
        <is>
          <t>P통신</t>
        </is>
      </c>
      <c r="M1137" s="9">
        <f>IF($A1137="","",VALUE($A1137&amp;"")*12+VALUE($B1137&amp;""))</f>
        <v/>
      </c>
      <c r="N1137" s="64">
        <f>IF($A1137="","",IFERROR(INDEX(부서매핑!$C$5:$C$504,MATCH($G1137&amp;"",부서매핑!$A$5:$A$504,0)),"미매핑"))</f>
        <v/>
      </c>
      <c r="O1137" s="9">
        <f>IF($A1137="","",N1137&amp;"|"&amp;$F1137)</f>
        <v/>
      </c>
      <c r="P1137" s="94">
        <f>IF($A1137="",0,$H1137*설정!$C$23)</f>
        <v/>
      </c>
      <c r="Q1137" s="64">
        <f>IF($A1137="","",IF(O1137&lt;&gt;원인분석!$C$9,"",IF(AND(M1137&gt;=원인분석!$C$10,M1137&lt;=원인분석!$C$11),"당기",IF(AND(M1137&gt;=원인분석!$C$12,M1137&lt;=원인분석!$C$13),"비교",""))))</f>
        <v/>
      </c>
      <c r="R1137" s="9">
        <f>IF(Q1137="","",$K1137&amp;"")</f>
        <v/>
      </c>
      <c r="S1137" s="9">
        <f>IF(Q1137="","",IF(MATCH(R1137,$R$5:$R$100000,0)=ROW()-4,ROW(),""))</f>
        <v/>
      </c>
      <c r="T1137" s="9">
        <f>IF(Q1137="당기",ABS(P1137)+ROW()/1000000000,"")</f>
        <v/>
      </c>
      <c r="U1137" s="9">
        <f>IF(Q1137="비교",ABS(P1137)+ROW()/1000000000,"")</f>
        <v/>
      </c>
      <c r="V1137" s="64">
        <f>IF($A1137="","",IF(COUNTIF(변동분석!$E$7:$E$506,O1137)&gt;0,"Y","N"))</f>
        <v/>
      </c>
      <c r="W1137" s="64">
        <f>IF($A1137="","",IFERROR(INDEX(계정매핑!$D$5:$D$504,MATCH($F1137&amp;"",계정매핑!$A$5:$A$504,0)),"미매핑"))</f>
        <v/>
      </c>
      <c r="X1137" s="9">
        <f>IF($A1137="","",$F1137&amp;"")</f>
        <v/>
      </c>
      <c r="Y1137" s="94">
        <f>IF($A1137="",0,IF(AE1137="직접",IF(AF1137="비귀속",$P1137,0),$P1137*(1-AG1137)*IFERROR(INDEX(계정대체기준!$F$20:$F$49,MATCH($N1137,계정대체기준!$A$20:$A$49,0)),1)))</f>
        <v/>
      </c>
      <c r="Z1137" s="94">
        <f>IF($A1137="",0,IF(AE1137="직접",IF(AF1137="신계약비",$P1137,0),$P1137*(1-AG1137)*IFERROR(INDEX(계정대체기준!$C$20:$C$49,MATCH($N1137,계정대체기준!$A$20:$A$49,0)),0)))</f>
        <v/>
      </c>
      <c r="AA1137" s="94">
        <f>IF($A1137="",0,IF(AE1137="직접",IF(OR(AF1137="유지비",AF1137="손해조사비"),$P1137,0),$P1137*(1-AG1137)*IFERROR(INDEX(계정대체기준!$D$20:$D$49,MATCH($N1137,계정대체기준!$A$20:$A$49,0)),0)))</f>
        <v/>
      </c>
      <c r="AB1137" s="94">
        <f>IF($A1137="",0,IF(AE1137="직접",IF(AF1137="수금비",$P1137,0),$P1137*(1-AG1137)*IFERROR(INDEX(계정대체기준!$E$20:$E$49,MATCH($N1137,계정대체기준!$A$20:$A$49,0)),0)))</f>
        <v/>
      </c>
      <c r="AC1137" s="9">
        <f>IF(AND($A1137&lt;&gt;"",M1137=설정!$C$20,Z1137&gt;0),Z1137+ROW()/1000000000,"")</f>
        <v/>
      </c>
      <c r="AD1137" s="94">
        <f>IF($A1137="",0,$P1137*AG1137)</f>
        <v/>
      </c>
      <c r="AE1137" s="64">
        <f>IF($A1137="","",IFERROR(INDEX(계정매핑!$E$5:$E$504,MATCH($F1137&amp;"",계정매핑!$A$5:$A$504,0))&amp;"","공통비"))</f>
        <v/>
      </c>
      <c r="AF1137" s="64">
        <f>IF($A1137="","",IF(AE1137="직접",IFERROR(INDEX(계정매핑!$F$5:$F$504,MATCH($F1137&amp;"",계정매핑!$A$5:$A$504,0))&amp;"","비귀속"),""))</f>
        <v/>
      </c>
      <c r="AG1137" s="96">
        <f>IF($A1137="",0,IF(AND(AE1137&lt;&gt;"직접",IFERROR(INDEX(계정매핑!$G$5:$G$504,MATCH($F1137&amp;"",계정매핑!$A$5:$A$504,0))&amp;"","")="유지비",COUNTIF(계정대체기준!$A$6:$A$15,$N1137)&gt;0),IFERROR(INDEX(계정대체기준!$E$6:$E$15,MATCH(VALUE($A1137&amp;""),계정대체기준!$D$6:$D$15,0)),0),0))</f>
        <v/>
      </c>
      <c r="AH1137" s="64">
        <f>IF($A1137="","",IF(AD1137=0,"",IF(OR(COUNTIF(계정대체기준!$A$77:$A$86,$N1137)&gt;0,ISNUMBER(MATCH($X1137,계정대체기준!$D$77:$D$86,0)),ISNUMBER(MATCH($F1137,계정대체기준!$D$77:$D$86,0))),"Y","N")))</f>
        <v/>
      </c>
    </row>
    <row r="1138">
      <c r="A1138" s="92" t="n">
        <v>2025</v>
      </c>
      <c r="B1138" s="92" t="n">
        <v>5</v>
      </c>
      <c r="C1138" s="92" t="inlineStr">
        <is>
          <t>5100001134</t>
        </is>
      </c>
      <c r="D1138" s="95" t="n">
        <v>45804</v>
      </c>
      <c r="E1138" s="92" t="inlineStr">
        <is>
          <t>KR</t>
        </is>
      </c>
      <c r="F1138" s="92" t="n">
        <v>62301000</v>
      </c>
      <c r="G1138" s="92" t="n">
        <v>1101</v>
      </c>
      <c r="H1138" s="93" t="n">
        <v>141000</v>
      </c>
      <c r="I1138" s="92" t="inlineStr">
        <is>
          <t>5월 소모품 구입 - Q오피스</t>
        </is>
      </c>
      <c r="J1138" s="92" t="inlineStr">
        <is>
          <t>V10003</t>
        </is>
      </c>
      <c r="K1138" s="92" t="inlineStr">
        <is>
          <t>Q오피스</t>
        </is>
      </c>
      <c r="M1138" s="9">
        <f>IF($A1138="","",VALUE($A1138&amp;"")*12+VALUE($B1138&amp;""))</f>
        <v/>
      </c>
      <c r="N1138" s="64">
        <f>IF($A1138="","",IFERROR(INDEX(부서매핑!$C$5:$C$504,MATCH($G1138&amp;"",부서매핑!$A$5:$A$504,0)),"미매핑"))</f>
        <v/>
      </c>
      <c r="O1138" s="9">
        <f>IF($A1138="","",N1138&amp;"|"&amp;$F1138)</f>
        <v/>
      </c>
      <c r="P1138" s="94">
        <f>IF($A1138="",0,$H1138*설정!$C$23)</f>
        <v/>
      </c>
      <c r="Q1138" s="64">
        <f>IF($A1138="","",IF(O1138&lt;&gt;원인분석!$C$9,"",IF(AND(M1138&gt;=원인분석!$C$10,M1138&lt;=원인분석!$C$11),"당기",IF(AND(M1138&gt;=원인분석!$C$12,M1138&lt;=원인분석!$C$13),"비교",""))))</f>
        <v/>
      </c>
      <c r="R1138" s="9">
        <f>IF(Q1138="","",$K1138&amp;"")</f>
        <v/>
      </c>
      <c r="S1138" s="9">
        <f>IF(Q1138="","",IF(MATCH(R1138,$R$5:$R$100000,0)=ROW()-4,ROW(),""))</f>
        <v/>
      </c>
      <c r="T1138" s="9">
        <f>IF(Q1138="당기",ABS(P1138)+ROW()/1000000000,"")</f>
        <v/>
      </c>
      <c r="U1138" s="9">
        <f>IF(Q1138="비교",ABS(P1138)+ROW()/1000000000,"")</f>
        <v/>
      </c>
      <c r="V1138" s="64">
        <f>IF($A1138="","",IF(COUNTIF(변동분석!$E$7:$E$506,O1138)&gt;0,"Y","N"))</f>
        <v/>
      </c>
      <c r="W1138" s="64">
        <f>IF($A1138="","",IFERROR(INDEX(계정매핑!$D$5:$D$504,MATCH($F1138&amp;"",계정매핑!$A$5:$A$504,0)),"미매핑"))</f>
        <v/>
      </c>
      <c r="X1138" s="9">
        <f>IF($A1138="","",$F1138&amp;"")</f>
        <v/>
      </c>
      <c r="Y1138" s="94">
        <f>IF($A1138="",0,IF(AE1138="직접",IF(AF1138="비귀속",$P1138,0),$P1138*(1-AG1138)*IFERROR(INDEX(계정대체기준!$F$20:$F$49,MATCH($N1138,계정대체기준!$A$20:$A$49,0)),1)))</f>
        <v/>
      </c>
      <c r="Z1138" s="94">
        <f>IF($A1138="",0,IF(AE1138="직접",IF(AF1138="신계약비",$P1138,0),$P1138*(1-AG1138)*IFERROR(INDEX(계정대체기준!$C$20:$C$49,MATCH($N1138,계정대체기준!$A$20:$A$49,0)),0)))</f>
        <v/>
      </c>
      <c r="AA1138" s="94">
        <f>IF($A1138="",0,IF(AE1138="직접",IF(OR(AF1138="유지비",AF1138="손해조사비"),$P1138,0),$P1138*(1-AG1138)*IFERROR(INDEX(계정대체기준!$D$20:$D$49,MATCH($N1138,계정대체기준!$A$20:$A$49,0)),0)))</f>
        <v/>
      </c>
      <c r="AB1138" s="94">
        <f>IF($A1138="",0,IF(AE1138="직접",IF(AF1138="수금비",$P1138,0),$P1138*(1-AG1138)*IFERROR(INDEX(계정대체기준!$E$20:$E$49,MATCH($N1138,계정대체기준!$A$20:$A$49,0)),0)))</f>
        <v/>
      </c>
      <c r="AC1138" s="9">
        <f>IF(AND($A1138&lt;&gt;"",M1138=설정!$C$20,Z1138&gt;0),Z1138+ROW()/1000000000,"")</f>
        <v/>
      </c>
      <c r="AD1138" s="94">
        <f>IF($A1138="",0,$P1138*AG1138)</f>
        <v/>
      </c>
      <c r="AE1138" s="64">
        <f>IF($A1138="","",IFERROR(INDEX(계정매핑!$E$5:$E$504,MATCH($F1138&amp;"",계정매핑!$A$5:$A$504,0))&amp;"","공통비"))</f>
        <v/>
      </c>
      <c r="AF1138" s="64">
        <f>IF($A1138="","",IF(AE1138="직접",IFERROR(INDEX(계정매핑!$F$5:$F$504,MATCH($F1138&amp;"",계정매핑!$A$5:$A$504,0))&amp;"","비귀속"),""))</f>
        <v/>
      </c>
      <c r="AG1138" s="96">
        <f>IF($A1138="",0,IF(AND(AE1138&lt;&gt;"직접",IFERROR(INDEX(계정매핑!$G$5:$G$504,MATCH($F1138&amp;"",계정매핑!$A$5:$A$504,0))&amp;"","")="유지비",COUNTIF(계정대체기준!$A$6:$A$15,$N1138)&gt;0),IFERROR(INDEX(계정대체기준!$E$6:$E$15,MATCH(VALUE($A1138&amp;""),계정대체기준!$D$6:$D$15,0)),0),0))</f>
        <v/>
      </c>
      <c r="AH1138" s="64">
        <f>IF($A1138="","",IF(AD1138=0,"",IF(OR(COUNTIF(계정대체기준!$A$77:$A$86,$N1138)&gt;0,ISNUMBER(MATCH($X1138,계정대체기준!$D$77:$D$86,0)),ISNUMBER(MATCH($F1138,계정대체기준!$D$77:$D$86,0))),"Y","N")))</f>
        <v/>
      </c>
    </row>
    <row r="1139">
      <c r="A1139" s="92" t="n">
        <v>2025</v>
      </c>
      <c r="B1139" s="92" t="n">
        <v>5</v>
      </c>
      <c r="C1139" s="92" t="inlineStr">
        <is>
          <t>5100001135</t>
        </is>
      </c>
      <c r="D1139" s="95" t="n">
        <v>45804</v>
      </c>
      <c r="E1139" s="92" t="inlineStr">
        <is>
          <t>KR</t>
        </is>
      </c>
      <c r="F1139" s="92" t="n">
        <v>62301000</v>
      </c>
      <c r="G1139" s="92" t="n">
        <v>1701</v>
      </c>
      <c r="H1139" s="93" t="n">
        <v>154000</v>
      </c>
      <c r="I1139" s="92" t="inlineStr">
        <is>
          <t>5월 소모품 구입 - Q오피스</t>
        </is>
      </c>
      <c r="J1139" s="92" t="inlineStr">
        <is>
          <t>V10003</t>
        </is>
      </c>
      <c r="K1139" s="92" t="inlineStr">
        <is>
          <t>Q오피스</t>
        </is>
      </c>
      <c r="M1139" s="9">
        <f>IF($A1139="","",VALUE($A1139&amp;"")*12+VALUE($B1139&amp;""))</f>
        <v/>
      </c>
      <c r="N1139" s="64">
        <f>IF($A1139="","",IFERROR(INDEX(부서매핑!$C$5:$C$504,MATCH($G1139&amp;"",부서매핑!$A$5:$A$504,0)),"미매핑"))</f>
        <v/>
      </c>
      <c r="O1139" s="9">
        <f>IF($A1139="","",N1139&amp;"|"&amp;$F1139)</f>
        <v/>
      </c>
      <c r="P1139" s="94">
        <f>IF($A1139="",0,$H1139*설정!$C$23)</f>
        <v/>
      </c>
      <c r="Q1139" s="64">
        <f>IF($A1139="","",IF(O1139&lt;&gt;원인분석!$C$9,"",IF(AND(M1139&gt;=원인분석!$C$10,M1139&lt;=원인분석!$C$11),"당기",IF(AND(M1139&gt;=원인분석!$C$12,M1139&lt;=원인분석!$C$13),"비교",""))))</f>
        <v/>
      </c>
      <c r="R1139" s="9">
        <f>IF(Q1139="","",$K1139&amp;"")</f>
        <v/>
      </c>
      <c r="S1139" s="9">
        <f>IF(Q1139="","",IF(MATCH(R1139,$R$5:$R$100000,0)=ROW()-4,ROW(),""))</f>
        <v/>
      </c>
      <c r="T1139" s="9">
        <f>IF(Q1139="당기",ABS(P1139)+ROW()/1000000000,"")</f>
        <v/>
      </c>
      <c r="U1139" s="9">
        <f>IF(Q1139="비교",ABS(P1139)+ROW()/1000000000,"")</f>
        <v/>
      </c>
      <c r="V1139" s="64">
        <f>IF($A1139="","",IF(COUNTIF(변동분석!$E$7:$E$506,O1139)&gt;0,"Y","N"))</f>
        <v/>
      </c>
      <c r="W1139" s="64">
        <f>IF($A1139="","",IFERROR(INDEX(계정매핑!$D$5:$D$504,MATCH($F1139&amp;"",계정매핑!$A$5:$A$504,0)),"미매핑"))</f>
        <v/>
      </c>
      <c r="X1139" s="9">
        <f>IF($A1139="","",$F1139&amp;"")</f>
        <v/>
      </c>
      <c r="Y1139" s="94">
        <f>IF($A1139="",0,IF(AE1139="직접",IF(AF1139="비귀속",$P1139,0),$P1139*(1-AG1139)*IFERROR(INDEX(계정대체기준!$F$20:$F$49,MATCH($N1139,계정대체기준!$A$20:$A$49,0)),1)))</f>
        <v/>
      </c>
      <c r="Z1139" s="94">
        <f>IF($A1139="",0,IF(AE1139="직접",IF(AF1139="신계약비",$P1139,0),$P1139*(1-AG1139)*IFERROR(INDEX(계정대체기준!$C$20:$C$49,MATCH($N1139,계정대체기준!$A$20:$A$49,0)),0)))</f>
        <v/>
      </c>
      <c r="AA1139" s="94">
        <f>IF($A1139="",0,IF(AE1139="직접",IF(OR(AF1139="유지비",AF1139="손해조사비"),$P1139,0),$P1139*(1-AG1139)*IFERROR(INDEX(계정대체기준!$D$20:$D$49,MATCH($N1139,계정대체기준!$A$20:$A$49,0)),0)))</f>
        <v/>
      </c>
      <c r="AB1139" s="94">
        <f>IF($A1139="",0,IF(AE1139="직접",IF(AF1139="수금비",$P1139,0),$P1139*(1-AG1139)*IFERROR(INDEX(계정대체기준!$E$20:$E$49,MATCH($N1139,계정대체기준!$A$20:$A$49,0)),0)))</f>
        <v/>
      </c>
      <c r="AC1139" s="9">
        <f>IF(AND($A1139&lt;&gt;"",M1139=설정!$C$20,Z1139&gt;0),Z1139+ROW()/1000000000,"")</f>
        <v/>
      </c>
      <c r="AD1139" s="94">
        <f>IF($A1139="",0,$P1139*AG1139)</f>
        <v/>
      </c>
      <c r="AE1139" s="64">
        <f>IF($A1139="","",IFERROR(INDEX(계정매핑!$E$5:$E$504,MATCH($F1139&amp;"",계정매핑!$A$5:$A$504,0))&amp;"","공통비"))</f>
        <v/>
      </c>
      <c r="AF1139" s="64">
        <f>IF($A1139="","",IF(AE1139="직접",IFERROR(INDEX(계정매핑!$F$5:$F$504,MATCH($F1139&amp;"",계정매핑!$A$5:$A$504,0))&amp;"","비귀속"),""))</f>
        <v/>
      </c>
      <c r="AG1139" s="96">
        <f>IF($A1139="",0,IF(AND(AE1139&lt;&gt;"직접",IFERROR(INDEX(계정매핑!$G$5:$G$504,MATCH($F1139&amp;"",계정매핑!$A$5:$A$504,0))&amp;"","")="유지비",COUNTIF(계정대체기준!$A$6:$A$15,$N1139)&gt;0),IFERROR(INDEX(계정대체기준!$E$6:$E$15,MATCH(VALUE($A1139&amp;""),계정대체기준!$D$6:$D$15,0)),0),0))</f>
        <v/>
      </c>
      <c r="AH1139" s="64">
        <f>IF($A1139="","",IF(AD1139=0,"",IF(OR(COUNTIF(계정대체기준!$A$77:$A$86,$N1139)&gt;0,ISNUMBER(MATCH($X1139,계정대체기준!$D$77:$D$86,0)),ISNUMBER(MATCH($F1139,계정대체기준!$D$77:$D$86,0))),"Y","N")))</f>
        <v/>
      </c>
    </row>
    <row r="1140">
      <c r="A1140" s="92" t="n">
        <v>2025</v>
      </c>
      <c r="B1140" s="92" t="n">
        <v>5</v>
      </c>
      <c r="C1140" s="92" t="inlineStr">
        <is>
          <t>5100001136</t>
        </is>
      </c>
      <c r="D1140" s="95" t="n">
        <v>45804</v>
      </c>
      <c r="E1140" s="92" t="inlineStr">
        <is>
          <t>KR</t>
        </is>
      </c>
      <c r="F1140" s="92" t="n">
        <v>62401000</v>
      </c>
      <c r="G1140" s="92" t="n">
        <v>1501</v>
      </c>
      <c r="H1140" s="93" t="n">
        <v>3312000</v>
      </c>
      <c r="I1140" s="92" t="inlineStr">
        <is>
          <t>5월 인쇄물 제작 - S출판</t>
        </is>
      </c>
      <c r="J1140" s="92" t="inlineStr">
        <is>
          <t>V10015</t>
        </is>
      </c>
      <c r="K1140" s="92" t="inlineStr">
        <is>
          <t>S출판</t>
        </is>
      </c>
      <c r="M1140" s="9">
        <f>IF($A1140="","",VALUE($A1140&amp;"")*12+VALUE($B1140&amp;""))</f>
        <v/>
      </c>
      <c r="N1140" s="64">
        <f>IF($A1140="","",IFERROR(INDEX(부서매핑!$C$5:$C$504,MATCH($G1140&amp;"",부서매핑!$A$5:$A$504,0)),"미매핑"))</f>
        <v/>
      </c>
      <c r="O1140" s="9">
        <f>IF($A1140="","",N1140&amp;"|"&amp;$F1140)</f>
        <v/>
      </c>
      <c r="P1140" s="94">
        <f>IF($A1140="",0,$H1140*설정!$C$23)</f>
        <v/>
      </c>
      <c r="Q1140" s="64">
        <f>IF($A1140="","",IF(O1140&lt;&gt;원인분석!$C$9,"",IF(AND(M1140&gt;=원인분석!$C$10,M1140&lt;=원인분석!$C$11),"당기",IF(AND(M1140&gt;=원인분석!$C$12,M1140&lt;=원인분석!$C$13),"비교",""))))</f>
        <v/>
      </c>
      <c r="R1140" s="9">
        <f>IF(Q1140="","",$K1140&amp;"")</f>
        <v/>
      </c>
      <c r="S1140" s="9">
        <f>IF(Q1140="","",IF(MATCH(R1140,$R$5:$R$100000,0)=ROW()-4,ROW(),""))</f>
        <v/>
      </c>
      <c r="T1140" s="9">
        <f>IF(Q1140="당기",ABS(P1140)+ROW()/1000000000,"")</f>
        <v/>
      </c>
      <c r="U1140" s="9">
        <f>IF(Q1140="비교",ABS(P1140)+ROW()/1000000000,"")</f>
        <v/>
      </c>
      <c r="V1140" s="64">
        <f>IF($A1140="","",IF(COUNTIF(변동분석!$E$7:$E$506,O1140)&gt;0,"Y","N"))</f>
        <v/>
      </c>
      <c r="W1140" s="64">
        <f>IF($A1140="","",IFERROR(INDEX(계정매핑!$D$5:$D$504,MATCH($F1140&amp;"",계정매핑!$A$5:$A$504,0)),"미매핑"))</f>
        <v/>
      </c>
      <c r="X1140" s="9">
        <f>IF($A1140="","",$F1140&amp;"")</f>
        <v/>
      </c>
      <c r="Y1140" s="94">
        <f>IF($A1140="",0,IF(AE1140="직접",IF(AF1140="비귀속",$P1140,0),$P1140*(1-AG1140)*IFERROR(INDEX(계정대체기준!$F$20:$F$49,MATCH($N1140,계정대체기준!$A$20:$A$49,0)),1)))</f>
        <v/>
      </c>
      <c r="Z1140" s="94">
        <f>IF($A1140="",0,IF(AE1140="직접",IF(AF1140="신계약비",$P1140,0),$P1140*(1-AG1140)*IFERROR(INDEX(계정대체기준!$C$20:$C$49,MATCH($N1140,계정대체기준!$A$20:$A$49,0)),0)))</f>
        <v/>
      </c>
      <c r="AA1140" s="94">
        <f>IF($A1140="",0,IF(AE1140="직접",IF(OR(AF1140="유지비",AF1140="손해조사비"),$P1140,0),$P1140*(1-AG1140)*IFERROR(INDEX(계정대체기준!$D$20:$D$49,MATCH($N1140,계정대체기준!$A$20:$A$49,0)),0)))</f>
        <v/>
      </c>
      <c r="AB1140" s="94">
        <f>IF($A1140="",0,IF(AE1140="직접",IF(AF1140="수금비",$P1140,0),$P1140*(1-AG1140)*IFERROR(INDEX(계정대체기준!$E$20:$E$49,MATCH($N1140,계정대체기준!$A$20:$A$49,0)),0)))</f>
        <v/>
      </c>
      <c r="AC1140" s="9">
        <f>IF(AND($A1140&lt;&gt;"",M1140=설정!$C$20,Z1140&gt;0),Z1140+ROW()/1000000000,"")</f>
        <v/>
      </c>
      <c r="AD1140" s="94">
        <f>IF($A1140="",0,$P1140*AG1140)</f>
        <v/>
      </c>
      <c r="AE1140" s="64">
        <f>IF($A1140="","",IFERROR(INDEX(계정매핑!$E$5:$E$504,MATCH($F1140&amp;"",계정매핑!$A$5:$A$504,0))&amp;"","공통비"))</f>
        <v/>
      </c>
      <c r="AF1140" s="64">
        <f>IF($A1140="","",IF(AE1140="직접",IFERROR(INDEX(계정매핑!$F$5:$F$504,MATCH($F1140&amp;"",계정매핑!$A$5:$A$504,0))&amp;"","비귀속"),""))</f>
        <v/>
      </c>
      <c r="AG1140" s="96">
        <f>IF($A1140="",0,IF(AND(AE1140&lt;&gt;"직접",IFERROR(INDEX(계정매핑!$G$5:$G$504,MATCH($F1140&amp;"",계정매핑!$A$5:$A$504,0))&amp;"","")="유지비",COUNTIF(계정대체기준!$A$6:$A$15,$N1140)&gt;0),IFERROR(INDEX(계정대체기준!$E$6:$E$15,MATCH(VALUE($A1140&amp;""),계정대체기준!$D$6:$D$15,0)),0),0))</f>
        <v/>
      </c>
      <c r="AH1140" s="64">
        <f>IF($A1140="","",IF(AD1140=0,"",IF(OR(COUNTIF(계정대체기준!$A$77:$A$86,$N1140)&gt;0,ISNUMBER(MATCH($X1140,계정대체기준!$D$77:$D$86,0)),ISNUMBER(MATCH($F1140,계정대체기준!$D$77:$D$86,0))),"Y","N")))</f>
        <v/>
      </c>
    </row>
    <row r="1141">
      <c r="A1141" s="92" t="n">
        <v>2025</v>
      </c>
      <c r="B1141" s="92" t="n">
        <v>5</v>
      </c>
      <c r="C1141" s="92" t="inlineStr">
        <is>
          <t>5100001137</t>
        </is>
      </c>
      <c r="D1141" s="95" t="n">
        <v>45804</v>
      </c>
      <c r="E1141" s="92" t="inlineStr">
        <is>
          <t>KR</t>
        </is>
      </c>
      <c r="F1141" s="92" t="n">
        <v>62501000</v>
      </c>
      <c r="G1141" s="92" t="n">
        <v>1101</v>
      </c>
      <c r="H1141" s="93" t="n">
        <v>246000</v>
      </c>
      <c r="I1141" s="92" t="inlineStr">
        <is>
          <t>5월 회의 다과 - T케이터링</t>
        </is>
      </c>
      <c r="J1141" s="92" t="inlineStr">
        <is>
          <t>V10005</t>
        </is>
      </c>
      <c r="K1141" s="92" t="inlineStr">
        <is>
          <t>T케이터링</t>
        </is>
      </c>
      <c r="M1141" s="9">
        <f>IF($A1141="","",VALUE($A1141&amp;"")*12+VALUE($B1141&amp;""))</f>
        <v/>
      </c>
      <c r="N1141" s="64">
        <f>IF($A1141="","",IFERROR(INDEX(부서매핑!$C$5:$C$504,MATCH($G1141&amp;"",부서매핑!$A$5:$A$504,0)),"미매핑"))</f>
        <v/>
      </c>
      <c r="O1141" s="9">
        <f>IF($A1141="","",N1141&amp;"|"&amp;$F1141)</f>
        <v/>
      </c>
      <c r="P1141" s="94">
        <f>IF($A1141="",0,$H1141*설정!$C$23)</f>
        <v/>
      </c>
      <c r="Q1141" s="64">
        <f>IF($A1141="","",IF(O1141&lt;&gt;원인분석!$C$9,"",IF(AND(M1141&gt;=원인분석!$C$10,M1141&lt;=원인분석!$C$11),"당기",IF(AND(M1141&gt;=원인분석!$C$12,M1141&lt;=원인분석!$C$13),"비교",""))))</f>
        <v/>
      </c>
      <c r="R1141" s="9">
        <f>IF(Q1141="","",$K1141&amp;"")</f>
        <v/>
      </c>
      <c r="S1141" s="9">
        <f>IF(Q1141="","",IF(MATCH(R1141,$R$5:$R$100000,0)=ROW()-4,ROW(),""))</f>
        <v/>
      </c>
      <c r="T1141" s="9">
        <f>IF(Q1141="당기",ABS(P1141)+ROW()/1000000000,"")</f>
        <v/>
      </c>
      <c r="U1141" s="9">
        <f>IF(Q1141="비교",ABS(P1141)+ROW()/1000000000,"")</f>
        <v/>
      </c>
      <c r="V1141" s="64">
        <f>IF($A1141="","",IF(COUNTIF(변동분석!$E$7:$E$506,O1141)&gt;0,"Y","N"))</f>
        <v/>
      </c>
      <c r="W1141" s="64">
        <f>IF($A1141="","",IFERROR(INDEX(계정매핑!$D$5:$D$504,MATCH($F1141&amp;"",계정매핑!$A$5:$A$504,0)),"미매핑"))</f>
        <v/>
      </c>
      <c r="X1141" s="9">
        <f>IF($A1141="","",$F1141&amp;"")</f>
        <v/>
      </c>
      <c r="Y1141" s="94">
        <f>IF($A1141="",0,IF(AE1141="직접",IF(AF1141="비귀속",$P1141,0),$P1141*(1-AG1141)*IFERROR(INDEX(계정대체기준!$F$20:$F$49,MATCH($N1141,계정대체기준!$A$20:$A$49,0)),1)))</f>
        <v/>
      </c>
      <c r="Z1141" s="94">
        <f>IF($A1141="",0,IF(AE1141="직접",IF(AF1141="신계약비",$P1141,0),$P1141*(1-AG1141)*IFERROR(INDEX(계정대체기준!$C$20:$C$49,MATCH($N1141,계정대체기준!$A$20:$A$49,0)),0)))</f>
        <v/>
      </c>
      <c r="AA1141" s="94">
        <f>IF($A1141="",0,IF(AE1141="직접",IF(OR(AF1141="유지비",AF1141="손해조사비"),$P1141,0),$P1141*(1-AG1141)*IFERROR(INDEX(계정대체기준!$D$20:$D$49,MATCH($N1141,계정대체기준!$A$20:$A$49,0)),0)))</f>
        <v/>
      </c>
      <c r="AB1141" s="94">
        <f>IF($A1141="",0,IF(AE1141="직접",IF(AF1141="수금비",$P1141,0),$P1141*(1-AG1141)*IFERROR(INDEX(계정대체기준!$E$20:$E$49,MATCH($N1141,계정대체기준!$A$20:$A$49,0)),0)))</f>
        <v/>
      </c>
      <c r="AC1141" s="9">
        <f>IF(AND($A1141&lt;&gt;"",M1141=설정!$C$20,Z1141&gt;0),Z1141+ROW()/1000000000,"")</f>
        <v/>
      </c>
      <c r="AD1141" s="94">
        <f>IF($A1141="",0,$P1141*AG1141)</f>
        <v/>
      </c>
      <c r="AE1141" s="64">
        <f>IF($A1141="","",IFERROR(INDEX(계정매핑!$E$5:$E$504,MATCH($F1141&amp;"",계정매핑!$A$5:$A$504,0))&amp;"","공통비"))</f>
        <v/>
      </c>
      <c r="AF1141" s="64">
        <f>IF($A1141="","",IF(AE1141="직접",IFERROR(INDEX(계정매핑!$F$5:$F$504,MATCH($F1141&amp;"",계정매핑!$A$5:$A$504,0))&amp;"","비귀속"),""))</f>
        <v/>
      </c>
      <c r="AG1141" s="96">
        <f>IF($A1141="",0,IF(AND(AE1141&lt;&gt;"직접",IFERROR(INDEX(계정매핑!$G$5:$G$504,MATCH($F1141&amp;"",계정매핑!$A$5:$A$504,0))&amp;"","")="유지비",COUNTIF(계정대체기준!$A$6:$A$15,$N1141)&gt;0),IFERROR(INDEX(계정대체기준!$E$6:$E$15,MATCH(VALUE($A1141&amp;""),계정대체기준!$D$6:$D$15,0)),0),0))</f>
        <v/>
      </c>
      <c r="AH1141" s="64">
        <f>IF($A1141="","",IF(AD1141=0,"",IF(OR(COUNTIF(계정대체기준!$A$77:$A$86,$N1141)&gt;0,ISNUMBER(MATCH($X1141,계정대체기준!$D$77:$D$86,0)),ISNUMBER(MATCH($F1141,계정대체기준!$D$77:$D$86,0))),"Y","N")))</f>
        <v/>
      </c>
    </row>
    <row r="1142">
      <c r="A1142" s="92" t="n">
        <v>2025</v>
      </c>
      <c r="B1142" s="92" t="n">
        <v>5</v>
      </c>
      <c r="C1142" s="92" t="inlineStr">
        <is>
          <t>5100001138</t>
        </is>
      </c>
      <c r="D1142" s="95" t="n">
        <v>45804</v>
      </c>
      <c r="E1142" s="92" t="inlineStr">
        <is>
          <t>KR</t>
        </is>
      </c>
      <c r="F1142" s="92" t="n">
        <v>62501000</v>
      </c>
      <c r="G1142" s="92" t="n">
        <v>1401</v>
      </c>
      <c r="H1142" s="93" t="n">
        <v>106000</v>
      </c>
      <c r="I1142" s="92" t="inlineStr">
        <is>
          <t>5월 회의 다과 - (법인카드)</t>
        </is>
      </c>
      <c r="J1142" s="92" t="inlineStr">
        <is>
          <t>V10010</t>
        </is>
      </c>
      <c r="K1142" s="92" t="inlineStr">
        <is>
          <t>(법인카드)</t>
        </is>
      </c>
      <c r="M1142" s="9">
        <f>IF($A1142="","",VALUE($A1142&amp;"")*12+VALUE($B1142&amp;""))</f>
        <v/>
      </c>
      <c r="N1142" s="64">
        <f>IF($A1142="","",IFERROR(INDEX(부서매핑!$C$5:$C$504,MATCH($G1142&amp;"",부서매핑!$A$5:$A$504,0)),"미매핑"))</f>
        <v/>
      </c>
      <c r="O1142" s="9">
        <f>IF($A1142="","",N1142&amp;"|"&amp;$F1142)</f>
        <v/>
      </c>
      <c r="P1142" s="94">
        <f>IF($A1142="",0,$H1142*설정!$C$23)</f>
        <v/>
      </c>
      <c r="Q1142" s="64">
        <f>IF($A1142="","",IF(O1142&lt;&gt;원인분석!$C$9,"",IF(AND(M1142&gt;=원인분석!$C$10,M1142&lt;=원인분석!$C$11),"당기",IF(AND(M1142&gt;=원인분석!$C$12,M1142&lt;=원인분석!$C$13),"비교",""))))</f>
        <v/>
      </c>
      <c r="R1142" s="9">
        <f>IF(Q1142="","",$K1142&amp;"")</f>
        <v/>
      </c>
      <c r="S1142" s="9">
        <f>IF(Q1142="","",IF(MATCH(R1142,$R$5:$R$100000,0)=ROW()-4,ROW(),""))</f>
        <v/>
      </c>
      <c r="T1142" s="9">
        <f>IF(Q1142="당기",ABS(P1142)+ROW()/1000000000,"")</f>
        <v/>
      </c>
      <c r="U1142" s="9">
        <f>IF(Q1142="비교",ABS(P1142)+ROW()/1000000000,"")</f>
        <v/>
      </c>
      <c r="V1142" s="64">
        <f>IF($A1142="","",IF(COUNTIF(변동분석!$E$7:$E$506,O1142)&gt;0,"Y","N"))</f>
        <v/>
      </c>
      <c r="W1142" s="64">
        <f>IF($A1142="","",IFERROR(INDEX(계정매핑!$D$5:$D$504,MATCH($F1142&amp;"",계정매핑!$A$5:$A$504,0)),"미매핑"))</f>
        <v/>
      </c>
      <c r="X1142" s="9">
        <f>IF($A1142="","",$F1142&amp;"")</f>
        <v/>
      </c>
      <c r="Y1142" s="94">
        <f>IF($A1142="",0,IF(AE1142="직접",IF(AF1142="비귀속",$P1142,0),$P1142*(1-AG1142)*IFERROR(INDEX(계정대체기준!$F$20:$F$49,MATCH($N1142,계정대체기준!$A$20:$A$49,0)),1)))</f>
        <v/>
      </c>
      <c r="Z1142" s="94">
        <f>IF($A1142="",0,IF(AE1142="직접",IF(AF1142="신계약비",$P1142,0),$P1142*(1-AG1142)*IFERROR(INDEX(계정대체기준!$C$20:$C$49,MATCH($N1142,계정대체기준!$A$20:$A$49,0)),0)))</f>
        <v/>
      </c>
      <c r="AA1142" s="94">
        <f>IF($A1142="",0,IF(AE1142="직접",IF(OR(AF1142="유지비",AF1142="손해조사비"),$P1142,0),$P1142*(1-AG1142)*IFERROR(INDEX(계정대체기준!$D$20:$D$49,MATCH($N1142,계정대체기준!$A$20:$A$49,0)),0)))</f>
        <v/>
      </c>
      <c r="AB1142" s="94">
        <f>IF($A1142="",0,IF(AE1142="직접",IF(AF1142="수금비",$P1142,0),$P1142*(1-AG1142)*IFERROR(INDEX(계정대체기준!$E$20:$E$49,MATCH($N1142,계정대체기준!$A$20:$A$49,0)),0)))</f>
        <v/>
      </c>
      <c r="AC1142" s="9">
        <f>IF(AND($A1142&lt;&gt;"",M1142=설정!$C$20,Z1142&gt;0),Z1142+ROW()/1000000000,"")</f>
        <v/>
      </c>
      <c r="AD1142" s="94">
        <f>IF($A1142="",0,$P1142*AG1142)</f>
        <v/>
      </c>
      <c r="AE1142" s="64">
        <f>IF($A1142="","",IFERROR(INDEX(계정매핑!$E$5:$E$504,MATCH($F1142&amp;"",계정매핑!$A$5:$A$504,0))&amp;"","공통비"))</f>
        <v/>
      </c>
      <c r="AF1142" s="64">
        <f>IF($A1142="","",IF(AE1142="직접",IFERROR(INDEX(계정매핑!$F$5:$F$504,MATCH($F1142&amp;"",계정매핑!$A$5:$A$504,0))&amp;"","비귀속"),""))</f>
        <v/>
      </c>
      <c r="AG1142" s="96">
        <f>IF($A1142="",0,IF(AND(AE1142&lt;&gt;"직접",IFERROR(INDEX(계정매핑!$G$5:$G$504,MATCH($F1142&amp;"",계정매핑!$A$5:$A$504,0))&amp;"","")="유지비",COUNTIF(계정대체기준!$A$6:$A$15,$N1142)&gt;0),IFERROR(INDEX(계정대체기준!$E$6:$E$15,MATCH(VALUE($A1142&amp;""),계정대체기준!$D$6:$D$15,0)),0),0))</f>
        <v/>
      </c>
      <c r="AH1142" s="64">
        <f>IF($A1142="","",IF(AD1142=0,"",IF(OR(COUNTIF(계정대체기준!$A$77:$A$86,$N1142)&gt;0,ISNUMBER(MATCH($X1142,계정대체기준!$D$77:$D$86,0)),ISNUMBER(MATCH($F1142,계정대체기준!$D$77:$D$86,0))),"Y","N")))</f>
        <v/>
      </c>
    </row>
    <row r="1143">
      <c r="A1143" s="92" t="n">
        <v>2025</v>
      </c>
      <c r="B1143" s="92" t="n">
        <v>5</v>
      </c>
      <c r="C1143" s="92" t="inlineStr">
        <is>
          <t>5100001139</t>
        </is>
      </c>
      <c r="D1143" s="95" t="n">
        <v>45804</v>
      </c>
      <c r="E1143" s="92" t="inlineStr">
        <is>
          <t>KR</t>
        </is>
      </c>
      <c r="F1143" s="92" t="n">
        <v>62701000</v>
      </c>
      <c r="G1143" s="92" t="n">
        <v>1501</v>
      </c>
      <c r="H1143" s="93" t="n">
        <v>27376000</v>
      </c>
      <c r="I1143" s="92" t="inlineStr">
        <is>
          <t>5월 광고 집행 - F애드</t>
        </is>
      </c>
      <c r="J1143" s="92" t="inlineStr">
        <is>
          <t>V10023</t>
        </is>
      </c>
      <c r="K1143" s="92" t="inlineStr">
        <is>
          <t>F애드</t>
        </is>
      </c>
      <c r="M1143" s="9">
        <f>IF($A1143="","",VALUE($A1143&amp;"")*12+VALUE($B1143&amp;""))</f>
        <v/>
      </c>
      <c r="N1143" s="64">
        <f>IF($A1143="","",IFERROR(INDEX(부서매핑!$C$5:$C$504,MATCH($G1143&amp;"",부서매핑!$A$5:$A$504,0)),"미매핑"))</f>
        <v/>
      </c>
      <c r="O1143" s="9">
        <f>IF($A1143="","",N1143&amp;"|"&amp;$F1143)</f>
        <v/>
      </c>
      <c r="P1143" s="94">
        <f>IF($A1143="",0,$H1143*설정!$C$23)</f>
        <v/>
      </c>
      <c r="Q1143" s="64">
        <f>IF($A1143="","",IF(O1143&lt;&gt;원인분석!$C$9,"",IF(AND(M1143&gt;=원인분석!$C$10,M1143&lt;=원인분석!$C$11),"당기",IF(AND(M1143&gt;=원인분석!$C$12,M1143&lt;=원인분석!$C$13),"비교",""))))</f>
        <v/>
      </c>
      <c r="R1143" s="9">
        <f>IF(Q1143="","",$K1143&amp;"")</f>
        <v/>
      </c>
      <c r="S1143" s="9">
        <f>IF(Q1143="","",IF(MATCH(R1143,$R$5:$R$100000,0)=ROW()-4,ROW(),""))</f>
        <v/>
      </c>
      <c r="T1143" s="9">
        <f>IF(Q1143="당기",ABS(P1143)+ROW()/1000000000,"")</f>
        <v/>
      </c>
      <c r="U1143" s="9">
        <f>IF(Q1143="비교",ABS(P1143)+ROW()/1000000000,"")</f>
        <v/>
      </c>
      <c r="V1143" s="64">
        <f>IF($A1143="","",IF(COUNTIF(변동분석!$E$7:$E$506,O1143)&gt;0,"Y","N"))</f>
        <v/>
      </c>
      <c r="W1143" s="64">
        <f>IF($A1143="","",IFERROR(INDEX(계정매핑!$D$5:$D$504,MATCH($F1143&amp;"",계정매핑!$A$5:$A$504,0)),"미매핑"))</f>
        <v/>
      </c>
      <c r="X1143" s="9">
        <f>IF($A1143="","",$F1143&amp;"")</f>
        <v/>
      </c>
      <c r="Y1143" s="94">
        <f>IF($A1143="",0,IF(AE1143="직접",IF(AF1143="비귀속",$P1143,0),$P1143*(1-AG1143)*IFERROR(INDEX(계정대체기준!$F$20:$F$49,MATCH($N1143,계정대체기준!$A$20:$A$49,0)),1)))</f>
        <v/>
      </c>
      <c r="Z1143" s="94">
        <f>IF($A1143="",0,IF(AE1143="직접",IF(AF1143="신계약비",$P1143,0),$P1143*(1-AG1143)*IFERROR(INDEX(계정대체기준!$C$20:$C$49,MATCH($N1143,계정대체기준!$A$20:$A$49,0)),0)))</f>
        <v/>
      </c>
      <c r="AA1143" s="94">
        <f>IF($A1143="",0,IF(AE1143="직접",IF(OR(AF1143="유지비",AF1143="손해조사비"),$P1143,0),$P1143*(1-AG1143)*IFERROR(INDEX(계정대체기준!$D$20:$D$49,MATCH($N1143,계정대체기준!$A$20:$A$49,0)),0)))</f>
        <v/>
      </c>
      <c r="AB1143" s="94">
        <f>IF($A1143="",0,IF(AE1143="직접",IF(AF1143="수금비",$P1143,0),$P1143*(1-AG1143)*IFERROR(INDEX(계정대체기준!$E$20:$E$49,MATCH($N1143,계정대체기준!$A$20:$A$49,0)),0)))</f>
        <v/>
      </c>
      <c r="AC1143" s="9">
        <f>IF(AND($A1143&lt;&gt;"",M1143=설정!$C$20,Z1143&gt;0),Z1143+ROW()/1000000000,"")</f>
        <v/>
      </c>
      <c r="AD1143" s="94">
        <f>IF($A1143="",0,$P1143*AG1143)</f>
        <v/>
      </c>
      <c r="AE1143" s="64">
        <f>IF($A1143="","",IFERROR(INDEX(계정매핑!$E$5:$E$504,MATCH($F1143&amp;"",계정매핑!$A$5:$A$504,0))&amp;"","공통비"))</f>
        <v/>
      </c>
      <c r="AF1143" s="64">
        <f>IF($A1143="","",IF(AE1143="직접",IFERROR(INDEX(계정매핑!$F$5:$F$504,MATCH($F1143&amp;"",계정매핑!$A$5:$A$504,0))&amp;"","비귀속"),""))</f>
        <v/>
      </c>
      <c r="AG1143" s="96">
        <f>IF($A1143="",0,IF(AND(AE1143&lt;&gt;"직접",IFERROR(INDEX(계정매핑!$G$5:$G$504,MATCH($F1143&amp;"",계정매핑!$A$5:$A$504,0))&amp;"","")="유지비",COUNTIF(계정대체기준!$A$6:$A$15,$N1143)&gt;0),IFERROR(INDEX(계정대체기준!$E$6:$E$15,MATCH(VALUE($A1143&amp;""),계정대체기준!$D$6:$D$15,0)),0),0))</f>
        <v/>
      </c>
      <c r="AH1143" s="64">
        <f>IF($A1143="","",IF(AD1143=0,"",IF(OR(COUNTIF(계정대체기준!$A$77:$A$86,$N1143)&gt;0,ISNUMBER(MATCH($X1143,계정대체기준!$D$77:$D$86,0)),ISNUMBER(MATCH($F1143,계정대체기준!$D$77:$D$86,0))),"Y","N")))</f>
        <v/>
      </c>
    </row>
    <row r="1144">
      <c r="A1144" s="92" t="n">
        <v>2025</v>
      </c>
      <c r="B1144" s="92" t="n">
        <v>6</v>
      </c>
      <c r="C1144" s="92" t="inlineStr">
        <is>
          <t>5100001140</t>
        </is>
      </c>
      <c r="D1144" s="95" t="n">
        <v>45810</v>
      </c>
      <c r="E1144" s="92" t="inlineStr">
        <is>
          <t>KR</t>
        </is>
      </c>
      <c r="F1144" s="92" t="n">
        <v>62101000</v>
      </c>
      <c r="G1144" s="92" t="n">
        <v>1101</v>
      </c>
      <c r="H1144" s="93" t="n">
        <v>322000</v>
      </c>
      <c r="I1144" s="92" t="inlineStr">
        <is>
          <t>6월 국내출장 - L여행사</t>
        </is>
      </c>
      <c r="J1144" s="92" t="inlineStr">
        <is>
          <t>V10018</t>
        </is>
      </c>
      <c r="K1144" s="92" t="inlineStr">
        <is>
          <t>L여행사</t>
        </is>
      </c>
      <c r="M1144" s="9">
        <f>IF($A1144="","",VALUE($A1144&amp;"")*12+VALUE($B1144&amp;""))</f>
        <v/>
      </c>
      <c r="N1144" s="64">
        <f>IF($A1144="","",IFERROR(INDEX(부서매핑!$C$5:$C$504,MATCH($G1144&amp;"",부서매핑!$A$5:$A$504,0)),"미매핑"))</f>
        <v/>
      </c>
      <c r="O1144" s="9">
        <f>IF($A1144="","",N1144&amp;"|"&amp;$F1144)</f>
        <v/>
      </c>
      <c r="P1144" s="94">
        <f>IF($A1144="",0,$H1144*설정!$C$23)</f>
        <v/>
      </c>
      <c r="Q1144" s="64">
        <f>IF($A1144="","",IF(O1144&lt;&gt;원인분석!$C$9,"",IF(AND(M1144&gt;=원인분석!$C$10,M1144&lt;=원인분석!$C$11),"당기",IF(AND(M1144&gt;=원인분석!$C$12,M1144&lt;=원인분석!$C$13),"비교",""))))</f>
        <v/>
      </c>
      <c r="R1144" s="9">
        <f>IF(Q1144="","",$K1144&amp;"")</f>
        <v/>
      </c>
      <c r="S1144" s="9">
        <f>IF(Q1144="","",IF(MATCH(R1144,$R$5:$R$100000,0)=ROW()-4,ROW(),""))</f>
        <v/>
      </c>
      <c r="T1144" s="9">
        <f>IF(Q1144="당기",ABS(P1144)+ROW()/1000000000,"")</f>
        <v/>
      </c>
      <c r="U1144" s="9">
        <f>IF(Q1144="비교",ABS(P1144)+ROW()/1000000000,"")</f>
        <v/>
      </c>
      <c r="V1144" s="64">
        <f>IF($A1144="","",IF(COUNTIF(변동분석!$E$7:$E$506,O1144)&gt;0,"Y","N"))</f>
        <v/>
      </c>
      <c r="W1144" s="64">
        <f>IF($A1144="","",IFERROR(INDEX(계정매핑!$D$5:$D$504,MATCH($F1144&amp;"",계정매핑!$A$5:$A$504,0)),"미매핑"))</f>
        <v/>
      </c>
      <c r="X1144" s="9">
        <f>IF($A1144="","",$F1144&amp;"")</f>
        <v/>
      </c>
      <c r="Y1144" s="94">
        <f>IF($A1144="",0,IF(AE1144="직접",IF(AF1144="비귀속",$P1144,0),$P1144*(1-AG1144)*IFERROR(INDEX(계정대체기준!$F$20:$F$49,MATCH($N1144,계정대체기준!$A$20:$A$49,0)),1)))</f>
        <v/>
      </c>
      <c r="Z1144" s="94">
        <f>IF($A1144="",0,IF(AE1144="직접",IF(AF1144="신계약비",$P1144,0),$P1144*(1-AG1144)*IFERROR(INDEX(계정대체기준!$C$20:$C$49,MATCH($N1144,계정대체기준!$A$20:$A$49,0)),0)))</f>
        <v/>
      </c>
      <c r="AA1144" s="94">
        <f>IF($A1144="",0,IF(AE1144="직접",IF(OR(AF1144="유지비",AF1144="손해조사비"),$P1144,0),$P1144*(1-AG1144)*IFERROR(INDEX(계정대체기준!$D$20:$D$49,MATCH($N1144,계정대체기준!$A$20:$A$49,0)),0)))</f>
        <v/>
      </c>
      <c r="AB1144" s="94">
        <f>IF($A1144="",0,IF(AE1144="직접",IF(AF1144="수금비",$P1144,0),$P1144*(1-AG1144)*IFERROR(INDEX(계정대체기준!$E$20:$E$49,MATCH($N1144,계정대체기준!$A$20:$A$49,0)),0)))</f>
        <v/>
      </c>
      <c r="AC1144" s="9">
        <f>IF(AND($A1144&lt;&gt;"",M1144=설정!$C$20,Z1144&gt;0),Z1144+ROW()/1000000000,"")</f>
        <v/>
      </c>
      <c r="AD1144" s="94">
        <f>IF($A1144="",0,$P1144*AG1144)</f>
        <v/>
      </c>
      <c r="AE1144" s="64">
        <f>IF($A1144="","",IFERROR(INDEX(계정매핑!$E$5:$E$504,MATCH($F1144&amp;"",계정매핑!$A$5:$A$504,0))&amp;"","공통비"))</f>
        <v/>
      </c>
      <c r="AF1144" s="64">
        <f>IF($A1144="","",IF(AE1144="직접",IFERROR(INDEX(계정매핑!$F$5:$F$504,MATCH($F1144&amp;"",계정매핑!$A$5:$A$504,0))&amp;"","비귀속"),""))</f>
        <v/>
      </c>
      <c r="AG1144" s="96">
        <f>IF($A1144="",0,IF(AND(AE1144&lt;&gt;"직접",IFERROR(INDEX(계정매핑!$G$5:$G$504,MATCH($F1144&amp;"",계정매핑!$A$5:$A$504,0))&amp;"","")="유지비",COUNTIF(계정대체기준!$A$6:$A$15,$N1144)&gt;0),IFERROR(INDEX(계정대체기준!$E$6:$E$15,MATCH(VALUE($A1144&amp;""),계정대체기준!$D$6:$D$15,0)),0),0))</f>
        <v/>
      </c>
      <c r="AH1144" s="64">
        <f>IF($A1144="","",IF(AD1144=0,"",IF(OR(COUNTIF(계정대체기준!$A$77:$A$86,$N1144)&gt;0,ISNUMBER(MATCH($X1144,계정대체기준!$D$77:$D$86,0)),ISNUMBER(MATCH($F1144,계정대체기준!$D$77:$D$86,0))),"Y","N")))</f>
        <v/>
      </c>
    </row>
    <row r="1145">
      <c r="A1145" s="92" t="n">
        <v>2025</v>
      </c>
      <c r="B1145" s="92" t="n">
        <v>6</v>
      </c>
      <c r="C1145" s="92" t="inlineStr">
        <is>
          <t>5100001141</t>
        </is>
      </c>
      <c r="D1145" s="95" t="n">
        <v>45810</v>
      </c>
      <c r="E1145" s="92" t="inlineStr">
        <is>
          <t>KR</t>
        </is>
      </c>
      <c r="F1145" s="92" t="n">
        <v>62101000</v>
      </c>
      <c r="G1145" s="92" t="n">
        <v>1501</v>
      </c>
      <c r="H1145" s="93" t="n">
        <v>681000</v>
      </c>
      <c r="I1145" s="92" t="inlineStr">
        <is>
          <t>6월 국내출장 - L여행사</t>
        </is>
      </c>
      <c r="J1145" s="92" t="inlineStr">
        <is>
          <t>V10018</t>
        </is>
      </c>
      <c r="K1145" s="92" t="inlineStr">
        <is>
          <t>L여행사</t>
        </is>
      </c>
      <c r="M1145" s="9">
        <f>IF($A1145="","",VALUE($A1145&amp;"")*12+VALUE($B1145&amp;""))</f>
        <v/>
      </c>
      <c r="N1145" s="64">
        <f>IF($A1145="","",IFERROR(INDEX(부서매핑!$C$5:$C$504,MATCH($G1145&amp;"",부서매핑!$A$5:$A$504,0)),"미매핑"))</f>
        <v/>
      </c>
      <c r="O1145" s="9">
        <f>IF($A1145="","",N1145&amp;"|"&amp;$F1145)</f>
        <v/>
      </c>
      <c r="P1145" s="94">
        <f>IF($A1145="",0,$H1145*설정!$C$23)</f>
        <v/>
      </c>
      <c r="Q1145" s="64">
        <f>IF($A1145="","",IF(O1145&lt;&gt;원인분석!$C$9,"",IF(AND(M1145&gt;=원인분석!$C$10,M1145&lt;=원인분석!$C$11),"당기",IF(AND(M1145&gt;=원인분석!$C$12,M1145&lt;=원인분석!$C$13),"비교",""))))</f>
        <v/>
      </c>
      <c r="R1145" s="9">
        <f>IF(Q1145="","",$K1145&amp;"")</f>
        <v/>
      </c>
      <c r="S1145" s="9">
        <f>IF(Q1145="","",IF(MATCH(R1145,$R$5:$R$100000,0)=ROW()-4,ROW(),""))</f>
        <v/>
      </c>
      <c r="T1145" s="9">
        <f>IF(Q1145="당기",ABS(P1145)+ROW()/1000000000,"")</f>
        <v/>
      </c>
      <c r="U1145" s="9">
        <f>IF(Q1145="비교",ABS(P1145)+ROW()/1000000000,"")</f>
        <v/>
      </c>
      <c r="V1145" s="64">
        <f>IF($A1145="","",IF(COUNTIF(변동분석!$E$7:$E$506,O1145)&gt;0,"Y","N"))</f>
        <v/>
      </c>
      <c r="W1145" s="64">
        <f>IF($A1145="","",IFERROR(INDEX(계정매핑!$D$5:$D$504,MATCH($F1145&amp;"",계정매핑!$A$5:$A$504,0)),"미매핑"))</f>
        <v/>
      </c>
      <c r="X1145" s="9">
        <f>IF($A1145="","",$F1145&amp;"")</f>
        <v/>
      </c>
      <c r="Y1145" s="94">
        <f>IF($A1145="",0,IF(AE1145="직접",IF(AF1145="비귀속",$P1145,0),$P1145*(1-AG1145)*IFERROR(INDEX(계정대체기준!$F$20:$F$49,MATCH($N1145,계정대체기준!$A$20:$A$49,0)),1)))</f>
        <v/>
      </c>
      <c r="Z1145" s="94">
        <f>IF($A1145="",0,IF(AE1145="직접",IF(AF1145="신계약비",$P1145,0),$P1145*(1-AG1145)*IFERROR(INDEX(계정대체기준!$C$20:$C$49,MATCH($N1145,계정대체기준!$A$20:$A$49,0)),0)))</f>
        <v/>
      </c>
      <c r="AA1145" s="94">
        <f>IF($A1145="",0,IF(AE1145="직접",IF(OR(AF1145="유지비",AF1145="손해조사비"),$P1145,0),$P1145*(1-AG1145)*IFERROR(INDEX(계정대체기준!$D$20:$D$49,MATCH($N1145,계정대체기준!$A$20:$A$49,0)),0)))</f>
        <v/>
      </c>
      <c r="AB1145" s="94">
        <f>IF($A1145="",0,IF(AE1145="직접",IF(AF1145="수금비",$P1145,0),$P1145*(1-AG1145)*IFERROR(INDEX(계정대체기준!$E$20:$E$49,MATCH($N1145,계정대체기준!$A$20:$A$49,0)),0)))</f>
        <v/>
      </c>
      <c r="AC1145" s="9">
        <f>IF(AND($A1145&lt;&gt;"",M1145=설정!$C$20,Z1145&gt;0),Z1145+ROW()/1000000000,"")</f>
        <v/>
      </c>
      <c r="AD1145" s="94">
        <f>IF($A1145="",0,$P1145*AG1145)</f>
        <v/>
      </c>
      <c r="AE1145" s="64">
        <f>IF($A1145="","",IFERROR(INDEX(계정매핑!$E$5:$E$504,MATCH($F1145&amp;"",계정매핑!$A$5:$A$504,0))&amp;"","공통비"))</f>
        <v/>
      </c>
      <c r="AF1145" s="64">
        <f>IF($A1145="","",IF(AE1145="직접",IFERROR(INDEX(계정매핑!$F$5:$F$504,MATCH($F1145&amp;"",계정매핑!$A$5:$A$504,0))&amp;"","비귀속"),""))</f>
        <v/>
      </c>
      <c r="AG1145" s="96">
        <f>IF($A1145="",0,IF(AND(AE1145&lt;&gt;"직접",IFERROR(INDEX(계정매핑!$G$5:$G$504,MATCH($F1145&amp;"",계정매핑!$A$5:$A$504,0))&amp;"","")="유지비",COUNTIF(계정대체기준!$A$6:$A$15,$N1145)&gt;0),IFERROR(INDEX(계정대체기준!$E$6:$E$15,MATCH(VALUE($A1145&amp;""),계정대체기준!$D$6:$D$15,0)),0),0))</f>
        <v/>
      </c>
      <c r="AH1145" s="64">
        <f>IF($A1145="","",IF(AD1145=0,"",IF(OR(COUNTIF(계정대체기준!$A$77:$A$86,$N1145)&gt;0,ISNUMBER(MATCH($X1145,계정대체기준!$D$77:$D$86,0)),ISNUMBER(MATCH($F1145,계정대체기준!$D$77:$D$86,0))),"Y","N")))</f>
        <v/>
      </c>
    </row>
    <row r="1146">
      <c r="A1146" s="92" t="n">
        <v>2025</v>
      </c>
      <c r="B1146" s="92" t="n">
        <v>6</v>
      </c>
      <c r="C1146" s="92" t="inlineStr">
        <is>
          <t>5100001142</t>
        </is>
      </c>
      <c r="D1146" s="95" t="n">
        <v>45810</v>
      </c>
      <c r="E1146" s="92" t="inlineStr">
        <is>
          <t>KR</t>
        </is>
      </c>
      <c r="F1146" s="92" t="n">
        <v>62201000</v>
      </c>
      <c r="G1146" s="92" t="n">
        <v>1401</v>
      </c>
      <c r="H1146" s="93" t="n">
        <v>187000</v>
      </c>
      <c r="I1146" s="92" t="inlineStr">
        <is>
          <t>6월 통신요금 - P통신</t>
        </is>
      </c>
      <c r="J1146" s="92" t="inlineStr">
        <is>
          <t>V10014</t>
        </is>
      </c>
      <c r="K1146" s="92" t="inlineStr">
        <is>
          <t>P통신</t>
        </is>
      </c>
      <c r="M1146" s="9">
        <f>IF($A1146="","",VALUE($A1146&amp;"")*12+VALUE($B1146&amp;""))</f>
        <v/>
      </c>
      <c r="N1146" s="64">
        <f>IF($A1146="","",IFERROR(INDEX(부서매핑!$C$5:$C$504,MATCH($G1146&amp;"",부서매핑!$A$5:$A$504,0)),"미매핑"))</f>
        <v/>
      </c>
      <c r="O1146" s="9">
        <f>IF($A1146="","",N1146&amp;"|"&amp;$F1146)</f>
        <v/>
      </c>
      <c r="P1146" s="94">
        <f>IF($A1146="",0,$H1146*설정!$C$23)</f>
        <v/>
      </c>
      <c r="Q1146" s="64">
        <f>IF($A1146="","",IF(O1146&lt;&gt;원인분석!$C$9,"",IF(AND(M1146&gt;=원인분석!$C$10,M1146&lt;=원인분석!$C$11),"당기",IF(AND(M1146&gt;=원인분석!$C$12,M1146&lt;=원인분석!$C$13),"비교",""))))</f>
        <v/>
      </c>
      <c r="R1146" s="9">
        <f>IF(Q1146="","",$K1146&amp;"")</f>
        <v/>
      </c>
      <c r="S1146" s="9">
        <f>IF(Q1146="","",IF(MATCH(R1146,$R$5:$R$100000,0)=ROW()-4,ROW(),""))</f>
        <v/>
      </c>
      <c r="T1146" s="9">
        <f>IF(Q1146="당기",ABS(P1146)+ROW()/1000000000,"")</f>
        <v/>
      </c>
      <c r="U1146" s="9">
        <f>IF(Q1146="비교",ABS(P1146)+ROW()/1000000000,"")</f>
        <v/>
      </c>
      <c r="V1146" s="64">
        <f>IF($A1146="","",IF(COUNTIF(변동분석!$E$7:$E$506,O1146)&gt;0,"Y","N"))</f>
        <v/>
      </c>
      <c r="W1146" s="64">
        <f>IF($A1146="","",IFERROR(INDEX(계정매핑!$D$5:$D$504,MATCH($F1146&amp;"",계정매핑!$A$5:$A$504,0)),"미매핑"))</f>
        <v/>
      </c>
      <c r="X1146" s="9">
        <f>IF($A1146="","",$F1146&amp;"")</f>
        <v/>
      </c>
      <c r="Y1146" s="94">
        <f>IF($A1146="",0,IF(AE1146="직접",IF(AF1146="비귀속",$P1146,0),$P1146*(1-AG1146)*IFERROR(INDEX(계정대체기준!$F$20:$F$49,MATCH($N1146,계정대체기준!$A$20:$A$49,0)),1)))</f>
        <v/>
      </c>
      <c r="Z1146" s="94">
        <f>IF($A1146="",0,IF(AE1146="직접",IF(AF1146="신계약비",$P1146,0),$P1146*(1-AG1146)*IFERROR(INDEX(계정대체기준!$C$20:$C$49,MATCH($N1146,계정대체기준!$A$20:$A$49,0)),0)))</f>
        <v/>
      </c>
      <c r="AA1146" s="94">
        <f>IF($A1146="",0,IF(AE1146="직접",IF(OR(AF1146="유지비",AF1146="손해조사비"),$P1146,0),$P1146*(1-AG1146)*IFERROR(INDEX(계정대체기준!$D$20:$D$49,MATCH($N1146,계정대체기준!$A$20:$A$49,0)),0)))</f>
        <v/>
      </c>
      <c r="AB1146" s="94">
        <f>IF($A1146="",0,IF(AE1146="직접",IF(AF1146="수금비",$P1146,0),$P1146*(1-AG1146)*IFERROR(INDEX(계정대체기준!$E$20:$E$49,MATCH($N1146,계정대체기준!$A$20:$A$49,0)),0)))</f>
        <v/>
      </c>
      <c r="AC1146" s="9">
        <f>IF(AND($A1146&lt;&gt;"",M1146=설정!$C$20,Z1146&gt;0),Z1146+ROW()/1000000000,"")</f>
        <v/>
      </c>
      <c r="AD1146" s="94">
        <f>IF($A1146="",0,$P1146*AG1146)</f>
        <v/>
      </c>
      <c r="AE1146" s="64">
        <f>IF($A1146="","",IFERROR(INDEX(계정매핑!$E$5:$E$504,MATCH($F1146&amp;"",계정매핑!$A$5:$A$504,0))&amp;"","공통비"))</f>
        <v/>
      </c>
      <c r="AF1146" s="64">
        <f>IF($A1146="","",IF(AE1146="직접",IFERROR(INDEX(계정매핑!$F$5:$F$504,MATCH($F1146&amp;"",계정매핑!$A$5:$A$504,0))&amp;"","비귀속"),""))</f>
        <v/>
      </c>
      <c r="AG1146" s="96">
        <f>IF($A1146="",0,IF(AND(AE1146&lt;&gt;"직접",IFERROR(INDEX(계정매핑!$G$5:$G$504,MATCH($F1146&amp;"",계정매핑!$A$5:$A$504,0))&amp;"","")="유지비",COUNTIF(계정대체기준!$A$6:$A$15,$N1146)&gt;0),IFERROR(INDEX(계정대체기준!$E$6:$E$15,MATCH(VALUE($A1146&amp;""),계정대체기준!$D$6:$D$15,0)),0),0))</f>
        <v/>
      </c>
      <c r="AH1146" s="64">
        <f>IF($A1146="","",IF(AD1146=0,"",IF(OR(COUNTIF(계정대체기준!$A$77:$A$86,$N1146)&gt;0,ISNUMBER(MATCH($X1146,계정대체기준!$D$77:$D$86,0)),ISNUMBER(MATCH($F1146,계정대체기준!$D$77:$D$86,0))),"Y","N")))</f>
        <v/>
      </c>
    </row>
    <row r="1147">
      <c r="A1147" s="92" t="n">
        <v>2025</v>
      </c>
      <c r="B1147" s="92" t="n">
        <v>6</v>
      </c>
      <c r="C1147" s="92" t="inlineStr">
        <is>
          <t>5100001143</t>
        </is>
      </c>
      <c r="D1147" s="95" t="n">
        <v>45810</v>
      </c>
      <c r="E1147" s="92" t="inlineStr">
        <is>
          <t>KR</t>
        </is>
      </c>
      <c r="F1147" s="92" t="n">
        <v>62301000</v>
      </c>
      <c r="G1147" s="92" t="n">
        <v>1801</v>
      </c>
      <c r="H1147" s="93" t="n">
        <v>430000</v>
      </c>
      <c r="I1147" s="92" t="inlineStr">
        <is>
          <t>6월 소모품 구입 - R문구</t>
        </is>
      </c>
      <c r="J1147" s="92" t="inlineStr">
        <is>
          <t>V10022</t>
        </is>
      </c>
      <c r="K1147" s="92" t="inlineStr">
        <is>
          <t>R문구</t>
        </is>
      </c>
      <c r="M1147" s="9">
        <f>IF($A1147="","",VALUE($A1147&amp;"")*12+VALUE($B1147&amp;""))</f>
        <v/>
      </c>
      <c r="N1147" s="64">
        <f>IF($A1147="","",IFERROR(INDEX(부서매핑!$C$5:$C$504,MATCH($G1147&amp;"",부서매핑!$A$5:$A$504,0)),"미매핑"))</f>
        <v/>
      </c>
      <c r="O1147" s="9">
        <f>IF($A1147="","",N1147&amp;"|"&amp;$F1147)</f>
        <v/>
      </c>
      <c r="P1147" s="94">
        <f>IF($A1147="",0,$H1147*설정!$C$23)</f>
        <v/>
      </c>
      <c r="Q1147" s="64">
        <f>IF($A1147="","",IF(O1147&lt;&gt;원인분석!$C$9,"",IF(AND(M1147&gt;=원인분석!$C$10,M1147&lt;=원인분석!$C$11),"당기",IF(AND(M1147&gt;=원인분석!$C$12,M1147&lt;=원인분석!$C$13),"비교",""))))</f>
        <v/>
      </c>
      <c r="R1147" s="9">
        <f>IF(Q1147="","",$K1147&amp;"")</f>
        <v/>
      </c>
      <c r="S1147" s="9">
        <f>IF(Q1147="","",IF(MATCH(R1147,$R$5:$R$100000,0)=ROW()-4,ROW(),""))</f>
        <v/>
      </c>
      <c r="T1147" s="9">
        <f>IF(Q1147="당기",ABS(P1147)+ROW()/1000000000,"")</f>
        <v/>
      </c>
      <c r="U1147" s="9">
        <f>IF(Q1147="비교",ABS(P1147)+ROW()/1000000000,"")</f>
        <v/>
      </c>
      <c r="V1147" s="64">
        <f>IF($A1147="","",IF(COUNTIF(변동분석!$E$7:$E$506,O1147)&gt;0,"Y","N"))</f>
        <v/>
      </c>
      <c r="W1147" s="64">
        <f>IF($A1147="","",IFERROR(INDEX(계정매핑!$D$5:$D$504,MATCH($F1147&amp;"",계정매핑!$A$5:$A$504,0)),"미매핑"))</f>
        <v/>
      </c>
      <c r="X1147" s="9">
        <f>IF($A1147="","",$F1147&amp;"")</f>
        <v/>
      </c>
      <c r="Y1147" s="94">
        <f>IF($A1147="",0,IF(AE1147="직접",IF(AF1147="비귀속",$P1147,0),$P1147*(1-AG1147)*IFERROR(INDEX(계정대체기준!$F$20:$F$49,MATCH($N1147,계정대체기준!$A$20:$A$49,0)),1)))</f>
        <v/>
      </c>
      <c r="Z1147" s="94">
        <f>IF($A1147="",0,IF(AE1147="직접",IF(AF1147="신계약비",$P1147,0),$P1147*(1-AG1147)*IFERROR(INDEX(계정대체기준!$C$20:$C$49,MATCH($N1147,계정대체기준!$A$20:$A$49,0)),0)))</f>
        <v/>
      </c>
      <c r="AA1147" s="94">
        <f>IF($A1147="",0,IF(AE1147="직접",IF(OR(AF1147="유지비",AF1147="손해조사비"),$P1147,0),$P1147*(1-AG1147)*IFERROR(INDEX(계정대체기준!$D$20:$D$49,MATCH($N1147,계정대체기준!$A$20:$A$49,0)),0)))</f>
        <v/>
      </c>
      <c r="AB1147" s="94">
        <f>IF($A1147="",0,IF(AE1147="직접",IF(AF1147="수금비",$P1147,0),$P1147*(1-AG1147)*IFERROR(INDEX(계정대체기준!$E$20:$E$49,MATCH($N1147,계정대체기준!$A$20:$A$49,0)),0)))</f>
        <v/>
      </c>
      <c r="AC1147" s="9">
        <f>IF(AND($A1147&lt;&gt;"",M1147=설정!$C$20,Z1147&gt;0),Z1147+ROW()/1000000000,"")</f>
        <v/>
      </c>
      <c r="AD1147" s="94">
        <f>IF($A1147="",0,$P1147*AG1147)</f>
        <v/>
      </c>
      <c r="AE1147" s="64">
        <f>IF($A1147="","",IFERROR(INDEX(계정매핑!$E$5:$E$504,MATCH($F1147&amp;"",계정매핑!$A$5:$A$504,0))&amp;"","공통비"))</f>
        <v/>
      </c>
      <c r="AF1147" s="64">
        <f>IF($A1147="","",IF(AE1147="직접",IFERROR(INDEX(계정매핑!$F$5:$F$504,MATCH($F1147&amp;"",계정매핑!$A$5:$A$504,0))&amp;"","비귀속"),""))</f>
        <v/>
      </c>
      <c r="AG1147" s="96">
        <f>IF($A1147="",0,IF(AND(AE1147&lt;&gt;"직접",IFERROR(INDEX(계정매핑!$G$5:$G$504,MATCH($F1147&amp;"",계정매핑!$A$5:$A$504,0))&amp;"","")="유지비",COUNTIF(계정대체기준!$A$6:$A$15,$N1147)&gt;0),IFERROR(INDEX(계정대체기준!$E$6:$E$15,MATCH(VALUE($A1147&amp;""),계정대체기준!$D$6:$D$15,0)),0),0))</f>
        <v/>
      </c>
      <c r="AH1147" s="64">
        <f>IF($A1147="","",IF(AD1147=0,"",IF(OR(COUNTIF(계정대체기준!$A$77:$A$86,$N1147)&gt;0,ISNUMBER(MATCH($X1147,계정대체기준!$D$77:$D$86,0)),ISNUMBER(MATCH($F1147,계정대체기준!$D$77:$D$86,0))),"Y","N")))</f>
        <v/>
      </c>
    </row>
    <row r="1148">
      <c r="A1148" s="92" t="n">
        <v>2025</v>
      </c>
      <c r="B1148" s="92" t="n">
        <v>6</v>
      </c>
      <c r="C1148" s="92" t="inlineStr">
        <is>
          <t>5100001144</t>
        </is>
      </c>
      <c r="D1148" s="95" t="n">
        <v>45810</v>
      </c>
      <c r="E1148" s="92" t="inlineStr">
        <is>
          <t>KR</t>
        </is>
      </c>
      <c r="F1148" s="92" t="n">
        <v>62501000</v>
      </c>
      <c r="G1148" s="92" t="n">
        <v>1101</v>
      </c>
      <c r="H1148" s="93" t="n">
        <v>316000</v>
      </c>
      <c r="I1148" s="92" t="inlineStr">
        <is>
          <t>6월 회의 다과 - T케이터링</t>
        </is>
      </c>
      <c r="J1148" s="92" t="inlineStr">
        <is>
          <t>V10005</t>
        </is>
      </c>
      <c r="K1148" s="92" t="inlineStr">
        <is>
          <t>T케이터링</t>
        </is>
      </c>
      <c r="M1148" s="9">
        <f>IF($A1148="","",VALUE($A1148&amp;"")*12+VALUE($B1148&amp;""))</f>
        <v/>
      </c>
      <c r="N1148" s="64">
        <f>IF($A1148="","",IFERROR(INDEX(부서매핑!$C$5:$C$504,MATCH($G1148&amp;"",부서매핑!$A$5:$A$504,0)),"미매핑"))</f>
        <v/>
      </c>
      <c r="O1148" s="9">
        <f>IF($A1148="","",N1148&amp;"|"&amp;$F1148)</f>
        <v/>
      </c>
      <c r="P1148" s="94">
        <f>IF($A1148="",0,$H1148*설정!$C$23)</f>
        <v/>
      </c>
      <c r="Q1148" s="64">
        <f>IF($A1148="","",IF(O1148&lt;&gt;원인분석!$C$9,"",IF(AND(M1148&gt;=원인분석!$C$10,M1148&lt;=원인분석!$C$11),"당기",IF(AND(M1148&gt;=원인분석!$C$12,M1148&lt;=원인분석!$C$13),"비교",""))))</f>
        <v/>
      </c>
      <c r="R1148" s="9">
        <f>IF(Q1148="","",$K1148&amp;"")</f>
        <v/>
      </c>
      <c r="S1148" s="9">
        <f>IF(Q1148="","",IF(MATCH(R1148,$R$5:$R$100000,0)=ROW()-4,ROW(),""))</f>
        <v/>
      </c>
      <c r="T1148" s="9">
        <f>IF(Q1148="당기",ABS(P1148)+ROW()/1000000000,"")</f>
        <v/>
      </c>
      <c r="U1148" s="9">
        <f>IF(Q1148="비교",ABS(P1148)+ROW()/1000000000,"")</f>
        <v/>
      </c>
      <c r="V1148" s="64">
        <f>IF($A1148="","",IF(COUNTIF(변동분석!$E$7:$E$506,O1148)&gt;0,"Y","N"))</f>
        <v/>
      </c>
      <c r="W1148" s="64">
        <f>IF($A1148="","",IFERROR(INDEX(계정매핑!$D$5:$D$504,MATCH($F1148&amp;"",계정매핑!$A$5:$A$504,0)),"미매핑"))</f>
        <v/>
      </c>
      <c r="X1148" s="9">
        <f>IF($A1148="","",$F1148&amp;"")</f>
        <v/>
      </c>
      <c r="Y1148" s="94">
        <f>IF($A1148="",0,IF(AE1148="직접",IF(AF1148="비귀속",$P1148,0),$P1148*(1-AG1148)*IFERROR(INDEX(계정대체기준!$F$20:$F$49,MATCH($N1148,계정대체기준!$A$20:$A$49,0)),1)))</f>
        <v/>
      </c>
      <c r="Z1148" s="94">
        <f>IF($A1148="",0,IF(AE1148="직접",IF(AF1148="신계약비",$P1148,0),$P1148*(1-AG1148)*IFERROR(INDEX(계정대체기준!$C$20:$C$49,MATCH($N1148,계정대체기준!$A$20:$A$49,0)),0)))</f>
        <v/>
      </c>
      <c r="AA1148" s="94">
        <f>IF($A1148="",0,IF(AE1148="직접",IF(OR(AF1148="유지비",AF1148="손해조사비"),$P1148,0),$P1148*(1-AG1148)*IFERROR(INDEX(계정대체기준!$D$20:$D$49,MATCH($N1148,계정대체기준!$A$20:$A$49,0)),0)))</f>
        <v/>
      </c>
      <c r="AB1148" s="94">
        <f>IF($A1148="",0,IF(AE1148="직접",IF(AF1148="수금비",$P1148,0),$P1148*(1-AG1148)*IFERROR(INDEX(계정대체기준!$E$20:$E$49,MATCH($N1148,계정대체기준!$A$20:$A$49,0)),0)))</f>
        <v/>
      </c>
      <c r="AC1148" s="9">
        <f>IF(AND($A1148&lt;&gt;"",M1148=설정!$C$20,Z1148&gt;0),Z1148+ROW()/1000000000,"")</f>
        <v/>
      </c>
      <c r="AD1148" s="94">
        <f>IF($A1148="",0,$P1148*AG1148)</f>
        <v/>
      </c>
      <c r="AE1148" s="64">
        <f>IF($A1148="","",IFERROR(INDEX(계정매핑!$E$5:$E$504,MATCH($F1148&amp;"",계정매핑!$A$5:$A$504,0))&amp;"","공통비"))</f>
        <v/>
      </c>
      <c r="AF1148" s="64">
        <f>IF($A1148="","",IF(AE1148="직접",IFERROR(INDEX(계정매핑!$F$5:$F$504,MATCH($F1148&amp;"",계정매핑!$A$5:$A$504,0))&amp;"","비귀속"),""))</f>
        <v/>
      </c>
      <c r="AG1148" s="96">
        <f>IF($A1148="",0,IF(AND(AE1148&lt;&gt;"직접",IFERROR(INDEX(계정매핑!$G$5:$G$504,MATCH($F1148&amp;"",계정매핑!$A$5:$A$504,0))&amp;"","")="유지비",COUNTIF(계정대체기준!$A$6:$A$15,$N1148)&gt;0),IFERROR(INDEX(계정대체기준!$E$6:$E$15,MATCH(VALUE($A1148&amp;""),계정대체기준!$D$6:$D$15,0)),0),0))</f>
        <v/>
      </c>
      <c r="AH1148" s="64">
        <f>IF($A1148="","",IF(AD1148=0,"",IF(OR(COUNTIF(계정대체기준!$A$77:$A$86,$N1148)&gt;0,ISNUMBER(MATCH($X1148,계정대체기준!$D$77:$D$86,0)),ISNUMBER(MATCH($F1148,계정대체기준!$D$77:$D$86,0))),"Y","N")))</f>
        <v/>
      </c>
    </row>
    <row r="1149">
      <c r="A1149" s="92" t="n">
        <v>2025</v>
      </c>
      <c r="B1149" s="92" t="n">
        <v>6</v>
      </c>
      <c r="C1149" s="92" t="inlineStr">
        <is>
          <t>5100001145</t>
        </is>
      </c>
      <c r="D1149" s="95" t="n">
        <v>45810</v>
      </c>
      <c r="E1149" s="92" t="inlineStr">
        <is>
          <t>KR</t>
        </is>
      </c>
      <c r="F1149" s="92" t="n">
        <v>62501000</v>
      </c>
      <c r="G1149" s="92" t="n">
        <v>1701</v>
      </c>
      <c r="H1149" s="93" t="n">
        <v>83000</v>
      </c>
      <c r="I1149" s="92" t="inlineStr">
        <is>
          <t>6월 회의 다과 - T케이터링</t>
        </is>
      </c>
      <c r="J1149" s="92" t="inlineStr">
        <is>
          <t>V10005</t>
        </is>
      </c>
      <c r="K1149" s="92" t="inlineStr">
        <is>
          <t>T케이터링</t>
        </is>
      </c>
      <c r="M1149" s="9">
        <f>IF($A1149="","",VALUE($A1149&amp;"")*12+VALUE($B1149&amp;""))</f>
        <v/>
      </c>
      <c r="N1149" s="64">
        <f>IF($A1149="","",IFERROR(INDEX(부서매핑!$C$5:$C$504,MATCH($G1149&amp;"",부서매핑!$A$5:$A$504,0)),"미매핑"))</f>
        <v/>
      </c>
      <c r="O1149" s="9">
        <f>IF($A1149="","",N1149&amp;"|"&amp;$F1149)</f>
        <v/>
      </c>
      <c r="P1149" s="94">
        <f>IF($A1149="",0,$H1149*설정!$C$23)</f>
        <v/>
      </c>
      <c r="Q1149" s="64">
        <f>IF($A1149="","",IF(O1149&lt;&gt;원인분석!$C$9,"",IF(AND(M1149&gt;=원인분석!$C$10,M1149&lt;=원인분석!$C$11),"당기",IF(AND(M1149&gt;=원인분석!$C$12,M1149&lt;=원인분석!$C$13),"비교",""))))</f>
        <v/>
      </c>
      <c r="R1149" s="9">
        <f>IF(Q1149="","",$K1149&amp;"")</f>
        <v/>
      </c>
      <c r="S1149" s="9">
        <f>IF(Q1149="","",IF(MATCH(R1149,$R$5:$R$100000,0)=ROW()-4,ROW(),""))</f>
        <v/>
      </c>
      <c r="T1149" s="9">
        <f>IF(Q1149="당기",ABS(P1149)+ROW()/1000000000,"")</f>
        <v/>
      </c>
      <c r="U1149" s="9">
        <f>IF(Q1149="비교",ABS(P1149)+ROW()/1000000000,"")</f>
        <v/>
      </c>
      <c r="V1149" s="64">
        <f>IF($A1149="","",IF(COUNTIF(변동분석!$E$7:$E$506,O1149)&gt;0,"Y","N"))</f>
        <v/>
      </c>
      <c r="W1149" s="64">
        <f>IF($A1149="","",IFERROR(INDEX(계정매핑!$D$5:$D$504,MATCH($F1149&amp;"",계정매핑!$A$5:$A$504,0)),"미매핑"))</f>
        <v/>
      </c>
      <c r="X1149" s="9">
        <f>IF($A1149="","",$F1149&amp;"")</f>
        <v/>
      </c>
      <c r="Y1149" s="94">
        <f>IF($A1149="",0,IF(AE1149="직접",IF(AF1149="비귀속",$P1149,0),$P1149*(1-AG1149)*IFERROR(INDEX(계정대체기준!$F$20:$F$49,MATCH($N1149,계정대체기준!$A$20:$A$49,0)),1)))</f>
        <v/>
      </c>
      <c r="Z1149" s="94">
        <f>IF($A1149="",0,IF(AE1149="직접",IF(AF1149="신계약비",$P1149,0),$P1149*(1-AG1149)*IFERROR(INDEX(계정대체기준!$C$20:$C$49,MATCH($N1149,계정대체기준!$A$20:$A$49,0)),0)))</f>
        <v/>
      </c>
      <c r="AA1149" s="94">
        <f>IF($A1149="",0,IF(AE1149="직접",IF(OR(AF1149="유지비",AF1149="손해조사비"),$P1149,0),$P1149*(1-AG1149)*IFERROR(INDEX(계정대체기준!$D$20:$D$49,MATCH($N1149,계정대체기준!$A$20:$A$49,0)),0)))</f>
        <v/>
      </c>
      <c r="AB1149" s="94">
        <f>IF($A1149="",0,IF(AE1149="직접",IF(AF1149="수금비",$P1149,0),$P1149*(1-AG1149)*IFERROR(INDEX(계정대체기준!$E$20:$E$49,MATCH($N1149,계정대체기준!$A$20:$A$49,0)),0)))</f>
        <v/>
      </c>
      <c r="AC1149" s="9">
        <f>IF(AND($A1149&lt;&gt;"",M1149=설정!$C$20,Z1149&gt;0),Z1149+ROW()/1000000000,"")</f>
        <v/>
      </c>
      <c r="AD1149" s="94">
        <f>IF($A1149="",0,$P1149*AG1149)</f>
        <v/>
      </c>
      <c r="AE1149" s="64">
        <f>IF($A1149="","",IFERROR(INDEX(계정매핑!$E$5:$E$504,MATCH($F1149&amp;"",계정매핑!$A$5:$A$504,0))&amp;"","공통비"))</f>
        <v/>
      </c>
      <c r="AF1149" s="64">
        <f>IF($A1149="","",IF(AE1149="직접",IFERROR(INDEX(계정매핑!$F$5:$F$504,MATCH($F1149&amp;"",계정매핑!$A$5:$A$504,0))&amp;"","비귀속"),""))</f>
        <v/>
      </c>
      <c r="AG1149" s="96">
        <f>IF($A1149="",0,IF(AND(AE1149&lt;&gt;"직접",IFERROR(INDEX(계정매핑!$G$5:$G$504,MATCH($F1149&amp;"",계정매핑!$A$5:$A$504,0))&amp;"","")="유지비",COUNTIF(계정대체기준!$A$6:$A$15,$N1149)&gt;0),IFERROR(INDEX(계정대체기준!$E$6:$E$15,MATCH(VALUE($A1149&amp;""),계정대체기준!$D$6:$D$15,0)),0),0))</f>
        <v/>
      </c>
      <c r="AH1149" s="64">
        <f>IF($A1149="","",IF(AD1149=0,"",IF(OR(COUNTIF(계정대체기준!$A$77:$A$86,$N1149)&gt;0,ISNUMBER(MATCH($X1149,계정대체기준!$D$77:$D$86,0)),ISNUMBER(MATCH($F1149,계정대체기준!$D$77:$D$86,0))),"Y","N")))</f>
        <v/>
      </c>
    </row>
    <row r="1150">
      <c r="A1150" s="92" t="n">
        <v>2025</v>
      </c>
      <c r="B1150" s="92" t="n">
        <v>6</v>
      </c>
      <c r="C1150" s="92" t="inlineStr">
        <is>
          <t>5100001146</t>
        </is>
      </c>
      <c r="D1150" s="95" t="n">
        <v>45810</v>
      </c>
      <c r="E1150" s="92" t="inlineStr">
        <is>
          <t>KR</t>
        </is>
      </c>
      <c r="F1150" s="92" t="n">
        <v>62601000</v>
      </c>
      <c r="G1150" s="92" t="n">
        <v>1301</v>
      </c>
      <c r="H1150" s="93" t="n">
        <v>1761000</v>
      </c>
      <c r="I1150" s="92" t="inlineStr">
        <is>
          <t>6월 업무추진 - (법인카드)</t>
        </is>
      </c>
      <c r="J1150" s="92" t="inlineStr">
        <is>
          <t>V10010</t>
        </is>
      </c>
      <c r="K1150" s="92" t="inlineStr">
        <is>
          <t>(법인카드)</t>
        </is>
      </c>
      <c r="M1150" s="9">
        <f>IF($A1150="","",VALUE($A1150&amp;"")*12+VALUE($B1150&amp;""))</f>
        <v/>
      </c>
      <c r="N1150" s="64">
        <f>IF($A1150="","",IFERROR(INDEX(부서매핑!$C$5:$C$504,MATCH($G1150&amp;"",부서매핑!$A$5:$A$504,0)),"미매핑"))</f>
        <v/>
      </c>
      <c r="O1150" s="9">
        <f>IF($A1150="","",N1150&amp;"|"&amp;$F1150)</f>
        <v/>
      </c>
      <c r="P1150" s="94">
        <f>IF($A1150="",0,$H1150*설정!$C$23)</f>
        <v/>
      </c>
      <c r="Q1150" s="64">
        <f>IF($A1150="","",IF(O1150&lt;&gt;원인분석!$C$9,"",IF(AND(M1150&gt;=원인분석!$C$10,M1150&lt;=원인분석!$C$11),"당기",IF(AND(M1150&gt;=원인분석!$C$12,M1150&lt;=원인분석!$C$13),"비교",""))))</f>
        <v/>
      </c>
      <c r="R1150" s="9">
        <f>IF(Q1150="","",$K1150&amp;"")</f>
        <v/>
      </c>
      <c r="S1150" s="9">
        <f>IF(Q1150="","",IF(MATCH(R1150,$R$5:$R$100000,0)=ROW()-4,ROW(),""))</f>
        <v/>
      </c>
      <c r="T1150" s="9">
        <f>IF(Q1150="당기",ABS(P1150)+ROW()/1000000000,"")</f>
        <v/>
      </c>
      <c r="U1150" s="9">
        <f>IF(Q1150="비교",ABS(P1150)+ROW()/1000000000,"")</f>
        <v/>
      </c>
      <c r="V1150" s="64">
        <f>IF($A1150="","",IF(COUNTIF(변동분석!$E$7:$E$506,O1150)&gt;0,"Y","N"))</f>
        <v/>
      </c>
      <c r="W1150" s="64">
        <f>IF($A1150="","",IFERROR(INDEX(계정매핑!$D$5:$D$504,MATCH($F1150&amp;"",계정매핑!$A$5:$A$504,0)),"미매핑"))</f>
        <v/>
      </c>
      <c r="X1150" s="9">
        <f>IF($A1150="","",$F1150&amp;"")</f>
        <v/>
      </c>
      <c r="Y1150" s="94">
        <f>IF($A1150="",0,IF(AE1150="직접",IF(AF1150="비귀속",$P1150,0),$P1150*(1-AG1150)*IFERROR(INDEX(계정대체기준!$F$20:$F$49,MATCH($N1150,계정대체기준!$A$20:$A$49,0)),1)))</f>
        <v/>
      </c>
      <c r="Z1150" s="94">
        <f>IF($A1150="",0,IF(AE1150="직접",IF(AF1150="신계약비",$P1150,0),$P1150*(1-AG1150)*IFERROR(INDEX(계정대체기준!$C$20:$C$49,MATCH($N1150,계정대체기준!$A$20:$A$49,0)),0)))</f>
        <v/>
      </c>
      <c r="AA1150" s="94">
        <f>IF($A1150="",0,IF(AE1150="직접",IF(OR(AF1150="유지비",AF1150="손해조사비"),$P1150,0),$P1150*(1-AG1150)*IFERROR(INDEX(계정대체기준!$D$20:$D$49,MATCH($N1150,계정대체기준!$A$20:$A$49,0)),0)))</f>
        <v/>
      </c>
      <c r="AB1150" s="94">
        <f>IF($A1150="",0,IF(AE1150="직접",IF(AF1150="수금비",$P1150,0),$P1150*(1-AG1150)*IFERROR(INDEX(계정대체기준!$E$20:$E$49,MATCH($N1150,계정대체기준!$A$20:$A$49,0)),0)))</f>
        <v/>
      </c>
      <c r="AC1150" s="9">
        <f>IF(AND($A1150&lt;&gt;"",M1150=설정!$C$20,Z1150&gt;0),Z1150+ROW()/1000000000,"")</f>
        <v/>
      </c>
      <c r="AD1150" s="94">
        <f>IF($A1150="",0,$P1150*AG1150)</f>
        <v/>
      </c>
      <c r="AE1150" s="64">
        <f>IF($A1150="","",IFERROR(INDEX(계정매핑!$E$5:$E$504,MATCH($F1150&amp;"",계정매핑!$A$5:$A$504,0))&amp;"","공통비"))</f>
        <v/>
      </c>
      <c r="AF1150" s="64">
        <f>IF($A1150="","",IF(AE1150="직접",IFERROR(INDEX(계정매핑!$F$5:$F$504,MATCH($F1150&amp;"",계정매핑!$A$5:$A$504,0))&amp;"","비귀속"),""))</f>
        <v/>
      </c>
      <c r="AG1150" s="96">
        <f>IF($A1150="",0,IF(AND(AE1150&lt;&gt;"직접",IFERROR(INDEX(계정매핑!$G$5:$G$504,MATCH($F1150&amp;"",계정매핑!$A$5:$A$504,0))&amp;"","")="유지비",COUNTIF(계정대체기준!$A$6:$A$15,$N1150)&gt;0),IFERROR(INDEX(계정대체기준!$E$6:$E$15,MATCH(VALUE($A1150&amp;""),계정대체기준!$D$6:$D$15,0)),0),0))</f>
        <v/>
      </c>
      <c r="AH1150" s="64">
        <f>IF($A1150="","",IF(AD1150=0,"",IF(OR(COUNTIF(계정대체기준!$A$77:$A$86,$N1150)&gt;0,ISNUMBER(MATCH($X1150,계정대체기준!$D$77:$D$86,0)),ISNUMBER(MATCH($F1150,계정대체기준!$D$77:$D$86,0))),"Y","N")))</f>
        <v/>
      </c>
    </row>
    <row r="1151">
      <c r="A1151" s="92" t="n">
        <v>2025</v>
      </c>
      <c r="B1151" s="92" t="n">
        <v>6</v>
      </c>
      <c r="C1151" s="92" t="inlineStr">
        <is>
          <t>5100001147</t>
        </is>
      </c>
      <c r="D1151" s="95" t="n">
        <v>45811</v>
      </c>
      <c r="E1151" s="92" t="inlineStr">
        <is>
          <t>KR</t>
        </is>
      </c>
      <c r="F1151" s="92" t="n">
        <v>62101000</v>
      </c>
      <c r="G1151" s="92" t="n">
        <v>1201</v>
      </c>
      <c r="H1151" s="93" t="n">
        <v>250000</v>
      </c>
      <c r="I1151" s="92" t="inlineStr">
        <is>
          <t>6월 국내출장 - M항공</t>
        </is>
      </c>
      <c r="J1151" s="92" t="inlineStr">
        <is>
          <t>V10001</t>
        </is>
      </c>
      <c r="K1151" s="92" t="inlineStr">
        <is>
          <t>M항공</t>
        </is>
      </c>
      <c r="M1151" s="9">
        <f>IF($A1151="","",VALUE($A1151&amp;"")*12+VALUE($B1151&amp;""))</f>
        <v/>
      </c>
      <c r="N1151" s="64">
        <f>IF($A1151="","",IFERROR(INDEX(부서매핑!$C$5:$C$504,MATCH($G1151&amp;"",부서매핑!$A$5:$A$504,0)),"미매핑"))</f>
        <v/>
      </c>
      <c r="O1151" s="9">
        <f>IF($A1151="","",N1151&amp;"|"&amp;$F1151)</f>
        <v/>
      </c>
      <c r="P1151" s="94">
        <f>IF($A1151="",0,$H1151*설정!$C$23)</f>
        <v/>
      </c>
      <c r="Q1151" s="64">
        <f>IF($A1151="","",IF(O1151&lt;&gt;원인분석!$C$9,"",IF(AND(M1151&gt;=원인분석!$C$10,M1151&lt;=원인분석!$C$11),"당기",IF(AND(M1151&gt;=원인분석!$C$12,M1151&lt;=원인분석!$C$13),"비교",""))))</f>
        <v/>
      </c>
      <c r="R1151" s="9">
        <f>IF(Q1151="","",$K1151&amp;"")</f>
        <v/>
      </c>
      <c r="S1151" s="9">
        <f>IF(Q1151="","",IF(MATCH(R1151,$R$5:$R$100000,0)=ROW()-4,ROW(),""))</f>
        <v/>
      </c>
      <c r="T1151" s="9">
        <f>IF(Q1151="당기",ABS(P1151)+ROW()/1000000000,"")</f>
        <v/>
      </c>
      <c r="U1151" s="9">
        <f>IF(Q1151="비교",ABS(P1151)+ROW()/1000000000,"")</f>
        <v/>
      </c>
      <c r="V1151" s="64">
        <f>IF($A1151="","",IF(COUNTIF(변동분석!$E$7:$E$506,O1151)&gt;0,"Y","N"))</f>
        <v/>
      </c>
      <c r="W1151" s="64">
        <f>IF($A1151="","",IFERROR(INDEX(계정매핑!$D$5:$D$504,MATCH($F1151&amp;"",계정매핑!$A$5:$A$504,0)),"미매핑"))</f>
        <v/>
      </c>
      <c r="X1151" s="9">
        <f>IF($A1151="","",$F1151&amp;"")</f>
        <v/>
      </c>
      <c r="Y1151" s="94">
        <f>IF($A1151="",0,IF(AE1151="직접",IF(AF1151="비귀속",$P1151,0),$P1151*(1-AG1151)*IFERROR(INDEX(계정대체기준!$F$20:$F$49,MATCH($N1151,계정대체기준!$A$20:$A$49,0)),1)))</f>
        <v/>
      </c>
      <c r="Z1151" s="94">
        <f>IF($A1151="",0,IF(AE1151="직접",IF(AF1151="신계약비",$P1151,0),$P1151*(1-AG1151)*IFERROR(INDEX(계정대체기준!$C$20:$C$49,MATCH($N1151,계정대체기준!$A$20:$A$49,0)),0)))</f>
        <v/>
      </c>
      <c r="AA1151" s="94">
        <f>IF($A1151="",0,IF(AE1151="직접",IF(OR(AF1151="유지비",AF1151="손해조사비"),$P1151,0),$P1151*(1-AG1151)*IFERROR(INDEX(계정대체기준!$D$20:$D$49,MATCH($N1151,계정대체기준!$A$20:$A$49,0)),0)))</f>
        <v/>
      </c>
      <c r="AB1151" s="94">
        <f>IF($A1151="",0,IF(AE1151="직접",IF(AF1151="수금비",$P1151,0),$P1151*(1-AG1151)*IFERROR(INDEX(계정대체기준!$E$20:$E$49,MATCH($N1151,계정대체기준!$A$20:$A$49,0)),0)))</f>
        <v/>
      </c>
      <c r="AC1151" s="9">
        <f>IF(AND($A1151&lt;&gt;"",M1151=설정!$C$20,Z1151&gt;0),Z1151+ROW()/1000000000,"")</f>
        <v/>
      </c>
      <c r="AD1151" s="94">
        <f>IF($A1151="",0,$P1151*AG1151)</f>
        <v/>
      </c>
      <c r="AE1151" s="64">
        <f>IF($A1151="","",IFERROR(INDEX(계정매핑!$E$5:$E$504,MATCH($F1151&amp;"",계정매핑!$A$5:$A$504,0))&amp;"","공통비"))</f>
        <v/>
      </c>
      <c r="AF1151" s="64">
        <f>IF($A1151="","",IF(AE1151="직접",IFERROR(INDEX(계정매핑!$F$5:$F$504,MATCH($F1151&amp;"",계정매핑!$A$5:$A$504,0))&amp;"","비귀속"),""))</f>
        <v/>
      </c>
      <c r="AG1151" s="96">
        <f>IF($A1151="",0,IF(AND(AE1151&lt;&gt;"직접",IFERROR(INDEX(계정매핑!$G$5:$G$504,MATCH($F1151&amp;"",계정매핑!$A$5:$A$504,0))&amp;"","")="유지비",COUNTIF(계정대체기준!$A$6:$A$15,$N1151)&gt;0),IFERROR(INDEX(계정대체기준!$E$6:$E$15,MATCH(VALUE($A1151&amp;""),계정대체기준!$D$6:$D$15,0)),0),0))</f>
        <v/>
      </c>
      <c r="AH1151" s="64">
        <f>IF($A1151="","",IF(AD1151=0,"",IF(OR(COUNTIF(계정대체기준!$A$77:$A$86,$N1151)&gt;0,ISNUMBER(MATCH($X1151,계정대체기준!$D$77:$D$86,0)),ISNUMBER(MATCH($F1151,계정대체기준!$D$77:$D$86,0))),"Y","N")))</f>
        <v/>
      </c>
    </row>
    <row r="1152">
      <c r="A1152" s="92" t="n">
        <v>2025</v>
      </c>
      <c r="B1152" s="92" t="n">
        <v>6</v>
      </c>
      <c r="C1152" s="92" t="inlineStr">
        <is>
          <t>5100001148</t>
        </is>
      </c>
      <c r="D1152" s="95" t="n">
        <v>45811</v>
      </c>
      <c r="E1152" s="92" t="inlineStr">
        <is>
          <t>KR</t>
        </is>
      </c>
      <c r="F1152" s="92" t="n">
        <v>62101000</v>
      </c>
      <c r="G1152" s="92" t="n">
        <v>1951</v>
      </c>
      <c r="H1152" s="93" t="n">
        <v>302000</v>
      </c>
      <c r="I1152" s="92" t="inlineStr">
        <is>
          <t>6월 국내출장 - (법인카드)</t>
        </is>
      </c>
      <c r="J1152" s="92" t="inlineStr">
        <is>
          <t>V10010</t>
        </is>
      </c>
      <c r="K1152" s="92" t="inlineStr">
        <is>
          <t>(법인카드)</t>
        </is>
      </c>
      <c r="M1152" s="9">
        <f>IF($A1152="","",VALUE($A1152&amp;"")*12+VALUE($B1152&amp;""))</f>
        <v/>
      </c>
      <c r="N1152" s="64">
        <f>IF($A1152="","",IFERROR(INDEX(부서매핑!$C$5:$C$504,MATCH($G1152&amp;"",부서매핑!$A$5:$A$504,0)),"미매핑"))</f>
        <v/>
      </c>
      <c r="O1152" s="9">
        <f>IF($A1152="","",N1152&amp;"|"&amp;$F1152)</f>
        <v/>
      </c>
      <c r="P1152" s="94">
        <f>IF($A1152="",0,$H1152*설정!$C$23)</f>
        <v/>
      </c>
      <c r="Q1152" s="64">
        <f>IF($A1152="","",IF(O1152&lt;&gt;원인분석!$C$9,"",IF(AND(M1152&gt;=원인분석!$C$10,M1152&lt;=원인분석!$C$11),"당기",IF(AND(M1152&gt;=원인분석!$C$12,M1152&lt;=원인분석!$C$13),"비교",""))))</f>
        <v/>
      </c>
      <c r="R1152" s="9">
        <f>IF(Q1152="","",$K1152&amp;"")</f>
        <v/>
      </c>
      <c r="S1152" s="9">
        <f>IF(Q1152="","",IF(MATCH(R1152,$R$5:$R$100000,0)=ROW()-4,ROW(),""))</f>
        <v/>
      </c>
      <c r="T1152" s="9">
        <f>IF(Q1152="당기",ABS(P1152)+ROW()/1000000000,"")</f>
        <v/>
      </c>
      <c r="U1152" s="9">
        <f>IF(Q1152="비교",ABS(P1152)+ROW()/1000000000,"")</f>
        <v/>
      </c>
      <c r="V1152" s="64">
        <f>IF($A1152="","",IF(COUNTIF(변동분석!$E$7:$E$506,O1152)&gt;0,"Y","N"))</f>
        <v/>
      </c>
      <c r="W1152" s="64">
        <f>IF($A1152="","",IFERROR(INDEX(계정매핑!$D$5:$D$504,MATCH($F1152&amp;"",계정매핑!$A$5:$A$504,0)),"미매핑"))</f>
        <v/>
      </c>
      <c r="X1152" s="9">
        <f>IF($A1152="","",$F1152&amp;"")</f>
        <v/>
      </c>
      <c r="Y1152" s="94">
        <f>IF($A1152="",0,IF(AE1152="직접",IF(AF1152="비귀속",$P1152,0),$P1152*(1-AG1152)*IFERROR(INDEX(계정대체기준!$F$20:$F$49,MATCH($N1152,계정대체기준!$A$20:$A$49,0)),1)))</f>
        <v/>
      </c>
      <c r="Z1152" s="94">
        <f>IF($A1152="",0,IF(AE1152="직접",IF(AF1152="신계약비",$P1152,0),$P1152*(1-AG1152)*IFERROR(INDEX(계정대체기준!$C$20:$C$49,MATCH($N1152,계정대체기준!$A$20:$A$49,0)),0)))</f>
        <v/>
      </c>
      <c r="AA1152" s="94">
        <f>IF($A1152="",0,IF(AE1152="직접",IF(OR(AF1152="유지비",AF1152="손해조사비"),$P1152,0),$P1152*(1-AG1152)*IFERROR(INDEX(계정대체기준!$D$20:$D$49,MATCH($N1152,계정대체기준!$A$20:$A$49,0)),0)))</f>
        <v/>
      </c>
      <c r="AB1152" s="94">
        <f>IF($A1152="",0,IF(AE1152="직접",IF(AF1152="수금비",$P1152,0),$P1152*(1-AG1152)*IFERROR(INDEX(계정대체기준!$E$20:$E$49,MATCH($N1152,계정대체기준!$A$20:$A$49,0)),0)))</f>
        <v/>
      </c>
      <c r="AC1152" s="9">
        <f>IF(AND($A1152&lt;&gt;"",M1152=설정!$C$20,Z1152&gt;0),Z1152+ROW()/1000000000,"")</f>
        <v/>
      </c>
      <c r="AD1152" s="94">
        <f>IF($A1152="",0,$P1152*AG1152)</f>
        <v/>
      </c>
      <c r="AE1152" s="64">
        <f>IF($A1152="","",IFERROR(INDEX(계정매핑!$E$5:$E$504,MATCH($F1152&amp;"",계정매핑!$A$5:$A$504,0))&amp;"","공통비"))</f>
        <v/>
      </c>
      <c r="AF1152" s="64">
        <f>IF($A1152="","",IF(AE1152="직접",IFERROR(INDEX(계정매핑!$F$5:$F$504,MATCH($F1152&amp;"",계정매핑!$A$5:$A$504,0))&amp;"","비귀속"),""))</f>
        <v/>
      </c>
      <c r="AG1152" s="96">
        <f>IF($A1152="",0,IF(AND(AE1152&lt;&gt;"직접",IFERROR(INDEX(계정매핑!$G$5:$G$504,MATCH($F1152&amp;"",계정매핑!$A$5:$A$504,0))&amp;"","")="유지비",COUNTIF(계정대체기준!$A$6:$A$15,$N1152)&gt;0),IFERROR(INDEX(계정대체기준!$E$6:$E$15,MATCH(VALUE($A1152&amp;""),계정대체기준!$D$6:$D$15,0)),0),0))</f>
        <v/>
      </c>
      <c r="AH1152" s="64">
        <f>IF($A1152="","",IF(AD1152=0,"",IF(OR(COUNTIF(계정대체기준!$A$77:$A$86,$N1152)&gt;0,ISNUMBER(MATCH($X1152,계정대체기준!$D$77:$D$86,0)),ISNUMBER(MATCH($F1152,계정대체기준!$D$77:$D$86,0))),"Y","N")))</f>
        <v/>
      </c>
    </row>
    <row r="1153">
      <c r="A1153" s="92" t="n">
        <v>2025</v>
      </c>
      <c r="B1153" s="92" t="n">
        <v>6</v>
      </c>
      <c r="C1153" s="92" t="inlineStr">
        <is>
          <t>5100001149</t>
        </is>
      </c>
      <c r="D1153" s="95" t="n">
        <v>45811</v>
      </c>
      <c r="E1153" s="92" t="inlineStr">
        <is>
          <t>KR</t>
        </is>
      </c>
      <c r="F1153" s="92" t="n">
        <v>62201000</v>
      </c>
      <c r="G1153" s="92" t="n">
        <v>1201</v>
      </c>
      <c r="H1153" s="93" t="n">
        <v>176000</v>
      </c>
      <c r="I1153" s="92" t="inlineStr">
        <is>
          <t>6월 통신요금 - O텔레콤</t>
        </is>
      </c>
      <c r="J1153" s="92" t="inlineStr">
        <is>
          <t>V10002</t>
        </is>
      </c>
      <c r="K1153" s="92" t="inlineStr">
        <is>
          <t>O텔레콤</t>
        </is>
      </c>
      <c r="M1153" s="9">
        <f>IF($A1153="","",VALUE($A1153&amp;"")*12+VALUE($B1153&amp;""))</f>
        <v/>
      </c>
      <c r="N1153" s="64">
        <f>IF($A1153="","",IFERROR(INDEX(부서매핑!$C$5:$C$504,MATCH($G1153&amp;"",부서매핑!$A$5:$A$504,0)),"미매핑"))</f>
        <v/>
      </c>
      <c r="O1153" s="9">
        <f>IF($A1153="","",N1153&amp;"|"&amp;$F1153)</f>
        <v/>
      </c>
      <c r="P1153" s="94">
        <f>IF($A1153="",0,$H1153*설정!$C$23)</f>
        <v/>
      </c>
      <c r="Q1153" s="64">
        <f>IF($A1153="","",IF(O1153&lt;&gt;원인분석!$C$9,"",IF(AND(M1153&gt;=원인분석!$C$10,M1153&lt;=원인분석!$C$11),"당기",IF(AND(M1153&gt;=원인분석!$C$12,M1153&lt;=원인분석!$C$13),"비교",""))))</f>
        <v/>
      </c>
      <c r="R1153" s="9">
        <f>IF(Q1153="","",$K1153&amp;"")</f>
        <v/>
      </c>
      <c r="S1153" s="9">
        <f>IF(Q1153="","",IF(MATCH(R1153,$R$5:$R$100000,0)=ROW()-4,ROW(),""))</f>
        <v/>
      </c>
      <c r="T1153" s="9">
        <f>IF(Q1153="당기",ABS(P1153)+ROW()/1000000000,"")</f>
        <v/>
      </c>
      <c r="U1153" s="9">
        <f>IF(Q1153="비교",ABS(P1153)+ROW()/1000000000,"")</f>
        <v/>
      </c>
      <c r="V1153" s="64">
        <f>IF($A1153="","",IF(COUNTIF(변동분석!$E$7:$E$506,O1153)&gt;0,"Y","N"))</f>
        <v/>
      </c>
      <c r="W1153" s="64">
        <f>IF($A1153="","",IFERROR(INDEX(계정매핑!$D$5:$D$504,MATCH($F1153&amp;"",계정매핑!$A$5:$A$504,0)),"미매핑"))</f>
        <v/>
      </c>
      <c r="X1153" s="9">
        <f>IF($A1153="","",$F1153&amp;"")</f>
        <v/>
      </c>
      <c r="Y1153" s="94">
        <f>IF($A1153="",0,IF(AE1153="직접",IF(AF1153="비귀속",$P1153,0),$P1153*(1-AG1153)*IFERROR(INDEX(계정대체기준!$F$20:$F$49,MATCH($N1153,계정대체기준!$A$20:$A$49,0)),1)))</f>
        <v/>
      </c>
      <c r="Z1153" s="94">
        <f>IF($A1153="",0,IF(AE1153="직접",IF(AF1153="신계약비",$P1153,0),$P1153*(1-AG1153)*IFERROR(INDEX(계정대체기준!$C$20:$C$49,MATCH($N1153,계정대체기준!$A$20:$A$49,0)),0)))</f>
        <v/>
      </c>
      <c r="AA1153" s="94">
        <f>IF($A1153="",0,IF(AE1153="직접",IF(OR(AF1153="유지비",AF1153="손해조사비"),$P1153,0),$P1153*(1-AG1153)*IFERROR(INDEX(계정대체기준!$D$20:$D$49,MATCH($N1153,계정대체기준!$A$20:$A$49,0)),0)))</f>
        <v/>
      </c>
      <c r="AB1153" s="94">
        <f>IF($A1153="",0,IF(AE1153="직접",IF(AF1153="수금비",$P1153,0),$P1153*(1-AG1153)*IFERROR(INDEX(계정대체기준!$E$20:$E$49,MATCH($N1153,계정대체기준!$A$20:$A$49,0)),0)))</f>
        <v/>
      </c>
      <c r="AC1153" s="9">
        <f>IF(AND($A1153&lt;&gt;"",M1153=설정!$C$20,Z1153&gt;0),Z1153+ROW()/1000000000,"")</f>
        <v/>
      </c>
      <c r="AD1153" s="94">
        <f>IF($A1153="",0,$P1153*AG1153)</f>
        <v/>
      </c>
      <c r="AE1153" s="64">
        <f>IF($A1153="","",IFERROR(INDEX(계정매핑!$E$5:$E$504,MATCH($F1153&amp;"",계정매핑!$A$5:$A$504,0))&amp;"","공통비"))</f>
        <v/>
      </c>
      <c r="AF1153" s="64">
        <f>IF($A1153="","",IF(AE1153="직접",IFERROR(INDEX(계정매핑!$F$5:$F$504,MATCH($F1153&amp;"",계정매핑!$A$5:$A$504,0))&amp;"","비귀속"),""))</f>
        <v/>
      </c>
      <c r="AG1153" s="96">
        <f>IF($A1153="",0,IF(AND(AE1153&lt;&gt;"직접",IFERROR(INDEX(계정매핑!$G$5:$G$504,MATCH($F1153&amp;"",계정매핑!$A$5:$A$504,0))&amp;"","")="유지비",COUNTIF(계정대체기준!$A$6:$A$15,$N1153)&gt;0),IFERROR(INDEX(계정대체기준!$E$6:$E$15,MATCH(VALUE($A1153&amp;""),계정대체기준!$D$6:$D$15,0)),0),0))</f>
        <v/>
      </c>
      <c r="AH1153" s="64">
        <f>IF($A1153="","",IF(AD1153=0,"",IF(OR(COUNTIF(계정대체기준!$A$77:$A$86,$N1153)&gt;0,ISNUMBER(MATCH($X1153,계정대체기준!$D$77:$D$86,0)),ISNUMBER(MATCH($F1153,계정대체기준!$D$77:$D$86,0))),"Y","N")))</f>
        <v/>
      </c>
    </row>
    <row r="1154">
      <c r="A1154" s="92" t="n">
        <v>2025</v>
      </c>
      <c r="B1154" s="92" t="n">
        <v>6</v>
      </c>
      <c r="C1154" s="92" t="inlineStr">
        <is>
          <t>5100001150</t>
        </is>
      </c>
      <c r="D1154" s="95" t="n">
        <v>45811</v>
      </c>
      <c r="E1154" s="92" t="inlineStr">
        <is>
          <t>KR</t>
        </is>
      </c>
      <c r="F1154" s="92" t="n">
        <v>62601000</v>
      </c>
      <c r="G1154" s="92" t="n">
        <v>1602</v>
      </c>
      <c r="H1154" s="93" t="n">
        <v>3200000</v>
      </c>
      <c r="I1154" s="92" t="inlineStr">
        <is>
          <t>6월 업무추진 - (법인카드)</t>
        </is>
      </c>
      <c r="J1154" s="92" t="inlineStr">
        <is>
          <t>V10010</t>
        </is>
      </c>
      <c r="K1154" s="92" t="inlineStr">
        <is>
          <t>(법인카드)</t>
        </is>
      </c>
      <c r="M1154" s="9">
        <f>IF($A1154="","",VALUE($A1154&amp;"")*12+VALUE($B1154&amp;""))</f>
        <v/>
      </c>
      <c r="N1154" s="64">
        <f>IF($A1154="","",IFERROR(INDEX(부서매핑!$C$5:$C$504,MATCH($G1154&amp;"",부서매핑!$A$5:$A$504,0)),"미매핑"))</f>
        <v/>
      </c>
      <c r="O1154" s="9">
        <f>IF($A1154="","",N1154&amp;"|"&amp;$F1154)</f>
        <v/>
      </c>
      <c r="P1154" s="94">
        <f>IF($A1154="",0,$H1154*설정!$C$23)</f>
        <v/>
      </c>
      <c r="Q1154" s="64">
        <f>IF($A1154="","",IF(O1154&lt;&gt;원인분석!$C$9,"",IF(AND(M1154&gt;=원인분석!$C$10,M1154&lt;=원인분석!$C$11),"당기",IF(AND(M1154&gt;=원인분석!$C$12,M1154&lt;=원인분석!$C$13),"비교",""))))</f>
        <v/>
      </c>
      <c r="R1154" s="9">
        <f>IF(Q1154="","",$K1154&amp;"")</f>
        <v/>
      </c>
      <c r="S1154" s="9">
        <f>IF(Q1154="","",IF(MATCH(R1154,$R$5:$R$100000,0)=ROW()-4,ROW(),""))</f>
        <v/>
      </c>
      <c r="T1154" s="9">
        <f>IF(Q1154="당기",ABS(P1154)+ROW()/1000000000,"")</f>
        <v/>
      </c>
      <c r="U1154" s="9">
        <f>IF(Q1154="비교",ABS(P1154)+ROW()/1000000000,"")</f>
        <v/>
      </c>
      <c r="V1154" s="64">
        <f>IF($A1154="","",IF(COUNTIF(변동분석!$E$7:$E$506,O1154)&gt;0,"Y","N"))</f>
        <v/>
      </c>
      <c r="W1154" s="64">
        <f>IF($A1154="","",IFERROR(INDEX(계정매핑!$D$5:$D$504,MATCH($F1154&amp;"",계정매핑!$A$5:$A$504,0)),"미매핑"))</f>
        <v/>
      </c>
      <c r="X1154" s="9">
        <f>IF($A1154="","",$F1154&amp;"")</f>
        <v/>
      </c>
      <c r="Y1154" s="94">
        <f>IF($A1154="",0,IF(AE1154="직접",IF(AF1154="비귀속",$P1154,0),$P1154*(1-AG1154)*IFERROR(INDEX(계정대체기준!$F$20:$F$49,MATCH($N1154,계정대체기준!$A$20:$A$49,0)),1)))</f>
        <v/>
      </c>
      <c r="Z1154" s="94">
        <f>IF($A1154="",0,IF(AE1154="직접",IF(AF1154="신계약비",$P1154,0),$P1154*(1-AG1154)*IFERROR(INDEX(계정대체기준!$C$20:$C$49,MATCH($N1154,계정대체기준!$A$20:$A$49,0)),0)))</f>
        <v/>
      </c>
      <c r="AA1154" s="94">
        <f>IF($A1154="",0,IF(AE1154="직접",IF(OR(AF1154="유지비",AF1154="손해조사비"),$P1154,0),$P1154*(1-AG1154)*IFERROR(INDEX(계정대체기준!$D$20:$D$49,MATCH($N1154,계정대체기준!$A$20:$A$49,0)),0)))</f>
        <v/>
      </c>
      <c r="AB1154" s="94">
        <f>IF($A1154="",0,IF(AE1154="직접",IF(AF1154="수금비",$P1154,0),$P1154*(1-AG1154)*IFERROR(INDEX(계정대체기준!$E$20:$E$49,MATCH($N1154,계정대체기준!$A$20:$A$49,0)),0)))</f>
        <v/>
      </c>
      <c r="AC1154" s="9">
        <f>IF(AND($A1154&lt;&gt;"",M1154=설정!$C$20,Z1154&gt;0),Z1154+ROW()/1000000000,"")</f>
        <v/>
      </c>
      <c r="AD1154" s="94">
        <f>IF($A1154="",0,$P1154*AG1154)</f>
        <v/>
      </c>
      <c r="AE1154" s="64">
        <f>IF($A1154="","",IFERROR(INDEX(계정매핑!$E$5:$E$504,MATCH($F1154&amp;"",계정매핑!$A$5:$A$504,0))&amp;"","공통비"))</f>
        <v/>
      </c>
      <c r="AF1154" s="64">
        <f>IF($A1154="","",IF(AE1154="직접",IFERROR(INDEX(계정매핑!$F$5:$F$504,MATCH($F1154&amp;"",계정매핑!$A$5:$A$504,0))&amp;"","비귀속"),""))</f>
        <v/>
      </c>
      <c r="AG1154" s="96">
        <f>IF($A1154="",0,IF(AND(AE1154&lt;&gt;"직접",IFERROR(INDEX(계정매핑!$G$5:$G$504,MATCH($F1154&amp;"",계정매핑!$A$5:$A$504,0))&amp;"","")="유지비",COUNTIF(계정대체기준!$A$6:$A$15,$N1154)&gt;0),IFERROR(INDEX(계정대체기준!$E$6:$E$15,MATCH(VALUE($A1154&amp;""),계정대체기준!$D$6:$D$15,0)),0),0))</f>
        <v/>
      </c>
      <c r="AH1154" s="64">
        <f>IF($A1154="","",IF(AD1154=0,"",IF(OR(COUNTIF(계정대체기준!$A$77:$A$86,$N1154)&gt;0,ISNUMBER(MATCH($X1154,계정대체기준!$D$77:$D$86,0)),ISNUMBER(MATCH($F1154,계정대체기준!$D$77:$D$86,0))),"Y","N")))</f>
        <v/>
      </c>
    </row>
    <row r="1155">
      <c r="A1155" s="92" t="n">
        <v>2025</v>
      </c>
      <c r="B1155" s="92" t="n">
        <v>6</v>
      </c>
      <c r="C1155" s="92" t="inlineStr">
        <is>
          <t>5100001151</t>
        </is>
      </c>
      <c r="D1155" s="95" t="n">
        <v>45811</v>
      </c>
      <c r="E1155" s="92" t="inlineStr">
        <is>
          <t>KR</t>
        </is>
      </c>
      <c r="F1155" s="92" t="n">
        <v>62901000</v>
      </c>
      <c r="G1155" s="92" t="n">
        <v>1951</v>
      </c>
      <c r="H1155" s="93" t="n">
        <v>3558000</v>
      </c>
      <c r="I1155" s="92" t="inlineStr">
        <is>
          <t>6월 자문 수수료 - K회계법인</t>
        </is>
      </c>
      <c r="J1155" s="92" t="inlineStr">
        <is>
          <t>V10011</t>
        </is>
      </c>
      <c r="K1155" s="92" t="inlineStr">
        <is>
          <t>K회계법인</t>
        </is>
      </c>
      <c r="M1155" s="9">
        <f>IF($A1155="","",VALUE($A1155&amp;"")*12+VALUE($B1155&amp;""))</f>
        <v/>
      </c>
      <c r="N1155" s="64">
        <f>IF($A1155="","",IFERROR(INDEX(부서매핑!$C$5:$C$504,MATCH($G1155&amp;"",부서매핑!$A$5:$A$504,0)),"미매핑"))</f>
        <v/>
      </c>
      <c r="O1155" s="9">
        <f>IF($A1155="","",N1155&amp;"|"&amp;$F1155)</f>
        <v/>
      </c>
      <c r="P1155" s="94">
        <f>IF($A1155="",0,$H1155*설정!$C$23)</f>
        <v/>
      </c>
      <c r="Q1155" s="64">
        <f>IF($A1155="","",IF(O1155&lt;&gt;원인분석!$C$9,"",IF(AND(M1155&gt;=원인분석!$C$10,M1155&lt;=원인분석!$C$11),"당기",IF(AND(M1155&gt;=원인분석!$C$12,M1155&lt;=원인분석!$C$13),"비교",""))))</f>
        <v/>
      </c>
      <c r="R1155" s="9">
        <f>IF(Q1155="","",$K1155&amp;"")</f>
        <v/>
      </c>
      <c r="S1155" s="9">
        <f>IF(Q1155="","",IF(MATCH(R1155,$R$5:$R$100000,0)=ROW()-4,ROW(),""))</f>
        <v/>
      </c>
      <c r="T1155" s="9">
        <f>IF(Q1155="당기",ABS(P1155)+ROW()/1000000000,"")</f>
        <v/>
      </c>
      <c r="U1155" s="9">
        <f>IF(Q1155="비교",ABS(P1155)+ROW()/1000000000,"")</f>
        <v/>
      </c>
      <c r="V1155" s="64">
        <f>IF($A1155="","",IF(COUNTIF(변동분석!$E$7:$E$506,O1155)&gt;0,"Y","N"))</f>
        <v/>
      </c>
      <c r="W1155" s="64">
        <f>IF($A1155="","",IFERROR(INDEX(계정매핑!$D$5:$D$504,MATCH($F1155&amp;"",계정매핑!$A$5:$A$504,0)),"미매핑"))</f>
        <v/>
      </c>
      <c r="X1155" s="9">
        <f>IF($A1155="","",$F1155&amp;"")</f>
        <v/>
      </c>
      <c r="Y1155" s="94">
        <f>IF($A1155="",0,IF(AE1155="직접",IF(AF1155="비귀속",$P1155,0),$P1155*(1-AG1155)*IFERROR(INDEX(계정대체기준!$F$20:$F$49,MATCH($N1155,계정대체기준!$A$20:$A$49,0)),1)))</f>
        <v/>
      </c>
      <c r="Z1155" s="94">
        <f>IF($A1155="",0,IF(AE1155="직접",IF(AF1155="신계약비",$P1155,0),$P1155*(1-AG1155)*IFERROR(INDEX(계정대체기준!$C$20:$C$49,MATCH($N1155,계정대체기준!$A$20:$A$49,0)),0)))</f>
        <v/>
      </c>
      <c r="AA1155" s="94">
        <f>IF($A1155="",0,IF(AE1155="직접",IF(OR(AF1155="유지비",AF1155="손해조사비"),$P1155,0),$P1155*(1-AG1155)*IFERROR(INDEX(계정대체기준!$D$20:$D$49,MATCH($N1155,계정대체기준!$A$20:$A$49,0)),0)))</f>
        <v/>
      </c>
      <c r="AB1155" s="94">
        <f>IF($A1155="",0,IF(AE1155="직접",IF(AF1155="수금비",$P1155,0),$P1155*(1-AG1155)*IFERROR(INDEX(계정대체기준!$E$20:$E$49,MATCH($N1155,계정대체기준!$A$20:$A$49,0)),0)))</f>
        <v/>
      </c>
      <c r="AC1155" s="9">
        <f>IF(AND($A1155&lt;&gt;"",M1155=설정!$C$20,Z1155&gt;0),Z1155+ROW()/1000000000,"")</f>
        <v/>
      </c>
      <c r="AD1155" s="94">
        <f>IF($A1155="",0,$P1155*AG1155)</f>
        <v/>
      </c>
      <c r="AE1155" s="64">
        <f>IF($A1155="","",IFERROR(INDEX(계정매핑!$E$5:$E$504,MATCH($F1155&amp;"",계정매핑!$A$5:$A$504,0))&amp;"","공통비"))</f>
        <v/>
      </c>
      <c r="AF1155" s="64">
        <f>IF($A1155="","",IF(AE1155="직접",IFERROR(INDEX(계정매핑!$F$5:$F$504,MATCH($F1155&amp;"",계정매핑!$A$5:$A$504,0))&amp;"","비귀속"),""))</f>
        <v/>
      </c>
      <c r="AG1155" s="96">
        <f>IF($A1155="",0,IF(AND(AE1155&lt;&gt;"직접",IFERROR(INDEX(계정매핑!$G$5:$G$504,MATCH($F1155&amp;"",계정매핑!$A$5:$A$504,0))&amp;"","")="유지비",COUNTIF(계정대체기준!$A$6:$A$15,$N1155)&gt;0),IFERROR(INDEX(계정대체기준!$E$6:$E$15,MATCH(VALUE($A1155&amp;""),계정대체기준!$D$6:$D$15,0)),0),0))</f>
        <v/>
      </c>
      <c r="AH1155" s="64">
        <f>IF($A1155="","",IF(AD1155=0,"",IF(OR(COUNTIF(계정대체기준!$A$77:$A$86,$N1155)&gt;0,ISNUMBER(MATCH($X1155,계정대체기준!$D$77:$D$86,0)),ISNUMBER(MATCH($F1155,계정대체기준!$D$77:$D$86,0))),"Y","N")))</f>
        <v/>
      </c>
    </row>
    <row r="1156">
      <c r="A1156" s="92" t="n">
        <v>2025</v>
      </c>
      <c r="B1156" s="92" t="n">
        <v>6</v>
      </c>
      <c r="C1156" s="92" t="inlineStr">
        <is>
          <t>5100001152</t>
        </is>
      </c>
      <c r="D1156" s="95" t="n">
        <v>45811</v>
      </c>
      <c r="E1156" s="92" t="inlineStr">
        <is>
          <t>KR</t>
        </is>
      </c>
      <c r="F1156" s="92" t="n">
        <v>63201000</v>
      </c>
      <c r="G1156" s="92" t="n">
        <v>1601</v>
      </c>
      <c r="H1156" s="93" t="n">
        <v>1714000</v>
      </c>
      <c r="I1156" s="92" t="inlineStr">
        <is>
          <t>6월 차량 유지 - H에너지</t>
        </is>
      </c>
      <c r="J1156" s="92" t="inlineStr">
        <is>
          <t>V10030</t>
        </is>
      </c>
      <c r="K1156" s="92" t="inlineStr">
        <is>
          <t>H에너지</t>
        </is>
      </c>
      <c r="M1156" s="9">
        <f>IF($A1156="","",VALUE($A1156&amp;"")*12+VALUE($B1156&amp;""))</f>
        <v/>
      </c>
      <c r="N1156" s="64">
        <f>IF($A1156="","",IFERROR(INDEX(부서매핑!$C$5:$C$504,MATCH($G1156&amp;"",부서매핑!$A$5:$A$504,0)),"미매핑"))</f>
        <v/>
      </c>
      <c r="O1156" s="9">
        <f>IF($A1156="","",N1156&amp;"|"&amp;$F1156)</f>
        <v/>
      </c>
      <c r="P1156" s="94">
        <f>IF($A1156="",0,$H1156*설정!$C$23)</f>
        <v/>
      </c>
      <c r="Q1156" s="64">
        <f>IF($A1156="","",IF(O1156&lt;&gt;원인분석!$C$9,"",IF(AND(M1156&gt;=원인분석!$C$10,M1156&lt;=원인분석!$C$11),"당기",IF(AND(M1156&gt;=원인분석!$C$12,M1156&lt;=원인분석!$C$13),"비교",""))))</f>
        <v/>
      </c>
      <c r="R1156" s="9">
        <f>IF(Q1156="","",$K1156&amp;"")</f>
        <v/>
      </c>
      <c r="S1156" s="9">
        <f>IF(Q1156="","",IF(MATCH(R1156,$R$5:$R$100000,0)=ROW()-4,ROW(),""))</f>
        <v/>
      </c>
      <c r="T1156" s="9">
        <f>IF(Q1156="당기",ABS(P1156)+ROW()/1000000000,"")</f>
        <v/>
      </c>
      <c r="U1156" s="9">
        <f>IF(Q1156="비교",ABS(P1156)+ROW()/1000000000,"")</f>
        <v/>
      </c>
      <c r="V1156" s="64">
        <f>IF($A1156="","",IF(COUNTIF(변동분석!$E$7:$E$506,O1156)&gt;0,"Y","N"))</f>
        <v/>
      </c>
      <c r="W1156" s="64">
        <f>IF($A1156="","",IFERROR(INDEX(계정매핑!$D$5:$D$504,MATCH($F1156&amp;"",계정매핑!$A$5:$A$504,0)),"미매핑"))</f>
        <v/>
      </c>
      <c r="X1156" s="9">
        <f>IF($A1156="","",$F1156&amp;"")</f>
        <v/>
      </c>
      <c r="Y1156" s="94">
        <f>IF($A1156="",0,IF(AE1156="직접",IF(AF1156="비귀속",$P1156,0),$P1156*(1-AG1156)*IFERROR(INDEX(계정대체기준!$F$20:$F$49,MATCH($N1156,계정대체기준!$A$20:$A$49,0)),1)))</f>
        <v/>
      </c>
      <c r="Z1156" s="94">
        <f>IF($A1156="",0,IF(AE1156="직접",IF(AF1156="신계약비",$P1156,0),$P1156*(1-AG1156)*IFERROR(INDEX(계정대체기준!$C$20:$C$49,MATCH($N1156,계정대체기준!$A$20:$A$49,0)),0)))</f>
        <v/>
      </c>
      <c r="AA1156" s="94">
        <f>IF($A1156="",0,IF(AE1156="직접",IF(OR(AF1156="유지비",AF1156="손해조사비"),$P1156,0),$P1156*(1-AG1156)*IFERROR(INDEX(계정대체기준!$D$20:$D$49,MATCH($N1156,계정대체기준!$A$20:$A$49,0)),0)))</f>
        <v/>
      </c>
      <c r="AB1156" s="94">
        <f>IF($A1156="",0,IF(AE1156="직접",IF(AF1156="수금비",$P1156,0),$P1156*(1-AG1156)*IFERROR(INDEX(계정대체기준!$E$20:$E$49,MATCH($N1156,계정대체기준!$A$20:$A$49,0)),0)))</f>
        <v/>
      </c>
      <c r="AC1156" s="9">
        <f>IF(AND($A1156&lt;&gt;"",M1156=설정!$C$20,Z1156&gt;0),Z1156+ROW()/1000000000,"")</f>
        <v/>
      </c>
      <c r="AD1156" s="94">
        <f>IF($A1156="",0,$P1156*AG1156)</f>
        <v/>
      </c>
      <c r="AE1156" s="64">
        <f>IF($A1156="","",IFERROR(INDEX(계정매핑!$E$5:$E$504,MATCH($F1156&amp;"",계정매핑!$A$5:$A$504,0))&amp;"","공통비"))</f>
        <v/>
      </c>
      <c r="AF1156" s="64">
        <f>IF($A1156="","",IF(AE1156="직접",IFERROR(INDEX(계정매핑!$F$5:$F$504,MATCH($F1156&amp;"",계정매핑!$A$5:$A$504,0))&amp;"","비귀속"),""))</f>
        <v/>
      </c>
      <c r="AG1156" s="96">
        <f>IF($A1156="",0,IF(AND(AE1156&lt;&gt;"직접",IFERROR(INDEX(계정매핑!$G$5:$G$504,MATCH($F1156&amp;"",계정매핑!$A$5:$A$504,0))&amp;"","")="유지비",COUNTIF(계정대체기준!$A$6:$A$15,$N1156)&gt;0),IFERROR(INDEX(계정대체기준!$E$6:$E$15,MATCH(VALUE($A1156&amp;""),계정대체기준!$D$6:$D$15,0)),0),0))</f>
        <v/>
      </c>
      <c r="AH1156" s="64">
        <f>IF($A1156="","",IF(AD1156=0,"",IF(OR(COUNTIF(계정대체기준!$A$77:$A$86,$N1156)&gt;0,ISNUMBER(MATCH($X1156,계정대체기준!$D$77:$D$86,0)),ISNUMBER(MATCH($F1156,계정대체기준!$D$77:$D$86,0))),"Y","N")))</f>
        <v/>
      </c>
    </row>
    <row r="1157">
      <c r="A1157" s="92" t="n">
        <v>2025</v>
      </c>
      <c r="B1157" s="92" t="n">
        <v>6</v>
      </c>
      <c r="C1157" s="92" t="inlineStr">
        <is>
          <t>5100001153</t>
        </is>
      </c>
      <c r="D1157" s="95" t="n">
        <v>45812</v>
      </c>
      <c r="E1157" s="92" t="inlineStr">
        <is>
          <t>KR</t>
        </is>
      </c>
      <c r="F1157" s="92" t="n">
        <v>62101000</v>
      </c>
      <c r="G1157" s="92" t="n">
        <v>1401</v>
      </c>
      <c r="H1157" s="93" t="n">
        <v>578000</v>
      </c>
      <c r="I1157" s="92" t="inlineStr">
        <is>
          <t>6월 국내출장 - M항공</t>
        </is>
      </c>
      <c r="J1157" s="92" t="inlineStr">
        <is>
          <t>V10001</t>
        </is>
      </c>
      <c r="K1157" s="92" t="inlineStr">
        <is>
          <t>M항공</t>
        </is>
      </c>
      <c r="M1157" s="9">
        <f>IF($A1157="","",VALUE($A1157&amp;"")*12+VALUE($B1157&amp;""))</f>
        <v/>
      </c>
      <c r="N1157" s="64">
        <f>IF($A1157="","",IFERROR(INDEX(부서매핑!$C$5:$C$504,MATCH($G1157&amp;"",부서매핑!$A$5:$A$504,0)),"미매핑"))</f>
        <v/>
      </c>
      <c r="O1157" s="9">
        <f>IF($A1157="","",N1157&amp;"|"&amp;$F1157)</f>
        <v/>
      </c>
      <c r="P1157" s="94">
        <f>IF($A1157="",0,$H1157*설정!$C$23)</f>
        <v/>
      </c>
      <c r="Q1157" s="64">
        <f>IF($A1157="","",IF(O1157&lt;&gt;원인분석!$C$9,"",IF(AND(M1157&gt;=원인분석!$C$10,M1157&lt;=원인분석!$C$11),"당기",IF(AND(M1157&gt;=원인분석!$C$12,M1157&lt;=원인분석!$C$13),"비교",""))))</f>
        <v/>
      </c>
      <c r="R1157" s="9">
        <f>IF(Q1157="","",$K1157&amp;"")</f>
        <v/>
      </c>
      <c r="S1157" s="9">
        <f>IF(Q1157="","",IF(MATCH(R1157,$R$5:$R$100000,0)=ROW()-4,ROW(),""))</f>
        <v/>
      </c>
      <c r="T1157" s="9">
        <f>IF(Q1157="당기",ABS(P1157)+ROW()/1000000000,"")</f>
        <v/>
      </c>
      <c r="U1157" s="9">
        <f>IF(Q1157="비교",ABS(P1157)+ROW()/1000000000,"")</f>
        <v/>
      </c>
      <c r="V1157" s="64">
        <f>IF($A1157="","",IF(COUNTIF(변동분석!$E$7:$E$506,O1157)&gt;0,"Y","N"))</f>
        <v/>
      </c>
      <c r="W1157" s="64">
        <f>IF($A1157="","",IFERROR(INDEX(계정매핑!$D$5:$D$504,MATCH($F1157&amp;"",계정매핑!$A$5:$A$504,0)),"미매핑"))</f>
        <v/>
      </c>
      <c r="X1157" s="9">
        <f>IF($A1157="","",$F1157&amp;"")</f>
        <v/>
      </c>
      <c r="Y1157" s="94">
        <f>IF($A1157="",0,IF(AE1157="직접",IF(AF1157="비귀속",$P1157,0),$P1157*(1-AG1157)*IFERROR(INDEX(계정대체기준!$F$20:$F$49,MATCH($N1157,계정대체기준!$A$20:$A$49,0)),1)))</f>
        <v/>
      </c>
      <c r="Z1157" s="94">
        <f>IF($A1157="",0,IF(AE1157="직접",IF(AF1157="신계약비",$P1157,0),$P1157*(1-AG1157)*IFERROR(INDEX(계정대체기준!$C$20:$C$49,MATCH($N1157,계정대체기준!$A$20:$A$49,0)),0)))</f>
        <v/>
      </c>
      <c r="AA1157" s="94">
        <f>IF($A1157="",0,IF(AE1157="직접",IF(OR(AF1157="유지비",AF1157="손해조사비"),$P1157,0),$P1157*(1-AG1157)*IFERROR(INDEX(계정대체기준!$D$20:$D$49,MATCH($N1157,계정대체기준!$A$20:$A$49,0)),0)))</f>
        <v/>
      </c>
      <c r="AB1157" s="94">
        <f>IF($A1157="",0,IF(AE1157="직접",IF(AF1157="수금비",$P1157,0),$P1157*(1-AG1157)*IFERROR(INDEX(계정대체기준!$E$20:$E$49,MATCH($N1157,계정대체기준!$A$20:$A$49,0)),0)))</f>
        <v/>
      </c>
      <c r="AC1157" s="9">
        <f>IF(AND($A1157&lt;&gt;"",M1157=설정!$C$20,Z1157&gt;0),Z1157+ROW()/1000000000,"")</f>
        <v/>
      </c>
      <c r="AD1157" s="94">
        <f>IF($A1157="",0,$P1157*AG1157)</f>
        <v/>
      </c>
      <c r="AE1157" s="64">
        <f>IF($A1157="","",IFERROR(INDEX(계정매핑!$E$5:$E$504,MATCH($F1157&amp;"",계정매핑!$A$5:$A$504,0))&amp;"","공통비"))</f>
        <v/>
      </c>
      <c r="AF1157" s="64">
        <f>IF($A1157="","",IF(AE1157="직접",IFERROR(INDEX(계정매핑!$F$5:$F$504,MATCH($F1157&amp;"",계정매핑!$A$5:$A$504,0))&amp;"","비귀속"),""))</f>
        <v/>
      </c>
      <c r="AG1157" s="96">
        <f>IF($A1157="",0,IF(AND(AE1157&lt;&gt;"직접",IFERROR(INDEX(계정매핑!$G$5:$G$504,MATCH($F1157&amp;"",계정매핑!$A$5:$A$504,0))&amp;"","")="유지비",COUNTIF(계정대체기준!$A$6:$A$15,$N1157)&gt;0),IFERROR(INDEX(계정대체기준!$E$6:$E$15,MATCH(VALUE($A1157&amp;""),계정대체기준!$D$6:$D$15,0)),0),0))</f>
        <v/>
      </c>
      <c r="AH1157" s="64">
        <f>IF($A1157="","",IF(AD1157=0,"",IF(OR(COUNTIF(계정대체기준!$A$77:$A$86,$N1157)&gt;0,ISNUMBER(MATCH($X1157,계정대체기준!$D$77:$D$86,0)),ISNUMBER(MATCH($F1157,계정대체기준!$D$77:$D$86,0))),"Y","N")))</f>
        <v/>
      </c>
    </row>
    <row r="1158">
      <c r="A1158" s="92" t="n">
        <v>2025</v>
      </c>
      <c r="B1158" s="92" t="n">
        <v>6</v>
      </c>
      <c r="C1158" s="92" t="inlineStr">
        <is>
          <t>5100001154</t>
        </is>
      </c>
      <c r="D1158" s="95" t="n">
        <v>45812</v>
      </c>
      <c r="E1158" s="92" t="inlineStr">
        <is>
          <t>KR</t>
        </is>
      </c>
      <c r="F1158" s="92" t="n">
        <v>62101000</v>
      </c>
      <c r="G1158" s="92" t="n">
        <v>1951</v>
      </c>
      <c r="H1158" s="93" t="n">
        <v>491000</v>
      </c>
      <c r="I1158" s="92" t="inlineStr">
        <is>
          <t>6월 국내출장 - M항공</t>
        </is>
      </c>
      <c r="J1158" s="92" t="inlineStr">
        <is>
          <t>V10001</t>
        </is>
      </c>
      <c r="K1158" s="92" t="inlineStr">
        <is>
          <t>M항공</t>
        </is>
      </c>
      <c r="M1158" s="9">
        <f>IF($A1158="","",VALUE($A1158&amp;"")*12+VALUE($B1158&amp;""))</f>
        <v/>
      </c>
      <c r="N1158" s="64">
        <f>IF($A1158="","",IFERROR(INDEX(부서매핑!$C$5:$C$504,MATCH($G1158&amp;"",부서매핑!$A$5:$A$504,0)),"미매핑"))</f>
        <v/>
      </c>
      <c r="O1158" s="9">
        <f>IF($A1158="","",N1158&amp;"|"&amp;$F1158)</f>
        <v/>
      </c>
      <c r="P1158" s="94">
        <f>IF($A1158="",0,$H1158*설정!$C$23)</f>
        <v/>
      </c>
      <c r="Q1158" s="64">
        <f>IF($A1158="","",IF(O1158&lt;&gt;원인분석!$C$9,"",IF(AND(M1158&gt;=원인분석!$C$10,M1158&lt;=원인분석!$C$11),"당기",IF(AND(M1158&gt;=원인분석!$C$12,M1158&lt;=원인분석!$C$13),"비교",""))))</f>
        <v/>
      </c>
      <c r="R1158" s="9">
        <f>IF(Q1158="","",$K1158&amp;"")</f>
        <v/>
      </c>
      <c r="S1158" s="9">
        <f>IF(Q1158="","",IF(MATCH(R1158,$R$5:$R$100000,0)=ROW()-4,ROW(),""))</f>
        <v/>
      </c>
      <c r="T1158" s="9">
        <f>IF(Q1158="당기",ABS(P1158)+ROW()/1000000000,"")</f>
        <v/>
      </c>
      <c r="U1158" s="9">
        <f>IF(Q1158="비교",ABS(P1158)+ROW()/1000000000,"")</f>
        <v/>
      </c>
      <c r="V1158" s="64">
        <f>IF($A1158="","",IF(COUNTIF(변동분석!$E$7:$E$506,O1158)&gt;0,"Y","N"))</f>
        <v/>
      </c>
      <c r="W1158" s="64">
        <f>IF($A1158="","",IFERROR(INDEX(계정매핑!$D$5:$D$504,MATCH($F1158&amp;"",계정매핑!$A$5:$A$504,0)),"미매핑"))</f>
        <v/>
      </c>
      <c r="X1158" s="9">
        <f>IF($A1158="","",$F1158&amp;"")</f>
        <v/>
      </c>
      <c r="Y1158" s="94">
        <f>IF($A1158="",0,IF(AE1158="직접",IF(AF1158="비귀속",$P1158,0),$P1158*(1-AG1158)*IFERROR(INDEX(계정대체기준!$F$20:$F$49,MATCH($N1158,계정대체기준!$A$20:$A$49,0)),1)))</f>
        <v/>
      </c>
      <c r="Z1158" s="94">
        <f>IF($A1158="",0,IF(AE1158="직접",IF(AF1158="신계약비",$P1158,0),$P1158*(1-AG1158)*IFERROR(INDEX(계정대체기준!$C$20:$C$49,MATCH($N1158,계정대체기준!$A$20:$A$49,0)),0)))</f>
        <v/>
      </c>
      <c r="AA1158" s="94">
        <f>IF($A1158="",0,IF(AE1158="직접",IF(OR(AF1158="유지비",AF1158="손해조사비"),$P1158,0),$P1158*(1-AG1158)*IFERROR(INDEX(계정대체기준!$D$20:$D$49,MATCH($N1158,계정대체기준!$A$20:$A$49,0)),0)))</f>
        <v/>
      </c>
      <c r="AB1158" s="94">
        <f>IF($A1158="",0,IF(AE1158="직접",IF(AF1158="수금비",$P1158,0),$P1158*(1-AG1158)*IFERROR(INDEX(계정대체기준!$E$20:$E$49,MATCH($N1158,계정대체기준!$A$20:$A$49,0)),0)))</f>
        <v/>
      </c>
      <c r="AC1158" s="9">
        <f>IF(AND($A1158&lt;&gt;"",M1158=설정!$C$20,Z1158&gt;0),Z1158+ROW()/1000000000,"")</f>
        <v/>
      </c>
      <c r="AD1158" s="94">
        <f>IF($A1158="",0,$P1158*AG1158)</f>
        <v/>
      </c>
      <c r="AE1158" s="64">
        <f>IF($A1158="","",IFERROR(INDEX(계정매핑!$E$5:$E$504,MATCH($F1158&amp;"",계정매핑!$A$5:$A$504,0))&amp;"","공통비"))</f>
        <v/>
      </c>
      <c r="AF1158" s="64">
        <f>IF($A1158="","",IF(AE1158="직접",IFERROR(INDEX(계정매핑!$F$5:$F$504,MATCH($F1158&amp;"",계정매핑!$A$5:$A$504,0))&amp;"","비귀속"),""))</f>
        <v/>
      </c>
      <c r="AG1158" s="96">
        <f>IF($A1158="",0,IF(AND(AE1158&lt;&gt;"직접",IFERROR(INDEX(계정매핑!$G$5:$G$504,MATCH($F1158&amp;"",계정매핑!$A$5:$A$504,0))&amp;"","")="유지비",COUNTIF(계정대체기준!$A$6:$A$15,$N1158)&gt;0),IFERROR(INDEX(계정대체기준!$E$6:$E$15,MATCH(VALUE($A1158&amp;""),계정대체기준!$D$6:$D$15,0)),0),0))</f>
        <v/>
      </c>
      <c r="AH1158" s="64">
        <f>IF($A1158="","",IF(AD1158=0,"",IF(OR(COUNTIF(계정대체기준!$A$77:$A$86,$N1158)&gt;0,ISNUMBER(MATCH($X1158,계정대체기준!$D$77:$D$86,0)),ISNUMBER(MATCH($F1158,계정대체기준!$D$77:$D$86,0))),"Y","N")))</f>
        <v/>
      </c>
    </row>
    <row r="1159">
      <c r="A1159" s="92" t="n">
        <v>2025</v>
      </c>
      <c r="B1159" s="92" t="n">
        <v>6</v>
      </c>
      <c r="C1159" s="92" t="inlineStr">
        <is>
          <t>5100001155</t>
        </is>
      </c>
      <c r="D1159" s="95" t="n">
        <v>45812</v>
      </c>
      <c r="E1159" s="92" t="inlineStr">
        <is>
          <t>KR</t>
        </is>
      </c>
      <c r="F1159" s="92" t="n">
        <v>62102000</v>
      </c>
      <c r="G1159" s="92" t="n">
        <v>1501</v>
      </c>
      <c r="H1159" s="93" t="n">
        <v>162000</v>
      </c>
      <c r="I1159" s="92" t="inlineStr">
        <is>
          <t>6월 해외출장 - M항공</t>
        </is>
      </c>
      <c r="J1159" s="92" t="inlineStr">
        <is>
          <t>V10001</t>
        </is>
      </c>
      <c r="K1159" s="92" t="inlineStr">
        <is>
          <t>M항공</t>
        </is>
      </c>
      <c r="M1159" s="9">
        <f>IF($A1159="","",VALUE($A1159&amp;"")*12+VALUE($B1159&amp;""))</f>
        <v/>
      </c>
      <c r="N1159" s="64">
        <f>IF($A1159="","",IFERROR(INDEX(부서매핑!$C$5:$C$504,MATCH($G1159&amp;"",부서매핑!$A$5:$A$504,0)),"미매핑"))</f>
        <v/>
      </c>
      <c r="O1159" s="9">
        <f>IF($A1159="","",N1159&amp;"|"&amp;$F1159)</f>
        <v/>
      </c>
      <c r="P1159" s="94">
        <f>IF($A1159="",0,$H1159*설정!$C$23)</f>
        <v/>
      </c>
      <c r="Q1159" s="64">
        <f>IF($A1159="","",IF(O1159&lt;&gt;원인분석!$C$9,"",IF(AND(M1159&gt;=원인분석!$C$10,M1159&lt;=원인분석!$C$11),"당기",IF(AND(M1159&gt;=원인분석!$C$12,M1159&lt;=원인분석!$C$13),"비교",""))))</f>
        <v/>
      </c>
      <c r="R1159" s="9">
        <f>IF(Q1159="","",$K1159&amp;"")</f>
        <v/>
      </c>
      <c r="S1159" s="9">
        <f>IF(Q1159="","",IF(MATCH(R1159,$R$5:$R$100000,0)=ROW()-4,ROW(),""))</f>
        <v/>
      </c>
      <c r="T1159" s="9">
        <f>IF(Q1159="당기",ABS(P1159)+ROW()/1000000000,"")</f>
        <v/>
      </c>
      <c r="U1159" s="9">
        <f>IF(Q1159="비교",ABS(P1159)+ROW()/1000000000,"")</f>
        <v/>
      </c>
      <c r="V1159" s="64">
        <f>IF($A1159="","",IF(COUNTIF(변동분석!$E$7:$E$506,O1159)&gt;0,"Y","N"))</f>
        <v/>
      </c>
      <c r="W1159" s="64">
        <f>IF($A1159="","",IFERROR(INDEX(계정매핑!$D$5:$D$504,MATCH($F1159&amp;"",계정매핑!$A$5:$A$504,0)),"미매핑"))</f>
        <v/>
      </c>
      <c r="X1159" s="9">
        <f>IF($A1159="","",$F1159&amp;"")</f>
        <v/>
      </c>
      <c r="Y1159" s="94">
        <f>IF($A1159="",0,IF(AE1159="직접",IF(AF1159="비귀속",$P1159,0),$P1159*(1-AG1159)*IFERROR(INDEX(계정대체기준!$F$20:$F$49,MATCH($N1159,계정대체기준!$A$20:$A$49,0)),1)))</f>
        <v/>
      </c>
      <c r="Z1159" s="94">
        <f>IF($A1159="",0,IF(AE1159="직접",IF(AF1159="신계약비",$P1159,0),$P1159*(1-AG1159)*IFERROR(INDEX(계정대체기준!$C$20:$C$49,MATCH($N1159,계정대체기준!$A$20:$A$49,0)),0)))</f>
        <v/>
      </c>
      <c r="AA1159" s="94">
        <f>IF($A1159="",0,IF(AE1159="직접",IF(OR(AF1159="유지비",AF1159="손해조사비"),$P1159,0),$P1159*(1-AG1159)*IFERROR(INDEX(계정대체기준!$D$20:$D$49,MATCH($N1159,계정대체기준!$A$20:$A$49,0)),0)))</f>
        <v/>
      </c>
      <c r="AB1159" s="94">
        <f>IF($A1159="",0,IF(AE1159="직접",IF(AF1159="수금비",$P1159,0),$P1159*(1-AG1159)*IFERROR(INDEX(계정대체기준!$E$20:$E$49,MATCH($N1159,계정대체기준!$A$20:$A$49,0)),0)))</f>
        <v/>
      </c>
      <c r="AC1159" s="9">
        <f>IF(AND($A1159&lt;&gt;"",M1159=설정!$C$20,Z1159&gt;0),Z1159+ROW()/1000000000,"")</f>
        <v/>
      </c>
      <c r="AD1159" s="94">
        <f>IF($A1159="",0,$P1159*AG1159)</f>
        <v/>
      </c>
      <c r="AE1159" s="64">
        <f>IF($A1159="","",IFERROR(INDEX(계정매핑!$E$5:$E$504,MATCH($F1159&amp;"",계정매핑!$A$5:$A$504,0))&amp;"","공통비"))</f>
        <v/>
      </c>
      <c r="AF1159" s="64">
        <f>IF($A1159="","",IF(AE1159="직접",IFERROR(INDEX(계정매핑!$F$5:$F$504,MATCH($F1159&amp;"",계정매핑!$A$5:$A$504,0))&amp;"","비귀속"),""))</f>
        <v/>
      </c>
      <c r="AG1159" s="96">
        <f>IF($A1159="",0,IF(AND(AE1159&lt;&gt;"직접",IFERROR(INDEX(계정매핑!$G$5:$G$504,MATCH($F1159&amp;"",계정매핑!$A$5:$A$504,0))&amp;"","")="유지비",COUNTIF(계정대체기준!$A$6:$A$15,$N1159)&gt;0),IFERROR(INDEX(계정대체기준!$E$6:$E$15,MATCH(VALUE($A1159&amp;""),계정대체기준!$D$6:$D$15,0)),0),0))</f>
        <v/>
      </c>
      <c r="AH1159" s="64">
        <f>IF($A1159="","",IF(AD1159=0,"",IF(OR(COUNTIF(계정대체기준!$A$77:$A$86,$N1159)&gt;0,ISNUMBER(MATCH($X1159,계정대체기준!$D$77:$D$86,0)),ISNUMBER(MATCH($F1159,계정대체기준!$D$77:$D$86,0))),"Y","N")))</f>
        <v/>
      </c>
    </row>
    <row r="1160">
      <c r="A1160" s="92" t="n">
        <v>2025</v>
      </c>
      <c r="B1160" s="92" t="n">
        <v>6</v>
      </c>
      <c r="C1160" s="92" t="inlineStr">
        <is>
          <t>5100001156</t>
        </is>
      </c>
      <c r="D1160" s="95" t="n">
        <v>45812</v>
      </c>
      <c r="E1160" s="92" t="inlineStr">
        <is>
          <t>KR</t>
        </is>
      </c>
      <c r="F1160" s="92" t="n">
        <v>62102000</v>
      </c>
      <c r="G1160" s="92" t="n">
        <v>1801</v>
      </c>
      <c r="H1160" s="93" t="n">
        <v>52000</v>
      </c>
      <c r="I1160" s="92" t="inlineStr">
        <is>
          <t>6월 해외출장 - M항공</t>
        </is>
      </c>
      <c r="J1160" s="92" t="inlineStr">
        <is>
          <t>V10001</t>
        </is>
      </c>
      <c r="K1160" s="92" t="inlineStr">
        <is>
          <t>M항공</t>
        </is>
      </c>
      <c r="M1160" s="9">
        <f>IF($A1160="","",VALUE($A1160&amp;"")*12+VALUE($B1160&amp;""))</f>
        <v/>
      </c>
      <c r="N1160" s="64">
        <f>IF($A1160="","",IFERROR(INDEX(부서매핑!$C$5:$C$504,MATCH($G1160&amp;"",부서매핑!$A$5:$A$504,0)),"미매핑"))</f>
        <v/>
      </c>
      <c r="O1160" s="9">
        <f>IF($A1160="","",N1160&amp;"|"&amp;$F1160)</f>
        <v/>
      </c>
      <c r="P1160" s="94">
        <f>IF($A1160="",0,$H1160*설정!$C$23)</f>
        <v/>
      </c>
      <c r="Q1160" s="64">
        <f>IF($A1160="","",IF(O1160&lt;&gt;원인분석!$C$9,"",IF(AND(M1160&gt;=원인분석!$C$10,M1160&lt;=원인분석!$C$11),"당기",IF(AND(M1160&gt;=원인분석!$C$12,M1160&lt;=원인분석!$C$13),"비교",""))))</f>
        <v/>
      </c>
      <c r="R1160" s="9">
        <f>IF(Q1160="","",$K1160&amp;"")</f>
        <v/>
      </c>
      <c r="S1160" s="9">
        <f>IF(Q1160="","",IF(MATCH(R1160,$R$5:$R$100000,0)=ROW()-4,ROW(),""))</f>
        <v/>
      </c>
      <c r="T1160" s="9">
        <f>IF(Q1160="당기",ABS(P1160)+ROW()/1000000000,"")</f>
        <v/>
      </c>
      <c r="U1160" s="9">
        <f>IF(Q1160="비교",ABS(P1160)+ROW()/1000000000,"")</f>
        <v/>
      </c>
      <c r="V1160" s="64">
        <f>IF($A1160="","",IF(COUNTIF(변동분석!$E$7:$E$506,O1160)&gt;0,"Y","N"))</f>
        <v/>
      </c>
      <c r="W1160" s="64">
        <f>IF($A1160="","",IFERROR(INDEX(계정매핑!$D$5:$D$504,MATCH($F1160&amp;"",계정매핑!$A$5:$A$504,0)),"미매핑"))</f>
        <v/>
      </c>
      <c r="X1160" s="9">
        <f>IF($A1160="","",$F1160&amp;"")</f>
        <v/>
      </c>
      <c r="Y1160" s="94">
        <f>IF($A1160="",0,IF(AE1160="직접",IF(AF1160="비귀속",$P1160,0),$P1160*(1-AG1160)*IFERROR(INDEX(계정대체기준!$F$20:$F$49,MATCH($N1160,계정대체기준!$A$20:$A$49,0)),1)))</f>
        <v/>
      </c>
      <c r="Z1160" s="94">
        <f>IF($A1160="",0,IF(AE1160="직접",IF(AF1160="신계약비",$P1160,0),$P1160*(1-AG1160)*IFERROR(INDEX(계정대체기준!$C$20:$C$49,MATCH($N1160,계정대체기준!$A$20:$A$49,0)),0)))</f>
        <v/>
      </c>
      <c r="AA1160" s="94">
        <f>IF($A1160="",0,IF(AE1160="직접",IF(OR(AF1160="유지비",AF1160="손해조사비"),$P1160,0),$P1160*(1-AG1160)*IFERROR(INDEX(계정대체기준!$D$20:$D$49,MATCH($N1160,계정대체기준!$A$20:$A$49,0)),0)))</f>
        <v/>
      </c>
      <c r="AB1160" s="94">
        <f>IF($A1160="",0,IF(AE1160="직접",IF(AF1160="수금비",$P1160,0),$P1160*(1-AG1160)*IFERROR(INDEX(계정대체기준!$E$20:$E$49,MATCH($N1160,계정대체기준!$A$20:$A$49,0)),0)))</f>
        <v/>
      </c>
      <c r="AC1160" s="9">
        <f>IF(AND($A1160&lt;&gt;"",M1160=설정!$C$20,Z1160&gt;0),Z1160+ROW()/1000000000,"")</f>
        <v/>
      </c>
      <c r="AD1160" s="94">
        <f>IF($A1160="",0,$P1160*AG1160)</f>
        <v/>
      </c>
      <c r="AE1160" s="64">
        <f>IF($A1160="","",IFERROR(INDEX(계정매핑!$E$5:$E$504,MATCH($F1160&amp;"",계정매핑!$A$5:$A$504,0))&amp;"","공통비"))</f>
        <v/>
      </c>
      <c r="AF1160" s="64">
        <f>IF($A1160="","",IF(AE1160="직접",IFERROR(INDEX(계정매핑!$F$5:$F$504,MATCH($F1160&amp;"",계정매핑!$A$5:$A$504,0))&amp;"","비귀속"),""))</f>
        <v/>
      </c>
      <c r="AG1160" s="96">
        <f>IF($A1160="",0,IF(AND(AE1160&lt;&gt;"직접",IFERROR(INDEX(계정매핑!$G$5:$G$504,MATCH($F1160&amp;"",계정매핑!$A$5:$A$504,0))&amp;"","")="유지비",COUNTIF(계정대체기준!$A$6:$A$15,$N1160)&gt;0),IFERROR(INDEX(계정대체기준!$E$6:$E$15,MATCH(VALUE($A1160&amp;""),계정대체기준!$D$6:$D$15,0)),0),0))</f>
        <v/>
      </c>
      <c r="AH1160" s="64">
        <f>IF($A1160="","",IF(AD1160=0,"",IF(OR(COUNTIF(계정대체기준!$A$77:$A$86,$N1160)&gt;0,ISNUMBER(MATCH($X1160,계정대체기준!$D$77:$D$86,0)),ISNUMBER(MATCH($F1160,계정대체기준!$D$77:$D$86,0))),"Y","N")))</f>
        <v/>
      </c>
    </row>
    <row r="1161">
      <c r="A1161" s="92" t="n">
        <v>2025</v>
      </c>
      <c r="B1161" s="92" t="n">
        <v>6</v>
      </c>
      <c r="C1161" s="92" t="inlineStr">
        <is>
          <t>5100001157</t>
        </is>
      </c>
      <c r="D1161" s="95" t="n">
        <v>45812</v>
      </c>
      <c r="E1161" s="92" t="inlineStr">
        <is>
          <t>KR</t>
        </is>
      </c>
      <c r="F1161" s="92" t="n">
        <v>62201000</v>
      </c>
      <c r="G1161" s="92" t="n">
        <v>1951</v>
      </c>
      <c r="H1161" s="93" t="n">
        <v>189000</v>
      </c>
      <c r="I1161" s="92" t="inlineStr">
        <is>
          <t>6월 통신요금 - O텔레콤</t>
        </is>
      </c>
      <c r="J1161" s="92" t="inlineStr">
        <is>
          <t>V10002</t>
        </is>
      </c>
      <c r="K1161" s="92" t="inlineStr">
        <is>
          <t>O텔레콤</t>
        </is>
      </c>
      <c r="M1161" s="9">
        <f>IF($A1161="","",VALUE($A1161&amp;"")*12+VALUE($B1161&amp;""))</f>
        <v/>
      </c>
      <c r="N1161" s="64">
        <f>IF($A1161="","",IFERROR(INDEX(부서매핑!$C$5:$C$504,MATCH($G1161&amp;"",부서매핑!$A$5:$A$504,0)),"미매핑"))</f>
        <v/>
      </c>
      <c r="O1161" s="9">
        <f>IF($A1161="","",N1161&amp;"|"&amp;$F1161)</f>
        <v/>
      </c>
      <c r="P1161" s="94">
        <f>IF($A1161="",0,$H1161*설정!$C$23)</f>
        <v/>
      </c>
      <c r="Q1161" s="64">
        <f>IF($A1161="","",IF(O1161&lt;&gt;원인분석!$C$9,"",IF(AND(M1161&gt;=원인분석!$C$10,M1161&lt;=원인분석!$C$11),"당기",IF(AND(M1161&gt;=원인분석!$C$12,M1161&lt;=원인분석!$C$13),"비교",""))))</f>
        <v/>
      </c>
      <c r="R1161" s="9">
        <f>IF(Q1161="","",$K1161&amp;"")</f>
        <v/>
      </c>
      <c r="S1161" s="9">
        <f>IF(Q1161="","",IF(MATCH(R1161,$R$5:$R$100000,0)=ROW()-4,ROW(),""))</f>
        <v/>
      </c>
      <c r="T1161" s="9">
        <f>IF(Q1161="당기",ABS(P1161)+ROW()/1000000000,"")</f>
        <v/>
      </c>
      <c r="U1161" s="9">
        <f>IF(Q1161="비교",ABS(P1161)+ROW()/1000000000,"")</f>
        <v/>
      </c>
      <c r="V1161" s="64">
        <f>IF($A1161="","",IF(COUNTIF(변동분석!$E$7:$E$506,O1161)&gt;0,"Y","N"))</f>
        <v/>
      </c>
      <c r="W1161" s="64">
        <f>IF($A1161="","",IFERROR(INDEX(계정매핑!$D$5:$D$504,MATCH($F1161&amp;"",계정매핑!$A$5:$A$504,0)),"미매핑"))</f>
        <v/>
      </c>
      <c r="X1161" s="9">
        <f>IF($A1161="","",$F1161&amp;"")</f>
        <v/>
      </c>
      <c r="Y1161" s="94">
        <f>IF($A1161="",0,IF(AE1161="직접",IF(AF1161="비귀속",$P1161,0),$P1161*(1-AG1161)*IFERROR(INDEX(계정대체기준!$F$20:$F$49,MATCH($N1161,계정대체기준!$A$20:$A$49,0)),1)))</f>
        <v/>
      </c>
      <c r="Z1161" s="94">
        <f>IF($A1161="",0,IF(AE1161="직접",IF(AF1161="신계약비",$P1161,0),$P1161*(1-AG1161)*IFERROR(INDEX(계정대체기준!$C$20:$C$49,MATCH($N1161,계정대체기준!$A$20:$A$49,0)),0)))</f>
        <v/>
      </c>
      <c r="AA1161" s="94">
        <f>IF($A1161="",0,IF(AE1161="직접",IF(OR(AF1161="유지비",AF1161="손해조사비"),$P1161,0),$P1161*(1-AG1161)*IFERROR(INDEX(계정대체기준!$D$20:$D$49,MATCH($N1161,계정대체기준!$A$20:$A$49,0)),0)))</f>
        <v/>
      </c>
      <c r="AB1161" s="94">
        <f>IF($A1161="",0,IF(AE1161="직접",IF(AF1161="수금비",$P1161,0),$P1161*(1-AG1161)*IFERROR(INDEX(계정대체기준!$E$20:$E$49,MATCH($N1161,계정대체기준!$A$20:$A$49,0)),0)))</f>
        <v/>
      </c>
      <c r="AC1161" s="9">
        <f>IF(AND($A1161&lt;&gt;"",M1161=설정!$C$20,Z1161&gt;0),Z1161+ROW()/1000000000,"")</f>
        <v/>
      </c>
      <c r="AD1161" s="94">
        <f>IF($A1161="",0,$P1161*AG1161)</f>
        <v/>
      </c>
      <c r="AE1161" s="64">
        <f>IF($A1161="","",IFERROR(INDEX(계정매핑!$E$5:$E$504,MATCH($F1161&amp;"",계정매핑!$A$5:$A$504,0))&amp;"","공통비"))</f>
        <v/>
      </c>
      <c r="AF1161" s="64">
        <f>IF($A1161="","",IF(AE1161="직접",IFERROR(INDEX(계정매핑!$F$5:$F$504,MATCH($F1161&amp;"",계정매핑!$A$5:$A$504,0))&amp;"","비귀속"),""))</f>
        <v/>
      </c>
      <c r="AG1161" s="96">
        <f>IF($A1161="",0,IF(AND(AE1161&lt;&gt;"직접",IFERROR(INDEX(계정매핑!$G$5:$G$504,MATCH($F1161&amp;"",계정매핑!$A$5:$A$504,0))&amp;"","")="유지비",COUNTIF(계정대체기준!$A$6:$A$15,$N1161)&gt;0),IFERROR(INDEX(계정대체기준!$E$6:$E$15,MATCH(VALUE($A1161&amp;""),계정대체기준!$D$6:$D$15,0)),0),0))</f>
        <v/>
      </c>
      <c r="AH1161" s="64">
        <f>IF($A1161="","",IF(AD1161=0,"",IF(OR(COUNTIF(계정대체기준!$A$77:$A$86,$N1161)&gt;0,ISNUMBER(MATCH($X1161,계정대체기준!$D$77:$D$86,0)),ISNUMBER(MATCH($F1161,계정대체기준!$D$77:$D$86,0))),"Y","N")))</f>
        <v/>
      </c>
    </row>
    <row r="1162">
      <c r="A1162" s="92" t="n">
        <v>2025</v>
      </c>
      <c r="B1162" s="92" t="n">
        <v>6</v>
      </c>
      <c r="C1162" s="92" t="inlineStr">
        <is>
          <t>5100001158</t>
        </is>
      </c>
      <c r="D1162" s="95" t="n">
        <v>45812</v>
      </c>
      <c r="E1162" s="92" t="inlineStr">
        <is>
          <t>KR</t>
        </is>
      </c>
      <c r="F1162" s="92" t="n">
        <v>62301000</v>
      </c>
      <c r="G1162" s="92" t="n">
        <v>1101</v>
      </c>
      <c r="H1162" s="93" t="n">
        <v>310000</v>
      </c>
      <c r="I1162" s="92" t="inlineStr">
        <is>
          <t>6월 소모품 구입 - R문구</t>
        </is>
      </c>
      <c r="J1162" s="92" t="inlineStr">
        <is>
          <t>V10022</t>
        </is>
      </c>
      <c r="K1162" s="92" t="inlineStr">
        <is>
          <t>R문구</t>
        </is>
      </c>
      <c r="M1162" s="9">
        <f>IF($A1162="","",VALUE($A1162&amp;"")*12+VALUE($B1162&amp;""))</f>
        <v/>
      </c>
      <c r="N1162" s="64">
        <f>IF($A1162="","",IFERROR(INDEX(부서매핑!$C$5:$C$504,MATCH($G1162&amp;"",부서매핑!$A$5:$A$504,0)),"미매핑"))</f>
        <v/>
      </c>
      <c r="O1162" s="9">
        <f>IF($A1162="","",N1162&amp;"|"&amp;$F1162)</f>
        <v/>
      </c>
      <c r="P1162" s="94">
        <f>IF($A1162="",0,$H1162*설정!$C$23)</f>
        <v/>
      </c>
      <c r="Q1162" s="64">
        <f>IF($A1162="","",IF(O1162&lt;&gt;원인분석!$C$9,"",IF(AND(M1162&gt;=원인분석!$C$10,M1162&lt;=원인분석!$C$11),"당기",IF(AND(M1162&gt;=원인분석!$C$12,M1162&lt;=원인분석!$C$13),"비교",""))))</f>
        <v/>
      </c>
      <c r="R1162" s="9">
        <f>IF(Q1162="","",$K1162&amp;"")</f>
        <v/>
      </c>
      <c r="S1162" s="9">
        <f>IF(Q1162="","",IF(MATCH(R1162,$R$5:$R$100000,0)=ROW()-4,ROW(),""))</f>
        <v/>
      </c>
      <c r="T1162" s="9">
        <f>IF(Q1162="당기",ABS(P1162)+ROW()/1000000000,"")</f>
        <v/>
      </c>
      <c r="U1162" s="9">
        <f>IF(Q1162="비교",ABS(P1162)+ROW()/1000000000,"")</f>
        <v/>
      </c>
      <c r="V1162" s="64">
        <f>IF($A1162="","",IF(COUNTIF(변동분석!$E$7:$E$506,O1162)&gt;0,"Y","N"))</f>
        <v/>
      </c>
      <c r="W1162" s="64">
        <f>IF($A1162="","",IFERROR(INDEX(계정매핑!$D$5:$D$504,MATCH($F1162&amp;"",계정매핑!$A$5:$A$504,0)),"미매핑"))</f>
        <v/>
      </c>
      <c r="X1162" s="9">
        <f>IF($A1162="","",$F1162&amp;"")</f>
        <v/>
      </c>
      <c r="Y1162" s="94">
        <f>IF($A1162="",0,IF(AE1162="직접",IF(AF1162="비귀속",$P1162,0),$P1162*(1-AG1162)*IFERROR(INDEX(계정대체기준!$F$20:$F$49,MATCH($N1162,계정대체기준!$A$20:$A$49,0)),1)))</f>
        <v/>
      </c>
      <c r="Z1162" s="94">
        <f>IF($A1162="",0,IF(AE1162="직접",IF(AF1162="신계약비",$P1162,0),$P1162*(1-AG1162)*IFERROR(INDEX(계정대체기준!$C$20:$C$49,MATCH($N1162,계정대체기준!$A$20:$A$49,0)),0)))</f>
        <v/>
      </c>
      <c r="AA1162" s="94">
        <f>IF($A1162="",0,IF(AE1162="직접",IF(OR(AF1162="유지비",AF1162="손해조사비"),$P1162,0),$P1162*(1-AG1162)*IFERROR(INDEX(계정대체기준!$D$20:$D$49,MATCH($N1162,계정대체기준!$A$20:$A$49,0)),0)))</f>
        <v/>
      </c>
      <c r="AB1162" s="94">
        <f>IF($A1162="",0,IF(AE1162="직접",IF(AF1162="수금비",$P1162,0),$P1162*(1-AG1162)*IFERROR(INDEX(계정대체기준!$E$20:$E$49,MATCH($N1162,계정대체기준!$A$20:$A$49,0)),0)))</f>
        <v/>
      </c>
      <c r="AC1162" s="9">
        <f>IF(AND($A1162&lt;&gt;"",M1162=설정!$C$20,Z1162&gt;0),Z1162+ROW()/1000000000,"")</f>
        <v/>
      </c>
      <c r="AD1162" s="94">
        <f>IF($A1162="",0,$P1162*AG1162)</f>
        <v/>
      </c>
      <c r="AE1162" s="64">
        <f>IF($A1162="","",IFERROR(INDEX(계정매핑!$E$5:$E$504,MATCH($F1162&amp;"",계정매핑!$A$5:$A$504,0))&amp;"","공통비"))</f>
        <v/>
      </c>
      <c r="AF1162" s="64">
        <f>IF($A1162="","",IF(AE1162="직접",IFERROR(INDEX(계정매핑!$F$5:$F$504,MATCH($F1162&amp;"",계정매핑!$A$5:$A$504,0))&amp;"","비귀속"),""))</f>
        <v/>
      </c>
      <c r="AG1162" s="96">
        <f>IF($A1162="",0,IF(AND(AE1162&lt;&gt;"직접",IFERROR(INDEX(계정매핑!$G$5:$G$504,MATCH($F1162&amp;"",계정매핑!$A$5:$A$504,0))&amp;"","")="유지비",COUNTIF(계정대체기준!$A$6:$A$15,$N1162)&gt;0),IFERROR(INDEX(계정대체기준!$E$6:$E$15,MATCH(VALUE($A1162&amp;""),계정대체기준!$D$6:$D$15,0)),0),0))</f>
        <v/>
      </c>
      <c r="AH1162" s="64">
        <f>IF($A1162="","",IF(AD1162=0,"",IF(OR(COUNTIF(계정대체기준!$A$77:$A$86,$N1162)&gt;0,ISNUMBER(MATCH($X1162,계정대체기준!$D$77:$D$86,0)),ISNUMBER(MATCH($F1162,계정대체기준!$D$77:$D$86,0))),"Y","N")))</f>
        <v/>
      </c>
    </row>
    <row r="1163">
      <c r="A1163" s="92" t="n">
        <v>2025</v>
      </c>
      <c r="B1163" s="92" t="n">
        <v>6</v>
      </c>
      <c r="C1163" s="92" t="inlineStr">
        <is>
          <t>5100001159</t>
        </is>
      </c>
      <c r="D1163" s="95" t="n">
        <v>45812</v>
      </c>
      <c r="E1163" s="92" t="inlineStr">
        <is>
          <t>KR</t>
        </is>
      </c>
      <c r="F1163" s="92" t="n">
        <v>62301000</v>
      </c>
      <c r="G1163" s="92" t="n">
        <v>1201</v>
      </c>
      <c r="H1163" s="93" t="n">
        <v>170000</v>
      </c>
      <c r="I1163" s="92" t="inlineStr">
        <is>
          <t>6월 소모품 구입 - Q오피스</t>
        </is>
      </c>
      <c r="J1163" s="92" t="inlineStr">
        <is>
          <t>V10003</t>
        </is>
      </c>
      <c r="K1163" s="92" t="inlineStr">
        <is>
          <t>Q오피스</t>
        </is>
      </c>
      <c r="M1163" s="9">
        <f>IF($A1163="","",VALUE($A1163&amp;"")*12+VALUE($B1163&amp;""))</f>
        <v/>
      </c>
      <c r="N1163" s="64">
        <f>IF($A1163="","",IFERROR(INDEX(부서매핑!$C$5:$C$504,MATCH($G1163&amp;"",부서매핑!$A$5:$A$504,0)),"미매핑"))</f>
        <v/>
      </c>
      <c r="O1163" s="9">
        <f>IF($A1163="","",N1163&amp;"|"&amp;$F1163)</f>
        <v/>
      </c>
      <c r="P1163" s="94">
        <f>IF($A1163="",0,$H1163*설정!$C$23)</f>
        <v/>
      </c>
      <c r="Q1163" s="64">
        <f>IF($A1163="","",IF(O1163&lt;&gt;원인분석!$C$9,"",IF(AND(M1163&gt;=원인분석!$C$10,M1163&lt;=원인분석!$C$11),"당기",IF(AND(M1163&gt;=원인분석!$C$12,M1163&lt;=원인분석!$C$13),"비교",""))))</f>
        <v/>
      </c>
      <c r="R1163" s="9">
        <f>IF(Q1163="","",$K1163&amp;"")</f>
        <v/>
      </c>
      <c r="S1163" s="9">
        <f>IF(Q1163="","",IF(MATCH(R1163,$R$5:$R$100000,0)=ROW()-4,ROW(),""))</f>
        <v/>
      </c>
      <c r="T1163" s="9">
        <f>IF(Q1163="당기",ABS(P1163)+ROW()/1000000000,"")</f>
        <v/>
      </c>
      <c r="U1163" s="9">
        <f>IF(Q1163="비교",ABS(P1163)+ROW()/1000000000,"")</f>
        <v/>
      </c>
      <c r="V1163" s="64">
        <f>IF($A1163="","",IF(COUNTIF(변동분석!$E$7:$E$506,O1163)&gt;0,"Y","N"))</f>
        <v/>
      </c>
      <c r="W1163" s="64">
        <f>IF($A1163="","",IFERROR(INDEX(계정매핑!$D$5:$D$504,MATCH($F1163&amp;"",계정매핑!$A$5:$A$504,0)),"미매핑"))</f>
        <v/>
      </c>
      <c r="X1163" s="9">
        <f>IF($A1163="","",$F1163&amp;"")</f>
        <v/>
      </c>
      <c r="Y1163" s="94">
        <f>IF($A1163="",0,IF(AE1163="직접",IF(AF1163="비귀속",$P1163,0),$P1163*(1-AG1163)*IFERROR(INDEX(계정대체기준!$F$20:$F$49,MATCH($N1163,계정대체기준!$A$20:$A$49,0)),1)))</f>
        <v/>
      </c>
      <c r="Z1163" s="94">
        <f>IF($A1163="",0,IF(AE1163="직접",IF(AF1163="신계약비",$P1163,0),$P1163*(1-AG1163)*IFERROR(INDEX(계정대체기준!$C$20:$C$49,MATCH($N1163,계정대체기준!$A$20:$A$49,0)),0)))</f>
        <v/>
      </c>
      <c r="AA1163" s="94">
        <f>IF($A1163="",0,IF(AE1163="직접",IF(OR(AF1163="유지비",AF1163="손해조사비"),$P1163,0),$P1163*(1-AG1163)*IFERROR(INDEX(계정대체기준!$D$20:$D$49,MATCH($N1163,계정대체기준!$A$20:$A$49,0)),0)))</f>
        <v/>
      </c>
      <c r="AB1163" s="94">
        <f>IF($A1163="",0,IF(AE1163="직접",IF(AF1163="수금비",$P1163,0),$P1163*(1-AG1163)*IFERROR(INDEX(계정대체기준!$E$20:$E$49,MATCH($N1163,계정대체기준!$A$20:$A$49,0)),0)))</f>
        <v/>
      </c>
      <c r="AC1163" s="9">
        <f>IF(AND($A1163&lt;&gt;"",M1163=설정!$C$20,Z1163&gt;0),Z1163+ROW()/1000000000,"")</f>
        <v/>
      </c>
      <c r="AD1163" s="94">
        <f>IF($A1163="",0,$P1163*AG1163)</f>
        <v/>
      </c>
      <c r="AE1163" s="64">
        <f>IF($A1163="","",IFERROR(INDEX(계정매핑!$E$5:$E$504,MATCH($F1163&amp;"",계정매핑!$A$5:$A$504,0))&amp;"","공통비"))</f>
        <v/>
      </c>
      <c r="AF1163" s="64">
        <f>IF($A1163="","",IF(AE1163="직접",IFERROR(INDEX(계정매핑!$F$5:$F$504,MATCH($F1163&amp;"",계정매핑!$A$5:$A$504,0))&amp;"","비귀속"),""))</f>
        <v/>
      </c>
      <c r="AG1163" s="96">
        <f>IF($A1163="",0,IF(AND(AE1163&lt;&gt;"직접",IFERROR(INDEX(계정매핑!$G$5:$G$504,MATCH($F1163&amp;"",계정매핑!$A$5:$A$504,0))&amp;"","")="유지비",COUNTIF(계정대체기준!$A$6:$A$15,$N1163)&gt;0),IFERROR(INDEX(계정대체기준!$E$6:$E$15,MATCH(VALUE($A1163&amp;""),계정대체기준!$D$6:$D$15,0)),0),0))</f>
        <v/>
      </c>
      <c r="AH1163" s="64">
        <f>IF($A1163="","",IF(AD1163=0,"",IF(OR(COUNTIF(계정대체기준!$A$77:$A$86,$N1163)&gt;0,ISNUMBER(MATCH($X1163,계정대체기준!$D$77:$D$86,0)),ISNUMBER(MATCH($F1163,계정대체기준!$D$77:$D$86,0))),"Y","N")))</f>
        <v/>
      </c>
    </row>
    <row r="1164">
      <c r="A1164" s="92" t="n">
        <v>2025</v>
      </c>
      <c r="B1164" s="92" t="n">
        <v>6</v>
      </c>
      <c r="C1164" s="92" t="inlineStr">
        <is>
          <t>5100001160</t>
        </is>
      </c>
      <c r="D1164" s="95" t="n">
        <v>45812</v>
      </c>
      <c r="E1164" s="92" t="inlineStr">
        <is>
          <t>KR</t>
        </is>
      </c>
      <c r="F1164" s="92" t="n">
        <v>62301000</v>
      </c>
      <c r="G1164" s="92" t="n">
        <v>1401</v>
      </c>
      <c r="H1164" s="93" t="n">
        <v>185000</v>
      </c>
      <c r="I1164" s="92" t="inlineStr">
        <is>
          <t>6월 소모품 구입 - R문구</t>
        </is>
      </c>
      <c r="J1164" s="92" t="inlineStr">
        <is>
          <t>V10022</t>
        </is>
      </c>
      <c r="K1164" s="92" t="inlineStr">
        <is>
          <t>R문구</t>
        </is>
      </c>
      <c r="M1164" s="9">
        <f>IF($A1164="","",VALUE($A1164&amp;"")*12+VALUE($B1164&amp;""))</f>
        <v/>
      </c>
      <c r="N1164" s="64">
        <f>IF($A1164="","",IFERROR(INDEX(부서매핑!$C$5:$C$504,MATCH($G1164&amp;"",부서매핑!$A$5:$A$504,0)),"미매핑"))</f>
        <v/>
      </c>
      <c r="O1164" s="9">
        <f>IF($A1164="","",N1164&amp;"|"&amp;$F1164)</f>
        <v/>
      </c>
      <c r="P1164" s="94">
        <f>IF($A1164="",0,$H1164*설정!$C$23)</f>
        <v/>
      </c>
      <c r="Q1164" s="64">
        <f>IF($A1164="","",IF(O1164&lt;&gt;원인분석!$C$9,"",IF(AND(M1164&gt;=원인분석!$C$10,M1164&lt;=원인분석!$C$11),"당기",IF(AND(M1164&gt;=원인분석!$C$12,M1164&lt;=원인분석!$C$13),"비교",""))))</f>
        <v/>
      </c>
      <c r="R1164" s="9">
        <f>IF(Q1164="","",$K1164&amp;"")</f>
        <v/>
      </c>
      <c r="S1164" s="9">
        <f>IF(Q1164="","",IF(MATCH(R1164,$R$5:$R$100000,0)=ROW()-4,ROW(),""))</f>
        <v/>
      </c>
      <c r="T1164" s="9">
        <f>IF(Q1164="당기",ABS(P1164)+ROW()/1000000000,"")</f>
        <v/>
      </c>
      <c r="U1164" s="9">
        <f>IF(Q1164="비교",ABS(P1164)+ROW()/1000000000,"")</f>
        <v/>
      </c>
      <c r="V1164" s="64">
        <f>IF($A1164="","",IF(COUNTIF(변동분석!$E$7:$E$506,O1164)&gt;0,"Y","N"))</f>
        <v/>
      </c>
      <c r="W1164" s="64">
        <f>IF($A1164="","",IFERROR(INDEX(계정매핑!$D$5:$D$504,MATCH($F1164&amp;"",계정매핑!$A$5:$A$504,0)),"미매핑"))</f>
        <v/>
      </c>
      <c r="X1164" s="9">
        <f>IF($A1164="","",$F1164&amp;"")</f>
        <v/>
      </c>
      <c r="Y1164" s="94">
        <f>IF($A1164="",0,IF(AE1164="직접",IF(AF1164="비귀속",$P1164,0),$P1164*(1-AG1164)*IFERROR(INDEX(계정대체기준!$F$20:$F$49,MATCH($N1164,계정대체기준!$A$20:$A$49,0)),1)))</f>
        <v/>
      </c>
      <c r="Z1164" s="94">
        <f>IF($A1164="",0,IF(AE1164="직접",IF(AF1164="신계약비",$P1164,0),$P1164*(1-AG1164)*IFERROR(INDEX(계정대체기준!$C$20:$C$49,MATCH($N1164,계정대체기준!$A$20:$A$49,0)),0)))</f>
        <v/>
      </c>
      <c r="AA1164" s="94">
        <f>IF($A1164="",0,IF(AE1164="직접",IF(OR(AF1164="유지비",AF1164="손해조사비"),$P1164,0),$P1164*(1-AG1164)*IFERROR(INDEX(계정대체기준!$D$20:$D$49,MATCH($N1164,계정대체기준!$A$20:$A$49,0)),0)))</f>
        <v/>
      </c>
      <c r="AB1164" s="94">
        <f>IF($A1164="",0,IF(AE1164="직접",IF(AF1164="수금비",$P1164,0),$P1164*(1-AG1164)*IFERROR(INDEX(계정대체기준!$E$20:$E$49,MATCH($N1164,계정대체기준!$A$20:$A$49,0)),0)))</f>
        <v/>
      </c>
      <c r="AC1164" s="9">
        <f>IF(AND($A1164&lt;&gt;"",M1164=설정!$C$20,Z1164&gt;0),Z1164+ROW()/1000000000,"")</f>
        <v/>
      </c>
      <c r="AD1164" s="94">
        <f>IF($A1164="",0,$P1164*AG1164)</f>
        <v/>
      </c>
      <c r="AE1164" s="64">
        <f>IF($A1164="","",IFERROR(INDEX(계정매핑!$E$5:$E$504,MATCH($F1164&amp;"",계정매핑!$A$5:$A$504,0))&amp;"","공통비"))</f>
        <v/>
      </c>
      <c r="AF1164" s="64">
        <f>IF($A1164="","",IF(AE1164="직접",IFERROR(INDEX(계정매핑!$F$5:$F$504,MATCH($F1164&amp;"",계정매핑!$A$5:$A$504,0))&amp;"","비귀속"),""))</f>
        <v/>
      </c>
      <c r="AG1164" s="96">
        <f>IF($A1164="",0,IF(AND(AE1164&lt;&gt;"직접",IFERROR(INDEX(계정매핑!$G$5:$G$504,MATCH($F1164&amp;"",계정매핑!$A$5:$A$504,0))&amp;"","")="유지비",COUNTIF(계정대체기준!$A$6:$A$15,$N1164)&gt;0),IFERROR(INDEX(계정대체기준!$E$6:$E$15,MATCH(VALUE($A1164&amp;""),계정대체기준!$D$6:$D$15,0)),0),0))</f>
        <v/>
      </c>
      <c r="AH1164" s="64">
        <f>IF($A1164="","",IF(AD1164=0,"",IF(OR(COUNTIF(계정대체기준!$A$77:$A$86,$N1164)&gt;0,ISNUMBER(MATCH($X1164,계정대체기준!$D$77:$D$86,0)),ISNUMBER(MATCH($F1164,계정대체기준!$D$77:$D$86,0))),"Y","N")))</f>
        <v/>
      </c>
    </row>
    <row r="1165">
      <c r="A1165" s="92" t="n">
        <v>2025</v>
      </c>
      <c r="B1165" s="92" t="n">
        <v>6</v>
      </c>
      <c r="C1165" s="92" t="inlineStr">
        <is>
          <t>5100001161</t>
        </is>
      </c>
      <c r="D1165" s="95" t="n">
        <v>45812</v>
      </c>
      <c r="E1165" s="92" t="inlineStr">
        <is>
          <t>KR</t>
        </is>
      </c>
      <c r="F1165" s="92" t="n">
        <v>62501000</v>
      </c>
      <c r="G1165" s="92" t="n">
        <v>1601</v>
      </c>
      <c r="H1165" s="93" t="n">
        <v>947000</v>
      </c>
      <c r="I1165" s="92" t="inlineStr">
        <is>
          <t>6월 회의 다과 - (법인카드)</t>
        </is>
      </c>
      <c r="J1165" s="92" t="inlineStr">
        <is>
          <t>V10010</t>
        </is>
      </c>
      <c r="K1165" s="92" t="inlineStr">
        <is>
          <t>(법인카드)</t>
        </is>
      </c>
      <c r="M1165" s="9">
        <f>IF($A1165="","",VALUE($A1165&amp;"")*12+VALUE($B1165&amp;""))</f>
        <v/>
      </c>
      <c r="N1165" s="64">
        <f>IF($A1165="","",IFERROR(INDEX(부서매핑!$C$5:$C$504,MATCH($G1165&amp;"",부서매핑!$A$5:$A$504,0)),"미매핑"))</f>
        <v/>
      </c>
      <c r="O1165" s="9">
        <f>IF($A1165="","",N1165&amp;"|"&amp;$F1165)</f>
        <v/>
      </c>
      <c r="P1165" s="94">
        <f>IF($A1165="",0,$H1165*설정!$C$23)</f>
        <v/>
      </c>
      <c r="Q1165" s="64">
        <f>IF($A1165="","",IF(O1165&lt;&gt;원인분석!$C$9,"",IF(AND(M1165&gt;=원인분석!$C$10,M1165&lt;=원인분석!$C$11),"당기",IF(AND(M1165&gt;=원인분석!$C$12,M1165&lt;=원인분석!$C$13),"비교",""))))</f>
        <v/>
      </c>
      <c r="R1165" s="9">
        <f>IF(Q1165="","",$K1165&amp;"")</f>
        <v/>
      </c>
      <c r="S1165" s="9">
        <f>IF(Q1165="","",IF(MATCH(R1165,$R$5:$R$100000,0)=ROW()-4,ROW(),""))</f>
        <v/>
      </c>
      <c r="T1165" s="9">
        <f>IF(Q1165="당기",ABS(P1165)+ROW()/1000000000,"")</f>
        <v/>
      </c>
      <c r="U1165" s="9">
        <f>IF(Q1165="비교",ABS(P1165)+ROW()/1000000000,"")</f>
        <v/>
      </c>
      <c r="V1165" s="64">
        <f>IF($A1165="","",IF(COUNTIF(변동분석!$E$7:$E$506,O1165)&gt;0,"Y","N"))</f>
        <v/>
      </c>
      <c r="W1165" s="64">
        <f>IF($A1165="","",IFERROR(INDEX(계정매핑!$D$5:$D$504,MATCH($F1165&amp;"",계정매핑!$A$5:$A$504,0)),"미매핑"))</f>
        <v/>
      </c>
      <c r="X1165" s="9">
        <f>IF($A1165="","",$F1165&amp;"")</f>
        <v/>
      </c>
      <c r="Y1165" s="94">
        <f>IF($A1165="",0,IF(AE1165="직접",IF(AF1165="비귀속",$P1165,0),$P1165*(1-AG1165)*IFERROR(INDEX(계정대체기준!$F$20:$F$49,MATCH($N1165,계정대체기준!$A$20:$A$49,0)),1)))</f>
        <v/>
      </c>
      <c r="Z1165" s="94">
        <f>IF($A1165="",0,IF(AE1165="직접",IF(AF1165="신계약비",$P1165,0),$P1165*(1-AG1165)*IFERROR(INDEX(계정대체기준!$C$20:$C$49,MATCH($N1165,계정대체기준!$A$20:$A$49,0)),0)))</f>
        <v/>
      </c>
      <c r="AA1165" s="94">
        <f>IF($A1165="",0,IF(AE1165="직접",IF(OR(AF1165="유지비",AF1165="손해조사비"),$P1165,0),$P1165*(1-AG1165)*IFERROR(INDEX(계정대체기준!$D$20:$D$49,MATCH($N1165,계정대체기준!$A$20:$A$49,0)),0)))</f>
        <v/>
      </c>
      <c r="AB1165" s="94">
        <f>IF($A1165="",0,IF(AE1165="직접",IF(AF1165="수금비",$P1165,0),$P1165*(1-AG1165)*IFERROR(INDEX(계정대체기준!$E$20:$E$49,MATCH($N1165,계정대체기준!$A$20:$A$49,0)),0)))</f>
        <v/>
      </c>
      <c r="AC1165" s="9">
        <f>IF(AND($A1165&lt;&gt;"",M1165=설정!$C$20,Z1165&gt;0),Z1165+ROW()/1000000000,"")</f>
        <v/>
      </c>
      <c r="AD1165" s="94">
        <f>IF($A1165="",0,$P1165*AG1165)</f>
        <v/>
      </c>
      <c r="AE1165" s="64">
        <f>IF($A1165="","",IFERROR(INDEX(계정매핑!$E$5:$E$504,MATCH($F1165&amp;"",계정매핑!$A$5:$A$504,0))&amp;"","공통비"))</f>
        <v/>
      </c>
      <c r="AF1165" s="64">
        <f>IF($A1165="","",IF(AE1165="직접",IFERROR(INDEX(계정매핑!$F$5:$F$504,MATCH($F1165&amp;"",계정매핑!$A$5:$A$504,0))&amp;"","비귀속"),""))</f>
        <v/>
      </c>
      <c r="AG1165" s="96">
        <f>IF($A1165="",0,IF(AND(AE1165&lt;&gt;"직접",IFERROR(INDEX(계정매핑!$G$5:$G$504,MATCH($F1165&amp;"",계정매핑!$A$5:$A$504,0))&amp;"","")="유지비",COUNTIF(계정대체기준!$A$6:$A$15,$N1165)&gt;0),IFERROR(INDEX(계정대체기준!$E$6:$E$15,MATCH(VALUE($A1165&amp;""),계정대체기준!$D$6:$D$15,0)),0),0))</f>
        <v/>
      </c>
      <c r="AH1165" s="64">
        <f>IF($A1165="","",IF(AD1165=0,"",IF(OR(COUNTIF(계정대체기준!$A$77:$A$86,$N1165)&gt;0,ISNUMBER(MATCH($X1165,계정대체기준!$D$77:$D$86,0)),ISNUMBER(MATCH($F1165,계정대체기준!$D$77:$D$86,0))),"Y","N")))</f>
        <v/>
      </c>
    </row>
    <row r="1166">
      <c r="A1166" s="92" t="n">
        <v>2025</v>
      </c>
      <c r="B1166" s="92" t="n">
        <v>6</v>
      </c>
      <c r="C1166" s="92" t="inlineStr">
        <is>
          <t>5100001162</t>
        </is>
      </c>
      <c r="D1166" s="95" t="n">
        <v>45812</v>
      </c>
      <c r="E1166" s="92" t="inlineStr">
        <is>
          <t>KR</t>
        </is>
      </c>
      <c r="F1166" s="92" t="n">
        <v>62902000</v>
      </c>
      <c r="G1166" s="92" t="n">
        <v>1801</v>
      </c>
      <c r="H1166" s="93" t="n">
        <v>1760000</v>
      </c>
      <c r="I1166" s="92" t="inlineStr">
        <is>
          <t>6월 콜 위탁 수수료(건별)</t>
        </is>
      </c>
      <c r="J1166" s="92" t="inlineStr">
        <is>
          <t>V10016</t>
        </is>
      </c>
      <c r="K1166" s="92" t="inlineStr">
        <is>
          <t>J콜센터</t>
        </is>
      </c>
      <c r="M1166" s="9">
        <f>IF($A1166="","",VALUE($A1166&amp;"")*12+VALUE($B1166&amp;""))</f>
        <v/>
      </c>
      <c r="N1166" s="64">
        <f>IF($A1166="","",IFERROR(INDEX(부서매핑!$C$5:$C$504,MATCH($G1166&amp;"",부서매핑!$A$5:$A$504,0)),"미매핑"))</f>
        <v/>
      </c>
      <c r="O1166" s="9">
        <f>IF($A1166="","",N1166&amp;"|"&amp;$F1166)</f>
        <v/>
      </c>
      <c r="P1166" s="94">
        <f>IF($A1166="",0,$H1166*설정!$C$23)</f>
        <v/>
      </c>
      <c r="Q1166" s="64">
        <f>IF($A1166="","",IF(O1166&lt;&gt;원인분석!$C$9,"",IF(AND(M1166&gt;=원인분석!$C$10,M1166&lt;=원인분석!$C$11),"당기",IF(AND(M1166&gt;=원인분석!$C$12,M1166&lt;=원인분석!$C$13),"비교",""))))</f>
        <v/>
      </c>
      <c r="R1166" s="9">
        <f>IF(Q1166="","",$K1166&amp;"")</f>
        <v/>
      </c>
      <c r="S1166" s="9">
        <f>IF(Q1166="","",IF(MATCH(R1166,$R$5:$R$100000,0)=ROW()-4,ROW(),""))</f>
        <v/>
      </c>
      <c r="T1166" s="9">
        <f>IF(Q1166="당기",ABS(P1166)+ROW()/1000000000,"")</f>
        <v/>
      </c>
      <c r="U1166" s="9">
        <f>IF(Q1166="비교",ABS(P1166)+ROW()/1000000000,"")</f>
        <v/>
      </c>
      <c r="V1166" s="64">
        <f>IF($A1166="","",IF(COUNTIF(변동분석!$E$7:$E$506,O1166)&gt;0,"Y","N"))</f>
        <v/>
      </c>
      <c r="W1166" s="64">
        <f>IF($A1166="","",IFERROR(INDEX(계정매핑!$D$5:$D$504,MATCH($F1166&amp;"",계정매핑!$A$5:$A$504,0)),"미매핑"))</f>
        <v/>
      </c>
      <c r="X1166" s="9">
        <f>IF($A1166="","",$F1166&amp;"")</f>
        <v/>
      </c>
      <c r="Y1166" s="94">
        <f>IF($A1166="",0,IF(AE1166="직접",IF(AF1166="비귀속",$P1166,0),$P1166*(1-AG1166)*IFERROR(INDEX(계정대체기준!$F$20:$F$49,MATCH($N1166,계정대체기준!$A$20:$A$49,0)),1)))</f>
        <v/>
      </c>
      <c r="Z1166" s="94">
        <f>IF($A1166="",0,IF(AE1166="직접",IF(AF1166="신계약비",$P1166,0),$P1166*(1-AG1166)*IFERROR(INDEX(계정대체기준!$C$20:$C$49,MATCH($N1166,계정대체기준!$A$20:$A$49,0)),0)))</f>
        <v/>
      </c>
      <c r="AA1166" s="94">
        <f>IF($A1166="",0,IF(AE1166="직접",IF(OR(AF1166="유지비",AF1166="손해조사비"),$P1166,0),$P1166*(1-AG1166)*IFERROR(INDEX(계정대체기준!$D$20:$D$49,MATCH($N1166,계정대체기준!$A$20:$A$49,0)),0)))</f>
        <v/>
      </c>
      <c r="AB1166" s="94">
        <f>IF($A1166="",0,IF(AE1166="직접",IF(AF1166="수금비",$P1166,0),$P1166*(1-AG1166)*IFERROR(INDEX(계정대체기준!$E$20:$E$49,MATCH($N1166,계정대체기준!$A$20:$A$49,0)),0)))</f>
        <v/>
      </c>
      <c r="AC1166" s="9">
        <f>IF(AND($A1166&lt;&gt;"",M1166=설정!$C$20,Z1166&gt;0),Z1166+ROW()/1000000000,"")</f>
        <v/>
      </c>
      <c r="AD1166" s="94">
        <f>IF($A1166="",0,$P1166*AG1166)</f>
        <v/>
      </c>
      <c r="AE1166" s="64">
        <f>IF($A1166="","",IFERROR(INDEX(계정매핑!$E$5:$E$504,MATCH($F1166&amp;"",계정매핑!$A$5:$A$504,0))&amp;"","공통비"))</f>
        <v/>
      </c>
      <c r="AF1166" s="64">
        <f>IF($A1166="","",IF(AE1166="직접",IFERROR(INDEX(계정매핑!$F$5:$F$504,MATCH($F1166&amp;"",계정매핑!$A$5:$A$504,0))&amp;"","비귀속"),""))</f>
        <v/>
      </c>
      <c r="AG1166" s="96">
        <f>IF($A1166="",0,IF(AND(AE1166&lt;&gt;"직접",IFERROR(INDEX(계정매핑!$G$5:$G$504,MATCH($F1166&amp;"",계정매핑!$A$5:$A$504,0))&amp;"","")="유지비",COUNTIF(계정대체기준!$A$6:$A$15,$N1166)&gt;0),IFERROR(INDEX(계정대체기준!$E$6:$E$15,MATCH(VALUE($A1166&amp;""),계정대체기준!$D$6:$D$15,0)),0),0))</f>
        <v/>
      </c>
      <c r="AH1166" s="64">
        <f>IF($A1166="","",IF(AD1166=0,"",IF(OR(COUNTIF(계정대체기준!$A$77:$A$86,$N1166)&gt;0,ISNUMBER(MATCH($X1166,계정대체기준!$D$77:$D$86,0)),ISNUMBER(MATCH($F1166,계정대체기준!$D$77:$D$86,0))),"Y","N")))</f>
        <v/>
      </c>
    </row>
    <row r="1167">
      <c r="A1167" s="92" t="n">
        <v>2025</v>
      </c>
      <c r="B1167" s="92" t="n">
        <v>6</v>
      </c>
      <c r="C1167" s="92" t="inlineStr">
        <is>
          <t>5100001163</t>
        </is>
      </c>
      <c r="D1167" s="95" t="n">
        <v>45812</v>
      </c>
      <c r="E1167" s="92" t="inlineStr">
        <is>
          <t>KR</t>
        </is>
      </c>
      <c r="F1167" s="92" t="n">
        <v>62902000</v>
      </c>
      <c r="G1167" s="92" t="n">
        <v>1951</v>
      </c>
      <c r="H1167" s="93" t="n">
        <v>2540000</v>
      </c>
      <c r="I1167" s="92" t="inlineStr">
        <is>
          <t>6월 업무 위탁 수수료 - X서비스</t>
        </is>
      </c>
      <c r="J1167" s="92" t="inlineStr">
        <is>
          <t>V10020</t>
        </is>
      </c>
      <c r="K1167" s="92" t="inlineStr">
        <is>
          <t>X서비스</t>
        </is>
      </c>
      <c r="M1167" s="9">
        <f>IF($A1167="","",VALUE($A1167&amp;"")*12+VALUE($B1167&amp;""))</f>
        <v/>
      </c>
      <c r="N1167" s="64">
        <f>IF($A1167="","",IFERROR(INDEX(부서매핑!$C$5:$C$504,MATCH($G1167&amp;"",부서매핑!$A$5:$A$504,0)),"미매핑"))</f>
        <v/>
      </c>
      <c r="O1167" s="9">
        <f>IF($A1167="","",N1167&amp;"|"&amp;$F1167)</f>
        <v/>
      </c>
      <c r="P1167" s="94">
        <f>IF($A1167="",0,$H1167*설정!$C$23)</f>
        <v/>
      </c>
      <c r="Q1167" s="64">
        <f>IF($A1167="","",IF(O1167&lt;&gt;원인분석!$C$9,"",IF(AND(M1167&gt;=원인분석!$C$10,M1167&lt;=원인분석!$C$11),"당기",IF(AND(M1167&gt;=원인분석!$C$12,M1167&lt;=원인분석!$C$13),"비교",""))))</f>
        <v/>
      </c>
      <c r="R1167" s="9">
        <f>IF(Q1167="","",$K1167&amp;"")</f>
        <v/>
      </c>
      <c r="S1167" s="9">
        <f>IF(Q1167="","",IF(MATCH(R1167,$R$5:$R$100000,0)=ROW()-4,ROW(),""))</f>
        <v/>
      </c>
      <c r="T1167" s="9">
        <f>IF(Q1167="당기",ABS(P1167)+ROW()/1000000000,"")</f>
        <v/>
      </c>
      <c r="U1167" s="9">
        <f>IF(Q1167="비교",ABS(P1167)+ROW()/1000000000,"")</f>
        <v/>
      </c>
      <c r="V1167" s="64">
        <f>IF($A1167="","",IF(COUNTIF(변동분석!$E$7:$E$506,O1167)&gt;0,"Y","N"))</f>
        <v/>
      </c>
      <c r="W1167" s="64">
        <f>IF($A1167="","",IFERROR(INDEX(계정매핑!$D$5:$D$504,MATCH($F1167&amp;"",계정매핑!$A$5:$A$504,0)),"미매핑"))</f>
        <v/>
      </c>
      <c r="X1167" s="9">
        <f>IF($A1167="","",$F1167&amp;"")</f>
        <v/>
      </c>
      <c r="Y1167" s="94">
        <f>IF($A1167="",0,IF(AE1167="직접",IF(AF1167="비귀속",$P1167,0),$P1167*(1-AG1167)*IFERROR(INDEX(계정대체기준!$F$20:$F$49,MATCH($N1167,계정대체기준!$A$20:$A$49,0)),1)))</f>
        <v/>
      </c>
      <c r="Z1167" s="94">
        <f>IF($A1167="",0,IF(AE1167="직접",IF(AF1167="신계약비",$P1167,0),$P1167*(1-AG1167)*IFERROR(INDEX(계정대체기준!$C$20:$C$49,MATCH($N1167,계정대체기준!$A$20:$A$49,0)),0)))</f>
        <v/>
      </c>
      <c r="AA1167" s="94">
        <f>IF($A1167="",0,IF(AE1167="직접",IF(OR(AF1167="유지비",AF1167="손해조사비"),$P1167,0),$P1167*(1-AG1167)*IFERROR(INDEX(계정대체기준!$D$20:$D$49,MATCH($N1167,계정대체기준!$A$20:$A$49,0)),0)))</f>
        <v/>
      </c>
      <c r="AB1167" s="94">
        <f>IF($A1167="",0,IF(AE1167="직접",IF(AF1167="수금비",$P1167,0),$P1167*(1-AG1167)*IFERROR(INDEX(계정대체기준!$E$20:$E$49,MATCH($N1167,계정대체기준!$A$20:$A$49,0)),0)))</f>
        <v/>
      </c>
      <c r="AC1167" s="9">
        <f>IF(AND($A1167&lt;&gt;"",M1167=설정!$C$20,Z1167&gt;0),Z1167+ROW()/1000000000,"")</f>
        <v/>
      </c>
      <c r="AD1167" s="94">
        <f>IF($A1167="",0,$P1167*AG1167)</f>
        <v/>
      </c>
      <c r="AE1167" s="64">
        <f>IF($A1167="","",IFERROR(INDEX(계정매핑!$E$5:$E$504,MATCH($F1167&amp;"",계정매핑!$A$5:$A$504,0))&amp;"","공통비"))</f>
        <v/>
      </c>
      <c r="AF1167" s="64">
        <f>IF($A1167="","",IF(AE1167="직접",IFERROR(INDEX(계정매핑!$F$5:$F$504,MATCH($F1167&amp;"",계정매핑!$A$5:$A$504,0))&amp;"","비귀속"),""))</f>
        <v/>
      </c>
      <c r="AG1167" s="96">
        <f>IF($A1167="",0,IF(AND(AE1167&lt;&gt;"직접",IFERROR(INDEX(계정매핑!$G$5:$G$504,MATCH($F1167&amp;"",계정매핑!$A$5:$A$504,0))&amp;"","")="유지비",COUNTIF(계정대체기준!$A$6:$A$15,$N1167)&gt;0),IFERROR(INDEX(계정대체기준!$E$6:$E$15,MATCH(VALUE($A1167&amp;""),계정대체기준!$D$6:$D$15,0)),0),0))</f>
        <v/>
      </c>
      <c r="AH1167" s="64">
        <f>IF($A1167="","",IF(AD1167=0,"",IF(OR(COUNTIF(계정대체기준!$A$77:$A$86,$N1167)&gt;0,ISNUMBER(MATCH($X1167,계정대체기준!$D$77:$D$86,0)),ISNUMBER(MATCH($F1167,계정대체기준!$D$77:$D$86,0))),"Y","N")))</f>
        <v/>
      </c>
    </row>
    <row r="1168">
      <c r="A1168" s="92" t="n">
        <v>2025</v>
      </c>
      <c r="B1168" s="92" t="n">
        <v>6</v>
      </c>
      <c r="C1168" s="92" t="inlineStr">
        <is>
          <t>5100001164</t>
        </is>
      </c>
      <c r="D1168" s="95" t="n">
        <v>45813</v>
      </c>
      <c r="E1168" s="92" t="inlineStr">
        <is>
          <t>KR</t>
        </is>
      </c>
      <c r="F1168" s="92" t="n">
        <v>62101000</v>
      </c>
      <c r="G1168" s="92" t="n">
        <v>1101</v>
      </c>
      <c r="H1168" s="93" t="n">
        <v>519000</v>
      </c>
      <c r="I1168" s="92" t="inlineStr">
        <is>
          <t>6월 국내출장 - (법인카드)</t>
        </is>
      </c>
      <c r="J1168" s="92" t="inlineStr">
        <is>
          <t>V10010</t>
        </is>
      </c>
      <c r="K1168" s="92" t="inlineStr">
        <is>
          <t>(법인카드)</t>
        </is>
      </c>
      <c r="M1168" s="9">
        <f>IF($A1168="","",VALUE($A1168&amp;"")*12+VALUE($B1168&amp;""))</f>
        <v/>
      </c>
      <c r="N1168" s="64">
        <f>IF($A1168="","",IFERROR(INDEX(부서매핑!$C$5:$C$504,MATCH($G1168&amp;"",부서매핑!$A$5:$A$504,0)),"미매핑"))</f>
        <v/>
      </c>
      <c r="O1168" s="9">
        <f>IF($A1168="","",N1168&amp;"|"&amp;$F1168)</f>
        <v/>
      </c>
      <c r="P1168" s="94">
        <f>IF($A1168="",0,$H1168*설정!$C$23)</f>
        <v/>
      </c>
      <c r="Q1168" s="64">
        <f>IF($A1168="","",IF(O1168&lt;&gt;원인분석!$C$9,"",IF(AND(M1168&gt;=원인분석!$C$10,M1168&lt;=원인분석!$C$11),"당기",IF(AND(M1168&gt;=원인분석!$C$12,M1168&lt;=원인분석!$C$13),"비교",""))))</f>
        <v/>
      </c>
      <c r="R1168" s="9">
        <f>IF(Q1168="","",$K1168&amp;"")</f>
        <v/>
      </c>
      <c r="S1168" s="9">
        <f>IF(Q1168="","",IF(MATCH(R1168,$R$5:$R$100000,0)=ROW()-4,ROW(),""))</f>
        <v/>
      </c>
      <c r="T1168" s="9">
        <f>IF(Q1168="당기",ABS(P1168)+ROW()/1000000000,"")</f>
        <v/>
      </c>
      <c r="U1168" s="9">
        <f>IF(Q1168="비교",ABS(P1168)+ROW()/1000000000,"")</f>
        <v/>
      </c>
      <c r="V1168" s="64">
        <f>IF($A1168="","",IF(COUNTIF(변동분석!$E$7:$E$506,O1168)&gt;0,"Y","N"))</f>
        <v/>
      </c>
      <c r="W1168" s="64">
        <f>IF($A1168="","",IFERROR(INDEX(계정매핑!$D$5:$D$504,MATCH($F1168&amp;"",계정매핑!$A$5:$A$504,0)),"미매핑"))</f>
        <v/>
      </c>
      <c r="X1168" s="9">
        <f>IF($A1168="","",$F1168&amp;"")</f>
        <v/>
      </c>
      <c r="Y1168" s="94">
        <f>IF($A1168="",0,IF(AE1168="직접",IF(AF1168="비귀속",$P1168,0),$P1168*(1-AG1168)*IFERROR(INDEX(계정대체기준!$F$20:$F$49,MATCH($N1168,계정대체기준!$A$20:$A$49,0)),1)))</f>
        <v/>
      </c>
      <c r="Z1168" s="94">
        <f>IF($A1168="",0,IF(AE1168="직접",IF(AF1168="신계약비",$P1168,0),$P1168*(1-AG1168)*IFERROR(INDEX(계정대체기준!$C$20:$C$49,MATCH($N1168,계정대체기준!$A$20:$A$49,0)),0)))</f>
        <v/>
      </c>
      <c r="AA1168" s="94">
        <f>IF($A1168="",0,IF(AE1168="직접",IF(OR(AF1168="유지비",AF1168="손해조사비"),$P1168,0),$P1168*(1-AG1168)*IFERROR(INDEX(계정대체기준!$D$20:$D$49,MATCH($N1168,계정대체기준!$A$20:$A$49,0)),0)))</f>
        <v/>
      </c>
      <c r="AB1168" s="94">
        <f>IF($A1168="",0,IF(AE1168="직접",IF(AF1168="수금비",$P1168,0),$P1168*(1-AG1168)*IFERROR(INDEX(계정대체기준!$E$20:$E$49,MATCH($N1168,계정대체기준!$A$20:$A$49,0)),0)))</f>
        <v/>
      </c>
      <c r="AC1168" s="9">
        <f>IF(AND($A1168&lt;&gt;"",M1168=설정!$C$20,Z1168&gt;0),Z1168+ROW()/1000000000,"")</f>
        <v/>
      </c>
      <c r="AD1168" s="94">
        <f>IF($A1168="",0,$P1168*AG1168)</f>
        <v/>
      </c>
      <c r="AE1168" s="64">
        <f>IF($A1168="","",IFERROR(INDEX(계정매핑!$E$5:$E$504,MATCH($F1168&amp;"",계정매핑!$A$5:$A$504,0))&amp;"","공통비"))</f>
        <v/>
      </c>
      <c r="AF1168" s="64">
        <f>IF($A1168="","",IF(AE1168="직접",IFERROR(INDEX(계정매핑!$F$5:$F$504,MATCH($F1168&amp;"",계정매핑!$A$5:$A$504,0))&amp;"","비귀속"),""))</f>
        <v/>
      </c>
      <c r="AG1168" s="96">
        <f>IF($A1168="",0,IF(AND(AE1168&lt;&gt;"직접",IFERROR(INDEX(계정매핑!$G$5:$G$504,MATCH($F1168&amp;"",계정매핑!$A$5:$A$504,0))&amp;"","")="유지비",COUNTIF(계정대체기준!$A$6:$A$15,$N1168)&gt;0),IFERROR(INDEX(계정대체기준!$E$6:$E$15,MATCH(VALUE($A1168&amp;""),계정대체기준!$D$6:$D$15,0)),0),0))</f>
        <v/>
      </c>
      <c r="AH1168" s="64">
        <f>IF($A1168="","",IF(AD1168=0,"",IF(OR(COUNTIF(계정대체기준!$A$77:$A$86,$N1168)&gt;0,ISNUMBER(MATCH($X1168,계정대체기준!$D$77:$D$86,0)),ISNUMBER(MATCH($F1168,계정대체기준!$D$77:$D$86,0))),"Y","N")))</f>
        <v/>
      </c>
    </row>
    <row r="1169">
      <c r="A1169" s="92" t="n">
        <v>2025</v>
      </c>
      <c r="B1169" s="92" t="n">
        <v>6</v>
      </c>
      <c r="C1169" s="92" t="inlineStr">
        <is>
          <t>5100001165</t>
        </is>
      </c>
      <c r="D1169" s="95" t="n">
        <v>45813</v>
      </c>
      <c r="E1169" s="92" t="inlineStr">
        <is>
          <t>KR</t>
        </is>
      </c>
      <c r="F1169" s="92" t="n">
        <v>62101000</v>
      </c>
      <c r="G1169" s="92" t="n">
        <v>1301</v>
      </c>
      <c r="H1169" s="93" t="n">
        <v>303000</v>
      </c>
      <c r="I1169" s="92" t="inlineStr">
        <is>
          <t>6월 국내출장 - L여행사</t>
        </is>
      </c>
      <c r="J1169" s="92" t="inlineStr">
        <is>
          <t>V10018</t>
        </is>
      </c>
      <c r="K1169" s="92" t="inlineStr">
        <is>
          <t>L여행사</t>
        </is>
      </c>
      <c r="M1169" s="9">
        <f>IF($A1169="","",VALUE($A1169&amp;"")*12+VALUE($B1169&amp;""))</f>
        <v/>
      </c>
      <c r="N1169" s="64">
        <f>IF($A1169="","",IFERROR(INDEX(부서매핑!$C$5:$C$504,MATCH($G1169&amp;"",부서매핑!$A$5:$A$504,0)),"미매핑"))</f>
        <v/>
      </c>
      <c r="O1169" s="9">
        <f>IF($A1169="","",N1169&amp;"|"&amp;$F1169)</f>
        <v/>
      </c>
      <c r="P1169" s="94">
        <f>IF($A1169="",0,$H1169*설정!$C$23)</f>
        <v/>
      </c>
      <c r="Q1169" s="64">
        <f>IF($A1169="","",IF(O1169&lt;&gt;원인분석!$C$9,"",IF(AND(M1169&gt;=원인분석!$C$10,M1169&lt;=원인분석!$C$11),"당기",IF(AND(M1169&gt;=원인분석!$C$12,M1169&lt;=원인분석!$C$13),"비교",""))))</f>
        <v/>
      </c>
      <c r="R1169" s="9">
        <f>IF(Q1169="","",$K1169&amp;"")</f>
        <v/>
      </c>
      <c r="S1169" s="9">
        <f>IF(Q1169="","",IF(MATCH(R1169,$R$5:$R$100000,0)=ROW()-4,ROW(),""))</f>
        <v/>
      </c>
      <c r="T1169" s="9">
        <f>IF(Q1169="당기",ABS(P1169)+ROW()/1000000000,"")</f>
        <v/>
      </c>
      <c r="U1169" s="9">
        <f>IF(Q1169="비교",ABS(P1169)+ROW()/1000000000,"")</f>
        <v/>
      </c>
      <c r="V1169" s="64">
        <f>IF($A1169="","",IF(COUNTIF(변동분석!$E$7:$E$506,O1169)&gt;0,"Y","N"))</f>
        <v/>
      </c>
      <c r="W1169" s="64">
        <f>IF($A1169="","",IFERROR(INDEX(계정매핑!$D$5:$D$504,MATCH($F1169&amp;"",계정매핑!$A$5:$A$504,0)),"미매핑"))</f>
        <v/>
      </c>
      <c r="X1169" s="9">
        <f>IF($A1169="","",$F1169&amp;"")</f>
        <v/>
      </c>
      <c r="Y1169" s="94">
        <f>IF($A1169="",0,IF(AE1169="직접",IF(AF1169="비귀속",$P1169,0),$P1169*(1-AG1169)*IFERROR(INDEX(계정대체기준!$F$20:$F$49,MATCH($N1169,계정대체기준!$A$20:$A$49,0)),1)))</f>
        <v/>
      </c>
      <c r="Z1169" s="94">
        <f>IF($A1169="",0,IF(AE1169="직접",IF(AF1169="신계약비",$P1169,0),$P1169*(1-AG1169)*IFERROR(INDEX(계정대체기준!$C$20:$C$49,MATCH($N1169,계정대체기준!$A$20:$A$49,0)),0)))</f>
        <v/>
      </c>
      <c r="AA1169" s="94">
        <f>IF($A1169="",0,IF(AE1169="직접",IF(OR(AF1169="유지비",AF1169="손해조사비"),$P1169,0),$P1169*(1-AG1169)*IFERROR(INDEX(계정대체기준!$D$20:$D$49,MATCH($N1169,계정대체기준!$A$20:$A$49,0)),0)))</f>
        <v/>
      </c>
      <c r="AB1169" s="94">
        <f>IF($A1169="",0,IF(AE1169="직접",IF(AF1169="수금비",$P1169,0),$P1169*(1-AG1169)*IFERROR(INDEX(계정대체기준!$E$20:$E$49,MATCH($N1169,계정대체기준!$A$20:$A$49,0)),0)))</f>
        <v/>
      </c>
      <c r="AC1169" s="9">
        <f>IF(AND($A1169&lt;&gt;"",M1169=설정!$C$20,Z1169&gt;0),Z1169+ROW()/1000000000,"")</f>
        <v/>
      </c>
      <c r="AD1169" s="94">
        <f>IF($A1169="",0,$P1169*AG1169)</f>
        <v/>
      </c>
      <c r="AE1169" s="64">
        <f>IF($A1169="","",IFERROR(INDEX(계정매핑!$E$5:$E$504,MATCH($F1169&amp;"",계정매핑!$A$5:$A$504,0))&amp;"","공통비"))</f>
        <v/>
      </c>
      <c r="AF1169" s="64">
        <f>IF($A1169="","",IF(AE1169="직접",IFERROR(INDEX(계정매핑!$F$5:$F$504,MATCH($F1169&amp;"",계정매핑!$A$5:$A$504,0))&amp;"","비귀속"),""))</f>
        <v/>
      </c>
      <c r="AG1169" s="96">
        <f>IF($A1169="",0,IF(AND(AE1169&lt;&gt;"직접",IFERROR(INDEX(계정매핑!$G$5:$G$504,MATCH($F1169&amp;"",계정매핑!$A$5:$A$504,0))&amp;"","")="유지비",COUNTIF(계정대체기준!$A$6:$A$15,$N1169)&gt;0),IFERROR(INDEX(계정대체기준!$E$6:$E$15,MATCH(VALUE($A1169&amp;""),계정대체기준!$D$6:$D$15,0)),0),0))</f>
        <v/>
      </c>
      <c r="AH1169" s="64">
        <f>IF($A1169="","",IF(AD1169=0,"",IF(OR(COUNTIF(계정대체기준!$A$77:$A$86,$N1169)&gt;0,ISNUMBER(MATCH($X1169,계정대체기준!$D$77:$D$86,0)),ISNUMBER(MATCH($F1169,계정대체기준!$D$77:$D$86,0))),"Y","N")))</f>
        <v/>
      </c>
    </row>
    <row r="1170">
      <c r="A1170" s="92" t="n">
        <v>2025</v>
      </c>
      <c r="B1170" s="92" t="n">
        <v>6</v>
      </c>
      <c r="C1170" s="92" t="inlineStr">
        <is>
          <t>5100001166</t>
        </is>
      </c>
      <c r="D1170" s="95" t="n">
        <v>45813</v>
      </c>
      <c r="E1170" s="92" t="inlineStr">
        <is>
          <t>KR</t>
        </is>
      </c>
      <c r="F1170" s="92" t="n">
        <v>62102000</v>
      </c>
      <c r="G1170" s="92" t="n">
        <v>1101</v>
      </c>
      <c r="H1170" s="93" t="n">
        <v>105000</v>
      </c>
      <c r="I1170" s="92" t="inlineStr">
        <is>
          <t>6월 해외출장 - M항공</t>
        </is>
      </c>
      <c r="J1170" s="92" t="inlineStr">
        <is>
          <t>V10001</t>
        </is>
      </c>
      <c r="K1170" s="92" t="inlineStr">
        <is>
          <t>M항공</t>
        </is>
      </c>
      <c r="M1170" s="9">
        <f>IF($A1170="","",VALUE($A1170&amp;"")*12+VALUE($B1170&amp;""))</f>
        <v/>
      </c>
      <c r="N1170" s="64">
        <f>IF($A1170="","",IFERROR(INDEX(부서매핑!$C$5:$C$504,MATCH($G1170&amp;"",부서매핑!$A$5:$A$504,0)),"미매핑"))</f>
        <v/>
      </c>
      <c r="O1170" s="9">
        <f>IF($A1170="","",N1170&amp;"|"&amp;$F1170)</f>
        <v/>
      </c>
      <c r="P1170" s="94">
        <f>IF($A1170="",0,$H1170*설정!$C$23)</f>
        <v/>
      </c>
      <c r="Q1170" s="64">
        <f>IF($A1170="","",IF(O1170&lt;&gt;원인분석!$C$9,"",IF(AND(M1170&gt;=원인분석!$C$10,M1170&lt;=원인분석!$C$11),"당기",IF(AND(M1170&gt;=원인분석!$C$12,M1170&lt;=원인분석!$C$13),"비교",""))))</f>
        <v/>
      </c>
      <c r="R1170" s="9">
        <f>IF(Q1170="","",$K1170&amp;"")</f>
        <v/>
      </c>
      <c r="S1170" s="9">
        <f>IF(Q1170="","",IF(MATCH(R1170,$R$5:$R$100000,0)=ROW()-4,ROW(),""))</f>
        <v/>
      </c>
      <c r="T1170" s="9">
        <f>IF(Q1170="당기",ABS(P1170)+ROW()/1000000000,"")</f>
        <v/>
      </c>
      <c r="U1170" s="9">
        <f>IF(Q1170="비교",ABS(P1170)+ROW()/1000000000,"")</f>
        <v/>
      </c>
      <c r="V1170" s="64">
        <f>IF($A1170="","",IF(COUNTIF(변동분석!$E$7:$E$506,O1170)&gt;0,"Y","N"))</f>
        <v/>
      </c>
      <c r="W1170" s="64">
        <f>IF($A1170="","",IFERROR(INDEX(계정매핑!$D$5:$D$504,MATCH($F1170&amp;"",계정매핑!$A$5:$A$504,0)),"미매핑"))</f>
        <v/>
      </c>
      <c r="X1170" s="9">
        <f>IF($A1170="","",$F1170&amp;"")</f>
        <v/>
      </c>
      <c r="Y1170" s="94">
        <f>IF($A1170="",0,IF(AE1170="직접",IF(AF1170="비귀속",$P1170,0),$P1170*(1-AG1170)*IFERROR(INDEX(계정대체기준!$F$20:$F$49,MATCH($N1170,계정대체기준!$A$20:$A$49,0)),1)))</f>
        <v/>
      </c>
      <c r="Z1170" s="94">
        <f>IF($A1170="",0,IF(AE1170="직접",IF(AF1170="신계약비",$P1170,0),$P1170*(1-AG1170)*IFERROR(INDEX(계정대체기준!$C$20:$C$49,MATCH($N1170,계정대체기준!$A$20:$A$49,0)),0)))</f>
        <v/>
      </c>
      <c r="AA1170" s="94">
        <f>IF($A1170="",0,IF(AE1170="직접",IF(OR(AF1170="유지비",AF1170="손해조사비"),$P1170,0),$P1170*(1-AG1170)*IFERROR(INDEX(계정대체기준!$D$20:$D$49,MATCH($N1170,계정대체기준!$A$20:$A$49,0)),0)))</f>
        <v/>
      </c>
      <c r="AB1170" s="94">
        <f>IF($A1170="",0,IF(AE1170="직접",IF(AF1170="수금비",$P1170,0),$P1170*(1-AG1170)*IFERROR(INDEX(계정대체기준!$E$20:$E$49,MATCH($N1170,계정대체기준!$A$20:$A$49,0)),0)))</f>
        <v/>
      </c>
      <c r="AC1170" s="9">
        <f>IF(AND($A1170&lt;&gt;"",M1170=설정!$C$20,Z1170&gt;0),Z1170+ROW()/1000000000,"")</f>
        <v/>
      </c>
      <c r="AD1170" s="94">
        <f>IF($A1170="",0,$P1170*AG1170)</f>
        <v/>
      </c>
      <c r="AE1170" s="64">
        <f>IF($A1170="","",IFERROR(INDEX(계정매핑!$E$5:$E$504,MATCH($F1170&amp;"",계정매핑!$A$5:$A$504,0))&amp;"","공통비"))</f>
        <v/>
      </c>
      <c r="AF1170" s="64">
        <f>IF($A1170="","",IF(AE1170="직접",IFERROR(INDEX(계정매핑!$F$5:$F$504,MATCH($F1170&amp;"",계정매핑!$A$5:$A$504,0))&amp;"","비귀속"),""))</f>
        <v/>
      </c>
      <c r="AG1170" s="96">
        <f>IF($A1170="",0,IF(AND(AE1170&lt;&gt;"직접",IFERROR(INDEX(계정매핑!$G$5:$G$504,MATCH($F1170&amp;"",계정매핑!$A$5:$A$504,0))&amp;"","")="유지비",COUNTIF(계정대체기준!$A$6:$A$15,$N1170)&gt;0),IFERROR(INDEX(계정대체기준!$E$6:$E$15,MATCH(VALUE($A1170&amp;""),계정대체기준!$D$6:$D$15,0)),0),0))</f>
        <v/>
      </c>
      <c r="AH1170" s="64">
        <f>IF($A1170="","",IF(AD1170=0,"",IF(OR(COUNTIF(계정대체기준!$A$77:$A$86,$N1170)&gt;0,ISNUMBER(MATCH($X1170,계정대체기준!$D$77:$D$86,0)),ISNUMBER(MATCH($F1170,계정대체기준!$D$77:$D$86,0))),"Y","N")))</f>
        <v/>
      </c>
    </row>
    <row r="1171">
      <c r="A1171" s="92" t="n">
        <v>2025</v>
      </c>
      <c r="B1171" s="92" t="n">
        <v>6</v>
      </c>
      <c r="C1171" s="92" t="inlineStr">
        <is>
          <t>5100001167</t>
        </is>
      </c>
      <c r="D1171" s="95" t="n">
        <v>45813</v>
      </c>
      <c r="E1171" s="92" t="inlineStr">
        <is>
          <t>KR</t>
        </is>
      </c>
      <c r="F1171" s="92" t="n">
        <v>62201000</v>
      </c>
      <c r="G1171" s="92" t="n">
        <v>1502</v>
      </c>
      <c r="H1171" s="93" t="n">
        <v>346000</v>
      </c>
      <c r="I1171" s="92" t="inlineStr">
        <is>
          <t>6월 통신요금 - O텔레콤</t>
        </is>
      </c>
      <c r="J1171" s="92" t="inlineStr">
        <is>
          <t>V10002</t>
        </is>
      </c>
      <c r="K1171" s="92" t="inlineStr">
        <is>
          <t>O텔레콤</t>
        </is>
      </c>
      <c r="M1171" s="9">
        <f>IF($A1171="","",VALUE($A1171&amp;"")*12+VALUE($B1171&amp;""))</f>
        <v/>
      </c>
      <c r="N1171" s="64">
        <f>IF($A1171="","",IFERROR(INDEX(부서매핑!$C$5:$C$504,MATCH($G1171&amp;"",부서매핑!$A$5:$A$504,0)),"미매핑"))</f>
        <v/>
      </c>
      <c r="O1171" s="9">
        <f>IF($A1171="","",N1171&amp;"|"&amp;$F1171)</f>
        <v/>
      </c>
      <c r="P1171" s="94">
        <f>IF($A1171="",0,$H1171*설정!$C$23)</f>
        <v/>
      </c>
      <c r="Q1171" s="64">
        <f>IF($A1171="","",IF(O1171&lt;&gt;원인분석!$C$9,"",IF(AND(M1171&gt;=원인분석!$C$10,M1171&lt;=원인분석!$C$11),"당기",IF(AND(M1171&gt;=원인분석!$C$12,M1171&lt;=원인분석!$C$13),"비교",""))))</f>
        <v/>
      </c>
      <c r="R1171" s="9">
        <f>IF(Q1171="","",$K1171&amp;"")</f>
        <v/>
      </c>
      <c r="S1171" s="9">
        <f>IF(Q1171="","",IF(MATCH(R1171,$R$5:$R$100000,0)=ROW()-4,ROW(),""))</f>
        <v/>
      </c>
      <c r="T1171" s="9">
        <f>IF(Q1171="당기",ABS(P1171)+ROW()/1000000000,"")</f>
        <v/>
      </c>
      <c r="U1171" s="9">
        <f>IF(Q1171="비교",ABS(P1171)+ROW()/1000000000,"")</f>
        <v/>
      </c>
      <c r="V1171" s="64">
        <f>IF($A1171="","",IF(COUNTIF(변동분석!$E$7:$E$506,O1171)&gt;0,"Y","N"))</f>
        <v/>
      </c>
      <c r="W1171" s="64">
        <f>IF($A1171="","",IFERROR(INDEX(계정매핑!$D$5:$D$504,MATCH($F1171&amp;"",계정매핑!$A$5:$A$504,0)),"미매핑"))</f>
        <v/>
      </c>
      <c r="X1171" s="9">
        <f>IF($A1171="","",$F1171&amp;"")</f>
        <v/>
      </c>
      <c r="Y1171" s="94">
        <f>IF($A1171="",0,IF(AE1171="직접",IF(AF1171="비귀속",$P1171,0),$P1171*(1-AG1171)*IFERROR(INDEX(계정대체기준!$F$20:$F$49,MATCH($N1171,계정대체기준!$A$20:$A$49,0)),1)))</f>
        <v/>
      </c>
      <c r="Z1171" s="94">
        <f>IF($A1171="",0,IF(AE1171="직접",IF(AF1171="신계약비",$P1171,0),$P1171*(1-AG1171)*IFERROR(INDEX(계정대체기준!$C$20:$C$49,MATCH($N1171,계정대체기준!$A$20:$A$49,0)),0)))</f>
        <v/>
      </c>
      <c r="AA1171" s="94">
        <f>IF($A1171="",0,IF(AE1171="직접",IF(OR(AF1171="유지비",AF1171="손해조사비"),$P1171,0),$P1171*(1-AG1171)*IFERROR(INDEX(계정대체기준!$D$20:$D$49,MATCH($N1171,계정대체기준!$A$20:$A$49,0)),0)))</f>
        <v/>
      </c>
      <c r="AB1171" s="94">
        <f>IF($A1171="",0,IF(AE1171="직접",IF(AF1171="수금비",$P1171,0),$P1171*(1-AG1171)*IFERROR(INDEX(계정대체기준!$E$20:$E$49,MATCH($N1171,계정대체기준!$A$20:$A$49,0)),0)))</f>
        <v/>
      </c>
      <c r="AC1171" s="9">
        <f>IF(AND($A1171&lt;&gt;"",M1171=설정!$C$20,Z1171&gt;0),Z1171+ROW()/1000000000,"")</f>
        <v/>
      </c>
      <c r="AD1171" s="94">
        <f>IF($A1171="",0,$P1171*AG1171)</f>
        <v/>
      </c>
      <c r="AE1171" s="64">
        <f>IF($A1171="","",IFERROR(INDEX(계정매핑!$E$5:$E$504,MATCH($F1171&amp;"",계정매핑!$A$5:$A$504,0))&amp;"","공통비"))</f>
        <v/>
      </c>
      <c r="AF1171" s="64">
        <f>IF($A1171="","",IF(AE1171="직접",IFERROR(INDEX(계정매핑!$F$5:$F$504,MATCH($F1171&amp;"",계정매핑!$A$5:$A$504,0))&amp;"","비귀속"),""))</f>
        <v/>
      </c>
      <c r="AG1171" s="96">
        <f>IF($A1171="",0,IF(AND(AE1171&lt;&gt;"직접",IFERROR(INDEX(계정매핑!$G$5:$G$504,MATCH($F1171&amp;"",계정매핑!$A$5:$A$504,0))&amp;"","")="유지비",COUNTIF(계정대체기준!$A$6:$A$15,$N1171)&gt;0),IFERROR(INDEX(계정대체기준!$E$6:$E$15,MATCH(VALUE($A1171&amp;""),계정대체기준!$D$6:$D$15,0)),0),0))</f>
        <v/>
      </c>
      <c r="AH1171" s="64">
        <f>IF($A1171="","",IF(AD1171=0,"",IF(OR(COUNTIF(계정대체기준!$A$77:$A$86,$N1171)&gt;0,ISNUMBER(MATCH($X1171,계정대체기준!$D$77:$D$86,0)),ISNUMBER(MATCH($F1171,계정대체기준!$D$77:$D$86,0))),"Y","N")))</f>
        <v/>
      </c>
    </row>
    <row r="1172">
      <c r="A1172" s="92" t="n">
        <v>2025</v>
      </c>
      <c r="B1172" s="92" t="n">
        <v>6</v>
      </c>
      <c r="C1172" s="92" t="inlineStr">
        <is>
          <t>5100001168</t>
        </is>
      </c>
      <c r="D1172" s="95" t="n">
        <v>45813</v>
      </c>
      <c r="E1172" s="92" t="inlineStr">
        <is>
          <t>KR</t>
        </is>
      </c>
      <c r="F1172" s="92" t="n">
        <v>62301000</v>
      </c>
      <c r="G1172" s="92" t="n">
        <v>1301</v>
      </c>
      <c r="H1172" s="93" t="n">
        <v>170000</v>
      </c>
      <c r="I1172" s="92" t="inlineStr">
        <is>
          <t>6월 소모품 구입 - Q오피스</t>
        </is>
      </c>
      <c r="J1172" s="92" t="inlineStr">
        <is>
          <t>V10003</t>
        </is>
      </c>
      <c r="K1172" s="92" t="inlineStr">
        <is>
          <t>Q오피스</t>
        </is>
      </c>
      <c r="M1172" s="9">
        <f>IF($A1172="","",VALUE($A1172&amp;"")*12+VALUE($B1172&amp;""))</f>
        <v/>
      </c>
      <c r="N1172" s="64">
        <f>IF($A1172="","",IFERROR(INDEX(부서매핑!$C$5:$C$504,MATCH($G1172&amp;"",부서매핑!$A$5:$A$504,0)),"미매핑"))</f>
        <v/>
      </c>
      <c r="O1172" s="9">
        <f>IF($A1172="","",N1172&amp;"|"&amp;$F1172)</f>
        <v/>
      </c>
      <c r="P1172" s="94">
        <f>IF($A1172="",0,$H1172*설정!$C$23)</f>
        <v/>
      </c>
      <c r="Q1172" s="64">
        <f>IF($A1172="","",IF(O1172&lt;&gt;원인분석!$C$9,"",IF(AND(M1172&gt;=원인분석!$C$10,M1172&lt;=원인분석!$C$11),"당기",IF(AND(M1172&gt;=원인분석!$C$12,M1172&lt;=원인분석!$C$13),"비교",""))))</f>
        <v/>
      </c>
      <c r="R1172" s="9">
        <f>IF(Q1172="","",$K1172&amp;"")</f>
        <v/>
      </c>
      <c r="S1172" s="9">
        <f>IF(Q1172="","",IF(MATCH(R1172,$R$5:$R$100000,0)=ROW()-4,ROW(),""))</f>
        <v/>
      </c>
      <c r="T1172" s="9">
        <f>IF(Q1172="당기",ABS(P1172)+ROW()/1000000000,"")</f>
        <v/>
      </c>
      <c r="U1172" s="9">
        <f>IF(Q1172="비교",ABS(P1172)+ROW()/1000000000,"")</f>
        <v/>
      </c>
      <c r="V1172" s="64">
        <f>IF($A1172="","",IF(COUNTIF(변동분석!$E$7:$E$506,O1172)&gt;0,"Y","N"))</f>
        <v/>
      </c>
      <c r="W1172" s="64">
        <f>IF($A1172="","",IFERROR(INDEX(계정매핑!$D$5:$D$504,MATCH($F1172&amp;"",계정매핑!$A$5:$A$504,0)),"미매핑"))</f>
        <v/>
      </c>
      <c r="X1172" s="9">
        <f>IF($A1172="","",$F1172&amp;"")</f>
        <v/>
      </c>
      <c r="Y1172" s="94">
        <f>IF($A1172="",0,IF(AE1172="직접",IF(AF1172="비귀속",$P1172,0),$P1172*(1-AG1172)*IFERROR(INDEX(계정대체기준!$F$20:$F$49,MATCH($N1172,계정대체기준!$A$20:$A$49,0)),1)))</f>
        <v/>
      </c>
      <c r="Z1172" s="94">
        <f>IF($A1172="",0,IF(AE1172="직접",IF(AF1172="신계약비",$P1172,0),$P1172*(1-AG1172)*IFERROR(INDEX(계정대체기준!$C$20:$C$49,MATCH($N1172,계정대체기준!$A$20:$A$49,0)),0)))</f>
        <v/>
      </c>
      <c r="AA1172" s="94">
        <f>IF($A1172="",0,IF(AE1172="직접",IF(OR(AF1172="유지비",AF1172="손해조사비"),$P1172,0),$P1172*(1-AG1172)*IFERROR(INDEX(계정대체기준!$D$20:$D$49,MATCH($N1172,계정대체기준!$A$20:$A$49,0)),0)))</f>
        <v/>
      </c>
      <c r="AB1172" s="94">
        <f>IF($A1172="",0,IF(AE1172="직접",IF(AF1172="수금비",$P1172,0),$P1172*(1-AG1172)*IFERROR(INDEX(계정대체기준!$E$20:$E$49,MATCH($N1172,계정대체기준!$A$20:$A$49,0)),0)))</f>
        <v/>
      </c>
      <c r="AC1172" s="9">
        <f>IF(AND($A1172&lt;&gt;"",M1172=설정!$C$20,Z1172&gt;0),Z1172+ROW()/1000000000,"")</f>
        <v/>
      </c>
      <c r="AD1172" s="94">
        <f>IF($A1172="",0,$P1172*AG1172)</f>
        <v/>
      </c>
      <c r="AE1172" s="64">
        <f>IF($A1172="","",IFERROR(INDEX(계정매핑!$E$5:$E$504,MATCH($F1172&amp;"",계정매핑!$A$5:$A$504,0))&amp;"","공통비"))</f>
        <v/>
      </c>
      <c r="AF1172" s="64">
        <f>IF($A1172="","",IF(AE1172="직접",IFERROR(INDEX(계정매핑!$F$5:$F$504,MATCH($F1172&amp;"",계정매핑!$A$5:$A$504,0))&amp;"","비귀속"),""))</f>
        <v/>
      </c>
      <c r="AG1172" s="96">
        <f>IF($A1172="",0,IF(AND(AE1172&lt;&gt;"직접",IFERROR(INDEX(계정매핑!$G$5:$G$504,MATCH($F1172&amp;"",계정매핑!$A$5:$A$504,0))&amp;"","")="유지비",COUNTIF(계정대체기준!$A$6:$A$15,$N1172)&gt;0),IFERROR(INDEX(계정대체기준!$E$6:$E$15,MATCH(VALUE($A1172&amp;""),계정대체기준!$D$6:$D$15,0)),0),0))</f>
        <v/>
      </c>
      <c r="AH1172" s="64">
        <f>IF($A1172="","",IF(AD1172=0,"",IF(OR(COUNTIF(계정대체기준!$A$77:$A$86,$N1172)&gt;0,ISNUMBER(MATCH($X1172,계정대체기준!$D$77:$D$86,0)),ISNUMBER(MATCH($F1172,계정대체기준!$D$77:$D$86,0))),"Y","N")))</f>
        <v/>
      </c>
    </row>
    <row r="1173">
      <c r="A1173" s="92" t="n">
        <v>2025</v>
      </c>
      <c r="B1173" s="92" t="n">
        <v>6</v>
      </c>
      <c r="C1173" s="92" t="inlineStr">
        <is>
          <t>5100001169</t>
        </is>
      </c>
      <c r="D1173" s="95" t="n">
        <v>45813</v>
      </c>
      <c r="E1173" s="92" t="inlineStr">
        <is>
          <t>KR</t>
        </is>
      </c>
      <c r="F1173" s="92" t="n">
        <v>62301000</v>
      </c>
      <c r="G1173" s="92" t="n">
        <v>1601</v>
      </c>
      <c r="H1173" s="93" t="n">
        <v>197000</v>
      </c>
      <c r="I1173" s="92" t="inlineStr">
        <is>
          <t>6월 소모품 구입 - Q오피스</t>
        </is>
      </c>
      <c r="J1173" s="92" t="inlineStr">
        <is>
          <t>V10003</t>
        </is>
      </c>
      <c r="K1173" s="92" t="inlineStr">
        <is>
          <t>Q오피스</t>
        </is>
      </c>
      <c r="M1173" s="9">
        <f>IF($A1173="","",VALUE($A1173&amp;"")*12+VALUE($B1173&amp;""))</f>
        <v/>
      </c>
      <c r="N1173" s="64">
        <f>IF($A1173="","",IFERROR(INDEX(부서매핑!$C$5:$C$504,MATCH($G1173&amp;"",부서매핑!$A$5:$A$504,0)),"미매핑"))</f>
        <v/>
      </c>
      <c r="O1173" s="9">
        <f>IF($A1173="","",N1173&amp;"|"&amp;$F1173)</f>
        <v/>
      </c>
      <c r="P1173" s="94">
        <f>IF($A1173="",0,$H1173*설정!$C$23)</f>
        <v/>
      </c>
      <c r="Q1173" s="64">
        <f>IF($A1173="","",IF(O1173&lt;&gt;원인분석!$C$9,"",IF(AND(M1173&gt;=원인분석!$C$10,M1173&lt;=원인분석!$C$11),"당기",IF(AND(M1173&gt;=원인분석!$C$12,M1173&lt;=원인분석!$C$13),"비교",""))))</f>
        <v/>
      </c>
      <c r="R1173" s="9">
        <f>IF(Q1173="","",$K1173&amp;"")</f>
        <v/>
      </c>
      <c r="S1173" s="9">
        <f>IF(Q1173="","",IF(MATCH(R1173,$R$5:$R$100000,0)=ROW()-4,ROW(),""))</f>
        <v/>
      </c>
      <c r="T1173" s="9">
        <f>IF(Q1173="당기",ABS(P1173)+ROW()/1000000000,"")</f>
        <v/>
      </c>
      <c r="U1173" s="9">
        <f>IF(Q1173="비교",ABS(P1173)+ROW()/1000000000,"")</f>
        <v/>
      </c>
      <c r="V1173" s="64">
        <f>IF($A1173="","",IF(COUNTIF(변동분석!$E$7:$E$506,O1173)&gt;0,"Y","N"))</f>
        <v/>
      </c>
      <c r="W1173" s="64">
        <f>IF($A1173="","",IFERROR(INDEX(계정매핑!$D$5:$D$504,MATCH($F1173&amp;"",계정매핑!$A$5:$A$504,0)),"미매핑"))</f>
        <v/>
      </c>
      <c r="X1173" s="9">
        <f>IF($A1173="","",$F1173&amp;"")</f>
        <v/>
      </c>
      <c r="Y1173" s="94">
        <f>IF($A1173="",0,IF(AE1173="직접",IF(AF1173="비귀속",$P1173,0),$P1173*(1-AG1173)*IFERROR(INDEX(계정대체기준!$F$20:$F$49,MATCH($N1173,계정대체기준!$A$20:$A$49,0)),1)))</f>
        <v/>
      </c>
      <c r="Z1173" s="94">
        <f>IF($A1173="",0,IF(AE1173="직접",IF(AF1173="신계약비",$P1173,0),$P1173*(1-AG1173)*IFERROR(INDEX(계정대체기준!$C$20:$C$49,MATCH($N1173,계정대체기준!$A$20:$A$49,0)),0)))</f>
        <v/>
      </c>
      <c r="AA1173" s="94">
        <f>IF($A1173="",0,IF(AE1173="직접",IF(OR(AF1173="유지비",AF1173="손해조사비"),$P1173,0),$P1173*(1-AG1173)*IFERROR(INDEX(계정대체기준!$D$20:$D$49,MATCH($N1173,계정대체기준!$A$20:$A$49,0)),0)))</f>
        <v/>
      </c>
      <c r="AB1173" s="94">
        <f>IF($A1173="",0,IF(AE1173="직접",IF(AF1173="수금비",$P1173,0),$P1173*(1-AG1173)*IFERROR(INDEX(계정대체기준!$E$20:$E$49,MATCH($N1173,계정대체기준!$A$20:$A$49,0)),0)))</f>
        <v/>
      </c>
      <c r="AC1173" s="9">
        <f>IF(AND($A1173&lt;&gt;"",M1173=설정!$C$20,Z1173&gt;0),Z1173+ROW()/1000000000,"")</f>
        <v/>
      </c>
      <c r="AD1173" s="94">
        <f>IF($A1173="",0,$P1173*AG1173)</f>
        <v/>
      </c>
      <c r="AE1173" s="64">
        <f>IF($A1173="","",IFERROR(INDEX(계정매핑!$E$5:$E$504,MATCH($F1173&amp;"",계정매핑!$A$5:$A$504,0))&amp;"","공통비"))</f>
        <v/>
      </c>
      <c r="AF1173" s="64">
        <f>IF($A1173="","",IF(AE1173="직접",IFERROR(INDEX(계정매핑!$F$5:$F$504,MATCH($F1173&amp;"",계정매핑!$A$5:$A$504,0))&amp;"","비귀속"),""))</f>
        <v/>
      </c>
      <c r="AG1173" s="96">
        <f>IF($A1173="",0,IF(AND(AE1173&lt;&gt;"직접",IFERROR(INDEX(계정매핑!$G$5:$G$504,MATCH($F1173&amp;"",계정매핑!$A$5:$A$504,0))&amp;"","")="유지비",COUNTIF(계정대체기준!$A$6:$A$15,$N1173)&gt;0),IFERROR(INDEX(계정대체기준!$E$6:$E$15,MATCH(VALUE($A1173&amp;""),계정대체기준!$D$6:$D$15,0)),0),0))</f>
        <v/>
      </c>
      <c r="AH1173" s="64">
        <f>IF($A1173="","",IF(AD1173=0,"",IF(OR(COUNTIF(계정대체기준!$A$77:$A$86,$N1173)&gt;0,ISNUMBER(MATCH($X1173,계정대체기준!$D$77:$D$86,0)),ISNUMBER(MATCH($F1173,계정대체기준!$D$77:$D$86,0))),"Y","N")))</f>
        <v/>
      </c>
    </row>
    <row r="1174">
      <c r="A1174" s="92" t="n">
        <v>2025</v>
      </c>
      <c r="B1174" s="92" t="n">
        <v>6</v>
      </c>
      <c r="C1174" s="92" t="inlineStr">
        <is>
          <t>5100001170</t>
        </is>
      </c>
      <c r="D1174" s="95" t="n">
        <v>45813</v>
      </c>
      <c r="E1174" s="92" t="inlineStr">
        <is>
          <t>KR</t>
        </is>
      </c>
      <c r="F1174" s="92" t="n">
        <v>62301000</v>
      </c>
      <c r="G1174" s="92" t="n">
        <v>1801</v>
      </c>
      <c r="H1174" s="93" t="n">
        <v>465000</v>
      </c>
      <c r="I1174" s="92" t="inlineStr">
        <is>
          <t>6월 소모품 구입 - Q오피스</t>
        </is>
      </c>
      <c r="J1174" s="92" t="inlineStr">
        <is>
          <t>V10003</t>
        </is>
      </c>
      <c r="K1174" s="92" t="inlineStr">
        <is>
          <t>Q오피스</t>
        </is>
      </c>
      <c r="M1174" s="9">
        <f>IF($A1174="","",VALUE($A1174&amp;"")*12+VALUE($B1174&amp;""))</f>
        <v/>
      </c>
      <c r="N1174" s="64">
        <f>IF($A1174="","",IFERROR(INDEX(부서매핑!$C$5:$C$504,MATCH($G1174&amp;"",부서매핑!$A$5:$A$504,0)),"미매핑"))</f>
        <v/>
      </c>
      <c r="O1174" s="9">
        <f>IF($A1174="","",N1174&amp;"|"&amp;$F1174)</f>
        <v/>
      </c>
      <c r="P1174" s="94">
        <f>IF($A1174="",0,$H1174*설정!$C$23)</f>
        <v/>
      </c>
      <c r="Q1174" s="64">
        <f>IF($A1174="","",IF(O1174&lt;&gt;원인분석!$C$9,"",IF(AND(M1174&gt;=원인분석!$C$10,M1174&lt;=원인분석!$C$11),"당기",IF(AND(M1174&gt;=원인분석!$C$12,M1174&lt;=원인분석!$C$13),"비교",""))))</f>
        <v/>
      </c>
      <c r="R1174" s="9">
        <f>IF(Q1174="","",$K1174&amp;"")</f>
        <v/>
      </c>
      <c r="S1174" s="9">
        <f>IF(Q1174="","",IF(MATCH(R1174,$R$5:$R$100000,0)=ROW()-4,ROW(),""))</f>
        <v/>
      </c>
      <c r="T1174" s="9">
        <f>IF(Q1174="당기",ABS(P1174)+ROW()/1000000000,"")</f>
        <v/>
      </c>
      <c r="U1174" s="9">
        <f>IF(Q1174="비교",ABS(P1174)+ROW()/1000000000,"")</f>
        <v/>
      </c>
      <c r="V1174" s="64">
        <f>IF($A1174="","",IF(COUNTIF(변동분석!$E$7:$E$506,O1174)&gt;0,"Y","N"))</f>
        <v/>
      </c>
      <c r="W1174" s="64">
        <f>IF($A1174="","",IFERROR(INDEX(계정매핑!$D$5:$D$504,MATCH($F1174&amp;"",계정매핑!$A$5:$A$504,0)),"미매핑"))</f>
        <v/>
      </c>
      <c r="X1174" s="9">
        <f>IF($A1174="","",$F1174&amp;"")</f>
        <v/>
      </c>
      <c r="Y1174" s="94">
        <f>IF($A1174="",0,IF(AE1174="직접",IF(AF1174="비귀속",$P1174,0),$P1174*(1-AG1174)*IFERROR(INDEX(계정대체기준!$F$20:$F$49,MATCH($N1174,계정대체기준!$A$20:$A$49,0)),1)))</f>
        <v/>
      </c>
      <c r="Z1174" s="94">
        <f>IF($A1174="",0,IF(AE1174="직접",IF(AF1174="신계약비",$P1174,0),$P1174*(1-AG1174)*IFERROR(INDEX(계정대체기준!$C$20:$C$49,MATCH($N1174,계정대체기준!$A$20:$A$49,0)),0)))</f>
        <v/>
      </c>
      <c r="AA1174" s="94">
        <f>IF($A1174="",0,IF(AE1174="직접",IF(OR(AF1174="유지비",AF1174="손해조사비"),$P1174,0),$P1174*(1-AG1174)*IFERROR(INDEX(계정대체기준!$D$20:$D$49,MATCH($N1174,계정대체기준!$A$20:$A$49,0)),0)))</f>
        <v/>
      </c>
      <c r="AB1174" s="94">
        <f>IF($A1174="",0,IF(AE1174="직접",IF(AF1174="수금비",$P1174,0),$P1174*(1-AG1174)*IFERROR(INDEX(계정대체기준!$E$20:$E$49,MATCH($N1174,계정대체기준!$A$20:$A$49,0)),0)))</f>
        <v/>
      </c>
      <c r="AC1174" s="9">
        <f>IF(AND($A1174&lt;&gt;"",M1174=설정!$C$20,Z1174&gt;0),Z1174+ROW()/1000000000,"")</f>
        <v/>
      </c>
      <c r="AD1174" s="94">
        <f>IF($A1174="",0,$P1174*AG1174)</f>
        <v/>
      </c>
      <c r="AE1174" s="64">
        <f>IF($A1174="","",IFERROR(INDEX(계정매핑!$E$5:$E$504,MATCH($F1174&amp;"",계정매핑!$A$5:$A$504,0))&amp;"","공통비"))</f>
        <v/>
      </c>
      <c r="AF1174" s="64">
        <f>IF($A1174="","",IF(AE1174="직접",IFERROR(INDEX(계정매핑!$F$5:$F$504,MATCH($F1174&amp;"",계정매핑!$A$5:$A$504,0))&amp;"","비귀속"),""))</f>
        <v/>
      </c>
      <c r="AG1174" s="96">
        <f>IF($A1174="",0,IF(AND(AE1174&lt;&gt;"직접",IFERROR(INDEX(계정매핑!$G$5:$G$504,MATCH($F1174&amp;"",계정매핑!$A$5:$A$504,0))&amp;"","")="유지비",COUNTIF(계정대체기준!$A$6:$A$15,$N1174)&gt;0),IFERROR(INDEX(계정대체기준!$E$6:$E$15,MATCH(VALUE($A1174&amp;""),계정대체기준!$D$6:$D$15,0)),0),0))</f>
        <v/>
      </c>
      <c r="AH1174" s="64">
        <f>IF($A1174="","",IF(AD1174=0,"",IF(OR(COUNTIF(계정대체기준!$A$77:$A$86,$N1174)&gt;0,ISNUMBER(MATCH($X1174,계정대체기준!$D$77:$D$86,0)),ISNUMBER(MATCH($F1174,계정대체기준!$D$77:$D$86,0))),"Y","N")))</f>
        <v/>
      </c>
    </row>
    <row r="1175">
      <c r="A1175" s="92" t="n">
        <v>2025</v>
      </c>
      <c r="B1175" s="92" t="n">
        <v>6</v>
      </c>
      <c r="C1175" s="92" t="inlineStr">
        <is>
          <t>5100001171</t>
        </is>
      </c>
      <c r="D1175" s="95" t="n">
        <v>45813</v>
      </c>
      <c r="E1175" s="92" t="inlineStr">
        <is>
          <t>KR</t>
        </is>
      </c>
      <c r="F1175" s="92" t="n">
        <v>62501000</v>
      </c>
      <c r="G1175" s="92" t="n">
        <v>1101</v>
      </c>
      <c r="H1175" s="93" t="n">
        <v>339000</v>
      </c>
      <c r="I1175" s="92" t="inlineStr">
        <is>
          <t>6월 회의 다과 - (법인카드)</t>
        </is>
      </c>
      <c r="J1175" s="92" t="inlineStr">
        <is>
          <t>V10010</t>
        </is>
      </c>
      <c r="K1175" s="92" t="inlineStr">
        <is>
          <t>(법인카드)</t>
        </is>
      </c>
      <c r="M1175" s="9">
        <f>IF($A1175="","",VALUE($A1175&amp;"")*12+VALUE($B1175&amp;""))</f>
        <v/>
      </c>
      <c r="N1175" s="64">
        <f>IF($A1175="","",IFERROR(INDEX(부서매핑!$C$5:$C$504,MATCH($G1175&amp;"",부서매핑!$A$5:$A$504,0)),"미매핑"))</f>
        <v/>
      </c>
      <c r="O1175" s="9">
        <f>IF($A1175="","",N1175&amp;"|"&amp;$F1175)</f>
        <v/>
      </c>
      <c r="P1175" s="94">
        <f>IF($A1175="",0,$H1175*설정!$C$23)</f>
        <v/>
      </c>
      <c r="Q1175" s="64">
        <f>IF($A1175="","",IF(O1175&lt;&gt;원인분석!$C$9,"",IF(AND(M1175&gt;=원인분석!$C$10,M1175&lt;=원인분석!$C$11),"당기",IF(AND(M1175&gt;=원인분석!$C$12,M1175&lt;=원인분석!$C$13),"비교",""))))</f>
        <v/>
      </c>
      <c r="R1175" s="9">
        <f>IF(Q1175="","",$K1175&amp;"")</f>
        <v/>
      </c>
      <c r="S1175" s="9">
        <f>IF(Q1175="","",IF(MATCH(R1175,$R$5:$R$100000,0)=ROW()-4,ROW(),""))</f>
        <v/>
      </c>
      <c r="T1175" s="9">
        <f>IF(Q1175="당기",ABS(P1175)+ROW()/1000000000,"")</f>
        <v/>
      </c>
      <c r="U1175" s="9">
        <f>IF(Q1175="비교",ABS(P1175)+ROW()/1000000000,"")</f>
        <v/>
      </c>
      <c r="V1175" s="64">
        <f>IF($A1175="","",IF(COUNTIF(변동분석!$E$7:$E$506,O1175)&gt;0,"Y","N"))</f>
        <v/>
      </c>
      <c r="W1175" s="64">
        <f>IF($A1175="","",IFERROR(INDEX(계정매핑!$D$5:$D$504,MATCH($F1175&amp;"",계정매핑!$A$5:$A$504,0)),"미매핑"))</f>
        <v/>
      </c>
      <c r="X1175" s="9">
        <f>IF($A1175="","",$F1175&amp;"")</f>
        <v/>
      </c>
      <c r="Y1175" s="94">
        <f>IF($A1175="",0,IF(AE1175="직접",IF(AF1175="비귀속",$P1175,0),$P1175*(1-AG1175)*IFERROR(INDEX(계정대체기준!$F$20:$F$49,MATCH($N1175,계정대체기준!$A$20:$A$49,0)),1)))</f>
        <v/>
      </c>
      <c r="Z1175" s="94">
        <f>IF($A1175="",0,IF(AE1175="직접",IF(AF1175="신계약비",$P1175,0),$P1175*(1-AG1175)*IFERROR(INDEX(계정대체기준!$C$20:$C$49,MATCH($N1175,계정대체기준!$A$20:$A$49,0)),0)))</f>
        <v/>
      </c>
      <c r="AA1175" s="94">
        <f>IF($A1175="",0,IF(AE1175="직접",IF(OR(AF1175="유지비",AF1175="손해조사비"),$P1175,0),$P1175*(1-AG1175)*IFERROR(INDEX(계정대체기준!$D$20:$D$49,MATCH($N1175,계정대체기준!$A$20:$A$49,0)),0)))</f>
        <v/>
      </c>
      <c r="AB1175" s="94">
        <f>IF($A1175="",0,IF(AE1175="직접",IF(AF1175="수금비",$P1175,0),$P1175*(1-AG1175)*IFERROR(INDEX(계정대체기준!$E$20:$E$49,MATCH($N1175,계정대체기준!$A$20:$A$49,0)),0)))</f>
        <v/>
      </c>
      <c r="AC1175" s="9">
        <f>IF(AND($A1175&lt;&gt;"",M1175=설정!$C$20,Z1175&gt;0),Z1175+ROW()/1000000000,"")</f>
        <v/>
      </c>
      <c r="AD1175" s="94">
        <f>IF($A1175="",0,$P1175*AG1175)</f>
        <v/>
      </c>
      <c r="AE1175" s="64">
        <f>IF($A1175="","",IFERROR(INDEX(계정매핑!$E$5:$E$504,MATCH($F1175&amp;"",계정매핑!$A$5:$A$504,0))&amp;"","공통비"))</f>
        <v/>
      </c>
      <c r="AF1175" s="64">
        <f>IF($A1175="","",IF(AE1175="직접",IFERROR(INDEX(계정매핑!$F$5:$F$504,MATCH($F1175&amp;"",계정매핑!$A$5:$A$504,0))&amp;"","비귀속"),""))</f>
        <v/>
      </c>
      <c r="AG1175" s="96">
        <f>IF($A1175="",0,IF(AND(AE1175&lt;&gt;"직접",IFERROR(INDEX(계정매핑!$G$5:$G$504,MATCH($F1175&amp;"",계정매핑!$A$5:$A$504,0))&amp;"","")="유지비",COUNTIF(계정대체기준!$A$6:$A$15,$N1175)&gt;0),IFERROR(INDEX(계정대체기준!$E$6:$E$15,MATCH(VALUE($A1175&amp;""),계정대체기준!$D$6:$D$15,0)),0),0))</f>
        <v/>
      </c>
      <c r="AH1175" s="64">
        <f>IF($A1175="","",IF(AD1175=0,"",IF(OR(COUNTIF(계정대체기준!$A$77:$A$86,$N1175)&gt;0,ISNUMBER(MATCH($X1175,계정대체기준!$D$77:$D$86,0)),ISNUMBER(MATCH($F1175,계정대체기준!$D$77:$D$86,0))),"Y","N")))</f>
        <v/>
      </c>
    </row>
    <row r="1176">
      <c r="A1176" s="92" t="n">
        <v>2025</v>
      </c>
      <c r="B1176" s="92" t="n">
        <v>6</v>
      </c>
      <c r="C1176" s="92" t="inlineStr">
        <is>
          <t>5100001172</t>
        </is>
      </c>
      <c r="D1176" s="95" t="n">
        <v>45813</v>
      </c>
      <c r="E1176" s="92" t="inlineStr">
        <is>
          <t>KR</t>
        </is>
      </c>
      <c r="F1176" s="92" t="n">
        <v>62501000</v>
      </c>
      <c r="G1176" s="92" t="n">
        <v>1301</v>
      </c>
      <c r="H1176" s="93" t="n">
        <v>131000</v>
      </c>
      <c r="I1176" s="92" t="inlineStr">
        <is>
          <t>6월 회의 다과 - (법인카드)</t>
        </is>
      </c>
      <c r="J1176" s="92" t="inlineStr">
        <is>
          <t>V10010</t>
        </is>
      </c>
      <c r="K1176" s="92" t="inlineStr">
        <is>
          <t>(법인카드)</t>
        </is>
      </c>
      <c r="M1176" s="9">
        <f>IF($A1176="","",VALUE($A1176&amp;"")*12+VALUE($B1176&amp;""))</f>
        <v/>
      </c>
      <c r="N1176" s="64">
        <f>IF($A1176="","",IFERROR(INDEX(부서매핑!$C$5:$C$504,MATCH($G1176&amp;"",부서매핑!$A$5:$A$504,0)),"미매핑"))</f>
        <v/>
      </c>
      <c r="O1176" s="9">
        <f>IF($A1176="","",N1176&amp;"|"&amp;$F1176)</f>
        <v/>
      </c>
      <c r="P1176" s="94">
        <f>IF($A1176="",0,$H1176*설정!$C$23)</f>
        <v/>
      </c>
      <c r="Q1176" s="64">
        <f>IF($A1176="","",IF(O1176&lt;&gt;원인분석!$C$9,"",IF(AND(M1176&gt;=원인분석!$C$10,M1176&lt;=원인분석!$C$11),"당기",IF(AND(M1176&gt;=원인분석!$C$12,M1176&lt;=원인분석!$C$13),"비교",""))))</f>
        <v/>
      </c>
      <c r="R1176" s="9">
        <f>IF(Q1176="","",$K1176&amp;"")</f>
        <v/>
      </c>
      <c r="S1176" s="9">
        <f>IF(Q1176="","",IF(MATCH(R1176,$R$5:$R$100000,0)=ROW()-4,ROW(),""))</f>
        <v/>
      </c>
      <c r="T1176" s="9">
        <f>IF(Q1176="당기",ABS(P1176)+ROW()/1000000000,"")</f>
        <v/>
      </c>
      <c r="U1176" s="9">
        <f>IF(Q1176="비교",ABS(P1176)+ROW()/1000000000,"")</f>
        <v/>
      </c>
      <c r="V1176" s="64">
        <f>IF($A1176="","",IF(COUNTIF(변동분석!$E$7:$E$506,O1176)&gt;0,"Y","N"))</f>
        <v/>
      </c>
      <c r="W1176" s="64">
        <f>IF($A1176="","",IFERROR(INDEX(계정매핑!$D$5:$D$504,MATCH($F1176&amp;"",계정매핑!$A$5:$A$504,0)),"미매핑"))</f>
        <v/>
      </c>
      <c r="X1176" s="9">
        <f>IF($A1176="","",$F1176&amp;"")</f>
        <v/>
      </c>
      <c r="Y1176" s="94">
        <f>IF($A1176="",0,IF(AE1176="직접",IF(AF1176="비귀속",$P1176,0),$P1176*(1-AG1176)*IFERROR(INDEX(계정대체기준!$F$20:$F$49,MATCH($N1176,계정대체기준!$A$20:$A$49,0)),1)))</f>
        <v/>
      </c>
      <c r="Z1176" s="94">
        <f>IF($A1176="",0,IF(AE1176="직접",IF(AF1176="신계약비",$P1176,0),$P1176*(1-AG1176)*IFERROR(INDEX(계정대체기준!$C$20:$C$49,MATCH($N1176,계정대체기준!$A$20:$A$49,0)),0)))</f>
        <v/>
      </c>
      <c r="AA1176" s="94">
        <f>IF($A1176="",0,IF(AE1176="직접",IF(OR(AF1176="유지비",AF1176="손해조사비"),$P1176,0),$P1176*(1-AG1176)*IFERROR(INDEX(계정대체기준!$D$20:$D$49,MATCH($N1176,계정대체기준!$A$20:$A$49,0)),0)))</f>
        <v/>
      </c>
      <c r="AB1176" s="94">
        <f>IF($A1176="",0,IF(AE1176="직접",IF(AF1176="수금비",$P1176,0),$P1176*(1-AG1176)*IFERROR(INDEX(계정대체기준!$E$20:$E$49,MATCH($N1176,계정대체기준!$A$20:$A$49,0)),0)))</f>
        <v/>
      </c>
      <c r="AC1176" s="9">
        <f>IF(AND($A1176&lt;&gt;"",M1176=설정!$C$20,Z1176&gt;0),Z1176+ROW()/1000000000,"")</f>
        <v/>
      </c>
      <c r="AD1176" s="94">
        <f>IF($A1176="",0,$P1176*AG1176)</f>
        <v/>
      </c>
      <c r="AE1176" s="64">
        <f>IF($A1176="","",IFERROR(INDEX(계정매핑!$E$5:$E$504,MATCH($F1176&amp;"",계정매핑!$A$5:$A$504,0))&amp;"","공통비"))</f>
        <v/>
      </c>
      <c r="AF1176" s="64">
        <f>IF($A1176="","",IF(AE1176="직접",IFERROR(INDEX(계정매핑!$F$5:$F$504,MATCH($F1176&amp;"",계정매핑!$A$5:$A$504,0))&amp;"","비귀속"),""))</f>
        <v/>
      </c>
      <c r="AG1176" s="96">
        <f>IF($A1176="",0,IF(AND(AE1176&lt;&gt;"직접",IFERROR(INDEX(계정매핑!$G$5:$G$504,MATCH($F1176&amp;"",계정매핑!$A$5:$A$504,0))&amp;"","")="유지비",COUNTIF(계정대체기준!$A$6:$A$15,$N1176)&gt;0),IFERROR(INDEX(계정대체기준!$E$6:$E$15,MATCH(VALUE($A1176&amp;""),계정대체기준!$D$6:$D$15,0)),0),0))</f>
        <v/>
      </c>
      <c r="AH1176" s="64">
        <f>IF($A1176="","",IF(AD1176=0,"",IF(OR(COUNTIF(계정대체기준!$A$77:$A$86,$N1176)&gt;0,ISNUMBER(MATCH($X1176,계정대체기준!$D$77:$D$86,0)),ISNUMBER(MATCH($F1176,계정대체기준!$D$77:$D$86,0))),"Y","N")))</f>
        <v/>
      </c>
    </row>
    <row r="1177">
      <c r="A1177" s="92" t="n">
        <v>2025</v>
      </c>
      <c r="B1177" s="92" t="n">
        <v>6</v>
      </c>
      <c r="C1177" s="92" t="inlineStr">
        <is>
          <t>5100001173</t>
        </is>
      </c>
      <c r="D1177" s="95" t="n">
        <v>45813</v>
      </c>
      <c r="E1177" s="92" t="inlineStr">
        <is>
          <t>KR</t>
        </is>
      </c>
      <c r="F1177" s="92" t="n">
        <v>62501000</v>
      </c>
      <c r="G1177" s="92" t="n">
        <v>1801</v>
      </c>
      <c r="H1177" s="93" t="n">
        <v>149000</v>
      </c>
      <c r="I1177" s="92" t="inlineStr">
        <is>
          <t>6월 회의 다과 - T케이터링</t>
        </is>
      </c>
      <c r="J1177" s="92" t="inlineStr">
        <is>
          <t>V10005</t>
        </is>
      </c>
      <c r="K1177" s="92" t="inlineStr">
        <is>
          <t>T케이터링</t>
        </is>
      </c>
      <c r="M1177" s="9">
        <f>IF($A1177="","",VALUE($A1177&amp;"")*12+VALUE($B1177&amp;""))</f>
        <v/>
      </c>
      <c r="N1177" s="64">
        <f>IF($A1177="","",IFERROR(INDEX(부서매핑!$C$5:$C$504,MATCH($G1177&amp;"",부서매핑!$A$5:$A$504,0)),"미매핑"))</f>
        <v/>
      </c>
      <c r="O1177" s="9">
        <f>IF($A1177="","",N1177&amp;"|"&amp;$F1177)</f>
        <v/>
      </c>
      <c r="P1177" s="94">
        <f>IF($A1177="",0,$H1177*설정!$C$23)</f>
        <v/>
      </c>
      <c r="Q1177" s="64">
        <f>IF($A1177="","",IF(O1177&lt;&gt;원인분석!$C$9,"",IF(AND(M1177&gt;=원인분석!$C$10,M1177&lt;=원인분석!$C$11),"당기",IF(AND(M1177&gt;=원인분석!$C$12,M1177&lt;=원인분석!$C$13),"비교",""))))</f>
        <v/>
      </c>
      <c r="R1177" s="9">
        <f>IF(Q1177="","",$K1177&amp;"")</f>
        <v/>
      </c>
      <c r="S1177" s="9">
        <f>IF(Q1177="","",IF(MATCH(R1177,$R$5:$R$100000,0)=ROW()-4,ROW(),""))</f>
        <v/>
      </c>
      <c r="T1177" s="9">
        <f>IF(Q1177="당기",ABS(P1177)+ROW()/1000000000,"")</f>
        <v/>
      </c>
      <c r="U1177" s="9">
        <f>IF(Q1177="비교",ABS(P1177)+ROW()/1000000000,"")</f>
        <v/>
      </c>
      <c r="V1177" s="64">
        <f>IF($A1177="","",IF(COUNTIF(변동분석!$E$7:$E$506,O1177)&gt;0,"Y","N"))</f>
        <v/>
      </c>
      <c r="W1177" s="64">
        <f>IF($A1177="","",IFERROR(INDEX(계정매핑!$D$5:$D$504,MATCH($F1177&amp;"",계정매핑!$A$5:$A$504,0)),"미매핑"))</f>
        <v/>
      </c>
      <c r="X1177" s="9">
        <f>IF($A1177="","",$F1177&amp;"")</f>
        <v/>
      </c>
      <c r="Y1177" s="94">
        <f>IF($A1177="",0,IF(AE1177="직접",IF(AF1177="비귀속",$P1177,0),$P1177*(1-AG1177)*IFERROR(INDEX(계정대체기준!$F$20:$F$49,MATCH($N1177,계정대체기준!$A$20:$A$49,0)),1)))</f>
        <v/>
      </c>
      <c r="Z1177" s="94">
        <f>IF($A1177="",0,IF(AE1177="직접",IF(AF1177="신계약비",$P1177,0),$P1177*(1-AG1177)*IFERROR(INDEX(계정대체기준!$C$20:$C$49,MATCH($N1177,계정대체기준!$A$20:$A$49,0)),0)))</f>
        <v/>
      </c>
      <c r="AA1177" s="94">
        <f>IF($A1177="",0,IF(AE1177="직접",IF(OR(AF1177="유지비",AF1177="손해조사비"),$P1177,0),$P1177*(1-AG1177)*IFERROR(INDEX(계정대체기준!$D$20:$D$49,MATCH($N1177,계정대체기준!$A$20:$A$49,0)),0)))</f>
        <v/>
      </c>
      <c r="AB1177" s="94">
        <f>IF($A1177="",0,IF(AE1177="직접",IF(AF1177="수금비",$P1177,0),$P1177*(1-AG1177)*IFERROR(INDEX(계정대체기준!$E$20:$E$49,MATCH($N1177,계정대체기준!$A$20:$A$49,0)),0)))</f>
        <v/>
      </c>
      <c r="AC1177" s="9">
        <f>IF(AND($A1177&lt;&gt;"",M1177=설정!$C$20,Z1177&gt;0),Z1177+ROW()/1000000000,"")</f>
        <v/>
      </c>
      <c r="AD1177" s="94">
        <f>IF($A1177="",0,$P1177*AG1177)</f>
        <v/>
      </c>
      <c r="AE1177" s="64">
        <f>IF($A1177="","",IFERROR(INDEX(계정매핑!$E$5:$E$504,MATCH($F1177&amp;"",계정매핑!$A$5:$A$504,0))&amp;"","공통비"))</f>
        <v/>
      </c>
      <c r="AF1177" s="64">
        <f>IF($A1177="","",IF(AE1177="직접",IFERROR(INDEX(계정매핑!$F$5:$F$504,MATCH($F1177&amp;"",계정매핑!$A$5:$A$504,0))&amp;"","비귀속"),""))</f>
        <v/>
      </c>
      <c r="AG1177" s="96">
        <f>IF($A1177="",0,IF(AND(AE1177&lt;&gt;"직접",IFERROR(INDEX(계정매핑!$G$5:$G$504,MATCH($F1177&amp;"",계정매핑!$A$5:$A$504,0))&amp;"","")="유지비",COUNTIF(계정대체기준!$A$6:$A$15,$N1177)&gt;0),IFERROR(INDEX(계정대체기준!$E$6:$E$15,MATCH(VALUE($A1177&amp;""),계정대체기준!$D$6:$D$15,0)),0),0))</f>
        <v/>
      </c>
      <c r="AH1177" s="64">
        <f>IF($A1177="","",IF(AD1177=0,"",IF(OR(COUNTIF(계정대체기준!$A$77:$A$86,$N1177)&gt;0,ISNUMBER(MATCH($X1177,계정대체기준!$D$77:$D$86,0)),ISNUMBER(MATCH($F1177,계정대체기준!$D$77:$D$86,0))),"Y","N")))</f>
        <v/>
      </c>
    </row>
    <row r="1178">
      <c r="A1178" s="92" t="n">
        <v>2025</v>
      </c>
      <c r="B1178" s="92" t="n">
        <v>6</v>
      </c>
      <c r="C1178" s="92" t="inlineStr">
        <is>
          <t>5100001174</t>
        </is>
      </c>
      <c r="D1178" s="95" t="n">
        <v>45813</v>
      </c>
      <c r="E1178" s="92" t="inlineStr">
        <is>
          <t>KR</t>
        </is>
      </c>
      <c r="F1178" s="92" t="n">
        <v>62901000</v>
      </c>
      <c r="G1178" s="92" t="n">
        <v>1201</v>
      </c>
      <c r="H1178" s="93" t="n">
        <v>2901000</v>
      </c>
      <c r="I1178" s="92" t="inlineStr">
        <is>
          <t>6월 자문 수수료 - K회계법인</t>
        </is>
      </c>
      <c r="J1178" s="92" t="inlineStr">
        <is>
          <t>V10011</t>
        </is>
      </c>
      <c r="K1178" s="92" t="inlineStr">
        <is>
          <t>K회계법인</t>
        </is>
      </c>
      <c r="M1178" s="9">
        <f>IF($A1178="","",VALUE($A1178&amp;"")*12+VALUE($B1178&amp;""))</f>
        <v/>
      </c>
      <c r="N1178" s="64">
        <f>IF($A1178="","",IFERROR(INDEX(부서매핑!$C$5:$C$504,MATCH($G1178&amp;"",부서매핑!$A$5:$A$504,0)),"미매핑"))</f>
        <v/>
      </c>
      <c r="O1178" s="9">
        <f>IF($A1178="","",N1178&amp;"|"&amp;$F1178)</f>
        <v/>
      </c>
      <c r="P1178" s="94">
        <f>IF($A1178="",0,$H1178*설정!$C$23)</f>
        <v/>
      </c>
      <c r="Q1178" s="64">
        <f>IF($A1178="","",IF(O1178&lt;&gt;원인분석!$C$9,"",IF(AND(M1178&gt;=원인분석!$C$10,M1178&lt;=원인분석!$C$11),"당기",IF(AND(M1178&gt;=원인분석!$C$12,M1178&lt;=원인분석!$C$13),"비교",""))))</f>
        <v/>
      </c>
      <c r="R1178" s="9">
        <f>IF(Q1178="","",$K1178&amp;"")</f>
        <v/>
      </c>
      <c r="S1178" s="9">
        <f>IF(Q1178="","",IF(MATCH(R1178,$R$5:$R$100000,0)=ROW()-4,ROW(),""))</f>
        <v/>
      </c>
      <c r="T1178" s="9">
        <f>IF(Q1178="당기",ABS(P1178)+ROW()/1000000000,"")</f>
        <v/>
      </c>
      <c r="U1178" s="9">
        <f>IF(Q1178="비교",ABS(P1178)+ROW()/1000000000,"")</f>
        <v/>
      </c>
      <c r="V1178" s="64">
        <f>IF($A1178="","",IF(COUNTIF(변동분석!$E$7:$E$506,O1178)&gt;0,"Y","N"))</f>
        <v/>
      </c>
      <c r="W1178" s="64">
        <f>IF($A1178="","",IFERROR(INDEX(계정매핑!$D$5:$D$504,MATCH($F1178&amp;"",계정매핑!$A$5:$A$504,0)),"미매핑"))</f>
        <v/>
      </c>
      <c r="X1178" s="9">
        <f>IF($A1178="","",$F1178&amp;"")</f>
        <v/>
      </c>
      <c r="Y1178" s="94">
        <f>IF($A1178="",0,IF(AE1178="직접",IF(AF1178="비귀속",$P1178,0),$P1178*(1-AG1178)*IFERROR(INDEX(계정대체기준!$F$20:$F$49,MATCH($N1178,계정대체기준!$A$20:$A$49,0)),1)))</f>
        <v/>
      </c>
      <c r="Z1178" s="94">
        <f>IF($A1178="",0,IF(AE1178="직접",IF(AF1178="신계약비",$P1178,0),$P1178*(1-AG1178)*IFERROR(INDEX(계정대체기준!$C$20:$C$49,MATCH($N1178,계정대체기준!$A$20:$A$49,0)),0)))</f>
        <v/>
      </c>
      <c r="AA1178" s="94">
        <f>IF($A1178="",0,IF(AE1178="직접",IF(OR(AF1178="유지비",AF1178="손해조사비"),$P1178,0),$P1178*(1-AG1178)*IFERROR(INDEX(계정대체기준!$D$20:$D$49,MATCH($N1178,계정대체기준!$A$20:$A$49,0)),0)))</f>
        <v/>
      </c>
      <c r="AB1178" s="94">
        <f>IF($A1178="",0,IF(AE1178="직접",IF(AF1178="수금비",$P1178,0),$P1178*(1-AG1178)*IFERROR(INDEX(계정대체기준!$E$20:$E$49,MATCH($N1178,계정대체기준!$A$20:$A$49,0)),0)))</f>
        <v/>
      </c>
      <c r="AC1178" s="9">
        <f>IF(AND($A1178&lt;&gt;"",M1178=설정!$C$20,Z1178&gt;0),Z1178+ROW()/1000000000,"")</f>
        <v/>
      </c>
      <c r="AD1178" s="94">
        <f>IF($A1178="",0,$P1178*AG1178)</f>
        <v/>
      </c>
      <c r="AE1178" s="64">
        <f>IF($A1178="","",IFERROR(INDEX(계정매핑!$E$5:$E$504,MATCH($F1178&amp;"",계정매핑!$A$5:$A$504,0))&amp;"","공통비"))</f>
        <v/>
      </c>
      <c r="AF1178" s="64">
        <f>IF($A1178="","",IF(AE1178="직접",IFERROR(INDEX(계정매핑!$F$5:$F$504,MATCH($F1178&amp;"",계정매핑!$A$5:$A$504,0))&amp;"","비귀속"),""))</f>
        <v/>
      </c>
      <c r="AG1178" s="96">
        <f>IF($A1178="",0,IF(AND(AE1178&lt;&gt;"직접",IFERROR(INDEX(계정매핑!$G$5:$G$504,MATCH($F1178&amp;"",계정매핑!$A$5:$A$504,0))&amp;"","")="유지비",COUNTIF(계정대체기준!$A$6:$A$15,$N1178)&gt;0),IFERROR(INDEX(계정대체기준!$E$6:$E$15,MATCH(VALUE($A1178&amp;""),계정대체기준!$D$6:$D$15,0)),0),0))</f>
        <v/>
      </c>
      <c r="AH1178" s="64">
        <f>IF($A1178="","",IF(AD1178=0,"",IF(OR(COUNTIF(계정대체기준!$A$77:$A$86,$N1178)&gt;0,ISNUMBER(MATCH($X1178,계정대체기준!$D$77:$D$86,0)),ISNUMBER(MATCH($F1178,계정대체기준!$D$77:$D$86,0))),"Y","N")))</f>
        <v/>
      </c>
    </row>
    <row r="1179">
      <c r="A1179" s="92" t="n">
        <v>2025</v>
      </c>
      <c r="B1179" s="92" t="n">
        <v>6</v>
      </c>
      <c r="C1179" s="92" t="inlineStr">
        <is>
          <t>5100001175</t>
        </is>
      </c>
      <c r="D1179" s="95" t="n">
        <v>45813</v>
      </c>
      <c r="E1179" s="92" t="inlineStr">
        <is>
          <t>KR</t>
        </is>
      </c>
      <c r="F1179" s="92" t="n">
        <v>62902000</v>
      </c>
      <c r="G1179" s="92" t="n">
        <v>1801</v>
      </c>
      <c r="H1179" s="93" t="n">
        <v>1770000</v>
      </c>
      <c r="I1179" s="92" t="inlineStr">
        <is>
          <t>6월 콜 위탁 수수료(건별)</t>
        </is>
      </c>
      <c r="J1179" s="92" t="inlineStr">
        <is>
          <t>V10016</t>
        </is>
      </c>
      <c r="K1179" s="92" t="inlineStr">
        <is>
          <t>J콜센터</t>
        </is>
      </c>
      <c r="M1179" s="9">
        <f>IF($A1179="","",VALUE($A1179&amp;"")*12+VALUE($B1179&amp;""))</f>
        <v/>
      </c>
      <c r="N1179" s="64">
        <f>IF($A1179="","",IFERROR(INDEX(부서매핑!$C$5:$C$504,MATCH($G1179&amp;"",부서매핑!$A$5:$A$504,0)),"미매핑"))</f>
        <v/>
      </c>
      <c r="O1179" s="9">
        <f>IF($A1179="","",N1179&amp;"|"&amp;$F1179)</f>
        <v/>
      </c>
      <c r="P1179" s="94">
        <f>IF($A1179="",0,$H1179*설정!$C$23)</f>
        <v/>
      </c>
      <c r="Q1179" s="64">
        <f>IF($A1179="","",IF(O1179&lt;&gt;원인분석!$C$9,"",IF(AND(M1179&gt;=원인분석!$C$10,M1179&lt;=원인분석!$C$11),"당기",IF(AND(M1179&gt;=원인분석!$C$12,M1179&lt;=원인분석!$C$13),"비교",""))))</f>
        <v/>
      </c>
      <c r="R1179" s="9">
        <f>IF(Q1179="","",$K1179&amp;"")</f>
        <v/>
      </c>
      <c r="S1179" s="9">
        <f>IF(Q1179="","",IF(MATCH(R1179,$R$5:$R$100000,0)=ROW()-4,ROW(),""))</f>
        <v/>
      </c>
      <c r="T1179" s="9">
        <f>IF(Q1179="당기",ABS(P1179)+ROW()/1000000000,"")</f>
        <v/>
      </c>
      <c r="U1179" s="9">
        <f>IF(Q1179="비교",ABS(P1179)+ROW()/1000000000,"")</f>
        <v/>
      </c>
      <c r="V1179" s="64">
        <f>IF($A1179="","",IF(COUNTIF(변동분석!$E$7:$E$506,O1179)&gt;0,"Y","N"))</f>
        <v/>
      </c>
      <c r="W1179" s="64">
        <f>IF($A1179="","",IFERROR(INDEX(계정매핑!$D$5:$D$504,MATCH($F1179&amp;"",계정매핑!$A$5:$A$504,0)),"미매핑"))</f>
        <v/>
      </c>
      <c r="X1179" s="9">
        <f>IF($A1179="","",$F1179&amp;"")</f>
        <v/>
      </c>
      <c r="Y1179" s="94">
        <f>IF($A1179="",0,IF(AE1179="직접",IF(AF1179="비귀속",$P1179,0),$P1179*(1-AG1179)*IFERROR(INDEX(계정대체기준!$F$20:$F$49,MATCH($N1179,계정대체기준!$A$20:$A$49,0)),1)))</f>
        <v/>
      </c>
      <c r="Z1179" s="94">
        <f>IF($A1179="",0,IF(AE1179="직접",IF(AF1179="신계약비",$P1179,0),$P1179*(1-AG1179)*IFERROR(INDEX(계정대체기준!$C$20:$C$49,MATCH($N1179,계정대체기준!$A$20:$A$49,0)),0)))</f>
        <v/>
      </c>
      <c r="AA1179" s="94">
        <f>IF($A1179="",0,IF(AE1179="직접",IF(OR(AF1179="유지비",AF1179="손해조사비"),$P1179,0),$P1179*(1-AG1179)*IFERROR(INDEX(계정대체기준!$D$20:$D$49,MATCH($N1179,계정대체기준!$A$20:$A$49,0)),0)))</f>
        <v/>
      </c>
      <c r="AB1179" s="94">
        <f>IF($A1179="",0,IF(AE1179="직접",IF(AF1179="수금비",$P1179,0),$P1179*(1-AG1179)*IFERROR(INDEX(계정대체기준!$E$20:$E$49,MATCH($N1179,계정대체기준!$A$20:$A$49,0)),0)))</f>
        <v/>
      </c>
      <c r="AC1179" s="9">
        <f>IF(AND($A1179&lt;&gt;"",M1179=설정!$C$20,Z1179&gt;0),Z1179+ROW()/1000000000,"")</f>
        <v/>
      </c>
      <c r="AD1179" s="94">
        <f>IF($A1179="",0,$P1179*AG1179)</f>
        <v/>
      </c>
      <c r="AE1179" s="64">
        <f>IF($A1179="","",IFERROR(INDEX(계정매핑!$E$5:$E$504,MATCH($F1179&amp;"",계정매핑!$A$5:$A$504,0))&amp;"","공통비"))</f>
        <v/>
      </c>
      <c r="AF1179" s="64">
        <f>IF($A1179="","",IF(AE1179="직접",IFERROR(INDEX(계정매핑!$F$5:$F$504,MATCH($F1179&amp;"",계정매핑!$A$5:$A$504,0))&amp;"","비귀속"),""))</f>
        <v/>
      </c>
      <c r="AG1179" s="96">
        <f>IF($A1179="",0,IF(AND(AE1179&lt;&gt;"직접",IFERROR(INDEX(계정매핑!$G$5:$G$504,MATCH($F1179&amp;"",계정매핑!$A$5:$A$504,0))&amp;"","")="유지비",COUNTIF(계정대체기준!$A$6:$A$15,$N1179)&gt;0),IFERROR(INDEX(계정대체기준!$E$6:$E$15,MATCH(VALUE($A1179&amp;""),계정대체기준!$D$6:$D$15,0)),0),0))</f>
        <v/>
      </c>
      <c r="AH1179" s="64">
        <f>IF($A1179="","",IF(AD1179=0,"",IF(OR(COUNTIF(계정대체기준!$A$77:$A$86,$N1179)&gt;0,ISNUMBER(MATCH($X1179,계정대체기준!$D$77:$D$86,0)),ISNUMBER(MATCH($F1179,계정대체기준!$D$77:$D$86,0))),"Y","N")))</f>
        <v/>
      </c>
    </row>
    <row r="1180">
      <c r="A1180" s="92" t="n">
        <v>2025</v>
      </c>
      <c r="B1180" s="92" t="n">
        <v>6</v>
      </c>
      <c r="C1180" s="92" t="inlineStr">
        <is>
          <t>5100001176</t>
        </is>
      </c>
      <c r="D1180" s="95" t="n">
        <v>45814</v>
      </c>
      <c r="E1180" s="92" t="inlineStr">
        <is>
          <t>KR</t>
        </is>
      </c>
      <c r="F1180" s="92" t="n">
        <v>62101000</v>
      </c>
      <c r="G1180" s="92" t="n">
        <v>1502</v>
      </c>
      <c r="H1180" s="93" t="n">
        <v>829000</v>
      </c>
      <c r="I1180" s="92" t="inlineStr">
        <is>
          <t>6월 국내출장 - L여행사</t>
        </is>
      </c>
      <c r="J1180" s="92" t="inlineStr">
        <is>
          <t>V10018</t>
        </is>
      </c>
      <c r="K1180" s="92" t="inlineStr">
        <is>
          <t>L여행사</t>
        </is>
      </c>
      <c r="M1180" s="9">
        <f>IF($A1180="","",VALUE($A1180&amp;"")*12+VALUE($B1180&amp;""))</f>
        <v/>
      </c>
      <c r="N1180" s="64">
        <f>IF($A1180="","",IFERROR(INDEX(부서매핑!$C$5:$C$504,MATCH($G1180&amp;"",부서매핑!$A$5:$A$504,0)),"미매핑"))</f>
        <v/>
      </c>
      <c r="O1180" s="9">
        <f>IF($A1180="","",N1180&amp;"|"&amp;$F1180)</f>
        <v/>
      </c>
      <c r="P1180" s="94">
        <f>IF($A1180="",0,$H1180*설정!$C$23)</f>
        <v/>
      </c>
      <c r="Q1180" s="64">
        <f>IF($A1180="","",IF(O1180&lt;&gt;원인분석!$C$9,"",IF(AND(M1180&gt;=원인분석!$C$10,M1180&lt;=원인분석!$C$11),"당기",IF(AND(M1180&gt;=원인분석!$C$12,M1180&lt;=원인분석!$C$13),"비교",""))))</f>
        <v/>
      </c>
      <c r="R1180" s="9">
        <f>IF(Q1180="","",$K1180&amp;"")</f>
        <v/>
      </c>
      <c r="S1180" s="9">
        <f>IF(Q1180="","",IF(MATCH(R1180,$R$5:$R$100000,0)=ROW()-4,ROW(),""))</f>
        <v/>
      </c>
      <c r="T1180" s="9">
        <f>IF(Q1180="당기",ABS(P1180)+ROW()/1000000000,"")</f>
        <v/>
      </c>
      <c r="U1180" s="9">
        <f>IF(Q1180="비교",ABS(P1180)+ROW()/1000000000,"")</f>
        <v/>
      </c>
      <c r="V1180" s="64">
        <f>IF($A1180="","",IF(COUNTIF(변동분석!$E$7:$E$506,O1180)&gt;0,"Y","N"))</f>
        <v/>
      </c>
      <c r="W1180" s="64">
        <f>IF($A1180="","",IFERROR(INDEX(계정매핑!$D$5:$D$504,MATCH($F1180&amp;"",계정매핑!$A$5:$A$504,0)),"미매핑"))</f>
        <v/>
      </c>
      <c r="X1180" s="9">
        <f>IF($A1180="","",$F1180&amp;"")</f>
        <v/>
      </c>
      <c r="Y1180" s="94">
        <f>IF($A1180="",0,IF(AE1180="직접",IF(AF1180="비귀속",$P1180,0),$P1180*(1-AG1180)*IFERROR(INDEX(계정대체기준!$F$20:$F$49,MATCH($N1180,계정대체기준!$A$20:$A$49,0)),1)))</f>
        <v/>
      </c>
      <c r="Z1180" s="94">
        <f>IF($A1180="",0,IF(AE1180="직접",IF(AF1180="신계약비",$P1180,0),$P1180*(1-AG1180)*IFERROR(INDEX(계정대체기준!$C$20:$C$49,MATCH($N1180,계정대체기준!$A$20:$A$49,0)),0)))</f>
        <v/>
      </c>
      <c r="AA1180" s="94">
        <f>IF($A1180="",0,IF(AE1180="직접",IF(OR(AF1180="유지비",AF1180="손해조사비"),$P1180,0),$P1180*(1-AG1180)*IFERROR(INDEX(계정대체기준!$D$20:$D$49,MATCH($N1180,계정대체기준!$A$20:$A$49,0)),0)))</f>
        <v/>
      </c>
      <c r="AB1180" s="94">
        <f>IF($A1180="",0,IF(AE1180="직접",IF(AF1180="수금비",$P1180,0),$P1180*(1-AG1180)*IFERROR(INDEX(계정대체기준!$E$20:$E$49,MATCH($N1180,계정대체기준!$A$20:$A$49,0)),0)))</f>
        <v/>
      </c>
      <c r="AC1180" s="9">
        <f>IF(AND($A1180&lt;&gt;"",M1180=설정!$C$20,Z1180&gt;0),Z1180+ROW()/1000000000,"")</f>
        <v/>
      </c>
      <c r="AD1180" s="94">
        <f>IF($A1180="",0,$P1180*AG1180)</f>
        <v/>
      </c>
      <c r="AE1180" s="64">
        <f>IF($A1180="","",IFERROR(INDEX(계정매핑!$E$5:$E$504,MATCH($F1180&amp;"",계정매핑!$A$5:$A$504,0))&amp;"","공통비"))</f>
        <v/>
      </c>
      <c r="AF1180" s="64">
        <f>IF($A1180="","",IF(AE1180="직접",IFERROR(INDEX(계정매핑!$F$5:$F$504,MATCH($F1180&amp;"",계정매핑!$A$5:$A$504,0))&amp;"","비귀속"),""))</f>
        <v/>
      </c>
      <c r="AG1180" s="96">
        <f>IF($A1180="",0,IF(AND(AE1180&lt;&gt;"직접",IFERROR(INDEX(계정매핑!$G$5:$G$504,MATCH($F1180&amp;"",계정매핑!$A$5:$A$504,0))&amp;"","")="유지비",COUNTIF(계정대체기준!$A$6:$A$15,$N1180)&gt;0),IFERROR(INDEX(계정대체기준!$E$6:$E$15,MATCH(VALUE($A1180&amp;""),계정대체기준!$D$6:$D$15,0)),0),0))</f>
        <v/>
      </c>
      <c r="AH1180" s="64">
        <f>IF($A1180="","",IF(AD1180=0,"",IF(OR(COUNTIF(계정대체기준!$A$77:$A$86,$N1180)&gt;0,ISNUMBER(MATCH($X1180,계정대체기준!$D$77:$D$86,0)),ISNUMBER(MATCH($F1180,계정대체기준!$D$77:$D$86,0))),"Y","N")))</f>
        <v/>
      </c>
    </row>
    <row r="1181">
      <c r="A1181" s="92" t="n">
        <v>2025</v>
      </c>
      <c r="B1181" s="92" t="n">
        <v>6</v>
      </c>
      <c r="C1181" s="92" t="inlineStr">
        <is>
          <t>5100001177</t>
        </is>
      </c>
      <c r="D1181" s="95" t="n">
        <v>45814</v>
      </c>
      <c r="E1181" s="92" t="inlineStr">
        <is>
          <t>KR</t>
        </is>
      </c>
      <c r="F1181" s="92" t="n">
        <v>62101000</v>
      </c>
      <c r="G1181" s="92" t="n">
        <v>1801</v>
      </c>
      <c r="H1181" s="93" t="n">
        <v>201000</v>
      </c>
      <c r="I1181" s="92" t="inlineStr">
        <is>
          <t>6월 국내출장 - (법인카드)</t>
        </is>
      </c>
      <c r="J1181" s="92" t="inlineStr">
        <is>
          <t>V10010</t>
        </is>
      </c>
      <c r="K1181" s="92" t="inlineStr">
        <is>
          <t>(법인카드)</t>
        </is>
      </c>
      <c r="M1181" s="9">
        <f>IF($A1181="","",VALUE($A1181&amp;"")*12+VALUE($B1181&amp;""))</f>
        <v/>
      </c>
      <c r="N1181" s="64">
        <f>IF($A1181="","",IFERROR(INDEX(부서매핑!$C$5:$C$504,MATCH($G1181&amp;"",부서매핑!$A$5:$A$504,0)),"미매핑"))</f>
        <v/>
      </c>
      <c r="O1181" s="9">
        <f>IF($A1181="","",N1181&amp;"|"&amp;$F1181)</f>
        <v/>
      </c>
      <c r="P1181" s="94">
        <f>IF($A1181="",0,$H1181*설정!$C$23)</f>
        <v/>
      </c>
      <c r="Q1181" s="64">
        <f>IF($A1181="","",IF(O1181&lt;&gt;원인분석!$C$9,"",IF(AND(M1181&gt;=원인분석!$C$10,M1181&lt;=원인분석!$C$11),"당기",IF(AND(M1181&gt;=원인분석!$C$12,M1181&lt;=원인분석!$C$13),"비교",""))))</f>
        <v/>
      </c>
      <c r="R1181" s="9">
        <f>IF(Q1181="","",$K1181&amp;"")</f>
        <v/>
      </c>
      <c r="S1181" s="9">
        <f>IF(Q1181="","",IF(MATCH(R1181,$R$5:$R$100000,0)=ROW()-4,ROW(),""))</f>
        <v/>
      </c>
      <c r="T1181" s="9">
        <f>IF(Q1181="당기",ABS(P1181)+ROW()/1000000000,"")</f>
        <v/>
      </c>
      <c r="U1181" s="9">
        <f>IF(Q1181="비교",ABS(P1181)+ROW()/1000000000,"")</f>
        <v/>
      </c>
      <c r="V1181" s="64">
        <f>IF($A1181="","",IF(COUNTIF(변동분석!$E$7:$E$506,O1181)&gt;0,"Y","N"))</f>
        <v/>
      </c>
      <c r="W1181" s="64">
        <f>IF($A1181="","",IFERROR(INDEX(계정매핑!$D$5:$D$504,MATCH($F1181&amp;"",계정매핑!$A$5:$A$504,0)),"미매핑"))</f>
        <v/>
      </c>
      <c r="X1181" s="9">
        <f>IF($A1181="","",$F1181&amp;"")</f>
        <v/>
      </c>
      <c r="Y1181" s="94">
        <f>IF($A1181="",0,IF(AE1181="직접",IF(AF1181="비귀속",$P1181,0),$P1181*(1-AG1181)*IFERROR(INDEX(계정대체기준!$F$20:$F$49,MATCH($N1181,계정대체기준!$A$20:$A$49,0)),1)))</f>
        <v/>
      </c>
      <c r="Z1181" s="94">
        <f>IF($A1181="",0,IF(AE1181="직접",IF(AF1181="신계약비",$P1181,0),$P1181*(1-AG1181)*IFERROR(INDEX(계정대체기준!$C$20:$C$49,MATCH($N1181,계정대체기준!$A$20:$A$49,0)),0)))</f>
        <v/>
      </c>
      <c r="AA1181" s="94">
        <f>IF($A1181="",0,IF(AE1181="직접",IF(OR(AF1181="유지비",AF1181="손해조사비"),$P1181,0),$P1181*(1-AG1181)*IFERROR(INDEX(계정대체기준!$D$20:$D$49,MATCH($N1181,계정대체기준!$A$20:$A$49,0)),0)))</f>
        <v/>
      </c>
      <c r="AB1181" s="94">
        <f>IF($A1181="",0,IF(AE1181="직접",IF(AF1181="수금비",$P1181,0),$P1181*(1-AG1181)*IFERROR(INDEX(계정대체기준!$E$20:$E$49,MATCH($N1181,계정대체기준!$A$20:$A$49,0)),0)))</f>
        <v/>
      </c>
      <c r="AC1181" s="9">
        <f>IF(AND($A1181&lt;&gt;"",M1181=설정!$C$20,Z1181&gt;0),Z1181+ROW()/1000000000,"")</f>
        <v/>
      </c>
      <c r="AD1181" s="94">
        <f>IF($A1181="",0,$P1181*AG1181)</f>
        <v/>
      </c>
      <c r="AE1181" s="64">
        <f>IF($A1181="","",IFERROR(INDEX(계정매핑!$E$5:$E$504,MATCH($F1181&amp;"",계정매핑!$A$5:$A$504,0))&amp;"","공통비"))</f>
        <v/>
      </c>
      <c r="AF1181" s="64">
        <f>IF($A1181="","",IF(AE1181="직접",IFERROR(INDEX(계정매핑!$F$5:$F$504,MATCH($F1181&amp;"",계정매핑!$A$5:$A$504,0))&amp;"","비귀속"),""))</f>
        <v/>
      </c>
      <c r="AG1181" s="96">
        <f>IF($A1181="",0,IF(AND(AE1181&lt;&gt;"직접",IFERROR(INDEX(계정매핑!$G$5:$G$504,MATCH($F1181&amp;"",계정매핑!$A$5:$A$504,0))&amp;"","")="유지비",COUNTIF(계정대체기준!$A$6:$A$15,$N1181)&gt;0),IFERROR(INDEX(계정대체기준!$E$6:$E$15,MATCH(VALUE($A1181&amp;""),계정대체기준!$D$6:$D$15,0)),0),0))</f>
        <v/>
      </c>
      <c r="AH1181" s="64">
        <f>IF($A1181="","",IF(AD1181=0,"",IF(OR(COUNTIF(계정대체기준!$A$77:$A$86,$N1181)&gt;0,ISNUMBER(MATCH($X1181,계정대체기준!$D$77:$D$86,0)),ISNUMBER(MATCH($F1181,계정대체기준!$D$77:$D$86,0))),"Y","N")))</f>
        <v/>
      </c>
    </row>
    <row r="1182">
      <c r="A1182" s="92" t="n">
        <v>2025</v>
      </c>
      <c r="B1182" s="92" t="n">
        <v>6</v>
      </c>
      <c r="C1182" s="92" t="inlineStr">
        <is>
          <t>5100001178</t>
        </is>
      </c>
      <c r="D1182" s="95" t="n">
        <v>45814</v>
      </c>
      <c r="E1182" s="92" t="inlineStr">
        <is>
          <t>KR</t>
        </is>
      </c>
      <c r="F1182" s="92" t="n">
        <v>62301000</v>
      </c>
      <c r="G1182" s="92" t="n">
        <v>1101</v>
      </c>
      <c r="H1182" s="93" t="n">
        <v>148000</v>
      </c>
      <c r="I1182" s="92" t="inlineStr">
        <is>
          <t>6월 소모품 구입 - Q오피스</t>
        </is>
      </c>
      <c r="J1182" s="92" t="inlineStr">
        <is>
          <t>V10003</t>
        </is>
      </c>
      <c r="K1182" s="92" t="inlineStr">
        <is>
          <t>Q오피스</t>
        </is>
      </c>
      <c r="M1182" s="9">
        <f>IF($A1182="","",VALUE($A1182&amp;"")*12+VALUE($B1182&amp;""))</f>
        <v/>
      </c>
      <c r="N1182" s="64">
        <f>IF($A1182="","",IFERROR(INDEX(부서매핑!$C$5:$C$504,MATCH($G1182&amp;"",부서매핑!$A$5:$A$504,0)),"미매핑"))</f>
        <v/>
      </c>
      <c r="O1182" s="9">
        <f>IF($A1182="","",N1182&amp;"|"&amp;$F1182)</f>
        <v/>
      </c>
      <c r="P1182" s="94">
        <f>IF($A1182="",0,$H1182*설정!$C$23)</f>
        <v/>
      </c>
      <c r="Q1182" s="64">
        <f>IF($A1182="","",IF(O1182&lt;&gt;원인분석!$C$9,"",IF(AND(M1182&gt;=원인분석!$C$10,M1182&lt;=원인분석!$C$11),"당기",IF(AND(M1182&gt;=원인분석!$C$12,M1182&lt;=원인분석!$C$13),"비교",""))))</f>
        <v/>
      </c>
      <c r="R1182" s="9">
        <f>IF(Q1182="","",$K1182&amp;"")</f>
        <v/>
      </c>
      <c r="S1182" s="9">
        <f>IF(Q1182="","",IF(MATCH(R1182,$R$5:$R$100000,0)=ROW()-4,ROW(),""))</f>
        <v/>
      </c>
      <c r="T1182" s="9">
        <f>IF(Q1182="당기",ABS(P1182)+ROW()/1000000000,"")</f>
        <v/>
      </c>
      <c r="U1182" s="9">
        <f>IF(Q1182="비교",ABS(P1182)+ROW()/1000000000,"")</f>
        <v/>
      </c>
      <c r="V1182" s="64">
        <f>IF($A1182="","",IF(COUNTIF(변동분석!$E$7:$E$506,O1182)&gt;0,"Y","N"))</f>
        <v/>
      </c>
      <c r="W1182" s="64">
        <f>IF($A1182="","",IFERROR(INDEX(계정매핑!$D$5:$D$504,MATCH($F1182&amp;"",계정매핑!$A$5:$A$504,0)),"미매핑"))</f>
        <v/>
      </c>
      <c r="X1182" s="9">
        <f>IF($A1182="","",$F1182&amp;"")</f>
        <v/>
      </c>
      <c r="Y1182" s="94">
        <f>IF($A1182="",0,IF(AE1182="직접",IF(AF1182="비귀속",$P1182,0),$P1182*(1-AG1182)*IFERROR(INDEX(계정대체기준!$F$20:$F$49,MATCH($N1182,계정대체기준!$A$20:$A$49,0)),1)))</f>
        <v/>
      </c>
      <c r="Z1182" s="94">
        <f>IF($A1182="",0,IF(AE1182="직접",IF(AF1182="신계약비",$P1182,0),$P1182*(1-AG1182)*IFERROR(INDEX(계정대체기준!$C$20:$C$49,MATCH($N1182,계정대체기준!$A$20:$A$49,0)),0)))</f>
        <v/>
      </c>
      <c r="AA1182" s="94">
        <f>IF($A1182="",0,IF(AE1182="직접",IF(OR(AF1182="유지비",AF1182="손해조사비"),$P1182,0),$P1182*(1-AG1182)*IFERROR(INDEX(계정대체기준!$D$20:$D$49,MATCH($N1182,계정대체기준!$A$20:$A$49,0)),0)))</f>
        <v/>
      </c>
      <c r="AB1182" s="94">
        <f>IF($A1182="",0,IF(AE1182="직접",IF(AF1182="수금비",$P1182,0),$P1182*(1-AG1182)*IFERROR(INDEX(계정대체기준!$E$20:$E$49,MATCH($N1182,계정대체기준!$A$20:$A$49,0)),0)))</f>
        <v/>
      </c>
      <c r="AC1182" s="9">
        <f>IF(AND($A1182&lt;&gt;"",M1182=설정!$C$20,Z1182&gt;0),Z1182+ROW()/1000000000,"")</f>
        <v/>
      </c>
      <c r="AD1182" s="94">
        <f>IF($A1182="",0,$P1182*AG1182)</f>
        <v/>
      </c>
      <c r="AE1182" s="64">
        <f>IF($A1182="","",IFERROR(INDEX(계정매핑!$E$5:$E$504,MATCH($F1182&amp;"",계정매핑!$A$5:$A$504,0))&amp;"","공통비"))</f>
        <v/>
      </c>
      <c r="AF1182" s="64">
        <f>IF($A1182="","",IF(AE1182="직접",IFERROR(INDEX(계정매핑!$F$5:$F$504,MATCH($F1182&amp;"",계정매핑!$A$5:$A$504,0))&amp;"","비귀속"),""))</f>
        <v/>
      </c>
      <c r="AG1182" s="96">
        <f>IF($A1182="",0,IF(AND(AE1182&lt;&gt;"직접",IFERROR(INDEX(계정매핑!$G$5:$G$504,MATCH($F1182&amp;"",계정매핑!$A$5:$A$504,0))&amp;"","")="유지비",COUNTIF(계정대체기준!$A$6:$A$15,$N1182)&gt;0),IFERROR(INDEX(계정대체기준!$E$6:$E$15,MATCH(VALUE($A1182&amp;""),계정대체기준!$D$6:$D$15,0)),0),0))</f>
        <v/>
      </c>
      <c r="AH1182" s="64">
        <f>IF($A1182="","",IF(AD1182=0,"",IF(OR(COUNTIF(계정대체기준!$A$77:$A$86,$N1182)&gt;0,ISNUMBER(MATCH($X1182,계정대체기준!$D$77:$D$86,0)),ISNUMBER(MATCH($F1182,계정대체기준!$D$77:$D$86,0))),"Y","N")))</f>
        <v/>
      </c>
    </row>
    <row r="1183">
      <c r="A1183" s="92" t="n">
        <v>2025</v>
      </c>
      <c r="B1183" s="92" t="n">
        <v>6</v>
      </c>
      <c r="C1183" s="92" t="inlineStr">
        <is>
          <t>5100001179</t>
        </is>
      </c>
      <c r="D1183" s="95" t="n">
        <v>45814</v>
      </c>
      <c r="E1183" s="92" t="inlineStr">
        <is>
          <t>KR</t>
        </is>
      </c>
      <c r="F1183" s="92" t="n">
        <v>62301000</v>
      </c>
      <c r="G1183" s="92" t="n">
        <v>1401</v>
      </c>
      <c r="H1183" s="93" t="n">
        <v>139000</v>
      </c>
      <c r="I1183" s="92" t="inlineStr">
        <is>
          <t>6월 소모품 구입 - Q오피스</t>
        </is>
      </c>
      <c r="J1183" s="92" t="inlineStr">
        <is>
          <t>V10003</t>
        </is>
      </c>
      <c r="K1183" s="92" t="inlineStr">
        <is>
          <t>Q오피스</t>
        </is>
      </c>
      <c r="M1183" s="9">
        <f>IF($A1183="","",VALUE($A1183&amp;"")*12+VALUE($B1183&amp;""))</f>
        <v/>
      </c>
      <c r="N1183" s="64">
        <f>IF($A1183="","",IFERROR(INDEX(부서매핑!$C$5:$C$504,MATCH($G1183&amp;"",부서매핑!$A$5:$A$504,0)),"미매핑"))</f>
        <v/>
      </c>
      <c r="O1183" s="9">
        <f>IF($A1183="","",N1183&amp;"|"&amp;$F1183)</f>
        <v/>
      </c>
      <c r="P1183" s="94">
        <f>IF($A1183="",0,$H1183*설정!$C$23)</f>
        <v/>
      </c>
      <c r="Q1183" s="64">
        <f>IF($A1183="","",IF(O1183&lt;&gt;원인분석!$C$9,"",IF(AND(M1183&gt;=원인분석!$C$10,M1183&lt;=원인분석!$C$11),"당기",IF(AND(M1183&gt;=원인분석!$C$12,M1183&lt;=원인분석!$C$13),"비교",""))))</f>
        <v/>
      </c>
      <c r="R1183" s="9">
        <f>IF(Q1183="","",$K1183&amp;"")</f>
        <v/>
      </c>
      <c r="S1183" s="9">
        <f>IF(Q1183="","",IF(MATCH(R1183,$R$5:$R$100000,0)=ROW()-4,ROW(),""))</f>
        <v/>
      </c>
      <c r="T1183" s="9">
        <f>IF(Q1183="당기",ABS(P1183)+ROW()/1000000000,"")</f>
        <v/>
      </c>
      <c r="U1183" s="9">
        <f>IF(Q1183="비교",ABS(P1183)+ROW()/1000000000,"")</f>
        <v/>
      </c>
      <c r="V1183" s="64">
        <f>IF($A1183="","",IF(COUNTIF(변동분석!$E$7:$E$506,O1183)&gt;0,"Y","N"))</f>
        <v/>
      </c>
      <c r="W1183" s="64">
        <f>IF($A1183="","",IFERROR(INDEX(계정매핑!$D$5:$D$504,MATCH($F1183&amp;"",계정매핑!$A$5:$A$504,0)),"미매핑"))</f>
        <v/>
      </c>
      <c r="X1183" s="9">
        <f>IF($A1183="","",$F1183&amp;"")</f>
        <v/>
      </c>
      <c r="Y1183" s="94">
        <f>IF($A1183="",0,IF(AE1183="직접",IF(AF1183="비귀속",$P1183,0),$P1183*(1-AG1183)*IFERROR(INDEX(계정대체기준!$F$20:$F$49,MATCH($N1183,계정대체기준!$A$20:$A$49,0)),1)))</f>
        <v/>
      </c>
      <c r="Z1183" s="94">
        <f>IF($A1183="",0,IF(AE1183="직접",IF(AF1183="신계약비",$P1183,0),$P1183*(1-AG1183)*IFERROR(INDEX(계정대체기준!$C$20:$C$49,MATCH($N1183,계정대체기준!$A$20:$A$49,0)),0)))</f>
        <v/>
      </c>
      <c r="AA1183" s="94">
        <f>IF($A1183="",0,IF(AE1183="직접",IF(OR(AF1183="유지비",AF1183="손해조사비"),$P1183,0),$P1183*(1-AG1183)*IFERROR(INDEX(계정대체기준!$D$20:$D$49,MATCH($N1183,계정대체기준!$A$20:$A$49,0)),0)))</f>
        <v/>
      </c>
      <c r="AB1183" s="94">
        <f>IF($A1183="",0,IF(AE1183="직접",IF(AF1183="수금비",$P1183,0),$P1183*(1-AG1183)*IFERROR(INDEX(계정대체기준!$E$20:$E$49,MATCH($N1183,계정대체기준!$A$20:$A$49,0)),0)))</f>
        <v/>
      </c>
      <c r="AC1183" s="9">
        <f>IF(AND($A1183&lt;&gt;"",M1183=설정!$C$20,Z1183&gt;0),Z1183+ROW()/1000000000,"")</f>
        <v/>
      </c>
      <c r="AD1183" s="94">
        <f>IF($A1183="",0,$P1183*AG1183)</f>
        <v/>
      </c>
      <c r="AE1183" s="64">
        <f>IF($A1183="","",IFERROR(INDEX(계정매핑!$E$5:$E$504,MATCH($F1183&amp;"",계정매핑!$A$5:$A$504,0))&amp;"","공통비"))</f>
        <v/>
      </c>
      <c r="AF1183" s="64">
        <f>IF($A1183="","",IF(AE1183="직접",IFERROR(INDEX(계정매핑!$F$5:$F$504,MATCH($F1183&amp;"",계정매핑!$A$5:$A$504,0))&amp;"","비귀속"),""))</f>
        <v/>
      </c>
      <c r="AG1183" s="96">
        <f>IF($A1183="",0,IF(AND(AE1183&lt;&gt;"직접",IFERROR(INDEX(계정매핑!$G$5:$G$504,MATCH($F1183&amp;"",계정매핑!$A$5:$A$504,0))&amp;"","")="유지비",COUNTIF(계정대체기준!$A$6:$A$15,$N1183)&gt;0),IFERROR(INDEX(계정대체기준!$E$6:$E$15,MATCH(VALUE($A1183&amp;""),계정대체기준!$D$6:$D$15,0)),0),0))</f>
        <v/>
      </c>
      <c r="AH1183" s="64">
        <f>IF($A1183="","",IF(AD1183=0,"",IF(OR(COUNTIF(계정대체기준!$A$77:$A$86,$N1183)&gt;0,ISNUMBER(MATCH($X1183,계정대체기준!$D$77:$D$86,0)),ISNUMBER(MATCH($F1183,계정대체기준!$D$77:$D$86,0))),"Y","N")))</f>
        <v/>
      </c>
    </row>
    <row r="1184">
      <c r="A1184" s="92" t="n">
        <v>2025</v>
      </c>
      <c r="B1184" s="92" t="n">
        <v>6</v>
      </c>
      <c r="C1184" s="92" t="inlineStr">
        <is>
          <t>5100001180</t>
        </is>
      </c>
      <c r="D1184" s="95" t="n">
        <v>45814</v>
      </c>
      <c r="E1184" s="92" t="inlineStr">
        <is>
          <t>KR</t>
        </is>
      </c>
      <c r="F1184" s="92" t="n">
        <v>62901000</v>
      </c>
      <c r="G1184" s="92" t="n">
        <v>1951</v>
      </c>
      <c r="H1184" s="93" t="n">
        <v>4622000</v>
      </c>
      <c r="I1184" s="92" t="inlineStr">
        <is>
          <t>6월 자문 수수료 - W컨설팅</t>
        </is>
      </c>
      <c r="J1184" s="92" t="inlineStr">
        <is>
          <t>V10006</t>
        </is>
      </c>
      <c r="K1184" s="92" t="inlineStr">
        <is>
          <t>W컨설팅</t>
        </is>
      </c>
      <c r="M1184" s="9">
        <f>IF($A1184="","",VALUE($A1184&amp;"")*12+VALUE($B1184&amp;""))</f>
        <v/>
      </c>
      <c r="N1184" s="64">
        <f>IF($A1184="","",IFERROR(INDEX(부서매핑!$C$5:$C$504,MATCH($G1184&amp;"",부서매핑!$A$5:$A$504,0)),"미매핑"))</f>
        <v/>
      </c>
      <c r="O1184" s="9">
        <f>IF($A1184="","",N1184&amp;"|"&amp;$F1184)</f>
        <v/>
      </c>
      <c r="P1184" s="94">
        <f>IF($A1184="",0,$H1184*설정!$C$23)</f>
        <v/>
      </c>
      <c r="Q1184" s="64">
        <f>IF($A1184="","",IF(O1184&lt;&gt;원인분석!$C$9,"",IF(AND(M1184&gt;=원인분석!$C$10,M1184&lt;=원인분석!$C$11),"당기",IF(AND(M1184&gt;=원인분석!$C$12,M1184&lt;=원인분석!$C$13),"비교",""))))</f>
        <v/>
      </c>
      <c r="R1184" s="9">
        <f>IF(Q1184="","",$K1184&amp;"")</f>
        <v/>
      </c>
      <c r="S1184" s="9">
        <f>IF(Q1184="","",IF(MATCH(R1184,$R$5:$R$100000,0)=ROW()-4,ROW(),""))</f>
        <v/>
      </c>
      <c r="T1184" s="9">
        <f>IF(Q1184="당기",ABS(P1184)+ROW()/1000000000,"")</f>
        <v/>
      </c>
      <c r="U1184" s="9">
        <f>IF(Q1184="비교",ABS(P1184)+ROW()/1000000000,"")</f>
        <v/>
      </c>
      <c r="V1184" s="64">
        <f>IF($A1184="","",IF(COUNTIF(변동분석!$E$7:$E$506,O1184)&gt;0,"Y","N"))</f>
        <v/>
      </c>
      <c r="W1184" s="64">
        <f>IF($A1184="","",IFERROR(INDEX(계정매핑!$D$5:$D$504,MATCH($F1184&amp;"",계정매핑!$A$5:$A$504,0)),"미매핑"))</f>
        <v/>
      </c>
      <c r="X1184" s="9">
        <f>IF($A1184="","",$F1184&amp;"")</f>
        <v/>
      </c>
      <c r="Y1184" s="94">
        <f>IF($A1184="",0,IF(AE1184="직접",IF(AF1184="비귀속",$P1184,0),$P1184*(1-AG1184)*IFERROR(INDEX(계정대체기준!$F$20:$F$49,MATCH($N1184,계정대체기준!$A$20:$A$49,0)),1)))</f>
        <v/>
      </c>
      <c r="Z1184" s="94">
        <f>IF($A1184="",0,IF(AE1184="직접",IF(AF1184="신계약비",$P1184,0),$P1184*(1-AG1184)*IFERROR(INDEX(계정대체기준!$C$20:$C$49,MATCH($N1184,계정대체기준!$A$20:$A$49,0)),0)))</f>
        <v/>
      </c>
      <c r="AA1184" s="94">
        <f>IF($A1184="",0,IF(AE1184="직접",IF(OR(AF1184="유지비",AF1184="손해조사비"),$P1184,0),$P1184*(1-AG1184)*IFERROR(INDEX(계정대체기준!$D$20:$D$49,MATCH($N1184,계정대체기준!$A$20:$A$49,0)),0)))</f>
        <v/>
      </c>
      <c r="AB1184" s="94">
        <f>IF($A1184="",0,IF(AE1184="직접",IF(AF1184="수금비",$P1184,0),$P1184*(1-AG1184)*IFERROR(INDEX(계정대체기준!$E$20:$E$49,MATCH($N1184,계정대체기준!$A$20:$A$49,0)),0)))</f>
        <v/>
      </c>
      <c r="AC1184" s="9">
        <f>IF(AND($A1184&lt;&gt;"",M1184=설정!$C$20,Z1184&gt;0),Z1184+ROW()/1000000000,"")</f>
        <v/>
      </c>
      <c r="AD1184" s="94">
        <f>IF($A1184="",0,$P1184*AG1184)</f>
        <v/>
      </c>
      <c r="AE1184" s="64">
        <f>IF($A1184="","",IFERROR(INDEX(계정매핑!$E$5:$E$504,MATCH($F1184&amp;"",계정매핑!$A$5:$A$504,0))&amp;"","공통비"))</f>
        <v/>
      </c>
      <c r="AF1184" s="64">
        <f>IF($A1184="","",IF(AE1184="직접",IFERROR(INDEX(계정매핑!$F$5:$F$504,MATCH($F1184&amp;"",계정매핑!$A$5:$A$504,0))&amp;"","비귀속"),""))</f>
        <v/>
      </c>
      <c r="AG1184" s="96">
        <f>IF($A1184="",0,IF(AND(AE1184&lt;&gt;"직접",IFERROR(INDEX(계정매핑!$G$5:$G$504,MATCH($F1184&amp;"",계정매핑!$A$5:$A$504,0))&amp;"","")="유지비",COUNTIF(계정대체기준!$A$6:$A$15,$N1184)&gt;0),IFERROR(INDEX(계정대체기준!$E$6:$E$15,MATCH(VALUE($A1184&amp;""),계정대체기준!$D$6:$D$15,0)),0),0))</f>
        <v/>
      </c>
      <c r="AH1184" s="64">
        <f>IF($A1184="","",IF(AD1184=0,"",IF(OR(COUNTIF(계정대체기준!$A$77:$A$86,$N1184)&gt;0,ISNUMBER(MATCH($X1184,계정대체기준!$D$77:$D$86,0)),ISNUMBER(MATCH($F1184,계정대체기준!$D$77:$D$86,0))),"Y","N")))</f>
        <v/>
      </c>
    </row>
    <row r="1185">
      <c r="A1185" s="92" t="n">
        <v>2025</v>
      </c>
      <c r="B1185" s="92" t="n">
        <v>6</v>
      </c>
      <c r="C1185" s="92" t="inlineStr">
        <is>
          <t>5100001181</t>
        </is>
      </c>
      <c r="D1185" s="95" t="n">
        <v>45814</v>
      </c>
      <c r="E1185" s="92" t="inlineStr">
        <is>
          <t>KR</t>
        </is>
      </c>
      <c r="F1185" s="92" t="n">
        <v>63501000</v>
      </c>
      <c r="G1185" s="92" t="n">
        <v>1901</v>
      </c>
      <c r="H1185" s="93" t="n">
        <v>206380000</v>
      </c>
      <c r="I1185" s="92" t="inlineStr">
        <is>
          <t>6월 모집수수료 - BB에셋</t>
        </is>
      </c>
      <c r="J1185" s="92" t="inlineStr">
        <is>
          <t>V10013</t>
        </is>
      </c>
      <c r="K1185" s="92" t="inlineStr">
        <is>
          <t>BB에셋</t>
        </is>
      </c>
      <c r="M1185" s="9">
        <f>IF($A1185="","",VALUE($A1185&amp;"")*12+VALUE($B1185&amp;""))</f>
        <v/>
      </c>
      <c r="N1185" s="64">
        <f>IF($A1185="","",IFERROR(INDEX(부서매핑!$C$5:$C$504,MATCH($G1185&amp;"",부서매핑!$A$5:$A$504,0)),"미매핑"))</f>
        <v/>
      </c>
      <c r="O1185" s="9">
        <f>IF($A1185="","",N1185&amp;"|"&amp;$F1185)</f>
        <v/>
      </c>
      <c r="P1185" s="94">
        <f>IF($A1185="",0,$H1185*설정!$C$23)</f>
        <v/>
      </c>
      <c r="Q1185" s="64">
        <f>IF($A1185="","",IF(O1185&lt;&gt;원인분석!$C$9,"",IF(AND(M1185&gt;=원인분석!$C$10,M1185&lt;=원인분석!$C$11),"당기",IF(AND(M1185&gt;=원인분석!$C$12,M1185&lt;=원인분석!$C$13),"비교",""))))</f>
        <v/>
      </c>
      <c r="R1185" s="9">
        <f>IF(Q1185="","",$K1185&amp;"")</f>
        <v/>
      </c>
      <c r="S1185" s="9">
        <f>IF(Q1185="","",IF(MATCH(R1185,$R$5:$R$100000,0)=ROW()-4,ROW(),""))</f>
        <v/>
      </c>
      <c r="T1185" s="9">
        <f>IF(Q1185="당기",ABS(P1185)+ROW()/1000000000,"")</f>
        <v/>
      </c>
      <c r="U1185" s="9">
        <f>IF(Q1185="비교",ABS(P1185)+ROW()/1000000000,"")</f>
        <v/>
      </c>
      <c r="V1185" s="64">
        <f>IF($A1185="","",IF(COUNTIF(변동분석!$E$7:$E$506,O1185)&gt;0,"Y","N"))</f>
        <v/>
      </c>
      <c r="W1185" s="64">
        <f>IF($A1185="","",IFERROR(INDEX(계정매핑!$D$5:$D$504,MATCH($F1185&amp;"",계정매핑!$A$5:$A$504,0)),"미매핑"))</f>
        <v/>
      </c>
      <c r="X1185" s="9">
        <f>IF($A1185="","",$F1185&amp;"")</f>
        <v/>
      </c>
      <c r="Y1185" s="94">
        <f>IF($A1185="",0,IF(AE1185="직접",IF(AF1185="비귀속",$P1185,0),$P1185*(1-AG1185)*IFERROR(INDEX(계정대체기준!$F$20:$F$49,MATCH($N1185,계정대체기준!$A$20:$A$49,0)),1)))</f>
        <v/>
      </c>
      <c r="Z1185" s="94">
        <f>IF($A1185="",0,IF(AE1185="직접",IF(AF1185="신계약비",$P1185,0),$P1185*(1-AG1185)*IFERROR(INDEX(계정대체기준!$C$20:$C$49,MATCH($N1185,계정대체기준!$A$20:$A$49,0)),0)))</f>
        <v/>
      </c>
      <c r="AA1185" s="94">
        <f>IF($A1185="",0,IF(AE1185="직접",IF(OR(AF1185="유지비",AF1185="손해조사비"),$P1185,0),$P1185*(1-AG1185)*IFERROR(INDEX(계정대체기준!$D$20:$D$49,MATCH($N1185,계정대체기준!$A$20:$A$49,0)),0)))</f>
        <v/>
      </c>
      <c r="AB1185" s="94">
        <f>IF($A1185="",0,IF(AE1185="직접",IF(AF1185="수금비",$P1185,0),$P1185*(1-AG1185)*IFERROR(INDEX(계정대체기준!$E$20:$E$49,MATCH($N1185,계정대체기준!$A$20:$A$49,0)),0)))</f>
        <v/>
      </c>
      <c r="AC1185" s="9">
        <f>IF(AND($A1185&lt;&gt;"",M1185=설정!$C$20,Z1185&gt;0),Z1185+ROW()/1000000000,"")</f>
        <v/>
      </c>
      <c r="AD1185" s="94">
        <f>IF($A1185="",0,$P1185*AG1185)</f>
        <v/>
      </c>
      <c r="AE1185" s="64">
        <f>IF($A1185="","",IFERROR(INDEX(계정매핑!$E$5:$E$504,MATCH($F1185&amp;"",계정매핑!$A$5:$A$504,0))&amp;"","공통비"))</f>
        <v/>
      </c>
      <c r="AF1185" s="64">
        <f>IF($A1185="","",IF(AE1185="직접",IFERROR(INDEX(계정매핑!$F$5:$F$504,MATCH($F1185&amp;"",계정매핑!$A$5:$A$504,0))&amp;"","비귀속"),""))</f>
        <v/>
      </c>
      <c r="AG1185" s="96">
        <f>IF($A1185="",0,IF(AND(AE1185&lt;&gt;"직접",IFERROR(INDEX(계정매핑!$G$5:$G$504,MATCH($F1185&amp;"",계정매핑!$A$5:$A$504,0))&amp;"","")="유지비",COUNTIF(계정대체기준!$A$6:$A$15,$N1185)&gt;0),IFERROR(INDEX(계정대체기준!$E$6:$E$15,MATCH(VALUE($A1185&amp;""),계정대체기준!$D$6:$D$15,0)),0),0))</f>
        <v/>
      </c>
      <c r="AH1185" s="64">
        <f>IF($A1185="","",IF(AD1185=0,"",IF(OR(COUNTIF(계정대체기준!$A$77:$A$86,$N1185)&gt;0,ISNUMBER(MATCH($X1185,계정대체기준!$D$77:$D$86,0)),ISNUMBER(MATCH($F1185,계정대체기준!$D$77:$D$86,0))),"Y","N")))</f>
        <v/>
      </c>
    </row>
    <row r="1186">
      <c r="A1186" s="92" t="n">
        <v>2025</v>
      </c>
      <c r="B1186" s="92" t="n">
        <v>6</v>
      </c>
      <c r="C1186" s="92" t="inlineStr">
        <is>
          <t>5100001182</t>
        </is>
      </c>
      <c r="D1186" s="95" t="n">
        <v>45815</v>
      </c>
      <c r="E1186" s="92" t="inlineStr">
        <is>
          <t>KR</t>
        </is>
      </c>
      <c r="F1186" s="92" t="n">
        <v>62101000</v>
      </c>
      <c r="G1186" s="92" t="n">
        <v>1301</v>
      </c>
      <c r="H1186" s="93" t="n">
        <v>257000</v>
      </c>
      <c r="I1186" s="92" t="inlineStr">
        <is>
          <t>6월 국내출장 - L여행사</t>
        </is>
      </c>
      <c r="J1186" s="92" t="inlineStr">
        <is>
          <t>V10018</t>
        </is>
      </c>
      <c r="K1186" s="92" t="inlineStr">
        <is>
          <t>L여행사</t>
        </is>
      </c>
      <c r="M1186" s="9">
        <f>IF($A1186="","",VALUE($A1186&amp;"")*12+VALUE($B1186&amp;""))</f>
        <v/>
      </c>
      <c r="N1186" s="64">
        <f>IF($A1186="","",IFERROR(INDEX(부서매핑!$C$5:$C$504,MATCH($G1186&amp;"",부서매핑!$A$5:$A$504,0)),"미매핑"))</f>
        <v/>
      </c>
      <c r="O1186" s="9">
        <f>IF($A1186="","",N1186&amp;"|"&amp;$F1186)</f>
        <v/>
      </c>
      <c r="P1186" s="94">
        <f>IF($A1186="",0,$H1186*설정!$C$23)</f>
        <v/>
      </c>
      <c r="Q1186" s="64">
        <f>IF($A1186="","",IF(O1186&lt;&gt;원인분석!$C$9,"",IF(AND(M1186&gt;=원인분석!$C$10,M1186&lt;=원인분석!$C$11),"당기",IF(AND(M1186&gt;=원인분석!$C$12,M1186&lt;=원인분석!$C$13),"비교",""))))</f>
        <v/>
      </c>
      <c r="R1186" s="9">
        <f>IF(Q1186="","",$K1186&amp;"")</f>
        <v/>
      </c>
      <c r="S1186" s="9">
        <f>IF(Q1186="","",IF(MATCH(R1186,$R$5:$R$100000,0)=ROW()-4,ROW(),""))</f>
        <v/>
      </c>
      <c r="T1186" s="9">
        <f>IF(Q1186="당기",ABS(P1186)+ROW()/1000000000,"")</f>
        <v/>
      </c>
      <c r="U1186" s="9">
        <f>IF(Q1186="비교",ABS(P1186)+ROW()/1000000000,"")</f>
        <v/>
      </c>
      <c r="V1186" s="64">
        <f>IF($A1186="","",IF(COUNTIF(변동분석!$E$7:$E$506,O1186)&gt;0,"Y","N"))</f>
        <v/>
      </c>
      <c r="W1186" s="64">
        <f>IF($A1186="","",IFERROR(INDEX(계정매핑!$D$5:$D$504,MATCH($F1186&amp;"",계정매핑!$A$5:$A$504,0)),"미매핑"))</f>
        <v/>
      </c>
      <c r="X1186" s="9">
        <f>IF($A1186="","",$F1186&amp;"")</f>
        <v/>
      </c>
      <c r="Y1186" s="94">
        <f>IF($A1186="",0,IF(AE1186="직접",IF(AF1186="비귀속",$P1186,0),$P1186*(1-AG1186)*IFERROR(INDEX(계정대체기준!$F$20:$F$49,MATCH($N1186,계정대체기준!$A$20:$A$49,0)),1)))</f>
        <v/>
      </c>
      <c r="Z1186" s="94">
        <f>IF($A1186="",0,IF(AE1186="직접",IF(AF1186="신계약비",$P1186,0),$P1186*(1-AG1186)*IFERROR(INDEX(계정대체기준!$C$20:$C$49,MATCH($N1186,계정대체기준!$A$20:$A$49,0)),0)))</f>
        <v/>
      </c>
      <c r="AA1186" s="94">
        <f>IF($A1186="",0,IF(AE1186="직접",IF(OR(AF1186="유지비",AF1186="손해조사비"),$P1186,0),$P1186*(1-AG1186)*IFERROR(INDEX(계정대체기준!$D$20:$D$49,MATCH($N1186,계정대체기준!$A$20:$A$49,0)),0)))</f>
        <v/>
      </c>
      <c r="AB1186" s="94">
        <f>IF($A1186="",0,IF(AE1186="직접",IF(AF1186="수금비",$P1186,0),$P1186*(1-AG1186)*IFERROR(INDEX(계정대체기준!$E$20:$E$49,MATCH($N1186,계정대체기준!$A$20:$A$49,0)),0)))</f>
        <v/>
      </c>
      <c r="AC1186" s="9">
        <f>IF(AND($A1186&lt;&gt;"",M1186=설정!$C$20,Z1186&gt;0),Z1186+ROW()/1000000000,"")</f>
        <v/>
      </c>
      <c r="AD1186" s="94">
        <f>IF($A1186="",0,$P1186*AG1186)</f>
        <v/>
      </c>
      <c r="AE1186" s="64">
        <f>IF($A1186="","",IFERROR(INDEX(계정매핑!$E$5:$E$504,MATCH($F1186&amp;"",계정매핑!$A$5:$A$504,0))&amp;"","공통비"))</f>
        <v/>
      </c>
      <c r="AF1186" s="64">
        <f>IF($A1186="","",IF(AE1186="직접",IFERROR(INDEX(계정매핑!$F$5:$F$504,MATCH($F1186&amp;"",계정매핑!$A$5:$A$504,0))&amp;"","비귀속"),""))</f>
        <v/>
      </c>
      <c r="AG1186" s="96">
        <f>IF($A1186="",0,IF(AND(AE1186&lt;&gt;"직접",IFERROR(INDEX(계정매핑!$G$5:$G$504,MATCH($F1186&amp;"",계정매핑!$A$5:$A$504,0))&amp;"","")="유지비",COUNTIF(계정대체기준!$A$6:$A$15,$N1186)&gt;0),IFERROR(INDEX(계정대체기준!$E$6:$E$15,MATCH(VALUE($A1186&amp;""),계정대체기준!$D$6:$D$15,0)),0),0))</f>
        <v/>
      </c>
      <c r="AH1186" s="64">
        <f>IF($A1186="","",IF(AD1186=0,"",IF(OR(COUNTIF(계정대체기준!$A$77:$A$86,$N1186)&gt;0,ISNUMBER(MATCH($X1186,계정대체기준!$D$77:$D$86,0)),ISNUMBER(MATCH($F1186,계정대체기준!$D$77:$D$86,0))),"Y","N")))</f>
        <v/>
      </c>
    </row>
    <row r="1187">
      <c r="A1187" s="92" t="n">
        <v>2025</v>
      </c>
      <c r="B1187" s="92" t="n">
        <v>6</v>
      </c>
      <c r="C1187" s="92" t="inlineStr">
        <is>
          <t>5100001183</t>
        </is>
      </c>
      <c r="D1187" s="95" t="n">
        <v>45815</v>
      </c>
      <c r="E1187" s="92" t="inlineStr">
        <is>
          <t>KR</t>
        </is>
      </c>
      <c r="F1187" s="92" t="n">
        <v>62101000</v>
      </c>
      <c r="G1187" s="92" t="n">
        <v>1951</v>
      </c>
      <c r="H1187" s="93" t="n">
        <v>343000</v>
      </c>
      <c r="I1187" s="92" t="inlineStr">
        <is>
          <t>6월 국내출장 - L여행사</t>
        </is>
      </c>
      <c r="J1187" s="92" t="inlineStr">
        <is>
          <t>V10018</t>
        </is>
      </c>
      <c r="K1187" s="92" t="inlineStr">
        <is>
          <t>L여행사</t>
        </is>
      </c>
      <c r="M1187" s="9">
        <f>IF($A1187="","",VALUE($A1187&amp;"")*12+VALUE($B1187&amp;""))</f>
        <v/>
      </c>
      <c r="N1187" s="64">
        <f>IF($A1187="","",IFERROR(INDEX(부서매핑!$C$5:$C$504,MATCH($G1187&amp;"",부서매핑!$A$5:$A$504,0)),"미매핑"))</f>
        <v/>
      </c>
      <c r="O1187" s="9">
        <f>IF($A1187="","",N1187&amp;"|"&amp;$F1187)</f>
        <v/>
      </c>
      <c r="P1187" s="94">
        <f>IF($A1187="",0,$H1187*설정!$C$23)</f>
        <v/>
      </c>
      <c r="Q1187" s="64">
        <f>IF($A1187="","",IF(O1187&lt;&gt;원인분석!$C$9,"",IF(AND(M1187&gt;=원인분석!$C$10,M1187&lt;=원인분석!$C$11),"당기",IF(AND(M1187&gt;=원인분석!$C$12,M1187&lt;=원인분석!$C$13),"비교",""))))</f>
        <v/>
      </c>
      <c r="R1187" s="9">
        <f>IF(Q1187="","",$K1187&amp;"")</f>
        <v/>
      </c>
      <c r="S1187" s="9">
        <f>IF(Q1187="","",IF(MATCH(R1187,$R$5:$R$100000,0)=ROW()-4,ROW(),""))</f>
        <v/>
      </c>
      <c r="T1187" s="9">
        <f>IF(Q1187="당기",ABS(P1187)+ROW()/1000000000,"")</f>
        <v/>
      </c>
      <c r="U1187" s="9">
        <f>IF(Q1187="비교",ABS(P1187)+ROW()/1000000000,"")</f>
        <v/>
      </c>
      <c r="V1187" s="64">
        <f>IF($A1187="","",IF(COUNTIF(변동분석!$E$7:$E$506,O1187)&gt;0,"Y","N"))</f>
        <v/>
      </c>
      <c r="W1187" s="64">
        <f>IF($A1187="","",IFERROR(INDEX(계정매핑!$D$5:$D$504,MATCH($F1187&amp;"",계정매핑!$A$5:$A$504,0)),"미매핑"))</f>
        <v/>
      </c>
      <c r="X1187" s="9">
        <f>IF($A1187="","",$F1187&amp;"")</f>
        <v/>
      </c>
      <c r="Y1187" s="94">
        <f>IF($A1187="",0,IF(AE1187="직접",IF(AF1187="비귀속",$P1187,0),$P1187*(1-AG1187)*IFERROR(INDEX(계정대체기준!$F$20:$F$49,MATCH($N1187,계정대체기준!$A$20:$A$49,0)),1)))</f>
        <v/>
      </c>
      <c r="Z1187" s="94">
        <f>IF($A1187="",0,IF(AE1187="직접",IF(AF1187="신계약비",$P1187,0),$P1187*(1-AG1187)*IFERROR(INDEX(계정대체기준!$C$20:$C$49,MATCH($N1187,계정대체기준!$A$20:$A$49,0)),0)))</f>
        <v/>
      </c>
      <c r="AA1187" s="94">
        <f>IF($A1187="",0,IF(AE1187="직접",IF(OR(AF1187="유지비",AF1187="손해조사비"),$P1187,0),$P1187*(1-AG1187)*IFERROR(INDEX(계정대체기준!$D$20:$D$49,MATCH($N1187,계정대체기준!$A$20:$A$49,0)),0)))</f>
        <v/>
      </c>
      <c r="AB1187" s="94">
        <f>IF($A1187="",0,IF(AE1187="직접",IF(AF1187="수금비",$P1187,0),$P1187*(1-AG1187)*IFERROR(INDEX(계정대체기준!$E$20:$E$49,MATCH($N1187,계정대체기준!$A$20:$A$49,0)),0)))</f>
        <v/>
      </c>
      <c r="AC1187" s="9">
        <f>IF(AND($A1187&lt;&gt;"",M1187=설정!$C$20,Z1187&gt;0),Z1187+ROW()/1000000000,"")</f>
        <v/>
      </c>
      <c r="AD1187" s="94">
        <f>IF($A1187="",0,$P1187*AG1187)</f>
        <v/>
      </c>
      <c r="AE1187" s="64">
        <f>IF($A1187="","",IFERROR(INDEX(계정매핑!$E$5:$E$504,MATCH($F1187&amp;"",계정매핑!$A$5:$A$504,0))&amp;"","공통비"))</f>
        <v/>
      </c>
      <c r="AF1187" s="64">
        <f>IF($A1187="","",IF(AE1187="직접",IFERROR(INDEX(계정매핑!$F$5:$F$504,MATCH($F1187&amp;"",계정매핑!$A$5:$A$504,0))&amp;"","비귀속"),""))</f>
        <v/>
      </c>
      <c r="AG1187" s="96">
        <f>IF($A1187="",0,IF(AND(AE1187&lt;&gt;"직접",IFERROR(INDEX(계정매핑!$G$5:$G$504,MATCH($F1187&amp;"",계정매핑!$A$5:$A$504,0))&amp;"","")="유지비",COUNTIF(계정대체기준!$A$6:$A$15,$N1187)&gt;0),IFERROR(INDEX(계정대체기준!$E$6:$E$15,MATCH(VALUE($A1187&amp;""),계정대체기준!$D$6:$D$15,0)),0),0))</f>
        <v/>
      </c>
      <c r="AH1187" s="64">
        <f>IF($A1187="","",IF(AD1187=0,"",IF(OR(COUNTIF(계정대체기준!$A$77:$A$86,$N1187)&gt;0,ISNUMBER(MATCH($X1187,계정대체기준!$D$77:$D$86,0)),ISNUMBER(MATCH($F1187,계정대체기준!$D$77:$D$86,0))),"Y","N")))</f>
        <v/>
      </c>
    </row>
    <row r="1188">
      <c r="A1188" s="92" t="n">
        <v>2025</v>
      </c>
      <c r="B1188" s="92" t="n">
        <v>6</v>
      </c>
      <c r="C1188" s="92" t="inlineStr">
        <is>
          <t>5100001184</t>
        </is>
      </c>
      <c r="D1188" s="95" t="n">
        <v>45815</v>
      </c>
      <c r="E1188" s="92" t="inlineStr">
        <is>
          <t>KR</t>
        </is>
      </c>
      <c r="F1188" s="92" t="n">
        <v>62201000</v>
      </c>
      <c r="G1188" s="92" t="n">
        <v>1701</v>
      </c>
      <c r="H1188" s="93" t="n">
        <v>4338000</v>
      </c>
      <c r="I1188" s="92" t="inlineStr">
        <is>
          <t>6월 통신요금 - P통신</t>
        </is>
      </c>
      <c r="J1188" s="92" t="inlineStr">
        <is>
          <t>V10014</t>
        </is>
      </c>
      <c r="K1188" s="92" t="inlineStr">
        <is>
          <t>P통신</t>
        </is>
      </c>
      <c r="M1188" s="9">
        <f>IF($A1188="","",VALUE($A1188&amp;"")*12+VALUE($B1188&amp;""))</f>
        <v/>
      </c>
      <c r="N1188" s="64">
        <f>IF($A1188="","",IFERROR(INDEX(부서매핑!$C$5:$C$504,MATCH($G1188&amp;"",부서매핑!$A$5:$A$504,0)),"미매핑"))</f>
        <v/>
      </c>
      <c r="O1188" s="9">
        <f>IF($A1188="","",N1188&amp;"|"&amp;$F1188)</f>
        <v/>
      </c>
      <c r="P1188" s="94">
        <f>IF($A1188="",0,$H1188*설정!$C$23)</f>
        <v/>
      </c>
      <c r="Q1188" s="64">
        <f>IF($A1188="","",IF(O1188&lt;&gt;원인분석!$C$9,"",IF(AND(M1188&gt;=원인분석!$C$10,M1188&lt;=원인분석!$C$11),"당기",IF(AND(M1188&gt;=원인분석!$C$12,M1188&lt;=원인분석!$C$13),"비교",""))))</f>
        <v/>
      </c>
      <c r="R1188" s="9">
        <f>IF(Q1188="","",$K1188&amp;"")</f>
        <v/>
      </c>
      <c r="S1188" s="9">
        <f>IF(Q1188="","",IF(MATCH(R1188,$R$5:$R$100000,0)=ROW()-4,ROW(),""))</f>
        <v/>
      </c>
      <c r="T1188" s="9">
        <f>IF(Q1188="당기",ABS(P1188)+ROW()/1000000000,"")</f>
        <v/>
      </c>
      <c r="U1188" s="9">
        <f>IF(Q1188="비교",ABS(P1188)+ROW()/1000000000,"")</f>
        <v/>
      </c>
      <c r="V1188" s="64">
        <f>IF($A1188="","",IF(COUNTIF(변동분석!$E$7:$E$506,O1188)&gt;0,"Y","N"))</f>
        <v/>
      </c>
      <c r="W1188" s="64">
        <f>IF($A1188="","",IFERROR(INDEX(계정매핑!$D$5:$D$504,MATCH($F1188&amp;"",계정매핑!$A$5:$A$504,0)),"미매핑"))</f>
        <v/>
      </c>
      <c r="X1188" s="9">
        <f>IF($A1188="","",$F1188&amp;"")</f>
        <v/>
      </c>
      <c r="Y1188" s="94">
        <f>IF($A1188="",0,IF(AE1188="직접",IF(AF1188="비귀속",$P1188,0),$P1188*(1-AG1188)*IFERROR(INDEX(계정대체기준!$F$20:$F$49,MATCH($N1188,계정대체기준!$A$20:$A$49,0)),1)))</f>
        <v/>
      </c>
      <c r="Z1188" s="94">
        <f>IF($A1188="",0,IF(AE1188="직접",IF(AF1188="신계약비",$P1188,0),$P1188*(1-AG1188)*IFERROR(INDEX(계정대체기준!$C$20:$C$49,MATCH($N1188,계정대체기준!$A$20:$A$49,0)),0)))</f>
        <v/>
      </c>
      <c r="AA1188" s="94">
        <f>IF($A1188="",0,IF(AE1188="직접",IF(OR(AF1188="유지비",AF1188="손해조사비"),$P1188,0),$P1188*(1-AG1188)*IFERROR(INDEX(계정대체기준!$D$20:$D$49,MATCH($N1188,계정대체기준!$A$20:$A$49,0)),0)))</f>
        <v/>
      </c>
      <c r="AB1188" s="94">
        <f>IF($A1188="",0,IF(AE1188="직접",IF(AF1188="수금비",$P1188,0),$P1188*(1-AG1188)*IFERROR(INDEX(계정대체기준!$E$20:$E$49,MATCH($N1188,계정대체기준!$A$20:$A$49,0)),0)))</f>
        <v/>
      </c>
      <c r="AC1188" s="9">
        <f>IF(AND($A1188&lt;&gt;"",M1188=설정!$C$20,Z1188&gt;0),Z1188+ROW()/1000000000,"")</f>
        <v/>
      </c>
      <c r="AD1188" s="94">
        <f>IF($A1188="",0,$P1188*AG1188)</f>
        <v/>
      </c>
      <c r="AE1188" s="64">
        <f>IF($A1188="","",IFERROR(INDEX(계정매핑!$E$5:$E$504,MATCH($F1188&amp;"",계정매핑!$A$5:$A$504,0))&amp;"","공통비"))</f>
        <v/>
      </c>
      <c r="AF1188" s="64">
        <f>IF($A1188="","",IF(AE1188="직접",IFERROR(INDEX(계정매핑!$F$5:$F$504,MATCH($F1188&amp;"",계정매핑!$A$5:$A$504,0))&amp;"","비귀속"),""))</f>
        <v/>
      </c>
      <c r="AG1188" s="96">
        <f>IF($A1188="",0,IF(AND(AE1188&lt;&gt;"직접",IFERROR(INDEX(계정매핑!$G$5:$G$504,MATCH($F1188&amp;"",계정매핑!$A$5:$A$504,0))&amp;"","")="유지비",COUNTIF(계정대체기준!$A$6:$A$15,$N1188)&gt;0),IFERROR(INDEX(계정대체기준!$E$6:$E$15,MATCH(VALUE($A1188&amp;""),계정대체기준!$D$6:$D$15,0)),0),0))</f>
        <v/>
      </c>
      <c r="AH1188" s="64">
        <f>IF($A1188="","",IF(AD1188=0,"",IF(OR(COUNTIF(계정대체기준!$A$77:$A$86,$N1188)&gt;0,ISNUMBER(MATCH($X1188,계정대체기준!$D$77:$D$86,0)),ISNUMBER(MATCH($F1188,계정대체기준!$D$77:$D$86,0))),"Y","N")))</f>
        <v/>
      </c>
    </row>
    <row r="1189">
      <c r="A1189" s="92" t="n">
        <v>2025</v>
      </c>
      <c r="B1189" s="92" t="n">
        <v>6</v>
      </c>
      <c r="C1189" s="92" t="inlineStr">
        <is>
          <t>5100001185</t>
        </is>
      </c>
      <c r="D1189" s="95" t="n">
        <v>45815</v>
      </c>
      <c r="E1189" s="92" t="inlineStr">
        <is>
          <t>KR</t>
        </is>
      </c>
      <c r="F1189" s="92" t="n">
        <v>62902000</v>
      </c>
      <c r="G1189" s="92" t="n">
        <v>1801</v>
      </c>
      <c r="H1189" s="93" t="n">
        <v>1843000</v>
      </c>
      <c r="I1189" s="92" t="inlineStr">
        <is>
          <t>6월 콜 위탁 수수료(건별)</t>
        </is>
      </c>
      <c r="J1189" s="92" t="inlineStr">
        <is>
          <t>V10016</t>
        </is>
      </c>
      <c r="K1189" s="92" t="inlineStr">
        <is>
          <t>J콜센터</t>
        </is>
      </c>
      <c r="M1189" s="9">
        <f>IF($A1189="","",VALUE($A1189&amp;"")*12+VALUE($B1189&amp;""))</f>
        <v/>
      </c>
      <c r="N1189" s="64">
        <f>IF($A1189="","",IFERROR(INDEX(부서매핑!$C$5:$C$504,MATCH($G1189&amp;"",부서매핑!$A$5:$A$504,0)),"미매핑"))</f>
        <v/>
      </c>
      <c r="O1189" s="9">
        <f>IF($A1189="","",N1189&amp;"|"&amp;$F1189)</f>
        <v/>
      </c>
      <c r="P1189" s="94">
        <f>IF($A1189="",0,$H1189*설정!$C$23)</f>
        <v/>
      </c>
      <c r="Q1189" s="64">
        <f>IF($A1189="","",IF(O1189&lt;&gt;원인분석!$C$9,"",IF(AND(M1189&gt;=원인분석!$C$10,M1189&lt;=원인분석!$C$11),"당기",IF(AND(M1189&gt;=원인분석!$C$12,M1189&lt;=원인분석!$C$13),"비교",""))))</f>
        <v/>
      </c>
      <c r="R1189" s="9">
        <f>IF(Q1189="","",$K1189&amp;"")</f>
        <v/>
      </c>
      <c r="S1189" s="9">
        <f>IF(Q1189="","",IF(MATCH(R1189,$R$5:$R$100000,0)=ROW()-4,ROW(),""))</f>
        <v/>
      </c>
      <c r="T1189" s="9">
        <f>IF(Q1189="당기",ABS(P1189)+ROW()/1000000000,"")</f>
        <v/>
      </c>
      <c r="U1189" s="9">
        <f>IF(Q1189="비교",ABS(P1189)+ROW()/1000000000,"")</f>
        <v/>
      </c>
      <c r="V1189" s="64">
        <f>IF($A1189="","",IF(COUNTIF(변동분석!$E$7:$E$506,O1189)&gt;0,"Y","N"))</f>
        <v/>
      </c>
      <c r="W1189" s="64">
        <f>IF($A1189="","",IFERROR(INDEX(계정매핑!$D$5:$D$504,MATCH($F1189&amp;"",계정매핑!$A$5:$A$504,0)),"미매핑"))</f>
        <v/>
      </c>
      <c r="X1189" s="9">
        <f>IF($A1189="","",$F1189&amp;"")</f>
        <v/>
      </c>
      <c r="Y1189" s="94">
        <f>IF($A1189="",0,IF(AE1189="직접",IF(AF1189="비귀속",$P1189,0),$P1189*(1-AG1189)*IFERROR(INDEX(계정대체기준!$F$20:$F$49,MATCH($N1189,계정대체기준!$A$20:$A$49,0)),1)))</f>
        <v/>
      </c>
      <c r="Z1189" s="94">
        <f>IF($A1189="",0,IF(AE1189="직접",IF(AF1189="신계약비",$P1189,0),$P1189*(1-AG1189)*IFERROR(INDEX(계정대체기준!$C$20:$C$49,MATCH($N1189,계정대체기준!$A$20:$A$49,0)),0)))</f>
        <v/>
      </c>
      <c r="AA1189" s="94">
        <f>IF($A1189="",0,IF(AE1189="직접",IF(OR(AF1189="유지비",AF1189="손해조사비"),$P1189,0),$P1189*(1-AG1189)*IFERROR(INDEX(계정대체기준!$D$20:$D$49,MATCH($N1189,계정대체기준!$A$20:$A$49,0)),0)))</f>
        <v/>
      </c>
      <c r="AB1189" s="94">
        <f>IF($A1189="",0,IF(AE1189="직접",IF(AF1189="수금비",$P1189,0),$P1189*(1-AG1189)*IFERROR(INDEX(계정대체기준!$E$20:$E$49,MATCH($N1189,계정대체기준!$A$20:$A$49,0)),0)))</f>
        <v/>
      </c>
      <c r="AC1189" s="9">
        <f>IF(AND($A1189&lt;&gt;"",M1189=설정!$C$20,Z1189&gt;0),Z1189+ROW()/1000000000,"")</f>
        <v/>
      </c>
      <c r="AD1189" s="94">
        <f>IF($A1189="",0,$P1189*AG1189)</f>
        <v/>
      </c>
      <c r="AE1189" s="64">
        <f>IF($A1189="","",IFERROR(INDEX(계정매핑!$E$5:$E$504,MATCH($F1189&amp;"",계정매핑!$A$5:$A$504,0))&amp;"","공통비"))</f>
        <v/>
      </c>
      <c r="AF1189" s="64">
        <f>IF($A1189="","",IF(AE1189="직접",IFERROR(INDEX(계정매핑!$F$5:$F$504,MATCH($F1189&amp;"",계정매핑!$A$5:$A$504,0))&amp;"","비귀속"),""))</f>
        <v/>
      </c>
      <c r="AG1189" s="96">
        <f>IF($A1189="",0,IF(AND(AE1189&lt;&gt;"직접",IFERROR(INDEX(계정매핑!$G$5:$G$504,MATCH($F1189&amp;"",계정매핑!$A$5:$A$504,0))&amp;"","")="유지비",COUNTIF(계정대체기준!$A$6:$A$15,$N1189)&gt;0),IFERROR(INDEX(계정대체기준!$E$6:$E$15,MATCH(VALUE($A1189&amp;""),계정대체기준!$D$6:$D$15,0)),0),0))</f>
        <v/>
      </c>
      <c r="AH1189" s="64">
        <f>IF($A1189="","",IF(AD1189=0,"",IF(OR(COUNTIF(계정대체기준!$A$77:$A$86,$N1189)&gt;0,ISNUMBER(MATCH($X1189,계정대체기준!$D$77:$D$86,0)),ISNUMBER(MATCH($F1189,계정대체기준!$D$77:$D$86,0))),"Y","N")))</f>
        <v/>
      </c>
    </row>
    <row r="1190">
      <c r="A1190" s="92" t="n">
        <v>2025</v>
      </c>
      <c r="B1190" s="92" t="n">
        <v>6</v>
      </c>
      <c r="C1190" s="92" t="inlineStr">
        <is>
          <t>5100001186</t>
        </is>
      </c>
      <c r="D1190" s="95" t="n">
        <v>45815</v>
      </c>
      <c r="E1190" s="92" t="inlineStr">
        <is>
          <t>KR</t>
        </is>
      </c>
      <c r="F1190" s="92" t="n">
        <v>63001000</v>
      </c>
      <c r="G1190" s="92" t="n">
        <v>1701</v>
      </c>
      <c r="H1190" s="93" t="n">
        <v>18469000</v>
      </c>
      <c r="I1190" s="92" t="inlineStr">
        <is>
          <t>6월 SW 유지보수 - Y소프트</t>
        </is>
      </c>
      <c r="J1190" s="92" t="inlineStr">
        <is>
          <t>V10017</t>
        </is>
      </c>
      <c r="K1190" s="92" t="inlineStr">
        <is>
          <t>Y소프트</t>
        </is>
      </c>
      <c r="M1190" s="9">
        <f>IF($A1190="","",VALUE($A1190&amp;"")*12+VALUE($B1190&amp;""))</f>
        <v/>
      </c>
      <c r="N1190" s="64">
        <f>IF($A1190="","",IFERROR(INDEX(부서매핑!$C$5:$C$504,MATCH($G1190&amp;"",부서매핑!$A$5:$A$504,0)),"미매핑"))</f>
        <v/>
      </c>
      <c r="O1190" s="9">
        <f>IF($A1190="","",N1190&amp;"|"&amp;$F1190)</f>
        <v/>
      </c>
      <c r="P1190" s="94">
        <f>IF($A1190="",0,$H1190*설정!$C$23)</f>
        <v/>
      </c>
      <c r="Q1190" s="64">
        <f>IF($A1190="","",IF(O1190&lt;&gt;원인분석!$C$9,"",IF(AND(M1190&gt;=원인분석!$C$10,M1190&lt;=원인분석!$C$11),"당기",IF(AND(M1190&gt;=원인분석!$C$12,M1190&lt;=원인분석!$C$13),"비교",""))))</f>
        <v/>
      </c>
      <c r="R1190" s="9">
        <f>IF(Q1190="","",$K1190&amp;"")</f>
        <v/>
      </c>
      <c r="S1190" s="9">
        <f>IF(Q1190="","",IF(MATCH(R1190,$R$5:$R$100000,0)=ROW()-4,ROW(),""))</f>
        <v/>
      </c>
      <c r="T1190" s="9">
        <f>IF(Q1190="당기",ABS(P1190)+ROW()/1000000000,"")</f>
        <v/>
      </c>
      <c r="U1190" s="9">
        <f>IF(Q1190="비교",ABS(P1190)+ROW()/1000000000,"")</f>
        <v/>
      </c>
      <c r="V1190" s="64">
        <f>IF($A1190="","",IF(COUNTIF(변동분석!$E$7:$E$506,O1190)&gt;0,"Y","N"))</f>
        <v/>
      </c>
      <c r="W1190" s="64">
        <f>IF($A1190="","",IFERROR(INDEX(계정매핑!$D$5:$D$504,MATCH($F1190&amp;"",계정매핑!$A$5:$A$504,0)),"미매핑"))</f>
        <v/>
      </c>
      <c r="X1190" s="9">
        <f>IF($A1190="","",$F1190&amp;"")</f>
        <v/>
      </c>
      <c r="Y1190" s="94">
        <f>IF($A1190="",0,IF(AE1190="직접",IF(AF1190="비귀속",$P1190,0),$P1190*(1-AG1190)*IFERROR(INDEX(계정대체기준!$F$20:$F$49,MATCH($N1190,계정대체기준!$A$20:$A$49,0)),1)))</f>
        <v/>
      </c>
      <c r="Z1190" s="94">
        <f>IF($A1190="",0,IF(AE1190="직접",IF(AF1190="신계약비",$P1190,0),$P1190*(1-AG1190)*IFERROR(INDEX(계정대체기준!$C$20:$C$49,MATCH($N1190,계정대체기준!$A$20:$A$49,0)),0)))</f>
        <v/>
      </c>
      <c r="AA1190" s="94">
        <f>IF($A1190="",0,IF(AE1190="직접",IF(OR(AF1190="유지비",AF1190="손해조사비"),$P1190,0),$P1190*(1-AG1190)*IFERROR(INDEX(계정대체기준!$D$20:$D$49,MATCH($N1190,계정대체기준!$A$20:$A$49,0)),0)))</f>
        <v/>
      </c>
      <c r="AB1190" s="94">
        <f>IF($A1190="",0,IF(AE1190="직접",IF(AF1190="수금비",$P1190,0),$P1190*(1-AG1190)*IFERROR(INDEX(계정대체기준!$E$20:$E$49,MATCH($N1190,계정대체기준!$A$20:$A$49,0)),0)))</f>
        <v/>
      </c>
      <c r="AC1190" s="9">
        <f>IF(AND($A1190&lt;&gt;"",M1190=설정!$C$20,Z1190&gt;0),Z1190+ROW()/1000000000,"")</f>
        <v/>
      </c>
      <c r="AD1190" s="94">
        <f>IF($A1190="",0,$P1190*AG1190)</f>
        <v/>
      </c>
      <c r="AE1190" s="64">
        <f>IF($A1190="","",IFERROR(INDEX(계정매핑!$E$5:$E$504,MATCH($F1190&amp;"",계정매핑!$A$5:$A$504,0))&amp;"","공통비"))</f>
        <v/>
      </c>
      <c r="AF1190" s="64">
        <f>IF($A1190="","",IF(AE1190="직접",IFERROR(INDEX(계정매핑!$F$5:$F$504,MATCH($F1190&amp;"",계정매핑!$A$5:$A$504,0))&amp;"","비귀속"),""))</f>
        <v/>
      </c>
      <c r="AG1190" s="96">
        <f>IF($A1190="",0,IF(AND(AE1190&lt;&gt;"직접",IFERROR(INDEX(계정매핑!$G$5:$G$504,MATCH($F1190&amp;"",계정매핑!$A$5:$A$504,0))&amp;"","")="유지비",COUNTIF(계정대체기준!$A$6:$A$15,$N1190)&gt;0),IFERROR(INDEX(계정대체기준!$E$6:$E$15,MATCH(VALUE($A1190&amp;""),계정대체기준!$D$6:$D$15,0)),0),0))</f>
        <v/>
      </c>
      <c r="AH1190" s="64">
        <f>IF($A1190="","",IF(AD1190=0,"",IF(OR(COUNTIF(계정대체기준!$A$77:$A$86,$N1190)&gt;0,ISNUMBER(MATCH($X1190,계정대체기준!$D$77:$D$86,0)),ISNUMBER(MATCH($F1190,계정대체기준!$D$77:$D$86,0))),"Y","N")))</f>
        <v/>
      </c>
    </row>
    <row r="1191">
      <c r="A1191" s="92" t="n">
        <v>2025</v>
      </c>
      <c r="B1191" s="92" t="n">
        <v>6</v>
      </c>
      <c r="C1191" s="92" t="inlineStr">
        <is>
          <t>5100001187</t>
        </is>
      </c>
      <c r="D1191" s="95" t="n">
        <v>45815</v>
      </c>
      <c r="E1191" s="92" t="inlineStr">
        <is>
          <t>KR</t>
        </is>
      </c>
      <c r="F1191" s="92" t="n">
        <v>63501000</v>
      </c>
      <c r="G1191" s="92" t="n">
        <v>1902</v>
      </c>
      <c r="H1191" s="93" t="n">
        <v>311858000</v>
      </c>
      <c r="I1191" s="92" t="inlineStr">
        <is>
          <t>6월 모집수수료 - AA보험대리점</t>
        </is>
      </c>
      <c r="J1191" s="92" t="inlineStr">
        <is>
          <t>V10034</t>
        </is>
      </c>
      <c r="K1191" s="92" t="inlineStr">
        <is>
          <t>AA보험대리점</t>
        </is>
      </c>
      <c r="M1191" s="9">
        <f>IF($A1191="","",VALUE($A1191&amp;"")*12+VALUE($B1191&amp;""))</f>
        <v/>
      </c>
      <c r="N1191" s="64">
        <f>IF($A1191="","",IFERROR(INDEX(부서매핑!$C$5:$C$504,MATCH($G1191&amp;"",부서매핑!$A$5:$A$504,0)),"미매핑"))</f>
        <v/>
      </c>
      <c r="O1191" s="9">
        <f>IF($A1191="","",N1191&amp;"|"&amp;$F1191)</f>
        <v/>
      </c>
      <c r="P1191" s="94">
        <f>IF($A1191="",0,$H1191*설정!$C$23)</f>
        <v/>
      </c>
      <c r="Q1191" s="64">
        <f>IF($A1191="","",IF(O1191&lt;&gt;원인분석!$C$9,"",IF(AND(M1191&gt;=원인분석!$C$10,M1191&lt;=원인분석!$C$11),"당기",IF(AND(M1191&gt;=원인분석!$C$12,M1191&lt;=원인분석!$C$13),"비교",""))))</f>
        <v/>
      </c>
      <c r="R1191" s="9">
        <f>IF(Q1191="","",$K1191&amp;"")</f>
        <v/>
      </c>
      <c r="S1191" s="9">
        <f>IF(Q1191="","",IF(MATCH(R1191,$R$5:$R$100000,0)=ROW()-4,ROW(),""))</f>
        <v/>
      </c>
      <c r="T1191" s="9">
        <f>IF(Q1191="당기",ABS(P1191)+ROW()/1000000000,"")</f>
        <v/>
      </c>
      <c r="U1191" s="9">
        <f>IF(Q1191="비교",ABS(P1191)+ROW()/1000000000,"")</f>
        <v/>
      </c>
      <c r="V1191" s="64">
        <f>IF($A1191="","",IF(COUNTIF(변동분석!$E$7:$E$506,O1191)&gt;0,"Y","N"))</f>
        <v/>
      </c>
      <c r="W1191" s="64">
        <f>IF($A1191="","",IFERROR(INDEX(계정매핑!$D$5:$D$504,MATCH($F1191&amp;"",계정매핑!$A$5:$A$504,0)),"미매핑"))</f>
        <v/>
      </c>
      <c r="X1191" s="9">
        <f>IF($A1191="","",$F1191&amp;"")</f>
        <v/>
      </c>
      <c r="Y1191" s="94">
        <f>IF($A1191="",0,IF(AE1191="직접",IF(AF1191="비귀속",$P1191,0),$P1191*(1-AG1191)*IFERROR(INDEX(계정대체기준!$F$20:$F$49,MATCH($N1191,계정대체기준!$A$20:$A$49,0)),1)))</f>
        <v/>
      </c>
      <c r="Z1191" s="94">
        <f>IF($A1191="",0,IF(AE1191="직접",IF(AF1191="신계약비",$P1191,0),$P1191*(1-AG1191)*IFERROR(INDEX(계정대체기준!$C$20:$C$49,MATCH($N1191,계정대체기준!$A$20:$A$49,0)),0)))</f>
        <v/>
      </c>
      <c r="AA1191" s="94">
        <f>IF($A1191="",0,IF(AE1191="직접",IF(OR(AF1191="유지비",AF1191="손해조사비"),$P1191,0),$P1191*(1-AG1191)*IFERROR(INDEX(계정대체기준!$D$20:$D$49,MATCH($N1191,계정대체기준!$A$20:$A$49,0)),0)))</f>
        <v/>
      </c>
      <c r="AB1191" s="94">
        <f>IF($A1191="",0,IF(AE1191="직접",IF(AF1191="수금비",$P1191,0),$P1191*(1-AG1191)*IFERROR(INDEX(계정대체기준!$E$20:$E$49,MATCH($N1191,계정대체기준!$A$20:$A$49,0)),0)))</f>
        <v/>
      </c>
      <c r="AC1191" s="9">
        <f>IF(AND($A1191&lt;&gt;"",M1191=설정!$C$20,Z1191&gt;0),Z1191+ROW()/1000000000,"")</f>
        <v/>
      </c>
      <c r="AD1191" s="94">
        <f>IF($A1191="",0,$P1191*AG1191)</f>
        <v/>
      </c>
      <c r="AE1191" s="64">
        <f>IF($A1191="","",IFERROR(INDEX(계정매핑!$E$5:$E$504,MATCH($F1191&amp;"",계정매핑!$A$5:$A$504,0))&amp;"","공통비"))</f>
        <v/>
      </c>
      <c r="AF1191" s="64">
        <f>IF($A1191="","",IF(AE1191="직접",IFERROR(INDEX(계정매핑!$F$5:$F$504,MATCH($F1191&amp;"",계정매핑!$A$5:$A$504,0))&amp;"","비귀속"),""))</f>
        <v/>
      </c>
      <c r="AG1191" s="96">
        <f>IF($A1191="",0,IF(AND(AE1191&lt;&gt;"직접",IFERROR(INDEX(계정매핑!$G$5:$G$504,MATCH($F1191&amp;"",계정매핑!$A$5:$A$504,0))&amp;"","")="유지비",COUNTIF(계정대체기준!$A$6:$A$15,$N1191)&gt;0),IFERROR(INDEX(계정대체기준!$E$6:$E$15,MATCH(VALUE($A1191&amp;""),계정대체기준!$D$6:$D$15,0)),0),0))</f>
        <v/>
      </c>
      <c r="AH1191" s="64">
        <f>IF($A1191="","",IF(AD1191=0,"",IF(OR(COUNTIF(계정대체기준!$A$77:$A$86,$N1191)&gt;0,ISNUMBER(MATCH($X1191,계정대체기준!$D$77:$D$86,0)),ISNUMBER(MATCH($F1191,계정대체기준!$D$77:$D$86,0))),"Y","N")))</f>
        <v/>
      </c>
    </row>
    <row r="1192">
      <c r="A1192" s="92" t="n">
        <v>2025</v>
      </c>
      <c r="B1192" s="92" t="n">
        <v>6</v>
      </c>
      <c r="C1192" s="92" t="inlineStr">
        <is>
          <t>5100001188</t>
        </is>
      </c>
      <c r="D1192" s="95" t="n">
        <v>45816</v>
      </c>
      <c r="E1192" s="92" t="inlineStr">
        <is>
          <t>KR</t>
        </is>
      </c>
      <c r="F1192" s="92" t="n">
        <v>62102000</v>
      </c>
      <c r="G1192" s="92" t="n">
        <v>1201</v>
      </c>
      <c r="H1192" s="93" t="n">
        <v>60000</v>
      </c>
      <c r="I1192" s="92" t="inlineStr">
        <is>
          <t>6월 해외출장 - M항공</t>
        </is>
      </c>
      <c r="J1192" s="92" t="inlineStr">
        <is>
          <t>V10001</t>
        </is>
      </c>
      <c r="K1192" s="92" t="inlineStr">
        <is>
          <t>M항공</t>
        </is>
      </c>
      <c r="M1192" s="9">
        <f>IF($A1192="","",VALUE($A1192&amp;"")*12+VALUE($B1192&amp;""))</f>
        <v/>
      </c>
      <c r="N1192" s="64">
        <f>IF($A1192="","",IFERROR(INDEX(부서매핑!$C$5:$C$504,MATCH($G1192&amp;"",부서매핑!$A$5:$A$504,0)),"미매핑"))</f>
        <v/>
      </c>
      <c r="O1192" s="9">
        <f>IF($A1192="","",N1192&amp;"|"&amp;$F1192)</f>
        <v/>
      </c>
      <c r="P1192" s="94">
        <f>IF($A1192="",0,$H1192*설정!$C$23)</f>
        <v/>
      </c>
      <c r="Q1192" s="64">
        <f>IF($A1192="","",IF(O1192&lt;&gt;원인분석!$C$9,"",IF(AND(M1192&gt;=원인분석!$C$10,M1192&lt;=원인분석!$C$11),"당기",IF(AND(M1192&gt;=원인분석!$C$12,M1192&lt;=원인분석!$C$13),"비교",""))))</f>
        <v/>
      </c>
      <c r="R1192" s="9">
        <f>IF(Q1192="","",$K1192&amp;"")</f>
        <v/>
      </c>
      <c r="S1192" s="9">
        <f>IF(Q1192="","",IF(MATCH(R1192,$R$5:$R$100000,0)=ROW()-4,ROW(),""))</f>
        <v/>
      </c>
      <c r="T1192" s="9">
        <f>IF(Q1192="당기",ABS(P1192)+ROW()/1000000000,"")</f>
        <v/>
      </c>
      <c r="U1192" s="9">
        <f>IF(Q1192="비교",ABS(P1192)+ROW()/1000000000,"")</f>
        <v/>
      </c>
      <c r="V1192" s="64">
        <f>IF($A1192="","",IF(COUNTIF(변동분석!$E$7:$E$506,O1192)&gt;0,"Y","N"))</f>
        <v/>
      </c>
      <c r="W1192" s="64">
        <f>IF($A1192="","",IFERROR(INDEX(계정매핑!$D$5:$D$504,MATCH($F1192&amp;"",계정매핑!$A$5:$A$504,0)),"미매핑"))</f>
        <v/>
      </c>
      <c r="X1192" s="9">
        <f>IF($A1192="","",$F1192&amp;"")</f>
        <v/>
      </c>
      <c r="Y1192" s="94">
        <f>IF($A1192="",0,IF(AE1192="직접",IF(AF1192="비귀속",$P1192,0),$P1192*(1-AG1192)*IFERROR(INDEX(계정대체기준!$F$20:$F$49,MATCH($N1192,계정대체기준!$A$20:$A$49,0)),1)))</f>
        <v/>
      </c>
      <c r="Z1192" s="94">
        <f>IF($A1192="",0,IF(AE1192="직접",IF(AF1192="신계약비",$P1192,0),$P1192*(1-AG1192)*IFERROR(INDEX(계정대체기준!$C$20:$C$49,MATCH($N1192,계정대체기준!$A$20:$A$49,0)),0)))</f>
        <v/>
      </c>
      <c r="AA1192" s="94">
        <f>IF($A1192="",0,IF(AE1192="직접",IF(OR(AF1192="유지비",AF1192="손해조사비"),$P1192,0),$P1192*(1-AG1192)*IFERROR(INDEX(계정대체기준!$D$20:$D$49,MATCH($N1192,계정대체기준!$A$20:$A$49,0)),0)))</f>
        <v/>
      </c>
      <c r="AB1192" s="94">
        <f>IF($A1192="",0,IF(AE1192="직접",IF(AF1192="수금비",$P1192,0),$P1192*(1-AG1192)*IFERROR(INDEX(계정대체기준!$E$20:$E$49,MATCH($N1192,계정대체기준!$A$20:$A$49,0)),0)))</f>
        <v/>
      </c>
      <c r="AC1192" s="9">
        <f>IF(AND($A1192&lt;&gt;"",M1192=설정!$C$20,Z1192&gt;0),Z1192+ROW()/1000000000,"")</f>
        <v/>
      </c>
      <c r="AD1192" s="94">
        <f>IF($A1192="",0,$P1192*AG1192)</f>
        <v/>
      </c>
      <c r="AE1192" s="64">
        <f>IF($A1192="","",IFERROR(INDEX(계정매핑!$E$5:$E$504,MATCH($F1192&amp;"",계정매핑!$A$5:$A$504,0))&amp;"","공통비"))</f>
        <v/>
      </c>
      <c r="AF1192" s="64">
        <f>IF($A1192="","",IF(AE1192="직접",IFERROR(INDEX(계정매핑!$F$5:$F$504,MATCH($F1192&amp;"",계정매핑!$A$5:$A$504,0))&amp;"","비귀속"),""))</f>
        <v/>
      </c>
      <c r="AG1192" s="96">
        <f>IF($A1192="",0,IF(AND(AE1192&lt;&gt;"직접",IFERROR(INDEX(계정매핑!$G$5:$G$504,MATCH($F1192&amp;"",계정매핑!$A$5:$A$504,0))&amp;"","")="유지비",COUNTIF(계정대체기준!$A$6:$A$15,$N1192)&gt;0),IFERROR(INDEX(계정대체기준!$E$6:$E$15,MATCH(VALUE($A1192&amp;""),계정대체기준!$D$6:$D$15,0)),0),0))</f>
        <v/>
      </c>
      <c r="AH1192" s="64">
        <f>IF($A1192="","",IF(AD1192=0,"",IF(OR(COUNTIF(계정대체기준!$A$77:$A$86,$N1192)&gt;0,ISNUMBER(MATCH($X1192,계정대체기준!$D$77:$D$86,0)),ISNUMBER(MATCH($F1192,계정대체기준!$D$77:$D$86,0))),"Y","N")))</f>
        <v/>
      </c>
    </row>
    <row r="1193">
      <c r="A1193" s="92" t="n">
        <v>2025</v>
      </c>
      <c r="B1193" s="92" t="n">
        <v>6</v>
      </c>
      <c r="C1193" s="92" t="inlineStr">
        <is>
          <t>5100001189</t>
        </is>
      </c>
      <c r="D1193" s="95" t="n">
        <v>45816</v>
      </c>
      <c r="E1193" s="92" t="inlineStr">
        <is>
          <t>KR</t>
        </is>
      </c>
      <c r="F1193" s="92" t="n">
        <v>62102000</v>
      </c>
      <c r="G1193" s="92" t="n">
        <v>1701</v>
      </c>
      <c r="H1193" s="93" t="n">
        <v>56000</v>
      </c>
      <c r="I1193" s="92" t="inlineStr">
        <is>
          <t>6월 해외출장 - N호텔</t>
        </is>
      </c>
      <c r="J1193" s="92" t="inlineStr">
        <is>
          <t>V10009</t>
        </is>
      </c>
      <c r="K1193" s="92" t="inlineStr">
        <is>
          <t>N호텔</t>
        </is>
      </c>
      <c r="M1193" s="9">
        <f>IF($A1193="","",VALUE($A1193&amp;"")*12+VALUE($B1193&amp;""))</f>
        <v/>
      </c>
      <c r="N1193" s="64">
        <f>IF($A1193="","",IFERROR(INDEX(부서매핑!$C$5:$C$504,MATCH($G1193&amp;"",부서매핑!$A$5:$A$504,0)),"미매핑"))</f>
        <v/>
      </c>
      <c r="O1193" s="9">
        <f>IF($A1193="","",N1193&amp;"|"&amp;$F1193)</f>
        <v/>
      </c>
      <c r="P1193" s="94">
        <f>IF($A1193="",0,$H1193*설정!$C$23)</f>
        <v/>
      </c>
      <c r="Q1193" s="64">
        <f>IF($A1193="","",IF(O1193&lt;&gt;원인분석!$C$9,"",IF(AND(M1193&gt;=원인분석!$C$10,M1193&lt;=원인분석!$C$11),"당기",IF(AND(M1193&gt;=원인분석!$C$12,M1193&lt;=원인분석!$C$13),"비교",""))))</f>
        <v/>
      </c>
      <c r="R1193" s="9">
        <f>IF(Q1193="","",$K1193&amp;"")</f>
        <v/>
      </c>
      <c r="S1193" s="9">
        <f>IF(Q1193="","",IF(MATCH(R1193,$R$5:$R$100000,0)=ROW()-4,ROW(),""))</f>
        <v/>
      </c>
      <c r="T1193" s="9">
        <f>IF(Q1193="당기",ABS(P1193)+ROW()/1000000000,"")</f>
        <v/>
      </c>
      <c r="U1193" s="9">
        <f>IF(Q1193="비교",ABS(P1193)+ROW()/1000000000,"")</f>
        <v/>
      </c>
      <c r="V1193" s="64">
        <f>IF($A1193="","",IF(COUNTIF(변동분석!$E$7:$E$506,O1193)&gt;0,"Y","N"))</f>
        <v/>
      </c>
      <c r="W1193" s="64">
        <f>IF($A1193="","",IFERROR(INDEX(계정매핑!$D$5:$D$504,MATCH($F1193&amp;"",계정매핑!$A$5:$A$504,0)),"미매핑"))</f>
        <v/>
      </c>
      <c r="X1193" s="9">
        <f>IF($A1193="","",$F1193&amp;"")</f>
        <v/>
      </c>
      <c r="Y1193" s="94">
        <f>IF($A1193="",0,IF(AE1193="직접",IF(AF1193="비귀속",$P1193,0),$P1193*(1-AG1193)*IFERROR(INDEX(계정대체기준!$F$20:$F$49,MATCH($N1193,계정대체기준!$A$20:$A$49,0)),1)))</f>
        <v/>
      </c>
      <c r="Z1193" s="94">
        <f>IF($A1193="",0,IF(AE1193="직접",IF(AF1193="신계약비",$P1193,0),$P1193*(1-AG1193)*IFERROR(INDEX(계정대체기준!$C$20:$C$49,MATCH($N1193,계정대체기준!$A$20:$A$49,0)),0)))</f>
        <v/>
      </c>
      <c r="AA1193" s="94">
        <f>IF($A1193="",0,IF(AE1193="직접",IF(OR(AF1193="유지비",AF1193="손해조사비"),$P1193,0),$P1193*(1-AG1193)*IFERROR(INDEX(계정대체기준!$D$20:$D$49,MATCH($N1193,계정대체기준!$A$20:$A$49,0)),0)))</f>
        <v/>
      </c>
      <c r="AB1193" s="94">
        <f>IF($A1193="",0,IF(AE1193="직접",IF(AF1193="수금비",$P1193,0),$P1193*(1-AG1193)*IFERROR(INDEX(계정대체기준!$E$20:$E$49,MATCH($N1193,계정대체기준!$A$20:$A$49,0)),0)))</f>
        <v/>
      </c>
      <c r="AC1193" s="9">
        <f>IF(AND($A1193&lt;&gt;"",M1193=설정!$C$20,Z1193&gt;0),Z1193+ROW()/1000000000,"")</f>
        <v/>
      </c>
      <c r="AD1193" s="94">
        <f>IF($A1193="",0,$P1193*AG1193)</f>
        <v/>
      </c>
      <c r="AE1193" s="64">
        <f>IF($A1193="","",IFERROR(INDEX(계정매핑!$E$5:$E$504,MATCH($F1193&amp;"",계정매핑!$A$5:$A$504,0))&amp;"","공통비"))</f>
        <v/>
      </c>
      <c r="AF1193" s="64">
        <f>IF($A1193="","",IF(AE1193="직접",IFERROR(INDEX(계정매핑!$F$5:$F$504,MATCH($F1193&amp;"",계정매핑!$A$5:$A$504,0))&amp;"","비귀속"),""))</f>
        <v/>
      </c>
      <c r="AG1193" s="96">
        <f>IF($A1193="",0,IF(AND(AE1193&lt;&gt;"직접",IFERROR(INDEX(계정매핑!$G$5:$G$504,MATCH($F1193&amp;"",계정매핑!$A$5:$A$504,0))&amp;"","")="유지비",COUNTIF(계정대체기준!$A$6:$A$15,$N1193)&gt;0),IFERROR(INDEX(계정대체기준!$E$6:$E$15,MATCH(VALUE($A1193&amp;""),계정대체기준!$D$6:$D$15,0)),0),0))</f>
        <v/>
      </c>
      <c r="AH1193" s="64">
        <f>IF($A1193="","",IF(AD1193=0,"",IF(OR(COUNTIF(계정대체기준!$A$77:$A$86,$N1193)&gt;0,ISNUMBER(MATCH($X1193,계정대체기준!$D$77:$D$86,0)),ISNUMBER(MATCH($F1193,계정대체기준!$D$77:$D$86,0))),"Y","N")))</f>
        <v/>
      </c>
    </row>
    <row r="1194">
      <c r="A1194" s="92" t="n">
        <v>2025</v>
      </c>
      <c r="B1194" s="92" t="n">
        <v>6</v>
      </c>
      <c r="C1194" s="92" t="inlineStr">
        <is>
          <t>5100001190</t>
        </is>
      </c>
      <c r="D1194" s="95" t="n">
        <v>45816</v>
      </c>
      <c r="E1194" s="92" t="inlineStr">
        <is>
          <t>KR</t>
        </is>
      </c>
      <c r="F1194" s="92" t="n">
        <v>62301000</v>
      </c>
      <c r="G1194" s="92" t="n">
        <v>1501</v>
      </c>
      <c r="H1194" s="93" t="n">
        <v>376000</v>
      </c>
      <c r="I1194" s="92" t="inlineStr">
        <is>
          <t>6월 소모품 구입 - Q오피스</t>
        </is>
      </c>
      <c r="J1194" s="92" t="inlineStr">
        <is>
          <t>V10003</t>
        </is>
      </c>
      <c r="K1194" s="92" t="inlineStr">
        <is>
          <t>Q오피스</t>
        </is>
      </c>
      <c r="M1194" s="9">
        <f>IF($A1194="","",VALUE($A1194&amp;"")*12+VALUE($B1194&amp;""))</f>
        <v/>
      </c>
      <c r="N1194" s="64">
        <f>IF($A1194="","",IFERROR(INDEX(부서매핑!$C$5:$C$504,MATCH($G1194&amp;"",부서매핑!$A$5:$A$504,0)),"미매핑"))</f>
        <v/>
      </c>
      <c r="O1194" s="9">
        <f>IF($A1194="","",N1194&amp;"|"&amp;$F1194)</f>
        <v/>
      </c>
      <c r="P1194" s="94">
        <f>IF($A1194="",0,$H1194*설정!$C$23)</f>
        <v/>
      </c>
      <c r="Q1194" s="64">
        <f>IF($A1194="","",IF(O1194&lt;&gt;원인분석!$C$9,"",IF(AND(M1194&gt;=원인분석!$C$10,M1194&lt;=원인분석!$C$11),"당기",IF(AND(M1194&gt;=원인분석!$C$12,M1194&lt;=원인분석!$C$13),"비교",""))))</f>
        <v/>
      </c>
      <c r="R1194" s="9">
        <f>IF(Q1194="","",$K1194&amp;"")</f>
        <v/>
      </c>
      <c r="S1194" s="9">
        <f>IF(Q1194="","",IF(MATCH(R1194,$R$5:$R$100000,0)=ROW()-4,ROW(),""))</f>
        <v/>
      </c>
      <c r="T1194" s="9">
        <f>IF(Q1194="당기",ABS(P1194)+ROW()/1000000000,"")</f>
        <v/>
      </c>
      <c r="U1194" s="9">
        <f>IF(Q1194="비교",ABS(P1194)+ROW()/1000000000,"")</f>
        <v/>
      </c>
      <c r="V1194" s="64">
        <f>IF($A1194="","",IF(COUNTIF(변동분석!$E$7:$E$506,O1194)&gt;0,"Y","N"))</f>
        <v/>
      </c>
      <c r="W1194" s="64">
        <f>IF($A1194="","",IFERROR(INDEX(계정매핑!$D$5:$D$504,MATCH($F1194&amp;"",계정매핑!$A$5:$A$504,0)),"미매핑"))</f>
        <v/>
      </c>
      <c r="X1194" s="9">
        <f>IF($A1194="","",$F1194&amp;"")</f>
        <v/>
      </c>
      <c r="Y1194" s="94">
        <f>IF($A1194="",0,IF(AE1194="직접",IF(AF1194="비귀속",$P1194,0),$P1194*(1-AG1194)*IFERROR(INDEX(계정대체기준!$F$20:$F$49,MATCH($N1194,계정대체기준!$A$20:$A$49,0)),1)))</f>
        <v/>
      </c>
      <c r="Z1194" s="94">
        <f>IF($A1194="",0,IF(AE1194="직접",IF(AF1194="신계약비",$P1194,0),$P1194*(1-AG1194)*IFERROR(INDEX(계정대체기준!$C$20:$C$49,MATCH($N1194,계정대체기준!$A$20:$A$49,0)),0)))</f>
        <v/>
      </c>
      <c r="AA1194" s="94">
        <f>IF($A1194="",0,IF(AE1194="직접",IF(OR(AF1194="유지비",AF1194="손해조사비"),$P1194,0),$P1194*(1-AG1194)*IFERROR(INDEX(계정대체기준!$D$20:$D$49,MATCH($N1194,계정대체기준!$A$20:$A$49,0)),0)))</f>
        <v/>
      </c>
      <c r="AB1194" s="94">
        <f>IF($A1194="",0,IF(AE1194="직접",IF(AF1194="수금비",$P1194,0),$P1194*(1-AG1194)*IFERROR(INDEX(계정대체기준!$E$20:$E$49,MATCH($N1194,계정대체기준!$A$20:$A$49,0)),0)))</f>
        <v/>
      </c>
      <c r="AC1194" s="9">
        <f>IF(AND($A1194&lt;&gt;"",M1194=설정!$C$20,Z1194&gt;0),Z1194+ROW()/1000000000,"")</f>
        <v/>
      </c>
      <c r="AD1194" s="94">
        <f>IF($A1194="",0,$P1194*AG1194)</f>
        <v/>
      </c>
      <c r="AE1194" s="64">
        <f>IF($A1194="","",IFERROR(INDEX(계정매핑!$E$5:$E$504,MATCH($F1194&amp;"",계정매핑!$A$5:$A$504,0))&amp;"","공통비"))</f>
        <v/>
      </c>
      <c r="AF1194" s="64">
        <f>IF($A1194="","",IF(AE1194="직접",IFERROR(INDEX(계정매핑!$F$5:$F$504,MATCH($F1194&amp;"",계정매핑!$A$5:$A$504,0))&amp;"","비귀속"),""))</f>
        <v/>
      </c>
      <c r="AG1194" s="96">
        <f>IF($A1194="",0,IF(AND(AE1194&lt;&gt;"직접",IFERROR(INDEX(계정매핑!$G$5:$G$504,MATCH($F1194&amp;"",계정매핑!$A$5:$A$504,0))&amp;"","")="유지비",COUNTIF(계정대체기준!$A$6:$A$15,$N1194)&gt;0),IFERROR(INDEX(계정대체기준!$E$6:$E$15,MATCH(VALUE($A1194&amp;""),계정대체기준!$D$6:$D$15,0)),0),0))</f>
        <v/>
      </c>
      <c r="AH1194" s="64">
        <f>IF($A1194="","",IF(AD1194=0,"",IF(OR(COUNTIF(계정대체기준!$A$77:$A$86,$N1194)&gt;0,ISNUMBER(MATCH($X1194,계정대체기준!$D$77:$D$86,0)),ISNUMBER(MATCH($F1194,계정대체기준!$D$77:$D$86,0))),"Y","N")))</f>
        <v/>
      </c>
    </row>
    <row r="1195">
      <c r="A1195" s="92" t="n">
        <v>2025</v>
      </c>
      <c r="B1195" s="92" t="n">
        <v>6</v>
      </c>
      <c r="C1195" s="92" t="inlineStr">
        <is>
          <t>5100001191</t>
        </is>
      </c>
      <c r="D1195" s="95" t="n">
        <v>45816</v>
      </c>
      <c r="E1195" s="92" t="inlineStr">
        <is>
          <t>KR</t>
        </is>
      </c>
      <c r="F1195" s="92" t="n">
        <v>62401000</v>
      </c>
      <c r="G1195" s="92" t="n">
        <v>1401</v>
      </c>
      <c r="H1195" s="93" t="n">
        <v>285000</v>
      </c>
      <c r="I1195" s="92" t="inlineStr">
        <is>
          <t>6월 인쇄물 제작 - S출판</t>
        </is>
      </c>
      <c r="J1195" s="92" t="inlineStr">
        <is>
          <t>V10015</t>
        </is>
      </c>
      <c r="K1195" s="92" t="inlineStr">
        <is>
          <t>S출판</t>
        </is>
      </c>
      <c r="M1195" s="9">
        <f>IF($A1195="","",VALUE($A1195&amp;"")*12+VALUE($B1195&amp;""))</f>
        <v/>
      </c>
      <c r="N1195" s="64">
        <f>IF($A1195="","",IFERROR(INDEX(부서매핑!$C$5:$C$504,MATCH($G1195&amp;"",부서매핑!$A$5:$A$504,0)),"미매핑"))</f>
        <v/>
      </c>
      <c r="O1195" s="9">
        <f>IF($A1195="","",N1195&amp;"|"&amp;$F1195)</f>
        <v/>
      </c>
      <c r="P1195" s="94">
        <f>IF($A1195="",0,$H1195*설정!$C$23)</f>
        <v/>
      </c>
      <c r="Q1195" s="64">
        <f>IF($A1195="","",IF(O1195&lt;&gt;원인분석!$C$9,"",IF(AND(M1195&gt;=원인분석!$C$10,M1195&lt;=원인분석!$C$11),"당기",IF(AND(M1195&gt;=원인분석!$C$12,M1195&lt;=원인분석!$C$13),"비교",""))))</f>
        <v/>
      </c>
      <c r="R1195" s="9">
        <f>IF(Q1195="","",$K1195&amp;"")</f>
        <v/>
      </c>
      <c r="S1195" s="9">
        <f>IF(Q1195="","",IF(MATCH(R1195,$R$5:$R$100000,0)=ROW()-4,ROW(),""))</f>
        <v/>
      </c>
      <c r="T1195" s="9">
        <f>IF(Q1195="당기",ABS(P1195)+ROW()/1000000000,"")</f>
        <v/>
      </c>
      <c r="U1195" s="9">
        <f>IF(Q1195="비교",ABS(P1195)+ROW()/1000000000,"")</f>
        <v/>
      </c>
      <c r="V1195" s="64">
        <f>IF($A1195="","",IF(COUNTIF(변동분석!$E$7:$E$506,O1195)&gt;0,"Y","N"))</f>
        <v/>
      </c>
      <c r="W1195" s="64">
        <f>IF($A1195="","",IFERROR(INDEX(계정매핑!$D$5:$D$504,MATCH($F1195&amp;"",계정매핑!$A$5:$A$504,0)),"미매핑"))</f>
        <v/>
      </c>
      <c r="X1195" s="9">
        <f>IF($A1195="","",$F1195&amp;"")</f>
        <v/>
      </c>
      <c r="Y1195" s="94">
        <f>IF($A1195="",0,IF(AE1195="직접",IF(AF1195="비귀속",$P1195,0),$P1195*(1-AG1195)*IFERROR(INDEX(계정대체기준!$F$20:$F$49,MATCH($N1195,계정대체기준!$A$20:$A$49,0)),1)))</f>
        <v/>
      </c>
      <c r="Z1195" s="94">
        <f>IF($A1195="",0,IF(AE1195="직접",IF(AF1195="신계약비",$P1195,0),$P1195*(1-AG1195)*IFERROR(INDEX(계정대체기준!$C$20:$C$49,MATCH($N1195,계정대체기준!$A$20:$A$49,0)),0)))</f>
        <v/>
      </c>
      <c r="AA1195" s="94">
        <f>IF($A1195="",0,IF(AE1195="직접",IF(OR(AF1195="유지비",AF1195="손해조사비"),$P1195,0),$P1195*(1-AG1195)*IFERROR(INDEX(계정대체기준!$D$20:$D$49,MATCH($N1195,계정대체기준!$A$20:$A$49,0)),0)))</f>
        <v/>
      </c>
      <c r="AB1195" s="94">
        <f>IF($A1195="",0,IF(AE1195="직접",IF(AF1195="수금비",$P1195,0),$P1195*(1-AG1195)*IFERROR(INDEX(계정대체기준!$E$20:$E$49,MATCH($N1195,계정대체기준!$A$20:$A$49,0)),0)))</f>
        <v/>
      </c>
      <c r="AC1195" s="9">
        <f>IF(AND($A1195&lt;&gt;"",M1195=설정!$C$20,Z1195&gt;0),Z1195+ROW()/1000000000,"")</f>
        <v/>
      </c>
      <c r="AD1195" s="94">
        <f>IF($A1195="",0,$P1195*AG1195)</f>
        <v/>
      </c>
      <c r="AE1195" s="64">
        <f>IF($A1195="","",IFERROR(INDEX(계정매핑!$E$5:$E$504,MATCH($F1195&amp;"",계정매핑!$A$5:$A$504,0))&amp;"","공통비"))</f>
        <v/>
      </c>
      <c r="AF1195" s="64">
        <f>IF($A1195="","",IF(AE1195="직접",IFERROR(INDEX(계정매핑!$F$5:$F$504,MATCH($F1195&amp;"",계정매핑!$A$5:$A$504,0))&amp;"","비귀속"),""))</f>
        <v/>
      </c>
      <c r="AG1195" s="96">
        <f>IF($A1195="",0,IF(AND(AE1195&lt;&gt;"직접",IFERROR(INDEX(계정매핑!$G$5:$G$504,MATCH($F1195&amp;"",계정매핑!$A$5:$A$504,0))&amp;"","")="유지비",COUNTIF(계정대체기준!$A$6:$A$15,$N1195)&gt;0),IFERROR(INDEX(계정대체기준!$E$6:$E$15,MATCH(VALUE($A1195&amp;""),계정대체기준!$D$6:$D$15,0)),0),0))</f>
        <v/>
      </c>
      <c r="AH1195" s="64">
        <f>IF($A1195="","",IF(AD1195=0,"",IF(OR(COUNTIF(계정대체기준!$A$77:$A$86,$N1195)&gt;0,ISNUMBER(MATCH($X1195,계정대체기준!$D$77:$D$86,0)),ISNUMBER(MATCH($F1195,계정대체기준!$D$77:$D$86,0))),"Y","N")))</f>
        <v/>
      </c>
    </row>
    <row r="1196">
      <c r="A1196" s="92" t="n">
        <v>2025</v>
      </c>
      <c r="B1196" s="92" t="n">
        <v>6</v>
      </c>
      <c r="C1196" s="92" t="inlineStr">
        <is>
          <t>5100001192</t>
        </is>
      </c>
      <c r="D1196" s="95" t="n">
        <v>45816</v>
      </c>
      <c r="E1196" s="92" t="inlineStr">
        <is>
          <t>KR</t>
        </is>
      </c>
      <c r="F1196" s="92" t="n">
        <v>62501000</v>
      </c>
      <c r="G1196" s="92" t="n">
        <v>1501</v>
      </c>
      <c r="H1196" s="93" t="n">
        <v>534000</v>
      </c>
      <c r="I1196" s="92" t="inlineStr">
        <is>
          <t>6월 회의 다과 - (법인카드)</t>
        </is>
      </c>
      <c r="J1196" s="92" t="inlineStr">
        <is>
          <t>V10010</t>
        </is>
      </c>
      <c r="K1196" s="92" t="inlineStr">
        <is>
          <t>(법인카드)</t>
        </is>
      </c>
      <c r="M1196" s="9">
        <f>IF($A1196="","",VALUE($A1196&amp;"")*12+VALUE($B1196&amp;""))</f>
        <v/>
      </c>
      <c r="N1196" s="64">
        <f>IF($A1196="","",IFERROR(INDEX(부서매핑!$C$5:$C$504,MATCH($G1196&amp;"",부서매핑!$A$5:$A$504,0)),"미매핑"))</f>
        <v/>
      </c>
      <c r="O1196" s="9">
        <f>IF($A1196="","",N1196&amp;"|"&amp;$F1196)</f>
        <v/>
      </c>
      <c r="P1196" s="94">
        <f>IF($A1196="",0,$H1196*설정!$C$23)</f>
        <v/>
      </c>
      <c r="Q1196" s="64">
        <f>IF($A1196="","",IF(O1196&lt;&gt;원인분석!$C$9,"",IF(AND(M1196&gt;=원인분석!$C$10,M1196&lt;=원인분석!$C$11),"당기",IF(AND(M1196&gt;=원인분석!$C$12,M1196&lt;=원인분석!$C$13),"비교",""))))</f>
        <v/>
      </c>
      <c r="R1196" s="9">
        <f>IF(Q1196="","",$K1196&amp;"")</f>
        <v/>
      </c>
      <c r="S1196" s="9">
        <f>IF(Q1196="","",IF(MATCH(R1196,$R$5:$R$100000,0)=ROW()-4,ROW(),""))</f>
        <v/>
      </c>
      <c r="T1196" s="9">
        <f>IF(Q1196="당기",ABS(P1196)+ROW()/1000000000,"")</f>
        <v/>
      </c>
      <c r="U1196" s="9">
        <f>IF(Q1196="비교",ABS(P1196)+ROW()/1000000000,"")</f>
        <v/>
      </c>
      <c r="V1196" s="64">
        <f>IF($A1196="","",IF(COUNTIF(변동분석!$E$7:$E$506,O1196)&gt;0,"Y","N"))</f>
        <v/>
      </c>
      <c r="W1196" s="64">
        <f>IF($A1196="","",IFERROR(INDEX(계정매핑!$D$5:$D$504,MATCH($F1196&amp;"",계정매핑!$A$5:$A$504,0)),"미매핑"))</f>
        <v/>
      </c>
      <c r="X1196" s="9">
        <f>IF($A1196="","",$F1196&amp;"")</f>
        <v/>
      </c>
      <c r="Y1196" s="94">
        <f>IF($A1196="",0,IF(AE1196="직접",IF(AF1196="비귀속",$P1196,0),$P1196*(1-AG1196)*IFERROR(INDEX(계정대체기준!$F$20:$F$49,MATCH($N1196,계정대체기준!$A$20:$A$49,0)),1)))</f>
        <v/>
      </c>
      <c r="Z1196" s="94">
        <f>IF($A1196="",0,IF(AE1196="직접",IF(AF1196="신계약비",$P1196,0),$P1196*(1-AG1196)*IFERROR(INDEX(계정대체기준!$C$20:$C$49,MATCH($N1196,계정대체기준!$A$20:$A$49,0)),0)))</f>
        <v/>
      </c>
      <c r="AA1196" s="94">
        <f>IF($A1196="",0,IF(AE1196="직접",IF(OR(AF1196="유지비",AF1196="손해조사비"),$P1196,0),$P1196*(1-AG1196)*IFERROR(INDEX(계정대체기준!$D$20:$D$49,MATCH($N1196,계정대체기준!$A$20:$A$49,0)),0)))</f>
        <v/>
      </c>
      <c r="AB1196" s="94">
        <f>IF($A1196="",0,IF(AE1196="직접",IF(AF1196="수금비",$P1196,0),$P1196*(1-AG1196)*IFERROR(INDEX(계정대체기준!$E$20:$E$49,MATCH($N1196,계정대체기준!$A$20:$A$49,0)),0)))</f>
        <v/>
      </c>
      <c r="AC1196" s="9">
        <f>IF(AND($A1196&lt;&gt;"",M1196=설정!$C$20,Z1196&gt;0),Z1196+ROW()/1000000000,"")</f>
        <v/>
      </c>
      <c r="AD1196" s="94">
        <f>IF($A1196="",0,$P1196*AG1196)</f>
        <v/>
      </c>
      <c r="AE1196" s="64">
        <f>IF($A1196="","",IFERROR(INDEX(계정매핑!$E$5:$E$504,MATCH($F1196&amp;"",계정매핑!$A$5:$A$504,0))&amp;"","공통비"))</f>
        <v/>
      </c>
      <c r="AF1196" s="64">
        <f>IF($A1196="","",IF(AE1196="직접",IFERROR(INDEX(계정매핑!$F$5:$F$504,MATCH($F1196&amp;"",계정매핑!$A$5:$A$504,0))&amp;"","비귀속"),""))</f>
        <v/>
      </c>
      <c r="AG1196" s="96">
        <f>IF($A1196="",0,IF(AND(AE1196&lt;&gt;"직접",IFERROR(INDEX(계정매핑!$G$5:$G$504,MATCH($F1196&amp;"",계정매핑!$A$5:$A$504,0))&amp;"","")="유지비",COUNTIF(계정대체기준!$A$6:$A$15,$N1196)&gt;0),IFERROR(INDEX(계정대체기준!$E$6:$E$15,MATCH(VALUE($A1196&amp;""),계정대체기준!$D$6:$D$15,0)),0),0))</f>
        <v/>
      </c>
      <c r="AH1196" s="64">
        <f>IF($A1196="","",IF(AD1196=0,"",IF(OR(COUNTIF(계정대체기준!$A$77:$A$86,$N1196)&gt;0,ISNUMBER(MATCH($X1196,계정대체기준!$D$77:$D$86,0)),ISNUMBER(MATCH($F1196,계정대체기준!$D$77:$D$86,0))),"Y","N")))</f>
        <v/>
      </c>
    </row>
    <row r="1197">
      <c r="A1197" s="92" t="n">
        <v>2025</v>
      </c>
      <c r="B1197" s="92" t="n">
        <v>6</v>
      </c>
      <c r="C1197" s="92" t="inlineStr">
        <is>
          <t>5100001193</t>
        </is>
      </c>
      <c r="D1197" s="95" t="n">
        <v>45816</v>
      </c>
      <c r="E1197" s="92" t="inlineStr">
        <is>
          <t>KR</t>
        </is>
      </c>
      <c r="F1197" s="92" t="n">
        <v>62501000</v>
      </c>
      <c r="G1197" s="92" t="n">
        <v>1701</v>
      </c>
      <c r="H1197" s="93" t="n">
        <v>158000</v>
      </c>
      <c r="I1197" s="92" t="inlineStr">
        <is>
          <t>6월 회의 다과 - (법인카드)</t>
        </is>
      </c>
      <c r="J1197" s="92" t="inlineStr">
        <is>
          <t>V10010</t>
        </is>
      </c>
      <c r="K1197" s="92" t="inlineStr">
        <is>
          <t>(법인카드)</t>
        </is>
      </c>
      <c r="M1197" s="9">
        <f>IF($A1197="","",VALUE($A1197&amp;"")*12+VALUE($B1197&amp;""))</f>
        <v/>
      </c>
      <c r="N1197" s="64">
        <f>IF($A1197="","",IFERROR(INDEX(부서매핑!$C$5:$C$504,MATCH($G1197&amp;"",부서매핑!$A$5:$A$504,0)),"미매핑"))</f>
        <v/>
      </c>
      <c r="O1197" s="9">
        <f>IF($A1197="","",N1197&amp;"|"&amp;$F1197)</f>
        <v/>
      </c>
      <c r="P1197" s="94">
        <f>IF($A1197="",0,$H1197*설정!$C$23)</f>
        <v/>
      </c>
      <c r="Q1197" s="64">
        <f>IF($A1197="","",IF(O1197&lt;&gt;원인분석!$C$9,"",IF(AND(M1197&gt;=원인분석!$C$10,M1197&lt;=원인분석!$C$11),"당기",IF(AND(M1197&gt;=원인분석!$C$12,M1197&lt;=원인분석!$C$13),"비교",""))))</f>
        <v/>
      </c>
      <c r="R1197" s="9">
        <f>IF(Q1197="","",$K1197&amp;"")</f>
        <v/>
      </c>
      <c r="S1197" s="9">
        <f>IF(Q1197="","",IF(MATCH(R1197,$R$5:$R$100000,0)=ROW()-4,ROW(),""))</f>
        <v/>
      </c>
      <c r="T1197" s="9">
        <f>IF(Q1197="당기",ABS(P1197)+ROW()/1000000000,"")</f>
        <v/>
      </c>
      <c r="U1197" s="9">
        <f>IF(Q1197="비교",ABS(P1197)+ROW()/1000000000,"")</f>
        <v/>
      </c>
      <c r="V1197" s="64">
        <f>IF($A1197="","",IF(COUNTIF(변동분석!$E$7:$E$506,O1197)&gt;0,"Y","N"))</f>
        <v/>
      </c>
      <c r="W1197" s="64">
        <f>IF($A1197="","",IFERROR(INDEX(계정매핑!$D$5:$D$504,MATCH($F1197&amp;"",계정매핑!$A$5:$A$504,0)),"미매핑"))</f>
        <v/>
      </c>
      <c r="X1197" s="9">
        <f>IF($A1197="","",$F1197&amp;"")</f>
        <v/>
      </c>
      <c r="Y1197" s="94">
        <f>IF($A1197="",0,IF(AE1197="직접",IF(AF1197="비귀속",$P1197,0),$P1197*(1-AG1197)*IFERROR(INDEX(계정대체기준!$F$20:$F$49,MATCH($N1197,계정대체기준!$A$20:$A$49,0)),1)))</f>
        <v/>
      </c>
      <c r="Z1197" s="94">
        <f>IF($A1197="",0,IF(AE1197="직접",IF(AF1197="신계약비",$P1197,0),$P1197*(1-AG1197)*IFERROR(INDEX(계정대체기준!$C$20:$C$49,MATCH($N1197,계정대체기준!$A$20:$A$49,0)),0)))</f>
        <v/>
      </c>
      <c r="AA1197" s="94">
        <f>IF($A1197="",0,IF(AE1197="직접",IF(OR(AF1197="유지비",AF1197="손해조사비"),$P1197,0),$P1197*(1-AG1197)*IFERROR(INDEX(계정대체기준!$D$20:$D$49,MATCH($N1197,계정대체기준!$A$20:$A$49,0)),0)))</f>
        <v/>
      </c>
      <c r="AB1197" s="94">
        <f>IF($A1197="",0,IF(AE1197="직접",IF(AF1197="수금비",$P1197,0),$P1197*(1-AG1197)*IFERROR(INDEX(계정대체기준!$E$20:$E$49,MATCH($N1197,계정대체기준!$A$20:$A$49,0)),0)))</f>
        <v/>
      </c>
      <c r="AC1197" s="9">
        <f>IF(AND($A1197&lt;&gt;"",M1197=설정!$C$20,Z1197&gt;0),Z1197+ROW()/1000000000,"")</f>
        <v/>
      </c>
      <c r="AD1197" s="94">
        <f>IF($A1197="",0,$P1197*AG1197)</f>
        <v/>
      </c>
      <c r="AE1197" s="64">
        <f>IF($A1197="","",IFERROR(INDEX(계정매핑!$E$5:$E$504,MATCH($F1197&amp;"",계정매핑!$A$5:$A$504,0))&amp;"","공통비"))</f>
        <v/>
      </c>
      <c r="AF1197" s="64">
        <f>IF($A1197="","",IF(AE1197="직접",IFERROR(INDEX(계정매핑!$F$5:$F$504,MATCH($F1197&amp;"",계정매핑!$A$5:$A$504,0))&amp;"","비귀속"),""))</f>
        <v/>
      </c>
      <c r="AG1197" s="96">
        <f>IF($A1197="",0,IF(AND(AE1197&lt;&gt;"직접",IFERROR(INDEX(계정매핑!$G$5:$G$504,MATCH($F1197&amp;"",계정매핑!$A$5:$A$504,0))&amp;"","")="유지비",COUNTIF(계정대체기준!$A$6:$A$15,$N1197)&gt;0),IFERROR(INDEX(계정대체기준!$E$6:$E$15,MATCH(VALUE($A1197&amp;""),계정대체기준!$D$6:$D$15,0)),0),0))</f>
        <v/>
      </c>
      <c r="AH1197" s="64">
        <f>IF($A1197="","",IF(AD1197=0,"",IF(OR(COUNTIF(계정대체기준!$A$77:$A$86,$N1197)&gt;0,ISNUMBER(MATCH($X1197,계정대체기준!$D$77:$D$86,0)),ISNUMBER(MATCH($F1197,계정대체기준!$D$77:$D$86,0))),"Y","N")))</f>
        <v/>
      </c>
    </row>
    <row r="1198">
      <c r="A1198" s="92" t="n">
        <v>2025</v>
      </c>
      <c r="B1198" s="92" t="n">
        <v>6</v>
      </c>
      <c r="C1198" s="92" t="inlineStr">
        <is>
          <t>5100001194</t>
        </is>
      </c>
      <c r="D1198" s="95" t="n">
        <v>45816</v>
      </c>
      <c r="E1198" s="92" t="inlineStr">
        <is>
          <t>KR</t>
        </is>
      </c>
      <c r="F1198" s="92" t="n">
        <v>62901000</v>
      </c>
      <c r="G1198" s="92" t="n">
        <v>1951</v>
      </c>
      <c r="H1198" s="93" t="n">
        <v>3727000</v>
      </c>
      <c r="I1198" s="92" t="inlineStr">
        <is>
          <t>6월 자문 수수료 - K회계법인</t>
        </is>
      </c>
      <c r="J1198" s="92" t="inlineStr">
        <is>
          <t>V10011</t>
        </is>
      </c>
      <c r="K1198" s="92" t="inlineStr">
        <is>
          <t>K회계법인</t>
        </is>
      </c>
      <c r="M1198" s="9">
        <f>IF($A1198="","",VALUE($A1198&amp;"")*12+VALUE($B1198&amp;""))</f>
        <v/>
      </c>
      <c r="N1198" s="64">
        <f>IF($A1198="","",IFERROR(INDEX(부서매핑!$C$5:$C$504,MATCH($G1198&amp;"",부서매핑!$A$5:$A$504,0)),"미매핑"))</f>
        <v/>
      </c>
      <c r="O1198" s="9">
        <f>IF($A1198="","",N1198&amp;"|"&amp;$F1198)</f>
        <v/>
      </c>
      <c r="P1198" s="94">
        <f>IF($A1198="",0,$H1198*설정!$C$23)</f>
        <v/>
      </c>
      <c r="Q1198" s="64">
        <f>IF($A1198="","",IF(O1198&lt;&gt;원인분석!$C$9,"",IF(AND(M1198&gt;=원인분석!$C$10,M1198&lt;=원인분석!$C$11),"당기",IF(AND(M1198&gt;=원인분석!$C$12,M1198&lt;=원인분석!$C$13),"비교",""))))</f>
        <v/>
      </c>
      <c r="R1198" s="9">
        <f>IF(Q1198="","",$K1198&amp;"")</f>
        <v/>
      </c>
      <c r="S1198" s="9">
        <f>IF(Q1198="","",IF(MATCH(R1198,$R$5:$R$100000,0)=ROW()-4,ROW(),""))</f>
        <v/>
      </c>
      <c r="T1198" s="9">
        <f>IF(Q1198="당기",ABS(P1198)+ROW()/1000000000,"")</f>
        <v/>
      </c>
      <c r="U1198" s="9">
        <f>IF(Q1198="비교",ABS(P1198)+ROW()/1000000000,"")</f>
        <v/>
      </c>
      <c r="V1198" s="64">
        <f>IF($A1198="","",IF(COUNTIF(변동분석!$E$7:$E$506,O1198)&gt;0,"Y","N"))</f>
        <v/>
      </c>
      <c r="W1198" s="64">
        <f>IF($A1198="","",IFERROR(INDEX(계정매핑!$D$5:$D$504,MATCH($F1198&amp;"",계정매핑!$A$5:$A$504,0)),"미매핑"))</f>
        <v/>
      </c>
      <c r="X1198" s="9">
        <f>IF($A1198="","",$F1198&amp;"")</f>
        <v/>
      </c>
      <c r="Y1198" s="94">
        <f>IF($A1198="",0,IF(AE1198="직접",IF(AF1198="비귀속",$P1198,0),$P1198*(1-AG1198)*IFERROR(INDEX(계정대체기준!$F$20:$F$49,MATCH($N1198,계정대체기준!$A$20:$A$49,0)),1)))</f>
        <v/>
      </c>
      <c r="Z1198" s="94">
        <f>IF($A1198="",0,IF(AE1198="직접",IF(AF1198="신계약비",$P1198,0),$P1198*(1-AG1198)*IFERROR(INDEX(계정대체기준!$C$20:$C$49,MATCH($N1198,계정대체기준!$A$20:$A$49,0)),0)))</f>
        <v/>
      </c>
      <c r="AA1198" s="94">
        <f>IF($A1198="",0,IF(AE1198="직접",IF(OR(AF1198="유지비",AF1198="손해조사비"),$P1198,0),$P1198*(1-AG1198)*IFERROR(INDEX(계정대체기준!$D$20:$D$49,MATCH($N1198,계정대체기준!$A$20:$A$49,0)),0)))</f>
        <v/>
      </c>
      <c r="AB1198" s="94">
        <f>IF($A1198="",0,IF(AE1198="직접",IF(AF1198="수금비",$P1198,0),$P1198*(1-AG1198)*IFERROR(INDEX(계정대체기준!$E$20:$E$49,MATCH($N1198,계정대체기준!$A$20:$A$49,0)),0)))</f>
        <v/>
      </c>
      <c r="AC1198" s="9">
        <f>IF(AND($A1198&lt;&gt;"",M1198=설정!$C$20,Z1198&gt;0),Z1198+ROW()/1000000000,"")</f>
        <v/>
      </c>
      <c r="AD1198" s="94">
        <f>IF($A1198="",0,$P1198*AG1198)</f>
        <v/>
      </c>
      <c r="AE1198" s="64">
        <f>IF($A1198="","",IFERROR(INDEX(계정매핑!$E$5:$E$504,MATCH($F1198&amp;"",계정매핑!$A$5:$A$504,0))&amp;"","공통비"))</f>
        <v/>
      </c>
      <c r="AF1198" s="64">
        <f>IF($A1198="","",IF(AE1198="직접",IFERROR(INDEX(계정매핑!$F$5:$F$504,MATCH($F1198&amp;"",계정매핑!$A$5:$A$504,0))&amp;"","비귀속"),""))</f>
        <v/>
      </c>
      <c r="AG1198" s="96">
        <f>IF($A1198="",0,IF(AND(AE1198&lt;&gt;"직접",IFERROR(INDEX(계정매핑!$G$5:$G$504,MATCH($F1198&amp;"",계정매핑!$A$5:$A$504,0))&amp;"","")="유지비",COUNTIF(계정대체기준!$A$6:$A$15,$N1198)&gt;0),IFERROR(INDEX(계정대체기준!$E$6:$E$15,MATCH(VALUE($A1198&amp;""),계정대체기준!$D$6:$D$15,0)),0),0))</f>
        <v/>
      </c>
      <c r="AH1198" s="64">
        <f>IF($A1198="","",IF(AD1198=0,"",IF(OR(COUNTIF(계정대체기준!$A$77:$A$86,$N1198)&gt;0,ISNUMBER(MATCH($X1198,계정대체기준!$D$77:$D$86,0)),ISNUMBER(MATCH($F1198,계정대체기준!$D$77:$D$86,0))),"Y","N")))</f>
        <v/>
      </c>
    </row>
    <row r="1199">
      <c r="A1199" s="92" t="n">
        <v>2025</v>
      </c>
      <c r="B1199" s="92" t="n">
        <v>6</v>
      </c>
      <c r="C1199" s="92" t="inlineStr">
        <is>
          <t>5100001195</t>
        </is>
      </c>
      <c r="D1199" s="95" t="n">
        <v>45816</v>
      </c>
      <c r="E1199" s="92" t="inlineStr">
        <is>
          <t>KR</t>
        </is>
      </c>
      <c r="F1199" s="92" t="n">
        <v>63501000</v>
      </c>
      <c r="G1199" s="92" t="n">
        <v>1901</v>
      </c>
      <c r="H1199" s="93" t="n">
        <v>365884000</v>
      </c>
      <c r="I1199" s="92" t="inlineStr">
        <is>
          <t>6월 모집수수료 - AA보험대리점</t>
        </is>
      </c>
      <c r="J1199" s="92" t="inlineStr">
        <is>
          <t>V10034</t>
        </is>
      </c>
      <c r="K1199" s="92" t="inlineStr">
        <is>
          <t>AA보험대리점</t>
        </is>
      </c>
      <c r="M1199" s="9">
        <f>IF($A1199="","",VALUE($A1199&amp;"")*12+VALUE($B1199&amp;""))</f>
        <v/>
      </c>
      <c r="N1199" s="64">
        <f>IF($A1199="","",IFERROR(INDEX(부서매핑!$C$5:$C$504,MATCH($G1199&amp;"",부서매핑!$A$5:$A$504,0)),"미매핑"))</f>
        <v/>
      </c>
      <c r="O1199" s="9">
        <f>IF($A1199="","",N1199&amp;"|"&amp;$F1199)</f>
        <v/>
      </c>
      <c r="P1199" s="94">
        <f>IF($A1199="",0,$H1199*설정!$C$23)</f>
        <v/>
      </c>
      <c r="Q1199" s="64">
        <f>IF($A1199="","",IF(O1199&lt;&gt;원인분석!$C$9,"",IF(AND(M1199&gt;=원인분석!$C$10,M1199&lt;=원인분석!$C$11),"당기",IF(AND(M1199&gt;=원인분석!$C$12,M1199&lt;=원인분석!$C$13),"비교",""))))</f>
        <v/>
      </c>
      <c r="R1199" s="9">
        <f>IF(Q1199="","",$K1199&amp;"")</f>
        <v/>
      </c>
      <c r="S1199" s="9">
        <f>IF(Q1199="","",IF(MATCH(R1199,$R$5:$R$100000,0)=ROW()-4,ROW(),""))</f>
        <v/>
      </c>
      <c r="T1199" s="9">
        <f>IF(Q1199="당기",ABS(P1199)+ROW()/1000000000,"")</f>
        <v/>
      </c>
      <c r="U1199" s="9">
        <f>IF(Q1199="비교",ABS(P1199)+ROW()/1000000000,"")</f>
        <v/>
      </c>
      <c r="V1199" s="64">
        <f>IF($A1199="","",IF(COUNTIF(변동분석!$E$7:$E$506,O1199)&gt;0,"Y","N"))</f>
        <v/>
      </c>
      <c r="W1199" s="64">
        <f>IF($A1199="","",IFERROR(INDEX(계정매핑!$D$5:$D$504,MATCH($F1199&amp;"",계정매핑!$A$5:$A$504,0)),"미매핑"))</f>
        <v/>
      </c>
      <c r="X1199" s="9">
        <f>IF($A1199="","",$F1199&amp;"")</f>
        <v/>
      </c>
      <c r="Y1199" s="94">
        <f>IF($A1199="",0,IF(AE1199="직접",IF(AF1199="비귀속",$P1199,0),$P1199*(1-AG1199)*IFERROR(INDEX(계정대체기준!$F$20:$F$49,MATCH($N1199,계정대체기준!$A$20:$A$49,0)),1)))</f>
        <v/>
      </c>
      <c r="Z1199" s="94">
        <f>IF($A1199="",0,IF(AE1199="직접",IF(AF1199="신계약비",$P1199,0),$P1199*(1-AG1199)*IFERROR(INDEX(계정대체기준!$C$20:$C$49,MATCH($N1199,계정대체기준!$A$20:$A$49,0)),0)))</f>
        <v/>
      </c>
      <c r="AA1199" s="94">
        <f>IF($A1199="",0,IF(AE1199="직접",IF(OR(AF1199="유지비",AF1199="손해조사비"),$P1199,0),$P1199*(1-AG1199)*IFERROR(INDEX(계정대체기준!$D$20:$D$49,MATCH($N1199,계정대체기준!$A$20:$A$49,0)),0)))</f>
        <v/>
      </c>
      <c r="AB1199" s="94">
        <f>IF($A1199="",0,IF(AE1199="직접",IF(AF1199="수금비",$P1199,0),$P1199*(1-AG1199)*IFERROR(INDEX(계정대체기준!$E$20:$E$49,MATCH($N1199,계정대체기준!$A$20:$A$49,0)),0)))</f>
        <v/>
      </c>
      <c r="AC1199" s="9">
        <f>IF(AND($A1199&lt;&gt;"",M1199=설정!$C$20,Z1199&gt;0),Z1199+ROW()/1000000000,"")</f>
        <v/>
      </c>
      <c r="AD1199" s="94">
        <f>IF($A1199="",0,$P1199*AG1199)</f>
        <v/>
      </c>
      <c r="AE1199" s="64">
        <f>IF($A1199="","",IFERROR(INDEX(계정매핑!$E$5:$E$504,MATCH($F1199&amp;"",계정매핑!$A$5:$A$504,0))&amp;"","공통비"))</f>
        <v/>
      </c>
      <c r="AF1199" s="64">
        <f>IF($A1199="","",IF(AE1199="직접",IFERROR(INDEX(계정매핑!$F$5:$F$504,MATCH($F1199&amp;"",계정매핑!$A$5:$A$504,0))&amp;"","비귀속"),""))</f>
        <v/>
      </c>
      <c r="AG1199" s="96">
        <f>IF($A1199="",0,IF(AND(AE1199&lt;&gt;"직접",IFERROR(INDEX(계정매핑!$G$5:$G$504,MATCH($F1199&amp;"",계정매핑!$A$5:$A$504,0))&amp;"","")="유지비",COUNTIF(계정대체기준!$A$6:$A$15,$N1199)&gt;0),IFERROR(INDEX(계정대체기준!$E$6:$E$15,MATCH(VALUE($A1199&amp;""),계정대체기준!$D$6:$D$15,0)),0),0))</f>
        <v/>
      </c>
      <c r="AH1199" s="64">
        <f>IF($A1199="","",IF(AD1199=0,"",IF(OR(COUNTIF(계정대체기준!$A$77:$A$86,$N1199)&gt;0,ISNUMBER(MATCH($X1199,계정대체기준!$D$77:$D$86,0)),ISNUMBER(MATCH($F1199,계정대체기준!$D$77:$D$86,0))),"Y","N")))</f>
        <v/>
      </c>
    </row>
    <row r="1200">
      <c r="A1200" s="92" t="n">
        <v>2025</v>
      </c>
      <c r="B1200" s="92" t="n">
        <v>6</v>
      </c>
      <c r="C1200" s="92" t="inlineStr">
        <is>
          <t>5100001196</t>
        </is>
      </c>
      <c r="D1200" s="95" t="n">
        <v>45817</v>
      </c>
      <c r="E1200" s="92" t="inlineStr">
        <is>
          <t>KR</t>
        </is>
      </c>
      <c r="F1200" s="92" t="n">
        <v>62102000</v>
      </c>
      <c r="G1200" s="92" t="n">
        <v>1951</v>
      </c>
      <c r="H1200" s="93" t="n">
        <v>130000</v>
      </c>
      <c r="I1200" s="92" t="inlineStr">
        <is>
          <t>6월 해외출장 - M항공</t>
        </is>
      </c>
      <c r="J1200" s="92" t="inlineStr">
        <is>
          <t>V10001</t>
        </is>
      </c>
      <c r="K1200" s="92" t="inlineStr">
        <is>
          <t>M항공</t>
        </is>
      </c>
      <c r="M1200" s="9">
        <f>IF($A1200="","",VALUE($A1200&amp;"")*12+VALUE($B1200&amp;""))</f>
        <v/>
      </c>
      <c r="N1200" s="64">
        <f>IF($A1200="","",IFERROR(INDEX(부서매핑!$C$5:$C$504,MATCH($G1200&amp;"",부서매핑!$A$5:$A$504,0)),"미매핑"))</f>
        <v/>
      </c>
      <c r="O1200" s="9">
        <f>IF($A1200="","",N1200&amp;"|"&amp;$F1200)</f>
        <v/>
      </c>
      <c r="P1200" s="94">
        <f>IF($A1200="",0,$H1200*설정!$C$23)</f>
        <v/>
      </c>
      <c r="Q1200" s="64">
        <f>IF($A1200="","",IF(O1200&lt;&gt;원인분석!$C$9,"",IF(AND(M1200&gt;=원인분석!$C$10,M1200&lt;=원인분석!$C$11),"당기",IF(AND(M1200&gt;=원인분석!$C$12,M1200&lt;=원인분석!$C$13),"비교",""))))</f>
        <v/>
      </c>
      <c r="R1200" s="9">
        <f>IF(Q1200="","",$K1200&amp;"")</f>
        <v/>
      </c>
      <c r="S1200" s="9">
        <f>IF(Q1200="","",IF(MATCH(R1200,$R$5:$R$100000,0)=ROW()-4,ROW(),""))</f>
        <v/>
      </c>
      <c r="T1200" s="9">
        <f>IF(Q1200="당기",ABS(P1200)+ROW()/1000000000,"")</f>
        <v/>
      </c>
      <c r="U1200" s="9">
        <f>IF(Q1200="비교",ABS(P1200)+ROW()/1000000000,"")</f>
        <v/>
      </c>
      <c r="V1200" s="64">
        <f>IF($A1200="","",IF(COUNTIF(변동분석!$E$7:$E$506,O1200)&gt;0,"Y","N"))</f>
        <v/>
      </c>
      <c r="W1200" s="64">
        <f>IF($A1200="","",IFERROR(INDEX(계정매핑!$D$5:$D$504,MATCH($F1200&amp;"",계정매핑!$A$5:$A$504,0)),"미매핑"))</f>
        <v/>
      </c>
      <c r="X1200" s="9">
        <f>IF($A1200="","",$F1200&amp;"")</f>
        <v/>
      </c>
      <c r="Y1200" s="94">
        <f>IF($A1200="",0,IF(AE1200="직접",IF(AF1200="비귀속",$P1200,0),$P1200*(1-AG1200)*IFERROR(INDEX(계정대체기준!$F$20:$F$49,MATCH($N1200,계정대체기준!$A$20:$A$49,0)),1)))</f>
        <v/>
      </c>
      <c r="Z1200" s="94">
        <f>IF($A1200="",0,IF(AE1200="직접",IF(AF1200="신계약비",$P1200,0),$P1200*(1-AG1200)*IFERROR(INDEX(계정대체기준!$C$20:$C$49,MATCH($N1200,계정대체기준!$A$20:$A$49,0)),0)))</f>
        <v/>
      </c>
      <c r="AA1200" s="94">
        <f>IF($A1200="",0,IF(AE1200="직접",IF(OR(AF1200="유지비",AF1200="손해조사비"),$P1200,0),$P1200*(1-AG1200)*IFERROR(INDEX(계정대체기준!$D$20:$D$49,MATCH($N1200,계정대체기준!$A$20:$A$49,0)),0)))</f>
        <v/>
      </c>
      <c r="AB1200" s="94">
        <f>IF($A1200="",0,IF(AE1200="직접",IF(AF1200="수금비",$P1200,0),$P1200*(1-AG1200)*IFERROR(INDEX(계정대체기준!$E$20:$E$49,MATCH($N1200,계정대체기준!$A$20:$A$49,0)),0)))</f>
        <v/>
      </c>
      <c r="AC1200" s="9">
        <f>IF(AND($A1200&lt;&gt;"",M1200=설정!$C$20,Z1200&gt;0),Z1200+ROW()/1000000000,"")</f>
        <v/>
      </c>
      <c r="AD1200" s="94">
        <f>IF($A1200="",0,$P1200*AG1200)</f>
        <v/>
      </c>
      <c r="AE1200" s="64">
        <f>IF($A1200="","",IFERROR(INDEX(계정매핑!$E$5:$E$504,MATCH($F1200&amp;"",계정매핑!$A$5:$A$504,0))&amp;"","공통비"))</f>
        <v/>
      </c>
      <c r="AF1200" s="64">
        <f>IF($A1200="","",IF(AE1200="직접",IFERROR(INDEX(계정매핑!$F$5:$F$504,MATCH($F1200&amp;"",계정매핑!$A$5:$A$504,0))&amp;"","비귀속"),""))</f>
        <v/>
      </c>
      <c r="AG1200" s="96">
        <f>IF($A1200="",0,IF(AND(AE1200&lt;&gt;"직접",IFERROR(INDEX(계정매핑!$G$5:$G$504,MATCH($F1200&amp;"",계정매핑!$A$5:$A$504,0))&amp;"","")="유지비",COUNTIF(계정대체기준!$A$6:$A$15,$N1200)&gt;0),IFERROR(INDEX(계정대체기준!$E$6:$E$15,MATCH(VALUE($A1200&amp;""),계정대체기준!$D$6:$D$15,0)),0),0))</f>
        <v/>
      </c>
      <c r="AH1200" s="64">
        <f>IF($A1200="","",IF(AD1200=0,"",IF(OR(COUNTIF(계정대체기준!$A$77:$A$86,$N1200)&gt;0,ISNUMBER(MATCH($X1200,계정대체기준!$D$77:$D$86,0)),ISNUMBER(MATCH($F1200,계정대체기준!$D$77:$D$86,0))),"Y","N")))</f>
        <v/>
      </c>
    </row>
    <row r="1201">
      <c r="A1201" s="92" t="n">
        <v>2025</v>
      </c>
      <c r="B1201" s="92" t="n">
        <v>6</v>
      </c>
      <c r="C1201" s="92" t="inlineStr">
        <is>
          <t>5100001197</t>
        </is>
      </c>
      <c r="D1201" s="95" t="n">
        <v>45817</v>
      </c>
      <c r="E1201" s="92" t="inlineStr">
        <is>
          <t>KR</t>
        </is>
      </c>
      <c r="F1201" s="92" t="n">
        <v>62401000</v>
      </c>
      <c r="G1201" s="92" t="n">
        <v>1401</v>
      </c>
      <c r="H1201" s="93" t="n">
        <v>240000</v>
      </c>
      <c r="I1201" s="92" t="inlineStr">
        <is>
          <t>6월 인쇄물 제작 - G인쇄</t>
        </is>
      </c>
      <c r="J1201" s="92" t="inlineStr">
        <is>
          <t>V10004</t>
        </is>
      </c>
      <c r="K1201" s="92" t="inlineStr">
        <is>
          <t>G인쇄</t>
        </is>
      </c>
      <c r="M1201" s="9">
        <f>IF($A1201="","",VALUE($A1201&amp;"")*12+VALUE($B1201&amp;""))</f>
        <v/>
      </c>
      <c r="N1201" s="64">
        <f>IF($A1201="","",IFERROR(INDEX(부서매핑!$C$5:$C$504,MATCH($G1201&amp;"",부서매핑!$A$5:$A$504,0)),"미매핑"))</f>
        <v/>
      </c>
      <c r="O1201" s="9">
        <f>IF($A1201="","",N1201&amp;"|"&amp;$F1201)</f>
        <v/>
      </c>
      <c r="P1201" s="94">
        <f>IF($A1201="",0,$H1201*설정!$C$23)</f>
        <v/>
      </c>
      <c r="Q1201" s="64">
        <f>IF($A1201="","",IF(O1201&lt;&gt;원인분석!$C$9,"",IF(AND(M1201&gt;=원인분석!$C$10,M1201&lt;=원인분석!$C$11),"당기",IF(AND(M1201&gt;=원인분석!$C$12,M1201&lt;=원인분석!$C$13),"비교",""))))</f>
        <v/>
      </c>
      <c r="R1201" s="9">
        <f>IF(Q1201="","",$K1201&amp;"")</f>
        <v/>
      </c>
      <c r="S1201" s="9">
        <f>IF(Q1201="","",IF(MATCH(R1201,$R$5:$R$100000,0)=ROW()-4,ROW(),""))</f>
        <v/>
      </c>
      <c r="T1201" s="9">
        <f>IF(Q1201="당기",ABS(P1201)+ROW()/1000000000,"")</f>
        <v/>
      </c>
      <c r="U1201" s="9">
        <f>IF(Q1201="비교",ABS(P1201)+ROW()/1000000000,"")</f>
        <v/>
      </c>
      <c r="V1201" s="64">
        <f>IF($A1201="","",IF(COUNTIF(변동분석!$E$7:$E$506,O1201)&gt;0,"Y","N"))</f>
        <v/>
      </c>
      <c r="W1201" s="64">
        <f>IF($A1201="","",IFERROR(INDEX(계정매핑!$D$5:$D$504,MATCH($F1201&amp;"",계정매핑!$A$5:$A$504,0)),"미매핑"))</f>
        <v/>
      </c>
      <c r="X1201" s="9">
        <f>IF($A1201="","",$F1201&amp;"")</f>
        <v/>
      </c>
      <c r="Y1201" s="94">
        <f>IF($A1201="",0,IF(AE1201="직접",IF(AF1201="비귀속",$P1201,0),$P1201*(1-AG1201)*IFERROR(INDEX(계정대체기준!$F$20:$F$49,MATCH($N1201,계정대체기준!$A$20:$A$49,0)),1)))</f>
        <v/>
      </c>
      <c r="Z1201" s="94">
        <f>IF($A1201="",0,IF(AE1201="직접",IF(AF1201="신계약비",$P1201,0),$P1201*(1-AG1201)*IFERROR(INDEX(계정대체기준!$C$20:$C$49,MATCH($N1201,계정대체기준!$A$20:$A$49,0)),0)))</f>
        <v/>
      </c>
      <c r="AA1201" s="94">
        <f>IF($A1201="",0,IF(AE1201="직접",IF(OR(AF1201="유지비",AF1201="손해조사비"),$P1201,0),$P1201*(1-AG1201)*IFERROR(INDEX(계정대체기준!$D$20:$D$49,MATCH($N1201,계정대체기준!$A$20:$A$49,0)),0)))</f>
        <v/>
      </c>
      <c r="AB1201" s="94">
        <f>IF($A1201="",0,IF(AE1201="직접",IF(AF1201="수금비",$P1201,0),$P1201*(1-AG1201)*IFERROR(INDEX(계정대체기준!$E$20:$E$49,MATCH($N1201,계정대체기준!$A$20:$A$49,0)),0)))</f>
        <v/>
      </c>
      <c r="AC1201" s="9">
        <f>IF(AND($A1201&lt;&gt;"",M1201=설정!$C$20,Z1201&gt;0),Z1201+ROW()/1000000000,"")</f>
        <v/>
      </c>
      <c r="AD1201" s="94">
        <f>IF($A1201="",0,$P1201*AG1201)</f>
        <v/>
      </c>
      <c r="AE1201" s="64">
        <f>IF($A1201="","",IFERROR(INDEX(계정매핑!$E$5:$E$504,MATCH($F1201&amp;"",계정매핑!$A$5:$A$504,0))&amp;"","공통비"))</f>
        <v/>
      </c>
      <c r="AF1201" s="64">
        <f>IF($A1201="","",IF(AE1201="직접",IFERROR(INDEX(계정매핑!$F$5:$F$504,MATCH($F1201&amp;"",계정매핑!$A$5:$A$504,0))&amp;"","비귀속"),""))</f>
        <v/>
      </c>
      <c r="AG1201" s="96">
        <f>IF($A1201="",0,IF(AND(AE1201&lt;&gt;"직접",IFERROR(INDEX(계정매핑!$G$5:$G$504,MATCH($F1201&amp;"",계정매핑!$A$5:$A$504,0))&amp;"","")="유지비",COUNTIF(계정대체기준!$A$6:$A$15,$N1201)&gt;0),IFERROR(INDEX(계정대체기준!$E$6:$E$15,MATCH(VALUE($A1201&amp;""),계정대체기준!$D$6:$D$15,0)),0),0))</f>
        <v/>
      </c>
      <c r="AH1201" s="64">
        <f>IF($A1201="","",IF(AD1201=0,"",IF(OR(COUNTIF(계정대체기준!$A$77:$A$86,$N1201)&gt;0,ISNUMBER(MATCH($X1201,계정대체기준!$D$77:$D$86,0)),ISNUMBER(MATCH($F1201,계정대체기준!$D$77:$D$86,0))),"Y","N")))</f>
        <v/>
      </c>
    </row>
    <row r="1202">
      <c r="A1202" s="92" t="n">
        <v>2025</v>
      </c>
      <c r="B1202" s="92" t="n">
        <v>6</v>
      </c>
      <c r="C1202" s="92" t="inlineStr">
        <is>
          <t>5100001198</t>
        </is>
      </c>
      <c r="D1202" s="95" t="n">
        <v>45817</v>
      </c>
      <c r="E1202" s="92" t="inlineStr">
        <is>
          <t>KR</t>
        </is>
      </c>
      <c r="F1202" s="92" t="n">
        <v>62501000</v>
      </c>
      <c r="G1202" s="92" t="n">
        <v>1301</v>
      </c>
      <c r="H1202" s="93" t="n">
        <v>101000</v>
      </c>
      <c r="I1202" s="92" t="inlineStr">
        <is>
          <t>6월 회의 다과 - T케이터링</t>
        </is>
      </c>
      <c r="J1202" s="92" t="inlineStr">
        <is>
          <t>V10005</t>
        </is>
      </c>
      <c r="K1202" s="92" t="inlineStr">
        <is>
          <t>T케이터링</t>
        </is>
      </c>
      <c r="M1202" s="9">
        <f>IF($A1202="","",VALUE($A1202&amp;"")*12+VALUE($B1202&amp;""))</f>
        <v/>
      </c>
      <c r="N1202" s="64">
        <f>IF($A1202="","",IFERROR(INDEX(부서매핑!$C$5:$C$504,MATCH($G1202&amp;"",부서매핑!$A$5:$A$504,0)),"미매핑"))</f>
        <v/>
      </c>
      <c r="O1202" s="9">
        <f>IF($A1202="","",N1202&amp;"|"&amp;$F1202)</f>
        <v/>
      </c>
      <c r="P1202" s="94">
        <f>IF($A1202="",0,$H1202*설정!$C$23)</f>
        <v/>
      </c>
      <c r="Q1202" s="64">
        <f>IF($A1202="","",IF(O1202&lt;&gt;원인분석!$C$9,"",IF(AND(M1202&gt;=원인분석!$C$10,M1202&lt;=원인분석!$C$11),"당기",IF(AND(M1202&gt;=원인분석!$C$12,M1202&lt;=원인분석!$C$13),"비교",""))))</f>
        <v/>
      </c>
      <c r="R1202" s="9">
        <f>IF(Q1202="","",$K1202&amp;"")</f>
        <v/>
      </c>
      <c r="S1202" s="9">
        <f>IF(Q1202="","",IF(MATCH(R1202,$R$5:$R$100000,0)=ROW()-4,ROW(),""))</f>
        <v/>
      </c>
      <c r="T1202" s="9">
        <f>IF(Q1202="당기",ABS(P1202)+ROW()/1000000000,"")</f>
        <v/>
      </c>
      <c r="U1202" s="9">
        <f>IF(Q1202="비교",ABS(P1202)+ROW()/1000000000,"")</f>
        <v/>
      </c>
      <c r="V1202" s="64">
        <f>IF($A1202="","",IF(COUNTIF(변동분석!$E$7:$E$506,O1202)&gt;0,"Y","N"))</f>
        <v/>
      </c>
      <c r="W1202" s="64">
        <f>IF($A1202="","",IFERROR(INDEX(계정매핑!$D$5:$D$504,MATCH($F1202&amp;"",계정매핑!$A$5:$A$504,0)),"미매핑"))</f>
        <v/>
      </c>
      <c r="X1202" s="9">
        <f>IF($A1202="","",$F1202&amp;"")</f>
        <v/>
      </c>
      <c r="Y1202" s="94">
        <f>IF($A1202="",0,IF(AE1202="직접",IF(AF1202="비귀속",$P1202,0),$P1202*(1-AG1202)*IFERROR(INDEX(계정대체기준!$F$20:$F$49,MATCH($N1202,계정대체기준!$A$20:$A$49,0)),1)))</f>
        <v/>
      </c>
      <c r="Z1202" s="94">
        <f>IF($A1202="",0,IF(AE1202="직접",IF(AF1202="신계약비",$P1202,0),$P1202*(1-AG1202)*IFERROR(INDEX(계정대체기준!$C$20:$C$49,MATCH($N1202,계정대체기준!$A$20:$A$49,0)),0)))</f>
        <v/>
      </c>
      <c r="AA1202" s="94">
        <f>IF($A1202="",0,IF(AE1202="직접",IF(OR(AF1202="유지비",AF1202="손해조사비"),$P1202,0),$P1202*(1-AG1202)*IFERROR(INDEX(계정대체기준!$D$20:$D$49,MATCH($N1202,계정대체기준!$A$20:$A$49,0)),0)))</f>
        <v/>
      </c>
      <c r="AB1202" s="94">
        <f>IF($A1202="",0,IF(AE1202="직접",IF(AF1202="수금비",$P1202,0),$P1202*(1-AG1202)*IFERROR(INDEX(계정대체기준!$E$20:$E$49,MATCH($N1202,계정대체기준!$A$20:$A$49,0)),0)))</f>
        <v/>
      </c>
      <c r="AC1202" s="9">
        <f>IF(AND($A1202&lt;&gt;"",M1202=설정!$C$20,Z1202&gt;0),Z1202+ROW()/1000000000,"")</f>
        <v/>
      </c>
      <c r="AD1202" s="94">
        <f>IF($A1202="",0,$P1202*AG1202)</f>
        <v/>
      </c>
      <c r="AE1202" s="64">
        <f>IF($A1202="","",IFERROR(INDEX(계정매핑!$E$5:$E$504,MATCH($F1202&amp;"",계정매핑!$A$5:$A$504,0))&amp;"","공통비"))</f>
        <v/>
      </c>
      <c r="AF1202" s="64">
        <f>IF($A1202="","",IF(AE1202="직접",IFERROR(INDEX(계정매핑!$F$5:$F$504,MATCH($F1202&amp;"",계정매핑!$A$5:$A$504,0))&amp;"","비귀속"),""))</f>
        <v/>
      </c>
      <c r="AG1202" s="96">
        <f>IF($A1202="",0,IF(AND(AE1202&lt;&gt;"직접",IFERROR(INDEX(계정매핑!$G$5:$G$504,MATCH($F1202&amp;"",계정매핑!$A$5:$A$504,0))&amp;"","")="유지비",COUNTIF(계정대체기준!$A$6:$A$15,$N1202)&gt;0),IFERROR(INDEX(계정대체기준!$E$6:$E$15,MATCH(VALUE($A1202&amp;""),계정대체기준!$D$6:$D$15,0)),0),0))</f>
        <v/>
      </c>
      <c r="AH1202" s="64">
        <f>IF($A1202="","",IF(AD1202=0,"",IF(OR(COUNTIF(계정대체기준!$A$77:$A$86,$N1202)&gt;0,ISNUMBER(MATCH($X1202,계정대체기준!$D$77:$D$86,0)),ISNUMBER(MATCH($F1202,계정대체기준!$D$77:$D$86,0))),"Y","N")))</f>
        <v/>
      </c>
    </row>
    <row r="1203">
      <c r="A1203" s="92" t="n">
        <v>2025</v>
      </c>
      <c r="B1203" s="92" t="n">
        <v>6</v>
      </c>
      <c r="C1203" s="92" t="inlineStr">
        <is>
          <t>5100001199</t>
        </is>
      </c>
      <c r="D1203" s="95" t="n">
        <v>45817</v>
      </c>
      <c r="E1203" s="92" t="inlineStr">
        <is>
          <t>KR</t>
        </is>
      </c>
      <c r="F1203" s="92" t="n">
        <v>62902000</v>
      </c>
      <c r="G1203" s="92" t="n">
        <v>1801</v>
      </c>
      <c r="H1203" s="93" t="n">
        <v>1767000</v>
      </c>
      <c r="I1203" s="92" t="inlineStr">
        <is>
          <t>6월 콜 위탁 수수료(건별)</t>
        </is>
      </c>
      <c r="J1203" s="92" t="inlineStr">
        <is>
          <t>V10016</t>
        </is>
      </c>
      <c r="K1203" s="92" t="inlineStr">
        <is>
          <t>J콜센터</t>
        </is>
      </c>
      <c r="M1203" s="9">
        <f>IF($A1203="","",VALUE($A1203&amp;"")*12+VALUE($B1203&amp;""))</f>
        <v/>
      </c>
      <c r="N1203" s="64">
        <f>IF($A1203="","",IFERROR(INDEX(부서매핑!$C$5:$C$504,MATCH($G1203&amp;"",부서매핑!$A$5:$A$504,0)),"미매핑"))</f>
        <v/>
      </c>
      <c r="O1203" s="9">
        <f>IF($A1203="","",N1203&amp;"|"&amp;$F1203)</f>
        <v/>
      </c>
      <c r="P1203" s="94">
        <f>IF($A1203="",0,$H1203*설정!$C$23)</f>
        <v/>
      </c>
      <c r="Q1203" s="64">
        <f>IF($A1203="","",IF(O1203&lt;&gt;원인분석!$C$9,"",IF(AND(M1203&gt;=원인분석!$C$10,M1203&lt;=원인분석!$C$11),"당기",IF(AND(M1203&gt;=원인분석!$C$12,M1203&lt;=원인분석!$C$13),"비교",""))))</f>
        <v/>
      </c>
      <c r="R1203" s="9">
        <f>IF(Q1203="","",$K1203&amp;"")</f>
        <v/>
      </c>
      <c r="S1203" s="9">
        <f>IF(Q1203="","",IF(MATCH(R1203,$R$5:$R$100000,0)=ROW()-4,ROW(),""))</f>
        <v/>
      </c>
      <c r="T1203" s="9">
        <f>IF(Q1203="당기",ABS(P1203)+ROW()/1000000000,"")</f>
        <v/>
      </c>
      <c r="U1203" s="9">
        <f>IF(Q1203="비교",ABS(P1203)+ROW()/1000000000,"")</f>
        <v/>
      </c>
      <c r="V1203" s="64">
        <f>IF($A1203="","",IF(COUNTIF(변동분석!$E$7:$E$506,O1203)&gt;0,"Y","N"))</f>
        <v/>
      </c>
      <c r="W1203" s="64">
        <f>IF($A1203="","",IFERROR(INDEX(계정매핑!$D$5:$D$504,MATCH($F1203&amp;"",계정매핑!$A$5:$A$504,0)),"미매핑"))</f>
        <v/>
      </c>
      <c r="X1203" s="9">
        <f>IF($A1203="","",$F1203&amp;"")</f>
        <v/>
      </c>
      <c r="Y1203" s="94">
        <f>IF($A1203="",0,IF(AE1203="직접",IF(AF1203="비귀속",$P1203,0),$P1203*(1-AG1203)*IFERROR(INDEX(계정대체기준!$F$20:$F$49,MATCH($N1203,계정대체기준!$A$20:$A$49,0)),1)))</f>
        <v/>
      </c>
      <c r="Z1203" s="94">
        <f>IF($A1203="",0,IF(AE1203="직접",IF(AF1203="신계약비",$P1203,0),$P1203*(1-AG1203)*IFERROR(INDEX(계정대체기준!$C$20:$C$49,MATCH($N1203,계정대체기준!$A$20:$A$49,0)),0)))</f>
        <v/>
      </c>
      <c r="AA1203" s="94">
        <f>IF($A1203="",0,IF(AE1203="직접",IF(OR(AF1203="유지비",AF1203="손해조사비"),$P1203,0),$P1203*(1-AG1203)*IFERROR(INDEX(계정대체기준!$D$20:$D$49,MATCH($N1203,계정대체기준!$A$20:$A$49,0)),0)))</f>
        <v/>
      </c>
      <c r="AB1203" s="94">
        <f>IF($A1203="",0,IF(AE1203="직접",IF(AF1203="수금비",$P1203,0),$P1203*(1-AG1203)*IFERROR(INDEX(계정대체기준!$E$20:$E$49,MATCH($N1203,계정대체기준!$A$20:$A$49,0)),0)))</f>
        <v/>
      </c>
      <c r="AC1203" s="9">
        <f>IF(AND($A1203&lt;&gt;"",M1203=설정!$C$20,Z1203&gt;0),Z1203+ROW()/1000000000,"")</f>
        <v/>
      </c>
      <c r="AD1203" s="94">
        <f>IF($A1203="",0,$P1203*AG1203)</f>
        <v/>
      </c>
      <c r="AE1203" s="64">
        <f>IF($A1203="","",IFERROR(INDEX(계정매핑!$E$5:$E$504,MATCH($F1203&amp;"",계정매핑!$A$5:$A$504,0))&amp;"","공통비"))</f>
        <v/>
      </c>
      <c r="AF1203" s="64">
        <f>IF($A1203="","",IF(AE1203="직접",IFERROR(INDEX(계정매핑!$F$5:$F$504,MATCH($F1203&amp;"",계정매핑!$A$5:$A$504,0))&amp;"","비귀속"),""))</f>
        <v/>
      </c>
      <c r="AG1203" s="96">
        <f>IF($A1203="",0,IF(AND(AE1203&lt;&gt;"직접",IFERROR(INDEX(계정매핑!$G$5:$G$504,MATCH($F1203&amp;"",계정매핑!$A$5:$A$504,0))&amp;"","")="유지비",COUNTIF(계정대체기준!$A$6:$A$15,$N1203)&gt;0),IFERROR(INDEX(계정대체기준!$E$6:$E$15,MATCH(VALUE($A1203&amp;""),계정대체기준!$D$6:$D$15,0)),0),0))</f>
        <v/>
      </c>
      <c r="AH1203" s="64">
        <f>IF($A1203="","",IF(AD1203=0,"",IF(OR(COUNTIF(계정대체기준!$A$77:$A$86,$N1203)&gt;0,ISNUMBER(MATCH($X1203,계정대체기준!$D$77:$D$86,0)),ISNUMBER(MATCH($F1203,계정대체기준!$D$77:$D$86,0))),"Y","N")))</f>
        <v/>
      </c>
    </row>
    <row r="1204">
      <c r="A1204" s="92" t="n">
        <v>2025</v>
      </c>
      <c r="B1204" s="92" t="n">
        <v>6</v>
      </c>
      <c r="C1204" s="92" t="inlineStr">
        <is>
          <t>5100001200</t>
        </is>
      </c>
      <c r="D1204" s="95" t="n">
        <v>45818</v>
      </c>
      <c r="E1204" s="92" t="inlineStr">
        <is>
          <t>KR</t>
        </is>
      </c>
      <c r="F1204" s="92" t="n">
        <v>62102000</v>
      </c>
      <c r="G1204" s="92" t="n">
        <v>1101</v>
      </c>
      <c r="H1204" s="93" t="n">
        <v>106000</v>
      </c>
      <c r="I1204" s="92" t="inlineStr">
        <is>
          <t>6월 해외출장 - N호텔</t>
        </is>
      </c>
      <c r="J1204" s="92" t="inlineStr">
        <is>
          <t>V10009</t>
        </is>
      </c>
      <c r="K1204" s="92" t="inlineStr">
        <is>
          <t>N호텔</t>
        </is>
      </c>
      <c r="M1204" s="9">
        <f>IF($A1204="","",VALUE($A1204&amp;"")*12+VALUE($B1204&amp;""))</f>
        <v/>
      </c>
      <c r="N1204" s="64">
        <f>IF($A1204="","",IFERROR(INDEX(부서매핑!$C$5:$C$504,MATCH($G1204&amp;"",부서매핑!$A$5:$A$504,0)),"미매핑"))</f>
        <v/>
      </c>
      <c r="O1204" s="9">
        <f>IF($A1204="","",N1204&amp;"|"&amp;$F1204)</f>
        <v/>
      </c>
      <c r="P1204" s="94">
        <f>IF($A1204="",0,$H1204*설정!$C$23)</f>
        <v/>
      </c>
      <c r="Q1204" s="64">
        <f>IF($A1204="","",IF(O1204&lt;&gt;원인분석!$C$9,"",IF(AND(M1204&gt;=원인분석!$C$10,M1204&lt;=원인분석!$C$11),"당기",IF(AND(M1204&gt;=원인분석!$C$12,M1204&lt;=원인분석!$C$13),"비교",""))))</f>
        <v/>
      </c>
      <c r="R1204" s="9">
        <f>IF(Q1204="","",$K1204&amp;"")</f>
        <v/>
      </c>
      <c r="S1204" s="9">
        <f>IF(Q1204="","",IF(MATCH(R1204,$R$5:$R$100000,0)=ROW()-4,ROW(),""))</f>
        <v/>
      </c>
      <c r="T1204" s="9">
        <f>IF(Q1204="당기",ABS(P1204)+ROW()/1000000000,"")</f>
        <v/>
      </c>
      <c r="U1204" s="9">
        <f>IF(Q1204="비교",ABS(P1204)+ROW()/1000000000,"")</f>
        <v/>
      </c>
      <c r="V1204" s="64">
        <f>IF($A1204="","",IF(COUNTIF(변동분석!$E$7:$E$506,O1204)&gt;0,"Y","N"))</f>
        <v/>
      </c>
      <c r="W1204" s="64">
        <f>IF($A1204="","",IFERROR(INDEX(계정매핑!$D$5:$D$504,MATCH($F1204&amp;"",계정매핑!$A$5:$A$504,0)),"미매핑"))</f>
        <v/>
      </c>
      <c r="X1204" s="9">
        <f>IF($A1204="","",$F1204&amp;"")</f>
        <v/>
      </c>
      <c r="Y1204" s="94">
        <f>IF($A1204="",0,IF(AE1204="직접",IF(AF1204="비귀속",$P1204,0),$P1204*(1-AG1204)*IFERROR(INDEX(계정대체기준!$F$20:$F$49,MATCH($N1204,계정대체기준!$A$20:$A$49,0)),1)))</f>
        <v/>
      </c>
      <c r="Z1204" s="94">
        <f>IF($A1204="",0,IF(AE1204="직접",IF(AF1204="신계약비",$P1204,0),$P1204*(1-AG1204)*IFERROR(INDEX(계정대체기준!$C$20:$C$49,MATCH($N1204,계정대체기준!$A$20:$A$49,0)),0)))</f>
        <v/>
      </c>
      <c r="AA1204" s="94">
        <f>IF($A1204="",0,IF(AE1204="직접",IF(OR(AF1204="유지비",AF1204="손해조사비"),$P1204,0),$P1204*(1-AG1204)*IFERROR(INDEX(계정대체기준!$D$20:$D$49,MATCH($N1204,계정대체기준!$A$20:$A$49,0)),0)))</f>
        <v/>
      </c>
      <c r="AB1204" s="94">
        <f>IF($A1204="",0,IF(AE1204="직접",IF(AF1204="수금비",$P1204,0),$P1204*(1-AG1204)*IFERROR(INDEX(계정대체기준!$E$20:$E$49,MATCH($N1204,계정대체기준!$A$20:$A$49,0)),0)))</f>
        <v/>
      </c>
      <c r="AC1204" s="9">
        <f>IF(AND($A1204&lt;&gt;"",M1204=설정!$C$20,Z1204&gt;0),Z1204+ROW()/1000000000,"")</f>
        <v/>
      </c>
      <c r="AD1204" s="94">
        <f>IF($A1204="",0,$P1204*AG1204)</f>
        <v/>
      </c>
      <c r="AE1204" s="64">
        <f>IF($A1204="","",IFERROR(INDEX(계정매핑!$E$5:$E$504,MATCH($F1204&amp;"",계정매핑!$A$5:$A$504,0))&amp;"","공통비"))</f>
        <v/>
      </c>
      <c r="AF1204" s="64">
        <f>IF($A1204="","",IF(AE1204="직접",IFERROR(INDEX(계정매핑!$F$5:$F$504,MATCH($F1204&amp;"",계정매핑!$A$5:$A$504,0))&amp;"","비귀속"),""))</f>
        <v/>
      </c>
      <c r="AG1204" s="96">
        <f>IF($A1204="",0,IF(AND(AE1204&lt;&gt;"직접",IFERROR(INDEX(계정매핑!$G$5:$G$504,MATCH($F1204&amp;"",계정매핑!$A$5:$A$504,0))&amp;"","")="유지비",COUNTIF(계정대체기준!$A$6:$A$15,$N1204)&gt;0),IFERROR(INDEX(계정대체기준!$E$6:$E$15,MATCH(VALUE($A1204&amp;""),계정대체기준!$D$6:$D$15,0)),0),0))</f>
        <v/>
      </c>
      <c r="AH1204" s="64">
        <f>IF($A1204="","",IF(AD1204=0,"",IF(OR(COUNTIF(계정대체기준!$A$77:$A$86,$N1204)&gt;0,ISNUMBER(MATCH($X1204,계정대체기준!$D$77:$D$86,0)),ISNUMBER(MATCH($F1204,계정대체기준!$D$77:$D$86,0))),"Y","N")))</f>
        <v/>
      </c>
    </row>
    <row r="1205">
      <c r="A1205" s="92" t="n">
        <v>2025</v>
      </c>
      <c r="B1205" s="92" t="n">
        <v>6</v>
      </c>
      <c r="C1205" s="92" t="inlineStr">
        <is>
          <t>5100001201</t>
        </is>
      </c>
      <c r="D1205" s="95" t="n">
        <v>45818</v>
      </c>
      <c r="E1205" s="92" t="inlineStr">
        <is>
          <t>KR</t>
        </is>
      </c>
      <c r="F1205" s="92" t="n">
        <v>62201000</v>
      </c>
      <c r="G1205" s="92" t="n">
        <v>1101</v>
      </c>
      <c r="H1205" s="93" t="n">
        <v>298000</v>
      </c>
      <c r="I1205" s="92" t="inlineStr">
        <is>
          <t>6월 통신요금 - P통신</t>
        </is>
      </c>
      <c r="J1205" s="92" t="inlineStr">
        <is>
          <t>V10014</t>
        </is>
      </c>
      <c r="K1205" s="92" t="inlineStr">
        <is>
          <t>P통신</t>
        </is>
      </c>
      <c r="M1205" s="9">
        <f>IF($A1205="","",VALUE($A1205&amp;"")*12+VALUE($B1205&amp;""))</f>
        <v/>
      </c>
      <c r="N1205" s="64">
        <f>IF($A1205="","",IFERROR(INDEX(부서매핑!$C$5:$C$504,MATCH($G1205&amp;"",부서매핑!$A$5:$A$504,0)),"미매핑"))</f>
        <v/>
      </c>
      <c r="O1205" s="9">
        <f>IF($A1205="","",N1205&amp;"|"&amp;$F1205)</f>
        <v/>
      </c>
      <c r="P1205" s="94">
        <f>IF($A1205="",0,$H1205*설정!$C$23)</f>
        <v/>
      </c>
      <c r="Q1205" s="64">
        <f>IF($A1205="","",IF(O1205&lt;&gt;원인분석!$C$9,"",IF(AND(M1205&gt;=원인분석!$C$10,M1205&lt;=원인분석!$C$11),"당기",IF(AND(M1205&gt;=원인분석!$C$12,M1205&lt;=원인분석!$C$13),"비교",""))))</f>
        <v/>
      </c>
      <c r="R1205" s="9">
        <f>IF(Q1205="","",$K1205&amp;"")</f>
        <v/>
      </c>
      <c r="S1205" s="9">
        <f>IF(Q1205="","",IF(MATCH(R1205,$R$5:$R$100000,0)=ROW()-4,ROW(),""))</f>
        <v/>
      </c>
      <c r="T1205" s="9">
        <f>IF(Q1205="당기",ABS(P1205)+ROW()/1000000000,"")</f>
        <v/>
      </c>
      <c r="U1205" s="9">
        <f>IF(Q1205="비교",ABS(P1205)+ROW()/1000000000,"")</f>
        <v/>
      </c>
      <c r="V1205" s="64">
        <f>IF($A1205="","",IF(COUNTIF(변동분석!$E$7:$E$506,O1205)&gt;0,"Y","N"))</f>
        <v/>
      </c>
      <c r="W1205" s="64">
        <f>IF($A1205="","",IFERROR(INDEX(계정매핑!$D$5:$D$504,MATCH($F1205&amp;"",계정매핑!$A$5:$A$504,0)),"미매핑"))</f>
        <v/>
      </c>
      <c r="X1205" s="9">
        <f>IF($A1205="","",$F1205&amp;"")</f>
        <v/>
      </c>
      <c r="Y1205" s="94">
        <f>IF($A1205="",0,IF(AE1205="직접",IF(AF1205="비귀속",$P1205,0),$P1205*(1-AG1205)*IFERROR(INDEX(계정대체기준!$F$20:$F$49,MATCH($N1205,계정대체기준!$A$20:$A$49,0)),1)))</f>
        <v/>
      </c>
      <c r="Z1205" s="94">
        <f>IF($A1205="",0,IF(AE1205="직접",IF(AF1205="신계약비",$P1205,0),$P1205*(1-AG1205)*IFERROR(INDEX(계정대체기준!$C$20:$C$49,MATCH($N1205,계정대체기준!$A$20:$A$49,0)),0)))</f>
        <v/>
      </c>
      <c r="AA1205" s="94">
        <f>IF($A1205="",0,IF(AE1205="직접",IF(OR(AF1205="유지비",AF1205="손해조사비"),$P1205,0),$P1205*(1-AG1205)*IFERROR(INDEX(계정대체기준!$D$20:$D$49,MATCH($N1205,계정대체기준!$A$20:$A$49,0)),0)))</f>
        <v/>
      </c>
      <c r="AB1205" s="94">
        <f>IF($A1205="",0,IF(AE1205="직접",IF(AF1205="수금비",$P1205,0),$P1205*(1-AG1205)*IFERROR(INDEX(계정대체기준!$E$20:$E$49,MATCH($N1205,계정대체기준!$A$20:$A$49,0)),0)))</f>
        <v/>
      </c>
      <c r="AC1205" s="9">
        <f>IF(AND($A1205&lt;&gt;"",M1205=설정!$C$20,Z1205&gt;0),Z1205+ROW()/1000000000,"")</f>
        <v/>
      </c>
      <c r="AD1205" s="94">
        <f>IF($A1205="",0,$P1205*AG1205)</f>
        <v/>
      </c>
      <c r="AE1205" s="64">
        <f>IF($A1205="","",IFERROR(INDEX(계정매핑!$E$5:$E$504,MATCH($F1205&amp;"",계정매핑!$A$5:$A$504,0))&amp;"","공통비"))</f>
        <v/>
      </c>
      <c r="AF1205" s="64">
        <f>IF($A1205="","",IF(AE1205="직접",IFERROR(INDEX(계정매핑!$F$5:$F$504,MATCH($F1205&amp;"",계정매핑!$A$5:$A$504,0))&amp;"","비귀속"),""))</f>
        <v/>
      </c>
      <c r="AG1205" s="96">
        <f>IF($A1205="",0,IF(AND(AE1205&lt;&gt;"직접",IFERROR(INDEX(계정매핑!$G$5:$G$504,MATCH($F1205&amp;"",계정매핑!$A$5:$A$504,0))&amp;"","")="유지비",COUNTIF(계정대체기준!$A$6:$A$15,$N1205)&gt;0),IFERROR(INDEX(계정대체기준!$E$6:$E$15,MATCH(VALUE($A1205&amp;""),계정대체기준!$D$6:$D$15,0)),0),0))</f>
        <v/>
      </c>
      <c r="AH1205" s="64">
        <f>IF($A1205="","",IF(AD1205=0,"",IF(OR(COUNTIF(계정대체기준!$A$77:$A$86,$N1205)&gt;0,ISNUMBER(MATCH($X1205,계정대체기준!$D$77:$D$86,0)),ISNUMBER(MATCH($F1205,계정대체기준!$D$77:$D$86,0))),"Y","N")))</f>
        <v/>
      </c>
    </row>
    <row r="1206">
      <c r="A1206" s="92" t="n">
        <v>2025</v>
      </c>
      <c r="B1206" s="92" t="n">
        <v>6</v>
      </c>
      <c r="C1206" s="92" t="inlineStr">
        <is>
          <t>5100001202</t>
        </is>
      </c>
      <c r="D1206" s="95" t="n">
        <v>45818</v>
      </c>
      <c r="E1206" s="92" t="inlineStr">
        <is>
          <t>KR</t>
        </is>
      </c>
      <c r="F1206" s="92" t="n">
        <v>62301000</v>
      </c>
      <c r="G1206" s="92" t="n">
        <v>1602</v>
      </c>
      <c r="H1206" s="93" t="n">
        <v>429000</v>
      </c>
      <c r="I1206" s="92" t="inlineStr">
        <is>
          <t>6월 소모품 구입 - Q오피스</t>
        </is>
      </c>
      <c r="J1206" s="92" t="inlineStr">
        <is>
          <t>V10003</t>
        </is>
      </c>
      <c r="K1206" s="92" t="inlineStr">
        <is>
          <t>Q오피스</t>
        </is>
      </c>
      <c r="M1206" s="9">
        <f>IF($A1206="","",VALUE($A1206&amp;"")*12+VALUE($B1206&amp;""))</f>
        <v/>
      </c>
      <c r="N1206" s="64">
        <f>IF($A1206="","",IFERROR(INDEX(부서매핑!$C$5:$C$504,MATCH($G1206&amp;"",부서매핑!$A$5:$A$504,0)),"미매핑"))</f>
        <v/>
      </c>
      <c r="O1206" s="9">
        <f>IF($A1206="","",N1206&amp;"|"&amp;$F1206)</f>
        <v/>
      </c>
      <c r="P1206" s="94">
        <f>IF($A1206="",0,$H1206*설정!$C$23)</f>
        <v/>
      </c>
      <c r="Q1206" s="64">
        <f>IF($A1206="","",IF(O1206&lt;&gt;원인분석!$C$9,"",IF(AND(M1206&gt;=원인분석!$C$10,M1206&lt;=원인분석!$C$11),"당기",IF(AND(M1206&gt;=원인분석!$C$12,M1206&lt;=원인분석!$C$13),"비교",""))))</f>
        <v/>
      </c>
      <c r="R1206" s="9">
        <f>IF(Q1206="","",$K1206&amp;"")</f>
        <v/>
      </c>
      <c r="S1206" s="9">
        <f>IF(Q1206="","",IF(MATCH(R1206,$R$5:$R$100000,0)=ROW()-4,ROW(),""))</f>
        <v/>
      </c>
      <c r="T1206" s="9">
        <f>IF(Q1206="당기",ABS(P1206)+ROW()/1000000000,"")</f>
        <v/>
      </c>
      <c r="U1206" s="9">
        <f>IF(Q1206="비교",ABS(P1206)+ROW()/1000000000,"")</f>
        <v/>
      </c>
      <c r="V1206" s="64">
        <f>IF($A1206="","",IF(COUNTIF(변동분석!$E$7:$E$506,O1206)&gt;0,"Y","N"))</f>
        <v/>
      </c>
      <c r="W1206" s="64">
        <f>IF($A1206="","",IFERROR(INDEX(계정매핑!$D$5:$D$504,MATCH($F1206&amp;"",계정매핑!$A$5:$A$504,0)),"미매핑"))</f>
        <v/>
      </c>
      <c r="X1206" s="9">
        <f>IF($A1206="","",$F1206&amp;"")</f>
        <v/>
      </c>
      <c r="Y1206" s="94">
        <f>IF($A1206="",0,IF(AE1206="직접",IF(AF1206="비귀속",$P1206,0),$P1206*(1-AG1206)*IFERROR(INDEX(계정대체기준!$F$20:$F$49,MATCH($N1206,계정대체기준!$A$20:$A$49,0)),1)))</f>
        <v/>
      </c>
      <c r="Z1206" s="94">
        <f>IF($A1206="",0,IF(AE1206="직접",IF(AF1206="신계약비",$P1206,0),$P1206*(1-AG1206)*IFERROR(INDEX(계정대체기준!$C$20:$C$49,MATCH($N1206,계정대체기준!$A$20:$A$49,0)),0)))</f>
        <v/>
      </c>
      <c r="AA1206" s="94">
        <f>IF($A1206="",0,IF(AE1206="직접",IF(OR(AF1206="유지비",AF1206="손해조사비"),$P1206,0),$P1206*(1-AG1206)*IFERROR(INDEX(계정대체기준!$D$20:$D$49,MATCH($N1206,계정대체기준!$A$20:$A$49,0)),0)))</f>
        <v/>
      </c>
      <c r="AB1206" s="94">
        <f>IF($A1206="",0,IF(AE1206="직접",IF(AF1206="수금비",$P1206,0),$P1206*(1-AG1206)*IFERROR(INDEX(계정대체기준!$E$20:$E$49,MATCH($N1206,계정대체기준!$A$20:$A$49,0)),0)))</f>
        <v/>
      </c>
      <c r="AC1206" s="9">
        <f>IF(AND($A1206&lt;&gt;"",M1206=설정!$C$20,Z1206&gt;0),Z1206+ROW()/1000000000,"")</f>
        <v/>
      </c>
      <c r="AD1206" s="94">
        <f>IF($A1206="",0,$P1206*AG1206)</f>
        <v/>
      </c>
      <c r="AE1206" s="64">
        <f>IF($A1206="","",IFERROR(INDEX(계정매핑!$E$5:$E$504,MATCH($F1206&amp;"",계정매핑!$A$5:$A$504,0))&amp;"","공통비"))</f>
        <v/>
      </c>
      <c r="AF1206" s="64">
        <f>IF($A1206="","",IF(AE1206="직접",IFERROR(INDEX(계정매핑!$F$5:$F$504,MATCH($F1206&amp;"",계정매핑!$A$5:$A$504,0))&amp;"","비귀속"),""))</f>
        <v/>
      </c>
      <c r="AG1206" s="96">
        <f>IF($A1206="",0,IF(AND(AE1206&lt;&gt;"직접",IFERROR(INDEX(계정매핑!$G$5:$G$504,MATCH($F1206&amp;"",계정매핑!$A$5:$A$504,0))&amp;"","")="유지비",COUNTIF(계정대체기준!$A$6:$A$15,$N1206)&gt;0),IFERROR(INDEX(계정대체기준!$E$6:$E$15,MATCH(VALUE($A1206&amp;""),계정대체기준!$D$6:$D$15,0)),0),0))</f>
        <v/>
      </c>
      <c r="AH1206" s="64">
        <f>IF($A1206="","",IF(AD1206=0,"",IF(OR(COUNTIF(계정대체기준!$A$77:$A$86,$N1206)&gt;0,ISNUMBER(MATCH($X1206,계정대체기준!$D$77:$D$86,0)),ISNUMBER(MATCH($F1206,계정대체기준!$D$77:$D$86,0))),"Y","N")))</f>
        <v/>
      </c>
    </row>
    <row r="1207">
      <c r="A1207" s="92" t="n">
        <v>2025</v>
      </c>
      <c r="B1207" s="92" t="n">
        <v>6</v>
      </c>
      <c r="C1207" s="92" t="inlineStr">
        <is>
          <t>5100001203</t>
        </is>
      </c>
      <c r="D1207" s="95" t="n">
        <v>45818</v>
      </c>
      <c r="E1207" s="92" t="inlineStr">
        <is>
          <t>KR</t>
        </is>
      </c>
      <c r="F1207" s="92" t="n">
        <v>62401000</v>
      </c>
      <c r="G1207" s="92" t="n">
        <v>1401</v>
      </c>
      <c r="H1207" s="93" t="n">
        <v>231000</v>
      </c>
      <c r="I1207" s="92" t="inlineStr">
        <is>
          <t>6월 인쇄물 제작 - S출판</t>
        </is>
      </c>
      <c r="J1207" s="92" t="inlineStr">
        <is>
          <t>V10015</t>
        </is>
      </c>
      <c r="K1207" s="92" t="inlineStr">
        <is>
          <t>S출판</t>
        </is>
      </c>
      <c r="M1207" s="9">
        <f>IF($A1207="","",VALUE($A1207&amp;"")*12+VALUE($B1207&amp;""))</f>
        <v/>
      </c>
      <c r="N1207" s="64">
        <f>IF($A1207="","",IFERROR(INDEX(부서매핑!$C$5:$C$504,MATCH($G1207&amp;"",부서매핑!$A$5:$A$504,0)),"미매핑"))</f>
        <v/>
      </c>
      <c r="O1207" s="9">
        <f>IF($A1207="","",N1207&amp;"|"&amp;$F1207)</f>
        <v/>
      </c>
      <c r="P1207" s="94">
        <f>IF($A1207="",0,$H1207*설정!$C$23)</f>
        <v/>
      </c>
      <c r="Q1207" s="64">
        <f>IF($A1207="","",IF(O1207&lt;&gt;원인분석!$C$9,"",IF(AND(M1207&gt;=원인분석!$C$10,M1207&lt;=원인분석!$C$11),"당기",IF(AND(M1207&gt;=원인분석!$C$12,M1207&lt;=원인분석!$C$13),"비교",""))))</f>
        <v/>
      </c>
      <c r="R1207" s="9">
        <f>IF(Q1207="","",$K1207&amp;"")</f>
        <v/>
      </c>
      <c r="S1207" s="9">
        <f>IF(Q1207="","",IF(MATCH(R1207,$R$5:$R$100000,0)=ROW()-4,ROW(),""))</f>
        <v/>
      </c>
      <c r="T1207" s="9">
        <f>IF(Q1207="당기",ABS(P1207)+ROW()/1000000000,"")</f>
        <v/>
      </c>
      <c r="U1207" s="9">
        <f>IF(Q1207="비교",ABS(P1207)+ROW()/1000000000,"")</f>
        <v/>
      </c>
      <c r="V1207" s="64">
        <f>IF($A1207="","",IF(COUNTIF(변동분석!$E$7:$E$506,O1207)&gt;0,"Y","N"))</f>
        <v/>
      </c>
      <c r="W1207" s="64">
        <f>IF($A1207="","",IFERROR(INDEX(계정매핑!$D$5:$D$504,MATCH($F1207&amp;"",계정매핑!$A$5:$A$504,0)),"미매핑"))</f>
        <v/>
      </c>
      <c r="X1207" s="9">
        <f>IF($A1207="","",$F1207&amp;"")</f>
        <v/>
      </c>
      <c r="Y1207" s="94">
        <f>IF($A1207="",0,IF(AE1207="직접",IF(AF1207="비귀속",$P1207,0),$P1207*(1-AG1207)*IFERROR(INDEX(계정대체기준!$F$20:$F$49,MATCH($N1207,계정대체기준!$A$20:$A$49,0)),1)))</f>
        <v/>
      </c>
      <c r="Z1207" s="94">
        <f>IF($A1207="",0,IF(AE1207="직접",IF(AF1207="신계약비",$P1207,0),$P1207*(1-AG1207)*IFERROR(INDEX(계정대체기준!$C$20:$C$49,MATCH($N1207,계정대체기준!$A$20:$A$49,0)),0)))</f>
        <v/>
      </c>
      <c r="AA1207" s="94">
        <f>IF($A1207="",0,IF(AE1207="직접",IF(OR(AF1207="유지비",AF1207="손해조사비"),$P1207,0),$P1207*(1-AG1207)*IFERROR(INDEX(계정대체기준!$D$20:$D$49,MATCH($N1207,계정대체기준!$A$20:$A$49,0)),0)))</f>
        <v/>
      </c>
      <c r="AB1207" s="94">
        <f>IF($A1207="",0,IF(AE1207="직접",IF(AF1207="수금비",$P1207,0),$P1207*(1-AG1207)*IFERROR(INDEX(계정대체기준!$E$20:$E$49,MATCH($N1207,계정대체기준!$A$20:$A$49,0)),0)))</f>
        <v/>
      </c>
      <c r="AC1207" s="9">
        <f>IF(AND($A1207&lt;&gt;"",M1207=설정!$C$20,Z1207&gt;0),Z1207+ROW()/1000000000,"")</f>
        <v/>
      </c>
      <c r="AD1207" s="94">
        <f>IF($A1207="",0,$P1207*AG1207)</f>
        <v/>
      </c>
      <c r="AE1207" s="64">
        <f>IF($A1207="","",IFERROR(INDEX(계정매핑!$E$5:$E$504,MATCH($F1207&amp;"",계정매핑!$A$5:$A$504,0))&amp;"","공통비"))</f>
        <v/>
      </c>
      <c r="AF1207" s="64">
        <f>IF($A1207="","",IF(AE1207="직접",IFERROR(INDEX(계정매핑!$F$5:$F$504,MATCH($F1207&amp;"",계정매핑!$A$5:$A$504,0))&amp;"","비귀속"),""))</f>
        <v/>
      </c>
      <c r="AG1207" s="96">
        <f>IF($A1207="",0,IF(AND(AE1207&lt;&gt;"직접",IFERROR(INDEX(계정매핑!$G$5:$G$504,MATCH($F1207&amp;"",계정매핑!$A$5:$A$504,0))&amp;"","")="유지비",COUNTIF(계정대체기준!$A$6:$A$15,$N1207)&gt;0),IFERROR(INDEX(계정대체기준!$E$6:$E$15,MATCH(VALUE($A1207&amp;""),계정대체기준!$D$6:$D$15,0)),0),0))</f>
        <v/>
      </c>
      <c r="AH1207" s="64">
        <f>IF($A1207="","",IF(AD1207=0,"",IF(OR(COUNTIF(계정대체기준!$A$77:$A$86,$N1207)&gt;0,ISNUMBER(MATCH($X1207,계정대체기준!$D$77:$D$86,0)),ISNUMBER(MATCH($F1207,계정대체기준!$D$77:$D$86,0))),"Y","N")))</f>
        <v/>
      </c>
    </row>
    <row r="1208">
      <c r="A1208" s="92" t="n">
        <v>2025</v>
      </c>
      <c r="B1208" s="92" t="n">
        <v>6</v>
      </c>
      <c r="C1208" s="92" t="inlineStr">
        <is>
          <t>5100001204</t>
        </is>
      </c>
      <c r="D1208" s="95" t="n">
        <v>45818</v>
      </c>
      <c r="E1208" s="92" t="inlineStr">
        <is>
          <t>KR</t>
        </is>
      </c>
      <c r="F1208" s="92" t="n">
        <v>62501000</v>
      </c>
      <c r="G1208" s="92" t="n">
        <v>1401</v>
      </c>
      <c r="H1208" s="93" t="n">
        <v>217000</v>
      </c>
      <c r="I1208" s="92" t="inlineStr">
        <is>
          <t>6월 회의 다과 - T케이터링</t>
        </is>
      </c>
      <c r="J1208" s="92" t="inlineStr">
        <is>
          <t>V10005</t>
        </is>
      </c>
      <c r="K1208" s="92" t="inlineStr">
        <is>
          <t>T케이터링</t>
        </is>
      </c>
      <c r="M1208" s="9">
        <f>IF($A1208="","",VALUE($A1208&amp;"")*12+VALUE($B1208&amp;""))</f>
        <v/>
      </c>
      <c r="N1208" s="64">
        <f>IF($A1208="","",IFERROR(INDEX(부서매핑!$C$5:$C$504,MATCH($G1208&amp;"",부서매핑!$A$5:$A$504,0)),"미매핑"))</f>
        <v/>
      </c>
      <c r="O1208" s="9">
        <f>IF($A1208="","",N1208&amp;"|"&amp;$F1208)</f>
        <v/>
      </c>
      <c r="P1208" s="94">
        <f>IF($A1208="",0,$H1208*설정!$C$23)</f>
        <v/>
      </c>
      <c r="Q1208" s="64">
        <f>IF($A1208="","",IF(O1208&lt;&gt;원인분석!$C$9,"",IF(AND(M1208&gt;=원인분석!$C$10,M1208&lt;=원인분석!$C$11),"당기",IF(AND(M1208&gt;=원인분석!$C$12,M1208&lt;=원인분석!$C$13),"비교",""))))</f>
        <v/>
      </c>
      <c r="R1208" s="9">
        <f>IF(Q1208="","",$K1208&amp;"")</f>
        <v/>
      </c>
      <c r="S1208" s="9">
        <f>IF(Q1208="","",IF(MATCH(R1208,$R$5:$R$100000,0)=ROW()-4,ROW(),""))</f>
        <v/>
      </c>
      <c r="T1208" s="9">
        <f>IF(Q1208="당기",ABS(P1208)+ROW()/1000000000,"")</f>
        <v/>
      </c>
      <c r="U1208" s="9">
        <f>IF(Q1208="비교",ABS(P1208)+ROW()/1000000000,"")</f>
        <v/>
      </c>
      <c r="V1208" s="64">
        <f>IF($A1208="","",IF(COUNTIF(변동분석!$E$7:$E$506,O1208)&gt;0,"Y","N"))</f>
        <v/>
      </c>
      <c r="W1208" s="64">
        <f>IF($A1208="","",IFERROR(INDEX(계정매핑!$D$5:$D$504,MATCH($F1208&amp;"",계정매핑!$A$5:$A$504,0)),"미매핑"))</f>
        <v/>
      </c>
      <c r="X1208" s="9">
        <f>IF($A1208="","",$F1208&amp;"")</f>
        <v/>
      </c>
      <c r="Y1208" s="94">
        <f>IF($A1208="",0,IF(AE1208="직접",IF(AF1208="비귀속",$P1208,0),$P1208*(1-AG1208)*IFERROR(INDEX(계정대체기준!$F$20:$F$49,MATCH($N1208,계정대체기준!$A$20:$A$49,0)),1)))</f>
        <v/>
      </c>
      <c r="Z1208" s="94">
        <f>IF($A1208="",0,IF(AE1208="직접",IF(AF1208="신계약비",$P1208,0),$P1208*(1-AG1208)*IFERROR(INDEX(계정대체기준!$C$20:$C$49,MATCH($N1208,계정대체기준!$A$20:$A$49,0)),0)))</f>
        <v/>
      </c>
      <c r="AA1208" s="94">
        <f>IF($A1208="",0,IF(AE1208="직접",IF(OR(AF1208="유지비",AF1208="손해조사비"),$P1208,0),$P1208*(1-AG1208)*IFERROR(INDEX(계정대체기준!$D$20:$D$49,MATCH($N1208,계정대체기준!$A$20:$A$49,0)),0)))</f>
        <v/>
      </c>
      <c r="AB1208" s="94">
        <f>IF($A1208="",0,IF(AE1208="직접",IF(AF1208="수금비",$P1208,0),$P1208*(1-AG1208)*IFERROR(INDEX(계정대체기준!$E$20:$E$49,MATCH($N1208,계정대체기준!$A$20:$A$49,0)),0)))</f>
        <v/>
      </c>
      <c r="AC1208" s="9">
        <f>IF(AND($A1208&lt;&gt;"",M1208=설정!$C$20,Z1208&gt;0),Z1208+ROW()/1000000000,"")</f>
        <v/>
      </c>
      <c r="AD1208" s="94">
        <f>IF($A1208="",0,$P1208*AG1208)</f>
        <v/>
      </c>
      <c r="AE1208" s="64">
        <f>IF($A1208="","",IFERROR(INDEX(계정매핑!$E$5:$E$504,MATCH($F1208&amp;"",계정매핑!$A$5:$A$504,0))&amp;"","공통비"))</f>
        <v/>
      </c>
      <c r="AF1208" s="64">
        <f>IF($A1208="","",IF(AE1208="직접",IFERROR(INDEX(계정매핑!$F$5:$F$504,MATCH($F1208&amp;"",계정매핑!$A$5:$A$504,0))&amp;"","비귀속"),""))</f>
        <v/>
      </c>
      <c r="AG1208" s="96">
        <f>IF($A1208="",0,IF(AND(AE1208&lt;&gt;"직접",IFERROR(INDEX(계정매핑!$G$5:$G$504,MATCH($F1208&amp;"",계정매핑!$A$5:$A$504,0))&amp;"","")="유지비",COUNTIF(계정대체기준!$A$6:$A$15,$N1208)&gt;0),IFERROR(INDEX(계정대체기준!$E$6:$E$15,MATCH(VALUE($A1208&amp;""),계정대체기준!$D$6:$D$15,0)),0),0))</f>
        <v/>
      </c>
      <c r="AH1208" s="64">
        <f>IF($A1208="","",IF(AD1208=0,"",IF(OR(COUNTIF(계정대체기준!$A$77:$A$86,$N1208)&gt;0,ISNUMBER(MATCH($X1208,계정대체기준!$D$77:$D$86,0)),ISNUMBER(MATCH($F1208,계정대체기준!$D$77:$D$86,0))),"Y","N")))</f>
        <v/>
      </c>
    </row>
    <row r="1209">
      <c r="A1209" s="92" t="n">
        <v>2025</v>
      </c>
      <c r="B1209" s="92" t="n">
        <v>6</v>
      </c>
      <c r="C1209" s="92" t="inlineStr">
        <is>
          <t>5100001205</t>
        </is>
      </c>
      <c r="D1209" s="95" t="n">
        <v>45818</v>
      </c>
      <c r="E1209" s="92" t="inlineStr">
        <is>
          <t>KR</t>
        </is>
      </c>
      <c r="F1209" s="92" t="n">
        <v>62901000</v>
      </c>
      <c r="G1209" s="92" t="n">
        <v>1951</v>
      </c>
      <c r="H1209" s="93" t="n">
        <v>5812000</v>
      </c>
      <c r="I1209" s="92" t="inlineStr">
        <is>
          <t>6월 자문 수수료 - W컨설팅</t>
        </is>
      </c>
      <c r="J1209" s="92" t="inlineStr">
        <is>
          <t>V10006</t>
        </is>
      </c>
      <c r="K1209" s="92" t="inlineStr">
        <is>
          <t>W컨설팅</t>
        </is>
      </c>
      <c r="M1209" s="9">
        <f>IF($A1209="","",VALUE($A1209&amp;"")*12+VALUE($B1209&amp;""))</f>
        <v/>
      </c>
      <c r="N1209" s="64">
        <f>IF($A1209="","",IFERROR(INDEX(부서매핑!$C$5:$C$504,MATCH($G1209&amp;"",부서매핑!$A$5:$A$504,0)),"미매핑"))</f>
        <v/>
      </c>
      <c r="O1209" s="9">
        <f>IF($A1209="","",N1209&amp;"|"&amp;$F1209)</f>
        <v/>
      </c>
      <c r="P1209" s="94">
        <f>IF($A1209="",0,$H1209*설정!$C$23)</f>
        <v/>
      </c>
      <c r="Q1209" s="64">
        <f>IF($A1209="","",IF(O1209&lt;&gt;원인분석!$C$9,"",IF(AND(M1209&gt;=원인분석!$C$10,M1209&lt;=원인분석!$C$11),"당기",IF(AND(M1209&gt;=원인분석!$C$12,M1209&lt;=원인분석!$C$13),"비교",""))))</f>
        <v/>
      </c>
      <c r="R1209" s="9">
        <f>IF(Q1209="","",$K1209&amp;"")</f>
        <v/>
      </c>
      <c r="S1209" s="9">
        <f>IF(Q1209="","",IF(MATCH(R1209,$R$5:$R$100000,0)=ROW()-4,ROW(),""))</f>
        <v/>
      </c>
      <c r="T1209" s="9">
        <f>IF(Q1209="당기",ABS(P1209)+ROW()/1000000000,"")</f>
        <v/>
      </c>
      <c r="U1209" s="9">
        <f>IF(Q1209="비교",ABS(P1209)+ROW()/1000000000,"")</f>
        <v/>
      </c>
      <c r="V1209" s="64">
        <f>IF($A1209="","",IF(COUNTIF(변동분석!$E$7:$E$506,O1209)&gt;0,"Y","N"))</f>
        <v/>
      </c>
      <c r="W1209" s="64">
        <f>IF($A1209="","",IFERROR(INDEX(계정매핑!$D$5:$D$504,MATCH($F1209&amp;"",계정매핑!$A$5:$A$504,0)),"미매핑"))</f>
        <v/>
      </c>
      <c r="X1209" s="9">
        <f>IF($A1209="","",$F1209&amp;"")</f>
        <v/>
      </c>
      <c r="Y1209" s="94">
        <f>IF($A1209="",0,IF(AE1209="직접",IF(AF1209="비귀속",$P1209,0),$P1209*(1-AG1209)*IFERROR(INDEX(계정대체기준!$F$20:$F$49,MATCH($N1209,계정대체기준!$A$20:$A$49,0)),1)))</f>
        <v/>
      </c>
      <c r="Z1209" s="94">
        <f>IF($A1209="",0,IF(AE1209="직접",IF(AF1209="신계약비",$P1209,0),$P1209*(1-AG1209)*IFERROR(INDEX(계정대체기준!$C$20:$C$49,MATCH($N1209,계정대체기준!$A$20:$A$49,0)),0)))</f>
        <v/>
      </c>
      <c r="AA1209" s="94">
        <f>IF($A1209="",0,IF(AE1209="직접",IF(OR(AF1209="유지비",AF1209="손해조사비"),$P1209,0),$P1209*(1-AG1209)*IFERROR(INDEX(계정대체기준!$D$20:$D$49,MATCH($N1209,계정대체기준!$A$20:$A$49,0)),0)))</f>
        <v/>
      </c>
      <c r="AB1209" s="94">
        <f>IF($A1209="",0,IF(AE1209="직접",IF(AF1209="수금비",$P1209,0),$P1209*(1-AG1209)*IFERROR(INDEX(계정대체기준!$E$20:$E$49,MATCH($N1209,계정대체기준!$A$20:$A$49,0)),0)))</f>
        <v/>
      </c>
      <c r="AC1209" s="9">
        <f>IF(AND($A1209&lt;&gt;"",M1209=설정!$C$20,Z1209&gt;0),Z1209+ROW()/1000000000,"")</f>
        <v/>
      </c>
      <c r="AD1209" s="94">
        <f>IF($A1209="",0,$P1209*AG1209)</f>
        <v/>
      </c>
      <c r="AE1209" s="64">
        <f>IF($A1209="","",IFERROR(INDEX(계정매핑!$E$5:$E$504,MATCH($F1209&amp;"",계정매핑!$A$5:$A$504,0))&amp;"","공통비"))</f>
        <v/>
      </c>
      <c r="AF1209" s="64">
        <f>IF($A1209="","",IF(AE1209="직접",IFERROR(INDEX(계정매핑!$F$5:$F$504,MATCH($F1209&amp;"",계정매핑!$A$5:$A$504,0))&amp;"","비귀속"),""))</f>
        <v/>
      </c>
      <c r="AG1209" s="96">
        <f>IF($A1209="",0,IF(AND(AE1209&lt;&gt;"직접",IFERROR(INDEX(계정매핑!$G$5:$G$504,MATCH($F1209&amp;"",계정매핑!$A$5:$A$504,0))&amp;"","")="유지비",COUNTIF(계정대체기준!$A$6:$A$15,$N1209)&gt;0),IFERROR(INDEX(계정대체기준!$E$6:$E$15,MATCH(VALUE($A1209&amp;""),계정대체기준!$D$6:$D$15,0)),0),0))</f>
        <v/>
      </c>
      <c r="AH1209" s="64">
        <f>IF($A1209="","",IF(AD1209=0,"",IF(OR(COUNTIF(계정대체기준!$A$77:$A$86,$N1209)&gt;0,ISNUMBER(MATCH($X1209,계정대체기준!$D$77:$D$86,0)),ISNUMBER(MATCH($F1209,계정대체기준!$D$77:$D$86,0))),"Y","N")))</f>
        <v/>
      </c>
    </row>
    <row r="1210">
      <c r="A1210" s="92" t="n">
        <v>2025</v>
      </c>
      <c r="B1210" s="92" t="n">
        <v>6</v>
      </c>
      <c r="C1210" s="92" t="inlineStr">
        <is>
          <t>5100001206</t>
        </is>
      </c>
      <c r="D1210" s="95" t="n">
        <v>45818</v>
      </c>
      <c r="E1210" s="92" t="inlineStr">
        <is>
          <t>KR</t>
        </is>
      </c>
      <c r="F1210" s="92" t="n">
        <v>63101000</v>
      </c>
      <c r="G1210" s="92" t="n">
        <v>1601</v>
      </c>
      <c r="H1210" s="93" t="n">
        <v>4474000</v>
      </c>
      <c r="I1210" s="92" t="inlineStr">
        <is>
          <t>6월 사무실 임차료 - BB부동산</t>
        </is>
      </c>
      <c r="J1210" s="92" t="inlineStr">
        <is>
          <t>V10028</t>
        </is>
      </c>
      <c r="K1210" s="92" t="inlineStr">
        <is>
          <t>BB부동산</t>
        </is>
      </c>
      <c r="M1210" s="9">
        <f>IF($A1210="","",VALUE($A1210&amp;"")*12+VALUE($B1210&amp;""))</f>
        <v/>
      </c>
      <c r="N1210" s="64">
        <f>IF($A1210="","",IFERROR(INDEX(부서매핑!$C$5:$C$504,MATCH($G1210&amp;"",부서매핑!$A$5:$A$504,0)),"미매핑"))</f>
        <v/>
      </c>
      <c r="O1210" s="9">
        <f>IF($A1210="","",N1210&amp;"|"&amp;$F1210)</f>
        <v/>
      </c>
      <c r="P1210" s="94">
        <f>IF($A1210="",0,$H1210*설정!$C$23)</f>
        <v/>
      </c>
      <c r="Q1210" s="64">
        <f>IF($A1210="","",IF(O1210&lt;&gt;원인분석!$C$9,"",IF(AND(M1210&gt;=원인분석!$C$10,M1210&lt;=원인분석!$C$11),"당기",IF(AND(M1210&gt;=원인분석!$C$12,M1210&lt;=원인분석!$C$13),"비교",""))))</f>
        <v/>
      </c>
      <c r="R1210" s="9">
        <f>IF(Q1210="","",$K1210&amp;"")</f>
        <v/>
      </c>
      <c r="S1210" s="9">
        <f>IF(Q1210="","",IF(MATCH(R1210,$R$5:$R$100000,0)=ROW()-4,ROW(),""))</f>
        <v/>
      </c>
      <c r="T1210" s="9">
        <f>IF(Q1210="당기",ABS(P1210)+ROW()/1000000000,"")</f>
        <v/>
      </c>
      <c r="U1210" s="9">
        <f>IF(Q1210="비교",ABS(P1210)+ROW()/1000000000,"")</f>
        <v/>
      </c>
      <c r="V1210" s="64">
        <f>IF($A1210="","",IF(COUNTIF(변동분석!$E$7:$E$506,O1210)&gt;0,"Y","N"))</f>
        <v/>
      </c>
      <c r="W1210" s="64">
        <f>IF($A1210="","",IFERROR(INDEX(계정매핑!$D$5:$D$504,MATCH($F1210&amp;"",계정매핑!$A$5:$A$504,0)),"미매핑"))</f>
        <v/>
      </c>
      <c r="X1210" s="9">
        <f>IF($A1210="","",$F1210&amp;"")</f>
        <v/>
      </c>
      <c r="Y1210" s="94">
        <f>IF($A1210="",0,IF(AE1210="직접",IF(AF1210="비귀속",$P1210,0),$P1210*(1-AG1210)*IFERROR(INDEX(계정대체기준!$F$20:$F$49,MATCH($N1210,계정대체기준!$A$20:$A$49,0)),1)))</f>
        <v/>
      </c>
      <c r="Z1210" s="94">
        <f>IF($A1210="",0,IF(AE1210="직접",IF(AF1210="신계약비",$P1210,0),$P1210*(1-AG1210)*IFERROR(INDEX(계정대체기준!$C$20:$C$49,MATCH($N1210,계정대체기준!$A$20:$A$49,0)),0)))</f>
        <v/>
      </c>
      <c r="AA1210" s="94">
        <f>IF($A1210="",0,IF(AE1210="직접",IF(OR(AF1210="유지비",AF1210="손해조사비"),$P1210,0),$P1210*(1-AG1210)*IFERROR(INDEX(계정대체기준!$D$20:$D$49,MATCH($N1210,계정대체기준!$A$20:$A$49,0)),0)))</f>
        <v/>
      </c>
      <c r="AB1210" s="94">
        <f>IF($A1210="",0,IF(AE1210="직접",IF(AF1210="수금비",$P1210,0),$P1210*(1-AG1210)*IFERROR(INDEX(계정대체기준!$E$20:$E$49,MATCH($N1210,계정대체기준!$A$20:$A$49,0)),0)))</f>
        <v/>
      </c>
      <c r="AC1210" s="9">
        <f>IF(AND($A1210&lt;&gt;"",M1210=설정!$C$20,Z1210&gt;0),Z1210+ROW()/1000000000,"")</f>
        <v/>
      </c>
      <c r="AD1210" s="94">
        <f>IF($A1210="",0,$P1210*AG1210)</f>
        <v/>
      </c>
      <c r="AE1210" s="64">
        <f>IF($A1210="","",IFERROR(INDEX(계정매핑!$E$5:$E$504,MATCH($F1210&amp;"",계정매핑!$A$5:$A$504,0))&amp;"","공통비"))</f>
        <v/>
      </c>
      <c r="AF1210" s="64">
        <f>IF($A1210="","",IF(AE1210="직접",IFERROR(INDEX(계정매핑!$F$5:$F$504,MATCH($F1210&amp;"",계정매핑!$A$5:$A$504,0))&amp;"","비귀속"),""))</f>
        <v/>
      </c>
      <c r="AG1210" s="96">
        <f>IF($A1210="",0,IF(AND(AE1210&lt;&gt;"직접",IFERROR(INDEX(계정매핑!$G$5:$G$504,MATCH($F1210&amp;"",계정매핑!$A$5:$A$504,0))&amp;"","")="유지비",COUNTIF(계정대체기준!$A$6:$A$15,$N1210)&gt;0),IFERROR(INDEX(계정대체기준!$E$6:$E$15,MATCH(VALUE($A1210&amp;""),계정대체기준!$D$6:$D$15,0)),0),0))</f>
        <v/>
      </c>
      <c r="AH1210" s="64">
        <f>IF($A1210="","",IF(AD1210=0,"",IF(OR(COUNTIF(계정대체기준!$A$77:$A$86,$N1210)&gt;0,ISNUMBER(MATCH($X1210,계정대체기준!$D$77:$D$86,0)),ISNUMBER(MATCH($F1210,계정대체기준!$D$77:$D$86,0))),"Y","N")))</f>
        <v/>
      </c>
    </row>
    <row r="1211">
      <c r="A1211" s="92" t="n">
        <v>2025</v>
      </c>
      <c r="B1211" s="92" t="n">
        <v>6</v>
      </c>
      <c r="C1211" s="92" t="inlineStr">
        <is>
          <t>5100001207</t>
        </is>
      </c>
      <c r="D1211" s="95" t="n">
        <v>45818</v>
      </c>
      <c r="E1211" s="92" t="inlineStr">
        <is>
          <t>KR</t>
        </is>
      </c>
      <c r="F1211" s="92" t="n">
        <v>63101000</v>
      </c>
      <c r="G1211" s="92" t="n">
        <v>1602</v>
      </c>
      <c r="H1211" s="93" t="n">
        <v>5755000</v>
      </c>
      <c r="I1211" s="92" t="inlineStr">
        <is>
          <t>6월 사무실 임차료 - BB부동산</t>
        </is>
      </c>
      <c r="J1211" s="92" t="inlineStr">
        <is>
          <t>V10028</t>
        </is>
      </c>
      <c r="K1211" s="92" t="inlineStr">
        <is>
          <t>BB부동산</t>
        </is>
      </c>
      <c r="M1211" s="9">
        <f>IF($A1211="","",VALUE($A1211&amp;"")*12+VALUE($B1211&amp;""))</f>
        <v/>
      </c>
      <c r="N1211" s="64">
        <f>IF($A1211="","",IFERROR(INDEX(부서매핑!$C$5:$C$504,MATCH($G1211&amp;"",부서매핑!$A$5:$A$504,0)),"미매핑"))</f>
        <v/>
      </c>
      <c r="O1211" s="9">
        <f>IF($A1211="","",N1211&amp;"|"&amp;$F1211)</f>
        <v/>
      </c>
      <c r="P1211" s="94">
        <f>IF($A1211="",0,$H1211*설정!$C$23)</f>
        <v/>
      </c>
      <c r="Q1211" s="64">
        <f>IF($A1211="","",IF(O1211&lt;&gt;원인분석!$C$9,"",IF(AND(M1211&gt;=원인분석!$C$10,M1211&lt;=원인분석!$C$11),"당기",IF(AND(M1211&gt;=원인분석!$C$12,M1211&lt;=원인분석!$C$13),"비교",""))))</f>
        <v/>
      </c>
      <c r="R1211" s="9">
        <f>IF(Q1211="","",$K1211&amp;"")</f>
        <v/>
      </c>
      <c r="S1211" s="9">
        <f>IF(Q1211="","",IF(MATCH(R1211,$R$5:$R$100000,0)=ROW()-4,ROW(),""))</f>
        <v/>
      </c>
      <c r="T1211" s="9">
        <f>IF(Q1211="당기",ABS(P1211)+ROW()/1000000000,"")</f>
        <v/>
      </c>
      <c r="U1211" s="9">
        <f>IF(Q1211="비교",ABS(P1211)+ROW()/1000000000,"")</f>
        <v/>
      </c>
      <c r="V1211" s="64">
        <f>IF($A1211="","",IF(COUNTIF(변동분석!$E$7:$E$506,O1211)&gt;0,"Y","N"))</f>
        <v/>
      </c>
      <c r="W1211" s="64">
        <f>IF($A1211="","",IFERROR(INDEX(계정매핑!$D$5:$D$504,MATCH($F1211&amp;"",계정매핑!$A$5:$A$504,0)),"미매핑"))</f>
        <v/>
      </c>
      <c r="X1211" s="9">
        <f>IF($A1211="","",$F1211&amp;"")</f>
        <v/>
      </c>
      <c r="Y1211" s="94">
        <f>IF($A1211="",0,IF(AE1211="직접",IF(AF1211="비귀속",$P1211,0),$P1211*(1-AG1211)*IFERROR(INDEX(계정대체기준!$F$20:$F$49,MATCH($N1211,계정대체기준!$A$20:$A$49,0)),1)))</f>
        <v/>
      </c>
      <c r="Z1211" s="94">
        <f>IF($A1211="",0,IF(AE1211="직접",IF(AF1211="신계약비",$P1211,0),$P1211*(1-AG1211)*IFERROR(INDEX(계정대체기준!$C$20:$C$49,MATCH($N1211,계정대체기준!$A$20:$A$49,0)),0)))</f>
        <v/>
      </c>
      <c r="AA1211" s="94">
        <f>IF($A1211="",0,IF(AE1211="직접",IF(OR(AF1211="유지비",AF1211="손해조사비"),$P1211,0),$P1211*(1-AG1211)*IFERROR(INDEX(계정대체기준!$D$20:$D$49,MATCH($N1211,계정대체기준!$A$20:$A$49,0)),0)))</f>
        <v/>
      </c>
      <c r="AB1211" s="94">
        <f>IF($A1211="",0,IF(AE1211="직접",IF(AF1211="수금비",$P1211,0),$P1211*(1-AG1211)*IFERROR(INDEX(계정대체기준!$E$20:$E$49,MATCH($N1211,계정대체기준!$A$20:$A$49,0)),0)))</f>
        <v/>
      </c>
      <c r="AC1211" s="9">
        <f>IF(AND($A1211&lt;&gt;"",M1211=설정!$C$20,Z1211&gt;0),Z1211+ROW()/1000000000,"")</f>
        <v/>
      </c>
      <c r="AD1211" s="94">
        <f>IF($A1211="",0,$P1211*AG1211)</f>
        <v/>
      </c>
      <c r="AE1211" s="64">
        <f>IF($A1211="","",IFERROR(INDEX(계정매핑!$E$5:$E$504,MATCH($F1211&amp;"",계정매핑!$A$5:$A$504,0))&amp;"","공통비"))</f>
        <v/>
      </c>
      <c r="AF1211" s="64">
        <f>IF($A1211="","",IF(AE1211="직접",IFERROR(INDEX(계정매핑!$F$5:$F$504,MATCH($F1211&amp;"",계정매핑!$A$5:$A$504,0))&amp;"","비귀속"),""))</f>
        <v/>
      </c>
      <c r="AG1211" s="96">
        <f>IF($A1211="",0,IF(AND(AE1211&lt;&gt;"직접",IFERROR(INDEX(계정매핑!$G$5:$G$504,MATCH($F1211&amp;"",계정매핑!$A$5:$A$504,0))&amp;"","")="유지비",COUNTIF(계정대체기준!$A$6:$A$15,$N1211)&gt;0),IFERROR(INDEX(계정대체기준!$E$6:$E$15,MATCH(VALUE($A1211&amp;""),계정대체기준!$D$6:$D$15,0)),0),0))</f>
        <v/>
      </c>
      <c r="AH1211" s="64">
        <f>IF($A1211="","",IF(AD1211=0,"",IF(OR(COUNTIF(계정대체기준!$A$77:$A$86,$N1211)&gt;0,ISNUMBER(MATCH($X1211,계정대체기준!$D$77:$D$86,0)),ISNUMBER(MATCH($F1211,계정대체기준!$D$77:$D$86,0))),"Y","N")))</f>
        <v/>
      </c>
    </row>
    <row r="1212">
      <c r="A1212" s="92" t="n">
        <v>2025</v>
      </c>
      <c r="B1212" s="92" t="n">
        <v>6</v>
      </c>
      <c r="C1212" s="92" t="inlineStr">
        <is>
          <t>5100001208</t>
        </is>
      </c>
      <c r="D1212" s="95" t="n">
        <v>45819</v>
      </c>
      <c r="E1212" s="92" t="inlineStr">
        <is>
          <t>KR</t>
        </is>
      </c>
      <c r="F1212" s="92" t="n">
        <v>62101000</v>
      </c>
      <c r="G1212" s="92" t="n">
        <v>1101</v>
      </c>
      <c r="H1212" s="93" t="n">
        <v>391000</v>
      </c>
      <c r="I1212" s="92" t="inlineStr">
        <is>
          <t>6월 국내출장 - L여행사</t>
        </is>
      </c>
      <c r="J1212" s="92" t="inlineStr">
        <is>
          <t>V10018</t>
        </is>
      </c>
      <c r="K1212" s="92" t="inlineStr">
        <is>
          <t>L여행사</t>
        </is>
      </c>
      <c r="M1212" s="9">
        <f>IF($A1212="","",VALUE($A1212&amp;"")*12+VALUE($B1212&amp;""))</f>
        <v/>
      </c>
      <c r="N1212" s="64">
        <f>IF($A1212="","",IFERROR(INDEX(부서매핑!$C$5:$C$504,MATCH($G1212&amp;"",부서매핑!$A$5:$A$504,0)),"미매핑"))</f>
        <v/>
      </c>
      <c r="O1212" s="9">
        <f>IF($A1212="","",N1212&amp;"|"&amp;$F1212)</f>
        <v/>
      </c>
      <c r="P1212" s="94">
        <f>IF($A1212="",0,$H1212*설정!$C$23)</f>
        <v/>
      </c>
      <c r="Q1212" s="64">
        <f>IF($A1212="","",IF(O1212&lt;&gt;원인분석!$C$9,"",IF(AND(M1212&gt;=원인분석!$C$10,M1212&lt;=원인분석!$C$11),"당기",IF(AND(M1212&gt;=원인분석!$C$12,M1212&lt;=원인분석!$C$13),"비교",""))))</f>
        <v/>
      </c>
      <c r="R1212" s="9">
        <f>IF(Q1212="","",$K1212&amp;"")</f>
        <v/>
      </c>
      <c r="S1212" s="9">
        <f>IF(Q1212="","",IF(MATCH(R1212,$R$5:$R$100000,0)=ROW()-4,ROW(),""))</f>
        <v/>
      </c>
      <c r="T1212" s="9">
        <f>IF(Q1212="당기",ABS(P1212)+ROW()/1000000000,"")</f>
        <v/>
      </c>
      <c r="U1212" s="9">
        <f>IF(Q1212="비교",ABS(P1212)+ROW()/1000000000,"")</f>
        <v/>
      </c>
      <c r="V1212" s="64">
        <f>IF($A1212="","",IF(COUNTIF(변동분석!$E$7:$E$506,O1212)&gt;0,"Y","N"))</f>
        <v/>
      </c>
      <c r="W1212" s="64">
        <f>IF($A1212="","",IFERROR(INDEX(계정매핑!$D$5:$D$504,MATCH($F1212&amp;"",계정매핑!$A$5:$A$504,0)),"미매핑"))</f>
        <v/>
      </c>
      <c r="X1212" s="9">
        <f>IF($A1212="","",$F1212&amp;"")</f>
        <v/>
      </c>
      <c r="Y1212" s="94">
        <f>IF($A1212="",0,IF(AE1212="직접",IF(AF1212="비귀속",$P1212,0),$P1212*(1-AG1212)*IFERROR(INDEX(계정대체기준!$F$20:$F$49,MATCH($N1212,계정대체기준!$A$20:$A$49,0)),1)))</f>
        <v/>
      </c>
      <c r="Z1212" s="94">
        <f>IF($A1212="",0,IF(AE1212="직접",IF(AF1212="신계약비",$P1212,0),$P1212*(1-AG1212)*IFERROR(INDEX(계정대체기준!$C$20:$C$49,MATCH($N1212,계정대체기준!$A$20:$A$49,0)),0)))</f>
        <v/>
      </c>
      <c r="AA1212" s="94">
        <f>IF($A1212="",0,IF(AE1212="직접",IF(OR(AF1212="유지비",AF1212="손해조사비"),$P1212,0),$P1212*(1-AG1212)*IFERROR(INDEX(계정대체기준!$D$20:$D$49,MATCH($N1212,계정대체기준!$A$20:$A$49,0)),0)))</f>
        <v/>
      </c>
      <c r="AB1212" s="94">
        <f>IF($A1212="",0,IF(AE1212="직접",IF(AF1212="수금비",$P1212,0),$P1212*(1-AG1212)*IFERROR(INDEX(계정대체기준!$E$20:$E$49,MATCH($N1212,계정대체기준!$A$20:$A$49,0)),0)))</f>
        <v/>
      </c>
      <c r="AC1212" s="9">
        <f>IF(AND($A1212&lt;&gt;"",M1212=설정!$C$20,Z1212&gt;0),Z1212+ROW()/1000000000,"")</f>
        <v/>
      </c>
      <c r="AD1212" s="94">
        <f>IF($A1212="",0,$P1212*AG1212)</f>
        <v/>
      </c>
      <c r="AE1212" s="64">
        <f>IF($A1212="","",IFERROR(INDEX(계정매핑!$E$5:$E$504,MATCH($F1212&amp;"",계정매핑!$A$5:$A$504,0))&amp;"","공통비"))</f>
        <v/>
      </c>
      <c r="AF1212" s="64">
        <f>IF($A1212="","",IF(AE1212="직접",IFERROR(INDEX(계정매핑!$F$5:$F$504,MATCH($F1212&amp;"",계정매핑!$A$5:$A$504,0))&amp;"","비귀속"),""))</f>
        <v/>
      </c>
      <c r="AG1212" s="96">
        <f>IF($A1212="",0,IF(AND(AE1212&lt;&gt;"직접",IFERROR(INDEX(계정매핑!$G$5:$G$504,MATCH($F1212&amp;"",계정매핑!$A$5:$A$504,0))&amp;"","")="유지비",COUNTIF(계정대체기준!$A$6:$A$15,$N1212)&gt;0),IFERROR(INDEX(계정대체기준!$E$6:$E$15,MATCH(VALUE($A1212&amp;""),계정대체기준!$D$6:$D$15,0)),0),0))</f>
        <v/>
      </c>
      <c r="AH1212" s="64">
        <f>IF($A1212="","",IF(AD1212=0,"",IF(OR(COUNTIF(계정대체기준!$A$77:$A$86,$N1212)&gt;0,ISNUMBER(MATCH($X1212,계정대체기준!$D$77:$D$86,0)),ISNUMBER(MATCH($F1212,계정대체기준!$D$77:$D$86,0))),"Y","N")))</f>
        <v/>
      </c>
    </row>
    <row r="1213">
      <c r="A1213" s="92" t="n">
        <v>2025</v>
      </c>
      <c r="B1213" s="92" t="n">
        <v>6</v>
      </c>
      <c r="C1213" s="92" t="inlineStr">
        <is>
          <t>5100001209</t>
        </is>
      </c>
      <c r="D1213" s="95" t="n">
        <v>45819</v>
      </c>
      <c r="E1213" s="92" t="inlineStr">
        <is>
          <t>KR</t>
        </is>
      </c>
      <c r="F1213" s="92" t="n">
        <v>62101000</v>
      </c>
      <c r="G1213" s="92" t="n">
        <v>1201</v>
      </c>
      <c r="H1213" s="93" t="n">
        <v>277000</v>
      </c>
      <c r="I1213" s="92" t="inlineStr">
        <is>
          <t>6월 국내출장 - M항공</t>
        </is>
      </c>
      <c r="J1213" s="92" t="inlineStr">
        <is>
          <t>V10001</t>
        </is>
      </c>
      <c r="K1213" s="92" t="inlineStr">
        <is>
          <t>M항공</t>
        </is>
      </c>
      <c r="M1213" s="9">
        <f>IF($A1213="","",VALUE($A1213&amp;"")*12+VALUE($B1213&amp;""))</f>
        <v/>
      </c>
      <c r="N1213" s="64">
        <f>IF($A1213="","",IFERROR(INDEX(부서매핑!$C$5:$C$504,MATCH($G1213&amp;"",부서매핑!$A$5:$A$504,0)),"미매핑"))</f>
        <v/>
      </c>
      <c r="O1213" s="9">
        <f>IF($A1213="","",N1213&amp;"|"&amp;$F1213)</f>
        <v/>
      </c>
      <c r="P1213" s="94">
        <f>IF($A1213="",0,$H1213*설정!$C$23)</f>
        <v/>
      </c>
      <c r="Q1213" s="64">
        <f>IF($A1213="","",IF(O1213&lt;&gt;원인분석!$C$9,"",IF(AND(M1213&gt;=원인분석!$C$10,M1213&lt;=원인분석!$C$11),"당기",IF(AND(M1213&gt;=원인분석!$C$12,M1213&lt;=원인분석!$C$13),"비교",""))))</f>
        <v/>
      </c>
      <c r="R1213" s="9">
        <f>IF(Q1213="","",$K1213&amp;"")</f>
        <v/>
      </c>
      <c r="S1213" s="9">
        <f>IF(Q1213="","",IF(MATCH(R1213,$R$5:$R$100000,0)=ROW()-4,ROW(),""))</f>
        <v/>
      </c>
      <c r="T1213" s="9">
        <f>IF(Q1213="당기",ABS(P1213)+ROW()/1000000000,"")</f>
        <v/>
      </c>
      <c r="U1213" s="9">
        <f>IF(Q1213="비교",ABS(P1213)+ROW()/1000000000,"")</f>
        <v/>
      </c>
      <c r="V1213" s="64">
        <f>IF($A1213="","",IF(COUNTIF(변동분석!$E$7:$E$506,O1213)&gt;0,"Y","N"))</f>
        <v/>
      </c>
      <c r="W1213" s="64">
        <f>IF($A1213="","",IFERROR(INDEX(계정매핑!$D$5:$D$504,MATCH($F1213&amp;"",계정매핑!$A$5:$A$504,0)),"미매핑"))</f>
        <v/>
      </c>
      <c r="X1213" s="9">
        <f>IF($A1213="","",$F1213&amp;"")</f>
        <v/>
      </c>
      <c r="Y1213" s="94">
        <f>IF($A1213="",0,IF(AE1213="직접",IF(AF1213="비귀속",$P1213,0),$P1213*(1-AG1213)*IFERROR(INDEX(계정대체기준!$F$20:$F$49,MATCH($N1213,계정대체기준!$A$20:$A$49,0)),1)))</f>
        <v/>
      </c>
      <c r="Z1213" s="94">
        <f>IF($A1213="",0,IF(AE1213="직접",IF(AF1213="신계약비",$P1213,0),$P1213*(1-AG1213)*IFERROR(INDEX(계정대체기준!$C$20:$C$49,MATCH($N1213,계정대체기준!$A$20:$A$49,0)),0)))</f>
        <v/>
      </c>
      <c r="AA1213" s="94">
        <f>IF($A1213="",0,IF(AE1213="직접",IF(OR(AF1213="유지비",AF1213="손해조사비"),$P1213,0),$P1213*(1-AG1213)*IFERROR(INDEX(계정대체기준!$D$20:$D$49,MATCH($N1213,계정대체기준!$A$20:$A$49,0)),0)))</f>
        <v/>
      </c>
      <c r="AB1213" s="94">
        <f>IF($A1213="",0,IF(AE1213="직접",IF(AF1213="수금비",$P1213,0),$P1213*(1-AG1213)*IFERROR(INDEX(계정대체기준!$E$20:$E$49,MATCH($N1213,계정대체기준!$A$20:$A$49,0)),0)))</f>
        <v/>
      </c>
      <c r="AC1213" s="9">
        <f>IF(AND($A1213&lt;&gt;"",M1213=설정!$C$20,Z1213&gt;0),Z1213+ROW()/1000000000,"")</f>
        <v/>
      </c>
      <c r="AD1213" s="94">
        <f>IF($A1213="",0,$P1213*AG1213)</f>
        <v/>
      </c>
      <c r="AE1213" s="64">
        <f>IF($A1213="","",IFERROR(INDEX(계정매핑!$E$5:$E$504,MATCH($F1213&amp;"",계정매핑!$A$5:$A$504,0))&amp;"","공통비"))</f>
        <v/>
      </c>
      <c r="AF1213" s="64">
        <f>IF($A1213="","",IF(AE1213="직접",IFERROR(INDEX(계정매핑!$F$5:$F$504,MATCH($F1213&amp;"",계정매핑!$A$5:$A$504,0))&amp;"","비귀속"),""))</f>
        <v/>
      </c>
      <c r="AG1213" s="96">
        <f>IF($A1213="",0,IF(AND(AE1213&lt;&gt;"직접",IFERROR(INDEX(계정매핑!$G$5:$G$504,MATCH($F1213&amp;"",계정매핑!$A$5:$A$504,0))&amp;"","")="유지비",COUNTIF(계정대체기준!$A$6:$A$15,$N1213)&gt;0),IFERROR(INDEX(계정대체기준!$E$6:$E$15,MATCH(VALUE($A1213&amp;""),계정대체기준!$D$6:$D$15,0)),0),0))</f>
        <v/>
      </c>
      <c r="AH1213" s="64">
        <f>IF($A1213="","",IF(AD1213=0,"",IF(OR(COUNTIF(계정대체기준!$A$77:$A$86,$N1213)&gt;0,ISNUMBER(MATCH($X1213,계정대체기준!$D$77:$D$86,0)),ISNUMBER(MATCH($F1213,계정대체기준!$D$77:$D$86,0))),"Y","N")))</f>
        <v/>
      </c>
    </row>
    <row r="1214">
      <c r="A1214" s="92" t="n">
        <v>2025</v>
      </c>
      <c r="B1214" s="92" t="n">
        <v>6</v>
      </c>
      <c r="C1214" s="92" t="inlineStr">
        <is>
          <t>5100001210</t>
        </is>
      </c>
      <c r="D1214" s="95" t="n">
        <v>45819</v>
      </c>
      <c r="E1214" s="92" t="inlineStr">
        <is>
          <t>KR</t>
        </is>
      </c>
      <c r="F1214" s="92" t="n">
        <v>62101000</v>
      </c>
      <c r="G1214" s="92" t="n">
        <v>1701</v>
      </c>
      <c r="H1214" s="93" t="n">
        <v>175000</v>
      </c>
      <c r="I1214" s="92" t="inlineStr">
        <is>
          <t>6월 국내출장 - L여행사</t>
        </is>
      </c>
      <c r="J1214" s="92" t="inlineStr">
        <is>
          <t>V10018</t>
        </is>
      </c>
      <c r="K1214" s="92" t="inlineStr">
        <is>
          <t>L여행사</t>
        </is>
      </c>
      <c r="M1214" s="9">
        <f>IF($A1214="","",VALUE($A1214&amp;"")*12+VALUE($B1214&amp;""))</f>
        <v/>
      </c>
      <c r="N1214" s="64">
        <f>IF($A1214="","",IFERROR(INDEX(부서매핑!$C$5:$C$504,MATCH($G1214&amp;"",부서매핑!$A$5:$A$504,0)),"미매핑"))</f>
        <v/>
      </c>
      <c r="O1214" s="9">
        <f>IF($A1214="","",N1214&amp;"|"&amp;$F1214)</f>
        <v/>
      </c>
      <c r="P1214" s="94">
        <f>IF($A1214="",0,$H1214*설정!$C$23)</f>
        <v/>
      </c>
      <c r="Q1214" s="64">
        <f>IF($A1214="","",IF(O1214&lt;&gt;원인분석!$C$9,"",IF(AND(M1214&gt;=원인분석!$C$10,M1214&lt;=원인분석!$C$11),"당기",IF(AND(M1214&gt;=원인분석!$C$12,M1214&lt;=원인분석!$C$13),"비교",""))))</f>
        <v/>
      </c>
      <c r="R1214" s="9">
        <f>IF(Q1214="","",$K1214&amp;"")</f>
        <v/>
      </c>
      <c r="S1214" s="9">
        <f>IF(Q1214="","",IF(MATCH(R1214,$R$5:$R$100000,0)=ROW()-4,ROW(),""))</f>
        <v/>
      </c>
      <c r="T1214" s="9">
        <f>IF(Q1214="당기",ABS(P1214)+ROW()/1000000000,"")</f>
        <v/>
      </c>
      <c r="U1214" s="9">
        <f>IF(Q1214="비교",ABS(P1214)+ROW()/1000000000,"")</f>
        <v/>
      </c>
      <c r="V1214" s="64">
        <f>IF($A1214="","",IF(COUNTIF(변동분석!$E$7:$E$506,O1214)&gt;0,"Y","N"))</f>
        <v/>
      </c>
      <c r="W1214" s="64">
        <f>IF($A1214="","",IFERROR(INDEX(계정매핑!$D$5:$D$504,MATCH($F1214&amp;"",계정매핑!$A$5:$A$504,0)),"미매핑"))</f>
        <v/>
      </c>
      <c r="X1214" s="9">
        <f>IF($A1214="","",$F1214&amp;"")</f>
        <v/>
      </c>
      <c r="Y1214" s="94">
        <f>IF($A1214="",0,IF(AE1214="직접",IF(AF1214="비귀속",$P1214,0),$P1214*(1-AG1214)*IFERROR(INDEX(계정대체기준!$F$20:$F$49,MATCH($N1214,계정대체기준!$A$20:$A$49,0)),1)))</f>
        <v/>
      </c>
      <c r="Z1214" s="94">
        <f>IF($A1214="",0,IF(AE1214="직접",IF(AF1214="신계약비",$P1214,0),$P1214*(1-AG1214)*IFERROR(INDEX(계정대체기준!$C$20:$C$49,MATCH($N1214,계정대체기준!$A$20:$A$49,0)),0)))</f>
        <v/>
      </c>
      <c r="AA1214" s="94">
        <f>IF($A1214="",0,IF(AE1214="직접",IF(OR(AF1214="유지비",AF1214="손해조사비"),$P1214,0),$P1214*(1-AG1214)*IFERROR(INDEX(계정대체기준!$D$20:$D$49,MATCH($N1214,계정대체기준!$A$20:$A$49,0)),0)))</f>
        <v/>
      </c>
      <c r="AB1214" s="94">
        <f>IF($A1214="",0,IF(AE1214="직접",IF(AF1214="수금비",$P1214,0),$P1214*(1-AG1214)*IFERROR(INDEX(계정대체기준!$E$20:$E$49,MATCH($N1214,계정대체기준!$A$20:$A$49,0)),0)))</f>
        <v/>
      </c>
      <c r="AC1214" s="9">
        <f>IF(AND($A1214&lt;&gt;"",M1214=설정!$C$20,Z1214&gt;0),Z1214+ROW()/1000000000,"")</f>
        <v/>
      </c>
      <c r="AD1214" s="94">
        <f>IF($A1214="",0,$P1214*AG1214)</f>
        <v/>
      </c>
      <c r="AE1214" s="64">
        <f>IF($A1214="","",IFERROR(INDEX(계정매핑!$E$5:$E$504,MATCH($F1214&amp;"",계정매핑!$A$5:$A$504,0))&amp;"","공통비"))</f>
        <v/>
      </c>
      <c r="AF1214" s="64">
        <f>IF($A1214="","",IF(AE1214="직접",IFERROR(INDEX(계정매핑!$F$5:$F$504,MATCH($F1214&amp;"",계정매핑!$A$5:$A$504,0))&amp;"","비귀속"),""))</f>
        <v/>
      </c>
      <c r="AG1214" s="96">
        <f>IF($A1214="",0,IF(AND(AE1214&lt;&gt;"직접",IFERROR(INDEX(계정매핑!$G$5:$G$504,MATCH($F1214&amp;"",계정매핑!$A$5:$A$504,0))&amp;"","")="유지비",COUNTIF(계정대체기준!$A$6:$A$15,$N1214)&gt;0),IFERROR(INDEX(계정대체기준!$E$6:$E$15,MATCH(VALUE($A1214&amp;""),계정대체기준!$D$6:$D$15,0)),0),0))</f>
        <v/>
      </c>
      <c r="AH1214" s="64">
        <f>IF($A1214="","",IF(AD1214=0,"",IF(OR(COUNTIF(계정대체기준!$A$77:$A$86,$N1214)&gt;0,ISNUMBER(MATCH($X1214,계정대체기준!$D$77:$D$86,0)),ISNUMBER(MATCH($F1214,계정대체기준!$D$77:$D$86,0))),"Y","N")))</f>
        <v/>
      </c>
    </row>
    <row r="1215">
      <c r="A1215" s="92" t="n">
        <v>2025</v>
      </c>
      <c r="B1215" s="92" t="n">
        <v>6</v>
      </c>
      <c r="C1215" s="92" t="inlineStr">
        <is>
          <t>5100001211</t>
        </is>
      </c>
      <c r="D1215" s="95" t="n">
        <v>45819</v>
      </c>
      <c r="E1215" s="92" t="inlineStr">
        <is>
          <t>KR</t>
        </is>
      </c>
      <c r="F1215" s="92" t="n">
        <v>62102000</v>
      </c>
      <c r="G1215" s="92" t="n">
        <v>1801</v>
      </c>
      <c r="H1215" s="93" t="n">
        <v>37000</v>
      </c>
      <c r="I1215" s="92" t="inlineStr">
        <is>
          <t>6월 해외출장 - M항공</t>
        </is>
      </c>
      <c r="J1215" s="92" t="inlineStr">
        <is>
          <t>V10001</t>
        </is>
      </c>
      <c r="K1215" s="92" t="inlineStr">
        <is>
          <t>M항공</t>
        </is>
      </c>
      <c r="M1215" s="9">
        <f>IF($A1215="","",VALUE($A1215&amp;"")*12+VALUE($B1215&amp;""))</f>
        <v/>
      </c>
      <c r="N1215" s="64">
        <f>IF($A1215="","",IFERROR(INDEX(부서매핑!$C$5:$C$504,MATCH($G1215&amp;"",부서매핑!$A$5:$A$504,0)),"미매핑"))</f>
        <v/>
      </c>
      <c r="O1215" s="9">
        <f>IF($A1215="","",N1215&amp;"|"&amp;$F1215)</f>
        <v/>
      </c>
      <c r="P1215" s="94">
        <f>IF($A1215="",0,$H1215*설정!$C$23)</f>
        <v/>
      </c>
      <c r="Q1215" s="64">
        <f>IF($A1215="","",IF(O1215&lt;&gt;원인분석!$C$9,"",IF(AND(M1215&gt;=원인분석!$C$10,M1215&lt;=원인분석!$C$11),"당기",IF(AND(M1215&gt;=원인분석!$C$12,M1215&lt;=원인분석!$C$13),"비교",""))))</f>
        <v/>
      </c>
      <c r="R1215" s="9">
        <f>IF(Q1215="","",$K1215&amp;"")</f>
        <v/>
      </c>
      <c r="S1215" s="9">
        <f>IF(Q1215="","",IF(MATCH(R1215,$R$5:$R$100000,0)=ROW()-4,ROW(),""))</f>
        <v/>
      </c>
      <c r="T1215" s="9">
        <f>IF(Q1215="당기",ABS(P1215)+ROW()/1000000000,"")</f>
        <v/>
      </c>
      <c r="U1215" s="9">
        <f>IF(Q1215="비교",ABS(P1215)+ROW()/1000000000,"")</f>
        <v/>
      </c>
      <c r="V1215" s="64">
        <f>IF($A1215="","",IF(COUNTIF(변동분석!$E$7:$E$506,O1215)&gt;0,"Y","N"))</f>
        <v/>
      </c>
      <c r="W1215" s="64">
        <f>IF($A1215="","",IFERROR(INDEX(계정매핑!$D$5:$D$504,MATCH($F1215&amp;"",계정매핑!$A$5:$A$504,0)),"미매핑"))</f>
        <v/>
      </c>
      <c r="X1215" s="9">
        <f>IF($A1215="","",$F1215&amp;"")</f>
        <v/>
      </c>
      <c r="Y1215" s="94">
        <f>IF($A1215="",0,IF(AE1215="직접",IF(AF1215="비귀속",$P1215,0),$P1215*(1-AG1215)*IFERROR(INDEX(계정대체기준!$F$20:$F$49,MATCH($N1215,계정대체기준!$A$20:$A$49,0)),1)))</f>
        <v/>
      </c>
      <c r="Z1215" s="94">
        <f>IF($A1215="",0,IF(AE1215="직접",IF(AF1215="신계약비",$P1215,0),$P1215*(1-AG1215)*IFERROR(INDEX(계정대체기준!$C$20:$C$49,MATCH($N1215,계정대체기준!$A$20:$A$49,0)),0)))</f>
        <v/>
      </c>
      <c r="AA1215" s="94">
        <f>IF($A1215="",0,IF(AE1215="직접",IF(OR(AF1215="유지비",AF1215="손해조사비"),$P1215,0),$P1215*(1-AG1215)*IFERROR(INDEX(계정대체기준!$D$20:$D$49,MATCH($N1215,계정대체기준!$A$20:$A$49,0)),0)))</f>
        <v/>
      </c>
      <c r="AB1215" s="94">
        <f>IF($A1215="",0,IF(AE1215="직접",IF(AF1215="수금비",$P1215,0),$P1215*(1-AG1215)*IFERROR(INDEX(계정대체기준!$E$20:$E$49,MATCH($N1215,계정대체기준!$A$20:$A$49,0)),0)))</f>
        <v/>
      </c>
      <c r="AC1215" s="9">
        <f>IF(AND($A1215&lt;&gt;"",M1215=설정!$C$20,Z1215&gt;0),Z1215+ROW()/1000000000,"")</f>
        <v/>
      </c>
      <c r="AD1215" s="94">
        <f>IF($A1215="",0,$P1215*AG1215)</f>
        <v/>
      </c>
      <c r="AE1215" s="64">
        <f>IF($A1215="","",IFERROR(INDEX(계정매핑!$E$5:$E$504,MATCH($F1215&amp;"",계정매핑!$A$5:$A$504,0))&amp;"","공통비"))</f>
        <v/>
      </c>
      <c r="AF1215" s="64">
        <f>IF($A1215="","",IF(AE1215="직접",IFERROR(INDEX(계정매핑!$F$5:$F$504,MATCH($F1215&amp;"",계정매핑!$A$5:$A$504,0))&amp;"","비귀속"),""))</f>
        <v/>
      </c>
      <c r="AG1215" s="96">
        <f>IF($A1215="",0,IF(AND(AE1215&lt;&gt;"직접",IFERROR(INDEX(계정매핑!$G$5:$G$504,MATCH($F1215&amp;"",계정매핑!$A$5:$A$504,0))&amp;"","")="유지비",COUNTIF(계정대체기준!$A$6:$A$15,$N1215)&gt;0),IFERROR(INDEX(계정대체기준!$E$6:$E$15,MATCH(VALUE($A1215&amp;""),계정대체기준!$D$6:$D$15,0)),0),0))</f>
        <v/>
      </c>
      <c r="AH1215" s="64">
        <f>IF($A1215="","",IF(AD1215=0,"",IF(OR(COUNTIF(계정대체기준!$A$77:$A$86,$N1215)&gt;0,ISNUMBER(MATCH($X1215,계정대체기준!$D$77:$D$86,0)),ISNUMBER(MATCH($F1215,계정대체기준!$D$77:$D$86,0))),"Y","N")))</f>
        <v/>
      </c>
    </row>
    <row r="1216">
      <c r="A1216" s="92" t="n">
        <v>2025</v>
      </c>
      <c r="B1216" s="92" t="n">
        <v>6</v>
      </c>
      <c r="C1216" s="92" t="inlineStr">
        <is>
          <t>5100001212</t>
        </is>
      </c>
      <c r="D1216" s="95" t="n">
        <v>45819</v>
      </c>
      <c r="E1216" s="92" t="inlineStr">
        <is>
          <t>KR</t>
        </is>
      </c>
      <c r="F1216" s="92" t="n">
        <v>62201000</v>
      </c>
      <c r="G1216" s="92" t="n">
        <v>1201</v>
      </c>
      <c r="H1216" s="93" t="n">
        <v>191000</v>
      </c>
      <c r="I1216" s="92" t="inlineStr">
        <is>
          <t>6월 통신요금 - P통신</t>
        </is>
      </c>
      <c r="J1216" s="92" t="inlineStr">
        <is>
          <t>V10014</t>
        </is>
      </c>
      <c r="K1216" s="92" t="inlineStr">
        <is>
          <t>P통신</t>
        </is>
      </c>
      <c r="M1216" s="9">
        <f>IF($A1216="","",VALUE($A1216&amp;"")*12+VALUE($B1216&amp;""))</f>
        <v/>
      </c>
      <c r="N1216" s="64">
        <f>IF($A1216="","",IFERROR(INDEX(부서매핑!$C$5:$C$504,MATCH($G1216&amp;"",부서매핑!$A$5:$A$504,0)),"미매핑"))</f>
        <v/>
      </c>
      <c r="O1216" s="9">
        <f>IF($A1216="","",N1216&amp;"|"&amp;$F1216)</f>
        <v/>
      </c>
      <c r="P1216" s="94">
        <f>IF($A1216="",0,$H1216*설정!$C$23)</f>
        <v/>
      </c>
      <c r="Q1216" s="64">
        <f>IF($A1216="","",IF(O1216&lt;&gt;원인분석!$C$9,"",IF(AND(M1216&gt;=원인분석!$C$10,M1216&lt;=원인분석!$C$11),"당기",IF(AND(M1216&gt;=원인분석!$C$12,M1216&lt;=원인분석!$C$13),"비교",""))))</f>
        <v/>
      </c>
      <c r="R1216" s="9">
        <f>IF(Q1216="","",$K1216&amp;"")</f>
        <v/>
      </c>
      <c r="S1216" s="9">
        <f>IF(Q1216="","",IF(MATCH(R1216,$R$5:$R$100000,0)=ROW()-4,ROW(),""))</f>
        <v/>
      </c>
      <c r="T1216" s="9">
        <f>IF(Q1216="당기",ABS(P1216)+ROW()/1000000000,"")</f>
        <v/>
      </c>
      <c r="U1216" s="9">
        <f>IF(Q1216="비교",ABS(P1216)+ROW()/1000000000,"")</f>
        <v/>
      </c>
      <c r="V1216" s="64">
        <f>IF($A1216="","",IF(COUNTIF(변동분석!$E$7:$E$506,O1216)&gt;0,"Y","N"))</f>
        <v/>
      </c>
      <c r="W1216" s="64">
        <f>IF($A1216="","",IFERROR(INDEX(계정매핑!$D$5:$D$504,MATCH($F1216&amp;"",계정매핑!$A$5:$A$504,0)),"미매핑"))</f>
        <v/>
      </c>
      <c r="X1216" s="9">
        <f>IF($A1216="","",$F1216&amp;"")</f>
        <v/>
      </c>
      <c r="Y1216" s="94">
        <f>IF($A1216="",0,IF(AE1216="직접",IF(AF1216="비귀속",$P1216,0),$P1216*(1-AG1216)*IFERROR(INDEX(계정대체기준!$F$20:$F$49,MATCH($N1216,계정대체기준!$A$20:$A$49,0)),1)))</f>
        <v/>
      </c>
      <c r="Z1216" s="94">
        <f>IF($A1216="",0,IF(AE1216="직접",IF(AF1216="신계약비",$P1216,0),$P1216*(1-AG1216)*IFERROR(INDEX(계정대체기준!$C$20:$C$49,MATCH($N1216,계정대체기준!$A$20:$A$49,0)),0)))</f>
        <v/>
      </c>
      <c r="AA1216" s="94">
        <f>IF($A1216="",0,IF(AE1216="직접",IF(OR(AF1216="유지비",AF1216="손해조사비"),$P1216,0),$P1216*(1-AG1216)*IFERROR(INDEX(계정대체기준!$D$20:$D$49,MATCH($N1216,계정대체기준!$A$20:$A$49,0)),0)))</f>
        <v/>
      </c>
      <c r="AB1216" s="94">
        <f>IF($A1216="",0,IF(AE1216="직접",IF(AF1216="수금비",$P1216,0),$P1216*(1-AG1216)*IFERROR(INDEX(계정대체기준!$E$20:$E$49,MATCH($N1216,계정대체기준!$A$20:$A$49,0)),0)))</f>
        <v/>
      </c>
      <c r="AC1216" s="9">
        <f>IF(AND($A1216&lt;&gt;"",M1216=설정!$C$20,Z1216&gt;0),Z1216+ROW()/1000000000,"")</f>
        <v/>
      </c>
      <c r="AD1216" s="94">
        <f>IF($A1216="",0,$P1216*AG1216)</f>
        <v/>
      </c>
      <c r="AE1216" s="64">
        <f>IF($A1216="","",IFERROR(INDEX(계정매핑!$E$5:$E$504,MATCH($F1216&amp;"",계정매핑!$A$5:$A$504,0))&amp;"","공통비"))</f>
        <v/>
      </c>
      <c r="AF1216" s="64">
        <f>IF($A1216="","",IF(AE1216="직접",IFERROR(INDEX(계정매핑!$F$5:$F$504,MATCH($F1216&amp;"",계정매핑!$A$5:$A$504,0))&amp;"","비귀속"),""))</f>
        <v/>
      </c>
      <c r="AG1216" s="96">
        <f>IF($A1216="",0,IF(AND(AE1216&lt;&gt;"직접",IFERROR(INDEX(계정매핑!$G$5:$G$504,MATCH($F1216&amp;"",계정매핑!$A$5:$A$504,0))&amp;"","")="유지비",COUNTIF(계정대체기준!$A$6:$A$15,$N1216)&gt;0),IFERROR(INDEX(계정대체기준!$E$6:$E$15,MATCH(VALUE($A1216&amp;""),계정대체기준!$D$6:$D$15,0)),0),0))</f>
        <v/>
      </c>
      <c r="AH1216" s="64">
        <f>IF($A1216="","",IF(AD1216=0,"",IF(OR(COUNTIF(계정대체기준!$A$77:$A$86,$N1216)&gt;0,ISNUMBER(MATCH($X1216,계정대체기준!$D$77:$D$86,0)),ISNUMBER(MATCH($F1216,계정대체기준!$D$77:$D$86,0))),"Y","N")))</f>
        <v/>
      </c>
    </row>
    <row r="1217">
      <c r="A1217" s="92" t="n">
        <v>2025</v>
      </c>
      <c r="B1217" s="92" t="n">
        <v>6</v>
      </c>
      <c r="C1217" s="92" t="inlineStr">
        <is>
          <t>5100001213</t>
        </is>
      </c>
      <c r="D1217" s="95" t="n">
        <v>45819</v>
      </c>
      <c r="E1217" s="92" t="inlineStr">
        <is>
          <t>KR</t>
        </is>
      </c>
      <c r="F1217" s="92" t="n">
        <v>62201000</v>
      </c>
      <c r="G1217" s="92" t="n">
        <v>1801</v>
      </c>
      <c r="H1217" s="93" t="n">
        <v>6457000</v>
      </c>
      <c r="I1217" s="92" t="inlineStr">
        <is>
          <t>6월 통신요금 - O텔레콤</t>
        </is>
      </c>
      <c r="J1217" s="92" t="inlineStr">
        <is>
          <t>V10002</t>
        </is>
      </c>
      <c r="K1217" s="92" t="inlineStr">
        <is>
          <t>O텔레콤</t>
        </is>
      </c>
      <c r="M1217" s="9">
        <f>IF($A1217="","",VALUE($A1217&amp;"")*12+VALUE($B1217&amp;""))</f>
        <v/>
      </c>
      <c r="N1217" s="64">
        <f>IF($A1217="","",IFERROR(INDEX(부서매핑!$C$5:$C$504,MATCH($G1217&amp;"",부서매핑!$A$5:$A$504,0)),"미매핑"))</f>
        <v/>
      </c>
      <c r="O1217" s="9">
        <f>IF($A1217="","",N1217&amp;"|"&amp;$F1217)</f>
        <v/>
      </c>
      <c r="P1217" s="94">
        <f>IF($A1217="",0,$H1217*설정!$C$23)</f>
        <v/>
      </c>
      <c r="Q1217" s="64">
        <f>IF($A1217="","",IF(O1217&lt;&gt;원인분석!$C$9,"",IF(AND(M1217&gt;=원인분석!$C$10,M1217&lt;=원인분석!$C$11),"당기",IF(AND(M1217&gt;=원인분석!$C$12,M1217&lt;=원인분석!$C$13),"비교",""))))</f>
        <v/>
      </c>
      <c r="R1217" s="9">
        <f>IF(Q1217="","",$K1217&amp;"")</f>
        <v/>
      </c>
      <c r="S1217" s="9">
        <f>IF(Q1217="","",IF(MATCH(R1217,$R$5:$R$100000,0)=ROW()-4,ROW(),""))</f>
        <v/>
      </c>
      <c r="T1217" s="9">
        <f>IF(Q1217="당기",ABS(P1217)+ROW()/1000000000,"")</f>
        <v/>
      </c>
      <c r="U1217" s="9">
        <f>IF(Q1217="비교",ABS(P1217)+ROW()/1000000000,"")</f>
        <v/>
      </c>
      <c r="V1217" s="64">
        <f>IF($A1217="","",IF(COUNTIF(변동분석!$E$7:$E$506,O1217)&gt;0,"Y","N"))</f>
        <v/>
      </c>
      <c r="W1217" s="64">
        <f>IF($A1217="","",IFERROR(INDEX(계정매핑!$D$5:$D$504,MATCH($F1217&amp;"",계정매핑!$A$5:$A$504,0)),"미매핑"))</f>
        <v/>
      </c>
      <c r="X1217" s="9">
        <f>IF($A1217="","",$F1217&amp;"")</f>
        <v/>
      </c>
      <c r="Y1217" s="94">
        <f>IF($A1217="",0,IF(AE1217="직접",IF(AF1217="비귀속",$P1217,0),$P1217*(1-AG1217)*IFERROR(INDEX(계정대체기준!$F$20:$F$49,MATCH($N1217,계정대체기준!$A$20:$A$49,0)),1)))</f>
        <v/>
      </c>
      <c r="Z1217" s="94">
        <f>IF($A1217="",0,IF(AE1217="직접",IF(AF1217="신계약비",$P1217,0),$P1217*(1-AG1217)*IFERROR(INDEX(계정대체기준!$C$20:$C$49,MATCH($N1217,계정대체기준!$A$20:$A$49,0)),0)))</f>
        <v/>
      </c>
      <c r="AA1217" s="94">
        <f>IF($A1217="",0,IF(AE1217="직접",IF(OR(AF1217="유지비",AF1217="손해조사비"),$P1217,0),$P1217*(1-AG1217)*IFERROR(INDEX(계정대체기준!$D$20:$D$49,MATCH($N1217,계정대체기준!$A$20:$A$49,0)),0)))</f>
        <v/>
      </c>
      <c r="AB1217" s="94">
        <f>IF($A1217="",0,IF(AE1217="직접",IF(AF1217="수금비",$P1217,0),$P1217*(1-AG1217)*IFERROR(INDEX(계정대체기준!$E$20:$E$49,MATCH($N1217,계정대체기준!$A$20:$A$49,0)),0)))</f>
        <v/>
      </c>
      <c r="AC1217" s="9">
        <f>IF(AND($A1217&lt;&gt;"",M1217=설정!$C$20,Z1217&gt;0),Z1217+ROW()/1000000000,"")</f>
        <v/>
      </c>
      <c r="AD1217" s="94">
        <f>IF($A1217="",0,$P1217*AG1217)</f>
        <v/>
      </c>
      <c r="AE1217" s="64">
        <f>IF($A1217="","",IFERROR(INDEX(계정매핑!$E$5:$E$504,MATCH($F1217&amp;"",계정매핑!$A$5:$A$504,0))&amp;"","공통비"))</f>
        <v/>
      </c>
      <c r="AF1217" s="64">
        <f>IF($A1217="","",IF(AE1217="직접",IFERROR(INDEX(계정매핑!$F$5:$F$504,MATCH($F1217&amp;"",계정매핑!$A$5:$A$504,0))&amp;"","비귀속"),""))</f>
        <v/>
      </c>
      <c r="AG1217" s="96">
        <f>IF($A1217="",0,IF(AND(AE1217&lt;&gt;"직접",IFERROR(INDEX(계정매핑!$G$5:$G$504,MATCH($F1217&amp;"",계정매핑!$A$5:$A$504,0))&amp;"","")="유지비",COUNTIF(계정대체기준!$A$6:$A$15,$N1217)&gt;0),IFERROR(INDEX(계정대체기준!$E$6:$E$15,MATCH(VALUE($A1217&amp;""),계정대체기준!$D$6:$D$15,0)),0),0))</f>
        <v/>
      </c>
      <c r="AH1217" s="64">
        <f>IF($A1217="","",IF(AD1217=0,"",IF(OR(COUNTIF(계정대체기준!$A$77:$A$86,$N1217)&gt;0,ISNUMBER(MATCH($X1217,계정대체기준!$D$77:$D$86,0)),ISNUMBER(MATCH($F1217,계정대체기준!$D$77:$D$86,0))),"Y","N")))</f>
        <v/>
      </c>
    </row>
    <row r="1218">
      <c r="A1218" s="92" t="n">
        <v>2025</v>
      </c>
      <c r="B1218" s="92" t="n">
        <v>6</v>
      </c>
      <c r="C1218" s="92" t="inlineStr">
        <is>
          <t>5100001214</t>
        </is>
      </c>
      <c r="D1218" s="95" t="n">
        <v>45819</v>
      </c>
      <c r="E1218" s="92" t="inlineStr">
        <is>
          <t>KR</t>
        </is>
      </c>
      <c r="F1218" s="92" t="n">
        <v>62501000</v>
      </c>
      <c r="G1218" s="92" t="n">
        <v>1201</v>
      </c>
      <c r="H1218" s="93" t="n">
        <v>94000</v>
      </c>
      <c r="I1218" s="92" t="inlineStr">
        <is>
          <t>6월 회의 다과 - T케이터링</t>
        </is>
      </c>
      <c r="J1218" s="92" t="inlineStr">
        <is>
          <t>V10005</t>
        </is>
      </c>
      <c r="K1218" s="92" t="inlineStr">
        <is>
          <t>T케이터링</t>
        </is>
      </c>
      <c r="M1218" s="9">
        <f>IF($A1218="","",VALUE($A1218&amp;"")*12+VALUE($B1218&amp;""))</f>
        <v/>
      </c>
      <c r="N1218" s="64">
        <f>IF($A1218="","",IFERROR(INDEX(부서매핑!$C$5:$C$504,MATCH($G1218&amp;"",부서매핑!$A$5:$A$504,0)),"미매핑"))</f>
        <v/>
      </c>
      <c r="O1218" s="9">
        <f>IF($A1218="","",N1218&amp;"|"&amp;$F1218)</f>
        <v/>
      </c>
      <c r="P1218" s="94">
        <f>IF($A1218="",0,$H1218*설정!$C$23)</f>
        <v/>
      </c>
      <c r="Q1218" s="64">
        <f>IF($A1218="","",IF(O1218&lt;&gt;원인분석!$C$9,"",IF(AND(M1218&gt;=원인분석!$C$10,M1218&lt;=원인분석!$C$11),"당기",IF(AND(M1218&gt;=원인분석!$C$12,M1218&lt;=원인분석!$C$13),"비교",""))))</f>
        <v/>
      </c>
      <c r="R1218" s="9">
        <f>IF(Q1218="","",$K1218&amp;"")</f>
        <v/>
      </c>
      <c r="S1218" s="9">
        <f>IF(Q1218="","",IF(MATCH(R1218,$R$5:$R$100000,0)=ROW()-4,ROW(),""))</f>
        <v/>
      </c>
      <c r="T1218" s="9">
        <f>IF(Q1218="당기",ABS(P1218)+ROW()/1000000000,"")</f>
        <v/>
      </c>
      <c r="U1218" s="9">
        <f>IF(Q1218="비교",ABS(P1218)+ROW()/1000000000,"")</f>
        <v/>
      </c>
      <c r="V1218" s="64">
        <f>IF($A1218="","",IF(COUNTIF(변동분석!$E$7:$E$506,O1218)&gt;0,"Y","N"))</f>
        <v/>
      </c>
      <c r="W1218" s="64">
        <f>IF($A1218="","",IFERROR(INDEX(계정매핑!$D$5:$D$504,MATCH($F1218&amp;"",계정매핑!$A$5:$A$504,0)),"미매핑"))</f>
        <v/>
      </c>
      <c r="X1218" s="9">
        <f>IF($A1218="","",$F1218&amp;"")</f>
        <v/>
      </c>
      <c r="Y1218" s="94">
        <f>IF($A1218="",0,IF(AE1218="직접",IF(AF1218="비귀속",$P1218,0),$P1218*(1-AG1218)*IFERROR(INDEX(계정대체기준!$F$20:$F$49,MATCH($N1218,계정대체기준!$A$20:$A$49,0)),1)))</f>
        <v/>
      </c>
      <c r="Z1218" s="94">
        <f>IF($A1218="",0,IF(AE1218="직접",IF(AF1218="신계약비",$P1218,0),$P1218*(1-AG1218)*IFERROR(INDEX(계정대체기준!$C$20:$C$49,MATCH($N1218,계정대체기준!$A$20:$A$49,0)),0)))</f>
        <v/>
      </c>
      <c r="AA1218" s="94">
        <f>IF($A1218="",0,IF(AE1218="직접",IF(OR(AF1218="유지비",AF1218="손해조사비"),$P1218,0),$P1218*(1-AG1218)*IFERROR(INDEX(계정대체기준!$D$20:$D$49,MATCH($N1218,계정대체기준!$A$20:$A$49,0)),0)))</f>
        <v/>
      </c>
      <c r="AB1218" s="94">
        <f>IF($A1218="",0,IF(AE1218="직접",IF(AF1218="수금비",$P1218,0),$P1218*(1-AG1218)*IFERROR(INDEX(계정대체기준!$E$20:$E$49,MATCH($N1218,계정대체기준!$A$20:$A$49,0)),0)))</f>
        <v/>
      </c>
      <c r="AC1218" s="9">
        <f>IF(AND($A1218&lt;&gt;"",M1218=설정!$C$20,Z1218&gt;0),Z1218+ROW()/1000000000,"")</f>
        <v/>
      </c>
      <c r="AD1218" s="94">
        <f>IF($A1218="",0,$P1218*AG1218)</f>
        <v/>
      </c>
      <c r="AE1218" s="64">
        <f>IF($A1218="","",IFERROR(INDEX(계정매핑!$E$5:$E$504,MATCH($F1218&amp;"",계정매핑!$A$5:$A$504,0))&amp;"","공통비"))</f>
        <v/>
      </c>
      <c r="AF1218" s="64">
        <f>IF($A1218="","",IF(AE1218="직접",IFERROR(INDEX(계정매핑!$F$5:$F$504,MATCH($F1218&amp;"",계정매핑!$A$5:$A$504,0))&amp;"","비귀속"),""))</f>
        <v/>
      </c>
      <c r="AG1218" s="96">
        <f>IF($A1218="",0,IF(AND(AE1218&lt;&gt;"직접",IFERROR(INDEX(계정매핑!$G$5:$G$504,MATCH($F1218&amp;"",계정매핑!$A$5:$A$504,0))&amp;"","")="유지비",COUNTIF(계정대체기준!$A$6:$A$15,$N1218)&gt;0),IFERROR(INDEX(계정대체기준!$E$6:$E$15,MATCH(VALUE($A1218&amp;""),계정대체기준!$D$6:$D$15,0)),0),0))</f>
        <v/>
      </c>
      <c r="AH1218" s="64">
        <f>IF($A1218="","",IF(AD1218=0,"",IF(OR(COUNTIF(계정대체기준!$A$77:$A$86,$N1218)&gt;0,ISNUMBER(MATCH($X1218,계정대체기준!$D$77:$D$86,0)),ISNUMBER(MATCH($F1218,계정대체기준!$D$77:$D$86,0))),"Y","N")))</f>
        <v/>
      </c>
    </row>
    <row r="1219">
      <c r="A1219" s="92" t="n">
        <v>2025</v>
      </c>
      <c r="B1219" s="92" t="n">
        <v>6</v>
      </c>
      <c r="C1219" s="92" t="inlineStr">
        <is>
          <t>5100001215</t>
        </is>
      </c>
      <c r="D1219" s="95" t="n">
        <v>45819</v>
      </c>
      <c r="E1219" s="92" t="inlineStr">
        <is>
          <t>KR</t>
        </is>
      </c>
      <c r="F1219" s="92" t="n">
        <v>62601000</v>
      </c>
      <c r="G1219" s="92" t="n">
        <v>1501</v>
      </c>
      <c r="H1219" s="93" t="n">
        <v>2703000</v>
      </c>
      <c r="I1219" s="92" t="inlineStr">
        <is>
          <t>6월 업무추진 - (법인카드)</t>
        </is>
      </c>
      <c r="J1219" s="92" t="inlineStr">
        <is>
          <t>V10010</t>
        </is>
      </c>
      <c r="K1219" s="92" t="inlineStr">
        <is>
          <t>(법인카드)</t>
        </is>
      </c>
      <c r="M1219" s="9">
        <f>IF($A1219="","",VALUE($A1219&amp;"")*12+VALUE($B1219&amp;""))</f>
        <v/>
      </c>
      <c r="N1219" s="64">
        <f>IF($A1219="","",IFERROR(INDEX(부서매핑!$C$5:$C$504,MATCH($G1219&amp;"",부서매핑!$A$5:$A$504,0)),"미매핑"))</f>
        <v/>
      </c>
      <c r="O1219" s="9">
        <f>IF($A1219="","",N1219&amp;"|"&amp;$F1219)</f>
        <v/>
      </c>
      <c r="P1219" s="94">
        <f>IF($A1219="",0,$H1219*설정!$C$23)</f>
        <v/>
      </c>
      <c r="Q1219" s="64">
        <f>IF($A1219="","",IF(O1219&lt;&gt;원인분석!$C$9,"",IF(AND(M1219&gt;=원인분석!$C$10,M1219&lt;=원인분석!$C$11),"당기",IF(AND(M1219&gt;=원인분석!$C$12,M1219&lt;=원인분석!$C$13),"비교",""))))</f>
        <v/>
      </c>
      <c r="R1219" s="9">
        <f>IF(Q1219="","",$K1219&amp;"")</f>
        <v/>
      </c>
      <c r="S1219" s="9">
        <f>IF(Q1219="","",IF(MATCH(R1219,$R$5:$R$100000,0)=ROW()-4,ROW(),""))</f>
        <v/>
      </c>
      <c r="T1219" s="9">
        <f>IF(Q1219="당기",ABS(P1219)+ROW()/1000000000,"")</f>
        <v/>
      </c>
      <c r="U1219" s="9">
        <f>IF(Q1219="비교",ABS(P1219)+ROW()/1000000000,"")</f>
        <v/>
      </c>
      <c r="V1219" s="64">
        <f>IF($A1219="","",IF(COUNTIF(변동분석!$E$7:$E$506,O1219)&gt;0,"Y","N"))</f>
        <v/>
      </c>
      <c r="W1219" s="64">
        <f>IF($A1219="","",IFERROR(INDEX(계정매핑!$D$5:$D$504,MATCH($F1219&amp;"",계정매핑!$A$5:$A$504,0)),"미매핑"))</f>
        <v/>
      </c>
      <c r="X1219" s="9">
        <f>IF($A1219="","",$F1219&amp;"")</f>
        <v/>
      </c>
      <c r="Y1219" s="94">
        <f>IF($A1219="",0,IF(AE1219="직접",IF(AF1219="비귀속",$P1219,0),$P1219*(1-AG1219)*IFERROR(INDEX(계정대체기준!$F$20:$F$49,MATCH($N1219,계정대체기준!$A$20:$A$49,0)),1)))</f>
        <v/>
      </c>
      <c r="Z1219" s="94">
        <f>IF($A1219="",0,IF(AE1219="직접",IF(AF1219="신계약비",$P1219,0),$P1219*(1-AG1219)*IFERROR(INDEX(계정대체기준!$C$20:$C$49,MATCH($N1219,계정대체기준!$A$20:$A$49,0)),0)))</f>
        <v/>
      </c>
      <c r="AA1219" s="94">
        <f>IF($A1219="",0,IF(AE1219="직접",IF(OR(AF1219="유지비",AF1219="손해조사비"),$P1219,0),$P1219*(1-AG1219)*IFERROR(INDEX(계정대체기준!$D$20:$D$49,MATCH($N1219,계정대체기준!$A$20:$A$49,0)),0)))</f>
        <v/>
      </c>
      <c r="AB1219" s="94">
        <f>IF($A1219="",0,IF(AE1219="직접",IF(AF1219="수금비",$P1219,0),$P1219*(1-AG1219)*IFERROR(INDEX(계정대체기준!$E$20:$E$49,MATCH($N1219,계정대체기준!$A$20:$A$49,0)),0)))</f>
        <v/>
      </c>
      <c r="AC1219" s="9">
        <f>IF(AND($A1219&lt;&gt;"",M1219=설정!$C$20,Z1219&gt;0),Z1219+ROW()/1000000000,"")</f>
        <v/>
      </c>
      <c r="AD1219" s="94">
        <f>IF($A1219="",0,$P1219*AG1219)</f>
        <v/>
      </c>
      <c r="AE1219" s="64">
        <f>IF($A1219="","",IFERROR(INDEX(계정매핑!$E$5:$E$504,MATCH($F1219&amp;"",계정매핑!$A$5:$A$504,0))&amp;"","공통비"))</f>
        <v/>
      </c>
      <c r="AF1219" s="64">
        <f>IF($A1219="","",IF(AE1219="직접",IFERROR(INDEX(계정매핑!$F$5:$F$504,MATCH($F1219&amp;"",계정매핑!$A$5:$A$504,0))&amp;"","비귀속"),""))</f>
        <v/>
      </c>
      <c r="AG1219" s="96">
        <f>IF($A1219="",0,IF(AND(AE1219&lt;&gt;"직접",IFERROR(INDEX(계정매핑!$G$5:$G$504,MATCH($F1219&amp;"",계정매핑!$A$5:$A$504,0))&amp;"","")="유지비",COUNTIF(계정대체기준!$A$6:$A$15,$N1219)&gt;0),IFERROR(INDEX(계정대체기준!$E$6:$E$15,MATCH(VALUE($A1219&amp;""),계정대체기준!$D$6:$D$15,0)),0),0))</f>
        <v/>
      </c>
      <c r="AH1219" s="64">
        <f>IF($A1219="","",IF(AD1219=0,"",IF(OR(COUNTIF(계정대체기준!$A$77:$A$86,$N1219)&gt;0,ISNUMBER(MATCH($X1219,계정대체기준!$D$77:$D$86,0)),ISNUMBER(MATCH($F1219,계정대체기준!$D$77:$D$86,0))),"Y","N")))</f>
        <v/>
      </c>
    </row>
    <row r="1220">
      <c r="A1220" s="92" t="n">
        <v>2025</v>
      </c>
      <c r="B1220" s="92" t="n">
        <v>6</v>
      </c>
      <c r="C1220" s="92" t="inlineStr">
        <is>
          <t>5100001216</t>
        </is>
      </c>
      <c r="D1220" s="95" t="n">
        <v>45820</v>
      </c>
      <c r="E1220" s="92" t="inlineStr">
        <is>
          <t>KR</t>
        </is>
      </c>
      <c r="F1220" s="92" t="n">
        <v>62101000</v>
      </c>
      <c r="G1220" s="92" t="n">
        <v>1301</v>
      </c>
      <c r="H1220" s="93" t="n">
        <v>354000</v>
      </c>
      <c r="I1220" s="92" t="inlineStr">
        <is>
          <t>6월 국내출장 - M항공</t>
        </is>
      </c>
      <c r="J1220" s="92" t="inlineStr">
        <is>
          <t>V10001</t>
        </is>
      </c>
      <c r="K1220" s="92" t="inlineStr">
        <is>
          <t>M항공</t>
        </is>
      </c>
      <c r="M1220" s="9">
        <f>IF($A1220="","",VALUE($A1220&amp;"")*12+VALUE($B1220&amp;""))</f>
        <v/>
      </c>
      <c r="N1220" s="64">
        <f>IF($A1220="","",IFERROR(INDEX(부서매핑!$C$5:$C$504,MATCH($G1220&amp;"",부서매핑!$A$5:$A$504,0)),"미매핑"))</f>
        <v/>
      </c>
      <c r="O1220" s="9">
        <f>IF($A1220="","",N1220&amp;"|"&amp;$F1220)</f>
        <v/>
      </c>
      <c r="P1220" s="94">
        <f>IF($A1220="",0,$H1220*설정!$C$23)</f>
        <v/>
      </c>
      <c r="Q1220" s="64">
        <f>IF($A1220="","",IF(O1220&lt;&gt;원인분석!$C$9,"",IF(AND(M1220&gt;=원인분석!$C$10,M1220&lt;=원인분석!$C$11),"당기",IF(AND(M1220&gt;=원인분석!$C$12,M1220&lt;=원인분석!$C$13),"비교",""))))</f>
        <v/>
      </c>
      <c r="R1220" s="9">
        <f>IF(Q1220="","",$K1220&amp;"")</f>
        <v/>
      </c>
      <c r="S1220" s="9">
        <f>IF(Q1220="","",IF(MATCH(R1220,$R$5:$R$100000,0)=ROW()-4,ROW(),""))</f>
        <v/>
      </c>
      <c r="T1220" s="9">
        <f>IF(Q1220="당기",ABS(P1220)+ROW()/1000000000,"")</f>
        <v/>
      </c>
      <c r="U1220" s="9">
        <f>IF(Q1220="비교",ABS(P1220)+ROW()/1000000000,"")</f>
        <v/>
      </c>
      <c r="V1220" s="64">
        <f>IF($A1220="","",IF(COUNTIF(변동분석!$E$7:$E$506,O1220)&gt;0,"Y","N"))</f>
        <v/>
      </c>
      <c r="W1220" s="64">
        <f>IF($A1220="","",IFERROR(INDEX(계정매핑!$D$5:$D$504,MATCH($F1220&amp;"",계정매핑!$A$5:$A$504,0)),"미매핑"))</f>
        <v/>
      </c>
      <c r="X1220" s="9">
        <f>IF($A1220="","",$F1220&amp;"")</f>
        <v/>
      </c>
      <c r="Y1220" s="94">
        <f>IF($A1220="",0,IF(AE1220="직접",IF(AF1220="비귀속",$P1220,0),$P1220*(1-AG1220)*IFERROR(INDEX(계정대체기준!$F$20:$F$49,MATCH($N1220,계정대체기준!$A$20:$A$49,0)),1)))</f>
        <v/>
      </c>
      <c r="Z1220" s="94">
        <f>IF($A1220="",0,IF(AE1220="직접",IF(AF1220="신계약비",$P1220,0),$P1220*(1-AG1220)*IFERROR(INDEX(계정대체기준!$C$20:$C$49,MATCH($N1220,계정대체기준!$A$20:$A$49,0)),0)))</f>
        <v/>
      </c>
      <c r="AA1220" s="94">
        <f>IF($A1220="",0,IF(AE1220="직접",IF(OR(AF1220="유지비",AF1220="손해조사비"),$P1220,0),$P1220*(1-AG1220)*IFERROR(INDEX(계정대체기준!$D$20:$D$49,MATCH($N1220,계정대체기준!$A$20:$A$49,0)),0)))</f>
        <v/>
      </c>
      <c r="AB1220" s="94">
        <f>IF($A1220="",0,IF(AE1220="직접",IF(AF1220="수금비",$P1220,0),$P1220*(1-AG1220)*IFERROR(INDEX(계정대체기준!$E$20:$E$49,MATCH($N1220,계정대체기준!$A$20:$A$49,0)),0)))</f>
        <v/>
      </c>
      <c r="AC1220" s="9">
        <f>IF(AND($A1220&lt;&gt;"",M1220=설정!$C$20,Z1220&gt;0),Z1220+ROW()/1000000000,"")</f>
        <v/>
      </c>
      <c r="AD1220" s="94">
        <f>IF($A1220="",0,$P1220*AG1220)</f>
        <v/>
      </c>
      <c r="AE1220" s="64">
        <f>IF($A1220="","",IFERROR(INDEX(계정매핑!$E$5:$E$504,MATCH($F1220&amp;"",계정매핑!$A$5:$A$504,0))&amp;"","공통비"))</f>
        <v/>
      </c>
      <c r="AF1220" s="64">
        <f>IF($A1220="","",IF(AE1220="직접",IFERROR(INDEX(계정매핑!$F$5:$F$504,MATCH($F1220&amp;"",계정매핑!$A$5:$A$504,0))&amp;"","비귀속"),""))</f>
        <v/>
      </c>
      <c r="AG1220" s="96">
        <f>IF($A1220="",0,IF(AND(AE1220&lt;&gt;"직접",IFERROR(INDEX(계정매핑!$G$5:$G$504,MATCH($F1220&amp;"",계정매핑!$A$5:$A$504,0))&amp;"","")="유지비",COUNTIF(계정대체기준!$A$6:$A$15,$N1220)&gt;0),IFERROR(INDEX(계정대체기준!$E$6:$E$15,MATCH(VALUE($A1220&amp;""),계정대체기준!$D$6:$D$15,0)),0),0))</f>
        <v/>
      </c>
      <c r="AH1220" s="64">
        <f>IF($A1220="","",IF(AD1220=0,"",IF(OR(COUNTIF(계정대체기준!$A$77:$A$86,$N1220)&gt;0,ISNUMBER(MATCH($X1220,계정대체기준!$D$77:$D$86,0)),ISNUMBER(MATCH($F1220,계정대체기준!$D$77:$D$86,0))),"Y","N")))</f>
        <v/>
      </c>
    </row>
    <row r="1221">
      <c r="A1221" s="92" t="n">
        <v>2025</v>
      </c>
      <c r="B1221" s="92" t="n">
        <v>6</v>
      </c>
      <c r="C1221" s="92" t="inlineStr">
        <is>
          <t>5100001217</t>
        </is>
      </c>
      <c r="D1221" s="95" t="n">
        <v>45820</v>
      </c>
      <c r="E1221" s="92" t="inlineStr">
        <is>
          <t>KR</t>
        </is>
      </c>
      <c r="F1221" s="92" t="n">
        <v>62101000</v>
      </c>
      <c r="G1221" s="92" t="n">
        <v>1602</v>
      </c>
      <c r="H1221" s="93" t="n">
        <v>1317000</v>
      </c>
      <c r="I1221" s="92" t="inlineStr">
        <is>
          <t>6월 국내출장 - (법인카드)</t>
        </is>
      </c>
      <c r="J1221" s="92" t="inlineStr">
        <is>
          <t>V10010</t>
        </is>
      </c>
      <c r="K1221" s="92" t="inlineStr">
        <is>
          <t>(법인카드)</t>
        </is>
      </c>
      <c r="M1221" s="9">
        <f>IF($A1221="","",VALUE($A1221&amp;"")*12+VALUE($B1221&amp;""))</f>
        <v/>
      </c>
      <c r="N1221" s="64">
        <f>IF($A1221="","",IFERROR(INDEX(부서매핑!$C$5:$C$504,MATCH($G1221&amp;"",부서매핑!$A$5:$A$504,0)),"미매핑"))</f>
        <v/>
      </c>
      <c r="O1221" s="9">
        <f>IF($A1221="","",N1221&amp;"|"&amp;$F1221)</f>
        <v/>
      </c>
      <c r="P1221" s="94">
        <f>IF($A1221="",0,$H1221*설정!$C$23)</f>
        <v/>
      </c>
      <c r="Q1221" s="64">
        <f>IF($A1221="","",IF(O1221&lt;&gt;원인분석!$C$9,"",IF(AND(M1221&gt;=원인분석!$C$10,M1221&lt;=원인분석!$C$11),"당기",IF(AND(M1221&gt;=원인분석!$C$12,M1221&lt;=원인분석!$C$13),"비교",""))))</f>
        <v/>
      </c>
      <c r="R1221" s="9">
        <f>IF(Q1221="","",$K1221&amp;"")</f>
        <v/>
      </c>
      <c r="S1221" s="9">
        <f>IF(Q1221="","",IF(MATCH(R1221,$R$5:$R$100000,0)=ROW()-4,ROW(),""))</f>
        <v/>
      </c>
      <c r="T1221" s="9">
        <f>IF(Q1221="당기",ABS(P1221)+ROW()/1000000000,"")</f>
        <v/>
      </c>
      <c r="U1221" s="9">
        <f>IF(Q1221="비교",ABS(P1221)+ROW()/1000000000,"")</f>
        <v/>
      </c>
      <c r="V1221" s="64">
        <f>IF($A1221="","",IF(COUNTIF(변동분석!$E$7:$E$506,O1221)&gt;0,"Y","N"))</f>
        <v/>
      </c>
      <c r="W1221" s="64">
        <f>IF($A1221="","",IFERROR(INDEX(계정매핑!$D$5:$D$504,MATCH($F1221&amp;"",계정매핑!$A$5:$A$504,0)),"미매핑"))</f>
        <v/>
      </c>
      <c r="X1221" s="9">
        <f>IF($A1221="","",$F1221&amp;"")</f>
        <v/>
      </c>
      <c r="Y1221" s="94">
        <f>IF($A1221="",0,IF(AE1221="직접",IF(AF1221="비귀속",$P1221,0),$P1221*(1-AG1221)*IFERROR(INDEX(계정대체기준!$F$20:$F$49,MATCH($N1221,계정대체기준!$A$20:$A$49,0)),1)))</f>
        <v/>
      </c>
      <c r="Z1221" s="94">
        <f>IF($A1221="",0,IF(AE1221="직접",IF(AF1221="신계약비",$P1221,0),$P1221*(1-AG1221)*IFERROR(INDEX(계정대체기준!$C$20:$C$49,MATCH($N1221,계정대체기준!$A$20:$A$49,0)),0)))</f>
        <v/>
      </c>
      <c r="AA1221" s="94">
        <f>IF($A1221="",0,IF(AE1221="직접",IF(OR(AF1221="유지비",AF1221="손해조사비"),$P1221,0),$P1221*(1-AG1221)*IFERROR(INDEX(계정대체기준!$D$20:$D$49,MATCH($N1221,계정대체기준!$A$20:$A$49,0)),0)))</f>
        <v/>
      </c>
      <c r="AB1221" s="94">
        <f>IF($A1221="",0,IF(AE1221="직접",IF(AF1221="수금비",$P1221,0),$P1221*(1-AG1221)*IFERROR(INDEX(계정대체기준!$E$20:$E$49,MATCH($N1221,계정대체기준!$A$20:$A$49,0)),0)))</f>
        <v/>
      </c>
      <c r="AC1221" s="9">
        <f>IF(AND($A1221&lt;&gt;"",M1221=설정!$C$20,Z1221&gt;0),Z1221+ROW()/1000000000,"")</f>
        <v/>
      </c>
      <c r="AD1221" s="94">
        <f>IF($A1221="",0,$P1221*AG1221)</f>
        <v/>
      </c>
      <c r="AE1221" s="64">
        <f>IF($A1221="","",IFERROR(INDEX(계정매핑!$E$5:$E$504,MATCH($F1221&amp;"",계정매핑!$A$5:$A$504,0))&amp;"","공통비"))</f>
        <v/>
      </c>
      <c r="AF1221" s="64">
        <f>IF($A1221="","",IF(AE1221="직접",IFERROR(INDEX(계정매핑!$F$5:$F$504,MATCH($F1221&amp;"",계정매핑!$A$5:$A$504,0))&amp;"","비귀속"),""))</f>
        <v/>
      </c>
      <c r="AG1221" s="96">
        <f>IF($A1221="",0,IF(AND(AE1221&lt;&gt;"직접",IFERROR(INDEX(계정매핑!$G$5:$G$504,MATCH($F1221&amp;"",계정매핑!$A$5:$A$504,0))&amp;"","")="유지비",COUNTIF(계정대체기준!$A$6:$A$15,$N1221)&gt;0),IFERROR(INDEX(계정대체기준!$E$6:$E$15,MATCH(VALUE($A1221&amp;""),계정대체기준!$D$6:$D$15,0)),0),0))</f>
        <v/>
      </c>
      <c r="AH1221" s="64">
        <f>IF($A1221="","",IF(AD1221=0,"",IF(OR(COUNTIF(계정대체기준!$A$77:$A$86,$N1221)&gt;0,ISNUMBER(MATCH($X1221,계정대체기준!$D$77:$D$86,0)),ISNUMBER(MATCH($F1221,계정대체기준!$D$77:$D$86,0))),"Y","N")))</f>
        <v/>
      </c>
    </row>
    <row r="1222">
      <c r="A1222" s="92" t="n">
        <v>2025</v>
      </c>
      <c r="B1222" s="92" t="n">
        <v>6</v>
      </c>
      <c r="C1222" s="92" t="inlineStr">
        <is>
          <t>5100001218</t>
        </is>
      </c>
      <c r="D1222" s="95" t="n">
        <v>45820</v>
      </c>
      <c r="E1222" s="92" t="inlineStr">
        <is>
          <t>KR</t>
        </is>
      </c>
      <c r="F1222" s="92" t="n">
        <v>62101000</v>
      </c>
      <c r="G1222" s="92" t="n">
        <v>1951</v>
      </c>
      <c r="H1222" s="93" t="n">
        <v>253000</v>
      </c>
      <c r="I1222" s="92" t="inlineStr">
        <is>
          <t>6월 국내출장 - M항공</t>
        </is>
      </c>
      <c r="J1222" s="92" t="inlineStr">
        <is>
          <t>V10001</t>
        </is>
      </c>
      <c r="K1222" s="92" t="inlineStr">
        <is>
          <t>M항공</t>
        </is>
      </c>
      <c r="M1222" s="9">
        <f>IF($A1222="","",VALUE($A1222&amp;"")*12+VALUE($B1222&amp;""))</f>
        <v/>
      </c>
      <c r="N1222" s="64">
        <f>IF($A1222="","",IFERROR(INDEX(부서매핑!$C$5:$C$504,MATCH($G1222&amp;"",부서매핑!$A$5:$A$504,0)),"미매핑"))</f>
        <v/>
      </c>
      <c r="O1222" s="9">
        <f>IF($A1222="","",N1222&amp;"|"&amp;$F1222)</f>
        <v/>
      </c>
      <c r="P1222" s="94">
        <f>IF($A1222="",0,$H1222*설정!$C$23)</f>
        <v/>
      </c>
      <c r="Q1222" s="64">
        <f>IF($A1222="","",IF(O1222&lt;&gt;원인분석!$C$9,"",IF(AND(M1222&gt;=원인분석!$C$10,M1222&lt;=원인분석!$C$11),"당기",IF(AND(M1222&gt;=원인분석!$C$12,M1222&lt;=원인분석!$C$13),"비교",""))))</f>
        <v/>
      </c>
      <c r="R1222" s="9">
        <f>IF(Q1222="","",$K1222&amp;"")</f>
        <v/>
      </c>
      <c r="S1222" s="9">
        <f>IF(Q1222="","",IF(MATCH(R1222,$R$5:$R$100000,0)=ROW()-4,ROW(),""))</f>
        <v/>
      </c>
      <c r="T1222" s="9">
        <f>IF(Q1222="당기",ABS(P1222)+ROW()/1000000000,"")</f>
        <v/>
      </c>
      <c r="U1222" s="9">
        <f>IF(Q1222="비교",ABS(P1222)+ROW()/1000000000,"")</f>
        <v/>
      </c>
      <c r="V1222" s="64">
        <f>IF($A1222="","",IF(COUNTIF(변동분석!$E$7:$E$506,O1222)&gt;0,"Y","N"))</f>
        <v/>
      </c>
      <c r="W1222" s="64">
        <f>IF($A1222="","",IFERROR(INDEX(계정매핑!$D$5:$D$504,MATCH($F1222&amp;"",계정매핑!$A$5:$A$504,0)),"미매핑"))</f>
        <v/>
      </c>
      <c r="X1222" s="9">
        <f>IF($A1222="","",$F1222&amp;"")</f>
        <v/>
      </c>
      <c r="Y1222" s="94">
        <f>IF($A1222="",0,IF(AE1222="직접",IF(AF1222="비귀속",$P1222,0),$P1222*(1-AG1222)*IFERROR(INDEX(계정대체기준!$F$20:$F$49,MATCH($N1222,계정대체기준!$A$20:$A$49,0)),1)))</f>
        <v/>
      </c>
      <c r="Z1222" s="94">
        <f>IF($A1222="",0,IF(AE1222="직접",IF(AF1222="신계약비",$P1222,0),$P1222*(1-AG1222)*IFERROR(INDEX(계정대체기준!$C$20:$C$49,MATCH($N1222,계정대체기준!$A$20:$A$49,0)),0)))</f>
        <v/>
      </c>
      <c r="AA1222" s="94">
        <f>IF($A1222="",0,IF(AE1222="직접",IF(OR(AF1222="유지비",AF1222="손해조사비"),$P1222,0),$P1222*(1-AG1222)*IFERROR(INDEX(계정대체기준!$D$20:$D$49,MATCH($N1222,계정대체기준!$A$20:$A$49,0)),0)))</f>
        <v/>
      </c>
      <c r="AB1222" s="94">
        <f>IF($A1222="",0,IF(AE1222="직접",IF(AF1222="수금비",$P1222,0),$P1222*(1-AG1222)*IFERROR(INDEX(계정대체기준!$E$20:$E$49,MATCH($N1222,계정대체기준!$A$20:$A$49,0)),0)))</f>
        <v/>
      </c>
      <c r="AC1222" s="9">
        <f>IF(AND($A1222&lt;&gt;"",M1222=설정!$C$20,Z1222&gt;0),Z1222+ROW()/1000000000,"")</f>
        <v/>
      </c>
      <c r="AD1222" s="94">
        <f>IF($A1222="",0,$P1222*AG1222)</f>
        <v/>
      </c>
      <c r="AE1222" s="64">
        <f>IF($A1222="","",IFERROR(INDEX(계정매핑!$E$5:$E$504,MATCH($F1222&amp;"",계정매핑!$A$5:$A$504,0))&amp;"","공통비"))</f>
        <v/>
      </c>
      <c r="AF1222" s="64">
        <f>IF($A1222="","",IF(AE1222="직접",IFERROR(INDEX(계정매핑!$F$5:$F$504,MATCH($F1222&amp;"",계정매핑!$A$5:$A$504,0))&amp;"","비귀속"),""))</f>
        <v/>
      </c>
      <c r="AG1222" s="96">
        <f>IF($A1222="",0,IF(AND(AE1222&lt;&gt;"직접",IFERROR(INDEX(계정매핑!$G$5:$G$504,MATCH($F1222&amp;"",계정매핑!$A$5:$A$504,0))&amp;"","")="유지비",COUNTIF(계정대체기준!$A$6:$A$15,$N1222)&gt;0),IFERROR(INDEX(계정대체기준!$E$6:$E$15,MATCH(VALUE($A1222&amp;""),계정대체기준!$D$6:$D$15,0)),0),0))</f>
        <v/>
      </c>
      <c r="AH1222" s="64">
        <f>IF($A1222="","",IF(AD1222=0,"",IF(OR(COUNTIF(계정대체기준!$A$77:$A$86,$N1222)&gt;0,ISNUMBER(MATCH($X1222,계정대체기준!$D$77:$D$86,0)),ISNUMBER(MATCH($F1222,계정대체기준!$D$77:$D$86,0))),"Y","N")))</f>
        <v/>
      </c>
    </row>
    <row r="1223">
      <c r="A1223" s="92" t="n">
        <v>2025</v>
      </c>
      <c r="B1223" s="92" t="n">
        <v>6</v>
      </c>
      <c r="C1223" s="92" t="inlineStr">
        <is>
          <t>5100001219</t>
        </is>
      </c>
      <c r="D1223" s="95" t="n">
        <v>45820</v>
      </c>
      <c r="E1223" s="92" t="inlineStr">
        <is>
          <t>KR</t>
        </is>
      </c>
      <c r="F1223" s="92" t="n">
        <v>62102000</v>
      </c>
      <c r="G1223" s="92" t="n">
        <v>1201</v>
      </c>
      <c r="H1223" s="93" t="n">
        <v>57000</v>
      </c>
      <c r="I1223" s="92" t="inlineStr">
        <is>
          <t>6월 해외출장 - M항공</t>
        </is>
      </c>
      <c r="J1223" s="92" t="inlineStr">
        <is>
          <t>V10001</t>
        </is>
      </c>
      <c r="K1223" s="92" t="inlineStr">
        <is>
          <t>M항공</t>
        </is>
      </c>
      <c r="M1223" s="9">
        <f>IF($A1223="","",VALUE($A1223&amp;"")*12+VALUE($B1223&amp;""))</f>
        <v/>
      </c>
      <c r="N1223" s="64">
        <f>IF($A1223="","",IFERROR(INDEX(부서매핑!$C$5:$C$504,MATCH($G1223&amp;"",부서매핑!$A$5:$A$504,0)),"미매핑"))</f>
        <v/>
      </c>
      <c r="O1223" s="9">
        <f>IF($A1223="","",N1223&amp;"|"&amp;$F1223)</f>
        <v/>
      </c>
      <c r="P1223" s="94">
        <f>IF($A1223="",0,$H1223*설정!$C$23)</f>
        <v/>
      </c>
      <c r="Q1223" s="64">
        <f>IF($A1223="","",IF(O1223&lt;&gt;원인분석!$C$9,"",IF(AND(M1223&gt;=원인분석!$C$10,M1223&lt;=원인분석!$C$11),"당기",IF(AND(M1223&gt;=원인분석!$C$12,M1223&lt;=원인분석!$C$13),"비교",""))))</f>
        <v/>
      </c>
      <c r="R1223" s="9">
        <f>IF(Q1223="","",$K1223&amp;"")</f>
        <v/>
      </c>
      <c r="S1223" s="9">
        <f>IF(Q1223="","",IF(MATCH(R1223,$R$5:$R$100000,0)=ROW()-4,ROW(),""))</f>
        <v/>
      </c>
      <c r="T1223" s="9">
        <f>IF(Q1223="당기",ABS(P1223)+ROW()/1000000000,"")</f>
        <v/>
      </c>
      <c r="U1223" s="9">
        <f>IF(Q1223="비교",ABS(P1223)+ROW()/1000000000,"")</f>
        <v/>
      </c>
      <c r="V1223" s="64">
        <f>IF($A1223="","",IF(COUNTIF(변동분석!$E$7:$E$506,O1223)&gt;0,"Y","N"))</f>
        <v/>
      </c>
      <c r="W1223" s="64">
        <f>IF($A1223="","",IFERROR(INDEX(계정매핑!$D$5:$D$504,MATCH($F1223&amp;"",계정매핑!$A$5:$A$504,0)),"미매핑"))</f>
        <v/>
      </c>
      <c r="X1223" s="9">
        <f>IF($A1223="","",$F1223&amp;"")</f>
        <v/>
      </c>
      <c r="Y1223" s="94">
        <f>IF($A1223="",0,IF(AE1223="직접",IF(AF1223="비귀속",$P1223,0),$P1223*(1-AG1223)*IFERROR(INDEX(계정대체기준!$F$20:$F$49,MATCH($N1223,계정대체기준!$A$20:$A$49,0)),1)))</f>
        <v/>
      </c>
      <c r="Z1223" s="94">
        <f>IF($A1223="",0,IF(AE1223="직접",IF(AF1223="신계약비",$P1223,0),$P1223*(1-AG1223)*IFERROR(INDEX(계정대체기준!$C$20:$C$49,MATCH($N1223,계정대체기준!$A$20:$A$49,0)),0)))</f>
        <v/>
      </c>
      <c r="AA1223" s="94">
        <f>IF($A1223="",0,IF(AE1223="직접",IF(OR(AF1223="유지비",AF1223="손해조사비"),$P1223,0),$P1223*(1-AG1223)*IFERROR(INDEX(계정대체기준!$D$20:$D$49,MATCH($N1223,계정대체기준!$A$20:$A$49,0)),0)))</f>
        <v/>
      </c>
      <c r="AB1223" s="94">
        <f>IF($A1223="",0,IF(AE1223="직접",IF(AF1223="수금비",$P1223,0),$P1223*(1-AG1223)*IFERROR(INDEX(계정대체기준!$E$20:$E$49,MATCH($N1223,계정대체기준!$A$20:$A$49,0)),0)))</f>
        <v/>
      </c>
      <c r="AC1223" s="9">
        <f>IF(AND($A1223&lt;&gt;"",M1223=설정!$C$20,Z1223&gt;0),Z1223+ROW()/1000000000,"")</f>
        <v/>
      </c>
      <c r="AD1223" s="94">
        <f>IF($A1223="",0,$P1223*AG1223)</f>
        <v/>
      </c>
      <c r="AE1223" s="64">
        <f>IF($A1223="","",IFERROR(INDEX(계정매핑!$E$5:$E$504,MATCH($F1223&amp;"",계정매핑!$A$5:$A$504,0))&amp;"","공통비"))</f>
        <v/>
      </c>
      <c r="AF1223" s="64">
        <f>IF($A1223="","",IF(AE1223="직접",IFERROR(INDEX(계정매핑!$F$5:$F$504,MATCH($F1223&amp;"",계정매핑!$A$5:$A$504,0))&amp;"","비귀속"),""))</f>
        <v/>
      </c>
      <c r="AG1223" s="96">
        <f>IF($A1223="",0,IF(AND(AE1223&lt;&gt;"직접",IFERROR(INDEX(계정매핑!$G$5:$G$504,MATCH($F1223&amp;"",계정매핑!$A$5:$A$504,0))&amp;"","")="유지비",COUNTIF(계정대체기준!$A$6:$A$15,$N1223)&gt;0),IFERROR(INDEX(계정대체기준!$E$6:$E$15,MATCH(VALUE($A1223&amp;""),계정대체기준!$D$6:$D$15,0)),0),0))</f>
        <v/>
      </c>
      <c r="AH1223" s="64">
        <f>IF($A1223="","",IF(AD1223=0,"",IF(OR(COUNTIF(계정대체기준!$A$77:$A$86,$N1223)&gt;0,ISNUMBER(MATCH($X1223,계정대체기준!$D$77:$D$86,0)),ISNUMBER(MATCH($F1223,계정대체기준!$D$77:$D$86,0))),"Y","N")))</f>
        <v/>
      </c>
    </row>
    <row r="1224">
      <c r="A1224" s="92" t="n">
        <v>2025</v>
      </c>
      <c r="B1224" s="92" t="n">
        <v>6</v>
      </c>
      <c r="C1224" s="92" t="inlineStr">
        <is>
          <t>5100001220</t>
        </is>
      </c>
      <c r="D1224" s="95" t="n">
        <v>45820</v>
      </c>
      <c r="E1224" s="92" t="inlineStr">
        <is>
          <t>KR</t>
        </is>
      </c>
      <c r="F1224" s="92" t="n">
        <v>62102000</v>
      </c>
      <c r="G1224" s="92" t="n">
        <v>1301</v>
      </c>
      <c r="H1224" s="93" t="n">
        <v>67000</v>
      </c>
      <c r="I1224" s="92" t="inlineStr">
        <is>
          <t>6월 해외출장 - N호텔</t>
        </is>
      </c>
      <c r="J1224" s="92" t="inlineStr">
        <is>
          <t>V10009</t>
        </is>
      </c>
      <c r="K1224" s="92" t="inlineStr">
        <is>
          <t>N호텔</t>
        </is>
      </c>
      <c r="M1224" s="9">
        <f>IF($A1224="","",VALUE($A1224&amp;"")*12+VALUE($B1224&amp;""))</f>
        <v/>
      </c>
      <c r="N1224" s="64">
        <f>IF($A1224="","",IFERROR(INDEX(부서매핑!$C$5:$C$504,MATCH($G1224&amp;"",부서매핑!$A$5:$A$504,0)),"미매핑"))</f>
        <v/>
      </c>
      <c r="O1224" s="9">
        <f>IF($A1224="","",N1224&amp;"|"&amp;$F1224)</f>
        <v/>
      </c>
      <c r="P1224" s="94">
        <f>IF($A1224="",0,$H1224*설정!$C$23)</f>
        <v/>
      </c>
      <c r="Q1224" s="64">
        <f>IF($A1224="","",IF(O1224&lt;&gt;원인분석!$C$9,"",IF(AND(M1224&gt;=원인분석!$C$10,M1224&lt;=원인분석!$C$11),"당기",IF(AND(M1224&gt;=원인분석!$C$12,M1224&lt;=원인분석!$C$13),"비교",""))))</f>
        <v/>
      </c>
      <c r="R1224" s="9">
        <f>IF(Q1224="","",$K1224&amp;"")</f>
        <v/>
      </c>
      <c r="S1224" s="9">
        <f>IF(Q1224="","",IF(MATCH(R1224,$R$5:$R$100000,0)=ROW()-4,ROW(),""))</f>
        <v/>
      </c>
      <c r="T1224" s="9">
        <f>IF(Q1224="당기",ABS(P1224)+ROW()/1000000000,"")</f>
        <v/>
      </c>
      <c r="U1224" s="9">
        <f>IF(Q1224="비교",ABS(P1224)+ROW()/1000000000,"")</f>
        <v/>
      </c>
      <c r="V1224" s="64">
        <f>IF($A1224="","",IF(COUNTIF(변동분석!$E$7:$E$506,O1224)&gt;0,"Y","N"))</f>
        <v/>
      </c>
      <c r="W1224" s="64">
        <f>IF($A1224="","",IFERROR(INDEX(계정매핑!$D$5:$D$504,MATCH($F1224&amp;"",계정매핑!$A$5:$A$504,0)),"미매핑"))</f>
        <v/>
      </c>
      <c r="X1224" s="9">
        <f>IF($A1224="","",$F1224&amp;"")</f>
        <v/>
      </c>
      <c r="Y1224" s="94">
        <f>IF($A1224="",0,IF(AE1224="직접",IF(AF1224="비귀속",$P1224,0),$P1224*(1-AG1224)*IFERROR(INDEX(계정대체기준!$F$20:$F$49,MATCH($N1224,계정대체기준!$A$20:$A$49,0)),1)))</f>
        <v/>
      </c>
      <c r="Z1224" s="94">
        <f>IF($A1224="",0,IF(AE1224="직접",IF(AF1224="신계약비",$P1224,0),$P1224*(1-AG1224)*IFERROR(INDEX(계정대체기준!$C$20:$C$49,MATCH($N1224,계정대체기준!$A$20:$A$49,0)),0)))</f>
        <v/>
      </c>
      <c r="AA1224" s="94">
        <f>IF($A1224="",0,IF(AE1224="직접",IF(OR(AF1224="유지비",AF1224="손해조사비"),$P1224,0),$P1224*(1-AG1224)*IFERROR(INDEX(계정대체기준!$D$20:$D$49,MATCH($N1224,계정대체기준!$A$20:$A$49,0)),0)))</f>
        <v/>
      </c>
      <c r="AB1224" s="94">
        <f>IF($A1224="",0,IF(AE1224="직접",IF(AF1224="수금비",$P1224,0),$P1224*(1-AG1224)*IFERROR(INDEX(계정대체기준!$E$20:$E$49,MATCH($N1224,계정대체기준!$A$20:$A$49,0)),0)))</f>
        <v/>
      </c>
      <c r="AC1224" s="9">
        <f>IF(AND($A1224&lt;&gt;"",M1224=설정!$C$20,Z1224&gt;0),Z1224+ROW()/1000000000,"")</f>
        <v/>
      </c>
      <c r="AD1224" s="94">
        <f>IF($A1224="",0,$P1224*AG1224)</f>
        <v/>
      </c>
      <c r="AE1224" s="64">
        <f>IF($A1224="","",IFERROR(INDEX(계정매핑!$E$5:$E$504,MATCH($F1224&amp;"",계정매핑!$A$5:$A$504,0))&amp;"","공통비"))</f>
        <v/>
      </c>
      <c r="AF1224" s="64">
        <f>IF($A1224="","",IF(AE1224="직접",IFERROR(INDEX(계정매핑!$F$5:$F$504,MATCH($F1224&amp;"",계정매핑!$A$5:$A$504,0))&amp;"","비귀속"),""))</f>
        <v/>
      </c>
      <c r="AG1224" s="96">
        <f>IF($A1224="",0,IF(AND(AE1224&lt;&gt;"직접",IFERROR(INDEX(계정매핑!$G$5:$G$504,MATCH($F1224&amp;"",계정매핑!$A$5:$A$504,0))&amp;"","")="유지비",COUNTIF(계정대체기준!$A$6:$A$15,$N1224)&gt;0),IFERROR(INDEX(계정대체기준!$E$6:$E$15,MATCH(VALUE($A1224&amp;""),계정대체기준!$D$6:$D$15,0)),0),0))</f>
        <v/>
      </c>
      <c r="AH1224" s="64">
        <f>IF($A1224="","",IF(AD1224=0,"",IF(OR(COUNTIF(계정대체기준!$A$77:$A$86,$N1224)&gt;0,ISNUMBER(MATCH($X1224,계정대체기준!$D$77:$D$86,0)),ISNUMBER(MATCH($F1224,계정대체기준!$D$77:$D$86,0))),"Y","N")))</f>
        <v/>
      </c>
    </row>
    <row r="1225">
      <c r="A1225" s="92" t="n">
        <v>2025</v>
      </c>
      <c r="B1225" s="92" t="n">
        <v>6</v>
      </c>
      <c r="C1225" s="92" t="inlineStr">
        <is>
          <t>5100001221</t>
        </is>
      </c>
      <c r="D1225" s="95" t="n">
        <v>45820</v>
      </c>
      <c r="E1225" s="92" t="inlineStr">
        <is>
          <t>KR</t>
        </is>
      </c>
      <c r="F1225" s="92" t="n">
        <v>62301000</v>
      </c>
      <c r="G1225" s="92" t="n">
        <v>1301</v>
      </c>
      <c r="H1225" s="93" t="n">
        <v>188000</v>
      </c>
      <c r="I1225" s="92" t="inlineStr">
        <is>
          <t>6월 소모품 구입 - R문구</t>
        </is>
      </c>
      <c r="J1225" s="92" t="inlineStr">
        <is>
          <t>V10022</t>
        </is>
      </c>
      <c r="K1225" s="92" t="inlineStr">
        <is>
          <t>R문구</t>
        </is>
      </c>
      <c r="M1225" s="9">
        <f>IF($A1225="","",VALUE($A1225&amp;"")*12+VALUE($B1225&amp;""))</f>
        <v/>
      </c>
      <c r="N1225" s="64">
        <f>IF($A1225="","",IFERROR(INDEX(부서매핑!$C$5:$C$504,MATCH($G1225&amp;"",부서매핑!$A$5:$A$504,0)),"미매핑"))</f>
        <v/>
      </c>
      <c r="O1225" s="9">
        <f>IF($A1225="","",N1225&amp;"|"&amp;$F1225)</f>
        <v/>
      </c>
      <c r="P1225" s="94">
        <f>IF($A1225="",0,$H1225*설정!$C$23)</f>
        <v/>
      </c>
      <c r="Q1225" s="64">
        <f>IF($A1225="","",IF(O1225&lt;&gt;원인분석!$C$9,"",IF(AND(M1225&gt;=원인분석!$C$10,M1225&lt;=원인분석!$C$11),"당기",IF(AND(M1225&gt;=원인분석!$C$12,M1225&lt;=원인분석!$C$13),"비교",""))))</f>
        <v/>
      </c>
      <c r="R1225" s="9">
        <f>IF(Q1225="","",$K1225&amp;"")</f>
        <v/>
      </c>
      <c r="S1225" s="9">
        <f>IF(Q1225="","",IF(MATCH(R1225,$R$5:$R$100000,0)=ROW()-4,ROW(),""))</f>
        <v/>
      </c>
      <c r="T1225" s="9">
        <f>IF(Q1225="당기",ABS(P1225)+ROW()/1000000000,"")</f>
        <v/>
      </c>
      <c r="U1225" s="9">
        <f>IF(Q1225="비교",ABS(P1225)+ROW()/1000000000,"")</f>
        <v/>
      </c>
      <c r="V1225" s="64">
        <f>IF($A1225="","",IF(COUNTIF(변동분석!$E$7:$E$506,O1225)&gt;0,"Y","N"))</f>
        <v/>
      </c>
      <c r="W1225" s="64">
        <f>IF($A1225="","",IFERROR(INDEX(계정매핑!$D$5:$D$504,MATCH($F1225&amp;"",계정매핑!$A$5:$A$504,0)),"미매핑"))</f>
        <v/>
      </c>
      <c r="X1225" s="9">
        <f>IF($A1225="","",$F1225&amp;"")</f>
        <v/>
      </c>
      <c r="Y1225" s="94">
        <f>IF($A1225="",0,IF(AE1225="직접",IF(AF1225="비귀속",$P1225,0),$P1225*(1-AG1225)*IFERROR(INDEX(계정대체기준!$F$20:$F$49,MATCH($N1225,계정대체기준!$A$20:$A$49,0)),1)))</f>
        <v/>
      </c>
      <c r="Z1225" s="94">
        <f>IF($A1225="",0,IF(AE1225="직접",IF(AF1225="신계약비",$P1225,0),$P1225*(1-AG1225)*IFERROR(INDEX(계정대체기준!$C$20:$C$49,MATCH($N1225,계정대체기준!$A$20:$A$49,0)),0)))</f>
        <v/>
      </c>
      <c r="AA1225" s="94">
        <f>IF($A1225="",0,IF(AE1225="직접",IF(OR(AF1225="유지비",AF1225="손해조사비"),$P1225,0),$P1225*(1-AG1225)*IFERROR(INDEX(계정대체기준!$D$20:$D$49,MATCH($N1225,계정대체기준!$A$20:$A$49,0)),0)))</f>
        <v/>
      </c>
      <c r="AB1225" s="94">
        <f>IF($A1225="",0,IF(AE1225="직접",IF(AF1225="수금비",$P1225,0),$P1225*(1-AG1225)*IFERROR(INDEX(계정대체기준!$E$20:$E$49,MATCH($N1225,계정대체기준!$A$20:$A$49,0)),0)))</f>
        <v/>
      </c>
      <c r="AC1225" s="9">
        <f>IF(AND($A1225&lt;&gt;"",M1225=설정!$C$20,Z1225&gt;0),Z1225+ROW()/1000000000,"")</f>
        <v/>
      </c>
      <c r="AD1225" s="94">
        <f>IF($A1225="",0,$P1225*AG1225)</f>
        <v/>
      </c>
      <c r="AE1225" s="64">
        <f>IF($A1225="","",IFERROR(INDEX(계정매핑!$E$5:$E$504,MATCH($F1225&amp;"",계정매핑!$A$5:$A$504,0))&amp;"","공통비"))</f>
        <v/>
      </c>
      <c r="AF1225" s="64">
        <f>IF($A1225="","",IF(AE1225="직접",IFERROR(INDEX(계정매핑!$F$5:$F$504,MATCH($F1225&amp;"",계정매핑!$A$5:$A$504,0))&amp;"","비귀속"),""))</f>
        <v/>
      </c>
      <c r="AG1225" s="96">
        <f>IF($A1225="",0,IF(AND(AE1225&lt;&gt;"직접",IFERROR(INDEX(계정매핑!$G$5:$G$504,MATCH($F1225&amp;"",계정매핑!$A$5:$A$504,0))&amp;"","")="유지비",COUNTIF(계정대체기준!$A$6:$A$15,$N1225)&gt;0),IFERROR(INDEX(계정대체기준!$E$6:$E$15,MATCH(VALUE($A1225&amp;""),계정대체기준!$D$6:$D$15,0)),0),0))</f>
        <v/>
      </c>
      <c r="AH1225" s="64">
        <f>IF($A1225="","",IF(AD1225=0,"",IF(OR(COUNTIF(계정대체기준!$A$77:$A$86,$N1225)&gt;0,ISNUMBER(MATCH($X1225,계정대체기준!$D$77:$D$86,0)),ISNUMBER(MATCH($F1225,계정대체기준!$D$77:$D$86,0))),"Y","N")))</f>
        <v/>
      </c>
    </row>
    <row r="1226">
      <c r="A1226" s="92" t="n">
        <v>2025</v>
      </c>
      <c r="B1226" s="92" t="n">
        <v>6</v>
      </c>
      <c r="C1226" s="92" t="inlineStr">
        <is>
          <t>5100001222</t>
        </is>
      </c>
      <c r="D1226" s="95" t="n">
        <v>45820</v>
      </c>
      <c r="E1226" s="92" t="inlineStr">
        <is>
          <t>KR</t>
        </is>
      </c>
      <c r="F1226" s="92" t="n">
        <v>62301000</v>
      </c>
      <c r="G1226" s="92" t="n">
        <v>1501</v>
      </c>
      <c r="H1226" s="93" t="n">
        <v>357000</v>
      </c>
      <c r="I1226" s="92" t="inlineStr">
        <is>
          <t>6월 소모품 구입 - R문구</t>
        </is>
      </c>
      <c r="J1226" s="92" t="inlineStr">
        <is>
          <t>V10022</t>
        </is>
      </c>
      <c r="K1226" s="92" t="inlineStr">
        <is>
          <t>R문구</t>
        </is>
      </c>
      <c r="M1226" s="9">
        <f>IF($A1226="","",VALUE($A1226&amp;"")*12+VALUE($B1226&amp;""))</f>
        <v/>
      </c>
      <c r="N1226" s="64">
        <f>IF($A1226="","",IFERROR(INDEX(부서매핑!$C$5:$C$504,MATCH($G1226&amp;"",부서매핑!$A$5:$A$504,0)),"미매핑"))</f>
        <v/>
      </c>
      <c r="O1226" s="9">
        <f>IF($A1226="","",N1226&amp;"|"&amp;$F1226)</f>
        <v/>
      </c>
      <c r="P1226" s="94">
        <f>IF($A1226="",0,$H1226*설정!$C$23)</f>
        <v/>
      </c>
      <c r="Q1226" s="64">
        <f>IF($A1226="","",IF(O1226&lt;&gt;원인분석!$C$9,"",IF(AND(M1226&gt;=원인분석!$C$10,M1226&lt;=원인분석!$C$11),"당기",IF(AND(M1226&gt;=원인분석!$C$12,M1226&lt;=원인분석!$C$13),"비교",""))))</f>
        <v/>
      </c>
      <c r="R1226" s="9">
        <f>IF(Q1226="","",$K1226&amp;"")</f>
        <v/>
      </c>
      <c r="S1226" s="9">
        <f>IF(Q1226="","",IF(MATCH(R1226,$R$5:$R$100000,0)=ROW()-4,ROW(),""))</f>
        <v/>
      </c>
      <c r="T1226" s="9">
        <f>IF(Q1226="당기",ABS(P1226)+ROW()/1000000000,"")</f>
        <v/>
      </c>
      <c r="U1226" s="9">
        <f>IF(Q1226="비교",ABS(P1226)+ROW()/1000000000,"")</f>
        <v/>
      </c>
      <c r="V1226" s="64">
        <f>IF($A1226="","",IF(COUNTIF(변동분석!$E$7:$E$506,O1226)&gt;0,"Y","N"))</f>
        <v/>
      </c>
      <c r="W1226" s="64">
        <f>IF($A1226="","",IFERROR(INDEX(계정매핑!$D$5:$D$504,MATCH($F1226&amp;"",계정매핑!$A$5:$A$504,0)),"미매핑"))</f>
        <v/>
      </c>
      <c r="X1226" s="9">
        <f>IF($A1226="","",$F1226&amp;"")</f>
        <v/>
      </c>
      <c r="Y1226" s="94">
        <f>IF($A1226="",0,IF(AE1226="직접",IF(AF1226="비귀속",$P1226,0),$P1226*(1-AG1226)*IFERROR(INDEX(계정대체기준!$F$20:$F$49,MATCH($N1226,계정대체기준!$A$20:$A$49,0)),1)))</f>
        <v/>
      </c>
      <c r="Z1226" s="94">
        <f>IF($A1226="",0,IF(AE1226="직접",IF(AF1226="신계약비",$P1226,0),$P1226*(1-AG1226)*IFERROR(INDEX(계정대체기준!$C$20:$C$49,MATCH($N1226,계정대체기준!$A$20:$A$49,0)),0)))</f>
        <v/>
      </c>
      <c r="AA1226" s="94">
        <f>IF($A1226="",0,IF(AE1226="직접",IF(OR(AF1226="유지비",AF1226="손해조사비"),$P1226,0),$P1226*(1-AG1226)*IFERROR(INDEX(계정대체기준!$D$20:$D$49,MATCH($N1226,계정대체기준!$A$20:$A$49,0)),0)))</f>
        <v/>
      </c>
      <c r="AB1226" s="94">
        <f>IF($A1226="",0,IF(AE1226="직접",IF(AF1226="수금비",$P1226,0),$P1226*(1-AG1226)*IFERROR(INDEX(계정대체기준!$E$20:$E$49,MATCH($N1226,계정대체기준!$A$20:$A$49,0)),0)))</f>
        <v/>
      </c>
      <c r="AC1226" s="9">
        <f>IF(AND($A1226&lt;&gt;"",M1226=설정!$C$20,Z1226&gt;0),Z1226+ROW()/1000000000,"")</f>
        <v/>
      </c>
      <c r="AD1226" s="94">
        <f>IF($A1226="",0,$P1226*AG1226)</f>
        <v/>
      </c>
      <c r="AE1226" s="64">
        <f>IF($A1226="","",IFERROR(INDEX(계정매핑!$E$5:$E$504,MATCH($F1226&amp;"",계정매핑!$A$5:$A$504,0))&amp;"","공통비"))</f>
        <v/>
      </c>
      <c r="AF1226" s="64">
        <f>IF($A1226="","",IF(AE1226="직접",IFERROR(INDEX(계정매핑!$F$5:$F$504,MATCH($F1226&amp;"",계정매핑!$A$5:$A$504,0))&amp;"","비귀속"),""))</f>
        <v/>
      </c>
      <c r="AG1226" s="96">
        <f>IF($A1226="",0,IF(AND(AE1226&lt;&gt;"직접",IFERROR(INDEX(계정매핑!$G$5:$G$504,MATCH($F1226&amp;"",계정매핑!$A$5:$A$504,0))&amp;"","")="유지비",COUNTIF(계정대체기준!$A$6:$A$15,$N1226)&gt;0),IFERROR(INDEX(계정대체기준!$E$6:$E$15,MATCH(VALUE($A1226&amp;""),계정대체기준!$D$6:$D$15,0)),0),0))</f>
        <v/>
      </c>
      <c r="AH1226" s="64">
        <f>IF($A1226="","",IF(AD1226=0,"",IF(OR(COUNTIF(계정대체기준!$A$77:$A$86,$N1226)&gt;0,ISNUMBER(MATCH($X1226,계정대체기준!$D$77:$D$86,0)),ISNUMBER(MATCH($F1226,계정대체기준!$D$77:$D$86,0))),"Y","N")))</f>
        <v/>
      </c>
    </row>
    <row r="1227">
      <c r="A1227" s="92" t="n">
        <v>2025</v>
      </c>
      <c r="B1227" s="92" t="n">
        <v>6</v>
      </c>
      <c r="C1227" s="92" t="inlineStr">
        <is>
          <t>5100001223</t>
        </is>
      </c>
      <c r="D1227" s="95" t="n">
        <v>45820</v>
      </c>
      <c r="E1227" s="92" t="inlineStr">
        <is>
          <t>KR</t>
        </is>
      </c>
      <c r="F1227" s="92" t="n">
        <v>62501000</v>
      </c>
      <c r="G1227" s="92" t="n">
        <v>1401</v>
      </c>
      <c r="H1227" s="93" t="n">
        <v>159000</v>
      </c>
      <c r="I1227" s="92" t="inlineStr">
        <is>
          <t>6월 회의 다과 - T케이터링</t>
        </is>
      </c>
      <c r="J1227" s="92" t="inlineStr">
        <is>
          <t>V10005</t>
        </is>
      </c>
      <c r="K1227" s="92" t="inlineStr">
        <is>
          <t>T케이터링</t>
        </is>
      </c>
      <c r="M1227" s="9">
        <f>IF($A1227="","",VALUE($A1227&amp;"")*12+VALUE($B1227&amp;""))</f>
        <v/>
      </c>
      <c r="N1227" s="64">
        <f>IF($A1227="","",IFERROR(INDEX(부서매핑!$C$5:$C$504,MATCH($G1227&amp;"",부서매핑!$A$5:$A$504,0)),"미매핑"))</f>
        <v/>
      </c>
      <c r="O1227" s="9">
        <f>IF($A1227="","",N1227&amp;"|"&amp;$F1227)</f>
        <v/>
      </c>
      <c r="P1227" s="94">
        <f>IF($A1227="",0,$H1227*설정!$C$23)</f>
        <v/>
      </c>
      <c r="Q1227" s="64">
        <f>IF($A1227="","",IF(O1227&lt;&gt;원인분석!$C$9,"",IF(AND(M1227&gt;=원인분석!$C$10,M1227&lt;=원인분석!$C$11),"당기",IF(AND(M1227&gt;=원인분석!$C$12,M1227&lt;=원인분석!$C$13),"비교",""))))</f>
        <v/>
      </c>
      <c r="R1227" s="9">
        <f>IF(Q1227="","",$K1227&amp;"")</f>
        <v/>
      </c>
      <c r="S1227" s="9">
        <f>IF(Q1227="","",IF(MATCH(R1227,$R$5:$R$100000,0)=ROW()-4,ROW(),""))</f>
        <v/>
      </c>
      <c r="T1227" s="9">
        <f>IF(Q1227="당기",ABS(P1227)+ROW()/1000000000,"")</f>
        <v/>
      </c>
      <c r="U1227" s="9">
        <f>IF(Q1227="비교",ABS(P1227)+ROW()/1000000000,"")</f>
        <v/>
      </c>
      <c r="V1227" s="64">
        <f>IF($A1227="","",IF(COUNTIF(변동분석!$E$7:$E$506,O1227)&gt;0,"Y","N"))</f>
        <v/>
      </c>
      <c r="W1227" s="64">
        <f>IF($A1227="","",IFERROR(INDEX(계정매핑!$D$5:$D$504,MATCH($F1227&amp;"",계정매핑!$A$5:$A$504,0)),"미매핑"))</f>
        <v/>
      </c>
      <c r="X1227" s="9">
        <f>IF($A1227="","",$F1227&amp;"")</f>
        <v/>
      </c>
      <c r="Y1227" s="94">
        <f>IF($A1227="",0,IF(AE1227="직접",IF(AF1227="비귀속",$P1227,0),$P1227*(1-AG1227)*IFERROR(INDEX(계정대체기준!$F$20:$F$49,MATCH($N1227,계정대체기준!$A$20:$A$49,0)),1)))</f>
        <v/>
      </c>
      <c r="Z1227" s="94">
        <f>IF($A1227="",0,IF(AE1227="직접",IF(AF1227="신계약비",$P1227,0),$P1227*(1-AG1227)*IFERROR(INDEX(계정대체기준!$C$20:$C$49,MATCH($N1227,계정대체기준!$A$20:$A$49,0)),0)))</f>
        <v/>
      </c>
      <c r="AA1227" s="94">
        <f>IF($A1227="",0,IF(AE1227="직접",IF(OR(AF1227="유지비",AF1227="손해조사비"),$P1227,0),$P1227*(1-AG1227)*IFERROR(INDEX(계정대체기준!$D$20:$D$49,MATCH($N1227,계정대체기준!$A$20:$A$49,0)),0)))</f>
        <v/>
      </c>
      <c r="AB1227" s="94">
        <f>IF($A1227="",0,IF(AE1227="직접",IF(AF1227="수금비",$P1227,0),$P1227*(1-AG1227)*IFERROR(INDEX(계정대체기준!$E$20:$E$49,MATCH($N1227,계정대체기준!$A$20:$A$49,0)),0)))</f>
        <v/>
      </c>
      <c r="AC1227" s="9">
        <f>IF(AND($A1227&lt;&gt;"",M1227=설정!$C$20,Z1227&gt;0),Z1227+ROW()/1000000000,"")</f>
        <v/>
      </c>
      <c r="AD1227" s="94">
        <f>IF($A1227="",0,$P1227*AG1227)</f>
        <v/>
      </c>
      <c r="AE1227" s="64">
        <f>IF($A1227="","",IFERROR(INDEX(계정매핑!$E$5:$E$504,MATCH($F1227&amp;"",계정매핑!$A$5:$A$504,0))&amp;"","공통비"))</f>
        <v/>
      </c>
      <c r="AF1227" s="64">
        <f>IF($A1227="","",IF(AE1227="직접",IFERROR(INDEX(계정매핑!$F$5:$F$504,MATCH($F1227&amp;"",계정매핑!$A$5:$A$504,0))&amp;"","비귀속"),""))</f>
        <v/>
      </c>
      <c r="AG1227" s="96">
        <f>IF($A1227="",0,IF(AND(AE1227&lt;&gt;"직접",IFERROR(INDEX(계정매핑!$G$5:$G$504,MATCH($F1227&amp;"",계정매핑!$A$5:$A$504,0))&amp;"","")="유지비",COUNTIF(계정대체기준!$A$6:$A$15,$N1227)&gt;0),IFERROR(INDEX(계정대체기준!$E$6:$E$15,MATCH(VALUE($A1227&amp;""),계정대체기준!$D$6:$D$15,0)),0),0))</f>
        <v/>
      </c>
      <c r="AH1227" s="64">
        <f>IF($A1227="","",IF(AD1227=0,"",IF(OR(COUNTIF(계정대체기준!$A$77:$A$86,$N1227)&gt;0,ISNUMBER(MATCH($X1227,계정대체기준!$D$77:$D$86,0)),ISNUMBER(MATCH($F1227,계정대체기준!$D$77:$D$86,0))),"Y","N")))</f>
        <v/>
      </c>
    </row>
    <row r="1228">
      <c r="A1228" s="92" t="n">
        <v>2025</v>
      </c>
      <c r="B1228" s="92" t="n">
        <v>6</v>
      </c>
      <c r="C1228" s="92" t="inlineStr">
        <is>
          <t>5100001224</t>
        </is>
      </c>
      <c r="D1228" s="95" t="n">
        <v>45820</v>
      </c>
      <c r="E1228" s="92" t="inlineStr">
        <is>
          <t>KR</t>
        </is>
      </c>
      <c r="F1228" s="92" t="n">
        <v>62501000</v>
      </c>
      <c r="G1228" s="92" t="n">
        <v>1601</v>
      </c>
      <c r="H1228" s="93" t="n">
        <v>466000</v>
      </c>
      <c r="I1228" s="92" t="inlineStr">
        <is>
          <t>6월 회의 다과 - T케이터링</t>
        </is>
      </c>
      <c r="J1228" s="92" t="inlineStr">
        <is>
          <t>V10005</t>
        </is>
      </c>
      <c r="K1228" s="92" t="inlineStr">
        <is>
          <t>T케이터링</t>
        </is>
      </c>
      <c r="M1228" s="9">
        <f>IF($A1228="","",VALUE($A1228&amp;"")*12+VALUE($B1228&amp;""))</f>
        <v/>
      </c>
      <c r="N1228" s="64">
        <f>IF($A1228="","",IFERROR(INDEX(부서매핑!$C$5:$C$504,MATCH($G1228&amp;"",부서매핑!$A$5:$A$504,0)),"미매핑"))</f>
        <v/>
      </c>
      <c r="O1228" s="9">
        <f>IF($A1228="","",N1228&amp;"|"&amp;$F1228)</f>
        <v/>
      </c>
      <c r="P1228" s="94">
        <f>IF($A1228="",0,$H1228*설정!$C$23)</f>
        <v/>
      </c>
      <c r="Q1228" s="64">
        <f>IF($A1228="","",IF(O1228&lt;&gt;원인분석!$C$9,"",IF(AND(M1228&gt;=원인분석!$C$10,M1228&lt;=원인분석!$C$11),"당기",IF(AND(M1228&gt;=원인분석!$C$12,M1228&lt;=원인분석!$C$13),"비교",""))))</f>
        <v/>
      </c>
      <c r="R1228" s="9">
        <f>IF(Q1228="","",$K1228&amp;"")</f>
        <v/>
      </c>
      <c r="S1228" s="9">
        <f>IF(Q1228="","",IF(MATCH(R1228,$R$5:$R$100000,0)=ROW()-4,ROW(),""))</f>
        <v/>
      </c>
      <c r="T1228" s="9">
        <f>IF(Q1228="당기",ABS(P1228)+ROW()/1000000000,"")</f>
        <v/>
      </c>
      <c r="U1228" s="9">
        <f>IF(Q1228="비교",ABS(P1228)+ROW()/1000000000,"")</f>
        <v/>
      </c>
      <c r="V1228" s="64">
        <f>IF($A1228="","",IF(COUNTIF(변동분석!$E$7:$E$506,O1228)&gt;0,"Y","N"))</f>
        <v/>
      </c>
      <c r="W1228" s="64">
        <f>IF($A1228="","",IFERROR(INDEX(계정매핑!$D$5:$D$504,MATCH($F1228&amp;"",계정매핑!$A$5:$A$504,0)),"미매핑"))</f>
        <v/>
      </c>
      <c r="X1228" s="9">
        <f>IF($A1228="","",$F1228&amp;"")</f>
        <v/>
      </c>
      <c r="Y1228" s="94">
        <f>IF($A1228="",0,IF(AE1228="직접",IF(AF1228="비귀속",$P1228,0),$P1228*(1-AG1228)*IFERROR(INDEX(계정대체기준!$F$20:$F$49,MATCH($N1228,계정대체기준!$A$20:$A$49,0)),1)))</f>
        <v/>
      </c>
      <c r="Z1228" s="94">
        <f>IF($A1228="",0,IF(AE1228="직접",IF(AF1228="신계약비",$P1228,0),$P1228*(1-AG1228)*IFERROR(INDEX(계정대체기준!$C$20:$C$49,MATCH($N1228,계정대체기준!$A$20:$A$49,0)),0)))</f>
        <v/>
      </c>
      <c r="AA1228" s="94">
        <f>IF($A1228="",0,IF(AE1228="직접",IF(OR(AF1228="유지비",AF1228="손해조사비"),$P1228,0),$P1228*(1-AG1228)*IFERROR(INDEX(계정대체기준!$D$20:$D$49,MATCH($N1228,계정대체기준!$A$20:$A$49,0)),0)))</f>
        <v/>
      </c>
      <c r="AB1228" s="94">
        <f>IF($A1228="",0,IF(AE1228="직접",IF(AF1228="수금비",$P1228,0),$P1228*(1-AG1228)*IFERROR(INDEX(계정대체기준!$E$20:$E$49,MATCH($N1228,계정대체기준!$A$20:$A$49,0)),0)))</f>
        <v/>
      </c>
      <c r="AC1228" s="9">
        <f>IF(AND($A1228&lt;&gt;"",M1228=설정!$C$20,Z1228&gt;0),Z1228+ROW()/1000000000,"")</f>
        <v/>
      </c>
      <c r="AD1228" s="94">
        <f>IF($A1228="",0,$P1228*AG1228)</f>
        <v/>
      </c>
      <c r="AE1228" s="64">
        <f>IF($A1228="","",IFERROR(INDEX(계정매핑!$E$5:$E$504,MATCH($F1228&amp;"",계정매핑!$A$5:$A$504,0))&amp;"","공통비"))</f>
        <v/>
      </c>
      <c r="AF1228" s="64">
        <f>IF($A1228="","",IF(AE1228="직접",IFERROR(INDEX(계정매핑!$F$5:$F$504,MATCH($F1228&amp;"",계정매핑!$A$5:$A$504,0))&amp;"","비귀속"),""))</f>
        <v/>
      </c>
      <c r="AG1228" s="96">
        <f>IF($A1228="",0,IF(AND(AE1228&lt;&gt;"직접",IFERROR(INDEX(계정매핑!$G$5:$G$504,MATCH($F1228&amp;"",계정매핑!$A$5:$A$504,0))&amp;"","")="유지비",COUNTIF(계정대체기준!$A$6:$A$15,$N1228)&gt;0),IFERROR(INDEX(계정대체기준!$E$6:$E$15,MATCH(VALUE($A1228&amp;""),계정대체기준!$D$6:$D$15,0)),0),0))</f>
        <v/>
      </c>
      <c r="AH1228" s="64">
        <f>IF($A1228="","",IF(AD1228=0,"",IF(OR(COUNTIF(계정대체기준!$A$77:$A$86,$N1228)&gt;0,ISNUMBER(MATCH($X1228,계정대체기준!$D$77:$D$86,0)),ISNUMBER(MATCH($F1228,계정대체기준!$D$77:$D$86,0))),"Y","N")))</f>
        <v/>
      </c>
    </row>
    <row r="1229">
      <c r="A1229" s="92" t="n">
        <v>2025</v>
      </c>
      <c r="B1229" s="92" t="n">
        <v>6</v>
      </c>
      <c r="C1229" s="92" t="inlineStr">
        <is>
          <t>5100001225</t>
        </is>
      </c>
      <c r="D1229" s="95" t="n">
        <v>45820</v>
      </c>
      <c r="E1229" s="92" t="inlineStr">
        <is>
          <t>KR</t>
        </is>
      </c>
      <c r="F1229" s="92" t="n">
        <v>62501000</v>
      </c>
      <c r="G1229" s="92" t="n">
        <v>1801</v>
      </c>
      <c r="H1229" s="93" t="n">
        <v>109000</v>
      </c>
      <c r="I1229" s="92" t="inlineStr">
        <is>
          <t>6월 회의 다과 - T케이터링</t>
        </is>
      </c>
      <c r="J1229" s="92" t="inlineStr">
        <is>
          <t>V10005</t>
        </is>
      </c>
      <c r="K1229" s="92" t="inlineStr">
        <is>
          <t>T케이터링</t>
        </is>
      </c>
      <c r="M1229" s="9">
        <f>IF($A1229="","",VALUE($A1229&amp;"")*12+VALUE($B1229&amp;""))</f>
        <v/>
      </c>
      <c r="N1229" s="64">
        <f>IF($A1229="","",IFERROR(INDEX(부서매핑!$C$5:$C$504,MATCH($G1229&amp;"",부서매핑!$A$5:$A$504,0)),"미매핑"))</f>
        <v/>
      </c>
      <c r="O1229" s="9">
        <f>IF($A1229="","",N1229&amp;"|"&amp;$F1229)</f>
        <v/>
      </c>
      <c r="P1229" s="94">
        <f>IF($A1229="",0,$H1229*설정!$C$23)</f>
        <v/>
      </c>
      <c r="Q1229" s="64">
        <f>IF($A1229="","",IF(O1229&lt;&gt;원인분석!$C$9,"",IF(AND(M1229&gt;=원인분석!$C$10,M1229&lt;=원인분석!$C$11),"당기",IF(AND(M1229&gt;=원인분석!$C$12,M1229&lt;=원인분석!$C$13),"비교",""))))</f>
        <v/>
      </c>
      <c r="R1229" s="9">
        <f>IF(Q1229="","",$K1229&amp;"")</f>
        <v/>
      </c>
      <c r="S1229" s="9">
        <f>IF(Q1229="","",IF(MATCH(R1229,$R$5:$R$100000,0)=ROW()-4,ROW(),""))</f>
        <v/>
      </c>
      <c r="T1229" s="9">
        <f>IF(Q1229="당기",ABS(P1229)+ROW()/1000000000,"")</f>
        <v/>
      </c>
      <c r="U1229" s="9">
        <f>IF(Q1229="비교",ABS(P1229)+ROW()/1000000000,"")</f>
        <v/>
      </c>
      <c r="V1229" s="64">
        <f>IF($A1229="","",IF(COUNTIF(변동분석!$E$7:$E$506,O1229)&gt;0,"Y","N"))</f>
        <v/>
      </c>
      <c r="W1229" s="64">
        <f>IF($A1229="","",IFERROR(INDEX(계정매핑!$D$5:$D$504,MATCH($F1229&amp;"",계정매핑!$A$5:$A$504,0)),"미매핑"))</f>
        <v/>
      </c>
      <c r="X1229" s="9">
        <f>IF($A1229="","",$F1229&amp;"")</f>
        <v/>
      </c>
      <c r="Y1229" s="94">
        <f>IF($A1229="",0,IF(AE1229="직접",IF(AF1229="비귀속",$P1229,0),$P1229*(1-AG1229)*IFERROR(INDEX(계정대체기준!$F$20:$F$49,MATCH($N1229,계정대체기준!$A$20:$A$49,0)),1)))</f>
        <v/>
      </c>
      <c r="Z1229" s="94">
        <f>IF($A1229="",0,IF(AE1229="직접",IF(AF1229="신계약비",$P1229,0),$P1229*(1-AG1229)*IFERROR(INDEX(계정대체기준!$C$20:$C$49,MATCH($N1229,계정대체기준!$A$20:$A$49,0)),0)))</f>
        <v/>
      </c>
      <c r="AA1229" s="94">
        <f>IF($A1229="",0,IF(AE1229="직접",IF(OR(AF1229="유지비",AF1229="손해조사비"),$P1229,0),$P1229*(1-AG1229)*IFERROR(INDEX(계정대체기준!$D$20:$D$49,MATCH($N1229,계정대체기준!$A$20:$A$49,0)),0)))</f>
        <v/>
      </c>
      <c r="AB1229" s="94">
        <f>IF($A1229="",0,IF(AE1229="직접",IF(AF1229="수금비",$P1229,0),$P1229*(1-AG1229)*IFERROR(INDEX(계정대체기준!$E$20:$E$49,MATCH($N1229,계정대체기준!$A$20:$A$49,0)),0)))</f>
        <v/>
      </c>
      <c r="AC1229" s="9">
        <f>IF(AND($A1229&lt;&gt;"",M1229=설정!$C$20,Z1229&gt;0),Z1229+ROW()/1000000000,"")</f>
        <v/>
      </c>
      <c r="AD1229" s="94">
        <f>IF($A1229="",0,$P1229*AG1229)</f>
        <v/>
      </c>
      <c r="AE1229" s="64">
        <f>IF($A1229="","",IFERROR(INDEX(계정매핑!$E$5:$E$504,MATCH($F1229&amp;"",계정매핑!$A$5:$A$504,0))&amp;"","공통비"))</f>
        <v/>
      </c>
      <c r="AF1229" s="64">
        <f>IF($A1229="","",IF(AE1229="직접",IFERROR(INDEX(계정매핑!$F$5:$F$504,MATCH($F1229&amp;"",계정매핑!$A$5:$A$504,0))&amp;"","비귀속"),""))</f>
        <v/>
      </c>
      <c r="AG1229" s="96">
        <f>IF($A1229="",0,IF(AND(AE1229&lt;&gt;"직접",IFERROR(INDEX(계정매핑!$G$5:$G$504,MATCH($F1229&amp;"",계정매핑!$A$5:$A$504,0))&amp;"","")="유지비",COUNTIF(계정대체기준!$A$6:$A$15,$N1229)&gt;0),IFERROR(INDEX(계정대체기준!$E$6:$E$15,MATCH(VALUE($A1229&amp;""),계정대체기준!$D$6:$D$15,0)),0),0))</f>
        <v/>
      </c>
      <c r="AH1229" s="64">
        <f>IF($A1229="","",IF(AD1229=0,"",IF(OR(COUNTIF(계정대체기준!$A$77:$A$86,$N1229)&gt;0,ISNUMBER(MATCH($X1229,계정대체기준!$D$77:$D$86,0)),ISNUMBER(MATCH($F1229,계정대체기준!$D$77:$D$86,0))),"Y","N")))</f>
        <v/>
      </c>
    </row>
    <row r="1230">
      <c r="A1230" s="92" t="n">
        <v>2025</v>
      </c>
      <c r="B1230" s="92" t="n">
        <v>6</v>
      </c>
      <c r="C1230" s="92" t="inlineStr">
        <is>
          <t>5100001226</t>
        </is>
      </c>
      <c r="D1230" s="95" t="n">
        <v>45820</v>
      </c>
      <c r="E1230" s="92" t="inlineStr">
        <is>
          <t>KR</t>
        </is>
      </c>
      <c r="F1230" s="92" t="n">
        <v>62902000</v>
      </c>
      <c r="G1230" s="92" t="n">
        <v>1401</v>
      </c>
      <c r="H1230" s="93" t="n">
        <v>2063000</v>
      </c>
      <c r="I1230" s="92" t="inlineStr">
        <is>
          <t>6월 업무 위탁 수수료 - X서비스</t>
        </is>
      </c>
      <c r="J1230" s="92" t="inlineStr">
        <is>
          <t>V10020</t>
        </is>
      </c>
      <c r="K1230" s="92" t="inlineStr">
        <is>
          <t>X서비스</t>
        </is>
      </c>
      <c r="M1230" s="9">
        <f>IF($A1230="","",VALUE($A1230&amp;"")*12+VALUE($B1230&amp;""))</f>
        <v/>
      </c>
      <c r="N1230" s="64">
        <f>IF($A1230="","",IFERROR(INDEX(부서매핑!$C$5:$C$504,MATCH($G1230&amp;"",부서매핑!$A$5:$A$504,0)),"미매핑"))</f>
        <v/>
      </c>
      <c r="O1230" s="9">
        <f>IF($A1230="","",N1230&amp;"|"&amp;$F1230)</f>
        <v/>
      </c>
      <c r="P1230" s="94">
        <f>IF($A1230="",0,$H1230*설정!$C$23)</f>
        <v/>
      </c>
      <c r="Q1230" s="64">
        <f>IF($A1230="","",IF(O1230&lt;&gt;원인분석!$C$9,"",IF(AND(M1230&gt;=원인분석!$C$10,M1230&lt;=원인분석!$C$11),"당기",IF(AND(M1230&gt;=원인분석!$C$12,M1230&lt;=원인분석!$C$13),"비교",""))))</f>
        <v/>
      </c>
      <c r="R1230" s="9">
        <f>IF(Q1230="","",$K1230&amp;"")</f>
        <v/>
      </c>
      <c r="S1230" s="9">
        <f>IF(Q1230="","",IF(MATCH(R1230,$R$5:$R$100000,0)=ROW()-4,ROW(),""))</f>
        <v/>
      </c>
      <c r="T1230" s="9">
        <f>IF(Q1230="당기",ABS(P1230)+ROW()/1000000000,"")</f>
        <v/>
      </c>
      <c r="U1230" s="9">
        <f>IF(Q1230="비교",ABS(P1230)+ROW()/1000000000,"")</f>
        <v/>
      </c>
      <c r="V1230" s="64">
        <f>IF($A1230="","",IF(COUNTIF(변동분석!$E$7:$E$506,O1230)&gt;0,"Y","N"))</f>
        <v/>
      </c>
      <c r="W1230" s="64">
        <f>IF($A1230="","",IFERROR(INDEX(계정매핑!$D$5:$D$504,MATCH($F1230&amp;"",계정매핑!$A$5:$A$504,0)),"미매핑"))</f>
        <v/>
      </c>
      <c r="X1230" s="9">
        <f>IF($A1230="","",$F1230&amp;"")</f>
        <v/>
      </c>
      <c r="Y1230" s="94">
        <f>IF($A1230="",0,IF(AE1230="직접",IF(AF1230="비귀속",$P1230,0),$P1230*(1-AG1230)*IFERROR(INDEX(계정대체기준!$F$20:$F$49,MATCH($N1230,계정대체기준!$A$20:$A$49,0)),1)))</f>
        <v/>
      </c>
      <c r="Z1230" s="94">
        <f>IF($A1230="",0,IF(AE1230="직접",IF(AF1230="신계약비",$P1230,0),$P1230*(1-AG1230)*IFERROR(INDEX(계정대체기준!$C$20:$C$49,MATCH($N1230,계정대체기준!$A$20:$A$49,0)),0)))</f>
        <v/>
      </c>
      <c r="AA1230" s="94">
        <f>IF($A1230="",0,IF(AE1230="직접",IF(OR(AF1230="유지비",AF1230="손해조사비"),$P1230,0),$P1230*(1-AG1230)*IFERROR(INDEX(계정대체기준!$D$20:$D$49,MATCH($N1230,계정대체기준!$A$20:$A$49,0)),0)))</f>
        <v/>
      </c>
      <c r="AB1230" s="94">
        <f>IF($A1230="",0,IF(AE1230="직접",IF(AF1230="수금비",$P1230,0),$P1230*(1-AG1230)*IFERROR(INDEX(계정대체기준!$E$20:$E$49,MATCH($N1230,계정대체기준!$A$20:$A$49,0)),0)))</f>
        <v/>
      </c>
      <c r="AC1230" s="9">
        <f>IF(AND($A1230&lt;&gt;"",M1230=설정!$C$20,Z1230&gt;0),Z1230+ROW()/1000000000,"")</f>
        <v/>
      </c>
      <c r="AD1230" s="94">
        <f>IF($A1230="",0,$P1230*AG1230)</f>
        <v/>
      </c>
      <c r="AE1230" s="64">
        <f>IF($A1230="","",IFERROR(INDEX(계정매핑!$E$5:$E$504,MATCH($F1230&amp;"",계정매핑!$A$5:$A$504,0))&amp;"","공통비"))</f>
        <v/>
      </c>
      <c r="AF1230" s="64">
        <f>IF($A1230="","",IF(AE1230="직접",IFERROR(INDEX(계정매핑!$F$5:$F$504,MATCH($F1230&amp;"",계정매핑!$A$5:$A$504,0))&amp;"","비귀속"),""))</f>
        <v/>
      </c>
      <c r="AG1230" s="96">
        <f>IF($A1230="",0,IF(AND(AE1230&lt;&gt;"직접",IFERROR(INDEX(계정매핑!$G$5:$G$504,MATCH($F1230&amp;"",계정매핑!$A$5:$A$504,0))&amp;"","")="유지비",COUNTIF(계정대체기준!$A$6:$A$15,$N1230)&gt;0),IFERROR(INDEX(계정대체기준!$E$6:$E$15,MATCH(VALUE($A1230&amp;""),계정대체기준!$D$6:$D$15,0)),0),0))</f>
        <v/>
      </c>
      <c r="AH1230" s="64">
        <f>IF($A1230="","",IF(AD1230=0,"",IF(OR(COUNTIF(계정대체기준!$A$77:$A$86,$N1230)&gt;0,ISNUMBER(MATCH($X1230,계정대체기준!$D$77:$D$86,0)),ISNUMBER(MATCH($F1230,계정대체기준!$D$77:$D$86,0))),"Y","N")))</f>
        <v/>
      </c>
    </row>
    <row r="1231">
      <c r="A1231" s="92" t="n">
        <v>2025</v>
      </c>
      <c r="B1231" s="92" t="n">
        <v>6</v>
      </c>
      <c r="C1231" s="92" t="inlineStr">
        <is>
          <t>5100001227</t>
        </is>
      </c>
      <c r="D1231" s="95" t="n">
        <v>45820</v>
      </c>
      <c r="E1231" s="92" t="inlineStr">
        <is>
          <t>KR</t>
        </is>
      </c>
      <c r="F1231" s="92" t="n">
        <v>62902000</v>
      </c>
      <c r="G1231" s="92" t="n">
        <v>1801</v>
      </c>
      <c r="H1231" s="93" t="n">
        <v>1766000</v>
      </c>
      <c r="I1231" s="92" t="inlineStr">
        <is>
          <t>6월 콜 위탁 수수료(건별)</t>
        </is>
      </c>
      <c r="J1231" s="92" t="inlineStr">
        <is>
          <t>V10016</t>
        </is>
      </c>
      <c r="K1231" s="92" t="inlineStr">
        <is>
          <t>J콜센터</t>
        </is>
      </c>
      <c r="M1231" s="9">
        <f>IF($A1231="","",VALUE($A1231&amp;"")*12+VALUE($B1231&amp;""))</f>
        <v/>
      </c>
      <c r="N1231" s="64">
        <f>IF($A1231="","",IFERROR(INDEX(부서매핑!$C$5:$C$504,MATCH($G1231&amp;"",부서매핑!$A$5:$A$504,0)),"미매핑"))</f>
        <v/>
      </c>
      <c r="O1231" s="9">
        <f>IF($A1231="","",N1231&amp;"|"&amp;$F1231)</f>
        <v/>
      </c>
      <c r="P1231" s="94">
        <f>IF($A1231="",0,$H1231*설정!$C$23)</f>
        <v/>
      </c>
      <c r="Q1231" s="64">
        <f>IF($A1231="","",IF(O1231&lt;&gt;원인분석!$C$9,"",IF(AND(M1231&gt;=원인분석!$C$10,M1231&lt;=원인분석!$C$11),"당기",IF(AND(M1231&gt;=원인분석!$C$12,M1231&lt;=원인분석!$C$13),"비교",""))))</f>
        <v/>
      </c>
      <c r="R1231" s="9">
        <f>IF(Q1231="","",$K1231&amp;"")</f>
        <v/>
      </c>
      <c r="S1231" s="9">
        <f>IF(Q1231="","",IF(MATCH(R1231,$R$5:$R$100000,0)=ROW()-4,ROW(),""))</f>
        <v/>
      </c>
      <c r="T1231" s="9">
        <f>IF(Q1231="당기",ABS(P1231)+ROW()/1000000000,"")</f>
        <v/>
      </c>
      <c r="U1231" s="9">
        <f>IF(Q1231="비교",ABS(P1231)+ROW()/1000000000,"")</f>
        <v/>
      </c>
      <c r="V1231" s="64">
        <f>IF($A1231="","",IF(COUNTIF(변동분석!$E$7:$E$506,O1231)&gt;0,"Y","N"))</f>
        <v/>
      </c>
      <c r="W1231" s="64">
        <f>IF($A1231="","",IFERROR(INDEX(계정매핑!$D$5:$D$504,MATCH($F1231&amp;"",계정매핑!$A$5:$A$504,0)),"미매핑"))</f>
        <v/>
      </c>
      <c r="X1231" s="9">
        <f>IF($A1231="","",$F1231&amp;"")</f>
        <v/>
      </c>
      <c r="Y1231" s="94">
        <f>IF($A1231="",0,IF(AE1231="직접",IF(AF1231="비귀속",$P1231,0),$P1231*(1-AG1231)*IFERROR(INDEX(계정대체기준!$F$20:$F$49,MATCH($N1231,계정대체기준!$A$20:$A$49,0)),1)))</f>
        <v/>
      </c>
      <c r="Z1231" s="94">
        <f>IF($A1231="",0,IF(AE1231="직접",IF(AF1231="신계약비",$P1231,0),$P1231*(1-AG1231)*IFERROR(INDEX(계정대체기준!$C$20:$C$49,MATCH($N1231,계정대체기준!$A$20:$A$49,0)),0)))</f>
        <v/>
      </c>
      <c r="AA1231" s="94">
        <f>IF($A1231="",0,IF(AE1231="직접",IF(OR(AF1231="유지비",AF1231="손해조사비"),$P1231,0),$P1231*(1-AG1231)*IFERROR(INDEX(계정대체기준!$D$20:$D$49,MATCH($N1231,계정대체기준!$A$20:$A$49,0)),0)))</f>
        <v/>
      </c>
      <c r="AB1231" s="94">
        <f>IF($A1231="",0,IF(AE1231="직접",IF(AF1231="수금비",$P1231,0),$P1231*(1-AG1231)*IFERROR(INDEX(계정대체기준!$E$20:$E$49,MATCH($N1231,계정대체기준!$A$20:$A$49,0)),0)))</f>
        <v/>
      </c>
      <c r="AC1231" s="9">
        <f>IF(AND($A1231&lt;&gt;"",M1231=설정!$C$20,Z1231&gt;0),Z1231+ROW()/1000000000,"")</f>
        <v/>
      </c>
      <c r="AD1231" s="94">
        <f>IF($A1231="",0,$P1231*AG1231)</f>
        <v/>
      </c>
      <c r="AE1231" s="64">
        <f>IF($A1231="","",IFERROR(INDEX(계정매핑!$E$5:$E$504,MATCH($F1231&amp;"",계정매핑!$A$5:$A$504,0))&amp;"","공통비"))</f>
        <v/>
      </c>
      <c r="AF1231" s="64">
        <f>IF($A1231="","",IF(AE1231="직접",IFERROR(INDEX(계정매핑!$F$5:$F$504,MATCH($F1231&amp;"",계정매핑!$A$5:$A$504,0))&amp;"","비귀속"),""))</f>
        <v/>
      </c>
      <c r="AG1231" s="96">
        <f>IF($A1231="",0,IF(AND(AE1231&lt;&gt;"직접",IFERROR(INDEX(계정매핑!$G$5:$G$504,MATCH($F1231&amp;"",계정매핑!$A$5:$A$504,0))&amp;"","")="유지비",COUNTIF(계정대체기준!$A$6:$A$15,$N1231)&gt;0),IFERROR(INDEX(계정대체기준!$E$6:$E$15,MATCH(VALUE($A1231&amp;""),계정대체기준!$D$6:$D$15,0)),0),0))</f>
        <v/>
      </c>
      <c r="AH1231" s="64">
        <f>IF($A1231="","",IF(AD1231=0,"",IF(OR(COUNTIF(계정대체기준!$A$77:$A$86,$N1231)&gt;0,ISNUMBER(MATCH($X1231,계정대체기준!$D$77:$D$86,0)),ISNUMBER(MATCH($F1231,계정대체기준!$D$77:$D$86,0))),"Y","N")))</f>
        <v/>
      </c>
    </row>
    <row r="1232">
      <c r="A1232" s="92" t="n">
        <v>2025</v>
      </c>
      <c r="B1232" s="92" t="n">
        <v>6</v>
      </c>
      <c r="C1232" s="92" t="inlineStr">
        <is>
          <t>5100001228</t>
        </is>
      </c>
      <c r="D1232" s="95" t="n">
        <v>45820</v>
      </c>
      <c r="E1232" s="92" t="inlineStr">
        <is>
          <t>KR</t>
        </is>
      </c>
      <c r="F1232" s="92" t="n">
        <v>63002000</v>
      </c>
      <c r="G1232" s="92" t="n">
        <v>1951</v>
      </c>
      <c r="H1232" s="93" t="n">
        <v>7821000</v>
      </c>
      <c r="I1232" s="92" t="inlineStr">
        <is>
          <t>6월 클라우드 사용료 - C클라우드</t>
        </is>
      </c>
      <c r="J1232" s="92" t="inlineStr">
        <is>
          <t>V10026</t>
        </is>
      </c>
      <c r="K1232" s="92" t="inlineStr">
        <is>
          <t>C클라우드</t>
        </is>
      </c>
      <c r="M1232" s="9">
        <f>IF($A1232="","",VALUE($A1232&amp;"")*12+VALUE($B1232&amp;""))</f>
        <v/>
      </c>
      <c r="N1232" s="64">
        <f>IF($A1232="","",IFERROR(INDEX(부서매핑!$C$5:$C$504,MATCH($G1232&amp;"",부서매핑!$A$5:$A$504,0)),"미매핑"))</f>
        <v/>
      </c>
      <c r="O1232" s="9">
        <f>IF($A1232="","",N1232&amp;"|"&amp;$F1232)</f>
        <v/>
      </c>
      <c r="P1232" s="94">
        <f>IF($A1232="",0,$H1232*설정!$C$23)</f>
        <v/>
      </c>
      <c r="Q1232" s="64">
        <f>IF($A1232="","",IF(O1232&lt;&gt;원인분석!$C$9,"",IF(AND(M1232&gt;=원인분석!$C$10,M1232&lt;=원인분석!$C$11),"당기",IF(AND(M1232&gt;=원인분석!$C$12,M1232&lt;=원인분석!$C$13),"비교",""))))</f>
        <v/>
      </c>
      <c r="R1232" s="9">
        <f>IF(Q1232="","",$K1232&amp;"")</f>
        <v/>
      </c>
      <c r="S1232" s="9">
        <f>IF(Q1232="","",IF(MATCH(R1232,$R$5:$R$100000,0)=ROW()-4,ROW(),""))</f>
        <v/>
      </c>
      <c r="T1232" s="9">
        <f>IF(Q1232="당기",ABS(P1232)+ROW()/1000000000,"")</f>
        <v/>
      </c>
      <c r="U1232" s="9">
        <f>IF(Q1232="비교",ABS(P1232)+ROW()/1000000000,"")</f>
        <v/>
      </c>
      <c r="V1232" s="64">
        <f>IF($A1232="","",IF(COUNTIF(변동분석!$E$7:$E$506,O1232)&gt;0,"Y","N"))</f>
        <v/>
      </c>
      <c r="W1232" s="64">
        <f>IF($A1232="","",IFERROR(INDEX(계정매핑!$D$5:$D$504,MATCH($F1232&amp;"",계정매핑!$A$5:$A$504,0)),"미매핑"))</f>
        <v/>
      </c>
      <c r="X1232" s="9">
        <f>IF($A1232="","",$F1232&amp;"")</f>
        <v/>
      </c>
      <c r="Y1232" s="94">
        <f>IF($A1232="",0,IF(AE1232="직접",IF(AF1232="비귀속",$P1232,0),$P1232*(1-AG1232)*IFERROR(INDEX(계정대체기준!$F$20:$F$49,MATCH($N1232,계정대체기준!$A$20:$A$49,0)),1)))</f>
        <v/>
      </c>
      <c r="Z1232" s="94">
        <f>IF($A1232="",0,IF(AE1232="직접",IF(AF1232="신계약비",$P1232,0),$P1232*(1-AG1232)*IFERROR(INDEX(계정대체기준!$C$20:$C$49,MATCH($N1232,계정대체기준!$A$20:$A$49,0)),0)))</f>
        <v/>
      </c>
      <c r="AA1232" s="94">
        <f>IF($A1232="",0,IF(AE1232="직접",IF(OR(AF1232="유지비",AF1232="손해조사비"),$P1232,0),$P1232*(1-AG1232)*IFERROR(INDEX(계정대체기준!$D$20:$D$49,MATCH($N1232,계정대체기준!$A$20:$A$49,0)),0)))</f>
        <v/>
      </c>
      <c r="AB1232" s="94">
        <f>IF($A1232="",0,IF(AE1232="직접",IF(AF1232="수금비",$P1232,0),$P1232*(1-AG1232)*IFERROR(INDEX(계정대체기준!$E$20:$E$49,MATCH($N1232,계정대체기준!$A$20:$A$49,0)),0)))</f>
        <v/>
      </c>
      <c r="AC1232" s="9">
        <f>IF(AND($A1232&lt;&gt;"",M1232=설정!$C$20,Z1232&gt;0),Z1232+ROW()/1000000000,"")</f>
        <v/>
      </c>
      <c r="AD1232" s="94">
        <f>IF($A1232="",0,$P1232*AG1232)</f>
        <v/>
      </c>
      <c r="AE1232" s="64">
        <f>IF($A1232="","",IFERROR(INDEX(계정매핑!$E$5:$E$504,MATCH($F1232&amp;"",계정매핑!$A$5:$A$504,0))&amp;"","공통비"))</f>
        <v/>
      </c>
      <c r="AF1232" s="64">
        <f>IF($A1232="","",IF(AE1232="직접",IFERROR(INDEX(계정매핑!$F$5:$F$504,MATCH($F1232&amp;"",계정매핑!$A$5:$A$504,0))&amp;"","비귀속"),""))</f>
        <v/>
      </c>
      <c r="AG1232" s="96">
        <f>IF($A1232="",0,IF(AND(AE1232&lt;&gt;"직접",IFERROR(INDEX(계정매핑!$G$5:$G$504,MATCH($F1232&amp;"",계정매핑!$A$5:$A$504,0))&amp;"","")="유지비",COUNTIF(계정대체기준!$A$6:$A$15,$N1232)&gt;0),IFERROR(INDEX(계정대체기준!$E$6:$E$15,MATCH(VALUE($A1232&amp;""),계정대체기준!$D$6:$D$15,0)),0),0))</f>
        <v/>
      </c>
      <c r="AH1232" s="64">
        <f>IF($A1232="","",IF(AD1232=0,"",IF(OR(COUNTIF(계정대체기준!$A$77:$A$86,$N1232)&gt;0,ISNUMBER(MATCH($X1232,계정대체기준!$D$77:$D$86,0)),ISNUMBER(MATCH($F1232,계정대체기준!$D$77:$D$86,0))),"Y","N")))</f>
        <v/>
      </c>
    </row>
    <row r="1233">
      <c r="A1233" s="92" t="n">
        <v>2025</v>
      </c>
      <c r="B1233" s="92" t="n">
        <v>6</v>
      </c>
      <c r="C1233" s="92" t="inlineStr">
        <is>
          <t>5100001229</t>
        </is>
      </c>
      <c r="D1233" s="95" t="n">
        <v>45821</v>
      </c>
      <c r="E1233" s="92" t="inlineStr">
        <is>
          <t>KR</t>
        </is>
      </c>
      <c r="F1233" s="92" t="n">
        <v>62102000</v>
      </c>
      <c r="G1233" s="92" t="n">
        <v>1301</v>
      </c>
      <c r="H1233" s="93" t="n">
        <v>62000</v>
      </c>
      <c r="I1233" s="92" t="inlineStr">
        <is>
          <t>6월 해외출장 - M항공</t>
        </is>
      </c>
      <c r="J1233" s="92" t="inlineStr">
        <is>
          <t>V10001</t>
        </is>
      </c>
      <c r="K1233" s="92" t="inlineStr">
        <is>
          <t>M항공</t>
        </is>
      </c>
      <c r="M1233" s="9">
        <f>IF($A1233="","",VALUE($A1233&amp;"")*12+VALUE($B1233&amp;""))</f>
        <v/>
      </c>
      <c r="N1233" s="64">
        <f>IF($A1233="","",IFERROR(INDEX(부서매핑!$C$5:$C$504,MATCH($G1233&amp;"",부서매핑!$A$5:$A$504,0)),"미매핑"))</f>
        <v/>
      </c>
      <c r="O1233" s="9">
        <f>IF($A1233="","",N1233&amp;"|"&amp;$F1233)</f>
        <v/>
      </c>
      <c r="P1233" s="94">
        <f>IF($A1233="",0,$H1233*설정!$C$23)</f>
        <v/>
      </c>
      <c r="Q1233" s="64">
        <f>IF($A1233="","",IF(O1233&lt;&gt;원인분석!$C$9,"",IF(AND(M1233&gt;=원인분석!$C$10,M1233&lt;=원인분석!$C$11),"당기",IF(AND(M1233&gt;=원인분석!$C$12,M1233&lt;=원인분석!$C$13),"비교",""))))</f>
        <v/>
      </c>
      <c r="R1233" s="9">
        <f>IF(Q1233="","",$K1233&amp;"")</f>
        <v/>
      </c>
      <c r="S1233" s="9">
        <f>IF(Q1233="","",IF(MATCH(R1233,$R$5:$R$100000,0)=ROW()-4,ROW(),""))</f>
        <v/>
      </c>
      <c r="T1233" s="9">
        <f>IF(Q1233="당기",ABS(P1233)+ROW()/1000000000,"")</f>
        <v/>
      </c>
      <c r="U1233" s="9">
        <f>IF(Q1233="비교",ABS(P1233)+ROW()/1000000000,"")</f>
        <v/>
      </c>
      <c r="V1233" s="64">
        <f>IF($A1233="","",IF(COUNTIF(변동분석!$E$7:$E$506,O1233)&gt;0,"Y","N"))</f>
        <v/>
      </c>
      <c r="W1233" s="64">
        <f>IF($A1233="","",IFERROR(INDEX(계정매핑!$D$5:$D$504,MATCH($F1233&amp;"",계정매핑!$A$5:$A$504,0)),"미매핑"))</f>
        <v/>
      </c>
      <c r="X1233" s="9">
        <f>IF($A1233="","",$F1233&amp;"")</f>
        <v/>
      </c>
      <c r="Y1233" s="94">
        <f>IF($A1233="",0,IF(AE1233="직접",IF(AF1233="비귀속",$P1233,0),$P1233*(1-AG1233)*IFERROR(INDEX(계정대체기준!$F$20:$F$49,MATCH($N1233,계정대체기준!$A$20:$A$49,0)),1)))</f>
        <v/>
      </c>
      <c r="Z1233" s="94">
        <f>IF($A1233="",0,IF(AE1233="직접",IF(AF1233="신계약비",$P1233,0),$P1233*(1-AG1233)*IFERROR(INDEX(계정대체기준!$C$20:$C$49,MATCH($N1233,계정대체기준!$A$20:$A$49,0)),0)))</f>
        <v/>
      </c>
      <c r="AA1233" s="94">
        <f>IF($A1233="",0,IF(AE1233="직접",IF(OR(AF1233="유지비",AF1233="손해조사비"),$P1233,0),$P1233*(1-AG1233)*IFERROR(INDEX(계정대체기준!$D$20:$D$49,MATCH($N1233,계정대체기준!$A$20:$A$49,0)),0)))</f>
        <v/>
      </c>
      <c r="AB1233" s="94">
        <f>IF($A1233="",0,IF(AE1233="직접",IF(AF1233="수금비",$P1233,0),$P1233*(1-AG1233)*IFERROR(INDEX(계정대체기준!$E$20:$E$49,MATCH($N1233,계정대체기준!$A$20:$A$49,0)),0)))</f>
        <v/>
      </c>
      <c r="AC1233" s="9">
        <f>IF(AND($A1233&lt;&gt;"",M1233=설정!$C$20,Z1233&gt;0),Z1233+ROW()/1000000000,"")</f>
        <v/>
      </c>
      <c r="AD1233" s="94">
        <f>IF($A1233="",0,$P1233*AG1233)</f>
        <v/>
      </c>
      <c r="AE1233" s="64">
        <f>IF($A1233="","",IFERROR(INDEX(계정매핑!$E$5:$E$504,MATCH($F1233&amp;"",계정매핑!$A$5:$A$504,0))&amp;"","공통비"))</f>
        <v/>
      </c>
      <c r="AF1233" s="64">
        <f>IF($A1233="","",IF(AE1233="직접",IFERROR(INDEX(계정매핑!$F$5:$F$504,MATCH($F1233&amp;"",계정매핑!$A$5:$A$504,0))&amp;"","비귀속"),""))</f>
        <v/>
      </c>
      <c r="AG1233" s="96">
        <f>IF($A1233="",0,IF(AND(AE1233&lt;&gt;"직접",IFERROR(INDEX(계정매핑!$G$5:$G$504,MATCH($F1233&amp;"",계정매핑!$A$5:$A$504,0))&amp;"","")="유지비",COUNTIF(계정대체기준!$A$6:$A$15,$N1233)&gt;0),IFERROR(INDEX(계정대체기준!$E$6:$E$15,MATCH(VALUE($A1233&amp;""),계정대체기준!$D$6:$D$15,0)),0),0))</f>
        <v/>
      </c>
      <c r="AH1233" s="64">
        <f>IF($A1233="","",IF(AD1233=0,"",IF(OR(COUNTIF(계정대체기준!$A$77:$A$86,$N1233)&gt;0,ISNUMBER(MATCH($X1233,계정대체기준!$D$77:$D$86,0)),ISNUMBER(MATCH($F1233,계정대체기준!$D$77:$D$86,0))),"Y","N")))</f>
        <v/>
      </c>
    </row>
    <row r="1234">
      <c r="A1234" s="92" t="n">
        <v>2025</v>
      </c>
      <c r="B1234" s="92" t="n">
        <v>6</v>
      </c>
      <c r="C1234" s="92" t="inlineStr">
        <is>
          <t>5100001230</t>
        </is>
      </c>
      <c r="D1234" s="95" t="n">
        <v>45821</v>
      </c>
      <c r="E1234" s="92" t="inlineStr">
        <is>
          <t>KR</t>
        </is>
      </c>
      <c r="F1234" s="92" t="n">
        <v>62102000</v>
      </c>
      <c r="G1234" s="92" t="n">
        <v>1701</v>
      </c>
      <c r="H1234" s="93" t="n">
        <v>51000</v>
      </c>
      <c r="I1234" s="92" t="inlineStr">
        <is>
          <t>6월 해외출장 - M항공</t>
        </is>
      </c>
      <c r="J1234" s="92" t="inlineStr">
        <is>
          <t>V10001</t>
        </is>
      </c>
      <c r="K1234" s="92" t="inlineStr">
        <is>
          <t>M항공</t>
        </is>
      </c>
      <c r="M1234" s="9">
        <f>IF($A1234="","",VALUE($A1234&amp;"")*12+VALUE($B1234&amp;""))</f>
        <v/>
      </c>
      <c r="N1234" s="64">
        <f>IF($A1234="","",IFERROR(INDEX(부서매핑!$C$5:$C$504,MATCH($G1234&amp;"",부서매핑!$A$5:$A$504,0)),"미매핑"))</f>
        <v/>
      </c>
      <c r="O1234" s="9">
        <f>IF($A1234="","",N1234&amp;"|"&amp;$F1234)</f>
        <v/>
      </c>
      <c r="P1234" s="94">
        <f>IF($A1234="",0,$H1234*설정!$C$23)</f>
        <v/>
      </c>
      <c r="Q1234" s="64">
        <f>IF($A1234="","",IF(O1234&lt;&gt;원인분석!$C$9,"",IF(AND(M1234&gt;=원인분석!$C$10,M1234&lt;=원인분석!$C$11),"당기",IF(AND(M1234&gt;=원인분석!$C$12,M1234&lt;=원인분석!$C$13),"비교",""))))</f>
        <v/>
      </c>
      <c r="R1234" s="9">
        <f>IF(Q1234="","",$K1234&amp;"")</f>
        <v/>
      </c>
      <c r="S1234" s="9">
        <f>IF(Q1234="","",IF(MATCH(R1234,$R$5:$R$100000,0)=ROW()-4,ROW(),""))</f>
        <v/>
      </c>
      <c r="T1234" s="9">
        <f>IF(Q1234="당기",ABS(P1234)+ROW()/1000000000,"")</f>
        <v/>
      </c>
      <c r="U1234" s="9">
        <f>IF(Q1234="비교",ABS(P1234)+ROW()/1000000000,"")</f>
        <v/>
      </c>
      <c r="V1234" s="64">
        <f>IF($A1234="","",IF(COUNTIF(변동분석!$E$7:$E$506,O1234)&gt;0,"Y","N"))</f>
        <v/>
      </c>
      <c r="W1234" s="64">
        <f>IF($A1234="","",IFERROR(INDEX(계정매핑!$D$5:$D$504,MATCH($F1234&amp;"",계정매핑!$A$5:$A$504,0)),"미매핑"))</f>
        <v/>
      </c>
      <c r="X1234" s="9">
        <f>IF($A1234="","",$F1234&amp;"")</f>
        <v/>
      </c>
      <c r="Y1234" s="94">
        <f>IF($A1234="",0,IF(AE1234="직접",IF(AF1234="비귀속",$P1234,0),$P1234*(1-AG1234)*IFERROR(INDEX(계정대체기준!$F$20:$F$49,MATCH($N1234,계정대체기준!$A$20:$A$49,0)),1)))</f>
        <v/>
      </c>
      <c r="Z1234" s="94">
        <f>IF($A1234="",0,IF(AE1234="직접",IF(AF1234="신계약비",$P1234,0),$P1234*(1-AG1234)*IFERROR(INDEX(계정대체기준!$C$20:$C$49,MATCH($N1234,계정대체기준!$A$20:$A$49,0)),0)))</f>
        <v/>
      </c>
      <c r="AA1234" s="94">
        <f>IF($A1234="",0,IF(AE1234="직접",IF(OR(AF1234="유지비",AF1234="손해조사비"),$P1234,0),$P1234*(1-AG1234)*IFERROR(INDEX(계정대체기준!$D$20:$D$49,MATCH($N1234,계정대체기준!$A$20:$A$49,0)),0)))</f>
        <v/>
      </c>
      <c r="AB1234" s="94">
        <f>IF($A1234="",0,IF(AE1234="직접",IF(AF1234="수금비",$P1234,0),$P1234*(1-AG1234)*IFERROR(INDEX(계정대체기준!$E$20:$E$49,MATCH($N1234,계정대체기준!$A$20:$A$49,0)),0)))</f>
        <v/>
      </c>
      <c r="AC1234" s="9">
        <f>IF(AND($A1234&lt;&gt;"",M1234=설정!$C$20,Z1234&gt;0),Z1234+ROW()/1000000000,"")</f>
        <v/>
      </c>
      <c r="AD1234" s="94">
        <f>IF($A1234="",0,$P1234*AG1234)</f>
        <v/>
      </c>
      <c r="AE1234" s="64">
        <f>IF($A1234="","",IFERROR(INDEX(계정매핑!$E$5:$E$504,MATCH($F1234&amp;"",계정매핑!$A$5:$A$504,0))&amp;"","공통비"))</f>
        <v/>
      </c>
      <c r="AF1234" s="64">
        <f>IF($A1234="","",IF(AE1234="직접",IFERROR(INDEX(계정매핑!$F$5:$F$504,MATCH($F1234&amp;"",계정매핑!$A$5:$A$504,0))&amp;"","비귀속"),""))</f>
        <v/>
      </c>
      <c r="AG1234" s="96">
        <f>IF($A1234="",0,IF(AND(AE1234&lt;&gt;"직접",IFERROR(INDEX(계정매핑!$G$5:$G$504,MATCH($F1234&amp;"",계정매핑!$A$5:$A$504,0))&amp;"","")="유지비",COUNTIF(계정대체기준!$A$6:$A$15,$N1234)&gt;0),IFERROR(INDEX(계정대체기준!$E$6:$E$15,MATCH(VALUE($A1234&amp;""),계정대체기준!$D$6:$D$15,0)),0),0))</f>
        <v/>
      </c>
      <c r="AH1234" s="64">
        <f>IF($A1234="","",IF(AD1234=0,"",IF(OR(COUNTIF(계정대체기준!$A$77:$A$86,$N1234)&gt;0,ISNUMBER(MATCH($X1234,계정대체기준!$D$77:$D$86,0)),ISNUMBER(MATCH($F1234,계정대체기준!$D$77:$D$86,0))),"Y","N")))</f>
        <v/>
      </c>
    </row>
    <row r="1235">
      <c r="A1235" s="92" t="n">
        <v>2025</v>
      </c>
      <c r="B1235" s="92" t="n">
        <v>6</v>
      </c>
      <c r="C1235" s="92" t="inlineStr">
        <is>
          <t>5100001231</t>
        </is>
      </c>
      <c r="D1235" s="95" t="n">
        <v>45821</v>
      </c>
      <c r="E1235" s="92" t="inlineStr">
        <is>
          <t>KR</t>
        </is>
      </c>
      <c r="F1235" s="92" t="n">
        <v>62201000</v>
      </c>
      <c r="G1235" s="92" t="n">
        <v>1501</v>
      </c>
      <c r="H1235" s="93" t="n">
        <v>341000</v>
      </c>
      <c r="I1235" s="92" t="inlineStr">
        <is>
          <t>6월 통신요금 - O텔레콤</t>
        </is>
      </c>
      <c r="J1235" s="92" t="inlineStr">
        <is>
          <t>V10002</t>
        </is>
      </c>
      <c r="K1235" s="92" t="inlineStr">
        <is>
          <t>O텔레콤</t>
        </is>
      </c>
      <c r="M1235" s="9">
        <f>IF($A1235="","",VALUE($A1235&amp;"")*12+VALUE($B1235&amp;""))</f>
        <v/>
      </c>
      <c r="N1235" s="64">
        <f>IF($A1235="","",IFERROR(INDEX(부서매핑!$C$5:$C$504,MATCH($G1235&amp;"",부서매핑!$A$5:$A$504,0)),"미매핑"))</f>
        <v/>
      </c>
      <c r="O1235" s="9">
        <f>IF($A1235="","",N1235&amp;"|"&amp;$F1235)</f>
        <v/>
      </c>
      <c r="P1235" s="94">
        <f>IF($A1235="",0,$H1235*설정!$C$23)</f>
        <v/>
      </c>
      <c r="Q1235" s="64">
        <f>IF($A1235="","",IF(O1235&lt;&gt;원인분석!$C$9,"",IF(AND(M1235&gt;=원인분석!$C$10,M1235&lt;=원인분석!$C$11),"당기",IF(AND(M1235&gt;=원인분석!$C$12,M1235&lt;=원인분석!$C$13),"비교",""))))</f>
        <v/>
      </c>
      <c r="R1235" s="9">
        <f>IF(Q1235="","",$K1235&amp;"")</f>
        <v/>
      </c>
      <c r="S1235" s="9">
        <f>IF(Q1235="","",IF(MATCH(R1235,$R$5:$R$100000,0)=ROW()-4,ROW(),""))</f>
        <v/>
      </c>
      <c r="T1235" s="9">
        <f>IF(Q1235="당기",ABS(P1235)+ROW()/1000000000,"")</f>
        <v/>
      </c>
      <c r="U1235" s="9">
        <f>IF(Q1235="비교",ABS(P1235)+ROW()/1000000000,"")</f>
        <v/>
      </c>
      <c r="V1235" s="64">
        <f>IF($A1235="","",IF(COUNTIF(변동분석!$E$7:$E$506,O1235)&gt;0,"Y","N"))</f>
        <v/>
      </c>
      <c r="W1235" s="64">
        <f>IF($A1235="","",IFERROR(INDEX(계정매핑!$D$5:$D$504,MATCH($F1235&amp;"",계정매핑!$A$5:$A$504,0)),"미매핑"))</f>
        <v/>
      </c>
      <c r="X1235" s="9">
        <f>IF($A1235="","",$F1235&amp;"")</f>
        <v/>
      </c>
      <c r="Y1235" s="94">
        <f>IF($A1235="",0,IF(AE1235="직접",IF(AF1235="비귀속",$P1235,0),$P1235*(1-AG1235)*IFERROR(INDEX(계정대체기준!$F$20:$F$49,MATCH($N1235,계정대체기준!$A$20:$A$49,0)),1)))</f>
        <v/>
      </c>
      <c r="Z1235" s="94">
        <f>IF($A1235="",0,IF(AE1235="직접",IF(AF1235="신계약비",$P1235,0),$P1235*(1-AG1235)*IFERROR(INDEX(계정대체기준!$C$20:$C$49,MATCH($N1235,계정대체기준!$A$20:$A$49,0)),0)))</f>
        <v/>
      </c>
      <c r="AA1235" s="94">
        <f>IF($A1235="",0,IF(AE1235="직접",IF(OR(AF1235="유지비",AF1235="손해조사비"),$P1235,0),$P1235*(1-AG1235)*IFERROR(INDEX(계정대체기준!$D$20:$D$49,MATCH($N1235,계정대체기준!$A$20:$A$49,0)),0)))</f>
        <v/>
      </c>
      <c r="AB1235" s="94">
        <f>IF($A1235="",0,IF(AE1235="직접",IF(AF1235="수금비",$P1235,0),$P1235*(1-AG1235)*IFERROR(INDEX(계정대체기준!$E$20:$E$49,MATCH($N1235,계정대체기준!$A$20:$A$49,0)),0)))</f>
        <v/>
      </c>
      <c r="AC1235" s="9">
        <f>IF(AND($A1235&lt;&gt;"",M1235=설정!$C$20,Z1235&gt;0),Z1235+ROW()/1000000000,"")</f>
        <v/>
      </c>
      <c r="AD1235" s="94">
        <f>IF($A1235="",0,$P1235*AG1235)</f>
        <v/>
      </c>
      <c r="AE1235" s="64">
        <f>IF($A1235="","",IFERROR(INDEX(계정매핑!$E$5:$E$504,MATCH($F1235&amp;"",계정매핑!$A$5:$A$504,0))&amp;"","공통비"))</f>
        <v/>
      </c>
      <c r="AF1235" s="64">
        <f>IF($A1235="","",IF(AE1235="직접",IFERROR(INDEX(계정매핑!$F$5:$F$504,MATCH($F1235&amp;"",계정매핑!$A$5:$A$504,0))&amp;"","비귀속"),""))</f>
        <v/>
      </c>
      <c r="AG1235" s="96">
        <f>IF($A1235="",0,IF(AND(AE1235&lt;&gt;"직접",IFERROR(INDEX(계정매핑!$G$5:$G$504,MATCH($F1235&amp;"",계정매핑!$A$5:$A$504,0))&amp;"","")="유지비",COUNTIF(계정대체기준!$A$6:$A$15,$N1235)&gt;0),IFERROR(INDEX(계정대체기준!$E$6:$E$15,MATCH(VALUE($A1235&amp;""),계정대체기준!$D$6:$D$15,0)),0),0))</f>
        <v/>
      </c>
      <c r="AH1235" s="64">
        <f>IF($A1235="","",IF(AD1235=0,"",IF(OR(COUNTIF(계정대체기준!$A$77:$A$86,$N1235)&gt;0,ISNUMBER(MATCH($X1235,계정대체기준!$D$77:$D$86,0)),ISNUMBER(MATCH($F1235,계정대체기준!$D$77:$D$86,0))),"Y","N")))</f>
        <v/>
      </c>
    </row>
    <row r="1236">
      <c r="A1236" s="92" t="n">
        <v>2025</v>
      </c>
      <c r="B1236" s="92" t="n">
        <v>6</v>
      </c>
      <c r="C1236" s="92" t="inlineStr">
        <is>
          <t>5100001232</t>
        </is>
      </c>
      <c r="D1236" s="95" t="n">
        <v>45821</v>
      </c>
      <c r="E1236" s="92" t="inlineStr">
        <is>
          <t>KR</t>
        </is>
      </c>
      <c r="F1236" s="92" t="n">
        <v>62401000</v>
      </c>
      <c r="G1236" s="92" t="n">
        <v>1502</v>
      </c>
      <c r="H1236" s="93" t="n">
        <v>1998000</v>
      </c>
      <c r="I1236" s="92" t="inlineStr">
        <is>
          <t>6월 인쇄물 제작 - G인쇄</t>
        </is>
      </c>
      <c r="J1236" s="92" t="inlineStr">
        <is>
          <t>V10004</t>
        </is>
      </c>
      <c r="K1236" s="92" t="inlineStr">
        <is>
          <t>G인쇄</t>
        </is>
      </c>
      <c r="M1236" s="9">
        <f>IF($A1236="","",VALUE($A1236&amp;"")*12+VALUE($B1236&amp;""))</f>
        <v/>
      </c>
      <c r="N1236" s="64">
        <f>IF($A1236="","",IFERROR(INDEX(부서매핑!$C$5:$C$504,MATCH($G1236&amp;"",부서매핑!$A$5:$A$504,0)),"미매핑"))</f>
        <v/>
      </c>
      <c r="O1236" s="9">
        <f>IF($A1236="","",N1236&amp;"|"&amp;$F1236)</f>
        <v/>
      </c>
      <c r="P1236" s="94">
        <f>IF($A1236="",0,$H1236*설정!$C$23)</f>
        <v/>
      </c>
      <c r="Q1236" s="64">
        <f>IF($A1236="","",IF(O1236&lt;&gt;원인분석!$C$9,"",IF(AND(M1236&gt;=원인분석!$C$10,M1236&lt;=원인분석!$C$11),"당기",IF(AND(M1236&gt;=원인분석!$C$12,M1236&lt;=원인분석!$C$13),"비교",""))))</f>
        <v/>
      </c>
      <c r="R1236" s="9">
        <f>IF(Q1236="","",$K1236&amp;"")</f>
        <v/>
      </c>
      <c r="S1236" s="9">
        <f>IF(Q1236="","",IF(MATCH(R1236,$R$5:$R$100000,0)=ROW()-4,ROW(),""))</f>
        <v/>
      </c>
      <c r="T1236" s="9">
        <f>IF(Q1236="당기",ABS(P1236)+ROW()/1000000000,"")</f>
        <v/>
      </c>
      <c r="U1236" s="9">
        <f>IF(Q1236="비교",ABS(P1236)+ROW()/1000000000,"")</f>
        <v/>
      </c>
      <c r="V1236" s="64">
        <f>IF($A1236="","",IF(COUNTIF(변동분석!$E$7:$E$506,O1236)&gt;0,"Y","N"))</f>
        <v/>
      </c>
      <c r="W1236" s="64">
        <f>IF($A1236="","",IFERROR(INDEX(계정매핑!$D$5:$D$504,MATCH($F1236&amp;"",계정매핑!$A$5:$A$504,0)),"미매핑"))</f>
        <v/>
      </c>
      <c r="X1236" s="9">
        <f>IF($A1236="","",$F1236&amp;"")</f>
        <v/>
      </c>
      <c r="Y1236" s="94">
        <f>IF($A1236="",0,IF(AE1236="직접",IF(AF1236="비귀속",$P1236,0),$P1236*(1-AG1236)*IFERROR(INDEX(계정대체기준!$F$20:$F$49,MATCH($N1236,계정대체기준!$A$20:$A$49,0)),1)))</f>
        <v/>
      </c>
      <c r="Z1236" s="94">
        <f>IF($A1236="",0,IF(AE1236="직접",IF(AF1236="신계약비",$P1236,0),$P1236*(1-AG1236)*IFERROR(INDEX(계정대체기준!$C$20:$C$49,MATCH($N1236,계정대체기준!$A$20:$A$49,0)),0)))</f>
        <v/>
      </c>
      <c r="AA1236" s="94">
        <f>IF($A1236="",0,IF(AE1236="직접",IF(OR(AF1236="유지비",AF1236="손해조사비"),$P1236,0),$P1236*(1-AG1236)*IFERROR(INDEX(계정대체기준!$D$20:$D$49,MATCH($N1236,계정대체기준!$A$20:$A$49,0)),0)))</f>
        <v/>
      </c>
      <c r="AB1236" s="94">
        <f>IF($A1236="",0,IF(AE1236="직접",IF(AF1236="수금비",$P1236,0),$P1236*(1-AG1236)*IFERROR(INDEX(계정대체기준!$E$20:$E$49,MATCH($N1236,계정대체기준!$A$20:$A$49,0)),0)))</f>
        <v/>
      </c>
      <c r="AC1236" s="9">
        <f>IF(AND($A1236&lt;&gt;"",M1236=설정!$C$20,Z1236&gt;0),Z1236+ROW()/1000000000,"")</f>
        <v/>
      </c>
      <c r="AD1236" s="94">
        <f>IF($A1236="",0,$P1236*AG1236)</f>
        <v/>
      </c>
      <c r="AE1236" s="64">
        <f>IF($A1236="","",IFERROR(INDEX(계정매핑!$E$5:$E$504,MATCH($F1236&amp;"",계정매핑!$A$5:$A$504,0))&amp;"","공통비"))</f>
        <v/>
      </c>
      <c r="AF1236" s="64">
        <f>IF($A1236="","",IF(AE1236="직접",IFERROR(INDEX(계정매핑!$F$5:$F$504,MATCH($F1236&amp;"",계정매핑!$A$5:$A$504,0))&amp;"","비귀속"),""))</f>
        <v/>
      </c>
      <c r="AG1236" s="96">
        <f>IF($A1236="",0,IF(AND(AE1236&lt;&gt;"직접",IFERROR(INDEX(계정매핑!$G$5:$G$504,MATCH($F1236&amp;"",계정매핑!$A$5:$A$504,0))&amp;"","")="유지비",COUNTIF(계정대체기준!$A$6:$A$15,$N1236)&gt;0),IFERROR(INDEX(계정대체기준!$E$6:$E$15,MATCH(VALUE($A1236&amp;""),계정대체기준!$D$6:$D$15,0)),0),0))</f>
        <v/>
      </c>
      <c r="AH1236" s="64">
        <f>IF($A1236="","",IF(AD1236=0,"",IF(OR(COUNTIF(계정대체기준!$A$77:$A$86,$N1236)&gt;0,ISNUMBER(MATCH($X1236,계정대체기준!$D$77:$D$86,0)),ISNUMBER(MATCH($F1236,계정대체기준!$D$77:$D$86,0))),"Y","N")))</f>
        <v/>
      </c>
    </row>
    <row r="1237">
      <c r="A1237" s="92" t="n">
        <v>2025</v>
      </c>
      <c r="B1237" s="92" t="n">
        <v>6</v>
      </c>
      <c r="C1237" s="92" t="inlineStr">
        <is>
          <t>5100001233</t>
        </is>
      </c>
      <c r="D1237" s="95" t="n">
        <v>45821</v>
      </c>
      <c r="E1237" s="92" t="inlineStr">
        <is>
          <t>KR</t>
        </is>
      </c>
      <c r="F1237" s="92" t="n">
        <v>62801000</v>
      </c>
      <c r="G1237" s="92" t="n">
        <v>1301</v>
      </c>
      <c r="H1237" s="93" t="n">
        <v>5591000</v>
      </c>
      <c r="I1237" s="92" t="inlineStr">
        <is>
          <t>6월 사내교육 - (사내강사료)</t>
        </is>
      </c>
      <c r="J1237" s="92" t="inlineStr">
        <is>
          <t>V10024</t>
        </is>
      </c>
      <c r="K1237" s="92" t="inlineStr">
        <is>
          <t>(사내강사료)</t>
        </is>
      </c>
      <c r="M1237" s="9">
        <f>IF($A1237="","",VALUE($A1237&amp;"")*12+VALUE($B1237&amp;""))</f>
        <v/>
      </c>
      <c r="N1237" s="64">
        <f>IF($A1237="","",IFERROR(INDEX(부서매핑!$C$5:$C$504,MATCH($G1237&amp;"",부서매핑!$A$5:$A$504,0)),"미매핑"))</f>
        <v/>
      </c>
      <c r="O1237" s="9">
        <f>IF($A1237="","",N1237&amp;"|"&amp;$F1237)</f>
        <v/>
      </c>
      <c r="P1237" s="94">
        <f>IF($A1237="",0,$H1237*설정!$C$23)</f>
        <v/>
      </c>
      <c r="Q1237" s="64">
        <f>IF($A1237="","",IF(O1237&lt;&gt;원인분석!$C$9,"",IF(AND(M1237&gt;=원인분석!$C$10,M1237&lt;=원인분석!$C$11),"당기",IF(AND(M1237&gt;=원인분석!$C$12,M1237&lt;=원인분석!$C$13),"비교",""))))</f>
        <v/>
      </c>
      <c r="R1237" s="9">
        <f>IF(Q1237="","",$K1237&amp;"")</f>
        <v/>
      </c>
      <c r="S1237" s="9">
        <f>IF(Q1237="","",IF(MATCH(R1237,$R$5:$R$100000,0)=ROW()-4,ROW(),""))</f>
        <v/>
      </c>
      <c r="T1237" s="9">
        <f>IF(Q1237="당기",ABS(P1237)+ROW()/1000000000,"")</f>
        <v/>
      </c>
      <c r="U1237" s="9">
        <f>IF(Q1237="비교",ABS(P1237)+ROW()/1000000000,"")</f>
        <v/>
      </c>
      <c r="V1237" s="64">
        <f>IF($A1237="","",IF(COUNTIF(변동분석!$E$7:$E$506,O1237)&gt;0,"Y","N"))</f>
        <v/>
      </c>
      <c r="W1237" s="64">
        <f>IF($A1237="","",IFERROR(INDEX(계정매핑!$D$5:$D$504,MATCH($F1237&amp;"",계정매핑!$A$5:$A$504,0)),"미매핑"))</f>
        <v/>
      </c>
      <c r="X1237" s="9">
        <f>IF($A1237="","",$F1237&amp;"")</f>
        <v/>
      </c>
      <c r="Y1237" s="94">
        <f>IF($A1237="",0,IF(AE1237="직접",IF(AF1237="비귀속",$P1237,0),$P1237*(1-AG1237)*IFERROR(INDEX(계정대체기준!$F$20:$F$49,MATCH($N1237,계정대체기준!$A$20:$A$49,0)),1)))</f>
        <v/>
      </c>
      <c r="Z1237" s="94">
        <f>IF($A1237="",0,IF(AE1237="직접",IF(AF1237="신계약비",$P1237,0),$P1237*(1-AG1237)*IFERROR(INDEX(계정대체기준!$C$20:$C$49,MATCH($N1237,계정대체기준!$A$20:$A$49,0)),0)))</f>
        <v/>
      </c>
      <c r="AA1237" s="94">
        <f>IF($A1237="",0,IF(AE1237="직접",IF(OR(AF1237="유지비",AF1237="손해조사비"),$P1237,0),$P1237*(1-AG1237)*IFERROR(INDEX(계정대체기준!$D$20:$D$49,MATCH($N1237,계정대체기준!$A$20:$A$49,0)),0)))</f>
        <v/>
      </c>
      <c r="AB1237" s="94">
        <f>IF($A1237="",0,IF(AE1237="직접",IF(AF1237="수금비",$P1237,0),$P1237*(1-AG1237)*IFERROR(INDEX(계정대체기준!$E$20:$E$49,MATCH($N1237,계정대체기준!$A$20:$A$49,0)),0)))</f>
        <v/>
      </c>
      <c r="AC1237" s="9">
        <f>IF(AND($A1237&lt;&gt;"",M1237=설정!$C$20,Z1237&gt;0),Z1237+ROW()/1000000000,"")</f>
        <v/>
      </c>
      <c r="AD1237" s="94">
        <f>IF($A1237="",0,$P1237*AG1237)</f>
        <v/>
      </c>
      <c r="AE1237" s="64">
        <f>IF($A1237="","",IFERROR(INDEX(계정매핑!$E$5:$E$504,MATCH($F1237&amp;"",계정매핑!$A$5:$A$504,0))&amp;"","공통비"))</f>
        <v/>
      </c>
      <c r="AF1237" s="64">
        <f>IF($A1237="","",IF(AE1237="직접",IFERROR(INDEX(계정매핑!$F$5:$F$504,MATCH($F1237&amp;"",계정매핑!$A$5:$A$504,0))&amp;"","비귀속"),""))</f>
        <v/>
      </c>
      <c r="AG1237" s="96">
        <f>IF($A1237="",0,IF(AND(AE1237&lt;&gt;"직접",IFERROR(INDEX(계정매핑!$G$5:$G$504,MATCH($F1237&amp;"",계정매핑!$A$5:$A$504,0))&amp;"","")="유지비",COUNTIF(계정대체기준!$A$6:$A$15,$N1237)&gt;0),IFERROR(INDEX(계정대체기준!$E$6:$E$15,MATCH(VALUE($A1237&amp;""),계정대체기준!$D$6:$D$15,0)),0),0))</f>
        <v/>
      </c>
      <c r="AH1237" s="64">
        <f>IF($A1237="","",IF(AD1237=0,"",IF(OR(COUNTIF(계정대체기준!$A$77:$A$86,$N1237)&gt;0,ISNUMBER(MATCH($X1237,계정대체기준!$D$77:$D$86,0)),ISNUMBER(MATCH($F1237,계정대체기준!$D$77:$D$86,0))),"Y","N")))</f>
        <v/>
      </c>
    </row>
    <row r="1238">
      <c r="A1238" s="92" t="n">
        <v>2025</v>
      </c>
      <c r="B1238" s="92" t="n">
        <v>6</v>
      </c>
      <c r="C1238" s="92" t="inlineStr">
        <is>
          <t>5100001234</t>
        </is>
      </c>
      <c r="D1238" s="95" t="n">
        <v>45821</v>
      </c>
      <c r="E1238" s="92" t="inlineStr">
        <is>
          <t>KR</t>
        </is>
      </c>
      <c r="F1238" s="92" t="n">
        <v>62901000</v>
      </c>
      <c r="G1238" s="92" t="n">
        <v>1201</v>
      </c>
      <c r="H1238" s="93" t="n">
        <v>5087000</v>
      </c>
      <c r="I1238" s="92" t="inlineStr">
        <is>
          <t>6월 자문 수수료 - K회계법인</t>
        </is>
      </c>
      <c r="J1238" s="92" t="inlineStr">
        <is>
          <t>V10011</t>
        </is>
      </c>
      <c r="K1238" s="92" t="inlineStr">
        <is>
          <t>K회계법인</t>
        </is>
      </c>
      <c r="M1238" s="9">
        <f>IF($A1238="","",VALUE($A1238&amp;"")*12+VALUE($B1238&amp;""))</f>
        <v/>
      </c>
      <c r="N1238" s="64">
        <f>IF($A1238="","",IFERROR(INDEX(부서매핑!$C$5:$C$504,MATCH($G1238&amp;"",부서매핑!$A$5:$A$504,0)),"미매핑"))</f>
        <v/>
      </c>
      <c r="O1238" s="9">
        <f>IF($A1238="","",N1238&amp;"|"&amp;$F1238)</f>
        <v/>
      </c>
      <c r="P1238" s="94">
        <f>IF($A1238="",0,$H1238*설정!$C$23)</f>
        <v/>
      </c>
      <c r="Q1238" s="64">
        <f>IF($A1238="","",IF(O1238&lt;&gt;원인분석!$C$9,"",IF(AND(M1238&gt;=원인분석!$C$10,M1238&lt;=원인분석!$C$11),"당기",IF(AND(M1238&gt;=원인분석!$C$12,M1238&lt;=원인분석!$C$13),"비교",""))))</f>
        <v/>
      </c>
      <c r="R1238" s="9">
        <f>IF(Q1238="","",$K1238&amp;"")</f>
        <v/>
      </c>
      <c r="S1238" s="9">
        <f>IF(Q1238="","",IF(MATCH(R1238,$R$5:$R$100000,0)=ROW()-4,ROW(),""))</f>
        <v/>
      </c>
      <c r="T1238" s="9">
        <f>IF(Q1238="당기",ABS(P1238)+ROW()/1000000000,"")</f>
        <v/>
      </c>
      <c r="U1238" s="9">
        <f>IF(Q1238="비교",ABS(P1238)+ROW()/1000000000,"")</f>
        <v/>
      </c>
      <c r="V1238" s="64">
        <f>IF($A1238="","",IF(COUNTIF(변동분석!$E$7:$E$506,O1238)&gt;0,"Y","N"))</f>
        <v/>
      </c>
      <c r="W1238" s="64">
        <f>IF($A1238="","",IFERROR(INDEX(계정매핑!$D$5:$D$504,MATCH($F1238&amp;"",계정매핑!$A$5:$A$504,0)),"미매핑"))</f>
        <v/>
      </c>
      <c r="X1238" s="9">
        <f>IF($A1238="","",$F1238&amp;"")</f>
        <v/>
      </c>
      <c r="Y1238" s="94">
        <f>IF($A1238="",0,IF(AE1238="직접",IF(AF1238="비귀속",$P1238,0),$P1238*(1-AG1238)*IFERROR(INDEX(계정대체기준!$F$20:$F$49,MATCH($N1238,계정대체기준!$A$20:$A$49,0)),1)))</f>
        <v/>
      </c>
      <c r="Z1238" s="94">
        <f>IF($A1238="",0,IF(AE1238="직접",IF(AF1238="신계약비",$P1238,0),$P1238*(1-AG1238)*IFERROR(INDEX(계정대체기준!$C$20:$C$49,MATCH($N1238,계정대체기준!$A$20:$A$49,0)),0)))</f>
        <v/>
      </c>
      <c r="AA1238" s="94">
        <f>IF($A1238="",0,IF(AE1238="직접",IF(OR(AF1238="유지비",AF1238="손해조사비"),$P1238,0),$P1238*(1-AG1238)*IFERROR(INDEX(계정대체기준!$D$20:$D$49,MATCH($N1238,계정대체기준!$A$20:$A$49,0)),0)))</f>
        <v/>
      </c>
      <c r="AB1238" s="94">
        <f>IF($A1238="",0,IF(AE1238="직접",IF(AF1238="수금비",$P1238,0),$P1238*(1-AG1238)*IFERROR(INDEX(계정대체기준!$E$20:$E$49,MATCH($N1238,계정대체기준!$A$20:$A$49,0)),0)))</f>
        <v/>
      </c>
      <c r="AC1238" s="9">
        <f>IF(AND($A1238&lt;&gt;"",M1238=설정!$C$20,Z1238&gt;0),Z1238+ROW()/1000000000,"")</f>
        <v/>
      </c>
      <c r="AD1238" s="94">
        <f>IF($A1238="",0,$P1238*AG1238)</f>
        <v/>
      </c>
      <c r="AE1238" s="64">
        <f>IF($A1238="","",IFERROR(INDEX(계정매핑!$E$5:$E$504,MATCH($F1238&amp;"",계정매핑!$A$5:$A$504,0))&amp;"","공통비"))</f>
        <v/>
      </c>
      <c r="AF1238" s="64">
        <f>IF($A1238="","",IF(AE1238="직접",IFERROR(INDEX(계정매핑!$F$5:$F$504,MATCH($F1238&amp;"",계정매핑!$A$5:$A$504,0))&amp;"","비귀속"),""))</f>
        <v/>
      </c>
      <c r="AG1238" s="96">
        <f>IF($A1238="",0,IF(AND(AE1238&lt;&gt;"직접",IFERROR(INDEX(계정매핑!$G$5:$G$504,MATCH($F1238&amp;"",계정매핑!$A$5:$A$504,0))&amp;"","")="유지비",COUNTIF(계정대체기준!$A$6:$A$15,$N1238)&gt;0),IFERROR(INDEX(계정대체기준!$E$6:$E$15,MATCH(VALUE($A1238&amp;""),계정대체기준!$D$6:$D$15,0)),0),0))</f>
        <v/>
      </c>
      <c r="AH1238" s="64">
        <f>IF($A1238="","",IF(AD1238=0,"",IF(OR(COUNTIF(계정대체기준!$A$77:$A$86,$N1238)&gt;0,ISNUMBER(MATCH($X1238,계정대체기준!$D$77:$D$86,0)),ISNUMBER(MATCH($F1238,계정대체기준!$D$77:$D$86,0))),"Y","N")))</f>
        <v/>
      </c>
    </row>
    <row r="1239">
      <c r="A1239" s="92" t="n">
        <v>2025</v>
      </c>
      <c r="B1239" s="92" t="n">
        <v>6</v>
      </c>
      <c r="C1239" s="92" t="inlineStr">
        <is>
          <t>5100001235</t>
        </is>
      </c>
      <c r="D1239" s="95" t="n">
        <v>45821</v>
      </c>
      <c r="E1239" s="92" t="inlineStr">
        <is>
          <t>KR</t>
        </is>
      </c>
      <c r="F1239" s="92" t="n">
        <v>62901000</v>
      </c>
      <c r="G1239" s="92" t="n">
        <v>1401</v>
      </c>
      <c r="H1239" s="93" t="n">
        <v>6297000</v>
      </c>
      <c r="I1239" s="92" t="inlineStr">
        <is>
          <t>6월 자문 수수료 - K회계법인</t>
        </is>
      </c>
      <c r="J1239" s="92" t="inlineStr">
        <is>
          <t>V10011</t>
        </is>
      </c>
      <c r="K1239" s="92" t="inlineStr">
        <is>
          <t>K회계법인</t>
        </is>
      </c>
      <c r="M1239" s="9">
        <f>IF($A1239="","",VALUE($A1239&amp;"")*12+VALUE($B1239&amp;""))</f>
        <v/>
      </c>
      <c r="N1239" s="64">
        <f>IF($A1239="","",IFERROR(INDEX(부서매핑!$C$5:$C$504,MATCH($G1239&amp;"",부서매핑!$A$5:$A$504,0)),"미매핑"))</f>
        <v/>
      </c>
      <c r="O1239" s="9">
        <f>IF($A1239="","",N1239&amp;"|"&amp;$F1239)</f>
        <v/>
      </c>
      <c r="P1239" s="94">
        <f>IF($A1239="",0,$H1239*설정!$C$23)</f>
        <v/>
      </c>
      <c r="Q1239" s="64">
        <f>IF($A1239="","",IF(O1239&lt;&gt;원인분석!$C$9,"",IF(AND(M1239&gt;=원인분석!$C$10,M1239&lt;=원인분석!$C$11),"당기",IF(AND(M1239&gt;=원인분석!$C$12,M1239&lt;=원인분석!$C$13),"비교",""))))</f>
        <v/>
      </c>
      <c r="R1239" s="9">
        <f>IF(Q1239="","",$K1239&amp;"")</f>
        <v/>
      </c>
      <c r="S1239" s="9">
        <f>IF(Q1239="","",IF(MATCH(R1239,$R$5:$R$100000,0)=ROW()-4,ROW(),""))</f>
        <v/>
      </c>
      <c r="T1239" s="9">
        <f>IF(Q1239="당기",ABS(P1239)+ROW()/1000000000,"")</f>
        <v/>
      </c>
      <c r="U1239" s="9">
        <f>IF(Q1239="비교",ABS(P1239)+ROW()/1000000000,"")</f>
        <v/>
      </c>
      <c r="V1239" s="64">
        <f>IF($A1239="","",IF(COUNTIF(변동분석!$E$7:$E$506,O1239)&gt;0,"Y","N"))</f>
        <v/>
      </c>
      <c r="W1239" s="64">
        <f>IF($A1239="","",IFERROR(INDEX(계정매핑!$D$5:$D$504,MATCH($F1239&amp;"",계정매핑!$A$5:$A$504,0)),"미매핑"))</f>
        <v/>
      </c>
      <c r="X1239" s="9">
        <f>IF($A1239="","",$F1239&amp;"")</f>
        <v/>
      </c>
      <c r="Y1239" s="94">
        <f>IF($A1239="",0,IF(AE1239="직접",IF(AF1239="비귀속",$P1239,0),$P1239*(1-AG1239)*IFERROR(INDEX(계정대체기준!$F$20:$F$49,MATCH($N1239,계정대체기준!$A$20:$A$49,0)),1)))</f>
        <v/>
      </c>
      <c r="Z1239" s="94">
        <f>IF($A1239="",0,IF(AE1239="직접",IF(AF1239="신계약비",$P1239,0),$P1239*(1-AG1239)*IFERROR(INDEX(계정대체기준!$C$20:$C$49,MATCH($N1239,계정대체기준!$A$20:$A$49,0)),0)))</f>
        <v/>
      </c>
      <c r="AA1239" s="94">
        <f>IF($A1239="",0,IF(AE1239="직접",IF(OR(AF1239="유지비",AF1239="손해조사비"),$P1239,0),$P1239*(1-AG1239)*IFERROR(INDEX(계정대체기준!$D$20:$D$49,MATCH($N1239,계정대체기준!$A$20:$A$49,0)),0)))</f>
        <v/>
      </c>
      <c r="AB1239" s="94">
        <f>IF($A1239="",0,IF(AE1239="직접",IF(AF1239="수금비",$P1239,0),$P1239*(1-AG1239)*IFERROR(INDEX(계정대체기준!$E$20:$E$49,MATCH($N1239,계정대체기준!$A$20:$A$49,0)),0)))</f>
        <v/>
      </c>
      <c r="AC1239" s="9">
        <f>IF(AND($A1239&lt;&gt;"",M1239=설정!$C$20,Z1239&gt;0),Z1239+ROW()/1000000000,"")</f>
        <v/>
      </c>
      <c r="AD1239" s="94">
        <f>IF($A1239="",0,$P1239*AG1239)</f>
        <v/>
      </c>
      <c r="AE1239" s="64">
        <f>IF($A1239="","",IFERROR(INDEX(계정매핑!$E$5:$E$504,MATCH($F1239&amp;"",계정매핑!$A$5:$A$504,0))&amp;"","공통비"))</f>
        <v/>
      </c>
      <c r="AF1239" s="64">
        <f>IF($A1239="","",IF(AE1239="직접",IFERROR(INDEX(계정매핑!$F$5:$F$504,MATCH($F1239&amp;"",계정매핑!$A$5:$A$504,0))&amp;"","비귀속"),""))</f>
        <v/>
      </c>
      <c r="AG1239" s="96">
        <f>IF($A1239="",0,IF(AND(AE1239&lt;&gt;"직접",IFERROR(INDEX(계정매핑!$G$5:$G$504,MATCH($F1239&amp;"",계정매핑!$A$5:$A$504,0))&amp;"","")="유지비",COUNTIF(계정대체기준!$A$6:$A$15,$N1239)&gt;0),IFERROR(INDEX(계정대체기준!$E$6:$E$15,MATCH(VALUE($A1239&amp;""),계정대체기준!$D$6:$D$15,0)),0),0))</f>
        <v/>
      </c>
      <c r="AH1239" s="64">
        <f>IF($A1239="","",IF(AD1239=0,"",IF(OR(COUNTIF(계정대체기준!$A$77:$A$86,$N1239)&gt;0,ISNUMBER(MATCH($X1239,계정대체기준!$D$77:$D$86,0)),ISNUMBER(MATCH($F1239,계정대체기준!$D$77:$D$86,0))),"Y","N")))</f>
        <v/>
      </c>
    </row>
    <row r="1240">
      <c r="A1240" s="92" t="n">
        <v>2025</v>
      </c>
      <c r="B1240" s="92" t="n">
        <v>6</v>
      </c>
      <c r="C1240" s="92" t="inlineStr">
        <is>
          <t>5100001236</t>
        </is>
      </c>
      <c r="D1240" s="95" t="n">
        <v>45821</v>
      </c>
      <c r="E1240" s="92" t="inlineStr">
        <is>
          <t>KR</t>
        </is>
      </c>
      <c r="F1240" s="92" t="n">
        <v>62901000</v>
      </c>
      <c r="G1240" s="92" t="n">
        <v>1801</v>
      </c>
      <c r="H1240" s="93" t="n">
        <v>7440000</v>
      </c>
      <c r="I1240" s="92" t="inlineStr">
        <is>
          <t>6월 자문 수수료 - K회계법인</t>
        </is>
      </c>
      <c r="J1240" s="92" t="inlineStr">
        <is>
          <t>V10011</t>
        </is>
      </c>
      <c r="K1240" s="92" t="inlineStr">
        <is>
          <t>K회계법인</t>
        </is>
      </c>
      <c r="M1240" s="9">
        <f>IF($A1240="","",VALUE($A1240&amp;"")*12+VALUE($B1240&amp;""))</f>
        <v/>
      </c>
      <c r="N1240" s="64">
        <f>IF($A1240="","",IFERROR(INDEX(부서매핑!$C$5:$C$504,MATCH($G1240&amp;"",부서매핑!$A$5:$A$504,0)),"미매핑"))</f>
        <v/>
      </c>
      <c r="O1240" s="9">
        <f>IF($A1240="","",N1240&amp;"|"&amp;$F1240)</f>
        <v/>
      </c>
      <c r="P1240" s="94">
        <f>IF($A1240="",0,$H1240*설정!$C$23)</f>
        <v/>
      </c>
      <c r="Q1240" s="64">
        <f>IF($A1240="","",IF(O1240&lt;&gt;원인분석!$C$9,"",IF(AND(M1240&gt;=원인분석!$C$10,M1240&lt;=원인분석!$C$11),"당기",IF(AND(M1240&gt;=원인분석!$C$12,M1240&lt;=원인분석!$C$13),"비교",""))))</f>
        <v/>
      </c>
      <c r="R1240" s="9">
        <f>IF(Q1240="","",$K1240&amp;"")</f>
        <v/>
      </c>
      <c r="S1240" s="9">
        <f>IF(Q1240="","",IF(MATCH(R1240,$R$5:$R$100000,0)=ROW()-4,ROW(),""))</f>
        <v/>
      </c>
      <c r="T1240" s="9">
        <f>IF(Q1240="당기",ABS(P1240)+ROW()/1000000000,"")</f>
        <v/>
      </c>
      <c r="U1240" s="9">
        <f>IF(Q1240="비교",ABS(P1240)+ROW()/1000000000,"")</f>
        <v/>
      </c>
      <c r="V1240" s="64">
        <f>IF($A1240="","",IF(COUNTIF(변동분석!$E$7:$E$506,O1240)&gt;0,"Y","N"))</f>
        <v/>
      </c>
      <c r="W1240" s="64">
        <f>IF($A1240="","",IFERROR(INDEX(계정매핑!$D$5:$D$504,MATCH($F1240&amp;"",계정매핑!$A$5:$A$504,0)),"미매핑"))</f>
        <v/>
      </c>
      <c r="X1240" s="9">
        <f>IF($A1240="","",$F1240&amp;"")</f>
        <v/>
      </c>
      <c r="Y1240" s="94">
        <f>IF($A1240="",0,IF(AE1240="직접",IF(AF1240="비귀속",$P1240,0),$P1240*(1-AG1240)*IFERROR(INDEX(계정대체기준!$F$20:$F$49,MATCH($N1240,계정대체기준!$A$20:$A$49,0)),1)))</f>
        <v/>
      </c>
      <c r="Z1240" s="94">
        <f>IF($A1240="",0,IF(AE1240="직접",IF(AF1240="신계약비",$P1240,0),$P1240*(1-AG1240)*IFERROR(INDEX(계정대체기준!$C$20:$C$49,MATCH($N1240,계정대체기준!$A$20:$A$49,0)),0)))</f>
        <v/>
      </c>
      <c r="AA1240" s="94">
        <f>IF($A1240="",0,IF(AE1240="직접",IF(OR(AF1240="유지비",AF1240="손해조사비"),$P1240,0),$P1240*(1-AG1240)*IFERROR(INDEX(계정대체기준!$D$20:$D$49,MATCH($N1240,계정대체기준!$A$20:$A$49,0)),0)))</f>
        <v/>
      </c>
      <c r="AB1240" s="94">
        <f>IF($A1240="",0,IF(AE1240="직접",IF(AF1240="수금비",$P1240,0),$P1240*(1-AG1240)*IFERROR(INDEX(계정대체기준!$E$20:$E$49,MATCH($N1240,계정대체기준!$A$20:$A$49,0)),0)))</f>
        <v/>
      </c>
      <c r="AC1240" s="9">
        <f>IF(AND($A1240&lt;&gt;"",M1240=설정!$C$20,Z1240&gt;0),Z1240+ROW()/1000000000,"")</f>
        <v/>
      </c>
      <c r="AD1240" s="94">
        <f>IF($A1240="",0,$P1240*AG1240)</f>
        <v/>
      </c>
      <c r="AE1240" s="64">
        <f>IF($A1240="","",IFERROR(INDEX(계정매핑!$E$5:$E$504,MATCH($F1240&amp;"",계정매핑!$A$5:$A$504,0))&amp;"","공통비"))</f>
        <v/>
      </c>
      <c r="AF1240" s="64">
        <f>IF($A1240="","",IF(AE1240="직접",IFERROR(INDEX(계정매핑!$F$5:$F$504,MATCH($F1240&amp;"",계정매핑!$A$5:$A$504,0))&amp;"","비귀속"),""))</f>
        <v/>
      </c>
      <c r="AG1240" s="96">
        <f>IF($A1240="",0,IF(AND(AE1240&lt;&gt;"직접",IFERROR(INDEX(계정매핑!$G$5:$G$504,MATCH($F1240&amp;"",계정매핑!$A$5:$A$504,0))&amp;"","")="유지비",COUNTIF(계정대체기준!$A$6:$A$15,$N1240)&gt;0),IFERROR(INDEX(계정대체기준!$E$6:$E$15,MATCH(VALUE($A1240&amp;""),계정대체기준!$D$6:$D$15,0)),0),0))</f>
        <v/>
      </c>
      <c r="AH1240" s="64">
        <f>IF($A1240="","",IF(AD1240=0,"",IF(OR(COUNTIF(계정대체기준!$A$77:$A$86,$N1240)&gt;0,ISNUMBER(MATCH($X1240,계정대체기준!$D$77:$D$86,0)),ISNUMBER(MATCH($F1240,계정대체기준!$D$77:$D$86,0))),"Y","N")))</f>
        <v/>
      </c>
    </row>
    <row r="1241">
      <c r="A1241" s="92" t="n">
        <v>2025</v>
      </c>
      <c r="B1241" s="92" t="n">
        <v>6</v>
      </c>
      <c r="C1241" s="92" t="inlineStr">
        <is>
          <t>5100001237</t>
        </is>
      </c>
      <c r="D1241" s="95" t="n">
        <v>45821</v>
      </c>
      <c r="E1241" s="92" t="inlineStr">
        <is>
          <t>KR</t>
        </is>
      </c>
      <c r="F1241" s="92" t="n">
        <v>62901000</v>
      </c>
      <c r="G1241" s="92" t="n">
        <v>1801</v>
      </c>
      <c r="H1241" s="93" t="n">
        <v>11194000</v>
      </c>
      <c r="I1241" s="92" t="inlineStr">
        <is>
          <t>6월 자문 수수료 - W컨설팅</t>
        </is>
      </c>
      <c r="J1241" s="92" t="inlineStr">
        <is>
          <t>V10006</t>
        </is>
      </c>
      <c r="K1241" s="92" t="inlineStr">
        <is>
          <t>W컨설팅</t>
        </is>
      </c>
      <c r="M1241" s="9">
        <f>IF($A1241="","",VALUE($A1241&amp;"")*12+VALUE($B1241&amp;""))</f>
        <v/>
      </c>
      <c r="N1241" s="64">
        <f>IF($A1241="","",IFERROR(INDEX(부서매핑!$C$5:$C$504,MATCH($G1241&amp;"",부서매핑!$A$5:$A$504,0)),"미매핑"))</f>
        <v/>
      </c>
      <c r="O1241" s="9">
        <f>IF($A1241="","",N1241&amp;"|"&amp;$F1241)</f>
        <v/>
      </c>
      <c r="P1241" s="94">
        <f>IF($A1241="",0,$H1241*설정!$C$23)</f>
        <v/>
      </c>
      <c r="Q1241" s="64">
        <f>IF($A1241="","",IF(O1241&lt;&gt;원인분석!$C$9,"",IF(AND(M1241&gt;=원인분석!$C$10,M1241&lt;=원인분석!$C$11),"당기",IF(AND(M1241&gt;=원인분석!$C$12,M1241&lt;=원인분석!$C$13),"비교",""))))</f>
        <v/>
      </c>
      <c r="R1241" s="9">
        <f>IF(Q1241="","",$K1241&amp;"")</f>
        <v/>
      </c>
      <c r="S1241" s="9">
        <f>IF(Q1241="","",IF(MATCH(R1241,$R$5:$R$100000,0)=ROW()-4,ROW(),""))</f>
        <v/>
      </c>
      <c r="T1241" s="9">
        <f>IF(Q1241="당기",ABS(P1241)+ROW()/1000000000,"")</f>
        <v/>
      </c>
      <c r="U1241" s="9">
        <f>IF(Q1241="비교",ABS(P1241)+ROW()/1000000000,"")</f>
        <v/>
      </c>
      <c r="V1241" s="64">
        <f>IF($A1241="","",IF(COUNTIF(변동분석!$E$7:$E$506,O1241)&gt;0,"Y","N"))</f>
        <v/>
      </c>
      <c r="W1241" s="64">
        <f>IF($A1241="","",IFERROR(INDEX(계정매핑!$D$5:$D$504,MATCH($F1241&amp;"",계정매핑!$A$5:$A$504,0)),"미매핑"))</f>
        <v/>
      </c>
      <c r="X1241" s="9">
        <f>IF($A1241="","",$F1241&amp;"")</f>
        <v/>
      </c>
      <c r="Y1241" s="94">
        <f>IF($A1241="",0,IF(AE1241="직접",IF(AF1241="비귀속",$P1241,0),$P1241*(1-AG1241)*IFERROR(INDEX(계정대체기준!$F$20:$F$49,MATCH($N1241,계정대체기준!$A$20:$A$49,0)),1)))</f>
        <v/>
      </c>
      <c r="Z1241" s="94">
        <f>IF($A1241="",0,IF(AE1241="직접",IF(AF1241="신계약비",$P1241,0),$P1241*(1-AG1241)*IFERROR(INDEX(계정대체기준!$C$20:$C$49,MATCH($N1241,계정대체기준!$A$20:$A$49,0)),0)))</f>
        <v/>
      </c>
      <c r="AA1241" s="94">
        <f>IF($A1241="",0,IF(AE1241="직접",IF(OR(AF1241="유지비",AF1241="손해조사비"),$P1241,0),$P1241*(1-AG1241)*IFERROR(INDEX(계정대체기준!$D$20:$D$49,MATCH($N1241,계정대체기준!$A$20:$A$49,0)),0)))</f>
        <v/>
      </c>
      <c r="AB1241" s="94">
        <f>IF($A1241="",0,IF(AE1241="직접",IF(AF1241="수금비",$P1241,0),$P1241*(1-AG1241)*IFERROR(INDEX(계정대체기준!$E$20:$E$49,MATCH($N1241,계정대체기준!$A$20:$A$49,0)),0)))</f>
        <v/>
      </c>
      <c r="AC1241" s="9">
        <f>IF(AND($A1241&lt;&gt;"",M1241=설정!$C$20,Z1241&gt;0),Z1241+ROW()/1000000000,"")</f>
        <v/>
      </c>
      <c r="AD1241" s="94">
        <f>IF($A1241="",0,$P1241*AG1241)</f>
        <v/>
      </c>
      <c r="AE1241" s="64">
        <f>IF($A1241="","",IFERROR(INDEX(계정매핑!$E$5:$E$504,MATCH($F1241&amp;"",계정매핑!$A$5:$A$504,0))&amp;"","공통비"))</f>
        <v/>
      </c>
      <c r="AF1241" s="64">
        <f>IF($A1241="","",IF(AE1241="직접",IFERROR(INDEX(계정매핑!$F$5:$F$504,MATCH($F1241&amp;"",계정매핑!$A$5:$A$504,0))&amp;"","비귀속"),""))</f>
        <v/>
      </c>
      <c r="AG1241" s="96">
        <f>IF($A1241="",0,IF(AND(AE1241&lt;&gt;"직접",IFERROR(INDEX(계정매핑!$G$5:$G$504,MATCH($F1241&amp;"",계정매핑!$A$5:$A$504,0))&amp;"","")="유지비",COUNTIF(계정대체기준!$A$6:$A$15,$N1241)&gt;0),IFERROR(INDEX(계정대체기준!$E$6:$E$15,MATCH(VALUE($A1241&amp;""),계정대체기준!$D$6:$D$15,0)),0),0))</f>
        <v/>
      </c>
      <c r="AH1241" s="64">
        <f>IF($A1241="","",IF(AD1241=0,"",IF(OR(COUNTIF(계정대체기준!$A$77:$A$86,$N1241)&gt;0,ISNUMBER(MATCH($X1241,계정대체기준!$D$77:$D$86,0)),ISNUMBER(MATCH($F1241,계정대체기준!$D$77:$D$86,0))),"Y","N")))</f>
        <v/>
      </c>
    </row>
    <row r="1242">
      <c r="A1242" s="92" t="n">
        <v>2025</v>
      </c>
      <c r="B1242" s="92" t="n">
        <v>6</v>
      </c>
      <c r="C1242" s="92" t="inlineStr">
        <is>
          <t>5100001238</t>
        </is>
      </c>
      <c r="D1242" s="95" t="n">
        <v>45821</v>
      </c>
      <c r="E1242" s="92" t="inlineStr">
        <is>
          <t>KR</t>
        </is>
      </c>
      <c r="F1242" s="92" t="n">
        <v>62902000</v>
      </c>
      <c r="G1242" s="92" t="n">
        <v>1801</v>
      </c>
      <c r="H1242" s="93" t="n">
        <v>1762000</v>
      </c>
      <c r="I1242" s="92" t="inlineStr">
        <is>
          <t>6월 콜 위탁 수수료(건별)</t>
        </is>
      </c>
      <c r="J1242" s="92" t="inlineStr">
        <is>
          <t>V10016</t>
        </is>
      </c>
      <c r="K1242" s="92" t="inlineStr">
        <is>
          <t>J콜센터</t>
        </is>
      </c>
      <c r="M1242" s="9">
        <f>IF($A1242="","",VALUE($A1242&amp;"")*12+VALUE($B1242&amp;""))</f>
        <v/>
      </c>
      <c r="N1242" s="64">
        <f>IF($A1242="","",IFERROR(INDEX(부서매핑!$C$5:$C$504,MATCH($G1242&amp;"",부서매핑!$A$5:$A$504,0)),"미매핑"))</f>
        <v/>
      </c>
      <c r="O1242" s="9">
        <f>IF($A1242="","",N1242&amp;"|"&amp;$F1242)</f>
        <v/>
      </c>
      <c r="P1242" s="94">
        <f>IF($A1242="",0,$H1242*설정!$C$23)</f>
        <v/>
      </c>
      <c r="Q1242" s="64">
        <f>IF($A1242="","",IF(O1242&lt;&gt;원인분석!$C$9,"",IF(AND(M1242&gt;=원인분석!$C$10,M1242&lt;=원인분석!$C$11),"당기",IF(AND(M1242&gt;=원인분석!$C$12,M1242&lt;=원인분석!$C$13),"비교",""))))</f>
        <v/>
      </c>
      <c r="R1242" s="9">
        <f>IF(Q1242="","",$K1242&amp;"")</f>
        <v/>
      </c>
      <c r="S1242" s="9">
        <f>IF(Q1242="","",IF(MATCH(R1242,$R$5:$R$100000,0)=ROW()-4,ROW(),""))</f>
        <v/>
      </c>
      <c r="T1242" s="9">
        <f>IF(Q1242="당기",ABS(P1242)+ROW()/1000000000,"")</f>
        <v/>
      </c>
      <c r="U1242" s="9">
        <f>IF(Q1242="비교",ABS(P1242)+ROW()/1000000000,"")</f>
        <v/>
      </c>
      <c r="V1242" s="64">
        <f>IF($A1242="","",IF(COUNTIF(변동분석!$E$7:$E$506,O1242)&gt;0,"Y","N"))</f>
        <v/>
      </c>
      <c r="W1242" s="64">
        <f>IF($A1242="","",IFERROR(INDEX(계정매핑!$D$5:$D$504,MATCH($F1242&amp;"",계정매핑!$A$5:$A$504,0)),"미매핑"))</f>
        <v/>
      </c>
      <c r="X1242" s="9">
        <f>IF($A1242="","",$F1242&amp;"")</f>
        <v/>
      </c>
      <c r="Y1242" s="94">
        <f>IF($A1242="",0,IF(AE1242="직접",IF(AF1242="비귀속",$P1242,0),$P1242*(1-AG1242)*IFERROR(INDEX(계정대체기준!$F$20:$F$49,MATCH($N1242,계정대체기준!$A$20:$A$49,0)),1)))</f>
        <v/>
      </c>
      <c r="Z1242" s="94">
        <f>IF($A1242="",0,IF(AE1242="직접",IF(AF1242="신계약비",$P1242,0),$P1242*(1-AG1242)*IFERROR(INDEX(계정대체기준!$C$20:$C$49,MATCH($N1242,계정대체기준!$A$20:$A$49,0)),0)))</f>
        <v/>
      </c>
      <c r="AA1242" s="94">
        <f>IF($A1242="",0,IF(AE1242="직접",IF(OR(AF1242="유지비",AF1242="손해조사비"),$P1242,0),$P1242*(1-AG1242)*IFERROR(INDEX(계정대체기준!$D$20:$D$49,MATCH($N1242,계정대체기준!$A$20:$A$49,0)),0)))</f>
        <v/>
      </c>
      <c r="AB1242" s="94">
        <f>IF($A1242="",0,IF(AE1242="직접",IF(AF1242="수금비",$P1242,0),$P1242*(1-AG1242)*IFERROR(INDEX(계정대체기준!$E$20:$E$49,MATCH($N1242,계정대체기준!$A$20:$A$49,0)),0)))</f>
        <v/>
      </c>
      <c r="AC1242" s="9">
        <f>IF(AND($A1242&lt;&gt;"",M1242=설정!$C$20,Z1242&gt;0),Z1242+ROW()/1000000000,"")</f>
        <v/>
      </c>
      <c r="AD1242" s="94">
        <f>IF($A1242="",0,$P1242*AG1242)</f>
        <v/>
      </c>
      <c r="AE1242" s="64">
        <f>IF($A1242="","",IFERROR(INDEX(계정매핑!$E$5:$E$504,MATCH($F1242&amp;"",계정매핑!$A$5:$A$504,0))&amp;"","공통비"))</f>
        <v/>
      </c>
      <c r="AF1242" s="64">
        <f>IF($A1242="","",IF(AE1242="직접",IFERROR(INDEX(계정매핑!$F$5:$F$504,MATCH($F1242&amp;"",계정매핑!$A$5:$A$504,0))&amp;"","비귀속"),""))</f>
        <v/>
      </c>
      <c r="AG1242" s="96">
        <f>IF($A1242="",0,IF(AND(AE1242&lt;&gt;"직접",IFERROR(INDEX(계정매핑!$G$5:$G$504,MATCH($F1242&amp;"",계정매핑!$A$5:$A$504,0))&amp;"","")="유지비",COUNTIF(계정대체기준!$A$6:$A$15,$N1242)&gt;0),IFERROR(INDEX(계정대체기준!$E$6:$E$15,MATCH(VALUE($A1242&amp;""),계정대체기준!$D$6:$D$15,0)),0),0))</f>
        <v/>
      </c>
      <c r="AH1242" s="64">
        <f>IF($A1242="","",IF(AD1242=0,"",IF(OR(COUNTIF(계정대체기준!$A$77:$A$86,$N1242)&gt;0,ISNUMBER(MATCH($X1242,계정대체기준!$D$77:$D$86,0)),ISNUMBER(MATCH($F1242,계정대체기준!$D$77:$D$86,0))),"Y","N")))</f>
        <v/>
      </c>
    </row>
    <row r="1243">
      <c r="A1243" s="92" t="n">
        <v>2025</v>
      </c>
      <c r="B1243" s="92" t="n">
        <v>6</v>
      </c>
      <c r="C1243" s="92" t="inlineStr">
        <is>
          <t>5100001239</t>
        </is>
      </c>
      <c r="D1243" s="95" t="n">
        <v>45821</v>
      </c>
      <c r="E1243" s="92" t="inlineStr">
        <is>
          <t>KR</t>
        </is>
      </c>
      <c r="F1243" s="92" t="n">
        <v>63501000</v>
      </c>
      <c r="G1243" s="92" t="n">
        <v>1902</v>
      </c>
      <c r="H1243" s="93" t="n">
        <v>206684000</v>
      </c>
      <c r="I1243" s="92" t="inlineStr">
        <is>
          <t>6월 모집수수료 - (전속설계사)</t>
        </is>
      </c>
      <c r="J1243" s="92" t="inlineStr">
        <is>
          <t>V10021</t>
        </is>
      </c>
      <c r="K1243" s="92" t="inlineStr">
        <is>
          <t>(전속설계사)</t>
        </is>
      </c>
      <c r="M1243" s="9">
        <f>IF($A1243="","",VALUE($A1243&amp;"")*12+VALUE($B1243&amp;""))</f>
        <v/>
      </c>
      <c r="N1243" s="64">
        <f>IF($A1243="","",IFERROR(INDEX(부서매핑!$C$5:$C$504,MATCH($G1243&amp;"",부서매핑!$A$5:$A$504,0)),"미매핑"))</f>
        <v/>
      </c>
      <c r="O1243" s="9">
        <f>IF($A1243="","",N1243&amp;"|"&amp;$F1243)</f>
        <v/>
      </c>
      <c r="P1243" s="94">
        <f>IF($A1243="",0,$H1243*설정!$C$23)</f>
        <v/>
      </c>
      <c r="Q1243" s="64">
        <f>IF($A1243="","",IF(O1243&lt;&gt;원인분석!$C$9,"",IF(AND(M1243&gt;=원인분석!$C$10,M1243&lt;=원인분석!$C$11),"당기",IF(AND(M1243&gt;=원인분석!$C$12,M1243&lt;=원인분석!$C$13),"비교",""))))</f>
        <v/>
      </c>
      <c r="R1243" s="9">
        <f>IF(Q1243="","",$K1243&amp;"")</f>
        <v/>
      </c>
      <c r="S1243" s="9">
        <f>IF(Q1243="","",IF(MATCH(R1243,$R$5:$R$100000,0)=ROW()-4,ROW(),""))</f>
        <v/>
      </c>
      <c r="T1243" s="9">
        <f>IF(Q1243="당기",ABS(P1243)+ROW()/1000000000,"")</f>
        <v/>
      </c>
      <c r="U1243" s="9">
        <f>IF(Q1243="비교",ABS(P1243)+ROW()/1000000000,"")</f>
        <v/>
      </c>
      <c r="V1243" s="64">
        <f>IF($A1243="","",IF(COUNTIF(변동분석!$E$7:$E$506,O1243)&gt;0,"Y","N"))</f>
        <v/>
      </c>
      <c r="W1243" s="64">
        <f>IF($A1243="","",IFERROR(INDEX(계정매핑!$D$5:$D$504,MATCH($F1243&amp;"",계정매핑!$A$5:$A$504,0)),"미매핑"))</f>
        <v/>
      </c>
      <c r="X1243" s="9">
        <f>IF($A1243="","",$F1243&amp;"")</f>
        <v/>
      </c>
      <c r="Y1243" s="94">
        <f>IF($A1243="",0,IF(AE1243="직접",IF(AF1243="비귀속",$P1243,0),$P1243*(1-AG1243)*IFERROR(INDEX(계정대체기준!$F$20:$F$49,MATCH($N1243,계정대체기준!$A$20:$A$49,0)),1)))</f>
        <v/>
      </c>
      <c r="Z1243" s="94">
        <f>IF($A1243="",0,IF(AE1243="직접",IF(AF1243="신계약비",$P1243,0),$P1243*(1-AG1243)*IFERROR(INDEX(계정대체기준!$C$20:$C$49,MATCH($N1243,계정대체기준!$A$20:$A$49,0)),0)))</f>
        <v/>
      </c>
      <c r="AA1243" s="94">
        <f>IF($A1243="",0,IF(AE1243="직접",IF(OR(AF1243="유지비",AF1243="손해조사비"),$P1243,0),$P1243*(1-AG1243)*IFERROR(INDEX(계정대체기준!$D$20:$D$49,MATCH($N1243,계정대체기준!$A$20:$A$49,0)),0)))</f>
        <v/>
      </c>
      <c r="AB1243" s="94">
        <f>IF($A1243="",0,IF(AE1243="직접",IF(AF1243="수금비",$P1243,0),$P1243*(1-AG1243)*IFERROR(INDEX(계정대체기준!$E$20:$E$49,MATCH($N1243,계정대체기준!$A$20:$A$49,0)),0)))</f>
        <v/>
      </c>
      <c r="AC1243" s="9">
        <f>IF(AND($A1243&lt;&gt;"",M1243=설정!$C$20,Z1243&gt;0),Z1243+ROW()/1000000000,"")</f>
        <v/>
      </c>
      <c r="AD1243" s="94">
        <f>IF($A1243="",0,$P1243*AG1243)</f>
        <v/>
      </c>
      <c r="AE1243" s="64">
        <f>IF($A1243="","",IFERROR(INDEX(계정매핑!$E$5:$E$504,MATCH($F1243&amp;"",계정매핑!$A$5:$A$504,0))&amp;"","공통비"))</f>
        <v/>
      </c>
      <c r="AF1243" s="64">
        <f>IF($A1243="","",IF(AE1243="직접",IFERROR(INDEX(계정매핑!$F$5:$F$504,MATCH($F1243&amp;"",계정매핑!$A$5:$A$504,0))&amp;"","비귀속"),""))</f>
        <v/>
      </c>
      <c r="AG1243" s="96">
        <f>IF($A1243="",0,IF(AND(AE1243&lt;&gt;"직접",IFERROR(INDEX(계정매핑!$G$5:$G$504,MATCH($F1243&amp;"",계정매핑!$A$5:$A$504,0))&amp;"","")="유지비",COUNTIF(계정대체기준!$A$6:$A$15,$N1243)&gt;0),IFERROR(INDEX(계정대체기준!$E$6:$E$15,MATCH(VALUE($A1243&amp;""),계정대체기준!$D$6:$D$15,0)),0),0))</f>
        <v/>
      </c>
      <c r="AH1243" s="64">
        <f>IF($A1243="","",IF(AD1243=0,"",IF(OR(COUNTIF(계정대체기준!$A$77:$A$86,$N1243)&gt;0,ISNUMBER(MATCH($X1243,계정대체기준!$D$77:$D$86,0)),ISNUMBER(MATCH($F1243,계정대체기준!$D$77:$D$86,0))),"Y","N")))</f>
        <v/>
      </c>
    </row>
    <row r="1244">
      <c r="A1244" s="92" t="n">
        <v>2025</v>
      </c>
      <c r="B1244" s="92" t="n">
        <v>6</v>
      </c>
      <c r="C1244" s="92" t="inlineStr">
        <is>
          <t>5100001240</t>
        </is>
      </c>
      <c r="D1244" s="95" t="n">
        <v>45822</v>
      </c>
      <c r="E1244" s="92" t="inlineStr">
        <is>
          <t>KR</t>
        </is>
      </c>
      <c r="F1244" s="92" t="n">
        <v>62101000</v>
      </c>
      <c r="G1244" s="92" t="n">
        <v>1101</v>
      </c>
      <c r="H1244" s="93" t="n">
        <v>341000</v>
      </c>
      <c r="I1244" s="92" t="inlineStr">
        <is>
          <t>6월 국내출장 - M항공</t>
        </is>
      </c>
      <c r="J1244" s="92" t="inlineStr">
        <is>
          <t>V10001</t>
        </is>
      </c>
      <c r="K1244" s="92" t="inlineStr">
        <is>
          <t>M항공</t>
        </is>
      </c>
      <c r="M1244" s="9">
        <f>IF($A1244="","",VALUE($A1244&amp;"")*12+VALUE($B1244&amp;""))</f>
        <v/>
      </c>
      <c r="N1244" s="64">
        <f>IF($A1244="","",IFERROR(INDEX(부서매핑!$C$5:$C$504,MATCH($G1244&amp;"",부서매핑!$A$5:$A$504,0)),"미매핑"))</f>
        <v/>
      </c>
      <c r="O1244" s="9">
        <f>IF($A1244="","",N1244&amp;"|"&amp;$F1244)</f>
        <v/>
      </c>
      <c r="P1244" s="94">
        <f>IF($A1244="",0,$H1244*설정!$C$23)</f>
        <v/>
      </c>
      <c r="Q1244" s="64">
        <f>IF($A1244="","",IF(O1244&lt;&gt;원인분석!$C$9,"",IF(AND(M1244&gt;=원인분석!$C$10,M1244&lt;=원인분석!$C$11),"당기",IF(AND(M1244&gt;=원인분석!$C$12,M1244&lt;=원인분석!$C$13),"비교",""))))</f>
        <v/>
      </c>
      <c r="R1244" s="9">
        <f>IF(Q1244="","",$K1244&amp;"")</f>
        <v/>
      </c>
      <c r="S1244" s="9">
        <f>IF(Q1244="","",IF(MATCH(R1244,$R$5:$R$100000,0)=ROW()-4,ROW(),""))</f>
        <v/>
      </c>
      <c r="T1244" s="9">
        <f>IF(Q1244="당기",ABS(P1244)+ROW()/1000000000,"")</f>
        <v/>
      </c>
      <c r="U1244" s="9">
        <f>IF(Q1244="비교",ABS(P1244)+ROW()/1000000000,"")</f>
        <v/>
      </c>
      <c r="V1244" s="64">
        <f>IF($A1244="","",IF(COUNTIF(변동분석!$E$7:$E$506,O1244)&gt;0,"Y","N"))</f>
        <v/>
      </c>
      <c r="W1244" s="64">
        <f>IF($A1244="","",IFERROR(INDEX(계정매핑!$D$5:$D$504,MATCH($F1244&amp;"",계정매핑!$A$5:$A$504,0)),"미매핑"))</f>
        <v/>
      </c>
      <c r="X1244" s="9">
        <f>IF($A1244="","",$F1244&amp;"")</f>
        <v/>
      </c>
      <c r="Y1244" s="94">
        <f>IF($A1244="",0,IF(AE1244="직접",IF(AF1244="비귀속",$P1244,0),$P1244*(1-AG1244)*IFERROR(INDEX(계정대체기준!$F$20:$F$49,MATCH($N1244,계정대체기준!$A$20:$A$49,0)),1)))</f>
        <v/>
      </c>
      <c r="Z1244" s="94">
        <f>IF($A1244="",0,IF(AE1244="직접",IF(AF1244="신계약비",$P1244,0),$P1244*(1-AG1244)*IFERROR(INDEX(계정대체기준!$C$20:$C$49,MATCH($N1244,계정대체기준!$A$20:$A$49,0)),0)))</f>
        <v/>
      </c>
      <c r="AA1244" s="94">
        <f>IF($A1244="",0,IF(AE1244="직접",IF(OR(AF1244="유지비",AF1244="손해조사비"),$P1244,0),$P1244*(1-AG1244)*IFERROR(INDEX(계정대체기준!$D$20:$D$49,MATCH($N1244,계정대체기준!$A$20:$A$49,0)),0)))</f>
        <v/>
      </c>
      <c r="AB1244" s="94">
        <f>IF($A1244="",0,IF(AE1244="직접",IF(AF1244="수금비",$P1244,0),$P1244*(1-AG1244)*IFERROR(INDEX(계정대체기준!$E$20:$E$49,MATCH($N1244,계정대체기준!$A$20:$A$49,0)),0)))</f>
        <v/>
      </c>
      <c r="AC1244" s="9">
        <f>IF(AND($A1244&lt;&gt;"",M1244=설정!$C$20,Z1244&gt;0),Z1244+ROW()/1000000000,"")</f>
        <v/>
      </c>
      <c r="AD1244" s="94">
        <f>IF($A1244="",0,$P1244*AG1244)</f>
        <v/>
      </c>
      <c r="AE1244" s="64">
        <f>IF($A1244="","",IFERROR(INDEX(계정매핑!$E$5:$E$504,MATCH($F1244&amp;"",계정매핑!$A$5:$A$504,0))&amp;"","공통비"))</f>
        <v/>
      </c>
      <c r="AF1244" s="64">
        <f>IF($A1244="","",IF(AE1244="직접",IFERROR(INDEX(계정매핑!$F$5:$F$504,MATCH($F1244&amp;"",계정매핑!$A$5:$A$504,0))&amp;"","비귀속"),""))</f>
        <v/>
      </c>
      <c r="AG1244" s="96">
        <f>IF($A1244="",0,IF(AND(AE1244&lt;&gt;"직접",IFERROR(INDEX(계정매핑!$G$5:$G$504,MATCH($F1244&amp;"",계정매핑!$A$5:$A$504,0))&amp;"","")="유지비",COUNTIF(계정대체기준!$A$6:$A$15,$N1244)&gt;0),IFERROR(INDEX(계정대체기준!$E$6:$E$15,MATCH(VALUE($A1244&amp;""),계정대체기준!$D$6:$D$15,0)),0),0))</f>
        <v/>
      </c>
      <c r="AH1244" s="64">
        <f>IF($A1244="","",IF(AD1244=0,"",IF(OR(COUNTIF(계정대체기준!$A$77:$A$86,$N1244)&gt;0,ISNUMBER(MATCH($X1244,계정대체기준!$D$77:$D$86,0)),ISNUMBER(MATCH($F1244,계정대체기준!$D$77:$D$86,0))),"Y","N")))</f>
        <v/>
      </c>
    </row>
    <row r="1245">
      <c r="A1245" s="92" t="n">
        <v>2025</v>
      </c>
      <c r="B1245" s="92" t="n">
        <v>6</v>
      </c>
      <c r="C1245" s="92" t="inlineStr">
        <is>
          <t>5100001241</t>
        </is>
      </c>
      <c r="D1245" s="95" t="n">
        <v>45822</v>
      </c>
      <c r="E1245" s="92" t="inlineStr">
        <is>
          <t>KR</t>
        </is>
      </c>
      <c r="F1245" s="92" t="n">
        <v>62101000</v>
      </c>
      <c r="G1245" s="92" t="n">
        <v>1201</v>
      </c>
      <c r="H1245" s="93" t="n">
        <v>266000</v>
      </c>
      <c r="I1245" s="92" t="inlineStr">
        <is>
          <t>6월 국내출장 - (법인카드)</t>
        </is>
      </c>
      <c r="J1245" s="92" t="inlineStr">
        <is>
          <t>V10010</t>
        </is>
      </c>
      <c r="K1245" s="92" t="inlineStr">
        <is>
          <t>(법인카드)</t>
        </is>
      </c>
      <c r="M1245" s="9">
        <f>IF($A1245="","",VALUE($A1245&amp;"")*12+VALUE($B1245&amp;""))</f>
        <v/>
      </c>
      <c r="N1245" s="64">
        <f>IF($A1245="","",IFERROR(INDEX(부서매핑!$C$5:$C$504,MATCH($G1245&amp;"",부서매핑!$A$5:$A$504,0)),"미매핑"))</f>
        <v/>
      </c>
      <c r="O1245" s="9">
        <f>IF($A1245="","",N1245&amp;"|"&amp;$F1245)</f>
        <v/>
      </c>
      <c r="P1245" s="94">
        <f>IF($A1245="",0,$H1245*설정!$C$23)</f>
        <v/>
      </c>
      <c r="Q1245" s="64">
        <f>IF($A1245="","",IF(O1245&lt;&gt;원인분석!$C$9,"",IF(AND(M1245&gt;=원인분석!$C$10,M1245&lt;=원인분석!$C$11),"당기",IF(AND(M1245&gt;=원인분석!$C$12,M1245&lt;=원인분석!$C$13),"비교",""))))</f>
        <v/>
      </c>
      <c r="R1245" s="9">
        <f>IF(Q1245="","",$K1245&amp;"")</f>
        <v/>
      </c>
      <c r="S1245" s="9">
        <f>IF(Q1245="","",IF(MATCH(R1245,$R$5:$R$100000,0)=ROW()-4,ROW(),""))</f>
        <v/>
      </c>
      <c r="T1245" s="9">
        <f>IF(Q1245="당기",ABS(P1245)+ROW()/1000000000,"")</f>
        <v/>
      </c>
      <c r="U1245" s="9">
        <f>IF(Q1245="비교",ABS(P1245)+ROW()/1000000000,"")</f>
        <v/>
      </c>
      <c r="V1245" s="64">
        <f>IF($A1245="","",IF(COUNTIF(변동분석!$E$7:$E$506,O1245)&gt;0,"Y","N"))</f>
        <v/>
      </c>
      <c r="W1245" s="64">
        <f>IF($A1245="","",IFERROR(INDEX(계정매핑!$D$5:$D$504,MATCH($F1245&amp;"",계정매핑!$A$5:$A$504,0)),"미매핑"))</f>
        <v/>
      </c>
      <c r="X1245" s="9">
        <f>IF($A1245="","",$F1245&amp;"")</f>
        <v/>
      </c>
      <c r="Y1245" s="94">
        <f>IF($A1245="",0,IF(AE1245="직접",IF(AF1245="비귀속",$P1245,0),$P1245*(1-AG1245)*IFERROR(INDEX(계정대체기준!$F$20:$F$49,MATCH($N1245,계정대체기준!$A$20:$A$49,0)),1)))</f>
        <v/>
      </c>
      <c r="Z1245" s="94">
        <f>IF($A1245="",0,IF(AE1245="직접",IF(AF1245="신계약비",$P1245,0),$P1245*(1-AG1245)*IFERROR(INDEX(계정대체기준!$C$20:$C$49,MATCH($N1245,계정대체기준!$A$20:$A$49,0)),0)))</f>
        <v/>
      </c>
      <c r="AA1245" s="94">
        <f>IF($A1245="",0,IF(AE1245="직접",IF(OR(AF1245="유지비",AF1245="손해조사비"),$P1245,0),$P1245*(1-AG1245)*IFERROR(INDEX(계정대체기준!$D$20:$D$49,MATCH($N1245,계정대체기준!$A$20:$A$49,0)),0)))</f>
        <v/>
      </c>
      <c r="AB1245" s="94">
        <f>IF($A1245="",0,IF(AE1245="직접",IF(AF1245="수금비",$P1245,0),$P1245*(1-AG1245)*IFERROR(INDEX(계정대체기준!$E$20:$E$49,MATCH($N1245,계정대체기준!$A$20:$A$49,0)),0)))</f>
        <v/>
      </c>
      <c r="AC1245" s="9">
        <f>IF(AND($A1245&lt;&gt;"",M1245=설정!$C$20,Z1245&gt;0),Z1245+ROW()/1000000000,"")</f>
        <v/>
      </c>
      <c r="AD1245" s="94">
        <f>IF($A1245="",0,$P1245*AG1245)</f>
        <v/>
      </c>
      <c r="AE1245" s="64">
        <f>IF($A1245="","",IFERROR(INDEX(계정매핑!$E$5:$E$504,MATCH($F1245&amp;"",계정매핑!$A$5:$A$504,0))&amp;"","공통비"))</f>
        <v/>
      </c>
      <c r="AF1245" s="64">
        <f>IF($A1245="","",IF(AE1245="직접",IFERROR(INDEX(계정매핑!$F$5:$F$504,MATCH($F1245&amp;"",계정매핑!$A$5:$A$504,0))&amp;"","비귀속"),""))</f>
        <v/>
      </c>
      <c r="AG1245" s="96">
        <f>IF($A1245="",0,IF(AND(AE1245&lt;&gt;"직접",IFERROR(INDEX(계정매핑!$G$5:$G$504,MATCH($F1245&amp;"",계정매핑!$A$5:$A$504,0))&amp;"","")="유지비",COUNTIF(계정대체기준!$A$6:$A$15,$N1245)&gt;0),IFERROR(INDEX(계정대체기준!$E$6:$E$15,MATCH(VALUE($A1245&amp;""),계정대체기준!$D$6:$D$15,0)),0),0))</f>
        <v/>
      </c>
      <c r="AH1245" s="64">
        <f>IF($A1245="","",IF(AD1245=0,"",IF(OR(COUNTIF(계정대체기준!$A$77:$A$86,$N1245)&gt;0,ISNUMBER(MATCH($X1245,계정대체기준!$D$77:$D$86,0)),ISNUMBER(MATCH($F1245,계정대체기준!$D$77:$D$86,0))),"Y","N")))</f>
        <v/>
      </c>
    </row>
    <row r="1246">
      <c r="A1246" s="92" t="n">
        <v>2025</v>
      </c>
      <c r="B1246" s="92" t="n">
        <v>6</v>
      </c>
      <c r="C1246" s="92" t="inlineStr">
        <is>
          <t>5100001242</t>
        </is>
      </c>
      <c r="D1246" s="95" t="n">
        <v>45822</v>
      </c>
      <c r="E1246" s="92" t="inlineStr">
        <is>
          <t>KR</t>
        </is>
      </c>
      <c r="F1246" s="92" t="n">
        <v>62101000</v>
      </c>
      <c r="G1246" s="92" t="n">
        <v>1601</v>
      </c>
      <c r="H1246" s="93" t="n">
        <v>1525000</v>
      </c>
      <c r="I1246" s="92" t="inlineStr">
        <is>
          <t>6월 국내출장 - L여행사</t>
        </is>
      </c>
      <c r="J1246" s="92" t="inlineStr">
        <is>
          <t>V10018</t>
        </is>
      </c>
      <c r="K1246" s="92" t="inlineStr">
        <is>
          <t>L여행사</t>
        </is>
      </c>
      <c r="M1246" s="9">
        <f>IF($A1246="","",VALUE($A1246&amp;"")*12+VALUE($B1246&amp;""))</f>
        <v/>
      </c>
      <c r="N1246" s="64">
        <f>IF($A1246="","",IFERROR(INDEX(부서매핑!$C$5:$C$504,MATCH($G1246&amp;"",부서매핑!$A$5:$A$504,0)),"미매핑"))</f>
        <v/>
      </c>
      <c r="O1246" s="9">
        <f>IF($A1246="","",N1246&amp;"|"&amp;$F1246)</f>
        <v/>
      </c>
      <c r="P1246" s="94">
        <f>IF($A1246="",0,$H1246*설정!$C$23)</f>
        <v/>
      </c>
      <c r="Q1246" s="64">
        <f>IF($A1246="","",IF(O1246&lt;&gt;원인분석!$C$9,"",IF(AND(M1246&gt;=원인분석!$C$10,M1246&lt;=원인분석!$C$11),"당기",IF(AND(M1246&gt;=원인분석!$C$12,M1246&lt;=원인분석!$C$13),"비교",""))))</f>
        <v/>
      </c>
      <c r="R1246" s="9">
        <f>IF(Q1246="","",$K1246&amp;"")</f>
        <v/>
      </c>
      <c r="S1246" s="9">
        <f>IF(Q1246="","",IF(MATCH(R1246,$R$5:$R$100000,0)=ROW()-4,ROW(),""))</f>
        <v/>
      </c>
      <c r="T1246" s="9">
        <f>IF(Q1246="당기",ABS(P1246)+ROW()/1000000000,"")</f>
        <v/>
      </c>
      <c r="U1246" s="9">
        <f>IF(Q1246="비교",ABS(P1246)+ROW()/1000000000,"")</f>
        <v/>
      </c>
      <c r="V1246" s="64">
        <f>IF($A1246="","",IF(COUNTIF(변동분석!$E$7:$E$506,O1246)&gt;0,"Y","N"))</f>
        <v/>
      </c>
      <c r="W1246" s="64">
        <f>IF($A1246="","",IFERROR(INDEX(계정매핑!$D$5:$D$504,MATCH($F1246&amp;"",계정매핑!$A$5:$A$504,0)),"미매핑"))</f>
        <v/>
      </c>
      <c r="X1246" s="9">
        <f>IF($A1246="","",$F1246&amp;"")</f>
        <v/>
      </c>
      <c r="Y1246" s="94">
        <f>IF($A1246="",0,IF(AE1246="직접",IF(AF1246="비귀속",$P1246,0),$P1246*(1-AG1246)*IFERROR(INDEX(계정대체기준!$F$20:$F$49,MATCH($N1246,계정대체기준!$A$20:$A$49,0)),1)))</f>
        <v/>
      </c>
      <c r="Z1246" s="94">
        <f>IF($A1246="",0,IF(AE1246="직접",IF(AF1246="신계약비",$P1246,0),$P1246*(1-AG1246)*IFERROR(INDEX(계정대체기준!$C$20:$C$49,MATCH($N1246,계정대체기준!$A$20:$A$49,0)),0)))</f>
        <v/>
      </c>
      <c r="AA1246" s="94">
        <f>IF($A1246="",0,IF(AE1246="직접",IF(OR(AF1246="유지비",AF1246="손해조사비"),$P1246,0),$P1246*(1-AG1246)*IFERROR(INDEX(계정대체기준!$D$20:$D$49,MATCH($N1246,계정대체기준!$A$20:$A$49,0)),0)))</f>
        <v/>
      </c>
      <c r="AB1246" s="94">
        <f>IF($A1246="",0,IF(AE1246="직접",IF(AF1246="수금비",$P1246,0),$P1246*(1-AG1246)*IFERROR(INDEX(계정대체기준!$E$20:$E$49,MATCH($N1246,계정대체기준!$A$20:$A$49,0)),0)))</f>
        <v/>
      </c>
      <c r="AC1246" s="9">
        <f>IF(AND($A1246&lt;&gt;"",M1246=설정!$C$20,Z1246&gt;0),Z1246+ROW()/1000000000,"")</f>
        <v/>
      </c>
      <c r="AD1246" s="94">
        <f>IF($A1246="",0,$P1246*AG1246)</f>
        <v/>
      </c>
      <c r="AE1246" s="64">
        <f>IF($A1246="","",IFERROR(INDEX(계정매핑!$E$5:$E$504,MATCH($F1246&amp;"",계정매핑!$A$5:$A$504,0))&amp;"","공통비"))</f>
        <v/>
      </c>
      <c r="AF1246" s="64">
        <f>IF($A1246="","",IF(AE1246="직접",IFERROR(INDEX(계정매핑!$F$5:$F$504,MATCH($F1246&amp;"",계정매핑!$A$5:$A$504,0))&amp;"","비귀속"),""))</f>
        <v/>
      </c>
      <c r="AG1246" s="96">
        <f>IF($A1246="",0,IF(AND(AE1246&lt;&gt;"직접",IFERROR(INDEX(계정매핑!$G$5:$G$504,MATCH($F1246&amp;"",계정매핑!$A$5:$A$504,0))&amp;"","")="유지비",COUNTIF(계정대체기준!$A$6:$A$15,$N1246)&gt;0),IFERROR(INDEX(계정대체기준!$E$6:$E$15,MATCH(VALUE($A1246&amp;""),계정대체기준!$D$6:$D$15,0)),0),0))</f>
        <v/>
      </c>
      <c r="AH1246" s="64">
        <f>IF($A1246="","",IF(AD1246=0,"",IF(OR(COUNTIF(계정대체기준!$A$77:$A$86,$N1246)&gt;0,ISNUMBER(MATCH($X1246,계정대체기준!$D$77:$D$86,0)),ISNUMBER(MATCH($F1246,계정대체기준!$D$77:$D$86,0))),"Y","N")))</f>
        <v/>
      </c>
    </row>
    <row r="1247">
      <c r="A1247" s="92" t="n">
        <v>2025</v>
      </c>
      <c r="B1247" s="92" t="n">
        <v>6</v>
      </c>
      <c r="C1247" s="92" t="inlineStr">
        <is>
          <t>5100001243</t>
        </is>
      </c>
      <c r="D1247" s="95" t="n">
        <v>45822</v>
      </c>
      <c r="E1247" s="92" t="inlineStr">
        <is>
          <t>KR</t>
        </is>
      </c>
      <c r="F1247" s="92" t="n">
        <v>62101000</v>
      </c>
      <c r="G1247" s="92" t="n">
        <v>1701</v>
      </c>
      <c r="H1247" s="93" t="n">
        <v>235000</v>
      </c>
      <c r="I1247" s="92" t="inlineStr">
        <is>
          <t>6월 국내출장 - L여행사</t>
        </is>
      </c>
      <c r="J1247" s="92" t="inlineStr">
        <is>
          <t>V10018</t>
        </is>
      </c>
      <c r="K1247" s="92" t="inlineStr">
        <is>
          <t>L여행사</t>
        </is>
      </c>
      <c r="M1247" s="9">
        <f>IF($A1247="","",VALUE($A1247&amp;"")*12+VALUE($B1247&amp;""))</f>
        <v/>
      </c>
      <c r="N1247" s="64">
        <f>IF($A1247="","",IFERROR(INDEX(부서매핑!$C$5:$C$504,MATCH($G1247&amp;"",부서매핑!$A$5:$A$504,0)),"미매핑"))</f>
        <v/>
      </c>
      <c r="O1247" s="9">
        <f>IF($A1247="","",N1247&amp;"|"&amp;$F1247)</f>
        <v/>
      </c>
      <c r="P1247" s="94">
        <f>IF($A1247="",0,$H1247*설정!$C$23)</f>
        <v/>
      </c>
      <c r="Q1247" s="64">
        <f>IF($A1247="","",IF(O1247&lt;&gt;원인분석!$C$9,"",IF(AND(M1247&gt;=원인분석!$C$10,M1247&lt;=원인분석!$C$11),"당기",IF(AND(M1247&gt;=원인분석!$C$12,M1247&lt;=원인분석!$C$13),"비교",""))))</f>
        <v/>
      </c>
      <c r="R1247" s="9">
        <f>IF(Q1247="","",$K1247&amp;"")</f>
        <v/>
      </c>
      <c r="S1247" s="9">
        <f>IF(Q1247="","",IF(MATCH(R1247,$R$5:$R$100000,0)=ROW()-4,ROW(),""))</f>
        <v/>
      </c>
      <c r="T1247" s="9">
        <f>IF(Q1247="당기",ABS(P1247)+ROW()/1000000000,"")</f>
        <v/>
      </c>
      <c r="U1247" s="9">
        <f>IF(Q1247="비교",ABS(P1247)+ROW()/1000000000,"")</f>
        <v/>
      </c>
      <c r="V1247" s="64">
        <f>IF($A1247="","",IF(COUNTIF(변동분석!$E$7:$E$506,O1247)&gt;0,"Y","N"))</f>
        <v/>
      </c>
      <c r="W1247" s="64">
        <f>IF($A1247="","",IFERROR(INDEX(계정매핑!$D$5:$D$504,MATCH($F1247&amp;"",계정매핑!$A$5:$A$504,0)),"미매핑"))</f>
        <v/>
      </c>
      <c r="X1247" s="9">
        <f>IF($A1247="","",$F1247&amp;"")</f>
        <v/>
      </c>
      <c r="Y1247" s="94">
        <f>IF($A1247="",0,IF(AE1247="직접",IF(AF1247="비귀속",$P1247,0),$P1247*(1-AG1247)*IFERROR(INDEX(계정대체기준!$F$20:$F$49,MATCH($N1247,계정대체기준!$A$20:$A$49,0)),1)))</f>
        <v/>
      </c>
      <c r="Z1247" s="94">
        <f>IF($A1247="",0,IF(AE1247="직접",IF(AF1247="신계약비",$P1247,0),$P1247*(1-AG1247)*IFERROR(INDEX(계정대체기준!$C$20:$C$49,MATCH($N1247,계정대체기준!$A$20:$A$49,0)),0)))</f>
        <v/>
      </c>
      <c r="AA1247" s="94">
        <f>IF($A1247="",0,IF(AE1247="직접",IF(OR(AF1247="유지비",AF1247="손해조사비"),$P1247,0),$P1247*(1-AG1247)*IFERROR(INDEX(계정대체기준!$D$20:$D$49,MATCH($N1247,계정대체기준!$A$20:$A$49,0)),0)))</f>
        <v/>
      </c>
      <c r="AB1247" s="94">
        <f>IF($A1247="",0,IF(AE1247="직접",IF(AF1247="수금비",$P1247,0),$P1247*(1-AG1247)*IFERROR(INDEX(계정대체기준!$E$20:$E$49,MATCH($N1247,계정대체기준!$A$20:$A$49,0)),0)))</f>
        <v/>
      </c>
      <c r="AC1247" s="9">
        <f>IF(AND($A1247&lt;&gt;"",M1247=설정!$C$20,Z1247&gt;0),Z1247+ROW()/1000000000,"")</f>
        <v/>
      </c>
      <c r="AD1247" s="94">
        <f>IF($A1247="",0,$P1247*AG1247)</f>
        <v/>
      </c>
      <c r="AE1247" s="64">
        <f>IF($A1247="","",IFERROR(INDEX(계정매핑!$E$5:$E$504,MATCH($F1247&amp;"",계정매핑!$A$5:$A$504,0))&amp;"","공통비"))</f>
        <v/>
      </c>
      <c r="AF1247" s="64">
        <f>IF($A1247="","",IF(AE1247="직접",IFERROR(INDEX(계정매핑!$F$5:$F$504,MATCH($F1247&amp;"",계정매핑!$A$5:$A$504,0))&amp;"","비귀속"),""))</f>
        <v/>
      </c>
      <c r="AG1247" s="96">
        <f>IF($A1247="",0,IF(AND(AE1247&lt;&gt;"직접",IFERROR(INDEX(계정매핑!$G$5:$G$504,MATCH($F1247&amp;"",계정매핑!$A$5:$A$504,0))&amp;"","")="유지비",COUNTIF(계정대체기준!$A$6:$A$15,$N1247)&gt;0),IFERROR(INDEX(계정대체기준!$E$6:$E$15,MATCH(VALUE($A1247&amp;""),계정대체기준!$D$6:$D$15,0)),0),0))</f>
        <v/>
      </c>
      <c r="AH1247" s="64">
        <f>IF($A1247="","",IF(AD1247=0,"",IF(OR(COUNTIF(계정대체기준!$A$77:$A$86,$N1247)&gt;0,ISNUMBER(MATCH($X1247,계정대체기준!$D$77:$D$86,0)),ISNUMBER(MATCH($F1247,계정대체기준!$D$77:$D$86,0))),"Y","N")))</f>
        <v/>
      </c>
    </row>
    <row r="1248">
      <c r="A1248" s="92" t="n">
        <v>2025</v>
      </c>
      <c r="B1248" s="92" t="n">
        <v>6</v>
      </c>
      <c r="C1248" s="92" t="inlineStr">
        <is>
          <t>5100001244</t>
        </is>
      </c>
      <c r="D1248" s="95" t="n">
        <v>45822</v>
      </c>
      <c r="E1248" s="92" t="inlineStr">
        <is>
          <t>KR</t>
        </is>
      </c>
      <c r="F1248" s="92" t="n">
        <v>62102000</v>
      </c>
      <c r="G1248" s="92" t="n">
        <v>1301</v>
      </c>
      <c r="H1248" s="93" t="n">
        <v>53000</v>
      </c>
      <c r="I1248" s="92" t="inlineStr">
        <is>
          <t>6월 해외출장 - N호텔</t>
        </is>
      </c>
      <c r="J1248" s="92" t="inlineStr">
        <is>
          <t>V10009</t>
        </is>
      </c>
      <c r="K1248" s="92" t="inlineStr">
        <is>
          <t>N호텔</t>
        </is>
      </c>
      <c r="M1248" s="9">
        <f>IF($A1248="","",VALUE($A1248&amp;"")*12+VALUE($B1248&amp;""))</f>
        <v/>
      </c>
      <c r="N1248" s="64">
        <f>IF($A1248="","",IFERROR(INDEX(부서매핑!$C$5:$C$504,MATCH($G1248&amp;"",부서매핑!$A$5:$A$504,0)),"미매핑"))</f>
        <v/>
      </c>
      <c r="O1248" s="9">
        <f>IF($A1248="","",N1248&amp;"|"&amp;$F1248)</f>
        <v/>
      </c>
      <c r="P1248" s="94">
        <f>IF($A1248="",0,$H1248*설정!$C$23)</f>
        <v/>
      </c>
      <c r="Q1248" s="64">
        <f>IF($A1248="","",IF(O1248&lt;&gt;원인분석!$C$9,"",IF(AND(M1248&gt;=원인분석!$C$10,M1248&lt;=원인분석!$C$11),"당기",IF(AND(M1248&gt;=원인분석!$C$12,M1248&lt;=원인분석!$C$13),"비교",""))))</f>
        <v/>
      </c>
      <c r="R1248" s="9">
        <f>IF(Q1248="","",$K1248&amp;"")</f>
        <v/>
      </c>
      <c r="S1248" s="9">
        <f>IF(Q1248="","",IF(MATCH(R1248,$R$5:$R$100000,0)=ROW()-4,ROW(),""))</f>
        <v/>
      </c>
      <c r="T1248" s="9">
        <f>IF(Q1248="당기",ABS(P1248)+ROW()/1000000000,"")</f>
        <v/>
      </c>
      <c r="U1248" s="9">
        <f>IF(Q1248="비교",ABS(P1248)+ROW()/1000000000,"")</f>
        <v/>
      </c>
      <c r="V1248" s="64">
        <f>IF($A1248="","",IF(COUNTIF(변동분석!$E$7:$E$506,O1248)&gt;0,"Y","N"))</f>
        <v/>
      </c>
      <c r="W1248" s="64">
        <f>IF($A1248="","",IFERROR(INDEX(계정매핑!$D$5:$D$504,MATCH($F1248&amp;"",계정매핑!$A$5:$A$504,0)),"미매핑"))</f>
        <v/>
      </c>
      <c r="X1248" s="9">
        <f>IF($A1248="","",$F1248&amp;"")</f>
        <v/>
      </c>
      <c r="Y1248" s="94">
        <f>IF($A1248="",0,IF(AE1248="직접",IF(AF1248="비귀속",$P1248,0),$P1248*(1-AG1248)*IFERROR(INDEX(계정대체기준!$F$20:$F$49,MATCH($N1248,계정대체기준!$A$20:$A$49,0)),1)))</f>
        <v/>
      </c>
      <c r="Z1248" s="94">
        <f>IF($A1248="",0,IF(AE1248="직접",IF(AF1248="신계약비",$P1248,0),$P1248*(1-AG1248)*IFERROR(INDEX(계정대체기준!$C$20:$C$49,MATCH($N1248,계정대체기준!$A$20:$A$49,0)),0)))</f>
        <v/>
      </c>
      <c r="AA1248" s="94">
        <f>IF($A1248="",0,IF(AE1248="직접",IF(OR(AF1248="유지비",AF1248="손해조사비"),$P1248,0),$P1248*(1-AG1248)*IFERROR(INDEX(계정대체기준!$D$20:$D$49,MATCH($N1248,계정대체기준!$A$20:$A$49,0)),0)))</f>
        <v/>
      </c>
      <c r="AB1248" s="94">
        <f>IF($A1248="",0,IF(AE1248="직접",IF(AF1248="수금비",$P1248,0),$P1248*(1-AG1248)*IFERROR(INDEX(계정대체기준!$E$20:$E$49,MATCH($N1248,계정대체기준!$A$20:$A$49,0)),0)))</f>
        <v/>
      </c>
      <c r="AC1248" s="9">
        <f>IF(AND($A1248&lt;&gt;"",M1248=설정!$C$20,Z1248&gt;0),Z1248+ROW()/1000000000,"")</f>
        <v/>
      </c>
      <c r="AD1248" s="94">
        <f>IF($A1248="",0,$P1248*AG1248)</f>
        <v/>
      </c>
      <c r="AE1248" s="64">
        <f>IF($A1248="","",IFERROR(INDEX(계정매핑!$E$5:$E$504,MATCH($F1248&amp;"",계정매핑!$A$5:$A$504,0))&amp;"","공통비"))</f>
        <v/>
      </c>
      <c r="AF1248" s="64">
        <f>IF($A1248="","",IF(AE1248="직접",IFERROR(INDEX(계정매핑!$F$5:$F$504,MATCH($F1248&amp;"",계정매핑!$A$5:$A$504,0))&amp;"","비귀속"),""))</f>
        <v/>
      </c>
      <c r="AG1248" s="96">
        <f>IF($A1248="",0,IF(AND(AE1248&lt;&gt;"직접",IFERROR(INDEX(계정매핑!$G$5:$G$504,MATCH($F1248&amp;"",계정매핑!$A$5:$A$504,0))&amp;"","")="유지비",COUNTIF(계정대체기준!$A$6:$A$15,$N1248)&gt;0),IFERROR(INDEX(계정대체기준!$E$6:$E$15,MATCH(VALUE($A1248&amp;""),계정대체기준!$D$6:$D$15,0)),0),0))</f>
        <v/>
      </c>
      <c r="AH1248" s="64">
        <f>IF($A1248="","",IF(AD1248=0,"",IF(OR(COUNTIF(계정대체기준!$A$77:$A$86,$N1248)&gt;0,ISNUMBER(MATCH($X1248,계정대체기준!$D$77:$D$86,0)),ISNUMBER(MATCH($F1248,계정대체기준!$D$77:$D$86,0))),"Y","N")))</f>
        <v/>
      </c>
    </row>
    <row r="1249">
      <c r="A1249" s="92" t="n">
        <v>2025</v>
      </c>
      <c r="B1249" s="92" t="n">
        <v>6</v>
      </c>
      <c r="C1249" s="92" t="inlineStr">
        <is>
          <t>5100001245</t>
        </is>
      </c>
      <c r="D1249" s="95" t="n">
        <v>45822</v>
      </c>
      <c r="E1249" s="92" t="inlineStr">
        <is>
          <t>KR</t>
        </is>
      </c>
      <c r="F1249" s="92" t="n">
        <v>62501000</v>
      </c>
      <c r="G1249" s="92" t="n">
        <v>1701</v>
      </c>
      <c r="H1249" s="93" t="n">
        <v>113000</v>
      </c>
      <c r="I1249" s="92" t="inlineStr">
        <is>
          <t>6월 회의 다과 - (법인카드)</t>
        </is>
      </c>
      <c r="J1249" s="92" t="inlineStr">
        <is>
          <t>V10010</t>
        </is>
      </c>
      <c r="K1249" s="92" t="inlineStr">
        <is>
          <t>(법인카드)</t>
        </is>
      </c>
      <c r="M1249" s="9">
        <f>IF($A1249="","",VALUE($A1249&amp;"")*12+VALUE($B1249&amp;""))</f>
        <v/>
      </c>
      <c r="N1249" s="64">
        <f>IF($A1249="","",IFERROR(INDEX(부서매핑!$C$5:$C$504,MATCH($G1249&amp;"",부서매핑!$A$5:$A$504,0)),"미매핑"))</f>
        <v/>
      </c>
      <c r="O1249" s="9">
        <f>IF($A1249="","",N1249&amp;"|"&amp;$F1249)</f>
        <v/>
      </c>
      <c r="P1249" s="94">
        <f>IF($A1249="",0,$H1249*설정!$C$23)</f>
        <v/>
      </c>
      <c r="Q1249" s="64">
        <f>IF($A1249="","",IF(O1249&lt;&gt;원인분석!$C$9,"",IF(AND(M1249&gt;=원인분석!$C$10,M1249&lt;=원인분석!$C$11),"당기",IF(AND(M1249&gt;=원인분석!$C$12,M1249&lt;=원인분석!$C$13),"비교",""))))</f>
        <v/>
      </c>
      <c r="R1249" s="9">
        <f>IF(Q1249="","",$K1249&amp;"")</f>
        <v/>
      </c>
      <c r="S1249" s="9">
        <f>IF(Q1249="","",IF(MATCH(R1249,$R$5:$R$100000,0)=ROW()-4,ROW(),""))</f>
        <v/>
      </c>
      <c r="T1249" s="9">
        <f>IF(Q1249="당기",ABS(P1249)+ROW()/1000000000,"")</f>
        <v/>
      </c>
      <c r="U1249" s="9">
        <f>IF(Q1249="비교",ABS(P1249)+ROW()/1000000000,"")</f>
        <v/>
      </c>
      <c r="V1249" s="64">
        <f>IF($A1249="","",IF(COUNTIF(변동분석!$E$7:$E$506,O1249)&gt;0,"Y","N"))</f>
        <v/>
      </c>
      <c r="W1249" s="64">
        <f>IF($A1249="","",IFERROR(INDEX(계정매핑!$D$5:$D$504,MATCH($F1249&amp;"",계정매핑!$A$5:$A$504,0)),"미매핑"))</f>
        <v/>
      </c>
      <c r="X1249" s="9">
        <f>IF($A1249="","",$F1249&amp;"")</f>
        <v/>
      </c>
      <c r="Y1249" s="94">
        <f>IF($A1249="",0,IF(AE1249="직접",IF(AF1249="비귀속",$P1249,0),$P1249*(1-AG1249)*IFERROR(INDEX(계정대체기준!$F$20:$F$49,MATCH($N1249,계정대체기준!$A$20:$A$49,0)),1)))</f>
        <v/>
      </c>
      <c r="Z1249" s="94">
        <f>IF($A1249="",0,IF(AE1249="직접",IF(AF1249="신계약비",$P1249,0),$P1249*(1-AG1249)*IFERROR(INDEX(계정대체기준!$C$20:$C$49,MATCH($N1249,계정대체기준!$A$20:$A$49,0)),0)))</f>
        <v/>
      </c>
      <c r="AA1249" s="94">
        <f>IF($A1249="",0,IF(AE1249="직접",IF(OR(AF1249="유지비",AF1249="손해조사비"),$P1249,0),$P1249*(1-AG1249)*IFERROR(INDEX(계정대체기준!$D$20:$D$49,MATCH($N1249,계정대체기준!$A$20:$A$49,0)),0)))</f>
        <v/>
      </c>
      <c r="AB1249" s="94">
        <f>IF($A1249="",0,IF(AE1249="직접",IF(AF1249="수금비",$P1249,0),$P1249*(1-AG1249)*IFERROR(INDEX(계정대체기준!$E$20:$E$49,MATCH($N1249,계정대체기준!$A$20:$A$49,0)),0)))</f>
        <v/>
      </c>
      <c r="AC1249" s="9">
        <f>IF(AND($A1249&lt;&gt;"",M1249=설정!$C$20,Z1249&gt;0),Z1249+ROW()/1000000000,"")</f>
        <v/>
      </c>
      <c r="AD1249" s="94">
        <f>IF($A1249="",0,$P1249*AG1249)</f>
        <v/>
      </c>
      <c r="AE1249" s="64">
        <f>IF($A1249="","",IFERROR(INDEX(계정매핑!$E$5:$E$504,MATCH($F1249&amp;"",계정매핑!$A$5:$A$504,0))&amp;"","공통비"))</f>
        <v/>
      </c>
      <c r="AF1249" s="64">
        <f>IF($A1249="","",IF(AE1249="직접",IFERROR(INDEX(계정매핑!$F$5:$F$504,MATCH($F1249&amp;"",계정매핑!$A$5:$A$504,0))&amp;"","비귀속"),""))</f>
        <v/>
      </c>
      <c r="AG1249" s="96">
        <f>IF($A1249="",0,IF(AND(AE1249&lt;&gt;"직접",IFERROR(INDEX(계정매핑!$G$5:$G$504,MATCH($F1249&amp;"",계정매핑!$A$5:$A$504,0))&amp;"","")="유지비",COUNTIF(계정대체기준!$A$6:$A$15,$N1249)&gt;0),IFERROR(INDEX(계정대체기준!$E$6:$E$15,MATCH(VALUE($A1249&amp;""),계정대체기준!$D$6:$D$15,0)),0),0))</f>
        <v/>
      </c>
      <c r="AH1249" s="64">
        <f>IF($A1249="","",IF(AD1249=0,"",IF(OR(COUNTIF(계정대체기준!$A$77:$A$86,$N1249)&gt;0,ISNUMBER(MATCH($X1249,계정대체기준!$D$77:$D$86,0)),ISNUMBER(MATCH($F1249,계정대체기준!$D$77:$D$86,0))),"Y","N")))</f>
        <v/>
      </c>
    </row>
    <row r="1250">
      <c r="A1250" s="92" t="n">
        <v>2025</v>
      </c>
      <c r="B1250" s="92" t="n">
        <v>6</v>
      </c>
      <c r="C1250" s="92" t="inlineStr">
        <is>
          <t>5100001246</t>
        </is>
      </c>
      <c r="D1250" s="95" t="n">
        <v>45822</v>
      </c>
      <c r="E1250" s="92" t="inlineStr">
        <is>
          <t>KR</t>
        </is>
      </c>
      <c r="F1250" s="92" t="n">
        <v>62601000</v>
      </c>
      <c r="G1250" s="92" t="n">
        <v>1101</v>
      </c>
      <c r="H1250" s="93" t="n">
        <v>3395000</v>
      </c>
      <c r="I1250" s="92" t="inlineStr">
        <is>
          <t>6월 업무추진 - (법인카드)</t>
        </is>
      </c>
      <c r="J1250" s="92" t="inlineStr">
        <is>
          <t>V10010</t>
        </is>
      </c>
      <c r="K1250" s="92" t="inlineStr">
        <is>
          <t>(법인카드)</t>
        </is>
      </c>
      <c r="M1250" s="9">
        <f>IF($A1250="","",VALUE($A1250&amp;"")*12+VALUE($B1250&amp;""))</f>
        <v/>
      </c>
      <c r="N1250" s="64">
        <f>IF($A1250="","",IFERROR(INDEX(부서매핑!$C$5:$C$504,MATCH($G1250&amp;"",부서매핑!$A$5:$A$504,0)),"미매핑"))</f>
        <v/>
      </c>
      <c r="O1250" s="9">
        <f>IF($A1250="","",N1250&amp;"|"&amp;$F1250)</f>
        <v/>
      </c>
      <c r="P1250" s="94">
        <f>IF($A1250="",0,$H1250*설정!$C$23)</f>
        <v/>
      </c>
      <c r="Q1250" s="64">
        <f>IF($A1250="","",IF(O1250&lt;&gt;원인분석!$C$9,"",IF(AND(M1250&gt;=원인분석!$C$10,M1250&lt;=원인분석!$C$11),"당기",IF(AND(M1250&gt;=원인분석!$C$12,M1250&lt;=원인분석!$C$13),"비교",""))))</f>
        <v/>
      </c>
      <c r="R1250" s="9">
        <f>IF(Q1250="","",$K1250&amp;"")</f>
        <v/>
      </c>
      <c r="S1250" s="9">
        <f>IF(Q1250="","",IF(MATCH(R1250,$R$5:$R$100000,0)=ROW()-4,ROW(),""))</f>
        <v/>
      </c>
      <c r="T1250" s="9">
        <f>IF(Q1250="당기",ABS(P1250)+ROW()/1000000000,"")</f>
        <v/>
      </c>
      <c r="U1250" s="9">
        <f>IF(Q1250="비교",ABS(P1250)+ROW()/1000000000,"")</f>
        <v/>
      </c>
      <c r="V1250" s="64">
        <f>IF($A1250="","",IF(COUNTIF(변동분석!$E$7:$E$506,O1250)&gt;0,"Y","N"))</f>
        <v/>
      </c>
      <c r="W1250" s="64">
        <f>IF($A1250="","",IFERROR(INDEX(계정매핑!$D$5:$D$504,MATCH($F1250&amp;"",계정매핑!$A$5:$A$504,0)),"미매핑"))</f>
        <v/>
      </c>
      <c r="X1250" s="9">
        <f>IF($A1250="","",$F1250&amp;"")</f>
        <v/>
      </c>
      <c r="Y1250" s="94">
        <f>IF($A1250="",0,IF(AE1250="직접",IF(AF1250="비귀속",$P1250,0),$P1250*(1-AG1250)*IFERROR(INDEX(계정대체기준!$F$20:$F$49,MATCH($N1250,계정대체기준!$A$20:$A$49,0)),1)))</f>
        <v/>
      </c>
      <c r="Z1250" s="94">
        <f>IF($A1250="",0,IF(AE1250="직접",IF(AF1250="신계약비",$P1250,0),$P1250*(1-AG1250)*IFERROR(INDEX(계정대체기준!$C$20:$C$49,MATCH($N1250,계정대체기준!$A$20:$A$49,0)),0)))</f>
        <v/>
      </c>
      <c r="AA1250" s="94">
        <f>IF($A1250="",0,IF(AE1250="직접",IF(OR(AF1250="유지비",AF1250="손해조사비"),$P1250,0),$P1250*(1-AG1250)*IFERROR(INDEX(계정대체기준!$D$20:$D$49,MATCH($N1250,계정대체기준!$A$20:$A$49,0)),0)))</f>
        <v/>
      </c>
      <c r="AB1250" s="94">
        <f>IF($A1250="",0,IF(AE1250="직접",IF(AF1250="수금비",$P1250,0),$P1250*(1-AG1250)*IFERROR(INDEX(계정대체기준!$E$20:$E$49,MATCH($N1250,계정대체기준!$A$20:$A$49,0)),0)))</f>
        <v/>
      </c>
      <c r="AC1250" s="9">
        <f>IF(AND($A1250&lt;&gt;"",M1250=설정!$C$20,Z1250&gt;0),Z1250+ROW()/1000000000,"")</f>
        <v/>
      </c>
      <c r="AD1250" s="94">
        <f>IF($A1250="",0,$P1250*AG1250)</f>
        <v/>
      </c>
      <c r="AE1250" s="64">
        <f>IF($A1250="","",IFERROR(INDEX(계정매핑!$E$5:$E$504,MATCH($F1250&amp;"",계정매핑!$A$5:$A$504,0))&amp;"","공통비"))</f>
        <v/>
      </c>
      <c r="AF1250" s="64">
        <f>IF($A1250="","",IF(AE1250="직접",IFERROR(INDEX(계정매핑!$F$5:$F$504,MATCH($F1250&amp;"",계정매핑!$A$5:$A$504,0))&amp;"","비귀속"),""))</f>
        <v/>
      </c>
      <c r="AG1250" s="96">
        <f>IF($A1250="",0,IF(AND(AE1250&lt;&gt;"직접",IFERROR(INDEX(계정매핑!$G$5:$G$504,MATCH($F1250&amp;"",계정매핑!$A$5:$A$504,0))&amp;"","")="유지비",COUNTIF(계정대체기준!$A$6:$A$15,$N1250)&gt;0),IFERROR(INDEX(계정대체기준!$E$6:$E$15,MATCH(VALUE($A1250&amp;""),계정대체기준!$D$6:$D$15,0)),0),0))</f>
        <v/>
      </c>
      <c r="AH1250" s="64">
        <f>IF($A1250="","",IF(AD1250=0,"",IF(OR(COUNTIF(계정대체기준!$A$77:$A$86,$N1250)&gt;0,ISNUMBER(MATCH($X1250,계정대체기준!$D$77:$D$86,0)),ISNUMBER(MATCH($F1250,계정대체기준!$D$77:$D$86,0))),"Y","N")))</f>
        <v/>
      </c>
    </row>
    <row r="1251">
      <c r="A1251" s="92" t="n">
        <v>2025</v>
      </c>
      <c r="B1251" s="92" t="n">
        <v>6</v>
      </c>
      <c r="C1251" s="92" t="inlineStr">
        <is>
          <t>5100001247</t>
        </is>
      </c>
      <c r="D1251" s="95" t="n">
        <v>45822</v>
      </c>
      <c r="E1251" s="92" t="inlineStr">
        <is>
          <t>KR</t>
        </is>
      </c>
      <c r="F1251" s="92" t="n">
        <v>62901000</v>
      </c>
      <c r="G1251" s="92" t="n">
        <v>1101</v>
      </c>
      <c r="H1251" s="93" t="n">
        <v>4740000</v>
      </c>
      <c r="I1251" s="92" t="inlineStr">
        <is>
          <t>6월 자문 수수료 - K회계법인</t>
        </is>
      </c>
      <c r="J1251" s="92" t="inlineStr">
        <is>
          <t>V10011</t>
        </is>
      </c>
      <c r="K1251" s="92" t="inlineStr">
        <is>
          <t>K회계법인</t>
        </is>
      </c>
      <c r="M1251" s="9">
        <f>IF($A1251="","",VALUE($A1251&amp;"")*12+VALUE($B1251&amp;""))</f>
        <v/>
      </c>
      <c r="N1251" s="64">
        <f>IF($A1251="","",IFERROR(INDEX(부서매핑!$C$5:$C$504,MATCH($G1251&amp;"",부서매핑!$A$5:$A$504,0)),"미매핑"))</f>
        <v/>
      </c>
      <c r="O1251" s="9">
        <f>IF($A1251="","",N1251&amp;"|"&amp;$F1251)</f>
        <v/>
      </c>
      <c r="P1251" s="94">
        <f>IF($A1251="",0,$H1251*설정!$C$23)</f>
        <v/>
      </c>
      <c r="Q1251" s="64">
        <f>IF($A1251="","",IF(O1251&lt;&gt;원인분석!$C$9,"",IF(AND(M1251&gt;=원인분석!$C$10,M1251&lt;=원인분석!$C$11),"당기",IF(AND(M1251&gt;=원인분석!$C$12,M1251&lt;=원인분석!$C$13),"비교",""))))</f>
        <v/>
      </c>
      <c r="R1251" s="9">
        <f>IF(Q1251="","",$K1251&amp;"")</f>
        <v/>
      </c>
      <c r="S1251" s="9">
        <f>IF(Q1251="","",IF(MATCH(R1251,$R$5:$R$100000,0)=ROW()-4,ROW(),""))</f>
        <v/>
      </c>
      <c r="T1251" s="9">
        <f>IF(Q1251="당기",ABS(P1251)+ROW()/1000000000,"")</f>
        <v/>
      </c>
      <c r="U1251" s="9">
        <f>IF(Q1251="비교",ABS(P1251)+ROW()/1000000000,"")</f>
        <v/>
      </c>
      <c r="V1251" s="64">
        <f>IF($A1251="","",IF(COUNTIF(변동분석!$E$7:$E$506,O1251)&gt;0,"Y","N"))</f>
        <v/>
      </c>
      <c r="W1251" s="64">
        <f>IF($A1251="","",IFERROR(INDEX(계정매핑!$D$5:$D$504,MATCH($F1251&amp;"",계정매핑!$A$5:$A$504,0)),"미매핑"))</f>
        <v/>
      </c>
      <c r="X1251" s="9">
        <f>IF($A1251="","",$F1251&amp;"")</f>
        <v/>
      </c>
      <c r="Y1251" s="94">
        <f>IF($A1251="",0,IF(AE1251="직접",IF(AF1251="비귀속",$P1251,0),$P1251*(1-AG1251)*IFERROR(INDEX(계정대체기준!$F$20:$F$49,MATCH($N1251,계정대체기준!$A$20:$A$49,0)),1)))</f>
        <v/>
      </c>
      <c r="Z1251" s="94">
        <f>IF($A1251="",0,IF(AE1251="직접",IF(AF1251="신계약비",$P1251,0),$P1251*(1-AG1251)*IFERROR(INDEX(계정대체기준!$C$20:$C$49,MATCH($N1251,계정대체기준!$A$20:$A$49,0)),0)))</f>
        <v/>
      </c>
      <c r="AA1251" s="94">
        <f>IF($A1251="",0,IF(AE1251="직접",IF(OR(AF1251="유지비",AF1251="손해조사비"),$P1251,0),$P1251*(1-AG1251)*IFERROR(INDEX(계정대체기준!$D$20:$D$49,MATCH($N1251,계정대체기준!$A$20:$A$49,0)),0)))</f>
        <v/>
      </c>
      <c r="AB1251" s="94">
        <f>IF($A1251="",0,IF(AE1251="직접",IF(AF1251="수금비",$P1251,0),$P1251*(1-AG1251)*IFERROR(INDEX(계정대체기준!$E$20:$E$49,MATCH($N1251,계정대체기준!$A$20:$A$49,0)),0)))</f>
        <v/>
      </c>
      <c r="AC1251" s="9">
        <f>IF(AND($A1251&lt;&gt;"",M1251=설정!$C$20,Z1251&gt;0),Z1251+ROW()/1000000000,"")</f>
        <v/>
      </c>
      <c r="AD1251" s="94">
        <f>IF($A1251="",0,$P1251*AG1251)</f>
        <v/>
      </c>
      <c r="AE1251" s="64">
        <f>IF($A1251="","",IFERROR(INDEX(계정매핑!$E$5:$E$504,MATCH($F1251&amp;"",계정매핑!$A$5:$A$504,0))&amp;"","공통비"))</f>
        <v/>
      </c>
      <c r="AF1251" s="64">
        <f>IF($A1251="","",IF(AE1251="직접",IFERROR(INDEX(계정매핑!$F$5:$F$504,MATCH($F1251&amp;"",계정매핑!$A$5:$A$504,0))&amp;"","비귀속"),""))</f>
        <v/>
      </c>
      <c r="AG1251" s="96">
        <f>IF($A1251="",0,IF(AND(AE1251&lt;&gt;"직접",IFERROR(INDEX(계정매핑!$G$5:$G$504,MATCH($F1251&amp;"",계정매핑!$A$5:$A$504,0))&amp;"","")="유지비",COUNTIF(계정대체기준!$A$6:$A$15,$N1251)&gt;0),IFERROR(INDEX(계정대체기준!$E$6:$E$15,MATCH(VALUE($A1251&amp;""),계정대체기준!$D$6:$D$15,0)),0),0))</f>
        <v/>
      </c>
      <c r="AH1251" s="64">
        <f>IF($A1251="","",IF(AD1251=0,"",IF(OR(COUNTIF(계정대체기준!$A$77:$A$86,$N1251)&gt;0,ISNUMBER(MATCH($X1251,계정대체기준!$D$77:$D$86,0)),ISNUMBER(MATCH($F1251,계정대체기준!$D$77:$D$86,0))),"Y","N")))</f>
        <v/>
      </c>
    </row>
    <row r="1252">
      <c r="A1252" s="92" t="n">
        <v>2025</v>
      </c>
      <c r="B1252" s="92" t="n">
        <v>6</v>
      </c>
      <c r="C1252" s="92" t="inlineStr">
        <is>
          <t>5100001248</t>
        </is>
      </c>
      <c r="D1252" s="95" t="n">
        <v>45823</v>
      </c>
      <c r="E1252" s="92" t="inlineStr">
        <is>
          <t>KR</t>
        </is>
      </c>
      <c r="F1252" s="92" t="n">
        <v>62101000</v>
      </c>
      <c r="G1252" s="92" t="n">
        <v>1401</v>
      </c>
      <c r="H1252" s="93" t="n">
        <v>632000</v>
      </c>
      <c r="I1252" s="92" t="inlineStr">
        <is>
          <t>6월 국내출장 - L여행사</t>
        </is>
      </c>
      <c r="J1252" s="92" t="inlineStr">
        <is>
          <t>V10018</t>
        </is>
      </c>
      <c r="K1252" s="92" t="inlineStr">
        <is>
          <t>L여행사</t>
        </is>
      </c>
      <c r="M1252" s="9">
        <f>IF($A1252="","",VALUE($A1252&amp;"")*12+VALUE($B1252&amp;""))</f>
        <v/>
      </c>
      <c r="N1252" s="64">
        <f>IF($A1252="","",IFERROR(INDEX(부서매핑!$C$5:$C$504,MATCH($G1252&amp;"",부서매핑!$A$5:$A$504,0)),"미매핑"))</f>
        <v/>
      </c>
      <c r="O1252" s="9">
        <f>IF($A1252="","",N1252&amp;"|"&amp;$F1252)</f>
        <v/>
      </c>
      <c r="P1252" s="94">
        <f>IF($A1252="",0,$H1252*설정!$C$23)</f>
        <v/>
      </c>
      <c r="Q1252" s="64">
        <f>IF($A1252="","",IF(O1252&lt;&gt;원인분석!$C$9,"",IF(AND(M1252&gt;=원인분석!$C$10,M1252&lt;=원인분석!$C$11),"당기",IF(AND(M1252&gt;=원인분석!$C$12,M1252&lt;=원인분석!$C$13),"비교",""))))</f>
        <v/>
      </c>
      <c r="R1252" s="9">
        <f>IF(Q1252="","",$K1252&amp;"")</f>
        <v/>
      </c>
      <c r="S1252" s="9">
        <f>IF(Q1252="","",IF(MATCH(R1252,$R$5:$R$100000,0)=ROW()-4,ROW(),""))</f>
        <v/>
      </c>
      <c r="T1252" s="9">
        <f>IF(Q1252="당기",ABS(P1252)+ROW()/1000000000,"")</f>
        <v/>
      </c>
      <c r="U1252" s="9">
        <f>IF(Q1252="비교",ABS(P1252)+ROW()/1000000000,"")</f>
        <v/>
      </c>
      <c r="V1252" s="64">
        <f>IF($A1252="","",IF(COUNTIF(변동분석!$E$7:$E$506,O1252)&gt;0,"Y","N"))</f>
        <v/>
      </c>
      <c r="W1252" s="64">
        <f>IF($A1252="","",IFERROR(INDEX(계정매핑!$D$5:$D$504,MATCH($F1252&amp;"",계정매핑!$A$5:$A$504,0)),"미매핑"))</f>
        <v/>
      </c>
      <c r="X1252" s="9">
        <f>IF($A1252="","",$F1252&amp;"")</f>
        <v/>
      </c>
      <c r="Y1252" s="94">
        <f>IF($A1252="",0,IF(AE1252="직접",IF(AF1252="비귀속",$P1252,0),$P1252*(1-AG1252)*IFERROR(INDEX(계정대체기준!$F$20:$F$49,MATCH($N1252,계정대체기준!$A$20:$A$49,0)),1)))</f>
        <v/>
      </c>
      <c r="Z1252" s="94">
        <f>IF($A1252="",0,IF(AE1252="직접",IF(AF1252="신계약비",$P1252,0),$P1252*(1-AG1252)*IFERROR(INDEX(계정대체기준!$C$20:$C$49,MATCH($N1252,계정대체기준!$A$20:$A$49,0)),0)))</f>
        <v/>
      </c>
      <c r="AA1252" s="94">
        <f>IF($A1252="",0,IF(AE1252="직접",IF(OR(AF1252="유지비",AF1252="손해조사비"),$P1252,0),$P1252*(1-AG1252)*IFERROR(INDEX(계정대체기준!$D$20:$D$49,MATCH($N1252,계정대체기준!$A$20:$A$49,0)),0)))</f>
        <v/>
      </c>
      <c r="AB1252" s="94">
        <f>IF($A1252="",0,IF(AE1252="직접",IF(AF1252="수금비",$P1252,0),$P1252*(1-AG1252)*IFERROR(INDEX(계정대체기준!$E$20:$E$49,MATCH($N1252,계정대체기준!$A$20:$A$49,0)),0)))</f>
        <v/>
      </c>
      <c r="AC1252" s="9">
        <f>IF(AND($A1252&lt;&gt;"",M1252=설정!$C$20,Z1252&gt;0),Z1252+ROW()/1000000000,"")</f>
        <v/>
      </c>
      <c r="AD1252" s="94">
        <f>IF($A1252="",0,$P1252*AG1252)</f>
        <v/>
      </c>
      <c r="AE1252" s="64">
        <f>IF($A1252="","",IFERROR(INDEX(계정매핑!$E$5:$E$504,MATCH($F1252&amp;"",계정매핑!$A$5:$A$504,0))&amp;"","공통비"))</f>
        <v/>
      </c>
      <c r="AF1252" s="64">
        <f>IF($A1252="","",IF(AE1252="직접",IFERROR(INDEX(계정매핑!$F$5:$F$504,MATCH($F1252&amp;"",계정매핑!$A$5:$A$504,0))&amp;"","비귀속"),""))</f>
        <v/>
      </c>
      <c r="AG1252" s="96">
        <f>IF($A1252="",0,IF(AND(AE1252&lt;&gt;"직접",IFERROR(INDEX(계정매핑!$G$5:$G$504,MATCH($F1252&amp;"",계정매핑!$A$5:$A$504,0))&amp;"","")="유지비",COUNTIF(계정대체기준!$A$6:$A$15,$N1252)&gt;0),IFERROR(INDEX(계정대체기준!$E$6:$E$15,MATCH(VALUE($A1252&amp;""),계정대체기준!$D$6:$D$15,0)),0),0))</f>
        <v/>
      </c>
      <c r="AH1252" s="64">
        <f>IF($A1252="","",IF(AD1252=0,"",IF(OR(COUNTIF(계정대체기준!$A$77:$A$86,$N1252)&gt;0,ISNUMBER(MATCH($X1252,계정대체기준!$D$77:$D$86,0)),ISNUMBER(MATCH($F1252,계정대체기준!$D$77:$D$86,0))),"Y","N")))</f>
        <v/>
      </c>
    </row>
    <row r="1253">
      <c r="A1253" s="92" t="n">
        <v>2025</v>
      </c>
      <c r="B1253" s="92" t="n">
        <v>6</v>
      </c>
      <c r="C1253" s="92" t="inlineStr">
        <is>
          <t>5100001249</t>
        </is>
      </c>
      <c r="D1253" s="95" t="n">
        <v>45823</v>
      </c>
      <c r="E1253" s="92" t="inlineStr">
        <is>
          <t>KR</t>
        </is>
      </c>
      <c r="F1253" s="92" t="n">
        <v>62101000</v>
      </c>
      <c r="G1253" s="92" t="n">
        <v>1501</v>
      </c>
      <c r="H1253" s="93" t="n">
        <v>722000</v>
      </c>
      <c r="I1253" s="92" t="inlineStr">
        <is>
          <t>6월 국내출장 - (법인카드)</t>
        </is>
      </c>
      <c r="J1253" s="92" t="inlineStr">
        <is>
          <t>V10010</t>
        </is>
      </c>
      <c r="K1253" s="92" t="inlineStr">
        <is>
          <t>(법인카드)</t>
        </is>
      </c>
      <c r="M1253" s="9">
        <f>IF($A1253="","",VALUE($A1253&amp;"")*12+VALUE($B1253&amp;""))</f>
        <v/>
      </c>
      <c r="N1253" s="64">
        <f>IF($A1253="","",IFERROR(INDEX(부서매핑!$C$5:$C$504,MATCH($G1253&amp;"",부서매핑!$A$5:$A$504,0)),"미매핑"))</f>
        <v/>
      </c>
      <c r="O1253" s="9">
        <f>IF($A1253="","",N1253&amp;"|"&amp;$F1253)</f>
        <v/>
      </c>
      <c r="P1253" s="94">
        <f>IF($A1253="",0,$H1253*설정!$C$23)</f>
        <v/>
      </c>
      <c r="Q1253" s="64">
        <f>IF($A1253="","",IF(O1253&lt;&gt;원인분석!$C$9,"",IF(AND(M1253&gt;=원인분석!$C$10,M1253&lt;=원인분석!$C$11),"당기",IF(AND(M1253&gt;=원인분석!$C$12,M1253&lt;=원인분석!$C$13),"비교",""))))</f>
        <v/>
      </c>
      <c r="R1253" s="9">
        <f>IF(Q1253="","",$K1253&amp;"")</f>
        <v/>
      </c>
      <c r="S1253" s="9">
        <f>IF(Q1253="","",IF(MATCH(R1253,$R$5:$R$100000,0)=ROW()-4,ROW(),""))</f>
        <v/>
      </c>
      <c r="T1253" s="9">
        <f>IF(Q1253="당기",ABS(P1253)+ROW()/1000000000,"")</f>
        <v/>
      </c>
      <c r="U1253" s="9">
        <f>IF(Q1253="비교",ABS(P1253)+ROW()/1000000000,"")</f>
        <v/>
      </c>
      <c r="V1253" s="64">
        <f>IF($A1253="","",IF(COUNTIF(변동분석!$E$7:$E$506,O1253)&gt;0,"Y","N"))</f>
        <v/>
      </c>
      <c r="W1253" s="64">
        <f>IF($A1253="","",IFERROR(INDEX(계정매핑!$D$5:$D$504,MATCH($F1253&amp;"",계정매핑!$A$5:$A$504,0)),"미매핑"))</f>
        <v/>
      </c>
      <c r="X1253" s="9">
        <f>IF($A1253="","",$F1253&amp;"")</f>
        <v/>
      </c>
      <c r="Y1253" s="94">
        <f>IF($A1253="",0,IF(AE1253="직접",IF(AF1253="비귀속",$P1253,0),$P1253*(1-AG1253)*IFERROR(INDEX(계정대체기준!$F$20:$F$49,MATCH($N1253,계정대체기준!$A$20:$A$49,0)),1)))</f>
        <v/>
      </c>
      <c r="Z1253" s="94">
        <f>IF($A1253="",0,IF(AE1253="직접",IF(AF1253="신계약비",$P1253,0),$P1253*(1-AG1253)*IFERROR(INDEX(계정대체기준!$C$20:$C$49,MATCH($N1253,계정대체기준!$A$20:$A$49,0)),0)))</f>
        <v/>
      </c>
      <c r="AA1253" s="94">
        <f>IF($A1253="",0,IF(AE1253="직접",IF(OR(AF1253="유지비",AF1253="손해조사비"),$P1253,0),$P1253*(1-AG1253)*IFERROR(INDEX(계정대체기준!$D$20:$D$49,MATCH($N1253,계정대체기준!$A$20:$A$49,0)),0)))</f>
        <v/>
      </c>
      <c r="AB1253" s="94">
        <f>IF($A1253="",0,IF(AE1253="직접",IF(AF1253="수금비",$P1253,0),$P1253*(1-AG1253)*IFERROR(INDEX(계정대체기준!$E$20:$E$49,MATCH($N1253,계정대체기준!$A$20:$A$49,0)),0)))</f>
        <v/>
      </c>
      <c r="AC1253" s="9">
        <f>IF(AND($A1253&lt;&gt;"",M1253=설정!$C$20,Z1253&gt;0),Z1253+ROW()/1000000000,"")</f>
        <v/>
      </c>
      <c r="AD1253" s="94">
        <f>IF($A1253="",0,$P1253*AG1253)</f>
        <v/>
      </c>
      <c r="AE1253" s="64">
        <f>IF($A1253="","",IFERROR(INDEX(계정매핑!$E$5:$E$504,MATCH($F1253&amp;"",계정매핑!$A$5:$A$504,0))&amp;"","공통비"))</f>
        <v/>
      </c>
      <c r="AF1253" s="64">
        <f>IF($A1253="","",IF(AE1253="직접",IFERROR(INDEX(계정매핑!$F$5:$F$504,MATCH($F1253&amp;"",계정매핑!$A$5:$A$504,0))&amp;"","비귀속"),""))</f>
        <v/>
      </c>
      <c r="AG1253" s="96">
        <f>IF($A1253="",0,IF(AND(AE1253&lt;&gt;"직접",IFERROR(INDEX(계정매핑!$G$5:$G$504,MATCH($F1253&amp;"",계정매핑!$A$5:$A$504,0))&amp;"","")="유지비",COUNTIF(계정대체기준!$A$6:$A$15,$N1253)&gt;0),IFERROR(INDEX(계정대체기준!$E$6:$E$15,MATCH(VALUE($A1253&amp;""),계정대체기준!$D$6:$D$15,0)),0),0))</f>
        <v/>
      </c>
      <c r="AH1253" s="64">
        <f>IF($A1253="","",IF(AD1253=0,"",IF(OR(COUNTIF(계정대체기준!$A$77:$A$86,$N1253)&gt;0,ISNUMBER(MATCH($X1253,계정대체기준!$D$77:$D$86,0)),ISNUMBER(MATCH($F1253,계정대체기준!$D$77:$D$86,0))),"Y","N")))</f>
        <v/>
      </c>
    </row>
    <row r="1254">
      <c r="A1254" s="92" t="n">
        <v>2025</v>
      </c>
      <c r="B1254" s="92" t="n">
        <v>6</v>
      </c>
      <c r="C1254" s="92" t="inlineStr">
        <is>
          <t>5100001250</t>
        </is>
      </c>
      <c r="D1254" s="95" t="n">
        <v>45823</v>
      </c>
      <c r="E1254" s="92" t="inlineStr">
        <is>
          <t>KR</t>
        </is>
      </c>
      <c r="F1254" s="92" t="n">
        <v>62101000</v>
      </c>
      <c r="G1254" s="92" t="n">
        <v>1701</v>
      </c>
      <c r="H1254" s="93" t="n">
        <v>128000</v>
      </c>
      <c r="I1254" s="92" t="inlineStr">
        <is>
          <t>6월 국내출장 - M항공</t>
        </is>
      </c>
      <c r="J1254" s="92" t="inlineStr">
        <is>
          <t>V10001</t>
        </is>
      </c>
      <c r="K1254" s="92" t="inlineStr">
        <is>
          <t>M항공</t>
        </is>
      </c>
      <c r="M1254" s="9">
        <f>IF($A1254="","",VALUE($A1254&amp;"")*12+VALUE($B1254&amp;""))</f>
        <v/>
      </c>
      <c r="N1254" s="64">
        <f>IF($A1254="","",IFERROR(INDEX(부서매핑!$C$5:$C$504,MATCH($G1254&amp;"",부서매핑!$A$5:$A$504,0)),"미매핑"))</f>
        <v/>
      </c>
      <c r="O1254" s="9">
        <f>IF($A1254="","",N1254&amp;"|"&amp;$F1254)</f>
        <v/>
      </c>
      <c r="P1254" s="94">
        <f>IF($A1254="",0,$H1254*설정!$C$23)</f>
        <v/>
      </c>
      <c r="Q1254" s="64">
        <f>IF($A1254="","",IF(O1254&lt;&gt;원인분석!$C$9,"",IF(AND(M1254&gt;=원인분석!$C$10,M1254&lt;=원인분석!$C$11),"당기",IF(AND(M1254&gt;=원인분석!$C$12,M1254&lt;=원인분석!$C$13),"비교",""))))</f>
        <v/>
      </c>
      <c r="R1254" s="9">
        <f>IF(Q1254="","",$K1254&amp;"")</f>
        <v/>
      </c>
      <c r="S1254" s="9">
        <f>IF(Q1254="","",IF(MATCH(R1254,$R$5:$R$100000,0)=ROW()-4,ROW(),""))</f>
        <v/>
      </c>
      <c r="T1254" s="9">
        <f>IF(Q1254="당기",ABS(P1254)+ROW()/1000000000,"")</f>
        <v/>
      </c>
      <c r="U1254" s="9">
        <f>IF(Q1254="비교",ABS(P1254)+ROW()/1000000000,"")</f>
        <v/>
      </c>
      <c r="V1254" s="64">
        <f>IF($A1254="","",IF(COUNTIF(변동분석!$E$7:$E$506,O1254)&gt;0,"Y","N"))</f>
        <v/>
      </c>
      <c r="W1254" s="64">
        <f>IF($A1254="","",IFERROR(INDEX(계정매핑!$D$5:$D$504,MATCH($F1254&amp;"",계정매핑!$A$5:$A$504,0)),"미매핑"))</f>
        <v/>
      </c>
      <c r="X1254" s="9">
        <f>IF($A1254="","",$F1254&amp;"")</f>
        <v/>
      </c>
      <c r="Y1254" s="94">
        <f>IF($A1254="",0,IF(AE1254="직접",IF(AF1254="비귀속",$P1254,0),$P1254*(1-AG1254)*IFERROR(INDEX(계정대체기준!$F$20:$F$49,MATCH($N1254,계정대체기준!$A$20:$A$49,0)),1)))</f>
        <v/>
      </c>
      <c r="Z1254" s="94">
        <f>IF($A1254="",0,IF(AE1254="직접",IF(AF1254="신계약비",$P1254,0),$P1254*(1-AG1254)*IFERROR(INDEX(계정대체기준!$C$20:$C$49,MATCH($N1254,계정대체기준!$A$20:$A$49,0)),0)))</f>
        <v/>
      </c>
      <c r="AA1254" s="94">
        <f>IF($A1254="",0,IF(AE1254="직접",IF(OR(AF1254="유지비",AF1254="손해조사비"),$P1254,0),$P1254*(1-AG1254)*IFERROR(INDEX(계정대체기준!$D$20:$D$49,MATCH($N1254,계정대체기준!$A$20:$A$49,0)),0)))</f>
        <v/>
      </c>
      <c r="AB1254" s="94">
        <f>IF($A1254="",0,IF(AE1254="직접",IF(AF1254="수금비",$P1254,0),$P1254*(1-AG1254)*IFERROR(INDEX(계정대체기준!$E$20:$E$49,MATCH($N1254,계정대체기준!$A$20:$A$49,0)),0)))</f>
        <v/>
      </c>
      <c r="AC1254" s="9">
        <f>IF(AND($A1254&lt;&gt;"",M1254=설정!$C$20,Z1254&gt;0),Z1254+ROW()/1000000000,"")</f>
        <v/>
      </c>
      <c r="AD1254" s="94">
        <f>IF($A1254="",0,$P1254*AG1254)</f>
        <v/>
      </c>
      <c r="AE1254" s="64">
        <f>IF($A1254="","",IFERROR(INDEX(계정매핑!$E$5:$E$504,MATCH($F1254&amp;"",계정매핑!$A$5:$A$504,0))&amp;"","공통비"))</f>
        <v/>
      </c>
      <c r="AF1254" s="64">
        <f>IF($A1254="","",IF(AE1254="직접",IFERROR(INDEX(계정매핑!$F$5:$F$504,MATCH($F1254&amp;"",계정매핑!$A$5:$A$504,0))&amp;"","비귀속"),""))</f>
        <v/>
      </c>
      <c r="AG1254" s="96">
        <f>IF($A1254="",0,IF(AND(AE1254&lt;&gt;"직접",IFERROR(INDEX(계정매핑!$G$5:$G$504,MATCH($F1254&amp;"",계정매핑!$A$5:$A$504,0))&amp;"","")="유지비",COUNTIF(계정대체기준!$A$6:$A$15,$N1254)&gt;0),IFERROR(INDEX(계정대체기준!$E$6:$E$15,MATCH(VALUE($A1254&amp;""),계정대체기준!$D$6:$D$15,0)),0),0))</f>
        <v/>
      </c>
      <c r="AH1254" s="64">
        <f>IF($A1254="","",IF(AD1254=0,"",IF(OR(COUNTIF(계정대체기준!$A$77:$A$86,$N1254)&gt;0,ISNUMBER(MATCH($X1254,계정대체기준!$D$77:$D$86,0)),ISNUMBER(MATCH($F1254,계정대체기준!$D$77:$D$86,0))),"Y","N")))</f>
        <v/>
      </c>
    </row>
    <row r="1255">
      <c r="A1255" s="92" t="n">
        <v>2025</v>
      </c>
      <c r="B1255" s="92" t="n">
        <v>6</v>
      </c>
      <c r="C1255" s="92" t="inlineStr">
        <is>
          <t>5100001251</t>
        </is>
      </c>
      <c r="D1255" s="95" t="n">
        <v>45823</v>
      </c>
      <c r="E1255" s="92" t="inlineStr">
        <is>
          <t>KR</t>
        </is>
      </c>
      <c r="F1255" s="92" t="n">
        <v>62102000</v>
      </c>
      <c r="G1255" s="92" t="n">
        <v>1401</v>
      </c>
      <c r="H1255" s="93" t="n">
        <v>140000</v>
      </c>
      <c r="I1255" s="92" t="inlineStr">
        <is>
          <t>6월 해외출장 - M항공</t>
        </is>
      </c>
      <c r="J1255" s="92" t="inlineStr">
        <is>
          <t>V10001</t>
        </is>
      </c>
      <c r="K1255" s="92" t="inlineStr">
        <is>
          <t>M항공</t>
        </is>
      </c>
      <c r="M1255" s="9">
        <f>IF($A1255="","",VALUE($A1255&amp;"")*12+VALUE($B1255&amp;""))</f>
        <v/>
      </c>
      <c r="N1255" s="64">
        <f>IF($A1255="","",IFERROR(INDEX(부서매핑!$C$5:$C$504,MATCH($G1255&amp;"",부서매핑!$A$5:$A$504,0)),"미매핑"))</f>
        <v/>
      </c>
      <c r="O1255" s="9">
        <f>IF($A1255="","",N1255&amp;"|"&amp;$F1255)</f>
        <v/>
      </c>
      <c r="P1255" s="94">
        <f>IF($A1255="",0,$H1255*설정!$C$23)</f>
        <v/>
      </c>
      <c r="Q1255" s="64">
        <f>IF($A1255="","",IF(O1255&lt;&gt;원인분석!$C$9,"",IF(AND(M1255&gt;=원인분석!$C$10,M1255&lt;=원인분석!$C$11),"당기",IF(AND(M1255&gt;=원인분석!$C$12,M1255&lt;=원인분석!$C$13),"비교",""))))</f>
        <v/>
      </c>
      <c r="R1255" s="9">
        <f>IF(Q1255="","",$K1255&amp;"")</f>
        <v/>
      </c>
      <c r="S1255" s="9">
        <f>IF(Q1255="","",IF(MATCH(R1255,$R$5:$R$100000,0)=ROW()-4,ROW(),""))</f>
        <v/>
      </c>
      <c r="T1255" s="9">
        <f>IF(Q1255="당기",ABS(P1255)+ROW()/1000000000,"")</f>
        <v/>
      </c>
      <c r="U1255" s="9">
        <f>IF(Q1255="비교",ABS(P1255)+ROW()/1000000000,"")</f>
        <v/>
      </c>
      <c r="V1255" s="64">
        <f>IF($A1255="","",IF(COUNTIF(변동분석!$E$7:$E$506,O1255)&gt;0,"Y","N"))</f>
        <v/>
      </c>
      <c r="W1255" s="64">
        <f>IF($A1255="","",IFERROR(INDEX(계정매핑!$D$5:$D$504,MATCH($F1255&amp;"",계정매핑!$A$5:$A$504,0)),"미매핑"))</f>
        <v/>
      </c>
      <c r="X1255" s="9">
        <f>IF($A1255="","",$F1255&amp;"")</f>
        <v/>
      </c>
      <c r="Y1255" s="94">
        <f>IF($A1255="",0,IF(AE1255="직접",IF(AF1255="비귀속",$P1255,0),$P1255*(1-AG1255)*IFERROR(INDEX(계정대체기준!$F$20:$F$49,MATCH($N1255,계정대체기준!$A$20:$A$49,0)),1)))</f>
        <v/>
      </c>
      <c r="Z1255" s="94">
        <f>IF($A1255="",0,IF(AE1255="직접",IF(AF1255="신계약비",$P1255,0),$P1255*(1-AG1255)*IFERROR(INDEX(계정대체기준!$C$20:$C$49,MATCH($N1255,계정대체기준!$A$20:$A$49,0)),0)))</f>
        <v/>
      </c>
      <c r="AA1255" s="94">
        <f>IF($A1255="",0,IF(AE1255="직접",IF(OR(AF1255="유지비",AF1255="손해조사비"),$P1255,0),$P1255*(1-AG1255)*IFERROR(INDEX(계정대체기준!$D$20:$D$49,MATCH($N1255,계정대체기준!$A$20:$A$49,0)),0)))</f>
        <v/>
      </c>
      <c r="AB1255" s="94">
        <f>IF($A1255="",0,IF(AE1255="직접",IF(AF1255="수금비",$P1255,0),$P1255*(1-AG1255)*IFERROR(INDEX(계정대체기준!$E$20:$E$49,MATCH($N1255,계정대체기준!$A$20:$A$49,0)),0)))</f>
        <v/>
      </c>
      <c r="AC1255" s="9">
        <f>IF(AND($A1255&lt;&gt;"",M1255=설정!$C$20,Z1255&gt;0),Z1255+ROW()/1000000000,"")</f>
        <v/>
      </c>
      <c r="AD1255" s="94">
        <f>IF($A1255="",0,$P1255*AG1255)</f>
        <v/>
      </c>
      <c r="AE1255" s="64">
        <f>IF($A1255="","",IFERROR(INDEX(계정매핑!$E$5:$E$504,MATCH($F1255&amp;"",계정매핑!$A$5:$A$504,0))&amp;"","공통비"))</f>
        <v/>
      </c>
      <c r="AF1255" s="64">
        <f>IF($A1255="","",IF(AE1255="직접",IFERROR(INDEX(계정매핑!$F$5:$F$504,MATCH($F1255&amp;"",계정매핑!$A$5:$A$504,0))&amp;"","비귀속"),""))</f>
        <v/>
      </c>
      <c r="AG1255" s="96">
        <f>IF($A1255="",0,IF(AND(AE1255&lt;&gt;"직접",IFERROR(INDEX(계정매핑!$G$5:$G$504,MATCH($F1255&amp;"",계정매핑!$A$5:$A$504,0))&amp;"","")="유지비",COUNTIF(계정대체기준!$A$6:$A$15,$N1255)&gt;0),IFERROR(INDEX(계정대체기준!$E$6:$E$15,MATCH(VALUE($A1255&amp;""),계정대체기준!$D$6:$D$15,0)),0),0))</f>
        <v/>
      </c>
      <c r="AH1255" s="64">
        <f>IF($A1255="","",IF(AD1255=0,"",IF(OR(COUNTIF(계정대체기준!$A$77:$A$86,$N1255)&gt;0,ISNUMBER(MATCH($X1255,계정대체기준!$D$77:$D$86,0)),ISNUMBER(MATCH($F1255,계정대체기준!$D$77:$D$86,0))),"Y","N")))</f>
        <v/>
      </c>
    </row>
    <row r="1256">
      <c r="A1256" s="92" t="n">
        <v>2025</v>
      </c>
      <c r="B1256" s="92" t="n">
        <v>6</v>
      </c>
      <c r="C1256" s="92" t="inlineStr">
        <is>
          <t>5100001252</t>
        </is>
      </c>
      <c r="D1256" s="95" t="n">
        <v>45823</v>
      </c>
      <c r="E1256" s="92" t="inlineStr">
        <is>
          <t>KR</t>
        </is>
      </c>
      <c r="F1256" s="92" t="n">
        <v>62201000</v>
      </c>
      <c r="G1256" s="92" t="n">
        <v>1101</v>
      </c>
      <c r="H1256" s="93" t="n">
        <v>373000</v>
      </c>
      <c r="I1256" s="92" t="inlineStr">
        <is>
          <t>6월 통신요금 - O텔레콤</t>
        </is>
      </c>
      <c r="J1256" s="92" t="inlineStr">
        <is>
          <t>V10002</t>
        </is>
      </c>
      <c r="K1256" s="92" t="inlineStr">
        <is>
          <t>O텔레콤</t>
        </is>
      </c>
      <c r="M1256" s="9">
        <f>IF($A1256="","",VALUE($A1256&amp;"")*12+VALUE($B1256&amp;""))</f>
        <v/>
      </c>
      <c r="N1256" s="64">
        <f>IF($A1256="","",IFERROR(INDEX(부서매핑!$C$5:$C$504,MATCH($G1256&amp;"",부서매핑!$A$5:$A$504,0)),"미매핑"))</f>
        <v/>
      </c>
      <c r="O1256" s="9">
        <f>IF($A1256="","",N1256&amp;"|"&amp;$F1256)</f>
        <v/>
      </c>
      <c r="P1256" s="94">
        <f>IF($A1256="",0,$H1256*설정!$C$23)</f>
        <v/>
      </c>
      <c r="Q1256" s="64">
        <f>IF($A1256="","",IF(O1256&lt;&gt;원인분석!$C$9,"",IF(AND(M1256&gt;=원인분석!$C$10,M1256&lt;=원인분석!$C$11),"당기",IF(AND(M1256&gt;=원인분석!$C$12,M1256&lt;=원인분석!$C$13),"비교",""))))</f>
        <v/>
      </c>
      <c r="R1256" s="9">
        <f>IF(Q1256="","",$K1256&amp;"")</f>
        <v/>
      </c>
      <c r="S1256" s="9">
        <f>IF(Q1256="","",IF(MATCH(R1256,$R$5:$R$100000,0)=ROW()-4,ROW(),""))</f>
        <v/>
      </c>
      <c r="T1256" s="9">
        <f>IF(Q1256="당기",ABS(P1256)+ROW()/1000000000,"")</f>
        <v/>
      </c>
      <c r="U1256" s="9">
        <f>IF(Q1256="비교",ABS(P1256)+ROW()/1000000000,"")</f>
        <v/>
      </c>
      <c r="V1256" s="64">
        <f>IF($A1256="","",IF(COUNTIF(변동분석!$E$7:$E$506,O1256)&gt;0,"Y","N"))</f>
        <v/>
      </c>
      <c r="W1256" s="64">
        <f>IF($A1256="","",IFERROR(INDEX(계정매핑!$D$5:$D$504,MATCH($F1256&amp;"",계정매핑!$A$5:$A$504,0)),"미매핑"))</f>
        <v/>
      </c>
      <c r="X1256" s="9">
        <f>IF($A1256="","",$F1256&amp;"")</f>
        <v/>
      </c>
      <c r="Y1256" s="94">
        <f>IF($A1256="",0,IF(AE1256="직접",IF(AF1256="비귀속",$P1256,0),$P1256*(1-AG1256)*IFERROR(INDEX(계정대체기준!$F$20:$F$49,MATCH($N1256,계정대체기준!$A$20:$A$49,0)),1)))</f>
        <v/>
      </c>
      <c r="Z1256" s="94">
        <f>IF($A1256="",0,IF(AE1256="직접",IF(AF1256="신계약비",$P1256,0),$P1256*(1-AG1256)*IFERROR(INDEX(계정대체기준!$C$20:$C$49,MATCH($N1256,계정대체기준!$A$20:$A$49,0)),0)))</f>
        <v/>
      </c>
      <c r="AA1256" s="94">
        <f>IF($A1256="",0,IF(AE1256="직접",IF(OR(AF1256="유지비",AF1256="손해조사비"),$P1256,0),$P1256*(1-AG1256)*IFERROR(INDEX(계정대체기준!$D$20:$D$49,MATCH($N1256,계정대체기준!$A$20:$A$49,0)),0)))</f>
        <v/>
      </c>
      <c r="AB1256" s="94">
        <f>IF($A1256="",0,IF(AE1256="직접",IF(AF1256="수금비",$P1256,0),$P1256*(1-AG1256)*IFERROR(INDEX(계정대체기준!$E$20:$E$49,MATCH($N1256,계정대체기준!$A$20:$A$49,0)),0)))</f>
        <v/>
      </c>
      <c r="AC1256" s="9">
        <f>IF(AND($A1256&lt;&gt;"",M1256=설정!$C$20,Z1256&gt;0),Z1256+ROW()/1000000000,"")</f>
        <v/>
      </c>
      <c r="AD1256" s="94">
        <f>IF($A1256="",0,$P1256*AG1256)</f>
        <v/>
      </c>
      <c r="AE1256" s="64">
        <f>IF($A1256="","",IFERROR(INDEX(계정매핑!$E$5:$E$504,MATCH($F1256&amp;"",계정매핑!$A$5:$A$504,0))&amp;"","공통비"))</f>
        <v/>
      </c>
      <c r="AF1256" s="64">
        <f>IF($A1256="","",IF(AE1256="직접",IFERROR(INDEX(계정매핑!$F$5:$F$504,MATCH($F1256&amp;"",계정매핑!$A$5:$A$504,0))&amp;"","비귀속"),""))</f>
        <v/>
      </c>
      <c r="AG1256" s="96">
        <f>IF($A1256="",0,IF(AND(AE1256&lt;&gt;"직접",IFERROR(INDEX(계정매핑!$G$5:$G$504,MATCH($F1256&amp;"",계정매핑!$A$5:$A$504,0))&amp;"","")="유지비",COUNTIF(계정대체기준!$A$6:$A$15,$N1256)&gt;0),IFERROR(INDEX(계정대체기준!$E$6:$E$15,MATCH(VALUE($A1256&amp;""),계정대체기준!$D$6:$D$15,0)),0),0))</f>
        <v/>
      </c>
      <c r="AH1256" s="64">
        <f>IF($A1256="","",IF(AD1256=0,"",IF(OR(COUNTIF(계정대체기준!$A$77:$A$86,$N1256)&gt;0,ISNUMBER(MATCH($X1256,계정대체기준!$D$77:$D$86,0)),ISNUMBER(MATCH($F1256,계정대체기준!$D$77:$D$86,0))),"Y","N")))</f>
        <v/>
      </c>
    </row>
    <row r="1257">
      <c r="A1257" s="92" t="n">
        <v>2025</v>
      </c>
      <c r="B1257" s="92" t="n">
        <v>6</v>
      </c>
      <c r="C1257" s="92" t="inlineStr">
        <is>
          <t>5100001253</t>
        </is>
      </c>
      <c r="D1257" s="95" t="n">
        <v>45823</v>
      </c>
      <c r="E1257" s="92" t="inlineStr">
        <is>
          <t>KR</t>
        </is>
      </c>
      <c r="F1257" s="92" t="n">
        <v>62301000</v>
      </c>
      <c r="G1257" s="92" t="n">
        <v>1201</v>
      </c>
      <c r="H1257" s="93" t="n">
        <v>139000</v>
      </c>
      <c r="I1257" s="92" t="inlineStr">
        <is>
          <t>6월 소모품 구입 - R문구</t>
        </is>
      </c>
      <c r="J1257" s="92" t="inlineStr">
        <is>
          <t>V10022</t>
        </is>
      </c>
      <c r="K1257" s="92" t="inlineStr">
        <is>
          <t>R문구</t>
        </is>
      </c>
      <c r="M1257" s="9">
        <f>IF($A1257="","",VALUE($A1257&amp;"")*12+VALUE($B1257&amp;""))</f>
        <v/>
      </c>
      <c r="N1257" s="64">
        <f>IF($A1257="","",IFERROR(INDEX(부서매핑!$C$5:$C$504,MATCH($G1257&amp;"",부서매핑!$A$5:$A$504,0)),"미매핑"))</f>
        <v/>
      </c>
      <c r="O1257" s="9">
        <f>IF($A1257="","",N1257&amp;"|"&amp;$F1257)</f>
        <v/>
      </c>
      <c r="P1257" s="94">
        <f>IF($A1257="",0,$H1257*설정!$C$23)</f>
        <v/>
      </c>
      <c r="Q1257" s="64">
        <f>IF($A1257="","",IF(O1257&lt;&gt;원인분석!$C$9,"",IF(AND(M1257&gt;=원인분석!$C$10,M1257&lt;=원인분석!$C$11),"당기",IF(AND(M1257&gt;=원인분석!$C$12,M1257&lt;=원인분석!$C$13),"비교",""))))</f>
        <v/>
      </c>
      <c r="R1257" s="9">
        <f>IF(Q1257="","",$K1257&amp;"")</f>
        <v/>
      </c>
      <c r="S1257" s="9">
        <f>IF(Q1257="","",IF(MATCH(R1257,$R$5:$R$100000,0)=ROW()-4,ROW(),""))</f>
        <v/>
      </c>
      <c r="T1257" s="9">
        <f>IF(Q1257="당기",ABS(P1257)+ROW()/1000000000,"")</f>
        <v/>
      </c>
      <c r="U1257" s="9">
        <f>IF(Q1257="비교",ABS(P1257)+ROW()/1000000000,"")</f>
        <v/>
      </c>
      <c r="V1257" s="64">
        <f>IF($A1257="","",IF(COUNTIF(변동분석!$E$7:$E$506,O1257)&gt;0,"Y","N"))</f>
        <v/>
      </c>
      <c r="W1257" s="64">
        <f>IF($A1257="","",IFERROR(INDEX(계정매핑!$D$5:$D$504,MATCH($F1257&amp;"",계정매핑!$A$5:$A$504,0)),"미매핑"))</f>
        <v/>
      </c>
      <c r="X1257" s="9">
        <f>IF($A1257="","",$F1257&amp;"")</f>
        <v/>
      </c>
      <c r="Y1257" s="94">
        <f>IF($A1257="",0,IF(AE1257="직접",IF(AF1257="비귀속",$P1257,0),$P1257*(1-AG1257)*IFERROR(INDEX(계정대체기준!$F$20:$F$49,MATCH($N1257,계정대체기준!$A$20:$A$49,0)),1)))</f>
        <v/>
      </c>
      <c r="Z1257" s="94">
        <f>IF($A1257="",0,IF(AE1257="직접",IF(AF1257="신계약비",$P1257,0),$P1257*(1-AG1257)*IFERROR(INDEX(계정대체기준!$C$20:$C$49,MATCH($N1257,계정대체기준!$A$20:$A$49,0)),0)))</f>
        <v/>
      </c>
      <c r="AA1257" s="94">
        <f>IF($A1257="",0,IF(AE1257="직접",IF(OR(AF1257="유지비",AF1257="손해조사비"),$P1257,0),$P1257*(1-AG1257)*IFERROR(INDEX(계정대체기준!$D$20:$D$49,MATCH($N1257,계정대체기준!$A$20:$A$49,0)),0)))</f>
        <v/>
      </c>
      <c r="AB1257" s="94">
        <f>IF($A1257="",0,IF(AE1257="직접",IF(AF1257="수금비",$P1257,0),$P1257*(1-AG1257)*IFERROR(INDEX(계정대체기준!$E$20:$E$49,MATCH($N1257,계정대체기준!$A$20:$A$49,0)),0)))</f>
        <v/>
      </c>
      <c r="AC1257" s="9">
        <f>IF(AND($A1257&lt;&gt;"",M1257=설정!$C$20,Z1257&gt;0),Z1257+ROW()/1000000000,"")</f>
        <v/>
      </c>
      <c r="AD1257" s="94">
        <f>IF($A1257="",0,$P1257*AG1257)</f>
        <v/>
      </c>
      <c r="AE1257" s="64">
        <f>IF($A1257="","",IFERROR(INDEX(계정매핑!$E$5:$E$504,MATCH($F1257&amp;"",계정매핑!$A$5:$A$504,0))&amp;"","공통비"))</f>
        <v/>
      </c>
      <c r="AF1257" s="64">
        <f>IF($A1257="","",IF(AE1257="직접",IFERROR(INDEX(계정매핑!$F$5:$F$504,MATCH($F1257&amp;"",계정매핑!$A$5:$A$504,0))&amp;"","비귀속"),""))</f>
        <v/>
      </c>
      <c r="AG1257" s="96">
        <f>IF($A1257="",0,IF(AND(AE1257&lt;&gt;"직접",IFERROR(INDEX(계정매핑!$G$5:$G$504,MATCH($F1257&amp;"",계정매핑!$A$5:$A$504,0))&amp;"","")="유지비",COUNTIF(계정대체기준!$A$6:$A$15,$N1257)&gt;0),IFERROR(INDEX(계정대체기준!$E$6:$E$15,MATCH(VALUE($A1257&amp;""),계정대체기준!$D$6:$D$15,0)),0),0))</f>
        <v/>
      </c>
      <c r="AH1257" s="64">
        <f>IF($A1257="","",IF(AD1257=0,"",IF(OR(COUNTIF(계정대체기준!$A$77:$A$86,$N1257)&gt;0,ISNUMBER(MATCH($X1257,계정대체기준!$D$77:$D$86,0)),ISNUMBER(MATCH($F1257,계정대체기준!$D$77:$D$86,0))),"Y","N")))</f>
        <v/>
      </c>
    </row>
    <row r="1258">
      <c r="A1258" s="92" t="n">
        <v>2025</v>
      </c>
      <c r="B1258" s="92" t="n">
        <v>6</v>
      </c>
      <c r="C1258" s="92" t="inlineStr">
        <is>
          <t>5100001254</t>
        </is>
      </c>
      <c r="D1258" s="95" t="n">
        <v>45823</v>
      </c>
      <c r="E1258" s="92" t="inlineStr">
        <is>
          <t>KR</t>
        </is>
      </c>
      <c r="F1258" s="92" t="n">
        <v>62301000</v>
      </c>
      <c r="G1258" s="92" t="n">
        <v>1301</v>
      </c>
      <c r="H1258" s="93" t="n">
        <v>170000</v>
      </c>
      <c r="I1258" s="92" t="inlineStr">
        <is>
          <t>6월 소모품 구입 - R문구</t>
        </is>
      </c>
      <c r="J1258" s="92" t="inlineStr">
        <is>
          <t>V10022</t>
        </is>
      </c>
      <c r="K1258" s="92" t="inlineStr">
        <is>
          <t>R문구</t>
        </is>
      </c>
      <c r="M1258" s="9">
        <f>IF($A1258="","",VALUE($A1258&amp;"")*12+VALUE($B1258&amp;""))</f>
        <v/>
      </c>
      <c r="N1258" s="64">
        <f>IF($A1258="","",IFERROR(INDEX(부서매핑!$C$5:$C$504,MATCH($G1258&amp;"",부서매핑!$A$5:$A$504,0)),"미매핑"))</f>
        <v/>
      </c>
      <c r="O1258" s="9">
        <f>IF($A1258="","",N1258&amp;"|"&amp;$F1258)</f>
        <v/>
      </c>
      <c r="P1258" s="94">
        <f>IF($A1258="",0,$H1258*설정!$C$23)</f>
        <v/>
      </c>
      <c r="Q1258" s="64">
        <f>IF($A1258="","",IF(O1258&lt;&gt;원인분석!$C$9,"",IF(AND(M1258&gt;=원인분석!$C$10,M1258&lt;=원인분석!$C$11),"당기",IF(AND(M1258&gt;=원인분석!$C$12,M1258&lt;=원인분석!$C$13),"비교",""))))</f>
        <v/>
      </c>
      <c r="R1258" s="9">
        <f>IF(Q1258="","",$K1258&amp;"")</f>
        <v/>
      </c>
      <c r="S1258" s="9">
        <f>IF(Q1258="","",IF(MATCH(R1258,$R$5:$R$100000,0)=ROW()-4,ROW(),""))</f>
        <v/>
      </c>
      <c r="T1258" s="9">
        <f>IF(Q1258="당기",ABS(P1258)+ROW()/1000000000,"")</f>
        <v/>
      </c>
      <c r="U1258" s="9">
        <f>IF(Q1258="비교",ABS(P1258)+ROW()/1000000000,"")</f>
        <v/>
      </c>
      <c r="V1258" s="64">
        <f>IF($A1258="","",IF(COUNTIF(변동분석!$E$7:$E$506,O1258)&gt;0,"Y","N"))</f>
        <v/>
      </c>
      <c r="W1258" s="64">
        <f>IF($A1258="","",IFERROR(INDEX(계정매핑!$D$5:$D$504,MATCH($F1258&amp;"",계정매핑!$A$5:$A$504,0)),"미매핑"))</f>
        <v/>
      </c>
      <c r="X1258" s="9">
        <f>IF($A1258="","",$F1258&amp;"")</f>
        <v/>
      </c>
      <c r="Y1258" s="94">
        <f>IF($A1258="",0,IF(AE1258="직접",IF(AF1258="비귀속",$P1258,0),$P1258*(1-AG1258)*IFERROR(INDEX(계정대체기준!$F$20:$F$49,MATCH($N1258,계정대체기준!$A$20:$A$49,0)),1)))</f>
        <v/>
      </c>
      <c r="Z1258" s="94">
        <f>IF($A1258="",0,IF(AE1258="직접",IF(AF1258="신계약비",$P1258,0),$P1258*(1-AG1258)*IFERROR(INDEX(계정대체기준!$C$20:$C$49,MATCH($N1258,계정대체기준!$A$20:$A$49,0)),0)))</f>
        <v/>
      </c>
      <c r="AA1258" s="94">
        <f>IF($A1258="",0,IF(AE1258="직접",IF(OR(AF1258="유지비",AF1258="손해조사비"),$P1258,0),$P1258*(1-AG1258)*IFERROR(INDEX(계정대체기준!$D$20:$D$49,MATCH($N1258,계정대체기준!$A$20:$A$49,0)),0)))</f>
        <v/>
      </c>
      <c r="AB1258" s="94">
        <f>IF($A1258="",0,IF(AE1258="직접",IF(AF1258="수금비",$P1258,0),$P1258*(1-AG1258)*IFERROR(INDEX(계정대체기준!$E$20:$E$49,MATCH($N1258,계정대체기준!$A$20:$A$49,0)),0)))</f>
        <v/>
      </c>
      <c r="AC1258" s="9">
        <f>IF(AND($A1258&lt;&gt;"",M1258=설정!$C$20,Z1258&gt;0),Z1258+ROW()/1000000000,"")</f>
        <v/>
      </c>
      <c r="AD1258" s="94">
        <f>IF($A1258="",0,$P1258*AG1258)</f>
        <v/>
      </c>
      <c r="AE1258" s="64">
        <f>IF($A1258="","",IFERROR(INDEX(계정매핑!$E$5:$E$504,MATCH($F1258&amp;"",계정매핑!$A$5:$A$504,0))&amp;"","공통비"))</f>
        <v/>
      </c>
      <c r="AF1258" s="64">
        <f>IF($A1258="","",IF(AE1258="직접",IFERROR(INDEX(계정매핑!$F$5:$F$504,MATCH($F1258&amp;"",계정매핑!$A$5:$A$504,0))&amp;"","비귀속"),""))</f>
        <v/>
      </c>
      <c r="AG1258" s="96">
        <f>IF($A1258="",0,IF(AND(AE1258&lt;&gt;"직접",IFERROR(INDEX(계정매핑!$G$5:$G$504,MATCH($F1258&amp;"",계정매핑!$A$5:$A$504,0))&amp;"","")="유지비",COUNTIF(계정대체기준!$A$6:$A$15,$N1258)&gt;0),IFERROR(INDEX(계정대체기준!$E$6:$E$15,MATCH(VALUE($A1258&amp;""),계정대체기준!$D$6:$D$15,0)),0),0))</f>
        <v/>
      </c>
      <c r="AH1258" s="64">
        <f>IF($A1258="","",IF(AD1258=0,"",IF(OR(COUNTIF(계정대체기준!$A$77:$A$86,$N1258)&gt;0,ISNUMBER(MATCH($X1258,계정대체기준!$D$77:$D$86,0)),ISNUMBER(MATCH($F1258,계정대체기준!$D$77:$D$86,0))),"Y","N")))</f>
        <v/>
      </c>
    </row>
    <row r="1259">
      <c r="A1259" s="92" t="n">
        <v>2025</v>
      </c>
      <c r="B1259" s="92" t="n">
        <v>6</v>
      </c>
      <c r="C1259" s="92" t="inlineStr">
        <is>
          <t>5100001255</t>
        </is>
      </c>
      <c r="D1259" s="95" t="n">
        <v>45823</v>
      </c>
      <c r="E1259" s="92" t="inlineStr">
        <is>
          <t>KR</t>
        </is>
      </c>
      <c r="F1259" s="92" t="n">
        <v>62902000</v>
      </c>
      <c r="G1259" s="92" t="n">
        <v>1101</v>
      </c>
      <c r="H1259" s="93" t="n">
        <v>1293000</v>
      </c>
      <c r="I1259" s="92" t="inlineStr">
        <is>
          <t>6월 업무 위탁 수수료 - J콜센터</t>
        </is>
      </c>
      <c r="J1259" s="92" t="inlineStr">
        <is>
          <t>V10016</t>
        </is>
      </c>
      <c r="K1259" s="92" t="inlineStr">
        <is>
          <t>J콜센터</t>
        </is>
      </c>
      <c r="M1259" s="9">
        <f>IF($A1259="","",VALUE($A1259&amp;"")*12+VALUE($B1259&amp;""))</f>
        <v/>
      </c>
      <c r="N1259" s="64">
        <f>IF($A1259="","",IFERROR(INDEX(부서매핑!$C$5:$C$504,MATCH($G1259&amp;"",부서매핑!$A$5:$A$504,0)),"미매핑"))</f>
        <v/>
      </c>
      <c r="O1259" s="9">
        <f>IF($A1259="","",N1259&amp;"|"&amp;$F1259)</f>
        <v/>
      </c>
      <c r="P1259" s="94">
        <f>IF($A1259="",0,$H1259*설정!$C$23)</f>
        <v/>
      </c>
      <c r="Q1259" s="64">
        <f>IF($A1259="","",IF(O1259&lt;&gt;원인분석!$C$9,"",IF(AND(M1259&gt;=원인분석!$C$10,M1259&lt;=원인분석!$C$11),"당기",IF(AND(M1259&gt;=원인분석!$C$12,M1259&lt;=원인분석!$C$13),"비교",""))))</f>
        <v/>
      </c>
      <c r="R1259" s="9">
        <f>IF(Q1259="","",$K1259&amp;"")</f>
        <v/>
      </c>
      <c r="S1259" s="9">
        <f>IF(Q1259="","",IF(MATCH(R1259,$R$5:$R$100000,0)=ROW()-4,ROW(),""))</f>
        <v/>
      </c>
      <c r="T1259" s="9">
        <f>IF(Q1259="당기",ABS(P1259)+ROW()/1000000000,"")</f>
        <v/>
      </c>
      <c r="U1259" s="9">
        <f>IF(Q1259="비교",ABS(P1259)+ROW()/1000000000,"")</f>
        <v/>
      </c>
      <c r="V1259" s="64">
        <f>IF($A1259="","",IF(COUNTIF(변동분석!$E$7:$E$506,O1259)&gt;0,"Y","N"))</f>
        <v/>
      </c>
      <c r="W1259" s="64">
        <f>IF($A1259="","",IFERROR(INDEX(계정매핑!$D$5:$D$504,MATCH($F1259&amp;"",계정매핑!$A$5:$A$504,0)),"미매핑"))</f>
        <v/>
      </c>
      <c r="X1259" s="9">
        <f>IF($A1259="","",$F1259&amp;"")</f>
        <v/>
      </c>
      <c r="Y1259" s="94">
        <f>IF($A1259="",0,IF(AE1259="직접",IF(AF1259="비귀속",$P1259,0),$P1259*(1-AG1259)*IFERROR(INDEX(계정대체기준!$F$20:$F$49,MATCH($N1259,계정대체기준!$A$20:$A$49,0)),1)))</f>
        <v/>
      </c>
      <c r="Z1259" s="94">
        <f>IF($A1259="",0,IF(AE1259="직접",IF(AF1259="신계약비",$P1259,0),$P1259*(1-AG1259)*IFERROR(INDEX(계정대체기준!$C$20:$C$49,MATCH($N1259,계정대체기준!$A$20:$A$49,0)),0)))</f>
        <v/>
      </c>
      <c r="AA1259" s="94">
        <f>IF($A1259="",0,IF(AE1259="직접",IF(OR(AF1259="유지비",AF1259="손해조사비"),$P1259,0),$P1259*(1-AG1259)*IFERROR(INDEX(계정대체기준!$D$20:$D$49,MATCH($N1259,계정대체기준!$A$20:$A$49,0)),0)))</f>
        <v/>
      </c>
      <c r="AB1259" s="94">
        <f>IF($A1259="",0,IF(AE1259="직접",IF(AF1259="수금비",$P1259,0),$P1259*(1-AG1259)*IFERROR(INDEX(계정대체기준!$E$20:$E$49,MATCH($N1259,계정대체기준!$A$20:$A$49,0)),0)))</f>
        <v/>
      </c>
      <c r="AC1259" s="9">
        <f>IF(AND($A1259&lt;&gt;"",M1259=설정!$C$20,Z1259&gt;0),Z1259+ROW()/1000000000,"")</f>
        <v/>
      </c>
      <c r="AD1259" s="94">
        <f>IF($A1259="",0,$P1259*AG1259)</f>
        <v/>
      </c>
      <c r="AE1259" s="64">
        <f>IF($A1259="","",IFERROR(INDEX(계정매핑!$E$5:$E$504,MATCH($F1259&amp;"",계정매핑!$A$5:$A$504,0))&amp;"","공통비"))</f>
        <v/>
      </c>
      <c r="AF1259" s="64">
        <f>IF($A1259="","",IF(AE1259="직접",IFERROR(INDEX(계정매핑!$F$5:$F$504,MATCH($F1259&amp;"",계정매핑!$A$5:$A$504,0))&amp;"","비귀속"),""))</f>
        <v/>
      </c>
      <c r="AG1259" s="96">
        <f>IF($A1259="",0,IF(AND(AE1259&lt;&gt;"직접",IFERROR(INDEX(계정매핑!$G$5:$G$504,MATCH($F1259&amp;"",계정매핑!$A$5:$A$504,0))&amp;"","")="유지비",COUNTIF(계정대체기준!$A$6:$A$15,$N1259)&gt;0),IFERROR(INDEX(계정대체기준!$E$6:$E$15,MATCH(VALUE($A1259&amp;""),계정대체기준!$D$6:$D$15,0)),0),0))</f>
        <v/>
      </c>
      <c r="AH1259" s="64">
        <f>IF($A1259="","",IF(AD1259=0,"",IF(OR(COUNTIF(계정대체기준!$A$77:$A$86,$N1259)&gt;0,ISNUMBER(MATCH($X1259,계정대체기준!$D$77:$D$86,0)),ISNUMBER(MATCH($F1259,계정대체기준!$D$77:$D$86,0))),"Y","N")))</f>
        <v/>
      </c>
    </row>
    <row r="1260">
      <c r="A1260" s="92" t="n">
        <v>2025</v>
      </c>
      <c r="B1260" s="92" t="n">
        <v>6</v>
      </c>
      <c r="C1260" s="92" t="inlineStr">
        <is>
          <t>5100001256</t>
        </is>
      </c>
      <c r="D1260" s="95" t="n">
        <v>45823</v>
      </c>
      <c r="E1260" s="92" t="inlineStr">
        <is>
          <t>KR</t>
        </is>
      </c>
      <c r="F1260" s="92" t="n">
        <v>62902000</v>
      </c>
      <c r="G1260" s="92" t="n">
        <v>1101</v>
      </c>
      <c r="H1260" s="93" t="n">
        <v>2209000</v>
      </c>
      <c r="I1260" s="92" t="inlineStr">
        <is>
          <t>6월 업무 위탁 수수료 - J콜센터</t>
        </is>
      </c>
      <c r="J1260" s="92" t="inlineStr">
        <is>
          <t>V10016</t>
        </is>
      </c>
      <c r="K1260" s="92" t="inlineStr">
        <is>
          <t>J콜센터</t>
        </is>
      </c>
      <c r="M1260" s="9">
        <f>IF($A1260="","",VALUE($A1260&amp;"")*12+VALUE($B1260&amp;""))</f>
        <v/>
      </c>
      <c r="N1260" s="64">
        <f>IF($A1260="","",IFERROR(INDEX(부서매핑!$C$5:$C$504,MATCH($G1260&amp;"",부서매핑!$A$5:$A$504,0)),"미매핑"))</f>
        <v/>
      </c>
      <c r="O1260" s="9">
        <f>IF($A1260="","",N1260&amp;"|"&amp;$F1260)</f>
        <v/>
      </c>
      <c r="P1260" s="94">
        <f>IF($A1260="",0,$H1260*설정!$C$23)</f>
        <v/>
      </c>
      <c r="Q1260" s="64">
        <f>IF($A1260="","",IF(O1260&lt;&gt;원인분석!$C$9,"",IF(AND(M1260&gt;=원인분석!$C$10,M1260&lt;=원인분석!$C$11),"당기",IF(AND(M1260&gt;=원인분석!$C$12,M1260&lt;=원인분석!$C$13),"비교",""))))</f>
        <v/>
      </c>
      <c r="R1260" s="9">
        <f>IF(Q1260="","",$K1260&amp;"")</f>
        <v/>
      </c>
      <c r="S1260" s="9">
        <f>IF(Q1260="","",IF(MATCH(R1260,$R$5:$R$100000,0)=ROW()-4,ROW(),""))</f>
        <v/>
      </c>
      <c r="T1260" s="9">
        <f>IF(Q1260="당기",ABS(P1260)+ROW()/1000000000,"")</f>
        <v/>
      </c>
      <c r="U1260" s="9">
        <f>IF(Q1260="비교",ABS(P1260)+ROW()/1000000000,"")</f>
        <v/>
      </c>
      <c r="V1260" s="64">
        <f>IF($A1260="","",IF(COUNTIF(변동분석!$E$7:$E$506,O1260)&gt;0,"Y","N"))</f>
        <v/>
      </c>
      <c r="W1260" s="64">
        <f>IF($A1260="","",IFERROR(INDEX(계정매핑!$D$5:$D$504,MATCH($F1260&amp;"",계정매핑!$A$5:$A$504,0)),"미매핑"))</f>
        <v/>
      </c>
      <c r="X1260" s="9">
        <f>IF($A1260="","",$F1260&amp;"")</f>
        <v/>
      </c>
      <c r="Y1260" s="94">
        <f>IF($A1260="",0,IF(AE1260="직접",IF(AF1260="비귀속",$P1260,0),$P1260*(1-AG1260)*IFERROR(INDEX(계정대체기준!$F$20:$F$49,MATCH($N1260,계정대체기준!$A$20:$A$49,0)),1)))</f>
        <v/>
      </c>
      <c r="Z1260" s="94">
        <f>IF($A1260="",0,IF(AE1260="직접",IF(AF1260="신계약비",$P1260,0),$P1260*(1-AG1260)*IFERROR(INDEX(계정대체기준!$C$20:$C$49,MATCH($N1260,계정대체기준!$A$20:$A$49,0)),0)))</f>
        <v/>
      </c>
      <c r="AA1260" s="94">
        <f>IF($A1260="",0,IF(AE1260="직접",IF(OR(AF1260="유지비",AF1260="손해조사비"),$P1260,0),$P1260*(1-AG1260)*IFERROR(INDEX(계정대체기준!$D$20:$D$49,MATCH($N1260,계정대체기준!$A$20:$A$49,0)),0)))</f>
        <v/>
      </c>
      <c r="AB1260" s="94">
        <f>IF($A1260="",0,IF(AE1260="직접",IF(AF1260="수금비",$P1260,0),$P1260*(1-AG1260)*IFERROR(INDEX(계정대체기준!$E$20:$E$49,MATCH($N1260,계정대체기준!$A$20:$A$49,0)),0)))</f>
        <v/>
      </c>
      <c r="AC1260" s="9">
        <f>IF(AND($A1260&lt;&gt;"",M1260=설정!$C$20,Z1260&gt;0),Z1260+ROW()/1000000000,"")</f>
        <v/>
      </c>
      <c r="AD1260" s="94">
        <f>IF($A1260="",0,$P1260*AG1260)</f>
        <v/>
      </c>
      <c r="AE1260" s="64">
        <f>IF($A1260="","",IFERROR(INDEX(계정매핑!$E$5:$E$504,MATCH($F1260&amp;"",계정매핑!$A$5:$A$504,0))&amp;"","공통비"))</f>
        <v/>
      </c>
      <c r="AF1260" s="64">
        <f>IF($A1260="","",IF(AE1260="직접",IFERROR(INDEX(계정매핑!$F$5:$F$504,MATCH($F1260&amp;"",계정매핑!$A$5:$A$504,0))&amp;"","비귀속"),""))</f>
        <v/>
      </c>
      <c r="AG1260" s="96">
        <f>IF($A1260="",0,IF(AND(AE1260&lt;&gt;"직접",IFERROR(INDEX(계정매핑!$G$5:$G$504,MATCH($F1260&amp;"",계정매핑!$A$5:$A$504,0))&amp;"","")="유지비",COUNTIF(계정대체기준!$A$6:$A$15,$N1260)&gt;0),IFERROR(INDEX(계정대체기준!$E$6:$E$15,MATCH(VALUE($A1260&amp;""),계정대체기준!$D$6:$D$15,0)),0),0))</f>
        <v/>
      </c>
      <c r="AH1260" s="64">
        <f>IF($A1260="","",IF(AD1260=0,"",IF(OR(COUNTIF(계정대체기준!$A$77:$A$86,$N1260)&gt;0,ISNUMBER(MATCH($X1260,계정대체기준!$D$77:$D$86,0)),ISNUMBER(MATCH($F1260,계정대체기준!$D$77:$D$86,0))),"Y","N")))</f>
        <v/>
      </c>
    </row>
    <row r="1261">
      <c r="A1261" s="92" t="n">
        <v>2025</v>
      </c>
      <c r="B1261" s="92" t="n">
        <v>6</v>
      </c>
      <c r="C1261" s="92" t="inlineStr">
        <is>
          <t>5100001257</t>
        </is>
      </c>
      <c r="D1261" s="95" t="n">
        <v>45823</v>
      </c>
      <c r="E1261" s="92" t="inlineStr">
        <is>
          <t>KR</t>
        </is>
      </c>
      <c r="F1261" s="92" t="n">
        <v>62902000</v>
      </c>
      <c r="G1261" s="92" t="n">
        <v>1201</v>
      </c>
      <c r="H1261" s="93" t="n">
        <v>2510000</v>
      </c>
      <c r="I1261" s="92" t="inlineStr">
        <is>
          <t>6월 업무 위탁 수수료 - J콜센터</t>
        </is>
      </c>
      <c r="J1261" s="92" t="inlineStr">
        <is>
          <t>V10016</t>
        </is>
      </c>
      <c r="K1261" s="92" t="inlineStr">
        <is>
          <t>J콜센터</t>
        </is>
      </c>
      <c r="M1261" s="9">
        <f>IF($A1261="","",VALUE($A1261&amp;"")*12+VALUE($B1261&amp;""))</f>
        <v/>
      </c>
      <c r="N1261" s="64">
        <f>IF($A1261="","",IFERROR(INDEX(부서매핑!$C$5:$C$504,MATCH($G1261&amp;"",부서매핑!$A$5:$A$504,0)),"미매핑"))</f>
        <v/>
      </c>
      <c r="O1261" s="9">
        <f>IF($A1261="","",N1261&amp;"|"&amp;$F1261)</f>
        <v/>
      </c>
      <c r="P1261" s="94">
        <f>IF($A1261="",0,$H1261*설정!$C$23)</f>
        <v/>
      </c>
      <c r="Q1261" s="64">
        <f>IF($A1261="","",IF(O1261&lt;&gt;원인분석!$C$9,"",IF(AND(M1261&gt;=원인분석!$C$10,M1261&lt;=원인분석!$C$11),"당기",IF(AND(M1261&gt;=원인분석!$C$12,M1261&lt;=원인분석!$C$13),"비교",""))))</f>
        <v/>
      </c>
      <c r="R1261" s="9">
        <f>IF(Q1261="","",$K1261&amp;"")</f>
        <v/>
      </c>
      <c r="S1261" s="9">
        <f>IF(Q1261="","",IF(MATCH(R1261,$R$5:$R$100000,0)=ROW()-4,ROW(),""))</f>
        <v/>
      </c>
      <c r="T1261" s="9">
        <f>IF(Q1261="당기",ABS(P1261)+ROW()/1000000000,"")</f>
        <v/>
      </c>
      <c r="U1261" s="9">
        <f>IF(Q1261="비교",ABS(P1261)+ROW()/1000000000,"")</f>
        <v/>
      </c>
      <c r="V1261" s="64">
        <f>IF($A1261="","",IF(COUNTIF(변동분석!$E$7:$E$506,O1261)&gt;0,"Y","N"))</f>
        <v/>
      </c>
      <c r="W1261" s="64">
        <f>IF($A1261="","",IFERROR(INDEX(계정매핑!$D$5:$D$504,MATCH($F1261&amp;"",계정매핑!$A$5:$A$504,0)),"미매핑"))</f>
        <v/>
      </c>
      <c r="X1261" s="9">
        <f>IF($A1261="","",$F1261&amp;"")</f>
        <v/>
      </c>
      <c r="Y1261" s="94">
        <f>IF($A1261="",0,IF(AE1261="직접",IF(AF1261="비귀속",$P1261,0),$P1261*(1-AG1261)*IFERROR(INDEX(계정대체기준!$F$20:$F$49,MATCH($N1261,계정대체기준!$A$20:$A$49,0)),1)))</f>
        <v/>
      </c>
      <c r="Z1261" s="94">
        <f>IF($A1261="",0,IF(AE1261="직접",IF(AF1261="신계약비",$P1261,0),$P1261*(1-AG1261)*IFERROR(INDEX(계정대체기준!$C$20:$C$49,MATCH($N1261,계정대체기준!$A$20:$A$49,0)),0)))</f>
        <v/>
      </c>
      <c r="AA1261" s="94">
        <f>IF($A1261="",0,IF(AE1261="직접",IF(OR(AF1261="유지비",AF1261="손해조사비"),$P1261,0),$P1261*(1-AG1261)*IFERROR(INDEX(계정대체기준!$D$20:$D$49,MATCH($N1261,계정대체기준!$A$20:$A$49,0)),0)))</f>
        <v/>
      </c>
      <c r="AB1261" s="94">
        <f>IF($A1261="",0,IF(AE1261="직접",IF(AF1261="수금비",$P1261,0),$P1261*(1-AG1261)*IFERROR(INDEX(계정대체기준!$E$20:$E$49,MATCH($N1261,계정대체기준!$A$20:$A$49,0)),0)))</f>
        <v/>
      </c>
      <c r="AC1261" s="9">
        <f>IF(AND($A1261&lt;&gt;"",M1261=설정!$C$20,Z1261&gt;0),Z1261+ROW()/1000000000,"")</f>
        <v/>
      </c>
      <c r="AD1261" s="94">
        <f>IF($A1261="",0,$P1261*AG1261)</f>
        <v/>
      </c>
      <c r="AE1261" s="64">
        <f>IF($A1261="","",IFERROR(INDEX(계정매핑!$E$5:$E$504,MATCH($F1261&amp;"",계정매핑!$A$5:$A$504,0))&amp;"","공통비"))</f>
        <v/>
      </c>
      <c r="AF1261" s="64">
        <f>IF($A1261="","",IF(AE1261="직접",IFERROR(INDEX(계정매핑!$F$5:$F$504,MATCH($F1261&amp;"",계정매핑!$A$5:$A$504,0))&amp;"","비귀속"),""))</f>
        <v/>
      </c>
      <c r="AG1261" s="96">
        <f>IF($A1261="",0,IF(AND(AE1261&lt;&gt;"직접",IFERROR(INDEX(계정매핑!$G$5:$G$504,MATCH($F1261&amp;"",계정매핑!$A$5:$A$504,0))&amp;"","")="유지비",COUNTIF(계정대체기준!$A$6:$A$15,$N1261)&gt;0),IFERROR(INDEX(계정대체기준!$E$6:$E$15,MATCH(VALUE($A1261&amp;""),계정대체기준!$D$6:$D$15,0)),0),0))</f>
        <v/>
      </c>
      <c r="AH1261" s="64">
        <f>IF($A1261="","",IF(AD1261=0,"",IF(OR(COUNTIF(계정대체기준!$A$77:$A$86,$N1261)&gt;0,ISNUMBER(MATCH($X1261,계정대체기준!$D$77:$D$86,0)),ISNUMBER(MATCH($F1261,계정대체기준!$D$77:$D$86,0))),"Y","N")))</f>
        <v/>
      </c>
    </row>
    <row r="1262">
      <c r="A1262" s="92" t="n">
        <v>2025</v>
      </c>
      <c r="B1262" s="92" t="n">
        <v>6</v>
      </c>
      <c r="C1262" s="92" t="inlineStr">
        <is>
          <t>5100001258</t>
        </is>
      </c>
      <c r="D1262" s="95" t="n">
        <v>45823</v>
      </c>
      <c r="E1262" s="92" t="inlineStr">
        <is>
          <t>KR</t>
        </is>
      </c>
      <c r="F1262" s="92" t="n">
        <v>62902000</v>
      </c>
      <c r="G1262" s="92" t="n">
        <v>1801</v>
      </c>
      <c r="H1262" s="93" t="n">
        <v>3000000</v>
      </c>
      <c r="I1262" s="92" t="inlineStr">
        <is>
          <t>6월 업무 위탁 수수료 - X서비스</t>
        </is>
      </c>
      <c r="J1262" s="92" t="inlineStr">
        <is>
          <t>V10020</t>
        </is>
      </c>
      <c r="K1262" s="92" t="inlineStr">
        <is>
          <t>X서비스</t>
        </is>
      </c>
      <c r="M1262" s="9">
        <f>IF($A1262="","",VALUE($A1262&amp;"")*12+VALUE($B1262&amp;""))</f>
        <v/>
      </c>
      <c r="N1262" s="64">
        <f>IF($A1262="","",IFERROR(INDEX(부서매핑!$C$5:$C$504,MATCH($G1262&amp;"",부서매핑!$A$5:$A$504,0)),"미매핑"))</f>
        <v/>
      </c>
      <c r="O1262" s="9">
        <f>IF($A1262="","",N1262&amp;"|"&amp;$F1262)</f>
        <v/>
      </c>
      <c r="P1262" s="94">
        <f>IF($A1262="",0,$H1262*설정!$C$23)</f>
        <v/>
      </c>
      <c r="Q1262" s="64">
        <f>IF($A1262="","",IF(O1262&lt;&gt;원인분석!$C$9,"",IF(AND(M1262&gt;=원인분석!$C$10,M1262&lt;=원인분석!$C$11),"당기",IF(AND(M1262&gt;=원인분석!$C$12,M1262&lt;=원인분석!$C$13),"비교",""))))</f>
        <v/>
      </c>
      <c r="R1262" s="9">
        <f>IF(Q1262="","",$K1262&amp;"")</f>
        <v/>
      </c>
      <c r="S1262" s="9">
        <f>IF(Q1262="","",IF(MATCH(R1262,$R$5:$R$100000,0)=ROW()-4,ROW(),""))</f>
        <v/>
      </c>
      <c r="T1262" s="9">
        <f>IF(Q1262="당기",ABS(P1262)+ROW()/1000000000,"")</f>
        <v/>
      </c>
      <c r="U1262" s="9">
        <f>IF(Q1262="비교",ABS(P1262)+ROW()/1000000000,"")</f>
        <v/>
      </c>
      <c r="V1262" s="64">
        <f>IF($A1262="","",IF(COUNTIF(변동분석!$E$7:$E$506,O1262)&gt;0,"Y","N"))</f>
        <v/>
      </c>
      <c r="W1262" s="64">
        <f>IF($A1262="","",IFERROR(INDEX(계정매핑!$D$5:$D$504,MATCH($F1262&amp;"",계정매핑!$A$5:$A$504,0)),"미매핑"))</f>
        <v/>
      </c>
      <c r="X1262" s="9">
        <f>IF($A1262="","",$F1262&amp;"")</f>
        <v/>
      </c>
      <c r="Y1262" s="94">
        <f>IF($A1262="",0,IF(AE1262="직접",IF(AF1262="비귀속",$P1262,0),$P1262*(1-AG1262)*IFERROR(INDEX(계정대체기준!$F$20:$F$49,MATCH($N1262,계정대체기준!$A$20:$A$49,0)),1)))</f>
        <v/>
      </c>
      <c r="Z1262" s="94">
        <f>IF($A1262="",0,IF(AE1262="직접",IF(AF1262="신계약비",$P1262,0),$P1262*(1-AG1262)*IFERROR(INDEX(계정대체기준!$C$20:$C$49,MATCH($N1262,계정대체기준!$A$20:$A$49,0)),0)))</f>
        <v/>
      </c>
      <c r="AA1262" s="94">
        <f>IF($A1262="",0,IF(AE1262="직접",IF(OR(AF1262="유지비",AF1262="손해조사비"),$P1262,0),$P1262*(1-AG1262)*IFERROR(INDEX(계정대체기준!$D$20:$D$49,MATCH($N1262,계정대체기준!$A$20:$A$49,0)),0)))</f>
        <v/>
      </c>
      <c r="AB1262" s="94">
        <f>IF($A1262="",0,IF(AE1262="직접",IF(AF1262="수금비",$P1262,0),$P1262*(1-AG1262)*IFERROR(INDEX(계정대체기준!$E$20:$E$49,MATCH($N1262,계정대체기준!$A$20:$A$49,0)),0)))</f>
        <v/>
      </c>
      <c r="AC1262" s="9">
        <f>IF(AND($A1262&lt;&gt;"",M1262=설정!$C$20,Z1262&gt;0),Z1262+ROW()/1000000000,"")</f>
        <v/>
      </c>
      <c r="AD1262" s="94">
        <f>IF($A1262="",0,$P1262*AG1262)</f>
        <v/>
      </c>
      <c r="AE1262" s="64">
        <f>IF($A1262="","",IFERROR(INDEX(계정매핑!$E$5:$E$504,MATCH($F1262&amp;"",계정매핑!$A$5:$A$504,0))&amp;"","공통비"))</f>
        <v/>
      </c>
      <c r="AF1262" s="64">
        <f>IF($A1262="","",IF(AE1262="직접",IFERROR(INDEX(계정매핑!$F$5:$F$504,MATCH($F1262&amp;"",계정매핑!$A$5:$A$504,0))&amp;"","비귀속"),""))</f>
        <v/>
      </c>
      <c r="AG1262" s="96">
        <f>IF($A1262="",0,IF(AND(AE1262&lt;&gt;"직접",IFERROR(INDEX(계정매핑!$G$5:$G$504,MATCH($F1262&amp;"",계정매핑!$A$5:$A$504,0))&amp;"","")="유지비",COUNTIF(계정대체기준!$A$6:$A$15,$N1262)&gt;0),IFERROR(INDEX(계정대체기준!$E$6:$E$15,MATCH(VALUE($A1262&amp;""),계정대체기준!$D$6:$D$15,0)),0),0))</f>
        <v/>
      </c>
      <c r="AH1262" s="64">
        <f>IF($A1262="","",IF(AD1262=0,"",IF(OR(COUNTIF(계정대체기준!$A$77:$A$86,$N1262)&gt;0,ISNUMBER(MATCH($X1262,계정대체기준!$D$77:$D$86,0)),ISNUMBER(MATCH($F1262,계정대체기준!$D$77:$D$86,0))),"Y","N")))</f>
        <v/>
      </c>
    </row>
    <row r="1263">
      <c r="A1263" s="92" t="n">
        <v>2025</v>
      </c>
      <c r="B1263" s="92" t="n">
        <v>6</v>
      </c>
      <c r="C1263" s="92" t="inlineStr">
        <is>
          <t>5100001259</t>
        </is>
      </c>
      <c r="D1263" s="95" t="n">
        <v>45823</v>
      </c>
      <c r="E1263" s="92" t="inlineStr">
        <is>
          <t>KR</t>
        </is>
      </c>
      <c r="F1263" s="92" t="n">
        <v>62902000</v>
      </c>
      <c r="G1263" s="92" t="n">
        <v>1951</v>
      </c>
      <c r="H1263" s="93" t="n">
        <v>1158000</v>
      </c>
      <c r="I1263" s="92" t="inlineStr">
        <is>
          <t>6월 업무 위탁 수수료 - J콜센터</t>
        </is>
      </c>
      <c r="J1263" s="92" t="inlineStr">
        <is>
          <t>V10016</t>
        </is>
      </c>
      <c r="K1263" s="92" t="inlineStr">
        <is>
          <t>J콜센터</t>
        </is>
      </c>
      <c r="M1263" s="9">
        <f>IF($A1263="","",VALUE($A1263&amp;"")*12+VALUE($B1263&amp;""))</f>
        <v/>
      </c>
      <c r="N1263" s="64">
        <f>IF($A1263="","",IFERROR(INDEX(부서매핑!$C$5:$C$504,MATCH($G1263&amp;"",부서매핑!$A$5:$A$504,0)),"미매핑"))</f>
        <v/>
      </c>
      <c r="O1263" s="9">
        <f>IF($A1263="","",N1263&amp;"|"&amp;$F1263)</f>
        <v/>
      </c>
      <c r="P1263" s="94">
        <f>IF($A1263="",0,$H1263*설정!$C$23)</f>
        <v/>
      </c>
      <c r="Q1263" s="64">
        <f>IF($A1263="","",IF(O1263&lt;&gt;원인분석!$C$9,"",IF(AND(M1263&gt;=원인분석!$C$10,M1263&lt;=원인분석!$C$11),"당기",IF(AND(M1263&gt;=원인분석!$C$12,M1263&lt;=원인분석!$C$13),"비교",""))))</f>
        <v/>
      </c>
      <c r="R1263" s="9">
        <f>IF(Q1263="","",$K1263&amp;"")</f>
        <v/>
      </c>
      <c r="S1263" s="9">
        <f>IF(Q1263="","",IF(MATCH(R1263,$R$5:$R$100000,0)=ROW()-4,ROW(),""))</f>
        <v/>
      </c>
      <c r="T1263" s="9">
        <f>IF(Q1263="당기",ABS(P1263)+ROW()/1000000000,"")</f>
        <v/>
      </c>
      <c r="U1263" s="9">
        <f>IF(Q1263="비교",ABS(P1263)+ROW()/1000000000,"")</f>
        <v/>
      </c>
      <c r="V1263" s="64">
        <f>IF($A1263="","",IF(COUNTIF(변동분석!$E$7:$E$506,O1263)&gt;0,"Y","N"))</f>
        <v/>
      </c>
      <c r="W1263" s="64">
        <f>IF($A1263="","",IFERROR(INDEX(계정매핑!$D$5:$D$504,MATCH($F1263&amp;"",계정매핑!$A$5:$A$504,0)),"미매핑"))</f>
        <v/>
      </c>
      <c r="X1263" s="9">
        <f>IF($A1263="","",$F1263&amp;"")</f>
        <v/>
      </c>
      <c r="Y1263" s="94">
        <f>IF($A1263="",0,IF(AE1263="직접",IF(AF1263="비귀속",$P1263,0),$P1263*(1-AG1263)*IFERROR(INDEX(계정대체기준!$F$20:$F$49,MATCH($N1263,계정대체기준!$A$20:$A$49,0)),1)))</f>
        <v/>
      </c>
      <c r="Z1263" s="94">
        <f>IF($A1263="",0,IF(AE1263="직접",IF(AF1263="신계약비",$P1263,0),$P1263*(1-AG1263)*IFERROR(INDEX(계정대체기준!$C$20:$C$49,MATCH($N1263,계정대체기준!$A$20:$A$49,0)),0)))</f>
        <v/>
      </c>
      <c r="AA1263" s="94">
        <f>IF($A1263="",0,IF(AE1263="직접",IF(OR(AF1263="유지비",AF1263="손해조사비"),$P1263,0),$P1263*(1-AG1263)*IFERROR(INDEX(계정대체기준!$D$20:$D$49,MATCH($N1263,계정대체기준!$A$20:$A$49,0)),0)))</f>
        <v/>
      </c>
      <c r="AB1263" s="94">
        <f>IF($A1263="",0,IF(AE1263="직접",IF(AF1263="수금비",$P1263,0),$P1263*(1-AG1263)*IFERROR(INDEX(계정대체기준!$E$20:$E$49,MATCH($N1263,계정대체기준!$A$20:$A$49,0)),0)))</f>
        <v/>
      </c>
      <c r="AC1263" s="9">
        <f>IF(AND($A1263&lt;&gt;"",M1263=설정!$C$20,Z1263&gt;0),Z1263+ROW()/1000000000,"")</f>
        <v/>
      </c>
      <c r="AD1263" s="94">
        <f>IF($A1263="",0,$P1263*AG1263)</f>
        <v/>
      </c>
      <c r="AE1263" s="64">
        <f>IF($A1263="","",IFERROR(INDEX(계정매핑!$E$5:$E$504,MATCH($F1263&amp;"",계정매핑!$A$5:$A$504,0))&amp;"","공통비"))</f>
        <v/>
      </c>
      <c r="AF1263" s="64">
        <f>IF($A1263="","",IF(AE1263="직접",IFERROR(INDEX(계정매핑!$F$5:$F$504,MATCH($F1263&amp;"",계정매핑!$A$5:$A$504,0))&amp;"","비귀속"),""))</f>
        <v/>
      </c>
      <c r="AG1263" s="96">
        <f>IF($A1263="",0,IF(AND(AE1263&lt;&gt;"직접",IFERROR(INDEX(계정매핑!$G$5:$G$504,MATCH($F1263&amp;"",계정매핑!$A$5:$A$504,0))&amp;"","")="유지비",COUNTIF(계정대체기준!$A$6:$A$15,$N1263)&gt;0),IFERROR(INDEX(계정대체기준!$E$6:$E$15,MATCH(VALUE($A1263&amp;""),계정대체기준!$D$6:$D$15,0)),0),0))</f>
        <v/>
      </c>
      <c r="AH1263" s="64">
        <f>IF($A1263="","",IF(AD1263=0,"",IF(OR(COUNTIF(계정대체기준!$A$77:$A$86,$N1263)&gt;0,ISNUMBER(MATCH($X1263,계정대체기준!$D$77:$D$86,0)),ISNUMBER(MATCH($F1263,계정대체기준!$D$77:$D$86,0))),"Y","N")))</f>
        <v/>
      </c>
    </row>
    <row r="1264">
      <c r="A1264" s="92" t="n">
        <v>2025</v>
      </c>
      <c r="B1264" s="92" t="n">
        <v>6</v>
      </c>
      <c r="C1264" s="92" t="inlineStr">
        <is>
          <t>5100001260</t>
        </is>
      </c>
      <c r="D1264" s="95" t="n">
        <v>45823</v>
      </c>
      <c r="E1264" s="92" t="inlineStr">
        <is>
          <t>KR</t>
        </is>
      </c>
      <c r="F1264" s="92" t="n">
        <v>63502000</v>
      </c>
      <c r="G1264" s="92" t="n">
        <v>1901</v>
      </c>
      <c r="H1264" s="93" t="n">
        <v>177306000</v>
      </c>
      <c r="I1264" s="92" t="inlineStr">
        <is>
          <t>6월 유지수수료 - (전속설계사)</t>
        </is>
      </c>
      <c r="J1264" s="92" t="inlineStr">
        <is>
          <t>V10021</t>
        </is>
      </c>
      <c r="K1264" s="92" t="inlineStr">
        <is>
          <t>(전속설계사)</t>
        </is>
      </c>
      <c r="M1264" s="9">
        <f>IF($A1264="","",VALUE($A1264&amp;"")*12+VALUE($B1264&amp;""))</f>
        <v/>
      </c>
      <c r="N1264" s="64">
        <f>IF($A1264="","",IFERROR(INDEX(부서매핑!$C$5:$C$504,MATCH($G1264&amp;"",부서매핑!$A$5:$A$504,0)),"미매핑"))</f>
        <v/>
      </c>
      <c r="O1264" s="9">
        <f>IF($A1264="","",N1264&amp;"|"&amp;$F1264)</f>
        <v/>
      </c>
      <c r="P1264" s="94">
        <f>IF($A1264="",0,$H1264*설정!$C$23)</f>
        <v/>
      </c>
      <c r="Q1264" s="64">
        <f>IF($A1264="","",IF(O1264&lt;&gt;원인분석!$C$9,"",IF(AND(M1264&gt;=원인분석!$C$10,M1264&lt;=원인분석!$C$11),"당기",IF(AND(M1264&gt;=원인분석!$C$12,M1264&lt;=원인분석!$C$13),"비교",""))))</f>
        <v/>
      </c>
      <c r="R1264" s="9">
        <f>IF(Q1264="","",$K1264&amp;"")</f>
        <v/>
      </c>
      <c r="S1264" s="9">
        <f>IF(Q1264="","",IF(MATCH(R1264,$R$5:$R$100000,0)=ROW()-4,ROW(),""))</f>
        <v/>
      </c>
      <c r="T1264" s="9">
        <f>IF(Q1264="당기",ABS(P1264)+ROW()/1000000000,"")</f>
        <v/>
      </c>
      <c r="U1264" s="9">
        <f>IF(Q1264="비교",ABS(P1264)+ROW()/1000000000,"")</f>
        <v/>
      </c>
      <c r="V1264" s="64">
        <f>IF($A1264="","",IF(COUNTIF(변동분석!$E$7:$E$506,O1264)&gt;0,"Y","N"))</f>
        <v/>
      </c>
      <c r="W1264" s="64">
        <f>IF($A1264="","",IFERROR(INDEX(계정매핑!$D$5:$D$504,MATCH($F1264&amp;"",계정매핑!$A$5:$A$504,0)),"미매핑"))</f>
        <v/>
      </c>
      <c r="X1264" s="9">
        <f>IF($A1264="","",$F1264&amp;"")</f>
        <v/>
      </c>
      <c r="Y1264" s="94">
        <f>IF($A1264="",0,IF(AE1264="직접",IF(AF1264="비귀속",$P1264,0),$P1264*(1-AG1264)*IFERROR(INDEX(계정대체기준!$F$20:$F$49,MATCH($N1264,계정대체기준!$A$20:$A$49,0)),1)))</f>
        <v/>
      </c>
      <c r="Z1264" s="94">
        <f>IF($A1264="",0,IF(AE1264="직접",IF(AF1264="신계약비",$P1264,0),$P1264*(1-AG1264)*IFERROR(INDEX(계정대체기준!$C$20:$C$49,MATCH($N1264,계정대체기준!$A$20:$A$49,0)),0)))</f>
        <v/>
      </c>
      <c r="AA1264" s="94">
        <f>IF($A1264="",0,IF(AE1264="직접",IF(OR(AF1264="유지비",AF1264="손해조사비"),$P1264,0),$P1264*(1-AG1264)*IFERROR(INDEX(계정대체기준!$D$20:$D$49,MATCH($N1264,계정대체기준!$A$20:$A$49,0)),0)))</f>
        <v/>
      </c>
      <c r="AB1264" s="94">
        <f>IF($A1264="",0,IF(AE1264="직접",IF(AF1264="수금비",$P1264,0),$P1264*(1-AG1264)*IFERROR(INDEX(계정대체기준!$E$20:$E$49,MATCH($N1264,계정대체기준!$A$20:$A$49,0)),0)))</f>
        <v/>
      </c>
      <c r="AC1264" s="9">
        <f>IF(AND($A1264&lt;&gt;"",M1264=설정!$C$20,Z1264&gt;0),Z1264+ROW()/1000000000,"")</f>
        <v/>
      </c>
      <c r="AD1264" s="94">
        <f>IF($A1264="",0,$P1264*AG1264)</f>
        <v/>
      </c>
      <c r="AE1264" s="64">
        <f>IF($A1264="","",IFERROR(INDEX(계정매핑!$E$5:$E$504,MATCH($F1264&amp;"",계정매핑!$A$5:$A$504,0))&amp;"","공통비"))</f>
        <v/>
      </c>
      <c r="AF1264" s="64">
        <f>IF($A1264="","",IF(AE1264="직접",IFERROR(INDEX(계정매핑!$F$5:$F$504,MATCH($F1264&amp;"",계정매핑!$A$5:$A$504,0))&amp;"","비귀속"),""))</f>
        <v/>
      </c>
      <c r="AG1264" s="96">
        <f>IF($A1264="",0,IF(AND(AE1264&lt;&gt;"직접",IFERROR(INDEX(계정매핑!$G$5:$G$504,MATCH($F1264&amp;"",계정매핑!$A$5:$A$504,0))&amp;"","")="유지비",COUNTIF(계정대체기준!$A$6:$A$15,$N1264)&gt;0),IFERROR(INDEX(계정대체기준!$E$6:$E$15,MATCH(VALUE($A1264&amp;""),계정대체기준!$D$6:$D$15,0)),0),0))</f>
        <v/>
      </c>
      <c r="AH1264" s="64">
        <f>IF($A1264="","",IF(AD1264=0,"",IF(OR(COUNTIF(계정대체기준!$A$77:$A$86,$N1264)&gt;0,ISNUMBER(MATCH($X1264,계정대체기준!$D$77:$D$86,0)),ISNUMBER(MATCH($F1264,계정대체기준!$D$77:$D$86,0))),"Y","N")))</f>
        <v/>
      </c>
    </row>
    <row r="1265">
      <c r="A1265" s="92" t="n">
        <v>2025</v>
      </c>
      <c r="B1265" s="92" t="n">
        <v>6</v>
      </c>
      <c r="C1265" s="92" t="inlineStr">
        <is>
          <t>5100001261</t>
        </is>
      </c>
      <c r="D1265" s="95" t="n">
        <v>45824</v>
      </c>
      <c r="E1265" s="92" t="inlineStr">
        <is>
          <t>KR</t>
        </is>
      </c>
      <c r="F1265" s="92" t="n">
        <v>62101000</v>
      </c>
      <c r="G1265" s="92" t="n">
        <v>1201</v>
      </c>
      <c r="H1265" s="93" t="n">
        <v>266000</v>
      </c>
      <c r="I1265" s="92" t="inlineStr">
        <is>
          <t>6월 국내출장 - L여행사</t>
        </is>
      </c>
      <c r="J1265" s="92" t="inlineStr">
        <is>
          <t>V10018</t>
        </is>
      </c>
      <c r="K1265" s="92" t="inlineStr">
        <is>
          <t>L여행사</t>
        </is>
      </c>
      <c r="M1265" s="9">
        <f>IF($A1265="","",VALUE($A1265&amp;"")*12+VALUE($B1265&amp;""))</f>
        <v/>
      </c>
      <c r="N1265" s="64">
        <f>IF($A1265="","",IFERROR(INDEX(부서매핑!$C$5:$C$504,MATCH($G1265&amp;"",부서매핑!$A$5:$A$504,0)),"미매핑"))</f>
        <v/>
      </c>
      <c r="O1265" s="9">
        <f>IF($A1265="","",N1265&amp;"|"&amp;$F1265)</f>
        <v/>
      </c>
      <c r="P1265" s="94">
        <f>IF($A1265="",0,$H1265*설정!$C$23)</f>
        <v/>
      </c>
      <c r="Q1265" s="64">
        <f>IF($A1265="","",IF(O1265&lt;&gt;원인분석!$C$9,"",IF(AND(M1265&gt;=원인분석!$C$10,M1265&lt;=원인분석!$C$11),"당기",IF(AND(M1265&gt;=원인분석!$C$12,M1265&lt;=원인분석!$C$13),"비교",""))))</f>
        <v/>
      </c>
      <c r="R1265" s="9">
        <f>IF(Q1265="","",$K1265&amp;"")</f>
        <v/>
      </c>
      <c r="S1265" s="9">
        <f>IF(Q1265="","",IF(MATCH(R1265,$R$5:$R$100000,0)=ROW()-4,ROW(),""))</f>
        <v/>
      </c>
      <c r="T1265" s="9">
        <f>IF(Q1265="당기",ABS(P1265)+ROW()/1000000000,"")</f>
        <v/>
      </c>
      <c r="U1265" s="9">
        <f>IF(Q1265="비교",ABS(P1265)+ROW()/1000000000,"")</f>
        <v/>
      </c>
      <c r="V1265" s="64">
        <f>IF($A1265="","",IF(COUNTIF(변동분석!$E$7:$E$506,O1265)&gt;0,"Y","N"))</f>
        <v/>
      </c>
      <c r="W1265" s="64">
        <f>IF($A1265="","",IFERROR(INDEX(계정매핑!$D$5:$D$504,MATCH($F1265&amp;"",계정매핑!$A$5:$A$504,0)),"미매핑"))</f>
        <v/>
      </c>
      <c r="X1265" s="9">
        <f>IF($A1265="","",$F1265&amp;"")</f>
        <v/>
      </c>
      <c r="Y1265" s="94">
        <f>IF($A1265="",0,IF(AE1265="직접",IF(AF1265="비귀속",$P1265,0),$P1265*(1-AG1265)*IFERROR(INDEX(계정대체기준!$F$20:$F$49,MATCH($N1265,계정대체기준!$A$20:$A$49,0)),1)))</f>
        <v/>
      </c>
      <c r="Z1265" s="94">
        <f>IF($A1265="",0,IF(AE1265="직접",IF(AF1265="신계약비",$P1265,0),$P1265*(1-AG1265)*IFERROR(INDEX(계정대체기준!$C$20:$C$49,MATCH($N1265,계정대체기준!$A$20:$A$49,0)),0)))</f>
        <v/>
      </c>
      <c r="AA1265" s="94">
        <f>IF($A1265="",0,IF(AE1265="직접",IF(OR(AF1265="유지비",AF1265="손해조사비"),$P1265,0),$P1265*(1-AG1265)*IFERROR(INDEX(계정대체기준!$D$20:$D$49,MATCH($N1265,계정대체기준!$A$20:$A$49,0)),0)))</f>
        <v/>
      </c>
      <c r="AB1265" s="94">
        <f>IF($A1265="",0,IF(AE1265="직접",IF(AF1265="수금비",$P1265,0),$P1265*(1-AG1265)*IFERROR(INDEX(계정대체기준!$E$20:$E$49,MATCH($N1265,계정대체기준!$A$20:$A$49,0)),0)))</f>
        <v/>
      </c>
      <c r="AC1265" s="9">
        <f>IF(AND($A1265&lt;&gt;"",M1265=설정!$C$20,Z1265&gt;0),Z1265+ROW()/1000000000,"")</f>
        <v/>
      </c>
      <c r="AD1265" s="94">
        <f>IF($A1265="",0,$P1265*AG1265)</f>
        <v/>
      </c>
      <c r="AE1265" s="64">
        <f>IF($A1265="","",IFERROR(INDEX(계정매핑!$E$5:$E$504,MATCH($F1265&amp;"",계정매핑!$A$5:$A$504,0))&amp;"","공통비"))</f>
        <v/>
      </c>
      <c r="AF1265" s="64">
        <f>IF($A1265="","",IF(AE1265="직접",IFERROR(INDEX(계정매핑!$F$5:$F$504,MATCH($F1265&amp;"",계정매핑!$A$5:$A$504,0))&amp;"","비귀속"),""))</f>
        <v/>
      </c>
      <c r="AG1265" s="96">
        <f>IF($A1265="",0,IF(AND(AE1265&lt;&gt;"직접",IFERROR(INDEX(계정매핑!$G$5:$G$504,MATCH($F1265&amp;"",계정매핑!$A$5:$A$504,0))&amp;"","")="유지비",COUNTIF(계정대체기준!$A$6:$A$15,$N1265)&gt;0),IFERROR(INDEX(계정대체기준!$E$6:$E$15,MATCH(VALUE($A1265&amp;""),계정대체기준!$D$6:$D$15,0)),0),0))</f>
        <v/>
      </c>
      <c r="AH1265" s="64">
        <f>IF($A1265="","",IF(AD1265=0,"",IF(OR(COUNTIF(계정대체기준!$A$77:$A$86,$N1265)&gt;0,ISNUMBER(MATCH($X1265,계정대체기준!$D$77:$D$86,0)),ISNUMBER(MATCH($F1265,계정대체기준!$D$77:$D$86,0))),"Y","N")))</f>
        <v/>
      </c>
    </row>
    <row r="1266">
      <c r="A1266" s="92" t="n">
        <v>2025</v>
      </c>
      <c r="B1266" s="92" t="n">
        <v>6</v>
      </c>
      <c r="C1266" s="92" t="inlineStr">
        <is>
          <t>5100001262</t>
        </is>
      </c>
      <c r="D1266" s="95" t="n">
        <v>45824</v>
      </c>
      <c r="E1266" s="92" t="inlineStr">
        <is>
          <t>KR</t>
        </is>
      </c>
      <c r="F1266" s="92" t="n">
        <v>62102000</v>
      </c>
      <c r="G1266" s="92" t="n">
        <v>1601</v>
      </c>
      <c r="H1266" s="93" t="n">
        <v>550000</v>
      </c>
      <c r="I1266" s="92" t="inlineStr">
        <is>
          <t>6월 해외출장 - M항공</t>
        </is>
      </c>
      <c r="J1266" s="92" t="inlineStr">
        <is>
          <t>V10001</t>
        </is>
      </c>
      <c r="K1266" s="92" t="inlineStr">
        <is>
          <t>M항공</t>
        </is>
      </c>
      <c r="M1266" s="9">
        <f>IF($A1266="","",VALUE($A1266&amp;"")*12+VALUE($B1266&amp;""))</f>
        <v/>
      </c>
      <c r="N1266" s="64">
        <f>IF($A1266="","",IFERROR(INDEX(부서매핑!$C$5:$C$504,MATCH($G1266&amp;"",부서매핑!$A$5:$A$504,0)),"미매핑"))</f>
        <v/>
      </c>
      <c r="O1266" s="9">
        <f>IF($A1266="","",N1266&amp;"|"&amp;$F1266)</f>
        <v/>
      </c>
      <c r="P1266" s="94">
        <f>IF($A1266="",0,$H1266*설정!$C$23)</f>
        <v/>
      </c>
      <c r="Q1266" s="64">
        <f>IF($A1266="","",IF(O1266&lt;&gt;원인분석!$C$9,"",IF(AND(M1266&gt;=원인분석!$C$10,M1266&lt;=원인분석!$C$11),"당기",IF(AND(M1266&gt;=원인분석!$C$12,M1266&lt;=원인분석!$C$13),"비교",""))))</f>
        <v/>
      </c>
      <c r="R1266" s="9">
        <f>IF(Q1266="","",$K1266&amp;"")</f>
        <v/>
      </c>
      <c r="S1266" s="9">
        <f>IF(Q1266="","",IF(MATCH(R1266,$R$5:$R$100000,0)=ROW()-4,ROW(),""))</f>
        <v/>
      </c>
      <c r="T1266" s="9">
        <f>IF(Q1266="당기",ABS(P1266)+ROW()/1000000000,"")</f>
        <v/>
      </c>
      <c r="U1266" s="9">
        <f>IF(Q1266="비교",ABS(P1266)+ROW()/1000000000,"")</f>
        <v/>
      </c>
      <c r="V1266" s="64">
        <f>IF($A1266="","",IF(COUNTIF(변동분석!$E$7:$E$506,O1266)&gt;0,"Y","N"))</f>
        <v/>
      </c>
      <c r="W1266" s="64">
        <f>IF($A1266="","",IFERROR(INDEX(계정매핑!$D$5:$D$504,MATCH($F1266&amp;"",계정매핑!$A$5:$A$504,0)),"미매핑"))</f>
        <v/>
      </c>
      <c r="X1266" s="9">
        <f>IF($A1266="","",$F1266&amp;"")</f>
        <v/>
      </c>
      <c r="Y1266" s="94">
        <f>IF($A1266="",0,IF(AE1266="직접",IF(AF1266="비귀속",$P1266,0),$P1266*(1-AG1266)*IFERROR(INDEX(계정대체기준!$F$20:$F$49,MATCH($N1266,계정대체기준!$A$20:$A$49,0)),1)))</f>
        <v/>
      </c>
      <c r="Z1266" s="94">
        <f>IF($A1266="",0,IF(AE1266="직접",IF(AF1266="신계약비",$P1266,0),$P1266*(1-AG1266)*IFERROR(INDEX(계정대체기준!$C$20:$C$49,MATCH($N1266,계정대체기준!$A$20:$A$49,0)),0)))</f>
        <v/>
      </c>
      <c r="AA1266" s="94">
        <f>IF($A1266="",0,IF(AE1266="직접",IF(OR(AF1266="유지비",AF1266="손해조사비"),$P1266,0),$P1266*(1-AG1266)*IFERROR(INDEX(계정대체기준!$D$20:$D$49,MATCH($N1266,계정대체기준!$A$20:$A$49,0)),0)))</f>
        <v/>
      </c>
      <c r="AB1266" s="94">
        <f>IF($A1266="",0,IF(AE1266="직접",IF(AF1266="수금비",$P1266,0),$P1266*(1-AG1266)*IFERROR(INDEX(계정대체기준!$E$20:$E$49,MATCH($N1266,계정대체기준!$A$20:$A$49,0)),0)))</f>
        <v/>
      </c>
      <c r="AC1266" s="9">
        <f>IF(AND($A1266&lt;&gt;"",M1266=설정!$C$20,Z1266&gt;0),Z1266+ROW()/1000000000,"")</f>
        <v/>
      </c>
      <c r="AD1266" s="94">
        <f>IF($A1266="",0,$P1266*AG1266)</f>
        <v/>
      </c>
      <c r="AE1266" s="64">
        <f>IF($A1266="","",IFERROR(INDEX(계정매핑!$E$5:$E$504,MATCH($F1266&amp;"",계정매핑!$A$5:$A$504,0))&amp;"","공통비"))</f>
        <v/>
      </c>
      <c r="AF1266" s="64">
        <f>IF($A1266="","",IF(AE1266="직접",IFERROR(INDEX(계정매핑!$F$5:$F$504,MATCH($F1266&amp;"",계정매핑!$A$5:$A$504,0))&amp;"","비귀속"),""))</f>
        <v/>
      </c>
      <c r="AG1266" s="96">
        <f>IF($A1266="",0,IF(AND(AE1266&lt;&gt;"직접",IFERROR(INDEX(계정매핑!$G$5:$G$504,MATCH($F1266&amp;"",계정매핑!$A$5:$A$504,0))&amp;"","")="유지비",COUNTIF(계정대체기준!$A$6:$A$15,$N1266)&gt;0),IFERROR(INDEX(계정대체기준!$E$6:$E$15,MATCH(VALUE($A1266&amp;""),계정대체기준!$D$6:$D$15,0)),0),0))</f>
        <v/>
      </c>
      <c r="AH1266" s="64">
        <f>IF($A1266="","",IF(AD1266=0,"",IF(OR(COUNTIF(계정대체기준!$A$77:$A$86,$N1266)&gt;0,ISNUMBER(MATCH($X1266,계정대체기준!$D$77:$D$86,0)),ISNUMBER(MATCH($F1266,계정대체기준!$D$77:$D$86,0))),"Y","N")))</f>
        <v/>
      </c>
    </row>
    <row r="1267">
      <c r="A1267" s="92" t="n">
        <v>2025</v>
      </c>
      <c r="B1267" s="92" t="n">
        <v>6</v>
      </c>
      <c r="C1267" s="92" t="inlineStr">
        <is>
          <t>5100001263</t>
        </is>
      </c>
      <c r="D1267" s="95" t="n">
        <v>45824</v>
      </c>
      <c r="E1267" s="92" t="inlineStr">
        <is>
          <t>KR</t>
        </is>
      </c>
      <c r="F1267" s="92" t="n">
        <v>62801000</v>
      </c>
      <c r="G1267" s="92" t="n">
        <v>1301</v>
      </c>
      <c r="H1267" s="93" t="n">
        <v>3012000</v>
      </c>
      <c r="I1267" s="92" t="inlineStr">
        <is>
          <t>6월 사내교육 - (사내강사료)</t>
        </is>
      </c>
      <c r="J1267" s="92" t="inlineStr">
        <is>
          <t>V10024</t>
        </is>
      </c>
      <c r="K1267" s="92" t="inlineStr">
        <is>
          <t>(사내강사료)</t>
        </is>
      </c>
      <c r="M1267" s="9">
        <f>IF($A1267="","",VALUE($A1267&amp;"")*12+VALUE($B1267&amp;""))</f>
        <v/>
      </c>
      <c r="N1267" s="64">
        <f>IF($A1267="","",IFERROR(INDEX(부서매핑!$C$5:$C$504,MATCH($G1267&amp;"",부서매핑!$A$5:$A$504,0)),"미매핑"))</f>
        <v/>
      </c>
      <c r="O1267" s="9">
        <f>IF($A1267="","",N1267&amp;"|"&amp;$F1267)</f>
        <v/>
      </c>
      <c r="P1267" s="94">
        <f>IF($A1267="",0,$H1267*설정!$C$23)</f>
        <v/>
      </c>
      <c r="Q1267" s="64">
        <f>IF($A1267="","",IF(O1267&lt;&gt;원인분석!$C$9,"",IF(AND(M1267&gt;=원인분석!$C$10,M1267&lt;=원인분석!$C$11),"당기",IF(AND(M1267&gt;=원인분석!$C$12,M1267&lt;=원인분석!$C$13),"비교",""))))</f>
        <v/>
      </c>
      <c r="R1267" s="9">
        <f>IF(Q1267="","",$K1267&amp;"")</f>
        <v/>
      </c>
      <c r="S1267" s="9">
        <f>IF(Q1267="","",IF(MATCH(R1267,$R$5:$R$100000,0)=ROW()-4,ROW(),""))</f>
        <v/>
      </c>
      <c r="T1267" s="9">
        <f>IF(Q1267="당기",ABS(P1267)+ROW()/1000000000,"")</f>
        <v/>
      </c>
      <c r="U1267" s="9">
        <f>IF(Q1267="비교",ABS(P1267)+ROW()/1000000000,"")</f>
        <v/>
      </c>
      <c r="V1267" s="64">
        <f>IF($A1267="","",IF(COUNTIF(변동분석!$E$7:$E$506,O1267)&gt;0,"Y","N"))</f>
        <v/>
      </c>
      <c r="W1267" s="64">
        <f>IF($A1267="","",IFERROR(INDEX(계정매핑!$D$5:$D$504,MATCH($F1267&amp;"",계정매핑!$A$5:$A$504,0)),"미매핑"))</f>
        <v/>
      </c>
      <c r="X1267" s="9">
        <f>IF($A1267="","",$F1267&amp;"")</f>
        <v/>
      </c>
      <c r="Y1267" s="94">
        <f>IF($A1267="",0,IF(AE1267="직접",IF(AF1267="비귀속",$P1267,0),$P1267*(1-AG1267)*IFERROR(INDEX(계정대체기준!$F$20:$F$49,MATCH($N1267,계정대체기준!$A$20:$A$49,0)),1)))</f>
        <v/>
      </c>
      <c r="Z1267" s="94">
        <f>IF($A1267="",0,IF(AE1267="직접",IF(AF1267="신계약비",$P1267,0),$P1267*(1-AG1267)*IFERROR(INDEX(계정대체기준!$C$20:$C$49,MATCH($N1267,계정대체기준!$A$20:$A$49,0)),0)))</f>
        <v/>
      </c>
      <c r="AA1267" s="94">
        <f>IF($A1267="",0,IF(AE1267="직접",IF(OR(AF1267="유지비",AF1267="손해조사비"),$P1267,0),$P1267*(1-AG1267)*IFERROR(INDEX(계정대체기준!$D$20:$D$49,MATCH($N1267,계정대체기준!$A$20:$A$49,0)),0)))</f>
        <v/>
      </c>
      <c r="AB1267" s="94">
        <f>IF($A1267="",0,IF(AE1267="직접",IF(AF1267="수금비",$P1267,0),$P1267*(1-AG1267)*IFERROR(INDEX(계정대체기준!$E$20:$E$49,MATCH($N1267,계정대체기준!$A$20:$A$49,0)),0)))</f>
        <v/>
      </c>
      <c r="AC1267" s="9">
        <f>IF(AND($A1267&lt;&gt;"",M1267=설정!$C$20,Z1267&gt;0),Z1267+ROW()/1000000000,"")</f>
        <v/>
      </c>
      <c r="AD1267" s="94">
        <f>IF($A1267="",0,$P1267*AG1267)</f>
        <v/>
      </c>
      <c r="AE1267" s="64">
        <f>IF($A1267="","",IFERROR(INDEX(계정매핑!$E$5:$E$504,MATCH($F1267&amp;"",계정매핑!$A$5:$A$504,0))&amp;"","공통비"))</f>
        <v/>
      </c>
      <c r="AF1267" s="64">
        <f>IF($A1267="","",IF(AE1267="직접",IFERROR(INDEX(계정매핑!$F$5:$F$504,MATCH($F1267&amp;"",계정매핑!$A$5:$A$504,0))&amp;"","비귀속"),""))</f>
        <v/>
      </c>
      <c r="AG1267" s="96">
        <f>IF($A1267="",0,IF(AND(AE1267&lt;&gt;"직접",IFERROR(INDEX(계정매핑!$G$5:$G$504,MATCH($F1267&amp;"",계정매핑!$A$5:$A$504,0))&amp;"","")="유지비",COUNTIF(계정대체기준!$A$6:$A$15,$N1267)&gt;0),IFERROR(INDEX(계정대체기준!$E$6:$E$15,MATCH(VALUE($A1267&amp;""),계정대체기준!$D$6:$D$15,0)),0),0))</f>
        <v/>
      </c>
      <c r="AH1267" s="64">
        <f>IF($A1267="","",IF(AD1267=0,"",IF(OR(COUNTIF(계정대체기준!$A$77:$A$86,$N1267)&gt;0,ISNUMBER(MATCH($X1267,계정대체기준!$D$77:$D$86,0)),ISNUMBER(MATCH($F1267,계정대체기준!$D$77:$D$86,0))),"Y","N")))</f>
        <v/>
      </c>
    </row>
    <row r="1268">
      <c r="A1268" s="92" t="n">
        <v>2025</v>
      </c>
      <c r="B1268" s="92" t="n">
        <v>6</v>
      </c>
      <c r="C1268" s="92" t="inlineStr">
        <is>
          <t>5100001264</t>
        </is>
      </c>
      <c r="D1268" s="95" t="n">
        <v>45824</v>
      </c>
      <c r="E1268" s="92" t="inlineStr">
        <is>
          <t>KR</t>
        </is>
      </c>
      <c r="F1268" s="92" t="n">
        <v>62802000</v>
      </c>
      <c r="G1268" s="92" t="n">
        <v>1301</v>
      </c>
      <c r="H1268" s="93" t="n">
        <v>3825000</v>
      </c>
      <c r="I1268" s="92" t="inlineStr">
        <is>
          <t>6월 위탁교육 - V아카데미</t>
        </is>
      </c>
      <c r="J1268" s="92" t="inlineStr">
        <is>
          <t>V10027</t>
        </is>
      </c>
      <c r="K1268" s="92" t="inlineStr">
        <is>
          <t>V아카데미</t>
        </is>
      </c>
      <c r="M1268" s="9">
        <f>IF($A1268="","",VALUE($A1268&amp;"")*12+VALUE($B1268&amp;""))</f>
        <v/>
      </c>
      <c r="N1268" s="64">
        <f>IF($A1268="","",IFERROR(INDEX(부서매핑!$C$5:$C$504,MATCH($G1268&amp;"",부서매핑!$A$5:$A$504,0)),"미매핑"))</f>
        <v/>
      </c>
      <c r="O1268" s="9">
        <f>IF($A1268="","",N1268&amp;"|"&amp;$F1268)</f>
        <v/>
      </c>
      <c r="P1268" s="94">
        <f>IF($A1268="",0,$H1268*설정!$C$23)</f>
        <v/>
      </c>
      <c r="Q1268" s="64">
        <f>IF($A1268="","",IF(O1268&lt;&gt;원인분석!$C$9,"",IF(AND(M1268&gt;=원인분석!$C$10,M1268&lt;=원인분석!$C$11),"당기",IF(AND(M1268&gt;=원인분석!$C$12,M1268&lt;=원인분석!$C$13),"비교",""))))</f>
        <v/>
      </c>
      <c r="R1268" s="9">
        <f>IF(Q1268="","",$K1268&amp;"")</f>
        <v/>
      </c>
      <c r="S1268" s="9">
        <f>IF(Q1268="","",IF(MATCH(R1268,$R$5:$R$100000,0)=ROW()-4,ROW(),""))</f>
        <v/>
      </c>
      <c r="T1268" s="9">
        <f>IF(Q1268="당기",ABS(P1268)+ROW()/1000000000,"")</f>
        <v/>
      </c>
      <c r="U1268" s="9">
        <f>IF(Q1268="비교",ABS(P1268)+ROW()/1000000000,"")</f>
        <v/>
      </c>
      <c r="V1268" s="64">
        <f>IF($A1268="","",IF(COUNTIF(변동분석!$E$7:$E$506,O1268)&gt;0,"Y","N"))</f>
        <v/>
      </c>
      <c r="W1268" s="64">
        <f>IF($A1268="","",IFERROR(INDEX(계정매핑!$D$5:$D$504,MATCH($F1268&amp;"",계정매핑!$A$5:$A$504,0)),"미매핑"))</f>
        <v/>
      </c>
      <c r="X1268" s="9">
        <f>IF($A1268="","",$F1268&amp;"")</f>
        <v/>
      </c>
      <c r="Y1268" s="94">
        <f>IF($A1268="",0,IF(AE1268="직접",IF(AF1268="비귀속",$P1268,0),$P1268*(1-AG1268)*IFERROR(INDEX(계정대체기준!$F$20:$F$49,MATCH($N1268,계정대체기준!$A$20:$A$49,0)),1)))</f>
        <v/>
      </c>
      <c r="Z1268" s="94">
        <f>IF($A1268="",0,IF(AE1268="직접",IF(AF1268="신계약비",$P1268,0),$P1268*(1-AG1268)*IFERROR(INDEX(계정대체기준!$C$20:$C$49,MATCH($N1268,계정대체기준!$A$20:$A$49,0)),0)))</f>
        <v/>
      </c>
      <c r="AA1268" s="94">
        <f>IF($A1268="",0,IF(AE1268="직접",IF(OR(AF1268="유지비",AF1268="손해조사비"),$P1268,0),$P1268*(1-AG1268)*IFERROR(INDEX(계정대체기준!$D$20:$D$49,MATCH($N1268,계정대체기준!$A$20:$A$49,0)),0)))</f>
        <v/>
      </c>
      <c r="AB1268" s="94">
        <f>IF($A1268="",0,IF(AE1268="직접",IF(AF1268="수금비",$P1268,0),$P1268*(1-AG1268)*IFERROR(INDEX(계정대체기준!$E$20:$E$49,MATCH($N1268,계정대체기준!$A$20:$A$49,0)),0)))</f>
        <v/>
      </c>
      <c r="AC1268" s="9">
        <f>IF(AND($A1268&lt;&gt;"",M1268=설정!$C$20,Z1268&gt;0),Z1268+ROW()/1000000000,"")</f>
        <v/>
      </c>
      <c r="AD1268" s="94">
        <f>IF($A1268="",0,$P1268*AG1268)</f>
        <v/>
      </c>
      <c r="AE1268" s="64">
        <f>IF($A1268="","",IFERROR(INDEX(계정매핑!$E$5:$E$504,MATCH($F1268&amp;"",계정매핑!$A$5:$A$504,0))&amp;"","공통비"))</f>
        <v/>
      </c>
      <c r="AF1268" s="64">
        <f>IF($A1268="","",IF(AE1268="직접",IFERROR(INDEX(계정매핑!$F$5:$F$504,MATCH($F1268&amp;"",계정매핑!$A$5:$A$504,0))&amp;"","비귀속"),""))</f>
        <v/>
      </c>
      <c r="AG1268" s="96">
        <f>IF($A1268="",0,IF(AND(AE1268&lt;&gt;"직접",IFERROR(INDEX(계정매핑!$G$5:$G$504,MATCH($F1268&amp;"",계정매핑!$A$5:$A$504,0))&amp;"","")="유지비",COUNTIF(계정대체기준!$A$6:$A$15,$N1268)&gt;0),IFERROR(INDEX(계정대체기준!$E$6:$E$15,MATCH(VALUE($A1268&amp;""),계정대체기준!$D$6:$D$15,0)),0),0))</f>
        <v/>
      </c>
      <c r="AH1268" s="64">
        <f>IF($A1268="","",IF(AD1268=0,"",IF(OR(COUNTIF(계정대체기준!$A$77:$A$86,$N1268)&gt;0,ISNUMBER(MATCH($X1268,계정대체기준!$D$77:$D$86,0)),ISNUMBER(MATCH($F1268,계정대체기준!$D$77:$D$86,0))),"Y","N")))</f>
        <v/>
      </c>
    </row>
    <row r="1269">
      <c r="A1269" s="92" t="n">
        <v>2025</v>
      </c>
      <c r="B1269" s="92" t="n">
        <v>6</v>
      </c>
      <c r="C1269" s="92" t="inlineStr">
        <is>
          <t>5100001265</t>
        </is>
      </c>
      <c r="D1269" s="95" t="n">
        <v>45824</v>
      </c>
      <c r="E1269" s="92" t="inlineStr">
        <is>
          <t>KR</t>
        </is>
      </c>
      <c r="F1269" s="92" t="n">
        <v>62902000</v>
      </c>
      <c r="G1269" s="92" t="n">
        <v>1401</v>
      </c>
      <c r="H1269" s="93" t="n">
        <v>2112000</v>
      </c>
      <c r="I1269" s="92" t="inlineStr">
        <is>
          <t>6월 업무 위탁 수수료 - J콜센터</t>
        </is>
      </c>
      <c r="J1269" s="92" t="inlineStr">
        <is>
          <t>V10016</t>
        </is>
      </c>
      <c r="K1269" s="92" t="inlineStr">
        <is>
          <t>J콜센터</t>
        </is>
      </c>
      <c r="M1269" s="9">
        <f>IF($A1269="","",VALUE($A1269&amp;"")*12+VALUE($B1269&amp;""))</f>
        <v/>
      </c>
      <c r="N1269" s="64">
        <f>IF($A1269="","",IFERROR(INDEX(부서매핑!$C$5:$C$504,MATCH($G1269&amp;"",부서매핑!$A$5:$A$504,0)),"미매핑"))</f>
        <v/>
      </c>
      <c r="O1269" s="9">
        <f>IF($A1269="","",N1269&amp;"|"&amp;$F1269)</f>
        <v/>
      </c>
      <c r="P1269" s="94">
        <f>IF($A1269="",0,$H1269*설정!$C$23)</f>
        <v/>
      </c>
      <c r="Q1269" s="64">
        <f>IF($A1269="","",IF(O1269&lt;&gt;원인분석!$C$9,"",IF(AND(M1269&gt;=원인분석!$C$10,M1269&lt;=원인분석!$C$11),"당기",IF(AND(M1269&gt;=원인분석!$C$12,M1269&lt;=원인분석!$C$13),"비교",""))))</f>
        <v/>
      </c>
      <c r="R1269" s="9">
        <f>IF(Q1269="","",$K1269&amp;"")</f>
        <v/>
      </c>
      <c r="S1269" s="9">
        <f>IF(Q1269="","",IF(MATCH(R1269,$R$5:$R$100000,0)=ROW()-4,ROW(),""))</f>
        <v/>
      </c>
      <c r="T1269" s="9">
        <f>IF(Q1269="당기",ABS(P1269)+ROW()/1000000000,"")</f>
        <v/>
      </c>
      <c r="U1269" s="9">
        <f>IF(Q1269="비교",ABS(P1269)+ROW()/1000000000,"")</f>
        <v/>
      </c>
      <c r="V1269" s="64">
        <f>IF($A1269="","",IF(COUNTIF(변동분석!$E$7:$E$506,O1269)&gt;0,"Y","N"))</f>
        <v/>
      </c>
      <c r="W1269" s="64">
        <f>IF($A1269="","",IFERROR(INDEX(계정매핑!$D$5:$D$504,MATCH($F1269&amp;"",계정매핑!$A$5:$A$504,0)),"미매핑"))</f>
        <v/>
      </c>
      <c r="X1269" s="9">
        <f>IF($A1269="","",$F1269&amp;"")</f>
        <v/>
      </c>
      <c r="Y1269" s="94">
        <f>IF($A1269="",0,IF(AE1269="직접",IF(AF1269="비귀속",$P1269,0),$P1269*(1-AG1269)*IFERROR(INDEX(계정대체기준!$F$20:$F$49,MATCH($N1269,계정대체기준!$A$20:$A$49,0)),1)))</f>
        <v/>
      </c>
      <c r="Z1269" s="94">
        <f>IF($A1269="",0,IF(AE1269="직접",IF(AF1269="신계약비",$P1269,0),$P1269*(1-AG1269)*IFERROR(INDEX(계정대체기준!$C$20:$C$49,MATCH($N1269,계정대체기준!$A$20:$A$49,0)),0)))</f>
        <v/>
      </c>
      <c r="AA1269" s="94">
        <f>IF($A1269="",0,IF(AE1269="직접",IF(OR(AF1269="유지비",AF1269="손해조사비"),$P1269,0),$P1269*(1-AG1269)*IFERROR(INDEX(계정대체기준!$D$20:$D$49,MATCH($N1269,계정대체기준!$A$20:$A$49,0)),0)))</f>
        <v/>
      </c>
      <c r="AB1269" s="94">
        <f>IF($A1269="",0,IF(AE1269="직접",IF(AF1269="수금비",$P1269,0),$P1269*(1-AG1269)*IFERROR(INDEX(계정대체기준!$E$20:$E$49,MATCH($N1269,계정대체기준!$A$20:$A$49,0)),0)))</f>
        <v/>
      </c>
      <c r="AC1269" s="9">
        <f>IF(AND($A1269&lt;&gt;"",M1269=설정!$C$20,Z1269&gt;0),Z1269+ROW()/1000000000,"")</f>
        <v/>
      </c>
      <c r="AD1269" s="94">
        <f>IF($A1269="",0,$P1269*AG1269)</f>
        <v/>
      </c>
      <c r="AE1269" s="64">
        <f>IF($A1269="","",IFERROR(INDEX(계정매핑!$E$5:$E$504,MATCH($F1269&amp;"",계정매핑!$A$5:$A$504,0))&amp;"","공통비"))</f>
        <v/>
      </c>
      <c r="AF1269" s="64">
        <f>IF($A1269="","",IF(AE1269="직접",IFERROR(INDEX(계정매핑!$F$5:$F$504,MATCH($F1269&amp;"",계정매핑!$A$5:$A$504,0))&amp;"","비귀속"),""))</f>
        <v/>
      </c>
      <c r="AG1269" s="96">
        <f>IF($A1269="",0,IF(AND(AE1269&lt;&gt;"직접",IFERROR(INDEX(계정매핑!$G$5:$G$504,MATCH($F1269&amp;"",계정매핑!$A$5:$A$504,0))&amp;"","")="유지비",COUNTIF(계정대체기준!$A$6:$A$15,$N1269)&gt;0),IFERROR(INDEX(계정대체기준!$E$6:$E$15,MATCH(VALUE($A1269&amp;""),계정대체기준!$D$6:$D$15,0)),0),0))</f>
        <v/>
      </c>
      <c r="AH1269" s="64">
        <f>IF($A1269="","",IF(AD1269=0,"",IF(OR(COUNTIF(계정대체기준!$A$77:$A$86,$N1269)&gt;0,ISNUMBER(MATCH($X1269,계정대체기준!$D$77:$D$86,0)),ISNUMBER(MATCH($F1269,계정대체기준!$D$77:$D$86,0))),"Y","N")))</f>
        <v/>
      </c>
    </row>
    <row r="1270">
      <c r="A1270" s="92" t="n">
        <v>2025</v>
      </c>
      <c r="B1270" s="92" t="n">
        <v>6</v>
      </c>
      <c r="C1270" s="92" t="inlineStr">
        <is>
          <t>5100001266</t>
        </is>
      </c>
      <c r="D1270" s="95" t="n">
        <v>45825</v>
      </c>
      <c r="E1270" s="92" t="inlineStr">
        <is>
          <t>KR</t>
        </is>
      </c>
      <c r="F1270" s="92" t="n">
        <v>62201000</v>
      </c>
      <c r="G1270" s="92" t="n">
        <v>1301</v>
      </c>
      <c r="H1270" s="93" t="n">
        <v>283000</v>
      </c>
      <c r="I1270" s="92" t="inlineStr">
        <is>
          <t>6월 통신요금 - P통신</t>
        </is>
      </c>
      <c r="J1270" s="92" t="inlineStr">
        <is>
          <t>V10014</t>
        </is>
      </c>
      <c r="K1270" s="92" t="inlineStr">
        <is>
          <t>P통신</t>
        </is>
      </c>
      <c r="M1270" s="9">
        <f>IF($A1270="","",VALUE($A1270&amp;"")*12+VALUE($B1270&amp;""))</f>
        <v/>
      </c>
      <c r="N1270" s="64">
        <f>IF($A1270="","",IFERROR(INDEX(부서매핑!$C$5:$C$504,MATCH($G1270&amp;"",부서매핑!$A$5:$A$504,0)),"미매핑"))</f>
        <v/>
      </c>
      <c r="O1270" s="9">
        <f>IF($A1270="","",N1270&amp;"|"&amp;$F1270)</f>
        <v/>
      </c>
      <c r="P1270" s="94">
        <f>IF($A1270="",0,$H1270*설정!$C$23)</f>
        <v/>
      </c>
      <c r="Q1270" s="64">
        <f>IF($A1270="","",IF(O1270&lt;&gt;원인분석!$C$9,"",IF(AND(M1270&gt;=원인분석!$C$10,M1270&lt;=원인분석!$C$11),"당기",IF(AND(M1270&gt;=원인분석!$C$12,M1270&lt;=원인분석!$C$13),"비교",""))))</f>
        <v/>
      </c>
      <c r="R1270" s="9">
        <f>IF(Q1270="","",$K1270&amp;"")</f>
        <v/>
      </c>
      <c r="S1270" s="9">
        <f>IF(Q1270="","",IF(MATCH(R1270,$R$5:$R$100000,0)=ROW()-4,ROW(),""))</f>
        <v/>
      </c>
      <c r="T1270" s="9">
        <f>IF(Q1270="당기",ABS(P1270)+ROW()/1000000000,"")</f>
        <v/>
      </c>
      <c r="U1270" s="9">
        <f>IF(Q1270="비교",ABS(P1270)+ROW()/1000000000,"")</f>
        <v/>
      </c>
      <c r="V1270" s="64">
        <f>IF($A1270="","",IF(COUNTIF(변동분석!$E$7:$E$506,O1270)&gt;0,"Y","N"))</f>
        <v/>
      </c>
      <c r="W1270" s="64">
        <f>IF($A1270="","",IFERROR(INDEX(계정매핑!$D$5:$D$504,MATCH($F1270&amp;"",계정매핑!$A$5:$A$504,0)),"미매핑"))</f>
        <v/>
      </c>
      <c r="X1270" s="9">
        <f>IF($A1270="","",$F1270&amp;"")</f>
        <v/>
      </c>
      <c r="Y1270" s="94">
        <f>IF($A1270="",0,IF(AE1270="직접",IF(AF1270="비귀속",$P1270,0),$P1270*(1-AG1270)*IFERROR(INDEX(계정대체기준!$F$20:$F$49,MATCH($N1270,계정대체기준!$A$20:$A$49,0)),1)))</f>
        <v/>
      </c>
      <c r="Z1270" s="94">
        <f>IF($A1270="",0,IF(AE1270="직접",IF(AF1270="신계약비",$P1270,0),$P1270*(1-AG1270)*IFERROR(INDEX(계정대체기준!$C$20:$C$49,MATCH($N1270,계정대체기준!$A$20:$A$49,0)),0)))</f>
        <v/>
      </c>
      <c r="AA1270" s="94">
        <f>IF($A1270="",0,IF(AE1270="직접",IF(OR(AF1270="유지비",AF1270="손해조사비"),$P1270,0),$P1270*(1-AG1270)*IFERROR(INDEX(계정대체기준!$D$20:$D$49,MATCH($N1270,계정대체기준!$A$20:$A$49,0)),0)))</f>
        <v/>
      </c>
      <c r="AB1270" s="94">
        <f>IF($A1270="",0,IF(AE1270="직접",IF(AF1270="수금비",$P1270,0),$P1270*(1-AG1270)*IFERROR(INDEX(계정대체기준!$E$20:$E$49,MATCH($N1270,계정대체기준!$A$20:$A$49,0)),0)))</f>
        <v/>
      </c>
      <c r="AC1270" s="9">
        <f>IF(AND($A1270&lt;&gt;"",M1270=설정!$C$20,Z1270&gt;0),Z1270+ROW()/1000000000,"")</f>
        <v/>
      </c>
      <c r="AD1270" s="94">
        <f>IF($A1270="",0,$P1270*AG1270)</f>
        <v/>
      </c>
      <c r="AE1270" s="64">
        <f>IF($A1270="","",IFERROR(INDEX(계정매핑!$E$5:$E$504,MATCH($F1270&amp;"",계정매핑!$A$5:$A$504,0))&amp;"","공통비"))</f>
        <v/>
      </c>
      <c r="AF1270" s="64">
        <f>IF($A1270="","",IF(AE1270="직접",IFERROR(INDEX(계정매핑!$F$5:$F$504,MATCH($F1270&amp;"",계정매핑!$A$5:$A$504,0))&amp;"","비귀속"),""))</f>
        <v/>
      </c>
      <c r="AG1270" s="96">
        <f>IF($A1270="",0,IF(AND(AE1270&lt;&gt;"직접",IFERROR(INDEX(계정매핑!$G$5:$G$504,MATCH($F1270&amp;"",계정매핑!$A$5:$A$504,0))&amp;"","")="유지비",COUNTIF(계정대체기준!$A$6:$A$15,$N1270)&gt;0),IFERROR(INDEX(계정대체기준!$E$6:$E$15,MATCH(VALUE($A1270&amp;""),계정대체기준!$D$6:$D$15,0)),0),0))</f>
        <v/>
      </c>
      <c r="AH1270" s="64">
        <f>IF($A1270="","",IF(AD1270=0,"",IF(OR(COUNTIF(계정대체기준!$A$77:$A$86,$N1270)&gt;0,ISNUMBER(MATCH($X1270,계정대체기준!$D$77:$D$86,0)),ISNUMBER(MATCH($F1270,계정대체기준!$D$77:$D$86,0))),"Y","N")))</f>
        <v/>
      </c>
    </row>
    <row r="1271">
      <c r="A1271" s="92" t="n">
        <v>2025</v>
      </c>
      <c r="B1271" s="92" t="n">
        <v>6</v>
      </c>
      <c r="C1271" s="92" t="inlineStr">
        <is>
          <t>5100001267</t>
        </is>
      </c>
      <c r="D1271" s="95" t="n">
        <v>45825</v>
      </c>
      <c r="E1271" s="92" t="inlineStr">
        <is>
          <t>KR</t>
        </is>
      </c>
      <c r="F1271" s="92" t="n">
        <v>62401000</v>
      </c>
      <c r="G1271" s="92" t="n">
        <v>1401</v>
      </c>
      <c r="H1271" s="93" t="n">
        <v>160000</v>
      </c>
      <c r="I1271" s="92" t="inlineStr">
        <is>
          <t>6월 인쇄물 제작 - G인쇄</t>
        </is>
      </c>
      <c r="J1271" s="92" t="inlineStr">
        <is>
          <t>V10004</t>
        </is>
      </c>
      <c r="K1271" s="92" t="inlineStr">
        <is>
          <t>G인쇄</t>
        </is>
      </c>
      <c r="M1271" s="9">
        <f>IF($A1271="","",VALUE($A1271&amp;"")*12+VALUE($B1271&amp;""))</f>
        <v/>
      </c>
      <c r="N1271" s="64">
        <f>IF($A1271="","",IFERROR(INDEX(부서매핑!$C$5:$C$504,MATCH($G1271&amp;"",부서매핑!$A$5:$A$504,0)),"미매핑"))</f>
        <v/>
      </c>
      <c r="O1271" s="9">
        <f>IF($A1271="","",N1271&amp;"|"&amp;$F1271)</f>
        <v/>
      </c>
      <c r="P1271" s="94">
        <f>IF($A1271="",0,$H1271*설정!$C$23)</f>
        <v/>
      </c>
      <c r="Q1271" s="64">
        <f>IF($A1271="","",IF(O1271&lt;&gt;원인분석!$C$9,"",IF(AND(M1271&gt;=원인분석!$C$10,M1271&lt;=원인분석!$C$11),"당기",IF(AND(M1271&gt;=원인분석!$C$12,M1271&lt;=원인분석!$C$13),"비교",""))))</f>
        <v/>
      </c>
      <c r="R1271" s="9">
        <f>IF(Q1271="","",$K1271&amp;"")</f>
        <v/>
      </c>
      <c r="S1271" s="9">
        <f>IF(Q1271="","",IF(MATCH(R1271,$R$5:$R$100000,0)=ROW()-4,ROW(),""))</f>
        <v/>
      </c>
      <c r="T1271" s="9">
        <f>IF(Q1271="당기",ABS(P1271)+ROW()/1000000000,"")</f>
        <v/>
      </c>
      <c r="U1271" s="9">
        <f>IF(Q1271="비교",ABS(P1271)+ROW()/1000000000,"")</f>
        <v/>
      </c>
      <c r="V1271" s="64">
        <f>IF($A1271="","",IF(COUNTIF(변동분석!$E$7:$E$506,O1271)&gt;0,"Y","N"))</f>
        <v/>
      </c>
      <c r="W1271" s="64">
        <f>IF($A1271="","",IFERROR(INDEX(계정매핑!$D$5:$D$504,MATCH($F1271&amp;"",계정매핑!$A$5:$A$504,0)),"미매핑"))</f>
        <v/>
      </c>
      <c r="X1271" s="9">
        <f>IF($A1271="","",$F1271&amp;"")</f>
        <v/>
      </c>
      <c r="Y1271" s="94">
        <f>IF($A1271="",0,IF(AE1271="직접",IF(AF1271="비귀속",$P1271,0),$P1271*(1-AG1271)*IFERROR(INDEX(계정대체기준!$F$20:$F$49,MATCH($N1271,계정대체기준!$A$20:$A$49,0)),1)))</f>
        <v/>
      </c>
      <c r="Z1271" s="94">
        <f>IF($A1271="",0,IF(AE1271="직접",IF(AF1271="신계약비",$P1271,0),$P1271*(1-AG1271)*IFERROR(INDEX(계정대체기준!$C$20:$C$49,MATCH($N1271,계정대체기준!$A$20:$A$49,0)),0)))</f>
        <v/>
      </c>
      <c r="AA1271" s="94">
        <f>IF($A1271="",0,IF(AE1271="직접",IF(OR(AF1271="유지비",AF1271="손해조사비"),$P1271,0),$P1271*(1-AG1271)*IFERROR(INDEX(계정대체기준!$D$20:$D$49,MATCH($N1271,계정대체기준!$A$20:$A$49,0)),0)))</f>
        <v/>
      </c>
      <c r="AB1271" s="94">
        <f>IF($A1271="",0,IF(AE1271="직접",IF(AF1271="수금비",$P1271,0),$P1271*(1-AG1271)*IFERROR(INDEX(계정대체기준!$E$20:$E$49,MATCH($N1271,계정대체기준!$A$20:$A$49,0)),0)))</f>
        <v/>
      </c>
      <c r="AC1271" s="9">
        <f>IF(AND($A1271&lt;&gt;"",M1271=설정!$C$20,Z1271&gt;0),Z1271+ROW()/1000000000,"")</f>
        <v/>
      </c>
      <c r="AD1271" s="94">
        <f>IF($A1271="",0,$P1271*AG1271)</f>
        <v/>
      </c>
      <c r="AE1271" s="64">
        <f>IF($A1271="","",IFERROR(INDEX(계정매핑!$E$5:$E$504,MATCH($F1271&amp;"",계정매핑!$A$5:$A$504,0))&amp;"","공통비"))</f>
        <v/>
      </c>
      <c r="AF1271" s="64">
        <f>IF($A1271="","",IF(AE1271="직접",IFERROR(INDEX(계정매핑!$F$5:$F$504,MATCH($F1271&amp;"",계정매핑!$A$5:$A$504,0))&amp;"","비귀속"),""))</f>
        <v/>
      </c>
      <c r="AG1271" s="96">
        <f>IF($A1271="",0,IF(AND(AE1271&lt;&gt;"직접",IFERROR(INDEX(계정매핑!$G$5:$G$504,MATCH($F1271&amp;"",계정매핑!$A$5:$A$504,0))&amp;"","")="유지비",COUNTIF(계정대체기준!$A$6:$A$15,$N1271)&gt;0),IFERROR(INDEX(계정대체기준!$E$6:$E$15,MATCH(VALUE($A1271&amp;""),계정대체기준!$D$6:$D$15,0)),0),0))</f>
        <v/>
      </c>
      <c r="AH1271" s="64">
        <f>IF($A1271="","",IF(AD1271=0,"",IF(OR(COUNTIF(계정대체기준!$A$77:$A$86,$N1271)&gt;0,ISNUMBER(MATCH($X1271,계정대체기준!$D$77:$D$86,0)),ISNUMBER(MATCH($F1271,계정대체기준!$D$77:$D$86,0))),"Y","N")))</f>
        <v/>
      </c>
    </row>
    <row r="1272">
      <c r="A1272" s="92" t="n">
        <v>2025</v>
      </c>
      <c r="B1272" s="92" t="n">
        <v>6</v>
      </c>
      <c r="C1272" s="92" t="inlineStr">
        <is>
          <t>5100001268</t>
        </is>
      </c>
      <c r="D1272" s="95" t="n">
        <v>45825</v>
      </c>
      <c r="E1272" s="92" t="inlineStr">
        <is>
          <t>KR</t>
        </is>
      </c>
      <c r="F1272" s="92" t="n">
        <v>62501000</v>
      </c>
      <c r="G1272" s="92" t="n">
        <v>1301</v>
      </c>
      <c r="H1272" s="93" t="n">
        <v>215000</v>
      </c>
      <c r="I1272" s="92" t="inlineStr">
        <is>
          <t>6월 회의 다과 - (법인카드)</t>
        </is>
      </c>
      <c r="J1272" s="92" t="inlineStr">
        <is>
          <t>V10010</t>
        </is>
      </c>
      <c r="K1272" s="92" t="inlineStr">
        <is>
          <t>(법인카드)</t>
        </is>
      </c>
      <c r="M1272" s="9">
        <f>IF($A1272="","",VALUE($A1272&amp;"")*12+VALUE($B1272&amp;""))</f>
        <v/>
      </c>
      <c r="N1272" s="64">
        <f>IF($A1272="","",IFERROR(INDEX(부서매핑!$C$5:$C$504,MATCH($G1272&amp;"",부서매핑!$A$5:$A$504,0)),"미매핑"))</f>
        <v/>
      </c>
      <c r="O1272" s="9">
        <f>IF($A1272="","",N1272&amp;"|"&amp;$F1272)</f>
        <v/>
      </c>
      <c r="P1272" s="94">
        <f>IF($A1272="",0,$H1272*설정!$C$23)</f>
        <v/>
      </c>
      <c r="Q1272" s="64">
        <f>IF($A1272="","",IF(O1272&lt;&gt;원인분석!$C$9,"",IF(AND(M1272&gt;=원인분석!$C$10,M1272&lt;=원인분석!$C$11),"당기",IF(AND(M1272&gt;=원인분석!$C$12,M1272&lt;=원인분석!$C$13),"비교",""))))</f>
        <v/>
      </c>
      <c r="R1272" s="9">
        <f>IF(Q1272="","",$K1272&amp;"")</f>
        <v/>
      </c>
      <c r="S1272" s="9">
        <f>IF(Q1272="","",IF(MATCH(R1272,$R$5:$R$100000,0)=ROW()-4,ROW(),""))</f>
        <v/>
      </c>
      <c r="T1272" s="9">
        <f>IF(Q1272="당기",ABS(P1272)+ROW()/1000000000,"")</f>
        <v/>
      </c>
      <c r="U1272" s="9">
        <f>IF(Q1272="비교",ABS(P1272)+ROW()/1000000000,"")</f>
        <v/>
      </c>
      <c r="V1272" s="64">
        <f>IF($A1272="","",IF(COUNTIF(변동분석!$E$7:$E$506,O1272)&gt;0,"Y","N"))</f>
        <v/>
      </c>
      <c r="W1272" s="64">
        <f>IF($A1272="","",IFERROR(INDEX(계정매핑!$D$5:$D$504,MATCH($F1272&amp;"",계정매핑!$A$5:$A$504,0)),"미매핑"))</f>
        <v/>
      </c>
      <c r="X1272" s="9">
        <f>IF($A1272="","",$F1272&amp;"")</f>
        <v/>
      </c>
      <c r="Y1272" s="94">
        <f>IF($A1272="",0,IF(AE1272="직접",IF(AF1272="비귀속",$P1272,0),$P1272*(1-AG1272)*IFERROR(INDEX(계정대체기준!$F$20:$F$49,MATCH($N1272,계정대체기준!$A$20:$A$49,0)),1)))</f>
        <v/>
      </c>
      <c r="Z1272" s="94">
        <f>IF($A1272="",0,IF(AE1272="직접",IF(AF1272="신계약비",$P1272,0),$P1272*(1-AG1272)*IFERROR(INDEX(계정대체기준!$C$20:$C$49,MATCH($N1272,계정대체기준!$A$20:$A$49,0)),0)))</f>
        <v/>
      </c>
      <c r="AA1272" s="94">
        <f>IF($A1272="",0,IF(AE1272="직접",IF(OR(AF1272="유지비",AF1272="손해조사비"),$P1272,0),$P1272*(1-AG1272)*IFERROR(INDEX(계정대체기준!$D$20:$D$49,MATCH($N1272,계정대체기준!$A$20:$A$49,0)),0)))</f>
        <v/>
      </c>
      <c r="AB1272" s="94">
        <f>IF($A1272="",0,IF(AE1272="직접",IF(AF1272="수금비",$P1272,0),$P1272*(1-AG1272)*IFERROR(INDEX(계정대체기준!$E$20:$E$49,MATCH($N1272,계정대체기준!$A$20:$A$49,0)),0)))</f>
        <v/>
      </c>
      <c r="AC1272" s="9">
        <f>IF(AND($A1272&lt;&gt;"",M1272=설정!$C$20,Z1272&gt;0),Z1272+ROW()/1000000000,"")</f>
        <v/>
      </c>
      <c r="AD1272" s="94">
        <f>IF($A1272="",0,$P1272*AG1272)</f>
        <v/>
      </c>
      <c r="AE1272" s="64">
        <f>IF($A1272="","",IFERROR(INDEX(계정매핑!$E$5:$E$504,MATCH($F1272&amp;"",계정매핑!$A$5:$A$504,0))&amp;"","공통비"))</f>
        <v/>
      </c>
      <c r="AF1272" s="64">
        <f>IF($A1272="","",IF(AE1272="직접",IFERROR(INDEX(계정매핑!$F$5:$F$504,MATCH($F1272&amp;"",계정매핑!$A$5:$A$504,0))&amp;"","비귀속"),""))</f>
        <v/>
      </c>
      <c r="AG1272" s="96">
        <f>IF($A1272="",0,IF(AND(AE1272&lt;&gt;"직접",IFERROR(INDEX(계정매핑!$G$5:$G$504,MATCH($F1272&amp;"",계정매핑!$A$5:$A$504,0))&amp;"","")="유지비",COUNTIF(계정대체기준!$A$6:$A$15,$N1272)&gt;0),IFERROR(INDEX(계정대체기준!$E$6:$E$15,MATCH(VALUE($A1272&amp;""),계정대체기준!$D$6:$D$15,0)),0),0))</f>
        <v/>
      </c>
      <c r="AH1272" s="64">
        <f>IF($A1272="","",IF(AD1272=0,"",IF(OR(COUNTIF(계정대체기준!$A$77:$A$86,$N1272)&gt;0,ISNUMBER(MATCH($X1272,계정대체기준!$D$77:$D$86,0)),ISNUMBER(MATCH($F1272,계정대체기준!$D$77:$D$86,0))),"Y","N")))</f>
        <v/>
      </c>
    </row>
    <row r="1273">
      <c r="A1273" s="92" t="n">
        <v>2025</v>
      </c>
      <c r="B1273" s="92" t="n">
        <v>6</v>
      </c>
      <c r="C1273" s="92" t="inlineStr">
        <is>
          <t>5100001269</t>
        </is>
      </c>
      <c r="D1273" s="95" t="n">
        <v>45825</v>
      </c>
      <c r="E1273" s="92" t="inlineStr">
        <is>
          <t>KR</t>
        </is>
      </c>
      <c r="F1273" s="92" t="n">
        <v>62902000</v>
      </c>
      <c r="G1273" s="92" t="n">
        <v>1801</v>
      </c>
      <c r="H1273" s="93" t="n">
        <v>1849000</v>
      </c>
      <c r="I1273" s="92" t="inlineStr">
        <is>
          <t>6월 콜 위탁 수수료(건별)</t>
        </is>
      </c>
      <c r="J1273" s="92" t="inlineStr">
        <is>
          <t>V10016</t>
        </is>
      </c>
      <c r="K1273" s="92" t="inlineStr">
        <is>
          <t>J콜센터</t>
        </is>
      </c>
      <c r="M1273" s="9">
        <f>IF($A1273="","",VALUE($A1273&amp;"")*12+VALUE($B1273&amp;""))</f>
        <v/>
      </c>
      <c r="N1273" s="64">
        <f>IF($A1273="","",IFERROR(INDEX(부서매핑!$C$5:$C$504,MATCH($G1273&amp;"",부서매핑!$A$5:$A$504,0)),"미매핑"))</f>
        <v/>
      </c>
      <c r="O1273" s="9">
        <f>IF($A1273="","",N1273&amp;"|"&amp;$F1273)</f>
        <v/>
      </c>
      <c r="P1273" s="94">
        <f>IF($A1273="",0,$H1273*설정!$C$23)</f>
        <v/>
      </c>
      <c r="Q1273" s="64">
        <f>IF($A1273="","",IF(O1273&lt;&gt;원인분석!$C$9,"",IF(AND(M1273&gt;=원인분석!$C$10,M1273&lt;=원인분석!$C$11),"당기",IF(AND(M1273&gt;=원인분석!$C$12,M1273&lt;=원인분석!$C$13),"비교",""))))</f>
        <v/>
      </c>
      <c r="R1273" s="9">
        <f>IF(Q1273="","",$K1273&amp;"")</f>
        <v/>
      </c>
      <c r="S1273" s="9">
        <f>IF(Q1273="","",IF(MATCH(R1273,$R$5:$R$100000,0)=ROW()-4,ROW(),""))</f>
        <v/>
      </c>
      <c r="T1273" s="9">
        <f>IF(Q1273="당기",ABS(P1273)+ROW()/1000000000,"")</f>
        <v/>
      </c>
      <c r="U1273" s="9">
        <f>IF(Q1273="비교",ABS(P1273)+ROW()/1000000000,"")</f>
        <v/>
      </c>
      <c r="V1273" s="64">
        <f>IF($A1273="","",IF(COUNTIF(변동분석!$E$7:$E$506,O1273)&gt;0,"Y","N"))</f>
        <v/>
      </c>
      <c r="W1273" s="64">
        <f>IF($A1273="","",IFERROR(INDEX(계정매핑!$D$5:$D$504,MATCH($F1273&amp;"",계정매핑!$A$5:$A$504,0)),"미매핑"))</f>
        <v/>
      </c>
      <c r="X1273" s="9">
        <f>IF($A1273="","",$F1273&amp;"")</f>
        <v/>
      </c>
      <c r="Y1273" s="94">
        <f>IF($A1273="",0,IF(AE1273="직접",IF(AF1273="비귀속",$P1273,0),$P1273*(1-AG1273)*IFERROR(INDEX(계정대체기준!$F$20:$F$49,MATCH($N1273,계정대체기준!$A$20:$A$49,0)),1)))</f>
        <v/>
      </c>
      <c r="Z1273" s="94">
        <f>IF($A1273="",0,IF(AE1273="직접",IF(AF1273="신계약비",$P1273,0),$P1273*(1-AG1273)*IFERROR(INDEX(계정대체기준!$C$20:$C$49,MATCH($N1273,계정대체기준!$A$20:$A$49,0)),0)))</f>
        <v/>
      </c>
      <c r="AA1273" s="94">
        <f>IF($A1273="",0,IF(AE1273="직접",IF(OR(AF1273="유지비",AF1273="손해조사비"),$P1273,0),$P1273*(1-AG1273)*IFERROR(INDEX(계정대체기준!$D$20:$D$49,MATCH($N1273,계정대체기준!$A$20:$A$49,0)),0)))</f>
        <v/>
      </c>
      <c r="AB1273" s="94">
        <f>IF($A1273="",0,IF(AE1273="직접",IF(AF1273="수금비",$P1273,0),$P1273*(1-AG1273)*IFERROR(INDEX(계정대체기준!$E$20:$E$49,MATCH($N1273,계정대체기준!$A$20:$A$49,0)),0)))</f>
        <v/>
      </c>
      <c r="AC1273" s="9">
        <f>IF(AND($A1273&lt;&gt;"",M1273=설정!$C$20,Z1273&gt;0),Z1273+ROW()/1000000000,"")</f>
        <v/>
      </c>
      <c r="AD1273" s="94">
        <f>IF($A1273="",0,$P1273*AG1273)</f>
        <v/>
      </c>
      <c r="AE1273" s="64">
        <f>IF($A1273="","",IFERROR(INDEX(계정매핑!$E$5:$E$504,MATCH($F1273&amp;"",계정매핑!$A$5:$A$504,0))&amp;"","공통비"))</f>
        <v/>
      </c>
      <c r="AF1273" s="64">
        <f>IF($A1273="","",IF(AE1273="직접",IFERROR(INDEX(계정매핑!$F$5:$F$504,MATCH($F1273&amp;"",계정매핑!$A$5:$A$504,0))&amp;"","비귀속"),""))</f>
        <v/>
      </c>
      <c r="AG1273" s="96">
        <f>IF($A1273="",0,IF(AND(AE1273&lt;&gt;"직접",IFERROR(INDEX(계정매핑!$G$5:$G$504,MATCH($F1273&amp;"",계정매핑!$A$5:$A$504,0))&amp;"","")="유지비",COUNTIF(계정대체기준!$A$6:$A$15,$N1273)&gt;0),IFERROR(INDEX(계정대체기준!$E$6:$E$15,MATCH(VALUE($A1273&amp;""),계정대체기준!$D$6:$D$15,0)),0),0))</f>
        <v/>
      </c>
      <c r="AH1273" s="64">
        <f>IF($A1273="","",IF(AD1273=0,"",IF(OR(COUNTIF(계정대체기준!$A$77:$A$86,$N1273)&gt;0,ISNUMBER(MATCH($X1273,계정대체기준!$D$77:$D$86,0)),ISNUMBER(MATCH($F1273,계정대체기준!$D$77:$D$86,0))),"Y","N")))</f>
        <v/>
      </c>
    </row>
    <row r="1274">
      <c r="A1274" s="92" t="n">
        <v>2025</v>
      </c>
      <c r="B1274" s="92" t="n">
        <v>6</v>
      </c>
      <c r="C1274" s="92" t="inlineStr">
        <is>
          <t>5100001270</t>
        </is>
      </c>
      <c r="D1274" s="95" t="n">
        <v>45825</v>
      </c>
      <c r="E1274" s="92" t="inlineStr">
        <is>
          <t>KR</t>
        </is>
      </c>
      <c r="F1274" s="92" t="n">
        <v>63001000</v>
      </c>
      <c r="G1274" s="92" t="n">
        <v>1701</v>
      </c>
      <c r="H1274" s="93" t="n">
        <v>28541000</v>
      </c>
      <c r="I1274" s="92" t="inlineStr">
        <is>
          <t>6월 SW 유지보수 - Z시스템</t>
        </is>
      </c>
      <c r="J1274" s="92" t="inlineStr">
        <is>
          <t>V10012</t>
        </is>
      </c>
      <c r="K1274" s="92" t="inlineStr">
        <is>
          <t>Z시스템</t>
        </is>
      </c>
      <c r="M1274" s="9">
        <f>IF($A1274="","",VALUE($A1274&amp;"")*12+VALUE($B1274&amp;""))</f>
        <v/>
      </c>
      <c r="N1274" s="64">
        <f>IF($A1274="","",IFERROR(INDEX(부서매핑!$C$5:$C$504,MATCH($G1274&amp;"",부서매핑!$A$5:$A$504,0)),"미매핑"))</f>
        <v/>
      </c>
      <c r="O1274" s="9">
        <f>IF($A1274="","",N1274&amp;"|"&amp;$F1274)</f>
        <v/>
      </c>
      <c r="P1274" s="94">
        <f>IF($A1274="",0,$H1274*설정!$C$23)</f>
        <v/>
      </c>
      <c r="Q1274" s="64">
        <f>IF($A1274="","",IF(O1274&lt;&gt;원인분석!$C$9,"",IF(AND(M1274&gt;=원인분석!$C$10,M1274&lt;=원인분석!$C$11),"당기",IF(AND(M1274&gt;=원인분석!$C$12,M1274&lt;=원인분석!$C$13),"비교",""))))</f>
        <v/>
      </c>
      <c r="R1274" s="9">
        <f>IF(Q1274="","",$K1274&amp;"")</f>
        <v/>
      </c>
      <c r="S1274" s="9">
        <f>IF(Q1274="","",IF(MATCH(R1274,$R$5:$R$100000,0)=ROW()-4,ROW(),""))</f>
        <v/>
      </c>
      <c r="T1274" s="9">
        <f>IF(Q1274="당기",ABS(P1274)+ROW()/1000000000,"")</f>
        <v/>
      </c>
      <c r="U1274" s="9">
        <f>IF(Q1274="비교",ABS(P1274)+ROW()/1000000000,"")</f>
        <v/>
      </c>
      <c r="V1274" s="64">
        <f>IF($A1274="","",IF(COUNTIF(변동분석!$E$7:$E$506,O1274)&gt;0,"Y","N"))</f>
        <v/>
      </c>
      <c r="W1274" s="64">
        <f>IF($A1274="","",IFERROR(INDEX(계정매핑!$D$5:$D$504,MATCH($F1274&amp;"",계정매핑!$A$5:$A$504,0)),"미매핑"))</f>
        <v/>
      </c>
      <c r="X1274" s="9">
        <f>IF($A1274="","",$F1274&amp;"")</f>
        <v/>
      </c>
      <c r="Y1274" s="94">
        <f>IF($A1274="",0,IF(AE1274="직접",IF(AF1274="비귀속",$P1274,0),$P1274*(1-AG1274)*IFERROR(INDEX(계정대체기준!$F$20:$F$49,MATCH($N1274,계정대체기준!$A$20:$A$49,0)),1)))</f>
        <v/>
      </c>
      <c r="Z1274" s="94">
        <f>IF($A1274="",0,IF(AE1274="직접",IF(AF1274="신계약비",$P1274,0),$P1274*(1-AG1274)*IFERROR(INDEX(계정대체기준!$C$20:$C$49,MATCH($N1274,계정대체기준!$A$20:$A$49,0)),0)))</f>
        <v/>
      </c>
      <c r="AA1274" s="94">
        <f>IF($A1274="",0,IF(AE1274="직접",IF(OR(AF1274="유지비",AF1274="손해조사비"),$P1274,0),$P1274*(1-AG1274)*IFERROR(INDEX(계정대체기준!$D$20:$D$49,MATCH($N1274,계정대체기준!$A$20:$A$49,0)),0)))</f>
        <v/>
      </c>
      <c r="AB1274" s="94">
        <f>IF($A1274="",0,IF(AE1274="직접",IF(AF1274="수금비",$P1274,0),$P1274*(1-AG1274)*IFERROR(INDEX(계정대체기준!$E$20:$E$49,MATCH($N1274,계정대체기준!$A$20:$A$49,0)),0)))</f>
        <v/>
      </c>
      <c r="AC1274" s="9">
        <f>IF(AND($A1274&lt;&gt;"",M1274=설정!$C$20,Z1274&gt;0),Z1274+ROW()/1000000000,"")</f>
        <v/>
      </c>
      <c r="AD1274" s="94">
        <f>IF($A1274="",0,$P1274*AG1274)</f>
        <v/>
      </c>
      <c r="AE1274" s="64">
        <f>IF($A1274="","",IFERROR(INDEX(계정매핑!$E$5:$E$504,MATCH($F1274&amp;"",계정매핑!$A$5:$A$504,0))&amp;"","공통비"))</f>
        <v/>
      </c>
      <c r="AF1274" s="64">
        <f>IF($A1274="","",IF(AE1274="직접",IFERROR(INDEX(계정매핑!$F$5:$F$504,MATCH($F1274&amp;"",계정매핑!$A$5:$A$504,0))&amp;"","비귀속"),""))</f>
        <v/>
      </c>
      <c r="AG1274" s="96">
        <f>IF($A1274="",0,IF(AND(AE1274&lt;&gt;"직접",IFERROR(INDEX(계정매핑!$G$5:$G$504,MATCH($F1274&amp;"",계정매핑!$A$5:$A$504,0))&amp;"","")="유지비",COUNTIF(계정대체기준!$A$6:$A$15,$N1274)&gt;0),IFERROR(INDEX(계정대체기준!$E$6:$E$15,MATCH(VALUE($A1274&amp;""),계정대체기준!$D$6:$D$15,0)),0),0))</f>
        <v/>
      </c>
      <c r="AH1274" s="64">
        <f>IF($A1274="","",IF(AD1274=0,"",IF(OR(COUNTIF(계정대체기준!$A$77:$A$86,$N1274)&gt;0,ISNUMBER(MATCH($X1274,계정대체기준!$D$77:$D$86,0)),ISNUMBER(MATCH($F1274,계정대체기준!$D$77:$D$86,0))),"Y","N")))</f>
        <v/>
      </c>
    </row>
    <row r="1275">
      <c r="A1275" s="92" t="n">
        <v>2025</v>
      </c>
      <c r="B1275" s="92" t="n">
        <v>6</v>
      </c>
      <c r="C1275" s="92" t="inlineStr">
        <is>
          <t>5100001271</t>
        </is>
      </c>
      <c r="D1275" s="95" t="n">
        <v>45825</v>
      </c>
      <c r="E1275" s="92" t="inlineStr">
        <is>
          <t>KR</t>
        </is>
      </c>
      <c r="F1275" s="92" t="n">
        <v>63501000</v>
      </c>
      <c r="G1275" s="92" t="n">
        <v>1902</v>
      </c>
      <c r="H1275" s="93" t="n">
        <v>201822000</v>
      </c>
      <c r="I1275" s="92" t="inlineStr">
        <is>
          <t>6월 모집수수료 - BB에셋</t>
        </is>
      </c>
      <c r="J1275" s="92" t="inlineStr">
        <is>
          <t>V10013</t>
        </is>
      </c>
      <c r="K1275" s="92" t="inlineStr">
        <is>
          <t>BB에셋</t>
        </is>
      </c>
      <c r="M1275" s="9">
        <f>IF($A1275="","",VALUE($A1275&amp;"")*12+VALUE($B1275&amp;""))</f>
        <v/>
      </c>
      <c r="N1275" s="64">
        <f>IF($A1275="","",IFERROR(INDEX(부서매핑!$C$5:$C$504,MATCH($G1275&amp;"",부서매핑!$A$5:$A$504,0)),"미매핑"))</f>
        <v/>
      </c>
      <c r="O1275" s="9">
        <f>IF($A1275="","",N1275&amp;"|"&amp;$F1275)</f>
        <v/>
      </c>
      <c r="P1275" s="94">
        <f>IF($A1275="",0,$H1275*설정!$C$23)</f>
        <v/>
      </c>
      <c r="Q1275" s="64">
        <f>IF($A1275="","",IF(O1275&lt;&gt;원인분석!$C$9,"",IF(AND(M1275&gt;=원인분석!$C$10,M1275&lt;=원인분석!$C$11),"당기",IF(AND(M1275&gt;=원인분석!$C$12,M1275&lt;=원인분석!$C$13),"비교",""))))</f>
        <v/>
      </c>
      <c r="R1275" s="9">
        <f>IF(Q1275="","",$K1275&amp;"")</f>
        <v/>
      </c>
      <c r="S1275" s="9">
        <f>IF(Q1275="","",IF(MATCH(R1275,$R$5:$R$100000,0)=ROW()-4,ROW(),""))</f>
        <v/>
      </c>
      <c r="T1275" s="9">
        <f>IF(Q1275="당기",ABS(P1275)+ROW()/1000000000,"")</f>
        <v/>
      </c>
      <c r="U1275" s="9">
        <f>IF(Q1275="비교",ABS(P1275)+ROW()/1000000000,"")</f>
        <v/>
      </c>
      <c r="V1275" s="64">
        <f>IF($A1275="","",IF(COUNTIF(변동분석!$E$7:$E$506,O1275)&gt;0,"Y","N"))</f>
        <v/>
      </c>
      <c r="W1275" s="64">
        <f>IF($A1275="","",IFERROR(INDEX(계정매핑!$D$5:$D$504,MATCH($F1275&amp;"",계정매핑!$A$5:$A$504,0)),"미매핑"))</f>
        <v/>
      </c>
      <c r="X1275" s="9">
        <f>IF($A1275="","",$F1275&amp;"")</f>
        <v/>
      </c>
      <c r="Y1275" s="94">
        <f>IF($A1275="",0,IF(AE1275="직접",IF(AF1275="비귀속",$P1275,0),$P1275*(1-AG1275)*IFERROR(INDEX(계정대체기준!$F$20:$F$49,MATCH($N1275,계정대체기준!$A$20:$A$49,0)),1)))</f>
        <v/>
      </c>
      <c r="Z1275" s="94">
        <f>IF($A1275="",0,IF(AE1275="직접",IF(AF1275="신계약비",$P1275,0),$P1275*(1-AG1275)*IFERROR(INDEX(계정대체기준!$C$20:$C$49,MATCH($N1275,계정대체기준!$A$20:$A$49,0)),0)))</f>
        <v/>
      </c>
      <c r="AA1275" s="94">
        <f>IF($A1275="",0,IF(AE1275="직접",IF(OR(AF1275="유지비",AF1275="손해조사비"),$P1275,0),$P1275*(1-AG1275)*IFERROR(INDEX(계정대체기준!$D$20:$D$49,MATCH($N1275,계정대체기준!$A$20:$A$49,0)),0)))</f>
        <v/>
      </c>
      <c r="AB1275" s="94">
        <f>IF($A1275="",0,IF(AE1275="직접",IF(AF1275="수금비",$P1275,0),$P1275*(1-AG1275)*IFERROR(INDEX(계정대체기준!$E$20:$E$49,MATCH($N1275,계정대체기준!$A$20:$A$49,0)),0)))</f>
        <v/>
      </c>
      <c r="AC1275" s="9">
        <f>IF(AND($A1275&lt;&gt;"",M1275=설정!$C$20,Z1275&gt;0),Z1275+ROW()/1000000000,"")</f>
        <v/>
      </c>
      <c r="AD1275" s="94">
        <f>IF($A1275="",0,$P1275*AG1275)</f>
        <v/>
      </c>
      <c r="AE1275" s="64">
        <f>IF($A1275="","",IFERROR(INDEX(계정매핑!$E$5:$E$504,MATCH($F1275&amp;"",계정매핑!$A$5:$A$504,0))&amp;"","공통비"))</f>
        <v/>
      </c>
      <c r="AF1275" s="64">
        <f>IF($A1275="","",IF(AE1275="직접",IFERROR(INDEX(계정매핑!$F$5:$F$504,MATCH($F1275&amp;"",계정매핑!$A$5:$A$504,0))&amp;"","비귀속"),""))</f>
        <v/>
      </c>
      <c r="AG1275" s="96">
        <f>IF($A1275="",0,IF(AND(AE1275&lt;&gt;"직접",IFERROR(INDEX(계정매핑!$G$5:$G$504,MATCH($F1275&amp;"",계정매핑!$A$5:$A$504,0))&amp;"","")="유지비",COUNTIF(계정대체기준!$A$6:$A$15,$N1275)&gt;0),IFERROR(INDEX(계정대체기준!$E$6:$E$15,MATCH(VALUE($A1275&amp;""),계정대체기준!$D$6:$D$15,0)),0),0))</f>
        <v/>
      </c>
      <c r="AH1275" s="64">
        <f>IF($A1275="","",IF(AD1275=0,"",IF(OR(COUNTIF(계정대체기준!$A$77:$A$86,$N1275)&gt;0,ISNUMBER(MATCH($X1275,계정대체기준!$D$77:$D$86,0)),ISNUMBER(MATCH($F1275,계정대체기준!$D$77:$D$86,0))),"Y","N")))</f>
        <v/>
      </c>
    </row>
    <row r="1276">
      <c r="A1276" s="92" t="n">
        <v>2025</v>
      </c>
      <c r="B1276" s="92" t="n">
        <v>6</v>
      </c>
      <c r="C1276" s="92" t="inlineStr">
        <is>
          <t>5100001272</t>
        </is>
      </c>
      <c r="D1276" s="95" t="n">
        <v>45825</v>
      </c>
      <c r="E1276" s="92" t="inlineStr">
        <is>
          <t>KR</t>
        </is>
      </c>
      <c r="F1276" s="92" t="n">
        <v>63601000</v>
      </c>
      <c r="G1276" s="92" t="n">
        <v>1801</v>
      </c>
      <c r="H1276" s="93" t="n">
        <v>10730000</v>
      </c>
      <c r="I1276" s="92" t="inlineStr">
        <is>
          <t>6월 손해사정 수수료 - EE손해사정</t>
        </is>
      </c>
      <c r="J1276" s="92" t="inlineStr">
        <is>
          <t>V10008</t>
        </is>
      </c>
      <c r="K1276" s="92" t="inlineStr">
        <is>
          <t>EE손해사정</t>
        </is>
      </c>
      <c r="M1276" s="9">
        <f>IF($A1276="","",VALUE($A1276&amp;"")*12+VALUE($B1276&amp;""))</f>
        <v/>
      </c>
      <c r="N1276" s="64">
        <f>IF($A1276="","",IFERROR(INDEX(부서매핑!$C$5:$C$504,MATCH($G1276&amp;"",부서매핑!$A$5:$A$504,0)),"미매핑"))</f>
        <v/>
      </c>
      <c r="O1276" s="9">
        <f>IF($A1276="","",N1276&amp;"|"&amp;$F1276)</f>
        <v/>
      </c>
      <c r="P1276" s="94">
        <f>IF($A1276="",0,$H1276*설정!$C$23)</f>
        <v/>
      </c>
      <c r="Q1276" s="64">
        <f>IF($A1276="","",IF(O1276&lt;&gt;원인분석!$C$9,"",IF(AND(M1276&gt;=원인분석!$C$10,M1276&lt;=원인분석!$C$11),"당기",IF(AND(M1276&gt;=원인분석!$C$12,M1276&lt;=원인분석!$C$13),"비교",""))))</f>
        <v/>
      </c>
      <c r="R1276" s="9">
        <f>IF(Q1276="","",$K1276&amp;"")</f>
        <v/>
      </c>
      <c r="S1276" s="9">
        <f>IF(Q1276="","",IF(MATCH(R1276,$R$5:$R$100000,0)=ROW()-4,ROW(),""))</f>
        <v/>
      </c>
      <c r="T1276" s="9">
        <f>IF(Q1276="당기",ABS(P1276)+ROW()/1000000000,"")</f>
        <v/>
      </c>
      <c r="U1276" s="9">
        <f>IF(Q1276="비교",ABS(P1276)+ROW()/1000000000,"")</f>
        <v/>
      </c>
      <c r="V1276" s="64">
        <f>IF($A1276="","",IF(COUNTIF(변동분석!$E$7:$E$506,O1276)&gt;0,"Y","N"))</f>
        <v/>
      </c>
      <c r="W1276" s="64">
        <f>IF($A1276="","",IFERROR(INDEX(계정매핑!$D$5:$D$504,MATCH($F1276&amp;"",계정매핑!$A$5:$A$504,0)),"미매핑"))</f>
        <v/>
      </c>
      <c r="X1276" s="9">
        <f>IF($A1276="","",$F1276&amp;"")</f>
        <v/>
      </c>
      <c r="Y1276" s="94">
        <f>IF($A1276="",0,IF(AE1276="직접",IF(AF1276="비귀속",$P1276,0),$P1276*(1-AG1276)*IFERROR(INDEX(계정대체기준!$F$20:$F$49,MATCH($N1276,계정대체기준!$A$20:$A$49,0)),1)))</f>
        <v/>
      </c>
      <c r="Z1276" s="94">
        <f>IF($A1276="",0,IF(AE1276="직접",IF(AF1276="신계약비",$P1276,0),$P1276*(1-AG1276)*IFERROR(INDEX(계정대체기준!$C$20:$C$49,MATCH($N1276,계정대체기준!$A$20:$A$49,0)),0)))</f>
        <v/>
      </c>
      <c r="AA1276" s="94">
        <f>IF($A1276="",0,IF(AE1276="직접",IF(OR(AF1276="유지비",AF1276="손해조사비"),$P1276,0),$P1276*(1-AG1276)*IFERROR(INDEX(계정대체기준!$D$20:$D$49,MATCH($N1276,계정대체기준!$A$20:$A$49,0)),0)))</f>
        <v/>
      </c>
      <c r="AB1276" s="94">
        <f>IF($A1276="",0,IF(AE1276="직접",IF(AF1276="수금비",$P1276,0),$P1276*(1-AG1276)*IFERROR(INDEX(계정대체기준!$E$20:$E$49,MATCH($N1276,계정대체기준!$A$20:$A$49,0)),0)))</f>
        <v/>
      </c>
      <c r="AC1276" s="9">
        <f>IF(AND($A1276&lt;&gt;"",M1276=설정!$C$20,Z1276&gt;0),Z1276+ROW()/1000000000,"")</f>
        <v/>
      </c>
      <c r="AD1276" s="94">
        <f>IF($A1276="",0,$P1276*AG1276)</f>
        <v/>
      </c>
      <c r="AE1276" s="64">
        <f>IF($A1276="","",IFERROR(INDEX(계정매핑!$E$5:$E$504,MATCH($F1276&amp;"",계정매핑!$A$5:$A$504,0))&amp;"","공통비"))</f>
        <v/>
      </c>
      <c r="AF1276" s="64">
        <f>IF($A1276="","",IF(AE1276="직접",IFERROR(INDEX(계정매핑!$F$5:$F$504,MATCH($F1276&amp;"",계정매핑!$A$5:$A$504,0))&amp;"","비귀속"),""))</f>
        <v/>
      </c>
      <c r="AG1276" s="96">
        <f>IF($A1276="",0,IF(AND(AE1276&lt;&gt;"직접",IFERROR(INDEX(계정매핑!$G$5:$G$504,MATCH($F1276&amp;"",계정매핑!$A$5:$A$504,0))&amp;"","")="유지비",COUNTIF(계정대체기준!$A$6:$A$15,$N1276)&gt;0),IFERROR(INDEX(계정대체기준!$E$6:$E$15,MATCH(VALUE($A1276&amp;""),계정대체기준!$D$6:$D$15,0)),0),0))</f>
        <v/>
      </c>
      <c r="AH1276" s="64">
        <f>IF($A1276="","",IF(AD1276=0,"",IF(OR(COUNTIF(계정대체기준!$A$77:$A$86,$N1276)&gt;0,ISNUMBER(MATCH($X1276,계정대체기준!$D$77:$D$86,0)),ISNUMBER(MATCH($F1276,계정대체기준!$D$77:$D$86,0))),"Y","N")))</f>
        <v/>
      </c>
    </row>
    <row r="1277">
      <c r="A1277" s="92" t="n">
        <v>2025</v>
      </c>
      <c r="B1277" s="92" t="n">
        <v>6</v>
      </c>
      <c r="C1277" s="92" t="inlineStr">
        <is>
          <t>5100001273</t>
        </is>
      </c>
      <c r="D1277" s="95" t="n">
        <v>45826</v>
      </c>
      <c r="E1277" s="92" t="inlineStr">
        <is>
          <t>KR</t>
        </is>
      </c>
      <c r="F1277" s="92" t="n">
        <v>62101000</v>
      </c>
      <c r="G1277" s="92" t="n">
        <v>1301</v>
      </c>
      <c r="H1277" s="93" t="n">
        <v>308000</v>
      </c>
      <c r="I1277" s="92" t="inlineStr">
        <is>
          <t>6월 국내출장 - (법인카드)</t>
        </is>
      </c>
      <c r="J1277" s="92" t="inlineStr">
        <is>
          <t>V10010</t>
        </is>
      </c>
      <c r="K1277" s="92" t="inlineStr">
        <is>
          <t>(법인카드)</t>
        </is>
      </c>
      <c r="M1277" s="9">
        <f>IF($A1277="","",VALUE($A1277&amp;"")*12+VALUE($B1277&amp;""))</f>
        <v/>
      </c>
      <c r="N1277" s="64">
        <f>IF($A1277="","",IFERROR(INDEX(부서매핑!$C$5:$C$504,MATCH($G1277&amp;"",부서매핑!$A$5:$A$504,0)),"미매핑"))</f>
        <v/>
      </c>
      <c r="O1277" s="9">
        <f>IF($A1277="","",N1277&amp;"|"&amp;$F1277)</f>
        <v/>
      </c>
      <c r="P1277" s="94">
        <f>IF($A1277="",0,$H1277*설정!$C$23)</f>
        <v/>
      </c>
      <c r="Q1277" s="64">
        <f>IF($A1277="","",IF(O1277&lt;&gt;원인분석!$C$9,"",IF(AND(M1277&gt;=원인분석!$C$10,M1277&lt;=원인분석!$C$11),"당기",IF(AND(M1277&gt;=원인분석!$C$12,M1277&lt;=원인분석!$C$13),"비교",""))))</f>
        <v/>
      </c>
      <c r="R1277" s="9">
        <f>IF(Q1277="","",$K1277&amp;"")</f>
        <v/>
      </c>
      <c r="S1277" s="9">
        <f>IF(Q1277="","",IF(MATCH(R1277,$R$5:$R$100000,0)=ROW()-4,ROW(),""))</f>
        <v/>
      </c>
      <c r="T1277" s="9">
        <f>IF(Q1277="당기",ABS(P1277)+ROW()/1000000000,"")</f>
        <v/>
      </c>
      <c r="U1277" s="9">
        <f>IF(Q1277="비교",ABS(P1277)+ROW()/1000000000,"")</f>
        <v/>
      </c>
      <c r="V1277" s="64">
        <f>IF($A1277="","",IF(COUNTIF(변동분석!$E$7:$E$506,O1277)&gt;0,"Y","N"))</f>
        <v/>
      </c>
      <c r="W1277" s="64">
        <f>IF($A1277="","",IFERROR(INDEX(계정매핑!$D$5:$D$504,MATCH($F1277&amp;"",계정매핑!$A$5:$A$504,0)),"미매핑"))</f>
        <v/>
      </c>
      <c r="X1277" s="9">
        <f>IF($A1277="","",$F1277&amp;"")</f>
        <v/>
      </c>
      <c r="Y1277" s="94">
        <f>IF($A1277="",0,IF(AE1277="직접",IF(AF1277="비귀속",$P1277,0),$P1277*(1-AG1277)*IFERROR(INDEX(계정대체기준!$F$20:$F$49,MATCH($N1277,계정대체기준!$A$20:$A$49,0)),1)))</f>
        <v/>
      </c>
      <c r="Z1277" s="94">
        <f>IF($A1277="",0,IF(AE1277="직접",IF(AF1277="신계약비",$P1277,0),$P1277*(1-AG1277)*IFERROR(INDEX(계정대체기준!$C$20:$C$49,MATCH($N1277,계정대체기준!$A$20:$A$49,0)),0)))</f>
        <v/>
      </c>
      <c r="AA1277" s="94">
        <f>IF($A1277="",0,IF(AE1277="직접",IF(OR(AF1277="유지비",AF1277="손해조사비"),$P1277,0),$P1277*(1-AG1277)*IFERROR(INDEX(계정대체기준!$D$20:$D$49,MATCH($N1277,계정대체기준!$A$20:$A$49,0)),0)))</f>
        <v/>
      </c>
      <c r="AB1277" s="94">
        <f>IF($A1277="",0,IF(AE1277="직접",IF(AF1277="수금비",$P1277,0),$P1277*(1-AG1277)*IFERROR(INDEX(계정대체기준!$E$20:$E$49,MATCH($N1277,계정대체기준!$A$20:$A$49,0)),0)))</f>
        <v/>
      </c>
      <c r="AC1277" s="9">
        <f>IF(AND($A1277&lt;&gt;"",M1277=설정!$C$20,Z1277&gt;0),Z1277+ROW()/1000000000,"")</f>
        <v/>
      </c>
      <c r="AD1277" s="94">
        <f>IF($A1277="",0,$P1277*AG1277)</f>
        <v/>
      </c>
      <c r="AE1277" s="64">
        <f>IF($A1277="","",IFERROR(INDEX(계정매핑!$E$5:$E$504,MATCH($F1277&amp;"",계정매핑!$A$5:$A$504,0))&amp;"","공통비"))</f>
        <v/>
      </c>
      <c r="AF1277" s="64">
        <f>IF($A1277="","",IF(AE1277="직접",IFERROR(INDEX(계정매핑!$F$5:$F$504,MATCH($F1277&amp;"",계정매핑!$A$5:$A$504,0))&amp;"","비귀속"),""))</f>
        <v/>
      </c>
      <c r="AG1277" s="96">
        <f>IF($A1277="",0,IF(AND(AE1277&lt;&gt;"직접",IFERROR(INDEX(계정매핑!$G$5:$G$504,MATCH($F1277&amp;"",계정매핑!$A$5:$A$504,0))&amp;"","")="유지비",COUNTIF(계정대체기준!$A$6:$A$15,$N1277)&gt;0),IFERROR(INDEX(계정대체기준!$E$6:$E$15,MATCH(VALUE($A1277&amp;""),계정대체기준!$D$6:$D$15,0)),0),0))</f>
        <v/>
      </c>
      <c r="AH1277" s="64">
        <f>IF($A1277="","",IF(AD1277=0,"",IF(OR(COUNTIF(계정대체기준!$A$77:$A$86,$N1277)&gt;0,ISNUMBER(MATCH($X1277,계정대체기준!$D$77:$D$86,0)),ISNUMBER(MATCH($F1277,계정대체기준!$D$77:$D$86,0))),"Y","N")))</f>
        <v/>
      </c>
    </row>
    <row r="1278">
      <c r="A1278" s="92" t="n">
        <v>2025</v>
      </c>
      <c r="B1278" s="92" t="n">
        <v>6</v>
      </c>
      <c r="C1278" s="92" t="inlineStr">
        <is>
          <t>5100001274</t>
        </is>
      </c>
      <c r="D1278" s="95" t="n">
        <v>45826</v>
      </c>
      <c r="E1278" s="92" t="inlineStr">
        <is>
          <t>KR</t>
        </is>
      </c>
      <c r="F1278" s="92" t="n">
        <v>62102000</v>
      </c>
      <c r="G1278" s="92" t="n">
        <v>1301</v>
      </c>
      <c r="H1278" s="93" t="n">
        <v>51000</v>
      </c>
      <c r="I1278" s="92" t="inlineStr">
        <is>
          <t>6월 해외출장 - M항공</t>
        </is>
      </c>
      <c r="J1278" s="92" t="inlineStr">
        <is>
          <t>V10001</t>
        </is>
      </c>
      <c r="K1278" s="92" t="inlineStr">
        <is>
          <t>M항공</t>
        </is>
      </c>
      <c r="M1278" s="9">
        <f>IF($A1278="","",VALUE($A1278&amp;"")*12+VALUE($B1278&amp;""))</f>
        <v/>
      </c>
      <c r="N1278" s="64">
        <f>IF($A1278="","",IFERROR(INDEX(부서매핑!$C$5:$C$504,MATCH($G1278&amp;"",부서매핑!$A$5:$A$504,0)),"미매핑"))</f>
        <v/>
      </c>
      <c r="O1278" s="9">
        <f>IF($A1278="","",N1278&amp;"|"&amp;$F1278)</f>
        <v/>
      </c>
      <c r="P1278" s="94">
        <f>IF($A1278="",0,$H1278*설정!$C$23)</f>
        <v/>
      </c>
      <c r="Q1278" s="64">
        <f>IF($A1278="","",IF(O1278&lt;&gt;원인분석!$C$9,"",IF(AND(M1278&gt;=원인분석!$C$10,M1278&lt;=원인분석!$C$11),"당기",IF(AND(M1278&gt;=원인분석!$C$12,M1278&lt;=원인분석!$C$13),"비교",""))))</f>
        <v/>
      </c>
      <c r="R1278" s="9">
        <f>IF(Q1278="","",$K1278&amp;"")</f>
        <v/>
      </c>
      <c r="S1278" s="9">
        <f>IF(Q1278="","",IF(MATCH(R1278,$R$5:$R$100000,0)=ROW()-4,ROW(),""))</f>
        <v/>
      </c>
      <c r="T1278" s="9">
        <f>IF(Q1278="당기",ABS(P1278)+ROW()/1000000000,"")</f>
        <v/>
      </c>
      <c r="U1278" s="9">
        <f>IF(Q1278="비교",ABS(P1278)+ROW()/1000000000,"")</f>
        <v/>
      </c>
      <c r="V1278" s="64">
        <f>IF($A1278="","",IF(COUNTIF(변동분석!$E$7:$E$506,O1278)&gt;0,"Y","N"))</f>
        <v/>
      </c>
      <c r="W1278" s="64">
        <f>IF($A1278="","",IFERROR(INDEX(계정매핑!$D$5:$D$504,MATCH($F1278&amp;"",계정매핑!$A$5:$A$504,0)),"미매핑"))</f>
        <v/>
      </c>
      <c r="X1278" s="9">
        <f>IF($A1278="","",$F1278&amp;"")</f>
        <v/>
      </c>
      <c r="Y1278" s="94">
        <f>IF($A1278="",0,IF(AE1278="직접",IF(AF1278="비귀속",$P1278,0),$P1278*(1-AG1278)*IFERROR(INDEX(계정대체기준!$F$20:$F$49,MATCH($N1278,계정대체기준!$A$20:$A$49,0)),1)))</f>
        <v/>
      </c>
      <c r="Z1278" s="94">
        <f>IF($A1278="",0,IF(AE1278="직접",IF(AF1278="신계약비",$P1278,0),$P1278*(1-AG1278)*IFERROR(INDEX(계정대체기준!$C$20:$C$49,MATCH($N1278,계정대체기준!$A$20:$A$49,0)),0)))</f>
        <v/>
      </c>
      <c r="AA1278" s="94">
        <f>IF($A1278="",0,IF(AE1278="직접",IF(OR(AF1278="유지비",AF1278="손해조사비"),$P1278,0),$P1278*(1-AG1278)*IFERROR(INDEX(계정대체기준!$D$20:$D$49,MATCH($N1278,계정대체기준!$A$20:$A$49,0)),0)))</f>
        <v/>
      </c>
      <c r="AB1278" s="94">
        <f>IF($A1278="",0,IF(AE1278="직접",IF(AF1278="수금비",$P1278,0),$P1278*(1-AG1278)*IFERROR(INDEX(계정대체기준!$E$20:$E$49,MATCH($N1278,계정대체기준!$A$20:$A$49,0)),0)))</f>
        <v/>
      </c>
      <c r="AC1278" s="9">
        <f>IF(AND($A1278&lt;&gt;"",M1278=설정!$C$20,Z1278&gt;0),Z1278+ROW()/1000000000,"")</f>
        <v/>
      </c>
      <c r="AD1278" s="94">
        <f>IF($A1278="",0,$P1278*AG1278)</f>
        <v/>
      </c>
      <c r="AE1278" s="64">
        <f>IF($A1278="","",IFERROR(INDEX(계정매핑!$E$5:$E$504,MATCH($F1278&amp;"",계정매핑!$A$5:$A$504,0))&amp;"","공통비"))</f>
        <v/>
      </c>
      <c r="AF1278" s="64">
        <f>IF($A1278="","",IF(AE1278="직접",IFERROR(INDEX(계정매핑!$F$5:$F$504,MATCH($F1278&amp;"",계정매핑!$A$5:$A$504,0))&amp;"","비귀속"),""))</f>
        <v/>
      </c>
      <c r="AG1278" s="96">
        <f>IF($A1278="",0,IF(AND(AE1278&lt;&gt;"직접",IFERROR(INDEX(계정매핑!$G$5:$G$504,MATCH($F1278&amp;"",계정매핑!$A$5:$A$504,0))&amp;"","")="유지비",COUNTIF(계정대체기준!$A$6:$A$15,$N1278)&gt;0),IFERROR(INDEX(계정대체기준!$E$6:$E$15,MATCH(VALUE($A1278&amp;""),계정대체기준!$D$6:$D$15,0)),0),0))</f>
        <v/>
      </c>
      <c r="AH1278" s="64">
        <f>IF($A1278="","",IF(AD1278=0,"",IF(OR(COUNTIF(계정대체기준!$A$77:$A$86,$N1278)&gt;0,ISNUMBER(MATCH($X1278,계정대체기준!$D$77:$D$86,0)),ISNUMBER(MATCH($F1278,계정대체기준!$D$77:$D$86,0))),"Y","N")))</f>
        <v/>
      </c>
    </row>
    <row r="1279">
      <c r="A1279" s="92" t="n">
        <v>2025</v>
      </c>
      <c r="B1279" s="92" t="n">
        <v>6</v>
      </c>
      <c r="C1279" s="92" t="inlineStr">
        <is>
          <t>5100001275</t>
        </is>
      </c>
      <c r="D1279" s="95" t="n">
        <v>45826</v>
      </c>
      <c r="E1279" s="92" t="inlineStr">
        <is>
          <t>KR</t>
        </is>
      </c>
      <c r="F1279" s="92" t="n">
        <v>62201000</v>
      </c>
      <c r="G1279" s="92" t="n">
        <v>1301</v>
      </c>
      <c r="H1279" s="93" t="n">
        <v>247000</v>
      </c>
      <c r="I1279" s="92" t="inlineStr">
        <is>
          <t>6월 통신요금 - O텔레콤</t>
        </is>
      </c>
      <c r="J1279" s="92" t="inlineStr">
        <is>
          <t>V10002</t>
        </is>
      </c>
      <c r="K1279" s="92" t="inlineStr">
        <is>
          <t>O텔레콤</t>
        </is>
      </c>
      <c r="M1279" s="9">
        <f>IF($A1279="","",VALUE($A1279&amp;"")*12+VALUE($B1279&amp;""))</f>
        <v/>
      </c>
      <c r="N1279" s="64">
        <f>IF($A1279="","",IFERROR(INDEX(부서매핑!$C$5:$C$504,MATCH($G1279&amp;"",부서매핑!$A$5:$A$504,0)),"미매핑"))</f>
        <v/>
      </c>
      <c r="O1279" s="9">
        <f>IF($A1279="","",N1279&amp;"|"&amp;$F1279)</f>
        <v/>
      </c>
      <c r="P1279" s="94">
        <f>IF($A1279="",0,$H1279*설정!$C$23)</f>
        <v/>
      </c>
      <c r="Q1279" s="64">
        <f>IF($A1279="","",IF(O1279&lt;&gt;원인분석!$C$9,"",IF(AND(M1279&gt;=원인분석!$C$10,M1279&lt;=원인분석!$C$11),"당기",IF(AND(M1279&gt;=원인분석!$C$12,M1279&lt;=원인분석!$C$13),"비교",""))))</f>
        <v/>
      </c>
      <c r="R1279" s="9">
        <f>IF(Q1279="","",$K1279&amp;"")</f>
        <v/>
      </c>
      <c r="S1279" s="9">
        <f>IF(Q1279="","",IF(MATCH(R1279,$R$5:$R$100000,0)=ROW()-4,ROW(),""))</f>
        <v/>
      </c>
      <c r="T1279" s="9">
        <f>IF(Q1279="당기",ABS(P1279)+ROW()/1000000000,"")</f>
        <v/>
      </c>
      <c r="U1279" s="9">
        <f>IF(Q1279="비교",ABS(P1279)+ROW()/1000000000,"")</f>
        <v/>
      </c>
      <c r="V1279" s="64">
        <f>IF($A1279="","",IF(COUNTIF(변동분석!$E$7:$E$506,O1279)&gt;0,"Y","N"))</f>
        <v/>
      </c>
      <c r="W1279" s="64">
        <f>IF($A1279="","",IFERROR(INDEX(계정매핑!$D$5:$D$504,MATCH($F1279&amp;"",계정매핑!$A$5:$A$504,0)),"미매핑"))</f>
        <v/>
      </c>
      <c r="X1279" s="9">
        <f>IF($A1279="","",$F1279&amp;"")</f>
        <v/>
      </c>
      <c r="Y1279" s="94">
        <f>IF($A1279="",0,IF(AE1279="직접",IF(AF1279="비귀속",$P1279,0),$P1279*(1-AG1279)*IFERROR(INDEX(계정대체기준!$F$20:$F$49,MATCH($N1279,계정대체기준!$A$20:$A$49,0)),1)))</f>
        <v/>
      </c>
      <c r="Z1279" s="94">
        <f>IF($A1279="",0,IF(AE1279="직접",IF(AF1279="신계약비",$P1279,0),$P1279*(1-AG1279)*IFERROR(INDEX(계정대체기준!$C$20:$C$49,MATCH($N1279,계정대체기준!$A$20:$A$49,0)),0)))</f>
        <v/>
      </c>
      <c r="AA1279" s="94">
        <f>IF($A1279="",0,IF(AE1279="직접",IF(OR(AF1279="유지비",AF1279="손해조사비"),$P1279,0),$P1279*(1-AG1279)*IFERROR(INDEX(계정대체기준!$D$20:$D$49,MATCH($N1279,계정대체기준!$A$20:$A$49,0)),0)))</f>
        <v/>
      </c>
      <c r="AB1279" s="94">
        <f>IF($A1279="",0,IF(AE1279="직접",IF(AF1279="수금비",$P1279,0),$P1279*(1-AG1279)*IFERROR(INDEX(계정대체기준!$E$20:$E$49,MATCH($N1279,계정대체기준!$A$20:$A$49,0)),0)))</f>
        <v/>
      </c>
      <c r="AC1279" s="9">
        <f>IF(AND($A1279&lt;&gt;"",M1279=설정!$C$20,Z1279&gt;0),Z1279+ROW()/1000000000,"")</f>
        <v/>
      </c>
      <c r="AD1279" s="94">
        <f>IF($A1279="",0,$P1279*AG1279)</f>
        <v/>
      </c>
      <c r="AE1279" s="64">
        <f>IF($A1279="","",IFERROR(INDEX(계정매핑!$E$5:$E$504,MATCH($F1279&amp;"",계정매핑!$A$5:$A$504,0))&amp;"","공통비"))</f>
        <v/>
      </c>
      <c r="AF1279" s="64">
        <f>IF($A1279="","",IF(AE1279="직접",IFERROR(INDEX(계정매핑!$F$5:$F$504,MATCH($F1279&amp;"",계정매핑!$A$5:$A$504,0))&amp;"","비귀속"),""))</f>
        <v/>
      </c>
      <c r="AG1279" s="96">
        <f>IF($A1279="",0,IF(AND(AE1279&lt;&gt;"직접",IFERROR(INDEX(계정매핑!$G$5:$G$504,MATCH($F1279&amp;"",계정매핑!$A$5:$A$504,0))&amp;"","")="유지비",COUNTIF(계정대체기준!$A$6:$A$15,$N1279)&gt;0),IFERROR(INDEX(계정대체기준!$E$6:$E$15,MATCH(VALUE($A1279&amp;""),계정대체기준!$D$6:$D$15,0)),0),0))</f>
        <v/>
      </c>
      <c r="AH1279" s="64">
        <f>IF($A1279="","",IF(AD1279=0,"",IF(OR(COUNTIF(계정대체기준!$A$77:$A$86,$N1279)&gt;0,ISNUMBER(MATCH($X1279,계정대체기준!$D$77:$D$86,0)),ISNUMBER(MATCH($F1279,계정대체기준!$D$77:$D$86,0))),"Y","N")))</f>
        <v/>
      </c>
    </row>
    <row r="1280">
      <c r="A1280" s="92" t="n">
        <v>2025</v>
      </c>
      <c r="B1280" s="92" t="n">
        <v>6</v>
      </c>
      <c r="C1280" s="92" t="inlineStr">
        <is>
          <t>5100001276</t>
        </is>
      </c>
      <c r="D1280" s="95" t="n">
        <v>45826</v>
      </c>
      <c r="E1280" s="92" t="inlineStr">
        <is>
          <t>KR</t>
        </is>
      </c>
      <c r="F1280" s="92" t="n">
        <v>62902000</v>
      </c>
      <c r="G1280" s="92" t="n">
        <v>1101</v>
      </c>
      <c r="H1280" s="93" t="n">
        <v>2217000</v>
      </c>
      <c r="I1280" s="92" t="inlineStr">
        <is>
          <t>6월 업무 위탁 수수료 - X서비스</t>
        </is>
      </c>
      <c r="J1280" s="92" t="inlineStr">
        <is>
          <t>V10020</t>
        </is>
      </c>
      <c r="K1280" s="92" t="inlineStr">
        <is>
          <t>X서비스</t>
        </is>
      </c>
      <c r="M1280" s="9">
        <f>IF($A1280="","",VALUE($A1280&amp;"")*12+VALUE($B1280&amp;""))</f>
        <v/>
      </c>
      <c r="N1280" s="64">
        <f>IF($A1280="","",IFERROR(INDEX(부서매핑!$C$5:$C$504,MATCH($G1280&amp;"",부서매핑!$A$5:$A$504,0)),"미매핑"))</f>
        <v/>
      </c>
      <c r="O1280" s="9">
        <f>IF($A1280="","",N1280&amp;"|"&amp;$F1280)</f>
        <v/>
      </c>
      <c r="P1280" s="94">
        <f>IF($A1280="",0,$H1280*설정!$C$23)</f>
        <v/>
      </c>
      <c r="Q1280" s="64">
        <f>IF($A1280="","",IF(O1280&lt;&gt;원인분석!$C$9,"",IF(AND(M1280&gt;=원인분석!$C$10,M1280&lt;=원인분석!$C$11),"당기",IF(AND(M1280&gt;=원인분석!$C$12,M1280&lt;=원인분석!$C$13),"비교",""))))</f>
        <v/>
      </c>
      <c r="R1280" s="9">
        <f>IF(Q1280="","",$K1280&amp;"")</f>
        <v/>
      </c>
      <c r="S1280" s="9">
        <f>IF(Q1280="","",IF(MATCH(R1280,$R$5:$R$100000,0)=ROW()-4,ROW(),""))</f>
        <v/>
      </c>
      <c r="T1280" s="9">
        <f>IF(Q1280="당기",ABS(P1280)+ROW()/1000000000,"")</f>
        <v/>
      </c>
      <c r="U1280" s="9">
        <f>IF(Q1280="비교",ABS(P1280)+ROW()/1000000000,"")</f>
        <v/>
      </c>
      <c r="V1280" s="64">
        <f>IF($A1280="","",IF(COUNTIF(변동분석!$E$7:$E$506,O1280)&gt;0,"Y","N"))</f>
        <v/>
      </c>
      <c r="W1280" s="64">
        <f>IF($A1280="","",IFERROR(INDEX(계정매핑!$D$5:$D$504,MATCH($F1280&amp;"",계정매핑!$A$5:$A$504,0)),"미매핑"))</f>
        <v/>
      </c>
      <c r="X1280" s="9">
        <f>IF($A1280="","",$F1280&amp;"")</f>
        <v/>
      </c>
      <c r="Y1280" s="94">
        <f>IF($A1280="",0,IF(AE1280="직접",IF(AF1280="비귀속",$P1280,0),$P1280*(1-AG1280)*IFERROR(INDEX(계정대체기준!$F$20:$F$49,MATCH($N1280,계정대체기준!$A$20:$A$49,0)),1)))</f>
        <v/>
      </c>
      <c r="Z1280" s="94">
        <f>IF($A1280="",0,IF(AE1280="직접",IF(AF1280="신계약비",$P1280,0),$P1280*(1-AG1280)*IFERROR(INDEX(계정대체기준!$C$20:$C$49,MATCH($N1280,계정대체기준!$A$20:$A$49,0)),0)))</f>
        <v/>
      </c>
      <c r="AA1280" s="94">
        <f>IF($A1280="",0,IF(AE1280="직접",IF(OR(AF1280="유지비",AF1280="손해조사비"),$P1280,0),$P1280*(1-AG1280)*IFERROR(INDEX(계정대체기준!$D$20:$D$49,MATCH($N1280,계정대체기준!$A$20:$A$49,0)),0)))</f>
        <v/>
      </c>
      <c r="AB1280" s="94">
        <f>IF($A1280="",0,IF(AE1280="직접",IF(AF1280="수금비",$P1280,0),$P1280*(1-AG1280)*IFERROR(INDEX(계정대체기준!$E$20:$E$49,MATCH($N1280,계정대체기준!$A$20:$A$49,0)),0)))</f>
        <v/>
      </c>
      <c r="AC1280" s="9">
        <f>IF(AND($A1280&lt;&gt;"",M1280=설정!$C$20,Z1280&gt;0),Z1280+ROW()/1000000000,"")</f>
        <v/>
      </c>
      <c r="AD1280" s="94">
        <f>IF($A1280="",0,$P1280*AG1280)</f>
        <v/>
      </c>
      <c r="AE1280" s="64">
        <f>IF($A1280="","",IFERROR(INDEX(계정매핑!$E$5:$E$504,MATCH($F1280&amp;"",계정매핑!$A$5:$A$504,0))&amp;"","공통비"))</f>
        <v/>
      </c>
      <c r="AF1280" s="64">
        <f>IF($A1280="","",IF(AE1280="직접",IFERROR(INDEX(계정매핑!$F$5:$F$504,MATCH($F1280&amp;"",계정매핑!$A$5:$A$504,0))&amp;"","비귀속"),""))</f>
        <v/>
      </c>
      <c r="AG1280" s="96">
        <f>IF($A1280="",0,IF(AND(AE1280&lt;&gt;"직접",IFERROR(INDEX(계정매핑!$G$5:$G$504,MATCH($F1280&amp;"",계정매핑!$A$5:$A$504,0))&amp;"","")="유지비",COUNTIF(계정대체기준!$A$6:$A$15,$N1280)&gt;0),IFERROR(INDEX(계정대체기준!$E$6:$E$15,MATCH(VALUE($A1280&amp;""),계정대체기준!$D$6:$D$15,0)),0),0))</f>
        <v/>
      </c>
      <c r="AH1280" s="64">
        <f>IF($A1280="","",IF(AD1280=0,"",IF(OR(COUNTIF(계정대체기준!$A$77:$A$86,$N1280)&gt;0,ISNUMBER(MATCH($X1280,계정대체기준!$D$77:$D$86,0)),ISNUMBER(MATCH($F1280,계정대체기준!$D$77:$D$86,0))),"Y","N")))</f>
        <v/>
      </c>
    </row>
    <row r="1281">
      <c r="A1281" s="92" t="n">
        <v>2025</v>
      </c>
      <c r="B1281" s="92" t="n">
        <v>6</v>
      </c>
      <c r="C1281" s="92" t="inlineStr">
        <is>
          <t>5100001277</t>
        </is>
      </c>
      <c r="D1281" s="95" t="n">
        <v>45826</v>
      </c>
      <c r="E1281" s="92" t="inlineStr">
        <is>
          <t>KR</t>
        </is>
      </c>
      <c r="F1281" s="92" t="n">
        <v>63001000</v>
      </c>
      <c r="G1281" s="92" t="n">
        <v>1951</v>
      </c>
      <c r="H1281" s="93" t="n">
        <v>3966000</v>
      </c>
      <c r="I1281" s="92" t="inlineStr">
        <is>
          <t>6월 SW 유지보수 - Y소프트</t>
        </is>
      </c>
      <c r="J1281" s="92" t="inlineStr">
        <is>
          <t>V10017</t>
        </is>
      </c>
      <c r="K1281" s="92" t="inlineStr">
        <is>
          <t>Y소프트</t>
        </is>
      </c>
      <c r="M1281" s="9">
        <f>IF($A1281="","",VALUE($A1281&amp;"")*12+VALUE($B1281&amp;""))</f>
        <v/>
      </c>
      <c r="N1281" s="64">
        <f>IF($A1281="","",IFERROR(INDEX(부서매핑!$C$5:$C$504,MATCH($G1281&amp;"",부서매핑!$A$5:$A$504,0)),"미매핑"))</f>
        <v/>
      </c>
      <c r="O1281" s="9">
        <f>IF($A1281="","",N1281&amp;"|"&amp;$F1281)</f>
        <v/>
      </c>
      <c r="P1281" s="94">
        <f>IF($A1281="",0,$H1281*설정!$C$23)</f>
        <v/>
      </c>
      <c r="Q1281" s="64">
        <f>IF($A1281="","",IF(O1281&lt;&gt;원인분석!$C$9,"",IF(AND(M1281&gt;=원인분석!$C$10,M1281&lt;=원인분석!$C$11),"당기",IF(AND(M1281&gt;=원인분석!$C$12,M1281&lt;=원인분석!$C$13),"비교",""))))</f>
        <v/>
      </c>
      <c r="R1281" s="9">
        <f>IF(Q1281="","",$K1281&amp;"")</f>
        <v/>
      </c>
      <c r="S1281" s="9">
        <f>IF(Q1281="","",IF(MATCH(R1281,$R$5:$R$100000,0)=ROW()-4,ROW(),""))</f>
        <v/>
      </c>
      <c r="T1281" s="9">
        <f>IF(Q1281="당기",ABS(P1281)+ROW()/1000000000,"")</f>
        <v/>
      </c>
      <c r="U1281" s="9">
        <f>IF(Q1281="비교",ABS(P1281)+ROW()/1000000000,"")</f>
        <v/>
      </c>
      <c r="V1281" s="64">
        <f>IF($A1281="","",IF(COUNTIF(변동분석!$E$7:$E$506,O1281)&gt;0,"Y","N"))</f>
        <v/>
      </c>
      <c r="W1281" s="64">
        <f>IF($A1281="","",IFERROR(INDEX(계정매핑!$D$5:$D$504,MATCH($F1281&amp;"",계정매핑!$A$5:$A$504,0)),"미매핑"))</f>
        <v/>
      </c>
      <c r="X1281" s="9">
        <f>IF($A1281="","",$F1281&amp;"")</f>
        <v/>
      </c>
      <c r="Y1281" s="94">
        <f>IF($A1281="",0,IF(AE1281="직접",IF(AF1281="비귀속",$P1281,0),$P1281*(1-AG1281)*IFERROR(INDEX(계정대체기준!$F$20:$F$49,MATCH($N1281,계정대체기준!$A$20:$A$49,0)),1)))</f>
        <v/>
      </c>
      <c r="Z1281" s="94">
        <f>IF($A1281="",0,IF(AE1281="직접",IF(AF1281="신계약비",$P1281,0),$P1281*(1-AG1281)*IFERROR(INDEX(계정대체기준!$C$20:$C$49,MATCH($N1281,계정대체기준!$A$20:$A$49,0)),0)))</f>
        <v/>
      </c>
      <c r="AA1281" s="94">
        <f>IF($A1281="",0,IF(AE1281="직접",IF(OR(AF1281="유지비",AF1281="손해조사비"),$P1281,0),$P1281*(1-AG1281)*IFERROR(INDEX(계정대체기준!$D$20:$D$49,MATCH($N1281,계정대체기준!$A$20:$A$49,0)),0)))</f>
        <v/>
      </c>
      <c r="AB1281" s="94">
        <f>IF($A1281="",0,IF(AE1281="직접",IF(AF1281="수금비",$P1281,0),$P1281*(1-AG1281)*IFERROR(INDEX(계정대체기준!$E$20:$E$49,MATCH($N1281,계정대체기준!$A$20:$A$49,0)),0)))</f>
        <v/>
      </c>
      <c r="AC1281" s="9">
        <f>IF(AND($A1281&lt;&gt;"",M1281=설정!$C$20,Z1281&gt;0),Z1281+ROW()/1000000000,"")</f>
        <v/>
      </c>
      <c r="AD1281" s="94">
        <f>IF($A1281="",0,$P1281*AG1281)</f>
        <v/>
      </c>
      <c r="AE1281" s="64">
        <f>IF($A1281="","",IFERROR(INDEX(계정매핑!$E$5:$E$504,MATCH($F1281&amp;"",계정매핑!$A$5:$A$504,0))&amp;"","공통비"))</f>
        <v/>
      </c>
      <c r="AF1281" s="64">
        <f>IF($A1281="","",IF(AE1281="직접",IFERROR(INDEX(계정매핑!$F$5:$F$504,MATCH($F1281&amp;"",계정매핑!$A$5:$A$504,0))&amp;"","비귀속"),""))</f>
        <v/>
      </c>
      <c r="AG1281" s="96">
        <f>IF($A1281="",0,IF(AND(AE1281&lt;&gt;"직접",IFERROR(INDEX(계정매핑!$G$5:$G$504,MATCH($F1281&amp;"",계정매핑!$A$5:$A$504,0))&amp;"","")="유지비",COUNTIF(계정대체기준!$A$6:$A$15,$N1281)&gt;0),IFERROR(INDEX(계정대체기준!$E$6:$E$15,MATCH(VALUE($A1281&amp;""),계정대체기준!$D$6:$D$15,0)),0),0))</f>
        <v/>
      </c>
      <c r="AH1281" s="64">
        <f>IF($A1281="","",IF(AD1281=0,"",IF(OR(COUNTIF(계정대체기준!$A$77:$A$86,$N1281)&gt;0,ISNUMBER(MATCH($X1281,계정대체기준!$D$77:$D$86,0)),ISNUMBER(MATCH($F1281,계정대체기준!$D$77:$D$86,0))),"Y","N")))</f>
        <v/>
      </c>
    </row>
    <row r="1282">
      <c r="A1282" s="92" t="n">
        <v>2025</v>
      </c>
      <c r="B1282" s="92" t="n">
        <v>6</v>
      </c>
      <c r="C1282" s="92" t="inlineStr">
        <is>
          <t>5100001278</t>
        </is>
      </c>
      <c r="D1282" s="95" t="n">
        <v>45826</v>
      </c>
      <c r="E1282" s="92" t="inlineStr">
        <is>
          <t>KR</t>
        </is>
      </c>
      <c r="F1282" s="92" t="n">
        <v>63101000</v>
      </c>
      <c r="G1282" s="92" t="n">
        <v>1601</v>
      </c>
      <c r="H1282" s="93" t="n">
        <v>5770000</v>
      </c>
      <c r="I1282" s="92" t="inlineStr">
        <is>
          <t>6월 사무실 임차료 - AA빌딩</t>
        </is>
      </c>
      <c r="J1282" s="92" t="inlineStr">
        <is>
          <t>V10007</t>
        </is>
      </c>
      <c r="K1282" s="92" t="inlineStr">
        <is>
          <t>AA빌딩</t>
        </is>
      </c>
      <c r="M1282" s="9">
        <f>IF($A1282="","",VALUE($A1282&amp;"")*12+VALUE($B1282&amp;""))</f>
        <v/>
      </c>
      <c r="N1282" s="64">
        <f>IF($A1282="","",IFERROR(INDEX(부서매핑!$C$5:$C$504,MATCH($G1282&amp;"",부서매핑!$A$5:$A$504,0)),"미매핑"))</f>
        <v/>
      </c>
      <c r="O1282" s="9">
        <f>IF($A1282="","",N1282&amp;"|"&amp;$F1282)</f>
        <v/>
      </c>
      <c r="P1282" s="94">
        <f>IF($A1282="",0,$H1282*설정!$C$23)</f>
        <v/>
      </c>
      <c r="Q1282" s="64">
        <f>IF($A1282="","",IF(O1282&lt;&gt;원인분석!$C$9,"",IF(AND(M1282&gt;=원인분석!$C$10,M1282&lt;=원인분석!$C$11),"당기",IF(AND(M1282&gt;=원인분석!$C$12,M1282&lt;=원인분석!$C$13),"비교",""))))</f>
        <v/>
      </c>
      <c r="R1282" s="9">
        <f>IF(Q1282="","",$K1282&amp;"")</f>
        <v/>
      </c>
      <c r="S1282" s="9">
        <f>IF(Q1282="","",IF(MATCH(R1282,$R$5:$R$100000,0)=ROW()-4,ROW(),""))</f>
        <v/>
      </c>
      <c r="T1282" s="9">
        <f>IF(Q1282="당기",ABS(P1282)+ROW()/1000000000,"")</f>
        <v/>
      </c>
      <c r="U1282" s="9">
        <f>IF(Q1282="비교",ABS(P1282)+ROW()/1000000000,"")</f>
        <v/>
      </c>
      <c r="V1282" s="64">
        <f>IF($A1282="","",IF(COUNTIF(변동분석!$E$7:$E$506,O1282)&gt;0,"Y","N"))</f>
        <v/>
      </c>
      <c r="W1282" s="64">
        <f>IF($A1282="","",IFERROR(INDEX(계정매핑!$D$5:$D$504,MATCH($F1282&amp;"",계정매핑!$A$5:$A$504,0)),"미매핑"))</f>
        <v/>
      </c>
      <c r="X1282" s="9">
        <f>IF($A1282="","",$F1282&amp;"")</f>
        <v/>
      </c>
      <c r="Y1282" s="94">
        <f>IF($A1282="",0,IF(AE1282="직접",IF(AF1282="비귀속",$P1282,0),$P1282*(1-AG1282)*IFERROR(INDEX(계정대체기준!$F$20:$F$49,MATCH($N1282,계정대체기준!$A$20:$A$49,0)),1)))</f>
        <v/>
      </c>
      <c r="Z1282" s="94">
        <f>IF($A1282="",0,IF(AE1282="직접",IF(AF1282="신계약비",$P1282,0),$P1282*(1-AG1282)*IFERROR(INDEX(계정대체기준!$C$20:$C$49,MATCH($N1282,계정대체기준!$A$20:$A$49,0)),0)))</f>
        <v/>
      </c>
      <c r="AA1282" s="94">
        <f>IF($A1282="",0,IF(AE1282="직접",IF(OR(AF1282="유지비",AF1282="손해조사비"),$P1282,0),$P1282*(1-AG1282)*IFERROR(INDEX(계정대체기준!$D$20:$D$49,MATCH($N1282,계정대체기준!$A$20:$A$49,0)),0)))</f>
        <v/>
      </c>
      <c r="AB1282" s="94">
        <f>IF($A1282="",0,IF(AE1282="직접",IF(AF1282="수금비",$P1282,0),$P1282*(1-AG1282)*IFERROR(INDEX(계정대체기준!$E$20:$E$49,MATCH($N1282,계정대체기준!$A$20:$A$49,0)),0)))</f>
        <v/>
      </c>
      <c r="AC1282" s="9">
        <f>IF(AND($A1282&lt;&gt;"",M1282=설정!$C$20,Z1282&gt;0),Z1282+ROW()/1000000000,"")</f>
        <v/>
      </c>
      <c r="AD1282" s="94">
        <f>IF($A1282="",0,$P1282*AG1282)</f>
        <v/>
      </c>
      <c r="AE1282" s="64">
        <f>IF($A1282="","",IFERROR(INDEX(계정매핑!$E$5:$E$504,MATCH($F1282&amp;"",계정매핑!$A$5:$A$504,0))&amp;"","공통비"))</f>
        <v/>
      </c>
      <c r="AF1282" s="64">
        <f>IF($A1282="","",IF(AE1282="직접",IFERROR(INDEX(계정매핑!$F$5:$F$504,MATCH($F1282&amp;"",계정매핑!$A$5:$A$504,0))&amp;"","비귀속"),""))</f>
        <v/>
      </c>
      <c r="AG1282" s="96">
        <f>IF($A1282="",0,IF(AND(AE1282&lt;&gt;"직접",IFERROR(INDEX(계정매핑!$G$5:$G$504,MATCH($F1282&amp;"",계정매핑!$A$5:$A$504,0))&amp;"","")="유지비",COUNTIF(계정대체기준!$A$6:$A$15,$N1282)&gt;0),IFERROR(INDEX(계정대체기준!$E$6:$E$15,MATCH(VALUE($A1282&amp;""),계정대체기준!$D$6:$D$15,0)),0),0))</f>
        <v/>
      </c>
      <c r="AH1282" s="64">
        <f>IF($A1282="","",IF(AD1282=0,"",IF(OR(COUNTIF(계정대체기준!$A$77:$A$86,$N1282)&gt;0,ISNUMBER(MATCH($X1282,계정대체기준!$D$77:$D$86,0)),ISNUMBER(MATCH($F1282,계정대체기준!$D$77:$D$86,0))),"Y","N")))</f>
        <v/>
      </c>
    </row>
    <row r="1283">
      <c r="A1283" s="92" t="n">
        <v>2025</v>
      </c>
      <c r="B1283" s="92" t="n">
        <v>6</v>
      </c>
      <c r="C1283" s="92" t="inlineStr">
        <is>
          <t>5100001279</t>
        </is>
      </c>
      <c r="D1283" s="95" t="n">
        <v>45826</v>
      </c>
      <c r="E1283" s="92" t="inlineStr">
        <is>
          <t>KR</t>
        </is>
      </c>
      <c r="F1283" s="92" t="n">
        <v>63501000</v>
      </c>
      <c r="G1283" s="92" t="n">
        <v>1901</v>
      </c>
      <c r="H1283" s="93" t="n">
        <v>412027000</v>
      </c>
      <c r="I1283" s="92" t="inlineStr">
        <is>
          <t>6월 모집수수료 - (전속설계사)</t>
        </is>
      </c>
      <c r="J1283" s="92" t="inlineStr">
        <is>
          <t>V10021</t>
        </is>
      </c>
      <c r="K1283" s="92" t="inlineStr">
        <is>
          <t>(전속설계사)</t>
        </is>
      </c>
      <c r="M1283" s="9">
        <f>IF($A1283="","",VALUE($A1283&amp;"")*12+VALUE($B1283&amp;""))</f>
        <v/>
      </c>
      <c r="N1283" s="64">
        <f>IF($A1283="","",IFERROR(INDEX(부서매핑!$C$5:$C$504,MATCH($G1283&amp;"",부서매핑!$A$5:$A$504,0)),"미매핑"))</f>
        <v/>
      </c>
      <c r="O1283" s="9">
        <f>IF($A1283="","",N1283&amp;"|"&amp;$F1283)</f>
        <v/>
      </c>
      <c r="P1283" s="94">
        <f>IF($A1283="",0,$H1283*설정!$C$23)</f>
        <v/>
      </c>
      <c r="Q1283" s="64">
        <f>IF($A1283="","",IF(O1283&lt;&gt;원인분석!$C$9,"",IF(AND(M1283&gt;=원인분석!$C$10,M1283&lt;=원인분석!$C$11),"당기",IF(AND(M1283&gt;=원인분석!$C$12,M1283&lt;=원인분석!$C$13),"비교",""))))</f>
        <v/>
      </c>
      <c r="R1283" s="9">
        <f>IF(Q1283="","",$K1283&amp;"")</f>
        <v/>
      </c>
      <c r="S1283" s="9">
        <f>IF(Q1283="","",IF(MATCH(R1283,$R$5:$R$100000,0)=ROW()-4,ROW(),""))</f>
        <v/>
      </c>
      <c r="T1283" s="9">
        <f>IF(Q1283="당기",ABS(P1283)+ROW()/1000000000,"")</f>
        <v/>
      </c>
      <c r="U1283" s="9">
        <f>IF(Q1283="비교",ABS(P1283)+ROW()/1000000000,"")</f>
        <v/>
      </c>
      <c r="V1283" s="64">
        <f>IF($A1283="","",IF(COUNTIF(변동분석!$E$7:$E$506,O1283)&gt;0,"Y","N"))</f>
        <v/>
      </c>
      <c r="W1283" s="64">
        <f>IF($A1283="","",IFERROR(INDEX(계정매핑!$D$5:$D$504,MATCH($F1283&amp;"",계정매핑!$A$5:$A$504,0)),"미매핑"))</f>
        <v/>
      </c>
      <c r="X1283" s="9">
        <f>IF($A1283="","",$F1283&amp;"")</f>
        <v/>
      </c>
      <c r="Y1283" s="94">
        <f>IF($A1283="",0,IF(AE1283="직접",IF(AF1283="비귀속",$P1283,0),$P1283*(1-AG1283)*IFERROR(INDEX(계정대체기준!$F$20:$F$49,MATCH($N1283,계정대체기준!$A$20:$A$49,0)),1)))</f>
        <v/>
      </c>
      <c r="Z1283" s="94">
        <f>IF($A1283="",0,IF(AE1283="직접",IF(AF1283="신계약비",$P1283,0),$P1283*(1-AG1283)*IFERROR(INDEX(계정대체기준!$C$20:$C$49,MATCH($N1283,계정대체기준!$A$20:$A$49,0)),0)))</f>
        <v/>
      </c>
      <c r="AA1283" s="94">
        <f>IF($A1283="",0,IF(AE1283="직접",IF(OR(AF1283="유지비",AF1283="손해조사비"),$P1283,0),$P1283*(1-AG1283)*IFERROR(INDEX(계정대체기준!$D$20:$D$49,MATCH($N1283,계정대체기준!$A$20:$A$49,0)),0)))</f>
        <v/>
      </c>
      <c r="AB1283" s="94">
        <f>IF($A1283="",0,IF(AE1283="직접",IF(AF1283="수금비",$P1283,0),$P1283*(1-AG1283)*IFERROR(INDEX(계정대체기준!$E$20:$E$49,MATCH($N1283,계정대체기준!$A$20:$A$49,0)),0)))</f>
        <v/>
      </c>
      <c r="AC1283" s="9">
        <f>IF(AND($A1283&lt;&gt;"",M1283=설정!$C$20,Z1283&gt;0),Z1283+ROW()/1000000000,"")</f>
        <v/>
      </c>
      <c r="AD1283" s="94">
        <f>IF($A1283="",0,$P1283*AG1283)</f>
        <v/>
      </c>
      <c r="AE1283" s="64">
        <f>IF($A1283="","",IFERROR(INDEX(계정매핑!$E$5:$E$504,MATCH($F1283&amp;"",계정매핑!$A$5:$A$504,0))&amp;"","공통비"))</f>
        <v/>
      </c>
      <c r="AF1283" s="64">
        <f>IF($A1283="","",IF(AE1283="직접",IFERROR(INDEX(계정매핑!$F$5:$F$504,MATCH($F1283&amp;"",계정매핑!$A$5:$A$504,0))&amp;"","비귀속"),""))</f>
        <v/>
      </c>
      <c r="AG1283" s="96">
        <f>IF($A1283="",0,IF(AND(AE1283&lt;&gt;"직접",IFERROR(INDEX(계정매핑!$G$5:$G$504,MATCH($F1283&amp;"",계정매핑!$A$5:$A$504,0))&amp;"","")="유지비",COUNTIF(계정대체기준!$A$6:$A$15,$N1283)&gt;0),IFERROR(INDEX(계정대체기준!$E$6:$E$15,MATCH(VALUE($A1283&amp;""),계정대체기준!$D$6:$D$15,0)),0),0))</f>
        <v/>
      </c>
      <c r="AH1283" s="64">
        <f>IF($A1283="","",IF(AD1283=0,"",IF(OR(COUNTIF(계정대체기준!$A$77:$A$86,$N1283)&gt;0,ISNUMBER(MATCH($X1283,계정대체기준!$D$77:$D$86,0)),ISNUMBER(MATCH($F1283,계정대체기준!$D$77:$D$86,0))),"Y","N")))</f>
        <v/>
      </c>
    </row>
    <row r="1284">
      <c r="A1284" s="92" t="n">
        <v>2025</v>
      </c>
      <c r="B1284" s="92" t="n">
        <v>6</v>
      </c>
      <c r="C1284" s="92" t="inlineStr">
        <is>
          <t>5100001280</t>
        </is>
      </c>
      <c r="D1284" s="95" t="n">
        <v>45827</v>
      </c>
      <c r="E1284" s="92" t="inlineStr">
        <is>
          <t>KR</t>
        </is>
      </c>
      <c r="F1284" s="92" t="n">
        <v>62102000</v>
      </c>
      <c r="G1284" s="92" t="n">
        <v>1501</v>
      </c>
      <c r="H1284" s="93" t="n">
        <v>92000</v>
      </c>
      <c r="I1284" s="92" t="inlineStr">
        <is>
          <t>6월 해외출장 - M항공</t>
        </is>
      </c>
      <c r="J1284" s="92" t="inlineStr">
        <is>
          <t>V10001</t>
        </is>
      </c>
      <c r="K1284" s="92" t="inlineStr">
        <is>
          <t>M항공</t>
        </is>
      </c>
      <c r="M1284" s="9">
        <f>IF($A1284="","",VALUE($A1284&amp;"")*12+VALUE($B1284&amp;""))</f>
        <v/>
      </c>
      <c r="N1284" s="64">
        <f>IF($A1284="","",IFERROR(INDEX(부서매핑!$C$5:$C$504,MATCH($G1284&amp;"",부서매핑!$A$5:$A$504,0)),"미매핑"))</f>
        <v/>
      </c>
      <c r="O1284" s="9">
        <f>IF($A1284="","",N1284&amp;"|"&amp;$F1284)</f>
        <v/>
      </c>
      <c r="P1284" s="94">
        <f>IF($A1284="",0,$H1284*설정!$C$23)</f>
        <v/>
      </c>
      <c r="Q1284" s="64">
        <f>IF($A1284="","",IF(O1284&lt;&gt;원인분석!$C$9,"",IF(AND(M1284&gt;=원인분석!$C$10,M1284&lt;=원인분석!$C$11),"당기",IF(AND(M1284&gt;=원인분석!$C$12,M1284&lt;=원인분석!$C$13),"비교",""))))</f>
        <v/>
      </c>
      <c r="R1284" s="9">
        <f>IF(Q1284="","",$K1284&amp;"")</f>
        <v/>
      </c>
      <c r="S1284" s="9">
        <f>IF(Q1284="","",IF(MATCH(R1284,$R$5:$R$100000,0)=ROW()-4,ROW(),""))</f>
        <v/>
      </c>
      <c r="T1284" s="9">
        <f>IF(Q1284="당기",ABS(P1284)+ROW()/1000000000,"")</f>
        <v/>
      </c>
      <c r="U1284" s="9">
        <f>IF(Q1284="비교",ABS(P1284)+ROW()/1000000000,"")</f>
        <v/>
      </c>
      <c r="V1284" s="64">
        <f>IF($A1284="","",IF(COUNTIF(변동분석!$E$7:$E$506,O1284)&gt;0,"Y","N"))</f>
        <v/>
      </c>
      <c r="W1284" s="64">
        <f>IF($A1284="","",IFERROR(INDEX(계정매핑!$D$5:$D$504,MATCH($F1284&amp;"",계정매핑!$A$5:$A$504,0)),"미매핑"))</f>
        <v/>
      </c>
      <c r="X1284" s="9">
        <f>IF($A1284="","",$F1284&amp;"")</f>
        <v/>
      </c>
      <c r="Y1284" s="94">
        <f>IF($A1284="",0,IF(AE1284="직접",IF(AF1284="비귀속",$P1284,0),$P1284*(1-AG1284)*IFERROR(INDEX(계정대체기준!$F$20:$F$49,MATCH($N1284,계정대체기준!$A$20:$A$49,0)),1)))</f>
        <v/>
      </c>
      <c r="Z1284" s="94">
        <f>IF($A1284="",0,IF(AE1284="직접",IF(AF1284="신계약비",$P1284,0),$P1284*(1-AG1284)*IFERROR(INDEX(계정대체기준!$C$20:$C$49,MATCH($N1284,계정대체기준!$A$20:$A$49,0)),0)))</f>
        <v/>
      </c>
      <c r="AA1284" s="94">
        <f>IF($A1284="",0,IF(AE1284="직접",IF(OR(AF1284="유지비",AF1284="손해조사비"),$P1284,0),$P1284*(1-AG1284)*IFERROR(INDEX(계정대체기준!$D$20:$D$49,MATCH($N1284,계정대체기준!$A$20:$A$49,0)),0)))</f>
        <v/>
      </c>
      <c r="AB1284" s="94">
        <f>IF($A1284="",0,IF(AE1284="직접",IF(AF1284="수금비",$P1284,0),$P1284*(1-AG1284)*IFERROR(INDEX(계정대체기준!$E$20:$E$49,MATCH($N1284,계정대체기준!$A$20:$A$49,0)),0)))</f>
        <v/>
      </c>
      <c r="AC1284" s="9">
        <f>IF(AND($A1284&lt;&gt;"",M1284=설정!$C$20,Z1284&gt;0),Z1284+ROW()/1000000000,"")</f>
        <v/>
      </c>
      <c r="AD1284" s="94">
        <f>IF($A1284="",0,$P1284*AG1284)</f>
        <v/>
      </c>
      <c r="AE1284" s="64">
        <f>IF($A1284="","",IFERROR(INDEX(계정매핑!$E$5:$E$504,MATCH($F1284&amp;"",계정매핑!$A$5:$A$504,0))&amp;"","공통비"))</f>
        <v/>
      </c>
      <c r="AF1284" s="64">
        <f>IF($A1284="","",IF(AE1284="직접",IFERROR(INDEX(계정매핑!$F$5:$F$504,MATCH($F1284&amp;"",계정매핑!$A$5:$A$504,0))&amp;"","비귀속"),""))</f>
        <v/>
      </c>
      <c r="AG1284" s="96">
        <f>IF($A1284="",0,IF(AND(AE1284&lt;&gt;"직접",IFERROR(INDEX(계정매핑!$G$5:$G$504,MATCH($F1284&amp;"",계정매핑!$A$5:$A$504,0))&amp;"","")="유지비",COUNTIF(계정대체기준!$A$6:$A$15,$N1284)&gt;0),IFERROR(INDEX(계정대체기준!$E$6:$E$15,MATCH(VALUE($A1284&amp;""),계정대체기준!$D$6:$D$15,0)),0),0))</f>
        <v/>
      </c>
      <c r="AH1284" s="64">
        <f>IF($A1284="","",IF(AD1284=0,"",IF(OR(COUNTIF(계정대체기준!$A$77:$A$86,$N1284)&gt;0,ISNUMBER(MATCH($X1284,계정대체기준!$D$77:$D$86,0)),ISNUMBER(MATCH($F1284,계정대체기준!$D$77:$D$86,0))),"Y","N")))</f>
        <v/>
      </c>
    </row>
    <row r="1285">
      <c r="A1285" s="92" t="n">
        <v>2025</v>
      </c>
      <c r="B1285" s="92" t="n">
        <v>6</v>
      </c>
      <c r="C1285" s="92" t="inlineStr">
        <is>
          <t>5100001281</t>
        </is>
      </c>
      <c r="D1285" s="95" t="n">
        <v>45827</v>
      </c>
      <c r="E1285" s="92" t="inlineStr">
        <is>
          <t>KR</t>
        </is>
      </c>
      <c r="F1285" s="92" t="n">
        <v>62102000</v>
      </c>
      <c r="G1285" s="92" t="n">
        <v>1701</v>
      </c>
      <c r="H1285" s="93" t="n">
        <v>54000</v>
      </c>
      <c r="I1285" s="92" t="inlineStr">
        <is>
          <t>6월 해외출장 - N호텔</t>
        </is>
      </c>
      <c r="J1285" s="92" t="inlineStr">
        <is>
          <t>V10009</t>
        </is>
      </c>
      <c r="K1285" s="92" t="inlineStr">
        <is>
          <t>N호텔</t>
        </is>
      </c>
      <c r="M1285" s="9">
        <f>IF($A1285="","",VALUE($A1285&amp;"")*12+VALUE($B1285&amp;""))</f>
        <v/>
      </c>
      <c r="N1285" s="64">
        <f>IF($A1285="","",IFERROR(INDEX(부서매핑!$C$5:$C$504,MATCH($G1285&amp;"",부서매핑!$A$5:$A$504,0)),"미매핑"))</f>
        <v/>
      </c>
      <c r="O1285" s="9">
        <f>IF($A1285="","",N1285&amp;"|"&amp;$F1285)</f>
        <v/>
      </c>
      <c r="P1285" s="94">
        <f>IF($A1285="",0,$H1285*설정!$C$23)</f>
        <v/>
      </c>
      <c r="Q1285" s="64">
        <f>IF($A1285="","",IF(O1285&lt;&gt;원인분석!$C$9,"",IF(AND(M1285&gt;=원인분석!$C$10,M1285&lt;=원인분석!$C$11),"당기",IF(AND(M1285&gt;=원인분석!$C$12,M1285&lt;=원인분석!$C$13),"비교",""))))</f>
        <v/>
      </c>
      <c r="R1285" s="9">
        <f>IF(Q1285="","",$K1285&amp;"")</f>
        <v/>
      </c>
      <c r="S1285" s="9">
        <f>IF(Q1285="","",IF(MATCH(R1285,$R$5:$R$100000,0)=ROW()-4,ROW(),""))</f>
        <v/>
      </c>
      <c r="T1285" s="9">
        <f>IF(Q1285="당기",ABS(P1285)+ROW()/1000000000,"")</f>
        <v/>
      </c>
      <c r="U1285" s="9">
        <f>IF(Q1285="비교",ABS(P1285)+ROW()/1000000000,"")</f>
        <v/>
      </c>
      <c r="V1285" s="64">
        <f>IF($A1285="","",IF(COUNTIF(변동분석!$E$7:$E$506,O1285)&gt;0,"Y","N"))</f>
        <v/>
      </c>
      <c r="W1285" s="64">
        <f>IF($A1285="","",IFERROR(INDEX(계정매핑!$D$5:$D$504,MATCH($F1285&amp;"",계정매핑!$A$5:$A$504,0)),"미매핑"))</f>
        <v/>
      </c>
      <c r="X1285" s="9">
        <f>IF($A1285="","",$F1285&amp;"")</f>
        <v/>
      </c>
      <c r="Y1285" s="94">
        <f>IF($A1285="",0,IF(AE1285="직접",IF(AF1285="비귀속",$P1285,0),$P1285*(1-AG1285)*IFERROR(INDEX(계정대체기준!$F$20:$F$49,MATCH($N1285,계정대체기준!$A$20:$A$49,0)),1)))</f>
        <v/>
      </c>
      <c r="Z1285" s="94">
        <f>IF($A1285="",0,IF(AE1285="직접",IF(AF1285="신계약비",$P1285,0),$P1285*(1-AG1285)*IFERROR(INDEX(계정대체기준!$C$20:$C$49,MATCH($N1285,계정대체기준!$A$20:$A$49,0)),0)))</f>
        <v/>
      </c>
      <c r="AA1285" s="94">
        <f>IF($A1285="",0,IF(AE1285="직접",IF(OR(AF1285="유지비",AF1285="손해조사비"),$P1285,0),$P1285*(1-AG1285)*IFERROR(INDEX(계정대체기준!$D$20:$D$49,MATCH($N1285,계정대체기준!$A$20:$A$49,0)),0)))</f>
        <v/>
      </c>
      <c r="AB1285" s="94">
        <f>IF($A1285="",0,IF(AE1285="직접",IF(AF1285="수금비",$P1285,0),$P1285*(1-AG1285)*IFERROR(INDEX(계정대체기준!$E$20:$E$49,MATCH($N1285,계정대체기준!$A$20:$A$49,0)),0)))</f>
        <v/>
      </c>
      <c r="AC1285" s="9">
        <f>IF(AND($A1285&lt;&gt;"",M1285=설정!$C$20,Z1285&gt;0),Z1285+ROW()/1000000000,"")</f>
        <v/>
      </c>
      <c r="AD1285" s="94">
        <f>IF($A1285="",0,$P1285*AG1285)</f>
        <v/>
      </c>
      <c r="AE1285" s="64">
        <f>IF($A1285="","",IFERROR(INDEX(계정매핑!$E$5:$E$504,MATCH($F1285&amp;"",계정매핑!$A$5:$A$504,0))&amp;"","공통비"))</f>
        <v/>
      </c>
      <c r="AF1285" s="64">
        <f>IF($A1285="","",IF(AE1285="직접",IFERROR(INDEX(계정매핑!$F$5:$F$504,MATCH($F1285&amp;"",계정매핑!$A$5:$A$504,0))&amp;"","비귀속"),""))</f>
        <v/>
      </c>
      <c r="AG1285" s="96">
        <f>IF($A1285="",0,IF(AND(AE1285&lt;&gt;"직접",IFERROR(INDEX(계정매핑!$G$5:$G$504,MATCH($F1285&amp;"",계정매핑!$A$5:$A$504,0))&amp;"","")="유지비",COUNTIF(계정대체기준!$A$6:$A$15,$N1285)&gt;0),IFERROR(INDEX(계정대체기준!$E$6:$E$15,MATCH(VALUE($A1285&amp;""),계정대체기준!$D$6:$D$15,0)),0),0))</f>
        <v/>
      </c>
      <c r="AH1285" s="64">
        <f>IF($A1285="","",IF(AD1285=0,"",IF(OR(COUNTIF(계정대체기준!$A$77:$A$86,$N1285)&gt;0,ISNUMBER(MATCH($X1285,계정대체기준!$D$77:$D$86,0)),ISNUMBER(MATCH($F1285,계정대체기준!$D$77:$D$86,0))),"Y","N")))</f>
        <v/>
      </c>
    </row>
    <row r="1286">
      <c r="A1286" s="92" t="n">
        <v>2025</v>
      </c>
      <c r="B1286" s="92" t="n">
        <v>6</v>
      </c>
      <c r="C1286" s="92" t="inlineStr">
        <is>
          <t>5100001282</t>
        </is>
      </c>
      <c r="D1286" s="95" t="n">
        <v>45827</v>
      </c>
      <c r="E1286" s="92" t="inlineStr">
        <is>
          <t>KR</t>
        </is>
      </c>
      <c r="F1286" s="92" t="n">
        <v>62301000</v>
      </c>
      <c r="G1286" s="92" t="n">
        <v>1201</v>
      </c>
      <c r="H1286" s="93" t="n">
        <v>151000</v>
      </c>
      <c r="I1286" s="92" t="inlineStr">
        <is>
          <t>6월 소모품 구입 - Q오피스</t>
        </is>
      </c>
      <c r="J1286" s="92" t="inlineStr">
        <is>
          <t>V10003</t>
        </is>
      </c>
      <c r="K1286" s="92" t="inlineStr">
        <is>
          <t>Q오피스</t>
        </is>
      </c>
      <c r="M1286" s="9">
        <f>IF($A1286="","",VALUE($A1286&amp;"")*12+VALUE($B1286&amp;""))</f>
        <v/>
      </c>
      <c r="N1286" s="64">
        <f>IF($A1286="","",IFERROR(INDEX(부서매핑!$C$5:$C$504,MATCH($G1286&amp;"",부서매핑!$A$5:$A$504,0)),"미매핑"))</f>
        <v/>
      </c>
      <c r="O1286" s="9">
        <f>IF($A1286="","",N1286&amp;"|"&amp;$F1286)</f>
        <v/>
      </c>
      <c r="P1286" s="94">
        <f>IF($A1286="",0,$H1286*설정!$C$23)</f>
        <v/>
      </c>
      <c r="Q1286" s="64">
        <f>IF($A1286="","",IF(O1286&lt;&gt;원인분석!$C$9,"",IF(AND(M1286&gt;=원인분석!$C$10,M1286&lt;=원인분석!$C$11),"당기",IF(AND(M1286&gt;=원인분석!$C$12,M1286&lt;=원인분석!$C$13),"비교",""))))</f>
        <v/>
      </c>
      <c r="R1286" s="9">
        <f>IF(Q1286="","",$K1286&amp;"")</f>
        <v/>
      </c>
      <c r="S1286" s="9">
        <f>IF(Q1286="","",IF(MATCH(R1286,$R$5:$R$100000,0)=ROW()-4,ROW(),""))</f>
        <v/>
      </c>
      <c r="T1286" s="9">
        <f>IF(Q1286="당기",ABS(P1286)+ROW()/1000000000,"")</f>
        <v/>
      </c>
      <c r="U1286" s="9">
        <f>IF(Q1286="비교",ABS(P1286)+ROW()/1000000000,"")</f>
        <v/>
      </c>
      <c r="V1286" s="64">
        <f>IF($A1286="","",IF(COUNTIF(변동분석!$E$7:$E$506,O1286)&gt;0,"Y","N"))</f>
        <v/>
      </c>
      <c r="W1286" s="64">
        <f>IF($A1286="","",IFERROR(INDEX(계정매핑!$D$5:$D$504,MATCH($F1286&amp;"",계정매핑!$A$5:$A$504,0)),"미매핑"))</f>
        <v/>
      </c>
      <c r="X1286" s="9">
        <f>IF($A1286="","",$F1286&amp;"")</f>
        <v/>
      </c>
      <c r="Y1286" s="94">
        <f>IF($A1286="",0,IF(AE1286="직접",IF(AF1286="비귀속",$P1286,0),$P1286*(1-AG1286)*IFERROR(INDEX(계정대체기준!$F$20:$F$49,MATCH($N1286,계정대체기준!$A$20:$A$49,0)),1)))</f>
        <v/>
      </c>
      <c r="Z1286" s="94">
        <f>IF($A1286="",0,IF(AE1286="직접",IF(AF1286="신계약비",$P1286,0),$P1286*(1-AG1286)*IFERROR(INDEX(계정대체기준!$C$20:$C$49,MATCH($N1286,계정대체기준!$A$20:$A$49,0)),0)))</f>
        <v/>
      </c>
      <c r="AA1286" s="94">
        <f>IF($A1286="",0,IF(AE1286="직접",IF(OR(AF1286="유지비",AF1286="손해조사비"),$P1286,0),$P1286*(1-AG1286)*IFERROR(INDEX(계정대체기준!$D$20:$D$49,MATCH($N1286,계정대체기준!$A$20:$A$49,0)),0)))</f>
        <v/>
      </c>
      <c r="AB1286" s="94">
        <f>IF($A1286="",0,IF(AE1286="직접",IF(AF1286="수금비",$P1286,0),$P1286*(1-AG1286)*IFERROR(INDEX(계정대체기준!$E$20:$E$49,MATCH($N1286,계정대체기준!$A$20:$A$49,0)),0)))</f>
        <v/>
      </c>
      <c r="AC1286" s="9">
        <f>IF(AND($A1286&lt;&gt;"",M1286=설정!$C$20,Z1286&gt;0),Z1286+ROW()/1000000000,"")</f>
        <v/>
      </c>
      <c r="AD1286" s="94">
        <f>IF($A1286="",0,$P1286*AG1286)</f>
        <v/>
      </c>
      <c r="AE1286" s="64">
        <f>IF($A1286="","",IFERROR(INDEX(계정매핑!$E$5:$E$504,MATCH($F1286&amp;"",계정매핑!$A$5:$A$504,0))&amp;"","공통비"))</f>
        <v/>
      </c>
      <c r="AF1286" s="64">
        <f>IF($A1286="","",IF(AE1286="직접",IFERROR(INDEX(계정매핑!$F$5:$F$504,MATCH($F1286&amp;"",계정매핑!$A$5:$A$504,0))&amp;"","비귀속"),""))</f>
        <v/>
      </c>
      <c r="AG1286" s="96">
        <f>IF($A1286="",0,IF(AND(AE1286&lt;&gt;"직접",IFERROR(INDEX(계정매핑!$G$5:$G$504,MATCH($F1286&amp;"",계정매핑!$A$5:$A$504,0))&amp;"","")="유지비",COUNTIF(계정대체기준!$A$6:$A$15,$N1286)&gt;0),IFERROR(INDEX(계정대체기준!$E$6:$E$15,MATCH(VALUE($A1286&amp;""),계정대체기준!$D$6:$D$15,0)),0),0))</f>
        <v/>
      </c>
      <c r="AH1286" s="64">
        <f>IF($A1286="","",IF(AD1286=0,"",IF(OR(COUNTIF(계정대체기준!$A$77:$A$86,$N1286)&gt;0,ISNUMBER(MATCH($X1286,계정대체기준!$D$77:$D$86,0)),ISNUMBER(MATCH($F1286,계정대체기준!$D$77:$D$86,0))),"Y","N")))</f>
        <v/>
      </c>
    </row>
    <row r="1287">
      <c r="A1287" s="92" t="n">
        <v>2025</v>
      </c>
      <c r="B1287" s="92" t="n">
        <v>6</v>
      </c>
      <c r="C1287" s="92" t="inlineStr">
        <is>
          <t>5100001283</t>
        </is>
      </c>
      <c r="D1287" s="95" t="n">
        <v>45827</v>
      </c>
      <c r="E1287" s="92" t="inlineStr">
        <is>
          <t>KR</t>
        </is>
      </c>
      <c r="F1287" s="92" t="n">
        <v>62501000</v>
      </c>
      <c r="G1287" s="92" t="n">
        <v>1401</v>
      </c>
      <c r="H1287" s="93" t="n">
        <v>135000</v>
      </c>
      <c r="I1287" s="92" t="inlineStr">
        <is>
          <t>6월 회의 다과 - (법인카드)</t>
        </is>
      </c>
      <c r="J1287" s="92" t="inlineStr">
        <is>
          <t>V10010</t>
        </is>
      </c>
      <c r="K1287" s="92" t="inlineStr">
        <is>
          <t>(법인카드)</t>
        </is>
      </c>
      <c r="M1287" s="9">
        <f>IF($A1287="","",VALUE($A1287&amp;"")*12+VALUE($B1287&amp;""))</f>
        <v/>
      </c>
      <c r="N1287" s="64">
        <f>IF($A1287="","",IFERROR(INDEX(부서매핑!$C$5:$C$504,MATCH($G1287&amp;"",부서매핑!$A$5:$A$504,0)),"미매핑"))</f>
        <v/>
      </c>
      <c r="O1287" s="9">
        <f>IF($A1287="","",N1287&amp;"|"&amp;$F1287)</f>
        <v/>
      </c>
      <c r="P1287" s="94">
        <f>IF($A1287="",0,$H1287*설정!$C$23)</f>
        <v/>
      </c>
      <c r="Q1287" s="64">
        <f>IF($A1287="","",IF(O1287&lt;&gt;원인분석!$C$9,"",IF(AND(M1287&gt;=원인분석!$C$10,M1287&lt;=원인분석!$C$11),"당기",IF(AND(M1287&gt;=원인분석!$C$12,M1287&lt;=원인분석!$C$13),"비교",""))))</f>
        <v/>
      </c>
      <c r="R1287" s="9">
        <f>IF(Q1287="","",$K1287&amp;"")</f>
        <v/>
      </c>
      <c r="S1287" s="9">
        <f>IF(Q1287="","",IF(MATCH(R1287,$R$5:$R$100000,0)=ROW()-4,ROW(),""))</f>
        <v/>
      </c>
      <c r="T1287" s="9">
        <f>IF(Q1287="당기",ABS(P1287)+ROW()/1000000000,"")</f>
        <v/>
      </c>
      <c r="U1287" s="9">
        <f>IF(Q1287="비교",ABS(P1287)+ROW()/1000000000,"")</f>
        <v/>
      </c>
      <c r="V1287" s="64">
        <f>IF($A1287="","",IF(COUNTIF(변동분석!$E$7:$E$506,O1287)&gt;0,"Y","N"))</f>
        <v/>
      </c>
      <c r="W1287" s="64">
        <f>IF($A1287="","",IFERROR(INDEX(계정매핑!$D$5:$D$504,MATCH($F1287&amp;"",계정매핑!$A$5:$A$504,0)),"미매핑"))</f>
        <v/>
      </c>
      <c r="X1287" s="9">
        <f>IF($A1287="","",$F1287&amp;"")</f>
        <v/>
      </c>
      <c r="Y1287" s="94">
        <f>IF($A1287="",0,IF(AE1287="직접",IF(AF1287="비귀속",$P1287,0),$P1287*(1-AG1287)*IFERROR(INDEX(계정대체기준!$F$20:$F$49,MATCH($N1287,계정대체기준!$A$20:$A$49,0)),1)))</f>
        <v/>
      </c>
      <c r="Z1287" s="94">
        <f>IF($A1287="",0,IF(AE1287="직접",IF(AF1287="신계약비",$P1287,0),$P1287*(1-AG1287)*IFERROR(INDEX(계정대체기준!$C$20:$C$49,MATCH($N1287,계정대체기준!$A$20:$A$49,0)),0)))</f>
        <v/>
      </c>
      <c r="AA1287" s="94">
        <f>IF($A1287="",0,IF(AE1287="직접",IF(OR(AF1287="유지비",AF1287="손해조사비"),$P1287,0),$P1287*(1-AG1287)*IFERROR(INDEX(계정대체기준!$D$20:$D$49,MATCH($N1287,계정대체기준!$A$20:$A$49,0)),0)))</f>
        <v/>
      </c>
      <c r="AB1287" s="94">
        <f>IF($A1287="",0,IF(AE1287="직접",IF(AF1287="수금비",$P1287,0),$P1287*(1-AG1287)*IFERROR(INDEX(계정대체기준!$E$20:$E$49,MATCH($N1287,계정대체기준!$A$20:$A$49,0)),0)))</f>
        <v/>
      </c>
      <c r="AC1287" s="9">
        <f>IF(AND($A1287&lt;&gt;"",M1287=설정!$C$20,Z1287&gt;0),Z1287+ROW()/1000000000,"")</f>
        <v/>
      </c>
      <c r="AD1287" s="94">
        <f>IF($A1287="",0,$P1287*AG1287)</f>
        <v/>
      </c>
      <c r="AE1287" s="64">
        <f>IF($A1287="","",IFERROR(INDEX(계정매핑!$E$5:$E$504,MATCH($F1287&amp;"",계정매핑!$A$5:$A$504,0))&amp;"","공통비"))</f>
        <v/>
      </c>
      <c r="AF1287" s="64">
        <f>IF($A1287="","",IF(AE1287="직접",IFERROR(INDEX(계정매핑!$F$5:$F$504,MATCH($F1287&amp;"",계정매핑!$A$5:$A$504,0))&amp;"","비귀속"),""))</f>
        <v/>
      </c>
      <c r="AG1287" s="96">
        <f>IF($A1287="",0,IF(AND(AE1287&lt;&gt;"직접",IFERROR(INDEX(계정매핑!$G$5:$G$504,MATCH($F1287&amp;"",계정매핑!$A$5:$A$504,0))&amp;"","")="유지비",COUNTIF(계정대체기준!$A$6:$A$15,$N1287)&gt;0),IFERROR(INDEX(계정대체기준!$E$6:$E$15,MATCH(VALUE($A1287&amp;""),계정대체기준!$D$6:$D$15,0)),0),0))</f>
        <v/>
      </c>
      <c r="AH1287" s="64">
        <f>IF($A1287="","",IF(AD1287=0,"",IF(OR(COUNTIF(계정대체기준!$A$77:$A$86,$N1287)&gt;0,ISNUMBER(MATCH($X1287,계정대체기준!$D$77:$D$86,0)),ISNUMBER(MATCH($F1287,계정대체기준!$D$77:$D$86,0))),"Y","N")))</f>
        <v/>
      </c>
    </row>
    <row r="1288">
      <c r="A1288" s="92" t="n">
        <v>2025</v>
      </c>
      <c r="B1288" s="92" t="n">
        <v>6</v>
      </c>
      <c r="C1288" s="92" t="inlineStr">
        <is>
          <t>5100001284</t>
        </is>
      </c>
      <c r="D1288" s="95" t="n">
        <v>45827</v>
      </c>
      <c r="E1288" s="92" t="inlineStr">
        <is>
          <t>KR</t>
        </is>
      </c>
      <c r="F1288" s="92" t="n">
        <v>62901000</v>
      </c>
      <c r="G1288" s="92" t="n">
        <v>1101</v>
      </c>
      <c r="H1288" s="93" t="n">
        <v>6254000</v>
      </c>
      <c r="I1288" s="92" t="inlineStr">
        <is>
          <t>6월 자문 수수료 - W컨설팅</t>
        </is>
      </c>
      <c r="J1288" s="92" t="inlineStr">
        <is>
          <t>V10006</t>
        </is>
      </c>
      <c r="K1288" s="92" t="inlineStr">
        <is>
          <t>W컨설팅</t>
        </is>
      </c>
      <c r="M1288" s="9">
        <f>IF($A1288="","",VALUE($A1288&amp;"")*12+VALUE($B1288&amp;""))</f>
        <v/>
      </c>
      <c r="N1288" s="64">
        <f>IF($A1288="","",IFERROR(INDEX(부서매핑!$C$5:$C$504,MATCH($G1288&amp;"",부서매핑!$A$5:$A$504,0)),"미매핑"))</f>
        <v/>
      </c>
      <c r="O1288" s="9">
        <f>IF($A1288="","",N1288&amp;"|"&amp;$F1288)</f>
        <v/>
      </c>
      <c r="P1288" s="94">
        <f>IF($A1288="",0,$H1288*설정!$C$23)</f>
        <v/>
      </c>
      <c r="Q1288" s="64">
        <f>IF($A1288="","",IF(O1288&lt;&gt;원인분석!$C$9,"",IF(AND(M1288&gt;=원인분석!$C$10,M1288&lt;=원인분석!$C$11),"당기",IF(AND(M1288&gt;=원인분석!$C$12,M1288&lt;=원인분석!$C$13),"비교",""))))</f>
        <v/>
      </c>
      <c r="R1288" s="9">
        <f>IF(Q1288="","",$K1288&amp;"")</f>
        <v/>
      </c>
      <c r="S1288" s="9">
        <f>IF(Q1288="","",IF(MATCH(R1288,$R$5:$R$100000,0)=ROW()-4,ROW(),""))</f>
        <v/>
      </c>
      <c r="T1288" s="9">
        <f>IF(Q1288="당기",ABS(P1288)+ROW()/1000000000,"")</f>
        <v/>
      </c>
      <c r="U1288" s="9">
        <f>IF(Q1288="비교",ABS(P1288)+ROW()/1000000000,"")</f>
        <v/>
      </c>
      <c r="V1288" s="64">
        <f>IF($A1288="","",IF(COUNTIF(변동분석!$E$7:$E$506,O1288)&gt;0,"Y","N"))</f>
        <v/>
      </c>
      <c r="W1288" s="64">
        <f>IF($A1288="","",IFERROR(INDEX(계정매핑!$D$5:$D$504,MATCH($F1288&amp;"",계정매핑!$A$5:$A$504,0)),"미매핑"))</f>
        <v/>
      </c>
      <c r="X1288" s="9">
        <f>IF($A1288="","",$F1288&amp;"")</f>
        <v/>
      </c>
      <c r="Y1288" s="94">
        <f>IF($A1288="",0,IF(AE1288="직접",IF(AF1288="비귀속",$P1288,0),$P1288*(1-AG1288)*IFERROR(INDEX(계정대체기준!$F$20:$F$49,MATCH($N1288,계정대체기준!$A$20:$A$49,0)),1)))</f>
        <v/>
      </c>
      <c r="Z1288" s="94">
        <f>IF($A1288="",0,IF(AE1288="직접",IF(AF1288="신계약비",$P1288,0),$P1288*(1-AG1288)*IFERROR(INDEX(계정대체기준!$C$20:$C$49,MATCH($N1288,계정대체기준!$A$20:$A$49,0)),0)))</f>
        <v/>
      </c>
      <c r="AA1288" s="94">
        <f>IF($A1288="",0,IF(AE1288="직접",IF(OR(AF1288="유지비",AF1288="손해조사비"),$P1288,0),$P1288*(1-AG1288)*IFERROR(INDEX(계정대체기준!$D$20:$D$49,MATCH($N1288,계정대체기준!$A$20:$A$49,0)),0)))</f>
        <v/>
      </c>
      <c r="AB1288" s="94">
        <f>IF($A1288="",0,IF(AE1288="직접",IF(AF1288="수금비",$P1288,0),$P1288*(1-AG1288)*IFERROR(INDEX(계정대체기준!$E$20:$E$49,MATCH($N1288,계정대체기준!$A$20:$A$49,0)),0)))</f>
        <v/>
      </c>
      <c r="AC1288" s="9">
        <f>IF(AND($A1288&lt;&gt;"",M1288=설정!$C$20,Z1288&gt;0),Z1288+ROW()/1000000000,"")</f>
        <v/>
      </c>
      <c r="AD1288" s="94">
        <f>IF($A1288="",0,$P1288*AG1288)</f>
        <v/>
      </c>
      <c r="AE1288" s="64">
        <f>IF($A1288="","",IFERROR(INDEX(계정매핑!$E$5:$E$504,MATCH($F1288&amp;"",계정매핑!$A$5:$A$504,0))&amp;"","공통비"))</f>
        <v/>
      </c>
      <c r="AF1288" s="64">
        <f>IF($A1288="","",IF(AE1288="직접",IFERROR(INDEX(계정매핑!$F$5:$F$504,MATCH($F1288&amp;"",계정매핑!$A$5:$A$504,0))&amp;"","비귀속"),""))</f>
        <v/>
      </c>
      <c r="AG1288" s="96">
        <f>IF($A1288="",0,IF(AND(AE1288&lt;&gt;"직접",IFERROR(INDEX(계정매핑!$G$5:$G$504,MATCH($F1288&amp;"",계정매핑!$A$5:$A$504,0))&amp;"","")="유지비",COUNTIF(계정대체기준!$A$6:$A$15,$N1288)&gt;0),IFERROR(INDEX(계정대체기준!$E$6:$E$15,MATCH(VALUE($A1288&amp;""),계정대체기준!$D$6:$D$15,0)),0),0))</f>
        <v/>
      </c>
      <c r="AH1288" s="64">
        <f>IF($A1288="","",IF(AD1288=0,"",IF(OR(COUNTIF(계정대체기준!$A$77:$A$86,$N1288)&gt;0,ISNUMBER(MATCH($X1288,계정대체기준!$D$77:$D$86,0)),ISNUMBER(MATCH($F1288,계정대체기준!$D$77:$D$86,0))),"Y","N")))</f>
        <v/>
      </c>
    </row>
    <row r="1289">
      <c r="A1289" s="92" t="n">
        <v>2025</v>
      </c>
      <c r="B1289" s="92" t="n">
        <v>6</v>
      </c>
      <c r="C1289" s="92" t="inlineStr">
        <is>
          <t>5100001285</t>
        </is>
      </c>
      <c r="D1289" s="95" t="n">
        <v>45827</v>
      </c>
      <c r="E1289" s="92" t="inlineStr">
        <is>
          <t>KR</t>
        </is>
      </c>
      <c r="F1289" s="92" t="n">
        <v>62901000</v>
      </c>
      <c r="G1289" s="92" t="n">
        <v>1201</v>
      </c>
      <c r="H1289" s="93" t="n">
        <v>4886000</v>
      </c>
      <c r="I1289" s="92" t="inlineStr">
        <is>
          <t>6월 자문 수수료 - W컨설팅</t>
        </is>
      </c>
      <c r="J1289" s="92" t="inlineStr">
        <is>
          <t>V10006</t>
        </is>
      </c>
      <c r="K1289" s="92" t="inlineStr">
        <is>
          <t>W컨설팅</t>
        </is>
      </c>
      <c r="M1289" s="9">
        <f>IF($A1289="","",VALUE($A1289&amp;"")*12+VALUE($B1289&amp;""))</f>
        <v/>
      </c>
      <c r="N1289" s="64">
        <f>IF($A1289="","",IFERROR(INDEX(부서매핑!$C$5:$C$504,MATCH($G1289&amp;"",부서매핑!$A$5:$A$504,0)),"미매핑"))</f>
        <v/>
      </c>
      <c r="O1289" s="9">
        <f>IF($A1289="","",N1289&amp;"|"&amp;$F1289)</f>
        <v/>
      </c>
      <c r="P1289" s="94">
        <f>IF($A1289="",0,$H1289*설정!$C$23)</f>
        <v/>
      </c>
      <c r="Q1289" s="64">
        <f>IF($A1289="","",IF(O1289&lt;&gt;원인분석!$C$9,"",IF(AND(M1289&gt;=원인분석!$C$10,M1289&lt;=원인분석!$C$11),"당기",IF(AND(M1289&gt;=원인분석!$C$12,M1289&lt;=원인분석!$C$13),"비교",""))))</f>
        <v/>
      </c>
      <c r="R1289" s="9">
        <f>IF(Q1289="","",$K1289&amp;"")</f>
        <v/>
      </c>
      <c r="S1289" s="9">
        <f>IF(Q1289="","",IF(MATCH(R1289,$R$5:$R$100000,0)=ROW()-4,ROW(),""))</f>
        <v/>
      </c>
      <c r="T1289" s="9">
        <f>IF(Q1289="당기",ABS(P1289)+ROW()/1000000000,"")</f>
        <v/>
      </c>
      <c r="U1289" s="9">
        <f>IF(Q1289="비교",ABS(P1289)+ROW()/1000000000,"")</f>
        <v/>
      </c>
      <c r="V1289" s="64">
        <f>IF($A1289="","",IF(COUNTIF(변동분석!$E$7:$E$506,O1289)&gt;0,"Y","N"))</f>
        <v/>
      </c>
      <c r="W1289" s="64">
        <f>IF($A1289="","",IFERROR(INDEX(계정매핑!$D$5:$D$504,MATCH($F1289&amp;"",계정매핑!$A$5:$A$504,0)),"미매핑"))</f>
        <v/>
      </c>
      <c r="X1289" s="9">
        <f>IF($A1289="","",$F1289&amp;"")</f>
        <v/>
      </c>
      <c r="Y1289" s="94">
        <f>IF($A1289="",0,IF(AE1289="직접",IF(AF1289="비귀속",$P1289,0),$P1289*(1-AG1289)*IFERROR(INDEX(계정대체기준!$F$20:$F$49,MATCH($N1289,계정대체기준!$A$20:$A$49,0)),1)))</f>
        <v/>
      </c>
      <c r="Z1289" s="94">
        <f>IF($A1289="",0,IF(AE1289="직접",IF(AF1289="신계약비",$P1289,0),$P1289*(1-AG1289)*IFERROR(INDEX(계정대체기준!$C$20:$C$49,MATCH($N1289,계정대체기준!$A$20:$A$49,0)),0)))</f>
        <v/>
      </c>
      <c r="AA1289" s="94">
        <f>IF($A1289="",0,IF(AE1289="직접",IF(OR(AF1289="유지비",AF1289="손해조사비"),$P1289,0),$P1289*(1-AG1289)*IFERROR(INDEX(계정대체기준!$D$20:$D$49,MATCH($N1289,계정대체기준!$A$20:$A$49,0)),0)))</f>
        <v/>
      </c>
      <c r="AB1289" s="94">
        <f>IF($A1289="",0,IF(AE1289="직접",IF(AF1289="수금비",$P1289,0),$P1289*(1-AG1289)*IFERROR(INDEX(계정대체기준!$E$20:$E$49,MATCH($N1289,계정대체기준!$A$20:$A$49,0)),0)))</f>
        <v/>
      </c>
      <c r="AC1289" s="9">
        <f>IF(AND($A1289&lt;&gt;"",M1289=설정!$C$20,Z1289&gt;0),Z1289+ROW()/1000000000,"")</f>
        <v/>
      </c>
      <c r="AD1289" s="94">
        <f>IF($A1289="",0,$P1289*AG1289)</f>
        <v/>
      </c>
      <c r="AE1289" s="64">
        <f>IF($A1289="","",IFERROR(INDEX(계정매핑!$E$5:$E$504,MATCH($F1289&amp;"",계정매핑!$A$5:$A$504,0))&amp;"","공통비"))</f>
        <v/>
      </c>
      <c r="AF1289" s="64">
        <f>IF($A1289="","",IF(AE1289="직접",IFERROR(INDEX(계정매핑!$F$5:$F$504,MATCH($F1289&amp;"",계정매핑!$A$5:$A$504,0))&amp;"","비귀속"),""))</f>
        <v/>
      </c>
      <c r="AG1289" s="96">
        <f>IF($A1289="",0,IF(AND(AE1289&lt;&gt;"직접",IFERROR(INDEX(계정매핑!$G$5:$G$504,MATCH($F1289&amp;"",계정매핑!$A$5:$A$504,0))&amp;"","")="유지비",COUNTIF(계정대체기준!$A$6:$A$15,$N1289)&gt;0),IFERROR(INDEX(계정대체기준!$E$6:$E$15,MATCH(VALUE($A1289&amp;""),계정대체기준!$D$6:$D$15,0)),0),0))</f>
        <v/>
      </c>
      <c r="AH1289" s="64">
        <f>IF($A1289="","",IF(AD1289=0,"",IF(OR(COUNTIF(계정대체기준!$A$77:$A$86,$N1289)&gt;0,ISNUMBER(MATCH($X1289,계정대체기준!$D$77:$D$86,0)),ISNUMBER(MATCH($F1289,계정대체기준!$D$77:$D$86,0))),"Y","N")))</f>
        <v/>
      </c>
    </row>
    <row r="1290">
      <c r="A1290" s="92" t="n">
        <v>2025</v>
      </c>
      <c r="B1290" s="92" t="n">
        <v>6</v>
      </c>
      <c r="C1290" s="92" t="inlineStr">
        <is>
          <t>5100001286</t>
        </is>
      </c>
      <c r="D1290" s="95" t="n">
        <v>45827</v>
      </c>
      <c r="E1290" s="92" t="inlineStr">
        <is>
          <t>KR</t>
        </is>
      </c>
      <c r="F1290" s="92" t="n">
        <v>63001000</v>
      </c>
      <c r="G1290" s="92" t="n">
        <v>1701</v>
      </c>
      <c r="H1290" s="93" t="n">
        <v>32520000</v>
      </c>
      <c r="I1290" s="92" t="inlineStr">
        <is>
          <t>6월 SW 유지보수 - Z시스템</t>
        </is>
      </c>
      <c r="J1290" s="92" t="inlineStr">
        <is>
          <t>V10012</t>
        </is>
      </c>
      <c r="K1290" s="92" t="inlineStr">
        <is>
          <t>Z시스템</t>
        </is>
      </c>
      <c r="M1290" s="9">
        <f>IF($A1290="","",VALUE($A1290&amp;"")*12+VALUE($B1290&amp;""))</f>
        <v/>
      </c>
      <c r="N1290" s="64">
        <f>IF($A1290="","",IFERROR(INDEX(부서매핑!$C$5:$C$504,MATCH($G1290&amp;"",부서매핑!$A$5:$A$504,0)),"미매핑"))</f>
        <v/>
      </c>
      <c r="O1290" s="9">
        <f>IF($A1290="","",N1290&amp;"|"&amp;$F1290)</f>
        <v/>
      </c>
      <c r="P1290" s="94">
        <f>IF($A1290="",0,$H1290*설정!$C$23)</f>
        <v/>
      </c>
      <c r="Q1290" s="64">
        <f>IF($A1290="","",IF(O1290&lt;&gt;원인분석!$C$9,"",IF(AND(M1290&gt;=원인분석!$C$10,M1290&lt;=원인분석!$C$11),"당기",IF(AND(M1290&gt;=원인분석!$C$12,M1290&lt;=원인분석!$C$13),"비교",""))))</f>
        <v/>
      </c>
      <c r="R1290" s="9">
        <f>IF(Q1290="","",$K1290&amp;"")</f>
        <v/>
      </c>
      <c r="S1290" s="9">
        <f>IF(Q1290="","",IF(MATCH(R1290,$R$5:$R$100000,0)=ROW()-4,ROW(),""))</f>
        <v/>
      </c>
      <c r="T1290" s="9">
        <f>IF(Q1290="당기",ABS(P1290)+ROW()/1000000000,"")</f>
        <v/>
      </c>
      <c r="U1290" s="9">
        <f>IF(Q1290="비교",ABS(P1290)+ROW()/1000000000,"")</f>
        <v/>
      </c>
      <c r="V1290" s="64">
        <f>IF($A1290="","",IF(COUNTIF(변동분석!$E$7:$E$506,O1290)&gt;0,"Y","N"))</f>
        <v/>
      </c>
      <c r="W1290" s="64">
        <f>IF($A1290="","",IFERROR(INDEX(계정매핑!$D$5:$D$504,MATCH($F1290&amp;"",계정매핑!$A$5:$A$504,0)),"미매핑"))</f>
        <v/>
      </c>
      <c r="X1290" s="9">
        <f>IF($A1290="","",$F1290&amp;"")</f>
        <v/>
      </c>
      <c r="Y1290" s="94">
        <f>IF($A1290="",0,IF(AE1290="직접",IF(AF1290="비귀속",$P1290,0),$P1290*(1-AG1290)*IFERROR(INDEX(계정대체기준!$F$20:$F$49,MATCH($N1290,계정대체기준!$A$20:$A$49,0)),1)))</f>
        <v/>
      </c>
      <c r="Z1290" s="94">
        <f>IF($A1290="",0,IF(AE1290="직접",IF(AF1290="신계약비",$P1290,0),$P1290*(1-AG1290)*IFERROR(INDEX(계정대체기준!$C$20:$C$49,MATCH($N1290,계정대체기준!$A$20:$A$49,0)),0)))</f>
        <v/>
      </c>
      <c r="AA1290" s="94">
        <f>IF($A1290="",0,IF(AE1290="직접",IF(OR(AF1290="유지비",AF1290="손해조사비"),$P1290,0),$P1290*(1-AG1290)*IFERROR(INDEX(계정대체기준!$D$20:$D$49,MATCH($N1290,계정대체기준!$A$20:$A$49,0)),0)))</f>
        <v/>
      </c>
      <c r="AB1290" s="94">
        <f>IF($A1290="",0,IF(AE1290="직접",IF(AF1290="수금비",$P1290,0),$P1290*(1-AG1290)*IFERROR(INDEX(계정대체기준!$E$20:$E$49,MATCH($N1290,계정대체기준!$A$20:$A$49,0)),0)))</f>
        <v/>
      </c>
      <c r="AC1290" s="9">
        <f>IF(AND($A1290&lt;&gt;"",M1290=설정!$C$20,Z1290&gt;0),Z1290+ROW()/1000000000,"")</f>
        <v/>
      </c>
      <c r="AD1290" s="94">
        <f>IF($A1290="",0,$P1290*AG1290)</f>
        <v/>
      </c>
      <c r="AE1290" s="64">
        <f>IF($A1290="","",IFERROR(INDEX(계정매핑!$E$5:$E$504,MATCH($F1290&amp;"",계정매핑!$A$5:$A$504,0))&amp;"","공통비"))</f>
        <v/>
      </c>
      <c r="AF1290" s="64">
        <f>IF($A1290="","",IF(AE1290="직접",IFERROR(INDEX(계정매핑!$F$5:$F$504,MATCH($F1290&amp;"",계정매핑!$A$5:$A$504,0))&amp;"","비귀속"),""))</f>
        <v/>
      </c>
      <c r="AG1290" s="96">
        <f>IF($A1290="",0,IF(AND(AE1290&lt;&gt;"직접",IFERROR(INDEX(계정매핑!$G$5:$G$504,MATCH($F1290&amp;"",계정매핑!$A$5:$A$504,0))&amp;"","")="유지비",COUNTIF(계정대체기준!$A$6:$A$15,$N1290)&gt;0),IFERROR(INDEX(계정대체기준!$E$6:$E$15,MATCH(VALUE($A1290&amp;""),계정대체기준!$D$6:$D$15,0)),0),0))</f>
        <v/>
      </c>
      <c r="AH1290" s="64">
        <f>IF($A1290="","",IF(AD1290=0,"",IF(OR(COUNTIF(계정대체기준!$A$77:$A$86,$N1290)&gt;0,ISNUMBER(MATCH($X1290,계정대체기준!$D$77:$D$86,0)),ISNUMBER(MATCH($F1290,계정대체기준!$D$77:$D$86,0))),"Y","N")))</f>
        <v/>
      </c>
    </row>
    <row r="1291">
      <c r="A1291" s="92" t="n">
        <v>2025</v>
      </c>
      <c r="B1291" s="92" t="n">
        <v>6</v>
      </c>
      <c r="C1291" s="92" t="inlineStr">
        <is>
          <t>5100001287</t>
        </is>
      </c>
      <c r="D1291" s="95" t="n">
        <v>45827</v>
      </c>
      <c r="E1291" s="92" t="inlineStr">
        <is>
          <t>KR</t>
        </is>
      </c>
      <c r="F1291" s="92" t="n">
        <v>63001000</v>
      </c>
      <c r="G1291" s="92" t="n">
        <v>1951</v>
      </c>
      <c r="H1291" s="93" t="n">
        <v>5526000</v>
      </c>
      <c r="I1291" s="92" t="inlineStr">
        <is>
          <t>6월 SW 유지보수 - Z시스템</t>
        </is>
      </c>
      <c r="J1291" s="92" t="inlineStr">
        <is>
          <t>V10012</t>
        </is>
      </c>
      <c r="K1291" s="92" t="inlineStr">
        <is>
          <t>Z시스템</t>
        </is>
      </c>
      <c r="M1291" s="9">
        <f>IF($A1291="","",VALUE($A1291&amp;"")*12+VALUE($B1291&amp;""))</f>
        <v/>
      </c>
      <c r="N1291" s="64">
        <f>IF($A1291="","",IFERROR(INDEX(부서매핑!$C$5:$C$504,MATCH($G1291&amp;"",부서매핑!$A$5:$A$504,0)),"미매핑"))</f>
        <v/>
      </c>
      <c r="O1291" s="9">
        <f>IF($A1291="","",N1291&amp;"|"&amp;$F1291)</f>
        <v/>
      </c>
      <c r="P1291" s="94">
        <f>IF($A1291="",0,$H1291*설정!$C$23)</f>
        <v/>
      </c>
      <c r="Q1291" s="64">
        <f>IF($A1291="","",IF(O1291&lt;&gt;원인분석!$C$9,"",IF(AND(M1291&gt;=원인분석!$C$10,M1291&lt;=원인분석!$C$11),"당기",IF(AND(M1291&gt;=원인분석!$C$12,M1291&lt;=원인분석!$C$13),"비교",""))))</f>
        <v/>
      </c>
      <c r="R1291" s="9">
        <f>IF(Q1291="","",$K1291&amp;"")</f>
        <v/>
      </c>
      <c r="S1291" s="9">
        <f>IF(Q1291="","",IF(MATCH(R1291,$R$5:$R$100000,0)=ROW()-4,ROW(),""))</f>
        <v/>
      </c>
      <c r="T1291" s="9">
        <f>IF(Q1291="당기",ABS(P1291)+ROW()/1000000000,"")</f>
        <v/>
      </c>
      <c r="U1291" s="9">
        <f>IF(Q1291="비교",ABS(P1291)+ROW()/1000000000,"")</f>
        <v/>
      </c>
      <c r="V1291" s="64">
        <f>IF($A1291="","",IF(COUNTIF(변동분석!$E$7:$E$506,O1291)&gt;0,"Y","N"))</f>
        <v/>
      </c>
      <c r="W1291" s="64">
        <f>IF($A1291="","",IFERROR(INDEX(계정매핑!$D$5:$D$504,MATCH($F1291&amp;"",계정매핑!$A$5:$A$504,0)),"미매핑"))</f>
        <v/>
      </c>
      <c r="X1291" s="9">
        <f>IF($A1291="","",$F1291&amp;"")</f>
        <v/>
      </c>
      <c r="Y1291" s="94">
        <f>IF($A1291="",0,IF(AE1291="직접",IF(AF1291="비귀속",$P1291,0),$P1291*(1-AG1291)*IFERROR(INDEX(계정대체기준!$F$20:$F$49,MATCH($N1291,계정대체기준!$A$20:$A$49,0)),1)))</f>
        <v/>
      </c>
      <c r="Z1291" s="94">
        <f>IF($A1291="",0,IF(AE1291="직접",IF(AF1291="신계약비",$P1291,0),$P1291*(1-AG1291)*IFERROR(INDEX(계정대체기준!$C$20:$C$49,MATCH($N1291,계정대체기준!$A$20:$A$49,0)),0)))</f>
        <v/>
      </c>
      <c r="AA1291" s="94">
        <f>IF($A1291="",0,IF(AE1291="직접",IF(OR(AF1291="유지비",AF1291="손해조사비"),$P1291,0),$P1291*(1-AG1291)*IFERROR(INDEX(계정대체기준!$D$20:$D$49,MATCH($N1291,계정대체기준!$A$20:$A$49,0)),0)))</f>
        <v/>
      </c>
      <c r="AB1291" s="94">
        <f>IF($A1291="",0,IF(AE1291="직접",IF(AF1291="수금비",$P1291,0),$P1291*(1-AG1291)*IFERROR(INDEX(계정대체기준!$E$20:$E$49,MATCH($N1291,계정대체기준!$A$20:$A$49,0)),0)))</f>
        <v/>
      </c>
      <c r="AC1291" s="9">
        <f>IF(AND($A1291&lt;&gt;"",M1291=설정!$C$20,Z1291&gt;0),Z1291+ROW()/1000000000,"")</f>
        <v/>
      </c>
      <c r="AD1291" s="94">
        <f>IF($A1291="",0,$P1291*AG1291)</f>
        <v/>
      </c>
      <c r="AE1291" s="64">
        <f>IF($A1291="","",IFERROR(INDEX(계정매핑!$E$5:$E$504,MATCH($F1291&amp;"",계정매핑!$A$5:$A$504,0))&amp;"","공통비"))</f>
        <v/>
      </c>
      <c r="AF1291" s="64">
        <f>IF($A1291="","",IF(AE1291="직접",IFERROR(INDEX(계정매핑!$F$5:$F$504,MATCH($F1291&amp;"",계정매핑!$A$5:$A$504,0))&amp;"","비귀속"),""))</f>
        <v/>
      </c>
      <c r="AG1291" s="96">
        <f>IF($A1291="",0,IF(AND(AE1291&lt;&gt;"직접",IFERROR(INDEX(계정매핑!$G$5:$G$504,MATCH($F1291&amp;"",계정매핑!$A$5:$A$504,0))&amp;"","")="유지비",COUNTIF(계정대체기준!$A$6:$A$15,$N1291)&gt;0),IFERROR(INDEX(계정대체기준!$E$6:$E$15,MATCH(VALUE($A1291&amp;""),계정대체기준!$D$6:$D$15,0)),0),0))</f>
        <v/>
      </c>
      <c r="AH1291" s="64">
        <f>IF($A1291="","",IF(AD1291=0,"",IF(OR(COUNTIF(계정대체기준!$A$77:$A$86,$N1291)&gt;0,ISNUMBER(MATCH($X1291,계정대체기준!$D$77:$D$86,0)),ISNUMBER(MATCH($F1291,계정대체기준!$D$77:$D$86,0))),"Y","N")))</f>
        <v/>
      </c>
    </row>
    <row r="1292">
      <c r="A1292" s="92" t="n">
        <v>2025</v>
      </c>
      <c r="B1292" s="92" t="n">
        <v>6</v>
      </c>
      <c r="C1292" s="92" t="inlineStr">
        <is>
          <t>5100001288</t>
        </is>
      </c>
      <c r="D1292" s="95" t="n">
        <v>45828</v>
      </c>
      <c r="E1292" s="92" t="inlineStr">
        <is>
          <t>KR</t>
        </is>
      </c>
      <c r="F1292" s="92" t="n">
        <v>62101000</v>
      </c>
      <c r="G1292" s="92" t="n">
        <v>1301</v>
      </c>
      <c r="H1292" s="93" t="n">
        <v>191000</v>
      </c>
      <c r="I1292" s="92" t="inlineStr">
        <is>
          <t>6월 국내출장 - M항공</t>
        </is>
      </c>
      <c r="J1292" s="92" t="inlineStr">
        <is>
          <t>V10001</t>
        </is>
      </c>
      <c r="K1292" s="92" t="inlineStr">
        <is>
          <t>M항공</t>
        </is>
      </c>
      <c r="M1292" s="9">
        <f>IF($A1292="","",VALUE($A1292&amp;"")*12+VALUE($B1292&amp;""))</f>
        <v/>
      </c>
      <c r="N1292" s="64">
        <f>IF($A1292="","",IFERROR(INDEX(부서매핑!$C$5:$C$504,MATCH($G1292&amp;"",부서매핑!$A$5:$A$504,0)),"미매핑"))</f>
        <v/>
      </c>
      <c r="O1292" s="9">
        <f>IF($A1292="","",N1292&amp;"|"&amp;$F1292)</f>
        <v/>
      </c>
      <c r="P1292" s="94">
        <f>IF($A1292="",0,$H1292*설정!$C$23)</f>
        <v/>
      </c>
      <c r="Q1292" s="64">
        <f>IF($A1292="","",IF(O1292&lt;&gt;원인분석!$C$9,"",IF(AND(M1292&gt;=원인분석!$C$10,M1292&lt;=원인분석!$C$11),"당기",IF(AND(M1292&gt;=원인분석!$C$12,M1292&lt;=원인분석!$C$13),"비교",""))))</f>
        <v/>
      </c>
      <c r="R1292" s="9">
        <f>IF(Q1292="","",$K1292&amp;"")</f>
        <v/>
      </c>
      <c r="S1292" s="9">
        <f>IF(Q1292="","",IF(MATCH(R1292,$R$5:$R$100000,0)=ROW()-4,ROW(),""))</f>
        <v/>
      </c>
      <c r="T1292" s="9">
        <f>IF(Q1292="당기",ABS(P1292)+ROW()/1000000000,"")</f>
        <v/>
      </c>
      <c r="U1292" s="9">
        <f>IF(Q1292="비교",ABS(P1292)+ROW()/1000000000,"")</f>
        <v/>
      </c>
      <c r="V1292" s="64">
        <f>IF($A1292="","",IF(COUNTIF(변동분석!$E$7:$E$506,O1292)&gt;0,"Y","N"))</f>
        <v/>
      </c>
      <c r="W1292" s="64">
        <f>IF($A1292="","",IFERROR(INDEX(계정매핑!$D$5:$D$504,MATCH($F1292&amp;"",계정매핑!$A$5:$A$504,0)),"미매핑"))</f>
        <v/>
      </c>
      <c r="X1292" s="9">
        <f>IF($A1292="","",$F1292&amp;"")</f>
        <v/>
      </c>
      <c r="Y1292" s="94">
        <f>IF($A1292="",0,IF(AE1292="직접",IF(AF1292="비귀속",$P1292,0),$P1292*(1-AG1292)*IFERROR(INDEX(계정대체기준!$F$20:$F$49,MATCH($N1292,계정대체기준!$A$20:$A$49,0)),1)))</f>
        <v/>
      </c>
      <c r="Z1292" s="94">
        <f>IF($A1292="",0,IF(AE1292="직접",IF(AF1292="신계약비",$P1292,0),$P1292*(1-AG1292)*IFERROR(INDEX(계정대체기준!$C$20:$C$49,MATCH($N1292,계정대체기준!$A$20:$A$49,0)),0)))</f>
        <v/>
      </c>
      <c r="AA1292" s="94">
        <f>IF($A1292="",0,IF(AE1292="직접",IF(OR(AF1292="유지비",AF1292="손해조사비"),$P1292,0),$P1292*(1-AG1292)*IFERROR(INDEX(계정대체기준!$D$20:$D$49,MATCH($N1292,계정대체기준!$A$20:$A$49,0)),0)))</f>
        <v/>
      </c>
      <c r="AB1292" s="94">
        <f>IF($A1292="",0,IF(AE1292="직접",IF(AF1292="수금비",$P1292,0),$P1292*(1-AG1292)*IFERROR(INDEX(계정대체기준!$E$20:$E$49,MATCH($N1292,계정대체기준!$A$20:$A$49,0)),0)))</f>
        <v/>
      </c>
      <c r="AC1292" s="9">
        <f>IF(AND($A1292&lt;&gt;"",M1292=설정!$C$20,Z1292&gt;0),Z1292+ROW()/1000000000,"")</f>
        <v/>
      </c>
      <c r="AD1292" s="94">
        <f>IF($A1292="",0,$P1292*AG1292)</f>
        <v/>
      </c>
      <c r="AE1292" s="64">
        <f>IF($A1292="","",IFERROR(INDEX(계정매핑!$E$5:$E$504,MATCH($F1292&amp;"",계정매핑!$A$5:$A$504,0))&amp;"","공통비"))</f>
        <v/>
      </c>
      <c r="AF1292" s="64">
        <f>IF($A1292="","",IF(AE1292="직접",IFERROR(INDEX(계정매핑!$F$5:$F$504,MATCH($F1292&amp;"",계정매핑!$A$5:$A$504,0))&amp;"","비귀속"),""))</f>
        <v/>
      </c>
      <c r="AG1292" s="96">
        <f>IF($A1292="",0,IF(AND(AE1292&lt;&gt;"직접",IFERROR(INDEX(계정매핑!$G$5:$G$504,MATCH($F1292&amp;"",계정매핑!$A$5:$A$504,0))&amp;"","")="유지비",COUNTIF(계정대체기준!$A$6:$A$15,$N1292)&gt;0),IFERROR(INDEX(계정대체기준!$E$6:$E$15,MATCH(VALUE($A1292&amp;""),계정대체기준!$D$6:$D$15,0)),0),0))</f>
        <v/>
      </c>
      <c r="AH1292" s="64">
        <f>IF($A1292="","",IF(AD1292=0,"",IF(OR(COUNTIF(계정대체기준!$A$77:$A$86,$N1292)&gt;0,ISNUMBER(MATCH($X1292,계정대체기준!$D$77:$D$86,0)),ISNUMBER(MATCH($F1292,계정대체기준!$D$77:$D$86,0))),"Y","N")))</f>
        <v/>
      </c>
    </row>
    <row r="1293">
      <c r="A1293" s="92" t="n">
        <v>2025</v>
      </c>
      <c r="B1293" s="92" t="n">
        <v>6</v>
      </c>
      <c r="C1293" s="92" t="inlineStr">
        <is>
          <t>5100001289</t>
        </is>
      </c>
      <c r="D1293" s="95" t="n">
        <v>45828</v>
      </c>
      <c r="E1293" s="92" t="inlineStr">
        <is>
          <t>KR</t>
        </is>
      </c>
      <c r="F1293" s="92" t="n">
        <v>62101000</v>
      </c>
      <c r="G1293" s="92" t="n">
        <v>1801</v>
      </c>
      <c r="H1293" s="93" t="n">
        <v>172000</v>
      </c>
      <c r="I1293" s="92" t="inlineStr">
        <is>
          <t>6월 국내출장 - M항공</t>
        </is>
      </c>
      <c r="J1293" s="92" t="inlineStr">
        <is>
          <t>V10001</t>
        </is>
      </c>
      <c r="K1293" s="92" t="inlineStr">
        <is>
          <t>M항공</t>
        </is>
      </c>
      <c r="M1293" s="9">
        <f>IF($A1293="","",VALUE($A1293&amp;"")*12+VALUE($B1293&amp;""))</f>
        <v/>
      </c>
      <c r="N1293" s="64">
        <f>IF($A1293="","",IFERROR(INDEX(부서매핑!$C$5:$C$504,MATCH($G1293&amp;"",부서매핑!$A$5:$A$504,0)),"미매핑"))</f>
        <v/>
      </c>
      <c r="O1293" s="9">
        <f>IF($A1293="","",N1293&amp;"|"&amp;$F1293)</f>
        <v/>
      </c>
      <c r="P1293" s="94">
        <f>IF($A1293="",0,$H1293*설정!$C$23)</f>
        <v/>
      </c>
      <c r="Q1293" s="64">
        <f>IF($A1293="","",IF(O1293&lt;&gt;원인분석!$C$9,"",IF(AND(M1293&gt;=원인분석!$C$10,M1293&lt;=원인분석!$C$11),"당기",IF(AND(M1293&gt;=원인분석!$C$12,M1293&lt;=원인분석!$C$13),"비교",""))))</f>
        <v/>
      </c>
      <c r="R1293" s="9">
        <f>IF(Q1293="","",$K1293&amp;"")</f>
        <v/>
      </c>
      <c r="S1293" s="9">
        <f>IF(Q1293="","",IF(MATCH(R1293,$R$5:$R$100000,0)=ROW()-4,ROW(),""))</f>
        <v/>
      </c>
      <c r="T1293" s="9">
        <f>IF(Q1293="당기",ABS(P1293)+ROW()/1000000000,"")</f>
        <v/>
      </c>
      <c r="U1293" s="9">
        <f>IF(Q1293="비교",ABS(P1293)+ROW()/1000000000,"")</f>
        <v/>
      </c>
      <c r="V1293" s="64">
        <f>IF($A1293="","",IF(COUNTIF(변동분석!$E$7:$E$506,O1293)&gt;0,"Y","N"))</f>
        <v/>
      </c>
      <c r="W1293" s="64">
        <f>IF($A1293="","",IFERROR(INDEX(계정매핑!$D$5:$D$504,MATCH($F1293&amp;"",계정매핑!$A$5:$A$504,0)),"미매핑"))</f>
        <v/>
      </c>
      <c r="X1293" s="9">
        <f>IF($A1293="","",$F1293&amp;"")</f>
        <v/>
      </c>
      <c r="Y1293" s="94">
        <f>IF($A1293="",0,IF(AE1293="직접",IF(AF1293="비귀속",$P1293,0),$P1293*(1-AG1293)*IFERROR(INDEX(계정대체기준!$F$20:$F$49,MATCH($N1293,계정대체기준!$A$20:$A$49,0)),1)))</f>
        <v/>
      </c>
      <c r="Z1293" s="94">
        <f>IF($A1293="",0,IF(AE1293="직접",IF(AF1293="신계약비",$P1293,0),$P1293*(1-AG1293)*IFERROR(INDEX(계정대체기준!$C$20:$C$49,MATCH($N1293,계정대체기준!$A$20:$A$49,0)),0)))</f>
        <v/>
      </c>
      <c r="AA1293" s="94">
        <f>IF($A1293="",0,IF(AE1293="직접",IF(OR(AF1293="유지비",AF1293="손해조사비"),$P1293,0),$P1293*(1-AG1293)*IFERROR(INDEX(계정대체기준!$D$20:$D$49,MATCH($N1293,계정대체기준!$A$20:$A$49,0)),0)))</f>
        <v/>
      </c>
      <c r="AB1293" s="94">
        <f>IF($A1293="",0,IF(AE1293="직접",IF(AF1293="수금비",$P1293,0),$P1293*(1-AG1293)*IFERROR(INDEX(계정대체기준!$E$20:$E$49,MATCH($N1293,계정대체기준!$A$20:$A$49,0)),0)))</f>
        <v/>
      </c>
      <c r="AC1293" s="9">
        <f>IF(AND($A1293&lt;&gt;"",M1293=설정!$C$20,Z1293&gt;0),Z1293+ROW()/1000000000,"")</f>
        <v/>
      </c>
      <c r="AD1293" s="94">
        <f>IF($A1293="",0,$P1293*AG1293)</f>
        <v/>
      </c>
      <c r="AE1293" s="64">
        <f>IF($A1293="","",IFERROR(INDEX(계정매핑!$E$5:$E$504,MATCH($F1293&amp;"",계정매핑!$A$5:$A$504,0))&amp;"","공통비"))</f>
        <v/>
      </c>
      <c r="AF1293" s="64">
        <f>IF($A1293="","",IF(AE1293="직접",IFERROR(INDEX(계정매핑!$F$5:$F$504,MATCH($F1293&amp;"",계정매핑!$A$5:$A$504,0))&amp;"","비귀속"),""))</f>
        <v/>
      </c>
      <c r="AG1293" s="96">
        <f>IF($A1293="",0,IF(AND(AE1293&lt;&gt;"직접",IFERROR(INDEX(계정매핑!$G$5:$G$504,MATCH($F1293&amp;"",계정매핑!$A$5:$A$504,0))&amp;"","")="유지비",COUNTIF(계정대체기준!$A$6:$A$15,$N1293)&gt;0),IFERROR(INDEX(계정대체기준!$E$6:$E$15,MATCH(VALUE($A1293&amp;""),계정대체기준!$D$6:$D$15,0)),0),0))</f>
        <v/>
      </c>
      <c r="AH1293" s="64">
        <f>IF($A1293="","",IF(AD1293=0,"",IF(OR(COUNTIF(계정대체기준!$A$77:$A$86,$N1293)&gt;0,ISNUMBER(MATCH($X1293,계정대체기준!$D$77:$D$86,0)),ISNUMBER(MATCH($F1293,계정대체기준!$D$77:$D$86,0))),"Y","N")))</f>
        <v/>
      </c>
    </row>
    <row r="1294">
      <c r="A1294" s="92" t="n">
        <v>2025</v>
      </c>
      <c r="B1294" s="92" t="n">
        <v>6</v>
      </c>
      <c r="C1294" s="92" t="inlineStr">
        <is>
          <t>5100001290</t>
        </is>
      </c>
      <c r="D1294" s="95" t="n">
        <v>45828</v>
      </c>
      <c r="E1294" s="92" t="inlineStr">
        <is>
          <t>KR</t>
        </is>
      </c>
      <c r="F1294" s="92" t="n">
        <v>62201000</v>
      </c>
      <c r="G1294" s="92" t="n">
        <v>1401</v>
      </c>
      <c r="H1294" s="93" t="n">
        <v>117000</v>
      </c>
      <c r="I1294" s="92" t="inlineStr">
        <is>
          <t>6월 통신요금 - O텔레콤</t>
        </is>
      </c>
      <c r="J1294" s="92" t="inlineStr">
        <is>
          <t>V10002</t>
        </is>
      </c>
      <c r="K1294" s="92" t="inlineStr">
        <is>
          <t>O텔레콤</t>
        </is>
      </c>
      <c r="M1294" s="9">
        <f>IF($A1294="","",VALUE($A1294&amp;"")*12+VALUE($B1294&amp;""))</f>
        <v/>
      </c>
      <c r="N1294" s="64">
        <f>IF($A1294="","",IFERROR(INDEX(부서매핑!$C$5:$C$504,MATCH($G1294&amp;"",부서매핑!$A$5:$A$504,0)),"미매핑"))</f>
        <v/>
      </c>
      <c r="O1294" s="9">
        <f>IF($A1294="","",N1294&amp;"|"&amp;$F1294)</f>
        <v/>
      </c>
      <c r="P1294" s="94">
        <f>IF($A1294="",0,$H1294*설정!$C$23)</f>
        <v/>
      </c>
      <c r="Q1294" s="64">
        <f>IF($A1294="","",IF(O1294&lt;&gt;원인분석!$C$9,"",IF(AND(M1294&gt;=원인분석!$C$10,M1294&lt;=원인분석!$C$11),"당기",IF(AND(M1294&gt;=원인분석!$C$12,M1294&lt;=원인분석!$C$13),"비교",""))))</f>
        <v/>
      </c>
      <c r="R1294" s="9">
        <f>IF(Q1294="","",$K1294&amp;"")</f>
        <v/>
      </c>
      <c r="S1294" s="9">
        <f>IF(Q1294="","",IF(MATCH(R1294,$R$5:$R$100000,0)=ROW()-4,ROW(),""))</f>
        <v/>
      </c>
      <c r="T1294" s="9">
        <f>IF(Q1294="당기",ABS(P1294)+ROW()/1000000000,"")</f>
        <v/>
      </c>
      <c r="U1294" s="9">
        <f>IF(Q1294="비교",ABS(P1294)+ROW()/1000000000,"")</f>
        <v/>
      </c>
      <c r="V1294" s="64">
        <f>IF($A1294="","",IF(COUNTIF(변동분석!$E$7:$E$506,O1294)&gt;0,"Y","N"))</f>
        <v/>
      </c>
      <c r="W1294" s="64">
        <f>IF($A1294="","",IFERROR(INDEX(계정매핑!$D$5:$D$504,MATCH($F1294&amp;"",계정매핑!$A$5:$A$504,0)),"미매핑"))</f>
        <v/>
      </c>
      <c r="X1294" s="9">
        <f>IF($A1294="","",$F1294&amp;"")</f>
        <v/>
      </c>
      <c r="Y1294" s="94">
        <f>IF($A1294="",0,IF(AE1294="직접",IF(AF1294="비귀속",$P1294,0),$P1294*(1-AG1294)*IFERROR(INDEX(계정대체기준!$F$20:$F$49,MATCH($N1294,계정대체기준!$A$20:$A$49,0)),1)))</f>
        <v/>
      </c>
      <c r="Z1294" s="94">
        <f>IF($A1294="",0,IF(AE1294="직접",IF(AF1294="신계약비",$P1294,0),$P1294*(1-AG1294)*IFERROR(INDEX(계정대체기준!$C$20:$C$49,MATCH($N1294,계정대체기준!$A$20:$A$49,0)),0)))</f>
        <v/>
      </c>
      <c r="AA1294" s="94">
        <f>IF($A1294="",0,IF(AE1294="직접",IF(OR(AF1294="유지비",AF1294="손해조사비"),$P1294,0),$P1294*(1-AG1294)*IFERROR(INDEX(계정대체기준!$D$20:$D$49,MATCH($N1294,계정대체기준!$A$20:$A$49,0)),0)))</f>
        <v/>
      </c>
      <c r="AB1294" s="94">
        <f>IF($A1294="",0,IF(AE1294="직접",IF(AF1294="수금비",$P1294,0),$P1294*(1-AG1294)*IFERROR(INDEX(계정대체기준!$E$20:$E$49,MATCH($N1294,계정대체기준!$A$20:$A$49,0)),0)))</f>
        <v/>
      </c>
      <c r="AC1294" s="9">
        <f>IF(AND($A1294&lt;&gt;"",M1294=설정!$C$20,Z1294&gt;0),Z1294+ROW()/1000000000,"")</f>
        <v/>
      </c>
      <c r="AD1294" s="94">
        <f>IF($A1294="",0,$P1294*AG1294)</f>
        <v/>
      </c>
      <c r="AE1294" s="64">
        <f>IF($A1294="","",IFERROR(INDEX(계정매핑!$E$5:$E$504,MATCH($F1294&amp;"",계정매핑!$A$5:$A$504,0))&amp;"","공통비"))</f>
        <v/>
      </c>
      <c r="AF1294" s="64">
        <f>IF($A1294="","",IF(AE1294="직접",IFERROR(INDEX(계정매핑!$F$5:$F$504,MATCH($F1294&amp;"",계정매핑!$A$5:$A$504,0))&amp;"","비귀속"),""))</f>
        <v/>
      </c>
      <c r="AG1294" s="96">
        <f>IF($A1294="",0,IF(AND(AE1294&lt;&gt;"직접",IFERROR(INDEX(계정매핑!$G$5:$G$504,MATCH($F1294&amp;"",계정매핑!$A$5:$A$504,0))&amp;"","")="유지비",COUNTIF(계정대체기준!$A$6:$A$15,$N1294)&gt;0),IFERROR(INDEX(계정대체기준!$E$6:$E$15,MATCH(VALUE($A1294&amp;""),계정대체기준!$D$6:$D$15,0)),0),0))</f>
        <v/>
      </c>
      <c r="AH1294" s="64">
        <f>IF($A1294="","",IF(AD1294=0,"",IF(OR(COUNTIF(계정대체기준!$A$77:$A$86,$N1294)&gt;0,ISNUMBER(MATCH($X1294,계정대체기준!$D$77:$D$86,0)),ISNUMBER(MATCH($F1294,계정대체기준!$D$77:$D$86,0))),"Y","N")))</f>
        <v/>
      </c>
    </row>
    <row r="1295">
      <c r="A1295" s="92" t="n">
        <v>2025</v>
      </c>
      <c r="B1295" s="92" t="n">
        <v>6</v>
      </c>
      <c r="C1295" s="92" t="inlineStr">
        <is>
          <t>5100001291</t>
        </is>
      </c>
      <c r="D1295" s="95" t="n">
        <v>45828</v>
      </c>
      <c r="E1295" s="92" t="inlineStr">
        <is>
          <t>KR</t>
        </is>
      </c>
      <c r="F1295" s="92" t="n">
        <v>62201000</v>
      </c>
      <c r="G1295" s="92" t="n">
        <v>1801</v>
      </c>
      <c r="H1295" s="93" t="n">
        <v>4895000</v>
      </c>
      <c r="I1295" s="92" t="inlineStr">
        <is>
          <t>6월 통신요금 - P통신</t>
        </is>
      </c>
      <c r="J1295" s="92" t="inlineStr">
        <is>
          <t>V10014</t>
        </is>
      </c>
      <c r="K1295" s="92" t="inlineStr">
        <is>
          <t>P통신</t>
        </is>
      </c>
      <c r="M1295" s="9">
        <f>IF($A1295="","",VALUE($A1295&amp;"")*12+VALUE($B1295&amp;""))</f>
        <v/>
      </c>
      <c r="N1295" s="64">
        <f>IF($A1295="","",IFERROR(INDEX(부서매핑!$C$5:$C$504,MATCH($G1295&amp;"",부서매핑!$A$5:$A$504,0)),"미매핑"))</f>
        <v/>
      </c>
      <c r="O1295" s="9">
        <f>IF($A1295="","",N1295&amp;"|"&amp;$F1295)</f>
        <v/>
      </c>
      <c r="P1295" s="94">
        <f>IF($A1295="",0,$H1295*설정!$C$23)</f>
        <v/>
      </c>
      <c r="Q1295" s="64">
        <f>IF($A1295="","",IF(O1295&lt;&gt;원인분석!$C$9,"",IF(AND(M1295&gt;=원인분석!$C$10,M1295&lt;=원인분석!$C$11),"당기",IF(AND(M1295&gt;=원인분석!$C$12,M1295&lt;=원인분석!$C$13),"비교",""))))</f>
        <v/>
      </c>
      <c r="R1295" s="9">
        <f>IF(Q1295="","",$K1295&amp;"")</f>
        <v/>
      </c>
      <c r="S1295" s="9">
        <f>IF(Q1295="","",IF(MATCH(R1295,$R$5:$R$100000,0)=ROW()-4,ROW(),""))</f>
        <v/>
      </c>
      <c r="T1295" s="9">
        <f>IF(Q1295="당기",ABS(P1295)+ROW()/1000000000,"")</f>
        <v/>
      </c>
      <c r="U1295" s="9">
        <f>IF(Q1295="비교",ABS(P1295)+ROW()/1000000000,"")</f>
        <v/>
      </c>
      <c r="V1295" s="64">
        <f>IF($A1295="","",IF(COUNTIF(변동분석!$E$7:$E$506,O1295)&gt;0,"Y","N"))</f>
        <v/>
      </c>
      <c r="W1295" s="64">
        <f>IF($A1295="","",IFERROR(INDEX(계정매핑!$D$5:$D$504,MATCH($F1295&amp;"",계정매핑!$A$5:$A$504,0)),"미매핑"))</f>
        <v/>
      </c>
      <c r="X1295" s="9">
        <f>IF($A1295="","",$F1295&amp;"")</f>
        <v/>
      </c>
      <c r="Y1295" s="94">
        <f>IF($A1295="",0,IF(AE1295="직접",IF(AF1295="비귀속",$P1295,0),$P1295*(1-AG1295)*IFERROR(INDEX(계정대체기준!$F$20:$F$49,MATCH($N1295,계정대체기준!$A$20:$A$49,0)),1)))</f>
        <v/>
      </c>
      <c r="Z1295" s="94">
        <f>IF($A1295="",0,IF(AE1295="직접",IF(AF1295="신계약비",$P1295,0),$P1295*(1-AG1295)*IFERROR(INDEX(계정대체기준!$C$20:$C$49,MATCH($N1295,계정대체기준!$A$20:$A$49,0)),0)))</f>
        <v/>
      </c>
      <c r="AA1295" s="94">
        <f>IF($A1295="",0,IF(AE1295="직접",IF(OR(AF1295="유지비",AF1295="손해조사비"),$P1295,0),$P1295*(1-AG1295)*IFERROR(INDEX(계정대체기준!$D$20:$D$49,MATCH($N1295,계정대체기준!$A$20:$A$49,0)),0)))</f>
        <v/>
      </c>
      <c r="AB1295" s="94">
        <f>IF($A1295="",0,IF(AE1295="직접",IF(AF1295="수금비",$P1295,0),$P1295*(1-AG1295)*IFERROR(INDEX(계정대체기준!$E$20:$E$49,MATCH($N1295,계정대체기준!$A$20:$A$49,0)),0)))</f>
        <v/>
      </c>
      <c r="AC1295" s="9">
        <f>IF(AND($A1295&lt;&gt;"",M1295=설정!$C$20,Z1295&gt;0),Z1295+ROW()/1000000000,"")</f>
        <v/>
      </c>
      <c r="AD1295" s="94">
        <f>IF($A1295="",0,$P1295*AG1295)</f>
        <v/>
      </c>
      <c r="AE1295" s="64">
        <f>IF($A1295="","",IFERROR(INDEX(계정매핑!$E$5:$E$504,MATCH($F1295&amp;"",계정매핑!$A$5:$A$504,0))&amp;"","공통비"))</f>
        <v/>
      </c>
      <c r="AF1295" s="64">
        <f>IF($A1295="","",IF(AE1295="직접",IFERROR(INDEX(계정매핑!$F$5:$F$504,MATCH($F1295&amp;"",계정매핑!$A$5:$A$504,0))&amp;"","비귀속"),""))</f>
        <v/>
      </c>
      <c r="AG1295" s="96">
        <f>IF($A1295="",0,IF(AND(AE1295&lt;&gt;"직접",IFERROR(INDEX(계정매핑!$G$5:$G$504,MATCH($F1295&amp;"",계정매핑!$A$5:$A$504,0))&amp;"","")="유지비",COUNTIF(계정대체기준!$A$6:$A$15,$N1295)&gt;0),IFERROR(INDEX(계정대체기준!$E$6:$E$15,MATCH(VALUE($A1295&amp;""),계정대체기준!$D$6:$D$15,0)),0),0))</f>
        <v/>
      </c>
      <c r="AH1295" s="64">
        <f>IF($A1295="","",IF(AD1295=0,"",IF(OR(COUNTIF(계정대체기준!$A$77:$A$86,$N1295)&gt;0,ISNUMBER(MATCH($X1295,계정대체기준!$D$77:$D$86,0)),ISNUMBER(MATCH($F1295,계정대체기준!$D$77:$D$86,0))),"Y","N")))</f>
        <v/>
      </c>
    </row>
    <row r="1296">
      <c r="A1296" s="92" t="n">
        <v>2025</v>
      </c>
      <c r="B1296" s="92" t="n">
        <v>6</v>
      </c>
      <c r="C1296" s="92" t="inlineStr">
        <is>
          <t>5100001292</t>
        </is>
      </c>
      <c r="D1296" s="95" t="n">
        <v>45828</v>
      </c>
      <c r="E1296" s="92" t="inlineStr">
        <is>
          <t>KR</t>
        </is>
      </c>
      <c r="F1296" s="92" t="n">
        <v>62201000</v>
      </c>
      <c r="G1296" s="92" t="n">
        <v>1951</v>
      </c>
      <c r="H1296" s="93" t="n">
        <v>231000</v>
      </c>
      <c r="I1296" s="92" t="inlineStr">
        <is>
          <t>6월 통신요금 - P통신</t>
        </is>
      </c>
      <c r="J1296" s="92" t="inlineStr">
        <is>
          <t>V10014</t>
        </is>
      </c>
      <c r="K1296" s="92" t="inlineStr">
        <is>
          <t>P통신</t>
        </is>
      </c>
      <c r="M1296" s="9">
        <f>IF($A1296="","",VALUE($A1296&amp;"")*12+VALUE($B1296&amp;""))</f>
        <v/>
      </c>
      <c r="N1296" s="64">
        <f>IF($A1296="","",IFERROR(INDEX(부서매핑!$C$5:$C$504,MATCH($G1296&amp;"",부서매핑!$A$5:$A$504,0)),"미매핑"))</f>
        <v/>
      </c>
      <c r="O1296" s="9">
        <f>IF($A1296="","",N1296&amp;"|"&amp;$F1296)</f>
        <v/>
      </c>
      <c r="P1296" s="94">
        <f>IF($A1296="",0,$H1296*설정!$C$23)</f>
        <v/>
      </c>
      <c r="Q1296" s="64">
        <f>IF($A1296="","",IF(O1296&lt;&gt;원인분석!$C$9,"",IF(AND(M1296&gt;=원인분석!$C$10,M1296&lt;=원인분석!$C$11),"당기",IF(AND(M1296&gt;=원인분석!$C$12,M1296&lt;=원인분석!$C$13),"비교",""))))</f>
        <v/>
      </c>
      <c r="R1296" s="9">
        <f>IF(Q1296="","",$K1296&amp;"")</f>
        <v/>
      </c>
      <c r="S1296" s="9">
        <f>IF(Q1296="","",IF(MATCH(R1296,$R$5:$R$100000,0)=ROW()-4,ROW(),""))</f>
        <v/>
      </c>
      <c r="T1296" s="9">
        <f>IF(Q1296="당기",ABS(P1296)+ROW()/1000000000,"")</f>
        <v/>
      </c>
      <c r="U1296" s="9">
        <f>IF(Q1296="비교",ABS(P1296)+ROW()/1000000000,"")</f>
        <v/>
      </c>
      <c r="V1296" s="64">
        <f>IF($A1296="","",IF(COUNTIF(변동분석!$E$7:$E$506,O1296)&gt;0,"Y","N"))</f>
        <v/>
      </c>
      <c r="W1296" s="64">
        <f>IF($A1296="","",IFERROR(INDEX(계정매핑!$D$5:$D$504,MATCH($F1296&amp;"",계정매핑!$A$5:$A$504,0)),"미매핑"))</f>
        <v/>
      </c>
      <c r="X1296" s="9">
        <f>IF($A1296="","",$F1296&amp;"")</f>
        <v/>
      </c>
      <c r="Y1296" s="94">
        <f>IF($A1296="",0,IF(AE1296="직접",IF(AF1296="비귀속",$P1296,0),$P1296*(1-AG1296)*IFERROR(INDEX(계정대체기준!$F$20:$F$49,MATCH($N1296,계정대체기준!$A$20:$A$49,0)),1)))</f>
        <v/>
      </c>
      <c r="Z1296" s="94">
        <f>IF($A1296="",0,IF(AE1296="직접",IF(AF1296="신계약비",$P1296,0),$P1296*(1-AG1296)*IFERROR(INDEX(계정대체기준!$C$20:$C$49,MATCH($N1296,계정대체기준!$A$20:$A$49,0)),0)))</f>
        <v/>
      </c>
      <c r="AA1296" s="94">
        <f>IF($A1296="",0,IF(AE1296="직접",IF(OR(AF1296="유지비",AF1296="손해조사비"),$P1296,0),$P1296*(1-AG1296)*IFERROR(INDEX(계정대체기준!$D$20:$D$49,MATCH($N1296,계정대체기준!$A$20:$A$49,0)),0)))</f>
        <v/>
      </c>
      <c r="AB1296" s="94">
        <f>IF($A1296="",0,IF(AE1296="직접",IF(AF1296="수금비",$P1296,0),$P1296*(1-AG1296)*IFERROR(INDEX(계정대체기준!$E$20:$E$49,MATCH($N1296,계정대체기준!$A$20:$A$49,0)),0)))</f>
        <v/>
      </c>
      <c r="AC1296" s="9">
        <f>IF(AND($A1296&lt;&gt;"",M1296=설정!$C$20,Z1296&gt;0),Z1296+ROW()/1000000000,"")</f>
        <v/>
      </c>
      <c r="AD1296" s="94">
        <f>IF($A1296="",0,$P1296*AG1296)</f>
        <v/>
      </c>
      <c r="AE1296" s="64">
        <f>IF($A1296="","",IFERROR(INDEX(계정매핑!$E$5:$E$504,MATCH($F1296&amp;"",계정매핑!$A$5:$A$504,0))&amp;"","공통비"))</f>
        <v/>
      </c>
      <c r="AF1296" s="64">
        <f>IF($A1296="","",IF(AE1296="직접",IFERROR(INDEX(계정매핑!$F$5:$F$504,MATCH($F1296&amp;"",계정매핑!$A$5:$A$504,0))&amp;"","비귀속"),""))</f>
        <v/>
      </c>
      <c r="AG1296" s="96">
        <f>IF($A1296="",0,IF(AND(AE1296&lt;&gt;"직접",IFERROR(INDEX(계정매핑!$G$5:$G$504,MATCH($F1296&amp;"",계정매핑!$A$5:$A$504,0))&amp;"","")="유지비",COUNTIF(계정대체기준!$A$6:$A$15,$N1296)&gt;0),IFERROR(INDEX(계정대체기준!$E$6:$E$15,MATCH(VALUE($A1296&amp;""),계정대체기준!$D$6:$D$15,0)),0),0))</f>
        <v/>
      </c>
      <c r="AH1296" s="64">
        <f>IF($A1296="","",IF(AD1296=0,"",IF(OR(COUNTIF(계정대체기준!$A$77:$A$86,$N1296)&gt;0,ISNUMBER(MATCH($X1296,계정대체기준!$D$77:$D$86,0)),ISNUMBER(MATCH($F1296,계정대체기준!$D$77:$D$86,0))),"Y","N")))</f>
        <v/>
      </c>
    </row>
    <row r="1297">
      <c r="A1297" s="92" t="n">
        <v>2025</v>
      </c>
      <c r="B1297" s="92" t="n">
        <v>6</v>
      </c>
      <c r="C1297" s="92" t="inlineStr">
        <is>
          <t>5100001293</t>
        </is>
      </c>
      <c r="D1297" s="95" t="n">
        <v>45828</v>
      </c>
      <c r="E1297" s="92" t="inlineStr">
        <is>
          <t>KR</t>
        </is>
      </c>
      <c r="F1297" s="92" t="n">
        <v>62301000</v>
      </c>
      <c r="G1297" s="92" t="n">
        <v>1701</v>
      </c>
      <c r="H1297" s="93" t="n">
        <v>572000</v>
      </c>
      <c r="I1297" s="92" t="inlineStr">
        <is>
          <t>6월 소모품 구입 - R문구</t>
        </is>
      </c>
      <c r="J1297" s="92" t="inlineStr">
        <is>
          <t>V10022</t>
        </is>
      </c>
      <c r="K1297" s="92" t="inlineStr">
        <is>
          <t>R문구</t>
        </is>
      </c>
      <c r="M1297" s="9">
        <f>IF($A1297="","",VALUE($A1297&amp;"")*12+VALUE($B1297&amp;""))</f>
        <v/>
      </c>
      <c r="N1297" s="64">
        <f>IF($A1297="","",IFERROR(INDEX(부서매핑!$C$5:$C$504,MATCH($G1297&amp;"",부서매핑!$A$5:$A$504,0)),"미매핑"))</f>
        <v/>
      </c>
      <c r="O1297" s="9">
        <f>IF($A1297="","",N1297&amp;"|"&amp;$F1297)</f>
        <v/>
      </c>
      <c r="P1297" s="94">
        <f>IF($A1297="",0,$H1297*설정!$C$23)</f>
        <v/>
      </c>
      <c r="Q1297" s="64">
        <f>IF($A1297="","",IF(O1297&lt;&gt;원인분석!$C$9,"",IF(AND(M1297&gt;=원인분석!$C$10,M1297&lt;=원인분석!$C$11),"당기",IF(AND(M1297&gt;=원인분석!$C$12,M1297&lt;=원인분석!$C$13),"비교",""))))</f>
        <v/>
      </c>
      <c r="R1297" s="9">
        <f>IF(Q1297="","",$K1297&amp;"")</f>
        <v/>
      </c>
      <c r="S1297" s="9">
        <f>IF(Q1297="","",IF(MATCH(R1297,$R$5:$R$100000,0)=ROW()-4,ROW(),""))</f>
        <v/>
      </c>
      <c r="T1297" s="9">
        <f>IF(Q1297="당기",ABS(P1297)+ROW()/1000000000,"")</f>
        <v/>
      </c>
      <c r="U1297" s="9">
        <f>IF(Q1297="비교",ABS(P1297)+ROW()/1000000000,"")</f>
        <v/>
      </c>
      <c r="V1297" s="64">
        <f>IF($A1297="","",IF(COUNTIF(변동분석!$E$7:$E$506,O1297)&gt;0,"Y","N"))</f>
        <v/>
      </c>
      <c r="W1297" s="64">
        <f>IF($A1297="","",IFERROR(INDEX(계정매핑!$D$5:$D$504,MATCH($F1297&amp;"",계정매핑!$A$5:$A$504,0)),"미매핑"))</f>
        <v/>
      </c>
      <c r="X1297" s="9">
        <f>IF($A1297="","",$F1297&amp;"")</f>
        <v/>
      </c>
      <c r="Y1297" s="94">
        <f>IF($A1297="",0,IF(AE1297="직접",IF(AF1297="비귀속",$P1297,0),$P1297*(1-AG1297)*IFERROR(INDEX(계정대체기준!$F$20:$F$49,MATCH($N1297,계정대체기준!$A$20:$A$49,0)),1)))</f>
        <v/>
      </c>
      <c r="Z1297" s="94">
        <f>IF($A1297="",0,IF(AE1297="직접",IF(AF1297="신계약비",$P1297,0),$P1297*(1-AG1297)*IFERROR(INDEX(계정대체기준!$C$20:$C$49,MATCH($N1297,계정대체기준!$A$20:$A$49,0)),0)))</f>
        <v/>
      </c>
      <c r="AA1297" s="94">
        <f>IF($A1297="",0,IF(AE1297="직접",IF(OR(AF1297="유지비",AF1297="손해조사비"),$P1297,0),$P1297*(1-AG1297)*IFERROR(INDEX(계정대체기준!$D$20:$D$49,MATCH($N1297,계정대체기준!$A$20:$A$49,0)),0)))</f>
        <v/>
      </c>
      <c r="AB1297" s="94">
        <f>IF($A1297="",0,IF(AE1297="직접",IF(AF1297="수금비",$P1297,0),$P1297*(1-AG1297)*IFERROR(INDEX(계정대체기준!$E$20:$E$49,MATCH($N1297,계정대체기준!$A$20:$A$49,0)),0)))</f>
        <v/>
      </c>
      <c r="AC1297" s="9">
        <f>IF(AND($A1297&lt;&gt;"",M1297=설정!$C$20,Z1297&gt;0),Z1297+ROW()/1000000000,"")</f>
        <v/>
      </c>
      <c r="AD1297" s="94">
        <f>IF($A1297="",0,$P1297*AG1297)</f>
        <v/>
      </c>
      <c r="AE1297" s="64">
        <f>IF($A1297="","",IFERROR(INDEX(계정매핑!$E$5:$E$504,MATCH($F1297&amp;"",계정매핑!$A$5:$A$504,0))&amp;"","공통비"))</f>
        <v/>
      </c>
      <c r="AF1297" s="64">
        <f>IF($A1297="","",IF(AE1297="직접",IFERROR(INDEX(계정매핑!$F$5:$F$504,MATCH($F1297&amp;"",계정매핑!$A$5:$A$504,0))&amp;"","비귀속"),""))</f>
        <v/>
      </c>
      <c r="AG1297" s="96">
        <f>IF($A1297="",0,IF(AND(AE1297&lt;&gt;"직접",IFERROR(INDEX(계정매핑!$G$5:$G$504,MATCH($F1297&amp;"",계정매핑!$A$5:$A$504,0))&amp;"","")="유지비",COUNTIF(계정대체기준!$A$6:$A$15,$N1297)&gt;0),IFERROR(INDEX(계정대체기준!$E$6:$E$15,MATCH(VALUE($A1297&amp;""),계정대체기준!$D$6:$D$15,0)),0),0))</f>
        <v/>
      </c>
      <c r="AH1297" s="64">
        <f>IF($A1297="","",IF(AD1297=0,"",IF(OR(COUNTIF(계정대체기준!$A$77:$A$86,$N1297)&gt;0,ISNUMBER(MATCH($X1297,계정대체기준!$D$77:$D$86,0)),ISNUMBER(MATCH($F1297,계정대체기준!$D$77:$D$86,0))),"Y","N")))</f>
        <v/>
      </c>
    </row>
    <row r="1298">
      <c r="A1298" s="92" t="n">
        <v>2025</v>
      </c>
      <c r="B1298" s="92" t="n">
        <v>6</v>
      </c>
      <c r="C1298" s="92" t="inlineStr">
        <is>
          <t>5100001294</t>
        </is>
      </c>
      <c r="D1298" s="95" t="n">
        <v>45828</v>
      </c>
      <c r="E1298" s="92" t="inlineStr">
        <is>
          <t>KR</t>
        </is>
      </c>
      <c r="F1298" s="92" t="n">
        <v>62501000</v>
      </c>
      <c r="G1298" s="92" t="n">
        <v>1101</v>
      </c>
      <c r="H1298" s="93" t="n">
        <v>174000</v>
      </c>
      <c r="I1298" s="92" t="inlineStr">
        <is>
          <t>6월 회의 다과 - (법인카드)</t>
        </is>
      </c>
      <c r="J1298" s="92" t="inlineStr">
        <is>
          <t>V10010</t>
        </is>
      </c>
      <c r="K1298" s="92" t="inlineStr">
        <is>
          <t>(법인카드)</t>
        </is>
      </c>
      <c r="M1298" s="9">
        <f>IF($A1298="","",VALUE($A1298&amp;"")*12+VALUE($B1298&amp;""))</f>
        <v/>
      </c>
      <c r="N1298" s="64">
        <f>IF($A1298="","",IFERROR(INDEX(부서매핑!$C$5:$C$504,MATCH($G1298&amp;"",부서매핑!$A$5:$A$504,0)),"미매핑"))</f>
        <v/>
      </c>
      <c r="O1298" s="9">
        <f>IF($A1298="","",N1298&amp;"|"&amp;$F1298)</f>
        <v/>
      </c>
      <c r="P1298" s="94">
        <f>IF($A1298="",0,$H1298*설정!$C$23)</f>
        <v/>
      </c>
      <c r="Q1298" s="64">
        <f>IF($A1298="","",IF(O1298&lt;&gt;원인분석!$C$9,"",IF(AND(M1298&gt;=원인분석!$C$10,M1298&lt;=원인분석!$C$11),"당기",IF(AND(M1298&gt;=원인분석!$C$12,M1298&lt;=원인분석!$C$13),"비교",""))))</f>
        <v/>
      </c>
      <c r="R1298" s="9">
        <f>IF(Q1298="","",$K1298&amp;"")</f>
        <v/>
      </c>
      <c r="S1298" s="9">
        <f>IF(Q1298="","",IF(MATCH(R1298,$R$5:$R$100000,0)=ROW()-4,ROW(),""))</f>
        <v/>
      </c>
      <c r="T1298" s="9">
        <f>IF(Q1298="당기",ABS(P1298)+ROW()/1000000000,"")</f>
        <v/>
      </c>
      <c r="U1298" s="9">
        <f>IF(Q1298="비교",ABS(P1298)+ROW()/1000000000,"")</f>
        <v/>
      </c>
      <c r="V1298" s="64">
        <f>IF($A1298="","",IF(COUNTIF(변동분석!$E$7:$E$506,O1298)&gt;0,"Y","N"))</f>
        <v/>
      </c>
      <c r="W1298" s="64">
        <f>IF($A1298="","",IFERROR(INDEX(계정매핑!$D$5:$D$504,MATCH($F1298&amp;"",계정매핑!$A$5:$A$504,0)),"미매핑"))</f>
        <v/>
      </c>
      <c r="X1298" s="9">
        <f>IF($A1298="","",$F1298&amp;"")</f>
        <v/>
      </c>
      <c r="Y1298" s="94">
        <f>IF($A1298="",0,IF(AE1298="직접",IF(AF1298="비귀속",$P1298,0),$P1298*(1-AG1298)*IFERROR(INDEX(계정대체기준!$F$20:$F$49,MATCH($N1298,계정대체기준!$A$20:$A$49,0)),1)))</f>
        <v/>
      </c>
      <c r="Z1298" s="94">
        <f>IF($A1298="",0,IF(AE1298="직접",IF(AF1298="신계약비",$P1298,0),$P1298*(1-AG1298)*IFERROR(INDEX(계정대체기준!$C$20:$C$49,MATCH($N1298,계정대체기준!$A$20:$A$49,0)),0)))</f>
        <v/>
      </c>
      <c r="AA1298" s="94">
        <f>IF($A1298="",0,IF(AE1298="직접",IF(OR(AF1298="유지비",AF1298="손해조사비"),$P1298,0),$P1298*(1-AG1298)*IFERROR(INDEX(계정대체기준!$D$20:$D$49,MATCH($N1298,계정대체기준!$A$20:$A$49,0)),0)))</f>
        <v/>
      </c>
      <c r="AB1298" s="94">
        <f>IF($A1298="",0,IF(AE1298="직접",IF(AF1298="수금비",$P1298,0),$P1298*(1-AG1298)*IFERROR(INDEX(계정대체기준!$E$20:$E$49,MATCH($N1298,계정대체기준!$A$20:$A$49,0)),0)))</f>
        <v/>
      </c>
      <c r="AC1298" s="9">
        <f>IF(AND($A1298&lt;&gt;"",M1298=설정!$C$20,Z1298&gt;0),Z1298+ROW()/1000000000,"")</f>
        <v/>
      </c>
      <c r="AD1298" s="94">
        <f>IF($A1298="",0,$P1298*AG1298)</f>
        <v/>
      </c>
      <c r="AE1298" s="64">
        <f>IF($A1298="","",IFERROR(INDEX(계정매핑!$E$5:$E$504,MATCH($F1298&amp;"",계정매핑!$A$5:$A$504,0))&amp;"","공통비"))</f>
        <v/>
      </c>
      <c r="AF1298" s="64">
        <f>IF($A1298="","",IF(AE1298="직접",IFERROR(INDEX(계정매핑!$F$5:$F$504,MATCH($F1298&amp;"",계정매핑!$A$5:$A$504,0))&amp;"","비귀속"),""))</f>
        <v/>
      </c>
      <c r="AG1298" s="96">
        <f>IF($A1298="",0,IF(AND(AE1298&lt;&gt;"직접",IFERROR(INDEX(계정매핑!$G$5:$G$504,MATCH($F1298&amp;"",계정매핑!$A$5:$A$504,0))&amp;"","")="유지비",COUNTIF(계정대체기준!$A$6:$A$15,$N1298)&gt;0),IFERROR(INDEX(계정대체기준!$E$6:$E$15,MATCH(VALUE($A1298&amp;""),계정대체기준!$D$6:$D$15,0)),0),0))</f>
        <v/>
      </c>
      <c r="AH1298" s="64">
        <f>IF($A1298="","",IF(AD1298=0,"",IF(OR(COUNTIF(계정대체기준!$A$77:$A$86,$N1298)&gt;0,ISNUMBER(MATCH($X1298,계정대체기준!$D$77:$D$86,0)),ISNUMBER(MATCH($F1298,계정대체기준!$D$77:$D$86,0))),"Y","N")))</f>
        <v/>
      </c>
    </row>
    <row r="1299">
      <c r="A1299" s="92" t="n">
        <v>2025</v>
      </c>
      <c r="B1299" s="92" t="n">
        <v>6</v>
      </c>
      <c r="C1299" s="92" t="inlineStr">
        <is>
          <t>5100001295</t>
        </is>
      </c>
      <c r="D1299" s="95" t="n">
        <v>45828</v>
      </c>
      <c r="E1299" s="92" t="inlineStr">
        <is>
          <t>KR</t>
        </is>
      </c>
      <c r="F1299" s="92" t="n">
        <v>62501000</v>
      </c>
      <c r="G1299" s="92" t="n">
        <v>1301</v>
      </c>
      <c r="H1299" s="93" t="n">
        <v>191000</v>
      </c>
      <c r="I1299" s="92" t="inlineStr">
        <is>
          <t>6월 회의 다과 - T케이터링</t>
        </is>
      </c>
      <c r="J1299" s="92" t="inlineStr">
        <is>
          <t>V10005</t>
        </is>
      </c>
      <c r="K1299" s="92" t="inlineStr">
        <is>
          <t>T케이터링</t>
        </is>
      </c>
      <c r="M1299" s="9">
        <f>IF($A1299="","",VALUE($A1299&amp;"")*12+VALUE($B1299&amp;""))</f>
        <v/>
      </c>
      <c r="N1299" s="64">
        <f>IF($A1299="","",IFERROR(INDEX(부서매핑!$C$5:$C$504,MATCH($G1299&amp;"",부서매핑!$A$5:$A$504,0)),"미매핑"))</f>
        <v/>
      </c>
      <c r="O1299" s="9">
        <f>IF($A1299="","",N1299&amp;"|"&amp;$F1299)</f>
        <v/>
      </c>
      <c r="P1299" s="94">
        <f>IF($A1299="",0,$H1299*설정!$C$23)</f>
        <v/>
      </c>
      <c r="Q1299" s="64">
        <f>IF($A1299="","",IF(O1299&lt;&gt;원인분석!$C$9,"",IF(AND(M1299&gt;=원인분석!$C$10,M1299&lt;=원인분석!$C$11),"당기",IF(AND(M1299&gt;=원인분석!$C$12,M1299&lt;=원인분석!$C$13),"비교",""))))</f>
        <v/>
      </c>
      <c r="R1299" s="9">
        <f>IF(Q1299="","",$K1299&amp;"")</f>
        <v/>
      </c>
      <c r="S1299" s="9">
        <f>IF(Q1299="","",IF(MATCH(R1299,$R$5:$R$100000,0)=ROW()-4,ROW(),""))</f>
        <v/>
      </c>
      <c r="T1299" s="9">
        <f>IF(Q1299="당기",ABS(P1299)+ROW()/1000000000,"")</f>
        <v/>
      </c>
      <c r="U1299" s="9">
        <f>IF(Q1299="비교",ABS(P1299)+ROW()/1000000000,"")</f>
        <v/>
      </c>
      <c r="V1299" s="64">
        <f>IF($A1299="","",IF(COUNTIF(변동분석!$E$7:$E$506,O1299)&gt;0,"Y","N"))</f>
        <v/>
      </c>
      <c r="W1299" s="64">
        <f>IF($A1299="","",IFERROR(INDEX(계정매핑!$D$5:$D$504,MATCH($F1299&amp;"",계정매핑!$A$5:$A$504,0)),"미매핑"))</f>
        <v/>
      </c>
      <c r="X1299" s="9">
        <f>IF($A1299="","",$F1299&amp;"")</f>
        <v/>
      </c>
      <c r="Y1299" s="94">
        <f>IF($A1299="",0,IF(AE1299="직접",IF(AF1299="비귀속",$P1299,0),$P1299*(1-AG1299)*IFERROR(INDEX(계정대체기준!$F$20:$F$49,MATCH($N1299,계정대체기준!$A$20:$A$49,0)),1)))</f>
        <v/>
      </c>
      <c r="Z1299" s="94">
        <f>IF($A1299="",0,IF(AE1299="직접",IF(AF1299="신계약비",$P1299,0),$P1299*(1-AG1299)*IFERROR(INDEX(계정대체기준!$C$20:$C$49,MATCH($N1299,계정대체기준!$A$20:$A$49,0)),0)))</f>
        <v/>
      </c>
      <c r="AA1299" s="94">
        <f>IF($A1299="",0,IF(AE1299="직접",IF(OR(AF1299="유지비",AF1299="손해조사비"),$P1299,0),$P1299*(1-AG1299)*IFERROR(INDEX(계정대체기준!$D$20:$D$49,MATCH($N1299,계정대체기준!$A$20:$A$49,0)),0)))</f>
        <v/>
      </c>
      <c r="AB1299" s="94">
        <f>IF($A1299="",0,IF(AE1299="직접",IF(AF1299="수금비",$P1299,0),$P1299*(1-AG1299)*IFERROR(INDEX(계정대체기준!$E$20:$E$49,MATCH($N1299,계정대체기준!$A$20:$A$49,0)),0)))</f>
        <v/>
      </c>
      <c r="AC1299" s="9">
        <f>IF(AND($A1299&lt;&gt;"",M1299=설정!$C$20,Z1299&gt;0),Z1299+ROW()/1000000000,"")</f>
        <v/>
      </c>
      <c r="AD1299" s="94">
        <f>IF($A1299="",0,$P1299*AG1299)</f>
        <v/>
      </c>
      <c r="AE1299" s="64">
        <f>IF($A1299="","",IFERROR(INDEX(계정매핑!$E$5:$E$504,MATCH($F1299&amp;"",계정매핑!$A$5:$A$504,0))&amp;"","공통비"))</f>
        <v/>
      </c>
      <c r="AF1299" s="64">
        <f>IF($A1299="","",IF(AE1299="직접",IFERROR(INDEX(계정매핑!$F$5:$F$504,MATCH($F1299&amp;"",계정매핑!$A$5:$A$504,0))&amp;"","비귀속"),""))</f>
        <v/>
      </c>
      <c r="AG1299" s="96">
        <f>IF($A1299="",0,IF(AND(AE1299&lt;&gt;"직접",IFERROR(INDEX(계정매핑!$G$5:$G$504,MATCH($F1299&amp;"",계정매핑!$A$5:$A$504,0))&amp;"","")="유지비",COUNTIF(계정대체기준!$A$6:$A$15,$N1299)&gt;0),IFERROR(INDEX(계정대체기준!$E$6:$E$15,MATCH(VALUE($A1299&amp;""),계정대체기준!$D$6:$D$15,0)),0),0))</f>
        <v/>
      </c>
      <c r="AH1299" s="64">
        <f>IF($A1299="","",IF(AD1299=0,"",IF(OR(COUNTIF(계정대체기준!$A$77:$A$86,$N1299)&gt;0,ISNUMBER(MATCH($X1299,계정대체기준!$D$77:$D$86,0)),ISNUMBER(MATCH($F1299,계정대체기준!$D$77:$D$86,0))),"Y","N")))</f>
        <v/>
      </c>
    </row>
    <row r="1300">
      <c r="A1300" s="92" t="n">
        <v>2025</v>
      </c>
      <c r="B1300" s="92" t="n">
        <v>6</v>
      </c>
      <c r="C1300" s="92" t="inlineStr">
        <is>
          <t>5100001296</t>
        </is>
      </c>
      <c r="D1300" s="95" t="n">
        <v>45828</v>
      </c>
      <c r="E1300" s="92" t="inlineStr">
        <is>
          <t>KR</t>
        </is>
      </c>
      <c r="F1300" s="92" t="n">
        <v>62902000</v>
      </c>
      <c r="G1300" s="92" t="n">
        <v>1801</v>
      </c>
      <c r="H1300" s="93" t="n">
        <v>1806000</v>
      </c>
      <c r="I1300" s="92" t="inlineStr">
        <is>
          <t>6월 콜 위탁 수수료(건별)</t>
        </is>
      </c>
      <c r="J1300" s="92" t="inlineStr">
        <is>
          <t>V10016</t>
        </is>
      </c>
      <c r="K1300" s="92" t="inlineStr">
        <is>
          <t>J콜센터</t>
        </is>
      </c>
      <c r="M1300" s="9">
        <f>IF($A1300="","",VALUE($A1300&amp;"")*12+VALUE($B1300&amp;""))</f>
        <v/>
      </c>
      <c r="N1300" s="64">
        <f>IF($A1300="","",IFERROR(INDEX(부서매핑!$C$5:$C$504,MATCH($G1300&amp;"",부서매핑!$A$5:$A$504,0)),"미매핑"))</f>
        <v/>
      </c>
      <c r="O1300" s="9">
        <f>IF($A1300="","",N1300&amp;"|"&amp;$F1300)</f>
        <v/>
      </c>
      <c r="P1300" s="94">
        <f>IF($A1300="",0,$H1300*설정!$C$23)</f>
        <v/>
      </c>
      <c r="Q1300" s="64">
        <f>IF($A1300="","",IF(O1300&lt;&gt;원인분석!$C$9,"",IF(AND(M1300&gt;=원인분석!$C$10,M1300&lt;=원인분석!$C$11),"당기",IF(AND(M1300&gt;=원인분석!$C$12,M1300&lt;=원인분석!$C$13),"비교",""))))</f>
        <v/>
      </c>
      <c r="R1300" s="9">
        <f>IF(Q1300="","",$K1300&amp;"")</f>
        <v/>
      </c>
      <c r="S1300" s="9">
        <f>IF(Q1300="","",IF(MATCH(R1300,$R$5:$R$100000,0)=ROW()-4,ROW(),""))</f>
        <v/>
      </c>
      <c r="T1300" s="9">
        <f>IF(Q1300="당기",ABS(P1300)+ROW()/1000000000,"")</f>
        <v/>
      </c>
      <c r="U1300" s="9">
        <f>IF(Q1300="비교",ABS(P1300)+ROW()/1000000000,"")</f>
        <v/>
      </c>
      <c r="V1300" s="64">
        <f>IF($A1300="","",IF(COUNTIF(변동분석!$E$7:$E$506,O1300)&gt;0,"Y","N"))</f>
        <v/>
      </c>
      <c r="W1300" s="64">
        <f>IF($A1300="","",IFERROR(INDEX(계정매핑!$D$5:$D$504,MATCH($F1300&amp;"",계정매핑!$A$5:$A$504,0)),"미매핑"))</f>
        <v/>
      </c>
      <c r="X1300" s="9">
        <f>IF($A1300="","",$F1300&amp;"")</f>
        <v/>
      </c>
      <c r="Y1300" s="94">
        <f>IF($A1300="",0,IF(AE1300="직접",IF(AF1300="비귀속",$P1300,0),$P1300*(1-AG1300)*IFERROR(INDEX(계정대체기준!$F$20:$F$49,MATCH($N1300,계정대체기준!$A$20:$A$49,0)),1)))</f>
        <v/>
      </c>
      <c r="Z1300" s="94">
        <f>IF($A1300="",0,IF(AE1300="직접",IF(AF1300="신계약비",$P1300,0),$P1300*(1-AG1300)*IFERROR(INDEX(계정대체기준!$C$20:$C$49,MATCH($N1300,계정대체기준!$A$20:$A$49,0)),0)))</f>
        <v/>
      </c>
      <c r="AA1300" s="94">
        <f>IF($A1300="",0,IF(AE1300="직접",IF(OR(AF1300="유지비",AF1300="손해조사비"),$P1300,0),$P1300*(1-AG1300)*IFERROR(INDEX(계정대체기준!$D$20:$D$49,MATCH($N1300,계정대체기준!$A$20:$A$49,0)),0)))</f>
        <v/>
      </c>
      <c r="AB1300" s="94">
        <f>IF($A1300="",0,IF(AE1300="직접",IF(AF1300="수금비",$P1300,0),$P1300*(1-AG1300)*IFERROR(INDEX(계정대체기준!$E$20:$E$49,MATCH($N1300,계정대체기준!$A$20:$A$49,0)),0)))</f>
        <v/>
      </c>
      <c r="AC1300" s="9">
        <f>IF(AND($A1300&lt;&gt;"",M1300=설정!$C$20,Z1300&gt;0),Z1300+ROW()/1000000000,"")</f>
        <v/>
      </c>
      <c r="AD1300" s="94">
        <f>IF($A1300="",0,$P1300*AG1300)</f>
        <v/>
      </c>
      <c r="AE1300" s="64">
        <f>IF($A1300="","",IFERROR(INDEX(계정매핑!$E$5:$E$504,MATCH($F1300&amp;"",계정매핑!$A$5:$A$504,0))&amp;"","공통비"))</f>
        <v/>
      </c>
      <c r="AF1300" s="64">
        <f>IF($A1300="","",IF(AE1300="직접",IFERROR(INDEX(계정매핑!$F$5:$F$504,MATCH($F1300&amp;"",계정매핑!$A$5:$A$504,0))&amp;"","비귀속"),""))</f>
        <v/>
      </c>
      <c r="AG1300" s="96">
        <f>IF($A1300="",0,IF(AND(AE1300&lt;&gt;"직접",IFERROR(INDEX(계정매핑!$G$5:$G$504,MATCH($F1300&amp;"",계정매핑!$A$5:$A$504,0))&amp;"","")="유지비",COUNTIF(계정대체기준!$A$6:$A$15,$N1300)&gt;0),IFERROR(INDEX(계정대체기준!$E$6:$E$15,MATCH(VALUE($A1300&amp;""),계정대체기준!$D$6:$D$15,0)),0),0))</f>
        <v/>
      </c>
      <c r="AH1300" s="64">
        <f>IF($A1300="","",IF(AD1300=0,"",IF(OR(COUNTIF(계정대체기준!$A$77:$A$86,$N1300)&gt;0,ISNUMBER(MATCH($X1300,계정대체기준!$D$77:$D$86,0)),ISNUMBER(MATCH($F1300,계정대체기준!$D$77:$D$86,0))),"Y","N")))</f>
        <v/>
      </c>
    </row>
    <row r="1301">
      <c r="A1301" s="92" t="n">
        <v>2025</v>
      </c>
      <c r="B1301" s="92" t="n">
        <v>6</v>
      </c>
      <c r="C1301" s="92" t="inlineStr">
        <is>
          <t>5100001297</t>
        </is>
      </c>
      <c r="D1301" s="95" t="n">
        <v>45828</v>
      </c>
      <c r="E1301" s="92" t="inlineStr">
        <is>
          <t>KR</t>
        </is>
      </c>
      <c r="F1301" s="92" t="n">
        <v>63201000</v>
      </c>
      <c r="G1301" s="92" t="n">
        <v>1601</v>
      </c>
      <c r="H1301" s="93" t="n">
        <v>5728000</v>
      </c>
      <c r="I1301" s="92" t="inlineStr">
        <is>
          <t>6월 차량 유지 - D정비</t>
        </is>
      </c>
      <c r="J1301" s="92" t="inlineStr">
        <is>
          <t>V10025</t>
        </is>
      </c>
      <c r="K1301" s="92" t="inlineStr">
        <is>
          <t>D정비</t>
        </is>
      </c>
      <c r="M1301" s="9">
        <f>IF($A1301="","",VALUE($A1301&amp;"")*12+VALUE($B1301&amp;""))</f>
        <v/>
      </c>
      <c r="N1301" s="64">
        <f>IF($A1301="","",IFERROR(INDEX(부서매핑!$C$5:$C$504,MATCH($G1301&amp;"",부서매핑!$A$5:$A$504,0)),"미매핑"))</f>
        <v/>
      </c>
      <c r="O1301" s="9">
        <f>IF($A1301="","",N1301&amp;"|"&amp;$F1301)</f>
        <v/>
      </c>
      <c r="P1301" s="94">
        <f>IF($A1301="",0,$H1301*설정!$C$23)</f>
        <v/>
      </c>
      <c r="Q1301" s="64">
        <f>IF($A1301="","",IF(O1301&lt;&gt;원인분석!$C$9,"",IF(AND(M1301&gt;=원인분석!$C$10,M1301&lt;=원인분석!$C$11),"당기",IF(AND(M1301&gt;=원인분석!$C$12,M1301&lt;=원인분석!$C$13),"비교",""))))</f>
        <v/>
      </c>
      <c r="R1301" s="9">
        <f>IF(Q1301="","",$K1301&amp;"")</f>
        <v/>
      </c>
      <c r="S1301" s="9">
        <f>IF(Q1301="","",IF(MATCH(R1301,$R$5:$R$100000,0)=ROW()-4,ROW(),""))</f>
        <v/>
      </c>
      <c r="T1301" s="9">
        <f>IF(Q1301="당기",ABS(P1301)+ROW()/1000000000,"")</f>
        <v/>
      </c>
      <c r="U1301" s="9">
        <f>IF(Q1301="비교",ABS(P1301)+ROW()/1000000000,"")</f>
        <v/>
      </c>
      <c r="V1301" s="64">
        <f>IF($A1301="","",IF(COUNTIF(변동분석!$E$7:$E$506,O1301)&gt;0,"Y","N"))</f>
        <v/>
      </c>
      <c r="W1301" s="64">
        <f>IF($A1301="","",IFERROR(INDEX(계정매핑!$D$5:$D$504,MATCH($F1301&amp;"",계정매핑!$A$5:$A$504,0)),"미매핑"))</f>
        <v/>
      </c>
      <c r="X1301" s="9">
        <f>IF($A1301="","",$F1301&amp;"")</f>
        <v/>
      </c>
      <c r="Y1301" s="94">
        <f>IF($A1301="",0,IF(AE1301="직접",IF(AF1301="비귀속",$P1301,0),$P1301*(1-AG1301)*IFERROR(INDEX(계정대체기준!$F$20:$F$49,MATCH($N1301,계정대체기준!$A$20:$A$49,0)),1)))</f>
        <v/>
      </c>
      <c r="Z1301" s="94">
        <f>IF($A1301="",0,IF(AE1301="직접",IF(AF1301="신계약비",$P1301,0),$P1301*(1-AG1301)*IFERROR(INDEX(계정대체기준!$C$20:$C$49,MATCH($N1301,계정대체기준!$A$20:$A$49,0)),0)))</f>
        <v/>
      </c>
      <c r="AA1301" s="94">
        <f>IF($A1301="",0,IF(AE1301="직접",IF(OR(AF1301="유지비",AF1301="손해조사비"),$P1301,0),$P1301*(1-AG1301)*IFERROR(INDEX(계정대체기준!$D$20:$D$49,MATCH($N1301,계정대체기준!$A$20:$A$49,0)),0)))</f>
        <v/>
      </c>
      <c r="AB1301" s="94">
        <f>IF($A1301="",0,IF(AE1301="직접",IF(AF1301="수금비",$P1301,0),$P1301*(1-AG1301)*IFERROR(INDEX(계정대체기준!$E$20:$E$49,MATCH($N1301,계정대체기준!$A$20:$A$49,0)),0)))</f>
        <v/>
      </c>
      <c r="AC1301" s="9">
        <f>IF(AND($A1301&lt;&gt;"",M1301=설정!$C$20,Z1301&gt;0),Z1301+ROW()/1000000000,"")</f>
        <v/>
      </c>
      <c r="AD1301" s="94">
        <f>IF($A1301="",0,$P1301*AG1301)</f>
        <v/>
      </c>
      <c r="AE1301" s="64">
        <f>IF($A1301="","",IFERROR(INDEX(계정매핑!$E$5:$E$504,MATCH($F1301&amp;"",계정매핑!$A$5:$A$504,0))&amp;"","공통비"))</f>
        <v/>
      </c>
      <c r="AF1301" s="64">
        <f>IF($A1301="","",IF(AE1301="직접",IFERROR(INDEX(계정매핑!$F$5:$F$504,MATCH($F1301&amp;"",계정매핑!$A$5:$A$504,0))&amp;"","비귀속"),""))</f>
        <v/>
      </c>
      <c r="AG1301" s="96">
        <f>IF($A1301="",0,IF(AND(AE1301&lt;&gt;"직접",IFERROR(INDEX(계정매핑!$G$5:$G$504,MATCH($F1301&amp;"",계정매핑!$A$5:$A$504,0))&amp;"","")="유지비",COUNTIF(계정대체기준!$A$6:$A$15,$N1301)&gt;0),IFERROR(INDEX(계정대체기준!$E$6:$E$15,MATCH(VALUE($A1301&amp;""),계정대체기준!$D$6:$D$15,0)),0),0))</f>
        <v/>
      </c>
      <c r="AH1301" s="64">
        <f>IF($A1301="","",IF(AD1301=0,"",IF(OR(COUNTIF(계정대체기준!$A$77:$A$86,$N1301)&gt;0,ISNUMBER(MATCH($X1301,계정대체기준!$D$77:$D$86,0)),ISNUMBER(MATCH($F1301,계정대체기준!$D$77:$D$86,0))),"Y","N")))</f>
        <v/>
      </c>
    </row>
    <row r="1302">
      <c r="A1302" s="92" t="n">
        <v>2025</v>
      </c>
      <c r="B1302" s="92" t="n">
        <v>6</v>
      </c>
      <c r="C1302" s="92" t="inlineStr">
        <is>
          <t>5100001298</t>
        </is>
      </c>
      <c r="D1302" s="95" t="n">
        <v>45829</v>
      </c>
      <c r="E1302" s="92" t="inlineStr">
        <is>
          <t>KR</t>
        </is>
      </c>
      <c r="F1302" s="92" t="n">
        <v>62101000</v>
      </c>
      <c r="G1302" s="92" t="n">
        <v>1101</v>
      </c>
      <c r="H1302" s="93" t="n">
        <v>575000</v>
      </c>
      <c r="I1302" s="92" t="inlineStr">
        <is>
          <t>6월 국내출장 - (법인카드)</t>
        </is>
      </c>
      <c r="J1302" s="92" t="inlineStr">
        <is>
          <t>V10010</t>
        </is>
      </c>
      <c r="K1302" s="92" t="inlineStr">
        <is>
          <t>(법인카드)</t>
        </is>
      </c>
      <c r="M1302" s="9">
        <f>IF($A1302="","",VALUE($A1302&amp;"")*12+VALUE($B1302&amp;""))</f>
        <v/>
      </c>
      <c r="N1302" s="64">
        <f>IF($A1302="","",IFERROR(INDEX(부서매핑!$C$5:$C$504,MATCH($G1302&amp;"",부서매핑!$A$5:$A$504,0)),"미매핑"))</f>
        <v/>
      </c>
      <c r="O1302" s="9">
        <f>IF($A1302="","",N1302&amp;"|"&amp;$F1302)</f>
        <v/>
      </c>
      <c r="P1302" s="94">
        <f>IF($A1302="",0,$H1302*설정!$C$23)</f>
        <v/>
      </c>
      <c r="Q1302" s="64">
        <f>IF($A1302="","",IF(O1302&lt;&gt;원인분석!$C$9,"",IF(AND(M1302&gt;=원인분석!$C$10,M1302&lt;=원인분석!$C$11),"당기",IF(AND(M1302&gt;=원인분석!$C$12,M1302&lt;=원인분석!$C$13),"비교",""))))</f>
        <v/>
      </c>
      <c r="R1302" s="9">
        <f>IF(Q1302="","",$K1302&amp;"")</f>
        <v/>
      </c>
      <c r="S1302" s="9">
        <f>IF(Q1302="","",IF(MATCH(R1302,$R$5:$R$100000,0)=ROW()-4,ROW(),""))</f>
        <v/>
      </c>
      <c r="T1302" s="9">
        <f>IF(Q1302="당기",ABS(P1302)+ROW()/1000000000,"")</f>
        <v/>
      </c>
      <c r="U1302" s="9">
        <f>IF(Q1302="비교",ABS(P1302)+ROW()/1000000000,"")</f>
        <v/>
      </c>
      <c r="V1302" s="64">
        <f>IF($A1302="","",IF(COUNTIF(변동분석!$E$7:$E$506,O1302)&gt;0,"Y","N"))</f>
        <v/>
      </c>
      <c r="W1302" s="64">
        <f>IF($A1302="","",IFERROR(INDEX(계정매핑!$D$5:$D$504,MATCH($F1302&amp;"",계정매핑!$A$5:$A$504,0)),"미매핑"))</f>
        <v/>
      </c>
      <c r="X1302" s="9">
        <f>IF($A1302="","",$F1302&amp;"")</f>
        <v/>
      </c>
      <c r="Y1302" s="94">
        <f>IF($A1302="",0,IF(AE1302="직접",IF(AF1302="비귀속",$P1302,0),$P1302*(1-AG1302)*IFERROR(INDEX(계정대체기준!$F$20:$F$49,MATCH($N1302,계정대체기준!$A$20:$A$49,0)),1)))</f>
        <v/>
      </c>
      <c r="Z1302" s="94">
        <f>IF($A1302="",0,IF(AE1302="직접",IF(AF1302="신계약비",$P1302,0),$P1302*(1-AG1302)*IFERROR(INDEX(계정대체기준!$C$20:$C$49,MATCH($N1302,계정대체기준!$A$20:$A$49,0)),0)))</f>
        <v/>
      </c>
      <c r="AA1302" s="94">
        <f>IF($A1302="",0,IF(AE1302="직접",IF(OR(AF1302="유지비",AF1302="손해조사비"),$P1302,0),$P1302*(1-AG1302)*IFERROR(INDEX(계정대체기준!$D$20:$D$49,MATCH($N1302,계정대체기준!$A$20:$A$49,0)),0)))</f>
        <v/>
      </c>
      <c r="AB1302" s="94">
        <f>IF($A1302="",0,IF(AE1302="직접",IF(AF1302="수금비",$P1302,0),$P1302*(1-AG1302)*IFERROR(INDEX(계정대체기준!$E$20:$E$49,MATCH($N1302,계정대체기준!$A$20:$A$49,0)),0)))</f>
        <v/>
      </c>
      <c r="AC1302" s="9">
        <f>IF(AND($A1302&lt;&gt;"",M1302=설정!$C$20,Z1302&gt;0),Z1302+ROW()/1000000000,"")</f>
        <v/>
      </c>
      <c r="AD1302" s="94">
        <f>IF($A1302="",0,$P1302*AG1302)</f>
        <v/>
      </c>
      <c r="AE1302" s="64">
        <f>IF($A1302="","",IFERROR(INDEX(계정매핑!$E$5:$E$504,MATCH($F1302&amp;"",계정매핑!$A$5:$A$504,0))&amp;"","공통비"))</f>
        <v/>
      </c>
      <c r="AF1302" s="64">
        <f>IF($A1302="","",IF(AE1302="직접",IFERROR(INDEX(계정매핑!$F$5:$F$504,MATCH($F1302&amp;"",계정매핑!$A$5:$A$504,0))&amp;"","비귀속"),""))</f>
        <v/>
      </c>
      <c r="AG1302" s="96">
        <f>IF($A1302="",0,IF(AND(AE1302&lt;&gt;"직접",IFERROR(INDEX(계정매핑!$G$5:$G$504,MATCH($F1302&amp;"",계정매핑!$A$5:$A$504,0))&amp;"","")="유지비",COUNTIF(계정대체기준!$A$6:$A$15,$N1302)&gt;0),IFERROR(INDEX(계정대체기준!$E$6:$E$15,MATCH(VALUE($A1302&amp;""),계정대체기준!$D$6:$D$15,0)),0),0))</f>
        <v/>
      </c>
      <c r="AH1302" s="64">
        <f>IF($A1302="","",IF(AD1302=0,"",IF(OR(COUNTIF(계정대체기준!$A$77:$A$86,$N1302)&gt;0,ISNUMBER(MATCH($X1302,계정대체기준!$D$77:$D$86,0)),ISNUMBER(MATCH($F1302,계정대체기준!$D$77:$D$86,0))),"Y","N")))</f>
        <v/>
      </c>
    </row>
    <row r="1303">
      <c r="A1303" s="92" t="n">
        <v>2025</v>
      </c>
      <c r="B1303" s="92" t="n">
        <v>6</v>
      </c>
      <c r="C1303" s="92" t="inlineStr">
        <is>
          <t>5100001299</t>
        </is>
      </c>
      <c r="D1303" s="95" t="n">
        <v>45829</v>
      </c>
      <c r="E1303" s="92" t="inlineStr">
        <is>
          <t>KR</t>
        </is>
      </c>
      <c r="F1303" s="92" t="n">
        <v>62101000</v>
      </c>
      <c r="G1303" s="92" t="n">
        <v>1401</v>
      </c>
      <c r="H1303" s="93" t="n">
        <v>505000</v>
      </c>
      <c r="I1303" s="92" t="inlineStr">
        <is>
          <t>6월 국내출장 - (법인카드)</t>
        </is>
      </c>
      <c r="J1303" s="92" t="inlineStr">
        <is>
          <t>V10010</t>
        </is>
      </c>
      <c r="K1303" s="92" t="inlineStr">
        <is>
          <t>(법인카드)</t>
        </is>
      </c>
      <c r="M1303" s="9">
        <f>IF($A1303="","",VALUE($A1303&amp;"")*12+VALUE($B1303&amp;""))</f>
        <v/>
      </c>
      <c r="N1303" s="64">
        <f>IF($A1303="","",IFERROR(INDEX(부서매핑!$C$5:$C$504,MATCH($G1303&amp;"",부서매핑!$A$5:$A$504,0)),"미매핑"))</f>
        <v/>
      </c>
      <c r="O1303" s="9">
        <f>IF($A1303="","",N1303&amp;"|"&amp;$F1303)</f>
        <v/>
      </c>
      <c r="P1303" s="94">
        <f>IF($A1303="",0,$H1303*설정!$C$23)</f>
        <v/>
      </c>
      <c r="Q1303" s="64">
        <f>IF($A1303="","",IF(O1303&lt;&gt;원인분석!$C$9,"",IF(AND(M1303&gt;=원인분석!$C$10,M1303&lt;=원인분석!$C$11),"당기",IF(AND(M1303&gt;=원인분석!$C$12,M1303&lt;=원인분석!$C$13),"비교",""))))</f>
        <v/>
      </c>
      <c r="R1303" s="9">
        <f>IF(Q1303="","",$K1303&amp;"")</f>
        <v/>
      </c>
      <c r="S1303" s="9">
        <f>IF(Q1303="","",IF(MATCH(R1303,$R$5:$R$100000,0)=ROW()-4,ROW(),""))</f>
        <v/>
      </c>
      <c r="T1303" s="9">
        <f>IF(Q1303="당기",ABS(P1303)+ROW()/1000000000,"")</f>
        <v/>
      </c>
      <c r="U1303" s="9">
        <f>IF(Q1303="비교",ABS(P1303)+ROW()/1000000000,"")</f>
        <v/>
      </c>
      <c r="V1303" s="64">
        <f>IF($A1303="","",IF(COUNTIF(변동분석!$E$7:$E$506,O1303)&gt;0,"Y","N"))</f>
        <v/>
      </c>
      <c r="W1303" s="64">
        <f>IF($A1303="","",IFERROR(INDEX(계정매핑!$D$5:$D$504,MATCH($F1303&amp;"",계정매핑!$A$5:$A$504,0)),"미매핑"))</f>
        <v/>
      </c>
      <c r="X1303" s="9">
        <f>IF($A1303="","",$F1303&amp;"")</f>
        <v/>
      </c>
      <c r="Y1303" s="94">
        <f>IF($A1303="",0,IF(AE1303="직접",IF(AF1303="비귀속",$P1303,0),$P1303*(1-AG1303)*IFERROR(INDEX(계정대체기준!$F$20:$F$49,MATCH($N1303,계정대체기준!$A$20:$A$49,0)),1)))</f>
        <v/>
      </c>
      <c r="Z1303" s="94">
        <f>IF($A1303="",0,IF(AE1303="직접",IF(AF1303="신계약비",$P1303,0),$P1303*(1-AG1303)*IFERROR(INDEX(계정대체기준!$C$20:$C$49,MATCH($N1303,계정대체기준!$A$20:$A$49,0)),0)))</f>
        <v/>
      </c>
      <c r="AA1303" s="94">
        <f>IF($A1303="",0,IF(AE1303="직접",IF(OR(AF1303="유지비",AF1303="손해조사비"),$P1303,0),$P1303*(1-AG1303)*IFERROR(INDEX(계정대체기준!$D$20:$D$49,MATCH($N1303,계정대체기준!$A$20:$A$49,0)),0)))</f>
        <v/>
      </c>
      <c r="AB1303" s="94">
        <f>IF($A1303="",0,IF(AE1303="직접",IF(AF1303="수금비",$P1303,0),$P1303*(1-AG1303)*IFERROR(INDEX(계정대체기준!$E$20:$E$49,MATCH($N1303,계정대체기준!$A$20:$A$49,0)),0)))</f>
        <v/>
      </c>
      <c r="AC1303" s="9">
        <f>IF(AND($A1303&lt;&gt;"",M1303=설정!$C$20,Z1303&gt;0),Z1303+ROW()/1000000000,"")</f>
        <v/>
      </c>
      <c r="AD1303" s="94">
        <f>IF($A1303="",0,$P1303*AG1303)</f>
        <v/>
      </c>
      <c r="AE1303" s="64">
        <f>IF($A1303="","",IFERROR(INDEX(계정매핑!$E$5:$E$504,MATCH($F1303&amp;"",계정매핑!$A$5:$A$504,0))&amp;"","공통비"))</f>
        <v/>
      </c>
      <c r="AF1303" s="64">
        <f>IF($A1303="","",IF(AE1303="직접",IFERROR(INDEX(계정매핑!$F$5:$F$504,MATCH($F1303&amp;"",계정매핑!$A$5:$A$504,0))&amp;"","비귀속"),""))</f>
        <v/>
      </c>
      <c r="AG1303" s="96">
        <f>IF($A1303="",0,IF(AND(AE1303&lt;&gt;"직접",IFERROR(INDEX(계정매핑!$G$5:$G$504,MATCH($F1303&amp;"",계정매핑!$A$5:$A$504,0))&amp;"","")="유지비",COUNTIF(계정대체기준!$A$6:$A$15,$N1303)&gt;0),IFERROR(INDEX(계정대체기준!$E$6:$E$15,MATCH(VALUE($A1303&amp;""),계정대체기준!$D$6:$D$15,0)),0),0))</f>
        <v/>
      </c>
      <c r="AH1303" s="64">
        <f>IF($A1303="","",IF(AD1303=0,"",IF(OR(COUNTIF(계정대체기준!$A$77:$A$86,$N1303)&gt;0,ISNUMBER(MATCH($X1303,계정대체기준!$D$77:$D$86,0)),ISNUMBER(MATCH($F1303,계정대체기준!$D$77:$D$86,0))),"Y","N")))</f>
        <v/>
      </c>
    </row>
    <row r="1304">
      <c r="A1304" s="92" t="n">
        <v>2025</v>
      </c>
      <c r="B1304" s="92" t="n">
        <v>6</v>
      </c>
      <c r="C1304" s="92" t="inlineStr">
        <is>
          <t>5100001300</t>
        </is>
      </c>
      <c r="D1304" s="95" t="n">
        <v>45829</v>
      </c>
      <c r="E1304" s="92" t="inlineStr">
        <is>
          <t>KR</t>
        </is>
      </c>
      <c r="F1304" s="92" t="n">
        <v>62101000</v>
      </c>
      <c r="G1304" s="92" t="n">
        <v>1701</v>
      </c>
      <c r="H1304" s="93" t="n">
        <v>145000</v>
      </c>
      <c r="I1304" s="92" t="inlineStr">
        <is>
          <t>6월 국내출장 - (법인카드)</t>
        </is>
      </c>
      <c r="J1304" s="92" t="inlineStr">
        <is>
          <t>V10010</t>
        </is>
      </c>
      <c r="K1304" s="92" t="inlineStr">
        <is>
          <t>(법인카드)</t>
        </is>
      </c>
      <c r="M1304" s="9">
        <f>IF($A1304="","",VALUE($A1304&amp;"")*12+VALUE($B1304&amp;""))</f>
        <v/>
      </c>
      <c r="N1304" s="64">
        <f>IF($A1304="","",IFERROR(INDEX(부서매핑!$C$5:$C$504,MATCH($G1304&amp;"",부서매핑!$A$5:$A$504,0)),"미매핑"))</f>
        <v/>
      </c>
      <c r="O1304" s="9">
        <f>IF($A1304="","",N1304&amp;"|"&amp;$F1304)</f>
        <v/>
      </c>
      <c r="P1304" s="94">
        <f>IF($A1304="",0,$H1304*설정!$C$23)</f>
        <v/>
      </c>
      <c r="Q1304" s="64">
        <f>IF($A1304="","",IF(O1304&lt;&gt;원인분석!$C$9,"",IF(AND(M1304&gt;=원인분석!$C$10,M1304&lt;=원인분석!$C$11),"당기",IF(AND(M1304&gt;=원인분석!$C$12,M1304&lt;=원인분석!$C$13),"비교",""))))</f>
        <v/>
      </c>
      <c r="R1304" s="9">
        <f>IF(Q1304="","",$K1304&amp;"")</f>
        <v/>
      </c>
      <c r="S1304" s="9">
        <f>IF(Q1304="","",IF(MATCH(R1304,$R$5:$R$100000,0)=ROW()-4,ROW(),""))</f>
        <v/>
      </c>
      <c r="T1304" s="9">
        <f>IF(Q1304="당기",ABS(P1304)+ROW()/1000000000,"")</f>
        <v/>
      </c>
      <c r="U1304" s="9">
        <f>IF(Q1304="비교",ABS(P1304)+ROW()/1000000000,"")</f>
        <v/>
      </c>
      <c r="V1304" s="64">
        <f>IF($A1304="","",IF(COUNTIF(변동분석!$E$7:$E$506,O1304)&gt;0,"Y","N"))</f>
        <v/>
      </c>
      <c r="W1304" s="64">
        <f>IF($A1304="","",IFERROR(INDEX(계정매핑!$D$5:$D$504,MATCH($F1304&amp;"",계정매핑!$A$5:$A$504,0)),"미매핑"))</f>
        <v/>
      </c>
      <c r="X1304" s="9">
        <f>IF($A1304="","",$F1304&amp;"")</f>
        <v/>
      </c>
      <c r="Y1304" s="94">
        <f>IF($A1304="",0,IF(AE1304="직접",IF(AF1304="비귀속",$P1304,0),$P1304*(1-AG1304)*IFERROR(INDEX(계정대체기준!$F$20:$F$49,MATCH($N1304,계정대체기준!$A$20:$A$49,0)),1)))</f>
        <v/>
      </c>
      <c r="Z1304" s="94">
        <f>IF($A1304="",0,IF(AE1304="직접",IF(AF1304="신계약비",$P1304,0),$P1304*(1-AG1304)*IFERROR(INDEX(계정대체기준!$C$20:$C$49,MATCH($N1304,계정대체기준!$A$20:$A$49,0)),0)))</f>
        <v/>
      </c>
      <c r="AA1304" s="94">
        <f>IF($A1304="",0,IF(AE1304="직접",IF(OR(AF1304="유지비",AF1304="손해조사비"),$P1304,0),$P1304*(1-AG1304)*IFERROR(INDEX(계정대체기준!$D$20:$D$49,MATCH($N1304,계정대체기준!$A$20:$A$49,0)),0)))</f>
        <v/>
      </c>
      <c r="AB1304" s="94">
        <f>IF($A1304="",0,IF(AE1304="직접",IF(AF1304="수금비",$P1304,0),$P1304*(1-AG1304)*IFERROR(INDEX(계정대체기준!$E$20:$E$49,MATCH($N1304,계정대체기준!$A$20:$A$49,0)),0)))</f>
        <v/>
      </c>
      <c r="AC1304" s="9">
        <f>IF(AND($A1304&lt;&gt;"",M1304=설정!$C$20,Z1304&gt;0),Z1304+ROW()/1000000000,"")</f>
        <v/>
      </c>
      <c r="AD1304" s="94">
        <f>IF($A1304="",0,$P1304*AG1304)</f>
        <v/>
      </c>
      <c r="AE1304" s="64">
        <f>IF($A1304="","",IFERROR(INDEX(계정매핑!$E$5:$E$504,MATCH($F1304&amp;"",계정매핑!$A$5:$A$504,0))&amp;"","공통비"))</f>
        <v/>
      </c>
      <c r="AF1304" s="64">
        <f>IF($A1304="","",IF(AE1304="직접",IFERROR(INDEX(계정매핑!$F$5:$F$504,MATCH($F1304&amp;"",계정매핑!$A$5:$A$504,0))&amp;"","비귀속"),""))</f>
        <v/>
      </c>
      <c r="AG1304" s="96">
        <f>IF($A1304="",0,IF(AND(AE1304&lt;&gt;"직접",IFERROR(INDEX(계정매핑!$G$5:$G$504,MATCH($F1304&amp;"",계정매핑!$A$5:$A$504,0))&amp;"","")="유지비",COUNTIF(계정대체기준!$A$6:$A$15,$N1304)&gt;0),IFERROR(INDEX(계정대체기준!$E$6:$E$15,MATCH(VALUE($A1304&amp;""),계정대체기준!$D$6:$D$15,0)),0),0))</f>
        <v/>
      </c>
      <c r="AH1304" s="64">
        <f>IF($A1304="","",IF(AD1304=0,"",IF(OR(COUNTIF(계정대체기준!$A$77:$A$86,$N1304)&gt;0,ISNUMBER(MATCH($X1304,계정대체기준!$D$77:$D$86,0)),ISNUMBER(MATCH($F1304,계정대체기준!$D$77:$D$86,0))),"Y","N")))</f>
        <v/>
      </c>
    </row>
    <row r="1305">
      <c r="A1305" s="92" t="n">
        <v>2025</v>
      </c>
      <c r="B1305" s="92" t="n">
        <v>6</v>
      </c>
      <c r="C1305" s="92" t="inlineStr">
        <is>
          <t>5100001301</t>
        </is>
      </c>
      <c r="D1305" s="95" t="n">
        <v>45829</v>
      </c>
      <c r="E1305" s="92" t="inlineStr">
        <is>
          <t>KR</t>
        </is>
      </c>
      <c r="F1305" s="92" t="n">
        <v>62102000</v>
      </c>
      <c r="G1305" s="92" t="n">
        <v>1101</v>
      </c>
      <c r="H1305" s="93" t="n">
        <v>107000</v>
      </c>
      <c r="I1305" s="92" t="inlineStr">
        <is>
          <t>6월 해외출장 - M항공</t>
        </is>
      </c>
      <c r="J1305" s="92" t="inlineStr">
        <is>
          <t>V10001</t>
        </is>
      </c>
      <c r="K1305" s="92" t="inlineStr">
        <is>
          <t>M항공</t>
        </is>
      </c>
      <c r="M1305" s="9">
        <f>IF($A1305="","",VALUE($A1305&amp;"")*12+VALUE($B1305&amp;""))</f>
        <v/>
      </c>
      <c r="N1305" s="64">
        <f>IF($A1305="","",IFERROR(INDEX(부서매핑!$C$5:$C$504,MATCH($G1305&amp;"",부서매핑!$A$5:$A$504,0)),"미매핑"))</f>
        <v/>
      </c>
      <c r="O1305" s="9">
        <f>IF($A1305="","",N1305&amp;"|"&amp;$F1305)</f>
        <v/>
      </c>
      <c r="P1305" s="94">
        <f>IF($A1305="",0,$H1305*설정!$C$23)</f>
        <v/>
      </c>
      <c r="Q1305" s="64">
        <f>IF($A1305="","",IF(O1305&lt;&gt;원인분석!$C$9,"",IF(AND(M1305&gt;=원인분석!$C$10,M1305&lt;=원인분석!$C$11),"당기",IF(AND(M1305&gt;=원인분석!$C$12,M1305&lt;=원인분석!$C$13),"비교",""))))</f>
        <v/>
      </c>
      <c r="R1305" s="9">
        <f>IF(Q1305="","",$K1305&amp;"")</f>
        <v/>
      </c>
      <c r="S1305" s="9">
        <f>IF(Q1305="","",IF(MATCH(R1305,$R$5:$R$100000,0)=ROW()-4,ROW(),""))</f>
        <v/>
      </c>
      <c r="T1305" s="9">
        <f>IF(Q1305="당기",ABS(P1305)+ROW()/1000000000,"")</f>
        <v/>
      </c>
      <c r="U1305" s="9">
        <f>IF(Q1305="비교",ABS(P1305)+ROW()/1000000000,"")</f>
        <v/>
      </c>
      <c r="V1305" s="64">
        <f>IF($A1305="","",IF(COUNTIF(변동분석!$E$7:$E$506,O1305)&gt;0,"Y","N"))</f>
        <v/>
      </c>
      <c r="W1305" s="64">
        <f>IF($A1305="","",IFERROR(INDEX(계정매핑!$D$5:$D$504,MATCH($F1305&amp;"",계정매핑!$A$5:$A$504,0)),"미매핑"))</f>
        <v/>
      </c>
      <c r="X1305" s="9">
        <f>IF($A1305="","",$F1305&amp;"")</f>
        <v/>
      </c>
      <c r="Y1305" s="94">
        <f>IF($A1305="",0,IF(AE1305="직접",IF(AF1305="비귀속",$P1305,0),$P1305*(1-AG1305)*IFERROR(INDEX(계정대체기준!$F$20:$F$49,MATCH($N1305,계정대체기준!$A$20:$A$49,0)),1)))</f>
        <v/>
      </c>
      <c r="Z1305" s="94">
        <f>IF($A1305="",0,IF(AE1305="직접",IF(AF1305="신계약비",$P1305,0),$P1305*(1-AG1305)*IFERROR(INDEX(계정대체기준!$C$20:$C$49,MATCH($N1305,계정대체기준!$A$20:$A$49,0)),0)))</f>
        <v/>
      </c>
      <c r="AA1305" s="94">
        <f>IF($A1305="",0,IF(AE1305="직접",IF(OR(AF1305="유지비",AF1305="손해조사비"),$P1305,0),$P1305*(1-AG1305)*IFERROR(INDEX(계정대체기준!$D$20:$D$49,MATCH($N1305,계정대체기준!$A$20:$A$49,0)),0)))</f>
        <v/>
      </c>
      <c r="AB1305" s="94">
        <f>IF($A1305="",0,IF(AE1305="직접",IF(AF1305="수금비",$P1305,0),$P1305*(1-AG1305)*IFERROR(INDEX(계정대체기준!$E$20:$E$49,MATCH($N1305,계정대체기준!$A$20:$A$49,0)),0)))</f>
        <v/>
      </c>
      <c r="AC1305" s="9">
        <f>IF(AND($A1305&lt;&gt;"",M1305=설정!$C$20,Z1305&gt;0),Z1305+ROW()/1000000000,"")</f>
        <v/>
      </c>
      <c r="AD1305" s="94">
        <f>IF($A1305="",0,$P1305*AG1305)</f>
        <v/>
      </c>
      <c r="AE1305" s="64">
        <f>IF($A1305="","",IFERROR(INDEX(계정매핑!$E$5:$E$504,MATCH($F1305&amp;"",계정매핑!$A$5:$A$504,0))&amp;"","공통비"))</f>
        <v/>
      </c>
      <c r="AF1305" s="64">
        <f>IF($A1305="","",IF(AE1305="직접",IFERROR(INDEX(계정매핑!$F$5:$F$504,MATCH($F1305&amp;"",계정매핑!$A$5:$A$504,0))&amp;"","비귀속"),""))</f>
        <v/>
      </c>
      <c r="AG1305" s="96">
        <f>IF($A1305="",0,IF(AND(AE1305&lt;&gt;"직접",IFERROR(INDEX(계정매핑!$G$5:$G$504,MATCH($F1305&amp;"",계정매핑!$A$5:$A$504,0))&amp;"","")="유지비",COUNTIF(계정대체기준!$A$6:$A$15,$N1305)&gt;0),IFERROR(INDEX(계정대체기준!$E$6:$E$15,MATCH(VALUE($A1305&amp;""),계정대체기준!$D$6:$D$15,0)),0),0))</f>
        <v/>
      </c>
      <c r="AH1305" s="64">
        <f>IF($A1305="","",IF(AD1305=0,"",IF(OR(COUNTIF(계정대체기준!$A$77:$A$86,$N1305)&gt;0,ISNUMBER(MATCH($X1305,계정대체기준!$D$77:$D$86,0)),ISNUMBER(MATCH($F1305,계정대체기준!$D$77:$D$86,0))),"Y","N")))</f>
        <v/>
      </c>
    </row>
    <row r="1306">
      <c r="A1306" s="92" t="n">
        <v>2025</v>
      </c>
      <c r="B1306" s="92" t="n">
        <v>6</v>
      </c>
      <c r="C1306" s="92" t="inlineStr">
        <is>
          <t>5100001302</t>
        </is>
      </c>
      <c r="D1306" s="95" t="n">
        <v>45829</v>
      </c>
      <c r="E1306" s="92" t="inlineStr">
        <is>
          <t>KR</t>
        </is>
      </c>
      <c r="F1306" s="92" t="n">
        <v>62301000</v>
      </c>
      <c r="G1306" s="92" t="n">
        <v>1601</v>
      </c>
      <c r="H1306" s="93" t="n">
        <v>301000</v>
      </c>
      <c r="I1306" s="92" t="inlineStr">
        <is>
          <t>6월 소모품 구입 - R문구</t>
        </is>
      </c>
      <c r="J1306" s="92" t="inlineStr">
        <is>
          <t>V10022</t>
        </is>
      </c>
      <c r="K1306" s="92" t="inlineStr">
        <is>
          <t>R문구</t>
        </is>
      </c>
      <c r="M1306" s="9">
        <f>IF($A1306="","",VALUE($A1306&amp;"")*12+VALUE($B1306&amp;""))</f>
        <v/>
      </c>
      <c r="N1306" s="64">
        <f>IF($A1306="","",IFERROR(INDEX(부서매핑!$C$5:$C$504,MATCH($G1306&amp;"",부서매핑!$A$5:$A$504,0)),"미매핑"))</f>
        <v/>
      </c>
      <c r="O1306" s="9">
        <f>IF($A1306="","",N1306&amp;"|"&amp;$F1306)</f>
        <v/>
      </c>
      <c r="P1306" s="94">
        <f>IF($A1306="",0,$H1306*설정!$C$23)</f>
        <v/>
      </c>
      <c r="Q1306" s="64">
        <f>IF($A1306="","",IF(O1306&lt;&gt;원인분석!$C$9,"",IF(AND(M1306&gt;=원인분석!$C$10,M1306&lt;=원인분석!$C$11),"당기",IF(AND(M1306&gt;=원인분석!$C$12,M1306&lt;=원인분석!$C$13),"비교",""))))</f>
        <v/>
      </c>
      <c r="R1306" s="9">
        <f>IF(Q1306="","",$K1306&amp;"")</f>
        <v/>
      </c>
      <c r="S1306" s="9">
        <f>IF(Q1306="","",IF(MATCH(R1306,$R$5:$R$100000,0)=ROW()-4,ROW(),""))</f>
        <v/>
      </c>
      <c r="T1306" s="9">
        <f>IF(Q1306="당기",ABS(P1306)+ROW()/1000000000,"")</f>
        <v/>
      </c>
      <c r="U1306" s="9">
        <f>IF(Q1306="비교",ABS(P1306)+ROW()/1000000000,"")</f>
        <v/>
      </c>
      <c r="V1306" s="64">
        <f>IF($A1306="","",IF(COUNTIF(변동분석!$E$7:$E$506,O1306)&gt;0,"Y","N"))</f>
        <v/>
      </c>
      <c r="W1306" s="64">
        <f>IF($A1306="","",IFERROR(INDEX(계정매핑!$D$5:$D$504,MATCH($F1306&amp;"",계정매핑!$A$5:$A$504,0)),"미매핑"))</f>
        <v/>
      </c>
      <c r="X1306" s="9">
        <f>IF($A1306="","",$F1306&amp;"")</f>
        <v/>
      </c>
      <c r="Y1306" s="94">
        <f>IF($A1306="",0,IF(AE1306="직접",IF(AF1306="비귀속",$P1306,0),$P1306*(1-AG1306)*IFERROR(INDEX(계정대체기준!$F$20:$F$49,MATCH($N1306,계정대체기준!$A$20:$A$49,0)),1)))</f>
        <v/>
      </c>
      <c r="Z1306" s="94">
        <f>IF($A1306="",0,IF(AE1306="직접",IF(AF1306="신계약비",$P1306,0),$P1306*(1-AG1306)*IFERROR(INDEX(계정대체기준!$C$20:$C$49,MATCH($N1306,계정대체기준!$A$20:$A$49,0)),0)))</f>
        <v/>
      </c>
      <c r="AA1306" s="94">
        <f>IF($A1306="",0,IF(AE1306="직접",IF(OR(AF1306="유지비",AF1306="손해조사비"),$P1306,0),$P1306*(1-AG1306)*IFERROR(INDEX(계정대체기준!$D$20:$D$49,MATCH($N1306,계정대체기준!$A$20:$A$49,0)),0)))</f>
        <v/>
      </c>
      <c r="AB1306" s="94">
        <f>IF($A1306="",0,IF(AE1306="직접",IF(AF1306="수금비",$P1306,0),$P1306*(1-AG1306)*IFERROR(INDEX(계정대체기준!$E$20:$E$49,MATCH($N1306,계정대체기준!$A$20:$A$49,0)),0)))</f>
        <v/>
      </c>
      <c r="AC1306" s="9">
        <f>IF(AND($A1306&lt;&gt;"",M1306=설정!$C$20,Z1306&gt;0),Z1306+ROW()/1000000000,"")</f>
        <v/>
      </c>
      <c r="AD1306" s="94">
        <f>IF($A1306="",0,$P1306*AG1306)</f>
        <v/>
      </c>
      <c r="AE1306" s="64">
        <f>IF($A1306="","",IFERROR(INDEX(계정매핑!$E$5:$E$504,MATCH($F1306&amp;"",계정매핑!$A$5:$A$504,0))&amp;"","공통비"))</f>
        <v/>
      </c>
      <c r="AF1306" s="64">
        <f>IF($A1306="","",IF(AE1306="직접",IFERROR(INDEX(계정매핑!$F$5:$F$504,MATCH($F1306&amp;"",계정매핑!$A$5:$A$504,0))&amp;"","비귀속"),""))</f>
        <v/>
      </c>
      <c r="AG1306" s="96">
        <f>IF($A1306="",0,IF(AND(AE1306&lt;&gt;"직접",IFERROR(INDEX(계정매핑!$G$5:$G$504,MATCH($F1306&amp;"",계정매핑!$A$5:$A$504,0))&amp;"","")="유지비",COUNTIF(계정대체기준!$A$6:$A$15,$N1306)&gt;0),IFERROR(INDEX(계정대체기준!$E$6:$E$15,MATCH(VALUE($A1306&amp;""),계정대체기준!$D$6:$D$15,0)),0),0))</f>
        <v/>
      </c>
      <c r="AH1306" s="64">
        <f>IF($A1306="","",IF(AD1306=0,"",IF(OR(COUNTIF(계정대체기준!$A$77:$A$86,$N1306)&gt;0,ISNUMBER(MATCH($X1306,계정대체기준!$D$77:$D$86,0)),ISNUMBER(MATCH($F1306,계정대체기준!$D$77:$D$86,0))),"Y","N")))</f>
        <v/>
      </c>
    </row>
    <row r="1307">
      <c r="A1307" s="92" t="n">
        <v>2025</v>
      </c>
      <c r="B1307" s="92" t="n">
        <v>6</v>
      </c>
      <c r="C1307" s="92" t="inlineStr">
        <is>
          <t>5100001303</t>
        </is>
      </c>
      <c r="D1307" s="95" t="n">
        <v>45829</v>
      </c>
      <c r="E1307" s="92" t="inlineStr">
        <is>
          <t>KR</t>
        </is>
      </c>
      <c r="F1307" s="92" t="n">
        <v>62902000</v>
      </c>
      <c r="G1307" s="92" t="n">
        <v>1401</v>
      </c>
      <c r="H1307" s="93" t="n">
        <v>1290000</v>
      </c>
      <c r="I1307" s="92" t="inlineStr">
        <is>
          <t>6월 업무 위탁 수수료 - X서비스</t>
        </is>
      </c>
      <c r="J1307" s="92" t="inlineStr">
        <is>
          <t>V10020</t>
        </is>
      </c>
      <c r="K1307" s="92" t="inlineStr">
        <is>
          <t>X서비스</t>
        </is>
      </c>
      <c r="M1307" s="9">
        <f>IF($A1307="","",VALUE($A1307&amp;"")*12+VALUE($B1307&amp;""))</f>
        <v/>
      </c>
      <c r="N1307" s="64">
        <f>IF($A1307="","",IFERROR(INDEX(부서매핑!$C$5:$C$504,MATCH($G1307&amp;"",부서매핑!$A$5:$A$504,0)),"미매핑"))</f>
        <v/>
      </c>
      <c r="O1307" s="9">
        <f>IF($A1307="","",N1307&amp;"|"&amp;$F1307)</f>
        <v/>
      </c>
      <c r="P1307" s="94">
        <f>IF($A1307="",0,$H1307*설정!$C$23)</f>
        <v/>
      </c>
      <c r="Q1307" s="64">
        <f>IF($A1307="","",IF(O1307&lt;&gt;원인분석!$C$9,"",IF(AND(M1307&gt;=원인분석!$C$10,M1307&lt;=원인분석!$C$11),"당기",IF(AND(M1307&gt;=원인분석!$C$12,M1307&lt;=원인분석!$C$13),"비교",""))))</f>
        <v/>
      </c>
      <c r="R1307" s="9">
        <f>IF(Q1307="","",$K1307&amp;"")</f>
        <v/>
      </c>
      <c r="S1307" s="9">
        <f>IF(Q1307="","",IF(MATCH(R1307,$R$5:$R$100000,0)=ROW()-4,ROW(),""))</f>
        <v/>
      </c>
      <c r="T1307" s="9">
        <f>IF(Q1307="당기",ABS(P1307)+ROW()/1000000000,"")</f>
        <v/>
      </c>
      <c r="U1307" s="9">
        <f>IF(Q1307="비교",ABS(P1307)+ROW()/1000000000,"")</f>
        <v/>
      </c>
      <c r="V1307" s="64">
        <f>IF($A1307="","",IF(COUNTIF(변동분석!$E$7:$E$506,O1307)&gt;0,"Y","N"))</f>
        <v/>
      </c>
      <c r="W1307" s="64">
        <f>IF($A1307="","",IFERROR(INDEX(계정매핑!$D$5:$D$504,MATCH($F1307&amp;"",계정매핑!$A$5:$A$504,0)),"미매핑"))</f>
        <v/>
      </c>
      <c r="X1307" s="9">
        <f>IF($A1307="","",$F1307&amp;"")</f>
        <v/>
      </c>
      <c r="Y1307" s="94">
        <f>IF($A1307="",0,IF(AE1307="직접",IF(AF1307="비귀속",$P1307,0),$P1307*(1-AG1307)*IFERROR(INDEX(계정대체기준!$F$20:$F$49,MATCH($N1307,계정대체기준!$A$20:$A$49,0)),1)))</f>
        <v/>
      </c>
      <c r="Z1307" s="94">
        <f>IF($A1307="",0,IF(AE1307="직접",IF(AF1307="신계약비",$P1307,0),$P1307*(1-AG1307)*IFERROR(INDEX(계정대체기준!$C$20:$C$49,MATCH($N1307,계정대체기준!$A$20:$A$49,0)),0)))</f>
        <v/>
      </c>
      <c r="AA1307" s="94">
        <f>IF($A1307="",0,IF(AE1307="직접",IF(OR(AF1307="유지비",AF1307="손해조사비"),$P1307,0),$P1307*(1-AG1307)*IFERROR(INDEX(계정대체기준!$D$20:$D$49,MATCH($N1307,계정대체기준!$A$20:$A$49,0)),0)))</f>
        <v/>
      </c>
      <c r="AB1307" s="94">
        <f>IF($A1307="",0,IF(AE1307="직접",IF(AF1307="수금비",$P1307,0),$P1307*(1-AG1307)*IFERROR(INDEX(계정대체기준!$E$20:$E$49,MATCH($N1307,계정대체기준!$A$20:$A$49,0)),0)))</f>
        <v/>
      </c>
      <c r="AC1307" s="9">
        <f>IF(AND($A1307&lt;&gt;"",M1307=설정!$C$20,Z1307&gt;0),Z1307+ROW()/1000000000,"")</f>
        <v/>
      </c>
      <c r="AD1307" s="94">
        <f>IF($A1307="",0,$P1307*AG1307)</f>
        <v/>
      </c>
      <c r="AE1307" s="64">
        <f>IF($A1307="","",IFERROR(INDEX(계정매핑!$E$5:$E$504,MATCH($F1307&amp;"",계정매핑!$A$5:$A$504,0))&amp;"","공통비"))</f>
        <v/>
      </c>
      <c r="AF1307" s="64">
        <f>IF($A1307="","",IF(AE1307="직접",IFERROR(INDEX(계정매핑!$F$5:$F$504,MATCH($F1307&amp;"",계정매핑!$A$5:$A$504,0))&amp;"","비귀속"),""))</f>
        <v/>
      </c>
      <c r="AG1307" s="96">
        <f>IF($A1307="",0,IF(AND(AE1307&lt;&gt;"직접",IFERROR(INDEX(계정매핑!$G$5:$G$504,MATCH($F1307&amp;"",계정매핑!$A$5:$A$504,0))&amp;"","")="유지비",COUNTIF(계정대체기준!$A$6:$A$15,$N1307)&gt;0),IFERROR(INDEX(계정대체기준!$E$6:$E$15,MATCH(VALUE($A1307&amp;""),계정대체기준!$D$6:$D$15,0)),0),0))</f>
        <v/>
      </c>
      <c r="AH1307" s="64">
        <f>IF($A1307="","",IF(AD1307=0,"",IF(OR(COUNTIF(계정대체기준!$A$77:$A$86,$N1307)&gt;0,ISNUMBER(MATCH($X1307,계정대체기준!$D$77:$D$86,0)),ISNUMBER(MATCH($F1307,계정대체기준!$D$77:$D$86,0))),"Y","N")))</f>
        <v/>
      </c>
    </row>
    <row r="1308">
      <c r="A1308" s="92" t="n">
        <v>2025</v>
      </c>
      <c r="B1308" s="92" t="n">
        <v>6</v>
      </c>
      <c r="C1308" s="92" t="inlineStr">
        <is>
          <t>5100001304</t>
        </is>
      </c>
      <c r="D1308" s="95" t="n">
        <v>45829</v>
      </c>
      <c r="E1308" s="92" t="inlineStr">
        <is>
          <t>KR</t>
        </is>
      </c>
      <c r="F1308" s="92" t="n">
        <v>62902000</v>
      </c>
      <c r="G1308" s="92" t="n">
        <v>1951</v>
      </c>
      <c r="H1308" s="93" t="n">
        <v>1659000</v>
      </c>
      <c r="I1308" s="92" t="inlineStr">
        <is>
          <t>6월 업무 위탁 수수료 - J콜센터</t>
        </is>
      </c>
      <c r="J1308" s="92" t="inlineStr">
        <is>
          <t>V10016</t>
        </is>
      </c>
      <c r="K1308" s="92" t="inlineStr">
        <is>
          <t>J콜센터</t>
        </is>
      </c>
      <c r="M1308" s="9">
        <f>IF($A1308="","",VALUE($A1308&amp;"")*12+VALUE($B1308&amp;""))</f>
        <v/>
      </c>
      <c r="N1308" s="64">
        <f>IF($A1308="","",IFERROR(INDEX(부서매핑!$C$5:$C$504,MATCH($G1308&amp;"",부서매핑!$A$5:$A$504,0)),"미매핑"))</f>
        <v/>
      </c>
      <c r="O1308" s="9">
        <f>IF($A1308="","",N1308&amp;"|"&amp;$F1308)</f>
        <v/>
      </c>
      <c r="P1308" s="94">
        <f>IF($A1308="",0,$H1308*설정!$C$23)</f>
        <v/>
      </c>
      <c r="Q1308" s="64">
        <f>IF($A1308="","",IF(O1308&lt;&gt;원인분석!$C$9,"",IF(AND(M1308&gt;=원인분석!$C$10,M1308&lt;=원인분석!$C$11),"당기",IF(AND(M1308&gt;=원인분석!$C$12,M1308&lt;=원인분석!$C$13),"비교",""))))</f>
        <v/>
      </c>
      <c r="R1308" s="9">
        <f>IF(Q1308="","",$K1308&amp;"")</f>
        <v/>
      </c>
      <c r="S1308" s="9">
        <f>IF(Q1308="","",IF(MATCH(R1308,$R$5:$R$100000,0)=ROW()-4,ROW(),""))</f>
        <v/>
      </c>
      <c r="T1308" s="9">
        <f>IF(Q1308="당기",ABS(P1308)+ROW()/1000000000,"")</f>
        <v/>
      </c>
      <c r="U1308" s="9">
        <f>IF(Q1308="비교",ABS(P1308)+ROW()/1000000000,"")</f>
        <v/>
      </c>
      <c r="V1308" s="64">
        <f>IF($A1308="","",IF(COUNTIF(변동분석!$E$7:$E$506,O1308)&gt;0,"Y","N"))</f>
        <v/>
      </c>
      <c r="W1308" s="64">
        <f>IF($A1308="","",IFERROR(INDEX(계정매핑!$D$5:$D$504,MATCH($F1308&amp;"",계정매핑!$A$5:$A$504,0)),"미매핑"))</f>
        <v/>
      </c>
      <c r="X1308" s="9">
        <f>IF($A1308="","",$F1308&amp;"")</f>
        <v/>
      </c>
      <c r="Y1308" s="94">
        <f>IF($A1308="",0,IF(AE1308="직접",IF(AF1308="비귀속",$P1308,0),$P1308*(1-AG1308)*IFERROR(INDEX(계정대체기준!$F$20:$F$49,MATCH($N1308,계정대체기준!$A$20:$A$49,0)),1)))</f>
        <v/>
      </c>
      <c r="Z1308" s="94">
        <f>IF($A1308="",0,IF(AE1308="직접",IF(AF1308="신계약비",$P1308,0),$P1308*(1-AG1308)*IFERROR(INDEX(계정대체기준!$C$20:$C$49,MATCH($N1308,계정대체기준!$A$20:$A$49,0)),0)))</f>
        <v/>
      </c>
      <c r="AA1308" s="94">
        <f>IF($A1308="",0,IF(AE1308="직접",IF(OR(AF1308="유지비",AF1308="손해조사비"),$P1308,0),$P1308*(1-AG1308)*IFERROR(INDEX(계정대체기준!$D$20:$D$49,MATCH($N1308,계정대체기준!$A$20:$A$49,0)),0)))</f>
        <v/>
      </c>
      <c r="AB1308" s="94">
        <f>IF($A1308="",0,IF(AE1308="직접",IF(AF1308="수금비",$P1308,0),$P1308*(1-AG1308)*IFERROR(INDEX(계정대체기준!$E$20:$E$49,MATCH($N1308,계정대체기준!$A$20:$A$49,0)),0)))</f>
        <v/>
      </c>
      <c r="AC1308" s="9">
        <f>IF(AND($A1308&lt;&gt;"",M1308=설정!$C$20,Z1308&gt;0),Z1308+ROW()/1000000000,"")</f>
        <v/>
      </c>
      <c r="AD1308" s="94">
        <f>IF($A1308="",0,$P1308*AG1308)</f>
        <v/>
      </c>
      <c r="AE1308" s="64">
        <f>IF($A1308="","",IFERROR(INDEX(계정매핑!$E$5:$E$504,MATCH($F1308&amp;"",계정매핑!$A$5:$A$504,0))&amp;"","공통비"))</f>
        <v/>
      </c>
      <c r="AF1308" s="64">
        <f>IF($A1308="","",IF(AE1308="직접",IFERROR(INDEX(계정매핑!$F$5:$F$504,MATCH($F1308&amp;"",계정매핑!$A$5:$A$504,0))&amp;"","비귀속"),""))</f>
        <v/>
      </c>
      <c r="AG1308" s="96">
        <f>IF($A1308="",0,IF(AND(AE1308&lt;&gt;"직접",IFERROR(INDEX(계정매핑!$G$5:$G$504,MATCH($F1308&amp;"",계정매핑!$A$5:$A$504,0))&amp;"","")="유지비",COUNTIF(계정대체기준!$A$6:$A$15,$N1308)&gt;0),IFERROR(INDEX(계정대체기준!$E$6:$E$15,MATCH(VALUE($A1308&amp;""),계정대체기준!$D$6:$D$15,0)),0),0))</f>
        <v/>
      </c>
      <c r="AH1308" s="64">
        <f>IF($A1308="","",IF(AD1308=0,"",IF(OR(COUNTIF(계정대체기준!$A$77:$A$86,$N1308)&gt;0,ISNUMBER(MATCH($X1308,계정대체기준!$D$77:$D$86,0)),ISNUMBER(MATCH($F1308,계정대체기준!$D$77:$D$86,0))),"Y","N")))</f>
        <v/>
      </c>
    </row>
    <row r="1309">
      <c r="A1309" s="92" t="n">
        <v>2025</v>
      </c>
      <c r="B1309" s="92" t="n">
        <v>6</v>
      </c>
      <c r="C1309" s="92" t="inlineStr">
        <is>
          <t>5100001305</t>
        </is>
      </c>
      <c r="D1309" s="95" t="n">
        <v>45829</v>
      </c>
      <c r="E1309" s="92" t="inlineStr">
        <is>
          <t>KR</t>
        </is>
      </c>
      <c r="F1309" s="92" t="n">
        <v>63601000</v>
      </c>
      <c r="G1309" s="92" t="n">
        <v>1801</v>
      </c>
      <c r="H1309" s="93" t="n">
        <v>11965000</v>
      </c>
      <c r="I1309" s="92" t="inlineStr">
        <is>
          <t>6월 손해사정 수수료 - EE손해사정</t>
        </is>
      </c>
      <c r="J1309" s="92" t="inlineStr">
        <is>
          <t>V10008</t>
        </is>
      </c>
      <c r="K1309" s="92" t="inlineStr">
        <is>
          <t>EE손해사정</t>
        </is>
      </c>
      <c r="M1309" s="9">
        <f>IF($A1309="","",VALUE($A1309&amp;"")*12+VALUE($B1309&amp;""))</f>
        <v/>
      </c>
      <c r="N1309" s="64">
        <f>IF($A1309="","",IFERROR(INDEX(부서매핑!$C$5:$C$504,MATCH($G1309&amp;"",부서매핑!$A$5:$A$504,0)),"미매핑"))</f>
        <v/>
      </c>
      <c r="O1309" s="9">
        <f>IF($A1309="","",N1309&amp;"|"&amp;$F1309)</f>
        <v/>
      </c>
      <c r="P1309" s="94">
        <f>IF($A1309="",0,$H1309*설정!$C$23)</f>
        <v/>
      </c>
      <c r="Q1309" s="64">
        <f>IF($A1309="","",IF(O1309&lt;&gt;원인분석!$C$9,"",IF(AND(M1309&gt;=원인분석!$C$10,M1309&lt;=원인분석!$C$11),"당기",IF(AND(M1309&gt;=원인분석!$C$12,M1309&lt;=원인분석!$C$13),"비교",""))))</f>
        <v/>
      </c>
      <c r="R1309" s="9">
        <f>IF(Q1309="","",$K1309&amp;"")</f>
        <v/>
      </c>
      <c r="S1309" s="9">
        <f>IF(Q1309="","",IF(MATCH(R1309,$R$5:$R$100000,0)=ROW()-4,ROW(),""))</f>
        <v/>
      </c>
      <c r="T1309" s="9">
        <f>IF(Q1309="당기",ABS(P1309)+ROW()/1000000000,"")</f>
        <v/>
      </c>
      <c r="U1309" s="9">
        <f>IF(Q1309="비교",ABS(P1309)+ROW()/1000000000,"")</f>
        <v/>
      </c>
      <c r="V1309" s="64">
        <f>IF($A1309="","",IF(COUNTIF(변동분석!$E$7:$E$506,O1309)&gt;0,"Y","N"))</f>
        <v/>
      </c>
      <c r="W1309" s="64">
        <f>IF($A1309="","",IFERROR(INDEX(계정매핑!$D$5:$D$504,MATCH($F1309&amp;"",계정매핑!$A$5:$A$504,0)),"미매핑"))</f>
        <v/>
      </c>
      <c r="X1309" s="9">
        <f>IF($A1309="","",$F1309&amp;"")</f>
        <v/>
      </c>
      <c r="Y1309" s="94">
        <f>IF($A1309="",0,IF(AE1309="직접",IF(AF1309="비귀속",$P1309,0),$P1309*(1-AG1309)*IFERROR(INDEX(계정대체기준!$F$20:$F$49,MATCH($N1309,계정대체기준!$A$20:$A$49,0)),1)))</f>
        <v/>
      </c>
      <c r="Z1309" s="94">
        <f>IF($A1309="",0,IF(AE1309="직접",IF(AF1309="신계약비",$P1309,0),$P1309*(1-AG1309)*IFERROR(INDEX(계정대체기준!$C$20:$C$49,MATCH($N1309,계정대체기준!$A$20:$A$49,0)),0)))</f>
        <v/>
      </c>
      <c r="AA1309" s="94">
        <f>IF($A1309="",0,IF(AE1309="직접",IF(OR(AF1309="유지비",AF1309="손해조사비"),$P1309,0),$P1309*(1-AG1309)*IFERROR(INDEX(계정대체기준!$D$20:$D$49,MATCH($N1309,계정대체기준!$A$20:$A$49,0)),0)))</f>
        <v/>
      </c>
      <c r="AB1309" s="94">
        <f>IF($A1309="",0,IF(AE1309="직접",IF(AF1309="수금비",$P1309,0),$P1309*(1-AG1309)*IFERROR(INDEX(계정대체기준!$E$20:$E$49,MATCH($N1309,계정대체기준!$A$20:$A$49,0)),0)))</f>
        <v/>
      </c>
      <c r="AC1309" s="9">
        <f>IF(AND($A1309&lt;&gt;"",M1309=설정!$C$20,Z1309&gt;0),Z1309+ROW()/1000000000,"")</f>
        <v/>
      </c>
      <c r="AD1309" s="94">
        <f>IF($A1309="",0,$P1309*AG1309)</f>
        <v/>
      </c>
      <c r="AE1309" s="64">
        <f>IF($A1309="","",IFERROR(INDEX(계정매핑!$E$5:$E$504,MATCH($F1309&amp;"",계정매핑!$A$5:$A$504,0))&amp;"","공통비"))</f>
        <v/>
      </c>
      <c r="AF1309" s="64">
        <f>IF($A1309="","",IF(AE1309="직접",IFERROR(INDEX(계정매핑!$F$5:$F$504,MATCH($F1309&amp;"",계정매핑!$A$5:$A$504,0))&amp;"","비귀속"),""))</f>
        <v/>
      </c>
      <c r="AG1309" s="96">
        <f>IF($A1309="",0,IF(AND(AE1309&lt;&gt;"직접",IFERROR(INDEX(계정매핑!$G$5:$G$504,MATCH($F1309&amp;"",계정매핑!$A$5:$A$504,0))&amp;"","")="유지비",COUNTIF(계정대체기준!$A$6:$A$15,$N1309)&gt;0),IFERROR(INDEX(계정대체기준!$E$6:$E$15,MATCH(VALUE($A1309&amp;""),계정대체기준!$D$6:$D$15,0)),0),0))</f>
        <v/>
      </c>
      <c r="AH1309" s="64">
        <f>IF($A1309="","",IF(AD1309=0,"",IF(OR(COUNTIF(계정대체기준!$A$77:$A$86,$N1309)&gt;0,ISNUMBER(MATCH($X1309,계정대체기준!$D$77:$D$86,0)),ISNUMBER(MATCH($F1309,계정대체기준!$D$77:$D$86,0))),"Y","N")))</f>
        <v/>
      </c>
    </row>
    <row r="1310">
      <c r="A1310" s="92" t="n">
        <v>2025</v>
      </c>
      <c r="B1310" s="92" t="n">
        <v>6</v>
      </c>
      <c r="C1310" s="92" t="inlineStr">
        <is>
          <t>5100001306</t>
        </is>
      </c>
      <c r="D1310" s="95" t="n">
        <v>45830</v>
      </c>
      <c r="E1310" s="92" t="inlineStr">
        <is>
          <t>KR</t>
        </is>
      </c>
      <c r="F1310" s="92" t="n">
        <v>62101000</v>
      </c>
      <c r="G1310" s="92" t="n">
        <v>1801</v>
      </c>
      <c r="H1310" s="93" t="n">
        <v>243000</v>
      </c>
      <c r="I1310" s="92" t="inlineStr">
        <is>
          <t>6월 국내출장 - M항공</t>
        </is>
      </c>
      <c r="J1310" s="92" t="inlineStr">
        <is>
          <t>V10001</t>
        </is>
      </c>
      <c r="K1310" s="92" t="inlineStr">
        <is>
          <t>M항공</t>
        </is>
      </c>
      <c r="M1310" s="9">
        <f>IF($A1310="","",VALUE($A1310&amp;"")*12+VALUE($B1310&amp;""))</f>
        <v/>
      </c>
      <c r="N1310" s="64">
        <f>IF($A1310="","",IFERROR(INDEX(부서매핑!$C$5:$C$504,MATCH($G1310&amp;"",부서매핑!$A$5:$A$504,0)),"미매핑"))</f>
        <v/>
      </c>
      <c r="O1310" s="9">
        <f>IF($A1310="","",N1310&amp;"|"&amp;$F1310)</f>
        <v/>
      </c>
      <c r="P1310" s="94">
        <f>IF($A1310="",0,$H1310*설정!$C$23)</f>
        <v/>
      </c>
      <c r="Q1310" s="64">
        <f>IF($A1310="","",IF(O1310&lt;&gt;원인분석!$C$9,"",IF(AND(M1310&gt;=원인분석!$C$10,M1310&lt;=원인분석!$C$11),"당기",IF(AND(M1310&gt;=원인분석!$C$12,M1310&lt;=원인분석!$C$13),"비교",""))))</f>
        <v/>
      </c>
      <c r="R1310" s="9">
        <f>IF(Q1310="","",$K1310&amp;"")</f>
        <v/>
      </c>
      <c r="S1310" s="9">
        <f>IF(Q1310="","",IF(MATCH(R1310,$R$5:$R$100000,0)=ROW()-4,ROW(),""))</f>
        <v/>
      </c>
      <c r="T1310" s="9">
        <f>IF(Q1310="당기",ABS(P1310)+ROW()/1000000000,"")</f>
        <v/>
      </c>
      <c r="U1310" s="9">
        <f>IF(Q1310="비교",ABS(P1310)+ROW()/1000000000,"")</f>
        <v/>
      </c>
      <c r="V1310" s="64">
        <f>IF($A1310="","",IF(COUNTIF(변동분석!$E$7:$E$506,O1310)&gt;0,"Y","N"))</f>
        <v/>
      </c>
      <c r="W1310" s="64">
        <f>IF($A1310="","",IFERROR(INDEX(계정매핑!$D$5:$D$504,MATCH($F1310&amp;"",계정매핑!$A$5:$A$504,0)),"미매핑"))</f>
        <v/>
      </c>
      <c r="X1310" s="9">
        <f>IF($A1310="","",$F1310&amp;"")</f>
        <v/>
      </c>
      <c r="Y1310" s="94">
        <f>IF($A1310="",0,IF(AE1310="직접",IF(AF1310="비귀속",$P1310,0),$P1310*(1-AG1310)*IFERROR(INDEX(계정대체기준!$F$20:$F$49,MATCH($N1310,계정대체기준!$A$20:$A$49,0)),1)))</f>
        <v/>
      </c>
      <c r="Z1310" s="94">
        <f>IF($A1310="",0,IF(AE1310="직접",IF(AF1310="신계약비",$P1310,0),$P1310*(1-AG1310)*IFERROR(INDEX(계정대체기준!$C$20:$C$49,MATCH($N1310,계정대체기준!$A$20:$A$49,0)),0)))</f>
        <v/>
      </c>
      <c r="AA1310" s="94">
        <f>IF($A1310="",0,IF(AE1310="직접",IF(OR(AF1310="유지비",AF1310="손해조사비"),$P1310,0),$P1310*(1-AG1310)*IFERROR(INDEX(계정대체기준!$D$20:$D$49,MATCH($N1310,계정대체기준!$A$20:$A$49,0)),0)))</f>
        <v/>
      </c>
      <c r="AB1310" s="94">
        <f>IF($A1310="",0,IF(AE1310="직접",IF(AF1310="수금비",$P1310,0),$P1310*(1-AG1310)*IFERROR(INDEX(계정대체기준!$E$20:$E$49,MATCH($N1310,계정대체기준!$A$20:$A$49,0)),0)))</f>
        <v/>
      </c>
      <c r="AC1310" s="9">
        <f>IF(AND($A1310&lt;&gt;"",M1310=설정!$C$20,Z1310&gt;0),Z1310+ROW()/1000000000,"")</f>
        <v/>
      </c>
      <c r="AD1310" s="94">
        <f>IF($A1310="",0,$P1310*AG1310)</f>
        <v/>
      </c>
      <c r="AE1310" s="64">
        <f>IF($A1310="","",IFERROR(INDEX(계정매핑!$E$5:$E$504,MATCH($F1310&amp;"",계정매핑!$A$5:$A$504,0))&amp;"","공통비"))</f>
        <v/>
      </c>
      <c r="AF1310" s="64">
        <f>IF($A1310="","",IF(AE1310="직접",IFERROR(INDEX(계정매핑!$F$5:$F$504,MATCH($F1310&amp;"",계정매핑!$A$5:$A$504,0))&amp;"","비귀속"),""))</f>
        <v/>
      </c>
      <c r="AG1310" s="96">
        <f>IF($A1310="",0,IF(AND(AE1310&lt;&gt;"직접",IFERROR(INDEX(계정매핑!$G$5:$G$504,MATCH($F1310&amp;"",계정매핑!$A$5:$A$504,0))&amp;"","")="유지비",COUNTIF(계정대체기준!$A$6:$A$15,$N1310)&gt;0),IFERROR(INDEX(계정대체기준!$E$6:$E$15,MATCH(VALUE($A1310&amp;""),계정대체기준!$D$6:$D$15,0)),0),0))</f>
        <v/>
      </c>
      <c r="AH1310" s="64">
        <f>IF($A1310="","",IF(AD1310=0,"",IF(OR(COUNTIF(계정대체기준!$A$77:$A$86,$N1310)&gt;0,ISNUMBER(MATCH($X1310,계정대체기준!$D$77:$D$86,0)),ISNUMBER(MATCH($F1310,계정대체기준!$D$77:$D$86,0))),"Y","N")))</f>
        <v/>
      </c>
    </row>
    <row r="1311">
      <c r="A1311" s="92" t="n">
        <v>2025</v>
      </c>
      <c r="B1311" s="92" t="n">
        <v>6</v>
      </c>
      <c r="C1311" s="92" t="inlineStr">
        <is>
          <t>5100001307</t>
        </is>
      </c>
      <c r="D1311" s="95" t="n">
        <v>45830</v>
      </c>
      <c r="E1311" s="92" t="inlineStr">
        <is>
          <t>KR</t>
        </is>
      </c>
      <c r="F1311" s="92" t="n">
        <v>62102000</v>
      </c>
      <c r="G1311" s="92" t="n">
        <v>1501</v>
      </c>
      <c r="H1311" s="93" t="n">
        <v>199000</v>
      </c>
      <c r="I1311" s="92" t="inlineStr">
        <is>
          <t>6월 해외출장 - N호텔</t>
        </is>
      </c>
      <c r="J1311" s="92" t="inlineStr">
        <is>
          <t>V10009</t>
        </is>
      </c>
      <c r="K1311" s="92" t="inlineStr">
        <is>
          <t>N호텔</t>
        </is>
      </c>
      <c r="M1311" s="9">
        <f>IF($A1311="","",VALUE($A1311&amp;"")*12+VALUE($B1311&amp;""))</f>
        <v/>
      </c>
      <c r="N1311" s="64">
        <f>IF($A1311="","",IFERROR(INDEX(부서매핑!$C$5:$C$504,MATCH($G1311&amp;"",부서매핑!$A$5:$A$504,0)),"미매핑"))</f>
        <v/>
      </c>
      <c r="O1311" s="9">
        <f>IF($A1311="","",N1311&amp;"|"&amp;$F1311)</f>
        <v/>
      </c>
      <c r="P1311" s="94">
        <f>IF($A1311="",0,$H1311*설정!$C$23)</f>
        <v/>
      </c>
      <c r="Q1311" s="64">
        <f>IF($A1311="","",IF(O1311&lt;&gt;원인분석!$C$9,"",IF(AND(M1311&gt;=원인분석!$C$10,M1311&lt;=원인분석!$C$11),"당기",IF(AND(M1311&gt;=원인분석!$C$12,M1311&lt;=원인분석!$C$13),"비교",""))))</f>
        <v/>
      </c>
      <c r="R1311" s="9">
        <f>IF(Q1311="","",$K1311&amp;"")</f>
        <v/>
      </c>
      <c r="S1311" s="9">
        <f>IF(Q1311="","",IF(MATCH(R1311,$R$5:$R$100000,0)=ROW()-4,ROW(),""))</f>
        <v/>
      </c>
      <c r="T1311" s="9">
        <f>IF(Q1311="당기",ABS(P1311)+ROW()/1000000000,"")</f>
        <v/>
      </c>
      <c r="U1311" s="9">
        <f>IF(Q1311="비교",ABS(P1311)+ROW()/1000000000,"")</f>
        <v/>
      </c>
      <c r="V1311" s="64">
        <f>IF($A1311="","",IF(COUNTIF(변동분석!$E$7:$E$506,O1311)&gt;0,"Y","N"))</f>
        <v/>
      </c>
      <c r="W1311" s="64">
        <f>IF($A1311="","",IFERROR(INDEX(계정매핑!$D$5:$D$504,MATCH($F1311&amp;"",계정매핑!$A$5:$A$504,0)),"미매핑"))</f>
        <v/>
      </c>
      <c r="X1311" s="9">
        <f>IF($A1311="","",$F1311&amp;"")</f>
        <v/>
      </c>
      <c r="Y1311" s="94">
        <f>IF($A1311="",0,IF(AE1311="직접",IF(AF1311="비귀속",$P1311,0),$P1311*(1-AG1311)*IFERROR(INDEX(계정대체기준!$F$20:$F$49,MATCH($N1311,계정대체기준!$A$20:$A$49,0)),1)))</f>
        <v/>
      </c>
      <c r="Z1311" s="94">
        <f>IF($A1311="",0,IF(AE1311="직접",IF(AF1311="신계약비",$P1311,0),$P1311*(1-AG1311)*IFERROR(INDEX(계정대체기준!$C$20:$C$49,MATCH($N1311,계정대체기준!$A$20:$A$49,0)),0)))</f>
        <v/>
      </c>
      <c r="AA1311" s="94">
        <f>IF($A1311="",0,IF(AE1311="직접",IF(OR(AF1311="유지비",AF1311="손해조사비"),$P1311,0),$P1311*(1-AG1311)*IFERROR(INDEX(계정대체기준!$D$20:$D$49,MATCH($N1311,계정대체기준!$A$20:$A$49,0)),0)))</f>
        <v/>
      </c>
      <c r="AB1311" s="94">
        <f>IF($A1311="",0,IF(AE1311="직접",IF(AF1311="수금비",$P1311,0),$P1311*(1-AG1311)*IFERROR(INDEX(계정대체기준!$E$20:$E$49,MATCH($N1311,계정대체기준!$A$20:$A$49,0)),0)))</f>
        <v/>
      </c>
      <c r="AC1311" s="9">
        <f>IF(AND($A1311&lt;&gt;"",M1311=설정!$C$20,Z1311&gt;0),Z1311+ROW()/1000000000,"")</f>
        <v/>
      </c>
      <c r="AD1311" s="94">
        <f>IF($A1311="",0,$P1311*AG1311)</f>
        <v/>
      </c>
      <c r="AE1311" s="64">
        <f>IF($A1311="","",IFERROR(INDEX(계정매핑!$E$5:$E$504,MATCH($F1311&amp;"",계정매핑!$A$5:$A$504,0))&amp;"","공통비"))</f>
        <v/>
      </c>
      <c r="AF1311" s="64">
        <f>IF($A1311="","",IF(AE1311="직접",IFERROR(INDEX(계정매핑!$F$5:$F$504,MATCH($F1311&amp;"",계정매핑!$A$5:$A$504,0))&amp;"","비귀속"),""))</f>
        <v/>
      </c>
      <c r="AG1311" s="96">
        <f>IF($A1311="",0,IF(AND(AE1311&lt;&gt;"직접",IFERROR(INDEX(계정매핑!$G$5:$G$504,MATCH($F1311&amp;"",계정매핑!$A$5:$A$504,0))&amp;"","")="유지비",COUNTIF(계정대체기준!$A$6:$A$15,$N1311)&gt;0),IFERROR(INDEX(계정대체기준!$E$6:$E$15,MATCH(VALUE($A1311&amp;""),계정대체기준!$D$6:$D$15,0)),0),0))</f>
        <v/>
      </c>
      <c r="AH1311" s="64">
        <f>IF($A1311="","",IF(AD1311=0,"",IF(OR(COUNTIF(계정대체기준!$A$77:$A$86,$N1311)&gt;0,ISNUMBER(MATCH($X1311,계정대체기준!$D$77:$D$86,0)),ISNUMBER(MATCH($F1311,계정대체기준!$D$77:$D$86,0))),"Y","N")))</f>
        <v/>
      </c>
    </row>
    <row r="1312">
      <c r="A1312" s="92" t="n">
        <v>2025</v>
      </c>
      <c r="B1312" s="92" t="n">
        <v>6</v>
      </c>
      <c r="C1312" s="92" t="inlineStr">
        <is>
          <t>5100001308</t>
        </is>
      </c>
      <c r="D1312" s="95" t="n">
        <v>45830</v>
      </c>
      <c r="E1312" s="92" t="inlineStr">
        <is>
          <t>KR</t>
        </is>
      </c>
      <c r="F1312" s="92" t="n">
        <v>62102000</v>
      </c>
      <c r="G1312" s="92" t="n">
        <v>1601</v>
      </c>
      <c r="H1312" s="93" t="n">
        <v>583000</v>
      </c>
      <c r="I1312" s="92" t="inlineStr">
        <is>
          <t>6월 해외출장 - N호텔</t>
        </is>
      </c>
      <c r="J1312" s="92" t="inlineStr">
        <is>
          <t>V10009</t>
        </is>
      </c>
      <c r="K1312" s="92" t="inlineStr">
        <is>
          <t>N호텔</t>
        </is>
      </c>
      <c r="M1312" s="9">
        <f>IF($A1312="","",VALUE($A1312&amp;"")*12+VALUE($B1312&amp;""))</f>
        <v/>
      </c>
      <c r="N1312" s="64">
        <f>IF($A1312="","",IFERROR(INDEX(부서매핑!$C$5:$C$504,MATCH($G1312&amp;"",부서매핑!$A$5:$A$504,0)),"미매핑"))</f>
        <v/>
      </c>
      <c r="O1312" s="9">
        <f>IF($A1312="","",N1312&amp;"|"&amp;$F1312)</f>
        <v/>
      </c>
      <c r="P1312" s="94">
        <f>IF($A1312="",0,$H1312*설정!$C$23)</f>
        <v/>
      </c>
      <c r="Q1312" s="64">
        <f>IF($A1312="","",IF(O1312&lt;&gt;원인분석!$C$9,"",IF(AND(M1312&gt;=원인분석!$C$10,M1312&lt;=원인분석!$C$11),"당기",IF(AND(M1312&gt;=원인분석!$C$12,M1312&lt;=원인분석!$C$13),"비교",""))))</f>
        <v/>
      </c>
      <c r="R1312" s="9">
        <f>IF(Q1312="","",$K1312&amp;"")</f>
        <v/>
      </c>
      <c r="S1312" s="9">
        <f>IF(Q1312="","",IF(MATCH(R1312,$R$5:$R$100000,0)=ROW()-4,ROW(),""))</f>
        <v/>
      </c>
      <c r="T1312" s="9">
        <f>IF(Q1312="당기",ABS(P1312)+ROW()/1000000000,"")</f>
        <v/>
      </c>
      <c r="U1312" s="9">
        <f>IF(Q1312="비교",ABS(P1312)+ROW()/1000000000,"")</f>
        <v/>
      </c>
      <c r="V1312" s="64">
        <f>IF($A1312="","",IF(COUNTIF(변동분석!$E$7:$E$506,O1312)&gt;0,"Y","N"))</f>
        <v/>
      </c>
      <c r="W1312" s="64">
        <f>IF($A1312="","",IFERROR(INDEX(계정매핑!$D$5:$D$504,MATCH($F1312&amp;"",계정매핑!$A$5:$A$504,0)),"미매핑"))</f>
        <v/>
      </c>
      <c r="X1312" s="9">
        <f>IF($A1312="","",$F1312&amp;"")</f>
        <v/>
      </c>
      <c r="Y1312" s="94">
        <f>IF($A1312="",0,IF(AE1312="직접",IF(AF1312="비귀속",$P1312,0),$P1312*(1-AG1312)*IFERROR(INDEX(계정대체기준!$F$20:$F$49,MATCH($N1312,계정대체기준!$A$20:$A$49,0)),1)))</f>
        <v/>
      </c>
      <c r="Z1312" s="94">
        <f>IF($A1312="",0,IF(AE1312="직접",IF(AF1312="신계약비",$P1312,0),$P1312*(1-AG1312)*IFERROR(INDEX(계정대체기준!$C$20:$C$49,MATCH($N1312,계정대체기준!$A$20:$A$49,0)),0)))</f>
        <v/>
      </c>
      <c r="AA1312" s="94">
        <f>IF($A1312="",0,IF(AE1312="직접",IF(OR(AF1312="유지비",AF1312="손해조사비"),$P1312,0),$P1312*(1-AG1312)*IFERROR(INDEX(계정대체기준!$D$20:$D$49,MATCH($N1312,계정대체기준!$A$20:$A$49,0)),0)))</f>
        <v/>
      </c>
      <c r="AB1312" s="94">
        <f>IF($A1312="",0,IF(AE1312="직접",IF(AF1312="수금비",$P1312,0),$P1312*(1-AG1312)*IFERROR(INDEX(계정대체기준!$E$20:$E$49,MATCH($N1312,계정대체기준!$A$20:$A$49,0)),0)))</f>
        <v/>
      </c>
      <c r="AC1312" s="9">
        <f>IF(AND($A1312&lt;&gt;"",M1312=설정!$C$20,Z1312&gt;0),Z1312+ROW()/1000000000,"")</f>
        <v/>
      </c>
      <c r="AD1312" s="94">
        <f>IF($A1312="",0,$P1312*AG1312)</f>
        <v/>
      </c>
      <c r="AE1312" s="64">
        <f>IF($A1312="","",IFERROR(INDEX(계정매핑!$E$5:$E$504,MATCH($F1312&amp;"",계정매핑!$A$5:$A$504,0))&amp;"","공통비"))</f>
        <v/>
      </c>
      <c r="AF1312" s="64">
        <f>IF($A1312="","",IF(AE1312="직접",IFERROR(INDEX(계정매핑!$F$5:$F$504,MATCH($F1312&amp;"",계정매핑!$A$5:$A$504,0))&amp;"","비귀속"),""))</f>
        <v/>
      </c>
      <c r="AG1312" s="96">
        <f>IF($A1312="",0,IF(AND(AE1312&lt;&gt;"직접",IFERROR(INDEX(계정매핑!$G$5:$G$504,MATCH($F1312&amp;"",계정매핑!$A$5:$A$504,0))&amp;"","")="유지비",COUNTIF(계정대체기준!$A$6:$A$15,$N1312)&gt;0),IFERROR(INDEX(계정대체기준!$E$6:$E$15,MATCH(VALUE($A1312&amp;""),계정대체기준!$D$6:$D$15,0)),0),0))</f>
        <v/>
      </c>
      <c r="AH1312" s="64">
        <f>IF($A1312="","",IF(AD1312=0,"",IF(OR(COUNTIF(계정대체기준!$A$77:$A$86,$N1312)&gt;0,ISNUMBER(MATCH($X1312,계정대체기준!$D$77:$D$86,0)),ISNUMBER(MATCH($F1312,계정대체기준!$D$77:$D$86,0))),"Y","N")))</f>
        <v/>
      </c>
    </row>
    <row r="1313">
      <c r="A1313" s="92" t="n">
        <v>2025</v>
      </c>
      <c r="B1313" s="92" t="n">
        <v>6</v>
      </c>
      <c r="C1313" s="92" t="inlineStr">
        <is>
          <t>5100001309</t>
        </is>
      </c>
      <c r="D1313" s="95" t="n">
        <v>45830</v>
      </c>
      <c r="E1313" s="92" t="inlineStr">
        <is>
          <t>KR</t>
        </is>
      </c>
      <c r="F1313" s="92" t="n">
        <v>62201000</v>
      </c>
      <c r="G1313" s="92" t="n">
        <v>1201</v>
      </c>
      <c r="H1313" s="93" t="n">
        <v>145000</v>
      </c>
      <c r="I1313" s="92" t="inlineStr">
        <is>
          <t>6월 통신요금 - P통신</t>
        </is>
      </c>
      <c r="J1313" s="92" t="inlineStr">
        <is>
          <t>V10014</t>
        </is>
      </c>
      <c r="K1313" s="92" t="inlineStr">
        <is>
          <t>P통신</t>
        </is>
      </c>
      <c r="M1313" s="9">
        <f>IF($A1313="","",VALUE($A1313&amp;"")*12+VALUE($B1313&amp;""))</f>
        <v/>
      </c>
      <c r="N1313" s="64">
        <f>IF($A1313="","",IFERROR(INDEX(부서매핑!$C$5:$C$504,MATCH($G1313&amp;"",부서매핑!$A$5:$A$504,0)),"미매핑"))</f>
        <v/>
      </c>
      <c r="O1313" s="9">
        <f>IF($A1313="","",N1313&amp;"|"&amp;$F1313)</f>
        <v/>
      </c>
      <c r="P1313" s="94">
        <f>IF($A1313="",0,$H1313*설정!$C$23)</f>
        <v/>
      </c>
      <c r="Q1313" s="64">
        <f>IF($A1313="","",IF(O1313&lt;&gt;원인분석!$C$9,"",IF(AND(M1313&gt;=원인분석!$C$10,M1313&lt;=원인분석!$C$11),"당기",IF(AND(M1313&gt;=원인분석!$C$12,M1313&lt;=원인분석!$C$13),"비교",""))))</f>
        <v/>
      </c>
      <c r="R1313" s="9">
        <f>IF(Q1313="","",$K1313&amp;"")</f>
        <v/>
      </c>
      <c r="S1313" s="9">
        <f>IF(Q1313="","",IF(MATCH(R1313,$R$5:$R$100000,0)=ROW()-4,ROW(),""))</f>
        <v/>
      </c>
      <c r="T1313" s="9">
        <f>IF(Q1313="당기",ABS(P1313)+ROW()/1000000000,"")</f>
        <v/>
      </c>
      <c r="U1313" s="9">
        <f>IF(Q1313="비교",ABS(P1313)+ROW()/1000000000,"")</f>
        <v/>
      </c>
      <c r="V1313" s="64">
        <f>IF($A1313="","",IF(COUNTIF(변동분석!$E$7:$E$506,O1313)&gt;0,"Y","N"))</f>
        <v/>
      </c>
      <c r="W1313" s="64">
        <f>IF($A1313="","",IFERROR(INDEX(계정매핑!$D$5:$D$504,MATCH($F1313&amp;"",계정매핑!$A$5:$A$504,0)),"미매핑"))</f>
        <v/>
      </c>
      <c r="X1313" s="9">
        <f>IF($A1313="","",$F1313&amp;"")</f>
        <v/>
      </c>
      <c r="Y1313" s="94">
        <f>IF($A1313="",0,IF(AE1313="직접",IF(AF1313="비귀속",$P1313,0),$P1313*(1-AG1313)*IFERROR(INDEX(계정대체기준!$F$20:$F$49,MATCH($N1313,계정대체기준!$A$20:$A$49,0)),1)))</f>
        <v/>
      </c>
      <c r="Z1313" s="94">
        <f>IF($A1313="",0,IF(AE1313="직접",IF(AF1313="신계약비",$P1313,0),$P1313*(1-AG1313)*IFERROR(INDEX(계정대체기준!$C$20:$C$49,MATCH($N1313,계정대체기준!$A$20:$A$49,0)),0)))</f>
        <v/>
      </c>
      <c r="AA1313" s="94">
        <f>IF($A1313="",0,IF(AE1313="직접",IF(OR(AF1313="유지비",AF1313="손해조사비"),$P1313,0),$P1313*(1-AG1313)*IFERROR(INDEX(계정대체기준!$D$20:$D$49,MATCH($N1313,계정대체기준!$A$20:$A$49,0)),0)))</f>
        <v/>
      </c>
      <c r="AB1313" s="94">
        <f>IF($A1313="",0,IF(AE1313="직접",IF(AF1313="수금비",$P1313,0),$P1313*(1-AG1313)*IFERROR(INDEX(계정대체기준!$E$20:$E$49,MATCH($N1313,계정대체기준!$A$20:$A$49,0)),0)))</f>
        <v/>
      </c>
      <c r="AC1313" s="9">
        <f>IF(AND($A1313&lt;&gt;"",M1313=설정!$C$20,Z1313&gt;0),Z1313+ROW()/1000000000,"")</f>
        <v/>
      </c>
      <c r="AD1313" s="94">
        <f>IF($A1313="",0,$P1313*AG1313)</f>
        <v/>
      </c>
      <c r="AE1313" s="64">
        <f>IF($A1313="","",IFERROR(INDEX(계정매핑!$E$5:$E$504,MATCH($F1313&amp;"",계정매핑!$A$5:$A$504,0))&amp;"","공통비"))</f>
        <v/>
      </c>
      <c r="AF1313" s="64">
        <f>IF($A1313="","",IF(AE1313="직접",IFERROR(INDEX(계정매핑!$F$5:$F$504,MATCH($F1313&amp;"",계정매핑!$A$5:$A$504,0))&amp;"","비귀속"),""))</f>
        <v/>
      </c>
      <c r="AG1313" s="96">
        <f>IF($A1313="",0,IF(AND(AE1313&lt;&gt;"직접",IFERROR(INDEX(계정매핑!$G$5:$G$504,MATCH($F1313&amp;"",계정매핑!$A$5:$A$504,0))&amp;"","")="유지비",COUNTIF(계정대체기준!$A$6:$A$15,$N1313)&gt;0),IFERROR(INDEX(계정대체기준!$E$6:$E$15,MATCH(VALUE($A1313&amp;""),계정대체기준!$D$6:$D$15,0)),0),0))</f>
        <v/>
      </c>
      <c r="AH1313" s="64">
        <f>IF($A1313="","",IF(AD1313=0,"",IF(OR(COUNTIF(계정대체기준!$A$77:$A$86,$N1313)&gt;0,ISNUMBER(MATCH($X1313,계정대체기준!$D$77:$D$86,0)),ISNUMBER(MATCH($F1313,계정대체기준!$D$77:$D$86,0))),"Y","N")))</f>
        <v/>
      </c>
    </row>
    <row r="1314">
      <c r="A1314" s="92" t="n">
        <v>2025</v>
      </c>
      <c r="B1314" s="92" t="n">
        <v>6</v>
      </c>
      <c r="C1314" s="92" t="inlineStr">
        <is>
          <t>5100001310</t>
        </is>
      </c>
      <c r="D1314" s="95" t="n">
        <v>45830</v>
      </c>
      <c r="E1314" s="92" t="inlineStr">
        <is>
          <t>KR</t>
        </is>
      </c>
      <c r="F1314" s="92" t="n">
        <v>62201000</v>
      </c>
      <c r="G1314" s="92" t="n">
        <v>1801</v>
      </c>
      <c r="H1314" s="93" t="n">
        <v>3766000</v>
      </c>
      <c r="I1314" s="92" t="inlineStr">
        <is>
          <t>6월 통신요금 - P통신</t>
        </is>
      </c>
      <c r="J1314" s="92" t="inlineStr">
        <is>
          <t>V10014</t>
        </is>
      </c>
      <c r="K1314" s="92" t="inlineStr">
        <is>
          <t>P통신</t>
        </is>
      </c>
      <c r="M1314" s="9">
        <f>IF($A1314="","",VALUE($A1314&amp;"")*12+VALUE($B1314&amp;""))</f>
        <v/>
      </c>
      <c r="N1314" s="64">
        <f>IF($A1314="","",IFERROR(INDEX(부서매핑!$C$5:$C$504,MATCH($G1314&amp;"",부서매핑!$A$5:$A$504,0)),"미매핑"))</f>
        <v/>
      </c>
      <c r="O1314" s="9">
        <f>IF($A1314="","",N1314&amp;"|"&amp;$F1314)</f>
        <v/>
      </c>
      <c r="P1314" s="94">
        <f>IF($A1314="",0,$H1314*설정!$C$23)</f>
        <v/>
      </c>
      <c r="Q1314" s="64">
        <f>IF($A1314="","",IF(O1314&lt;&gt;원인분석!$C$9,"",IF(AND(M1314&gt;=원인분석!$C$10,M1314&lt;=원인분석!$C$11),"당기",IF(AND(M1314&gt;=원인분석!$C$12,M1314&lt;=원인분석!$C$13),"비교",""))))</f>
        <v/>
      </c>
      <c r="R1314" s="9">
        <f>IF(Q1314="","",$K1314&amp;"")</f>
        <v/>
      </c>
      <c r="S1314" s="9">
        <f>IF(Q1314="","",IF(MATCH(R1314,$R$5:$R$100000,0)=ROW()-4,ROW(),""))</f>
        <v/>
      </c>
      <c r="T1314" s="9">
        <f>IF(Q1314="당기",ABS(P1314)+ROW()/1000000000,"")</f>
        <v/>
      </c>
      <c r="U1314" s="9">
        <f>IF(Q1314="비교",ABS(P1314)+ROW()/1000000000,"")</f>
        <v/>
      </c>
      <c r="V1314" s="64">
        <f>IF($A1314="","",IF(COUNTIF(변동분석!$E$7:$E$506,O1314)&gt;0,"Y","N"))</f>
        <v/>
      </c>
      <c r="W1314" s="64">
        <f>IF($A1314="","",IFERROR(INDEX(계정매핑!$D$5:$D$504,MATCH($F1314&amp;"",계정매핑!$A$5:$A$504,0)),"미매핑"))</f>
        <v/>
      </c>
      <c r="X1314" s="9">
        <f>IF($A1314="","",$F1314&amp;"")</f>
        <v/>
      </c>
      <c r="Y1314" s="94">
        <f>IF($A1314="",0,IF(AE1314="직접",IF(AF1314="비귀속",$P1314,0),$P1314*(1-AG1314)*IFERROR(INDEX(계정대체기준!$F$20:$F$49,MATCH($N1314,계정대체기준!$A$20:$A$49,0)),1)))</f>
        <v/>
      </c>
      <c r="Z1314" s="94">
        <f>IF($A1314="",0,IF(AE1314="직접",IF(AF1314="신계약비",$P1314,0),$P1314*(1-AG1314)*IFERROR(INDEX(계정대체기준!$C$20:$C$49,MATCH($N1314,계정대체기준!$A$20:$A$49,0)),0)))</f>
        <v/>
      </c>
      <c r="AA1314" s="94">
        <f>IF($A1314="",0,IF(AE1314="직접",IF(OR(AF1314="유지비",AF1314="손해조사비"),$P1314,0),$P1314*(1-AG1314)*IFERROR(INDEX(계정대체기준!$D$20:$D$49,MATCH($N1314,계정대체기준!$A$20:$A$49,0)),0)))</f>
        <v/>
      </c>
      <c r="AB1314" s="94">
        <f>IF($A1314="",0,IF(AE1314="직접",IF(AF1314="수금비",$P1314,0),$P1314*(1-AG1314)*IFERROR(INDEX(계정대체기준!$E$20:$E$49,MATCH($N1314,계정대체기준!$A$20:$A$49,0)),0)))</f>
        <v/>
      </c>
      <c r="AC1314" s="9">
        <f>IF(AND($A1314&lt;&gt;"",M1314=설정!$C$20,Z1314&gt;0),Z1314+ROW()/1000000000,"")</f>
        <v/>
      </c>
      <c r="AD1314" s="94">
        <f>IF($A1314="",0,$P1314*AG1314)</f>
        <v/>
      </c>
      <c r="AE1314" s="64">
        <f>IF($A1314="","",IFERROR(INDEX(계정매핑!$E$5:$E$504,MATCH($F1314&amp;"",계정매핑!$A$5:$A$504,0))&amp;"","공통비"))</f>
        <v/>
      </c>
      <c r="AF1314" s="64">
        <f>IF($A1314="","",IF(AE1314="직접",IFERROR(INDEX(계정매핑!$F$5:$F$504,MATCH($F1314&amp;"",계정매핑!$A$5:$A$504,0))&amp;"","비귀속"),""))</f>
        <v/>
      </c>
      <c r="AG1314" s="96">
        <f>IF($A1314="",0,IF(AND(AE1314&lt;&gt;"직접",IFERROR(INDEX(계정매핑!$G$5:$G$504,MATCH($F1314&amp;"",계정매핑!$A$5:$A$504,0))&amp;"","")="유지비",COUNTIF(계정대체기준!$A$6:$A$15,$N1314)&gt;0),IFERROR(INDEX(계정대체기준!$E$6:$E$15,MATCH(VALUE($A1314&amp;""),계정대체기준!$D$6:$D$15,0)),0),0))</f>
        <v/>
      </c>
      <c r="AH1314" s="64">
        <f>IF($A1314="","",IF(AD1314=0,"",IF(OR(COUNTIF(계정대체기준!$A$77:$A$86,$N1314)&gt;0,ISNUMBER(MATCH($X1314,계정대체기준!$D$77:$D$86,0)),ISNUMBER(MATCH($F1314,계정대체기준!$D$77:$D$86,0))),"Y","N")))</f>
        <v/>
      </c>
    </row>
    <row r="1315">
      <c r="A1315" s="92" t="n">
        <v>2025</v>
      </c>
      <c r="B1315" s="92" t="n">
        <v>6</v>
      </c>
      <c r="C1315" s="92" t="inlineStr">
        <is>
          <t>5100001311</t>
        </is>
      </c>
      <c r="D1315" s="95" t="n">
        <v>45830</v>
      </c>
      <c r="E1315" s="92" t="inlineStr">
        <is>
          <t>KR</t>
        </is>
      </c>
      <c r="F1315" s="92" t="n">
        <v>62201000</v>
      </c>
      <c r="G1315" s="92" t="n">
        <v>1951</v>
      </c>
      <c r="H1315" s="93" t="n">
        <v>260000</v>
      </c>
      <c r="I1315" s="92" t="inlineStr">
        <is>
          <t>6월 통신요금 - O텔레콤</t>
        </is>
      </c>
      <c r="J1315" s="92" t="inlineStr">
        <is>
          <t>V10002</t>
        </is>
      </c>
      <c r="K1315" s="92" t="inlineStr">
        <is>
          <t>O텔레콤</t>
        </is>
      </c>
      <c r="M1315" s="9">
        <f>IF($A1315="","",VALUE($A1315&amp;"")*12+VALUE($B1315&amp;""))</f>
        <v/>
      </c>
      <c r="N1315" s="64">
        <f>IF($A1315="","",IFERROR(INDEX(부서매핑!$C$5:$C$504,MATCH($G1315&amp;"",부서매핑!$A$5:$A$504,0)),"미매핑"))</f>
        <v/>
      </c>
      <c r="O1315" s="9">
        <f>IF($A1315="","",N1315&amp;"|"&amp;$F1315)</f>
        <v/>
      </c>
      <c r="P1315" s="94">
        <f>IF($A1315="",0,$H1315*설정!$C$23)</f>
        <v/>
      </c>
      <c r="Q1315" s="64">
        <f>IF($A1315="","",IF(O1315&lt;&gt;원인분석!$C$9,"",IF(AND(M1315&gt;=원인분석!$C$10,M1315&lt;=원인분석!$C$11),"당기",IF(AND(M1315&gt;=원인분석!$C$12,M1315&lt;=원인분석!$C$13),"비교",""))))</f>
        <v/>
      </c>
      <c r="R1315" s="9">
        <f>IF(Q1315="","",$K1315&amp;"")</f>
        <v/>
      </c>
      <c r="S1315" s="9">
        <f>IF(Q1315="","",IF(MATCH(R1315,$R$5:$R$100000,0)=ROW()-4,ROW(),""))</f>
        <v/>
      </c>
      <c r="T1315" s="9">
        <f>IF(Q1315="당기",ABS(P1315)+ROW()/1000000000,"")</f>
        <v/>
      </c>
      <c r="U1315" s="9">
        <f>IF(Q1315="비교",ABS(P1315)+ROW()/1000000000,"")</f>
        <v/>
      </c>
      <c r="V1315" s="64">
        <f>IF($A1315="","",IF(COUNTIF(변동분석!$E$7:$E$506,O1315)&gt;0,"Y","N"))</f>
        <v/>
      </c>
      <c r="W1315" s="64">
        <f>IF($A1315="","",IFERROR(INDEX(계정매핑!$D$5:$D$504,MATCH($F1315&amp;"",계정매핑!$A$5:$A$504,0)),"미매핑"))</f>
        <v/>
      </c>
      <c r="X1315" s="9">
        <f>IF($A1315="","",$F1315&amp;"")</f>
        <v/>
      </c>
      <c r="Y1315" s="94">
        <f>IF($A1315="",0,IF(AE1315="직접",IF(AF1315="비귀속",$P1315,0),$P1315*(1-AG1315)*IFERROR(INDEX(계정대체기준!$F$20:$F$49,MATCH($N1315,계정대체기준!$A$20:$A$49,0)),1)))</f>
        <v/>
      </c>
      <c r="Z1315" s="94">
        <f>IF($A1315="",0,IF(AE1315="직접",IF(AF1315="신계약비",$P1315,0),$P1315*(1-AG1315)*IFERROR(INDEX(계정대체기준!$C$20:$C$49,MATCH($N1315,계정대체기준!$A$20:$A$49,0)),0)))</f>
        <v/>
      </c>
      <c r="AA1315" s="94">
        <f>IF($A1315="",0,IF(AE1315="직접",IF(OR(AF1315="유지비",AF1315="손해조사비"),$P1315,0),$P1315*(1-AG1315)*IFERROR(INDEX(계정대체기준!$D$20:$D$49,MATCH($N1315,계정대체기준!$A$20:$A$49,0)),0)))</f>
        <v/>
      </c>
      <c r="AB1315" s="94">
        <f>IF($A1315="",0,IF(AE1315="직접",IF(AF1315="수금비",$P1315,0),$P1315*(1-AG1315)*IFERROR(INDEX(계정대체기준!$E$20:$E$49,MATCH($N1315,계정대체기준!$A$20:$A$49,0)),0)))</f>
        <v/>
      </c>
      <c r="AC1315" s="9">
        <f>IF(AND($A1315&lt;&gt;"",M1315=설정!$C$20,Z1315&gt;0),Z1315+ROW()/1000000000,"")</f>
        <v/>
      </c>
      <c r="AD1315" s="94">
        <f>IF($A1315="",0,$P1315*AG1315)</f>
        <v/>
      </c>
      <c r="AE1315" s="64">
        <f>IF($A1315="","",IFERROR(INDEX(계정매핑!$E$5:$E$504,MATCH($F1315&amp;"",계정매핑!$A$5:$A$504,0))&amp;"","공통비"))</f>
        <v/>
      </c>
      <c r="AF1315" s="64">
        <f>IF($A1315="","",IF(AE1315="직접",IFERROR(INDEX(계정매핑!$F$5:$F$504,MATCH($F1315&amp;"",계정매핑!$A$5:$A$504,0))&amp;"","비귀속"),""))</f>
        <v/>
      </c>
      <c r="AG1315" s="96">
        <f>IF($A1315="",0,IF(AND(AE1315&lt;&gt;"직접",IFERROR(INDEX(계정매핑!$G$5:$G$504,MATCH($F1315&amp;"",계정매핑!$A$5:$A$504,0))&amp;"","")="유지비",COUNTIF(계정대체기준!$A$6:$A$15,$N1315)&gt;0),IFERROR(INDEX(계정대체기준!$E$6:$E$15,MATCH(VALUE($A1315&amp;""),계정대체기준!$D$6:$D$15,0)),0),0))</f>
        <v/>
      </c>
      <c r="AH1315" s="64">
        <f>IF($A1315="","",IF(AD1315=0,"",IF(OR(COUNTIF(계정대체기준!$A$77:$A$86,$N1315)&gt;0,ISNUMBER(MATCH($X1315,계정대체기준!$D$77:$D$86,0)),ISNUMBER(MATCH($F1315,계정대체기준!$D$77:$D$86,0))),"Y","N")))</f>
        <v/>
      </c>
    </row>
    <row r="1316">
      <c r="A1316" s="92" t="n">
        <v>2025</v>
      </c>
      <c r="B1316" s="92" t="n">
        <v>6</v>
      </c>
      <c r="C1316" s="92" t="inlineStr">
        <is>
          <t>5100001312</t>
        </is>
      </c>
      <c r="D1316" s="95" t="n">
        <v>45830</v>
      </c>
      <c r="E1316" s="92" t="inlineStr">
        <is>
          <t>KR</t>
        </is>
      </c>
      <c r="F1316" s="92" t="n">
        <v>62401000</v>
      </c>
      <c r="G1316" s="92" t="n">
        <v>1801</v>
      </c>
      <c r="H1316" s="93" t="n">
        <v>2984000</v>
      </c>
      <c r="I1316" s="92" t="inlineStr">
        <is>
          <t>6월 인쇄물 제작 - S출판</t>
        </is>
      </c>
      <c r="J1316" s="92" t="inlineStr">
        <is>
          <t>V10015</t>
        </is>
      </c>
      <c r="K1316" s="92" t="inlineStr">
        <is>
          <t>S출판</t>
        </is>
      </c>
      <c r="M1316" s="9">
        <f>IF($A1316="","",VALUE($A1316&amp;"")*12+VALUE($B1316&amp;""))</f>
        <v/>
      </c>
      <c r="N1316" s="64">
        <f>IF($A1316="","",IFERROR(INDEX(부서매핑!$C$5:$C$504,MATCH($G1316&amp;"",부서매핑!$A$5:$A$504,0)),"미매핑"))</f>
        <v/>
      </c>
      <c r="O1316" s="9">
        <f>IF($A1316="","",N1316&amp;"|"&amp;$F1316)</f>
        <v/>
      </c>
      <c r="P1316" s="94">
        <f>IF($A1316="",0,$H1316*설정!$C$23)</f>
        <v/>
      </c>
      <c r="Q1316" s="64">
        <f>IF($A1316="","",IF(O1316&lt;&gt;원인분석!$C$9,"",IF(AND(M1316&gt;=원인분석!$C$10,M1316&lt;=원인분석!$C$11),"당기",IF(AND(M1316&gt;=원인분석!$C$12,M1316&lt;=원인분석!$C$13),"비교",""))))</f>
        <v/>
      </c>
      <c r="R1316" s="9">
        <f>IF(Q1316="","",$K1316&amp;"")</f>
        <v/>
      </c>
      <c r="S1316" s="9">
        <f>IF(Q1316="","",IF(MATCH(R1316,$R$5:$R$100000,0)=ROW()-4,ROW(),""))</f>
        <v/>
      </c>
      <c r="T1316" s="9">
        <f>IF(Q1316="당기",ABS(P1316)+ROW()/1000000000,"")</f>
        <v/>
      </c>
      <c r="U1316" s="9">
        <f>IF(Q1316="비교",ABS(P1316)+ROW()/1000000000,"")</f>
        <v/>
      </c>
      <c r="V1316" s="64">
        <f>IF($A1316="","",IF(COUNTIF(변동분석!$E$7:$E$506,O1316)&gt;0,"Y","N"))</f>
        <v/>
      </c>
      <c r="W1316" s="64">
        <f>IF($A1316="","",IFERROR(INDEX(계정매핑!$D$5:$D$504,MATCH($F1316&amp;"",계정매핑!$A$5:$A$504,0)),"미매핑"))</f>
        <v/>
      </c>
      <c r="X1316" s="9">
        <f>IF($A1316="","",$F1316&amp;"")</f>
        <v/>
      </c>
      <c r="Y1316" s="94">
        <f>IF($A1316="",0,IF(AE1316="직접",IF(AF1316="비귀속",$P1316,0),$P1316*(1-AG1316)*IFERROR(INDEX(계정대체기준!$F$20:$F$49,MATCH($N1316,계정대체기준!$A$20:$A$49,0)),1)))</f>
        <v/>
      </c>
      <c r="Z1316" s="94">
        <f>IF($A1316="",0,IF(AE1316="직접",IF(AF1316="신계약비",$P1316,0),$P1316*(1-AG1316)*IFERROR(INDEX(계정대체기준!$C$20:$C$49,MATCH($N1316,계정대체기준!$A$20:$A$49,0)),0)))</f>
        <v/>
      </c>
      <c r="AA1316" s="94">
        <f>IF($A1316="",0,IF(AE1316="직접",IF(OR(AF1316="유지비",AF1316="손해조사비"),$P1316,0),$P1316*(1-AG1316)*IFERROR(INDEX(계정대체기준!$D$20:$D$49,MATCH($N1316,계정대체기준!$A$20:$A$49,0)),0)))</f>
        <v/>
      </c>
      <c r="AB1316" s="94">
        <f>IF($A1316="",0,IF(AE1316="직접",IF(AF1316="수금비",$P1316,0),$P1316*(1-AG1316)*IFERROR(INDEX(계정대체기준!$E$20:$E$49,MATCH($N1316,계정대체기준!$A$20:$A$49,0)),0)))</f>
        <v/>
      </c>
      <c r="AC1316" s="9">
        <f>IF(AND($A1316&lt;&gt;"",M1316=설정!$C$20,Z1316&gt;0),Z1316+ROW()/1000000000,"")</f>
        <v/>
      </c>
      <c r="AD1316" s="94">
        <f>IF($A1316="",0,$P1316*AG1316)</f>
        <v/>
      </c>
      <c r="AE1316" s="64">
        <f>IF($A1316="","",IFERROR(INDEX(계정매핑!$E$5:$E$504,MATCH($F1316&amp;"",계정매핑!$A$5:$A$504,0))&amp;"","공통비"))</f>
        <v/>
      </c>
      <c r="AF1316" s="64">
        <f>IF($A1316="","",IF(AE1316="직접",IFERROR(INDEX(계정매핑!$F$5:$F$504,MATCH($F1316&amp;"",계정매핑!$A$5:$A$504,0))&amp;"","비귀속"),""))</f>
        <v/>
      </c>
      <c r="AG1316" s="96">
        <f>IF($A1316="",0,IF(AND(AE1316&lt;&gt;"직접",IFERROR(INDEX(계정매핑!$G$5:$G$504,MATCH($F1316&amp;"",계정매핑!$A$5:$A$504,0))&amp;"","")="유지비",COUNTIF(계정대체기준!$A$6:$A$15,$N1316)&gt;0),IFERROR(INDEX(계정대체기준!$E$6:$E$15,MATCH(VALUE($A1316&amp;""),계정대체기준!$D$6:$D$15,0)),0),0))</f>
        <v/>
      </c>
      <c r="AH1316" s="64">
        <f>IF($A1316="","",IF(AD1316=0,"",IF(OR(COUNTIF(계정대체기준!$A$77:$A$86,$N1316)&gt;0,ISNUMBER(MATCH($X1316,계정대체기준!$D$77:$D$86,0)),ISNUMBER(MATCH($F1316,계정대체기준!$D$77:$D$86,0))),"Y","N")))</f>
        <v/>
      </c>
    </row>
    <row r="1317">
      <c r="A1317" s="92" t="n">
        <v>2025</v>
      </c>
      <c r="B1317" s="92" t="n">
        <v>6</v>
      </c>
      <c r="C1317" s="92" t="inlineStr">
        <is>
          <t>5100001313</t>
        </is>
      </c>
      <c r="D1317" s="95" t="n">
        <v>45830</v>
      </c>
      <c r="E1317" s="92" t="inlineStr">
        <is>
          <t>KR</t>
        </is>
      </c>
      <c r="F1317" s="92" t="n">
        <v>62501000</v>
      </c>
      <c r="G1317" s="92" t="n">
        <v>1201</v>
      </c>
      <c r="H1317" s="93" t="n">
        <v>73000</v>
      </c>
      <c r="I1317" s="92" t="inlineStr">
        <is>
          <t>6월 회의 다과 - T케이터링</t>
        </is>
      </c>
      <c r="J1317" s="92" t="inlineStr">
        <is>
          <t>V10005</t>
        </is>
      </c>
      <c r="K1317" s="92" t="inlineStr">
        <is>
          <t>T케이터링</t>
        </is>
      </c>
      <c r="M1317" s="9">
        <f>IF($A1317="","",VALUE($A1317&amp;"")*12+VALUE($B1317&amp;""))</f>
        <v/>
      </c>
      <c r="N1317" s="64">
        <f>IF($A1317="","",IFERROR(INDEX(부서매핑!$C$5:$C$504,MATCH($G1317&amp;"",부서매핑!$A$5:$A$504,0)),"미매핑"))</f>
        <v/>
      </c>
      <c r="O1317" s="9">
        <f>IF($A1317="","",N1317&amp;"|"&amp;$F1317)</f>
        <v/>
      </c>
      <c r="P1317" s="94">
        <f>IF($A1317="",0,$H1317*설정!$C$23)</f>
        <v/>
      </c>
      <c r="Q1317" s="64">
        <f>IF($A1317="","",IF(O1317&lt;&gt;원인분석!$C$9,"",IF(AND(M1317&gt;=원인분석!$C$10,M1317&lt;=원인분석!$C$11),"당기",IF(AND(M1317&gt;=원인분석!$C$12,M1317&lt;=원인분석!$C$13),"비교",""))))</f>
        <v/>
      </c>
      <c r="R1317" s="9">
        <f>IF(Q1317="","",$K1317&amp;"")</f>
        <v/>
      </c>
      <c r="S1317" s="9">
        <f>IF(Q1317="","",IF(MATCH(R1317,$R$5:$R$100000,0)=ROW()-4,ROW(),""))</f>
        <v/>
      </c>
      <c r="T1317" s="9">
        <f>IF(Q1317="당기",ABS(P1317)+ROW()/1000000000,"")</f>
        <v/>
      </c>
      <c r="U1317" s="9">
        <f>IF(Q1317="비교",ABS(P1317)+ROW()/1000000000,"")</f>
        <v/>
      </c>
      <c r="V1317" s="64">
        <f>IF($A1317="","",IF(COUNTIF(변동분석!$E$7:$E$506,O1317)&gt;0,"Y","N"))</f>
        <v/>
      </c>
      <c r="W1317" s="64">
        <f>IF($A1317="","",IFERROR(INDEX(계정매핑!$D$5:$D$504,MATCH($F1317&amp;"",계정매핑!$A$5:$A$504,0)),"미매핑"))</f>
        <v/>
      </c>
      <c r="X1317" s="9">
        <f>IF($A1317="","",$F1317&amp;"")</f>
        <v/>
      </c>
      <c r="Y1317" s="94">
        <f>IF($A1317="",0,IF(AE1317="직접",IF(AF1317="비귀속",$P1317,0),$P1317*(1-AG1317)*IFERROR(INDEX(계정대체기준!$F$20:$F$49,MATCH($N1317,계정대체기준!$A$20:$A$49,0)),1)))</f>
        <v/>
      </c>
      <c r="Z1317" s="94">
        <f>IF($A1317="",0,IF(AE1317="직접",IF(AF1317="신계약비",$P1317,0),$P1317*(1-AG1317)*IFERROR(INDEX(계정대체기준!$C$20:$C$49,MATCH($N1317,계정대체기준!$A$20:$A$49,0)),0)))</f>
        <v/>
      </c>
      <c r="AA1317" s="94">
        <f>IF($A1317="",0,IF(AE1317="직접",IF(OR(AF1317="유지비",AF1317="손해조사비"),$P1317,0),$P1317*(1-AG1317)*IFERROR(INDEX(계정대체기준!$D$20:$D$49,MATCH($N1317,계정대체기준!$A$20:$A$49,0)),0)))</f>
        <v/>
      </c>
      <c r="AB1317" s="94">
        <f>IF($A1317="",0,IF(AE1317="직접",IF(AF1317="수금비",$P1317,0),$P1317*(1-AG1317)*IFERROR(INDEX(계정대체기준!$E$20:$E$49,MATCH($N1317,계정대체기준!$A$20:$A$49,0)),0)))</f>
        <v/>
      </c>
      <c r="AC1317" s="9">
        <f>IF(AND($A1317&lt;&gt;"",M1317=설정!$C$20,Z1317&gt;0),Z1317+ROW()/1000000000,"")</f>
        <v/>
      </c>
      <c r="AD1317" s="94">
        <f>IF($A1317="",0,$P1317*AG1317)</f>
        <v/>
      </c>
      <c r="AE1317" s="64">
        <f>IF($A1317="","",IFERROR(INDEX(계정매핑!$E$5:$E$504,MATCH($F1317&amp;"",계정매핑!$A$5:$A$504,0))&amp;"","공통비"))</f>
        <v/>
      </c>
      <c r="AF1317" s="64">
        <f>IF($A1317="","",IF(AE1317="직접",IFERROR(INDEX(계정매핑!$F$5:$F$504,MATCH($F1317&amp;"",계정매핑!$A$5:$A$504,0))&amp;"","비귀속"),""))</f>
        <v/>
      </c>
      <c r="AG1317" s="96">
        <f>IF($A1317="",0,IF(AND(AE1317&lt;&gt;"직접",IFERROR(INDEX(계정매핑!$G$5:$G$504,MATCH($F1317&amp;"",계정매핑!$A$5:$A$504,0))&amp;"","")="유지비",COUNTIF(계정대체기준!$A$6:$A$15,$N1317)&gt;0),IFERROR(INDEX(계정대체기준!$E$6:$E$15,MATCH(VALUE($A1317&amp;""),계정대체기준!$D$6:$D$15,0)),0),0))</f>
        <v/>
      </c>
      <c r="AH1317" s="64">
        <f>IF($A1317="","",IF(AD1317=0,"",IF(OR(COUNTIF(계정대체기준!$A$77:$A$86,$N1317)&gt;0,ISNUMBER(MATCH($X1317,계정대체기준!$D$77:$D$86,0)),ISNUMBER(MATCH($F1317,계정대체기준!$D$77:$D$86,0))),"Y","N")))</f>
        <v/>
      </c>
    </row>
    <row r="1318">
      <c r="A1318" s="92" t="n">
        <v>2025</v>
      </c>
      <c r="B1318" s="92" t="n">
        <v>6</v>
      </c>
      <c r="C1318" s="92" t="inlineStr">
        <is>
          <t>5100001314</t>
        </is>
      </c>
      <c r="D1318" s="95" t="n">
        <v>45830</v>
      </c>
      <c r="E1318" s="92" t="inlineStr">
        <is>
          <t>KR</t>
        </is>
      </c>
      <c r="F1318" s="92" t="n">
        <v>62901000</v>
      </c>
      <c r="G1318" s="92" t="n">
        <v>1401</v>
      </c>
      <c r="H1318" s="93" t="n">
        <v>8922000</v>
      </c>
      <c r="I1318" s="92" t="inlineStr">
        <is>
          <t>6월 자문 수수료 - W컨설팅</t>
        </is>
      </c>
      <c r="J1318" s="92" t="inlineStr">
        <is>
          <t>V10006</t>
        </is>
      </c>
      <c r="K1318" s="92" t="inlineStr">
        <is>
          <t>W컨설팅</t>
        </is>
      </c>
      <c r="M1318" s="9">
        <f>IF($A1318="","",VALUE($A1318&amp;"")*12+VALUE($B1318&amp;""))</f>
        <v/>
      </c>
      <c r="N1318" s="64">
        <f>IF($A1318="","",IFERROR(INDEX(부서매핑!$C$5:$C$504,MATCH($G1318&amp;"",부서매핑!$A$5:$A$504,0)),"미매핑"))</f>
        <v/>
      </c>
      <c r="O1318" s="9">
        <f>IF($A1318="","",N1318&amp;"|"&amp;$F1318)</f>
        <v/>
      </c>
      <c r="P1318" s="94">
        <f>IF($A1318="",0,$H1318*설정!$C$23)</f>
        <v/>
      </c>
      <c r="Q1318" s="64">
        <f>IF($A1318="","",IF(O1318&lt;&gt;원인분석!$C$9,"",IF(AND(M1318&gt;=원인분석!$C$10,M1318&lt;=원인분석!$C$11),"당기",IF(AND(M1318&gt;=원인분석!$C$12,M1318&lt;=원인분석!$C$13),"비교",""))))</f>
        <v/>
      </c>
      <c r="R1318" s="9">
        <f>IF(Q1318="","",$K1318&amp;"")</f>
        <v/>
      </c>
      <c r="S1318" s="9">
        <f>IF(Q1318="","",IF(MATCH(R1318,$R$5:$R$100000,0)=ROW()-4,ROW(),""))</f>
        <v/>
      </c>
      <c r="T1318" s="9">
        <f>IF(Q1318="당기",ABS(P1318)+ROW()/1000000000,"")</f>
        <v/>
      </c>
      <c r="U1318" s="9">
        <f>IF(Q1318="비교",ABS(P1318)+ROW()/1000000000,"")</f>
        <v/>
      </c>
      <c r="V1318" s="64">
        <f>IF($A1318="","",IF(COUNTIF(변동분석!$E$7:$E$506,O1318)&gt;0,"Y","N"))</f>
        <v/>
      </c>
      <c r="W1318" s="64">
        <f>IF($A1318="","",IFERROR(INDEX(계정매핑!$D$5:$D$504,MATCH($F1318&amp;"",계정매핑!$A$5:$A$504,0)),"미매핑"))</f>
        <v/>
      </c>
      <c r="X1318" s="9">
        <f>IF($A1318="","",$F1318&amp;"")</f>
        <v/>
      </c>
      <c r="Y1318" s="94">
        <f>IF($A1318="",0,IF(AE1318="직접",IF(AF1318="비귀속",$P1318,0),$P1318*(1-AG1318)*IFERROR(INDEX(계정대체기준!$F$20:$F$49,MATCH($N1318,계정대체기준!$A$20:$A$49,0)),1)))</f>
        <v/>
      </c>
      <c r="Z1318" s="94">
        <f>IF($A1318="",0,IF(AE1318="직접",IF(AF1318="신계약비",$P1318,0),$P1318*(1-AG1318)*IFERROR(INDEX(계정대체기준!$C$20:$C$49,MATCH($N1318,계정대체기준!$A$20:$A$49,0)),0)))</f>
        <v/>
      </c>
      <c r="AA1318" s="94">
        <f>IF($A1318="",0,IF(AE1318="직접",IF(OR(AF1318="유지비",AF1318="손해조사비"),$P1318,0),$P1318*(1-AG1318)*IFERROR(INDEX(계정대체기준!$D$20:$D$49,MATCH($N1318,계정대체기준!$A$20:$A$49,0)),0)))</f>
        <v/>
      </c>
      <c r="AB1318" s="94">
        <f>IF($A1318="",0,IF(AE1318="직접",IF(AF1318="수금비",$P1318,0),$P1318*(1-AG1318)*IFERROR(INDEX(계정대체기준!$E$20:$E$49,MATCH($N1318,계정대체기준!$A$20:$A$49,0)),0)))</f>
        <v/>
      </c>
      <c r="AC1318" s="9">
        <f>IF(AND($A1318&lt;&gt;"",M1318=설정!$C$20,Z1318&gt;0),Z1318+ROW()/1000000000,"")</f>
        <v/>
      </c>
      <c r="AD1318" s="94">
        <f>IF($A1318="",0,$P1318*AG1318)</f>
        <v/>
      </c>
      <c r="AE1318" s="64">
        <f>IF($A1318="","",IFERROR(INDEX(계정매핑!$E$5:$E$504,MATCH($F1318&amp;"",계정매핑!$A$5:$A$504,0))&amp;"","공통비"))</f>
        <v/>
      </c>
      <c r="AF1318" s="64">
        <f>IF($A1318="","",IF(AE1318="직접",IFERROR(INDEX(계정매핑!$F$5:$F$504,MATCH($F1318&amp;"",계정매핑!$A$5:$A$504,0))&amp;"","비귀속"),""))</f>
        <v/>
      </c>
      <c r="AG1318" s="96">
        <f>IF($A1318="",0,IF(AND(AE1318&lt;&gt;"직접",IFERROR(INDEX(계정매핑!$G$5:$G$504,MATCH($F1318&amp;"",계정매핑!$A$5:$A$504,0))&amp;"","")="유지비",COUNTIF(계정대체기준!$A$6:$A$15,$N1318)&gt;0),IFERROR(INDEX(계정대체기준!$E$6:$E$15,MATCH(VALUE($A1318&amp;""),계정대체기준!$D$6:$D$15,0)),0),0))</f>
        <v/>
      </c>
      <c r="AH1318" s="64">
        <f>IF($A1318="","",IF(AD1318=0,"",IF(OR(COUNTIF(계정대체기준!$A$77:$A$86,$N1318)&gt;0,ISNUMBER(MATCH($X1318,계정대체기준!$D$77:$D$86,0)),ISNUMBER(MATCH($F1318,계정대체기준!$D$77:$D$86,0))),"Y","N")))</f>
        <v/>
      </c>
    </row>
    <row r="1319">
      <c r="A1319" s="92" t="n">
        <v>2025</v>
      </c>
      <c r="B1319" s="92" t="n">
        <v>6</v>
      </c>
      <c r="C1319" s="92" t="inlineStr">
        <is>
          <t>5100001315</t>
        </is>
      </c>
      <c r="D1319" s="95" t="n">
        <v>45830</v>
      </c>
      <c r="E1319" s="92" t="inlineStr">
        <is>
          <t>KR</t>
        </is>
      </c>
      <c r="F1319" s="92" t="n">
        <v>62901000</v>
      </c>
      <c r="G1319" s="92" t="n">
        <v>1801</v>
      </c>
      <c r="H1319" s="93" t="n">
        <v>12070000</v>
      </c>
      <c r="I1319" s="92" t="inlineStr">
        <is>
          <t>6월 자문 수수료 - W컨설팅</t>
        </is>
      </c>
      <c r="J1319" s="92" t="inlineStr">
        <is>
          <t>V10006</t>
        </is>
      </c>
      <c r="K1319" s="92" t="inlineStr">
        <is>
          <t>W컨설팅</t>
        </is>
      </c>
      <c r="M1319" s="9">
        <f>IF($A1319="","",VALUE($A1319&amp;"")*12+VALUE($B1319&amp;""))</f>
        <v/>
      </c>
      <c r="N1319" s="64">
        <f>IF($A1319="","",IFERROR(INDEX(부서매핑!$C$5:$C$504,MATCH($G1319&amp;"",부서매핑!$A$5:$A$504,0)),"미매핑"))</f>
        <v/>
      </c>
      <c r="O1319" s="9">
        <f>IF($A1319="","",N1319&amp;"|"&amp;$F1319)</f>
        <v/>
      </c>
      <c r="P1319" s="94">
        <f>IF($A1319="",0,$H1319*설정!$C$23)</f>
        <v/>
      </c>
      <c r="Q1319" s="64">
        <f>IF($A1319="","",IF(O1319&lt;&gt;원인분석!$C$9,"",IF(AND(M1319&gt;=원인분석!$C$10,M1319&lt;=원인분석!$C$11),"당기",IF(AND(M1319&gt;=원인분석!$C$12,M1319&lt;=원인분석!$C$13),"비교",""))))</f>
        <v/>
      </c>
      <c r="R1319" s="9">
        <f>IF(Q1319="","",$K1319&amp;"")</f>
        <v/>
      </c>
      <c r="S1319" s="9">
        <f>IF(Q1319="","",IF(MATCH(R1319,$R$5:$R$100000,0)=ROW()-4,ROW(),""))</f>
        <v/>
      </c>
      <c r="T1319" s="9">
        <f>IF(Q1319="당기",ABS(P1319)+ROW()/1000000000,"")</f>
        <v/>
      </c>
      <c r="U1319" s="9">
        <f>IF(Q1319="비교",ABS(P1319)+ROW()/1000000000,"")</f>
        <v/>
      </c>
      <c r="V1319" s="64">
        <f>IF($A1319="","",IF(COUNTIF(변동분석!$E$7:$E$506,O1319)&gt;0,"Y","N"))</f>
        <v/>
      </c>
      <c r="W1319" s="64">
        <f>IF($A1319="","",IFERROR(INDEX(계정매핑!$D$5:$D$504,MATCH($F1319&amp;"",계정매핑!$A$5:$A$504,0)),"미매핑"))</f>
        <v/>
      </c>
      <c r="X1319" s="9">
        <f>IF($A1319="","",$F1319&amp;"")</f>
        <v/>
      </c>
      <c r="Y1319" s="94">
        <f>IF($A1319="",0,IF(AE1319="직접",IF(AF1319="비귀속",$P1319,0),$P1319*(1-AG1319)*IFERROR(INDEX(계정대체기준!$F$20:$F$49,MATCH($N1319,계정대체기준!$A$20:$A$49,0)),1)))</f>
        <v/>
      </c>
      <c r="Z1319" s="94">
        <f>IF($A1319="",0,IF(AE1319="직접",IF(AF1319="신계약비",$P1319,0),$P1319*(1-AG1319)*IFERROR(INDEX(계정대체기준!$C$20:$C$49,MATCH($N1319,계정대체기준!$A$20:$A$49,0)),0)))</f>
        <v/>
      </c>
      <c r="AA1319" s="94">
        <f>IF($A1319="",0,IF(AE1319="직접",IF(OR(AF1319="유지비",AF1319="손해조사비"),$P1319,0),$P1319*(1-AG1319)*IFERROR(INDEX(계정대체기준!$D$20:$D$49,MATCH($N1319,계정대체기준!$A$20:$A$49,0)),0)))</f>
        <v/>
      </c>
      <c r="AB1319" s="94">
        <f>IF($A1319="",0,IF(AE1319="직접",IF(AF1319="수금비",$P1319,0),$P1319*(1-AG1319)*IFERROR(INDEX(계정대체기준!$E$20:$E$49,MATCH($N1319,계정대체기준!$A$20:$A$49,0)),0)))</f>
        <v/>
      </c>
      <c r="AC1319" s="9">
        <f>IF(AND($A1319&lt;&gt;"",M1319=설정!$C$20,Z1319&gt;0),Z1319+ROW()/1000000000,"")</f>
        <v/>
      </c>
      <c r="AD1319" s="94">
        <f>IF($A1319="",0,$P1319*AG1319)</f>
        <v/>
      </c>
      <c r="AE1319" s="64">
        <f>IF($A1319="","",IFERROR(INDEX(계정매핑!$E$5:$E$504,MATCH($F1319&amp;"",계정매핑!$A$5:$A$504,0))&amp;"","공통비"))</f>
        <v/>
      </c>
      <c r="AF1319" s="64">
        <f>IF($A1319="","",IF(AE1319="직접",IFERROR(INDEX(계정매핑!$F$5:$F$504,MATCH($F1319&amp;"",계정매핑!$A$5:$A$504,0))&amp;"","비귀속"),""))</f>
        <v/>
      </c>
      <c r="AG1319" s="96">
        <f>IF($A1319="",0,IF(AND(AE1319&lt;&gt;"직접",IFERROR(INDEX(계정매핑!$G$5:$G$504,MATCH($F1319&amp;"",계정매핑!$A$5:$A$504,0))&amp;"","")="유지비",COUNTIF(계정대체기준!$A$6:$A$15,$N1319)&gt;0),IFERROR(INDEX(계정대체기준!$E$6:$E$15,MATCH(VALUE($A1319&amp;""),계정대체기준!$D$6:$D$15,0)),0),0))</f>
        <v/>
      </c>
      <c r="AH1319" s="64">
        <f>IF($A1319="","",IF(AD1319=0,"",IF(OR(COUNTIF(계정대체기준!$A$77:$A$86,$N1319)&gt;0,ISNUMBER(MATCH($X1319,계정대체기준!$D$77:$D$86,0)),ISNUMBER(MATCH($F1319,계정대체기준!$D$77:$D$86,0))),"Y","N")))</f>
        <v/>
      </c>
    </row>
    <row r="1320">
      <c r="A1320" s="92" t="n">
        <v>2025</v>
      </c>
      <c r="B1320" s="92" t="n">
        <v>6</v>
      </c>
      <c r="C1320" s="92" t="inlineStr">
        <is>
          <t>5100001316</t>
        </is>
      </c>
      <c r="D1320" s="95" t="n">
        <v>45830</v>
      </c>
      <c r="E1320" s="92" t="inlineStr">
        <is>
          <t>KR</t>
        </is>
      </c>
      <c r="F1320" s="92" t="n">
        <v>62902000</v>
      </c>
      <c r="G1320" s="92" t="n">
        <v>1201</v>
      </c>
      <c r="H1320" s="93" t="n">
        <v>3023000</v>
      </c>
      <c r="I1320" s="92" t="inlineStr">
        <is>
          <t>6월 업무 위탁 수수료 - X서비스</t>
        </is>
      </c>
      <c r="J1320" s="92" t="inlineStr">
        <is>
          <t>V10020</t>
        </is>
      </c>
      <c r="K1320" s="92" t="inlineStr">
        <is>
          <t>X서비스</t>
        </is>
      </c>
      <c r="M1320" s="9">
        <f>IF($A1320="","",VALUE($A1320&amp;"")*12+VALUE($B1320&amp;""))</f>
        <v/>
      </c>
      <c r="N1320" s="64">
        <f>IF($A1320="","",IFERROR(INDEX(부서매핑!$C$5:$C$504,MATCH($G1320&amp;"",부서매핑!$A$5:$A$504,0)),"미매핑"))</f>
        <v/>
      </c>
      <c r="O1320" s="9">
        <f>IF($A1320="","",N1320&amp;"|"&amp;$F1320)</f>
        <v/>
      </c>
      <c r="P1320" s="94">
        <f>IF($A1320="",0,$H1320*설정!$C$23)</f>
        <v/>
      </c>
      <c r="Q1320" s="64">
        <f>IF($A1320="","",IF(O1320&lt;&gt;원인분석!$C$9,"",IF(AND(M1320&gt;=원인분석!$C$10,M1320&lt;=원인분석!$C$11),"당기",IF(AND(M1320&gt;=원인분석!$C$12,M1320&lt;=원인분석!$C$13),"비교",""))))</f>
        <v/>
      </c>
      <c r="R1320" s="9">
        <f>IF(Q1320="","",$K1320&amp;"")</f>
        <v/>
      </c>
      <c r="S1320" s="9">
        <f>IF(Q1320="","",IF(MATCH(R1320,$R$5:$R$100000,0)=ROW()-4,ROW(),""))</f>
        <v/>
      </c>
      <c r="T1320" s="9">
        <f>IF(Q1320="당기",ABS(P1320)+ROW()/1000000000,"")</f>
        <v/>
      </c>
      <c r="U1320" s="9">
        <f>IF(Q1320="비교",ABS(P1320)+ROW()/1000000000,"")</f>
        <v/>
      </c>
      <c r="V1320" s="64">
        <f>IF($A1320="","",IF(COUNTIF(변동분석!$E$7:$E$506,O1320)&gt;0,"Y","N"))</f>
        <v/>
      </c>
      <c r="W1320" s="64">
        <f>IF($A1320="","",IFERROR(INDEX(계정매핑!$D$5:$D$504,MATCH($F1320&amp;"",계정매핑!$A$5:$A$504,0)),"미매핑"))</f>
        <v/>
      </c>
      <c r="X1320" s="9">
        <f>IF($A1320="","",$F1320&amp;"")</f>
        <v/>
      </c>
      <c r="Y1320" s="94">
        <f>IF($A1320="",0,IF(AE1320="직접",IF(AF1320="비귀속",$P1320,0),$P1320*(1-AG1320)*IFERROR(INDEX(계정대체기준!$F$20:$F$49,MATCH($N1320,계정대체기준!$A$20:$A$49,0)),1)))</f>
        <v/>
      </c>
      <c r="Z1320" s="94">
        <f>IF($A1320="",0,IF(AE1320="직접",IF(AF1320="신계약비",$P1320,0),$P1320*(1-AG1320)*IFERROR(INDEX(계정대체기준!$C$20:$C$49,MATCH($N1320,계정대체기준!$A$20:$A$49,0)),0)))</f>
        <v/>
      </c>
      <c r="AA1320" s="94">
        <f>IF($A1320="",0,IF(AE1320="직접",IF(OR(AF1320="유지비",AF1320="손해조사비"),$P1320,0),$P1320*(1-AG1320)*IFERROR(INDEX(계정대체기준!$D$20:$D$49,MATCH($N1320,계정대체기준!$A$20:$A$49,0)),0)))</f>
        <v/>
      </c>
      <c r="AB1320" s="94">
        <f>IF($A1320="",0,IF(AE1320="직접",IF(AF1320="수금비",$P1320,0),$P1320*(1-AG1320)*IFERROR(INDEX(계정대체기준!$E$20:$E$49,MATCH($N1320,계정대체기준!$A$20:$A$49,0)),0)))</f>
        <v/>
      </c>
      <c r="AC1320" s="9">
        <f>IF(AND($A1320&lt;&gt;"",M1320=설정!$C$20,Z1320&gt;0),Z1320+ROW()/1000000000,"")</f>
        <v/>
      </c>
      <c r="AD1320" s="94">
        <f>IF($A1320="",0,$P1320*AG1320)</f>
        <v/>
      </c>
      <c r="AE1320" s="64">
        <f>IF($A1320="","",IFERROR(INDEX(계정매핑!$E$5:$E$504,MATCH($F1320&amp;"",계정매핑!$A$5:$A$504,0))&amp;"","공통비"))</f>
        <v/>
      </c>
      <c r="AF1320" s="64">
        <f>IF($A1320="","",IF(AE1320="직접",IFERROR(INDEX(계정매핑!$F$5:$F$504,MATCH($F1320&amp;"",계정매핑!$A$5:$A$504,0))&amp;"","비귀속"),""))</f>
        <v/>
      </c>
      <c r="AG1320" s="96">
        <f>IF($A1320="",0,IF(AND(AE1320&lt;&gt;"직접",IFERROR(INDEX(계정매핑!$G$5:$G$504,MATCH($F1320&amp;"",계정매핑!$A$5:$A$504,0))&amp;"","")="유지비",COUNTIF(계정대체기준!$A$6:$A$15,$N1320)&gt;0),IFERROR(INDEX(계정대체기준!$E$6:$E$15,MATCH(VALUE($A1320&amp;""),계정대체기준!$D$6:$D$15,0)),0),0))</f>
        <v/>
      </c>
      <c r="AH1320" s="64">
        <f>IF($A1320="","",IF(AD1320=0,"",IF(OR(COUNTIF(계정대체기준!$A$77:$A$86,$N1320)&gt;0,ISNUMBER(MATCH($X1320,계정대체기준!$D$77:$D$86,0)),ISNUMBER(MATCH($F1320,계정대체기준!$D$77:$D$86,0))),"Y","N")))</f>
        <v/>
      </c>
    </row>
    <row r="1321">
      <c r="A1321" s="92" t="n">
        <v>2025</v>
      </c>
      <c r="B1321" s="92" t="n">
        <v>6</v>
      </c>
      <c r="C1321" s="92" t="inlineStr">
        <is>
          <t>5100001317</t>
        </is>
      </c>
      <c r="D1321" s="95" t="n">
        <v>45830</v>
      </c>
      <c r="E1321" s="92" t="inlineStr">
        <is>
          <t>KR</t>
        </is>
      </c>
      <c r="F1321" s="92" t="n">
        <v>63502000</v>
      </c>
      <c r="G1321" s="92" t="n">
        <v>1901</v>
      </c>
      <c r="H1321" s="93" t="n">
        <v>148455000</v>
      </c>
      <c r="I1321" s="92" t="inlineStr">
        <is>
          <t>6월 유지수수료 - CC금융서비스</t>
        </is>
      </c>
      <c r="J1321" s="92" t="inlineStr">
        <is>
          <t>V10029</t>
        </is>
      </c>
      <c r="K1321" s="92" t="inlineStr">
        <is>
          <t>CC금융서비스</t>
        </is>
      </c>
      <c r="M1321" s="9">
        <f>IF($A1321="","",VALUE($A1321&amp;"")*12+VALUE($B1321&amp;""))</f>
        <v/>
      </c>
      <c r="N1321" s="64">
        <f>IF($A1321="","",IFERROR(INDEX(부서매핑!$C$5:$C$504,MATCH($G1321&amp;"",부서매핑!$A$5:$A$504,0)),"미매핑"))</f>
        <v/>
      </c>
      <c r="O1321" s="9">
        <f>IF($A1321="","",N1321&amp;"|"&amp;$F1321)</f>
        <v/>
      </c>
      <c r="P1321" s="94">
        <f>IF($A1321="",0,$H1321*설정!$C$23)</f>
        <v/>
      </c>
      <c r="Q1321" s="64">
        <f>IF($A1321="","",IF(O1321&lt;&gt;원인분석!$C$9,"",IF(AND(M1321&gt;=원인분석!$C$10,M1321&lt;=원인분석!$C$11),"당기",IF(AND(M1321&gt;=원인분석!$C$12,M1321&lt;=원인분석!$C$13),"비교",""))))</f>
        <v/>
      </c>
      <c r="R1321" s="9">
        <f>IF(Q1321="","",$K1321&amp;"")</f>
        <v/>
      </c>
      <c r="S1321" s="9">
        <f>IF(Q1321="","",IF(MATCH(R1321,$R$5:$R$100000,0)=ROW()-4,ROW(),""))</f>
        <v/>
      </c>
      <c r="T1321" s="9">
        <f>IF(Q1321="당기",ABS(P1321)+ROW()/1000000000,"")</f>
        <v/>
      </c>
      <c r="U1321" s="9">
        <f>IF(Q1321="비교",ABS(P1321)+ROW()/1000000000,"")</f>
        <v/>
      </c>
      <c r="V1321" s="64">
        <f>IF($A1321="","",IF(COUNTIF(변동분석!$E$7:$E$506,O1321)&gt;0,"Y","N"))</f>
        <v/>
      </c>
      <c r="W1321" s="64">
        <f>IF($A1321="","",IFERROR(INDEX(계정매핑!$D$5:$D$504,MATCH($F1321&amp;"",계정매핑!$A$5:$A$504,0)),"미매핑"))</f>
        <v/>
      </c>
      <c r="X1321" s="9">
        <f>IF($A1321="","",$F1321&amp;"")</f>
        <v/>
      </c>
      <c r="Y1321" s="94">
        <f>IF($A1321="",0,IF(AE1321="직접",IF(AF1321="비귀속",$P1321,0),$P1321*(1-AG1321)*IFERROR(INDEX(계정대체기준!$F$20:$F$49,MATCH($N1321,계정대체기준!$A$20:$A$49,0)),1)))</f>
        <v/>
      </c>
      <c r="Z1321" s="94">
        <f>IF($A1321="",0,IF(AE1321="직접",IF(AF1321="신계약비",$P1321,0),$P1321*(1-AG1321)*IFERROR(INDEX(계정대체기준!$C$20:$C$49,MATCH($N1321,계정대체기준!$A$20:$A$49,0)),0)))</f>
        <v/>
      </c>
      <c r="AA1321" s="94">
        <f>IF($A1321="",0,IF(AE1321="직접",IF(OR(AF1321="유지비",AF1321="손해조사비"),$P1321,0),$P1321*(1-AG1321)*IFERROR(INDEX(계정대체기준!$D$20:$D$49,MATCH($N1321,계정대체기준!$A$20:$A$49,0)),0)))</f>
        <v/>
      </c>
      <c r="AB1321" s="94">
        <f>IF($A1321="",0,IF(AE1321="직접",IF(AF1321="수금비",$P1321,0),$P1321*(1-AG1321)*IFERROR(INDEX(계정대체기준!$E$20:$E$49,MATCH($N1321,계정대체기준!$A$20:$A$49,0)),0)))</f>
        <v/>
      </c>
      <c r="AC1321" s="9">
        <f>IF(AND($A1321&lt;&gt;"",M1321=설정!$C$20,Z1321&gt;0),Z1321+ROW()/1000000000,"")</f>
        <v/>
      </c>
      <c r="AD1321" s="94">
        <f>IF($A1321="",0,$P1321*AG1321)</f>
        <v/>
      </c>
      <c r="AE1321" s="64">
        <f>IF($A1321="","",IFERROR(INDEX(계정매핑!$E$5:$E$504,MATCH($F1321&amp;"",계정매핑!$A$5:$A$504,0))&amp;"","공통비"))</f>
        <v/>
      </c>
      <c r="AF1321" s="64">
        <f>IF($A1321="","",IF(AE1321="직접",IFERROR(INDEX(계정매핑!$F$5:$F$504,MATCH($F1321&amp;"",계정매핑!$A$5:$A$504,0))&amp;"","비귀속"),""))</f>
        <v/>
      </c>
      <c r="AG1321" s="96">
        <f>IF($A1321="",0,IF(AND(AE1321&lt;&gt;"직접",IFERROR(INDEX(계정매핑!$G$5:$G$504,MATCH($F1321&amp;"",계정매핑!$A$5:$A$504,0))&amp;"","")="유지비",COUNTIF(계정대체기준!$A$6:$A$15,$N1321)&gt;0),IFERROR(INDEX(계정대체기준!$E$6:$E$15,MATCH(VALUE($A1321&amp;""),계정대체기준!$D$6:$D$15,0)),0),0))</f>
        <v/>
      </c>
      <c r="AH1321" s="64">
        <f>IF($A1321="","",IF(AD1321=0,"",IF(OR(COUNTIF(계정대체기준!$A$77:$A$86,$N1321)&gt;0,ISNUMBER(MATCH($X1321,계정대체기준!$D$77:$D$86,0)),ISNUMBER(MATCH($F1321,계정대체기준!$D$77:$D$86,0))),"Y","N")))</f>
        <v/>
      </c>
    </row>
    <row r="1322">
      <c r="A1322" s="92" t="n">
        <v>2025</v>
      </c>
      <c r="B1322" s="92" t="n">
        <v>6</v>
      </c>
      <c r="C1322" s="92" t="inlineStr">
        <is>
          <t>5100001318</t>
        </is>
      </c>
      <c r="D1322" s="95" t="n">
        <v>45831</v>
      </c>
      <c r="E1322" s="92" t="inlineStr">
        <is>
          <t>KR</t>
        </is>
      </c>
      <c r="F1322" s="92" t="n">
        <v>62101000</v>
      </c>
      <c r="G1322" s="92" t="n">
        <v>1501</v>
      </c>
      <c r="H1322" s="93" t="n">
        <v>540000</v>
      </c>
      <c r="I1322" s="92" t="inlineStr">
        <is>
          <t>6월 국내출장 - M항공</t>
        </is>
      </c>
      <c r="J1322" s="92" t="inlineStr">
        <is>
          <t>V10001</t>
        </is>
      </c>
      <c r="K1322" s="92" t="inlineStr">
        <is>
          <t>M항공</t>
        </is>
      </c>
      <c r="M1322" s="9">
        <f>IF($A1322="","",VALUE($A1322&amp;"")*12+VALUE($B1322&amp;""))</f>
        <v/>
      </c>
      <c r="N1322" s="64">
        <f>IF($A1322="","",IFERROR(INDEX(부서매핑!$C$5:$C$504,MATCH($G1322&amp;"",부서매핑!$A$5:$A$504,0)),"미매핑"))</f>
        <v/>
      </c>
      <c r="O1322" s="9">
        <f>IF($A1322="","",N1322&amp;"|"&amp;$F1322)</f>
        <v/>
      </c>
      <c r="P1322" s="94">
        <f>IF($A1322="",0,$H1322*설정!$C$23)</f>
        <v/>
      </c>
      <c r="Q1322" s="64">
        <f>IF($A1322="","",IF(O1322&lt;&gt;원인분석!$C$9,"",IF(AND(M1322&gt;=원인분석!$C$10,M1322&lt;=원인분석!$C$11),"당기",IF(AND(M1322&gt;=원인분석!$C$12,M1322&lt;=원인분석!$C$13),"비교",""))))</f>
        <v/>
      </c>
      <c r="R1322" s="9">
        <f>IF(Q1322="","",$K1322&amp;"")</f>
        <v/>
      </c>
      <c r="S1322" s="9">
        <f>IF(Q1322="","",IF(MATCH(R1322,$R$5:$R$100000,0)=ROW()-4,ROW(),""))</f>
        <v/>
      </c>
      <c r="T1322" s="9">
        <f>IF(Q1322="당기",ABS(P1322)+ROW()/1000000000,"")</f>
        <v/>
      </c>
      <c r="U1322" s="9">
        <f>IF(Q1322="비교",ABS(P1322)+ROW()/1000000000,"")</f>
        <v/>
      </c>
      <c r="V1322" s="64">
        <f>IF($A1322="","",IF(COUNTIF(변동분석!$E$7:$E$506,O1322)&gt;0,"Y","N"))</f>
        <v/>
      </c>
      <c r="W1322" s="64">
        <f>IF($A1322="","",IFERROR(INDEX(계정매핑!$D$5:$D$504,MATCH($F1322&amp;"",계정매핑!$A$5:$A$504,0)),"미매핑"))</f>
        <v/>
      </c>
      <c r="X1322" s="9">
        <f>IF($A1322="","",$F1322&amp;"")</f>
        <v/>
      </c>
      <c r="Y1322" s="94">
        <f>IF($A1322="",0,IF(AE1322="직접",IF(AF1322="비귀속",$P1322,0),$P1322*(1-AG1322)*IFERROR(INDEX(계정대체기준!$F$20:$F$49,MATCH($N1322,계정대체기준!$A$20:$A$49,0)),1)))</f>
        <v/>
      </c>
      <c r="Z1322" s="94">
        <f>IF($A1322="",0,IF(AE1322="직접",IF(AF1322="신계약비",$P1322,0),$P1322*(1-AG1322)*IFERROR(INDEX(계정대체기준!$C$20:$C$49,MATCH($N1322,계정대체기준!$A$20:$A$49,0)),0)))</f>
        <v/>
      </c>
      <c r="AA1322" s="94">
        <f>IF($A1322="",0,IF(AE1322="직접",IF(OR(AF1322="유지비",AF1322="손해조사비"),$P1322,0),$P1322*(1-AG1322)*IFERROR(INDEX(계정대체기준!$D$20:$D$49,MATCH($N1322,계정대체기준!$A$20:$A$49,0)),0)))</f>
        <v/>
      </c>
      <c r="AB1322" s="94">
        <f>IF($A1322="",0,IF(AE1322="직접",IF(AF1322="수금비",$P1322,0),$P1322*(1-AG1322)*IFERROR(INDEX(계정대체기준!$E$20:$E$49,MATCH($N1322,계정대체기준!$A$20:$A$49,0)),0)))</f>
        <v/>
      </c>
      <c r="AC1322" s="9">
        <f>IF(AND($A1322&lt;&gt;"",M1322=설정!$C$20,Z1322&gt;0),Z1322+ROW()/1000000000,"")</f>
        <v/>
      </c>
      <c r="AD1322" s="94">
        <f>IF($A1322="",0,$P1322*AG1322)</f>
        <v/>
      </c>
      <c r="AE1322" s="64">
        <f>IF($A1322="","",IFERROR(INDEX(계정매핑!$E$5:$E$504,MATCH($F1322&amp;"",계정매핑!$A$5:$A$504,0))&amp;"","공통비"))</f>
        <v/>
      </c>
      <c r="AF1322" s="64">
        <f>IF($A1322="","",IF(AE1322="직접",IFERROR(INDEX(계정매핑!$F$5:$F$504,MATCH($F1322&amp;"",계정매핑!$A$5:$A$504,0))&amp;"","비귀속"),""))</f>
        <v/>
      </c>
      <c r="AG1322" s="96">
        <f>IF($A1322="",0,IF(AND(AE1322&lt;&gt;"직접",IFERROR(INDEX(계정매핑!$G$5:$G$504,MATCH($F1322&amp;"",계정매핑!$A$5:$A$504,0))&amp;"","")="유지비",COUNTIF(계정대체기준!$A$6:$A$15,$N1322)&gt;0),IFERROR(INDEX(계정대체기준!$E$6:$E$15,MATCH(VALUE($A1322&amp;""),계정대체기준!$D$6:$D$15,0)),0),0))</f>
        <v/>
      </c>
      <c r="AH1322" s="64">
        <f>IF($A1322="","",IF(AD1322=0,"",IF(OR(COUNTIF(계정대체기준!$A$77:$A$86,$N1322)&gt;0,ISNUMBER(MATCH($X1322,계정대체기준!$D$77:$D$86,0)),ISNUMBER(MATCH($F1322,계정대체기준!$D$77:$D$86,0))),"Y","N")))</f>
        <v/>
      </c>
    </row>
    <row r="1323">
      <c r="A1323" s="92" t="n">
        <v>2025</v>
      </c>
      <c r="B1323" s="92" t="n">
        <v>6</v>
      </c>
      <c r="C1323" s="92" t="inlineStr">
        <is>
          <t>5100001319</t>
        </is>
      </c>
      <c r="D1323" s="95" t="n">
        <v>45831</v>
      </c>
      <c r="E1323" s="92" t="inlineStr">
        <is>
          <t>KR</t>
        </is>
      </c>
      <c r="F1323" s="92" t="n">
        <v>62101000</v>
      </c>
      <c r="G1323" s="92" t="n">
        <v>1601</v>
      </c>
      <c r="H1323" s="93" t="n">
        <v>1579000</v>
      </c>
      <c r="I1323" s="92" t="inlineStr">
        <is>
          <t>6월 국내출장 - M항공</t>
        </is>
      </c>
      <c r="J1323" s="92" t="inlineStr">
        <is>
          <t>V10001</t>
        </is>
      </c>
      <c r="K1323" s="92" t="inlineStr">
        <is>
          <t>M항공</t>
        </is>
      </c>
      <c r="M1323" s="9">
        <f>IF($A1323="","",VALUE($A1323&amp;"")*12+VALUE($B1323&amp;""))</f>
        <v/>
      </c>
      <c r="N1323" s="64">
        <f>IF($A1323="","",IFERROR(INDEX(부서매핑!$C$5:$C$504,MATCH($G1323&amp;"",부서매핑!$A$5:$A$504,0)),"미매핑"))</f>
        <v/>
      </c>
      <c r="O1323" s="9">
        <f>IF($A1323="","",N1323&amp;"|"&amp;$F1323)</f>
        <v/>
      </c>
      <c r="P1323" s="94">
        <f>IF($A1323="",0,$H1323*설정!$C$23)</f>
        <v/>
      </c>
      <c r="Q1323" s="64">
        <f>IF($A1323="","",IF(O1323&lt;&gt;원인분석!$C$9,"",IF(AND(M1323&gt;=원인분석!$C$10,M1323&lt;=원인분석!$C$11),"당기",IF(AND(M1323&gt;=원인분석!$C$12,M1323&lt;=원인분석!$C$13),"비교",""))))</f>
        <v/>
      </c>
      <c r="R1323" s="9">
        <f>IF(Q1323="","",$K1323&amp;"")</f>
        <v/>
      </c>
      <c r="S1323" s="9">
        <f>IF(Q1323="","",IF(MATCH(R1323,$R$5:$R$100000,0)=ROW()-4,ROW(),""))</f>
        <v/>
      </c>
      <c r="T1323" s="9">
        <f>IF(Q1323="당기",ABS(P1323)+ROW()/1000000000,"")</f>
        <v/>
      </c>
      <c r="U1323" s="9">
        <f>IF(Q1323="비교",ABS(P1323)+ROW()/1000000000,"")</f>
        <v/>
      </c>
      <c r="V1323" s="64">
        <f>IF($A1323="","",IF(COUNTIF(변동분석!$E$7:$E$506,O1323)&gt;0,"Y","N"))</f>
        <v/>
      </c>
      <c r="W1323" s="64">
        <f>IF($A1323="","",IFERROR(INDEX(계정매핑!$D$5:$D$504,MATCH($F1323&amp;"",계정매핑!$A$5:$A$504,0)),"미매핑"))</f>
        <v/>
      </c>
      <c r="X1323" s="9">
        <f>IF($A1323="","",$F1323&amp;"")</f>
        <v/>
      </c>
      <c r="Y1323" s="94">
        <f>IF($A1323="",0,IF(AE1323="직접",IF(AF1323="비귀속",$P1323,0),$P1323*(1-AG1323)*IFERROR(INDEX(계정대체기준!$F$20:$F$49,MATCH($N1323,계정대체기준!$A$20:$A$49,0)),1)))</f>
        <v/>
      </c>
      <c r="Z1323" s="94">
        <f>IF($A1323="",0,IF(AE1323="직접",IF(AF1323="신계약비",$P1323,0),$P1323*(1-AG1323)*IFERROR(INDEX(계정대체기준!$C$20:$C$49,MATCH($N1323,계정대체기준!$A$20:$A$49,0)),0)))</f>
        <v/>
      </c>
      <c r="AA1323" s="94">
        <f>IF($A1323="",0,IF(AE1323="직접",IF(OR(AF1323="유지비",AF1323="손해조사비"),$P1323,0),$P1323*(1-AG1323)*IFERROR(INDEX(계정대체기준!$D$20:$D$49,MATCH($N1323,계정대체기준!$A$20:$A$49,0)),0)))</f>
        <v/>
      </c>
      <c r="AB1323" s="94">
        <f>IF($A1323="",0,IF(AE1323="직접",IF(AF1323="수금비",$P1323,0),$P1323*(1-AG1323)*IFERROR(INDEX(계정대체기준!$E$20:$E$49,MATCH($N1323,계정대체기준!$A$20:$A$49,0)),0)))</f>
        <v/>
      </c>
      <c r="AC1323" s="9">
        <f>IF(AND($A1323&lt;&gt;"",M1323=설정!$C$20,Z1323&gt;0),Z1323+ROW()/1000000000,"")</f>
        <v/>
      </c>
      <c r="AD1323" s="94">
        <f>IF($A1323="",0,$P1323*AG1323)</f>
        <v/>
      </c>
      <c r="AE1323" s="64">
        <f>IF($A1323="","",IFERROR(INDEX(계정매핑!$E$5:$E$504,MATCH($F1323&amp;"",계정매핑!$A$5:$A$504,0))&amp;"","공통비"))</f>
        <v/>
      </c>
      <c r="AF1323" s="64">
        <f>IF($A1323="","",IF(AE1323="직접",IFERROR(INDEX(계정매핑!$F$5:$F$504,MATCH($F1323&amp;"",계정매핑!$A$5:$A$504,0))&amp;"","비귀속"),""))</f>
        <v/>
      </c>
      <c r="AG1323" s="96">
        <f>IF($A1323="",0,IF(AND(AE1323&lt;&gt;"직접",IFERROR(INDEX(계정매핑!$G$5:$G$504,MATCH($F1323&amp;"",계정매핑!$A$5:$A$504,0))&amp;"","")="유지비",COUNTIF(계정대체기준!$A$6:$A$15,$N1323)&gt;0),IFERROR(INDEX(계정대체기준!$E$6:$E$15,MATCH(VALUE($A1323&amp;""),계정대체기준!$D$6:$D$15,0)),0),0))</f>
        <v/>
      </c>
      <c r="AH1323" s="64">
        <f>IF($A1323="","",IF(AD1323=0,"",IF(OR(COUNTIF(계정대체기준!$A$77:$A$86,$N1323)&gt;0,ISNUMBER(MATCH($X1323,계정대체기준!$D$77:$D$86,0)),ISNUMBER(MATCH($F1323,계정대체기준!$D$77:$D$86,0))),"Y","N")))</f>
        <v/>
      </c>
    </row>
    <row r="1324">
      <c r="A1324" s="92" t="n">
        <v>2025</v>
      </c>
      <c r="B1324" s="92" t="n">
        <v>6</v>
      </c>
      <c r="C1324" s="92" t="inlineStr">
        <is>
          <t>5100001320</t>
        </is>
      </c>
      <c r="D1324" s="95" t="n">
        <v>45831</v>
      </c>
      <c r="E1324" s="92" t="inlineStr">
        <is>
          <t>KR</t>
        </is>
      </c>
      <c r="F1324" s="92" t="n">
        <v>62101000</v>
      </c>
      <c r="G1324" s="92" t="n">
        <v>1801</v>
      </c>
      <c r="H1324" s="93" t="n">
        <v>176000</v>
      </c>
      <c r="I1324" s="92" t="inlineStr">
        <is>
          <t>6월 국내출장 - L여행사</t>
        </is>
      </c>
      <c r="J1324" s="92" t="inlineStr">
        <is>
          <t>V10018</t>
        </is>
      </c>
      <c r="K1324" s="92" t="inlineStr">
        <is>
          <t>L여행사</t>
        </is>
      </c>
      <c r="M1324" s="9">
        <f>IF($A1324="","",VALUE($A1324&amp;"")*12+VALUE($B1324&amp;""))</f>
        <v/>
      </c>
      <c r="N1324" s="64">
        <f>IF($A1324="","",IFERROR(INDEX(부서매핑!$C$5:$C$504,MATCH($G1324&amp;"",부서매핑!$A$5:$A$504,0)),"미매핑"))</f>
        <v/>
      </c>
      <c r="O1324" s="9">
        <f>IF($A1324="","",N1324&amp;"|"&amp;$F1324)</f>
        <v/>
      </c>
      <c r="P1324" s="94">
        <f>IF($A1324="",0,$H1324*설정!$C$23)</f>
        <v/>
      </c>
      <c r="Q1324" s="64">
        <f>IF($A1324="","",IF(O1324&lt;&gt;원인분석!$C$9,"",IF(AND(M1324&gt;=원인분석!$C$10,M1324&lt;=원인분석!$C$11),"당기",IF(AND(M1324&gt;=원인분석!$C$12,M1324&lt;=원인분석!$C$13),"비교",""))))</f>
        <v/>
      </c>
      <c r="R1324" s="9">
        <f>IF(Q1324="","",$K1324&amp;"")</f>
        <v/>
      </c>
      <c r="S1324" s="9">
        <f>IF(Q1324="","",IF(MATCH(R1324,$R$5:$R$100000,0)=ROW()-4,ROW(),""))</f>
        <v/>
      </c>
      <c r="T1324" s="9">
        <f>IF(Q1324="당기",ABS(P1324)+ROW()/1000000000,"")</f>
        <v/>
      </c>
      <c r="U1324" s="9">
        <f>IF(Q1324="비교",ABS(P1324)+ROW()/1000000000,"")</f>
        <v/>
      </c>
      <c r="V1324" s="64">
        <f>IF($A1324="","",IF(COUNTIF(변동분석!$E$7:$E$506,O1324)&gt;0,"Y","N"))</f>
        <v/>
      </c>
      <c r="W1324" s="64">
        <f>IF($A1324="","",IFERROR(INDEX(계정매핑!$D$5:$D$504,MATCH($F1324&amp;"",계정매핑!$A$5:$A$504,0)),"미매핑"))</f>
        <v/>
      </c>
      <c r="X1324" s="9">
        <f>IF($A1324="","",$F1324&amp;"")</f>
        <v/>
      </c>
      <c r="Y1324" s="94">
        <f>IF($A1324="",0,IF(AE1324="직접",IF(AF1324="비귀속",$P1324,0),$P1324*(1-AG1324)*IFERROR(INDEX(계정대체기준!$F$20:$F$49,MATCH($N1324,계정대체기준!$A$20:$A$49,0)),1)))</f>
        <v/>
      </c>
      <c r="Z1324" s="94">
        <f>IF($A1324="",0,IF(AE1324="직접",IF(AF1324="신계약비",$P1324,0),$P1324*(1-AG1324)*IFERROR(INDEX(계정대체기준!$C$20:$C$49,MATCH($N1324,계정대체기준!$A$20:$A$49,0)),0)))</f>
        <v/>
      </c>
      <c r="AA1324" s="94">
        <f>IF($A1324="",0,IF(AE1324="직접",IF(OR(AF1324="유지비",AF1324="손해조사비"),$P1324,0),$P1324*(1-AG1324)*IFERROR(INDEX(계정대체기준!$D$20:$D$49,MATCH($N1324,계정대체기준!$A$20:$A$49,0)),0)))</f>
        <v/>
      </c>
      <c r="AB1324" s="94">
        <f>IF($A1324="",0,IF(AE1324="직접",IF(AF1324="수금비",$P1324,0),$P1324*(1-AG1324)*IFERROR(INDEX(계정대체기준!$E$20:$E$49,MATCH($N1324,계정대체기준!$A$20:$A$49,0)),0)))</f>
        <v/>
      </c>
      <c r="AC1324" s="9">
        <f>IF(AND($A1324&lt;&gt;"",M1324=설정!$C$20,Z1324&gt;0),Z1324+ROW()/1000000000,"")</f>
        <v/>
      </c>
      <c r="AD1324" s="94">
        <f>IF($A1324="",0,$P1324*AG1324)</f>
        <v/>
      </c>
      <c r="AE1324" s="64">
        <f>IF($A1324="","",IFERROR(INDEX(계정매핑!$E$5:$E$504,MATCH($F1324&amp;"",계정매핑!$A$5:$A$504,0))&amp;"","공통비"))</f>
        <v/>
      </c>
      <c r="AF1324" s="64">
        <f>IF($A1324="","",IF(AE1324="직접",IFERROR(INDEX(계정매핑!$F$5:$F$504,MATCH($F1324&amp;"",계정매핑!$A$5:$A$504,0))&amp;"","비귀속"),""))</f>
        <v/>
      </c>
      <c r="AG1324" s="96">
        <f>IF($A1324="",0,IF(AND(AE1324&lt;&gt;"직접",IFERROR(INDEX(계정매핑!$G$5:$G$504,MATCH($F1324&amp;"",계정매핑!$A$5:$A$504,0))&amp;"","")="유지비",COUNTIF(계정대체기준!$A$6:$A$15,$N1324)&gt;0),IFERROR(INDEX(계정대체기준!$E$6:$E$15,MATCH(VALUE($A1324&amp;""),계정대체기준!$D$6:$D$15,0)),0),0))</f>
        <v/>
      </c>
      <c r="AH1324" s="64">
        <f>IF($A1324="","",IF(AD1324=0,"",IF(OR(COUNTIF(계정대체기준!$A$77:$A$86,$N1324)&gt;0,ISNUMBER(MATCH($X1324,계정대체기준!$D$77:$D$86,0)),ISNUMBER(MATCH($F1324,계정대체기준!$D$77:$D$86,0))),"Y","N")))</f>
        <v/>
      </c>
    </row>
    <row r="1325">
      <c r="A1325" s="92" t="n">
        <v>2025</v>
      </c>
      <c r="B1325" s="92" t="n">
        <v>6</v>
      </c>
      <c r="C1325" s="92" t="inlineStr">
        <is>
          <t>5100001321</t>
        </is>
      </c>
      <c r="D1325" s="95" t="n">
        <v>45831</v>
      </c>
      <c r="E1325" s="92" t="inlineStr">
        <is>
          <t>KR</t>
        </is>
      </c>
      <c r="F1325" s="92" t="n">
        <v>62301000</v>
      </c>
      <c r="G1325" s="92" t="n">
        <v>1701</v>
      </c>
      <c r="H1325" s="93" t="n">
        <v>318000</v>
      </c>
      <c r="I1325" s="92" t="inlineStr">
        <is>
          <t>6월 소모품 구입 - Q오피스</t>
        </is>
      </c>
      <c r="J1325" s="92" t="inlineStr">
        <is>
          <t>V10003</t>
        </is>
      </c>
      <c r="K1325" s="92" t="inlineStr">
        <is>
          <t>Q오피스</t>
        </is>
      </c>
      <c r="M1325" s="9">
        <f>IF($A1325="","",VALUE($A1325&amp;"")*12+VALUE($B1325&amp;""))</f>
        <v/>
      </c>
      <c r="N1325" s="64">
        <f>IF($A1325="","",IFERROR(INDEX(부서매핑!$C$5:$C$504,MATCH($G1325&amp;"",부서매핑!$A$5:$A$504,0)),"미매핑"))</f>
        <v/>
      </c>
      <c r="O1325" s="9">
        <f>IF($A1325="","",N1325&amp;"|"&amp;$F1325)</f>
        <v/>
      </c>
      <c r="P1325" s="94">
        <f>IF($A1325="",0,$H1325*설정!$C$23)</f>
        <v/>
      </c>
      <c r="Q1325" s="64">
        <f>IF($A1325="","",IF(O1325&lt;&gt;원인분석!$C$9,"",IF(AND(M1325&gt;=원인분석!$C$10,M1325&lt;=원인분석!$C$11),"당기",IF(AND(M1325&gt;=원인분석!$C$12,M1325&lt;=원인분석!$C$13),"비교",""))))</f>
        <v/>
      </c>
      <c r="R1325" s="9">
        <f>IF(Q1325="","",$K1325&amp;"")</f>
        <v/>
      </c>
      <c r="S1325" s="9">
        <f>IF(Q1325="","",IF(MATCH(R1325,$R$5:$R$100000,0)=ROW()-4,ROW(),""))</f>
        <v/>
      </c>
      <c r="T1325" s="9">
        <f>IF(Q1325="당기",ABS(P1325)+ROW()/1000000000,"")</f>
        <v/>
      </c>
      <c r="U1325" s="9">
        <f>IF(Q1325="비교",ABS(P1325)+ROW()/1000000000,"")</f>
        <v/>
      </c>
      <c r="V1325" s="64">
        <f>IF($A1325="","",IF(COUNTIF(변동분석!$E$7:$E$506,O1325)&gt;0,"Y","N"))</f>
        <v/>
      </c>
      <c r="W1325" s="64">
        <f>IF($A1325="","",IFERROR(INDEX(계정매핑!$D$5:$D$504,MATCH($F1325&amp;"",계정매핑!$A$5:$A$504,0)),"미매핑"))</f>
        <v/>
      </c>
      <c r="X1325" s="9">
        <f>IF($A1325="","",$F1325&amp;"")</f>
        <v/>
      </c>
      <c r="Y1325" s="94">
        <f>IF($A1325="",0,IF(AE1325="직접",IF(AF1325="비귀속",$P1325,0),$P1325*(1-AG1325)*IFERROR(INDEX(계정대체기준!$F$20:$F$49,MATCH($N1325,계정대체기준!$A$20:$A$49,0)),1)))</f>
        <v/>
      </c>
      <c r="Z1325" s="94">
        <f>IF($A1325="",0,IF(AE1325="직접",IF(AF1325="신계약비",$P1325,0),$P1325*(1-AG1325)*IFERROR(INDEX(계정대체기준!$C$20:$C$49,MATCH($N1325,계정대체기준!$A$20:$A$49,0)),0)))</f>
        <v/>
      </c>
      <c r="AA1325" s="94">
        <f>IF($A1325="",0,IF(AE1325="직접",IF(OR(AF1325="유지비",AF1325="손해조사비"),$P1325,0),$P1325*(1-AG1325)*IFERROR(INDEX(계정대체기준!$D$20:$D$49,MATCH($N1325,계정대체기준!$A$20:$A$49,0)),0)))</f>
        <v/>
      </c>
      <c r="AB1325" s="94">
        <f>IF($A1325="",0,IF(AE1325="직접",IF(AF1325="수금비",$P1325,0),$P1325*(1-AG1325)*IFERROR(INDEX(계정대체기준!$E$20:$E$49,MATCH($N1325,계정대체기준!$A$20:$A$49,0)),0)))</f>
        <v/>
      </c>
      <c r="AC1325" s="9">
        <f>IF(AND($A1325&lt;&gt;"",M1325=설정!$C$20,Z1325&gt;0),Z1325+ROW()/1000000000,"")</f>
        <v/>
      </c>
      <c r="AD1325" s="94">
        <f>IF($A1325="",0,$P1325*AG1325)</f>
        <v/>
      </c>
      <c r="AE1325" s="64">
        <f>IF($A1325="","",IFERROR(INDEX(계정매핑!$E$5:$E$504,MATCH($F1325&amp;"",계정매핑!$A$5:$A$504,0))&amp;"","공통비"))</f>
        <v/>
      </c>
      <c r="AF1325" s="64">
        <f>IF($A1325="","",IF(AE1325="직접",IFERROR(INDEX(계정매핑!$F$5:$F$504,MATCH($F1325&amp;"",계정매핑!$A$5:$A$504,0))&amp;"","비귀속"),""))</f>
        <v/>
      </c>
      <c r="AG1325" s="96">
        <f>IF($A1325="",0,IF(AND(AE1325&lt;&gt;"직접",IFERROR(INDEX(계정매핑!$G$5:$G$504,MATCH($F1325&amp;"",계정매핑!$A$5:$A$504,0))&amp;"","")="유지비",COUNTIF(계정대체기준!$A$6:$A$15,$N1325)&gt;0),IFERROR(INDEX(계정대체기준!$E$6:$E$15,MATCH(VALUE($A1325&amp;""),계정대체기준!$D$6:$D$15,0)),0),0))</f>
        <v/>
      </c>
      <c r="AH1325" s="64">
        <f>IF($A1325="","",IF(AD1325=0,"",IF(OR(COUNTIF(계정대체기준!$A$77:$A$86,$N1325)&gt;0,ISNUMBER(MATCH($X1325,계정대체기준!$D$77:$D$86,0)),ISNUMBER(MATCH($F1325,계정대체기준!$D$77:$D$86,0))),"Y","N")))</f>
        <v/>
      </c>
    </row>
    <row r="1326">
      <c r="A1326" s="92" t="n">
        <v>2025</v>
      </c>
      <c r="B1326" s="92" t="n">
        <v>6</v>
      </c>
      <c r="C1326" s="92" t="inlineStr">
        <is>
          <t>5100001322</t>
        </is>
      </c>
      <c r="D1326" s="95" t="n">
        <v>45831</v>
      </c>
      <c r="E1326" s="92" t="inlineStr">
        <is>
          <t>KR</t>
        </is>
      </c>
      <c r="F1326" s="92" t="n">
        <v>62401000</v>
      </c>
      <c r="G1326" s="92" t="n">
        <v>1801</v>
      </c>
      <c r="H1326" s="93" t="n">
        <v>4226000</v>
      </c>
      <c r="I1326" s="92" t="inlineStr">
        <is>
          <t>6월 인쇄물 제작 - G인쇄</t>
        </is>
      </c>
      <c r="J1326" s="92" t="inlineStr">
        <is>
          <t>V10004</t>
        </is>
      </c>
      <c r="K1326" s="92" t="inlineStr">
        <is>
          <t>G인쇄</t>
        </is>
      </c>
      <c r="M1326" s="9">
        <f>IF($A1326="","",VALUE($A1326&amp;"")*12+VALUE($B1326&amp;""))</f>
        <v/>
      </c>
      <c r="N1326" s="64">
        <f>IF($A1326="","",IFERROR(INDEX(부서매핑!$C$5:$C$504,MATCH($G1326&amp;"",부서매핑!$A$5:$A$504,0)),"미매핑"))</f>
        <v/>
      </c>
      <c r="O1326" s="9">
        <f>IF($A1326="","",N1326&amp;"|"&amp;$F1326)</f>
        <v/>
      </c>
      <c r="P1326" s="94">
        <f>IF($A1326="",0,$H1326*설정!$C$23)</f>
        <v/>
      </c>
      <c r="Q1326" s="64">
        <f>IF($A1326="","",IF(O1326&lt;&gt;원인분석!$C$9,"",IF(AND(M1326&gt;=원인분석!$C$10,M1326&lt;=원인분석!$C$11),"당기",IF(AND(M1326&gt;=원인분석!$C$12,M1326&lt;=원인분석!$C$13),"비교",""))))</f>
        <v/>
      </c>
      <c r="R1326" s="9">
        <f>IF(Q1326="","",$K1326&amp;"")</f>
        <v/>
      </c>
      <c r="S1326" s="9">
        <f>IF(Q1326="","",IF(MATCH(R1326,$R$5:$R$100000,0)=ROW()-4,ROW(),""))</f>
        <v/>
      </c>
      <c r="T1326" s="9">
        <f>IF(Q1326="당기",ABS(P1326)+ROW()/1000000000,"")</f>
        <v/>
      </c>
      <c r="U1326" s="9">
        <f>IF(Q1326="비교",ABS(P1326)+ROW()/1000000000,"")</f>
        <v/>
      </c>
      <c r="V1326" s="64">
        <f>IF($A1326="","",IF(COUNTIF(변동분석!$E$7:$E$506,O1326)&gt;0,"Y","N"))</f>
        <v/>
      </c>
      <c r="W1326" s="64">
        <f>IF($A1326="","",IFERROR(INDEX(계정매핑!$D$5:$D$504,MATCH($F1326&amp;"",계정매핑!$A$5:$A$504,0)),"미매핑"))</f>
        <v/>
      </c>
      <c r="X1326" s="9">
        <f>IF($A1326="","",$F1326&amp;"")</f>
        <v/>
      </c>
      <c r="Y1326" s="94">
        <f>IF($A1326="",0,IF(AE1326="직접",IF(AF1326="비귀속",$P1326,0),$P1326*(1-AG1326)*IFERROR(INDEX(계정대체기준!$F$20:$F$49,MATCH($N1326,계정대체기준!$A$20:$A$49,0)),1)))</f>
        <v/>
      </c>
      <c r="Z1326" s="94">
        <f>IF($A1326="",0,IF(AE1326="직접",IF(AF1326="신계약비",$P1326,0),$P1326*(1-AG1326)*IFERROR(INDEX(계정대체기준!$C$20:$C$49,MATCH($N1326,계정대체기준!$A$20:$A$49,0)),0)))</f>
        <v/>
      </c>
      <c r="AA1326" s="94">
        <f>IF($A1326="",0,IF(AE1326="직접",IF(OR(AF1326="유지비",AF1326="손해조사비"),$P1326,0),$P1326*(1-AG1326)*IFERROR(INDEX(계정대체기준!$D$20:$D$49,MATCH($N1326,계정대체기준!$A$20:$A$49,0)),0)))</f>
        <v/>
      </c>
      <c r="AB1326" s="94">
        <f>IF($A1326="",0,IF(AE1326="직접",IF(AF1326="수금비",$P1326,0),$P1326*(1-AG1326)*IFERROR(INDEX(계정대체기준!$E$20:$E$49,MATCH($N1326,계정대체기준!$A$20:$A$49,0)),0)))</f>
        <v/>
      </c>
      <c r="AC1326" s="9">
        <f>IF(AND($A1326&lt;&gt;"",M1326=설정!$C$20,Z1326&gt;0),Z1326+ROW()/1000000000,"")</f>
        <v/>
      </c>
      <c r="AD1326" s="94">
        <f>IF($A1326="",0,$P1326*AG1326)</f>
        <v/>
      </c>
      <c r="AE1326" s="64">
        <f>IF($A1326="","",IFERROR(INDEX(계정매핑!$E$5:$E$504,MATCH($F1326&amp;"",계정매핑!$A$5:$A$504,0))&amp;"","공통비"))</f>
        <v/>
      </c>
      <c r="AF1326" s="64">
        <f>IF($A1326="","",IF(AE1326="직접",IFERROR(INDEX(계정매핑!$F$5:$F$504,MATCH($F1326&amp;"",계정매핑!$A$5:$A$504,0))&amp;"","비귀속"),""))</f>
        <v/>
      </c>
      <c r="AG1326" s="96">
        <f>IF($A1326="",0,IF(AND(AE1326&lt;&gt;"직접",IFERROR(INDEX(계정매핑!$G$5:$G$504,MATCH($F1326&amp;"",계정매핑!$A$5:$A$504,0))&amp;"","")="유지비",COUNTIF(계정대체기준!$A$6:$A$15,$N1326)&gt;0),IFERROR(INDEX(계정대체기준!$E$6:$E$15,MATCH(VALUE($A1326&amp;""),계정대체기준!$D$6:$D$15,0)),0),0))</f>
        <v/>
      </c>
      <c r="AH1326" s="64">
        <f>IF($A1326="","",IF(AD1326=0,"",IF(OR(COUNTIF(계정대체기준!$A$77:$A$86,$N1326)&gt;0,ISNUMBER(MATCH($X1326,계정대체기준!$D$77:$D$86,0)),ISNUMBER(MATCH($F1326,계정대체기준!$D$77:$D$86,0))),"Y","N")))</f>
        <v/>
      </c>
    </row>
    <row r="1327">
      <c r="A1327" s="92" t="n">
        <v>2025</v>
      </c>
      <c r="B1327" s="92" t="n">
        <v>6</v>
      </c>
      <c r="C1327" s="92" t="inlineStr">
        <is>
          <t>5100001323</t>
        </is>
      </c>
      <c r="D1327" s="95" t="n">
        <v>45831</v>
      </c>
      <c r="E1327" s="92" t="inlineStr">
        <is>
          <t>KR</t>
        </is>
      </c>
      <c r="F1327" s="92" t="n">
        <v>62801000</v>
      </c>
      <c r="G1327" s="92" t="n">
        <v>1301</v>
      </c>
      <c r="H1327" s="93" t="n">
        <v>5357000</v>
      </c>
      <c r="I1327" s="92" t="inlineStr">
        <is>
          <t>6월 사내교육 - U에듀</t>
        </is>
      </c>
      <c r="J1327" s="92" t="inlineStr">
        <is>
          <t>V10031</t>
        </is>
      </c>
      <c r="K1327" s="92" t="inlineStr">
        <is>
          <t>U에듀</t>
        </is>
      </c>
      <c r="M1327" s="9">
        <f>IF($A1327="","",VALUE($A1327&amp;"")*12+VALUE($B1327&amp;""))</f>
        <v/>
      </c>
      <c r="N1327" s="64">
        <f>IF($A1327="","",IFERROR(INDEX(부서매핑!$C$5:$C$504,MATCH($G1327&amp;"",부서매핑!$A$5:$A$504,0)),"미매핑"))</f>
        <v/>
      </c>
      <c r="O1327" s="9">
        <f>IF($A1327="","",N1327&amp;"|"&amp;$F1327)</f>
        <v/>
      </c>
      <c r="P1327" s="94">
        <f>IF($A1327="",0,$H1327*설정!$C$23)</f>
        <v/>
      </c>
      <c r="Q1327" s="64">
        <f>IF($A1327="","",IF(O1327&lt;&gt;원인분석!$C$9,"",IF(AND(M1327&gt;=원인분석!$C$10,M1327&lt;=원인분석!$C$11),"당기",IF(AND(M1327&gt;=원인분석!$C$12,M1327&lt;=원인분석!$C$13),"비교",""))))</f>
        <v/>
      </c>
      <c r="R1327" s="9">
        <f>IF(Q1327="","",$K1327&amp;"")</f>
        <v/>
      </c>
      <c r="S1327" s="9">
        <f>IF(Q1327="","",IF(MATCH(R1327,$R$5:$R$100000,0)=ROW()-4,ROW(),""))</f>
        <v/>
      </c>
      <c r="T1327" s="9">
        <f>IF(Q1327="당기",ABS(P1327)+ROW()/1000000000,"")</f>
        <v/>
      </c>
      <c r="U1327" s="9">
        <f>IF(Q1327="비교",ABS(P1327)+ROW()/1000000000,"")</f>
        <v/>
      </c>
      <c r="V1327" s="64">
        <f>IF($A1327="","",IF(COUNTIF(변동분석!$E$7:$E$506,O1327)&gt;0,"Y","N"))</f>
        <v/>
      </c>
      <c r="W1327" s="64">
        <f>IF($A1327="","",IFERROR(INDEX(계정매핑!$D$5:$D$504,MATCH($F1327&amp;"",계정매핑!$A$5:$A$504,0)),"미매핑"))</f>
        <v/>
      </c>
      <c r="X1327" s="9">
        <f>IF($A1327="","",$F1327&amp;"")</f>
        <v/>
      </c>
      <c r="Y1327" s="94">
        <f>IF($A1327="",0,IF(AE1327="직접",IF(AF1327="비귀속",$P1327,0),$P1327*(1-AG1327)*IFERROR(INDEX(계정대체기준!$F$20:$F$49,MATCH($N1327,계정대체기준!$A$20:$A$49,0)),1)))</f>
        <v/>
      </c>
      <c r="Z1327" s="94">
        <f>IF($A1327="",0,IF(AE1327="직접",IF(AF1327="신계약비",$P1327,0),$P1327*(1-AG1327)*IFERROR(INDEX(계정대체기준!$C$20:$C$49,MATCH($N1327,계정대체기준!$A$20:$A$49,0)),0)))</f>
        <v/>
      </c>
      <c r="AA1327" s="94">
        <f>IF($A1327="",0,IF(AE1327="직접",IF(OR(AF1327="유지비",AF1327="손해조사비"),$P1327,0),$P1327*(1-AG1327)*IFERROR(INDEX(계정대체기준!$D$20:$D$49,MATCH($N1327,계정대체기준!$A$20:$A$49,0)),0)))</f>
        <v/>
      </c>
      <c r="AB1327" s="94">
        <f>IF($A1327="",0,IF(AE1327="직접",IF(AF1327="수금비",$P1327,0),$P1327*(1-AG1327)*IFERROR(INDEX(계정대체기준!$E$20:$E$49,MATCH($N1327,계정대체기준!$A$20:$A$49,0)),0)))</f>
        <v/>
      </c>
      <c r="AC1327" s="9">
        <f>IF(AND($A1327&lt;&gt;"",M1327=설정!$C$20,Z1327&gt;0),Z1327+ROW()/1000000000,"")</f>
        <v/>
      </c>
      <c r="AD1327" s="94">
        <f>IF($A1327="",0,$P1327*AG1327)</f>
        <v/>
      </c>
      <c r="AE1327" s="64">
        <f>IF($A1327="","",IFERROR(INDEX(계정매핑!$E$5:$E$504,MATCH($F1327&amp;"",계정매핑!$A$5:$A$504,0))&amp;"","공통비"))</f>
        <v/>
      </c>
      <c r="AF1327" s="64">
        <f>IF($A1327="","",IF(AE1327="직접",IFERROR(INDEX(계정매핑!$F$5:$F$504,MATCH($F1327&amp;"",계정매핑!$A$5:$A$504,0))&amp;"","비귀속"),""))</f>
        <v/>
      </c>
      <c r="AG1327" s="96">
        <f>IF($A1327="",0,IF(AND(AE1327&lt;&gt;"직접",IFERROR(INDEX(계정매핑!$G$5:$G$504,MATCH($F1327&amp;"",계정매핑!$A$5:$A$504,0))&amp;"","")="유지비",COUNTIF(계정대체기준!$A$6:$A$15,$N1327)&gt;0),IFERROR(INDEX(계정대체기준!$E$6:$E$15,MATCH(VALUE($A1327&amp;""),계정대체기준!$D$6:$D$15,0)),0),0))</f>
        <v/>
      </c>
      <c r="AH1327" s="64">
        <f>IF($A1327="","",IF(AD1327=0,"",IF(OR(COUNTIF(계정대체기준!$A$77:$A$86,$N1327)&gt;0,ISNUMBER(MATCH($X1327,계정대체기준!$D$77:$D$86,0)),ISNUMBER(MATCH($F1327,계정대체기준!$D$77:$D$86,0))),"Y","N")))</f>
        <v/>
      </c>
    </row>
    <row r="1328">
      <c r="A1328" s="92" t="n">
        <v>2025</v>
      </c>
      <c r="B1328" s="92" t="n">
        <v>6</v>
      </c>
      <c r="C1328" s="92" t="inlineStr">
        <is>
          <t>5100001324</t>
        </is>
      </c>
      <c r="D1328" s="95" t="n">
        <v>45832</v>
      </c>
      <c r="E1328" s="92" t="inlineStr">
        <is>
          <t>KR</t>
        </is>
      </c>
      <c r="F1328" s="92" t="n">
        <v>62102000</v>
      </c>
      <c r="G1328" s="92" t="n">
        <v>1801</v>
      </c>
      <c r="H1328" s="93" t="n">
        <v>42000</v>
      </c>
      <c r="I1328" s="92" t="inlineStr">
        <is>
          <t>6월 해외출장 - N호텔</t>
        </is>
      </c>
      <c r="J1328" s="92" t="inlineStr">
        <is>
          <t>V10009</t>
        </is>
      </c>
      <c r="K1328" s="92" t="inlineStr">
        <is>
          <t>N호텔</t>
        </is>
      </c>
      <c r="M1328" s="9">
        <f>IF($A1328="","",VALUE($A1328&amp;"")*12+VALUE($B1328&amp;""))</f>
        <v/>
      </c>
      <c r="N1328" s="64">
        <f>IF($A1328="","",IFERROR(INDEX(부서매핑!$C$5:$C$504,MATCH($G1328&amp;"",부서매핑!$A$5:$A$504,0)),"미매핑"))</f>
        <v/>
      </c>
      <c r="O1328" s="9">
        <f>IF($A1328="","",N1328&amp;"|"&amp;$F1328)</f>
        <v/>
      </c>
      <c r="P1328" s="94">
        <f>IF($A1328="",0,$H1328*설정!$C$23)</f>
        <v/>
      </c>
      <c r="Q1328" s="64">
        <f>IF($A1328="","",IF(O1328&lt;&gt;원인분석!$C$9,"",IF(AND(M1328&gt;=원인분석!$C$10,M1328&lt;=원인분석!$C$11),"당기",IF(AND(M1328&gt;=원인분석!$C$12,M1328&lt;=원인분석!$C$13),"비교",""))))</f>
        <v/>
      </c>
      <c r="R1328" s="9">
        <f>IF(Q1328="","",$K1328&amp;"")</f>
        <v/>
      </c>
      <c r="S1328" s="9">
        <f>IF(Q1328="","",IF(MATCH(R1328,$R$5:$R$100000,0)=ROW()-4,ROW(),""))</f>
        <v/>
      </c>
      <c r="T1328" s="9">
        <f>IF(Q1328="당기",ABS(P1328)+ROW()/1000000000,"")</f>
        <v/>
      </c>
      <c r="U1328" s="9">
        <f>IF(Q1328="비교",ABS(P1328)+ROW()/1000000000,"")</f>
        <v/>
      </c>
      <c r="V1328" s="64">
        <f>IF($A1328="","",IF(COUNTIF(변동분석!$E$7:$E$506,O1328)&gt;0,"Y","N"))</f>
        <v/>
      </c>
      <c r="W1328" s="64">
        <f>IF($A1328="","",IFERROR(INDEX(계정매핑!$D$5:$D$504,MATCH($F1328&amp;"",계정매핑!$A$5:$A$504,0)),"미매핑"))</f>
        <v/>
      </c>
      <c r="X1328" s="9">
        <f>IF($A1328="","",$F1328&amp;"")</f>
        <v/>
      </c>
      <c r="Y1328" s="94">
        <f>IF($A1328="",0,IF(AE1328="직접",IF(AF1328="비귀속",$P1328,0),$P1328*(1-AG1328)*IFERROR(INDEX(계정대체기준!$F$20:$F$49,MATCH($N1328,계정대체기준!$A$20:$A$49,0)),1)))</f>
        <v/>
      </c>
      <c r="Z1328" s="94">
        <f>IF($A1328="",0,IF(AE1328="직접",IF(AF1328="신계약비",$P1328,0),$P1328*(1-AG1328)*IFERROR(INDEX(계정대체기준!$C$20:$C$49,MATCH($N1328,계정대체기준!$A$20:$A$49,0)),0)))</f>
        <v/>
      </c>
      <c r="AA1328" s="94">
        <f>IF($A1328="",0,IF(AE1328="직접",IF(OR(AF1328="유지비",AF1328="손해조사비"),$P1328,0),$P1328*(1-AG1328)*IFERROR(INDEX(계정대체기준!$D$20:$D$49,MATCH($N1328,계정대체기준!$A$20:$A$49,0)),0)))</f>
        <v/>
      </c>
      <c r="AB1328" s="94">
        <f>IF($A1328="",0,IF(AE1328="직접",IF(AF1328="수금비",$P1328,0),$P1328*(1-AG1328)*IFERROR(INDEX(계정대체기준!$E$20:$E$49,MATCH($N1328,계정대체기준!$A$20:$A$49,0)),0)))</f>
        <v/>
      </c>
      <c r="AC1328" s="9">
        <f>IF(AND($A1328&lt;&gt;"",M1328=설정!$C$20,Z1328&gt;0),Z1328+ROW()/1000000000,"")</f>
        <v/>
      </c>
      <c r="AD1328" s="94">
        <f>IF($A1328="",0,$P1328*AG1328)</f>
        <v/>
      </c>
      <c r="AE1328" s="64">
        <f>IF($A1328="","",IFERROR(INDEX(계정매핑!$E$5:$E$504,MATCH($F1328&amp;"",계정매핑!$A$5:$A$504,0))&amp;"","공통비"))</f>
        <v/>
      </c>
      <c r="AF1328" s="64">
        <f>IF($A1328="","",IF(AE1328="직접",IFERROR(INDEX(계정매핑!$F$5:$F$504,MATCH($F1328&amp;"",계정매핑!$A$5:$A$504,0))&amp;"","비귀속"),""))</f>
        <v/>
      </c>
      <c r="AG1328" s="96">
        <f>IF($A1328="",0,IF(AND(AE1328&lt;&gt;"직접",IFERROR(INDEX(계정매핑!$G$5:$G$504,MATCH($F1328&amp;"",계정매핑!$A$5:$A$504,0))&amp;"","")="유지비",COUNTIF(계정대체기준!$A$6:$A$15,$N1328)&gt;0),IFERROR(INDEX(계정대체기준!$E$6:$E$15,MATCH(VALUE($A1328&amp;""),계정대체기준!$D$6:$D$15,0)),0),0))</f>
        <v/>
      </c>
      <c r="AH1328" s="64">
        <f>IF($A1328="","",IF(AD1328=0,"",IF(OR(COUNTIF(계정대체기준!$A$77:$A$86,$N1328)&gt;0,ISNUMBER(MATCH($X1328,계정대체기준!$D$77:$D$86,0)),ISNUMBER(MATCH($F1328,계정대체기준!$D$77:$D$86,0))),"Y","N")))</f>
        <v/>
      </c>
    </row>
    <row r="1329">
      <c r="A1329" s="92" t="n">
        <v>2025</v>
      </c>
      <c r="B1329" s="92" t="n">
        <v>6</v>
      </c>
      <c r="C1329" s="92" t="inlineStr">
        <is>
          <t>5100001325</t>
        </is>
      </c>
      <c r="D1329" s="95" t="n">
        <v>45832</v>
      </c>
      <c r="E1329" s="92" t="inlineStr">
        <is>
          <t>KR</t>
        </is>
      </c>
      <c r="F1329" s="92" t="n">
        <v>62201000</v>
      </c>
      <c r="G1329" s="92" t="n">
        <v>1401</v>
      </c>
      <c r="H1329" s="93" t="n">
        <v>168000</v>
      </c>
      <c r="I1329" s="92" t="inlineStr">
        <is>
          <t>6월 통신요금 - O텔레콤</t>
        </is>
      </c>
      <c r="J1329" s="92" t="inlineStr">
        <is>
          <t>V10002</t>
        </is>
      </c>
      <c r="K1329" s="92" t="inlineStr">
        <is>
          <t>O텔레콤</t>
        </is>
      </c>
      <c r="M1329" s="9">
        <f>IF($A1329="","",VALUE($A1329&amp;"")*12+VALUE($B1329&amp;""))</f>
        <v/>
      </c>
      <c r="N1329" s="64">
        <f>IF($A1329="","",IFERROR(INDEX(부서매핑!$C$5:$C$504,MATCH($G1329&amp;"",부서매핑!$A$5:$A$504,0)),"미매핑"))</f>
        <v/>
      </c>
      <c r="O1329" s="9">
        <f>IF($A1329="","",N1329&amp;"|"&amp;$F1329)</f>
        <v/>
      </c>
      <c r="P1329" s="94">
        <f>IF($A1329="",0,$H1329*설정!$C$23)</f>
        <v/>
      </c>
      <c r="Q1329" s="64">
        <f>IF($A1329="","",IF(O1329&lt;&gt;원인분석!$C$9,"",IF(AND(M1329&gt;=원인분석!$C$10,M1329&lt;=원인분석!$C$11),"당기",IF(AND(M1329&gt;=원인분석!$C$12,M1329&lt;=원인분석!$C$13),"비교",""))))</f>
        <v/>
      </c>
      <c r="R1329" s="9">
        <f>IF(Q1329="","",$K1329&amp;"")</f>
        <v/>
      </c>
      <c r="S1329" s="9">
        <f>IF(Q1329="","",IF(MATCH(R1329,$R$5:$R$100000,0)=ROW()-4,ROW(),""))</f>
        <v/>
      </c>
      <c r="T1329" s="9">
        <f>IF(Q1329="당기",ABS(P1329)+ROW()/1000000000,"")</f>
        <v/>
      </c>
      <c r="U1329" s="9">
        <f>IF(Q1329="비교",ABS(P1329)+ROW()/1000000000,"")</f>
        <v/>
      </c>
      <c r="V1329" s="64">
        <f>IF($A1329="","",IF(COUNTIF(변동분석!$E$7:$E$506,O1329)&gt;0,"Y","N"))</f>
        <v/>
      </c>
      <c r="W1329" s="64">
        <f>IF($A1329="","",IFERROR(INDEX(계정매핑!$D$5:$D$504,MATCH($F1329&amp;"",계정매핑!$A$5:$A$504,0)),"미매핑"))</f>
        <v/>
      </c>
      <c r="X1329" s="9">
        <f>IF($A1329="","",$F1329&amp;"")</f>
        <v/>
      </c>
      <c r="Y1329" s="94">
        <f>IF($A1329="",0,IF(AE1329="직접",IF(AF1329="비귀속",$P1329,0),$P1329*(1-AG1329)*IFERROR(INDEX(계정대체기준!$F$20:$F$49,MATCH($N1329,계정대체기준!$A$20:$A$49,0)),1)))</f>
        <v/>
      </c>
      <c r="Z1329" s="94">
        <f>IF($A1329="",0,IF(AE1329="직접",IF(AF1329="신계약비",$P1329,0),$P1329*(1-AG1329)*IFERROR(INDEX(계정대체기준!$C$20:$C$49,MATCH($N1329,계정대체기준!$A$20:$A$49,0)),0)))</f>
        <v/>
      </c>
      <c r="AA1329" s="94">
        <f>IF($A1329="",0,IF(AE1329="직접",IF(OR(AF1329="유지비",AF1329="손해조사비"),$P1329,0),$P1329*(1-AG1329)*IFERROR(INDEX(계정대체기준!$D$20:$D$49,MATCH($N1329,계정대체기준!$A$20:$A$49,0)),0)))</f>
        <v/>
      </c>
      <c r="AB1329" s="94">
        <f>IF($A1329="",0,IF(AE1329="직접",IF(AF1329="수금비",$P1329,0),$P1329*(1-AG1329)*IFERROR(INDEX(계정대체기준!$E$20:$E$49,MATCH($N1329,계정대체기준!$A$20:$A$49,0)),0)))</f>
        <v/>
      </c>
      <c r="AC1329" s="9">
        <f>IF(AND($A1329&lt;&gt;"",M1329=설정!$C$20,Z1329&gt;0),Z1329+ROW()/1000000000,"")</f>
        <v/>
      </c>
      <c r="AD1329" s="94">
        <f>IF($A1329="",0,$P1329*AG1329)</f>
        <v/>
      </c>
      <c r="AE1329" s="64">
        <f>IF($A1329="","",IFERROR(INDEX(계정매핑!$E$5:$E$504,MATCH($F1329&amp;"",계정매핑!$A$5:$A$504,0))&amp;"","공통비"))</f>
        <v/>
      </c>
      <c r="AF1329" s="64">
        <f>IF($A1329="","",IF(AE1329="직접",IFERROR(INDEX(계정매핑!$F$5:$F$504,MATCH($F1329&amp;"",계정매핑!$A$5:$A$504,0))&amp;"","비귀속"),""))</f>
        <v/>
      </c>
      <c r="AG1329" s="96">
        <f>IF($A1329="",0,IF(AND(AE1329&lt;&gt;"직접",IFERROR(INDEX(계정매핑!$G$5:$G$504,MATCH($F1329&amp;"",계정매핑!$A$5:$A$504,0))&amp;"","")="유지비",COUNTIF(계정대체기준!$A$6:$A$15,$N1329)&gt;0),IFERROR(INDEX(계정대체기준!$E$6:$E$15,MATCH(VALUE($A1329&amp;""),계정대체기준!$D$6:$D$15,0)),0),0))</f>
        <v/>
      </c>
      <c r="AH1329" s="64">
        <f>IF($A1329="","",IF(AD1329=0,"",IF(OR(COUNTIF(계정대체기준!$A$77:$A$86,$N1329)&gt;0,ISNUMBER(MATCH($X1329,계정대체기준!$D$77:$D$86,0)),ISNUMBER(MATCH($F1329,계정대체기준!$D$77:$D$86,0))),"Y","N")))</f>
        <v/>
      </c>
    </row>
    <row r="1330">
      <c r="A1330" s="92" t="n">
        <v>2025</v>
      </c>
      <c r="B1330" s="92" t="n">
        <v>6</v>
      </c>
      <c r="C1330" s="92" t="inlineStr">
        <is>
          <t>5100001326</t>
        </is>
      </c>
      <c r="D1330" s="95" t="n">
        <v>45832</v>
      </c>
      <c r="E1330" s="92" t="inlineStr">
        <is>
          <t>KR</t>
        </is>
      </c>
      <c r="F1330" s="92" t="n">
        <v>62201000</v>
      </c>
      <c r="G1330" s="92" t="n">
        <v>1601</v>
      </c>
      <c r="H1330" s="93" t="n">
        <v>1049000</v>
      </c>
      <c r="I1330" s="92" t="inlineStr">
        <is>
          <t>6월 통신요금 - P통신</t>
        </is>
      </c>
      <c r="J1330" s="92" t="inlineStr">
        <is>
          <t>V10014</t>
        </is>
      </c>
      <c r="K1330" s="92" t="inlineStr">
        <is>
          <t>P통신</t>
        </is>
      </c>
      <c r="M1330" s="9">
        <f>IF($A1330="","",VALUE($A1330&amp;"")*12+VALUE($B1330&amp;""))</f>
        <v/>
      </c>
      <c r="N1330" s="64">
        <f>IF($A1330="","",IFERROR(INDEX(부서매핑!$C$5:$C$504,MATCH($G1330&amp;"",부서매핑!$A$5:$A$504,0)),"미매핑"))</f>
        <v/>
      </c>
      <c r="O1330" s="9">
        <f>IF($A1330="","",N1330&amp;"|"&amp;$F1330)</f>
        <v/>
      </c>
      <c r="P1330" s="94">
        <f>IF($A1330="",0,$H1330*설정!$C$23)</f>
        <v/>
      </c>
      <c r="Q1330" s="64">
        <f>IF($A1330="","",IF(O1330&lt;&gt;원인분석!$C$9,"",IF(AND(M1330&gt;=원인분석!$C$10,M1330&lt;=원인분석!$C$11),"당기",IF(AND(M1330&gt;=원인분석!$C$12,M1330&lt;=원인분석!$C$13),"비교",""))))</f>
        <v/>
      </c>
      <c r="R1330" s="9">
        <f>IF(Q1330="","",$K1330&amp;"")</f>
        <v/>
      </c>
      <c r="S1330" s="9">
        <f>IF(Q1330="","",IF(MATCH(R1330,$R$5:$R$100000,0)=ROW()-4,ROW(),""))</f>
        <v/>
      </c>
      <c r="T1330" s="9">
        <f>IF(Q1330="당기",ABS(P1330)+ROW()/1000000000,"")</f>
        <v/>
      </c>
      <c r="U1330" s="9">
        <f>IF(Q1330="비교",ABS(P1330)+ROW()/1000000000,"")</f>
        <v/>
      </c>
      <c r="V1330" s="64">
        <f>IF($A1330="","",IF(COUNTIF(변동분석!$E$7:$E$506,O1330)&gt;0,"Y","N"))</f>
        <v/>
      </c>
      <c r="W1330" s="64">
        <f>IF($A1330="","",IFERROR(INDEX(계정매핑!$D$5:$D$504,MATCH($F1330&amp;"",계정매핑!$A$5:$A$504,0)),"미매핑"))</f>
        <v/>
      </c>
      <c r="X1330" s="9">
        <f>IF($A1330="","",$F1330&amp;"")</f>
        <v/>
      </c>
      <c r="Y1330" s="94">
        <f>IF($A1330="",0,IF(AE1330="직접",IF(AF1330="비귀속",$P1330,0),$P1330*(1-AG1330)*IFERROR(INDEX(계정대체기준!$F$20:$F$49,MATCH($N1330,계정대체기준!$A$20:$A$49,0)),1)))</f>
        <v/>
      </c>
      <c r="Z1330" s="94">
        <f>IF($A1330="",0,IF(AE1330="직접",IF(AF1330="신계약비",$P1330,0),$P1330*(1-AG1330)*IFERROR(INDEX(계정대체기준!$C$20:$C$49,MATCH($N1330,계정대체기준!$A$20:$A$49,0)),0)))</f>
        <v/>
      </c>
      <c r="AA1330" s="94">
        <f>IF($A1330="",0,IF(AE1330="직접",IF(OR(AF1330="유지비",AF1330="손해조사비"),$P1330,0),$P1330*(1-AG1330)*IFERROR(INDEX(계정대체기준!$D$20:$D$49,MATCH($N1330,계정대체기준!$A$20:$A$49,0)),0)))</f>
        <v/>
      </c>
      <c r="AB1330" s="94">
        <f>IF($A1330="",0,IF(AE1330="직접",IF(AF1330="수금비",$P1330,0),$P1330*(1-AG1330)*IFERROR(INDEX(계정대체기준!$E$20:$E$49,MATCH($N1330,계정대체기준!$A$20:$A$49,0)),0)))</f>
        <v/>
      </c>
      <c r="AC1330" s="9">
        <f>IF(AND($A1330&lt;&gt;"",M1330=설정!$C$20,Z1330&gt;0),Z1330+ROW()/1000000000,"")</f>
        <v/>
      </c>
      <c r="AD1330" s="94">
        <f>IF($A1330="",0,$P1330*AG1330)</f>
        <v/>
      </c>
      <c r="AE1330" s="64">
        <f>IF($A1330="","",IFERROR(INDEX(계정매핑!$E$5:$E$504,MATCH($F1330&amp;"",계정매핑!$A$5:$A$504,0))&amp;"","공통비"))</f>
        <v/>
      </c>
      <c r="AF1330" s="64">
        <f>IF($A1330="","",IF(AE1330="직접",IFERROR(INDEX(계정매핑!$F$5:$F$504,MATCH($F1330&amp;"",계정매핑!$A$5:$A$504,0))&amp;"","비귀속"),""))</f>
        <v/>
      </c>
      <c r="AG1330" s="96">
        <f>IF($A1330="",0,IF(AND(AE1330&lt;&gt;"직접",IFERROR(INDEX(계정매핑!$G$5:$G$504,MATCH($F1330&amp;"",계정매핑!$A$5:$A$504,0))&amp;"","")="유지비",COUNTIF(계정대체기준!$A$6:$A$15,$N1330)&gt;0),IFERROR(INDEX(계정대체기준!$E$6:$E$15,MATCH(VALUE($A1330&amp;""),계정대체기준!$D$6:$D$15,0)),0),0))</f>
        <v/>
      </c>
      <c r="AH1330" s="64">
        <f>IF($A1330="","",IF(AD1330=0,"",IF(OR(COUNTIF(계정대체기준!$A$77:$A$86,$N1330)&gt;0,ISNUMBER(MATCH($X1330,계정대체기준!$D$77:$D$86,0)),ISNUMBER(MATCH($F1330,계정대체기준!$D$77:$D$86,0))),"Y","N")))</f>
        <v/>
      </c>
    </row>
    <row r="1331">
      <c r="A1331" s="92" t="n">
        <v>2025</v>
      </c>
      <c r="B1331" s="92" t="n">
        <v>6</v>
      </c>
      <c r="C1331" s="92" t="inlineStr">
        <is>
          <t>5100001327</t>
        </is>
      </c>
      <c r="D1331" s="95" t="n">
        <v>45832</v>
      </c>
      <c r="E1331" s="92" t="inlineStr">
        <is>
          <t>KR</t>
        </is>
      </c>
      <c r="F1331" s="92" t="n">
        <v>62301000</v>
      </c>
      <c r="G1331" s="92" t="n">
        <v>1602</v>
      </c>
      <c r="H1331" s="93" t="n">
        <v>211000</v>
      </c>
      <c r="I1331" s="92" t="inlineStr">
        <is>
          <t>6월 소모품 구입 - R문구</t>
        </is>
      </c>
      <c r="J1331" s="92" t="inlineStr">
        <is>
          <t>V10022</t>
        </is>
      </c>
      <c r="K1331" s="92" t="inlineStr">
        <is>
          <t>R문구</t>
        </is>
      </c>
      <c r="M1331" s="9">
        <f>IF($A1331="","",VALUE($A1331&amp;"")*12+VALUE($B1331&amp;""))</f>
        <v/>
      </c>
      <c r="N1331" s="64">
        <f>IF($A1331="","",IFERROR(INDEX(부서매핑!$C$5:$C$504,MATCH($G1331&amp;"",부서매핑!$A$5:$A$504,0)),"미매핑"))</f>
        <v/>
      </c>
      <c r="O1331" s="9">
        <f>IF($A1331="","",N1331&amp;"|"&amp;$F1331)</f>
        <v/>
      </c>
      <c r="P1331" s="94">
        <f>IF($A1331="",0,$H1331*설정!$C$23)</f>
        <v/>
      </c>
      <c r="Q1331" s="64">
        <f>IF($A1331="","",IF(O1331&lt;&gt;원인분석!$C$9,"",IF(AND(M1331&gt;=원인분석!$C$10,M1331&lt;=원인분석!$C$11),"당기",IF(AND(M1331&gt;=원인분석!$C$12,M1331&lt;=원인분석!$C$13),"비교",""))))</f>
        <v/>
      </c>
      <c r="R1331" s="9">
        <f>IF(Q1331="","",$K1331&amp;"")</f>
        <v/>
      </c>
      <c r="S1331" s="9">
        <f>IF(Q1331="","",IF(MATCH(R1331,$R$5:$R$100000,0)=ROW()-4,ROW(),""))</f>
        <v/>
      </c>
      <c r="T1331" s="9">
        <f>IF(Q1331="당기",ABS(P1331)+ROW()/1000000000,"")</f>
        <v/>
      </c>
      <c r="U1331" s="9">
        <f>IF(Q1331="비교",ABS(P1331)+ROW()/1000000000,"")</f>
        <v/>
      </c>
      <c r="V1331" s="64">
        <f>IF($A1331="","",IF(COUNTIF(변동분석!$E$7:$E$506,O1331)&gt;0,"Y","N"))</f>
        <v/>
      </c>
      <c r="W1331" s="64">
        <f>IF($A1331="","",IFERROR(INDEX(계정매핑!$D$5:$D$504,MATCH($F1331&amp;"",계정매핑!$A$5:$A$504,0)),"미매핑"))</f>
        <v/>
      </c>
      <c r="X1331" s="9">
        <f>IF($A1331="","",$F1331&amp;"")</f>
        <v/>
      </c>
      <c r="Y1331" s="94">
        <f>IF($A1331="",0,IF(AE1331="직접",IF(AF1331="비귀속",$P1331,0),$P1331*(1-AG1331)*IFERROR(INDEX(계정대체기준!$F$20:$F$49,MATCH($N1331,계정대체기준!$A$20:$A$49,0)),1)))</f>
        <v/>
      </c>
      <c r="Z1331" s="94">
        <f>IF($A1331="",0,IF(AE1331="직접",IF(AF1331="신계약비",$P1331,0),$P1331*(1-AG1331)*IFERROR(INDEX(계정대체기준!$C$20:$C$49,MATCH($N1331,계정대체기준!$A$20:$A$49,0)),0)))</f>
        <v/>
      </c>
      <c r="AA1331" s="94">
        <f>IF($A1331="",0,IF(AE1331="직접",IF(OR(AF1331="유지비",AF1331="손해조사비"),$P1331,0),$P1331*(1-AG1331)*IFERROR(INDEX(계정대체기준!$D$20:$D$49,MATCH($N1331,계정대체기준!$A$20:$A$49,0)),0)))</f>
        <v/>
      </c>
      <c r="AB1331" s="94">
        <f>IF($A1331="",0,IF(AE1331="직접",IF(AF1331="수금비",$P1331,0),$P1331*(1-AG1331)*IFERROR(INDEX(계정대체기준!$E$20:$E$49,MATCH($N1331,계정대체기준!$A$20:$A$49,0)),0)))</f>
        <v/>
      </c>
      <c r="AC1331" s="9">
        <f>IF(AND($A1331&lt;&gt;"",M1331=설정!$C$20,Z1331&gt;0),Z1331+ROW()/1000000000,"")</f>
        <v/>
      </c>
      <c r="AD1331" s="94">
        <f>IF($A1331="",0,$P1331*AG1331)</f>
        <v/>
      </c>
      <c r="AE1331" s="64">
        <f>IF($A1331="","",IFERROR(INDEX(계정매핑!$E$5:$E$504,MATCH($F1331&amp;"",계정매핑!$A$5:$A$504,0))&amp;"","공통비"))</f>
        <v/>
      </c>
      <c r="AF1331" s="64">
        <f>IF($A1331="","",IF(AE1331="직접",IFERROR(INDEX(계정매핑!$F$5:$F$504,MATCH($F1331&amp;"",계정매핑!$A$5:$A$504,0))&amp;"","비귀속"),""))</f>
        <v/>
      </c>
      <c r="AG1331" s="96">
        <f>IF($A1331="",0,IF(AND(AE1331&lt;&gt;"직접",IFERROR(INDEX(계정매핑!$G$5:$G$504,MATCH($F1331&amp;"",계정매핑!$A$5:$A$504,0))&amp;"","")="유지비",COUNTIF(계정대체기준!$A$6:$A$15,$N1331)&gt;0),IFERROR(INDEX(계정대체기준!$E$6:$E$15,MATCH(VALUE($A1331&amp;""),계정대체기준!$D$6:$D$15,0)),0),0))</f>
        <v/>
      </c>
      <c r="AH1331" s="64">
        <f>IF($A1331="","",IF(AD1331=0,"",IF(OR(COUNTIF(계정대체기준!$A$77:$A$86,$N1331)&gt;0,ISNUMBER(MATCH($X1331,계정대체기준!$D$77:$D$86,0)),ISNUMBER(MATCH($F1331,계정대체기준!$D$77:$D$86,0))),"Y","N")))</f>
        <v/>
      </c>
    </row>
    <row r="1332">
      <c r="A1332" s="92" t="n">
        <v>2025</v>
      </c>
      <c r="B1332" s="92" t="n">
        <v>6</v>
      </c>
      <c r="C1332" s="92" t="inlineStr">
        <is>
          <t>5100001328</t>
        </is>
      </c>
      <c r="D1332" s="95" t="n">
        <v>45832</v>
      </c>
      <c r="E1332" s="92" t="inlineStr">
        <is>
          <t>KR</t>
        </is>
      </c>
      <c r="F1332" s="92" t="n">
        <v>62401000</v>
      </c>
      <c r="G1332" s="92" t="n">
        <v>1502</v>
      </c>
      <c r="H1332" s="93" t="n">
        <v>1998000</v>
      </c>
      <c r="I1332" s="92" t="inlineStr">
        <is>
          <t>6월 인쇄물 제작 - G인쇄</t>
        </is>
      </c>
      <c r="J1332" s="92" t="inlineStr">
        <is>
          <t>V10004</t>
        </is>
      </c>
      <c r="K1332" s="92" t="inlineStr">
        <is>
          <t>G인쇄</t>
        </is>
      </c>
      <c r="M1332" s="9">
        <f>IF($A1332="","",VALUE($A1332&amp;"")*12+VALUE($B1332&amp;""))</f>
        <v/>
      </c>
      <c r="N1332" s="64">
        <f>IF($A1332="","",IFERROR(INDEX(부서매핑!$C$5:$C$504,MATCH($G1332&amp;"",부서매핑!$A$5:$A$504,0)),"미매핑"))</f>
        <v/>
      </c>
      <c r="O1332" s="9">
        <f>IF($A1332="","",N1332&amp;"|"&amp;$F1332)</f>
        <v/>
      </c>
      <c r="P1332" s="94">
        <f>IF($A1332="",0,$H1332*설정!$C$23)</f>
        <v/>
      </c>
      <c r="Q1332" s="64">
        <f>IF($A1332="","",IF(O1332&lt;&gt;원인분석!$C$9,"",IF(AND(M1332&gt;=원인분석!$C$10,M1332&lt;=원인분석!$C$11),"당기",IF(AND(M1332&gt;=원인분석!$C$12,M1332&lt;=원인분석!$C$13),"비교",""))))</f>
        <v/>
      </c>
      <c r="R1332" s="9">
        <f>IF(Q1332="","",$K1332&amp;"")</f>
        <v/>
      </c>
      <c r="S1332" s="9">
        <f>IF(Q1332="","",IF(MATCH(R1332,$R$5:$R$100000,0)=ROW()-4,ROW(),""))</f>
        <v/>
      </c>
      <c r="T1332" s="9">
        <f>IF(Q1332="당기",ABS(P1332)+ROW()/1000000000,"")</f>
        <v/>
      </c>
      <c r="U1332" s="9">
        <f>IF(Q1332="비교",ABS(P1332)+ROW()/1000000000,"")</f>
        <v/>
      </c>
      <c r="V1332" s="64">
        <f>IF($A1332="","",IF(COUNTIF(변동분석!$E$7:$E$506,O1332)&gt;0,"Y","N"))</f>
        <v/>
      </c>
      <c r="W1332" s="64">
        <f>IF($A1332="","",IFERROR(INDEX(계정매핑!$D$5:$D$504,MATCH($F1332&amp;"",계정매핑!$A$5:$A$504,0)),"미매핑"))</f>
        <v/>
      </c>
      <c r="X1332" s="9">
        <f>IF($A1332="","",$F1332&amp;"")</f>
        <v/>
      </c>
      <c r="Y1332" s="94">
        <f>IF($A1332="",0,IF(AE1332="직접",IF(AF1332="비귀속",$P1332,0),$P1332*(1-AG1332)*IFERROR(INDEX(계정대체기준!$F$20:$F$49,MATCH($N1332,계정대체기준!$A$20:$A$49,0)),1)))</f>
        <v/>
      </c>
      <c r="Z1332" s="94">
        <f>IF($A1332="",0,IF(AE1332="직접",IF(AF1332="신계약비",$P1332,0),$P1332*(1-AG1332)*IFERROR(INDEX(계정대체기준!$C$20:$C$49,MATCH($N1332,계정대체기준!$A$20:$A$49,0)),0)))</f>
        <v/>
      </c>
      <c r="AA1332" s="94">
        <f>IF($A1332="",0,IF(AE1332="직접",IF(OR(AF1332="유지비",AF1332="손해조사비"),$P1332,0),$P1332*(1-AG1332)*IFERROR(INDEX(계정대체기준!$D$20:$D$49,MATCH($N1332,계정대체기준!$A$20:$A$49,0)),0)))</f>
        <v/>
      </c>
      <c r="AB1332" s="94">
        <f>IF($A1332="",0,IF(AE1332="직접",IF(AF1332="수금비",$P1332,0),$P1332*(1-AG1332)*IFERROR(INDEX(계정대체기준!$E$20:$E$49,MATCH($N1332,계정대체기준!$A$20:$A$49,0)),0)))</f>
        <v/>
      </c>
      <c r="AC1332" s="9">
        <f>IF(AND($A1332&lt;&gt;"",M1332=설정!$C$20,Z1332&gt;0),Z1332+ROW()/1000000000,"")</f>
        <v/>
      </c>
      <c r="AD1332" s="94">
        <f>IF($A1332="",0,$P1332*AG1332)</f>
        <v/>
      </c>
      <c r="AE1332" s="64">
        <f>IF($A1332="","",IFERROR(INDEX(계정매핑!$E$5:$E$504,MATCH($F1332&amp;"",계정매핑!$A$5:$A$504,0))&amp;"","공통비"))</f>
        <v/>
      </c>
      <c r="AF1332" s="64">
        <f>IF($A1332="","",IF(AE1332="직접",IFERROR(INDEX(계정매핑!$F$5:$F$504,MATCH($F1332&amp;"",계정매핑!$A$5:$A$504,0))&amp;"","비귀속"),""))</f>
        <v/>
      </c>
      <c r="AG1332" s="96">
        <f>IF($A1332="",0,IF(AND(AE1332&lt;&gt;"직접",IFERROR(INDEX(계정매핑!$G$5:$G$504,MATCH($F1332&amp;"",계정매핑!$A$5:$A$504,0))&amp;"","")="유지비",COUNTIF(계정대체기준!$A$6:$A$15,$N1332)&gt;0),IFERROR(INDEX(계정대체기준!$E$6:$E$15,MATCH(VALUE($A1332&amp;""),계정대체기준!$D$6:$D$15,0)),0),0))</f>
        <v/>
      </c>
      <c r="AH1332" s="64">
        <f>IF($A1332="","",IF(AD1332=0,"",IF(OR(COUNTIF(계정대체기준!$A$77:$A$86,$N1332)&gt;0,ISNUMBER(MATCH($X1332,계정대체기준!$D$77:$D$86,0)),ISNUMBER(MATCH($F1332,계정대체기준!$D$77:$D$86,0))),"Y","N")))</f>
        <v/>
      </c>
    </row>
    <row r="1333">
      <c r="A1333" s="92" t="n">
        <v>2025</v>
      </c>
      <c r="B1333" s="92" t="n">
        <v>6</v>
      </c>
      <c r="C1333" s="92" t="inlineStr">
        <is>
          <t>5100001329</t>
        </is>
      </c>
      <c r="D1333" s="95" t="n">
        <v>45832</v>
      </c>
      <c r="E1333" s="92" t="inlineStr">
        <is>
          <t>KR</t>
        </is>
      </c>
      <c r="F1333" s="92" t="n">
        <v>62501000</v>
      </c>
      <c r="G1333" s="92" t="n">
        <v>1201</v>
      </c>
      <c r="H1333" s="93" t="n">
        <v>107000</v>
      </c>
      <c r="I1333" s="92" t="inlineStr">
        <is>
          <t>6월 회의 다과 - (법인카드)</t>
        </is>
      </c>
      <c r="J1333" s="92" t="inlineStr">
        <is>
          <t>V10010</t>
        </is>
      </c>
      <c r="K1333" s="92" t="inlineStr">
        <is>
          <t>(법인카드)</t>
        </is>
      </c>
      <c r="M1333" s="9">
        <f>IF($A1333="","",VALUE($A1333&amp;"")*12+VALUE($B1333&amp;""))</f>
        <v/>
      </c>
      <c r="N1333" s="64">
        <f>IF($A1333="","",IFERROR(INDEX(부서매핑!$C$5:$C$504,MATCH($G1333&amp;"",부서매핑!$A$5:$A$504,0)),"미매핑"))</f>
        <v/>
      </c>
      <c r="O1333" s="9">
        <f>IF($A1333="","",N1333&amp;"|"&amp;$F1333)</f>
        <v/>
      </c>
      <c r="P1333" s="94">
        <f>IF($A1333="",0,$H1333*설정!$C$23)</f>
        <v/>
      </c>
      <c r="Q1333" s="64">
        <f>IF($A1333="","",IF(O1333&lt;&gt;원인분석!$C$9,"",IF(AND(M1333&gt;=원인분석!$C$10,M1333&lt;=원인분석!$C$11),"당기",IF(AND(M1333&gt;=원인분석!$C$12,M1333&lt;=원인분석!$C$13),"비교",""))))</f>
        <v/>
      </c>
      <c r="R1333" s="9">
        <f>IF(Q1333="","",$K1333&amp;"")</f>
        <v/>
      </c>
      <c r="S1333" s="9">
        <f>IF(Q1333="","",IF(MATCH(R1333,$R$5:$R$100000,0)=ROW()-4,ROW(),""))</f>
        <v/>
      </c>
      <c r="T1333" s="9">
        <f>IF(Q1333="당기",ABS(P1333)+ROW()/1000000000,"")</f>
        <v/>
      </c>
      <c r="U1333" s="9">
        <f>IF(Q1333="비교",ABS(P1333)+ROW()/1000000000,"")</f>
        <v/>
      </c>
      <c r="V1333" s="64">
        <f>IF($A1333="","",IF(COUNTIF(변동분석!$E$7:$E$506,O1333)&gt;0,"Y","N"))</f>
        <v/>
      </c>
      <c r="W1333" s="64">
        <f>IF($A1333="","",IFERROR(INDEX(계정매핑!$D$5:$D$504,MATCH($F1333&amp;"",계정매핑!$A$5:$A$504,0)),"미매핑"))</f>
        <v/>
      </c>
      <c r="X1333" s="9">
        <f>IF($A1333="","",$F1333&amp;"")</f>
        <v/>
      </c>
      <c r="Y1333" s="94">
        <f>IF($A1333="",0,IF(AE1333="직접",IF(AF1333="비귀속",$P1333,0),$P1333*(1-AG1333)*IFERROR(INDEX(계정대체기준!$F$20:$F$49,MATCH($N1333,계정대체기준!$A$20:$A$49,0)),1)))</f>
        <v/>
      </c>
      <c r="Z1333" s="94">
        <f>IF($A1333="",0,IF(AE1333="직접",IF(AF1333="신계약비",$P1333,0),$P1333*(1-AG1333)*IFERROR(INDEX(계정대체기준!$C$20:$C$49,MATCH($N1333,계정대체기준!$A$20:$A$49,0)),0)))</f>
        <v/>
      </c>
      <c r="AA1333" s="94">
        <f>IF($A1333="",0,IF(AE1333="직접",IF(OR(AF1333="유지비",AF1333="손해조사비"),$P1333,0),$P1333*(1-AG1333)*IFERROR(INDEX(계정대체기준!$D$20:$D$49,MATCH($N1333,계정대체기준!$A$20:$A$49,0)),0)))</f>
        <v/>
      </c>
      <c r="AB1333" s="94">
        <f>IF($A1333="",0,IF(AE1333="직접",IF(AF1333="수금비",$P1333,0),$P1333*(1-AG1333)*IFERROR(INDEX(계정대체기준!$E$20:$E$49,MATCH($N1333,계정대체기준!$A$20:$A$49,0)),0)))</f>
        <v/>
      </c>
      <c r="AC1333" s="9">
        <f>IF(AND($A1333&lt;&gt;"",M1333=설정!$C$20,Z1333&gt;0),Z1333+ROW()/1000000000,"")</f>
        <v/>
      </c>
      <c r="AD1333" s="94">
        <f>IF($A1333="",0,$P1333*AG1333)</f>
        <v/>
      </c>
      <c r="AE1333" s="64">
        <f>IF($A1333="","",IFERROR(INDEX(계정매핑!$E$5:$E$504,MATCH($F1333&amp;"",계정매핑!$A$5:$A$504,0))&amp;"","공통비"))</f>
        <v/>
      </c>
      <c r="AF1333" s="64">
        <f>IF($A1333="","",IF(AE1333="직접",IFERROR(INDEX(계정매핑!$F$5:$F$504,MATCH($F1333&amp;"",계정매핑!$A$5:$A$504,0))&amp;"","비귀속"),""))</f>
        <v/>
      </c>
      <c r="AG1333" s="96">
        <f>IF($A1333="",0,IF(AND(AE1333&lt;&gt;"직접",IFERROR(INDEX(계정매핑!$G$5:$G$504,MATCH($F1333&amp;"",계정매핑!$A$5:$A$504,0))&amp;"","")="유지비",COUNTIF(계정대체기준!$A$6:$A$15,$N1333)&gt;0),IFERROR(INDEX(계정대체기준!$E$6:$E$15,MATCH(VALUE($A1333&amp;""),계정대체기준!$D$6:$D$15,0)),0),0))</f>
        <v/>
      </c>
      <c r="AH1333" s="64">
        <f>IF($A1333="","",IF(AD1333=0,"",IF(OR(COUNTIF(계정대체기준!$A$77:$A$86,$N1333)&gt;0,ISNUMBER(MATCH($X1333,계정대체기준!$D$77:$D$86,0)),ISNUMBER(MATCH($F1333,계정대체기준!$D$77:$D$86,0))),"Y","N")))</f>
        <v/>
      </c>
    </row>
    <row r="1334">
      <c r="A1334" s="92" t="n">
        <v>2025</v>
      </c>
      <c r="B1334" s="92" t="n">
        <v>6</v>
      </c>
      <c r="C1334" s="92" t="inlineStr">
        <is>
          <t>5100001330</t>
        </is>
      </c>
      <c r="D1334" s="95" t="n">
        <v>45832</v>
      </c>
      <c r="E1334" s="92" t="inlineStr">
        <is>
          <t>KR</t>
        </is>
      </c>
      <c r="F1334" s="92" t="n">
        <v>62501000</v>
      </c>
      <c r="G1334" s="92" t="n">
        <v>1201</v>
      </c>
      <c r="H1334" s="93" t="n">
        <v>140000</v>
      </c>
      <c r="I1334" s="92" t="inlineStr">
        <is>
          <t>6월 회의 다과 - (법인카드)</t>
        </is>
      </c>
      <c r="J1334" s="92" t="inlineStr">
        <is>
          <t>V10010</t>
        </is>
      </c>
      <c r="K1334" s="92" t="inlineStr">
        <is>
          <t>(법인카드)</t>
        </is>
      </c>
      <c r="M1334" s="9">
        <f>IF($A1334="","",VALUE($A1334&amp;"")*12+VALUE($B1334&amp;""))</f>
        <v/>
      </c>
      <c r="N1334" s="64">
        <f>IF($A1334="","",IFERROR(INDEX(부서매핑!$C$5:$C$504,MATCH($G1334&amp;"",부서매핑!$A$5:$A$504,0)),"미매핑"))</f>
        <v/>
      </c>
      <c r="O1334" s="9">
        <f>IF($A1334="","",N1334&amp;"|"&amp;$F1334)</f>
        <v/>
      </c>
      <c r="P1334" s="94">
        <f>IF($A1334="",0,$H1334*설정!$C$23)</f>
        <v/>
      </c>
      <c r="Q1334" s="64">
        <f>IF($A1334="","",IF(O1334&lt;&gt;원인분석!$C$9,"",IF(AND(M1334&gt;=원인분석!$C$10,M1334&lt;=원인분석!$C$11),"당기",IF(AND(M1334&gt;=원인분석!$C$12,M1334&lt;=원인분석!$C$13),"비교",""))))</f>
        <v/>
      </c>
      <c r="R1334" s="9">
        <f>IF(Q1334="","",$K1334&amp;"")</f>
        <v/>
      </c>
      <c r="S1334" s="9">
        <f>IF(Q1334="","",IF(MATCH(R1334,$R$5:$R$100000,0)=ROW()-4,ROW(),""))</f>
        <v/>
      </c>
      <c r="T1334" s="9">
        <f>IF(Q1334="당기",ABS(P1334)+ROW()/1000000000,"")</f>
        <v/>
      </c>
      <c r="U1334" s="9">
        <f>IF(Q1334="비교",ABS(P1334)+ROW()/1000000000,"")</f>
        <v/>
      </c>
      <c r="V1334" s="64">
        <f>IF($A1334="","",IF(COUNTIF(변동분석!$E$7:$E$506,O1334)&gt;0,"Y","N"))</f>
        <v/>
      </c>
      <c r="W1334" s="64">
        <f>IF($A1334="","",IFERROR(INDEX(계정매핑!$D$5:$D$504,MATCH($F1334&amp;"",계정매핑!$A$5:$A$504,0)),"미매핑"))</f>
        <v/>
      </c>
      <c r="X1334" s="9">
        <f>IF($A1334="","",$F1334&amp;"")</f>
        <v/>
      </c>
      <c r="Y1334" s="94">
        <f>IF($A1334="",0,IF(AE1334="직접",IF(AF1334="비귀속",$P1334,0),$P1334*(1-AG1334)*IFERROR(INDEX(계정대체기준!$F$20:$F$49,MATCH($N1334,계정대체기준!$A$20:$A$49,0)),1)))</f>
        <v/>
      </c>
      <c r="Z1334" s="94">
        <f>IF($A1334="",0,IF(AE1334="직접",IF(AF1334="신계약비",$P1334,0),$P1334*(1-AG1334)*IFERROR(INDEX(계정대체기준!$C$20:$C$49,MATCH($N1334,계정대체기준!$A$20:$A$49,0)),0)))</f>
        <v/>
      </c>
      <c r="AA1334" s="94">
        <f>IF($A1334="",0,IF(AE1334="직접",IF(OR(AF1334="유지비",AF1334="손해조사비"),$P1334,0),$P1334*(1-AG1334)*IFERROR(INDEX(계정대체기준!$D$20:$D$49,MATCH($N1334,계정대체기준!$A$20:$A$49,0)),0)))</f>
        <v/>
      </c>
      <c r="AB1334" s="94">
        <f>IF($A1334="",0,IF(AE1334="직접",IF(AF1334="수금비",$P1334,0),$P1334*(1-AG1334)*IFERROR(INDEX(계정대체기준!$E$20:$E$49,MATCH($N1334,계정대체기준!$A$20:$A$49,0)),0)))</f>
        <v/>
      </c>
      <c r="AC1334" s="9">
        <f>IF(AND($A1334&lt;&gt;"",M1334=설정!$C$20,Z1334&gt;0),Z1334+ROW()/1000000000,"")</f>
        <v/>
      </c>
      <c r="AD1334" s="94">
        <f>IF($A1334="",0,$P1334*AG1334)</f>
        <v/>
      </c>
      <c r="AE1334" s="64">
        <f>IF($A1334="","",IFERROR(INDEX(계정매핑!$E$5:$E$504,MATCH($F1334&amp;"",계정매핑!$A$5:$A$504,0))&amp;"","공통비"))</f>
        <v/>
      </c>
      <c r="AF1334" s="64">
        <f>IF($A1334="","",IF(AE1334="직접",IFERROR(INDEX(계정매핑!$F$5:$F$504,MATCH($F1334&amp;"",계정매핑!$A$5:$A$504,0))&amp;"","비귀속"),""))</f>
        <v/>
      </c>
      <c r="AG1334" s="96">
        <f>IF($A1334="",0,IF(AND(AE1334&lt;&gt;"직접",IFERROR(INDEX(계정매핑!$G$5:$G$504,MATCH($F1334&amp;"",계정매핑!$A$5:$A$504,0))&amp;"","")="유지비",COUNTIF(계정대체기준!$A$6:$A$15,$N1334)&gt;0),IFERROR(INDEX(계정대체기준!$E$6:$E$15,MATCH(VALUE($A1334&amp;""),계정대체기준!$D$6:$D$15,0)),0),0))</f>
        <v/>
      </c>
      <c r="AH1334" s="64">
        <f>IF($A1334="","",IF(AD1334=0,"",IF(OR(COUNTIF(계정대체기준!$A$77:$A$86,$N1334)&gt;0,ISNUMBER(MATCH($X1334,계정대체기준!$D$77:$D$86,0)),ISNUMBER(MATCH($F1334,계정대체기준!$D$77:$D$86,0))),"Y","N")))</f>
        <v/>
      </c>
    </row>
    <row r="1335">
      <c r="A1335" s="92" t="n">
        <v>2025</v>
      </c>
      <c r="B1335" s="92" t="n">
        <v>6</v>
      </c>
      <c r="C1335" s="92" t="inlineStr">
        <is>
          <t>5100001331</t>
        </is>
      </c>
      <c r="D1335" s="95" t="n">
        <v>45832</v>
      </c>
      <c r="E1335" s="92" t="inlineStr">
        <is>
          <t>KR</t>
        </is>
      </c>
      <c r="F1335" s="92" t="n">
        <v>62701000</v>
      </c>
      <c r="G1335" s="92" t="n">
        <v>1502</v>
      </c>
      <c r="H1335" s="93" t="n">
        <v>92001000</v>
      </c>
      <c r="I1335" s="92" t="inlineStr">
        <is>
          <t>6월 광고 집행 - E미디어</t>
        </is>
      </c>
      <c r="J1335" s="92" t="inlineStr">
        <is>
          <t>V10033</t>
        </is>
      </c>
      <c r="K1335" s="92" t="inlineStr">
        <is>
          <t>E미디어</t>
        </is>
      </c>
      <c r="M1335" s="9">
        <f>IF($A1335="","",VALUE($A1335&amp;"")*12+VALUE($B1335&amp;""))</f>
        <v/>
      </c>
      <c r="N1335" s="64">
        <f>IF($A1335="","",IFERROR(INDEX(부서매핑!$C$5:$C$504,MATCH($G1335&amp;"",부서매핑!$A$5:$A$504,0)),"미매핑"))</f>
        <v/>
      </c>
      <c r="O1335" s="9">
        <f>IF($A1335="","",N1335&amp;"|"&amp;$F1335)</f>
        <v/>
      </c>
      <c r="P1335" s="94">
        <f>IF($A1335="",0,$H1335*설정!$C$23)</f>
        <v/>
      </c>
      <c r="Q1335" s="64">
        <f>IF($A1335="","",IF(O1335&lt;&gt;원인분석!$C$9,"",IF(AND(M1335&gt;=원인분석!$C$10,M1335&lt;=원인분석!$C$11),"당기",IF(AND(M1335&gt;=원인분석!$C$12,M1335&lt;=원인분석!$C$13),"비교",""))))</f>
        <v/>
      </c>
      <c r="R1335" s="9">
        <f>IF(Q1335="","",$K1335&amp;"")</f>
        <v/>
      </c>
      <c r="S1335" s="9">
        <f>IF(Q1335="","",IF(MATCH(R1335,$R$5:$R$100000,0)=ROW()-4,ROW(),""))</f>
        <v/>
      </c>
      <c r="T1335" s="9">
        <f>IF(Q1335="당기",ABS(P1335)+ROW()/1000000000,"")</f>
        <v/>
      </c>
      <c r="U1335" s="9">
        <f>IF(Q1335="비교",ABS(P1335)+ROW()/1000000000,"")</f>
        <v/>
      </c>
      <c r="V1335" s="64">
        <f>IF($A1335="","",IF(COUNTIF(변동분석!$E$7:$E$506,O1335)&gt;0,"Y","N"))</f>
        <v/>
      </c>
      <c r="W1335" s="64">
        <f>IF($A1335="","",IFERROR(INDEX(계정매핑!$D$5:$D$504,MATCH($F1335&amp;"",계정매핑!$A$5:$A$504,0)),"미매핑"))</f>
        <v/>
      </c>
      <c r="X1335" s="9">
        <f>IF($A1335="","",$F1335&amp;"")</f>
        <v/>
      </c>
      <c r="Y1335" s="94">
        <f>IF($A1335="",0,IF(AE1335="직접",IF(AF1335="비귀속",$P1335,0),$P1335*(1-AG1335)*IFERROR(INDEX(계정대체기준!$F$20:$F$49,MATCH($N1335,계정대체기준!$A$20:$A$49,0)),1)))</f>
        <v/>
      </c>
      <c r="Z1335" s="94">
        <f>IF($A1335="",0,IF(AE1335="직접",IF(AF1335="신계약비",$P1335,0),$P1335*(1-AG1335)*IFERROR(INDEX(계정대체기준!$C$20:$C$49,MATCH($N1335,계정대체기준!$A$20:$A$49,0)),0)))</f>
        <v/>
      </c>
      <c r="AA1335" s="94">
        <f>IF($A1335="",0,IF(AE1335="직접",IF(OR(AF1335="유지비",AF1335="손해조사비"),$P1335,0),$P1335*(1-AG1335)*IFERROR(INDEX(계정대체기준!$D$20:$D$49,MATCH($N1335,계정대체기준!$A$20:$A$49,0)),0)))</f>
        <v/>
      </c>
      <c r="AB1335" s="94">
        <f>IF($A1335="",0,IF(AE1335="직접",IF(AF1335="수금비",$P1335,0),$P1335*(1-AG1335)*IFERROR(INDEX(계정대체기준!$E$20:$E$49,MATCH($N1335,계정대체기준!$A$20:$A$49,0)),0)))</f>
        <v/>
      </c>
      <c r="AC1335" s="9">
        <f>IF(AND($A1335&lt;&gt;"",M1335=설정!$C$20,Z1335&gt;0),Z1335+ROW()/1000000000,"")</f>
        <v/>
      </c>
      <c r="AD1335" s="94">
        <f>IF($A1335="",0,$P1335*AG1335)</f>
        <v/>
      </c>
      <c r="AE1335" s="64">
        <f>IF($A1335="","",IFERROR(INDEX(계정매핑!$E$5:$E$504,MATCH($F1335&amp;"",계정매핑!$A$5:$A$504,0))&amp;"","공통비"))</f>
        <v/>
      </c>
      <c r="AF1335" s="64">
        <f>IF($A1335="","",IF(AE1335="직접",IFERROR(INDEX(계정매핑!$F$5:$F$504,MATCH($F1335&amp;"",계정매핑!$A$5:$A$504,0))&amp;"","비귀속"),""))</f>
        <v/>
      </c>
      <c r="AG1335" s="96">
        <f>IF($A1335="",0,IF(AND(AE1335&lt;&gt;"직접",IFERROR(INDEX(계정매핑!$G$5:$G$504,MATCH($F1335&amp;"",계정매핑!$A$5:$A$504,0))&amp;"","")="유지비",COUNTIF(계정대체기준!$A$6:$A$15,$N1335)&gt;0),IFERROR(INDEX(계정대체기준!$E$6:$E$15,MATCH(VALUE($A1335&amp;""),계정대체기준!$D$6:$D$15,0)),0),0))</f>
        <v/>
      </c>
      <c r="AH1335" s="64">
        <f>IF($A1335="","",IF(AD1335=0,"",IF(OR(COUNTIF(계정대체기준!$A$77:$A$86,$N1335)&gt;0,ISNUMBER(MATCH($X1335,계정대체기준!$D$77:$D$86,0)),ISNUMBER(MATCH($F1335,계정대체기준!$D$77:$D$86,0))),"Y","N")))</f>
        <v/>
      </c>
    </row>
    <row r="1336">
      <c r="A1336" s="92" t="n">
        <v>2025</v>
      </c>
      <c r="B1336" s="92" t="n">
        <v>6</v>
      </c>
      <c r="C1336" s="92" t="inlineStr">
        <is>
          <t>5100001332</t>
        </is>
      </c>
      <c r="D1336" s="95" t="n">
        <v>45832</v>
      </c>
      <c r="E1336" s="92" t="inlineStr">
        <is>
          <t>KR</t>
        </is>
      </c>
      <c r="F1336" s="92" t="n">
        <v>62802000</v>
      </c>
      <c r="G1336" s="92" t="n">
        <v>1301</v>
      </c>
      <c r="H1336" s="93" t="n">
        <v>5229000</v>
      </c>
      <c r="I1336" s="92" t="inlineStr">
        <is>
          <t>6월 위탁교육 - V아카데미</t>
        </is>
      </c>
      <c r="J1336" s="92" t="inlineStr">
        <is>
          <t>V10027</t>
        </is>
      </c>
      <c r="K1336" s="92" t="inlineStr">
        <is>
          <t>V아카데미</t>
        </is>
      </c>
      <c r="M1336" s="9">
        <f>IF($A1336="","",VALUE($A1336&amp;"")*12+VALUE($B1336&amp;""))</f>
        <v/>
      </c>
      <c r="N1336" s="64">
        <f>IF($A1336="","",IFERROR(INDEX(부서매핑!$C$5:$C$504,MATCH($G1336&amp;"",부서매핑!$A$5:$A$504,0)),"미매핑"))</f>
        <v/>
      </c>
      <c r="O1336" s="9">
        <f>IF($A1336="","",N1336&amp;"|"&amp;$F1336)</f>
        <v/>
      </c>
      <c r="P1336" s="94">
        <f>IF($A1336="",0,$H1336*설정!$C$23)</f>
        <v/>
      </c>
      <c r="Q1336" s="64">
        <f>IF($A1336="","",IF(O1336&lt;&gt;원인분석!$C$9,"",IF(AND(M1336&gt;=원인분석!$C$10,M1336&lt;=원인분석!$C$11),"당기",IF(AND(M1336&gt;=원인분석!$C$12,M1336&lt;=원인분석!$C$13),"비교",""))))</f>
        <v/>
      </c>
      <c r="R1336" s="9">
        <f>IF(Q1336="","",$K1336&amp;"")</f>
        <v/>
      </c>
      <c r="S1336" s="9">
        <f>IF(Q1336="","",IF(MATCH(R1336,$R$5:$R$100000,0)=ROW()-4,ROW(),""))</f>
        <v/>
      </c>
      <c r="T1336" s="9">
        <f>IF(Q1336="당기",ABS(P1336)+ROW()/1000000000,"")</f>
        <v/>
      </c>
      <c r="U1336" s="9">
        <f>IF(Q1336="비교",ABS(P1336)+ROW()/1000000000,"")</f>
        <v/>
      </c>
      <c r="V1336" s="64">
        <f>IF($A1336="","",IF(COUNTIF(변동분석!$E$7:$E$506,O1336)&gt;0,"Y","N"))</f>
        <v/>
      </c>
      <c r="W1336" s="64">
        <f>IF($A1336="","",IFERROR(INDEX(계정매핑!$D$5:$D$504,MATCH($F1336&amp;"",계정매핑!$A$5:$A$504,0)),"미매핑"))</f>
        <v/>
      </c>
      <c r="X1336" s="9">
        <f>IF($A1336="","",$F1336&amp;"")</f>
        <v/>
      </c>
      <c r="Y1336" s="94">
        <f>IF($A1336="",0,IF(AE1336="직접",IF(AF1336="비귀속",$P1336,0),$P1336*(1-AG1336)*IFERROR(INDEX(계정대체기준!$F$20:$F$49,MATCH($N1336,계정대체기준!$A$20:$A$49,0)),1)))</f>
        <v/>
      </c>
      <c r="Z1336" s="94">
        <f>IF($A1336="",0,IF(AE1336="직접",IF(AF1336="신계약비",$P1336,0),$P1336*(1-AG1336)*IFERROR(INDEX(계정대체기준!$C$20:$C$49,MATCH($N1336,계정대체기준!$A$20:$A$49,0)),0)))</f>
        <v/>
      </c>
      <c r="AA1336" s="94">
        <f>IF($A1336="",0,IF(AE1336="직접",IF(OR(AF1336="유지비",AF1336="손해조사비"),$P1336,0),$P1336*(1-AG1336)*IFERROR(INDEX(계정대체기준!$D$20:$D$49,MATCH($N1336,계정대체기준!$A$20:$A$49,0)),0)))</f>
        <v/>
      </c>
      <c r="AB1336" s="94">
        <f>IF($A1336="",0,IF(AE1336="직접",IF(AF1336="수금비",$P1336,0),$P1336*(1-AG1336)*IFERROR(INDEX(계정대체기준!$E$20:$E$49,MATCH($N1336,계정대체기준!$A$20:$A$49,0)),0)))</f>
        <v/>
      </c>
      <c r="AC1336" s="9">
        <f>IF(AND($A1336&lt;&gt;"",M1336=설정!$C$20,Z1336&gt;0),Z1336+ROW()/1000000000,"")</f>
        <v/>
      </c>
      <c r="AD1336" s="94">
        <f>IF($A1336="",0,$P1336*AG1336)</f>
        <v/>
      </c>
      <c r="AE1336" s="64">
        <f>IF($A1336="","",IFERROR(INDEX(계정매핑!$E$5:$E$504,MATCH($F1336&amp;"",계정매핑!$A$5:$A$504,0))&amp;"","공통비"))</f>
        <v/>
      </c>
      <c r="AF1336" s="64">
        <f>IF($A1336="","",IF(AE1336="직접",IFERROR(INDEX(계정매핑!$F$5:$F$504,MATCH($F1336&amp;"",계정매핑!$A$5:$A$504,0))&amp;"","비귀속"),""))</f>
        <v/>
      </c>
      <c r="AG1336" s="96">
        <f>IF($A1336="",0,IF(AND(AE1336&lt;&gt;"직접",IFERROR(INDEX(계정매핑!$G$5:$G$504,MATCH($F1336&amp;"",계정매핑!$A$5:$A$504,0))&amp;"","")="유지비",COUNTIF(계정대체기준!$A$6:$A$15,$N1336)&gt;0),IFERROR(INDEX(계정대체기준!$E$6:$E$15,MATCH(VALUE($A1336&amp;""),계정대체기준!$D$6:$D$15,0)),0),0))</f>
        <v/>
      </c>
      <c r="AH1336" s="64">
        <f>IF($A1336="","",IF(AD1336=0,"",IF(OR(COUNTIF(계정대체기준!$A$77:$A$86,$N1336)&gt;0,ISNUMBER(MATCH($X1336,계정대체기준!$D$77:$D$86,0)),ISNUMBER(MATCH($F1336,계정대체기준!$D$77:$D$86,0))),"Y","N")))</f>
        <v/>
      </c>
    </row>
    <row r="1337">
      <c r="A1337" s="92" t="n">
        <v>2025</v>
      </c>
      <c r="B1337" s="92" t="n">
        <v>6</v>
      </c>
      <c r="C1337" s="92" t="inlineStr">
        <is>
          <t>5100001333</t>
        </is>
      </c>
      <c r="D1337" s="95" t="n">
        <v>45832</v>
      </c>
      <c r="E1337" s="92" t="inlineStr">
        <is>
          <t>KR</t>
        </is>
      </c>
      <c r="F1337" s="92" t="n">
        <v>62901000</v>
      </c>
      <c r="G1337" s="92" t="n">
        <v>1401</v>
      </c>
      <c r="H1337" s="93" t="n">
        <v>4184000</v>
      </c>
      <c r="I1337" s="92" t="inlineStr">
        <is>
          <t>6월 자문 수수료 - W컨설팅</t>
        </is>
      </c>
      <c r="J1337" s="92" t="inlineStr">
        <is>
          <t>V10006</t>
        </is>
      </c>
      <c r="K1337" s="92" t="inlineStr">
        <is>
          <t>W컨설팅</t>
        </is>
      </c>
      <c r="M1337" s="9">
        <f>IF($A1337="","",VALUE($A1337&amp;"")*12+VALUE($B1337&amp;""))</f>
        <v/>
      </c>
      <c r="N1337" s="64">
        <f>IF($A1337="","",IFERROR(INDEX(부서매핑!$C$5:$C$504,MATCH($G1337&amp;"",부서매핑!$A$5:$A$504,0)),"미매핑"))</f>
        <v/>
      </c>
      <c r="O1337" s="9">
        <f>IF($A1337="","",N1337&amp;"|"&amp;$F1337)</f>
        <v/>
      </c>
      <c r="P1337" s="94">
        <f>IF($A1337="",0,$H1337*설정!$C$23)</f>
        <v/>
      </c>
      <c r="Q1337" s="64">
        <f>IF($A1337="","",IF(O1337&lt;&gt;원인분석!$C$9,"",IF(AND(M1337&gt;=원인분석!$C$10,M1337&lt;=원인분석!$C$11),"당기",IF(AND(M1337&gt;=원인분석!$C$12,M1337&lt;=원인분석!$C$13),"비교",""))))</f>
        <v/>
      </c>
      <c r="R1337" s="9">
        <f>IF(Q1337="","",$K1337&amp;"")</f>
        <v/>
      </c>
      <c r="S1337" s="9">
        <f>IF(Q1337="","",IF(MATCH(R1337,$R$5:$R$100000,0)=ROW()-4,ROW(),""))</f>
        <v/>
      </c>
      <c r="T1337" s="9">
        <f>IF(Q1337="당기",ABS(P1337)+ROW()/1000000000,"")</f>
        <v/>
      </c>
      <c r="U1337" s="9">
        <f>IF(Q1337="비교",ABS(P1337)+ROW()/1000000000,"")</f>
        <v/>
      </c>
      <c r="V1337" s="64">
        <f>IF($A1337="","",IF(COUNTIF(변동분석!$E$7:$E$506,O1337)&gt;0,"Y","N"))</f>
        <v/>
      </c>
      <c r="W1337" s="64">
        <f>IF($A1337="","",IFERROR(INDEX(계정매핑!$D$5:$D$504,MATCH($F1337&amp;"",계정매핑!$A$5:$A$504,0)),"미매핑"))</f>
        <v/>
      </c>
      <c r="X1337" s="9">
        <f>IF($A1337="","",$F1337&amp;"")</f>
        <v/>
      </c>
      <c r="Y1337" s="94">
        <f>IF($A1337="",0,IF(AE1337="직접",IF(AF1337="비귀속",$P1337,0),$P1337*(1-AG1337)*IFERROR(INDEX(계정대체기준!$F$20:$F$49,MATCH($N1337,계정대체기준!$A$20:$A$49,0)),1)))</f>
        <v/>
      </c>
      <c r="Z1337" s="94">
        <f>IF($A1337="",0,IF(AE1337="직접",IF(AF1337="신계약비",$P1337,0),$P1337*(1-AG1337)*IFERROR(INDEX(계정대체기준!$C$20:$C$49,MATCH($N1337,계정대체기준!$A$20:$A$49,0)),0)))</f>
        <v/>
      </c>
      <c r="AA1337" s="94">
        <f>IF($A1337="",0,IF(AE1337="직접",IF(OR(AF1337="유지비",AF1337="손해조사비"),$P1337,0),$P1337*(1-AG1337)*IFERROR(INDEX(계정대체기준!$D$20:$D$49,MATCH($N1337,계정대체기준!$A$20:$A$49,0)),0)))</f>
        <v/>
      </c>
      <c r="AB1337" s="94">
        <f>IF($A1337="",0,IF(AE1337="직접",IF(AF1337="수금비",$P1337,0),$P1337*(1-AG1337)*IFERROR(INDEX(계정대체기준!$E$20:$E$49,MATCH($N1337,계정대체기준!$A$20:$A$49,0)),0)))</f>
        <v/>
      </c>
      <c r="AC1337" s="9">
        <f>IF(AND($A1337&lt;&gt;"",M1337=설정!$C$20,Z1337&gt;0),Z1337+ROW()/1000000000,"")</f>
        <v/>
      </c>
      <c r="AD1337" s="94">
        <f>IF($A1337="",0,$P1337*AG1337)</f>
        <v/>
      </c>
      <c r="AE1337" s="64">
        <f>IF($A1337="","",IFERROR(INDEX(계정매핑!$E$5:$E$504,MATCH($F1337&amp;"",계정매핑!$A$5:$A$504,0))&amp;"","공통비"))</f>
        <v/>
      </c>
      <c r="AF1337" s="64">
        <f>IF($A1337="","",IF(AE1337="직접",IFERROR(INDEX(계정매핑!$F$5:$F$504,MATCH($F1337&amp;"",계정매핑!$A$5:$A$504,0))&amp;"","비귀속"),""))</f>
        <v/>
      </c>
      <c r="AG1337" s="96">
        <f>IF($A1337="",0,IF(AND(AE1337&lt;&gt;"직접",IFERROR(INDEX(계정매핑!$G$5:$G$504,MATCH($F1337&amp;"",계정매핑!$A$5:$A$504,0))&amp;"","")="유지비",COUNTIF(계정대체기준!$A$6:$A$15,$N1337)&gt;0),IFERROR(INDEX(계정대체기준!$E$6:$E$15,MATCH(VALUE($A1337&amp;""),계정대체기준!$D$6:$D$15,0)),0),0))</f>
        <v/>
      </c>
      <c r="AH1337" s="64">
        <f>IF($A1337="","",IF(AD1337=0,"",IF(OR(COUNTIF(계정대체기준!$A$77:$A$86,$N1337)&gt;0,ISNUMBER(MATCH($X1337,계정대체기준!$D$77:$D$86,0)),ISNUMBER(MATCH($F1337,계정대체기준!$D$77:$D$86,0))),"Y","N")))</f>
        <v/>
      </c>
    </row>
    <row r="1338">
      <c r="A1338" s="92" t="n">
        <v>2025</v>
      </c>
      <c r="B1338" s="92" t="n">
        <v>6</v>
      </c>
      <c r="C1338" s="92" t="inlineStr">
        <is>
          <t>5100001334</t>
        </is>
      </c>
      <c r="D1338" s="95" t="n">
        <v>45832</v>
      </c>
      <c r="E1338" s="92" t="inlineStr">
        <is>
          <t>KR</t>
        </is>
      </c>
      <c r="F1338" s="92" t="n">
        <v>62902000</v>
      </c>
      <c r="G1338" s="92" t="n">
        <v>1401</v>
      </c>
      <c r="H1338" s="93" t="n">
        <v>2217000</v>
      </c>
      <c r="I1338" s="92" t="inlineStr">
        <is>
          <t>6월 업무 위탁 수수료 - J콜센터</t>
        </is>
      </c>
      <c r="J1338" s="92" t="inlineStr">
        <is>
          <t>V10016</t>
        </is>
      </c>
      <c r="K1338" s="92" t="inlineStr">
        <is>
          <t>J콜센터</t>
        </is>
      </c>
      <c r="M1338" s="9">
        <f>IF($A1338="","",VALUE($A1338&amp;"")*12+VALUE($B1338&amp;""))</f>
        <v/>
      </c>
      <c r="N1338" s="64">
        <f>IF($A1338="","",IFERROR(INDEX(부서매핑!$C$5:$C$504,MATCH($G1338&amp;"",부서매핑!$A$5:$A$504,0)),"미매핑"))</f>
        <v/>
      </c>
      <c r="O1338" s="9">
        <f>IF($A1338="","",N1338&amp;"|"&amp;$F1338)</f>
        <v/>
      </c>
      <c r="P1338" s="94">
        <f>IF($A1338="",0,$H1338*설정!$C$23)</f>
        <v/>
      </c>
      <c r="Q1338" s="64">
        <f>IF($A1338="","",IF(O1338&lt;&gt;원인분석!$C$9,"",IF(AND(M1338&gt;=원인분석!$C$10,M1338&lt;=원인분석!$C$11),"당기",IF(AND(M1338&gt;=원인분석!$C$12,M1338&lt;=원인분석!$C$13),"비교",""))))</f>
        <v/>
      </c>
      <c r="R1338" s="9">
        <f>IF(Q1338="","",$K1338&amp;"")</f>
        <v/>
      </c>
      <c r="S1338" s="9">
        <f>IF(Q1338="","",IF(MATCH(R1338,$R$5:$R$100000,0)=ROW()-4,ROW(),""))</f>
        <v/>
      </c>
      <c r="T1338" s="9">
        <f>IF(Q1338="당기",ABS(P1338)+ROW()/1000000000,"")</f>
        <v/>
      </c>
      <c r="U1338" s="9">
        <f>IF(Q1338="비교",ABS(P1338)+ROW()/1000000000,"")</f>
        <v/>
      </c>
      <c r="V1338" s="64">
        <f>IF($A1338="","",IF(COUNTIF(변동분석!$E$7:$E$506,O1338)&gt;0,"Y","N"))</f>
        <v/>
      </c>
      <c r="W1338" s="64">
        <f>IF($A1338="","",IFERROR(INDEX(계정매핑!$D$5:$D$504,MATCH($F1338&amp;"",계정매핑!$A$5:$A$504,0)),"미매핑"))</f>
        <v/>
      </c>
      <c r="X1338" s="9">
        <f>IF($A1338="","",$F1338&amp;"")</f>
        <v/>
      </c>
      <c r="Y1338" s="94">
        <f>IF($A1338="",0,IF(AE1338="직접",IF(AF1338="비귀속",$P1338,0),$P1338*(1-AG1338)*IFERROR(INDEX(계정대체기준!$F$20:$F$49,MATCH($N1338,계정대체기준!$A$20:$A$49,0)),1)))</f>
        <v/>
      </c>
      <c r="Z1338" s="94">
        <f>IF($A1338="",0,IF(AE1338="직접",IF(AF1338="신계약비",$P1338,0),$P1338*(1-AG1338)*IFERROR(INDEX(계정대체기준!$C$20:$C$49,MATCH($N1338,계정대체기준!$A$20:$A$49,0)),0)))</f>
        <v/>
      </c>
      <c r="AA1338" s="94">
        <f>IF($A1338="",0,IF(AE1338="직접",IF(OR(AF1338="유지비",AF1338="손해조사비"),$P1338,0),$P1338*(1-AG1338)*IFERROR(INDEX(계정대체기준!$D$20:$D$49,MATCH($N1338,계정대체기준!$A$20:$A$49,0)),0)))</f>
        <v/>
      </c>
      <c r="AB1338" s="94">
        <f>IF($A1338="",0,IF(AE1338="직접",IF(AF1338="수금비",$P1338,0),$P1338*(1-AG1338)*IFERROR(INDEX(계정대체기준!$E$20:$E$49,MATCH($N1338,계정대체기준!$A$20:$A$49,0)),0)))</f>
        <v/>
      </c>
      <c r="AC1338" s="9">
        <f>IF(AND($A1338&lt;&gt;"",M1338=설정!$C$20,Z1338&gt;0),Z1338+ROW()/1000000000,"")</f>
        <v/>
      </c>
      <c r="AD1338" s="94">
        <f>IF($A1338="",0,$P1338*AG1338)</f>
        <v/>
      </c>
      <c r="AE1338" s="64">
        <f>IF($A1338="","",IFERROR(INDEX(계정매핑!$E$5:$E$504,MATCH($F1338&amp;"",계정매핑!$A$5:$A$504,0))&amp;"","공통비"))</f>
        <v/>
      </c>
      <c r="AF1338" s="64">
        <f>IF($A1338="","",IF(AE1338="직접",IFERROR(INDEX(계정매핑!$F$5:$F$504,MATCH($F1338&amp;"",계정매핑!$A$5:$A$504,0))&amp;"","비귀속"),""))</f>
        <v/>
      </c>
      <c r="AG1338" s="96">
        <f>IF($A1338="",0,IF(AND(AE1338&lt;&gt;"직접",IFERROR(INDEX(계정매핑!$G$5:$G$504,MATCH($F1338&amp;"",계정매핑!$A$5:$A$504,0))&amp;"","")="유지비",COUNTIF(계정대체기준!$A$6:$A$15,$N1338)&gt;0),IFERROR(INDEX(계정대체기준!$E$6:$E$15,MATCH(VALUE($A1338&amp;""),계정대체기준!$D$6:$D$15,0)),0),0))</f>
        <v/>
      </c>
      <c r="AH1338" s="64">
        <f>IF($A1338="","",IF(AD1338=0,"",IF(OR(COUNTIF(계정대체기준!$A$77:$A$86,$N1338)&gt;0,ISNUMBER(MATCH($X1338,계정대체기준!$D$77:$D$86,0)),ISNUMBER(MATCH($F1338,계정대체기준!$D$77:$D$86,0))),"Y","N")))</f>
        <v/>
      </c>
    </row>
    <row r="1339">
      <c r="A1339" s="92" t="n">
        <v>2025</v>
      </c>
      <c r="B1339" s="92" t="n">
        <v>6</v>
      </c>
      <c r="C1339" s="92" t="inlineStr">
        <is>
          <t>5100001335</t>
        </is>
      </c>
      <c r="D1339" s="95" t="n">
        <v>45832</v>
      </c>
      <c r="E1339" s="92" t="inlineStr">
        <is>
          <t>KR</t>
        </is>
      </c>
      <c r="F1339" s="92" t="n">
        <v>62902000</v>
      </c>
      <c r="G1339" s="92" t="n">
        <v>1801</v>
      </c>
      <c r="H1339" s="93" t="n">
        <v>1760000</v>
      </c>
      <c r="I1339" s="92" t="inlineStr">
        <is>
          <t>6월 콜 위탁 수수료(건별)</t>
        </is>
      </c>
      <c r="J1339" s="92" t="inlineStr">
        <is>
          <t>V10016</t>
        </is>
      </c>
      <c r="K1339" s="92" t="inlineStr">
        <is>
          <t>J콜센터</t>
        </is>
      </c>
      <c r="M1339" s="9">
        <f>IF($A1339="","",VALUE($A1339&amp;"")*12+VALUE($B1339&amp;""))</f>
        <v/>
      </c>
      <c r="N1339" s="64">
        <f>IF($A1339="","",IFERROR(INDEX(부서매핑!$C$5:$C$504,MATCH($G1339&amp;"",부서매핑!$A$5:$A$504,0)),"미매핑"))</f>
        <v/>
      </c>
      <c r="O1339" s="9">
        <f>IF($A1339="","",N1339&amp;"|"&amp;$F1339)</f>
        <v/>
      </c>
      <c r="P1339" s="94">
        <f>IF($A1339="",0,$H1339*설정!$C$23)</f>
        <v/>
      </c>
      <c r="Q1339" s="64">
        <f>IF($A1339="","",IF(O1339&lt;&gt;원인분석!$C$9,"",IF(AND(M1339&gt;=원인분석!$C$10,M1339&lt;=원인분석!$C$11),"당기",IF(AND(M1339&gt;=원인분석!$C$12,M1339&lt;=원인분석!$C$13),"비교",""))))</f>
        <v/>
      </c>
      <c r="R1339" s="9">
        <f>IF(Q1339="","",$K1339&amp;"")</f>
        <v/>
      </c>
      <c r="S1339" s="9">
        <f>IF(Q1339="","",IF(MATCH(R1339,$R$5:$R$100000,0)=ROW()-4,ROW(),""))</f>
        <v/>
      </c>
      <c r="T1339" s="9">
        <f>IF(Q1339="당기",ABS(P1339)+ROW()/1000000000,"")</f>
        <v/>
      </c>
      <c r="U1339" s="9">
        <f>IF(Q1339="비교",ABS(P1339)+ROW()/1000000000,"")</f>
        <v/>
      </c>
      <c r="V1339" s="64">
        <f>IF($A1339="","",IF(COUNTIF(변동분석!$E$7:$E$506,O1339)&gt;0,"Y","N"))</f>
        <v/>
      </c>
      <c r="W1339" s="64">
        <f>IF($A1339="","",IFERROR(INDEX(계정매핑!$D$5:$D$504,MATCH($F1339&amp;"",계정매핑!$A$5:$A$504,0)),"미매핑"))</f>
        <v/>
      </c>
      <c r="X1339" s="9">
        <f>IF($A1339="","",$F1339&amp;"")</f>
        <v/>
      </c>
      <c r="Y1339" s="94">
        <f>IF($A1339="",0,IF(AE1339="직접",IF(AF1339="비귀속",$P1339,0),$P1339*(1-AG1339)*IFERROR(INDEX(계정대체기준!$F$20:$F$49,MATCH($N1339,계정대체기준!$A$20:$A$49,0)),1)))</f>
        <v/>
      </c>
      <c r="Z1339" s="94">
        <f>IF($A1339="",0,IF(AE1339="직접",IF(AF1339="신계약비",$P1339,0),$P1339*(1-AG1339)*IFERROR(INDEX(계정대체기준!$C$20:$C$49,MATCH($N1339,계정대체기준!$A$20:$A$49,0)),0)))</f>
        <v/>
      </c>
      <c r="AA1339" s="94">
        <f>IF($A1339="",0,IF(AE1339="직접",IF(OR(AF1339="유지비",AF1339="손해조사비"),$P1339,0),$P1339*(1-AG1339)*IFERROR(INDEX(계정대체기준!$D$20:$D$49,MATCH($N1339,계정대체기준!$A$20:$A$49,0)),0)))</f>
        <v/>
      </c>
      <c r="AB1339" s="94">
        <f>IF($A1339="",0,IF(AE1339="직접",IF(AF1339="수금비",$P1339,0),$P1339*(1-AG1339)*IFERROR(INDEX(계정대체기준!$E$20:$E$49,MATCH($N1339,계정대체기준!$A$20:$A$49,0)),0)))</f>
        <v/>
      </c>
      <c r="AC1339" s="9">
        <f>IF(AND($A1339&lt;&gt;"",M1339=설정!$C$20,Z1339&gt;0),Z1339+ROW()/1000000000,"")</f>
        <v/>
      </c>
      <c r="AD1339" s="94">
        <f>IF($A1339="",0,$P1339*AG1339)</f>
        <v/>
      </c>
      <c r="AE1339" s="64">
        <f>IF($A1339="","",IFERROR(INDEX(계정매핑!$E$5:$E$504,MATCH($F1339&amp;"",계정매핑!$A$5:$A$504,0))&amp;"","공통비"))</f>
        <v/>
      </c>
      <c r="AF1339" s="64">
        <f>IF($A1339="","",IF(AE1339="직접",IFERROR(INDEX(계정매핑!$F$5:$F$504,MATCH($F1339&amp;"",계정매핑!$A$5:$A$504,0))&amp;"","비귀속"),""))</f>
        <v/>
      </c>
      <c r="AG1339" s="96">
        <f>IF($A1339="",0,IF(AND(AE1339&lt;&gt;"직접",IFERROR(INDEX(계정매핑!$G$5:$G$504,MATCH($F1339&amp;"",계정매핑!$A$5:$A$504,0))&amp;"","")="유지비",COUNTIF(계정대체기준!$A$6:$A$15,$N1339)&gt;0),IFERROR(INDEX(계정대체기준!$E$6:$E$15,MATCH(VALUE($A1339&amp;""),계정대체기준!$D$6:$D$15,0)),0),0))</f>
        <v/>
      </c>
      <c r="AH1339" s="64">
        <f>IF($A1339="","",IF(AD1339=0,"",IF(OR(COUNTIF(계정대체기준!$A$77:$A$86,$N1339)&gt;0,ISNUMBER(MATCH($X1339,계정대체기준!$D$77:$D$86,0)),ISNUMBER(MATCH($F1339,계정대체기준!$D$77:$D$86,0))),"Y","N")))</f>
        <v/>
      </c>
    </row>
    <row r="1340">
      <c r="A1340" s="92" t="n">
        <v>2025</v>
      </c>
      <c r="B1340" s="92" t="n">
        <v>6</v>
      </c>
      <c r="C1340" s="92" t="inlineStr">
        <is>
          <t>5100001336</t>
        </is>
      </c>
      <c r="D1340" s="95" t="n">
        <v>45832</v>
      </c>
      <c r="E1340" s="92" t="inlineStr">
        <is>
          <t>KR</t>
        </is>
      </c>
      <c r="F1340" s="92" t="n">
        <v>63601000</v>
      </c>
      <c r="G1340" s="92" t="n">
        <v>1801</v>
      </c>
      <c r="H1340" s="93" t="n">
        <v>8736000</v>
      </c>
      <c r="I1340" s="92" t="inlineStr">
        <is>
          <t>6월 손해사정 수수료 - DD손해사정</t>
        </is>
      </c>
      <c r="J1340" s="92" t="inlineStr">
        <is>
          <t>V10032</t>
        </is>
      </c>
      <c r="K1340" s="92" t="inlineStr">
        <is>
          <t>DD손해사정</t>
        </is>
      </c>
      <c r="M1340" s="9">
        <f>IF($A1340="","",VALUE($A1340&amp;"")*12+VALUE($B1340&amp;""))</f>
        <v/>
      </c>
      <c r="N1340" s="64">
        <f>IF($A1340="","",IFERROR(INDEX(부서매핑!$C$5:$C$504,MATCH($G1340&amp;"",부서매핑!$A$5:$A$504,0)),"미매핑"))</f>
        <v/>
      </c>
      <c r="O1340" s="9">
        <f>IF($A1340="","",N1340&amp;"|"&amp;$F1340)</f>
        <v/>
      </c>
      <c r="P1340" s="94">
        <f>IF($A1340="",0,$H1340*설정!$C$23)</f>
        <v/>
      </c>
      <c r="Q1340" s="64">
        <f>IF($A1340="","",IF(O1340&lt;&gt;원인분석!$C$9,"",IF(AND(M1340&gt;=원인분석!$C$10,M1340&lt;=원인분석!$C$11),"당기",IF(AND(M1340&gt;=원인분석!$C$12,M1340&lt;=원인분석!$C$13),"비교",""))))</f>
        <v/>
      </c>
      <c r="R1340" s="9">
        <f>IF(Q1340="","",$K1340&amp;"")</f>
        <v/>
      </c>
      <c r="S1340" s="9">
        <f>IF(Q1340="","",IF(MATCH(R1340,$R$5:$R$100000,0)=ROW()-4,ROW(),""))</f>
        <v/>
      </c>
      <c r="T1340" s="9">
        <f>IF(Q1340="당기",ABS(P1340)+ROW()/1000000000,"")</f>
        <v/>
      </c>
      <c r="U1340" s="9">
        <f>IF(Q1340="비교",ABS(P1340)+ROW()/1000000000,"")</f>
        <v/>
      </c>
      <c r="V1340" s="64">
        <f>IF($A1340="","",IF(COUNTIF(변동분석!$E$7:$E$506,O1340)&gt;0,"Y","N"))</f>
        <v/>
      </c>
      <c r="W1340" s="64">
        <f>IF($A1340="","",IFERROR(INDEX(계정매핑!$D$5:$D$504,MATCH($F1340&amp;"",계정매핑!$A$5:$A$504,0)),"미매핑"))</f>
        <v/>
      </c>
      <c r="X1340" s="9">
        <f>IF($A1340="","",$F1340&amp;"")</f>
        <v/>
      </c>
      <c r="Y1340" s="94">
        <f>IF($A1340="",0,IF(AE1340="직접",IF(AF1340="비귀속",$P1340,0),$P1340*(1-AG1340)*IFERROR(INDEX(계정대체기준!$F$20:$F$49,MATCH($N1340,계정대체기준!$A$20:$A$49,0)),1)))</f>
        <v/>
      </c>
      <c r="Z1340" s="94">
        <f>IF($A1340="",0,IF(AE1340="직접",IF(AF1340="신계약비",$P1340,0),$P1340*(1-AG1340)*IFERROR(INDEX(계정대체기준!$C$20:$C$49,MATCH($N1340,계정대체기준!$A$20:$A$49,0)),0)))</f>
        <v/>
      </c>
      <c r="AA1340" s="94">
        <f>IF($A1340="",0,IF(AE1340="직접",IF(OR(AF1340="유지비",AF1340="손해조사비"),$P1340,0),$P1340*(1-AG1340)*IFERROR(INDEX(계정대체기준!$D$20:$D$49,MATCH($N1340,계정대체기준!$A$20:$A$49,0)),0)))</f>
        <v/>
      </c>
      <c r="AB1340" s="94">
        <f>IF($A1340="",0,IF(AE1340="직접",IF(AF1340="수금비",$P1340,0),$P1340*(1-AG1340)*IFERROR(INDEX(계정대체기준!$E$20:$E$49,MATCH($N1340,계정대체기준!$A$20:$A$49,0)),0)))</f>
        <v/>
      </c>
      <c r="AC1340" s="9">
        <f>IF(AND($A1340&lt;&gt;"",M1340=설정!$C$20,Z1340&gt;0),Z1340+ROW()/1000000000,"")</f>
        <v/>
      </c>
      <c r="AD1340" s="94">
        <f>IF($A1340="",0,$P1340*AG1340)</f>
        <v/>
      </c>
      <c r="AE1340" s="64">
        <f>IF($A1340="","",IFERROR(INDEX(계정매핑!$E$5:$E$504,MATCH($F1340&amp;"",계정매핑!$A$5:$A$504,0))&amp;"","공통비"))</f>
        <v/>
      </c>
      <c r="AF1340" s="64">
        <f>IF($A1340="","",IF(AE1340="직접",IFERROR(INDEX(계정매핑!$F$5:$F$504,MATCH($F1340&amp;"",계정매핑!$A$5:$A$504,0))&amp;"","비귀속"),""))</f>
        <v/>
      </c>
      <c r="AG1340" s="96">
        <f>IF($A1340="",0,IF(AND(AE1340&lt;&gt;"직접",IFERROR(INDEX(계정매핑!$G$5:$G$504,MATCH($F1340&amp;"",계정매핑!$A$5:$A$504,0))&amp;"","")="유지비",COUNTIF(계정대체기준!$A$6:$A$15,$N1340)&gt;0),IFERROR(INDEX(계정대체기준!$E$6:$E$15,MATCH(VALUE($A1340&amp;""),계정대체기준!$D$6:$D$15,0)),0),0))</f>
        <v/>
      </c>
      <c r="AH1340" s="64">
        <f>IF($A1340="","",IF(AD1340=0,"",IF(OR(COUNTIF(계정대체기준!$A$77:$A$86,$N1340)&gt;0,ISNUMBER(MATCH($X1340,계정대체기준!$D$77:$D$86,0)),ISNUMBER(MATCH($F1340,계정대체기준!$D$77:$D$86,0))),"Y","N")))</f>
        <v/>
      </c>
    </row>
    <row r="1341">
      <c r="A1341" s="92" t="n">
        <v>2025</v>
      </c>
      <c r="B1341" s="92" t="n">
        <v>6</v>
      </c>
      <c r="C1341" s="92" t="inlineStr">
        <is>
          <t>5100001337</t>
        </is>
      </c>
      <c r="D1341" s="95" t="n">
        <v>45833</v>
      </c>
      <c r="E1341" s="92" t="inlineStr">
        <is>
          <t>KR</t>
        </is>
      </c>
      <c r="F1341" s="92" t="n">
        <v>62101000</v>
      </c>
      <c r="G1341" s="92" t="n">
        <v>1601</v>
      </c>
      <c r="H1341" s="93" t="n">
        <v>1430000</v>
      </c>
      <c r="I1341" s="92" t="inlineStr">
        <is>
          <t>6월 국내출장 - M항공</t>
        </is>
      </c>
      <c r="J1341" s="92" t="inlineStr">
        <is>
          <t>V10001</t>
        </is>
      </c>
      <c r="K1341" s="92" t="inlineStr">
        <is>
          <t>M항공</t>
        </is>
      </c>
      <c r="M1341" s="9">
        <f>IF($A1341="","",VALUE($A1341&amp;"")*12+VALUE($B1341&amp;""))</f>
        <v/>
      </c>
      <c r="N1341" s="64">
        <f>IF($A1341="","",IFERROR(INDEX(부서매핑!$C$5:$C$504,MATCH($G1341&amp;"",부서매핑!$A$5:$A$504,0)),"미매핑"))</f>
        <v/>
      </c>
      <c r="O1341" s="9">
        <f>IF($A1341="","",N1341&amp;"|"&amp;$F1341)</f>
        <v/>
      </c>
      <c r="P1341" s="94">
        <f>IF($A1341="",0,$H1341*설정!$C$23)</f>
        <v/>
      </c>
      <c r="Q1341" s="64">
        <f>IF($A1341="","",IF(O1341&lt;&gt;원인분석!$C$9,"",IF(AND(M1341&gt;=원인분석!$C$10,M1341&lt;=원인분석!$C$11),"당기",IF(AND(M1341&gt;=원인분석!$C$12,M1341&lt;=원인분석!$C$13),"비교",""))))</f>
        <v/>
      </c>
      <c r="R1341" s="9">
        <f>IF(Q1341="","",$K1341&amp;"")</f>
        <v/>
      </c>
      <c r="S1341" s="9">
        <f>IF(Q1341="","",IF(MATCH(R1341,$R$5:$R$100000,0)=ROW()-4,ROW(),""))</f>
        <v/>
      </c>
      <c r="T1341" s="9">
        <f>IF(Q1341="당기",ABS(P1341)+ROW()/1000000000,"")</f>
        <v/>
      </c>
      <c r="U1341" s="9">
        <f>IF(Q1341="비교",ABS(P1341)+ROW()/1000000000,"")</f>
        <v/>
      </c>
      <c r="V1341" s="64">
        <f>IF($A1341="","",IF(COUNTIF(변동분석!$E$7:$E$506,O1341)&gt;0,"Y","N"))</f>
        <v/>
      </c>
      <c r="W1341" s="64">
        <f>IF($A1341="","",IFERROR(INDEX(계정매핑!$D$5:$D$504,MATCH($F1341&amp;"",계정매핑!$A$5:$A$504,0)),"미매핑"))</f>
        <v/>
      </c>
      <c r="X1341" s="9">
        <f>IF($A1341="","",$F1341&amp;"")</f>
        <v/>
      </c>
      <c r="Y1341" s="94">
        <f>IF($A1341="",0,IF(AE1341="직접",IF(AF1341="비귀속",$P1341,0),$P1341*(1-AG1341)*IFERROR(INDEX(계정대체기준!$F$20:$F$49,MATCH($N1341,계정대체기준!$A$20:$A$49,0)),1)))</f>
        <v/>
      </c>
      <c r="Z1341" s="94">
        <f>IF($A1341="",0,IF(AE1341="직접",IF(AF1341="신계약비",$P1341,0),$P1341*(1-AG1341)*IFERROR(INDEX(계정대체기준!$C$20:$C$49,MATCH($N1341,계정대체기준!$A$20:$A$49,0)),0)))</f>
        <v/>
      </c>
      <c r="AA1341" s="94">
        <f>IF($A1341="",0,IF(AE1341="직접",IF(OR(AF1341="유지비",AF1341="손해조사비"),$P1341,0),$P1341*(1-AG1341)*IFERROR(INDEX(계정대체기준!$D$20:$D$49,MATCH($N1341,계정대체기준!$A$20:$A$49,0)),0)))</f>
        <v/>
      </c>
      <c r="AB1341" s="94">
        <f>IF($A1341="",0,IF(AE1341="직접",IF(AF1341="수금비",$P1341,0),$P1341*(1-AG1341)*IFERROR(INDEX(계정대체기준!$E$20:$E$49,MATCH($N1341,계정대체기준!$A$20:$A$49,0)),0)))</f>
        <v/>
      </c>
      <c r="AC1341" s="9">
        <f>IF(AND($A1341&lt;&gt;"",M1341=설정!$C$20,Z1341&gt;0),Z1341+ROW()/1000000000,"")</f>
        <v/>
      </c>
      <c r="AD1341" s="94">
        <f>IF($A1341="",0,$P1341*AG1341)</f>
        <v/>
      </c>
      <c r="AE1341" s="64">
        <f>IF($A1341="","",IFERROR(INDEX(계정매핑!$E$5:$E$504,MATCH($F1341&amp;"",계정매핑!$A$5:$A$504,0))&amp;"","공통비"))</f>
        <v/>
      </c>
      <c r="AF1341" s="64">
        <f>IF($A1341="","",IF(AE1341="직접",IFERROR(INDEX(계정매핑!$F$5:$F$504,MATCH($F1341&amp;"",계정매핑!$A$5:$A$504,0))&amp;"","비귀속"),""))</f>
        <v/>
      </c>
      <c r="AG1341" s="96">
        <f>IF($A1341="",0,IF(AND(AE1341&lt;&gt;"직접",IFERROR(INDEX(계정매핑!$G$5:$G$504,MATCH($F1341&amp;"",계정매핑!$A$5:$A$504,0))&amp;"","")="유지비",COUNTIF(계정대체기준!$A$6:$A$15,$N1341)&gt;0),IFERROR(INDEX(계정대체기준!$E$6:$E$15,MATCH(VALUE($A1341&amp;""),계정대체기준!$D$6:$D$15,0)),0),0))</f>
        <v/>
      </c>
      <c r="AH1341" s="64">
        <f>IF($A1341="","",IF(AD1341=0,"",IF(OR(COUNTIF(계정대체기준!$A$77:$A$86,$N1341)&gt;0,ISNUMBER(MATCH($X1341,계정대체기준!$D$77:$D$86,0)),ISNUMBER(MATCH($F1341,계정대체기준!$D$77:$D$86,0))),"Y","N")))</f>
        <v/>
      </c>
    </row>
    <row r="1342">
      <c r="A1342" s="92" t="n">
        <v>2025</v>
      </c>
      <c r="B1342" s="92" t="n">
        <v>6</v>
      </c>
      <c r="C1342" s="92" t="inlineStr">
        <is>
          <t>5100001338</t>
        </is>
      </c>
      <c r="D1342" s="95" t="n">
        <v>45833</v>
      </c>
      <c r="E1342" s="92" t="inlineStr">
        <is>
          <t>KR</t>
        </is>
      </c>
      <c r="F1342" s="92" t="n">
        <v>62301000</v>
      </c>
      <c r="G1342" s="92" t="n">
        <v>1801</v>
      </c>
      <c r="H1342" s="93" t="n">
        <v>642000</v>
      </c>
      <c r="I1342" s="92" t="inlineStr">
        <is>
          <t>6월 소모품 구입 - R문구</t>
        </is>
      </c>
      <c r="J1342" s="92" t="inlineStr">
        <is>
          <t>V10022</t>
        </is>
      </c>
      <c r="K1342" s="92" t="inlineStr">
        <is>
          <t>R문구</t>
        </is>
      </c>
      <c r="M1342" s="9">
        <f>IF($A1342="","",VALUE($A1342&amp;"")*12+VALUE($B1342&amp;""))</f>
        <v/>
      </c>
      <c r="N1342" s="64">
        <f>IF($A1342="","",IFERROR(INDEX(부서매핑!$C$5:$C$504,MATCH($G1342&amp;"",부서매핑!$A$5:$A$504,0)),"미매핑"))</f>
        <v/>
      </c>
      <c r="O1342" s="9">
        <f>IF($A1342="","",N1342&amp;"|"&amp;$F1342)</f>
        <v/>
      </c>
      <c r="P1342" s="94">
        <f>IF($A1342="",0,$H1342*설정!$C$23)</f>
        <v/>
      </c>
      <c r="Q1342" s="64">
        <f>IF($A1342="","",IF(O1342&lt;&gt;원인분석!$C$9,"",IF(AND(M1342&gt;=원인분석!$C$10,M1342&lt;=원인분석!$C$11),"당기",IF(AND(M1342&gt;=원인분석!$C$12,M1342&lt;=원인분석!$C$13),"비교",""))))</f>
        <v/>
      </c>
      <c r="R1342" s="9">
        <f>IF(Q1342="","",$K1342&amp;"")</f>
        <v/>
      </c>
      <c r="S1342" s="9">
        <f>IF(Q1342="","",IF(MATCH(R1342,$R$5:$R$100000,0)=ROW()-4,ROW(),""))</f>
        <v/>
      </c>
      <c r="T1342" s="9">
        <f>IF(Q1342="당기",ABS(P1342)+ROW()/1000000000,"")</f>
        <v/>
      </c>
      <c r="U1342" s="9">
        <f>IF(Q1342="비교",ABS(P1342)+ROW()/1000000000,"")</f>
        <v/>
      </c>
      <c r="V1342" s="64">
        <f>IF($A1342="","",IF(COUNTIF(변동분석!$E$7:$E$506,O1342)&gt;0,"Y","N"))</f>
        <v/>
      </c>
      <c r="W1342" s="64">
        <f>IF($A1342="","",IFERROR(INDEX(계정매핑!$D$5:$D$504,MATCH($F1342&amp;"",계정매핑!$A$5:$A$504,0)),"미매핑"))</f>
        <v/>
      </c>
      <c r="X1342" s="9">
        <f>IF($A1342="","",$F1342&amp;"")</f>
        <v/>
      </c>
      <c r="Y1342" s="94">
        <f>IF($A1342="",0,IF(AE1342="직접",IF(AF1342="비귀속",$P1342,0),$P1342*(1-AG1342)*IFERROR(INDEX(계정대체기준!$F$20:$F$49,MATCH($N1342,계정대체기준!$A$20:$A$49,0)),1)))</f>
        <v/>
      </c>
      <c r="Z1342" s="94">
        <f>IF($A1342="",0,IF(AE1342="직접",IF(AF1342="신계약비",$P1342,0),$P1342*(1-AG1342)*IFERROR(INDEX(계정대체기준!$C$20:$C$49,MATCH($N1342,계정대체기준!$A$20:$A$49,0)),0)))</f>
        <v/>
      </c>
      <c r="AA1342" s="94">
        <f>IF($A1342="",0,IF(AE1342="직접",IF(OR(AF1342="유지비",AF1342="손해조사비"),$P1342,0),$P1342*(1-AG1342)*IFERROR(INDEX(계정대체기준!$D$20:$D$49,MATCH($N1342,계정대체기준!$A$20:$A$49,0)),0)))</f>
        <v/>
      </c>
      <c r="AB1342" s="94">
        <f>IF($A1342="",0,IF(AE1342="직접",IF(AF1342="수금비",$P1342,0),$P1342*(1-AG1342)*IFERROR(INDEX(계정대체기준!$E$20:$E$49,MATCH($N1342,계정대체기준!$A$20:$A$49,0)),0)))</f>
        <v/>
      </c>
      <c r="AC1342" s="9">
        <f>IF(AND($A1342&lt;&gt;"",M1342=설정!$C$20,Z1342&gt;0),Z1342+ROW()/1000000000,"")</f>
        <v/>
      </c>
      <c r="AD1342" s="94">
        <f>IF($A1342="",0,$P1342*AG1342)</f>
        <v/>
      </c>
      <c r="AE1342" s="64">
        <f>IF($A1342="","",IFERROR(INDEX(계정매핑!$E$5:$E$504,MATCH($F1342&amp;"",계정매핑!$A$5:$A$504,0))&amp;"","공통비"))</f>
        <v/>
      </c>
      <c r="AF1342" s="64">
        <f>IF($A1342="","",IF(AE1342="직접",IFERROR(INDEX(계정매핑!$F$5:$F$504,MATCH($F1342&amp;"",계정매핑!$A$5:$A$504,0))&amp;"","비귀속"),""))</f>
        <v/>
      </c>
      <c r="AG1342" s="96">
        <f>IF($A1342="",0,IF(AND(AE1342&lt;&gt;"직접",IFERROR(INDEX(계정매핑!$G$5:$G$504,MATCH($F1342&amp;"",계정매핑!$A$5:$A$504,0))&amp;"","")="유지비",COUNTIF(계정대체기준!$A$6:$A$15,$N1342)&gt;0),IFERROR(INDEX(계정대체기준!$E$6:$E$15,MATCH(VALUE($A1342&amp;""),계정대체기준!$D$6:$D$15,0)),0),0))</f>
        <v/>
      </c>
      <c r="AH1342" s="64">
        <f>IF($A1342="","",IF(AD1342=0,"",IF(OR(COUNTIF(계정대체기준!$A$77:$A$86,$N1342)&gt;0,ISNUMBER(MATCH($X1342,계정대체기준!$D$77:$D$86,0)),ISNUMBER(MATCH($F1342,계정대체기준!$D$77:$D$86,0))),"Y","N")))</f>
        <v/>
      </c>
    </row>
    <row r="1343">
      <c r="A1343" s="92" t="n">
        <v>2025</v>
      </c>
      <c r="B1343" s="92" t="n">
        <v>6</v>
      </c>
      <c r="C1343" s="92" t="inlineStr">
        <is>
          <t>5100001339</t>
        </is>
      </c>
      <c r="D1343" s="95" t="n">
        <v>45833</v>
      </c>
      <c r="E1343" s="92" t="inlineStr">
        <is>
          <t>KR</t>
        </is>
      </c>
      <c r="F1343" s="92" t="n">
        <v>63002000</v>
      </c>
      <c r="G1343" s="92" t="n">
        <v>1701</v>
      </c>
      <c r="H1343" s="93" t="n">
        <v>68000000</v>
      </c>
      <c r="I1343" s="92" t="inlineStr">
        <is>
          <t>6월 클라우드 사용료 - C클라우드</t>
        </is>
      </c>
      <c r="J1343" s="92" t="inlineStr">
        <is>
          <t>V10026</t>
        </is>
      </c>
      <c r="K1343" s="92" t="inlineStr">
        <is>
          <t>C클라우드</t>
        </is>
      </c>
      <c r="M1343" s="9">
        <f>IF($A1343="","",VALUE($A1343&amp;"")*12+VALUE($B1343&amp;""))</f>
        <v/>
      </c>
      <c r="N1343" s="64">
        <f>IF($A1343="","",IFERROR(INDEX(부서매핑!$C$5:$C$504,MATCH($G1343&amp;"",부서매핑!$A$5:$A$504,0)),"미매핑"))</f>
        <v/>
      </c>
      <c r="O1343" s="9">
        <f>IF($A1343="","",N1343&amp;"|"&amp;$F1343)</f>
        <v/>
      </c>
      <c r="P1343" s="94">
        <f>IF($A1343="",0,$H1343*설정!$C$23)</f>
        <v/>
      </c>
      <c r="Q1343" s="64">
        <f>IF($A1343="","",IF(O1343&lt;&gt;원인분석!$C$9,"",IF(AND(M1343&gt;=원인분석!$C$10,M1343&lt;=원인분석!$C$11),"당기",IF(AND(M1343&gt;=원인분석!$C$12,M1343&lt;=원인분석!$C$13),"비교",""))))</f>
        <v/>
      </c>
      <c r="R1343" s="9">
        <f>IF(Q1343="","",$K1343&amp;"")</f>
        <v/>
      </c>
      <c r="S1343" s="9">
        <f>IF(Q1343="","",IF(MATCH(R1343,$R$5:$R$100000,0)=ROW()-4,ROW(),""))</f>
        <v/>
      </c>
      <c r="T1343" s="9">
        <f>IF(Q1343="당기",ABS(P1343)+ROW()/1000000000,"")</f>
        <v/>
      </c>
      <c r="U1343" s="9">
        <f>IF(Q1343="비교",ABS(P1343)+ROW()/1000000000,"")</f>
        <v/>
      </c>
      <c r="V1343" s="64">
        <f>IF($A1343="","",IF(COUNTIF(변동분석!$E$7:$E$506,O1343)&gt;0,"Y","N"))</f>
        <v/>
      </c>
      <c r="W1343" s="64">
        <f>IF($A1343="","",IFERROR(INDEX(계정매핑!$D$5:$D$504,MATCH($F1343&amp;"",계정매핑!$A$5:$A$504,0)),"미매핑"))</f>
        <v/>
      </c>
      <c r="X1343" s="9">
        <f>IF($A1343="","",$F1343&amp;"")</f>
        <v/>
      </c>
      <c r="Y1343" s="94">
        <f>IF($A1343="",0,IF(AE1343="직접",IF(AF1343="비귀속",$P1343,0),$P1343*(1-AG1343)*IFERROR(INDEX(계정대체기준!$F$20:$F$49,MATCH($N1343,계정대체기준!$A$20:$A$49,0)),1)))</f>
        <v/>
      </c>
      <c r="Z1343" s="94">
        <f>IF($A1343="",0,IF(AE1343="직접",IF(AF1343="신계약비",$P1343,0),$P1343*(1-AG1343)*IFERROR(INDEX(계정대체기준!$C$20:$C$49,MATCH($N1343,계정대체기준!$A$20:$A$49,0)),0)))</f>
        <v/>
      </c>
      <c r="AA1343" s="94">
        <f>IF($A1343="",0,IF(AE1343="직접",IF(OR(AF1343="유지비",AF1343="손해조사비"),$P1343,0),$P1343*(1-AG1343)*IFERROR(INDEX(계정대체기준!$D$20:$D$49,MATCH($N1343,계정대체기준!$A$20:$A$49,0)),0)))</f>
        <v/>
      </c>
      <c r="AB1343" s="94">
        <f>IF($A1343="",0,IF(AE1343="직접",IF(AF1343="수금비",$P1343,0),$P1343*(1-AG1343)*IFERROR(INDEX(계정대체기준!$E$20:$E$49,MATCH($N1343,계정대체기준!$A$20:$A$49,0)),0)))</f>
        <v/>
      </c>
      <c r="AC1343" s="9">
        <f>IF(AND($A1343&lt;&gt;"",M1343=설정!$C$20,Z1343&gt;0),Z1343+ROW()/1000000000,"")</f>
        <v/>
      </c>
      <c r="AD1343" s="94">
        <f>IF($A1343="",0,$P1343*AG1343)</f>
        <v/>
      </c>
      <c r="AE1343" s="64">
        <f>IF($A1343="","",IFERROR(INDEX(계정매핑!$E$5:$E$504,MATCH($F1343&amp;"",계정매핑!$A$5:$A$504,0))&amp;"","공통비"))</f>
        <v/>
      </c>
      <c r="AF1343" s="64">
        <f>IF($A1343="","",IF(AE1343="직접",IFERROR(INDEX(계정매핑!$F$5:$F$504,MATCH($F1343&amp;"",계정매핑!$A$5:$A$504,0))&amp;"","비귀속"),""))</f>
        <v/>
      </c>
      <c r="AG1343" s="96">
        <f>IF($A1343="",0,IF(AND(AE1343&lt;&gt;"직접",IFERROR(INDEX(계정매핑!$G$5:$G$504,MATCH($F1343&amp;"",계정매핑!$A$5:$A$504,0))&amp;"","")="유지비",COUNTIF(계정대체기준!$A$6:$A$15,$N1343)&gt;0),IFERROR(INDEX(계정대체기준!$E$6:$E$15,MATCH(VALUE($A1343&amp;""),계정대체기준!$D$6:$D$15,0)),0),0))</f>
        <v/>
      </c>
      <c r="AH1343" s="64">
        <f>IF($A1343="","",IF(AD1343=0,"",IF(OR(COUNTIF(계정대체기준!$A$77:$A$86,$N1343)&gt;0,ISNUMBER(MATCH($X1343,계정대체기준!$D$77:$D$86,0)),ISNUMBER(MATCH($F1343,계정대체기준!$D$77:$D$86,0))),"Y","N")))</f>
        <v/>
      </c>
    </row>
    <row r="1344">
      <c r="A1344" s="92" t="n">
        <v>2025</v>
      </c>
      <c r="B1344" s="92" t="n">
        <v>6</v>
      </c>
      <c r="C1344" s="92" t="inlineStr">
        <is>
          <t>5100001340</t>
        </is>
      </c>
      <c r="D1344" s="95" t="n">
        <v>45834</v>
      </c>
      <c r="E1344" s="92" t="inlineStr">
        <is>
          <t>KR</t>
        </is>
      </c>
      <c r="F1344" s="92" t="n">
        <v>62101000</v>
      </c>
      <c r="G1344" s="92" t="n">
        <v>1701</v>
      </c>
      <c r="H1344" s="93" t="n">
        <v>225000</v>
      </c>
      <c r="I1344" s="92" t="inlineStr">
        <is>
          <t>6월 국내출장 - (법인카드)</t>
        </is>
      </c>
      <c r="J1344" s="92" t="inlineStr">
        <is>
          <t>V10010</t>
        </is>
      </c>
      <c r="K1344" s="92" t="inlineStr">
        <is>
          <t>(법인카드)</t>
        </is>
      </c>
      <c r="M1344" s="9">
        <f>IF($A1344="","",VALUE($A1344&amp;"")*12+VALUE($B1344&amp;""))</f>
        <v/>
      </c>
      <c r="N1344" s="64">
        <f>IF($A1344="","",IFERROR(INDEX(부서매핑!$C$5:$C$504,MATCH($G1344&amp;"",부서매핑!$A$5:$A$504,0)),"미매핑"))</f>
        <v/>
      </c>
      <c r="O1344" s="9">
        <f>IF($A1344="","",N1344&amp;"|"&amp;$F1344)</f>
        <v/>
      </c>
      <c r="P1344" s="94">
        <f>IF($A1344="",0,$H1344*설정!$C$23)</f>
        <v/>
      </c>
      <c r="Q1344" s="64">
        <f>IF($A1344="","",IF(O1344&lt;&gt;원인분석!$C$9,"",IF(AND(M1344&gt;=원인분석!$C$10,M1344&lt;=원인분석!$C$11),"당기",IF(AND(M1344&gt;=원인분석!$C$12,M1344&lt;=원인분석!$C$13),"비교",""))))</f>
        <v/>
      </c>
      <c r="R1344" s="9">
        <f>IF(Q1344="","",$K1344&amp;"")</f>
        <v/>
      </c>
      <c r="S1344" s="9">
        <f>IF(Q1344="","",IF(MATCH(R1344,$R$5:$R$100000,0)=ROW()-4,ROW(),""))</f>
        <v/>
      </c>
      <c r="T1344" s="9">
        <f>IF(Q1344="당기",ABS(P1344)+ROW()/1000000000,"")</f>
        <v/>
      </c>
      <c r="U1344" s="9">
        <f>IF(Q1344="비교",ABS(P1344)+ROW()/1000000000,"")</f>
        <v/>
      </c>
      <c r="V1344" s="64">
        <f>IF($A1344="","",IF(COUNTIF(변동분석!$E$7:$E$506,O1344)&gt;0,"Y","N"))</f>
        <v/>
      </c>
      <c r="W1344" s="64">
        <f>IF($A1344="","",IFERROR(INDEX(계정매핑!$D$5:$D$504,MATCH($F1344&amp;"",계정매핑!$A$5:$A$504,0)),"미매핑"))</f>
        <v/>
      </c>
      <c r="X1344" s="9">
        <f>IF($A1344="","",$F1344&amp;"")</f>
        <v/>
      </c>
      <c r="Y1344" s="94">
        <f>IF($A1344="",0,IF(AE1344="직접",IF(AF1344="비귀속",$P1344,0),$P1344*(1-AG1344)*IFERROR(INDEX(계정대체기준!$F$20:$F$49,MATCH($N1344,계정대체기준!$A$20:$A$49,0)),1)))</f>
        <v/>
      </c>
      <c r="Z1344" s="94">
        <f>IF($A1344="",0,IF(AE1344="직접",IF(AF1344="신계약비",$P1344,0),$P1344*(1-AG1344)*IFERROR(INDEX(계정대체기준!$C$20:$C$49,MATCH($N1344,계정대체기준!$A$20:$A$49,0)),0)))</f>
        <v/>
      </c>
      <c r="AA1344" s="94">
        <f>IF($A1344="",0,IF(AE1344="직접",IF(OR(AF1344="유지비",AF1344="손해조사비"),$P1344,0),$P1344*(1-AG1344)*IFERROR(INDEX(계정대체기준!$D$20:$D$49,MATCH($N1344,계정대체기준!$A$20:$A$49,0)),0)))</f>
        <v/>
      </c>
      <c r="AB1344" s="94">
        <f>IF($A1344="",0,IF(AE1344="직접",IF(AF1344="수금비",$P1344,0),$P1344*(1-AG1344)*IFERROR(INDEX(계정대체기준!$E$20:$E$49,MATCH($N1344,계정대체기준!$A$20:$A$49,0)),0)))</f>
        <v/>
      </c>
      <c r="AC1344" s="9">
        <f>IF(AND($A1344&lt;&gt;"",M1344=설정!$C$20,Z1344&gt;0),Z1344+ROW()/1000000000,"")</f>
        <v/>
      </c>
      <c r="AD1344" s="94">
        <f>IF($A1344="",0,$P1344*AG1344)</f>
        <v/>
      </c>
      <c r="AE1344" s="64">
        <f>IF($A1344="","",IFERROR(INDEX(계정매핑!$E$5:$E$504,MATCH($F1344&amp;"",계정매핑!$A$5:$A$504,0))&amp;"","공통비"))</f>
        <v/>
      </c>
      <c r="AF1344" s="64">
        <f>IF($A1344="","",IF(AE1344="직접",IFERROR(INDEX(계정매핑!$F$5:$F$504,MATCH($F1344&amp;"",계정매핑!$A$5:$A$504,0))&amp;"","비귀속"),""))</f>
        <v/>
      </c>
      <c r="AG1344" s="96">
        <f>IF($A1344="",0,IF(AND(AE1344&lt;&gt;"직접",IFERROR(INDEX(계정매핑!$G$5:$G$504,MATCH($F1344&amp;"",계정매핑!$A$5:$A$504,0))&amp;"","")="유지비",COUNTIF(계정대체기준!$A$6:$A$15,$N1344)&gt;0),IFERROR(INDEX(계정대체기준!$E$6:$E$15,MATCH(VALUE($A1344&amp;""),계정대체기준!$D$6:$D$15,0)),0),0))</f>
        <v/>
      </c>
      <c r="AH1344" s="64">
        <f>IF($A1344="","",IF(AD1344=0,"",IF(OR(COUNTIF(계정대체기준!$A$77:$A$86,$N1344)&gt;0,ISNUMBER(MATCH($X1344,계정대체기준!$D$77:$D$86,0)),ISNUMBER(MATCH($F1344,계정대체기준!$D$77:$D$86,0))),"Y","N")))</f>
        <v/>
      </c>
    </row>
    <row r="1345">
      <c r="A1345" s="92" t="n">
        <v>2025</v>
      </c>
      <c r="B1345" s="92" t="n">
        <v>6</v>
      </c>
      <c r="C1345" s="92" t="inlineStr">
        <is>
          <t>5100001341</t>
        </is>
      </c>
      <c r="D1345" s="95" t="n">
        <v>45834</v>
      </c>
      <c r="E1345" s="92" t="inlineStr">
        <is>
          <t>KR</t>
        </is>
      </c>
      <c r="F1345" s="92" t="n">
        <v>62102000</v>
      </c>
      <c r="G1345" s="92" t="n">
        <v>1101</v>
      </c>
      <c r="H1345" s="93" t="n">
        <v>81000</v>
      </c>
      <c r="I1345" s="92" t="inlineStr">
        <is>
          <t>6월 해외출장 - N호텔</t>
        </is>
      </c>
      <c r="J1345" s="92" t="inlineStr">
        <is>
          <t>V10009</t>
        </is>
      </c>
      <c r="K1345" s="92" t="inlineStr">
        <is>
          <t>N호텔</t>
        </is>
      </c>
      <c r="M1345" s="9">
        <f>IF($A1345="","",VALUE($A1345&amp;"")*12+VALUE($B1345&amp;""))</f>
        <v/>
      </c>
      <c r="N1345" s="64">
        <f>IF($A1345="","",IFERROR(INDEX(부서매핑!$C$5:$C$504,MATCH($G1345&amp;"",부서매핑!$A$5:$A$504,0)),"미매핑"))</f>
        <v/>
      </c>
      <c r="O1345" s="9">
        <f>IF($A1345="","",N1345&amp;"|"&amp;$F1345)</f>
        <v/>
      </c>
      <c r="P1345" s="94">
        <f>IF($A1345="",0,$H1345*설정!$C$23)</f>
        <v/>
      </c>
      <c r="Q1345" s="64">
        <f>IF($A1345="","",IF(O1345&lt;&gt;원인분석!$C$9,"",IF(AND(M1345&gt;=원인분석!$C$10,M1345&lt;=원인분석!$C$11),"당기",IF(AND(M1345&gt;=원인분석!$C$12,M1345&lt;=원인분석!$C$13),"비교",""))))</f>
        <v/>
      </c>
      <c r="R1345" s="9">
        <f>IF(Q1345="","",$K1345&amp;"")</f>
        <v/>
      </c>
      <c r="S1345" s="9">
        <f>IF(Q1345="","",IF(MATCH(R1345,$R$5:$R$100000,0)=ROW()-4,ROW(),""))</f>
        <v/>
      </c>
      <c r="T1345" s="9">
        <f>IF(Q1345="당기",ABS(P1345)+ROW()/1000000000,"")</f>
        <v/>
      </c>
      <c r="U1345" s="9">
        <f>IF(Q1345="비교",ABS(P1345)+ROW()/1000000000,"")</f>
        <v/>
      </c>
      <c r="V1345" s="64">
        <f>IF($A1345="","",IF(COUNTIF(변동분석!$E$7:$E$506,O1345)&gt;0,"Y","N"))</f>
        <v/>
      </c>
      <c r="W1345" s="64">
        <f>IF($A1345="","",IFERROR(INDEX(계정매핑!$D$5:$D$504,MATCH($F1345&amp;"",계정매핑!$A$5:$A$504,0)),"미매핑"))</f>
        <v/>
      </c>
      <c r="X1345" s="9">
        <f>IF($A1345="","",$F1345&amp;"")</f>
        <v/>
      </c>
      <c r="Y1345" s="94">
        <f>IF($A1345="",0,IF(AE1345="직접",IF(AF1345="비귀속",$P1345,0),$P1345*(1-AG1345)*IFERROR(INDEX(계정대체기준!$F$20:$F$49,MATCH($N1345,계정대체기준!$A$20:$A$49,0)),1)))</f>
        <v/>
      </c>
      <c r="Z1345" s="94">
        <f>IF($A1345="",0,IF(AE1345="직접",IF(AF1345="신계약비",$P1345,0),$P1345*(1-AG1345)*IFERROR(INDEX(계정대체기준!$C$20:$C$49,MATCH($N1345,계정대체기준!$A$20:$A$49,0)),0)))</f>
        <v/>
      </c>
      <c r="AA1345" s="94">
        <f>IF($A1345="",0,IF(AE1345="직접",IF(OR(AF1345="유지비",AF1345="손해조사비"),$P1345,0),$P1345*(1-AG1345)*IFERROR(INDEX(계정대체기준!$D$20:$D$49,MATCH($N1345,계정대체기준!$A$20:$A$49,0)),0)))</f>
        <v/>
      </c>
      <c r="AB1345" s="94">
        <f>IF($A1345="",0,IF(AE1345="직접",IF(AF1345="수금비",$P1345,0),$P1345*(1-AG1345)*IFERROR(INDEX(계정대체기준!$E$20:$E$49,MATCH($N1345,계정대체기준!$A$20:$A$49,0)),0)))</f>
        <v/>
      </c>
      <c r="AC1345" s="9">
        <f>IF(AND($A1345&lt;&gt;"",M1345=설정!$C$20,Z1345&gt;0),Z1345+ROW()/1000000000,"")</f>
        <v/>
      </c>
      <c r="AD1345" s="94">
        <f>IF($A1345="",0,$P1345*AG1345)</f>
        <v/>
      </c>
      <c r="AE1345" s="64">
        <f>IF($A1345="","",IFERROR(INDEX(계정매핑!$E$5:$E$504,MATCH($F1345&amp;"",계정매핑!$A$5:$A$504,0))&amp;"","공통비"))</f>
        <v/>
      </c>
      <c r="AF1345" s="64">
        <f>IF($A1345="","",IF(AE1345="직접",IFERROR(INDEX(계정매핑!$F$5:$F$504,MATCH($F1345&amp;"",계정매핑!$A$5:$A$504,0))&amp;"","비귀속"),""))</f>
        <v/>
      </c>
      <c r="AG1345" s="96">
        <f>IF($A1345="",0,IF(AND(AE1345&lt;&gt;"직접",IFERROR(INDEX(계정매핑!$G$5:$G$504,MATCH($F1345&amp;"",계정매핑!$A$5:$A$504,0))&amp;"","")="유지비",COUNTIF(계정대체기준!$A$6:$A$15,$N1345)&gt;0),IFERROR(INDEX(계정대체기준!$E$6:$E$15,MATCH(VALUE($A1345&amp;""),계정대체기준!$D$6:$D$15,0)),0),0))</f>
        <v/>
      </c>
      <c r="AH1345" s="64">
        <f>IF($A1345="","",IF(AD1345=0,"",IF(OR(COUNTIF(계정대체기준!$A$77:$A$86,$N1345)&gt;0,ISNUMBER(MATCH($X1345,계정대체기준!$D$77:$D$86,0)),ISNUMBER(MATCH($F1345,계정대체기준!$D$77:$D$86,0))),"Y","N")))</f>
        <v/>
      </c>
    </row>
    <row r="1346">
      <c r="A1346" s="92" t="n">
        <v>2025</v>
      </c>
      <c r="B1346" s="92" t="n">
        <v>6</v>
      </c>
      <c r="C1346" s="92" t="inlineStr">
        <is>
          <t>5100001342</t>
        </is>
      </c>
      <c r="D1346" s="95" t="n">
        <v>45834</v>
      </c>
      <c r="E1346" s="92" t="inlineStr">
        <is>
          <t>KR</t>
        </is>
      </c>
      <c r="F1346" s="92" t="n">
        <v>62102000</v>
      </c>
      <c r="G1346" s="92" t="n">
        <v>1401</v>
      </c>
      <c r="H1346" s="93" t="n">
        <v>135000</v>
      </c>
      <c r="I1346" s="92" t="inlineStr">
        <is>
          <t>6월 해외출장 - N호텔</t>
        </is>
      </c>
      <c r="J1346" s="92" t="inlineStr">
        <is>
          <t>V10009</t>
        </is>
      </c>
      <c r="K1346" s="92" t="inlineStr">
        <is>
          <t>N호텔</t>
        </is>
      </c>
      <c r="M1346" s="9">
        <f>IF($A1346="","",VALUE($A1346&amp;"")*12+VALUE($B1346&amp;""))</f>
        <v/>
      </c>
      <c r="N1346" s="64">
        <f>IF($A1346="","",IFERROR(INDEX(부서매핑!$C$5:$C$504,MATCH($G1346&amp;"",부서매핑!$A$5:$A$504,0)),"미매핑"))</f>
        <v/>
      </c>
      <c r="O1346" s="9">
        <f>IF($A1346="","",N1346&amp;"|"&amp;$F1346)</f>
        <v/>
      </c>
      <c r="P1346" s="94">
        <f>IF($A1346="",0,$H1346*설정!$C$23)</f>
        <v/>
      </c>
      <c r="Q1346" s="64">
        <f>IF($A1346="","",IF(O1346&lt;&gt;원인분석!$C$9,"",IF(AND(M1346&gt;=원인분석!$C$10,M1346&lt;=원인분석!$C$11),"당기",IF(AND(M1346&gt;=원인분석!$C$12,M1346&lt;=원인분석!$C$13),"비교",""))))</f>
        <v/>
      </c>
      <c r="R1346" s="9">
        <f>IF(Q1346="","",$K1346&amp;"")</f>
        <v/>
      </c>
      <c r="S1346" s="9">
        <f>IF(Q1346="","",IF(MATCH(R1346,$R$5:$R$100000,0)=ROW()-4,ROW(),""))</f>
        <v/>
      </c>
      <c r="T1346" s="9">
        <f>IF(Q1346="당기",ABS(P1346)+ROW()/1000000000,"")</f>
        <v/>
      </c>
      <c r="U1346" s="9">
        <f>IF(Q1346="비교",ABS(P1346)+ROW()/1000000000,"")</f>
        <v/>
      </c>
      <c r="V1346" s="64">
        <f>IF($A1346="","",IF(COUNTIF(변동분석!$E$7:$E$506,O1346)&gt;0,"Y","N"))</f>
        <v/>
      </c>
      <c r="W1346" s="64">
        <f>IF($A1346="","",IFERROR(INDEX(계정매핑!$D$5:$D$504,MATCH($F1346&amp;"",계정매핑!$A$5:$A$504,0)),"미매핑"))</f>
        <v/>
      </c>
      <c r="X1346" s="9">
        <f>IF($A1346="","",$F1346&amp;"")</f>
        <v/>
      </c>
      <c r="Y1346" s="94">
        <f>IF($A1346="",0,IF(AE1346="직접",IF(AF1346="비귀속",$P1346,0),$P1346*(1-AG1346)*IFERROR(INDEX(계정대체기준!$F$20:$F$49,MATCH($N1346,계정대체기준!$A$20:$A$49,0)),1)))</f>
        <v/>
      </c>
      <c r="Z1346" s="94">
        <f>IF($A1346="",0,IF(AE1346="직접",IF(AF1346="신계약비",$P1346,0),$P1346*(1-AG1346)*IFERROR(INDEX(계정대체기준!$C$20:$C$49,MATCH($N1346,계정대체기준!$A$20:$A$49,0)),0)))</f>
        <v/>
      </c>
      <c r="AA1346" s="94">
        <f>IF($A1346="",0,IF(AE1346="직접",IF(OR(AF1346="유지비",AF1346="손해조사비"),$P1346,0),$P1346*(1-AG1346)*IFERROR(INDEX(계정대체기준!$D$20:$D$49,MATCH($N1346,계정대체기준!$A$20:$A$49,0)),0)))</f>
        <v/>
      </c>
      <c r="AB1346" s="94">
        <f>IF($A1346="",0,IF(AE1346="직접",IF(AF1346="수금비",$P1346,0),$P1346*(1-AG1346)*IFERROR(INDEX(계정대체기준!$E$20:$E$49,MATCH($N1346,계정대체기준!$A$20:$A$49,0)),0)))</f>
        <v/>
      </c>
      <c r="AC1346" s="9">
        <f>IF(AND($A1346&lt;&gt;"",M1346=설정!$C$20,Z1346&gt;0),Z1346+ROW()/1000000000,"")</f>
        <v/>
      </c>
      <c r="AD1346" s="94">
        <f>IF($A1346="",0,$P1346*AG1346)</f>
        <v/>
      </c>
      <c r="AE1346" s="64">
        <f>IF($A1346="","",IFERROR(INDEX(계정매핑!$E$5:$E$504,MATCH($F1346&amp;"",계정매핑!$A$5:$A$504,0))&amp;"","공통비"))</f>
        <v/>
      </c>
      <c r="AF1346" s="64">
        <f>IF($A1346="","",IF(AE1346="직접",IFERROR(INDEX(계정매핑!$F$5:$F$504,MATCH($F1346&amp;"",계정매핑!$A$5:$A$504,0))&amp;"","비귀속"),""))</f>
        <v/>
      </c>
      <c r="AG1346" s="96">
        <f>IF($A1346="",0,IF(AND(AE1346&lt;&gt;"직접",IFERROR(INDEX(계정매핑!$G$5:$G$504,MATCH($F1346&amp;"",계정매핑!$A$5:$A$504,0))&amp;"","")="유지비",COUNTIF(계정대체기준!$A$6:$A$15,$N1346)&gt;0),IFERROR(INDEX(계정대체기준!$E$6:$E$15,MATCH(VALUE($A1346&amp;""),계정대체기준!$D$6:$D$15,0)),0),0))</f>
        <v/>
      </c>
      <c r="AH1346" s="64">
        <f>IF($A1346="","",IF(AD1346=0,"",IF(OR(COUNTIF(계정대체기준!$A$77:$A$86,$N1346)&gt;0,ISNUMBER(MATCH($X1346,계정대체기준!$D$77:$D$86,0)),ISNUMBER(MATCH($F1346,계정대체기준!$D$77:$D$86,0))),"Y","N")))</f>
        <v/>
      </c>
    </row>
    <row r="1347">
      <c r="A1347" s="92" t="n">
        <v>2025</v>
      </c>
      <c r="B1347" s="92" t="n">
        <v>6</v>
      </c>
      <c r="C1347" s="92" t="inlineStr">
        <is>
          <t>5100001343</t>
        </is>
      </c>
      <c r="D1347" s="95" t="n">
        <v>45834</v>
      </c>
      <c r="E1347" s="92" t="inlineStr">
        <is>
          <t>KR</t>
        </is>
      </c>
      <c r="F1347" s="92" t="n">
        <v>62102000</v>
      </c>
      <c r="G1347" s="92" t="n">
        <v>1951</v>
      </c>
      <c r="H1347" s="93" t="n">
        <v>125000</v>
      </c>
      <c r="I1347" s="92" t="inlineStr">
        <is>
          <t>6월 해외출장 - N호텔</t>
        </is>
      </c>
      <c r="J1347" s="92" t="inlineStr">
        <is>
          <t>V10009</t>
        </is>
      </c>
      <c r="K1347" s="92" t="inlineStr">
        <is>
          <t>N호텔</t>
        </is>
      </c>
      <c r="M1347" s="9">
        <f>IF($A1347="","",VALUE($A1347&amp;"")*12+VALUE($B1347&amp;""))</f>
        <v/>
      </c>
      <c r="N1347" s="64">
        <f>IF($A1347="","",IFERROR(INDEX(부서매핑!$C$5:$C$504,MATCH($G1347&amp;"",부서매핑!$A$5:$A$504,0)),"미매핑"))</f>
        <v/>
      </c>
      <c r="O1347" s="9">
        <f>IF($A1347="","",N1347&amp;"|"&amp;$F1347)</f>
        <v/>
      </c>
      <c r="P1347" s="94">
        <f>IF($A1347="",0,$H1347*설정!$C$23)</f>
        <v/>
      </c>
      <c r="Q1347" s="64">
        <f>IF($A1347="","",IF(O1347&lt;&gt;원인분석!$C$9,"",IF(AND(M1347&gt;=원인분석!$C$10,M1347&lt;=원인분석!$C$11),"당기",IF(AND(M1347&gt;=원인분석!$C$12,M1347&lt;=원인분석!$C$13),"비교",""))))</f>
        <v/>
      </c>
      <c r="R1347" s="9">
        <f>IF(Q1347="","",$K1347&amp;"")</f>
        <v/>
      </c>
      <c r="S1347" s="9">
        <f>IF(Q1347="","",IF(MATCH(R1347,$R$5:$R$100000,0)=ROW()-4,ROW(),""))</f>
        <v/>
      </c>
      <c r="T1347" s="9">
        <f>IF(Q1347="당기",ABS(P1347)+ROW()/1000000000,"")</f>
        <v/>
      </c>
      <c r="U1347" s="9">
        <f>IF(Q1347="비교",ABS(P1347)+ROW()/1000000000,"")</f>
        <v/>
      </c>
      <c r="V1347" s="64">
        <f>IF($A1347="","",IF(COUNTIF(변동분석!$E$7:$E$506,O1347)&gt;0,"Y","N"))</f>
        <v/>
      </c>
      <c r="W1347" s="64">
        <f>IF($A1347="","",IFERROR(INDEX(계정매핑!$D$5:$D$504,MATCH($F1347&amp;"",계정매핑!$A$5:$A$504,0)),"미매핑"))</f>
        <v/>
      </c>
      <c r="X1347" s="9">
        <f>IF($A1347="","",$F1347&amp;"")</f>
        <v/>
      </c>
      <c r="Y1347" s="94">
        <f>IF($A1347="",0,IF(AE1347="직접",IF(AF1347="비귀속",$P1347,0),$P1347*(1-AG1347)*IFERROR(INDEX(계정대체기준!$F$20:$F$49,MATCH($N1347,계정대체기준!$A$20:$A$49,0)),1)))</f>
        <v/>
      </c>
      <c r="Z1347" s="94">
        <f>IF($A1347="",0,IF(AE1347="직접",IF(AF1347="신계약비",$P1347,0),$P1347*(1-AG1347)*IFERROR(INDEX(계정대체기준!$C$20:$C$49,MATCH($N1347,계정대체기준!$A$20:$A$49,0)),0)))</f>
        <v/>
      </c>
      <c r="AA1347" s="94">
        <f>IF($A1347="",0,IF(AE1347="직접",IF(OR(AF1347="유지비",AF1347="손해조사비"),$P1347,0),$P1347*(1-AG1347)*IFERROR(INDEX(계정대체기준!$D$20:$D$49,MATCH($N1347,계정대체기준!$A$20:$A$49,0)),0)))</f>
        <v/>
      </c>
      <c r="AB1347" s="94">
        <f>IF($A1347="",0,IF(AE1347="직접",IF(AF1347="수금비",$P1347,0),$P1347*(1-AG1347)*IFERROR(INDEX(계정대체기준!$E$20:$E$49,MATCH($N1347,계정대체기준!$A$20:$A$49,0)),0)))</f>
        <v/>
      </c>
      <c r="AC1347" s="9">
        <f>IF(AND($A1347&lt;&gt;"",M1347=설정!$C$20,Z1347&gt;0),Z1347+ROW()/1000000000,"")</f>
        <v/>
      </c>
      <c r="AD1347" s="94">
        <f>IF($A1347="",0,$P1347*AG1347)</f>
        <v/>
      </c>
      <c r="AE1347" s="64">
        <f>IF($A1347="","",IFERROR(INDEX(계정매핑!$E$5:$E$504,MATCH($F1347&amp;"",계정매핑!$A$5:$A$504,0))&amp;"","공통비"))</f>
        <v/>
      </c>
      <c r="AF1347" s="64">
        <f>IF($A1347="","",IF(AE1347="직접",IFERROR(INDEX(계정매핑!$F$5:$F$504,MATCH($F1347&amp;"",계정매핑!$A$5:$A$504,0))&amp;"","비귀속"),""))</f>
        <v/>
      </c>
      <c r="AG1347" s="96">
        <f>IF($A1347="",0,IF(AND(AE1347&lt;&gt;"직접",IFERROR(INDEX(계정매핑!$G$5:$G$504,MATCH($F1347&amp;"",계정매핑!$A$5:$A$504,0))&amp;"","")="유지비",COUNTIF(계정대체기준!$A$6:$A$15,$N1347)&gt;0),IFERROR(INDEX(계정대체기준!$E$6:$E$15,MATCH(VALUE($A1347&amp;""),계정대체기준!$D$6:$D$15,0)),0),0))</f>
        <v/>
      </c>
      <c r="AH1347" s="64">
        <f>IF($A1347="","",IF(AD1347=0,"",IF(OR(COUNTIF(계정대체기준!$A$77:$A$86,$N1347)&gt;0,ISNUMBER(MATCH($X1347,계정대체기준!$D$77:$D$86,0)),ISNUMBER(MATCH($F1347,계정대체기준!$D$77:$D$86,0))),"Y","N")))</f>
        <v/>
      </c>
    </row>
    <row r="1348">
      <c r="A1348" s="92" t="n">
        <v>2025</v>
      </c>
      <c r="B1348" s="92" t="n">
        <v>6</v>
      </c>
      <c r="C1348" s="92" t="inlineStr">
        <is>
          <t>5100001344</t>
        </is>
      </c>
      <c r="D1348" s="95" t="n">
        <v>45834</v>
      </c>
      <c r="E1348" s="92" t="inlineStr">
        <is>
          <t>KR</t>
        </is>
      </c>
      <c r="F1348" s="92" t="n">
        <v>62201000</v>
      </c>
      <c r="G1348" s="92" t="n">
        <v>1601</v>
      </c>
      <c r="H1348" s="93" t="n">
        <v>631000</v>
      </c>
      <c r="I1348" s="92" t="inlineStr">
        <is>
          <t>6월 통신요금 - O텔레콤</t>
        </is>
      </c>
      <c r="J1348" s="92" t="inlineStr">
        <is>
          <t>V10002</t>
        </is>
      </c>
      <c r="K1348" s="92" t="inlineStr">
        <is>
          <t>O텔레콤</t>
        </is>
      </c>
      <c r="M1348" s="9">
        <f>IF($A1348="","",VALUE($A1348&amp;"")*12+VALUE($B1348&amp;""))</f>
        <v/>
      </c>
      <c r="N1348" s="64">
        <f>IF($A1348="","",IFERROR(INDEX(부서매핑!$C$5:$C$504,MATCH($G1348&amp;"",부서매핑!$A$5:$A$504,0)),"미매핑"))</f>
        <v/>
      </c>
      <c r="O1348" s="9">
        <f>IF($A1348="","",N1348&amp;"|"&amp;$F1348)</f>
        <v/>
      </c>
      <c r="P1348" s="94">
        <f>IF($A1348="",0,$H1348*설정!$C$23)</f>
        <v/>
      </c>
      <c r="Q1348" s="64">
        <f>IF($A1348="","",IF(O1348&lt;&gt;원인분석!$C$9,"",IF(AND(M1348&gt;=원인분석!$C$10,M1348&lt;=원인분석!$C$11),"당기",IF(AND(M1348&gt;=원인분석!$C$12,M1348&lt;=원인분석!$C$13),"비교",""))))</f>
        <v/>
      </c>
      <c r="R1348" s="9">
        <f>IF(Q1348="","",$K1348&amp;"")</f>
        <v/>
      </c>
      <c r="S1348" s="9">
        <f>IF(Q1348="","",IF(MATCH(R1348,$R$5:$R$100000,0)=ROW()-4,ROW(),""))</f>
        <v/>
      </c>
      <c r="T1348" s="9">
        <f>IF(Q1348="당기",ABS(P1348)+ROW()/1000000000,"")</f>
        <v/>
      </c>
      <c r="U1348" s="9">
        <f>IF(Q1348="비교",ABS(P1348)+ROW()/1000000000,"")</f>
        <v/>
      </c>
      <c r="V1348" s="64">
        <f>IF($A1348="","",IF(COUNTIF(변동분석!$E$7:$E$506,O1348)&gt;0,"Y","N"))</f>
        <v/>
      </c>
      <c r="W1348" s="64">
        <f>IF($A1348="","",IFERROR(INDEX(계정매핑!$D$5:$D$504,MATCH($F1348&amp;"",계정매핑!$A$5:$A$504,0)),"미매핑"))</f>
        <v/>
      </c>
      <c r="X1348" s="9">
        <f>IF($A1348="","",$F1348&amp;"")</f>
        <v/>
      </c>
      <c r="Y1348" s="94">
        <f>IF($A1348="",0,IF(AE1348="직접",IF(AF1348="비귀속",$P1348,0),$P1348*(1-AG1348)*IFERROR(INDEX(계정대체기준!$F$20:$F$49,MATCH($N1348,계정대체기준!$A$20:$A$49,0)),1)))</f>
        <v/>
      </c>
      <c r="Z1348" s="94">
        <f>IF($A1348="",0,IF(AE1348="직접",IF(AF1348="신계약비",$P1348,0),$P1348*(1-AG1348)*IFERROR(INDEX(계정대체기준!$C$20:$C$49,MATCH($N1348,계정대체기준!$A$20:$A$49,0)),0)))</f>
        <v/>
      </c>
      <c r="AA1348" s="94">
        <f>IF($A1348="",0,IF(AE1348="직접",IF(OR(AF1348="유지비",AF1348="손해조사비"),$P1348,0),$P1348*(1-AG1348)*IFERROR(INDEX(계정대체기준!$D$20:$D$49,MATCH($N1348,계정대체기준!$A$20:$A$49,0)),0)))</f>
        <v/>
      </c>
      <c r="AB1348" s="94">
        <f>IF($A1348="",0,IF(AE1348="직접",IF(AF1348="수금비",$P1348,0),$P1348*(1-AG1348)*IFERROR(INDEX(계정대체기준!$E$20:$E$49,MATCH($N1348,계정대체기준!$A$20:$A$49,0)),0)))</f>
        <v/>
      </c>
      <c r="AC1348" s="9">
        <f>IF(AND($A1348&lt;&gt;"",M1348=설정!$C$20,Z1348&gt;0),Z1348+ROW()/1000000000,"")</f>
        <v/>
      </c>
      <c r="AD1348" s="94">
        <f>IF($A1348="",0,$P1348*AG1348)</f>
        <v/>
      </c>
      <c r="AE1348" s="64">
        <f>IF($A1348="","",IFERROR(INDEX(계정매핑!$E$5:$E$504,MATCH($F1348&amp;"",계정매핑!$A$5:$A$504,0))&amp;"","공통비"))</f>
        <v/>
      </c>
      <c r="AF1348" s="64">
        <f>IF($A1348="","",IF(AE1348="직접",IFERROR(INDEX(계정매핑!$F$5:$F$504,MATCH($F1348&amp;"",계정매핑!$A$5:$A$504,0))&amp;"","비귀속"),""))</f>
        <v/>
      </c>
      <c r="AG1348" s="96">
        <f>IF($A1348="",0,IF(AND(AE1348&lt;&gt;"직접",IFERROR(INDEX(계정매핑!$G$5:$G$504,MATCH($F1348&amp;"",계정매핑!$A$5:$A$504,0))&amp;"","")="유지비",COUNTIF(계정대체기준!$A$6:$A$15,$N1348)&gt;0),IFERROR(INDEX(계정대체기준!$E$6:$E$15,MATCH(VALUE($A1348&amp;""),계정대체기준!$D$6:$D$15,0)),0),0))</f>
        <v/>
      </c>
      <c r="AH1348" s="64">
        <f>IF($A1348="","",IF(AD1348=0,"",IF(OR(COUNTIF(계정대체기준!$A$77:$A$86,$N1348)&gt;0,ISNUMBER(MATCH($X1348,계정대체기준!$D$77:$D$86,0)),ISNUMBER(MATCH($F1348,계정대체기준!$D$77:$D$86,0))),"Y","N")))</f>
        <v/>
      </c>
    </row>
    <row r="1349">
      <c r="A1349" s="92" t="n">
        <v>2025</v>
      </c>
      <c r="B1349" s="92" t="n">
        <v>6</v>
      </c>
      <c r="C1349" s="92" t="inlineStr">
        <is>
          <t>5100001345</t>
        </is>
      </c>
      <c r="D1349" s="95" t="n">
        <v>45834</v>
      </c>
      <c r="E1349" s="92" t="inlineStr">
        <is>
          <t>KR</t>
        </is>
      </c>
      <c r="F1349" s="92" t="n">
        <v>62201000</v>
      </c>
      <c r="G1349" s="92" t="n">
        <v>1951</v>
      </c>
      <c r="H1349" s="93" t="n">
        <v>202000</v>
      </c>
      <c r="I1349" s="92" t="inlineStr">
        <is>
          <t>6월 통신요금 - P통신</t>
        </is>
      </c>
      <c r="J1349" s="92" t="inlineStr">
        <is>
          <t>V10014</t>
        </is>
      </c>
      <c r="K1349" s="92" t="inlineStr">
        <is>
          <t>P통신</t>
        </is>
      </c>
      <c r="M1349" s="9">
        <f>IF($A1349="","",VALUE($A1349&amp;"")*12+VALUE($B1349&amp;""))</f>
        <v/>
      </c>
      <c r="N1349" s="64">
        <f>IF($A1349="","",IFERROR(INDEX(부서매핑!$C$5:$C$504,MATCH($G1349&amp;"",부서매핑!$A$5:$A$504,0)),"미매핑"))</f>
        <v/>
      </c>
      <c r="O1349" s="9">
        <f>IF($A1349="","",N1349&amp;"|"&amp;$F1349)</f>
        <v/>
      </c>
      <c r="P1349" s="94">
        <f>IF($A1349="",0,$H1349*설정!$C$23)</f>
        <v/>
      </c>
      <c r="Q1349" s="64">
        <f>IF($A1349="","",IF(O1349&lt;&gt;원인분석!$C$9,"",IF(AND(M1349&gt;=원인분석!$C$10,M1349&lt;=원인분석!$C$11),"당기",IF(AND(M1349&gt;=원인분석!$C$12,M1349&lt;=원인분석!$C$13),"비교",""))))</f>
        <v/>
      </c>
      <c r="R1349" s="9">
        <f>IF(Q1349="","",$K1349&amp;"")</f>
        <v/>
      </c>
      <c r="S1349" s="9">
        <f>IF(Q1349="","",IF(MATCH(R1349,$R$5:$R$100000,0)=ROW()-4,ROW(),""))</f>
        <v/>
      </c>
      <c r="T1349" s="9">
        <f>IF(Q1349="당기",ABS(P1349)+ROW()/1000000000,"")</f>
        <v/>
      </c>
      <c r="U1349" s="9">
        <f>IF(Q1349="비교",ABS(P1349)+ROW()/1000000000,"")</f>
        <v/>
      </c>
      <c r="V1349" s="64">
        <f>IF($A1349="","",IF(COUNTIF(변동분석!$E$7:$E$506,O1349)&gt;0,"Y","N"))</f>
        <v/>
      </c>
      <c r="W1349" s="64">
        <f>IF($A1349="","",IFERROR(INDEX(계정매핑!$D$5:$D$504,MATCH($F1349&amp;"",계정매핑!$A$5:$A$504,0)),"미매핑"))</f>
        <v/>
      </c>
      <c r="X1349" s="9">
        <f>IF($A1349="","",$F1349&amp;"")</f>
        <v/>
      </c>
      <c r="Y1349" s="94">
        <f>IF($A1349="",0,IF(AE1349="직접",IF(AF1349="비귀속",$P1349,0),$P1349*(1-AG1349)*IFERROR(INDEX(계정대체기준!$F$20:$F$49,MATCH($N1349,계정대체기준!$A$20:$A$49,0)),1)))</f>
        <v/>
      </c>
      <c r="Z1349" s="94">
        <f>IF($A1349="",0,IF(AE1349="직접",IF(AF1349="신계약비",$P1349,0),$P1349*(1-AG1349)*IFERROR(INDEX(계정대체기준!$C$20:$C$49,MATCH($N1349,계정대체기준!$A$20:$A$49,0)),0)))</f>
        <v/>
      </c>
      <c r="AA1349" s="94">
        <f>IF($A1349="",0,IF(AE1349="직접",IF(OR(AF1349="유지비",AF1349="손해조사비"),$P1349,0),$P1349*(1-AG1349)*IFERROR(INDEX(계정대체기준!$D$20:$D$49,MATCH($N1349,계정대체기준!$A$20:$A$49,0)),0)))</f>
        <v/>
      </c>
      <c r="AB1349" s="94">
        <f>IF($A1349="",0,IF(AE1349="직접",IF(AF1349="수금비",$P1349,0),$P1349*(1-AG1349)*IFERROR(INDEX(계정대체기준!$E$20:$E$49,MATCH($N1349,계정대체기준!$A$20:$A$49,0)),0)))</f>
        <v/>
      </c>
      <c r="AC1349" s="9">
        <f>IF(AND($A1349&lt;&gt;"",M1349=설정!$C$20,Z1349&gt;0),Z1349+ROW()/1000000000,"")</f>
        <v/>
      </c>
      <c r="AD1349" s="94">
        <f>IF($A1349="",0,$P1349*AG1349)</f>
        <v/>
      </c>
      <c r="AE1349" s="64">
        <f>IF($A1349="","",IFERROR(INDEX(계정매핑!$E$5:$E$504,MATCH($F1349&amp;"",계정매핑!$A$5:$A$504,0))&amp;"","공통비"))</f>
        <v/>
      </c>
      <c r="AF1349" s="64">
        <f>IF($A1349="","",IF(AE1349="직접",IFERROR(INDEX(계정매핑!$F$5:$F$504,MATCH($F1349&amp;"",계정매핑!$A$5:$A$504,0))&amp;"","비귀속"),""))</f>
        <v/>
      </c>
      <c r="AG1349" s="96">
        <f>IF($A1349="",0,IF(AND(AE1349&lt;&gt;"직접",IFERROR(INDEX(계정매핑!$G$5:$G$504,MATCH($F1349&amp;"",계정매핑!$A$5:$A$504,0))&amp;"","")="유지비",COUNTIF(계정대체기준!$A$6:$A$15,$N1349)&gt;0),IFERROR(INDEX(계정대체기준!$E$6:$E$15,MATCH(VALUE($A1349&amp;""),계정대체기준!$D$6:$D$15,0)),0),0))</f>
        <v/>
      </c>
      <c r="AH1349" s="64">
        <f>IF($A1349="","",IF(AD1349=0,"",IF(OR(COUNTIF(계정대체기준!$A$77:$A$86,$N1349)&gt;0,ISNUMBER(MATCH($X1349,계정대체기준!$D$77:$D$86,0)),ISNUMBER(MATCH($F1349,계정대체기준!$D$77:$D$86,0))),"Y","N")))</f>
        <v/>
      </c>
    </row>
    <row r="1350">
      <c r="A1350" s="92" t="n">
        <v>2025</v>
      </c>
      <c r="B1350" s="92" t="n">
        <v>6</v>
      </c>
      <c r="C1350" s="92" t="inlineStr">
        <is>
          <t>5100001346</t>
        </is>
      </c>
      <c r="D1350" s="95" t="n">
        <v>45834</v>
      </c>
      <c r="E1350" s="92" t="inlineStr">
        <is>
          <t>KR</t>
        </is>
      </c>
      <c r="F1350" s="92" t="n">
        <v>62401000</v>
      </c>
      <c r="G1350" s="92" t="n">
        <v>1501</v>
      </c>
      <c r="H1350" s="93" t="n">
        <v>2476000</v>
      </c>
      <c r="I1350" s="92" t="inlineStr">
        <is>
          <t>6월 인쇄물 제작 - S출판</t>
        </is>
      </c>
      <c r="J1350" s="92" t="inlineStr">
        <is>
          <t>V10015</t>
        </is>
      </c>
      <c r="K1350" s="92" t="inlineStr">
        <is>
          <t>S출판</t>
        </is>
      </c>
      <c r="M1350" s="9">
        <f>IF($A1350="","",VALUE($A1350&amp;"")*12+VALUE($B1350&amp;""))</f>
        <v/>
      </c>
      <c r="N1350" s="64">
        <f>IF($A1350="","",IFERROR(INDEX(부서매핑!$C$5:$C$504,MATCH($G1350&amp;"",부서매핑!$A$5:$A$504,0)),"미매핑"))</f>
        <v/>
      </c>
      <c r="O1350" s="9">
        <f>IF($A1350="","",N1350&amp;"|"&amp;$F1350)</f>
        <v/>
      </c>
      <c r="P1350" s="94">
        <f>IF($A1350="",0,$H1350*설정!$C$23)</f>
        <v/>
      </c>
      <c r="Q1350" s="64">
        <f>IF($A1350="","",IF(O1350&lt;&gt;원인분석!$C$9,"",IF(AND(M1350&gt;=원인분석!$C$10,M1350&lt;=원인분석!$C$11),"당기",IF(AND(M1350&gt;=원인분석!$C$12,M1350&lt;=원인분석!$C$13),"비교",""))))</f>
        <v/>
      </c>
      <c r="R1350" s="9">
        <f>IF(Q1350="","",$K1350&amp;"")</f>
        <v/>
      </c>
      <c r="S1350" s="9">
        <f>IF(Q1350="","",IF(MATCH(R1350,$R$5:$R$100000,0)=ROW()-4,ROW(),""))</f>
        <v/>
      </c>
      <c r="T1350" s="9">
        <f>IF(Q1350="당기",ABS(P1350)+ROW()/1000000000,"")</f>
        <v/>
      </c>
      <c r="U1350" s="9">
        <f>IF(Q1350="비교",ABS(P1350)+ROW()/1000000000,"")</f>
        <v/>
      </c>
      <c r="V1350" s="64">
        <f>IF($A1350="","",IF(COUNTIF(변동분석!$E$7:$E$506,O1350)&gt;0,"Y","N"))</f>
        <v/>
      </c>
      <c r="W1350" s="64">
        <f>IF($A1350="","",IFERROR(INDEX(계정매핑!$D$5:$D$504,MATCH($F1350&amp;"",계정매핑!$A$5:$A$504,0)),"미매핑"))</f>
        <v/>
      </c>
      <c r="X1350" s="9">
        <f>IF($A1350="","",$F1350&amp;"")</f>
        <v/>
      </c>
      <c r="Y1350" s="94">
        <f>IF($A1350="",0,IF(AE1350="직접",IF(AF1350="비귀속",$P1350,0),$P1350*(1-AG1350)*IFERROR(INDEX(계정대체기준!$F$20:$F$49,MATCH($N1350,계정대체기준!$A$20:$A$49,0)),1)))</f>
        <v/>
      </c>
      <c r="Z1350" s="94">
        <f>IF($A1350="",0,IF(AE1350="직접",IF(AF1350="신계약비",$P1350,0),$P1350*(1-AG1350)*IFERROR(INDEX(계정대체기준!$C$20:$C$49,MATCH($N1350,계정대체기준!$A$20:$A$49,0)),0)))</f>
        <v/>
      </c>
      <c r="AA1350" s="94">
        <f>IF($A1350="",0,IF(AE1350="직접",IF(OR(AF1350="유지비",AF1350="손해조사비"),$P1350,0),$P1350*(1-AG1350)*IFERROR(INDEX(계정대체기준!$D$20:$D$49,MATCH($N1350,계정대체기준!$A$20:$A$49,0)),0)))</f>
        <v/>
      </c>
      <c r="AB1350" s="94">
        <f>IF($A1350="",0,IF(AE1350="직접",IF(AF1350="수금비",$P1350,0),$P1350*(1-AG1350)*IFERROR(INDEX(계정대체기준!$E$20:$E$49,MATCH($N1350,계정대체기준!$A$20:$A$49,0)),0)))</f>
        <v/>
      </c>
      <c r="AC1350" s="9">
        <f>IF(AND($A1350&lt;&gt;"",M1350=설정!$C$20,Z1350&gt;0),Z1350+ROW()/1000000000,"")</f>
        <v/>
      </c>
      <c r="AD1350" s="94">
        <f>IF($A1350="",0,$P1350*AG1350)</f>
        <v/>
      </c>
      <c r="AE1350" s="64">
        <f>IF($A1350="","",IFERROR(INDEX(계정매핑!$E$5:$E$504,MATCH($F1350&amp;"",계정매핑!$A$5:$A$504,0))&amp;"","공통비"))</f>
        <v/>
      </c>
      <c r="AF1350" s="64">
        <f>IF($A1350="","",IF(AE1350="직접",IFERROR(INDEX(계정매핑!$F$5:$F$504,MATCH($F1350&amp;"",계정매핑!$A$5:$A$504,0))&amp;"","비귀속"),""))</f>
        <v/>
      </c>
      <c r="AG1350" s="96">
        <f>IF($A1350="",0,IF(AND(AE1350&lt;&gt;"직접",IFERROR(INDEX(계정매핑!$G$5:$G$504,MATCH($F1350&amp;"",계정매핑!$A$5:$A$504,0))&amp;"","")="유지비",COUNTIF(계정대체기준!$A$6:$A$15,$N1350)&gt;0),IFERROR(INDEX(계정대체기준!$E$6:$E$15,MATCH(VALUE($A1350&amp;""),계정대체기준!$D$6:$D$15,0)),0),0))</f>
        <v/>
      </c>
      <c r="AH1350" s="64">
        <f>IF($A1350="","",IF(AD1350=0,"",IF(OR(COUNTIF(계정대체기준!$A$77:$A$86,$N1350)&gt;0,ISNUMBER(MATCH($X1350,계정대체기준!$D$77:$D$86,0)),ISNUMBER(MATCH($F1350,계정대체기준!$D$77:$D$86,0))),"Y","N")))</f>
        <v/>
      </c>
    </row>
    <row r="1351">
      <c r="A1351" s="92" t="n">
        <v>2025</v>
      </c>
      <c r="B1351" s="92" t="n">
        <v>6</v>
      </c>
      <c r="C1351" s="92" t="inlineStr">
        <is>
          <t>5100001347</t>
        </is>
      </c>
      <c r="D1351" s="95" t="n">
        <v>45834</v>
      </c>
      <c r="E1351" s="92" t="inlineStr">
        <is>
          <t>KR</t>
        </is>
      </c>
      <c r="F1351" s="92" t="n">
        <v>62501000</v>
      </c>
      <c r="G1351" s="92" t="n">
        <v>1502</v>
      </c>
      <c r="H1351" s="93" t="n">
        <v>541000</v>
      </c>
      <c r="I1351" s="92" t="inlineStr">
        <is>
          <t>6월 회의 다과 - T케이터링</t>
        </is>
      </c>
      <c r="J1351" s="92" t="inlineStr">
        <is>
          <t>V10005</t>
        </is>
      </c>
      <c r="K1351" s="92" t="inlineStr">
        <is>
          <t>T케이터링</t>
        </is>
      </c>
      <c r="M1351" s="9">
        <f>IF($A1351="","",VALUE($A1351&amp;"")*12+VALUE($B1351&amp;""))</f>
        <v/>
      </c>
      <c r="N1351" s="64">
        <f>IF($A1351="","",IFERROR(INDEX(부서매핑!$C$5:$C$504,MATCH($G1351&amp;"",부서매핑!$A$5:$A$504,0)),"미매핑"))</f>
        <v/>
      </c>
      <c r="O1351" s="9">
        <f>IF($A1351="","",N1351&amp;"|"&amp;$F1351)</f>
        <v/>
      </c>
      <c r="P1351" s="94">
        <f>IF($A1351="",0,$H1351*설정!$C$23)</f>
        <v/>
      </c>
      <c r="Q1351" s="64">
        <f>IF($A1351="","",IF(O1351&lt;&gt;원인분석!$C$9,"",IF(AND(M1351&gt;=원인분석!$C$10,M1351&lt;=원인분석!$C$11),"당기",IF(AND(M1351&gt;=원인분석!$C$12,M1351&lt;=원인분석!$C$13),"비교",""))))</f>
        <v/>
      </c>
      <c r="R1351" s="9">
        <f>IF(Q1351="","",$K1351&amp;"")</f>
        <v/>
      </c>
      <c r="S1351" s="9">
        <f>IF(Q1351="","",IF(MATCH(R1351,$R$5:$R$100000,0)=ROW()-4,ROW(),""))</f>
        <v/>
      </c>
      <c r="T1351" s="9">
        <f>IF(Q1351="당기",ABS(P1351)+ROW()/1000000000,"")</f>
        <v/>
      </c>
      <c r="U1351" s="9">
        <f>IF(Q1351="비교",ABS(P1351)+ROW()/1000000000,"")</f>
        <v/>
      </c>
      <c r="V1351" s="64">
        <f>IF($A1351="","",IF(COUNTIF(변동분석!$E$7:$E$506,O1351)&gt;0,"Y","N"))</f>
        <v/>
      </c>
      <c r="W1351" s="64">
        <f>IF($A1351="","",IFERROR(INDEX(계정매핑!$D$5:$D$504,MATCH($F1351&amp;"",계정매핑!$A$5:$A$504,0)),"미매핑"))</f>
        <v/>
      </c>
      <c r="X1351" s="9">
        <f>IF($A1351="","",$F1351&amp;"")</f>
        <v/>
      </c>
      <c r="Y1351" s="94">
        <f>IF($A1351="",0,IF(AE1351="직접",IF(AF1351="비귀속",$P1351,0),$P1351*(1-AG1351)*IFERROR(INDEX(계정대체기준!$F$20:$F$49,MATCH($N1351,계정대체기준!$A$20:$A$49,0)),1)))</f>
        <v/>
      </c>
      <c r="Z1351" s="94">
        <f>IF($A1351="",0,IF(AE1351="직접",IF(AF1351="신계약비",$P1351,0),$P1351*(1-AG1351)*IFERROR(INDEX(계정대체기준!$C$20:$C$49,MATCH($N1351,계정대체기준!$A$20:$A$49,0)),0)))</f>
        <v/>
      </c>
      <c r="AA1351" s="94">
        <f>IF($A1351="",0,IF(AE1351="직접",IF(OR(AF1351="유지비",AF1351="손해조사비"),$P1351,0),$P1351*(1-AG1351)*IFERROR(INDEX(계정대체기준!$D$20:$D$49,MATCH($N1351,계정대체기준!$A$20:$A$49,0)),0)))</f>
        <v/>
      </c>
      <c r="AB1351" s="94">
        <f>IF($A1351="",0,IF(AE1351="직접",IF(AF1351="수금비",$P1351,0),$P1351*(1-AG1351)*IFERROR(INDEX(계정대체기준!$E$20:$E$49,MATCH($N1351,계정대체기준!$A$20:$A$49,0)),0)))</f>
        <v/>
      </c>
      <c r="AC1351" s="9">
        <f>IF(AND($A1351&lt;&gt;"",M1351=설정!$C$20,Z1351&gt;0),Z1351+ROW()/1000000000,"")</f>
        <v/>
      </c>
      <c r="AD1351" s="94">
        <f>IF($A1351="",0,$P1351*AG1351)</f>
        <v/>
      </c>
      <c r="AE1351" s="64">
        <f>IF($A1351="","",IFERROR(INDEX(계정매핑!$E$5:$E$504,MATCH($F1351&amp;"",계정매핑!$A$5:$A$504,0))&amp;"","공통비"))</f>
        <v/>
      </c>
      <c r="AF1351" s="64">
        <f>IF($A1351="","",IF(AE1351="직접",IFERROR(INDEX(계정매핑!$F$5:$F$504,MATCH($F1351&amp;"",계정매핑!$A$5:$A$504,0))&amp;"","비귀속"),""))</f>
        <v/>
      </c>
      <c r="AG1351" s="96">
        <f>IF($A1351="",0,IF(AND(AE1351&lt;&gt;"직접",IFERROR(INDEX(계정매핑!$G$5:$G$504,MATCH($F1351&amp;"",계정매핑!$A$5:$A$504,0))&amp;"","")="유지비",COUNTIF(계정대체기준!$A$6:$A$15,$N1351)&gt;0),IFERROR(INDEX(계정대체기준!$E$6:$E$15,MATCH(VALUE($A1351&amp;""),계정대체기준!$D$6:$D$15,0)),0),0))</f>
        <v/>
      </c>
      <c r="AH1351" s="64">
        <f>IF($A1351="","",IF(AD1351=0,"",IF(OR(COUNTIF(계정대체기준!$A$77:$A$86,$N1351)&gt;0,ISNUMBER(MATCH($X1351,계정대체기준!$D$77:$D$86,0)),ISNUMBER(MATCH($F1351,계정대체기준!$D$77:$D$86,0))),"Y","N")))</f>
        <v/>
      </c>
    </row>
    <row r="1352">
      <c r="A1352" s="92" t="n">
        <v>2025</v>
      </c>
      <c r="B1352" s="92" t="n">
        <v>6</v>
      </c>
      <c r="C1352" s="92" t="inlineStr">
        <is>
          <t>5100001348</t>
        </is>
      </c>
      <c r="D1352" s="95" t="n">
        <v>45834</v>
      </c>
      <c r="E1352" s="92" t="inlineStr">
        <is>
          <t>KR</t>
        </is>
      </c>
      <c r="F1352" s="92" t="n">
        <v>62701000</v>
      </c>
      <c r="G1352" s="92" t="n">
        <v>1502</v>
      </c>
      <c r="H1352" s="93" t="n">
        <v>57999000</v>
      </c>
      <c r="I1352" s="92" t="inlineStr">
        <is>
          <t>6월 광고 집행 - F애드</t>
        </is>
      </c>
      <c r="J1352" s="92" t="inlineStr">
        <is>
          <t>V10023</t>
        </is>
      </c>
      <c r="K1352" s="92" t="inlineStr">
        <is>
          <t>F애드</t>
        </is>
      </c>
      <c r="M1352" s="9">
        <f>IF($A1352="","",VALUE($A1352&amp;"")*12+VALUE($B1352&amp;""))</f>
        <v/>
      </c>
      <c r="N1352" s="64">
        <f>IF($A1352="","",IFERROR(INDEX(부서매핑!$C$5:$C$504,MATCH($G1352&amp;"",부서매핑!$A$5:$A$504,0)),"미매핑"))</f>
        <v/>
      </c>
      <c r="O1352" s="9">
        <f>IF($A1352="","",N1352&amp;"|"&amp;$F1352)</f>
        <v/>
      </c>
      <c r="P1352" s="94">
        <f>IF($A1352="",0,$H1352*설정!$C$23)</f>
        <v/>
      </c>
      <c r="Q1352" s="64">
        <f>IF($A1352="","",IF(O1352&lt;&gt;원인분석!$C$9,"",IF(AND(M1352&gt;=원인분석!$C$10,M1352&lt;=원인분석!$C$11),"당기",IF(AND(M1352&gt;=원인분석!$C$12,M1352&lt;=원인분석!$C$13),"비교",""))))</f>
        <v/>
      </c>
      <c r="R1352" s="9">
        <f>IF(Q1352="","",$K1352&amp;"")</f>
        <v/>
      </c>
      <c r="S1352" s="9">
        <f>IF(Q1352="","",IF(MATCH(R1352,$R$5:$R$100000,0)=ROW()-4,ROW(),""))</f>
        <v/>
      </c>
      <c r="T1352" s="9">
        <f>IF(Q1352="당기",ABS(P1352)+ROW()/1000000000,"")</f>
        <v/>
      </c>
      <c r="U1352" s="9">
        <f>IF(Q1352="비교",ABS(P1352)+ROW()/1000000000,"")</f>
        <v/>
      </c>
      <c r="V1352" s="64">
        <f>IF($A1352="","",IF(COUNTIF(변동분석!$E$7:$E$506,O1352)&gt;0,"Y","N"))</f>
        <v/>
      </c>
      <c r="W1352" s="64">
        <f>IF($A1352="","",IFERROR(INDEX(계정매핑!$D$5:$D$504,MATCH($F1352&amp;"",계정매핑!$A$5:$A$504,0)),"미매핑"))</f>
        <v/>
      </c>
      <c r="X1352" s="9">
        <f>IF($A1352="","",$F1352&amp;"")</f>
        <v/>
      </c>
      <c r="Y1352" s="94">
        <f>IF($A1352="",0,IF(AE1352="직접",IF(AF1352="비귀속",$P1352,0),$P1352*(1-AG1352)*IFERROR(INDEX(계정대체기준!$F$20:$F$49,MATCH($N1352,계정대체기준!$A$20:$A$49,0)),1)))</f>
        <v/>
      </c>
      <c r="Z1352" s="94">
        <f>IF($A1352="",0,IF(AE1352="직접",IF(AF1352="신계약비",$P1352,0),$P1352*(1-AG1352)*IFERROR(INDEX(계정대체기준!$C$20:$C$49,MATCH($N1352,계정대체기준!$A$20:$A$49,0)),0)))</f>
        <v/>
      </c>
      <c r="AA1352" s="94">
        <f>IF($A1352="",0,IF(AE1352="직접",IF(OR(AF1352="유지비",AF1352="손해조사비"),$P1352,0),$P1352*(1-AG1352)*IFERROR(INDEX(계정대체기준!$D$20:$D$49,MATCH($N1352,계정대체기준!$A$20:$A$49,0)),0)))</f>
        <v/>
      </c>
      <c r="AB1352" s="94">
        <f>IF($A1352="",0,IF(AE1352="직접",IF(AF1352="수금비",$P1352,0),$P1352*(1-AG1352)*IFERROR(INDEX(계정대체기준!$E$20:$E$49,MATCH($N1352,계정대체기준!$A$20:$A$49,0)),0)))</f>
        <v/>
      </c>
      <c r="AC1352" s="9">
        <f>IF(AND($A1352&lt;&gt;"",M1352=설정!$C$20,Z1352&gt;0),Z1352+ROW()/1000000000,"")</f>
        <v/>
      </c>
      <c r="AD1352" s="94">
        <f>IF($A1352="",0,$P1352*AG1352)</f>
        <v/>
      </c>
      <c r="AE1352" s="64">
        <f>IF($A1352="","",IFERROR(INDEX(계정매핑!$E$5:$E$504,MATCH($F1352&amp;"",계정매핑!$A$5:$A$504,0))&amp;"","공통비"))</f>
        <v/>
      </c>
      <c r="AF1352" s="64">
        <f>IF($A1352="","",IF(AE1352="직접",IFERROR(INDEX(계정매핑!$F$5:$F$504,MATCH($F1352&amp;"",계정매핑!$A$5:$A$504,0))&amp;"","비귀속"),""))</f>
        <v/>
      </c>
      <c r="AG1352" s="96">
        <f>IF($A1352="",0,IF(AND(AE1352&lt;&gt;"직접",IFERROR(INDEX(계정매핑!$G$5:$G$504,MATCH($F1352&amp;"",계정매핑!$A$5:$A$504,0))&amp;"","")="유지비",COUNTIF(계정대체기준!$A$6:$A$15,$N1352)&gt;0),IFERROR(INDEX(계정대체기준!$E$6:$E$15,MATCH(VALUE($A1352&amp;""),계정대체기준!$D$6:$D$15,0)),0),0))</f>
        <v/>
      </c>
      <c r="AH1352" s="64">
        <f>IF($A1352="","",IF(AD1352=0,"",IF(OR(COUNTIF(계정대체기준!$A$77:$A$86,$N1352)&gt;0,ISNUMBER(MATCH($X1352,계정대체기준!$D$77:$D$86,0)),ISNUMBER(MATCH($F1352,계정대체기준!$D$77:$D$86,0))),"Y","N")))</f>
        <v/>
      </c>
    </row>
    <row r="1353">
      <c r="A1353" s="92" t="n">
        <v>2025</v>
      </c>
      <c r="B1353" s="92" t="n">
        <v>6</v>
      </c>
      <c r="C1353" s="92" t="inlineStr">
        <is>
          <t>5100001349</t>
        </is>
      </c>
      <c r="D1353" s="95" t="n">
        <v>45834</v>
      </c>
      <c r="E1353" s="92" t="inlineStr">
        <is>
          <t>KR</t>
        </is>
      </c>
      <c r="F1353" s="92" t="n">
        <v>63502000</v>
      </c>
      <c r="G1353" s="92" t="n">
        <v>1901</v>
      </c>
      <c r="H1353" s="93" t="n">
        <v>109393000</v>
      </c>
      <c r="I1353" s="92" t="inlineStr">
        <is>
          <t>6월 유지수수료 - (전속설계사)</t>
        </is>
      </c>
      <c r="J1353" s="92" t="inlineStr">
        <is>
          <t>V10021</t>
        </is>
      </c>
      <c r="K1353" s="92" t="inlineStr">
        <is>
          <t>(전속설계사)</t>
        </is>
      </c>
      <c r="M1353" s="9">
        <f>IF($A1353="","",VALUE($A1353&amp;"")*12+VALUE($B1353&amp;""))</f>
        <v/>
      </c>
      <c r="N1353" s="64">
        <f>IF($A1353="","",IFERROR(INDEX(부서매핑!$C$5:$C$504,MATCH($G1353&amp;"",부서매핑!$A$5:$A$504,0)),"미매핑"))</f>
        <v/>
      </c>
      <c r="O1353" s="9">
        <f>IF($A1353="","",N1353&amp;"|"&amp;$F1353)</f>
        <v/>
      </c>
      <c r="P1353" s="94">
        <f>IF($A1353="",0,$H1353*설정!$C$23)</f>
        <v/>
      </c>
      <c r="Q1353" s="64">
        <f>IF($A1353="","",IF(O1353&lt;&gt;원인분석!$C$9,"",IF(AND(M1353&gt;=원인분석!$C$10,M1353&lt;=원인분석!$C$11),"당기",IF(AND(M1353&gt;=원인분석!$C$12,M1353&lt;=원인분석!$C$13),"비교",""))))</f>
        <v/>
      </c>
      <c r="R1353" s="9">
        <f>IF(Q1353="","",$K1353&amp;"")</f>
        <v/>
      </c>
      <c r="S1353" s="9">
        <f>IF(Q1353="","",IF(MATCH(R1353,$R$5:$R$100000,0)=ROW()-4,ROW(),""))</f>
        <v/>
      </c>
      <c r="T1353" s="9">
        <f>IF(Q1353="당기",ABS(P1353)+ROW()/1000000000,"")</f>
        <v/>
      </c>
      <c r="U1353" s="9">
        <f>IF(Q1353="비교",ABS(P1353)+ROW()/1000000000,"")</f>
        <v/>
      </c>
      <c r="V1353" s="64">
        <f>IF($A1353="","",IF(COUNTIF(변동분석!$E$7:$E$506,O1353)&gt;0,"Y","N"))</f>
        <v/>
      </c>
      <c r="W1353" s="64">
        <f>IF($A1353="","",IFERROR(INDEX(계정매핑!$D$5:$D$504,MATCH($F1353&amp;"",계정매핑!$A$5:$A$504,0)),"미매핑"))</f>
        <v/>
      </c>
      <c r="X1353" s="9">
        <f>IF($A1353="","",$F1353&amp;"")</f>
        <v/>
      </c>
      <c r="Y1353" s="94">
        <f>IF($A1353="",0,IF(AE1353="직접",IF(AF1353="비귀속",$P1353,0),$P1353*(1-AG1353)*IFERROR(INDEX(계정대체기준!$F$20:$F$49,MATCH($N1353,계정대체기준!$A$20:$A$49,0)),1)))</f>
        <v/>
      </c>
      <c r="Z1353" s="94">
        <f>IF($A1353="",0,IF(AE1353="직접",IF(AF1353="신계약비",$P1353,0),$P1353*(1-AG1353)*IFERROR(INDEX(계정대체기준!$C$20:$C$49,MATCH($N1353,계정대체기준!$A$20:$A$49,0)),0)))</f>
        <v/>
      </c>
      <c r="AA1353" s="94">
        <f>IF($A1353="",0,IF(AE1353="직접",IF(OR(AF1353="유지비",AF1353="손해조사비"),$P1353,0),$P1353*(1-AG1353)*IFERROR(INDEX(계정대체기준!$D$20:$D$49,MATCH($N1353,계정대체기준!$A$20:$A$49,0)),0)))</f>
        <v/>
      </c>
      <c r="AB1353" s="94">
        <f>IF($A1353="",0,IF(AE1353="직접",IF(AF1353="수금비",$P1353,0),$P1353*(1-AG1353)*IFERROR(INDEX(계정대체기준!$E$20:$E$49,MATCH($N1353,계정대체기준!$A$20:$A$49,0)),0)))</f>
        <v/>
      </c>
      <c r="AC1353" s="9">
        <f>IF(AND($A1353&lt;&gt;"",M1353=설정!$C$20,Z1353&gt;0),Z1353+ROW()/1000000000,"")</f>
        <v/>
      </c>
      <c r="AD1353" s="94">
        <f>IF($A1353="",0,$P1353*AG1353)</f>
        <v/>
      </c>
      <c r="AE1353" s="64">
        <f>IF($A1353="","",IFERROR(INDEX(계정매핑!$E$5:$E$504,MATCH($F1353&amp;"",계정매핑!$A$5:$A$504,0))&amp;"","공통비"))</f>
        <v/>
      </c>
      <c r="AF1353" s="64">
        <f>IF($A1353="","",IF(AE1353="직접",IFERROR(INDEX(계정매핑!$F$5:$F$504,MATCH($F1353&amp;"",계정매핑!$A$5:$A$504,0))&amp;"","비귀속"),""))</f>
        <v/>
      </c>
      <c r="AG1353" s="96">
        <f>IF($A1353="",0,IF(AND(AE1353&lt;&gt;"직접",IFERROR(INDEX(계정매핑!$G$5:$G$504,MATCH($F1353&amp;"",계정매핑!$A$5:$A$504,0))&amp;"","")="유지비",COUNTIF(계정대체기준!$A$6:$A$15,$N1353)&gt;0),IFERROR(INDEX(계정대체기준!$E$6:$E$15,MATCH(VALUE($A1353&amp;""),계정대체기준!$D$6:$D$15,0)),0),0))</f>
        <v/>
      </c>
      <c r="AH1353" s="64">
        <f>IF($A1353="","",IF(AD1353=0,"",IF(OR(COUNTIF(계정대체기준!$A$77:$A$86,$N1353)&gt;0,ISNUMBER(MATCH($X1353,계정대체기준!$D$77:$D$86,0)),ISNUMBER(MATCH($F1353,계정대체기준!$D$77:$D$86,0))),"Y","N")))</f>
        <v/>
      </c>
    </row>
    <row r="1354">
      <c r="A1354" s="92" t="n">
        <v>2025</v>
      </c>
      <c r="B1354" s="92" t="n">
        <v>6</v>
      </c>
      <c r="C1354" s="92" t="inlineStr">
        <is>
          <t>5100001350</t>
        </is>
      </c>
      <c r="D1354" s="95" t="n">
        <v>45835</v>
      </c>
      <c r="E1354" s="92" t="inlineStr">
        <is>
          <t>KR</t>
        </is>
      </c>
      <c r="F1354" s="92" t="n">
        <v>62102000</v>
      </c>
      <c r="G1354" s="92" t="n">
        <v>1201</v>
      </c>
      <c r="H1354" s="93" t="n">
        <v>64000</v>
      </c>
      <c r="I1354" s="92" t="inlineStr">
        <is>
          <t>6월 해외출장 - N호텔</t>
        </is>
      </c>
      <c r="J1354" s="92" t="inlineStr">
        <is>
          <t>V10009</t>
        </is>
      </c>
      <c r="K1354" s="92" t="inlineStr">
        <is>
          <t>N호텔</t>
        </is>
      </c>
      <c r="M1354" s="9">
        <f>IF($A1354="","",VALUE($A1354&amp;"")*12+VALUE($B1354&amp;""))</f>
        <v/>
      </c>
      <c r="N1354" s="64">
        <f>IF($A1354="","",IFERROR(INDEX(부서매핑!$C$5:$C$504,MATCH($G1354&amp;"",부서매핑!$A$5:$A$504,0)),"미매핑"))</f>
        <v/>
      </c>
      <c r="O1354" s="9">
        <f>IF($A1354="","",N1354&amp;"|"&amp;$F1354)</f>
        <v/>
      </c>
      <c r="P1354" s="94">
        <f>IF($A1354="",0,$H1354*설정!$C$23)</f>
        <v/>
      </c>
      <c r="Q1354" s="64">
        <f>IF($A1354="","",IF(O1354&lt;&gt;원인분석!$C$9,"",IF(AND(M1354&gt;=원인분석!$C$10,M1354&lt;=원인분석!$C$11),"당기",IF(AND(M1354&gt;=원인분석!$C$12,M1354&lt;=원인분석!$C$13),"비교",""))))</f>
        <v/>
      </c>
      <c r="R1354" s="9">
        <f>IF(Q1354="","",$K1354&amp;"")</f>
        <v/>
      </c>
      <c r="S1354" s="9">
        <f>IF(Q1354="","",IF(MATCH(R1354,$R$5:$R$100000,0)=ROW()-4,ROW(),""))</f>
        <v/>
      </c>
      <c r="T1354" s="9">
        <f>IF(Q1354="당기",ABS(P1354)+ROW()/1000000000,"")</f>
        <v/>
      </c>
      <c r="U1354" s="9">
        <f>IF(Q1354="비교",ABS(P1354)+ROW()/1000000000,"")</f>
        <v/>
      </c>
      <c r="V1354" s="64">
        <f>IF($A1354="","",IF(COUNTIF(변동분석!$E$7:$E$506,O1354)&gt;0,"Y","N"))</f>
        <v/>
      </c>
      <c r="W1354" s="64">
        <f>IF($A1354="","",IFERROR(INDEX(계정매핑!$D$5:$D$504,MATCH($F1354&amp;"",계정매핑!$A$5:$A$504,0)),"미매핑"))</f>
        <v/>
      </c>
      <c r="X1354" s="9">
        <f>IF($A1354="","",$F1354&amp;"")</f>
        <v/>
      </c>
      <c r="Y1354" s="94">
        <f>IF($A1354="",0,IF(AE1354="직접",IF(AF1354="비귀속",$P1354,0),$P1354*(1-AG1354)*IFERROR(INDEX(계정대체기준!$F$20:$F$49,MATCH($N1354,계정대체기준!$A$20:$A$49,0)),1)))</f>
        <v/>
      </c>
      <c r="Z1354" s="94">
        <f>IF($A1354="",0,IF(AE1354="직접",IF(AF1354="신계약비",$P1354,0),$P1354*(1-AG1354)*IFERROR(INDEX(계정대체기준!$C$20:$C$49,MATCH($N1354,계정대체기준!$A$20:$A$49,0)),0)))</f>
        <v/>
      </c>
      <c r="AA1354" s="94">
        <f>IF($A1354="",0,IF(AE1354="직접",IF(OR(AF1354="유지비",AF1354="손해조사비"),$P1354,0),$P1354*(1-AG1354)*IFERROR(INDEX(계정대체기준!$D$20:$D$49,MATCH($N1354,계정대체기준!$A$20:$A$49,0)),0)))</f>
        <v/>
      </c>
      <c r="AB1354" s="94">
        <f>IF($A1354="",0,IF(AE1354="직접",IF(AF1354="수금비",$P1354,0),$P1354*(1-AG1354)*IFERROR(INDEX(계정대체기준!$E$20:$E$49,MATCH($N1354,계정대체기준!$A$20:$A$49,0)),0)))</f>
        <v/>
      </c>
      <c r="AC1354" s="9">
        <f>IF(AND($A1354&lt;&gt;"",M1354=설정!$C$20,Z1354&gt;0),Z1354+ROW()/1000000000,"")</f>
        <v/>
      </c>
      <c r="AD1354" s="94">
        <f>IF($A1354="",0,$P1354*AG1354)</f>
        <v/>
      </c>
      <c r="AE1354" s="64">
        <f>IF($A1354="","",IFERROR(INDEX(계정매핑!$E$5:$E$504,MATCH($F1354&amp;"",계정매핑!$A$5:$A$504,0))&amp;"","공통비"))</f>
        <v/>
      </c>
      <c r="AF1354" s="64">
        <f>IF($A1354="","",IF(AE1354="직접",IFERROR(INDEX(계정매핑!$F$5:$F$504,MATCH($F1354&amp;"",계정매핑!$A$5:$A$504,0))&amp;"","비귀속"),""))</f>
        <v/>
      </c>
      <c r="AG1354" s="96">
        <f>IF($A1354="",0,IF(AND(AE1354&lt;&gt;"직접",IFERROR(INDEX(계정매핑!$G$5:$G$504,MATCH($F1354&amp;"",계정매핑!$A$5:$A$504,0))&amp;"","")="유지비",COUNTIF(계정대체기준!$A$6:$A$15,$N1354)&gt;0),IFERROR(INDEX(계정대체기준!$E$6:$E$15,MATCH(VALUE($A1354&amp;""),계정대체기준!$D$6:$D$15,0)),0),0))</f>
        <v/>
      </c>
      <c r="AH1354" s="64">
        <f>IF($A1354="","",IF(AD1354=0,"",IF(OR(COUNTIF(계정대체기준!$A$77:$A$86,$N1354)&gt;0,ISNUMBER(MATCH($X1354,계정대체기준!$D$77:$D$86,0)),ISNUMBER(MATCH($F1354,계정대체기준!$D$77:$D$86,0))),"Y","N")))</f>
        <v/>
      </c>
    </row>
    <row r="1355">
      <c r="A1355" s="92" t="n">
        <v>2025</v>
      </c>
      <c r="B1355" s="92" t="n">
        <v>6</v>
      </c>
      <c r="C1355" s="92" t="inlineStr">
        <is>
          <t>5100001351</t>
        </is>
      </c>
      <c r="D1355" s="95" t="n">
        <v>45835</v>
      </c>
      <c r="E1355" s="92" t="inlineStr">
        <is>
          <t>KR</t>
        </is>
      </c>
      <c r="F1355" s="92" t="n">
        <v>62201000</v>
      </c>
      <c r="G1355" s="92" t="n">
        <v>1501</v>
      </c>
      <c r="H1355" s="93" t="n">
        <v>294000</v>
      </c>
      <c r="I1355" s="92" t="inlineStr">
        <is>
          <t>6월 통신요금 - P통신</t>
        </is>
      </c>
      <c r="J1355" s="92" t="inlineStr">
        <is>
          <t>V10014</t>
        </is>
      </c>
      <c r="K1355" s="92" t="inlineStr">
        <is>
          <t>P통신</t>
        </is>
      </c>
      <c r="M1355" s="9">
        <f>IF($A1355="","",VALUE($A1355&amp;"")*12+VALUE($B1355&amp;""))</f>
        <v/>
      </c>
      <c r="N1355" s="64">
        <f>IF($A1355="","",IFERROR(INDEX(부서매핑!$C$5:$C$504,MATCH($G1355&amp;"",부서매핑!$A$5:$A$504,0)),"미매핑"))</f>
        <v/>
      </c>
      <c r="O1355" s="9">
        <f>IF($A1355="","",N1355&amp;"|"&amp;$F1355)</f>
        <v/>
      </c>
      <c r="P1355" s="94">
        <f>IF($A1355="",0,$H1355*설정!$C$23)</f>
        <v/>
      </c>
      <c r="Q1355" s="64">
        <f>IF($A1355="","",IF(O1355&lt;&gt;원인분석!$C$9,"",IF(AND(M1355&gt;=원인분석!$C$10,M1355&lt;=원인분석!$C$11),"당기",IF(AND(M1355&gt;=원인분석!$C$12,M1355&lt;=원인분석!$C$13),"비교",""))))</f>
        <v/>
      </c>
      <c r="R1355" s="9">
        <f>IF(Q1355="","",$K1355&amp;"")</f>
        <v/>
      </c>
      <c r="S1355" s="9">
        <f>IF(Q1355="","",IF(MATCH(R1355,$R$5:$R$100000,0)=ROW()-4,ROW(),""))</f>
        <v/>
      </c>
      <c r="T1355" s="9">
        <f>IF(Q1355="당기",ABS(P1355)+ROW()/1000000000,"")</f>
        <v/>
      </c>
      <c r="U1355" s="9">
        <f>IF(Q1355="비교",ABS(P1355)+ROW()/1000000000,"")</f>
        <v/>
      </c>
      <c r="V1355" s="64">
        <f>IF($A1355="","",IF(COUNTIF(변동분석!$E$7:$E$506,O1355)&gt;0,"Y","N"))</f>
        <v/>
      </c>
      <c r="W1355" s="64">
        <f>IF($A1355="","",IFERROR(INDEX(계정매핑!$D$5:$D$504,MATCH($F1355&amp;"",계정매핑!$A$5:$A$504,0)),"미매핑"))</f>
        <v/>
      </c>
      <c r="X1355" s="9">
        <f>IF($A1355="","",$F1355&amp;"")</f>
        <v/>
      </c>
      <c r="Y1355" s="94">
        <f>IF($A1355="",0,IF(AE1355="직접",IF(AF1355="비귀속",$P1355,0),$P1355*(1-AG1355)*IFERROR(INDEX(계정대체기준!$F$20:$F$49,MATCH($N1355,계정대체기준!$A$20:$A$49,0)),1)))</f>
        <v/>
      </c>
      <c r="Z1355" s="94">
        <f>IF($A1355="",0,IF(AE1355="직접",IF(AF1355="신계약비",$P1355,0),$P1355*(1-AG1355)*IFERROR(INDEX(계정대체기준!$C$20:$C$49,MATCH($N1355,계정대체기준!$A$20:$A$49,0)),0)))</f>
        <v/>
      </c>
      <c r="AA1355" s="94">
        <f>IF($A1355="",0,IF(AE1355="직접",IF(OR(AF1355="유지비",AF1355="손해조사비"),$P1355,0),$P1355*(1-AG1355)*IFERROR(INDEX(계정대체기준!$D$20:$D$49,MATCH($N1355,계정대체기준!$A$20:$A$49,0)),0)))</f>
        <v/>
      </c>
      <c r="AB1355" s="94">
        <f>IF($A1355="",0,IF(AE1355="직접",IF(AF1355="수금비",$P1355,0),$P1355*(1-AG1355)*IFERROR(INDEX(계정대체기준!$E$20:$E$49,MATCH($N1355,계정대체기준!$A$20:$A$49,0)),0)))</f>
        <v/>
      </c>
      <c r="AC1355" s="9">
        <f>IF(AND($A1355&lt;&gt;"",M1355=설정!$C$20,Z1355&gt;0),Z1355+ROW()/1000000000,"")</f>
        <v/>
      </c>
      <c r="AD1355" s="94">
        <f>IF($A1355="",0,$P1355*AG1355)</f>
        <v/>
      </c>
      <c r="AE1355" s="64">
        <f>IF($A1355="","",IFERROR(INDEX(계정매핑!$E$5:$E$504,MATCH($F1355&amp;"",계정매핑!$A$5:$A$504,0))&amp;"","공통비"))</f>
        <v/>
      </c>
      <c r="AF1355" s="64">
        <f>IF($A1355="","",IF(AE1355="직접",IFERROR(INDEX(계정매핑!$F$5:$F$504,MATCH($F1355&amp;"",계정매핑!$A$5:$A$504,0))&amp;"","비귀속"),""))</f>
        <v/>
      </c>
      <c r="AG1355" s="96">
        <f>IF($A1355="",0,IF(AND(AE1355&lt;&gt;"직접",IFERROR(INDEX(계정매핑!$G$5:$G$504,MATCH($F1355&amp;"",계정매핑!$A$5:$A$504,0))&amp;"","")="유지비",COUNTIF(계정대체기준!$A$6:$A$15,$N1355)&gt;0),IFERROR(INDEX(계정대체기준!$E$6:$E$15,MATCH(VALUE($A1355&amp;""),계정대체기준!$D$6:$D$15,0)),0),0))</f>
        <v/>
      </c>
      <c r="AH1355" s="64">
        <f>IF($A1355="","",IF(AD1355=0,"",IF(OR(COUNTIF(계정대체기준!$A$77:$A$86,$N1355)&gt;0,ISNUMBER(MATCH($X1355,계정대체기준!$D$77:$D$86,0)),ISNUMBER(MATCH($F1355,계정대체기준!$D$77:$D$86,0))),"Y","N")))</f>
        <v/>
      </c>
    </row>
    <row r="1356">
      <c r="A1356" s="92" t="n">
        <v>2025</v>
      </c>
      <c r="B1356" s="92" t="n">
        <v>6</v>
      </c>
      <c r="C1356" s="92" t="inlineStr">
        <is>
          <t>5100001352</t>
        </is>
      </c>
      <c r="D1356" s="95" t="n">
        <v>45835</v>
      </c>
      <c r="E1356" s="92" t="inlineStr">
        <is>
          <t>KR</t>
        </is>
      </c>
      <c r="F1356" s="92" t="n">
        <v>62201000</v>
      </c>
      <c r="G1356" s="92" t="n">
        <v>1701</v>
      </c>
      <c r="H1356" s="93" t="n">
        <v>8232000</v>
      </c>
      <c r="I1356" s="92" t="inlineStr">
        <is>
          <t>6월 통신요금 - O텔레콤</t>
        </is>
      </c>
      <c r="J1356" s="92" t="inlineStr">
        <is>
          <t>V10002</t>
        </is>
      </c>
      <c r="K1356" s="92" t="inlineStr">
        <is>
          <t>O텔레콤</t>
        </is>
      </c>
      <c r="M1356" s="9">
        <f>IF($A1356="","",VALUE($A1356&amp;"")*12+VALUE($B1356&amp;""))</f>
        <v/>
      </c>
      <c r="N1356" s="64">
        <f>IF($A1356="","",IFERROR(INDEX(부서매핑!$C$5:$C$504,MATCH($G1356&amp;"",부서매핑!$A$5:$A$504,0)),"미매핑"))</f>
        <v/>
      </c>
      <c r="O1356" s="9">
        <f>IF($A1356="","",N1356&amp;"|"&amp;$F1356)</f>
        <v/>
      </c>
      <c r="P1356" s="94">
        <f>IF($A1356="",0,$H1356*설정!$C$23)</f>
        <v/>
      </c>
      <c r="Q1356" s="64">
        <f>IF($A1356="","",IF(O1356&lt;&gt;원인분석!$C$9,"",IF(AND(M1356&gt;=원인분석!$C$10,M1356&lt;=원인분석!$C$11),"당기",IF(AND(M1356&gt;=원인분석!$C$12,M1356&lt;=원인분석!$C$13),"비교",""))))</f>
        <v/>
      </c>
      <c r="R1356" s="9">
        <f>IF(Q1356="","",$K1356&amp;"")</f>
        <v/>
      </c>
      <c r="S1356" s="9">
        <f>IF(Q1356="","",IF(MATCH(R1356,$R$5:$R$100000,0)=ROW()-4,ROW(),""))</f>
        <v/>
      </c>
      <c r="T1356" s="9">
        <f>IF(Q1356="당기",ABS(P1356)+ROW()/1000000000,"")</f>
        <v/>
      </c>
      <c r="U1356" s="9">
        <f>IF(Q1356="비교",ABS(P1356)+ROW()/1000000000,"")</f>
        <v/>
      </c>
      <c r="V1356" s="64">
        <f>IF($A1356="","",IF(COUNTIF(변동분석!$E$7:$E$506,O1356)&gt;0,"Y","N"))</f>
        <v/>
      </c>
      <c r="W1356" s="64">
        <f>IF($A1356="","",IFERROR(INDEX(계정매핑!$D$5:$D$504,MATCH($F1356&amp;"",계정매핑!$A$5:$A$504,0)),"미매핑"))</f>
        <v/>
      </c>
      <c r="X1356" s="9">
        <f>IF($A1356="","",$F1356&amp;"")</f>
        <v/>
      </c>
      <c r="Y1356" s="94">
        <f>IF($A1356="",0,IF(AE1356="직접",IF(AF1356="비귀속",$P1356,0),$P1356*(1-AG1356)*IFERROR(INDEX(계정대체기준!$F$20:$F$49,MATCH($N1356,계정대체기준!$A$20:$A$49,0)),1)))</f>
        <v/>
      </c>
      <c r="Z1356" s="94">
        <f>IF($A1356="",0,IF(AE1356="직접",IF(AF1356="신계약비",$P1356,0),$P1356*(1-AG1356)*IFERROR(INDEX(계정대체기준!$C$20:$C$49,MATCH($N1356,계정대체기준!$A$20:$A$49,0)),0)))</f>
        <v/>
      </c>
      <c r="AA1356" s="94">
        <f>IF($A1356="",0,IF(AE1356="직접",IF(OR(AF1356="유지비",AF1356="손해조사비"),$P1356,0),$P1356*(1-AG1356)*IFERROR(INDEX(계정대체기준!$D$20:$D$49,MATCH($N1356,계정대체기준!$A$20:$A$49,0)),0)))</f>
        <v/>
      </c>
      <c r="AB1356" s="94">
        <f>IF($A1356="",0,IF(AE1356="직접",IF(AF1356="수금비",$P1356,0),$P1356*(1-AG1356)*IFERROR(INDEX(계정대체기준!$E$20:$E$49,MATCH($N1356,계정대체기준!$A$20:$A$49,0)),0)))</f>
        <v/>
      </c>
      <c r="AC1356" s="9">
        <f>IF(AND($A1356&lt;&gt;"",M1356=설정!$C$20,Z1356&gt;0),Z1356+ROW()/1000000000,"")</f>
        <v/>
      </c>
      <c r="AD1356" s="94">
        <f>IF($A1356="",0,$P1356*AG1356)</f>
        <v/>
      </c>
      <c r="AE1356" s="64">
        <f>IF($A1356="","",IFERROR(INDEX(계정매핑!$E$5:$E$504,MATCH($F1356&amp;"",계정매핑!$A$5:$A$504,0))&amp;"","공통비"))</f>
        <v/>
      </c>
      <c r="AF1356" s="64">
        <f>IF($A1356="","",IF(AE1356="직접",IFERROR(INDEX(계정매핑!$F$5:$F$504,MATCH($F1356&amp;"",계정매핑!$A$5:$A$504,0))&amp;"","비귀속"),""))</f>
        <v/>
      </c>
      <c r="AG1356" s="96">
        <f>IF($A1356="",0,IF(AND(AE1356&lt;&gt;"직접",IFERROR(INDEX(계정매핑!$G$5:$G$504,MATCH($F1356&amp;"",계정매핑!$A$5:$A$504,0))&amp;"","")="유지비",COUNTIF(계정대체기준!$A$6:$A$15,$N1356)&gt;0),IFERROR(INDEX(계정대체기준!$E$6:$E$15,MATCH(VALUE($A1356&amp;""),계정대체기준!$D$6:$D$15,0)),0),0))</f>
        <v/>
      </c>
      <c r="AH1356" s="64">
        <f>IF($A1356="","",IF(AD1356=0,"",IF(OR(COUNTIF(계정대체기준!$A$77:$A$86,$N1356)&gt;0,ISNUMBER(MATCH($X1356,계정대체기준!$D$77:$D$86,0)),ISNUMBER(MATCH($F1356,계정대체기준!$D$77:$D$86,0))),"Y","N")))</f>
        <v/>
      </c>
    </row>
    <row r="1357">
      <c r="A1357" s="92" t="n">
        <v>2025</v>
      </c>
      <c r="B1357" s="92" t="n">
        <v>6</v>
      </c>
      <c r="C1357" s="92" t="inlineStr">
        <is>
          <t>5100001353</t>
        </is>
      </c>
      <c r="D1357" s="95" t="n">
        <v>45835</v>
      </c>
      <c r="E1357" s="92" t="inlineStr">
        <is>
          <t>KR</t>
        </is>
      </c>
      <c r="F1357" s="92" t="n">
        <v>62301000</v>
      </c>
      <c r="G1357" s="92" t="n">
        <v>1301</v>
      </c>
      <c r="H1357" s="93" t="n">
        <v>223000</v>
      </c>
      <c r="I1357" s="92" t="inlineStr">
        <is>
          <t>6월 소모품 구입 - Q오피스</t>
        </is>
      </c>
      <c r="J1357" s="92" t="inlineStr">
        <is>
          <t>V10003</t>
        </is>
      </c>
      <c r="K1357" s="92" t="inlineStr">
        <is>
          <t>Q오피스</t>
        </is>
      </c>
      <c r="M1357" s="9">
        <f>IF($A1357="","",VALUE($A1357&amp;"")*12+VALUE($B1357&amp;""))</f>
        <v/>
      </c>
      <c r="N1357" s="64">
        <f>IF($A1357="","",IFERROR(INDEX(부서매핑!$C$5:$C$504,MATCH($G1357&amp;"",부서매핑!$A$5:$A$504,0)),"미매핑"))</f>
        <v/>
      </c>
      <c r="O1357" s="9">
        <f>IF($A1357="","",N1357&amp;"|"&amp;$F1357)</f>
        <v/>
      </c>
      <c r="P1357" s="94">
        <f>IF($A1357="",0,$H1357*설정!$C$23)</f>
        <v/>
      </c>
      <c r="Q1357" s="64">
        <f>IF($A1357="","",IF(O1357&lt;&gt;원인분석!$C$9,"",IF(AND(M1357&gt;=원인분석!$C$10,M1357&lt;=원인분석!$C$11),"당기",IF(AND(M1357&gt;=원인분석!$C$12,M1357&lt;=원인분석!$C$13),"비교",""))))</f>
        <v/>
      </c>
      <c r="R1357" s="9">
        <f>IF(Q1357="","",$K1357&amp;"")</f>
        <v/>
      </c>
      <c r="S1357" s="9">
        <f>IF(Q1357="","",IF(MATCH(R1357,$R$5:$R$100000,0)=ROW()-4,ROW(),""))</f>
        <v/>
      </c>
      <c r="T1357" s="9">
        <f>IF(Q1357="당기",ABS(P1357)+ROW()/1000000000,"")</f>
        <v/>
      </c>
      <c r="U1357" s="9">
        <f>IF(Q1357="비교",ABS(P1357)+ROW()/1000000000,"")</f>
        <v/>
      </c>
      <c r="V1357" s="64">
        <f>IF($A1357="","",IF(COUNTIF(변동분석!$E$7:$E$506,O1357)&gt;0,"Y","N"))</f>
        <v/>
      </c>
      <c r="W1357" s="64">
        <f>IF($A1357="","",IFERROR(INDEX(계정매핑!$D$5:$D$504,MATCH($F1357&amp;"",계정매핑!$A$5:$A$504,0)),"미매핑"))</f>
        <v/>
      </c>
      <c r="X1357" s="9">
        <f>IF($A1357="","",$F1357&amp;"")</f>
        <v/>
      </c>
      <c r="Y1357" s="94">
        <f>IF($A1357="",0,IF(AE1357="직접",IF(AF1357="비귀속",$P1357,0),$P1357*(1-AG1357)*IFERROR(INDEX(계정대체기준!$F$20:$F$49,MATCH($N1357,계정대체기준!$A$20:$A$49,0)),1)))</f>
        <v/>
      </c>
      <c r="Z1357" s="94">
        <f>IF($A1357="",0,IF(AE1357="직접",IF(AF1357="신계약비",$P1357,0),$P1357*(1-AG1357)*IFERROR(INDEX(계정대체기준!$C$20:$C$49,MATCH($N1357,계정대체기준!$A$20:$A$49,0)),0)))</f>
        <v/>
      </c>
      <c r="AA1357" s="94">
        <f>IF($A1357="",0,IF(AE1357="직접",IF(OR(AF1357="유지비",AF1357="손해조사비"),$P1357,0),$P1357*(1-AG1357)*IFERROR(INDEX(계정대체기준!$D$20:$D$49,MATCH($N1357,계정대체기준!$A$20:$A$49,0)),0)))</f>
        <v/>
      </c>
      <c r="AB1357" s="94">
        <f>IF($A1357="",0,IF(AE1357="직접",IF(AF1357="수금비",$P1357,0),$P1357*(1-AG1357)*IFERROR(INDEX(계정대체기준!$E$20:$E$49,MATCH($N1357,계정대체기준!$A$20:$A$49,0)),0)))</f>
        <v/>
      </c>
      <c r="AC1357" s="9">
        <f>IF(AND($A1357&lt;&gt;"",M1357=설정!$C$20,Z1357&gt;0),Z1357+ROW()/1000000000,"")</f>
        <v/>
      </c>
      <c r="AD1357" s="94">
        <f>IF($A1357="",0,$P1357*AG1357)</f>
        <v/>
      </c>
      <c r="AE1357" s="64">
        <f>IF($A1357="","",IFERROR(INDEX(계정매핑!$E$5:$E$504,MATCH($F1357&amp;"",계정매핑!$A$5:$A$504,0))&amp;"","공통비"))</f>
        <v/>
      </c>
      <c r="AF1357" s="64">
        <f>IF($A1357="","",IF(AE1357="직접",IFERROR(INDEX(계정매핑!$F$5:$F$504,MATCH($F1357&amp;"",계정매핑!$A$5:$A$504,0))&amp;"","비귀속"),""))</f>
        <v/>
      </c>
      <c r="AG1357" s="96">
        <f>IF($A1357="",0,IF(AND(AE1357&lt;&gt;"직접",IFERROR(INDEX(계정매핑!$G$5:$G$504,MATCH($F1357&amp;"",계정매핑!$A$5:$A$504,0))&amp;"","")="유지비",COUNTIF(계정대체기준!$A$6:$A$15,$N1357)&gt;0),IFERROR(INDEX(계정대체기준!$E$6:$E$15,MATCH(VALUE($A1357&amp;""),계정대체기준!$D$6:$D$15,0)),0),0))</f>
        <v/>
      </c>
      <c r="AH1357" s="64">
        <f>IF($A1357="","",IF(AD1357=0,"",IF(OR(COUNTIF(계정대체기준!$A$77:$A$86,$N1357)&gt;0,ISNUMBER(MATCH($X1357,계정대체기준!$D$77:$D$86,0)),ISNUMBER(MATCH($F1357,계정대체기준!$D$77:$D$86,0))),"Y","N")))</f>
        <v/>
      </c>
    </row>
    <row r="1358">
      <c r="A1358" s="92" t="n">
        <v>2025</v>
      </c>
      <c r="B1358" s="92" t="n">
        <v>6</v>
      </c>
      <c r="C1358" s="92" t="inlineStr">
        <is>
          <t>5100001354</t>
        </is>
      </c>
      <c r="D1358" s="95" t="n">
        <v>45835</v>
      </c>
      <c r="E1358" s="92" t="inlineStr">
        <is>
          <t>KR</t>
        </is>
      </c>
      <c r="F1358" s="92" t="n">
        <v>62501000</v>
      </c>
      <c r="G1358" s="92" t="n">
        <v>1801</v>
      </c>
      <c r="H1358" s="93" t="n">
        <v>143000</v>
      </c>
      <c r="I1358" s="92" t="inlineStr">
        <is>
          <t>6월 회의 다과 - (법인카드)</t>
        </is>
      </c>
      <c r="J1358" s="92" t="inlineStr">
        <is>
          <t>V10010</t>
        </is>
      </c>
      <c r="K1358" s="92" t="inlineStr">
        <is>
          <t>(법인카드)</t>
        </is>
      </c>
      <c r="M1358" s="9">
        <f>IF($A1358="","",VALUE($A1358&amp;"")*12+VALUE($B1358&amp;""))</f>
        <v/>
      </c>
      <c r="N1358" s="64">
        <f>IF($A1358="","",IFERROR(INDEX(부서매핑!$C$5:$C$504,MATCH($G1358&amp;"",부서매핑!$A$5:$A$504,0)),"미매핑"))</f>
        <v/>
      </c>
      <c r="O1358" s="9">
        <f>IF($A1358="","",N1358&amp;"|"&amp;$F1358)</f>
        <v/>
      </c>
      <c r="P1358" s="94">
        <f>IF($A1358="",0,$H1358*설정!$C$23)</f>
        <v/>
      </c>
      <c r="Q1358" s="64">
        <f>IF($A1358="","",IF(O1358&lt;&gt;원인분석!$C$9,"",IF(AND(M1358&gt;=원인분석!$C$10,M1358&lt;=원인분석!$C$11),"당기",IF(AND(M1358&gt;=원인분석!$C$12,M1358&lt;=원인분석!$C$13),"비교",""))))</f>
        <v/>
      </c>
      <c r="R1358" s="9">
        <f>IF(Q1358="","",$K1358&amp;"")</f>
        <v/>
      </c>
      <c r="S1358" s="9">
        <f>IF(Q1358="","",IF(MATCH(R1358,$R$5:$R$100000,0)=ROW()-4,ROW(),""))</f>
        <v/>
      </c>
      <c r="T1358" s="9">
        <f>IF(Q1358="당기",ABS(P1358)+ROW()/1000000000,"")</f>
        <v/>
      </c>
      <c r="U1358" s="9">
        <f>IF(Q1358="비교",ABS(P1358)+ROW()/1000000000,"")</f>
        <v/>
      </c>
      <c r="V1358" s="64">
        <f>IF($A1358="","",IF(COUNTIF(변동분석!$E$7:$E$506,O1358)&gt;0,"Y","N"))</f>
        <v/>
      </c>
      <c r="W1358" s="64">
        <f>IF($A1358="","",IFERROR(INDEX(계정매핑!$D$5:$D$504,MATCH($F1358&amp;"",계정매핑!$A$5:$A$504,0)),"미매핑"))</f>
        <v/>
      </c>
      <c r="X1358" s="9">
        <f>IF($A1358="","",$F1358&amp;"")</f>
        <v/>
      </c>
      <c r="Y1358" s="94">
        <f>IF($A1358="",0,IF(AE1358="직접",IF(AF1358="비귀속",$P1358,0),$P1358*(1-AG1358)*IFERROR(INDEX(계정대체기준!$F$20:$F$49,MATCH($N1358,계정대체기준!$A$20:$A$49,0)),1)))</f>
        <v/>
      </c>
      <c r="Z1358" s="94">
        <f>IF($A1358="",0,IF(AE1358="직접",IF(AF1358="신계약비",$P1358,0),$P1358*(1-AG1358)*IFERROR(INDEX(계정대체기준!$C$20:$C$49,MATCH($N1358,계정대체기준!$A$20:$A$49,0)),0)))</f>
        <v/>
      </c>
      <c r="AA1358" s="94">
        <f>IF($A1358="",0,IF(AE1358="직접",IF(OR(AF1358="유지비",AF1358="손해조사비"),$P1358,0),$P1358*(1-AG1358)*IFERROR(INDEX(계정대체기준!$D$20:$D$49,MATCH($N1358,계정대체기준!$A$20:$A$49,0)),0)))</f>
        <v/>
      </c>
      <c r="AB1358" s="94">
        <f>IF($A1358="",0,IF(AE1358="직접",IF(AF1358="수금비",$P1358,0),$P1358*(1-AG1358)*IFERROR(INDEX(계정대체기준!$E$20:$E$49,MATCH($N1358,계정대체기준!$A$20:$A$49,0)),0)))</f>
        <v/>
      </c>
      <c r="AC1358" s="9">
        <f>IF(AND($A1358&lt;&gt;"",M1358=설정!$C$20,Z1358&gt;0),Z1358+ROW()/1000000000,"")</f>
        <v/>
      </c>
      <c r="AD1358" s="94">
        <f>IF($A1358="",0,$P1358*AG1358)</f>
        <v/>
      </c>
      <c r="AE1358" s="64">
        <f>IF($A1358="","",IFERROR(INDEX(계정매핑!$E$5:$E$504,MATCH($F1358&amp;"",계정매핑!$A$5:$A$504,0))&amp;"","공통비"))</f>
        <v/>
      </c>
      <c r="AF1358" s="64">
        <f>IF($A1358="","",IF(AE1358="직접",IFERROR(INDEX(계정매핑!$F$5:$F$504,MATCH($F1358&amp;"",계정매핑!$A$5:$A$504,0))&amp;"","비귀속"),""))</f>
        <v/>
      </c>
      <c r="AG1358" s="96">
        <f>IF($A1358="",0,IF(AND(AE1358&lt;&gt;"직접",IFERROR(INDEX(계정매핑!$G$5:$G$504,MATCH($F1358&amp;"",계정매핑!$A$5:$A$504,0))&amp;"","")="유지비",COUNTIF(계정대체기준!$A$6:$A$15,$N1358)&gt;0),IFERROR(INDEX(계정대체기준!$E$6:$E$15,MATCH(VALUE($A1358&amp;""),계정대체기준!$D$6:$D$15,0)),0),0))</f>
        <v/>
      </c>
      <c r="AH1358" s="64">
        <f>IF($A1358="","",IF(AD1358=0,"",IF(OR(COUNTIF(계정대체기준!$A$77:$A$86,$N1358)&gt;0,ISNUMBER(MATCH($X1358,계정대체기준!$D$77:$D$86,0)),ISNUMBER(MATCH($F1358,계정대체기준!$D$77:$D$86,0))),"Y","N")))</f>
        <v/>
      </c>
    </row>
    <row r="1359">
      <c r="A1359" s="92" t="n">
        <v>2025</v>
      </c>
      <c r="B1359" s="92" t="n">
        <v>6</v>
      </c>
      <c r="C1359" s="92" t="inlineStr">
        <is>
          <t>5100001355</t>
        </is>
      </c>
      <c r="D1359" s="95" t="n">
        <v>45835</v>
      </c>
      <c r="E1359" s="92" t="inlineStr">
        <is>
          <t>KR</t>
        </is>
      </c>
      <c r="F1359" s="92" t="n">
        <v>62802000</v>
      </c>
      <c r="G1359" s="92" t="n">
        <v>1301</v>
      </c>
      <c r="H1359" s="93" t="n">
        <v>6288000</v>
      </c>
      <c r="I1359" s="92" t="inlineStr">
        <is>
          <t>6월 위탁교육 - I교육원</t>
        </is>
      </c>
      <c r="J1359" s="92" t="inlineStr">
        <is>
          <t>V10019</t>
        </is>
      </c>
      <c r="K1359" s="92" t="inlineStr">
        <is>
          <t>I교육원</t>
        </is>
      </c>
      <c r="M1359" s="9">
        <f>IF($A1359="","",VALUE($A1359&amp;"")*12+VALUE($B1359&amp;""))</f>
        <v/>
      </c>
      <c r="N1359" s="64">
        <f>IF($A1359="","",IFERROR(INDEX(부서매핑!$C$5:$C$504,MATCH($G1359&amp;"",부서매핑!$A$5:$A$504,0)),"미매핑"))</f>
        <v/>
      </c>
      <c r="O1359" s="9">
        <f>IF($A1359="","",N1359&amp;"|"&amp;$F1359)</f>
        <v/>
      </c>
      <c r="P1359" s="94">
        <f>IF($A1359="",0,$H1359*설정!$C$23)</f>
        <v/>
      </c>
      <c r="Q1359" s="64">
        <f>IF($A1359="","",IF(O1359&lt;&gt;원인분석!$C$9,"",IF(AND(M1359&gt;=원인분석!$C$10,M1359&lt;=원인분석!$C$11),"당기",IF(AND(M1359&gt;=원인분석!$C$12,M1359&lt;=원인분석!$C$13),"비교",""))))</f>
        <v/>
      </c>
      <c r="R1359" s="9">
        <f>IF(Q1359="","",$K1359&amp;"")</f>
        <v/>
      </c>
      <c r="S1359" s="9">
        <f>IF(Q1359="","",IF(MATCH(R1359,$R$5:$R$100000,0)=ROW()-4,ROW(),""))</f>
        <v/>
      </c>
      <c r="T1359" s="9">
        <f>IF(Q1359="당기",ABS(P1359)+ROW()/1000000000,"")</f>
        <v/>
      </c>
      <c r="U1359" s="9">
        <f>IF(Q1359="비교",ABS(P1359)+ROW()/1000000000,"")</f>
        <v/>
      </c>
      <c r="V1359" s="64">
        <f>IF($A1359="","",IF(COUNTIF(변동분석!$E$7:$E$506,O1359)&gt;0,"Y","N"))</f>
        <v/>
      </c>
      <c r="W1359" s="64">
        <f>IF($A1359="","",IFERROR(INDEX(계정매핑!$D$5:$D$504,MATCH($F1359&amp;"",계정매핑!$A$5:$A$504,0)),"미매핑"))</f>
        <v/>
      </c>
      <c r="X1359" s="9">
        <f>IF($A1359="","",$F1359&amp;"")</f>
        <v/>
      </c>
      <c r="Y1359" s="94">
        <f>IF($A1359="",0,IF(AE1359="직접",IF(AF1359="비귀속",$P1359,0),$P1359*(1-AG1359)*IFERROR(INDEX(계정대체기준!$F$20:$F$49,MATCH($N1359,계정대체기준!$A$20:$A$49,0)),1)))</f>
        <v/>
      </c>
      <c r="Z1359" s="94">
        <f>IF($A1359="",0,IF(AE1359="직접",IF(AF1359="신계약비",$P1359,0),$P1359*(1-AG1359)*IFERROR(INDEX(계정대체기준!$C$20:$C$49,MATCH($N1359,계정대체기준!$A$20:$A$49,0)),0)))</f>
        <v/>
      </c>
      <c r="AA1359" s="94">
        <f>IF($A1359="",0,IF(AE1359="직접",IF(OR(AF1359="유지비",AF1359="손해조사비"),$P1359,0),$P1359*(1-AG1359)*IFERROR(INDEX(계정대체기준!$D$20:$D$49,MATCH($N1359,계정대체기준!$A$20:$A$49,0)),0)))</f>
        <v/>
      </c>
      <c r="AB1359" s="94">
        <f>IF($A1359="",0,IF(AE1359="직접",IF(AF1359="수금비",$P1359,0),$P1359*(1-AG1359)*IFERROR(INDEX(계정대체기준!$E$20:$E$49,MATCH($N1359,계정대체기준!$A$20:$A$49,0)),0)))</f>
        <v/>
      </c>
      <c r="AC1359" s="9">
        <f>IF(AND($A1359&lt;&gt;"",M1359=설정!$C$20,Z1359&gt;0),Z1359+ROW()/1000000000,"")</f>
        <v/>
      </c>
      <c r="AD1359" s="94">
        <f>IF($A1359="",0,$P1359*AG1359)</f>
        <v/>
      </c>
      <c r="AE1359" s="64">
        <f>IF($A1359="","",IFERROR(INDEX(계정매핑!$E$5:$E$504,MATCH($F1359&amp;"",계정매핑!$A$5:$A$504,0))&amp;"","공통비"))</f>
        <v/>
      </c>
      <c r="AF1359" s="64">
        <f>IF($A1359="","",IF(AE1359="직접",IFERROR(INDEX(계정매핑!$F$5:$F$504,MATCH($F1359&amp;"",계정매핑!$A$5:$A$504,0))&amp;"","비귀속"),""))</f>
        <v/>
      </c>
      <c r="AG1359" s="96">
        <f>IF($A1359="",0,IF(AND(AE1359&lt;&gt;"직접",IFERROR(INDEX(계정매핑!$G$5:$G$504,MATCH($F1359&amp;"",계정매핑!$A$5:$A$504,0))&amp;"","")="유지비",COUNTIF(계정대체기준!$A$6:$A$15,$N1359)&gt;0),IFERROR(INDEX(계정대체기준!$E$6:$E$15,MATCH(VALUE($A1359&amp;""),계정대체기준!$D$6:$D$15,0)),0),0))</f>
        <v/>
      </c>
      <c r="AH1359" s="64">
        <f>IF($A1359="","",IF(AD1359=0,"",IF(OR(COUNTIF(계정대체기준!$A$77:$A$86,$N1359)&gt;0,ISNUMBER(MATCH($X1359,계정대체기준!$D$77:$D$86,0)),ISNUMBER(MATCH($F1359,계정대체기준!$D$77:$D$86,0))),"Y","N")))</f>
        <v/>
      </c>
    </row>
    <row r="1360">
      <c r="A1360" s="92" t="n">
        <v>2025</v>
      </c>
      <c r="B1360" s="92" t="n">
        <v>6</v>
      </c>
      <c r="C1360" s="92" t="inlineStr">
        <is>
          <t>5100001356</t>
        </is>
      </c>
      <c r="D1360" s="95" t="n">
        <v>45835</v>
      </c>
      <c r="E1360" s="92" t="inlineStr">
        <is>
          <t>KR</t>
        </is>
      </c>
      <c r="F1360" s="92" t="n">
        <v>62901000</v>
      </c>
      <c r="G1360" s="92" t="n">
        <v>1201</v>
      </c>
      <c r="H1360" s="93" t="n">
        <v>4506000</v>
      </c>
      <c r="I1360" s="92" t="inlineStr">
        <is>
          <t>6월 자문 수수료 - W컨설팅</t>
        </is>
      </c>
      <c r="J1360" s="92" t="inlineStr">
        <is>
          <t>V10006</t>
        </is>
      </c>
      <c r="K1360" s="92" t="inlineStr">
        <is>
          <t>W컨설팅</t>
        </is>
      </c>
      <c r="M1360" s="9">
        <f>IF($A1360="","",VALUE($A1360&amp;"")*12+VALUE($B1360&amp;""))</f>
        <v/>
      </c>
      <c r="N1360" s="64">
        <f>IF($A1360="","",IFERROR(INDEX(부서매핑!$C$5:$C$504,MATCH($G1360&amp;"",부서매핑!$A$5:$A$504,0)),"미매핑"))</f>
        <v/>
      </c>
      <c r="O1360" s="9">
        <f>IF($A1360="","",N1360&amp;"|"&amp;$F1360)</f>
        <v/>
      </c>
      <c r="P1360" s="94">
        <f>IF($A1360="",0,$H1360*설정!$C$23)</f>
        <v/>
      </c>
      <c r="Q1360" s="64">
        <f>IF($A1360="","",IF(O1360&lt;&gt;원인분석!$C$9,"",IF(AND(M1360&gt;=원인분석!$C$10,M1360&lt;=원인분석!$C$11),"당기",IF(AND(M1360&gt;=원인분석!$C$12,M1360&lt;=원인분석!$C$13),"비교",""))))</f>
        <v/>
      </c>
      <c r="R1360" s="9">
        <f>IF(Q1360="","",$K1360&amp;"")</f>
        <v/>
      </c>
      <c r="S1360" s="9">
        <f>IF(Q1360="","",IF(MATCH(R1360,$R$5:$R$100000,0)=ROW()-4,ROW(),""))</f>
        <v/>
      </c>
      <c r="T1360" s="9">
        <f>IF(Q1360="당기",ABS(P1360)+ROW()/1000000000,"")</f>
        <v/>
      </c>
      <c r="U1360" s="9">
        <f>IF(Q1360="비교",ABS(P1360)+ROW()/1000000000,"")</f>
        <v/>
      </c>
      <c r="V1360" s="64">
        <f>IF($A1360="","",IF(COUNTIF(변동분석!$E$7:$E$506,O1360)&gt;0,"Y","N"))</f>
        <v/>
      </c>
      <c r="W1360" s="64">
        <f>IF($A1360="","",IFERROR(INDEX(계정매핑!$D$5:$D$504,MATCH($F1360&amp;"",계정매핑!$A$5:$A$504,0)),"미매핑"))</f>
        <v/>
      </c>
      <c r="X1360" s="9">
        <f>IF($A1360="","",$F1360&amp;"")</f>
        <v/>
      </c>
      <c r="Y1360" s="94">
        <f>IF($A1360="",0,IF(AE1360="직접",IF(AF1360="비귀속",$P1360,0),$P1360*(1-AG1360)*IFERROR(INDEX(계정대체기준!$F$20:$F$49,MATCH($N1360,계정대체기준!$A$20:$A$49,0)),1)))</f>
        <v/>
      </c>
      <c r="Z1360" s="94">
        <f>IF($A1360="",0,IF(AE1360="직접",IF(AF1360="신계약비",$P1360,0),$P1360*(1-AG1360)*IFERROR(INDEX(계정대체기준!$C$20:$C$49,MATCH($N1360,계정대체기준!$A$20:$A$49,0)),0)))</f>
        <v/>
      </c>
      <c r="AA1360" s="94">
        <f>IF($A1360="",0,IF(AE1360="직접",IF(OR(AF1360="유지비",AF1360="손해조사비"),$P1360,0),$P1360*(1-AG1360)*IFERROR(INDEX(계정대체기준!$D$20:$D$49,MATCH($N1360,계정대체기준!$A$20:$A$49,0)),0)))</f>
        <v/>
      </c>
      <c r="AB1360" s="94">
        <f>IF($A1360="",0,IF(AE1360="직접",IF(AF1360="수금비",$P1360,0),$P1360*(1-AG1360)*IFERROR(INDEX(계정대체기준!$E$20:$E$49,MATCH($N1360,계정대체기준!$A$20:$A$49,0)),0)))</f>
        <v/>
      </c>
      <c r="AC1360" s="9">
        <f>IF(AND($A1360&lt;&gt;"",M1360=설정!$C$20,Z1360&gt;0),Z1360+ROW()/1000000000,"")</f>
        <v/>
      </c>
      <c r="AD1360" s="94">
        <f>IF($A1360="",0,$P1360*AG1360)</f>
        <v/>
      </c>
      <c r="AE1360" s="64">
        <f>IF($A1360="","",IFERROR(INDEX(계정매핑!$E$5:$E$504,MATCH($F1360&amp;"",계정매핑!$A$5:$A$504,0))&amp;"","공통비"))</f>
        <v/>
      </c>
      <c r="AF1360" s="64">
        <f>IF($A1360="","",IF(AE1360="직접",IFERROR(INDEX(계정매핑!$F$5:$F$504,MATCH($F1360&amp;"",계정매핑!$A$5:$A$504,0))&amp;"","비귀속"),""))</f>
        <v/>
      </c>
      <c r="AG1360" s="96">
        <f>IF($A1360="",0,IF(AND(AE1360&lt;&gt;"직접",IFERROR(INDEX(계정매핑!$G$5:$G$504,MATCH($F1360&amp;"",계정매핑!$A$5:$A$504,0))&amp;"","")="유지비",COUNTIF(계정대체기준!$A$6:$A$15,$N1360)&gt;0),IFERROR(INDEX(계정대체기준!$E$6:$E$15,MATCH(VALUE($A1360&amp;""),계정대체기준!$D$6:$D$15,0)),0),0))</f>
        <v/>
      </c>
      <c r="AH1360" s="64">
        <f>IF($A1360="","",IF(AD1360=0,"",IF(OR(COUNTIF(계정대체기준!$A$77:$A$86,$N1360)&gt;0,ISNUMBER(MATCH($X1360,계정대체기준!$D$77:$D$86,0)),ISNUMBER(MATCH($F1360,계정대체기준!$D$77:$D$86,0))),"Y","N")))</f>
        <v/>
      </c>
    </row>
    <row r="1361">
      <c r="A1361" s="92" t="n">
        <v>2025</v>
      </c>
      <c r="B1361" s="92" t="n">
        <v>6</v>
      </c>
      <c r="C1361" s="92" t="inlineStr">
        <is>
          <t>5100001357</t>
        </is>
      </c>
      <c r="D1361" s="95" t="n">
        <v>45835</v>
      </c>
      <c r="E1361" s="92" t="inlineStr">
        <is>
          <t>KR</t>
        </is>
      </c>
      <c r="F1361" s="92" t="n">
        <v>62902000</v>
      </c>
      <c r="G1361" s="92" t="n">
        <v>1201</v>
      </c>
      <c r="H1361" s="93" t="n">
        <v>4261000</v>
      </c>
      <c r="I1361" s="92" t="inlineStr">
        <is>
          <t>6월 업무 위탁 수수료 - X서비스</t>
        </is>
      </c>
      <c r="J1361" s="92" t="inlineStr">
        <is>
          <t>V10020</t>
        </is>
      </c>
      <c r="K1361" s="92" t="inlineStr">
        <is>
          <t>X서비스</t>
        </is>
      </c>
      <c r="M1361" s="9">
        <f>IF($A1361="","",VALUE($A1361&amp;"")*12+VALUE($B1361&amp;""))</f>
        <v/>
      </c>
      <c r="N1361" s="64">
        <f>IF($A1361="","",IFERROR(INDEX(부서매핑!$C$5:$C$504,MATCH($G1361&amp;"",부서매핑!$A$5:$A$504,0)),"미매핑"))</f>
        <v/>
      </c>
      <c r="O1361" s="9">
        <f>IF($A1361="","",N1361&amp;"|"&amp;$F1361)</f>
        <v/>
      </c>
      <c r="P1361" s="94">
        <f>IF($A1361="",0,$H1361*설정!$C$23)</f>
        <v/>
      </c>
      <c r="Q1361" s="64">
        <f>IF($A1361="","",IF(O1361&lt;&gt;원인분석!$C$9,"",IF(AND(M1361&gt;=원인분석!$C$10,M1361&lt;=원인분석!$C$11),"당기",IF(AND(M1361&gt;=원인분석!$C$12,M1361&lt;=원인분석!$C$13),"비교",""))))</f>
        <v/>
      </c>
      <c r="R1361" s="9">
        <f>IF(Q1361="","",$K1361&amp;"")</f>
        <v/>
      </c>
      <c r="S1361" s="9">
        <f>IF(Q1361="","",IF(MATCH(R1361,$R$5:$R$100000,0)=ROW()-4,ROW(),""))</f>
        <v/>
      </c>
      <c r="T1361" s="9">
        <f>IF(Q1361="당기",ABS(P1361)+ROW()/1000000000,"")</f>
        <v/>
      </c>
      <c r="U1361" s="9">
        <f>IF(Q1361="비교",ABS(P1361)+ROW()/1000000000,"")</f>
        <v/>
      </c>
      <c r="V1361" s="64">
        <f>IF($A1361="","",IF(COUNTIF(변동분석!$E$7:$E$506,O1361)&gt;0,"Y","N"))</f>
        <v/>
      </c>
      <c r="W1361" s="64">
        <f>IF($A1361="","",IFERROR(INDEX(계정매핑!$D$5:$D$504,MATCH($F1361&amp;"",계정매핑!$A$5:$A$504,0)),"미매핑"))</f>
        <v/>
      </c>
      <c r="X1361" s="9">
        <f>IF($A1361="","",$F1361&amp;"")</f>
        <v/>
      </c>
      <c r="Y1361" s="94">
        <f>IF($A1361="",0,IF(AE1361="직접",IF(AF1361="비귀속",$P1361,0),$P1361*(1-AG1361)*IFERROR(INDEX(계정대체기준!$F$20:$F$49,MATCH($N1361,계정대체기준!$A$20:$A$49,0)),1)))</f>
        <v/>
      </c>
      <c r="Z1361" s="94">
        <f>IF($A1361="",0,IF(AE1361="직접",IF(AF1361="신계약비",$P1361,0),$P1361*(1-AG1361)*IFERROR(INDEX(계정대체기준!$C$20:$C$49,MATCH($N1361,계정대체기준!$A$20:$A$49,0)),0)))</f>
        <v/>
      </c>
      <c r="AA1361" s="94">
        <f>IF($A1361="",0,IF(AE1361="직접",IF(OR(AF1361="유지비",AF1361="손해조사비"),$P1361,0),$P1361*(1-AG1361)*IFERROR(INDEX(계정대체기준!$D$20:$D$49,MATCH($N1361,계정대체기준!$A$20:$A$49,0)),0)))</f>
        <v/>
      </c>
      <c r="AB1361" s="94">
        <f>IF($A1361="",0,IF(AE1361="직접",IF(AF1361="수금비",$P1361,0),$P1361*(1-AG1361)*IFERROR(INDEX(계정대체기준!$E$20:$E$49,MATCH($N1361,계정대체기준!$A$20:$A$49,0)),0)))</f>
        <v/>
      </c>
      <c r="AC1361" s="9">
        <f>IF(AND($A1361&lt;&gt;"",M1361=설정!$C$20,Z1361&gt;0),Z1361+ROW()/1000000000,"")</f>
        <v/>
      </c>
      <c r="AD1361" s="94">
        <f>IF($A1361="",0,$P1361*AG1361)</f>
        <v/>
      </c>
      <c r="AE1361" s="64">
        <f>IF($A1361="","",IFERROR(INDEX(계정매핑!$E$5:$E$504,MATCH($F1361&amp;"",계정매핑!$A$5:$A$504,0))&amp;"","공통비"))</f>
        <v/>
      </c>
      <c r="AF1361" s="64">
        <f>IF($A1361="","",IF(AE1361="직접",IFERROR(INDEX(계정매핑!$F$5:$F$504,MATCH($F1361&amp;"",계정매핑!$A$5:$A$504,0))&amp;"","비귀속"),""))</f>
        <v/>
      </c>
      <c r="AG1361" s="96">
        <f>IF($A1361="",0,IF(AND(AE1361&lt;&gt;"직접",IFERROR(INDEX(계정매핑!$G$5:$G$504,MATCH($F1361&amp;"",계정매핑!$A$5:$A$504,0))&amp;"","")="유지비",COUNTIF(계정대체기준!$A$6:$A$15,$N1361)&gt;0),IFERROR(INDEX(계정대체기준!$E$6:$E$15,MATCH(VALUE($A1361&amp;""),계정대체기준!$D$6:$D$15,0)),0),0))</f>
        <v/>
      </c>
      <c r="AH1361" s="64">
        <f>IF($A1361="","",IF(AD1361=0,"",IF(OR(COUNTIF(계정대체기준!$A$77:$A$86,$N1361)&gt;0,ISNUMBER(MATCH($X1361,계정대체기준!$D$77:$D$86,0)),ISNUMBER(MATCH($F1361,계정대체기준!$D$77:$D$86,0))),"Y","N")))</f>
        <v/>
      </c>
    </row>
    <row r="1362">
      <c r="A1362" s="92" t="n">
        <v>2025</v>
      </c>
      <c r="B1362" s="92" t="n">
        <v>6</v>
      </c>
      <c r="C1362" s="92" t="inlineStr">
        <is>
          <t>5100001358</t>
        </is>
      </c>
      <c r="D1362" s="95" t="n">
        <v>45835</v>
      </c>
      <c r="E1362" s="92" t="inlineStr">
        <is>
          <t>KR</t>
        </is>
      </c>
      <c r="F1362" s="92" t="n">
        <v>62902000</v>
      </c>
      <c r="G1362" s="92" t="n">
        <v>1951</v>
      </c>
      <c r="H1362" s="93" t="n">
        <v>2075000</v>
      </c>
      <c r="I1362" s="92" t="inlineStr">
        <is>
          <t>6월 업무 위탁 수수료 - X서비스</t>
        </is>
      </c>
      <c r="J1362" s="92" t="inlineStr">
        <is>
          <t>V10020</t>
        </is>
      </c>
      <c r="K1362" s="92" t="inlineStr">
        <is>
          <t>X서비스</t>
        </is>
      </c>
      <c r="M1362" s="9">
        <f>IF($A1362="","",VALUE($A1362&amp;"")*12+VALUE($B1362&amp;""))</f>
        <v/>
      </c>
      <c r="N1362" s="64">
        <f>IF($A1362="","",IFERROR(INDEX(부서매핑!$C$5:$C$504,MATCH($G1362&amp;"",부서매핑!$A$5:$A$504,0)),"미매핑"))</f>
        <v/>
      </c>
      <c r="O1362" s="9">
        <f>IF($A1362="","",N1362&amp;"|"&amp;$F1362)</f>
        <v/>
      </c>
      <c r="P1362" s="94">
        <f>IF($A1362="",0,$H1362*설정!$C$23)</f>
        <v/>
      </c>
      <c r="Q1362" s="64">
        <f>IF($A1362="","",IF(O1362&lt;&gt;원인분석!$C$9,"",IF(AND(M1362&gt;=원인분석!$C$10,M1362&lt;=원인분석!$C$11),"당기",IF(AND(M1362&gt;=원인분석!$C$12,M1362&lt;=원인분석!$C$13),"비교",""))))</f>
        <v/>
      </c>
      <c r="R1362" s="9">
        <f>IF(Q1362="","",$K1362&amp;"")</f>
        <v/>
      </c>
      <c r="S1362" s="9">
        <f>IF(Q1362="","",IF(MATCH(R1362,$R$5:$R$100000,0)=ROW()-4,ROW(),""))</f>
        <v/>
      </c>
      <c r="T1362" s="9">
        <f>IF(Q1362="당기",ABS(P1362)+ROW()/1000000000,"")</f>
        <v/>
      </c>
      <c r="U1362" s="9">
        <f>IF(Q1362="비교",ABS(P1362)+ROW()/1000000000,"")</f>
        <v/>
      </c>
      <c r="V1362" s="64">
        <f>IF($A1362="","",IF(COUNTIF(변동분석!$E$7:$E$506,O1362)&gt;0,"Y","N"))</f>
        <v/>
      </c>
      <c r="W1362" s="64">
        <f>IF($A1362="","",IFERROR(INDEX(계정매핑!$D$5:$D$504,MATCH($F1362&amp;"",계정매핑!$A$5:$A$504,0)),"미매핑"))</f>
        <v/>
      </c>
      <c r="X1362" s="9">
        <f>IF($A1362="","",$F1362&amp;"")</f>
        <v/>
      </c>
      <c r="Y1362" s="94">
        <f>IF($A1362="",0,IF(AE1362="직접",IF(AF1362="비귀속",$P1362,0),$P1362*(1-AG1362)*IFERROR(INDEX(계정대체기준!$F$20:$F$49,MATCH($N1362,계정대체기준!$A$20:$A$49,0)),1)))</f>
        <v/>
      </c>
      <c r="Z1362" s="94">
        <f>IF($A1362="",0,IF(AE1362="직접",IF(AF1362="신계약비",$P1362,0),$P1362*(1-AG1362)*IFERROR(INDEX(계정대체기준!$C$20:$C$49,MATCH($N1362,계정대체기준!$A$20:$A$49,0)),0)))</f>
        <v/>
      </c>
      <c r="AA1362" s="94">
        <f>IF($A1362="",0,IF(AE1362="직접",IF(OR(AF1362="유지비",AF1362="손해조사비"),$P1362,0),$P1362*(1-AG1362)*IFERROR(INDEX(계정대체기준!$D$20:$D$49,MATCH($N1362,계정대체기준!$A$20:$A$49,0)),0)))</f>
        <v/>
      </c>
      <c r="AB1362" s="94">
        <f>IF($A1362="",0,IF(AE1362="직접",IF(AF1362="수금비",$P1362,0),$P1362*(1-AG1362)*IFERROR(INDEX(계정대체기준!$E$20:$E$49,MATCH($N1362,계정대체기준!$A$20:$A$49,0)),0)))</f>
        <v/>
      </c>
      <c r="AC1362" s="9">
        <f>IF(AND($A1362&lt;&gt;"",M1362=설정!$C$20,Z1362&gt;0),Z1362+ROW()/1000000000,"")</f>
        <v/>
      </c>
      <c r="AD1362" s="94">
        <f>IF($A1362="",0,$P1362*AG1362)</f>
        <v/>
      </c>
      <c r="AE1362" s="64">
        <f>IF($A1362="","",IFERROR(INDEX(계정매핑!$E$5:$E$504,MATCH($F1362&amp;"",계정매핑!$A$5:$A$504,0))&amp;"","공통비"))</f>
        <v/>
      </c>
      <c r="AF1362" s="64">
        <f>IF($A1362="","",IF(AE1362="직접",IFERROR(INDEX(계정매핑!$F$5:$F$504,MATCH($F1362&amp;"",계정매핑!$A$5:$A$504,0))&amp;"","비귀속"),""))</f>
        <v/>
      </c>
      <c r="AG1362" s="96">
        <f>IF($A1362="",0,IF(AND(AE1362&lt;&gt;"직접",IFERROR(INDEX(계정매핑!$G$5:$G$504,MATCH($F1362&amp;"",계정매핑!$A$5:$A$504,0))&amp;"","")="유지비",COUNTIF(계정대체기준!$A$6:$A$15,$N1362)&gt;0),IFERROR(INDEX(계정대체기준!$E$6:$E$15,MATCH(VALUE($A1362&amp;""),계정대체기준!$D$6:$D$15,0)),0),0))</f>
        <v/>
      </c>
      <c r="AH1362" s="64">
        <f>IF($A1362="","",IF(AD1362=0,"",IF(OR(COUNTIF(계정대체기준!$A$77:$A$86,$N1362)&gt;0,ISNUMBER(MATCH($X1362,계정대체기준!$D$77:$D$86,0)),ISNUMBER(MATCH($F1362,계정대체기준!$D$77:$D$86,0))),"Y","N")))</f>
        <v/>
      </c>
    </row>
    <row r="1363">
      <c r="A1363" s="92" t="n">
        <v>2025</v>
      </c>
      <c r="B1363" s="92" t="n">
        <v>7</v>
      </c>
      <c r="C1363" s="92" t="inlineStr">
        <is>
          <t>5100001359</t>
        </is>
      </c>
      <c r="D1363" s="95" t="n">
        <v>45840</v>
      </c>
      <c r="E1363" s="92" t="inlineStr">
        <is>
          <t>KR</t>
        </is>
      </c>
      <c r="F1363" s="92" t="n">
        <v>62101000</v>
      </c>
      <c r="G1363" s="92" t="n">
        <v>1101</v>
      </c>
      <c r="H1363" s="93" t="n">
        <v>407000</v>
      </c>
      <c r="I1363" s="92" t="inlineStr">
        <is>
          <t>7월 국내출장 - L여행사</t>
        </is>
      </c>
      <c r="J1363" s="92" t="inlineStr">
        <is>
          <t>V10018</t>
        </is>
      </c>
      <c r="K1363" s="92" t="inlineStr">
        <is>
          <t>L여행사</t>
        </is>
      </c>
      <c r="M1363" s="9">
        <f>IF($A1363="","",VALUE($A1363&amp;"")*12+VALUE($B1363&amp;""))</f>
        <v/>
      </c>
      <c r="N1363" s="64">
        <f>IF($A1363="","",IFERROR(INDEX(부서매핑!$C$5:$C$504,MATCH($G1363&amp;"",부서매핑!$A$5:$A$504,0)),"미매핑"))</f>
        <v/>
      </c>
      <c r="O1363" s="9">
        <f>IF($A1363="","",N1363&amp;"|"&amp;$F1363)</f>
        <v/>
      </c>
      <c r="P1363" s="94">
        <f>IF($A1363="",0,$H1363*설정!$C$23)</f>
        <v/>
      </c>
      <c r="Q1363" s="64">
        <f>IF($A1363="","",IF(O1363&lt;&gt;원인분석!$C$9,"",IF(AND(M1363&gt;=원인분석!$C$10,M1363&lt;=원인분석!$C$11),"당기",IF(AND(M1363&gt;=원인분석!$C$12,M1363&lt;=원인분석!$C$13),"비교",""))))</f>
        <v/>
      </c>
      <c r="R1363" s="9">
        <f>IF(Q1363="","",$K1363&amp;"")</f>
        <v/>
      </c>
      <c r="S1363" s="9">
        <f>IF(Q1363="","",IF(MATCH(R1363,$R$5:$R$100000,0)=ROW()-4,ROW(),""))</f>
        <v/>
      </c>
      <c r="T1363" s="9">
        <f>IF(Q1363="당기",ABS(P1363)+ROW()/1000000000,"")</f>
        <v/>
      </c>
      <c r="U1363" s="9">
        <f>IF(Q1363="비교",ABS(P1363)+ROW()/1000000000,"")</f>
        <v/>
      </c>
      <c r="V1363" s="64">
        <f>IF($A1363="","",IF(COUNTIF(변동분석!$E$7:$E$506,O1363)&gt;0,"Y","N"))</f>
        <v/>
      </c>
      <c r="W1363" s="64">
        <f>IF($A1363="","",IFERROR(INDEX(계정매핑!$D$5:$D$504,MATCH($F1363&amp;"",계정매핑!$A$5:$A$504,0)),"미매핑"))</f>
        <v/>
      </c>
      <c r="X1363" s="9">
        <f>IF($A1363="","",$F1363&amp;"")</f>
        <v/>
      </c>
      <c r="Y1363" s="94">
        <f>IF($A1363="",0,IF(AE1363="직접",IF(AF1363="비귀속",$P1363,0),$P1363*(1-AG1363)*IFERROR(INDEX(계정대체기준!$F$20:$F$49,MATCH($N1363,계정대체기준!$A$20:$A$49,0)),1)))</f>
        <v/>
      </c>
      <c r="Z1363" s="94">
        <f>IF($A1363="",0,IF(AE1363="직접",IF(AF1363="신계약비",$P1363,0),$P1363*(1-AG1363)*IFERROR(INDEX(계정대체기준!$C$20:$C$49,MATCH($N1363,계정대체기준!$A$20:$A$49,0)),0)))</f>
        <v/>
      </c>
      <c r="AA1363" s="94">
        <f>IF($A1363="",0,IF(AE1363="직접",IF(OR(AF1363="유지비",AF1363="손해조사비"),$P1363,0),$P1363*(1-AG1363)*IFERROR(INDEX(계정대체기준!$D$20:$D$49,MATCH($N1363,계정대체기준!$A$20:$A$49,0)),0)))</f>
        <v/>
      </c>
      <c r="AB1363" s="94">
        <f>IF($A1363="",0,IF(AE1363="직접",IF(AF1363="수금비",$P1363,0),$P1363*(1-AG1363)*IFERROR(INDEX(계정대체기준!$E$20:$E$49,MATCH($N1363,계정대체기준!$A$20:$A$49,0)),0)))</f>
        <v/>
      </c>
      <c r="AC1363" s="9">
        <f>IF(AND($A1363&lt;&gt;"",M1363=설정!$C$20,Z1363&gt;0),Z1363+ROW()/1000000000,"")</f>
        <v/>
      </c>
      <c r="AD1363" s="94">
        <f>IF($A1363="",0,$P1363*AG1363)</f>
        <v/>
      </c>
      <c r="AE1363" s="64">
        <f>IF($A1363="","",IFERROR(INDEX(계정매핑!$E$5:$E$504,MATCH($F1363&amp;"",계정매핑!$A$5:$A$504,0))&amp;"","공통비"))</f>
        <v/>
      </c>
      <c r="AF1363" s="64">
        <f>IF($A1363="","",IF(AE1363="직접",IFERROR(INDEX(계정매핑!$F$5:$F$504,MATCH($F1363&amp;"",계정매핑!$A$5:$A$504,0))&amp;"","비귀속"),""))</f>
        <v/>
      </c>
      <c r="AG1363" s="96">
        <f>IF($A1363="",0,IF(AND(AE1363&lt;&gt;"직접",IFERROR(INDEX(계정매핑!$G$5:$G$504,MATCH($F1363&amp;"",계정매핑!$A$5:$A$504,0))&amp;"","")="유지비",COUNTIF(계정대체기준!$A$6:$A$15,$N1363)&gt;0),IFERROR(INDEX(계정대체기준!$E$6:$E$15,MATCH(VALUE($A1363&amp;""),계정대체기준!$D$6:$D$15,0)),0),0))</f>
        <v/>
      </c>
      <c r="AH1363" s="64">
        <f>IF($A1363="","",IF(AD1363=0,"",IF(OR(COUNTIF(계정대체기준!$A$77:$A$86,$N1363)&gt;0,ISNUMBER(MATCH($X1363,계정대체기준!$D$77:$D$86,0)),ISNUMBER(MATCH($F1363,계정대체기준!$D$77:$D$86,0))),"Y","N")))</f>
        <v/>
      </c>
    </row>
    <row r="1364">
      <c r="A1364" s="92" t="n">
        <v>2025</v>
      </c>
      <c r="B1364" s="92" t="n">
        <v>7</v>
      </c>
      <c r="C1364" s="92" t="inlineStr">
        <is>
          <t>5100001360</t>
        </is>
      </c>
      <c r="D1364" s="95" t="n">
        <v>45840</v>
      </c>
      <c r="E1364" s="92" t="inlineStr">
        <is>
          <t>KR</t>
        </is>
      </c>
      <c r="F1364" s="92" t="n">
        <v>62101000</v>
      </c>
      <c r="G1364" s="92" t="n">
        <v>1201</v>
      </c>
      <c r="H1364" s="93" t="n">
        <v>230000</v>
      </c>
      <c r="I1364" s="92" t="inlineStr">
        <is>
          <t>7월 국내출장 - M항공</t>
        </is>
      </c>
      <c r="J1364" s="92" t="inlineStr">
        <is>
          <t>V10001</t>
        </is>
      </c>
      <c r="K1364" s="92" t="inlineStr">
        <is>
          <t>M항공</t>
        </is>
      </c>
      <c r="M1364" s="9">
        <f>IF($A1364="","",VALUE($A1364&amp;"")*12+VALUE($B1364&amp;""))</f>
        <v/>
      </c>
      <c r="N1364" s="64">
        <f>IF($A1364="","",IFERROR(INDEX(부서매핑!$C$5:$C$504,MATCH($G1364&amp;"",부서매핑!$A$5:$A$504,0)),"미매핑"))</f>
        <v/>
      </c>
      <c r="O1364" s="9">
        <f>IF($A1364="","",N1364&amp;"|"&amp;$F1364)</f>
        <v/>
      </c>
      <c r="P1364" s="94">
        <f>IF($A1364="",0,$H1364*설정!$C$23)</f>
        <v/>
      </c>
      <c r="Q1364" s="64">
        <f>IF($A1364="","",IF(O1364&lt;&gt;원인분석!$C$9,"",IF(AND(M1364&gt;=원인분석!$C$10,M1364&lt;=원인분석!$C$11),"당기",IF(AND(M1364&gt;=원인분석!$C$12,M1364&lt;=원인분석!$C$13),"비교",""))))</f>
        <v/>
      </c>
      <c r="R1364" s="9">
        <f>IF(Q1364="","",$K1364&amp;"")</f>
        <v/>
      </c>
      <c r="S1364" s="9">
        <f>IF(Q1364="","",IF(MATCH(R1364,$R$5:$R$100000,0)=ROW()-4,ROW(),""))</f>
        <v/>
      </c>
      <c r="T1364" s="9">
        <f>IF(Q1364="당기",ABS(P1364)+ROW()/1000000000,"")</f>
        <v/>
      </c>
      <c r="U1364" s="9">
        <f>IF(Q1364="비교",ABS(P1364)+ROW()/1000000000,"")</f>
        <v/>
      </c>
      <c r="V1364" s="64">
        <f>IF($A1364="","",IF(COUNTIF(변동분석!$E$7:$E$506,O1364)&gt;0,"Y","N"))</f>
        <v/>
      </c>
      <c r="W1364" s="64">
        <f>IF($A1364="","",IFERROR(INDEX(계정매핑!$D$5:$D$504,MATCH($F1364&amp;"",계정매핑!$A$5:$A$504,0)),"미매핑"))</f>
        <v/>
      </c>
      <c r="X1364" s="9">
        <f>IF($A1364="","",$F1364&amp;"")</f>
        <v/>
      </c>
      <c r="Y1364" s="94">
        <f>IF($A1364="",0,IF(AE1364="직접",IF(AF1364="비귀속",$P1364,0),$P1364*(1-AG1364)*IFERROR(INDEX(계정대체기준!$F$20:$F$49,MATCH($N1364,계정대체기준!$A$20:$A$49,0)),1)))</f>
        <v/>
      </c>
      <c r="Z1364" s="94">
        <f>IF($A1364="",0,IF(AE1364="직접",IF(AF1364="신계약비",$P1364,0),$P1364*(1-AG1364)*IFERROR(INDEX(계정대체기준!$C$20:$C$49,MATCH($N1364,계정대체기준!$A$20:$A$49,0)),0)))</f>
        <v/>
      </c>
      <c r="AA1364" s="94">
        <f>IF($A1364="",0,IF(AE1364="직접",IF(OR(AF1364="유지비",AF1364="손해조사비"),$P1364,0),$P1364*(1-AG1364)*IFERROR(INDEX(계정대체기준!$D$20:$D$49,MATCH($N1364,계정대체기준!$A$20:$A$49,0)),0)))</f>
        <v/>
      </c>
      <c r="AB1364" s="94">
        <f>IF($A1364="",0,IF(AE1364="직접",IF(AF1364="수금비",$P1364,0),$P1364*(1-AG1364)*IFERROR(INDEX(계정대체기준!$E$20:$E$49,MATCH($N1364,계정대체기준!$A$20:$A$49,0)),0)))</f>
        <v/>
      </c>
      <c r="AC1364" s="9">
        <f>IF(AND($A1364&lt;&gt;"",M1364=설정!$C$20,Z1364&gt;0),Z1364+ROW()/1000000000,"")</f>
        <v/>
      </c>
      <c r="AD1364" s="94">
        <f>IF($A1364="",0,$P1364*AG1364)</f>
        <v/>
      </c>
      <c r="AE1364" s="64">
        <f>IF($A1364="","",IFERROR(INDEX(계정매핑!$E$5:$E$504,MATCH($F1364&amp;"",계정매핑!$A$5:$A$504,0))&amp;"","공통비"))</f>
        <v/>
      </c>
      <c r="AF1364" s="64">
        <f>IF($A1364="","",IF(AE1364="직접",IFERROR(INDEX(계정매핑!$F$5:$F$504,MATCH($F1364&amp;"",계정매핑!$A$5:$A$504,0))&amp;"","비귀속"),""))</f>
        <v/>
      </c>
      <c r="AG1364" s="96">
        <f>IF($A1364="",0,IF(AND(AE1364&lt;&gt;"직접",IFERROR(INDEX(계정매핑!$G$5:$G$504,MATCH($F1364&amp;"",계정매핑!$A$5:$A$504,0))&amp;"","")="유지비",COUNTIF(계정대체기준!$A$6:$A$15,$N1364)&gt;0),IFERROR(INDEX(계정대체기준!$E$6:$E$15,MATCH(VALUE($A1364&amp;""),계정대체기준!$D$6:$D$15,0)),0),0))</f>
        <v/>
      </c>
      <c r="AH1364" s="64">
        <f>IF($A1364="","",IF(AD1364=0,"",IF(OR(COUNTIF(계정대체기준!$A$77:$A$86,$N1364)&gt;0,ISNUMBER(MATCH($X1364,계정대체기준!$D$77:$D$86,0)),ISNUMBER(MATCH($F1364,계정대체기준!$D$77:$D$86,0))),"Y","N")))</f>
        <v/>
      </c>
    </row>
    <row r="1365">
      <c r="A1365" s="92" t="n">
        <v>2025</v>
      </c>
      <c r="B1365" s="92" t="n">
        <v>7</v>
      </c>
      <c r="C1365" s="92" t="inlineStr">
        <is>
          <t>5100001361</t>
        </is>
      </c>
      <c r="D1365" s="95" t="n">
        <v>45840</v>
      </c>
      <c r="E1365" s="92" t="inlineStr">
        <is>
          <t>KR</t>
        </is>
      </c>
      <c r="F1365" s="92" t="n">
        <v>62101000</v>
      </c>
      <c r="G1365" s="92" t="n">
        <v>1201</v>
      </c>
      <c r="H1365" s="93" t="n">
        <v>263000</v>
      </c>
      <c r="I1365" s="92" t="inlineStr">
        <is>
          <t>7월 국내출장 - (법인카드)</t>
        </is>
      </c>
      <c r="J1365" s="92" t="inlineStr">
        <is>
          <t>V10010</t>
        </is>
      </c>
      <c r="K1365" s="92" t="inlineStr">
        <is>
          <t>(법인카드)</t>
        </is>
      </c>
      <c r="M1365" s="9">
        <f>IF($A1365="","",VALUE($A1365&amp;"")*12+VALUE($B1365&amp;""))</f>
        <v/>
      </c>
      <c r="N1365" s="64">
        <f>IF($A1365="","",IFERROR(INDEX(부서매핑!$C$5:$C$504,MATCH($G1365&amp;"",부서매핑!$A$5:$A$504,0)),"미매핑"))</f>
        <v/>
      </c>
      <c r="O1365" s="9">
        <f>IF($A1365="","",N1365&amp;"|"&amp;$F1365)</f>
        <v/>
      </c>
      <c r="P1365" s="94">
        <f>IF($A1365="",0,$H1365*설정!$C$23)</f>
        <v/>
      </c>
      <c r="Q1365" s="64">
        <f>IF($A1365="","",IF(O1365&lt;&gt;원인분석!$C$9,"",IF(AND(M1365&gt;=원인분석!$C$10,M1365&lt;=원인분석!$C$11),"당기",IF(AND(M1365&gt;=원인분석!$C$12,M1365&lt;=원인분석!$C$13),"비교",""))))</f>
        <v/>
      </c>
      <c r="R1365" s="9">
        <f>IF(Q1365="","",$K1365&amp;"")</f>
        <v/>
      </c>
      <c r="S1365" s="9">
        <f>IF(Q1365="","",IF(MATCH(R1365,$R$5:$R$100000,0)=ROW()-4,ROW(),""))</f>
        <v/>
      </c>
      <c r="T1365" s="9">
        <f>IF(Q1365="당기",ABS(P1365)+ROW()/1000000000,"")</f>
        <v/>
      </c>
      <c r="U1365" s="9">
        <f>IF(Q1365="비교",ABS(P1365)+ROW()/1000000000,"")</f>
        <v/>
      </c>
      <c r="V1365" s="64">
        <f>IF($A1365="","",IF(COUNTIF(변동분석!$E$7:$E$506,O1365)&gt;0,"Y","N"))</f>
        <v/>
      </c>
      <c r="W1365" s="64">
        <f>IF($A1365="","",IFERROR(INDEX(계정매핑!$D$5:$D$504,MATCH($F1365&amp;"",계정매핑!$A$5:$A$504,0)),"미매핑"))</f>
        <v/>
      </c>
      <c r="X1365" s="9">
        <f>IF($A1365="","",$F1365&amp;"")</f>
        <v/>
      </c>
      <c r="Y1365" s="94">
        <f>IF($A1365="",0,IF(AE1365="직접",IF(AF1365="비귀속",$P1365,0),$P1365*(1-AG1365)*IFERROR(INDEX(계정대체기준!$F$20:$F$49,MATCH($N1365,계정대체기준!$A$20:$A$49,0)),1)))</f>
        <v/>
      </c>
      <c r="Z1365" s="94">
        <f>IF($A1365="",0,IF(AE1365="직접",IF(AF1365="신계약비",$P1365,0),$P1365*(1-AG1365)*IFERROR(INDEX(계정대체기준!$C$20:$C$49,MATCH($N1365,계정대체기준!$A$20:$A$49,0)),0)))</f>
        <v/>
      </c>
      <c r="AA1365" s="94">
        <f>IF($A1365="",0,IF(AE1365="직접",IF(OR(AF1365="유지비",AF1365="손해조사비"),$P1365,0),$P1365*(1-AG1365)*IFERROR(INDEX(계정대체기준!$D$20:$D$49,MATCH($N1365,계정대체기준!$A$20:$A$49,0)),0)))</f>
        <v/>
      </c>
      <c r="AB1365" s="94">
        <f>IF($A1365="",0,IF(AE1365="직접",IF(AF1365="수금비",$P1365,0),$P1365*(1-AG1365)*IFERROR(INDEX(계정대체기준!$E$20:$E$49,MATCH($N1365,계정대체기준!$A$20:$A$49,0)),0)))</f>
        <v/>
      </c>
      <c r="AC1365" s="9">
        <f>IF(AND($A1365&lt;&gt;"",M1365=설정!$C$20,Z1365&gt;0),Z1365+ROW()/1000000000,"")</f>
        <v/>
      </c>
      <c r="AD1365" s="94">
        <f>IF($A1365="",0,$P1365*AG1365)</f>
        <v/>
      </c>
      <c r="AE1365" s="64">
        <f>IF($A1365="","",IFERROR(INDEX(계정매핑!$E$5:$E$504,MATCH($F1365&amp;"",계정매핑!$A$5:$A$504,0))&amp;"","공통비"))</f>
        <v/>
      </c>
      <c r="AF1365" s="64">
        <f>IF($A1365="","",IF(AE1365="직접",IFERROR(INDEX(계정매핑!$F$5:$F$504,MATCH($F1365&amp;"",계정매핑!$A$5:$A$504,0))&amp;"","비귀속"),""))</f>
        <v/>
      </c>
      <c r="AG1365" s="96">
        <f>IF($A1365="",0,IF(AND(AE1365&lt;&gt;"직접",IFERROR(INDEX(계정매핑!$G$5:$G$504,MATCH($F1365&amp;"",계정매핑!$A$5:$A$504,0))&amp;"","")="유지비",COUNTIF(계정대체기준!$A$6:$A$15,$N1365)&gt;0),IFERROR(INDEX(계정대체기준!$E$6:$E$15,MATCH(VALUE($A1365&amp;""),계정대체기준!$D$6:$D$15,0)),0),0))</f>
        <v/>
      </c>
      <c r="AH1365" s="64">
        <f>IF($A1365="","",IF(AD1365=0,"",IF(OR(COUNTIF(계정대체기준!$A$77:$A$86,$N1365)&gt;0,ISNUMBER(MATCH($X1365,계정대체기준!$D$77:$D$86,0)),ISNUMBER(MATCH($F1365,계정대체기준!$D$77:$D$86,0))),"Y","N")))</f>
        <v/>
      </c>
    </row>
    <row r="1366">
      <c r="A1366" s="92" t="n">
        <v>2025</v>
      </c>
      <c r="B1366" s="92" t="n">
        <v>7</v>
      </c>
      <c r="C1366" s="92" t="inlineStr">
        <is>
          <t>5100001362</t>
        </is>
      </c>
      <c r="D1366" s="95" t="n">
        <v>45840</v>
      </c>
      <c r="E1366" s="92" t="inlineStr">
        <is>
          <t>KR</t>
        </is>
      </c>
      <c r="F1366" s="92" t="n">
        <v>62101000</v>
      </c>
      <c r="G1366" s="92" t="n">
        <v>1951</v>
      </c>
      <c r="H1366" s="93" t="n">
        <v>269000</v>
      </c>
      <c r="I1366" s="92" t="inlineStr">
        <is>
          <t>7월 국내출장 - M항공</t>
        </is>
      </c>
      <c r="J1366" s="92" t="inlineStr">
        <is>
          <t>V10001</t>
        </is>
      </c>
      <c r="K1366" s="92" t="inlineStr">
        <is>
          <t>M항공</t>
        </is>
      </c>
      <c r="M1366" s="9">
        <f>IF($A1366="","",VALUE($A1366&amp;"")*12+VALUE($B1366&amp;""))</f>
        <v/>
      </c>
      <c r="N1366" s="64">
        <f>IF($A1366="","",IFERROR(INDEX(부서매핑!$C$5:$C$504,MATCH($G1366&amp;"",부서매핑!$A$5:$A$504,0)),"미매핑"))</f>
        <v/>
      </c>
      <c r="O1366" s="9">
        <f>IF($A1366="","",N1366&amp;"|"&amp;$F1366)</f>
        <v/>
      </c>
      <c r="P1366" s="94">
        <f>IF($A1366="",0,$H1366*설정!$C$23)</f>
        <v/>
      </c>
      <c r="Q1366" s="64">
        <f>IF($A1366="","",IF(O1366&lt;&gt;원인분석!$C$9,"",IF(AND(M1366&gt;=원인분석!$C$10,M1366&lt;=원인분석!$C$11),"당기",IF(AND(M1366&gt;=원인분석!$C$12,M1366&lt;=원인분석!$C$13),"비교",""))))</f>
        <v/>
      </c>
      <c r="R1366" s="9">
        <f>IF(Q1366="","",$K1366&amp;"")</f>
        <v/>
      </c>
      <c r="S1366" s="9">
        <f>IF(Q1366="","",IF(MATCH(R1366,$R$5:$R$100000,0)=ROW()-4,ROW(),""))</f>
        <v/>
      </c>
      <c r="T1366" s="9">
        <f>IF(Q1366="당기",ABS(P1366)+ROW()/1000000000,"")</f>
        <v/>
      </c>
      <c r="U1366" s="9">
        <f>IF(Q1366="비교",ABS(P1366)+ROW()/1000000000,"")</f>
        <v/>
      </c>
      <c r="V1366" s="64">
        <f>IF($A1366="","",IF(COUNTIF(변동분석!$E$7:$E$506,O1366)&gt;0,"Y","N"))</f>
        <v/>
      </c>
      <c r="W1366" s="64">
        <f>IF($A1366="","",IFERROR(INDEX(계정매핑!$D$5:$D$504,MATCH($F1366&amp;"",계정매핑!$A$5:$A$504,0)),"미매핑"))</f>
        <v/>
      </c>
      <c r="X1366" s="9">
        <f>IF($A1366="","",$F1366&amp;"")</f>
        <v/>
      </c>
      <c r="Y1366" s="94">
        <f>IF($A1366="",0,IF(AE1366="직접",IF(AF1366="비귀속",$P1366,0),$P1366*(1-AG1366)*IFERROR(INDEX(계정대체기준!$F$20:$F$49,MATCH($N1366,계정대체기준!$A$20:$A$49,0)),1)))</f>
        <v/>
      </c>
      <c r="Z1366" s="94">
        <f>IF($A1366="",0,IF(AE1366="직접",IF(AF1366="신계약비",$P1366,0),$P1366*(1-AG1366)*IFERROR(INDEX(계정대체기준!$C$20:$C$49,MATCH($N1366,계정대체기준!$A$20:$A$49,0)),0)))</f>
        <v/>
      </c>
      <c r="AA1366" s="94">
        <f>IF($A1366="",0,IF(AE1366="직접",IF(OR(AF1366="유지비",AF1366="손해조사비"),$P1366,0),$P1366*(1-AG1366)*IFERROR(INDEX(계정대체기준!$D$20:$D$49,MATCH($N1366,계정대체기준!$A$20:$A$49,0)),0)))</f>
        <v/>
      </c>
      <c r="AB1366" s="94">
        <f>IF($A1366="",0,IF(AE1366="직접",IF(AF1366="수금비",$P1366,0),$P1366*(1-AG1366)*IFERROR(INDEX(계정대체기준!$E$20:$E$49,MATCH($N1366,계정대체기준!$A$20:$A$49,0)),0)))</f>
        <v/>
      </c>
      <c r="AC1366" s="9">
        <f>IF(AND($A1366&lt;&gt;"",M1366=설정!$C$20,Z1366&gt;0),Z1366+ROW()/1000000000,"")</f>
        <v/>
      </c>
      <c r="AD1366" s="94">
        <f>IF($A1366="",0,$P1366*AG1366)</f>
        <v/>
      </c>
      <c r="AE1366" s="64">
        <f>IF($A1366="","",IFERROR(INDEX(계정매핑!$E$5:$E$504,MATCH($F1366&amp;"",계정매핑!$A$5:$A$504,0))&amp;"","공통비"))</f>
        <v/>
      </c>
      <c r="AF1366" s="64">
        <f>IF($A1366="","",IF(AE1366="직접",IFERROR(INDEX(계정매핑!$F$5:$F$504,MATCH($F1366&amp;"",계정매핑!$A$5:$A$504,0))&amp;"","비귀속"),""))</f>
        <v/>
      </c>
      <c r="AG1366" s="96">
        <f>IF($A1366="",0,IF(AND(AE1366&lt;&gt;"직접",IFERROR(INDEX(계정매핑!$G$5:$G$504,MATCH($F1366&amp;"",계정매핑!$A$5:$A$504,0))&amp;"","")="유지비",COUNTIF(계정대체기준!$A$6:$A$15,$N1366)&gt;0),IFERROR(INDEX(계정대체기준!$E$6:$E$15,MATCH(VALUE($A1366&amp;""),계정대체기준!$D$6:$D$15,0)),0),0))</f>
        <v/>
      </c>
      <c r="AH1366" s="64">
        <f>IF($A1366="","",IF(AD1366=0,"",IF(OR(COUNTIF(계정대체기준!$A$77:$A$86,$N1366)&gt;0,ISNUMBER(MATCH($X1366,계정대체기준!$D$77:$D$86,0)),ISNUMBER(MATCH($F1366,계정대체기준!$D$77:$D$86,0))),"Y","N")))</f>
        <v/>
      </c>
    </row>
    <row r="1367">
      <c r="A1367" s="92" t="n">
        <v>2025</v>
      </c>
      <c r="B1367" s="92" t="n">
        <v>7</v>
      </c>
      <c r="C1367" s="92" t="inlineStr">
        <is>
          <t>5100001363</t>
        </is>
      </c>
      <c r="D1367" s="95" t="n">
        <v>45840</v>
      </c>
      <c r="E1367" s="92" t="inlineStr">
        <is>
          <t>KR</t>
        </is>
      </c>
      <c r="F1367" s="92" t="n">
        <v>62301000</v>
      </c>
      <c r="G1367" s="92" t="n">
        <v>1201</v>
      </c>
      <c r="H1367" s="93" t="n">
        <v>249000</v>
      </c>
      <c r="I1367" s="92" t="inlineStr">
        <is>
          <t>7월 소모품 구입 - R문구</t>
        </is>
      </c>
      <c r="J1367" s="92" t="inlineStr">
        <is>
          <t>V10022</t>
        </is>
      </c>
      <c r="K1367" s="92" t="inlineStr">
        <is>
          <t>R문구</t>
        </is>
      </c>
      <c r="M1367" s="9">
        <f>IF($A1367="","",VALUE($A1367&amp;"")*12+VALUE($B1367&amp;""))</f>
        <v/>
      </c>
      <c r="N1367" s="64">
        <f>IF($A1367="","",IFERROR(INDEX(부서매핑!$C$5:$C$504,MATCH($G1367&amp;"",부서매핑!$A$5:$A$504,0)),"미매핑"))</f>
        <v/>
      </c>
      <c r="O1367" s="9">
        <f>IF($A1367="","",N1367&amp;"|"&amp;$F1367)</f>
        <v/>
      </c>
      <c r="P1367" s="94">
        <f>IF($A1367="",0,$H1367*설정!$C$23)</f>
        <v/>
      </c>
      <c r="Q1367" s="64">
        <f>IF($A1367="","",IF(O1367&lt;&gt;원인분석!$C$9,"",IF(AND(M1367&gt;=원인분석!$C$10,M1367&lt;=원인분석!$C$11),"당기",IF(AND(M1367&gt;=원인분석!$C$12,M1367&lt;=원인분석!$C$13),"비교",""))))</f>
        <v/>
      </c>
      <c r="R1367" s="9">
        <f>IF(Q1367="","",$K1367&amp;"")</f>
        <v/>
      </c>
      <c r="S1367" s="9">
        <f>IF(Q1367="","",IF(MATCH(R1367,$R$5:$R$100000,0)=ROW()-4,ROW(),""))</f>
        <v/>
      </c>
      <c r="T1367" s="9">
        <f>IF(Q1367="당기",ABS(P1367)+ROW()/1000000000,"")</f>
        <v/>
      </c>
      <c r="U1367" s="9">
        <f>IF(Q1367="비교",ABS(P1367)+ROW()/1000000000,"")</f>
        <v/>
      </c>
      <c r="V1367" s="64">
        <f>IF($A1367="","",IF(COUNTIF(변동분석!$E$7:$E$506,O1367)&gt;0,"Y","N"))</f>
        <v/>
      </c>
      <c r="W1367" s="64">
        <f>IF($A1367="","",IFERROR(INDEX(계정매핑!$D$5:$D$504,MATCH($F1367&amp;"",계정매핑!$A$5:$A$504,0)),"미매핑"))</f>
        <v/>
      </c>
      <c r="X1367" s="9">
        <f>IF($A1367="","",$F1367&amp;"")</f>
        <v/>
      </c>
      <c r="Y1367" s="94">
        <f>IF($A1367="",0,IF(AE1367="직접",IF(AF1367="비귀속",$P1367,0),$P1367*(1-AG1367)*IFERROR(INDEX(계정대체기준!$F$20:$F$49,MATCH($N1367,계정대체기준!$A$20:$A$49,0)),1)))</f>
        <v/>
      </c>
      <c r="Z1367" s="94">
        <f>IF($A1367="",0,IF(AE1367="직접",IF(AF1367="신계약비",$P1367,0),$P1367*(1-AG1367)*IFERROR(INDEX(계정대체기준!$C$20:$C$49,MATCH($N1367,계정대체기준!$A$20:$A$49,0)),0)))</f>
        <v/>
      </c>
      <c r="AA1367" s="94">
        <f>IF($A1367="",0,IF(AE1367="직접",IF(OR(AF1367="유지비",AF1367="손해조사비"),$P1367,0),$P1367*(1-AG1367)*IFERROR(INDEX(계정대체기준!$D$20:$D$49,MATCH($N1367,계정대체기준!$A$20:$A$49,0)),0)))</f>
        <v/>
      </c>
      <c r="AB1367" s="94">
        <f>IF($A1367="",0,IF(AE1367="직접",IF(AF1367="수금비",$P1367,0),$P1367*(1-AG1367)*IFERROR(INDEX(계정대체기준!$E$20:$E$49,MATCH($N1367,계정대체기준!$A$20:$A$49,0)),0)))</f>
        <v/>
      </c>
      <c r="AC1367" s="9">
        <f>IF(AND($A1367&lt;&gt;"",M1367=설정!$C$20,Z1367&gt;0),Z1367+ROW()/1000000000,"")</f>
        <v/>
      </c>
      <c r="AD1367" s="94">
        <f>IF($A1367="",0,$P1367*AG1367)</f>
        <v/>
      </c>
      <c r="AE1367" s="64">
        <f>IF($A1367="","",IFERROR(INDEX(계정매핑!$E$5:$E$504,MATCH($F1367&amp;"",계정매핑!$A$5:$A$504,0))&amp;"","공통비"))</f>
        <v/>
      </c>
      <c r="AF1367" s="64">
        <f>IF($A1367="","",IF(AE1367="직접",IFERROR(INDEX(계정매핑!$F$5:$F$504,MATCH($F1367&amp;"",계정매핑!$A$5:$A$504,0))&amp;"","비귀속"),""))</f>
        <v/>
      </c>
      <c r="AG1367" s="96">
        <f>IF($A1367="",0,IF(AND(AE1367&lt;&gt;"직접",IFERROR(INDEX(계정매핑!$G$5:$G$504,MATCH($F1367&amp;"",계정매핑!$A$5:$A$504,0))&amp;"","")="유지비",COUNTIF(계정대체기준!$A$6:$A$15,$N1367)&gt;0),IFERROR(INDEX(계정대체기준!$E$6:$E$15,MATCH(VALUE($A1367&amp;""),계정대체기준!$D$6:$D$15,0)),0),0))</f>
        <v/>
      </c>
      <c r="AH1367" s="64">
        <f>IF($A1367="","",IF(AD1367=0,"",IF(OR(COUNTIF(계정대체기준!$A$77:$A$86,$N1367)&gt;0,ISNUMBER(MATCH($X1367,계정대체기준!$D$77:$D$86,0)),ISNUMBER(MATCH($F1367,계정대체기준!$D$77:$D$86,0))),"Y","N")))</f>
        <v/>
      </c>
    </row>
    <row r="1368">
      <c r="A1368" s="92" t="n">
        <v>2025</v>
      </c>
      <c r="B1368" s="92" t="n">
        <v>7</v>
      </c>
      <c r="C1368" s="92" t="inlineStr">
        <is>
          <t>5100001364</t>
        </is>
      </c>
      <c r="D1368" s="95" t="n">
        <v>45840</v>
      </c>
      <c r="E1368" s="92" t="inlineStr">
        <is>
          <t>KR</t>
        </is>
      </c>
      <c r="F1368" s="92" t="n">
        <v>62401000</v>
      </c>
      <c r="G1368" s="92" t="n">
        <v>1401</v>
      </c>
      <c r="H1368" s="93" t="n">
        <v>486000</v>
      </c>
      <c r="I1368" s="92" t="inlineStr">
        <is>
          <t>7월 인쇄물 제작 - G인쇄</t>
        </is>
      </c>
      <c r="J1368" s="92" t="inlineStr">
        <is>
          <t>V10004</t>
        </is>
      </c>
      <c r="K1368" s="92" t="inlineStr">
        <is>
          <t>G인쇄</t>
        </is>
      </c>
      <c r="M1368" s="9">
        <f>IF($A1368="","",VALUE($A1368&amp;"")*12+VALUE($B1368&amp;""))</f>
        <v/>
      </c>
      <c r="N1368" s="64">
        <f>IF($A1368="","",IFERROR(INDEX(부서매핑!$C$5:$C$504,MATCH($G1368&amp;"",부서매핑!$A$5:$A$504,0)),"미매핑"))</f>
        <v/>
      </c>
      <c r="O1368" s="9">
        <f>IF($A1368="","",N1368&amp;"|"&amp;$F1368)</f>
        <v/>
      </c>
      <c r="P1368" s="94">
        <f>IF($A1368="",0,$H1368*설정!$C$23)</f>
        <v/>
      </c>
      <c r="Q1368" s="64">
        <f>IF($A1368="","",IF(O1368&lt;&gt;원인분석!$C$9,"",IF(AND(M1368&gt;=원인분석!$C$10,M1368&lt;=원인분석!$C$11),"당기",IF(AND(M1368&gt;=원인분석!$C$12,M1368&lt;=원인분석!$C$13),"비교",""))))</f>
        <v/>
      </c>
      <c r="R1368" s="9">
        <f>IF(Q1368="","",$K1368&amp;"")</f>
        <v/>
      </c>
      <c r="S1368" s="9">
        <f>IF(Q1368="","",IF(MATCH(R1368,$R$5:$R$100000,0)=ROW()-4,ROW(),""))</f>
        <v/>
      </c>
      <c r="T1368" s="9">
        <f>IF(Q1368="당기",ABS(P1368)+ROW()/1000000000,"")</f>
        <v/>
      </c>
      <c r="U1368" s="9">
        <f>IF(Q1368="비교",ABS(P1368)+ROW()/1000000000,"")</f>
        <v/>
      </c>
      <c r="V1368" s="64">
        <f>IF($A1368="","",IF(COUNTIF(변동분석!$E$7:$E$506,O1368)&gt;0,"Y","N"))</f>
        <v/>
      </c>
      <c r="W1368" s="64">
        <f>IF($A1368="","",IFERROR(INDEX(계정매핑!$D$5:$D$504,MATCH($F1368&amp;"",계정매핑!$A$5:$A$504,0)),"미매핑"))</f>
        <v/>
      </c>
      <c r="X1368" s="9">
        <f>IF($A1368="","",$F1368&amp;"")</f>
        <v/>
      </c>
      <c r="Y1368" s="94">
        <f>IF($A1368="",0,IF(AE1368="직접",IF(AF1368="비귀속",$P1368,0),$P1368*(1-AG1368)*IFERROR(INDEX(계정대체기준!$F$20:$F$49,MATCH($N1368,계정대체기준!$A$20:$A$49,0)),1)))</f>
        <v/>
      </c>
      <c r="Z1368" s="94">
        <f>IF($A1368="",0,IF(AE1368="직접",IF(AF1368="신계약비",$P1368,0),$P1368*(1-AG1368)*IFERROR(INDEX(계정대체기준!$C$20:$C$49,MATCH($N1368,계정대체기준!$A$20:$A$49,0)),0)))</f>
        <v/>
      </c>
      <c r="AA1368" s="94">
        <f>IF($A1368="",0,IF(AE1368="직접",IF(OR(AF1368="유지비",AF1368="손해조사비"),$P1368,0),$P1368*(1-AG1368)*IFERROR(INDEX(계정대체기준!$D$20:$D$49,MATCH($N1368,계정대체기준!$A$20:$A$49,0)),0)))</f>
        <v/>
      </c>
      <c r="AB1368" s="94">
        <f>IF($A1368="",0,IF(AE1368="직접",IF(AF1368="수금비",$P1368,0),$P1368*(1-AG1368)*IFERROR(INDEX(계정대체기준!$E$20:$E$49,MATCH($N1368,계정대체기준!$A$20:$A$49,0)),0)))</f>
        <v/>
      </c>
      <c r="AC1368" s="9">
        <f>IF(AND($A1368&lt;&gt;"",M1368=설정!$C$20,Z1368&gt;0),Z1368+ROW()/1000000000,"")</f>
        <v/>
      </c>
      <c r="AD1368" s="94">
        <f>IF($A1368="",0,$P1368*AG1368)</f>
        <v/>
      </c>
      <c r="AE1368" s="64">
        <f>IF($A1368="","",IFERROR(INDEX(계정매핑!$E$5:$E$504,MATCH($F1368&amp;"",계정매핑!$A$5:$A$504,0))&amp;"","공통비"))</f>
        <v/>
      </c>
      <c r="AF1368" s="64">
        <f>IF($A1368="","",IF(AE1368="직접",IFERROR(INDEX(계정매핑!$F$5:$F$504,MATCH($F1368&amp;"",계정매핑!$A$5:$A$504,0))&amp;"","비귀속"),""))</f>
        <v/>
      </c>
      <c r="AG1368" s="96">
        <f>IF($A1368="",0,IF(AND(AE1368&lt;&gt;"직접",IFERROR(INDEX(계정매핑!$G$5:$G$504,MATCH($F1368&amp;"",계정매핑!$A$5:$A$504,0))&amp;"","")="유지비",COUNTIF(계정대체기준!$A$6:$A$15,$N1368)&gt;0),IFERROR(INDEX(계정대체기준!$E$6:$E$15,MATCH(VALUE($A1368&amp;""),계정대체기준!$D$6:$D$15,0)),0),0))</f>
        <v/>
      </c>
      <c r="AH1368" s="64">
        <f>IF($A1368="","",IF(AD1368=0,"",IF(OR(COUNTIF(계정대체기준!$A$77:$A$86,$N1368)&gt;0,ISNUMBER(MATCH($X1368,계정대체기준!$D$77:$D$86,0)),ISNUMBER(MATCH($F1368,계정대체기준!$D$77:$D$86,0))),"Y","N")))</f>
        <v/>
      </c>
    </row>
    <row r="1369">
      <c r="A1369" s="92" t="n">
        <v>2025</v>
      </c>
      <c r="B1369" s="92" t="n">
        <v>7</v>
      </c>
      <c r="C1369" s="92" t="inlineStr">
        <is>
          <t>5100001365</t>
        </is>
      </c>
      <c r="D1369" s="95" t="n">
        <v>45840</v>
      </c>
      <c r="E1369" s="92" t="inlineStr">
        <is>
          <t>KR</t>
        </is>
      </c>
      <c r="F1369" s="92" t="n">
        <v>62401000</v>
      </c>
      <c r="G1369" s="92" t="n">
        <v>1801</v>
      </c>
      <c r="H1369" s="93" t="n">
        <v>1556000</v>
      </c>
      <c r="I1369" s="92" t="inlineStr">
        <is>
          <t>7월 인쇄물 제작 - S출판</t>
        </is>
      </c>
      <c r="J1369" s="92" t="inlineStr">
        <is>
          <t>V10015</t>
        </is>
      </c>
      <c r="K1369" s="92" t="inlineStr">
        <is>
          <t>S출판</t>
        </is>
      </c>
      <c r="M1369" s="9">
        <f>IF($A1369="","",VALUE($A1369&amp;"")*12+VALUE($B1369&amp;""))</f>
        <v/>
      </c>
      <c r="N1369" s="64">
        <f>IF($A1369="","",IFERROR(INDEX(부서매핑!$C$5:$C$504,MATCH($G1369&amp;"",부서매핑!$A$5:$A$504,0)),"미매핑"))</f>
        <v/>
      </c>
      <c r="O1369" s="9">
        <f>IF($A1369="","",N1369&amp;"|"&amp;$F1369)</f>
        <v/>
      </c>
      <c r="P1369" s="94">
        <f>IF($A1369="",0,$H1369*설정!$C$23)</f>
        <v/>
      </c>
      <c r="Q1369" s="64">
        <f>IF($A1369="","",IF(O1369&lt;&gt;원인분석!$C$9,"",IF(AND(M1369&gt;=원인분석!$C$10,M1369&lt;=원인분석!$C$11),"당기",IF(AND(M1369&gt;=원인분석!$C$12,M1369&lt;=원인분석!$C$13),"비교",""))))</f>
        <v/>
      </c>
      <c r="R1369" s="9">
        <f>IF(Q1369="","",$K1369&amp;"")</f>
        <v/>
      </c>
      <c r="S1369" s="9">
        <f>IF(Q1369="","",IF(MATCH(R1369,$R$5:$R$100000,0)=ROW()-4,ROW(),""))</f>
        <v/>
      </c>
      <c r="T1369" s="9">
        <f>IF(Q1369="당기",ABS(P1369)+ROW()/1000000000,"")</f>
        <v/>
      </c>
      <c r="U1369" s="9">
        <f>IF(Q1369="비교",ABS(P1369)+ROW()/1000000000,"")</f>
        <v/>
      </c>
      <c r="V1369" s="64">
        <f>IF($A1369="","",IF(COUNTIF(변동분석!$E$7:$E$506,O1369)&gt;0,"Y","N"))</f>
        <v/>
      </c>
      <c r="W1369" s="64">
        <f>IF($A1369="","",IFERROR(INDEX(계정매핑!$D$5:$D$504,MATCH($F1369&amp;"",계정매핑!$A$5:$A$504,0)),"미매핑"))</f>
        <v/>
      </c>
      <c r="X1369" s="9">
        <f>IF($A1369="","",$F1369&amp;"")</f>
        <v/>
      </c>
      <c r="Y1369" s="94">
        <f>IF($A1369="",0,IF(AE1369="직접",IF(AF1369="비귀속",$P1369,0),$P1369*(1-AG1369)*IFERROR(INDEX(계정대체기준!$F$20:$F$49,MATCH($N1369,계정대체기준!$A$20:$A$49,0)),1)))</f>
        <v/>
      </c>
      <c r="Z1369" s="94">
        <f>IF($A1369="",0,IF(AE1369="직접",IF(AF1369="신계약비",$P1369,0),$P1369*(1-AG1369)*IFERROR(INDEX(계정대체기준!$C$20:$C$49,MATCH($N1369,계정대체기준!$A$20:$A$49,0)),0)))</f>
        <v/>
      </c>
      <c r="AA1369" s="94">
        <f>IF($A1369="",0,IF(AE1369="직접",IF(OR(AF1369="유지비",AF1369="손해조사비"),$P1369,0),$P1369*(1-AG1369)*IFERROR(INDEX(계정대체기준!$D$20:$D$49,MATCH($N1369,계정대체기준!$A$20:$A$49,0)),0)))</f>
        <v/>
      </c>
      <c r="AB1369" s="94">
        <f>IF($A1369="",0,IF(AE1369="직접",IF(AF1369="수금비",$P1369,0),$P1369*(1-AG1369)*IFERROR(INDEX(계정대체기준!$E$20:$E$49,MATCH($N1369,계정대체기준!$A$20:$A$49,0)),0)))</f>
        <v/>
      </c>
      <c r="AC1369" s="9">
        <f>IF(AND($A1369&lt;&gt;"",M1369=설정!$C$20,Z1369&gt;0),Z1369+ROW()/1000000000,"")</f>
        <v/>
      </c>
      <c r="AD1369" s="94">
        <f>IF($A1369="",0,$P1369*AG1369)</f>
        <v/>
      </c>
      <c r="AE1369" s="64">
        <f>IF($A1369="","",IFERROR(INDEX(계정매핑!$E$5:$E$504,MATCH($F1369&amp;"",계정매핑!$A$5:$A$504,0))&amp;"","공통비"))</f>
        <v/>
      </c>
      <c r="AF1369" s="64">
        <f>IF($A1369="","",IF(AE1369="직접",IFERROR(INDEX(계정매핑!$F$5:$F$504,MATCH($F1369&amp;"",계정매핑!$A$5:$A$504,0))&amp;"","비귀속"),""))</f>
        <v/>
      </c>
      <c r="AG1369" s="96">
        <f>IF($A1369="",0,IF(AND(AE1369&lt;&gt;"직접",IFERROR(INDEX(계정매핑!$G$5:$G$504,MATCH($F1369&amp;"",계정매핑!$A$5:$A$504,0))&amp;"","")="유지비",COUNTIF(계정대체기준!$A$6:$A$15,$N1369)&gt;0),IFERROR(INDEX(계정대체기준!$E$6:$E$15,MATCH(VALUE($A1369&amp;""),계정대체기준!$D$6:$D$15,0)),0),0))</f>
        <v/>
      </c>
      <c r="AH1369" s="64">
        <f>IF($A1369="","",IF(AD1369=0,"",IF(OR(COUNTIF(계정대체기준!$A$77:$A$86,$N1369)&gt;0,ISNUMBER(MATCH($X1369,계정대체기준!$D$77:$D$86,0)),ISNUMBER(MATCH($F1369,계정대체기준!$D$77:$D$86,0))),"Y","N")))</f>
        <v/>
      </c>
    </row>
    <row r="1370">
      <c r="A1370" s="92" t="n">
        <v>2025</v>
      </c>
      <c r="B1370" s="92" t="n">
        <v>7</v>
      </c>
      <c r="C1370" s="92" t="inlineStr">
        <is>
          <t>5100001366</t>
        </is>
      </c>
      <c r="D1370" s="95" t="n">
        <v>45840</v>
      </c>
      <c r="E1370" s="92" t="inlineStr">
        <is>
          <t>KR</t>
        </is>
      </c>
      <c r="F1370" s="92" t="n">
        <v>62501000</v>
      </c>
      <c r="G1370" s="92" t="n">
        <v>1501</v>
      </c>
      <c r="H1370" s="93" t="n">
        <v>359000</v>
      </c>
      <c r="I1370" s="92" t="inlineStr">
        <is>
          <t>7월 회의 다과 - T케이터링</t>
        </is>
      </c>
      <c r="J1370" s="92" t="inlineStr">
        <is>
          <t>V10005</t>
        </is>
      </c>
      <c r="K1370" s="92" t="inlineStr">
        <is>
          <t>T케이터링</t>
        </is>
      </c>
      <c r="M1370" s="9">
        <f>IF($A1370="","",VALUE($A1370&amp;"")*12+VALUE($B1370&amp;""))</f>
        <v/>
      </c>
      <c r="N1370" s="64">
        <f>IF($A1370="","",IFERROR(INDEX(부서매핑!$C$5:$C$504,MATCH($G1370&amp;"",부서매핑!$A$5:$A$504,0)),"미매핑"))</f>
        <v/>
      </c>
      <c r="O1370" s="9">
        <f>IF($A1370="","",N1370&amp;"|"&amp;$F1370)</f>
        <v/>
      </c>
      <c r="P1370" s="94">
        <f>IF($A1370="",0,$H1370*설정!$C$23)</f>
        <v/>
      </c>
      <c r="Q1370" s="64">
        <f>IF($A1370="","",IF(O1370&lt;&gt;원인분석!$C$9,"",IF(AND(M1370&gt;=원인분석!$C$10,M1370&lt;=원인분석!$C$11),"당기",IF(AND(M1370&gt;=원인분석!$C$12,M1370&lt;=원인분석!$C$13),"비교",""))))</f>
        <v/>
      </c>
      <c r="R1370" s="9">
        <f>IF(Q1370="","",$K1370&amp;"")</f>
        <v/>
      </c>
      <c r="S1370" s="9">
        <f>IF(Q1370="","",IF(MATCH(R1370,$R$5:$R$100000,0)=ROW()-4,ROW(),""))</f>
        <v/>
      </c>
      <c r="T1370" s="9">
        <f>IF(Q1370="당기",ABS(P1370)+ROW()/1000000000,"")</f>
        <v/>
      </c>
      <c r="U1370" s="9">
        <f>IF(Q1370="비교",ABS(P1370)+ROW()/1000000000,"")</f>
        <v/>
      </c>
      <c r="V1370" s="64">
        <f>IF($A1370="","",IF(COUNTIF(변동분석!$E$7:$E$506,O1370)&gt;0,"Y","N"))</f>
        <v/>
      </c>
      <c r="W1370" s="64">
        <f>IF($A1370="","",IFERROR(INDEX(계정매핑!$D$5:$D$504,MATCH($F1370&amp;"",계정매핑!$A$5:$A$504,0)),"미매핑"))</f>
        <v/>
      </c>
      <c r="X1370" s="9">
        <f>IF($A1370="","",$F1370&amp;"")</f>
        <v/>
      </c>
      <c r="Y1370" s="94">
        <f>IF($A1370="",0,IF(AE1370="직접",IF(AF1370="비귀속",$P1370,0),$P1370*(1-AG1370)*IFERROR(INDEX(계정대체기준!$F$20:$F$49,MATCH($N1370,계정대체기준!$A$20:$A$49,0)),1)))</f>
        <v/>
      </c>
      <c r="Z1370" s="94">
        <f>IF($A1370="",0,IF(AE1370="직접",IF(AF1370="신계약비",$P1370,0),$P1370*(1-AG1370)*IFERROR(INDEX(계정대체기준!$C$20:$C$49,MATCH($N1370,계정대체기준!$A$20:$A$49,0)),0)))</f>
        <v/>
      </c>
      <c r="AA1370" s="94">
        <f>IF($A1370="",0,IF(AE1370="직접",IF(OR(AF1370="유지비",AF1370="손해조사비"),$P1370,0),$P1370*(1-AG1370)*IFERROR(INDEX(계정대체기준!$D$20:$D$49,MATCH($N1370,계정대체기준!$A$20:$A$49,0)),0)))</f>
        <v/>
      </c>
      <c r="AB1370" s="94">
        <f>IF($A1370="",0,IF(AE1370="직접",IF(AF1370="수금비",$P1370,0),$P1370*(1-AG1370)*IFERROR(INDEX(계정대체기준!$E$20:$E$49,MATCH($N1370,계정대체기준!$A$20:$A$49,0)),0)))</f>
        <v/>
      </c>
      <c r="AC1370" s="9">
        <f>IF(AND($A1370&lt;&gt;"",M1370=설정!$C$20,Z1370&gt;0),Z1370+ROW()/1000000000,"")</f>
        <v/>
      </c>
      <c r="AD1370" s="94">
        <f>IF($A1370="",0,$P1370*AG1370)</f>
        <v/>
      </c>
      <c r="AE1370" s="64">
        <f>IF($A1370="","",IFERROR(INDEX(계정매핑!$E$5:$E$504,MATCH($F1370&amp;"",계정매핑!$A$5:$A$504,0))&amp;"","공통비"))</f>
        <v/>
      </c>
      <c r="AF1370" s="64">
        <f>IF($A1370="","",IF(AE1370="직접",IFERROR(INDEX(계정매핑!$F$5:$F$504,MATCH($F1370&amp;"",계정매핑!$A$5:$A$504,0))&amp;"","비귀속"),""))</f>
        <v/>
      </c>
      <c r="AG1370" s="96">
        <f>IF($A1370="",0,IF(AND(AE1370&lt;&gt;"직접",IFERROR(INDEX(계정매핑!$G$5:$G$504,MATCH($F1370&amp;"",계정매핑!$A$5:$A$504,0))&amp;"","")="유지비",COUNTIF(계정대체기준!$A$6:$A$15,$N1370)&gt;0),IFERROR(INDEX(계정대체기준!$E$6:$E$15,MATCH(VALUE($A1370&amp;""),계정대체기준!$D$6:$D$15,0)),0),0))</f>
        <v/>
      </c>
      <c r="AH1370" s="64">
        <f>IF($A1370="","",IF(AD1370=0,"",IF(OR(COUNTIF(계정대체기준!$A$77:$A$86,$N1370)&gt;0,ISNUMBER(MATCH($X1370,계정대체기준!$D$77:$D$86,0)),ISNUMBER(MATCH($F1370,계정대체기준!$D$77:$D$86,0))),"Y","N")))</f>
        <v/>
      </c>
    </row>
    <row r="1371">
      <c r="A1371" s="92" t="n">
        <v>2025</v>
      </c>
      <c r="B1371" s="92" t="n">
        <v>7</v>
      </c>
      <c r="C1371" s="92" t="inlineStr">
        <is>
          <t>5100001367</t>
        </is>
      </c>
      <c r="D1371" s="95" t="n">
        <v>45840</v>
      </c>
      <c r="E1371" s="92" t="inlineStr">
        <is>
          <t>KR</t>
        </is>
      </c>
      <c r="F1371" s="92" t="n">
        <v>62801000</v>
      </c>
      <c r="G1371" s="92" t="n">
        <v>1301</v>
      </c>
      <c r="H1371" s="93" t="n">
        <v>2628000</v>
      </c>
      <c r="I1371" s="92" t="inlineStr">
        <is>
          <t>7월 사내교육 - (사내강사료)</t>
        </is>
      </c>
      <c r="J1371" s="92" t="inlineStr">
        <is>
          <t>V10024</t>
        </is>
      </c>
      <c r="K1371" s="92" t="inlineStr">
        <is>
          <t>(사내강사료)</t>
        </is>
      </c>
      <c r="M1371" s="9">
        <f>IF($A1371="","",VALUE($A1371&amp;"")*12+VALUE($B1371&amp;""))</f>
        <v/>
      </c>
      <c r="N1371" s="64">
        <f>IF($A1371="","",IFERROR(INDEX(부서매핑!$C$5:$C$504,MATCH($G1371&amp;"",부서매핑!$A$5:$A$504,0)),"미매핑"))</f>
        <v/>
      </c>
      <c r="O1371" s="9">
        <f>IF($A1371="","",N1371&amp;"|"&amp;$F1371)</f>
        <v/>
      </c>
      <c r="P1371" s="94">
        <f>IF($A1371="",0,$H1371*설정!$C$23)</f>
        <v/>
      </c>
      <c r="Q1371" s="64">
        <f>IF($A1371="","",IF(O1371&lt;&gt;원인분석!$C$9,"",IF(AND(M1371&gt;=원인분석!$C$10,M1371&lt;=원인분석!$C$11),"당기",IF(AND(M1371&gt;=원인분석!$C$12,M1371&lt;=원인분석!$C$13),"비교",""))))</f>
        <v/>
      </c>
      <c r="R1371" s="9">
        <f>IF(Q1371="","",$K1371&amp;"")</f>
        <v/>
      </c>
      <c r="S1371" s="9">
        <f>IF(Q1371="","",IF(MATCH(R1371,$R$5:$R$100000,0)=ROW()-4,ROW(),""))</f>
        <v/>
      </c>
      <c r="T1371" s="9">
        <f>IF(Q1371="당기",ABS(P1371)+ROW()/1000000000,"")</f>
        <v/>
      </c>
      <c r="U1371" s="9">
        <f>IF(Q1371="비교",ABS(P1371)+ROW()/1000000000,"")</f>
        <v/>
      </c>
      <c r="V1371" s="64">
        <f>IF($A1371="","",IF(COUNTIF(변동분석!$E$7:$E$506,O1371)&gt;0,"Y","N"))</f>
        <v/>
      </c>
      <c r="W1371" s="64">
        <f>IF($A1371="","",IFERROR(INDEX(계정매핑!$D$5:$D$504,MATCH($F1371&amp;"",계정매핑!$A$5:$A$504,0)),"미매핑"))</f>
        <v/>
      </c>
      <c r="X1371" s="9">
        <f>IF($A1371="","",$F1371&amp;"")</f>
        <v/>
      </c>
      <c r="Y1371" s="94">
        <f>IF($A1371="",0,IF(AE1371="직접",IF(AF1371="비귀속",$P1371,0),$P1371*(1-AG1371)*IFERROR(INDEX(계정대체기준!$F$20:$F$49,MATCH($N1371,계정대체기준!$A$20:$A$49,0)),1)))</f>
        <v/>
      </c>
      <c r="Z1371" s="94">
        <f>IF($A1371="",0,IF(AE1371="직접",IF(AF1371="신계약비",$P1371,0),$P1371*(1-AG1371)*IFERROR(INDEX(계정대체기준!$C$20:$C$49,MATCH($N1371,계정대체기준!$A$20:$A$49,0)),0)))</f>
        <v/>
      </c>
      <c r="AA1371" s="94">
        <f>IF($A1371="",0,IF(AE1371="직접",IF(OR(AF1371="유지비",AF1371="손해조사비"),$P1371,0),$P1371*(1-AG1371)*IFERROR(INDEX(계정대체기준!$D$20:$D$49,MATCH($N1371,계정대체기준!$A$20:$A$49,0)),0)))</f>
        <v/>
      </c>
      <c r="AB1371" s="94">
        <f>IF($A1371="",0,IF(AE1371="직접",IF(AF1371="수금비",$P1371,0),$P1371*(1-AG1371)*IFERROR(INDEX(계정대체기준!$E$20:$E$49,MATCH($N1371,계정대체기준!$A$20:$A$49,0)),0)))</f>
        <v/>
      </c>
      <c r="AC1371" s="9">
        <f>IF(AND($A1371&lt;&gt;"",M1371=설정!$C$20,Z1371&gt;0),Z1371+ROW()/1000000000,"")</f>
        <v/>
      </c>
      <c r="AD1371" s="94">
        <f>IF($A1371="",0,$P1371*AG1371)</f>
        <v/>
      </c>
      <c r="AE1371" s="64">
        <f>IF($A1371="","",IFERROR(INDEX(계정매핑!$E$5:$E$504,MATCH($F1371&amp;"",계정매핑!$A$5:$A$504,0))&amp;"","공통비"))</f>
        <v/>
      </c>
      <c r="AF1371" s="64">
        <f>IF($A1371="","",IF(AE1371="직접",IFERROR(INDEX(계정매핑!$F$5:$F$504,MATCH($F1371&amp;"",계정매핑!$A$5:$A$504,0))&amp;"","비귀속"),""))</f>
        <v/>
      </c>
      <c r="AG1371" s="96">
        <f>IF($A1371="",0,IF(AND(AE1371&lt;&gt;"직접",IFERROR(INDEX(계정매핑!$G$5:$G$504,MATCH($F1371&amp;"",계정매핑!$A$5:$A$504,0))&amp;"","")="유지비",COUNTIF(계정대체기준!$A$6:$A$15,$N1371)&gt;0),IFERROR(INDEX(계정대체기준!$E$6:$E$15,MATCH(VALUE($A1371&amp;""),계정대체기준!$D$6:$D$15,0)),0),0))</f>
        <v/>
      </c>
      <c r="AH1371" s="64">
        <f>IF($A1371="","",IF(AD1371=0,"",IF(OR(COUNTIF(계정대체기준!$A$77:$A$86,$N1371)&gt;0,ISNUMBER(MATCH($X1371,계정대체기준!$D$77:$D$86,0)),ISNUMBER(MATCH($F1371,계정대체기준!$D$77:$D$86,0))),"Y","N")))</f>
        <v/>
      </c>
    </row>
    <row r="1372">
      <c r="A1372" s="92" t="n">
        <v>2025</v>
      </c>
      <c r="B1372" s="92" t="n">
        <v>7</v>
      </c>
      <c r="C1372" s="92" t="inlineStr">
        <is>
          <t>5100001368</t>
        </is>
      </c>
      <c r="D1372" s="95" t="n">
        <v>45840</v>
      </c>
      <c r="E1372" s="92" t="inlineStr">
        <is>
          <t>KR</t>
        </is>
      </c>
      <c r="F1372" s="92" t="n">
        <v>62902000</v>
      </c>
      <c r="G1372" s="92" t="n">
        <v>1801</v>
      </c>
      <c r="H1372" s="93" t="n">
        <v>1803000</v>
      </c>
      <c r="I1372" s="92" t="inlineStr">
        <is>
          <t>7월 콜 위탁 수수료(건별)</t>
        </is>
      </c>
      <c r="J1372" s="92" t="inlineStr">
        <is>
          <t>V10016</t>
        </is>
      </c>
      <c r="K1372" s="92" t="inlineStr">
        <is>
          <t>J콜센터</t>
        </is>
      </c>
      <c r="M1372" s="9">
        <f>IF($A1372="","",VALUE($A1372&amp;"")*12+VALUE($B1372&amp;""))</f>
        <v/>
      </c>
      <c r="N1372" s="64">
        <f>IF($A1372="","",IFERROR(INDEX(부서매핑!$C$5:$C$504,MATCH($G1372&amp;"",부서매핑!$A$5:$A$504,0)),"미매핑"))</f>
        <v/>
      </c>
      <c r="O1372" s="9">
        <f>IF($A1372="","",N1372&amp;"|"&amp;$F1372)</f>
        <v/>
      </c>
      <c r="P1372" s="94">
        <f>IF($A1372="",0,$H1372*설정!$C$23)</f>
        <v/>
      </c>
      <c r="Q1372" s="64">
        <f>IF($A1372="","",IF(O1372&lt;&gt;원인분석!$C$9,"",IF(AND(M1372&gt;=원인분석!$C$10,M1372&lt;=원인분석!$C$11),"당기",IF(AND(M1372&gt;=원인분석!$C$12,M1372&lt;=원인분석!$C$13),"비교",""))))</f>
        <v/>
      </c>
      <c r="R1372" s="9">
        <f>IF(Q1372="","",$K1372&amp;"")</f>
        <v/>
      </c>
      <c r="S1372" s="9">
        <f>IF(Q1372="","",IF(MATCH(R1372,$R$5:$R$100000,0)=ROW()-4,ROW(),""))</f>
        <v/>
      </c>
      <c r="T1372" s="9">
        <f>IF(Q1372="당기",ABS(P1372)+ROW()/1000000000,"")</f>
        <v/>
      </c>
      <c r="U1372" s="9">
        <f>IF(Q1372="비교",ABS(P1372)+ROW()/1000000000,"")</f>
        <v/>
      </c>
      <c r="V1372" s="64">
        <f>IF($A1372="","",IF(COUNTIF(변동분석!$E$7:$E$506,O1372)&gt;0,"Y","N"))</f>
        <v/>
      </c>
      <c r="W1372" s="64">
        <f>IF($A1372="","",IFERROR(INDEX(계정매핑!$D$5:$D$504,MATCH($F1372&amp;"",계정매핑!$A$5:$A$504,0)),"미매핑"))</f>
        <v/>
      </c>
      <c r="X1372" s="9">
        <f>IF($A1372="","",$F1372&amp;"")</f>
        <v/>
      </c>
      <c r="Y1372" s="94">
        <f>IF($A1372="",0,IF(AE1372="직접",IF(AF1372="비귀속",$P1372,0),$P1372*(1-AG1372)*IFERROR(INDEX(계정대체기준!$F$20:$F$49,MATCH($N1372,계정대체기준!$A$20:$A$49,0)),1)))</f>
        <v/>
      </c>
      <c r="Z1372" s="94">
        <f>IF($A1372="",0,IF(AE1372="직접",IF(AF1372="신계약비",$P1372,0),$P1372*(1-AG1372)*IFERROR(INDEX(계정대체기준!$C$20:$C$49,MATCH($N1372,계정대체기준!$A$20:$A$49,0)),0)))</f>
        <v/>
      </c>
      <c r="AA1372" s="94">
        <f>IF($A1372="",0,IF(AE1372="직접",IF(OR(AF1372="유지비",AF1372="손해조사비"),$P1372,0),$P1372*(1-AG1372)*IFERROR(INDEX(계정대체기준!$D$20:$D$49,MATCH($N1372,계정대체기준!$A$20:$A$49,0)),0)))</f>
        <v/>
      </c>
      <c r="AB1372" s="94">
        <f>IF($A1372="",0,IF(AE1372="직접",IF(AF1372="수금비",$P1372,0),$P1372*(1-AG1372)*IFERROR(INDEX(계정대체기준!$E$20:$E$49,MATCH($N1372,계정대체기준!$A$20:$A$49,0)),0)))</f>
        <v/>
      </c>
      <c r="AC1372" s="9">
        <f>IF(AND($A1372&lt;&gt;"",M1372=설정!$C$20,Z1372&gt;0),Z1372+ROW()/1000000000,"")</f>
        <v/>
      </c>
      <c r="AD1372" s="94">
        <f>IF($A1372="",0,$P1372*AG1372)</f>
        <v/>
      </c>
      <c r="AE1372" s="64">
        <f>IF($A1372="","",IFERROR(INDEX(계정매핑!$E$5:$E$504,MATCH($F1372&amp;"",계정매핑!$A$5:$A$504,0))&amp;"","공통비"))</f>
        <v/>
      </c>
      <c r="AF1372" s="64">
        <f>IF($A1372="","",IF(AE1372="직접",IFERROR(INDEX(계정매핑!$F$5:$F$504,MATCH($F1372&amp;"",계정매핑!$A$5:$A$504,0))&amp;"","비귀속"),""))</f>
        <v/>
      </c>
      <c r="AG1372" s="96">
        <f>IF($A1372="",0,IF(AND(AE1372&lt;&gt;"직접",IFERROR(INDEX(계정매핑!$G$5:$G$504,MATCH($F1372&amp;"",계정매핑!$A$5:$A$504,0))&amp;"","")="유지비",COUNTIF(계정대체기준!$A$6:$A$15,$N1372)&gt;0),IFERROR(INDEX(계정대체기준!$E$6:$E$15,MATCH(VALUE($A1372&amp;""),계정대체기준!$D$6:$D$15,0)),0),0))</f>
        <v/>
      </c>
      <c r="AH1372" s="64">
        <f>IF($A1372="","",IF(AD1372=0,"",IF(OR(COUNTIF(계정대체기준!$A$77:$A$86,$N1372)&gt;0,ISNUMBER(MATCH($X1372,계정대체기준!$D$77:$D$86,0)),ISNUMBER(MATCH($F1372,계정대체기준!$D$77:$D$86,0))),"Y","N")))</f>
        <v/>
      </c>
    </row>
    <row r="1373">
      <c r="A1373" s="92" t="n">
        <v>2025</v>
      </c>
      <c r="B1373" s="92" t="n">
        <v>7</v>
      </c>
      <c r="C1373" s="92" t="inlineStr">
        <is>
          <t>5100001369</t>
        </is>
      </c>
      <c r="D1373" s="95" t="n">
        <v>45840</v>
      </c>
      <c r="E1373" s="92" t="inlineStr">
        <is>
          <t>KR</t>
        </is>
      </c>
      <c r="F1373" s="92" t="n">
        <v>63001000</v>
      </c>
      <c r="G1373" s="92" t="n">
        <v>1701</v>
      </c>
      <c r="H1373" s="93" t="n">
        <v>52110000</v>
      </c>
      <c r="I1373" s="92" t="inlineStr">
        <is>
          <t>7월 SW 유지보수 - Z시스템</t>
        </is>
      </c>
      <c r="J1373" s="92" t="inlineStr">
        <is>
          <t>V10012</t>
        </is>
      </c>
      <c r="K1373" s="92" t="inlineStr">
        <is>
          <t>Z시스템</t>
        </is>
      </c>
      <c r="M1373" s="9">
        <f>IF($A1373="","",VALUE($A1373&amp;"")*12+VALUE($B1373&amp;""))</f>
        <v/>
      </c>
      <c r="N1373" s="64">
        <f>IF($A1373="","",IFERROR(INDEX(부서매핑!$C$5:$C$504,MATCH($G1373&amp;"",부서매핑!$A$5:$A$504,0)),"미매핑"))</f>
        <v/>
      </c>
      <c r="O1373" s="9">
        <f>IF($A1373="","",N1373&amp;"|"&amp;$F1373)</f>
        <v/>
      </c>
      <c r="P1373" s="94">
        <f>IF($A1373="",0,$H1373*설정!$C$23)</f>
        <v/>
      </c>
      <c r="Q1373" s="64">
        <f>IF($A1373="","",IF(O1373&lt;&gt;원인분석!$C$9,"",IF(AND(M1373&gt;=원인분석!$C$10,M1373&lt;=원인분석!$C$11),"당기",IF(AND(M1373&gt;=원인분석!$C$12,M1373&lt;=원인분석!$C$13),"비교",""))))</f>
        <v/>
      </c>
      <c r="R1373" s="9">
        <f>IF(Q1373="","",$K1373&amp;"")</f>
        <v/>
      </c>
      <c r="S1373" s="9">
        <f>IF(Q1373="","",IF(MATCH(R1373,$R$5:$R$100000,0)=ROW()-4,ROW(),""))</f>
        <v/>
      </c>
      <c r="T1373" s="9">
        <f>IF(Q1373="당기",ABS(P1373)+ROW()/1000000000,"")</f>
        <v/>
      </c>
      <c r="U1373" s="9">
        <f>IF(Q1373="비교",ABS(P1373)+ROW()/1000000000,"")</f>
        <v/>
      </c>
      <c r="V1373" s="64">
        <f>IF($A1373="","",IF(COUNTIF(변동분석!$E$7:$E$506,O1373)&gt;0,"Y","N"))</f>
        <v/>
      </c>
      <c r="W1373" s="64">
        <f>IF($A1373="","",IFERROR(INDEX(계정매핑!$D$5:$D$504,MATCH($F1373&amp;"",계정매핑!$A$5:$A$504,0)),"미매핑"))</f>
        <v/>
      </c>
      <c r="X1373" s="9">
        <f>IF($A1373="","",$F1373&amp;"")</f>
        <v/>
      </c>
      <c r="Y1373" s="94">
        <f>IF($A1373="",0,IF(AE1373="직접",IF(AF1373="비귀속",$P1373,0),$P1373*(1-AG1373)*IFERROR(INDEX(계정대체기준!$F$20:$F$49,MATCH($N1373,계정대체기준!$A$20:$A$49,0)),1)))</f>
        <v/>
      </c>
      <c r="Z1373" s="94">
        <f>IF($A1373="",0,IF(AE1373="직접",IF(AF1373="신계약비",$P1373,0),$P1373*(1-AG1373)*IFERROR(INDEX(계정대체기준!$C$20:$C$49,MATCH($N1373,계정대체기준!$A$20:$A$49,0)),0)))</f>
        <v/>
      </c>
      <c r="AA1373" s="94">
        <f>IF($A1373="",0,IF(AE1373="직접",IF(OR(AF1373="유지비",AF1373="손해조사비"),$P1373,0),$P1373*(1-AG1373)*IFERROR(INDEX(계정대체기준!$D$20:$D$49,MATCH($N1373,계정대체기준!$A$20:$A$49,0)),0)))</f>
        <v/>
      </c>
      <c r="AB1373" s="94">
        <f>IF($A1373="",0,IF(AE1373="직접",IF(AF1373="수금비",$P1373,0),$P1373*(1-AG1373)*IFERROR(INDEX(계정대체기준!$E$20:$E$49,MATCH($N1373,계정대체기준!$A$20:$A$49,0)),0)))</f>
        <v/>
      </c>
      <c r="AC1373" s="9">
        <f>IF(AND($A1373&lt;&gt;"",M1373=설정!$C$20,Z1373&gt;0),Z1373+ROW()/1000000000,"")</f>
        <v/>
      </c>
      <c r="AD1373" s="94">
        <f>IF($A1373="",0,$P1373*AG1373)</f>
        <v/>
      </c>
      <c r="AE1373" s="64">
        <f>IF($A1373="","",IFERROR(INDEX(계정매핑!$E$5:$E$504,MATCH($F1373&amp;"",계정매핑!$A$5:$A$504,0))&amp;"","공통비"))</f>
        <v/>
      </c>
      <c r="AF1373" s="64">
        <f>IF($A1373="","",IF(AE1373="직접",IFERROR(INDEX(계정매핑!$F$5:$F$504,MATCH($F1373&amp;"",계정매핑!$A$5:$A$504,0))&amp;"","비귀속"),""))</f>
        <v/>
      </c>
      <c r="AG1373" s="96">
        <f>IF($A1373="",0,IF(AND(AE1373&lt;&gt;"직접",IFERROR(INDEX(계정매핑!$G$5:$G$504,MATCH($F1373&amp;"",계정매핑!$A$5:$A$504,0))&amp;"","")="유지비",COUNTIF(계정대체기준!$A$6:$A$15,$N1373)&gt;0),IFERROR(INDEX(계정대체기준!$E$6:$E$15,MATCH(VALUE($A1373&amp;""),계정대체기준!$D$6:$D$15,0)),0),0))</f>
        <v/>
      </c>
      <c r="AH1373" s="64">
        <f>IF($A1373="","",IF(AD1373=0,"",IF(OR(COUNTIF(계정대체기준!$A$77:$A$86,$N1373)&gt;0,ISNUMBER(MATCH($X1373,계정대체기준!$D$77:$D$86,0)),ISNUMBER(MATCH($F1373,계정대체기준!$D$77:$D$86,0))),"Y","N")))</f>
        <v/>
      </c>
    </row>
    <row r="1374">
      <c r="A1374" s="92" t="n">
        <v>2025</v>
      </c>
      <c r="B1374" s="92" t="n">
        <v>7</v>
      </c>
      <c r="C1374" s="92" t="inlineStr">
        <is>
          <t>5100001370</t>
        </is>
      </c>
      <c r="D1374" s="95" t="n">
        <v>45840</v>
      </c>
      <c r="E1374" s="92" t="inlineStr">
        <is>
          <t>KR</t>
        </is>
      </c>
      <c r="F1374" s="92" t="n">
        <v>63501000</v>
      </c>
      <c r="G1374" s="92" t="n">
        <v>1901</v>
      </c>
      <c r="H1374" s="93" t="n">
        <v>535881000</v>
      </c>
      <c r="I1374" s="92" t="inlineStr">
        <is>
          <t>7월 모집수수료 - (전속설계사)</t>
        </is>
      </c>
      <c r="J1374" s="92" t="inlineStr">
        <is>
          <t>V10021</t>
        </is>
      </c>
      <c r="K1374" s="92" t="inlineStr">
        <is>
          <t>(전속설계사)</t>
        </is>
      </c>
      <c r="M1374" s="9">
        <f>IF($A1374="","",VALUE($A1374&amp;"")*12+VALUE($B1374&amp;""))</f>
        <v/>
      </c>
      <c r="N1374" s="64">
        <f>IF($A1374="","",IFERROR(INDEX(부서매핑!$C$5:$C$504,MATCH($G1374&amp;"",부서매핑!$A$5:$A$504,0)),"미매핑"))</f>
        <v/>
      </c>
      <c r="O1374" s="9">
        <f>IF($A1374="","",N1374&amp;"|"&amp;$F1374)</f>
        <v/>
      </c>
      <c r="P1374" s="94">
        <f>IF($A1374="",0,$H1374*설정!$C$23)</f>
        <v/>
      </c>
      <c r="Q1374" s="64">
        <f>IF($A1374="","",IF(O1374&lt;&gt;원인분석!$C$9,"",IF(AND(M1374&gt;=원인분석!$C$10,M1374&lt;=원인분석!$C$11),"당기",IF(AND(M1374&gt;=원인분석!$C$12,M1374&lt;=원인분석!$C$13),"비교",""))))</f>
        <v/>
      </c>
      <c r="R1374" s="9">
        <f>IF(Q1374="","",$K1374&amp;"")</f>
        <v/>
      </c>
      <c r="S1374" s="9">
        <f>IF(Q1374="","",IF(MATCH(R1374,$R$5:$R$100000,0)=ROW()-4,ROW(),""))</f>
        <v/>
      </c>
      <c r="T1374" s="9">
        <f>IF(Q1374="당기",ABS(P1374)+ROW()/1000000000,"")</f>
        <v/>
      </c>
      <c r="U1374" s="9">
        <f>IF(Q1374="비교",ABS(P1374)+ROW()/1000000000,"")</f>
        <v/>
      </c>
      <c r="V1374" s="64">
        <f>IF($A1374="","",IF(COUNTIF(변동분석!$E$7:$E$506,O1374)&gt;0,"Y","N"))</f>
        <v/>
      </c>
      <c r="W1374" s="64">
        <f>IF($A1374="","",IFERROR(INDEX(계정매핑!$D$5:$D$504,MATCH($F1374&amp;"",계정매핑!$A$5:$A$504,0)),"미매핑"))</f>
        <v/>
      </c>
      <c r="X1374" s="9">
        <f>IF($A1374="","",$F1374&amp;"")</f>
        <v/>
      </c>
      <c r="Y1374" s="94">
        <f>IF($A1374="",0,IF(AE1374="직접",IF(AF1374="비귀속",$P1374,0),$P1374*(1-AG1374)*IFERROR(INDEX(계정대체기준!$F$20:$F$49,MATCH($N1374,계정대체기준!$A$20:$A$49,0)),1)))</f>
        <v/>
      </c>
      <c r="Z1374" s="94">
        <f>IF($A1374="",0,IF(AE1374="직접",IF(AF1374="신계약비",$P1374,0),$P1374*(1-AG1374)*IFERROR(INDEX(계정대체기준!$C$20:$C$49,MATCH($N1374,계정대체기준!$A$20:$A$49,0)),0)))</f>
        <v/>
      </c>
      <c r="AA1374" s="94">
        <f>IF($A1374="",0,IF(AE1374="직접",IF(OR(AF1374="유지비",AF1374="손해조사비"),$P1374,0),$P1374*(1-AG1374)*IFERROR(INDEX(계정대체기준!$D$20:$D$49,MATCH($N1374,계정대체기준!$A$20:$A$49,0)),0)))</f>
        <v/>
      </c>
      <c r="AB1374" s="94">
        <f>IF($A1374="",0,IF(AE1374="직접",IF(AF1374="수금비",$P1374,0),$P1374*(1-AG1374)*IFERROR(INDEX(계정대체기준!$E$20:$E$49,MATCH($N1374,계정대체기준!$A$20:$A$49,0)),0)))</f>
        <v/>
      </c>
      <c r="AC1374" s="9">
        <f>IF(AND($A1374&lt;&gt;"",M1374=설정!$C$20,Z1374&gt;0),Z1374+ROW()/1000000000,"")</f>
        <v/>
      </c>
      <c r="AD1374" s="94">
        <f>IF($A1374="",0,$P1374*AG1374)</f>
        <v/>
      </c>
      <c r="AE1374" s="64">
        <f>IF($A1374="","",IFERROR(INDEX(계정매핑!$E$5:$E$504,MATCH($F1374&amp;"",계정매핑!$A$5:$A$504,0))&amp;"","공통비"))</f>
        <v/>
      </c>
      <c r="AF1374" s="64">
        <f>IF($A1374="","",IF(AE1374="직접",IFERROR(INDEX(계정매핑!$F$5:$F$504,MATCH($F1374&amp;"",계정매핑!$A$5:$A$504,0))&amp;"","비귀속"),""))</f>
        <v/>
      </c>
      <c r="AG1374" s="96">
        <f>IF($A1374="",0,IF(AND(AE1374&lt;&gt;"직접",IFERROR(INDEX(계정매핑!$G$5:$G$504,MATCH($F1374&amp;"",계정매핑!$A$5:$A$504,0))&amp;"","")="유지비",COUNTIF(계정대체기준!$A$6:$A$15,$N1374)&gt;0),IFERROR(INDEX(계정대체기준!$E$6:$E$15,MATCH(VALUE($A1374&amp;""),계정대체기준!$D$6:$D$15,0)),0),0))</f>
        <v/>
      </c>
      <c r="AH1374" s="64">
        <f>IF($A1374="","",IF(AD1374=0,"",IF(OR(COUNTIF(계정대체기준!$A$77:$A$86,$N1374)&gt;0,ISNUMBER(MATCH($X1374,계정대체기준!$D$77:$D$86,0)),ISNUMBER(MATCH($F1374,계정대체기준!$D$77:$D$86,0))),"Y","N")))</f>
        <v/>
      </c>
    </row>
    <row r="1375">
      <c r="A1375" s="92" t="n">
        <v>2025</v>
      </c>
      <c r="B1375" s="92" t="n">
        <v>7</v>
      </c>
      <c r="C1375" s="92" t="inlineStr">
        <is>
          <t>5100001371</t>
        </is>
      </c>
      <c r="D1375" s="95" t="n">
        <v>45841</v>
      </c>
      <c r="E1375" s="92" t="inlineStr">
        <is>
          <t>KR</t>
        </is>
      </c>
      <c r="F1375" s="92" t="n">
        <v>62101000</v>
      </c>
      <c r="G1375" s="92" t="n">
        <v>1301</v>
      </c>
      <c r="H1375" s="93" t="n">
        <v>243000</v>
      </c>
      <c r="I1375" s="92" t="inlineStr">
        <is>
          <t>7월 국내출장 - L여행사</t>
        </is>
      </c>
      <c r="J1375" s="92" t="inlineStr">
        <is>
          <t>V10018</t>
        </is>
      </c>
      <c r="K1375" s="92" t="inlineStr">
        <is>
          <t>L여행사</t>
        </is>
      </c>
      <c r="M1375" s="9">
        <f>IF($A1375="","",VALUE($A1375&amp;"")*12+VALUE($B1375&amp;""))</f>
        <v/>
      </c>
      <c r="N1375" s="64">
        <f>IF($A1375="","",IFERROR(INDEX(부서매핑!$C$5:$C$504,MATCH($G1375&amp;"",부서매핑!$A$5:$A$504,0)),"미매핑"))</f>
        <v/>
      </c>
      <c r="O1375" s="9">
        <f>IF($A1375="","",N1375&amp;"|"&amp;$F1375)</f>
        <v/>
      </c>
      <c r="P1375" s="94">
        <f>IF($A1375="",0,$H1375*설정!$C$23)</f>
        <v/>
      </c>
      <c r="Q1375" s="64">
        <f>IF($A1375="","",IF(O1375&lt;&gt;원인분석!$C$9,"",IF(AND(M1375&gt;=원인분석!$C$10,M1375&lt;=원인분석!$C$11),"당기",IF(AND(M1375&gt;=원인분석!$C$12,M1375&lt;=원인분석!$C$13),"비교",""))))</f>
        <v/>
      </c>
      <c r="R1375" s="9">
        <f>IF(Q1375="","",$K1375&amp;"")</f>
        <v/>
      </c>
      <c r="S1375" s="9">
        <f>IF(Q1375="","",IF(MATCH(R1375,$R$5:$R$100000,0)=ROW()-4,ROW(),""))</f>
        <v/>
      </c>
      <c r="T1375" s="9">
        <f>IF(Q1375="당기",ABS(P1375)+ROW()/1000000000,"")</f>
        <v/>
      </c>
      <c r="U1375" s="9">
        <f>IF(Q1375="비교",ABS(P1375)+ROW()/1000000000,"")</f>
        <v/>
      </c>
      <c r="V1375" s="64">
        <f>IF($A1375="","",IF(COUNTIF(변동분석!$E$7:$E$506,O1375)&gt;0,"Y","N"))</f>
        <v/>
      </c>
      <c r="W1375" s="64">
        <f>IF($A1375="","",IFERROR(INDEX(계정매핑!$D$5:$D$504,MATCH($F1375&amp;"",계정매핑!$A$5:$A$504,0)),"미매핑"))</f>
        <v/>
      </c>
      <c r="X1375" s="9">
        <f>IF($A1375="","",$F1375&amp;"")</f>
        <v/>
      </c>
      <c r="Y1375" s="94">
        <f>IF($A1375="",0,IF(AE1375="직접",IF(AF1375="비귀속",$P1375,0),$P1375*(1-AG1375)*IFERROR(INDEX(계정대체기준!$F$20:$F$49,MATCH($N1375,계정대체기준!$A$20:$A$49,0)),1)))</f>
        <v/>
      </c>
      <c r="Z1375" s="94">
        <f>IF($A1375="",0,IF(AE1375="직접",IF(AF1375="신계약비",$P1375,0),$P1375*(1-AG1375)*IFERROR(INDEX(계정대체기준!$C$20:$C$49,MATCH($N1375,계정대체기준!$A$20:$A$49,0)),0)))</f>
        <v/>
      </c>
      <c r="AA1375" s="94">
        <f>IF($A1375="",0,IF(AE1375="직접",IF(OR(AF1375="유지비",AF1375="손해조사비"),$P1375,0),$P1375*(1-AG1375)*IFERROR(INDEX(계정대체기준!$D$20:$D$49,MATCH($N1375,계정대체기준!$A$20:$A$49,0)),0)))</f>
        <v/>
      </c>
      <c r="AB1375" s="94">
        <f>IF($A1375="",0,IF(AE1375="직접",IF(AF1375="수금비",$P1375,0),$P1375*(1-AG1375)*IFERROR(INDEX(계정대체기준!$E$20:$E$49,MATCH($N1375,계정대체기준!$A$20:$A$49,0)),0)))</f>
        <v/>
      </c>
      <c r="AC1375" s="9">
        <f>IF(AND($A1375&lt;&gt;"",M1375=설정!$C$20,Z1375&gt;0),Z1375+ROW()/1000000000,"")</f>
        <v/>
      </c>
      <c r="AD1375" s="94">
        <f>IF($A1375="",0,$P1375*AG1375)</f>
        <v/>
      </c>
      <c r="AE1375" s="64">
        <f>IF($A1375="","",IFERROR(INDEX(계정매핑!$E$5:$E$504,MATCH($F1375&amp;"",계정매핑!$A$5:$A$504,0))&amp;"","공통비"))</f>
        <v/>
      </c>
      <c r="AF1375" s="64">
        <f>IF($A1375="","",IF(AE1375="직접",IFERROR(INDEX(계정매핑!$F$5:$F$504,MATCH($F1375&amp;"",계정매핑!$A$5:$A$504,0))&amp;"","비귀속"),""))</f>
        <v/>
      </c>
      <c r="AG1375" s="96">
        <f>IF($A1375="",0,IF(AND(AE1375&lt;&gt;"직접",IFERROR(INDEX(계정매핑!$G$5:$G$504,MATCH($F1375&amp;"",계정매핑!$A$5:$A$504,0))&amp;"","")="유지비",COUNTIF(계정대체기준!$A$6:$A$15,$N1375)&gt;0),IFERROR(INDEX(계정대체기준!$E$6:$E$15,MATCH(VALUE($A1375&amp;""),계정대체기준!$D$6:$D$15,0)),0),0))</f>
        <v/>
      </c>
      <c r="AH1375" s="64">
        <f>IF($A1375="","",IF(AD1375=0,"",IF(OR(COUNTIF(계정대체기준!$A$77:$A$86,$N1375)&gt;0,ISNUMBER(MATCH($X1375,계정대체기준!$D$77:$D$86,0)),ISNUMBER(MATCH($F1375,계정대체기준!$D$77:$D$86,0))),"Y","N")))</f>
        <v/>
      </c>
    </row>
    <row r="1376">
      <c r="A1376" s="92" t="n">
        <v>2025</v>
      </c>
      <c r="B1376" s="92" t="n">
        <v>7</v>
      </c>
      <c r="C1376" s="92" t="inlineStr">
        <is>
          <t>5100001372</t>
        </is>
      </c>
      <c r="D1376" s="95" t="n">
        <v>45841</v>
      </c>
      <c r="E1376" s="92" t="inlineStr">
        <is>
          <t>KR</t>
        </is>
      </c>
      <c r="F1376" s="92" t="n">
        <v>62101000</v>
      </c>
      <c r="G1376" s="92" t="n">
        <v>1301</v>
      </c>
      <c r="H1376" s="93" t="n">
        <v>203000</v>
      </c>
      <c r="I1376" s="92" t="inlineStr">
        <is>
          <t>7월 국내출장 - M항공</t>
        </is>
      </c>
      <c r="J1376" s="92" t="inlineStr">
        <is>
          <t>V10001</t>
        </is>
      </c>
      <c r="K1376" s="92" t="inlineStr">
        <is>
          <t>M항공</t>
        </is>
      </c>
      <c r="M1376" s="9">
        <f>IF($A1376="","",VALUE($A1376&amp;"")*12+VALUE($B1376&amp;""))</f>
        <v/>
      </c>
      <c r="N1376" s="64">
        <f>IF($A1376="","",IFERROR(INDEX(부서매핑!$C$5:$C$504,MATCH($G1376&amp;"",부서매핑!$A$5:$A$504,0)),"미매핑"))</f>
        <v/>
      </c>
      <c r="O1376" s="9">
        <f>IF($A1376="","",N1376&amp;"|"&amp;$F1376)</f>
        <v/>
      </c>
      <c r="P1376" s="94">
        <f>IF($A1376="",0,$H1376*설정!$C$23)</f>
        <v/>
      </c>
      <c r="Q1376" s="64">
        <f>IF($A1376="","",IF(O1376&lt;&gt;원인분석!$C$9,"",IF(AND(M1376&gt;=원인분석!$C$10,M1376&lt;=원인분석!$C$11),"당기",IF(AND(M1376&gt;=원인분석!$C$12,M1376&lt;=원인분석!$C$13),"비교",""))))</f>
        <v/>
      </c>
      <c r="R1376" s="9">
        <f>IF(Q1376="","",$K1376&amp;"")</f>
        <v/>
      </c>
      <c r="S1376" s="9">
        <f>IF(Q1376="","",IF(MATCH(R1376,$R$5:$R$100000,0)=ROW()-4,ROW(),""))</f>
        <v/>
      </c>
      <c r="T1376" s="9">
        <f>IF(Q1376="당기",ABS(P1376)+ROW()/1000000000,"")</f>
        <v/>
      </c>
      <c r="U1376" s="9">
        <f>IF(Q1376="비교",ABS(P1376)+ROW()/1000000000,"")</f>
        <v/>
      </c>
      <c r="V1376" s="64">
        <f>IF($A1376="","",IF(COUNTIF(변동분석!$E$7:$E$506,O1376)&gt;0,"Y","N"))</f>
        <v/>
      </c>
      <c r="W1376" s="64">
        <f>IF($A1376="","",IFERROR(INDEX(계정매핑!$D$5:$D$504,MATCH($F1376&amp;"",계정매핑!$A$5:$A$504,0)),"미매핑"))</f>
        <v/>
      </c>
      <c r="X1376" s="9">
        <f>IF($A1376="","",$F1376&amp;"")</f>
        <v/>
      </c>
      <c r="Y1376" s="94">
        <f>IF($A1376="",0,IF(AE1376="직접",IF(AF1376="비귀속",$P1376,0),$P1376*(1-AG1376)*IFERROR(INDEX(계정대체기준!$F$20:$F$49,MATCH($N1376,계정대체기준!$A$20:$A$49,0)),1)))</f>
        <v/>
      </c>
      <c r="Z1376" s="94">
        <f>IF($A1376="",0,IF(AE1376="직접",IF(AF1376="신계약비",$P1376,0),$P1376*(1-AG1376)*IFERROR(INDEX(계정대체기준!$C$20:$C$49,MATCH($N1376,계정대체기준!$A$20:$A$49,0)),0)))</f>
        <v/>
      </c>
      <c r="AA1376" s="94">
        <f>IF($A1376="",0,IF(AE1376="직접",IF(OR(AF1376="유지비",AF1376="손해조사비"),$P1376,0),$P1376*(1-AG1376)*IFERROR(INDEX(계정대체기준!$D$20:$D$49,MATCH($N1376,계정대체기준!$A$20:$A$49,0)),0)))</f>
        <v/>
      </c>
      <c r="AB1376" s="94">
        <f>IF($A1376="",0,IF(AE1376="직접",IF(AF1376="수금비",$P1376,0),$P1376*(1-AG1376)*IFERROR(INDEX(계정대체기준!$E$20:$E$49,MATCH($N1376,계정대체기준!$A$20:$A$49,0)),0)))</f>
        <v/>
      </c>
      <c r="AC1376" s="9">
        <f>IF(AND($A1376&lt;&gt;"",M1376=설정!$C$20,Z1376&gt;0),Z1376+ROW()/1000000000,"")</f>
        <v/>
      </c>
      <c r="AD1376" s="94">
        <f>IF($A1376="",0,$P1376*AG1376)</f>
        <v/>
      </c>
      <c r="AE1376" s="64">
        <f>IF($A1376="","",IFERROR(INDEX(계정매핑!$E$5:$E$504,MATCH($F1376&amp;"",계정매핑!$A$5:$A$504,0))&amp;"","공통비"))</f>
        <v/>
      </c>
      <c r="AF1376" s="64">
        <f>IF($A1376="","",IF(AE1376="직접",IFERROR(INDEX(계정매핑!$F$5:$F$504,MATCH($F1376&amp;"",계정매핑!$A$5:$A$504,0))&amp;"","비귀속"),""))</f>
        <v/>
      </c>
      <c r="AG1376" s="96">
        <f>IF($A1376="",0,IF(AND(AE1376&lt;&gt;"직접",IFERROR(INDEX(계정매핑!$G$5:$G$504,MATCH($F1376&amp;"",계정매핑!$A$5:$A$504,0))&amp;"","")="유지비",COUNTIF(계정대체기준!$A$6:$A$15,$N1376)&gt;0),IFERROR(INDEX(계정대체기준!$E$6:$E$15,MATCH(VALUE($A1376&amp;""),계정대체기준!$D$6:$D$15,0)),0),0))</f>
        <v/>
      </c>
      <c r="AH1376" s="64">
        <f>IF($A1376="","",IF(AD1376=0,"",IF(OR(COUNTIF(계정대체기준!$A$77:$A$86,$N1376)&gt;0,ISNUMBER(MATCH($X1376,계정대체기준!$D$77:$D$86,0)),ISNUMBER(MATCH($F1376,계정대체기준!$D$77:$D$86,0))),"Y","N")))</f>
        <v/>
      </c>
    </row>
    <row r="1377">
      <c r="A1377" s="92" t="n">
        <v>2025</v>
      </c>
      <c r="B1377" s="92" t="n">
        <v>7</v>
      </c>
      <c r="C1377" s="92" t="inlineStr">
        <is>
          <t>5100001373</t>
        </is>
      </c>
      <c r="D1377" s="95" t="n">
        <v>45841</v>
      </c>
      <c r="E1377" s="92" t="inlineStr">
        <is>
          <t>KR</t>
        </is>
      </c>
      <c r="F1377" s="92" t="n">
        <v>62101000</v>
      </c>
      <c r="G1377" s="92" t="n">
        <v>1502</v>
      </c>
      <c r="H1377" s="93" t="n">
        <v>465000</v>
      </c>
      <c r="I1377" s="92" t="inlineStr">
        <is>
          <t>7월 국내출장 - (법인카드)</t>
        </is>
      </c>
      <c r="J1377" s="92" t="inlineStr">
        <is>
          <t>V10010</t>
        </is>
      </c>
      <c r="K1377" s="92" t="inlineStr">
        <is>
          <t>(법인카드)</t>
        </is>
      </c>
      <c r="M1377" s="9">
        <f>IF($A1377="","",VALUE($A1377&amp;"")*12+VALUE($B1377&amp;""))</f>
        <v/>
      </c>
      <c r="N1377" s="64">
        <f>IF($A1377="","",IFERROR(INDEX(부서매핑!$C$5:$C$504,MATCH($G1377&amp;"",부서매핑!$A$5:$A$504,0)),"미매핑"))</f>
        <v/>
      </c>
      <c r="O1377" s="9">
        <f>IF($A1377="","",N1377&amp;"|"&amp;$F1377)</f>
        <v/>
      </c>
      <c r="P1377" s="94">
        <f>IF($A1377="",0,$H1377*설정!$C$23)</f>
        <v/>
      </c>
      <c r="Q1377" s="64">
        <f>IF($A1377="","",IF(O1377&lt;&gt;원인분석!$C$9,"",IF(AND(M1377&gt;=원인분석!$C$10,M1377&lt;=원인분석!$C$11),"당기",IF(AND(M1377&gt;=원인분석!$C$12,M1377&lt;=원인분석!$C$13),"비교",""))))</f>
        <v/>
      </c>
      <c r="R1377" s="9">
        <f>IF(Q1377="","",$K1377&amp;"")</f>
        <v/>
      </c>
      <c r="S1377" s="9">
        <f>IF(Q1377="","",IF(MATCH(R1377,$R$5:$R$100000,0)=ROW()-4,ROW(),""))</f>
        <v/>
      </c>
      <c r="T1377" s="9">
        <f>IF(Q1377="당기",ABS(P1377)+ROW()/1000000000,"")</f>
        <v/>
      </c>
      <c r="U1377" s="9">
        <f>IF(Q1377="비교",ABS(P1377)+ROW()/1000000000,"")</f>
        <v/>
      </c>
      <c r="V1377" s="64">
        <f>IF($A1377="","",IF(COUNTIF(변동분석!$E$7:$E$506,O1377)&gt;0,"Y","N"))</f>
        <v/>
      </c>
      <c r="W1377" s="64">
        <f>IF($A1377="","",IFERROR(INDEX(계정매핑!$D$5:$D$504,MATCH($F1377&amp;"",계정매핑!$A$5:$A$504,0)),"미매핑"))</f>
        <v/>
      </c>
      <c r="X1377" s="9">
        <f>IF($A1377="","",$F1377&amp;"")</f>
        <v/>
      </c>
      <c r="Y1377" s="94">
        <f>IF($A1377="",0,IF(AE1377="직접",IF(AF1377="비귀속",$P1377,0),$P1377*(1-AG1377)*IFERROR(INDEX(계정대체기준!$F$20:$F$49,MATCH($N1377,계정대체기준!$A$20:$A$49,0)),1)))</f>
        <v/>
      </c>
      <c r="Z1377" s="94">
        <f>IF($A1377="",0,IF(AE1377="직접",IF(AF1377="신계약비",$P1377,0),$P1377*(1-AG1377)*IFERROR(INDEX(계정대체기준!$C$20:$C$49,MATCH($N1377,계정대체기준!$A$20:$A$49,0)),0)))</f>
        <v/>
      </c>
      <c r="AA1377" s="94">
        <f>IF($A1377="",0,IF(AE1377="직접",IF(OR(AF1377="유지비",AF1377="손해조사비"),$P1377,0),$P1377*(1-AG1377)*IFERROR(INDEX(계정대체기준!$D$20:$D$49,MATCH($N1377,계정대체기준!$A$20:$A$49,0)),0)))</f>
        <v/>
      </c>
      <c r="AB1377" s="94">
        <f>IF($A1377="",0,IF(AE1377="직접",IF(AF1377="수금비",$P1377,0),$P1377*(1-AG1377)*IFERROR(INDEX(계정대체기준!$E$20:$E$49,MATCH($N1377,계정대체기준!$A$20:$A$49,0)),0)))</f>
        <v/>
      </c>
      <c r="AC1377" s="9">
        <f>IF(AND($A1377&lt;&gt;"",M1377=설정!$C$20,Z1377&gt;0),Z1377+ROW()/1000000000,"")</f>
        <v/>
      </c>
      <c r="AD1377" s="94">
        <f>IF($A1377="",0,$P1377*AG1377)</f>
        <v/>
      </c>
      <c r="AE1377" s="64">
        <f>IF($A1377="","",IFERROR(INDEX(계정매핑!$E$5:$E$504,MATCH($F1377&amp;"",계정매핑!$A$5:$A$504,0))&amp;"","공통비"))</f>
        <v/>
      </c>
      <c r="AF1377" s="64">
        <f>IF($A1377="","",IF(AE1377="직접",IFERROR(INDEX(계정매핑!$F$5:$F$504,MATCH($F1377&amp;"",계정매핑!$A$5:$A$504,0))&amp;"","비귀속"),""))</f>
        <v/>
      </c>
      <c r="AG1377" s="96">
        <f>IF($A1377="",0,IF(AND(AE1377&lt;&gt;"직접",IFERROR(INDEX(계정매핑!$G$5:$G$504,MATCH($F1377&amp;"",계정매핑!$A$5:$A$504,0))&amp;"","")="유지비",COUNTIF(계정대체기준!$A$6:$A$15,$N1377)&gt;0),IFERROR(INDEX(계정대체기준!$E$6:$E$15,MATCH(VALUE($A1377&amp;""),계정대체기준!$D$6:$D$15,0)),0),0))</f>
        <v/>
      </c>
      <c r="AH1377" s="64">
        <f>IF($A1377="","",IF(AD1377=0,"",IF(OR(COUNTIF(계정대체기준!$A$77:$A$86,$N1377)&gt;0,ISNUMBER(MATCH($X1377,계정대체기준!$D$77:$D$86,0)),ISNUMBER(MATCH($F1377,계정대체기준!$D$77:$D$86,0))),"Y","N")))</f>
        <v/>
      </c>
    </row>
    <row r="1378">
      <c r="A1378" s="92" t="n">
        <v>2025</v>
      </c>
      <c r="B1378" s="92" t="n">
        <v>7</v>
      </c>
      <c r="C1378" s="92" t="inlineStr">
        <is>
          <t>5100001374</t>
        </is>
      </c>
      <c r="D1378" s="95" t="n">
        <v>45841</v>
      </c>
      <c r="E1378" s="92" t="inlineStr">
        <is>
          <t>KR</t>
        </is>
      </c>
      <c r="F1378" s="92" t="n">
        <v>62101000</v>
      </c>
      <c r="G1378" s="92" t="n">
        <v>1602</v>
      </c>
      <c r="H1378" s="93" t="n">
        <v>914000</v>
      </c>
      <c r="I1378" s="92" t="inlineStr">
        <is>
          <t>7월 국내출장 - (법인카드)</t>
        </is>
      </c>
      <c r="J1378" s="92" t="inlineStr">
        <is>
          <t>V10010</t>
        </is>
      </c>
      <c r="K1378" s="92" t="inlineStr">
        <is>
          <t>(법인카드)</t>
        </is>
      </c>
      <c r="M1378" s="9">
        <f>IF($A1378="","",VALUE($A1378&amp;"")*12+VALUE($B1378&amp;""))</f>
        <v/>
      </c>
      <c r="N1378" s="64">
        <f>IF($A1378="","",IFERROR(INDEX(부서매핑!$C$5:$C$504,MATCH($G1378&amp;"",부서매핑!$A$5:$A$504,0)),"미매핑"))</f>
        <v/>
      </c>
      <c r="O1378" s="9">
        <f>IF($A1378="","",N1378&amp;"|"&amp;$F1378)</f>
        <v/>
      </c>
      <c r="P1378" s="94">
        <f>IF($A1378="",0,$H1378*설정!$C$23)</f>
        <v/>
      </c>
      <c r="Q1378" s="64">
        <f>IF($A1378="","",IF(O1378&lt;&gt;원인분석!$C$9,"",IF(AND(M1378&gt;=원인분석!$C$10,M1378&lt;=원인분석!$C$11),"당기",IF(AND(M1378&gt;=원인분석!$C$12,M1378&lt;=원인분석!$C$13),"비교",""))))</f>
        <v/>
      </c>
      <c r="R1378" s="9">
        <f>IF(Q1378="","",$K1378&amp;"")</f>
        <v/>
      </c>
      <c r="S1378" s="9">
        <f>IF(Q1378="","",IF(MATCH(R1378,$R$5:$R$100000,0)=ROW()-4,ROW(),""))</f>
        <v/>
      </c>
      <c r="T1378" s="9">
        <f>IF(Q1378="당기",ABS(P1378)+ROW()/1000000000,"")</f>
        <v/>
      </c>
      <c r="U1378" s="9">
        <f>IF(Q1378="비교",ABS(P1378)+ROW()/1000000000,"")</f>
        <v/>
      </c>
      <c r="V1378" s="64">
        <f>IF($A1378="","",IF(COUNTIF(변동분석!$E$7:$E$506,O1378)&gt;0,"Y","N"))</f>
        <v/>
      </c>
      <c r="W1378" s="64">
        <f>IF($A1378="","",IFERROR(INDEX(계정매핑!$D$5:$D$504,MATCH($F1378&amp;"",계정매핑!$A$5:$A$504,0)),"미매핑"))</f>
        <v/>
      </c>
      <c r="X1378" s="9">
        <f>IF($A1378="","",$F1378&amp;"")</f>
        <v/>
      </c>
      <c r="Y1378" s="94">
        <f>IF($A1378="",0,IF(AE1378="직접",IF(AF1378="비귀속",$P1378,0),$P1378*(1-AG1378)*IFERROR(INDEX(계정대체기준!$F$20:$F$49,MATCH($N1378,계정대체기준!$A$20:$A$49,0)),1)))</f>
        <v/>
      </c>
      <c r="Z1378" s="94">
        <f>IF($A1378="",0,IF(AE1378="직접",IF(AF1378="신계약비",$P1378,0),$P1378*(1-AG1378)*IFERROR(INDEX(계정대체기준!$C$20:$C$49,MATCH($N1378,계정대체기준!$A$20:$A$49,0)),0)))</f>
        <v/>
      </c>
      <c r="AA1378" s="94">
        <f>IF($A1378="",0,IF(AE1378="직접",IF(OR(AF1378="유지비",AF1378="손해조사비"),$P1378,0),$P1378*(1-AG1378)*IFERROR(INDEX(계정대체기준!$D$20:$D$49,MATCH($N1378,계정대체기준!$A$20:$A$49,0)),0)))</f>
        <v/>
      </c>
      <c r="AB1378" s="94">
        <f>IF($A1378="",0,IF(AE1378="직접",IF(AF1378="수금비",$P1378,0),$P1378*(1-AG1378)*IFERROR(INDEX(계정대체기준!$E$20:$E$49,MATCH($N1378,계정대체기준!$A$20:$A$49,0)),0)))</f>
        <v/>
      </c>
      <c r="AC1378" s="9">
        <f>IF(AND($A1378&lt;&gt;"",M1378=설정!$C$20,Z1378&gt;0),Z1378+ROW()/1000000000,"")</f>
        <v/>
      </c>
      <c r="AD1378" s="94">
        <f>IF($A1378="",0,$P1378*AG1378)</f>
        <v/>
      </c>
      <c r="AE1378" s="64">
        <f>IF($A1378="","",IFERROR(INDEX(계정매핑!$E$5:$E$504,MATCH($F1378&amp;"",계정매핑!$A$5:$A$504,0))&amp;"","공통비"))</f>
        <v/>
      </c>
      <c r="AF1378" s="64">
        <f>IF($A1378="","",IF(AE1378="직접",IFERROR(INDEX(계정매핑!$F$5:$F$504,MATCH($F1378&amp;"",계정매핑!$A$5:$A$504,0))&amp;"","비귀속"),""))</f>
        <v/>
      </c>
      <c r="AG1378" s="96">
        <f>IF($A1378="",0,IF(AND(AE1378&lt;&gt;"직접",IFERROR(INDEX(계정매핑!$G$5:$G$504,MATCH($F1378&amp;"",계정매핑!$A$5:$A$504,0))&amp;"","")="유지비",COUNTIF(계정대체기준!$A$6:$A$15,$N1378)&gt;0),IFERROR(INDEX(계정대체기준!$E$6:$E$15,MATCH(VALUE($A1378&amp;""),계정대체기준!$D$6:$D$15,0)),0),0))</f>
        <v/>
      </c>
      <c r="AH1378" s="64">
        <f>IF($A1378="","",IF(AD1378=0,"",IF(OR(COUNTIF(계정대체기준!$A$77:$A$86,$N1378)&gt;0,ISNUMBER(MATCH($X1378,계정대체기준!$D$77:$D$86,0)),ISNUMBER(MATCH($F1378,계정대체기준!$D$77:$D$86,0))),"Y","N")))</f>
        <v/>
      </c>
    </row>
    <row r="1379">
      <c r="A1379" s="92" t="n">
        <v>2025</v>
      </c>
      <c r="B1379" s="92" t="n">
        <v>7</v>
      </c>
      <c r="C1379" s="92" t="inlineStr">
        <is>
          <t>5100001375</t>
        </is>
      </c>
      <c r="D1379" s="95" t="n">
        <v>45841</v>
      </c>
      <c r="E1379" s="92" t="inlineStr">
        <is>
          <t>KR</t>
        </is>
      </c>
      <c r="F1379" s="92" t="n">
        <v>62101000</v>
      </c>
      <c r="G1379" s="92" t="n">
        <v>1701</v>
      </c>
      <c r="H1379" s="93" t="n">
        <v>276000</v>
      </c>
      <c r="I1379" s="92" t="inlineStr">
        <is>
          <t>7월 국내출장 - M항공</t>
        </is>
      </c>
      <c r="J1379" s="92" t="inlineStr">
        <is>
          <t>V10001</t>
        </is>
      </c>
      <c r="K1379" s="92" t="inlineStr">
        <is>
          <t>M항공</t>
        </is>
      </c>
      <c r="M1379" s="9">
        <f>IF($A1379="","",VALUE($A1379&amp;"")*12+VALUE($B1379&amp;""))</f>
        <v/>
      </c>
      <c r="N1379" s="64">
        <f>IF($A1379="","",IFERROR(INDEX(부서매핑!$C$5:$C$504,MATCH($G1379&amp;"",부서매핑!$A$5:$A$504,0)),"미매핑"))</f>
        <v/>
      </c>
      <c r="O1379" s="9">
        <f>IF($A1379="","",N1379&amp;"|"&amp;$F1379)</f>
        <v/>
      </c>
      <c r="P1379" s="94">
        <f>IF($A1379="",0,$H1379*설정!$C$23)</f>
        <v/>
      </c>
      <c r="Q1379" s="64">
        <f>IF($A1379="","",IF(O1379&lt;&gt;원인분석!$C$9,"",IF(AND(M1379&gt;=원인분석!$C$10,M1379&lt;=원인분석!$C$11),"당기",IF(AND(M1379&gt;=원인분석!$C$12,M1379&lt;=원인분석!$C$13),"비교",""))))</f>
        <v/>
      </c>
      <c r="R1379" s="9">
        <f>IF(Q1379="","",$K1379&amp;"")</f>
        <v/>
      </c>
      <c r="S1379" s="9">
        <f>IF(Q1379="","",IF(MATCH(R1379,$R$5:$R$100000,0)=ROW()-4,ROW(),""))</f>
        <v/>
      </c>
      <c r="T1379" s="9">
        <f>IF(Q1379="당기",ABS(P1379)+ROW()/1000000000,"")</f>
        <v/>
      </c>
      <c r="U1379" s="9">
        <f>IF(Q1379="비교",ABS(P1379)+ROW()/1000000000,"")</f>
        <v/>
      </c>
      <c r="V1379" s="64">
        <f>IF($A1379="","",IF(COUNTIF(변동분석!$E$7:$E$506,O1379)&gt;0,"Y","N"))</f>
        <v/>
      </c>
      <c r="W1379" s="64">
        <f>IF($A1379="","",IFERROR(INDEX(계정매핑!$D$5:$D$504,MATCH($F1379&amp;"",계정매핑!$A$5:$A$504,0)),"미매핑"))</f>
        <v/>
      </c>
      <c r="X1379" s="9">
        <f>IF($A1379="","",$F1379&amp;"")</f>
        <v/>
      </c>
      <c r="Y1379" s="94">
        <f>IF($A1379="",0,IF(AE1379="직접",IF(AF1379="비귀속",$P1379,0),$P1379*(1-AG1379)*IFERROR(INDEX(계정대체기준!$F$20:$F$49,MATCH($N1379,계정대체기준!$A$20:$A$49,0)),1)))</f>
        <v/>
      </c>
      <c r="Z1379" s="94">
        <f>IF($A1379="",0,IF(AE1379="직접",IF(AF1379="신계약비",$P1379,0),$P1379*(1-AG1379)*IFERROR(INDEX(계정대체기준!$C$20:$C$49,MATCH($N1379,계정대체기준!$A$20:$A$49,0)),0)))</f>
        <v/>
      </c>
      <c r="AA1379" s="94">
        <f>IF($A1379="",0,IF(AE1379="직접",IF(OR(AF1379="유지비",AF1379="손해조사비"),$P1379,0),$P1379*(1-AG1379)*IFERROR(INDEX(계정대체기준!$D$20:$D$49,MATCH($N1379,계정대체기준!$A$20:$A$49,0)),0)))</f>
        <v/>
      </c>
      <c r="AB1379" s="94">
        <f>IF($A1379="",0,IF(AE1379="직접",IF(AF1379="수금비",$P1379,0),$P1379*(1-AG1379)*IFERROR(INDEX(계정대체기준!$E$20:$E$49,MATCH($N1379,계정대체기준!$A$20:$A$49,0)),0)))</f>
        <v/>
      </c>
      <c r="AC1379" s="9">
        <f>IF(AND($A1379&lt;&gt;"",M1379=설정!$C$20,Z1379&gt;0),Z1379+ROW()/1000000000,"")</f>
        <v/>
      </c>
      <c r="AD1379" s="94">
        <f>IF($A1379="",0,$P1379*AG1379)</f>
        <v/>
      </c>
      <c r="AE1379" s="64">
        <f>IF($A1379="","",IFERROR(INDEX(계정매핑!$E$5:$E$504,MATCH($F1379&amp;"",계정매핑!$A$5:$A$504,0))&amp;"","공통비"))</f>
        <v/>
      </c>
      <c r="AF1379" s="64">
        <f>IF($A1379="","",IF(AE1379="직접",IFERROR(INDEX(계정매핑!$F$5:$F$504,MATCH($F1379&amp;"",계정매핑!$A$5:$A$504,0))&amp;"","비귀속"),""))</f>
        <v/>
      </c>
      <c r="AG1379" s="96">
        <f>IF($A1379="",0,IF(AND(AE1379&lt;&gt;"직접",IFERROR(INDEX(계정매핑!$G$5:$G$504,MATCH($F1379&amp;"",계정매핑!$A$5:$A$504,0))&amp;"","")="유지비",COUNTIF(계정대체기준!$A$6:$A$15,$N1379)&gt;0),IFERROR(INDEX(계정대체기준!$E$6:$E$15,MATCH(VALUE($A1379&amp;""),계정대체기준!$D$6:$D$15,0)),0),0))</f>
        <v/>
      </c>
      <c r="AH1379" s="64">
        <f>IF($A1379="","",IF(AD1379=0,"",IF(OR(COUNTIF(계정대체기준!$A$77:$A$86,$N1379)&gt;0,ISNUMBER(MATCH($X1379,계정대체기준!$D$77:$D$86,0)),ISNUMBER(MATCH($F1379,계정대체기준!$D$77:$D$86,0))),"Y","N")))</f>
        <v/>
      </c>
    </row>
    <row r="1380">
      <c r="A1380" s="92" t="n">
        <v>2025</v>
      </c>
      <c r="B1380" s="92" t="n">
        <v>7</v>
      </c>
      <c r="C1380" s="92" t="inlineStr">
        <is>
          <t>5100001376</t>
        </is>
      </c>
      <c r="D1380" s="95" t="n">
        <v>45841</v>
      </c>
      <c r="E1380" s="92" t="inlineStr">
        <is>
          <t>KR</t>
        </is>
      </c>
      <c r="F1380" s="92" t="n">
        <v>62102000</v>
      </c>
      <c r="G1380" s="92" t="n">
        <v>1601</v>
      </c>
      <c r="H1380" s="93" t="n">
        <v>204000</v>
      </c>
      <c r="I1380" s="92" t="inlineStr">
        <is>
          <t>7월 해외출장 - M항공</t>
        </is>
      </c>
      <c r="J1380" s="92" t="inlineStr">
        <is>
          <t>V10001</t>
        </is>
      </c>
      <c r="K1380" s="92" t="inlineStr">
        <is>
          <t>M항공</t>
        </is>
      </c>
      <c r="M1380" s="9">
        <f>IF($A1380="","",VALUE($A1380&amp;"")*12+VALUE($B1380&amp;""))</f>
        <v/>
      </c>
      <c r="N1380" s="64">
        <f>IF($A1380="","",IFERROR(INDEX(부서매핑!$C$5:$C$504,MATCH($G1380&amp;"",부서매핑!$A$5:$A$504,0)),"미매핑"))</f>
        <v/>
      </c>
      <c r="O1380" s="9">
        <f>IF($A1380="","",N1380&amp;"|"&amp;$F1380)</f>
        <v/>
      </c>
      <c r="P1380" s="94">
        <f>IF($A1380="",0,$H1380*설정!$C$23)</f>
        <v/>
      </c>
      <c r="Q1380" s="64">
        <f>IF($A1380="","",IF(O1380&lt;&gt;원인분석!$C$9,"",IF(AND(M1380&gt;=원인분석!$C$10,M1380&lt;=원인분석!$C$11),"당기",IF(AND(M1380&gt;=원인분석!$C$12,M1380&lt;=원인분석!$C$13),"비교",""))))</f>
        <v/>
      </c>
      <c r="R1380" s="9">
        <f>IF(Q1380="","",$K1380&amp;"")</f>
        <v/>
      </c>
      <c r="S1380" s="9">
        <f>IF(Q1380="","",IF(MATCH(R1380,$R$5:$R$100000,0)=ROW()-4,ROW(),""))</f>
        <v/>
      </c>
      <c r="T1380" s="9">
        <f>IF(Q1380="당기",ABS(P1380)+ROW()/1000000000,"")</f>
        <v/>
      </c>
      <c r="U1380" s="9">
        <f>IF(Q1380="비교",ABS(P1380)+ROW()/1000000000,"")</f>
        <v/>
      </c>
      <c r="V1380" s="64">
        <f>IF($A1380="","",IF(COUNTIF(변동분석!$E$7:$E$506,O1380)&gt;0,"Y","N"))</f>
        <v/>
      </c>
      <c r="W1380" s="64">
        <f>IF($A1380="","",IFERROR(INDEX(계정매핑!$D$5:$D$504,MATCH($F1380&amp;"",계정매핑!$A$5:$A$504,0)),"미매핑"))</f>
        <v/>
      </c>
      <c r="X1380" s="9">
        <f>IF($A1380="","",$F1380&amp;"")</f>
        <v/>
      </c>
      <c r="Y1380" s="94">
        <f>IF($A1380="",0,IF(AE1380="직접",IF(AF1380="비귀속",$P1380,0),$P1380*(1-AG1380)*IFERROR(INDEX(계정대체기준!$F$20:$F$49,MATCH($N1380,계정대체기준!$A$20:$A$49,0)),1)))</f>
        <v/>
      </c>
      <c r="Z1380" s="94">
        <f>IF($A1380="",0,IF(AE1380="직접",IF(AF1380="신계약비",$P1380,0),$P1380*(1-AG1380)*IFERROR(INDEX(계정대체기준!$C$20:$C$49,MATCH($N1380,계정대체기준!$A$20:$A$49,0)),0)))</f>
        <v/>
      </c>
      <c r="AA1380" s="94">
        <f>IF($A1380="",0,IF(AE1380="직접",IF(OR(AF1380="유지비",AF1380="손해조사비"),$P1380,0),$P1380*(1-AG1380)*IFERROR(INDEX(계정대체기준!$D$20:$D$49,MATCH($N1380,계정대체기준!$A$20:$A$49,0)),0)))</f>
        <v/>
      </c>
      <c r="AB1380" s="94">
        <f>IF($A1380="",0,IF(AE1380="직접",IF(AF1380="수금비",$P1380,0),$P1380*(1-AG1380)*IFERROR(INDEX(계정대체기준!$E$20:$E$49,MATCH($N1380,계정대체기준!$A$20:$A$49,0)),0)))</f>
        <v/>
      </c>
      <c r="AC1380" s="9">
        <f>IF(AND($A1380&lt;&gt;"",M1380=설정!$C$20,Z1380&gt;0),Z1380+ROW()/1000000000,"")</f>
        <v/>
      </c>
      <c r="AD1380" s="94">
        <f>IF($A1380="",0,$P1380*AG1380)</f>
        <v/>
      </c>
      <c r="AE1380" s="64">
        <f>IF($A1380="","",IFERROR(INDEX(계정매핑!$E$5:$E$504,MATCH($F1380&amp;"",계정매핑!$A$5:$A$504,0))&amp;"","공통비"))</f>
        <v/>
      </c>
      <c r="AF1380" s="64">
        <f>IF($A1380="","",IF(AE1380="직접",IFERROR(INDEX(계정매핑!$F$5:$F$504,MATCH($F1380&amp;"",계정매핑!$A$5:$A$504,0))&amp;"","비귀속"),""))</f>
        <v/>
      </c>
      <c r="AG1380" s="96">
        <f>IF($A1380="",0,IF(AND(AE1380&lt;&gt;"직접",IFERROR(INDEX(계정매핑!$G$5:$G$504,MATCH($F1380&amp;"",계정매핑!$A$5:$A$504,0))&amp;"","")="유지비",COUNTIF(계정대체기준!$A$6:$A$15,$N1380)&gt;0),IFERROR(INDEX(계정대체기준!$E$6:$E$15,MATCH(VALUE($A1380&amp;""),계정대체기준!$D$6:$D$15,0)),0),0))</f>
        <v/>
      </c>
      <c r="AH1380" s="64">
        <f>IF($A1380="","",IF(AD1380=0,"",IF(OR(COUNTIF(계정대체기준!$A$77:$A$86,$N1380)&gt;0,ISNUMBER(MATCH($X1380,계정대체기준!$D$77:$D$86,0)),ISNUMBER(MATCH($F1380,계정대체기준!$D$77:$D$86,0))),"Y","N")))</f>
        <v/>
      </c>
    </row>
    <row r="1381">
      <c r="A1381" s="92" t="n">
        <v>2025</v>
      </c>
      <c r="B1381" s="92" t="n">
        <v>7</v>
      </c>
      <c r="C1381" s="92" t="inlineStr">
        <is>
          <t>5100001377</t>
        </is>
      </c>
      <c r="D1381" s="95" t="n">
        <v>45841</v>
      </c>
      <c r="E1381" s="92" t="inlineStr">
        <is>
          <t>KR</t>
        </is>
      </c>
      <c r="F1381" s="92" t="n">
        <v>62102000</v>
      </c>
      <c r="G1381" s="92" t="n">
        <v>1701</v>
      </c>
      <c r="H1381" s="93" t="n">
        <v>27000</v>
      </c>
      <c r="I1381" s="92" t="inlineStr">
        <is>
          <t>7월 해외출장 - N호텔</t>
        </is>
      </c>
      <c r="J1381" s="92" t="inlineStr">
        <is>
          <t>V10009</t>
        </is>
      </c>
      <c r="K1381" s="92" t="inlineStr">
        <is>
          <t>N호텔</t>
        </is>
      </c>
      <c r="M1381" s="9">
        <f>IF($A1381="","",VALUE($A1381&amp;"")*12+VALUE($B1381&amp;""))</f>
        <v/>
      </c>
      <c r="N1381" s="64">
        <f>IF($A1381="","",IFERROR(INDEX(부서매핑!$C$5:$C$504,MATCH($G1381&amp;"",부서매핑!$A$5:$A$504,0)),"미매핑"))</f>
        <v/>
      </c>
      <c r="O1381" s="9">
        <f>IF($A1381="","",N1381&amp;"|"&amp;$F1381)</f>
        <v/>
      </c>
      <c r="P1381" s="94">
        <f>IF($A1381="",0,$H1381*설정!$C$23)</f>
        <v/>
      </c>
      <c r="Q1381" s="64">
        <f>IF($A1381="","",IF(O1381&lt;&gt;원인분석!$C$9,"",IF(AND(M1381&gt;=원인분석!$C$10,M1381&lt;=원인분석!$C$11),"당기",IF(AND(M1381&gt;=원인분석!$C$12,M1381&lt;=원인분석!$C$13),"비교",""))))</f>
        <v/>
      </c>
      <c r="R1381" s="9">
        <f>IF(Q1381="","",$K1381&amp;"")</f>
        <v/>
      </c>
      <c r="S1381" s="9">
        <f>IF(Q1381="","",IF(MATCH(R1381,$R$5:$R$100000,0)=ROW()-4,ROW(),""))</f>
        <v/>
      </c>
      <c r="T1381" s="9">
        <f>IF(Q1381="당기",ABS(P1381)+ROW()/1000000000,"")</f>
        <v/>
      </c>
      <c r="U1381" s="9">
        <f>IF(Q1381="비교",ABS(P1381)+ROW()/1000000000,"")</f>
        <v/>
      </c>
      <c r="V1381" s="64">
        <f>IF($A1381="","",IF(COUNTIF(변동분석!$E$7:$E$506,O1381)&gt;0,"Y","N"))</f>
        <v/>
      </c>
      <c r="W1381" s="64">
        <f>IF($A1381="","",IFERROR(INDEX(계정매핑!$D$5:$D$504,MATCH($F1381&amp;"",계정매핑!$A$5:$A$504,0)),"미매핑"))</f>
        <v/>
      </c>
      <c r="X1381" s="9">
        <f>IF($A1381="","",$F1381&amp;"")</f>
        <v/>
      </c>
      <c r="Y1381" s="94">
        <f>IF($A1381="",0,IF(AE1381="직접",IF(AF1381="비귀속",$P1381,0),$P1381*(1-AG1381)*IFERROR(INDEX(계정대체기준!$F$20:$F$49,MATCH($N1381,계정대체기준!$A$20:$A$49,0)),1)))</f>
        <v/>
      </c>
      <c r="Z1381" s="94">
        <f>IF($A1381="",0,IF(AE1381="직접",IF(AF1381="신계약비",$P1381,0),$P1381*(1-AG1381)*IFERROR(INDEX(계정대체기준!$C$20:$C$49,MATCH($N1381,계정대체기준!$A$20:$A$49,0)),0)))</f>
        <v/>
      </c>
      <c r="AA1381" s="94">
        <f>IF($A1381="",0,IF(AE1381="직접",IF(OR(AF1381="유지비",AF1381="손해조사비"),$P1381,0),$P1381*(1-AG1381)*IFERROR(INDEX(계정대체기준!$D$20:$D$49,MATCH($N1381,계정대체기준!$A$20:$A$49,0)),0)))</f>
        <v/>
      </c>
      <c r="AB1381" s="94">
        <f>IF($A1381="",0,IF(AE1381="직접",IF(AF1381="수금비",$P1381,0),$P1381*(1-AG1381)*IFERROR(INDEX(계정대체기준!$E$20:$E$49,MATCH($N1381,계정대체기준!$A$20:$A$49,0)),0)))</f>
        <v/>
      </c>
      <c r="AC1381" s="9">
        <f>IF(AND($A1381&lt;&gt;"",M1381=설정!$C$20,Z1381&gt;0),Z1381+ROW()/1000000000,"")</f>
        <v/>
      </c>
      <c r="AD1381" s="94">
        <f>IF($A1381="",0,$P1381*AG1381)</f>
        <v/>
      </c>
      <c r="AE1381" s="64">
        <f>IF($A1381="","",IFERROR(INDEX(계정매핑!$E$5:$E$504,MATCH($F1381&amp;"",계정매핑!$A$5:$A$504,0))&amp;"","공통비"))</f>
        <v/>
      </c>
      <c r="AF1381" s="64">
        <f>IF($A1381="","",IF(AE1381="직접",IFERROR(INDEX(계정매핑!$F$5:$F$504,MATCH($F1381&amp;"",계정매핑!$A$5:$A$504,0))&amp;"","비귀속"),""))</f>
        <v/>
      </c>
      <c r="AG1381" s="96">
        <f>IF($A1381="",0,IF(AND(AE1381&lt;&gt;"직접",IFERROR(INDEX(계정매핑!$G$5:$G$504,MATCH($F1381&amp;"",계정매핑!$A$5:$A$504,0))&amp;"","")="유지비",COUNTIF(계정대체기준!$A$6:$A$15,$N1381)&gt;0),IFERROR(INDEX(계정대체기준!$E$6:$E$15,MATCH(VALUE($A1381&amp;""),계정대체기준!$D$6:$D$15,0)),0),0))</f>
        <v/>
      </c>
      <c r="AH1381" s="64">
        <f>IF($A1381="","",IF(AD1381=0,"",IF(OR(COUNTIF(계정대체기준!$A$77:$A$86,$N1381)&gt;0,ISNUMBER(MATCH($X1381,계정대체기준!$D$77:$D$86,0)),ISNUMBER(MATCH($F1381,계정대체기준!$D$77:$D$86,0))),"Y","N")))</f>
        <v/>
      </c>
    </row>
    <row r="1382">
      <c r="A1382" s="92" t="n">
        <v>2025</v>
      </c>
      <c r="B1382" s="92" t="n">
        <v>7</v>
      </c>
      <c r="C1382" s="92" t="inlineStr">
        <is>
          <t>5100001378</t>
        </is>
      </c>
      <c r="D1382" s="95" t="n">
        <v>45841</v>
      </c>
      <c r="E1382" s="92" t="inlineStr">
        <is>
          <t>KR</t>
        </is>
      </c>
      <c r="F1382" s="92" t="n">
        <v>62201000</v>
      </c>
      <c r="G1382" s="92" t="n">
        <v>1701</v>
      </c>
      <c r="H1382" s="93" t="n">
        <v>4905000</v>
      </c>
      <c r="I1382" s="92" t="inlineStr">
        <is>
          <t>7월 통신요금 - P통신</t>
        </is>
      </c>
      <c r="J1382" s="92" t="inlineStr">
        <is>
          <t>V10014</t>
        </is>
      </c>
      <c r="K1382" s="92" t="inlineStr">
        <is>
          <t>P통신</t>
        </is>
      </c>
      <c r="M1382" s="9">
        <f>IF($A1382="","",VALUE($A1382&amp;"")*12+VALUE($B1382&amp;""))</f>
        <v/>
      </c>
      <c r="N1382" s="64">
        <f>IF($A1382="","",IFERROR(INDEX(부서매핑!$C$5:$C$504,MATCH($G1382&amp;"",부서매핑!$A$5:$A$504,0)),"미매핑"))</f>
        <v/>
      </c>
      <c r="O1382" s="9">
        <f>IF($A1382="","",N1382&amp;"|"&amp;$F1382)</f>
        <v/>
      </c>
      <c r="P1382" s="94">
        <f>IF($A1382="",0,$H1382*설정!$C$23)</f>
        <v/>
      </c>
      <c r="Q1382" s="64">
        <f>IF($A1382="","",IF(O1382&lt;&gt;원인분석!$C$9,"",IF(AND(M1382&gt;=원인분석!$C$10,M1382&lt;=원인분석!$C$11),"당기",IF(AND(M1382&gt;=원인분석!$C$12,M1382&lt;=원인분석!$C$13),"비교",""))))</f>
        <v/>
      </c>
      <c r="R1382" s="9">
        <f>IF(Q1382="","",$K1382&amp;"")</f>
        <v/>
      </c>
      <c r="S1382" s="9">
        <f>IF(Q1382="","",IF(MATCH(R1382,$R$5:$R$100000,0)=ROW()-4,ROW(),""))</f>
        <v/>
      </c>
      <c r="T1382" s="9">
        <f>IF(Q1382="당기",ABS(P1382)+ROW()/1000000000,"")</f>
        <v/>
      </c>
      <c r="U1382" s="9">
        <f>IF(Q1382="비교",ABS(P1382)+ROW()/1000000000,"")</f>
        <v/>
      </c>
      <c r="V1382" s="64">
        <f>IF($A1382="","",IF(COUNTIF(변동분석!$E$7:$E$506,O1382)&gt;0,"Y","N"))</f>
        <v/>
      </c>
      <c r="W1382" s="64">
        <f>IF($A1382="","",IFERROR(INDEX(계정매핑!$D$5:$D$504,MATCH($F1382&amp;"",계정매핑!$A$5:$A$504,0)),"미매핑"))</f>
        <v/>
      </c>
      <c r="X1382" s="9">
        <f>IF($A1382="","",$F1382&amp;"")</f>
        <v/>
      </c>
      <c r="Y1382" s="94">
        <f>IF($A1382="",0,IF(AE1382="직접",IF(AF1382="비귀속",$P1382,0),$P1382*(1-AG1382)*IFERROR(INDEX(계정대체기준!$F$20:$F$49,MATCH($N1382,계정대체기준!$A$20:$A$49,0)),1)))</f>
        <v/>
      </c>
      <c r="Z1382" s="94">
        <f>IF($A1382="",0,IF(AE1382="직접",IF(AF1382="신계약비",$P1382,0),$P1382*(1-AG1382)*IFERROR(INDEX(계정대체기준!$C$20:$C$49,MATCH($N1382,계정대체기준!$A$20:$A$49,0)),0)))</f>
        <v/>
      </c>
      <c r="AA1382" s="94">
        <f>IF($A1382="",0,IF(AE1382="직접",IF(OR(AF1382="유지비",AF1382="손해조사비"),$P1382,0),$P1382*(1-AG1382)*IFERROR(INDEX(계정대체기준!$D$20:$D$49,MATCH($N1382,계정대체기준!$A$20:$A$49,0)),0)))</f>
        <v/>
      </c>
      <c r="AB1382" s="94">
        <f>IF($A1382="",0,IF(AE1382="직접",IF(AF1382="수금비",$P1382,0),$P1382*(1-AG1382)*IFERROR(INDEX(계정대체기준!$E$20:$E$49,MATCH($N1382,계정대체기준!$A$20:$A$49,0)),0)))</f>
        <v/>
      </c>
      <c r="AC1382" s="9">
        <f>IF(AND($A1382&lt;&gt;"",M1382=설정!$C$20,Z1382&gt;0),Z1382+ROW()/1000000000,"")</f>
        <v/>
      </c>
      <c r="AD1382" s="94">
        <f>IF($A1382="",0,$P1382*AG1382)</f>
        <v/>
      </c>
      <c r="AE1382" s="64">
        <f>IF($A1382="","",IFERROR(INDEX(계정매핑!$E$5:$E$504,MATCH($F1382&amp;"",계정매핑!$A$5:$A$504,0))&amp;"","공통비"))</f>
        <v/>
      </c>
      <c r="AF1382" s="64">
        <f>IF($A1382="","",IF(AE1382="직접",IFERROR(INDEX(계정매핑!$F$5:$F$504,MATCH($F1382&amp;"",계정매핑!$A$5:$A$504,0))&amp;"","비귀속"),""))</f>
        <v/>
      </c>
      <c r="AG1382" s="96">
        <f>IF($A1382="",0,IF(AND(AE1382&lt;&gt;"직접",IFERROR(INDEX(계정매핑!$G$5:$G$504,MATCH($F1382&amp;"",계정매핑!$A$5:$A$504,0))&amp;"","")="유지비",COUNTIF(계정대체기준!$A$6:$A$15,$N1382)&gt;0),IFERROR(INDEX(계정대체기준!$E$6:$E$15,MATCH(VALUE($A1382&amp;""),계정대체기준!$D$6:$D$15,0)),0),0))</f>
        <v/>
      </c>
      <c r="AH1382" s="64">
        <f>IF($A1382="","",IF(AD1382=0,"",IF(OR(COUNTIF(계정대체기준!$A$77:$A$86,$N1382)&gt;0,ISNUMBER(MATCH($X1382,계정대체기준!$D$77:$D$86,0)),ISNUMBER(MATCH($F1382,계정대체기준!$D$77:$D$86,0))),"Y","N")))</f>
        <v/>
      </c>
    </row>
    <row r="1383">
      <c r="A1383" s="92" t="n">
        <v>2025</v>
      </c>
      <c r="B1383" s="92" t="n">
        <v>7</v>
      </c>
      <c r="C1383" s="92" t="inlineStr">
        <is>
          <t>5100001379</t>
        </is>
      </c>
      <c r="D1383" s="95" t="n">
        <v>45841</v>
      </c>
      <c r="E1383" s="92" t="inlineStr">
        <is>
          <t>KR</t>
        </is>
      </c>
      <c r="F1383" s="92" t="n">
        <v>62301000</v>
      </c>
      <c r="G1383" s="92" t="n">
        <v>1201</v>
      </c>
      <c r="H1383" s="93" t="n">
        <v>138000</v>
      </c>
      <c r="I1383" s="92" t="inlineStr">
        <is>
          <t>7월 소모품 구입 - Q오피스</t>
        </is>
      </c>
      <c r="J1383" s="92" t="inlineStr">
        <is>
          <t>V10003</t>
        </is>
      </c>
      <c r="K1383" s="92" t="inlineStr">
        <is>
          <t>Q오피스</t>
        </is>
      </c>
      <c r="M1383" s="9">
        <f>IF($A1383="","",VALUE($A1383&amp;"")*12+VALUE($B1383&amp;""))</f>
        <v/>
      </c>
      <c r="N1383" s="64">
        <f>IF($A1383="","",IFERROR(INDEX(부서매핑!$C$5:$C$504,MATCH($G1383&amp;"",부서매핑!$A$5:$A$504,0)),"미매핑"))</f>
        <v/>
      </c>
      <c r="O1383" s="9">
        <f>IF($A1383="","",N1383&amp;"|"&amp;$F1383)</f>
        <v/>
      </c>
      <c r="P1383" s="94">
        <f>IF($A1383="",0,$H1383*설정!$C$23)</f>
        <v/>
      </c>
      <c r="Q1383" s="64">
        <f>IF($A1383="","",IF(O1383&lt;&gt;원인분석!$C$9,"",IF(AND(M1383&gt;=원인분석!$C$10,M1383&lt;=원인분석!$C$11),"당기",IF(AND(M1383&gt;=원인분석!$C$12,M1383&lt;=원인분석!$C$13),"비교",""))))</f>
        <v/>
      </c>
      <c r="R1383" s="9">
        <f>IF(Q1383="","",$K1383&amp;"")</f>
        <v/>
      </c>
      <c r="S1383" s="9">
        <f>IF(Q1383="","",IF(MATCH(R1383,$R$5:$R$100000,0)=ROW()-4,ROW(),""))</f>
        <v/>
      </c>
      <c r="T1383" s="9">
        <f>IF(Q1383="당기",ABS(P1383)+ROW()/1000000000,"")</f>
        <v/>
      </c>
      <c r="U1383" s="9">
        <f>IF(Q1383="비교",ABS(P1383)+ROW()/1000000000,"")</f>
        <v/>
      </c>
      <c r="V1383" s="64">
        <f>IF($A1383="","",IF(COUNTIF(변동분석!$E$7:$E$506,O1383)&gt;0,"Y","N"))</f>
        <v/>
      </c>
      <c r="W1383" s="64">
        <f>IF($A1383="","",IFERROR(INDEX(계정매핑!$D$5:$D$504,MATCH($F1383&amp;"",계정매핑!$A$5:$A$504,0)),"미매핑"))</f>
        <v/>
      </c>
      <c r="X1383" s="9">
        <f>IF($A1383="","",$F1383&amp;"")</f>
        <v/>
      </c>
      <c r="Y1383" s="94">
        <f>IF($A1383="",0,IF(AE1383="직접",IF(AF1383="비귀속",$P1383,0),$P1383*(1-AG1383)*IFERROR(INDEX(계정대체기준!$F$20:$F$49,MATCH($N1383,계정대체기준!$A$20:$A$49,0)),1)))</f>
        <v/>
      </c>
      <c r="Z1383" s="94">
        <f>IF($A1383="",0,IF(AE1383="직접",IF(AF1383="신계약비",$P1383,0),$P1383*(1-AG1383)*IFERROR(INDEX(계정대체기준!$C$20:$C$49,MATCH($N1383,계정대체기준!$A$20:$A$49,0)),0)))</f>
        <v/>
      </c>
      <c r="AA1383" s="94">
        <f>IF($A1383="",0,IF(AE1383="직접",IF(OR(AF1383="유지비",AF1383="손해조사비"),$P1383,0),$P1383*(1-AG1383)*IFERROR(INDEX(계정대체기준!$D$20:$D$49,MATCH($N1383,계정대체기준!$A$20:$A$49,0)),0)))</f>
        <v/>
      </c>
      <c r="AB1383" s="94">
        <f>IF($A1383="",0,IF(AE1383="직접",IF(AF1383="수금비",$P1383,0),$P1383*(1-AG1383)*IFERROR(INDEX(계정대체기준!$E$20:$E$49,MATCH($N1383,계정대체기준!$A$20:$A$49,0)),0)))</f>
        <v/>
      </c>
      <c r="AC1383" s="9">
        <f>IF(AND($A1383&lt;&gt;"",M1383=설정!$C$20,Z1383&gt;0),Z1383+ROW()/1000000000,"")</f>
        <v/>
      </c>
      <c r="AD1383" s="94">
        <f>IF($A1383="",0,$P1383*AG1383)</f>
        <v/>
      </c>
      <c r="AE1383" s="64">
        <f>IF($A1383="","",IFERROR(INDEX(계정매핑!$E$5:$E$504,MATCH($F1383&amp;"",계정매핑!$A$5:$A$504,0))&amp;"","공통비"))</f>
        <v/>
      </c>
      <c r="AF1383" s="64">
        <f>IF($A1383="","",IF(AE1383="직접",IFERROR(INDEX(계정매핑!$F$5:$F$504,MATCH($F1383&amp;"",계정매핑!$A$5:$A$504,0))&amp;"","비귀속"),""))</f>
        <v/>
      </c>
      <c r="AG1383" s="96">
        <f>IF($A1383="",0,IF(AND(AE1383&lt;&gt;"직접",IFERROR(INDEX(계정매핑!$G$5:$G$504,MATCH($F1383&amp;"",계정매핑!$A$5:$A$504,0))&amp;"","")="유지비",COUNTIF(계정대체기준!$A$6:$A$15,$N1383)&gt;0),IFERROR(INDEX(계정대체기준!$E$6:$E$15,MATCH(VALUE($A1383&amp;""),계정대체기준!$D$6:$D$15,0)),0),0))</f>
        <v/>
      </c>
      <c r="AH1383" s="64">
        <f>IF($A1383="","",IF(AD1383=0,"",IF(OR(COUNTIF(계정대체기준!$A$77:$A$86,$N1383)&gt;0,ISNUMBER(MATCH($X1383,계정대체기준!$D$77:$D$86,0)),ISNUMBER(MATCH($F1383,계정대체기준!$D$77:$D$86,0))),"Y","N")))</f>
        <v/>
      </c>
    </row>
    <row r="1384">
      <c r="A1384" s="92" t="n">
        <v>2025</v>
      </c>
      <c r="B1384" s="92" t="n">
        <v>7</v>
      </c>
      <c r="C1384" s="92" t="inlineStr">
        <is>
          <t>5100001380</t>
        </is>
      </c>
      <c r="D1384" s="95" t="n">
        <v>45841</v>
      </c>
      <c r="E1384" s="92" t="inlineStr">
        <is>
          <t>KR</t>
        </is>
      </c>
      <c r="F1384" s="92" t="n">
        <v>62301000</v>
      </c>
      <c r="G1384" s="92" t="n">
        <v>1602</v>
      </c>
      <c r="H1384" s="93" t="n">
        <v>475000</v>
      </c>
      <c r="I1384" s="92" t="inlineStr">
        <is>
          <t>7월 소모품 구입 - R문구</t>
        </is>
      </c>
      <c r="J1384" s="92" t="inlineStr">
        <is>
          <t>V10022</t>
        </is>
      </c>
      <c r="K1384" s="92" t="inlineStr">
        <is>
          <t>R문구</t>
        </is>
      </c>
      <c r="M1384" s="9">
        <f>IF($A1384="","",VALUE($A1384&amp;"")*12+VALUE($B1384&amp;""))</f>
        <v/>
      </c>
      <c r="N1384" s="64">
        <f>IF($A1384="","",IFERROR(INDEX(부서매핑!$C$5:$C$504,MATCH($G1384&amp;"",부서매핑!$A$5:$A$504,0)),"미매핑"))</f>
        <v/>
      </c>
      <c r="O1384" s="9">
        <f>IF($A1384="","",N1384&amp;"|"&amp;$F1384)</f>
        <v/>
      </c>
      <c r="P1384" s="94">
        <f>IF($A1384="",0,$H1384*설정!$C$23)</f>
        <v/>
      </c>
      <c r="Q1384" s="64">
        <f>IF($A1384="","",IF(O1384&lt;&gt;원인분석!$C$9,"",IF(AND(M1384&gt;=원인분석!$C$10,M1384&lt;=원인분석!$C$11),"당기",IF(AND(M1384&gt;=원인분석!$C$12,M1384&lt;=원인분석!$C$13),"비교",""))))</f>
        <v/>
      </c>
      <c r="R1384" s="9">
        <f>IF(Q1384="","",$K1384&amp;"")</f>
        <v/>
      </c>
      <c r="S1384" s="9">
        <f>IF(Q1384="","",IF(MATCH(R1384,$R$5:$R$100000,0)=ROW()-4,ROW(),""))</f>
        <v/>
      </c>
      <c r="T1384" s="9">
        <f>IF(Q1384="당기",ABS(P1384)+ROW()/1000000000,"")</f>
        <v/>
      </c>
      <c r="U1384" s="9">
        <f>IF(Q1384="비교",ABS(P1384)+ROW()/1000000000,"")</f>
        <v/>
      </c>
      <c r="V1384" s="64">
        <f>IF($A1384="","",IF(COUNTIF(변동분석!$E$7:$E$506,O1384)&gt;0,"Y","N"))</f>
        <v/>
      </c>
      <c r="W1384" s="64">
        <f>IF($A1384="","",IFERROR(INDEX(계정매핑!$D$5:$D$504,MATCH($F1384&amp;"",계정매핑!$A$5:$A$504,0)),"미매핑"))</f>
        <v/>
      </c>
      <c r="X1384" s="9">
        <f>IF($A1384="","",$F1384&amp;"")</f>
        <v/>
      </c>
      <c r="Y1384" s="94">
        <f>IF($A1384="",0,IF(AE1384="직접",IF(AF1384="비귀속",$P1384,0),$P1384*(1-AG1384)*IFERROR(INDEX(계정대체기준!$F$20:$F$49,MATCH($N1384,계정대체기준!$A$20:$A$49,0)),1)))</f>
        <v/>
      </c>
      <c r="Z1384" s="94">
        <f>IF($A1384="",0,IF(AE1384="직접",IF(AF1384="신계약비",$P1384,0),$P1384*(1-AG1384)*IFERROR(INDEX(계정대체기준!$C$20:$C$49,MATCH($N1384,계정대체기준!$A$20:$A$49,0)),0)))</f>
        <v/>
      </c>
      <c r="AA1384" s="94">
        <f>IF($A1384="",0,IF(AE1384="직접",IF(OR(AF1384="유지비",AF1384="손해조사비"),$P1384,0),$P1384*(1-AG1384)*IFERROR(INDEX(계정대체기준!$D$20:$D$49,MATCH($N1384,계정대체기준!$A$20:$A$49,0)),0)))</f>
        <v/>
      </c>
      <c r="AB1384" s="94">
        <f>IF($A1384="",0,IF(AE1384="직접",IF(AF1384="수금비",$P1384,0),$P1384*(1-AG1384)*IFERROR(INDEX(계정대체기준!$E$20:$E$49,MATCH($N1384,계정대체기준!$A$20:$A$49,0)),0)))</f>
        <v/>
      </c>
      <c r="AC1384" s="9">
        <f>IF(AND($A1384&lt;&gt;"",M1384=설정!$C$20,Z1384&gt;0),Z1384+ROW()/1000000000,"")</f>
        <v/>
      </c>
      <c r="AD1384" s="94">
        <f>IF($A1384="",0,$P1384*AG1384)</f>
        <v/>
      </c>
      <c r="AE1384" s="64">
        <f>IF($A1384="","",IFERROR(INDEX(계정매핑!$E$5:$E$504,MATCH($F1384&amp;"",계정매핑!$A$5:$A$504,0))&amp;"","공통비"))</f>
        <v/>
      </c>
      <c r="AF1384" s="64">
        <f>IF($A1384="","",IF(AE1384="직접",IFERROR(INDEX(계정매핑!$F$5:$F$504,MATCH($F1384&amp;"",계정매핑!$A$5:$A$504,0))&amp;"","비귀속"),""))</f>
        <v/>
      </c>
      <c r="AG1384" s="96">
        <f>IF($A1384="",0,IF(AND(AE1384&lt;&gt;"직접",IFERROR(INDEX(계정매핑!$G$5:$G$504,MATCH($F1384&amp;"",계정매핑!$A$5:$A$504,0))&amp;"","")="유지비",COUNTIF(계정대체기준!$A$6:$A$15,$N1384)&gt;0),IFERROR(INDEX(계정대체기준!$E$6:$E$15,MATCH(VALUE($A1384&amp;""),계정대체기준!$D$6:$D$15,0)),0),0))</f>
        <v/>
      </c>
      <c r="AH1384" s="64">
        <f>IF($A1384="","",IF(AD1384=0,"",IF(OR(COUNTIF(계정대체기준!$A$77:$A$86,$N1384)&gt;0,ISNUMBER(MATCH($X1384,계정대체기준!$D$77:$D$86,0)),ISNUMBER(MATCH($F1384,계정대체기준!$D$77:$D$86,0))),"Y","N")))</f>
        <v/>
      </c>
    </row>
    <row r="1385">
      <c r="A1385" s="92" t="n">
        <v>2025</v>
      </c>
      <c r="B1385" s="92" t="n">
        <v>7</v>
      </c>
      <c r="C1385" s="92" t="inlineStr">
        <is>
          <t>5100001381</t>
        </is>
      </c>
      <c r="D1385" s="95" t="n">
        <v>45841</v>
      </c>
      <c r="E1385" s="92" t="inlineStr">
        <is>
          <t>KR</t>
        </is>
      </c>
      <c r="F1385" s="92" t="n">
        <v>62501000</v>
      </c>
      <c r="G1385" s="92" t="n">
        <v>1601</v>
      </c>
      <c r="H1385" s="93" t="n">
        <v>426000</v>
      </c>
      <c r="I1385" s="92" t="inlineStr">
        <is>
          <t>7월 회의 다과 - (법인카드)</t>
        </is>
      </c>
      <c r="J1385" s="92" t="inlineStr">
        <is>
          <t>V10010</t>
        </is>
      </c>
      <c r="K1385" s="92" t="inlineStr">
        <is>
          <t>(법인카드)</t>
        </is>
      </c>
      <c r="M1385" s="9">
        <f>IF($A1385="","",VALUE($A1385&amp;"")*12+VALUE($B1385&amp;""))</f>
        <v/>
      </c>
      <c r="N1385" s="64">
        <f>IF($A1385="","",IFERROR(INDEX(부서매핑!$C$5:$C$504,MATCH($G1385&amp;"",부서매핑!$A$5:$A$504,0)),"미매핑"))</f>
        <v/>
      </c>
      <c r="O1385" s="9">
        <f>IF($A1385="","",N1385&amp;"|"&amp;$F1385)</f>
        <v/>
      </c>
      <c r="P1385" s="94">
        <f>IF($A1385="",0,$H1385*설정!$C$23)</f>
        <v/>
      </c>
      <c r="Q1385" s="64">
        <f>IF($A1385="","",IF(O1385&lt;&gt;원인분석!$C$9,"",IF(AND(M1385&gt;=원인분석!$C$10,M1385&lt;=원인분석!$C$11),"당기",IF(AND(M1385&gt;=원인분석!$C$12,M1385&lt;=원인분석!$C$13),"비교",""))))</f>
        <v/>
      </c>
      <c r="R1385" s="9">
        <f>IF(Q1385="","",$K1385&amp;"")</f>
        <v/>
      </c>
      <c r="S1385" s="9">
        <f>IF(Q1385="","",IF(MATCH(R1385,$R$5:$R$100000,0)=ROW()-4,ROW(),""))</f>
        <v/>
      </c>
      <c r="T1385" s="9">
        <f>IF(Q1385="당기",ABS(P1385)+ROW()/1000000000,"")</f>
        <v/>
      </c>
      <c r="U1385" s="9">
        <f>IF(Q1385="비교",ABS(P1385)+ROW()/1000000000,"")</f>
        <v/>
      </c>
      <c r="V1385" s="64">
        <f>IF($A1385="","",IF(COUNTIF(변동분석!$E$7:$E$506,O1385)&gt;0,"Y","N"))</f>
        <v/>
      </c>
      <c r="W1385" s="64">
        <f>IF($A1385="","",IFERROR(INDEX(계정매핑!$D$5:$D$504,MATCH($F1385&amp;"",계정매핑!$A$5:$A$504,0)),"미매핑"))</f>
        <v/>
      </c>
      <c r="X1385" s="9">
        <f>IF($A1385="","",$F1385&amp;"")</f>
        <v/>
      </c>
      <c r="Y1385" s="94">
        <f>IF($A1385="",0,IF(AE1385="직접",IF(AF1385="비귀속",$P1385,0),$P1385*(1-AG1385)*IFERROR(INDEX(계정대체기준!$F$20:$F$49,MATCH($N1385,계정대체기준!$A$20:$A$49,0)),1)))</f>
        <v/>
      </c>
      <c r="Z1385" s="94">
        <f>IF($A1385="",0,IF(AE1385="직접",IF(AF1385="신계약비",$P1385,0),$P1385*(1-AG1385)*IFERROR(INDEX(계정대체기준!$C$20:$C$49,MATCH($N1385,계정대체기준!$A$20:$A$49,0)),0)))</f>
        <v/>
      </c>
      <c r="AA1385" s="94">
        <f>IF($A1385="",0,IF(AE1385="직접",IF(OR(AF1385="유지비",AF1385="손해조사비"),$P1385,0),$P1385*(1-AG1385)*IFERROR(INDEX(계정대체기준!$D$20:$D$49,MATCH($N1385,계정대체기준!$A$20:$A$49,0)),0)))</f>
        <v/>
      </c>
      <c r="AB1385" s="94">
        <f>IF($A1385="",0,IF(AE1385="직접",IF(AF1385="수금비",$P1385,0),$P1385*(1-AG1385)*IFERROR(INDEX(계정대체기준!$E$20:$E$49,MATCH($N1385,계정대체기준!$A$20:$A$49,0)),0)))</f>
        <v/>
      </c>
      <c r="AC1385" s="9">
        <f>IF(AND($A1385&lt;&gt;"",M1385=설정!$C$20,Z1385&gt;0),Z1385+ROW()/1000000000,"")</f>
        <v/>
      </c>
      <c r="AD1385" s="94">
        <f>IF($A1385="",0,$P1385*AG1385)</f>
        <v/>
      </c>
      <c r="AE1385" s="64">
        <f>IF($A1385="","",IFERROR(INDEX(계정매핑!$E$5:$E$504,MATCH($F1385&amp;"",계정매핑!$A$5:$A$504,0))&amp;"","공통비"))</f>
        <v/>
      </c>
      <c r="AF1385" s="64">
        <f>IF($A1385="","",IF(AE1385="직접",IFERROR(INDEX(계정매핑!$F$5:$F$504,MATCH($F1385&amp;"",계정매핑!$A$5:$A$504,0))&amp;"","비귀속"),""))</f>
        <v/>
      </c>
      <c r="AG1385" s="96">
        <f>IF($A1385="",0,IF(AND(AE1385&lt;&gt;"직접",IFERROR(INDEX(계정매핑!$G$5:$G$504,MATCH($F1385&amp;"",계정매핑!$A$5:$A$504,0))&amp;"","")="유지비",COUNTIF(계정대체기준!$A$6:$A$15,$N1385)&gt;0),IFERROR(INDEX(계정대체기준!$E$6:$E$15,MATCH(VALUE($A1385&amp;""),계정대체기준!$D$6:$D$15,0)),0),0))</f>
        <v/>
      </c>
      <c r="AH1385" s="64">
        <f>IF($A1385="","",IF(AD1385=0,"",IF(OR(COUNTIF(계정대체기준!$A$77:$A$86,$N1385)&gt;0,ISNUMBER(MATCH($X1385,계정대체기준!$D$77:$D$86,0)),ISNUMBER(MATCH($F1385,계정대체기준!$D$77:$D$86,0))),"Y","N")))</f>
        <v/>
      </c>
    </row>
    <row r="1386">
      <c r="A1386" s="92" t="n">
        <v>2025</v>
      </c>
      <c r="B1386" s="92" t="n">
        <v>7</v>
      </c>
      <c r="C1386" s="92" t="inlineStr">
        <is>
          <t>5100001382</t>
        </is>
      </c>
      <c r="D1386" s="95" t="n">
        <v>45841</v>
      </c>
      <c r="E1386" s="92" t="inlineStr">
        <is>
          <t>KR</t>
        </is>
      </c>
      <c r="F1386" s="92" t="n">
        <v>62902000</v>
      </c>
      <c r="G1386" s="92" t="n">
        <v>1201</v>
      </c>
      <c r="H1386" s="93" t="n">
        <v>2108000</v>
      </c>
      <c r="I1386" s="92" t="inlineStr">
        <is>
          <t>7월 업무 위탁 수수료 - X서비스</t>
        </is>
      </c>
      <c r="J1386" s="92" t="inlineStr">
        <is>
          <t>V10020</t>
        </is>
      </c>
      <c r="K1386" s="92" t="inlineStr">
        <is>
          <t>X서비스</t>
        </is>
      </c>
      <c r="M1386" s="9">
        <f>IF($A1386="","",VALUE($A1386&amp;"")*12+VALUE($B1386&amp;""))</f>
        <v/>
      </c>
      <c r="N1386" s="64">
        <f>IF($A1386="","",IFERROR(INDEX(부서매핑!$C$5:$C$504,MATCH($G1386&amp;"",부서매핑!$A$5:$A$504,0)),"미매핑"))</f>
        <v/>
      </c>
      <c r="O1386" s="9">
        <f>IF($A1386="","",N1386&amp;"|"&amp;$F1386)</f>
        <v/>
      </c>
      <c r="P1386" s="94">
        <f>IF($A1386="",0,$H1386*설정!$C$23)</f>
        <v/>
      </c>
      <c r="Q1386" s="64">
        <f>IF($A1386="","",IF(O1386&lt;&gt;원인분석!$C$9,"",IF(AND(M1386&gt;=원인분석!$C$10,M1386&lt;=원인분석!$C$11),"당기",IF(AND(M1386&gt;=원인분석!$C$12,M1386&lt;=원인분석!$C$13),"비교",""))))</f>
        <v/>
      </c>
      <c r="R1386" s="9">
        <f>IF(Q1386="","",$K1386&amp;"")</f>
        <v/>
      </c>
      <c r="S1386" s="9">
        <f>IF(Q1386="","",IF(MATCH(R1386,$R$5:$R$100000,0)=ROW()-4,ROW(),""))</f>
        <v/>
      </c>
      <c r="T1386" s="9">
        <f>IF(Q1386="당기",ABS(P1386)+ROW()/1000000000,"")</f>
        <v/>
      </c>
      <c r="U1386" s="9">
        <f>IF(Q1386="비교",ABS(P1386)+ROW()/1000000000,"")</f>
        <v/>
      </c>
      <c r="V1386" s="64">
        <f>IF($A1386="","",IF(COUNTIF(변동분석!$E$7:$E$506,O1386)&gt;0,"Y","N"))</f>
        <v/>
      </c>
      <c r="W1386" s="64">
        <f>IF($A1386="","",IFERROR(INDEX(계정매핑!$D$5:$D$504,MATCH($F1386&amp;"",계정매핑!$A$5:$A$504,0)),"미매핑"))</f>
        <v/>
      </c>
      <c r="X1386" s="9">
        <f>IF($A1386="","",$F1386&amp;"")</f>
        <v/>
      </c>
      <c r="Y1386" s="94">
        <f>IF($A1386="",0,IF(AE1386="직접",IF(AF1386="비귀속",$P1386,0),$P1386*(1-AG1386)*IFERROR(INDEX(계정대체기준!$F$20:$F$49,MATCH($N1386,계정대체기준!$A$20:$A$49,0)),1)))</f>
        <v/>
      </c>
      <c r="Z1386" s="94">
        <f>IF($A1386="",0,IF(AE1386="직접",IF(AF1386="신계약비",$P1386,0),$P1386*(1-AG1386)*IFERROR(INDEX(계정대체기준!$C$20:$C$49,MATCH($N1386,계정대체기준!$A$20:$A$49,0)),0)))</f>
        <v/>
      </c>
      <c r="AA1386" s="94">
        <f>IF($A1386="",0,IF(AE1386="직접",IF(OR(AF1386="유지비",AF1386="손해조사비"),$P1386,0),$P1386*(1-AG1386)*IFERROR(INDEX(계정대체기준!$D$20:$D$49,MATCH($N1386,계정대체기준!$A$20:$A$49,0)),0)))</f>
        <v/>
      </c>
      <c r="AB1386" s="94">
        <f>IF($A1386="",0,IF(AE1386="직접",IF(AF1386="수금비",$P1386,0),$P1386*(1-AG1386)*IFERROR(INDEX(계정대체기준!$E$20:$E$49,MATCH($N1386,계정대체기준!$A$20:$A$49,0)),0)))</f>
        <v/>
      </c>
      <c r="AC1386" s="9">
        <f>IF(AND($A1386&lt;&gt;"",M1386=설정!$C$20,Z1386&gt;0),Z1386+ROW()/1000000000,"")</f>
        <v/>
      </c>
      <c r="AD1386" s="94">
        <f>IF($A1386="",0,$P1386*AG1386)</f>
        <v/>
      </c>
      <c r="AE1386" s="64">
        <f>IF($A1386="","",IFERROR(INDEX(계정매핑!$E$5:$E$504,MATCH($F1386&amp;"",계정매핑!$A$5:$A$504,0))&amp;"","공통비"))</f>
        <v/>
      </c>
      <c r="AF1386" s="64">
        <f>IF($A1386="","",IF(AE1386="직접",IFERROR(INDEX(계정매핑!$F$5:$F$504,MATCH($F1386&amp;"",계정매핑!$A$5:$A$504,0))&amp;"","비귀속"),""))</f>
        <v/>
      </c>
      <c r="AG1386" s="96">
        <f>IF($A1386="",0,IF(AND(AE1386&lt;&gt;"직접",IFERROR(INDEX(계정매핑!$G$5:$G$504,MATCH($F1386&amp;"",계정매핑!$A$5:$A$504,0))&amp;"","")="유지비",COUNTIF(계정대체기준!$A$6:$A$15,$N1386)&gt;0),IFERROR(INDEX(계정대체기준!$E$6:$E$15,MATCH(VALUE($A1386&amp;""),계정대체기준!$D$6:$D$15,0)),0),0))</f>
        <v/>
      </c>
      <c r="AH1386" s="64">
        <f>IF($A1386="","",IF(AD1386=0,"",IF(OR(COUNTIF(계정대체기준!$A$77:$A$86,$N1386)&gt;0,ISNUMBER(MATCH($X1386,계정대체기준!$D$77:$D$86,0)),ISNUMBER(MATCH($F1386,계정대체기준!$D$77:$D$86,0))),"Y","N")))</f>
        <v/>
      </c>
    </row>
    <row r="1387">
      <c r="A1387" s="92" t="n">
        <v>2025</v>
      </c>
      <c r="B1387" s="92" t="n">
        <v>7</v>
      </c>
      <c r="C1387" s="92" t="inlineStr">
        <is>
          <t>5100001383</t>
        </is>
      </c>
      <c r="D1387" s="95" t="n">
        <v>45841</v>
      </c>
      <c r="E1387" s="92" t="inlineStr">
        <is>
          <t>KR</t>
        </is>
      </c>
      <c r="F1387" s="92" t="n">
        <v>62902000</v>
      </c>
      <c r="G1387" s="92" t="n">
        <v>1801</v>
      </c>
      <c r="H1387" s="93" t="n">
        <v>1816000</v>
      </c>
      <c r="I1387" s="92" t="inlineStr">
        <is>
          <t>7월 콜 위탁 수수료(건별)</t>
        </is>
      </c>
      <c r="J1387" s="92" t="inlineStr">
        <is>
          <t>V10016</t>
        </is>
      </c>
      <c r="K1387" s="92" t="inlineStr">
        <is>
          <t>J콜센터</t>
        </is>
      </c>
      <c r="M1387" s="9">
        <f>IF($A1387="","",VALUE($A1387&amp;"")*12+VALUE($B1387&amp;""))</f>
        <v/>
      </c>
      <c r="N1387" s="64">
        <f>IF($A1387="","",IFERROR(INDEX(부서매핑!$C$5:$C$504,MATCH($G1387&amp;"",부서매핑!$A$5:$A$504,0)),"미매핑"))</f>
        <v/>
      </c>
      <c r="O1387" s="9">
        <f>IF($A1387="","",N1387&amp;"|"&amp;$F1387)</f>
        <v/>
      </c>
      <c r="P1387" s="94">
        <f>IF($A1387="",0,$H1387*설정!$C$23)</f>
        <v/>
      </c>
      <c r="Q1387" s="64">
        <f>IF($A1387="","",IF(O1387&lt;&gt;원인분석!$C$9,"",IF(AND(M1387&gt;=원인분석!$C$10,M1387&lt;=원인분석!$C$11),"당기",IF(AND(M1387&gt;=원인분석!$C$12,M1387&lt;=원인분석!$C$13),"비교",""))))</f>
        <v/>
      </c>
      <c r="R1387" s="9">
        <f>IF(Q1387="","",$K1387&amp;"")</f>
        <v/>
      </c>
      <c r="S1387" s="9">
        <f>IF(Q1387="","",IF(MATCH(R1387,$R$5:$R$100000,0)=ROW()-4,ROW(),""))</f>
        <v/>
      </c>
      <c r="T1387" s="9">
        <f>IF(Q1387="당기",ABS(P1387)+ROW()/1000000000,"")</f>
        <v/>
      </c>
      <c r="U1387" s="9">
        <f>IF(Q1387="비교",ABS(P1387)+ROW()/1000000000,"")</f>
        <v/>
      </c>
      <c r="V1387" s="64">
        <f>IF($A1387="","",IF(COUNTIF(변동분석!$E$7:$E$506,O1387)&gt;0,"Y","N"))</f>
        <v/>
      </c>
      <c r="W1387" s="64">
        <f>IF($A1387="","",IFERROR(INDEX(계정매핑!$D$5:$D$504,MATCH($F1387&amp;"",계정매핑!$A$5:$A$504,0)),"미매핑"))</f>
        <v/>
      </c>
      <c r="X1387" s="9">
        <f>IF($A1387="","",$F1387&amp;"")</f>
        <v/>
      </c>
      <c r="Y1387" s="94">
        <f>IF($A1387="",0,IF(AE1387="직접",IF(AF1387="비귀속",$P1387,0),$P1387*(1-AG1387)*IFERROR(INDEX(계정대체기준!$F$20:$F$49,MATCH($N1387,계정대체기준!$A$20:$A$49,0)),1)))</f>
        <v/>
      </c>
      <c r="Z1387" s="94">
        <f>IF($A1387="",0,IF(AE1387="직접",IF(AF1387="신계약비",$P1387,0),$P1387*(1-AG1387)*IFERROR(INDEX(계정대체기준!$C$20:$C$49,MATCH($N1387,계정대체기준!$A$20:$A$49,0)),0)))</f>
        <v/>
      </c>
      <c r="AA1387" s="94">
        <f>IF($A1387="",0,IF(AE1387="직접",IF(OR(AF1387="유지비",AF1387="손해조사비"),$P1387,0),$P1387*(1-AG1387)*IFERROR(INDEX(계정대체기준!$D$20:$D$49,MATCH($N1387,계정대체기준!$A$20:$A$49,0)),0)))</f>
        <v/>
      </c>
      <c r="AB1387" s="94">
        <f>IF($A1387="",0,IF(AE1387="직접",IF(AF1387="수금비",$P1387,0),$P1387*(1-AG1387)*IFERROR(INDEX(계정대체기준!$E$20:$E$49,MATCH($N1387,계정대체기준!$A$20:$A$49,0)),0)))</f>
        <v/>
      </c>
      <c r="AC1387" s="9">
        <f>IF(AND($A1387&lt;&gt;"",M1387=설정!$C$20,Z1387&gt;0),Z1387+ROW()/1000000000,"")</f>
        <v/>
      </c>
      <c r="AD1387" s="94">
        <f>IF($A1387="",0,$P1387*AG1387)</f>
        <v/>
      </c>
      <c r="AE1387" s="64">
        <f>IF($A1387="","",IFERROR(INDEX(계정매핑!$E$5:$E$504,MATCH($F1387&amp;"",계정매핑!$A$5:$A$504,0))&amp;"","공통비"))</f>
        <v/>
      </c>
      <c r="AF1387" s="64">
        <f>IF($A1387="","",IF(AE1387="직접",IFERROR(INDEX(계정매핑!$F$5:$F$504,MATCH($F1387&amp;"",계정매핑!$A$5:$A$504,0))&amp;"","비귀속"),""))</f>
        <v/>
      </c>
      <c r="AG1387" s="96">
        <f>IF($A1387="",0,IF(AND(AE1387&lt;&gt;"직접",IFERROR(INDEX(계정매핑!$G$5:$G$504,MATCH($F1387&amp;"",계정매핑!$A$5:$A$504,0))&amp;"","")="유지비",COUNTIF(계정대체기준!$A$6:$A$15,$N1387)&gt;0),IFERROR(INDEX(계정대체기준!$E$6:$E$15,MATCH(VALUE($A1387&amp;""),계정대체기준!$D$6:$D$15,0)),0),0))</f>
        <v/>
      </c>
      <c r="AH1387" s="64">
        <f>IF($A1387="","",IF(AD1387=0,"",IF(OR(COUNTIF(계정대체기준!$A$77:$A$86,$N1387)&gt;0,ISNUMBER(MATCH($X1387,계정대체기준!$D$77:$D$86,0)),ISNUMBER(MATCH($F1387,계정대체기준!$D$77:$D$86,0))),"Y","N")))</f>
        <v/>
      </c>
    </row>
    <row r="1388">
      <c r="A1388" s="92" t="n">
        <v>2025</v>
      </c>
      <c r="B1388" s="92" t="n">
        <v>7</v>
      </c>
      <c r="C1388" s="92" t="inlineStr">
        <is>
          <t>5100001384</t>
        </is>
      </c>
      <c r="D1388" s="95" t="n">
        <v>45841</v>
      </c>
      <c r="E1388" s="92" t="inlineStr">
        <is>
          <t>KR</t>
        </is>
      </c>
      <c r="F1388" s="92" t="n">
        <v>62902000</v>
      </c>
      <c r="G1388" s="92" t="n">
        <v>1801</v>
      </c>
      <c r="H1388" s="93" t="n">
        <v>1844000</v>
      </c>
      <c r="I1388" s="92" t="inlineStr">
        <is>
          <t>7월 콜 위탁 수수료(건별)</t>
        </is>
      </c>
      <c r="J1388" s="92" t="inlineStr">
        <is>
          <t>V10016</t>
        </is>
      </c>
      <c r="K1388" s="92" t="inlineStr">
        <is>
          <t>J콜센터</t>
        </is>
      </c>
      <c r="M1388" s="9">
        <f>IF($A1388="","",VALUE($A1388&amp;"")*12+VALUE($B1388&amp;""))</f>
        <v/>
      </c>
      <c r="N1388" s="64">
        <f>IF($A1388="","",IFERROR(INDEX(부서매핑!$C$5:$C$504,MATCH($G1388&amp;"",부서매핑!$A$5:$A$504,0)),"미매핑"))</f>
        <v/>
      </c>
      <c r="O1388" s="9">
        <f>IF($A1388="","",N1388&amp;"|"&amp;$F1388)</f>
        <v/>
      </c>
      <c r="P1388" s="94">
        <f>IF($A1388="",0,$H1388*설정!$C$23)</f>
        <v/>
      </c>
      <c r="Q1388" s="64">
        <f>IF($A1388="","",IF(O1388&lt;&gt;원인분석!$C$9,"",IF(AND(M1388&gt;=원인분석!$C$10,M1388&lt;=원인분석!$C$11),"당기",IF(AND(M1388&gt;=원인분석!$C$12,M1388&lt;=원인분석!$C$13),"비교",""))))</f>
        <v/>
      </c>
      <c r="R1388" s="9">
        <f>IF(Q1388="","",$K1388&amp;"")</f>
        <v/>
      </c>
      <c r="S1388" s="9">
        <f>IF(Q1388="","",IF(MATCH(R1388,$R$5:$R$100000,0)=ROW()-4,ROW(),""))</f>
        <v/>
      </c>
      <c r="T1388" s="9">
        <f>IF(Q1388="당기",ABS(P1388)+ROW()/1000000000,"")</f>
        <v/>
      </c>
      <c r="U1388" s="9">
        <f>IF(Q1388="비교",ABS(P1388)+ROW()/1000000000,"")</f>
        <v/>
      </c>
      <c r="V1388" s="64">
        <f>IF($A1388="","",IF(COUNTIF(변동분석!$E$7:$E$506,O1388)&gt;0,"Y","N"))</f>
        <v/>
      </c>
      <c r="W1388" s="64">
        <f>IF($A1388="","",IFERROR(INDEX(계정매핑!$D$5:$D$504,MATCH($F1388&amp;"",계정매핑!$A$5:$A$504,0)),"미매핑"))</f>
        <v/>
      </c>
      <c r="X1388" s="9">
        <f>IF($A1388="","",$F1388&amp;"")</f>
        <v/>
      </c>
      <c r="Y1388" s="94">
        <f>IF($A1388="",0,IF(AE1388="직접",IF(AF1388="비귀속",$P1388,0),$P1388*(1-AG1388)*IFERROR(INDEX(계정대체기준!$F$20:$F$49,MATCH($N1388,계정대체기준!$A$20:$A$49,0)),1)))</f>
        <v/>
      </c>
      <c r="Z1388" s="94">
        <f>IF($A1388="",0,IF(AE1388="직접",IF(AF1388="신계약비",$P1388,0),$P1388*(1-AG1388)*IFERROR(INDEX(계정대체기준!$C$20:$C$49,MATCH($N1388,계정대체기준!$A$20:$A$49,0)),0)))</f>
        <v/>
      </c>
      <c r="AA1388" s="94">
        <f>IF($A1388="",0,IF(AE1388="직접",IF(OR(AF1388="유지비",AF1388="손해조사비"),$P1388,0),$P1388*(1-AG1388)*IFERROR(INDEX(계정대체기준!$D$20:$D$49,MATCH($N1388,계정대체기준!$A$20:$A$49,0)),0)))</f>
        <v/>
      </c>
      <c r="AB1388" s="94">
        <f>IF($A1388="",0,IF(AE1388="직접",IF(AF1388="수금비",$P1388,0),$P1388*(1-AG1388)*IFERROR(INDEX(계정대체기준!$E$20:$E$49,MATCH($N1388,계정대체기준!$A$20:$A$49,0)),0)))</f>
        <v/>
      </c>
      <c r="AC1388" s="9">
        <f>IF(AND($A1388&lt;&gt;"",M1388=설정!$C$20,Z1388&gt;0),Z1388+ROW()/1000000000,"")</f>
        <v/>
      </c>
      <c r="AD1388" s="94">
        <f>IF($A1388="",0,$P1388*AG1388)</f>
        <v/>
      </c>
      <c r="AE1388" s="64">
        <f>IF($A1388="","",IFERROR(INDEX(계정매핑!$E$5:$E$504,MATCH($F1388&amp;"",계정매핑!$A$5:$A$504,0))&amp;"","공통비"))</f>
        <v/>
      </c>
      <c r="AF1388" s="64">
        <f>IF($A1388="","",IF(AE1388="직접",IFERROR(INDEX(계정매핑!$F$5:$F$504,MATCH($F1388&amp;"",계정매핑!$A$5:$A$504,0))&amp;"","비귀속"),""))</f>
        <v/>
      </c>
      <c r="AG1388" s="96">
        <f>IF($A1388="",0,IF(AND(AE1388&lt;&gt;"직접",IFERROR(INDEX(계정매핑!$G$5:$G$504,MATCH($F1388&amp;"",계정매핑!$A$5:$A$504,0))&amp;"","")="유지비",COUNTIF(계정대체기준!$A$6:$A$15,$N1388)&gt;0),IFERROR(INDEX(계정대체기준!$E$6:$E$15,MATCH(VALUE($A1388&amp;""),계정대체기준!$D$6:$D$15,0)),0),0))</f>
        <v/>
      </c>
      <c r="AH1388" s="64">
        <f>IF($A1388="","",IF(AD1388=0,"",IF(OR(COUNTIF(계정대체기준!$A$77:$A$86,$N1388)&gt;0,ISNUMBER(MATCH($X1388,계정대체기준!$D$77:$D$86,0)),ISNUMBER(MATCH($F1388,계정대체기준!$D$77:$D$86,0))),"Y","N")))</f>
        <v/>
      </c>
    </row>
    <row r="1389">
      <c r="A1389" s="92" t="n">
        <v>2025</v>
      </c>
      <c r="B1389" s="92" t="n">
        <v>7</v>
      </c>
      <c r="C1389" s="92" t="inlineStr">
        <is>
          <t>5100001385</t>
        </is>
      </c>
      <c r="D1389" s="95" t="n">
        <v>45842</v>
      </c>
      <c r="E1389" s="92" t="inlineStr">
        <is>
          <t>KR</t>
        </is>
      </c>
      <c r="F1389" s="92" t="n">
        <v>62101000</v>
      </c>
      <c r="G1389" s="92" t="n">
        <v>1301</v>
      </c>
      <c r="H1389" s="93" t="n">
        <v>179000</v>
      </c>
      <c r="I1389" s="92" t="inlineStr">
        <is>
          <t>7월 국내출장 - (법인카드)</t>
        </is>
      </c>
      <c r="J1389" s="92" t="inlineStr">
        <is>
          <t>V10010</t>
        </is>
      </c>
      <c r="K1389" s="92" t="inlineStr">
        <is>
          <t>(법인카드)</t>
        </is>
      </c>
      <c r="M1389" s="9">
        <f>IF($A1389="","",VALUE($A1389&amp;"")*12+VALUE($B1389&amp;""))</f>
        <v/>
      </c>
      <c r="N1389" s="64">
        <f>IF($A1389="","",IFERROR(INDEX(부서매핑!$C$5:$C$504,MATCH($G1389&amp;"",부서매핑!$A$5:$A$504,0)),"미매핑"))</f>
        <v/>
      </c>
      <c r="O1389" s="9">
        <f>IF($A1389="","",N1389&amp;"|"&amp;$F1389)</f>
        <v/>
      </c>
      <c r="P1389" s="94">
        <f>IF($A1389="",0,$H1389*설정!$C$23)</f>
        <v/>
      </c>
      <c r="Q1389" s="64">
        <f>IF($A1389="","",IF(O1389&lt;&gt;원인분석!$C$9,"",IF(AND(M1389&gt;=원인분석!$C$10,M1389&lt;=원인분석!$C$11),"당기",IF(AND(M1389&gt;=원인분석!$C$12,M1389&lt;=원인분석!$C$13),"비교",""))))</f>
        <v/>
      </c>
      <c r="R1389" s="9">
        <f>IF(Q1389="","",$K1389&amp;"")</f>
        <v/>
      </c>
      <c r="S1389" s="9">
        <f>IF(Q1389="","",IF(MATCH(R1389,$R$5:$R$100000,0)=ROW()-4,ROW(),""))</f>
        <v/>
      </c>
      <c r="T1389" s="9">
        <f>IF(Q1389="당기",ABS(P1389)+ROW()/1000000000,"")</f>
        <v/>
      </c>
      <c r="U1389" s="9">
        <f>IF(Q1389="비교",ABS(P1389)+ROW()/1000000000,"")</f>
        <v/>
      </c>
      <c r="V1389" s="64">
        <f>IF($A1389="","",IF(COUNTIF(변동분석!$E$7:$E$506,O1389)&gt;0,"Y","N"))</f>
        <v/>
      </c>
      <c r="W1389" s="64">
        <f>IF($A1389="","",IFERROR(INDEX(계정매핑!$D$5:$D$504,MATCH($F1389&amp;"",계정매핑!$A$5:$A$504,0)),"미매핑"))</f>
        <v/>
      </c>
      <c r="X1389" s="9">
        <f>IF($A1389="","",$F1389&amp;"")</f>
        <v/>
      </c>
      <c r="Y1389" s="94">
        <f>IF($A1389="",0,IF(AE1389="직접",IF(AF1389="비귀속",$P1389,0),$P1389*(1-AG1389)*IFERROR(INDEX(계정대체기준!$F$20:$F$49,MATCH($N1389,계정대체기준!$A$20:$A$49,0)),1)))</f>
        <v/>
      </c>
      <c r="Z1389" s="94">
        <f>IF($A1389="",0,IF(AE1389="직접",IF(AF1389="신계약비",$P1389,0),$P1389*(1-AG1389)*IFERROR(INDEX(계정대체기준!$C$20:$C$49,MATCH($N1389,계정대체기준!$A$20:$A$49,0)),0)))</f>
        <v/>
      </c>
      <c r="AA1389" s="94">
        <f>IF($A1389="",0,IF(AE1389="직접",IF(OR(AF1389="유지비",AF1389="손해조사비"),$P1389,0),$P1389*(1-AG1389)*IFERROR(INDEX(계정대체기준!$D$20:$D$49,MATCH($N1389,계정대체기준!$A$20:$A$49,0)),0)))</f>
        <v/>
      </c>
      <c r="AB1389" s="94">
        <f>IF($A1389="",0,IF(AE1389="직접",IF(AF1389="수금비",$P1389,0),$P1389*(1-AG1389)*IFERROR(INDEX(계정대체기준!$E$20:$E$49,MATCH($N1389,계정대체기준!$A$20:$A$49,0)),0)))</f>
        <v/>
      </c>
      <c r="AC1389" s="9">
        <f>IF(AND($A1389&lt;&gt;"",M1389=설정!$C$20,Z1389&gt;0),Z1389+ROW()/1000000000,"")</f>
        <v/>
      </c>
      <c r="AD1389" s="94">
        <f>IF($A1389="",0,$P1389*AG1389)</f>
        <v/>
      </c>
      <c r="AE1389" s="64">
        <f>IF($A1389="","",IFERROR(INDEX(계정매핑!$E$5:$E$504,MATCH($F1389&amp;"",계정매핑!$A$5:$A$504,0))&amp;"","공통비"))</f>
        <v/>
      </c>
      <c r="AF1389" s="64">
        <f>IF($A1389="","",IF(AE1389="직접",IFERROR(INDEX(계정매핑!$F$5:$F$504,MATCH($F1389&amp;"",계정매핑!$A$5:$A$504,0))&amp;"","비귀속"),""))</f>
        <v/>
      </c>
      <c r="AG1389" s="96">
        <f>IF($A1389="",0,IF(AND(AE1389&lt;&gt;"직접",IFERROR(INDEX(계정매핑!$G$5:$G$504,MATCH($F1389&amp;"",계정매핑!$A$5:$A$504,0))&amp;"","")="유지비",COUNTIF(계정대체기준!$A$6:$A$15,$N1389)&gt;0),IFERROR(INDEX(계정대체기준!$E$6:$E$15,MATCH(VALUE($A1389&amp;""),계정대체기준!$D$6:$D$15,0)),0),0))</f>
        <v/>
      </c>
      <c r="AH1389" s="64">
        <f>IF($A1389="","",IF(AD1389=0,"",IF(OR(COUNTIF(계정대체기준!$A$77:$A$86,$N1389)&gt;0,ISNUMBER(MATCH($X1389,계정대체기준!$D$77:$D$86,0)),ISNUMBER(MATCH($F1389,계정대체기준!$D$77:$D$86,0))),"Y","N")))</f>
        <v/>
      </c>
    </row>
    <row r="1390">
      <c r="A1390" s="92" t="n">
        <v>2025</v>
      </c>
      <c r="B1390" s="92" t="n">
        <v>7</v>
      </c>
      <c r="C1390" s="92" t="inlineStr">
        <is>
          <t>5100001386</t>
        </is>
      </c>
      <c r="D1390" s="95" t="n">
        <v>45842</v>
      </c>
      <c r="E1390" s="92" t="inlineStr">
        <is>
          <t>KR</t>
        </is>
      </c>
      <c r="F1390" s="92" t="n">
        <v>62102000</v>
      </c>
      <c r="G1390" s="92" t="n">
        <v>1201</v>
      </c>
      <c r="H1390" s="93" t="n">
        <v>52000</v>
      </c>
      <c r="I1390" s="92" t="inlineStr">
        <is>
          <t>7월 해외출장 - N호텔</t>
        </is>
      </c>
      <c r="J1390" s="92" t="inlineStr">
        <is>
          <t>V10009</t>
        </is>
      </c>
      <c r="K1390" s="92" t="inlineStr">
        <is>
          <t>N호텔</t>
        </is>
      </c>
      <c r="M1390" s="9">
        <f>IF($A1390="","",VALUE($A1390&amp;"")*12+VALUE($B1390&amp;""))</f>
        <v/>
      </c>
      <c r="N1390" s="64">
        <f>IF($A1390="","",IFERROR(INDEX(부서매핑!$C$5:$C$504,MATCH($G1390&amp;"",부서매핑!$A$5:$A$504,0)),"미매핑"))</f>
        <v/>
      </c>
      <c r="O1390" s="9">
        <f>IF($A1390="","",N1390&amp;"|"&amp;$F1390)</f>
        <v/>
      </c>
      <c r="P1390" s="94">
        <f>IF($A1390="",0,$H1390*설정!$C$23)</f>
        <v/>
      </c>
      <c r="Q1390" s="64">
        <f>IF($A1390="","",IF(O1390&lt;&gt;원인분석!$C$9,"",IF(AND(M1390&gt;=원인분석!$C$10,M1390&lt;=원인분석!$C$11),"당기",IF(AND(M1390&gt;=원인분석!$C$12,M1390&lt;=원인분석!$C$13),"비교",""))))</f>
        <v/>
      </c>
      <c r="R1390" s="9">
        <f>IF(Q1390="","",$K1390&amp;"")</f>
        <v/>
      </c>
      <c r="S1390" s="9">
        <f>IF(Q1390="","",IF(MATCH(R1390,$R$5:$R$100000,0)=ROW()-4,ROW(),""))</f>
        <v/>
      </c>
      <c r="T1390" s="9">
        <f>IF(Q1390="당기",ABS(P1390)+ROW()/1000000000,"")</f>
        <v/>
      </c>
      <c r="U1390" s="9">
        <f>IF(Q1390="비교",ABS(P1390)+ROW()/1000000000,"")</f>
        <v/>
      </c>
      <c r="V1390" s="64">
        <f>IF($A1390="","",IF(COUNTIF(변동분석!$E$7:$E$506,O1390)&gt;0,"Y","N"))</f>
        <v/>
      </c>
      <c r="W1390" s="64">
        <f>IF($A1390="","",IFERROR(INDEX(계정매핑!$D$5:$D$504,MATCH($F1390&amp;"",계정매핑!$A$5:$A$504,0)),"미매핑"))</f>
        <v/>
      </c>
      <c r="X1390" s="9">
        <f>IF($A1390="","",$F1390&amp;"")</f>
        <v/>
      </c>
      <c r="Y1390" s="94">
        <f>IF($A1390="",0,IF(AE1390="직접",IF(AF1390="비귀속",$P1390,0),$P1390*(1-AG1390)*IFERROR(INDEX(계정대체기준!$F$20:$F$49,MATCH($N1390,계정대체기준!$A$20:$A$49,0)),1)))</f>
        <v/>
      </c>
      <c r="Z1390" s="94">
        <f>IF($A1390="",0,IF(AE1390="직접",IF(AF1390="신계약비",$P1390,0),$P1390*(1-AG1390)*IFERROR(INDEX(계정대체기준!$C$20:$C$49,MATCH($N1390,계정대체기준!$A$20:$A$49,0)),0)))</f>
        <v/>
      </c>
      <c r="AA1390" s="94">
        <f>IF($A1390="",0,IF(AE1390="직접",IF(OR(AF1390="유지비",AF1390="손해조사비"),$P1390,0),$P1390*(1-AG1390)*IFERROR(INDEX(계정대체기준!$D$20:$D$49,MATCH($N1390,계정대체기준!$A$20:$A$49,0)),0)))</f>
        <v/>
      </c>
      <c r="AB1390" s="94">
        <f>IF($A1390="",0,IF(AE1390="직접",IF(AF1390="수금비",$P1390,0),$P1390*(1-AG1390)*IFERROR(INDEX(계정대체기준!$E$20:$E$49,MATCH($N1390,계정대체기준!$A$20:$A$49,0)),0)))</f>
        <v/>
      </c>
      <c r="AC1390" s="9">
        <f>IF(AND($A1390&lt;&gt;"",M1390=설정!$C$20,Z1390&gt;0),Z1390+ROW()/1000000000,"")</f>
        <v/>
      </c>
      <c r="AD1390" s="94">
        <f>IF($A1390="",0,$P1390*AG1390)</f>
        <v/>
      </c>
      <c r="AE1390" s="64">
        <f>IF($A1390="","",IFERROR(INDEX(계정매핑!$E$5:$E$504,MATCH($F1390&amp;"",계정매핑!$A$5:$A$504,0))&amp;"","공통비"))</f>
        <v/>
      </c>
      <c r="AF1390" s="64">
        <f>IF($A1390="","",IF(AE1390="직접",IFERROR(INDEX(계정매핑!$F$5:$F$504,MATCH($F1390&amp;"",계정매핑!$A$5:$A$504,0))&amp;"","비귀속"),""))</f>
        <v/>
      </c>
      <c r="AG1390" s="96">
        <f>IF($A1390="",0,IF(AND(AE1390&lt;&gt;"직접",IFERROR(INDEX(계정매핑!$G$5:$G$504,MATCH($F1390&amp;"",계정매핑!$A$5:$A$504,0))&amp;"","")="유지비",COUNTIF(계정대체기준!$A$6:$A$15,$N1390)&gt;0),IFERROR(INDEX(계정대체기준!$E$6:$E$15,MATCH(VALUE($A1390&amp;""),계정대체기준!$D$6:$D$15,0)),0),0))</f>
        <v/>
      </c>
      <c r="AH1390" s="64">
        <f>IF($A1390="","",IF(AD1390=0,"",IF(OR(COUNTIF(계정대체기준!$A$77:$A$86,$N1390)&gt;0,ISNUMBER(MATCH($X1390,계정대체기준!$D$77:$D$86,0)),ISNUMBER(MATCH($F1390,계정대체기준!$D$77:$D$86,0))),"Y","N")))</f>
        <v/>
      </c>
    </row>
    <row r="1391">
      <c r="A1391" s="92" t="n">
        <v>2025</v>
      </c>
      <c r="B1391" s="92" t="n">
        <v>7</v>
      </c>
      <c r="C1391" s="92" t="inlineStr">
        <is>
          <t>5100001387</t>
        </is>
      </c>
      <c r="D1391" s="95" t="n">
        <v>45842</v>
      </c>
      <c r="E1391" s="92" t="inlineStr">
        <is>
          <t>KR</t>
        </is>
      </c>
      <c r="F1391" s="92" t="n">
        <v>62102000</v>
      </c>
      <c r="G1391" s="92" t="n">
        <v>1401</v>
      </c>
      <c r="H1391" s="93" t="n">
        <v>81000</v>
      </c>
      <c r="I1391" s="92" t="inlineStr">
        <is>
          <t>7월 해외출장 - M항공</t>
        </is>
      </c>
      <c r="J1391" s="92" t="inlineStr">
        <is>
          <t>V10001</t>
        </is>
      </c>
      <c r="K1391" s="92" t="inlineStr">
        <is>
          <t>M항공</t>
        </is>
      </c>
      <c r="M1391" s="9">
        <f>IF($A1391="","",VALUE($A1391&amp;"")*12+VALUE($B1391&amp;""))</f>
        <v/>
      </c>
      <c r="N1391" s="64">
        <f>IF($A1391="","",IFERROR(INDEX(부서매핑!$C$5:$C$504,MATCH($G1391&amp;"",부서매핑!$A$5:$A$504,0)),"미매핑"))</f>
        <v/>
      </c>
      <c r="O1391" s="9">
        <f>IF($A1391="","",N1391&amp;"|"&amp;$F1391)</f>
        <v/>
      </c>
      <c r="P1391" s="94">
        <f>IF($A1391="",0,$H1391*설정!$C$23)</f>
        <v/>
      </c>
      <c r="Q1391" s="64">
        <f>IF($A1391="","",IF(O1391&lt;&gt;원인분석!$C$9,"",IF(AND(M1391&gt;=원인분석!$C$10,M1391&lt;=원인분석!$C$11),"당기",IF(AND(M1391&gt;=원인분석!$C$12,M1391&lt;=원인분석!$C$13),"비교",""))))</f>
        <v/>
      </c>
      <c r="R1391" s="9">
        <f>IF(Q1391="","",$K1391&amp;"")</f>
        <v/>
      </c>
      <c r="S1391" s="9">
        <f>IF(Q1391="","",IF(MATCH(R1391,$R$5:$R$100000,0)=ROW()-4,ROW(),""))</f>
        <v/>
      </c>
      <c r="T1391" s="9">
        <f>IF(Q1391="당기",ABS(P1391)+ROW()/1000000000,"")</f>
        <v/>
      </c>
      <c r="U1391" s="9">
        <f>IF(Q1391="비교",ABS(P1391)+ROW()/1000000000,"")</f>
        <v/>
      </c>
      <c r="V1391" s="64">
        <f>IF($A1391="","",IF(COUNTIF(변동분석!$E$7:$E$506,O1391)&gt;0,"Y","N"))</f>
        <v/>
      </c>
      <c r="W1391" s="64">
        <f>IF($A1391="","",IFERROR(INDEX(계정매핑!$D$5:$D$504,MATCH($F1391&amp;"",계정매핑!$A$5:$A$504,0)),"미매핑"))</f>
        <v/>
      </c>
      <c r="X1391" s="9">
        <f>IF($A1391="","",$F1391&amp;"")</f>
        <v/>
      </c>
      <c r="Y1391" s="94">
        <f>IF($A1391="",0,IF(AE1391="직접",IF(AF1391="비귀속",$P1391,0),$P1391*(1-AG1391)*IFERROR(INDEX(계정대체기준!$F$20:$F$49,MATCH($N1391,계정대체기준!$A$20:$A$49,0)),1)))</f>
        <v/>
      </c>
      <c r="Z1391" s="94">
        <f>IF($A1391="",0,IF(AE1391="직접",IF(AF1391="신계약비",$P1391,0),$P1391*(1-AG1391)*IFERROR(INDEX(계정대체기준!$C$20:$C$49,MATCH($N1391,계정대체기준!$A$20:$A$49,0)),0)))</f>
        <v/>
      </c>
      <c r="AA1391" s="94">
        <f>IF($A1391="",0,IF(AE1391="직접",IF(OR(AF1391="유지비",AF1391="손해조사비"),$P1391,0),$P1391*(1-AG1391)*IFERROR(INDEX(계정대체기준!$D$20:$D$49,MATCH($N1391,계정대체기준!$A$20:$A$49,0)),0)))</f>
        <v/>
      </c>
      <c r="AB1391" s="94">
        <f>IF($A1391="",0,IF(AE1391="직접",IF(AF1391="수금비",$P1391,0),$P1391*(1-AG1391)*IFERROR(INDEX(계정대체기준!$E$20:$E$49,MATCH($N1391,계정대체기준!$A$20:$A$49,0)),0)))</f>
        <v/>
      </c>
      <c r="AC1391" s="9">
        <f>IF(AND($A1391&lt;&gt;"",M1391=설정!$C$20,Z1391&gt;0),Z1391+ROW()/1000000000,"")</f>
        <v/>
      </c>
      <c r="AD1391" s="94">
        <f>IF($A1391="",0,$P1391*AG1391)</f>
        <v/>
      </c>
      <c r="AE1391" s="64">
        <f>IF($A1391="","",IFERROR(INDEX(계정매핑!$E$5:$E$504,MATCH($F1391&amp;"",계정매핑!$A$5:$A$504,0))&amp;"","공통비"))</f>
        <v/>
      </c>
      <c r="AF1391" s="64">
        <f>IF($A1391="","",IF(AE1391="직접",IFERROR(INDEX(계정매핑!$F$5:$F$504,MATCH($F1391&amp;"",계정매핑!$A$5:$A$504,0))&amp;"","비귀속"),""))</f>
        <v/>
      </c>
      <c r="AG1391" s="96">
        <f>IF($A1391="",0,IF(AND(AE1391&lt;&gt;"직접",IFERROR(INDEX(계정매핑!$G$5:$G$504,MATCH($F1391&amp;"",계정매핑!$A$5:$A$504,0))&amp;"","")="유지비",COUNTIF(계정대체기준!$A$6:$A$15,$N1391)&gt;0),IFERROR(INDEX(계정대체기준!$E$6:$E$15,MATCH(VALUE($A1391&amp;""),계정대체기준!$D$6:$D$15,0)),0),0))</f>
        <v/>
      </c>
      <c r="AH1391" s="64">
        <f>IF($A1391="","",IF(AD1391=0,"",IF(OR(COUNTIF(계정대체기준!$A$77:$A$86,$N1391)&gt;0,ISNUMBER(MATCH($X1391,계정대체기준!$D$77:$D$86,0)),ISNUMBER(MATCH($F1391,계정대체기준!$D$77:$D$86,0))),"Y","N")))</f>
        <v/>
      </c>
    </row>
    <row r="1392">
      <c r="A1392" s="92" t="n">
        <v>2025</v>
      </c>
      <c r="B1392" s="92" t="n">
        <v>7</v>
      </c>
      <c r="C1392" s="92" t="inlineStr">
        <is>
          <t>5100001388</t>
        </is>
      </c>
      <c r="D1392" s="95" t="n">
        <v>45842</v>
      </c>
      <c r="E1392" s="92" t="inlineStr">
        <is>
          <t>KR</t>
        </is>
      </c>
      <c r="F1392" s="92" t="n">
        <v>62201000</v>
      </c>
      <c r="G1392" s="92" t="n">
        <v>1301</v>
      </c>
      <c r="H1392" s="93" t="n">
        <v>148000</v>
      </c>
      <c r="I1392" s="92" t="inlineStr">
        <is>
          <t>7월 통신요금 - O텔레콤</t>
        </is>
      </c>
      <c r="J1392" s="92" t="inlineStr">
        <is>
          <t>V10002</t>
        </is>
      </c>
      <c r="K1392" s="92" t="inlineStr">
        <is>
          <t>O텔레콤</t>
        </is>
      </c>
      <c r="M1392" s="9">
        <f>IF($A1392="","",VALUE($A1392&amp;"")*12+VALUE($B1392&amp;""))</f>
        <v/>
      </c>
      <c r="N1392" s="64">
        <f>IF($A1392="","",IFERROR(INDEX(부서매핑!$C$5:$C$504,MATCH($G1392&amp;"",부서매핑!$A$5:$A$504,0)),"미매핑"))</f>
        <v/>
      </c>
      <c r="O1392" s="9">
        <f>IF($A1392="","",N1392&amp;"|"&amp;$F1392)</f>
        <v/>
      </c>
      <c r="P1392" s="94">
        <f>IF($A1392="",0,$H1392*설정!$C$23)</f>
        <v/>
      </c>
      <c r="Q1392" s="64">
        <f>IF($A1392="","",IF(O1392&lt;&gt;원인분석!$C$9,"",IF(AND(M1392&gt;=원인분석!$C$10,M1392&lt;=원인분석!$C$11),"당기",IF(AND(M1392&gt;=원인분석!$C$12,M1392&lt;=원인분석!$C$13),"비교",""))))</f>
        <v/>
      </c>
      <c r="R1392" s="9">
        <f>IF(Q1392="","",$K1392&amp;"")</f>
        <v/>
      </c>
      <c r="S1392" s="9">
        <f>IF(Q1392="","",IF(MATCH(R1392,$R$5:$R$100000,0)=ROW()-4,ROW(),""))</f>
        <v/>
      </c>
      <c r="T1392" s="9">
        <f>IF(Q1392="당기",ABS(P1392)+ROW()/1000000000,"")</f>
        <v/>
      </c>
      <c r="U1392" s="9">
        <f>IF(Q1392="비교",ABS(P1392)+ROW()/1000000000,"")</f>
        <v/>
      </c>
      <c r="V1392" s="64">
        <f>IF($A1392="","",IF(COUNTIF(변동분석!$E$7:$E$506,O1392)&gt;0,"Y","N"))</f>
        <v/>
      </c>
      <c r="W1392" s="64">
        <f>IF($A1392="","",IFERROR(INDEX(계정매핑!$D$5:$D$504,MATCH($F1392&amp;"",계정매핑!$A$5:$A$504,0)),"미매핑"))</f>
        <v/>
      </c>
      <c r="X1392" s="9">
        <f>IF($A1392="","",$F1392&amp;"")</f>
        <v/>
      </c>
      <c r="Y1392" s="94">
        <f>IF($A1392="",0,IF(AE1392="직접",IF(AF1392="비귀속",$P1392,0),$P1392*(1-AG1392)*IFERROR(INDEX(계정대체기준!$F$20:$F$49,MATCH($N1392,계정대체기준!$A$20:$A$49,0)),1)))</f>
        <v/>
      </c>
      <c r="Z1392" s="94">
        <f>IF($A1392="",0,IF(AE1392="직접",IF(AF1392="신계약비",$P1392,0),$P1392*(1-AG1392)*IFERROR(INDEX(계정대체기준!$C$20:$C$49,MATCH($N1392,계정대체기준!$A$20:$A$49,0)),0)))</f>
        <v/>
      </c>
      <c r="AA1392" s="94">
        <f>IF($A1392="",0,IF(AE1392="직접",IF(OR(AF1392="유지비",AF1392="손해조사비"),$P1392,0),$P1392*(1-AG1392)*IFERROR(INDEX(계정대체기준!$D$20:$D$49,MATCH($N1392,계정대체기준!$A$20:$A$49,0)),0)))</f>
        <v/>
      </c>
      <c r="AB1392" s="94">
        <f>IF($A1392="",0,IF(AE1392="직접",IF(AF1392="수금비",$P1392,0),$P1392*(1-AG1392)*IFERROR(INDEX(계정대체기준!$E$20:$E$49,MATCH($N1392,계정대체기준!$A$20:$A$49,0)),0)))</f>
        <v/>
      </c>
      <c r="AC1392" s="9">
        <f>IF(AND($A1392&lt;&gt;"",M1392=설정!$C$20,Z1392&gt;0),Z1392+ROW()/1000000000,"")</f>
        <v/>
      </c>
      <c r="AD1392" s="94">
        <f>IF($A1392="",0,$P1392*AG1392)</f>
        <v/>
      </c>
      <c r="AE1392" s="64">
        <f>IF($A1392="","",IFERROR(INDEX(계정매핑!$E$5:$E$504,MATCH($F1392&amp;"",계정매핑!$A$5:$A$504,0))&amp;"","공통비"))</f>
        <v/>
      </c>
      <c r="AF1392" s="64">
        <f>IF($A1392="","",IF(AE1392="직접",IFERROR(INDEX(계정매핑!$F$5:$F$504,MATCH($F1392&amp;"",계정매핑!$A$5:$A$504,0))&amp;"","비귀속"),""))</f>
        <v/>
      </c>
      <c r="AG1392" s="96">
        <f>IF($A1392="",0,IF(AND(AE1392&lt;&gt;"직접",IFERROR(INDEX(계정매핑!$G$5:$G$504,MATCH($F1392&amp;"",계정매핑!$A$5:$A$504,0))&amp;"","")="유지비",COUNTIF(계정대체기준!$A$6:$A$15,$N1392)&gt;0),IFERROR(INDEX(계정대체기준!$E$6:$E$15,MATCH(VALUE($A1392&amp;""),계정대체기준!$D$6:$D$15,0)),0),0))</f>
        <v/>
      </c>
      <c r="AH1392" s="64">
        <f>IF($A1392="","",IF(AD1392=0,"",IF(OR(COUNTIF(계정대체기준!$A$77:$A$86,$N1392)&gt;0,ISNUMBER(MATCH($X1392,계정대체기준!$D$77:$D$86,0)),ISNUMBER(MATCH($F1392,계정대체기준!$D$77:$D$86,0))),"Y","N")))</f>
        <v/>
      </c>
    </row>
    <row r="1393">
      <c r="A1393" s="92" t="n">
        <v>2025</v>
      </c>
      <c r="B1393" s="92" t="n">
        <v>7</v>
      </c>
      <c r="C1393" s="92" t="inlineStr">
        <is>
          <t>5100001389</t>
        </is>
      </c>
      <c r="D1393" s="95" t="n">
        <v>45842</v>
      </c>
      <c r="E1393" s="92" t="inlineStr">
        <is>
          <t>KR</t>
        </is>
      </c>
      <c r="F1393" s="92" t="n">
        <v>62401000</v>
      </c>
      <c r="G1393" s="92" t="n">
        <v>1801</v>
      </c>
      <c r="H1393" s="93" t="n">
        <v>1775000</v>
      </c>
      <c r="I1393" s="92" t="inlineStr">
        <is>
          <t>7월 인쇄물 제작 - G인쇄</t>
        </is>
      </c>
      <c r="J1393" s="92" t="inlineStr">
        <is>
          <t>V10004</t>
        </is>
      </c>
      <c r="K1393" s="92" t="inlineStr">
        <is>
          <t>G인쇄</t>
        </is>
      </c>
      <c r="M1393" s="9">
        <f>IF($A1393="","",VALUE($A1393&amp;"")*12+VALUE($B1393&amp;""))</f>
        <v/>
      </c>
      <c r="N1393" s="64">
        <f>IF($A1393="","",IFERROR(INDEX(부서매핑!$C$5:$C$504,MATCH($G1393&amp;"",부서매핑!$A$5:$A$504,0)),"미매핑"))</f>
        <v/>
      </c>
      <c r="O1393" s="9">
        <f>IF($A1393="","",N1393&amp;"|"&amp;$F1393)</f>
        <v/>
      </c>
      <c r="P1393" s="94">
        <f>IF($A1393="",0,$H1393*설정!$C$23)</f>
        <v/>
      </c>
      <c r="Q1393" s="64">
        <f>IF($A1393="","",IF(O1393&lt;&gt;원인분석!$C$9,"",IF(AND(M1393&gt;=원인분석!$C$10,M1393&lt;=원인분석!$C$11),"당기",IF(AND(M1393&gt;=원인분석!$C$12,M1393&lt;=원인분석!$C$13),"비교",""))))</f>
        <v/>
      </c>
      <c r="R1393" s="9">
        <f>IF(Q1393="","",$K1393&amp;"")</f>
        <v/>
      </c>
      <c r="S1393" s="9">
        <f>IF(Q1393="","",IF(MATCH(R1393,$R$5:$R$100000,0)=ROW()-4,ROW(),""))</f>
        <v/>
      </c>
      <c r="T1393" s="9">
        <f>IF(Q1393="당기",ABS(P1393)+ROW()/1000000000,"")</f>
        <v/>
      </c>
      <c r="U1393" s="9">
        <f>IF(Q1393="비교",ABS(P1393)+ROW()/1000000000,"")</f>
        <v/>
      </c>
      <c r="V1393" s="64">
        <f>IF($A1393="","",IF(COUNTIF(변동분석!$E$7:$E$506,O1393)&gt;0,"Y","N"))</f>
        <v/>
      </c>
      <c r="W1393" s="64">
        <f>IF($A1393="","",IFERROR(INDEX(계정매핑!$D$5:$D$504,MATCH($F1393&amp;"",계정매핑!$A$5:$A$504,0)),"미매핑"))</f>
        <v/>
      </c>
      <c r="X1393" s="9">
        <f>IF($A1393="","",$F1393&amp;"")</f>
        <v/>
      </c>
      <c r="Y1393" s="94">
        <f>IF($A1393="",0,IF(AE1393="직접",IF(AF1393="비귀속",$P1393,0),$P1393*(1-AG1393)*IFERROR(INDEX(계정대체기준!$F$20:$F$49,MATCH($N1393,계정대체기준!$A$20:$A$49,0)),1)))</f>
        <v/>
      </c>
      <c r="Z1393" s="94">
        <f>IF($A1393="",0,IF(AE1393="직접",IF(AF1393="신계약비",$P1393,0),$P1393*(1-AG1393)*IFERROR(INDEX(계정대체기준!$C$20:$C$49,MATCH($N1393,계정대체기준!$A$20:$A$49,0)),0)))</f>
        <v/>
      </c>
      <c r="AA1393" s="94">
        <f>IF($A1393="",0,IF(AE1393="직접",IF(OR(AF1393="유지비",AF1393="손해조사비"),$P1393,0),$P1393*(1-AG1393)*IFERROR(INDEX(계정대체기준!$D$20:$D$49,MATCH($N1393,계정대체기준!$A$20:$A$49,0)),0)))</f>
        <v/>
      </c>
      <c r="AB1393" s="94">
        <f>IF($A1393="",0,IF(AE1393="직접",IF(AF1393="수금비",$P1393,0),$P1393*(1-AG1393)*IFERROR(INDEX(계정대체기준!$E$20:$E$49,MATCH($N1393,계정대체기준!$A$20:$A$49,0)),0)))</f>
        <v/>
      </c>
      <c r="AC1393" s="9">
        <f>IF(AND($A1393&lt;&gt;"",M1393=설정!$C$20,Z1393&gt;0),Z1393+ROW()/1000000000,"")</f>
        <v/>
      </c>
      <c r="AD1393" s="94">
        <f>IF($A1393="",0,$P1393*AG1393)</f>
        <v/>
      </c>
      <c r="AE1393" s="64">
        <f>IF($A1393="","",IFERROR(INDEX(계정매핑!$E$5:$E$504,MATCH($F1393&amp;"",계정매핑!$A$5:$A$504,0))&amp;"","공통비"))</f>
        <v/>
      </c>
      <c r="AF1393" s="64">
        <f>IF($A1393="","",IF(AE1393="직접",IFERROR(INDEX(계정매핑!$F$5:$F$504,MATCH($F1393&amp;"",계정매핑!$A$5:$A$504,0))&amp;"","비귀속"),""))</f>
        <v/>
      </c>
      <c r="AG1393" s="96">
        <f>IF($A1393="",0,IF(AND(AE1393&lt;&gt;"직접",IFERROR(INDEX(계정매핑!$G$5:$G$504,MATCH($F1393&amp;"",계정매핑!$A$5:$A$504,0))&amp;"","")="유지비",COUNTIF(계정대체기준!$A$6:$A$15,$N1393)&gt;0),IFERROR(INDEX(계정대체기준!$E$6:$E$15,MATCH(VALUE($A1393&amp;""),계정대체기준!$D$6:$D$15,0)),0),0))</f>
        <v/>
      </c>
      <c r="AH1393" s="64">
        <f>IF($A1393="","",IF(AD1393=0,"",IF(OR(COUNTIF(계정대체기준!$A$77:$A$86,$N1393)&gt;0,ISNUMBER(MATCH($X1393,계정대체기준!$D$77:$D$86,0)),ISNUMBER(MATCH($F1393,계정대체기준!$D$77:$D$86,0))),"Y","N")))</f>
        <v/>
      </c>
    </row>
    <row r="1394">
      <c r="A1394" s="92" t="n">
        <v>2025</v>
      </c>
      <c r="B1394" s="92" t="n">
        <v>7</v>
      </c>
      <c r="C1394" s="92" t="inlineStr">
        <is>
          <t>5100001390</t>
        </is>
      </c>
      <c r="D1394" s="95" t="n">
        <v>45842</v>
      </c>
      <c r="E1394" s="92" t="inlineStr">
        <is>
          <t>KR</t>
        </is>
      </c>
      <c r="F1394" s="92" t="n">
        <v>62501000</v>
      </c>
      <c r="G1394" s="92" t="n">
        <v>1301</v>
      </c>
      <c r="H1394" s="93" t="n">
        <v>311000</v>
      </c>
      <c r="I1394" s="92" t="inlineStr">
        <is>
          <t>7월 회의 다과 - (법인카드)</t>
        </is>
      </c>
      <c r="J1394" s="92" t="inlineStr">
        <is>
          <t>V10010</t>
        </is>
      </c>
      <c r="K1394" s="92" t="inlineStr">
        <is>
          <t>(법인카드)</t>
        </is>
      </c>
      <c r="M1394" s="9">
        <f>IF($A1394="","",VALUE($A1394&amp;"")*12+VALUE($B1394&amp;""))</f>
        <v/>
      </c>
      <c r="N1394" s="64">
        <f>IF($A1394="","",IFERROR(INDEX(부서매핑!$C$5:$C$504,MATCH($G1394&amp;"",부서매핑!$A$5:$A$504,0)),"미매핑"))</f>
        <v/>
      </c>
      <c r="O1394" s="9">
        <f>IF($A1394="","",N1394&amp;"|"&amp;$F1394)</f>
        <v/>
      </c>
      <c r="P1394" s="94">
        <f>IF($A1394="",0,$H1394*설정!$C$23)</f>
        <v/>
      </c>
      <c r="Q1394" s="64">
        <f>IF($A1394="","",IF(O1394&lt;&gt;원인분석!$C$9,"",IF(AND(M1394&gt;=원인분석!$C$10,M1394&lt;=원인분석!$C$11),"당기",IF(AND(M1394&gt;=원인분석!$C$12,M1394&lt;=원인분석!$C$13),"비교",""))))</f>
        <v/>
      </c>
      <c r="R1394" s="9">
        <f>IF(Q1394="","",$K1394&amp;"")</f>
        <v/>
      </c>
      <c r="S1394" s="9">
        <f>IF(Q1394="","",IF(MATCH(R1394,$R$5:$R$100000,0)=ROW()-4,ROW(),""))</f>
        <v/>
      </c>
      <c r="T1394" s="9">
        <f>IF(Q1394="당기",ABS(P1394)+ROW()/1000000000,"")</f>
        <v/>
      </c>
      <c r="U1394" s="9">
        <f>IF(Q1394="비교",ABS(P1394)+ROW()/1000000000,"")</f>
        <v/>
      </c>
      <c r="V1394" s="64">
        <f>IF($A1394="","",IF(COUNTIF(변동분석!$E$7:$E$506,O1394)&gt;0,"Y","N"))</f>
        <v/>
      </c>
      <c r="W1394" s="64">
        <f>IF($A1394="","",IFERROR(INDEX(계정매핑!$D$5:$D$504,MATCH($F1394&amp;"",계정매핑!$A$5:$A$504,0)),"미매핑"))</f>
        <v/>
      </c>
      <c r="X1394" s="9">
        <f>IF($A1394="","",$F1394&amp;"")</f>
        <v/>
      </c>
      <c r="Y1394" s="94">
        <f>IF($A1394="",0,IF(AE1394="직접",IF(AF1394="비귀속",$P1394,0),$P1394*(1-AG1394)*IFERROR(INDEX(계정대체기준!$F$20:$F$49,MATCH($N1394,계정대체기준!$A$20:$A$49,0)),1)))</f>
        <v/>
      </c>
      <c r="Z1394" s="94">
        <f>IF($A1394="",0,IF(AE1394="직접",IF(AF1394="신계약비",$P1394,0),$P1394*(1-AG1394)*IFERROR(INDEX(계정대체기준!$C$20:$C$49,MATCH($N1394,계정대체기준!$A$20:$A$49,0)),0)))</f>
        <v/>
      </c>
      <c r="AA1394" s="94">
        <f>IF($A1394="",0,IF(AE1394="직접",IF(OR(AF1394="유지비",AF1394="손해조사비"),$P1394,0),$P1394*(1-AG1394)*IFERROR(INDEX(계정대체기준!$D$20:$D$49,MATCH($N1394,계정대체기준!$A$20:$A$49,0)),0)))</f>
        <v/>
      </c>
      <c r="AB1394" s="94">
        <f>IF($A1394="",0,IF(AE1394="직접",IF(AF1394="수금비",$P1394,0),$P1394*(1-AG1394)*IFERROR(INDEX(계정대체기준!$E$20:$E$49,MATCH($N1394,계정대체기준!$A$20:$A$49,0)),0)))</f>
        <v/>
      </c>
      <c r="AC1394" s="9">
        <f>IF(AND($A1394&lt;&gt;"",M1394=설정!$C$20,Z1394&gt;0),Z1394+ROW()/1000000000,"")</f>
        <v/>
      </c>
      <c r="AD1394" s="94">
        <f>IF($A1394="",0,$P1394*AG1394)</f>
        <v/>
      </c>
      <c r="AE1394" s="64">
        <f>IF($A1394="","",IFERROR(INDEX(계정매핑!$E$5:$E$504,MATCH($F1394&amp;"",계정매핑!$A$5:$A$504,0))&amp;"","공통비"))</f>
        <v/>
      </c>
      <c r="AF1394" s="64">
        <f>IF($A1394="","",IF(AE1394="직접",IFERROR(INDEX(계정매핑!$F$5:$F$504,MATCH($F1394&amp;"",계정매핑!$A$5:$A$504,0))&amp;"","비귀속"),""))</f>
        <v/>
      </c>
      <c r="AG1394" s="96">
        <f>IF($A1394="",0,IF(AND(AE1394&lt;&gt;"직접",IFERROR(INDEX(계정매핑!$G$5:$G$504,MATCH($F1394&amp;"",계정매핑!$A$5:$A$504,0))&amp;"","")="유지비",COUNTIF(계정대체기준!$A$6:$A$15,$N1394)&gt;0),IFERROR(INDEX(계정대체기준!$E$6:$E$15,MATCH(VALUE($A1394&amp;""),계정대체기준!$D$6:$D$15,0)),0),0))</f>
        <v/>
      </c>
      <c r="AH1394" s="64">
        <f>IF($A1394="","",IF(AD1394=0,"",IF(OR(COUNTIF(계정대체기준!$A$77:$A$86,$N1394)&gt;0,ISNUMBER(MATCH($X1394,계정대체기준!$D$77:$D$86,0)),ISNUMBER(MATCH($F1394,계정대체기준!$D$77:$D$86,0))),"Y","N")))</f>
        <v/>
      </c>
    </row>
    <row r="1395">
      <c r="A1395" s="92" t="n">
        <v>2025</v>
      </c>
      <c r="B1395" s="92" t="n">
        <v>7</v>
      </c>
      <c r="C1395" s="92" t="inlineStr">
        <is>
          <t>5100001391</t>
        </is>
      </c>
      <c r="D1395" s="95" t="n">
        <v>45842</v>
      </c>
      <c r="E1395" s="92" t="inlineStr">
        <is>
          <t>KR</t>
        </is>
      </c>
      <c r="F1395" s="92" t="n">
        <v>62501000</v>
      </c>
      <c r="G1395" s="92" t="n">
        <v>1401</v>
      </c>
      <c r="H1395" s="93" t="n">
        <v>214000</v>
      </c>
      <c r="I1395" s="92" t="inlineStr">
        <is>
          <t>7월 회의 다과 - (법인카드)</t>
        </is>
      </c>
      <c r="J1395" s="92" t="inlineStr">
        <is>
          <t>V10010</t>
        </is>
      </c>
      <c r="K1395" s="92" t="inlineStr">
        <is>
          <t>(법인카드)</t>
        </is>
      </c>
      <c r="M1395" s="9">
        <f>IF($A1395="","",VALUE($A1395&amp;"")*12+VALUE($B1395&amp;""))</f>
        <v/>
      </c>
      <c r="N1395" s="64">
        <f>IF($A1395="","",IFERROR(INDEX(부서매핑!$C$5:$C$504,MATCH($G1395&amp;"",부서매핑!$A$5:$A$504,0)),"미매핑"))</f>
        <v/>
      </c>
      <c r="O1395" s="9">
        <f>IF($A1395="","",N1395&amp;"|"&amp;$F1395)</f>
        <v/>
      </c>
      <c r="P1395" s="94">
        <f>IF($A1395="",0,$H1395*설정!$C$23)</f>
        <v/>
      </c>
      <c r="Q1395" s="64">
        <f>IF($A1395="","",IF(O1395&lt;&gt;원인분석!$C$9,"",IF(AND(M1395&gt;=원인분석!$C$10,M1395&lt;=원인분석!$C$11),"당기",IF(AND(M1395&gt;=원인분석!$C$12,M1395&lt;=원인분석!$C$13),"비교",""))))</f>
        <v/>
      </c>
      <c r="R1395" s="9">
        <f>IF(Q1395="","",$K1395&amp;"")</f>
        <v/>
      </c>
      <c r="S1395" s="9">
        <f>IF(Q1395="","",IF(MATCH(R1395,$R$5:$R$100000,0)=ROW()-4,ROW(),""))</f>
        <v/>
      </c>
      <c r="T1395" s="9">
        <f>IF(Q1395="당기",ABS(P1395)+ROW()/1000000000,"")</f>
        <v/>
      </c>
      <c r="U1395" s="9">
        <f>IF(Q1395="비교",ABS(P1395)+ROW()/1000000000,"")</f>
        <v/>
      </c>
      <c r="V1395" s="64">
        <f>IF($A1395="","",IF(COUNTIF(변동분석!$E$7:$E$506,O1395)&gt;0,"Y","N"))</f>
        <v/>
      </c>
      <c r="W1395" s="64">
        <f>IF($A1395="","",IFERROR(INDEX(계정매핑!$D$5:$D$504,MATCH($F1395&amp;"",계정매핑!$A$5:$A$504,0)),"미매핑"))</f>
        <v/>
      </c>
      <c r="X1395" s="9">
        <f>IF($A1395="","",$F1395&amp;"")</f>
        <v/>
      </c>
      <c r="Y1395" s="94">
        <f>IF($A1395="",0,IF(AE1395="직접",IF(AF1395="비귀속",$P1395,0),$P1395*(1-AG1395)*IFERROR(INDEX(계정대체기준!$F$20:$F$49,MATCH($N1395,계정대체기준!$A$20:$A$49,0)),1)))</f>
        <v/>
      </c>
      <c r="Z1395" s="94">
        <f>IF($A1395="",0,IF(AE1395="직접",IF(AF1395="신계약비",$P1395,0),$P1395*(1-AG1395)*IFERROR(INDEX(계정대체기준!$C$20:$C$49,MATCH($N1395,계정대체기준!$A$20:$A$49,0)),0)))</f>
        <v/>
      </c>
      <c r="AA1395" s="94">
        <f>IF($A1395="",0,IF(AE1395="직접",IF(OR(AF1395="유지비",AF1395="손해조사비"),$P1395,0),$P1395*(1-AG1395)*IFERROR(INDEX(계정대체기준!$D$20:$D$49,MATCH($N1395,계정대체기준!$A$20:$A$49,0)),0)))</f>
        <v/>
      </c>
      <c r="AB1395" s="94">
        <f>IF($A1395="",0,IF(AE1395="직접",IF(AF1395="수금비",$P1395,0),$P1395*(1-AG1395)*IFERROR(INDEX(계정대체기준!$E$20:$E$49,MATCH($N1395,계정대체기준!$A$20:$A$49,0)),0)))</f>
        <v/>
      </c>
      <c r="AC1395" s="9">
        <f>IF(AND($A1395&lt;&gt;"",M1395=설정!$C$20,Z1395&gt;0),Z1395+ROW()/1000000000,"")</f>
        <v/>
      </c>
      <c r="AD1395" s="94">
        <f>IF($A1395="",0,$P1395*AG1395)</f>
        <v/>
      </c>
      <c r="AE1395" s="64">
        <f>IF($A1395="","",IFERROR(INDEX(계정매핑!$E$5:$E$504,MATCH($F1395&amp;"",계정매핑!$A$5:$A$504,0))&amp;"","공통비"))</f>
        <v/>
      </c>
      <c r="AF1395" s="64">
        <f>IF($A1395="","",IF(AE1395="직접",IFERROR(INDEX(계정매핑!$F$5:$F$504,MATCH($F1395&amp;"",계정매핑!$A$5:$A$504,0))&amp;"","비귀속"),""))</f>
        <v/>
      </c>
      <c r="AG1395" s="96">
        <f>IF($A1395="",0,IF(AND(AE1395&lt;&gt;"직접",IFERROR(INDEX(계정매핑!$G$5:$G$504,MATCH($F1395&amp;"",계정매핑!$A$5:$A$504,0))&amp;"","")="유지비",COUNTIF(계정대체기준!$A$6:$A$15,$N1395)&gt;0),IFERROR(INDEX(계정대체기준!$E$6:$E$15,MATCH(VALUE($A1395&amp;""),계정대체기준!$D$6:$D$15,0)),0),0))</f>
        <v/>
      </c>
      <c r="AH1395" s="64">
        <f>IF($A1395="","",IF(AD1395=0,"",IF(OR(COUNTIF(계정대체기준!$A$77:$A$86,$N1395)&gt;0,ISNUMBER(MATCH($X1395,계정대체기준!$D$77:$D$86,0)),ISNUMBER(MATCH($F1395,계정대체기준!$D$77:$D$86,0))),"Y","N")))</f>
        <v/>
      </c>
    </row>
    <row r="1396">
      <c r="A1396" s="92" t="n">
        <v>2025</v>
      </c>
      <c r="B1396" s="92" t="n">
        <v>7</v>
      </c>
      <c r="C1396" s="92" t="inlineStr">
        <is>
          <t>5100001392</t>
        </is>
      </c>
      <c r="D1396" s="95" t="n">
        <v>45842</v>
      </c>
      <c r="E1396" s="92" t="inlineStr">
        <is>
          <t>KR</t>
        </is>
      </c>
      <c r="F1396" s="92" t="n">
        <v>62501000</v>
      </c>
      <c r="G1396" s="92" t="n">
        <v>1501</v>
      </c>
      <c r="H1396" s="93" t="n">
        <v>530000</v>
      </c>
      <c r="I1396" s="92" t="inlineStr">
        <is>
          <t>7월 회의 다과 - (법인카드)</t>
        </is>
      </c>
      <c r="J1396" s="92" t="inlineStr">
        <is>
          <t>V10010</t>
        </is>
      </c>
      <c r="K1396" s="92" t="inlineStr">
        <is>
          <t>(법인카드)</t>
        </is>
      </c>
      <c r="M1396" s="9">
        <f>IF($A1396="","",VALUE($A1396&amp;"")*12+VALUE($B1396&amp;""))</f>
        <v/>
      </c>
      <c r="N1396" s="64">
        <f>IF($A1396="","",IFERROR(INDEX(부서매핑!$C$5:$C$504,MATCH($G1396&amp;"",부서매핑!$A$5:$A$504,0)),"미매핑"))</f>
        <v/>
      </c>
      <c r="O1396" s="9">
        <f>IF($A1396="","",N1396&amp;"|"&amp;$F1396)</f>
        <v/>
      </c>
      <c r="P1396" s="94">
        <f>IF($A1396="",0,$H1396*설정!$C$23)</f>
        <v/>
      </c>
      <c r="Q1396" s="64">
        <f>IF($A1396="","",IF(O1396&lt;&gt;원인분석!$C$9,"",IF(AND(M1396&gt;=원인분석!$C$10,M1396&lt;=원인분석!$C$11),"당기",IF(AND(M1396&gt;=원인분석!$C$12,M1396&lt;=원인분석!$C$13),"비교",""))))</f>
        <v/>
      </c>
      <c r="R1396" s="9">
        <f>IF(Q1396="","",$K1396&amp;"")</f>
        <v/>
      </c>
      <c r="S1396" s="9">
        <f>IF(Q1396="","",IF(MATCH(R1396,$R$5:$R$100000,0)=ROW()-4,ROW(),""))</f>
        <v/>
      </c>
      <c r="T1396" s="9">
        <f>IF(Q1396="당기",ABS(P1396)+ROW()/1000000000,"")</f>
        <v/>
      </c>
      <c r="U1396" s="9">
        <f>IF(Q1396="비교",ABS(P1396)+ROW()/1000000000,"")</f>
        <v/>
      </c>
      <c r="V1396" s="64">
        <f>IF($A1396="","",IF(COUNTIF(변동분석!$E$7:$E$506,O1396)&gt;0,"Y","N"))</f>
        <v/>
      </c>
      <c r="W1396" s="64">
        <f>IF($A1396="","",IFERROR(INDEX(계정매핑!$D$5:$D$504,MATCH($F1396&amp;"",계정매핑!$A$5:$A$504,0)),"미매핑"))</f>
        <v/>
      </c>
      <c r="X1396" s="9">
        <f>IF($A1396="","",$F1396&amp;"")</f>
        <v/>
      </c>
      <c r="Y1396" s="94">
        <f>IF($A1396="",0,IF(AE1396="직접",IF(AF1396="비귀속",$P1396,0),$P1396*(1-AG1396)*IFERROR(INDEX(계정대체기준!$F$20:$F$49,MATCH($N1396,계정대체기준!$A$20:$A$49,0)),1)))</f>
        <v/>
      </c>
      <c r="Z1396" s="94">
        <f>IF($A1396="",0,IF(AE1396="직접",IF(AF1396="신계약비",$P1396,0),$P1396*(1-AG1396)*IFERROR(INDEX(계정대체기준!$C$20:$C$49,MATCH($N1396,계정대체기준!$A$20:$A$49,0)),0)))</f>
        <v/>
      </c>
      <c r="AA1396" s="94">
        <f>IF($A1396="",0,IF(AE1396="직접",IF(OR(AF1396="유지비",AF1396="손해조사비"),$P1396,0),$P1396*(1-AG1396)*IFERROR(INDEX(계정대체기준!$D$20:$D$49,MATCH($N1396,계정대체기준!$A$20:$A$49,0)),0)))</f>
        <v/>
      </c>
      <c r="AB1396" s="94">
        <f>IF($A1396="",0,IF(AE1396="직접",IF(AF1396="수금비",$P1396,0),$P1396*(1-AG1396)*IFERROR(INDEX(계정대체기준!$E$20:$E$49,MATCH($N1396,계정대체기준!$A$20:$A$49,0)),0)))</f>
        <v/>
      </c>
      <c r="AC1396" s="9">
        <f>IF(AND($A1396&lt;&gt;"",M1396=설정!$C$20,Z1396&gt;0),Z1396+ROW()/1000000000,"")</f>
        <v/>
      </c>
      <c r="AD1396" s="94">
        <f>IF($A1396="",0,$P1396*AG1396)</f>
        <v/>
      </c>
      <c r="AE1396" s="64">
        <f>IF($A1396="","",IFERROR(INDEX(계정매핑!$E$5:$E$504,MATCH($F1396&amp;"",계정매핑!$A$5:$A$504,0))&amp;"","공통비"))</f>
        <v/>
      </c>
      <c r="AF1396" s="64">
        <f>IF($A1396="","",IF(AE1396="직접",IFERROR(INDEX(계정매핑!$F$5:$F$504,MATCH($F1396&amp;"",계정매핑!$A$5:$A$504,0))&amp;"","비귀속"),""))</f>
        <v/>
      </c>
      <c r="AG1396" s="96">
        <f>IF($A1396="",0,IF(AND(AE1396&lt;&gt;"직접",IFERROR(INDEX(계정매핑!$G$5:$G$504,MATCH($F1396&amp;"",계정매핑!$A$5:$A$504,0))&amp;"","")="유지비",COUNTIF(계정대체기준!$A$6:$A$15,$N1396)&gt;0),IFERROR(INDEX(계정대체기준!$E$6:$E$15,MATCH(VALUE($A1396&amp;""),계정대체기준!$D$6:$D$15,0)),0),0))</f>
        <v/>
      </c>
      <c r="AH1396" s="64">
        <f>IF($A1396="","",IF(AD1396=0,"",IF(OR(COUNTIF(계정대체기준!$A$77:$A$86,$N1396)&gt;0,ISNUMBER(MATCH($X1396,계정대체기준!$D$77:$D$86,0)),ISNUMBER(MATCH($F1396,계정대체기준!$D$77:$D$86,0))),"Y","N")))</f>
        <v/>
      </c>
    </row>
    <row r="1397">
      <c r="A1397" s="92" t="n">
        <v>2025</v>
      </c>
      <c r="B1397" s="92" t="n">
        <v>7</v>
      </c>
      <c r="C1397" s="92" t="inlineStr">
        <is>
          <t>5100001393</t>
        </is>
      </c>
      <c r="D1397" s="95" t="n">
        <v>45842</v>
      </c>
      <c r="E1397" s="92" t="inlineStr">
        <is>
          <t>KR</t>
        </is>
      </c>
      <c r="F1397" s="92" t="n">
        <v>62902000</v>
      </c>
      <c r="G1397" s="92" t="n">
        <v>1801</v>
      </c>
      <c r="H1397" s="93" t="n">
        <v>1761000</v>
      </c>
      <c r="I1397" s="92" t="inlineStr">
        <is>
          <t>7월 콜 위탁 수수료(건별)</t>
        </is>
      </c>
      <c r="J1397" s="92" t="inlineStr">
        <is>
          <t>V10016</t>
        </is>
      </c>
      <c r="K1397" s="92" t="inlineStr">
        <is>
          <t>J콜센터</t>
        </is>
      </c>
      <c r="M1397" s="9">
        <f>IF($A1397="","",VALUE($A1397&amp;"")*12+VALUE($B1397&amp;""))</f>
        <v/>
      </c>
      <c r="N1397" s="64">
        <f>IF($A1397="","",IFERROR(INDEX(부서매핑!$C$5:$C$504,MATCH($G1397&amp;"",부서매핑!$A$5:$A$504,0)),"미매핑"))</f>
        <v/>
      </c>
      <c r="O1397" s="9">
        <f>IF($A1397="","",N1397&amp;"|"&amp;$F1397)</f>
        <v/>
      </c>
      <c r="P1397" s="94">
        <f>IF($A1397="",0,$H1397*설정!$C$23)</f>
        <v/>
      </c>
      <c r="Q1397" s="64">
        <f>IF($A1397="","",IF(O1397&lt;&gt;원인분석!$C$9,"",IF(AND(M1397&gt;=원인분석!$C$10,M1397&lt;=원인분석!$C$11),"당기",IF(AND(M1397&gt;=원인분석!$C$12,M1397&lt;=원인분석!$C$13),"비교",""))))</f>
        <v/>
      </c>
      <c r="R1397" s="9">
        <f>IF(Q1397="","",$K1397&amp;"")</f>
        <v/>
      </c>
      <c r="S1397" s="9">
        <f>IF(Q1397="","",IF(MATCH(R1397,$R$5:$R$100000,0)=ROW()-4,ROW(),""))</f>
        <v/>
      </c>
      <c r="T1397" s="9">
        <f>IF(Q1397="당기",ABS(P1397)+ROW()/1000000000,"")</f>
        <v/>
      </c>
      <c r="U1397" s="9">
        <f>IF(Q1397="비교",ABS(P1397)+ROW()/1000000000,"")</f>
        <v/>
      </c>
      <c r="V1397" s="64">
        <f>IF($A1397="","",IF(COUNTIF(변동분석!$E$7:$E$506,O1397)&gt;0,"Y","N"))</f>
        <v/>
      </c>
      <c r="W1397" s="64">
        <f>IF($A1397="","",IFERROR(INDEX(계정매핑!$D$5:$D$504,MATCH($F1397&amp;"",계정매핑!$A$5:$A$504,0)),"미매핑"))</f>
        <v/>
      </c>
      <c r="X1397" s="9">
        <f>IF($A1397="","",$F1397&amp;"")</f>
        <v/>
      </c>
      <c r="Y1397" s="94">
        <f>IF($A1397="",0,IF(AE1397="직접",IF(AF1397="비귀속",$P1397,0),$P1397*(1-AG1397)*IFERROR(INDEX(계정대체기준!$F$20:$F$49,MATCH($N1397,계정대체기준!$A$20:$A$49,0)),1)))</f>
        <v/>
      </c>
      <c r="Z1397" s="94">
        <f>IF($A1397="",0,IF(AE1397="직접",IF(AF1397="신계약비",$P1397,0),$P1397*(1-AG1397)*IFERROR(INDEX(계정대체기준!$C$20:$C$49,MATCH($N1397,계정대체기준!$A$20:$A$49,0)),0)))</f>
        <v/>
      </c>
      <c r="AA1397" s="94">
        <f>IF($A1397="",0,IF(AE1397="직접",IF(OR(AF1397="유지비",AF1397="손해조사비"),$P1397,0),$P1397*(1-AG1397)*IFERROR(INDEX(계정대체기준!$D$20:$D$49,MATCH($N1397,계정대체기준!$A$20:$A$49,0)),0)))</f>
        <v/>
      </c>
      <c r="AB1397" s="94">
        <f>IF($A1397="",0,IF(AE1397="직접",IF(AF1397="수금비",$P1397,0),$P1397*(1-AG1397)*IFERROR(INDEX(계정대체기준!$E$20:$E$49,MATCH($N1397,계정대체기준!$A$20:$A$49,0)),0)))</f>
        <v/>
      </c>
      <c r="AC1397" s="9">
        <f>IF(AND($A1397&lt;&gt;"",M1397=설정!$C$20,Z1397&gt;0),Z1397+ROW()/1000000000,"")</f>
        <v/>
      </c>
      <c r="AD1397" s="94">
        <f>IF($A1397="",0,$P1397*AG1397)</f>
        <v/>
      </c>
      <c r="AE1397" s="64">
        <f>IF($A1397="","",IFERROR(INDEX(계정매핑!$E$5:$E$504,MATCH($F1397&amp;"",계정매핑!$A$5:$A$504,0))&amp;"","공통비"))</f>
        <v/>
      </c>
      <c r="AF1397" s="64">
        <f>IF($A1397="","",IF(AE1397="직접",IFERROR(INDEX(계정매핑!$F$5:$F$504,MATCH($F1397&amp;"",계정매핑!$A$5:$A$504,0))&amp;"","비귀속"),""))</f>
        <v/>
      </c>
      <c r="AG1397" s="96">
        <f>IF($A1397="",0,IF(AND(AE1397&lt;&gt;"직접",IFERROR(INDEX(계정매핑!$G$5:$G$504,MATCH($F1397&amp;"",계정매핑!$A$5:$A$504,0))&amp;"","")="유지비",COUNTIF(계정대체기준!$A$6:$A$15,$N1397)&gt;0),IFERROR(INDEX(계정대체기준!$E$6:$E$15,MATCH(VALUE($A1397&amp;""),계정대체기준!$D$6:$D$15,0)),0),0))</f>
        <v/>
      </c>
      <c r="AH1397" s="64">
        <f>IF($A1397="","",IF(AD1397=0,"",IF(OR(COUNTIF(계정대체기준!$A$77:$A$86,$N1397)&gt;0,ISNUMBER(MATCH($X1397,계정대체기준!$D$77:$D$86,0)),ISNUMBER(MATCH($F1397,계정대체기준!$D$77:$D$86,0))),"Y","N")))</f>
        <v/>
      </c>
    </row>
    <row r="1398">
      <c r="A1398" s="92" t="n">
        <v>2025</v>
      </c>
      <c r="B1398" s="92" t="n">
        <v>7</v>
      </c>
      <c r="C1398" s="92" t="inlineStr">
        <is>
          <t>5100001394</t>
        </is>
      </c>
      <c r="D1398" s="95" t="n">
        <v>45842</v>
      </c>
      <c r="E1398" s="92" t="inlineStr">
        <is>
          <t>KR</t>
        </is>
      </c>
      <c r="F1398" s="92" t="n">
        <v>63001000</v>
      </c>
      <c r="G1398" s="92" t="n">
        <v>1951</v>
      </c>
      <c r="H1398" s="93" t="n">
        <v>1979000</v>
      </c>
      <c r="I1398" s="92" t="inlineStr">
        <is>
          <t>7월 SW 유지보수 - Z시스템</t>
        </is>
      </c>
      <c r="J1398" s="92" t="inlineStr">
        <is>
          <t>V10012</t>
        </is>
      </c>
      <c r="K1398" s="92" t="inlineStr">
        <is>
          <t>Z시스템</t>
        </is>
      </c>
      <c r="M1398" s="9">
        <f>IF($A1398="","",VALUE($A1398&amp;"")*12+VALUE($B1398&amp;""))</f>
        <v/>
      </c>
      <c r="N1398" s="64">
        <f>IF($A1398="","",IFERROR(INDEX(부서매핑!$C$5:$C$504,MATCH($G1398&amp;"",부서매핑!$A$5:$A$504,0)),"미매핑"))</f>
        <v/>
      </c>
      <c r="O1398" s="9">
        <f>IF($A1398="","",N1398&amp;"|"&amp;$F1398)</f>
        <v/>
      </c>
      <c r="P1398" s="94">
        <f>IF($A1398="",0,$H1398*설정!$C$23)</f>
        <v/>
      </c>
      <c r="Q1398" s="64">
        <f>IF($A1398="","",IF(O1398&lt;&gt;원인분석!$C$9,"",IF(AND(M1398&gt;=원인분석!$C$10,M1398&lt;=원인분석!$C$11),"당기",IF(AND(M1398&gt;=원인분석!$C$12,M1398&lt;=원인분석!$C$13),"비교",""))))</f>
        <v/>
      </c>
      <c r="R1398" s="9">
        <f>IF(Q1398="","",$K1398&amp;"")</f>
        <v/>
      </c>
      <c r="S1398" s="9">
        <f>IF(Q1398="","",IF(MATCH(R1398,$R$5:$R$100000,0)=ROW()-4,ROW(),""))</f>
        <v/>
      </c>
      <c r="T1398" s="9">
        <f>IF(Q1398="당기",ABS(P1398)+ROW()/1000000000,"")</f>
        <v/>
      </c>
      <c r="U1398" s="9">
        <f>IF(Q1398="비교",ABS(P1398)+ROW()/1000000000,"")</f>
        <v/>
      </c>
      <c r="V1398" s="64">
        <f>IF($A1398="","",IF(COUNTIF(변동분석!$E$7:$E$506,O1398)&gt;0,"Y","N"))</f>
        <v/>
      </c>
      <c r="W1398" s="64">
        <f>IF($A1398="","",IFERROR(INDEX(계정매핑!$D$5:$D$504,MATCH($F1398&amp;"",계정매핑!$A$5:$A$504,0)),"미매핑"))</f>
        <v/>
      </c>
      <c r="X1398" s="9">
        <f>IF($A1398="","",$F1398&amp;"")</f>
        <v/>
      </c>
      <c r="Y1398" s="94">
        <f>IF($A1398="",0,IF(AE1398="직접",IF(AF1398="비귀속",$P1398,0),$P1398*(1-AG1398)*IFERROR(INDEX(계정대체기준!$F$20:$F$49,MATCH($N1398,계정대체기준!$A$20:$A$49,0)),1)))</f>
        <v/>
      </c>
      <c r="Z1398" s="94">
        <f>IF($A1398="",0,IF(AE1398="직접",IF(AF1398="신계약비",$P1398,0),$P1398*(1-AG1398)*IFERROR(INDEX(계정대체기준!$C$20:$C$49,MATCH($N1398,계정대체기준!$A$20:$A$49,0)),0)))</f>
        <v/>
      </c>
      <c r="AA1398" s="94">
        <f>IF($A1398="",0,IF(AE1398="직접",IF(OR(AF1398="유지비",AF1398="손해조사비"),$P1398,0),$P1398*(1-AG1398)*IFERROR(INDEX(계정대체기준!$D$20:$D$49,MATCH($N1398,계정대체기준!$A$20:$A$49,0)),0)))</f>
        <v/>
      </c>
      <c r="AB1398" s="94">
        <f>IF($A1398="",0,IF(AE1398="직접",IF(AF1398="수금비",$P1398,0),$P1398*(1-AG1398)*IFERROR(INDEX(계정대체기준!$E$20:$E$49,MATCH($N1398,계정대체기준!$A$20:$A$49,0)),0)))</f>
        <v/>
      </c>
      <c r="AC1398" s="9">
        <f>IF(AND($A1398&lt;&gt;"",M1398=설정!$C$20,Z1398&gt;0),Z1398+ROW()/1000000000,"")</f>
        <v/>
      </c>
      <c r="AD1398" s="94">
        <f>IF($A1398="",0,$P1398*AG1398)</f>
        <v/>
      </c>
      <c r="AE1398" s="64">
        <f>IF($A1398="","",IFERROR(INDEX(계정매핑!$E$5:$E$504,MATCH($F1398&amp;"",계정매핑!$A$5:$A$504,0))&amp;"","공통비"))</f>
        <v/>
      </c>
      <c r="AF1398" s="64">
        <f>IF($A1398="","",IF(AE1398="직접",IFERROR(INDEX(계정매핑!$F$5:$F$504,MATCH($F1398&amp;"",계정매핑!$A$5:$A$504,0))&amp;"","비귀속"),""))</f>
        <v/>
      </c>
      <c r="AG1398" s="96">
        <f>IF($A1398="",0,IF(AND(AE1398&lt;&gt;"직접",IFERROR(INDEX(계정매핑!$G$5:$G$504,MATCH($F1398&amp;"",계정매핑!$A$5:$A$504,0))&amp;"","")="유지비",COUNTIF(계정대체기준!$A$6:$A$15,$N1398)&gt;0),IFERROR(INDEX(계정대체기준!$E$6:$E$15,MATCH(VALUE($A1398&amp;""),계정대체기준!$D$6:$D$15,0)),0),0))</f>
        <v/>
      </c>
      <c r="AH1398" s="64">
        <f>IF($A1398="","",IF(AD1398=0,"",IF(OR(COUNTIF(계정대체기준!$A$77:$A$86,$N1398)&gt;0,ISNUMBER(MATCH($X1398,계정대체기준!$D$77:$D$86,0)),ISNUMBER(MATCH($F1398,계정대체기준!$D$77:$D$86,0))),"Y","N")))</f>
        <v/>
      </c>
    </row>
    <row r="1399">
      <c r="A1399" s="92" t="n">
        <v>2025</v>
      </c>
      <c r="B1399" s="92" t="n">
        <v>7</v>
      </c>
      <c r="C1399" s="92" t="inlineStr">
        <is>
          <t>5100001395</t>
        </is>
      </c>
      <c r="D1399" s="95" t="n">
        <v>45843</v>
      </c>
      <c r="E1399" s="92" t="inlineStr">
        <is>
          <t>KR</t>
        </is>
      </c>
      <c r="F1399" s="92" t="n">
        <v>62102000</v>
      </c>
      <c r="G1399" s="92" t="n">
        <v>1502</v>
      </c>
      <c r="H1399" s="93" t="n">
        <v>228000</v>
      </c>
      <c r="I1399" s="92" t="inlineStr">
        <is>
          <t>7월 해외출장 - M항공</t>
        </is>
      </c>
      <c r="J1399" s="92" t="inlineStr">
        <is>
          <t>V10001</t>
        </is>
      </c>
      <c r="K1399" s="92" t="inlineStr">
        <is>
          <t>M항공</t>
        </is>
      </c>
      <c r="M1399" s="9">
        <f>IF($A1399="","",VALUE($A1399&amp;"")*12+VALUE($B1399&amp;""))</f>
        <v/>
      </c>
      <c r="N1399" s="64">
        <f>IF($A1399="","",IFERROR(INDEX(부서매핑!$C$5:$C$504,MATCH($G1399&amp;"",부서매핑!$A$5:$A$504,0)),"미매핑"))</f>
        <v/>
      </c>
      <c r="O1399" s="9">
        <f>IF($A1399="","",N1399&amp;"|"&amp;$F1399)</f>
        <v/>
      </c>
      <c r="P1399" s="94">
        <f>IF($A1399="",0,$H1399*설정!$C$23)</f>
        <v/>
      </c>
      <c r="Q1399" s="64">
        <f>IF($A1399="","",IF(O1399&lt;&gt;원인분석!$C$9,"",IF(AND(M1399&gt;=원인분석!$C$10,M1399&lt;=원인분석!$C$11),"당기",IF(AND(M1399&gt;=원인분석!$C$12,M1399&lt;=원인분석!$C$13),"비교",""))))</f>
        <v/>
      </c>
      <c r="R1399" s="9">
        <f>IF(Q1399="","",$K1399&amp;"")</f>
        <v/>
      </c>
      <c r="S1399" s="9">
        <f>IF(Q1399="","",IF(MATCH(R1399,$R$5:$R$100000,0)=ROW()-4,ROW(),""))</f>
        <v/>
      </c>
      <c r="T1399" s="9">
        <f>IF(Q1399="당기",ABS(P1399)+ROW()/1000000000,"")</f>
        <v/>
      </c>
      <c r="U1399" s="9">
        <f>IF(Q1399="비교",ABS(P1399)+ROW()/1000000000,"")</f>
        <v/>
      </c>
      <c r="V1399" s="64">
        <f>IF($A1399="","",IF(COUNTIF(변동분석!$E$7:$E$506,O1399)&gt;0,"Y","N"))</f>
        <v/>
      </c>
      <c r="W1399" s="64">
        <f>IF($A1399="","",IFERROR(INDEX(계정매핑!$D$5:$D$504,MATCH($F1399&amp;"",계정매핑!$A$5:$A$504,0)),"미매핑"))</f>
        <v/>
      </c>
      <c r="X1399" s="9">
        <f>IF($A1399="","",$F1399&amp;"")</f>
        <v/>
      </c>
      <c r="Y1399" s="94">
        <f>IF($A1399="",0,IF(AE1399="직접",IF(AF1399="비귀속",$P1399,0),$P1399*(1-AG1399)*IFERROR(INDEX(계정대체기준!$F$20:$F$49,MATCH($N1399,계정대체기준!$A$20:$A$49,0)),1)))</f>
        <v/>
      </c>
      <c r="Z1399" s="94">
        <f>IF($A1399="",0,IF(AE1399="직접",IF(AF1399="신계약비",$P1399,0),$P1399*(1-AG1399)*IFERROR(INDEX(계정대체기준!$C$20:$C$49,MATCH($N1399,계정대체기준!$A$20:$A$49,0)),0)))</f>
        <v/>
      </c>
      <c r="AA1399" s="94">
        <f>IF($A1399="",0,IF(AE1399="직접",IF(OR(AF1399="유지비",AF1399="손해조사비"),$P1399,0),$P1399*(1-AG1399)*IFERROR(INDEX(계정대체기준!$D$20:$D$49,MATCH($N1399,계정대체기준!$A$20:$A$49,0)),0)))</f>
        <v/>
      </c>
      <c r="AB1399" s="94">
        <f>IF($A1399="",0,IF(AE1399="직접",IF(AF1399="수금비",$P1399,0),$P1399*(1-AG1399)*IFERROR(INDEX(계정대체기준!$E$20:$E$49,MATCH($N1399,계정대체기준!$A$20:$A$49,0)),0)))</f>
        <v/>
      </c>
      <c r="AC1399" s="9">
        <f>IF(AND($A1399&lt;&gt;"",M1399=설정!$C$20,Z1399&gt;0),Z1399+ROW()/1000000000,"")</f>
        <v/>
      </c>
      <c r="AD1399" s="94">
        <f>IF($A1399="",0,$P1399*AG1399)</f>
        <v/>
      </c>
      <c r="AE1399" s="64">
        <f>IF($A1399="","",IFERROR(INDEX(계정매핑!$E$5:$E$504,MATCH($F1399&amp;"",계정매핑!$A$5:$A$504,0))&amp;"","공통비"))</f>
        <v/>
      </c>
      <c r="AF1399" s="64">
        <f>IF($A1399="","",IF(AE1399="직접",IFERROR(INDEX(계정매핑!$F$5:$F$504,MATCH($F1399&amp;"",계정매핑!$A$5:$A$504,0))&amp;"","비귀속"),""))</f>
        <v/>
      </c>
      <c r="AG1399" s="96">
        <f>IF($A1399="",0,IF(AND(AE1399&lt;&gt;"직접",IFERROR(INDEX(계정매핑!$G$5:$G$504,MATCH($F1399&amp;"",계정매핑!$A$5:$A$504,0))&amp;"","")="유지비",COUNTIF(계정대체기준!$A$6:$A$15,$N1399)&gt;0),IFERROR(INDEX(계정대체기준!$E$6:$E$15,MATCH(VALUE($A1399&amp;""),계정대체기준!$D$6:$D$15,0)),0),0))</f>
        <v/>
      </c>
      <c r="AH1399" s="64">
        <f>IF($A1399="","",IF(AD1399=0,"",IF(OR(COUNTIF(계정대체기준!$A$77:$A$86,$N1399)&gt;0,ISNUMBER(MATCH($X1399,계정대체기준!$D$77:$D$86,0)),ISNUMBER(MATCH($F1399,계정대체기준!$D$77:$D$86,0))),"Y","N")))</f>
        <v/>
      </c>
    </row>
    <row r="1400">
      <c r="A1400" s="92" t="n">
        <v>2025</v>
      </c>
      <c r="B1400" s="92" t="n">
        <v>7</v>
      </c>
      <c r="C1400" s="92" t="inlineStr">
        <is>
          <t>5100001396</t>
        </is>
      </c>
      <c r="D1400" s="95" t="n">
        <v>45843</v>
      </c>
      <c r="E1400" s="92" t="inlineStr">
        <is>
          <t>KR</t>
        </is>
      </c>
      <c r="F1400" s="92" t="n">
        <v>62201000</v>
      </c>
      <c r="G1400" s="92" t="n">
        <v>1101</v>
      </c>
      <c r="H1400" s="93" t="n">
        <v>296000</v>
      </c>
      <c r="I1400" s="92" t="inlineStr">
        <is>
          <t>7월 통신요금 - O텔레콤</t>
        </is>
      </c>
      <c r="J1400" s="92" t="inlineStr">
        <is>
          <t>V10002</t>
        </is>
      </c>
      <c r="K1400" s="92" t="inlineStr">
        <is>
          <t>O텔레콤</t>
        </is>
      </c>
      <c r="M1400" s="9">
        <f>IF($A1400="","",VALUE($A1400&amp;"")*12+VALUE($B1400&amp;""))</f>
        <v/>
      </c>
      <c r="N1400" s="64">
        <f>IF($A1400="","",IFERROR(INDEX(부서매핑!$C$5:$C$504,MATCH($G1400&amp;"",부서매핑!$A$5:$A$504,0)),"미매핑"))</f>
        <v/>
      </c>
      <c r="O1400" s="9">
        <f>IF($A1400="","",N1400&amp;"|"&amp;$F1400)</f>
        <v/>
      </c>
      <c r="P1400" s="94">
        <f>IF($A1400="",0,$H1400*설정!$C$23)</f>
        <v/>
      </c>
      <c r="Q1400" s="64">
        <f>IF($A1400="","",IF(O1400&lt;&gt;원인분석!$C$9,"",IF(AND(M1400&gt;=원인분석!$C$10,M1400&lt;=원인분석!$C$11),"당기",IF(AND(M1400&gt;=원인분석!$C$12,M1400&lt;=원인분석!$C$13),"비교",""))))</f>
        <v/>
      </c>
      <c r="R1400" s="9">
        <f>IF(Q1400="","",$K1400&amp;"")</f>
        <v/>
      </c>
      <c r="S1400" s="9">
        <f>IF(Q1400="","",IF(MATCH(R1400,$R$5:$R$100000,0)=ROW()-4,ROW(),""))</f>
        <v/>
      </c>
      <c r="T1400" s="9">
        <f>IF(Q1400="당기",ABS(P1400)+ROW()/1000000000,"")</f>
        <v/>
      </c>
      <c r="U1400" s="9">
        <f>IF(Q1400="비교",ABS(P1400)+ROW()/1000000000,"")</f>
        <v/>
      </c>
      <c r="V1400" s="64">
        <f>IF($A1400="","",IF(COUNTIF(변동분석!$E$7:$E$506,O1400)&gt;0,"Y","N"))</f>
        <v/>
      </c>
      <c r="W1400" s="64">
        <f>IF($A1400="","",IFERROR(INDEX(계정매핑!$D$5:$D$504,MATCH($F1400&amp;"",계정매핑!$A$5:$A$504,0)),"미매핑"))</f>
        <v/>
      </c>
      <c r="X1400" s="9">
        <f>IF($A1400="","",$F1400&amp;"")</f>
        <v/>
      </c>
      <c r="Y1400" s="94">
        <f>IF($A1400="",0,IF(AE1400="직접",IF(AF1400="비귀속",$P1400,0),$P1400*(1-AG1400)*IFERROR(INDEX(계정대체기준!$F$20:$F$49,MATCH($N1400,계정대체기준!$A$20:$A$49,0)),1)))</f>
        <v/>
      </c>
      <c r="Z1400" s="94">
        <f>IF($A1400="",0,IF(AE1400="직접",IF(AF1400="신계약비",$P1400,0),$P1400*(1-AG1400)*IFERROR(INDEX(계정대체기준!$C$20:$C$49,MATCH($N1400,계정대체기준!$A$20:$A$49,0)),0)))</f>
        <v/>
      </c>
      <c r="AA1400" s="94">
        <f>IF($A1400="",0,IF(AE1400="직접",IF(OR(AF1400="유지비",AF1400="손해조사비"),$P1400,0),$P1400*(1-AG1400)*IFERROR(INDEX(계정대체기준!$D$20:$D$49,MATCH($N1400,계정대체기준!$A$20:$A$49,0)),0)))</f>
        <v/>
      </c>
      <c r="AB1400" s="94">
        <f>IF($A1400="",0,IF(AE1400="직접",IF(AF1400="수금비",$P1400,0),$P1400*(1-AG1400)*IFERROR(INDEX(계정대체기준!$E$20:$E$49,MATCH($N1400,계정대체기준!$A$20:$A$49,0)),0)))</f>
        <v/>
      </c>
      <c r="AC1400" s="9">
        <f>IF(AND($A1400&lt;&gt;"",M1400=설정!$C$20,Z1400&gt;0),Z1400+ROW()/1000000000,"")</f>
        <v/>
      </c>
      <c r="AD1400" s="94">
        <f>IF($A1400="",0,$P1400*AG1400)</f>
        <v/>
      </c>
      <c r="AE1400" s="64">
        <f>IF($A1400="","",IFERROR(INDEX(계정매핑!$E$5:$E$504,MATCH($F1400&amp;"",계정매핑!$A$5:$A$504,0))&amp;"","공통비"))</f>
        <v/>
      </c>
      <c r="AF1400" s="64">
        <f>IF($A1400="","",IF(AE1400="직접",IFERROR(INDEX(계정매핑!$F$5:$F$504,MATCH($F1400&amp;"",계정매핑!$A$5:$A$504,0))&amp;"","비귀속"),""))</f>
        <v/>
      </c>
      <c r="AG1400" s="96">
        <f>IF($A1400="",0,IF(AND(AE1400&lt;&gt;"직접",IFERROR(INDEX(계정매핑!$G$5:$G$504,MATCH($F1400&amp;"",계정매핑!$A$5:$A$504,0))&amp;"","")="유지비",COUNTIF(계정대체기준!$A$6:$A$15,$N1400)&gt;0),IFERROR(INDEX(계정대체기준!$E$6:$E$15,MATCH(VALUE($A1400&amp;""),계정대체기준!$D$6:$D$15,0)),0),0))</f>
        <v/>
      </c>
      <c r="AH1400" s="64">
        <f>IF($A1400="","",IF(AD1400=0,"",IF(OR(COUNTIF(계정대체기준!$A$77:$A$86,$N1400)&gt;0,ISNUMBER(MATCH($X1400,계정대체기준!$D$77:$D$86,0)),ISNUMBER(MATCH($F1400,계정대체기준!$D$77:$D$86,0))),"Y","N")))</f>
        <v/>
      </c>
    </row>
    <row r="1401">
      <c r="A1401" s="92" t="n">
        <v>2025</v>
      </c>
      <c r="B1401" s="92" t="n">
        <v>7</v>
      </c>
      <c r="C1401" s="92" t="inlineStr">
        <is>
          <t>5100001397</t>
        </is>
      </c>
      <c r="D1401" s="95" t="n">
        <v>45843</v>
      </c>
      <c r="E1401" s="92" t="inlineStr">
        <is>
          <t>KR</t>
        </is>
      </c>
      <c r="F1401" s="92" t="n">
        <v>62201000</v>
      </c>
      <c r="G1401" s="92" t="n">
        <v>1701</v>
      </c>
      <c r="H1401" s="93" t="n">
        <v>4474000</v>
      </c>
      <c r="I1401" s="92" t="inlineStr">
        <is>
          <t>7월 통신요금 - O텔레콤</t>
        </is>
      </c>
      <c r="J1401" s="92" t="inlineStr">
        <is>
          <t>V10002</t>
        </is>
      </c>
      <c r="K1401" s="92" t="inlineStr">
        <is>
          <t>O텔레콤</t>
        </is>
      </c>
      <c r="M1401" s="9">
        <f>IF($A1401="","",VALUE($A1401&amp;"")*12+VALUE($B1401&amp;""))</f>
        <v/>
      </c>
      <c r="N1401" s="64">
        <f>IF($A1401="","",IFERROR(INDEX(부서매핑!$C$5:$C$504,MATCH($G1401&amp;"",부서매핑!$A$5:$A$504,0)),"미매핑"))</f>
        <v/>
      </c>
      <c r="O1401" s="9">
        <f>IF($A1401="","",N1401&amp;"|"&amp;$F1401)</f>
        <v/>
      </c>
      <c r="P1401" s="94">
        <f>IF($A1401="",0,$H1401*설정!$C$23)</f>
        <v/>
      </c>
      <c r="Q1401" s="64">
        <f>IF($A1401="","",IF(O1401&lt;&gt;원인분석!$C$9,"",IF(AND(M1401&gt;=원인분석!$C$10,M1401&lt;=원인분석!$C$11),"당기",IF(AND(M1401&gt;=원인분석!$C$12,M1401&lt;=원인분석!$C$13),"비교",""))))</f>
        <v/>
      </c>
      <c r="R1401" s="9">
        <f>IF(Q1401="","",$K1401&amp;"")</f>
        <v/>
      </c>
      <c r="S1401" s="9">
        <f>IF(Q1401="","",IF(MATCH(R1401,$R$5:$R$100000,0)=ROW()-4,ROW(),""))</f>
        <v/>
      </c>
      <c r="T1401" s="9">
        <f>IF(Q1401="당기",ABS(P1401)+ROW()/1000000000,"")</f>
        <v/>
      </c>
      <c r="U1401" s="9">
        <f>IF(Q1401="비교",ABS(P1401)+ROW()/1000000000,"")</f>
        <v/>
      </c>
      <c r="V1401" s="64">
        <f>IF($A1401="","",IF(COUNTIF(변동분석!$E$7:$E$506,O1401)&gt;0,"Y","N"))</f>
        <v/>
      </c>
      <c r="W1401" s="64">
        <f>IF($A1401="","",IFERROR(INDEX(계정매핑!$D$5:$D$504,MATCH($F1401&amp;"",계정매핑!$A$5:$A$504,0)),"미매핑"))</f>
        <v/>
      </c>
      <c r="X1401" s="9">
        <f>IF($A1401="","",$F1401&amp;"")</f>
        <v/>
      </c>
      <c r="Y1401" s="94">
        <f>IF($A1401="",0,IF(AE1401="직접",IF(AF1401="비귀속",$P1401,0),$P1401*(1-AG1401)*IFERROR(INDEX(계정대체기준!$F$20:$F$49,MATCH($N1401,계정대체기준!$A$20:$A$49,0)),1)))</f>
        <v/>
      </c>
      <c r="Z1401" s="94">
        <f>IF($A1401="",0,IF(AE1401="직접",IF(AF1401="신계약비",$P1401,0),$P1401*(1-AG1401)*IFERROR(INDEX(계정대체기준!$C$20:$C$49,MATCH($N1401,계정대체기준!$A$20:$A$49,0)),0)))</f>
        <v/>
      </c>
      <c r="AA1401" s="94">
        <f>IF($A1401="",0,IF(AE1401="직접",IF(OR(AF1401="유지비",AF1401="손해조사비"),$P1401,0),$P1401*(1-AG1401)*IFERROR(INDEX(계정대체기준!$D$20:$D$49,MATCH($N1401,계정대체기준!$A$20:$A$49,0)),0)))</f>
        <v/>
      </c>
      <c r="AB1401" s="94">
        <f>IF($A1401="",0,IF(AE1401="직접",IF(AF1401="수금비",$P1401,0),$P1401*(1-AG1401)*IFERROR(INDEX(계정대체기준!$E$20:$E$49,MATCH($N1401,계정대체기준!$A$20:$A$49,0)),0)))</f>
        <v/>
      </c>
      <c r="AC1401" s="9">
        <f>IF(AND($A1401&lt;&gt;"",M1401=설정!$C$20,Z1401&gt;0),Z1401+ROW()/1000000000,"")</f>
        <v/>
      </c>
      <c r="AD1401" s="94">
        <f>IF($A1401="",0,$P1401*AG1401)</f>
        <v/>
      </c>
      <c r="AE1401" s="64">
        <f>IF($A1401="","",IFERROR(INDEX(계정매핑!$E$5:$E$504,MATCH($F1401&amp;"",계정매핑!$A$5:$A$504,0))&amp;"","공통비"))</f>
        <v/>
      </c>
      <c r="AF1401" s="64">
        <f>IF($A1401="","",IF(AE1401="직접",IFERROR(INDEX(계정매핑!$F$5:$F$504,MATCH($F1401&amp;"",계정매핑!$A$5:$A$504,0))&amp;"","비귀속"),""))</f>
        <v/>
      </c>
      <c r="AG1401" s="96">
        <f>IF($A1401="",0,IF(AND(AE1401&lt;&gt;"직접",IFERROR(INDEX(계정매핑!$G$5:$G$504,MATCH($F1401&amp;"",계정매핑!$A$5:$A$504,0))&amp;"","")="유지비",COUNTIF(계정대체기준!$A$6:$A$15,$N1401)&gt;0),IFERROR(INDEX(계정대체기준!$E$6:$E$15,MATCH(VALUE($A1401&amp;""),계정대체기준!$D$6:$D$15,0)),0),0))</f>
        <v/>
      </c>
      <c r="AH1401" s="64">
        <f>IF($A1401="","",IF(AD1401=0,"",IF(OR(COUNTIF(계정대체기준!$A$77:$A$86,$N1401)&gt;0,ISNUMBER(MATCH($X1401,계정대체기준!$D$77:$D$86,0)),ISNUMBER(MATCH($F1401,계정대체기준!$D$77:$D$86,0))),"Y","N")))</f>
        <v/>
      </c>
    </row>
    <row r="1402">
      <c r="A1402" s="92" t="n">
        <v>2025</v>
      </c>
      <c r="B1402" s="92" t="n">
        <v>7</v>
      </c>
      <c r="C1402" s="92" t="inlineStr">
        <is>
          <t>5100001398</t>
        </is>
      </c>
      <c r="D1402" s="95" t="n">
        <v>45843</v>
      </c>
      <c r="E1402" s="92" t="inlineStr">
        <is>
          <t>KR</t>
        </is>
      </c>
      <c r="F1402" s="92" t="n">
        <v>62301000</v>
      </c>
      <c r="G1402" s="92" t="n">
        <v>1401</v>
      </c>
      <c r="H1402" s="93" t="n">
        <v>133000</v>
      </c>
      <c r="I1402" s="92" t="inlineStr">
        <is>
          <t>7월 소모품 구입 - R문구</t>
        </is>
      </c>
      <c r="J1402" s="92" t="inlineStr">
        <is>
          <t>V10022</t>
        </is>
      </c>
      <c r="K1402" s="92" t="inlineStr">
        <is>
          <t>R문구</t>
        </is>
      </c>
      <c r="M1402" s="9">
        <f>IF($A1402="","",VALUE($A1402&amp;"")*12+VALUE($B1402&amp;""))</f>
        <v/>
      </c>
      <c r="N1402" s="64">
        <f>IF($A1402="","",IFERROR(INDEX(부서매핑!$C$5:$C$504,MATCH($G1402&amp;"",부서매핑!$A$5:$A$504,0)),"미매핑"))</f>
        <v/>
      </c>
      <c r="O1402" s="9">
        <f>IF($A1402="","",N1402&amp;"|"&amp;$F1402)</f>
        <v/>
      </c>
      <c r="P1402" s="94">
        <f>IF($A1402="",0,$H1402*설정!$C$23)</f>
        <v/>
      </c>
      <c r="Q1402" s="64">
        <f>IF($A1402="","",IF(O1402&lt;&gt;원인분석!$C$9,"",IF(AND(M1402&gt;=원인분석!$C$10,M1402&lt;=원인분석!$C$11),"당기",IF(AND(M1402&gt;=원인분석!$C$12,M1402&lt;=원인분석!$C$13),"비교",""))))</f>
        <v/>
      </c>
      <c r="R1402" s="9">
        <f>IF(Q1402="","",$K1402&amp;"")</f>
        <v/>
      </c>
      <c r="S1402" s="9">
        <f>IF(Q1402="","",IF(MATCH(R1402,$R$5:$R$100000,0)=ROW()-4,ROW(),""))</f>
        <v/>
      </c>
      <c r="T1402" s="9">
        <f>IF(Q1402="당기",ABS(P1402)+ROW()/1000000000,"")</f>
        <v/>
      </c>
      <c r="U1402" s="9">
        <f>IF(Q1402="비교",ABS(P1402)+ROW()/1000000000,"")</f>
        <v/>
      </c>
      <c r="V1402" s="64">
        <f>IF($A1402="","",IF(COUNTIF(변동분석!$E$7:$E$506,O1402)&gt;0,"Y","N"))</f>
        <v/>
      </c>
      <c r="W1402" s="64">
        <f>IF($A1402="","",IFERROR(INDEX(계정매핑!$D$5:$D$504,MATCH($F1402&amp;"",계정매핑!$A$5:$A$504,0)),"미매핑"))</f>
        <v/>
      </c>
      <c r="X1402" s="9">
        <f>IF($A1402="","",$F1402&amp;"")</f>
        <v/>
      </c>
      <c r="Y1402" s="94">
        <f>IF($A1402="",0,IF(AE1402="직접",IF(AF1402="비귀속",$P1402,0),$P1402*(1-AG1402)*IFERROR(INDEX(계정대체기준!$F$20:$F$49,MATCH($N1402,계정대체기준!$A$20:$A$49,0)),1)))</f>
        <v/>
      </c>
      <c r="Z1402" s="94">
        <f>IF($A1402="",0,IF(AE1402="직접",IF(AF1402="신계약비",$P1402,0),$P1402*(1-AG1402)*IFERROR(INDEX(계정대체기준!$C$20:$C$49,MATCH($N1402,계정대체기준!$A$20:$A$49,0)),0)))</f>
        <v/>
      </c>
      <c r="AA1402" s="94">
        <f>IF($A1402="",0,IF(AE1402="직접",IF(OR(AF1402="유지비",AF1402="손해조사비"),$P1402,0),$P1402*(1-AG1402)*IFERROR(INDEX(계정대체기준!$D$20:$D$49,MATCH($N1402,계정대체기준!$A$20:$A$49,0)),0)))</f>
        <v/>
      </c>
      <c r="AB1402" s="94">
        <f>IF($A1402="",0,IF(AE1402="직접",IF(AF1402="수금비",$P1402,0),$P1402*(1-AG1402)*IFERROR(INDEX(계정대체기준!$E$20:$E$49,MATCH($N1402,계정대체기준!$A$20:$A$49,0)),0)))</f>
        <v/>
      </c>
      <c r="AC1402" s="9">
        <f>IF(AND($A1402&lt;&gt;"",M1402=설정!$C$20,Z1402&gt;0),Z1402+ROW()/1000000000,"")</f>
        <v/>
      </c>
      <c r="AD1402" s="94">
        <f>IF($A1402="",0,$P1402*AG1402)</f>
        <v/>
      </c>
      <c r="AE1402" s="64">
        <f>IF($A1402="","",IFERROR(INDEX(계정매핑!$E$5:$E$504,MATCH($F1402&amp;"",계정매핑!$A$5:$A$504,0))&amp;"","공통비"))</f>
        <v/>
      </c>
      <c r="AF1402" s="64">
        <f>IF($A1402="","",IF(AE1402="직접",IFERROR(INDEX(계정매핑!$F$5:$F$504,MATCH($F1402&amp;"",계정매핑!$A$5:$A$504,0))&amp;"","비귀속"),""))</f>
        <v/>
      </c>
      <c r="AG1402" s="96">
        <f>IF($A1402="",0,IF(AND(AE1402&lt;&gt;"직접",IFERROR(INDEX(계정매핑!$G$5:$G$504,MATCH($F1402&amp;"",계정매핑!$A$5:$A$504,0))&amp;"","")="유지비",COUNTIF(계정대체기준!$A$6:$A$15,$N1402)&gt;0),IFERROR(INDEX(계정대체기준!$E$6:$E$15,MATCH(VALUE($A1402&amp;""),계정대체기준!$D$6:$D$15,0)),0),0))</f>
        <v/>
      </c>
      <c r="AH1402" s="64">
        <f>IF($A1402="","",IF(AD1402=0,"",IF(OR(COUNTIF(계정대체기준!$A$77:$A$86,$N1402)&gt;0,ISNUMBER(MATCH($X1402,계정대체기준!$D$77:$D$86,0)),ISNUMBER(MATCH($F1402,계정대체기준!$D$77:$D$86,0))),"Y","N")))</f>
        <v/>
      </c>
    </row>
    <row r="1403">
      <c r="A1403" s="92" t="n">
        <v>2025</v>
      </c>
      <c r="B1403" s="92" t="n">
        <v>7</v>
      </c>
      <c r="C1403" s="92" t="inlineStr">
        <is>
          <t>5100001399</t>
        </is>
      </c>
      <c r="D1403" s="95" t="n">
        <v>45843</v>
      </c>
      <c r="E1403" s="92" t="inlineStr">
        <is>
          <t>KR</t>
        </is>
      </c>
      <c r="F1403" s="92" t="n">
        <v>62501000</v>
      </c>
      <c r="G1403" s="92" t="n">
        <v>1201</v>
      </c>
      <c r="H1403" s="93" t="n">
        <v>205000</v>
      </c>
      <c r="I1403" s="92" t="inlineStr">
        <is>
          <t>7월 회의 다과 - T케이터링</t>
        </is>
      </c>
      <c r="J1403" s="92" t="inlineStr">
        <is>
          <t>V10005</t>
        </is>
      </c>
      <c r="K1403" s="92" t="inlineStr">
        <is>
          <t>T케이터링</t>
        </is>
      </c>
      <c r="M1403" s="9">
        <f>IF($A1403="","",VALUE($A1403&amp;"")*12+VALUE($B1403&amp;""))</f>
        <v/>
      </c>
      <c r="N1403" s="64">
        <f>IF($A1403="","",IFERROR(INDEX(부서매핑!$C$5:$C$504,MATCH($G1403&amp;"",부서매핑!$A$5:$A$504,0)),"미매핑"))</f>
        <v/>
      </c>
      <c r="O1403" s="9">
        <f>IF($A1403="","",N1403&amp;"|"&amp;$F1403)</f>
        <v/>
      </c>
      <c r="P1403" s="94">
        <f>IF($A1403="",0,$H1403*설정!$C$23)</f>
        <v/>
      </c>
      <c r="Q1403" s="64">
        <f>IF($A1403="","",IF(O1403&lt;&gt;원인분석!$C$9,"",IF(AND(M1403&gt;=원인분석!$C$10,M1403&lt;=원인분석!$C$11),"당기",IF(AND(M1403&gt;=원인분석!$C$12,M1403&lt;=원인분석!$C$13),"비교",""))))</f>
        <v/>
      </c>
      <c r="R1403" s="9">
        <f>IF(Q1403="","",$K1403&amp;"")</f>
        <v/>
      </c>
      <c r="S1403" s="9">
        <f>IF(Q1403="","",IF(MATCH(R1403,$R$5:$R$100000,0)=ROW()-4,ROW(),""))</f>
        <v/>
      </c>
      <c r="T1403" s="9">
        <f>IF(Q1403="당기",ABS(P1403)+ROW()/1000000000,"")</f>
        <v/>
      </c>
      <c r="U1403" s="9">
        <f>IF(Q1403="비교",ABS(P1403)+ROW()/1000000000,"")</f>
        <v/>
      </c>
      <c r="V1403" s="64">
        <f>IF($A1403="","",IF(COUNTIF(변동분석!$E$7:$E$506,O1403)&gt;0,"Y","N"))</f>
        <v/>
      </c>
      <c r="W1403" s="64">
        <f>IF($A1403="","",IFERROR(INDEX(계정매핑!$D$5:$D$504,MATCH($F1403&amp;"",계정매핑!$A$5:$A$504,0)),"미매핑"))</f>
        <v/>
      </c>
      <c r="X1403" s="9">
        <f>IF($A1403="","",$F1403&amp;"")</f>
        <v/>
      </c>
      <c r="Y1403" s="94">
        <f>IF($A1403="",0,IF(AE1403="직접",IF(AF1403="비귀속",$P1403,0),$P1403*(1-AG1403)*IFERROR(INDEX(계정대체기준!$F$20:$F$49,MATCH($N1403,계정대체기준!$A$20:$A$49,0)),1)))</f>
        <v/>
      </c>
      <c r="Z1403" s="94">
        <f>IF($A1403="",0,IF(AE1403="직접",IF(AF1403="신계약비",$P1403,0),$P1403*(1-AG1403)*IFERROR(INDEX(계정대체기준!$C$20:$C$49,MATCH($N1403,계정대체기준!$A$20:$A$49,0)),0)))</f>
        <v/>
      </c>
      <c r="AA1403" s="94">
        <f>IF($A1403="",0,IF(AE1403="직접",IF(OR(AF1403="유지비",AF1403="손해조사비"),$P1403,0),$P1403*(1-AG1403)*IFERROR(INDEX(계정대체기준!$D$20:$D$49,MATCH($N1403,계정대체기준!$A$20:$A$49,0)),0)))</f>
        <v/>
      </c>
      <c r="AB1403" s="94">
        <f>IF($A1403="",0,IF(AE1403="직접",IF(AF1403="수금비",$P1403,0),$P1403*(1-AG1403)*IFERROR(INDEX(계정대체기준!$E$20:$E$49,MATCH($N1403,계정대체기준!$A$20:$A$49,0)),0)))</f>
        <v/>
      </c>
      <c r="AC1403" s="9">
        <f>IF(AND($A1403&lt;&gt;"",M1403=설정!$C$20,Z1403&gt;0),Z1403+ROW()/1000000000,"")</f>
        <v/>
      </c>
      <c r="AD1403" s="94">
        <f>IF($A1403="",0,$P1403*AG1403)</f>
        <v/>
      </c>
      <c r="AE1403" s="64">
        <f>IF($A1403="","",IFERROR(INDEX(계정매핑!$E$5:$E$504,MATCH($F1403&amp;"",계정매핑!$A$5:$A$504,0))&amp;"","공통비"))</f>
        <v/>
      </c>
      <c r="AF1403" s="64">
        <f>IF($A1403="","",IF(AE1403="직접",IFERROR(INDEX(계정매핑!$F$5:$F$504,MATCH($F1403&amp;"",계정매핑!$A$5:$A$504,0))&amp;"","비귀속"),""))</f>
        <v/>
      </c>
      <c r="AG1403" s="96">
        <f>IF($A1403="",0,IF(AND(AE1403&lt;&gt;"직접",IFERROR(INDEX(계정매핑!$G$5:$G$504,MATCH($F1403&amp;"",계정매핑!$A$5:$A$504,0))&amp;"","")="유지비",COUNTIF(계정대체기준!$A$6:$A$15,$N1403)&gt;0),IFERROR(INDEX(계정대체기준!$E$6:$E$15,MATCH(VALUE($A1403&amp;""),계정대체기준!$D$6:$D$15,0)),0),0))</f>
        <v/>
      </c>
      <c r="AH1403" s="64">
        <f>IF($A1403="","",IF(AD1403=0,"",IF(OR(COUNTIF(계정대체기준!$A$77:$A$86,$N1403)&gt;0,ISNUMBER(MATCH($X1403,계정대체기준!$D$77:$D$86,0)),ISNUMBER(MATCH($F1403,계정대체기준!$D$77:$D$86,0))),"Y","N")))</f>
        <v/>
      </c>
    </row>
    <row r="1404">
      <c r="A1404" s="92" t="n">
        <v>2025</v>
      </c>
      <c r="B1404" s="92" t="n">
        <v>7</v>
      </c>
      <c r="C1404" s="92" t="inlineStr">
        <is>
          <t>5100001400</t>
        </is>
      </c>
      <c r="D1404" s="95" t="n">
        <v>45844</v>
      </c>
      <c r="E1404" s="92" t="inlineStr">
        <is>
          <t>KR</t>
        </is>
      </c>
      <c r="F1404" s="92" t="n">
        <v>62101000</v>
      </c>
      <c r="G1404" s="92" t="n">
        <v>1101</v>
      </c>
      <c r="H1404" s="93" t="n">
        <v>311000</v>
      </c>
      <c r="I1404" s="92" t="inlineStr">
        <is>
          <t>7월 국내출장 - M항공</t>
        </is>
      </c>
      <c r="J1404" s="92" t="inlineStr">
        <is>
          <t>V10001</t>
        </is>
      </c>
      <c r="K1404" s="92" t="inlineStr">
        <is>
          <t>M항공</t>
        </is>
      </c>
      <c r="M1404" s="9">
        <f>IF($A1404="","",VALUE($A1404&amp;"")*12+VALUE($B1404&amp;""))</f>
        <v/>
      </c>
      <c r="N1404" s="64">
        <f>IF($A1404="","",IFERROR(INDEX(부서매핑!$C$5:$C$504,MATCH($G1404&amp;"",부서매핑!$A$5:$A$504,0)),"미매핑"))</f>
        <v/>
      </c>
      <c r="O1404" s="9">
        <f>IF($A1404="","",N1404&amp;"|"&amp;$F1404)</f>
        <v/>
      </c>
      <c r="P1404" s="94">
        <f>IF($A1404="",0,$H1404*설정!$C$23)</f>
        <v/>
      </c>
      <c r="Q1404" s="64">
        <f>IF($A1404="","",IF(O1404&lt;&gt;원인분석!$C$9,"",IF(AND(M1404&gt;=원인분석!$C$10,M1404&lt;=원인분석!$C$11),"당기",IF(AND(M1404&gt;=원인분석!$C$12,M1404&lt;=원인분석!$C$13),"비교",""))))</f>
        <v/>
      </c>
      <c r="R1404" s="9">
        <f>IF(Q1404="","",$K1404&amp;"")</f>
        <v/>
      </c>
      <c r="S1404" s="9">
        <f>IF(Q1404="","",IF(MATCH(R1404,$R$5:$R$100000,0)=ROW()-4,ROW(),""))</f>
        <v/>
      </c>
      <c r="T1404" s="9">
        <f>IF(Q1404="당기",ABS(P1404)+ROW()/1000000000,"")</f>
        <v/>
      </c>
      <c r="U1404" s="9">
        <f>IF(Q1404="비교",ABS(P1404)+ROW()/1000000000,"")</f>
        <v/>
      </c>
      <c r="V1404" s="64">
        <f>IF($A1404="","",IF(COUNTIF(변동분석!$E$7:$E$506,O1404)&gt;0,"Y","N"))</f>
        <v/>
      </c>
      <c r="W1404" s="64">
        <f>IF($A1404="","",IFERROR(INDEX(계정매핑!$D$5:$D$504,MATCH($F1404&amp;"",계정매핑!$A$5:$A$504,0)),"미매핑"))</f>
        <v/>
      </c>
      <c r="X1404" s="9">
        <f>IF($A1404="","",$F1404&amp;"")</f>
        <v/>
      </c>
      <c r="Y1404" s="94">
        <f>IF($A1404="",0,IF(AE1404="직접",IF(AF1404="비귀속",$P1404,0),$P1404*(1-AG1404)*IFERROR(INDEX(계정대체기준!$F$20:$F$49,MATCH($N1404,계정대체기준!$A$20:$A$49,0)),1)))</f>
        <v/>
      </c>
      <c r="Z1404" s="94">
        <f>IF($A1404="",0,IF(AE1404="직접",IF(AF1404="신계약비",$P1404,0),$P1404*(1-AG1404)*IFERROR(INDEX(계정대체기준!$C$20:$C$49,MATCH($N1404,계정대체기준!$A$20:$A$49,0)),0)))</f>
        <v/>
      </c>
      <c r="AA1404" s="94">
        <f>IF($A1404="",0,IF(AE1404="직접",IF(OR(AF1404="유지비",AF1404="손해조사비"),$P1404,0),$P1404*(1-AG1404)*IFERROR(INDEX(계정대체기준!$D$20:$D$49,MATCH($N1404,계정대체기준!$A$20:$A$49,0)),0)))</f>
        <v/>
      </c>
      <c r="AB1404" s="94">
        <f>IF($A1404="",0,IF(AE1404="직접",IF(AF1404="수금비",$P1404,0),$P1404*(1-AG1404)*IFERROR(INDEX(계정대체기준!$E$20:$E$49,MATCH($N1404,계정대체기준!$A$20:$A$49,0)),0)))</f>
        <v/>
      </c>
      <c r="AC1404" s="9">
        <f>IF(AND($A1404&lt;&gt;"",M1404=설정!$C$20,Z1404&gt;0),Z1404+ROW()/1000000000,"")</f>
        <v/>
      </c>
      <c r="AD1404" s="94">
        <f>IF($A1404="",0,$P1404*AG1404)</f>
        <v/>
      </c>
      <c r="AE1404" s="64">
        <f>IF($A1404="","",IFERROR(INDEX(계정매핑!$E$5:$E$504,MATCH($F1404&amp;"",계정매핑!$A$5:$A$504,0))&amp;"","공통비"))</f>
        <v/>
      </c>
      <c r="AF1404" s="64">
        <f>IF($A1404="","",IF(AE1404="직접",IFERROR(INDEX(계정매핑!$F$5:$F$504,MATCH($F1404&amp;"",계정매핑!$A$5:$A$504,0))&amp;"","비귀속"),""))</f>
        <v/>
      </c>
      <c r="AG1404" s="96">
        <f>IF($A1404="",0,IF(AND(AE1404&lt;&gt;"직접",IFERROR(INDEX(계정매핑!$G$5:$G$504,MATCH($F1404&amp;"",계정매핑!$A$5:$A$504,0))&amp;"","")="유지비",COUNTIF(계정대체기준!$A$6:$A$15,$N1404)&gt;0),IFERROR(INDEX(계정대체기준!$E$6:$E$15,MATCH(VALUE($A1404&amp;""),계정대체기준!$D$6:$D$15,0)),0),0))</f>
        <v/>
      </c>
      <c r="AH1404" s="64">
        <f>IF($A1404="","",IF(AD1404=0,"",IF(OR(COUNTIF(계정대체기준!$A$77:$A$86,$N1404)&gt;0,ISNUMBER(MATCH($X1404,계정대체기준!$D$77:$D$86,0)),ISNUMBER(MATCH($F1404,계정대체기준!$D$77:$D$86,0))),"Y","N")))</f>
        <v/>
      </c>
    </row>
    <row r="1405">
      <c r="A1405" s="92" t="n">
        <v>2025</v>
      </c>
      <c r="B1405" s="92" t="n">
        <v>7</v>
      </c>
      <c r="C1405" s="92" t="inlineStr">
        <is>
          <t>5100001401</t>
        </is>
      </c>
      <c r="D1405" s="95" t="n">
        <v>45844</v>
      </c>
      <c r="E1405" s="92" t="inlineStr">
        <is>
          <t>KR</t>
        </is>
      </c>
      <c r="F1405" s="92" t="n">
        <v>62101000</v>
      </c>
      <c r="G1405" s="92" t="n">
        <v>1501</v>
      </c>
      <c r="H1405" s="93" t="n">
        <v>442000</v>
      </c>
      <c r="I1405" s="92" t="inlineStr">
        <is>
          <t>7월 국내출장 - L여행사</t>
        </is>
      </c>
      <c r="J1405" s="92" t="inlineStr">
        <is>
          <t>V10018</t>
        </is>
      </c>
      <c r="K1405" s="92" t="inlineStr">
        <is>
          <t>L여행사</t>
        </is>
      </c>
      <c r="M1405" s="9">
        <f>IF($A1405="","",VALUE($A1405&amp;"")*12+VALUE($B1405&amp;""))</f>
        <v/>
      </c>
      <c r="N1405" s="64">
        <f>IF($A1405="","",IFERROR(INDEX(부서매핑!$C$5:$C$504,MATCH($G1405&amp;"",부서매핑!$A$5:$A$504,0)),"미매핑"))</f>
        <v/>
      </c>
      <c r="O1405" s="9">
        <f>IF($A1405="","",N1405&amp;"|"&amp;$F1405)</f>
        <v/>
      </c>
      <c r="P1405" s="94">
        <f>IF($A1405="",0,$H1405*설정!$C$23)</f>
        <v/>
      </c>
      <c r="Q1405" s="64">
        <f>IF($A1405="","",IF(O1405&lt;&gt;원인분석!$C$9,"",IF(AND(M1405&gt;=원인분석!$C$10,M1405&lt;=원인분석!$C$11),"당기",IF(AND(M1405&gt;=원인분석!$C$12,M1405&lt;=원인분석!$C$13),"비교",""))))</f>
        <v/>
      </c>
      <c r="R1405" s="9">
        <f>IF(Q1405="","",$K1405&amp;"")</f>
        <v/>
      </c>
      <c r="S1405" s="9">
        <f>IF(Q1405="","",IF(MATCH(R1405,$R$5:$R$100000,0)=ROW()-4,ROW(),""))</f>
        <v/>
      </c>
      <c r="T1405" s="9">
        <f>IF(Q1405="당기",ABS(P1405)+ROW()/1000000000,"")</f>
        <v/>
      </c>
      <c r="U1405" s="9">
        <f>IF(Q1405="비교",ABS(P1405)+ROW()/1000000000,"")</f>
        <v/>
      </c>
      <c r="V1405" s="64">
        <f>IF($A1405="","",IF(COUNTIF(변동분석!$E$7:$E$506,O1405)&gt;0,"Y","N"))</f>
        <v/>
      </c>
      <c r="W1405" s="64">
        <f>IF($A1405="","",IFERROR(INDEX(계정매핑!$D$5:$D$504,MATCH($F1405&amp;"",계정매핑!$A$5:$A$504,0)),"미매핑"))</f>
        <v/>
      </c>
      <c r="X1405" s="9">
        <f>IF($A1405="","",$F1405&amp;"")</f>
        <v/>
      </c>
      <c r="Y1405" s="94">
        <f>IF($A1405="",0,IF(AE1405="직접",IF(AF1405="비귀속",$P1405,0),$P1405*(1-AG1405)*IFERROR(INDEX(계정대체기준!$F$20:$F$49,MATCH($N1405,계정대체기준!$A$20:$A$49,0)),1)))</f>
        <v/>
      </c>
      <c r="Z1405" s="94">
        <f>IF($A1405="",0,IF(AE1405="직접",IF(AF1405="신계약비",$P1405,0),$P1405*(1-AG1405)*IFERROR(INDEX(계정대체기준!$C$20:$C$49,MATCH($N1405,계정대체기준!$A$20:$A$49,0)),0)))</f>
        <v/>
      </c>
      <c r="AA1405" s="94">
        <f>IF($A1405="",0,IF(AE1405="직접",IF(OR(AF1405="유지비",AF1405="손해조사비"),$P1405,0),$P1405*(1-AG1405)*IFERROR(INDEX(계정대체기준!$D$20:$D$49,MATCH($N1405,계정대체기준!$A$20:$A$49,0)),0)))</f>
        <v/>
      </c>
      <c r="AB1405" s="94">
        <f>IF($A1405="",0,IF(AE1405="직접",IF(AF1405="수금비",$P1405,0),$P1405*(1-AG1405)*IFERROR(INDEX(계정대체기준!$E$20:$E$49,MATCH($N1405,계정대체기준!$A$20:$A$49,0)),0)))</f>
        <v/>
      </c>
      <c r="AC1405" s="9">
        <f>IF(AND($A1405&lt;&gt;"",M1405=설정!$C$20,Z1405&gt;0),Z1405+ROW()/1000000000,"")</f>
        <v/>
      </c>
      <c r="AD1405" s="94">
        <f>IF($A1405="",0,$P1405*AG1405)</f>
        <v/>
      </c>
      <c r="AE1405" s="64">
        <f>IF($A1405="","",IFERROR(INDEX(계정매핑!$E$5:$E$504,MATCH($F1405&amp;"",계정매핑!$A$5:$A$504,0))&amp;"","공통비"))</f>
        <v/>
      </c>
      <c r="AF1405" s="64">
        <f>IF($A1405="","",IF(AE1405="직접",IFERROR(INDEX(계정매핑!$F$5:$F$504,MATCH($F1405&amp;"",계정매핑!$A$5:$A$504,0))&amp;"","비귀속"),""))</f>
        <v/>
      </c>
      <c r="AG1405" s="96">
        <f>IF($A1405="",0,IF(AND(AE1405&lt;&gt;"직접",IFERROR(INDEX(계정매핑!$G$5:$G$504,MATCH($F1405&amp;"",계정매핑!$A$5:$A$504,0))&amp;"","")="유지비",COUNTIF(계정대체기준!$A$6:$A$15,$N1405)&gt;0),IFERROR(INDEX(계정대체기준!$E$6:$E$15,MATCH(VALUE($A1405&amp;""),계정대체기준!$D$6:$D$15,0)),0),0))</f>
        <v/>
      </c>
      <c r="AH1405" s="64">
        <f>IF($A1405="","",IF(AD1405=0,"",IF(OR(COUNTIF(계정대체기준!$A$77:$A$86,$N1405)&gt;0,ISNUMBER(MATCH($X1405,계정대체기준!$D$77:$D$86,0)),ISNUMBER(MATCH($F1405,계정대체기준!$D$77:$D$86,0))),"Y","N")))</f>
        <v/>
      </c>
    </row>
    <row r="1406">
      <c r="A1406" s="92" t="n">
        <v>2025</v>
      </c>
      <c r="B1406" s="92" t="n">
        <v>7</v>
      </c>
      <c r="C1406" s="92" t="inlineStr">
        <is>
          <t>5100001402</t>
        </is>
      </c>
      <c r="D1406" s="95" t="n">
        <v>45844</v>
      </c>
      <c r="E1406" s="92" t="inlineStr">
        <is>
          <t>KR</t>
        </is>
      </c>
      <c r="F1406" s="92" t="n">
        <v>62101000</v>
      </c>
      <c r="G1406" s="92" t="n">
        <v>1601</v>
      </c>
      <c r="H1406" s="93" t="n">
        <v>916000</v>
      </c>
      <c r="I1406" s="92" t="inlineStr">
        <is>
          <t>7월 국내출장 - M항공</t>
        </is>
      </c>
      <c r="J1406" s="92" t="inlineStr">
        <is>
          <t>V10001</t>
        </is>
      </c>
      <c r="K1406" s="92" t="inlineStr">
        <is>
          <t>M항공</t>
        </is>
      </c>
      <c r="M1406" s="9">
        <f>IF($A1406="","",VALUE($A1406&amp;"")*12+VALUE($B1406&amp;""))</f>
        <v/>
      </c>
      <c r="N1406" s="64">
        <f>IF($A1406="","",IFERROR(INDEX(부서매핑!$C$5:$C$504,MATCH($G1406&amp;"",부서매핑!$A$5:$A$504,0)),"미매핑"))</f>
        <v/>
      </c>
      <c r="O1406" s="9">
        <f>IF($A1406="","",N1406&amp;"|"&amp;$F1406)</f>
        <v/>
      </c>
      <c r="P1406" s="94">
        <f>IF($A1406="",0,$H1406*설정!$C$23)</f>
        <v/>
      </c>
      <c r="Q1406" s="64">
        <f>IF($A1406="","",IF(O1406&lt;&gt;원인분석!$C$9,"",IF(AND(M1406&gt;=원인분석!$C$10,M1406&lt;=원인분석!$C$11),"당기",IF(AND(M1406&gt;=원인분석!$C$12,M1406&lt;=원인분석!$C$13),"비교",""))))</f>
        <v/>
      </c>
      <c r="R1406" s="9">
        <f>IF(Q1406="","",$K1406&amp;"")</f>
        <v/>
      </c>
      <c r="S1406" s="9">
        <f>IF(Q1406="","",IF(MATCH(R1406,$R$5:$R$100000,0)=ROW()-4,ROW(),""))</f>
        <v/>
      </c>
      <c r="T1406" s="9">
        <f>IF(Q1406="당기",ABS(P1406)+ROW()/1000000000,"")</f>
        <v/>
      </c>
      <c r="U1406" s="9">
        <f>IF(Q1406="비교",ABS(P1406)+ROW()/1000000000,"")</f>
        <v/>
      </c>
      <c r="V1406" s="64">
        <f>IF($A1406="","",IF(COUNTIF(변동분석!$E$7:$E$506,O1406)&gt;0,"Y","N"))</f>
        <v/>
      </c>
      <c r="W1406" s="64">
        <f>IF($A1406="","",IFERROR(INDEX(계정매핑!$D$5:$D$504,MATCH($F1406&amp;"",계정매핑!$A$5:$A$504,0)),"미매핑"))</f>
        <v/>
      </c>
      <c r="X1406" s="9">
        <f>IF($A1406="","",$F1406&amp;"")</f>
        <v/>
      </c>
      <c r="Y1406" s="94">
        <f>IF($A1406="",0,IF(AE1406="직접",IF(AF1406="비귀속",$P1406,0),$P1406*(1-AG1406)*IFERROR(INDEX(계정대체기준!$F$20:$F$49,MATCH($N1406,계정대체기준!$A$20:$A$49,0)),1)))</f>
        <v/>
      </c>
      <c r="Z1406" s="94">
        <f>IF($A1406="",0,IF(AE1406="직접",IF(AF1406="신계약비",$P1406,0),$P1406*(1-AG1406)*IFERROR(INDEX(계정대체기준!$C$20:$C$49,MATCH($N1406,계정대체기준!$A$20:$A$49,0)),0)))</f>
        <v/>
      </c>
      <c r="AA1406" s="94">
        <f>IF($A1406="",0,IF(AE1406="직접",IF(OR(AF1406="유지비",AF1406="손해조사비"),$P1406,0),$P1406*(1-AG1406)*IFERROR(INDEX(계정대체기준!$D$20:$D$49,MATCH($N1406,계정대체기준!$A$20:$A$49,0)),0)))</f>
        <v/>
      </c>
      <c r="AB1406" s="94">
        <f>IF($A1406="",0,IF(AE1406="직접",IF(AF1406="수금비",$P1406,0),$P1406*(1-AG1406)*IFERROR(INDEX(계정대체기준!$E$20:$E$49,MATCH($N1406,계정대체기준!$A$20:$A$49,0)),0)))</f>
        <v/>
      </c>
      <c r="AC1406" s="9">
        <f>IF(AND($A1406&lt;&gt;"",M1406=설정!$C$20,Z1406&gt;0),Z1406+ROW()/1000000000,"")</f>
        <v/>
      </c>
      <c r="AD1406" s="94">
        <f>IF($A1406="",0,$P1406*AG1406)</f>
        <v/>
      </c>
      <c r="AE1406" s="64">
        <f>IF($A1406="","",IFERROR(INDEX(계정매핑!$E$5:$E$504,MATCH($F1406&amp;"",계정매핑!$A$5:$A$504,0))&amp;"","공통비"))</f>
        <v/>
      </c>
      <c r="AF1406" s="64">
        <f>IF($A1406="","",IF(AE1406="직접",IFERROR(INDEX(계정매핑!$F$5:$F$504,MATCH($F1406&amp;"",계정매핑!$A$5:$A$504,0))&amp;"","비귀속"),""))</f>
        <v/>
      </c>
      <c r="AG1406" s="96">
        <f>IF($A1406="",0,IF(AND(AE1406&lt;&gt;"직접",IFERROR(INDEX(계정매핑!$G$5:$G$504,MATCH($F1406&amp;"",계정매핑!$A$5:$A$504,0))&amp;"","")="유지비",COUNTIF(계정대체기준!$A$6:$A$15,$N1406)&gt;0),IFERROR(INDEX(계정대체기준!$E$6:$E$15,MATCH(VALUE($A1406&amp;""),계정대체기준!$D$6:$D$15,0)),0),0))</f>
        <v/>
      </c>
      <c r="AH1406" s="64">
        <f>IF($A1406="","",IF(AD1406=0,"",IF(OR(COUNTIF(계정대체기준!$A$77:$A$86,$N1406)&gt;0,ISNUMBER(MATCH($X1406,계정대체기준!$D$77:$D$86,0)),ISNUMBER(MATCH($F1406,계정대체기준!$D$77:$D$86,0))),"Y","N")))</f>
        <v/>
      </c>
    </row>
    <row r="1407">
      <c r="A1407" s="92" t="n">
        <v>2025</v>
      </c>
      <c r="B1407" s="92" t="n">
        <v>7</v>
      </c>
      <c r="C1407" s="92" t="inlineStr">
        <is>
          <t>5100001403</t>
        </is>
      </c>
      <c r="D1407" s="95" t="n">
        <v>45844</v>
      </c>
      <c r="E1407" s="92" t="inlineStr">
        <is>
          <t>KR</t>
        </is>
      </c>
      <c r="F1407" s="92" t="n">
        <v>62201000</v>
      </c>
      <c r="G1407" s="92" t="n">
        <v>1801</v>
      </c>
      <c r="H1407" s="93" t="n">
        <v>3901000</v>
      </c>
      <c r="I1407" s="92" t="inlineStr">
        <is>
          <t>7월 통신요금 - P통신</t>
        </is>
      </c>
      <c r="J1407" s="92" t="inlineStr">
        <is>
          <t>V10014</t>
        </is>
      </c>
      <c r="K1407" s="92" t="inlineStr">
        <is>
          <t>P통신</t>
        </is>
      </c>
      <c r="M1407" s="9">
        <f>IF($A1407="","",VALUE($A1407&amp;"")*12+VALUE($B1407&amp;""))</f>
        <v/>
      </c>
      <c r="N1407" s="64">
        <f>IF($A1407="","",IFERROR(INDEX(부서매핑!$C$5:$C$504,MATCH($G1407&amp;"",부서매핑!$A$5:$A$504,0)),"미매핑"))</f>
        <v/>
      </c>
      <c r="O1407" s="9">
        <f>IF($A1407="","",N1407&amp;"|"&amp;$F1407)</f>
        <v/>
      </c>
      <c r="P1407" s="94">
        <f>IF($A1407="",0,$H1407*설정!$C$23)</f>
        <v/>
      </c>
      <c r="Q1407" s="64">
        <f>IF($A1407="","",IF(O1407&lt;&gt;원인분석!$C$9,"",IF(AND(M1407&gt;=원인분석!$C$10,M1407&lt;=원인분석!$C$11),"당기",IF(AND(M1407&gt;=원인분석!$C$12,M1407&lt;=원인분석!$C$13),"비교",""))))</f>
        <v/>
      </c>
      <c r="R1407" s="9">
        <f>IF(Q1407="","",$K1407&amp;"")</f>
        <v/>
      </c>
      <c r="S1407" s="9">
        <f>IF(Q1407="","",IF(MATCH(R1407,$R$5:$R$100000,0)=ROW()-4,ROW(),""))</f>
        <v/>
      </c>
      <c r="T1407" s="9">
        <f>IF(Q1407="당기",ABS(P1407)+ROW()/1000000000,"")</f>
        <v/>
      </c>
      <c r="U1407" s="9">
        <f>IF(Q1407="비교",ABS(P1407)+ROW()/1000000000,"")</f>
        <v/>
      </c>
      <c r="V1407" s="64">
        <f>IF($A1407="","",IF(COUNTIF(변동분석!$E$7:$E$506,O1407)&gt;0,"Y","N"))</f>
        <v/>
      </c>
      <c r="W1407" s="64">
        <f>IF($A1407="","",IFERROR(INDEX(계정매핑!$D$5:$D$504,MATCH($F1407&amp;"",계정매핑!$A$5:$A$504,0)),"미매핑"))</f>
        <v/>
      </c>
      <c r="X1407" s="9">
        <f>IF($A1407="","",$F1407&amp;"")</f>
        <v/>
      </c>
      <c r="Y1407" s="94">
        <f>IF($A1407="",0,IF(AE1407="직접",IF(AF1407="비귀속",$P1407,0),$P1407*(1-AG1407)*IFERROR(INDEX(계정대체기준!$F$20:$F$49,MATCH($N1407,계정대체기준!$A$20:$A$49,0)),1)))</f>
        <v/>
      </c>
      <c r="Z1407" s="94">
        <f>IF($A1407="",0,IF(AE1407="직접",IF(AF1407="신계약비",$P1407,0),$P1407*(1-AG1407)*IFERROR(INDEX(계정대체기준!$C$20:$C$49,MATCH($N1407,계정대체기준!$A$20:$A$49,0)),0)))</f>
        <v/>
      </c>
      <c r="AA1407" s="94">
        <f>IF($A1407="",0,IF(AE1407="직접",IF(OR(AF1407="유지비",AF1407="손해조사비"),$P1407,0),$P1407*(1-AG1407)*IFERROR(INDEX(계정대체기준!$D$20:$D$49,MATCH($N1407,계정대체기준!$A$20:$A$49,0)),0)))</f>
        <v/>
      </c>
      <c r="AB1407" s="94">
        <f>IF($A1407="",0,IF(AE1407="직접",IF(AF1407="수금비",$P1407,0),$P1407*(1-AG1407)*IFERROR(INDEX(계정대체기준!$E$20:$E$49,MATCH($N1407,계정대체기준!$A$20:$A$49,0)),0)))</f>
        <v/>
      </c>
      <c r="AC1407" s="9">
        <f>IF(AND($A1407&lt;&gt;"",M1407=설정!$C$20,Z1407&gt;0),Z1407+ROW()/1000000000,"")</f>
        <v/>
      </c>
      <c r="AD1407" s="94">
        <f>IF($A1407="",0,$P1407*AG1407)</f>
        <v/>
      </c>
      <c r="AE1407" s="64">
        <f>IF($A1407="","",IFERROR(INDEX(계정매핑!$E$5:$E$504,MATCH($F1407&amp;"",계정매핑!$A$5:$A$504,0))&amp;"","공통비"))</f>
        <v/>
      </c>
      <c r="AF1407" s="64">
        <f>IF($A1407="","",IF(AE1407="직접",IFERROR(INDEX(계정매핑!$F$5:$F$504,MATCH($F1407&amp;"",계정매핑!$A$5:$A$504,0))&amp;"","비귀속"),""))</f>
        <v/>
      </c>
      <c r="AG1407" s="96">
        <f>IF($A1407="",0,IF(AND(AE1407&lt;&gt;"직접",IFERROR(INDEX(계정매핑!$G$5:$G$504,MATCH($F1407&amp;"",계정매핑!$A$5:$A$504,0))&amp;"","")="유지비",COUNTIF(계정대체기준!$A$6:$A$15,$N1407)&gt;0),IFERROR(INDEX(계정대체기준!$E$6:$E$15,MATCH(VALUE($A1407&amp;""),계정대체기준!$D$6:$D$15,0)),0),0))</f>
        <v/>
      </c>
      <c r="AH1407" s="64">
        <f>IF($A1407="","",IF(AD1407=0,"",IF(OR(COUNTIF(계정대체기준!$A$77:$A$86,$N1407)&gt;0,ISNUMBER(MATCH($X1407,계정대체기준!$D$77:$D$86,0)),ISNUMBER(MATCH($F1407,계정대체기준!$D$77:$D$86,0))),"Y","N")))</f>
        <v/>
      </c>
    </row>
    <row r="1408">
      <c r="A1408" s="92" t="n">
        <v>2025</v>
      </c>
      <c r="B1408" s="92" t="n">
        <v>7</v>
      </c>
      <c r="C1408" s="92" t="inlineStr">
        <is>
          <t>5100001404</t>
        </is>
      </c>
      <c r="D1408" s="95" t="n">
        <v>45844</v>
      </c>
      <c r="E1408" s="92" t="inlineStr">
        <is>
          <t>KR</t>
        </is>
      </c>
      <c r="F1408" s="92" t="n">
        <v>62301000</v>
      </c>
      <c r="G1408" s="92" t="n">
        <v>1502</v>
      </c>
      <c r="H1408" s="93" t="n">
        <v>147000</v>
      </c>
      <c r="I1408" s="92" t="inlineStr">
        <is>
          <t>7월 소모품 구입 - Q오피스</t>
        </is>
      </c>
      <c r="J1408" s="92" t="inlineStr">
        <is>
          <t>V10003</t>
        </is>
      </c>
      <c r="K1408" s="92" t="inlineStr">
        <is>
          <t>Q오피스</t>
        </is>
      </c>
      <c r="M1408" s="9">
        <f>IF($A1408="","",VALUE($A1408&amp;"")*12+VALUE($B1408&amp;""))</f>
        <v/>
      </c>
      <c r="N1408" s="64">
        <f>IF($A1408="","",IFERROR(INDEX(부서매핑!$C$5:$C$504,MATCH($G1408&amp;"",부서매핑!$A$5:$A$504,0)),"미매핑"))</f>
        <v/>
      </c>
      <c r="O1408" s="9">
        <f>IF($A1408="","",N1408&amp;"|"&amp;$F1408)</f>
        <v/>
      </c>
      <c r="P1408" s="94">
        <f>IF($A1408="",0,$H1408*설정!$C$23)</f>
        <v/>
      </c>
      <c r="Q1408" s="64">
        <f>IF($A1408="","",IF(O1408&lt;&gt;원인분석!$C$9,"",IF(AND(M1408&gt;=원인분석!$C$10,M1408&lt;=원인분석!$C$11),"당기",IF(AND(M1408&gt;=원인분석!$C$12,M1408&lt;=원인분석!$C$13),"비교",""))))</f>
        <v/>
      </c>
      <c r="R1408" s="9">
        <f>IF(Q1408="","",$K1408&amp;"")</f>
        <v/>
      </c>
      <c r="S1408" s="9">
        <f>IF(Q1408="","",IF(MATCH(R1408,$R$5:$R$100000,0)=ROW()-4,ROW(),""))</f>
        <v/>
      </c>
      <c r="T1408" s="9">
        <f>IF(Q1408="당기",ABS(P1408)+ROW()/1000000000,"")</f>
        <v/>
      </c>
      <c r="U1408" s="9">
        <f>IF(Q1408="비교",ABS(P1408)+ROW()/1000000000,"")</f>
        <v/>
      </c>
      <c r="V1408" s="64">
        <f>IF($A1408="","",IF(COUNTIF(변동분석!$E$7:$E$506,O1408)&gt;0,"Y","N"))</f>
        <v/>
      </c>
      <c r="W1408" s="64">
        <f>IF($A1408="","",IFERROR(INDEX(계정매핑!$D$5:$D$504,MATCH($F1408&amp;"",계정매핑!$A$5:$A$504,0)),"미매핑"))</f>
        <v/>
      </c>
      <c r="X1408" s="9">
        <f>IF($A1408="","",$F1408&amp;"")</f>
        <v/>
      </c>
      <c r="Y1408" s="94">
        <f>IF($A1408="",0,IF(AE1408="직접",IF(AF1408="비귀속",$P1408,0),$P1408*(1-AG1408)*IFERROR(INDEX(계정대체기준!$F$20:$F$49,MATCH($N1408,계정대체기준!$A$20:$A$49,0)),1)))</f>
        <v/>
      </c>
      <c r="Z1408" s="94">
        <f>IF($A1408="",0,IF(AE1408="직접",IF(AF1408="신계약비",$P1408,0),$P1408*(1-AG1408)*IFERROR(INDEX(계정대체기준!$C$20:$C$49,MATCH($N1408,계정대체기준!$A$20:$A$49,0)),0)))</f>
        <v/>
      </c>
      <c r="AA1408" s="94">
        <f>IF($A1408="",0,IF(AE1408="직접",IF(OR(AF1408="유지비",AF1408="손해조사비"),$P1408,0),$P1408*(1-AG1408)*IFERROR(INDEX(계정대체기준!$D$20:$D$49,MATCH($N1408,계정대체기준!$A$20:$A$49,0)),0)))</f>
        <v/>
      </c>
      <c r="AB1408" s="94">
        <f>IF($A1408="",0,IF(AE1408="직접",IF(AF1408="수금비",$P1408,0),$P1408*(1-AG1408)*IFERROR(INDEX(계정대체기준!$E$20:$E$49,MATCH($N1408,계정대체기준!$A$20:$A$49,0)),0)))</f>
        <v/>
      </c>
      <c r="AC1408" s="9">
        <f>IF(AND($A1408&lt;&gt;"",M1408=설정!$C$20,Z1408&gt;0),Z1408+ROW()/1000000000,"")</f>
        <v/>
      </c>
      <c r="AD1408" s="94">
        <f>IF($A1408="",0,$P1408*AG1408)</f>
        <v/>
      </c>
      <c r="AE1408" s="64">
        <f>IF($A1408="","",IFERROR(INDEX(계정매핑!$E$5:$E$504,MATCH($F1408&amp;"",계정매핑!$A$5:$A$504,0))&amp;"","공통비"))</f>
        <v/>
      </c>
      <c r="AF1408" s="64">
        <f>IF($A1408="","",IF(AE1408="직접",IFERROR(INDEX(계정매핑!$F$5:$F$504,MATCH($F1408&amp;"",계정매핑!$A$5:$A$504,0))&amp;"","비귀속"),""))</f>
        <v/>
      </c>
      <c r="AG1408" s="96">
        <f>IF($A1408="",0,IF(AND(AE1408&lt;&gt;"직접",IFERROR(INDEX(계정매핑!$G$5:$G$504,MATCH($F1408&amp;"",계정매핑!$A$5:$A$504,0))&amp;"","")="유지비",COUNTIF(계정대체기준!$A$6:$A$15,$N1408)&gt;0),IFERROR(INDEX(계정대체기준!$E$6:$E$15,MATCH(VALUE($A1408&amp;""),계정대체기준!$D$6:$D$15,0)),0),0))</f>
        <v/>
      </c>
      <c r="AH1408" s="64">
        <f>IF($A1408="","",IF(AD1408=0,"",IF(OR(COUNTIF(계정대체기준!$A$77:$A$86,$N1408)&gt;0,ISNUMBER(MATCH($X1408,계정대체기준!$D$77:$D$86,0)),ISNUMBER(MATCH($F1408,계정대체기준!$D$77:$D$86,0))),"Y","N")))</f>
        <v/>
      </c>
    </row>
    <row r="1409">
      <c r="A1409" s="92" t="n">
        <v>2025</v>
      </c>
      <c r="B1409" s="92" t="n">
        <v>7</v>
      </c>
      <c r="C1409" s="92" t="inlineStr">
        <is>
          <t>5100001405</t>
        </is>
      </c>
      <c r="D1409" s="95" t="n">
        <v>45844</v>
      </c>
      <c r="E1409" s="92" t="inlineStr">
        <is>
          <t>KR</t>
        </is>
      </c>
      <c r="F1409" s="92" t="n">
        <v>62901000</v>
      </c>
      <c r="G1409" s="92" t="n">
        <v>1201</v>
      </c>
      <c r="H1409" s="93" t="n">
        <v>4981000</v>
      </c>
      <c r="I1409" s="92" t="inlineStr">
        <is>
          <t>7월 자문 수수료 - W컨설팅</t>
        </is>
      </c>
      <c r="J1409" s="92" t="inlineStr">
        <is>
          <t>V10006</t>
        </is>
      </c>
      <c r="K1409" s="92" t="inlineStr">
        <is>
          <t>W컨설팅</t>
        </is>
      </c>
      <c r="M1409" s="9">
        <f>IF($A1409="","",VALUE($A1409&amp;"")*12+VALUE($B1409&amp;""))</f>
        <v/>
      </c>
      <c r="N1409" s="64">
        <f>IF($A1409="","",IFERROR(INDEX(부서매핑!$C$5:$C$504,MATCH($G1409&amp;"",부서매핑!$A$5:$A$504,0)),"미매핑"))</f>
        <v/>
      </c>
      <c r="O1409" s="9">
        <f>IF($A1409="","",N1409&amp;"|"&amp;$F1409)</f>
        <v/>
      </c>
      <c r="P1409" s="94">
        <f>IF($A1409="",0,$H1409*설정!$C$23)</f>
        <v/>
      </c>
      <c r="Q1409" s="64">
        <f>IF($A1409="","",IF(O1409&lt;&gt;원인분석!$C$9,"",IF(AND(M1409&gt;=원인분석!$C$10,M1409&lt;=원인분석!$C$11),"당기",IF(AND(M1409&gt;=원인분석!$C$12,M1409&lt;=원인분석!$C$13),"비교",""))))</f>
        <v/>
      </c>
      <c r="R1409" s="9">
        <f>IF(Q1409="","",$K1409&amp;"")</f>
        <v/>
      </c>
      <c r="S1409" s="9">
        <f>IF(Q1409="","",IF(MATCH(R1409,$R$5:$R$100000,0)=ROW()-4,ROW(),""))</f>
        <v/>
      </c>
      <c r="T1409" s="9">
        <f>IF(Q1409="당기",ABS(P1409)+ROW()/1000000000,"")</f>
        <v/>
      </c>
      <c r="U1409" s="9">
        <f>IF(Q1409="비교",ABS(P1409)+ROW()/1000000000,"")</f>
        <v/>
      </c>
      <c r="V1409" s="64">
        <f>IF($A1409="","",IF(COUNTIF(변동분석!$E$7:$E$506,O1409)&gt;0,"Y","N"))</f>
        <v/>
      </c>
      <c r="W1409" s="64">
        <f>IF($A1409="","",IFERROR(INDEX(계정매핑!$D$5:$D$504,MATCH($F1409&amp;"",계정매핑!$A$5:$A$504,0)),"미매핑"))</f>
        <v/>
      </c>
      <c r="X1409" s="9">
        <f>IF($A1409="","",$F1409&amp;"")</f>
        <v/>
      </c>
      <c r="Y1409" s="94">
        <f>IF($A1409="",0,IF(AE1409="직접",IF(AF1409="비귀속",$P1409,0),$P1409*(1-AG1409)*IFERROR(INDEX(계정대체기준!$F$20:$F$49,MATCH($N1409,계정대체기준!$A$20:$A$49,0)),1)))</f>
        <v/>
      </c>
      <c r="Z1409" s="94">
        <f>IF($A1409="",0,IF(AE1409="직접",IF(AF1409="신계약비",$P1409,0),$P1409*(1-AG1409)*IFERROR(INDEX(계정대체기준!$C$20:$C$49,MATCH($N1409,계정대체기준!$A$20:$A$49,0)),0)))</f>
        <v/>
      </c>
      <c r="AA1409" s="94">
        <f>IF($A1409="",0,IF(AE1409="직접",IF(OR(AF1409="유지비",AF1409="손해조사비"),$P1409,0),$P1409*(1-AG1409)*IFERROR(INDEX(계정대체기준!$D$20:$D$49,MATCH($N1409,계정대체기준!$A$20:$A$49,0)),0)))</f>
        <v/>
      </c>
      <c r="AB1409" s="94">
        <f>IF($A1409="",0,IF(AE1409="직접",IF(AF1409="수금비",$P1409,0),$P1409*(1-AG1409)*IFERROR(INDEX(계정대체기준!$E$20:$E$49,MATCH($N1409,계정대체기준!$A$20:$A$49,0)),0)))</f>
        <v/>
      </c>
      <c r="AC1409" s="9">
        <f>IF(AND($A1409&lt;&gt;"",M1409=설정!$C$20,Z1409&gt;0),Z1409+ROW()/1000000000,"")</f>
        <v/>
      </c>
      <c r="AD1409" s="94">
        <f>IF($A1409="",0,$P1409*AG1409)</f>
        <v/>
      </c>
      <c r="AE1409" s="64">
        <f>IF($A1409="","",IFERROR(INDEX(계정매핑!$E$5:$E$504,MATCH($F1409&amp;"",계정매핑!$A$5:$A$504,0))&amp;"","공통비"))</f>
        <v/>
      </c>
      <c r="AF1409" s="64">
        <f>IF($A1409="","",IF(AE1409="직접",IFERROR(INDEX(계정매핑!$F$5:$F$504,MATCH($F1409&amp;"",계정매핑!$A$5:$A$504,0))&amp;"","비귀속"),""))</f>
        <v/>
      </c>
      <c r="AG1409" s="96">
        <f>IF($A1409="",0,IF(AND(AE1409&lt;&gt;"직접",IFERROR(INDEX(계정매핑!$G$5:$G$504,MATCH($F1409&amp;"",계정매핑!$A$5:$A$504,0))&amp;"","")="유지비",COUNTIF(계정대체기준!$A$6:$A$15,$N1409)&gt;0),IFERROR(INDEX(계정대체기준!$E$6:$E$15,MATCH(VALUE($A1409&amp;""),계정대체기준!$D$6:$D$15,0)),0),0))</f>
        <v/>
      </c>
      <c r="AH1409" s="64">
        <f>IF($A1409="","",IF(AD1409=0,"",IF(OR(COUNTIF(계정대체기준!$A$77:$A$86,$N1409)&gt;0,ISNUMBER(MATCH($X1409,계정대체기준!$D$77:$D$86,0)),ISNUMBER(MATCH($F1409,계정대체기준!$D$77:$D$86,0))),"Y","N")))</f>
        <v/>
      </c>
    </row>
    <row r="1410">
      <c r="A1410" s="92" t="n">
        <v>2025</v>
      </c>
      <c r="B1410" s="92" t="n">
        <v>7</v>
      </c>
      <c r="C1410" s="92" t="inlineStr">
        <is>
          <t>5100001406</t>
        </is>
      </c>
      <c r="D1410" s="95" t="n">
        <v>45844</v>
      </c>
      <c r="E1410" s="92" t="inlineStr">
        <is>
          <t>KR</t>
        </is>
      </c>
      <c r="F1410" s="92" t="n">
        <v>62901000</v>
      </c>
      <c r="G1410" s="92" t="n">
        <v>1951</v>
      </c>
      <c r="H1410" s="93" t="n">
        <v>6878000</v>
      </c>
      <c r="I1410" s="92" t="inlineStr">
        <is>
          <t>7월 자문 수수료 - K회계법인</t>
        </is>
      </c>
      <c r="J1410" s="92" t="inlineStr">
        <is>
          <t>V10011</t>
        </is>
      </c>
      <c r="K1410" s="92" t="inlineStr">
        <is>
          <t>K회계법인</t>
        </is>
      </c>
      <c r="M1410" s="9">
        <f>IF($A1410="","",VALUE($A1410&amp;"")*12+VALUE($B1410&amp;""))</f>
        <v/>
      </c>
      <c r="N1410" s="64">
        <f>IF($A1410="","",IFERROR(INDEX(부서매핑!$C$5:$C$504,MATCH($G1410&amp;"",부서매핑!$A$5:$A$504,0)),"미매핑"))</f>
        <v/>
      </c>
      <c r="O1410" s="9">
        <f>IF($A1410="","",N1410&amp;"|"&amp;$F1410)</f>
        <v/>
      </c>
      <c r="P1410" s="94">
        <f>IF($A1410="",0,$H1410*설정!$C$23)</f>
        <v/>
      </c>
      <c r="Q1410" s="64">
        <f>IF($A1410="","",IF(O1410&lt;&gt;원인분석!$C$9,"",IF(AND(M1410&gt;=원인분석!$C$10,M1410&lt;=원인분석!$C$11),"당기",IF(AND(M1410&gt;=원인분석!$C$12,M1410&lt;=원인분석!$C$13),"비교",""))))</f>
        <v/>
      </c>
      <c r="R1410" s="9">
        <f>IF(Q1410="","",$K1410&amp;"")</f>
        <v/>
      </c>
      <c r="S1410" s="9">
        <f>IF(Q1410="","",IF(MATCH(R1410,$R$5:$R$100000,0)=ROW()-4,ROW(),""))</f>
        <v/>
      </c>
      <c r="T1410" s="9">
        <f>IF(Q1410="당기",ABS(P1410)+ROW()/1000000000,"")</f>
        <v/>
      </c>
      <c r="U1410" s="9">
        <f>IF(Q1410="비교",ABS(P1410)+ROW()/1000000000,"")</f>
        <v/>
      </c>
      <c r="V1410" s="64">
        <f>IF($A1410="","",IF(COUNTIF(변동분석!$E$7:$E$506,O1410)&gt;0,"Y","N"))</f>
        <v/>
      </c>
      <c r="W1410" s="64">
        <f>IF($A1410="","",IFERROR(INDEX(계정매핑!$D$5:$D$504,MATCH($F1410&amp;"",계정매핑!$A$5:$A$504,0)),"미매핑"))</f>
        <v/>
      </c>
      <c r="X1410" s="9">
        <f>IF($A1410="","",$F1410&amp;"")</f>
        <v/>
      </c>
      <c r="Y1410" s="94">
        <f>IF($A1410="",0,IF(AE1410="직접",IF(AF1410="비귀속",$P1410,0),$P1410*(1-AG1410)*IFERROR(INDEX(계정대체기준!$F$20:$F$49,MATCH($N1410,계정대체기준!$A$20:$A$49,0)),1)))</f>
        <v/>
      </c>
      <c r="Z1410" s="94">
        <f>IF($A1410="",0,IF(AE1410="직접",IF(AF1410="신계약비",$P1410,0),$P1410*(1-AG1410)*IFERROR(INDEX(계정대체기준!$C$20:$C$49,MATCH($N1410,계정대체기준!$A$20:$A$49,0)),0)))</f>
        <v/>
      </c>
      <c r="AA1410" s="94">
        <f>IF($A1410="",0,IF(AE1410="직접",IF(OR(AF1410="유지비",AF1410="손해조사비"),$P1410,0),$P1410*(1-AG1410)*IFERROR(INDEX(계정대체기준!$D$20:$D$49,MATCH($N1410,계정대체기준!$A$20:$A$49,0)),0)))</f>
        <v/>
      </c>
      <c r="AB1410" s="94">
        <f>IF($A1410="",0,IF(AE1410="직접",IF(AF1410="수금비",$P1410,0),$P1410*(1-AG1410)*IFERROR(INDEX(계정대체기준!$E$20:$E$49,MATCH($N1410,계정대체기준!$A$20:$A$49,0)),0)))</f>
        <v/>
      </c>
      <c r="AC1410" s="9">
        <f>IF(AND($A1410&lt;&gt;"",M1410=설정!$C$20,Z1410&gt;0),Z1410+ROW()/1000000000,"")</f>
        <v/>
      </c>
      <c r="AD1410" s="94">
        <f>IF($A1410="",0,$P1410*AG1410)</f>
        <v/>
      </c>
      <c r="AE1410" s="64">
        <f>IF($A1410="","",IFERROR(INDEX(계정매핑!$E$5:$E$504,MATCH($F1410&amp;"",계정매핑!$A$5:$A$504,0))&amp;"","공통비"))</f>
        <v/>
      </c>
      <c r="AF1410" s="64">
        <f>IF($A1410="","",IF(AE1410="직접",IFERROR(INDEX(계정매핑!$F$5:$F$504,MATCH($F1410&amp;"",계정매핑!$A$5:$A$504,0))&amp;"","비귀속"),""))</f>
        <v/>
      </c>
      <c r="AG1410" s="96">
        <f>IF($A1410="",0,IF(AND(AE1410&lt;&gt;"직접",IFERROR(INDEX(계정매핑!$G$5:$G$504,MATCH($F1410&amp;"",계정매핑!$A$5:$A$504,0))&amp;"","")="유지비",COUNTIF(계정대체기준!$A$6:$A$15,$N1410)&gt;0),IFERROR(INDEX(계정대체기준!$E$6:$E$15,MATCH(VALUE($A1410&amp;""),계정대체기준!$D$6:$D$15,0)),0),0))</f>
        <v/>
      </c>
      <c r="AH1410" s="64">
        <f>IF($A1410="","",IF(AD1410=0,"",IF(OR(COUNTIF(계정대체기준!$A$77:$A$86,$N1410)&gt;0,ISNUMBER(MATCH($X1410,계정대체기준!$D$77:$D$86,0)),ISNUMBER(MATCH($F1410,계정대체기준!$D$77:$D$86,0))),"Y","N")))</f>
        <v/>
      </c>
    </row>
    <row r="1411">
      <c r="A1411" s="92" t="n">
        <v>2025</v>
      </c>
      <c r="B1411" s="92" t="n">
        <v>7</v>
      </c>
      <c r="C1411" s="92" t="inlineStr">
        <is>
          <t>5100001407</t>
        </is>
      </c>
      <c r="D1411" s="95" t="n">
        <v>45844</v>
      </c>
      <c r="E1411" s="92" t="inlineStr">
        <is>
          <t>KR</t>
        </is>
      </c>
      <c r="F1411" s="92" t="n">
        <v>62902000</v>
      </c>
      <c r="G1411" s="92" t="n">
        <v>1951</v>
      </c>
      <c r="H1411" s="93" t="n">
        <v>3909000</v>
      </c>
      <c r="I1411" s="92" t="inlineStr">
        <is>
          <t>7월 업무 위탁 수수료 - J콜센터</t>
        </is>
      </c>
      <c r="J1411" s="92" t="inlineStr">
        <is>
          <t>V10016</t>
        </is>
      </c>
      <c r="K1411" s="92" t="inlineStr">
        <is>
          <t>J콜센터</t>
        </is>
      </c>
      <c r="M1411" s="9">
        <f>IF($A1411="","",VALUE($A1411&amp;"")*12+VALUE($B1411&amp;""))</f>
        <v/>
      </c>
      <c r="N1411" s="64">
        <f>IF($A1411="","",IFERROR(INDEX(부서매핑!$C$5:$C$504,MATCH($G1411&amp;"",부서매핑!$A$5:$A$504,0)),"미매핑"))</f>
        <v/>
      </c>
      <c r="O1411" s="9">
        <f>IF($A1411="","",N1411&amp;"|"&amp;$F1411)</f>
        <v/>
      </c>
      <c r="P1411" s="94">
        <f>IF($A1411="",0,$H1411*설정!$C$23)</f>
        <v/>
      </c>
      <c r="Q1411" s="64">
        <f>IF($A1411="","",IF(O1411&lt;&gt;원인분석!$C$9,"",IF(AND(M1411&gt;=원인분석!$C$10,M1411&lt;=원인분석!$C$11),"당기",IF(AND(M1411&gt;=원인분석!$C$12,M1411&lt;=원인분석!$C$13),"비교",""))))</f>
        <v/>
      </c>
      <c r="R1411" s="9">
        <f>IF(Q1411="","",$K1411&amp;"")</f>
        <v/>
      </c>
      <c r="S1411" s="9">
        <f>IF(Q1411="","",IF(MATCH(R1411,$R$5:$R$100000,0)=ROW()-4,ROW(),""))</f>
        <v/>
      </c>
      <c r="T1411" s="9">
        <f>IF(Q1411="당기",ABS(P1411)+ROW()/1000000000,"")</f>
        <v/>
      </c>
      <c r="U1411" s="9">
        <f>IF(Q1411="비교",ABS(P1411)+ROW()/1000000000,"")</f>
        <v/>
      </c>
      <c r="V1411" s="64">
        <f>IF($A1411="","",IF(COUNTIF(변동분석!$E$7:$E$506,O1411)&gt;0,"Y","N"))</f>
        <v/>
      </c>
      <c r="W1411" s="64">
        <f>IF($A1411="","",IFERROR(INDEX(계정매핑!$D$5:$D$504,MATCH($F1411&amp;"",계정매핑!$A$5:$A$504,0)),"미매핑"))</f>
        <v/>
      </c>
      <c r="X1411" s="9">
        <f>IF($A1411="","",$F1411&amp;"")</f>
        <v/>
      </c>
      <c r="Y1411" s="94">
        <f>IF($A1411="",0,IF(AE1411="직접",IF(AF1411="비귀속",$P1411,0),$P1411*(1-AG1411)*IFERROR(INDEX(계정대체기준!$F$20:$F$49,MATCH($N1411,계정대체기준!$A$20:$A$49,0)),1)))</f>
        <v/>
      </c>
      <c r="Z1411" s="94">
        <f>IF($A1411="",0,IF(AE1411="직접",IF(AF1411="신계약비",$P1411,0),$P1411*(1-AG1411)*IFERROR(INDEX(계정대체기준!$C$20:$C$49,MATCH($N1411,계정대체기준!$A$20:$A$49,0)),0)))</f>
        <v/>
      </c>
      <c r="AA1411" s="94">
        <f>IF($A1411="",0,IF(AE1411="직접",IF(OR(AF1411="유지비",AF1411="손해조사비"),$P1411,0),$P1411*(1-AG1411)*IFERROR(INDEX(계정대체기준!$D$20:$D$49,MATCH($N1411,계정대체기준!$A$20:$A$49,0)),0)))</f>
        <v/>
      </c>
      <c r="AB1411" s="94">
        <f>IF($A1411="",0,IF(AE1411="직접",IF(AF1411="수금비",$P1411,0),$P1411*(1-AG1411)*IFERROR(INDEX(계정대체기준!$E$20:$E$49,MATCH($N1411,계정대체기준!$A$20:$A$49,0)),0)))</f>
        <v/>
      </c>
      <c r="AC1411" s="9">
        <f>IF(AND($A1411&lt;&gt;"",M1411=설정!$C$20,Z1411&gt;0),Z1411+ROW()/1000000000,"")</f>
        <v/>
      </c>
      <c r="AD1411" s="94">
        <f>IF($A1411="",0,$P1411*AG1411)</f>
        <v/>
      </c>
      <c r="AE1411" s="64">
        <f>IF($A1411="","",IFERROR(INDEX(계정매핑!$E$5:$E$504,MATCH($F1411&amp;"",계정매핑!$A$5:$A$504,0))&amp;"","공통비"))</f>
        <v/>
      </c>
      <c r="AF1411" s="64">
        <f>IF($A1411="","",IF(AE1411="직접",IFERROR(INDEX(계정매핑!$F$5:$F$504,MATCH($F1411&amp;"",계정매핑!$A$5:$A$504,0))&amp;"","비귀속"),""))</f>
        <v/>
      </c>
      <c r="AG1411" s="96">
        <f>IF($A1411="",0,IF(AND(AE1411&lt;&gt;"직접",IFERROR(INDEX(계정매핑!$G$5:$G$504,MATCH($F1411&amp;"",계정매핑!$A$5:$A$504,0))&amp;"","")="유지비",COUNTIF(계정대체기준!$A$6:$A$15,$N1411)&gt;0),IFERROR(INDEX(계정대체기준!$E$6:$E$15,MATCH(VALUE($A1411&amp;""),계정대체기준!$D$6:$D$15,0)),0),0))</f>
        <v/>
      </c>
      <c r="AH1411" s="64">
        <f>IF($A1411="","",IF(AD1411=0,"",IF(OR(COUNTIF(계정대체기준!$A$77:$A$86,$N1411)&gt;0,ISNUMBER(MATCH($X1411,계정대체기준!$D$77:$D$86,0)),ISNUMBER(MATCH($F1411,계정대체기준!$D$77:$D$86,0))),"Y","N")))</f>
        <v/>
      </c>
    </row>
    <row r="1412">
      <c r="A1412" s="92" t="n">
        <v>2025</v>
      </c>
      <c r="B1412" s="92" t="n">
        <v>7</v>
      </c>
      <c r="C1412" s="92" t="inlineStr">
        <is>
          <t>5100001408</t>
        </is>
      </c>
      <c r="D1412" s="95" t="n">
        <v>45844</v>
      </c>
      <c r="E1412" s="92" t="inlineStr">
        <is>
          <t>KR</t>
        </is>
      </c>
      <c r="F1412" s="92" t="n">
        <v>63502000</v>
      </c>
      <c r="G1412" s="92" t="n">
        <v>1902</v>
      </c>
      <c r="H1412" s="93" t="n">
        <v>238861000</v>
      </c>
      <c r="I1412" s="92" t="inlineStr">
        <is>
          <t>7월 유지수수료 - (전속설계사)</t>
        </is>
      </c>
      <c r="J1412" s="92" t="inlineStr">
        <is>
          <t>V10021</t>
        </is>
      </c>
      <c r="K1412" s="92" t="inlineStr">
        <is>
          <t>(전속설계사)</t>
        </is>
      </c>
      <c r="M1412" s="9">
        <f>IF($A1412="","",VALUE($A1412&amp;"")*12+VALUE($B1412&amp;""))</f>
        <v/>
      </c>
      <c r="N1412" s="64">
        <f>IF($A1412="","",IFERROR(INDEX(부서매핑!$C$5:$C$504,MATCH($G1412&amp;"",부서매핑!$A$5:$A$504,0)),"미매핑"))</f>
        <v/>
      </c>
      <c r="O1412" s="9">
        <f>IF($A1412="","",N1412&amp;"|"&amp;$F1412)</f>
        <v/>
      </c>
      <c r="P1412" s="94">
        <f>IF($A1412="",0,$H1412*설정!$C$23)</f>
        <v/>
      </c>
      <c r="Q1412" s="64">
        <f>IF($A1412="","",IF(O1412&lt;&gt;원인분석!$C$9,"",IF(AND(M1412&gt;=원인분석!$C$10,M1412&lt;=원인분석!$C$11),"당기",IF(AND(M1412&gt;=원인분석!$C$12,M1412&lt;=원인분석!$C$13),"비교",""))))</f>
        <v/>
      </c>
      <c r="R1412" s="9">
        <f>IF(Q1412="","",$K1412&amp;"")</f>
        <v/>
      </c>
      <c r="S1412" s="9">
        <f>IF(Q1412="","",IF(MATCH(R1412,$R$5:$R$100000,0)=ROW()-4,ROW(),""))</f>
        <v/>
      </c>
      <c r="T1412" s="9">
        <f>IF(Q1412="당기",ABS(P1412)+ROW()/1000000000,"")</f>
        <v/>
      </c>
      <c r="U1412" s="9">
        <f>IF(Q1412="비교",ABS(P1412)+ROW()/1000000000,"")</f>
        <v/>
      </c>
      <c r="V1412" s="64">
        <f>IF($A1412="","",IF(COUNTIF(변동분석!$E$7:$E$506,O1412)&gt;0,"Y","N"))</f>
        <v/>
      </c>
      <c r="W1412" s="64">
        <f>IF($A1412="","",IFERROR(INDEX(계정매핑!$D$5:$D$504,MATCH($F1412&amp;"",계정매핑!$A$5:$A$504,0)),"미매핑"))</f>
        <v/>
      </c>
      <c r="X1412" s="9">
        <f>IF($A1412="","",$F1412&amp;"")</f>
        <v/>
      </c>
      <c r="Y1412" s="94">
        <f>IF($A1412="",0,IF(AE1412="직접",IF(AF1412="비귀속",$P1412,0),$P1412*(1-AG1412)*IFERROR(INDEX(계정대체기준!$F$20:$F$49,MATCH($N1412,계정대체기준!$A$20:$A$49,0)),1)))</f>
        <v/>
      </c>
      <c r="Z1412" s="94">
        <f>IF($A1412="",0,IF(AE1412="직접",IF(AF1412="신계약비",$P1412,0),$P1412*(1-AG1412)*IFERROR(INDEX(계정대체기준!$C$20:$C$49,MATCH($N1412,계정대체기준!$A$20:$A$49,0)),0)))</f>
        <v/>
      </c>
      <c r="AA1412" s="94">
        <f>IF($A1412="",0,IF(AE1412="직접",IF(OR(AF1412="유지비",AF1412="손해조사비"),$P1412,0),$P1412*(1-AG1412)*IFERROR(INDEX(계정대체기준!$D$20:$D$49,MATCH($N1412,계정대체기준!$A$20:$A$49,0)),0)))</f>
        <v/>
      </c>
      <c r="AB1412" s="94">
        <f>IF($A1412="",0,IF(AE1412="직접",IF(AF1412="수금비",$P1412,0),$P1412*(1-AG1412)*IFERROR(INDEX(계정대체기준!$E$20:$E$49,MATCH($N1412,계정대체기준!$A$20:$A$49,0)),0)))</f>
        <v/>
      </c>
      <c r="AC1412" s="9">
        <f>IF(AND($A1412&lt;&gt;"",M1412=설정!$C$20,Z1412&gt;0),Z1412+ROW()/1000000000,"")</f>
        <v/>
      </c>
      <c r="AD1412" s="94">
        <f>IF($A1412="",0,$P1412*AG1412)</f>
        <v/>
      </c>
      <c r="AE1412" s="64">
        <f>IF($A1412="","",IFERROR(INDEX(계정매핑!$E$5:$E$504,MATCH($F1412&amp;"",계정매핑!$A$5:$A$504,0))&amp;"","공통비"))</f>
        <v/>
      </c>
      <c r="AF1412" s="64">
        <f>IF($A1412="","",IF(AE1412="직접",IFERROR(INDEX(계정매핑!$F$5:$F$504,MATCH($F1412&amp;"",계정매핑!$A$5:$A$504,0))&amp;"","비귀속"),""))</f>
        <v/>
      </c>
      <c r="AG1412" s="96">
        <f>IF($A1412="",0,IF(AND(AE1412&lt;&gt;"직접",IFERROR(INDEX(계정매핑!$G$5:$G$504,MATCH($F1412&amp;"",계정매핑!$A$5:$A$504,0))&amp;"","")="유지비",COUNTIF(계정대체기준!$A$6:$A$15,$N1412)&gt;0),IFERROR(INDEX(계정대체기준!$E$6:$E$15,MATCH(VALUE($A1412&amp;""),계정대체기준!$D$6:$D$15,0)),0),0))</f>
        <v/>
      </c>
      <c r="AH1412" s="64">
        <f>IF($A1412="","",IF(AD1412=0,"",IF(OR(COUNTIF(계정대체기준!$A$77:$A$86,$N1412)&gt;0,ISNUMBER(MATCH($X1412,계정대체기준!$D$77:$D$86,0)),ISNUMBER(MATCH($F1412,계정대체기준!$D$77:$D$86,0))),"Y","N")))</f>
        <v/>
      </c>
    </row>
    <row r="1413">
      <c r="A1413" s="92" t="n">
        <v>2025</v>
      </c>
      <c r="B1413" s="92" t="n">
        <v>7</v>
      </c>
      <c r="C1413" s="92" t="inlineStr">
        <is>
          <t>5100001409</t>
        </is>
      </c>
      <c r="D1413" s="95" t="n">
        <v>45845</v>
      </c>
      <c r="E1413" s="92" t="inlineStr">
        <is>
          <t>KR</t>
        </is>
      </c>
      <c r="F1413" s="92" t="n">
        <v>62101000</v>
      </c>
      <c r="G1413" s="92" t="n">
        <v>1401</v>
      </c>
      <c r="H1413" s="93" t="n">
        <v>325000</v>
      </c>
      <c r="I1413" s="92" t="inlineStr">
        <is>
          <t>7월 국내출장 - (법인카드)</t>
        </is>
      </c>
      <c r="J1413" s="92" t="inlineStr">
        <is>
          <t>V10010</t>
        </is>
      </c>
      <c r="K1413" s="92" t="inlineStr">
        <is>
          <t>(법인카드)</t>
        </is>
      </c>
      <c r="M1413" s="9">
        <f>IF($A1413="","",VALUE($A1413&amp;"")*12+VALUE($B1413&amp;""))</f>
        <v/>
      </c>
      <c r="N1413" s="64">
        <f>IF($A1413="","",IFERROR(INDEX(부서매핑!$C$5:$C$504,MATCH($G1413&amp;"",부서매핑!$A$5:$A$504,0)),"미매핑"))</f>
        <v/>
      </c>
      <c r="O1413" s="9">
        <f>IF($A1413="","",N1413&amp;"|"&amp;$F1413)</f>
        <v/>
      </c>
      <c r="P1413" s="94">
        <f>IF($A1413="",0,$H1413*설정!$C$23)</f>
        <v/>
      </c>
      <c r="Q1413" s="64">
        <f>IF($A1413="","",IF(O1413&lt;&gt;원인분석!$C$9,"",IF(AND(M1413&gt;=원인분석!$C$10,M1413&lt;=원인분석!$C$11),"당기",IF(AND(M1413&gt;=원인분석!$C$12,M1413&lt;=원인분석!$C$13),"비교",""))))</f>
        <v/>
      </c>
      <c r="R1413" s="9">
        <f>IF(Q1413="","",$K1413&amp;"")</f>
        <v/>
      </c>
      <c r="S1413" s="9">
        <f>IF(Q1413="","",IF(MATCH(R1413,$R$5:$R$100000,0)=ROW()-4,ROW(),""))</f>
        <v/>
      </c>
      <c r="T1413" s="9">
        <f>IF(Q1413="당기",ABS(P1413)+ROW()/1000000000,"")</f>
        <v/>
      </c>
      <c r="U1413" s="9">
        <f>IF(Q1413="비교",ABS(P1413)+ROW()/1000000000,"")</f>
        <v/>
      </c>
      <c r="V1413" s="64">
        <f>IF($A1413="","",IF(COUNTIF(변동분석!$E$7:$E$506,O1413)&gt;0,"Y","N"))</f>
        <v/>
      </c>
      <c r="W1413" s="64">
        <f>IF($A1413="","",IFERROR(INDEX(계정매핑!$D$5:$D$504,MATCH($F1413&amp;"",계정매핑!$A$5:$A$504,0)),"미매핑"))</f>
        <v/>
      </c>
      <c r="X1413" s="9">
        <f>IF($A1413="","",$F1413&amp;"")</f>
        <v/>
      </c>
      <c r="Y1413" s="94">
        <f>IF($A1413="",0,IF(AE1413="직접",IF(AF1413="비귀속",$P1413,0),$P1413*(1-AG1413)*IFERROR(INDEX(계정대체기준!$F$20:$F$49,MATCH($N1413,계정대체기준!$A$20:$A$49,0)),1)))</f>
        <v/>
      </c>
      <c r="Z1413" s="94">
        <f>IF($A1413="",0,IF(AE1413="직접",IF(AF1413="신계약비",$P1413,0),$P1413*(1-AG1413)*IFERROR(INDEX(계정대체기준!$C$20:$C$49,MATCH($N1413,계정대체기준!$A$20:$A$49,0)),0)))</f>
        <v/>
      </c>
      <c r="AA1413" s="94">
        <f>IF($A1413="",0,IF(AE1413="직접",IF(OR(AF1413="유지비",AF1413="손해조사비"),$P1413,0),$P1413*(1-AG1413)*IFERROR(INDEX(계정대체기준!$D$20:$D$49,MATCH($N1413,계정대체기준!$A$20:$A$49,0)),0)))</f>
        <v/>
      </c>
      <c r="AB1413" s="94">
        <f>IF($A1413="",0,IF(AE1413="직접",IF(AF1413="수금비",$P1413,0),$P1413*(1-AG1413)*IFERROR(INDEX(계정대체기준!$E$20:$E$49,MATCH($N1413,계정대체기준!$A$20:$A$49,0)),0)))</f>
        <v/>
      </c>
      <c r="AC1413" s="9">
        <f>IF(AND($A1413&lt;&gt;"",M1413=설정!$C$20,Z1413&gt;0),Z1413+ROW()/1000000000,"")</f>
        <v/>
      </c>
      <c r="AD1413" s="94">
        <f>IF($A1413="",0,$P1413*AG1413)</f>
        <v/>
      </c>
      <c r="AE1413" s="64">
        <f>IF($A1413="","",IFERROR(INDEX(계정매핑!$E$5:$E$504,MATCH($F1413&amp;"",계정매핑!$A$5:$A$504,0))&amp;"","공통비"))</f>
        <v/>
      </c>
      <c r="AF1413" s="64">
        <f>IF($A1413="","",IF(AE1413="직접",IFERROR(INDEX(계정매핑!$F$5:$F$504,MATCH($F1413&amp;"",계정매핑!$A$5:$A$504,0))&amp;"","비귀속"),""))</f>
        <v/>
      </c>
      <c r="AG1413" s="96">
        <f>IF($A1413="",0,IF(AND(AE1413&lt;&gt;"직접",IFERROR(INDEX(계정매핑!$G$5:$G$504,MATCH($F1413&amp;"",계정매핑!$A$5:$A$504,0))&amp;"","")="유지비",COUNTIF(계정대체기준!$A$6:$A$15,$N1413)&gt;0),IFERROR(INDEX(계정대체기준!$E$6:$E$15,MATCH(VALUE($A1413&amp;""),계정대체기준!$D$6:$D$15,0)),0),0))</f>
        <v/>
      </c>
      <c r="AH1413" s="64">
        <f>IF($A1413="","",IF(AD1413=0,"",IF(OR(COUNTIF(계정대체기준!$A$77:$A$86,$N1413)&gt;0,ISNUMBER(MATCH($X1413,계정대체기준!$D$77:$D$86,0)),ISNUMBER(MATCH($F1413,계정대체기준!$D$77:$D$86,0))),"Y","N")))</f>
        <v/>
      </c>
    </row>
    <row r="1414">
      <c r="A1414" s="92" t="n">
        <v>2025</v>
      </c>
      <c r="B1414" s="92" t="n">
        <v>7</v>
      </c>
      <c r="C1414" s="92" t="inlineStr">
        <is>
          <t>5100001410</t>
        </is>
      </c>
      <c r="D1414" s="95" t="n">
        <v>45845</v>
      </c>
      <c r="E1414" s="92" t="inlineStr">
        <is>
          <t>KR</t>
        </is>
      </c>
      <c r="F1414" s="92" t="n">
        <v>62102000</v>
      </c>
      <c r="G1414" s="92" t="n">
        <v>1951</v>
      </c>
      <c r="H1414" s="93" t="n">
        <v>81000</v>
      </c>
      <c r="I1414" s="92" t="inlineStr">
        <is>
          <t>7월 해외출장 - M항공</t>
        </is>
      </c>
      <c r="J1414" s="92" t="inlineStr">
        <is>
          <t>V10001</t>
        </is>
      </c>
      <c r="K1414" s="92" t="inlineStr">
        <is>
          <t>M항공</t>
        </is>
      </c>
      <c r="M1414" s="9">
        <f>IF($A1414="","",VALUE($A1414&amp;"")*12+VALUE($B1414&amp;""))</f>
        <v/>
      </c>
      <c r="N1414" s="64">
        <f>IF($A1414="","",IFERROR(INDEX(부서매핑!$C$5:$C$504,MATCH($G1414&amp;"",부서매핑!$A$5:$A$504,0)),"미매핑"))</f>
        <v/>
      </c>
      <c r="O1414" s="9">
        <f>IF($A1414="","",N1414&amp;"|"&amp;$F1414)</f>
        <v/>
      </c>
      <c r="P1414" s="94">
        <f>IF($A1414="",0,$H1414*설정!$C$23)</f>
        <v/>
      </c>
      <c r="Q1414" s="64">
        <f>IF($A1414="","",IF(O1414&lt;&gt;원인분석!$C$9,"",IF(AND(M1414&gt;=원인분석!$C$10,M1414&lt;=원인분석!$C$11),"당기",IF(AND(M1414&gt;=원인분석!$C$12,M1414&lt;=원인분석!$C$13),"비교",""))))</f>
        <v/>
      </c>
      <c r="R1414" s="9">
        <f>IF(Q1414="","",$K1414&amp;"")</f>
        <v/>
      </c>
      <c r="S1414" s="9">
        <f>IF(Q1414="","",IF(MATCH(R1414,$R$5:$R$100000,0)=ROW()-4,ROW(),""))</f>
        <v/>
      </c>
      <c r="T1414" s="9">
        <f>IF(Q1414="당기",ABS(P1414)+ROW()/1000000000,"")</f>
        <v/>
      </c>
      <c r="U1414" s="9">
        <f>IF(Q1414="비교",ABS(P1414)+ROW()/1000000000,"")</f>
        <v/>
      </c>
      <c r="V1414" s="64">
        <f>IF($A1414="","",IF(COUNTIF(변동분석!$E$7:$E$506,O1414)&gt;0,"Y","N"))</f>
        <v/>
      </c>
      <c r="W1414" s="64">
        <f>IF($A1414="","",IFERROR(INDEX(계정매핑!$D$5:$D$504,MATCH($F1414&amp;"",계정매핑!$A$5:$A$504,0)),"미매핑"))</f>
        <v/>
      </c>
      <c r="X1414" s="9">
        <f>IF($A1414="","",$F1414&amp;"")</f>
        <v/>
      </c>
      <c r="Y1414" s="94">
        <f>IF($A1414="",0,IF(AE1414="직접",IF(AF1414="비귀속",$P1414,0),$P1414*(1-AG1414)*IFERROR(INDEX(계정대체기준!$F$20:$F$49,MATCH($N1414,계정대체기준!$A$20:$A$49,0)),1)))</f>
        <v/>
      </c>
      <c r="Z1414" s="94">
        <f>IF($A1414="",0,IF(AE1414="직접",IF(AF1414="신계약비",$P1414,0),$P1414*(1-AG1414)*IFERROR(INDEX(계정대체기준!$C$20:$C$49,MATCH($N1414,계정대체기준!$A$20:$A$49,0)),0)))</f>
        <v/>
      </c>
      <c r="AA1414" s="94">
        <f>IF($A1414="",0,IF(AE1414="직접",IF(OR(AF1414="유지비",AF1414="손해조사비"),$P1414,0),$P1414*(1-AG1414)*IFERROR(INDEX(계정대체기준!$D$20:$D$49,MATCH($N1414,계정대체기준!$A$20:$A$49,0)),0)))</f>
        <v/>
      </c>
      <c r="AB1414" s="94">
        <f>IF($A1414="",0,IF(AE1414="직접",IF(AF1414="수금비",$P1414,0),$P1414*(1-AG1414)*IFERROR(INDEX(계정대체기준!$E$20:$E$49,MATCH($N1414,계정대체기준!$A$20:$A$49,0)),0)))</f>
        <v/>
      </c>
      <c r="AC1414" s="9">
        <f>IF(AND($A1414&lt;&gt;"",M1414=설정!$C$20,Z1414&gt;0),Z1414+ROW()/1000000000,"")</f>
        <v/>
      </c>
      <c r="AD1414" s="94">
        <f>IF($A1414="",0,$P1414*AG1414)</f>
        <v/>
      </c>
      <c r="AE1414" s="64">
        <f>IF($A1414="","",IFERROR(INDEX(계정매핑!$E$5:$E$504,MATCH($F1414&amp;"",계정매핑!$A$5:$A$504,0))&amp;"","공통비"))</f>
        <v/>
      </c>
      <c r="AF1414" s="64">
        <f>IF($A1414="","",IF(AE1414="직접",IFERROR(INDEX(계정매핑!$F$5:$F$504,MATCH($F1414&amp;"",계정매핑!$A$5:$A$504,0))&amp;"","비귀속"),""))</f>
        <v/>
      </c>
      <c r="AG1414" s="96">
        <f>IF($A1414="",0,IF(AND(AE1414&lt;&gt;"직접",IFERROR(INDEX(계정매핑!$G$5:$G$504,MATCH($F1414&amp;"",계정매핑!$A$5:$A$504,0))&amp;"","")="유지비",COUNTIF(계정대체기준!$A$6:$A$15,$N1414)&gt;0),IFERROR(INDEX(계정대체기준!$E$6:$E$15,MATCH(VALUE($A1414&amp;""),계정대체기준!$D$6:$D$15,0)),0),0))</f>
        <v/>
      </c>
      <c r="AH1414" s="64">
        <f>IF($A1414="","",IF(AD1414=0,"",IF(OR(COUNTIF(계정대체기준!$A$77:$A$86,$N1414)&gt;0,ISNUMBER(MATCH($X1414,계정대체기준!$D$77:$D$86,0)),ISNUMBER(MATCH($F1414,계정대체기준!$D$77:$D$86,0))),"Y","N")))</f>
        <v/>
      </c>
    </row>
    <row r="1415">
      <c r="A1415" s="92" t="n">
        <v>2025</v>
      </c>
      <c r="B1415" s="92" t="n">
        <v>7</v>
      </c>
      <c r="C1415" s="92" t="inlineStr">
        <is>
          <t>5100001411</t>
        </is>
      </c>
      <c r="D1415" s="95" t="n">
        <v>45845</v>
      </c>
      <c r="E1415" s="92" t="inlineStr">
        <is>
          <t>KR</t>
        </is>
      </c>
      <c r="F1415" s="92" t="n">
        <v>62201000</v>
      </c>
      <c r="G1415" s="92" t="n">
        <v>1951</v>
      </c>
      <c r="H1415" s="93" t="n">
        <v>244000</v>
      </c>
      <c r="I1415" s="92" t="inlineStr">
        <is>
          <t>7월 통신요금 - P통신</t>
        </is>
      </c>
      <c r="J1415" s="92" t="inlineStr">
        <is>
          <t>V10014</t>
        </is>
      </c>
      <c r="K1415" s="92" t="inlineStr">
        <is>
          <t>P통신</t>
        </is>
      </c>
      <c r="M1415" s="9">
        <f>IF($A1415="","",VALUE($A1415&amp;"")*12+VALUE($B1415&amp;""))</f>
        <v/>
      </c>
      <c r="N1415" s="64">
        <f>IF($A1415="","",IFERROR(INDEX(부서매핑!$C$5:$C$504,MATCH($G1415&amp;"",부서매핑!$A$5:$A$504,0)),"미매핑"))</f>
        <v/>
      </c>
      <c r="O1415" s="9">
        <f>IF($A1415="","",N1415&amp;"|"&amp;$F1415)</f>
        <v/>
      </c>
      <c r="P1415" s="94">
        <f>IF($A1415="",0,$H1415*설정!$C$23)</f>
        <v/>
      </c>
      <c r="Q1415" s="64">
        <f>IF($A1415="","",IF(O1415&lt;&gt;원인분석!$C$9,"",IF(AND(M1415&gt;=원인분석!$C$10,M1415&lt;=원인분석!$C$11),"당기",IF(AND(M1415&gt;=원인분석!$C$12,M1415&lt;=원인분석!$C$13),"비교",""))))</f>
        <v/>
      </c>
      <c r="R1415" s="9">
        <f>IF(Q1415="","",$K1415&amp;"")</f>
        <v/>
      </c>
      <c r="S1415" s="9">
        <f>IF(Q1415="","",IF(MATCH(R1415,$R$5:$R$100000,0)=ROW()-4,ROW(),""))</f>
        <v/>
      </c>
      <c r="T1415" s="9">
        <f>IF(Q1415="당기",ABS(P1415)+ROW()/1000000000,"")</f>
        <v/>
      </c>
      <c r="U1415" s="9">
        <f>IF(Q1415="비교",ABS(P1415)+ROW()/1000000000,"")</f>
        <v/>
      </c>
      <c r="V1415" s="64">
        <f>IF($A1415="","",IF(COUNTIF(변동분석!$E$7:$E$506,O1415)&gt;0,"Y","N"))</f>
        <v/>
      </c>
      <c r="W1415" s="64">
        <f>IF($A1415="","",IFERROR(INDEX(계정매핑!$D$5:$D$504,MATCH($F1415&amp;"",계정매핑!$A$5:$A$504,0)),"미매핑"))</f>
        <v/>
      </c>
      <c r="X1415" s="9">
        <f>IF($A1415="","",$F1415&amp;"")</f>
        <v/>
      </c>
      <c r="Y1415" s="94">
        <f>IF($A1415="",0,IF(AE1415="직접",IF(AF1415="비귀속",$P1415,0),$P1415*(1-AG1415)*IFERROR(INDEX(계정대체기준!$F$20:$F$49,MATCH($N1415,계정대체기준!$A$20:$A$49,0)),1)))</f>
        <v/>
      </c>
      <c r="Z1415" s="94">
        <f>IF($A1415="",0,IF(AE1415="직접",IF(AF1415="신계약비",$P1415,0),$P1415*(1-AG1415)*IFERROR(INDEX(계정대체기준!$C$20:$C$49,MATCH($N1415,계정대체기준!$A$20:$A$49,0)),0)))</f>
        <v/>
      </c>
      <c r="AA1415" s="94">
        <f>IF($A1415="",0,IF(AE1415="직접",IF(OR(AF1415="유지비",AF1415="손해조사비"),$P1415,0),$P1415*(1-AG1415)*IFERROR(INDEX(계정대체기준!$D$20:$D$49,MATCH($N1415,계정대체기준!$A$20:$A$49,0)),0)))</f>
        <v/>
      </c>
      <c r="AB1415" s="94">
        <f>IF($A1415="",0,IF(AE1415="직접",IF(AF1415="수금비",$P1415,0),$P1415*(1-AG1415)*IFERROR(INDEX(계정대체기준!$E$20:$E$49,MATCH($N1415,계정대체기준!$A$20:$A$49,0)),0)))</f>
        <v/>
      </c>
      <c r="AC1415" s="9">
        <f>IF(AND($A1415&lt;&gt;"",M1415=설정!$C$20,Z1415&gt;0),Z1415+ROW()/1000000000,"")</f>
        <v/>
      </c>
      <c r="AD1415" s="94">
        <f>IF($A1415="",0,$P1415*AG1415)</f>
        <v/>
      </c>
      <c r="AE1415" s="64">
        <f>IF($A1415="","",IFERROR(INDEX(계정매핑!$E$5:$E$504,MATCH($F1415&amp;"",계정매핑!$A$5:$A$504,0))&amp;"","공통비"))</f>
        <v/>
      </c>
      <c r="AF1415" s="64">
        <f>IF($A1415="","",IF(AE1415="직접",IFERROR(INDEX(계정매핑!$F$5:$F$504,MATCH($F1415&amp;"",계정매핑!$A$5:$A$504,0))&amp;"","비귀속"),""))</f>
        <v/>
      </c>
      <c r="AG1415" s="96">
        <f>IF($A1415="",0,IF(AND(AE1415&lt;&gt;"직접",IFERROR(INDEX(계정매핑!$G$5:$G$504,MATCH($F1415&amp;"",계정매핑!$A$5:$A$504,0))&amp;"","")="유지비",COUNTIF(계정대체기준!$A$6:$A$15,$N1415)&gt;0),IFERROR(INDEX(계정대체기준!$E$6:$E$15,MATCH(VALUE($A1415&amp;""),계정대체기준!$D$6:$D$15,0)),0),0))</f>
        <v/>
      </c>
      <c r="AH1415" s="64">
        <f>IF($A1415="","",IF(AD1415=0,"",IF(OR(COUNTIF(계정대체기준!$A$77:$A$86,$N1415)&gt;0,ISNUMBER(MATCH($X1415,계정대체기준!$D$77:$D$86,0)),ISNUMBER(MATCH($F1415,계정대체기준!$D$77:$D$86,0))),"Y","N")))</f>
        <v/>
      </c>
    </row>
    <row r="1416">
      <c r="A1416" s="92" t="n">
        <v>2025</v>
      </c>
      <c r="B1416" s="92" t="n">
        <v>7</v>
      </c>
      <c r="C1416" s="92" t="inlineStr">
        <is>
          <t>5100001412</t>
        </is>
      </c>
      <c r="D1416" s="95" t="n">
        <v>45845</v>
      </c>
      <c r="E1416" s="92" t="inlineStr">
        <is>
          <t>KR</t>
        </is>
      </c>
      <c r="F1416" s="92" t="n">
        <v>62802000</v>
      </c>
      <c r="G1416" s="92" t="n">
        <v>1301</v>
      </c>
      <c r="H1416" s="93" t="n">
        <v>3072000</v>
      </c>
      <c r="I1416" s="92" t="inlineStr">
        <is>
          <t>7월 위탁교육 - V아카데미</t>
        </is>
      </c>
      <c r="J1416" s="92" t="inlineStr">
        <is>
          <t>V10027</t>
        </is>
      </c>
      <c r="K1416" s="92" t="inlineStr">
        <is>
          <t>V아카데미</t>
        </is>
      </c>
      <c r="M1416" s="9">
        <f>IF($A1416="","",VALUE($A1416&amp;"")*12+VALUE($B1416&amp;""))</f>
        <v/>
      </c>
      <c r="N1416" s="64">
        <f>IF($A1416="","",IFERROR(INDEX(부서매핑!$C$5:$C$504,MATCH($G1416&amp;"",부서매핑!$A$5:$A$504,0)),"미매핑"))</f>
        <v/>
      </c>
      <c r="O1416" s="9">
        <f>IF($A1416="","",N1416&amp;"|"&amp;$F1416)</f>
        <v/>
      </c>
      <c r="P1416" s="94">
        <f>IF($A1416="",0,$H1416*설정!$C$23)</f>
        <v/>
      </c>
      <c r="Q1416" s="64">
        <f>IF($A1416="","",IF(O1416&lt;&gt;원인분석!$C$9,"",IF(AND(M1416&gt;=원인분석!$C$10,M1416&lt;=원인분석!$C$11),"당기",IF(AND(M1416&gt;=원인분석!$C$12,M1416&lt;=원인분석!$C$13),"비교",""))))</f>
        <v/>
      </c>
      <c r="R1416" s="9">
        <f>IF(Q1416="","",$K1416&amp;"")</f>
        <v/>
      </c>
      <c r="S1416" s="9">
        <f>IF(Q1416="","",IF(MATCH(R1416,$R$5:$R$100000,0)=ROW()-4,ROW(),""))</f>
        <v/>
      </c>
      <c r="T1416" s="9">
        <f>IF(Q1416="당기",ABS(P1416)+ROW()/1000000000,"")</f>
        <v/>
      </c>
      <c r="U1416" s="9">
        <f>IF(Q1416="비교",ABS(P1416)+ROW()/1000000000,"")</f>
        <v/>
      </c>
      <c r="V1416" s="64">
        <f>IF($A1416="","",IF(COUNTIF(변동분석!$E$7:$E$506,O1416)&gt;0,"Y","N"))</f>
        <v/>
      </c>
      <c r="W1416" s="64">
        <f>IF($A1416="","",IFERROR(INDEX(계정매핑!$D$5:$D$504,MATCH($F1416&amp;"",계정매핑!$A$5:$A$504,0)),"미매핑"))</f>
        <v/>
      </c>
      <c r="X1416" s="9">
        <f>IF($A1416="","",$F1416&amp;"")</f>
        <v/>
      </c>
      <c r="Y1416" s="94">
        <f>IF($A1416="",0,IF(AE1416="직접",IF(AF1416="비귀속",$P1416,0),$P1416*(1-AG1416)*IFERROR(INDEX(계정대체기준!$F$20:$F$49,MATCH($N1416,계정대체기준!$A$20:$A$49,0)),1)))</f>
        <v/>
      </c>
      <c r="Z1416" s="94">
        <f>IF($A1416="",0,IF(AE1416="직접",IF(AF1416="신계약비",$P1416,0),$P1416*(1-AG1416)*IFERROR(INDEX(계정대체기준!$C$20:$C$49,MATCH($N1416,계정대체기준!$A$20:$A$49,0)),0)))</f>
        <v/>
      </c>
      <c r="AA1416" s="94">
        <f>IF($A1416="",0,IF(AE1416="직접",IF(OR(AF1416="유지비",AF1416="손해조사비"),$P1416,0),$P1416*(1-AG1416)*IFERROR(INDEX(계정대체기준!$D$20:$D$49,MATCH($N1416,계정대체기준!$A$20:$A$49,0)),0)))</f>
        <v/>
      </c>
      <c r="AB1416" s="94">
        <f>IF($A1416="",0,IF(AE1416="직접",IF(AF1416="수금비",$P1416,0),$P1416*(1-AG1416)*IFERROR(INDEX(계정대체기준!$E$20:$E$49,MATCH($N1416,계정대체기준!$A$20:$A$49,0)),0)))</f>
        <v/>
      </c>
      <c r="AC1416" s="9">
        <f>IF(AND($A1416&lt;&gt;"",M1416=설정!$C$20,Z1416&gt;0),Z1416+ROW()/1000000000,"")</f>
        <v/>
      </c>
      <c r="AD1416" s="94">
        <f>IF($A1416="",0,$P1416*AG1416)</f>
        <v/>
      </c>
      <c r="AE1416" s="64">
        <f>IF($A1416="","",IFERROR(INDEX(계정매핑!$E$5:$E$504,MATCH($F1416&amp;"",계정매핑!$A$5:$A$504,0))&amp;"","공통비"))</f>
        <v/>
      </c>
      <c r="AF1416" s="64">
        <f>IF($A1416="","",IF(AE1416="직접",IFERROR(INDEX(계정매핑!$F$5:$F$504,MATCH($F1416&amp;"",계정매핑!$A$5:$A$504,0))&amp;"","비귀속"),""))</f>
        <v/>
      </c>
      <c r="AG1416" s="96">
        <f>IF($A1416="",0,IF(AND(AE1416&lt;&gt;"직접",IFERROR(INDEX(계정매핑!$G$5:$G$504,MATCH($F1416&amp;"",계정매핑!$A$5:$A$504,0))&amp;"","")="유지비",COUNTIF(계정대체기준!$A$6:$A$15,$N1416)&gt;0),IFERROR(INDEX(계정대체기준!$E$6:$E$15,MATCH(VALUE($A1416&amp;""),계정대체기준!$D$6:$D$15,0)),0),0))</f>
        <v/>
      </c>
      <c r="AH1416" s="64">
        <f>IF($A1416="","",IF(AD1416=0,"",IF(OR(COUNTIF(계정대체기준!$A$77:$A$86,$N1416)&gt;0,ISNUMBER(MATCH($X1416,계정대체기준!$D$77:$D$86,0)),ISNUMBER(MATCH($F1416,계정대체기준!$D$77:$D$86,0))),"Y","N")))</f>
        <v/>
      </c>
    </row>
    <row r="1417">
      <c r="A1417" s="92" t="n">
        <v>2025</v>
      </c>
      <c r="B1417" s="92" t="n">
        <v>7</v>
      </c>
      <c r="C1417" s="92" t="inlineStr">
        <is>
          <t>5100001413</t>
        </is>
      </c>
      <c r="D1417" s="95" t="n">
        <v>45845</v>
      </c>
      <c r="E1417" s="92" t="inlineStr">
        <is>
          <t>KR</t>
        </is>
      </c>
      <c r="F1417" s="92" t="n">
        <v>62901000</v>
      </c>
      <c r="G1417" s="92" t="n">
        <v>1101</v>
      </c>
      <c r="H1417" s="93" t="n">
        <v>3528000</v>
      </c>
      <c r="I1417" s="92" t="inlineStr">
        <is>
          <t>7월 자문 수수료 - W컨설팅</t>
        </is>
      </c>
      <c r="J1417" s="92" t="inlineStr">
        <is>
          <t>V10006</t>
        </is>
      </c>
      <c r="K1417" s="92" t="inlineStr">
        <is>
          <t>W컨설팅</t>
        </is>
      </c>
      <c r="M1417" s="9">
        <f>IF($A1417="","",VALUE($A1417&amp;"")*12+VALUE($B1417&amp;""))</f>
        <v/>
      </c>
      <c r="N1417" s="64">
        <f>IF($A1417="","",IFERROR(INDEX(부서매핑!$C$5:$C$504,MATCH($G1417&amp;"",부서매핑!$A$5:$A$504,0)),"미매핑"))</f>
        <v/>
      </c>
      <c r="O1417" s="9">
        <f>IF($A1417="","",N1417&amp;"|"&amp;$F1417)</f>
        <v/>
      </c>
      <c r="P1417" s="94">
        <f>IF($A1417="",0,$H1417*설정!$C$23)</f>
        <v/>
      </c>
      <c r="Q1417" s="64">
        <f>IF($A1417="","",IF(O1417&lt;&gt;원인분석!$C$9,"",IF(AND(M1417&gt;=원인분석!$C$10,M1417&lt;=원인분석!$C$11),"당기",IF(AND(M1417&gt;=원인분석!$C$12,M1417&lt;=원인분석!$C$13),"비교",""))))</f>
        <v/>
      </c>
      <c r="R1417" s="9">
        <f>IF(Q1417="","",$K1417&amp;"")</f>
        <v/>
      </c>
      <c r="S1417" s="9">
        <f>IF(Q1417="","",IF(MATCH(R1417,$R$5:$R$100000,0)=ROW()-4,ROW(),""))</f>
        <v/>
      </c>
      <c r="T1417" s="9">
        <f>IF(Q1417="당기",ABS(P1417)+ROW()/1000000000,"")</f>
        <v/>
      </c>
      <c r="U1417" s="9">
        <f>IF(Q1417="비교",ABS(P1417)+ROW()/1000000000,"")</f>
        <v/>
      </c>
      <c r="V1417" s="64">
        <f>IF($A1417="","",IF(COUNTIF(변동분석!$E$7:$E$506,O1417)&gt;0,"Y","N"))</f>
        <v/>
      </c>
      <c r="W1417" s="64">
        <f>IF($A1417="","",IFERROR(INDEX(계정매핑!$D$5:$D$504,MATCH($F1417&amp;"",계정매핑!$A$5:$A$504,0)),"미매핑"))</f>
        <v/>
      </c>
      <c r="X1417" s="9">
        <f>IF($A1417="","",$F1417&amp;"")</f>
        <v/>
      </c>
      <c r="Y1417" s="94">
        <f>IF($A1417="",0,IF(AE1417="직접",IF(AF1417="비귀속",$P1417,0),$P1417*(1-AG1417)*IFERROR(INDEX(계정대체기준!$F$20:$F$49,MATCH($N1417,계정대체기준!$A$20:$A$49,0)),1)))</f>
        <v/>
      </c>
      <c r="Z1417" s="94">
        <f>IF($A1417="",0,IF(AE1417="직접",IF(AF1417="신계약비",$P1417,0),$P1417*(1-AG1417)*IFERROR(INDEX(계정대체기준!$C$20:$C$49,MATCH($N1417,계정대체기준!$A$20:$A$49,0)),0)))</f>
        <v/>
      </c>
      <c r="AA1417" s="94">
        <f>IF($A1417="",0,IF(AE1417="직접",IF(OR(AF1417="유지비",AF1417="손해조사비"),$P1417,0),$P1417*(1-AG1417)*IFERROR(INDEX(계정대체기준!$D$20:$D$49,MATCH($N1417,계정대체기준!$A$20:$A$49,0)),0)))</f>
        <v/>
      </c>
      <c r="AB1417" s="94">
        <f>IF($A1417="",0,IF(AE1417="직접",IF(AF1417="수금비",$P1417,0),$P1417*(1-AG1417)*IFERROR(INDEX(계정대체기준!$E$20:$E$49,MATCH($N1417,계정대체기준!$A$20:$A$49,0)),0)))</f>
        <v/>
      </c>
      <c r="AC1417" s="9">
        <f>IF(AND($A1417&lt;&gt;"",M1417=설정!$C$20,Z1417&gt;0),Z1417+ROW()/1000000000,"")</f>
        <v/>
      </c>
      <c r="AD1417" s="94">
        <f>IF($A1417="",0,$P1417*AG1417)</f>
        <v/>
      </c>
      <c r="AE1417" s="64">
        <f>IF($A1417="","",IFERROR(INDEX(계정매핑!$E$5:$E$504,MATCH($F1417&amp;"",계정매핑!$A$5:$A$504,0))&amp;"","공통비"))</f>
        <v/>
      </c>
      <c r="AF1417" s="64">
        <f>IF($A1417="","",IF(AE1417="직접",IFERROR(INDEX(계정매핑!$F$5:$F$504,MATCH($F1417&amp;"",계정매핑!$A$5:$A$504,0))&amp;"","비귀속"),""))</f>
        <v/>
      </c>
      <c r="AG1417" s="96">
        <f>IF($A1417="",0,IF(AND(AE1417&lt;&gt;"직접",IFERROR(INDEX(계정매핑!$G$5:$G$504,MATCH($F1417&amp;"",계정매핑!$A$5:$A$504,0))&amp;"","")="유지비",COUNTIF(계정대체기준!$A$6:$A$15,$N1417)&gt;0),IFERROR(INDEX(계정대체기준!$E$6:$E$15,MATCH(VALUE($A1417&amp;""),계정대체기준!$D$6:$D$15,0)),0),0))</f>
        <v/>
      </c>
      <c r="AH1417" s="64">
        <f>IF($A1417="","",IF(AD1417=0,"",IF(OR(COUNTIF(계정대체기준!$A$77:$A$86,$N1417)&gt;0,ISNUMBER(MATCH($X1417,계정대체기준!$D$77:$D$86,0)),ISNUMBER(MATCH($F1417,계정대체기준!$D$77:$D$86,0))),"Y","N")))</f>
        <v/>
      </c>
    </row>
    <row r="1418">
      <c r="A1418" s="92" t="n">
        <v>2025</v>
      </c>
      <c r="B1418" s="92" t="n">
        <v>7</v>
      </c>
      <c r="C1418" s="92" t="inlineStr">
        <is>
          <t>5100001414</t>
        </is>
      </c>
      <c r="D1418" s="95" t="n">
        <v>45845</v>
      </c>
      <c r="E1418" s="92" t="inlineStr">
        <is>
          <t>KR</t>
        </is>
      </c>
      <c r="F1418" s="92" t="n">
        <v>62901000</v>
      </c>
      <c r="G1418" s="92" t="n">
        <v>1951</v>
      </c>
      <c r="H1418" s="93" t="n">
        <v>6280000</v>
      </c>
      <c r="I1418" s="92" t="inlineStr">
        <is>
          <t>7월 자문 수수료 - K회계법인</t>
        </is>
      </c>
      <c r="J1418" s="92" t="inlineStr">
        <is>
          <t>V10011</t>
        </is>
      </c>
      <c r="K1418" s="92" t="inlineStr">
        <is>
          <t>K회계법인</t>
        </is>
      </c>
      <c r="M1418" s="9">
        <f>IF($A1418="","",VALUE($A1418&amp;"")*12+VALUE($B1418&amp;""))</f>
        <v/>
      </c>
      <c r="N1418" s="64">
        <f>IF($A1418="","",IFERROR(INDEX(부서매핑!$C$5:$C$504,MATCH($G1418&amp;"",부서매핑!$A$5:$A$504,0)),"미매핑"))</f>
        <v/>
      </c>
      <c r="O1418" s="9">
        <f>IF($A1418="","",N1418&amp;"|"&amp;$F1418)</f>
        <v/>
      </c>
      <c r="P1418" s="94">
        <f>IF($A1418="",0,$H1418*설정!$C$23)</f>
        <v/>
      </c>
      <c r="Q1418" s="64">
        <f>IF($A1418="","",IF(O1418&lt;&gt;원인분석!$C$9,"",IF(AND(M1418&gt;=원인분석!$C$10,M1418&lt;=원인분석!$C$11),"당기",IF(AND(M1418&gt;=원인분석!$C$12,M1418&lt;=원인분석!$C$13),"비교",""))))</f>
        <v/>
      </c>
      <c r="R1418" s="9">
        <f>IF(Q1418="","",$K1418&amp;"")</f>
        <v/>
      </c>
      <c r="S1418" s="9">
        <f>IF(Q1418="","",IF(MATCH(R1418,$R$5:$R$100000,0)=ROW()-4,ROW(),""))</f>
        <v/>
      </c>
      <c r="T1418" s="9">
        <f>IF(Q1418="당기",ABS(P1418)+ROW()/1000000000,"")</f>
        <v/>
      </c>
      <c r="U1418" s="9">
        <f>IF(Q1418="비교",ABS(P1418)+ROW()/1000000000,"")</f>
        <v/>
      </c>
      <c r="V1418" s="64">
        <f>IF($A1418="","",IF(COUNTIF(변동분석!$E$7:$E$506,O1418)&gt;0,"Y","N"))</f>
        <v/>
      </c>
      <c r="W1418" s="64">
        <f>IF($A1418="","",IFERROR(INDEX(계정매핑!$D$5:$D$504,MATCH($F1418&amp;"",계정매핑!$A$5:$A$504,0)),"미매핑"))</f>
        <v/>
      </c>
      <c r="X1418" s="9">
        <f>IF($A1418="","",$F1418&amp;"")</f>
        <v/>
      </c>
      <c r="Y1418" s="94">
        <f>IF($A1418="",0,IF(AE1418="직접",IF(AF1418="비귀속",$P1418,0),$P1418*(1-AG1418)*IFERROR(INDEX(계정대체기준!$F$20:$F$49,MATCH($N1418,계정대체기준!$A$20:$A$49,0)),1)))</f>
        <v/>
      </c>
      <c r="Z1418" s="94">
        <f>IF($A1418="",0,IF(AE1418="직접",IF(AF1418="신계약비",$P1418,0),$P1418*(1-AG1418)*IFERROR(INDEX(계정대체기준!$C$20:$C$49,MATCH($N1418,계정대체기준!$A$20:$A$49,0)),0)))</f>
        <v/>
      </c>
      <c r="AA1418" s="94">
        <f>IF($A1418="",0,IF(AE1418="직접",IF(OR(AF1418="유지비",AF1418="손해조사비"),$P1418,0),$P1418*(1-AG1418)*IFERROR(INDEX(계정대체기준!$D$20:$D$49,MATCH($N1418,계정대체기준!$A$20:$A$49,0)),0)))</f>
        <v/>
      </c>
      <c r="AB1418" s="94">
        <f>IF($A1418="",0,IF(AE1418="직접",IF(AF1418="수금비",$P1418,0),$P1418*(1-AG1418)*IFERROR(INDEX(계정대체기준!$E$20:$E$49,MATCH($N1418,계정대체기준!$A$20:$A$49,0)),0)))</f>
        <v/>
      </c>
      <c r="AC1418" s="9">
        <f>IF(AND($A1418&lt;&gt;"",M1418=설정!$C$20,Z1418&gt;0),Z1418+ROW()/1000000000,"")</f>
        <v/>
      </c>
      <c r="AD1418" s="94">
        <f>IF($A1418="",0,$P1418*AG1418)</f>
        <v/>
      </c>
      <c r="AE1418" s="64">
        <f>IF($A1418="","",IFERROR(INDEX(계정매핑!$E$5:$E$504,MATCH($F1418&amp;"",계정매핑!$A$5:$A$504,0))&amp;"","공통비"))</f>
        <v/>
      </c>
      <c r="AF1418" s="64">
        <f>IF($A1418="","",IF(AE1418="직접",IFERROR(INDEX(계정매핑!$F$5:$F$504,MATCH($F1418&amp;"",계정매핑!$A$5:$A$504,0))&amp;"","비귀속"),""))</f>
        <v/>
      </c>
      <c r="AG1418" s="96">
        <f>IF($A1418="",0,IF(AND(AE1418&lt;&gt;"직접",IFERROR(INDEX(계정매핑!$G$5:$G$504,MATCH($F1418&amp;"",계정매핑!$A$5:$A$504,0))&amp;"","")="유지비",COUNTIF(계정대체기준!$A$6:$A$15,$N1418)&gt;0),IFERROR(INDEX(계정대체기준!$E$6:$E$15,MATCH(VALUE($A1418&amp;""),계정대체기준!$D$6:$D$15,0)),0),0))</f>
        <v/>
      </c>
      <c r="AH1418" s="64">
        <f>IF($A1418="","",IF(AD1418=0,"",IF(OR(COUNTIF(계정대체기준!$A$77:$A$86,$N1418)&gt;0,ISNUMBER(MATCH($X1418,계정대체기준!$D$77:$D$86,0)),ISNUMBER(MATCH($F1418,계정대체기준!$D$77:$D$86,0))),"Y","N")))</f>
        <v/>
      </c>
    </row>
    <row r="1419">
      <c r="A1419" s="92" t="n">
        <v>2025</v>
      </c>
      <c r="B1419" s="92" t="n">
        <v>7</v>
      </c>
      <c r="C1419" s="92" t="inlineStr">
        <is>
          <t>5100001415</t>
        </is>
      </c>
      <c r="D1419" s="95" t="n">
        <v>45845</v>
      </c>
      <c r="E1419" s="92" t="inlineStr">
        <is>
          <t>KR</t>
        </is>
      </c>
      <c r="F1419" s="92" t="n">
        <v>62902000</v>
      </c>
      <c r="G1419" s="92" t="n">
        <v>1401</v>
      </c>
      <c r="H1419" s="93" t="n">
        <v>1691000</v>
      </c>
      <c r="I1419" s="92" t="inlineStr">
        <is>
          <t>7월 업무 위탁 수수료 - J콜센터</t>
        </is>
      </c>
      <c r="J1419" s="92" t="inlineStr">
        <is>
          <t>V10016</t>
        </is>
      </c>
      <c r="K1419" s="92" t="inlineStr">
        <is>
          <t>J콜센터</t>
        </is>
      </c>
      <c r="M1419" s="9">
        <f>IF($A1419="","",VALUE($A1419&amp;"")*12+VALUE($B1419&amp;""))</f>
        <v/>
      </c>
      <c r="N1419" s="64">
        <f>IF($A1419="","",IFERROR(INDEX(부서매핑!$C$5:$C$504,MATCH($G1419&amp;"",부서매핑!$A$5:$A$504,0)),"미매핑"))</f>
        <v/>
      </c>
      <c r="O1419" s="9">
        <f>IF($A1419="","",N1419&amp;"|"&amp;$F1419)</f>
        <v/>
      </c>
      <c r="P1419" s="94">
        <f>IF($A1419="",0,$H1419*설정!$C$23)</f>
        <v/>
      </c>
      <c r="Q1419" s="64">
        <f>IF($A1419="","",IF(O1419&lt;&gt;원인분석!$C$9,"",IF(AND(M1419&gt;=원인분석!$C$10,M1419&lt;=원인분석!$C$11),"당기",IF(AND(M1419&gt;=원인분석!$C$12,M1419&lt;=원인분석!$C$13),"비교",""))))</f>
        <v/>
      </c>
      <c r="R1419" s="9">
        <f>IF(Q1419="","",$K1419&amp;"")</f>
        <v/>
      </c>
      <c r="S1419" s="9">
        <f>IF(Q1419="","",IF(MATCH(R1419,$R$5:$R$100000,0)=ROW()-4,ROW(),""))</f>
        <v/>
      </c>
      <c r="T1419" s="9">
        <f>IF(Q1419="당기",ABS(P1419)+ROW()/1000000000,"")</f>
        <v/>
      </c>
      <c r="U1419" s="9">
        <f>IF(Q1419="비교",ABS(P1419)+ROW()/1000000000,"")</f>
        <v/>
      </c>
      <c r="V1419" s="64">
        <f>IF($A1419="","",IF(COUNTIF(변동분석!$E$7:$E$506,O1419)&gt;0,"Y","N"))</f>
        <v/>
      </c>
      <c r="W1419" s="64">
        <f>IF($A1419="","",IFERROR(INDEX(계정매핑!$D$5:$D$504,MATCH($F1419&amp;"",계정매핑!$A$5:$A$504,0)),"미매핑"))</f>
        <v/>
      </c>
      <c r="X1419" s="9">
        <f>IF($A1419="","",$F1419&amp;"")</f>
        <v/>
      </c>
      <c r="Y1419" s="94">
        <f>IF($A1419="",0,IF(AE1419="직접",IF(AF1419="비귀속",$P1419,0),$P1419*(1-AG1419)*IFERROR(INDEX(계정대체기준!$F$20:$F$49,MATCH($N1419,계정대체기준!$A$20:$A$49,0)),1)))</f>
        <v/>
      </c>
      <c r="Z1419" s="94">
        <f>IF($A1419="",0,IF(AE1419="직접",IF(AF1419="신계약비",$P1419,0),$P1419*(1-AG1419)*IFERROR(INDEX(계정대체기준!$C$20:$C$49,MATCH($N1419,계정대체기준!$A$20:$A$49,0)),0)))</f>
        <v/>
      </c>
      <c r="AA1419" s="94">
        <f>IF($A1419="",0,IF(AE1419="직접",IF(OR(AF1419="유지비",AF1419="손해조사비"),$P1419,0),$P1419*(1-AG1419)*IFERROR(INDEX(계정대체기준!$D$20:$D$49,MATCH($N1419,계정대체기준!$A$20:$A$49,0)),0)))</f>
        <v/>
      </c>
      <c r="AB1419" s="94">
        <f>IF($A1419="",0,IF(AE1419="직접",IF(AF1419="수금비",$P1419,0),$P1419*(1-AG1419)*IFERROR(INDEX(계정대체기준!$E$20:$E$49,MATCH($N1419,계정대체기준!$A$20:$A$49,0)),0)))</f>
        <v/>
      </c>
      <c r="AC1419" s="9">
        <f>IF(AND($A1419&lt;&gt;"",M1419=설정!$C$20,Z1419&gt;0),Z1419+ROW()/1000000000,"")</f>
        <v/>
      </c>
      <c r="AD1419" s="94">
        <f>IF($A1419="",0,$P1419*AG1419)</f>
        <v/>
      </c>
      <c r="AE1419" s="64">
        <f>IF($A1419="","",IFERROR(INDEX(계정매핑!$E$5:$E$504,MATCH($F1419&amp;"",계정매핑!$A$5:$A$504,0))&amp;"","공통비"))</f>
        <v/>
      </c>
      <c r="AF1419" s="64">
        <f>IF($A1419="","",IF(AE1419="직접",IFERROR(INDEX(계정매핑!$F$5:$F$504,MATCH($F1419&amp;"",계정매핑!$A$5:$A$504,0))&amp;"","비귀속"),""))</f>
        <v/>
      </c>
      <c r="AG1419" s="96">
        <f>IF($A1419="",0,IF(AND(AE1419&lt;&gt;"직접",IFERROR(INDEX(계정매핑!$G$5:$G$504,MATCH($F1419&amp;"",계정매핑!$A$5:$A$504,0))&amp;"","")="유지비",COUNTIF(계정대체기준!$A$6:$A$15,$N1419)&gt;0),IFERROR(INDEX(계정대체기준!$E$6:$E$15,MATCH(VALUE($A1419&amp;""),계정대체기준!$D$6:$D$15,0)),0),0))</f>
        <v/>
      </c>
      <c r="AH1419" s="64">
        <f>IF($A1419="","",IF(AD1419=0,"",IF(OR(COUNTIF(계정대체기준!$A$77:$A$86,$N1419)&gt;0,ISNUMBER(MATCH($X1419,계정대체기준!$D$77:$D$86,0)),ISNUMBER(MATCH($F1419,계정대체기준!$D$77:$D$86,0))),"Y","N")))</f>
        <v/>
      </c>
    </row>
    <row r="1420">
      <c r="A1420" s="92" t="n">
        <v>2025</v>
      </c>
      <c r="B1420" s="92" t="n">
        <v>7</v>
      </c>
      <c r="C1420" s="92" t="inlineStr">
        <is>
          <t>5100001416</t>
        </is>
      </c>
      <c r="D1420" s="95" t="n">
        <v>45845</v>
      </c>
      <c r="E1420" s="92" t="inlineStr">
        <is>
          <t>KR</t>
        </is>
      </c>
      <c r="F1420" s="92" t="n">
        <v>62902000</v>
      </c>
      <c r="G1420" s="92" t="n">
        <v>1801</v>
      </c>
      <c r="H1420" s="93" t="n">
        <v>1840000</v>
      </c>
      <c r="I1420" s="92" t="inlineStr">
        <is>
          <t>7월 콜 위탁 수수료(건별)</t>
        </is>
      </c>
      <c r="J1420" s="92" t="inlineStr">
        <is>
          <t>V10016</t>
        </is>
      </c>
      <c r="K1420" s="92" t="inlineStr">
        <is>
          <t>J콜센터</t>
        </is>
      </c>
      <c r="M1420" s="9">
        <f>IF($A1420="","",VALUE($A1420&amp;"")*12+VALUE($B1420&amp;""))</f>
        <v/>
      </c>
      <c r="N1420" s="64">
        <f>IF($A1420="","",IFERROR(INDEX(부서매핑!$C$5:$C$504,MATCH($G1420&amp;"",부서매핑!$A$5:$A$504,0)),"미매핑"))</f>
        <v/>
      </c>
      <c r="O1420" s="9">
        <f>IF($A1420="","",N1420&amp;"|"&amp;$F1420)</f>
        <v/>
      </c>
      <c r="P1420" s="94">
        <f>IF($A1420="",0,$H1420*설정!$C$23)</f>
        <v/>
      </c>
      <c r="Q1420" s="64">
        <f>IF($A1420="","",IF(O1420&lt;&gt;원인분석!$C$9,"",IF(AND(M1420&gt;=원인분석!$C$10,M1420&lt;=원인분석!$C$11),"당기",IF(AND(M1420&gt;=원인분석!$C$12,M1420&lt;=원인분석!$C$13),"비교",""))))</f>
        <v/>
      </c>
      <c r="R1420" s="9">
        <f>IF(Q1420="","",$K1420&amp;"")</f>
        <v/>
      </c>
      <c r="S1420" s="9">
        <f>IF(Q1420="","",IF(MATCH(R1420,$R$5:$R$100000,0)=ROW()-4,ROW(),""))</f>
        <v/>
      </c>
      <c r="T1420" s="9">
        <f>IF(Q1420="당기",ABS(P1420)+ROW()/1000000000,"")</f>
        <v/>
      </c>
      <c r="U1420" s="9">
        <f>IF(Q1420="비교",ABS(P1420)+ROW()/1000000000,"")</f>
        <v/>
      </c>
      <c r="V1420" s="64">
        <f>IF($A1420="","",IF(COUNTIF(변동분석!$E$7:$E$506,O1420)&gt;0,"Y","N"))</f>
        <v/>
      </c>
      <c r="W1420" s="64">
        <f>IF($A1420="","",IFERROR(INDEX(계정매핑!$D$5:$D$504,MATCH($F1420&amp;"",계정매핑!$A$5:$A$504,0)),"미매핑"))</f>
        <v/>
      </c>
      <c r="X1420" s="9">
        <f>IF($A1420="","",$F1420&amp;"")</f>
        <v/>
      </c>
      <c r="Y1420" s="94">
        <f>IF($A1420="",0,IF(AE1420="직접",IF(AF1420="비귀속",$P1420,0),$P1420*(1-AG1420)*IFERROR(INDEX(계정대체기준!$F$20:$F$49,MATCH($N1420,계정대체기준!$A$20:$A$49,0)),1)))</f>
        <v/>
      </c>
      <c r="Z1420" s="94">
        <f>IF($A1420="",0,IF(AE1420="직접",IF(AF1420="신계약비",$P1420,0),$P1420*(1-AG1420)*IFERROR(INDEX(계정대체기준!$C$20:$C$49,MATCH($N1420,계정대체기준!$A$20:$A$49,0)),0)))</f>
        <v/>
      </c>
      <c r="AA1420" s="94">
        <f>IF($A1420="",0,IF(AE1420="직접",IF(OR(AF1420="유지비",AF1420="손해조사비"),$P1420,0),$P1420*(1-AG1420)*IFERROR(INDEX(계정대체기준!$D$20:$D$49,MATCH($N1420,계정대체기준!$A$20:$A$49,0)),0)))</f>
        <v/>
      </c>
      <c r="AB1420" s="94">
        <f>IF($A1420="",0,IF(AE1420="직접",IF(AF1420="수금비",$P1420,0),$P1420*(1-AG1420)*IFERROR(INDEX(계정대체기준!$E$20:$E$49,MATCH($N1420,계정대체기준!$A$20:$A$49,0)),0)))</f>
        <v/>
      </c>
      <c r="AC1420" s="9">
        <f>IF(AND($A1420&lt;&gt;"",M1420=설정!$C$20,Z1420&gt;0),Z1420+ROW()/1000000000,"")</f>
        <v/>
      </c>
      <c r="AD1420" s="94">
        <f>IF($A1420="",0,$P1420*AG1420)</f>
        <v/>
      </c>
      <c r="AE1420" s="64">
        <f>IF($A1420="","",IFERROR(INDEX(계정매핑!$E$5:$E$504,MATCH($F1420&amp;"",계정매핑!$A$5:$A$504,0))&amp;"","공통비"))</f>
        <v/>
      </c>
      <c r="AF1420" s="64">
        <f>IF($A1420="","",IF(AE1420="직접",IFERROR(INDEX(계정매핑!$F$5:$F$504,MATCH($F1420&amp;"",계정매핑!$A$5:$A$504,0))&amp;"","비귀속"),""))</f>
        <v/>
      </c>
      <c r="AG1420" s="96">
        <f>IF($A1420="",0,IF(AND(AE1420&lt;&gt;"직접",IFERROR(INDEX(계정매핑!$G$5:$G$504,MATCH($F1420&amp;"",계정매핑!$A$5:$A$504,0))&amp;"","")="유지비",COUNTIF(계정대체기준!$A$6:$A$15,$N1420)&gt;0),IFERROR(INDEX(계정대체기준!$E$6:$E$15,MATCH(VALUE($A1420&amp;""),계정대체기준!$D$6:$D$15,0)),0),0))</f>
        <v/>
      </c>
      <c r="AH1420" s="64">
        <f>IF($A1420="","",IF(AD1420=0,"",IF(OR(COUNTIF(계정대체기준!$A$77:$A$86,$N1420)&gt;0,ISNUMBER(MATCH($X1420,계정대체기준!$D$77:$D$86,0)),ISNUMBER(MATCH($F1420,계정대체기준!$D$77:$D$86,0))),"Y","N")))</f>
        <v/>
      </c>
    </row>
    <row r="1421">
      <c r="A1421" s="92" t="n">
        <v>2025</v>
      </c>
      <c r="B1421" s="92" t="n">
        <v>7</v>
      </c>
      <c r="C1421" s="92" t="inlineStr">
        <is>
          <t>5100001417</t>
        </is>
      </c>
      <c r="D1421" s="95" t="n">
        <v>45846</v>
      </c>
      <c r="E1421" s="92" t="inlineStr">
        <is>
          <t>KR</t>
        </is>
      </c>
      <c r="F1421" s="92" t="n">
        <v>62101000</v>
      </c>
      <c r="G1421" s="92" t="n">
        <v>1401</v>
      </c>
      <c r="H1421" s="93" t="n">
        <v>472000</v>
      </c>
      <c r="I1421" s="92" t="inlineStr">
        <is>
          <t>7월 국내출장 - L여행사</t>
        </is>
      </c>
      <c r="J1421" s="92" t="inlineStr">
        <is>
          <t>V10018</t>
        </is>
      </c>
      <c r="K1421" s="92" t="inlineStr">
        <is>
          <t>L여행사</t>
        </is>
      </c>
      <c r="M1421" s="9">
        <f>IF($A1421="","",VALUE($A1421&amp;"")*12+VALUE($B1421&amp;""))</f>
        <v/>
      </c>
      <c r="N1421" s="64">
        <f>IF($A1421="","",IFERROR(INDEX(부서매핑!$C$5:$C$504,MATCH($G1421&amp;"",부서매핑!$A$5:$A$504,0)),"미매핑"))</f>
        <v/>
      </c>
      <c r="O1421" s="9">
        <f>IF($A1421="","",N1421&amp;"|"&amp;$F1421)</f>
        <v/>
      </c>
      <c r="P1421" s="94">
        <f>IF($A1421="",0,$H1421*설정!$C$23)</f>
        <v/>
      </c>
      <c r="Q1421" s="64">
        <f>IF($A1421="","",IF(O1421&lt;&gt;원인분석!$C$9,"",IF(AND(M1421&gt;=원인분석!$C$10,M1421&lt;=원인분석!$C$11),"당기",IF(AND(M1421&gt;=원인분석!$C$12,M1421&lt;=원인분석!$C$13),"비교",""))))</f>
        <v/>
      </c>
      <c r="R1421" s="9">
        <f>IF(Q1421="","",$K1421&amp;"")</f>
        <v/>
      </c>
      <c r="S1421" s="9">
        <f>IF(Q1421="","",IF(MATCH(R1421,$R$5:$R$100000,0)=ROW()-4,ROW(),""))</f>
        <v/>
      </c>
      <c r="T1421" s="9">
        <f>IF(Q1421="당기",ABS(P1421)+ROW()/1000000000,"")</f>
        <v/>
      </c>
      <c r="U1421" s="9">
        <f>IF(Q1421="비교",ABS(P1421)+ROW()/1000000000,"")</f>
        <v/>
      </c>
      <c r="V1421" s="64">
        <f>IF($A1421="","",IF(COUNTIF(변동분석!$E$7:$E$506,O1421)&gt;0,"Y","N"))</f>
        <v/>
      </c>
      <c r="W1421" s="64">
        <f>IF($A1421="","",IFERROR(INDEX(계정매핑!$D$5:$D$504,MATCH($F1421&amp;"",계정매핑!$A$5:$A$504,0)),"미매핑"))</f>
        <v/>
      </c>
      <c r="X1421" s="9">
        <f>IF($A1421="","",$F1421&amp;"")</f>
        <v/>
      </c>
      <c r="Y1421" s="94">
        <f>IF($A1421="",0,IF(AE1421="직접",IF(AF1421="비귀속",$P1421,0),$P1421*(1-AG1421)*IFERROR(INDEX(계정대체기준!$F$20:$F$49,MATCH($N1421,계정대체기준!$A$20:$A$49,0)),1)))</f>
        <v/>
      </c>
      <c r="Z1421" s="94">
        <f>IF($A1421="",0,IF(AE1421="직접",IF(AF1421="신계약비",$P1421,0),$P1421*(1-AG1421)*IFERROR(INDEX(계정대체기준!$C$20:$C$49,MATCH($N1421,계정대체기준!$A$20:$A$49,0)),0)))</f>
        <v/>
      </c>
      <c r="AA1421" s="94">
        <f>IF($A1421="",0,IF(AE1421="직접",IF(OR(AF1421="유지비",AF1421="손해조사비"),$P1421,0),$P1421*(1-AG1421)*IFERROR(INDEX(계정대체기준!$D$20:$D$49,MATCH($N1421,계정대체기준!$A$20:$A$49,0)),0)))</f>
        <v/>
      </c>
      <c r="AB1421" s="94">
        <f>IF($A1421="",0,IF(AE1421="직접",IF(AF1421="수금비",$P1421,0),$P1421*(1-AG1421)*IFERROR(INDEX(계정대체기준!$E$20:$E$49,MATCH($N1421,계정대체기준!$A$20:$A$49,0)),0)))</f>
        <v/>
      </c>
      <c r="AC1421" s="9">
        <f>IF(AND($A1421&lt;&gt;"",M1421=설정!$C$20,Z1421&gt;0),Z1421+ROW()/1000000000,"")</f>
        <v/>
      </c>
      <c r="AD1421" s="94">
        <f>IF($A1421="",0,$P1421*AG1421)</f>
        <v/>
      </c>
      <c r="AE1421" s="64">
        <f>IF($A1421="","",IFERROR(INDEX(계정매핑!$E$5:$E$504,MATCH($F1421&amp;"",계정매핑!$A$5:$A$504,0))&amp;"","공통비"))</f>
        <v/>
      </c>
      <c r="AF1421" s="64">
        <f>IF($A1421="","",IF(AE1421="직접",IFERROR(INDEX(계정매핑!$F$5:$F$504,MATCH($F1421&amp;"",계정매핑!$A$5:$A$504,0))&amp;"","비귀속"),""))</f>
        <v/>
      </c>
      <c r="AG1421" s="96">
        <f>IF($A1421="",0,IF(AND(AE1421&lt;&gt;"직접",IFERROR(INDEX(계정매핑!$G$5:$G$504,MATCH($F1421&amp;"",계정매핑!$A$5:$A$504,0))&amp;"","")="유지비",COUNTIF(계정대체기준!$A$6:$A$15,$N1421)&gt;0),IFERROR(INDEX(계정대체기준!$E$6:$E$15,MATCH(VALUE($A1421&amp;""),계정대체기준!$D$6:$D$15,0)),0),0))</f>
        <v/>
      </c>
      <c r="AH1421" s="64">
        <f>IF($A1421="","",IF(AD1421=0,"",IF(OR(COUNTIF(계정대체기준!$A$77:$A$86,$N1421)&gt;0,ISNUMBER(MATCH($X1421,계정대체기준!$D$77:$D$86,0)),ISNUMBER(MATCH($F1421,계정대체기준!$D$77:$D$86,0))),"Y","N")))</f>
        <v/>
      </c>
    </row>
    <row r="1422">
      <c r="A1422" s="92" t="n">
        <v>2025</v>
      </c>
      <c r="B1422" s="92" t="n">
        <v>7</v>
      </c>
      <c r="C1422" s="92" t="inlineStr">
        <is>
          <t>5100001418</t>
        </is>
      </c>
      <c r="D1422" s="95" t="n">
        <v>45846</v>
      </c>
      <c r="E1422" s="92" t="inlineStr">
        <is>
          <t>KR</t>
        </is>
      </c>
      <c r="F1422" s="92" t="n">
        <v>62101000</v>
      </c>
      <c r="G1422" s="92" t="n">
        <v>1701</v>
      </c>
      <c r="H1422" s="93" t="n">
        <v>241000</v>
      </c>
      <c r="I1422" s="92" t="inlineStr">
        <is>
          <t>7월 국내출장 - (법인카드)</t>
        </is>
      </c>
      <c r="J1422" s="92" t="inlineStr">
        <is>
          <t>V10010</t>
        </is>
      </c>
      <c r="K1422" s="92" t="inlineStr">
        <is>
          <t>(법인카드)</t>
        </is>
      </c>
      <c r="M1422" s="9">
        <f>IF($A1422="","",VALUE($A1422&amp;"")*12+VALUE($B1422&amp;""))</f>
        <v/>
      </c>
      <c r="N1422" s="64">
        <f>IF($A1422="","",IFERROR(INDEX(부서매핑!$C$5:$C$504,MATCH($G1422&amp;"",부서매핑!$A$5:$A$504,0)),"미매핑"))</f>
        <v/>
      </c>
      <c r="O1422" s="9">
        <f>IF($A1422="","",N1422&amp;"|"&amp;$F1422)</f>
        <v/>
      </c>
      <c r="P1422" s="94">
        <f>IF($A1422="",0,$H1422*설정!$C$23)</f>
        <v/>
      </c>
      <c r="Q1422" s="64">
        <f>IF($A1422="","",IF(O1422&lt;&gt;원인분석!$C$9,"",IF(AND(M1422&gt;=원인분석!$C$10,M1422&lt;=원인분석!$C$11),"당기",IF(AND(M1422&gt;=원인분석!$C$12,M1422&lt;=원인분석!$C$13),"비교",""))))</f>
        <v/>
      </c>
      <c r="R1422" s="9">
        <f>IF(Q1422="","",$K1422&amp;"")</f>
        <v/>
      </c>
      <c r="S1422" s="9">
        <f>IF(Q1422="","",IF(MATCH(R1422,$R$5:$R$100000,0)=ROW()-4,ROW(),""))</f>
        <v/>
      </c>
      <c r="T1422" s="9">
        <f>IF(Q1422="당기",ABS(P1422)+ROW()/1000000000,"")</f>
        <v/>
      </c>
      <c r="U1422" s="9">
        <f>IF(Q1422="비교",ABS(P1422)+ROW()/1000000000,"")</f>
        <v/>
      </c>
      <c r="V1422" s="64">
        <f>IF($A1422="","",IF(COUNTIF(변동분석!$E$7:$E$506,O1422)&gt;0,"Y","N"))</f>
        <v/>
      </c>
      <c r="W1422" s="64">
        <f>IF($A1422="","",IFERROR(INDEX(계정매핑!$D$5:$D$504,MATCH($F1422&amp;"",계정매핑!$A$5:$A$504,0)),"미매핑"))</f>
        <v/>
      </c>
      <c r="X1422" s="9">
        <f>IF($A1422="","",$F1422&amp;"")</f>
        <v/>
      </c>
      <c r="Y1422" s="94">
        <f>IF($A1422="",0,IF(AE1422="직접",IF(AF1422="비귀속",$P1422,0),$P1422*(1-AG1422)*IFERROR(INDEX(계정대체기준!$F$20:$F$49,MATCH($N1422,계정대체기준!$A$20:$A$49,0)),1)))</f>
        <v/>
      </c>
      <c r="Z1422" s="94">
        <f>IF($A1422="",0,IF(AE1422="직접",IF(AF1422="신계약비",$P1422,0),$P1422*(1-AG1422)*IFERROR(INDEX(계정대체기준!$C$20:$C$49,MATCH($N1422,계정대체기준!$A$20:$A$49,0)),0)))</f>
        <v/>
      </c>
      <c r="AA1422" s="94">
        <f>IF($A1422="",0,IF(AE1422="직접",IF(OR(AF1422="유지비",AF1422="손해조사비"),$P1422,0),$P1422*(1-AG1422)*IFERROR(INDEX(계정대체기준!$D$20:$D$49,MATCH($N1422,계정대체기준!$A$20:$A$49,0)),0)))</f>
        <v/>
      </c>
      <c r="AB1422" s="94">
        <f>IF($A1422="",0,IF(AE1422="직접",IF(AF1422="수금비",$P1422,0),$P1422*(1-AG1422)*IFERROR(INDEX(계정대체기준!$E$20:$E$49,MATCH($N1422,계정대체기준!$A$20:$A$49,0)),0)))</f>
        <v/>
      </c>
      <c r="AC1422" s="9">
        <f>IF(AND($A1422&lt;&gt;"",M1422=설정!$C$20,Z1422&gt;0),Z1422+ROW()/1000000000,"")</f>
        <v/>
      </c>
      <c r="AD1422" s="94">
        <f>IF($A1422="",0,$P1422*AG1422)</f>
        <v/>
      </c>
      <c r="AE1422" s="64">
        <f>IF($A1422="","",IFERROR(INDEX(계정매핑!$E$5:$E$504,MATCH($F1422&amp;"",계정매핑!$A$5:$A$504,0))&amp;"","공통비"))</f>
        <v/>
      </c>
      <c r="AF1422" s="64">
        <f>IF($A1422="","",IF(AE1422="직접",IFERROR(INDEX(계정매핑!$F$5:$F$504,MATCH($F1422&amp;"",계정매핑!$A$5:$A$504,0))&amp;"","비귀속"),""))</f>
        <v/>
      </c>
      <c r="AG1422" s="96">
        <f>IF($A1422="",0,IF(AND(AE1422&lt;&gt;"직접",IFERROR(INDEX(계정매핑!$G$5:$G$504,MATCH($F1422&amp;"",계정매핑!$A$5:$A$504,0))&amp;"","")="유지비",COUNTIF(계정대체기준!$A$6:$A$15,$N1422)&gt;0),IFERROR(INDEX(계정대체기준!$E$6:$E$15,MATCH(VALUE($A1422&amp;""),계정대체기준!$D$6:$D$15,0)),0),0))</f>
        <v/>
      </c>
      <c r="AH1422" s="64">
        <f>IF($A1422="","",IF(AD1422=0,"",IF(OR(COUNTIF(계정대체기준!$A$77:$A$86,$N1422)&gt;0,ISNUMBER(MATCH($X1422,계정대체기준!$D$77:$D$86,0)),ISNUMBER(MATCH($F1422,계정대체기준!$D$77:$D$86,0))),"Y","N")))</f>
        <v/>
      </c>
    </row>
    <row r="1423">
      <c r="A1423" s="92" t="n">
        <v>2025</v>
      </c>
      <c r="B1423" s="92" t="n">
        <v>7</v>
      </c>
      <c r="C1423" s="92" t="inlineStr">
        <is>
          <t>5100001419</t>
        </is>
      </c>
      <c r="D1423" s="95" t="n">
        <v>45846</v>
      </c>
      <c r="E1423" s="92" t="inlineStr">
        <is>
          <t>KR</t>
        </is>
      </c>
      <c r="F1423" s="92" t="n">
        <v>62301000</v>
      </c>
      <c r="G1423" s="92" t="n">
        <v>1101</v>
      </c>
      <c r="H1423" s="93" t="n">
        <v>185000</v>
      </c>
      <c r="I1423" s="92" t="inlineStr">
        <is>
          <t>7월 소모품 구입 - R문구</t>
        </is>
      </c>
      <c r="J1423" s="92" t="inlineStr">
        <is>
          <t>V10022</t>
        </is>
      </c>
      <c r="K1423" s="92" t="inlineStr">
        <is>
          <t>R문구</t>
        </is>
      </c>
      <c r="M1423" s="9">
        <f>IF($A1423="","",VALUE($A1423&amp;"")*12+VALUE($B1423&amp;""))</f>
        <v/>
      </c>
      <c r="N1423" s="64">
        <f>IF($A1423="","",IFERROR(INDEX(부서매핑!$C$5:$C$504,MATCH($G1423&amp;"",부서매핑!$A$5:$A$504,0)),"미매핑"))</f>
        <v/>
      </c>
      <c r="O1423" s="9">
        <f>IF($A1423="","",N1423&amp;"|"&amp;$F1423)</f>
        <v/>
      </c>
      <c r="P1423" s="94">
        <f>IF($A1423="",0,$H1423*설정!$C$23)</f>
        <v/>
      </c>
      <c r="Q1423" s="64">
        <f>IF($A1423="","",IF(O1423&lt;&gt;원인분석!$C$9,"",IF(AND(M1423&gt;=원인분석!$C$10,M1423&lt;=원인분석!$C$11),"당기",IF(AND(M1423&gt;=원인분석!$C$12,M1423&lt;=원인분석!$C$13),"비교",""))))</f>
        <v/>
      </c>
      <c r="R1423" s="9">
        <f>IF(Q1423="","",$K1423&amp;"")</f>
        <v/>
      </c>
      <c r="S1423" s="9">
        <f>IF(Q1423="","",IF(MATCH(R1423,$R$5:$R$100000,0)=ROW()-4,ROW(),""))</f>
        <v/>
      </c>
      <c r="T1423" s="9">
        <f>IF(Q1423="당기",ABS(P1423)+ROW()/1000000000,"")</f>
        <v/>
      </c>
      <c r="U1423" s="9">
        <f>IF(Q1423="비교",ABS(P1423)+ROW()/1000000000,"")</f>
        <v/>
      </c>
      <c r="V1423" s="64">
        <f>IF($A1423="","",IF(COUNTIF(변동분석!$E$7:$E$506,O1423)&gt;0,"Y","N"))</f>
        <v/>
      </c>
      <c r="W1423" s="64">
        <f>IF($A1423="","",IFERROR(INDEX(계정매핑!$D$5:$D$504,MATCH($F1423&amp;"",계정매핑!$A$5:$A$504,0)),"미매핑"))</f>
        <v/>
      </c>
      <c r="X1423" s="9">
        <f>IF($A1423="","",$F1423&amp;"")</f>
        <v/>
      </c>
      <c r="Y1423" s="94">
        <f>IF($A1423="",0,IF(AE1423="직접",IF(AF1423="비귀속",$P1423,0),$P1423*(1-AG1423)*IFERROR(INDEX(계정대체기준!$F$20:$F$49,MATCH($N1423,계정대체기준!$A$20:$A$49,0)),1)))</f>
        <v/>
      </c>
      <c r="Z1423" s="94">
        <f>IF($A1423="",0,IF(AE1423="직접",IF(AF1423="신계약비",$P1423,0),$P1423*(1-AG1423)*IFERROR(INDEX(계정대체기준!$C$20:$C$49,MATCH($N1423,계정대체기준!$A$20:$A$49,0)),0)))</f>
        <v/>
      </c>
      <c r="AA1423" s="94">
        <f>IF($A1423="",0,IF(AE1423="직접",IF(OR(AF1423="유지비",AF1423="손해조사비"),$P1423,0),$P1423*(1-AG1423)*IFERROR(INDEX(계정대체기준!$D$20:$D$49,MATCH($N1423,계정대체기준!$A$20:$A$49,0)),0)))</f>
        <v/>
      </c>
      <c r="AB1423" s="94">
        <f>IF($A1423="",0,IF(AE1423="직접",IF(AF1423="수금비",$P1423,0),$P1423*(1-AG1423)*IFERROR(INDEX(계정대체기준!$E$20:$E$49,MATCH($N1423,계정대체기준!$A$20:$A$49,0)),0)))</f>
        <v/>
      </c>
      <c r="AC1423" s="9">
        <f>IF(AND($A1423&lt;&gt;"",M1423=설정!$C$20,Z1423&gt;0),Z1423+ROW()/1000000000,"")</f>
        <v/>
      </c>
      <c r="AD1423" s="94">
        <f>IF($A1423="",0,$P1423*AG1423)</f>
        <v/>
      </c>
      <c r="AE1423" s="64">
        <f>IF($A1423="","",IFERROR(INDEX(계정매핑!$E$5:$E$504,MATCH($F1423&amp;"",계정매핑!$A$5:$A$504,0))&amp;"","공통비"))</f>
        <v/>
      </c>
      <c r="AF1423" s="64">
        <f>IF($A1423="","",IF(AE1423="직접",IFERROR(INDEX(계정매핑!$F$5:$F$504,MATCH($F1423&amp;"",계정매핑!$A$5:$A$504,0))&amp;"","비귀속"),""))</f>
        <v/>
      </c>
      <c r="AG1423" s="96">
        <f>IF($A1423="",0,IF(AND(AE1423&lt;&gt;"직접",IFERROR(INDEX(계정매핑!$G$5:$G$504,MATCH($F1423&amp;"",계정매핑!$A$5:$A$504,0))&amp;"","")="유지비",COUNTIF(계정대체기준!$A$6:$A$15,$N1423)&gt;0),IFERROR(INDEX(계정대체기준!$E$6:$E$15,MATCH(VALUE($A1423&amp;""),계정대체기준!$D$6:$D$15,0)),0),0))</f>
        <v/>
      </c>
      <c r="AH1423" s="64">
        <f>IF($A1423="","",IF(AD1423=0,"",IF(OR(COUNTIF(계정대체기준!$A$77:$A$86,$N1423)&gt;0,ISNUMBER(MATCH($X1423,계정대체기준!$D$77:$D$86,0)),ISNUMBER(MATCH($F1423,계정대체기준!$D$77:$D$86,0))),"Y","N")))</f>
        <v/>
      </c>
    </row>
    <row r="1424">
      <c r="A1424" s="92" t="n">
        <v>2025</v>
      </c>
      <c r="B1424" s="92" t="n">
        <v>7</v>
      </c>
      <c r="C1424" s="92" t="inlineStr">
        <is>
          <t>5100001420</t>
        </is>
      </c>
      <c r="D1424" s="95" t="n">
        <v>45846</v>
      </c>
      <c r="E1424" s="92" t="inlineStr">
        <is>
          <t>KR</t>
        </is>
      </c>
      <c r="F1424" s="92" t="n">
        <v>62301000</v>
      </c>
      <c r="G1424" s="92" t="n">
        <v>1801</v>
      </c>
      <c r="H1424" s="93" t="n">
        <v>615000</v>
      </c>
      <c r="I1424" s="92" t="inlineStr">
        <is>
          <t>7월 소모품 구입 - R문구</t>
        </is>
      </c>
      <c r="J1424" s="92" t="inlineStr">
        <is>
          <t>V10022</t>
        </is>
      </c>
      <c r="K1424" s="92" t="inlineStr">
        <is>
          <t>R문구</t>
        </is>
      </c>
      <c r="M1424" s="9">
        <f>IF($A1424="","",VALUE($A1424&amp;"")*12+VALUE($B1424&amp;""))</f>
        <v/>
      </c>
      <c r="N1424" s="64">
        <f>IF($A1424="","",IFERROR(INDEX(부서매핑!$C$5:$C$504,MATCH($G1424&amp;"",부서매핑!$A$5:$A$504,0)),"미매핑"))</f>
        <v/>
      </c>
      <c r="O1424" s="9">
        <f>IF($A1424="","",N1424&amp;"|"&amp;$F1424)</f>
        <v/>
      </c>
      <c r="P1424" s="94">
        <f>IF($A1424="",0,$H1424*설정!$C$23)</f>
        <v/>
      </c>
      <c r="Q1424" s="64">
        <f>IF($A1424="","",IF(O1424&lt;&gt;원인분석!$C$9,"",IF(AND(M1424&gt;=원인분석!$C$10,M1424&lt;=원인분석!$C$11),"당기",IF(AND(M1424&gt;=원인분석!$C$12,M1424&lt;=원인분석!$C$13),"비교",""))))</f>
        <v/>
      </c>
      <c r="R1424" s="9">
        <f>IF(Q1424="","",$K1424&amp;"")</f>
        <v/>
      </c>
      <c r="S1424" s="9">
        <f>IF(Q1424="","",IF(MATCH(R1424,$R$5:$R$100000,0)=ROW()-4,ROW(),""))</f>
        <v/>
      </c>
      <c r="T1424" s="9">
        <f>IF(Q1424="당기",ABS(P1424)+ROW()/1000000000,"")</f>
        <v/>
      </c>
      <c r="U1424" s="9">
        <f>IF(Q1424="비교",ABS(P1424)+ROW()/1000000000,"")</f>
        <v/>
      </c>
      <c r="V1424" s="64">
        <f>IF($A1424="","",IF(COUNTIF(변동분석!$E$7:$E$506,O1424)&gt;0,"Y","N"))</f>
        <v/>
      </c>
      <c r="W1424" s="64">
        <f>IF($A1424="","",IFERROR(INDEX(계정매핑!$D$5:$D$504,MATCH($F1424&amp;"",계정매핑!$A$5:$A$504,0)),"미매핑"))</f>
        <v/>
      </c>
      <c r="X1424" s="9">
        <f>IF($A1424="","",$F1424&amp;"")</f>
        <v/>
      </c>
      <c r="Y1424" s="94">
        <f>IF($A1424="",0,IF(AE1424="직접",IF(AF1424="비귀속",$P1424,0),$P1424*(1-AG1424)*IFERROR(INDEX(계정대체기준!$F$20:$F$49,MATCH($N1424,계정대체기준!$A$20:$A$49,0)),1)))</f>
        <v/>
      </c>
      <c r="Z1424" s="94">
        <f>IF($A1424="",0,IF(AE1424="직접",IF(AF1424="신계약비",$P1424,0),$P1424*(1-AG1424)*IFERROR(INDEX(계정대체기준!$C$20:$C$49,MATCH($N1424,계정대체기준!$A$20:$A$49,0)),0)))</f>
        <v/>
      </c>
      <c r="AA1424" s="94">
        <f>IF($A1424="",0,IF(AE1424="직접",IF(OR(AF1424="유지비",AF1424="손해조사비"),$P1424,0),$P1424*(1-AG1424)*IFERROR(INDEX(계정대체기준!$D$20:$D$49,MATCH($N1424,계정대체기준!$A$20:$A$49,0)),0)))</f>
        <v/>
      </c>
      <c r="AB1424" s="94">
        <f>IF($A1424="",0,IF(AE1424="직접",IF(AF1424="수금비",$P1424,0),$P1424*(1-AG1424)*IFERROR(INDEX(계정대체기준!$E$20:$E$49,MATCH($N1424,계정대체기준!$A$20:$A$49,0)),0)))</f>
        <v/>
      </c>
      <c r="AC1424" s="9">
        <f>IF(AND($A1424&lt;&gt;"",M1424=설정!$C$20,Z1424&gt;0),Z1424+ROW()/1000000000,"")</f>
        <v/>
      </c>
      <c r="AD1424" s="94">
        <f>IF($A1424="",0,$P1424*AG1424)</f>
        <v/>
      </c>
      <c r="AE1424" s="64">
        <f>IF($A1424="","",IFERROR(INDEX(계정매핑!$E$5:$E$504,MATCH($F1424&amp;"",계정매핑!$A$5:$A$504,0))&amp;"","공통비"))</f>
        <v/>
      </c>
      <c r="AF1424" s="64">
        <f>IF($A1424="","",IF(AE1424="직접",IFERROR(INDEX(계정매핑!$F$5:$F$504,MATCH($F1424&amp;"",계정매핑!$A$5:$A$504,0))&amp;"","비귀속"),""))</f>
        <v/>
      </c>
      <c r="AG1424" s="96">
        <f>IF($A1424="",0,IF(AND(AE1424&lt;&gt;"직접",IFERROR(INDEX(계정매핑!$G$5:$G$504,MATCH($F1424&amp;"",계정매핑!$A$5:$A$504,0))&amp;"","")="유지비",COUNTIF(계정대체기준!$A$6:$A$15,$N1424)&gt;0),IFERROR(INDEX(계정대체기준!$E$6:$E$15,MATCH(VALUE($A1424&amp;""),계정대체기준!$D$6:$D$15,0)),0),0))</f>
        <v/>
      </c>
      <c r="AH1424" s="64">
        <f>IF($A1424="","",IF(AD1424=0,"",IF(OR(COUNTIF(계정대체기준!$A$77:$A$86,$N1424)&gt;0,ISNUMBER(MATCH($X1424,계정대체기준!$D$77:$D$86,0)),ISNUMBER(MATCH($F1424,계정대체기준!$D$77:$D$86,0))),"Y","N")))</f>
        <v/>
      </c>
    </row>
    <row r="1425">
      <c r="A1425" s="92" t="n">
        <v>2025</v>
      </c>
      <c r="B1425" s="92" t="n">
        <v>7</v>
      </c>
      <c r="C1425" s="92" t="inlineStr">
        <is>
          <t>5100001421</t>
        </is>
      </c>
      <c r="D1425" s="95" t="n">
        <v>45846</v>
      </c>
      <c r="E1425" s="92" t="inlineStr">
        <is>
          <t>KR</t>
        </is>
      </c>
      <c r="F1425" s="92" t="n">
        <v>62401000</v>
      </c>
      <c r="G1425" s="92" t="n">
        <v>1801</v>
      </c>
      <c r="H1425" s="93" t="n">
        <v>1195000</v>
      </c>
      <c r="I1425" s="92" t="inlineStr">
        <is>
          <t>7월 인쇄물 제작 - G인쇄</t>
        </is>
      </c>
      <c r="J1425" s="92" t="inlineStr">
        <is>
          <t>V10004</t>
        </is>
      </c>
      <c r="K1425" s="92" t="inlineStr">
        <is>
          <t>G인쇄</t>
        </is>
      </c>
      <c r="M1425" s="9">
        <f>IF($A1425="","",VALUE($A1425&amp;"")*12+VALUE($B1425&amp;""))</f>
        <v/>
      </c>
      <c r="N1425" s="64">
        <f>IF($A1425="","",IFERROR(INDEX(부서매핑!$C$5:$C$504,MATCH($G1425&amp;"",부서매핑!$A$5:$A$504,0)),"미매핑"))</f>
        <v/>
      </c>
      <c r="O1425" s="9">
        <f>IF($A1425="","",N1425&amp;"|"&amp;$F1425)</f>
        <v/>
      </c>
      <c r="P1425" s="94">
        <f>IF($A1425="",0,$H1425*설정!$C$23)</f>
        <v/>
      </c>
      <c r="Q1425" s="64">
        <f>IF($A1425="","",IF(O1425&lt;&gt;원인분석!$C$9,"",IF(AND(M1425&gt;=원인분석!$C$10,M1425&lt;=원인분석!$C$11),"당기",IF(AND(M1425&gt;=원인분석!$C$12,M1425&lt;=원인분석!$C$13),"비교",""))))</f>
        <v/>
      </c>
      <c r="R1425" s="9">
        <f>IF(Q1425="","",$K1425&amp;"")</f>
        <v/>
      </c>
      <c r="S1425" s="9">
        <f>IF(Q1425="","",IF(MATCH(R1425,$R$5:$R$100000,0)=ROW()-4,ROW(),""))</f>
        <v/>
      </c>
      <c r="T1425" s="9">
        <f>IF(Q1425="당기",ABS(P1425)+ROW()/1000000000,"")</f>
        <v/>
      </c>
      <c r="U1425" s="9">
        <f>IF(Q1425="비교",ABS(P1425)+ROW()/1000000000,"")</f>
        <v/>
      </c>
      <c r="V1425" s="64">
        <f>IF($A1425="","",IF(COUNTIF(변동분석!$E$7:$E$506,O1425)&gt;0,"Y","N"))</f>
        <v/>
      </c>
      <c r="W1425" s="64">
        <f>IF($A1425="","",IFERROR(INDEX(계정매핑!$D$5:$D$504,MATCH($F1425&amp;"",계정매핑!$A$5:$A$504,0)),"미매핑"))</f>
        <v/>
      </c>
      <c r="X1425" s="9">
        <f>IF($A1425="","",$F1425&amp;"")</f>
        <v/>
      </c>
      <c r="Y1425" s="94">
        <f>IF($A1425="",0,IF(AE1425="직접",IF(AF1425="비귀속",$P1425,0),$P1425*(1-AG1425)*IFERROR(INDEX(계정대체기준!$F$20:$F$49,MATCH($N1425,계정대체기준!$A$20:$A$49,0)),1)))</f>
        <v/>
      </c>
      <c r="Z1425" s="94">
        <f>IF($A1425="",0,IF(AE1425="직접",IF(AF1425="신계약비",$P1425,0),$P1425*(1-AG1425)*IFERROR(INDEX(계정대체기준!$C$20:$C$49,MATCH($N1425,계정대체기준!$A$20:$A$49,0)),0)))</f>
        <v/>
      </c>
      <c r="AA1425" s="94">
        <f>IF($A1425="",0,IF(AE1425="직접",IF(OR(AF1425="유지비",AF1425="손해조사비"),$P1425,0),$P1425*(1-AG1425)*IFERROR(INDEX(계정대체기준!$D$20:$D$49,MATCH($N1425,계정대체기준!$A$20:$A$49,0)),0)))</f>
        <v/>
      </c>
      <c r="AB1425" s="94">
        <f>IF($A1425="",0,IF(AE1425="직접",IF(AF1425="수금비",$P1425,0),$P1425*(1-AG1425)*IFERROR(INDEX(계정대체기준!$E$20:$E$49,MATCH($N1425,계정대체기준!$A$20:$A$49,0)),0)))</f>
        <v/>
      </c>
      <c r="AC1425" s="9">
        <f>IF(AND($A1425&lt;&gt;"",M1425=설정!$C$20,Z1425&gt;0),Z1425+ROW()/1000000000,"")</f>
        <v/>
      </c>
      <c r="AD1425" s="94">
        <f>IF($A1425="",0,$P1425*AG1425)</f>
        <v/>
      </c>
      <c r="AE1425" s="64">
        <f>IF($A1425="","",IFERROR(INDEX(계정매핑!$E$5:$E$504,MATCH($F1425&amp;"",계정매핑!$A$5:$A$504,0))&amp;"","공통비"))</f>
        <v/>
      </c>
      <c r="AF1425" s="64">
        <f>IF($A1425="","",IF(AE1425="직접",IFERROR(INDEX(계정매핑!$F$5:$F$504,MATCH($F1425&amp;"",계정매핑!$A$5:$A$504,0))&amp;"","비귀속"),""))</f>
        <v/>
      </c>
      <c r="AG1425" s="96">
        <f>IF($A1425="",0,IF(AND(AE1425&lt;&gt;"직접",IFERROR(INDEX(계정매핑!$G$5:$G$504,MATCH($F1425&amp;"",계정매핑!$A$5:$A$504,0))&amp;"","")="유지비",COUNTIF(계정대체기준!$A$6:$A$15,$N1425)&gt;0),IFERROR(INDEX(계정대체기준!$E$6:$E$15,MATCH(VALUE($A1425&amp;""),계정대체기준!$D$6:$D$15,0)),0),0))</f>
        <v/>
      </c>
      <c r="AH1425" s="64">
        <f>IF($A1425="","",IF(AD1425=0,"",IF(OR(COUNTIF(계정대체기준!$A$77:$A$86,$N1425)&gt;0,ISNUMBER(MATCH($X1425,계정대체기준!$D$77:$D$86,0)),ISNUMBER(MATCH($F1425,계정대체기준!$D$77:$D$86,0))),"Y","N")))</f>
        <v/>
      </c>
    </row>
    <row r="1426">
      <c r="A1426" s="92" t="n">
        <v>2025</v>
      </c>
      <c r="B1426" s="92" t="n">
        <v>7</v>
      </c>
      <c r="C1426" s="92" t="inlineStr">
        <is>
          <t>5100001422</t>
        </is>
      </c>
      <c r="D1426" s="95" t="n">
        <v>45846</v>
      </c>
      <c r="E1426" s="92" t="inlineStr">
        <is>
          <t>KR</t>
        </is>
      </c>
      <c r="F1426" s="92" t="n">
        <v>62501000</v>
      </c>
      <c r="G1426" s="92" t="n">
        <v>1601</v>
      </c>
      <c r="H1426" s="93" t="n">
        <v>462000</v>
      </c>
      <c r="I1426" s="92" t="inlineStr">
        <is>
          <t>7월 회의 다과 - T케이터링</t>
        </is>
      </c>
      <c r="J1426" s="92" t="inlineStr">
        <is>
          <t>V10005</t>
        </is>
      </c>
      <c r="K1426" s="92" t="inlineStr">
        <is>
          <t>T케이터링</t>
        </is>
      </c>
      <c r="M1426" s="9">
        <f>IF($A1426="","",VALUE($A1426&amp;"")*12+VALUE($B1426&amp;""))</f>
        <v/>
      </c>
      <c r="N1426" s="64">
        <f>IF($A1426="","",IFERROR(INDEX(부서매핑!$C$5:$C$504,MATCH($G1426&amp;"",부서매핑!$A$5:$A$504,0)),"미매핑"))</f>
        <v/>
      </c>
      <c r="O1426" s="9">
        <f>IF($A1426="","",N1426&amp;"|"&amp;$F1426)</f>
        <v/>
      </c>
      <c r="P1426" s="94">
        <f>IF($A1426="",0,$H1426*설정!$C$23)</f>
        <v/>
      </c>
      <c r="Q1426" s="64">
        <f>IF($A1426="","",IF(O1426&lt;&gt;원인분석!$C$9,"",IF(AND(M1426&gt;=원인분석!$C$10,M1426&lt;=원인분석!$C$11),"당기",IF(AND(M1426&gt;=원인분석!$C$12,M1426&lt;=원인분석!$C$13),"비교",""))))</f>
        <v/>
      </c>
      <c r="R1426" s="9">
        <f>IF(Q1426="","",$K1426&amp;"")</f>
        <v/>
      </c>
      <c r="S1426" s="9">
        <f>IF(Q1426="","",IF(MATCH(R1426,$R$5:$R$100000,0)=ROW()-4,ROW(),""))</f>
        <v/>
      </c>
      <c r="T1426" s="9">
        <f>IF(Q1426="당기",ABS(P1426)+ROW()/1000000000,"")</f>
        <v/>
      </c>
      <c r="U1426" s="9">
        <f>IF(Q1426="비교",ABS(P1426)+ROW()/1000000000,"")</f>
        <v/>
      </c>
      <c r="V1426" s="64">
        <f>IF($A1426="","",IF(COUNTIF(변동분석!$E$7:$E$506,O1426)&gt;0,"Y","N"))</f>
        <v/>
      </c>
      <c r="W1426" s="64">
        <f>IF($A1426="","",IFERROR(INDEX(계정매핑!$D$5:$D$504,MATCH($F1426&amp;"",계정매핑!$A$5:$A$504,0)),"미매핑"))</f>
        <v/>
      </c>
      <c r="X1426" s="9">
        <f>IF($A1426="","",$F1426&amp;"")</f>
        <v/>
      </c>
      <c r="Y1426" s="94">
        <f>IF($A1426="",0,IF(AE1426="직접",IF(AF1426="비귀속",$P1426,0),$P1426*(1-AG1426)*IFERROR(INDEX(계정대체기준!$F$20:$F$49,MATCH($N1426,계정대체기준!$A$20:$A$49,0)),1)))</f>
        <v/>
      </c>
      <c r="Z1426" s="94">
        <f>IF($A1426="",0,IF(AE1426="직접",IF(AF1426="신계약비",$P1426,0),$P1426*(1-AG1426)*IFERROR(INDEX(계정대체기준!$C$20:$C$49,MATCH($N1426,계정대체기준!$A$20:$A$49,0)),0)))</f>
        <v/>
      </c>
      <c r="AA1426" s="94">
        <f>IF($A1426="",0,IF(AE1426="직접",IF(OR(AF1426="유지비",AF1426="손해조사비"),$P1426,0),$P1426*(1-AG1426)*IFERROR(INDEX(계정대체기준!$D$20:$D$49,MATCH($N1426,계정대체기준!$A$20:$A$49,0)),0)))</f>
        <v/>
      </c>
      <c r="AB1426" s="94">
        <f>IF($A1426="",0,IF(AE1426="직접",IF(AF1426="수금비",$P1426,0),$P1426*(1-AG1426)*IFERROR(INDEX(계정대체기준!$E$20:$E$49,MATCH($N1426,계정대체기준!$A$20:$A$49,0)),0)))</f>
        <v/>
      </c>
      <c r="AC1426" s="9">
        <f>IF(AND($A1426&lt;&gt;"",M1426=설정!$C$20,Z1426&gt;0),Z1426+ROW()/1000000000,"")</f>
        <v/>
      </c>
      <c r="AD1426" s="94">
        <f>IF($A1426="",0,$P1426*AG1426)</f>
        <v/>
      </c>
      <c r="AE1426" s="64">
        <f>IF($A1426="","",IFERROR(INDEX(계정매핑!$E$5:$E$504,MATCH($F1426&amp;"",계정매핑!$A$5:$A$504,0))&amp;"","공통비"))</f>
        <v/>
      </c>
      <c r="AF1426" s="64">
        <f>IF($A1426="","",IF(AE1426="직접",IFERROR(INDEX(계정매핑!$F$5:$F$504,MATCH($F1426&amp;"",계정매핑!$A$5:$A$504,0))&amp;"","비귀속"),""))</f>
        <v/>
      </c>
      <c r="AG1426" s="96">
        <f>IF($A1426="",0,IF(AND(AE1426&lt;&gt;"직접",IFERROR(INDEX(계정매핑!$G$5:$G$504,MATCH($F1426&amp;"",계정매핑!$A$5:$A$504,0))&amp;"","")="유지비",COUNTIF(계정대체기준!$A$6:$A$15,$N1426)&gt;0),IFERROR(INDEX(계정대체기준!$E$6:$E$15,MATCH(VALUE($A1426&amp;""),계정대체기준!$D$6:$D$15,0)),0),0))</f>
        <v/>
      </c>
      <c r="AH1426" s="64">
        <f>IF($A1426="","",IF(AD1426=0,"",IF(OR(COUNTIF(계정대체기준!$A$77:$A$86,$N1426)&gt;0,ISNUMBER(MATCH($X1426,계정대체기준!$D$77:$D$86,0)),ISNUMBER(MATCH($F1426,계정대체기준!$D$77:$D$86,0))),"Y","N")))</f>
        <v/>
      </c>
    </row>
    <row r="1427">
      <c r="A1427" s="92" t="n">
        <v>2025</v>
      </c>
      <c r="B1427" s="92" t="n">
        <v>7</v>
      </c>
      <c r="C1427" s="92" t="inlineStr">
        <is>
          <t>5100001423</t>
        </is>
      </c>
      <c r="D1427" s="95" t="n">
        <v>45846</v>
      </c>
      <c r="E1427" s="92" t="inlineStr">
        <is>
          <t>KR</t>
        </is>
      </c>
      <c r="F1427" s="92" t="n">
        <v>62902000</v>
      </c>
      <c r="G1427" s="92" t="n">
        <v>1951</v>
      </c>
      <c r="H1427" s="93" t="n">
        <v>3847000</v>
      </c>
      <c r="I1427" s="92" t="inlineStr">
        <is>
          <t>7월 업무 위탁 수수료 - X서비스</t>
        </is>
      </c>
      <c r="J1427" s="92" t="inlineStr">
        <is>
          <t>V10020</t>
        </is>
      </c>
      <c r="K1427" s="92" t="inlineStr">
        <is>
          <t>X서비스</t>
        </is>
      </c>
      <c r="M1427" s="9">
        <f>IF($A1427="","",VALUE($A1427&amp;"")*12+VALUE($B1427&amp;""))</f>
        <v/>
      </c>
      <c r="N1427" s="64">
        <f>IF($A1427="","",IFERROR(INDEX(부서매핑!$C$5:$C$504,MATCH($G1427&amp;"",부서매핑!$A$5:$A$504,0)),"미매핑"))</f>
        <v/>
      </c>
      <c r="O1427" s="9">
        <f>IF($A1427="","",N1427&amp;"|"&amp;$F1427)</f>
        <v/>
      </c>
      <c r="P1427" s="94">
        <f>IF($A1427="",0,$H1427*설정!$C$23)</f>
        <v/>
      </c>
      <c r="Q1427" s="64">
        <f>IF($A1427="","",IF(O1427&lt;&gt;원인분석!$C$9,"",IF(AND(M1427&gt;=원인분석!$C$10,M1427&lt;=원인분석!$C$11),"당기",IF(AND(M1427&gt;=원인분석!$C$12,M1427&lt;=원인분석!$C$13),"비교",""))))</f>
        <v/>
      </c>
      <c r="R1427" s="9">
        <f>IF(Q1427="","",$K1427&amp;"")</f>
        <v/>
      </c>
      <c r="S1427" s="9">
        <f>IF(Q1427="","",IF(MATCH(R1427,$R$5:$R$100000,0)=ROW()-4,ROW(),""))</f>
        <v/>
      </c>
      <c r="T1427" s="9">
        <f>IF(Q1427="당기",ABS(P1427)+ROW()/1000000000,"")</f>
        <v/>
      </c>
      <c r="U1427" s="9">
        <f>IF(Q1427="비교",ABS(P1427)+ROW()/1000000000,"")</f>
        <v/>
      </c>
      <c r="V1427" s="64">
        <f>IF($A1427="","",IF(COUNTIF(변동분석!$E$7:$E$506,O1427)&gt;0,"Y","N"))</f>
        <v/>
      </c>
      <c r="W1427" s="64">
        <f>IF($A1427="","",IFERROR(INDEX(계정매핑!$D$5:$D$504,MATCH($F1427&amp;"",계정매핑!$A$5:$A$504,0)),"미매핑"))</f>
        <v/>
      </c>
      <c r="X1427" s="9">
        <f>IF($A1427="","",$F1427&amp;"")</f>
        <v/>
      </c>
      <c r="Y1427" s="94">
        <f>IF($A1427="",0,IF(AE1427="직접",IF(AF1427="비귀속",$P1427,0),$P1427*(1-AG1427)*IFERROR(INDEX(계정대체기준!$F$20:$F$49,MATCH($N1427,계정대체기준!$A$20:$A$49,0)),1)))</f>
        <v/>
      </c>
      <c r="Z1427" s="94">
        <f>IF($A1427="",0,IF(AE1427="직접",IF(AF1427="신계약비",$P1427,0),$P1427*(1-AG1427)*IFERROR(INDEX(계정대체기준!$C$20:$C$49,MATCH($N1427,계정대체기준!$A$20:$A$49,0)),0)))</f>
        <v/>
      </c>
      <c r="AA1427" s="94">
        <f>IF($A1427="",0,IF(AE1427="직접",IF(OR(AF1427="유지비",AF1427="손해조사비"),$P1427,0),$P1427*(1-AG1427)*IFERROR(INDEX(계정대체기준!$D$20:$D$49,MATCH($N1427,계정대체기준!$A$20:$A$49,0)),0)))</f>
        <v/>
      </c>
      <c r="AB1427" s="94">
        <f>IF($A1427="",0,IF(AE1427="직접",IF(AF1427="수금비",$P1427,0),$P1427*(1-AG1427)*IFERROR(INDEX(계정대체기준!$E$20:$E$49,MATCH($N1427,계정대체기준!$A$20:$A$49,0)),0)))</f>
        <v/>
      </c>
      <c r="AC1427" s="9">
        <f>IF(AND($A1427&lt;&gt;"",M1427=설정!$C$20,Z1427&gt;0),Z1427+ROW()/1000000000,"")</f>
        <v/>
      </c>
      <c r="AD1427" s="94">
        <f>IF($A1427="",0,$P1427*AG1427)</f>
        <v/>
      </c>
      <c r="AE1427" s="64">
        <f>IF($A1427="","",IFERROR(INDEX(계정매핑!$E$5:$E$504,MATCH($F1427&amp;"",계정매핑!$A$5:$A$504,0))&amp;"","공통비"))</f>
        <v/>
      </c>
      <c r="AF1427" s="64">
        <f>IF($A1427="","",IF(AE1427="직접",IFERROR(INDEX(계정매핑!$F$5:$F$504,MATCH($F1427&amp;"",계정매핑!$A$5:$A$504,0))&amp;"","비귀속"),""))</f>
        <v/>
      </c>
      <c r="AG1427" s="96">
        <f>IF($A1427="",0,IF(AND(AE1427&lt;&gt;"직접",IFERROR(INDEX(계정매핑!$G$5:$G$504,MATCH($F1427&amp;"",계정매핑!$A$5:$A$504,0))&amp;"","")="유지비",COUNTIF(계정대체기준!$A$6:$A$15,$N1427)&gt;0),IFERROR(INDEX(계정대체기준!$E$6:$E$15,MATCH(VALUE($A1427&amp;""),계정대체기준!$D$6:$D$15,0)),0),0))</f>
        <v/>
      </c>
      <c r="AH1427" s="64">
        <f>IF($A1427="","",IF(AD1427=0,"",IF(OR(COUNTIF(계정대체기준!$A$77:$A$86,$N1427)&gt;0,ISNUMBER(MATCH($X1427,계정대체기준!$D$77:$D$86,0)),ISNUMBER(MATCH($F1427,계정대체기준!$D$77:$D$86,0))),"Y","N")))</f>
        <v/>
      </c>
    </row>
    <row r="1428">
      <c r="A1428" s="92" t="n">
        <v>2025</v>
      </c>
      <c r="B1428" s="92" t="n">
        <v>7</v>
      </c>
      <c r="C1428" s="92" t="inlineStr">
        <is>
          <t>5100001424</t>
        </is>
      </c>
      <c r="D1428" s="95" t="n">
        <v>45847</v>
      </c>
      <c r="E1428" s="92" t="inlineStr">
        <is>
          <t>KR</t>
        </is>
      </c>
      <c r="F1428" s="92" t="n">
        <v>62101000</v>
      </c>
      <c r="G1428" s="92" t="n">
        <v>1602</v>
      </c>
      <c r="H1428" s="93" t="n">
        <v>724000</v>
      </c>
      <c r="I1428" s="92" t="inlineStr">
        <is>
          <t>7월 국내출장 - L여행사</t>
        </is>
      </c>
      <c r="J1428" s="92" t="inlineStr">
        <is>
          <t>V10018</t>
        </is>
      </c>
      <c r="K1428" s="92" t="inlineStr">
        <is>
          <t>L여행사</t>
        </is>
      </c>
      <c r="M1428" s="9">
        <f>IF($A1428="","",VALUE($A1428&amp;"")*12+VALUE($B1428&amp;""))</f>
        <v/>
      </c>
      <c r="N1428" s="64">
        <f>IF($A1428="","",IFERROR(INDEX(부서매핑!$C$5:$C$504,MATCH($G1428&amp;"",부서매핑!$A$5:$A$504,0)),"미매핑"))</f>
        <v/>
      </c>
      <c r="O1428" s="9">
        <f>IF($A1428="","",N1428&amp;"|"&amp;$F1428)</f>
        <v/>
      </c>
      <c r="P1428" s="94">
        <f>IF($A1428="",0,$H1428*설정!$C$23)</f>
        <v/>
      </c>
      <c r="Q1428" s="64">
        <f>IF($A1428="","",IF(O1428&lt;&gt;원인분석!$C$9,"",IF(AND(M1428&gt;=원인분석!$C$10,M1428&lt;=원인분석!$C$11),"당기",IF(AND(M1428&gt;=원인분석!$C$12,M1428&lt;=원인분석!$C$13),"비교",""))))</f>
        <v/>
      </c>
      <c r="R1428" s="9">
        <f>IF(Q1428="","",$K1428&amp;"")</f>
        <v/>
      </c>
      <c r="S1428" s="9">
        <f>IF(Q1428="","",IF(MATCH(R1428,$R$5:$R$100000,0)=ROW()-4,ROW(),""))</f>
        <v/>
      </c>
      <c r="T1428" s="9">
        <f>IF(Q1428="당기",ABS(P1428)+ROW()/1000000000,"")</f>
        <v/>
      </c>
      <c r="U1428" s="9">
        <f>IF(Q1428="비교",ABS(P1428)+ROW()/1000000000,"")</f>
        <v/>
      </c>
      <c r="V1428" s="64">
        <f>IF($A1428="","",IF(COUNTIF(변동분석!$E$7:$E$506,O1428)&gt;0,"Y","N"))</f>
        <v/>
      </c>
      <c r="W1428" s="64">
        <f>IF($A1428="","",IFERROR(INDEX(계정매핑!$D$5:$D$504,MATCH($F1428&amp;"",계정매핑!$A$5:$A$504,0)),"미매핑"))</f>
        <v/>
      </c>
      <c r="X1428" s="9">
        <f>IF($A1428="","",$F1428&amp;"")</f>
        <v/>
      </c>
      <c r="Y1428" s="94">
        <f>IF($A1428="",0,IF(AE1428="직접",IF(AF1428="비귀속",$P1428,0),$P1428*(1-AG1428)*IFERROR(INDEX(계정대체기준!$F$20:$F$49,MATCH($N1428,계정대체기준!$A$20:$A$49,0)),1)))</f>
        <v/>
      </c>
      <c r="Z1428" s="94">
        <f>IF($A1428="",0,IF(AE1428="직접",IF(AF1428="신계약비",$P1428,0),$P1428*(1-AG1428)*IFERROR(INDEX(계정대체기준!$C$20:$C$49,MATCH($N1428,계정대체기준!$A$20:$A$49,0)),0)))</f>
        <v/>
      </c>
      <c r="AA1428" s="94">
        <f>IF($A1428="",0,IF(AE1428="직접",IF(OR(AF1428="유지비",AF1428="손해조사비"),$P1428,0),$P1428*(1-AG1428)*IFERROR(INDEX(계정대체기준!$D$20:$D$49,MATCH($N1428,계정대체기준!$A$20:$A$49,0)),0)))</f>
        <v/>
      </c>
      <c r="AB1428" s="94">
        <f>IF($A1428="",0,IF(AE1428="직접",IF(AF1428="수금비",$P1428,0),$P1428*(1-AG1428)*IFERROR(INDEX(계정대체기준!$E$20:$E$49,MATCH($N1428,계정대체기준!$A$20:$A$49,0)),0)))</f>
        <v/>
      </c>
      <c r="AC1428" s="9">
        <f>IF(AND($A1428&lt;&gt;"",M1428=설정!$C$20,Z1428&gt;0),Z1428+ROW()/1000000000,"")</f>
        <v/>
      </c>
      <c r="AD1428" s="94">
        <f>IF($A1428="",0,$P1428*AG1428)</f>
        <v/>
      </c>
      <c r="AE1428" s="64">
        <f>IF($A1428="","",IFERROR(INDEX(계정매핑!$E$5:$E$504,MATCH($F1428&amp;"",계정매핑!$A$5:$A$504,0))&amp;"","공통비"))</f>
        <v/>
      </c>
      <c r="AF1428" s="64">
        <f>IF($A1428="","",IF(AE1428="직접",IFERROR(INDEX(계정매핑!$F$5:$F$504,MATCH($F1428&amp;"",계정매핑!$A$5:$A$504,0))&amp;"","비귀속"),""))</f>
        <v/>
      </c>
      <c r="AG1428" s="96">
        <f>IF($A1428="",0,IF(AND(AE1428&lt;&gt;"직접",IFERROR(INDEX(계정매핑!$G$5:$G$504,MATCH($F1428&amp;"",계정매핑!$A$5:$A$504,0))&amp;"","")="유지비",COUNTIF(계정대체기준!$A$6:$A$15,$N1428)&gt;0),IFERROR(INDEX(계정대체기준!$E$6:$E$15,MATCH(VALUE($A1428&amp;""),계정대체기준!$D$6:$D$15,0)),0),0))</f>
        <v/>
      </c>
      <c r="AH1428" s="64">
        <f>IF($A1428="","",IF(AD1428=0,"",IF(OR(COUNTIF(계정대체기준!$A$77:$A$86,$N1428)&gt;0,ISNUMBER(MATCH($X1428,계정대체기준!$D$77:$D$86,0)),ISNUMBER(MATCH($F1428,계정대체기준!$D$77:$D$86,0))),"Y","N")))</f>
        <v/>
      </c>
    </row>
    <row r="1429">
      <c r="A1429" s="92" t="n">
        <v>2025</v>
      </c>
      <c r="B1429" s="92" t="n">
        <v>7</v>
      </c>
      <c r="C1429" s="92" t="inlineStr">
        <is>
          <t>5100001425</t>
        </is>
      </c>
      <c r="D1429" s="95" t="n">
        <v>45847</v>
      </c>
      <c r="E1429" s="92" t="inlineStr">
        <is>
          <t>KR</t>
        </is>
      </c>
      <c r="F1429" s="92" t="n">
        <v>62201000</v>
      </c>
      <c r="G1429" s="92" t="n">
        <v>1951</v>
      </c>
      <c r="H1429" s="93" t="n">
        <v>358000</v>
      </c>
      <c r="I1429" s="92" t="inlineStr">
        <is>
          <t>7월 통신요금 - P통신</t>
        </is>
      </c>
      <c r="J1429" s="92" t="inlineStr">
        <is>
          <t>V10014</t>
        </is>
      </c>
      <c r="K1429" s="92" t="inlineStr">
        <is>
          <t>P통신</t>
        </is>
      </c>
      <c r="M1429" s="9">
        <f>IF($A1429="","",VALUE($A1429&amp;"")*12+VALUE($B1429&amp;""))</f>
        <v/>
      </c>
      <c r="N1429" s="64">
        <f>IF($A1429="","",IFERROR(INDEX(부서매핑!$C$5:$C$504,MATCH($G1429&amp;"",부서매핑!$A$5:$A$504,0)),"미매핑"))</f>
        <v/>
      </c>
      <c r="O1429" s="9">
        <f>IF($A1429="","",N1429&amp;"|"&amp;$F1429)</f>
        <v/>
      </c>
      <c r="P1429" s="94">
        <f>IF($A1429="",0,$H1429*설정!$C$23)</f>
        <v/>
      </c>
      <c r="Q1429" s="64">
        <f>IF($A1429="","",IF(O1429&lt;&gt;원인분석!$C$9,"",IF(AND(M1429&gt;=원인분석!$C$10,M1429&lt;=원인분석!$C$11),"당기",IF(AND(M1429&gt;=원인분석!$C$12,M1429&lt;=원인분석!$C$13),"비교",""))))</f>
        <v/>
      </c>
      <c r="R1429" s="9">
        <f>IF(Q1429="","",$K1429&amp;"")</f>
        <v/>
      </c>
      <c r="S1429" s="9">
        <f>IF(Q1429="","",IF(MATCH(R1429,$R$5:$R$100000,0)=ROW()-4,ROW(),""))</f>
        <v/>
      </c>
      <c r="T1429" s="9">
        <f>IF(Q1429="당기",ABS(P1429)+ROW()/1000000000,"")</f>
        <v/>
      </c>
      <c r="U1429" s="9">
        <f>IF(Q1429="비교",ABS(P1429)+ROW()/1000000000,"")</f>
        <v/>
      </c>
      <c r="V1429" s="64">
        <f>IF($A1429="","",IF(COUNTIF(변동분석!$E$7:$E$506,O1429)&gt;0,"Y","N"))</f>
        <v/>
      </c>
      <c r="W1429" s="64">
        <f>IF($A1429="","",IFERROR(INDEX(계정매핑!$D$5:$D$504,MATCH($F1429&amp;"",계정매핑!$A$5:$A$504,0)),"미매핑"))</f>
        <v/>
      </c>
      <c r="X1429" s="9">
        <f>IF($A1429="","",$F1429&amp;"")</f>
        <v/>
      </c>
      <c r="Y1429" s="94">
        <f>IF($A1429="",0,IF(AE1429="직접",IF(AF1429="비귀속",$P1429,0),$P1429*(1-AG1429)*IFERROR(INDEX(계정대체기준!$F$20:$F$49,MATCH($N1429,계정대체기준!$A$20:$A$49,0)),1)))</f>
        <v/>
      </c>
      <c r="Z1429" s="94">
        <f>IF($A1429="",0,IF(AE1429="직접",IF(AF1429="신계약비",$P1429,0),$P1429*(1-AG1429)*IFERROR(INDEX(계정대체기준!$C$20:$C$49,MATCH($N1429,계정대체기준!$A$20:$A$49,0)),0)))</f>
        <v/>
      </c>
      <c r="AA1429" s="94">
        <f>IF($A1429="",0,IF(AE1429="직접",IF(OR(AF1429="유지비",AF1429="손해조사비"),$P1429,0),$P1429*(1-AG1429)*IFERROR(INDEX(계정대체기준!$D$20:$D$49,MATCH($N1429,계정대체기준!$A$20:$A$49,0)),0)))</f>
        <v/>
      </c>
      <c r="AB1429" s="94">
        <f>IF($A1429="",0,IF(AE1429="직접",IF(AF1429="수금비",$P1429,0),$P1429*(1-AG1429)*IFERROR(INDEX(계정대체기준!$E$20:$E$49,MATCH($N1429,계정대체기준!$A$20:$A$49,0)),0)))</f>
        <v/>
      </c>
      <c r="AC1429" s="9">
        <f>IF(AND($A1429&lt;&gt;"",M1429=설정!$C$20,Z1429&gt;0),Z1429+ROW()/1000000000,"")</f>
        <v/>
      </c>
      <c r="AD1429" s="94">
        <f>IF($A1429="",0,$P1429*AG1429)</f>
        <v/>
      </c>
      <c r="AE1429" s="64">
        <f>IF($A1429="","",IFERROR(INDEX(계정매핑!$E$5:$E$504,MATCH($F1429&amp;"",계정매핑!$A$5:$A$504,0))&amp;"","공통비"))</f>
        <v/>
      </c>
      <c r="AF1429" s="64">
        <f>IF($A1429="","",IF(AE1429="직접",IFERROR(INDEX(계정매핑!$F$5:$F$504,MATCH($F1429&amp;"",계정매핑!$A$5:$A$504,0))&amp;"","비귀속"),""))</f>
        <v/>
      </c>
      <c r="AG1429" s="96">
        <f>IF($A1429="",0,IF(AND(AE1429&lt;&gt;"직접",IFERROR(INDEX(계정매핑!$G$5:$G$504,MATCH($F1429&amp;"",계정매핑!$A$5:$A$504,0))&amp;"","")="유지비",COUNTIF(계정대체기준!$A$6:$A$15,$N1429)&gt;0),IFERROR(INDEX(계정대체기준!$E$6:$E$15,MATCH(VALUE($A1429&amp;""),계정대체기준!$D$6:$D$15,0)),0),0))</f>
        <v/>
      </c>
      <c r="AH1429" s="64">
        <f>IF($A1429="","",IF(AD1429=0,"",IF(OR(COUNTIF(계정대체기준!$A$77:$A$86,$N1429)&gt;0,ISNUMBER(MATCH($X1429,계정대체기준!$D$77:$D$86,0)),ISNUMBER(MATCH($F1429,계정대체기준!$D$77:$D$86,0))),"Y","N")))</f>
        <v/>
      </c>
    </row>
    <row r="1430">
      <c r="A1430" s="92" t="n">
        <v>2025</v>
      </c>
      <c r="B1430" s="92" t="n">
        <v>7</v>
      </c>
      <c r="C1430" s="92" t="inlineStr">
        <is>
          <t>5100001426</t>
        </is>
      </c>
      <c r="D1430" s="95" t="n">
        <v>45847</v>
      </c>
      <c r="E1430" s="92" t="inlineStr">
        <is>
          <t>KR</t>
        </is>
      </c>
      <c r="F1430" s="92" t="n">
        <v>62501000</v>
      </c>
      <c r="G1430" s="92" t="n">
        <v>1101</v>
      </c>
      <c r="H1430" s="93" t="n">
        <v>306000</v>
      </c>
      <c r="I1430" s="92" t="inlineStr">
        <is>
          <t>7월 회의 다과 - T케이터링</t>
        </is>
      </c>
      <c r="J1430" s="92" t="inlineStr">
        <is>
          <t>V10005</t>
        </is>
      </c>
      <c r="K1430" s="92" t="inlineStr">
        <is>
          <t>T케이터링</t>
        </is>
      </c>
      <c r="M1430" s="9">
        <f>IF($A1430="","",VALUE($A1430&amp;"")*12+VALUE($B1430&amp;""))</f>
        <v/>
      </c>
      <c r="N1430" s="64">
        <f>IF($A1430="","",IFERROR(INDEX(부서매핑!$C$5:$C$504,MATCH($G1430&amp;"",부서매핑!$A$5:$A$504,0)),"미매핑"))</f>
        <v/>
      </c>
      <c r="O1430" s="9">
        <f>IF($A1430="","",N1430&amp;"|"&amp;$F1430)</f>
        <v/>
      </c>
      <c r="P1430" s="94">
        <f>IF($A1430="",0,$H1430*설정!$C$23)</f>
        <v/>
      </c>
      <c r="Q1430" s="64">
        <f>IF($A1430="","",IF(O1430&lt;&gt;원인분석!$C$9,"",IF(AND(M1430&gt;=원인분석!$C$10,M1430&lt;=원인분석!$C$11),"당기",IF(AND(M1430&gt;=원인분석!$C$12,M1430&lt;=원인분석!$C$13),"비교",""))))</f>
        <v/>
      </c>
      <c r="R1430" s="9">
        <f>IF(Q1430="","",$K1430&amp;"")</f>
        <v/>
      </c>
      <c r="S1430" s="9">
        <f>IF(Q1430="","",IF(MATCH(R1430,$R$5:$R$100000,0)=ROW()-4,ROW(),""))</f>
        <v/>
      </c>
      <c r="T1430" s="9">
        <f>IF(Q1430="당기",ABS(P1430)+ROW()/1000000000,"")</f>
        <v/>
      </c>
      <c r="U1430" s="9">
        <f>IF(Q1430="비교",ABS(P1430)+ROW()/1000000000,"")</f>
        <v/>
      </c>
      <c r="V1430" s="64">
        <f>IF($A1430="","",IF(COUNTIF(변동분석!$E$7:$E$506,O1430)&gt;0,"Y","N"))</f>
        <v/>
      </c>
      <c r="W1430" s="64">
        <f>IF($A1430="","",IFERROR(INDEX(계정매핑!$D$5:$D$504,MATCH($F1430&amp;"",계정매핑!$A$5:$A$504,0)),"미매핑"))</f>
        <v/>
      </c>
      <c r="X1430" s="9">
        <f>IF($A1430="","",$F1430&amp;"")</f>
        <v/>
      </c>
      <c r="Y1430" s="94">
        <f>IF($A1430="",0,IF(AE1430="직접",IF(AF1430="비귀속",$P1430,0),$P1430*(1-AG1430)*IFERROR(INDEX(계정대체기준!$F$20:$F$49,MATCH($N1430,계정대체기준!$A$20:$A$49,0)),1)))</f>
        <v/>
      </c>
      <c r="Z1430" s="94">
        <f>IF($A1430="",0,IF(AE1430="직접",IF(AF1430="신계약비",$P1430,0),$P1430*(1-AG1430)*IFERROR(INDEX(계정대체기준!$C$20:$C$49,MATCH($N1430,계정대체기준!$A$20:$A$49,0)),0)))</f>
        <v/>
      </c>
      <c r="AA1430" s="94">
        <f>IF($A1430="",0,IF(AE1430="직접",IF(OR(AF1430="유지비",AF1430="손해조사비"),$P1430,0),$P1430*(1-AG1430)*IFERROR(INDEX(계정대체기준!$D$20:$D$49,MATCH($N1430,계정대체기준!$A$20:$A$49,0)),0)))</f>
        <v/>
      </c>
      <c r="AB1430" s="94">
        <f>IF($A1430="",0,IF(AE1430="직접",IF(AF1430="수금비",$P1430,0),$P1430*(1-AG1430)*IFERROR(INDEX(계정대체기준!$E$20:$E$49,MATCH($N1430,계정대체기준!$A$20:$A$49,0)),0)))</f>
        <v/>
      </c>
      <c r="AC1430" s="9">
        <f>IF(AND($A1430&lt;&gt;"",M1430=설정!$C$20,Z1430&gt;0),Z1430+ROW()/1000000000,"")</f>
        <v/>
      </c>
      <c r="AD1430" s="94">
        <f>IF($A1430="",0,$P1430*AG1430)</f>
        <v/>
      </c>
      <c r="AE1430" s="64">
        <f>IF($A1430="","",IFERROR(INDEX(계정매핑!$E$5:$E$504,MATCH($F1430&amp;"",계정매핑!$A$5:$A$504,0))&amp;"","공통비"))</f>
        <v/>
      </c>
      <c r="AF1430" s="64">
        <f>IF($A1430="","",IF(AE1430="직접",IFERROR(INDEX(계정매핑!$F$5:$F$504,MATCH($F1430&amp;"",계정매핑!$A$5:$A$504,0))&amp;"","비귀속"),""))</f>
        <v/>
      </c>
      <c r="AG1430" s="96">
        <f>IF($A1430="",0,IF(AND(AE1430&lt;&gt;"직접",IFERROR(INDEX(계정매핑!$G$5:$G$504,MATCH($F1430&amp;"",계정매핑!$A$5:$A$504,0))&amp;"","")="유지비",COUNTIF(계정대체기준!$A$6:$A$15,$N1430)&gt;0),IFERROR(INDEX(계정대체기준!$E$6:$E$15,MATCH(VALUE($A1430&amp;""),계정대체기준!$D$6:$D$15,0)),0),0))</f>
        <v/>
      </c>
      <c r="AH1430" s="64">
        <f>IF($A1430="","",IF(AD1430=0,"",IF(OR(COUNTIF(계정대체기준!$A$77:$A$86,$N1430)&gt;0,ISNUMBER(MATCH($X1430,계정대체기준!$D$77:$D$86,0)),ISNUMBER(MATCH($F1430,계정대체기준!$D$77:$D$86,0))),"Y","N")))</f>
        <v/>
      </c>
    </row>
    <row r="1431">
      <c r="A1431" s="92" t="n">
        <v>2025</v>
      </c>
      <c r="B1431" s="92" t="n">
        <v>7</v>
      </c>
      <c r="C1431" s="92" t="inlineStr">
        <is>
          <t>5100001427</t>
        </is>
      </c>
      <c r="D1431" s="95" t="n">
        <v>45847</v>
      </c>
      <c r="E1431" s="92" t="inlineStr">
        <is>
          <t>KR</t>
        </is>
      </c>
      <c r="F1431" s="92" t="n">
        <v>62501000</v>
      </c>
      <c r="G1431" s="92" t="n">
        <v>1602</v>
      </c>
      <c r="H1431" s="93" t="n">
        <v>258000</v>
      </c>
      <c r="I1431" s="92" t="inlineStr">
        <is>
          <t>7월 회의 다과 - (법인카드)</t>
        </is>
      </c>
      <c r="J1431" s="92" t="inlineStr">
        <is>
          <t>V10010</t>
        </is>
      </c>
      <c r="K1431" s="92" t="inlineStr">
        <is>
          <t>(법인카드)</t>
        </is>
      </c>
      <c r="M1431" s="9">
        <f>IF($A1431="","",VALUE($A1431&amp;"")*12+VALUE($B1431&amp;""))</f>
        <v/>
      </c>
      <c r="N1431" s="64">
        <f>IF($A1431="","",IFERROR(INDEX(부서매핑!$C$5:$C$504,MATCH($G1431&amp;"",부서매핑!$A$5:$A$504,0)),"미매핑"))</f>
        <v/>
      </c>
      <c r="O1431" s="9">
        <f>IF($A1431="","",N1431&amp;"|"&amp;$F1431)</f>
        <v/>
      </c>
      <c r="P1431" s="94">
        <f>IF($A1431="",0,$H1431*설정!$C$23)</f>
        <v/>
      </c>
      <c r="Q1431" s="64">
        <f>IF($A1431="","",IF(O1431&lt;&gt;원인분석!$C$9,"",IF(AND(M1431&gt;=원인분석!$C$10,M1431&lt;=원인분석!$C$11),"당기",IF(AND(M1431&gt;=원인분석!$C$12,M1431&lt;=원인분석!$C$13),"비교",""))))</f>
        <v/>
      </c>
      <c r="R1431" s="9">
        <f>IF(Q1431="","",$K1431&amp;"")</f>
        <v/>
      </c>
      <c r="S1431" s="9">
        <f>IF(Q1431="","",IF(MATCH(R1431,$R$5:$R$100000,0)=ROW()-4,ROW(),""))</f>
        <v/>
      </c>
      <c r="T1431" s="9">
        <f>IF(Q1431="당기",ABS(P1431)+ROW()/1000000000,"")</f>
        <v/>
      </c>
      <c r="U1431" s="9">
        <f>IF(Q1431="비교",ABS(P1431)+ROW()/1000000000,"")</f>
        <v/>
      </c>
      <c r="V1431" s="64">
        <f>IF($A1431="","",IF(COUNTIF(변동분석!$E$7:$E$506,O1431)&gt;0,"Y","N"))</f>
        <v/>
      </c>
      <c r="W1431" s="64">
        <f>IF($A1431="","",IFERROR(INDEX(계정매핑!$D$5:$D$504,MATCH($F1431&amp;"",계정매핑!$A$5:$A$504,0)),"미매핑"))</f>
        <v/>
      </c>
      <c r="X1431" s="9">
        <f>IF($A1431="","",$F1431&amp;"")</f>
        <v/>
      </c>
      <c r="Y1431" s="94">
        <f>IF($A1431="",0,IF(AE1431="직접",IF(AF1431="비귀속",$P1431,0),$P1431*(1-AG1431)*IFERROR(INDEX(계정대체기준!$F$20:$F$49,MATCH($N1431,계정대체기준!$A$20:$A$49,0)),1)))</f>
        <v/>
      </c>
      <c r="Z1431" s="94">
        <f>IF($A1431="",0,IF(AE1431="직접",IF(AF1431="신계약비",$P1431,0),$P1431*(1-AG1431)*IFERROR(INDEX(계정대체기준!$C$20:$C$49,MATCH($N1431,계정대체기준!$A$20:$A$49,0)),0)))</f>
        <v/>
      </c>
      <c r="AA1431" s="94">
        <f>IF($A1431="",0,IF(AE1431="직접",IF(OR(AF1431="유지비",AF1431="손해조사비"),$P1431,0),$P1431*(1-AG1431)*IFERROR(INDEX(계정대체기준!$D$20:$D$49,MATCH($N1431,계정대체기준!$A$20:$A$49,0)),0)))</f>
        <v/>
      </c>
      <c r="AB1431" s="94">
        <f>IF($A1431="",0,IF(AE1431="직접",IF(AF1431="수금비",$P1431,0),$P1431*(1-AG1431)*IFERROR(INDEX(계정대체기준!$E$20:$E$49,MATCH($N1431,계정대체기준!$A$20:$A$49,0)),0)))</f>
        <v/>
      </c>
      <c r="AC1431" s="9">
        <f>IF(AND($A1431&lt;&gt;"",M1431=설정!$C$20,Z1431&gt;0),Z1431+ROW()/1000000000,"")</f>
        <v/>
      </c>
      <c r="AD1431" s="94">
        <f>IF($A1431="",0,$P1431*AG1431)</f>
        <v/>
      </c>
      <c r="AE1431" s="64">
        <f>IF($A1431="","",IFERROR(INDEX(계정매핑!$E$5:$E$504,MATCH($F1431&amp;"",계정매핑!$A$5:$A$504,0))&amp;"","공통비"))</f>
        <v/>
      </c>
      <c r="AF1431" s="64">
        <f>IF($A1431="","",IF(AE1431="직접",IFERROR(INDEX(계정매핑!$F$5:$F$504,MATCH($F1431&amp;"",계정매핑!$A$5:$A$504,0))&amp;"","비귀속"),""))</f>
        <v/>
      </c>
      <c r="AG1431" s="96">
        <f>IF($A1431="",0,IF(AND(AE1431&lt;&gt;"직접",IFERROR(INDEX(계정매핑!$G$5:$G$504,MATCH($F1431&amp;"",계정매핑!$A$5:$A$504,0))&amp;"","")="유지비",COUNTIF(계정대체기준!$A$6:$A$15,$N1431)&gt;0),IFERROR(INDEX(계정대체기준!$E$6:$E$15,MATCH(VALUE($A1431&amp;""),계정대체기준!$D$6:$D$15,0)),0),0))</f>
        <v/>
      </c>
      <c r="AH1431" s="64">
        <f>IF($A1431="","",IF(AD1431=0,"",IF(OR(COUNTIF(계정대체기준!$A$77:$A$86,$N1431)&gt;0,ISNUMBER(MATCH($X1431,계정대체기준!$D$77:$D$86,0)),ISNUMBER(MATCH($F1431,계정대체기준!$D$77:$D$86,0))),"Y","N")))</f>
        <v/>
      </c>
    </row>
    <row r="1432">
      <c r="A1432" s="92" t="n">
        <v>2025</v>
      </c>
      <c r="B1432" s="92" t="n">
        <v>7</v>
      </c>
      <c r="C1432" s="92" t="inlineStr">
        <is>
          <t>5100001428</t>
        </is>
      </c>
      <c r="D1432" s="95" t="n">
        <v>45847</v>
      </c>
      <c r="E1432" s="92" t="inlineStr">
        <is>
          <t>KR</t>
        </is>
      </c>
      <c r="F1432" s="92" t="n">
        <v>63001000</v>
      </c>
      <c r="G1432" s="92" t="n">
        <v>1951</v>
      </c>
      <c r="H1432" s="93" t="n">
        <v>2023000</v>
      </c>
      <c r="I1432" s="92" t="inlineStr">
        <is>
          <t>7월 SW 유지보수 - Z시스템</t>
        </is>
      </c>
      <c r="J1432" s="92" t="inlineStr">
        <is>
          <t>V10012</t>
        </is>
      </c>
      <c r="K1432" s="92" t="inlineStr">
        <is>
          <t>Z시스템</t>
        </is>
      </c>
      <c r="M1432" s="9">
        <f>IF($A1432="","",VALUE($A1432&amp;"")*12+VALUE($B1432&amp;""))</f>
        <v/>
      </c>
      <c r="N1432" s="64">
        <f>IF($A1432="","",IFERROR(INDEX(부서매핑!$C$5:$C$504,MATCH($G1432&amp;"",부서매핑!$A$5:$A$504,0)),"미매핑"))</f>
        <v/>
      </c>
      <c r="O1432" s="9">
        <f>IF($A1432="","",N1432&amp;"|"&amp;$F1432)</f>
        <v/>
      </c>
      <c r="P1432" s="94">
        <f>IF($A1432="",0,$H1432*설정!$C$23)</f>
        <v/>
      </c>
      <c r="Q1432" s="64">
        <f>IF($A1432="","",IF(O1432&lt;&gt;원인분석!$C$9,"",IF(AND(M1432&gt;=원인분석!$C$10,M1432&lt;=원인분석!$C$11),"당기",IF(AND(M1432&gt;=원인분석!$C$12,M1432&lt;=원인분석!$C$13),"비교",""))))</f>
        <v/>
      </c>
      <c r="R1432" s="9">
        <f>IF(Q1432="","",$K1432&amp;"")</f>
        <v/>
      </c>
      <c r="S1432" s="9">
        <f>IF(Q1432="","",IF(MATCH(R1432,$R$5:$R$100000,0)=ROW()-4,ROW(),""))</f>
        <v/>
      </c>
      <c r="T1432" s="9">
        <f>IF(Q1432="당기",ABS(P1432)+ROW()/1000000000,"")</f>
        <v/>
      </c>
      <c r="U1432" s="9">
        <f>IF(Q1432="비교",ABS(P1432)+ROW()/1000000000,"")</f>
        <v/>
      </c>
      <c r="V1432" s="64">
        <f>IF($A1432="","",IF(COUNTIF(변동분석!$E$7:$E$506,O1432)&gt;0,"Y","N"))</f>
        <v/>
      </c>
      <c r="W1432" s="64">
        <f>IF($A1432="","",IFERROR(INDEX(계정매핑!$D$5:$D$504,MATCH($F1432&amp;"",계정매핑!$A$5:$A$504,0)),"미매핑"))</f>
        <v/>
      </c>
      <c r="X1432" s="9">
        <f>IF($A1432="","",$F1432&amp;"")</f>
        <v/>
      </c>
      <c r="Y1432" s="94">
        <f>IF($A1432="",0,IF(AE1432="직접",IF(AF1432="비귀속",$P1432,0),$P1432*(1-AG1432)*IFERROR(INDEX(계정대체기준!$F$20:$F$49,MATCH($N1432,계정대체기준!$A$20:$A$49,0)),1)))</f>
        <v/>
      </c>
      <c r="Z1432" s="94">
        <f>IF($A1432="",0,IF(AE1432="직접",IF(AF1432="신계약비",$P1432,0),$P1432*(1-AG1432)*IFERROR(INDEX(계정대체기준!$C$20:$C$49,MATCH($N1432,계정대체기준!$A$20:$A$49,0)),0)))</f>
        <v/>
      </c>
      <c r="AA1432" s="94">
        <f>IF($A1432="",0,IF(AE1432="직접",IF(OR(AF1432="유지비",AF1432="손해조사비"),$P1432,0),$P1432*(1-AG1432)*IFERROR(INDEX(계정대체기준!$D$20:$D$49,MATCH($N1432,계정대체기준!$A$20:$A$49,0)),0)))</f>
        <v/>
      </c>
      <c r="AB1432" s="94">
        <f>IF($A1432="",0,IF(AE1432="직접",IF(AF1432="수금비",$P1432,0),$P1432*(1-AG1432)*IFERROR(INDEX(계정대체기준!$E$20:$E$49,MATCH($N1432,계정대체기준!$A$20:$A$49,0)),0)))</f>
        <v/>
      </c>
      <c r="AC1432" s="9">
        <f>IF(AND($A1432&lt;&gt;"",M1432=설정!$C$20,Z1432&gt;0),Z1432+ROW()/1000000000,"")</f>
        <v/>
      </c>
      <c r="AD1432" s="94">
        <f>IF($A1432="",0,$P1432*AG1432)</f>
        <v/>
      </c>
      <c r="AE1432" s="64">
        <f>IF($A1432="","",IFERROR(INDEX(계정매핑!$E$5:$E$504,MATCH($F1432&amp;"",계정매핑!$A$5:$A$504,0))&amp;"","공통비"))</f>
        <v/>
      </c>
      <c r="AF1432" s="64">
        <f>IF($A1432="","",IF(AE1432="직접",IFERROR(INDEX(계정매핑!$F$5:$F$504,MATCH($F1432&amp;"",계정매핑!$A$5:$A$504,0))&amp;"","비귀속"),""))</f>
        <v/>
      </c>
      <c r="AG1432" s="96">
        <f>IF($A1432="",0,IF(AND(AE1432&lt;&gt;"직접",IFERROR(INDEX(계정매핑!$G$5:$G$504,MATCH($F1432&amp;"",계정매핑!$A$5:$A$504,0))&amp;"","")="유지비",COUNTIF(계정대체기준!$A$6:$A$15,$N1432)&gt;0),IFERROR(INDEX(계정대체기준!$E$6:$E$15,MATCH(VALUE($A1432&amp;""),계정대체기준!$D$6:$D$15,0)),0),0))</f>
        <v/>
      </c>
      <c r="AH1432" s="64">
        <f>IF($A1432="","",IF(AD1432=0,"",IF(OR(COUNTIF(계정대체기준!$A$77:$A$86,$N1432)&gt;0,ISNUMBER(MATCH($X1432,계정대체기준!$D$77:$D$86,0)),ISNUMBER(MATCH($F1432,계정대체기준!$D$77:$D$86,0))),"Y","N")))</f>
        <v/>
      </c>
    </row>
    <row r="1433">
      <c r="A1433" s="92" t="n">
        <v>2025</v>
      </c>
      <c r="B1433" s="92" t="n">
        <v>7</v>
      </c>
      <c r="C1433" s="92" t="inlineStr">
        <is>
          <t>5100001429</t>
        </is>
      </c>
      <c r="D1433" s="95" t="n">
        <v>45848</v>
      </c>
      <c r="E1433" s="92" t="inlineStr">
        <is>
          <t>KR</t>
        </is>
      </c>
      <c r="F1433" s="92" t="n">
        <v>62101000</v>
      </c>
      <c r="G1433" s="92" t="n">
        <v>1951</v>
      </c>
      <c r="H1433" s="93" t="n">
        <v>228000</v>
      </c>
      <c r="I1433" s="92" t="inlineStr">
        <is>
          <t>7월 국내출장 - M항공</t>
        </is>
      </c>
      <c r="J1433" s="92" t="inlineStr">
        <is>
          <t>V10001</t>
        </is>
      </c>
      <c r="K1433" s="92" t="inlineStr">
        <is>
          <t>M항공</t>
        </is>
      </c>
      <c r="M1433" s="9">
        <f>IF($A1433="","",VALUE($A1433&amp;"")*12+VALUE($B1433&amp;""))</f>
        <v/>
      </c>
      <c r="N1433" s="64">
        <f>IF($A1433="","",IFERROR(INDEX(부서매핑!$C$5:$C$504,MATCH($G1433&amp;"",부서매핑!$A$5:$A$504,0)),"미매핑"))</f>
        <v/>
      </c>
      <c r="O1433" s="9">
        <f>IF($A1433="","",N1433&amp;"|"&amp;$F1433)</f>
        <v/>
      </c>
      <c r="P1433" s="94">
        <f>IF($A1433="",0,$H1433*설정!$C$23)</f>
        <v/>
      </c>
      <c r="Q1433" s="64">
        <f>IF($A1433="","",IF(O1433&lt;&gt;원인분석!$C$9,"",IF(AND(M1433&gt;=원인분석!$C$10,M1433&lt;=원인분석!$C$11),"당기",IF(AND(M1433&gt;=원인분석!$C$12,M1433&lt;=원인분석!$C$13),"비교",""))))</f>
        <v/>
      </c>
      <c r="R1433" s="9">
        <f>IF(Q1433="","",$K1433&amp;"")</f>
        <v/>
      </c>
      <c r="S1433" s="9">
        <f>IF(Q1433="","",IF(MATCH(R1433,$R$5:$R$100000,0)=ROW()-4,ROW(),""))</f>
        <v/>
      </c>
      <c r="T1433" s="9">
        <f>IF(Q1433="당기",ABS(P1433)+ROW()/1000000000,"")</f>
        <v/>
      </c>
      <c r="U1433" s="9">
        <f>IF(Q1433="비교",ABS(P1433)+ROW()/1000000000,"")</f>
        <v/>
      </c>
      <c r="V1433" s="64">
        <f>IF($A1433="","",IF(COUNTIF(변동분석!$E$7:$E$506,O1433)&gt;0,"Y","N"))</f>
        <v/>
      </c>
      <c r="W1433" s="64">
        <f>IF($A1433="","",IFERROR(INDEX(계정매핑!$D$5:$D$504,MATCH($F1433&amp;"",계정매핑!$A$5:$A$504,0)),"미매핑"))</f>
        <v/>
      </c>
      <c r="X1433" s="9">
        <f>IF($A1433="","",$F1433&amp;"")</f>
        <v/>
      </c>
      <c r="Y1433" s="94">
        <f>IF($A1433="",0,IF(AE1433="직접",IF(AF1433="비귀속",$P1433,0),$P1433*(1-AG1433)*IFERROR(INDEX(계정대체기준!$F$20:$F$49,MATCH($N1433,계정대체기준!$A$20:$A$49,0)),1)))</f>
        <v/>
      </c>
      <c r="Z1433" s="94">
        <f>IF($A1433="",0,IF(AE1433="직접",IF(AF1433="신계약비",$P1433,0),$P1433*(1-AG1433)*IFERROR(INDEX(계정대체기준!$C$20:$C$49,MATCH($N1433,계정대체기준!$A$20:$A$49,0)),0)))</f>
        <v/>
      </c>
      <c r="AA1433" s="94">
        <f>IF($A1433="",0,IF(AE1433="직접",IF(OR(AF1433="유지비",AF1433="손해조사비"),$P1433,0),$P1433*(1-AG1433)*IFERROR(INDEX(계정대체기준!$D$20:$D$49,MATCH($N1433,계정대체기준!$A$20:$A$49,0)),0)))</f>
        <v/>
      </c>
      <c r="AB1433" s="94">
        <f>IF($A1433="",0,IF(AE1433="직접",IF(AF1433="수금비",$P1433,0),$P1433*(1-AG1433)*IFERROR(INDEX(계정대체기준!$E$20:$E$49,MATCH($N1433,계정대체기준!$A$20:$A$49,0)),0)))</f>
        <v/>
      </c>
      <c r="AC1433" s="9">
        <f>IF(AND($A1433&lt;&gt;"",M1433=설정!$C$20,Z1433&gt;0),Z1433+ROW()/1000000000,"")</f>
        <v/>
      </c>
      <c r="AD1433" s="94">
        <f>IF($A1433="",0,$P1433*AG1433)</f>
        <v/>
      </c>
      <c r="AE1433" s="64">
        <f>IF($A1433="","",IFERROR(INDEX(계정매핑!$E$5:$E$504,MATCH($F1433&amp;"",계정매핑!$A$5:$A$504,0))&amp;"","공통비"))</f>
        <v/>
      </c>
      <c r="AF1433" s="64">
        <f>IF($A1433="","",IF(AE1433="직접",IFERROR(INDEX(계정매핑!$F$5:$F$504,MATCH($F1433&amp;"",계정매핑!$A$5:$A$504,0))&amp;"","비귀속"),""))</f>
        <v/>
      </c>
      <c r="AG1433" s="96">
        <f>IF($A1433="",0,IF(AND(AE1433&lt;&gt;"직접",IFERROR(INDEX(계정매핑!$G$5:$G$504,MATCH($F1433&amp;"",계정매핑!$A$5:$A$504,0))&amp;"","")="유지비",COUNTIF(계정대체기준!$A$6:$A$15,$N1433)&gt;0),IFERROR(INDEX(계정대체기준!$E$6:$E$15,MATCH(VALUE($A1433&amp;""),계정대체기준!$D$6:$D$15,0)),0),0))</f>
        <v/>
      </c>
      <c r="AH1433" s="64">
        <f>IF($A1433="","",IF(AD1433=0,"",IF(OR(COUNTIF(계정대체기준!$A$77:$A$86,$N1433)&gt;0,ISNUMBER(MATCH($X1433,계정대체기준!$D$77:$D$86,0)),ISNUMBER(MATCH($F1433,계정대체기준!$D$77:$D$86,0))),"Y","N")))</f>
        <v/>
      </c>
    </row>
    <row r="1434">
      <c r="A1434" s="92" t="n">
        <v>2025</v>
      </c>
      <c r="B1434" s="92" t="n">
        <v>7</v>
      </c>
      <c r="C1434" s="92" t="inlineStr">
        <is>
          <t>5100001430</t>
        </is>
      </c>
      <c r="D1434" s="95" t="n">
        <v>45848</v>
      </c>
      <c r="E1434" s="92" t="inlineStr">
        <is>
          <t>KR</t>
        </is>
      </c>
      <c r="F1434" s="92" t="n">
        <v>62102000</v>
      </c>
      <c r="G1434" s="92" t="n">
        <v>1701</v>
      </c>
      <c r="H1434" s="93" t="n">
        <v>52000</v>
      </c>
      <c r="I1434" s="92" t="inlineStr">
        <is>
          <t>7월 해외출장 - M항공</t>
        </is>
      </c>
      <c r="J1434" s="92" t="inlineStr">
        <is>
          <t>V10001</t>
        </is>
      </c>
      <c r="K1434" s="92" t="inlineStr">
        <is>
          <t>M항공</t>
        </is>
      </c>
      <c r="M1434" s="9">
        <f>IF($A1434="","",VALUE($A1434&amp;"")*12+VALUE($B1434&amp;""))</f>
        <v/>
      </c>
      <c r="N1434" s="64">
        <f>IF($A1434="","",IFERROR(INDEX(부서매핑!$C$5:$C$504,MATCH($G1434&amp;"",부서매핑!$A$5:$A$504,0)),"미매핑"))</f>
        <v/>
      </c>
      <c r="O1434" s="9">
        <f>IF($A1434="","",N1434&amp;"|"&amp;$F1434)</f>
        <v/>
      </c>
      <c r="P1434" s="94">
        <f>IF($A1434="",0,$H1434*설정!$C$23)</f>
        <v/>
      </c>
      <c r="Q1434" s="64">
        <f>IF($A1434="","",IF(O1434&lt;&gt;원인분석!$C$9,"",IF(AND(M1434&gt;=원인분석!$C$10,M1434&lt;=원인분석!$C$11),"당기",IF(AND(M1434&gt;=원인분석!$C$12,M1434&lt;=원인분석!$C$13),"비교",""))))</f>
        <v/>
      </c>
      <c r="R1434" s="9">
        <f>IF(Q1434="","",$K1434&amp;"")</f>
        <v/>
      </c>
      <c r="S1434" s="9">
        <f>IF(Q1434="","",IF(MATCH(R1434,$R$5:$R$100000,0)=ROW()-4,ROW(),""))</f>
        <v/>
      </c>
      <c r="T1434" s="9">
        <f>IF(Q1434="당기",ABS(P1434)+ROW()/1000000000,"")</f>
        <v/>
      </c>
      <c r="U1434" s="9">
        <f>IF(Q1434="비교",ABS(P1434)+ROW()/1000000000,"")</f>
        <v/>
      </c>
      <c r="V1434" s="64">
        <f>IF($A1434="","",IF(COUNTIF(변동분석!$E$7:$E$506,O1434)&gt;0,"Y","N"))</f>
        <v/>
      </c>
      <c r="W1434" s="64">
        <f>IF($A1434="","",IFERROR(INDEX(계정매핑!$D$5:$D$504,MATCH($F1434&amp;"",계정매핑!$A$5:$A$504,0)),"미매핑"))</f>
        <v/>
      </c>
      <c r="X1434" s="9">
        <f>IF($A1434="","",$F1434&amp;"")</f>
        <v/>
      </c>
      <c r="Y1434" s="94">
        <f>IF($A1434="",0,IF(AE1434="직접",IF(AF1434="비귀속",$P1434,0),$P1434*(1-AG1434)*IFERROR(INDEX(계정대체기준!$F$20:$F$49,MATCH($N1434,계정대체기준!$A$20:$A$49,0)),1)))</f>
        <v/>
      </c>
      <c r="Z1434" s="94">
        <f>IF($A1434="",0,IF(AE1434="직접",IF(AF1434="신계약비",$P1434,0),$P1434*(1-AG1434)*IFERROR(INDEX(계정대체기준!$C$20:$C$49,MATCH($N1434,계정대체기준!$A$20:$A$49,0)),0)))</f>
        <v/>
      </c>
      <c r="AA1434" s="94">
        <f>IF($A1434="",0,IF(AE1434="직접",IF(OR(AF1434="유지비",AF1434="손해조사비"),$P1434,0),$P1434*(1-AG1434)*IFERROR(INDEX(계정대체기준!$D$20:$D$49,MATCH($N1434,계정대체기준!$A$20:$A$49,0)),0)))</f>
        <v/>
      </c>
      <c r="AB1434" s="94">
        <f>IF($A1434="",0,IF(AE1434="직접",IF(AF1434="수금비",$P1434,0),$P1434*(1-AG1434)*IFERROR(INDEX(계정대체기준!$E$20:$E$49,MATCH($N1434,계정대체기준!$A$20:$A$49,0)),0)))</f>
        <v/>
      </c>
      <c r="AC1434" s="9">
        <f>IF(AND($A1434&lt;&gt;"",M1434=설정!$C$20,Z1434&gt;0),Z1434+ROW()/1000000000,"")</f>
        <v/>
      </c>
      <c r="AD1434" s="94">
        <f>IF($A1434="",0,$P1434*AG1434)</f>
        <v/>
      </c>
      <c r="AE1434" s="64">
        <f>IF($A1434="","",IFERROR(INDEX(계정매핑!$E$5:$E$504,MATCH($F1434&amp;"",계정매핑!$A$5:$A$504,0))&amp;"","공통비"))</f>
        <v/>
      </c>
      <c r="AF1434" s="64">
        <f>IF($A1434="","",IF(AE1434="직접",IFERROR(INDEX(계정매핑!$F$5:$F$504,MATCH($F1434&amp;"",계정매핑!$A$5:$A$504,0))&amp;"","비귀속"),""))</f>
        <v/>
      </c>
      <c r="AG1434" s="96">
        <f>IF($A1434="",0,IF(AND(AE1434&lt;&gt;"직접",IFERROR(INDEX(계정매핑!$G$5:$G$504,MATCH($F1434&amp;"",계정매핑!$A$5:$A$504,0))&amp;"","")="유지비",COUNTIF(계정대체기준!$A$6:$A$15,$N1434)&gt;0),IFERROR(INDEX(계정대체기준!$E$6:$E$15,MATCH(VALUE($A1434&amp;""),계정대체기준!$D$6:$D$15,0)),0),0))</f>
        <v/>
      </c>
      <c r="AH1434" s="64">
        <f>IF($A1434="","",IF(AD1434=0,"",IF(OR(COUNTIF(계정대체기준!$A$77:$A$86,$N1434)&gt;0,ISNUMBER(MATCH($X1434,계정대체기준!$D$77:$D$86,0)),ISNUMBER(MATCH($F1434,계정대체기준!$D$77:$D$86,0))),"Y","N")))</f>
        <v/>
      </c>
    </row>
    <row r="1435">
      <c r="A1435" s="92" t="n">
        <v>2025</v>
      </c>
      <c r="B1435" s="92" t="n">
        <v>7</v>
      </c>
      <c r="C1435" s="92" t="inlineStr">
        <is>
          <t>5100001431</t>
        </is>
      </c>
      <c r="D1435" s="95" t="n">
        <v>45848</v>
      </c>
      <c r="E1435" s="92" t="inlineStr">
        <is>
          <t>KR</t>
        </is>
      </c>
      <c r="F1435" s="92" t="n">
        <v>62201000</v>
      </c>
      <c r="G1435" s="92" t="n">
        <v>1801</v>
      </c>
      <c r="H1435" s="93" t="n">
        <v>7400000</v>
      </c>
      <c r="I1435" s="92" t="inlineStr">
        <is>
          <t>7월 통신요금 - O텔레콤</t>
        </is>
      </c>
      <c r="J1435" s="92" t="inlineStr">
        <is>
          <t>V10002</t>
        </is>
      </c>
      <c r="K1435" s="92" t="inlineStr">
        <is>
          <t>O텔레콤</t>
        </is>
      </c>
      <c r="M1435" s="9">
        <f>IF($A1435="","",VALUE($A1435&amp;"")*12+VALUE($B1435&amp;""))</f>
        <v/>
      </c>
      <c r="N1435" s="64">
        <f>IF($A1435="","",IFERROR(INDEX(부서매핑!$C$5:$C$504,MATCH($G1435&amp;"",부서매핑!$A$5:$A$504,0)),"미매핑"))</f>
        <v/>
      </c>
      <c r="O1435" s="9">
        <f>IF($A1435="","",N1435&amp;"|"&amp;$F1435)</f>
        <v/>
      </c>
      <c r="P1435" s="94">
        <f>IF($A1435="",0,$H1435*설정!$C$23)</f>
        <v/>
      </c>
      <c r="Q1435" s="64">
        <f>IF($A1435="","",IF(O1435&lt;&gt;원인분석!$C$9,"",IF(AND(M1435&gt;=원인분석!$C$10,M1435&lt;=원인분석!$C$11),"당기",IF(AND(M1435&gt;=원인분석!$C$12,M1435&lt;=원인분석!$C$13),"비교",""))))</f>
        <v/>
      </c>
      <c r="R1435" s="9">
        <f>IF(Q1435="","",$K1435&amp;"")</f>
        <v/>
      </c>
      <c r="S1435" s="9">
        <f>IF(Q1435="","",IF(MATCH(R1435,$R$5:$R$100000,0)=ROW()-4,ROW(),""))</f>
        <v/>
      </c>
      <c r="T1435" s="9">
        <f>IF(Q1435="당기",ABS(P1435)+ROW()/1000000000,"")</f>
        <v/>
      </c>
      <c r="U1435" s="9">
        <f>IF(Q1435="비교",ABS(P1435)+ROW()/1000000000,"")</f>
        <v/>
      </c>
      <c r="V1435" s="64">
        <f>IF($A1435="","",IF(COUNTIF(변동분석!$E$7:$E$506,O1435)&gt;0,"Y","N"))</f>
        <v/>
      </c>
      <c r="W1435" s="64">
        <f>IF($A1435="","",IFERROR(INDEX(계정매핑!$D$5:$D$504,MATCH($F1435&amp;"",계정매핑!$A$5:$A$504,0)),"미매핑"))</f>
        <v/>
      </c>
      <c r="X1435" s="9">
        <f>IF($A1435="","",$F1435&amp;"")</f>
        <v/>
      </c>
      <c r="Y1435" s="94">
        <f>IF($A1435="",0,IF(AE1435="직접",IF(AF1435="비귀속",$P1435,0),$P1435*(1-AG1435)*IFERROR(INDEX(계정대체기준!$F$20:$F$49,MATCH($N1435,계정대체기준!$A$20:$A$49,0)),1)))</f>
        <v/>
      </c>
      <c r="Z1435" s="94">
        <f>IF($A1435="",0,IF(AE1435="직접",IF(AF1435="신계약비",$P1435,0),$P1435*(1-AG1435)*IFERROR(INDEX(계정대체기준!$C$20:$C$49,MATCH($N1435,계정대체기준!$A$20:$A$49,0)),0)))</f>
        <v/>
      </c>
      <c r="AA1435" s="94">
        <f>IF($A1435="",0,IF(AE1435="직접",IF(OR(AF1435="유지비",AF1435="손해조사비"),$P1435,0),$P1435*(1-AG1435)*IFERROR(INDEX(계정대체기준!$D$20:$D$49,MATCH($N1435,계정대체기준!$A$20:$A$49,0)),0)))</f>
        <v/>
      </c>
      <c r="AB1435" s="94">
        <f>IF($A1435="",0,IF(AE1435="직접",IF(AF1435="수금비",$P1435,0),$P1435*(1-AG1435)*IFERROR(INDEX(계정대체기준!$E$20:$E$49,MATCH($N1435,계정대체기준!$A$20:$A$49,0)),0)))</f>
        <v/>
      </c>
      <c r="AC1435" s="9">
        <f>IF(AND($A1435&lt;&gt;"",M1435=설정!$C$20,Z1435&gt;0),Z1435+ROW()/1000000000,"")</f>
        <v/>
      </c>
      <c r="AD1435" s="94">
        <f>IF($A1435="",0,$P1435*AG1435)</f>
        <v/>
      </c>
      <c r="AE1435" s="64">
        <f>IF($A1435="","",IFERROR(INDEX(계정매핑!$E$5:$E$504,MATCH($F1435&amp;"",계정매핑!$A$5:$A$504,0))&amp;"","공통비"))</f>
        <v/>
      </c>
      <c r="AF1435" s="64">
        <f>IF($A1435="","",IF(AE1435="직접",IFERROR(INDEX(계정매핑!$F$5:$F$504,MATCH($F1435&amp;"",계정매핑!$A$5:$A$504,0))&amp;"","비귀속"),""))</f>
        <v/>
      </c>
      <c r="AG1435" s="96">
        <f>IF($A1435="",0,IF(AND(AE1435&lt;&gt;"직접",IFERROR(INDEX(계정매핑!$G$5:$G$504,MATCH($F1435&amp;"",계정매핑!$A$5:$A$504,0))&amp;"","")="유지비",COUNTIF(계정대체기준!$A$6:$A$15,$N1435)&gt;0),IFERROR(INDEX(계정대체기준!$E$6:$E$15,MATCH(VALUE($A1435&amp;""),계정대체기준!$D$6:$D$15,0)),0),0))</f>
        <v/>
      </c>
      <c r="AH1435" s="64">
        <f>IF($A1435="","",IF(AD1435=0,"",IF(OR(COUNTIF(계정대체기준!$A$77:$A$86,$N1435)&gt;0,ISNUMBER(MATCH($X1435,계정대체기준!$D$77:$D$86,0)),ISNUMBER(MATCH($F1435,계정대체기준!$D$77:$D$86,0))),"Y","N")))</f>
        <v/>
      </c>
    </row>
    <row r="1436">
      <c r="A1436" s="92" t="n">
        <v>2025</v>
      </c>
      <c r="B1436" s="92" t="n">
        <v>7</v>
      </c>
      <c r="C1436" s="92" t="inlineStr">
        <is>
          <t>5100001432</t>
        </is>
      </c>
      <c r="D1436" s="95" t="n">
        <v>45848</v>
      </c>
      <c r="E1436" s="92" t="inlineStr">
        <is>
          <t>KR</t>
        </is>
      </c>
      <c r="F1436" s="92" t="n">
        <v>62201000</v>
      </c>
      <c r="G1436" s="92" t="n">
        <v>1801</v>
      </c>
      <c r="H1436" s="93" t="n">
        <v>6941000</v>
      </c>
      <c r="I1436" s="92" t="inlineStr">
        <is>
          <t>7월 통신요금 - P통신</t>
        </is>
      </c>
      <c r="J1436" s="92" t="inlineStr">
        <is>
          <t>V10014</t>
        </is>
      </c>
      <c r="K1436" s="92" t="inlineStr">
        <is>
          <t>P통신</t>
        </is>
      </c>
      <c r="M1436" s="9">
        <f>IF($A1436="","",VALUE($A1436&amp;"")*12+VALUE($B1436&amp;""))</f>
        <v/>
      </c>
      <c r="N1436" s="64">
        <f>IF($A1436="","",IFERROR(INDEX(부서매핑!$C$5:$C$504,MATCH($G1436&amp;"",부서매핑!$A$5:$A$504,0)),"미매핑"))</f>
        <v/>
      </c>
      <c r="O1436" s="9">
        <f>IF($A1436="","",N1436&amp;"|"&amp;$F1436)</f>
        <v/>
      </c>
      <c r="P1436" s="94">
        <f>IF($A1436="",0,$H1436*설정!$C$23)</f>
        <v/>
      </c>
      <c r="Q1436" s="64">
        <f>IF($A1436="","",IF(O1436&lt;&gt;원인분석!$C$9,"",IF(AND(M1436&gt;=원인분석!$C$10,M1436&lt;=원인분석!$C$11),"당기",IF(AND(M1436&gt;=원인분석!$C$12,M1436&lt;=원인분석!$C$13),"비교",""))))</f>
        <v/>
      </c>
      <c r="R1436" s="9">
        <f>IF(Q1436="","",$K1436&amp;"")</f>
        <v/>
      </c>
      <c r="S1436" s="9">
        <f>IF(Q1436="","",IF(MATCH(R1436,$R$5:$R$100000,0)=ROW()-4,ROW(),""))</f>
        <v/>
      </c>
      <c r="T1436" s="9">
        <f>IF(Q1436="당기",ABS(P1436)+ROW()/1000000000,"")</f>
        <v/>
      </c>
      <c r="U1436" s="9">
        <f>IF(Q1436="비교",ABS(P1436)+ROW()/1000000000,"")</f>
        <v/>
      </c>
      <c r="V1436" s="64">
        <f>IF($A1436="","",IF(COUNTIF(변동분석!$E$7:$E$506,O1436)&gt;0,"Y","N"))</f>
        <v/>
      </c>
      <c r="W1436" s="64">
        <f>IF($A1436="","",IFERROR(INDEX(계정매핑!$D$5:$D$504,MATCH($F1436&amp;"",계정매핑!$A$5:$A$504,0)),"미매핑"))</f>
        <v/>
      </c>
      <c r="X1436" s="9">
        <f>IF($A1436="","",$F1436&amp;"")</f>
        <v/>
      </c>
      <c r="Y1436" s="94">
        <f>IF($A1436="",0,IF(AE1436="직접",IF(AF1436="비귀속",$P1436,0),$P1436*(1-AG1436)*IFERROR(INDEX(계정대체기준!$F$20:$F$49,MATCH($N1436,계정대체기준!$A$20:$A$49,0)),1)))</f>
        <v/>
      </c>
      <c r="Z1436" s="94">
        <f>IF($A1436="",0,IF(AE1436="직접",IF(AF1436="신계약비",$P1436,0),$P1436*(1-AG1436)*IFERROR(INDEX(계정대체기준!$C$20:$C$49,MATCH($N1436,계정대체기준!$A$20:$A$49,0)),0)))</f>
        <v/>
      </c>
      <c r="AA1436" s="94">
        <f>IF($A1436="",0,IF(AE1436="직접",IF(OR(AF1436="유지비",AF1436="손해조사비"),$P1436,0),$P1436*(1-AG1436)*IFERROR(INDEX(계정대체기준!$D$20:$D$49,MATCH($N1436,계정대체기준!$A$20:$A$49,0)),0)))</f>
        <v/>
      </c>
      <c r="AB1436" s="94">
        <f>IF($A1436="",0,IF(AE1436="직접",IF(AF1436="수금비",$P1436,0),$P1436*(1-AG1436)*IFERROR(INDEX(계정대체기준!$E$20:$E$49,MATCH($N1436,계정대체기준!$A$20:$A$49,0)),0)))</f>
        <v/>
      </c>
      <c r="AC1436" s="9">
        <f>IF(AND($A1436&lt;&gt;"",M1436=설정!$C$20,Z1436&gt;0),Z1436+ROW()/1000000000,"")</f>
        <v/>
      </c>
      <c r="AD1436" s="94">
        <f>IF($A1436="",0,$P1436*AG1436)</f>
        <v/>
      </c>
      <c r="AE1436" s="64">
        <f>IF($A1436="","",IFERROR(INDEX(계정매핑!$E$5:$E$504,MATCH($F1436&amp;"",계정매핑!$A$5:$A$504,0))&amp;"","공통비"))</f>
        <v/>
      </c>
      <c r="AF1436" s="64">
        <f>IF($A1436="","",IF(AE1436="직접",IFERROR(INDEX(계정매핑!$F$5:$F$504,MATCH($F1436&amp;"",계정매핑!$A$5:$A$504,0))&amp;"","비귀속"),""))</f>
        <v/>
      </c>
      <c r="AG1436" s="96">
        <f>IF($A1436="",0,IF(AND(AE1436&lt;&gt;"직접",IFERROR(INDEX(계정매핑!$G$5:$G$504,MATCH($F1436&amp;"",계정매핑!$A$5:$A$504,0))&amp;"","")="유지비",COUNTIF(계정대체기준!$A$6:$A$15,$N1436)&gt;0),IFERROR(INDEX(계정대체기준!$E$6:$E$15,MATCH(VALUE($A1436&amp;""),계정대체기준!$D$6:$D$15,0)),0),0))</f>
        <v/>
      </c>
      <c r="AH1436" s="64">
        <f>IF($A1436="","",IF(AD1436=0,"",IF(OR(COUNTIF(계정대체기준!$A$77:$A$86,$N1436)&gt;0,ISNUMBER(MATCH($X1436,계정대체기준!$D$77:$D$86,0)),ISNUMBER(MATCH($F1436,계정대체기준!$D$77:$D$86,0))),"Y","N")))</f>
        <v/>
      </c>
    </row>
    <row r="1437">
      <c r="A1437" s="92" t="n">
        <v>2025</v>
      </c>
      <c r="B1437" s="92" t="n">
        <v>7</v>
      </c>
      <c r="C1437" s="92" t="inlineStr">
        <is>
          <t>5100001433</t>
        </is>
      </c>
      <c r="D1437" s="95" t="n">
        <v>45848</v>
      </c>
      <c r="E1437" s="92" t="inlineStr">
        <is>
          <t>KR</t>
        </is>
      </c>
      <c r="F1437" s="92" t="n">
        <v>62301000</v>
      </c>
      <c r="G1437" s="92" t="n">
        <v>1401</v>
      </c>
      <c r="H1437" s="93" t="n">
        <v>85000</v>
      </c>
      <c r="I1437" s="92" t="inlineStr">
        <is>
          <t>7월 소모품 구입 - Q오피스</t>
        </is>
      </c>
      <c r="J1437" s="92" t="inlineStr">
        <is>
          <t>V10003</t>
        </is>
      </c>
      <c r="K1437" s="92" t="inlineStr">
        <is>
          <t>Q오피스</t>
        </is>
      </c>
      <c r="M1437" s="9">
        <f>IF($A1437="","",VALUE($A1437&amp;"")*12+VALUE($B1437&amp;""))</f>
        <v/>
      </c>
      <c r="N1437" s="64">
        <f>IF($A1437="","",IFERROR(INDEX(부서매핑!$C$5:$C$504,MATCH($G1437&amp;"",부서매핑!$A$5:$A$504,0)),"미매핑"))</f>
        <v/>
      </c>
      <c r="O1437" s="9">
        <f>IF($A1437="","",N1437&amp;"|"&amp;$F1437)</f>
        <v/>
      </c>
      <c r="P1437" s="94">
        <f>IF($A1437="",0,$H1437*설정!$C$23)</f>
        <v/>
      </c>
      <c r="Q1437" s="64">
        <f>IF($A1437="","",IF(O1437&lt;&gt;원인분석!$C$9,"",IF(AND(M1437&gt;=원인분석!$C$10,M1437&lt;=원인분석!$C$11),"당기",IF(AND(M1437&gt;=원인분석!$C$12,M1437&lt;=원인분석!$C$13),"비교",""))))</f>
        <v/>
      </c>
      <c r="R1437" s="9">
        <f>IF(Q1437="","",$K1437&amp;"")</f>
        <v/>
      </c>
      <c r="S1437" s="9">
        <f>IF(Q1437="","",IF(MATCH(R1437,$R$5:$R$100000,0)=ROW()-4,ROW(),""))</f>
        <v/>
      </c>
      <c r="T1437" s="9">
        <f>IF(Q1437="당기",ABS(P1437)+ROW()/1000000000,"")</f>
        <v/>
      </c>
      <c r="U1437" s="9">
        <f>IF(Q1437="비교",ABS(P1437)+ROW()/1000000000,"")</f>
        <v/>
      </c>
      <c r="V1437" s="64">
        <f>IF($A1437="","",IF(COUNTIF(변동분석!$E$7:$E$506,O1437)&gt;0,"Y","N"))</f>
        <v/>
      </c>
      <c r="W1437" s="64">
        <f>IF($A1437="","",IFERROR(INDEX(계정매핑!$D$5:$D$504,MATCH($F1437&amp;"",계정매핑!$A$5:$A$504,0)),"미매핑"))</f>
        <v/>
      </c>
      <c r="X1437" s="9">
        <f>IF($A1437="","",$F1437&amp;"")</f>
        <v/>
      </c>
      <c r="Y1437" s="94">
        <f>IF($A1437="",0,IF(AE1437="직접",IF(AF1437="비귀속",$P1437,0),$P1437*(1-AG1437)*IFERROR(INDEX(계정대체기준!$F$20:$F$49,MATCH($N1437,계정대체기준!$A$20:$A$49,0)),1)))</f>
        <v/>
      </c>
      <c r="Z1437" s="94">
        <f>IF($A1437="",0,IF(AE1437="직접",IF(AF1437="신계약비",$P1437,0),$P1437*(1-AG1437)*IFERROR(INDEX(계정대체기준!$C$20:$C$49,MATCH($N1437,계정대체기준!$A$20:$A$49,0)),0)))</f>
        <v/>
      </c>
      <c r="AA1437" s="94">
        <f>IF($A1437="",0,IF(AE1437="직접",IF(OR(AF1437="유지비",AF1437="손해조사비"),$P1437,0),$P1437*(1-AG1437)*IFERROR(INDEX(계정대체기준!$D$20:$D$49,MATCH($N1437,계정대체기준!$A$20:$A$49,0)),0)))</f>
        <v/>
      </c>
      <c r="AB1437" s="94">
        <f>IF($A1437="",0,IF(AE1437="직접",IF(AF1437="수금비",$P1437,0),$P1437*(1-AG1437)*IFERROR(INDEX(계정대체기준!$E$20:$E$49,MATCH($N1437,계정대체기준!$A$20:$A$49,0)),0)))</f>
        <v/>
      </c>
      <c r="AC1437" s="9">
        <f>IF(AND($A1437&lt;&gt;"",M1437=설정!$C$20,Z1437&gt;0),Z1437+ROW()/1000000000,"")</f>
        <v/>
      </c>
      <c r="AD1437" s="94">
        <f>IF($A1437="",0,$P1437*AG1437)</f>
        <v/>
      </c>
      <c r="AE1437" s="64">
        <f>IF($A1437="","",IFERROR(INDEX(계정매핑!$E$5:$E$504,MATCH($F1437&amp;"",계정매핑!$A$5:$A$504,0))&amp;"","공통비"))</f>
        <v/>
      </c>
      <c r="AF1437" s="64">
        <f>IF($A1437="","",IF(AE1437="직접",IFERROR(INDEX(계정매핑!$F$5:$F$504,MATCH($F1437&amp;"",계정매핑!$A$5:$A$504,0))&amp;"","비귀속"),""))</f>
        <v/>
      </c>
      <c r="AG1437" s="96">
        <f>IF($A1437="",0,IF(AND(AE1437&lt;&gt;"직접",IFERROR(INDEX(계정매핑!$G$5:$G$504,MATCH($F1437&amp;"",계정매핑!$A$5:$A$504,0))&amp;"","")="유지비",COUNTIF(계정대체기준!$A$6:$A$15,$N1437)&gt;0),IFERROR(INDEX(계정대체기준!$E$6:$E$15,MATCH(VALUE($A1437&amp;""),계정대체기준!$D$6:$D$15,0)),0),0))</f>
        <v/>
      </c>
      <c r="AH1437" s="64">
        <f>IF($A1437="","",IF(AD1437=0,"",IF(OR(COUNTIF(계정대체기준!$A$77:$A$86,$N1437)&gt;0,ISNUMBER(MATCH($X1437,계정대체기준!$D$77:$D$86,0)),ISNUMBER(MATCH($F1437,계정대체기준!$D$77:$D$86,0))),"Y","N")))</f>
        <v/>
      </c>
    </row>
    <row r="1438">
      <c r="A1438" s="92" t="n">
        <v>2025</v>
      </c>
      <c r="B1438" s="92" t="n">
        <v>7</v>
      </c>
      <c r="C1438" s="92" t="inlineStr">
        <is>
          <t>5100001434</t>
        </is>
      </c>
      <c r="D1438" s="95" t="n">
        <v>45848</v>
      </c>
      <c r="E1438" s="92" t="inlineStr">
        <is>
          <t>KR</t>
        </is>
      </c>
      <c r="F1438" s="92" t="n">
        <v>63101000</v>
      </c>
      <c r="G1438" s="92" t="n">
        <v>1601</v>
      </c>
      <c r="H1438" s="93" t="n">
        <v>5407000</v>
      </c>
      <c r="I1438" s="92" t="inlineStr">
        <is>
          <t>7월 사무실 임차료 - BB부동산</t>
        </is>
      </c>
      <c r="J1438" s="92" t="inlineStr">
        <is>
          <t>V10028</t>
        </is>
      </c>
      <c r="K1438" s="92" t="inlineStr">
        <is>
          <t>BB부동산</t>
        </is>
      </c>
      <c r="M1438" s="9">
        <f>IF($A1438="","",VALUE($A1438&amp;"")*12+VALUE($B1438&amp;""))</f>
        <v/>
      </c>
      <c r="N1438" s="64">
        <f>IF($A1438="","",IFERROR(INDEX(부서매핑!$C$5:$C$504,MATCH($G1438&amp;"",부서매핑!$A$5:$A$504,0)),"미매핑"))</f>
        <v/>
      </c>
      <c r="O1438" s="9">
        <f>IF($A1438="","",N1438&amp;"|"&amp;$F1438)</f>
        <v/>
      </c>
      <c r="P1438" s="94">
        <f>IF($A1438="",0,$H1438*설정!$C$23)</f>
        <v/>
      </c>
      <c r="Q1438" s="64">
        <f>IF($A1438="","",IF(O1438&lt;&gt;원인분석!$C$9,"",IF(AND(M1438&gt;=원인분석!$C$10,M1438&lt;=원인분석!$C$11),"당기",IF(AND(M1438&gt;=원인분석!$C$12,M1438&lt;=원인분석!$C$13),"비교",""))))</f>
        <v/>
      </c>
      <c r="R1438" s="9">
        <f>IF(Q1438="","",$K1438&amp;"")</f>
        <v/>
      </c>
      <c r="S1438" s="9">
        <f>IF(Q1438="","",IF(MATCH(R1438,$R$5:$R$100000,0)=ROW()-4,ROW(),""))</f>
        <v/>
      </c>
      <c r="T1438" s="9">
        <f>IF(Q1438="당기",ABS(P1438)+ROW()/1000000000,"")</f>
        <v/>
      </c>
      <c r="U1438" s="9">
        <f>IF(Q1438="비교",ABS(P1438)+ROW()/1000000000,"")</f>
        <v/>
      </c>
      <c r="V1438" s="64">
        <f>IF($A1438="","",IF(COUNTIF(변동분석!$E$7:$E$506,O1438)&gt;0,"Y","N"))</f>
        <v/>
      </c>
      <c r="W1438" s="64">
        <f>IF($A1438="","",IFERROR(INDEX(계정매핑!$D$5:$D$504,MATCH($F1438&amp;"",계정매핑!$A$5:$A$504,0)),"미매핑"))</f>
        <v/>
      </c>
      <c r="X1438" s="9">
        <f>IF($A1438="","",$F1438&amp;"")</f>
        <v/>
      </c>
      <c r="Y1438" s="94">
        <f>IF($A1438="",0,IF(AE1438="직접",IF(AF1438="비귀속",$P1438,0),$P1438*(1-AG1438)*IFERROR(INDEX(계정대체기준!$F$20:$F$49,MATCH($N1438,계정대체기준!$A$20:$A$49,0)),1)))</f>
        <v/>
      </c>
      <c r="Z1438" s="94">
        <f>IF($A1438="",0,IF(AE1438="직접",IF(AF1438="신계약비",$P1438,0),$P1438*(1-AG1438)*IFERROR(INDEX(계정대체기준!$C$20:$C$49,MATCH($N1438,계정대체기준!$A$20:$A$49,0)),0)))</f>
        <v/>
      </c>
      <c r="AA1438" s="94">
        <f>IF($A1438="",0,IF(AE1438="직접",IF(OR(AF1438="유지비",AF1438="손해조사비"),$P1438,0),$P1438*(1-AG1438)*IFERROR(INDEX(계정대체기준!$D$20:$D$49,MATCH($N1438,계정대체기준!$A$20:$A$49,0)),0)))</f>
        <v/>
      </c>
      <c r="AB1438" s="94">
        <f>IF($A1438="",0,IF(AE1438="직접",IF(AF1438="수금비",$P1438,0),$P1438*(1-AG1438)*IFERROR(INDEX(계정대체기준!$E$20:$E$49,MATCH($N1438,계정대체기준!$A$20:$A$49,0)),0)))</f>
        <v/>
      </c>
      <c r="AC1438" s="9">
        <f>IF(AND($A1438&lt;&gt;"",M1438=설정!$C$20,Z1438&gt;0),Z1438+ROW()/1000000000,"")</f>
        <v/>
      </c>
      <c r="AD1438" s="94">
        <f>IF($A1438="",0,$P1438*AG1438)</f>
        <v/>
      </c>
      <c r="AE1438" s="64">
        <f>IF($A1438="","",IFERROR(INDEX(계정매핑!$E$5:$E$504,MATCH($F1438&amp;"",계정매핑!$A$5:$A$504,0))&amp;"","공통비"))</f>
        <v/>
      </c>
      <c r="AF1438" s="64">
        <f>IF($A1438="","",IF(AE1438="직접",IFERROR(INDEX(계정매핑!$F$5:$F$504,MATCH($F1438&amp;"",계정매핑!$A$5:$A$504,0))&amp;"","비귀속"),""))</f>
        <v/>
      </c>
      <c r="AG1438" s="96">
        <f>IF($A1438="",0,IF(AND(AE1438&lt;&gt;"직접",IFERROR(INDEX(계정매핑!$G$5:$G$504,MATCH($F1438&amp;"",계정매핑!$A$5:$A$504,0))&amp;"","")="유지비",COUNTIF(계정대체기준!$A$6:$A$15,$N1438)&gt;0),IFERROR(INDEX(계정대체기준!$E$6:$E$15,MATCH(VALUE($A1438&amp;""),계정대체기준!$D$6:$D$15,0)),0),0))</f>
        <v/>
      </c>
      <c r="AH1438" s="64">
        <f>IF($A1438="","",IF(AD1438=0,"",IF(OR(COUNTIF(계정대체기준!$A$77:$A$86,$N1438)&gt;0,ISNUMBER(MATCH($X1438,계정대체기준!$D$77:$D$86,0)),ISNUMBER(MATCH($F1438,계정대체기준!$D$77:$D$86,0))),"Y","N")))</f>
        <v/>
      </c>
    </row>
    <row r="1439">
      <c r="A1439" s="92" t="n">
        <v>2025</v>
      </c>
      <c r="B1439" s="92" t="n">
        <v>7</v>
      </c>
      <c r="C1439" s="92" t="inlineStr">
        <is>
          <t>5100001435</t>
        </is>
      </c>
      <c r="D1439" s="95" t="n">
        <v>45849</v>
      </c>
      <c r="E1439" s="92" t="inlineStr">
        <is>
          <t>KR</t>
        </is>
      </c>
      <c r="F1439" s="92" t="n">
        <v>62101000</v>
      </c>
      <c r="G1439" s="92" t="n">
        <v>1301</v>
      </c>
      <c r="H1439" s="93" t="n">
        <v>181000</v>
      </c>
      <c r="I1439" s="92" t="inlineStr">
        <is>
          <t>7월 국내출장 - (법인카드)</t>
        </is>
      </c>
      <c r="J1439" s="92" t="inlineStr">
        <is>
          <t>V10010</t>
        </is>
      </c>
      <c r="K1439" s="92" t="inlineStr">
        <is>
          <t>(법인카드)</t>
        </is>
      </c>
      <c r="M1439" s="9">
        <f>IF($A1439="","",VALUE($A1439&amp;"")*12+VALUE($B1439&amp;""))</f>
        <v/>
      </c>
      <c r="N1439" s="64">
        <f>IF($A1439="","",IFERROR(INDEX(부서매핑!$C$5:$C$504,MATCH($G1439&amp;"",부서매핑!$A$5:$A$504,0)),"미매핑"))</f>
        <v/>
      </c>
      <c r="O1439" s="9">
        <f>IF($A1439="","",N1439&amp;"|"&amp;$F1439)</f>
        <v/>
      </c>
      <c r="P1439" s="94">
        <f>IF($A1439="",0,$H1439*설정!$C$23)</f>
        <v/>
      </c>
      <c r="Q1439" s="64">
        <f>IF($A1439="","",IF(O1439&lt;&gt;원인분석!$C$9,"",IF(AND(M1439&gt;=원인분석!$C$10,M1439&lt;=원인분석!$C$11),"당기",IF(AND(M1439&gt;=원인분석!$C$12,M1439&lt;=원인분석!$C$13),"비교",""))))</f>
        <v/>
      </c>
      <c r="R1439" s="9">
        <f>IF(Q1439="","",$K1439&amp;"")</f>
        <v/>
      </c>
      <c r="S1439" s="9">
        <f>IF(Q1439="","",IF(MATCH(R1439,$R$5:$R$100000,0)=ROW()-4,ROW(),""))</f>
        <v/>
      </c>
      <c r="T1439" s="9">
        <f>IF(Q1439="당기",ABS(P1439)+ROW()/1000000000,"")</f>
        <v/>
      </c>
      <c r="U1439" s="9">
        <f>IF(Q1439="비교",ABS(P1439)+ROW()/1000000000,"")</f>
        <v/>
      </c>
      <c r="V1439" s="64">
        <f>IF($A1439="","",IF(COUNTIF(변동분석!$E$7:$E$506,O1439)&gt;0,"Y","N"))</f>
        <v/>
      </c>
      <c r="W1439" s="64">
        <f>IF($A1439="","",IFERROR(INDEX(계정매핑!$D$5:$D$504,MATCH($F1439&amp;"",계정매핑!$A$5:$A$504,0)),"미매핑"))</f>
        <v/>
      </c>
      <c r="X1439" s="9">
        <f>IF($A1439="","",$F1439&amp;"")</f>
        <v/>
      </c>
      <c r="Y1439" s="94">
        <f>IF($A1439="",0,IF(AE1439="직접",IF(AF1439="비귀속",$P1439,0),$P1439*(1-AG1439)*IFERROR(INDEX(계정대체기준!$F$20:$F$49,MATCH($N1439,계정대체기준!$A$20:$A$49,0)),1)))</f>
        <v/>
      </c>
      <c r="Z1439" s="94">
        <f>IF($A1439="",0,IF(AE1439="직접",IF(AF1439="신계약비",$P1439,0),$P1439*(1-AG1439)*IFERROR(INDEX(계정대체기준!$C$20:$C$49,MATCH($N1439,계정대체기준!$A$20:$A$49,0)),0)))</f>
        <v/>
      </c>
      <c r="AA1439" s="94">
        <f>IF($A1439="",0,IF(AE1439="직접",IF(OR(AF1439="유지비",AF1439="손해조사비"),$P1439,0),$P1439*(1-AG1439)*IFERROR(INDEX(계정대체기준!$D$20:$D$49,MATCH($N1439,계정대체기준!$A$20:$A$49,0)),0)))</f>
        <v/>
      </c>
      <c r="AB1439" s="94">
        <f>IF($A1439="",0,IF(AE1439="직접",IF(AF1439="수금비",$P1439,0),$P1439*(1-AG1439)*IFERROR(INDEX(계정대체기준!$E$20:$E$49,MATCH($N1439,계정대체기준!$A$20:$A$49,0)),0)))</f>
        <v/>
      </c>
      <c r="AC1439" s="9">
        <f>IF(AND($A1439&lt;&gt;"",M1439=설정!$C$20,Z1439&gt;0),Z1439+ROW()/1000000000,"")</f>
        <v/>
      </c>
      <c r="AD1439" s="94">
        <f>IF($A1439="",0,$P1439*AG1439)</f>
        <v/>
      </c>
      <c r="AE1439" s="64">
        <f>IF($A1439="","",IFERROR(INDEX(계정매핑!$E$5:$E$504,MATCH($F1439&amp;"",계정매핑!$A$5:$A$504,0))&amp;"","공통비"))</f>
        <v/>
      </c>
      <c r="AF1439" s="64">
        <f>IF($A1439="","",IF(AE1439="직접",IFERROR(INDEX(계정매핑!$F$5:$F$504,MATCH($F1439&amp;"",계정매핑!$A$5:$A$504,0))&amp;"","비귀속"),""))</f>
        <v/>
      </c>
      <c r="AG1439" s="96">
        <f>IF($A1439="",0,IF(AND(AE1439&lt;&gt;"직접",IFERROR(INDEX(계정매핑!$G$5:$G$504,MATCH($F1439&amp;"",계정매핑!$A$5:$A$504,0))&amp;"","")="유지비",COUNTIF(계정대체기준!$A$6:$A$15,$N1439)&gt;0),IFERROR(INDEX(계정대체기준!$E$6:$E$15,MATCH(VALUE($A1439&amp;""),계정대체기준!$D$6:$D$15,0)),0),0))</f>
        <v/>
      </c>
      <c r="AH1439" s="64">
        <f>IF($A1439="","",IF(AD1439=0,"",IF(OR(COUNTIF(계정대체기준!$A$77:$A$86,$N1439)&gt;0,ISNUMBER(MATCH($X1439,계정대체기준!$D$77:$D$86,0)),ISNUMBER(MATCH($F1439,계정대체기준!$D$77:$D$86,0))),"Y","N")))</f>
        <v/>
      </c>
    </row>
    <row r="1440">
      <c r="A1440" s="92" t="n">
        <v>2025</v>
      </c>
      <c r="B1440" s="92" t="n">
        <v>7</v>
      </c>
      <c r="C1440" s="92" t="inlineStr">
        <is>
          <t>5100001436</t>
        </is>
      </c>
      <c r="D1440" s="95" t="n">
        <v>45849</v>
      </c>
      <c r="E1440" s="92" t="inlineStr">
        <is>
          <t>KR</t>
        </is>
      </c>
      <c r="F1440" s="92" t="n">
        <v>62101000</v>
      </c>
      <c r="G1440" s="92" t="n">
        <v>1951</v>
      </c>
      <c r="H1440" s="93" t="n">
        <v>174000</v>
      </c>
      <c r="I1440" s="92" t="inlineStr">
        <is>
          <t>7월 국내출장 - L여행사</t>
        </is>
      </c>
      <c r="J1440" s="92" t="inlineStr">
        <is>
          <t>V10018</t>
        </is>
      </c>
      <c r="K1440" s="92" t="inlineStr">
        <is>
          <t>L여행사</t>
        </is>
      </c>
      <c r="M1440" s="9">
        <f>IF($A1440="","",VALUE($A1440&amp;"")*12+VALUE($B1440&amp;""))</f>
        <v/>
      </c>
      <c r="N1440" s="64">
        <f>IF($A1440="","",IFERROR(INDEX(부서매핑!$C$5:$C$504,MATCH($G1440&amp;"",부서매핑!$A$5:$A$504,0)),"미매핑"))</f>
        <v/>
      </c>
      <c r="O1440" s="9">
        <f>IF($A1440="","",N1440&amp;"|"&amp;$F1440)</f>
        <v/>
      </c>
      <c r="P1440" s="94">
        <f>IF($A1440="",0,$H1440*설정!$C$23)</f>
        <v/>
      </c>
      <c r="Q1440" s="64">
        <f>IF($A1440="","",IF(O1440&lt;&gt;원인분석!$C$9,"",IF(AND(M1440&gt;=원인분석!$C$10,M1440&lt;=원인분석!$C$11),"당기",IF(AND(M1440&gt;=원인분석!$C$12,M1440&lt;=원인분석!$C$13),"비교",""))))</f>
        <v/>
      </c>
      <c r="R1440" s="9">
        <f>IF(Q1440="","",$K1440&amp;"")</f>
        <v/>
      </c>
      <c r="S1440" s="9">
        <f>IF(Q1440="","",IF(MATCH(R1440,$R$5:$R$100000,0)=ROW()-4,ROW(),""))</f>
        <v/>
      </c>
      <c r="T1440" s="9">
        <f>IF(Q1440="당기",ABS(P1440)+ROW()/1000000000,"")</f>
        <v/>
      </c>
      <c r="U1440" s="9">
        <f>IF(Q1440="비교",ABS(P1440)+ROW()/1000000000,"")</f>
        <v/>
      </c>
      <c r="V1440" s="64">
        <f>IF($A1440="","",IF(COUNTIF(변동분석!$E$7:$E$506,O1440)&gt;0,"Y","N"))</f>
        <v/>
      </c>
      <c r="W1440" s="64">
        <f>IF($A1440="","",IFERROR(INDEX(계정매핑!$D$5:$D$504,MATCH($F1440&amp;"",계정매핑!$A$5:$A$504,0)),"미매핑"))</f>
        <v/>
      </c>
      <c r="X1440" s="9">
        <f>IF($A1440="","",$F1440&amp;"")</f>
        <v/>
      </c>
      <c r="Y1440" s="94">
        <f>IF($A1440="",0,IF(AE1440="직접",IF(AF1440="비귀속",$P1440,0),$P1440*(1-AG1440)*IFERROR(INDEX(계정대체기준!$F$20:$F$49,MATCH($N1440,계정대체기준!$A$20:$A$49,0)),1)))</f>
        <v/>
      </c>
      <c r="Z1440" s="94">
        <f>IF($A1440="",0,IF(AE1440="직접",IF(AF1440="신계약비",$P1440,0),$P1440*(1-AG1440)*IFERROR(INDEX(계정대체기준!$C$20:$C$49,MATCH($N1440,계정대체기준!$A$20:$A$49,0)),0)))</f>
        <v/>
      </c>
      <c r="AA1440" s="94">
        <f>IF($A1440="",0,IF(AE1440="직접",IF(OR(AF1440="유지비",AF1440="손해조사비"),$P1440,0),$P1440*(1-AG1440)*IFERROR(INDEX(계정대체기준!$D$20:$D$49,MATCH($N1440,계정대체기준!$A$20:$A$49,0)),0)))</f>
        <v/>
      </c>
      <c r="AB1440" s="94">
        <f>IF($A1440="",0,IF(AE1440="직접",IF(AF1440="수금비",$P1440,0),$P1440*(1-AG1440)*IFERROR(INDEX(계정대체기준!$E$20:$E$49,MATCH($N1440,계정대체기준!$A$20:$A$49,0)),0)))</f>
        <v/>
      </c>
      <c r="AC1440" s="9">
        <f>IF(AND($A1440&lt;&gt;"",M1440=설정!$C$20,Z1440&gt;0),Z1440+ROW()/1000000000,"")</f>
        <v/>
      </c>
      <c r="AD1440" s="94">
        <f>IF($A1440="",0,$P1440*AG1440)</f>
        <v/>
      </c>
      <c r="AE1440" s="64">
        <f>IF($A1440="","",IFERROR(INDEX(계정매핑!$E$5:$E$504,MATCH($F1440&amp;"",계정매핑!$A$5:$A$504,0))&amp;"","공통비"))</f>
        <v/>
      </c>
      <c r="AF1440" s="64">
        <f>IF($A1440="","",IF(AE1440="직접",IFERROR(INDEX(계정매핑!$F$5:$F$504,MATCH($F1440&amp;"",계정매핑!$A$5:$A$504,0))&amp;"","비귀속"),""))</f>
        <v/>
      </c>
      <c r="AG1440" s="96">
        <f>IF($A1440="",0,IF(AND(AE1440&lt;&gt;"직접",IFERROR(INDEX(계정매핑!$G$5:$G$504,MATCH($F1440&amp;"",계정매핑!$A$5:$A$504,0))&amp;"","")="유지비",COUNTIF(계정대체기준!$A$6:$A$15,$N1440)&gt;0),IFERROR(INDEX(계정대체기준!$E$6:$E$15,MATCH(VALUE($A1440&amp;""),계정대체기준!$D$6:$D$15,0)),0),0))</f>
        <v/>
      </c>
      <c r="AH1440" s="64">
        <f>IF($A1440="","",IF(AD1440=0,"",IF(OR(COUNTIF(계정대체기준!$A$77:$A$86,$N1440)&gt;0,ISNUMBER(MATCH($X1440,계정대체기준!$D$77:$D$86,0)),ISNUMBER(MATCH($F1440,계정대체기준!$D$77:$D$86,0))),"Y","N")))</f>
        <v/>
      </c>
    </row>
    <row r="1441">
      <c r="A1441" s="92" t="n">
        <v>2025</v>
      </c>
      <c r="B1441" s="92" t="n">
        <v>7</v>
      </c>
      <c r="C1441" s="92" t="inlineStr">
        <is>
          <t>5100001437</t>
        </is>
      </c>
      <c r="D1441" s="95" t="n">
        <v>45849</v>
      </c>
      <c r="E1441" s="92" t="inlineStr">
        <is>
          <t>KR</t>
        </is>
      </c>
      <c r="F1441" s="92" t="n">
        <v>62102000</v>
      </c>
      <c r="G1441" s="92" t="n">
        <v>1801</v>
      </c>
      <c r="H1441" s="93" t="n">
        <v>66000</v>
      </c>
      <c r="I1441" s="92" t="inlineStr">
        <is>
          <t>7월 해외출장 - N호텔</t>
        </is>
      </c>
      <c r="J1441" s="92" t="inlineStr">
        <is>
          <t>V10009</t>
        </is>
      </c>
      <c r="K1441" s="92" t="inlineStr">
        <is>
          <t>N호텔</t>
        </is>
      </c>
      <c r="M1441" s="9">
        <f>IF($A1441="","",VALUE($A1441&amp;"")*12+VALUE($B1441&amp;""))</f>
        <v/>
      </c>
      <c r="N1441" s="64">
        <f>IF($A1441="","",IFERROR(INDEX(부서매핑!$C$5:$C$504,MATCH($G1441&amp;"",부서매핑!$A$5:$A$504,0)),"미매핑"))</f>
        <v/>
      </c>
      <c r="O1441" s="9">
        <f>IF($A1441="","",N1441&amp;"|"&amp;$F1441)</f>
        <v/>
      </c>
      <c r="P1441" s="94">
        <f>IF($A1441="",0,$H1441*설정!$C$23)</f>
        <v/>
      </c>
      <c r="Q1441" s="64">
        <f>IF($A1441="","",IF(O1441&lt;&gt;원인분석!$C$9,"",IF(AND(M1441&gt;=원인분석!$C$10,M1441&lt;=원인분석!$C$11),"당기",IF(AND(M1441&gt;=원인분석!$C$12,M1441&lt;=원인분석!$C$13),"비교",""))))</f>
        <v/>
      </c>
      <c r="R1441" s="9">
        <f>IF(Q1441="","",$K1441&amp;"")</f>
        <v/>
      </c>
      <c r="S1441" s="9">
        <f>IF(Q1441="","",IF(MATCH(R1441,$R$5:$R$100000,0)=ROW()-4,ROW(),""))</f>
        <v/>
      </c>
      <c r="T1441" s="9">
        <f>IF(Q1441="당기",ABS(P1441)+ROW()/1000000000,"")</f>
        <v/>
      </c>
      <c r="U1441" s="9">
        <f>IF(Q1441="비교",ABS(P1441)+ROW()/1000000000,"")</f>
        <v/>
      </c>
      <c r="V1441" s="64">
        <f>IF($A1441="","",IF(COUNTIF(변동분석!$E$7:$E$506,O1441)&gt;0,"Y","N"))</f>
        <v/>
      </c>
      <c r="W1441" s="64">
        <f>IF($A1441="","",IFERROR(INDEX(계정매핑!$D$5:$D$504,MATCH($F1441&amp;"",계정매핑!$A$5:$A$504,0)),"미매핑"))</f>
        <v/>
      </c>
      <c r="X1441" s="9">
        <f>IF($A1441="","",$F1441&amp;"")</f>
        <v/>
      </c>
      <c r="Y1441" s="94">
        <f>IF($A1441="",0,IF(AE1441="직접",IF(AF1441="비귀속",$P1441,0),$P1441*(1-AG1441)*IFERROR(INDEX(계정대체기준!$F$20:$F$49,MATCH($N1441,계정대체기준!$A$20:$A$49,0)),1)))</f>
        <v/>
      </c>
      <c r="Z1441" s="94">
        <f>IF($A1441="",0,IF(AE1441="직접",IF(AF1441="신계약비",$P1441,0),$P1441*(1-AG1441)*IFERROR(INDEX(계정대체기준!$C$20:$C$49,MATCH($N1441,계정대체기준!$A$20:$A$49,0)),0)))</f>
        <v/>
      </c>
      <c r="AA1441" s="94">
        <f>IF($A1441="",0,IF(AE1441="직접",IF(OR(AF1441="유지비",AF1441="손해조사비"),$P1441,0),$P1441*(1-AG1441)*IFERROR(INDEX(계정대체기준!$D$20:$D$49,MATCH($N1441,계정대체기준!$A$20:$A$49,0)),0)))</f>
        <v/>
      </c>
      <c r="AB1441" s="94">
        <f>IF($A1441="",0,IF(AE1441="직접",IF(AF1441="수금비",$P1441,0),$P1441*(1-AG1441)*IFERROR(INDEX(계정대체기준!$E$20:$E$49,MATCH($N1441,계정대체기준!$A$20:$A$49,0)),0)))</f>
        <v/>
      </c>
      <c r="AC1441" s="9">
        <f>IF(AND($A1441&lt;&gt;"",M1441=설정!$C$20,Z1441&gt;0),Z1441+ROW()/1000000000,"")</f>
        <v/>
      </c>
      <c r="AD1441" s="94">
        <f>IF($A1441="",0,$P1441*AG1441)</f>
        <v/>
      </c>
      <c r="AE1441" s="64">
        <f>IF($A1441="","",IFERROR(INDEX(계정매핑!$E$5:$E$504,MATCH($F1441&amp;"",계정매핑!$A$5:$A$504,0))&amp;"","공통비"))</f>
        <v/>
      </c>
      <c r="AF1441" s="64">
        <f>IF($A1441="","",IF(AE1441="직접",IFERROR(INDEX(계정매핑!$F$5:$F$504,MATCH($F1441&amp;"",계정매핑!$A$5:$A$504,0))&amp;"","비귀속"),""))</f>
        <v/>
      </c>
      <c r="AG1441" s="96">
        <f>IF($A1441="",0,IF(AND(AE1441&lt;&gt;"직접",IFERROR(INDEX(계정매핑!$G$5:$G$504,MATCH($F1441&amp;"",계정매핑!$A$5:$A$504,0))&amp;"","")="유지비",COUNTIF(계정대체기준!$A$6:$A$15,$N1441)&gt;0),IFERROR(INDEX(계정대체기준!$E$6:$E$15,MATCH(VALUE($A1441&amp;""),계정대체기준!$D$6:$D$15,0)),0),0))</f>
        <v/>
      </c>
      <c r="AH1441" s="64">
        <f>IF($A1441="","",IF(AD1441=0,"",IF(OR(COUNTIF(계정대체기준!$A$77:$A$86,$N1441)&gt;0,ISNUMBER(MATCH($X1441,계정대체기준!$D$77:$D$86,0)),ISNUMBER(MATCH($F1441,계정대체기준!$D$77:$D$86,0))),"Y","N")))</f>
        <v/>
      </c>
    </row>
    <row r="1442">
      <c r="A1442" s="92" t="n">
        <v>2025</v>
      </c>
      <c r="B1442" s="92" t="n">
        <v>7</v>
      </c>
      <c r="C1442" s="92" t="inlineStr">
        <is>
          <t>5100001438</t>
        </is>
      </c>
      <c r="D1442" s="95" t="n">
        <v>45849</v>
      </c>
      <c r="E1442" s="92" t="inlineStr">
        <is>
          <t>KR</t>
        </is>
      </c>
      <c r="F1442" s="92" t="n">
        <v>62201000</v>
      </c>
      <c r="G1442" s="92" t="n">
        <v>1101</v>
      </c>
      <c r="H1442" s="93" t="n">
        <v>258000</v>
      </c>
      <c r="I1442" s="92" t="inlineStr">
        <is>
          <t>7월 통신요금 - O텔레콤</t>
        </is>
      </c>
      <c r="J1442" s="92" t="inlineStr">
        <is>
          <t>V10002</t>
        </is>
      </c>
      <c r="K1442" s="92" t="inlineStr">
        <is>
          <t>O텔레콤</t>
        </is>
      </c>
      <c r="M1442" s="9">
        <f>IF($A1442="","",VALUE($A1442&amp;"")*12+VALUE($B1442&amp;""))</f>
        <v/>
      </c>
      <c r="N1442" s="64">
        <f>IF($A1442="","",IFERROR(INDEX(부서매핑!$C$5:$C$504,MATCH($G1442&amp;"",부서매핑!$A$5:$A$504,0)),"미매핑"))</f>
        <v/>
      </c>
      <c r="O1442" s="9">
        <f>IF($A1442="","",N1442&amp;"|"&amp;$F1442)</f>
        <v/>
      </c>
      <c r="P1442" s="94">
        <f>IF($A1442="",0,$H1442*설정!$C$23)</f>
        <v/>
      </c>
      <c r="Q1442" s="64">
        <f>IF($A1442="","",IF(O1442&lt;&gt;원인분석!$C$9,"",IF(AND(M1442&gt;=원인분석!$C$10,M1442&lt;=원인분석!$C$11),"당기",IF(AND(M1442&gt;=원인분석!$C$12,M1442&lt;=원인분석!$C$13),"비교",""))))</f>
        <v/>
      </c>
      <c r="R1442" s="9">
        <f>IF(Q1442="","",$K1442&amp;"")</f>
        <v/>
      </c>
      <c r="S1442" s="9">
        <f>IF(Q1442="","",IF(MATCH(R1442,$R$5:$R$100000,0)=ROW()-4,ROW(),""))</f>
        <v/>
      </c>
      <c r="T1442" s="9">
        <f>IF(Q1442="당기",ABS(P1442)+ROW()/1000000000,"")</f>
        <v/>
      </c>
      <c r="U1442" s="9">
        <f>IF(Q1442="비교",ABS(P1442)+ROW()/1000000000,"")</f>
        <v/>
      </c>
      <c r="V1442" s="64">
        <f>IF($A1442="","",IF(COUNTIF(변동분석!$E$7:$E$506,O1442)&gt;0,"Y","N"))</f>
        <v/>
      </c>
      <c r="W1442" s="64">
        <f>IF($A1442="","",IFERROR(INDEX(계정매핑!$D$5:$D$504,MATCH($F1442&amp;"",계정매핑!$A$5:$A$504,0)),"미매핑"))</f>
        <v/>
      </c>
      <c r="X1442" s="9">
        <f>IF($A1442="","",$F1442&amp;"")</f>
        <v/>
      </c>
      <c r="Y1442" s="94">
        <f>IF($A1442="",0,IF(AE1442="직접",IF(AF1442="비귀속",$P1442,0),$P1442*(1-AG1442)*IFERROR(INDEX(계정대체기준!$F$20:$F$49,MATCH($N1442,계정대체기준!$A$20:$A$49,0)),1)))</f>
        <v/>
      </c>
      <c r="Z1442" s="94">
        <f>IF($A1442="",0,IF(AE1442="직접",IF(AF1442="신계약비",$P1442,0),$P1442*(1-AG1442)*IFERROR(INDEX(계정대체기준!$C$20:$C$49,MATCH($N1442,계정대체기준!$A$20:$A$49,0)),0)))</f>
        <v/>
      </c>
      <c r="AA1442" s="94">
        <f>IF($A1442="",0,IF(AE1442="직접",IF(OR(AF1442="유지비",AF1442="손해조사비"),$P1442,0),$P1442*(1-AG1442)*IFERROR(INDEX(계정대체기준!$D$20:$D$49,MATCH($N1442,계정대체기준!$A$20:$A$49,0)),0)))</f>
        <v/>
      </c>
      <c r="AB1442" s="94">
        <f>IF($A1442="",0,IF(AE1442="직접",IF(AF1442="수금비",$P1442,0),$P1442*(1-AG1442)*IFERROR(INDEX(계정대체기준!$E$20:$E$49,MATCH($N1442,계정대체기준!$A$20:$A$49,0)),0)))</f>
        <v/>
      </c>
      <c r="AC1442" s="9">
        <f>IF(AND($A1442&lt;&gt;"",M1442=설정!$C$20,Z1442&gt;0),Z1442+ROW()/1000000000,"")</f>
        <v/>
      </c>
      <c r="AD1442" s="94">
        <f>IF($A1442="",0,$P1442*AG1442)</f>
        <v/>
      </c>
      <c r="AE1442" s="64">
        <f>IF($A1442="","",IFERROR(INDEX(계정매핑!$E$5:$E$504,MATCH($F1442&amp;"",계정매핑!$A$5:$A$504,0))&amp;"","공통비"))</f>
        <v/>
      </c>
      <c r="AF1442" s="64">
        <f>IF($A1442="","",IF(AE1442="직접",IFERROR(INDEX(계정매핑!$F$5:$F$504,MATCH($F1442&amp;"",계정매핑!$A$5:$A$504,0))&amp;"","비귀속"),""))</f>
        <v/>
      </c>
      <c r="AG1442" s="96">
        <f>IF($A1442="",0,IF(AND(AE1442&lt;&gt;"직접",IFERROR(INDEX(계정매핑!$G$5:$G$504,MATCH($F1442&amp;"",계정매핑!$A$5:$A$504,0))&amp;"","")="유지비",COUNTIF(계정대체기준!$A$6:$A$15,$N1442)&gt;0),IFERROR(INDEX(계정대체기준!$E$6:$E$15,MATCH(VALUE($A1442&amp;""),계정대체기준!$D$6:$D$15,0)),0),0))</f>
        <v/>
      </c>
      <c r="AH1442" s="64">
        <f>IF($A1442="","",IF(AD1442=0,"",IF(OR(COUNTIF(계정대체기준!$A$77:$A$86,$N1442)&gt;0,ISNUMBER(MATCH($X1442,계정대체기준!$D$77:$D$86,0)),ISNUMBER(MATCH($F1442,계정대체기준!$D$77:$D$86,0))),"Y","N")))</f>
        <v/>
      </c>
    </row>
    <row r="1443">
      <c r="A1443" s="92" t="n">
        <v>2025</v>
      </c>
      <c r="B1443" s="92" t="n">
        <v>7</v>
      </c>
      <c r="C1443" s="92" t="inlineStr">
        <is>
          <t>5100001439</t>
        </is>
      </c>
      <c r="D1443" s="95" t="n">
        <v>45849</v>
      </c>
      <c r="E1443" s="92" t="inlineStr">
        <is>
          <t>KR</t>
        </is>
      </c>
      <c r="F1443" s="92" t="n">
        <v>62301000</v>
      </c>
      <c r="G1443" s="92" t="n">
        <v>1101</v>
      </c>
      <c r="H1443" s="93" t="n">
        <v>103000</v>
      </c>
      <c r="I1443" s="92" t="inlineStr">
        <is>
          <t>7월 소모품 구입 - R문구</t>
        </is>
      </c>
      <c r="J1443" s="92" t="inlineStr">
        <is>
          <t>V10022</t>
        </is>
      </c>
      <c r="K1443" s="92" t="inlineStr">
        <is>
          <t>R문구</t>
        </is>
      </c>
      <c r="M1443" s="9">
        <f>IF($A1443="","",VALUE($A1443&amp;"")*12+VALUE($B1443&amp;""))</f>
        <v/>
      </c>
      <c r="N1443" s="64">
        <f>IF($A1443="","",IFERROR(INDEX(부서매핑!$C$5:$C$504,MATCH($G1443&amp;"",부서매핑!$A$5:$A$504,0)),"미매핑"))</f>
        <v/>
      </c>
      <c r="O1443" s="9">
        <f>IF($A1443="","",N1443&amp;"|"&amp;$F1443)</f>
        <v/>
      </c>
      <c r="P1443" s="94">
        <f>IF($A1443="",0,$H1443*설정!$C$23)</f>
        <v/>
      </c>
      <c r="Q1443" s="64">
        <f>IF($A1443="","",IF(O1443&lt;&gt;원인분석!$C$9,"",IF(AND(M1443&gt;=원인분석!$C$10,M1443&lt;=원인분석!$C$11),"당기",IF(AND(M1443&gt;=원인분석!$C$12,M1443&lt;=원인분석!$C$13),"비교",""))))</f>
        <v/>
      </c>
      <c r="R1443" s="9">
        <f>IF(Q1443="","",$K1443&amp;"")</f>
        <v/>
      </c>
      <c r="S1443" s="9">
        <f>IF(Q1443="","",IF(MATCH(R1443,$R$5:$R$100000,0)=ROW()-4,ROW(),""))</f>
        <v/>
      </c>
      <c r="T1443" s="9">
        <f>IF(Q1443="당기",ABS(P1443)+ROW()/1000000000,"")</f>
        <v/>
      </c>
      <c r="U1443" s="9">
        <f>IF(Q1443="비교",ABS(P1443)+ROW()/1000000000,"")</f>
        <v/>
      </c>
      <c r="V1443" s="64">
        <f>IF($A1443="","",IF(COUNTIF(변동분석!$E$7:$E$506,O1443)&gt;0,"Y","N"))</f>
        <v/>
      </c>
      <c r="W1443" s="64">
        <f>IF($A1443="","",IFERROR(INDEX(계정매핑!$D$5:$D$504,MATCH($F1443&amp;"",계정매핑!$A$5:$A$504,0)),"미매핑"))</f>
        <v/>
      </c>
      <c r="X1443" s="9">
        <f>IF($A1443="","",$F1443&amp;"")</f>
        <v/>
      </c>
      <c r="Y1443" s="94">
        <f>IF($A1443="",0,IF(AE1443="직접",IF(AF1443="비귀속",$P1443,0),$P1443*(1-AG1443)*IFERROR(INDEX(계정대체기준!$F$20:$F$49,MATCH($N1443,계정대체기준!$A$20:$A$49,0)),1)))</f>
        <v/>
      </c>
      <c r="Z1443" s="94">
        <f>IF($A1443="",0,IF(AE1443="직접",IF(AF1443="신계약비",$P1443,0),$P1443*(1-AG1443)*IFERROR(INDEX(계정대체기준!$C$20:$C$49,MATCH($N1443,계정대체기준!$A$20:$A$49,0)),0)))</f>
        <v/>
      </c>
      <c r="AA1443" s="94">
        <f>IF($A1443="",0,IF(AE1443="직접",IF(OR(AF1443="유지비",AF1443="손해조사비"),$P1443,0),$P1443*(1-AG1443)*IFERROR(INDEX(계정대체기준!$D$20:$D$49,MATCH($N1443,계정대체기준!$A$20:$A$49,0)),0)))</f>
        <v/>
      </c>
      <c r="AB1443" s="94">
        <f>IF($A1443="",0,IF(AE1443="직접",IF(AF1443="수금비",$P1443,0),$P1443*(1-AG1443)*IFERROR(INDEX(계정대체기준!$E$20:$E$49,MATCH($N1443,계정대체기준!$A$20:$A$49,0)),0)))</f>
        <v/>
      </c>
      <c r="AC1443" s="9">
        <f>IF(AND($A1443&lt;&gt;"",M1443=설정!$C$20,Z1443&gt;0),Z1443+ROW()/1000000000,"")</f>
        <v/>
      </c>
      <c r="AD1443" s="94">
        <f>IF($A1443="",0,$P1443*AG1443)</f>
        <v/>
      </c>
      <c r="AE1443" s="64">
        <f>IF($A1443="","",IFERROR(INDEX(계정매핑!$E$5:$E$504,MATCH($F1443&amp;"",계정매핑!$A$5:$A$504,0))&amp;"","공통비"))</f>
        <v/>
      </c>
      <c r="AF1443" s="64">
        <f>IF($A1443="","",IF(AE1443="직접",IFERROR(INDEX(계정매핑!$F$5:$F$504,MATCH($F1443&amp;"",계정매핑!$A$5:$A$504,0))&amp;"","비귀속"),""))</f>
        <v/>
      </c>
      <c r="AG1443" s="96">
        <f>IF($A1443="",0,IF(AND(AE1443&lt;&gt;"직접",IFERROR(INDEX(계정매핑!$G$5:$G$504,MATCH($F1443&amp;"",계정매핑!$A$5:$A$504,0))&amp;"","")="유지비",COUNTIF(계정대체기준!$A$6:$A$15,$N1443)&gt;0),IFERROR(INDEX(계정대체기준!$E$6:$E$15,MATCH(VALUE($A1443&amp;""),계정대체기준!$D$6:$D$15,0)),0),0))</f>
        <v/>
      </c>
      <c r="AH1443" s="64">
        <f>IF($A1443="","",IF(AD1443=0,"",IF(OR(COUNTIF(계정대체기준!$A$77:$A$86,$N1443)&gt;0,ISNUMBER(MATCH($X1443,계정대체기준!$D$77:$D$86,0)),ISNUMBER(MATCH($F1443,계정대체기준!$D$77:$D$86,0))),"Y","N")))</f>
        <v/>
      </c>
    </row>
    <row r="1444">
      <c r="A1444" s="92" t="n">
        <v>2025</v>
      </c>
      <c r="B1444" s="92" t="n">
        <v>7</v>
      </c>
      <c r="C1444" s="92" t="inlineStr">
        <is>
          <t>5100001440</t>
        </is>
      </c>
      <c r="D1444" s="95" t="n">
        <v>45849</v>
      </c>
      <c r="E1444" s="92" t="inlineStr">
        <is>
          <t>KR</t>
        </is>
      </c>
      <c r="F1444" s="92" t="n">
        <v>62301000</v>
      </c>
      <c r="G1444" s="92" t="n">
        <v>1201</v>
      </c>
      <c r="H1444" s="93" t="n">
        <v>157000</v>
      </c>
      <c r="I1444" s="92" t="inlineStr">
        <is>
          <t>7월 소모품 구입 - R문구</t>
        </is>
      </c>
      <c r="J1444" s="92" t="inlineStr">
        <is>
          <t>V10022</t>
        </is>
      </c>
      <c r="K1444" s="92" t="inlineStr">
        <is>
          <t>R문구</t>
        </is>
      </c>
      <c r="M1444" s="9">
        <f>IF($A1444="","",VALUE($A1444&amp;"")*12+VALUE($B1444&amp;""))</f>
        <v/>
      </c>
      <c r="N1444" s="64">
        <f>IF($A1444="","",IFERROR(INDEX(부서매핑!$C$5:$C$504,MATCH($G1444&amp;"",부서매핑!$A$5:$A$504,0)),"미매핑"))</f>
        <v/>
      </c>
      <c r="O1444" s="9">
        <f>IF($A1444="","",N1444&amp;"|"&amp;$F1444)</f>
        <v/>
      </c>
      <c r="P1444" s="94">
        <f>IF($A1444="",0,$H1444*설정!$C$23)</f>
        <v/>
      </c>
      <c r="Q1444" s="64">
        <f>IF($A1444="","",IF(O1444&lt;&gt;원인분석!$C$9,"",IF(AND(M1444&gt;=원인분석!$C$10,M1444&lt;=원인분석!$C$11),"당기",IF(AND(M1444&gt;=원인분석!$C$12,M1444&lt;=원인분석!$C$13),"비교",""))))</f>
        <v/>
      </c>
      <c r="R1444" s="9">
        <f>IF(Q1444="","",$K1444&amp;"")</f>
        <v/>
      </c>
      <c r="S1444" s="9">
        <f>IF(Q1444="","",IF(MATCH(R1444,$R$5:$R$100000,0)=ROW()-4,ROW(),""))</f>
        <v/>
      </c>
      <c r="T1444" s="9">
        <f>IF(Q1444="당기",ABS(P1444)+ROW()/1000000000,"")</f>
        <v/>
      </c>
      <c r="U1444" s="9">
        <f>IF(Q1444="비교",ABS(P1444)+ROW()/1000000000,"")</f>
        <v/>
      </c>
      <c r="V1444" s="64">
        <f>IF($A1444="","",IF(COUNTIF(변동분석!$E$7:$E$506,O1444)&gt;0,"Y","N"))</f>
        <v/>
      </c>
      <c r="W1444" s="64">
        <f>IF($A1444="","",IFERROR(INDEX(계정매핑!$D$5:$D$504,MATCH($F1444&amp;"",계정매핑!$A$5:$A$504,0)),"미매핑"))</f>
        <v/>
      </c>
      <c r="X1444" s="9">
        <f>IF($A1444="","",$F1444&amp;"")</f>
        <v/>
      </c>
      <c r="Y1444" s="94">
        <f>IF($A1444="",0,IF(AE1444="직접",IF(AF1444="비귀속",$P1444,0),$P1444*(1-AG1444)*IFERROR(INDEX(계정대체기준!$F$20:$F$49,MATCH($N1444,계정대체기준!$A$20:$A$49,0)),1)))</f>
        <v/>
      </c>
      <c r="Z1444" s="94">
        <f>IF($A1444="",0,IF(AE1444="직접",IF(AF1444="신계약비",$P1444,0),$P1444*(1-AG1444)*IFERROR(INDEX(계정대체기준!$C$20:$C$49,MATCH($N1444,계정대체기준!$A$20:$A$49,0)),0)))</f>
        <v/>
      </c>
      <c r="AA1444" s="94">
        <f>IF($A1444="",0,IF(AE1444="직접",IF(OR(AF1444="유지비",AF1444="손해조사비"),$P1444,0),$P1444*(1-AG1444)*IFERROR(INDEX(계정대체기준!$D$20:$D$49,MATCH($N1444,계정대체기준!$A$20:$A$49,0)),0)))</f>
        <v/>
      </c>
      <c r="AB1444" s="94">
        <f>IF($A1444="",0,IF(AE1444="직접",IF(AF1444="수금비",$P1444,0),$P1444*(1-AG1444)*IFERROR(INDEX(계정대체기준!$E$20:$E$49,MATCH($N1444,계정대체기준!$A$20:$A$49,0)),0)))</f>
        <v/>
      </c>
      <c r="AC1444" s="9">
        <f>IF(AND($A1444&lt;&gt;"",M1444=설정!$C$20,Z1444&gt;0),Z1444+ROW()/1000000000,"")</f>
        <v/>
      </c>
      <c r="AD1444" s="94">
        <f>IF($A1444="",0,$P1444*AG1444)</f>
        <v/>
      </c>
      <c r="AE1444" s="64">
        <f>IF($A1444="","",IFERROR(INDEX(계정매핑!$E$5:$E$504,MATCH($F1444&amp;"",계정매핑!$A$5:$A$504,0))&amp;"","공통비"))</f>
        <v/>
      </c>
      <c r="AF1444" s="64">
        <f>IF($A1444="","",IF(AE1444="직접",IFERROR(INDEX(계정매핑!$F$5:$F$504,MATCH($F1444&amp;"",계정매핑!$A$5:$A$504,0))&amp;"","비귀속"),""))</f>
        <v/>
      </c>
      <c r="AG1444" s="96">
        <f>IF($A1444="",0,IF(AND(AE1444&lt;&gt;"직접",IFERROR(INDEX(계정매핑!$G$5:$G$504,MATCH($F1444&amp;"",계정매핑!$A$5:$A$504,0))&amp;"","")="유지비",COUNTIF(계정대체기준!$A$6:$A$15,$N1444)&gt;0),IFERROR(INDEX(계정대체기준!$E$6:$E$15,MATCH(VALUE($A1444&amp;""),계정대체기준!$D$6:$D$15,0)),0),0))</f>
        <v/>
      </c>
      <c r="AH1444" s="64">
        <f>IF($A1444="","",IF(AD1444=0,"",IF(OR(COUNTIF(계정대체기준!$A$77:$A$86,$N1444)&gt;0,ISNUMBER(MATCH($X1444,계정대체기준!$D$77:$D$86,0)),ISNUMBER(MATCH($F1444,계정대체기준!$D$77:$D$86,0))),"Y","N")))</f>
        <v/>
      </c>
    </row>
    <row r="1445">
      <c r="A1445" s="92" t="n">
        <v>2025</v>
      </c>
      <c r="B1445" s="92" t="n">
        <v>7</v>
      </c>
      <c r="C1445" s="92" t="inlineStr">
        <is>
          <t>5100001441</t>
        </is>
      </c>
      <c r="D1445" s="95" t="n">
        <v>45849</v>
      </c>
      <c r="E1445" s="92" t="inlineStr">
        <is>
          <t>KR</t>
        </is>
      </c>
      <c r="F1445" s="92" t="n">
        <v>62301000</v>
      </c>
      <c r="G1445" s="92" t="n">
        <v>1601</v>
      </c>
      <c r="H1445" s="93" t="n">
        <v>378000</v>
      </c>
      <c r="I1445" s="92" t="inlineStr">
        <is>
          <t>7월 소모품 구입 - Q오피스</t>
        </is>
      </c>
      <c r="J1445" s="92" t="inlineStr">
        <is>
          <t>V10003</t>
        </is>
      </c>
      <c r="K1445" s="92" t="inlineStr">
        <is>
          <t>Q오피스</t>
        </is>
      </c>
      <c r="M1445" s="9">
        <f>IF($A1445="","",VALUE($A1445&amp;"")*12+VALUE($B1445&amp;""))</f>
        <v/>
      </c>
      <c r="N1445" s="64">
        <f>IF($A1445="","",IFERROR(INDEX(부서매핑!$C$5:$C$504,MATCH($G1445&amp;"",부서매핑!$A$5:$A$504,0)),"미매핑"))</f>
        <v/>
      </c>
      <c r="O1445" s="9">
        <f>IF($A1445="","",N1445&amp;"|"&amp;$F1445)</f>
        <v/>
      </c>
      <c r="P1445" s="94">
        <f>IF($A1445="",0,$H1445*설정!$C$23)</f>
        <v/>
      </c>
      <c r="Q1445" s="64">
        <f>IF($A1445="","",IF(O1445&lt;&gt;원인분석!$C$9,"",IF(AND(M1445&gt;=원인분석!$C$10,M1445&lt;=원인분석!$C$11),"당기",IF(AND(M1445&gt;=원인분석!$C$12,M1445&lt;=원인분석!$C$13),"비교",""))))</f>
        <v/>
      </c>
      <c r="R1445" s="9">
        <f>IF(Q1445="","",$K1445&amp;"")</f>
        <v/>
      </c>
      <c r="S1445" s="9">
        <f>IF(Q1445="","",IF(MATCH(R1445,$R$5:$R$100000,0)=ROW()-4,ROW(),""))</f>
        <v/>
      </c>
      <c r="T1445" s="9">
        <f>IF(Q1445="당기",ABS(P1445)+ROW()/1000000000,"")</f>
        <v/>
      </c>
      <c r="U1445" s="9">
        <f>IF(Q1445="비교",ABS(P1445)+ROW()/1000000000,"")</f>
        <v/>
      </c>
      <c r="V1445" s="64">
        <f>IF($A1445="","",IF(COUNTIF(변동분석!$E$7:$E$506,O1445)&gt;0,"Y","N"))</f>
        <v/>
      </c>
      <c r="W1445" s="64">
        <f>IF($A1445="","",IFERROR(INDEX(계정매핑!$D$5:$D$504,MATCH($F1445&amp;"",계정매핑!$A$5:$A$504,0)),"미매핑"))</f>
        <v/>
      </c>
      <c r="X1445" s="9">
        <f>IF($A1445="","",$F1445&amp;"")</f>
        <v/>
      </c>
      <c r="Y1445" s="94">
        <f>IF($A1445="",0,IF(AE1445="직접",IF(AF1445="비귀속",$P1445,0),$P1445*(1-AG1445)*IFERROR(INDEX(계정대체기준!$F$20:$F$49,MATCH($N1445,계정대체기준!$A$20:$A$49,0)),1)))</f>
        <v/>
      </c>
      <c r="Z1445" s="94">
        <f>IF($A1445="",0,IF(AE1445="직접",IF(AF1445="신계약비",$P1445,0),$P1445*(1-AG1445)*IFERROR(INDEX(계정대체기준!$C$20:$C$49,MATCH($N1445,계정대체기준!$A$20:$A$49,0)),0)))</f>
        <v/>
      </c>
      <c r="AA1445" s="94">
        <f>IF($A1445="",0,IF(AE1445="직접",IF(OR(AF1445="유지비",AF1445="손해조사비"),$P1445,0),$P1445*(1-AG1445)*IFERROR(INDEX(계정대체기준!$D$20:$D$49,MATCH($N1445,계정대체기준!$A$20:$A$49,0)),0)))</f>
        <v/>
      </c>
      <c r="AB1445" s="94">
        <f>IF($A1445="",0,IF(AE1445="직접",IF(AF1445="수금비",$P1445,0),$P1445*(1-AG1445)*IFERROR(INDEX(계정대체기준!$E$20:$E$49,MATCH($N1445,계정대체기준!$A$20:$A$49,0)),0)))</f>
        <v/>
      </c>
      <c r="AC1445" s="9">
        <f>IF(AND($A1445&lt;&gt;"",M1445=설정!$C$20,Z1445&gt;0),Z1445+ROW()/1000000000,"")</f>
        <v/>
      </c>
      <c r="AD1445" s="94">
        <f>IF($A1445="",0,$P1445*AG1445)</f>
        <v/>
      </c>
      <c r="AE1445" s="64">
        <f>IF($A1445="","",IFERROR(INDEX(계정매핑!$E$5:$E$504,MATCH($F1445&amp;"",계정매핑!$A$5:$A$504,0))&amp;"","공통비"))</f>
        <v/>
      </c>
      <c r="AF1445" s="64">
        <f>IF($A1445="","",IF(AE1445="직접",IFERROR(INDEX(계정매핑!$F$5:$F$504,MATCH($F1445&amp;"",계정매핑!$A$5:$A$504,0))&amp;"","비귀속"),""))</f>
        <v/>
      </c>
      <c r="AG1445" s="96">
        <f>IF($A1445="",0,IF(AND(AE1445&lt;&gt;"직접",IFERROR(INDEX(계정매핑!$G$5:$G$504,MATCH($F1445&amp;"",계정매핑!$A$5:$A$504,0))&amp;"","")="유지비",COUNTIF(계정대체기준!$A$6:$A$15,$N1445)&gt;0),IFERROR(INDEX(계정대체기준!$E$6:$E$15,MATCH(VALUE($A1445&amp;""),계정대체기준!$D$6:$D$15,0)),0),0))</f>
        <v/>
      </c>
      <c r="AH1445" s="64">
        <f>IF($A1445="","",IF(AD1445=0,"",IF(OR(COUNTIF(계정대체기준!$A$77:$A$86,$N1445)&gt;0,ISNUMBER(MATCH($X1445,계정대체기준!$D$77:$D$86,0)),ISNUMBER(MATCH($F1445,계정대체기준!$D$77:$D$86,0))),"Y","N")))</f>
        <v/>
      </c>
    </row>
    <row r="1446">
      <c r="A1446" s="92" t="n">
        <v>2025</v>
      </c>
      <c r="B1446" s="92" t="n">
        <v>7</v>
      </c>
      <c r="C1446" s="92" t="inlineStr">
        <is>
          <t>5100001442</t>
        </is>
      </c>
      <c r="D1446" s="95" t="n">
        <v>45849</v>
      </c>
      <c r="E1446" s="92" t="inlineStr">
        <is>
          <t>KR</t>
        </is>
      </c>
      <c r="F1446" s="92" t="n">
        <v>62801000</v>
      </c>
      <c r="G1446" s="92" t="n">
        <v>1301</v>
      </c>
      <c r="H1446" s="93" t="n">
        <v>3005000</v>
      </c>
      <c r="I1446" s="92" t="inlineStr">
        <is>
          <t>7월 사내교육 - U에듀</t>
        </is>
      </c>
      <c r="J1446" s="92" t="inlineStr">
        <is>
          <t>V10031</t>
        </is>
      </c>
      <c r="K1446" s="92" t="inlineStr">
        <is>
          <t>U에듀</t>
        </is>
      </c>
      <c r="M1446" s="9">
        <f>IF($A1446="","",VALUE($A1446&amp;"")*12+VALUE($B1446&amp;""))</f>
        <v/>
      </c>
      <c r="N1446" s="64">
        <f>IF($A1446="","",IFERROR(INDEX(부서매핑!$C$5:$C$504,MATCH($G1446&amp;"",부서매핑!$A$5:$A$504,0)),"미매핑"))</f>
        <v/>
      </c>
      <c r="O1446" s="9">
        <f>IF($A1446="","",N1446&amp;"|"&amp;$F1446)</f>
        <v/>
      </c>
      <c r="P1446" s="94">
        <f>IF($A1446="",0,$H1446*설정!$C$23)</f>
        <v/>
      </c>
      <c r="Q1446" s="64">
        <f>IF($A1446="","",IF(O1446&lt;&gt;원인분석!$C$9,"",IF(AND(M1446&gt;=원인분석!$C$10,M1446&lt;=원인분석!$C$11),"당기",IF(AND(M1446&gt;=원인분석!$C$12,M1446&lt;=원인분석!$C$13),"비교",""))))</f>
        <v/>
      </c>
      <c r="R1446" s="9">
        <f>IF(Q1446="","",$K1446&amp;"")</f>
        <v/>
      </c>
      <c r="S1446" s="9">
        <f>IF(Q1446="","",IF(MATCH(R1446,$R$5:$R$100000,0)=ROW()-4,ROW(),""))</f>
        <v/>
      </c>
      <c r="T1446" s="9">
        <f>IF(Q1446="당기",ABS(P1446)+ROW()/1000000000,"")</f>
        <v/>
      </c>
      <c r="U1446" s="9">
        <f>IF(Q1446="비교",ABS(P1446)+ROW()/1000000000,"")</f>
        <v/>
      </c>
      <c r="V1446" s="64">
        <f>IF($A1446="","",IF(COUNTIF(변동분석!$E$7:$E$506,O1446)&gt;0,"Y","N"))</f>
        <v/>
      </c>
      <c r="W1446" s="64">
        <f>IF($A1446="","",IFERROR(INDEX(계정매핑!$D$5:$D$504,MATCH($F1446&amp;"",계정매핑!$A$5:$A$504,0)),"미매핑"))</f>
        <v/>
      </c>
      <c r="X1446" s="9">
        <f>IF($A1446="","",$F1446&amp;"")</f>
        <v/>
      </c>
      <c r="Y1446" s="94">
        <f>IF($A1446="",0,IF(AE1446="직접",IF(AF1446="비귀속",$P1446,0),$P1446*(1-AG1446)*IFERROR(INDEX(계정대체기준!$F$20:$F$49,MATCH($N1446,계정대체기준!$A$20:$A$49,0)),1)))</f>
        <v/>
      </c>
      <c r="Z1446" s="94">
        <f>IF($A1446="",0,IF(AE1446="직접",IF(AF1446="신계약비",$P1446,0),$P1446*(1-AG1446)*IFERROR(INDEX(계정대체기준!$C$20:$C$49,MATCH($N1446,계정대체기준!$A$20:$A$49,0)),0)))</f>
        <v/>
      </c>
      <c r="AA1446" s="94">
        <f>IF($A1446="",0,IF(AE1446="직접",IF(OR(AF1446="유지비",AF1446="손해조사비"),$P1446,0),$P1446*(1-AG1446)*IFERROR(INDEX(계정대체기준!$D$20:$D$49,MATCH($N1446,계정대체기준!$A$20:$A$49,0)),0)))</f>
        <v/>
      </c>
      <c r="AB1446" s="94">
        <f>IF($A1446="",0,IF(AE1446="직접",IF(AF1446="수금비",$P1446,0),$P1446*(1-AG1446)*IFERROR(INDEX(계정대체기준!$E$20:$E$49,MATCH($N1446,계정대체기준!$A$20:$A$49,0)),0)))</f>
        <v/>
      </c>
      <c r="AC1446" s="9">
        <f>IF(AND($A1446&lt;&gt;"",M1446=설정!$C$20,Z1446&gt;0),Z1446+ROW()/1000000000,"")</f>
        <v/>
      </c>
      <c r="AD1446" s="94">
        <f>IF($A1446="",0,$P1446*AG1446)</f>
        <v/>
      </c>
      <c r="AE1446" s="64">
        <f>IF($A1446="","",IFERROR(INDEX(계정매핑!$E$5:$E$504,MATCH($F1446&amp;"",계정매핑!$A$5:$A$504,0))&amp;"","공통비"))</f>
        <v/>
      </c>
      <c r="AF1446" s="64">
        <f>IF($A1446="","",IF(AE1446="직접",IFERROR(INDEX(계정매핑!$F$5:$F$504,MATCH($F1446&amp;"",계정매핑!$A$5:$A$504,0))&amp;"","비귀속"),""))</f>
        <v/>
      </c>
      <c r="AG1446" s="96">
        <f>IF($A1446="",0,IF(AND(AE1446&lt;&gt;"직접",IFERROR(INDEX(계정매핑!$G$5:$G$504,MATCH($F1446&amp;"",계정매핑!$A$5:$A$504,0))&amp;"","")="유지비",COUNTIF(계정대체기준!$A$6:$A$15,$N1446)&gt;0),IFERROR(INDEX(계정대체기준!$E$6:$E$15,MATCH(VALUE($A1446&amp;""),계정대체기준!$D$6:$D$15,0)),0),0))</f>
        <v/>
      </c>
      <c r="AH1446" s="64">
        <f>IF($A1446="","",IF(AD1446=0,"",IF(OR(COUNTIF(계정대체기준!$A$77:$A$86,$N1446)&gt;0,ISNUMBER(MATCH($X1446,계정대체기준!$D$77:$D$86,0)),ISNUMBER(MATCH($F1446,계정대체기준!$D$77:$D$86,0))),"Y","N")))</f>
        <v/>
      </c>
    </row>
    <row r="1447">
      <c r="A1447" s="92" t="n">
        <v>2025</v>
      </c>
      <c r="B1447" s="92" t="n">
        <v>7</v>
      </c>
      <c r="C1447" s="92" t="inlineStr">
        <is>
          <t>5100001443</t>
        </is>
      </c>
      <c r="D1447" s="95" t="n">
        <v>45849</v>
      </c>
      <c r="E1447" s="92" t="inlineStr">
        <is>
          <t>KR</t>
        </is>
      </c>
      <c r="F1447" s="92" t="n">
        <v>62801000</v>
      </c>
      <c r="G1447" s="92" t="n">
        <v>1301</v>
      </c>
      <c r="H1447" s="93" t="n">
        <v>4249000</v>
      </c>
      <c r="I1447" s="92" t="inlineStr">
        <is>
          <t>7월 사내교육 - (사내강사료)</t>
        </is>
      </c>
      <c r="J1447" s="92" t="inlineStr">
        <is>
          <t>V10024</t>
        </is>
      </c>
      <c r="K1447" s="92" t="inlineStr">
        <is>
          <t>(사내강사료)</t>
        </is>
      </c>
      <c r="M1447" s="9">
        <f>IF($A1447="","",VALUE($A1447&amp;"")*12+VALUE($B1447&amp;""))</f>
        <v/>
      </c>
      <c r="N1447" s="64">
        <f>IF($A1447="","",IFERROR(INDEX(부서매핑!$C$5:$C$504,MATCH($G1447&amp;"",부서매핑!$A$5:$A$504,0)),"미매핑"))</f>
        <v/>
      </c>
      <c r="O1447" s="9">
        <f>IF($A1447="","",N1447&amp;"|"&amp;$F1447)</f>
        <v/>
      </c>
      <c r="P1447" s="94">
        <f>IF($A1447="",0,$H1447*설정!$C$23)</f>
        <v/>
      </c>
      <c r="Q1447" s="64">
        <f>IF($A1447="","",IF(O1447&lt;&gt;원인분석!$C$9,"",IF(AND(M1447&gt;=원인분석!$C$10,M1447&lt;=원인분석!$C$11),"당기",IF(AND(M1447&gt;=원인분석!$C$12,M1447&lt;=원인분석!$C$13),"비교",""))))</f>
        <v/>
      </c>
      <c r="R1447" s="9">
        <f>IF(Q1447="","",$K1447&amp;"")</f>
        <v/>
      </c>
      <c r="S1447" s="9">
        <f>IF(Q1447="","",IF(MATCH(R1447,$R$5:$R$100000,0)=ROW()-4,ROW(),""))</f>
        <v/>
      </c>
      <c r="T1447" s="9">
        <f>IF(Q1447="당기",ABS(P1447)+ROW()/1000000000,"")</f>
        <v/>
      </c>
      <c r="U1447" s="9">
        <f>IF(Q1447="비교",ABS(P1447)+ROW()/1000000000,"")</f>
        <v/>
      </c>
      <c r="V1447" s="64">
        <f>IF($A1447="","",IF(COUNTIF(변동분석!$E$7:$E$506,O1447)&gt;0,"Y","N"))</f>
        <v/>
      </c>
      <c r="W1447" s="64">
        <f>IF($A1447="","",IFERROR(INDEX(계정매핑!$D$5:$D$504,MATCH($F1447&amp;"",계정매핑!$A$5:$A$504,0)),"미매핑"))</f>
        <v/>
      </c>
      <c r="X1447" s="9">
        <f>IF($A1447="","",$F1447&amp;"")</f>
        <v/>
      </c>
      <c r="Y1447" s="94">
        <f>IF($A1447="",0,IF(AE1447="직접",IF(AF1447="비귀속",$P1447,0),$P1447*(1-AG1447)*IFERROR(INDEX(계정대체기준!$F$20:$F$49,MATCH($N1447,계정대체기준!$A$20:$A$49,0)),1)))</f>
        <v/>
      </c>
      <c r="Z1447" s="94">
        <f>IF($A1447="",0,IF(AE1447="직접",IF(AF1447="신계약비",$P1447,0),$P1447*(1-AG1447)*IFERROR(INDEX(계정대체기준!$C$20:$C$49,MATCH($N1447,계정대체기준!$A$20:$A$49,0)),0)))</f>
        <v/>
      </c>
      <c r="AA1447" s="94">
        <f>IF($A1447="",0,IF(AE1447="직접",IF(OR(AF1447="유지비",AF1447="손해조사비"),$P1447,0),$P1447*(1-AG1447)*IFERROR(INDEX(계정대체기준!$D$20:$D$49,MATCH($N1447,계정대체기준!$A$20:$A$49,0)),0)))</f>
        <v/>
      </c>
      <c r="AB1447" s="94">
        <f>IF($A1447="",0,IF(AE1447="직접",IF(AF1447="수금비",$P1447,0),$P1447*(1-AG1447)*IFERROR(INDEX(계정대체기준!$E$20:$E$49,MATCH($N1447,계정대체기준!$A$20:$A$49,0)),0)))</f>
        <v/>
      </c>
      <c r="AC1447" s="9">
        <f>IF(AND($A1447&lt;&gt;"",M1447=설정!$C$20,Z1447&gt;0),Z1447+ROW()/1000000000,"")</f>
        <v/>
      </c>
      <c r="AD1447" s="94">
        <f>IF($A1447="",0,$P1447*AG1447)</f>
        <v/>
      </c>
      <c r="AE1447" s="64">
        <f>IF($A1447="","",IFERROR(INDEX(계정매핑!$E$5:$E$504,MATCH($F1447&amp;"",계정매핑!$A$5:$A$504,0))&amp;"","공통비"))</f>
        <v/>
      </c>
      <c r="AF1447" s="64">
        <f>IF($A1447="","",IF(AE1447="직접",IFERROR(INDEX(계정매핑!$F$5:$F$504,MATCH($F1447&amp;"",계정매핑!$A$5:$A$504,0))&amp;"","비귀속"),""))</f>
        <v/>
      </c>
      <c r="AG1447" s="96">
        <f>IF($A1447="",0,IF(AND(AE1447&lt;&gt;"직접",IFERROR(INDEX(계정매핑!$G$5:$G$504,MATCH($F1447&amp;"",계정매핑!$A$5:$A$504,0))&amp;"","")="유지비",COUNTIF(계정대체기준!$A$6:$A$15,$N1447)&gt;0),IFERROR(INDEX(계정대체기준!$E$6:$E$15,MATCH(VALUE($A1447&amp;""),계정대체기준!$D$6:$D$15,0)),0),0))</f>
        <v/>
      </c>
      <c r="AH1447" s="64">
        <f>IF($A1447="","",IF(AD1447=0,"",IF(OR(COUNTIF(계정대체기준!$A$77:$A$86,$N1447)&gt;0,ISNUMBER(MATCH($X1447,계정대체기준!$D$77:$D$86,0)),ISNUMBER(MATCH($F1447,계정대체기준!$D$77:$D$86,0))),"Y","N")))</f>
        <v/>
      </c>
    </row>
    <row r="1448">
      <c r="A1448" s="92" t="n">
        <v>2025</v>
      </c>
      <c r="B1448" s="92" t="n">
        <v>7</v>
      </c>
      <c r="C1448" s="92" t="inlineStr">
        <is>
          <t>5100001444</t>
        </is>
      </c>
      <c r="D1448" s="95" t="n">
        <v>45849</v>
      </c>
      <c r="E1448" s="92" t="inlineStr">
        <is>
          <t>KR</t>
        </is>
      </c>
      <c r="F1448" s="92" t="n">
        <v>62901000</v>
      </c>
      <c r="G1448" s="92" t="n">
        <v>1201</v>
      </c>
      <c r="H1448" s="93" t="n">
        <v>3002000</v>
      </c>
      <c r="I1448" s="92" t="inlineStr">
        <is>
          <t>7월 자문 수수료 - K회계법인</t>
        </is>
      </c>
      <c r="J1448" s="92" t="inlineStr">
        <is>
          <t>V10011</t>
        </is>
      </c>
      <c r="K1448" s="92" t="inlineStr">
        <is>
          <t>K회계법인</t>
        </is>
      </c>
      <c r="M1448" s="9">
        <f>IF($A1448="","",VALUE($A1448&amp;"")*12+VALUE($B1448&amp;""))</f>
        <v/>
      </c>
      <c r="N1448" s="64">
        <f>IF($A1448="","",IFERROR(INDEX(부서매핑!$C$5:$C$504,MATCH($G1448&amp;"",부서매핑!$A$5:$A$504,0)),"미매핑"))</f>
        <v/>
      </c>
      <c r="O1448" s="9">
        <f>IF($A1448="","",N1448&amp;"|"&amp;$F1448)</f>
        <v/>
      </c>
      <c r="P1448" s="94">
        <f>IF($A1448="",0,$H1448*설정!$C$23)</f>
        <v/>
      </c>
      <c r="Q1448" s="64">
        <f>IF($A1448="","",IF(O1448&lt;&gt;원인분석!$C$9,"",IF(AND(M1448&gt;=원인분석!$C$10,M1448&lt;=원인분석!$C$11),"당기",IF(AND(M1448&gt;=원인분석!$C$12,M1448&lt;=원인분석!$C$13),"비교",""))))</f>
        <v/>
      </c>
      <c r="R1448" s="9">
        <f>IF(Q1448="","",$K1448&amp;"")</f>
        <v/>
      </c>
      <c r="S1448" s="9">
        <f>IF(Q1448="","",IF(MATCH(R1448,$R$5:$R$100000,0)=ROW()-4,ROW(),""))</f>
        <v/>
      </c>
      <c r="T1448" s="9">
        <f>IF(Q1448="당기",ABS(P1448)+ROW()/1000000000,"")</f>
        <v/>
      </c>
      <c r="U1448" s="9">
        <f>IF(Q1448="비교",ABS(P1448)+ROW()/1000000000,"")</f>
        <v/>
      </c>
      <c r="V1448" s="64">
        <f>IF($A1448="","",IF(COUNTIF(변동분석!$E$7:$E$506,O1448)&gt;0,"Y","N"))</f>
        <v/>
      </c>
      <c r="W1448" s="64">
        <f>IF($A1448="","",IFERROR(INDEX(계정매핑!$D$5:$D$504,MATCH($F1448&amp;"",계정매핑!$A$5:$A$504,0)),"미매핑"))</f>
        <v/>
      </c>
      <c r="X1448" s="9">
        <f>IF($A1448="","",$F1448&amp;"")</f>
        <v/>
      </c>
      <c r="Y1448" s="94">
        <f>IF($A1448="",0,IF(AE1448="직접",IF(AF1448="비귀속",$P1448,0),$P1448*(1-AG1448)*IFERROR(INDEX(계정대체기준!$F$20:$F$49,MATCH($N1448,계정대체기준!$A$20:$A$49,0)),1)))</f>
        <v/>
      </c>
      <c r="Z1448" s="94">
        <f>IF($A1448="",0,IF(AE1448="직접",IF(AF1448="신계약비",$P1448,0),$P1448*(1-AG1448)*IFERROR(INDEX(계정대체기준!$C$20:$C$49,MATCH($N1448,계정대체기준!$A$20:$A$49,0)),0)))</f>
        <v/>
      </c>
      <c r="AA1448" s="94">
        <f>IF($A1448="",0,IF(AE1448="직접",IF(OR(AF1448="유지비",AF1448="손해조사비"),$P1448,0),$P1448*(1-AG1448)*IFERROR(INDEX(계정대체기준!$D$20:$D$49,MATCH($N1448,계정대체기준!$A$20:$A$49,0)),0)))</f>
        <v/>
      </c>
      <c r="AB1448" s="94">
        <f>IF($A1448="",0,IF(AE1448="직접",IF(AF1448="수금비",$P1448,0),$P1448*(1-AG1448)*IFERROR(INDEX(계정대체기준!$E$20:$E$49,MATCH($N1448,계정대체기준!$A$20:$A$49,0)),0)))</f>
        <v/>
      </c>
      <c r="AC1448" s="9">
        <f>IF(AND($A1448&lt;&gt;"",M1448=설정!$C$20,Z1448&gt;0),Z1448+ROW()/1000000000,"")</f>
        <v/>
      </c>
      <c r="AD1448" s="94">
        <f>IF($A1448="",0,$P1448*AG1448)</f>
        <v/>
      </c>
      <c r="AE1448" s="64">
        <f>IF($A1448="","",IFERROR(INDEX(계정매핑!$E$5:$E$504,MATCH($F1448&amp;"",계정매핑!$A$5:$A$504,0))&amp;"","공통비"))</f>
        <v/>
      </c>
      <c r="AF1448" s="64">
        <f>IF($A1448="","",IF(AE1448="직접",IFERROR(INDEX(계정매핑!$F$5:$F$504,MATCH($F1448&amp;"",계정매핑!$A$5:$A$504,0))&amp;"","비귀속"),""))</f>
        <v/>
      </c>
      <c r="AG1448" s="96">
        <f>IF($A1448="",0,IF(AND(AE1448&lt;&gt;"직접",IFERROR(INDEX(계정매핑!$G$5:$G$504,MATCH($F1448&amp;"",계정매핑!$A$5:$A$504,0))&amp;"","")="유지비",COUNTIF(계정대체기준!$A$6:$A$15,$N1448)&gt;0),IFERROR(INDEX(계정대체기준!$E$6:$E$15,MATCH(VALUE($A1448&amp;""),계정대체기준!$D$6:$D$15,0)),0),0))</f>
        <v/>
      </c>
      <c r="AH1448" s="64">
        <f>IF($A1448="","",IF(AD1448=0,"",IF(OR(COUNTIF(계정대체기준!$A$77:$A$86,$N1448)&gt;0,ISNUMBER(MATCH($X1448,계정대체기준!$D$77:$D$86,0)),ISNUMBER(MATCH($F1448,계정대체기준!$D$77:$D$86,0))),"Y","N")))</f>
        <v/>
      </c>
    </row>
    <row r="1449">
      <c r="A1449" s="92" t="n">
        <v>2025</v>
      </c>
      <c r="B1449" s="92" t="n">
        <v>7</v>
      </c>
      <c r="C1449" s="92" t="inlineStr">
        <is>
          <t>5100001445</t>
        </is>
      </c>
      <c r="D1449" s="95" t="n">
        <v>45849</v>
      </c>
      <c r="E1449" s="92" t="inlineStr">
        <is>
          <t>KR</t>
        </is>
      </c>
      <c r="F1449" s="92" t="n">
        <v>62901000</v>
      </c>
      <c r="G1449" s="92" t="n">
        <v>1801</v>
      </c>
      <c r="H1449" s="93" t="n">
        <v>12923000</v>
      </c>
      <c r="I1449" s="92" t="inlineStr">
        <is>
          <t>7월 자문 수수료 - W컨설팅</t>
        </is>
      </c>
      <c r="J1449" s="92" t="inlineStr">
        <is>
          <t>V10006</t>
        </is>
      </c>
      <c r="K1449" s="92" t="inlineStr">
        <is>
          <t>W컨설팅</t>
        </is>
      </c>
      <c r="M1449" s="9">
        <f>IF($A1449="","",VALUE($A1449&amp;"")*12+VALUE($B1449&amp;""))</f>
        <v/>
      </c>
      <c r="N1449" s="64">
        <f>IF($A1449="","",IFERROR(INDEX(부서매핑!$C$5:$C$504,MATCH($G1449&amp;"",부서매핑!$A$5:$A$504,0)),"미매핑"))</f>
        <v/>
      </c>
      <c r="O1449" s="9">
        <f>IF($A1449="","",N1449&amp;"|"&amp;$F1449)</f>
        <v/>
      </c>
      <c r="P1449" s="94">
        <f>IF($A1449="",0,$H1449*설정!$C$23)</f>
        <v/>
      </c>
      <c r="Q1449" s="64">
        <f>IF($A1449="","",IF(O1449&lt;&gt;원인분석!$C$9,"",IF(AND(M1449&gt;=원인분석!$C$10,M1449&lt;=원인분석!$C$11),"당기",IF(AND(M1449&gt;=원인분석!$C$12,M1449&lt;=원인분석!$C$13),"비교",""))))</f>
        <v/>
      </c>
      <c r="R1449" s="9">
        <f>IF(Q1449="","",$K1449&amp;"")</f>
        <v/>
      </c>
      <c r="S1449" s="9">
        <f>IF(Q1449="","",IF(MATCH(R1449,$R$5:$R$100000,0)=ROW()-4,ROW(),""))</f>
        <v/>
      </c>
      <c r="T1449" s="9">
        <f>IF(Q1449="당기",ABS(P1449)+ROW()/1000000000,"")</f>
        <v/>
      </c>
      <c r="U1449" s="9">
        <f>IF(Q1449="비교",ABS(P1449)+ROW()/1000000000,"")</f>
        <v/>
      </c>
      <c r="V1449" s="64">
        <f>IF($A1449="","",IF(COUNTIF(변동분석!$E$7:$E$506,O1449)&gt;0,"Y","N"))</f>
        <v/>
      </c>
      <c r="W1449" s="64">
        <f>IF($A1449="","",IFERROR(INDEX(계정매핑!$D$5:$D$504,MATCH($F1449&amp;"",계정매핑!$A$5:$A$504,0)),"미매핑"))</f>
        <v/>
      </c>
      <c r="X1449" s="9">
        <f>IF($A1449="","",$F1449&amp;"")</f>
        <v/>
      </c>
      <c r="Y1449" s="94">
        <f>IF($A1449="",0,IF(AE1449="직접",IF(AF1449="비귀속",$P1449,0),$P1449*(1-AG1449)*IFERROR(INDEX(계정대체기준!$F$20:$F$49,MATCH($N1449,계정대체기준!$A$20:$A$49,0)),1)))</f>
        <v/>
      </c>
      <c r="Z1449" s="94">
        <f>IF($A1449="",0,IF(AE1449="직접",IF(AF1449="신계약비",$P1449,0),$P1449*(1-AG1449)*IFERROR(INDEX(계정대체기준!$C$20:$C$49,MATCH($N1449,계정대체기준!$A$20:$A$49,0)),0)))</f>
        <v/>
      </c>
      <c r="AA1449" s="94">
        <f>IF($A1449="",0,IF(AE1449="직접",IF(OR(AF1449="유지비",AF1449="손해조사비"),$P1449,0),$P1449*(1-AG1449)*IFERROR(INDEX(계정대체기준!$D$20:$D$49,MATCH($N1449,계정대체기준!$A$20:$A$49,0)),0)))</f>
        <v/>
      </c>
      <c r="AB1449" s="94">
        <f>IF($A1449="",0,IF(AE1449="직접",IF(AF1449="수금비",$P1449,0),$P1449*(1-AG1449)*IFERROR(INDEX(계정대체기준!$E$20:$E$49,MATCH($N1449,계정대체기준!$A$20:$A$49,0)),0)))</f>
        <v/>
      </c>
      <c r="AC1449" s="9">
        <f>IF(AND($A1449&lt;&gt;"",M1449=설정!$C$20,Z1449&gt;0),Z1449+ROW()/1000000000,"")</f>
        <v/>
      </c>
      <c r="AD1449" s="94">
        <f>IF($A1449="",0,$P1449*AG1449)</f>
        <v/>
      </c>
      <c r="AE1449" s="64">
        <f>IF($A1449="","",IFERROR(INDEX(계정매핑!$E$5:$E$504,MATCH($F1449&amp;"",계정매핑!$A$5:$A$504,0))&amp;"","공통비"))</f>
        <v/>
      </c>
      <c r="AF1449" s="64">
        <f>IF($A1449="","",IF(AE1449="직접",IFERROR(INDEX(계정매핑!$F$5:$F$504,MATCH($F1449&amp;"",계정매핑!$A$5:$A$504,0))&amp;"","비귀속"),""))</f>
        <v/>
      </c>
      <c r="AG1449" s="96">
        <f>IF($A1449="",0,IF(AND(AE1449&lt;&gt;"직접",IFERROR(INDEX(계정매핑!$G$5:$G$504,MATCH($F1449&amp;"",계정매핑!$A$5:$A$504,0))&amp;"","")="유지비",COUNTIF(계정대체기준!$A$6:$A$15,$N1449)&gt;0),IFERROR(INDEX(계정대체기준!$E$6:$E$15,MATCH(VALUE($A1449&amp;""),계정대체기준!$D$6:$D$15,0)),0),0))</f>
        <v/>
      </c>
      <c r="AH1449" s="64">
        <f>IF($A1449="","",IF(AD1449=0,"",IF(OR(COUNTIF(계정대체기준!$A$77:$A$86,$N1449)&gt;0,ISNUMBER(MATCH($X1449,계정대체기준!$D$77:$D$86,0)),ISNUMBER(MATCH($F1449,계정대체기준!$D$77:$D$86,0))),"Y","N")))</f>
        <v/>
      </c>
    </row>
    <row r="1450">
      <c r="A1450" s="92" t="n">
        <v>2025</v>
      </c>
      <c r="B1450" s="92" t="n">
        <v>7</v>
      </c>
      <c r="C1450" s="92" t="inlineStr">
        <is>
          <t>5100001446</t>
        </is>
      </c>
      <c r="D1450" s="95" t="n">
        <v>45849</v>
      </c>
      <c r="E1450" s="92" t="inlineStr">
        <is>
          <t>KR</t>
        </is>
      </c>
      <c r="F1450" s="92" t="n">
        <v>62902000</v>
      </c>
      <c r="G1450" s="92" t="n">
        <v>1101</v>
      </c>
      <c r="H1450" s="93" t="n">
        <v>2762000</v>
      </c>
      <c r="I1450" s="92" t="inlineStr">
        <is>
          <t>7월 업무 위탁 수수료 - J콜센터</t>
        </is>
      </c>
      <c r="J1450" s="92" t="inlineStr">
        <is>
          <t>V10016</t>
        </is>
      </c>
      <c r="K1450" s="92" t="inlineStr">
        <is>
          <t>J콜센터</t>
        </is>
      </c>
      <c r="M1450" s="9">
        <f>IF($A1450="","",VALUE($A1450&amp;"")*12+VALUE($B1450&amp;""))</f>
        <v/>
      </c>
      <c r="N1450" s="64">
        <f>IF($A1450="","",IFERROR(INDEX(부서매핑!$C$5:$C$504,MATCH($G1450&amp;"",부서매핑!$A$5:$A$504,0)),"미매핑"))</f>
        <v/>
      </c>
      <c r="O1450" s="9">
        <f>IF($A1450="","",N1450&amp;"|"&amp;$F1450)</f>
        <v/>
      </c>
      <c r="P1450" s="94">
        <f>IF($A1450="",0,$H1450*설정!$C$23)</f>
        <v/>
      </c>
      <c r="Q1450" s="64">
        <f>IF($A1450="","",IF(O1450&lt;&gt;원인분석!$C$9,"",IF(AND(M1450&gt;=원인분석!$C$10,M1450&lt;=원인분석!$C$11),"당기",IF(AND(M1450&gt;=원인분석!$C$12,M1450&lt;=원인분석!$C$13),"비교",""))))</f>
        <v/>
      </c>
      <c r="R1450" s="9">
        <f>IF(Q1450="","",$K1450&amp;"")</f>
        <v/>
      </c>
      <c r="S1450" s="9">
        <f>IF(Q1450="","",IF(MATCH(R1450,$R$5:$R$100000,0)=ROW()-4,ROW(),""))</f>
        <v/>
      </c>
      <c r="T1450" s="9">
        <f>IF(Q1450="당기",ABS(P1450)+ROW()/1000000000,"")</f>
        <v/>
      </c>
      <c r="U1450" s="9">
        <f>IF(Q1450="비교",ABS(P1450)+ROW()/1000000000,"")</f>
        <v/>
      </c>
      <c r="V1450" s="64">
        <f>IF($A1450="","",IF(COUNTIF(변동분석!$E$7:$E$506,O1450)&gt;0,"Y","N"))</f>
        <v/>
      </c>
      <c r="W1450" s="64">
        <f>IF($A1450="","",IFERROR(INDEX(계정매핑!$D$5:$D$504,MATCH($F1450&amp;"",계정매핑!$A$5:$A$504,0)),"미매핑"))</f>
        <v/>
      </c>
      <c r="X1450" s="9">
        <f>IF($A1450="","",$F1450&amp;"")</f>
        <v/>
      </c>
      <c r="Y1450" s="94">
        <f>IF($A1450="",0,IF(AE1450="직접",IF(AF1450="비귀속",$P1450,0),$P1450*(1-AG1450)*IFERROR(INDEX(계정대체기준!$F$20:$F$49,MATCH($N1450,계정대체기준!$A$20:$A$49,0)),1)))</f>
        <v/>
      </c>
      <c r="Z1450" s="94">
        <f>IF($A1450="",0,IF(AE1450="직접",IF(AF1450="신계약비",$P1450,0),$P1450*(1-AG1450)*IFERROR(INDEX(계정대체기준!$C$20:$C$49,MATCH($N1450,계정대체기준!$A$20:$A$49,0)),0)))</f>
        <v/>
      </c>
      <c r="AA1450" s="94">
        <f>IF($A1450="",0,IF(AE1450="직접",IF(OR(AF1450="유지비",AF1450="손해조사비"),$P1450,0),$P1450*(1-AG1450)*IFERROR(INDEX(계정대체기준!$D$20:$D$49,MATCH($N1450,계정대체기준!$A$20:$A$49,0)),0)))</f>
        <v/>
      </c>
      <c r="AB1450" s="94">
        <f>IF($A1450="",0,IF(AE1450="직접",IF(AF1450="수금비",$P1450,0),$P1450*(1-AG1450)*IFERROR(INDEX(계정대체기준!$E$20:$E$49,MATCH($N1450,계정대체기준!$A$20:$A$49,0)),0)))</f>
        <v/>
      </c>
      <c r="AC1450" s="9">
        <f>IF(AND($A1450&lt;&gt;"",M1450=설정!$C$20,Z1450&gt;0),Z1450+ROW()/1000000000,"")</f>
        <v/>
      </c>
      <c r="AD1450" s="94">
        <f>IF($A1450="",0,$P1450*AG1450)</f>
        <v/>
      </c>
      <c r="AE1450" s="64">
        <f>IF($A1450="","",IFERROR(INDEX(계정매핑!$E$5:$E$504,MATCH($F1450&amp;"",계정매핑!$A$5:$A$504,0))&amp;"","공통비"))</f>
        <v/>
      </c>
      <c r="AF1450" s="64">
        <f>IF($A1450="","",IF(AE1450="직접",IFERROR(INDEX(계정매핑!$F$5:$F$504,MATCH($F1450&amp;"",계정매핑!$A$5:$A$504,0))&amp;"","비귀속"),""))</f>
        <v/>
      </c>
      <c r="AG1450" s="96">
        <f>IF($A1450="",0,IF(AND(AE1450&lt;&gt;"직접",IFERROR(INDEX(계정매핑!$G$5:$G$504,MATCH($F1450&amp;"",계정매핑!$A$5:$A$504,0))&amp;"","")="유지비",COUNTIF(계정대체기준!$A$6:$A$15,$N1450)&gt;0),IFERROR(INDEX(계정대체기준!$E$6:$E$15,MATCH(VALUE($A1450&amp;""),계정대체기준!$D$6:$D$15,0)),0),0))</f>
        <v/>
      </c>
      <c r="AH1450" s="64">
        <f>IF($A1450="","",IF(AD1450=0,"",IF(OR(COUNTIF(계정대체기준!$A$77:$A$86,$N1450)&gt;0,ISNUMBER(MATCH($X1450,계정대체기준!$D$77:$D$86,0)),ISNUMBER(MATCH($F1450,계정대체기준!$D$77:$D$86,0))),"Y","N")))</f>
        <v/>
      </c>
    </row>
    <row r="1451">
      <c r="A1451" s="92" t="n">
        <v>2025</v>
      </c>
      <c r="B1451" s="92" t="n">
        <v>7</v>
      </c>
      <c r="C1451" s="92" t="inlineStr">
        <is>
          <t>5100001447</t>
        </is>
      </c>
      <c r="D1451" s="95" t="n">
        <v>45849</v>
      </c>
      <c r="E1451" s="92" t="inlineStr">
        <is>
          <t>KR</t>
        </is>
      </c>
      <c r="F1451" s="92" t="n">
        <v>62902000</v>
      </c>
      <c r="G1451" s="92" t="n">
        <v>1801</v>
      </c>
      <c r="H1451" s="93" t="n">
        <v>1798000</v>
      </c>
      <c r="I1451" s="92" t="inlineStr">
        <is>
          <t>7월 콜 위탁 수수료(건별)</t>
        </is>
      </c>
      <c r="J1451" s="92" t="inlineStr">
        <is>
          <t>V10016</t>
        </is>
      </c>
      <c r="K1451" s="92" t="inlineStr">
        <is>
          <t>J콜센터</t>
        </is>
      </c>
      <c r="M1451" s="9">
        <f>IF($A1451="","",VALUE($A1451&amp;"")*12+VALUE($B1451&amp;""))</f>
        <v/>
      </c>
      <c r="N1451" s="64">
        <f>IF($A1451="","",IFERROR(INDEX(부서매핑!$C$5:$C$504,MATCH($G1451&amp;"",부서매핑!$A$5:$A$504,0)),"미매핑"))</f>
        <v/>
      </c>
      <c r="O1451" s="9">
        <f>IF($A1451="","",N1451&amp;"|"&amp;$F1451)</f>
        <v/>
      </c>
      <c r="P1451" s="94">
        <f>IF($A1451="",0,$H1451*설정!$C$23)</f>
        <v/>
      </c>
      <c r="Q1451" s="64">
        <f>IF($A1451="","",IF(O1451&lt;&gt;원인분석!$C$9,"",IF(AND(M1451&gt;=원인분석!$C$10,M1451&lt;=원인분석!$C$11),"당기",IF(AND(M1451&gt;=원인분석!$C$12,M1451&lt;=원인분석!$C$13),"비교",""))))</f>
        <v/>
      </c>
      <c r="R1451" s="9">
        <f>IF(Q1451="","",$K1451&amp;"")</f>
        <v/>
      </c>
      <c r="S1451" s="9">
        <f>IF(Q1451="","",IF(MATCH(R1451,$R$5:$R$100000,0)=ROW()-4,ROW(),""))</f>
        <v/>
      </c>
      <c r="T1451" s="9">
        <f>IF(Q1451="당기",ABS(P1451)+ROW()/1000000000,"")</f>
        <v/>
      </c>
      <c r="U1451" s="9">
        <f>IF(Q1451="비교",ABS(P1451)+ROW()/1000000000,"")</f>
        <v/>
      </c>
      <c r="V1451" s="64">
        <f>IF($A1451="","",IF(COUNTIF(변동분석!$E$7:$E$506,O1451)&gt;0,"Y","N"))</f>
        <v/>
      </c>
      <c r="W1451" s="64">
        <f>IF($A1451="","",IFERROR(INDEX(계정매핑!$D$5:$D$504,MATCH($F1451&amp;"",계정매핑!$A$5:$A$504,0)),"미매핑"))</f>
        <v/>
      </c>
      <c r="X1451" s="9">
        <f>IF($A1451="","",$F1451&amp;"")</f>
        <v/>
      </c>
      <c r="Y1451" s="94">
        <f>IF($A1451="",0,IF(AE1451="직접",IF(AF1451="비귀속",$P1451,0),$P1451*(1-AG1451)*IFERROR(INDEX(계정대체기준!$F$20:$F$49,MATCH($N1451,계정대체기준!$A$20:$A$49,0)),1)))</f>
        <v/>
      </c>
      <c r="Z1451" s="94">
        <f>IF($A1451="",0,IF(AE1451="직접",IF(AF1451="신계약비",$P1451,0),$P1451*(1-AG1451)*IFERROR(INDEX(계정대체기준!$C$20:$C$49,MATCH($N1451,계정대체기준!$A$20:$A$49,0)),0)))</f>
        <v/>
      </c>
      <c r="AA1451" s="94">
        <f>IF($A1451="",0,IF(AE1451="직접",IF(OR(AF1451="유지비",AF1451="손해조사비"),$P1451,0),$P1451*(1-AG1451)*IFERROR(INDEX(계정대체기준!$D$20:$D$49,MATCH($N1451,계정대체기준!$A$20:$A$49,0)),0)))</f>
        <v/>
      </c>
      <c r="AB1451" s="94">
        <f>IF($A1451="",0,IF(AE1451="직접",IF(AF1451="수금비",$P1451,0),$P1451*(1-AG1451)*IFERROR(INDEX(계정대체기준!$E$20:$E$49,MATCH($N1451,계정대체기준!$A$20:$A$49,0)),0)))</f>
        <v/>
      </c>
      <c r="AC1451" s="9">
        <f>IF(AND($A1451&lt;&gt;"",M1451=설정!$C$20,Z1451&gt;0),Z1451+ROW()/1000000000,"")</f>
        <v/>
      </c>
      <c r="AD1451" s="94">
        <f>IF($A1451="",0,$P1451*AG1451)</f>
        <v/>
      </c>
      <c r="AE1451" s="64">
        <f>IF($A1451="","",IFERROR(INDEX(계정매핑!$E$5:$E$504,MATCH($F1451&amp;"",계정매핑!$A$5:$A$504,0))&amp;"","공통비"))</f>
        <v/>
      </c>
      <c r="AF1451" s="64">
        <f>IF($A1451="","",IF(AE1451="직접",IFERROR(INDEX(계정매핑!$F$5:$F$504,MATCH($F1451&amp;"",계정매핑!$A$5:$A$504,0))&amp;"","비귀속"),""))</f>
        <v/>
      </c>
      <c r="AG1451" s="96">
        <f>IF($A1451="",0,IF(AND(AE1451&lt;&gt;"직접",IFERROR(INDEX(계정매핑!$G$5:$G$504,MATCH($F1451&amp;"",계정매핑!$A$5:$A$504,0))&amp;"","")="유지비",COUNTIF(계정대체기준!$A$6:$A$15,$N1451)&gt;0),IFERROR(INDEX(계정대체기준!$E$6:$E$15,MATCH(VALUE($A1451&amp;""),계정대체기준!$D$6:$D$15,0)),0),0))</f>
        <v/>
      </c>
      <c r="AH1451" s="64">
        <f>IF($A1451="","",IF(AD1451=0,"",IF(OR(COUNTIF(계정대체기준!$A$77:$A$86,$N1451)&gt;0,ISNUMBER(MATCH($X1451,계정대체기준!$D$77:$D$86,0)),ISNUMBER(MATCH($F1451,계정대체기준!$D$77:$D$86,0))),"Y","N")))</f>
        <v/>
      </c>
    </row>
    <row r="1452">
      <c r="A1452" s="92" t="n">
        <v>2025</v>
      </c>
      <c r="B1452" s="92" t="n">
        <v>7</v>
      </c>
      <c r="C1452" s="92" t="inlineStr">
        <is>
          <t>5100001448</t>
        </is>
      </c>
      <c r="D1452" s="95" t="n">
        <v>45849</v>
      </c>
      <c r="E1452" s="92" t="inlineStr">
        <is>
          <t>KR</t>
        </is>
      </c>
      <c r="F1452" s="92" t="n">
        <v>62902000</v>
      </c>
      <c r="G1452" s="92" t="n">
        <v>1801</v>
      </c>
      <c r="H1452" s="93" t="n">
        <v>3000000</v>
      </c>
      <c r="I1452" s="92" t="inlineStr">
        <is>
          <t>7월 업무 위탁 수수료 - X서비스</t>
        </is>
      </c>
      <c r="J1452" s="92" t="inlineStr">
        <is>
          <t>V10020</t>
        </is>
      </c>
      <c r="K1452" s="92" t="inlineStr">
        <is>
          <t>X서비스</t>
        </is>
      </c>
      <c r="M1452" s="9">
        <f>IF($A1452="","",VALUE($A1452&amp;"")*12+VALUE($B1452&amp;""))</f>
        <v/>
      </c>
      <c r="N1452" s="64">
        <f>IF($A1452="","",IFERROR(INDEX(부서매핑!$C$5:$C$504,MATCH($G1452&amp;"",부서매핑!$A$5:$A$504,0)),"미매핑"))</f>
        <v/>
      </c>
      <c r="O1452" s="9">
        <f>IF($A1452="","",N1452&amp;"|"&amp;$F1452)</f>
        <v/>
      </c>
      <c r="P1452" s="94">
        <f>IF($A1452="",0,$H1452*설정!$C$23)</f>
        <v/>
      </c>
      <c r="Q1452" s="64">
        <f>IF($A1452="","",IF(O1452&lt;&gt;원인분석!$C$9,"",IF(AND(M1452&gt;=원인분석!$C$10,M1452&lt;=원인분석!$C$11),"당기",IF(AND(M1452&gt;=원인분석!$C$12,M1452&lt;=원인분석!$C$13),"비교",""))))</f>
        <v/>
      </c>
      <c r="R1452" s="9">
        <f>IF(Q1452="","",$K1452&amp;"")</f>
        <v/>
      </c>
      <c r="S1452" s="9">
        <f>IF(Q1452="","",IF(MATCH(R1452,$R$5:$R$100000,0)=ROW()-4,ROW(),""))</f>
        <v/>
      </c>
      <c r="T1452" s="9">
        <f>IF(Q1452="당기",ABS(P1452)+ROW()/1000000000,"")</f>
        <v/>
      </c>
      <c r="U1452" s="9">
        <f>IF(Q1452="비교",ABS(P1452)+ROW()/1000000000,"")</f>
        <v/>
      </c>
      <c r="V1452" s="64">
        <f>IF($A1452="","",IF(COUNTIF(변동분석!$E$7:$E$506,O1452)&gt;0,"Y","N"))</f>
        <v/>
      </c>
      <c r="W1452" s="64">
        <f>IF($A1452="","",IFERROR(INDEX(계정매핑!$D$5:$D$504,MATCH($F1452&amp;"",계정매핑!$A$5:$A$504,0)),"미매핑"))</f>
        <v/>
      </c>
      <c r="X1452" s="9">
        <f>IF($A1452="","",$F1452&amp;"")</f>
        <v/>
      </c>
      <c r="Y1452" s="94">
        <f>IF($A1452="",0,IF(AE1452="직접",IF(AF1452="비귀속",$P1452,0),$P1452*(1-AG1452)*IFERROR(INDEX(계정대체기준!$F$20:$F$49,MATCH($N1452,계정대체기준!$A$20:$A$49,0)),1)))</f>
        <v/>
      </c>
      <c r="Z1452" s="94">
        <f>IF($A1452="",0,IF(AE1452="직접",IF(AF1452="신계약비",$P1452,0),$P1452*(1-AG1452)*IFERROR(INDEX(계정대체기준!$C$20:$C$49,MATCH($N1452,계정대체기준!$A$20:$A$49,0)),0)))</f>
        <v/>
      </c>
      <c r="AA1452" s="94">
        <f>IF($A1452="",0,IF(AE1452="직접",IF(OR(AF1452="유지비",AF1452="손해조사비"),$P1452,0),$P1452*(1-AG1452)*IFERROR(INDEX(계정대체기준!$D$20:$D$49,MATCH($N1452,계정대체기준!$A$20:$A$49,0)),0)))</f>
        <v/>
      </c>
      <c r="AB1452" s="94">
        <f>IF($A1452="",0,IF(AE1452="직접",IF(AF1452="수금비",$P1452,0),$P1452*(1-AG1452)*IFERROR(INDEX(계정대체기준!$E$20:$E$49,MATCH($N1452,계정대체기준!$A$20:$A$49,0)),0)))</f>
        <v/>
      </c>
      <c r="AC1452" s="9">
        <f>IF(AND($A1452&lt;&gt;"",M1452=설정!$C$20,Z1452&gt;0),Z1452+ROW()/1000000000,"")</f>
        <v/>
      </c>
      <c r="AD1452" s="94">
        <f>IF($A1452="",0,$P1452*AG1452)</f>
        <v/>
      </c>
      <c r="AE1452" s="64">
        <f>IF($A1452="","",IFERROR(INDEX(계정매핑!$E$5:$E$504,MATCH($F1452&amp;"",계정매핑!$A$5:$A$504,0))&amp;"","공통비"))</f>
        <v/>
      </c>
      <c r="AF1452" s="64">
        <f>IF($A1452="","",IF(AE1452="직접",IFERROR(INDEX(계정매핑!$F$5:$F$504,MATCH($F1452&amp;"",계정매핑!$A$5:$A$504,0))&amp;"","비귀속"),""))</f>
        <v/>
      </c>
      <c r="AG1452" s="96">
        <f>IF($A1452="",0,IF(AND(AE1452&lt;&gt;"직접",IFERROR(INDEX(계정매핑!$G$5:$G$504,MATCH($F1452&amp;"",계정매핑!$A$5:$A$504,0))&amp;"","")="유지비",COUNTIF(계정대체기준!$A$6:$A$15,$N1452)&gt;0),IFERROR(INDEX(계정대체기준!$E$6:$E$15,MATCH(VALUE($A1452&amp;""),계정대체기준!$D$6:$D$15,0)),0),0))</f>
        <v/>
      </c>
      <c r="AH1452" s="64">
        <f>IF($A1452="","",IF(AD1452=0,"",IF(OR(COUNTIF(계정대체기준!$A$77:$A$86,$N1452)&gt;0,ISNUMBER(MATCH($X1452,계정대체기준!$D$77:$D$86,0)),ISNUMBER(MATCH($F1452,계정대체기준!$D$77:$D$86,0))),"Y","N")))</f>
        <v/>
      </c>
    </row>
    <row r="1453">
      <c r="A1453" s="92" t="n">
        <v>2025</v>
      </c>
      <c r="B1453" s="92" t="n">
        <v>7</v>
      </c>
      <c r="C1453" s="92" t="inlineStr">
        <is>
          <t>5100001449</t>
        </is>
      </c>
      <c r="D1453" s="95" t="n">
        <v>45849</v>
      </c>
      <c r="E1453" s="92" t="inlineStr">
        <is>
          <t>KR</t>
        </is>
      </c>
      <c r="F1453" s="92" t="n">
        <v>63001000</v>
      </c>
      <c r="G1453" s="92" t="n">
        <v>1951</v>
      </c>
      <c r="H1453" s="93" t="n">
        <v>2379000</v>
      </c>
      <c r="I1453" s="92" t="inlineStr">
        <is>
          <t>7월 SW 유지보수 - Y소프트</t>
        </is>
      </c>
      <c r="J1453" s="92" t="inlineStr">
        <is>
          <t>V10017</t>
        </is>
      </c>
      <c r="K1453" s="92" t="inlineStr">
        <is>
          <t>Y소프트</t>
        </is>
      </c>
      <c r="M1453" s="9">
        <f>IF($A1453="","",VALUE($A1453&amp;"")*12+VALUE($B1453&amp;""))</f>
        <v/>
      </c>
      <c r="N1453" s="64">
        <f>IF($A1453="","",IFERROR(INDEX(부서매핑!$C$5:$C$504,MATCH($G1453&amp;"",부서매핑!$A$5:$A$504,0)),"미매핑"))</f>
        <v/>
      </c>
      <c r="O1453" s="9">
        <f>IF($A1453="","",N1453&amp;"|"&amp;$F1453)</f>
        <v/>
      </c>
      <c r="P1453" s="94">
        <f>IF($A1453="",0,$H1453*설정!$C$23)</f>
        <v/>
      </c>
      <c r="Q1453" s="64">
        <f>IF($A1453="","",IF(O1453&lt;&gt;원인분석!$C$9,"",IF(AND(M1453&gt;=원인분석!$C$10,M1453&lt;=원인분석!$C$11),"당기",IF(AND(M1453&gt;=원인분석!$C$12,M1453&lt;=원인분석!$C$13),"비교",""))))</f>
        <v/>
      </c>
      <c r="R1453" s="9">
        <f>IF(Q1453="","",$K1453&amp;"")</f>
        <v/>
      </c>
      <c r="S1453" s="9">
        <f>IF(Q1453="","",IF(MATCH(R1453,$R$5:$R$100000,0)=ROW()-4,ROW(),""))</f>
        <v/>
      </c>
      <c r="T1453" s="9">
        <f>IF(Q1453="당기",ABS(P1453)+ROW()/1000000000,"")</f>
        <v/>
      </c>
      <c r="U1453" s="9">
        <f>IF(Q1453="비교",ABS(P1453)+ROW()/1000000000,"")</f>
        <v/>
      </c>
      <c r="V1453" s="64">
        <f>IF($A1453="","",IF(COUNTIF(변동분석!$E$7:$E$506,O1453)&gt;0,"Y","N"))</f>
        <v/>
      </c>
      <c r="W1453" s="64">
        <f>IF($A1453="","",IFERROR(INDEX(계정매핑!$D$5:$D$504,MATCH($F1453&amp;"",계정매핑!$A$5:$A$504,0)),"미매핑"))</f>
        <v/>
      </c>
      <c r="X1453" s="9">
        <f>IF($A1453="","",$F1453&amp;"")</f>
        <v/>
      </c>
      <c r="Y1453" s="94">
        <f>IF($A1453="",0,IF(AE1453="직접",IF(AF1453="비귀속",$P1453,0),$P1453*(1-AG1453)*IFERROR(INDEX(계정대체기준!$F$20:$F$49,MATCH($N1453,계정대체기준!$A$20:$A$49,0)),1)))</f>
        <v/>
      </c>
      <c r="Z1453" s="94">
        <f>IF($A1453="",0,IF(AE1453="직접",IF(AF1453="신계약비",$P1453,0),$P1453*(1-AG1453)*IFERROR(INDEX(계정대체기준!$C$20:$C$49,MATCH($N1453,계정대체기준!$A$20:$A$49,0)),0)))</f>
        <v/>
      </c>
      <c r="AA1453" s="94">
        <f>IF($A1453="",0,IF(AE1453="직접",IF(OR(AF1453="유지비",AF1453="손해조사비"),$P1453,0),$P1453*(1-AG1453)*IFERROR(INDEX(계정대체기준!$D$20:$D$49,MATCH($N1453,계정대체기준!$A$20:$A$49,0)),0)))</f>
        <v/>
      </c>
      <c r="AB1453" s="94">
        <f>IF($A1453="",0,IF(AE1453="직접",IF(AF1453="수금비",$P1453,0),$P1453*(1-AG1453)*IFERROR(INDEX(계정대체기준!$E$20:$E$49,MATCH($N1453,계정대체기준!$A$20:$A$49,0)),0)))</f>
        <v/>
      </c>
      <c r="AC1453" s="9">
        <f>IF(AND($A1453&lt;&gt;"",M1453=설정!$C$20,Z1453&gt;0),Z1453+ROW()/1000000000,"")</f>
        <v/>
      </c>
      <c r="AD1453" s="94">
        <f>IF($A1453="",0,$P1453*AG1453)</f>
        <v/>
      </c>
      <c r="AE1453" s="64">
        <f>IF($A1453="","",IFERROR(INDEX(계정매핑!$E$5:$E$504,MATCH($F1453&amp;"",계정매핑!$A$5:$A$504,0))&amp;"","공통비"))</f>
        <v/>
      </c>
      <c r="AF1453" s="64">
        <f>IF($A1453="","",IF(AE1453="직접",IFERROR(INDEX(계정매핑!$F$5:$F$504,MATCH($F1453&amp;"",계정매핑!$A$5:$A$504,0))&amp;"","비귀속"),""))</f>
        <v/>
      </c>
      <c r="AG1453" s="96">
        <f>IF($A1453="",0,IF(AND(AE1453&lt;&gt;"직접",IFERROR(INDEX(계정매핑!$G$5:$G$504,MATCH($F1453&amp;"",계정매핑!$A$5:$A$504,0))&amp;"","")="유지비",COUNTIF(계정대체기준!$A$6:$A$15,$N1453)&gt;0),IFERROR(INDEX(계정대체기준!$E$6:$E$15,MATCH(VALUE($A1453&amp;""),계정대체기준!$D$6:$D$15,0)),0),0))</f>
        <v/>
      </c>
      <c r="AH1453" s="64">
        <f>IF($A1453="","",IF(AD1453=0,"",IF(OR(COUNTIF(계정대체기준!$A$77:$A$86,$N1453)&gt;0,ISNUMBER(MATCH($X1453,계정대체기준!$D$77:$D$86,0)),ISNUMBER(MATCH($F1453,계정대체기준!$D$77:$D$86,0))),"Y","N")))</f>
        <v/>
      </c>
    </row>
    <row r="1454">
      <c r="A1454" s="92" t="n">
        <v>2025</v>
      </c>
      <c r="B1454" s="92" t="n">
        <v>7</v>
      </c>
      <c r="C1454" s="92" t="inlineStr">
        <is>
          <t>5100001450</t>
        </is>
      </c>
      <c r="D1454" s="95" t="n">
        <v>45850</v>
      </c>
      <c r="E1454" s="92" t="inlineStr">
        <is>
          <t>KR</t>
        </is>
      </c>
      <c r="F1454" s="92" t="n">
        <v>62101000</v>
      </c>
      <c r="G1454" s="92" t="n">
        <v>1301</v>
      </c>
      <c r="H1454" s="93" t="n">
        <v>354000</v>
      </c>
      <c r="I1454" s="92" t="inlineStr">
        <is>
          <t>7월 국내출장 - M항공</t>
        </is>
      </c>
      <c r="J1454" s="92" t="inlineStr">
        <is>
          <t>V10001</t>
        </is>
      </c>
      <c r="K1454" s="92" t="inlineStr">
        <is>
          <t>M항공</t>
        </is>
      </c>
      <c r="M1454" s="9">
        <f>IF($A1454="","",VALUE($A1454&amp;"")*12+VALUE($B1454&amp;""))</f>
        <v/>
      </c>
      <c r="N1454" s="64">
        <f>IF($A1454="","",IFERROR(INDEX(부서매핑!$C$5:$C$504,MATCH($G1454&amp;"",부서매핑!$A$5:$A$504,0)),"미매핑"))</f>
        <v/>
      </c>
      <c r="O1454" s="9">
        <f>IF($A1454="","",N1454&amp;"|"&amp;$F1454)</f>
        <v/>
      </c>
      <c r="P1454" s="94">
        <f>IF($A1454="",0,$H1454*설정!$C$23)</f>
        <v/>
      </c>
      <c r="Q1454" s="64">
        <f>IF($A1454="","",IF(O1454&lt;&gt;원인분석!$C$9,"",IF(AND(M1454&gt;=원인분석!$C$10,M1454&lt;=원인분석!$C$11),"당기",IF(AND(M1454&gt;=원인분석!$C$12,M1454&lt;=원인분석!$C$13),"비교",""))))</f>
        <v/>
      </c>
      <c r="R1454" s="9">
        <f>IF(Q1454="","",$K1454&amp;"")</f>
        <v/>
      </c>
      <c r="S1454" s="9">
        <f>IF(Q1454="","",IF(MATCH(R1454,$R$5:$R$100000,0)=ROW()-4,ROW(),""))</f>
        <v/>
      </c>
      <c r="T1454" s="9">
        <f>IF(Q1454="당기",ABS(P1454)+ROW()/1000000000,"")</f>
        <v/>
      </c>
      <c r="U1454" s="9">
        <f>IF(Q1454="비교",ABS(P1454)+ROW()/1000000000,"")</f>
        <v/>
      </c>
      <c r="V1454" s="64">
        <f>IF($A1454="","",IF(COUNTIF(변동분석!$E$7:$E$506,O1454)&gt;0,"Y","N"))</f>
        <v/>
      </c>
      <c r="W1454" s="64">
        <f>IF($A1454="","",IFERROR(INDEX(계정매핑!$D$5:$D$504,MATCH($F1454&amp;"",계정매핑!$A$5:$A$504,0)),"미매핑"))</f>
        <v/>
      </c>
      <c r="X1454" s="9">
        <f>IF($A1454="","",$F1454&amp;"")</f>
        <v/>
      </c>
      <c r="Y1454" s="94">
        <f>IF($A1454="",0,IF(AE1454="직접",IF(AF1454="비귀속",$P1454,0),$P1454*(1-AG1454)*IFERROR(INDEX(계정대체기준!$F$20:$F$49,MATCH($N1454,계정대체기준!$A$20:$A$49,0)),1)))</f>
        <v/>
      </c>
      <c r="Z1454" s="94">
        <f>IF($A1454="",0,IF(AE1454="직접",IF(AF1454="신계약비",$P1454,0),$P1454*(1-AG1454)*IFERROR(INDEX(계정대체기준!$C$20:$C$49,MATCH($N1454,계정대체기준!$A$20:$A$49,0)),0)))</f>
        <v/>
      </c>
      <c r="AA1454" s="94">
        <f>IF($A1454="",0,IF(AE1454="직접",IF(OR(AF1454="유지비",AF1454="손해조사비"),$P1454,0),$P1454*(1-AG1454)*IFERROR(INDEX(계정대체기준!$D$20:$D$49,MATCH($N1454,계정대체기준!$A$20:$A$49,0)),0)))</f>
        <v/>
      </c>
      <c r="AB1454" s="94">
        <f>IF($A1454="",0,IF(AE1454="직접",IF(AF1454="수금비",$P1454,0),$P1454*(1-AG1454)*IFERROR(INDEX(계정대체기준!$E$20:$E$49,MATCH($N1454,계정대체기준!$A$20:$A$49,0)),0)))</f>
        <v/>
      </c>
      <c r="AC1454" s="9">
        <f>IF(AND($A1454&lt;&gt;"",M1454=설정!$C$20,Z1454&gt;0),Z1454+ROW()/1000000000,"")</f>
        <v/>
      </c>
      <c r="AD1454" s="94">
        <f>IF($A1454="",0,$P1454*AG1454)</f>
        <v/>
      </c>
      <c r="AE1454" s="64">
        <f>IF($A1454="","",IFERROR(INDEX(계정매핑!$E$5:$E$504,MATCH($F1454&amp;"",계정매핑!$A$5:$A$504,0))&amp;"","공통비"))</f>
        <v/>
      </c>
      <c r="AF1454" s="64">
        <f>IF($A1454="","",IF(AE1454="직접",IFERROR(INDEX(계정매핑!$F$5:$F$504,MATCH($F1454&amp;"",계정매핑!$A$5:$A$504,0))&amp;"","비귀속"),""))</f>
        <v/>
      </c>
      <c r="AG1454" s="96">
        <f>IF($A1454="",0,IF(AND(AE1454&lt;&gt;"직접",IFERROR(INDEX(계정매핑!$G$5:$G$504,MATCH($F1454&amp;"",계정매핑!$A$5:$A$504,0))&amp;"","")="유지비",COUNTIF(계정대체기준!$A$6:$A$15,$N1454)&gt;0),IFERROR(INDEX(계정대체기준!$E$6:$E$15,MATCH(VALUE($A1454&amp;""),계정대체기준!$D$6:$D$15,0)),0),0))</f>
        <v/>
      </c>
      <c r="AH1454" s="64">
        <f>IF($A1454="","",IF(AD1454=0,"",IF(OR(COUNTIF(계정대체기준!$A$77:$A$86,$N1454)&gt;0,ISNUMBER(MATCH($X1454,계정대체기준!$D$77:$D$86,0)),ISNUMBER(MATCH($F1454,계정대체기준!$D$77:$D$86,0))),"Y","N")))</f>
        <v/>
      </c>
    </row>
    <row r="1455">
      <c r="A1455" s="92" t="n">
        <v>2025</v>
      </c>
      <c r="B1455" s="92" t="n">
        <v>7</v>
      </c>
      <c r="C1455" s="92" t="inlineStr">
        <is>
          <t>5100001451</t>
        </is>
      </c>
      <c r="D1455" s="95" t="n">
        <v>45850</v>
      </c>
      <c r="E1455" s="92" t="inlineStr">
        <is>
          <t>KR</t>
        </is>
      </c>
      <c r="F1455" s="92" t="n">
        <v>62101000</v>
      </c>
      <c r="G1455" s="92" t="n">
        <v>1602</v>
      </c>
      <c r="H1455" s="93" t="n">
        <v>841000</v>
      </c>
      <c r="I1455" s="92" t="inlineStr">
        <is>
          <t>7월 국내출장 - (법인카드)</t>
        </is>
      </c>
      <c r="J1455" s="92" t="inlineStr">
        <is>
          <t>V10010</t>
        </is>
      </c>
      <c r="K1455" s="92" t="inlineStr">
        <is>
          <t>(법인카드)</t>
        </is>
      </c>
      <c r="M1455" s="9">
        <f>IF($A1455="","",VALUE($A1455&amp;"")*12+VALUE($B1455&amp;""))</f>
        <v/>
      </c>
      <c r="N1455" s="64">
        <f>IF($A1455="","",IFERROR(INDEX(부서매핑!$C$5:$C$504,MATCH($G1455&amp;"",부서매핑!$A$5:$A$504,0)),"미매핑"))</f>
        <v/>
      </c>
      <c r="O1455" s="9">
        <f>IF($A1455="","",N1455&amp;"|"&amp;$F1455)</f>
        <v/>
      </c>
      <c r="P1455" s="94">
        <f>IF($A1455="",0,$H1455*설정!$C$23)</f>
        <v/>
      </c>
      <c r="Q1455" s="64">
        <f>IF($A1455="","",IF(O1455&lt;&gt;원인분석!$C$9,"",IF(AND(M1455&gt;=원인분석!$C$10,M1455&lt;=원인분석!$C$11),"당기",IF(AND(M1455&gt;=원인분석!$C$12,M1455&lt;=원인분석!$C$13),"비교",""))))</f>
        <v/>
      </c>
      <c r="R1455" s="9">
        <f>IF(Q1455="","",$K1455&amp;"")</f>
        <v/>
      </c>
      <c r="S1455" s="9">
        <f>IF(Q1455="","",IF(MATCH(R1455,$R$5:$R$100000,0)=ROW()-4,ROW(),""))</f>
        <v/>
      </c>
      <c r="T1455" s="9">
        <f>IF(Q1455="당기",ABS(P1455)+ROW()/1000000000,"")</f>
        <v/>
      </c>
      <c r="U1455" s="9">
        <f>IF(Q1455="비교",ABS(P1455)+ROW()/1000000000,"")</f>
        <v/>
      </c>
      <c r="V1455" s="64">
        <f>IF($A1455="","",IF(COUNTIF(변동분석!$E$7:$E$506,O1455)&gt;0,"Y","N"))</f>
        <v/>
      </c>
      <c r="W1455" s="64">
        <f>IF($A1455="","",IFERROR(INDEX(계정매핑!$D$5:$D$504,MATCH($F1455&amp;"",계정매핑!$A$5:$A$504,0)),"미매핑"))</f>
        <v/>
      </c>
      <c r="X1455" s="9">
        <f>IF($A1455="","",$F1455&amp;"")</f>
        <v/>
      </c>
      <c r="Y1455" s="94">
        <f>IF($A1455="",0,IF(AE1455="직접",IF(AF1455="비귀속",$P1455,0),$P1455*(1-AG1455)*IFERROR(INDEX(계정대체기준!$F$20:$F$49,MATCH($N1455,계정대체기준!$A$20:$A$49,0)),1)))</f>
        <v/>
      </c>
      <c r="Z1455" s="94">
        <f>IF($A1455="",0,IF(AE1455="직접",IF(AF1455="신계약비",$P1455,0),$P1455*(1-AG1455)*IFERROR(INDEX(계정대체기준!$C$20:$C$49,MATCH($N1455,계정대체기준!$A$20:$A$49,0)),0)))</f>
        <v/>
      </c>
      <c r="AA1455" s="94">
        <f>IF($A1455="",0,IF(AE1455="직접",IF(OR(AF1455="유지비",AF1455="손해조사비"),$P1455,0),$P1455*(1-AG1455)*IFERROR(INDEX(계정대체기준!$D$20:$D$49,MATCH($N1455,계정대체기준!$A$20:$A$49,0)),0)))</f>
        <v/>
      </c>
      <c r="AB1455" s="94">
        <f>IF($A1455="",0,IF(AE1455="직접",IF(AF1455="수금비",$P1455,0),$P1455*(1-AG1455)*IFERROR(INDEX(계정대체기준!$E$20:$E$49,MATCH($N1455,계정대체기준!$A$20:$A$49,0)),0)))</f>
        <v/>
      </c>
      <c r="AC1455" s="9">
        <f>IF(AND($A1455&lt;&gt;"",M1455=설정!$C$20,Z1455&gt;0),Z1455+ROW()/1000000000,"")</f>
        <v/>
      </c>
      <c r="AD1455" s="94">
        <f>IF($A1455="",0,$P1455*AG1455)</f>
        <v/>
      </c>
      <c r="AE1455" s="64">
        <f>IF($A1455="","",IFERROR(INDEX(계정매핑!$E$5:$E$504,MATCH($F1455&amp;"",계정매핑!$A$5:$A$504,0))&amp;"","공통비"))</f>
        <v/>
      </c>
      <c r="AF1455" s="64">
        <f>IF($A1455="","",IF(AE1455="직접",IFERROR(INDEX(계정매핑!$F$5:$F$504,MATCH($F1455&amp;"",계정매핑!$A$5:$A$504,0))&amp;"","비귀속"),""))</f>
        <v/>
      </c>
      <c r="AG1455" s="96">
        <f>IF($A1455="",0,IF(AND(AE1455&lt;&gt;"직접",IFERROR(INDEX(계정매핑!$G$5:$G$504,MATCH($F1455&amp;"",계정매핑!$A$5:$A$504,0))&amp;"","")="유지비",COUNTIF(계정대체기준!$A$6:$A$15,$N1455)&gt;0),IFERROR(INDEX(계정대체기준!$E$6:$E$15,MATCH(VALUE($A1455&amp;""),계정대체기준!$D$6:$D$15,0)),0),0))</f>
        <v/>
      </c>
      <c r="AH1455" s="64">
        <f>IF($A1455="","",IF(AD1455=0,"",IF(OR(COUNTIF(계정대체기준!$A$77:$A$86,$N1455)&gt;0,ISNUMBER(MATCH($X1455,계정대체기준!$D$77:$D$86,0)),ISNUMBER(MATCH($F1455,계정대체기준!$D$77:$D$86,0))),"Y","N")))</f>
        <v/>
      </c>
    </row>
    <row r="1456">
      <c r="A1456" s="92" t="n">
        <v>2025</v>
      </c>
      <c r="B1456" s="92" t="n">
        <v>7</v>
      </c>
      <c r="C1456" s="92" t="inlineStr">
        <is>
          <t>5100001452</t>
        </is>
      </c>
      <c r="D1456" s="95" t="n">
        <v>45850</v>
      </c>
      <c r="E1456" s="92" t="inlineStr">
        <is>
          <t>KR</t>
        </is>
      </c>
      <c r="F1456" s="92" t="n">
        <v>62101000</v>
      </c>
      <c r="G1456" s="92" t="n">
        <v>1801</v>
      </c>
      <c r="H1456" s="93" t="n">
        <v>144000</v>
      </c>
      <c r="I1456" s="92" t="inlineStr">
        <is>
          <t>7월 국내출장 - L여행사</t>
        </is>
      </c>
      <c r="J1456" s="92" t="inlineStr">
        <is>
          <t>V10018</t>
        </is>
      </c>
      <c r="K1456" s="92" t="inlineStr">
        <is>
          <t>L여행사</t>
        </is>
      </c>
      <c r="M1456" s="9">
        <f>IF($A1456="","",VALUE($A1456&amp;"")*12+VALUE($B1456&amp;""))</f>
        <v/>
      </c>
      <c r="N1456" s="64">
        <f>IF($A1456="","",IFERROR(INDEX(부서매핑!$C$5:$C$504,MATCH($G1456&amp;"",부서매핑!$A$5:$A$504,0)),"미매핑"))</f>
        <v/>
      </c>
      <c r="O1456" s="9">
        <f>IF($A1456="","",N1456&amp;"|"&amp;$F1456)</f>
        <v/>
      </c>
      <c r="P1456" s="94">
        <f>IF($A1456="",0,$H1456*설정!$C$23)</f>
        <v/>
      </c>
      <c r="Q1456" s="64">
        <f>IF($A1456="","",IF(O1456&lt;&gt;원인분석!$C$9,"",IF(AND(M1456&gt;=원인분석!$C$10,M1456&lt;=원인분석!$C$11),"당기",IF(AND(M1456&gt;=원인분석!$C$12,M1456&lt;=원인분석!$C$13),"비교",""))))</f>
        <v/>
      </c>
      <c r="R1456" s="9">
        <f>IF(Q1456="","",$K1456&amp;"")</f>
        <v/>
      </c>
      <c r="S1456" s="9">
        <f>IF(Q1456="","",IF(MATCH(R1456,$R$5:$R$100000,0)=ROW()-4,ROW(),""))</f>
        <v/>
      </c>
      <c r="T1456" s="9">
        <f>IF(Q1456="당기",ABS(P1456)+ROW()/1000000000,"")</f>
        <v/>
      </c>
      <c r="U1456" s="9">
        <f>IF(Q1456="비교",ABS(P1456)+ROW()/1000000000,"")</f>
        <v/>
      </c>
      <c r="V1456" s="64">
        <f>IF($A1456="","",IF(COUNTIF(변동분석!$E$7:$E$506,O1456)&gt;0,"Y","N"))</f>
        <v/>
      </c>
      <c r="W1456" s="64">
        <f>IF($A1456="","",IFERROR(INDEX(계정매핑!$D$5:$D$504,MATCH($F1456&amp;"",계정매핑!$A$5:$A$504,0)),"미매핑"))</f>
        <v/>
      </c>
      <c r="X1456" s="9">
        <f>IF($A1456="","",$F1456&amp;"")</f>
        <v/>
      </c>
      <c r="Y1456" s="94">
        <f>IF($A1456="",0,IF(AE1456="직접",IF(AF1456="비귀속",$P1456,0),$P1456*(1-AG1456)*IFERROR(INDEX(계정대체기준!$F$20:$F$49,MATCH($N1456,계정대체기준!$A$20:$A$49,0)),1)))</f>
        <v/>
      </c>
      <c r="Z1456" s="94">
        <f>IF($A1456="",0,IF(AE1456="직접",IF(AF1456="신계약비",$P1456,0),$P1456*(1-AG1456)*IFERROR(INDEX(계정대체기준!$C$20:$C$49,MATCH($N1456,계정대체기준!$A$20:$A$49,0)),0)))</f>
        <v/>
      </c>
      <c r="AA1456" s="94">
        <f>IF($A1456="",0,IF(AE1456="직접",IF(OR(AF1456="유지비",AF1456="손해조사비"),$P1456,0),$P1456*(1-AG1456)*IFERROR(INDEX(계정대체기준!$D$20:$D$49,MATCH($N1456,계정대체기준!$A$20:$A$49,0)),0)))</f>
        <v/>
      </c>
      <c r="AB1456" s="94">
        <f>IF($A1456="",0,IF(AE1456="직접",IF(AF1456="수금비",$P1456,0),$P1456*(1-AG1456)*IFERROR(INDEX(계정대체기준!$E$20:$E$49,MATCH($N1456,계정대체기준!$A$20:$A$49,0)),0)))</f>
        <v/>
      </c>
      <c r="AC1456" s="9">
        <f>IF(AND($A1456&lt;&gt;"",M1456=설정!$C$20,Z1456&gt;0),Z1456+ROW()/1000000000,"")</f>
        <v/>
      </c>
      <c r="AD1456" s="94">
        <f>IF($A1456="",0,$P1456*AG1456)</f>
        <v/>
      </c>
      <c r="AE1456" s="64">
        <f>IF($A1456="","",IFERROR(INDEX(계정매핑!$E$5:$E$504,MATCH($F1456&amp;"",계정매핑!$A$5:$A$504,0))&amp;"","공통비"))</f>
        <v/>
      </c>
      <c r="AF1456" s="64">
        <f>IF($A1456="","",IF(AE1456="직접",IFERROR(INDEX(계정매핑!$F$5:$F$504,MATCH($F1456&amp;"",계정매핑!$A$5:$A$504,0))&amp;"","비귀속"),""))</f>
        <v/>
      </c>
      <c r="AG1456" s="96">
        <f>IF($A1456="",0,IF(AND(AE1456&lt;&gt;"직접",IFERROR(INDEX(계정매핑!$G$5:$G$504,MATCH($F1456&amp;"",계정매핑!$A$5:$A$504,0))&amp;"","")="유지비",COUNTIF(계정대체기준!$A$6:$A$15,$N1456)&gt;0),IFERROR(INDEX(계정대체기준!$E$6:$E$15,MATCH(VALUE($A1456&amp;""),계정대체기준!$D$6:$D$15,0)),0),0))</f>
        <v/>
      </c>
      <c r="AH1456" s="64">
        <f>IF($A1456="","",IF(AD1456=0,"",IF(OR(COUNTIF(계정대체기준!$A$77:$A$86,$N1456)&gt;0,ISNUMBER(MATCH($X1456,계정대체기준!$D$77:$D$86,0)),ISNUMBER(MATCH($F1456,계정대체기준!$D$77:$D$86,0))),"Y","N")))</f>
        <v/>
      </c>
    </row>
    <row r="1457">
      <c r="A1457" s="92" t="n">
        <v>2025</v>
      </c>
      <c r="B1457" s="92" t="n">
        <v>7</v>
      </c>
      <c r="C1457" s="92" t="inlineStr">
        <is>
          <t>5100001453</t>
        </is>
      </c>
      <c r="D1457" s="95" t="n">
        <v>45850</v>
      </c>
      <c r="E1457" s="92" t="inlineStr">
        <is>
          <t>KR</t>
        </is>
      </c>
      <c r="F1457" s="92" t="n">
        <v>62102000</v>
      </c>
      <c r="G1457" s="92" t="n">
        <v>1801</v>
      </c>
      <c r="H1457" s="93" t="n">
        <v>58000</v>
      </c>
      <c r="I1457" s="92" t="inlineStr">
        <is>
          <t>7월 해외출장 - M항공</t>
        </is>
      </c>
      <c r="J1457" s="92" t="inlineStr">
        <is>
          <t>V10001</t>
        </is>
      </c>
      <c r="K1457" s="92" t="inlineStr">
        <is>
          <t>M항공</t>
        </is>
      </c>
      <c r="M1457" s="9">
        <f>IF($A1457="","",VALUE($A1457&amp;"")*12+VALUE($B1457&amp;""))</f>
        <v/>
      </c>
      <c r="N1457" s="64">
        <f>IF($A1457="","",IFERROR(INDEX(부서매핑!$C$5:$C$504,MATCH($G1457&amp;"",부서매핑!$A$5:$A$504,0)),"미매핑"))</f>
        <v/>
      </c>
      <c r="O1457" s="9">
        <f>IF($A1457="","",N1457&amp;"|"&amp;$F1457)</f>
        <v/>
      </c>
      <c r="P1457" s="94">
        <f>IF($A1457="",0,$H1457*설정!$C$23)</f>
        <v/>
      </c>
      <c r="Q1457" s="64">
        <f>IF($A1457="","",IF(O1457&lt;&gt;원인분석!$C$9,"",IF(AND(M1457&gt;=원인분석!$C$10,M1457&lt;=원인분석!$C$11),"당기",IF(AND(M1457&gt;=원인분석!$C$12,M1457&lt;=원인분석!$C$13),"비교",""))))</f>
        <v/>
      </c>
      <c r="R1457" s="9">
        <f>IF(Q1457="","",$K1457&amp;"")</f>
        <v/>
      </c>
      <c r="S1457" s="9">
        <f>IF(Q1457="","",IF(MATCH(R1457,$R$5:$R$100000,0)=ROW()-4,ROW(),""))</f>
        <v/>
      </c>
      <c r="T1457" s="9">
        <f>IF(Q1457="당기",ABS(P1457)+ROW()/1000000000,"")</f>
        <v/>
      </c>
      <c r="U1457" s="9">
        <f>IF(Q1457="비교",ABS(P1457)+ROW()/1000000000,"")</f>
        <v/>
      </c>
      <c r="V1457" s="64">
        <f>IF($A1457="","",IF(COUNTIF(변동분석!$E$7:$E$506,O1457)&gt;0,"Y","N"))</f>
        <v/>
      </c>
      <c r="W1457" s="64">
        <f>IF($A1457="","",IFERROR(INDEX(계정매핑!$D$5:$D$504,MATCH($F1457&amp;"",계정매핑!$A$5:$A$504,0)),"미매핑"))</f>
        <v/>
      </c>
      <c r="X1457" s="9">
        <f>IF($A1457="","",$F1457&amp;"")</f>
        <v/>
      </c>
      <c r="Y1457" s="94">
        <f>IF($A1457="",0,IF(AE1457="직접",IF(AF1457="비귀속",$P1457,0),$P1457*(1-AG1457)*IFERROR(INDEX(계정대체기준!$F$20:$F$49,MATCH($N1457,계정대체기준!$A$20:$A$49,0)),1)))</f>
        <v/>
      </c>
      <c r="Z1457" s="94">
        <f>IF($A1457="",0,IF(AE1457="직접",IF(AF1457="신계약비",$P1457,0),$P1457*(1-AG1457)*IFERROR(INDEX(계정대체기준!$C$20:$C$49,MATCH($N1457,계정대체기준!$A$20:$A$49,0)),0)))</f>
        <v/>
      </c>
      <c r="AA1457" s="94">
        <f>IF($A1457="",0,IF(AE1457="직접",IF(OR(AF1457="유지비",AF1457="손해조사비"),$P1457,0),$P1457*(1-AG1457)*IFERROR(INDEX(계정대체기준!$D$20:$D$49,MATCH($N1457,계정대체기준!$A$20:$A$49,0)),0)))</f>
        <v/>
      </c>
      <c r="AB1457" s="94">
        <f>IF($A1457="",0,IF(AE1457="직접",IF(AF1457="수금비",$P1457,0),$P1457*(1-AG1457)*IFERROR(INDEX(계정대체기준!$E$20:$E$49,MATCH($N1457,계정대체기준!$A$20:$A$49,0)),0)))</f>
        <v/>
      </c>
      <c r="AC1457" s="9">
        <f>IF(AND($A1457&lt;&gt;"",M1457=설정!$C$20,Z1457&gt;0),Z1457+ROW()/1000000000,"")</f>
        <v/>
      </c>
      <c r="AD1457" s="94">
        <f>IF($A1457="",0,$P1457*AG1457)</f>
        <v/>
      </c>
      <c r="AE1457" s="64">
        <f>IF($A1457="","",IFERROR(INDEX(계정매핑!$E$5:$E$504,MATCH($F1457&amp;"",계정매핑!$A$5:$A$504,0))&amp;"","공통비"))</f>
        <v/>
      </c>
      <c r="AF1457" s="64">
        <f>IF($A1457="","",IF(AE1457="직접",IFERROR(INDEX(계정매핑!$F$5:$F$504,MATCH($F1457&amp;"",계정매핑!$A$5:$A$504,0))&amp;"","비귀속"),""))</f>
        <v/>
      </c>
      <c r="AG1457" s="96">
        <f>IF($A1457="",0,IF(AND(AE1457&lt;&gt;"직접",IFERROR(INDEX(계정매핑!$G$5:$G$504,MATCH($F1457&amp;"",계정매핑!$A$5:$A$504,0))&amp;"","")="유지비",COUNTIF(계정대체기준!$A$6:$A$15,$N1457)&gt;0),IFERROR(INDEX(계정대체기준!$E$6:$E$15,MATCH(VALUE($A1457&amp;""),계정대체기준!$D$6:$D$15,0)),0),0))</f>
        <v/>
      </c>
      <c r="AH1457" s="64">
        <f>IF($A1457="","",IF(AD1457=0,"",IF(OR(COUNTIF(계정대체기준!$A$77:$A$86,$N1457)&gt;0,ISNUMBER(MATCH($X1457,계정대체기준!$D$77:$D$86,0)),ISNUMBER(MATCH($F1457,계정대체기준!$D$77:$D$86,0))),"Y","N")))</f>
        <v/>
      </c>
    </row>
    <row r="1458">
      <c r="A1458" s="92" t="n">
        <v>2025</v>
      </c>
      <c r="B1458" s="92" t="n">
        <v>7</v>
      </c>
      <c r="C1458" s="92" t="inlineStr">
        <is>
          <t>5100001454</t>
        </is>
      </c>
      <c r="D1458" s="95" t="n">
        <v>45850</v>
      </c>
      <c r="E1458" s="92" t="inlineStr">
        <is>
          <t>KR</t>
        </is>
      </c>
      <c r="F1458" s="92" t="n">
        <v>62102000</v>
      </c>
      <c r="G1458" s="92" t="n">
        <v>1951</v>
      </c>
      <c r="H1458" s="93" t="n">
        <v>88000</v>
      </c>
      <c r="I1458" s="92" t="inlineStr">
        <is>
          <t>7월 해외출장 - M항공</t>
        </is>
      </c>
      <c r="J1458" s="92" t="inlineStr">
        <is>
          <t>V10001</t>
        </is>
      </c>
      <c r="K1458" s="92" t="inlineStr">
        <is>
          <t>M항공</t>
        </is>
      </c>
      <c r="M1458" s="9">
        <f>IF($A1458="","",VALUE($A1458&amp;"")*12+VALUE($B1458&amp;""))</f>
        <v/>
      </c>
      <c r="N1458" s="64">
        <f>IF($A1458="","",IFERROR(INDEX(부서매핑!$C$5:$C$504,MATCH($G1458&amp;"",부서매핑!$A$5:$A$504,0)),"미매핑"))</f>
        <v/>
      </c>
      <c r="O1458" s="9">
        <f>IF($A1458="","",N1458&amp;"|"&amp;$F1458)</f>
        <v/>
      </c>
      <c r="P1458" s="94">
        <f>IF($A1458="",0,$H1458*설정!$C$23)</f>
        <v/>
      </c>
      <c r="Q1458" s="64">
        <f>IF($A1458="","",IF(O1458&lt;&gt;원인분석!$C$9,"",IF(AND(M1458&gt;=원인분석!$C$10,M1458&lt;=원인분석!$C$11),"당기",IF(AND(M1458&gt;=원인분석!$C$12,M1458&lt;=원인분석!$C$13),"비교",""))))</f>
        <v/>
      </c>
      <c r="R1458" s="9">
        <f>IF(Q1458="","",$K1458&amp;"")</f>
        <v/>
      </c>
      <c r="S1458" s="9">
        <f>IF(Q1458="","",IF(MATCH(R1458,$R$5:$R$100000,0)=ROW()-4,ROW(),""))</f>
        <v/>
      </c>
      <c r="T1458" s="9">
        <f>IF(Q1458="당기",ABS(P1458)+ROW()/1000000000,"")</f>
        <v/>
      </c>
      <c r="U1458" s="9">
        <f>IF(Q1458="비교",ABS(P1458)+ROW()/1000000000,"")</f>
        <v/>
      </c>
      <c r="V1458" s="64">
        <f>IF($A1458="","",IF(COUNTIF(변동분석!$E$7:$E$506,O1458)&gt;0,"Y","N"))</f>
        <v/>
      </c>
      <c r="W1458" s="64">
        <f>IF($A1458="","",IFERROR(INDEX(계정매핑!$D$5:$D$504,MATCH($F1458&amp;"",계정매핑!$A$5:$A$504,0)),"미매핑"))</f>
        <v/>
      </c>
      <c r="X1458" s="9">
        <f>IF($A1458="","",$F1458&amp;"")</f>
        <v/>
      </c>
      <c r="Y1458" s="94">
        <f>IF($A1458="",0,IF(AE1458="직접",IF(AF1458="비귀속",$P1458,0),$P1458*(1-AG1458)*IFERROR(INDEX(계정대체기준!$F$20:$F$49,MATCH($N1458,계정대체기준!$A$20:$A$49,0)),1)))</f>
        <v/>
      </c>
      <c r="Z1458" s="94">
        <f>IF($A1458="",0,IF(AE1458="직접",IF(AF1458="신계약비",$P1458,0),$P1458*(1-AG1458)*IFERROR(INDEX(계정대체기준!$C$20:$C$49,MATCH($N1458,계정대체기준!$A$20:$A$49,0)),0)))</f>
        <v/>
      </c>
      <c r="AA1458" s="94">
        <f>IF($A1458="",0,IF(AE1458="직접",IF(OR(AF1458="유지비",AF1458="손해조사비"),$P1458,0),$P1458*(1-AG1458)*IFERROR(INDEX(계정대체기준!$D$20:$D$49,MATCH($N1458,계정대체기준!$A$20:$A$49,0)),0)))</f>
        <v/>
      </c>
      <c r="AB1458" s="94">
        <f>IF($A1458="",0,IF(AE1458="직접",IF(AF1458="수금비",$P1458,0),$P1458*(1-AG1458)*IFERROR(INDEX(계정대체기준!$E$20:$E$49,MATCH($N1458,계정대체기준!$A$20:$A$49,0)),0)))</f>
        <v/>
      </c>
      <c r="AC1458" s="9">
        <f>IF(AND($A1458&lt;&gt;"",M1458=설정!$C$20,Z1458&gt;0),Z1458+ROW()/1000000000,"")</f>
        <v/>
      </c>
      <c r="AD1458" s="94">
        <f>IF($A1458="",0,$P1458*AG1458)</f>
        <v/>
      </c>
      <c r="AE1458" s="64">
        <f>IF($A1458="","",IFERROR(INDEX(계정매핑!$E$5:$E$504,MATCH($F1458&amp;"",계정매핑!$A$5:$A$504,0))&amp;"","공통비"))</f>
        <v/>
      </c>
      <c r="AF1458" s="64">
        <f>IF($A1458="","",IF(AE1458="직접",IFERROR(INDEX(계정매핑!$F$5:$F$504,MATCH($F1458&amp;"",계정매핑!$A$5:$A$504,0))&amp;"","비귀속"),""))</f>
        <v/>
      </c>
      <c r="AG1458" s="96">
        <f>IF($A1458="",0,IF(AND(AE1458&lt;&gt;"직접",IFERROR(INDEX(계정매핑!$G$5:$G$504,MATCH($F1458&amp;"",계정매핑!$A$5:$A$504,0))&amp;"","")="유지비",COUNTIF(계정대체기준!$A$6:$A$15,$N1458)&gt;0),IFERROR(INDEX(계정대체기준!$E$6:$E$15,MATCH(VALUE($A1458&amp;""),계정대체기준!$D$6:$D$15,0)),0),0))</f>
        <v/>
      </c>
      <c r="AH1458" s="64">
        <f>IF($A1458="","",IF(AD1458=0,"",IF(OR(COUNTIF(계정대체기준!$A$77:$A$86,$N1458)&gt;0,ISNUMBER(MATCH($X1458,계정대체기준!$D$77:$D$86,0)),ISNUMBER(MATCH($F1458,계정대체기준!$D$77:$D$86,0))),"Y","N")))</f>
        <v/>
      </c>
    </row>
    <row r="1459">
      <c r="A1459" s="92" t="n">
        <v>2025</v>
      </c>
      <c r="B1459" s="92" t="n">
        <v>7</v>
      </c>
      <c r="C1459" s="92" t="inlineStr">
        <is>
          <t>5100001455</t>
        </is>
      </c>
      <c r="D1459" s="95" t="n">
        <v>45850</v>
      </c>
      <c r="E1459" s="92" t="inlineStr">
        <is>
          <t>KR</t>
        </is>
      </c>
      <c r="F1459" s="92" t="n">
        <v>62501000</v>
      </c>
      <c r="G1459" s="92" t="n">
        <v>1201</v>
      </c>
      <c r="H1459" s="93" t="n">
        <v>175000</v>
      </c>
      <c r="I1459" s="92" t="inlineStr">
        <is>
          <t>7월 회의 다과 - (법인카드)</t>
        </is>
      </c>
      <c r="J1459" s="92" t="inlineStr">
        <is>
          <t>V10010</t>
        </is>
      </c>
      <c r="K1459" s="92" t="inlineStr">
        <is>
          <t>(법인카드)</t>
        </is>
      </c>
      <c r="M1459" s="9">
        <f>IF($A1459="","",VALUE($A1459&amp;"")*12+VALUE($B1459&amp;""))</f>
        <v/>
      </c>
      <c r="N1459" s="64">
        <f>IF($A1459="","",IFERROR(INDEX(부서매핑!$C$5:$C$504,MATCH($G1459&amp;"",부서매핑!$A$5:$A$504,0)),"미매핑"))</f>
        <v/>
      </c>
      <c r="O1459" s="9">
        <f>IF($A1459="","",N1459&amp;"|"&amp;$F1459)</f>
        <v/>
      </c>
      <c r="P1459" s="94">
        <f>IF($A1459="",0,$H1459*설정!$C$23)</f>
        <v/>
      </c>
      <c r="Q1459" s="64">
        <f>IF($A1459="","",IF(O1459&lt;&gt;원인분석!$C$9,"",IF(AND(M1459&gt;=원인분석!$C$10,M1459&lt;=원인분석!$C$11),"당기",IF(AND(M1459&gt;=원인분석!$C$12,M1459&lt;=원인분석!$C$13),"비교",""))))</f>
        <v/>
      </c>
      <c r="R1459" s="9">
        <f>IF(Q1459="","",$K1459&amp;"")</f>
        <v/>
      </c>
      <c r="S1459" s="9">
        <f>IF(Q1459="","",IF(MATCH(R1459,$R$5:$R$100000,0)=ROW()-4,ROW(),""))</f>
        <v/>
      </c>
      <c r="T1459" s="9">
        <f>IF(Q1459="당기",ABS(P1459)+ROW()/1000000000,"")</f>
        <v/>
      </c>
      <c r="U1459" s="9">
        <f>IF(Q1459="비교",ABS(P1459)+ROW()/1000000000,"")</f>
        <v/>
      </c>
      <c r="V1459" s="64">
        <f>IF($A1459="","",IF(COUNTIF(변동분석!$E$7:$E$506,O1459)&gt;0,"Y","N"))</f>
        <v/>
      </c>
      <c r="W1459" s="64">
        <f>IF($A1459="","",IFERROR(INDEX(계정매핑!$D$5:$D$504,MATCH($F1459&amp;"",계정매핑!$A$5:$A$504,0)),"미매핑"))</f>
        <v/>
      </c>
      <c r="X1459" s="9">
        <f>IF($A1459="","",$F1459&amp;"")</f>
        <v/>
      </c>
      <c r="Y1459" s="94">
        <f>IF($A1459="",0,IF(AE1459="직접",IF(AF1459="비귀속",$P1459,0),$P1459*(1-AG1459)*IFERROR(INDEX(계정대체기준!$F$20:$F$49,MATCH($N1459,계정대체기준!$A$20:$A$49,0)),1)))</f>
        <v/>
      </c>
      <c r="Z1459" s="94">
        <f>IF($A1459="",0,IF(AE1459="직접",IF(AF1459="신계약비",$P1459,0),$P1459*(1-AG1459)*IFERROR(INDEX(계정대체기준!$C$20:$C$49,MATCH($N1459,계정대체기준!$A$20:$A$49,0)),0)))</f>
        <v/>
      </c>
      <c r="AA1459" s="94">
        <f>IF($A1459="",0,IF(AE1459="직접",IF(OR(AF1459="유지비",AF1459="손해조사비"),$P1459,0),$P1459*(1-AG1459)*IFERROR(INDEX(계정대체기준!$D$20:$D$49,MATCH($N1459,계정대체기준!$A$20:$A$49,0)),0)))</f>
        <v/>
      </c>
      <c r="AB1459" s="94">
        <f>IF($A1459="",0,IF(AE1459="직접",IF(AF1459="수금비",$P1459,0),$P1459*(1-AG1459)*IFERROR(INDEX(계정대체기준!$E$20:$E$49,MATCH($N1459,계정대체기준!$A$20:$A$49,0)),0)))</f>
        <v/>
      </c>
      <c r="AC1459" s="9">
        <f>IF(AND($A1459&lt;&gt;"",M1459=설정!$C$20,Z1459&gt;0),Z1459+ROW()/1000000000,"")</f>
        <v/>
      </c>
      <c r="AD1459" s="94">
        <f>IF($A1459="",0,$P1459*AG1459)</f>
        <v/>
      </c>
      <c r="AE1459" s="64">
        <f>IF($A1459="","",IFERROR(INDEX(계정매핑!$E$5:$E$504,MATCH($F1459&amp;"",계정매핑!$A$5:$A$504,0))&amp;"","공통비"))</f>
        <v/>
      </c>
      <c r="AF1459" s="64">
        <f>IF($A1459="","",IF(AE1459="직접",IFERROR(INDEX(계정매핑!$F$5:$F$504,MATCH($F1459&amp;"",계정매핑!$A$5:$A$504,0))&amp;"","비귀속"),""))</f>
        <v/>
      </c>
      <c r="AG1459" s="96">
        <f>IF($A1459="",0,IF(AND(AE1459&lt;&gt;"직접",IFERROR(INDEX(계정매핑!$G$5:$G$504,MATCH($F1459&amp;"",계정매핑!$A$5:$A$504,0))&amp;"","")="유지비",COUNTIF(계정대체기준!$A$6:$A$15,$N1459)&gt;0),IFERROR(INDEX(계정대체기준!$E$6:$E$15,MATCH(VALUE($A1459&amp;""),계정대체기준!$D$6:$D$15,0)),0),0))</f>
        <v/>
      </c>
      <c r="AH1459" s="64">
        <f>IF($A1459="","",IF(AD1459=0,"",IF(OR(COUNTIF(계정대체기준!$A$77:$A$86,$N1459)&gt;0,ISNUMBER(MATCH($X1459,계정대체기준!$D$77:$D$86,0)),ISNUMBER(MATCH($F1459,계정대체기준!$D$77:$D$86,0))),"Y","N")))</f>
        <v/>
      </c>
    </row>
    <row r="1460">
      <c r="A1460" s="92" t="n">
        <v>2025</v>
      </c>
      <c r="B1460" s="92" t="n">
        <v>7</v>
      </c>
      <c r="C1460" s="92" t="inlineStr">
        <is>
          <t>5100001456</t>
        </is>
      </c>
      <c r="D1460" s="95" t="n">
        <v>45851</v>
      </c>
      <c r="E1460" s="92" t="inlineStr">
        <is>
          <t>KR</t>
        </is>
      </c>
      <c r="F1460" s="92" t="n">
        <v>62101000</v>
      </c>
      <c r="G1460" s="92" t="n">
        <v>1101</v>
      </c>
      <c r="H1460" s="93" t="n">
        <v>395000</v>
      </c>
      <c r="I1460" s="92" t="inlineStr">
        <is>
          <t>7월 국내출장 - M항공</t>
        </is>
      </c>
      <c r="J1460" s="92" t="inlineStr">
        <is>
          <t>V10001</t>
        </is>
      </c>
      <c r="K1460" s="92" t="inlineStr">
        <is>
          <t>M항공</t>
        </is>
      </c>
      <c r="M1460" s="9">
        <f>IF($A1460="","",VALUE($A1460&amp;"")*12+VALUE($B1460&amp;""))</f>
        <v/>
      </c>
      <c r="N1460" s="64">
        <f>IF($A1460="","",IFERROR(INDEX(부서매핑!$C$5:$C$504,MATCH($G1460&amp;"",부서매핑!$A$5:$A$504,0)),"미매핑"))</f>
        <v/>
      </c>
      <c r="O1460" s="9">
        <f>IF($A1460="","",N1460&amp;"|"&amp;$F1460)</f>
        <v/>
      </c>
      <c r="P1460" s="94">
        <f>IF($A1460="",0,$H1460*설정!$C$23)</f>
        <v/>
      </c>
      <c r="Q1460" s="64">
        <f>IF($A1460="","",IF(O1460&lt;&gt;원인분석!$C$9,"",IF(AND(M1460&gt;=원인분석!$C$10,M1460&lt;=원인분석!$C$11),"당기",IF(AND(M1460&gt;=원인분석!$C$12,M1460&lt;=원인분석!$C$13),"비교",""))))</f>
        <v/>
      </c>
      <c r="R1460" s="9">
        <f>IF(Q1460="","",$K1460&amp;"")</f>
        <v/>
      </c>
      <c r="S1460" s="9">
        <f>IF(Q1460="","",IF(MATCH(R1460,$R$5:$R$100000,0)=ROW()-4,ROW(),""))</f>
        <v/>
      </c>
      <c r="T1460" s="9">
        <f>IF(Q1460="당기",ABS(P1460)+ROW()/1000000000,"")</f>
        <v/>
      </c>
      <c r="U1460" s="9">
        <f>IF(Q1460="비교",ABS(P1460)+ROW()/1000000000,"")</f>
        <v/>
      </c>
      <c r="V1460" s="64">
        <f>IF($A1460="","",IF(COUNTIF(변동분석!$E$7:$E$506,O1460)&gt;0,"Y","N"))</f>
        <v/>
      </c>
      <c r="W1460" s="64">
        <f>IF($A1460="","",IFERROR(INDEX(계정매핑!$D$5:$D$504,MATCH($F1460&amp;"",계정매핑!$A$5:$A$504,0)),"미매핑"))</f>
        <v/>
      </c>
      <c r="X1460" s="9">
        <f>IF($A1460="","",$F1460&amp;"")</f>
        <v/>
      </c>
      <c r="Y1460" s="94">
        <f>IF($A1460="",0,IF(AE1460="직접",IF(AF1460="비귀속",$P1460,0),$P1460*(1-AG1460)*IFERROR(INDEX(계정대체기준!$F$20:$F$49,MATCH($N1460,계정대체기준!$A$20:$A$49,0)),1)))</f>
        <v/>
      </c>
      <c r="Z1460" s="94">
        <f>IF($A1460="",0,IF(AE1460="직접",IF(AF1460="신계약비",$P1460,0),$P1460*(1-AG1460)*IFERROR(INDEX(계정대체기준!$C$20:$C$49,MATCH($N1460,계정대체기준!$A$20:$A$49,0)),0)))</f>
        <v/>
      </c>
      <c r="AA1460" s="94">
        <f>IF($A1460="",0,IF(AE1460="직접",IF(OR(AF1460="유지비",AF1460="손해조사비"),$P1460,0),$P1460*(1-AG1460)*IFERROR(INDEX(계정대체기준!$D$20:$D$49,MATCH($N1460,계정대체기준!$A$20:$A$49,0)),0)))</f>
        <v/>
      </c>
      <c r="AB1460" s="94">
        <f>IF($A1460="",0,IF(AE1460="직접",IF(AF1460="수금비",$P1460,0),$P1460*(1-AG1460)*IFERROR(INDEX(계정대체기준!$E$20:$E$49,MATCH($N1460,계정대체기준!$A$20:$A$49,0)),0)))</f>
        <v/>
      </c>
      <c r="AC1460" s="9">
        <f>IF(AND($A1460&lt;&gt;"",M1460=설정!$C$20,Z1460&gt;0),Z1460+ROW()/1000000000,"")</f>
        <v/>
      </c>
      <c r="AD1460" s="94">
        <f>IF($A1460="",0,$P1460*AG1460)</f>
        <v/>
      </c>
      <c r="AE1460" s="64">
        <f>IF($A1460="","",IFERROR(INDEX(계정매핑!$E$5:$E$504,MATCH($F1460&amp;"",계정매핑!$A$5:$A$504,0))&amp;"","공통비"))</f>
        <v/>
      </c>
      <c r="AF1460" s="64">
        <f>IF($A1460="","",IF(AE1460="직접",IFERROR(INDEX(계정매핑!$F$5:$F$504,MATCH($F1460&amp;"",계정매핑!$A$5:$A$504,0))&amp;"","비귀속"),""))</f>
        <v/>
      </c>
      <c r="AG1460" s="96">
        <f>IF($A1460="",0,IF(AND(AE1460&lt;&gt;"직접",IFERROR(INDEX(계정매핑!$G$5:$G$504,MATCH($F1460&amp;"",계정매핑!$A$5:$A$504,0))&amp;"","")="유지비",COUNTIF(계정대체기준!$A$6:$A$15,$N1460)&gt;0),IFERROR(INDEX(계정대체기준!$E$6:$E$15,MATCH(VALUE($A1460&amp;""),계정대체기준!$D$6:$D$15,0)),0),0))</f>
        <v/>
      </c>
      <c r="AH1460" s="64">
        <f>IF($A1460="","",IF(AD1460=0,"",IF(OR(COUNTIF(계정대체기준!$A$77:$A$86,$N1460)&gt;0,ISNUMBER(MATCH($X1460,계정대체기준!$D$77:$D$86,0)),ISNUMBER(MATCH($F1460,계정대체기준!$D$77:$D$86,0))),"Y","N")))</f>
        <v/>
      </c>
    </row>
    <row r="1461">
      <c r="A1461" s="92" t="n">
        <v>2025</v>
      </c>
      <c r="B1461" s="92" t="n">
        <v>7</v>
      </c>
      <c r="C1461" s="92" t="inlineStr">
        <is>
          <t>5100001457</t>
        </is>
      </c>
      <c r="D1461" s="95" t="n">
        <v>45851</v>
      </c>
      <c r="E1461" s="92" t="inlineStr">
        <is>
          <t>KR</t>
        </is>
      </c>
      <c r="F1461" s="92" t="n">
        <v>62101000</v>
      </c>
      <c r="G1461" s="92" t="n">
        <v>1801</v>
      </c>
      <c r="H1461" s="93" t="n">
        <v>104000</v>
      </c>
      <c r="I1461" s="92" t="inlineStr">
        <is>
          <t>7월 국내출장 - (법인카드)</t>
        </is>
      </c>
      <c r="J1461" s="92" t="inlineStr">
        <is>
          <t>V10010</t>
        </is>
      </c>
      <c r="K1461" s="92" t="inlineStr">
        <is>
          <t>(법인카드)</t>
        </is>
      </c>
      <c r="M1461" s="9">
        <f>IF($A1461="","",VALUE($A1461&amp;"")*12+VALUE($B1461&amp;""))</f>
        <v/>
      </c>
      <c r="N1461" s="64">
        <f>IF($A1461="","",IFERROR(INDEX(부서매핑!$C$5:$C$504,MATCH($G1461&amp;"",부서매핑!$A$5:$A$504,0)),"미매핑"))</f>
        <v/>
      </c>
      <c r="O1461" s="9">
        <f>IF($A1461="","",N1461&amp;"|"&amp;$F1461)</f>
        <v/>
      </c>
      <c r="P1461" s="94">
        <f>IF($A1461="",0,$H1461*설정!$C$23)</f>
        <v/>
      </c>
      <c r="Q1461" s="64">
        <f>IF($A1461="","",IF(O1461&lt;&gt;원인분석!$C$9,"",IF(AND(M1461&gt;=원인분석!$C$10,M1461&lt;=원인분석!$C$11),"당기",IF(AND(M1461&gt;=원인분석!$C$12,M1461&lt;=원인분석!$C$13),"비교",""))))</f>
        <v/>
      </c>
      <c r="R1461" s="9">
        <f>IF(Q1461="","",$K1461&amp;"")</f>
        <v/>
      </c>
      <c r="S1461" s="9">
        <f>IF(Q1461="","",IF(MATCH(R1461,$R$5:$R$100000,0)=ROW()-4,ROW(),""))</f>
        <v/>
      </c>
      <c r="T1461" s="9">
        <f>IF(Q1461="당기",ABS(P1461)+ROW()/1000000000,"")</f>
        <v/>
      </c>
      <c r="U1461" s="9">
        <f>IF(Q1461="비교",ABS(P1461)+ROW()/1000000000,"")</f>
        <v/>
      </c>
      <c r="V1461" s="64">
        <f>IF($A1461="","",IF(COUNTIF(변동분석!$E$7:$E$506,O1461)&gt;0,"Y","N"))</f>
        <v/>
      </c>
      <c r="W1461" s="64">
        <f>IF($A1461="","",IFERROR(INDEX(계정매핑!$D$5:$D$504,MATCH($F1461&amp;"",계정매핑!$A$5:$A$504,0)),"미매핑"))</f>
        <v/>
      </c>
      <c r="X1461" s="9">
        <f>IF($A1461="","",$F1461&amp;"")</f>
        <v/>
      </c>
      <c r="Y1461" s="94">
        <f>IF($A1461="",0,IF(AE1461="직접",IF(AF1461="비귀속",$P1461,0),$P1461*(1-AG1461)*IFERROR(INDEX(계정대체기준!$F$20:$F$49,MATCH($N1461,계정대체기준!$A$20:$A$49,0)),1)))</f>
        <v/>
      </c>
      <c r="Z1461" s="94">
        <f>IF($A1461="",0,IF(AE1461="직접",IF(AF1461="신계약비",$P1461,0),$P1461*(1-AG1461)*IFERROR(INDEX(계정대체기준!$C$20:$C$49,MATCH($N1461,계정대체기준!$A$20:$A$49,0)),0)))</f>
        <v/>
      </c>
      <c r="AA1461" s="94">
        <f>IF($A1461="",0,IF(AE1461="직접",IF(OR(AF1461="유지비",AF1461="손해조사비"),$P1461,0),$P1461*(1-AG1461)*IFERROR(INDEX(계정대체기준!$D$20:$D$49,MATCH($N1461,계정대체기준!$A$20:$A$49,0)),0)))</f>
        <v/>
      </c>
      <c r="AB1461" s="94">
        <f>IF($A1461="",0,IF(AE1461="직접",IF(AF1461="수금비",$P1461,0),$P1461*(1-AG1461)*IFERROR(INDEX(계정대체기준!$E$20:$E$49,MATCH($N1461,계정대체기준!$A$20:$A$49,0)),0)))</f>
        <v/>
      </c>
      <c r="AC1461" s="9">
        <f>IF(AND($A1461&lt;&gt;"",M1461=설정!$C$20,Z1461&gt;0),Z1461+ROW()/1000000000,"")</f>
        <v/>
      </c>
      <c r="AD1461" s="94">
        <f>IF($A1461="",0,$P1461*AG1461)</f>
        <v/>
      </c>
      <c r="AE1461" s="64">
        <f>IF($A1461="","",IFERROR(INDEX(계정매핑!$E$5:$E$504,MATCH($F1461&amp;"",계정매핑!$A$5:$A$504,0))&amp;"","공통비"))</f>
        <v/>
      </c>
      <c r="AF1461" s="64">
        <f>IF($A1461="","",IF(AE1461="직접",IFERROR(INDEX(계정매핑!$F$5:$F$504,MATCH($F1461&amp;"",계정매핑!$A$5:$A$504,0))&amp;"","비귀속"),""))</f>
        <v/>
      </c>
      <c r="AG1461" s="96">
        <f>IF($A1461="",0,IF(AND(AE1461&lt;&gt;"직접",IFERROR(INDEX(계정매핑!$G$5:$G$504,MATCH($F1461&amp;"",계정매핑!$A$5:$A$504,0))&amp;"","")="유지비",COUNTIF(계정대체기준!$A$6:$A$15,$N1461)&gt;0),IFERROR(INDEX(계정대체기준!$E$6:$E$15,MATCH(VALUE($A1461&amp;""),계정대체기준!$D$6:$D$15,0)),0),0))</f>
        <v/>
      </c>
      <c r="AH1461" s="64">
        <f>IF($A1461="","",IF(AD1461=0,"",IF(OR(COUNTIF(계정대체기준!$A$77:$A$86,$N1461)&gt;0,ISNUMBER(MATCH($X1461,계정대체기준!$D$77:$D$86,0)),ISNUMBER(MATCH($F1461,계정대체기준!$D$77:$D$86,0))),"Y","N")))</f>
        <v/>
      </c>
    </row>
    <row r="1462">
      <c r="A1462" s="92" t="n">
        <v>2025</v>
      </c>
      <c r="B1462" s="92" t="n">
        <v>7</v>
      </c>
      <c r="C1462" s="92" t="inlineStr">
        <is>
          <t>5100001458</t>
        </is>
      </c>
      <c r="D1462" s="95" t="n">
        <v>45851</v>
      </c>
      <c r="E1462" s="92" t="inlineStr">
        <is>
          <t>KR</t>
        </is>
      </c>
      <c r="F1462" s="92" t="n">
        <v>62102000</v>
      </c>
      <c r="G1462" s="92" t="n">
        <v>1201</v>
      </c>
      <c r="H1462" s="93" t="n">
        <v>44000</v>
      </c>
      <c r="I1462" s="92" t="inlineStr">
        <is>
          <t>7월 해외출장 - M항공</t>
        </is>
      </c>
      <c r="J1462" s="92" t="inlineStr">
        <is>
          <t>V10001</t>
        </is>
      </c>
      <c r="K1462" s="92" t="inlineStr">
        <is>
          <t>M항공</t>
        </is>
      </c>
      <c r="M1462" s="9">
        <f>IF($A1462="","",VALUE($A1462&amp;"")*12+VALUE($B1462&amp;""))</f>
        <v/>
      </c>
      <c r="N1462" s="64">
        <f>IF($A1462="","",IFERROR(INDEX(부서매핑!$C$5:$C$504,MATCH($G1462&amp;"",부서매핑!$A$5:$A$504,0)),"미매핑"))</f>
        <v/>
      </c>
      <c r="O1462" s="9">
        <f>IF($A1462="","",N1462&amp;"|"&amp;$F1462)</f>
        <v/>
      </c>
      <c r="P1462" s="94">
        <f>IF($A1462="",0,$H1462*설정!$C$23)</f>
        <v/>
      </c>
      <c r="Q1462" s="64">
        <f>IF($A1462="","",IF(O1462&lt;&gt;원인분석!$C$9,"",IF(AND(M1462&gt;=원인분석!$C$10,M1462&lt;=원인분석!$C$11),"당기",IF(AND(M1462&gt;=원인분석!$C$12,M1462&lt;=원인분석!$C$13),"비교",""))))</f>
        <v/>
      </c>
      <c r="R1462" s="9">
        <f>IF(Q1462="","",$K1462&amp;"")</f>
        <v/>
      </c>
      <c r="S1462" s="9">
        <f>IF(Q1462="","",IF(MATCH(R1462,$R$5:$R$100000,0)=ROW()-4,ROW(),""))</f>
        <v/>
      </c>
      <c r="T1462" s="9">
        <f>IF(Q1462="당기",ABS(P1462)+ROW()/1000000000,"")</f>
        <v/>
      </c>
      <c r="U1462" s="9">
        <f>IF(Q1462="비교",ABS(P1462)+ROW()/1000000000,"")</f>
        <v/>
      </c>
      <c r="V1462" s="64">
        <f>IF($A1462="","",IF(COUNTIF(변동분석!$E$7:$E$506,O1462)&gt;0,"Y","N"))</f>
        <v/>
      </c>
      <c r="W1462" s="64">
        <f>IF($A1462="","",IFERROR(INDEX(계정매핑!$D$5:$D$504,MATCH($F1462&amp;"",계정매핑!$A$5:$A$504,0)),"미매핑"))</f>
        <v/>
      </c>
      <c r="X1462" s="9">
        <f>IF($A1462="","",$F1462&amp;"")</f>
        <v/>
      </c>
      <c r="Y1462" s="94">
        <f>IF($A1462="",0,IF(AE1462="직접",IF(AF1462="비귀속",$P1462,0),$P1462*(1-AG1462)*IFERROR(INDEX(계정대체기준!$F$20:$F$49,MATCH($N1462,계정대체기준!$A$20:$A$49,0)),1)))</f>
        <v/>
      </c>
      <c r="Z1462" s="94">
        <f>IF($A1462="",0,IF(AE1462="직접",IF(AF1462="신계약비",$P1462,0),$P1462*(1-AG1462)*IFERROR(INDEX(계정대체기준!$C$20:$C$49,MATCH($N1462,계정대체기준!$A$20:$A$49,0)),0)))</f>
        <v/>
      </c>
      <c r="AA1462" s="94">
        <f>IF($A1462="",0,IF(AE1462="직접",IF(OR(AF1462="유지비",AF1462="손해조사비"),$P1462,0),$P1462*(1-AG1462)*IFERROR(INDEX(계정대체기준!$D$20:$D$49,MATCH($N1462,계정대체기준!$A$20:$A$49,0)),0)))</f>
        <v/>
      </c>
      <c r="AB1462" s="94">
        <f>IF($A1462="",0,IF(AE1462="직접",IF(AF1462="수금비",$P1462,0),$P1462*(1-AG1462)*IFERROR(INDEX(계정대체기준!$E$20:$E$49,MATCH($N1462,계정대체기준!$A$20:$A$49,0)),0)))</f>
        <v/>
      </c>
      <c r="AC1462" s="9">
        <f>IF(AND($A1462&lt;&gt;"",M1462=설정!$C$20,Z1462&gt;0),Z1462+ROW()/1000000000,"")</f>
        <v/>
      </c>
      <c r="AD1462" s="94">
        <f>IF($A1462="",0,$P1462*AG1462)</f>
        <v/>
      </c>
      <c r="AE1462" s="64">
        <f>IF($A1462="","",IFERROR(INDEX(계정매핑!$E$5:$E$504,MATCH($F1462&amp;"",계정매핑!$A$5:$A$504,0))&amp;"","공통비"))</f>
        <v/>
      </c>
      <c r="AF1462" s="64">
        <f>IF($A1462="","",IF(AE1462="직접",IFERROR(INDEX(계정매핑!$F$5:$F$504,MATCH($F1462&amp;"",계정매핑!$A$5:$A$504,0))&amp;"","비귀속"),""))</f>
        <v/>
      </c>
      <c r="AG1462" s="96">
        <f>IF($A1462="",0,IF(AND(AE1462&lt;&gt;"직접",IFERROR(INDEX(계정매핑!$G$5:$G$504,MATCH($F1462&amp;"",계정매핑!$A$5:$A$504,0))&amp;"","")="유지비",COUNTIF(계정대체기준!$A$6:$A$15,$N1462)&gt;0),IFERROR(INDEX(계정대체기준!$E$6:$E$15,MATCH(VALUE($A1462&amp;""),계정대체기준!$D$6:$D$15,0)),0),0))</f>
        <v/>
      </c>
      <c r="AH1462" s="64">
        <f>IF($A1462="","",IF(AD1462=0,"",IF(OR(COUNTIF(계정대체기준!$A$77:$A$86,$N1462)&gt;0,ISNUMBER(MATCH($X1462,계정대체기준!$D$77:$D$86,0)),ISNUMBER(MATCH($F1462,계정대체기준!$D$77:$D$86,0))),"Y","N")))</f>
        <v/>
      </c>
    </row>
    <row r="1463">
      <c r="A1463" s="92" t="n">
        <v>2025</v>
      </c>
      <c r="B1463" s="92" t="n">
        <v>7</v>
      </c>
      <c r="C1463" s="92" t="inlineStr">
        <is>
          <t>5100001459</t>
        </is>
      </c>
      <c r="D1463" s="95" t="n">
        <v>45851</v>
      </c>
      <c r="E1463" s="92" t="inlineStr">
        <is>
          <t>KR</t>
        </is>
      </c>
      <c r="F1463" s="92" t="n">
        <v>62201000</v>
      </c>
      <c r="G1463" s="92" t="n">
        <v>1401</v>
      </c>
      <c r="H1463" s="93" t="n">
        <v>103000</v>
      </c>
      <c r="I1463" s="92" t="inlineStr">
        <is>
          <t>7월 통신요금 - O텔레콤</t>
        </is>
      </c>
      <c r="J1463" s="92" t="inlineStr">
        <is>
          <t>V10002</t>
        </is>
      </c>
      <c r="K1463" s="92" t="inlineStr">
        <is>
          <t>O텔레콤</t>
        </is>
      </c>
      <c r="M1463" s="9">
        <f>IF($A1463="","",VALUE($A1463&amp;"")*12+VALUE($B1463&amp;""))</f>
        <v/>
      </c>
      <c r="N1463" s="64">
        <f>IF($A1463="","",IFERROR(INDEX(부서매핑!$C$5:$C$504,MATCH($G1463&amp;"",부서매핑!$A$5:$A$504,0)),"미매핑"))</f>
        <v/>
      </c>
      <c r="O1463" s="9">
        <f>IF($A1463="","",N1463&amp;"|"&amp;$F1463)</f>
        <v/>
      </c>
      <c r="P1463" s="94">
        <f>IF($A1463="",0,$H1463*설정!$C$23)</f>
        <v/>
      </c>
      <c r="Q1463" s="64">
        <f>IF($A1463="","",IF(O1463&lt;&gt;원인분석!$C$9,"",IF(AND(M1463&gt;=원인분석!$C$10,M1463&lt;=원인분석!$C$11),"당기",IF(AND(M1463&gt;=원인분석!$C$12,M1463&lt;=원인분석!$C$13),"비교",""))))</f>
        <v/>
      </c>
      <c r="R1463" s="9">
        <f>IF(Q1463="","",$K1463&amp;"")</f>
        <v/>
      </c>
      <c r="S1463" s="9">
        <f>IF(Q1463="","",IF(MATCH(R1463,$R$5:$R$100000,0)=ROW()-4,ROW(),""))</f>
        <v/>
      </c>
      <c r="T1463" s="9">
        <f>IF(Q1463="당기",ABS(P1463)+ROW()/1000000000,"")</f>
        <v/>
      </c>
      <c r="U1463" s="9">
        <f>IF(Q1463="비교",ABS(P1463)+ROW()/1000000000,"")</f>
        <v/>
      </c>
      <c r="V1463" s="64">
        <f>IF($A1463="","",IF(COUNTIF(변동분석!$E$7:$E$506,O1463)&gt;0,"Y","N"))</f>
        <v/>
      </c>
      <c r="W1463" s="64">
        <f>IF($A1463="","",IFERROR(INDEX(계정매핑!$D$5:$D$504,MATCH($F1463&amp;"",계정매핑!$A$5:$A$504,0)),"미매핑"))</f>
        <v/>
      </c>
      <c r="X1463" s="9">
        <f>IF($A1463="","",$F1463&amp;"")</f>
        <v/>
      </c>
      <c r="Y1463" s="94">
        <f>IF($A1463="",0,IF(AE1463="직접",IF(AF1463="비귀속",$P1463,0),$P1463*(1-AG1463)*IFERROR(INDEX(계정대체기준!$F$20:$F$49,MATCH($N1463,계정대체기준!$A$20:$A$49,0)),1)))</f>
        <v/>
      </c>
      <c r="Z1463" s="94">
        <f>IF($A1463="",0,IF(AE1463="직접",IF(AF1463="신계약비",$P1463,0),$P1463*(1-AG1463)*IFERROR(INDEX(계정대체기준!$C$20:$C$49,MATCH($N1463,계정대체기준!$A$20:$A$49,0)),0)))</f>
        <v/>
      </c>
      <c r="AA1463" s="94">
        <f>IF($A1463="",0,IF(AE1463="직접",IF(OR(AF1463="유지비",AF1463="손해조사비"),$P1463,0),$P1463*(1-AG1463)*IFERROR(INDEX(계정대체기준!$D$20:$D$49,MATCH($N1463,계정대체기준!$A$20:$A$49,0)),0)))</f>
        <v/>
      </c>
      <c r="AB1463" s="94">
        <f>IF($A1463="",0,IF(AE1463="직접",IF(AF1463="수금비",$P1463,0),$P1463*(1-AG1463)*IFERROR(INDEX(계정대체기준!$E$20:$E$49,MATCH($N1463,계정대체기준!$A$20:$A$49,0)),0)))</f>
        <v/>
      </c>
      <c r="AC1463" s="9">
        <f>IF(AND($A1463&lt;&gt;"",M1463=설정!$C$20,Z1463&gt;0),Z1463+ROW()/1000000000,"")</f>
        <v/>
      </c>
      <c r="AD1463" s="94">
        <f>IF($A1463="",0,$P1463*AG1463)</f>
        <v/>
      </c>
      <c r="AE1463" s="64">
        <f>IF($A1463="","",IFERROR(INDEX(계정매핑!$E$5:$E$504,MATCH($F1463&amp;"",계정매핑!$A$5:$A$504,0))&amp;"","공통비"))</f>
        <v/>
      </c>
      <c r="AF1463" s="64">
        <f>IF($A1463="","",IF(AE1463="직접",IFERROR(INDEX(계정매핑!$F$5:$F$504,MATCH($F1463&amp;"",계정매핑!$A$5:$A$504,0))&amp;"","비귀속"),""))</f>
        <v/>
      </c>
      <c r="AG1463" s="96">
        <f>IF($A1463="",0,IF(AND(AE1463&lt;&gt;"직접",IFERROR(INDEX(계정매핑!$G$5:$G$504,MATCH($F1463&amp;"",계정매핑!$A$5:$A$504,0))&amp;"","")="유지비",COUNTIF(계정대체기준!$A$6:$A$15,$N1463)&gt;0),IFERROR(INDEX(계정대체기준!$E$6:$E$15,MATCH(VALUE($A1463&amp;""),계정대체기준!$D$6:$D$15,0)),0),0))</f>
        <v/>
      </c>
      <c r="AH1463" s="64">
        <f>IF($A1463="","",IF(AD1463=0,"",IF(OR(COUNTIF(계정대체기준!$A$77:$A$86,$N1463)&gt;0,ISNUMBER(MATCH($X1463,계정대체기준!$D$77:$D$86,0)),ISNUMBER(MATCH($F1463,계정대체기준!$D$77:$D$86,0))),"Y","N")))</f>
        <v/>
      </c>
    </row>
    <row r="1464">
      <c r="A1464" s="92" t="n">
        <v>2025</v>
      </c>
      <c r="B1464" s="92" t="n">
        <v>7</v>
      </c>
      <c r="C1464" s="92" t="inlineStr">
        <is>
          <t>5100001460</t>
        </is>
      </c>
      <c r="D1464" s="95" t="n">
        <v>45851</v>
      </c>
      <c r="E1464" s="92" t="inlineStr">
        <is>
          <t>KR</t>
        </is>
      </c>
      <c r="F1464" s="92" t="n">
        <v>62501000</v>
      </c>
      <c r="G1464" s="92" t="n">
        <v>1101</v>
      </c>
      <c r="H1464" s="93" t="n">
        <v>303000</v>
      </c>
      <c r="I1464" s="92" t="inlineStr">
        <is>
          <t>7월 회의 다과 - T케이터링</t>
        </is>
      </c>
      <c r="J1464" s="92" t="inlineStr">
        <is>
          <t>V10005</t>
        </is>
      </c>
      <c r="K1464" s="92" t="inlineStr">
        <is>
          <t>T케이터링</t>
        </is>
      </c>
      <c r="M1464" s="9">
        <f>IF($A1464="","",VALUE($A1464&amp;"")*12+VALUE($B1464&amp;""))</f>
        <v/>
      </c>
      <c r="N1464" s="64">
        <f>IF($A1464="","",IFERROR(INDEX(부서매핑!$C$5:$C$504,MATCH($G1464&amp;"",부서매핑!$A$5:$A$504,0)),"미매핑"))</f>
        <v/>
      </c>
      <c r="O1464" s="9">
        <f>IF($A1464="","",N1464&amp;"|"&amp;$F1464)</f>
        <v/>
      </c>
      <c r="P1464" s="94">
        <f>IF($A1464="",0,$H1464*설정!$C$23)</f>
        <v/>
      </c>
      <c r="Q1464" s="64">
        <f>IF($A1464="","",IF(O1464&lt;&gt;원인분석!$C$9,"",IF(AND(M1464&gt;=원인분석!$C$10,M1464&lt;=원인분석!$C$11),"당기",IF(AND(M1464&gt;=원인분석!$C$12,M1464&lt;=원인분석!$C$13),"비교",""))))</f>
        <v/>
      </c>
      <c r="R1464" s="9">
        <f>IF(Q1464="","",$K1464&amp;"")</f>
        <v/>
      </c>
      <c r="S1464" s="9">
        <f>IF(Q1464="","",IF(MATCH(R1464,$R$5:$R$100000,0)=ROW()-4,ROW(),""))</f>
        <v/>
      </c>
      <c r="T1464" s="9">
        <f>IF(Q1464="당기",ABS(P1464)+ROW()/1000000000,"")</f>
        <v/>
      </c>
      <c r="U1464" s="9">
        <f>IF(Q1464="비교",ABS(P1464)+ROW()/1000000000,"")</f>
        <v/>
      </c>
      <c r="V1464" s="64">
        <f>IF($A1464="","",IF(COUNTIF(변동분석!$E$7:$E$506,O1464)&gt;0,"Y","N"))</f>
        <v/>
      </c>
      <c r="W1464" s="64">
        <f>IF($A1464="","",IFERROR(INDEX(계정매핑!$D$5:$D$504,MATCH($F1464&amp;"",계정매핑!$A$5:$A$504,0)),"미매핑"))</f>
        <v/>
      </c>
      <c r="X1464" s="9">
        <f>IF($A1464="","",$F1464&amp;"")</f>
        <v/>
      </c>
      <c r="Y1464" s="94">
        <f>IF($A1464="",0,IF(AE1464="직접",IF(AF1464="비귀속",$P1464,0),$P1464*(1-AG1464)*IFERROR(INDEX(계정대체기준!$F$20:$F$49,MATCH($N1464,계정대체기준!$A$20:$A$49,0)),1)))</f>
        <v/>
      </c>
      <c r="Z1464" s="94">
        <f>IF($A1464="",0,IF(AE1464="직접",IF(AF1464="신계약비",$P1464,0),$P1464*(1-AG1464)*IFERROR(INDEX(계정대체기준!$C$20:$C$49,MATCH($N1464,계정대체기준!$A$20:$A$49,0)),0)))</f>
        <v/>
      </c>
      <c r="AA1464" s="94">
        <f>IF($A1464="",0,IF(AE1464="직접",IF(OR(AF1464="유지비",AF1464="손해조사비"),$P1464,0),$P1464*(1-AG1464)*IFERROR(INDEX(계정대체기준!$D$20:$D$49,MATCH($N1464,계정대체기준!$A$20:$A$49,0)),0)))</f>
        <v/>
      </c>
      <c r="AB1464" s="94">
        <f>IF($A1464="",0,IF(AE1464="직접",IF(AF1464="수금비",$P1464,0),$P1464*(1-AG1464)*IFERROR(INDEX(계정대체기준!$E$20:$E$49,MATCH($N1464,계정대체기준!$A$20:$A$49,0)),0)))</f>
        <v/>
      </c>
      <c r="AC1464" s="9">
        <f>IF(AND($A1464&lt;&gt;"",M1464=설정!$C$20,Z1464&gt;0),Z1464+ROW()/1000000000,"")</f>
        <v/>
      </c>
      <c r="AD1464" s="94">
        <f>IF($A1464="",0,$P1464*AG1464)</f>
        <v/>
      </c>
      <c r="AE1464" s="64">
        <f>IF($A1464="","",IFERROR(INDEX(계정매핑!$E$5:$E$504,MATCH($F1464&amp;"",계정매핑!$A$5:$A$504,0))&amp;"","공통비"))</f>
        <v/>
      </c>
      <c r="AF1464" s="64">
        <f>IF($A1464="","",IF(AE1464="직접",IFERROR(INDEX(계정매핑!$F$5:$F$504,MATCH($F1464&amp;"",계정매핑!$A$5:$A$504,0))&amp;"","비귀속"),""))</f>
        <v/>
      </c>
      <c r="AG1464" s="96">
        <f>IF($A1464="",0,IF(AND(AE1464&lt;&gt;"직접",IFERROR(INDEX(계정매핑!$G$5:$G$504,MATCH($F1464&amp;"",계정매핑!$A$5:$A$504,0))&amp;"","")="유지비",COUNTIF(계정대체기준!$A$6:$A$15,$N1464)&gt;0),IFERROR(INDEX(계정대체기준!$E$6:$E$15,MATCH(VALUE($A1464&amp;""),계정대체기준!$D$6:$D$15,0)),0),0))</f>
        <v/>
      </c>
      <c r="AH1464" s="64">
        <f>IF($A1464="","",IF(AD1464=0,"",IF(OR(COUNTIF(계정대체기준!$A$77:$A$86,$N1464)&gt;0,ISNUMBER(MATCH($X1464,계정대체기준!$D$77:$D$86,0)),ISNUMBER(MATCH($F1464,계정대체기준!$D$77:$D$86,0))),"Y","N")))</f>
        <v/>
      </c>
    </row>
    <row r="1465">
      <c r="A1465" s="92" t="n">
        <v>2025</v>
      </c>
      <c r="B1465" s="92" t="n">
        <v>7</v>
      </c>
      <c r="C1465" s="92" t="inlineStr">
        <is>
          <t>5100001461</t>
        </is>
      </c>
      <c r="D1465" s="95" t="n">
        <v>45851</v>
      </c>
      <c r="E1465" s="92" t="inlineStr">
        <is>
          <t>KR</t>
        </is>
      </c>
      <c r="F1465" s="92" t="n">
        <v>62601000</v>
      </c>
      <c r="G1465" s="92" t="n">
        <v>1101</v>
      </c>
      <c r="H1465" s="93" t="n">
        <v>1783000</v>
      </c>
      <c r="I1465" s="92" t="inlineStr">
        <is>
          <t>7월 업무추진 - (법인카드)</t>
        </is>
      </c>
      <c r="J1465" s="92" t="inlineStr">
        <is>
          <t>V10010</t>
        </is>
      </c>
      <c r="K1465" s="92" t="inlineStr">
        <is>
          <t>(법인카드)</t>
        </is>
      </c>
      <c r="M1465" s="9">
        <f>IF($A1465="","",VALUE($A1465&amp;"")*12+VALUE($B1465&amp;""))</f>
        <v/>
      </c>
      <c r="N1465" s="64">
        <f>IF($A1465="","",IFERROR(INDEX(부서매핑!$C$5:$C$504,MATCH($G1465&amp;"",부서매핑!$A$5:$A$504,0)),"미매핑"))</f>
        <v/>
      </c>
      <c r="O1465" s="9">
        <f>IF($A1465="","",N1465&amp;"|"&amp;$F1465)</f>
        <v/>
      </c>
      <c r="P1465" s="94">
        <f>IF($A1465="",0,$H1465*설정!$C$23)</f>
        <v/>
      </c>
      <c r="Q1465" s="64">
        <f>IF($A1465="","",IF(O1465&lt;&gt;원인분석!$C$9,"",IF(AND(M1465&gt;=원인분석!$C$10,M1465&lt;=원인분석!$C$11),"당기",IF(AND(M1465&gt;=원인분석!$C$12,M1465&lt;=원인분석!$C$13),"비교",""))))</f>
        <v/>
      </c>
      <c r="R1465" s="9">
        <f>IF(Q1465="","",$K1465&amp;"")</f>
        <v/>
      </c>
      <c r="S1465" s="9">
        <f>IF(Q1465="","",IF(MATCH(R1465,$R$5:$R$100000,0)=ROW()-4,ROW(),""))</f>
        <v/>
      </c>
      <c r="T1465" s="9">
        <f>IF(Q1465="당기",ABS(P1465)+ROW()/1000000000,"")</f>
        <v/>
      </c>
      <c r="U1465" s="9">
        <f>IF(Q1465="비교",ABS(P1465)+ROW()/1000000000,"")</f>
        <v/>
      </c>
      <c r="V1465" s="64">
        <f>IF($A1465="","",IF(COUNTIF(변동분석!$E$7:$E$506,O1465)&gt;0,"Y","N"))</f>
        <v/>
      </c>
      <c r="W1465" s="64">
        <f>IF($A1465="","",IFERROR(INDEX(계정매핑!$D$5:$D$504,MATCH($F1465&amp;"",계정매핑!$A$5:$A$504,0)),"미매핑"))</f>
        <v/>
      </c>
      <c r="X1465" s="9">
        <f>IF($A1465="","",$F1465&amp;"")</f>
        <v/>
      </c>
      <c r="Y1465" s="94">
        <f>IF($A1465="",0,IF(AE1465="직접",IF(AF1465="비귀속",$P1465,0),$P1465*(1-AG1465)*IFERROR(INDEX(계정대체기준!$F$20:$F$49,MATCH($N1465,계정대체기준!$A$20:$A$49,0)),1)))</f>
        <v/>
      </c>
      <c r="Z1465" s="94">
        <f>IF($A1465="",0,IF(AE1465="직접",IF(AF1465="신계약비",$P1465,0),$P1465*(1-AG1465)*IFERROR(INDEX(계정대체기준!$C$20:$C$49,MATCH($N1465,계정대체기준!$A$20:$A$49,0)),0)))</f>
        <v/>
      </c>
      <c r="AA1465" s="94">
        <f>IF($A1465="",0,IF(AE1465="직접",IF(OR(AF1465="유지비",AF1465="손해조사비"),$P1465,0),$P1465*(1-AG1465)*IFERROR(INDEX(계정대체기준!$D$20:$D$49,MATCH($N1465,계정대체기준!$A$20:$A$49,0)),0)))</f>
        <v/>
      </c>
      <c r="AB1465" s="94">
        <f>IF($A1465="",0,IF(AE1465="직접",IF(AF1465="수금비",$P1465,0),$P1465*(1-AG1465)*IFERROR(INDEX(계정대체기준!$E$20:$E$49,MATCH($N1465,계정대체기준!$A$20:$A$49,0)),0)))</f>
        <v/>
      </c>
      <c r="AC1465" s="9">
        <f>IF(AND($A1465&lt;&gt;"",M1465=설정!$C$20,Z1465&gt;0),Z1465+ROW()/1000000000,"")</f>
        <v/>
      </c>
      <c r="AD1465" s="94">
        <f>IF($A1465="",0,$P1465*AG1465)</f>
        <v/>
      </c>
      <c r="AE1465" s="64">
        <f>IF($A1465="","",IFERROR(INDEX(계정매핑!$E$5:$E$504,MATCH($F1465&amp;"",계정매핑!$A$5:$A$504,0))&amp;"","공통비"))</f>
        <v/>
      </c>
      <c r="AF1465" s="64">
        <f>IF($A1465="","",IF(AE1465="직접",IFERROR(INDEX(계정매핑!$F$5:$F$504,MATCH($F1465&amp;"",계정매핑!$A$5:$A$504,0))&amp;"","비귀속"),""))</f>
        <v/>
      </c>
      <c r="AG1465" s="96">
        <f>IF($A1465="",0,IF(AND(AE1465&lt;&gt;"직접",IFERROR(INDEX(계정매핑!$G$5:$G$504,MATCH($F1465&amp;"",계정매핑!$A$5:$A$504,0))&amp;"","")="유지비",COUNTIF(계정대체기준!$A$6:$A$15,$N1465)&gt;0),IFERROR(INDEX(계정대체기준!$E$6:$E$15,MATCH(VALUE($A1465&amp;""),계정대체기준!$D$6:$D$15,0)),0),0))</f>
        <v/>
      </c>
      <c r="AH1465" s="64">
        <f>IF($A1465="","",IF(AD1465=0,"",IF(OR(COUNTIF(계정대체기준!$A$77:$A$86,$N1465)&gt;0,ISNUMBER(MATCH($X1465,계정대체기준!$D$77:$D$86,0)),ISNUMBER(MATCH($F1465,계정대체기준!$D$77:$D$86,0))),"Y","N")))</f>
        <v/>
      </c>
    </row>
    <row r="1466">
      <c r="A1466" s="92" t="n">
        <v>2025</v>
      </c>
      <c r="B1466" s="92" t="n">
        <v>7</v>
      </c>
      <c r="C1466" s="92" t="inlineStr">
        <is>
          <t>5100001462</t>
        </is>
      </c>
      <c r="D1466" s="95" t="n">
        <v>45851</v>
      </c>
      <c r="E1466" s="92" t="inlineStr">
        <is>
          <t>KR</t>
        </is>
      </c>
      <c r="F1466" s="92" t="n">
        <v>62701000</v>
      </c>
      <c r="G1466" s="92" t="n">
        <v>1501</v>
      </c>
      <c r="H1466" s="93" t="n">
        <v>83231000</v>
      </c>
      <c r="I1466" s="92" t="inlineStr">
        <is>
          <t>7월 광고 집행 - E미디어</t>
        </is>
      </c>
      <c r="J1466" s="92" t="inlineStr">
        <is>
          <t>V10033</t>
        </is>
      </c>
      <c r="K1466" s="92" t="inlineStr">
        <is>
          <t>E미디어</t>
        </is>
      </c>
      <c r="M1466" s="9">
        <f>IF($A1466="","",VALUE($A1466&amp;"")*12+VALUE($B1466&amp;""))</f>
        <v/>
      </c>
      <c r="N1466" s="64">
        <f>IF($A1466="","",IFERROR(INDEX(부서매핑!$C$5:$C$504,MATCH($G1466&amp;"",부서매핑!$A$5:$A$504,0)),"미매핑"))</f>
        <v/>
      </c>
      <c r="O1466" s="9">
        <f>IF($A1466="","",N1466&amp;"|"&amp;$F1466)</f>
        <v/>
      </c>
      <c r="P1466" s="94">
        <f>IF($A1466="",0,$H1466*설정!$C$23)</f>
        <v/>
      </c>
      <c r="Q1466" s="64">
        <f>IF($A1466="","",IF(O1466&lt;&gt;원인분석!$C$9,"",IF(AND(M1466&gt;=원인분석!$C$10,M1466&lt;=원인분석!$C$11),"당기",IF(AND(M1466&gt;=원인분석!$C$12,M1466&lt;=원인분석!$C$13),"비교",""))))</f>
        <v/>
      </c>
      <c r="R1466" s="9">
        <f>IF(Q1466="","",$K1466&amp;"")</f>
        <v/>
      </c>
      <c r="S1466" s="9">
        <f>IF(Q1466="","",IF(MATCH(R1466,$R$5:$R$100000,0)=ROW()-4,ROW(),""))</f>
        <v/>
      </c>
      <c r="T1466" s="9">
        <f>IF(Q1466="당기",ABS(P1466)+ROW()/1000000000,"")</f>
        <v/>
      </c>
      <c r="U1466" s="9">
        <f>IF(Q1466="비교",ABS(P1466)+ROW()/1000000000,"")</f>
        <v/>
      </c>
      <c r="V1466" s="64">
        <f>IF($A1466="","",IF(COUNTIF(변동분석!$E$7:$E$506,O1466)&gt;0,"Y","N"))</f>
        <v/>
      </c>
      <c r="W1466" s="64">
        <f>IF($A1466="","",IFERROR(INDEX(계정매핑!$D$5:$D$504,MATCH($F1466&amp;"",계정매핑!$A$5:$A$504,0)),"미매핑"))</f>
        <v/>
      </c>
      <c r="X1466" s="9">
        <f>IF($A1466="","",$F1466&amp;"")</f>
        <v/>
      </c>
      <c r="Y1466" s="94">
        <f>IF($A1466="",0,IF(AE1466="직접",IF(AF1466="비귀속",$P1466,0),$P1466*(1-AG1466)*IFERROR(INDEX(계정대체기준!$F$20:$F$49,MATCH($N1466,계정대체기준!$A$20:$A$49,0)),1)))</f>
        <v/>
      </c>
      <c r="Z1466" s="94">
        <f>IF($A1466="",0,IF(AE1466="직접",IF(AF1466="신계약비",$P1466,0),$P1466*(1-AG1466)*IFERROR(INDEX(계정대체기준!$C$20:$C$49,MATCH($N1466,계정대체기준!$A$20:$A$49,0)),0)))</f>
        <v/>
      </c>
      <c r="AA1466" s="94">
        <f>IF($A1466="",0,IF(AE1466="직접",IF(OR(AF1466="유지비",AF1466="손해조사비"),$P1466,0),$P1466*(1-AG1466)*IFERROR(INDEX(계정대체기준!$D$20:$D$49,MATCH($N1466,계정대체기준!$A$20:$A$49,0)),0)))</f>
        <v/>
      </c>
      <c r="AB1466" s="94">
        <f>IF($A1466="",0,IF(AE1466="직접",IF(AF1466="수금비",$P1466,0),$P1466*(1-AG1466)*IFERROR(INDEX(계정대체기준!$E$20:$E$49,MATCH($N1466,계정대체기준!$A$20:$A$49,0)),0)))</f>
        <v/>
      </c>
      <c r="AC1466" s="9">
        <f>IF(AND($A1466&lt;&gt;"",M1466=설정!$C$20,Z1466&gt;0),Z1466+ROW()/1000000000,"")</f>
        <v/>
      </c>
      <c r="AD1466" s="94">
        <f>IF($A1466="",0,$P1466*AG1466)</f>
        <v/>
      </c>
      <c r="AE1466" s="64">
        <f>IF($A1466="","",IFERROR(INDEX(계정매핑!$E$5:$E$504,MATCH($F1466&amp;"",계정매핑!$A$5:$A$504,0))&amp;"","공통비"))</f>
        <v/>
      </c>
      <c r="AF1466" s="64">
        <f>IF($A1466="","",IF(AE1466="직접",IFERROR(INDEX(계정매핑!$F$5:$F$504,MATCH($F1466&amp;"",계정매핑!$A$5:$A$504,0))&amp;"","비귀속"),""))</f>
        <v/>
      </c>
      <c r="AG1466" s="96">
        <f>IF($A1466="",0,IF(AND(AE1466&lt;&gt;"직접",IFERROR(INDEX(계정매핑!$G$5:$G$504,MATCH($F1466&amp;"",계정매핑!$A$5:$A$504,0))&amp;"","")="유지비",COUNTIF(계정대체기준!$A$6:$A$15,$N1466)&gt;0),IFERROR(INDEX(계정대체기준!$E$6:$E$15,MATCH(VALUE($A1466&amp;""),계정대체기준!$D$6:$D$15,0)),0),0))</f>
        <v/>
      </c>
      <c r="AH1466" s="64">
        <f>IF($A1466="","",IF(AD1466=0,"",IF(OR(COUNTIF(계정대체기준!$A$77:$A$86,$N1466)&gt;0,ISNUMBER(MATCH($X1466,계정대체기준!$D$77:$D$86,0)),ISNUMBER(MATCH($F1466,계정대체기준!$D$77:$D$86,0))),"Y","N")))</f>
        <v/>
      </c>
    </row>
    <row r="1467">
      <c r="A1467" s="92" t="n">
        <v>2025</v>
      </c>
      <c r="B1467" s="92" t="n">
        <v>7</v>
      </c>
      <c r="C1467" s="92" t="inlineStr">
        <is>
          <t>5100001463</t>
        </is>
      </c>
      <c r="D1467" s="95" t="n">
        <v>45851</v>
      </c>
      <c r="E1467" s="92" t="inlineStr">
        <is>
          <t>KR</t>
        </is>
      </c>
      <c r="F1467" s="92" t="n">
        <v>63001000</v>
      </c>
      <c r="G1467" s="92" t="n">
        <v>1701</v>
      </c>
      <c r="H1467" s="93" t="n">
        <v>40164000</v>
      </c>
      <c r="I1467" s="92" t="inlineStr">
        <is>
          <t>7월 SW 유지보수 - Y소프트</t>
        </is>
      </c>
      <c r="J1467" s="92" t="inlineStr">
        <is>
          <t>V10017</t>
        </is>
      </c>
      <c r="K1467" s="92" t="inlineStr">
        <is>
          <t>Y소프트</t>
        </is>
      </c>
      <c r="M1467" s="9">
        <f>IF($A1467="","",VALUE($A1467&amp;"")*12+VALUE($B1467&amp;""))</f>
        <v/>
      </c>
      <c r="N1467" s="64">
        <f>IF($A1467="","",IFERROR(INDEX(부서매핑!$C$5:$C$504,MATCH($G1467&amp;"",부서매핑!$A$5:$A$504,0)),"미매핑"))</f>
        <v/>
      </c>
      <c r="O1467" s="9">
        <f>IF($A1467="","",N1467&amp;"|"&amp;$F1467)</f>
        <v/>
      </c>
      <c r="P1467" s="94">
        <f>IF($A1467="",0,$H1467*설정!$C$23)</f>
        <v/>
      </c>
      <c r="Q1467" s="64">
        <f>IF($A1467="","",IF(O1467&lt;&gt;원인분석!$C$9,"",IF(AND(M1467&gt;=원인분석!$C$10,M1467&lt;=원인분석!$C$11),"당기",IF(AND(M1467&gt;=원인분석!$C$12,M1467&lt;=원인분석!$C$13),"비교",""))))</f>
        <v/>
      </c>
      <c r="R1467" s="9">
        <f>IF(Q1467="","",$K1467&amp;"")</f>
        <v/>
      </c>
      <c r="S1467" s="9">
        <f>IF(Q1467="","",IF(MATCH(R1467,$R$5:$R$100000,0)=ROW()-4,ROW(),""))</f>
        <v/>
      </c>
      <c r="T1467" s="9">
        <f>IF(Q1467="당기",ABS(P1467)+ROW()/1000000000,"")</f>
        <v/>
      </c>
      <c r="U1467" s="9">
        <f>IF(Q1467="비교",ABS(P1467)+ROW()/1000000000,"")</f>
        <v/>
      </c>
      <c r="V1467" s="64">
        <f>IF($A1467="","",IF(COUNTIF(변동분석!$E$7:$E$506,O1467)&gt;0,"Y","N"))</f>
        <v/>
      </c>
      <c r="W1467" s="64">
        <f>IF($A1467="","",IFERROR(INDEX(계정매핑!$D$5:$D$504,MATCH($F1467&amp;"",계정매핑!$A$5:$A$504,0)),"미매핑"))</f>
        <v/>
      </c>
      <c r="X1467" s="9">
        <f>IF($A1467="","",$F1467&amp;"")</f>
        <v/>
      </c>
      <c r="Y1467" s="94">
        <f>IF($A1467="",0,IF(AE1467="직접",IF(AF1467="비귀속",$P1467,0),$P1467*(1-AG1467)*IFERROR(INDEX(계정대체기준!$F$20:$F$49,MATCH($N1467,계정대체기준!$A$20:$A$49,0)),1)))</f>
        <v/>
      </c>
      <c r="Z1467" s="94">
        <f>IF($A1467="",0,IF(AE1467="직접",IF(AF1467="신계약비",$P1467,0),$P1467*(1-AG1467)*IFERROR(INDEX(계정대체기준!$C$20:$C$49,MATCH($N1467,계정대체기준!$A$20:$A$49,0)),0)))</f>
        <v/>
      </c>
      <c r="AA1467" s="94">
        <f>IF($A1467="",0,IF(AE1467="직접",IF(OR(AF1467="유지비",AF1467="손해조사비"),$P1467,0),$P1467*(1-AG1467)*IFERROR(INDEX(계정대체기준!$D$20:$D$49,MATCH($N1467,계정대체기준!$A$20:$A$49,0)),0)))</f>
        <v/>
      </c>
      <c r="AB1467" s="94">
        <f>IF($A1467="",0,IF(AE1467="직접",IF(AF1467="수금비",$P1467,0),$P1467*(1-AG1467)*IFERROR(INDEX(계정대체기준!$E$20:$E$49,MATCH($N1467,계정대체기준!$A$20:$A$49,0)),0)))</f>
        <v/>
      </c>
      <c r="AC1467" s="9">
        <f>IF(AND($A1467&lt;&gt;"",M1467=설정!$C$20,Z1467&gt;0),Z1467+ROW()/1000000000,"")</f>
        <v/>
      </c>
      <c r="AD1467" s="94">
        <f>IF($A1467="",0,$P1467*AG1467)</f>
        <v/>
      </c>
      <c r="AE1467" s="64">
        <f>IF($A1467="","",IFERROR(INDEX(계정매핑!$E$5:$E$504,MATCH($F1467&amp;"",계정매핑!$A$5:$A$504,0))&amp;"","공통비"))</f>
        <v/>
      </c>
      <c r="AF1467" s="64">
        <f>IF($A1467="","",IF(AE1467="직접",IFERROR(INDEX(계정매핑!$F$5:$F$504,MATCH($F1467&amp;"",계정매핑!$A$5:$A$504,0))&amp;"","비귀속"),""))</f>
        <v/>
      </c>
      <c r="AG1467" s="96">
        <f>IF($A1467="",0,IF(AND(AE1467&lt;&gt;"직접",IFERROR(INDEX(계정매핑!$G$5:$G$504,MATCH($F1467&amp;"",계정매핑!$A$5:$A$504,0))&amp;"","")="유지비",COUNTIF(계정대체기준!$A$6:$A$15,$N1467)&gt;0),IFERROR(INDEX(계정대체기준!$E$6:$E$15,MATCH(VALUE($A1467&amp;""),계정대체기준!$D$6:$D$15,0)),0),0))</f>
        <v/>
      </c>
      <c r="AH1467" s="64">
        <f>IF($A1467="","",IF(AD1467=0,"",IF(OR(COUNTIF(계정대체기준!$A$77:$A$86,$N1467)&gt;0,ISNUMBER(MATCH($X1467,계정대체기준!$D$77:$D$86,0)),ISNUMBER(MATCH($F1467,계정대체기준!$D$77:$D$86,0))),"Y","N")))</f>
        <v/>
      </c>
    </row>
    <row r="1468">
      <c r="A1468" s="92" t="n">
        <v>2025</v>
      </c>
      <c r="B1468" s="92" t="n">
        <v>7</v>
      </c>
      <c r="C1468" s="92" t="inlineStr">
        <is>
          <t>5100001464</t>
        </is>
      </c>
      <c r="D1468" s="95" t="n">
        <v>45851</v>
      </c>
      <c r="E1468" s="92" t="inlineStr">
        <is>
          <t>KR</t>
        </is>
      </c>
      <c r="F1468" s="92" t="n">
        <v>63201000</v>
      </c>
      <c r="G1468" s="92" t="n">
        <v>1601</v>
      </c>
      <c r="H1468" s="93" t="n">
        <v>5539000</v>
      </c>
      <c r="I1468" s="92" t="inlineStr">
        <is>
          <t>7월 차량 유지 - D정비</t>
        </is>
      </c>
      <c r="J1468" s="92" t="inlineStr">
        <is>
          <t>V10025</t>
        </is>
      </c>
      <c r="K1468" s="92" t="inlineStr">
        <is>
          <t>D정비</t>
        </is>
      </c>
      <c r="M1468" s="9">
        <f>IF($A1468="","",VALUE($A1468&amp;"")*12+VALUE($B1468&amp;""))</f>
        <v/>
      </c>
      <c r="N1468" s="64">
        <f>IF($A1468="","",IFERROR(INDEX(부서매핑!$C$5:$C$504,MATCH($G1468&amp;"",부서매핑!$A$5:$A$504,0)),"미매핑"))</f>
        <v/>
      </c>
      <c r="O1468" s="9">
        <f>IF($A1468="","",N1468&amp;"|"&amp;$F1468)</f>
        <v/>
      </c>
      <c r="P1468" s="94">
        <f>IF($A1468="",0,$H1468*설정!$C$23)</f>
        <v/>
      </c>
      <c r="Q1468" s="64">
        <f>IF($A1468="","",IF(O1468&lt;&gt;원인분석!$C$9,"",IF(AND(M1468&gt;=원인분석!$C$10,M1468&lt;=원인분석!$C$11),"당기",IF(AND(M1468&gt;=원인분석!$C$12,M1468&lt;=원인분석!$C$13),"비교",""))))</f>
        <v/>
      </c>
      <c r="R1468" s="9">
        <f>IF(Q1468="","",$K1468&amp;"")</f>
        <v/>
      </c>
      <c r="S1468" s="9">
        <f>IF(Q1468="","",IF(MATCH(R1468,$R$5:$R$100000,0)=ROW()-4,ROW(),""))</f>
        <v/>
      </c>
      <c r="T1468" s="9">
        <f>IF(Q1468="당기",ABS(P1468)+ROW()/1000000000,"")</f>
        <v/>
      </c>
      <c r="U1468" s="9">
        <f>IF(Q1468="비교",ABS(P1468)+ROW()/1000000000,"")</f>
        <v/>
      </c>
      <c r="V1468" s="64">
        <f>IF($A1468="","",IF(COUNTIF(변동분석!$E$7:$E$506,O1468)&gt;0,"Y","N"))</f>
        <v/>
      </c>
      <c r="W1468" s="64">
        <f>IF($A1468="","",IFERROR(INDEX(계정매핑!$D$5:$D$504,MATCH($F1468&amp;"",계정매핑!$A$5:$A$504,0)),"미매핑"))</f>
        <v/>
      </c>
      <c r="X1468" s="9">
        <f>IF($A1468="","",$F1468&amp;"")</f>
        <v/>
      </c>
      <c r="Y1468" s="94">
        <f>IF($A1468="",0,IF(AE1468="직접",IF(AF1468="비귀속",$P1468,0),$P1468*(1-AG1468)*IFERROR(INDEX(계정대체기준!$F$20:$F$49,MATCH($N1468,계정대체기준!$A$20:$A$49,0)),1)))</f>
        <v/>
      </c>
      <c r="Z1468" s="94">
        <f>IF($A1468="",0,IF(AE1468="직접",IF(AF1468="신계약비",$P1468,0),$P1468*(1-AG1468)*IFERROR(INDEX(계정대체기준!$C$20:$C$49,MATCH($N1468,계정대체기준!$A$20:$A$49,0)),0)))</f>
        <v/>
      </c>
      <c r="AA1468" s="94">
        <f>IF($A1468="",0,IF(AE1468="직접",IF(OR(AF1468="유지비",AF1468="손해조사비"),$P1468,0),$P1468*(1-AG1468)*IFERROR(INDEX(계정대체기준!$D$20:$D$49,MATCH($N1468,계정대체기준!$A$20:$A$49,0)),0)))</f>
        <v/>
      </c>
      <c r="AB1468" s="94">
        <f>IF($A1468="",0,IF(AE1468="직접",IF(AF1468="수금비",$P1468,0),$P1468*(1-AG1468)*IFERROR(INDEX(계정대체기준!$E$20:$E$49,MATCH($N1468,계정대체기준!$A$20:$A$49,0)),0)))</f>
        <v/>
      </c>
      <c r="AC1468" s="9">
        <f>IF(AND($A1468&lt;&gt;"",M1468=설정!$C$20,Z1468&gt;0),Z1468+ROW()/1000000000,"")</f>
        <v/>
      </c>
      <c r="AD1468" s="94">
        <f>IF($A1468="",0,$P1468*AG1468)</f>
        <v/>
      </c>
      <c r="AE1468" s="64">
        <f>IF($A1468="","",IFERROR(INDEX(계정매핑!$E$5:$E$504,MATCH($F1468&amp;"",계정매핑!$A$5:$A$504,0))&amp;"","공통비"))</f>
        <v/>
      </c>
      <c r="AF1468" s="64">
        <f>IF($A1468="","",IF(AE1468="직접",IFERROR(INDEX(계정매핑!$F$5:$F$504,MATCH($F1468&amp;"",계정매핑!$A$5:$A$504,0))&amp;"","비귀속"),""))</f>
        <v/>
      </c>
      <c r="AG1468" s="96">
        <f>IF($A1468="",0,IF(AND(AE1468&lt;&gt;"직접",IFERROR(INDEX(계정매핑!$G$5:$G$504,MATCH($F1468&amp;"",계정매핑!$A$5:$A$504,0))&amp;"","")="유지비",COUNTIF(계정대체기준!$A$6:$A$15,$N1468)&gt;0),IFERROR(INDEX(계정대체기준!$E$6:$E$15,MATCH(VALUE($A1468&amp;""),계정대체기준!$D$6:$D$15,0)),0),0))</f>
        <v/>
      </c>
      <c r="AH1468" s="64">
        <f>IF($A1468="","",IF(AD1468=0,"",IF(OR(COUNTIF(계정대체기준!$A$77:$A$86,$N1468)&gt;0,ISNUMBER(MATCH($X1468,계정대체기준!$D$77:$D$86,0)),ISNUMBER(MATCH($F1468,계정대체기준!$D$77:$D$86,0))),"Y","N")))</f>
        <v/>
      </c>
    </row>
    <row r="1469">
      <c r="A1469" s="92" t="n">
        <v>2025</v>
      </c>
      <c r="B1469" s="92" t="n">
        <v>7</v>
      </c>
      <c r="C1469" s="92" t="inlineStr">
        <is>
          <t>5100001465</t>
        </is>
      </c>
      <c r="D1469" s="95" t="n">
        <v>45852</v>
      </c>
      <c r="E1469" s="92" t="inlineStr">
        <is>
          <t>KR</t>
        </is>
      </c>
      <c r="F1469" s="92" t="n">
        <v>62101000</v>
      </c>
      <c r="G1469" s="92" t="n">
        <v>1401</v>
      </c>
      <c r="H1469" s="93" t="n">
        <v>335000</v>
      </c>
      <c r="I1469" s="92" t="inlineStr">
        <is>
          <t>7월 국내출장 - L여행사</t>
        </is>
      </c>
      <c r="J1469" s="92" t="inlineStr">
        <is>
          <t>V10018</t>
        </is>
      </c>
      <c r="K1469" s="92" t="inlineStr">
        <is>
          <t>L여행사</t>
        </is>
      </c>
      <c r="M1469" s="9">
        <f>IF($A1469="","",VALUE($A1469&amp;"")*12+VALUE($B1469&amp;""))</f>
        <v/>
      </c>
      <c r="N1469" s="64">
        <f>IF($A1469="","",IFERROR(INDEX(부서매핑!$C$5:$C$504,MATCH($G1469&amp;"",부서매핑!$A$5:$A$504,0)),"미매핑"))</f>
        <v/>
      </c>
      <c r="O1469" s="9">
        <f>IF($A1469="","",N1469&amp;"|"&amp;$F1469)</f>
        <v/>
      </c>
      <c r="P1469" s="94">
        <f>IF($A1469="",0,$H1469*설정!$C$23)</f>
        <v/>
      </c>
      <c r="Q1469" s="64">
        <f>IF($A1469="","",IF(O1469&lt;&gt;원인분석!$C$9,"",IF(AND(M1469&gt;=원인분석!$C$10,M1469&lt;=원인분석!$C$11),"당기",IF(AND(M1469&gt;=원인분석!$C$12,M1469&lt;=원인분석!$C$13),"비교",""))))</f>
        <v/>
      </c>
      <c r="R1469" s="9">
        <f>IF(Q1469="","",$K1469&amp;"")</f>
        <v/>
      </c>
      <c r="S1469" s="9">
        <f>IF(Q1469="","",IF(MATCH(R1469,$R$5:$R$100000,0)=ROW()-4,ROW(),""))</f>
        <v/>
      </c>
      <c r="T1469" s="9">
        <f>IF(Q1469="당기",ABS(P1469)+ROW()/1000000000,"")</f>
        <v/>
      </c>
      <c r="U1469" s="9">
        <f>IF(Q1469="비교",ABS(P1469)+ROW()/1000000000,"")</f>
        <v/>
      </c>
      <c r="V1469" s="64">
        <f>IF($A1469="","",IF(COUNTIF(변동분석!$E$7:$E$506,O1469)&gt;0,"Y","N"))</f>
        <v/>
      </c>
      <c r="W1469" s="64">
        <f>IF($A1469="","",IFERROR(INDEX(계정매핑!$D$5:$D$504,MATCH($F1469&amp;"",계정매핑!$A$5:$A$504,0)),"미매핑"))</f>
        <v/>
      </c>
      <c r="X1469" s="9">
        <f>IF($A1469="","",$F1469&amp;"")</f>
        <v/>
      </c>
      <c r="Y1469" s="94">
        <f>IF($A1469="",0,IF(AE1469="직접",IF(AF1469="비귀속",$P1469,0),$P1469*(1-AG1469)*IFERROR(INDEX(계정대체기준!$F$20:$F$49,MATCH($N1469,계정대체기준!$A$20:$A$49,0)),1)))</f>
        <v/>
      </c>
      <c r="Z1469" s="94">
        <f>IF($A1469="",0,IF(AE1469="직접",IF(AF1469="신계약비",$P1469,0),$P1469*(1-AG1469)*IFERROR(INDEX(계정대체기준!$C$20:$C$49,MATCH($N1469,계정대체기준!$A$20:$A$49,0)),0)))</f>
        <v/>
      </c>
      <c r="AA1469" s="94">
        <f>IF($A1469="",0,IF(AE1469="직접",IF(OR(AF1469="유지비",AF1469="손해조사비"),$P1469,0),$P1469*(1-AG1469)*IFERROR(INDEX(계정대체기준!$D$20:$D$49,MATCH($N1469,계정대체기준!$A$20:$A$49,0)),0)))</f>
        <v/>
      </c>
      <c r="AB1469" s="94">
        <f>IF($A1469="",0,IF(AE1469="직접",IF(AF1469="수금비",$P1469,0),$P1469*(1-AG1469)*IFERROR(INDEX(계정대체기준!$E$20:$E$49,MATCH($N1469,계정대체기준!$A$20:$A$49,0)),0)))</f>
        <v/>
      </c>
      <c r="AC1469" s="9">
        <f>IF(AND($A1469&lt;&gt;"",M1469=설정!$C$20,Z1469&gt;0),Z1469+ROW()/1000000000,"")</f>
        <v/>
      </c>
      <c r="AD1469" s="94">
        <f>IF($A1469="",0,$P1469*AG1469)</f>
        <v/>
      </c>
      <c r="AE1469" s="64">
        <f>IF($A1469="","",IFERROR(INDEX(계정매핑!$E$5:$E$504,MATCH($F1469&amp;"",계정매핑!$A$5:$A$504,0))&amp;"","공통비"))</f>
        <v/>
      </c>
      <c r="AF1469" s="64">
        <f>IF($A1469="","",IF(AE1469="직접",IFERROR(INDEX(계정매핑!$F$5:$F$504,MATCH($F1469&amp;"",계정매핑!$A$5:$A$504,0))&amp;"","비귀속"),""))</f>
        <v/>
      </c>
      <c r="AG1469" s="96">
        <f>IF($A1469="",0,IF(AND(AE1469&lt;&gt;"직접",IFERROR(INDEX(계정매핑!$G$5:$G$504,MATCH($F1469&amp;"",계정매핑!$A$5:$A$504,0))&amp;"","")="유지비",COUNTIF(계정대체기준!$A$6:$A$15,$N1469)&gt;0),IFERROR(INDEX(계정대체기준!$E$6:$E$15,MATCH(VALUE($A1469&amp;""),계정대체기준!$D$6:$D$15,0)),0),0))</f>
        <v/>
      </c>
      <c r="AH1469" s="64">
        <f>IF($A1469="","",IF(AD1469=0,"",IF(OR(COUNTIF(계정대체기준!$A$77:$A$86,$N1469)&gt;0,ISNUMBER(MATCH($X1469,계정대체기준!$D$77:$D$86,0)),ISNUMBER(MATCH($F1469,계정대체기준!$D$77:$D$86,0))),"Y","N")))</f>
        <v/>
      </c>
    </row>
    <row r="1470">
      <c r="A1470" s="92" t="n">
        <v>2025</v>
      </c>
      <c r="B1470" s="92" t="n">
        <v>7</v>
      </c>
      <c r="C1470" s="92" t="inlineStr">
        <is>
          <t>5100001466</t>
        </is>
      </c>
      <c r="D1470" s="95" t="n">
        <v>45852</v>
      </c>
      <c r="E1470" s="92" t="inlineStr">
        <is>
          <t>KR</t>
        </is>
      </c>
      <c r="F1470" s="92" t="n">
        <v>62102000</v>
      </c>
      <c r="G1470" s="92" t="n">
        <v>1201</v>
      </c>
      <c r="H1470" s="93" t="n">
        <v>78000</v>
      </c>
      <c r="I1470" s="92" t="inlineStr">
        <is>
          <t>7월 해외출장 - N호텔</t>
        </is>
      </c>
      <c r="J1470" s="92" t="inlineStr">
        <is>
          <t>V10009</t>
        </is>
      </c>
      <c r="K1470" s="92" t="inlineStr">
        <is>
          <t>N호텔</t>
        </is>
      </c>
      <c r="M1470" s="9">
        <f>IF($A1470="","",VALUE($A1470&amp;"")*12+VALUE($B1470&amp;""))</f>
        <v/>
      </c>
      <c r="N1470" s="64">
        <f>IF($A1470="","",IFERROR(INDEX(부서매핑!$C$5:$C$504,MATCH($G1470&amp;"",부서매핑!$A$5:$A$504,0)),"미매핑"))</f>
        <v/>
      </c>
      <c r="O1470" s="9">
        <f>IF($A1470="","",N1470&amp;"|"&amp;$F1470)</f>
        <v/>
      </c>
      <c r="P1470" s="94">
        <f>IF($A1470="",0,$H1470*설정!$C$23)</f>
        <v/>
      </c>
      <c r="Q1470" s="64">
        <f>IF($A1470="","",IF(O1470&lt;&gt;원인분석!$C$9,"",IF(AND(M1470&gt;=원인분석!$C$10,M1470&lt;=원인분석!$C$11),"당기",IF(AND(M1470&gt;=원인분석!$C$12,M1470&lt;=원인분석!$C$13),"비교",""))))</f>
        <v/>
      </c>
      <c r="R1470" s="9">
        <f>IF(Q1470="","",$K1470&amp;"")</f>
        <v/>
      </c>
      <c r="S1470" s="9">
        <f>IF(Q1470="","",IF(MATCH(R1470,$R$5:$R$100000,0)=ROW()-4,ROW(),""))</f>
        <v/>
      </c>
      <c r="T1470" s="9">
        <f>IF(Q1470="당기",ABS(P1470)+ROW()/1000000000,"")</f>
        <v/>
      </c>
      <c r="U1470" s="9">
        <f>IF(Q1470="비교",ABS(P1470)+ROW()/1000000000,"")</f>
        <v/>
      </c>
      <c r="V1470" s="64">
        <f>IF($A1470="","",IF(COUNTIF(변동분석!$E$7:$E$506,O1470)&gt;0,"Y","N"))</f>
        <v/>
      </c>
      <c r="W1470" s="64">
        <f>IF($A1470="","",IFERROR(INDEX(계정매핑!$D$5:$D$504,MATCH($F1470&amp;"",계정매핑!$A$5:$A$504,0)),"미매핑"))</f>
        <v/>
      </c>
      <c r="X1470" s="9">
        <f>IF($A1470="","",$F1470&amp;"")</f>
        <v/>
      </c>
      <c r="Y1470" s="94">
        <f>IF($A1470="",0,IF(AE1470="직접",IF(AF1470="비귀속",$P1470,0),$P1470*(1-AG1470)*IFERROR(INDEX(계정대체기준!$F$20:$F$49,MATCH($N1470,계정대체기준!$A$20:$A$49,0)),1)))</f>
        <v/>
      </c>
      <c r="Z1470" s="94">
        <f>IF($A1470="",0,IF(AE1470="직접",IF(AF1470="신계약비",$P1470,0),$P1470*(1-AG1470)*IFERROR(INDEX(계정대체기준!$C$20:$C$49,MATCH($N1470,계정대체기준!$A$20:$A$49,0)),0)))</f>
        <v/>
      </c>
      <c r="AA1470" s="94">
        <f>IF($A1470="",0,IF(AE1470="직접",IF(OR(AF1470="유지비",AF1470="손해조사비"),$P1470,0),$P1470*(1-AG1470)*IFERROR(INDEX(계정대체기준!$D$20:$D$49,MATCH($N1470,계정대체기준!$A$20:$A$49,0)),0)))</f>
        <v/>
      </c>
      <c r="AB1470" s="94">
        <f>IF($A1470="",0,IF(AE1470="직접",IF(AF1470="수금비",$P1470,0),$P1470*(1-AG1470)*IFERROR(INDEX(계정대체기준!$E$20:$E$49,MATCH($N1470,계정대체기준!$A$20:$A$49,0)),0)))</f>
        <v/>
      </c>
      <c r="AC1470" s="9">
        <f>IF(AND($A1470&lt;&gt;"",M1470=설정!$C$20,Z1470&gt;0),Z1470+ROW()/1000000000,"")</f>
        <v/>
      </c>
      <c r="AD1470" s="94">
        <f>IF($A1470="",0,$P1470*AG1470)</f>
        <v/>
      </c>
      <c r="AE1470" s="64">
        <f>IF($A1470="","",IFERROR(INDEX(계정매핑!$E$5:$E$504,MATCH($F1470&amp;"",계정매핑!$A$5:$A$504,0))&amp;"","공통비"))</f>
        <v/>
      </c>
      <c r="AF1470" s="64">
        <f>IF($A1470="","",IF(AE1470="직접",IFERROR(INDEX(계정매핑!$F$5:$F$504,MATCH($F1470&amp;"",계정매핑!$A$5:$A$504,0))&amp;"","비귀속"),""))</f>
        <v/>
      </c>
      <c r="AG1470" s="96">
        <f>IF($A1470="",0,IF(AND(AE1470&lt;&gt;"직접",IFERROR(INDEX(계정매핑!$G$5:$G$504,MATCH($F1470&amp;"",계정매핑!$A$5:$A$504,0))&amp;"","")="유지비",COUNTIF(계정대체기준!$A$6:$A$15,$N1470)&gt;0),IFERROR(INDEX(계정대체기준!$E$6:$E$15,MATCH(VALUE($A1470&amp;""),계정대체기준!$D$6:$D$15,0)),0),0))</f>
        <v/>
      </c>
      <c r="AH1470" s="64">
        <f>IF($A1470="","",IF(AD1470=0,"",IF(OR(COUNTIF(계정대체기준!$A$77:$A$86,$N1470)&gt;0,ISNUMBER(MATCH($X1470,계정대체기준!$D$77:$D$86,0)),ISNUMBER(MATCH($F1470,계정대체기준!$D$77:$D$86,0))),"Y","N")))</f>
        <v/>
      </c>
    </row>
    <row r="1471">
      <c r="A1471" s="92" t="n">
        <v>2025</v>
      </c>
      <c r="B1471" s="92" t="n">
        <v>7</v>
      </c>
      <c r="C1471" s="92" t="inlineStr">
        <is>
          <t>5100001467</t>
        </is>
      </c>
      <c r="D1471" s="95" t="n">
        <v>45852</v>
      </c>
      <c r="E1471" s="92" t="inlineStr">
        <is>
          <t>KR</t>
        </is>
      </c>
      <c r="F1471" s="92" t="n">
        <v>62201000</v>
      </c>
      <c r="G1471" s="92" t="n">
        <v>1401</v>
      </c>
      <c r="H1471" s="93" t="n">
        <v>104000</v>
      </c>
      <c r="I1471" s="92" t="inlineStr">
        <is>
          <t>7월 통신요금 - O텔레콤</t>
        </is>
      </c>
      <c r="J1471" s="92" t="inlineStr">
        <is>
          <t>V10002</t>
        </is>
      </c>
      <c r="K1471" s="92" t="inlineStr">
        <is>
          <t>O텔레콤</t>
        </is>
      </c>
      <c r="M1471" s="9">
        <f>IF($A1471="","",VALUE($A1471&amp;"")*12+VALUE($B1471&amp;""))</f>
        <v/>
      </c>
      <c r="N1471" s="64">
        <f>IF($A1471="","",IFERROR(INDEX(부서매핑!$C$5:$C$504,MATCH($G1471&amp;"",부서매핑!$A$5:$A$504,0)),"미매핑"))</f>
        <v/>
      </c>
      <c r="O1471" s="9">
        <f>IF($A1471="","",N1471&amp;"|"&amp;$F1471)</f>
        <v/>
      </c>
      <c r="P1471" s="94">
        <f>IF($A1471="",0,$H1471*설정!$C$23)</f>
        <v/>
      </c>
      <c r="Q1471" s="64">
        <f>IF($A1471="","",IF(O1471&lt;&gt;원인분석!$C$9,"",IF(AND(M1471&gt;=원인분석!$C$10,M1471&lt;=원인분석!$C$11),"당기",IF(AND(M1471&gt;=원인분석!$C$12,M1471&lt;=원인분석!$C$13),"비교",""))))</f>
        <v/>
      </c>
      <c r="R1471" s="9">
        <f>IF(Q1471="","",$K1471&amp;"")</f>
        <v/>
      </c>
      <c r="S1471" s="9">
        <f>IF(Q1471="","",IF(MATCH(R1471,$R$5:$R$100000,0)=ROW()-4,ROW(),""))</f>
        <v/>
      </c>
      <c r="T1471" s="9">
        <f>IF(Q1471="당기",ABS(P1471)+ROW()/1000000000,"")</f>
        <v/>
      </c>
      <c r="U1471" s="9">
        <f>IF(Q1471="비교",ABS(P1471)+ROW()/1000000000,"")</f>
        <v/>
      </c>
      <c r="V1471" s="64">
        <f>IF($A1471="","",IF(COUNTIF(변동분석!$E$7:$E$506,O1471)&gt;0,"Y","N"))</f>
        <v/>
      </c>
      <c r="W1471" s="64">
        <f>IF($A1471="","",IFERROR(INDEX(계정매핑!$D$5:$D$504,MATCH($F1471&amp;"",계정매핑!$A$5:$A$504,0)),"미매핑"))</f>
        <v/>
      </c>
      <c r="X1471" s="9">
        <f>IF($A1471="","",$F1471&amp;"")</f>
        <v/>
      </c>
      <c r="Y1471" s="94">
        <f>IF($A1471="",0,IF(AE1471="직접",IF(AF1471="비귀속",$P1471,0),$P1471*(1-AG1471)*IFERROR(INDEX(계정대체기준!$F$20:$F$49,MATCH($N1471,계정대체기준!$A$20:$A$49,0)),1)))</f>
        <v/>
      </c>
      <c r="Z1471" s="94">
        <f>IF($A1471="",0,IF(AE1471="직접",IF(AF1471="신계약비",$P1471,0),$P1471*(1-AG1471)*IFERROR(INDEX(계정대체기준!$C$20:$C$49,MATCH($N1471,계정대체기준!$A$20:$A$49,0)),0)))</f>
        <v/>
      </c>
      <c r="AA1471" s="94">
        <f>IF($A1471="",0,IF(AE1471="직접",IF(OR(AF1471="유지비",AF1471="손해조사비"),$P1471,0),$P1471*(1-AG1471)*IFERROR(INDEX(계정대체기준!$D$20:$D$49,MATCH($N1471,계정대체기준!$A$20:$A$49,0)),0)))</f>
        <v/>
      </c>
      <c r="AB1471" s="94">
        <f>IF($A1471="",0,IF(AE1471="직접",IF(AF1471="수금비",$P1471,0),$P1471*(1-AG1471)*IFERROR(INDEX(계정대체기준!$E$20:$E$49,MATCH($N1471,계정대체기준!$A$20:$A$49,0)),0)))</f>
        <v/>
      </c>
      <c r="AC1471" s="9">
        <f>IF(AND($A1471&lt;&gt;"",M1471=설정!$C$20,Z1471&gt;0),Z1471+ROW()/1000000000,"")</f>
        <v/>
      </c>
      <c r="AD1471" s="94">
        <f>IF($A1471="",0,$P1471*AG1471)</f>
        <v/>
      </c>
      <c r="AE1471" s="64">
        <f>IF($A1471="","",IFERROR(INDEX(계정매핑!$E$5:$E$504,MATCH($F1471&amp;"",계정매핑!$A$5:$A$504,0))&amp;"","공통비"))</f>
        <v/>
      </c>
      <c r="AF1471" s="64">
        <f>IF($A1471="","",IF(AE1471="직접",IFERROR(INDEX(계정매핑!$F$5:$F$504,MATCH($F1471&amp;"",계정매핑!$A$5:$A$504,0))&amp;"","비귀속"),""))</f>
        <v/>
      </c>
      <c r="AG1471" s="96">
        <f>IF($A1471="",0,IF(AND(AE1471&lt;&gt;"직접",IFERROR(INDEX(계정매핑!$G$5:$G$504,MATCH($F1471&amp;"",계정매핑!$A$5:$A$504,0))&amp;"","")="유지비",COUNTIF(계정대체기준!$A$6:$A$15,$N1471)&gt;0),IFERROR(INDEX(계정대체기준!$E$6:$E$15,MATCH(VALUE($A1471&amp;""),계정대체기준!$D$6:$D$15,0)),0),0))</f>
        <v/>
      </c>
      <c r="AH1471" s="64">
        <f>IF($A1471="","",IF(AD1471=0,"",IF(OR(COUNTIF(계정대체기준!$A$77:$A$86,$N1471)&gt;0,ISNUMBER(MATCH($X1471,계정대체기준!$D$77:$D$86,0)),ISNUMBER(MATCH($F1471,계정대체기준!$D$77:$D$86,0))),"Y","N")))</f>
        <v/>
      </c>
    </row>
    <row r="1472">
      <c r="A1472" s="92" t="n">
        <v>2025</v>
      </c>
      <c r="B1472" s="92" t="n">
        <v>7</v>
      </c>
      <c r="C1472" s="92" t="inlineStr">
        <is>
          <t>5100001468</t>
        </is>
      </c>
      <c r="D1472" s="95" t="n">
        <v>45852</v>
      </c>
      <c r="E1472" s="92" t="inlineStr">
        <is>
          <t>KR</t>
        </is>
      </c>
      <c r="F1472" s="92" t="n">
        <v>62201000</v>
      </c>
      <c r="G1472" s="92" t="n">
        <v>1501</v>
      </c>
      <c r="H1472" s="93" t="n">
        <v>462000</v>
      </c>
      <c r="I1472" s="92" t="inlineStr">
        <is>
          <t>7월 통신요금 - P통신</t>
        </is>
      </c>
      <c r="J1472" s="92" t="inlineStr">
        <is>
          <t>V10014</t>
        </is>
      </c>
      <c r="K1472" s="92" t="inlineStr">
        <is>
          <t>P통신</t>
        </is>
      </c>
      <c r="M1472" s="9">
        <f>IF($A1472="","",VALUE($A1472&amp;"")*12+VALUE($B1472&amp;""))</f>
        <v/>
      </c>
      <c r="N1472" s="64">
        <f>IF($A1472="","",IFERROR(INDEX(부서매핑!$C$5:$C$504,MATCH($G1472&amp;"",부서매핑!$A$5:$A$504,0)),"미매핑"))</f>
        <v/>
      </c>
      <c r="O1472" s="9">
        <f>IF($A1472="","",N1472&amp;"|"&amp;$F1472)</f>
        <v/>
      </c>
      <c r="P1472" s="94">
        <f>IF($A1472="",0,$H1472*설정!$C$23)</f>
        <v/>
      </c>
      <c r="Q1472" s="64">
        <f>IF($A1472="","",IF(O1472&lt;&gt;원인분석!$C$9,"",IF(AND(M1472&gt;=원인분석!$C$10,M1472&lt;=원인분석!$C$11),"당기",IF(AND(M1472&gt;=원인분석!$C$12,M1472&lt;=원인분석!$C$13),"비교",""))))</f>
        <v/>
      </c>
      <c r="R1472" s="9">
        <f>IF(Q1472="","",$K1472&amp;"")</f>
        <v/>
      </c>
      <c r="S1472" s="9">
        <f>IF(Q1472="","",IF(MATCH(R1472,$R$5:$R$100000,0)=ROW()-4,ROW(),""))</f>
        <v/>
      </c>
      <c r="T1472" s="9">
        <f>IF(Q1472="당기",ABS(P1472)+ROW()/1000000000,"")</f>
        <v/>
      </c>
      <c r="U1472" s="9">
        <f>IF(Q1472="비교",ABS(P1472)+ROW()/1000000000,"")</f>
        <v/>
      </c>
      <c r="V1472" s="64">
        <f>IF($A1472="","",IF(COUNTIF(변동분석!$E$7:$E$506,O1472)&gt;0,"Y","N"))</f>
        <v/>
      </c>
      <c r="W1472" s="64">
        <f>IF($A1472="","",IFERROR(INDEX(계정매핑!$D$5:$D$504,MATCH($F1472&amp;"",계정매핑!$A$5:$A$504,0)),"미매핑"))</f>
        <v/>
      </c>
      <c r="X1472" s="9">
        <f>IF($A1472="","",$F1472&amp;"")</f>
        <v/>
      </c>
      <c r="Y1472" s="94">
        <f>IF($A1472="",0,IF(AE1472="직접",IF(AF1472="비귀속",$P1472,0),$P1472*(1-AG1472)*IFERROR(INDEX(계정대체기준!$F$20:$F$49,MATCH($N1472,계정대체기준!$A$20:$A$49,0)),1)))</f>
        <v/>
      </c>
      <c r="Z1472" s="94">
        <f>IF($A1472="",0,IF(AE1472="직접",IF(AF1472="신계약비",$P1472,0),$P1472*(1-AG1472)*IFERROR(INDEX(계정대체기준!$C$20:$C$49,MATCH($N1472,계정대체기준!$A$20:$A$49,0)),0)))</f>
        <v/>
      </c>
      <c r="AA1472" s="94">
        <f>IF($A1472="",0,IF(AE1472="직접",IF(OR(AF1472="유지비",AF1472="손해조사비"),$P1472,0),$P1472*(1-AG1472)*IFERROR(INDEX(계정대체기준!$D$20:$D$49,MATCH($N1472,계정대체기준!$A$20:$A$49,0)),0)))</f>
        <v/>
      </c>
      <c r="AB1472" s="94">
        <f>IF($A1472="",0,IF(AE1472="직접",IF(AF1472="수금비",$P1472,0),$P1472*(1-AG1472)*IFERROR(INDEX(계정대체기준!$E$20:$E$49,MATCH($N1472,계정대체기준!$A$20:$A$49,0)),0)))</f>
        <v/>
      </c>
      <c r="AC1472" s="9">
        <f>IF(AND($A1472&lt;&gt;"",M1472=설정!$C$20,Z1472&gt;0),Z1472+ROW()/1000000000,"")</f>
        <v/>
      </c>
      <c r="AD1472" s="94">
        <f>IF($A1472="",0,$P1472*AG1472)</f>
        <v/>
      </c>
      <c r="AE1472" s="64">
        <f>IF($A1472="","",IFERROR(INDEX(계정매핑!$E$5:$E$504,MATCH($F1472&amp;"",계정매핑!$A$5:$A$504,0))&amp;"","공통비"))</f>
        <v/>
      </c>
      <c r="AF1472" s="64">
        <f>IF($A1472="","",IF(AE1472="직접",IFERROR(INDEX(계정매핑!$F$5:$F$504,MATCH($F1472&amp;"",계정매핑!$A$5:$A$504,0))&amp;"","비귀속"),""))</f>
        <v/>
      </c>
      <c r="AG1472" s="96">
        <f>IF($A1472="",0,IF(AND(AE1472&lt;&gt;"직접",IFERROR(INDEX(계정매핑!$G$5:$G$504,MATCH($F1472&amp;"",계정매핑!$A$5:$A$504,0))&amp;"","")="유지비",COUNTIF(계정대체기준!$A$6:$A$15,$N1472)&gt;0),IFERROR(INDEX(계정대체기준!$E$6:$E$15,MATCH(VALUE($A1472&amp;""),계정대체기준!$D$6:$D$15,0)),0),0))</f>
        <v/>
      </c>
      <c r="AH1472" s="64">
        <f>IF($A1472="","",IF(AD1472=0,"",IF(OR(COUNTIF(계정대체기준!$A$77:$A$86,$N1472)&gt;0,ISNUMBER(MATCH($X1472,계정대체기준!$D$77:$D$86,0)),ISNUMBER(MATCH($F1472,계정대체기준!$D$77:$D$86,0))),"Y","N")))</f>
        <v/>
      </c>
    </row>
    <row r="1473">
      <c r="A1473" s="92" t="n">
        <v>2025</v>
      </c>
      <c r="B1473" s="92" t="n">
        <v>7</v>
      </c>
      <c r="C1473" s="92" t="inlineStr">
        <is>
          <t>5100001469</t>
        </is>
      </c>
      <c r="D1473" s="95" t="n">
        <v>45852</v>
      </c>
      <c r="E1473" s="92" t="inlineStr">
        <is>
          <t>KR</t>
        </is>
      </c>
      <c r="F1473" s="92" t="n">
        <v>62301000</v>
      </c>
      <c r="G1473" s="92" t="n">
        <v>1701</v>
      </c>
      <c r="H1473" s="93" t="n">
        <v>250000</v>
      </c>
      <c r="I1473" s="92" t="inlineStr">
        <is>
          <t>7월 소모품 구입 - R문구</t>
        </is>
      </c>
      <c r="J1473" s="92" t="inlineStr">
        <is>
          <t>V10022</t>
        </is>
      </c>
      <c r="K1473" s="92" t="inlineStr">
        <is>
          <t>R문구</t>
        </is>
      </c>
      <c r="M1473" s="9">
        <f>IF($A1473="","",VALUE($A1473&amp;"")*12+VALUE($B1473&amp;""))</f>
        <v/>
      </c>
      <c r="N1473" s="64">
        <f>IF($A1473="","",IFERROR(INDEX(부서매핑!$C$5:$C$504,MATCH($G1473&amp;"",부서매핑!$A$5:$A$504,0)),"미매핑"))</f>
        <v/>
      </c>
      <c r="O1473" s="9">
        <f>IF($A1473="","",N1473&amp;"|"&amp;$F1473)</f>
        <v/>
      </c>
      <c r="P1473" s="94">
        <f>IF($A1473="",0,$H1473*설정!$C$23)</f>
        <v/>
      </c>
      <c r="Q1473" s="64">
        <f>IF($A1473="","",IF(O1473&lt;&gt;원인분석!$C$9,"",IF(AND(M1473&gt;=원인분석!$C$10,M1473&lt;=원인분석!$C$11),"당기",IF(AND(M1473&gt;=원인분석!$C$12,M1473&lt;=원인분석!$C$13),"비교",""))))</f>
        <v/>
      </c>
      <c r="R1473" s="9">
        <f>IF(Q1473="","",$K1473&amp;"")</f>
        <v/>
      </c>
      <c r="S1473" s="9">
        <f>IF(Q1473="","",IF(MATCH(R1473,$R$5:$R$100000,0)=ROW()-4,ROW(),""))</f>
        <v/>
      </c>
      <c r="T1473" s="9">
        <f>IF(Q1473="당기",ABS(P1473)+ROW()/1000000000,"")</f>
        <v/>
      </c>
      <c r="U1473" s="9">
        <f>IF(Q1473="비교",ABS(P1473)+ROW()/1000000000,"")</f>
        <v/>
      </c>
      <c r="V1473" s="64">
        <f>IF($A1473="","",IF(COUNTIF(변동분석!$E$7:$E$506,O1473)&gt;0,"Y","N"))</f>
        <v/>
      </c>
      <c r="W1473" s="64">
        <f>IF($A1473="","",IFERROR(INDEX(계정매핑!$D$5:$D$504,MATCH($F1473&amp;"",계정매핑!$A$5:$A$504,0)),"미매핑"))</f>
        <v/>
      </c>
      <c r="X1473" s="9">
        <f>IF($A1473="","",$F1473&amp;"")</f>
        <v/>
      </c>
      <c r="Y1473" s="94">
        <f>IF($A1473="",0,IF(AE1473="직접",IF(AF1473="비귀속",$P1473,0),$P1473*(1-AG1473)*IFERROR(INDEX(계정대체기준!$F$20:$F$49,MATCH($N1473,계정대체기준!$A$20:$A$49,0)),1)))</f>
        <v/>
      </c>
      <c r="Z1473" s="94">
        <f>IF($A1473="",0,IF(AE1473="직접",IF(AF1473="신계약비",$P1473,0),$P1473*(1-AG1473)*IFERROR(INDEX(계정대체기준!$C$20:$C$49,MATCH($N1473,계정대체기준!$A$20:$A$49,0)),0)))</f>
        <v/>
      </c>
      <c r="AA1473" s="94">
        <f>IF($A1473="",0,IF(AE1473="직접",IF(OR(AF1473="유지비",AF1473="손해조사비"),$P1473,0),$P1473*(1-AG1473)*IFERROR(INDEX(계정대체기준!$D$20:$D$49,MATCH($N1473,계정대체기준!$A$20:$A$49,0)),0)))</f>
        <v/>
      </c>
      <c r="AB1473" s="94">
        <f>IF($A1473="",0,IF(AE1473="직접",IF(AF1473="수금비",$P1473,0),$P1473*(1-AG1473)*IFERROR(INDEX(계정대체기준!$E$20:$E$49,MATCH($N1473,계정대체기준!$A$20:$A$49,0)),0)))</f>
        <v/>
      </c>
      <c r="AC1473" s="9">
        <f>IF(AND($A1473&lt;&gt;"",M1473=설정!$C$20,Z1473&gt;0),Z1473+ROW()/1000000000,"")</f>
        <v/>
      </c>
      <c r="AD1473" s="94">
        <f>IF($A1473="",0,$P1473*AG1473)</f>
        <v/>
      </c>
      <c r="AE1473" s="64">
        <f>IF($A1473="","",IFERROR(INDEX(계정매핑!$E$5:$E$504,MATCH($F1473&amp;"",계정매핑!$A$5:$A$504,0))&amp;"","공통비"))</f>
        <v/>
      </c>
      <c r="AF1473" s="64">
        <f>IF($A1473="","",IF(AE1473="직접",IFERROR(INDEX(계정매핑!$F$5:$F$504,MATCH($F1473&amp;"",계정매핑!$A$5:$A$504,0))&amp;"","비귀속"),""))</f>
        <v/>
      </c>
      <c r="AG1473" s="96">
        <f>IF($A1473="",0,IF(AND(AE1473&lt;&gt;"직접",IFERROR(INDEX(계정매핑!$G$5:$G$504,MATCH($F1473&amp;"",계정매핑!$A$5:$A$504,0))&amp;"","")="유지비",COUNTIF(계정대체기준!$A$6:$A$15,$N1473)&gt;0),IFERROR(INDEX(계정대체기준!$E$6:$E$15,MATCH(VALUE($A1473&amp;""),계정대체기준!$D$6:$D$15,0)),0),0))</f>
        <v/>
      </c>
      <c r="AH1473" s="64">
        <f>IF($A1473="","",IF(AD1473=0,"",IF(OR(COUNTIF(계정대체기준!$A$77:$A$86,$N1473)&gt;0,ISNUMBER(MATCH($X1473,계정대체기준!$D$77:$D$86,0)),ISNUMBER(MATCH($F1473,계정대체기준!$D$77:$D$86,0))),"Y","N")))</f>
        <v/>
      </c>
    </row>
    <row r="1474">
      <c r="A1474" s="92" t="n">
        <v>2025</v>
      </c>
      <c r="B1474" s="92" t="n">
        <v>7</v>
      </c>
      <c r="C1474" s="92" t="inlineStr">
        <is>
          <t>5100001470</t>
        </is>
      </c>
      <c r="D1474" s="95" t="n">
        <v>45853</v>
      </c>
      <c r="E1474" s="92" t="inlineStr">
        <is>
          <t>KR</t>
        </is>
      </c>
      <c r="F1474" s="92" t="n">
        <v>62101000</v>
      </c>
      <c r="G1474" s="92" t="n">
        <v>1801</v>
      </c>
      <c r="H1474" s="93" t="n">
        <v>191000</v>
      </c>
      <c r="I1474" s="92" t="inlineStr">
        <is>
          <t>7월 국내출장 - M항공</t>
        </is>
      </c>
      <c r="J1474" s="92" t="inlineStr">
        <is>
          <t>V10001</t>
        </is>
      </c>
      <c r="K1474" s="92" t="inlineStr">
        <is>
          <t>M항공</t>
        </is>
      </c>
      <c r="M1474" s="9">
        <f>IF($A1474="","",VALUE($A1474&amp;"")*12+VALUE($B1474&amp;""))</f>
        <v/>
      </c>
      <c r="N1474" s="64">
        <f>IF($A1474="","",IFERROR(INDEX(부서매핑!$C$5:$C$504,MATCH($G1474&amp;"",부서매핑!$A$5:$A$504,0)),"미매핑"))</f>
        <v/>
      </c>
      <c r="O1474" s="9">
        <f>IF($A1474="","",N1474&amp;"|"&amp;$F1474)</f>
        <v/>
      </c>
      <c r="P1474" s="94">
        <f>IF($A1474="",0,$H1474*설정!$C$23)</f>
        <v/>
      </c>
      <c r="Q1474" s="64">
        <f>IF($A1474="","",IF(O1474&lt;&gt;원인분석!$C$9,"",IF(AND(M1474&gt;=원인분석!$C$10,M1474&lt;=원인분석!$C$11),"당기",IF(AND(M1474&gt;=원인분석!$C$12,M1474&lt;=원인분석!$C$13),"비교",""))))</f>
        <v/>
      </c>
      <c r="R1474" s="9">
        <f>IF(Q1474="","",$K1474&amp;"")</f>
        <v/>
      </c>
      <c r="S1474" s="9">
        <f>IF(Q1474="","",IF(MATCH(R1474,$R$5:$R$100000,0)=ROW()-4,ROW(),""))</f>
        <v/>
      </c>
      <c r="T1474" s="9">
        <f>IF(Q1474="당기",ABS(P1474)+ROW()/1000000000,"")</f>
        <v/>
      </c>
      <c r="U1474" s="9">
        <f>IF(Q1474="비교",ABS(P1474)+ROW()/1000000000,"")</f>
        <v/>
      </c>
      <c r="V1474" s="64">
        <f>IF($A1474="","",IF(COUNTIF(변동분석!$E$7:$E$506,O1474)&gt;0,"Y","N"))</f>
        <v/>
      </c>
      <c r="W1474" s="64">
        <f>IF($A1474="","",IFERROR(INDEX(계정매핑!$D$5:$D$504,MATCH($F1474&amp;"",계정매핑!$A$5:$A$504,0)),"미매핑"))</f>
        <v/>
      </c>
      <c r="X1474" s="9">
        <f>IF($A1474="","",$F1474&amp;"")</f>
        <v/>
      </c>
      <c r="Y1474" s="94">
        <f>IF($A1474="",0,IF(AE1474="직접",IF(AF1474="비귀속",$P1474,0),$P1474*(1-AG1474)*IFERROR(INDEX(계정대체기준!$F$20:$F$49,MATCH($N1474,계정대체기준!$A$20:$A$49,0)),1)))</f>
        <v/>
      </c>
      <c r="Z1474" s="94">
        <f>IF($A1474="",0,IF(AE1474="직접",IF(AF1474="신계약비",$P1474,0),$P1474*(1-AG1474)*IFERROR(INDEX(계정대체기준!$C$20:$C$49,MATCH($N1474,계정대체기준!$A$20:$A$49,0)),0)))</f>
        <v/>
      </c>
      <c r="AA1474" s="94">
        <f>IF($A1474="",0,IF(AE1474="직접",IF(OR(AF1474="유지비",AF1474="손해조사비"),$P1474,0),$P1474*(1-AG1474)*IFERROR(INDEX(계정대체기준!$D$20:$D$49,MATCH($N1474,계정대체기준!$A$20:$A$49,0)),0)))</f>
        <v/>
      </c>
      <c r="AB1474" s="94">
        <f>IF($A1474="",0,IF(AE1474="직접",IF(AF1474="수금비",$P1474,0),$P1474*(1-AG1474)*IFERROR(INDEX(계정대체기준!$E$20:$E$49,MATCH($N1474,계정대체기준!$A$20:$A$49,0)),0)))</f>
        <v/>
      </c>
      <c r="AC1474" s="9">
        <f>IF(AND($A1474&lt;&gt;"",M1474=설정!$C$20,Z1474&gt;0),Z1474+ROW()/1000000000,"")</f>
        <v/>
      </c>
      <c r="AD1474" s="94">
        <f>IF($A1474="",0,$P1474*AG1474)</f>
        <v/>
      </c>
      <c r="AE1474" s="64">
        <f>IF($A1474="","",IFERROR(INDEX(계정매핑!$E$5:$E$504,MATCH($F1474&amp;"",계정매핑!$A$5:$A$504,0))&amp;"","공통비"))</f>
        <v/>
      </c>
      <c r="AF1474" s="64">
        <f>IF($A1474="","",IF(AE1474="직접",IFERROR(INDEX(계정매핑!$F$5:$F$504,MATCH($F1474&amp;"",계정매핑!$A$5:$A$504,0))&amp;"","비귀속"),""))</f>
        <v/>
      </c>
      <c r="AG1474" s="96">
        <f>IF($A1474="",0,IF(AND(AE1474&lt;&gt;"직접",IFERROR(INDEX(계정매핑!$G$5:$G$504,MATCH($F1474&amp;"",계정매핑!$A$5:$A$504,0))&amp;"","")="유지비",COUNTIF(계정대체기준!$A$6:$A$15,$N1474)&gt;0),IFERROR(INDEX(계정대체기준!$E$6:$E$15,MATCH(VALUE($A1474&amp;""),계정대체기준!$D$6:$D$15,0)),0),0))</f>
        <v/>
      </c>
      <c r="AH1474" s="64">
        <f>IF($A1474="","",IF(AD1474=0,"",IF(OR(COUNTIF(계정대체기준!$A$77:$A$86,$N1474)&gt;0,ISNUMBER(MATCH($X1474,계정대체기준!$D$77:$D$86,0)),ISNUMBER(MATCH($F1474,계정대체기준!$D$77:$D$86,0))),"Y","N")))</f>
        <v/>
      </c>
    </row>
    <row r="1475">
      <c r="A1475" s="92" t="n">
        <v>2025</v>
      </c>
      <c r="B1475" s="92" t="n">
        <v>7</v>
      </c>
      <c r="C1475" s="92" t="inlineStr">
        <is>
          <t>5100001471</t>
        </is>
      </c>
      <c r="D1475" s="95" t="n">
        <v>45853</v>
      </c>
      <c r="E1475" s="92" t="inlineStr">
        <is>
          <t>KR</t>
        </is>
      </c>
      <c r="F1475" s="92" t="n">
        <v>62101000</v>
      </c>
      <c r="G1475" s="92" t="n">
        <v>1801</v>
      </c>
      <c r="H1475" s="93" t="n">
        <v>179000</v>
      </c>
      <c r="I1475" s="92" t="inlineStr">
        <is>
          <t>7월 국내출장 - (법인카드)</t>
        </is>
      </c>
      <c r="J1475" s="92" t="inlineStr">
        <is>
          <t>V10010</t>
        </is>
      </c>
      <c r="K1475" s="92" t="inlineStr">
        <is>
          <t>(법인카드)</t>
        </is>
      </c>
      <c r="M1475" s="9">
        <f>IF($A1475="","",VALUE($A1475&amp;"")*12+VALUE($B1475&amp;""))</f>
        <v/>
      </c>
      <c r="N1475" s="64">
        <f>IF($A1475="","",IFERROR(INDEX(부서매핑!$C$5:$C$504,MATCH($G1475&amp;"",부서매핑!$A$5:$A$504,0)),"미매핑"))</f>
        <v/>
      </c>
      <c r="O1475" s="9">
        <f>IF($A1475="","",N1475&amp;"|"&amp;$F1475)</f>
        <v/>
      </c>
      <c r="P1475" s="94">
        <f>IF($A1475="",0,$H1475*설정!$C$23)</f>
        <v/>
      </c>
      <c r="Q1475" s="64">
        <f>IF($A1475="","",IF(O1475&lt;&gt;원인분석!$C$9,"",IF(AND(M1475&gt;=원인분석!$C$10,M1475&lt;=원인분석!$C$11),"당기",IF(AND(M1475&gt;=원인분석!$C$12,M1475&lt;=원인분석!$C$13),"비교",""))))</f>
        <v/>
      </c>
      <c r="R1475" s="9">
        <f>IF(Q1475="","",$K1475&amp;"")</f>
        <v/>
      </c>
      <c r="S1475" s="9">
        <f>IF(Q1475="","",IF(MATCH(R1475,$R$5:$R$100000,0)=ROW()-4,ROW(),""))</f>
        <v/>
      </c>
      <c r="T1475" s="9">
        <f>IF(Q1475="당기",ABS(P1475)+ROW()/1000000000,"")</f>
        <v/>
      </c>
      <c r="U1475" s="9">
        <f>IF(Q1475="비교",ABS(P1475)+ROW()/1000000000,"")</f>
        <v/>
      </c>
      <c r="V1475" s="64">
        <f>IF($A1475="","",IF(COUNTIF(변동분석!$E$7:$E$506,O1475)&gt;0,"Y","N"))</f>
        <v/>
      </c>
      <c r="W1475" s="64">
        <f>IF($A1475="","",IFERROR(INDEX(계정매핑!$D$5:$D$504,MATCH($F1475&amp;"",계정매핑!$A$5:$A$504,0)),"미매핑"))</f>
        <v/>
      </c>
      <c r="X1475" s="9">
        <f>IF($A1475="","",$F1475&amp;"")</f>
        <v/>
      </c>
      <c r="Y1475" s="94">
        <f>IF($A1475="",0,IF(AE1475="직접",IF(AF1475="비귀속",$P1475,0),$P1475*(1-AG1475)*IFERROR(INDEX(계정대체기준!$F$20:$F$49,MATCH($N1475,계정대체기준!$A$20:$A$49,0)),1)))</f>
        <v/>
      </c>
      <c r="Z1475" s="94">
        <f>IF($A1475="",0,IF(AE1475="직접",IF(AF1475="신계약비",$P1475,0),$P1475*(1-AG1475)*IFERROR(INDEX(계정대체기준!$C$20:$C$49,MATCH($N1475,계정대체기준!$A$20:$A$49,0)),0)))</f>
        <v/>
      </c>
      <c r="AA1475" s="94">
        <f>IF($A1475="",0,IF(AE1475="직접",IF(OR(AF1475="유지비",AF1475="손해조사비"),$P1475,0),$P1475*(1-AG1475)*IFERROR(INDEX(계정대체기준!$D$20:$D$49,MATCH($N1475,계정대체기준!$A$20:$A$49,0)),0)))</f>
        <v/>
      </c>
      <c r="AB1475" s="94">
        <f>IF($A1475="",0,IF(AE1475="직접",IF(AF1475="수금비",$P1475,0),$P1475*(1-AG1475)*IFERROR(INDEX(계정대체기준!$E$20:$E$49,MATCH($N1475,계정대체기준!$A$20:$A$49,0)),0)))</f>
        <v/>
      </c>
      <c r="AC1475" s="9">
        <f>IF(AND($A1475&lt;&gt;"",M1475=설정!$C$20,Z1475&gt;0),Z1475+ROW()/1000000000,"")</f>
        <v/>
      </c>
      <c r="AD1475" s="94">
        <f>IF($A1475="",0,$P1475*AG1475)</f>
        <v/>
      </c>
      <c r="AE1475" s="64">
        <f>IF($A1475="","",IFERROR(INDEX(계정매핑!$E$5:$E$504,MATCH($F1475&amp;"",계정매핑!$A$5:$A$504,0))&amp;"","공통비"))</f>
        <v/>
      </c>
      <c r="AF1475" s="64">
        <f>IF($A1475="","",IF(AE1475="직접",IFERROR(INDEX(계정매핑!$F$5:$F$504,MATCH($F1475&amp;"",계정매핑!$A$5:$A$504,0))&amp;"","비귀속"),""))</f>
        <v/>
      </c>
      <c r="AG1475" s="96">
        <f>IF($A1475="",0,IF(AND(AE1475&lt;&gt;"직접",IFERROR(INDEX(계정매핑!$G$5:$G$504,MATCH($F1475&amp;"",계정매핑!$A$5:$A$504,0))&amp;"","")="유지비",COUNTIF(계정대체기준!$A$6:$A$15,$N1475)&gt;0),IFERROR(INDEX(계정대체기준!$E$6:$E$15,MATCH(VALUE($A1475&amp;""),계정대체기준!$D$6:$D$15,0)),0),0))</f>
        <v/>
      </c>
      <c r="AH1475" s="64">
        <f>IF($A1475="","",IF(AD1475=0,"",IF(OR(COUNTIF(계정대체기준!$A$77:$A$86,$N1475)&gt;0,ISNUMBER(MATCH($X1475,계정대체기준!$D$77:$D$86,0)),ISNUMBER(MATCH($F1475,계정대체기준!$D$77:$D$86,0))),"Y","N")))</f>
        <v/>
      </c>
    </row>
    <row r="1476">
      <c r="A1476" s="92" t="n">
        <v>2025</v>
      </c>
      <c r="B1476" s="92" t="n">
        <v>7</v>
      </c>
      <c r="C1476" s="92" t="inlineStr">
        <is>
          <t>5100001472</t>
        </is>
      </c>
      <c r="D1476" s="95" t="n">
        <v>45853</v>
      </c>
      <c r="E1476" s="92" t="inlineStr">
        <is>
          <t>KR</t>
        </is>
      </c>
      <c r="F1476" s="92" t="n">
        <v>62102000</v>
      </c>
      <c r="G1476" s="92" t="n">
        <v>1401</v>
      </c>
      <c r="H1476" s="93" t="n">
        <v>68000</v>
      </c>
      <c r="I1476" s="92" t="inlineStr">
        <is>
          <t>7월 해외출장 - N호텔</t>
        </is>
      </c>
      <c r="J1476" s="92" t="inlineStr">
        <is>
          <t>V10009</t>
        </is>
      </c>
      <c r="K1476" s="92" t="inlineStr">
        <is>
          <t>N호텔</t>
        </is>
      </c>
      <c r="M1476" s="9">
        <f>IF($A1476="","",VALUE($A1476&amp;"")*12+VALUE($B1476&amp;""))</f>
        <v/>
      </c>
      <c r="N1476" s="64">
        <f>IF($A1476="","",IFERROR(INDEX(부서매핑!$C$5:$C$504,MATCH($G1476&amp;"",부서매핑!$A$5:$A$504,0)),"미매핑"))</f>
        <v/>
      </c>
      <c r="O1476" s="9">
        <f>IF($A1476="","",N1476&amp;"|"&amp;$F1476)</f>
        <v/>
      </c>
      <c r="P1476" s="94">
        <f>IF($A1476="",0,$H1476*설정!$C$23)</f>
        <v/>
      </c>
      <c r="Q1476" s="64">
        <f>IF($A1476="","",IF(O1476&lt;&gt;원인분석!$C$9,"",IF(AND(M1476&gt;=원인분석!$C$10,M1476&lt;=원인분석!$C$11),"당기",IF(AND(M1476&gt;=원인분석!$C$12,M1476&lt;=원인분석!$C$13),"비교",""))))</f>
        <v/>
      </c>
      <c r="R1476" s="9">
        <f>IF(Q1476="","",$K1476&amp;"")</f>
        <v/>
      </c>
      <c r="S1476" s="9">
        <f>IF(Q1476="","",IF(MATCH(R1476,$R$5:$R$100000,0)=ROW()-4,ROW(),""))</f>
        <v/>
      </c>
      <c r="T1476" s="9">
        <f>IF(Q1476="당기",ABS(P1476)+ROW()/1000000000,"")</f>
        <v/>
      </c>
      <c r="U1476" s="9">
        <f>IF(Q1476="비교",ABS(P1476)+ROW()/1000000000,"")</f>
        <v/>
      </c>
      <c r="V1476" s="64">
        <f>IF($A1476="","",IF(COUNTIF(변동분석!$E$7:$E$506,O1476)&gt;0,"Y","N"))</f>
        <v/>
      </c>
      <c r="W1476" s="64">
        <f>IF($A1476="","",IFERROR(INDEX(계정매핑!$D$5:$D$504,MATCH($F1476&amp;"",계정매핑!$A$5:$A$504,0)),"미매핑"))</f>
        <v/>
      </c>
      <c r="X1476" s="9">
        <f>IF($A1476="","",$F1476&amp;"")</f>
        <v/>
      </c>
      <c r="Y1476" s="94">
        <f>IF($A1476="",0,IF(AE1476="직접",IF(AF1476="비귀속",$P1476,0),$P1476*(1-AG1476)*IFERROR(INDEX(계정대체기준!$F$20:$F$49,MATCH($N1476,계정대체기준!$A$20:$A$49,0)),1)))</f>
        <v/>
      </c>
      <c r="Z1476" s="94">
        <f>IF($A1476="",0,IF(AE1476="직접",IF(AF1476="신계약비",$P1476,0),$P1476*(1-AG1476)*IFERROR(INDEX(계정대체기준!$C$20:$C$49,MATCH($N1476,계정대체기준!$A$20:$A$49,0)),0)))</f>
        <v/>
      </c>
      <c r="AA1476" s="94">
        <f>IF($A1476="",0,IF(AE1476="직접",IF(OR(AF1476="유지비",AF1476="손해조사비"),$P1476,0),$P1476*(1-AG1476)*IFERROR(INDEX(계정대체기준!$D$20:$D$49,MATCH($N1476,계정대체기준!$A$20:$A$49,0)),0)))</f>
        <v/>
      </c>
      <c r="AB1476" s="94">
        <f>IF($A1476="",0,IF(AE1476="직접",IF(AF1476="수금비",$P1476,0),$P1476*(1-AG1476)*IFERROR(INDEX(계정대체기준!$E$20:$E$49,MATCH($N1476,계정대체기준!$A$20:$A$49,0)),0)))</f>
        <v/>
      </c>
      <c r="AC1476" s="9">
        <f>IF(AND($A1476&lt;&gt;"",M1476=설정!$C$20,Z1476&gt;0),Z1476+ROW()/1000000000,"")</f>
        <v/>
      </c>
      <c r="AD1476" s="94">
        <f>IF($A1476="",0,$P1476*AG1476)</f>
        <v/>
      </c>
      <c r="AE1476" s="64">
        <f>IF($A1476="","",IFERROR(INDEX(계정매핑!$E$5:$E$504,MATCH($F1476&amp;"",계정매핑!$A$5:$A$504,0))&amp;"","공통비"))</f>
        <v/>
      </c>
      <c r="AF1476" s="64">
        <f>IF($A1476="","",IF(AE1476="직접",IFERROR(INDEX(계정매핑!$F$5:$F$504,MATCH($F1476&amp;"",계정매핑!$A$5:$A$504,0))&amp;"","비귀속"),""))</f>
        <v/>
      </c>
      <c r="AG1476" s="96">
        <f>IF($A1476="",0,IF(AND(AE1476&lt;&gt;"직접",IFERROR(INDEX(계정매핑!$G$5:$G$504,MATCH($F1476&amp;"",계정매핑!$A$5:$A$504,0))&amp;"","")="유지비",COUNTIF(계정대체기준!$A$6:$A$15,$N1476)&gt;0),IFERROR(INDEX(계정대체기준!$E$6:$E$15,MATCH(VALUE($A1476&amp;""),계정대체기준!$D$6:$D$15,0)),0),0))</f>
        <v/>
      </c>
      <c r="AH1476" s="64">
        <f>IF($A1476="","",IF(AD1476=0,"",IF(OR(COUNTIF(계정대체기준!$A$77:$A$86,$N1476)&gt;0,ISNUMBER(MATCH($X1476,계정대체기준!$D$77:$D$86,0)),ISNUMBER(MATCH($F1476,계정대체기준!$D$77:$D$86,0))),"Y","N")))</f>
        <v/>
      </c>
    </row>
    <row r="1477">
      <c r="A1477" s="92" t="n">
        <v>2025</v>
      </c>
      <c r="B1477" s="92" t="n">
        <v>7</v>
      </c>
      <c r="C1477" s="92" t="inlineStr">
        <is>
          <t>5100001473</t>
        </is>
      </c>
      <c r="D1477" s="95" t="n">
        <v>45853</v>
      </c>
      <c r="E1477" s="92" t="inlineStr">
        <is>
          <t>KR</t>
        </is>
      </c>
      <c r="F1477" s="92" t="n">
        <v>62102000</v>
      </c>
      <c r="G1477" s="92" t="n">
        <v>1401</v>
      </c>
      <c r="H1477" s="93" t="n">
        <v>68000</v>
      </c>
      <c r="I1477" s="92" t="inlineStr">
        <is>
          <t>7월 해외출장 - N호텔</t>
        </is>
      </c>
      <c r="J1477" s="92" t="inlineStr">
        <is>
          <t>V10009</t>
        </is>
      </c>
      <c r="K1477" s="92" t="inlineStr">
        <is>
          <t>N호텔</t>
        </is>
      </c>
      <c r="M1477" s="9">
        <f>IF($A1477="","",VALUE($A1477&amp;"")*12+VALUE($B1477&amp;""))</f>
        <v/>
      </c>
      <c r="N1477" s="64">
        <f>IF($A1477="","",IFERROR(INDEX(부서매핑!$C$5:$C$504,MATCH($G1477&amp;"",부서매핑!$A$5:$A$504,0)),"미매핑"))</f>
        <v/>
      </c>
      <c r="O1477" s="9">
        <f>IF($A1477="","",N1477&amp;"|"&amp;$F1477)</f>
        <v/>
      </c>
      <c r="P1477" s="94">
        <f>IF($A1477="",0,$H1477*설정!$C$23)</f>
        <v/>
      </c>
      <c r="Q1477" s="64">
        <f>IF($A1477="","",IF(O1477&lt;&gt;원인분석!$C$9,"",IF(AND(M1477&gt;=원인분석!$C$10,M1477&lt;=원인분석!$C$11),"당기",IF(AND(M1477&gt;=원인분석!$C$12,M1477&lt;=원인분석!$C$13),"비교",""))))</f>
        <v/>
      </c>
      <c r="R1477" s="9">
        <f>IF(Q1477="","",$K1477&amp;"")</f>
        <v/>
      </c>
      <c r="S1477" s="9">
        <f>IF(Q1477="","",IF(MATCH(R1477,$R$5:$R$100000,0)=ROW()-4,ROW(),""))</f>
        <v/>
      </c>
      <c r="T1477" s="9">
        <f>IF(Q1477="당기",ABS(P1477)+ROW()/1000000000,"")</f>
        <v/>
      </c>
      <c r="U1477" s="9">
        <f>IF(Q1477="비교",ABS(P1477)+ROW()/1000000000,"")</f>
        <v/>
      </c>
      <c r="V1477" s="64">
        <f>IF($A1477="","",IF(COUNTIF(변동분석!$E$7:$E$506,O1477)&gt;0,"Y","N"))</f>
        <v/>
      </c>
      <c r="W1477" s="64">
        <f>IF($A1477="","",IFERROR(INDEX(계정매핑!$D$5:$D$504,MATCH($F1477&amp;"",계정매핑!$A$5:$A$504,0)),"미매핑"))</f>
        <v/>
      </c>
      <c r="X1477" s="9">
        <f>IF($A1477="","",$F1477&amp;"")</f>
        <v/>
      </c>
      <c r="Y1477" s="94">
        <f>IF($A1477="",0,IF(AE1477="직접",IF(AF1477="비귀속",$P1477,0),$P1477*(1-AG1477)*IFERROR(INDEX(계정대체기준!$F$20:$F$49,MATCH($N1477,계정대체기준!$A$20:$A$49,0)),1)))</f>
        <v/>
      </c>
      <c r="Z1477" s="94">
        <f>IF($A1477="",0,IF(AE1477="직접",IF(AF1477="신계약비",$P1477,0),$P1477*(1-AG1477)*IFERROR(INDEX(계정대체기준!$C$20:$C$49,MATCH($N1477,계정대체기준!$A$20:$A$49,0)),0)))</f>
        <v/>
      </c>
      <c r="AA1477" s="94">
        <f>IF($A1477="",0,IF(AE1477="직접",IF(OR(AF1477="유지비",AF1477="손해조사비"),$P1477,0),$P1477*(1-AG1477)*IFERROR(INDEX(계정대체기준!$D$20:$D$49,MATCH($N1477,계정대체기준!$A$20:$A$49,0)),0)))</f>
        <v/>
      </c>
      <c r="AB1477" s="94">
        <f>IF($A1477="",0,IF(AE1477="직접",IF(AF1477="수금비",$P1477,0),$P1477*(1-AG1477)*IFERROR(INDEX(계정대체기준!$E$20:$E$49,MATCH($N1477,계정대체기준!$A$20:$A$49,0)),0)))</f>
        <v/>
      </c>
      <c r="AC1477" s="9">
        <f>IF(AND($A1477&lt;&gt;"",M1477=설정!$C$20,Z1477&gt;0),Z1477+ROW()/1000000000,"")</f>
        <v/>
      </c>
      <c r="AD1477" s="94">
        <f>IF($A1477="",0,$P1477*AG1477)</f>
        <v/>
      </c>
      <c r="AE1477" s="64">
        <f>IF($A1477="","",IFERROR(INDEX(계정매핑!$E$5:$E$504,MATCH($F1477&amp;"",계정매핑!$A$5:$A$504,0))&amp;"","공통비"))</f>
        <v/>
      </c>
      <c r="AF1477" s="64">
        <f>IF($A1477="","",IF(AE1477="직접",IFERROR(INDEX(계정매핑!$F$5:$F$504,MATCH($F1477&amp;"",계정매핑!$A$5:$A$504,0))&amp;"","비귀속"),""))</f>
        <v/>
      </c>
      <c r="AG1477" s="96">
        <f>IF($A1477="",0,IF(AND(AE1477&lt;&gt;"직접",IFERROR(INDEX(계정매핑!$G$5:$G$504,MATCH($F1477&amp;"",계정매핑!$A$5:$A$504,0))&amp;"","")="유지비",COUNTIF(계정대체기준!$A$6:$A$15,$N1477)&gt;0),IFERROR(INDEX(계정대체기준!$E$6:$E$15,MATCH(VALUE($A1477&amp;""),계정대체기준!$D$6:$D$15,0)),0),0))</f>
        <v/>
      </c>
      <c r="AH1477" s="64">
        <f>IF($A1477="","",IF(AD1477=0,"",IF(OR(COUNTIF(계정대체기준!$A$77:$A$86,$N1477)&gt;0,ISNUMBER(MATCH($X1477,계정대체기준!$D$77:$D$86,0)),ISNUMBER(MATCH($F1477,계정대체기준!$D$77:$D$86,0))),"Y","N")))</f>
        <v/>
      </c>
    </row>
    <row r="1478">
      <c r="A1478" s="92" t="n">
        <v>2025</v>
      </c>
      <c r="B1478" s="92" t="n">
        <v>7</v>
      </c>
      <c r="C1478" s="92" t="inlineStr">
        <is>
          <t>5100001474</t>
        </is>
      </c>
      <c r="D1478" s="95" t="n">
        <v>45853</v>
      </c>
      <c r="E1478" s="92" t="inlineStr">
        <is>
          <t>KR</t>
        </is>
      </c>
      <c r="F1478" s="92" t="n">
        <v>62301000</v>
      </c>
      <c r="G1478" s="92" t="n">
        <v>1502</v>
      </c>
      <c r="H1478" s="93" t="n">
        <v>171000</v>
      </c>
      <c r="I1478" s="92" t="inlineStr">
        <is>
          <t>7월 소모품 구입 - R문구</t>
        </is>
      </c>
      <c r="J1478" s="92" t="inlineStr">
        <is>
          <t>V10022</t>
        </is>
      </c>
      <c r="K1478" s="92" t="inlineStr">
        <is>
          <t>R문구</t>
        </is>
      </c>
      <c r="M1478" s="9">
        <f>IF($A1478="","",VALUE($A1478&amp;"")*12+VALUE($B1478&amp;""))</f>
        <v/>
      </c>
      <c r="N1478" s="64">
        <f>IF($A1478="","",IFERROR(INDEX(부서매핑!$C$5:$C$504,MATCH($G1478&amp;"",부서매핑!$A$5:$A$504,0)),"미매핑"))</f>
        <v/>
      </c>
      <c r="O1478" s="9">
        <f>IF($A1478="","",N1478&amp;"|"&amp;$F1478)</f>
        <v/>
      </c>
      <c r="P1478" s="94">
        <f>IF($A1478="",0,$H1478*설정!$C$23)</f>
        <v/>
      </c>
      <c r="Q1478" s="64">
        <f>IF($A1478="","",IF(O1478&lt;&gt;원인분석!$C$9,"",IF(AND(M1478&gt;=원인분석!$C$10,M1478&lt;=원인분석!$C$11),"당기",IF(AND(M1478&gt;=원인분석!$C$12,M1478&lt;=원인분석!$C$13),"비교",""))))</f>
        <v/>
      </c>
      <c r="R1478" s="9">
        <f>IF(Q1478="","",$K1478&amp;"")</f>
        <v/>
      </c>
      <c r="S1478" s="9">
        <f>IF(Q1478="","",IF(MATCH(R1478,$R$5:$R$100000,0)=ROW()-4,ROW(),""))</f>
        <v/>
      </c>
      <c r="T1478" s="9">
        <f>IF(Q1478="당기",ABS(P1478)+ROW()/1000000000,"")</f>
        <v/>
      </c>
      <c r="U1478" s="9">
        <f>IF(Q1478="비교",ABS(P1478)+ROW()/1000000000,"")</f>
        <v/>
      </c>
      <c r="V1478" s="64">
        <f>IF($A1478="","",IF(COUNTIF(변동분석!$E$7:$E$506,O1478)&gt;0,"Y","N"))</f>
        <v/>
      </c>
      <c r="W1478" s="64">
        <f>IF($A1478="","",IFERROR(INDEX(계정매핑!$D$5:$D$504,MATCH($F1478&amp;"",계정매핑!$A$5:$A$504,0)),"미매핑"))</f>
        <v/>
      </c>
      <c r="X1478" s="9">
        <f>IF($A1478="","",$F1478&amp;"")</f>
        <v/>
      </c>
      <c r="Y1478" s="94">
        <f>IF($A1478="",0,IF(AE1478="직접",IF(AF1478="비귀속",$P1478,0),$P1478*(1-AG1478)*IFERROR(INDEX(계정대체기준!$F$20:$F$49,MATCH($N1478,계정대체기준!$A$20:$A$49,0)),1)))</f>
        <v/>
      </c>
      <c r="Z1478" s="94">
        <f>IF($A1478="",0,IF(AE1478="직접",IF(AF1478="신계약비",$P1478,0),$P1478*(1-AG1478)*IFERROR(INDEX(계정대체기준!$C$20:$C$49,MATCH($N1478,계정대체기준!$A$20:$A$49,0)),0)))</f>
        <v/>
      </c>
      <c r="AA1478" s="94">
        <f>IF($A1478="",0,IF(AE1478="직접",IF(OR(AF1478="유지비",AF1478="손해조사비"),$P1478,0),$P1478*(1-AG1478)*IFERROR(INDEX(계정대체기준!$D$20:$D$49,MATCH($N1478,계정대체기준!$A$20:$A$49,0)),0)))</f>
        <v/>
      </c>
      <c r="AB1478" s="94">
        <f>IF($A1478="",0,IF(AE1478="직접",IF(AF1478="수금비",$P1478,0),$P1478*(1-AG1478)*IFERROR(INDEX(계정대체기준!$E$20:$E$49,MATCH($N1478,계정대체기준!$A$20:$A$49,0)),0)))</f>
        <v/>
      </c>
      <c r="AC1478" s="9">
        <f>IF(AND($A1478&lt;&gt;"",M1478=설정!$C$20,Z1478&gt;0),Z1478+ROW()/1000000000,"")</f>
        <v/>
      </c>
      <c r="AD1478" s="94">
        <f>IF($A1478="",0,$P1478*AG1478)</f>
        <v/>
      </c>
      <c r="AE1478" s="64">
        <f>IF($A1478="","",IFERROR(INDEX(계정매핑!$E$5:$E$504,MATCH($F1478&amp;"",계정매핑!$A$5:$A$504,0))&amp;"","공통비"))</f>
        <v/>
      </c>
      <c r="AF1478" s="64">
        <f>IF($A1478="","",IF(AE1478="직접",IFERROR(INDEX(계정매핑!$F$5:$F$504,MATCH($F1478&amp;"",계정매핑!$A$5:$A$504,0))&amp;"","비귀속"),""))</f>
        <v/>
      </c>
      <c r="AG1478" s="96">
        <f>IF($A1478="",0,IF(AND(AE1478&lt;&gt;"직접",IFERROR(INDEX(계정매핑!$G$5:$G$504,MATCH($F1478&amp;"",계정매핑!$A$5:$A$504,0))&amp;"","")="유지비",COUNTIF(계정대체기준!$A$6:$A$15,$N1478)&gt;0),IFERROR(INDEX(계정대체기준!$E$6:$E$15,MATCH(VALUE($A1478&amp;""),계정대체기준!$D$6:$D$15,0)),0),0))</f>
        <v/>
      </c>
      <c r="AH1478" s="64">
        <f>IF($A1478="","",IF(AD1478=0,"",IF(OR(COUNTIF(계정대체기준!$A$77:$A$86,$N1478)&gt;0,ISNUMBER(MATCH($X1478,계정대체기준!$D$77:$D$86,0)),ISNUMBER(MATCH($F1478,계정대체기준!$D$77:$D$86,0))),"Y","N")))</f>
        <v/>
      </c>
    </row>
    <row r="1479">
      <c r="A1479" s="92" t="n">
        <v>2025</v>
      </c>
      <c r="B1479" s="92" t="n">
        <v>7</v>
      </c>
      <c r="C1479" s="92" t="inlineStr">
        <is>
          <t>5100001475</t>
        </is>
      </c>
      <c r="D1479" s="95" t="n">
        <v>45853</v>
      </c>
      <c r="E1479" s="92" t="inlineStr">
        <is>
          <t>KR</t>
        </is>
      </c>
      <c r="F1479" s="92" t="n">
        <v>62501000</v>
      </c>
      <c r="G1479" s="92" t="n">
        <v>1401</v>
      </c>
      <c r="H1479" s="93" t="n">
        <v>136000</v>
      </c>
      <c r="I1479" s="92" t="inlineStr">
        <is>
          <t>7월 회의 다과 - (법인카드)</t>
        </is>
      </c>
      <c r="J1479" s="92" t="inlineStr">
        <is>
          <t>V10010</t>
        </is>
      </c>
      <c r="K1479" s="92" t="inlineStr">
        <is>
          <t>(법인카드)</t>
        </is>
      </c>
      <c r="M1479" s="9">
        <f>IF($A1479="","",VALUE($A1479&amp;"")*12+VALUE($B1479&amp;""))</f>
        <v/>
      </c>
      <c r="N1479" s="64">
        <f>IF($A1479="","",IFERROR(INDEX(부서매핑!$C$5:$C$504,MATCH($G1479&amp;"",부서매핑!$A$5:$A$504,0)),"미매핑"))</f>
        <v/>
      </c>
      <c r="O1479" s="9">
        <f>IF($A1479="","",N1479&amp;"|"&amp;$F1479)</f>
        <v/>
      </c>
      <c r="P1479" s="94">
        <f>IF($A1479="",0,$H1479*설정!$C$23)</f>
        <v/>
      </c>
      <c r="Q1479" s="64">
        <f>IF($A1479="","",IF(O1479&lt;&gt;원인분석!$C$9,"",IF(AND(M1479&gt;=원인분석!$C$10,M1479&lt;=원인분석!$C$11),"당기",IF(AND(M1479&gt;=원인분석!$C$12,M1479&lt;=원인분석!$C$13),"비교",""))))</f>
        <v/>
      </c>
      <c r="R1479" s="9">
        <f>IF(Q1479="","",$K1479&amp;"")</f>
        <v/>
      </c>
      <c r="S1479" s="9">
        <f>IF(Q1479="","",IF(MATCH(R1479,$R$5:$R$100000,0)=ROW()-4,ROW(),""))</f>
        <v/>
      </c>
      <c r="T1479" s="9">
        <f>IF(Q1479="당기",ABS(P1479)+ROW()/1000000000,"")</f>
        <v/>
      </c>
      <c r="U1479" s="9">
        <f>IF(Q1479="비교",ABS(P1479)+ROW()/1000000000,"")</f>
        <v/>
      </c>
      <c r="V1479" s="64">
        <f>IF($A1479="","",IF(COUNTIF(변동분석!$E$7:$E$506,O1479)&gt;0,"Y","N"))</f>
        <v/>
      </c>
      <c r="W1479" s="64">
        <f>IF($A1479="","",IFERROR(INDEX(계정매핑!$D$5:$D$504,MATCH($F1479&amp;"",계정매핑!$A$5:$A$504,0)),"미매핑"))</f>
        <v/>
      </c>
      <c r="X1479" s="9">
        <f>IF($A1479="","",$F1479&amp;"")</f>
        <v/>
      </c>
      <c r="Y1479" s="94">
        <f>IF($A1479="",0,IF(AE1479="직접",IF(AF1479="비귀속",$P1479,0),$P1479*(1-AG1479)*IFERROR(INDEX(계정대체기준!$F$20:$F$49,MATCH($N1479,계정대체기준!$A$20:$A$49,0)),1)))</f>
        <v/>
      </c>
      <c r="Z1479" s="94">
        <f>IF($A1479="",0,IF(AE1479="직접",IF(AF1479="신계약비",$P1479,0),$P1479*(1-AG1479)*IFERROR(INDEX(계정대체기준!$C$20:$C$49,MATCH($N1479,계정대체기준!$A$20:$A$49,0)),0)))</f>
        <v/>
      </c>
      <c r="AA1479" s="94">
        <f>IF($A1479="",0,IF(AE1479="직접",IF(OR(AF1479="유지비",AF1479="손해조사비"),$P1479,0),$P1479*(1-AG1479)*IFERROR(INDEX(계정대체기준!$D$20:$D$49,MATCH($N1479,계정대체기준!$A$20:$A$49,0)),0)))</f>
        <v/>
      </c>
      <c r="AB1479" s="94">
        <f>IF($A1479="",0,IF(AE1479="직접",IF(AF1479="수금비",$P1479,0),$P1479*(1-AG1479)*IFERROR(INDEX(계정대체기준!$E$20:$E$49,MATCH($N1479,계정대체기준!$A$20:$A$49,0)),0)))</f>
        <v/>
      </c>
      <c r="AC1479" s="9">
        <f>IF(AND($A1479&lt;&gt;"",M1479=설정!$C$20,Z1479&gt;0),Z1479+ROW()/1000000000,"")</f>
        <v/>
      </c>
      <c r="AD1479" s="94">
        <f>IF($A1479="",0,$P1479*AG1479)</f>
        <v/>
      </c>
      <c r="AE1479" s="64">
        <f>IF($A1479="","",IFERROR(INDEX(계정매핑!$E$5:$E$504,MATCH($F1479&amp;"",계정매핑!$A$5:$A$504,0))&amp;"","공통비"))</f>
        <v/>
      </c>
      <c r="AF1479" s="64">
        <f>IF($A1479="","",IF(AE1479="직접",IFERROR(INDEX(계정매핑!$F$5:$F$504,MATCH($F1479&amp;"",계정매핑!$A$5:$A$504,0))&amp;"","비귀속"),""))</f>
        <v/>
      </c>
      <c r="AG1479" s="96">
        <f>IF($A1479="",0,IF(AND(AE1479&lt;&gt;"직접",IFERROR(INDEX(계정매핑!$G$5:$G$504,MATCH($F1479&amp;"",계정매핑!$A$5:$A$504,0))&amp;"","")="유지비",COUNTIF(계정대체기준!$A$6:$A$15,$N1479)&gt;0),IFERROR(INDEX(계정대체기준!$E$6:$E$15,MATCH(VALUE($A1479&amp;""),계정대체기준!$D$6:$D$15,0)),0),0))</f>
        <v/>
      </c>
      <c r="AH1479" s="64">
        <f>IF($A1479="","",IF(AD1479=0,"",IF(OR(COUNTIF(계정대체기준!$A$77:$A$86,$N1479)&gt;0,ISNUMBER(MATCH($X1479,계정대체기준!$D$77:$D$86,0)),ISNUMBER(MATCH($F1479,계정대체기준!$D$77:$D$86,0))),"Y","N")))</f>
        <v/>
      </c>
    </row>
    <row r="1480">
      <c r="A1480" s="92" t="n">
        <v>2025</v>
      </c>
      <c r="B1480" s="92" t="n">
        <v>7</v>
      </c>
      <c r="C1480" s="92" t="inlineStr">
        <is>
          <t>5100001476</t>
        </is>
      </c>
      <c r="D1480" s="95" t="n">
        <v>45853</v>
      </c>
      <c r="E1480" s="92" t="inlineStr">
        <is>
          <t>KR</t>
        </is>
      </c>
      <c r="F1480" s="92" t="n">
        <v>62601000</v>
      </c>
      <c r="G1480" s="92" t="n">
        <v>1501</v>
      </c>
      <c r="H1480" s="93" t="n">
        <v>3031000</v>
      </c>
      <c r="I1480" s="92" t="inlineStr">
        <is>
          <t>7월 업무추진 - (법인카드)</t>
        </is>
      </c>
      <c r="J1480" s="92" t="inlineStr">
        <is>
          <t>V10010</t>
        </is>
      </c>
      <c r="K1480" s="92" t="inlineStr">
        <is>
          <t>(법인카드)</t>
        </is>
      </c>
      <c r="M1480" s="9">
        <f>IF($A1480="","",VALUE($A1480&amp;"")*12+VALUE($B1480&amp;""))</f>
        <v/>
      </c>
      <c r="N1480" s="64">
        <f>IF($A1480="","",IFERROR(INDEX(부서매핑!$C$5:$C$504,MATCH($G1480&amp;"",부서매핑!$A$5:$A$504,0)),"미매핑"))</f>
        <v/>
      </c>
      <c r="O1480" s="9">
        <f>IF($A1480="","",N1480&amp;"|"&amp;$F1480)</f>
        <v/>
      </c>
      <c r="P1480" s="94">
        <f>IF($A1480="",0,$H1480*설정!$C$23)</f>
        <v/>
      </c>
      <c r="Q1480" s="64">
        <f>IF($A1480="","",IF(O1480&lt;&gt;원인분석!$C$9,"",IF(AND(M1480&gt;=원인분석!$C$10,M1480&lt;=원인분석!$C$11),"당기",IF(AND(M1480&gt;=원인분석!$C$12,M1480&lt;=원인분석!$C$13),"비교",""))))</f>
        <v/>
      </c>
      <c r="R1480" s="9">
        <f>IF(Q1480="","",$K1480&amp;"")</f>
        <v/>
      </c>
      <c r="S1480" s="9">
        <f>IF(Q1480="","",IF(MATCH(R1480,$R$5:$R$100000,0)=ROW()-4,ROW(),""))</f>
        <v/>
      </c>
      <c r="T1480" s="9">
        <f>IF(Q1480="당기",ABS(P1480)+ROW()/1000000000,"")</f>
        <v/>
      </c>
      <c r="U1480" s="9">
        <f>IF(Q1480="비교",ABS(P1480)+ROW()/1000000000,"")</f>
        <v/>
      </c>
      <c r="V1480" s="64">
        <f>IF($A1480="","",IF(COUNTIF(변동분석!$E$7:$E$506,O1480)&gt;0,"Y","N"))</f>
        <v/>
      </c>
      <c r="W1480" s="64">
        <f>IF($A1480="","",IFERROR(INDEX(계정매핑!$D$5:$D$504,MATCH($F1480&amp;"",계정매핑!$A$5:$A$504,0)),"미매핑"))</f>
        <v/>
      </c>
      <c r="X1480" s="9">
        <f>IF($A1480="","",$F1480&amp;"")</f>
        <v/>
      </c>
      <c r="Y1480" s="94">
        <f>IF($A1480="",0,IF(AE1480="직접",IF(AF1480="비귀속",$P1480,0),$P1480*(1-AG1480)*IFERROR(INDEX(계정대체기준!$F$20:$F$49,MATCH($N1480,계정대체기준!$A$20:$A$49,0)),1)))</f>
        <v/>
      </c>
      <c r="Z1480" s="94">
        <f>IF($A1480="",0,IF(AE1480="직접",IF(AF1480="신계약비",$P1480,0),$P1480*(1-AG1480)*IFERROR(INDEX(계정대체기준!$C$20:$C$49,MATCH($N1480,계정대체기준!$A$20:$A$49,0)),0)))</f>
        <v/>
      </c>
      <c r="AA1480" s="94">
        <f>IF($A1480="",0,IF(AE1480="직접",IF(OR(AF1480="유지비",AF1480="손해조사비"),$P1480,0),$P1480*(1-AG1480)*IFERROR(INDEX(계정대체기준!$D$20:$D$49,MATCH($N1480,계정대체기준!$A$20:$A$49,0)),0)))</f>
        <v/>
      </c>
      <c r="AB1480" s="94">
        <f>IF($A1480="",0,IF(AE1480="직접",IF(AF1480="수금비",$P1480,0),$P1480*(1-AG1480)*IFERROR(INDEX(계정대체기준!$E$20:$E$49,MATCH($N1480,계정대체기준!$A$20:$A$49,0)),0)))</f>
        <v/>
      </c>
      <c r="AC1480" s="9">
        <f>IF(AND($A1480&lt;&gt;"",M1480=설정!$C$20,Z1480&gt;0),Z1480+ROW()/1000000000,"")</f>
        <v/>
      </c>
      <c r="AD1480" s="94">
        <f>IF($A1480="",0,$P1480*AG1480)</f>
        <v/>
      </c>
      <c r="AE1480" s="64">
        <f>IF($A1480="","",IFERROR(INDEX(계정매핑!$E$5:$E$504,MATCH($F1480&amp;"",계정매핑!$A$5:$A$504,0))&amp;"","공통비"))</f>
        <v/>
      </c>
      <c r="AF1480" s="64">
        <f>IF($A1480="","",IF(AE1480="직접",IFERROR(INDEX(계정매핑!$F$5:$F$504,MATCH($F1480&amp;"",계정매핑!$A$5:$A$504,0))&amp;"","비귀속"),""))</f>
        <v/>
      </c>
      <c r="AG1480" s="96">
        <f>IF($A1480="",0,IF(AND(AE1480&lt;&gt;"직접",IFERROR(INDEX(계정매핑!$G$5:$G$504,MATCH($F1480&amp;"",계정매핑!$A$5:$A$504,0))&amp;"","")="유지비",COUNTIF(계정대체기준!$A$6:$A$15,$N1480)&gt;0),IFERROR(INDEX(계정대체기준!$E$6:$E$15,MATCH(VALUE($A1480&amp;""),계정대체기준!$D$6:$D$15,0)),0),0))</f>
        <v/>
      </c>
      <c r="AH1480" s="64">
        <f>IF($A1480="","",IF(AD1480=0,"",IF(OR(COUNTIF(계정대체기준!$A$77:$A$86,$N1480)&gt;0,ISNUMBER(MATCH($X1480,계정대체기준!$D$77:$D$86,0)),ISNUMBER(MATCH($F1480,계정대체기준!$D$77:$D$86,0))),"Y","N")))</f>
        <v/>
      </c>
    </row>
    <row r="1481">
      <c r="A1481" s="92" t="n">
        <v>2025</v>
      </c>
      <c r="B1481" s="92" t="n">
        <v>7</v>
      </c>
      <c r="C1481" s="92" t="inlineStr">
        <is>
          <t>5100001477</t>
        </is>
      </c>
      <c r="D1481" s="95" t="n">
        <v>45853</v>
      </c>
      <c r="E1481" s="92" t="inlineStr">
        <is>
          <t>KR</t>
        </is>
      </c>
      <c r="F1481" s="92" t="n">
        <v>62902000</v>
      </c>
      <c r="G1481" s="92" t="n">
        <v>1801</v>
      </c>
      <c r="H1481" s="93" t="n">
        <v>1848000</v>
      </c>
      <c r="I1481" s="92" t="inlineStr">
        <is>
          <t>7월 콜 위탁 수수료(건별)</t>
        </is>
      </c>
      <c r="J1481" s="92" t="inlineStr">
        <is>
          <t>V10016</t>
        </is>
      </c>
      <c r="K1481" s="92" t="inlineStr">
        <is>
          <t>J콜센터</t>
        </is>
      </c>
      <c r="M1481" s="9">
        <f>IF($A1481="","",VALUE($A1481&amp;"")*12+VALUE($B1481&amp;""))</f>
        <v/>
      </c>
      <c r="N1481" s="64">
        <f>IF($A1481="","",IFERROR(INDEX(부서매핑!$C$5:$C$504,MATCH($G1481&amp;"",부서매핑!$A$5:$A$504,0)),"미매핑"))</f>
        <v/>
      </c>
      <c r="O1481" s="9">
        <f>IF($A1481="","",N1481&amp;"|"&amp;$F1481)</f>
        <v/>
      </c>
      <c r="P1481" s="94">
        <f>IF($A1481="",0,$H1481*설정!$C$23)</f>
        <v/>
      </c>
      <c r="Q1481" s="64">
        <f>IF($A1481="","",IF(O1481&lt;&gt;원인분석!$C$9,"",IF(AND(M1481&gt;=원인분석!$C$10,M1481&lt;=원인분석!$C$11),"당기",IF(AND(M1481&gt;=원인분석!$C$12,M1481&lt;=원인분석!$C$13),"비교",""))))</f>
        <v/>
      </c>
      <c r="R1481" s="9">
        <f>IF(Q1481="","",$K1481&amp;"")</f>
        <v/>
      </c>
      <c r="S1481" s="9">
        <f>IF(Q1481="","",IF(MATCH(R1481,$R$5:$R$100000,0)=ROW()-4,ROW(),""))</f>
        <v/>
      </c>
      <c r="T1481" s="9">
        <f>IF(Q1481="당기",ABS(P1481)+ROW()/1000000000,"")</f>
        <v/>
      </c>
      <c r="U1481" s="9">
        <f>IF(Q1481="비교",ABS(P1481)+ROW()/1000000000,"")</f>
        <v/>
      </c>
      <c r="V1481" s="64">
        <f>IF($A1481="","",IF(COUNTIF(변동분석!$E$7:$E$506,O1481)&gt;0,"Y","N"))</f>
        <v/>
      </c>
      <c r="W1481" s="64">
        <f>IF($A1481="","",IFERROR(INDEX(계정매핑!$D$5:$D$504,MATCH($F1481&amp;"",계정매핑!$A$5:$A$504,0)),"미매핑"))</f>
        <v/>
      </c>
      <c r="X1481" s="9">
        <f>IF($A1481="","",$F1481&amp;"")</f>
        <v/>
      </c>
      <c r="Y1481" s="94">
        <f>IF($A1481="",0,IF(AE1481="직접",IF(AF1481="비귀속",$P1481,0),$P1481*(1-AG1481)*IFERROR(INDEX(계정대체기준!$F$20:$F$49,MATCH($N1481,계정대체기준!$A$20:$A$49,0)),1)))</f>
        <v/>
      </c>
      <c r="Z1481" s="94">
        <f>IF($A1481="",0,IF(AE1481="직접",IF(AF1481="신계약비",$P1481,0),$P1481*(1-AG1481)*IFERROR(INDEX(계정대체기준!$C$20:$C$49,MATCH($N1481,계정대체기준!$A$20:$A$49,0)),0)))</f>
        <v/>
      </c>
      <c r="AA1481" s="94">
        <f>IF($A1481="",0,IF(AE1481="직접",IF(OR(AF1481="유지비",AF1481="손해조사비"),$P1481,0),$P1481*(1-AG1481)*IFERROR(INDEX(계정대체기준!$D$20:$D$49,MATCH($N1481,계정대체기준!$A$20:$A$49,0)),0)))</f>
        <v/>
      </c>
      <c r="AB1481" s="94">
        <f>IF($A1481="",0,IF(AE1481="직접",IF(AF1481="수금비",$P1481,0),$P1481*(1-AG1481)*IFERROR(INDEX(계정대체기준!$E$20:$E$49,MATCH($N1481,계정대체기준!$A$20:$A$49,0)),0)))</f>
        <v/>
      </c>
      <c r="AC1481" s="9">
        <f>IF(AND($A1481&lt;&gt;"",M1481=설정!$C$20,Z1481&gt;0),Z1481+ROW()/1000000000,"")</f>
        <v/>
      </c>
      <c r="AD1481" s="94">
        <f>IF($A1481="",0,$P1481*AG1481)</f>
        <v/>
      </c>
      <c r="AE1481" s="64">
        <f>IF($A1481="","",IFERROR(INDEX(계정매핑!$E$5:$E$504,MATCH($F1481&amp;"",계정매핑!$A$5:$A$504,0))&amp;"","공통비"))</f>
        <v/>
      </c>
      <c r="AF1481" s="64">
        <f>IF($A1481="","",IF(AE1481="직접",IFERROR(INDEX(계정매핑!$F$5:$F$504,MATCH($F1481&amp;"",계정매핑!$A$5:$A$504,0))&amp;"","비귀속"),""))</f>
        <v/>
      </c>
      <c r="AG1481" s="96">
        <f>IF($A1481="",0,IF(AND(AE1481&lt;&gt;"직접",IFERROR(INDEX(계정매핑!$G$5:$G$504,MATCH($F1481&amp;"",계정매핑!$A$5:$A$504,0))&amp;"","")="유지비",COUNTIF(계정대체기준!$A$6:$A$15,$N1481)&gt;0),IFERROR(INDEX(계정대체기준!$E$6:$E$15,MATCH(VALUE($A1481&amp;""),계정대체기준!$D$6:$D$15,0)),0),0))</f>
        <v/>
      </c>
      <c r="AH1481" s="64">
        <f>IF($A1481="","",IF(AD1481=0,"",IF(OR(COUNTIF(계정대체기준!$A$77:$A$86,$N1481)&gt;0,ISNUMBER(MATCH($X1481,계정대체기준!$D$77:$D$86,0)),ISNUMBER(MATCH($F1481,계정대체기준!$D$77:$D$86,0))),"Y","N")))</f>
        <v/>
      </c>
    </row>
    <row r="1482">
      <c r="A1482" s="92" t="n">
        <v>2025</v>
      </c>
      <c r="B1482" s="92" t="n">
        <v>7</v>
      </c>
      <c r="C1482" s="92" t="inlineStr">
        <is>
          <t>5100001478</t>
        </is>
      </c>
      <c r="D1482" s="95" t="n">
        <v>45854</v>
      </c>
      <c r="E1482" s="92" t="inlineStr">
        <is>
          <t>KR</t>
        </is>
      </c>
      <c r="F1482" s="92" t="n">
        <v>62101000</v>
      </c>
      <c r="G1482" s="92" t="n">
        <v>1701</v>
      </c>
      <c r="H1482" s="93" t="n">
        <v>352000</v>
      </c>
      <c r="I1482" s="92" t="inlineStr">
        <is>
          <t>7월 국내출장 - L여행사</t>
        </is>
      </c>
      <c r="J1482" s="92" t="inlineStr">
        <is>
          <t>V10018</t>
        </is>
      </c>
      <c r="K1482" s="92" t="inlineStr">
        <is>
          <t>L여행사</t>
        </is>
      </c>
      <c r="M1482" s="9">
        <f>IF($A1482="","",VALUE($A1482&amp;"")*12+VALUE($B1482&amp;""))</f>
        <v/>
      </c>
      <c r="N1482" s="64">
        <f>IF($A1482="","",IFERROR(INDEX(부서매핑!$C$5:$C$504,MATCH($G1482&amp;"",부서매핑!$A$5:$A$504,0)),"미매핑"))</f>
        <v/>
      </c>
      <c r="O1482" s="9">
        <f>IF($A1482="","",N1482&amp;"|"&amp;$F1482)</f>
        <v/>
      </c>
      <c r="P1482" s="94">
        <f>IF($A1482="",0,$H1482*설정!$C$23)</f>
        <v/>
      </c>
      <c r="Q1482" s="64">
        <f>IF($A1482="","",IF(O1482&lt;&gt;원인분석!$C$9,"",IF(AND(M1482&gt;=원인분석!$C$10,M1482&lt;=원인분석!$C$11),"당기",IF(AND(M1482&gt;=원인분석!$C$12,M1482&lt;=원인분석!$C$13),"비교",""))))</f>
        <v/>
      </c>
      <c r="R1482" s="9">
        <f>IF(Q1482="","",$K1482&amp;"")</f>
        <v/>
      </c>
      <c r="S1482" s="9">
        <f>IF(Q1482="","",IF(MATCH(R1482,$R$5:$R$100000,0)=ROW()-4,ROW(),""))</f>
        <v/>
      </c>
      <c r="T1482" s="9">
        <f>IF(Q1482="당기",ABS(P1482)+ROW()/1000000000,"")</f>
        <v/>
      </c>
      <c r="U1482" s="9">
        <f>IF(Q1482="비교",ABS(P1482)+ROW()/1000000000,"")</f>
        <v/>
      </c>
      <c r="V1482" s="64">
        <f>IF($A1482="","",IF(COUNTIF(변동분석!$E$7:$E$506,O1482)&gt;0,"Y","N"))</f>
        <v/>
      </c>
      <c r="W1482" s="64">
        <f>IF($A1482="","",IFERROR(INDEX(계정매핑!$D$5:$D$504,MATCH($F1482&amp;"",계정매핑!$A$5:$A$504,0)),"미매핑"))</f>
        <v/>
      </c>
      <c r="X1482" s="9">
        <f>IF($A1482="","",$F1482&amp;"")</f>
        <v/>
      </c>
      <c r="Y1482" s="94">
        <f>IF($A1482="",0,IF(AE1482="직접",IF(AF1482="비귀속",$P1482,0),$P1482*(1-AG1482)*IFERROR(INDEX(계정대체기준!$F$20:$F$49,MATCH($N1482,계정대체기준!$A$20:$A$49,0)),1)))</f>
        <v/>
      </c>
      <c r="Z1482" s="94">
        <f>IF($A1482="",0,IF(AE1482="직접",IF(AF1482="신계약비",$P1482,0),$P1482*(1-AG1482)*IFERROR(INDEX(계정대체기준!$C$20:$C$49,MATCH($N1482,계정대체기준!$A$20:$A$49,0)),0)))</f>
        <v/>
      </c>
      <c r="AA1482" s="94">
        <f>IF($A1482="",0,IF(AE1482="직접",IF(OR(AF1482="유지비",AF1482="손해조사비"),$P1482,0),$P1482*(1-AG1482)*IFERROR(INDEX(계정대체기준!$D$20:$D$49,MATCH($N1482,계정대체기준!$A$20:$A$49,0)),0)))</f>
        <v/>
      </c>
      <c r="AB1482" s="94">
        <f>IF($A1482="",0,IF(AE1482="직접",IF(AF1482="수금비",$P1482,0),$P1482*(1-AG1482)*IFERROR(INDEX(계정대체기준!$E$20:$E$49,MATCH($N1482,계정대체기준!$A$20:$A$49,0)),0)))</f>
        <v/>
      </c>
      <c r="AC1482" s="9">
        <f>IF(AND($A1482&lt;&gt;"",M1482=설정!$C$20,Z1482&gt;0),Z1482+ROW()/1000000000,"")</f>
        <v/>
      </c>
      <c r="AD1482" s="94">
        <f>IF($A1482="",0,$P1482*AG1482)</f>
        <v/>
      </c>
      <c r="AE1482" s="64">
        <f>IF($A1482="","",IFERROR(INDEX(계정매핑!$E$5:$E$504,MATCH($F1482&amp;"",계정매핑!$A$5:$A$504,0))&amp;"","공통비"))</f>
        <v/>
      </c>
      <c r="AF1482" s="64">
        <f>IF($A1482="","",IF(AE1482="직접",IFERROR(INDEX(계정매핑!$F$5:$F$504,MATCH($F1482&amp;"",계정매핑!$A$5:$A$504,0))&amp;"","비귀속"),""))</f>
        <v/>
      </c>
      <c r="AG1482" s="96">
        <f>IF($A1482="",0,IF(AND(AE1482&lt;&gt;"직접",IFERROR(INDEX(계정매핑!$G$5:$G$504,MATCH($F1482&amp;"",계정매핑!$A$5:$A$504,0))&amp;"","")="유지비",COUNTIF(계정대체기준!$A$6:$A$15,$N1482)&gt;0),IFERROR(INDEX(계정대체기준!$E$6:$E$15,MATCH(VALUE($A1482&amp;""),계정대체기준!$D$6:$D$15,0)),0),0))</f>
        <v/>
      </c>
      <c r="AH1482" s="64">
        <f>IF($A1482="","",IF(AD1482=0,"",IF(OR(COUNTIF(계정대체기준!$A$77:$A$86,$N1482)&gt;0,ISNUMBER(MATCH($X1482,계정대체기준!$D$77:$D$86,0)),ISNUMBER(MATCH($F1482,계정대체기준!$D$77:$D$86,0))),"Y","N")))</f>
        <v/>
      </c>
    </row>
    <row r="1483">
      <c r="A1483" s="92" t="n">
        <v>2025</v>
      </c>
      <c r="B1483" s="92" t="n">
        <v>7</v>
      </c>
      <c r="C1483" s="92" t="inlineStr">
        <is>
          <t>5100001479</t>
        </is>
      </c>
      <c r="D1483" s="95" t="n">
        <v>45854</v>
      </c>
      <c r="E1483" s="92" t="inlineStr">
        <is>
          <t>KR</t>
        </is>
      </c>
      <c r="F1483" s="92" t="n">
        <v>62101000</v>
      </c>
      <c r="G1483" s="92" t="n">
        <v>1951</v>
      </c>
      <c r="H1483" s="93" t="n">
        <v>218000</v>
      </c>
      <c r="I1483" s="92" t="inlineStr">
        <is>
          <t>7월 국내출장 - (법인카드)</t>
        </is>
      </c>
      <c r="J1483" s="92" t="inlineStr">
        <is>
          <t>V10010</t>
        </is>
      </c>
      <c r="K1483" s="92" t="inlineStr">
        <is>
          <t>(법인카드)</t>
        </is>
      </c>
      <c r="M1483" s="9">
        <f>IF($A1483="","",VALUE($A1483&amp;"")*12+VALUE($B1483&amp;""))</f>
        <v/>
      </c>
      <c r="N1483" s="64">
        <f>IF($A1483="","",IFERROR(INDEX(부서매핑!$C$5:$C$504,MATCH($G1483&amp;"",부서매핑!$A$5:$A$504,0)),"미매핑"))</f>
        <v/>
      </c>
      <c r="O1483" s="9">
        <f>IF($A1483="","",N1483&amp;"|"&amp;$F1483)</f>
        <v/>
      </c>
      <c r="P1483" s="94">
        <f>IF($A1483="",0,$H1483*설정!$C$23)</f>
        <v/>
      </c>
      <c r="Q1483" s="64">
        <f>IF($A1483="","",IF(O1483&lt;&gt;원인분석!$C$9,"",IF(AND(M1483&gt;=원인분석!$C$10,M1483&lt;=원인분석!$C$11),"당기",IF(AND(M1483&gt;=원인분석!$C$12,M1483&lt;=원인분석!$C$13),"비교",""))))</f>
        <v/>
      </c>
      <c r="R1483" s="9">
        <f>IF(Q1483="","",$K1483&amp;"")</f>
        <v/>
      </c>
      <c r="S1483" s="9">
        <f>IF(Q1483="","",IF(MATCH(R1483,$R$5:$R$100000,0)=ROW()-4,ROW(),""))</f>
        <v/>
      </c>
      <c r="T1483" s="9">
        <f>IF(Q1483="당기",ABS(P1483)+ROW()/1000000000,"")</f>
        <v/>
      </c>
      <c r="U1483" s="9">
        <f>IF(Q1483="비교",ABS(P1483)+ROW()/1000000000,"")</f>
        <v/>
      </c>
      <c r="V1483" s="64">
        <f>IF($A1483="","",IF(COUNTIF(변동분석!$E$7:$E$506,O1483)&gt;0,"Y","N"))</f>
        <v/>
      </c>
      <c r="W1483" s="64">
        <f>IF($A1483="","",IFERROR(INDEX(계정매핑!$D$5:$D$504,MATCH($F1483&amp;"",계정매핑!$A$5:$A$504,0)),"미매핑"))</f>
        <v/>
      </c>
      <c r="X1483" s="9">
        <f>IF($A1483="","",$F1483&amp;"")</f>
        <v/>
      </c>
      <c r="Y1483" s="94">
        <f>IF($A1483="",0,IF(AE1483="직접",IF(AF1483="비귀속",$P1483,0),$P1483*(1-AG1483)*IFERROR(INDEX(계정대체기준!$F$20:$F$49,MATCH($N1483,계정대체기준!$A$20:$A$49,0)),1)))</f>
        <v/>
      </c>
      <c r="Z1483" s="94">
        <f>IF($A1483="",0,IF(AE1483="직접",IF(AF1483="신계약비",$P1483,0),$P1483*(1-AG1483)*IFERROR(INDEX(계정대체기준!$C$20:$C$49,MATCH($N1483,계정대체기준!$A$20:$A$49,0)),0)))</f>
        <v/>
      </c>
      <c r="AA1483" s="94">
        <f>IF($A1483="",0,IF(AE1483="직접",IF(OR(AF1483="유지비",AF1483="손해조사비"),$P1483,0),$P1483*(1-AG1483)*IFERROR(INDEX(계정대체기준!$D$20:$D$49,MATCH($N1483,계정대체기준!$A$20:$A$49,0)),0)))</f>
        <v/>
      </c>
      <c r="AB1483" s="94">
        <f>IF($A1483="",0,IF(AE1483="직접",IF(AF1483="수금비",$P1483,0),$P1483*(1-AG1483)*IFERROR(INDEX(계정대체기준!$E$20:$E$49,MATCH($N1483,계정대체기준!$A$20:$A$49,0)),0)))</f>
        <v/>
      </c>
      <c r="AC1483" s="9">
        <f>IF(AND($A1483&lt;&gt;"",M1483=설정!$C$20,Z1483&gt;0),Z1483+ROW()/1000000000,"")</f>
        <v/>
      </c>
      <c r="AD1483" s="94">
        <f>IF($A1483="",0,$P1483*AG1483)</f>
        <v/>
      </c>
      <c r="AE1483" s="64">
        <f>IF($A1483="","",IFERROR(INDEX(계정매핑!$E$5:$E$504,MATCH($F1483&amp;"",계정매핑!$A$5:$A$504,0))&amp;"","공통비"))</f>
        <v/>
      </c>
      <c r="AF1483" s="64">
        <f>IF($A1483="","",IF(AE1483="직접",IFERROR(INDEX(계정매핑!$F$5:$F$504,MATCH($F1483&amp;"",계정매핑!$A$5:$A$504,0))&amp;"","비귀속"),""))</f>
        <v/>
      </c>
      <c r="AG1483" s="96">
        <f>IF($A1483="",0,IF(AND(AE1483&lt;&gt;"직접",IFERROR(INDEX(계정매핑!$G$5:$G$504,MATCH($F1483&amp;"",계정매핑!$A$5:$A$504,0))&amp;"","")="유지비",COUNTIF(계정대체기준!$A$6:$A$15,$N1483)&gt;0),IFERROR(INDEX(계정대체기준!$E$6:$E$15,MATCH(VALUE($A1483&amp;""),계정대체기준!$D$6:$D$15,0)),0),0))</f>
        <v/>
      </c>
      <c r="AH1483" s="64">
        <f>IF($A1483="","",IF(AD1483=0,"",IF(OR(COUNTIF(계정대체기준!$A$77:$A$86,$N1483)&gt;0,ISNUMBER(MATCH($X1483,계정대체기준!$D$77:$D$86,0)),ISNUMBER(MATCH($F1483,계정대체기준!$D$77:$D$86,0))),"Y","N")))</f>
        <v/>
      </c>
    </row>
    <row r="1484">
      <c r="A1484" s="92" t="n">
        <v>2025</v>
      </c>
      <c r="B1484" s="92" t="n">
        <v>7</v>
      </c>
      <c r="C1484" s="92" t="inlineStr">
        <is>
          <t>5100001480</t>
        </is>
      </c>
      <c r="D1484" s="95" t="n">
        <v>45854</v>
      </c>
      <c r="E1484" s="92" t="inlineStr">
        <is>
          <t>KR</t>
        </is>
      </c>
      <c r="F1484" s="92" t="n">
        <v>62301000</v>
      </c>
      <c r="G1484" s="92" t="n">
        <v>1501</v>
      </c>
      <c r="H1484" s="93" t="n">
        <v>181000</v>
      </c>
      <c r="I1484" s="92" t="inlineStr">
        <is>
          <t>7월 소모품 구입 - R문구</t>
        </is>
      </c>
      <c r="J1484" s="92" t="inlineStr">
        <is>
          <t>V10022</t>
        </is>
      </c>
      <c r="K1484" s="92" t="inlineStr">
        <is>
          <t>R문구</t>
        </is>
      </c>
      <c r="M1484" s="9">
        <f>IF($A1484="","",VALUE($A1484&amp;"")*12+VALUE($B1484&amp;""))</f>
        <v/>
      </c>
      <c r="N1484" s="64">
        <f>IF($A1484="","",IFERROR(INDEX(부서매핑!$C$5:$C$504,MATCH($G1484&amp;"",부서매핑!$A$5:$A$504,0)),"미매핑"))</f>
        <v/>
      </c>
      <c r="O1484" s="9">
        <f>IF($A1484="","",N1484&amp;"|"&amp;$F1484)</f>
        <v/>
      </c>
      <c r="P1484" s="94">
        <f>IF($A1484="",0,$H1484*설정!$C$23)</f>
        <v/>
      </c>
      <c r="Q1484" s="64">
        <f>IF($A1484="","",IF(O1484&lt;&gt;원인분석!$C$9,"",IF(AND(M1484&gt;=원인분석!$C$10,M1484&lt;=원인분석!$C$11),"당기",IF(AND(M1484&gt;=원인분석!$C$12,M1484&lt;=원인분석!$C$13),"비교",""))))</f>
        <v/>
      </c>
      <c r="R1484" s="9">
        <f>IF(Q1484="","",$K1484&amp;"")</f>
        <v/>
      </c>
      <c r="S1484" s="9">
        <f>IF(Q1484="","",IF(MATCH(R1484,$R$5:$R$100000,0)=ROW()-4,ROW(),""))</f>
        <v/>
      </c>
      <c r="T1484" s="9">
        <f>IF(Q1484="당기",ABS(P1484)+ROW()/1000000000,"")</f>
        <v/>
      </c>
      <c r="U1484" s="9">
        <f>IF(Q1484="비교",ABS(P1484)+ROW()/1000000000,"")</f>
        <v/>
      </c>
      <c r="V1484" s="64">
        <f>IF($A1484="","",IF(COUNTIF(변동분석!$E$7:$E$506,O1484)&gt;0,"Y","N"))</f>
        <v/>
      </c>
      <c r="W1484" s="64">
        <f>IF($A1484="","",IFERROR(INDEX(계정매핑!$D$5:$D$504,MATCH($F1484&amp;"",계정매핑!$A$5:$A$504,0)),"미매핑"))</f>
        <v/>
      </c>
      <c r="X1484" s="9">
        <f>IF($A1484="","",$F1484&amp;"")</f>
        <v/>
      </c>
      <c r="Y1484" s="94">
        <f>IF($A1484="",0,IF(AE1484="직접",IF(AF1484="비귀속",$P1484,0),$P1484*(1-AG1484)*IFERROR(INDEX(계정대체기준!$F$20:$F$49,MATCH($N1484,계정대체기준!$A$20:$A$49,0)),1)))</f>
        <v/>
      </c>
      <c r="Z1484" s="94">
        <f>IF($A1484="",0,IF(AE1484="직접",IF(AF1484="신계약비",$P1484,0),$P1484*(1-AG1484)*IFERROR(INDEX(계정대체기준!$C$20:$C$49,MATCH($N1484,계정대체기준!$A$20:$A$49,0)),0)))</f>
        <v/>
      </c>
      <c r="AA1484" s="94">
        <f>IF($A1484="",0,IF(AE1484="직접",IF(OR(AF1484="유지비",AF1484="손해조사비"),$P1484,0),$P1484*(1-AG1484)*IFERROR(INDEX(계정대체기준!$D$20:$D$49,MATCH($N1484,계정대체기준!$A$20:$A$49,0)),0)))</f>
        <v/>
      </c>
      <c r="AB1484" s="94">
        <f>IF($A1484="",0,IF(AE1484="직접",IF(AF1484="수금비",$P1484,0),$P1484*(1-AG1484)*IFERROR(INDEX(계정대체기준!$E$20:$E$49,MATCH($N1484,계정대체기준!$A$20:$A$49,0)),0)))</f>
        <v/>
      </c>
      <c r="AC1484" s="9">
        <f>IF(AND($A1484&lt;&gt;"",M1484=설정!$C$20,Z1484&gt;0),Z1484+ROW()/1000000000,"")</f>
        <v/>
      </c>
      <c r="AD1484" s="94">
        <f>IF($A1484="",0,$P1484*AG1484)</f>
        <v/>
      </c>
      <c r="AE1484" s="64">
        <f>IF($A1484="","",IFERROR(INDEX(계정매핑!$E$5:$E$504,MATCH($F1484&amp;"",계정매핑!$A$5:$A$504,0))&amp;"","공통비"))</f>
        <v/>
      </c>
      <c r="AF1484" s="64">
        <f>IF($A1484="","",IF(AE1484="직접",IFERROR(INDEX(계정매핑!$F$5:$F$504,MATCH($F1484&amp;"",계정매핑!$A$5:$A$504,0))&amp;"","비귀속"),""))</f>
        <v/>
      </c>
      <c r="AG1484" s="96">
        <f>IF($A1484="",0,IF(AND(AE1484&lt;&gt;"직접",IFERROR(INDEX(계정매핑!$G$5:$G$504,MATCH($F1484&amp;"",계정매핑!$A$5:$A$504,0))&amp;"","")="유지비",COUNTIF(계정대체기준!$A$6:$A$15,$N1484)&gt;0),IFERROR(INDEX(계정대체기준!$E$6:$E$15,MATCH(VALUE($A1484&amp;""),계정대체기준!$D$6:$D$15,0)),0),0))</f>
        <v/>
      </c>
      <c r="AH1484" s="64">
        <f>IF($A1484="","",IF(AD1484=0,"",IF(OR(COUNTIF(계정대체기준!$A$77:$A$86,$N1484)&gt;0,ISNUMBER(MATCH($X1484,계정대체기준!$D$77:$D$86,0)),ISNUMBER(MATCH($F1484,계정대체기준!$D$77:$D$86,0))),"Y","N")))</f>
        <v/>
      </c>
    </row>
    <row r="1485">
      <c r="A1485" s="92" t="n">
        <v>2025</v>
      </c>
      <c r="B1485" s="92" t="n">
        <v>7</v>
      </c>
      <c r="C1485" s="92" t="inlineStr">
        <is>
          <t>5100001481</t>
        </is>
      </c>
      <c r="D1485" s="95" t="n">
        <v>45854</v>
      </c>
      <c r="E1485" s="92" t="inlineStr">
        <is>
          <t>KR</t>
        </is>
      </c>
      <c r="F1485" s="92" t="n">
        <v>63101000</v>
      </c>
      <c r="G1485" s="92" t="n">
        <v>1601</v>
      </c>
      <c r="H1485" s="93" t="n">
        <v>4577000</v>
      </c>
      <c r="I1485" s="92" t="inlineStr">
        <is>
          <t>7월 사무실 임차료 - AA빌딩</t>
        </is>
      </c>
      <c r="J1485" s="92" t="inlineStr">
        <is>
          <t>V10007</t>
        </is>
      </c>
      <c r="K1485" s="92" t="inlineStr">
        <is>
          <t>AA빌딩</t>
        </is>
      </c>
      <c r="M1485" s="9">
        <f>IF($A1485="","",VALUE($A1485&amp;"")*12+VALUE($B1485&amp;""))</f>
        <v/>
      </c>
      <c r="N1485" s="64">
        <f>IF($A1485="","",IFERROR(INDEX(부서매핑!$C$5:$C$504,MATCH($G1485&amp;"",부서매핑!$A$5:$A$504,0)),"미매핑"))</f>
        <v/>
      </c>
      <c r="O1485" s="9">
        <f>IF($A1485="","",N1485&amp;"|"&amp;$F1485)</f>
        <v/>
      </c>
      <c r="P1485" s="94">
        <f>IF($A1485="",0,$H1485*설정!$C$23)</f>
        <v/>
      </c>
      <c r="Q1485" s="64">
        <f>IF($A1485="","",IF(O1485&lt;&gt;원인분석!$C$9,"",IF(AND(M1485&gt;=원인분석!$C$10,M1485&lt;=원인분석!$C$11),"당기",IF(AND(M1485&gt;=원인분석!$C$12,M1485&lt;=원인분석!$C$13),"비교",""))))</f>
        <v/>
      </c>
      <c r="R1485" s="9">
        <f>IF(Q1485="","",$K1485&amp;"")</f>
        <v/>
      </c>
      <c r="S1485" s="9">
        <f>IF(Q1485="","",IF(MATCH(R1485,$R$5:$R$100000,0)=ROW()-4,ROW(),""))</f>
        <v/>
      </c>
      <c r="T1485" s="9">
        <f>IF(Q1485="당기",ABS(P1485)+ROW()/1000000000,"")</f>
        <v/>
      </c>
      <c r="U1485" s="9">
        <f>IF(Q1485="비교",ABS(P1485)+ROW()/1000000000,"")</f>
        <v/>
      </c>
      <c r="V1485" s="64">
        <f>IF($A1485="","",IF(COUNTIF(변동분석!$E$7:$E$506,O1485)&gt;0,"Y","N"))</f>
        <v/>
      </c>
      <c r="W1485" s="64">
        <f>IF($A1485="","",IFERROR(INDEX(계정매핑!$D$5:$D$504,MATCH($F1485&amp;"",계정매핑!$A$5:$A$504,0)),"미매핑"))</f>
        <v/>
      </c>
      <c r="X1485" s="9">
        <f>IF($A1485="","",$F1485&amp;"")</f>
        <v/>
      </c>
      <c r="Y1485" s="94">
        <f>IF($A1485="",0,IF(AE1485="직접",IF(AF1485="비귀속",$P1485,0),$P1485*(1-AG1485)*IFERROR(INDEX(계정대체기준!$F$20:$F$49,MATCH($N1485,계정대체기준!$A$20:$A$49,0)),1)))</f>
        <v/>
      </c>
      <c r="Z1485" s="94">
        <f>IF($A1485="",0,IF(AE1485="직접",IF(AF1485="신계약비",$P1485,0),$P1485*(1-AG1485)*IFERROR(INDEX(계정대체기준!$C$20:$C$49,MATCH($N1485,계정대체기준!$A$20:$A$49,0)),0)))</f>
        <v/>
      </c>
      <c r="AA1485" s="94">
        <f>IF($A1485="",0,IF(AE1485="직접",IF(OR(AF1485="유지비",AF1485="손해조사비"),$P1485,0),$P1485*(1-AG1485)*IFERROR(INDEX(계정대체기준!$D$20:$D$49,MATCH($N1485,계정대체기준!$A$20:$A$49,0)),0)))</f>
        <v/>
      </c>
      <c r="AB1485" s="94">
        <f>IF($A1485="",0,IF(AE1485="직접",IF(AF1485="수금비",$P1485,0),$P1485*(1-AG1485)*IFERROR(INDEX(계정대체기준!$E$20:$E$49,MATCH($N1485,계정대체기준!$A$20:$A$49,0)),0)))</f>
        <v/>
      </c>
      <c r="AC1485" s="9">
        <f>IF(AND($A1485&lt;&gt;"",M1485=설정!$C$20,Z1485&gt;0),Z1485+ROW()/1000000000,"")</f>
        <v/>
      </c>
      <c r="AD1485" s="94">
        <f>IF($A1485="",0,$P1485*AG1485)</f>
        <v/>
      </c>
      <c r="AE1485" s="64">
        <f>IF($A1485="","",IFERROR(INDEX(계정매핑!$E$5:$E$504,MATCH($F1485&amp;"",계정매핑!$A$5:$A$504,0))&amp;"","공통비"))</f>
        <v/>
      </c>
      <c r="AF1485" s="64">
        <f>IF($A1485="","",IF(AE1485="직접",IFERROR(INDEX(계정매핑!$F$5:$F$504,MATCH($F1485&amp;"",계정매핑!$A$5:$A$504,0))&amp;"","비귀속"),""))</f>
        <v/>
      </c>
      <c r="AG1485" s="96">
        <f>IF($A1485="",0,IF(AND(AE1485&lt;&gt;"직접",IFERROR(INDEX(계정매핑!$G$5:$G$504,MATCH($F1485&amp;"",계정매핑!$A$5:$A$504,0))&amp;"","")="유지비",COUNTIF(계정대체기준!$A$6:$A$15,$N1485)&gt;0),IFERROR(INDEX(계정대체기준!$E$6:$E$15,MATCH(VALUE($A1485&amp;""),계정대체기준!$D$6:$D$15,0)),0),0))</f>
        <v/>
      </c>
      <c r="AH1485" s="64">
        <f>IF($A1485="","",IF(AD1485=0,"",IF(OR(COUNTIF(계정대체기준!$A$77:$A$86,$N1485)&gt;0,ISNUMBER(MATCH($X1485,계정대체기준!$D$77:$D$86,0)),ISNUMBER(MATCH($F1485,계정대체기준!$D$77:$D$86,0))),"Y","N")))</f>
        <v/>
      </c>
    </row>
    <row r="1486">
      <c r="A1486" s="92" t="n">
        <v>2025</v>
      </c>
      <c r="B1486" s="92" t="n">
        <v>7</v>
      </c>
      <c r="C1486" s="92" t="inlineStr">
        <is>
          <t>5100001482</t>
        </is>
      </c>
      <c r="D1486" s="95" t="n">
        <v>45854</v>
      </c>
      <c r="E1486" s="92" t="inlineStr">
        <is>
          <t>KR</t>
        </is>
      </c>
      <c r="F1486" s="92" t="n">
        <v>63601000</v>
      </c>
      <c r="G1486" s="92" t="n">
        <v>1801</v>
      </c>
      <c r="H1486" s="93" t="n">
        <v>12795000</v>
      </c>
      <c r="I1486" s="92" t="inlineStr">
        <is>
          <t>7월 손해사정 수수료 - EE손해사정</t>
        </is>
      </c>
      <c r="J1486" s="92" t="inlineStr">
        <is>
          <t>V10008</t>
        </is>
      </c>
      <c r="K1486" s="92" t="inlineStr">
        <is>
          <t>EE손해사정</t>
        </is>
      </c>
      <c r="M1486" s="9">
        <f>IF($A1486="","",VALUE($A1486&amp;"")*12+VALUE($B1486&amp;""))</f>
        <v/>
      </c>
      <c r="N1486" s="64">
        <f>IF($A1486="","",IFERROR(INDEX(부서매핑!$C$5:$C$504,MATCH($G1486&amp;"",부서매핑!$A$5:$A$504,0)),"미매핑"))</f>
        <v/>
      </c>
      <c r="O1486" s="9">
        <f>IF($A1486="","",N1486&amp;"|"&amp;$F1486)</f>
        <v/>
      </c>
      <c r="P1486" s="94">
        <f>IF($A1486="",0,$H1486*설정!$C$23)</f>
        <v/>
      </c>
      <c r="Q1486" s="64">
        <f>IF($A1486="","",IF(O1486&lt;&gt;원인분석!$C$9,"",IF(AND(M1486&gt;=원인분석!$C$10,M1486&lt;=원인분석!$C$11),"당기",IF(AND(M1486&gt;=원인분석!$C$12,M1486&lt;=원인분석!$C$13),"비교",""))))</f>
        <v/>
      </c>
      <c r="R1486" s="9">
        <f>IF(Q1486="","",$K1486&amp;"")</f>
        <v/>
      </c>
      <c r="S1486" s="9">
        <f>IF(Q1486="","",IF(MATCH(R1486,$R$5:$R$100000,0)=ROW()-4,ROW(),""))</f>
        <v/>
      </c>
      <c r="T1486" s="9">
        <f>IF(Q1486="당기",ABS(P1486)+ROW()/1000000000,"")</f>
        <v/>
      </c>
      <c r="U1486" s="9">
        <f>IF(Q1486="비교",ABS(P1486)+ROW()/1000000000,"")</f>
        <v/>
      </c>
      <c r="V1486" s="64">
        <f>IF($A1486="","",IF(COUNTIF(변동분석!$E$7:$E$506,O1486)&gt;0,"Y","N"))</f>
        <v/>
      </c>
      <c r="W1486" s="64">
        <f>IF($A1486="","",IFERROR(INDEX(계정매핑!$D$5:$D$504,MATCH($F1486&amp;"",계정매핑!$A$5:$A$504,0)),"미매핑"))</f>
        <v/>
      </c>
      <c r="X1486" s="9">
        <f>IF($A1486="","",$F1486&amp;"")</f>
        <v/>
      </c>
      <c r="Y1486" s="94">
        <f>IF($A1486="",0,IF(AE1486="직접",IF(AF1486="비귀속",$P1486,0),$P1486*(1-AG1486)*IFERROR(INDEX(계정대체기준!$F$20:$F$49,MATCH($N1486,계정대체기준!$A$20:$A$49,0)),1)))</f>
        <v/>
      </c>
      <c r="Z1486" s="94">
        <f>IF($A1486="",0,IF(AE1486="직접",IF(AF1486="신계약비",$P1486,0),$P1486*(1-AG1486)*IFERROR(INDEX(계정대체기준!$C$20:$C$49,MATCH($N1486,계정대체기준!$A$20:$A$49,0)),0)))</f>
        <v/>
      </c>
      <c r="AA1486" s="94">
        <f>IF($A1486="",0,IF(AE1486="직접",IF(OR(AF1486="유지비",AF1486="손해조사비"),$P1486,0),$P1486*(1-AG1486)*IFERROR(INDEX(계정대체기준!$D$20:$D$49,MATCH($N1486,계정대체기준!$A$20:$A$49,0)),0)))</f>
        <v/>
      </c>
      <c r="AB1486" s="94">
        <f>IF($A1486="",0,IF(AE1486="직접",IF(AF1486="수금비",$P1486,0),$P1486*(1-AG1486)*IFERROR(INDEX(계정대체기준!$E$20:$E$49,MATCH($N1486,계정대체기준!$A$20:$A$49,0)),0)))</f>
        <v/>
      </c>
      <c r="AC1486" s="9">
        <f>IF(AND($A1486&lt;&gt;"",M1486=설정!$C$20,Z1486&gt;0),Z1486+ROW()/1000000000,"")</f>
        <v/>
      </c>
      <c r="AD1486" s="94">
        <f>IF($A1486="",0,$P1486*AG1486)</f>
        <v/>
      </c>
      <c r="AE1486" s="64">
        <f>IF($A1486="","",IFERROR(INDEX(계정매핑!$E$5:$E$504,MATCH($F1486&amp;"",계정매핑!$A$5:$A$504,0))&amp;"","공통비"))</f>
        <v/>
      </c>
      <c r="AF1486" s="64">
        <f>IF($A1486="","",IF(AE1486="직접",IFERROR(INDEX(계정매핑!$F$5:$F$504,MATCH($F1486&amp;"",계정매핑!$A$5:$A$504,0))&amp;"","비귀속"),""))</f>
        <v/>
      </c>
      <c r="AG1486" s="96">
        <f>IF($A1486="",0,IF(AND(AE1486&lt;&gt;"직접",IFERROR(INDEX(계정매핑!$G$5:$G$504,MATCH($F1486&amp;"",계정매핑!$A$5:$A$504,0))&amp;"","")="유지비",COUNTIF(계정대체기준!$A$6:$A$15,$N1486)&gt;0),IFERROR(INDEX(계정대체기준!$E$6:$E$15,MATCH(VALUE($A1486&amp;""),계정대체기준!$D$6:$D$15,0)),0),0))</f>
        <v/>
      </c>
      <c r="AH1486" s="64">
        <f>IF($A1486="","",IF(AD1486=0,"",IF(OR(COUNTIF(계정대체기준!$A$77:$A$86,$N1486)&gt;0,ISNUMBER(MATCH($X1486,계정대체기준!$D$77:$D$86,0)),ISNUMBER(MATCH($F1486,계정대체기준!$D$77:$D$86,0))),"Y","N")))</f>
        <v/>
      </c>
    </row>
    <row r="1487">
      <c r="A1487" s="92" t="n">
        <v>2025</v>
      </c>
      <c r="B1487" s="92" t="n">
        <v>7</v>
      </c>
      <c r="C1487" s="92" t="inlineStr">
        <is>
          <t>5100001483</t>
        </is>
      </c>
      <c r="D1487" s="95" t="n">
        <v>45855</v>
      </c>
      <c r="E1487" s="92" t="inlineStr">
        <is>
          <t>KR</t>
        </is>
      </c>
      <c r="F1487" s="92" t="n">
        <v>62101000</v>
      </c>
      <c r="G1487" s="92" t="n">
        <v>1101</v>
      </c>
      <c r="H1487" s="93" t="n">
        <v>317000</v>
      </c>
      <c r="I1487" s="92" t="inlineStr">
        <is>
          <t>7월 국내출장 - (법인카드)</t>
        </is>
      </c>
      <c r="J1487" s="92" t="inlineStr">
        <is>
          <t>V10010</t>
        </is>
      </c>
      <c r="K1487" s="92" t="inlineStr">
        <is>
          <t>(법인카드)</t>
        </is>
      </c>
      <c r="M1487" s="9">
        <f>IF($A1487="","",VALUE($A1487&amp;"")*12+VALUE($B1487&amp;""))</f>
        <v/>
      </c>
      <c r="N1487" s="64">
        <f>IF($A1487="","",IFERROR(INDEX(부서매핑!$C$5:$C$504,MATCH($G1487&amp;"",부서매핑!$A$5:$A$504,0)),"미매핑"))</f>
        <v/>
      </c>
      <c r="O1487" s="9">
        <f>IF($A1487="","",N1487&amp;"|"&amp;$F1487)</f>
        <v/>
      </c>
      <c r="P1487" s="94">
        <f>IF($A1487="",0,$H1487*설정!$C$23)</f>
        <v/>
      </c>
      <c r="Q1487" s="64">
        <f>IF($A1487="","",IF(O1487&lt;&gt;원인분석!$C$9,"",IF(AND(M1487&gt;=원인분석!$C$10,M1487&lt;=원인분석!$C$11),"당기",IF(AND(M1487&gt;=원인분석!$C$12,M1487&lt;=원인분석!$C$13),"비교",""))))</f>
        <v/>
      </c>
      <c r="R1487" s="9">
        <f>IF(Q1487="","",$K1487&amp;"")</f>
        <v/>
      </c>
      <c r="S1487" s="9">
        <f>IF(Q1487="","",IF(MATCH(R1487,$R$5:$R$100000,0)=ROW()-4,ROW(),""))</f>
        <v/>
      </c>
      <c r="T1487" s="9">
        <f>IF(Q1487="당기",ABS(P1487)+ROW()/1000000000,"")</f>
        <v/>
      </c>
      <c r="U1487" s="9">
        <f>IF(Q1487="비교",ABS(P1487)+ROW()/1000000000,"")</f>
        <v/>
      </c>
      <c r="V1487" s="64">
        <f>IF($A1487="","",IF(COUNTIF(변동분석!$E$7:$E$506,O1487)&gt;0,"Y","N"))</f>
        <v/>
      </c>
      <c r="W1487" s="64">
        <f>IF($A1487="","",IFERROR(INDEX(계정매핑!$D$5:$D$504,MATCH($F1487&amp;"",계정매핑!$A$5:$A$504,0)),"미매핑"))</f>
        <v/>
      </c>
      <c r="X1487" s="9">
        <f>IF($A1487="","",$F1487&amp;"")</f>
        <v/>
      </c>
      <c r="Y1487" s="94">
        <f>IF($A1487="",0,IF(AE1487="직접",IF(AF1487="비귀속",$P1487,0),$P1487*(1-AG1487)*IFERROR(INDEX(계정대체기준!$F$20:$F$49,MATCH($N1487,계정대체기준!$A$20:$A$49,0)),1)))</f>
        <v/>
      </c>
      <c r="Z1487" s="94">
        <f>IF($A1487="",0,IF(AE1487="직접",IF(AF1487="신계약비",$P1487,0),$P1487*(1-AG1487)*IFERROR(INDEX(계정대체기준!$C$20:$C$49,MATCH($N1487,계정대체기준!$A$20:$A$49,0)),0)))</f>
        <v/>
      </c>
      <c r="AA1487" s="94">
        <f>IF($A1487="",0,IF(AE1487="직접",IF(OR(AF1487="유지비",AF1487="손해조사비"),$P1487,0),$P1487*(1-AG1487)*IFERROR(INDEX(계정대체기준!$D$20:$D$49,MATCH($N1487,계정대체기준!$A$20:$A$49,0)),0)))</f>
        <v/>
      </c>
      <c r="AB1487" s="94">
        <f>IF($A1487="",0,IF(AE1487="직접",IF(AF1487="수금비",$P1487,0),$P1487*(1-AG1487)*IFERROR(INDEX(계정대체기준!$E$20:$E$49,MATCH($N1487,계정대체기준!$A$20:$A$49,0)),0)))</f>
        <v/>
      </c>
      <c r="AC1487" s="9">
        <f>IF(AND($A1487&lt;&gt;"",M1487=설정!$C$20,Z1487&gt;0),Z1487+ROW()/1000000000,"")</f>
        <v/>
      </c>
      <c r="AD1487" s="94">
        <f>IF($A1487="",0,$P1487*AG1487)</f>
        <v/>
      </c>
      <c r="AE1487" s="64">
        <f>IF($A1487="","",IFERROR(INDEX(계정매핑!$E$5:$E$504,MATCH($F1487&amp;"",계정매핑!$A$5:$A$504,0))&amp;"","공통비"))</f>
        <v/>
      </c>
      <c r="AF1487" s="64">
        <f>IF($A1487="","",IF(AE1487="직접",IFERROR(INDEX(계정매핑!$F$5:$F$504,MATCH($F1487&amp;"",계정매핑!$A$5:$A$504,0))&amp;"","비귀속"),""))</f>
        <v/>
      </c>
      <c r="AG1487" s="96">
        <f>IF($A1487="",0,IF(AND(AE1487&lt;&gt;"직접",IFERROR(INDEX(계정매핑!$G$5:$G$504,MATCH($F1487&amp;"",계정매핑!$A$5:$A$504,0))&amp;"","")="유지비",COUNTIF(계정대체기준!$A$6:$A$15,$N1487)&gt;0),IFERROR(INDEX(계정대체기준!$E$6:$E$15,MATCH(VALUE($A1487&amp;""),계정대체기준!$D$6:$D$15,0)),0),0))</f>
        <v/>
      </c>
      <c r="AH1487" s="64">
        <f>IF($A1487="","",IF(AD1487=0,"",IF(OR(COUNTIF(계정대체기준!$A$77:$A$86,$N1487)&gt;0,ISNUMBER(MATCH($X1487,계정대체기준!$D$77:$D$86,0)),ISNUMBER(MATCH($F1487,계정대체기준!$D$77:$D$86,0))),"Y","N")))</f>
        <v/>
      </c>
    </row>
    <row r="1488">
      <c r="A1488" s="92" t="n">
        <v>2025</v>
      </c>
      <c r="B1488" s="92" t="n">
        <v>7</v>
      </c>
      <c r="C1488" s="92" t="inlineStr">
        <is>
          <t>5100001484</t>
        </is>
      </c>
      <c r="D1488" s="95" t="n">
        <v>45855</v>
      </c>
      <c r="E1488" s="92" t="inlineStr">
        <is>
          <t>KR</t>
        </is>
      </c>
      <c r="F1488" s="92" t="n">
        <v>62101000</v>
      </c>
      <c r="G1488" s="92" t="n">
        <v>1401</v>
      </c>
      <c r="H1488" s="93" t="n">
        <v>221000</v>
      </c>
      <c r="I1488" s="92" t="inlineStr">
        <is>
          <t>7월 국내출장 - M항공</t>
        </is>
      </c>
      <c r="J1488" s="92" t="inlineStr">
        <is>
          <t>V10001</t>
        </is>
      </c>
      <c r="K1488" s="92" t="inlineStr">
        <is>
          <t>M항공</t>
        </is>
      </c>
      <c r="M1488" s="9">
        <f>IF($A1488="","",VALUE($A1488&amp;"")*12+VALUE($B1488&amp;""))</f>
        <v/>
      </c>
      <c r="N1488" s="64">
        <f>IF($A1488="","",IFERROR(INDEX(부서매핑!$C$5:$C$504,MATCH($G1488&amp;"",부서매핑!$A$5:$A$504,0)),"미매핑"))</f>
        <v/>
      </c>
      <c r="O1488" s="9">
        <f>IF($A1488="","",N1488&amp;"|"&amp;$F1488)</f>
        <v/>
      </c>
      <c r="P1488" s="94">
        <f>IF($A1488="",0,$H1488*설정!$C$23)</f>
        <v/>
      </c>
      <c r="Q1488" s="64">
        <f>IF($A1488="","",IF(O1488&lt;&gt;원인분석!$C$9,"",IF(AND(M1488&gt;=원인분석!$C$10,M1488&lt;=원인분석!$C$11),"당기",IF(AND(M1488&gt;=원인분석!$C$12,M1488&lt;=원인분석!$C$13),"비교",""))))</f>
        <v/>
      </c>
      <c r="R1488" s="9">
        <f>IF(Q1488="","",$K1488&amp;"")</f>
        <v/>
      </c>
      <c r="S1488" s="9">
        <f>IF(Q1488="","",IF(MATCH(R1488,$R$5:$R$100000,0)=ROW()-4,ROW(),""))</f>
        <v/>
      </c>
      <c r="T1488" s="9">
        <f>IF(Q1488="당기",ABS(P1488)+ROW()/1000000000,"")</f>
        <v/>
      </c>
      <c r="U1488" s="9">
        <f>IF(Q1488="비교",ABS(P1488)+ROW()/1000000000,"")</f>
        <v/>
      </c>
      <c r="V1488" s="64">
        <f>IF($A1488="","",IF(COUNTIF(변동분석!$E$7:$E$506,O1488)&gt;0,"Y","N"))</f>
        <v/>
      </c>
      <c r="W1488" s="64">
        <f>IF($A1488="","",IFERROR(INDEX(계정매핑!$D$5:$D$504,MATCH($F1488&amp;"",계정매핑!$A$5:$A$504,0)),"미매핑"))</f>
        <v/>
      </c>
      <c r="X1488" s="9">
        <f>IF($A1488="","",$F1488&amp;"")</f>
        <v/>
      </c>
      <c r="Y1488" s="94">
        <f>IF($A1488="",0,IF(AE1488="직접",IF(AF1488="비귀속",$P1488,0),$P1488*(1-AG1488)*IFERROR(INDEX(계정대체기준!$F$20:$F$49,MATCH($N1488,계정대체기준!$A$20:$A$49,0)),1)))</f>
        <v/>
      </c>
      <c r="Z1488" s="94">
        <f>IF($A1488="",0,IF(AE1488="직접",IF(AF1488="신계약비",$P1488,0),$P1488*(1-AG1488)*IFERROR(INDEX(계정대체기준!$C$20:$C$49,MATCH($N1488,계정대체기준!$A$20:$A$49,0)),0)))</f>
        <v/>
      </c>
      <c r="AA1488" s="94">
        <f>IF($A1488="",0,IF(AE1488="직접",IF(OR(AF1488="유지비",AF1488="손해조사비"),$P1488,0),$P1488*(1-AG1488)*IFERROR(INDEX(계정대체기준!$D$20:$D$49,MATCH($N1488,계정대체기준!$A$20:$A$49,0)),0)))</f>
        <v/>
      </c>
      <c r="AB1488" s="94">
        <f>IF($A1488="",0,IF(AE1488="직접",IF(AF1488="수금비",$P1488,0),$P1488*(1-AG1488)*IFERROR(INDEX(계정대체기준!$E$20:$E$49,MATCH($N1488,계정대체기준!$A$20:$A$49,0)),0)))</f>
        <v/>
      </c>
      <c r="AC1488" s="9">
        <f>IF(AND($A1488&lt;&gt;"",M1488=설정!$C$20,Z1488&gt;0),Z1488+ROW()/1000000000,"")</f>
        <v/>
      </c>
      <c r="AD1488" s="94">
        <f>IF($A1488="",0,$P1488*AG1488)</f>
        <v/>
      </c>
      <c r="AE1488" s="64">
        <f>IF($A1488="","",IFERROR(INDEX(계정매핑!$E$5:$E$504,MATCH($F1488&amp;"",계정매핑!$A$5:$A$504,0))&amp;"","공통비"))</f>
        <v/>
      </c>
      <c r="AF1488" s="64">
        <f>IF($A1488="","",IF(AE1488="직접",IFERROR(INDEX(계정매핑!$F$5:$F$504,MATCH($F1488&amp;"",계정매핑!$A$5:$A$504,0))&amp;"","비귀속"),""))</f>
        <v/>
      </c>
      <c r="AG1488" s="96">
        <f>IF($A1488="",0,IF(AND(AE1488&lt;&gt;"직접",IFERROR(INDEX(계정매핑!$G$5:$G$504,MATCH($F1488&amp;"",계정매핑!$A$5:$A$504,0))&amp;"","")="유지비",COUNTIF(계정대체기준!$A$6:$A$15,$N1488)&gt;0),IFERROR(INDEX(계정대체기준!$E$6:$E$15,MATCH(VALUE($A1488&amp;""),계정대체기준!$D$6:$D$15,0)),0),0))</f>
        <v/>
      </c>
      <c r="AH1488" s="64">
        <f>IF($A1488="","",IF(AD1488=0,"",IF(OR(COUNTIF(계정대체기준!$A$77:$A$86,$N1488)&gt;0,ISNUMBER(MATCH($X1488,계정대체기준!$D$77:$D$86,0)),ISNUMBER(MATCH($F1488,계정대체기준!$D$77:$D$86,0))),"Y","N")))</f>
        <v/>
      </c>
    </row>
    <row r="1489">
      <c r="A1489" s="92" t="n">
        <v>2025</v>
      </c>
      <c r="B1489" s="92" t="n">
        <v>7</v>
      </c>
      <c r="C1489" s="92" t="inlineStr">
        <is>
          <t>5100001485</t>
        </is>
      </c>
      <c r="D1489" s="95" t="n">
        <v>45855</v>
      </c>
      <c r="E1489" s="92" t="inlineStr">
        <is>
          <t>KR</t>
        </is>
      </c>
      <c r="F1489" s="92" t="n">
        <v>62201000</v>
      </c>
      <c r="G1489" s="92" t="n">
        <v>1201</v>
      </c>
      <c r="H1489" s="93" t="n">
        <v>230000</v>
      </c>
      <c r="I1489" s="92" t="inlineStr">
        <is>
          <t>7월 통신요금 - O텔레콤</t>
        </is>
      </c>
      <c r="J1489" s="92" t="inlineStr">
        <is>
          <t>V10002</t>
        </is>
      </c>
      <c r="K1489" s="92" t="inlineStr">
        <is>
          <t>O텔레콤</t>
        </is>
      </c>
      <c r="M1489" s="9">
        <f>IF($A1489="","",VALUE($A1489&amp;"")*12+VALUE($B1489&amp;""))</f>
        <v/>
      </c>
      <c r="N1489" s="64">
        <f>IF($A1489="","",IFERROR(INDEX(부서매핑!$C$5:$C$504,MATCH($G1489&amp;"",부서매핑!$A$5:$A$504,0)),"미매핑"))</f>
        <v/>
      </c>
      <c r="O1489" s="9">
        <f>IF($A1489="","",N1489&amp;"|"&amp;$F1489)</f>
        <v/>
      </c>
      <c r="P1489" s="94">
        <f>IF($A1489="",0,$H1489*설정!$C$23)</f>
        <v/>
      </c>
      <c r="Q1489" s="64">
        <f>IF($A1489="","",IF(O1489&lt;&gt;원인분석!$C$9,"",IF(AND(M1489&gt;=원인분석!$C$10,M1489&lt;=원인분석!$C$11),"당기",IF(AND(M1489&gt;=원인분석!$C$12,M1489&lt;=원인분석!$C$13),"비교",""))))</f>
        <v/>
      </c>
      <c r="R1489" s="9">
        <f>IF(Q1489="","",$K1489&amp;"")</f>
        <v/>
      </c>
      <c r="S1489" s="9">
        <f>IF(Q1489="","",IF(MATCH(R1489,$R$5:$R$100000,0)=ROW()-4,ROW(),""))</f>
        <v/>
      </c>
      <c r="T1489" s="9">
        <f>IF(Q1489="당기",ABS(P1489)+ROW()/1000000000,"")</f>
        <v/>
      </c>
      <c r="U1489" s="9">
        <f>IF(Q1489="비교",ABS(P1489)+ROW()/1000000000,"")</f>
        <v/>
      </c>
      <c r="V1489" s="64">
        <f>IF($A1489="","",IF(COUNTIF(변동분석!$E$7:$E$506,O1489)&gt;0,"Y","N"))</f>
        <v/>
      </c>
      <c r="W1489" s="64">
        <f>IF($A1489="","",IFERROR(INDEX(계정매핑!$D$5:$D$504,MATCH($F1489&amp;"",계정매핑!$A$5:$A$504,0)),"미매핑"))</f>
        <v/>
      </c>
      <c r="X1489" s="9">
        <f>IF($A1489="","",$F1489&amp;"")</f>
        <v/>
      </c>
      <c r="Y1489" s="94">
        <f>IF($A1489="",0,IF(AE1489="직접",IF(AF1489="비귀속",$P1489,0),$P1489*(1-AG1489)*IFERROR(INDEX(계정대체기준!$F$20:$F$49,MATCH($N1489,계정대체기준!$A$20:$A$49,0)),1)))</f>
        <v/>
      </c>
      <c r="Z1489" s="94">
        <f>IF($A1489="",0,IF(AE1489="직접",IF(AF1489="신계약비",$P1489,0),$P1489*(1-AG1489)*IFERROR(INDEX(계정대체기준!$C$20:$C$49,MATCH($N1489,계정대체기준!$A$20:$A$49,0)),0)))</f>
        <v/>
      </c>
      <c r="AA1489" s="94">
        <f>IF($A1489="",0,IF(AE1489="직접",IF(OR(AF1489="유지비",AF1489="손해조사비"),$P1489,0),$P1489*(1-AG1489)*IFERROR(INDEX(계정대체기준!$D$20:$D$49,MATCH($N1489,계정대체기준!$A$20:$A$49,0)),0)))</f>
        <v/>
      </c>
      <c r="AB1489" s="94">
        <f>IF($A1489="",0,IF(AE1489="직접",IF(AF1489="수금비",$P1489,0),$P1489*(1-AG1489)*IFERROR(INDEX(계정대체기준!$E$20:$E$49,MATCH($N1489,계정대체기준!$A$20:$A$49,0)),0)))</f>
        <v/>
      </c>
      <c r="AC1489" s="9">
        <f>IF(AND($A1489&lt;&gt;"",M1489=설정!$C$20,Z1489&gt;0),Z1489+ROW()/1000000000,"")</f>
        <v/>
      </c>
      <c r="AD1489" s="94">
        <f>IF($A1489="",0,$P1489*AG1489)</f>
        <v/>
      </c>
      <c r="AE1489" s="64">
        <f>IF($A1489="","",IFERROR(INDEX(계정매핑!$E$5:$E$504,MATCH($F1489&amp;"",계정매핑!$A$5:$A$504,0))&amp;"","공통비"))</f>
        <v/>
      </c>
      <c r="AF1489" s="64">
        <f>IF($A1489="","",IF(AE1489="직접",IFERROR(INDEX(계정매핑!$F$5:$F$504,MATCH($F1489&amp;"",계정매핑!$A$5:$A$504,0))&amp;"","비귀속"),""))</f>
        <v/>
      </c>
      <c r="AG1489" s="96">
        <f>IF($A1489="",0,IF(AND(AE1489&lt;&gt;"직접",IFERROR(INDEX(계정매핑!$G$5:$G$504,MATCH($F1489&amp;"",계정매핑!$A$5:$A$504,0))&amp;"","")="유지비",COUNTIF(계정대체기준!$A$6:$A$15,$N1489)&gt;0),IFERROR(INDEX(계정대체기준!$E$6:$E$15,MATCH(VALUE($A1489&amp;""),계정대체기준!$D$6:$D$15,0)),0),0))</f>
        <v/>
      </c>
      <c r="AH1489" s="64">
        <f>IF($A1489="","",IF(AD1489=0,"",IF(OR(COUNTIF(계정대체기준!$A$77:$A$86,$N1489)&gt;0,ISNUMBER(MATCH($X1489,계정대체기준!$D$77:$D$86,0)),ISNUMBER(MATCH($F1489,계정대체기준!$D$77:$D$86,0))),"Y","N")))</f>
        <v/>
      </c>
    </row>
    <row r="1490">
      <c r="A1490" s="92" t="n">
        <v>2025</v>
      </c>
      <c r="B1490" s="92" t="n">
        <v>7</v>
      </c>
      <c r="C1490" s="92" t="inlineStr">
        <is>
          <t>5100001486</t>
        </is>
      </c>
      <c r="D1490" s="95" t="n">
        <v>45855</v>
      </c>
      <c r="E1490" s="92" t="inlineStr">
        <is>
          <t>KR</t>
        </is>
      </c>
      <c r="F1490" s="92" t="n">
        <v>62301000</v>
      </c>
      <c r="G1490" s="92" t="n">
        <v>1301</v>
      </c>
      <c r="H1490" s="93" t="n">
        <v>224000</v>
      </c>
      <c r="I1490" s="92" t="inlineStr">
        <is>
          <t>7월 소모품 구입 - Q오피스</t>
        </is>
      </c>
      <c r="J1490" s="92" t="inlineStr">
        <is>
          <t>V10003</t>
        </is>
      </c>
      <c r="K1490" s="92" t="inlineStr">
        <is>
          <t>Q오피스</t>
        </is>
      </c>
      <c r="M1490" s="9">
        <f>IF($A1490="","",VALUE($A1490&amp;"")*12+VALUE($B1490&amp;""))</f>
        <v/>
      </c>
      <c r="N1490" s="64">
        <f>IF($A1490="","",IFERROR(INDEX(부서매핑!$C$5:$C$504,MATCH($G1490&amp;"",부서매핑!$A$5:$A$504,0)),"미매핑"))</f>
        <v/>
      </c>
      <c r="O1490" s="9">
        <f>IF($A1490="","",N1490&amp;"|"&amp;$F1490)</f>
        <v/>
      </c>
      <c r="P1490" s="94">
        <f>IF($A1490="",0,$H1490*설정!$C$23)</f>
        <v/>
      </c>
      <c r="Q1490" s="64">
        <f>IF($A1490="","",IF(O1490&lt;&gt;원인분석!$C$9,"",IF(AND(M1490&gt;=원인분석!$C$10,M1490&lt;=원인분석!$C$11),"당기",IF(AND(M1490&gt;=원인분석!$C$12,M1490&lt;=원인분석!$C$13),"비교",""))))</f>
        <v/>
      </c>
      <c r="R1490" s="9">
        <f>IF(Q1490="","",$K1490&amp;"")</f>
        <v/>
      </c>
      <c r="S1490" s="9">
        <f>IF(Q1490="","",IF(MATCH(R1490,$R$5:$R$100000,0)=ROW()-4,ROW(),""))</f>
        <v/>
      </c>
      <c r="T1490" s="9">
        <f>IF(Q1490="당기",ABS(P1490)+ROW()/1000000000,"")</f>
        <v/>
      </c>
      <c r="U1490" s="9">
        <f>IF(Q1490="비교",ABS(P1490)+ROW()/1000000000,"")</f>
        <v/>
      </c>
      <c r="V1490" s="64">
        <f>IF($A1490="","",IF(COUNTIF(변동분석!$E$7:$E$506,O1490)&gt;0,"Y","N"))</f>
        <v/>
      </c>
      <c r="W1490" s="64">
        <f>IF($A1490="","",IFERROR(INDEX(계정매핑!$D$5:$D$504,MATCH($F1490&amp;"",계정매핑!$A$5:$A$504,0)),"미매핑"))</f>
        <v/>
      </c>
      <c r="X1490" s="9">
        <f>IF($A1490="","",$F1490&amp;"")</f>
        <v/>
      </c>
      <c r="Y1490" s="94">
        <f>IF($A1490="",0,IF(AE1490="직접",IF(AF1490="비귀속",$P1490,0),$P1490*(1-AG1490)*IFERROR(INDEX(계정대체기준!$F$20:$F$49,MATCH($N1490,계정대체기준!$A$20:$A$49,0)),1)))</f>
        <v/>
      </c>
      <c r="Z1490" s="94">
        <f>IF($A1490="",0,IF(AE1490="직접",IF(AF1490="신계약비",$P1490,0),$P1490*(1-AG1490)*IFERROR(INDEX(계정대체기준!$C$20:$C$49,MATCH($N1490,계정대체기준!$A$20:$A$49,0)),0)))</f>
        <v/>
      </c>
      <c r="AA1490" s="94">
        <f>IF($A1490="",0,IF(AE1490="직접",IF(OR(AF1490="유지비",AF1490="손해조사비"),$P1490,0),$P1490*(1-AG1490)*IFERROR(INDEX(계정대체기준!$D$20:$D$49,MATCH($N1490,계정대체기준!$A$20:$A$49,0)),0)))</f>
        <v/>
      </c>
      <c r="AB1490" s="94">
        <f>IF($A1490="",0,IF(AE1490="직접",IF(AF1490="수금비",$P1490,0),$P1490*(1-AG1490)*IFERROR(INDEX(계정대체기준!$E$20:$E$49,MATCH($N1490,계정대체기준!$A$20:$A$49,0)),0)))</f>
        <v/>
      </c>
      <c r="AC1490" s="9">
        <f>IF(AND($A1490&lt;&gt;"",M1490=설정!$C$20,Z1490&gt;0),Z1490+ROW()/1000000000,"")</f>
        <v/>
      </c>
      <c r="AD1490" s="94">
        <f>IF($A1490="",0,$P1490*AG1490)</f>
        <v/>
      </c>
      <c r="AE1490" s="64">
        <f>IF($A1490="","",IFERROR(INDEX(계정매핑!$E$5:$E$504,MATCH($F1490&amp;"",계정매핑!$A$5:$A$504,0))&amp;"","공통비"))</f>
        <v/>
      </c>
      <c r="AF1490" s="64">
        <f>IF($A1490="","",IF(AE1490="직접",IFERROR(INDEX(계정매핑!$F$5:$F$504,MATCH($F1490&amp;"",계정매핑!$A$5:$A$504,0))&amp;"","비귀속"),""))</f>
        <v/>
      </c>
      <c r="AG1490" s="96">
        <f>IF($A1490="",0,IF(AND(AE1490&lt;&gt;"직접",IFERROR(INDEX(계정매핑!$G$5:$G$504,MATCH($F1490&amp;"",계정매핑!$A$5:$A$504,0))&amp;"","")="유지비",COUNTIF(계정대체기준!$A$6:$A$15,$N1490)&gt;0),IFERROR(INDEX(계정대체기준!$E$6:$E$15,MATCH(VALUE($A1490&amp;""),계정대체기준!$D$6:$D$15,0)),0),0))</f>
        <v/>
      </c>
      <c r="AH1490" s="64">
        <f>IF($A1490="","",IF(AD1490=0,"",IF(OR(COUNTIF(계정대체기준!$A$77:$A$86,$N1490)&gt;0,ISNUMBER(MATCH($X1490,계정대체기준!$D$77:$D$86,0)),ISNUMBER(MATCH($F1490,계정대체기준!$D$77:$D$86,0))),"Y","N")))</f>
        <v/>
      </c>
    </row>
    <row r="1491">
      <c r="A1491" s="92" t="n">
        <v>2025</v>
      </c>
      <c r="B1491" s="92" t="n">
        <v>7</v>
      </c>
      <c r="C1491" s="92" t="inlineStr">
        <is>
          <t>5100001487</t>
        </is>
      </c>
      <c r="D1491" s="95" t="n">
        <v>45855</v>
      </c>
      <c r="E1491" s="92" t="inlineStr">
        <is>
          <t>KR</t>
        </is>
      </c>
      <c r="F1491" s="92" t="n">
        <v>62501000</v>
      </c>
      <c r="G1491" s="92" t="n">
        <v>1301</v>
      </c>
      <c r="H1491" s="93" t="n">
        <v>241000</v>
      </c>
      <c r="I1491" s="92" t="inlineStr">
        <is>
          <t>7월 회의 다과 - (법인카드)</t>
        </is>
      </c>
      <c r="J1491" s="92" t="inlineStr">
        <is>
          <t>V10010</t>
        </is>
      </c>
      <c r="K1491" s="92" t="inlineStr">
        <is>
          <t>(법인카드)</t>
        </is>
      </c>
      <c r="M1491" s="9">
        <f>IF($A1491="","",VALUE($A1491&amp;"")*12+VALUE($B1491&amp;""))</f>
        <v/>
      </c>
      <c r="N1491" s="64">
        <f>IF($A1491="","",IFERROR(INDEX(부서매핑!$C$5:$C$504,MATCH($G1491&amp;"",부서매핑!$A$5:$A$504,0)),"미매핑"))</f>
        <v/>
      </c>
      <c r="O1491" s="9">
        <f>IF($A1491="","",N1491&amp;"|"&amp;$F1491)</f>
        <v/>
      </c>
      <c r="P1491" s="94">
        <f>IF($A1491="",0,$H1491*설정!$C$23)</f>
        <v/>
      </c>
      <c r="Q1491" s="64">
        <f>IF($A1491="","",IF(O1491&lt;&gt;원인분석!$C$9,"",IF(AND(M1491&gt;=원인분석!$C$10,M1491&lt;=원인분석!$C$11),"당기",IF(AND(M1491&gt;=원인분석!$C$12,M1491&lt;=원인분석!$C$13),"비교",""))))</f>
        <v/>
      </c>
      <c r="R1491" s="9">
        <f>IF(Q1491="","",$K1491&amp;"")</f>
        <v/>
      </c>
      <c r="S1491" s="9">
        <f>IF(Q1491="","",IF(MATCH(R1491,$R$5:$R$100000,0)=ROW()-4,ROW(),""))</f>
        <v/>
      </c>
      <c r="T1491" s="9">
        <f>IF(Q1491="당기",ABS(P1491)+ROW()/1000000000,"")</f>
        <v/>
      </c>
      <c r="U1491" s="9">
        <f>IF(Q1491="비교",ABS(P1491)+ROW()/1000000000,"")</f>
        <v/>
      </c>
      <c r="V1491" s="64">
        <f>IF($A1491="","",IF(COUNTIF(변동분석!$E$7:$E$506,O1491)&gt;0,"Y","N"))</f>
        <v/>
      </c>
      <c r="W1491" s="64">
        <f>IF($A1491="","",IFERROR(INDEX(계정매핑!$D$5:$D$504,MATCH($F1491&amp;"",계정매핑!$A$5:$A$504,0)),"미매핑"))</f>
        <v/>
      </c>
      <c r="X1491" s="9">
        <f>IF($A1491="","",$F1491&amp;"")</f>
        <v/>
      </c>
      <c r="Y1491" s="94">
        <f>IF($A1491="",0,IF(AE1491="직접",IF(AF1491="비귀속",$P1491,0),$P1491*(1-AG1491)*IFERROR(INDEX(계정대체기준!$F$20:$F$49,MATCH($N1491,계정대체기준!$A$20:$A$49,0)),1)))</f>
        <v/>
      </c>
      <c r="Z1491" s="94">
        <f>IF($A1491="",0,IF(AE1491="직접",IF(AF1491="신계약비",$P1491,0),$P1491*(1-AG1491)*IFERROR(INDEX(계정대체기준!$C$20:$C$49,MATCH($N1491,계정대체기준!$A$20:$A$49,0)),0)))</f>
        <v/>
      </c>
      <c r="AA1491" s="94">
        <f>IF($A1491="",0,IF(AE1491="직접",IF(OR(AF1491="유지비",AF1491="손해조사비"),$P1491,0),$P1491*(1-AG1491)*IFERROR(INDEX(계정대체기준!$D$20:$D$49,MATCH($N1491,계정대체기준!$A$20:$A$49,0)),0)))</f>
        <v/>
      </c>
      <c r="AB1491" s="94">
        <f>IF($A1491="",0,IF(AE1491="직접",IF(AF1491="수금비",$P1491,0),$P1491*(1-AG1491)*IFERROR(INDEX(계정대체기준!$E$20:$E$49,MATCH($N1491,계정대체기준!$A$20:$A$49,0)),0)))</f>
        <v/>
      </c>
      <c r="AC1491" s="9">
        <f>IF(AND($A1491&lt;&gt;"",M1491=설정!$C$20,Z1491&gt;0),Z1491+ROW()/1000000000,"")</f>
        <v/>
      </c>
      <c r="AD1491" s="94">
        <f>IF($A1491="",0,$P1491*AG1491)</f>
        <v/>
      </c>
      <c r="AE1491" s="64">
        <f>IF($A1491="","",IFERROR(INDEX(계정매핑!$E$5:$E$504,MATCH($F1491&amp;"",계정매핑!$A$5:$A$504,0))&amp;"","공통비"))</f>
        <v/>
      </c>
      <c r="AF1491" s="64">
        <f>IF($A1491="","",IF(AE1491="직접",IFERROR(INDEX(계정매핑!$F$5:$F$504,MATCH($F1491&amp;"",계정매핑!$A$5:$A$504,0))&amp;"","비귀속"),""))</f>
        <v/>
      </c>
      <c r="AG1491" s="96">
        <f>IF($A1491="",0,IF(AND(AE1491&lt;&gt;"직접",IFERROR(INDEX(계정매핑!$G$5:$G$504,MATCH($F1491&amp;"",계정매핑!$A$5:$A$504,0))&amp;"","")="유지비",COUNTIF(계정대체기준!$A$6:$A$15,$N1491)&gt;0),IFERROR(INDEX(계정대체기준!$E$6:$E$15,MATCH(VALUE($A1491&amp;""),계정대체기준!$D$6:$D$15,0)),0),0))</f>
        <v/>
      </c>
      <c r="AH1491" s="64">
        <f>IF($A1491="","",IF(AD1491=0,"",IF(OR(COUNTIF(계정대체기준!$A$77:$A$86,$N1491)&gt;0,ISNUMBER(MATCH($X1491,계정대체기준!$D$77:$D$86,0)),ISNUMBER(MATCH($F1491,계정대체기준!$D$77:$D$86,0))),"Y","N")))</f>
        <v/>
      </c>
    </row>
    <row r="1492">
      <c r="A1492" s="92" t="n">
        <v>2025</v>
      </c>
      <c r="B1492" s="92" t="n">
        <v>7</v>
      </c>
      <c r="C1492" s="92" t="inlineStr">
        <is>
          <t>5100001488</t>
        </is>
      </c>
      <c r="D1492" s="95" t="n">
        <v>45855</v>
      </c>
      <c r="E1492" s="92" t="inlineStr">
        <is>
          <t>KR</t>
        </is>
      </c>
      <c r="F1492" s="92" t="n">
        <v>62501000</v>
      </c>
      <c r="G1492" s="92" t="n">
        <v>1801</v>
      </c>
      <c r="H1492" s="93" t="n">
        <v>197000</v>
      </c>
      <c r="I1492" s="92" t="inlineStr">
        <is>
          <t>7월 회의 다과 - T케이터링</t>
        </is>
      </c>
      <c r="J1492" s="92" t="inlineStr">
        <is>
          <t>V10005</t>
        </is>
      </c>
      <c r="K1492" s="92" t="inlineStr">
        <is>
          <t>T케이터링</t>
        </is>
      </c>
      <c r="M1492" s="9">
        <f>IF($A1492="","",VALUE($A1492&amp;"")*12+VALUE($B1492&amp;""))</f>
        <v/>
      </c>
      <c r="N1492" s="64">
        <f>IF($A1492="","",IFERROR(INDEX(부서매핑!$C$5:$C$504,MATCH($G1492&amp;"",부서매핑!$A$5:$A$504,0)),"미매핑"))</f>
        <v/>
      </c>
      <c r="O1492" s="9">
        <f>IF($A1492="","",N1492&amp;"|"&amp;$F1492)</f>
        <v/>
      </c>
      <c r="P1492" s="94">
        <f>IF($A1492="",0,$H1492*설정!$C$23)</f>
        <v/>
      </c>
      <c r="Q1492" s="64">
        <f>IF($A1492="","",IF(O1492&lt;&gt;원인분석!$C$9,"",IF(AND(M1492&gt;=원인분석!$C$10,M1492&lt;=원인분석!$C$11),"당기",IF(AND(M1492&gt;=원인분석!$C$12,M1492&lt;=원인분석!$C$13),"비교",""))))</f>
        <v/>
      </c>
      <c r="R1492" s="9">
        <f>IF(Q1492="","",$K1492&amp;"")</f>
        <v/>
      </c>
      <c r="S1492" s="9">
        <f>IF(Q1492="","",IF(MATCH(R1492,$R$5:$R$100000,0)=ROW()-4,ROW(),""))</f>
        <v/>
      </c>
      <c r="T1492" s="9">
        <f>IF(Q1492="당기",ABS(P1492)+ROW()/1000000000,"")</f>
        <v/>
      </c>
      <c r="U1492" s="9">
        <f>IF(Q1492="비교",ABS(P1492)+ROW()/1000000000,"")</f>
        <v/>
      </c>
      <c r="V1492" s="64">
        <f>IF($A1492="","",IF(COUNTIF(변동분석!$E$7:$E$506,O1492)&gt;0,"Y","N"))</f>
        <v/>
      </c>
      <c r="W1492" s="64">
        <f>IF($A1492="","",IFERROR(INDEX(계정매핑!$D$5:$D$504,MATCH($F1492&amp;"",계정매핑!$A$5:$A$504,0)),"미매핑"))</f>
        <v/>
      </c>
      <c r="X1492" s="9">
        <f>IF($A1492="","",$F1492&amp;"")</f>
        <v/>
      </c>
      <c r="Y1492" s="94">
        <f>IF($A1492="",0,IF(AE1492="직접",IF(AF1492="비귀속",$P1492,0),$P1492*(1-AG1492)*IFERROR(INDEX(계정대체기준!$F$20:$F$49,MATCH($N1492,계정대체기준!$A$20:$A$49,0)),1)))</f>
        <v/>
      </c>
      <c r="Z1492" s="94">
        <f>IF($A1492="",0,IF(AE1492="직접",IF(AF1492="신계약비",$P1492,0),$P1492*(1-AG1492)*IFERROR(INDEX(계정대체기준!$C$20:$C$49,MATCH($N1492,계정대체기준!$A$20:$A$49,0)),0)))</f>
        <v/>
      </c>
      <c r="AA1492" s="94">
        <f>IF($A1492="",0,IF(AE1492="직접",IF(OR(AF1492="유지비",AF1492="손해조사비"),$P1492,0),$P1492*(1-AG1492)*IFERROR(INDEX(계정대체기준!$D$20:$D$49,MATCH($N1492,계정대체기준!$A$20:$A$49,0)),0)))</f>
        <v/>
      </c>
      <c r="AB1492" s="94">
        <f>IF($A1492="",0,IF(AE1492="직접",IF(AF1492="수금비",$P1492,0),$P1492*(1-AG1492)*IFERROR(INDEX(계정대체기준!$E$20:$E$49,MATCH($N1492,계정대체기준!$A$20:$A$49,0)),0)))</f>
        <v/>
      </c>
      <c r="AC1492" s="9">
        <f>IF(AND($A1492&lt;&gt;"",M1492=설정!$C$20,Z1492&gt;0),Z1492+ROW()/1000000000,"")</f>
        <v/>
      </c>
      <c r="AD1492" s="94">
        <f>IF($A1492="",0,$P1492*AG1492)</f>
        <v/>
      </c>
      <c r="AE1492" s="64">
        <f>IF($A1492="","",IFERROR(INDEX(계정매핑!$E$5:$E$504,MATCH($F1492&amp;"",계정매핑!$A$5:$A$504,0))&amp;"","공통비"))</f>
        <v/>
      </c>
      <c r="AF1492" s="64">
        <f>IF($A1492="","",IF(AE1492="직접",IFERROR(INDEX(계정매핑!$F$5:$F$504,MATCH($F1492&amp;"",계정매핑!$A$5:$A$504,0))&amp;"","비귀속"),""))</f>
        <v/>
      </c>
      <c r="AG1492" s="96">
        <f>IF($A1492="",0,IF(AND(AE1492&lt;&gt;"직접",IFERROR(INDEX(계정매핑!$G$5:$G$504,MATCH($F1492&amp;"",계정매핑!$A$5:$A$504,0))&amp;"","")="유지비",COUNTIF(계정대체기준!$A$6:$A$15,$N1492)&gt;0),IFERROR(INDEX(계정대체기준!$E$6:$E$15,MATCH(VALUE($A1492&amp;""),계정대체기준!$D$6:$D$15,0)),0),0))</f>
        <v/>
      </c>
      <c r="AH1492" s="64">
        <f>IF($A1492="","",IF(AD1492=0,"",IF(OR(COUNTIF(계정대체기준!$A$77:$A$86,$N1492)&gt;0,ISNUMBER(MATCH($X1492,계정대체기준!$D$77:$D$86,0)),ISNUMBER(MATCH($F1492,계정대체기준!$D$77:$D$86,0))),"Y","N")))</f>
        <v/>
      </c>
    </row>
    <row r="1493">
      <c r="A1493" s="92" t="n">
        <v>2025</v>
      </c>
      <c r="B1493" s="92" t="n">
        <v>7</v>
      </c>
      <c r="C1493" s="92" t="inlineStr">
        <is>
          <t>5100001489</t>
        </is>
      </c>
      <c r="D1493" s="95" t="n">
        <v>45855</v>
      </c>
      <c r="E1493" s="92" t="inlineStr">
        <is>
          <t>KR</t>
        </is>
      </c>
      <c r="F1493" s="92" t="n">
        <v>62901000</v>
      </c>
      <c r="G1493" s="92" t="n">
        <v>1801</v>
      </c>
      <c r="H1493" s="93" t="n">
        <v>8992000</v>
      </c>
      <c r="I1493" s="92" t="inlineStr">
        <is>
          <t>7월 자문 수수료 - K회계법인</t>
        </is>
      </c>
      <c r="J1493" s="92" t="inlineStr">
        <is>
          <t>V10011</t>
        </is>
      </c>
      <c r="K1493" s="92" t="inlineStr">
        <is>
          <t>K회계법인</t>
        </is>
      </c>
      <c r="M1493" s="9">
        <f>IF($A1493="","",VALUE($A1493&amp;"")*12+VALUE($B1493&amp;""))</f>
        <v/>
      </c>
      <c r="N1493" s="64">
        <f>IF($A1493="","",IFERROR(INDEX(부서매핑!$C$5:$C$504,MATCH($G1493&amp;"",부서매핑!$A$5:$A$504,0)),"미매핑"))</f>
        <v/>
      </c>
      <c r="O1493" s="9">
        <f>IF($A1493="","",N1493&amp;"|"&amp;$F1493)</f>
        <v/>
      </c>
      <c r="P1493" s="94">
        <f>IF($A1493="",0,$H1493*설정!$C$23)</f>
        <v/>
      </c>
      <c r="Q1493" s="64">
        <f>IF($A1493="","",IF(O1493&lt;&gt;원인분석!$C$9,"",IF(AND(M1493&gt;=원인분석!$C$10,M1493&lt;=원인분석!$C$11),"당기",IF(AND(M1493&gt;=원인분석!$C$12,M1493&lt;=원인분석!$C$13),"비교",""))))</f>
        <v/>
      </c>
      <c r="R1493" s="9">
        <f>IF(Q1493="","",$K1493&amp;"")</f>
        <v/>
      </c>
      <c r="S1493" s="9">
        <f>IF(Q1493="","",IF(MATCH(R1493,$R$5:$R$100000,0)=ROW()-4,ROW(),""))</f>
        <v/>
      </c>
      <c r="T1493" s="9">
        <f>IF(Q1493="당기",ABS(P1493)+ROW()/1000000000,"")</f>
        <v/>
      </c>
      <c r="U1493" s="9">
        <f>IF(Q1493="비교",ABS(P1493)+ROW()/1000000000,"")</f>
        <v/>
      </c>
      <c r="V1493" s="64">
        <f>IF($A1493="","",IF(COUNTIF(변동분석!$E$7:$E$506,O1493)&gt;0,"Y","N"))</f>
        <v/>
      </c>
      <c r="W1493" s="64">
        <f>IF($A1493="","",IFERROR(INDEX(계정매핑!$D$5:$D$504,MATCH($F1493&amp;"",계정매핑!$A$5:$A$504,0)),"미매핑"))</f>
        <v/>
      </c>
      <c r="X1493" s="9">
        <f>IF($A1493="","",$F1493&amp;"")</f>
        <v/>
      </c>
      <c r="Y1493" s="94">
        <f>IF($A1493="",0,IF(AE1493="직접",IF(AF1493="비귀속",$P1493,0),$P1493*(1-AG1493)*IFERROR(INDEX(계정대체기준!$F$20:$F$49,MATCH($N1493,계정대체기준!$A$20:$A$49,0)),1)))</f>
        <v/>
      </c>
      <c r="Z1493" s="94">
        <f>IF($A1493="",0,IF(AE1493="직접",IF(AF1493="신계약비",$P1493,0),$P1493*(1-AG1493)*IFERROR(INDEX(계정대체기준!$C$20:$C$49,MATCH($N1493,계정대체기준!$A$20:$A$49,0)),0)))</f>
        <v/>
      </c>
      <c r="AA1493" s="94">
        <f>IF($A1493="",0,IF(AE1493="직접",IF(OR(AF1493="유지비",AF1493="손해조사비"),$P1493,0),$P1493*(1-AG1493)*IFERROR(INDEX(계정대체기준!$D$20:$D$49,MATCH($N1493,계정대체기준!$A$20:$A$49,0)),0)))</f>
        <v/>
      </c>
      <c r="AB1493" s="94">
        <f>IF($A1493="",0,IF(AE1493="직접",IF(AF1493="수금비",$P1493,0),$P1493*(1-AG1493)*IFERROR(INDEX(계정대체기준!$E$20:$E$49,MATCH($N1493,계정대체기준!$A$20:$A$49,0)),0)))</f>
        <v/>
      </c>
      <c r="AC1493" s="9">
        <f>IF(AND($A1493&lt;&gt;"",M1493=설정!$C$20,Z1493&gt;0),Z1493+ROW()/1000000000,"")</f>
        <v/>
      </c>
      <c r="AD1493" s="94">
        <f>IF($A1493="",0,$P1493*AG1493)</f>
        <v/>
      </c>
      <c r="AE1493" s="64">
        <f>IF($A1493="","",IFERROR(INDEX(계정매핑!$E$5:$E$504,MATCH($F1493&amp;"",계정매핑!$A$5:$A$504,0))&amp;"","공통비"))</f>
        <v/>
      </c>
      <c r="AF1493" s="64">
        <f>IF($A1493="","",IF(AE1493="직접",IFERROR(INDEX(계정매핑!$F$5:$F$504,MATCH($F1493&amp;"",계정매핑!$A$5:$A$504,0))&amp;"","비귀속"),""))</f>
        <v/>
      </c>
      <c r="AG1493" s="96">
        <f>IF($A1493="",0,IF(AND(AE1493&lt;&gt;"직접",IFERROR(INDEX(계정매핑!$G$5:$G$504,MATCH($F1493&amp;"",계정매핑!$A$5:$A$504,0))&amp;"","")="유지비",COUNTIF(계정대체기준!$A$6:$A$15,$N1493)&gt;0),IFERROR(INDEX(계정대체기준!$E$6:$E$15,MATCH(VALUE($A1493&amp;""),계정대체기준!$D$6:$D$15,0)),0),0))</f>
        <v/>
      </c>
      <c r="AH1493" s="64">
        <f>IF($A1493="","",IF(AD1493=0,"",IF(OR(COUNTIF(계정대체기준!$A$77:$A$86,$N1493)&gt;0,ISNUMBER(MATCH($X1493,계정대체기준!$D$77:$D$86,0)),ISNUMBER(MATCH($F1493,계정대체기준!$D$77:$D$86,0))),"Y","N")))</f>
        <v/>
      </c>
    </row>
    <row r="1494">
      <c r="A1494" s="92" t="n">
        <v>2025</v>
      </c>
      <c r="B1494" s="92" t="n">
        <v>7</v>
      </c>
      <c r="C1494" s="92" t="inlineStr">
        <is>
          <t>5100001490</t>
        </is>
      </c>
      <c r="D1494" s="95" t="n">
        <v>45855</v>
      </c>
      <c r="E1494" s="92" t="inlineStr">
        <is>
          <t>KR</t>
        </is>
      </c>
      <c r="F1494" s="92" t="n">
        <v>63501000</v>
      </c>
      <c r="G1494" s="92" t="n">
        <v>1901</v>
      </c>
      <c r="H1494" s="93" t="n">
        <v>448732000</v>
      </c>
      <c r="I1494" s="92" t="inlineStr">
        <is>
          <t>7월 모집수수료 - (전속설계사)</t>
        </is>
      </c>
      <c r="J1494" s="92" t="inlineStr">
        <is>
          <t>V10021</t>
        </is>
      </c>
      <c r="K1494" s="92" t="inlineStr">
        <is>
          <t>(전속설계사)</t>
        </is>
      </c>
      <c r="M1494" s="9">
        <f>IF($A1494="","",VALUE($A1494&amp;"")*12+VALUE($B1494&amp;""))</f>
        <v/>
      </c>
      <c r="N1494" s="64">
        <f>IF($A1494="","",IFERROR(INDEX(부서매핑!$C$5:$C$504,MATCH($G1494&amp;"",부서매핑!$A$5:$A$504,0)),"미매핑"))</f>
        <v/>
      </c>
      <c r="O1494" s="9">
        <f>IF($A1494="","",N1494&amp;"|"&amp;$F1494)</f>
        <v/>
      </c>
      <c r="P1494" s="94">
        <f>IF($A1494="",0,$H1494*설정!$C$23)</f>
        <v/>
      </c>
      <c r="Q1494" s="64">
        <f>IF($A1494="","",IF(O1494&lt;&gt;원인분석!$C$9,"",IF(AND(M1494&gt;=원인분석!$C$10,M1494&lt;=원인분석!$C$11),"당기",IF(AND(M1494&gt;=원인분석!$C$12,M1494&lt;=원인분석!$C$13),"비교",""))))</f>
        <v/>
      </c>
      <c r="R1494" s="9">
        <f>IF(Q1494="","",$K1494&amp;"")</f>
        <v/>
      </c>
      <c r="S1494" s="9">
        <f>IF(Q1494="","",IF(MATCH(R1494,$R$5:$R$100000,0)=ROW()-4,ROW(),""))</f>
        <v/>
      </c>
      <c r="T1494" s="9">
        <f>IF(Q1494="당기",ABS(P1494)+ROW()/1000000000,"")</f>
        <v/>
      </c>
      <c r="U1494" s="9">
        <f>IF(Q1494="비교",ABS(P1494)+ROW()/1000000000,"")</f>
        <v/>
      </c>
      <c r="V1494" s="64">
        <f>IF($A1494="","",IF(COUNTIF(변동분석!$E$7:$E$506,O1494)&gt;0,"Y","N"))</f>
        <v/>
      </c>
      <c r="W1494" s="64">
        <f>IF($A1494="","",IFERROR(INDEX(계정매핑!$D$5:$D$504,MATCH($F1494&amp;"",계정매핑!$A$5:$A$504,0)),"미매핑"))</f>
        <v/>
      </c>
      <c r="X1494" s="9">
        <f>IF($A1494="","",$F1494&amp;"")</f>
        <v/>
      </c>
      <c r="Y1494" s="94">
        <f>IF($A1494="",0,IF(AE1494="직접",IF(AF1494="비귀속",$P1494,0),$P1494*(1-AG1494)*IFERROR(INDEX(계정대체기준!$F$20:$F$49,MATCH($N1494,계정대체기준!$A$20:$A$49,0)),1)))</f>
        <v/>
      </c>
      <c r="Z1494" s="94">
        <f>IF($A1494="",0,IF(AE1494="직접",IF(AF1494="신계약비",$P1494,0),$P1494*(1-AG1494)*IFERROR(INDEX(계정대체기준!$C$20:$C$49,MATCH($N1494,계정대체기준!$A$20:$A$49,0)),0)))</f>
        <v/>
      </c>
      <c r="AA1494" s="94">
        <f>IF($A1494="",0,IF(AE1494="직접",IF(OR(AF1494="유지비",AF1494="손해조사비"),$P1494,0),$P1494*(1-AG1494)*IFERROR(INDEX(계정대체기준!$D$20:$D$49,MATCH($N1494,계정대체기준!$A$20:$A$49,0)),0)))</f>
        <v/>
      </c>
      <c r="AB1494" s="94">
        <f>IF($A1494="",0,IF(AE1494="직접",IF(AF1494="수금비",$P1494,0),$P1494*(1-AG1494)*IFERROR(INDEX(계정대체기준!$E$20:$E$49,MATCH($N1494,계정대체기준!$A$20:$A$49,0)),0)))</f>
        <v/>
      </c>
      <c r="AC1494" s="9">
        <f>IF(AND($A1494&lt;&gt;"",M1494=설정!$C$20,Z1494&gt;0),Z1494+ROW()/1000000000,"")</f>
        <v/>
      </c>
      <c r="AD1494" s="94">
        <f>IF($A1494="",0,$P1494*AG1494)</f>
        <v/>
      </c>
      <c r="AE1494" s="64">
        <f>IF($A1494="","",IFERROR(INDEX(계정매핑!$E$5:$E$504,MATCH($F1494&amp;"",계정매핑!$A$5:$A$504,0))&amp;"","공통비"))</f>
        <v/>
      </c>
      <c r="AF1494" s="64">
        <f>IF($A1494="","",IF(AE1494="직접",IFERROR(INDEX(계정매핑!$F$5:$F$504,MATCH($F1494&amp;"",계정매핑!$A$5:$A$504,0))&amp;"","비귀속"),""))</f>
        <v/>
      </c>
      <c r="AG1494" s="96">
        <f>IF($A1494="",0,IF(AND(AE1494&lt;&gt;"직접",IFERROR(INDEX(계정매핑!$G$5:$G$504,MATCH($F1494&amp;"",계정매핑!$A$5:$A$504,0))&amp;"","")="유지비",COUNTIF(계정대체기준!$A$6:$A$15,$N1494)&gt;0),IFERROR(INDEX(계정대체기준!$E$6:$E$15,MATCH(VALUE($A1494&amp;""),계정대체기준!$D$6:$D$15,0)),0),0))</f>
        <v/>
      </c>
      <c r="AH1494" s="64">
        <f>IF($A1494="","",IF(AD1494=0,"",IF(OR(COUNTIF(계정대체기준!$A$77:$A$86,$N1494)&gt;0,ISNUMBER(MATCH($X1494,계정대체기준!$D$77:$D$86,0)),ISNUMBER(MATCH($F1494,계정대체기준!$D$77:$D$86,0))),"Y","N")))</f>
        <v/>
      </c>
    </row>
    <row r="1495">
      <c r="A1495" s="92" t="n">
        <v>2025</v>
      </c>
      <c r="B1495" s="92" t="n">
        <v>7</v>
      </c>
      <c r="C1495" s="92" t="inlineStr">
        <is>
          <t>5100001491</t>
        </is>
      </c>
      <c r="D1495" s="95" t="n">
        <v>45855</v>
      </c>
      <c r="E1495" s="92" t="inlineStr">
        <is>
          <t>KR</t>
        </is>
      </c>
      <c r="F1495" s="92" t="n">
        <v>63501000</v>
      </c>
      <c r="G1495" s="92" t="n">
        <v>1902</v>
      </c>
      <c r="H1495" s="93" t="n">
        <v>458748000</v>
      </c>
      <c r="I1495" s="92" t="inlineStr">
        <is>
          <t>7월 모집수수료 - BB에셋</t>
        </is>
      </c>
      <c r="J1495" s="92" t="inlineStr">
        <is>
          <t>V10013</t>
        </is>
      </c>
      <c r="K1495" s="92" t="inlineStr">
        <is>
          <t>BB에셋</t>
        </is>
      </c>
      <c r="M1495" s="9">
        <f>IF($A1495="","",VALUE($A1495&amp;"")*12+VALUE($B1495&amp;""))</f>
        <v/>
      </c>
      <c r="N1495" s="64">
        <f>IF($A1495="","",IFERROR(INDEX(부서매핑!$C$5:$C$504,MATCH($G1495&amp;"",부서매핑!$A$5:$A$504,0)),"미매핑"))</f>
        <v/>
      </c>
      <c r="O1495" s="9">
        <f>IF($A1495="","",N1495&amp;"|"&amp;$F1495)</f>
        <v/>
      </c>
      <c r="P1495" s="94">
        <f>IF($A1495="",0,$H1495*설정!$C$23)</f>
        <v/>
      </c>
      <c r="Q1495" s="64">
        <f>IF($A1495="","",IF(O1495&lt;&gt;원인분석!$C$9,"",IF(AND(M1495&gt;=원인분석!$C$10,M1495&lt;=원인분석!$C$11),"당기",IF(AND(M1495&gt;=원인분석!$C$12,M1495&lt;=원인분석!$C$13),"비교",""))))</f>
        <v/>
      </c>
      <c r="R1495" s="9">
        <f>IF(Q1495="","",$K1495&amp;"")</f>
        <v/>
      </c>
      <c r="S1495" s="9">
        <f>IF(Q1495="","",IF(MATCH(R1495,$R$5:$R$100000,0)=ROW()-4,ROW(),""))</f>
        <v/>
      </c>
      <c r="T1495" s="9">
        <f>IF(Q1495="당기",ABS(P1495)+ROW()/1000000000,"")</f>
        <v/>
      </c>
      <c r="U1495" s="9">
        <f>IF(Q1495="비교",ABS(P1495)+ROW()/1000000000,"")</f>
        <v/>
      </c>
      <c r="V1495" s="64">
        <f>IF($A1495="","",IF(COUNTIF(변동분석!$E$7:$E$506,O1495)&gt;0,"Y","N"))</f>
        <v/>
      </c>
      <c r="W1495" s="64">
        <f>IF($A1495="","",IFERROR(INDEX(계정매핑!$D$5:$D$504,MATCH($F1495&amp;"",계정매핑!$A$5:$A$504,0)),"미매핑"))</f>
        <v/>
      </c>
      <c r="X1495" s="9">
        <f>IF($A1495="","",$F1495&amp;"")</f>
        <v/>
      </c>
      <c r="Y1495" s="94">
        <f>IF($A1495="",0,IF(AE1495="직접",IF(AF1495="비귀속",$P1495,0),$P1495*(1-AG1495)*IFERROR(INDEX(계정대체기준!$F$20:$F$49,MATCH($N1495,계정대체기준!$A$20:$A$49,0)),1)))</f>
        <v/>
      </c>
      <c r="Z1495" s="94">
        <f>IF($A1495="",0,IF(AE1495="직접",IF(AF1495="신계약비",$P1495,0),$P1495*(1-AG1495)*IFERROR(INDEX(계정대체기준!$C$20:$C$49,MATCH($N1495,계정대체기준!$A$20:$A$49,0)),0)))</f>
        <v/>
      </c>
      <c r="AA1495" s="94">
        <f>IF($A1495="",0,IF(AE1495="직접",IF(OR(AF1495="유지비",AF1495="손해조사비"),$P1495,0),$P1495*(1-AG1495)*IFERROR(INDEX(계정대체기준!$D$20:$D$49,MATCH($N1495,계정대체기준!$A$20:$A$49,0)),0)))</f>
        <v/>
      </c>
      <c r="AB1495" s="94">
        <f>IF($A1495="",0,IF(AE1495="직접",IF(AF1495="수금비",$P1495,0),$P1495*(1-AG1495)*IFERROR(INDEX(계정대체기준!$E$20:$E$49,MATCH($N1495,계정대체기준!$A$20:$A$49,0)),0)))</f>
        <v/>
      </c>
      <c r="AC1495" s="9">
        <f>IF(AND($A1495&lt;&gt;"",M1495=설정!$C$20,Z1495&gt;0),Z1495+ROW()/1000000000,"")</f>
        <v/>
      </c>
      <c r="AD1495" s="94">
        <f>IF($A1495="",0,$P1495*AG1495)</f>
        <v/>
      </c>
      <c r="AE1495" s="64">
        <f>IF($A1495="","",IFERROR(INDEX(계정매핑!$E$5:$E$504,MATCH($F1495&amp;"",계정매핑!$A$5:$A$504,0))&amp;"","공통비"))</f>
        <v/>
      </c>
      <c r="AF1495" s="64">
        <f>IF($A1495="","",IF(AE1495="직접",IFERROR(INDEX(계정매핑!$F$5:$F$504,MATCH($F1495&amp;"",계정매핑!$A$5:$A$504,0))&amp;"","비귀속"),""))</f>
        <v/>
      </c>
      <c r="AG1495" s="96">
        <f>IF($A1495="",0,IF(AND(AE1495&lt;&gt;"직접",IFERROR(INDEX(계정매핑!$G$5:$G$504,MATCH($F1495&amp;"",계정매핑!$A$5:$A$504,0))&amp;"","")="유지비",COUNTIF(계정대체기준!$A$6:$A$15,$N1495)&gt;0),IFERROR(INDEX(계정대체기준!$E$6:$E$15,MATCH(VALUE($A1495&amp;""),계정대체기준!$D$6:$D$15,0)),0),0))</f>
        <v/>
      </c>
      <c r="AH1495" s="64">
        <f>IF($A1495="","",IF(AD1495=0,"",IF(OR(COUNTIF(계정대체기준!$A$77:$A$86,$N1495)&gt;0,ISNUMBER(MATCH($X1495,계정대체기준!$D$77:$D$86,0)),ISNUMBER(MATCH($F1495,계정대체기준!$D$77:$D$86,0))),"Y","N")))</f>
        <v/>
      </c>
    </row>
    <row r="1496">
      <c r="A1496" s="92" t="n">
        <v>2025</v>
      </c>
      <c r="B1496" s="92" t="n">
        <v>7</v>
      </c>
      <c r="C1496" s="92" t="inlineStr">
        <is>
          <t>5100001492</t>
        </is>
      </c>
      <c r="D1496" s="95" t="n">
        <v>45856</v>
      </c>
      <c r="E1496" s="92" t="inlineStr">
        <is>
          <t>KR</t>
        </is>
      </c>
      <c r="F1496" s="92" t="n">
        <v>62101000</v>
      </c>
      <c r="G1496" s="92" t="n">
        <v>1201</v>
      </c>
      <c r="H1496" s="93" t="n">
        <v>162000</v>
      </c>
      <c r="I1496" s="92" t="inlineStr">
        <is>
          <t>7월 국내출장 - L여행사</t>
        </is>
      </c>
      <c r="J1496" s="92" t="inlineStr">
        <is>
          <t>V10018</t>
        </is>
      </c>
      <c r="K1496" s="92" t="inlineStr">
        <is>
          <t>L여행사</t>
        </is>
      </c>
      <c r="M1496" s="9">
        <f>IF($A1496="","",VALUE($A1496&amp;"")*12+VALUE($B1496&amp;""))</f>
        <v/>
      </c>
      <c r="N1496" s="64">
        <f>IF($A1496="","",IFERROR(INDEX(부서매핑!$C$5:$C$504,MATCH($G1496&amp;"",부서매핑!$A$5:$A$504,0)),"미매핑"))</f>
        <v/>
      </c>
      <c r="O1496" s="9">
        <f>IF($A1496="","",N1496&amp;"|"&amp;$F1496)</f>
        <v/>
      </c>
      <c r="P1496" s="94">
        <f>IF($A1496="",0,$H1496*설정!$C$23)</f>
        <v/>
      </c>
      <c r="Q1496" s="64">
        <f>IF($A1496="","",IF(O1496&lt;&gt;원인분석!$C$9,"",IF(AND(M1496&gt;=원인분석!$C$10,M1496&lt;=원인분석!$C$11),"당기",IF(AND(M1496&gt;=원인분석!$C$12,M1496&lt;=원인분석!$C$13),"비교",""))))</f>
        <v/>
      </c>
      <c r="R1496" s="9">
        <f>IF(Q1496="","",$K1496&amp;"")</f>
        <v/>
      </c>
      <c r="S1496" s="9">
        <f>IF(Q1496="","",IF(MATCH(R1496,$R$5:$R$100000,0)=ROW()-4,ROW(),""))</f>
        <v/>
      </c>
      <c r="T1496" s="9">
        <f>IF(Q1496="당기",ABS(P1496)+ROW()/1000000000,"")</f>
        <v/>
      </c>
      <c r="U1496" s="9">
        <f>IF(Q1496="비교",ABS(P1496)+ROW()/1000000000,"")</f>
        <v/>
      </c>
      <c r="V1496" s="64">
        <f>IF($A1496="","",IF(COUNTIF(변동분석!$E$7:$E$506,O1496)&gt;0,"Y","N"))</f>
        <v/>
      </c>
      <c r="W1496" s="64">
        <f>IF($A1496="","",IFERROR(INDEX(계정매핑!$D$5:$D$504,MATCH($F1496&amp;"",계정매핑!$A$5:$A$504,0)),"미매핑"))</f>
        <v/>
      </c>
      <c r="X1496" s="9">
        <f>IF($A1496="","",$F1496&amp;"")</f>
        <v/>
      </c>
      <c r="Y1496" s="94">
        <f>IF($A1496="",0,IF(AE1496="직접",IF(AF1496="비귀속",$P1496,0),$P1496*(1-AG1496)*IFERROR(INDEX(계정대체기준!$F$20:$F$49,MATCH($N1496,계정대체기준!$A$20:$A$49,0)),1)))</f>
        <v/>
      </c>
      <c r="Z1496" s="94">
        <f>IF($A1496="",0,IF(AE1496="직접",IF(AF1496="신계약비",$P1496,0),$P1496*(1-AG1496)*IFERROR(INDEX(계정대체기준!$C$20:$C$49,MATCH($N1496,계정대체기준!$A$20:$A$49,0)),0)))</f>
        <v/>
      </c>
      <c r="AA1496" s="94">
        <f>IF($A1496="",0,IF(AE1496="직접",IF(OR(AF1496="유지비",AF1496="손해조사비"),$P1496,0),$P1496*(1-AG1496)*IFERROR(INDEX(계정대체기준!$D$20:$D$49,MATCH($N1496,계정대체기준!$A$20:$A$49,0)),0)))</f>
        <v/>
      </c>
      <c r="AB1496" s="94">
        <f>IF($A1496="",0,IF(AE1496="직접",IF(AF1496="수금비",$P1496,0),$P1496*(1-AG1496)*IFERROR(INDEX(계정대체기준!$E$20:$E$49,MATCH($N1496,계정대체기준!$A$20:$A$49,0)),0)))</f>
        <v/>
      </c>
      <c r="AC1496" s="9">
        <f>IF(AND($A1496&lt;&gt;"",M1496=설정!$C$20,Z1496&gt;0),Z1496+ROW()/1000000000,"")</f>
        <v/>
      </c>
      <c r="AD1496" s="94">
        <f>IF($A1496="",0,$P1496*AG1496)</f>
        <v/>
      </c>
      <c r="AE1496" s="64">
        <f>IF($A1496="","",IFERROR(INDEX(계정매핑!$E$5:$E$504,MATCH($F1496&amp;"",계정매핑!$A$5:$A$504,0))&amp;"","공통비"))</f>
        <v/>
      </c>
      <c r="AF1496" s="64">
        <f>IF($A1496="","",IF(AE1496="직접",IFERROR(INDEX(계정매핑!$F$5:$F$504,MATCH($F1496&amp;"",계정매핑!$A$5:$A$504,0))&amp;"","비귀속"),""))</f>
        <v/>
      </c>
      <c r="AG1496" s="96">
        <f>IF($A1496="",0,IF(AND(AE1496&lt;&gt;"직접",IFERROR(INDEX(계정매핑!$G$5:$G$504,MATCH($F1496&amp;"",계정매핑!$A$5:$A$504,0))&amp;"","")="유지비",COUNTIF(계정대체기준!$A$6:$A$15,$N1496)&gt;0),IFERROR(INDEX(계정대체기준!$E$6:$E$15,MATCH(VALUE($A1496&amp;""),계정대체기준!$D$6:$D$15,0)),0),0))</f>
        <v/>
      </c>
      <c r="AH1496" s="64">
        <f>IF($A1496="","",IF(AD1496=0,"",IF(OR(COUNTIF(계정대체기준!$A$77:$A$86,$N1496)&gt;0,ISNUMBER(MATCH($X1496,계정대체기준!$D$77:$D$86,0)),ISNUMBER(MATCH($F1496,계정대체기준!$D$77:$D$86,0))),"Y","N")))</f>
        <v/>
      </c>
    </row>
    <row r="1497">
      <c r="A1497" s="92" t="n">
        <v>2025</v>
      </c>
      <c r="B1497" s="92" t="n">
        <v>7</v>
      </c>
      <c r="C1497" s="92" t="inlineStr">
        <is>
          <t>5100001493</t>
        </is>
      </c>
      <c r="D1497" s="95" t="n">
        <v>45856</v>
      </c>
      <c r="E1497" s="92" t="inlineStr">
        <is>
          <t>KR</t>
        </is>
      </c>
      <c r="F1497" s="92" t="n">
        <v>62101000</v>
      </c>
      <c r="G1497" s="92" t="n">
        <v>1401</v>
      </c>
      <c r="H1497" s="93" t="n">
        <v>209000</v>
      </c>
      <c r="I1497" s="92" t="inlineStr">
        <is>
          <t>7월 국내출장 - (법인카드)</t>
        </is>
      </c>
      <c r="J1497" s="92" t="inlineStr">
        <is>
          <t>V10010</t>
        </is>
      </c>
      <c r="K1497" s="92" t="inlineStr">
        <is>
          <t>(법인카드)</t>
        </is>
      </c>
      <c r="M1497" s="9">
        <f>IF($A1497="","",VALUE($A1497&amp;"")*12+VALUE($B1497&amp;""))</f>
        <v/>
      </c>
      <c r="N1497" s="64">
        <f>IF($A1497="","",IFERROR(INDEX(부서매핑!$C$5:$C$504,MATCH($G1497&amp;"",부서매핑!$A$5:$A$504,0)),"미매핑"))</f>
        <v/>
      </c>
      <c r="O1497" s="9">
        <f>IF($A1497="","",N1497&amp;"|"&amp;$F1497)</f>
        <v/>
      </c>
      <c r="P1497" s="94">
        <f>IF($A1497="",0,$H1497*설정!$C$23)</f>
        <v/>
      </c>
      <c r="Q1497" s="64">
        <f>IF($A1497="","",IF(O1497&lt;&gt;원인분석!$C$9,"",IF(AND(M1497&gt;=원인분석!$C$10,M1497&lt;=원인분석!$C$11),"당기",IF(AND(M1497&gt;=원인분석!$C$12,M1497&lt;=원인분석!$C$13),"비교",""))))</f>
        <v/>
      </c>
      <c r="R1497" s="9">
        <f>IF(Q1497="","",$K1497&amp;"")</f>
        <v/>
      </c>
      <c r="S1497" s="9">
        <f>IF(Q1497="","",IF(MATCH(R1497,$R$5:$R$100000,0)=ROW()-4,ROW(),""))</f>
        <v/>
      </c>
      <c r="T1497" s="9">
        <f>IF(Q1497="당기",ABS(P1497)+ROW()/1000000000,"")</f>
        <v/>
      </c>
      <c r="U1497" s="9">
        <f>IF(Q1497="비교",ABS(P1497)+ROW()/1000000000,"")</f>
        <v/>
      </c>
      <c r="V1497" s="64">
        <f>IF($A1497="","",IF(COUNTIF(변동분석!$E$7:$E$506,O1497)&gt;0,"Y","N"))</f>
        <v/>
      </c>
      <c r="W1497" s="64">
        <f>IF($A1497="","",IFERROR(INDEX(계정매핑!$D$5:$D$504,MATCH($F1497&amp;"",계정매핑!$A$5:$A$504,0)),"미매핑"))</f>
        <v/>
      </c>
      <c r="X1497" s="9">
        <f>IF($A1497="","",$F1497&amp;"")</f>
        <v/>
      </c>
      <c r="Y1497" s="94">
        <f>IF($A1497="",0,IF(AE1497="직접",IF(AF1497="비귀속",$P1497,0),$P1497*(1-AG1497)*IFERROR(INDEX(계정대체기준!$F$20:$F$49,MATCH($N1497,계정대체기준!$A$20:$A$49,0)),1)))</f>
        <v/>
      </c>
      <c r="Z1497" s="94">
        <f>IF($A1497="",0,IF(AE1497="직접",IF(AF1497="신계약비",$P1497,0),$P1497*(1-AG1497)*IFERROR(INDEX(계정대체기준!$C$20:$C$49,MATCH($N1497,계정대체기준!$A$20:$A$49,0)),0)))</f>
        <v/>
      </c>
      <c r="AA1497" s="94">
        <f>IF($A1497="",0,IF(AE1497="직접",IF(OR(AF1497="유지비",AF1497="손해조사비"),$P1497,0),$P1497*(1-AG1497)*IFERROR(INDEX(계정대체기준!$D$20:$D$49,MATCH($N1497,계정대체기준!$A$20:$A$49,0)),0)))</f>
        <v/>
      </c>
      <c r="AB1497" s="94">
        <f>IF($A1497="",0,IF(AE1497="직접",IF(AF1497="수금비",$P1497,0),$P1497*(1-AG1497)*IFERROR(INDEX(계정대체기준!$E$20:$E$49,MATCH($N1497,계정대체기준!$A$20:$A$49,0)),0)))</f>
        <v/>
      </c>
      <c r="AC1497" s="9">
        <f>IF(AND($A1497&lt;&gt;"",M1497=설정!$C$20,Z1497&gt;0),Z1497+ROW()/1000000000,"")</f>
        <v/>
      </c>
      <c r="AD1497" s="94">
        <f>IF($A1497="",0,$P1497*AG1497)</f>
        <v/>
      </c>
      <c r="AE1497" s="64">
        <f>IF($A1497="","",IFERROR(INDEX(계정매핑!$E$5:$E$504,MATCH($F1497&amp;"",계정매핑!$A$5:$A$504,0))&amp;"","공통비"))</f>
        <v/>
      </c>
      <c r="AF1497" s="64">
        <f>IF($A1497="","",IF(AE1497="직접",IFERROR(INDEX(계정매핑!$F$5:$F$504,MATCH($F1497&amp;"",계정매핑!$A$5:$A$504,0))&amp;"","비귀속"),""))</f>
        <v/>
      </c>
      <c r="AG1497" s="96">
        <f>IF($A1497="",0,IF(AND(AE1497&lt;&gt;"직접",IFERROR(INDEX(계정매핑!$G$5:$G$504,MATCH($F1497&amp;"",계정매핑!$A$5:$A$504,0))&amp;"","")="유지비",COUNTIF(계정대체기준!$A$6:$A$15,$N1497)&gt;0),IFERROR(INDEX(계정대체기준!$E$6:$E$15,MATCH(VALUE($A1497&amp;""),계정대체기준!$D$6:$D$15,0)),0),0))</f>
        <v/>
      </c>
      <c r="AH1497" s="64">
        <f>IF($A1497="","",IF(AD1497=0,"",IF(OR(COUNTIF(계정대체기준!$A$77:$A$86,$N1497)&gt;0,ISNUMBER(MATCH($X1497,계정대체기준!$D$77:$D$86,0)),ISNUMBER(MATCH($F1497,계정대체기준!$D$77:$D$86,0))),"Y","N")))</f>
        <v/>
      </c>
    </row>
    <row r="1498">
      <c r="A1498" s="92" t="n">
        <v>2025</v>
      </c>
      <c r="B1498" s="92" t="n">
        <v>7</v>
      </c>
      <c r="C1498" s="92" t="inlineStr">
        <is>
          <t>5100001494</t>
        </is>
      </c>
      <c r="D1498" s="95" t="n">
        <v>45856</v>
      </c>
      <c r="E1498" s="92" t="inlineStr">
        <is>
          <t>KR</t>
        </is>
      </c>
      <c r="F1498" s="92" t="n">
        <v>62101000</v>
      </c>
      <c r="G1498" s="92" t="n">
        <v>1601</v>
      </c>
      <c r="H1498" s="93" t="n">
        <v>977000</v>
      </c>
      <c r="I1498" s="92" t="inlineStr">
        <is>
          <t>7월 국내출장 - M항공</t>
        </is>
      </c>
      <c r="J1498" s="92" t="inlineStr">
        <is>
          <t>V10001</t>
        </is>
      </c>
      <c r="K1498" s="92" t="inlineStr">
        <is>
          <t>M항공</t>
        </is>
      </c>
      <c r="M1498" s="9">
        <f>IF($A1498="","",VALUE($A1498&amp;"")*12+VALUE($B1498&amp;""))</f>
        <v/>
      </c>
      <c r="N1498" s="64">
        <f>IF($A1498="","",IFERROR(INDEX(부서매핑!$C$5:$C$504,MATCH($G1498&amp;"",부서매핑!$A$5:$A$504,0)),"미매핑"))</f>
        <v/>
      </c>
      <c r="O1498" s="9">
        <f>IF($A1498="","",N1498&amp;"|"&amp;$F1498)</f>
        <v/>
      </c>
      <c r="P1498" s="94">
        <f>IF($A1498="",0,$H1498*설정!$C$23)</f>
        <v/>
      </c>
      <c r="Q1498" s="64">
        <f>IF($A1498="","",IF(O1498&lt;&gt;원인분석!$C$9,"",IF(AND(M1498&gt;=원인분석!$C$10,M1498&lt;=원인분석!$C$11),"당기",IF(AND(M1498&gt;=원인분석!$C$12,M1498&lt;=원인분석!$C$13),"비교",""))))</f>
        <v/>
      </c>
      <c r="R1498" s="9">
        <f>IF(Q1498="","",$K1498&amp;"")</f>
        <v/>
      </c>
      <c r="S1498" s="9">
        <f>IF(Q1498="","",IF(MATCH(R1498,$R$5:$R$100000,0)=ROW()-4,ROW(),""))</f>
        <v/>
      </c>
      <c r="T1498" s="9">
        <f>IF(Q1498="당기",ABS(P1498)+ROW()/1000000000,"")</f>
        <v/>
      </c>
      <c r="U1498" s="9">
        <f>IF(Q1498="비교",ABS(P1498)+ROW()/1000000000,"")</f>
        <v/>
      </c>
      <c r="V1498" s="64">
        <f>IF($A1498="","",IF(COUNTIF(변동분석!$E$7:$E$506,O1498)&gt;0,"Y","N"))</f>
        <v/>
      </c>
      <c r="W1498" s="64">
        <f>IF($A1498="","",IFERROR(INDEX(계정매핑!$D$5:$D$504,MATCH($F1498&amp;"",계정매핑!$A$5:$A$504,0)),"미매핑"))</f>
        <v/>
      </c>
      <c r="X1498" s="9">
        <f>IF($A1498="","",$F1498&amp;"")</f>
        <v/>
      </c>
      <c r="Y1498" s="94">
        <f>IF($A1498="",0,IF(AE1498="직접",IF(AF1498="비귀속",$P1498,0),$P1498*(1-AG1498)*IFERROR(INDEX(계정대체기준!$F$20:$F$49,MATCH($N1498,계정대체기준!$A$20:$A$49,0)),1)))</f>
        <v/>
      </c>
      <c r="Z1498" s="94">
        <f>IF($A1498="",0,IF(AE1498="직접",IF(AF1498="신계약비",$P1498,0),$P1498*(1-AG1498)*IFERROR(INDEX(계정대체기준!$C$20:$C$49,MATCH($N1498,계정대체기준!$A$20:$A$49,0)),0)))</f>
        <v/>
      </c>
      <c r="AA1498" s="94">
        <f>IF($A1498="",0,IF(AE1498="직접",IF(OR(AF1498="유지비",AF1498="손해조사비"),$P1498,0),$P1498*(1-AG1498)*IFERROR(INDEX(계정대체기준!$D$20:$D$49,MATCH($N1498,계정대체기준!$A$20:$A$49,0)),0)))</f>
        <v/>
      </c>
      <c r="AB1498" s="94">
        <f>IF($A1498="",0,IF(AE1498="직접",IF(AF1498="수금비",$P1498,0),$P1498*(1-AG1498)*IFERROR(INDEX(계정대체기준!$E$20:$E$49,MATCH($N1498,계정대체기준!$A$20:$A$49,0)),0)))</f>
        <v/>
      </c>
      <c r="AC1498" s="9">
        <f>IF(AND($A1498&lt;&gt;"",M1498=설정!$C$20,Z1498&gt;0),Z1498+ROW()/1000000000,"")</f>
        <v/>
      </c>
      <c r="AD1498" s="94">
        <f>IF($A1498="",0,$P1498*AG1498)</f>
        <v/>
      </c>
      <c r="AE1498" s="64">
        <f>IF($A1498="","",IFERROR(INDEX(계정매핑!$E$5:$E$504,MATCH($F1498&amp;"",계정매핑!$A$5:$A$504,0))&amp;"","공통비"))</f>
        <v/>
      </c>
      <c r="AF1498" s="64">
        <f>IF($A1498="","",IF(AE1498="직접",IFERROR(INDEX(계정매핑!$F$5:$F$504,MATCH($F1498&amp;"",계정매핑!$A$5:$A$504,0))&amp;"","비귀속"),""))</f>
        <v/>
      </c>
      <c r="AG1498" s="96">
        <f>IF($A1498="",0,IF(AND(AE1498&lt;&gt;"직접",IFERROR(INDEX(계정매핑!$G$5:$G$504,MATCH($F1498&amp;"",계정매핑!$A$5:$A$504,0))&amp;"","")="유지비",COUNTIF(계정대체기준!$A$6:$A$15,$N1498)&gt;0),IFERROR(INDEX(계정대체기준!$E$6:$E$15,MATCH(VALUE($A1498&amp;""),계정대체기준!$D$6:$D$15,0)),0),0))</f>
        <v/>
      </c>
      <c r="AH1498" s="64">
        <f>IF($A1498="","",IF(AD1498=0,"",IF(OR(COUNTIF(계정대체기준!$A$77:$A$86,$N1498)&gt;0,ISNUMBER(MATCH($X1498,계정대체기준!$D$77:$D$86,0)),ISNUMBER(MATCH($F1498,계정대체기준!$D$77:$D$86,0))),"Y","N")))</f>
        <v/>
      </c>
    </row>
    <row r="1499">
      <c r="A1499" s="92" t="n">
        <v>2025</v>
      </c>
      <c r="B1499" s="92" t="n">
        <v>7</v>
      </c>
      <c r="C1499" s="92" t="inlineStr">
        <is>
          <t>5100001495</t>
        </is>
      </c>
      <c r="D1499" s="95" t="n">
        <v>45856</v>
      </c>
      <c r="E1499" s="92" t="inlineStr">
        <is>
          <t>KR</t>
        </is>
      </c>
      <c r="F1499" s="92" t="n">
        <v>62101000</v>
      </c>
      <c r="G1499" s="92" t="n">
        <v>1801</v>
      </c>
      <c r="H1499" s="93" t="n">
        <v>86000</v>
      </c>
      <c r="I1499" s="92" t="inlineStr">
        <is>
          <t>7월 국내출장 - M항공</t>
        </is>
      </c>
      <c r="J1499" s="92" t="inlineStr">
        <is>
          <t>V10001</t>
        </is>
      </c>
      <c r="K1499" s="92" t="inlineStr">
        <is>
          <t>M항공</t>
        </is>
      </c>
      <c r="M1499" s="9">
        <f>IF($A1499="","",VALUE($A1499&amp;"")*12+VALUE($B1499&amp;""))</f>
        <v/>
      </c>
      <c r="N1499" s="64">
        <f>IF($A1499="","",IFERROR(INDEX(부서매핑!$C$5:$C$504,MATCH($G1499&amp;"",부서매핑!$A$5:$A$504,0)),"미매핑"))</f>
        <v/>
      </c>
      <c r="O1499" s="9">
        <f>IF($A1499="","",N1499&amp;"|"&amp;$F1499)</f>
        <v/>
      </c>
      <c r="P1499" s="94">
        <f>IF($A1499="",0,$H1499*설정!$C$23)</f>
        <v/>
      </c>
      <c r="Q1499" s="64">
        <f>IF($A1499="","",IF(O1499&lt;&gt;원인분석!$C$9,"",IF(AND(M1499&gt;=원인분석!$C$10,M1499&lt;=원인분석!$C$11),"당기",IF(AND(M1499&gt;=원인분석!$C$12,M1499&lt;=원인분석!$C$13),"비교",""))))</f>
        <v/>
      </c>
      <c r="R1499" s="9">
        <f>IF(Q1499="","",$K1499&amp;"")</f>
        <v/>
      </c>
      <c r="S1499" s="9">
        <f>IF(Q1499="","",IF(MATCH(R1499,$R$5:$R$100000,0)=ROW()-4,ROW(),""))</f>
        <v/>
      </c>
      <c r="T1499" s="9">
        <f>IF(Q1499="당기",ABS(P1499)+ROW()/1000000000,"")</f>
        <v/>
      </c>
      <c r="U1499" s="9">
        <f>IF(Q1499="비교",ABS(P1499)+ROW()/1000000000,"")</f>
        <v/>
      </c>
      <c r="V1499" s="64">
        <f>IF($A1499="","",IF(COUNTIF(변동분석!$E$7:$E$506,O1499)&gt;0,"Y","N"))</f>
        <v/>
      </c>
      <c r="W1499" s="64">
        <f>IF($A1499="","",IFERROR(INDEX(계정매핑!$D$5:$D$504,MATCH($F1499&amp;"",계정매핑!$A$5:$A$504,0)),"미매핑"))</f>
        <v/>
      </c>
      <c r="X1499" s="9">
        <f>IF($A1499="","",$F1499&amp;"")</f>
        <v/>
      </c>
      <c r="Y1499" s="94">
        <f>IF($A1499="",0,IF(AE1499="직접",IF(AF1499="비귀속",$P1499,0),$P1499*(1-AG1499)*IFERROR(INDEX(계정대체기준!$F$20:$F$49,MATCH($N1499,계정대체기준!$A$20:$A$49,0)),1)))</f>
        <v/>
      </c>
      <c r="Z1499" s="94">
        <f>IF($A1499="",0,IF(AE1499="직접",IF(AF1499="신계약비",$P1499,0),$P1499*(1-AG1499)*IFERROR(INDEX(계정대체기준!$C$20:$C$49,MATCH($N1499,계정대체기준!$A$20:$A$49,0)),0)))</f>
        <v/>
      </c>
      <c r="AA1499" s="94">
        <f>IF($A1499="",0,IF(AE1499="직접",IF(OR(AF1499="유지비",AF1499="손해조사비"),$P1499,0),$P1499*(1-AG1499)*IFERROR(INDEX(계정대체기준!$D$20:$D$49,MATCH($N1499,계정대체기준!$A$20:$A$49,0)),0)))</f>
        <v/>
      </c>
      <c r="AB1499" s="94">
        <f>IF($A1499="",0,IF(AE1499="직접",IF(AF1499="수금비",$P1499,0),$P1499*(1-AG1499)*IFERROR(INDEX(계정대체기준!$E$20:$E$49,MATCH($N1499,계정대체기준!$A$20:$A$49,0)),0)))</f>
        <v/>
      </c>
      <c r="AC1499" s="9">
        <f>IF(AND($A1499&lt;&gt;"",M1499=설정!$C$20,Z1499&gt;0),Z1499+ROW()/1000000000,"")</f>
        <v/>
      </c>
      <c r="AD1499" s="94">
        <f>IF($A1499="",0,$P1499*AG1499)</f>
        <v/>
      </c>
      <c r="AE1499" s="64">
        <f>IF($A1499="","",IFERROR(INDEX(계정매핑!$E$5:$E$504,MATCH($F1499&amp;"",계정매핑!$A$5:$A$504,0))&amp;"","공통비"))</f>
        <v/>
      </c>
      <c r="AF1499" s="64">
        <f>IF($A1499="","",IF(AE1499="직접",IFERROR(INDEX(계정매핑!$F$5:$F$504,MATCH($F1499&amp;"",계정매핑!$A$5:$A$504,0))&amp;"","비귀속"),""))</f>
        <v/>
      </c>
      <c r="AG1499" s="96">
        <f>IF($A1499="",0,IF(AND(AE1499&lt;&gt;"직접",IFERROR(INDEX(계정매핑!$G$5:$G$504,MATCH($F1499&amp;"",계정매핑!$A$5:$A$504,0))&amp;"","")="유지비",COUNTIF(계정대체기준!$A$6:$A$15,$N1499)&gt;0),IFERROR(INDEX(계정대체기준!$E$6:$E$15,MATCH(VALUE($A1499&amp;""),계정대체기준!$D$6:$D$15,0)),0),0))</f>
        <v/>
      </c>
      <c r="AH1499" s="64">
        <f>IF($A1499="","",IF(AD1499=0,"",IF(OR(COUNTIF(계정대체기준!$A$77:$A$86,$N1499)&gt;0,ISNUMBER(MATCH($X1499,계정대체기준!$D$77:$D$86,0)),ISNUMBER(MATCH($F1499,계정대체기준!$D$77:$D$86,0))),"Y","N")))</f>
        <v/>
      </c>
    </row>
    <row r="1500">
      <c r="A1500" s="92" t="n">
        <v>2025</v>
      </c>
      <c r="B1500" s="92" t="n">
        <v>7</v>
      </c>
      <c r="C1500" s="92" t="inlineStr">
        <is>
          <t>5100001496</t>
        </is>
      </c>
      <c r="D1500" s="95" t="n">
        <v>45856</v>
      </c>
      <c r="E1500" s="92" t="inlineStr">
        <is>
          <t>KR</t>
        </is>
      </c>
      <c r="F1500" s="92" t="n">
        <v>62201000</v>
      </c>
      <c r="G1500" s="92" t="n">
        <v>1602</v>
      </c>
      <c r="H1500" s="93" t="n">
        <v>1074000</v>
      </c>
      <c r="I1500" s="92" t="inlineStr">
        <is>
          <t>7월 통신요금 - P통신</t>
        </is>
      </c>
      <c r="J1500" s="92" t="inlineStr">
        <is>
          <t>V10014</t>
        </is>
      </c>
      <c r="K1500" s="92" t="inlineStr">
        <is>
          <t>P통신</t>
        </is>
      </c>
      <c r="M1500" s="9">
        <f>IF($A1500="","",VALUE($A1500&amp;"")*12+VALUE($B1500&amp;""))</f>
        <v/>
      </c>
      <c r="N1500" s="64">
        <f>IF($A1500="","",IFERROR(INDEX(부서매핑!$C$5:$C$504,MATCH($G1500&amp;"",부서매핑!$A$5:$A$504,0)),"미매핑"))</f>
        <v/>
      </c>
      <c r="O1500" s="9">
        <f>IF($A1500="","",N1500&amp;"|"&amp;$F1500)</f>
        <v/>
      </c>
      <c r="P1500" s="94">
        <f>IF($A1500="",0,$H1500*설정!$C$23)</f>
        <v/>
      </c>
      <c r="Q1500" s="64">
        <f>IF($A1500="","",IF(O1500&lt;&gt;원인분석!$C$9,"",IF(AND(M1500&gt;=원인분석!$C$10,M1500&lt;=원인분석!$C$11),"당기",IF(AND(M1500&gt;=원인분석!$C$12,M1500&lt;=원인분석!$C$13),"비교",""))))</f>
        <v/>
      </c>
      <c r="R1500" s="9">
        <f>IF(Q1500="","",$K1500&amp;"")</f>
        <v/>
      </c>
      <c r="S1500" s="9">
        <f>IF(Q1500="","",IF(MATCH(R1500,$R$5:$R$100000,0)=ROW()-4,ROW(),""))</f>
        <v/>
      </c>
      <c r="T1500" s="9">
        <f>IF(Q1500="당기",ABS(P1500)+ROW()/1000000000,"")</f>
        <v/>
      </c>
      <c r="U1500" s="9">
        <f>IF(Q1500="비교",ABS(P1500)+ROW()/1000000000,"")</f>
        <v/>
      </c>
      <c r="V1500" s="64">
        <f>IF($A1500="","",IF(COUNTIF(변동분석!$E$7:$E$506,O1500)&gt;0,"Y","N"))</f>
        <v/>
      </c>
      <c r="W1500" s="64">
        <f>IF($A1500="","",IFERROR(INDEX(계정매핑!$D$5:$D$504,MATCH($F1500&amp;"",계정매핑!$A$5:$A$504,0)),"미매핑"))</f>
        <v/>
      </c>
      <c r="X1500" s="9">
        <f>IF($A1500="","",$F1500&amp;"")</f>
        <v/>
      </c>
      <c r="Y1500" s="94">
        <f>IF($A1500="",0,IF(AE1500="직접",IF(AF1500="비귀속",$P1500,0),$P1500*(1-AG1500)*IFERROR(INDEX(계정대체기준!$F$20:$F$49,MATCH($N1500,계정대체기준!$A$20:$A$49,0)),1)))</f>
        <v/>
      </c>
      <c r="Z1500" s="94">
        <f>IF($A1500="",0,IF(AE1500="직접",IF(AF1500="신계약비",$P1500,0),$P1500*(1-AG1500)*IFERROR(INDEX(계정대체기준!$C$20:$C$49,MATCH($N1500,계정대체기준!$A$20:$A$49,0)),0)))</f>
        <v/>
      </c>
      <c r="AA1500" s="94">
        <f>IF($A1500="",0,IF(AE1500="직접",IF(OR(AF1500="유지비",AF1500="손해조사비"),$P1500,0),$P1500*(1-AG1500)*IFERROR(INDEX(계정대체기준!$D$20:$D$49,MATCH($N1500,계정대체기준!$A$20:$A$49,0)),0)))</f>
        <v/>
      </c>
      <c r="AB1500" s="94">
        <f>IF($A1500="",0,IF(AE1500="직접",IF(AF1500="수금비",$P1500,0),$P1500*(1-AG1500)*IFERROR(INDEX(계정대체기준!$E$20:$E$49,MATCH($N1500,계정대체기준!$A$20:$A$49,0)),0)))</f>
        <v/>
      </c>
      <c r="AC1500" s="9">
        <f>IF(AND($A1500&lt;&gt;"",M1500=설정!$C$20,Z1500&gt;0),Z1500+ROW()/1000000000,"")</f>
        <v/>
      </c>
      <c r="AD1500" s="94">
        <f>IF($A1500="",0,$P1500*AG1500)</f>
        <v/>
      </c>
      <c r="AE1500" s="64">
        <f>IF($A1500="","",IFERROR(INDEX(계정매핑!$E$5:$E$504,MATCH($F1500&amp;"",계정매핑!$A$5:$A$504,0))&amp;"","공통비"))</f>
        <v/>
      </c>
      <c r="AF1500" s="64">
        <f>IF($A1500="","",IF(AE1500="직접",IFERROR(INDEX(계정매핑!$F$5:$F$504,MATCH($F1500&amp;"",계정매핑!$A$5:$A$504,0))&amp;"","비귀속"),""))</f>
        <v/>
      </c>
      <c r="AG1500" s="96">
        <f>IF($A1500="",0,IF(AND(AE1500&lt;&gt;"직접",IFERROR(INDEX(계정매핑!$G$5:$G$504,MATCH($F1500&amp;"",계정매핑!$A$5:$A$504,0))&amp;"","")="유지비",COUNTIF(계정대체기준!$A$6:$A$15,$N1500)&gt;0),IFERROR(INDEX(계정대체기준!$E$6:$E$15,MATCH(VALUE($A1500&amp;""),계정대체기준!$D$6:$D$15,0)),0),0))</f>
        <v/>
      </c>
      <c r="AH1500" s="64">
        <f>IF($A1500="","",IF(AD1500=0,"",IF(OR(COUNTIF(계정대체기준!$A$77:$A$86,$N1500)&gt;0,ISNUMBER(MATCH($X1500,계정대체기준!$D$77:$D$86,0)),ISNUMBER(MATCH($F1500,계정대체기준!$D$77:$D$86,0))),"Y","N")))</f>
        <v/>
      </c>
    </row>
    <row r="1501">
      <c r="A1501" s="92" t="n">
        <v>2025</v>
      </c>
      <c r="B1501" s="92" t="n">
        <v>7</v>
      </c>
      <c r="C1501" s="92" t="inlineStr">
        <is>
          <t>5100001497</t>
        </is>
      </c>
      <c r="D1501" s="95" t="n">
        <v>45856</v>
      </c>
      <c r="E1501" s="92" t="inlineStr">
        <is>
          <t>KR</t>
        </is>
      </c>
      <c r="F1501" s="92" t="n">
        <v>62501000</v>
      </c>
      <c r="G1501" s="92" t="n">
        <v>1101</v>
      </c>
      <c r="H1501" s="93" t="n">
        <v>235000</v>
      </c>
      <c r="I1501" s="92" t="inlineStr">
        <is>
          <t>7월 회의 다과 - (법인카드)</t>
        </is>
      </c>
      <c r="J1501" s="92" t="inlineStr">
        <is>
          <t>V10010</t>
        </is>
      </c>
      <c r="K1501" s="92" t="inlineStr">
        <is>
          <t>(법인카드)</t>
        </is>
      </c>
      <c r="M1501" s="9">
        <f>IF($A1501="","",VALUE($A1501&amp;"")*12+VALUE($B1501&amp;""))</f>
        <v/>
      </c>
      <c r="N1501" s="64">
        <f>IF($A1501="","",IFERROR(INDEX(부서매핑!$C$5:$C$504,MATCH($G1501&amp;"",부서매핑!$A$5:$A$504,0)),"미매핑"))</f>
        <v/>
      </c>
      <c r="O1501" s="9">
        <f>IF($A1501="","",N1501&amp;"|"&amp;$F1501)</f>
        <v/>
      </c>
      <c r="P1501" s="94">
        <f>IF($A1501="",0,$H1501*설정!$C$23)</f>
        <v/>
      </c>
      <c r="Q1501" s="64">
        <f>IF($A1501="","",IF(O1501&lt;&gt;원인분석!$C$9,"",IF(AND(M1501&gt;=원인분석!$C$10,M1501&lt;=원인분석!$C$11),"당기",IF(AND(M1501&gt;=원인분석!$C$12,M1501&lt;=원인분석!$C$13),"비교",""))))</f>
        <v/>
      </c>
      <c r="R1501" s="9">
        <f>IF(Q1501="","",$K1501&amp;"")</f>
        <v/>
      </c>
      <c r="S1501" s="9">
        <f>IF(Q1501="","",IF(MATCH(R1501,$R$5:$R$100000,0)=ROW()-4,ROW(),""))</f>
        <v/>
      </c>
      <c r="T1501" s="9">
        <f>IF(Q1501="당기",ABS(P1501)+ROW()/1000000000,"")</f>
        <v/>
      </c>
      <c r="U1501" s="9">
        <f>IF(Q1501="비교",ABS(P1501)+ROW()/1000000000,"")</f>
        <v/>
      </c>
      <c r="V1501" s="64">
        <f>IF($A1501="","",IF(COUNTIF(변동분석!$E$7:$E$506,O1501)&gt;0,"Y","N"))</f>
        <v/>
      </c>
      <c r="W1501" s="64">
        <f>IF($A1501="","",IFERROR(INDEX(계정매핑!$D$5:$D$504,MATCH($F1501&amp;"",계정매핑!$A$5:$A$504,0)),"미매핑"))</f>
        <v/>
      </c>
      <c r="X1501" s="9">
        <f>IF($A1501="","",$F1501&amp;"")</f>
        <v/>
      </c>
      <c r="Y1501" s="94">
        <f>IF($A1501="",0,IF(AE1501="직접",IF(AF1501="비귀속",$P1501,0),$P1501*(1-AG1501)*IFERROR(INDEX(계정대체기준!$F$20:$F$49,MATCH($N1501,계정대체기준!$A$20:$A$49,0)),1)))</f>
        <v/>
      </c>
      <c r="Z1501" s="94">
        <f>IF($A1501="",0,IF(AE1501="직접",IF(AF1501="신계약비",$P1501,0),$P1501*(1-AG1501)*IFERROR(INDEX(계정대체기준!$C$20:$C$49,MATCH($N1501,계정대체기준!$A$20:$A$49,0)),0)))</f>
        <v/>
      </c>
      <c r="AA1501" s="94">
        <f>IF($A1501="",0,IF(AE1501="직접",IF(OR(AF1501="유지비",AF1501="손해조사비"),$P1501,0),$P1501*(1-AG1501)*IFERROR(INDEX(계정대체기준!$D$20:$D$49,MATCH($N1501,계정대체기준!$A$20:$A$49,0)),0)))</f>
        <v/>
      </c>
      <c r="AB1501" s="94">
        <f>IF($A1501="",0,IF(AE1501="직접",IF(AF1501="수금비",$P1501,0),$P1501*(1-AG1501)*IFERROR(INDEX(계정대체기준!$E$20:$E$49,MATCH($N1501,계정대체기준!$A$20:$A$49,0)),0)))</f>
        <v/>
      </c>
      <c r="AC1501" s="9">
        <f>IF(AND($A1501&lt;&gt;"",M1501=설정!$C$20,Z1501&gt;0),Z1501+ROW()/1000000000,"")</f>
        <v/>
      </c>
      <c r="AD1501" s="94">
        <f>IF($A1501="",0,$P1501*AG1501)</f>
        <v/>
      </c>
      <c r="AE1501" s="64">
        <f>IF($A1501="","",IFERROR(INDEX(계정매핑!$E$5:$E$504,MATCH($F1501&amp;"",계정매핑!$A$5:$A$504,0))&amp;"","공통비"))</f>
        <v/>
      </c>
      <c r="AF1501" s="64">
        <f>IF($A1501="","",IF(AE1501="직접",IFERROR(INDEX(계정매핑!$F$5:$F$504,MATCH($F1501&amp;"",계정매핑!$A$5:$A$504,0))&amp;"","비귀속"),""))</f>
        <v/>
      </c>
      <c r="AG1501" s="96">
        <f>IF($A1501="",0,IF(AND(AE1501&lt;&gt;"직접",IFERROR(INDEX(계정매핑!$G$5:$G$504,MATCH($F1501&amp;"",계정매핑!$A$5:$A$504,0))&amp;"","")="유지비",COUNTIF(계정대체기준!$A$6:$A$15,$N1501)&gt;0),IFERROR(INDEX(계정대체기준!$E$6:$E$15,MATCH(VALUE($A1501&amp;""),계정대체기준!$D$6:$D$15,0)),0),0))</f>
        <v/>
      </c>
      <c r="AH1501" s="64">
        <f>IF($A1501="","",IF(AD1501=0,"",IF(OR(COUNTIF(계정대체기준!$A$77:$A$86,$N1501)&gt;0,ISNUMBER(MATCH($X1501,계정대체기준!$D$77:$D$86,0)),ISNUMBER(MATCH($F1501,계정대체기준!$D$77:$D$86,0))),"Y","N")))</f>
        <v/>
      </c>
    </row>
    <row r="1502">
      <c r="A1502" s="92" t="n">
        <v>2025</v>
      </c>
      <c r="B1502" s="92" t="n">
        <v>7</v>
      </c>
      <c r="C1502" s="92" t="inlineStr">
        <is>
          <t>5100001498</t>
        </is>
      </c>
      <c r="D1502" s="95" t="n">
        <v>45856</v>
      </c>
      <c r="E1502" s="92" t="inlineStr">
        <is>
          <t>KR</t>
        </is>
      </c>
      <c r="F1502" s="92" t="n">
        <v>62501000</v>
      </c>
      <c r="G1502" s="92" t="n">
        <v>1401</v>
      </c>
      <c r="H1502" s="93" t="n">
        <v>129000</v>
      </c>
      <c r="I1502" s="92" t="inlineStr">
        <is>
          <t>7월 회의 다과 - T케이터링</t>
        </is>
      </c>
      <c r="J1502" s="92" t="inlineStr">
        <is>
          <t>V10005</t>
        </is>
      </c>
      <c r="K1502" s="92" t="inlineStr">
        <is>
          <t>T케이터링</t>
        </is>
      </c>
      <c r="M1502" s="9">
        <f>IF($A1502="","",VALUE($A1502&amp;"")*12+VALUE($B1502&amp;""))</f>
        <v/>
      </c>
      <c r="N1502" s="64">
        <f>IF($A1502="","",IFERROR(INDEX(부서매핑!$C$5:$C$504,MATCH($G1502&amp;"",부서매핑!$A$5:$A$504,0)),"미매핑"))</f>
        <v/>
      </c>
      <c r="O1502" s="9">
        <f>IF($A1502="","",N1502&amp;"|"&amp;$F1502)</f>
        <v/>
      </c>
      <c r="P1502" s="94">
        <f>IF($A1502="",0,$H1502*설정!$C$23)</f>
        <v/>
      </c>
      <c r="Q1502" s="64">
        <f>IF($A1502="","",IF(O1502&lt;&gt;원인분석!$C$9,"",IF(AND(M1502&gt;=원인분석!$C$10,M1502&lt;=원인분석!$C$11),"당기",IF(AND(M1502&gt;=원인분석!$C$12,M1502&lt;=원인분석!$C$13),"비교",""))))</f>
        <v/>
      </c>
      <c r="R1502" s="9">
        <f>IF(Q1502="","",$K1502&amp;"")</f>
        <v/>
      </c>
      <c r="S1502" s="9">
        <f>IF(Q1502="","",IF(MATCH(R1502,$R$5:$R$100000,0)=ROW()-4,ROW(),""))</f>
        <v/>
      </c>
      <c r="T1502" s="9">
        <f>IF(Q1502="당기",ABS(P1502)+ROW()/1000000000,"")</f>
        <v/>
      </c>
      <c r="U1502" s="9">
        <f>IF(Q1502="비교",ABS(P1502)+ROW()/1000000000,"")</f>
        <v/>
      </c>
      <c r="V1502" s="64">
        <f>IF($A1502="","",IF(COUNTIF(변동분석!$E$7:$E$506,O1502)&gt;0,"Y","N"))</f>
        <v/>
      </c>
      <c r="W1502" s="64">
        <f>IF($A1502="","",IFERROR(INDEX(계정매핑!$D$5:$D$504,MATCH($F1502&amp;"",계정매핑!$A$5:$A$504,0)),"미매핑"))</f>
        <v/>
      </c>
      <c r="X1502" s="9">
        <f>IF($A1502="","",$F1502&amp;"")</f>
        <v/>
      </c>
      <c r="Y1502" s="94">
        <f>IF($A1502="",0,IF(AE1502="직접",IF(AF1502="비귀속",$P1502,0),$P1502*(1-AG1502)*IFERROR(INDEX(계정대체기준!$F$20:$F$49,MATCH($N1502,계정대체기준!$A$20:$A$49,0)),1)))</f>
        <v/>
      </c>
      <c r="Z1502" s="94">
        <f>IF($A1502="",0,IF(AE1502="직접",IF(AF1502="신계약비",$P1502,0),$P1502*(1-AG1502)*IFERROR(INDEX(계정대체기준!$C$20:$C$49,MATCH($N1502,계정대체기준!$A$20:$A$49,0)),0)))</f>
        <v/>
      </c>
      <c r="AA1502" s="94">
        <f>IF($A1502="",0,IF(AE1502="직접",IF(OR(AF1502="유지비",AF1502="손해조사비"),$P1502,0),$P1502*(1-AG1502)*IFERROR(INDEX(계정대체기준!$D$20:$D$49,MATCH($N1502,계정대체기준!$A$20:$A$49,0)),0)))</f>
        <v/>
      </c>
      <c r="AB1502" s="94">
        <f>IF($A1502="",0,IF(AE1502="직접",IF(AF1502="수금비",$P1502,0),$P1502*(1-AG1502)*IFERROR(INDEX(계정대체기준!$E$20:$E$49,MATCH($N1502,계정대체기준!$A$20:$A$49,0)),0)))</f>
        <v/>
      </c>
      <c r="AC1502" s="9">
        <f>IF(AND($A1502&lt;&gt;"",M1502=설정!$C$20,Z1502&gt;0),Z1502+ROW()/1000000000,"")</f>
        <v/>
      </c>
      <c r="AD1502" s="94">
        <f>IF($A1502="",0,$P1502*AG1502)</f>
        <v/>
      </c>
      <c r="AE1502" s="64">
        <f>IF($A1502="","",IFERROR(INDEX(계정매핑!$E$5:$E$504,MATCH($F1502&amp;"",계정매핑!$A$5:$A$504,0))&amp;"","공통비"))</f>
        <v/>
      </c>
      <c r="AF1502" s="64">
        <f>IF($A1502="","",IF(AE1502="직접",IFERROR(INDEX(계정매핑!$F$5:$F$504,MATCH($F1502&amp;"",계정매핑!$A$5:$A$504,0))&amp;"","비귀속"),""))</f>
        <v/>
      </c>
      <c r="AG1502" s="96">
        <f>IF($A1502="",0,IF(AND(AE1502&lt;&gt;"직접",IFERROR(INDEX(계정매핑!$G$5:$G$504,MATCH($F1502&amp;"",계정매핑!$A$5:$A$504,0))&amp;"","")="유지비",COUNTIF(계정대체기준!$A$6:$A$15,$N1502)&gt;0),IFERROR(INDEX(계정대체기준!$E$6:$E$15,MATCH(VALUE($A1502&amp;""),계정대체기준!$D$6:$D$15,0)),0),0))</f>
        <v/>
      </c>
      <c r="AH1502" s="64">
        <f>IF($A1502="","",IF(AD1502=0,"",IF(OR(COUNTIF(계정대체기준!$A$77:$A$86,$N1502)&gt;0,ISNUMBER(MATCH($X1502,계정대체기준!$D$77:$D$86,0)),ISNUMBER(MATCH($F1502,계정대체기준!$D$77:$D$86,0))),"Y","N")))</f>
        <v/>
      </c>
    </row>
    <row r="1503">
      <c r="A1503" s="92" t="n">
        <v>2025</v>
      </c>
      <c r="B1503" s="92" t="n">
        <v>7</v>
      </c>
      <c r="C1503" s="92" t="inlineStr">
        <is>
          <t>5100001499</t>
        </is>
      </c>
      <c r="D1503" s="95" t="n">
        <v>45856</v>
      </c>
      <c r="E1503" s="92" t="inlineStr">
        <is>
          <t>KR</t>
        </is>
      </c>
      <c r="F1503" s="92" t="n">
        <v>62501000</v>
      </c>
      <c r="G1503" s="92" t="n">
        <v>1701</v>
      </c>
      <c r="H1503" s="93" t="n">
        <v>254000</v>
      </c>
      <c r="I1503" s="92" t="inlineStr">
        <is>
          <t>7월 회의 다과 - T케이터링</t>
        </is>
      </c>
      <c r="J1503" s="92" t="inlineStr">
        <is>
          <t>V10005</t>
        </is>
      </c>
      <c r="K1503" s="92" t="inlineStr">
        <is>
          <t>T케이터링</t>
        </is>
      </c>
      <c r="M1503" s="9">
        <f>IF($A1503="","",VALUE($A1503&amp;"")*12+VALUE($B1503&amp;""))</f>
        <v/>
      </c>
      <c r="N1503" s="64">
        <f>IF($A1503="","",IFERROR(INDEX(부서매핑!$C$5:$C$504,MATCH($G1503&amp;"",부서매핑!$A$5:$A$504,0)),"미매핑"))</f>
        <v/>
      </c>
      <c r="O1503" s="9">
        <f>IF($A1503="","",N1503&amp;"|"&amp;$F1503)</f>
        <v/>
      </c>
      <c r="P1503" s="94">
        <f>IF($A1503="",0,$H1503*설정!$C$23)</f>
        <v/>
      </c>
      <c r="Q1503" s="64">
        <f>IF($A1503="","",IF(O1503&lt;&gt;원인분석!$C$9,"",IF(AND(M1503&gt;=원인분석!$C$10,M1503&lt;=원인분석!$C$11),"당기",IF(AND(M1503&gt;=원인분석!$C$12,M1503&lt;=원인분석!$C$13),"비교",""))))</f>
        <v/>
      </c>
      <c r="R1503" s="9">
        <f>IF(Q1503="","",$K1503&amp;"")</f>
        <v/>
      </c>
      <c r="S1503" s="9">
        <f>IF(Q1503="","",IF(MATCH(R1503,$R$5:$R$100000,0)=ROW()-4,ROW(),""))</f>
        <v/>
      </c>
      <c r="T1503" s="9">
        <f>IF(Q1503="당기",ABS(P1503)+ROW()/1000000000,"")</f>
        <v/>
      </c>
      <c r="U1503" s="9">
        <f>IF(Q1503="비교",ABS(P1503)+ROW()/1000000000,"")</f>
        <v/>
      </c>
      <c r="V1503" s="64">
        <f>IF($A1503="","",IF(COUNTIF(변동분석!$E$7:$E$506,O1503)&gt;0,"Y","N"))</f>
        <v/>
      </c>
      <c r="W1503" s="64">
        <f>IF($A1503="","",IFERROR(INDEX(계정매핑!$D$5:$D$504,MATCH($F1503&amp;"",계정매핑!$A$5:$A$504,0)),"미매핑"))</f>
        <v/>
      </c>
      <c r="X1503" s="9">
        <f>IF($A1503="","",$F1503&amp;"")</f>
        <v/>
      </c>
      <c r="Y1503" s="94">
        <f>IF($A1503="",0,IF(AE1503="직접",IF(AF1503="비귀속",$P1503,0),$P1503*(1-AG1503)*IFERROR(INDEX(계정대체기준!$F$20:$F$49,MATCH($N1503,계정대체기준!$A$20:$A$49,0)),1)))</f>
        <v/>
      </c>
      <c r="Z1503" s="94">
        <f>IF($A1503="",0,IF(AE1503="직접",IF(AF1503="신계약비",$P1503,0),$P1503*(1-AG1503)*IFERROR(INDEX(계정대체기준!$C$20:$C$49,MATCH($N1503,계정대체기준!$A$20:$A$49,0)),0)))</f>
        <v/>
      </c>
      <c r="AA1503" s="94">
        <f>IF($A1503="",0,IF(AE1503="직접",IF(OR(AF1503="유지비",AF1503="손해조사비"),$P1503,0),$P1503*(1-AG1503)*IFERROR(INDEX(계정대체기준!$D$20:$D$49,MATCH($N1503,계정대체기준!$A$20:$A$49,0)),0)))</f>
        <v/>
      </c>
      <c r="AB1503" s="94">
        <f>IF($A1503="",0,IF(AE1503="직접",IF(AF1503="수금비",$P1503,0),$P1503*(1-AG1503)*IFERROR(INDEX(계정대체기준!$E$20:$E$49,MATCH($N1503,계정대체기준!$A$20:$A$49,0)),0)))</f>
        <v/>
      </c>
      <c r="AC1503" s="9">
        <f>IF(AND($A1503&lt;&gt;"",M1503=설정!$C$20,Z1503&gt;0),Z1503+ROW()/1000000000,"")</f>
        <v/>
      </c>
      <c r="AD1503" s="94">
        <f>IF($A1503="",0,$P1503*AG1503)</f>
        <v/>
      </c>
      <c r="AE1503" s="64">
        <f>IF($A1503="","",IFERROR(INDEX(계정매핑!$E$5:$E$504,MATCH($F1503&amp;"",계정매핑!$A$5:$A$504,0))&amp;"","공통비"))</f>
        <v/>
      </c>
      <c r="AF1503" s="64">
        <f>IF($A1503="","",IF(AE1503="직접",IFERROR(INDEX(계정매핑!$F$5:$F$504,MATCH($F1503&amp;"",계정매핑!$A$5:$A$504,0))&amp;"","비귀속"),""))</f>
        <v/>
      </c>
      <c r="AG1503" s="96">
        <f>IF($A1503="",0,IF(AND(AE1503&lt;&gt;"직접",IFERROR(INDEX(계정매핑!$G$5:$G$504,MATCH($F1503&amp;"",계정매핑!$A$5:$A$504,0))&amp;"","")="유지비",COUNTIF(계정대체기준!$A$6:$A$15,$N1503)&gt;0),IFERROR(INDEX(계정대체기준!$E$6:$E$15,MATCH(VALUE($A1503&amp;""),계정대체기준!$D$6:$D$15,0)),0),0))</f>
        <v/>
      </c>
      <c r="AH1503" s="64">
        <f>IF($A1503="","",IF(AD1503=0,"",IF(OR(COUNTIF(계정대체기준!$A$77:$A$86,$N1503)&gt;0,ISNUMBER(MATCH($X1503,계정대체기준!$D$77:$D$86,0)),ISNUMBER(MATCH($F1503,계정대체기준!$D$77:$D$86,0))),"Y","N")))</f>
        <v/>
      </c>
    </row>
    <row r="1504">
      <c r="A1504" s="92" t="n">
        <v>2025</v>
      </c>
      <c r="B1504" s="92" t="n">
        <v>7</v>
      </c>
      <c r="C1504" s="92" t="inlineStr">
        <is>
          <t>5100001500</t>
        </is>
      </c>
      <c r="D1504" s="95" t="n">
        <v>45856</v>
      </c>
      <c r="E1504" s="92" t="inlineStr">
        <is>
          <t>KR</t>
        </is>
      </c>
      <c r="F1504" s="92" t="n">
        <v>62901000</v>
      </c>
      <c r="G1504" s="92" t="n">
        <v>1401</v>
      </c>
      <c r="H1504" s="93" t="n">
        <v>8386000</v>
      </c>
      <c r="I1504" s="92" t="inlineStr">
        <is>
          <t>7월 자문 수수료 - W컨설팅</t>
        </is>
      </c>
      <c r="J1504" s="92" t="inlineStr">
        <is>
          <t>V10006</t>
        </is>
      </c>
      <c r="K1504" s="92" t="inlineStr">
        <is>
          <t>W컨설팅</t>
        </is>
      </c>
      <c r="M1504" s="9">
        <f>IF($A1504="","",VALUE($A1504&amp;"")*12+VALUE($B1504&amp;""))</f>
        <v/>
      </c>
      <c r="N1504" s="64">
        <f>IF($A1504="","",IFERROR(INDEX(부서매핑!$C$5:$C$504,MATCH($G1504&amp;"",부서매핑!$A$5:$A$504,0)),"미매핑"))</f>
        <v/>
      </c>
      <c r="O1504" s="9">
        <f>IF($A1504="","",N1504&amp;"|"&amp;$F1504)</f>
        <v/>
      </c>
      <c r="P1504" s="94">
        <f>IF($A1504="",0,$H1504*설정!$C$23)</f>
        <v/>
      </c>
      <c r="Q1504" s="64">
        <f>IF($A1504="","",IF(O1504&lt;&gt;원인분석!$C$9,"",IF(AND(M1504&gt;=원인분석!$C$10,M1504&lt;=원인분석!$C$11),"당기",IF(AND(M1504&gt;=원인분석!$C$12,M1504&lt;=원인분석!$C$13),"비교",""))))</f>
        <v/>
      </c>
      <c r="R1504" s="9">
        <f>IF(Q1504="","",$K1504&amp;"")</f>
        <v/>
      </c>
      <c r="S1504" s="9">
        <f>IF(Q1504="","",IF(MATCH(R1504,$R$5:$R$100000,0)=ROW()-4,ROW(),""))</f>
        <v/>
      </c>
      <c r="T1504" s="9">
        <f>IF(Q1504="당기",ABS(P1504)+ROW()/1000000000,"")</f>
        <v/>
      </c>
      <c r="U1504" s="9">
        <f>IF(Q1504="비교",ABS(P1504)+ROW()/1000000000,"")</f>
        <v/>
      </c>
      <c r="V1504" s="64">
        <f>IF($A1504="","",IF(COUNTIF(변동분석!$E$7:$E$506,O1504)&gt;0,"Y","N"))</f>
        <v/>
      </c>
      <c r="W1504" s="64">
        <f>IF($A1504="","",IFERROR(INDEX(계정매핑!$D$5:$D$504,MATCH($F1504&amp;"",계정매핑!$A$5:$A$504,0)),"미매핑"))</f>
        <v/>
      </c>
      <c r="X1504" s="9">
        <f>IF($A1504="","",$F1504&amp;"")</f>
        <v/>
      </c>
      <c r="Y1504" s="94">
        <f>IF($A1504="",0,IF(AE1504="직접",IF(AF1504="비귀속",$P1504,0),$P1504*(1-AG1504)*IFERROR(INDEX(계정대체기준!$F$20:$F$49,MATCH($N1504,계정대체기준!$A$20:$A$49,0)),1)))</f>
        <v/>
      </c>
      <c r="Z1504" s="94">
        <f>IF($A1504="",0,IF(AE1504="직접",IF(AF1504="신계약비",$P1504,0),$P1504*(1-AG1504)*IFERROR(INDEX(계정대체기준!$C$20:$C$49,MATCH($N1504,계정대체기준!$A$20:$A$49,0)),0)))</f>
        <v/>
      </c>
      <c r="AA1504" s="94">
        <f>IF($A1504="",0,IF(AE1504="직접",IF(OR(AF1504="유지비",AF1504="손해조사비"),$P1504,0),$P1504*(1-AG1504)*IFERROR(INDEX(계정대체기준!$D$20:$D$49,MATCH($N1504,계정대체기준!$A$20:$A$49,0)),0)))</f>
        <v/>
      </c>
      <c r="AB1504" s="94">
        <f>IF($A1504="",0,IF(AE1504="직접",IF(AF1504="수금비",$P1504,0),$P1504*(1-AG1504)*IFERROR(INDEX(계정대체기준!$E$20:$E$49,MATCH($N1504,계정대체기준!$A$20:$A$49,0)),0)))</f>
        <v/>
      </c>
      <c r="AC1504" s="9">
        <f>IF(AND($A1504&lt;&gt;"",M1504=설정!$C$20,Z1504&gt;0),Z1504+ROW()/1000000000,"")</f>
        <v/>
      </c>
      <c r="AD1504" s="94">
        <f>IF($A1504="",0,$P1504*AG1504)</f>
        <v/>
      </c>
      <c r="AE1504" s="64">
        <f>IF($A1504="","",IFERROR(INDEX(계정매핑!$E$5:$E$504,MATCH($F1504&amp;"",계정매핑!$A$5:$A$504,0))&amp;"","공통비"))</f>
        <v/>
      </c>
      <c r="AF1504" s="64">
        <f>IF($A1504="","",IF(AE1504="직접",IFERROR(INDEX(계정매핑!$F$5:$F$504,MATCH($F1504&amp;"",계정매핑!$A$5:$A$504,0))&amp;"","비귀속"),""))</f>
        <v/>
      </c>
      <c r="AG1504" s="96">
        <f>IF($A1504="",0,IF(AND(AE1504&lt;&gt;"직접",IFERROR(INDEX(계정매핑!$G$5:$G$504,MATCH($F1504&amp;"",계정매핑!$A$5:$A$504,0))&amp;"","")="유지비",COUNTIF(계정대체기준!$A$6:$A$15,$N1504)&gt;0),IFERROR(INDEX(계정대체기준!$E$6:$E$15,MATCH(VALUE($A1504&amp;""),계정대체기준!$D$6:$D$15,0)),0),0))</f>
        <v/>
      </c>
      <c r="AH1504" s="64">
        <f>IF($A1504="","",IF(AD1504=0,"",IF(OR(COUNTIF(계정대체기준!$A$77:$A$86,$N1504)&gt;0,ISNUMBER(MATCH($X1504,계정대체기준!$D$77:$D$86,0)),ISNUMBER(MATCH($F1504,계정대체기준!$D$77:$D$86,0))),"Y","N")))</f>
        <v/>
      </c>
    </row>
    <row r="1505">
      <c r="A1505" s="92" t="n">
        <v>2025</v>
      </c>
      <c r="B1505" s="92" t="n">
        <v>7</v>
      </c>
      <c r="C1505" s="92" t="inlineStr">
        <is>
          <t>5100001501</t>
        </is>
      </c>
      <c r="D1505" s="95" t="n">
        <v>45856</v>
      </c>
      <c r="E1505" s="92" t="inlineStr">
        <is>
          <t>KR</t>
        </is>
      </c>
      <c r="F1505" s="92" t="n">
        <v>62901000</v>
      </c>
      <c r="G1505" s="92" t="n">
        <v>1801</v>
      </c>
      <c r="H1505" s="93" t="n">
        <v>9027000</v>
      </c>
      <c r="I1505" s="92" t="inlineStr">
        <is>
          <t>7월 자문 수수료 - W컨설팅</t>
        </is>
      </c>
      <c r="J1505" s="92" t="inlineStr">
        <is>
          <t>V10006</t>
        </is>
      </c>
      <c r="K1505" s="92" t="inlineStr">
        <is>
          <t>W컨설팅</t>
        </is>
      </c>
      <c r="M1505" s="9">
        <f>IF($A1505="","",VALUE($A1505&amp;"")*12+VALUE($B1505&amp;""))</f>
        <v/>
      </c>
      <c r="N1505" s="64">
        <f>IF($A1505="","",IFERROR(INDEX(부서매핑!$C$5:$C$504,MATCH($G1505&amp;"",부서매핑!$A$5:$A$504,0)),"미매핑"))</f>
        <v/>
      </c>
      <c r="O1505" s="9">
        <f>IF($A1505="","",N1505&amp;"|"&amp;$F1505)</f>
        <v/>
      </c>
      <c r="P1505" s="94">
        <f>IF($A1505="",0,$H1505*설정!$C$23)</f>
        <v/>
      </c>
      <c r="Q1505" s="64">
        <f>IF($A1505="","",IF(O1505&lt;&gt;원인분석!$C$9,"",IF(AND(M1505&gt;=원인분석!$C$10,M1505&lt;=원인분석!$C$11),"당기",IF(AND(M1505&gt;=원인분석!$C$12,M1505&lt;=원인분석!$C$13),"비교",""))))</f>
        <v/>
      </c>
      <c r="R1505" s="9">
        <f>IF(Q1505="","",$K1505&amp;"")</f>
        <v/>
      </c>
      <c r="S1505" s="9">
        <f>IF(Q1505="","",IF(MATCH(R1505,$R$5:$R$100000,0)=ROW()-4,ROW(),""))</f>
        <v/>
      </c>
      <c r="T1505" s="9">
        <f>IF(Q1505="당기",ABS(P1505)+ROW()/1000000000,"")</f>
        <v/>
      </c>
      <c r="U1505" s="9">
        <f>IF(Q1505="비교",ABS(P1505)+ROW()/1000000000,"")</f>
        <v/>
      </c>
      <c r="V1505" s="64">
        <f>IF($A1505="","",IF(COUNTIF(변동분석!$E$7:$E$506,O1505)&gt;0,"Y","N"))</f>
        <v/>
      </c>
      <c r="W1505" s="64">
        <f>IF($A1505="","",IFERROR(INDEX(계정매핑!$D$5:$D$504,MATCH($F1505&amp;"",계정매핑!$A$5:$A$504,0)),"미매핑"))</f>
        <v/>
      </c>
      <c r="X1505" s="9">
        <f>IF($A1505="","",$F1505&amp;"")</f>
        <v/>
      </c>
      <c r="Y1505" s="94">
        <f>IF($A1505="",0,IF(AE1505="직접",IF(AF1505="비귀속",$P1505,0),$P1505*(1-AG1505)*IFERROR(INDEX(계정대체기준!$F$20:$F$49,MATCH($N1505,계정대체기준!$A$20:$A$49,0)),1)))</f>
        <v/>
      </c>
      <c r="Z1505" s="94">
        <f>IF($A1505="",0,IF(AE1505="직접",IF(AF1505="신계약비",$P1505,0),$P1505*(1-AG1505)*IFERROR(INDEX(계정대체기준!$C$20:$C$49,MATCH($N1505,계정대체기준!$A$20:$A$49,0)),0)))</f>
        <v/>
      </c>
      <c r="AA1505" s="94">
        <f>IF($A1505="",0,IF(AE1505="직접",IF(OR(AF1505="유지비",AF1505="손해조사비"),$P1505,0),$P1505*(1-AG1505)*IFERROR(INDEX(계정대체기준!$D$20:$D$49,MATCH($N1505,계정대체기준!$A$20:$A$49,0)),0)))</f>
        <v/>
      </c>
      <c r="AB1505" s="94">
        <f>IF($A1505="",0,IF(AE1505="직접",IF(AF1505="수금비",$P1505,0),$P1505*(1-AG1505)*IFERROR(INDEX(계정대체기준!$E$20:$E$49,MATCH($N1505,계정대체기준!$A$20:$A$49,0)),0)))</f>
        <v/>
      </c>
      <c r="AC1505" s="9">
        <f>IF(AND($A1505&lt;&gt;"",M1505=설정!$C$20,Z1505&gt;0),Z1505+ROW()/1000000000,"")</f>
        <v/>
      </c>
      <c r="AD1505" s="94">
        <f>IF($A1505="",0,$P1505*AG1505)</f>
        <v/>
      </c>
      <c r="AE1505" s="64">
        <f>IF($A1505="","",IFERROR(INDEX(계정매핑!$E$5:$E$504,MATCH($F1505&amp;"",계정매핑!$A$5:$A$504,0))&amp;"","공통비"))</f>
        <v/>
      </c>
      <c r="AF1505" s="64">
        <f>IF($A1505="","",IF(AE1505="직접",IFERROR(INDEX(계정매핑!$F$5:$F$504,MATCH($F1505&amp;"",계정매핑!$A$5:$A$504,0))&amp;"","비귀속"),""))</f>
        <v/>
      </c>
      <c r="AG1505" s="96">
        <f>IF($A1505="",0,IF(AND(AE1505&lt;&gt;"직접",IFERROR(INDEX(계정매핑!$G$5:$G$504,MATCH($F1505&amp;"",계정매핑!$A$5:$A$504,0))&amp;"","")="유지비",COUNTIF(계정대체기준!$A$6:$A$15,$N1505)&gt;0),IFERROR(INDEX(계정대체기준!$E$6:$E$15,MATCH(VALUE($A1505&amp;""),계정대체기준!$D$6:$D$15,0)),0),0))</f>
        <v/>
      </c>
      <c r="AH1505" s="64">
        <f>IF($A1505="","",IF(AD1505=0,"",IF(OR(COUNTIF(계정대체기준!$A$77:$A$86,$N1505)&gt;0,ISNUMBER(MATCH($X1505,계정대체기준!$D$77:$D$86,0)),ISNUMBER(MATCH($F1505,계정대체기준!$D$77:$D$86,0))),"Y","N")))</f>
        <v/>
      </c>
    </row>
    <row r="1506">
      <c r="A1506" s="92" t="n">
        <v>2025</v>
      </c>
      <c r="B1506" s="92" t="n">
        <v>7</v>
      </c>
      <c r="C1506" s="92" t="inlineStr">
        <is>
          <t>5100001502</t>
        </is>
      </c>
      <c r="D1506" s="95" t="n">
        <v>45856</v>
      </c>
      <c r="E1506" s="92" t="inlineStr">
        <is>
          <t>KR</t>
        </is>
      </c>
      <c r="F1506" s="92" t="n">
        <v>62902000</v>
      </c>
      <c r="G1506" s="92" t="n">
        <v>1201</v>
      </c>
      <c r="H1506" s="93" t="n">
        <v>2348000</v>
      </c>
      <c r="I1506" s="92" t="inlineStr">
        <is>
          <t>7월 업무 위탁 수수료 - X서비스</t>
        </is>
      </c>
      <c r="J1506" s="92" t="inlineStr">
        <is>
          <t>V10020</t>
        </is>
      </c>
      <c r="K1506" s="92" t="inlineStr">
        <is>
          <t>X서비스</t>
        </is>
      </c>
      <c r="M1506" s="9">
        <f>IF($A1506="","",VALUE($A1506&amp;"")*12+VALUE($B1506&amp;""))</f>
        <v/>
      </c>
      <c r="N1506" s="64">
        <f>IF($A1506="","",IFERROR(INDEX(부서매핑!$C$5:$C$504,MATCH($G1506&amp;"",부서매핑!$A$5:$A$504,0)),"미매핑"))</f>
        <v/>
      </c>
      <c r="O1506" s="9">
        <f>IF($A1506="","",N1506&amp;"|"&amp;$F1506)</f>
        <v/>
      </c>
      <c r="P1506" s="94">
        <f>IF($A1506="",0,$H1506*설정!$C$23)</f>
        <v/>
      </c>
      <c r="Q1506" s="64">
        <f>IF($A1506="","",IF(O1506&lt;&gt;원인분석!$C$9,"",IF(AND(M1506&gt;=원인분석!$C$10,M1506&lt;=원인분석!$C$11),"당기",IF(AND(M1506&gt;=원인분석!$C$12,M1506&lt;=원인분석!$C$13),"비교",""))))</f>
        <v/>
      </c>
      <c r="R1506" s="9">
        <f>IF(Q1506="","",$K1506&amp;"")</f>
        <v/>
      </c>
      <c r="S1506" s="9">
        <f>IF(Q1506="","",IF(MATCH(R1506,$R$5:$R$100000,0)=ROW()-4,ROW(),""))</f>
        <v/>
      </c>
      <c r="T1506" s="9">
        <f>IF(Q1506="당기",ABS(P1506)+ROW()/1000000000,"")</f>
        <v/>
      </c>
      <c r="U1506" s="9">
        <f>IF(Q1506="비교",ABS(P1506)+ROW()/1000000000,"")</f>
        <v/>
      </c>
      <c r="V1506" s="64">
        <f>IF($A1506="","",IF(COUNTIF(변동분석!$E$7:$E$506,O1506)&gt;0,"Y","N"))</f>
        <v/>
      </c>
      <c r="W1506" s="64">
        <f>IF($A1506="","",IFERROR(INDEX(계정매핑!$D$5:$D$504,MATCH($F1506&amp;"",계정매핑!$A$5:$A$504,0)),"미매핑"))</f>
        <v/>
      </c>
      <c r="X1506" s="9">
        <f>IF($A1506="","",$F1506&amp;"")</f>
        <v/>
      </c>
      <c r="Y1506" s="94">
        <f>IF($A1506="",0,IF(AE1506="직접",IF(AF1506="비귀속",$P1506,0),$P1506*(1-AG1506)*IFERROR(INDEX(계정대체기준!$F$20:$F$49,MATCH($N1506,계정대체기준!$A$20:$A$49,0)),1)))</f>
        <v/>
      </c>
      <c r="Z1506" s="94">
        <f>IF($A1506="",0,IF(AE1506="직접",IF(AF1506="신계약비",$P1506,0),$P1506*(1-AG1506)*IFERROR(INDEX(계정대체기준!$C$20:$C$49,MATCH($N1506,계정대체기준!$A$20:$A$49,0)),0)))</f>
        <v/>
      </c>
      <c r="AA1506" s="94">
        <f>IF($A1506="",0,IF(AE1506="직접",IF(OR(AF1506="유지비",AF1506="손해조사비"),$P1506,0),$P1506*(1-AG1506)*IFERROR(INDEX(계정대체기준!$D$20:$D$49,MATCH($N1506,계정대체기준!$A$20:$A$49,0)),0)))</f>
        <v/>
      </c>
      <c r="AB1506" s="94">
        <f>IF($A1506="",0,IF(AE1506="직접",IF(AF1506="수금비",$P1506,0),$P1506*(1-AG1506)*IFERROR(INDEX(계정대체기준!$E$20:$E$49,MATCH($N1506,계정대체기준!$A$20:$A$49,0)),0)))</f>
        <v/>
      </c>
      <c r="AC1506" s="9">
        <f>IF(AND($A1506&lt;&gt;"",M1506=설정!$C$20,Z1506&gt;0),Z1506+ROW()/1000000000,"")</f>
        <v/>
      </c>
      <c r="AD1506" s="94">
        <f>IF($A1506="",0,$P1506*AG1506)</f>
        <v/>
      </c>
      <c r="AE1506" s="64">
        <f>IF($A1506="","",IFERROR(INDEX(계정매핑!$E$5:$E$504,MATCH($F1506&amp;"",계정매핑!$A$5:$A$504,0))&amp;"","공통비"))</f>
        <v/>
      </c>
      <c r="AF1506" s="64">
        <f>IF($A1506="","",IF(AE1506="직접",IFERROR(INDEX(계정매핑!$F$5:$F$504,MATCH($F1506&amp;"",계정매핑!$A$5:$A$504,0))&amp;"","비귀속"),""))</f>
        <v/>
      </c>
      <c r="AG1506" s="96">
        <f>IF($A1506="",0,IF(AND(AE1506&lt;&gt;"직접",IFERROR(INDEX(계정매핑!$G$5:$G$504,MATCH($F1506&amp;"",계정매핑!$A$5:$A$504,0))&amp;"","")="유지비",COUNTIF(계정대체기준!$A$6:$A$15,$N1506)&gt;0),IFERROR(INDEX(계정대체기준!$E$6:$E$15,MATCH(VALUE($A1506&amp;""),계정대체기준!$D$6:$D$15,0)),0),0))</f>
        <v/>
      </c>
      <c r="AH1506" s="64">
        <f>IF($A1506="","",IF(AD1506=0,"",IF(OR(COUNTIF(계정대체기준!$A$77:$A$86,$N1506)&gt;0,ISNUMBER(MATCH($X1506,계정대체기준!$D$77:$D$86,0)),ISNUMBER(MATCH($F1506,계정대체기준!$D$77:$D$86,0))),"Y","N")))</f>
        <v/>
      </c>
    </row>
    <row r="1507">
      <c r="A1507" s="92" t="n">
        <v>2025</v>
      </c>
      <c r="B1507" s="92" t="n">
        <v>7</v>
      </c>
      <c r="C1507" s="92" t="inlineStr">
        <is>
          <t>5100001503</t>
        </is>
      </c>
      <c r="D1507" s="95" t="n">
        <v>45856</v>
      </c>
      <c r="E1507" s="92" t="inlineStr">
        <is>
          <t>KR</t>
        </is>
      </c>
      <c r="F1507" s="92" t="n">
        <v>63101000</v>
      </c>
      <c r="G1507" s="92" t="n">
        <v>1601</v>
      </c>
      <c r="H1507" s="93" t="n">
        <v>5730000</v>
      </c>
      <c r="I1507" s="92" t="inlineStr">
        <is>
          <t>7월 사무실 임차료 - AA빌딩</t>
        </is>
      </c>
      <c r="J1507" s="92" t="inlineStr">
        <is>
          <t>V10007</t>
        </is>
      </c>
      <c r="K1507" s="92" t="inlineStr">
        <is>
          <t>AA빌딩</t>
        </is>
      </c>
      <c r="M1507" s="9">
        <f>IF($A1507="","",VALUE($A1507&amp;"")*12+VALUE($B1507&amp;""))</f>
        <v/>
      </c>
      <c r="N1507" s="64">
        <f>IF($A1507="","",IFERROR(INDEX(부서매핑!$C$5:$C$504,MATCH($G1507&amp;"",부서매핑!$A$5:$A$504,0)),"미매핑"))</f>
        <v/>
      </c>
      <c r="O1507" s="9">
        <f>IF($A1507="","",N1507&amp;"|"&amp;$F1507)</f>
        <v/>
      </c>
      <c r="P1507" s="94">
        <f>IF($A1507="",0,$H1507*설정!$C$23)</f>
        <v/>
      </c>
      <c r="Q1507" s="64">
        <f>IF($A1507="","",IF(O1507&lt;&gt;원인분석!$C$9,"",IF(AND(M1507&gt;=원인분석!$C$10,M1507&lt;=원인분석!$C$11),"당기",IF(AND(M1507&gt;=원인분석!$C$12,M1507&lt;=원인분석!$C$13),"비교",""))))</f>
        <v/>
      </c>
      <c r="R1507" s="9">
        <f>IF(Q1507="","",$K1507&amp;"")</f>
        <v/>
      </c>
      <c r="S1507" s="9">
        <f>IF(Q1507="","",IF(MATCH(R1507,$R$5:$R$100000,0)=ROW()-4,ROW(),""))</f>
        <v/>
      </c>
      <c r="T1507" s="9">
        <f>IF(Q1507="당기",ABS(P1507)+ROW()/1000000000,"")</f>
        <v/>
      </c>
      <c r="U1507" s="9">
        <f>IF(Q1507="비교",ABS(P1507)+ROW()/1000000000,"")</f>
        <v/>
      </c>
      <c r="V1507" s="64">
        <f>IF($A1507="","",IF(COUNTIF(변동분석!$E$7:$E$506,O1507)&gt;0,"Y","N"))</f>
        <v/>
      </c>
      <c r="W1507" s="64">
        <f>IF($A1507="","",IFERROR(INDEX(계정매핑!$D$5:$D$504,MATCH($F1507&amp;"",계정매핑!$A$5:$A$504,0)),"미매핑"))</f>
        <v/>
      </c>
      <c r="X1507" s="9">
        <f>IF($A1507="","",$F1507&amp;"")</f>
        <v/>
      </c>
      <c r="Y1507" s="94">
        <f>IF($A1507="",0,IF(AE1507="직접",IF(AF1507="비귀속",$P1507,0),$P1507*(1-AG1507)*IFERROR(INDEX(계정대체기준!$F$20:$F$49,MATCH($N1507,계정대체기준!$A$20:$A$49,0)),1)))</f>
        <v/>
      </c>
      <c r="Z1507" s="94">
        <f>IF($A1507="",0,IF(AE1507="직접",IF(AF1507="신계약비",$P1507,0),$P1507*(1-AG1507)*IFERROR(INDEX(계정대체기준!$C$20:$C$49,MATCH($N1507,계정대체기준!$A$20:$A$49,0)),0)))</f>
        <v/>
      </c>
      <c r="AA1507" s="94">
        <f>IF($A1507="",0,IF(AE1507="직접",IF(OR(AF1507="유지비",AF1507="손해조사비"),$P1507,0),$P1507*(1-AG1507)*IFERROR(INDEX(계정대체기준!$D$20:$D$49,MATCH($N1507,계정대체기준!$A$20:$A$49,0)),0)))</f>
        <v/>
      </c>
      <c r="AB1507" s="94">
        <f>IF($A1507="",0,IF(AE1507="직접",IF(AF1507="수금비",$P1507,0),$P1507*(1-AG1507)*IFERROR(INDEX(계정대체기준!$E$20:$E$49,MATCH($N1507,계정대체기준!$A$20:$A$49,0)),0)))</f>
        <v/>
      </c>
      <c r="AC1507" s="9">
        <f>IF(AND($A1507&lt;&gt;"",M1507=설정!$C$20,Z1507&gt;0),Z1507+ROW()/1000000000,"")</f>
        <v/>
      </c>
      <c r="AD1507" s="94">
        <f>IF($A1507="",0,$P1507*AG1507)</f>
        <v/>
      </c>
      <c r="AE1507" s="64">
        <f>IF($A1507="","",IFERROR(INDEX(계정매핑!$E$5:$E$504,MATCH($F1507&amp;"",계정매핑!$A$5:$A$504,0))&amp;"","공통비"))</f>
        <v/>
      </c>
      <c r="AF1507" s="64">
        <f>IF($A1507="","",IF(AE1507="직접",IFERROR(INDEX(계정매핑!$F$5:$F$504,MATCH($F1507&amp;"",계정매핑!$A$5:$A$504,0))&amp;"","비귀속"),""))</f>
        <v/>
      </c>
      <c r="AG1507" s="96">
        <f>IF($A1507="",0,IF(AND(AE1507&lt;&gt;"직접",IFERROR(INDEX(계정매핑!$G$5:$G$504,MATCH($F1507&amp;"",계정매핑!$A$5:$A$504,0))&amp;"","")="유지비",COUNTIF(계정대체기준!$A$6:$A$15,$N1507)&gt;0),IFERROR(INDEX(계정대체기준!$E$6:$E$15,MATCH(VALUE($A1507&amp;""),계정대체기준!$D$6:$D$15,0)),0),0))</f>
        <v/>
      </c>
      <c r="AH1507" s="64">
        <f>IF($A1507="","",IF(AD1507=0,"",IF(OR(COUNTIF(계정대체기준!$A$77:$A$86,$N1507)&gt;0,ISNUMBER(MATCH($X1507,계정대체기준!$D$77:$D$86,0)),ISNUMBER(MATCH($F1507,계정대체기준!$D$77:$D$86,0))),"Y","N")))</f>
        <v/>
      </c>
    </row>
    <row r="1508">
      <c r="A1508" s="92" t="n">
        <v>2025</v>
      </c>
      <c r="B1508" s="92" t="n">
        <v>7</v>
      </c>
      <c r="C1508" s="92" t="inlineStr">
        <is>
          <t>5100001504</t>
        </is>
      </c>
      <c r="D1508" s="95" t="n">
        <v>45857</v>
      </c>
      <c r="E1508" s="92" t="inlineStr">
        <is>
          <t>KR</t>
        </is>
      </c>
      <c r="F1508" s="92" t="n">
        <v>62201000</v>
      </c>
      <c r="G1508" s="92" t="n">
        <v>1301</v>
      </c>
      <c r="H1508" s="93" t="n">
        <v>136000</v>
      </c>
      <c r="I1508" s="92" t="inlineStr">
        <is>
          <t>7월 통신요금 - P통신</t>
        </is>
      </c>
      <c r="J1508" s="92" t="inlineStr">
        <is>
          <t>V10014</t>
        </is>
      </c>
      <c r="K1508" s="92" t="inlineStr">
        <is>
          <t>P통신</t>
        </is>
      </c>
      <c r="M1508" s="9">
        <f>IF($A1508="","",VALUE($A1508&amp;"")*12+VALUE($B1508&amp;""))</f>
        <v/>
      </c>
      <c r="N1508" s="64">
        <f>IF($A1508="","",IFERROR(INDEX(부서매핑!$C$5:$C$504,MATCH($G1508&amp;"",부서매핑!$A$5:$A$504,0)),"미매핑"))</f>
        <v/>
      </c>
      <c r="O1508" s="9">
        <f>IF($A1508="","",N1508&amp;"|"&amp;$F1508)</f>
        <v/>
      </c>
      <c r="P1508" s="94">
        <f>IF($A1508="",0,$H1508*설정!$C$23)</f>
        <v/>
      </c>
      <c r="Q1508" s="64">
        <f>IF($A1508="","",IF(O1508&lt;&gt;원인분석!$C$9,"",IF(AND(M1508&gt;=원인분석!$C$10,M1508&lt;=원인분석!$C$11),"당기",IF(AND(M1508&gt;=원인분석!$C$12,M1508&lt;=원인분석!$C$13),"비교",""))))</f>
        <v/>
      </c>
      <c r="R1508" s="9">
        <f>IF(Q1508="","",$K1508&amp;"")</f>
        <v/>
      </c>
      <c r="S1508" s="9">
        <f>IF(Q1508="","",IF(MATCH(R1508,$R$5:$R$100000,0)=ROW()-4,ROW(),""))</f>
        <v/>
      </c>
      <c r="T1508" s="9">
        <f>IF(Q1508="당기",ABS(P1508)+ROW()/1000000000,"")</f>
        <v/>
      </c>
      <c r="U1508" s="9">
        <f>IF(Q1508="비교",ABS(P1508)+ROW()/1000000000,"")</f>
        <v/>
      </c>
      <c r="V1508" s="64">
        <f>IF($A1508="","",IF(COUNTIF(변동분석!$E$7:$E$506,O1508)&gt;0,"Y","N"))</f>
        <v/>
      </c>
      <c r="W1508" s="64">
        <f>IF($A1508="","",IFERROR(INDEX(계정매핑!$D$5:$D$504,MATCH($F1508&amp;"",계정매핑!$A$5:$A$504,0)),"미매핑"))</f>
        <v/>
      </c>
      <c r="X1508" s="9">
        <f>IF($A1508="","",$F1508&amp;"")</f>
        <v/>
      </c>
      <c r="Y1508" s="94">
        <f>IF($A1508="",0,IF(AE1508="직접",IF(AF1508="비귀속",$P1508,0),$P1508*(1-AG1508)*IFERROR(INDEX(계정대체기준!$F$20:$F$49,MATCH($N1508,계정대체기준!$A$20:$A$49,0)),1)))</f>
        <v/>
      </c>
      <c r="Z1508" s="94">
        <f>IF($A1508="",0,IF(AE1508="직접",IF(AF1508="신계약비",$P1508,0),$P1508*(1-AG1508)*IFERROR(INDEX(계정대체기준!$C$20:$C$49,MATCH($N1508,계정대체기준!$A$20:$A$49,0)),0)))</f>
        <v/>
      </c>
      <c r="AA1508" s="94">
        <f>IF($A1508="",0,IF(AE1508="직접",IF(OR(AF1508="유지비",AF1508="손해조사비"),$P1508,0),$P1508*(1-AG1508)*IFERROR(INDEX(계정대체기준!$D$20:$D$49,MATCH($N1508,계정대체기준!$A$20:$A$49,0)),0)))</f>
        <v/>
      </c>
      <c r="AB1508" s="94">
        <f>IF($A1508="",0,IF(AE1508="직접",IF(AF1508="수금비",$P1508,0),$P1508*(1-AG1508)*IFERROR(INDEX(계정대체기준!$E$20:$E$49,MATCH($N1508,계정대체기준!$A$20:$A$49,0)),0)))</f>
        <v/>
      </c>
      <c r="AC1508" s="9">
        <f>IF(AND($A1508&lt;&gt;"",M1508=설정!$C$20,Z1508&gt;0),Z1508+ROW()/1000000000,"")</f>
        <v/>
      </c>
      <c r="AD1508" s="94">
        <f>IF($A1508="",0,$P1508*AG1508)</f>
        <v/>
      </c>
      <c r="AE1508" s="64">
        <f>IF($A1508="","",IFERROR(INDEX(계정매핑!$E$5:$E$504,MATCH($F1508&amp;"",계정매핑!$A$5:$A$504,0))&amp;"","공통비"))</f>
        <v/>
      </c>
      <c r="AF1508" s="64">
        <f>IF($A1508="","",IF(AE1508="직접",IFERROR(INDEX(계정매핑!$F$5:$F$504,MATCH($F1508&amp;"",계정매핑!$A$5:$A$504,0))&amp;"","비귀속"),""))</f>
        <v/>
      </c>
      <c r="AG1508" s="96">
        <f>IF($A1508="",0,IF(AND(AE1508&lt;&gt;"직접",IFERROR(INDEX(계정매핑!$G$5:$G$504,MATCH($F1508&amp;"",계정매핑!$A$5:$A$504,0))&amp;"","")="유지비",COUNTIF(계정대체기준!$A$6:$A$15,$N1508)&gt;0),IFERROR(INDEX(계정대체기준!$E$6:$E$15,MATCH(VALUE($A1508&amp;""),계정대체기준!$D$6:$D$15,0)),0),0))</f>
        <v/>
      </c>
      <c r="AH1508" s="64">
        <f>IF($A1508="","",IF(AD1508=0,"",IF(OR(COUNTIF(계정대체기준!$A$77:$A$86,$N1508)&gt;0,ISNUMBER(MATCH($X1508,계정대체기준!$D$77:$D$86,0)),ISNUMBER(MATCH($F1508,계정대체기준!$D$77:$D$86,0))),"Y","N")))</f>
        <v/>
      </c>
    </row>
    <row r="1509">
      <c r="A1509" s="92" t="n">
        <v>2025</v>
      </c>
      <c r="B1509" s="92" t="n">
        <v>7</v>
      </c>
      <c r="C1509" s="92" t="inlineStr">
        <is>
          <t>5100001505</t>
        </is>
      </c>
      <c r="D1509" s="95" t="n">
        <v>45857</v>
      </c>
      <c r="E1509" s="92" t="inlineStr">
        <is>
          <t>KR</t>
        </is>
      </c>
      <c r="F1509" s="92" t="n">
        <v>62301000</v>
      </c>
      <c r="G1509" s="92" t="n">
        <v>1101</v>
      </c>
      <c r="H1509" s="93" t="n">
        <v>178000</v>
      </c>
      <c r="I1509" s="92" t="inlineStr">
        <is>
          <t>7월 소모품 구입 - Q오피스</t>
        </is>
      </c>
      <c r="J1509" s="92" t="inlineStr">
        <is>
          <t>V10003</t>
        </is>
      </c>
      <c r="K1509" s="92" t="inlineStr">
        <is>
          <t>Q오피스</t>
        </is>
      </c>
      <c r="M1509" s="9">
        <f>IF($A1509="","",VALUE($A1509&amp;"")*12+VALUE($B1509&amp;""))</f>
        <v/>
      </c>
      <c r="N1509" s="64">
        <f>IF($A1509="","",IFERROR(INDEX(부서매핑!$C$5:$C$504,MATCH($G1509&amp;"",부서매핑!$A$5:$A$504,0)),"미매핑"))</f>
        <v/>
      </c>
      <c r="O1509" s="9">
        <f>IF($A1509="","",N1509&amp;"|"&amp;$F1509)</f>
        <v/>
      </c>
      <c r="P1509" s="94">
        <f>IF($A1509="",0,$H1509*설정!$C$23)</f>
        <v/>
      </c>
      <c r="Q1509" s="64">
        <f>IF($A1509="","",IF(O1509&lt;&gt;원인분석!$C$9,"",IF(AND(M1509&gt;=원인분석!$C$10,M1509&lt;=원인분석!$C$11),"당기",IF(AND(M1509&gt;=원인분석!$C$12,M1509&lt;=원인분석!$C$13),"비교",""))))</f>
        <v/>
      </c>
      <c r="R1509" s="9">
        <f>IF(Q1509="","",$K1509&amp;"")</f>
        <v/>
      </c>
      <c r="S1509" s="9">
        <f>IF(Q1509="","",IF(MATCH(R1509,$R$5:$R$100000,0)=ROW()-4,ROW(),""))</f>
        <v/>
      </c>
      <c r="T1509" s="9">
        <f>IF(Q1509="당기",ABS(P1509)+ROW()/1000000000,"")</f>
        <v/>
      </c>
      <c r="U1509" s="9">
        <f>IF(Q1509="비교",ABS(P1509)+ROW()/1000000000,"")</f>
        <v/>
      </c>
      <c r="V1509" s="64">
        <f>IF($A1509="","",IF(COUNTIF(변동분석!$E$7:$E$506,O1509)&gt;0,"Y","N"))</f>
        <v/>
      </c>
      <c r="W1509" s="64">
        <f>IF($A1509="","",IFERROR(INDEX(계정매핑!$D$5:$D$504,MATCH($F1509&amp;"",계정매핑!$A$5:$A$504,0)),"미매핑"))</f>
        <v/>
      </c>
      <c r="X1509" s="9">
        <f>IF($A1509="","",$F1509&amp;"")</f>
        <v/>
      </c>
      <c r="Y1509" s="94">
        <f>IF($A1509="",0,IF(AE1509="직접",IF(AF1509="비귀속",$P1509,0),$P1509*(1-AG1509)*IFERROR(INDEX(계정대체기준!$F$20:$F$49,MATCH($N1509,계정대체기준!$A$20:$A$49,0)),1)))</f>
        <v/>
      </c>
      <c r="Z1509" s="94">
        <f>IF($A1509="",0,IF(AE1509="직접",IF(AF1509="신계약비",$P1509,0),$P1509*(1-AG1509)*IFERROR(INDEX(계정대체기준!$C$20:$C$49,MATCH($N1509,계정대체기준!$A$20:$A$49,0)),0)))</f>
        <v/>
      </c>
      <c r="AA1509" s="94">
        <f>IF($A1509="",0,IF(AE1509="직접",IF(OR(AF1509="유지비",AF1509="손해조사비"),$P1509,0),$P1509*(1-AG1509)*IFERROR(INDEX(계정대체기준!$D$20:$D$49,MATCH($N1509,계정대체기준!$A$20:$A$49,0)),0)))</f>
        <v/>
      </c>
      <c r="AB1509" s="94">
        <f>IF($A1509="",0,IF(AE1509="직접",IF(AF1509="수금비",$P1509,0),$P1509*(1-AG1509)*IFERROR(INDEX(계정대체기준!$E$20:$E$49,MATCH($N1509,계정대체기준!$A$20:$A$49,0)),0)))</f>
        <v/>
      </c>
      <c r="AC1509" s="9">
        <f>IF(AND($A1509&lt;&gt;"",M1509=설정!$C$20,Z1509&gt;0),Z1509+ROW()/1000000000,"")</f>
        <v/>
      </c>
      <c r="AD1509" s="94">
        <f>IF($A1509="",0,$P1509*AG1509)</f>
        <v/>
      </c>
      <c r="AE1509" s="64">
        <f>IF($A1509="","",IFERROR(INDEX(계정매핑!$E$5:$E$504,MATCH($F1509&amp;"",계정매핑!$A$5:$A$504,0))&amp;"","공통비"))</f>
        <v/>
      </c>
      <c r="AF1509" s="64">
        <f>IF($A1509="","",IF(AE1509="직접",IFERROR(INDEX(계정매핑!$F$5:$F$504,MATCH($F1509&amp;"",계정매핑!$A$5:$A$504,0))&amp;"","비귀속"),""))</f>
        <v/>
      </c>
      <c r="AG1509" s="96">
        <f>IF($A1509="",0,IF(AND(AE1509&lt;&gt;"직접",IFERROR(INDEX(계정매핑!$G$5:$G$504,MATCH($F1509&amp;"",계정매핑!$A$5:$A$504,0))&amp;"","")="유지비",COUNTIF(계정대체기준!$A$6:$A$15,$N1509)&gt;0),IFERROR(INDEX(계정대체기준!$E$6:$E$15,MATCH(VALUE($A1509&amp;""),계정대체기준!$D$6:$D$15,0)),0),0))</f>
        <v/>
      </c>
      <c r="AH1509" s="64">
        <f>IF($A1509="","",IF(AD1509=0,"",IF(OR(COUNTIF(계정대체기준!$A$77:$A$86,$N1509)&gt;0,ISNUMBER(MATCH($X1509,계정대체기준!$D$77:$D$86,0)),ISNUMBER(MATCH($F1509,계정대체기준!$D$77:$D$86,0))),"Y","N")))</f>
        <v/>
      </c>
    </row>
    <row r="1510">
      <c r="A1510" s="92" t="n">
        <v>2025</v>
      </c>
      <c r="B1510" s="92" t="n">
        <v>7</v>
      </c>
      <c r="C1510" s="92" t="inlineStr">
        <is>
          <t>5100001506</t>
        </is>
      </c>
      <c r="D1510" s="95" t="n">
        <v>45857</v>
      </c>
      <c r="E1510" s="92" t="inlineStr">
        <is>
          <t>KR</t>
        </is>
      </c>
      <c r="F1510" s="92" t="n">
        <v>62301000</v>
      </c>
      <c r="G1510" s="92" t="n">
        <v>1701</v>
      </c>
      <c r="H1510" s="93" t="n">
        <v>209000</v>
      </c>
      <c r="I1510" s="92" t="inlineStr">
        <is>
          <t>7월 소모품 구입 - R문구</t>
        </is>
      </c>
      <c r="J1510" s="92" t="inlineStr">
        <is>
          <t>V10022</t>
        </is>
      </c>
      <c r="K1510" s="92" t="inlineStr">
        <is>
          <t>R문구</t>
        </is>
      </c>
      <c r="M1510" s="9">
        <f>IF($A1510="","",VALUE($A1510&amp;"")*12+VALUE($B1510&amp;""))</f>
        <v/>
      </c>
      <c r="N1510" s="64">
        <f>IF($A1510="","",IFERROR(INDEX(부서매핑!$C$5:$C$504,MATCH($G1510&amp;"",부서매핑!$A$5:$A$504,0)),"미매핑"))</f>
        <v/>
      </c>
      <c r="O1510" s="9">
        <f>IF($A1510="","",N1510&amp;"|"&amp;$F1510)</f>
        <v/>
      </c>
      <c r="P1510" s="94">
        <f>IF($A1510="",0,$H1510*설정!$C$23)</f>
        <v/>
      </c>
      <c r="Q1510" s="64">
        <f>IF($A1510="","",IF(O1510&lt;&gt;원인분석!$C$9,"",IF(AND(M1510&gt;=원인분석!$C$10,M1510&lt;=원인분석!$C$11),"당기",IF(AND(M1510&gt;=원인분석!$C$12,M1510&lt;=원인분석!$C$13),"비교",""))))</f>
        <v/>
      </c>
      <c r="R1510" s="9">
        <f>IF(Q1510="","",$K1510&amp;"")</f>
        <v/>
      </c>
      <c r="S1510" s="9">
        <f>IF(Q1510="","",IF(MATCH(R1510,$R$5:$R$100000,0)=ROW()-4,ROW(),""))</f>
        <v/>
      </c>
      <c r="T1510" s="9">
        <f>IF(Q1510="당기",ABS(P1510)+ROW()/1000000000,"")</f>
        <v/>
      </c>
      <c r="U1510" s="9">
        <f>IF(Q1510="비교",ABS(P1510)+ROW()/1000000000,"")</f>
        <v/>
      </c>
      <c r="V1510" s="64">
        <f>IF($A1510="","",IF(COUNTIF(변동분석!$E$7:$E$506,O1510)&gt;0,"Y","N"))</f>
        <v/>
      </c>
      <c r="W1510" s="64">
        <f>IF($A1510="","",IFERROR(INDEX(계정매핑!$D$5:$D$504,MATCH($F1510&amp;"",계정매핑!$A$5:$A$504,0)),"미매핑"))</f>
        <v/>
      </c>
      <c r="X1510" s="9">
        <f>IF($A1510="","",$F1510&amp;"")</f>
        <v/>
      </c>
      <c r="Y1510" s="94">
        <f>IF($A1510="",0,IF(AE1510="직접",IF(AF1510="비귀속",$P1510,0),$P1510*(1-AG1510)*IFERROR(INDEX(계정대체기준!$F$20:$F$49,MATCH($N1510,계정대체기준!$A$20:$A$49,0)),1)))</f>
        <v/>
      </c>
      <c r="Z1510" s="94">
        <f>IF($A1510="",0,IF(AE1510="직접",IF(AF1510="신계약비",$P1510,0),$P1510*(1-AG1510)*IFERROR(INDEX(계정대체기준!$C$20:$C$49,MATCH($N1510,계정대체기준!$A$20:$A$49,0)),0)))</f>
        <v/>
      </c>
      <c r="AA1510" s="94">
        <f>IF($A1510="",0,IF(AE1510="직접",IF(OR(AF1510="유지비",AF1510="손해조사비"),$P1510,0),$P1510*(1-AG1510)*IFERROR(INDEX(계정대체기준!$D$20:$D$49,MATCH($N1510,계정대체기준!$A$20:$A$49,0)),0)))</f>
        <v/>
      </c>
      <c r="AB1510" s="94">
        <f>IF($A1510="",0,IF(AE1510="직접",IF(AF1510="수금비",$P1510,0),$P1510*(1-AG1510)*IFERROR(INDEX(계정대체기준!$E$20:$E$49,MATCH($N1510,계정대체기준!$A$20:$A$49,0)),0)))</f>
        <v/>
      </c>
      <c r="AC1510" s="9">
        <f>IF(AND($A1510&lt;&gt;"",M1510=설정!$C$20,Z1510&gt;0),Z1510+ROW()/1000000000,"")</f>
        <v/>
      </c>
      <c r="AD1510" s="94">
        <f>IF($A1510="",0,$P1510*AG1510)</f>
        <v/>
      </c>
      <c r="AE1510" s="64">
        <f>IF($A1510="","",IFERROR(INDEX(계정매핑!$E$5:$E$504,MATCH($F1510&amp;"",계정매핑!$A$5:$A$504,0))&amp;"","공통비"))</f>
        <v/>
      </c>
      <c r="AF1510" s="64">
        <f>IF($A1510="","",IF(AE1510="직접",IFERROR(INDEX(계정매핑!$F$5:$F$504,MATCH($F1510&amp;"",계정매핑!$A$5:$A$504,0))&amp;"","비귀속"),""))</f>
        <v/>
      </c>
      <c r="AG1510" s="96">
        <f>IF($A1510="",0,IF(AND(AE1510&lt;&gt;"직접",IFERROR(INDEX(계정매핑!$G$5:$G$504,MATCH($F1510&amp;"",계정매핑!$A$5:$A$504,0))&amp;"","")="유지비",COUNTIF(계정대체기준!$A$6:$A$15,$N1510)&gt;0),IFERROR(INDEX(계정대체기준!$E$6:$E$15,MATCH(VALUE($A1510&amp;""),계정대체기준!$D$6:$D$15,0)),0),0))</f>
        <v/>
      </c>
      <c r="AH1510" s="64">
        <f>IF($A1510="","",IF(AD1510=0,"",IF(OR(COUNTIF(계정대체기준!$A$77:$A$86,$N1510)&gt;0,ISNUMBER(MATCH($X1510,계정대체기준!$D$77:$D$86,0)),ISNUMBER(MATCH($F1510,계정대체기준!$D$77:$D$86,0))),"Y","N")))</f>
        <v/>
      </c>
    </row>
    <row r="1511">
      <c r="A1511" s="92" t="n">
        <v>2025</v>
      </c>
      <c r="B1511" s="92" t="n">
        <v>7</v>
      </c>
      <c r="C1511" s="92" t="inlineStr">
        <is>
          <t>5100001507</t>
        </is>
      </c>
      <c r="D1511" s="95" t="n">
        <v>45857</v>
      </c>
      <c r="E1511" s="92" t="inlineStr">
        <is>
          <t>KR</t>
        </is>
      </c>
      <c r="F1511" s="92" t="n">
        <v>62401000</v>
      </c>
      <c r="G1511" s="92" t="n">
        <v>1401</v>
      </c>
      <c r="H1511" s="93" t="n">
        <v>341000</v>
      </c>
      <c r="I1511" s="92" t="inlineStr">
        <is>
          <t>7월 인쇄물 제작 - S출판</t>
        </is>
      </c>
      <c r="J1511" s="92" t="inlineStr">
        <is>
          <t>V10015</t>
        </is>
      </c>
      <c r="K1511" s="92" t="inlineStr">
        <is>
          <t>S출판</t>
        </is>
      </c>
      <c r="M1511" s="9">
        <f>IF($A1511="","",VALUE($A1511&amp;"")*12+VALUE($B1511&amp;""))</f>
        <v/>
      </c>
      <c r="N1511" s="64">
        <f>IF($A1511="","",IFERROR(INDEX(부서매핑!$C$5:$C$504,MATCH($G1511&amp;"",부서매핑!$A$5:$A$504,0)),"미매핑"))</f>
        <v/>
      </c>
      <c r="O1511" s="9">
        <f>IF($A1511="","",N1511&amp;"|"&amp;$F1511)</f>
        <v/>
      </c>
      <c r="P1511" s="94">
        <f>IF($A1511="",0,$H1511*설정!$C$23)</f>
        <v/>
      </c>
      <c r="Q1511" s="64">
        <f>IF($A1511="","",IF(O1511&lt;&gt;원인분석!$C$9,"",IF(AND(M1511&gt;=원인분석!$C$10,M1511&lt;=원인분석!$C$11),"당기",IF(AND(M1511&gt;=원인분석!$C$12,M1511&lt;=원인분석!$C$13),"비교",""))))</f>
        <v/>
      </c>
      <c r="R1511" s="9">
        <f>IF(Q1511="","",$K1511&amp;"")</f>
        <v/>
      </c>
      <c r="S1511" s="9">
        <f>IF(Q1511="","",IF(MATCH(R1511,$R$5:$R$100000,0)=ROW()-4,ROW(),""))</f>
        <v/>
      </c>
      <c r="T1511" s="9">
        <f>IF(Q1511="당기",ABS(P1511)+ROW()/1000000000,"")</f>
        <v/>
      </c>
      <c r="U1511" s="9">
        <f>IF(Q1511="비교",ABS(P1511)+ROW()/1000000000,"")</f>
        <v/>
      </c>
      <c r="V1511" s="64">
        <f>IF($A1511="","",IF(COUNTIF(변동분석!$E$7:$E$506,O1511)&gt;0,"Y","N"))</f>
        <v/>
      </c>
      <c r="W1511" s="64">
        <f>IF($A1511="","",IFERROR(INDEX(계정매핑!$D$5:$D$504,MATCH($F1511&amp;"",계정매핑!$A$5:$A$504,0)),"미매핑"))</f>
        <v/>
      </c>
      <c r="X1511" s="9">
        <f>IF($A1511="","",$F1511&amp;"")</f>
        <v/>
      </c>
      <c r="Y1511" s="94">
        <f>IF($A1511="",0,IF(AE1511="직접",IF(AF1511="비귀속",$P1511,0),$P1511*(1-AG1511)*IFERROR(INDEX(계정대체기준!$F$20:$F$49,MATCH($N1511,계정대체기준!$A$20:$A$49,0)),1)))</f>
        <v/>
      </c>
      <c r="Z1511" s="94">
        <f>IF($A1511="",0,IF(AE1511="직접",IF(AF1511="신계약비",$P1511,0),$P1511*(1-AG1511)*IFERROR(INDEX(계정대체기준!$C$20:$C$49,MATCH($N1511,계정대체기준!$A$20:$A$49,0)),0)))</f>
        <v/>
      </c>
      <c r="AA1511" s="94">
        <f>IF($A1511="",0,IF(AE1511="직접",IF(OR(AF1511="유지비",AF1511="손해조사비"),$P1511,0),$P1511*(1-AG1511)*IFERROR(INDEX(계정대체기준!$D$20:$D$49,MATCH($N1511,계정대체기준!$A$20:$A$49,0)),0)))</f>
        <v/>
      </c>
      <c r="AB1511" s="94">
        <f>IF($A1511="",0,IF(AE1511="직접",IF(AF1511="수금비",$P1511,0),$P1511*(1-AG1511)*IFERROR(INDEX(계정대체기준!$E$20:$E$49,MATCH($N1511,계정대체기준!$A$20:$A$49,0)),0)))</f>
        <v/>
      </c>
      <c r="AC1511" s="9">
        <f>IF(AND($A1511&lt;&gt;"",M1511=설정!$C$20,Z1511&gt;0),Z1511+ROW()/1000000000,"")</f>
        <v/>
      </c>
      <c r="AD1511" s="94">
        <f>IF($A1511="",0,$P1511*AG1511)</f>
        <v/>
      </c>
      <c r="AE1511" s="64">
        <f>IF($A1511="","",IFERROR(INDEX(계정매핑!$E$5:$E$504,MATCH($F1511&amp;"",계정매핑!$A$5:$A$504,0))&amp;"","공통비"))</f>
        <v/>
      </c>
      <c r="AF1511" s="64">
        <f>IF($A1511="","",IF(AE1511="직접",IFERROR(INDEX(계정매핑!$F$5:$F$504,MATCH($F1511&amp;"",계정매핑!$A$5:$A$504,0))&amp;"","비귀속"),""))</f>
        <v/>
      </c>
      <c r="AG1511" s="96">
        <f>IF($A1511="",0,IF(AND(AE1511&lt;&gt;"직접",IFERROR(INDEX(계정매핑!$G$5:$G$504,MATCH($F1511&amp;"",계정매핑!$A$5:$A$504,0))&amp;"","")="유지비",COUNTIF(계정대체기준!$A$6:$A$15,$N1511)&gt;0),IFERROR(INDEX(계정대체기준!$E$6:$E$15,MATCH(VALUE($A1511&amp;""),계정대체기준!$D$6:$D$15,0)),0),0))</f>
        <v/>
      </c>
      <c r="AH1511" s="64">
        <f>IF($A1511="","",IF(AD1511=0,"",IF(OR(COUNTIF(계정대체기준!$A$77:$A$86,$N1511)&gt;0,ISNUMBER(MATCH($X1511,계정대체기준!$D$77:$D$86,0)),ISNUMBER(MATCH($F1511,계정대체기준!$D$77:$D$86,0))),"Y","N")))</f>
        <v/>
      </c>
    </row>
    <row r="1512">
      <c r="A1512" s="92" t="n">
        <v>2025</v>
      </c>
      <c r="B1512" s="92" t="n">
        <v>7</v>
      </c>
      <c r="C1512" s="92" t="inlineStr">
        <is>
          <t>5100001508</t>
        </is>
      </c>
      <c r="D1512" s="95" t="n">
        <v>45857</v>
      </c>
      <c r="E1512" s="92" t="inlineStr">
        <is>
          <t>KR</t>
        </is>
      </c>
      <c r="F1512" s="92" t="n">
        <v>62501000</v>
      </c>
      <c r="G1512" s="92" t="n">
        <v>1601</v>
      </c>
      <c r="H1512" s="93" t="n">
        <v>335000</v>
      </c>
      <c r="I1512" s="92" t="inlineStr">
        <is>
          <t>7월 회의 다과 - T케이터링</t>
        </is>
      </c>
      <c r="J1512" s="92" t="inlineStr">
        <is>
          <t>V10005</t>
        </is>
      </c>
      <c r="K1512" s="92" t="inlineStr">
        <is>
          <t>T케이터링</t>
        </is>
      </c>
      <c r="M1512" s="9">
        <f>IF($A1512="","",VALUE($A1512&amp;"")*12+VALUE($B1512&amp;""))</f>
        <v/>
      </c>
      <c r="N1512" s="64">
        <f>IF($A1512="","",IFERROR(INDEX(부서매핑!$C$5:$C$504,MATCH($G1512&amp;"",부서매핑!$A$5:$A$504,0)),"미매핑"))</f>
        <v/>
      </c>
      <c r="O1512" s="9">
        <f>IF($A1512="","",N1512&amp;"|"&amp;$F1512)</f>
        <v/>
      </c>
      <c r="P1512" s="94">
        <f>IF($A1512="",0,$H1512*설정!$C$23)</f>
        <v/>
      </c>
      <c r="Q1512" s="64">
        <f>IF($A1512="","",IF(O1512&lt;&gt;원인분석!$C$9,"",IF(AND(M1512&gt;=원인분석!$C$10,M1512&lt;=원인분석!$C$11),"당기",IF(AND(M1512&gt;=원인분석!$C$12,M1512&lt;=원인분석!$C$13),"비교",""))))</f>
        <v/>
      </c>
      <c r="R1512" s="9">
        <f>IF(Q1512="","",$K1512&amp;"")</f>
        <v/>
      </c>
      <c r="S1512" s="9">
        <f>IF(Q1512="","",IF(MATCH(R1512,$R$5:$R$100000,0)=ROW()-4,ROW(),""))</f>
        <v/>
      </c>
      <c r="T1512" s="9">
        <f>IF(Q1512="당기",ABS(P1512)+ROW()/1000000000,"")</f>
        <v/>
      </c>
      <c r="U1512" s="9">
        <f>IF(Q1512="비교",ABS(P1512)+ROW()/1000000000,"")</f>
        <v/>
      </c>
      <c r="V1512" s="64">
        <f>IF($A1512="","",IF(COUNTIF(변동분석!$E$7:$E$506,O1512)&gt;0,"Y","N"))</f>
        <v/>
      </c>
      <c r="W1512" s="64">
        <f>IF($A1512="","",IFERROR(INDEX(계정매핑!$D$5:$D$504,MATCH($F1512&amp;"",계정매핑!$A$5:$A$504,0)),"미매핑"))</f>
        <v/>
      </c>
      <c r="X1512" s="9">
        <f>IF($A1512="","",$F1512&amp;"")</f>
        <v/>
      </c>
      <c r="Y1512" s="94">
        <f>IF($A1512="",0,IF(AE1512="직접",IF(AF1512="비귀속",$P1512,0),$P1512*(1-AG1512)*IFERROR(INDEX(계정대체기준!$F$20:$F$49,MATCH($N1512,계정대체기준!$A$20:$A$49,0)),1)))</f>
        <v/>
      </c>
      <c r="Z1512" s="94">
        <f>IF($A1512="",0,IF(AE1512="직접",IF(AF1512="신계약비",$P1512,0),$P1512*(1-AG1512)*IFERROR(INDEX(계정대체기준!$C$20:$C$49,MATCH($N1512,계정대체기준!$A$20:$A$49,0)),0)))</f>
        <v/>
      </c>
      <c r="AA1512" s="94">
        <f>IF($A1512="",0,IF(AE1512="직접",IF(OR(AF1512="유지비",AF1512="손해조사비"),$P1512,0),$P1512*(1-AG1512)*IFERROR(INDEX(계정대체기준!$D$20:$D$49,MATCH($N1512,계정대체기준!$A$20:$A$49,0)),0)))</f>
        <v/>
      </c>
      <c r="AB1512" s="94">
        <f>IF($A1512="",0,IF(AE1512="직접",IF(AF1512="수금비",$P1512,0),$P1512*(1-AG1512)*IFERROR(INDEX(계정대체기준!$E$20:$E$49,MATCH($N1512,계정대체기준!$A$20:$A$49,0)),0)))</f>
        <v/>
      </c>
      <c r="AC1512" s="9">
        <f>IF(AND($A1512&lt;&gt;"",M1512=설정!$C$20,Z1512&gt;0),Z1512+ROW()/1000000000,"")</f>
        <v/>
      </c>
      <c r="AD1512" s="94">
        <f>IF($A1512="",0,$P1512*AG1512)</f>
        <v/>
      </c>
      <c r="AE1512" s="64">
        <f>IF($A1512="","",IFERROR(INDEX(계정매핑!$E$5:$E$504,MATCH($F1512&amp;"",계정매핑!$A$5:$A$504,0))&amp;"","공통비"))</f>
        <v/>
      </c>
      <c r="AF1512" s="64">
        <f>IF($A1512="","",IF(AE1512="직접",IFERROR(INDEX(계정매핑!$F$5:$F$504,MATCH($F1512&amp;"",계정매핑!$A$5:$A$504,0))&amp;"","비귀속"),""))</f>
        <v/>
      </c>
      <c r="AG1512" s="96">
        <f>IF($A1512="",0,IF(AND(AE1512&lt;&gt;"직접",IFERROR(INDEX(계정매핑!$G$5:$G$504,MATCH($F1512&amp;"",계정매핑!$A$5:$A$504,0))&amp;"","")="유지비",COUNTIF(계정대체기준!$A$6:$A$15,$N1512)&gt;0),IFERROR(INDEX(계정대체기준!$E$6:$E$15,MATCH(VALUE($A1512&amp;""),계정대체기준!$D$6:$D$15,0)),0),0))</f>
        <v/>
      </c>
      <c r="AH1512" s="64">
        <f>IF($A1512="","",IF(AD1512=0,"",IF(OR(COUNTIF(계정대체기준!$A$77:$A$86,$N1512)&gt;0,ISNUMBER(MATCH($X1512,계정대체기준!$D$77:$D$86,0)),ISNUMBER(MATCH($F1512,계정대체기준!$D$77:$D$86,0))),"Y","N")))</f>
        <v/>
      </c>
    </row>
    <row r="1513">
      <c r="A1513" s="92" t="n">
        <v>2025</v>
      </c>
      <c r="B1513" s="92" t="n">
        <v>7</v>
      </c>
      <c r="C1513" s="92" t="inlineStr">
        <is>
          <t>5100001509</t>
        </is>
      </c>
      <c r="D1513" s="95" t="n">
        <v>45857</v>
      </c>
      <c r="E1513" s="92" t="inlineStr">
        <is>
          <t>KR</t>
        </is>
      </c>
      <c r="F1513" s="92" t="n">
        <v>62902000</v>
      </c>
      <c r="G1513" s="92" t="n">
        <v>1201</v>
      </c>
      <c r="H1513" s="93" t="n">
        <v>2265000</v>
      </c>
      <c r="I1513" s="92" t="inlineStr">
        <is>
          <t>7월 업무 위탁 수수료 - J콜센터</t>
        </is>
      </c>
      <c r="J1513" s="92" t="inlineStr">
        <is>
          <t>V10016</t>
        </is>
      </c>
      <c r="K1513" s="92" t="inlineStr">
        <is>
          <t>J콜센터</t>
        </is>
      </c>
      <c r="M1513" s="9">
        <f>IF($A1513="","",VALUE($A1513&amp;"")*12+VALUE($B1513&amp;""))</f>
        <v/>
      </c>
      <c r="N1513" s="64">
        <f>IF($A1513="","",IFERROR(INDEX(부서매핑!$C$5:$C$504,MATCH($G1513&amp;"",부서매핑!$A$5:$A$504,0)),"미매핑"))</f>
        <v/>
      </c>
      <c r="O1513" s="9">
        <f>IF($A1513="","",N1513&amp;"|"&amp;$F1513)</f>
        <v/>
      </c>
      <c r="P1513" s="94">
        <f>IF($A1513="",0,$H1513*설정!$C$23)</f>
        <v/>
      </c>
      <c r="Q1513" s="64">
        <f>IF($A1513="","",IF(O1513&lt;&gt;원인분석!$C$9,"",IF(AND(M1513&gt;=원인분석!$C$10,M1513&lt;=원인분석!$C$11),"당기",IF(AND(M1513&gt;=원인분석!$C$12,M1513&lt;=원인분석!$C$13),"비교",""))))</f>
        <v/>
      </c>
      <c r="R1513" s="9">
        <f>IF(Q1513="","",$K1513&amp;"")</f>
        <v/>
      </c>
      <c r="S1513" s="9">
        <f>IF(Q1513="","",IF(MATCH(R1513,$R$5:$R$100000,0)=ROW()-4,ROW(),""))</f>
        <v/>
      </c>
      <c r="T1513" s="9">
        <f>IF(Q1513="당기",ABS(P1513)+ROW()/1000000000,"")</f>
        <v/>
      </c>
      <c r="U1513" s="9">
        <f>IF(Q1513="비교",ABS(P1513)+ROW()/1000000000,"")</f>
        <v/>
      </c>
      <c r="V1513" s="64">
        <f>IF($A1513="","",IF(COUNTIF(변동분석!$E$7:$E$506,O1513)&gt;0,"Y","N"))</f>
        <v/>
      </c>
      <c r="W1513" s="64">
        <f>IF($A1513="","",IFERROR(INDEX(계정매핑!$D$5:$D$504,MATCH($F1513&amp;"",계정매핑!$A$5:$A$504,0)),"미매핑"))</f>
        <v/>
      </c>
      <c r="X1513" s="9">
        <f>IF($A1513="","",$F1513&amp;"")</f>
        <v/>
      </c>
      <c r="Y1513" s="94">
        <f>IF($A1513="",0,IF(AE1513="직접",IF(AF1513="비귀속",$P1513,0),$P1513*(1-AG1513)*IFERROR(INDEX(계정대체기준!$F$20:$F$49,MATCH($N1513,계정대체기준!$A$20:$A$49,0)),1)))</f>
        <v/>
      </c>
      <c r="Z1513" s="94">
        <f>IF($A1513="",0,IF(AE1513="직접",IF(AF1513="신계약비",$P1513,0),$P1513*(1-AG1513)*IFERROR(INDEX(계정대체기준!$C$20:$C$49,MATCH($N1513,계정대체기준!$A$20:$A$49,0)),0)))</f>
        <v/>
      </c>
      <c r="AA1513" s="94">
        <f>IF($A1513="",0,IF(AE1513="직접",IF(OR(AF1513="유지비",AF1513="손해조사비"),$P1513,0),$P1513*(1-AG1513)*IFERROR(INDEX(계정대체기준!$D$20:$D$49,MATCH($N1513,계정대체기준!$A$20:$A$49,0)),0)))</f>
        <v/>
      </c>
      <c r="AB1513" s="94">
        <f>IF($A1513="",0,IF(AE1513="직접",IF(AF1513="수금비",$P1513,0),$P1513*(1-AG1513)*IFERROR(INDEX(계정대체기준!$E$20:$E$49,MATCH($N1513,계정대체기준!$A$20:$A$49,0)),0)))</f>
        <v/>
      </c>
      <c r="AC1513" s="9">
        <f>IF(AND($A1513&lt;&gt;"",M1513=설정!$C$20,Z1513&gt;0),Z1513+ROW()/1000000000,"")</f>
        <v/>
      </c>
      <c r="AD1513" s="94">
        <f>IF($A1513="",0,$P1513*AG1513)</f>
        <v/>
      </c>
      <c r="AE1513" s="64">
        <f>IF($A1513="","",IFERROR(INDEX(계정매핑!$E$5:$E$504,MATCH($F1513&amp;"",계정매핑!$A$5:$A$504,0))&amp;"","공통비"))</f>
        <v/>
      </c>
      <c r="AF1513" s="64">
        <f>IF($A1513="","",IF(AE1513="직접",IFERROR(INDEX(계정매핑!$F$5:$F$504,MATCH($F1513&amp;"",계정매핑!$A$5:$A$504,0))&amp;"","비귀속"),""))</f>
        <v/>
      </c>
      <c r="AG1513" s="96">
        <f>IF($A1513="",0,IF(AND(AE1513&lt;&gt;"직접",IFERROR(INDEX(계정매핑!$G$5:$G$504,MATCH($F1513&amp;"",계정매핑!$A$5:$A$504,0))&amp;"","")="유지비",COUNTIF(계정대체기준!$A$6:$A$15,$N1513)&gt;0),IFERROR(INDEX(계정대체기준!$E$6:$E$15,MATCH(VALUE($A1513&amp;""),계정대체기준!$D$6:$D$15,0)),0),0))</f>
        <v/>
      </c>
      <c r="AH1513" s="64">
        <f>IF($A1513="","",IF(AD1513=0,"",IF(OR(COUNTIF(계정대체기준!$A$77:$A$86,$N1513)&gt;0,ISNUMBER(MATCH($X1513,계정대체기준!$D$77:$D$86,0)),ISNUMBER(MATCH($F1513,계정대체기준!$D$77:$D$86,0))),"Y","N")))</f>
        <v/>
      </c>
    </row>
    <row r="1514">
      <c r="A1514" s="92" t="n">
        <v>2025</v>
      </c>
      <c r="B1514" s="92" t="n">
        <v>7</v>
      </c>
      <c r="C1514" s="92" t="inlineStr">
        <is>
          <t>5100001510</t>
        </is>
      </c>
      <c r="D1514" s="95" t="n">
        <v>45857</v>
      </c>
      <c r="E1514" s="92" t="inlineStr">
        <is>
          <t>KR</t>
        </is>
      </c>
      <c r="F1514" s="92" t="n">
        <v>63001000</v>
      </c>
      <c r="G1514" s="92" t="n">
        <v>1951</v>
      </c>
      <c r="H1514" s="93" t="n">
        <v>2535000</v>
      </c>
      <c r="I1514" s="92" t="inlineStr">
        <is>
          <t>7월 SW 유지보수 - Y소프트</t>
        </is>
      </c>
      <c r="J1514" s="92" t="inlineStr">
        <is>
          <t>V10017</t>
        </is>
      </c>
      <c r="K1514" s="92" t="inlineStr">
        <is>
          <t>Y소프트</t>
        </is>
      </c>
      <c r="M1514" s="9">
        <f>IF($A1514="","",VALUE($A1514&amp;"")*12+VALUE($B1514&amp;""))</f>
        <v/>
      </c>
      <c r="N1514" s="64">
        <f>IF($A1514="","",IFERROR(INDEX(부서매핑!$C$5:$C$504,MATCH($G1514&amp;"",부서매핑!$A$5:$A$504,0)),"미매핑"))</f>
        <v/>
      </c>
      <c r="O1514" s="9">
        <f>IF($A1514="","",N1514&amp;"|"&amp;$F1514)</f>
        <v/>
      </c>
      <c r="P1514" s="94">
        <f>IF($A1514="",0,$H1514*설정!$C$23)</f>
        <v/>
      </c>
      <c r="Q1514" s="64">
        <f>IF($A1514="","",IF(O1514&lt;&gt;원인분석!$C$9,"",IF(AND(M1514&gt;=원인분석!$C$10,M1514&lt;=원인분석!$C$11),"당기",IF(AND(M1514&gt;=원인분석!$C$12,M1514&lt;=원인분석!$C$13),"비교",""))))</f>
        <v/>
      </c>
      <c r="R1514" s="9">
        <f>IF(Q1514="","",$K1514&amp;"")</f>
        <v/>
      </c>
      <c r="S1514" s="9">
        <f>IF(Q1514="","",IF(MATCH(R1514,$R$5:$R$100000,0)=ROW()-4,ROW(),""))</f>
        <v/>
      </c>
      <c r="T1514" s="9">
        <f>IF(Q1514="당기",ABS(P1514)+ROW()/1000000000,"")</f>
        <v/>
      </c>
      <c r="U1514" s="9">
        <f>IF(Q1514="비교",ABS(P1514)+ROW()/1000000000,"")</f>
        <v/>
      </c>
      <c r="V1514" s="64">
        <f>IF($A1514="","",IF(COUNTIF(변동분석!$E$7:$E$506,O1514)&gt;0,"Y","N"))</f>
        <v/>
      </c>
      <c r="W1514" s="64">
        <f>IF($A1514="","",IFERROR(INDEX(계정매핑!$D$5:$D$504,MATCH($F1514&amp;"",계정매핑!$A$5:$A$504,0)),"미매핑"))</f>
        <v/>
      </c>
      <c r="X1514" s="9">
        <f>IF($A1514="","",$F1514&amp;"")</f>
        <v/>
      </c>
      <c r="Y1514" s="94">
        <f>IF($A1514="",0,IF(AE1514="직접",IF(AF1514="비귀속",$P1514,0),$P1514*(1-AG1514)*IFERROR(INDEX(계정대체기준!$F$20:$F$49,MATCH($N1514,계정대체기준!$A$20:$A$49,0)),1)))</f>
        <v/>
      </c>
      <c r="Z1514" s="94">
        <f>IF($A1514="",0,IF(AE1514="직접",IF(AF1514="신계약비",$P1514,0),$P1514*(1-AG1514)*IFERROR(INDEX(계정대체기준!$C$20:$C$49,MATCH($N1514,계정대체기준!$A$20:$A$49,0)),0)))</f>
        <v/>
      </c>
      <c r="AA1514" s="94">
        <f>IF($A1514="",0,IF(AE1514="직접",IF(OR(AF1514="유지비",AF1514="손해조사비"),$P1514,0),$P1514*(1-AG1514)*IFERROR(INDEX(계정대체기준!$D$20:$D$49,MATCH($N1514,계정대체기준!$A$20:$A$49,0)),0)))</f>
        <v/>
      </c>
      <c r="AB1514" s="94">
        <f>IF($A1514="",0,IF(AE1514="직접",IF(AF1514="수금비",$P1514,0),$P1514*(1-AG1514)*IFERROR(INDEX(계정대체기준!$E$20:$E$49,MATCH($N1514,계정대체기준!$A$20:$A$49,0)),0)))</f>
        <v/>
      </c>
      <c r="AC1514" s="9">
        <f>IF(AND($A1514&lt;&gt;"",M1514=설정!$C$20,Z1514&gt;0),Z1514+ROW()/1000000000,"")</f>
        <v/>
      </c>
      <c r="AD1514" s="94">
        <f>IF($A1514="",0,$P1514*AG1514)</f>
        <v/>
      </c>
      <c r="AE1514" s="64">
        <f>IF($A1514="","",IFERROR(INDEX(계정매핑!$E$5:$E$504,MATCH($F1514&amp;"",계정매핑!$A$5:$A$504,0))&amp;"","공통비"))</f>
        <v/>
      </c>
      <c r="AF1514" s="64">
        <f>IF($A1514="","",IF(AE1514="직접",IFERROR(INDEX(계정매핑!$F$5:$F$504,MATCH($F1514&amp;"",계정매핑!$A$5:$A$504,0))&amp;"","비귀속"),""))</f>
        <v/>
      </c>
      <c r="AG1514" s="96">
        <f>IF($A1514="",0,IF(AND(AE1514&lt;&gt;"직접",IFERROR(INDEX(계정매핑!$G$5:$G$504,MATCH($F1514&amp;"",계정매핑!$A$5:$A$504,0))&amp;"","")="유지비",COUNTIF(계정대체기준!$A$6:$A$15,$N1514)&gt;0),IFERROR(INDEX(계정대체기준!$E$6:$E$15,MATCH(VALUE($A1514&amp;""),계정대체기준!$D$6:$D$15,0)),0),0))</f>
        <v/>
      </c>
      <c r="AH1514" s="64">
        <f>IF($A1514="","",IF(AD1514=0,"",IF(OR(COUNTIF(계정대체기준!$A$77:$A$86,$N1514)&gt;0,ISNUMBER(MATCH($X1514,계정대체기준!$D$77:$D$86,0)),ISNUMBER(MATCH($F1514,계정대체기준!$D$77:$D$86,0))),"Y","N")))</f>
        <v/>
      </c>
    </row>
    <row r="1515">
      <c r="A1515" s="92" t="n">
        <v>2025</v>
      </c>
      <c r="B1515" s="92" t="n">
        <v>7</v>
      </c>
      <c r="C1515" s="92" t="inlineStr">
        <is>
          <t>5100001511</t>
        </is>
      </c>
      <c r="D1515" s="95" t="n">
        <v>45858</v>
      </c>
      <c r="E1515" s="92" t="inlineStr">
        <is>
          <t>KR</t>
        </is>
      </c>
      <c r="F1515" s="92" t="n">
        <v>62101000</v>
      </c>
      <c r="G1515" s="92" t="n">
        <v>1101</v>
      </c>
      <c r="H1515" s="93" t="n">
        <v>574000</v>
      </c>
      <c r="I1515" s="92" t="inlineStr">
        <is>
          <t>7월 국내출장 - L여행사</t>
        </is>
      </c>
      <c r="J1515" s="92" t="inlineStr">
        <is>
          <t>V10018</t>
        </is>
      </c>
      <c r="K1515" s="92" t="inlineStr">
        <is>
          <t>L여행사</t>
        </is>
      </c>
      <c r="M1515" s="9">
        <f>IF($A1515="","",VALUE($A1515&amp;"")*12+VALUE($B1515&amp;""))</f>
        <v/>
      </c>
      <c r="N1515" s="64">
        <f>IF($A1515="","",IFERROR(INDEX(부서매핑!$C$5:$C$504,MATCH($G1515&amp;"",부서매핑!$A$5:$A$504,0)),"미매핑"))</f>
        <v/>
      </c>
      <c r="O1515" s="9">
        <f>IF($A1515="","",N1515&amp;"|"&amp;$F1515)</f>
        <v/>
      </c>
      <c r="P1515" s="94">
        <f>IF($A1515="",0,$H1515*설정!$C$23)</f>
        <v/>
      </c>
      <c r="Q1515" s="64">
        <f>IF($A1515="","",IF(O1515&lt;&gt;원인분석!$C$9,"",IF(AND(M1515&gt;=원인분석!$C$10,M1515&lt;=원인분석!$C$11),"당기",IF(AND(M1515&gt;=원인분석!$C$12,M1515&lt;=원인분석!$C$13),"비교",""))))</f>
        <v/>
      </c>
      <c r="R1515" s="9">
        <f>IF(Q1515="","",$K1515&amp;"")</f>
        <v/>
      </c>
      <c r="S1515" s="9">
        <f>IF(Q1515="","",IF(MATCH(R1515,$R$5:$R$100000,0)=ROW()-4,ROW(),""))</f>
        <v/>
      </c>
      <c r="T1515" s="9">
        <f>IF(Q1515="당기",ABS(P1515)+ROW()/1000000000,"")</f>
        <v/>
      </c>
      <c r="U1515" s="9">
        <f>IF(Q1515="비교",ABS(P1515)+ROW()/1000000000,"")</f>
        <v/>
      </c>
      <c r="V1515" s="64">
        <f>IF($A1515="","",IF(COUNTIF(변동분석!$E$7:$E$506,O1515)&gt;0,"Y","N"))</f>
        <v/>
      </c>
      <c r="W1515" s="64">
        <f>IF($A1515="","",IFERROR(INDEX(계정매핑!$D$5:$D$504,MATCH($F1515&amp;"",계정매핑!$A$5:$A$504,0)),"미매핑"))</f>
        <v/>
      </c>
      <c r="X1515" s="9">
        <f>IF($A1515="","",$F1515&amp;"")</f>
        <v/>
      </c>
      <c r="Y1515" s="94">
        <f>IF($A1515="",0,IF(AE1515="직접",IF(AF1515="비귀속",$P1515,0),$P1515*(1-AG1515)*IFERROR(INDEX(계정대체기준!$F$20:$F$49,MATCH($N1515,계정대체기준!$A$20:$A$49,0)),1)))</f>
        <v/>
      </c>
      <c r="Z1515" s="94">
        <f>IF($A1515="",0,IF(AE1515="직접",IF(AF1515="신계약비",$P1515,0),$P1515*(1-AG1515)*IFERROR(INDEX(계정대체기준!$C$20:$C$49,MATCH($N1515,계정대체기준!$A$20:$A$49,0)),0)))</f>
        <v/>
      </c>
      <c r="AA1515" s="94">
        <f>IF($A1515="",0,IF(AE1515="직접",IF(OR(AF1515="유지비",AF1515="손해조사비"),$P1515,0),$P1515*(1-AG1515)*IFERROR(INDEX(계정대체기준!$D$20:$D$49,MATCH($N1515,계정대체기준!$A$20:$A$49,0)),0)))</f>
        <v/>
      </c>
      <c r="AB1515" s="94">
        <f>IF($A1515="",0,IF(AE1515="직접",IF(AF1515="수금비",$P1515,0),$P1515*(1-AG1515)*IFERROR(INDEX(계정대체기준!$E$20:$E$49,MATCH($N1515,계정대체기준!$A$20:$A$49,0)),0)))</f>
        <v/>
      </c>
      <c r="AC1515" s="9">
        <f>IF(AND($A1515&lt;&gt;"",M1515=설정!$C$20,Z1515&gt;0),Z1515+ROW()/1000000000,"")</f>
        <v/>
      </c>
      <c r="AD1515" s="94">
        <f>IF($A1515="",0,$P1515*AG1515)</f>
        <v/>
      </c>
      <c r="AE1515" s="64">
        <f>IF($A1515="","",IFERROR(INDEX(계정매핑!$E$5:$E$504,MATCH($F1515&amp;"",계정매핑!$A$5:$A$504,0))&amp;"","공통비"))</f>
        <v/>
      </c>
      <c r="AF1515" s="64">
        <f>IF($A1515="","",IF(AE1515="직접",IFERROR(INDEX(계정매핑!$F$5:$F$504,MATCH($F1515&amp;"",계정매핑!$A$5:$A$504,0))&amp;"","비귀속"),""))</f>
        <v/>
      </c>
      <c r="AG1515" s="96">
        <f>IF($A1515="",0,IF(AND(AE1515&lt;&gt;"직접",IFERROR(INDEX(계정매핑!$G$5:$G$504,MATCH($F1515&amp;"",계정매핑!$A$5:$A$504,0))&amp;"","")="유지비",COUNTIF(계정대체기준!$A$6:$A$15,$N1515)&gt;0),IFERROR(INDEX(계정대체기준!$E$6:$E$15,MATCH(VALUE($A1515&amp;""),계정대체기준!$D$6:$D$15,0)),0),0))</f>
        <v/>
      </c>
      <c r="AH1515" s="64">
        <f>IF($A1515="","",IF(AD1515=0,"",IF(OR(COUNTIF(계정대체기준!$A$77:$A$86,$N1515)&gt;0,ISNUMBER(MATCH($X1515,계정대체기준!$D$77:$D$86,0)),ISNUMBER(MATCH($F1515,계정대체기준!$D$77:$D$86,0))),"Y","N")))</f>
        <v/>
      </c>
    </row>
    <row r="1516">
      <c r="A1516" s="92" t="n">
        <v>2025</v>
      </c>
      <c r="B1516" s="92" t="n">
        <v>7</v>
      </c>
      <c r="C1516" s="92" t="inlineStr">
        <is>
          <t>5100001512</t>
        </is>
      </c>
      <c r="D1516" s="95" t="n">
        <v>45858</v>
      </c>
      <c r="E1516" s="92" t="inlineStr">
        <is>
          <t>KR</t>
        </is>
      </c>
      <c r="F1516" s="92" t="n">
        <v>62101000</v>
      </c>
      <c r="G1516" s="92" t="n">
        <v>1201</v>
      </c>
      <c r="H1516" s="93" t="n">
        <v>353000</v>
      </c>
      <c r="I1516" s="92" t="inlineStr">
        <is>
          <t>7월 국내출장 - (법인카드)</t>
        </is>
      </c>
      <c r="J1516" s="92" t="inlineStr">
        <is>
          <t>V10010</t>
        </is>
      </c>
      <c r="K1516" s="92" t="inlineStr">
        <is>
          <t>(법인카드)</t>
        </is>
      </c>
      <c r="M1516" s="9">
        <f>IF($A1516="","",VALUE($A1516&amp;"")*12+VALUE($B1516&amp;""))</f>
        <v/>
      </c>
      <c r="N1516" s="64">
        <f>IF($A1516="","",IFERROR(INDEX(부서매핑!$C$5:$C$504,MATCH($G1516&amp;"",부서매핑!$A$5:$A$504,0)),"미매핑"))</f>
        <v/>
      </c>
      <c r="O1516" s="9">
        <f>IF($A1516="","",N1516&amp;"|"&amp;$F1516)</f>
        <v/>
      </c>
      <c r="P1516" s="94">
        <f>IF($A1516="",0,$H1516*설정!$C$23)</f>
        <v/>
      </c>
      <c r="Q1516" s="64">
        <f>IF($A1516="","",IF(O1516&lt;&gt;원인분석!$C$9,"",IF(AND(M1516&gt;=원인분석!$C$10,M1516&lt;=원인분석!$C$11),"당기",IF(AND(M1516&gt;=원인분석!$C$12,M1516&lt;=원인분석!$C$13),"비교",""))))</f>
        <v/>
      </c>
      <c r="R1516" s="9">
        <f>IF(Q1516="","",$K1516&amp;"")</f>
        <v/>
      </c>
      <c r="S1516" s="9">
        <f>IF(Q1516="","",IF(MATCH(R1516,$R$5:$R$100000,0)=ROW()-4,ROW(),""))</f>
        <v/>
      </c>
      <c r="T1516" s="9">
        <f>IF(Q1516="당기",ABS(P1516)+ROW()/1000000000,"")</f>
        <v/>
      </c>
      <c r="U1516" s="9">
        <f>IF(Q1516="비교",ABS(P1516)+ROW()/1000000000,"")</f>
        <v/>
      </c>
      <c r="V1516" s="64">
        <f>IF($A1516="","",IF(COUNTIF(변동분석!$E$7:$E$506,O1516)&gt;0,"Y","N"))</f>
        <v/>
      </c>
      <c r="W1516" s="64">
        <f>IF($A1516="","",IFERROR(INDEX(계정매핑!$D$5:$D$504,MATCH($F1516&amp;"",계정매핑!$A$5:$A$504,0)),"미매핑"))</f>
        <v/>
      </c>
      <c r="X1516" s="9">
        <f>IF($A1516="","",$F1516&amp;"")</f>
        <v/>
      </c>
      <c r="Y1516" s="94">
        <f>IF($A1516="",0,IF(AE1516="직접",IF(AF1516="비귀속",$P1516,0),$P1516*(1-AG1516)*IFERROR(INDEX(계정대체기준!$F$20:$F$49,MATCH($N1516,계정대체기준!$A$20:$A$49,0)),1)))</f>
        <v/>
      </c>
      <c r="Z1516" s="94">
        <f>IF($A1516="",0,IF(AE1516="직접",IF(AF1516="신계약비",$P1516,0),$P1516*(1-AG1516)*IFERROR(INDEX(계정대체기준!$C$20:$C$49,MATCH($N1516,계정대체기준!$A$20:$A$49,0)),0)))</f>
        <v/>
      </c>
      <c r="AA1516" s="94">
        <f>IF($A1516="",0,IF(AE1516="직접",IF(OR(AF1516="유지비",AF1516="손해조사비"),$P1516,0),$P1516*(1-AG1516)*IFERROR(INDEX(계정대체기준!$D$20:$D$49,MATCH($N1516,계정대체기준!$A$20:$A$49,0)),0)))</f>
        <v/>
      </c>
      <c r="AB1516" s="94">
        <f>IF($A1516="",0,IF(AE1516="직접",IF(AF1516="수금비",$P1516,0),$P1516*(1-AG1516)*IFERROR(INDEX(계정대체기준!$E$20:$E$49,MATCH($N1516,계정대체기준!$A$20:$A$49,0)),0)))</f>
        <v/>
      </c>
      <c r="AC1516" s="9">
        <f>IF(AND($A1516&lt;&gt;"",M1516=설정!$C$20,Z1516&gt;0),Z1516+ROW()/1000000000,"")</f>
        <v/>
      </c>
      <c r="AD1516" s="94">
        <f>IF($A1516="",0,$P1516*AG1516)</f>
        <v/>
      </c>
      <c r="AE1516" s="64">
        <f>IF($A1516="","",IFERROR(INDEX(계정매핑!$E$5:$E$504,MATCH($F1516&amp;"",계정매핑!$A$5:$A$504,0))&amp;"","공통비"))</f>
        <v/>
      </c>
      <c r="AF1516" s="64">
        <f>IF($A1516="","",IF(AE1516="직접",IFERROR(INDEX(계정매핑!$F$5:$F$504,MATCH($F1516&amp;"",계정매핑!$A$5:$A$504,0))&amp;"","비귀속"),""))</f>
        <v/>
      </c>
      <c r="AG1516" s="96">
        <f>IF($A1516="",0,IF(AND(AE1516&lt;&gt;"직접",IFERROR(INDEX(계정매핑!$G$5:$G$504,MATCH($F1516&amp;"",계정매핑!$A$5:$A$504,0))&amp;"","")="유지비",COUNTIF(계정대체기준!$A$6:$A$15,$N1516)&gt;0),IFERROR(INDEX(계정대체기준!$E$6:$E$15,MATCH(VALUE($A1516&amp;""),계정대체기준!$D$6:$D$15,0)),0),0))</f>
        <v/>
      </c>
      <c r="AH1516" s="64">
        <f>IF($A1516="","",IF(AD1516=0,"",IF(OR(COUNTIF(계정대체기준!$A$77:$A$86,$N1516)&gt;0,ISNUMBER(MATCH($X1516,계정대체기준!$D$77:$D$86,0)),ISNUMBER(MATCH($F1516,계정대체기준!$D$77:$D$86,0))),"Y","N")))</f>
        <v/>
      </c>
    </row>
    <row r="1517">
      <c r="A1517" s="92" t="n">
        <v>2025</v>
      </c>
      <c r="B1517" s="92" t="n">
        <v>7</v>
      </c>
      <c r="C1517" s="92" t="inlineStr">
        <is>
          <t>5100001513</t>
        </is>
      </c>
      <c r="D1517" s="95" t="n">
        <v>45858</v>
      </c>
      <c r="E1517" s="92" t="inlineStr">
        <is>
          <t>KR</t>
        </is>
      </c>
      <c r="F1517" s="92" t="n">
        <v>62101000</v>
      </c>
      <c r="G1517" s="92" t="n">
        <v>1502</v>
      </c>
      <c r="H1517" s="93" t="n">
        <v>924000</v>
      </c>
      <c r="I1517" s="92" t="inlineStr">
        <is>
          <t>7월 국내출장 - M항공</t>
        </is>
      </c>
      <c r="J1517" s="92" t="inlineStr">
        <is>
          <t>V10001</t>
        </is>
      </c>
      <c r="K1517" s="92" t="inlineStr">
        <is>
          <t>M항공</t>
        </is>
      </c>
      <c r="M1517" s="9">
        <f>IF($A1517="","",VALUE($A1517&amp;"")*12+VALUE($B1517&amp;""))</f>
        <v/>
      </c>
      <c r="N1517" s="64">
        <f>IF($A1517="","",IFERROR(INDEX(부서매핑!$C$5:$C$504,MATCH($G1517&amp;"",부서매핑!$A$5:$A$504,0)),"미매핑"))</f>
        <v/>
      </c>
      <c r="O1517" s="9">
        <f>IF($A1517="","",N1517&amp;"|"&amp;$F1517)</f>
        <v/>
      </c>
      <c r="P1517" s="94">
        <f>IF($A1517="",0,$H1517*설정!$C$23)</f>
        <v/>
      </c>
      <c r="Q1517" s="64">
        <f>IF($A1517="","",IF(O1517&lt;&gt;원인분석!$C$9,"",IF(AND(M1517&gt;=원인분석!$C$10,M1517&lt;=원인분석!$C$11),"당기",IF(AND(M1517&gt;=원인분석!$C$12,M1517&lt;=원인분석!$C$13),"비교",""))))</f>
        <v/>
      </c>
      <c r="R1517" s="9">
        <f>IF(Q1517="","",$K1517&amp;"")</f>
        <v/>
      </c>
      <c r="S1517" s="9">
        <f>IF(Q1517="","",IF(MATCH(R1517,$R$5:$R$100000,0)=ROW()-4,ROW(),""))</f>
        <v/>
      </c>
      <c r="T1517" s="9">
        <f>IF(Q1517="당기",ABS(P1517)+ROW()/1000000000,"")</f>
        <v/>
      </c>
      <c r="U1517" s="9">
        <f>IF(Q1517="비교",ABS(P1517)+ROW()/1000000000,"")</f>
        <v/>
      </c>
      <c r="V1517" s="64">
        <f>IF($A1517="","",IF(COUNTIF(변동분석!$E$7:$E$506,O1517)&gt;0,"Y","N"))</f>
        <v/>
      </c>
      <c r="W1517" s="64">
        <f>IF($A1517="","",IFERROR(INDEX(계정매핑!$D$5:$D$504,MATCH($F1517&amp;"",계정매핑!$A$5:$A$504,0)),"미매핑"))</f>
        <v/>
      </c>
      <c r="X1517" s="9">
        <f>IF($A1517="","",$F1517&amp;"")</f>
        <v/>
      </c>
      <c r="Y1517" s="94">
        <f>IF($A1517="",0,IF(AE1517="직접",IF(AF1517="비귀속",$P1517,0),$P1517*(1-AG1517)*IFERROR(INDEX(계정대체기준!$F$20:$F$49,MATCH($N1517,계정대체기준!$A$20:$A$49,0)),1)))</f>
        <v/>
      </c>
      <c r="Z1517" s="94">
        <f>IF($A1517="",0,IF(AE1517="직접",IF(AF1517="신계약비",$P1517,0),$P1517*(1-AG1517)*IFERROR(INDEX(계정대체기준!$C$20:$C$49,MATCH($N1517,계정대체기준!$A$20:$A$49,0)),0)))</f>
        <v/>
      </c>
      <c r="AA1517" s="94">
        <f>IF($A1517="",0,IF(AE1517="직접",IF(OR(AF1517="유지비",AF1517="손해조사비"),$P1517,0),$P1517*(1-AG1517)*IFERROR(INDEX(계정대체기준!$D$20:$D$49,MATCH($N1517,계정대체기준!$A$20:$A$49,0)),0)))</f>
        <v/>
      </c>
      <c r="AB1517" s="94">
        <f>IF($A1517="",0,IF(AE1517="직접",IF(AF1517="수금비",$P1517,0),$P1517*(1-AG1517)*IFERROR(INDEX(계정대체기준!$E$20:$E$49,MATCH($N1517,계정대체기준!$A$20:$A$49,0)),0)))</f>
        <v/>
      </c>
      <c r="AC1517" s="9">
        <f>IF(AND($A1517&lt;&gt;"",M1517=설정!$C$20,Z1517&gt;0),Z1517+ROW()/1000000000,"")</f>
        <v/>
      </c>
      <c r="AD1517" s="94">
        <f>IF($A1517="",0,$P1517*AG1517)</f>
        <v/>
      </c>
      <c r="AE1517" s="64">
        <f>IF($A1517="","",IFERROR(INDEX(계정매핑!$E$5:$E$504,MATCH($F1517&amp;"",계정매핑!$A$5:$A$504,0))&amp;"","공통비"))</f>
        <v/>
      </c>
      <c r="AF1517" s="64">
        <f>IF($A1517="","",IF(AE1517="직접",IFERROR(INDEX(계정매핑!$F$5:$F$504,MATCH($F1517&amp;"",계정매핑!$A$5:$A$504,0))&amp;"","비귀속"),""))</f>
        <v/>
      </c>
      <c r="AG1517" s="96">
        <f>IF($A1517="",0,IF(AND(AE1517&lt;&gt;"직접",IFERROR(INDEX(계정매핑!$G$5:$G$504,MATCH($F1517&amp;"",계정매핑!$A$5:$A$504,0))&amp;"","")="유지비",COUNTIF(계정대체기준!$A$6:$A$15,$N1517)&gt;0),IFERROR(INDEX(계정대체기준!$E$6:$E$15,MATCH(VALUE($A1517&amp;""),계정대체기준!$D$6:$D$15,0)),0),0))</f>
        <v/>
      </c>
      <c r="AH1517" s="64">
        <f>IF($A1517="","",IF(AD1517=0,"",IF(OR(COUNTIF(계정대체기준!$A$77:$A$86,$N1517)&gt;0,ISNUMBER(MATCH($X1517,계정대체기준!$D$77:$D$86,0)),ISNUMBER(MATCH($F1517,계정대체기준!$D$77:$D$86,0))),"Y","N")))</f>
        <v/>
      </c>
    </row>
    <row r="1518">
      <c r="A1518" s="92" t="n">
        <v>2025</v>
      </c>
      <c r="B1518" s="92" t="n">
        <v>7</v>
      </c>
      <c r="C1518" s="92" t="inlineStr">
        <is>
          <t>5100001514</t>
        </is>
      </c>
      <c r="D1518" s="95" t="n">
        <v>45858</v>
      </c>
      <c r="E1518" s="92" t="inlineStr">
        <is>
          <t>KR</t>
        </is>
      </c>
      <c r="F1518" s="92" t="n">
        <v>62102000</v>
      </c>
      <c r="G1518" s="92" t="n">
        <v>1601</v>
      </c>
      <c r="H1518" s="93" t="n">
        <v>218000</v>
      </c>
      <c r="I1518" s="92" t="inlineStr">
        <is>
          <t>7월 해외출장 - N호텔</t>
        </is>
      </c>
      <c r="J1518" s="92" t="inlineStr">
        <is>
          <t>V10009</t>
        </is>
      </c>
      <c r="K1518" s="92" t="inlineStr">
        <is>
          <t>N호텔</t>
        </is>
      </c>
      <c r="M1518" s="9">
        <f>IF($A1518="","",VALUE($A1518&amp;"")*12+VALUE($B1518&amp;""))</f>
        <v/>
      </c>
      <c r="N1518" s="64">
        <f>IF($A1518="","",IFERROR(INDEX(부서매핑!$C$5:$C$504,MATCH($G1518&amp;"",부서매핑!$A$5:$A$504,0)),"미매핑"))</f>
        <v/>
      </c>
      <c r="O1518" s="9">
        <f>IF($A1518="","",N1518&amp;"|"&amp;$F1518)</f>
        <v/>
      </c>
      <c r="P1518" s="94">
        <f>IF($A1518="",0,$H1518*설정!$C$23)</f>
        <v/>
      </c>
      <c r="Q1518" s="64">
        <f>IF($A1518="","",IF(O1518&lt;&gt;원인분석!$C$9,"",IF(AND(M1518&gt;=원인분석!$C$10,M1518&lt;=원인분석!$C$11),"당기",IF(AND(M1518&gt;=원인분석!$C$12,M1518&lt;=원인분석!$C$13),"비교",""))))</f>
        <v/>
      </c>
      <c r="R1518" s="9">
        <f>IF(Q1518="","",$K1518&amp;"")</f>
        <v/>
      </c>
      <c r="S1518" s="9">
        <f>IF(Q1518="","",IF(MATCH(R1518,$R$5:$R$100000,0)=ROW()-4,ROW(),""))</f>
        <v/>
      </c>
      <c r="T1518" s="9">
        <f>IF(Q1518="당기",ABS(P1518)+ROW()/1000000000,"")</f>
        <v/>
      </c>
      <c r="U1518" s="9">
        <f>IF(Q1518="비교",ABS(P1518)+ROW()/1000000000,"")</f>
        <v/>
      </c>
      <c r="V1518" s="64">
        <f>IF($A1518="","",IF(COUNTIF(변동분석!$E$7:$E$506,O1518)&gt;0,"Y","N"))</f>
        <v/>
      </c>
      <c r="W1518" s="64">
        <f>IF($A1518="","",IFERROR(INDEX(계정매핑!$D$5:$D$504,MATCH($F1518&amp;"",계정매핑!$A$5:$A$504,0)),"미매핑"))</f>
        <v/>
      </c>
      <c r="X1518" s="9">
        <f>IF($A1518="","",$F1518&amp;"")</f>
        <v/>
      </c>
      <c r="Y1518" s="94">
        <f>IF($A1518="",0,IF(AE1518="직접",IF(AF1518="비귀속",$P1518,0),$P1518*(1-AG1518)*IFERROR(INDEX(계정대체기준!$F$20:$F$49,MATCH($N1518,계정대체기준!$A$20:$A$49,0)),1)))</f>
        <v/>
      </c>
      <c r="Z1518" s="94">
        <f>IF($A1518="",0,IF(AE1518="직접",IF(AF1518="신계약비",$P1518,0),$P1518*(1-AG1518)*IFERROR(INDEX(계정대체기준!$C$20:$C$49,MATCH($N1518,계정대체기준!$A$20:$A$49,0)),0)))</f>
        <v/>
      </c>
      <c r="AA1518" s="94">
        <f>IF($A1518="",0,IF(AE1518="직접",IF(OR(AF1518="유지비",AF1518="손해조사비"),$P1518,0),$P1518*(1-AG1518)*IFERROR(INDEX(계정대체기준!$D$20:$D$49,MATCH($N1518,계정대체기준!$A$20:$A$49,0)),0)))</f>
        <v/>
      </c>
      <c r="AB1518" s="94">
        <f>IF($A1518="",0,IF(AE1518="직접",IF(AF1518="수금비",$P1518,0),$P1518*(1-AG1518)*IFERROR(INDEX(계정대체기준!$E$20:$E$49,MATCH($N1518,계정대체기준!$A$20:$A$49,0)),0)))</f>
        <v/>
      </c>
      <c r="AC1518" s="9">
        <f>IF(AND($A1518&lt;&gt;"",M1518=설정!$C$20,Z1518&gt;0),Z1518+ROW()/1000000000,"")</f>
        <v/>
      </c>
      <c r="AD1518" s="94">
        <f>IF($A1518="",0,$P1518*AG1518)</f>
        <v/>
      </c>
      <c r="AE1518" s="64">
        <f>IF($A1518="","",IFERROR(INDEX(계정매핑!$E$5:$E$504,MATCH($F1518&amp;"",계정매핑!$A$5:$A$504,0))&amp;"","공통비"))</f>
        <v/>
      </c>
      <c r="AF1518" s="64">
        <f>IF($A1518="","",IF(AE1518="직접",IFERROR(INDEX(계정매핑!$F$5:$F$504,MATCH($F1518&amp;"",계정매핑!$A$5:$A$504,0))&amp;"","비귀속"),""))</f>
        <v/>
      </c>
      <c r="AG1518" s="96">
        <f>IF($A1518="",0,IF(AND(AE1518&lt;&gt;"직접",IFERROR(INDEX(계정매핑!$G$5:$G$504,MATCH($F1518&amp;"",계정매핑!$A$5:$A$504,0))&amp;"","")="유지비",COUNTIF(계정대체기준!$A$6:$A$15,$N1518)&gt;0),IFERROR(INDEX(계정대체기준!$E$6:$E$15,MATCH(VALUE($A1518&amp;""),계정대체기준!$D$6:$D$15,0)),0),0))</f>
        <v/>
      </c>
      <c r="AH1518" s="64">
        <f>IF($A1518="","",IF(AD1518=0,"",IF(OR(COUNTIF(계정대체기준!$A$77:$A$86,$N1518)&gt;0,ISNUMBER(MATCH($X1518,계정대체기준!$D$77:$D$86,0)),ISNUMBER(MATCH($F1518,계정대체기준!$D$77:$D$86,0))),"Y","N")))</f>
        <v/>
      </c>
    </row>
    <row r="1519">
      <c r="A1519" s="92" t="n">
        <v>2025</v>
      </c>
      <c r="B1519" s="92" t="n">
        <v>7</v>
      </c>
      <c r="C1519" s="92" t="inlineStr">
        <is>
          <t>5100001515</t>
        </is>
      </c>
      <c r="D1519" s="95" t="n">
        <v>45858</v>
      </c>
      <c r="E1519" s="92" t="inlineStr">
        <is>
          <t>KR</t>
        </is>
      </c>
      <c r="F1519" s="92" t="n">
        <v>62201000</v>
      </c>
      <c r="G1519" s="92" t="n">
        <v>1301</v>
      </c>
      <c r="H1519" s="93" t="n">
        <v>116000</v>
      </c>
      <c r="I1519" s="92" t="inlineStr">
        <is>
          <t>7월 통신요금 - P통신</t>
        </is>
      </c>
      <c r="J1519" s="92" t="inlineStr">
        <is>
          <t>V10014</t>
        </is>
      </c>
      <c r="K1519" s="92" t="inlineStr">
        <is>
          <t>P통신</t>
        </is>
      </c>
      <c r="M1519" s="9">
        <f>IF($A1519="","",VALUE($A1519&amp;"")*12+VALUE($B1519&amp;""))</f>
        <v/>
      </c>
      <c r="N1519" s="64">
        <f>IF($A1519="","",IFERROR(INDEX(부서매핑!$C$5:$C$504,MATCH($G1519&amp;"",부서매핑!$A$5:$A$504,0)),"미매핑"))</f>
        <v/>
      </c>
      <c r="O1519" s="9">
        <f>IF($A1519="","",N1519&amp;"|"&amp;$F1519)</f>
        <v/>
      </c>
      <c r="P1519" s="94">
        <f>IF($A1519="",0,$H1519*설정!$C$23)</f>
        <v/>
      </c>
      <c r="Q1519" s="64">
        <f>IF($A1519="","",IF(O1519&lt;&gt;원인분석!$C$9,"",IF(AND(M1519&gt;=원인분석!$C$10,M1519&lt;=원인분석!$C$11),"당기",IF(AND(M1519&gt;=원인분석!$C$12,M1519&lt;=원인분석!$C$13),"비교",""))))</f>
        <v/>
      </c>
      <c r="R1519" s="9">
        <f>IF(Q1519="","",$K1519&amp;"")</f>
        <v/>
      </c>
      <c r="S1519" s="9">
        <f>IF(Q1519="","",IF(MATCH(R1519,$R$5:$R$100000,0)=ROW()-4,ROW(),""))</f>
        <v/>
      </c>
      <c r="T1519" s="9">
        <f>IF(Q1519="당기",ABS(P1519)+ROW()/1000000000,"")</f>
        <v/>
      </c>
      <c r="U1519" s="9">
        <f>IF(Q1519="비교",ABS(P1519)+ROW()/1000000000,"")</f>
        <v/>
      </c>
      <c r="V1519" s="64">
        <f>IF($A1519="","",IF(COUNTIF(변동분석!$E$7:$E$506,O1519)&gt;0,"Y","N"))</f>
        <v/>
      </c>
      <c r="W1519" s="64">
        <f>IF($A1519="","",IFERROR(INDEX(계정매핑!$D$5:$D$504,MATCH($F1519&amp;"",계정매핑!$A$5:$A$504,0)),"미매핑"))</f>
        <v/>
      </c>
      <c r="X1519" s="9">
        <f>IF($A1519="","",$F1519&amp;"")</f>
        <v/>
      </c>
      <c r="Y1519" s="94">
        <f>IF($A1519="",0,IF(AE1519="직접",IF(AF1519="비귀속",$P1519,0),$P1519*(1-AG1519)*IFERROR(INDEX(계정대체기준!$F$20:$F$49,MATCH($N1519,계정대체기준!$A$20:$A$49,0)),1)))</f>
        <v/>
      </c>
      <c r="Z1519" s="94">
        <f>IF($A1519="",0,IF(AE1519="직접",IF(AF1519="신계약비",$P1519,0),$P1519*(1-AG1519)*IFERROR(INDEX(계정대체기준!$C$20:$C$49,MATCH($N1519,계정대체기준!$A$20:$A$49,0)),0)))</f>
        <v/>
      </c>
      <c r="AA1519" s="94">
        <f>IF($A1519="",0,IF(AE1519="직접",IF(OR(AF1519="유지비",AF1519="손해조사비"),$P1519,0),$P1519*(1-AG1519)*IFERROR(INDEX(계정대체기준!$D$20:$D$49,MATCH($N1519,계정대체기준!$A$20:$A$49,0)),0)))</f>
        <v/>
      </c>
      <c r="AB1519" s="94">
        <f>IF($A1519="",0,IF(AE1519="직접",IF(AF1519="수금비",$P1519,0),$P1519*(1-AG1519)*IFERROR(INDEX(계정대체기준!$E$20:$E$49,MATCH($N1519,계정대체기준!$A$20:$A$49,0)),0)))</f>
        <v/>
      </c>
      <c r="AC1519" s="9">
        <f>IF(AND($A1519&lt;&gt;"",M1519=설정!$C$20,Z1519&gt;0),Z1519+ROW()/1000000000,"")</f>
        <v/>
      </c>
      <c r="AD1519" s="94">
        <f>IF($A1519="",0,$P1519*AG1519)</f>
        <v/>
      </c>
      <c r="AE1519" s="64">
        <f>IF($A1519="","",IFERROR(INDEX(계정매핑!$E$5:$E$504,MATCH($F1519&amp;"",계정매핑!$A$5:$A$504,0))&amp;"","공통비"))</f>
        <v/>
      </c>
      <c r="AF1519" s="64">
        <f>IF($A1519="","",IF(AE1519="직접",IFERROR(INDEX(계정매핑!$F$5:$F$504,MATCH($F1519&amp;"",계정매핑!$A$5:$A$504,0))&amp;"","비귀속"),""))</f>
        <v/>
      </c>
      <c r="AG1519" s="96">
        <f>IF($A1519="",0,IF(AND(AE1519&lt;&gt;"직접",IFERROR(INDEX(계정매핑!$G$5:$G$504,MATCH($F1519&amp;"",계정매핑!$A$5:$A$504,0))&amp;"","")="유지비",COUNTIF(계정대체기준!$A$6:$A$15,$N1519)&gt;0),IFERROR(INDEX(계정대체기준!$E$6:$E$15,MATCH(VALUE($A1519&amp;""),계정대체기준!$D$6:$D$15,0)),0),0))</f>
        <v/>
      </c>
      <c r="AH1519" s="64">
        <f>IF($A1519="","",IF(AD1519=0,"",IF(OR(COUNTIF(계정대체기준!$A$77:$A$86,$N1519)&gt;0,ISNUMBER(MATCH($X1519,계정대체기준!$D$77:$D$86,0)),ISNUMBER(MATCH($F1519,계정대체기준!$D$77:$D$86,0))),"Y","N")))</f>
        <v/>
      </c>
    </row>
    <row r="1520">
      <c r="A1520" s="92" t="n">
        <v>2025</v>
      </c>
      <c r="B1520" s="92" t="n">
        <v>7</v>
      </c>
      <c r="C1520" s="92" t="inlineStr">
        <is>
          <t>5100001516</t>
        </is>
      </c>
      <c r="D1520" s="95" t="n">
        <v>45858</v>
      </c>
      <c r="E1520" s="92" t="inlineStr">
        <is>
          <t>KR</t>
        </is>
      </c>
      <c r="F1520" s="92" t="n">
        <v>62201000</v>
      </c>
      <c r="G1520" s="92" t="n">
        <v>1501</v>
      </c>
      <c r="H1520" s="93" t="n">
        <v>442000</v>
      </c>
      <c r="I1520" s="92" t="inlineStr">
        <is>
          <t>7월 통신요금 - O텔레콤</t>
        </is>
      </c>
      <c r="J1520" s="92" t="inlineStr">
        <is>
          <t>V10002</t>
        </is>
      </c>
      <c r="K1520" s="92" t="inlineStr">
        <is>
          <t>O텔레콤</t>
        </is>
      </c>
      <c r="M1520" s="9">
        <f>IF($A1520="","",VALUE($A1520&amp;"")*12+VALUE($B1520&amp;""))</f>
        <v/>
      </c>
      <c r="N1520" s="64">
        <f>IF($A1520="","",IFERROR(INDEX(부서매핑!$C$5:$C$504,MATCH($G1520&amp;"",부서매핑!$A$5:$A$504,0)),"미매핑"))</f>
        <v/>
      </c>
      <c r="O1520" s="9">
        <f>IF($A1520="","",N1520&amp;"|"&amp;$F1520)</f>
        <v/>
      </c>
      <c r="P1520" s="94">
        <f>IF($A1520="",0,$H1520*설정!$C$23)</f>
        <v/>
      </c>
      <c r="Q1520" s="64">
        <f>IF($A1520="","",IF(O1520&lt;&gt;원인분석!$C$9,"",IF(AND(M1520&gt;=원인분석!$C$10,M1520&lt;=원인분석!$C$11),"당기",IF(AND(M1520&gt;=원인분석!$C$12,M1520&lt;=원인분석!$C$13),"비교",""))))</f>
        <v/>
      </c>
      <c r="R1520" s="9">
        <f>IF(Q1520="","",$K1520&amp;"")</f>
        <v/>
      </c>
      <c r="S1520" s="9">
        <f>IF(Q1520="","",IF(MATCH(R1520,$R$5:$R$100000,0)=ROW()-4,ROW(),""))</f>
        <v/>
      </c>
      <c r="T1520" s="9">
        <f>IF(Q1520="당기",ABS(P1520)+ROW()/1000000000,"")</f>
        <v/>
      </c>
      <c r="U1520" s="9">
        <f>IF(Q1520="비교",ABS(P1520)+ROW()/1000000000,"")</f>
        <v/>
      </c>
      <c r="V1520" s="64">
        <f>IF($A1520="","",IF(COUNTIF(변동분석!$E$7:$E$506,O1520)&gt;0,"Y","N"))</f>
        <v/>
      </c>
      <c r="W1520" s="64">
        <f>IF($A1520="","",IFERROR(INDEX(계정매핑!$D$5:$D$504,MATCH($F1520&amp;"",계정매핑!$A$5:$A$504,0)),"미매핑"))</f>
        <v/>
      </c>
      <c r="X1520" s="9">
        <f>IF($A1520="","",$F1520&amp;"")</f>
        <v/>
      </c>
      <c r="Y1520" s="94">
        <f>IF($A1520="",0,IF(AE1520="직접",IF(AF1520="비귀속",$P1520,0),$P1520*(1-AG1520)*IFERROR(INDEX(계정대체기준!$F$20:$F$49,MATCH($N1520,계정대체기준!$A$20:$A$49,0)),1)))</f>
        <v/>
      </c>
      <c r="Z1520" s="94">
        <f>IF($A1520="",0,IF(AE1520="직접",IF(AF1520="신계약비",$P1520,0),$P1520*(1-AG1520)*IFERROR(INDEX(계정대체기준!$C$20:$C$49,MATCH($N1520,계정대체기준!$A$20:$A$49,0)),0)))</f>
        <v/>
      </c>
      <c r="AA1520" s="94">
        <f>IF($A1520="",0,IF(AE1520="직접",IF(OR(AF1520="유지비",AF1520="손해조사비"),$P1520,0),$P1520*(1-AG1520)*IFERROR(INDEX(계정대체기준!$D$20:$D$49,MATCH($N1520,계정대체기준!$A$20:$A$49,0)),0)))</f>
        <v/>
      </c>
      <c r="AB1520" s="94">
        <f>IF($A1520="",0,IF(AE1520="직접",IF(AF1520="수금비",$P1520,0),$P1520*(1-AG1520)*IFERROR(INDEX(계정대체기준!$E$20:$E$49,MATCH($N1520,계정대체기준!$A$20:$A$49,0)),0)))</f>
        <v/>
      </c>
      <c r="AC1520" s="9">
        <f>IF(AND($A1520&lt;&gt;"",M1520=설정!$C$20,Z1520&gt;0),Z1520+ROW()/1000000000,"")</f>
        <v/>
      </c>
      <c r="AD1520" s="94">
        <f>IF($A1520="",0,$P1520*AG1520)</f>
        <v/>
      </c>
      <c r="AE1520" s="64">
        <f>IF($A1520="","",IFERROR(INDEX(계정매핑!$E$5:$E$504,MATCH($F1520&amp;"",계정매핑!$A$5:$A$504,0))&amp;"","공통비"))</f>
        <v/>
      </c>
      <c r="AF1520" s="64">
        <f>IF($A1520="","",IF(AE1520="직접",IFERROR(INDEX(계정매핑!$F$5:$F$504,MATCH($F1520&amp;"",계정매핑!$A$5:$A$504,0))&amp;"","비귀속"),""))</f>
        <v/>
      </c>
      <c r="AG1520" s="96">
        <f>IF($A1520="",0,IF(AND(AE1520&lt;&gt;"직접",IFERROR(INDEX(계정매핑!$G$5:$G$504,MATCH($F1520&amp;"",계정매핑!$A$5:$A$504,0))&amp;"","")="유지비",COUNTIF(계정대체기준!$A$6:$A$15,$N1520)&gt;0),IFERROR(INDEX(계정대체기준!$E$6:$E$15,MATCH(VALUE($A1520&amp;""),계정대체기준!$D$6:$D$15,0)),0),0))</f>
        <v/>
      </c>
      <c r="AH1520" s="64">
        <f>IF($A1520="","",IF(AD1520=0,"",IF(OR(COUNTIF(계정대체기준!$A$77:$A$86,$N1520)&gt;0,ISNUMBER(MATCH($X1520,계정대체기준!$D$77:$D$86,0)),ISNUMBER(MATCH($F1520,계정대체기준!$D$77:$D$86,0))),"Y","N")))</f>
        <v/>
      </c>
    </row>
    <row r="1521">
      <c r="A1521" s="92" t="n">
        <v>2025</v>
      </c>
      <c r="B1521" s="92" t="n">
        <v>7</v>
      </c>
      <c r="C1521" s="92" t="inlineStr">
        <is>
          <t>5100001517</t>
        </is>
      </c>
      <c r="D1521" s="95" t="n">
        <v>45858</v>
      </c>
      <c r="E1521" s="92" t="inlineStr">
        <is>
          <t>KR</t>
        </is>
      </c>
      <c r="F1521" s="92" t="n">
        <v>62801000</v>
      </c>
      <c r="G1521" s="92" t="n">
        <v>1301</v>
      </c>
      <c r="H1521" s="93" t="n">
        <v>3016000</v>
      </c>
      <c r="I1521" s="92" t="inlineStr">
        <is>
          <t>7월 사내교육 - U에듀</t>
        </is>
      </c>
      <c r="J1521" s="92" t="inlineStr">
        <is>
          <t>V10031</t>
        </is>
      </c>
      <c r="K1521" s="92" t="inlineStr">
        <is>
          <t>U에듀</t>
        </is>
      </c>
      <c r="M1521" s="9">
        <f>IF($A1521="","",VALUE($A1521&amp;"")*12+VALUE($B1521&amp;""))</f>
        <v/>
      </c>
      <c r="N1521" s="64">
        <f>IF($A1521="","",IFERROR(INDEX(부서매핑!$C$5:$C$504,MATCH($G1521&amp;"",부서매핑!$A$5:$A$504,0)),"미매핑"))</f>
        <v/>
      </c>
      <c r="O1521" s="9">
        <f>IF($A1521="","",N1521&amp;"|"&amp;$F1521)</f>
        <v/>
      </c>
      <c r="P1521" s="94">
        <f>IF($A1521="",0,$H1521*설정!$C$23)</f>
        <v/>
      </c>
      <c r="Q1521" s="64">
        <f>IF($A1521="","",IF(O1521&lt;&gt;원인분석!$C$9,"",IF(AND(M1521&gt;=원인분석!$C$10,M1521&lt;=원인분석!$C$11),"당기",IF(AND(M1521&gt;=원인분석!$C$12,M1521&lt;=원인분석!$C$13),"비교",""))))</f>
        <v/>
      </c>
      <c r="R1521" s="9">
        <f>IF(Q1521="","",$K1521&amp;"")</f>
        <v/>
      </c>
      <c r="S1521" s="9">
        <f>IF(Q1521="","",IF(MATCH(R1521,$R$5:$R$100000,0)=ROW()-4,ROW(),""))</f>
        <v/>
      </c>
      <c r="T1521" s="9">
        <f>IF(Q1521="당기",ABS(P1521)+ROW()/1000000000,"")</f>
        <v/>
      </c>
      <c r="U1521" s="9">
        <f>IF(Q1521="비교",ABS(P1521)+ROW()/1000000000,"")</f>
        <v/>
      </c>
      <c r="V1521" s="64">
        <f>IF($A1521="","",IF(COUNTIF(변동분석!$E$7:$E$506,O1521)&gt;0,"Y","N"))</f>
        <v/>
      </c>
      <c r="W1521" s="64">
        <f>IF($A1521="","",IFERROR(INDEX(계정매핑!$D$5:$D$504,MATCH($F1521&amp;"",계정매핑!$A$5:$A$504,0)),"미매핑"))</f>
        <v/>
      </c>
      <c r="X1521" s="9">
        <f>IF($A1521="","",$F1521&amp;"")</f>
        <v/>
      </c>
      <c r="Y1521" s="94">
        <f>IF($A1521="",0,IF(AE1521="직접",IF(AF1521="비귀속",$P1521,0),$P1521*(1-AG1521)*IFERROR(INDEX(계정대체기준!$F$20:$F$49,MATCH($N1521,계정대체기준!$A$20:$A$49,0)),1)))</f>
        <v/>
      </c>
      <c r="Z1521" s="94">
        <f>IF($A1521="",0,IF(AE1521="직접",IF(AF1521="신계약비",$P1521,0),$P1521*(1-AG1521)*IFERROR(INDEX(계정대체기준!$C$20:$C$49,MATCH($N1521,계정대체기준!$A$20:$A$49,0)),0)))</f>
        <v/>
      </c>
      <c r="AA1521" s="94">
        <f>IF($A1521="",0,IF(AE1521="직접",IF(OR(AF1521="유지비",AF1521="손해조사비"),$P1521,0),$P1521*(1-AG1521)*IFERROR(INDEX(계정대체기준!$D$20:$D$49,MATCH($N1521,계정대체기준!$A$20:$A$49,0)),0)))</f>
        <v/>
      </c>
      <c r="AB1521" s="94">
        <f>IF($A1521="",0,IF(AE1521="직접",IF(AF1521="수금비",$P1521,0),$P1521*(1-AG1521)*IFERROR(INDEX(계정대체기준!$E$20:$E$49,MATCH($N1521,계정대체기준!$A$20:$A$49,0)),0)))</f>
        <v/>
      </c>
      <c r="AC1521" s="9">
        <f>IF(AND($A1521&lt;&gt;"",M1521=설정!$C$20,Z1521&gt;0),Z1521+ROW()/1000000000,"")</f>
        <v/>
      </c>
      <c r="AD1521" s="94">
        <f>IF($A1521="",0,$P1521*AG1521)</f>
        <v/>
      </c>
      <c r="AE1521" s="64">
        <f>IF($A1521="","",IFERROR(INDEX(계정매핑!$E$5:$E$504,MATCH($F1521&amp;"",계정매핑!$A$5:$A$504,0))&amp;"","공통비"))</f>
        <v/>
      </c>
      <c r="AF1521" s="64">
        <f>IF($A1521="","",IF(AE1521="직접",IFERROR(INDEX(계정매핑!$F$5:$F$504,MATCH($F1521&amp;"",계정매핑!$A$5:$A$504,0))&amp;"","비귀속"),""))</f>
        <v/>
      </c>
      <c r="AG1521" s="96">
        <f>IF($A1521="",0,IF(AND(AE1521&lt;&gt;"직접",IFERROR(INDEX(계정매핑!$G$5:$G$504,MATCH($F1521&amp;"",계정매핑!$A$5:$A$504,0))&amp;"","")="유지비",COUNTIF(계정대체기준!$A$6:$A$15,$N1521)&gt;0),IFERROR(INDEX(계정대체기준!$E$6:$E$15,MATCH(VALUE($A1521&amp;""),계정대체기준!$D$6:$D$15,0)),0),0))</f>
        <v/>
      </c>
      <c r="AH1521" s="64">
        <f>IF($A1521="","",IF(AD1521=0,"",IF(OR(COUNTIF(계정대체기준!$A$77:$A$86,$N1521)&gt;0,ISNUMBER(MATCH($X1521,계정대체기준!$D$77:$D$86,0)),ISNUMBER(MATCH($F1521,계정대체기준!$D$77:$D$86,0))),"Y","N")))</f>
        <v/>
      </c>
    </row>
    <row r="1522">
      <c r="A1522" s="92" t="n">
        <v>2025</v>
      </c>
      <c r="B1522" s="92" t="n">
        <v>7</v>
      </c>
      <c r="C1522" s="92" t="inlineStr">
        <is>
          <t>5100001518</t>
        </is>
      </c>
      <c r="D1522" s="95" t="n">
        <v>45858</v>
      </c>
      <c r="E1522" s="92" t="inlineStr">
        <is>
          <t>KR</t>
        </is>
      </c>
      <c r="F1522" s="92" t="n">
        <v>62901000</v>
      </c>
      <c r="G1522" s="92" t="n">
        <v>1401</v>
      </c>
      <c r="H1522" s="93" t="n">
        <v>4879000</v>
      </c>
      <c r="I1522" s="92" t="inlineStr">
        <is>
          <t>7월 자문 수수료 - K회계법인</t>
        </is>
      </c>
      <c r="J1522" s="92" t="inlineStr">
        <is>
          <t>V10011</t>
        </is>
      </c>
      <c r="K1522" s="92" t="inlineStr">
        <is>
          <t>K회계법인</t>
        </is>
      </c>
      <c r="M1522" s="9">
        <f>IF($A1522="","",VALUE($A1522&amp;"")*12+VALUE($B1522&amp;""))</f>
        <v/>
      </c>
      <c r="N1522" s="64">
        <f>IF($A1522="","",IFERROR(INDEX(부서매핑!$C$5:$C$504,MATCH($G1522&amp;"",부서매핑!$A$5:$A$504,0)),"미매핑"))</f>
        <v/>
      </c>
      <c r="O1522" s="9">
        <f>IF($A1522="","",N1522&amp;"|"&amp;$F1522)</f>
        <v/>
      </c>
      <c r="P1522" s="94">
        <f>IF($A1522="",0,$H1522*설정!$C$23)</f>
        <v/>
      </c>
      <c r="Q1522" s="64">
        <f>IF($A1522="","",IF(O1522&lt;&gt;원인분석!$C$9,"",IF(AND(M1522&gt;=원인분석!$C$10,M1522&lt;=원인분석!$C$11),"당기",IF(AND(M1522&gt;=원인분석!$C$12,M1522&lt;=원인분석!$C$13),"비교",""))))</f>
        <v/>
      </c>
      <c r="R1522" s="9">
        <f>IF(Q1522="","",$K1522&amp;"")</f>
        <v/>
      </c>
      <c r="S1522" s="9">
        <f>IF(Q1522="","",IF(MATCH(R1522,$R$5:$R$100000,0)=ROW()-4,ROW(),""))</f>
        <v/>
      </c>
      <c r="T1522" s="9">
        <f>IF(Q1522="당기",ABS(P1522)+ROW()/1000000000,"")</f>
        <v/>
      </c>
      <c r="U1522" s="9">
        <f>IF(Q1522="비교",ABS(P1522)+ROW()/1000000000,"")</f>
        <v/>
      </c>
      <c r="V1522" s="64">
        <f>IF($A1522="","",IF(COUNTIF(변동분석!$E$7:$E$506,O1522)&gt;0,"Y","N"))</f>
        <v/>
      </c>
      <c r="W1522" s="64">
        <f>IF($A1522="","",IFERROR(INDEX(계정매핑!$D$5:$D$504,MATCH($F1522&amp;"",계정매핑!$A$5:$A$504,0)),"미매핑"))</f>
        <v/>
      </c>
      <c r="X1522" s="9">
        <f>IF($A1522="","",$F1522&amp;"")</f>
        <v/>
      </c>
      <c r="Y1522" s="94">
        <f>IF($A1522="",0,IF(AE1522="직접",IF(AF1522="비귀속",$P1522,0),$P1522*(1-AG1522)*IFERROR(INDEX(계정대체기준!$F$20:$F$49,MATCH($N1522,계정대체기준!$A$20:$A$49,0)),1)))</f>
        <v/>
      </c>
      <c r="Z1522" s="94">
        <f>IF($A1522="",0,IF(AE1522="직접",IF(AF1522="신계약비",$P1522,0),$P1522*(1-AG1522)*IFERROR(INDEX(계정대체기준!$C$20:$C$49,MATCH($N1522,계정대체기준!$A$20:$A$49,0)),0)))</f>
        <v/>
      </c>
      <c r="AA1522" s="94">
        <f>IF($A1522="",0,IF(AE1522="직접",IF(OR(AF1522="유지비",AF1522="손해조사비"),$P1522,0),$P1522*(1-AG1522)*IFERROR(INDEX(계정대체기준!$D$20:$D$49,MATCH($N1522,계정대체기준!$A$20:$A$49,0)),0)))</f>
        <v/>
      </c>
      <c r="AB1522" s="94">
        <f>IF($A1522="",0,IF(AE1522="직접",IF(AF1522="수금비",$P1522,0),$P1522*(1-AG1522)*IFERROR(INDEX(계정대체기준!$E$20:$E$49,MATCH($N1522,계정대체기준!$A$20:$A$49,0)),0)))</f>
        <v/>
      </c>
      <c r="AC1522" s="9">
        <f>IF(AND($A1522&lt;&gt;"",M1522=설정!$C$20,Z1522&gt;0),Z1522+ROW()/1000000000,"")</f>
        <v/>
      </c>
      <c r="AD1522" s="94">
        <f>IF($A1522="",0,$P1522*AG1522)</f>
        <v/>
      </c>
      <c r="AE1522" s="64">
        <f>IF($A1522="","",IFERROR(INDEX(계정매핑!$E$5:$E$504,MATCH($F1522&amp;"",계정매핑!$A$5:$A$504,0))&amp;"","공통비"))</f>
        <v/>
      </c>
      <c r="AF1522" s="64">
        <f>IF($A1522="","",IF(AE1522="직접",IFERROR(INDEX(계정매핑!$F$5:$F$504,MATCH($F1522&amp;"",계정매핑!$A$5:$A$504,0))&amp;"","비귀속"),""))</f>
        <v/>
      </c>
      <c r="AG1522" s="96">
        <f>IF($A1522="",0,IF(AND(AE1522&lt;&gt;"직접",IFERROR(INDEX(계정매핑!$G$5:$G$504,MATCH($F1522&amp;"",계정매핑!$A$5:$A$504,0))&amp;"","")="유지비",COUNTIF(계정대체기준!$A$6:$A$15,$N1522)&gt;0),IFERROR(INDEX(계정대체기준!$E$6:$E$15,MATCH(VALUE($A1522&amp;""),계정대체기준!$D$6:$D$15,0)),0),0))</f>
        <v/>
      </c>
      <c r="AH1522" s="64">
        <f>IF($A1522="","",IF(AD1522=0,"",IF(OR(COUNTIF(계정대체기준!$A$77:$A$86,$N1522)&gt;0,ISNUMBER(MATCH($X1522,계정대체기준!$D$77:$D$86,0)),ISNUMBER(MATCH($F1522,계정대체기준!$D$77:$D$86,0))),"Y","N")))</f>
        <v/>
      </c>
    </row>
    <row r="1523">
      <c r="A1523" s="92" t="n">
        <v>2025</v>
      </c>
      <c r="B1523" s="92" t="n">
        <v>7</v>
      </c>
      <c r="C1523" s="92" t="inlineStr">
        <is>
          <t>5100001519</t>
        </is>
      </c>
      <c r="D1523" s="95" t="n">
        <v>45858</v>
      </c>
      <c r="E1523" s="92" t="inlineStr">
        <is>
          <t>KR</t>
        </is>
      </c>
      <c r="F1523" s="92" t="n">
        <v>62902000</v>
      </c>
      <c r="G1523" s="92" t="n">
        <v>1401</v>
      </c>
      <c r="H1523" s="93" t="n">
        <v>2436000</v>
      </c>
      <c r="I1523" s="92" t="inlineStr">
        <is>
          <t>7월 업무 위탁 수수료 - X서비스</t>
        </is>
      </c>
      <c r="J1523" s="92" t="inlineStr">
        <is>
          <t>V10020</t>
        </is>
      </c>
      <c r="K1523" s="92" t="inlineStr">
        <is>
          <t>X서비스</t>
        </is>
      </c>
      <c r="M1523" s="9">
        <f>IF($A1523="","",VALUE($A1523&amp;"")*12+VALUE($B1523&amp;""))</f>
        <v/>
      </c>
      <c r="N1523" s="64">
        <f>IF($A1523="","",IFERROR(INDEX(부서매핑!$C$5:$C$504,MATCH($G1523&amp;"",부서매핑!$A$5:$A$504,0)),"미매핑"))</f>
        <v/>
      </c>
      <c r="O1523" s="9">
        <f>IF($A1523="","",N1523&amp;"|"&amp;$F1523)</f>
        <v/>
      </c>
      <c r="P1523" s="94">
        <f>IF($A1523="",0,$H1523*설정!$C$23)</f>
        <v/>
      </c>
      <c r="Q1523" s="64">
        <f>IF($A1523="","",IF(O1523&lt;&gt;원인분석!$C$9,"",IF(AND(M1523&gt;=원인분석!$C$10,M1523&lt;=원인분석!$C$11),"당기",IF(AND(M1523&gt;=원인분석!$C$12,M1523&lt;=원인분석!$C$13),"비교",""))))</f>
        <v/>
      </c>
      <c r="R1523" s="9">
        <f>IF(Q1523="","",$K1523&amp;"")</f>
        <v/>
      </c>
      <c r="S1523" s="9">
        <f>IF(Q1523="","",IF(MATCH(R1523,$R$5:$R$100000,0)=ROW()-4,ROW(),""))</f>
        <v/>
      </c>
      <c r="T1523" s="9">
        <f>IF(Q1523="당기",ABS(P1523)+ROW()/1000000000,"")</f>
        <v/>
      </c>
      <c r="U1523" s="9">
        <f>IF(Q1523="비교",ABS(P1523)+ROW()/1000000000,"")</f>
        <v/>
      </c>
      <c r="V1523" s="64">
        <f>IF($A1523="","",IF(COUNTIF(변동분석!$E$7:$E$506,O1523)&gt;0,"Y","N"))</f>
        <v/>
      </c>
      <c r="W1523" s="64">
        <f>IF($A1523="","",IFERROR(INDEX(계정매핑!$D$5:$D$504,MATCH($F1523&amp;"",계정매핑!$A$5:$A$504,0)),"미매핑"))</f>
        <v/>
      </c>
      <c r="X1523" s="9">
        <f>IF($A1523="","",$F1523&amp;"")</f>
        <v/>
      </c>
      <c r="Y1523" s="94">
        <f>IF($A1523="",0,IF(AE1523="직접",IF(AF1523="비귀속",$P1523,0),$P1523*(1-AG1523)*IFERROR(INDEX(계정대체기준!$F$20:$F$49,MATCH($N1523,계정대체기준!$A$20:$A$49,0)),1)))</f>
        <v/>
      </c>
      <c r="Z1523" s="94">
        <f>IF($A1523="",0,IF(AE1523="직접",IF(AF1523="신계약비",$P1523,0),$P1523*(1-AG1523)*IFERROR(INDEX(계정대체기준!$C$20:$C$49,MATCH($N1523,계정대체기준!$A$20:$A$49,0)),0)))</f>
        <v/>
      </c>
      <c r="AA1523" s="94">
        <f>IF($A1523="",0,IF(AE1523="직접",IF(OR(AF1523="유지비",AF1523="손해조사비"),$P1523,0),$P1523*(1-AG1523)*IFERROR(INDEX(계정대체기준!$D$20:$D$49,MATCH($N1523,계정대체기준!$A$20:$A$49,0)),0)))</f>
        <v/>
      </c>
      <c r="AB1523" s="94">
        <f>IF($A1523="",0,IF(AE1523="직접",IF(AF1523="수금비",$P1523,0),$P1523*(1-AG1523)*IFERROR(INDEX(계정대체기준!$E$20:$E$49,MATCH($N1523,계정대체기준!$A$20:$A$49,0)),0)))</f>
        <v/>
      </c>
      <c r="AC1523" s="9">
        <f>IF(AND($A1523&lt;&gt;"",M1523=설정!$C$20,Z1523&gt;0),Z1523+ROW()/1000000000,"")</f>
        <v/>
      </c>
      <c r="AD1523" s="94">
        <f>IF($A1523="",0,$P1523*AG1523)</f>
        <v/>
      </c>
      <c r="AE1523" s="64">
        <f>IF($A1523="","",IFERROR(INDEX(계정매핑!$E$5:$E$504,MATCH($F1523&amp;"",계정매핑!$A$5:$A$504,0))&amp;"","공통비"))</f>
        <v/>
      </c>
      <c r="AF1523" s="64">
        <f>IF($A1523="","",IF(AE1523="직접",IFERROR(INDEX(계정매핑!$F$5:$F$504,MATCH($F1523&amp;"",계정매핑!$A$5:$A$504,0))&amp;"","비귀속"),""))</f>
        <v/>
      </c>
      <c r="AG1523" s="96">
        <f>IF($A1523="",0,IF(AND(AE1523&lt;&gt;"직접",IFERROR(INDEX(계정매핑!$G$5:$G$504,MATCH($F1523&amp;"",계정매핑!$A$5:$A$504,0))&amp;"","")="유지비",COUNTIF(계정대체기준!$A$6:$A$15,$N1523)&gt;0),IFERROR(INDEX(계정대체기준!$E$6:$E$15,MATCH(VALUE($A1523&amp;""),계정대체기준!$D$6:$D$15,0)),0),0))</f>
        <v/>
      </c>
      <c r="AH1523" s="64">
        <f>IF($A1523="","",IF(AD1523=0,"",IF(OR(COUNTIF(계정대체기준!$A$77:$A$86,$N1523)&gt;0,ISNUMBER(MATCH($X1523,계정대체기준!$D$77:$D$86,0)),ISNUMBER(MATCH($F1523,계정대체기준!$D$77:$D$86,0))),"Y","N")))</f>
        <v/>
      </c>
    </row>
    <row r="1524">
      <c r="A1524" s="92" t="n">
        <v>2025</v>
      </c>
      <c r="B1524" s="92" t="n">
        <v>7</v>
      </c>
      <c r="C1524" s="92" t="inlineStr">
        <is>
          <t>5100001520</t>
        </is>
      </c>
      <c r="D1524" s="95" t="n">
        <v>45859</v>
      </c>
      <c r="E1524" s="92" t="inlineStr">
        <is>
          <t>KR</t>
        </is>
      </c>
      <c r="F1524" s="92" t="n">
        <v>62102000</v>
      </c>
      <c r="G1524" s="92" t="n">
        <v>1101</v>
      </c>
      <c r="H1524" s="93" t="n">
        <v>204000</v>
      </c>
      <c r="I1524" s="92" t="inlineStr">
        <is>
          <t>7월 해외출장 - N호텔</t>
        </is>
      </c>
      <c r="J1524" s="92" t="inlineStr">
        <is>
          <t>V10009</t>
        </is>
      </c>
      <c r="K1524" s="92" t="inlineStr">
        <is>
          <t>N호텔</t>
        </is>
      </c>
      <c r="M1524" s="9">
        <f>IF($A1524="","",VALUE($A1524&amp;"")*12+VALUE($B1524&amp;""))</f>
        <v/>
      </c>
      <c r="N1524" s="64">
        <f>IF($A1524="","",IFERROR(INDEX(부서매핑!$C$5:$C$504,MATCH($G1524&amp;"",부서매핑!$A$5:$A$504,0)),"미매핑"))</f>
        <v/>
      </c>
      <c r="O1524" s="9">
        <f>IF($A1524="","",N1524&amp;"|"&amp;$F1524)</f>
        <v/>
      </c>
      <c r="P1524" s="94">
        <f>IF($A1524="",0,$H1524*설정!$C$23)</f>
        <v/>
      </c>
      <c r="Q1524" s="64">
        <f>IF($A1524="","",IF(O1524&lt;&gt;원인분석!$C$9,"",IF(AND(M1524&gt;=원인분석!$C$10,M1524&lt;=원인분석!$C$11),"당기",IF(AND(M1524&gt;=원인분석!$C$12,M1524&lt;=원인분석!$C$13),"비교",""))))</f>
        <v/>
      </c>
      <c r="R1524" s="9">
        <f>IF(Q1524="","",$K1524&amp;"")</f>
        <v/>
      </c>
      <c r="S1524" s="9">
        <f>IF(Q1524="","",IF(MATCH(R1524,$R$5:$R$100000,0)=ROW()-4,ROW(),""))</f>
        <v/>
      </c>
      <c r="T1524" s="9">
        <f>IF(Q1524="당기",ABS(P1524)+ROW()/1000000000,"")</f>
        <v/>
      </c>
      <c r="U1524" s="9">
        <f>IF(Q1524="비교",ABS(P1524)+ROW()/1000000000,"")</f>
        <v/>
      </c>
      <c r="V1524" s="64">
        <f>IF($A1524="","",IF(COUNTIF(변동분석!$E$7:$E$506,O1524)&gt;0,"Y","N"))</f>
        <v/>
      </c>
      <c r="W1524" s="64">
        <f>IF($A1524="","",IFERROR(INDEX(계정매핑!$D$5:$D$504,MATCH($F1524&amp;"",계정매핑!$A$5:$A$504,0)),"미매핑"))</f>
        <v/>
      </c>
      <c r="X1524" s="9">
        <f>IF($A1524="","",$F1524&amp;"")</f>
        <v/>
      </c>
      <c r="Y1524" s="94">
        <f>IF($A1524="",0,IF(AE1524="직접",IF(AF1524="비귀속",$P1524,0),$P1524*(1-AG1524)*IFERROR(INDEX(계정대체기준!$F$20:$F$49,MATCH($N1524,계정대체기준!$A$20:$A$49,0)),1)))</f>
        <v/>
      </c>
      <c r="Z1524" s="94">
        <f>IF($A1524="",0,IF(AE1524="직접",IF(AF1524="신계약비",$P1524,0),$P1524*(1-AG1524)*IFERROR(INDEX(계정대체기준!$C$20:$C$49,MATCH($N1524,계정대체기준!$A$20:$A$49,0)),0)))</f>
        <v/>
      </c>
      <c r="AA1524" s="94">
        <f>IF($A1524="",0,IF(AE1524="직접",IF(OR(AF1524="유지비",AF1524="손해조사비"),$P1524,0),$P1524*(1-AG1524)*IFERROR(INDEX(계정대체기준!$D$20:$D$49,MATCH($N1524,계정대체기준!$A$20:$A$49,0)),0)))</f>
        <v/>
      </c>
      <c r="AB1524" s="94">
        <f>IF($A1524="",0,IF(AE1524="직접",IF(AF1524="수금비",$P1524,0),$P1524*(1-AG1524)*IFERROR(INDEX(계정대체기준!$E$20:$E$49,MATCH($N1524,계정대체기준!$A$20:$A$49,0)),0)))</f>
        <v/>
      </c>
      <c r="AC1524" s="9">
        <f>IF(AND($A1524&lt;&gt;"",M1524=설정!$C$20,Z1524&gt;0),Z1524+ROW()/1000000000,"")</f>
        <v/>
      </c>
      <c r="AD1524" s="94">
        <f>IF($A1524="",0,$P1524*AG1524)</f>
        <v/>
      </c>
      <c r="AE1524" s="64">
        <f>IF($A1524="","",IFERROR(INDEX(계정매핑!$E$5:$E$504,MATCH($F1524&amp;"",계정매핑!$A$5:$A$504,0))&amp;"","공통비"))</f>
        <v/>
      </c>
      <c r="AF1524" s="64">
        <f>IF($A1524="","",IF(AE1524="직접",IFERROR(INDEX(계정매핑!$F$5:$F$504,MATCH($F1524&amp;"",계정매핑!$A$5:$A$504,0))&amp;"","비귀속"),""))</f>
        <v/>
      </c>
      <c r="AG1524" s="96">
        <f>IF($A1524="",0,IF(AND(AE1524&lt;&gt;"직접",IFERROR(INDEX(계정매핑!$G$5:$G$504,MATCH($F1524&amp;"",계정매핑!$A$5:$A$504,0))&amp;"","")="유지비",COUNTIF(계정대체기준!$A$6:$A$15,$N1524)&gt;0),IFERROR(INDEX(계정대체기준!$E$6:$E$15,MATCH(VALUE($A1524&amp;""),계정대체기준!$D$6:$D$15,0)),0),0))</f>
        <v/>
      </c>
      <c r="AH1524" s="64">
        <f>IF($A1524="","",IF(AD1524=0,"",IF(OR(COUNTIF(계정대체기준!$A$77:$A$86,$N1524)&gt;0,ISNUMBER(MATCH($X1524,계정대체기준!$D$77:$D$86,0)),ISNUMBER(MATCH($F1524,계정대체기준!$D$77:$D$86,0))),"Y","N")))</f>
        <v/>
      </c>
    </row>
    <row r="1525">
      <c r="A1525" s="92" t="n">
        <v>2025</v>
      </c>
      <c r="B1525" s="92" t="n">
        <v>7</v>
      </c>
      <c r="C1525" s="92" t="inlineStr">
        <is>
          <t>5100001521</t>
        </is>
      </c>
      <c r="D1525" s="95" t="n">
        <v>45859</v>
      </c>
      <c r="E1525" s="92" t="inlineStr">
        <is>
          <t>KR</t>
        </is>
      </c>
      <c r="F1525" s="92" t="n">
        <v>62102000</v>
      </c>
      <c r="G1525" s="92" t="n">
        <v>1301</v>
      </c>
      <c r="H1525" s="93" t="n">
        <v>83000</v>
      </c>
      <c r="I1525" s="92" t="inlineStr">
        <is>
          <t>7월 해외출장 - M항공</t>
        </is>
      </c>
      <c r="J1525" s="92" t="inlineStr">
        <is>
          <t>V10001</t>
        </is>
      </c>
      <c r="K1525" s="92" t="inlineStr">
        <is>
          <t>M항공</t>
        </is>
      </c>
      <c r="M1525" s="9">
        <f>IF($A1525="","",VALUE($A1525&amp;"")*12+VALUE($B1525&amp;""))</f>
        <v/>
      </c>
      <c r="N1525" s="64">
        <f>IF($A1525="","",IFERROR(INDEX(부서매핑!$C$5:$C$504,MATCH($G1525&amp;"",부서매핑!$A$5:$A$504,0)),"미매핑"))</f>
        <v/>
      </c>
      <c r="O1525" s="9">
        <f>IF($A1525="","",N1525&amp;"|"&amp;$F1525)</f>
        <v/>
      </c>
      <c r="P1525" s="94">
        <f>IF($A1525="",0,$H1525*설정!$C$23)</f>
        <v/>
      </c>
      <c r="Q1525" s="64">
        <f>IF($A1525="","",IF(O1525&lt;&gt;원인분석!$C$9,"",IF(AND(M1525&gt;=원인분석!$C$10,M1525&lt;=원인분석!$C$11),"당기",IF(AND(M1525&gt;=원인분석!$C$12,M1525&lt;=원인분석!$C$13),"비교",""))))</f>
        <v/>
      </c>
      <c r="R1525" s="9">
        <f>IF(Q1525="","",$K1525&amp;"")</f>
        <v/>
      </c>
      <c r="S1525" s="9">
        <f>IF(Q1525="","",IF(MATCH(R1525,$R$5:$R$100000,0)=ROW()-4,ROW(),""))</f>
        <v/>
      </c>
      <c r="T1525" s="9">
        <f>IF(Q1525="당기",ABS(P1525)+ROW()/1000000000,"")</f>
        <v/>
      </c>
      <c r="U1525" s="9">
        <f>IF(Q1525="비교",ABS(P1525)+ROW()/1000000000,"")</f>
        <v/>
      </c>
      <c r="V1525" s="64">
        <f>IF($A1525="","",IF(COUNTIF(변동분석!$E$7:$E$506,O1525)&gt;0,"Y","N"))</f>
        <v/>
      </c>
      <c r="W1525" s="64">
        <f>IF($A1525="","",IFERROR(INDEX(계정매핑!$D$5:$D$504,MATCH($F1525&amp;"",계정매핑!$A$5:$A$504,0)),"미매핑"))</f>
        <v/>
      </c>
      <c r="X1525" s="9">
        <f>IF($A1525="","",$F1525&amp;"")</f>
        <v/>
      </c>
      <c r="Y1525" s="94">
        <f>IF($A1525="",0,IF(AE1525="직접",IF(AF1525="비귀속",$P1525,0),$P1525*(1-AG1525)*IFERROR(INDEX(계정대체기준!$F$20:$F$49,MATCH($N1525,계정대체기준!$A$20:$A$49,0)),1)))</f>
        <v/>
      </c>
      <c r="Z1525" s="94">
        <f>IF($A1525="",0,IF(AE1525="직접",IF(AF1525="신계약비",$P1525,0),$P1525*(1-AG1525)*IFERROR(INDEX(계정대체기준!$C$20:$C$49,MATCH($N1525,계정대체기준!$A$20:$A$49,0)),0)))</f>
        <v/>
      </c>
      <c r="AA1525" s="94">
        <f>IF($A1525="",0,IF(AE1525="직접",IF(OR(AF1525="유지비",AF1525="손해조사비"),$P1525,0),$P1525*(1-AG1525)*IFERROR(INDEX(계정대체기준!$D$20:$D$49,MATCH($N1525,계정대체기준!$A$20:$A$49,0)),0)))</f>
        <v/>
      </c>
      <c r="AB1525" s="94">
        <f>IF($A1525="",0,IF(AE1525="직접",IF(AF1525="수금비",$P1525,0),$P1525*(1-AG1525)*IFERROR(INDEX(계정대체기준!$E$20:$E$49,MATCH($N1525,계정대체기준!$A$20:$A$49,0)),0)))</f>
        <v/>
      </c>
      <c r="AC1525" s="9">
        <f>IF(AND($A1525&lt;&gt;"",M1525=설정!$C$20,Z1525&gt;0),Z1525+ROW()/1000000000,"")</f>
        <v/>
      </c>
      <c r="AD1525" s="94">
        <f>IF($A1525="",0,$P1525*AG1525)</f>
        <v/>
      </c>
      <c r="AE1525" s="64">
        <f>IF($A1525="","",IFERROR(INDEX(계정매핑!$E$5:$E$504,MATCH($F1525&amp;"",계정매핑!$A$5:$A$504,0))&amp;"","공통비"))</f>
        <v/>
      </c>
      <c r="AF1525" s="64">
        <f>IF($A1525="","",IF(AE1525="직접",IFERROR(INDEX(계정매핑!$F$5:$F$504,MATCH($F1525&amp;"",계정매핑!$A$5:$A$504,0))&amp;"","비귀속"),""))</f>
        <v/>
      </c>
      <c r="AG1525" s="96">
        <f>IF($A1525="",0,IF(AND(AE1525&lt;&gt;"직접",IFERROR(INDEX(계정매핑!$G$5:$G$504,MATCH($F1525&amp;"",계정매핑!$A$5:$A$504,0))&amp;"","")="유지비",COUNTIF(계정대체기준!$A$6:$A$15,$N1525)&gt;0),IFERROR(INDEX(계정대체기준!$E$6:$E$15,MATCH(VALUE($A1525&amp;""),계정대체기준!$D$6:$D$15,0)),0),0))</f>
        <v/>
      </c>
      <c r="AH1525" s="64">
        <f>IF($A1525="","",IF(AD1525=0,"",IF(OR(COUNTIF(계정대체기준!$A$77:$A$86,$N1525)&gt;0,ISNUMBER(MATCH($X1525,계정대체기준!$D$77:$D$86,0)),ISNUMBER(MATCH($F1525,계정대체기준!$D$77:$D$86,0))),"Y","N")))</f>
        <v/>
      </c>
    </row>
    <row r="1526">
      <c r="A1526" s="92" t="n">
        <v>2025</v>
      </c>
      <c r="B1526" s="92" t="n">
        <v>7</v>
      </c>
      <c r="C1526" s="92" t="inlineStr">
        <is>
          <t>5100001522</t>
        </is>
      </c>
      <c r="D1526" s="95" t="n">
        <v>45859</v>
      </c>
      <c r="E1526" s="92" t="inlineStr">
        <is>
          <t>KR</t>
        </is>
      </c>
      <c r="F1526" s="92" t="n">
        <v>62201000</v>
      </c>
      <c r="G1526" s="92" t="n">
        <v>1101</v>
      </c>
      <c r="H1526" s="93" t="n">
        <v>172000</v>
      </c>
      <c r="I1526" s="92" t="inlineStr">
        <is>
          <t>7월 통신요금 - P통신</t>
        </is>
      </c>
      <c r="J1526" s="92" t="inlineStr">
        <is>
          <t>V10014</t>
        </is>
      </c>
      <c r="K1526" s="92" t="inlineStr">
        <is>
          <t>P통신</t>
        </is>
      </c>
      <c r="M1526" s="9">
        <f>IF($A1526="","",VALUE($A1526&amp;"")*12+VALUE($B1526&amp;""))</f>
        <v/>
      </c>
      <c r="N1526" s="64">
        <f>IF($A1526="","",IFERROR(INDEX(부서매핑!$C$5:$C$504,MATCH($G1526&amp;"",부서매핑!$A$5:$A$504,0)),"미매핑"))</f>
        <v/>
      </c>
      <c r="O1526" s="9">
        <f>IF($A1526="","",N1526&amp;"|"&amp;$F1526)</f>
        <v/>
      </c>
      <c r="P1526" s="94">
        <f>IF($A1526="",0,$H1526*설정!$C$23)</f>
        <v/>
      </c>
      <c r="Q1526" s="64">
        <f>IF($A1526="","",IF(O1526&lt;&gt;원인분석!$C$9,"",IF(AND(M1526&gt;=원인분석!$C$10,M1526&lt;=원인분석!$C$11),"당기",IF(AND(M1526&gt;=원인분석!$C$12,M1526&lt;=원인분석!$C$13),"비교",""))))</f>
        <v/>
      </c>
      <c r="R1526" s="9">
        <f>IF(Q1526="","",$K1526&amp;"")</f>
        <v/>
      </c>
      <c r="S1526" s="9">
        <f>IF(Q1526="","",IF(MATCH(R1526,$R$5:$R$100000,0)=ROW()-4,ROW(),""))</f>
        <v/>
      </c>
      <c r="T1526" s="9">
        <f>IF(Q1526="당기",ABS(P1526)+ROW()/1000000000,"")</f>
        <v/>
      </c>
      <c r="U1526" s="9">
        <f>IF(Q1526="비교",ABS(P1526)+ROW()/1000000000,"")</f>
        <v/>
      </c>
      <c r="V1526" s="64">
        <f>IF($A1526="","",IF(COUNTIF(변동분석!$E$7:$E$506,O1526)&gt;0,"Y","N"))</f>
        <v/>
      </c>
      <c r="W1526" s="64">
        <f>IF($A1526="","",IFERROR(INDEX(계정매핑!$D$5:$D$504,MATCH($F1526&amp;"",계정매핑!$A$5:$A$504,0)),"미매핑"))</f>
        <v/>
      </c>
      <c r="X1526" s="9">
        <f>IF($A1526="","",$F1526&amp;"")</f>
        <v/>
      </c>
      <c r="Y1526" s="94">
        <f>IF($A1526="",0,IF(AE1526="직접",IF(AF1526="비귀속",$P1526,0),$P1526*(1-AG1526)*IFERROR(INDEX(계정대체기준!$F$20:$F$49,MATCH($N1526,계정대체기준!$A$20:$A$49,0)),1)))</f>
        <v/>
      </c>
      <c r="Z1526" s="94">
        <f>IF($A1526="",0,IF(AE1526="직접",IF(AF1526="신계약비",$P1526,0),$P1526*(1-AG1526)*IFERROR(INDEX(계정대체기준!$C$20:$C$49,MATCH($N1526,계정대체기준!$A$20:$A$49,0)),0)))</f>
        <v/>
      </c>
      <c r="AA1526" s="94">
        <f>IF($A1526="",0,IF(AE1526="직접",IF(OR(AF1526="유지비",AF1526="손해조사비"),$P1526,0),$P1526*(1-AG1526)*IFERROR(INDEX(계정대체기준!$D$20:$D$49,MATCH($N1526,계정대체기준!$A$20:$A$49,0)),0)))</f>
        <v/>
      </c>
      <c r="AB1526" s="94">
        <f>IF($A1526="",0,IF(AE1526="직접",IF(AF1526="수금비",$P1526,0),$P1526*(1-AG1526)*IFERROR(INDEX(계정대체기준!$E$20:$E$49,MATCH($N1526,계정대체기준!$A$20:$A$49,0)),0)))</f>
        <v/>
      </c>
      <c r="AC1526" s="9">
        <f>IF(AND($A1526&lt;&gt;"",M1526=설정!$C$20,Z1526&gt;0),Z1526+ROW()/1000000000,"")</f>
        <v/>
      </c>
      <c r="AD1526" s="94">
        <f>IF($A1526="",0,$P1526*AG1526)</f>
        <v/>
      </c>
      <c r="AE1526" s="64">
        <f>IF($A1526="","",IFERROR(INDEX(계정매핑!$E$5:$E$504,MATCH($F1526&amp;"",계정매핑!$A$5:$A$504,0))&amp;"","공통비"))</f>
        <v/>
      </c>
      <c r="AF1526" s="64">
        <f>IF($A1526="","",IF(AE1526="직접",IFERROR(INDEX(계정매핑!$F$5:$F$504,MATCH($F1526&amp;"",계정매핑!$A$5:$A$504,0))&amp;"","비귀속"),""))</f>
        <v/>
      </c>
      <c r="AG1526" s="96">
        <f>IF($A1526="",0,IF(AND(AE1526&lt;&gt;"직접",IFERROR(INDEX(계정매핑!$G$5:$G$504,MATCH($F1526&amp;"",계정매핑!$A$5:$A$504,0))&amp;"","")="유지비",COUNTIF(계정대체기준!$A$6:$A$15,$N1526)&gt;0),IFERROR(INDEX(계정대체기준!$E$6:$E$15,MATCH(VALUE($A1526&amp;""),계정대체기준!$D$6:$D$15,0)),0),0))</f>
        <v/>
      </c>
      <c r="AH1526" s="64">
        <f>IF($A1526="","",IF(AD1526=0,"",IF(OR(COUNTIF(계정대체기준!$A$77:$A$86,$N1526)&gt;0,ISNUMBER(MATCH($X1526,계정대체기준!$D$77:$D$86,0)),ISNUMBER(MATCH($F1526,계정대체기준!$D$77:$D$86,0))),"Y","N")))</f>
        <v/>
      </c>
    </row>
    <row r="1527">
      <c r="A1527" s="92" t="n">
        <v>2025</v>
      </c>
      <c r="B1527" s="92" t="n">
        <v>7</v>
      </c>
      <c r="C1527" s="92" t="inlineStr">
        <is>
          <t>5100001523</t>
        </is>
      </c>
      <c r="D1527" s="95" t="n">
        <v>45859</v>
      </c>
      <c r="E1527" s="92" t="inlineStr">
        <is>
          <t>KR</t>
        </is>
      </c>
      <c r="F1527" s="92" t="n">
        <v>62201000</v>
      </c>
      <c r="G1527" s="92" t="n">
        <v>1951</v>
      </c>
      <c r="H1527" s="93" t="n">
        <v>277000</v>
      </c>
      <c r="I1527" s="92" t="inlineStr">
        <is>
          <t>7월 통신요금 - O텔레콤</t>
        </is>
      </c>
      <c r="J1527" s="92" t="inlineStr">
        <is>
          <t>V10002</t>
        </is>
      </c>
      <c r="K1527" s="92" t="inlineStr">
        <is>
          <t>O텔레콤</t>
        </is>
      </c>
      <c r="M1527" s="9">
        <f>IF($A1527="","",VALUE($A1527&amp;"")*12+VALUE($B1527&amp;""))</f>
        <v/>
      </c>
      <c r="N1527" s="64">
        <f>IF($A1527="","",IFERROR(INDEX(부서매핑!$C$5:$C$504,MATCH($G1527&amp;"",부서매핑!$A$5:$A$504,0)),"미매핑"))</f>
        <v/>
      </c>
      <c r="O1527" s="9">
        <f>IF($A1527="","",N1527&amp;"|"&amp;$F1527)</f>
        <v/>
      </c>
      <c r="P1527" s="94">
        <f>IF($A1527="",0,$H1527*설정!$C$23)</f>
        <v/>
      </c>
      <c r="Q1527" s="64">
        <f>IF($A1527="","",IF(O1527&lt;&gt;원인분석!$C$9,"",IF(AND(M1527&gt;=원인분석!$C$10,M1527&lt;=원인분석!$C$11),"당기",IF(AND(M1527&gt;=원인분석!$C$12,M1527&lt;=원인분석!$C$13),"비교",""))))</f>
        <v/>
      </c>
      <c r="R1527" s="9">
        <f>IF(Q1527="","",$K1527&amp;"")</f>
        <v/>
      </c>
      <c r="S1527" s="9">
        <f>IF(Q1527="","",IF(MATCH(R1527,$R$5:$R$100000,0)=ROW()-4,ROW(),""))</f>
        <v/>
      </c>
      <c r="T1527" s="9">
        <f>IF(Q1527="당기",ABS(P1527)+ROW()/1000000000,"")</f>
        <v/>
      </c>
      <c r="U1527" s="9">
        <f>IF(Q1527="비교",ABS(P1527)+ROW()/1000000000,"")</f>
        <v/>
      </c>
      <c r="V1527" s="64">
        <f>IF($A1527="","",IF(COUNTIF(변동분석!$E$7:$E$506,O1527)&gt;0,"Y","N"))</f>
        <v/>
      </c>
      <c r="W1527" s="64">
        <f>IF($A1527="","",IFERROR(INDEX(계정매핑!$D$5:$D$504,MATCH($F1527&amp;"",계정매핑!$A$5:$A$504,0)),"미매핑"))</f>
        <v/>
      </c>
      <c r="X1527" s="9">
        <f>IF($A1527="","",$F1527&amp;"")</f>
        <v/>
      </c>
      <c r="Y1527" s="94">
        <f>IF($A1527="",0,IF(AE1527="직접",IF(AF1527="비귀속",$P1527,0),$P1527*(1-AG1527)*IFERROR(INDEX(계정대체기준!$F$20:$F$49,MATCH($N1527,계정대체기준!$A$20:$A$49,0)),1)))</f>
        <v/>
      </c>
      <c r="Z1527" s="94">
        <f>IF($A1527="",0,IF(AE1527="직접",IF(AF1527="신계약비",$P1527,0),$P1527*(1-AG1527)*IFERROR(INDEX(계정대체기준!$C$20:$C$49,MATCH($N1527,계정대체기준!$A$20:$A$49,0)),0)))</f>
        <v/>
      </c>
      <c r="AA1527" s="94">
        <f>IF($A1527="",0,IF(AE1527="직접",IF(OR(AF1527="유지비",AF1527="손해조사비"),$P1527,0),$P1527*(1-AG1527)*IFERROR(INDEX(계정대체기준!$D$20:$D$49,MATCH($N1527,계정대체기준!$A$20:$A$49,0)),0)))</f>
        <v/>
      </c>
      <c r="AB1527" s="94">
        <f>IF($A1527="",0,IF(AE1527="직접",IF(AF1527="수금비",$P1527,0),$P1527*(1-AG1527)*IFERROR(INDEX(계정대체기준!$E$20:$E$49,MATCH($N1527,계정대체기준!$A$20:$A$49,0)),0)))</f>
        <v/>
      </c>
      <c r="AC1527" s="9">
        <f>IF(AND($A1527&lt;&gt;"",M1527=설정!$C$20,Z1527&gt;0),Z1527+ROW()/1000000000,"")</f>
        <v/>
      </c>
      <c r="AD1527" s="94">
        <f>IF($A1527="",0,$P1527*AG1527)</f>
        <v/>
      </c>
      <c r="AE1527" s="64">
        <f>IF($A1527="","",IFERROR(INDEX(계정매핑!$E$5:$E$504,MATCH($F1527&amp;"",계정매핑!$A$5:$A$504,0))&amp;"","공통비"))</f>
        <v/>
      </c>
      <c r="AF1527" s="64">
        <f>IF($A1527="","",IF(AE1527="직접",IFERROR(INDEX(계정매핑!$F$5:$F$504,MATCH($F1527&amp;"",계정매핑!$A$5:$A$504,0))&amp;"","비귀속"),""))</f>
        <v/>
      </c>
      <c r="AG1527" s="96">
        <f>IF($A1527="",0,IF(AND(AE1527&lt;&gt;"직접",IFERROR(INDEX(계정매핑!$G$5:$G$504,MATCH($F1527&amp;"",계정매핑!$A$5:$A$504,0))&amp;"","")="유지비",COUNTIF(계정대체기준!$A$6:$A$15,$N1527)&gt;0),IFERROR(INDEX(계정대체기준!$E$6:$E$15,MATCH(VALUE($A1527&amp;""),계정대체기준!$D$6:$D$15,0)),0),0))</f>
        <v/>
      </c>
      <c r="AH1527" s="64">
        <f>IF($A1527="","",IF(AD1527=0,"",IF(OR(COUNTIF(계정대체기준!$A$77:$A$86,$N1527)&gt;0,ISNUMBER(MATCH($X1527,계정대체기준!$D$77:$D$86,0)),ISNUMBER(MATCH($F1527,계정대체기준!$D$77:$D$86,0))),"Y","N")))</f>
        <v/>
      </c>
    </row>
    <row r="1528">
      <c r="A1528" s="92" t="n">
        <v>2025</v>
      </c>
      <c r="B1528" s="92" t="n">
        <v>7</v>
      </c>
      <c r="C1528" s="92" t="inlineStr">
        <is>
          <t>5100001524</t>
        </is>
      </c>
      <c r="D1528" s="95" t="n">
        <v>45859</v>
      </c>
      <c r="E1528" s="92" t="inlineStr">
        <is>
          <t>KR</t>
        </is>
      </c>
      <c r="F1528" s="92" t="n">
        <v>62301000</v>
      </c>
      <c r="G1528" s="92" t="n">
        <v>1801</v>
      </c>
      <c r="H1528" s="93" t="n">
        <v>388000</v>
      </c>
      <c r="I1528" s="92" t="inlineStr">
        <is>
          <t>7월 소모품 구입 - Q오피스</t>
        </is>
      </c>
      <c r="J1528" s="92" t="inlineStr">
        <is>
          <t>V10003</t>
        </is>
      </c>
      <c r="K1528" s="92" t="inlineStr">
        <is>
          <t>Q오피스</t>
        </is>
      </c>
      <c r="M1528" s="9">
        <f>IF($A1528="","",VALUE($A1528&amp;"")*12+VALUE($B1528&amp;""))</f>
        <v/>
      </c>
      <c r="N1528" s="64">
        <f>IF($A1528="","",IFERROR(INDEX(부서매핑!$C$5:$C$504,MATCH($G1528&amp;"",부서매핑!$A$5:$A$504,0)),"미매핑"))</f>
        <v/>
      </c>
      <c r="O1528" s="9">
        <f>IF($A1528="","",N1528&amp;"|"&amp;$F1528)</f>
        <v/>
      </c>
      <c r="P1528" s="94">
        <f>IF($A1528="",0,$H1528*설정!$C$23)</f>
        <v/>
      </c>
      <c r="Q1528" s="64">
        <f>IF($A1528="","",IF(O1528&lt;&gt;원인분석!$C$9,"",IF(AND(M1528&gt;=원인분석!$C$10,M1528&lt;=원인분석!$C$11),"당기",IF(AND(M1528&gt;=원인분석!$C$12,M1528&lt;=원인분석!$C$13),"비교",""))))</f>
        <v/>
      </c>
      <c r="R1528" s="9">
        <f>IF(Q1528="","",$K1528&amp;"")</f>
        <v/>
      </c>
      <c r="S1528" s="9">
        <f>IF(Q1528="","",IF(MATCH(R1528,$R$5:$R$100000,0)=ROW()-4,ROW(),""))</f>
        <v/>
      </c>
      <c r="T1528" s="9">
        <f>IF(Q1528="당기",ABS(P1528)+ROW()/1000000000,"")</f>
        <v/>
      </c>
      <c r="U1528" s="9">
        <f>IF(Q1528="비교",ABS(P1528)+ROW()/1000000000,"")</f>
        <v/>
      </c>
      <c r="V1528" s="64">
        <f>IF($A1528="","",IF(COUNTIF(변동분석!$E$7:$E$506,O1528)&gt;0,"Y","N"))</f>
        <v/>
      </c>
      <c r="W1528" s="64">
        <f>IF($A1528="","",IFERROR(INDEX(계정매핑!$D$5:$D$504,MATCH($F1528&amp;"",계정매핑!$A$5:$A$504,0)),"미매핑"))</f>
        <v/>
      </c>
      <c r="X1528" s="9">
        <f>IF($A1528="","",$F1528&amp;"")</f>
        <v/>
      </c>
      <c r="Y1528" s="94">
        <f>IF($A1528="",0,IF(AE1528="직접",IF(AF1528="비귀속",$P1528,0),$P1528*(1-AG1528)*IFERROR(INDEX(계정대체기준!$F$20:$F$49,MATCH($N1528,계정대체기준!$A$20:$A$49,0)),1)))</f>
        <v/>
      </c>
      <c r="Z1528" s="94">
        <f>IF($A1528="",0,IF(AE1528="직접",IF(AF1528="신계약비",$P1528,0),$P1528*(1-AG1528)*IFERROR(INDEX(계정대체기준!$C$20:$C$49,MATCH($N1528,계정대체기준!$A$20:$A$49,0)),0)))</f>
        <v/>
      </c>
      <c r="AA1528" s="94">
        <f>IF($A1528="",0,IF(AE1528="직접",IF(OR(AF1528="유지비",AF1528="손해조사비"),$P1528,0),$P1528*(1-AG1528)*IFERROR(INDEX(계정대체기준!$D$20:$D$49,MATCH($N1528,계정대체기준!$A$20:$A$49,0)),0)))</f>
        <v/>
      </c>
      <c r="AB1528" s="94">
        <f>IF($A1528="",0,IF(AE1528="직접",IF(AF1528="수금비",$P1528,0),$P1528*(1-AG1528)*IFERROR(INDEX(계정대체기준!$E$20:$E$49,MATCH($N1528,계정대체기준!$A$20:$A$49,0)),0)))</f>
        <v/>
      </c>
      <c r="AC1528" s="9">
        <f>IF(AND($A1528&lt;&gt;"",M1528=설정!$C$20,Z1528&gt;0),Z1528+ROW()/1000000000,"")</f>
        <v/>
      </c>
      <c r="AD1528" s="94">
        <f>IF($A1528="",0,$P1528*AG1528)</f>
        <v/>
      </c>
      <c r="AE1528" s="64">
        <f>IF($A1528="","",IFERROR(INDEX(계정매핑!$E$5:$E$504,MATCH($F1528&amp;"",계정매핑!$A$5:$A$504,0))&amp;"","공통비"))</f>
        <v/>
      </c>
      <c r="AF1528" s="64">
        <f>IF($A1528="","",IF(AE1528="직접",IFERROR(INDEX(계정매핑!$F$5:$F$504,MATCH($F1528&amp;"",계정매핑!$A$5:$A$504,0))&amp;"","비귀속"),""))</f>
        <v/>
      </c>
      <c r="AG1528" s="96">
        <f>IF($A1528="",0,IF(AND(AE1528&lt;&gt;"직접",IFERROR(INDEX(계정매핑!$G$5:$G$504,MATCH($F1528&amp;"",계정매핑!$A$5:$A$504,0))&amp;"","")="유지비",COUNTIF(계정대체기준!$A$6:$A$15,$N1528)&gt;0),IFERROR(INDEX(계정대체기준!$E$6:$E$15,MATCH(VALUE($A1528&amp;""),계정대체기준!$D$6:$D$15,0)),0),0))</f>
        <v/>
      </c>
      <c r="AH1528" s="64">
        <f>IF($A1528="","",IF(AD1528=0,"",IF(OR(COUNTIF(계정대체기준!$A$77:$A$86,$N1528)&gt;0,ISNUMBER(MATCH($X1528,계정대체기준!$D$77:$D$86,0)),ISNUMBER(MATCH($F1528,계정대체기준!$D$77:$D$86,0))),"Y","N")))</f>
        <v/>
      </c>
    </row>
    <row r="1529">
      <c r="A1529" s="92" t="n">
        <v>2025</v>
      </c>
      <c r="B1529" s="92" t="n">
        <v>7</v>
      </c>
      <c r="C1529" s="92" t="inlineStr">
        <is>
          <t>5100001525</t>
        </is>
      </c>
      <c r="D1529" s="95" t="n">
        <v>45859</v>
      </c>
      <c r="E1529" s="92" t="inlineStr">
        <is>
          <t>KR</t>
        </is>
      </c>
      <c r="F1529" s="92" t="n">
        <v>62401000</v>
      </c>
      <c r="G1529" s="92" t="n">
        <v>1501</v>
      </c>
      <c r="H1529" s="93" t="n">
        <v>1361000</v>
      </c>
      <c r="I1529" s="92" t="inlineStr">
        <is>
          <t>7월 인쇄물 제작 - G인쇄</t>
        </is>
      </c>
      <c r="J1529" s="92" t="inlineStr">
        <is>
          <t>V10004</t>
        </is>
      </c>
      <c r="K1529" s="92" t="inlineStr">
        <is>
          <t>G인쇄</t>
        </is>
      </c>
      <c r="M1529" s="9">
        <f>IF($A1529="","",VALUE($A1529&amp;"")*12+VALUE($B1529&amp;""))</f>
        <v/>
      </c>
      <c r="N1529" s="64">
        <f>IF($A1529="","",IFERROR(INDEX(부서매핑!$C$5:$C$504,MATCH($G1529&amp;"",부서매핑!$A$5:$A$504,0)),"미매핑"))</f>
        <v/>
      </c>
      <c r="O1529" s="9">
        <f>IF($A1529="","",N1529&amp;"|"&amp;$F1529)</f>
        <v/>
      </c>
      <c r="P1529" s="94">
        <f>IF($A1529="",0,$H1529*설정!$C$23)</f>
        <v/>
      </c>
      <c r="Q1529" s="64">
        <f>IF($A1529="","",IF(O1529&lt;&gt;원인분석!$C$9,"",IF(AND(M1529&gt;=원인분석!$C$10,M1529&lt;=원인분석!$C$11),"당기",IF(AND(M1529&gt;=원인분석!$C$12,M1529&lt;=원인분석!$C$13),"비교",""))))</f>
        <v/>
      </c>
      <c r="R1529" s="9">
        <f>IF(Q1529="","",$K1529&amp;"")</f>
        <v/>
      </c>
      <c r="S1529" s="9">
        <f>IF(Q1529="","",IF(MATCH(R1529,$R$5:$R$100000,0)=ROW()-4,ROW(),""))</f>
        <v/>
      </c>
      <c r="T1529" s="9">
        <f>IF(Q1529="당기",ABS(P1529)+ROW()/1000000000,"")</f>
        <v/>
      </c>
      <c r="U1529" s="9">
        <f>IF(Q1529="비교",ABS(P1529)+ROW()/1000000000,"")</f>
        <v/>
      </c>
      <c r="V1529" s="64">
        <f>IF($A1529="","",IF(COUNTIF(변동분석!$E$7:$E$506,O1529)&gt;0,"Y","N"))</f>
        <v/>
      </c>
      <c r="W1529" s="64">
        <f>IF($A1529="","",IFERROR(INDEX(계정매핑!$D$5:$D$504,MATCH($F1529&amp;"",계정매핑!$A$5:$A$504,0)),"미매핑"))</f>
        <v/>
      </c>
      <c r="X1529" s="9">
        <f>IF($A1529="","",$F1529&amp;"")</f>
        <v/>
      </c>
      <c r="Y1529" s="94">
        <f>IF($A1529="",0,IF(AE1529="직접",IF(AF1529="비귀속",$P1529,0),$P1529*(1-AG1529)*IFERROR(INDEX(계정대체기준!$F$20:$F$49,MATCH($N1529,계정대체기준!$A$20:$A$49,0)),1)))</f>
        <v/>
      </c>
      <c r="Z1529" s="94">
        <f>IF($A1529="",0,IF(AE1529="직접",IF(AF1529="신계약비",$P1529,0),$P1529*(1-AG1529)*IFERROR(INDEX(계정대체기준!$C$20:$C$49,MATCH($N1529,계정대체기준!$A$20:$A$49,0)),0)))</f>
        <v/>
      </c>
      <c r="AA1529" s="94">
        <f>IF($A1529="",0,IF(AE1529="직접",IF(OR(AF1529="유지비",AF1529="손해조사비"),$P1529,0),$P1529*(1-AG1529)*IFERROR(INDEX(계정대체기준!$D$20:$D$49,MATCH($N1529,계정대체기준!$A$20:$A$49,0)),0)))</f>
        <v/>
      </c>
      <c r="AB1529" s="94">
        <f>IF($A1529="",0,IF(AE1529="직접",IF(AF1529="수금비",$P1529,0),$P1529*(1-AG1529)*IFERROR(INDEX(계정대체기준!$E$20:$E$49,MATCH($N1529,계정대체기준!$A$20:$A$49,0)),0)))</f>
        <v/>
      </c>
      <c r="AC1529" s="9">
        <f>IF(AND($A1529&lt;&gt;"",M1529=설정!$C$20,Z1529&gt;0),Z1529+ROW()/1000000000,"")</f>
        <v/>
      </c>
      <c r="AD1529" s="94">
        <f>IF($A1529="",0,$P1529*AG1529)</f>
        <v/>
      </c>
      <c r="AE1529" s="64">
        <f>IF($A1529="","",IFERROR(INDEX(계정매핑!$E$5:$E$504,MATCH($F1529&amp;"",계정매핑!$A$5:$A$504,0))&amp;"","공통비"))</f>
        <v/>
      </c>
      <c r="AF1529" s="64">
        <f>IF($A1529="","",IF(AE1529="직접",IFERROR(INDEX(계정매핑!$F$5:$F$504,MATCH($F1529&amp;"",계정매핑!$A$5:$A$504,0))&amp;"","비귀속"),""))</f>
        <v/>
      </c>
      <c r="AG1529" s="96">
        <f>IF($A1529="",0,IF(AND(AE1529&lt;&gt;"직접",IFERROR(INDEX(계정매핑!$G$5:$G$504,MATCH($F1529&amp;"",계정매핑!$A$5:$A$504,0))&amp;"","")="유지비",COUNTIF(계정대체기준!$A$6:$A$15,$N1529)&gt;0),IFERROR(INDEX(계정대체기준!$E$6:$E$15,MATCH(VALUE($A1529&amp;""),계정대체기준!$D$6:$D$15,0)),0),0))</f>
        <v/>
      </c>
      <c r="AH1529" s="64">
        <f>IF($A1529="","",IF(AD1529=0,"",IF(OR(COUNTIF(계정대체기준!$A$77:$A$86,$N1529)&gt;0,ISNUMBER(MATCH($X1529,계정대체기준!$D$77:$D$86,0)),ISNUMBER(MATCH($F1529,계정대체기준!$D$77:$D$86,0))),"Y","N")))</f>
        <v/>
      </c>
    </row>
    <row r="1530">
      <c r="A1530" s="92" t="n">
        <v>2025</v>
      </c>
      <c r="B1530" s="92" t="n">
        <v>7</v>
      </c>
      <c r="C1530" s="92" t="inlineStr">
        <is>
          <t>5100001526</t>
        </is>
      </c>
      <c r="D1530" s="95" t="n">
        <v>45859</v>
      </c>
      <c r="E1530" s="92" t="inlineStr">
        <is>
          <t>KR</t>
        </is>
      </c>
      <c r="F1530" s="92" t="n">
        <v>62901000</v>
      </c>
      <c r="G1530" s="92" t="n">
        <v>1401</v>
      </c>
      <c r="H1530" s="93" t="n">
        <v>4347000</v>
      </c>
      <c r="I1530" s="92" t="inlineStr">
        <is>
          <t>7월 자문 수수료 - K회계법인</t>
        </is>
      </c>
      <c r="J1530" s="92" t="inlineStr">
        <is>
          <t>V10011</t>
        </is>
      </c>
      <c r="K1530" s="92" t="inlineStr">
        <is>
          <t>K회계법인</t>
        </is>
      </c>
      <c r="M1530" s="9">
        <f>IF($A1530="","",VALUE($A1530&amp;"")*12+VALUE($B1530&amp;""))</f>
        <v/>
      </c>
      <c r="N1530" s="64">
        <f>IF($A1530="","",IFERROR(INDEX(부서매핑!$C$5:$C$504,MATCH($G1530&amp;"",부서매핑!$A$5:$A$504,0)),"미매핑"))</f>
        <v/>
      </c>
      <c r="O1530" s="9">
        <f>IF($A1530="","",N1530&amp;"|"&amp;$F1530)</f>
        <v/>
      </c>
      <c r="P1530" s="94">
        <f>IF($A1530="",0,$H1530*설정!$C$23)</f>
        <v/>
      </c>
      <c r="Q1530" s="64">
        <f>IF($A1530="","",IF(O1530&lt;&gt;원인분석!$C$9,"",IF(AND(M1530&gt;=원인분석!$C$10,M1530&lt;=원인분석!$C$11),"당기",IF(AND(M1530&gt;=원인분석!$C$12,M1530&lt;=원인분석!$C$13),"비교",""))))</f>
        <v/>
      </c>
      <c r="R1530" s="9">
        <f>IF(Q1530="","",$K1530&amp;"")</f>
        <v/>
      </c>
      <c r="S1530" s="9">
        <f>IF(Q1530="","",IF(MATCH(R1530,$R$5:$R$100000,0)=ROW()-4,ROW(),""))</f>
        <v/>
      </c>
      <c r="T1530" s="9">
        <f>IF(Q1530="당기",ABS(P1530)+ROW()/1000000000,"")</f>
        <v/>
      </c>
      <c r="U1530" s="9">
        <f>IF(Q1530="비교",ABS(P1530)+ROW()/1000000000,"")</f>
        <v/>
      </c>
      <c r="V1530" s="64">
        <f>IF($A1530="","",IF(COUNTIF(변동분석!$E$7:$E$506,O1530)&gt;0,"Y","N"))</f>
        <v/>
      </c>
      <c r="W1530" s="64">
        <f>IF($A1530="","",IFERROR(INDEX(계정매핑!$D$5:$D$504,MATCH($F1530&amp;"",계정매핑!$A$5:$A$504,0)),"미매핑"))</f>
        <v/>
      </c>
      <c r="X1530" s="9">
        <f>IF($A1530="","",$F1530&amp;"")</f>
        <v/>
      </c>
      <c r="Y1530" s="94">
        <f>IF($A1530="",0,IF(AE1530="직접",IF(AF1530="비귀속",$P1530,0),$P1530*(1-AG1530)*IFERROR(INDEX(계정대체기준!$F$20:$F$49,MATCH($N1530,계정대체기준!$A$20:$A$49,0)),1)))</f>
        <v/>
      </c>
      <c r="Z1530" s="94">
        <f>IF($A1530="",0,IF(AE1530="직접",IF(AF1530="신계약비",$P1530,0),$P1530*(1-AG1530)*IFERROR(INDEX(계정대체기준!$C$20:$C$49,MATCH($N1530,계정대체기준!$A$20:$A$49,0)),0)))</f>
        <v/>
      </c>
      <c r="AA1530" s="94">
        <f>IF($A1530="",0,IF(AE1530="직접",IF(OR(AF1530="유지비",AF1530="손해조사비"),$P1530,0),$P1530*(1-AG1530)*IFERROR(INDEX(계정대체기준!$D$20:$D$49,MATCH($N1530,계정대체기준!$A$20:$A$49,0)),0)))</f>
        <v/>
      </c>
      <c r="AB1530" s="94">
        <f>IF($A1530="",0,IF(AE1530="직접",IF(AF1530="수금비",$P1530,0),$P1530*(1-AG1530)*IFERROR(INDEX(계정대체기준!$E$20:$E$49,MATCH($N1530,계정대체기준!$A$20:$A$49,0)),0)))</f>
        <v/>
      </c>
      <c r="AC1530" s="9">
        <f>IF(AND($A1530&lt;&gt;"",M1530=설정!$C$20,Z1530&gt;0),Z1530+ROW()/1000000000,"")</f>
        <v/>
      </c>
      <c r="AD1530" s="94">
        <f>IF($A1530="",0,$P1530*AG1530)</f>
        <v/>
      </c>
      <c r="AE1530" s="64">
        <f>IF($A1530="","",IFERROR(INDEX(계정매핑!$E$5:$E$504,MATCH($F1530&amp;"",계정매핑!$A$5:$A$504,0))&amp;"","공통비"))</f>
        <v/>
      </c>
      <c r="AF1530" s="64">
        <f>IF($A1530="","",IF(AE1530="직접",IFERROR(INDEX(계정매핑!$F$5:$F$504,MATCH($F1530&amp;"",계정매핑!$A$5:$A$504,0))&amp;"","비귀속"),""))</f>
        <v/>
      </c>
      <c r="AG1530" s="96">
        <f>IF($A1530="",0,IF(AND(AE1530&lt;&gt;"직접",IFERROR(INDEX(계정매핑!$G$5:$G$504,MATCH($F1530&amp;"",계정매핑!$A$5:$A$504,0))&amp;"","")="유지비",COUNTIF(계정대체기준!$A$6:$A$15,$N1530)&gt;0),IFERROR(INDEX(계정대체기준!$E$6:$E$15,MATCH(VALUE($A1530&amp;""),계정대체기준!$D$6:$D$15,0)),0),0))</f>
        <v/>
      </c>
      <c r="AH1530" s="64">
        <f>IF($A1530="","",IF(AD1530=0,"",IF(OR(COUNTIF(계정대체기준!$A$77:$A$86,$N1530)&gt;0,ISNUMBER(MATCH($X1530,계정대체기준!$D$77:$D$86,0)),ISNUMBER(MATCH($F1530,계정대체기준!$D$77:$D$86,0))),"Y","N")))</f>
        <v/>
      </c>
    </row>
    <row r="1531">
      <c r="A1531" s="92" t="n">
        <v>2025</v>
      </c>
      <c r="B1531" s="92" t="n">
        <v>7</v>
      </c>
      <c r="C1531" s="92" t="inlineStr">
        <is>
          <t>5100001527</t>
        </is>
      </c>
      <c r="D1531" s="95" t="n">
        <v>45859</v>
      </c>
      <c r="E1531" s="92" t="inlineStr">
        <is>
          <t>KR</t>
        </is>
      </c>
      <c r="F1531" s="92" t="n">
        <v>62902000</v>
      </c>
      <c r="G1531" s="92" t="n">
        <v>1101</v>
      </c>
      <c r="H1531" s="93" t="n">
        <v>2596000</v>
      </c>
      <c r="I1531" s="92" t="inlineStr">
        <is>
          <t>7월 업무 위탁 수수료 - X서비스</t>
        </is>
      </c>
      <c r="J1531" s="92" t="inlineStr">
        <is>
          <t>V10020</t>
        </is>
      </c>
      <c r="K1531" s="92" t="inlineStr">
        <is>
          <t>X서비스</t>
        </is>
      </c>
      <c r="M1531" s="9">
        <f>IF($A1531="","",VALUE($A1531&amp;"")*12+VALUE($B1531&amp;""))</f>
        <v/>
      </c>
      <c r="N1531" s="64">
        <f>IF($A1531="","",IFERROR(INDEX(부서매핑!$C$5:$C$504,MATCH($G1531&amp;"",부서매핑!$A$5:$A$504,0)),"미매핑"))</f>
        <v/>
      </c>
      <c r="O1531" s="9">
        <f>IF($A1531="","",N1531&amp;"|"&amp;$F1531)</f>
        <v/>
      </c>
      <c r="P1531" s="94">
        <f>IF($A1531="",0,$H1531*설정!$C$23)</f>
        <v/>
      </c>
      <c r="Q1531" s="64">
        <f>IF($A1531="","",IF(O1531&lt;&gt;원인분석!$C$9,"",IF(AND(M1531&gt;=원인분석!$C$10,M1531&lt;=원인분석!$C$11),"당기",IF(AND(M1531&gt;=원인분석!$C$12,M1531&lt;=원인분석!$C$13),"비교",""))))</f>
        <v/>
      </c>
      <c r="R1531" s="9">
        <f>IF(Q1531="","",$K1531&amp;"")</f>
        <v/>
      </c>
      <c r="S1531" s="9">
        <f>IF(Q1531="","",IF(MATCH(R1531,$R$5:$R$100000,0)=ROW()-4,ROW(),""))</f>
        <v/>
      </c>
      <c r="T1531" s="9">
        <f>IF(Q1531="당기",ABS(P1531)+ROW()/1000000000,"")</f>
        <v/>
      </c>
      <c r="U1531" s="9">
        <f>IF(Q1531="비교",ABS(P1531)+ROW()/1000000000,"")</f>
        <v/>
      </c>
      <c r="V1531" s="64">
        <f>IF($A1531="","",IF(COUNTIF(변동분석!$E$7:$E$506,O1531)&gt;0,"Y","N"))</f>
        <v/>
      </c>
      <c r="W1531" s="64">
        <f>IF($A1531="","",IFERROR(INDEX(계정매핑!$D$5:$D$504,MATCH($F1531&amp;"",계정매핑!$A$5:$A$504,0)),"미매핑"))</f>
        <v/>
      </c>
      <c r="X1531" s="9">
        <f>IF($A1531="","",$F1531&amp;"")</f>
        <v/>
      </c>
      <c r="Y1531" s="94">
        <f>IF($A1531="",0,IF(AE1531="직접",IF(AF1531="비귀속",$P1531,0),$P1531*(1-AG1531)*IFERROR(INDEX(계정대체기준!$F$20:$F$49,MATCH($N1531,계정대체기준!$A$20:$A$49,0)),1)))</f>
        <v/>
      </c>
      <c r="Z1531" s="94">
        <f>IF($A1531="",0,IF(AE1531="직접",IF(AF1531="신계약비",$P1531,0),$P1531*(1-AG1531)*IFERROR(INDEX(계정대체기준!$C$20:$C$49,MATCH($N1531,계정대체기준!$A$20:$A$49,0)),0)))</f>
        <v/>
      </c>
      <c r="AA1531" s="94">
        <f>IF($A1531="",0,IF(AE1531="직접",IF(OR(AF1531="유지비",AF1531="손해조사비"),$P1531,0),$P1531*(1-AG1531)*IFERROR(INDEX(계정대체기준!$D$20:$D$49,MATCH($N1531,계정대체기준!$A$20:$A$49,0)),0)))</f>
        <v/>
      </c>
      <c r="AB1531" s="94">
        <f>IF($A1531="",0,IF(AE1531="직접",IF(AF1531="수금비",$P1531,0),$P1531*(1-AG1531)*IFERROR(INDEX(계정대체기준!$E$20:$E$49,MATCH($N1531,계정대체기준!$A$20:$A$49,0)),0)))</f>
        <v/>
      </c>
      <c r="AC1531" s="9">
        <f>IF(AND($A1531&lt;&gt;"",M1531=설정!$C$20,Z1531&gt;0),Z1531+ROW()/1000000000,"")</f>
        <v/>
      </c>
      <c r="AD1531" s="94">
        <f>IF($A1531="",0,$P1531*AG1531)</f>
        <v/>
      </c>
      <c r="AE1531" s="64">
        <f>IF($A1531="","",IFERROR(INDEX(계정매핑!$E$5:$E$504,MATCH($F1531&amp;"",계정매핑!$A$5:$A$504,0))&amp;"","공통비"))</f>
        <v/>
      </c>
      <c r="AF1531" s="64">
        <f>IF($A1531="","",IF(AE1531="직접",IFERROR(INDEX(계정매핑!$F$5:$F$504,MATCH($F1531&amp;"",계정매핑!$A$5:$A$504,0))&amp;"","비귀속"),""))</f>
        <v/>
      </c>
      <c r="AG1531" s="96">
        <f>IF($A1531="",0,IF(AND(AE1531&lt;&gt;"직접",IFERROR(INDEX(계정매핑!$G$5:$G$504,MATCH($F1531&amp;"",계정매핑!$A$5:$A$504,0))&amp;"","")="유지비",COUNTIF(계정대체기준!$A$6:$A$15,$N1531)&gt;0),IFERROR(INDEX(계정대체기준!$E$6:$E$15,MATCH(VALUE($A1531&amp;""),계정대체기준!$D$6:$D$15,0)),0),0))</f>
        <v/>
      </c>
      <c r="AH1531" s="64">
        <f>IF($A1531="","",IF(AD1531=0,"",IF(OR(COUNTIF(계정대체기준!$A$77:$A$86,$N1531)&gt;0,ISNUMBER(MATCH($X1531,계정대체기준!$D$77:$D$86,0)),ISNUMBER(MATCH($F1531,계정대체기준!$D$77:$D$86,0))),"Y","N")))</f>
        <v/>
      </c>
    </row>
    <row r="1532">
      <c r="A1532" s="92" t="n">
        <v>2025</v>
      </c>
      <c r="B1532" s="92" t="n">
        <v>7</v>
      </c>
      <c r="C1532" s="92" t="inlineStr">
        <is>
          <t>5100001528</t>
        </is>
      </c>
      <c r="D1532" s="95" t="n">
        <v>45859</v>
      </c>
      <c r="E1532" s="92" t="inlineStr">
        <is>
          <t>KR</t>
        </is>
      </c>
      <c r="F1532" s="92" t="n">
        <v>62902000</v>
      </c>
      <c r="G1532" s="92" t="n">
        <v>1401</v>
      </c>
      <c r="H1532" s="93" t="n">
        <v>2742000</v>
      </c>
      <c r="I1532" s="92" t="inlineStr">
        <is>
          <t>7월 업무 위탁 수수료 - J콜센터</t>
        </is>
      </c>
      <c r="J1532" s="92" t="inlineStr">
        <is>
          <t>V10016</t>
        </is>
      </c>
      <c r="K1532" s="92" t="inlineStr">
        <is>
          <t>J콜센터</t>
        </is>
      </c>
      <c r="M1532" s="9">
        <f>IF($A1532="","",VALUE($A1532&amp;"")*12+VALUE($B1532&amp;""))</f>
        <v/>
      </c>
      <c r="N1532" s="64">
        <f>IF($A1532="","",IFERROR(INDEX(부서매핑!$C$5:$C$504,MATCH($G1532&amp;"",부서매핑!$A$5:$A$504,0)),"미매핑"))</f>
        <v/>
      </c>
      <c r="O1532" s="9">
        <f>IF($A1532="","",N1532&amp;"|"&amp;$F1532)</f>
        <v/>
      </c>
      <c r="P1532" s="94">
        <f>IF($A1532="",0,$H1532*설정!$C$23)</f>
        <v/>
      </c>
      <c r="Q1532" s="64">
        <f>IF($A1532="","",IF(O1532&lt;&gt;원인분석!$C$9,"",IF(AND(M1532&gt;=원인분석!$C$10,M1532&lt;=원인분석!$C$11),"당기",IF(AND(M1532&gt;=원인분석!$C$12,M1532&lt;=원인분석!$C$13),"비교",""))))</f>
        <v/>
      </c>
      <c r="R1532" s="9">
        <f>IF(Q1532="","",$K1532&amp;"")</f>
        <v/>
      </c>
      <c r="S1532" s="9">
        <f>IF(Q1532="","",IF(MATCH(R1532,$R$5:$R$100000,0)=ROW()-4,ROW(),""))</f>
        <v/>
      </c>
      <c r="T1532" s="9">
        <f>IF(Q1532="당기",ABS(P1532)+ROW()/1000000000,"")</f>
        <v/>
      </c>
      <c r="U1532" s="9">
        <f>IF(Q1532="비교",ABS(P1532)+ROW()/1000000000,"")</f>
        <v/>
      </c>
      <c r="V1532" s="64">
        <f>IF($A1532="","",IF(COUNTIF(변동분석!$E$7:$E$506,O1532)&gt;0,"Y","N"))</f>
        <v/>
      </c>
      <c r="W1532" s="64">
        <f>IF($A1532="","",IFERROR(INDEX(계정매핑!$D$5:$D$504,MATCH($F1532&amp;"",계정매핑!$A$5:$A$504,0)),"미매핑"))</f>
        <v/>
      </c>
      <c r="X1532" s="9">
        <f>IF($A1532="","",$F1532&amp;"")</f>
        <v/>
      </c>
      <c r="Y1532" s="94">
        <f>IF($A1532="",0,IF(AE1532="직접",IF(AF1532="비귀속",$P1532,0),$P1532*(1-AG1532)*IFERROR(INDEX(계정대체기준!$F$20:$F$49,MATCH($N1532,계정대체기준!$A$20:$A$49,0)),1)))</f>
        <v/>
      </c>
      <c r="Z1532" s="94">
        <f>IF($A1532="",0,IF(AE1532="직접",IF(AF1532="신계약비",$P1532,0),$P1532*(1-AG1532)*IFERROR(INDEX(계정대체기준!$C$20:$C$49,MATCH($N1532,계정대체기준!$A$20:$A$49,0)),0)))</f>
        <v/>
      </c>
      <c r="AA1532" s="94">
        <f>IF($A1532="",0,IF(AE1532="직접",IF(OR(AF1532="유지비",AF1532="손해조사비"),$P1532,0),$P1532*(1-AG1532)*IFERROR(INDEX(계정대체기준!$D$20:$D$49,MATCH($N1532,계정대체기준!$A$20:$A$49,0)),0)))</f>
        <v/>
      </c>
      <c r="AB1532" s="94">
        <f>IF($A1532="",0,IF(AE1532="직접",IF(AF1532="수금비",$P1532,0),$P1532*(1-AG1532)*IFERROR(INDEX(계정대체기준!$E$20:$E$49,MATCH($N1532,계정대체기준!$A$20:$A$49,0)),0)))</f>
        <v/>
      </c>
      <c r="AC1532" s="9">
        <f>IF(AND($A1532&lt;&gt;"",M1532=설정!$C$20,Z1532&gt;0),Z1532+ROW()/1000000000,"")</f>
        <v/>
      </c>
      <c r="AD1532" s="94">
        <f>IF($A1532="",0,$P1532*AG1532)</f>
        <v/>
      </c>
      <c r="AE1532" s="64">
        <f>IF($A1532="","",IFERROR(INDEX(계정매핑!$E$5:$E$504,MATCH($F1532&amp;"",계정매핑!$A$5:$A$504,0))&amp;"","공통비"))</f>
        <v/>
      </c>
      <c r="AF1532" s="64">
        <f>IF($A1532="","",IF(AE1532="직접",IFERROR(INDEX(계정매핑!$F$5:$F$504,MATCH($F1532&amp;"",계정매핑!$A$5:$A$504,0))&amp;"","비귀속"),""))</f>
        <v/>
      </c>
      <c r="AG1532" s="96">
        <f>IF($A1532="",0,IF(AND(AE1532&lt;&gt;"직접",IFERROR(INDEX(계정매핑!$G$5:$G$504,MATCH($F1532&amp;"",계정매핑!$A$5:$A$504,0))&amp;"","")="유지비",COUNTIF(계정대체기준!$A$6:$A$15,$N1532)&gt;0),IFERROR(INDEX(계정대체기준!$E$6:$E$15,MATCH(VALUE($A1532&amp;""),계정대체기준!$D$6:$D$15,0)),0),0))</f>
        <v/>
      </c>
      <c r="AH1532" s="64">
        <f>IF($A1532="","",IF(AD1532=0,"",IF(OR(COUNTIF(계정대체기준!$A$77:$A$86,$N1532)&gt;0,ISNUMBER(MATCH($X1532,계정대체기준!$D$77:$D$86,0)),ISNUMBER(MATCH($F1532,계정대체기준!$D$77:$D$86,0))),"Y","N")))</f>
        <v/>
      </c>
    </row>
    <row r="1533">
      <c r="A1533" s="92" t="n">
        <v>2025</v>
      </c>
      <c r="B1533" s="92" t="n">
        <v>7</v>
      </c>
      <c r="C1533" s="92" t="inlineStr">
        <is>
          <t>5100001529</t>
        </is>
      </c>
      <c r="D1533" s="95" t="n">
        <v>45859</v>
      </c>
      <c r="E1533" s="92" t="inlineStr">
        <is>
          <t>KR</t>
        </is>
      </c>
      <c r="F1533" s="92" t="n">
        <v>63201000</v>
      </c>
      <c r="G1533" s="92" t="n">
        <v>1601</v>
      </c>
      <c r="H1533" s="93" t="n">
        <v>1784000</v>
      </c>
      <c r="I1533" s="92" t="inlineStr">
        <is>
          <t>7월 차량 유지 - H에너지</t>
        </is>
      </c>
      <c r="J1533" s="92" t="inlineStr">
        <is>
          <t>V10030</t>
        </is>
      </c>
      <c r="K1533" s="92" t="inlineStr">
        <is>
          <t>H에너지</t>
        </is>
      </c>
      <c r="M1533" s="9">
        <f>IF($A1533="","",VALUE($A1533&amp;"")*12+VALUE($B1533&amp;""))</f>
        <v/>
      </c>
      <c r="N1533" s="64">
        <f>IF($A1533="","",IFERROR(INDEX(부서매핑!$C$5:$C$504,MATCH($G1533&amp;"",부서매핑!$A$5:$A$504,0)),"미매핑"))</f>
        <v/>
      </c>
      <c r="O1533" s="9">
        <f>IF($A1533="","",N1533&amp;"|"&amp;$F1533)</f>
        <v/>
      </c>
      <c r="P1533" s="94">
        <f>IF($A1533="",0,$H1533*설정!$C$23)</f>
        <v/>
      </c>
      <c r="Q1533" s="64">
        <f>IF($A1533="","",IF(O1533&lt;&gt;원인분석!$C$9,"",IF(AND(M1533&gt;=원인분석!$C$10,M1533&lt;=원인분석!$C$11),"당기",IF(AND(M1533&gt;=원인분석!$C$12,M1533&lt;=원인분석!$C$13),"비교",""))))</f>
        <v/>
      </c>
      <c r="R1533" s="9">
        <f>IF(Q1533="","",$K1533&amp;"")</f>
        <v/>
      </c>
      <c r="S1533" s="9">
        <f>IF(Q1533="","",IF(MATCH(R1533,$R$5:$R$100000,0)=ROW()-4,ROW(),""))</f>
        <v/>
      </c>
      <c r="T1533" s="9">
        <f>IF(Q1533="당기",ABS(P1533)+ROW()/1000000000,"")</f>
        <v/>
      </c>
      <c r="U1533" s="9">
        <f>IF(Q1533="비교",ABS(P1533)+ROW()/1000000000,"")</f>
        <v/>
      </c>
      <c r="V1533" s="64">
        <f>IF($A1533="","",IF(COUNTIF(변동분석!$E$7:$E$506,O1533)&gt;0,"Y","N"))</f>
        <v/>
      </c>
      <c r="W1533" s="64">
        <f>IF($A1533="","",IFERROR(INDEX(계정매핑!$D$5:$D$504,MATCH($F1533&amp;"",계정매핑!$A$5:$A$504,0)),"미매핑"))</f>
        <v/>
      </c>
      <c r="X1533" s="9">
        <f>IF($A1533="","",$F1533&amp;"")</f>
        <v/>
      </c>
      <c r="Y1533" s="94">
        <f>IF($A1533="",0,IF(AE1533="직접",IF(AF1533="비귀속",$P1533,0),$P1533*(1-AG1533)*IFERROR(INDEX(계정대체기준!$F$20:$F$49,MATCH($N1533,계정대체기준!$A$20:$A$49,0)),1)))</f>
        <v/>
      </c>
      <c r="Z1533" s="94">
        <f>IF($A1533="",0,IF(AE1533="직접",IF(AF1533="신계약비",$P1533,0),$P1533*(1-AG1533)*IFERROR(INDEX(계정대체기준!$C$20:$C$49,MATCH($N1533,계정대체기준!$A$20:$A$49,0)),0)))</f>
        <v/>
      </c>
      <c r="AA1533" s="94">
        <f>IF($A1533="",0,IF(AE1533="직접",IF(OR(AF1533="유지비",AF1533="손해조사비"),$P1533,0),$P1533*(1-AG1533)*IFERROR(INDEX(계정대체기준!$D$20:$D$49,MATCH($N1533,계정대체기준!$A$20:$A$49,0)),0)))</f>
        <v/>
      </c>
      <c r="AB1533" s="94">
        <f>IF($A1533="",0,IF(AE1533="직접",IF(AF1533="수금비",$P1533,0),$P1533*(1-AG1533)*IFERROR(INDEX(계정대체기준!$E$20:$E$49,MATCH($N1533,계정대체기준!$A$20:$A$49,0)),0)))</f>
        <v/>
      </c>
      <c r="AC1533" s="9">
        <f>IF(AND($A1533&lt;&gt;"",M1533=설정!$C$20,Z1533&gt;0),Z1533+ROW()/1000000000,"")</f>
        <v/>
      </c>
      <c r="AD1533" s="94">
        <f>IF($A1533="",0,$P1533*AG1533)</f>
        <v/>
      </c>
      <c r="AE1533" s="64">
        <f>IF($A1533="","",IFERROR(INDEX(계정매핑!$E$5:$E$504,MATCH($F1533&amp;"",계정매핑!$A$5:$A$504,0))&amp;"","공통비"))</f>
        <v/>
      </c>
      <c r="AF1533" s="64">
        <f>IF($A1533="","",IF(AE1533="직접",IFERROR(INDEX(계정매핑!$F$5:$F$504,MATCH($F1533&amp;"",계정매핑!$A$5:$A$504,0))&amp;"","비귀속"),""))</f>
        <v/>
      </c>
      <c r="AG1533" s="96">
        <f>IF($A1533="",0,IF(AND(AE1533&lt;&gt;"직접",IFERROR(INDEX(계정매핑!$G$5:$G$504,MATCH($F1533&amp;"",계정매핑!$A$5:$A$504,0))&amp;"","")="유지비",COUNTIF(계정대체기준!$A$6:$A$15,$N1533)&gt;0),IFERROR(INDEX(계정대체기준!$E$6:$E$15,MATCH(VALUE($A1533&amp;""),계정대체기준!$D$6:$D$15,0)),0),0))</f>
        <v/>
      </c>
      <c r="AH1533" s="64">
        <f>IF($A1533="","",IF(AD1533=0,"",IF(OR(COUNTIF(계정대체기준!$A$77:$A$86,$N1533)&gt;0,ISNUMBER(MATCH($X1533,계정대체기준!$D$77:$D$86,0)),ISNUMBER(MATCH($F1533,계정대체기준!$D$77:$D$86,0))),"Y","N")))</f>
        <v/>
      </c>
    </row>
    <row r="1534">
      <c r="A1534" s="92" t="n">
        <v>2025</v>
      </c>
      <c r="B1534" s="92" t="n">
        <v>7</v>
      </c>
      <c r="C1534" s="92" t="inlineStr">
        <is>
          <t>5100001530</t>
        </is>
      </c>
      <c r="D1534" s="95" t="n">
        <v>45859</v>
      </c>
      <c r="E1534" s="92" t="inlineStr">
        <is>
          <t>KR</t>
        </is>
      </c>
      <c r="F1534" s="92" t="n">
        <v>63502000</v>
      </c>
      <c r="G1534" s="92" t="n">
        <v>1902</v>
      </c>
      <c r="H1534" s="93" t="n">
        <v>188084000</v>
      </c>
      <c r="I1534" s="92" t="inlineStr">
        <is>
          <t>7월 유지수수료 - CC금융서비스</t>
        </is>
      </c>
      <c r="J1534" s="92" t="inlineStr">
        <is>
          <t>V10029</t>
        </is>
      </c>
      <c r="K1534" s="92" t="inlineStr">
        <is>
          <t>CC금융서비스</t>
        </is>
      </c>
      <c r="M1534" s="9">
        <f>IF($A1534="","",VALUE($A1534&amp;"")*12+VALUE($B1534&amp;""))</f>
        <v/>
      </c>
      <c r="N1534" s="64">
        <f>IF($A1534="","",IFERROR(INDEX(부서매핑!$C$5:$C$504,MATCH($G1534&amp;"",부서매핑!$A$5:$A$504,0)),"미매핑"))</f>
        <v/>
      </c>
      <c r="O1534" s="9">
        <f>IF($A1534="","",N1534&amp;"|"&amp;$F1534)</f>
        <v/>
      </c>
      <c r="P1534" s="94">
        <f>IF($A1534="",0,$H1534*설정!$C$23)</f>
        <v/>
      </c>
      <c r="Q1534" s="64">
        <f>IF($A1534="","",IF(O1534&lt;&gt;원인분석!$C$9,"",IF(AND(M1534&gt;=원인분석!$C$10,M1534&lt;=원인분석!$C$11),"당기",IF(AND(M1534&gt;=원인분석!$C$12,M1534&lt;=원인분석!$C$13),"비교",""))))</f>
        <v/>
      </c>
      <c r="R1534" s="9">
        <f>IF(Q1534="","",$K1534&amp;"")</f>
        <v/>
      </c>
      <c r="S1534" s="9">
        <f>IF(Q1534="","",IF(MATCH(R1534,$R$5:$R$100000,0)=ROW()-4,ROW(),""))</f>
        <v/>
      </c>
      <c r="T1534" s="9">
        <f>IF(Q1534="당기",ABS(P1534)+ROW()/1000000000,"")</f>
        <v/>
      </c>
      <c r="U1534" s="9">
        <f>IF(Q1534="비교",ABS(P1534)+ROW()/1000000000,"")</f>
        <v/>
      </c>
      <c r="V1534" s="64">
        <f>IF($A1534="","",IF(COUNTIF(변동분석!$E$7:$E$506,O1534)&gt;0,"Y","N"))</f>
        <v/>
      </c>
      <c r="W1534" s="64">
        <f>IF($A1534="","",IFERROR(INDEX(계정매핑!$D$5:$D$504,MATCH($F1534&amp;"",계정매핑!$A$5:$A$504,0)),"미매핑"))</f>
        <v/>
      </c>
      <c r="X1534" s="9">
        <f>IF($A1534="","",$F1534&amp;"")</f>
        <v/>
      </c>
      <c r="Y1534" s="94">
        <f>IF($A1534="",0,IF(AE1534="직접",IF(AF1534="비귀속",$P1534,0),$P1534*(1-AG1534)*IFERROR(INDEX(계정대체기준!$F$20:$F$49,MATCH($N1534,계정대체기준!$A$20:$A$49,0)),1)))</f>
        <v/>
      </c>
      <c r="Z1534" s="94">
        <f>IF($A1534="",0,IF(AE1534="직접",IF(AF1534="신계약비",$P1534,0),$P1534*(1-AG1534)*IFERROR(INDEX(계정대체기준!$C$20:$C$49,MATCH($N1534,계정대체기준!$A$20:$A$49,0)),0)))</f>
        <v/>
      </c>
      <c r="AA1534" s="94">
        <f>IF($A1534="",0,IF(AE1534="직접",IF(OR(AF1534="유지비",AF1534="손해조사비"),$P1534,0),$P1534*(1-AG1534)*IFERROR(INDEX(계정대체기준!$D$20:$D$49,MATCH($N1534,계정대체기준!$A$20:$A$49,0)),0)))</f>
        <v/>
      </c>
      <c r="AB1534" s="94">
        <f>IF($A1534="",0,IF(AE1534="직접",IF(AF1534="수금비",$P1534,0),$P1534*(1-AG1534)*IFERROR(INDEX(계정대체기준!$E$20:$E$49,MATCH($N1534,계정대체기준!$A$20:$A$49,0)),0)))</f>
        <v/>
      </c>
      <c r="AC1534" s="9">
        <f>IF(AND($A1534&lt;&gt;"",M1534=설정!$C$20,Z1534&gt;0),Z1534+ROW()/1000000000,"")</f>
        <v/>
      </c>
      <c r="AD1534" s="94">
        <f>IF($A1534="",0,$P1534*AG1534)</f>
        <v/>
      </c>
      <c r="AE1534" s="64">
        <f>IF($A1534="","",IFERROR(INDEX(계정매핑!$E$5:$E$504,MATCH($F1534&amp;"",계정매핑!$A$5:$A$504,0))&amp;"","공통비"))</f>
        <v/>
      </c>
      <c r="AF1534" s="64">
        <f>IF($A1534="","",IF(AE1534="직접",IFERROR(INDEX(계정매핑!$F$5:$F$504,MATCH($F1534&amp;"",계정매핑!$A$5:$A$504,0))&amp;"","비귀속"),""))</f>
        <v/>
      </c>
      <c r="AG1534" s="96">
        <f>IF($A1534="",0,IF(AND(AE1534&lt;&gt;"직접",IFERROR(INDEX(계정매핑!$G$5:$G$504,MATCH($F1534&amp;"",계정매핑!$A$5:$A$504,0))&amp;"","")="유지비",COUNTIF(계정대체기준!$A$6:$A$15,$N1534)&gt;0),IFERROR(INDEX(계정대체기준!$E$6:$E$15,MATCH(VALUE($A1534&amp;""),계정대체기준!$D$6:$D$15,0)),0),0))</f>
        <v/>
      </c>
      <c r="AH1534" s="64">
        <f>IF($A1534="","",IF(AD1534=0,"",IF(OR(COUNTIF(계정대체기준!$A$77:$A$86,$N1534)&gt;0,ISNUMBER(MATCH($X1534,계정대체기준!$D$77:$D$86,0)),ISNUMBER(MATCH($F1534,계정대체기준!$D$77:$D$86,0))),"Y","N")))</f>
        <v/>
      </c>
    </row>
    <row r="1535">
      <c r="A1535" s="92" t="n">
        <v>2025</v>
      </c>
      <c r="B1535" s="92" t="n">
        <v>7</v>
      </c>
      <c r="C1535" s="92" t="inlineStr">
        <is>
          <t>5100001531</t>
        </is>
      </c>
      <c r="D1535" s="95" t="n">
        <v>45860</v>
      </c>
      <c r="E1535" s="92" t="inlineStr">
        <is>
          <t>KR</t>
        </is>
      </c>
      <c r="F1535" s="92" t="n">
        <v>62102000</v>
      </c>
      <c r="G1535" s="92" t="n">
        <v>1401</v>
      </c>
      <c r="H1535" s="93" t="n">
        <v>98000</v>
      </c>
      <c r="I1535" s="92" t="inlineStr">
        <is>
          <t>7월 해외출장 - M항공</t>
        </is>
      </c>
      <c r="J1535" s="92" t="inlineStr">
        <is>
          <t>V10001</t>
        </is>
      </c>
      <c r="K1535" s="92" t="inlineStr">
        <is>
          <t>M항공</t>
        </is>
      </c>
      <c r="M1535" s="9">
        <f>IF($A1535="","",VALUE($A1535&amp;"")*12+VALUE($B1535&amp;""))</f>
        <v/>
      </c>
      <c r="N1535" s="64">
        <f>IF($A1535="","",IFERROR(INDEX(부서매핑!$C$5:$C$504,MATCH($G1535&amp;"",부서매핑!$A$5:$A$504,0)),"미매핑"))</f>
        <v/>
      </c>
      <c r="O1535" s="9">
        <f>IF($A1535="","",N1535&amp;"|"&amp;$F1535)</f>
        <v/>
      </c>
      <c r="P1535" s="94">
        <f>IF($A1535="",0,$H1535*설정!$C$23)</f>
        <v/>
      </c>
      <c r="Q1535" s="64">
        <f>IF($A1535="","",IF(O1535&lt;&gt;원인분석!$C$9,"",IF(AND(M1535&gt;=원인분석!$C$10,M1535&lt;=원인분석!$C$11),"당기",IF(AND(M1535&gt;=원인분석!$C$12,M1535&lt;=원인분석!$C$13),"비교",""))))</f>
        <v/>
      </c>
      <c r="R1535" s="9">
        <f>IF(Q1535="","",$K1535&amp;"")</f>
        <v/>
      </c>
      <c r="S1535" s="9">
        <f>IF(Q1535="","",IF(MATCH(R1535,$R$5:$R$100000,0)=ROW()-4,ROW(),""))</f>
        <v/>
      </c>
      <c r="T1535" s="9">
        <f>IF(Q1535="당기",ABS(P1535)+ROW()/1000000000,"")</f>
        <v/>
      </c>
      <c r="U1535" s="9">
        <f>IF(Q1535="비교",ABS(P1535)+ROW()/1000000000,"")</f>
        <v/>
      </c>
      <c r="V1535" s="64">
        <f>IF($A1535="","",IF(COUNTIF(변동분석!$E$7:$E$506,O1535)&gt;0,"Y","N"))</f>
        <v/>
      </c>
      <c r="W1535" s="64">
        <f>IF($A1535="","",IFERROR(INDEX(계정매핑!$D$5:$D$504,MATCH($F1535&amp;"",계정매핑!$A$5:$A$504,0)),"미매핑"))</f>
        <v/>
      </c>
      <c r="X1535" s="9">
        <f>IF($A1535="","",$F1535&amp;"")</f>
        <v/>
      </c>
      <c r="Y1535" s="94">
        <f>IF($A1535="",0,IF(AE1535="직접",IF(AF1535="비귀속",$P1535,0),$P1535*(1-AG1535)*IFERROR(INDEX(계정대체기준!$F$20:$F$49,MATCH($N1535,계정대체기준!$A$20:$A$49,0)),1)))</f>
        <v/>
      </c>
      <c r="Z1535" s="94">
        <f>IF($A1535="",0,IF(AE1535="직접",IF(AF1535="신계약비",$P1535,0),$P1535*(1-AG1535)*IFERROR(INDEX(계정대체기준!$C$20:$C$49,MATCH($N1535,계정대체기준!$A$20:$A$49,0)),0)))</f>
        <v/>
      </c>
      <c r="AA1535" s="94">
        <f>IF($A1535="",0,IF(AE1535="직접",IF(OR(AF1535="유지비",AF1535="손해조사비"),$P1535,0),$P1535*(1-AG1535)*IFERROR(INDEX(계정대체기준!$D$20:$D$49,MATCH($N1535,계정대체기준!$A$20:$A$49,0)),0)))</f>
        <v/>
      </c>
      <c r="AB1535" s="94">
        <f>IF($A1535="",0,IF(AE1535="직접",IF(AF1535="수금비",$P1535,0),$P1535*(1-AG1535)*IFERROR(INDEX(계정대체기준!$E$20:$E$49,MATCH($N1535,계정대체기준!$A$20:$A$49,0)),0)))</f>
        <v/>
      </c>
      <c r="AC1535" s="9">
        <f>IF(AND($A1535&lt;&gt;"",M1535=설정!$C$20,Z1535&gt;0),Z1535+ROW()/1000000000,"")</f>
        <v/>
      </c>
      <c r="AD1535" s="94">
        <f>IF($A1535="",0,$P1535*AG1535)</f>
        <v/>
      </c>
      <c r="AE1535" s="64">
        <f>IF($A1535="","",IFERROR(INDEX(계정매핑!$E$5:$E$504,MATCH($F1535&amp;"",계정매핑!$A$5:$A$504,0))&amp;"","공통비"))</f>
        <v/>
      </c>
      <c r="AF1535" s="64">
        <f>IF($A1535="","",IF(AE1535="직접",IFERROR(INDEX(계정매핑!$F$5:$F$504,MATCH($F1535&amp;"",계정매핑!$A$5:$A$504,0))&amp;"","비귀속"),""))</f>
        <v/>
      </c>
      <c r="AG1535" s="96">
        <f>IF($A1535="",0,IF(AND(AE1535&lt;&gt;"직접",IFERROR(INDEX(계정매핑!$G$5:$G$504,MATCH($F1535&amp;"",계정매핑!$A$5:$A$504,0))&amp;"","")="유지비",COUNTIF(계정대체기준!$A$6:$A$15,$N1535)&gt;0),IFERROR(INDEX(계정대체기준!$E$6:$E$15,MATCH(VALUE($A1535&amp;""),계정대체기준!$D$6:$D$15,0)),0),0))</f>
        <v/>
      </c>
      <c r="AH1535" s="64">
        <f>IF($A1535="","",IF(AD1535=0,"",IF(OR(COUNTIF(계정대체기준!$A$77:$A$86,$N1535)&gt;0,ISNUMBER(MATCH($X1535,계정대체기준!$D$77:$D$86,0)),ISNUMBER(MATCH($F1535,계정대체기준!$D$77:$D$86,0))),"Y","N")))</f>
        <v/>
      </c>
    </row>
    <row r="1536">
      <c r="A1536" s="92" t="n">
        <v>2025</v>
      </c>
      <c r="B1536" s="92" t="n">
        <v>7</v>
      </c>
      <c r="C1536" s="92" t="inlineStr">
        <is>
          <t>5100001532</t>
        </is>
      </c>
      <c r="D1536" s="95" t="n">
        <v>45860</v>
      </c>
      <c r="E1536" s="92" t="inlineStr">
        <is>
          <t>KR</t>
        </is>
      </c>
      <c r="F1536" s="92" t="n">
        <v>62102000</v>
      </c>
      <c r="G1536" s="92" t="n">
        <v>1701</v>
      </c>
      <c r="H1536" s="93" t="n">
        <v>57000</v>
      </c>
      <c r="I1536" s="92" t="inlineStr">
        <is>
          <t>7월 해외출장 - M항공</t>
        </is>
      </c>
      <c r="J1536" s="92" t="inlineStr">
        <is>
          <t>V10001</t>
        </is>
      </c>
      <c r="K1536" s="92" t="inlineStr">
        <is>
          <t>M항공</t>
        </is>
      </c>
      <c r="M1536" s="9">
        <f>IF($A1536="","",VALUE($A1536&amp;"")*12+VALUE($B1536&amp;""))</f>
        <v/>
      </c>
      <c r="N1536" s="64">
        <f>IF($A1536="","",IFERROR(INDEX(부서매핑!$C$5:$C$504,MATCH($G1536&amp;"",부서매핑!$A$5:$A$504,0)),"미매핑"))</f>
        <v/>
      </c>
      <c r="O1536" s="9">
        <f>IF($A1536="","",N1536&amp;"|"&amp;$F1536)</f>
        <v/>
      </c>
      <c r="P1536" s="94">
        <f>IF($A1536="",0,$H1536*설정!$C$23)</f>
        <v/>
      </c>
      <c r="Q1536" s="64">
        <f>IF($A1536="","",IF(O1536&lt;&gt;원인분석!$C$9,"",IF(AND(M1536&gt;=원인분석!$C$10,M1536&lt;=원인분석!$C$11),"당기",IF(AND(M1536&gt;=원인분석!$C$12,M1536&lt;=원인분석!$C$13),"비교",""))))</f>
        <v/>
      </c>
      <c r="R1536" s="9">
        <f>IF(Q1536="","",$K1536&amp;"")</f>
        <v/>
      </c>
      <c r="S1536" s="9">
        <f>IF(Q1536="","",IF(MATCH(R1536,$R$5:$R$100000,0)=ROW()-4,ROW(),""))</f>
        <v/>
      </c>
      <c r="T1536" s="9">
        <f>IF(Q1536="당기",ABS(P1536)+ROW()/1000000000,"")</f>
        <v/>
      </c>
      <c r="U1536" s="9">
        <f>IF(Q1536="비교",ABS(P1536)+ROW()/1000000000,"")</f>
        <v/>
      </c>
      <c r="V1536" s="64">
        <f>IF($A1536="","",IF(COUNTIF(변동분석!$E$7:$E$506,O1536)&gt;0,"Y","N"))</f>
        <v/>
      </c>
      <c r="W1536" s="64">
        <f>IF($A1536="","",IFERROR(INDEX(계정매핑!$D$5:$D$504,MATCH($F1536&amp;"",계정매핑!$A$5:$A$504,0)),"미매핑"))</f>
        <v/>
      </c>
      <c r="X1536" s="9">
        <f>IF($A1536="","",$F1536&amp;"")</f>
        <v/>
      </c>
      <c r="Y1536" s="94">
        <f>IF($A1536="",0,IF(AE1536="직접",IF(AF1536="비귀속",$P1536,0),$P1536*(1-AG1536)*IFERROR(INDEX(계정대체기준!$F$20:$F$49,MATCH($N1536,계정대체기준!$A$20:$A$49,0)),1)))</f>
        <v/>
      </c>
      <c r="Z1536" s="94">
        <f>IF($A1536="",0,IF(AE1536="직접",IF(AF1536="신계약비",$P1536,0),$P1536*(1-AG1536)*IFERROR(INDEX(계정대체기준!$C$20:$C$49,MATCH($N1536,계정대체기준!$A$20:$A$49,0)),0)))</f>
        <v/>
      </c>
      <c r="AA1536" s="94">
        <f>IF($A1536="",0,IF(AE1536="직접",IF(OR(AF1536="유지비",AF1536="손해조사비"),$P1536,0),$P1536*(1-AG1536)*IFERROR(INDEX(계정대체기준!$D$20:$D$49,MATCH($N1536,계정대체기준!$A$20:$A$49,0)),0)))</f>
        <v/>
      </c>
      <c r="AB1536" s="94">
        <f>IF($A1536="",0,IF(AE1536="직접",IF(AF1536="수금비",$P1536,0),$P1536*(1-AG1536)*IFERROR(INDEX(계정대체기준!$E$20:$E$49,MATCH($N1536,계정대체기준!$A$20:$A$49,0)),0)))</f>
        <v/>
      </c>
      <c r="AC1536" s="9">
        <f>IF(AND($A1536&lt;&gt;"",M1536=설정!$C$20,Z1536&gt;0),Z1536+ROW()/1000000000,"")</f>
        <v/>
      </c>
      <c r="AD1536" s="94">
        <f>IF($A1536="",0,$P1536*AG1536)</f>
        <v/>
      </c>
      <c r="AE1536" s="64">
        <f>IF($A1536="","",IFERROR(INDEX(계정매핑!$E$5:$E$504,MATCH($F1536&amp;"",계정매핑!$A$5:$A$504,0))&amp;"","공통비"))</f>
        <v/>
      </c>
      <c r="AF1536" s="64">
        <f>IF($A1536="","",IF(AE1536="직접",IFERROR(INDEX(계정매핑!$F$5:$F$504,MATCH($F1536&amp;"",계정매핑!$A$5:$A$504,0))&amp;"","비귀속"),""))</f>
        <v/>
      </c>
      <c r="AG1536" s="96">
        <f>IF($A1536="",0,IF(AND(AE1536&lt;&gt;"직접",IFERROR(INDEX(계정매핑!$G$5:$G$504,MATCH($F1536&amp;"",계정매핑!$A$5:$A$504,0))&amp;"","")="유지비",COUNTIF(계정대체기준!$A$6:$A$15,$N1536)&gt;0),IFERROR(INDEX(계정대체기준!$E$6:$E$15,MATCH(VALUE($A1536&amp;""),계정대체기준!$D$6:$D$15,0)),0),0))</f>
        <v/>
      </c>
      <c r="AH1536" s="64">
        <f>IF($A1536="","",IF(AD1536=0,"",IF(OR(COUNTIF(계정대체기준!$A$77:$A$86,$N1536)&gt;0,ISNUMBER(MATCH($X1536,계정대체기준!$D$77:$D$86,0)),ISNUMBER(MATCH($F1536,계정대체기준!$D$77:$D$86,0))),"Y","N")))</f>
        <v/>
      </c>
    </row>
    <row r="1537">
      <c r="A1537" s="92" t="n">
        <v>2025</v>
      </c>
      <c r="B1537" s="92" t="n">
        <v>7</v>
      </c>
      <c r="C1537" s="92" t="inlineStr">
        <is>
          <t>5100001533</t>
        </is>
      </c>
      <c r="D1537" s="95" t="n">
        <v>45860</v>
      </c>
      <c r="E1537" s="92" t="inlineStr">
        <is>
          <t>KR</t>
        </is>
      </c>
      <c r="F1537" s="92" t="n">
        <v>62102000</v>
      </c>
      <c r="G1537" s="92" t="n">
        <v>1951</v>
      </c>
      <c r="H1537" s="93" t="n">
        <v>93000</v>
      </c>
      <c r="I1537" s="92" t="inlineStr">
        <is>
          <t>7월 해외출장 - N호텔</t>
        </is>
      </c>
      <c r="J1537" s="92" t="inlineStr">
        <is>
          <t>V10009</t>
        </is>
      </c>
      <c r="K1537" s="92" t="inlineStr">
        <is>
          <t>N호텔</t>
        </is>
      </c>
      <c r="M1537" s="9">
        <f>IF($A1537="","",VALUE($A1537&amp;"")*12+VALUE($B1537&amp;""))</f>
        <v/>
      </c>
      <c r="N1537" s="64">
        <f>IF($A1537="","",IFERROR(INDEX(부서매핑!$C$5:$C$504,MATCH($G1537&amp;"",부서매핑!$A$5:$A$504,0)),"미매핑"))</f>
        <v/>
      </c>
      <c r="O1537" s="9">
        <f>IF($A1537="","",N1537&amp;"|"&amp;$F1537)</f>
        <v/>
      </c>
      <c r="P1537" s="94">
        <f>IF($A1537="",0,$H1537*설정!$C$23)</f>
        <v/>
      </c>
      <c r="Q1537" s="64">
        <f>IF($A1537="","",IF(O1537&lt;&gt;원인분석!$C$9,"",IF(AND(M1537&gt;=원인분석!$C$10,M1537&lt;=원인분석!$C$11),"당기",IF(AND(M1537&gt;=원인분석!$C$12,M1537&lt;=원인분석!$C$13),"비교",""))))</f>
        <v/>
      </c>
      <c r="R1537" s="9">
        <f>IF(Q1537="","",$K1537&amp;"")</f>
        <v/>
      </c>
      <c r="S1537" s="9">
        <f>IF(Q1537="","",IF(MATCH(R1537,$R$5:$R$100000,0)=ROW()-4,ROW(),""))</f>
        <v/>
      </c>
      <c r="T1537" s="9">
        <f>IF(Q1537="당기",ABS(P1537)+ROW()/1000000000,"")</f>
        <v/>
      </c>
      <c r="U1537" s="9">
        <f>IF(Q1537="비교",ABS(P1537)+ROW()/1000000000,"")</f>
        <v/>
      </c>
      <c r="V1537" s="64">
        <f>IF($A1537="","",IF(COUNTIF(변동분석!$E$7:$E$506,O1537)&gt;0,"Y","N"))</f>
        <v/>
      </c>
      <c r="W1537" s="64">
        <f>IF($A1537="","",IFERROR(INDEX(계정매핑!$D$5:$D$504,MATCH($F1537&amp;"",계정매핑!$A$5:$A$504,0)),"미매핑"))</f>
        <v/>
      </c>
      <c r="X1537" s="9">
        <f>IF($A1537="","",$F1537&amp;"")</f>
        <v/>
      </c>
      <c r="Y1537" s="94">
        <f>IF($A1537="",0,IF(AE1537="직접",IF(AF1537="비귀속",$P1537,0),$P1537*(1-AG1537)*IFERROR(INDEX(계정대체기준!$F$20:$F$49,MATCH($N1537,계정대체기준!$A$20:$A$49,0)),1)))</f>
        <v/>
      </c>
      <c r="Z1537" s="94">
        <f>IF($A1537="",0,IF(AE1537="직접",IF(AF1537="신계약비",$P1537,0),$P1537*(1-AG1537)*IFERROR(INDEX(계정대체기준!$C$20:$C$49,MATCH($N1537,계정대체기준!$A$20:$A$49,0)),0)))</f>
        <v/>
      </c>
      <c r="AA1537" s="94">
        <f>IF($A1537="",0,IF(AE1537="직접",IF(OR(AF1537="유지비",AF1537="손해조사비"),$P1537,0),$P1537*(1-AG1537)*IFERROR(INDEX(계정대체기준!$D$20:$D$49,MATCH($N1537,계정대체기준!$A$20:$A$49,0)),0)))</f>
        <v/>
      </c>
      <c r="AB1537" s="94">
        <f>IF($A1537="",0,IF(AE1537="직접",IF(AF1537="수금비",$P1537,0),$P1537*(1-AG1537)*IFERROR(INDEX(계정대체기준!$E$20:$E$49,MATCH($N1537,계정대체기준!$A$20:$A$49,0)),0)))</f>
        <v/>
      </c>
      <c r="AC1537" s="9">
        <f>IF(AND($A1537&lt;&gt;"",M1537=설정!$C$20,Z1537&gt;0),Z1537+ROW()/1000000000,"")</f>
        <v/>
      </c>
      <c r="AD1537" s="94">
        <f>IF($A1537="",0,$P1537*AG1537)</f>
        <v/>
      </c>
      <c r="AE1537" s="64">
        <f>IF($A1537="","",IFERROR(INDEX(계정매핑!$E$5:$E$504,MATCH($F1537&amp;"",계정매핑!$A$5:$A$504,0))&amp;"","공통비"))</f>
        <v/>
      </c>
      <c r="AF1537" s="64">
        <f>IF($A1537="","",IF(AE1537="직접",IFERROR(INDEX(계정매핑!$F$5:$F$504,MATCH($F1537&amp;"",계정매핑!$A$5:$A$504,0))&amp;"","비귀속"),""))</f>
        <v/>
      </c>
      <c r="AG1537" s="96">
        <f>IF($A1537="",0,IF(AND(AE1537&lt;&gt;"직접",IFERROR(INDEX(계정매핑!$G$5:$G$504,MATCH($F1537&amp;"",계정매핑!$A$5:$A$504,0))&amp;"","")="유지비",COUNTIF(계정대체기준!$A$6:$A$15,$N1537)&gt;0),IFERROR(INDEX(계정대체기준!$E$6:$E$15,MATCH(VALUE($A1537&amp;""),계정대체기준!$D$6:$D$15,0)),0),0))</f>
        <v/>
      </c>
      <c r="AH1537" s="64">
        <f>IF($A1537="","",IF(AD1537=0,"",IF(OR(COUNTIF(계정대체기준!$A$77:$A$86,$N1537)&gt;0,ISNUMBER(MATCH($X1537,계정대체기준!$D$77:$D$86,0)),ISNUMBER(MATCH($F1537,계정대체기준!$D$77:$D$86,0))),"Y","N")))</f>
        <v/>
      </c>
    </row>
    <row r="1538">
      <c r="A1538" s="92" t="n">
        <v>2025</v>
      </c>
      <c r="B1538" s="92" t="n">
        <v>7</v>
      </c>
      <c r="C1538" s="92" t="inlineStr">
        <is>
          <t>5100001534</t>
        </is>
      </c>
      <c r="D1538" s="95" t="n">
        <v>45860</v>
      </c>
      <c r="E1538" s="92" t="inlineStr">
        <is>
          <t>KR</t>
        </is>
      </c>
      <c r="F1538" s="92" t="n">
        <v>62201000</v>
      </c>
      <c r="G1538" s="92" t="n">
        <v>1601</v>
      </c>
      <c r="H1538" s="93" t="n">
        <v>743000</v>
      </c>
      <c r="I1538" s="92" t="inlineStr">
        <is>
          <t>7월 통신요금 - O텔레콤</t>
        </is>
      </c>
      <c r="J1538" s="92" t="inlineStr">
        <is>
          <t>V10002</t>
        </is>
      </c>
      <c r="K1538" s="92" t="inlineStr">
        <is>
          <t>O텔레콤</t>
        </is>
      </c>
      <c r="M1538" s="9">
        <f>IF($A1538="","",VALUE($A1538&amp;"")*12+VALUE($B1538&amp;""))</f>
        <v/>
      </c>
      <c r="N1538" s="64">
        <f>IF($A1538="","",IFERROR(INDEX(부서매핑!$C$5:$C$504,MATCH($G1538&amp;"",부서매핑!$A$5:$A$504,0)),"미매핑"))</f>
        <v/>
      </c>
      <c r="O1538" s="9">
        <f>IF($A1538="","",N1538&amp;"|"&amp;$F1538)</f>
        <v/>
      </c>
      <c r="P1538" s="94">
        <f>IF($A1538="",0,$H1538*설정!$C$23)</f>
        <v/>
      </c>
      <c r="Q1538" s="64">
        <f>IF($A1538="","",IF(O1538&lt;&gt;원인분석!$C$9,"",IF(AND(M1538&gt;=원인분석!$C$10,M1538&lt;=원인분석!$C$11),"당기",IF(AND(M1538&gt;=원인분석!$C$12,M1538&lt;=원인분석!$C$13),"비교",""))))</f>
        <v/>
      </c>
      <c r="R1538" s="9">
        <f>IF(Q1538="","",$K1538&amp;"")</f>
        <v/>
      </c>
      <c r="S1538" s="9">
        <f>IF(Q1538="","",IF(MATCH(R1538,$R$5:$R$100000,0)=ROW()-4,ROW(),""))</f>
        <v/>
      </c>
      <c r="T1538" s="9">
        <f>IF(Q1538="당기",ABS(P1538)+ROW()/1000000000,"")</f>
        <v/>
      </c>
      <c r="U1538" s="9">
        <f>IF(Q1538="비교",ABS(P1538)+ROW()/1000000000,"")</f>
        <v/>
      </c>
      <c r="V1538" s="64">
        <f>IF($A1538="","",IF(COUNTIF(변동분석!$E$7:$E$506,O1538)&gt;0,"Y","N"))</f>
        <v/>
      </c>
      <c r="W1538" s="64">
        <f>IF($A1538="","",IFERROR(INDEX(계정매핑!$D$5:$D$504,MATCH($F1538&amp;"",계정매핑!$A$5:$A$504,0)),"미매핑"))</f>
        <v/>
      </c>
      <c r="X1538" s="9">
        <f>IF($A1538="","",$F1538&amp;"")</f>
        <v/>
      </c>
      <c r="Y1538" s="94">
        <f>IF($A1538="",0,IF(AE1538="직접",IF(AF1538="비귀속",$P1538,0),$P1538*(1-AG1538)*IFERROR(INDEX(계정대체기준!$F$20:$F$49,MATCH($N1538,계정대체기준!$A$20:$A$49,0)),1)))</f>
        <v/>
      </c>
      <c r="Z1538" s="94">
        <f>IF($A1538="",0,IF(AE1538="직접",IF(AF1538="신계약비",$P1538,0),$P1538*(1-AG1538)*IFERROR(INDEX(계정대체기준!$C$20:$C$49,MATCH($N1538,계정대체기준!$A$20:$A$49,0)),0)))</f>
        <v/>
      </c>
      <c r="AA1538" s="94">
        <f>IF($A1538="",0,IF(AE1538="직접",IF(OR(AF1538="유지비",AF1538="손해조사비"),$P1538,0),$P1538*(1-AG1538)*IFERROR(INDEX(계정대체기준!$D$20:$D$49,MATCH($N1538,계정대체기준!$A$20:$A$49,0)),0)))</f>
        <v/>
      </c>
      <c r="AB1538" s="94">
        <f>IF($A1538="",0,IF(AE1538="직접",IF(AF1538="수금비",$P1538,0),$P1538*(1-AG1538)*IFERROR(INDEX(계정대체기준!$E$20:$E$49,MATCH($N1538,계정대체기준!$A$20:$A$49,0)),0)))</f>
        <v/>
      </c>
      <c r="AC1538" s="9">
        <f>IF(AND($A1538&lt;&gt;"",M1538=설정!$C$20,Z1538&gt;0),Z1538+ROW()/1000000000,"")</f>
        <v/>
      </c>
      <c r="AD1538" s="94">
        <f>IF($A1538="",0,$P1538*AG1538)</f>
        <v/>
      </c>
      <c r="AE1538" s="64">
        <f>IF($A1538="","",IFERROR(INDEX(계정매핑!$E$5:$E$504,MATCH($F1538&amp;"",계정매핑!$A$5:$A$504,0))&amp;"","공통비"))</f>
        <v/>
      </c>
      <c r="AF1538" s="64">
        <f>IF($A1538="","",IF(AE1538="직접",IFERROR(INDEX(계정매핑!$F$5:$F$504,MATCH($F1538&amp;"",계정매핑!$A$5:$A$504,0))&amp;"","비귀속"),""))</f>
        <v/>
      </c>
      <c r="AG1538" s="96">
        <f>IF($A1538="",0,IF(AND(AE1538&lt;&gt;"직접",IFERROR(INDEX(계정매핑!$G$5:$G$504,MATCH($F1538&amp;"",계정매핑!$A$5:$A$504,0))&amp;"","")="유지비",COUNTIF(계정대체기준!$A$6:$A$15,$N1538)&gt;0),IFERROR(INDEX(계정대체기준!$E$6:$E$15,MATCH(VALUE($A1538&amp;""),계정대체기준!$D$6:$D$15,0)),0),0))</f>
        <v/>
      </c>
      <c r="AH1538" s="64">
        <f>IF($A1538="","",IF(AD1538=0,"",IF(OR(COUNTIF(계정대체기준!$A$77:$A$86,$N1538)&gt;0,ISNUMBER(MATCH($X1538,계정대체기준!$D$77:$D$86,0)),ISNUMBER(MATCH($F1538,계정대체기준!$D$77:$D$86,0))),"Y","N")))</f>
        <v/>
      </c>
    </row>
    <row r="1539">
      <c r="A1539" s="92" t="n">
        <v>2025</v>
      </c>
      <c r="B1539" s="92" t="n">
        <v>7</v>
      </c>
      <c r="C1539" s="92" t="inlineStr">
        <is>
          <t>5100001535</t>
        </is>
      </c>
      <c r="D1539" s="95" t="n">
        <v>45860</v>
      </c>
      <c r="E1539" s="92" t="inlineStr">
        <is>
          <t>KR</t>
        </is>
      </c>
      <c r="F1539" s="92" t="n">
        <v>62301000</v>
      </c>
      <c r="G1539" s="92" t="n">
        <v>1701</v>
      </c>
      <c r="H1539" s="93" t="n">
        <v>377000</v>
      </c>
      <c r="I1539" s="92" t="inlineStr">
        <is>
          <t>7월 소모품 구입 - Q오피스</t>
        </is>
      </c>
      <c r="J1539" s="92" t="inlineStr">
        <is>
          <t>V10003</t>
        </is>
      </c>
      <c r="K1539" s="92" t="inlineStr">
        <is>
          <t>Q오피스</t>
        </is>
      </c>
      <c r="M1539" s="9">
        <f>IF($A1539="","",VALUE($A1539&amp;"")*12+VALUE($B1539&amp;""))</f>
        <v/>
      </c>
      <c r="N1539" s="64">
        <f>IF($A1539="","",IFERROR(INDEX(부서매핑!$C$5:$C$504,MATCH($G1539&amp;"",부서매핑!$A$5:$A$504,0)),"미매핑"))</f>
        <v/>
      </c>
      <c r="O1539" s="9">
        <f>IF($A1539="","",N1539&amp;"|"&amp;$F1539)</f>
        <v/>
      </c>
      <c r="P1539" s="94">
        <f>IF($A1539="",0,$H1539*설정!$C$23)</f>
        <v/>
      </c>
      <c r="Q1539" s="64">
        <f>IF($A1539="","",IF(O1539&lt;&gt;원인분석!$C$9,"",IF(AND(M1539&gt;=원인분석!$C$10,M1539&lt;=원인분석!$C$11),"당기",IF(AND(M1539&gt;=원인분석!$C$12,M1539&lt;=원인분석!$C$13),"비교",""))))</f>
        <v/>
      </c>
      <c r="R1539" s="9">
        <f>IF(Q1539="","",$K1539&amp;"")</f>
        <v/>
      </c>
      <c r="S1539" s="9">
        <f>IF(Q1539="","",IF(MATCH(R1539,$R$5:$R$100000,0)=ROW()-4,ROW(),""))</f>
        <v/>
      </c>
      <c r="T1539" s="9">
        <f>IF(Q1539="당기",ABS(P1539)+ROW()/1000000000,"")</f>
        <v/>
      </c>
      <c r="U1539" s="9">
        <f>IF(Q1539="비교",ABS(P1539)+ROW()/1000000000,"")</f>
        <v/>
      </c>
      <c r="V1539" s="64">
        <f>IF($A1539="","",IF(COUNTIF(변동분석!$E$7:$E$506,O1539)&gt;0,"Y","N"))</f>
        <v/>
      </c>
      <c r="W1539" s="64">
        <f>IF($A1539="","",IFERROR(INDEX(계정매핑!$D$5:$D$504,MATCH($F1539&amp;"",계정매핑!$A$5:$A$504,0)),"미매핑"))</f>
        <v/>
      </c>
      <c r="X1539" s="9">
        <f>IF($A1539="","",$F1539&amp;"")</f>
        <v/>
      </c>
      <c r="Y1539" s="94">
        <f>IF($A1539="",0,IF(AE1539="직접",IF(AF1539="비귀속",$P1539,0),$P1539*(1-AG1539)*IFERROR(INDEX(계정대체기준!$F$20:$F$49,MATCH($N1539,계정대체기준!$A$20:$A$49,0)),1)))</f>
        <v/>
      </c>
      <c r="Z1539" s="94">
        <f>IF($A1539="",0,IF(AE1539="직접",IF(AF1539="신계약비",$P1539,0),$P1539*(1-AG1539)*IFERROR(INDEX(계정대체기준!$C$20:$C$49,MATCH($N1539,계정대체기준!$A$20:$A$49,0)),0)))</f>
        <v/>
      </c>
      <c r="AA1539" s="94">
        <f>IF($A1539="",0,IF(AE1539="직접",IF(OR(AF1539="유지비",AF1539="손해조사비"),$P1539,0),$P1539*(1-AG1539)*IFERROR(INDEX(계정대체기준!$D$20:$D$49,MATCH($N1539,계정대체기준!$A$20:$A$49,0)),0)))</f>
        <v/>
      </c>
      <c r="AB1539" s="94">
        <f>IF($A1539="",0,IF(AE1539="직접",IF(AF1539="수금비",$P1539,0),$P1539*(1-AG1539)*IFERROR(INDEX(계정대체기준!$E$20:$E$49,MATCH($N1539,계정대체기준!$A$20:$A$49,0)),0)))</f>
        <v/>
      </c>
      <c r="AC1539" s="9">
        <f>IF(AND($A1539&lt;&gt;"",M1539=설정!$C$20,Z1539&gt;0),Z1539+ROW()/1000000000,"")</f>
        <v/>
      </c>
      <c r="AD1539" s="94">
        <f>IF($A1539="",0,$P1539*AG1539)</f>
        <v/>
      </c>
      <c r="AE1539" s="64">
        <f>IF($A1539="","",IFERROR(INDEX(계정매핑!$E$5:$E$504,MATCH($F1539&amp;"",계정매핑!$A$5:$A$504,0))&amp;"","공통비"))</f>
        <v/>
      </c>
      <c r="AF1539" s="64">
        <f>IF($A1539="","",IF(AE1539="직접",IFERROR(INDEX(계정매핑!$F$5:$F$504,MATCH($F1539&amp;"",계정매핑!$A$5:$A$504,0))&amp;"","비귀속"),""))</f>
        <v/>
      </c>
      <c r="AG1539" s="96">
        <f>IF($A1539="",0,IF(AND(AE1539&lt;&gt;"직접",IFERROR(INDEX(계정매핑!$G$5:$G$504,MATCH($F1539&amp;"",계정매핑!$A$5:$A$504,0))&amp;"","")="유지비",COUNTIF(계정대체기준!$A$6:$A$15,$N1539)&gt;0),IFERROR(INDEX(계정대체기준!$E$6:$E$15,MATCH(VALUE($A1539&amp;""),계정대체기준!$D$6:$D$15,0)),0),0))</f>
        <v/>
      </c>
      <c r="AH1539" s="64">
        <f>IF($A1539="","",IF(AD1539=0,"",IF(OR(COUNTIF(계정대체기준!$A$77:$A$86,$N1539)&gt;0,ISNUMBER(MATCH($X1539,계정대체기준!$D$77:$D$86,0)),ISNUMBER(MATCH($F1539,계정대체기준!$D$77:$D$86,0))),"Y","N")))</f>
        <v/>
      </c>
    </row>
    <row r="1540">
      <c r="A1540" s="92" t="n">
        <v>2025</v>
      </c>
      <c r="B1540" s="92" t="n">
        <v>7</v>
      </c>
      <c r="C1540" s="92" t="inlineStr">
        <is>
          <t>5100001536</t>
        </is>
      </c>
      <c r="D1540" s="95" t="n">
        <v>45860</v>
      </c>
      <c r="E1540" s="92" t="inlineStr">
        <is>
          <t>KR</t>
        </is>
      </c>
      <c r="F1540" s="92" t="n">
        <v>62501000</v>
      </c>
      <c r="G1540" s="92" t="n">
        <v>1301</v>
      </c>
      <c r="H1540" s="93" t="n">
        <v>140000</v>
      </c>
      <c r="I1540" s="92" t="inlineStr">
        <is>
          <t>7월 회의 다과 - T케이터링</t>
        </is>
      </c>
      <c r="J1540" s="92" t="inlineStr">
        <is>
          <t>V10005</t>
        </is>
      </c>
      <c r="K1540" s="92" t="inlineStr">
        <is>
          <t>T케이터링</t>
        </is>
      </c>
      <c r="M1540" s="9">
        <f>IF($A1540="","",VALUE($A1540&amp;"")*12+VALUE($B1540&amp;""))</f>
        <v/>
      </c>
      <c r="N1540" s="64">
        <f>IF($A1540="","",IFERROR(INDEX(부서매핑!$C$5:$C$504,MATCH($G1540&amp;"",부서매핑!$A$5:$A$504,0)),"미매핑"))</f>
        <v/>
      </c>
      <c r="O1540" s="9">
        <f>IF($A1540="","",N1540&amp;"|"&amp;$F1540)</f>
        <v/>
      </c>
      <c r="P1540" s="94">
        <f>IF($A1540="",0,$H1540*설정!$C$23)</f>
        <v/>
      </c>
      <c r="Q1540" s="64">
        <f>IF($A1540="","",IF(O1540&lt;&gt;원인분석!$C$9,"",IF(AND(M1540&gt;=원인분석!$C$10,M1540&lt;=원인분석!$C$11),"당기",IF(AND(M1540&gt;=원인분석!$C$12,M1540&lt;=원인분석!$C$13),"비교",""))))</f>
        <v/>
      </c>
      <c r="R1540" s="9">
        <f>IF(Q1540="","",$K1540&amp;"")</f>
        <v/>
      </c>
      <c r="S1540" s="9">
        <f>IF(Q1540="","",IF(MATCH(R1540,$R$5:$R$100000,0)=ROW()-4,ROW(),""))</f>
        <v/>
      </c>
      <c r="T1540" s="9">
        <f>IF(Q1540="당기",ABS(P1540)+ROW()/1000000000,"")</f>
        <v/>
      </c>
      <c r="U1540" s="9">
        <f>IF(Q1540="비교",ABS(P1540)+ROW()/1000000000,"")</f>
        <v/>
      </c>
      <c r="V1540" s="64">
        <f>IF($A1540="","",IF(COUNTIF(변동분석!$E$7:$E$506,O1540)&gt;0,"Y","N"))</f>
        <v/>
      </c>
      <c r="W1540" s="64">
        <f>IF($A1540="","",IFERROR(INDEX(계정매핑!$D$5:$D$504,MATCH($F1540&amp;"",계정매핑!$A$5:$A$504,0)),"미매핑"))</f>
        <v/>
      </c>
      <c r="X1540" s="9">
        <f>IF($A1540="","",$F1540&amp;"")</f>
        <v/>
      </c>
      <c r="Y1540" s="94">
        <f>IF($A1540="",0,IF(AE1540="직접",IF(AF1540="비귀속",$P1540,0),$P1540*(1-AG1540)*IFERROR(INDEX(계정대체기준!$F$20:$F$49,MATCH($N1540,계정대체기준!$A$20:$A$49,0)),1)))</f>
        <v/>
      </c>
      <c r="Z1540" s="94">
        <f>IF($A1540="",0,IF(AE1540="직접",IF(AF1540="신계약비",$P1540,0),$P1540*(1-AG1540)*IFERROR(INDEX(계정대체기준!$C$20:$C$49,MATCH($N1540,계정대체기준!$A$20:$A$49,0)),0)))</f>
        <v/>
      </c>
      <c r="AA1540" s="94">
        <f>IF($A1540="",0,IF(AE1540="직접",IF(OR(AF1540="유지비",AF1540="손해조사비"),$P1540,0),$P1540*(1-AG1540)*IFERROR(INDEX(계정대체기준!$D$20:$D$49,MATCH($N1540,계정대체기준!$A$20:$A$49,0)),0)))</f>
        <v/>
      </c>
      <c r="AB1540" s="94">
        <f>IF($A1540="",0,IF(AE1540="직접",IF(AF1540="수금비",$P1540,0),$P1540*(1-AG1540)*IFERROR(INDEX(계정대체기준!$E$20:$E$49,MATCH($N1540,계정대체기준!$A$20:$A$49,0)),0)))</f>
        <v/>
      </c>
      <c r="AC1540" s="9">
        <f>IF(AND($A1540&lt;&gt;"",M1540=설정!$C$20,Z1540&gt;0),Z1540+ROW()/1000000000,"")</f>
        <v/>
      </c>
      <c r="AD1540" s="94">
        <f>IF($A1540="",0,$P1540*AG1540)</f>
        <v/>
      </c>
      <c r="AE1540" s="64">
        <f>IF($A1540="","",IFERROR(INDEX(계정매핑!$E$5:$E$504,MATCH($F1540&amp;"",계정매핑!$A$5:$A$504,0))&amp;"","공통비"))</f>
        <v/>
      </c>
      <c r="AF1540" s="64">
        <f>IF($A1540="","",IF(AE1540="직접",IFERROR(INDEX(계정매핑!$F$5:$F$504,MATCH($F1540&amp;"",계정매핑!$A$5:$A$504,0))&amp;"","비귀속"),""))</f>
        <v/>
      </c>
      <c r="AG1540" s="96">
        <f>IF($A1540="",0,IF(AND(AE1540&lt;&gt;"직접",IFERROR(INDEX(계정매핑!$G$5:$G$504,MATCH($F1540&amp;"",계정매핑!$A$5:$A$504,0))&amp;"","")="유지비",COUNTIF(계정대체기준!$A$6:$A$15,$N1540)&gt;0),IFERROR(INDEX(계정대체기준!$E$6:$E$15,MATCH(VALUE($A1540&amp;""),계정대체기준!$D$6:$D$15,0)),0),0))</f>
        <v/>
      </c>
      <c r="AH1540" s="64">
        <f>IF($A1540="","",IF(AD1540=0,"",IF(OR(COUNTIF(계정대체기준!$A$77:$A$86,$N1540)&gt;0,ISNUMBER(MATCH($X1540,계정대체기준!$D$77:$D$86,0)),ISNUMBER(MATCH($F1540,계정대체기준!$D$77:$D$86,0))),"Y","N")))</f>
        <v/>
      </c>
    </row>
    <row r="1541">
      <c r="A1541" s="92" t="n">
        <v>2025</v>
      </c>
      <c r="B1541" s="92" t="n">
        <v>7</v>
      </c>
      <c r="C1541" s="92" t="inlineStr">
        <is>
          <t>5100001537</t>
        </is>
      </c>
      <c r="D1541" s="95" t="n">
        <v>45860</v>
      </c>
      <c r="E1541" s="92" t="inlineStr">
        <is>
          <t>KR</t>
        </is>
      </c>
      <c r="F1541" s="92" t="n">
        <v>62501000</v>
      </c>
      <c r="G1541" s="92" t="n">
        <v>1801</v>
      </c>
      <c r="H1541" s="93" t="n">
        <v>228000</v>
      </c>
      <c r="I1541" s="92" t="inlineStr">
        <is>
          <t>7월 회의 다과 - (법인카드)</t>
        </is>
      </c>
      <c r="J1541" s="92" t="inlineStr">
        <is>
          <t>V10010</t>
        </is>
      </c>
      <c r="K1541" s="92" t="inlineStr">
        <is>
          <t>(법인카드)</t>
        </is>
      </c>
      <c r="M1541" s="9">
        <f>IF($A1541="","",VALUE($A1541&amp;"")*12+VALUE($B1541&amp;""))</f>
        <v/>
      </c>
      <c r="N1541" s="64">
        <f>IF($A1541="","",IFERROR(INDEX(부서매핑!$C$5:$C$504,MATCH($G1541&amp;"",부서매핑!$A$5:$A$504,0)),"미매핑"))</f>
        <v/>
      </c>
      <c r="O1541" s="9">
        <f>IF($A1541="","",N1541&amp;"|"&amp;$F1541)</f>
        <v/>
      </c>
      <c r="P1541" s="94">
        <f>IF($A1541="",0,$H1541*설정!$C$23)</f>
        <v/>
      </c>
      <c r="Q1541" s="64">
        <f>IF($A1541="","",IF(O1541&lt;&gt;원인분석!$C$9,"",IF(AND(M1541&gt;=원인분석!$C$10,M1541&lt;=원인분석!$C$11),"당기",IF(AND(M1541&gt;=원인분석!$C$12,M1541&lt;=원인분석!$C$13),"비교",""))))</f>
        <v/>
      </c>
      <c r="R1541" s="9">
        <f>IF(Q1541="","",$K1541&amp;"")</f>
        <v/>
      </c>
      <c r="S1541" s="9">
        <f>IF(Q1541="","",IF(MATCH(R1541,$R$5:$R$100000,0)=ROW()-4,ROW(),""))</f>
        <v/>
      </c>
      <c r="T1541" s="9">
        <f>IF(Q1541="당기",ABS(P1541)+ROW()/1000000000,"")</f>
        <v/>
      </c>
      <c r="U1541" s="9">
        <f>IF(Q1541="비교",ABS(P1541)+ROW()/1000000000,"")</f>
        <v/>
      </c>
      <c r="V1541" s="64">
        <f>IF($A1541="","",IF(COUNTIF(변동분석!$E$7:$E$506,O1541)&gt;0,"Y","N"))</f>
        <v/>
      </c>
      <c r="W1541" s="64">
        <f>IF($A1541="","",IFERROR(INDEX(계정매핑!$D$5:$D$504,MATCH($F1541&amp;"",계정매핑!$A$5:$A$504,0)),"미매핑"))</f>
        <v/>
      </c>
      <c r="X1541" s="9">
        <f>IF($A1541="","",$F1541&amp;"")</f>
        <v/>
      </c>
      <c r="Y1541" s="94">
        <f>IF($A1541="",0,IF(AE1541="직접",IF(AF1541="비귀속",$P1541,0),$P1541*(1-AG1541)*IFERROR(INDEX(계정대체기준!$F$20:$F$49,MATCH($N1541,계정대체기준!$A$20:$A$49,0)),1)))</f>
        <v/>
      </c>
      <c r="Z1541" s="94">
        <f>IF($A1541="",0,IF(AE1541="직접",IF(AF1541="신계약비",$P1541,0),$P1541*(1-AG1541)*IFERROR(INDEX(계정대체기준!$C$20:$C$49,MATCH($N1541,계정대체기준!$A$20:$A$49,0)),0)))</f>
        <v/>
      </c>
      <c r="AA1541" s="94">
        <f>IF($A1541="",0,IF(AE1541="직접",IF(OR(AF1541="유지비",AF1541="손해조사비"),$P1541,0),$P1541*(1-AG1541)*IFERROR(INDEX(계정대체기준!$D$20:$D$49,MATCH($N1541,계정대체기준!$A$20:$A$49,0)),0)))</f>
        <v/>
      </c>
      <c r="AB1541" s="94">
        <f>IF($A1541="",0,IF(AE1541="직접",IF(AF1541="수금비",$P1541,0),$P1541*(1-AG1541)*IFERROR(INDEX(계정대체기준!$E$20:$E$49,MATCH($N1541,계정대체기준!$A$20:$A$49,0)),0)))</f>
        <v/>
      </c>
      <c r="AC1541" s="9">
        <f>IF(AND($A1541&lt;&gt;"",M1541=설정!$C$20,Z1541&gt;0),Z1541+ROW()/1000000000,"")</f>
        <v/>
      </c>
      <c r="AD1541" s="94">
        <f>IF($A1541="",0,$P1541*AG1541)</f>
        <v/>
      </c>
      <c r="AE1541" s="64">
        <f>IF($A1541="","",IFERROR(INDEX(계정매핑!$E$5:$E$504,MATCH($F1541&amp;"",계정매핑!$A$5:$A$504,0))&amp;"","공통비"))</f>
        <v/>
      </c>
      <c r="AF1541" s="64">
        <f>IF($A1541="","",IF(AE1541="직접",IFERROR(INDEX(계정매핑!$F$5:$F$504,MATCH($F1541&amp;"",계정매핑!$A$5:$A$504,0))&amp;"","비귀속"),""))</f>
        <v/>
      </c>
      <c r="AG1541" s="96">
        <f>IF($A1541="",0,IF(AND(AE1541&lt;&gt;"직접",IFERROR(INDEX(계정매핑!$G$5:$G$504,MATCH($F1541&amp;"",계정매핑!$A$5:$A$504,0))&amp;"","")="유지비",COUNTIF(계정대체기준!$A$6:$A$15,$N1541)&gt;0),IFERROR(INDEX(계정대체기준!$E$6:$E$15,MATCH(VALUE($A1541&amp;""),계정대체기준!$D$6:$D$15,0)),0),0))</f>
        <v/>
      </c>
      <c r="AH1541" s="64">
        <f>IF($A1541="","",IF(AD1541=0,"",IF(OR(COUNTIF(계정대체기준!$A$77:$A$86,$N1541)&gt;0,ISNUMBER(MATCH($X1541,계정대체기준!$D$77:$D$86,0)),ISNUMBER(MATCH($F1541,계정대체기준!$D$77:$D$86,0))),"Y","N")))</f>
        <v/>
      </c>
    </row>
    <row r="1542">
      <c r="A1542" s="92" t="n">
        <v>2025</v>
      </c>
      <c r="B1542" s="92" t="n">
        <v>7</v>
      </c>
      <c r="C1542" s="92" t="inlineStr">
        <is>
          <t>5100001538</t>
        </is>
      </c>
      <c r="D1542" s="95" t="n">
        <v>45860</v>
      </c>
      <c r="E1542" s="92" t="inlineStr">
        <is>
          <t>KR</t>
        </is>
      </c>
      <c r="F1542" s="92" t="n">
        <v>62901000</v>
      </c>
      <c r="G1542" s="92" t="n">
        <v>1201</v>
      </c>
      <c r="H1542" s="93" t="n">
        <v>4285000</v>
      </c>
      <c r="I1542" s="92" t="inlineStr">
        <is>
          <t>7월 자문 수수료 - W컨설팅</t>
        </is>
      </c>
      <c r="J1542" s="92" t="inlineStr">
        <is>
          <t>V10006</t>
        </is>
      </c>
      <c r="K1542" s="92" t="inlineStr">
        <is>
          <t>W컨설팅</t>
        </is>
      </c>
      <c r="M1542" s="9">
        <f>IF($A1542="","",VALUE($A1542&amp;"")*12+VALUE($B1542&amp;""))</f>
        <v/>
      </c>
      <c r="N1542" s="64">
        <f>IF($A1542="","",IFERROR(INDEX(부서매핑!$C$5:$C$504,MATCH($G1542&amp;"",부서매핑!$A$5:$A$504,0)),"미매핑"))</f>
        <v/>
      </c>
      <c r="O1542" s="9">
        <f>IF($A1542="","",N1542&amp;"|"&amp;$F1542)</f>
        <v/>
      </c>
      <c r="P1542" s="94">
        <f>IF($A1542="",0,$H1542*설정!$C$23)</f>
        <v/>
      </c>
      <c r="Q1542" s="64">
        <f>IF($A1542="","",IF(O1542&lt;&gt;원인분석!$C$9,"",IF(AND(M1542&gt;=원인분석!$C$10,M1542&lt;=원인분석!$C$11),"당기",IF(AND(M1542&gt;=원인분석!$C$12,M1542&lt;=원인분석!$C$13),"비교",""))))</f>
        <v/>
      </c>
      <c r="R1542" s="9">
        <f>IF(Q1542="","",$K1542&amp;"")</f>
        <v/>
      </c>
      <c r="S1542" s="9">
        <f>IF(Q1542="","",IF(MATCH(R1542,$R$5:$R$100000,0)=ROW()-4,ROW(),""))</f>
        <v/>
      </c>
      <c r="T1542" s="9">
        <f>IF(Q1542="당기",ABS(P1542)+ROW()/1000000000,"")</f>
        <v/>
      </c>
      <c r="U1542" s="9">
        <f>IF(Q1542="비교",ABS(P1542)+ROW()/1000000000,"")</f>
        <v/>
      </c>
      <c r="V1542" s="64">
        <f>IF($A1542="","",IF(COUNTIF(변동분석!$E$7:$E$506,O1542)&gt;0,"Y","N"))</f>
        <v/>
      </c>
      <c r="W1542" s="64">
        <f>IF($A1542="","",IFERROR(INDEX(계정매핑!$D$5:$D$504,MATCH($F1542&amp;"",계정매핑!$A$5:$A$504,0)),"미매핑"))</f>
        <v/>
      </c>
      <c r="X1542" s="9">
        <f>IF($A1542="","",$F1542&amp;"")</f>
        <v/>
      </c>
      <c r="Y1542" s="94">
        <f>IF($A1542="",0,IF(AE1542="직접",IF(AF1542="비귀속",$P1542,0),$P1542*(1-AG1542)*IFERROR(INDEX(계정대체기준!$F$20:$F$49,MATCH($N1542,계정대체기준!$A$20:$A$49,0)),1)))</f>
        <v/>
      </c>
      <c r="Z1542" s="94">
        <f>IF($A1542="",0,IF(AE1542="직접",IF(AF1542="신계약비",$P1542,0),$P1542*(1-AG1542)*IFERROR(INDEX(계정대체기준!$C$20:$C$49,MATCH($N1542,계정대체기준!$A$20:$A$49,0)),0)))</f>
        <v/>
      </c>
      <c r="AA1542" s="94">
        <f>IF($A1542="",0,IF(AE1542="직접",IF(OR(AF1542="유지비",AF1542="손해조사비"),$P1542,0),$P1542*(1-AG1542)*IFERROR(INDEX(계정대체기준!$D$20:$D$49,MATCH($N1542,계정대체기준!$A$20:$A$49,0)),0)))</f>
        <v/>
      </c>
      <c r="AB1542" s="94">
        <f>IF($A1542="",0,IF(AE1542="직접",IF(AF1542="수금비",$P1542,0),$P1542*(1-AG1542)*IFERROR(INDEX(계정대체기준!$E$20:$E$49,MATCH($N1542,계정대체기준!$A$20:$A$49,0)),0)))</f>
        <v/>
      </c>
      <c r="AC1542" s="9">
        <f>IF(AND($A1542&lt;&gt;"",M1542=설정!$C$20,Z1542&gt;0),Z1542+ROW()/1000000000,"")</f>
        <v/>
      </c>
      <c r="AD1542" s="94">
        <f>IF($A1542="",0,$P1542*AG1542)</f>
        <v/>
      </c>
      <c r="AE1542" s="64">
        <f>IF($A1542="","",IFERROR(INDEX(계정매핑!$E$5:$E$504,MATCH($F1542&amp;"",계정매핑!$A$5:$A$504,0))&amp;"","공통비"))</f>
        <v/>
      </c>
      <c r="AF1542" s="64">
        <f>IF($A1542="","",IF(AE1542="직접",IFERROR(INDEX(계정매핑!$F$5:$F$504,MATCH($F1542&amp;"",계정매핑!$A$5:$A$504,0))&amp;"","비귀속"),""))</f>
        <v/>
      </c>
      <c r="AG1542" s="96">
        <f>IF($A1542="",0,IF(AND(AE1542&lt;&gt;"직접",IFERROR(INDEX(계정매핑!$G$5:$G$504,MATCH($F1542&amp;"",계정매핑!$A$5:$A$504,0))&amp;"","")="유지비",COUNTIF(계정대체기준!$A$6:$A$15,$N1542)&gt;0),IFERROR(INDEX(계정대체기준!$E$6:$E$15,MATCH(VALUE($A1542&amp;""),계정대체기준!$D$6:$D$15,0)),0),0))</f>
        <v/>
      </c>
      <c r="AH1542" s="64">
        <f>IF($A1542="","",IF(AD1542=0,"",IF(OR(COUNTIF(계정대체기준!$A$77:$A$86,$N1542)&gt;0,ISNUMBER(MATCH($X1542,계정대체기준!$D$77:$D$86,0)),ISNUMBER(MATCH($F1542,계정대체기준!$D$77:$D$86,0))),"Y","N")))</f>
        <v/>
      </c>
    </row>
    <row r="1543">
      <c r="A1543" s="92" t="n">
        <v>2025</v>
      </c>
      <c r="B1543" s="92" t="n">
        <v>7</v>
      </c>
      <c r="C1543" s="92" t="inlineStr">
        <is>
          <t>5100001539</t>
        </is>
      </c>
      <c r="D1543" s="95" t="n">
        <v>45860</v>
      </c>
      <c r="E1543" s="92" t="inlineStr">
        <is>
          <t>KR</t>
        </is>
      </c>
      <c r="F1543" s="92" t="n">
        <v>62901000</v>
      </c>
      <c r="G1543" s="92" t="n">
        <v>1951</v>
      </c>
      <c r="H1543" s="93" t="n">
        <v>3849000</v>
      </c>
      <c r="I1543" s="92" t="inlineStr">
        <is>
          <t>7월 자문 수수료 - W컨설팅</t>
        </is>
      </c>
      <c r="J1543" s="92" t="inlineStr">
        <is>
          <t>V10006</t>
        </is>
      </c>
      <c r="K1543" s="92" t="inlineStr">
        <is>
          <t>W컨설팅</t>
        </is>
      </c>
      <c r="M1543" s="9">
        <f>IF($A1543="","",VALUE($A1543&amp;"")*12+VALUE($B1543&amp;""))</f>
        <v/>
      </c>
      <c r="N1543" s="64">
        <f>IF($A1543="","",IFERROR(INDEX(부서매핑!$C$5:$C$504,MATCH($G1543&amp;"",부서매핑!$A$5:$A$504,0)),"미매핑"))</f>
        <v/>
      </c>
      <c r="O1543" s="9">
        <f>IF($A1543="","",N1543&amp;"|"&amp;$F1543)</f>
        <v/>
      </c>
      <c r="P1543" s="94">
        <f>IF($A1543="",0,$H1543*설정!$C$23)</f>
        <v/>
      </c>
      <c r="Q1543" s="64">
        <f>IF($A1543="","",IF(O1543&lt;&gt;원인분석!$C$9,"",IF(AND(M1543&gt;=원인분석!$C$10,M1543&lt;=원인분석!$C$11),"당기",IF(AND(M1543&gt;=원인분석!$C$12,M1543&lt;=원인분석!$C$13),"비교",""))))</f>
        <v/>
      </c>
      <c r="R1543" s="9">
        <f>IF(Q1543="","",$K1543&amp;"")</f>
        <v/>
      </c>
      <c r="S1543" s="9">
        <f>IF(Q1543="","",IF(MATCH(R1543,$R$5:$R$100000,0)=ROW()-4,ROW(),""))</f>
        <v/>
      </c>
      <c r="T1543" s="9">
        <f>IF(Q1543="당기",ABS(P1543)+ROW()/1000000000,"")</f>
        <v/>
      </c>
      <c r="U1543" s="9">
        <f>IF(Q1543="비교",ABS(P1543)+ROW()/1000000000,"")</f>
        <v/>
      </c>
      <c r="V1543" s="64">
        <f>IF($A1543="","",IF(COUNTIF(변동분석!$E$7:$E$506,O1543)&gt;0,"Y","N"))</f>
        <v/>
      </c>
      <c r="W1543" s="64">
        <f>IF($A1543="","",IFERROR(INDEX(계정매핑!$D$5:$D$504,MATCH($F1543&amp;"",계정매핑!$A$5:$A$504,0)),"미매핑"))</f>
        <v/>
      </c>
      <c r="X1543" s="9">
        <f>IF($A1543="","",$F1543&amp;"")</f>
        <v/>
      </c>
      <c r="Y1543" s="94">
        <f>IF($A1543="",0,IF(AE1543="직접",IF(AF1543="비귀속",$P1543,0),$P1543*(1-AG1543)*IFERROR(INDEX(계정대체기준!$F$20:$F$49,MATCH($N1543,계정대체기준!$A$20:$A$49,0)),1)))</f>
        <v/>
      </c>
      <c r="Z1543" s="94">
        <f>IF($A1543="",0,IF(AE1543="직접",IF(AF1543="신계약비",$P1543,0),$P1543*(1-AG1543)*IFERROR(INDEX(계정대체기준!$C$20:$C$49,MATCH($N1543,계정대체기준!$A$20:$A$49,0)),0)))</f>
        <v/>
      </c>
      <c r="AA1543" s="94">
        <f>IF($A1543="",0,IF(AE1543="직접",IF(OR(AF1543="유지비",AF1543="손해조사비"),$P1543,0),$P1543*(1-AG1543)*IFERROR(INDEX(계정대체기준!$D$20:$D$49,MATCH($N1543,계정대체기준!$A$20:$A$49,0)),0)))</f>
        <v/>
      </c>
      <c r="AB1543" s="94">
        <f>IF($A1543="",0,IF(AE1543="직접",IF(AF1543="수금비",$P1543,0),$P1543*(1-AG1543)*IFERROR(INDEX(계정대체기준!$E$20:$E$49,MATCH($N1543,계정대체기준!$A$20:$A$49,0)),0)))</f>
        <v/>
      </c>
      <c r="AC1543" s="9">
        <f>IF(AND($A1543&lt;&gt;"",M1543=설정!$C$20,Z1543&gt;0),Z1543+ROW()/1000000000,"")</f>
        <v/>
      </c>
      <c r="AD1543" s="94">
        <f>IF($A1543="",0,$P1543*AG1543)</f>
        <v/>
      </c>
      <c r="AE1543" s="64">
        <f>IF($A1543="","",IFERROR(INDEX(계정매핑!$E$5:$E$504,MATCH($F1543&amp;"",계정매핑!$A$5:$A$504,0))&amp;"","공통비"))</f>
        <v/>
      </c>
      <c r="AF1543" s="64">
        <f>IF($A1543="","",IF(AE1543="직접",IFERROR(INDEX(계정매핑!$F$5:$F$504,MATCH($F1543&amp;"",계정매핑!$A$5:$A$504,0))&amp;"","비귀속"),""))</f>
        <v/>
      </c>
      <c r="AG1543" s="96">
        <f>IF($A1543="",0,IF(AND(AE1543&lt;&gt;"직접",IFERROR(INDEX(계정매핑!$G$5:$G$504,MATCH($F1543&amp;"",계정매핑!$A$5:$A$504,0))&amp;"","")="유지비",COUNTIF(계정대체기준!$A$6:$A$15,$N1543)&gt;0),IFERROR(INDEX(계정대체기준!$E$6:$E$15,MATCH(VALUE($A1543&amp;""),계정대체기준!$D$6:$D$15,0)),0),0))</f>
        <v/>
      </c>
      <c r="AH1543" s="64">
        <f>IF($A1543="","",IF(AD1543=0,"",IF(OR(COUNTIF(계정대체기준!$A$77:$A$86,$N1543)&gt;0,ISNUMBER(MATCH($X1543,계정대체기준!$D$77:$D$86,0)),ISNUMBER(MATCH($F1543,계정대체기준!$D$77:$D$86,0))),"Y","N")))</f>
        <v/>
      </c>
    </row>
    <row r="1544">
      <c r="A1544" s="92" t="n">
        <v>2025</v>
      </c>
      <c r="B1544" s="92" t="n">
        <v>7</v>
      </c>
      <c r="C1544" s="92" t="inlineStr">
        <is>
          <t>5100001540</t>
        </is>
      </c>
      <c r="D1544" s="95" t="n">
        <v>45861</v>
      </c>
      <c r="E1544" s="92" t="inlineStr">
        <is>
          <t>KR</t>
        </is>
      </c>
      <c r="F1544" s="92" t="n">
        <v>62101000</v>
      </c>
      <c r="G1544" s="92" t="n">
        <v>1501</v>
      </c>
      <c r="H1544" s="93" t="n">
        <v>539000</v>
      </c>
      <c r="I1544" s="92" t="inlineStr">
        <is>
          <t>7월 국내출장 - L여행사</t>
        </is>
      </c>
      <c r="J1544" s="92" t="inlineStr">
        <is>
          <t>V10018</t>
        </is>
      </c>
      <c r="K1544" s="92" t="inlineStr">
        <is>
          <t>L여행사</t>
        </is>
      </c>
      <c r="M1544" s="9">
        <f>IF($A1544="","",VALUE($A1544&amp;"")*12+VALUE($B1544&amp;""))</f>
        <v/>
      </c>
      <c r="N1544" s="64">
        <f>IF($A1544="","",IFERROR(INDEX(부서매핑!$C$5:$C$504,MATCH($G1544&amp;"",부서매핑!$A$5:$A$504,0)),"미매핑"))</f>
        <v/>
      </c>
      <c r="O1544" s="9">
        <f>IF($A1544="","",N1544&amp;"|"&amp;$F1544)</f>
        <v/>
      </c>
      <c r="P1544" s="94">
        <f>IF($A1544="",0,$H1544*설정!$C$23)</f>
        <v/>
      </c>
      <c r="Q1544" s="64">
        <f>IF($A1544="","",IF(O1544&lt;&gt;원인분석!$C$9,"",IF(AND(M1544&gt;=원인분석!$C$10,M1544&lt;=원인분석!$C$11),"당기",IF(AND(M1544&gt;=원인분석!$C$12,M1544&lt;=원인분석!$C$13),"비교",""))))</f>
        <v/>
      </c>
      <c r="R1544" s="9">
        <f>IF(Q1544="","",$K1544&amp;"")</f>
        <v/>
      </c>
      <c r="S1544" s="9">
        <f>IF(Q1544="","",IF(MATCH(R1544,$R$5:$R$100000,0)=ROW()-4,ROW(),""))</f>
        <v/>
      </c>
      <c r="T1544" s="9">
        <f>IF(Q1544="당기",ABS(P1544)+ROW()/1000000000,"")</f>
        <v/>
      </c>
      <c r="U1544" s="9">
        <f>IF(Q1544="비교",ABS(P1544)+ROW()/1000000000,"")</f>
        <v/>
      </c>
      <c r="V1544" s="64">
        <f>IF($A1544="","",IF(COUNTIF(변동분석!$E$7:$E$506,O1544)&gt;0,"Y","N"))</f>
        <v/>
      </c>
      <c r="W1544" s="64">
        <f>IF($A1544="","",IFERROR(INDEX(계정매핑!$D$5:$D$504,MATCH($F1544&amp;"",계정매핑!$A$5:$A$504,0)),"미매핑"))</f>
        <v/>
      </c>
      <c r="X1544" s="9">
        <f>IF($A1544="","",$F1544&amp;"")</f>
        <v/>
      </c>
      <c r="Y1544" s="94">
        <f>IF($A1544="",0,IF(AE1544="직접",IF(AF1544="비귀속",$P1544,0),$P1544*(1-AG1544)*IFERROR(INDEX(계정대체기준!$F$20:$F$49,MATCH($N1544,계정대체기준!$A$20:$A$49,0)),1)))</f>
        <v/>
      </c>
      <c r="Z1544" s="94">
        <f>IF($A1544="",0,IF(AE1544="직접",IF(AF1544="신계약비",$P1544,0),$P1544*(1-AG1544)*IFERROR(INDEX(계정대체기준!$C$20:$C$49,MATCH($N1544,계정대체기준!$A$20:$A$49,0)),0)))</f>
        <v/>
      </c>
      <c r="AA1544" s="94">
        <f>IF($A1544="",0,IF(AE1544="직접",IF(OR(AF1544="유지비",AF1544="손해조사비"),$P1544,0),$P1544*(1-AG1544)*IFERROR(INDEX(계정대체기준!$D$20:$D$49,MATCH($N1544,계정대체기준!$A$20:$A$49,0)),0)))</f>
        <v/>
      </c>
      <c r="AB1544" s="94">
        <f>IF($A1544="",0,IF(AE1544="직접",IF(AF1544="수금비",$P1544,0),$P1544*(1-AG1544)*IFERROR(INDEX(계정대체기준!$E$20:$E$49,MATCH($N1544,계정대체기준!$A$20:$A$49,0)),0)))</f>
        <v/>
      </c>
      <c r="AC1544" s="9">
        <f>IF(AND($A1544&lt;&gt;"",M1544=설정!$C$20,Z1544&gt;0),Z1544+ROW()/1000000000,"")</f>
        <v/>
      </c>
      <c r="AD1544" s="94">
        <f>IF($A1544="",0,$P1544*AG1544)</f>
        <v/>
      </c>
      <c r="AE1544" s="64">
        <f>IF($A1544="","",IFERROR(INDEX(계정매핑!$E$5:$E$504,MATCH($F1544&amp;"",계정매핑!$A$5:$A$504,0))&amp;"","공통비"))</f>
        <v/>
      </c>
      <c r="AF1544" s="64">
        <f>IF($A1544="","",IF(AE1544="직접",IFERROR(INDEX(계정매핑!$F$5:$F$504,MATCH($F1544&amp;"",계정매핑!$A$5:$A$504,0))&amp;"","비귀속"),""))</f>
        <v/>
      </c>
      <c r="AG1544" s="96">
        <f>IF($A1544="",0,IF(AND(AE1544&lt;&gt;"직접",IFERROR(INDEX(계정매핑!$G$5:$G$504,MATCH($F1544&amp;"",계정매핑!$A$5:$A$504,0))&amp;"","")="유지비",COUNTIF(계정대체기준!$A$6:$A$15,$N1544)&gt;0),IFERROR(INDEX(계정대체기준!$E$6:$E$15,MATCH(VALUE($A1544&amp;""),계정대체기준!$D$6:$D$15,0)),0),0))</f>
        <v/>
      </c>
      <c r="AH1544" s="64">
        <f>IF($A1544="","",IF(AD1544=0,"",IF(OR(COUNTIF(계정대체기준!$A$77:$A$86,$N1544)&gt;0,ISNUMBER(MATCH($X1544,계정대체기준!$D$77:$D$86,0)),ISNUMBER(MATCH($F1544,계정대체기준!$D$77:$D$86,0))),"Y","N")))</f>
        <v/>
      </c>
    </row>
    <row r="1545">
      <c r="A1545" s="92" t="n">
        <v>2025</v>
      </c>
      <c r="B1545" s="92" t="n">
        <v>7</v>
      </c>
      <c r="C1545" s="92" t="inlineStr">
        <is>
          <t>5100001541</t>
        </is>
      </c>
      <c r="D1545" s="95" t="n">
        <v>45861</v>
      </c>
      <c r="E1545" s="92" t="inlineStr">
        <is>
          <t>KR</t>
        </is>
      </c>
      <c r="F1545" s="92" t="n">
        <v>62102000</v>
      </c>
      <c r="G1545" s="92" t="n">
        <v>1301</v>
      </c>
      <c r="H1545" s="93" t="n">
        <v>64000</v>
      </c>
      <c r="I1545" s="92" t="inlineStr">
        <is>
          <t>7월 해외출장 - M항공</t>
        </is>
      </c>
      <c r="J1545" s="92" t="inlineStr">
        <is>
          <t>V10001</t>
        </is>
      </c>
      <c r="K1545" s="92" t="inlineStr">
        <is>
          <t>M항공</t>
        </is>
      </c>
      <c r="M1545" s="9">
        <f>IF($A1545="","",VALUE($A1545&amp;"")*12+VALUE($B1545&amp;""))</f>
        <v/>
      </c>
      <c r="N1545" s="64">
        <f>IF($A1545="","",IFERROR(INDEX(부서매핑!$C$5:$C$504,MATCH($G1545&amp;"",부서매핑!$A$5:$A$504,0)),"미매핑"))</f>
        <v/>
      </c>
      <c r="O1545" s="9">
        <f>IF($A1545="","",N1545&amp;"|"&amp;$F1545)</f>
        <v/>
      </c>
      <c r="P1545" s="94">
        <f>IF($A1545="",0,$H1545*설정!$C$23)</f>
        <v/>
      </c>
      <c r="Q1545" s="64">
        <f>IF($A1545="","",IF(O1545&lt;&gt;원인분석!$C$9,"",IF(AND(M1545&gt;=원인분석!$C$10,M1545&lt;=원인분석!$C$11),"당기",IF(AND(M1545&gt;=원인분석!$C$12,M1545&lt;=원인분석!$C$13),"비교",""))))</f>
        <v/>
      </c>
      <c r="R1545" s="9">
        <f>IF(Q1545="","",$K1545&amp;"")</f>
        <v/>
      </c>
      <c r="S1545" s="9">
        <f>IF(Q1545="","",IF(MATCH(R1545,$R$5:$R$100000,0)=ROW()-4,ROW(),""))</f>
        <v/>
      </c>
      <c r="T1545" s="9">
        <f>IF(Q1545="당기",ABS(P1545)+ROW()/1000000000,"")</f>
        <v/>
      </c>
      <c r="U1545" s="9">
        <f>IF(Q1545="비교",ABS(P1545)+ROW()/1000000000,"")</f>
        <v/>
      </c>
      <c r="V1545" s="64">
        <f>IF($A1545="","",IF(COUNTIF(변동분석!$E$7:$E$506,O1545)&gt;0,"Y","N"))</f>
        <v/>
      </c>
      <c r="W1545" s="64">
        <f>IF($A1545="","",IFERROR(INDEX(계정매핑!$D$5:$D$504,MATCH($F1545&amp;"",계정매핑!$A$5:$A$504,0)),"미매핑"))</f>
        <v/>
      </c>
      <c r="X1545" s="9">
        <f>IF($A1545="","",$F1545&amp;"")</f>
        <v/>
      </c>
      <c r="Y1545" s="94">
        <f>IF($A1545="",0,IF(AE1545="직접",IF(AF1545="비귀속",$P1545,0),$P1545*(1-AG1545)*IFERROR(INDEX(계정대체기준!$F$20:$F$49,MATCH($N1545,계정대체기준!$A$20:$A$49,0)),1)))</f>
        <v/>
      </c>
      <c r="Z1545" s="94">
        <f>IF($A1545="",0,IF(AE1545="직접",IF(AF1545="신계약비",$P1545,0),$P1545*(1-AG1545)*IFERROR(INDEX(계정대체기준!$C$20:$C$49,MATCH($N1545,계정대체기준!$A$20:$A$49,0)),0)))</f>
        <v/>
      </c>
      <c r="AA1545" s="94">
        <f>IF($A1545="",0,IF(AE1545="직접",IF(OR(AF1545="유지비",AF1545="손해조사비"),$P1545,0),$P1545*(1-AG1545)*IFERROR(INDEX(계정대체기준!$D$20:$D$49,MATCH($N1545,계정대체기준!$A$20:$A$49,0)),0)))</f>
        <v/>
      </c>
      <c r="AB1545" s="94">
        <f>IF($A1545="",0,IF(AE1545="직접",IF(AF1545="수금비",$P1545,0),$P1545*(1-AG1545)*IFERROR(INDEX(계정대체기준!$E$20:$E$49,MATCH($N1545,계정대체기준!$A$20:$A$49,0)),0)))</f>
        <v/>
      </c>
      <c r="AC1545" s="9">
        <f>IF(AND($A1545&lt;&gt;"",M1545=설정!$C$20,Z1545&gt;0),Z1545+ROW()/1000000000,"")</f>
        <v/>
      </c>
      <c r="AD1545" s="94">
        <f>IF($A1545="",0,$P1545*AG1545)</f>
        <v/>
      </c>
      <c r="AE1545" s="64">
        <f>IF($A1545="","",IFERROR(INDEX(계정매핑!$E$5:$E$504,MATCH($F1545&amp;"",계정매핑!$A$5:$A$504,0))&amp;"","공통비"))</f>
        <v/>
      </c>
      <c r="AF1545" s="64">
        <f>IF($A1545="","",IF(AE1545="직접",IFERROR(INDEX(계정매핑!$F$5:$F$504,MATCH($F1545&amp;"",계정매핑!$A$5:$A$504,0))&amp;"","비귀속"),""))</f>
        <v/>
      </c>
      <c r="AG1545" s="96">
        <f>IF($A1545="",0,IF(AND(AE1545&lt;&gt;"직접",IFERROR(INDEX(계정매핑!$G$5:$G$504,MATCH($F1545&amp;"",계정매핑!$A$5:$A$504,0))&amp;"","")="유지비",COUNTIF(계정대체기준!$A$6:$A$15,$N1545)&gt;0),IFERROR(INDEX(계정대체기준!$E$6:$E$15,MATCH(VALUE($A1545&amp;""),계정대체기준!$D$6:$D$15,0)),0),0))</f>
        <v/>
      </c>
      <c r="AH1545" s="64">
        <f>IF($A1545="","",IF(AD1545=0,"",IF(OR(COUNTIF(계정대체기준!$A$77:$A$86,$N1545)&gt;0,ISNUMBER(MATCH($X1545,계정대체기준!$D$77:$D$86,0)),ISNUMBER(MATCH($F1545,계정대체기준!$D$77:$D$86,0))),"Y","N")))</f>
        <v/>
      </c>
    </row>
    <row r="1546">
      <c r="A1546" s="92" t="n">
        <v>2025</v>
      </c>
      <c r="B1546" s="92" t="n">
        <v>7</v>
      </c>
      <c r="C1546" s="92" t="inlineStr">
        <is>
          <t>5100001542</t>
        </is>
      </c>
      <c r="D1546" s="95" t="n">
        <v>45861</v>
      </c>
      <c r="E1546" s="92" t="inlineStr">
        <is>
          <t>KR</t>
        </is>
      </c>
      <c r="F1546" s="92" t="n">
        <v>62102000</v>
      </c>
      <c r="G1546" s="92" t="n">
        <v>1301</v>
      </c>
      <c r="H1546" s="93" t="n">
        <v>81000</v>
      </c>
      <c r="I1546" s="92" t="inlineStr">
        <is>
          <t>7월 해외출장 - N호텔</t>
        </is>
      </c>
      <c r="J1546" s="92" t="inlineStr">
        <is>
          <t>V10009</t>
        </is>
      </c>
      <c r="K1546" s="92" t="inlineStr">
        <is>
          <t>N호텔</t>
        </is>
      </c>
      <c r="M1546" s="9">
        <f>IF($A1546="","",VALUE($A1546&amp;"")*12+VALUE($B1546&amp;""))</f>
        <v/>
      </c>
      <c r="N1546" s="64">
        <f>IF($A1546="","",IFERROR(INDEX(부서매핑!$C$5:$C$504,MATCH($G1546&amp;"",부서매핑!$A$5:$A$504,0)),"미매핑"))</f>
        <v/>
      </c>
      <c r="O1546" s="9">
        <f>IF($A1546="","",N1546&amp;"|"&amp;$F1546)</f>
        <v/>
      </c>
      <c r="P1546" s="94">
        <f>IF($A1546="",0,$H1546*설정!$C$23)</f>
        <v/>
      </c>
      <c r="Q1546" s="64">
        <f>IF($A1546="","",IF(O1546&lt;&gt;원인분석!$C$9,"",IF(AND(M1546&gt;=원인분석!$C$10,M1546&lt;=원인분석!$C$11),"당기",IF(AND(M1546&gt;=원인분석!$C$12,M1546&lt;=원인분석!$C$13),"비교",""))))</f>
        <v/>
      </c>
      <c r="R1546" s="9">
        <f>IF(Q1546="","",$K1546&amp;"")</f>
        <v/>
      </c>
      <c r="S1546" s="9">
        <f>IF(Q1546="","",IF(MATCH(R1546,$R$5:$R$100000,0)=ROW()-4,ROW(),""))</f>
        <v/>
      </c>
      <c r="T1546" s="9">
        <f>IF(Q1546="당기",ABS(P1546)+ROW()/1000000000,"")</f>
        <v/>
      </c>
      <c r="U1546" s="9">
        <f>IF(Q1546="비교",ABS(P1546)+ROW()/1000000000,"")</f>
        <v/>
      </c>
      <c r="V1546" s="64">
        <f>IF($A1546="","",IF(COUNTIF(변동분석!$E$7:$E$506,O1546)&gt;0,"Y","N"))</f>
        <v/>
      </c>
      <c r="W1546" s="64">
        <f>IF($A1546="","",IFERROR(INDEX(계정매핑!$D$5:$D$504,MATCH($F1546&amp;"",계정매핑!$A$5:$A$504,0)),"미매핑"))</f>
        <v/>
      </c>
      <c r="X1546" s="9">
        <f>IF($A1546="","",$F1546&amp;"")</f>
        <v/>
      </c>
      <c r="Y1546" s="94">
        <f>IF($A1546="",0,IF(AE1546="직접",IF(AF1546="비귀속",$P1546,0),$P1546*(1-AG1546)*IFERROR(INDEX(계정대체기준!$F$20:$F$49,MATCH($N1546,계정대체기준!$A$20:$A$49,0)),1)))</f>
        <v/>
      </c>
      <c r="Z1546" s="94">
        <f>IF($A1546="",0,IF(AE1546="직접",IF(AF1546="신계약비",$P1546,0),$P1546*(1-AG1546)*IFERROR(INDEX(계정대체기준!$C$20:$C$49,MATCH($N1546,계정대체기준!$A$20:$A$49,0)),0)))</f>
        <v/>
      </c>
      <c r="AA1546" s="94">
        <f>IF($A1546="",0,IF(AE1546="직접",IF(OR(AF1546="유지비",AF1546="손해조사비"),$P1546,0),$P1546*(1-AG1546)*IFERROR(INDEX(계정대체기준!$D$20:$D$49,MATCH($N1546,계정대체기준!$A$20:$A$49,0)),0)))</f>
        <v/>
      </c>
      <c r="AB1546" s="94">
        <f>IF($A1546="",0,IF(AE1546="직접",IF(AF1546="수금비",$P1546,0),$P1546*(1-AG1546)*IFERROR(INDEX(계정대체기준!$E$20:$E$49,MATCH($N1546,계정대체기준!$A$20:$A$49,0)),0)))</f>
        <v/>
      </c>
      <c r="AC1546" s="9">
        <f>IF(AND($A1546&lt;&gt;"",M1546=설정!$C$20,Z1546&gt;0),Z1546+ROW()/1000000000,"")</f>
        <v/>
      </c>
      <c r="AD1546" s="94">
        <f>IF($A1546="",0,$P1546*AG1546)</f>
        <v/>
      </c>
      <c r="AE1546" s="64">
        <f>IF($A1546="","",IFERROR(INDEX(계정매핑!$E$5:$E$504,MATCH($F1546&amp;"",계정매핑!$A$5:$A$504,0))&amp;"","공통비"))</f>
        <v/>
      </c>
      <c r="AF1546" s="64">
        <f>IF($A1546="","",IF(AE1546="직접",IFERROR(INDEX(계정매핑!$F$5:$F$504,MATCH($F1546&amp;"",계정매핑!$A$5:$A$504,0))&amp;"","비귀속"),""))</f>
        <v/>
      </c>
      <c r="AG1546" s="96">
        <f>IF($A1546="",0,IF(AND(AE1546&lt;&gt;"직접",IFERROR(INDEX(계정매핑!$G$5:$G$504,MATCH($F1546&amp;"",계정매핑!$A$5:$A$504,0))&amp;"","")="유지비",COUNTIF(계정대체기준!$A$6:$A$15,$N1546)&gt;0),IFERROR(INDEX(계정대체기준!$E$6:$E$15,MATCH(VALUE($A1546&amp;""),계정대체기준!$D$6:$D$15,0)),0),0))</f>
        <v/>
      </c>
      <c r="AH1546" s="64">
        <f>IF($A1546="","",IF(AD1546=0,"",IF(OR(COUNTIF(계정대체기준!$A$77:$A$86,$N1546)&gt;0,ISNUMBER(MATCH($X1546,계정대체기준!$D$77:$D$86,0)),ISNUMBER(MATCH($F1546,계정대체기준!$D$77:$D$86,0))),"Y","N")))</f>
        <v/>
      </c>
    </row>
    <row r="1547">
      <c r="A1547" s="92" t="n">
        <v>2025</v>
      </c>
      <c r="B1547" s="92" t="n">
        <v>7</v>
      </c>
      <c r="C1547" s="92" t="inlineStr">
        <is>
          <t>5100001543</t>
        </is>
      </c>
      <c r="D1547" s="95" t="n">
        <v>45861</v>
      </c>
      <c r="E1547" s="92" t="inlineStr">
        <is>
          <t>KR</t>
        </is>
      </c>
      <c r="F1547" s="92" t="n">
        <v>62301000</v>
      </c>
      <c r="G1547" s="92" t="n">
        <v>1501</v>
      </c>
      <c r="H1547" s="93" t="n">
        <v>111000</v>
      </c>
      <c r="I1547" s="92" t="inlineStr">
        <is>
          <t>7월 소모품 구입 - Q오피스</t>
        </is>
      </c>
      <c r="J1547" s="92" t="inlineStr">
        <is>
          <t>V10003</t>
        </is>
      </c>
      <c r="K1547" s="92" t="inlineStr">
        <is>
          <t>Q오피스</t>
        </is>
      </c>
      <c r="M1547" s="9">
        <f>IF($A1547="","",VALUE($A1547&amp;"")*12+VALUE($B1547&amp;""))</f>
        <v/>
      </c>
      <c r="N1547" s="64">
        <f>IF($A1547="","",IFERROR(INDEX(부서매핑!$C$5:$C$504,MATCH($G1547&amp;"",부서매핑!$A$5:$A$504,0)),"미매핑"))</f>
        <v/>
      </c>
      <c r="O1547" s="9">
        <f>IF($A1547="","",N1547&amp;"|"&amp;$F1547)</f>
        <v/>
      </c>
      <c r="P1547" s="94">
        <f>IF($A1547="",0,$H1547*설정!$C$23)</f>
        <v/>
      </c>
      <c r="Q1547" s="64">
        <f>IF($A1547="","",IF(O1547&lt;&gt;원인분석!$C$9,"",IF(AND(M1547&gt;=원인분석!$C$10,M1547&lt;=원인분석!$C$11),"당기",IF(AND(M1547&gt;=원인분석!$C$12,M1547&lt;=원인분석!$C$13),"비교",""))))</f>
        <v/>
      </c>
      <c r="R1547" s="9">
        <f>IF(Q1547="","",$K1547&amp;"")</f>
        <v/>
      </c>
      <c r="S1547" s="9">
        <f>IF(Q1547="","",IF(MATCH(R1547,$R$5:$R$100000,0)=ROW()-4,ROW(),""))</f>
        <v/>
      </c>
      <c r="T1547" s="9">
        <f>IF(Q1547="당기",ABS(P1547)+ROW()/1000000000,"")</f>
        <v/>
      </c>
      <c r="U1547" s="9">
        <f>IF(Q1547="비교",ABS(P1547)+ROW()/1000000000,"")</f>
        <v/>
      </c>
      <c r="V1547" s="64">
        <f>IF($A1547="","",IF(COUNTIF(변동분석!$E$7:$E$506,O1547)&gt;0,"Y","N"))</f>
        <v/>
      </c>
      <c r="W1547" s="64">
        <f>IF($A1547="","",IFERROR(INDEX(계정매핑!$D$5:$D$504,MATCH($F1547&amp;"",계정매핑!$A$5:$A$504,0)),"미매핑"))</f>
        <v/>
      </c>
      <c r="X1547" s="9">
        <f>IF($A1547="","",$F1547&amp;"")</f>
        <v/>
      </c>
      <c r="Y1547" s="94">
        <f>IF($A1547="",0,IF(AE1547="직접",IF(AF1547="비귀속",$P1547,0),$P1547*(1-AG1547)*IFERROR(INDEX(계정대체기준!$F$20:$F$49,MATCH($N1547,계정대체기준!$A$20:$A$49,0)),1)))</f>
        <v/>
      </c>
      <c r="Z1547" s="94">
        <f>IF($A1547="",0,IF(AE1547="직접",IF(AF1547="신계약비",$P1547,0),$P1547*(1-AG1547)*IFERROR(INDEX(계정대체기준!$C$20:$C$49,MATCH($N1547,계정대체기준!$A$20:$A$49,0)),0)))</f>
        <v/>
      </c>
      <c r="AA1547" s="94">
        <f>IF($A1547="",0,IF(AE1547="직접",IF(OR(AF1547="유지비",AF1547="손해조사비"),$P1547,0),$P1547*(1-AG1547)*IFERROR(INDEX(계정대체기준!$D$20:$D$49,MATCH($N1547,계정대체기준!$A$20:$A$49,0)),0)))</f>
        <v/>
      </c>
      <c r="AB1547" s="94">
        <f>IF($A1547="",0,IF(AE1547="직접",IF(AF1547="수금비",$P1547,0),$P1547*(1-AG1547)*IFERROR(INDEX(계정대체기준!$E$20:$E$49,MATCH($N1547,계정대체기준!$A$20:$A$49,0)),0)))</f>
        <v/>
      </c>
      <c r="AC1547" s="9">
        <f>IF(AND($A1547&lt;&gt;"",M1547=설정!$C$20,Z1547&gt;0),Z1547+ROW()/1000000000,"")</f>
        <v/>
      </c>
      <c r="AD1547" s="94">
        <f>IF($A1547="",0,$P1547*AG1547)</f>
        <v/>
      </c>
      <c r="AE1547" s="64">
        <f>IF($A1547="","",IFERROR(INDEX(계정매핑!$E$5:$E$504,MATCH($F1547&amp;"",계정매핑!$A$5:$A$504,0))&amp;"","공통비"))</f>
        <v/>
      </c>
      <c r="AF1547" s="64">
        <f>IF($A1547="","",IF(AE1547="직접",IFERROR(INDEX(계정매핑!$F$5:$F$504,MATCH($F1547&amp;"",계정매핑!$A$5:$A$504,0))&amp;"","비귀속"),""))</f>
        <v/>
      </c>
      <c r="AG1547" s="96">
        <f>IF($A1547="",0,IF(AND(AE1547&lt;&gt;"직접",IFERROR(INDEX(계정매핑!$G$5:$G$504,MATCH($F1547&amp;"",계정매핑!$A$5:$A$504,0))&amp;"","")="유지비",COUNTIF(계정대체기준!$A$6:$A$15,$N1547)&gt;0),IFERROR(INDEX(계정대체기준!$E$6:$E$15,MATCH(VALUE($A1547&amp;""),계정대체기준!$D$6:$D$15,0)),0),0))</f>
        <v/>
      </c>
      <c r="AH1547" s="64">
        <f>IF($A1547="","",IF(AD1547=0,"",IF(OR(COUNTIF(계정대체기준!$A$77:$A$86,$N1547)&gt;0,ISNUMBER(MATCH($X1547,계정대체기준!$D$77:$D$86,0)),ISNUMBER(MATCH($F1547,계정대체기준!$D$77:$D$86,0))),"Y","N")))</f>
        <v/>
      </c>
    </row>
    <row r="1548">
      <c r="A1548" s="92" t="n">
        <v>2025</v>
      </c>
      <c r="B1548" s="92" t="n">
        <v>7</v>
      </c>
      <c r="C1548" s="92" t="inlineStr">
        <is>
          <t>5100001544</t>
        </is>
      </c>
      <c r="D1548" s="95" t="n">
        <v>45861</v>
      </c>
      <c r="E1548" s="92" t="inlineStr">
        <is>
          <t>KR</t>
        </is>
      </c>
      <c r="F1548" s="92" t="n">
        <v>62401000</v>
      </c>
      <c r="G1548" s="92" t="n">
        <v>1801</v>
      </c>
      <c r="H1548" s="93" t="n">
        <v>2191000</v>
      </c>
      <c r="I1548" s="92" t="inlineStr">
        <is>
          <t>7월 인쇄물 제작 - S출판</t>
        </is>
      </c>
      <c r="J1548" s="92" t="inlineStr">
        <is>
          <t>V10015</t>
        </is>
      </c>
      <c r="K1548" s="92" t="inlineStr">
        <is>
          <t>S출판</t>
        </is>
      </c>
      <c r="M1548" s="9">
        <f>IF($A1548="","",VALUE($A1548&amp;"")*12+VALUE($B1548&amp;""))</f>
        <v/>
      </c>
      <c r="N1548" s="64">
        <f>IF($A1548="","",IFERROR(INDEX(부서매핑!$C$5:$C$504,MATCH($G1548&amp;"",부서매핑!$A$5:$A$504,0)),"미매핑"))</f>
        <v/>
      </c>
      <c r="O1548" s="9">
        <f>IF($A1548="","",N1548&amp;"|"&amp;$F1548)</f>
        <v/>
      </c>
      <c r="P1548" s="94">
        <f>IF($A1548="",0,$H1548*설정!$C$23)</f>
        <v/>
      </c>
      <c r="Q1548" s="64">
        <f>IF($A1548="","",IF(O1548&lt;&gt;원인분석!$C$9,"",IF(AND(M1548&gt;=원인분석!$C$10,M1548&lt;=원인분석!$C$11),"당기",IF(AND(M1548&gt;=원인분석!$C$12,M1548&lt;=원인분석!$C$13),"비교",""))))</f>
        <v/>
      </c>
      <c r="R1548" s="9">
        <f>IF(Q1548="","",$K1548&amp;"")</f>
        <v/>
      </c>
      <c r="S1548" s="9">
        <f>IF(Q1548="","",IF(MATCH(R1548,$R$5:$R$100000,0)=ROW()-4,ROW(),""))</f>
        <v/>
      </c>
      <c r="T1548" s="9">
        <f>IF(Q1548="당기",ABS(P1548)+ROW()/1000000000,"")</f>
        <v/>
      </c>
      <c r="U1548" s="9">
        <f>IF(Q1548="비교",ABS(P1548)+ROW()/1000000000,"")</f>
        <v/>
      </c>
      <c r="V1548" s="64">
        <f>IF($A1548="","",IF(COUNTIF(변동분석!$E$7:$E$506,O1548)&gt;0,"Y","N"))</f>
        <v/>
      </c>
      <c r="W1548" s="64">
        <f>IF($A1548="","",IFERROR(INDEX(계정매핑!$D$5:$D$504,MATCH($F1548&amp;"",계정매핑!$A$5:$A$504,0)),"미매핑"))</f>
        <v/>
      </c>
      <c r="X1548" s="9">
        <f>IF($A1548="","",$F1548&amp;"")</f>
        <v/>
      </c>
      <c r="Y1548" s="94">
        <f>IF($A1548="",0,IF(AE1548="직접",IF(AF1548="비귀속",$P1548,0),$P1548*(1-AG1548)*IFERROR(INDEX(계정대체기준!$F$20:$F$49,MATCH($N1548,계정대체기준!$A$20:$A$49,0)),1)))</f>
        <v/>
      </c>
      <c r="Z1548" s="94">
        <f>IF($A1548="",0,IF(AE1548="직접",IF(AF1548="신계약비",$P1548,0),$P1548*(1-AG1548)*IFERROR(INDEX(계정대체기준!$C$20:$C$49,MATCH($N1548,계정대체기준!$A$20:$A$49,0)),0)))</f>
        <v/>
      </c>
      <c r="AA1548" s="94">
        <f>IF($A1548="",0,IF(AE1548="직접",IF(OR(AF1548="유지비",AF1548="손해조사비"),$P1548,0),$P1548*(1-AG1548)*IFERROR(INDEX(계정대체기준!$D$20:$D$49,MATCH($N1548,계정대체기준!$A$20:$A$49,0)),0)))</f>
        <v/>
      </c>
      <c r="AB1548" s="94">
        <f>IF($A1548="",0,IF(AE1548="직접",IF(AF1548="수금비",$P1548,0),$P1548*(1-AG1548)*IFERROR(INDEX(계정대체기준!$E$20:$E$49,MATCH($N1548,계정대체기준!$A$20:$A$49,0)),0)))</f>
        <v/>
      </c>
      <c r="AC1548" s="9">
        <f>IF(AND($A1548&lt;&gt;"",M1548=설정!$C$20,Z1548&gt;0),Z1548+ROW()/1000000000,"")</f>
        <v/>
      </c>
      <c r="AD1548" s="94">
        <f>IF($A1548="",0,$P1548*AG1548)</f>
        <v/>
      </c>
      <c r="AE1548" s="64">
        <f>IF($A1548="","",IFERROR(INDEX(계정매핑!$E$5:$E$504,MATCH($F1548&amp;"",계정매핑!$A$5:$A$504,0))&amp;"","공통비"))</f>
        <v/>
      </c>
      <c r="AF1548" s="64">
        <f>IF($A1548="","",IF(AE1548="직접",IFERROR(INDEX(계정매핑!$F$5:$F$504,MATCH($F1548&amp;"",계정매핑!$A$5:$A$504,0))&amp;"","비귀속"),""))</f>
        <v/>
      </c>
      <c r="AG1548" s="96">
        <f>IF($A1548="",0,IF(AND(AE1548&lt;&gt;"직접",IFERROR(INDEX(계정매핑!$G$5:$G$504,MATCH($F1548&amp;"",계정매핑!$A$5:$A$504,0))&amp;"","")="유지비",COUNTIF(계정대체기준!$A$6:$A$15,$N1548)&gt;0),IFERROR(INDEX(계정대체기준!$E$6:$E$15,MATCH(VALUE($A1548&amp;""),계정대체기준!$D$6:$D$15,0)),0),0))</f>
        <v/>
      </c>
      <c r="AH1548" s="64">
        <f>IF($A1548="","",IF(AD1548=0,"",IF(OR(COUNTIF(계정대체기준!$A$77:$A$86,$N1548)&gt;0,ISNUMBER(MATCH($X1548,계정대체기준!$D$77:$D$86,0)),ISNUMBER(MATCH($F1548,계정대체기준!$D$77:$D$86,0))),"Y","N")))</f>
        <v/>
      </c>
    </row>
    <row r="1549">
      <c r="A1549" s="92" t="n">
        <v>2025</v>
      </c>
      <c r="B1549" s="92" t="n">
        <v>7</v>
      </c>
      <c r="C1549" s="92" t="inlineStr">
        <is>
          <t>5100001545</t>
        </is>
      </c>
      <c r="D1549" s="95" t="n">
        <v>45861</v>
      </c>
      <c r="E1549" s="92" t="inlineStr">
        <is>
          <t>KR</t>
        </is>
      </c>
      <c r="F1549" s="92" t="n">
        <v>62701000</v>
      </c>
      <c r="G1549" s="92" t="n">
        <v>1502</v>
      </c>
      <c r="H1549" s="93" t="n">
        <v>76769000</v>
      </c>
      <c r="I1549" s="92" t="inlineStr">
        <is>
          <t>7월 광고 집행 - F애드</t>
        </is>
      </c>
      <c r="J1549" s="92" t="inlineStr">
        <is>
          <t>V10023</t>
        </is>
      </c>
      <c r="K1549" s="92" t="inlineStr">
        <is>
          <t>F애드</t>
        </is>
      </c>
      <c r="M1549" s="9">
        <f>IF($A1549="","",VALUE($A1549&amp;"")*12+VALUE($B1549&amp;""))</f>
        <v/>
      </c>
      <c r="N1549" s="64">
        <f>IF($A1549="","",IFERROR(INDEX(부서매핑!$C$5:$C$504,MATCH($G1549&amp;"",부서매핑!$A$5:$A$504,0)),"미매핑"))</f>
        <v/>
      </c>
      <c r="O1549" s="9">
        <f>IF($A1549="","",N1549&amp;"|"&amp;$F1549)</f>
        <v/>
      </c>
      <c r="P1549" s="94">
        <f>IF($A1549="",0,$H1549*설정!$C$23)</f>
        <v/>
      </c>
      <c r="Q1549" s="64">
        <f>IF($A1549="","",IF(O1549&lt;&gt;원인분석!$C$9,"",IF(AND(M1549&gt;=원인분석!$C$10,M1549&lt;=원인분석!$C$11),"당기",IF(AND(M1549&gt;=원인분석!$C$12,M1549&lt;=원인분석!$C$13),"비교",""))))</f>
        <v/>
      </c>
      <c r="R1549" s="9">
        <f>IF(Q1549="","",$K1549&amp;"")</f>
        <v/>
      </c>
      <c r="S1549" s="9">
        <f>IF(Q1549="","",IF(MATCH(R1549,$R$5:$R$100000,0)=ROW()-4,ROW(),""))</f>
        <v/>
      </c>
      <c r="T1549" s="9">
        <f>IF(Q1549="당기",ABS(P1549)+ROW()/1000000000,"")</f>
        <v/>
      </c>
      <c r="U1549" s="9">
        <f>IF(Q1549="비교",ABS(P1549)+ROW()/1000000000,"")</f>
        <v/>
      </c>
      <c r="V1549" s="64">
        <f>IF($A1549="","",IF(COUNTIF(변동분석!$E$7:$E$506,O1549)&gt;0,"Y","N"))</f>
        <v/>
      </c>
      <c r="W1549" s="64">
        <f>IF($A1549="","",IFERROR(INDEX(계정매핑!$D$5:$D$504,MATCH($F1549&amp;"",계정매핑!$A$5:$A$504,0)),"미매핑"))</f>
        <v/>
      </c>
      <c r="X1549" s="9">
        <f>IF($A1549="","",$F1549&amp;"")</f>
        <v/>
      </c>
      <c r="Y1549" s="94">
        <f>IF($A1549="",0,IF(AE1549="직접",IF(AF1549="비귀속",$P1549,0),$P1549*(1-AG1549)*IFERROR(INDEX(계정대체기준!$F$20:$F$49,MATCH($N1549,계정대체기준!$A$20:$A$49,0)),1)))</f>
        <v/>
      </c>
      <c r="Z1549" s="94">
        <f>IF($A1549="",0,IF(AE1549="직접",IF(AF1549="신계약비",$P1549,0),$P1549*(1-AG1549)*IFERROR(INDEX(계정대체기준!$C$20:$C$49,MATCH($N1549,계정대체기준!$A$20:$A$49,0)),0)))</f>
        <v/>
      </c>
      <c r="AA1549" s="94">
        <f>IF($A1549="",0,IF(AE1549="직접",IF(OR(AF1549="유지비",AF1549="손해조사비"),$P1549,0),$P1549*(1-AG1549)*IFERROR(INDEX(계정대체기준!$D$20:$D$49,MATCH($N1549,계정대체기준!$A$20:$A$49,0)),0)))</f>
        <v/>
      </c>
      <c r="AB1549" s="94">
        <f>IF($A1549="",0,IF(AE1549="직접",IF(AF1549="수금비",$P1549,0),$P1549*(1-AG1549)*IFERROR(INDEX(계정대체기준!$E$20:$E$49,MATCH($N1549,계정대체기준!$A$20:$A$49,0)),0)))</f>
        <v/>
      </c>
      <c r="AC1549" s="9">
        <f>IF(AND($A1549&lt;&gt;"",M1549=설정!$C$20,Z1549&gt;0),Z1549+ROW()/1000000000,"")</f>
        <v/>
      </c>
      <c r="AD1549" s="94">
        <f>IF($A1549="",0,$P1549*AG1549)</f>
        <v/>
      </c>
      <c r="AE1549" s="64">
        <f>IF($A1549="","",IFERROR(INDEX(계정매핑!$E$5:$E$504,MATCH($F1549&amp;"",계정매핑!$A$5:$A$504,0))&amp;"","공통비"))</f>
        <v/>
      </c>
      <c r="AF1549" s="64">
        <f>IF($A1549="","",IF(AE1549="직접",IFERROR(INDEX(계정매핑!$F$5:$F$504,MATCH($F1549&amp;"",계정매핑!$A$5:$A$504,0))&amp;"","비귀속"),""))</f>
        <v/>
      </c>
      <c r="AG1549" s="96">
        <f>IF($A1549="",0,IF(AND(AE1549&lt;&gt;"직접",IFERROR(INDEX(계정매핑!$G$5:$G$504,MATCH($F1549&amp;"",계정매핑!$A$5:$A$504,0))&amp;"","")="유지비",COUNTIF(계정대체기준!$A$6:$A$15,$N1549)&gt;0),IFERROR(INDEX(계정대체기준!$E$6:$E$15,MATCH(VALUE($A1549&amp;""),계정대체기준!$D$6:$D$15,0)),0),0))</f>
        <v/>
      </c>
      <c r="AH1549" s="64">
        <f>IF($A1549="","",IF(AD1549=0,"",IF(OR(COUNTIF(계정대체기준!$A$77:$A$86,$N1549)&gt;0,ISNUMBER(MATCH($X1549,계정대체기준!$D$77:$D$86,0)),ISNUMBER(MATCH($F1549,계정대체기준!$D$77:$D$86,0))),"Y","N")))</f>
        <v/>
      </c>
    </row>
    <row r="1550">
      <c r="A1550" s="92" t="n">
        <v>2025</v>
      </c>
      <c r="B1550" s="92" t="n">
        <v>7</v>
      </c>
      <c r="C1550" s="92" t="inlineStr">
        <is>
          <t>5100001546</t>
        </is>
      </c>
      <c r="D1550" s="95" t="n">
        <v>45861</v>
      </c>
      <c r="E1550" s="92" t="inlineStr">
        <is>
          <t>KR</t>
        </is>
      </c>
      <c r="F1550" s="92" t="n">
        <v>62902000</v>
      </c>
      <c r="G1550" s="92" t="n">
        <v>1201</v>
      </c>
      <c r="H1550" s="93" t="n">
        <v>2203000</v>
      </c>
      <c r="I1550" s="92" t="inlineStr">
        <is>
          <t>7월 업무 위탁 수수료 - J콜센터</t>
        </is>
      </c>
      <c r="J1550" s="92" t="inlineStr">
        <is>
          <t>V10016</t>
        </is>
      </c>
      <c r="K1550" s="92" t="inlineStr">
        <is>
          <t>J콜센터</t>
        </is>
      </c>
      <c r="M1550" s="9">
        <f>IF($A1550="","",VALUE($A1550&amp;"")*12+VALUE($B1550&amp;""))</f>
        <v/>
      </c>
      <c r="N1550" s="64">
        <f>IF($A1550="","",IFERROR(INDEX(부서매핑!$C$5:$C$504,MATCH($G1550&amp;"",부서매핑!$A$5:$A$504,0)),"미매핑"))</f>
        <v/>
      </c>
      <c r="O1550" s="9">
        <f>IF($A1550="","",N1550&amp;"|"&amp;$F1550)</f>
        <v/>
      </c>
      <c r="P1550" s="94">
        <f>IF($A1550="",0,$H1550*설정!$C$23)</f>
        <v/>
      </c>
      <c r="Q1550" s="64">
        <f>IF($A1550="","",IF(O1550&lt;&gt;원인분석!$C$9,"",IF(AND(M1550&gt;=원인분석!$C$10,M1550&lt;=원인분석!$C$11),"당기",IF(AND(M1550&gt;=원인분석!$C$12,M1550&lt;=원인분석!$C$13),"비교",""))))</f>
        <v/>
      </c>
      <c r="R1550" s="9">
        <f>IF(Q1550="","",$K1550&amp;"")</f>
        <v/>
      </c>
      <c r="S1550" s="9">
        <f>IF(Q1550="","",IF(MATCH(R1550,$R$5:$R$100000,0)=ROW()-4,ROW(),""))</f>
        <v/>
      </c>
      <c r="T1550" s="9">
        <f>IF(Q1550="당기",ABS(P1550)+ROW()/1000000000,"")</f>
        <v/>
      </c>
      <c r="U1550" s="9">
        <f>IF(Q1550="비교",ABS(P1550)+ROW()/1000000000,"")</f>
        <v/>
      </c>
      <c r="V1550" s="64">
        <f>IF($A1550="","",IF(COUNTIF(변동분석!$E$7:$E$506,O1550)&gt;0,"Y","N"))</f>
        <v/>
      </c>
      <c r="W1550" s="64">
        <f>IF($A1550="","",IFERROR(INDEX(계정매핑!$D$5:$D$504,MATCH($F1550&amp;"",계정매핑!$A$5:$A$504,0)),"미매핑"))</f>
        <v/>
      </c>
      <c r="X1550" s="9">
        <f>IF($A1550="","",$F1550&amp;"")</f>
        <v/>
      </c>
      <c r="Y1550" s="94">
        <f>IF($A1550="",0,IF(AE1550="직접",IF(AF1550="비귀속",$P1550,0),$P1550*(1-AG1550)*IFERROR(INDEX(계정대체기준!$F$20:$F$49,MATCH($N1550,계정대체기준!$A$20:$A$49,0)),1)))</f>
        <v/>
      </c>
      <c r="Z1550" s="94">
        <f>IF($A1550="",0,IF(AE1550="직접",IF(AF1550="신계약비",$P1550,0),$P1550*(1-AG1550)*IFERROR(INDEX(계정대체기준!$C$20:$C$49,MATCH($N1550,계정대체기준!$A$20:$A$49,0)),0)))</f>
        <v/>
      </c>
      <c r="AA1550" s="94">
        <f>IF($A1550="",0,IF(AE1550="직접",IF(OR(AF1550="유지비",AF1550="손해조사비"),$P1550,0),$P1550*(1-AG1550)*IFERROR(INDEX(계정대체기준!$D$20:$D$49,MATCH($N1550,계정대체기준!$A$20:$A$49,0)),0)))</f>
        <v/>
      </c>
      <c r="AB1550" s="94">
        <f>IF($A1550="",0,IF(AE1550="직접",IF(AF1550="수금비",$P1550,0),$P1550*(1-AG1550)*IFERROR(INDEX(계정대체기준!$E$20:$E$49,MATCH($N1550,계정대체기준!$A$20:$A$49,0)),0)))</f>
        <v/>
      </c>
      <c r="AC1550" s="9">
        <f>IF(AND($A1550&lt;&gt;"",M1550=설정!$C$20,Z1550&gt;0),Z1550+ROW()/1000000000,"")</f>
        <v/>
      </c>
      <c r="AD1550" s="94">
        <f>IF($A1550="",0,$P1550*AG1550)</f>
        <v/>
      </c>
      <c r="AE1550" s="64">
        <f>IF($A1550="","",IFERROR(INDEX(계정매핑!$E$5:$E$504,MATCH($F1550&amp;"",계정매핑!$A$5:$A$504,0))&amp;"","공통비"))</f>
        <v/>
      </c>
      <c r="AF1550" s="64">
        <f>IF($A1550="","",IF(AE1550="직접",IFERROR(INDEX(계정매핑!$F$5:$F$504,MATCH($F1550&amp;"",계정매핑!$A$5:$A$504,0))&amp;"","비귀속"),""))</f>
        <v/>
      </c>
      <c r="AG1550" s="96">
        <f>IF($A1550="",0,IF(AND(AE1550&lt;&gt;"직접",IFERROR(INDEX(계정매핑!$G$5:$G$504,MATCH($F1550&amp;"",계정매핑!$A$5:$A$504,0))&amp;"","")="유지비",COUNTIF(계정대체기준!$A$6:$A$15,$N1550)&gt;0),IFERROR(INDEX(계정대체기준!$E$6:$E$15,MATCH(VALUE($A1550&amp;""),계정대체기준!$D$6:$D$15,0)),0),0))</f>
        <v/>
      </c>
      <c r="AH1550" s="64">
        <f>IF($A1550="","",IF(AD1550=0,"",IF(OR(COUNTIF(계정대체기준!$A$77:$A$86,$N1550)&gt;0,ISNUMBER(MATCH($X1550,계정대체기준!$D$77:$D$86,0)),ISNUMBER(MATCH($F1550,계정대체기준!$D$77:$D$86,0))),"Y","N")))</f>
        <v/>
      </c>
    </row>
    <row r="1551">
      <c r="A1551" s="92" t="n">
        <v>2025</v>
      </c>
      <c r="B1551" s="92" t="n">
        <v>7</v>
      </c>
      <c r="C1551" s="92" t="inlineStr">
        <is>
          <t>5100001547</t>
        </is>
      </c>
      <c r="D1551" s="95" t="n">
        <v>45861</v>
      </c>
      <c r="E1551" s="92" t="inlineStr">
        <is>
          <t>KR</t>
        </is>
      </c>
      <c r="F1551" s="92" t="n">
        <v>63002000</v>
      </c>
      <c r="G1551" s="92" t="n">
        <v>1951</v>
      </c>
      <c r="H1551" s="93" t="n">
        <v>7677000</v>
      </c>
      <c r="I1551" s="92" t="inlineStr">
        <is>
          <t>7월 클라우드 사용료 - C클라우드</t>
        </is>
      </c>
      <c r="J1551" s="92" t="inlineStr">
        <is>
          <t>V10026</t>
        </is>
      </c>
      <c r="K1551" s="92" t="inlineStr">
        <is>
          <t>C클라우드</t>
        </is>
      </c>
      <c r="M1551" s="9">
        <f>IF($A1551="","",VALUE($A1551&amp;"")*12+VALUE($B1551&amp;""))</f>
        <v/>
      </c>
      <c r="N1551" s="64">
        <f>IF($A1551="","",IFERROR(INDEX(부서매핑!$C$5:$C$504,MATCH($G1551&amp;"",부서매핑!$A$5:$A$504,0)),"미매핑"))</f>
        <v/>
      </c>
      <c r="O1551" s="9">
        <f>IF($A1551="","",N1551&amp;"|"&amp;$F1551)</f>
        <v/>
      </c>
      <c r="P1551" s="94">
        <f>IF($A1551="",0,$H1551*설정!$C$23)</f>
        <v/>
      </c>
      <c r="Q1551" s="64">
        <f>IF($A1551="","",IF(O1551&lt;&gt;원인분석!$C$9,"",IF(AND(M1551&gt;=원인분석!$C$10,M1551&lt;=원인분석!$C$11),"당기",IF(AND(M1551&gt;=원인분석!$C$12,M1551&lt;=원인분석!$C$13),"비교",""))))</f>
        <v/>
      </c>
      <c r="R1551" s="9">
        <f>IF(Q1551="","",$K1551&amp;"")</f>
        <v/>
      </c>
      <c r="S1551" s="9">
        <f>IF(Q1551="","",IF(MATCH(R1551,$R$5:$R$100000,0)=ROW()-4,ROW(),""))</f>
        <v/>
      </c>
      <c r="T1551" s="9">
        <f>IF(Q1551="당기",ABS(P1551)+ROW()/1000000000,"")</f>
        <v/>
      </c>
      <c r="U1551" s="9">
        <f>IF(Q1551="비교",ABS(P1551)+ROW()/1000000000,"")</f>
        <v/>
      </c>
      <c r="V1551" s="64">
        <f>IF($A1551="","",IF(COUNTIF(변동분석!$E$7:$E$506,O1551)&gt;0,"Y","N"))</f>
        <v/>
      </c>
      <c r="W1551" s="64">
        <f>IF($A1551="","",IFERROR(INDEX(계정매핑!$D$5:$D$504,MATCH($F1551&amp;"",계정매핑!$A$5:$A$504,0)),"미매핑"))</f>
        <v/>
      </c>
      <c r="X1551" s="9">
        <f>IF($A1551="","",$F1551&amp;"")</f>
        <v/>
      </c>
      <c r="Y1551" s="94">
        <f>IF($A1551="",0,IF(AE1551="직접",IF(AF1551="비귀속",$P1551,0),$P1551*(1-AG1551)*IFERROR(INDEX(계정대체기준!$F$20:$F$49,MATCH($N1551,계정대체기준!$A$20:$A$49,0)),1)))</f>
        <v/>
      </c>
      <c r="Z1551" s="94">
        <f>IF($A1551="",0,IF(AE1551="직접",IF(AF1551="신계약비",$P1551,0),$P1551*(1-AG1551)*IFERROR(INDEX(계정대체기준!$C$20:$C$49,MATCH($N1551,계정대체기준!$A$20:$A$49,0)),0)))</f>
        <v/>
      </c>
      <c r="AA1551" s="94">
        <f>IF($A1551="",0,IF(AE1551="직접",IF(OR(AF1551="유지비",AF1551="손해조사비"),$P1551,0),$P1551*(1-AG1551)*IFERROR(INDEX(계정대체기준!$D$20:$D$49,MATCH($N1551,계정대체기준!$A$20:$A$49,0)),0)))</f>
        <v/>
      </c>
      <c r="AB1551" s="94">
        <f>IF($A1551="",0,IF(AE1551="직접",IF(AF1551="수금비",$P1551,0),$P1551*(1-AG1551)*IFERROR(INDEX(계정대체기준!$E$20:$E$49,MATCH($N1551,계정대체기준!$A$20:$A$49,0)),0)))</f>
        <v/>
      </c>
      <c r="AC1551" s="9">
        <f>IF(AND($A1551&lt;&gt;"",M1551=설정!$C$20,Z1551&gt;0),Z1551+ROW()/1000000000,"")</f>
        <v/>
      </c>
      <c r="AD1551" s="94">
        <f>IF($A1551="",0,$P1551*AG1551)</f>
        <v/>
      </c>
      <c r="AE1551" s="64">
        <f>IF($A1551="","",IFERROR(INDEX(계정매핑!$E$5:$E$504,MATCH($F1551&amp;"",계정매핑!$A$5:$A$504,0))&amp;"","공통비"))</f>
        <v/>
      </c>
      <c r="AF1551" s="64">
        <f>IF($A1551="","",IF(AE1551="직접",IFERROR(INDEX(계정매핑!$F$5:$F$504,MATCH($F1551&amp;"",계정매핑!$A$5:$A$504,0))&amp;"","비귀속"),""))</f>
        <v/>
      </c>
      <c r="AG1551" s="96">
        <f>IF($A1551="",0,IF(AND(AE1551&lt;&gt;"직접",IFERROR(INDEX(계정매핑!$G$5:$G$504,MATCH($F1551&amp;"",계정매핑!$A$5:$A$504,0))&amp;"","")="유지비",COUNTIF(계정대체기준!$A$6:$A$15,$N1551)&gt;0),IFERROR(INDEX(계정대체기준!$E$6:$E$15,MATCH(VALUE($A1551&amp;""),계정대체기준!$D$6:$D$15,0)),0),0))</f>
        <v/>
      </c>
      <c r="AH1551" s="64">
        <f>IF($A1551="","",IF(AD1551=0,"",IF(OR(COUNTIF(계정대체기준!$A$77:$A$86,$N1551)&gt;0,ISNUMBER(MATCH($X1551,계정대체기준!$D$77:$D$86,0)),ISNUMBER(MATCH($F1551,계정대체기준!$D$77:$D$86,0))),"Y","N")))</f>
        <v/>
      </c>
    </row>
    <row r="1552">
      <c r="A1552" s="92" t="n">
        <v>2025</v>
      </c>
      <c r="B1552" s="92" t="n">
        <v>7</v>
      </c>
      <c r="C1552" s="92" t="inlineStr">
        <is>
          <t>5100001548</t>
        </is>
      </c>
      <c r="D1552" s="95" t="n">
        <v>45862</v>
      </c>
      <c r="E1552" s="92" t="inlineStr">
        <is>
          <t>KR</t>
        </is>
      </c>
      <c r="F1552" s="92" t="n">
        <v>62101000</v>
      </c>
      <c r="G1552" s="92" t="n">
        <v>1401</v>
      </c>
      <c r="H1552" s="93" t="n">
        <v>311000</v>
      </c>
      <c r="I1552" s="92" t="inlineStr">
        <is>
          <t>7월 국내출장 - M항공</t>
        </is>
      </c>
      <c r="J1552" s="92" t="inlineStr">
        <is>
          <t>V10001</t>
        </is>
      </c>
      <c r="K1552" s="92" t="inlineStr">
        <is>
          <t>M항공</t>
        </is>
      </c>
      <c r="M1552" s="9">
        <f>IF($A1552="","",VALUE($A1552&amp;"")*12+VALUE($B1552&amp;""))</f>
        <v/>
      </c>
      <c r="N1552" s="64">
        <f>IF($A1552="","",IFERROR(INDEX(부서매핑!$C$5:$C$504,MATCH($G1552&amp;"",부서매핑!$A$5:$A$504,0)),"미매핑"))</f>
        <v/>
      </c>
      <c r="O1552" s="9">
        <f>IF($A1552="","",N1552&amp;"|"&amp;$F1552)</f>
        <v/>
      </c>
      <c r="P1552" s="94">
        <f>IF($A1552="",0,$H1552*설정!$C$23)</f>
        <v/>
      </c>
      <c r="Q1552" s="64">
        <f>IF($A1552="","",IF(O1552&lt;&gt;원인분석!$C$9,"",IF(AND(M1552&gt;=원인분석!$C$10,M1552&lt;=원인분석!$C$11),"당기",IF(AND(M1552&gt;=원인분석!$C$12,M1552&lt;=원인분석!$C$13),"비교",""))))</f>
        <v/>
      </c>
      <c r="R1552" s="9">
        <f>IF(Q1552="","",$K1552&amp;"")</f>
        <v/>
      </c>
      <c r="S1552" s="9">
        <f>IF(Q1552="","",IF(MATCH(R1552,$R$5:$R$100000,0)=ROW()-4,ROW(),""))</f>
        <v/>
      </c>
      <c r="T1552" s="9">
        <f>IF(Q1552="당기",ABS(P1552)+ROW()/1000000000,"")</f>
        <v/>
      </c>
      <c r="U1552" s="9">
        <f>IF(Q1552="비교",ABS(P1552)+ROW()/1000000000,"")</f>
        <v/>
      </c>
      <c r="V1552" s="64">
        <f>IF($A1552="","",IF(COUNTIF(변동분석!$E$7:$E$506,O1552)&gt;0,"Y","N"))</f>
        <v/>
      </c>
      <c r="W1552" s="64">
        <f>IF($A1552="","",IFERROR(INDEX(계정매핑!$D$5:$D$504,MATCH($F1552&amp;"",계정매핑!$A$5:$A$504,0)),"미매핑"))</f>
        <v/>
      </c>
      <c r="X1552" s="9">
        <f>IF($A1552="","",$F1552&amp;"")</f>
        <v/>
      </c>
      <c r="Y1552" s="94">
        <f>IF($A1552="",0,IF(AE1552="직접",IF(AF1552="비귀속",$P1552,0),$P1552*(1-AG1552)*IFERROR(INDEX(계정대체기준!$F$20:$F$49,MATCH($N1552,계정대체기준!$A$20:$A$49,0)),1)))</f>
        <v/>
      </c>
      <c r="Z1552" s="94">
        <f>IF($A1552="",0,IF(AE1552="직접",IF(AF1552="신계약비",$P1552,0),$P1552*(1-AG1552)*IFERROR(INDEX(계정대체기준!$C$20:$C$49,MATCH($N1552,계정대체기준!$A$20:$A$49,0)),0)))</f>
        <v/>
      </c>
      <c r="AA1552" s="94">
        <f>IF($A1552="",0,IF(AE1552="직접",IF(OR(AF1552="유지비",AF1552="손해조사비"),$P1552,0),$P1552*(1-AG1552)*IFERROR(INDEX(계정대체기준!$D$20:$D$49,MATCH($N1552,계정대체기준!$A$20:$A$49,0)),0)))</f>
        <v/>
      </c>
      <c r="AB1552" s="94">
        <f>IF($A1552="",0,IF(AE1552="직접",IF(AF1552="수금비",$P1552,0),$P1552*(1-AG1552)*IFERROR(INDEX(계정대체기준!$E$20:$E$49,MATCH($N1552,계정대체기준!$A$20:$A$49,0)),0)))</f>
        <v/>
      </c>
      <c r="AC1552" s="9">
        <f>IF(AND($A1552&lt;&gt;"",M1552=설정!$C$20,Z1552&gt;0),Z1552+ROW()/1000000000,"")</f>
        <v/>
      </c>
      <c r="AD1552" s="94">
        <f>IF($A1552="",0,$P1552*AG1552)</f>
        <v/>
      </c>
      <c r="AE1552" s="64">
        <f>IF($A1552="","",IFERROR(INDEX(계정매핑!$E$5:$E$504,MATCH($F1552&amp;"",계정매핑!$A$5:$A$504,0))&amp;"","공통비"))</f>
        <v/>
      </c>
      <c r="AF1552" s="64">
        <f>IF($A1552="","",IF(AE1552="직접",IFERROR(INDEX(계정매핑!$F$5:$F$504,MATCH($F1552&amp;"",계정매핑!$A$5:$A$504,0))&amp;"","비귀속"),""))</f>
        <v/>
      </c>
      <c r="AG1552" s="96">
        <f>IF($A1552="",0,IF(AND(AE1552&lt;&gt;"직접",IFERROR(INDEX(계정매핑!$G$5:$G$504,MATCH($F1552&amp;"",계정매핑!$A$5:$A$504,0))&amp;"","")="유지비",COUNTIF(계정대체기준!$A$6:$A$15,$N1552)&gt;0),IFERROR(INDEX(계정대체기준!$E$6:$E$15,MATCH(VALUE($A1552&amp;""),계정대체기준!$D$6:$D$15,0)),0),0))</f>
        <v/>
      </c>
      <c r="AH1552" s="64">
        <f>IF($A1552="","",IF(AD1552=0,"",IF(OR(COUNTIF(계정대체기준!$A$77:$A$86,$N1552)&gt;0,ISNUMBER(MATCH($X1552,계정대체기준!$D$77:$D$86,0)),ISNUMBER(MATCH($F1552,계정대체기준!$D$77:$D$86,0))),"Y","N")))</f>
        <v/>
      </c>
    </row>
    <row r="1553">
      <c r="A1553" s="92" t="n">
        <v>2025</v>
      </c>
      <c r="B1553" s="92" t="n">
        <v>7</v>
      </c>
      <c r="C1553" s="92" t="inlineStr">
        <is>
          <t>5100001549</t>
        </is>
      </c>
      <c r="D1553" s="95" t="n">
        <v>45862</v>
      </c>
      <c r="E1553" s="92" t="inlineStr">
        <is>
          <t>KR</t>
        </is>
      </c>
      <c r="F1553" s="92" t="n">
        <v>62101000</v>
      </c>
      <c r="G1553" s="92" t="n">
        <v>1601</v>
      </c>
      <c r="H1553" s="93" t="n">
        <v>775000</v>
      </c>
      <c r="I1553" s="92" t="inlineStr">
        <is>
          <t>7월 국내출장 - L여행사</t>
        </is>
      </c>
      <c r="J1553" s="92" t="inlineStr">
        <is>
          <t>V10018</t>
        </is>
      </c>
      <c r="K1553" s="92" t="inlineStr">
        <is>
          <t>L여행사</t>
        </is>
      </c>
      <c r="M1553" s="9">
        <f>IF($A1553="","",VALUE($A1553&amp;"")*12+VALUE($B1553&amp;""))</f>
        <v/>
      </c>
      <c r="N1553" s="64">
        <f>IF($A1553="","",IFERROR(INDEX(부서매핑!$C$5:$C$504,MATCH($G1553&amp;"",부서매핑!$A$5:$A$504,0)),"미매핑"))</f>
        <v/>
      </c>
      <c r="O1553" s="9">
        <f>IF($A1553="","",N1553&amp;"|"&amp;$F1553)</f>
        <v/>
      </c>
      <c r="P1553" s="94">
        <f>IF($A1553="",0,$H1553*설정!$C$23)</f>
        <v/>
      </c>
      <c r="Q1553" s="64">
        <f>IF($A1553="","",IF(O1553&lt;&gt;원인분석!$C$9,"",IF(AND(M1553&gt;=원인분석!$C$10,M1553&lt;=원인분석!$C$11),"당기",IF(AND(M1553&gt;=원인분석!$C$12,M1553&lt;=원인분석!$C$13),"비교",""))))</f>
        <v/>
      </c>
      <c r="R1553" s="9">
        <f>IF(Q1553="","",$K1553&amp;"")</f>
        <v/>
      </c>
      <c r="S1553" s="9">
        <f>IF(Q1553="","",IF(MATCH(R1553,$R$5:$R$100000,0)=ROW()-4,ROW(),""))</f>
        <v/>
      </c>
      <c r="T1553" s="9">
        <f>IF(Q1553="당기",ABS(P1553)+ROW()/1000000000,"")</f>
        <v/>
      </c>
      <c r="U1553" s="9">
        <f>IF(Q1553="비교",ABS(P1553)+ROW()/1000000000,"")</f>
        <v/>
      </c>
      <c r="V1553" s="64">
        <f>IF($A1553="","",IF(COUNTIF(변동분석!$E$7:$E$506,O1553)&gt;0,"Y","N"))</f>
        <v/>
      </c>
      <c r="W1553" s="64">
        <f>IF($A1553="","",IFERROR(INDEX(계정매핑!$D$5:$D$504,MATCH($F1553&amp;"",계정매핑!$A$5:$A$504,0)),"미매핑"))</f>
        <v/>
      </c>
      <c r="X1553" s="9">
        <f>IF($A1553="","",$F1553&amp;"")</f>
        <v/>
      </c>
      <c r="Y1553" s="94">
        <f>IF($A1553="",0,IF(AE1553="직접",IF(AF1553="비귀속",$P1553,0),$P1553*(1-AG1553)*IFERROR(INDEX(계정대체기준!$F$20:$F$49,MATCH($N1553,계정대체기준!$A$20:$A$49,0)),1)))</f>
        <v/>
      </c>
      <c r="Z1553" s="94">
        <f>IF($A1553="",0,IF(AE1553="직접",IF(AF1553="신계약비",$P1553,0),$P1553*(1-AG1553)*IFERROR(INDEX(계정대체기준!$C$20:$C$49,MATCH($N1553,계정대체기준!$A$20:$A$49,0)),0)))</f>
        <v/>
      </c>
      <c r="AA1553" s="94">
        <f>IF($A1553="",0,IF(AE1553="직접",IF(OR(AF1553="유지비",AF1553="손해조사비"),$P1553,0),$P1553*(1-AG1553)*IFERROR(INDEX(계정대체기준!$D$20:$D$49,MATCH($N1553,계정대체기준!$A$20:$A$49,0)),0)))</f>
        <v/>
      </c>
      <c r="AB1553" s="94">
        <f>IF($A1553="",0,IF(AE1553="직접",IF(AF1553="수금비",$P1553,0),$P1553*(1-AG1553)*IFERROR(INDEX(계정대체기준!$E$20:$E$49,MATCH($N1553,계정대체기준!$A$20:$A$49,0)),0)))</f>
        <v/>
      </c>
      <c r="AC1553" s="9">
        <f>IF(AND($A1553&lt;&gt;"",M1553=설정!$C$20,Z1553&gt;0),Z1553+ROW()/1000000000,"")</f>
        <v/>
      </c>
      <c r="AD1553" s="94">
        <f>IF($A1553="",0,$P1553*AG1553)</f>
        <v/>
      </c>
      <c r="AE1553" s="64">
        <f>IF($A1553="","",IFERROR(INDEX(계정매핑!$E$5:$E$504,MATCH($F1553&amp;"",계정매핑!$A$5:$A$504,0))&amp;"","공통비"))</f>
        <v/>
      </c>
      <c r="AF1553" s="64">
        <f>IF($A1553="","",IF(AE1553="직접",IFERROR(INDEX(계정매핑!$F$5:$F$504,MATCH($F1553&amp;"",계정매핑!$A$5:$A$504,0))&amp;"","비귀속"),""))</f>
        <v/>
      </c>
      <c r="AG1553" s="96">
        <f>IF($A1553="",0,IF(AND(AE1553&lt;&gt;"직접",IFERROR(INDEX(계정매핑!$G$5:$G$504,MATCH($F1553&amp;"",계정매핑!$A$5:$A$504,0))&amp;"","")="유지비",COUNTIF(계정대체기준!$A$6:$A$15,$N1553)&gt;0),IFERROR(INDEX(계정대체기준!$E$6:$E$15,MATCH(VALUE($A1553&amp;""),계정대체기준!$D$6:$D$15,0)),0),0))</f>
        <v/>
      </c>
      <c r="AH1553" s="64">
        <f>IF($A1553="","",IF(AD1553=0,"",IF(OR(COUNTIF(계정대체기준!$A$77:$A$86,$N1553)&gt;0,ISNUMBER(MATCH($X1553,계정대체기준!$D$77:$D$86,0)),ISNUMBER(MATCH($F1553,계정대체기준!$D$77:$D$86,0))),"Y","N")))</f>
        <v/>
      </c>
    </row>
    <row r="1554">
      <c r="A1554" s="92" t="n">
        <v>2025</v>
      </c>
      <c r="B1554" s="92" t="n">
        <v>7</v>
      </c>
      <c r="C1554" s="92" t="inlineStr">
        <is>
          <t>5100001550</t>
        </is>
      </c>
      <c r="D1554" s="95" t="n">
        <v>45862</v>
      </c>
      <c r="E1554" s="92" t="inlineStr">
        <is>
          <t>KR</t>
        </is>
      </c>
      <c r="F1554" s="92" t="n">
        <v>62301000</v>
      </c>
      <c r="G1554" s="92" t="n">
        <v>1301</v>
      </c>
      <c r="H1554" s="93" t="n">
        <v>207000</v>
      </c>
      <c r="I1554" s="92" t="inlineStr">
        <is>
          <t>7월 소모품 구입 - Q오피스</t>
        </is>
      </c>
      <c r="J1554" s="92" t="inlineStr">
        <is>
          <t>V10003</t>
        </is>
      </c>
      <c r="K1554" s="92" t="inlineStr">
        <is>
          <t>Q오피스</t>
        </is>
      </c>
      <c r="M1554" s="9">
        <f>IF($A1554="","",VALUE($A1554&amp;"")*12+VALUE($B1554&amp;""))</f>
        <v/>
      </c>
      <c r="N1554" s="64">
        <f>IF($A1554="","",IFERROR(INDEX(부서매핑!$C$5:$C$504,MATCH($G1554&amp;"",부서매핑!$A$5:$A$504,0)),"미매핑"))</f>
        <v/>
      </c>
      <c r="O1554" s="9">
        <f>IF($A1554="","",N1554&amp;"|"&amp;$F1554)</f>
        <v/>
      </c>
      <c r="P1554" s="94">
        <f>IF($A1554="",0,$H1554*설정!$C$23)</f>
        <v/>
      </c>
      <c r="Q1554" s="64">
        <f>IF($A1554="","",IF(O1554&lt;&gt;원인분석!$C$9,"",IF(AND(M1554&gt;=원인분석!$C$10,M1554&lt;=원인분석!$C$11),"당기",IF(AND(M1554&gt;=원인분석!$C$12,M1554&lt;=원인분석!$C$13),"비교",""))))</f>
        <v/>
      </c>
      <c r="R1554" s="9">
        <f>IF(Q1554="","",$K1554&amp;"")</f>
        <v/>
      </c>
      <c r="S1554" s="9">
        <f>IF(Q1554="","",IF(MATCH(R1554,$R$5:$R$100000,0)=ROW()-4,ROW(),""))</f>
        <v/>
      </c>
      <c r="T1554" s="9">
        <f>IF(Q1554="당기",ABS(P1554)+ROW()/1000000000,"")</f>
        <v/>
      </c>
      <c r="U1554" s="9">
        <f>IF(Q1554="비교",ABS(P1554)+ROW()/1000000000,"")</f>
        <v/>
      </c>
      <c r="V1554" s="64">
        <f>IF($A1554="","",IF(COUNTIF(변동분석!$E$7:$E$506,O1554)&gt;0,"Y","N"))</f>
        <v/>
      </c>
      <c r="W1554" s="64">
        <f>IF($A1554="","",IFERROR(INDEX(계정매핑!$D$5:$D$504,MATCH($F1554&amp;"",계정매핑!$A$5:$A$504,0)),"미매핑"))</f>
        <v/>
      </c>
      <c r="X1554" s="9">
        <f>IF($A1554="","",$F1554&amp;"")</f>
        <v/>
      </c>
      <c r="Y1554" s="94">
        <f>IF($A1554="",0,IF(AE1554="직접",IF(AF1554="비귀속",$P1554,0),$P1554*(1-AG1554)*IFERROR(INDEX(계정대체기준!$F$20:$F$49,MATCH($N1554,계정대체기준!$A$20:$A$49,0)),1)))</f>
        <v/>
      </c>
      <c r="Z1554" s="94">
        <f>IF($A1554="",0,IF(AE1554="직접",IF(AF1554="신계약비",$P1554,0),$P1554*(1-AG1554)*IFERROR(INDEX(계정대체기준!$C$20:$C$49,MATCH($N1554,계정대체기준!$A$20:$A$49,0)),0)))</f>
        <v/>
      </c>
      <c r="AA1554" s="94">
        <f>IF($A1554="",0,IF(AE1554="직접",IF(OR(AF1554="유지비",AF1554="손해조사비"),$P1554,0),$P1554*(1-AG1554)*IFERROR(INDEX(계정대체기준!$D$20:$D$49,MATCH($N1554,계정대체기준!$A$20:$A$49,0)),0)))</f>
        <v/>
      </c>
      <c r="AB1554" s="94">
        <f>IF($A1554="",0,IF(AE1554="직접",IF(AF1554="수금비",$P1554,0),$P1554*(1-AG1554)*IFERROR(INDEX(계정대체기준!$E$20:$E$49,MATCH($N1554,계정대체기준!$A$20:$A$49,0)),0)))</f>
        <v/>
      </c>
      <c r="AC1554" s="9">
        <f>IF(AND($A1554&lt;&gt;"",M1554=설정!$C$20,Z1554&gt;0),Z1554+ROW()/1000000000,"")</f>
        <v/>
      </c>
      <c r="AD1554" s="94">
        <f>IF($A1554="",0,$P1554*AG1554)</f>
        <v/>
      </c>
      <c r="AE1554" s="64">
        <f>IF($A1554="","",IFERROR(INDEX(계정매핑!$E$5:$E$504,MATCH($F1554&amp;"",계정매핑!$A$5:$A$504,0))&amp;"","공통비"))</f>
        <v/>
      </c>
      <c r="AF1554" s="64">
        <f>IF($A1554="","",IF(AE1554="직접",IFERROR(INDEX(계정매핑!$F$5:$F$504,MATCH($F1554&amp;"",계정매핑!$A$5:$A$504,0))&amp;"","비귀속"),""))</f>
        <v/>
      </c>
      <c r="AG1554" s="96">
        <f>IF($A1554="",0,IF(AND(AE1554&lt;&gt;"직접",IFERROR(INDEX(계정매핑!$G$5:$G$504,MATCH($F1554&amp;"",계정매핑!$A$5:$A$504,0))&amp;"","")="유지비",COUNTIF(계정대체기준!$A$6:$A$15,$N1554)&gt;0),IFERROR(INDEX(계정대체기준!$E$6:$E$15,MATCH(VALUE($A1554&amp;""),계정대체기준!$D$6:$D$15,0)),0),0))</f>
        <v/>
      </c>
      <c r="AH1554" s="64">
        <f>IF($A1554="","",IF(AD1554=0,"",IF(OR(COUNTIF(계정대체기준!$A$77:$A$86,$N1554)&gt;0,ISNUMBER(MATCH($X1554,계정대체기준!$D$77:$D$86,0)),ISNUMBER(MATCH($F1554,계정대체기준!$D$77:$D$86,0))),"Y","N")))</f>
        <v/>
      </c>
    </row>
    <row r="1555">
      <c r="A1555" s="92" t="n">
        <v>2025</v>
      </c>
      <c r="B1555" s="92" t="n">
        <v>7</v>
      </c>
      <c r="C1555" s="92" t="inlineStr">
        <is>
          <t>5100001551</t>
        </is>
      </c>
      <c r="D1555" s="95" t="n">
        <v>45862</v>
      </c>
      <c r="E1555" s="92" t="inlineStr">
        <is>
          <t>KR</t>
        </is>
      </c>
      <c r="F1555" s="92" t="n">
        <v>62401000</v>
      </c>
      <c r="G1555" s="92" t="n">
        <v>1501</v>
      </c>
      <c r="H1555" s="93" t="n">
        <v>1322000</v>
      </c>
      <c r="I1555" s="92" t="inlineStr">
        <is>
          <t>7월 인쇄물 제작 - S출판</t>
        </is>
      </c>
      <c r="J1555" s="92" t="inlineStr">
        <is>
          <t>V10015</t>
        </is>
      </c>
      <c r="K1555" s="92" t="inlineStr">
        <is>
          <t>S출판</t>
        </is>
      </c>
      <c r="M1555" s="9">
        <f>IF($A1555="","",VALUE($A1555&amp;"")*12+VALUE($B1555&amp;""))</f>
        <v/>
      </c>
      <c r="N1555" s="64">
        <f>IF($A1555="","",IFERROR(INDEX(부서매핑!$C$5:$C$504,MATCH($G1555&amp;"",부서매핑!$A$5:$A$504,0)),"미매핑"))</f>
        <v/>
      </c>
      <c r="O1555" s="9">
        <f>IF($A1555="","",N1555&amp;"|"&amp;$F1555)</f>
        <v/>
      </c>
      <c r="P1555" s="94">
        <f>IF($A1555="",0,$H1555*설정!$C$23)</f>
        <v/>
      </c>
      <c r="Q1555" s="64">
        <f>IF($A1555="","",IF(O1555&lt;&gt;원인분석!$C$9,"",IF(AND(M1555&gt;=원인분석!$C$10,M1555&lt;=원인분석!$C$11),"당기",IF(AND(M1555&gt;=원인분석!$C$12,M1555&lt;=원인분석!$C$13),"비교",""))))</f>
        <v/>
      </c>
      <c r="R1555" s="9">
        <f>IF(Q1555="","",$K1555&amp;"")</f>
        <v/>
      </c>
      <c r="S1555" s="9">
        <f>IF(Q1555="","",IF(MATCH(R1555,$R$5:$R$100000,0)=ROW()-4,ROW(),""))</f>
        <v/>
      </c>
      <c r="T1555" s="9">
        <f>IF(Q1555="당기",ABS(P1555)+ROW()/1000000000,"")</f>
        <v/>
      </c>
      <c r="U1555" s="9">
        <f>IF(Q1555="비교",ABS(P1555)+ROW()/1000000000,"")</f>
        <v/>
      </c>
      <c r="V1555" s="64">
        <f>IF($A1555="","",IF(COUNTIF(변동분석!$E$7:$E$506,O1555)&gt;0,"Y","N"))</f>
        <v/>
      </c>
      <c r="W1555" s="64">
        <f>IF($A1555="","",IFERROR(INDEX(계정매핑!$D$5:$D$504,MATCH($F1555&amp;"",계정매핑!$A$5:$A$504,0)),"미매핑"))</f>
        <v/>
      </c>
      <c r="X1555" s="9">
        <f>IF($A1555="","",$F1555&amp;"")</f>
        <v/>
      </c>
      <c r="Y1555" s="94">
        <f>IF($A1555="",0,IF(AE1555="직접",IF(AF1555="비귀속",$P1555,0),$P1555*(1-AG1555)*IFERROR(INDEX(계정대체기준!$F$20:$F$49,MATCH($N1555,계정대체기준!$A$20:$A$49,0)),1)))</f>
        <v/>
      </c>
      <c r="Z1555" s="94">
        <f>IF($A1555="",0,IF(AE1555="직접",IF(AF1555="신계약비",$P1555,0),$P1555*(1-AG1555)*IFERROR(INDEX(계정대체기준!$C$20:$C$49,MATCH($N1555,계정대체기준!$A$20:$A$49,0)),0)))</f>
        <v/>
      </c>
      <c r="AA1555" s="94">
        <f>IF($A1555="",0,IF(AE1555="직접",IF(OR(AF1555="유지비",AF1555="손해조사비"),$P1555,0),$P1555*(1-AG1555)*IFERROR(INDEX(계정대체기준!$D$20:$D$49,MATCH($N1555,계정대체기준!$A$20:$A$49,0)),0)))</f>
        <v/>
      </c>
      <c r="AB1555" s="94">
        <f>IF($A1555="",0,IF(AE1555="직접",IF(AF1555="수금비",$P1555,0),$P1555*(1-AG1555)*IFERROR(INDEX(계정대체기준!$E$20:$E$49,MATCH($N1555,계정대체기준!$A$20:$A$49,0)),0)))</f>
        <v/>
      </c>
      <c r="AC1555" s="9">
        <f>IF(AND($A1555&lt;&gt;"",M1555=설정!$C$20,Z1555&gt;0),Z1555+ROW()/1000000000,"")</f>
        <v/>
      </c>
      <c r="AD1555" s="94">
        <f>IF($A1555="",0,$P1555*AG1555)</f>
        <v/>
      </c>
      <c r="AE1555" s="64">
        <f>IF($A1555="","",IFERROR(INDEX(계정매핑!$E$5:$E$504,MATCH($F1555&amp;"",계정매핑!$A$5:$A$504,0))&amp;"","공통비"))</f>
        <v/>
      </c>
      <c r="AF1555" s="64">
        <f>IF($A1555="","",IF(AE1555="직접",IFERROR(INDEX(계정매핑!$F$5:$F$504,MATCH($F1555&amp;"",계정매핑!$A$5:$A$504,0))&amp;"","비귀속"),""))</f>
        <v/>
      </c>
      <c r="AG1555" s="96">
        <f>IF($A1555="",0,IF(AND(AE1555&lt;&gt;"직접",IFERROR(INDEX(계정매핑!$G$5:$G$504,MATCH($F1555&amp;"",계정매핑!$A$5:$A$504,0))&amp;"","")="유지비",COUNTIF(계정대체기준!$A$6:$A$15,$N1555)&gt;0),IFERROR(INDEX(계정대체기준!$E$6:$E$15,MATCH(VALUE($A1555&amp;""),계정대체기준!$D$6:$D$15,0)),0),0))</f>
        <v/>
      </c>
      <c r="AH1555" s="64">
        <f>IF($A1555="","",IF(AD1555=0,"",IF(OR(COUNTIF(계정대체기준!$A$77:$A$86,$N1555)&gt;0,ISNUMBER(MATCH($X1555,계정대체기준!$D$77:$D$86,0)),ISNUMBER(MATCH($F1555,계정대체기준!$D$77:$D$86,0))),"Y","N")))</f>
        <v/>
      </c>
    </row>
    <row r="1556">
      <c r="A1556" s="92" t="n">
        <v>2025</v>
      </c>
      <c r="B1556" s="92" t="n">
        <v>7</v>
      </c>
      <c r="C1556" s="92" t="inlineStr">
        <is>
          <t>5100001552</t>
        </is>
      </c>
      <c r="D1556" s="95" t="n">
        <v>45862</v>
      </c>
      <c r="E1556" s="92" t="inlineStr">
        <is>
          <t>KR</t>
        </is>
      </c>
      <c r="F1556" s="92" t="n">
        <v>62501000</v>
      </c>
      <c r="G1556" s="92" t="n">
        <v>1701</v>
      </c>
      <c r="H1556" s="93" t="n">
        <v>125000</v>
      </c>
      <c r="I1556" s="92" t="inlineStr">
        <is>
          <t>7월 회의 다과 - (법인카드)</t>
        </is>
      </c>
      <c r="J1556" s="92" t="inlineStr">
        <is>
          <t>V10010</t>
        </is>
      </c>
      <c r="K1556" s="92" t="inlineStr">
        <is>
          <t>(법인카드)</t>
        </is>
      </c>
      <c r="M1556" s="9">
        <f>IF($A1556="","",VALUE($A1556&amp;"")*12+VALUE($B1556&amp;""))</f>
        <v/>
      </c>
      <c r="N1556" s="64">
        <f>IF($A1556="","",IFERROR(INDEX(부서매핑!$C$5:$C$504,MATCH($G1556&amp;"",부서매핑!$A$5:$A$504,0)),"미매핑"))</f>
        <v/>
      </c>
      <c r="O1556" s="9">
        <f>IF($A1556="","",N1556&amp;"|"&amp;$F1556)</f>
        <v/>
      </c>
      <c r="P1556" s="94">
        <f>IF($A1556="",0,$H1556*설정!$C$23)</f>
        <v/>
      </c>
      <c r="Q1556" s="64">
        <f>IF($A1556="","",IF(O1556&lt;&gt;원인분석!$C$9,"",IF(AND(M1556&gt;=원인분석!$C$10,M1556&lt;=원인분석!$C$11),"당기",IF(AND(M1556&gt;=원인분석!$C$12,M1556&lt;=원인분석!$C$13),"비교",""))))</f>
        <v/>
      </c>
      <c r="R1556" s="9">
        <f>IF(Q1556="","",$K1556&amp;"")</f>
        <v/>
      </c>
      <c r="S1556" s="9">
        <f>IF(Q1556="","",IF(MATCH(R1556,$R$5:$R$100000,0)=ROW()-4,ROW(),""))</f>
        <v/>
      </c>
      <c r="T1556" s="9">
        <f>IF(Q1556="당기",ABS(P1556)+ROW()/1000000000,"")</f>
        <v/>
      </c>
      <c r="U1556" s="9">
        <f>IF(Q1556="비교",ABS(P1556)+ROW()/1000000000,"")</f>
        <v/>
      </c>
      <c r="V1556" s="64">
        <f>IF($A1556="","",IF(COUNTIF(변동분석!$E$7:$E$506,O1556)&gt;0,"Y","N"))</f>
        <v/>
      </c>
      <c r="W1556" s="64">
        <f>IF($A1556="","",IFERROR(INDEX(계정매핑!$D$5:$D$504,MATCH($F1556&amp;"",계정매핑!$A$5:$A$504,0)),"미매핑"))</f>
        <v/>
      </c>
      <c r="X1556" s="9">
        <f>IF($A1556="","",$F1556&amp;"")</f>
        <v/>
      </c>
      <c r="Y1556" s="94">
        <f>IF($A1556="",0,IF(AE1556="직접",IF(AF1556="비귀속",$P1556,0),$P1556*(1-AG1556)*IFERROR(INDEX(계정대체기준!$F$20:$F$49,MATCH($N1556,계정대체기준!$A$20:$A$49,0)),1)))</f>
        <v/>
      </c>
      <c r="Z1556" s="94">
        <f>IF($A1556="",0,IF(AE1556="직접",IF(AF1556="신계약비",$P1556,0),$P1556*(1-AG1556)*IFERROR(INDEX(계정대체기준!$C$20:$C$49,MATCH($N1556,계정대체기준!$A$20:$A$49,0)),0)))</f>
        <v/>
      </c>
      <c r="AA1556" s="94">
        <f>IF($A1556="",0,IF(AE1556="직접",IF(OR(AF1556="유지비",AF1556="손해조사비"),$P1556,0),$P1556*(1-AG1556)*IFERROR(INDEX(계정대체기준!$D$20:$D$49,MATCH($N1556,계정대체기준!$A$20:$A$49,0)),0)))</f>
        <v/>
      </c>
      <c r="AB1556" s="94">
        <f>IF($A1556="",0,IF(AE1556="직접",IF(AF1556="수금비",$P1556,0),$P1556*(1-AG1556)*IFERROR(INDEX(계정대체기준!$E$20:$E$49,MATCH($N1556,계정대체기준!$A$20:$A$49,0)),0)))</f>
        <v/>
      </c>
      <c r="AC1556" s="9">
        <f>IF(AND($A1556&lt;&gt;"",M1556=설정!$C$20,Z1556&gt;0),Z1556+ROW()/1000000000,"")</f>
        <v/>
      </c>
      <c r="AD1556" s="94">
        <f>IF($A1556="",0,$P1556*AG1556)</f>
        <v/>
      </c>
      <c r="AE1556" s="64">
        <f>IF($A1556="","",IFERROR(INDEX(계정매핑!$E$5:$E$504,MATCH($F1556&amp;"",계정매핑!$A$5:$A$504,0))&amp;"","공통비"))</f>
        <v/>
      </c>
      <c r="AF1556" s="64">
        <f>IF($A1556="","",IF(AE1556="직접",IFERROR(INDEX(계정매핑!$F$5:$F$504,MATCH($F1556&amp;"",계정매핑!$A$5:$A$504,0))&amp;"","비귀속"),""))</f>
        <v/>
      </c>
      <c r="AG1556" s="96">
        <f>IF($A1556="",0,IF(AND(AE1556&lt;&gt;"직접",IFERROR(INDEX(계정매핑!$G$5:$G$504,MATCH($F1556&amp;"",계정매핑!$A$5:$A$504,0))&amp;"","")="유지비",COUNTIF(계정대체기준!$A$6:$A$15,$N1556)&gt;0),IFERROR(INDEX(계정대체기준!$E$6:$E$15,MATCH(VALUE($A1556&amp;""),계정대체기준!$D$6:$D$15,0)),0),0))</f>
        <v/>
      </c>
      <c r="AH1556" s="64">
        <f>IF($A1556="","",IF(AD1556=0,"",IF(OR(COUNTIF(계정대체기준!$A$77:$A$86,$N1556)&gt;0,ISNUMBER(MATCH($X1556,계정대체기준!$D$77:$D$86,0)),ISNUMBER(MATCH($F1556,계정대체기준!$D$77:$D$86,0))),"Y","N")))</f>
        <v/>
      </c>
    </row>
    <row r="1557">
      <c r="A1557" s="92" t="n">
        <v>2025</v>
      </c>
      <c r="B1557" s="92" t="n">
        <v>7</v>
      </c>
      <c r="C1557" s="92" t="inlineStr">
        <is>
          <t>5100001553</t>
        </is>
      </c>
      <c r="D1557" s="95" t="n">
        <v>45862</v>
      </c>
      <c r="E1557" s="92" t="inlineStr">
        <is>
          <t>KR</t>
        </is>
      </c>
      <c r="F1557" s="92" t="n">
        <v>62601000</v>
      </c>
      <c r="G1557" s="92" t="n">
        <v>1301</v>
      </c>
      <c r="H1557" s="93" t="n">
        <v>2034000</v>
      </c>
      <c r="I1557" s="92" t="inlineStr">
        <is>
          <t>7월 업무추진 - (법인카드)</t>
        </is>
      </c>
      <c r="J1557" s="92" t="inlineStr">
        <is>
          <t>V10010</t>
        </is>
      </c>
      <c r="K1557" s="92" t="inlineStr">
        <is>
          <t>(법인카드)</t>
        </is>
      </c>
      <c r="M1557" s="9">
        <f>IF($A1557="","",VALUE($A1557&amp;"")*12+VALUE($B1557&amp;""))</f>
        <v/>
      </c>
      <c r="N1557" s="64">
        <f>IF($A1557="","",IFERROR(INDEX(부서매핑!$C$5:$C$504,MATCH($G1557&amp;"",부서매핑!$A$5:$A$504,0)),"미매핑"))</f>
        <v/>
      </c>
      <c r="O1557" s="9">
        <f>IF($A1557="","",N1557&amp;"|"&amp;$F1557)</f>
        <v/>
      </c>
      <c r="P1557" s="94">
        <f>IF($A1557="",0,$H1557*설정!$C$23)</f>
        <v/>
      </c>
      <c r="Q1557" s="64">
        <f>IF($A1557="","",IF(O1557&lt;&gt;원인분석!$C$9,"",IF(AND(M1557&gt;=원인분석!$C$10,M1557&lt;=원인분석!$C$11),"당기",IF(AND(M1557&gt;=원인분석!$C$12,M1557&lt;=원인분석!$C$13),"비교",""))))</f>
        <v/>
      </c>
      <c r="R1557" s="9">
        <f>IF(Q1557="","",$K1557&amp;"")</f>
        <v/>
      </c>
      <c r="S1557" s="9">
        <f>IF(Q1557="","",IF(MATCH(R1557,$R$5:$R$100000,0)=ROW()-4,ROW(),""))</f>
        <v/>
      </c>
      <c r="T1557" s="9">
        <f>IF(Q1557="당기",ABS(P1557)+ROW()/1000000000,"")</f>
        <v/>
      </c>
      <c r="U1557" s="9">
        <f>IF(Q1557="비교",ABS(P1557)+ROW()/1000000000,"")</f>
        <v/>
      </c>
      <c r="V1557" s="64">
        <f>IF($A1557="","",IF(COUNTIF(변동분석!$E$7:$E$506,O1557)&gt;0,"Y","N"))</f>
        <v/>
      </c>
      <c r="W1557" s="64">
        <f>IF($A1557="","",IFERROR(INDEX(계정매핑!$D$5:$D$504,MATCH($F1557&amp;"",계정매핑!$A$5:$A$504,0)),"미매핑"))</f>
        <v/>
      </c>
      <c r="X1557" s="9">
        <f>IF($A1557="","",$F1557&amp;"")</f>
        <v/>
      </c>
      <c r="Y1557" s="94">
        <f>IF($A1557="",0,IF(AE1557="직접",IF(AF1557="비귀속",$P1557,0),$P1557*(1-AG1557)*IFERROR(INDEX(계정대체기준!$F$20:$F$49,MATCH($N1557,계정대체기준!$A$20:$A$49,0)),1)))</f>
        <v/>
      </c>
      <c r="Z1557" s="94">
        <f>IF($A1557="",0,IF(AE1557="직접",IF(AF1557="신계약비",$P1557,0),$P1557*(1-AG1557)*IFERROR(INDEX(계정대체기준!$C$20:$C$49,MATCH($N1557,계정대체기준!$A$20:$A$49,0)),0)))</f>
        <v/>
      </c>
      <c r="AA1557" s="94">
        <f>IF($A1557="",0,IF(AE1557="직접",IF(OR(AF1557="유지비",AF1557="손해조사비"),$P1557,0),$P1557*(1-AG1557)*IFERROR(INDEX(계정대체기준!$D$20:$D$49,MATCH($N1557,계정대체기준!$A$20:$A$49,0)),0)))</f>
        <v/>
      </c>
      <c r="AB1557" s="94">
        <f>IF($A1557="",0,IF(AE1557="직접",IF(AF1557="수금비",$P1557,0),$P1557*(1-AG1557)*IFERROR(INDEX(계정대체기준!$E$20:$E$49,MATCH($N1557,계정대체기준!$A$20:$A$49,0)),0)))</f>
        <v/>
      </c>
      <c r="AC1557" s="9">
        <f>IF(AND($A1557&lt;&gt;"",M1557=설정!$C$20,Z1557&gt;0),Z1557+ROW()/1000000000,"")</f>
        <v/>
      </c>
      <c r="AD1557" s="94">
        <f>IF($A1557="",0,$P1557*AG1557)</f>
        <v/>
      </c>
      <c r="AE1557" s="64">
        <f>IF($A1557="","",IFERROR(INDEX(계정매핑!$E$5:$E$504,MATCH($F1557&amp;"",계정매핑!$A$5:$A$504,0))&amp;"","공통비"))</f>
        <v/>
      </c>
      <c r="AF1557" s="64">
        <f>IF($A1557="","",IF(AE1557="직접",IFERROR(INDEX(계정매핑!$F$5:$F$504,MATCH($F1557&amp;"",계정매핑!$A$5:$A$504,0))&amp;"","비귀속"),""))</f>
        <v/>
      </c>
      <c r="AG1557" s="96">
        <f>IF($A1557="",0,IF(AND(AE1557&lt;&gt;"직접",IFERROR(INDEX(계정매핑!$G$5:$G$504,MATCH($F1557&amp;"",계정매핑!$A$5:$A$504,0))&amp;"","")="유지비",COUNTIF(계정대체기준!$A$6:$A$15,$N1557)&gt;0),IFERROR(INDEX(계정대체기준!$E$6:$E$15,MATCH(VALUE($A1557&amp;""),계정대체기준!$D$6:$D$15,0)),0),0))</f>
        <v/>
      </c>
      <c r="AH1557" s="64">
        <f>IF($A1557="","",IF(AD1557=0,"",IF(OR(COUNTIF(계정대체기준!$A$77:$A$86,$N1557)&gt;0,ISNUMBER(MATCH($X1557,계정대체기준!$D$77:$D$86,0)),ISNUMBER(MATCH($F1557,계정대체기준!$D$77:$D$86,0))),"Y","N")))</f>
        <v/>
      </c>
    </row>
    <row r="1558">
      <c r="A1558" s="92" t="n">
        <v>2025</v>
      </c>
      <c r="B1558" s="92" t="n">
        <v>7</v>
      </c>
      <c r="C1558" s="92" t="inlineStr">
        <is>
          <t>5100001554</t>
        </is>
      </c>
      <c r="D1558" s="95" t="n">
        <v>45862</v>
      </c>
      <c r="E1558" s="92" t="inlineStr">
        <is>
          <t>KR</t>
        </is>
      </c>
      <c r="F1558" s="92" t="n">
        <v>62601000</v>
      </c>
      <c r="G1558" s="92" t="n">
        <v>1601</v>
      </c>
      <c r="H1558" s="93" t="n">
        <v>2660000</v>
      </c>
      <c r="I1558" s="92" t="inlineStr">
        <is>
          <t>7월 업무추진 - (법인카드)</t>
        </is>
      </c>
      <c r="J1558" s="92" t="inlineStr">
        <is>
          <t>V10010</t>
        </is>
      </c>
      <c r="K1558" s="92" t="inlineStr">
        <is>
          <t>(법인카드)</t>
        </is>
      </c>
      <c r="M1558" s="9">
        <f>IF($A1558="","",VALUE($A1558&amp;"")*12+VALUE($B1558&amp;""))</f>
        <v/>
      </c>
      <c r="N1558" s="64">
        <f>IF($A1558="","",IFERROR(INDEX(부서매핑!$C$5:$C$504,MATCH($G1558&amp;"",부서매핑!$A$5:$A$504,0)),"미매핑"))</f>
        <v/>
      </c>
      <c r="O1558" s="9">
        <f>IF($A1558="","",N1558&amp;"|"&amp;$F1558)</f>
        <v/>
      </c>
      <c r="P1558" s="94">
        <f>IF($A1558="",0,$H1558*설정!$C$23)</f>
        <v/>
      </c>
      <c r="Q1558" s="64">
        <f>IF($A1558="","",IF(O1558&lt;&gt;원인분석!$C$9,"",IF(AND(M1558&gt;=원인분석!$C$10,M1558&lt;=원인분석!$C$11),"당기",IF(AND(M1558&gt;=원인분석!$C$12,M1558&lt;=원인분석!$C$13),"비교",""))))</f>
        <v/>
      </c>
      <c r="R1558" s="9">
        <f>IF(Q1558="","",$K1558&amp;"")</f>
        <v/>
      </c>
      <c r="S1558" s="9">
        <f>IF(Q1558="","",IF(MATCH(R1558,$R$5:$R$100000,0)=ROW()-4,ROW(),""))</f>
        <v/>
      </c>
      <c r="T1558" s="9">
        <f>IF(Q1558="당기",ABS(P1558)+ROW()/1000000000,"")</f>
        <v/>
      </c>
      <c r="U1558" s="9">
        <f>IF(Q1558="비교",ABS(P1558)+ROW()/1000000000,"")</f>
        <v/>
      </c>
      <c r="V1558" s="64">
        <f>IF($A1558="","",IF(COUNTIF(변동분석!$E$7:$E$506,O1558)&gt;0,"Y","N"))</f>
        <v/>
      </c>
      <c r="W1558" s="64">
        <f>IF($A1558="","",IFERROR(INDEX(계정매핑!$D$5:$D$504,MATCH($F1558&amp;"",계정매핑!$A$5:$A$504,0)),"미매핑"))</f>
        <v/>
      </c>
      <c r="X1558" s="9">
        <f>IF($A1558="","",$F1558&amp;"")</f>
        <v/>
      </c>
      <c r="Y1558" s="94">
        <f>IF($A1558="",0,IF(AE1558="직접",IF(AF1558="비귀속",$P1558,0),$P1558*(1-AG1558)*IFERROR(INDEX(계정대체기준!$F$20:$F$49,MATCH($N1558,계정대체기준!$A$20:$A$49,0)),1)))</f>
        <v/>
      </c>
      <c r="Z1558" s="94">
        <f>IF($A1558="",0,IF(AE1558="직접",IF(AF1558="신계약비",$P1558,0),$P1558*(1-AG1558)*IFERROR(INDEX(계정대체기준!$C$20:$C$49,MATCH($N1558,계정대체기준!$A$20:$A$49,0)),0)))</f>
        <v/>
      </c>
      <c r="AA1558" s="94">
        <f>IF($A1558="",0,IF(AE1558="직접",IF(OR(AF1558="유지비",AF1558="손해조사비"),$P1558,0),$P1558*(1-AG1558)*IFERROR(INDEX(계정대체기준!$D$20:$D$49,MATCH($N1558,계정대체기준!$A$20:$A$49,0)),0)))</f>
        <v/>
      </c>
      <c r="AB1558" s="94">
        <f>IF($A1558="",0,IF(AE1558="직접",IF(AF1558="수금비",$P1558,0),$P1558*(1-AG1558)*IFERROR(INDEX(계정대체기준!$E$20:$E$49,MATCH($N1558,계정대체기준!$A$20:$A$49,0)),0)))</f>
        <v/>
      </c>
      <c r="AC1558" s="9">
        <f>IF(AND($A1558&lt;&gt;"",M1558=설정!$C$20,Z1558&gt;0),Z1558+ROW()/1000000000,"")</f>
        <v/>
      </c>
      <c r="AD1558" s="94">
        <f>IF($A1558="",0,$P1558*AG1558)</f>
        <v/>
      </c>
      <c r="AE1558" s="64">
        <f>IF($A1558="","",IFERROR(INDEX(계정매핑!$E$5:$E$504,MATCH($F1558&amp;"",계정매핑!$A$5:$A$504,0))&amp;"","공통비"))</f>
        <v/>
      </c>
      <c r="AF1558" s="64">
        <f>IF($A1558="","",IF(AE1558="직접",IFERROR(INDEX(계정매핑!$F$5:$F$504,MATCH($F1558&amp;"",계정매핑!$A$5:$A$504,0))&amp;"","비귀속"),""))</f>
        <v/>
      </c>
      <c r="AG1558" s="96">
        <f>IF($A1558="",0,IF(AND(AE1558&lt;&gt;"직접",IFERROR(INDEX(계정매핑!$G$5:$G$504,MATCH($F1558&amp;"",계정매핑!$A$5:$A$504,0))&amp;"","")="유지비",COUNTIF(계정대체기준!$A$6:$A$15,$N1558)&gt;0),IFERROR(INDEX(계정대체기준!$E$6:$E$15,MATCH(VALUE($A1558&amp;""),계정대체기준!$D$6:$D$15,0)),0),0))</f>
        <v/>
      </c>
      <c r="AH1558" s="64">
        <f>IF($A1558="","",IF(AD1558=0,"",IF(OR(COUNTIF(계정대체기준!$A$77:$A$86,$N1558)&gt;0,ISNUMBER(MATCH($X1558,계정대체기준!$D$77:$D$86,0)),ISNUMBER(MATCH($F1558,계정대체기준!$D$77:$D$86,0))),"Y","N")))</f>
        <v/>
      </c>
    </row>
    <row r="1559">
      <c r="A1559" s="92" t="n">
        <v>2025</v>
      </c>
      <c r="B1559" s="92" t="n">
        <v>7</v>
      </c>
      <c r="C1559" s="92" t="inlineStr">
        <is>
          <t>5100001555</t>
        </is>
      </c>
      <c r="D1559" s="95" t="n">
        <v>45862</v>
      </c>
      <c r="E1559" s="92" t="inlineStr">
        <is>
          <t>KR</t>
        </is>
      </c>
      <c r="F1559" s="92" t="n">
        <v>62901000</v>
      </c>
      <c r="G1559" s="92" t="n">
        <v>1101</v>
      </c>
      <c r="H1559" s="93" t="n">
        <v>3915000</v>
      </c>
      <c r="I1559" s="92" t="inlineStr">
        <is>
          <t>7월 자문 수수료 - W컨설팅</t>
        </is>
      </c>
      <c r="J1559" s="92" t="inlineStr">
        <is>
          <t>V10006</t>
        </is>
      </c>
      <c r="K1559" s="92" t="inlineStr">
        <is>
          <t>W컨설팅</t>
        </is>
      </c>
      <c r="M1559" s="9">
        <f>IF($A1559="","",VALUE($A1559&amp;"")*12+VALUE($B1559&amp;""))</f>
        <v/>
      </c>
      <c r="N1559" s="64">
        <f>IF($A1559="","",IFERROR(INDEX(부서매핑!$C$5:$C$504,MATCH($G1559&amp;"",부서매핑!$A$5:$A$504,0)),"미매핑"))</f>
        <v/>
      </c>
      <c r="O1559" s="9">
        <f>IF($A1559="","",N1559&amp;"|"&amp;$F1559)</f>
        <v/>
      </c>
      <c r="P1559" s="94">
        <f>IF($A1559="",0,$H1559*설정!$C$23)</f>
        <v/>
      </c>
      <c r="Q1559" s="64">
        <f>IF($A1559="","",IF(O1559&lt;&gt;원인분석!$C$9,"",IF(AND(M1559&gt;=원인분석!$C$10,M1559&lt;=원인분석!$C$11),"당기",IF(AND(M1559&gt;=원인분석!$C$12,M1559&lt;=원인분석!$C$13),"비교",""))))</f>
        <v/>
      </c>
      <c r="R1559" s="9">
        <f>IF(Q1559="","",$K1559&amp;"")</f>
        <v/>
      </c>
      <c r="S1559" s="9">
        <f>IF(Q1559="","",IF(MATCH(R1559,$R$5:$R$100000,0)=ROW()-4,ROW(),""))</f>
        <v/>
      </c>
      <c r="T1559" s="9">
        <f>IF(Q1559="당기",ABS(P1559)+ROW()/1000000000,"")</f>
        <v/>
      </c>
      <c r="U1559" s="9">
        <f>IF(Q1559="비교",ABS(P1559)+ROW()/1000000000,"")</f>
        <v/>
      </c>
      <c r="V1559" s="64">
        <f>IF($A1559="","",IF(COUNTIF(변동분석!$E$7:$E$506,O1559)&gt;0,"Y","N"))</f>
        <v/>
      </c>
      <c r="W1559" s="64">
        <f>IF($A1559="","",IFERROR(INDEX(계정매핑!$D$5:$D$504,MATCH($F1559&amp;"",계정매핑!$A$5:$A$504,0)),"미매핑"))</f>
        <v/>
      </c>
      <c r="X1559" s="9">
        <f>IF($A1559="","",$F1559&amp;"")</f>
        <v/>
      </c>
      <c r="Y1559" s="94">
        <f>IF($A1559="",0,IF(AE1559="직접",IF(AF1559="비귀속",$P1559,0),$P1559*(1-AG1559)*IFERROR(INDEX(계정대체기준!$F$20:$F$49,MATCH($N1559,계정대체기준!$A$20:$A$49,0)),1)))</f>
        <v/>
      </c>
      <c r="Z1559" s="94">
        <f>IF($A1559="",0,IF(AE1559="직접",IF(AF1559="신계약비",$P1559,0),$P1559*(1-AG1559)*IFERROR(INDEX(계정대체기준!$C$20:$C$49,MATCH($N1559,계정대체기준!$A$20:$A$49,0)),0)))</f>
        <v/>
      </c>
      <c r="AA1559" s="94">
        <f>IF($A1559="",0,IF(AE1559="직접",IF(OR(AF1559="유지비",AF1559="손해조사비"),$P1559,0),$P1559*(1-AG1559)*IFERROR(INDEX(계정대체기준!$D$20:$D$49,MATCH($N1559,계정대체기준!$A$20:$A$49,0)),0)))</f>
        <v/>
      </c>
      <c r="AB1559" s="94">
        <f>IF($A1559="",0,IF(AE1559="직접",IF(AF1559="수금비",$P1559,0),$P1559*(1-AG1559)*IFERROR(INDEX(계정대체기준!$E$20:$E$49,MATCH($N1559,계정대체기준!$A$20:$A$49,0)),0)))</f>
        <v/>
      </c>
      <c r="AC1559" s="9">
        <f>IF(AND($A1559&lt;&gt;"",M1559=설정!$C$20,Z1559&gt;0),Z1559+ROW()/1000000000,"")</f>
        <v/>
      </c>
      <c r="AD1559" s="94">
        <f>IF($A1559="",0,$P1559*AG1559)</f>
        <v/>
      </c>
      <c r="AE1559" s="64">
        <f>IF($A1559="","",IFERROR(INDEX(계정매핑!$E$5:$E$504,MATCH($F1559&amp;"",계정매핑!$A$5:$A$504,0))&amp;"","공통비"))</f>
        <v/>
      </c>
      <c r="AF1559" s="64">
        <f>IF($A1559="","",IF(AE1559="직접",IFERROR(INDEX(계정매핑!$F$5:$F$504,MATCH($F1559&amp;"",계정매핑!$A$5:$A$504,0))&amp;"","비귀속"),""))</f>
        <v/>
      </c>
      <c r="AG1559" s="96">
        <f>IF($A1559="",0,IF(AND(AE1559&lt;&gt;"직접",IFERROR(INDEX(계정매핑!$G$5:$G$504,MATCH($F1559&amp;"",계정매핑!$A$5:$A$504,0))&amp;"","")="유지비",COUNTIF(계정대체기준!$A$6:$A$15,$N1559)&gt;0),IFERROR(INDEX(계정대체기준!$E$6:$E$15,MATCH(VALUE($A1559&amp;""),계정대체기준!$D$6:$D$15,0)),0),0))</f>
        <v/>
      </c>
      <c r="AH1559" s="64">
        <f>IF($A1559="","",IF(AD1559=0,"",IF(OR(COUNTIF(계정대체기준!$A$77:$A$86,$N1559)&gt;0,ISNUMBER(MATCH($X1559,계정대체기준!$D$77:$D$86,0)),ISNUMBER(MATCH($F1559,계정대체기준!$D$77:$D$86,0))),"Y","N")))</f>
        <v/>
      </c>
    </row>
    <row r="1560">
      <c r="A1560" s="92" t="n">
        <v>2025</v>
      </c>
      <c r="B1560" s="92" t="n">
        <v>7</v>
      </c>
      <c r="C1560" s="92" t="inlineStr">
        <is>
          <t>5100001556</t>
        </is>
      </c>
      <c r="D1560" s="95" t="n">
        <v>45862</v>
      </c>
      <c r="E1560" s="92" t="inlineStr">
        <is>
          <t>KR</t>
        </is>
      </c>
      <c r="F1560" s="92" t="n">
        <v>63601000</v>
      </c>
      <c r="G1560" s="92" t="n">
        <v>1801</v>
      </c>
      <c r="H1560" s="93" t="n">
        <v>16021000</v>
      </c>
      <c r="I1560" s="92" t="inlineStr">
        <is>
          <t>7월 손해사정 수수료 - DD손해사정</t>
        </is>
      </c>
      <c r="J1560" s="92" t="inlineStr">
        <is>
          <t>V10032</t>
        </is>
      </c>
      <c r="K1560" s="92" t="inlineStr">
        <is>
          <t>DD손해사정</t>
        </is>
      </c>
      <c r="M1560" s="9">
        <f>IF($A1560="","",VALUE($A1560&amp;"")*12+VALUE($B1560&amp;""))</f>
        <v/>
      </c>
      <c r="N1560" s="64">
        <f>IF($A1560="","",IFERROR(INDEX(부서매핑!$C$5:$C$504,MATCH($G1560&amp;"",부서매핑!$A$5:$A$504,0)),"미매핑"))</f>
        <v/>
      </c>
      <c r="O1560" s="9">
        <f>IF($A1560="","",N1560&amp;"|"&amp;$F1560)</f>
        <v/>
      </c>
      <c r="P1560" s="94">
        <f>IF($A1560="",0,$H1560*설정!$C$23)</f>
        <v/>
      </c>
      <c r="Q1560" s="64">
        <f>IF($A1560="","",IF(O1560&lt;&gt;원인분석!$C$9,"",IF(AND(M1560&gt;=원인분석!$C$10,M1560&lt;=원인분석!$C$11),"당기",IF(AND(M1560&gt;=원인분석!$C$12,M1560&lt;=원인분석!$C$13),"비교",""))))</f>
        <v/>
      </c>
      <c r="R1560" s="9">
        <f>IF(Q1560="","",$K1560&amp;"")</f>
        <v/>
      </c>
      <c r="S1560" s="9">
        <f>IF(Q1560="","",IF(MATCH(R1560,$R$5:$R$100000,0)=ROW()-4,ROW(),""))</f>
        <v/>
      </c>
      <c r="T1560" s="9">
        <f>IF(Q1560="당기",ABS(P1560)+ROW()/1000000000,"")</f>
        <v/>
      </c>
      <c r="U1560" s="9">
        <f>IF(Q1560="비교",ABS(P1560)+ROW()/1000000000,"")</f>
        <v/>
      </c>
      <c r="V1560" s="64">
        <f>IF($A1560="","",IF(COUNTIF(변동분석!$E$7:$E$506,O1560)&gt;0,"Y","N"))</f>
        <v/>
      </c>
      <c r="W1560" s="64">
        <f>IF($A1560="","",IFERROR(INDEX(계정매핑!$D$5:$D$504,MATCH($F1560&amp;"",계정매핑!$A$5:$A$504,0)),"미매핑"))</f>
        <v/>
      </c>
      <c r="X1560" s="9">
        <f>IF($A1560="","",$F1560&amp;"")</f>
        <v/>
      </c>
      <c r="Y1560" s="94">
        <f>IF($A1560="",0,IF(AE1560="직접",IF(AF1560="비귀속",$P1560,0),$P1560*(1-AG1560)*IFERROR(INDEX(계정대체기준!$F$20:$F$49,MATCH($N1560,계정대체기준!$A$20:$A$49,0)),1)))</f>
        <v/>
      </c>
      <c r="Z1560" s="94">
        <f>IF($A1560="",0,IF(AE1560="직접",IF(AF1560="신계약비",$P1560,0),$P1560*(1-AG1560)*IFERROR(INDEX(계정대체기준!$C$20:$C$49,MATCH($N1560,계정대체기준!$A$20:$A$49,0)),0)))</f>
        <v/>
      </c>
      <c r="AA1560" s="94">
        <f>IF($A1560="",0,IF(AE1560="직접",IF(OR(AF1560="유지비",AF1560="손해조사비"),$P1560,0),$P1560*(1-AG1560)*IFERROR(INDEX(계정대체기준!$D$20:$D$49,MATCH($N1560,계정대체기준!$A$20:$A$49,0)),0)))</f>
        <v/>
      </c>
      <c r="AB1560" s="94">
        <f>IF($A1560="",0,IF(AE1560="직접",IF(AF1560="수금비",$P1560,0),$P1560*(1-AG1560)*IFERROR(INDEX(계정대체기준!$E$20:$E$49,MATCH($N1560,계정대체기준!$A$20:$A$49,0)),0)))</f>
        <v/>
      </c>
      <c r="AC1560" s="9">
        <f>IF(AND($A1560&lt;&gt;"",M1560=설정!$C$20,Z1560&gt;0),Z1560+ROW()/1000000000,"")</f>
        <v/>
      </c>
      <c r="AD1560" s="94">
        <f>IF($A1560="",0,$P1560*AG1560)</f>
        <v/>
      </c>
      <c r="AE1560" s="64">
        <f>IF($A1560="","",IFERROR(INDEX(계정매핑!$E$5:$E$504,MATCH($F1560&amp;"",계정매핑!$A$5:$A$504,0))&amp;"","공통비"))</f>
        <v/>
      </c>
      <c r="AF1560" s="64">
        <f>IF($A1560="","",IF(AE1560="직접",IFERROR(INDEX(계정매핑!$F$5:$F$504,MATCH($F1560&amp;"",계정매핑!$A$5:$A$504,0))&amp;"","비귀속"),""))</f>
        <v/>
      </c>
      <c r="AG1560" s="96">
        <f>IF($A1560="",0,IF(AND(AE1560&lt;&gt;"직접",IFERROR(INDEX(계정매핑!$G$5:$G$504,MATCH($F1560&amp;"",계정매핑!$A$5:$A$504,0))&amp;"","")="유지비",COUNTIF(계정대체기준!$A$6:$A$15,$N1560)&gt;0),IFERROR(INDEX(계정대체기준!$E$6:$E$15,MATCH(VALUE($A1560&amp;""),계정대체기준!$D$6:$D$15,0)),0),0))</f>
        <v/>
      </c>
      <c r="AH1560" s="64">
        <f>IF($A1560="","",IF(AD1560=0,"",IF(OR(COUNTIF(계정대체기준!$A$77:$A$86,$N1560)&gt;0,ISNUMBER(MATCH($X1560,계정대체기준!$D$77:$D$86,0)),ISNUMBER(MATCH($F1560,계정대체기준!$D$77:$D$86,0))),"Y","N")))</f>
        <v/>
      </c>
    </row>
    <row r="1561">
      <c r="A1561" s="92" t="n">
        <v>2025</v>
      </c>
      <c r="B1561" s="92" t="n">
        <v>7</v>
      </c>
      <c r="C1561" s="92" t="inlineStr">
        <is>
          <t>5100001557</t>
        </is>
      </c>
      <c r="D1561" s="95" t="n">
        <v>45863</v>
      </c>
      <c r="E1561" s="92" t="inlineStr">
        <is>
          <t>KR</t>
        </is>
      </c>
      <c r="F1561" s="92" t="n">
        <v>62101000</v>
      </c>
      <c r="G1561" s="92" t="n">
        <v>1951</v>
      </c>
      <c r="H1561" s="93" t="n">
        <v>254000</v>
      </c>
      <c r="I1561" s="92" t="inlineStr">
        <is>
          <t>7월 국내출장 - L여행사</t>
        </is>
      </c>
      <c r="J1561" s="92" t="inlineStr">
        <is>
          <t>V10018</t>
        </is>
      </c>
      <c r="K1561" s="92" t="inlineStr">
        <is>
          <t>L여행사</t>
        </is>
      </c>
      <c r="M1561" s="9">
        <f>IF($A1561="","",VALUE($A1561&amp;"")*12+VALUE($B1561&amp;""))</f>
        <v/>
      </c>
      <c r="N1561" s="64">
        <f>IF($A1561="","",IFERROR(INDEX(부서매핑!$C$5:$C$504,MATCH($G1561&amp;"",부서매핑!$A$5:$A$504,0)),"미매핑"))</f>
        <v/>
      </c>
      <c r="O1561" s="9">
        <f>IF($A1561="","",N1561&amp;"|"&amp;$F1561)</f>
        <v/>
      </c>
      <c r="P1561" s="94">
        <f>IF($A1561="",0,$H1561*설정!$C$23)</f>
        <v/>
      </c>
      <c r="Q1561" s="64">
        <f>IF($A1561="","",IF(O1561&lt;&gt;원인분석!$C$9,"",IF(AND(M1561&gt;=원인분석!$C$10,M1561&lt;=원인분석!$C$11),"당기",IF(AND(M1561&gt;=원인분석!$C$12,M1561&lt;=원인분석!$C$13),"비교",""))))</f>
        <v/>
      </c>
      <c r="R1561" s="9">
        <f>IF(Q1561="","",$K1561&amp;"")</f>
        <v/>
      </c>
      <c r="S1561" s="9">
        <f>IF(Q1561="","",IF(MATCH(R1561,$R$5:$R$100000,0)=ROW()-4,ROW(),""))</f>
        <v/>
      </c>
      <c r="T1561" s="9">
        <f>IF(Q1561="당기",ABS(P1561)+ROW()/1000000000,"")</f>
        <v/>
      </c>
      <c r="U1561" s="9">
        <f>IF(Q1561="비교",ABS(P1561)+ROW()/1000000000,"")</f>
        <v/>
      </c>
      <c r="V1561" s="64">
        <f>IF($A1561="","",IF(COUNTIF(변동분석!$E$7:$E$506,O1561)&gt;0,"Y","N"))</f>
        <v/>
      </c>
      <c r="W1561" s="64">
        <f>IF($A1561="","",IFERROR(INDEX(계정매핑!$D$5:$D$504,MATCH($F1561&amp;"",계정매핑!$A$5:$A$504,0)),"미매핑"))</f>
        <v/>
      </c>
      <c r="X1561" s="9">
        <f>IF($A1561="","",$F1561&amp;"")</f>
        <v/>
      </c>
      <c r="Y1561" s="94">
        <f>IF($A1561="",0,IF(AE1561="직접",IF(AF1561="비귀속",$P1561,0),$P1561*(1-AG1561)*IFERROR(INDEX(계정대체기준!$F$20:$F$49,MATCH($N1561,계정대체기준!$A$20:$A$49,0)),1)))</f>
        <v/>
      </c>
      <c r="Z1561" s="94">
        <f>IF($A1561="",0,IF(AE1561="직접",IF(AF1561="신계약비",$P1561,0),$P1561*(1-AG1561)*IFERROR(INDEX(계정대체기준!$C$20:$C$49,MATCH($N1561,계정대체기준!$A$20:$A$49,0)),0)))</f>
        <v/>
      </c>
      <c r="AA1561" s="94">
        <f>IF($A1561="",0,IF(AE1561="직접",IF(OR(AF1561="유지비",AF1561="손해조사비"),$P1561,0),$P1561*(1-AG1561)*IFERROR(INDEX(계정대체기준!$D$20:$D$49,MATCH($N1561,계정대체기준!$A$20:$A$49,0)),0)))</f>
        <v/>
      </c>
      <c r="AB1561" s="94">
        <f>IF($A1561="",0,IF(AE1561="직접",IF(AF1561="수금비",$P1561,0),$P1561*(1-AG1561)*IFERROR(INDEX(계정대체기준!$E$20:$E$49,MATCH($N1561,계정대체기준!$A$20:$A$49,0)),0)))</f>
        <v/>
      </c>
      <c r="AC1561" s="9">
        <f>IF(AND($A1561&lt;&gt;"",M1561=설정!$C$20,Z1561&gt;0),Z1561+ROW()/1000000000,"")</f>
        <v/>
      </c>
      <c r="AD1561" s="94">
        <f>IF($A1561="",0,$P1561*AG1561)</f>
        <v/>
      </c>
      <c r="AE1561" s="64">
        <f>IF($A1561="","",IFERROR(INDEX(계정매핑!$E$5:$E$504,MATCH($F1561&amp;"",계정매핑!$A$5:$A$504,0))&amp;"","공통비"))</f>
        <v/>
      </c>
      <c r="AF1561" s="64">
        <f>IF($A1561="","",IF(AE1561="직접",IFERROR(INDEX(계정매핑!$F$5:$F$504,MATCH($F1561&amp;"",계정매핑!$A$5:$A$504,0))&amp;"","비귀속"),""))</f>
        <v/>
      </c>
      <c r="AG1561" s="96">
        <f>IF($A1561="",0,IF(AND(AE1561&lt;&gt;"직접",IFERROR(INDEX(계정매핑!$G$5:$G$504,MATCH($F1561&amp;"",계정매핑!$A$5:$A$504,0))&amp;"","")="유지비",COUNTIF(계정대체기준!$A$6:$A$15,$N1561)&gt;0),IFERROR(INDEX(계정대체기준!$E$6:$E$15,MATCH(VALUE($A1561&amp;""),계정대체기준!$D$6:$D$15,0)),0),0))</f>
        <v/>
      </c>
      <c r="AH1561" s="64">
        <f>IF($A1561="","",IF(AD1561=0,"",IF(OR(COUNTIF(계정대체기준!$A$77:$A$86,$N1561)&gt;0,ISNUMBER(MATCH($X1561,계정대체기준!$D$77:$D$86,0)),ISNUMBER(MATCH($F1561,계정대체기준!$D$77:$D$86,0))),"Y","N")))</f>
        <v/>
      </c>
    </row>
    <row r="1562">
      <c r="A1562" s="92" t="n">
        <v>2025</v>
      </c>
      <c r="B1562" s="92" t="n">
        <v>7</v>
      </c>
      <c r="C1562" s="92" t="inlineStr">
        <is>
          <t>5100001558</t>
        </is>
      </c>
      <c r="D1562" s="95" t="n">
        <v>45863</v>
      </c>
      <c r="E1562" s="92" t="inlineStr">
        <is>
          <t>KR</t>
        </is>
      </c>
      <c r="F1562" s="92" t="n">
        <v>62102000</v>
      </c>
      <c r="G1562" s="92" t="n">
        <v>1101</v>
      </c>
      <c r="H1562" s="93" t="n">
        <v>151000</v>
      </c>
      <c r="I1562" s="92" t="inlineStr">
        <is>
          <t>7월 해외출장 - M항공</t>
        </is>
      </c>
      <c r="J1562" s="92" t="inlineStr">
        <is>
          <t>V10001</t>
        </is>
      </c>
      <c r="K1562" s="92" t="inlineStr">
        <is>
          <t>M항공</t>
        </is>
      </c>
      <c r="M1562" s="9">
        <f>IF($A1562="","",VALUE($A1562&amp;"")*12+VALUE($B1562&amp;""))</f>
        <v/>
      </c>
      <c r="N1562" s="64">
        <f>IF($A1562="","",IFERROR(INDEX(부서매핑!$C$5:$C$504,MATCH($G1562&amp;"",부서매핑!$A$5:$A$504,0)),"미매핑"))</f>
        <v/>
      </c>
      <c r="O1562" s="9">
        <f>IF($A1562="","",N1562&amp;"|"&amp;$F1562)</f>
        <v/>
      </c>
      <c r="P1562" s="94">
        <f>IF($A1562="",0,$H1562*설정!$C$23)</f>
        <v/>
      </c>
      <c r="Q1562" s="64">
        <f>IF($A1562="","",IF(O1562&lt;&gt;원인분석!$C$9,"",IF(AND(M1562&gt;=원인분석!$C$10,M1562&lt;=원인분석!$C$11),"당기",IF(AND(M1562&gt;=원인분석!$C$12,M1562&lt;=원인분석!$C$13),"비교",""))))</f>
        <v/>
      </c>
      <c r="R1562" s="9">
        <f>IF(Q1562="","",$K1562&amp;"")</f>
        <v/>
      </c>
      <c r="S1562" s="9">
        <f>IF(Q1562="","",IF(MATCH(R1562,$R$5:$R$100000,0)=ROW()-4,ROW(),""))</f>
        <v/>
      </c>
      <c r="T1562" s="9">
        <f>IF(Q1562="당기",ABS(P1562)+ROW()/1000000000,"")</f>
        <v/>
      </c>
      <c r="U1562" s="9">
        <f>IF(Q1562="비교",ABS(P1562)+ROW()/1000000000,"")</f>
        <v/>
      </c>
      <c r="V1562" s="64">
        <f>IF($A1562="","",IF(COUNTIF(변동분석!$E$7:$E$506,O1562)&gt;0,"Y","N"))</f>
        <v/>
      </c>
      <c r="W1562" s="64">
        <f>IF($A1562="","",IFERROR(INDEX(계정매핑!$D$5:$D$504,MATCH($F1562&amp;"",계정매핑!$A$5:$A$504,0)),"미매핑"))</f>
        <v/>
      </c>
      <c r="X1562" s="9">
        <f>IF($A1562="","",$F1562&amp;"")</f>
        <v/>
      </c>
      <c r="Y1562" s="94">
        <f>IF($A1562="",0,IF(AE1562="직접",IF(AF1562="비귀속",$P1562,0),$P1562*(1-AG1562)*IFERROR(INDEX(계정대체기준!$F$20:$F$49,MATCH($N1562,계정대체기준!$A$20:$A$49,0)),1)))</f>
        <v/>
      </c>
      <c r="Z1562" s="94">
        <f>IF($A1562="",0,IF(AE1562="직접",IF(AF1562="신계약비",$P1562,0),$P1562*(1-AG1562)*IFERROR(INDEX(계정대체기준!$C$20:$C$49,MATCH($N1562,계정대체기준!$A$20:$A$49,0)),0)))</f>
        <v/>
      </c>
      <c r="AA1562" s="94">
        <f>IF($A1562="",0,IF(AE1562="직접",IF(OR(AF1562="유지비",AF1562="손해조사비"),$P1562,0),$P1562*(1-AG1562)*IFERROR(INDEX(계정대체기준!$D$20:$D$49,MATCH($N1562,계정대체기준!$A$20:$A$49,0)),0)))</f>
        <v/>
      </c>
      <c r="AB1562" s="94">
        <f>IF($A1562="",0,IF(AE1562="직접",IF(AF1562="수금비",$P1562,0),$P1562*(1-AG1562)*IFERROR(INDEX(계정대체기준!$E$20:$E$49,MATCH($N1562,계정대체기준!$A$20:$A$49,0)),0)))</f>
        <v/>
      </c>
      <c r="AC1562" s="9">
        <f>IF(AND($A1562&lt;&gt;"",M1562=설정!$C$20,Z1562&gt;0),Z1562+ROW()/1000000000,"")</f>
        <v/>
      </c>
      <c r="AD1562" s="94">
        <f>IF($A1562="",0,$P1562*AG1562)</f>
        <v/>
      </c>
      <c r="AE1562" s="64">
        <f>IF($A1562="","",IFERROR(INDEX(계정매핑!$E$5:$E$504,MATCH($F1562&amp;"",계정매핑!$A$5:$A$504,0))&amp;"","공통비"))</f>
        <v/>
      </c>
      <c r="AF1562" s="64">
        <f>IF($A1562="","",IF(AE1562="직접",IFERROR(INDEX(계정매핑!$F$5:$F$504,MATCH($F1562&amp;"",계정매핑!$A$5:$A$504,0))&amp;"","비귀속"),""))</f>
        <v/>
      </c>
      <c r="AG1562" s="96">
        <f>IF($A1562="",0,IF(AND(AE1562&lt;&gt;"직접",IFERROR(INDEX(계정매핑!$G$5:$G$504,MATCH($F1562&amp;"",계정매핑!$A$5:$A$504,0))&amp;"","")="유지비",COUNTIF(계정대체기준!$A$6:$A$15,$N1562)&gt;0),IFERROR(INDEX(계정대체기준!$E$6:$E$15,MATCH(VALUE($A1562&amp;""),계정대체기준!$D$6:$D$15,0)),0),0))</f>
        <v/>
      </c>
      <c r="AH1562" s="64">
        <f>IF($A1562="","",IF(AD1562=0,"",IF(OR(COUNTIF(계정대체기준!$A$77:$A$86,$N1562)&gt;0,ISNUMBER(MATCH($X1562,계정대체기준!$D$77:$D$86,0)),ISNUMBER(MATCH($F1562,계정대체기준!$D$77:$D$86,0))),"Y","N")))</f>
        <v/>
      </c>
    </row>
    <row r="1563">
      <c r="A1563" s="92" t="n">
        <v>2025</v>
      </c>
      <c r="B1563" s="92" t="n">
        <v>7</v>
      </c>
      <c r="C1563" s="92" t="inlineStr">
        <is>
          <t>5100001559</t>
        </is>
      </c>
      <c r="D1563" s="95" t="n">
        <v>45863</v>
      </c>
      <c r="E1563" s="92" t="inlineStr">
        <is>
          <t>KR</t>
        </is>
      </c>
      <c r="F1563" s="92" t="n">
        <v>62201000</v>
      </c>
      <c r="G1563" s="92" t="n">
        <v>1401</v>
      </c>
      <c r="H1563" s="93" t="n">
        <v>180000</v>
      </c>
      <c r="I1563" s="92" t="inlineStr">
        <is>
          <t>7월 통신요금 - P통신</t>
        </is>
      </c>
      <c r="J1563" s="92" t="inlineStr">
        <is>
          <t>V10014</t>
        </is>
      </c>
      <c r="K1563" s="92" t="inlineStr">
        <is>
          <t>P통신</t>
        </is>
      </c>
      <c r="M1563" s="9">
        <f>IF($A1563="","",VALUE($A1563&amp;"")*12+VALUE($B1563&amp;""))</f>
        <v/>
      </c>
      <c r="N1563" s="64">
        <f>IF($A1563="","",IFERROR(INDEX(부서매핑!$C$5:$C$504,MATCH($G1563&amp;"",부서매핑!$A$5:$A$504,0)),"미매핑"))</f>
        <v/>
      </c>
      <c r="O1563" s="9">
        <f>IF($A1563="","",N1563&amp;"|"&amp;$F1563)</f>
        <v/>
      </c>
      <c r="P1563" s="94">
        <f>IF($A1563="",0,$H1563*설정!$C$23)</f>
        <v/>
      </c>
      <c r="Q1563" s="64">
        <f>IF($A1563="","",IF(O1563&lt;&gt;원인분석!$C$9,"",IF(AND(M1563&gt;=원인분석!$C$10,M1563&lt;=원인분석!$C$11),"당기",IF(AND(M1563&gt;=원인분석!$C$12,M1563&lt;=원인분석!$C$13),"비교",""))))</f>
        <v/>
      </c>
      <c r="R1563" s="9">
        <f>IF(Q1563="","",$K1563&amp;"")</f>
        <v/>
      </c>
      <c r="S1563" s="9">
        <f>IF(Q1563="","",IF(MATCH(R1563,$R$5:$R$100000,0)=ROW()-4,ROW(),""))</f>
        <v/>
      </c>
      <c r="T1563" s="9">
        <f>IF(Q1563="당기",ABS(P1563)+ROW()/1000000000,"")</f>
        <v/>
      </c>
      <c r="U1563" s="9">
        <f>IF(Q1563="비교",ABS(P1563)+ROW()/1000000000,"")</f>
        <v/>
      </c>
      <c r="V1563" s="64">
        <f>IF($A1563="","",IF(COUNTIF(변동분석!$E$7:$E$506,O1563)&gt;0,"Y","N"))</f>
        <v/>
      </c>
      <c r="W1563" s="64">
        <f>IF($A1563="","",IFERROR(INDEX(계정매핑!$D$5:$D$504,MATCH($F1563&amp;"",계정매핑!$A$5:$A$504,0)),"미매핑"))</f>
        <v/>
      </c>
      <c r="X1563" s="9">
        <f>IF($A1563="","",$F1563&amp;"")</f>
        <v/>
      </c>
      <c r="Y1563" s="94">
        <f>IF($A1563="",0,IF(AE1563="직접",IF(AF1563="비귀속",$P1563,0),$P1563*(1-AG1563)*IFERROR(INDEX(계정대체기준!$F$20:$F$49,MATCH($N1563,계정대체기준!$A$20:$A$49,0)),1)))</f>
        <v/>
      </c>
      <c r="Z1563" s="94">
        <f>IF($A1563="",0,IF(AE1563="직접",IF(AF1563="신계약비",$P1563,0),$P1563*(1-AG1563)*IFERROR(INDEX(계정대체기준!$C$20:$C$49,MATCH($N1563,계정대체기준!$A$20:$A$49,0)),0)))</f>
        <v/>
      </c>
      <c r="AA1563" s="94">
        <f>IF($A1563="",0,IF(AE1563="직접",IF(OR(AF1563="유지비",AF1563="손해조사비"),$P1563,0),$P1563*(1-AG1563)*IFERROR(INDEX(계정대체기준!$D$20:$D$49,MATCH($N1563,계정대체기준!$A$20:$A$49,0)),0)))</f>
        <v/>
      </c>
      <c r="AB1563" s="94">
        <f>IF($A1563="",0,IF(AE1563="직접",IF(AF1563="수금비",$P1563,0),$P1563*(1-AG1563)*IFERROR(INDEX(계정대체기준!$E$20:$E$49,MATCH($N1563,계정대체기준!$A$20:$A$49,0)),0)))</f>
        <v/>
      </c>
      <c r="AC1563" s="9">
        <f>IF(AND($A1563&lt;&gt;"",M1563=설정!$C$20,Z1563&gt;0),Z1563+ROW()/1000000000,"")</f>
        <v/>
      </c>
      <c r="AD1563" s="94">
        <f>IF($A1563="",0,$P1563*AG1563)</f>
        <v/>
      </c>
      <c r="AE1563" s="64">
        <f>IF($A1563="","",IFERROR(INDEX(계정매핑!$E$5:$E$504,MATCH($F1563&amp;"",계정매핑!$A$5:$A$504,0))&amp;"","공통비"))</f>
        <v/>
      </c>
      <c r="AF1563" s="64">
        <f>IF($A1563="","",IF(AE1563="직접",IFERROR(INDEX(계정매핑!$F$5:$F$504,MATCH($F1563&amp;"",계정매핑!$A$5:$A$504,0))&amp;"","비귀속"),""))</f>
        <v/>
      </c>
      <c r="AG1563" s="96">
        <f>IF($A1563="",0,IF(AND(AE1563&lt;&gt;"직접",IFERROR(INDEX(계정매핑!$G$5:$G$504,MATCH($F1563&amp;"",계정매핑!$A$5:$A$504,0))&amp;"","")="유지비",COUNTIF(계정대체기준!$A$6:$A$15,$N1563)&gt;0),IFERROR(INDEX(계정대체기준!$E$6:$E$15,MATCH(VALUE($A1563&amp;""),계정대체기준!$D$6:$D$15,0)),0),0))</f>
        <v/>
      </c>
      <c r="AH1563" s="64">
        <f>IF($A1563="","",IF(AD1563=0,"",IF(OR(COUNTIF(계정대체기준!$A$77:$A$86,$N1563)&gt;0,ISNUMBER(MATCH($X1563,계정대체기준!$D$77:$D$86,0)),ISNUMBER(MATCH($F1563,계정대체기준!$D$77:$D$86,0))),"Y","N")))</f>
        <v/>
      </c>
    </row>
    <row r="1564">
      <c r="A1564" s="92" t="n">
        <v>2025</v>
      </c>
      <c r="B1564" s="92" t="n">
        <v>7</v>
      </c>
      <c r="C1564" s="92" t="inlineStr">
        <is>
          <t>5100001560</t>
        </is>
      </c>
      <c r="D1564" s="95" t="n">
        <v>45863</v>
      </c>
      <c r="E1564" s="92" t="inlineStr">
        <is>
          <t>KR</t>
        </is>
      </c>
      <c r="F1564" s="92" t="n">
        <v>62301000</v>
      </c>
      <c r="G1564" s="92" t="n">
        <v>1301</v>
      </c>
      <c r="H1564" s="93" t="n">
        <v>174000</v>
      </c>
      <c r="I1564" s="92" t="inlineStr">
        <is>
          <t>7월 소모품 구입 - R문구</t>
        </is>
      </c>
      <c r="J1564" s="92" t="inlineStr">
        <is>
          <t>V10022</t>
        </is>
      </c>
      <c r="K1564" s="92" t="inlineStr">
        <is>
          <t>R문구</t>
        </is>
      </c>
      <c r="M1564" s="9">
        <f>IF($A1564="","",VALUE($A1564&amp;"")*12+VALUE($B1564&amp;""))</f>
        <v/>
      </c>
      <c r="N1564" s="64">
        <f>IF($A1564="","",IFERROR(INDEX(부서매핑!$C$5:$C$504,MATCH($G1564&amp;"",부서매핑!$A$5:$A$504,0)),"미매핑"))</f>
        <v/>
      </c>
      <c r="O1564" s="9">
        <f>IF($A1564="","",N1564&amp;"|"&amp;$F1564)</f>
        <v/>
      </c>
      <c r="P1564" s="94">
        <f>IF($A1564="",0,$H1564*설정!$C$23)</f>
        <v/>
      </c>
      <c r="Q1564" s="64">
        <f>IF($A1564="","",IF(O1564&lt;&gt;원인분석!$C$9,"",IF(AND(M1564&gt;=원인분석!$C$10,M1564&lt;=원인분석!$C$11),"당기",IF(AND(M1564&gt;=원인분석!$C$12,M1564&lt;=원인분석!$C$13),"비교",""))))</f>
        <v/>
      </c>
      <c r="R1564" s="9">
        <f>IF(Q1564="","",$K1564&amp;"")</f>
        <v/>
      </c>
      <c r="S1564" s="9">
        <f>IF(Q1564="","",IF(MATCH(R1564,$R$5:$R$100000,0)=ROW()-4,ROW(),""))</f>
        <v/>
      </c>
      <c r="T1564" s="9">
        <f>IF(Q1564="당기",ABS(P1564)+ROW()/1000000000,"")</f>
        <v/>
      </c>
      <c r="U1564" s="9">
        <f>IF(Q1564="비교",ABS(P1564)+ROW()/1000000000,"")</f>
        <v/>
      </c>
      <c r="V1564" s="64">
        <f>IF($A1564="","",IF(COUNTIF(변동분석!$E$7:$E$506,O1564)&gt;0,"Y","N"))</f>
        <v/>
      </c>
      <c r="W1564" s="64">
        <f>IF($A1564="","",IFERROR(INDEX(계정매핑!$D$5:$D$504,MATCH($F1564&amp;"",계정매핑!$A$5:$A$504,0)),"미매핑"))</f>
        <v/>
      </c>
      <c r="X1564" s="9">
        <f>IF($A1564="","",$F1564&amp;"")</f>
        <v/>
      </c>
      <c r="Y1564" s="94">
        <f>IF($A1564="",0,IF(AE1564="직접",IF(AF1564="비귀속",$P1564,0),$P1564*(1-AG1564)*IFERROR(INDEX(계정대체기준!$F$20:$F$49,MATCH($N1564,계정대체기준!$A$20:$A$49,0)),1)))</f>
        <v/>
      </c>
      <c r="Z1564" s="94">
        <f>IF($A1564="",0,IF(AE1564="직접",IF(AF1564="신계약비",$P1564,0),$P1564*(1-AG1564)*IFERROR(INDEX(계정대체기준!$C$20:$C$49,MATCH($N1564,계정대체기준!$A$20:$A$49,0)),0)))</f>
        <v/>
      </c>
      <c r="AA1564" s="94">
        <f>IF($A1564="",0,IF(AE1564="직접",IF(OR(AF1564="유지비",AF1564="손해조사비"),$P1564,0),$P1564*(1-AG1564)*IFERROR(INDEX(계정대체기준!$D$20:$D$49,MATCH($N1564,계정대체기준!$A$20:$A$49,0)),0)))</f>
        <v/>
      </c>
      <c r="AB1564" s="94">
        <f>IF($A1564="",0,IF(AE1564="직접",IF(AF1564="수금비",$P1564,0),$P1564*(1-AG1564)*IFERROR(INDEX(계정대체기준!$E$20:$E$49,MATCH($N1564,계정대체기준!$A$20:$A$49,0)),0)))</f>
        <v/>
      </c>
      <c r="AC1564" s="9">
        <f>IF(AND($A1564&lt;&gt;"",M1564=설정!$C$20,Z1564&gt;0),Z1564+ROW()/1000000000,"")</f>
        <v/>
      </c>
      <c r="AD1564" s="94">
        <f>IF($A1564="",0,$P1564*AG1564)</f>
        <v/>
      </c>
      <c r="AE1564" s="64">
        <f>IF($A1564="","",IFERROR(INDEX(계정매핑!$E$5:$E$504,MATCH($F1564&amp;"",계정매핑!$A$5:$A$504,0))&amp;"","공통비"))</f>
        <v/>
      </c>
      <c r="AF1564" s="64">
        <f>IF($A1564="","",IF(AE1564="직접",IFERROR(INDEX(계정매핑!$F$5:$F$504,MATCH($F1564&amp;"",계정매핑!$A$5:$A$504,0))&amp;"","비귀속"),""))</f>
        <v/>
      </c>
      <c r="AG1564" s="96">
        <f>IF($A1564="",0,IF(AND(AE1564&lt;&gt;"직접",IFERROR(INDEX(계정매핑!$G$5:$G$504,MATCH($F1564&amp;"",계정매핑!$A$5:$A$504,0))&amp;"","")="유지비",COUNTIF(계정대체기준!$A$6:$A$15,$N1564)&gt;0),IFERROR(INDEX(계정대체기준!$E$6:$E$15,MATCH(VALUE($A1564&amp;""),계정대체기준!$D$6:$D$15,0)),0),0))</f>
        <v/>
      </c>
      <c r="AH1564" s="64">
        <f>IF($A1564="","",IF(AD1564=0,"",IF(OR(COUNTIF(계정대체기준!$A$77:$A$86,$N1564)&gt;0,ISNUMBER(MATCH($X1564,계정대체기준!$D$77:$D$86,0)),ISNUMBER(MATCH($F1564,계정대체기준!$D$77:$D$86,0))),"Y","N")))</f>
        <v/>
      </c>
    </row>
    <row r="1565">
      <c r="A1565" s="92" t="n">
        <v>2025</v>
      </c>
      <c r="B1565" s="92" t="n">
        <v>7</v>
      </c>
      <c r="C1565" s="92" t="inlineStr">
        <is>
          <t>5100001561</t>
        </is>
      </c>
      <c r="D1565" s="95" t="n">
        <v>45863</v>
      </c>
      <c r="E1565" s="92" t="inlineStr">
        <is>
          <t>KR</t>
        </is>
      </c>
      <c r="F1565" s="92" t="n">
        <v>62301000</v>
      </c>
      <c r="G1565" s="92" t="n">
        <v>1401</v>
      </c>
      <c r="H1565" s="93" t="n">
        <v>119000</v>
      </c>
      <c r="I1565" s="92" t="inlineStr">
        <is>
          <t>7월 소모품 구입 - Q오피스</t>
        </is>
      </c>
      <c r="J1565" s="92" t="inlineStr">
        <is>
          <t>V10003</t>
        </is>
      </c>
      <c r="K1565" s="92" t="inlineStr">
        <is>
          <t>Q오피스</t>
        </is>
      </c>
      <c r="M1565" s="9">
        <f>IF($A1565="","",VALUE($A1565&amp;"")*12+VALUE($B1565&amp;""))</f>
        <v/>
      </c>
      <c r="N1565" s="64">
        <f>IF($A1565="","",IFERROR(INDEX(부서매핑!$C$5:$C$504,MATCH($G1565&amp;"",부서매핑!$A$5:$A$504,0)),"미매핑"))</f>
        <v/>
      </c>
      <c r="O1565" s="9">
        <f>IF($A1565="","",N1565&amp;"|"&amp;$F1565)</f>
        <v/>
      </c>
      <c r="P1565" s="94">
        <f>IF($A1565="",0,$H1565*설정!$C$23)</f>
        <v/>
      </c>
      <c r="Q1565" s="64">
        <f>IF($A1565="","",IF(O1565&lt;&gt;원인분석!$C$9,"",IF(AND(M1565&gt;=원인분석!$C$10,M1565&lt;=원인분석!$C$11),"당기",IF(AND(M1565&gt;=원인분석!$C$12,M1565&lt;=원인분석!$C$13),"비교",""))))</f>
        <v/>
      </c>
      <c r="R1565" s="9">
        <f>IF(Q1565="","",$K1565&amp;"")</f>
        <v/>
      </c>
      <c r="S1565" s="9">
        <f>IF(Q1565="","",IF(MATCH(R1565,$R$5:$R$100000,0)=ROW()-4,ROW(),""))</f>
        <v/>
      </c>
      <c r="T1565" s="9">
        <f>IF(Q1565="당기",ABS(P1565)+ROW()/1000000000,"")</f>
        <v/>
      </c>
      <c r="U1565" s="9">
        <f>IF(Q1565="비교",ABS(P1565)+ROW()/1000000000,"")</f>
        <v/>
      </c>
      <c r="V1565" s="64">
        <f>IF($A1565="","",IF(COUNTIF(변동분석!$E$7:$E$506,O1565)&gt;0,"Y","N"))</f>
        <v/>
      </c>
      <c r="W1565" s="64">
        <f>IF($A1565="","",IFERROR(INDEX(계정매핑!$D$5:$D$504,MATCH($F1565&amp;"",계정매핑!$A$5:$A$504,0)),"미매핑"))</f>
        <v/>
      </c>
      <c r="X1565" s="9">
        <f>IF($A1565="","",$F1565&amp;"")</f>
        <v/>
      </c>
      <c r="Y1565" s="94">
        <f>IF($A1565="",0,IF(AE1565="직접",IF(AF1565="비귀속",$P1565,0),$P1565*(1-AG1565)*IFERROR(INDEX(계정대체기준!$F$20:$F$49,MATCH($N1565,계정대체기준!$A$20:$A$49,0)),1)))</f>
        <v/>
      </c>
      <c r="Z1565" s="94">
        <f>IF($A1565="",0,IF(AE1565="직접",IF(AF1565="신계약비",$P1565,0),$P1565*(1-AG1565)*IFERROR(INDEX(계정대체기준!$C$20:$C$49,MATCH($N1565,계정대체기준!$A$20:$A$49,0)),0)))</f>
        <v/>
      </c>
      <c r="AA1565" s="94">
        <f>IF($A1565="",0,IF(AE1565="직접",IF(OR(AF1565="유지비",AF1565="손해조사비"),$P1565,0),$P1565*(1-AG1565)*IFERROR(INDEX(계정대체기준!$D$20:$D$49,MATCH($N1565,계정대체기준!$A$20:$A$49,0)),0)))</f>
        <v/>
      </c>
      <c r="AB1565" s="94">
        <f>IF($A1565="",0,IF(AE1565="직접",IF(AF1565="수금비",$P1565,0),$P1565*(1-AG1565)*IFERROR(INDEX(계정대체기준!$E$20:$E$49,MATCH($N1565,계정대체기준!$A$20:$A$49,0)),0)))</f>
        <v/>
      </c>
      <c r="AC1565" s="9">
        <f>IF(AND($A1565&lt;&gt;"",M1565=설정!$C$20,Z1565&gt;0),Z1565+ROW()/1000000000,"")</f>
        <v/>
      </c>
      <c r="AD1565" s="94">
        <f>IF($A1565="",0,$P1565*AG1565)</f>
        <v/>
      </c>
      <c r="AE1565" s="64">
        <f>IF($A1565="","",IFERROR(INDEX(계정매핑!$E$5:$E$504,MATCH($F1565&amp;"",계정매핑!$A$5:$A$504,0))&amp;"","공통비"))</f>
        <v/>
      </c>
      <c r="AF1565" s="64">
        <f>IF($A1565="","",IF(AE1565="직접",IFERROR(INDEX(계정매핑!$F$5:$F$504,MATCH($F1565&amp;"",계정매핑!$A$5:$A$504,0))&amp;"","비귀속"),""))</f>
        <v/>
      </c>
      <c r="AG1565" s="96">
        <f>IF($A1565="",0,IF(AND(AE1565&lt;&gt;"직접",IFERROR(INDEX(계정매핑!$G$5:$G$504,MATCH($F1565&amp;"",계정매핑!$A$5:$A$504,0))&amp;"","")="유지비",COUNTIF(계정대체기준!$A$6:$A$15,$N1565)&gt;0),IFERROR(INDEX(계정대체기준!$E$6:$E$15,MATCH(VALUE($A1565&amp;""),계정대체기준!$D$6:$D$15,0)),0),0))</f>
        <v/>
      </c>
      <c r="AH1565" s="64">
        <f>IF($A1565="","",IF(AD1565=0,"",IF(OR(COUNTIF(계정대체기준!$A$77:$A$86,$N1565)&gt;0,ISNUMBER(MATCH($X1565,계정대체기준!$D$77:$D$86,0)),ISNUMBER(MATCH($F1565,계정대체기준!$D$77:$D$86,0))),"Y","N")))</f>
        <v/>
      </c>
    </row>
    <row r="1566">
      <c r="A1566" s="92" t="n">
        <v>2025</v>
      </c>
      <c r="B1566" s="92" t="n">
        <v>7</v>
      </c>
      <c r="C1566" s="92" t="inlineStr">
        <is>
          <t>5100001562</t>
        </is>
      </c>
      <c r="D1566" s="95" t="n">
        <v>45863</v>
      </c>
      <c r="E1566" s="92" t="inlineStr">
        <is>
          <t>KR</t>
        </is>
      </c>
      <c r="F1566" s="92" t="n">
        <v>62401000</v>
      </c>
      <c r="G1566" s="92" t="n">
        <v>1501</v>
      </c>
      <c r="H1566" s="93" t="n">
        <v>838000</v>
      </c>
      <c r="I1566" s="92" t="inlineStr">
        <is>
          <t>7월 인쇄물 제작 - S출판</t>
        </is>
      </c>
      <c r="J1566" s="92" t="inlineStr">
        <is>
          <t>V10015</t>
        </is>
      </c>
      <c r="K1566" s="92" t="inlineStr">
        <is>
          <t>S출판</t>
        </is>
      </c>
      <c r="M1566" s="9">
        <f>IF($A1566="","",VALUE($A1566&amp;"")*12+VALUE($B1566&amp;""))</f>
        <v/>
      </c>
      <c r="N1566" s="64">
        <f>IF($A1566="","",IFERROR(INDEX(부서매핑!$C$5:$C$504,MATCH($G1566&amp;"",부서매핑!$A$5:$A$504,0)),"미매핑"))</f>
        <v/>
      </c>
      <c r="O1566" s="9">
        <f>IF($A1566="","",N1566&amp;"|"&amp;$F1566)</f>
        <v/>
      </c>
      <c r="P1566" s="94">
        <f>IF($A1566="",0,$H1566*설정!$C$23)</f>
        <v/>
      </c>
      <c r="Q1566" s="64">
        <f>IF($A1566="","",IF(O1566&lt;&gt;원인분석!$C$9,"",IF(AND(M1566&gt;=원인분석!$C$10,M1566&lt;=원인분석!$C$11),"당기",IF(AND(M1566&gt;=원인분석!$C$12,M1566&lt;=원인분석!$C$13),"비교",""))))</f>
        <v/>
      </c>
      <c r="R1566" s="9">
        <f>IF(Q1566="","",$K1566&amp;"")</f>
        <v/>
      </c>
      <c r="S1566" s="9">
        <f>IF(Q1566="","",IF(MATCH(R1566,$R$5:$R$100000,0)=ROW()-4,ROW(),""))</f>
        <v/>
      </c>
      <c r="T1566" s="9">
        <f>IF(Q1566="당기",ABS(P1566)+ROW()/1000000000,"")</f>
        <v/>
      </c>
      <c r="U1566" s="9">
        <f>IF(Q1566="비교",ABS(P1566)+ROW()/1000000000,"")</f>
        <v/>
      </c>
      <c r="V1566" s="64">
        <f>IF($A1566="","",IF(COUNTIF(변동분석!$E$7:$E$506,O1566)&gt;0,"Y","N"))</f>
        <v/>
      </c>
      <c r="W1566" s="64">
        <f>IF($A1566="","",IFERROR(INDEX(계정매핑!$D$5:$D$504,MATCH($F1566&amp;"",계정매핑!$A$5:$A$504,0)),"미매핑"))</f>
        <v/>
      </c>
      <c r="X1566" s="9">
        <f>IF($A1566="","",$F1566&amp;"")</f>
        <v/>
      </c>
      <c r="Y1566" s="94">
        <f>IF($A1566="",0,IF(AE1566="직접",IF(AF1566="비귀속",$P1566,0),$P1566*(1-AG1566)*IFERROR(INDEX(계정대체기준!$F$20:$F$49,MATCH($N1566,계정대체기준!$A$20:$A$49,0)),1)))</f>
        <v/>
      </c>
      <c r="Z1566" s="94">
        <f>IF($A1566="",0,IF(AE1566="직접",IF(AF1566="신계약비",$P1566,0),$P1566*(1-AG1566)*IFERROR(INDEX(계정대체기준!$C$20:$C$49,MATCH($N1566,계정대체기준!$A$20:$A$49,0)),0)))</f>
        <v/>
      </c>
      <c r="AA1566" s="94">
        <f>IF($A1566="",0,IF(AE1566="직접",IF(OR(AF1566="유지비",AF1566="손해조사비"),$P1566,0),$P1566*(1-AG1566)*IFERROR(INDEX(계정대체기준!$D$20:$D$49,MATCH($N1566,계정대체기준!$A$20:$A$49,0)),0)))</f>
        <v/>
      </c>
      <c r="AB1566" s="94">
        <f>IF($A1566="",0,IF(AE1566="직접",IF(AF1566="수금비",$P1566,0),$P1566*(1-AG1566)*IFERROR(INDEX(계정대체기준!$E$20:$E$49,MATCH($N1566,계정대체기준!$A$20:$A$49,0)),0)))</f>
        <v/>
      </c>
      <c r="AC1566" s="9">
        <f>IF(AND($A1566&lt;&gt;"",M1566=설정!$C$20,Z1566&gt;0),Z1566+ROW()/1000000000,"")</f>
        <v/>
      </c>
      <c r="AD1566" s="94">
        <f>IF($A1566="",0,$P1566*AG1566)</f>
        <v/>
      </c>
      <c r="AE1566" s="64">
        <f>IF($A1566="","",IFERROR(INDEX(계정매핑!$E$5:$E$504,MATCH($F1566&amp;"",계정매핑!$A$5:$A$504,0))&amp;"","공통비"))</f>
        <v/>
      </c>
      <c r="AF1566" s="64">
        <f>IF($A1566="","",IF(AE1566="직접",IFERROR(INDEX(계정매핑!$F$5:$F$504,MATCH($F1566&amp;"",계정매핑!$A$5:$A$504,0))&amp;"","비귀속"),""))</f>
        <v/>
      </c>
      <c r="AG1566" s="96">
        <f>IF($A1566="",0,IF(AND(AE1566&lt;&gt;"직접",IFERROR(INDEX(계정매핑!$G$5:$G$504,MATCH($F1566&amp;"",계정매핑!$A$5:$A$504,0))&amp;"","")="유지비",COUNTIF(계정대체기준!$A$6:$A$15,$N1566)&gt;0),IFERROR(INDEX(계정대체기준!$E$6:$E$15,MATCH(VALUE($A1566&amp;""),계정대체기준!$D$6:$D$15,0)),0),0))</f>
        <v/>
      </c>
      <c r="AH1566" s="64">
        <f>IF($A1566="","",IF(AD1566=0,"",IF(OR(COUNTIF(계정대체기준!$A$77:$A$86,$N1566)&gt;0,ISNUMBER(MATCH($X1566,계정대체기준!$D$77:$D$86,0)),ISNUMBER(MATCH($F1566,계정대체기준!$D$77:$D$86,0))),"Y","N")))</f>
        <v/>
      </c>
    </row>
    <row r="1567">
      <c r="A1567" s="92" t="n">
        <v>2025</v>
      </c>
      <c r="B1567" s="92" t="n">
        <v>7</v>
      </c>
      <c r="C1567" s="92" t="inlineStr">
        <is>
          <t>5100001563</t>
        </is>
      </c>
      <c r="D1567" s="95" t="n">
        <v>45863</v>
      </c>
      <c r="E1567" s="92" t="inlineStr">
        <is>
          <t>KR</t>
        </is>
      </c>
      <c r="F1567" s="92" t="n">
        <v>62401000</v>
      </c>
      <c r="G1567" s="92" t="n">
        <v>1502</v>
      </c>
      <c r="H1567" s="93" t="n">
        <v>1675000</v>
      </c>
      <c r="I1567" s="92" t="inlineStr">
        <is>
          <t>7월 인쇄물 제작 - G인쇄</t>
        </is>
      </c>
      <c r="J1567" s="92" t="inlineStr">
        <is>
          <t>V10004</t>
        </is>
      </c>
      <c r="K1567" s="92" t="inlineStr">
        <is>
          <t>G인쇄</t>
        </is>
      </c>
      <c r="M1567" s="9">
        <f>IF($A1567="","",VALUE($A1567&amp;"")*12+VALUE($B1567&amp;""))</f>
        <v/>
      </c>
      <c r="N1567" s="64">
        <f>IF($A1567="","",IFERROR(INDEX(부서매핑!$C$5:$C$504,MATCH($G1567&amp;"",부서매핑!$A$5:$A$504,0)),"미매핑"))</f>
        <v/>
      </c>
      <c r="O1567" s="9">
        <f>IF($A1567="","",N1567&amp;"|"&amp;$F1567)</f>
        <v/>
      </c>
      <c r="P1567" s="94">
        <f>IF($A1567="",0,$H1567*설정!$C$23)</f>
        <v/>
      </c>
      <c r="Q1567" s="64">
        <f>IF($A1567="","",IF(O1567&lt;&gt;원인분석!$C$9,"",IF(AND(M1567&gt;=원인분석!$C$10,M1567&lt;=원인분석!$C$11),"당기",IF(AND(M1567&gt;=원인분석!$C$12,M1567&lt;=원인분석!$C$13),"비교",""))))</f>
        <v/>
      </c>
      <c r="R1567" s="9">
        <f>IF(Q1567="","",$K1567&amp;"")</f>
        <v/>
      </c>
      <c r="S1567" s="9">
        <f>IF(Q1567="","",IF(MATCH(R1567,$R$5:$R$100000,0)=ROW()-4,ROW(),""))</f>
        <v/>
      </c>
      <c r="T1567" s="9">
        <f>IF(Q1567="당기",ABS(P1567)+ROW()/1000000000,"")</f>
        <v/>
      </c>
      <c r="U1567" s="9">
        <f>IF(Q1567="비교",ABS(P1567)+ROW()/1000000000,"")</f>
        <v/>
      </c>
      <c r="V1567" s="64">
        <f>IF($A1567="","",IF(COUNTIF(변동분석!$E$7:$E$506,O1567)&gt;0,"Y","N"))</f>
        <v/>
      </c>
      <c r="W1567" s="64">
        <f>IF($A1567="","",IFERROR(INDEX(계정매핑!$D$5:$D$504,MATCH($F1567&amp;"",계정매핑!$A$5:$A$504,0)),"미매핑"))</f>
        <v/>
      </c>
      <c r="X1567" s="9">
        <f>IF($A1567="","",$F1567&amp;"")</f>
        <v/>
      </c>
      <c r="Y1567" s="94">
        <f>IF($A1567="",0,IF(AE1567="직접",IF(AF1567="비귀속",$P1567,0),$P1567*(1-AG1567)*IFERROR(INDEX(계정대체기준!$F$20:$F$49,MATCH($N1567,계정대체기준!$A$20:$A$49,0)),1)))</f>
        <v/>
      </c>
      <c r="Z1567" s="94">
        <f>IF($A1567="",0,IF(AE1567="직접",IF(AF1567="신계약비",$P1567,0),$P1567*(1-AG1567)*IFERROR(INDEX(계정대체기준!$C$20:$C$49,MATCH($N1567,계정대체기준!$A$20:$A$49,0)),0)))</f>
        <v/>
      </c>
      <c r="AA1567" s="94">
        <f>IF($A1567="",0,IF(AE1567="직접",IF(OR(AF1567="유지비",AF1567="손해조사비"),$P1567,0),$P1567*(1-AG1567)*IFERROR(INDEX(계정대체기준!$D$20:$D$49,MATCH($N1567,계정대체기준!$A$20:$A$49,0)),0)))</f>
        <v/>
      </c>
      <c r="AB1567" s="94">
        <f>IF($A1567="",0,IF(AE1567="직접",IF(AF1567="수금비",$P1567,0),$P1567*(1-AG1567)*IFERROR(INDEX(계정대체기준!$E$20:$E$49,MATCH($N1567,계정대체기준!$A$20:$A$49,0)),0)))</f>
        <v/>
      </c>
      <c r="AC1567" s="9">
        <f>IF(AND($A1567&lt;&gt;"",M1567=설정!$C$20,Z1567&gt;0),Z1567+ROW()/1000000000,"")</f>
        <v/>
      </c>
      <c r="AD1567" s="94">
        <f>IF($A1567="",0,$P1567*AG1567)</f>
        <v/>
      </c>
      <c r="AE1567" s="64">
        <f>IF($A1567="","",IFERROR(INDEX(계정매핑!$E$5:$E$504,MATCH($F1567&amp;"",계정매핑!$A$5:$A$504,0))&amp;"","공통비"))</f>
        <v/>
      </c>
      <c r="AF1567" s="64">
        <f>IF($A1567="","",IF(AE1567="직접",IFERROR(INDEX(계정매핑!$F$5:$F$504,MATCH($F1567&amp;"",계정매핑!$A$5:$A$504,0))&amp;"","비귀속"),""))</f>
        <v/>
      </c>
      <c r="AG1567" s="96">
        <f>IF($A1567="",0,IF(AND(AE1567&lt;&gt;"직접",IFERROR(INDEX(계정매핑!$G$5:$G$504,MATCH($F1567&amp;"",계정매핑!$A$5:$A$504,0))&amp;"","")="유지비",COUNTIF(계정대체기준!$A$6:$A$15,$N1567)&gt;0),IFERROR(INDEX(계정대체기준!$E$6:$E$15,MATCH(VALUE($A1567&amp;""),계정대체기준!$D$6:$D$15,0)),0),0))</f>
        <v/>
      </c>
      <c r="AH1567" s="64">
        <f>IF($A1567="","",IF(AD1567=0,"",IF(OR(COUNTIF(계정대체기준!$A$77:$A$86,$N1567)&gt;0,ISNUMBER(MATCH($X1567,계정대체기준!$D$77:$D$86,0)),ISNUMBER(MATCH($F1567,계정대체기준!$D$77:$D$86,0))),"Y","N")))</f>
        <v/>
      </c>
    </row>
    <row r="1568">
      <c r="A1568" s="92" t="n">
        <v>2025</v>
      </c>
      <c r="B1568" s="92" t="n">
        <v>7</v>
      </c>
      <c r="C1568" s="92" t="inlineStr">
        <is>
          <t>5100001564</t>
        </is>
      </c>
      <c r="D1568" s="95" t="n">
        <v>45863</v>
      </c>
      <c r="E1568" s="92" t="inlineStr">
        <is>
          <t>KR</t>
        </is>
      </c>
      <c r="F1568" s="92" t="n">
        <v>62802000</v>
      </c>
      <c r="G1568" s="92" t="n">
        <v>1301</v>
      </c>
      <c r="H1568" s="93" t="n">
        <v>5655000</v>
      </c>
      <c r="I1568" s="92" t="inlineStr">
        <is>
          <t>7월 위탁교육 - I교육원</t>
        </is>
      </c>
      <c r="J1568" s="92" t="inlineStr">
        <is>
          <t>V10019</t>
        </is>
      </c>
      <c r="K1568" s="92" t="inlineStr">
        <is>
          <t>I교육원</t>
        </is>
      </c>
      <c r="M1568" s="9">
        <f>IF($A1568="","",VALUE($A1568&amp;"")*12+VALUE($B1568&amp;""))</f>
        <v/>
      </c>
      <c r="N1568" s="64">
        <f>IF($A1568="","",IFERROR(INDEX(부서매핑!$C$5:$C$504,MATCH($G1568&amp;"",부서매핑!$A$5:$A$504,0)),"미매핑"))</f>
        <v/>
      </c>
      <c r="O1568" s="9">
        <f>IF($A1568="","",N1568&amp;"|"&amp;$F1568)</f>
        <v/>
      </c>
      <c r="P1568" s="94">
        <f>IF($A1568="",0,$H1568*설정!$C$23)</f>
        <v/>
      </c>
      <c r="Q1568" s="64">
        <f>IF($A1568="","",IF(O1568&lt;&gt;원인분석!$C$9,"",IF(AND(M1568&gt;=원인분석!$C$10,M1568&lt;=원인분석!$C$11),"당기",IF(AND(M1568&gt;=원인분석!$C$12,M1568&lt;=원인분석!$C$13),"비교",""))))</f>
        <v/>
      </c>
      <c r="R1568" s="9">
        <f>IF(Q1568="","",$K1568&amp;"")</f>
        <v/>
      </c>
      <c r="S1568" s="9">
        <f>IF(Q1568="","",IF(MATCH(R1568,$R$5:$R$100000,0)=ROW()-4,ROW(),""))</f>
        <v/>
      </c>
      <c r="T1568" s="9">
        <f>IF(Q1568="당기",ABS(P1568)+ROW()/1000000000,"")</f>
        <v/>
      </c>
      <c r="U1568" s="9">
        <f>IF(Q1568="비교",ABS(P1568)+ROW()/1000000000,"")</f>
        <v/>
      </c>
      <c r="V1568" s="64">
        <f>IF($A1568="","",IF(COUNTIF(변동분석!$E$7:$E$506,O1568)&gt;0,"Y","N"))</f>
        <v/>
      </c>
      <c r="W1568" s="64">
        <f>IF($A1568="","",IFERROR(INDEX(계정매핑!$D$5:$D$504,MATCH($F1568&amp;"",계정매핑!$A$5:$A$504,0)),"미매핑"))</f>
        <v/>
      </c>
      <c r="X1568" s="9">
        <f>IF($A1568="","",$F1568&amp;"")</f>
        <v/>
      </c>
      <c r="Y1568" s="94">
        <f>IF($A1568="",0,IF(AE1568="직접",IF(AF1568="비귀속",$P1568,0),$P1568*(1-AG1568)*IFERROR(INDEX(계정대체기준!$F$20:$F$49,MATCH($N1568,계정대체기준!$A$20:$A$49,0)),1)))</f>
        <v/>
      </c>
      <c r="Z1568" s="94">
        <f>IF($A1568="",0,IF(AE1568="직접",IF(AF1568="신계약비",$P1568,0),$P1568*(1-AG1568)*IFERROR(INDEX(계정대체기준!$C$20:$C$49,MATCH($N1568,계정대체기준!$A$20:$A$49,0)),0)))</f>
        <v/>
      </c>
      <c r="AA1568" s="94">
        <f>IF($A1568="",0,IF(AE1568="직접",IF(OR(AF1568="유지비",AF1568="손해조사비"),$P1568,0),$P1568*(1-AG1568)*IFERROR(INDEX(계정대체기준!$D$20:$D$49,MATCH($N1568,계정대체기준!$A$20:$A$49,0)),0)))</f>
        <v/>
      </c>
      <c r="AB1568" s="94">
        <f>IF($A1568="",0,IF(AE1568="직접",IF(AF1568="수금비",$P1568,0),$P1568*(1-AG1568)*IFERROR(INDEX(계정대체기준!$E$20:$E$49,MATCH($N1568,계정대체기준!$A$20:$A$49,0)),0)))</f>
        <v/>
      </c>
      <c r="AC1568" s="9">
        <f>IF(AND($A1568&lt;&gt;"",M1568=설정!$C$20,Z1568&gt;0),Z1568+ROW()/1000000000,"")</f>
        <v/>
      </c>
      <c r="AD1568" s="94">
        <f>IF($A1568="",0,$P1568*AG1568)</f>
        <v/>
      </c>
      <c r="AE1568" s="64">
        <f>IF($A1568="","",IFERROR(INDEX(계정매핑!$E$5:$E$504,MATCH($F1568&amp;"",계정매핑!$A$5:$A$504,0))&amp;"","공통비"))</f>
        <v/>
      </c>
      <c r="AF1568" s="64">
        <f>IF($A1568="","",IF(AE1568="직접",IFERROR(INDEX(계정매핑!$F$5:$F$504,MATCH($F1568&amp;"",계정매핑!$A$5:$A$504,0))&amp;"","비귀속"),""))</f>
        <v/>
      </c>
      <c r="AG1568" s="96">
        <f>IF($A1568="",0,IF(AND(AE1568&lt;&gt;"직접",IFERROR(INDEX(계정매핑!$G$5:$G$504,MATCH($F1568&amp;"",계정매핑!$A$5:$A$504,0))&amp;"","")="유지비",COUNTIF(계정대체기준!$A$6:$A$15,$N1568)&gt;0),IFERROR(INDEX(계정대체기준!$E$6:$E$15,MATCH(VALUE($A1568&amp;""),계정대체기준!$D$6:$D$15,0)),0),0))</f>
        <v/>
      </c>
      <c r="AH1568" s="64">
        <f>IF($A1568="","",IF(AD1568=0,"",IF(OR(COUNTIF(계정대체기준!$A$77:$A$86,$N1568)&gt;0,ISNUMBER(MATCH($X1568,계정대체기준!$D$77:$D$86,0)),ISNUMBER(MATCH($F1568,계정대체기준!$D$77:$D$86,0))),"Y","N")))</f>
        <v/>
      </c>
    </row>
    <row r="1569">
      <c r="A1569" s="92" t="n">
        <v>2025</v>
      </c>
      <c r="B1569" s="92" t="n">
        <v>7</v>
      </c>
      <c r="C1569" s="92" t="inlineStr">
        <is>
          <t>5100001565</t>
        </is>
      </c>
      <c r="D1569" s="95" t="n">
        <v>45863</v>
      </c>
      <c r="E1569" s="92" t="inlineStr">
        <is>
          <t>KR</t>
        </is>
      </c>
      <c r="F1569" s="92" t="n">
        <v>62802000</v>
      </c>
      <c r="G1569" s="92" t="n">
        <v>1301</v>
      </c>
      <c r="H1569" s="93" t="n">
        <v>4151000</v>
      </c>
      <c r="I1569" s="92" t="inlineStr">
        <is>
          <t>7월 위탁교육 - I교육원</t>
        </is>
      </c>
      <c r="J1569" s="92" t="inlineStr">
        <is>
          <t>V10019</t>
        </is>
      </c>
      <c r="K1569" s="92" t="inlineStr">
        <is>
          <t>I교육원</t>
        </is>
      </c>
      <c r="M1569" s="9">
        <f>IF($A1569="","",VALUE($A1569&amp;"")*12+VALUE($B1569&amp;""))</f>
        <v/>
      </c>
      <c r="N1569" s="64">
        <f>IF($A1569="","",IFERROR(INDEX(부서매핑!$C$5:$C$504,MATCH($G1569&amp;"",부서매핑!$A$5:$A$504,0)),"미매핑"))</f>
        <v/>
      </c>
      <c r="O1569" s="9">
        <f>IF($A1569="","",N1569&amp;"|"&amp;$F1569)</f>
        <v/>
      </c>
      <c r="P1569" s="94">
        <f>IF($A1569="",0,$H1569*설정!$C$23)</f>
        <v/>
      </c>
      <c r="Q1569" s="64">
        <f>IF($A1569="","",IF(O1569&lt;&gt;원인분석!$C$9,"",IF(AND(M1569&gt;=원인분석!$C$10,M1569&lt;=원인분석!$C$11),"당기",IF(AND(M1569&gt;=원인분석!$C$12,M1569&lt;=원인분석!$C$13),"비교",""))))</f>
        <v/>
      </c>
      <c r="R1569" s="9">
        <f>IF(Q1569="","",$K1569&amp;"")</f>
        <v/>
      </c>
      <c r="S1569" s="9">
        <f>IF(Q1569="","",IF(MATCH(R1569,$R$5:$R$100000,0)=ROW()-4,ROW(),""))</f>
        <v/>
      </c>
      <c r="T1569" s="9">
        <f>IF(Q1569="당기",ABS(P1569)+ROW()/1000000000,"")</f>
        <v/>
      </c>
      <c r="U1569" s="9">
        <f>IF(Q1569="비교",ABS(P1569)+ROW()/1000000000,"")</f>
        <v/>
      </c>
      <c r="V1569" s="64">
        <f>IF($A1569="","",IF(COUNTIF(변동분석!$E$7:$E$506,O1569)&gt;0,"Y","N"))</f>
        <v/>
      </c>
      <c r="W1569" s="64">
        <f>IF($A1569="","",IFERROR(INDEX(계정매핑!$D$5:$D$504,MATCH($F1569&amp;"",계정매핑!$A$5:$A$504,0)),"미매핑"))</f>
        <v/>
      </c>
      <c r="X1569" s="9">
        <f>IF($A1569="","",$F1569&amp;"")</f>
        <v/>
      </c>
      <c r="Y1569" s="94">
        <f>IF($A1569="",0,IF(AE1569="직접",IF(AF1569="비귀속",$P1569,0),$P1569*(1-AG1569)*IFERROR(INDEX(계정대체기준!$F$20:$F$49,MATCH($N1569,계정대체기준!$A$20:$A$49,0)),1)))</f>
        <v/>
      </c>
      <c r="Z1569" s="94">
        <f>IF($A1569="",0,IF(AE1569="직접",IF(AF1569="신계약비",$P1569,0),$P1569*(1-AG1569)*IFERROR(INDEX(계정대체기준!$C$20:$C$49,MATCH($N1569,계정대체기준!$A$20:$A$49,0)),0)))</f>
        <v/>
      </c>
      <c r="AA1569" s="94">
        <f>IF($A1569="",0,IF(AE1569="직접",IF(OR(AF1569="유지비",AF1569="손해조사비"),$P1569,0),$P1569*(1-AG1569)*IFERROR(INDEX(계정대체기준!$D$20:$D$49,MATCH($N1569,계정대체기준!$A$20:$A$49,0)),0)))</f>
        <v/>
      </c>
      <c r="AB1569" s="94">
        <f>IF($A1569="",0,IF(AE1569="직접",IF(AF1569="수금비",$P1569,0),$P1569*(1-AG1569)*IFERROR(INDEX(계정대체기준!$E$20:$E$49,MATCH($N1569,계정대체기준!$A$20:$A$49,0)),0)))</f>
        <v/>
      </c>
      <c r="AC1569" s="9">
        <f>IF(AND($A1569&lt;&gt;"",M1569=설정!$C$20,Z1569&gt;0),Z1569+ROW()/1000000000,"")</f>
        <v/>
      </c>
      <c r="AD1569" s="94">
        <f>IF($A1569="",0,$P1569*AG1569)</f>
        <v/>
      </c>
      <c r="AE1569" s="64">
        <f>IF($A1569="","",IFERROR(INDEX(계정매핑!$E$5:$E$504,MATCH($F1569&amp;"",계정매핑!$A$5:$A$504,0))&amp;"","공통비"))</f>
        <v/>
      </c>
      <c r="AF1569" s="64">
        <f>IF($A1569="","",IF(AE1569="직접",IFERROR(INDEX(계정매핑!$F$5:$F$504,MATCH($F1569&amp;"",계정매핑!$A$5:$A$504,0))&amp;"","비귀속"),""))</f>
        <v/>
      </c>
      <c r="AG1569" s="96">
        <f>IF($A1569="",0,IF(AND(AE1569&lt;&gt;"직접",IFERROR(INDEX(계정매핑!$G$5:$G$504,MATCH($F1569&amp;"",계정매핑!$A$5:$A$504,0))&amp;"","")="유지비",COUNTIF(계정대체기준!$A$6:$A$15,$N1569)&gt;0),IFERROR(INDEX(계정대체기준!$E$6:$E$15,MATCH(VALUE($A1569&amp;""),계정대체기준!$D$6:$D$15,0)),0),0))</f>
        <v/>
      </c>
      <c r="AH1569" s="64">
        <f>IF($A1569="","",IF(AD1569=0,"",IF(OR(COUNTIF(계정대체기준!$A$77:$A$86,$N1569)&gt;0,ISNUMBER(MATCH($X1569,계정대체기준!$D$77:$D$86,0)),ISNUMBER(MATCH($F1569,계정대체기준!$D$77:$D$86,0))),"Y","N")))</f>
        <v/>
      </c>
    </row>
    <row r="1570">
      <c r="A1570" s="92" t="n">
        <v>2025</v>
      </c>
      <c r="B1570" s="92" t="n">
        <v>7</v>
      </c>
      <c r="C1570" s="92" t="inlineStr">
        <is>
          <t>5100001566</t>
        </is>
      </c>
      <c r="D1570" s="95" t="n">
        <v>45863</v>
      </c>
      <c r="E1570" s="92" t="inlineStr">
        <is>
          <t>KR</t>
        </is>
      </c>
      <c r="F1570" s="92" t="n">
        <v>63002000</v>
      </c>
      <c r="G1570" s="92" t="n">
        <v>1701</v>
      </c>
      <c r="H1570" s="93" t="n">
        <v>68000000</v>
      </c>
      <c r="I1570" s="92" t="inlineStr">
        <is>
          <t>7월 클라우드 사용료 - C클라우드</t>
        </is>
      </c>
      <c r="J1570" s="92" t="inlineStr">
        <is>
          <t>V10026</t>
        </is>
      </c>
      <c r="K1570" s="92" t="inlineStr">
        <is>
          <t>C클라우드</t>
        </is>
      </c>
      <c r="M1570" s="9">
        <f>IF($A1570="","",VALUE($A1570&amp;"")*12+VALUE($B1570&amp;""))</f>
        <v/>
      </c>
      <c r="N1570" s="64">
        <f>IF($A1570="","",IFERROR(INDEX(부서매핑!$C$5:$C$504,MATCH($G1570&amp;"",부서매핑!$A$5:$A$504,0)),"미매핑"))</f>
        <v/>
      </c>
      <c r="O1570" s="9">
        <f>IF($A1570="","",N1570&amp;"|"&amp;$F1570)</f>
        <v/>
      </c>
      <c r="P1570" s="94">
        <f>IF($A1570="",0,$H1570*설정!$C$23)</f>
        <v/>
      </c>
      <c r="Q1570" s="64">
        <f>IF($A1570="","",IF(O1570&lt;&gt;원인분석!$C$9,"",IF(AND(M1570&gt;=원인분석!$C$10,M1570&lt;=원인분석!$C$11),"당기",IF(AND(M1570&gt;=원인분석!$C$12,M1570&lt;=원인분석!$C$13),"비교",""))))</f>
        <v/>
      </c>
      <c r="R1570" s="9">
        <f>IF(Q1570="","",$K1570&amp;"")</f>
        <v/>
      </c>
      <c r="S1570" s="9">
        <f>IF(Q1570="","",IF(MATCH(R1570,$R$5:$R$100000,0)=ROW()-4,ROW(),""))</f>
        <v/>
      </c>
      <c r="T1570" s="9">
        <f>IF(Q1570="당기",ABS(P1570)+ROW()/1000000000,"")</f>
        <v/>
      </c>
      <c r="U1570" s="9">
        <f>IF(Q1570="비교",ABS(P1570)+ROW()/1000000000,"")</f>
        <v/>
      </c>
      <c r="V1570" s="64">
        <f>IF($A1570="","",IF(COUNTIF(변동분석!$E$7:$E$506,O1570)&gt;0,"Y","N"))</f>
        <v/>
      </c>
      <c r="W1570" s="64">
        <f>IF($A1570="","",IFERROR(INDEX(계정매핑!$D$5:$D$504,MATCH($F1570&amp;"",계정매핑!$A$5:$A$504,0)),"미매핑"))</f>
        <v/>
      </c>
      <c r="X1570" s="9">
        <f>IF($A1570="","",$F1570&amp;"")</f>
        <v/>
      </c>
      <c r="Y1570" s="94">
        <f>IF($A1570="",0,IF(AE1570="직접",IF(AF1570="비귀속",$P1570,0),$P1570*(1-AG1570)*IFERROR(INDEX(계정대체기준!$F$20:$F$49,MATCH($N1570,계정대체기준!$A$20:$A$49,0)),1)))</f>
        <v/>
      </c>
      <c r="Z1570" s="94">
        <f>IF($A1570="",0,IF(AE1570="직접",IF(AF1570="신계약비",$P1570,0),$P1570*(1-AG1570)*IFERROR(INDEX(계정대체기준!$C$20:$C$49,MATCH($N1570,계정대체기준!$A$20:$A$49,0)),0)))</f>
        <v/>
      </c>
      <c r="AA1570" s="94">
        <f>IF($A1570="",0,IF(AE1570="직접",IF(OR(AF1570="유지비",AF1570="손해조사비"),$P1570,0),$P1570*(1-AG1570)*IFERROR(INDEX(계정대체기준!$D$20:$D$49,MATCH($N1570,계정대체기준!$A$20:$A$49,0)),0)))</f>
        <v/>
      </c>
      <c r="AB1570" s="94">
        <f>IF($A1570="",0,IF(AE1570="직접",IF(AF1570="수금비",$P1570,0),$P1570*(1-AG1570)*IFERROR(INDEX(계정대체기준!$E$20:$E$49,MATCH($N1570,계정대체기준!$A$20:$A$49,0)),0)))</f>
        <v/>
      </c>
      <c r="AC1570" s="9">
        <f>IF(AND($A1570&lt;&gt;"",M1570=설정!$C$20,Z1570&gt;0),Z1570+ROW()/1000000000,"")</f>
        <v/>
      </c>
      <c r="AD1570" s="94">
        <f>IF($A1570="",0,$P1570*AG1570)</f>
        <v/>
      </c>
      <c r="AE1570" s="64">
        <f>IF($A1570="","",IFERROR(INDEX(계정매핑!$E$5:$E$504,MATCH($F1570&amp;"",계정매핑!$A$5:$A$504,0))&amp;"","공통비"))</f>
        <v/>
      </c>
      <c r="AF1570" s="64">
        <f>IF($A1570="","",IF(AE1570="직접",IFERROR(INDEX(계정매핑!$F$5:$F$504,MATCH($F1570&amp;"",계정매핑!$A$5:$A$504,0))&amp;"","비귀속"),""))</f>
        <v/>
      </c>
      <c r="AG1570" s="96">
        <f>IF($A1570="",0,IF(AND(AE1570&lt;&gt;"직접",IFERROR(INDEX(계정매핑!$G$5:$G$504,MATCH($F1570&amp;"",계정매핑!$A$5:$A$504,0))&amp;"","")="유지비",COUNTIF(계정대체기준!$A$6:$A$15,$N1570)&gt;0),IFERROR(INDEX(계정대체기준!$E$6:$E$15,MATCH(VALUE($A1570&amp;""),계정대체기준!$D$6:$D$15,0)),0),0))</f>
        <v/>
      </c>
      <c r="AH1570" s="64">
        <f>IF($A1570="","",IF(AD1570=0,"",IF(OR(COUNTIF(계정대체기준!$A$77:$A$86,$N1570)&gt;0,ISNUMBER(MATCH($X1570,계정대체기준!$D$77:$D$86,0)),ISNUMBER(MATCH($F1570,계정대체기준!$D$77:$D$86,0))),"Y","N")))</f>
        <v/>
      </c>
    </row>
    <row r="1571">
      <c r="A1571" s="92" t="n">
        <v>2025</v>
      </c>
      <c r="B1571" s="92" t="n">
        <v>7</v>
      </c>
      <c r="C1571" s="92" t="inlineStr">
        <is>
          <t>5100001567</t>
        </is>
      </c>
      <c r="D1571" s="95" t="n">
        <v>45864</v>
      </c>
      <c r="E1571" s="92" t="inlineStr">
        <is>
          <t>KR</t>
        </is>
      </c>
      <c r="F1571" s="92" t="n">
        <v>62101000</v>
      </c>
      <c r="G1571" s="92" t="n">
        <v>1301</v>
      </c>
      <c r="H1571" s="93" t="n">
        <v>177000</v>
      </c>
      <c r="I1571" s="92" t="inlineStr">
        <is>
          <t>7월 국내출장 - L여행사</t>
        </is>
      </c>
      <c r="J1571" s="92" t="inlineStr">
        <is>
          <t>V10018</t>
        </is>
      </c>
      <c r="K1571" s="92" t="inlineStr">
        <is>
          <t>L여행사</t>
        </is>
      </c>
      <c r="M1571" s="9">
        <f>IF($A1571="","",VALUE($A1571&amp;"")*12+VALUE($B1571&amp;""))</f>
        <v/>
      </c>
      <c r="N1571" s="64">
        <f>IF($A1571="","",IFERROR(INDEX(부서매핑!$C$5:$C$504,MATCH($G1571&amp;"",부서매핑!$A$5:$A$504,0)),"미매핑"))</f>
        <v/>
      </c>
      <c r="O1571" s="9">
        <f>IF($A1571="","",N1571&amp;"|"&amp;$F1571)</f>
        <v/>
      </c>
      <c r="P1571" s="94">
        <f>IF($A1571="",0,$H1571*설정!$C$23)</f>
        <v/>
      </c>
      <c r="Q1571" s="64">
        <f>IF($A1571="","",IF(O1571&lt;&gt;원인분석!$C$9,"",IF(AND(M1571&gt;=원인분석!$C$10,M1571&lt;=원인분석!$C$11),"당기",IF(AND(M1571&gt;=원인분석!$C$12,M1571&lt;=원인분석!$C$13),"비교",""))))</f>
        <v/>
      </c>
      <c r="R1571" s="9">
        <f>IF(Q1571="","",$K1571&amp;"")</f>
        <v/>
      </c>
      <c r="S1571" s="9">
        <f>IF(Q1571="","",IF(MATCH(R1571,$R$5:$R$100000,0)=ROW()-4,ROW(),""))</f>
        <v/>
      </c>
      <c r="T1571" s="9">
        <f>IF(Q1571="당기",ABS(P1571)+ROW()/1000000000,"")</f>
        <v/>
      </c>
      <c r="U1571" s="9">
        <f>IF(Q1571="비교",ABS(P1571)+ROW()/1000000000,"")</f>
        <v/>
      </c>
      <c r="V1571" s="64">
        <f>IF($A1571="","",IF(COUNTIF(변동분석!$E$7:$E$506,O1571)&gt;0,"Y","N"))</f>
        <v/>
      </c>
      <c r="W1571" s="64">
        <f>IF($A1571="","",IFERROR(INDEX(계정매핑!$D$5:$D$504,MATCH($F1571&amp;"",계정매핑!$A$5:$A$504,0)),"미매핑"))</f>
        <v/>
      </c>
      <c r="X1571" s="9">
        <f>IF($A1571="","",$F1571&amp;"")</f>
        <v/>
      </c>
      <c r="Y1571" s="94">
        <f>IF($A1571="",0,IF(AE1571="직접",IF(AF1571="비귀속",$P1571,0),$P1571*(1-AG1571)*IFERROR(INDEX(계정대체기준!$F$20:$F$49,MATCH($N1571,계정대체기준!$A$20:$A$49,0)),1)))</f>
        <v/>
      </c>
      <c r="Z1571" s="94">
        <f>IF($A1571="",0,IF(AE1571="직접",IF(AF1571="신계약비",$P1571,0),$P1571*(1-AG1571)*IFERROR(INDEX(계정대체기준!$C$20:$C$49,MATCH($N1571,계정대체기준!$A$20:$A$49,0)),0)))</f>
        <v/>
      </c>
      <c r="AA1571" s="94">
        <f>IF($A1571="",0,IF(AE1571="직접",IF(OR(AF1571="유지비",AF1571="손해조사비"),$P1571,0),$P1571*(1-AG1571)*IFERROR(INDEX(계정대체기준!$D$20:$D$49,MATCH($N1571,계정대체기준!$A$20:$A$49,0)),0)))</f>
        <v/>
      </c>
      <c r="AB1571" s="94">
        <f>IF($A1571="",0,IF(AE1571="직접",IF(AF1571="수금비",$P1571,0),$P1571*(1-AG1571)*IFERROR(INDEX(계정대체기준!$E$20:$E$49,MATCH($N1571,계정대체기준!$A$20:$A$49,0)),0)))</f>
        <v/>
      </c>
      <c r="AC1571" s="9">
        <f>IF(AND($A1571&lt;&gt;"",M1571=설정!$C$20,Z1571&gt;0),Z1571+ROW()/1000000000,"")</f>
        <v/>
      </c>
      <c r="AD1571" s="94">
        <f>IF($A1571="",0,$P1571*AG1571)</f>
        <v/>
      </c>
      <c r="AE1571" s="64">
        <f>IF($A1571="","",IFERROR(INDEX(계정매핑!$E$5:$E$504,MATCH($F1571&amp;"",계정매핑!$A$5:$A$504,0))&amp;"","공통비"))</f>
        <v/>
      </c>
      <c r="AF1571" s="64">
        <f>IF($A1571="","",IF(AE1571="직접",IFERROR(INDEX(계정매핑!$F$5:$F$504,MATCH($F1571&amp;"",계정매핑!$A$5:$A$504,0))&amp;"","비귀속"),""))</f>
        <v/>
      </c>
      <c r="AG1571" s="96">
        <f>IF($A1571="",0,IF(AND(AE1571&lt;&gt;"직접",IFERROR(INDEX(계정매핑!$G$5:$G$504,MATCH($F1571&amp;"",계정매핑!$A$5:$A$504,0))&amp;"","")="유지비",COUNTIF(계정대체기준!$A$6:$A$15,$N1571)&gt;0),IFERROR(INDEX(계정대체기준!$E$6:$E$15,MATCH(VALUE($A1571&amp;""),계정대체기준!$D$6:$D$15,0)),0),0))</f>
        <v/>
      </c>
      <c r="AH1571" s="64">
        <f>IF($A1571="","",IF(AD1571=0,"",IF(OR(COUNTIF(계정대체기준!$A$77:$A$86,$N1571)&gt;0,ISNUMBER(MATCH($X1571,계정대체기준!$D$77:$D$86,0)),ISNUMBER(MATCH($F1571,계정대체기준!$D$77:$D$86,0))),"Y","N")))</f>
        <v/>
      </c>
    </row>
    <row r="1572">
      <c r="A1572" s="92" t="n">
        <v>2025</v>
      </c>
      <c r="B1572" s="92" t="n">
        <v>7</v>
      </c>
      <c r="C1572" s="92" t="inlineStr">
        <is>
          <t>5100001568</t>
        </is>
      </c>
      <c r="D1572" s="95" t="n">
        <v>45864</v>
      </c>
      <c r="E1572" s="92" t="inlineStr">
        <is>
          <t>KR</t>
        </is>
      </c>
      <c r="F1572" s="92" t="n">
        <v>62101000</v>
      </c>
      <c r="G1572" s="92" t="n">
        <v>1951</v>
      </c>
      <c r="H1572" s="93" t="n">
        <v>263000</v>
      </c>
      <c r="I1572" s="92" t="inlineStr">
        <is>
          <t>7월 국내출장 - (법인카드)</t>
        </is>
      </c>
      <c r="J1572" s="92" t="inlineStr">
        <is>
          <t>V10010</t>
        </is>
      </c>
      <c r="K1572" s="92" t="inlineStr">
        <is>
          <t>(법인카드)</t>
        </is>
      </c>
      <c r="M1572" s="9">
        <f>IF($A1572="","",VALUE($A1572&amp;"")*12+VALUE($B1572&amp;""))</f>
        <v/>
      </c>
      <c r="N1572" s="64">
        <f>IF($A1572="","",IFERROR(INDEX(부서매핑!$C$5:$C$504,MATCH($G1572&amp;"",부서매핑!$A$5:$A$504,0)),"미매핑"))</f>
        <v/>
      </c>
      <c r="O1572" s="9">
        <f>IF($A1572="","",N1572&amp;"|"&amp;$F1572)</f>
        <v/>
      </c>
      <c r="P1572" s="94">
        <f>IF($A1572="",0,$H1572*설정!$C$23)</f>
        <v/>
      </c>
      <c r="Q1572" s="64">
        <f>IF($A1572="","",IF(O1572&lt;&gt;원인분석!$C$9,"",IF(AND(M1572&gt;=원인분석!$C$10,M1572&lt;=원인분석!$C$11),"당기",IF(AND(M1572&gt;=원인분석!$C$12,M1572&lt;=원인분석!$C$13),"비교",""))))</f>
        <v/>
      </c>
      <c r="R1572" s="9">
        <f>IF(Q1572="","",$K1572&amp;"")</f>
        <v/>
      </c>
      <c r="S1572" s="9">
        <f>IF(Q1572="","",IF(MATCH(R1572,$R$5:$R$100000,0)=ROW()-4,ROW(),""))</f>
        <v/>
      </c>
      <c r="T1572" s="9">
        <f>IF(Q1572="당기",ABS(P1572)+ROW()/1000000000,"")</f>
        <v/>
      </c>
      <c r="U1572" s="9">
        <f>IF(Q1572="비교",ABS(P1572)+ROW()/1000000000,"")</f>
        <v/>
      </c>
      <c r="V1572" s="64">
        <f>IF($A1572="","",IF(COUNTIF(변동분석!$E$7:$E$506,O1572)&gt;0,"Y","N"))</f>
        <v/>
      </c>
      <c r="W1572" s="64">
        <f>IF($A1572="","",IFERROR(INDEX(계정매핑!$D$5:$D$504,MATCH($F1572&amp;"",계정매핑!$A$5:$A$504,0)),"미매핑"))</f>
        <v/>
      </c>
      <c r="X1572" s="9">
        <f>IF($A1572="","",$F1572&amp;"")</f>
        <v/>
      </c>
      <c r="Y1572" s="94">
        <f>IF($A1572="",0,IF(AE1572="직접",IF(AF1572="비귀속",$P1572,0),$P1572*(1-AG1572)*IFERROR(INDEX(계정대체기준!$F$20:$F$49,MATCH($N1572,계정대체기준!$A$20:$A$49,0)),1)))</f>
        <v/>
      </c>
      <c r="Z1572" s="94">
        <f>IF($A1572="",0,IF(AE1572="직접",IF(AF1572="신계약비",$P1572,0),$P1572*(1-AG1572)*IFERROR(INDEX(계정대체기준!$C$20:$C$49,MATCH($N1572,계정대체기준!$A$20:$A$49,0)),0)))</f>
        <v/>
      </c>
      <c r="AA1572" s="94">
        <f>IF($A1572="",0,IF(AE1572="직접",IF(OR(AF1572="유지비",AF1572="손해조사비"),$P1572,0),$P1572*(1-AG1572)*IFERROR(INDEX(계정대체기준!$D$20:$D$49,MATCH($N1572,계정대체기준!$A$20:$A$49,0)),0)))</f>
        <v/>
      </c>
      <c r="AB1572" s="94">
        <f>IF($A1572="",0,IF(AE1572="직접",IF(AF1572="수금비",$P1572,0),$P1572*(1-AG1572)*IFERROR(INDEX(계정대체기준!$E$20:$E$49,MATCH($N1572,계정대체기준!$A$20:$A$49,0)),0)))</f>
        <v/>
      </c>
      <c r="AC1572" s="9">
        <f>IF(AND($A1572&lt;&gt;"",M1572=설정!$C$20,Z1572&gt;0),Z1572+ROW()/1000000000,"")</f>
        <v/>
      </c>
      <c r="AD1572" s="94">
        <f>IF($A1572="",0,$P1572*AG1572)</f>
        <v/>
      </c>
      <c r="AE1572" s="64">
        <f>IF($A1572="","",IFERROR(INDEX(계정매핑!$E$5:$E$504,MATCH($F1572&amp;"",계정매핑!$A$5:$A$504,0))&amp;"","공통비"))</f>
        <v/>
      </c>
      <c r="AF1572" s="64">
        <f>IF($A1572="","",IF(AE1572="직접",IFERROR(INDEX(계정매핑!$F$5:$F$504,MATCH($F1572&amp;"",계정매핑!$A$5:$A$504,0))&amp;"","비귀속"),""))</f>
        <v/>
      </c>
      <c r="AG1572" s="96">
        <f>IF($A1572="",0,IF(AND(AE1572&lt;&gt;"직접",IFERROR(INDEX(계정매핑!$G$5:$G$504,MATCH($F1572&amp;"",계정매핑!$A$5:$A$504,0))&amp;"","")="유지비",COUNTIF(계정대체기준!$A$6:$A$15,$N1572)&gt;0),IFERROR(INDEX(계정대체기준!$E$6:$E$15,MATCH(VALUE($A1572&amp;""),계정대체기준!$D$6:$D$15,0)),0),0))</f>
        <v/>
      </c>
      <c r="AH1572" s="64">
        <f>IF($A1572="","",IF(AD1572=0,"",IF(OR(COUNTIF(계정대체기준!$A$77:$A$86,$N1572)&gt;0,ISNUMBER(MATCH($X1572,계정대체기준!$D$77:$D$86,0)),ISNUMBER(MATCH($F1572,계정대체기준!$D$77:$D$86,0))),"Y","N")))</f>
        <v/>
      </c>
    </row>
    <row r="1573">
      <c r="A1573" s="92" t="n">
        <v>2025</v>
      </c>
      <c r="B1573" s="92" t="n">
        <v>7</v>
      </c>
      <c r="C1573" s="92" t="inlineStr">
        <is>
          <t>5100001569</t>
        </is>
      </c>
      <c r="D1573" s="95" t="n">
        <v>45864</v>
      </c>
      <c r="E1573" s="92" t="inlineStr">
        <is>
          <t>KR</t>
        </is>
      </c>
      <c r="F1573" s="92" t="n">
        <v>62201000</v>
      </c>
      <c r="G1573" s="92" t="n">
        <v>1201</v>
      </c>
      <c r="H1573" s="93" t="n">
        <v>115000</v>
      </c>
      <c r="I1573" s="92" t="inlineStr">
        <is>
          <t>7월 통신요금 - P통신</t>
        </is>
      </c>
      <c r="J1573" s="92" t="inlineStr">
        <is>
          <t>V10014</t>
        </is>
      </c>
      <c r="K1573" s="92" t="inlineStr">
        <is>
          <t>P통신</t>
        </is>
      </c>
      <c r="M1573" s="9">
        <f>IF($A1573="","",VALUE($A1573&amp;"")*12+VALUE($B1573&amp;""))</f>
        <v/>
      </c>
      <c r="N1573" s="64">
        <f>IF($A1573="","",IFERROR(INDEX(부서매핑!$C$5:$C$504,MATCH($G1573&amp;"",부서매핑!$A$5:$A$504,0)),"미매핑"))</f>
        <v/>
      </c>
      <c r="O1573" s="9">
        <f>IF($A1573="","",N1573&amp;"|"&amp;$F1573)</f>
        <v/>
      </c>
      <c r="P1573" s="94">
        <f>IF($A1573="",0,$H1573*설정!$C$23)</f>
        <v/>
      </c>
      <c r="Q1573" s="64">
        <f>IF($A1573="","",IF(O1573&lt;&gt;원인분석!$C$9,"",IF(AND(M1573&gt;=원인분석!$C$10,M1573&lt;=원인분석!$C$11),"당기",IF(AND(M1573&gt;=원인분석!$C$12,M1573&lt;=원인분석!$C$13),"비교",""))))</f>
        <v/>
      </c>
      <c r="R1573" s="9">
        <f>IF(Q1573="","",$K1573&amp;"")</f>
        <v/>
      </c>
      <c r="S1573" s="9">
        <f>IF(Q1573="","",IF(MATCH(R1573,$R$5:$R$100000,0)=ROW()-4,ROW(),""))</f>
        <v/>
      </c>
      <c r="T1573" s="9">
        <f>IF(Q1573="당기",ABS(P1573)+ROW()/1000000000,"")</f>
        <v/>
      </c>
      <c r="U1573" s="9">
        <f>IF(Q1573="비교",ABS(P1573)+ROW()/1000000000,"")</f>
        <v/>
      </c>
      <c r="V1573" s="64">
        <f>IF($A1573="","",IF(COUNTIF(변동분석!$E$7:$E$506,O1573)&gt;0,"Y","N"))</f>
        <v/>
      </c>
      <c r="W1573" s="64">
        <f>IF($A1573="","",IFERROR(INDEX(계정매핑!$D$5:$D$504,MATCH($F1573&amp;"",계정매핑!$A$5:$A$504,0)),"미매핑"))</f>
        <v/>
      </c>
      <c r="X1573" s="9">
        <f>IF($A1573="","",$F1573&amp;"")</f>
        <v/>
      </c>
      <c r="Y1573" s="94">
        <f>IF($A1573="",0,IF(AE1573="직접",IF(AF1573="비귀속",$P1573,0),$P1573*(1-AG1573)*IFERROR(INDEX(계정대체기준!$F$20:$F$49,MATCH($N1573,계정대체기준!$A$20:$A$49,0)),1)))</f>
        <v/>
      </c>
      <c r="Z1573" s="94">
        <f>IF($A1573="",0,IF(AE1573="직접",IF(AF1573="신계약비",$P1573,0),$P1573*(1-AG1573)*IFERROR(INDEX(계정대체기준!$C$20:$C$49,MATCH($N1573,계정대체기준!$A$20:$A$49,0)),0)))</f>
        <v/>
      </c>
      <c r="AA1573" s="94">
        <f>IF($A1573="",0,IF(AE1573="직접",IF(OR(AF1573="유지비",AF1573="손해조사비"),$P1573,0),$P1573*(1-AG1573)*IFERROR(INDEX(계정대체기준!$D$20:$D$49,MATCH($N1573,계정대체기준!$A$20:$A$49,0)),0)))</f>
        <v/>
      </c>
      <c r="AB1573" s="94">
        <f>IF($A1573="",0,IF(AE1573="직접",IF(AF1573="수금비",$P1573,0),$P1573*(1-AG1573)*IFERROR(INDEX(계정대체기준!$E$20:$E$49,MATCH($N1573,계정대체기준!$A$20:$A$49,0)),0)))</f>
        <v/>
      </c>
      <c r="AC1573" s="9">
        <f>IF(AND($A1573&lt;&gt;"",M1573=설정!$C$20,Z1573&gt;0),Z1573+ROW()/1000000000,"")</f>
        <v/>
      </c>
      <c r="AD1573" s="94">
        <f>IF($A1573="",0,$P1573*AG1573)</f>
        <v/>
      </c>
      <c r="AE1573" s="64">
        <f>IF($A1573="","",IFERROR(INDEX(계정매핑!$E$5:$E$504,MATCH($F1573&amp;"",계정매핑!$A$5:$A$504,0))&amp;"","공통비"))</f>
        <v/>
      </c>
      <c r="AF1573" s="64">
        <f>IF($A1573="","",IF(AE1573="직접",IFERROR(INDEX(계정매핑!$F$5:$F$504,MATCH($F1573&amp;"",계정매핑!$A$5:$A$504,0))&amp;"","비귀속"),""))</f>
        <v/>
      </c>
      <c r="AG1573" s="96">
        <f>IF($A1573="",0,IF(AND(AE1573&lt;&gt;"직접",IFERROR(INDEX(계정매핑!$G$5:$G$504,MATCH($F1573&amp;"",계정매핑!$A$5:$A$504,0))&amp;"","")="유지비",COUNTIF(계정대체기준!$A$6:$A$15,$N1573)&gt;0),IFERROR(INDEX(계정대체기준!$E$6:$E$15,MATCH(VALUE($A1573&amp;""),계정대체기준!$D$6:$D$15,0)),0),0))</f>
        <v/>
      </c>
      <c r="AH1573" s="64">
        <f>IF($A1573="","",IF(AD1573=0,"",IF(OR(COUNTIF(계정대체기준!$A$77:$A$86,$N1573)&gt;0,ISNUMBER(MATCH($X1573,계정대체기준!$D$77:$D$86,0)),ISNUMBER(MATCH($F1573,계정대체기준!$D$77:$D$86,0))),"Y","N")))</f>
        <v/>
      </c>
    </row>
    <row r="1574">
      <c r="A1574" s="92" t="n">
        <v>2025</v>
      </c>
      <c r="B1574" s="92" t="n">
        <v>7</v>
      </c>
      <c r="C1574" s="92" t="inlineStr">
        <is>
          <t>5100001570</t>
        </is>
      </c>
      <c r="D1574" s="95" t="n">
        <v>45864</v>
      </c>
      <c r="E1574" s="92" t="inlineStr">
        <is>
          <t>KR</t>
        </is>
      </c>
      <c r="F1574" s="92" t="n">
        <v>62201000</v>
      </c>
      <c r="G1574" s="92" t="n">
        <v>1301</v>
      </c>
      <c r="H1574" s="93" t="n">
        <v>193000</v>
      </c>
      <c r="I1574" s="92" t="inlineStr">
        <is>
          <t>7월 통신요금 - O텔레콤</t>
        </is>
      </c>
      <c r="J1574" s="92" t="inlineStr">
        <is>
          <t>V10002</t>
        </is>
      </c>
      <c r="K1574" s="92" t="inlineStr">
        <is>
          <t>O텔레콤</t>
        </is>
      </c>
      <c r="M1574" s="9">
        <f>IF($A1574="","",VALUE($A1574&amp;"")*12+VALUE($B1574&amp;""))</f>
        <v/>
      </c>
      <c r="N1574" s="64">
        <f>IF($A1574="","",IFERROR(INDEX(부서매핑!$C$5:$C$504,MATCH($G1574&amp;"",부서매핑!$A$5:$A$504,0)),"미매핑"))</f>
        <v/>
      </c>
      <c r="O1574" s="9">
        <f>IF($A1574="","",N1574&amp;"|"&amp;$F1574)</f>
        <v/>
      </c>
      <c r="P1574" s="94">
        <f>IF($A1574="",0,$H1574*설정!$C$23)</f>
        <v/>
      </c>
      <c r="Q1574" s="64">
        <f>IF($A1574="","",IF(O1574&lt;&gt;원인분석!$C$9,"",IF(AND(M1574&gt;=원인분석!$C$10,M1574&lt;=원인분석!$C$11),"당기",IF(AND(M1574&gt;=원인분석!$C$12,M1574&lt;=원인분석!$C$13),"비교",""))))</f>
        <v/>
      </c>
      <c r="R1574" s="9">
        <f>IF(Q1574="","",$K1574&amp;"")</f>
        <v/>
      </c>
      <c r="S1574" s="9">
        <f>IF(Q1574="","",IF(MATCH(R1574,$R$5:$R$100000,0)=ROW()-4,ROW(),""))</f>
        <v/>
      </c>
      <c r="T1574" s="9">
        <f>IF(Q1574="당기",ABS(P1574)+ROW()/1000000000,"")</f>
        <v/>
      </c>
      <c r="U1574" s="9">
        <f>IF(Q1574="비교",ABS(P1574)+ROW()/1000000000,"")</f>
        <v/>
      </c>
      <c r="V1574" s="64">
        <f>IF($A1574="","",IF(COUNTIF(변동분석!$E$7:$E$506,O1574)&gt;0,"Y","N"))</f>
        <v/>
      </c>
      <c r="W1574" s="64">
        <f>IF($A1574="","",IFERROR(INDEX(계정매핑!$D$5:$D$504,MATCH($F1574&amp;"",계정매핑!$A$5:$A$504,0)),"미매핑"))</f>
        <v/>
      </c>
      <c r="X1574" s="9">
        <f>IF($A1574="","",$F1574&amp;"")</f>
        <v/>
      </c>
      <c r="Y1574" s="94">
        <f>IF($A1574="",0,IF(AE1574="직접",IF(AF1574="비귀속",$P1574,0),$P1574*(1-AG1574)*IFERROR(INDEX(계정대체기준!$F$20:$F$49,MATCH($N1574,계정대체기준!$A$20:$A$49,0)),1)))</f>
        <v/>
      </c>
      <c r="Z1574" s="94">
        <f>IF($A1574="",0,IF(AE1574="직접",IF(AF1574="신계약비",$P1574,0),$P1574*(1-AG1574)*IFERROR(INDEX(계정대체기준!$C$20:$C$49,MATCH($N1574,계정대체기준!$A$20:$A$49,0)),0)))</f>
        <v/>
      </c>
      <c r="AA1574" s="94">
        <f>IF($A1574="",0,IF(AE1574="직접",IF(OR(AF1574="유지비",AF1574="손해조사비"),$P1574,0),$P1574*(1-AG1574)*IFERROR(INDEX(계정대체기준!$D$20:$D$49,MATCH($N1574,계정대체기준!$A$20:$A$49,0)),0)))</f>
        <v/>
      </c>
      <c r="AB1574" s="94">
        <f>IF($A1574="",0,IF(AE1574="직접",IF(AF1574="수금비",$P1574,0),$P1574*(1-AG1574)*IFERROR(INDEX(계정대체기준!$E$20:$E$49,MATCH($N1574,계정대체기준!$A$20:$A$49,0)),0)))</f>
        <v/>
      </c>
      <c r="AC1574" s="9">
        <f>IF(AND($A1574&lt;&gt;"",M1574=설정!$C$20,Z1574&gt;0),Z1574+ROW()/1000000000,"")</f>
        <v/>
      </c>
      <c r="AD1574" s="94">
        <f>IF($A1574="",0,$P1574*AG1574)</f>
        <v/>
      </c>
      <c r="AE1574" s="64">
        <f>IF($A1574="","",IFERROR(INDEX(계정매핑!$E$5:$E$504,MATCH($F1574&amp;"",계정매핑!$A$5:$A$504,0))&amp;"","공통비"))</f>
        <v/>
      </c>
      <c r="AF1574" s="64">
        <f>IF($A1574="","",IF(AE1574="직접",IFERROR(INDEX(계정매핑!$F$5:$F$504,MATCH($F1574&amp;"",계정매핑!$A$5:$A$504,0))&amp;"","비귀속"),""))</f>
        <v/>
      </c>
      <c r="AG1574" s="96">
        <f>IF($A1574="",0,IF(AND(AE1574&lt;&gt;"직접",IFERROR(INDEX(계정매핑!$G$5:$G$504,MATCH($F1574&amp;"",계정매핑!$A$5:$A$504,0))&amp;"","")="유지비",COUNTIF(계정대체기준!$A$6:$A$15,$N1574)&gt;0),IFERROR(INDEX(계정대체기준!$E$6:$E$15,MATCH(VALUE($A1574&amp;""),계정대체기준!$D$6:$D$15,0)),0),0))</f>
        <v/>
      </c>
      <c r="AH1574" s="64">
        <f>IF($A1574="","",IF(AD1574=0,"",IF(OR(COUNTIF(계정대체기준!$A$77:$A$86,$N1574)&gt;0,ISNUMBER(MATCH($X1574,계정대체기준!$D$77:$D$86,0)),ISNUMBER(MATCH($F1574,계정대체기준!$D$77:$D$86,0))),"Y","N")))</f>
        <v/>
      </c>
    </row>
    <row r="1575">
      <c r="A1575" s="92" t="n">
        <v>2025</v>
      </c>
      <c r="B1575" s="92" t="n">
        <v>7</v>
      </c>
      <c r="C1575" s="92" t="inlineStr">
        <is>
          <t>5100001571</t>
        </is>
      </c>
      <c r="D1575" s="95" t="n">
        <v>45864</v>
      </c>
      <c r="E1575" s="92" t="inlineStr">
        <is>
          <t>KR</t>
        </is>
      </c>
      <c r="F1575" s="92" t="n">
        <v>62301000</v>
      </c>
      <c r="G1575" s="92" t="n">
        <v>1301</v>
      </c>
      <c r="H1575" s="93" t="n">
        <v>141000</v>
      </c>
      <c r="I1575" s="92" t="inlineStr">
        <is>
          <t>7월 소모품 구입 - R문구</t>
        </is>
      </c>
      <c r="J1575" s="92" t="inlineStr">
        <is>
          <t>V10022</t>
        </is>
      </c>
      <c r="K1575" s="92" t="inlineStr">
        <is>
          <t>R문구</t>
        </is>
      </c>
      <c r="M1575" s="9">
        <f>IF($A1575="","",VALUE($A1575&amp;"")*12+VALUE($B1575&amp;""))</f>
        <v/>
      </c>
      <c r="N1575" s="64">
        <f>IF($A1575="","",IFERROR(INDEX(부서매핑!$C$5:$C$504,MATCH($G1575&amp;"",부서매핑!$A$5:$A$504,0)),"미매핑"))</f>
        <v/>
      </c>
      <c r="O1575" s="9">
        <f>IF($A1575="","",N1575&amp;"|"&amp;$F1575)</f>
        <v/>
      </c>
      <c r="P1575" s="94">
        <f>IF($A1575="",0,$H1575*설정!$C$23)</f>
        <v/>
      </c>
      <c r="Q1575" s="64">
        <f>IF($A1575="","",IF(O1575&lt;&gt;원인분석!$C$9,"",IF(AND(M1575&gt;=원인분석!$C$10,M1575&lt;=원인분석!$C$11),"당기",IF(AND(M1575&gt;=원인분석!$C$12,M1575&lt;=원인분석!$C$13),"비교",""))))</f>
        <v/>
      </c>
      <c r="R1575" s="9">
        <f>IF(Q1575="","",$K1575&amp;"")</f>
        <v/>
      </c>
      <c r="S1575" s="9">
        <f>IF(Q1575="","",IF(MATCH(R1575,$R$5:$R$100000,0)=ROW()-4,ROW(),""))</f>
        <v/>
      </c>
      <c r="T1575" s="9">
        <f>IF(Q1575="당기",ABS(P1575)+ROW()/1000000000,"")</f>
        <v/>
      </c>
      <c r="U1575" s="9">
        <f>IF(Q1575="비교",ABS(P1575)+ROW()/1000000000,"")</f>
        <v/>
      </c>
      <c r="V1575" s="64">
        <f>IF($A1575="","",IF(COUNTIF(변동분석!$E$7:$E$506,O1575)&gt;0,"Y","N"))</f>
        <v/>
      </c>
      <c r="W1575" s="64">
        <f>IF($A1575="","",IFERROR(INDEX(계정매핑!$D$5:$D$504,MATCH($F1575&amp;"",계정매핑!$A$5:$A$504,0)),"미매핑"))</f>
        <v/>
      </c>
      <c r="X1575" s="9">
        <f>IF($A1575="","",$F1575&amp;"")</f>
        <v/>
      </c>
      <c r="Y1575" s="94">
        <f>IF($A1575="",0,IF(AE1575="직접",IF(AF1575="비귀속",$P1575,0),$P1575*(1-AG1575)*IFERROR(INDEX(계정대체기준!$F$20:$F$49,MATCH($N1575,계정대체기준!$A$20:$A$49,0)),1)))</f>
        <v/>
      </c>
      <c r="Z1575" s="94">
        <f>IF($A1575="",0,IF(AE1575="직접",IF(AF1575="신계약비",$P1575,0),$P1575*(1-AG1575)*IFERROR(INDEX(계정대체기준!$C$20:$C$49,MATCH($N1575,계정대체기준!$A$20:$A$49,0)),0)))</f>
        <v/>
      </c>
      <c r="AA1575" s="94">
        <f>IF($A1575="",0,IF(AE1575="직접",IF(OR(AF1575="유지비",AF1575="손해조사비"),$P1575,0),$P1575*(1-AG1575)*IFERROR(INDEX(계정대체기준!$D$20:$D$49,MATCH($N1575,계정대체기준!$A$20:$A$49,0)),0)))</f>
        <v/>
      </c>
      <c r="AB1575" s="94">
        <f>IF($A1575="",0,IF(AE1575="직접",IF(AF1575="수금비",$P1575,0),$P1575*(1-AG1575)*IFERROR(INDEX(계정대체기준!$E$20:$E$49,MATCH($N1575,계정대체기준!$A$20:$A$49,0)),0)))</f>
        <v/>
      </c>
      <c r="AC1575" s="9">
        <f>IF(AND($A1575&lt;&gt;"",M1575=설정!$C$20,Z1575&gt;0),Z1575+ROW()/1000000000,"")</f>
        <v/>
      </c>
      <c r="AD1575" s="94">
        <f>IF($A1575="",0,$P1575*AG1575)</f>
        <v/>
      </c>
      <c r="AE1575" s="64">
        <f>IF($A1575="","",IFERROR(INDEX(계정매핑!$E$5:$E$504,MATCH($F1575&amp;"",계정매핑!$A$5:$A$504,0))&amp;"","공통비"))</f>
        <v/>
      </c>
      <c r="AF1575" s="64">
        <f>IF($A1575="","",IF(AE1575="직접",IFERROR(INDEX(계정매핑!$F$5:$F$504,MATCH($F1575&amp;"",계정매핑!$A$5:$A$504,0))&amp;"","비귀속"),""))</f>
        <v/>
      </c>
      <c r="AG1575" s="96">
        <f>IF($A1575="",0,IF(AND(AE1575&lt;&gt;"직접",IFERROR(INDEX(계정매핑!$G$5:$G$504,MATCH($F1575&amp;"",계정매핑!$A$5:$A$504,0))&amp;"","")="유지비",COUNTIF(계정대체기준!$A$6:$A$15,$N1575)&gt;0),IFERROR(INDEX(계정대체기준!$E$6:$E$15,MATCH(VALUE($A1575&amp;""),계정대체기준!$D$6:$D$15,0)),0),0))</f>
        <v/>
      </c>
      <c r="AH1575" s="64">
        <f>IF($A1575="","",IF(AD1575=0,"",IF(OR(COUNTIF(계정대체기준!$A$77:$A$86,$N1575)&gt;0,ISNUMBER(MATCH($X1575,계정대체기준!$D$77:$D$86,0)),ISNUMBER(MATCH($F1575,계정대체기준!$D$77:$D$86,0))),"Y","N")))</f>
        <v/>
      </c>
    </row>
    <row r="1576">
      <c r="A1576" s="92" t="n">
        <v>2025</v>
      </c>
      <c r="B1576" s="92" t="n">
        <v>7</v>
      </c>
      <c r="C1576" s="92" t="inlineStr">
        <is>
          <t>5100001572</t>
        </is>
      </c>
      <c r="D1576" s="95" t="n">
        <v>45864</v>
      </c>
      <c r="E1576" s="92" t="inlineStr">
        <is>
          <t>KR</t>
        </is>
      </c>
      <c r="F1576" s="92" t="n">
        <v>62301000</v>
      </c>
      <c r="G1576" s="92" t="n">
        <v>1801</v>
      </c>
      <c r="H1576" s="93" t="n">
        <v>377000</v>
      </c>
      <c r="I1576" s="92" t="inlineStr">
        <is>
          <t>7월 소모품 구입 - Q오피스</t>
        </is>
      </c>
      <c r="J1576" s="92" t="inlineStr">
        <is>
          <t>V10003</t>
        </is>
      </c>
      <c r="K1576" s="92" t="inlineStr">
        <is>
          <t>Q오피스</t>
        </is>
      </c>
      <c r="M1576" s="9">
        <f>IF($A1576="","",VALUE($A1576&amp;"")*12+VALUE($B1576&amp;""))</f>
        <v/>
      </c>
      <c r="N1576" s="64">
        <f>IF($A1576="","",IFERROR(INDEX(부서매핑!$C$5:$C$504,MATCH($G1576&amp;"",부서매핑!$A$5:$A$504,0)),"미매핑"))</f>
        <v/>
      </c>
      <c r="O1576" s="9">
        <f>IF($A1576="","",N1576&amp;"|"&amp;$F1576)</f>
        <v/>
      </c>
      <c r="P1576" s="94">
        <f>IF($A1576="",0,$H1576*설정!$C$23)</f>
        <v/>
      </c>
      <c r="Q1576" s="64">
        <f>IF($A1576="","",IF(O1576&lt;&gt;원인분석!$C$9,"",IF(AND(M1576&gt;=원인분석!$C$10,M1576&lt;=원인분석!$C$11),"당기",IF(AND(M1576&gt;=원인분석!$C$12,M1576&lt;=원인분석!$C$13),"비교",""))))</f>
        <v/>
      </c>
      <c r="R1576" s="9">
        <f>IF(Q1576="","",$K1576&amp;"")</f>
        <v/>
      </c>
      <c r="S1576" s="9">
        <f>IF(Q1576="","",IF(MATCH(R1576,$R$5:$R$100000,0)=ROW()-4,ROW(),""))</f>
        <v/>
      </c>
      <c r="T1576" s="9">
        <f>IF(Q1576="당기",ABS(P1576)+ROW()/1000000000,"")</f>
        <v/>
      </c>
      <c r="U1576" s="9">
        <f>IF(Q1576="비교",ABS(P1576)+ROW()/1000000000,"")</f>
        <v/>
      </c>
      <c r="V1576" s="64">
        <f>IF($A1576="","",IF(COUNTIF(변동분석!$E$7:$E$506,O1576)&gt;0,"Y","N"))</f>
        <v/>
      </c>
      <c r="W1576" s="64">
        <f>IF($A1576="","",IFERROR(INDEX(계정매핑!$D$5:$D$504,MATCH($F1576&amp;"",계정매핑!$A$5:$A$504,0)),"미매핑"))</f>
        <v/>
      </c>
      <c r="X1576" s="9">
        <f>IF($A1576="","",$F1576&amp;"")</f>
        <v/>
      </c>
      <c r="Y1576" s="94">
        <f>IF($A1576="",0,IF(AE1576="직접",IF(AF1576="비귀속",$P1576,0),$P1576*(1-AG1576)*IFERROR(INDEX(계정대체기준!$F$20:$F$49,MATCH($N1576,계정대체기준!$A$20:$A$49,0)),1)))</f>
        <v/>
      </c>
      <c r="Z1576" s="94">
        <f>IF($A1576="",0,IF(AE1576="직접",IF(AF1576="신계약비",$P1576,0),$P1576*(1-AG1576)*IFERROR(INDEX(계정대체기준!$C$20:$C$49,MATCH($N1576,계정대체기준!$A$20:$A$49,0)),0)))</f>
        <v/>
      </c>
      <c r="AA1576" s="94">
        <f>IF($A1576="",0,IF(AE1576="직접",IF(OR(AF1576="유지비",AF1576="손해조사비"),$P1576,0),$P1576*(1-AG1576)*IFERROR(INDEX(계정대체기준!$D$20:$D$49,MATCH($N1576,계정대체기준!$A$20:$A$49,0)),0)))</f>
        <v/>
      </c>
      <c r="AB1576" s="94">
        <f>IF($A1576="",0,IF(AE1576="직접",IF(AF1576="수금비",$P1576,0),$P1576*(1-AG1576)*IFERROR(INDEX(계정대체기준!$E$20:$E$49,MATCH($N1576,계정대체기준!$A$20:$A$49,0)),0)))</f>
        <v/>
      </c>
      <c r="AC1576" s="9">
        <f>IF(AND($A1576&lt;&gt;"",M1576=설정!$C$20,Z1576&gt;0),Z1576+ROW()/1000000000,"")</f>
        <v/>
      </c>
      <c r="AD1576" s="94">
        <f>IF($A1576="",0,$P1576*AG1576)</f>
        <v/>
      </c>
      <c r="AE1576" s="64">
        <f>IF($A1576="","",IFERROR(INDEX(계정매핑!$E$5:$E$504,MATCH($F1576&amp;"",계정매핑!$A$5:$A$504,0))&amp;"","공통비"))</f>
        <v/>
      </c>
      <c r="AF1576" s="64">
        <f>IF($A1576="","",IF(AE1576="직접",IFERROR(INDEX(계정매핑!$F$5:$F$504,MATCH($F1576&amp;"",계정매핑!$A$5:$A$504,0))&amp;"","비귀속"),""))</f>
        <v/>
      </c>
      <c r="AG1576" s="96">
        <f>IF($A1576="",0,IF(AND(AE1576&lt;&gt;"직접",IFERROR(INDEX(계정매핑!$G$5:$G$504,MATCH($F1576&amp;"",계정매핑!$A$5:$A$504,0))&amp;"","")="유지비",COUNTIF(계정대체기준!$A$6:$A$15,$N1576)&gt;0),IFERROR(INDEX(계정대체기준!$E$6:$E$15,MATCH(VALUE($A1576&amp;""),계정대체기준!$D$6:$D$15,0)),0),0))</f>
        <v/>
      </c>
      <c r="AH1576" s="64">
        <f>IF($A1576="","",IF(AD1576=0,"",IF(OR(COUNTIF(계정대체기준!$A$77:$A$86,$N1576)&gt;0,ISNUMBER(MATCH($X1576,계정대체기준!$D$77:$D$86,0)),ISNUMBER(MATCH($F1576,계정대체기준!$D$77:$D$86,0))),"Y","N")))</f>
        <v/>
      </c>
    </row>
    <row r="1577">
      <c r="A1577" s="92" t="n">
        <v>2025</v>
      </c>
      <c r="B1577" s="92" t="n">
        <v>7</v>
      </c>
      <c r="C1577" s="92" t="inlineStr">
        <is>
          <t>5100001573</t>
        </is>
      </c>
      <c r="D1577" s="95" t="n">
        <v>45864</v>
      </c>
      <c r="E1577" s="92" t="inlineStr">
        <is>
          <t>KR</t>
        </is>
      </c>
      <c r="F1577" s="92" t="n">
        <v>62902000</v>
      </c>
      <c r="G1577" s="92" t="n">
        <v>1801</v>
      </c>
      <c r="H1577" s="93" t="n">
        <v>1776000</v>
      </c>
      <c r="I1577" s="92" t="inlineStr">
        <is>
          <t>7월 콜 위탁 수수료(건별)</t>
        </is>
      </c>
      <c r="J1577" s="92" t="inlineStr">
        <is>
          <t>V10016</t>
        </is>
      </c>
      <c r="K1577" s="92" t="inlineStr">
        <is>
          <t>J콜센터</t>
        </is>
      </c>
      <c r="M1577" s="9">
        <f>IF($A1577="","",VALUE($A1577&amp;"")*12+VALUE($B1577&amp;""))</f>
        <v/>
      </c>
      <c r="N1577" s="64">
        <f>IF($A1577="","",IFERROR(INDEX(부서매핑!$C$5:$C$504,MATCH($G1577&amp;"",부서매핑!$A$5:$A$504,0)),"미매핑"))</f>
        <v/>
      </c>
      <c r="O1577" s="9">
        <f>IF($A1577="","",N1577&amp;"|"&amp;$F1577)</f>
        <v/>
      </c>
      <c r="P1577" s="94">
        <f>IF($A1577="",0,$H1577*설정!$C$23)</f>
        <v/>
      </c>
      <c r="Q1577" s="64">
        <f>IF($A1577="","",IF(O1577&lt;&gt;원인분석!$C$9,"",IF(AND(M1577&gt;=원인분석!$C$10,M1577&lt;=원인분석!$C$11),"당기",IF(AND(M1577&gt;=원인분석!$C$12,M1577&lt;=원인분석!$C$13),"비교",""))))</f>
        <v/>
      </c>
      <c r="R1577" s="9">
        <f>IF(Q1577="","",$K1577&amp;"")</f>
        <v/>
      </c>
      <c r="S1577" s="9">
        <f>IF(Q1577="","",IF(MATCH(R1577,$R$5:$R$100000,0)=ROW()-4,ROW(),""))</f>
        <v/>
      </c>
      <c r="T1577" s="9">
        <f>IF(Q1577="당기",ABS(P1577)+ROW()/1000000000,"")</f>
        <v/>
      </c>
      <c r="U1577" s="9">
        <f>IF(Q1577="비교",ABS(P1577)+ROW()/1000000000,"")</f>
        <v/>
      </c>
      <c r="V1577" s="64">
        <f>IF($A1577="","",IF(COUNTIF(변동분석!$E$7:$E$506,O1577)&gt;0,"Y","N"))</f>
        <v/>
      </c>
      <c r="W1577" s="64">
        <f>IF($A1577="","",IFERROR(INDEX(계정매핑!$D$5:$D$504,MATCH($F1577&amp;"",계정매핑!$A$5:$A$504,0)),"미매핑"))</f>
        <v/>
      </c>
      <c r="X1577" s="9">
        <f>IF($A1577="","",$F1577&amp;"")</f>
        <v/>
      </c>
      <c r="Y1577" s="94">
        <f>IF($A1577="",0,IF(AE1577="직접",IF(AF1577="비귀속",$P1577,0),$P1577*(1-AG1577)*IFERROR(INDEX(계정대체기준!$F$20:$F$49,MATCH($N1577,계정대체기준!$A$20:$A$49,0)),1)))</f>
        <v/>
      </c>
      <c r="Z1577" s="94">
        <f>IF($A1577="",0,IF(AE1577="직접",IF(AF1577="신계약비",$P1577,0),$P1577*(1-AG1577)*IFERROR(INDEX(계정대체기준!$C$20:$C$49,MATCH($N1577,계정대체기준!$A$20:$A$49,0)),0)))</f>
        <v/>
      </c>
      <c r="AA1577" s="94">
        <f>IF($A1577="",0,IF(AE1577="직접",IF(OR(AF1577="유지비",AF1577="손해조사비"),$P1577,0),$P1577*(1-AG1577)*IFERROR(INDEX(계정대체기준!$D$20:$D$49,MATCH($N1577,계정대체기준!$A$20:$A$49,0)),0)))</f>
        <v/>
      </c>
      <c r="AB1577" s="94">
        <f>IF($A1577="",0,IF(AE1577="직접",IF(AF1577="수금비",$P1577,0),$P1577*(1-AG1577)*IFERROR(INDEX(계정대체기준!$E$20:$E$49,MATCH($N1577,계정대체기준!$A$20:$A$49,0)),0)))</f>
        <v/>
      </c>
      <c r="AC1577" s="9">
        <f>IF(AND($A1577&lt;&gt;"",M1577=설정!$C$20,Z1577&gt;0),Z1577+ROW()/1000000000,"")</f>
        <v/>
      </c>
      <c r="AD1577" s="94">
        <f>IF($A1577="",0,$P1577*AG1577)</f>
        <v/>
      </c>
      <c r="AE1577" s="64">
        <f>IF($A1577="","",IFERROR(INDEX(계정매핑!$E$5:$E$504,MATCH($F1577&amp;"",계정매핑!$A$5:$A$504,0))&amp;"","공통비"))</f>
        <v/>
      </c>
      <c r="AF1577" s="64">
        <f>IF($A1577="","",IF(AE1577="직접",IFERROR(INDEX(계정매핑!$F$5:$F$504,MATCH($F1577&amp;"",계정매핑!$A$5:$A$504,0))&amp;"","비귀속"),""))</f>
        <v/>
      </c>
      <c r="AG1577" s="96">
        <f>IF($A1577="",0,IF(AND(AE1577&lt;&gt;"직접",IFERROR(INDEX(계정매핑!$G$5:$G$504,MATCH($F1577&amp;"",계정매핑!$A$5:$A$504,0))&amp;"","")="유지비",COUNTIF(계정대체기준!$A$6:$A$15,$N1577)&gt;0),IFERROR(INDEX(계정대체기준!$E$6:$E$15,MATCH(VALUE($A1577&amp;""),계정대체기준!$D$6:$D$15,0)),0),0))</f>
        <v/>
      </c>
      <c r="AH1577" s="64">
        <f>IF($A1577="","",IF(AD1577=0,"",IF(OR(COUNTIF(계정대체기준!$A$77:$A$86,$N1577)&gt;0,ISNUMBER(MATCH($X1577,계정대체기준!$D$77:$D$86,0)),ISNUMBER(MATCH($F1577,계정대체기준!$D$77:$D$86,0))),"Y","N")))</f>
        <v/>
      </c>
    </row>
    <row r="1578">
      <c r="A1578" s="92" t="n">
        <v>2025</v>
      </c>
      <c r="B1578" s="92" t="n">
        <v>7</v>
      </c>
      <c r="C1578" s="92" t="inlineStr">
        <is>
          <t>5100001574</t>
        </is>
      </c>
      <c r="D1578" s="95" t="n">
        <v>45864</v>
      </c>
      <c r="E1578" s="92" t="inlineStr">
        <is>
          <t>KR</t>
        </is>
      </c>
      <c r="F1578" s="92" t="n">
        <v>63501000</v>
      </c>
      <c r="G1578" s="92" t="n">
        <v>1901</v>
      </c>
      <c r="H1578" s="93" t="n">
        <v>276136000</v>
      </c>
      <c r="I1578" s="92" t="inlineStr">
        <is>
          <t>7월 모집수수료 - AA보험대리점</t>
        </is>
      </c>
      <c r="J1578" s="92" t="inlineStr">
        <is>
          <t>V10034</t>
        </is>
      </c>
      <c r="K1578" s="92" t="inlineStr">
        <is>
          <t>AA보험대리점</t>
        </is>
      </c>
      <c r="M1578" s="9">
        <f>IF($A1578="","",VALUE($A1578&amp;"")*12+VALUE($B1578&amp;""))</f>
        <v/>
      </c>
      <c r="N1578" s="64">
        <f>IF($A1578="","",IFERROR(INDEX(부서매핑!$C$5:$C$504,MATCH($G1578&amp;"",부서매핑!$A$5:$A$504,0)),"미매핑"))</f>
        <v/>
      </c>
      <c r="O1578" s="9">
        <f>IF($A1578="","",N1578&amp;"|"&amp;$F1578)</f>
        <v/>
      </c>
      <c r="P1578" s="94">
        <f>IF($A1578="",0,$H1578*설정!$C$23)</f>
        <v/>
      </c>
      <c r="Q1578" s="64">
        <f>IF($A1578="","",IF(O1578&lt;&gt;원인분석!$C$9,"",IF(AND(M1578&gt;=원인분석!$C$10,M1578&lt;=원인분석!$C$11),"당기",IF(AND(M1578&gt;=원인분석!$C$12,M1578&lt;=원인분석!$C$13),"비교",""))))</f>
        <v/>
      </c>
      <c r="R1578" s="9">
        <f>IF(Q1578="","",$K1578&amp;"")</f>
        <v/>
      </c>
      <c r="S1578" s="9">
        <f>IF(Q1578="","",IF(MATCH(R1578,$R$5:$R$100000,0)=ROW()-4,ROW(),""))</f>
        <v/>
      </c>
      <c r="T1578" s="9">
        <f>IF(Q1578="당기",ABS(P1578)+ROW()/1000000000,"")</f>
        <v/>
      </c>
      <c r="U1578" s="9">
        <f>IF(Q1578="비교",ABS(P1578)+ROW()/1000000000,"")</f>
        <v/>
      </c>
      <c r="V1578" s="64">
        <f>IF($A1578="","",IF(COUNTIF(변동분석!$E$7:$E$506,O1578)&gt;0,"Y","N"))</f>
        <v/>
      </c>
      <c r="W1578" s="64">
        <f>IF($A1578="","",IFERROR(INDEX(계정매핑!$D$5:$D$504,MATCH($F1578&amp;"",계정매핑!$A$5:$A$504,0)),"미매핑"))</f>
        <v/>
      </c>
      <c r="X1578" s="9">
        <f>IF($A1578="","",$F1578&amp;"")</f>
        <v/>
      </c>
      <c r="Y1578" s="94">
        <f>IF($A1578="",0,IF(AE1578="직접",IF(AF1578="비귀속",$P1578,0),$P1578*(1-AG1578)*IFERROR(INDEX(계정대체기준!$F$20:$F$49,MATCH($N1578,계정대체기준!$A$20:$A$49,0)),1)))</f>
        <v/>
      </c>
      <c r="Z1578" s="94">
        <f>IF($A1578="",0,IF(AE1578="직접",IF(AF1578="신계약비",$P1578,0),$P1578*(1-AG1578)*IFERROR(INDEX(계정대체기준!$C$20:$C$49,MATCH($N1578,계정대체기준!$A$20:$A$49,0)),0)))</f>
        <v/>
      </c>
      <c r="AA1578" s="94">
        <f>IF($A1578="",0,IF(AE1578="직접",IF(OR(AF1578="유지비",AF1578="손해조사비"),$P1578,0),$P1578*(1-AG1578)*IFERROR(INDEX(계정대체기준!$D$20:$D$49,MATCH($N1578,계정대체기준!$A$20:$A$49,0)),0)))</f>
        <v/>
      </c>
      <c r="AB1578" s="94">
        <f>IF($A1578="",0,IF(AE1578="직접",IF(AF1578="수금비",$P1578,0),$P1578*(1-AG1578)*IFERROR(INDEX(계정대체기준!$E$20:$E$49,MATCH($N1578,계정대체기준!$A$20:$A$49,0)),0)))</f>
        <v/>
      </c>
      <c r="AC1578" s="9">
        <f>IF(AND($A1578&lt;&gt;"",M1578=설정!$C$20,Z1578&gt;0),Z1578+ROW()/1000000000,"")</f>
        <v/>
      </c>
      <c r="AD1578" s="94">
        <f>IF($A1578="",0,$P1578*AG1578)</f>
        <v/>
      </c>
      <c r="AE1578" s="64">
        <f>IF($A1578="","",IFERROR(INDEX(계정매핑!$E$5:$E$504,MATCH($F1578&amp;"",계정매핑!$A$5:$A$504,0))&amp;"","공통비"))</f>
        <v/>
      </c>
      <c r="AF1578" s="64">
        <f>IF($A1578="","",IF(AE1578="직접",IFERROR(INDEX(계정매핑!$F$5:$F$504,MATCH($F1578&amp;"",계정매핑!$A$5:$A$504,0))&amp;"","비귀속"),""))</f>
        <v/>
      </c>
      <c r="AG1578" s="96">
        <f>IF($A1578="",0,IF(AND(AE1578&lt;&gt;"직접",IFERROR(INDEX(계정매핑!$G$5:$G$504,MATCH($F1578&amp;"",계정매핑!$A$5:$A$504,0))&amp;"","")="유지비",COUNTIF(계정대체기준!$A$6:$A$15,$N1578)&gt;0),IFERROR(INDEX(계정대체기준!$E$6:$E$15,MATCH(VALUE($A1578&amp;""),계정대체기준!$D$6:$D$15,0)),0),0))</f>
        <v/>
      </c>
      <c r="AH1578" s="64">
        <f>IF($A1578="","",IF(AD1578=0,"",IF(OR(COUNTIF(계정대체기준!$A$77:$A$86,$N1578)&gt;0,ISNUMBER(MATCH($X1578,계정대체기준!$D$77:$D$86,0)),ISNUMBER(MATCH($F1578,계정대체기준!$D$77:$D$86,0))),"Y","N")))</f>
        <v/>
      </c>
    </row>
    <row r="1579">
      <c r="A1579" s="92" t="n">
        <v>2025</v>
      </c>
      <c r="B1579" s="92" t="n">
        <v>7</v>
      </c>
      <c r="C1579" s="92" t="inlineStr">
        <is>
          <t>5100001575</t>
        </is>
      </c>
      <c r="D1579" s="95" t="n">
        <v>45865</v>
      </c>
      <c r="E1579" s="92" t="inlineStr">
        <is>
          <t>KR</t>
        </is>
      </c>
      <c r="F1579" s="92" t="n">
        <v>62102000</v>
      </c>
      <c r="G1579" s="92" t="n">
        <v>1502</v>
      </c>
      <c r="H1579" s="93" t="n">
        <v>199000</v>
      </c>
      <c r="I1579" s="92" t="inlineStr">
        <is>
          <t>7월 해외출장 - N호텔</t>
        </is>
      </c>
      <c r="J1579" s="92" t="inlineStr">
        <is>
          <t>V10009</t>
        </is>
      </c>
      <c r="K1579" s="92" t="inlineStr">
        <is>
          <t>N호텔</t>
        </is>
      </c>
      <c r="M1579" s="9">
        <f>IF($A1579="","",VALUE($A1579&amp;"")*12+VALUE($B1579&amp;""))</f>
        <v/>
      </c>
      <c r="N1579" s="64">
        <f>IF($A1579="","",IFERROR(INDEX(부서매핑!$C$5:$C$504,MATCH($G1579&amp;"",부서매핑!$A$5:$A$504,0)),"미매핑"))</f>
        <v/>
      </c>
      <c r="O1579" s="9">
        <f>IF($A1579="","",N1579&amp;"|"&amp;$F1579)</f>
        <v/>
      </c>
      <c r="P1579" s="94">
        <f>IF($A1579="",0,$H1579*설정!$C$23)</f>
        <v/>
      </c>
      <c r="Q1579" s="64">
        <f>IF($A1579="","",IF(O1579&lt;&gt;원인분석!$C$9,"",IF(AND(M1579&gt;=원인분석!$C$10,M1579&lt;=원인분석!$C$11),"당기",IF(AND(M1579&gt;=원인분석!$C$12,M1579&lt;=원인분석!$C$13),"비교",""))))</f>
        <v/>
      </c>
      <c r="R1579" s="9">
        <f>IF(Q1579="","",$K1579&amp;"")</f>
        <v/>
      </c>
      <c r="S1579" s="9">
        <f>IF(Q1579="","",IF(MATCH(R1579,$R$5:$R$100000,0)=ROW()-4,ROW(),""))</f>
        <v/>
      </c>
      <c r="T1579" s="9">
        <f>IF(Q1579="당기",ABS(P1579)+ROW()/1000000000,"")</f>
        <v/>
      </c>
      <c r="U1579" s="9">
        <f>IF(Q1579="비교",ABS(P1579)+ROW()/1000000000,"")</f>
        <v/>
      </c>
      <c r="V1579" s="64">
        <f>IF($A1579="","",IF(COUNTIF(변동분석!$E$7:$E$506,O1579)&gt;0,"Y","N"))</f>
        <v/>
      </c>
      <c r="W1579" s="64">
        <f>IF($A1579="","",IFERROR(INDEX(계정매핑!$D$5:$D$504,MATCH($F1579&amp;"",계정매핑!$A$5:$A$504,0)),"미매핑"))</f>
        <v/>
      </c>
      <c r="X1579" s="9">
        <f>IF($A1579="","",$F1579&amp;"")</f>
        <v/>
      </c>
      <c r="Y1579" s="94">
        <f>IF($A1579="",0,IF(AE1579="직접",IF(AF1579="비귀속",$P1579,0),$P1579*(1-AG1579)*IFERROR(INDEX(계정대체기준!$F$20:$F$49,MATCH($N1579,계정대체기준!$A$20:$A$49,0)),1)))</f>
        <v/>
      </c>
      <c r="Z1579" s="94">
        <f>IF($A1579="",0,IF(AE1579="직접",IF(AF1579="신계약비",$P1579,0),$P1579*(1-AG1579)*IFERROR(INDEX(계정대체기준!$C$20:$C$49,MATCH($N1579,계정대체기준!$A$20:$A$49,0)),0)))</f>
        <v/>
      </c>
      <c r="AA1579" s="94">
        <f>IF($A1579="",0,IF(AE1579="직접",IF(OR(AF1579="유지비",AF1579="손해조사비"),$P1579,0),$P1579*(1-AG1579)*IFERROR(INDEX(계정대체기준!$D$20:$D$49,MATCH($N1579,계정대체기준!$A$20:$A$49,0)),0)))</f>
        <v/>
      </c>
      <c r="AB1579" s="94">
        <f>IF($A1579="",0,IF(AE1579="직접",IF(AF1579="수금비",$P1579,0),$P1579*(1-AG1579)*IFERROR(INDEX(계정대체기준!$E$20:$E$49,MATCH($N1579,계정대체기준!$A$20:$A$49,0)),0)))</f>
        <v/>
      </c>
      <c r="AC1579" s="9">
        <f>IF(AND($A1579&lt;&gt;"",M1579=설정!$C$20,Z1579&gt;0),Z1579+ROW()/1000000000,"")</f>
        <v/>
      </c>
      <c r="AD1579" s="94">
        <f>IF($A1579="",0,$P1579*AG1579)</f>
        <v/>
      </c>
      <c r="AE1579" s="64">
        <f>IF($A1579="","",IFERROR(INDEX(계정매핑!$E$5:$E$504,MATCH($F1579&amp;"",계정매핑!$A$5:$A$504,0))&amp;"","공통비"))</f>
        <v/>
      </c>
      <c r="AF1579" s="64">
        <f>IF($A1579="","",IF(AE1579="직접",IFERROR(INDEX(계정매핑!$F$5:$F$504,MATCH($F1579&amp;"",계정매핑!$A$5:$A$504,0))&amp;"","비귀속"),""))</f>
        <v/>
      </c>
      <c r="AG1579" s="96">
        <f>IF($A1579="",0,IF(AND(AE1579&lt;&gt;"직접",IFERROR(INDEX(계정매핑!$G$5:$G$504,MATCH($F1579&amp;"",계정매핑!$A$5:$A$504,0))&amp;"","")="유지비",COUNTIF(계정대체기준!$A$6:$A$15,$N1579)&gt;0),IFERROR(INDEX(계정대체기준!$E$6:$E$15,MATCH(VALUE($A1579&amp;""),계정대체기준!$D$6:$D$15,0)),0),0))</f>
        <v/>
      </c>
      <c r="AH1579" s="64">
        <f>IF($A1579="","",IF(AD1579=0,"",IF(OR(COUNTIF(계정대체기준!$A$77:$A$86,$N1579)&gt;0,ISNUMBER(MATCH($X1579,계정대체기준!$D$77:$D$86,0)),ISNUMBER(MATCH($F1579,계정대체기준!$D$77:$D$86,0))),"Y","N")))</f>
        <v/>
      </c>
    </row>
    <row r="1580">
      <c r="A1580" s="92" t="n">
        <v>2025</v>
      </c>
      <c r="B1580" s="92" t="n">
        <v>7</v>
      </c>
      <c r="C1580" s="92" t="inlineStr">
        <is>
          <t>5100001576</t>
        </is>
      </c>
      <c r="D1580" s="95" t="n">
        <v>45865</v>
      </c>
      <c r="E1580" s="92" t="inlineStr">
        <is>
          <t>KR</t>
        </is>
      </c>
      <c r="F1580" s="92" t="n">
        <v>62102000</v>
      </c>
      <c r="G1580" s="92" t="n">
        <v>1602</v>
      </c>
      <c r="H1580" s="93" t="n">
        <v>332000</v>
      </c>
      <c r="I1580" s="92" t="inlineStr">
        <is>
          <t>7월 해외출장 - M항공</t>
        </is>
      </c>
      <c r="J1580" s="92" t="inlineStr">
        <is>
          <t>V10001</t>
        </is>
      </c>
      <c r="K1580" s="92" t="inlineStr">
        <is>
          <t>M항공</t>
        </is>
      </c>
      <c r="M1580" s="9">
        <f>IF($A1580="","",VALUE($A1580&amp;"")*12+VALUE($B1580&amp;""))</f>
        <v/>
      </c>
      <c r="N1580" s="64">
        <f>IF($A1580="","",IFERROR(INDEX(부서매핑!$C$5:$C$504,MATCH($G1580&amp;"",부서매핑!$A$5:$A$504,0)),"미매핑"))</f>
        <v/>
      </c>
      <c r="O1580" s="9">
        <f>IF($A1580="","",N1580&amp;"|"&amp;$F1580)</f>
        <v/>
      </c>
      <c r="P1580" s="94">
        <f>IF($A1580="",0,$H1580*설정!$C$23)</f>
        <v/>
      </c>
      <c r="Q1580" s="64">
        <f>IF($A1580="","",IF(O1580&lt;&gt;원인분석!$C$9,"",IF(AND(M1580&gt;=원인분석!$C$10,M1580&lt;=원인분석!$C$11),"당기",IF(AND(M1580&gt;=원인분석!$C$12,M1580&lt;=원인분석!$C$13),"비교",""))))</f>
        <v/>
      </c>
      <c r="R1580" s="9">
        <f>IF(Q1580="","",$K1580&amp;"")</f>
        <v/>
      </c>
      <c r="S1580" s="9">
        <f>IF(Q1580="","",IF(MATCH(R1580,$R$5:$R$100000,0)=ROW()-4,ROW(),""))</f>
        <v/>
      </c>
      <c r="T1580" s="9">
        <f>IF(Q1580="당기",ABS(P1580)+ROW()/1000000000,"")</f>
        <v/>
      </c>
      <c r="U1580" s="9">
        <f>IF(Q1580="비교",ABS(P1580)+ROW()/1000000000,"")</f>
        <v/>
      </c>
      <c r="V1580" s="64">
        <f>IF($A1580="","",IF(COUNTIF(변동분석!$E$7:$E$506,O1580)&gt;0,"Y","N"))</f>
        <v/>
      </c>
      <c r="W1580" s="64">
        <f>IF($A1580="","",IFERROR(INDEX(계정매핑!$D$5:$D$504,MATCH($F1580&amp;"",계정매핑!$A$5:$A$504,0)),"미매핑"))</f>
        <v/>
      </c>
      <c r="X1580" s="9">
        <f>IF($A1580="","",$F1580&amp;"")</f>
        <v/>
      </c>
      <c r="Y1580" s="94">
        <f>IF($A1580="",0,IF(AE1580="직접",IF(AF1580="비귀속",$P1580,0),$P1580*(1-AG1580)*IFERROR(INDEX(계정대체기준!$F$20:$F$49,MATCH($N1580,계정대체기준!$A$20:$A$49,0)),1)))</f>
        <v/>
      </c>
      <c r="Z1580" s="94">
        <f>IF($A1580="",0,IF(AE1580="직접",IF(AF1580="신계약비",$P1580,0),$P1580*(1-AG1580)*IFERROR(INDEX(계정대체기준!$C$20:$C$49,MATCH($N1580,계정대체기준!$A$20:$A$49,0)),0)))</f>
        <v/>
      </c>
      <c r="AA1580" s="94">
        <f>IF($A1580="",0,IF(AE1580="직접",IF(OR(AF1580="유지비",AF1580="손해조사비"),$P1580,0),$P1580*(1-AG1580)*IFERROR(INDEX(계정대체기준!$D$20:$D$49,MATCH($N1580,계정대체기준!$A$20:$A$49,0)),0)))</f>
        <v/>
      </c>
      <c r="AB1580" s="94">
        <f>IF($A1580="",0,IF(AE1580="직접",IF(AF1580="수금비",$P1580,0),$P1580*(1-AG1580)*IFERROR(INDEX(계정대체기준!$E$20:$E$49,MATCH($N1580,계정대체기준!$A$20:$A$49,0)),0)))</f>
        <v/>
      </c>
      <c r="AC1580" s="9">
        <f>IF(AND($A1580&lt;&gt;"",M1580=설정!$C$20,Z1580&gt;0),Z1580+ROW()/1000000000,"")</f>
        <v/>
      </c>
      <c r="AD1580" s="94">
        <f>IF($A1580="",0,$P1580*AG1580)</f>
        <v/>
      </c>
      <c r="AE1580" s="64">
        <f>IF($A1580="","",IFERROR(INDEX(계정매핑!$E$5:$E$504,MATCH($F1580&amp;"",계정매핑!$A$5:$A$504,0))&amp;"","공통비"))</f>
        <v/>
      </c>
      <c r="AF1580" s="64">
        <f>IF($A1580="","",IF(AE1580="직접",IFERROR(INDEX(계정매핑!$F$5:$F$504,MATCH($F1580&amp;"",계정매핑!$A$5:$A$504,0))&amp;"","비귀속"),""))</f>
        <v/>
      </c>
      <c r="AG1580" s="96">
        <f>IF($A1580="",0,IF(AND(AE1580&lt;&gt;"직접",IFERROR(INDEX(계정매핑!$G$5:$G$504,MATCH($F1580&amp;"",계정매핑!$A$5:$A$504,0))&amp;"","")="유지비",COUNTIF(계정대체기준!$A$6:$A$15,$N1580)&gt;0),IFERROR(INDEX(계정대체기준!$E$6:$E$15,MATCH(VALUE($A1580&amp;""),계정대체기준!$D$6:$D$15,0)),0),0))</f>
        <v/>
      </c>
      <c r="AH1580" s="64">
        <f>IF($A1580="","",IF(AD1580=0,"",IF(OR(COUNTIF(계정대체기준!$A$77:$A$86,$N1580)&gt;0,ISNUMBER(MATCH($X1580,계정대체기준!$D$77:$D$86,0)),ISNUMBER(MATCH($F1580,계정대체기준!$D$77:$D$86,0))),"Y","N")))</f>
        <v/>
      </c>
    </row>
    <row r="1581">
      <c r="A1581" s="92" t="n">
        <v>2025</v>
      </c>
      <c r="B1581" s="92" t="n">
        <v>7</v>
      </c>
      <c r="C1581" s="92" t="inlineStr">
        <is>
          <t>5100001577</t>
        </is>
      </c>
      <c r="D1581" s="95" t="n">
        <v>45865</v>
      </c>
      <c r="E1581" s="92" t="inlineStr">
        <is>
          <t>KR</t>
        </is>
      </c>
      <c r="F1581" s="92" t="n">
        <v>62102000</v>
      </c>
      <c r="G1581" s="92" t="n">
        <v>1602</v>
      </c>
      <c r="H1581" s="93" t="n">
        <v>260000</v>
      </c>
      <c r="I1581" s="92" t="inlineStr">
        <is>
          <t>7월 해외출장 - N호텔</t>
        </is>
      </c>
      <c r="J1581" s="92" t="inlineStr">
        <is>
          <t>V10009</t>
        </is>
      </c>
      <c r="K1581" s="92" t="inlineStr">
        <is>
          <t>N호텔</t>
        </is>
      </c>
      <c r="M1581" s="9">
        <f>IF($A1581="","",VALUE($A1581&amp;"")*12+VALUE($B1581&amp;""))</f>
        <v/>
      </c>
      <c r="N1581" s="64">
        <f>IF($A1581="","",IFERROR(INDEX(부서매핑!$C$5:$C$504,MATCH($G1581&amp;"",부서매핑!$A$5:$A$504,0)),"미매핑"))</f>
        <v/>
      </c>
      <c r="O1581" s="9">
        <f>IF($A1581="","",N1581&amp;"|"&amp;$F1581)</f>
        <v/>
      </c>
      <c r="P1581" s="94">
        <f>IF($A1581="",0,$H1581*설정!$C$23)</f>
        <v/>
      </c>
      <c r="Q1581" s="64">
        <f>IF($A1581="","",IF(O1581&lt;&gt;원인분석!$C$9,"",IF(AND(M1581&gt;=원인분석!$C$10,M1581&lt;=원인분석!$C$11),"당기",IF(AND(M1581&gt;=원인분석!$C$12,M1581&lt;=원인분석!$C$13),"비교",""))))</f>
        <v/>
      </c>
      <c r="R1581" s="9">
        <f>IF(Q1581="","",$K1581&amp;"")</f>
        <v/>
      </c>
      <c r="S1581" s="9">
        <f>IF(Q1581="","",IF(MATCH(R1581,$R$5:$R$100000,0)=ROW()-4,ROW(),""))</f>
        <v/>
      </c>
      <c r="T1581" s="9">
        <f>IF(Q1581="당기",ABS(P1581)+ROW()/1000000000,"")</f>
        <v/>
      </c>
      <c r="U1581" s="9">
        <f>IF(Q1581="비교",ABS(P1581)+ROW()/1000000000,"")</f>
        <v/>
      </c>
      <c r="V1581" s="64">
        <f>IF($A1581="","",IF(COUNTIF(변동분석!$E$7:$E$506,O1581)&gt;0,"Y","N"))</f>
        <v/>
      </c>
      <c r="W1581" s="64">
        <f>IF($A1581="","",IFERROR(INDEX(계정매핑!$D$5:$D$504,MATCH($F1581&amp;"",계정매핑!$A$5:$A$504,0)),"미매핑"))</f>
        <v/>
      </c>
      <c r="X1581" s="9">
        <f>IF($A1581="","",$F1581&amp;"")</f>
        <v/>
      </c>
      <c r="Y1581" s="94">
        <f>IF($A1581="",0,IF(AE1581="직접",IF(AF1581="비귀속",$P1581,0),$P1581*(1-AG1581)*IFERROR(INDEX(계정대체기준!$F$20:$F$49,MATCH($N1581,계정대체기준!$A$20:$A$49,0)),1)))</f>
        <v/>
      </c>
      <c r="Z1581" s="94">
        <f>IF($A1581="",0,IF(AE1581="직접",IF(AF1581="신계약비",$P1581,0),$P1581*(1-AG1581)*IFERROR(INDEX(계정대체기준!$C$20:$C$49,MATCH($N1581,계정대체기준!$A$20:$A$49,0)),0)))</f>
        <v/>
      </c>
      <c r="AA1581" s="94">
        <f>IF($A1581="",0,IF(AE1581="직접",IF(OR(AF1581="유지비",AF1581="손해조사비"),$P1581,0),$P1581*(1-AG1581)*IFERROR(INDEX(계정대체기준!$D$20:$D$49,MATCH($N1581,계정대체기준!$A$20:$A$49,0)),0)))</f>
        <v/>
      </c>
      <c r="AB1581" s="94">
        <f>IF($A1581="",0,IF(AE1581="직접",IF(AF1581="수금비",$P1581,0),$P1581*(1-AG1581)*IFERROR(INDEX(계정대체기준!$E$20:$E$49,MATCH($N1581,계정대체기준!$A$20:$A$49,0)),0)))</f>
        <v/>
      </c>
      <c r="AC1581" s="9">
        <f>IF(AND($A1581&lt;&gt;"",M1581=설정!$C$20,Z1581&gt;0),Z1581+ROW()/1000000000,"")</f>
        <v/>
      </c>
      <c r="AD1581" s="94">
        <f>IF($A1581="",0,$P1581*AG1581)</f>
        <v/>
      </c>
      <c r="AE1581" s="64">
        <f>IF($A1581="","",IFERROR(INDEX(계정매핑!$E$5:$E$504,MATCH($F1581&amp;"",계정매핑!$A$5:$A$504,0))&amp;"","공통비"))</f>
        <v/>
      </c>
      <c r="AF1581" s="64">
        <f>IF($A1581="","",IF(AE1581="직접",IFERROR(INDEX(계정매핑!$F$5:$F$504,MATCH($F1581&amp;"",계정매핑!$A$5:$A$504,0))&amp;"","비귀속"),""))</f>
        <v/>
      </c>
      <c r="AG1581" s="96">
        <f>IF($A1581="",0,IF(AND(AE1581&lt;&gt;"직접",IFERROR(INDEX(계정매핑!$G$5:$G$504,MATCH($F1581&amp;"",계정매핑!$A$5:$A$504,0))&amp;"","")="유지비",COUNTIF(계정대체기준!$A$6:$A$15,$N1581)&gt;0),IFERROR(INDEX(계정대체기준!$E$6:$E$15,MATCH(VALUE($A1581&amp;""),계정대체기준!$D$6:$D$15,0)),0),0))</f>
        <v/>
      </c>
      <c r="AH1581" s="64">
        <f>IF($A1581="","",IF(AD1581=0,"",IF(OR(COUNTIF(계정대체기준!$A$77:$A$86,$N1581)&gt;0,ISNUMBER(MATCH($X1581,계정대체기준!$D$77:$D$86,0)),ISNUMBER(MATCH($F1581,계정대체기준!$D$77:$D$86,0))),"Y","N")))</f>
        <v/>
      </c>
    </row>
    <row r="1582">
      <c r="A1582" s="92" t="n">
        <v>2025</v>
      </c>
      <c r="B1582" s="92" t="n">
        <v>7</v>
      </c>
      <c r="C1582" s="92" t="inlineStr">
        <is>
          <t>5100001578</t>
        </is>
      </c>
      <c r="D1582" s="95" t="n">
        <v>45865</v>
      </c>
      <c r="E1582" s="92" t="inlineStr">
        <is>
          <t>KR</t>
        </is>
      </c>
      <c r="F1582" s="92" t="n">
        <v>62201000</v>
      </c>
      <c r="G1582" s="92" t="n">
        <v>1201</v>
      </c>
      <c r="H1582" s="93" t="n">
        <v>163000</v>
      </c>
      <c r="I1582" s="92" t="inlineStr">
        <is>
          <t>7월 통신요금 - P통신</t>
        </is>
      </c>
      <c r="J1582" s="92" t="inlineStr">
        <is>
          <t>V10014</t>
        </is>
      </c>
      <c r="K1582" s="92" t="inlineStr">
        <is>
          <t>P통신</t>
        </is>
      </c>
      <c r="M1582" s="9">
        <f>IF($A1582="","",VALUE($A1582&amp;"")*12+VALUE($B1582&amp;""))</f>
        <v/>
      </c>
      <c r="N1582" s="64">
        <f>IF($A1582="","",IFERROR(INDEX(부서매핑!$C$5:$C$504,MATCH($G1582&amp;"",부서매핑!$A$5:$A$504,0)),"미매핑"))</f>
        <v/>
      </c>
      <c r="O1582" s="9">
        <f>IF($A1582="","",N1582&amp;"|"&amp;$F1582)</f>
        <v/>
      </c>
      <c r="P1582" s="94">
        <f>IF($A1582="",0,$H1582*설정!$C$23)</f>
        <v/>
      </c>
      <c r="Q1582" s="64">
        <f>IF($A1582="","",IF(O1582&lt;&gt;원인분석!$C$9,"",IF(AND(M1582&gt;=원인분석!$C$10,M1582&lt;=원인분석!$C$11),"당기",IF(AND(M1582&gt;=원인분석!$C$12,M1582&lt;=원인분석!$C$13),"비교",""))))</f>
        <v/>
      </c>
      <c r="R1582" s="9">
        <f>IF(Q1582="","",$K1582&amp;"")</f>
        <v/>
      </c>
      <c r="S1582" s="9">
        <f>IF(Q1582="","",IF(MATCH(R1582,$R$5:$R$100000,0)=ROW()-4,ROW(),""))</f>
        <v/>
      </c>
      <c r="T1582" s="9">
        <f>IF(Q1582="당기",ABS(P1582)+ROW()/1000000000,"")</f>
        <v/>
      </c>
      <c r="U1582" s="9">
        <f>IF(Q1582="비교",ABS(P1582)+ROW()/1000000000,"")</f>
        <v/>
      </c>
      <c r="V1582" s="64">
        <f>IF($A1582="","",IF(COUNTIF(변동분석!$E$7:$E$506,O1582)&gt;0,"Y","N"))</f>
        <v/>
      </c>
      <c r="W1582" s="64">
        <f>IF($A1582="","",IFERROR(INDEX(계정매핑!$D$5:$D$504,MATCH($F1582&amp;"",계정매핑!$A$5:$A$504,0)),"미매핑"))</f>
        <v/>
      </c>
      <c r="X1582" s="9">
        <f>IF($A1582="","",$F1582&amp;"")</f>
        <v/>
      </c>
      <c r="Y1582" s="94">
        <f>IF($A1582="",0,IF(AE1582="직접",IF(AF1582="비귀속",$P1582,0),$P1582*(1-AG1582)*IFERROR(INDEX(계정대체기준!$F$20:$F$49,MATCH($N1582,계정대체기준!$A$20:$A$49,0)),1)))</f>
        <v/>
      </c>
      <c r="Z1582" s="94">
        <f>IF($A1582="",0,IF(AE1582="직접",IF(AF1582="신계약비",$P1582,0),$P1582*(1-AG1582)*IFERROR(INDEX(계정대체기준!$C$20:$C$49,MATCH($N1582,계정대체기준!$A$20:$A$49,0)),0)))</f>
        <v/>
      </c>
      <c r="AA1582" s="94">
        <f>IF($A1582="",0,IF(AE1582="직접",IF(OR(AF1582="유지비",AF1582="손해조사비"),$P1582,0),$P1582*(1-AG1582)*IFERROR(INDEX(계정대체기준!$D$20:$D$49,MATCH($N1582,계정대체기준!$A$20:$A$49,0)),0)))</f>
        <v/>
      </c>
      <c r="AB1582" s="94">
        <f>IF($A1582="",0,IF(AE1582="직접",IF(AF1582="수금비",$P1582,0),$P1582*(1-AG1582)*IFERROR(INDEX(계정대체기준!$E$20:$E$49,MATCH($N1582,계정대체기준!$A$20:$A$49,0)),0)))</f>
        <v/>
      </c>
      <c r="AC1582" s="9">
        <f>IF(AND($A1582&lt;&gt;"",M1582=설정!$C$20,Z1582&gt;0),Z1582+ROW()/1000000000,"")</f>
        <v/>
      </c>
      <c r="AD1582" s="94">
        <f>IF($A1582="",0,$P1582*AG1582)</f>
        <v/>
      </c>
      <c r="AE1582" s="64">
        <f>IF($A1582="","",IFERROR(INDEX(계정매핑!$E$5:$E$504,MATCH($F1582&amp;"",계정매핑!$A$5:$A$504,0))&amp;"","공통비"))</f>
        <v/>
      </c>
      <c r="AF1582" s="64">
        <f>IF($A1582="","",IF(AE1582="직접",IFERROR(INDEX(계정매핑!$F$5:$F$504,MATCH($F1582&amp;"",계정매핑!$A$5:$A$504,0))&amp;"","비귀속"),""))</f>
        <v/>
      </c>
      <c r="AG1582" s="96">
        <f>IF($A1582="",0,IF(AND(AE1582&lt;&gt;"직접",IFERROR(INDEX(계정매핑!$G$5:$G$504,MATCH($F1582&amp;"",계정매핑!$A$5:$A$504,0))&amp;"","")="유지비",COUNTIF(계정대체기준!$A$6:$A$15,$N1582)&gt;0),IFERROR(INDEX(계정대체기준!$E$6:$E$15,MATCH(VALUE($A1582&amp;""),계정대체기준!$D$6:$D$15,0)),0),0))</f>
        <v/>
      </c>
      <c r="AH1582" s="64">
        <f>IF($A1582="","",IF(AD1582=0,"",IF(OR(COUNTIF(계정대체기준!$A$77:$A$86,$N1582)&gt;0,ISNUMBER(MATCH($X1582,계정대체기준!$D$77:$D$86,0)),ISNUMBER(MATCH($F1582,계정대체기준!$D$77:$D$86,0))),"Y","N")))</f>
        <v/>
      </c>
    </row>
    <row r="1583">
      <c r="A1583" s="92" t="n">
        <v>2025</v>
      </c>
      <c r="B1583" s="92" t="n">
        <v>7</v>
      </c>
      <c r="C1583" s="92" t="inlineStr">
        <is>
          <t>5100001579</t>
        </is>
      </c>
      <c r="D1583" s="95" t="n">
        <v>45865</v>
      </c>
      <c r="E1583" s="92" t="inlineStr">
        <is>
          <t>KR</t>
        </is>
      </c>
      <c r="F1583" s="92" t="n">
        <v>62201000</v>
      </c>
      <c r="G1583" s="92" t="n">
        <v>1401</v>
      </c>
      <c r="H1583" s="93" t="n">
        <v>188000</v>
      </c>
      <c r="I1583" s="92" t="inlineStr">
        <is>
          <t>7월 통신요금 - P통신</t>
        </is>
      </c>
      <c r="J1583" s="92" t="inlineStr">
        <is>
          <t>V10014</t>
        </is>
      </c>
      <c r="K1583" s="92" t="inlineStr">
        <is>
          <t>P통신</t>
        </is>
      </c>
      <c r="M1583" s="9">
        <f>IF($A1583="","",VALUE($A1583&amp;"")*12+VALUE($B1583&amp;""))</f>
        <v/>
      </c>
      <c r="N1583" s="64">
        <f>IF($A1583="","",IFERROR(INDEX(부서매핑!$C$5:$C$504,MATCH($G1583&amp;"",부서매핑!$A$5:$A$504,0)),"미매핑"))</f>
        <v/>
      </c>
      <c r="O1583" s="9">
        <f>IF($A1583="","",N1583&amp;"|"&amp;$F1583)</f>
        <v/>
      </c>
      <c r="P1583" s="94">
        <f>IF($A1583="",0,$H1583*설정!$C$23)</f>
        <v/>
      </c>
      <c r="Q1583" s="64">
        <f>IF($A1583="","",IF(O1583&lt;&gt;원인분석!$C$9,"",IF(AND(M1583&gt;=원인분석!$C$10,M1583&lt;=원인분석!$C$11),"당기",IF(AND(M1583&gt;=원인분석!$C$12,M1583&lt;=원인분석!$C$13),"비교",""))))</f>
        <v/>
      </c>
      <c r="R1583" s="9">
        <f>IF(Q1583="","",$K1583&amp;"")</f>
        <v/>
      </c>
      <c r="S1583" s="9">
        <f>IF(Q1583="","",IF(MATCH(R1583,$R$5:$R$100000,0)=ROW()-4,ROW(),""))</f>
        <v/>
      </c>
      <c r="T1583" s="9">
        <f>IF(Q1583="당기",ABS(P1583)+ROW()/1000000000,"")</f>
        <v/>
      </c>
      <c r="U1583" s="9">
        <f>IF(Q1583="비교",ABS(P1583)+ROW()/1000000000,"")</f>
        <v/>
      </c>
      <c r="V1583" s="64">
        <f>IF($A1583="","",IF(COUNTIF(변동분석!$E$7:$E$506,O1583)&gt;0,"Y","N"))</f>
        <v/>
      </c>
      <c r="W1583" s="64">
        <f>IF($A1583="","",IFERROR(INDEX(계정매핑!$D$5:$D$504,MATCH($F1583&amp;"",계정매핑!$A$5:$A$504,0)),"미매핑"))</f>
        <v/>
      </c>
      <c r="X1583" s="9">
        <f>IF($A1583="","",$F1583&amp;"")</f>
        <v/>
      </c>
      <c r="Y1583" s="94">
        <f>IF($A1583="",0,IF(AE1583="직접",IF(AF1583="비귀속",$P1583,0),$P1583*(1-AG1583)*IFERROR(INDEX(계정대체기준!$F$20:$F$49,MATCH($N1583,계정대체기준!$A$20:$A$49,0)),1)))</f>
        <v/>
      </c>
      <c r="Z1583" s="94">
        <f>IF($A1583="",0,IF(AE1583="직접",IF(AF1583="신계약비",$P1583,0),$P1583*(1-AG1583)*IFERROR(INDEX(계정대체기준!$C$20:$C$49,MATCH($N1583,계정대체기준!$A$20:$A$49,0)),0)))</f>
        <v/>
      </c>
      <c r="AA1583" s="94">
        <f>IF($A1583="",0,IF(AE1583="직접",IF(OR(AF1583="유지비",AF1583="손해조사비"),$P1583,0),$P1583*(1-AG1583)*IFERROR(INDEX(계정대체기준!$D$20:$D$49,MATCH($N1583,계정대체기준!$A$20:$A$49,0)),0)))</f>
        <v/>
      </c>
      <c r="AB1583" s="94">
        <f>IF($A1583="",0,IF(AE1583="직접",IF(AF1583="수금비",$P1583,0),$P1583*(1-AG1583)*IFERROR(INDEX(계정대체기준!$E$20:$E$49,MATCH($N1583,계정대체기준!$A$20:$A$49,0)),0)))</f>
        <v/>
      </c>
      <c r="AC1583" s="9">
        <f>IF(AND($A1583&lt;&gt;"",M1583=설정!$C$20,Z1583&gt;0),Z1583+ROW()/1000000000,"")</f>
        <v/>
      </c>
      <c r="AD1583" s="94">
        <f>IF($A1583="",0,$P1583*AG1583)</f>
        <v/>
      </c>
      <c r="AE1583" s="64">
        <f>IF($A1583="","",IFERROR(INDEX(계정매핑!$E$5:$E$504,MATCH($F1583&amp;"",계정매핑!$A$5:$A$504,0))&amp;"","공통비"))</f>
        <v/>
      </c>
      <c r="AF1583" s="64">
        <f>IF($A1583="","",IF(AE1583="직접",IFERROR(INDEX(계정매핑!$F$5:$F$504,MATCH($F1583&amp;"",계정매핑!$A$5:$A$504,0))&amp;"","비귀속"),""))</f>
        <v/>
      </c>
      <c r="AG1583" s="96">
        <f>IF($A1583="",0,IF(AND(AE1583&lt;&gt;"직접",IFERROR(INDEX(계정매핑!$G$5:$G$504,MATCH($F1583&amp;"",계정매핑!$A$5:$A$504,0))&amp;"","")="유지비",COUNTIF(계정대체기준!$A$6:$A$15,$N1583)&gt;0),IFERROR(INDEX(계정대체기준!$E$6:$E$15,MATCH(VALUE($A1583&amp;""),계정대체기준!$D$6:$D$15,0)),0),0))</f>
        <v/>
      </c>
      <c r="AH1583" s="64">
        <f>IF($A1583="","",IF(AD1583=0,"",IF(OR(COUNTIF(계정대체기준!$A$77:$A$86,$N1583)&gt;0,ISNUMBER(MATCH($X1583,계정대체기준!$D$77:$D$86,0)),ISNUMBER(MATCH($F1583,계정대체기준!$D$77:$D$86,0))),"Y","N")))</f>
        <v/>
      </c>
    </row>
    <row r="1584">
      <c r="A1584" s="92" t="n">
        <v>2025</v>
      </c>
      <c r="B1584" s="92" t="n">
        <v>7</v>
      </c>
      <c r="C1584" s="92" t="inlineStr">
        <is>
          <t>5100001580</t>
        </is>
      </c>
      <c r="D1584" s="95" t="n">
        <v>45865</v>
      </c>
      <c r="E1584" s="92" t="inlineStr">
        <is>
          <t>KR</t>
        </is>
      </c>
      <c r="F1584" s="92" t="n">
        <v>62201000</v>
      </c>
      <c r="G1584" s="92" t="n">
        <v>1701</v>
      </c>
      <c r="H1584" s="93" t="n">
        <v>3702000</v>
      </c>
      <c r="I1584" s="92" t="inlineStr">
        <is>
          <t>7월 통신요금 - O텔레콤</t>
        </is>
      </c>
      <c r="J1584" s="92" t="inlineStr">
        <is>
          <t>V10002</t>
        </is>
      </c>
      <c r="K1584" s="92" t="inlineStr">
        <is>
          <t>O텔레콤</t>
        </is>
      </c>
      <c r="M1584" s="9">
        <f>IF($A1584="","",VALUE($A1584&amp;"")*12+VALUE($B1584&amp;""))</f>
        <v/>
      </c>
      <c r="N1584" s="64">
        <f>IF($A1584="","",IFERROR(INDEX(부서매핑!$C$5:$C$504,MATCH($G1584&amp;"",부서매핑!$A$5:$A$504,0)),"미매핑"))</f>
        <v/>
      </c>
      <c r="O1584" s="9">
        <f>IF($A1584="","",N1584&amp;"|"&amp;$F1584)</f>
        <v/>
      </c>
      <c r="P1584" s="94">
        <f>IF($A1584="",0,$H1584*설정!$C$23)</f>
        <v/>
      </c>
      <c r="Q1584" s="64">
        <f>IF($A1584="","",IF(O1584&lt;&gt;원인분석!$C$9,"",IF(AND(M1584&gt;=원인분석!$C$10,M1584&lt;=원인분석!$C$11),"당기",IF(AND(M1584&gt;=원인분석!$C$12,M1584&lt;=원인분석!$C$13),"비교",""))))</f>
        <v/>
      </c>
      <c r="R1584" s="9">
        <f>IF(Q1584="","",$K1584&amp;"")</f>
        <v/>
      </c>
      <c r="S1584" s="9">
        <f>IF(Q1584="","",IF(MATCH(R1584,$R$5:$R$100000,0)=ROW()-4,ROW(),""))</f>
        <v/>
      </c>
      <c r="T1584" s="9">
        <f>IF(Q1584="당기",ABS(P1584)+ROW()/1000000000,"")</f>
        <v/>
      </c>
      <c r="U1584" s="9">
        <f>IF(Q1584="비교",ABS(P1584)+ROW()/1000000000,"")</f>
        <v/>
      </c>
      <c r="V1584" s="64">
        <f>IF($A1584="","",IF(COUNTIF(변동분석!$E$7:$E$506,O1584)&gt;0,"Y","N"))</f>
        <v/>
      </c>
      <c r="W1584" s="64">
        <f>IF($A1584="","",IFERROR(INDEX(계정매핑!$D$5:$D$504,MATCH($F1584&amp;"",계정매핑!$A$5:$A$504,0)),"미매핑"))</f>
        <v/>
      </c>
      <c r="X1584" s="9">
        <f>IF($A1584="","",$F1584&amp;"")</f>
        <v/>
      </c>
      <c r="Y1584" s="94">
        <f>IF($A1584="",0,IF(AE1584="직접",IF(AF1584="비귀속",$P1584,0),$P1584*(1-AG1584)*IFERROR(INDEX(계정대체기준!$F$20:$F$49,MATCH($N1584,계정대체기준!$A$20:$A$49,0)),1)))</f>
        <v/>
      </c>
      <c r="Z1584" s="94">
        <f>IF($A1584="",0,IF(AE1584="직접",IF(AF1584="신계약비",$P1584,0),$P1584*(1-AG1584)*IFERROR(INDEX(계정대체기준!$C$20:$C$49,MATCH($N1584,계정대체기준!$A$20:$A$49,0)),0)))</f>
        <v/>
      </c>
      <c r="AA1584" s="94">
        <f>IF($A1584="",0,IF(AE1584="직접",IF(OR(AF1584="유지비",AF1584="손해조사비"),$P1584,0),$P1584*(1-AG1584)*IFERROR(INDEX(계정대체기준!$D$20:$D$49,MATCH($N1584,계정대체기준!$A$20:$A$49,0)),0)))</f>
        <v/>
      </c>
      <c r="AB1584" s="94">
        <f>IF($A1584="",0,IF(AE1584="직접",IF(AF1584="수금비",$P1584,0),$P1584*(1-AG1584)*IFERROR(INDEX(계정대체기준!$E$20:$E$49,MATCH($N1584,계정대체기준!$A$20:$A$49,0)),0)))</f>
        <v/>
      </c>
      <c r="AC1584" s="9">
        <f>IF(AND($A1584&lt;&gt;"",M1584=설정!$C$20,Z1584&gt;0),Z1584+ROW()/1000000000,"")</f>
        <v/>
      </c>
      <c r="AD1584" s="94">
        <f>IF($A1584="",0,$P1584*AG1584)</f>
        <v/>
      </c>
      <c r="AE1584" s="64">
        <f>IF($A1584="","",IFERROR(INDEX(계정매핑!$E$5:$E$504,MATCH($F1584&amp;"",계정매핑!$A$5:$A$504,0))&amp;"","공통비"))</f>
        <v/>
      </c>
      <c r="AF1584" s="64">
        <f>IF($A1584="","",IF(AE1584="직접",IFERROR(INDEX(계정매핑!$F$5:$F$504,MATCH($F1584&amp;"",계정매핑!$A$5:$A$504,0))&amp;"","비귀속"),""))</f>
        <v/>
      </c>
      <c r="AG1584" s="96">
        <f>IF($A1584="",0,IF(AND(AE1584&lt;&gt;"직접",IFERROR(INDEX(계정매핑!$G$5:$G$504,MATCH($F1584&amp;"",계정매핑!$A$5:$A$504,0))&amp;"","")="유지비",COUNTIF(계정대체기준!$A$6:$A$15,$N1584)&gt;0),IFERROR(INDEX(계정대체기준!$E$6:$E$15,MATCH(VALUE($A1584&amp;""),계정대체기준!$D$6:$D$15,0)),0),0))</f>
        <v/>
      </c>
      <c r="AH1584" s="64">
        <f>IF($A1584="","",IF(AD1584=0,"",IF(OR(COUNTIF(계정대체기준!$A$77:$A$86,$N1584)&gt;0,ISNUMBER(MATCH($X1584,계정대체기준!$D$77:$D$86,0)),ISNUMBER(MATCH($F1584,계정대체기준!$D$77:$D$86,0))),"Y","N")))</f>
        <v/>
      </c>
    </row>
    <row r="1585">
      <c r="A1585" s="92" t="n">
        <v>2025</v>
      </c>
      <c r="B1585" s="92" t="n">
        <v>7</v>
      </c>
      <c r="C1585" s="92" t="inlineStr">
        <is>
          <t>5100001581</t>
        </is>
      </c>
      <c r="D1585" s="95" t="n">
        <v>45865</v>
      </c>
      <c r="E1585" s="92" t="inlineStr">
        <is>
          <t>KR</t>
        </is>
      </c>
      <c r="F1585" s="92" t="n">
        <v>62301000</v>
      </c>
      <c r="G1585" s="92" t="n">
        <v>1601</v>
      </c>
      <c r="H1585" s="93" t="n">
        <v>222000</v>
      </c>
      <c r="I1585" s="92" t="inlineStr">
        <is>
          <t>7월 소모품 구입 - R문구</t>
        </is>
      </c>
      <c r="J1585" s="92" t="inlineStr">
        <is>
          <t>V10022</t>
        </is>
      </c>
      <c r="K1585" s="92" t="inlineStr">
        <is>
          <t>R문구</t>
        </is>
      </c>
      <c r="M1585" s="9">
        <f>IF($A1585="","",VALUE($A1585&amp;"")*12+VALUE($B1585&amp;""))</f>
        <v/>
      </c>
      <c r="N1585" s="64">
        <f>IF($A1585="","",IFERROR(INDEX(부서매핑!$C$5:$C$504,MATCH($G1585&amp;"",부서매핑!$A$5:$A$504,0)),"미매핑"))</f>
        <v/>
      </c>
      <c r="O1585" s="9">
        <f>IF($A1585="","",N1585&amp;"|"&amp;$F1585)</f>
        <v/>
      </c>
      <c r="P1585" s="94">
        <f>IF($A1585="",0,$H1585*설정!$C$23)</f>
        <v/>
      </c>
      <c r="Q1585" s="64">
        <f>IF($A1585="","",IF(O1585&lt;&gt;원인분석!$C$9,"",IF(AND(M1585&gt;=원인분석!$C$10,M1585&lt;=원인분석!$C$11),"당기",IF(AND(M1585&gt;=원인분석!$C$12,M1585&lt;=원인분석!$C$13),"비교",""))))</f>
        <v/>
      </c>
      <c r="R1585" s="9">
        <f>IF(Q1585="","",$K1585&amp;"")</f>
        <v/>
      </c>
      <c r="S1585" s="9">
        <f>IF(Q1585="","",IF(MATCH(R1585,$R$5:$R$100000,0)=ROW()-4,ROW(),""))</f>
        <v/>
      </c>
      <c r="T1585" s="9">
        <f>IF(Q1585="당기",ABS(P1585)+ROW()/1000000000,"")</f>
        <v/>
      </c>
      <c r="U1585" s="9">
        <f>IF(Q1585="비교",ABS(P1585)+ROW()/1000000000,"")</f>
        <v/>
      </c>
      <c r="V1585" s="64">
        <f>IF($A1585="","",IF(COUNTIF(변동분석!$E$7:$E$506,O1585)&gt;0,"Y","N"))</f>
        <v/>
      </c>
      <c r="W1585" s="64">
        <f>IF($A1585="","",IFERROR(INDEX(계정매핑!$D$5:$D$504,MATCH($F1585&amp;"",계정매핑!$A$5:$A$504,0)),"미매핑"))</f>
        <v/>
      </c>
      <c r="X1585" s="9">
        <f>IF($A1585="","",$F1585&amp;"")</f>
        <v/>
      </c>
      <c r="Y1585" s="94">
        <f>IF($A1585="",0,IF(AE1585="직접",IF(AF1585="비귀속",$P1585,0),$P1585*(1-AG1585)*IFERROR(INDEX(계정대체기준!$F$20:$F$49,MATCH($N1585,계정대체기준!$A$20:$A$49,0)),1)))</f>
        <v/>
      </c>
      <c r="Z1585" s="94">
        <f>IF($A1585="",0,IF(AE1585="직접",IF(AF1585="신계약비",$P1585,0),$P1585*(1-AG1585)*IFERROR(INDEX(계정대체기준!$C$20:$C$49,MATCH($N1585,계정대체기준!$A$20:$A$49,0)),0)))</f>
        <v/>
      </c>
      <c r="AA1585" s="94">
        <f>IF($A1585="",0,IF(AE1585="직접",IF(OR(AF1585="유지비",AF1585="손해조사비"),$P1585,0),$P1585*(1-AG1585)*IFERROR(INDEX(계정대체기준!$D$20:$D$49,MATCH($N1585,계정대체기준!$A$20:$A$49,0)),0)))</f>
        <v/>
      </c>
      <c r="AB1585" s="94">
        <f>IF($A1585="",0,IF(AE1585="직접",IF(AF1585="수금비",$P1585,0),$P1585*(1-AG1585)*IFERROR(INDEX(계정대체기준!$E$20:$E$49,MATCH($N1585,계정대체기준!$A$20:$A$49,0)),0)))</f>
        <v/>
      </c>
      <c r="AC1585" s="9">
        <f>IF(AND($A1585&lt;&gt;"",M1585=설정!$C$20,Z1585&gt;0),Z1585+ROW()/1000000000,"")</f>
        <v/>
      </c>
      <c r="AD1585" s="94">
        <f>IF($A1585="",0,$P1585*AG1585)</f>
        <v/>
      </c>
      <c r="AE1585" s="64">
        <f>IF($A1585="","",IFERROR(INDEX(계정매핑!$E$5:$E$504,MATCH($F1585&amp;"",계정매핑!$A$5:$A$504,0))&amp;"","공통비"))</f>
        <v/>
      </c>
      <c r="AF1585" s="64">
        <f>IF($A1585="","",IF(AE1585="직접",IFERROR(INDEX(계정매핑!$F$5:$F$504,MATCH($F1585&amp;"",계정매핑!$A$5:$A$504,0))&amp;"","비귀속"),""))</f>
        <v/>
      </c>
      <c r="AG1585" s="96">
        <f>IF($A1585="",0,IF(AND(AE1585&lt;&gt;"직접",IFERROR(INDEX(계정매핑!$G$5:$G$504,MATCH($F1585&amp;"",계정매핑!$A$5:$A$504,0))&amp;"","")="유지비",COUNTIF(계정대체기준!$A$6:$A$15,$N1585)&gt;0),IFERROR(INDEX(계정대체기준!$E$6:$E$15,MATCH(VALUE($A1585&amp;""),계정대체기준!$D$6:$D$15,0)),0),0))</f>
        <v/>
      </c>
      <c r="AH1585" s="64">
        <f>IF($A1585="","",IF(AD1585=0,"",IF(OR(COUNTIF(계정대체기준!$A$77:$A$86,$N1585)&gt;0,ISNUMBER(MATCH($X1585,계정대체기준!$D$77:$D$86,0)),ISNUMBER(MATCH($F1585,계정대체기준!$D$77:$D$86,0))),"Y","N")))</f>
        <v/>
      </c>
    </row>
    <row r="1586">
      <c r="A1586" s="92" t="n">
        <v>2025</v>
      </c>
      <c r="B1586" s="92" t="n">
        <v>7</v>
      </c>
      <c r="C1586" s="92" t="inlineStr">
        <is>
          <t>5100001582</t>
        </is>
      </c>
      <c r="D1586" s="95" t="n">
        <v>45865</v>
      </c>
      <c r="E1586" s="92" t="inlineStr">
        <is>
          <t>KR</t>
        </is>
      </c>
      <c r="F1586" s="92" t="n">
        <v>62601000</v>
      </c>
      <c r="G1586" s="92" t="n">
        <v>1101</v>
      </c>
      <c r="H1586" s="93" t="n">
        <v>1124000</v>
      </c>
      <c r="I1586" s="92" t="inlineStr">
        <is>
          <t>7월 업무추진 - (법인카드)</t>
        </is>
      </c>
      <c r="J1586" s="92" t="inlineStr">
        <is>
          <t>V10010</t>
        </is>
      </c>
      <c r="K1586" s="92" t="inlineStr">
        <is>
          <t>(법인카드)</t>
        </is>
      </c>
      <c r="M1586" s="9">
        <f>IF($A1586="","",VALUE($A1586&amp;"")*12+VALUE($B1586&amp;""))</f>
        <v/>
      </c>
      <c r="N1586" s="64">
        <f>IF($A1586="","",IFERROR(INDEX(부서매핑!$C$5:$C$504,MATCH($G1586&amp;"",부서매핑!$A$5:$A$504,0)),"미매핑"))</f>
        <v/>
      </c>
      <c r="O1586" s="9">
        <f>IF($A1586="","",N1586&amp;"|"&amp;$F1586)</f>
        <v/>
      </c>
      <c r="P1586" s="94">
        <f>IF($A1586="",0,$H1586*설정!$C$23)</f>
        <v/>
      </c>
      <c r="Q1586" s="64">
        <f>IF($A1586="","",IF(O1586&lt;&gt;원인분석!$C$9,"",IF(AND(M1586&gt;=원인분석!$C$10,M1586&lt;=원인분석!$C$11),"당기",IF(AND(M1586&gt;=원인분석!$C$12,M1586&lt;=원인분석!$C$13),"비교",""))))</f>
        <v/>
      </c>
      <c r="R1586" s="9">
        <f>IF(Q1586="","",$K1586&amp;"")</f>
        <v/>
      </c>
      <c r="S1586" s="9">
        <f>IF(Q1586="","",IF(MATCH(R1586,$R$5:$R$100000,0)=ROW()-4,ROW(),""))</f>
        <v/>
      </c>
      <c r="T1586" s="9">
        <f>IF(Q1586="당기",ABS(P1586)+ROW()/1000000000,"")</f>
        <v/>
      </c>
      <c r="U1586" s="9">
        <f>IF(Q1586="비교",ABS(P1586)+ROW()/1000000000,"")</f>
        <v/>
      </c>
      <c r="V1586" s="64">
        <f>IF($A1586="","",IF(COUNTIF(변동분석!$E$7:$E$506,O1586)&gt;0,"Y","N"))</f>
        <v/>
      </c>
      <c r="W1586" s="64">
        <f>IF($A1586="","",IFERROR(INDEX(계정매핑!$D$5:$D$504,MATCH($F1586&amp;"",계정매핑!$A$5:$A$504,0)),"미매핑"))</f>
        <v/>
      </c>
      <c r="X1586" s="9">
        <f>IF($A1586="","",$F1586&amp;"")</f>
        <v/>
      </c>
      <c r="Y1586" s="94">
        <f>IF($A1586="",0,IF(AE1586="직접",IF(AF1586="비귀속",$P1586,0),$P1586*(1-AG1586)*IFERROR(INDEX(계정대체기준!$F$20:$F$49,MATCH($N1586,계정대체기준!$A$20:$A$49,0)),1)))</f>
        <v/>
      </c>
      <c r="Z1586" s="94">
        <f>IF($A1586="",0,IF(AE1586="직접",IF(AF1586="신계약비",$P1586,0),$P1586*(1-AG1586)*IFERROR(INDEX(계정대체기준!$C$20:$C$49,MATCH($N1586,계정대체기준!$A$20:$A$49,0)),0)))</f>
        <v/>
      </c>
      <c r="AA1586" s="94">
        <f>IF($A1586="",0,IF(AE1586="직접",IF(OR(AF1586="유지비",AF1586="손해조사비"),$P1586,0),$P1586*(1-AG1586)*IFERROR(INDEX(계정대체기준!$D$20:$D$49,MATCH($N1586,계정대체기준!$A$20:$A$49,0)),0)))</f>
        <v/>
      </c>
      <c r="AB1586" s="94">
        <f>IF($A1586="",0,IF(AE1586="직접",IF(AF1586="수금비",$P1586,0),$P1586*(1-AG1586)*IFERROR(INDEX(계정대체기준!$E$20:$E$49,MATCH($N1586,계정대체기준!$A$20:$A$49,0)),0)))</f>
        <v/>
      </c>
      <c r="AC1586" s="9">
        <f>IF(AND($A1586&lt;&gt;"",M1586=설정!$C$20,Z1586&gt;0),Z1586+ROW()/1000000000,"")</f>
        <v/>
      </c>
      <c r="AD1586" s="94">
        <f>IF($A1586="",0,$P1586*AG1586)</f>
        <v/>
      </c>
      <c r="AE1586" s="64">
        <f>IF($A1586="","",IFERROR(INDEX(계정매핑!$E$5:$E$504,MATCH($F1586&amp;"",계정매핑!$A$5:$A$504,0))&amp;"","공통비"))</f>
        <v/>
      </c>
      <c r="AF1586" s="64">
        <f>IF($A1586="","",IF(AE1586="직접",IFERROR(INDEX(계정매핑!$F$5:$F$504,MATCH($F1586&amp;"",계정매핑!$A$5:$A$504,0))&amp;"","비귀속"),""))</f>
        <v/>
      </c>
      <c r="AG1586" s="96">
        <f>IF($A1586="",0,IF(AND(AE1586&lt;&gt;"직접",IFERROR(INDEX(계정매핑!$G$5:$G$504,MATCH($F1586&amp;"",계정매핑!$A$5:$A$504,0))&amp;"","")="유지비",COUNTIF(계정대체기준!$A$6:$A$15,$N1586)&gt;0),IFERROR(INDEX(계정대체기준!$E$6:$E$15,MATCH(VALUE($A1586&amp;""),계정대체기준!$D$6:$D$15,0)),0),0))</f>
        <v/>
      </c>
      <c r="AH1586" s="64">
        <f>IF($A1586="","",IF(AD1586=0,"",IF(OR(COUNTIF(계정대체기준!$A$77:$A$86,$N1586)&gt;0,ISNUMBER(MATCH($X1586,계정대체기준!$D$77:$D$86,0)),ISNUMBER(MATCH($F1586,계정대체기준!$D$77:$D$86,0))),"Y","N")))</f>
        <v/>
      </c>
    </row>
    <row r="1587">
      <c r="A1587" s="92" t="n">
        <v>2025</v>
      </c>
      <c r="B1587" s="92" t="n">
        <v>7</v>
      </c>
      <c r="C1587" s="92" t="inlineStr">
        <is>
          <t>5100001583</t>
        </is>
      </c>
      <c r="D1587" s="95" t="n">
        <v>45865</v>
      </c>
      <c r="E1587" s="92" t="inlineStr">
        <is>
          <t>KR</t>
        </is>
      </c>
      <c r="F1587" s="92" t="n">
        <v>62901000</v>
      </c>
      <c r="G1587" s="92" t="n">
        <v>1101</v>
      </c>
      <c r="H1587" s="93" t="n">
        <v>4649000</v>
      </c>
      <c r="I1587" s="92" t="inlineStr">
        <is>
          <t>7월 자문 수수료 - K회계법인</t>
        </is>
      </c>
      <c r="J1587" s="92" t="inlineStr">
        <is>
          <t>V10011</t>
        </is>
      </c>
      <c r="K1587" s="92" t="inlineStr">
        <is>
          <t>K회계법인</t>
        </is>
      </c>
      <c r="M1587" s="9">
        <f>IF($A1587="","",VALUE($A1587&amp;"")*12+VALUE($B1587&amp;""))</f>
        <v/>
      </c>
      <c r="N1587" s="64">
        <f>IF($A1587="","",IFERROR(INDEX(부서매핑!$C$5:$C$504,MATCH($G1587&amp;"",부서매핑!$A$5:$A$504,0)),"미매핑"))</f>
        <v/>
      </c>
      <c r="O1587" s="9">
        <f>IF($A1587="","",N1587&amp;"|"&amp;$F1587)</f>
        <v/>
      </c>
      <c r="P1587" s="94">
        <f>IF($A1587="",0,$H1587*설정!$C$23)</f>
        <v/>
      </c>
      <c r="Q1587" s="64">
        <f>IF($A1587="","",IF(O1587&lt;&gt;원인분석!$C$9,"",IF(AND(M1587&gt;=원인분석!$C$10,M1587&lt;=원인분석!$C$11),"당기",IF(AND(M1587&gt;=원인분석!$C$12,M1587&lt;=원인분석!$C$13),"비교",""))))</f>
        <v/>
      </c>
      <c r="R1587" s="9">
        <f>IF(Q1587="","",$K1587&amp;"")</f>
        <v/>
      </c>
      <c r="S1587" s="9">
        <f>IF(Q1587="","",IF(MATCH(R1587,$R$5:$R$100000,0)=ROW()-4,ROW(),""))</f>
        <v/>
      </c>
      <c r="T1587" s="9">
        <f>IF(Q1587="당기",ABS(P1587)+ROW()/1000000000,"")</f>
        <v/>
      </c>
      <c r="U1587" s="9">
        <f>IF(Q1587="비교",ABS(P1587)+ROW()/1000000000,"")</f>
        <v/>
      </c>
      <c r="V1587" s="64">
        <f>IF($A1587="","",IF(COUNTIF(변동분석!$E$7:$E$506,O1587)&gt;0,"Y","N"))</f>
        <v/>
      </c>
      <c r="W1587" s="64">
        <f>IF($A1587="","",IFERROR(INDEX(계정매핑!$D$5:$D$504,MATCH($F1587&amp;"",계정매핑!$A$5:$A$504,0)),"미매핑"))</f>
        <v/>
      </c>
      <c r="X1587" s="9">
        <f>IF($A1587="","",$F1587&amp;"")</f>
        <v/>
      </c>
      <c r="Y1587" s="94">
        <f>IF($A1587="",0,IF(AE1587="직접",IF(AF1587="비귀속",$P1587,0),$P1587*(1-AG1587)*IFERROR(INDEX(계정대체기준!$F$20:$F$49,MATCH($N1587,계정대체기준!$A$20:$A$49,0)),1)))</f>
        <v/>
      </c>
      <c r="Z1587" s="94">
        <f>IF($A1587="",0,IF(AE1587="직접",IF(AF1587="신계약비",$P1587,0),$P1587*(1-AG1587)*IFERROR(INDEX(계정대체기준!$C$20:$C$49,MATCH($N1587,계정대체기준!$A$20:$A$49,0)),0)))</f>
        <v/>
      </c>
      <c r="AA1587" s="94">
        <f>IF($A1587="",0,IF(AE1587="직접",IF(OR(AF1587="유지비",AF1587="손해조사비"),$P1587,0),$P1587*(1-AG1587)*IFERROR(INDEX(계정대체기준!$D$20:$D$49,MATCH($N1587,계정대체기준!$A$20:$A$49,0)),0)))</f>
        <v/>
      </c>
      <c r="AB1587" s="94">
        <f>IF($A1587="",0,IF(AE1587="직접",IF(AF1587="수금비",$P1587,0),$P1587*(1-AG1587)*IFERROR(INDEX(계정대체기준!$E$20:$E$49,MATCH($N1587,계정대체기준!$A$20:$A$49,0)),0)))</f>
        <v/>
      </c>
      <c r="AC1587" s="9">
        <f>IF(AND($A1587&lt;&gt;"",M1587=설정!$C$20,Z1587&gt;0),Z1587+ROW()/1000000000,"")</f>
        <v/>
      </c>
      <c r="AD1587" s="94">
        <f>IF($A1587="",0,$P1587*AG1587)</f>
        <v/>
      </c>
      <c r="AE1587" s="64">
        <f>IF($A1587="","",IFERROR(INDEX(계정매핑!$E$5:$E$504,MATCH($F1587&amp;"",계정매핑!$A$5:$A$504,0))&amp;"","공통비"))</f>
        <v/>
      </c>
      <c r="AF1587" s="64">
        <f>IF($A1587="","",IF(AE1587="직접",IFERROR(INDEX(계정매핑!$F$5:$F$504,MATCH($F1587&amp;"",계정매핑!$A$5:$A$504,0))&amp;"","비귀속"),""))</f>
        <v/>
      </c>
      <c r="AG1587" s="96">
        <f>IF($A1587="",0,IF(AND(AE1587&lt;&gt;"직접",IFERROR(INDEX(계정매핑!$G$5:$G$504,MATCH($F1587&amp;"",계정매핑!$A$5:$A$504,0))&amp;"","")="유지비",COUNTIF(계정대체기준!$A$6:$A$15,$N1587)&gt;0),IFERROR(INDEX(계정대체기준!$E$6:$E$15,MATCH(VALUE($A1587&amp;""),계정대체기준!$D$6:$D$15,0)),0),0))</f>
        <v/>
      </c>
      <c r="AH1587" s="64">
        <f>IF($A1587="","",IF(AD1587=0,"",IF(OR(COUNTIF(계정대체기준!$A$77:$A$86,$N1587)&gt;0,ISNUMBER(MATCH($X1587,계정대체기준!$D$77:$D$86,0)),ISNUMBER(MATCH($F1587,계정대체기준!$D$77:$D$86,0))),"Y","N")))</f>
        <v/>
      </c>
    </row>
    <row r="1588">
      <c r="A1588" s="92" t="n">
        <v>2025</v>
      </c>
      <c r="B1588" s="92" t="n">
        <v>7</v>
      </c>
      <c r="C1588" s="92" t="inlineStr">
        <is>
          <t>5100001584</t>
        </is>
      </c>
      <c r="D1588" s="95" t="n">
        <v>45865</v>
      </c>
      <c r="E1588" s="92" t="inlineStr">
        <is>
          <t>KR</t>
        </is>
      </c>
      <c r="F1588" s="92" t="n">
        <v>62901000</v>
      </c>
      <c r="G1588" s="92" t="n">
        <v>1201</v>
      </c>
      <c r="H1588" s="93" t="n">
        <v>5407000</v>
      </c>
      <c r="I1588" s="92" t="inlineStr">
        <is>
          <t>7월 자문 수수료 - K회계법인</t>
        </is>
      </c>
      <c r="J1588" s="92" t="inlineStr">
        <is>
          <t>V10011</t>
        </is>
      </c>
      <c r="K1588" s="92" t="inlineStr">
        <is>
          <t>K회계법인</t>
        </is>
      </c>
      <c r="M1588" s="9">
        <f>IF($A1588="","",VALUE($A1588&amp;"")*12+VALUE($B1588&amp;""))</f>
        <v/>
      </c>
      <c r="N1588" s="64">
        <f>IF($A1588="","",IFERROR(INDEX(부서매핑!$C$5:$C$504,MATCH($G1588&amp;"",부서매핑!$A$5:$A$504,0)),"미매핑"))</f>
        <v/>
      </c>
      <c r="O1588" s="9">
        <f>IF($A1588="","",N1588&amp;"|"&amp;$F1588)</f>
        <v/>
      </c>
      <c r="P1588" s="94">
        <f>IF($A1588="",0,$H1588*설정!$C$23)</f>
        <v/>
      </c>
      <c r="Q1588" s="64">
        <f>IF($A1588="","",IF(O1588&lt;&gt;원인분석!$C$9,"",IF(AND(M1588&gt;=원인분석!$C$10,M1588&lt;=원인분석!$C$11),"당기",IF(AND(M1588&gt;=원인분석!$C$12,M1588&lt;=원인분석!$C$13),"비교",""))))</f>
        <v/>
      </c>
      <c r="R1588" s="9">
        <f>IF(Q1588="","",$K1588&amp;"")</f>
        <v/>
      </c>
      <c r="S1588" s="9">
        <f>IF(Q1588="","",IF(MATCH(R1588,$R$5:$R$100000,0)=ROW()-4,ROW(),""))</f>
        <v/>
      </c>
      <c r="T1588" s="9">
        <f>IF(Q1588="당기",ABS(P1588)+ROW()/1000000000,"")</f>
        <v/>
      </c>
      <c r="U1588" s="9">
        <f>IF(Q1588="비교",ABS(P1588)+ROW()/1000000000,"")</f>
        <v/>
      </c>
      <c r="V1588" s="64">
        <f>IF($A1588="","",IF(COUNTIF(변동분석!$E$7:$E$506,O1588)&gt;0,"Y","N"))</f>
        <v/>
      </c>
      <c r="W1588" s="64">
        <f>IF($A1588="","",IFERROR(INDEX(계정매핑!$D$5:$D$504,MATCH($F1588&amp;"",계정매핑!$A$5:$A$504,0)),"미매핑"))</f>
        <v/>
      </c>
      <c r="X1588" s="9">
        <f>IF($A1588="","",$F1588&amp;"")</f>
        <v/>
      </c>
      <c r="Y1588" s="94">
        <f>IF($A1588="",0,IF(AE1588="직접",IF(AF1588="비귀속",$P1588,0),$P1588*(1-AG1588)*IFERROR(INDEX(계정대체기준!$F$20:$F$49,MATCH($N1588,계정대체기준!$A$20:$A$49,0)),1)))</f>
        <v/>
      </c>
      <c r="Z1588" s="94">
        <f>IF($A1588="",0,IF(AE1588="직접",IF(AF1588="신계약비",$P1588,0),$P1588*(1-AG1588)*IFERROR(INDEX(계정대체기준!$C$20:$C$49,MATCH($N1588,계정대체기준!$A$20:$A$49,0)),0)))</f>
        <v/>
      </c>
      <c r="AA1588" s="94">
        <f>IF($A1588="",0,IF(AE1588="직접",IF(OR(AF1588="유지비",AF1588="손해조사비"),$P1588,0),$P1588*(1-AG1588)*IFERROR(INDEX(계정대체기준!$D$20:$D$49,MATCH($N1588,계정대체기준!$A$20:$A$49,0)),0)))</f>
        <v/>
      </c>
      <c r="AB1588" s="94">
        <f>IF($A1588="",0,IF(AE1588="직접",IF(AF1588="수금비",$P1588,0),$P1588*(1-AG1588)*IFERROR(INDEX(계정대체기준!$E$20:$E$49,MATCH($N1588,계정대체기준!$A$20:$A$49,0)),0)))</f>
        <v/>
      </c>
      <c r="AC1588" s="9">
        <f>IF(AND($A1588&lt;&gt;"",M1588=설정!$C$20,Z1588&gt;0),Z1588+ROW()/1000000000,"")</f>
        <v/>
      </c>
      <c r="AD1588" s="94">
        <f>IF($A1588="",0,$P1588*AG1588)</f>
        <v/>
      </c>
      <c r="AE1588" s="64">
        <f>IF($A1588="","",IFERROR(INDEX(계정매핑!$E$5:$E$504,MATCH($F1588&amp;"",계정매핑!$A$5:$A$504,0))&amp;"","공통비"))</f>
        <v/>
      </c>
      <c r="AF1588" s="64">
        <f>IF($A1588="","",IF(AE1588="직접",IFERROR(INDEX(계정매핑!$F$5:$F$504,MATCH($F1588&amp;"",계정매핑!$A$5:$A$504,0))&amp;"","비귀속"),""))</f>
        <v/>
      </c>
      <c r="AG1588" s="96">
        <f>IF($A1588="",0,IF(AND(AE1588&lt;&gt;"직접",IFERROR(INDEX(계정매핑!$G$5:$G$504,MATCH($F1588&amp;"",계정매핑!$A$5:$A$504,0))&amp;"","")="유지비",COUNTIF(계정대체기준!$A$6:$A$15,$N1588)&gt;0),IFERROR(INDEX(계정대체기준!$E$6:$E$15,MATCH(VALUE($A1588&amp;""),계정대체기준!$D$6:$D$15,0)),0),0))</f>
        <v/>
      </c>
      <c r="AH1588" s="64">
        <f>IF($A1588="","",IF(AD1588=0,"",IF(OR(COUNTIF(계정대체기준!$A$77:$A$86,$N1588)&gt;0,ISNUMBER(MATCH($X1588,계정대체기준!$D$77:$D$86,0)),ISNUMBER(MATCH($F1588,계정대체기준!$D$77:$D$86,0))),"Y","N")))</f>
        <v/>
      </c>
    </row>
    <row r="1589">
      <c r="A1589" s="92" t="n">
        <v>2025</v>
      </c>
      <c r="B1589" s="92" t="n">
        <v>7</v>
      </c>
      <c r="C1589" s="92" t="inlineStr">
        <is>
          <t>5100001585</t>
        </is>
      </c>
      <c r="D1589" s="95" t="n">
        <v>45865</v>
      </c>
      <c r="E1589" s="92" t="inlineStr">
        <is>
          <t>KR</t>
        </is>
      </c>
      <c r="F1589" s="92" t="n">
        <v>62902000</v>
      </c>
      <c r="G1589" s="92" t="n">
        <v>1801</v>
      </c>
      <c r="H1589" s="93" t="n">
        <v>1827000</v>
      </c>
      <c r="I1589" s="92" t="inlineStr">
        <is>
          <t>7월 콜 위탁 수수료(건별)</t>
        </is>
      </c>
      <c r="J1589" s="92" t="inlineStr">
        <is>
          <t>V10016</t>
        </is>
      </c>
      <c r="K1589" s="92" t="inlineStr">
        <is>
          <t>J콜센터</t>
        </is>
      </c>
      <c r="M1589" s="9">
        <f>IF($A1589="","",VALUE($A1589&amp;"")*12+VALUE($B1589&amp;""))</f>
        <v/>
      </c>
      <c r="N1589" s="64">
        <f>IF($A1589="","",IFERROR(INDEX(부서매핑!$C$5:$C$504,MATCH($G1589&amp;"",부서매핑!$A$5:$A$504,0)),"미매핑"))</f>
        <v/>
      </c>
      <c r="O1589" s="9">
        <f>IF($A1589="","",N1589&amp;"|"&amp;$F1589)</f>
        <v/>
      </c>
      <c r="P1589" s="94">
        <f>IF($A1589="",0,$H1589*설정!$C$23)</f>
        <v/>
      </c>
      <c r="Q1589" s="64">
        <f>IF($A1589="","",IF(O1589&lt;&gt;원인분석!$C$9,"",IF(AND(M1589&gt;=원인분석!$C$10,M1589&lt;=원인분석!$C$11),"당기",IF(AND(M1589&gt;=원인분석!$C$12,M1589&lt;=원인분석!$C$13),"비교",""))))</f>
        <v/>
      </c>
      <c r="R1589" s="9">
        <f>IF(Q1589="","",$K1589&amp;"")</f>
        <v/>
      </c>
      <c r="S1589" s="9">
        <f>IF(Q1589="","",IF(MATCH(R1589,$R$5:$R$100000,0)=ROW()-4,ROW(),""))</f>
        <v/>
      </c>
      <c r="T1589" s="9">
        <f>IF(Q1589="당기",ABS(P1589)+ROW()/1000000000,"")</f>
        <v/>
      </c>
      <c r="U1589" s="9">
        <f>IF(Q1589="비교",ABS(P1589)+ROW()/1000000000,"")</f>
        <v/>
      </c>
      <c r="V1589" s="64">
        <f>IF($A1589="","",IF(COUNTIF(변동분석!$E$7:$E$506,O1589)&gt;0,"Y","N"))</f>
        <v/>
      </c>
      <c r="W1589" s="64">
        <f>IF($A1589="","",IFERROR(INDEX(계정매핑!$D$5:$D$504,MATCH($F1589&amp;"",계정매핑!$A$5:$A$504,0)),"미매핑"))</f>
        <v/>
      </c>
      <c r="X1589" s="9">
        <f>IF($A1589="","",$F1589&amp;"")</f>
        <v/>
      </c>
      <c r="Y1589" s="94">
        <f>IF($A1589="",0,IF(AE1589="직접",IF(AF1589="비귀속",$P1589,0),$P1589*(1-AG1589)*IFERROR(INDEX(계정대체기준!$F$20:$F$49,MATCH($N1589,계정대체기준!$A$20:$A$49,0)),1)))</f>
        <v/>
      </c>
      <c r="Z1589" s="94">
        <f>IF($A1589="",0,IF(AE1589="직접",IF(AF1589="신계약비",$P1589,0),$P1589*(1-AG1589)*IFERROR(INDEX(계정대체기준!$C$20:$C$49,MATCH($N1589,계정대체기준!$A$20:$A$49,0)),0)))</f>
        <v/>
      </c>
      <c r="AA1589" s="94">
        <f>IF($A1589="",0,IF(AE1589="직접",IF(OR(AF1589="유지비",AF1589="손해조사비"),$P1589,0),$P1589*(1-AG1589)*IFERROR(INDEX(계정대체기준!$D$20:$D$49,MATCH($N1589,계정대체기준!$A$20:$A$49,0)),0)))</f>
        <v/>
      </c>
      <c r="AB1589" s="94">
        <f>IF($A1589="",0,IF(AE1589="직접",IF(AF1589="수금비",$P1589,0),$P1589*(1-AG1589)*IFERROR(INDEX(계정대체기준!$E$20:$E$49,MATCH($N1589,계정대체기준!$A$20:$A$49,0)),0)))</f>
        <v/>
      </c>
      <c r="AC1589" s="9">
        <f>IF(AND($A1589&lt;&gt;"",M1589=설정!$C$20,Z1589&gt;0),Z1589+ROW()/1000000000,"")</f>
        <v/>
      </c>
      <c r="AD1589" s="94">
        <f>IF($A1589="",0,$P1589*AG1589)</f>
        <v/>
      </c>
      <c r="AE1589" s="64">
        <f>IF($A1589="","",IFERROR(INDEX(계정매핑!$E$5:$E$504,MATCH($F1589&amp;"",계정매핑!$A$5:$A$504,0))&amp;"","공통비"))</f>
        <v/>
      </c>
      <c r="AF1589" s="64">
        <f>IF($A1589="","",IF(AE1589="직접",IFERROR(INDEX(계정매핑!$F$5:$F$504,MATCH($F1589&amp;"",계정매핑!$A$5:$A$504,0))&amp;"","비귀속"),""))</f>
        <v/>
      </c>
      <c r="AG1589" s="96">
        <f>IF($A1589="",0,IF(AND(AE1589&lt;&gt;"직접",IFERROR(INDEX(계정매핑!$G$5:$G$504,MATCH($F1589&amp;"",계정매핑!$A$5:$A$504,0))&amp;"","")="유지비",COUNTIF(계정대체기준!$A$6:$A$15,$N1589)&gt;0),IFERROR(INDEX(계정대체기준!$E$6:$E$15,MATCH(VALUE($A1589&amp;""),계정대체기준!$D$6:$D$15,0)),0),0))</f>
        <v/>
      </c>
      <c r="AH1589" s="64">
        <f>IF($A1589="","",IF(AD1589=0,"",IF(OR(COUNTIF(계정대체기준!$A$77:$A$86,$N1589)&gt;0,ISNUMBER(MATCH($X1589,계정대체기준!$D$77:$D$86,0)),ISNUMBER(MATCH($F1589,계정대체기준!$D$77:$D$86,0))),"Y","N")))</f>
        <v/>
      </c>
    </row>
    <row r="1590">
      <c r="A1590" s="92" t="n">
        <v>2025</v>
      </c>
      <c r="B1590" s="92" t="n">
        <v>8</v>
      </c>
      <c r="C1590" s="92" t="inlineStr">
        <is>
          <t>5100001586</t>
        </is>
      </c>
      <c r="D1590" s="95" t="n">
        <v>45871</v>
      </c>
      <c r="E1590" s="92" t="inlineStr">
        <is>
          <t>KR</t>
        </is>
      </c>
      <c r="F1590" s="92" t="n">
        <v>62101000</v>
      </c>
      <c r="G1590" s="92" t="n">
        <v>1401</v>
      </c>
      <c r="H1590" s="93" t="n">
        <v>427000</v>
      </c>
      <c r="I1590" s="92" t="inlineStr">
        <is>
          <t>8월 국내출장 - L여행사</t>
        </is>
      </c>
      <c r="J1590" s="92" t="inlineStr">
        <is>
          <t>V10018</t>
        </is>
      </c>
      <c r="K1590" s="92" t="inlineStr">
        <is>
          <t>L여행사</t>
        </is>
      </c>
      <c r="M1590" s="9">
        <f>IF($A1590="","",VALUE($A1590&amp;"")*12+VALUE($B1590&amp;""))</f>
        <v/>
      </c>
      <c r="N1590" s="64">
        <f>IF($A1590="","",IFERROR(INDEX(부서매핑!$C$5:$C$504,MATCH($G1590&amp;"",부서매핑!$A$5:$A$504,0)),"미매핑"))</f>
        <v/>
      </c>
      <c r="O1590" s="9">
        <f>IF($A1590="","",N1590&amp;"|"&amp;$F1590)</f>
        <v/>
      </c>
      <c r="P1590" s="94">
        <f>IF($A1590="",0,$H1590*설정!$C$23)</f>
        <v/>
      </c>
      <c r="Q1590" s="64">
        <f>IF($A1590="","",IF(O1590&lt;&gt;원인분석!$C$9,"",IF(AND(M1590&gt;=원인분석!$C$10,M1590&lt;=원인분석!$C$11),"당기",IF(AND(M1590&gt;=원인분석!$C$12,M1590&lt;=원인분석!$C$13),"비교",""))))</f>
        <v/>
      </c>
      <c r="R1590" s="9">
        <f>IF(Q1590="","",$K1590&amp;"")</f>
        <v/>
      </c>
      <c r="S1590" s="9">
        <f>IF(Q1590="","",IF(MATCH(R1590,$R$5:$R$100000,0)=ROW()-4,ROW(),""))</f>
        <v/>
      </c>
      <c r="T1590" s="9">
        <f>IF(Q1590="당기",ABS(P1590)+ROW()/1000000000,"")</f>
        <v/>
      </c>
      <c r="U1590" s="9">
        <f>IF(Q1590="비교",ABS(P1590)+ROW()/1000000000,"")</f>
        <v/>
      </c>
      <c r="V1590" s="64">
        <f>IF($A1590="","",IF(COUNTIF(변동분석!$E$7:$E$506,O1590)&gt;0,"Y","N"))</f>
        <v/>
      </c>
      <c r="W1590" s="64">
        <f>IF($A1590="","",IFERROR(INDEX(계정매핑!$D$5:$D$504,MATCH($F1590&amp;"",계정매핑!$A$5:$A$504,0)),"미매핑"))</f>
        <v/>
      </c>
      <c r="X1590" s="9">
        <f>IF($A1590="","",$F1590&amp;"")</f>
        <v/>
      </c>
      <c r="Y1590" s="94">
        <f>IF($A1590="",0,IF(AE1590="직접",IF(AF1590="비귀속",$P1590,0),$P1590*(1-AG1590)*IFERROR(INDEX(계정대체기준!$F$20:$F$49,MATCH($N1590,계정대체기준!$A$20:$A$49,0)),1)))</f>
        <v/>
      </c>
      <c r="Z1590" s="94">
        <f>IF($A1590="",0,IF(AE1590="직접",IF(AF1590="신계약비",$P1590,0),$P1590*(1-AG1590)*IFERROR(INDEX(계정대체기준!$C$20:$C$49,MATCH($N1590,계정대체기준!$A$20:$A$49,0)),0)))</f>
        <v/>
      </c>
      <c r="AA1590" s="94">
        <f>IF($A1590="",0,IF(AE1590="직접",IF(OR(AF1590="유지비",AF1590="손해조사비"),$P1590,0),$P1590*(1-AG1590)*IFERROR(INDEX(계정대체기준!$D$20:$D$49,MATCH($N1590,계정대체기준!$A$20:$A$49,0)),0)))</f>
        <v/>
      </c>
      <c r="AB1590" s="94">
        <f>IF($A1590="",0,IF(AE1590="직접",IF(AF1590="수금비",$P1590,0),$P1590*(1-AG1590)*IFERROR(INDEX(계정대체기준!$E$20:$E$49,MATCH($N1590,계정대체기준!$A$20:$A$49,0)),0)))</f>
        <v/>
      </c>
      <c r="AC1590" s="9">
        <f>IF(AND($A1590&lt;&gt;"",M1590=설정!$C$20,Z1590&gt;0),Z1590+ROW()/1000000000,"")</f>
        <v/>
      </c>
      <c r="AD1590" s="94">
        <f>IF($A1590="",0,$P1590*AG1590)</f>
        <v/>
      </c>
      <c r="AE1590" s="64">
        <f>IF($A1590="","",IFERROR(INDEX(계정매핑!$E$5:$E$504,MATCH($F1590&amp;"",계정매핑!$A$5:$A$504,0))&amp;"","공통비"))</f>
        <v/>
      </c>
      <c r="AF1590" s="64">
        <f>IF($A1590="","",IF(AE1590="직접",IFERROR(INDEX(계정매핑!$F$5:$F$504,MATCH($F1590&amp;"",계정매핑!$A$5:$A$504,0))&amp;"","비귀속"),""))</f>
        <v/>
      </c>
      <c r="AG1590" s="96">
        <f>IF($A1590="",0,IF(AND(AE1590&lt;&gt;"직접",IFERROR(INDEX(계정매핑!$G$5:$G$504,MATCH($F1590&amp;"",계정매핑!$A$5:$A$504,0))&amp;"","")="유지비",COUNTIF(계정대체기준!$A$6:$A$15,$N1590)&gt;0),IFERROR(INDEX(계정대체기준!$E$6:$E$15,MATCH(VALUE($A1590&amp;""),계정대체기준!$D$6:$D$15,0)),0),0))</f>
        <v/>
      </c>
      <c r="AH1590" s="64">
        <f>IF($A1590="","",IF(AD1590=0,"",IF(OR(COUNTIF(계정대체기준!$A$77:$A$86,$N1590)&gt;0,ISNUMBER(MATCH($X1590,계정대체기준!$D$77:$D$86,0)),ISNUMBER(MATCH($F1590,계정대체기준!$D$77:$D$86,0))),"Y","N")))</f>
        <v/>
      </c>
    </row>
    <row r="1591">
      <c r="A1591" s="92" t="n">
        <v>2025</v>
      </c>
      <c r="B1591" s="92" t="n">
        <v>8</v>
      </c>
      <c r="C1591" s="92" t="inlineStr">
        <is>
          <t>5100001587</t>
        </is>
      </c>
      <c r="D1591" s="95" t="n">
        <v>45871</v>
      </c>
      <c r="E1591" s="92" t="inlineStr">
        <is>
          <t>KR</t>
        </is>
      </c>
      <c r="F1591" s="92" t="n">
        <v>62101000</v>
      </c>
      <c r="G1591" s="92" t="n">
        <v>1601</v>
      </c>
      <c r="H1591" s="93" t="n">
        <v>1281000</v>
      </c>
      <c r="I1591" s="92" t="inlineStr">
        <is>
          <t>8월 국내출장 - (법인카드)</t>
        </is>
      </c>
      <c r="J1591" s="92" t="inlineStr">
        <is>
          <t>V10010</t>
        </is>
      </c>
      <c r="K1591" s="92" t="inlineStr">
        <is>
          <t>(법인카드)</t>
        </is>
      </c>
      <c r="M1591" s="9">
        <f>IF($A1591="","",VALUE($A1591&amp;"")*12+VALUE($B1591&amp;""))</f>
        <v/>
      </c>
      <c r="N1591" s="64">
        <f>IF($A1591="","",IFERROR(INDEX(부서매핑!$C$5:$C$504,MATCH($G1591&amp;"",부서매핑!$A$5:$A$504,0)),"미매핑"))</f>
        <v/>
      </c>
      <c r="O1591" s="9">
        <f>IF($A1591="","",N1591&amp;"|"&amp;$F1591)</f>
        <v/>
      </c>
      <c r="P1591" s="94">
        <f>IF($A1591="",0,$H1591*설정!$C$23)</f>
        <v/>
      </c>
      <c r="Q1591" s="64">
        <f>IF($A1591="","",IF(O1591&lt;&gt;원인분석!$C$9,"",IF(AND(M1591&gt;=원인분석!$C$10,M1591&lt;=원인분석!$C$11),"당기",IF(AND(M1591&gt;=원인분석!$C$12,M1591&lt;=원인분석!$C$13),"비교",""))))</f>
        <v/>
      </c>
      <c r="R1591" s="9">
        <f>IF(Q1591="","",$K1591&amp;"")</f>
        <v/>
      </c>
      <c r="S1591" s="9">
        <f>IF(Q1591="","",IF(MATCH(R1591,$R$5:$R$100000,0)=ROW()-4,ROW(),""))</f>
        <v/>
      </c>
      <c r="T1591" s="9">
        <f>IF(Q1591="당기",ABS(P1591)+ROW()/1000000000,"")</f>
        <v/>
      </c>
      <c r="U1591" s="9">
        <f>IF(Q1591="비교",ABS(P1591)+ROW()/1000000000,"")</f>
        <v/>
      </c>
      <c r="V1591" s="64">
        <f>IF($A1591="","",IF(COUNTIF(변동분석!$E$7:$E$506,O1591)&gt;0,"Y","N"))</f>
        <v/>
      </c>
      <c r="W1591" s="64">
        <f>IF($A1591="","",IFERROR(INDEX(계정매핑!$D$5:$D$504,MATCH($F1591&amp;"",계정매핑!$A$5:$A$504,0)),"미매핑"))</f>
        <v/>
      </c>
      <c r="X1591" s="9">
        <f>IF($A1591="","",$F1591&amp;"")</f>
        <v/>
      </c>
      <c r="Y1591" s="94">
        <f>IF($A1591="",0,IF(AE1591="직접",IF(AF1591="비귀속",$P1591,0),$P1591*(1-AG1591)*IFERROR(INDEX(계정대체기준!$F$20:$F$49,MATCH($N1591,계정대체기준!$A$20:$A$49,0)),1)))</f>
        <v/>
      </c>
      <c r="Z1591" s="94">
        <f>IF($A1591="",0,IF(AE1591="직접",IF(AF1591="신계약비",$P1591,0),$P1591*(1-AG1591)*IFERROR(INDEX(계정대체기준!$C$20:$C$49,MATCH($N1591,계정대체기준!$A$20:$A$49,0)),0)))</f>
        <v/>
      </c>
      <c r="AA1591" s="94">
        <f>IF($A1591="",0,IF(AE1591="직접",IF(OR(AF1591="유지비",AF1591="손해조사비"),$P1591,0),$P1591*(1-AG1591)*IFERROR(INDEX(계정대체기준!$D$20:$D$49,MATCH($N1591,계정대체기준!$A$20:$A$49,0)),0)))</f>
        <v/>
      </c>
      <c r="AB1591" s="94">
        <f>IF($A1591="",0,IF(AE1591="직접",IF(AF1591="수금비",$P1591,0),$P1591*(1-AG1591)*IFERROR(INDEX(계정대체기준!$E$20:$E$49,MATCH($N1591,계정대체기준!$A$20:$A$49,0)),0)))</f>
        <v/>
      </c>
      <c r="AC1591" s="9">
        <f>IF(AND($A1591&lt;&gt;"",M1591=설정!$C$20,Z1591&gt;0),Z1591+ROW()/1000000000,"")</f>
        <v/>
      </c>
      <c r="AD1591" s="94">
        <f>IF($A1591="",0,$P1591*AG1591)</f>
        <v/>
      </c>
      <c r="AE1591" s="64">
        <f>IF($A1591="","",IFERROR(INDEX(계정매핑!$E$5:$E$504,MATCH($F1591&amp;"",계정매핑!$A$5:$A$504,0))&amp;"","공통비"))</f>
        <v/>
      </c>
      <c r="AF1591" s="64">
        <f>IF($A1591="","",IF(AE1591="직접",IFERROR(INDEX(계정매핑!$F$5:$F$504,MATCH($F1591&amp;"",계정매핑!$A$5:$A$504,0))&amp;"","비귀속"),""))</f>
        <v/>
      </c>
      <c r="AG1591" s="96">
        <f>IF($A1591="",0,IF(AND(AE1591&lt;&gt;"직접",IFERROR(INDEX(계정매핑!$G$5:$G$504,MATCH($F1591&amp;"",계정매핑!$A$5:$A$504,0))&amp;"","")="유지비",COUNTIF(계정대체기준!$A$6:$A$15,$N1591)&gt;0),IFERROR(INDEX(계정대체기준!$E$6:$E$15,MATCH(VALUE($A1591&amp;""),계정대체기준!$D$6:$D$15,0)),0),0))</f>
        <v/>
      </c>
      <c r="AH1591" s="64">
        <f>IF($A1591="","",IF(AD1591=0,"",IF(OR(COUNTIF(계정대체기준!$A$77:$A$86,$N1591)&gt;0,ISNUMBER(MATCH($X1591,계정대체기준!$D$77:$D$86,0)),ISNUMBER(MATCH($F1591,계정대체기준!$D$77:$D$86,0))),"Y","N")))</f>
        <v/>
      </c>
    </row>
    <row r="1592">
      <c r="A1592" s="92" t="n">
        <v>2025</v>
      </c>
      <c r="B1592" s="92" t="n">
        <v>8</v>
      </c>
      <c r="C1592" s="92" t="inlineStr">
        <is>
          <t>5100001588</t>
        </is>
      </c>
      <c r="D1592" s="95" t="n">
        <v>45871</v>
      </c>
      <c r="E1592" s="92" t="inlineStr">
        <is>
          <t>KR</t>
        </is>
      </c>
      <c r="F1592" s="92" t="n">
        <v>62102000</v>
      </c>
      <c r="G1592" s="92" t="n">
        <v>1101</v>
      </c>
      <c r="H1592" s="93" t="n">
        <v>129000</v>
      </c>
      <c r="I1592" s="92" t="inlineStr">
        <is>
          <t>8월 해외출장 - M항공</t>
        </is>
      </c>
      <c r="J1592" s="92" t="inlineStr">
        <is>
          <t>V10001</t>
        </is>
      </c>
      <c r="K1592" s="92" t="inlineStr">
        <is>
          <t>M항공</t>
        </is>
      </c>
      <c r="M1592" s="9">
        <f>IF($A1592="","",VALUE($A1592&amp;"")*12+VALUE($B1592&amp;""))</f>
        <v/>
      </c>
      <c r="N1592" s="64">
        <f>IF($A1592="","",IFERROR(INDEX(부서매핑!$C$5:$C$504,MATCH($G1592&amp;"",부서매핑!$A$5:$A$504,0)),"미매핑"))</f>
        <v/>
      </c>
      <c r="O1592" s="9">
        <f>IF($A1592="","",N1592&amp;"|"&amp;$F1592)</f>
        <v/>
      </c>
      <c r="P1592" s="94">
        <f>IF($A1592="",0,$H1592*설정!$C$23)</f>
        <v/>
      </c>
      <c r="Q1592" s="64">
        <f>IF($A1592="","",IF(O1592&lt;&gt;원인분석!$C$9,"",IF(AND(M1592&gt;=원인분석!$C$10,M1592&lt;=원인분석!$C$11),"당기",IF(AND(M1592&gt;=원인분석!$C$12,M1592&lt;=원인분석!$C$13),"비교",""))))</f>
        <v/>
      </c>
      <c r="R1592" s="9">
        <f>IF(Q1592="","",$K1592&amp;"")</f>
        <v/>
      </c>
      <c r="S1592" s="9">
        <f>IF(Q1592="","",IF(MATCH(R1592,$R$5:$R$100000,0)=ROW()-4,ROW(),""))</f>
        <v/>
      </c>
      <c r="T1592" s="9">
        <f>IF(Q1592="당기",ABS(P1592)+ROW()/1000000000,"")</f>
        <v/>
      </c>
      <c r="U1592" s="9">
        <f>IF(Q1592="비교",ABS(P1592)+ROW()/1000000000,"")</f>
        <v/>
      </c>
      <c r="V1592" s="64">
        <f>IF($A1592="","",IF(COUNTIF(변동분석!$E$7:$E$506,O1592)&gt;0,"Y","N"))</f>
        <v/>
      </c>
      <c r="W1592" s="64">
        <f>IF($A1592="","",IFERROR(INDEX(계정매핑!$D$5:$D$504,MATCH($F1592&amp;"",계정매핑!$A$5:$A$504,0)),"미매핑"))</f>
        <v/>
      </c>
      <c r="X1592" s="9">
        <f>IF($A1592="","",$F1592&amp;"")</f>
        <v/>
      </c>
      <c r="Y1592" s="94">
        <f>IF($A1592="",0,IF(AE1592="직접",IF(AF1592="비귀속",$P1592,0),$P1592*(1-AG1592)*IFERROR(INDEX(계정대체기준!$F$20:$F$49,MATCH($N1592,계정대체기준!$A$20:$A$49,0)),1)))</f>
        <v/>
      </c>
      <c r="Z1592" s="94">
        <f>IF($A1592="",0,IF(AE1592="직접",IF(AF1592="신계약비",$P1592,0),$P1592*(1-AG1592)*IFERROR(INDEX(계정대체기준!$C$20:$C$49,MATCH($N1592,계정대체기준!$A$20:$A$49,0)),0)))</f>
        <v/>
      </c>
      <c r="AA1592" s="94">
        <f>IF($A1592="",0,IF(AE1592="직접",IF(OR(AF1592="유지비",AF1592="손해조사비"),$P1592,0),$P1592*(1-AG1592)*IFERROR(INDEX(계정대체기준!$D$20:$D$49,MATCH($N1592,계정대체기준!$A$20:$A$49,0)),0)))</f>
        <v/>
      </c>
      <c r="AB1592" s="94">
        <f>IF($A1592="",0,IF(AE1592="직접",IF(AF1592="수금비",$P1592,0),$P1592*(1-AG1592)*IFERROR(INDEX(계정대체기준!$E$20:$E$49,MATCH($N1592,계정대체기준!$A$20:$A$49,0)),0)))</f>
        <v/>
      </c>
      <c r="AC1592" s="9">
        <f>IF(AND($A1592&lt;&gt;"",M1592=설정!$C$20,Z1592&gt;0),Z1592+ROW()/1000000000,"")</f>
        <v/>
      </c>
      <c r="AD1592" s="94">
        <f>IF($A1592="",0,$P1592*AG1592)</f>
        <v/>
      </c>
      <c r="AE1592" s="64">
        <f>IF($A1592="","",IFERROR(INDEX(계정매핑!$E$5:$E$504,MATCH($F1592&amp;"",계정매핑!$A$5:$A$504,0))&amp;"","공통비"))</f>
        <v/>
      </c>
      <c r="AF1592" s="64">
        <f>IF($A1592="","",IF(AE1592="직접",IFERROR(INDEX(계정매핑!$F$5:$F$504,MATCH($F1592&amp;"",계정매핑!$A$5:$A$504,0))&amp;"","비귀속"),""))</f>
        <v/>
      </c>
      <c r="AG1592" s="96">
        <f>IF($A1592="",0,IF(AND(AE1592&lt;&gt;"직접",IFERROR(INDEX(계정매핑!$G$5:$G$504,MATCH($F1592&amp;"",계정매핑!$A$5:$A$504,0))&amp;"","")="유지비",COUNTIF(계정대체기준!$A$6:$A$15,$N1592)&gt;0),IFERROR(INDEX(계정대체기준!$E$6:$E$15,MATCH(VALUE($A1592&amp;""),계정대체기준!$D$6:$D$15,0)),0),0))</f>
        <v/>
      </c>
      <c r="AH1592" s="64">
        <f>IF($A1592="","",IF(AD1592=0,"",IF(OR(COUNTIF(계정대체기준!$A$77:$A$86,$N1592)&gt;0,ISNUMBER(MATCH($X1592,계정대체기준!$D$77:$D$86,0)),ISNUMBER(MATCH($F1592,계정대체기준!$D$77:$D$86,0))),"Y","N")))</f>
        <v/>
      </c>
    </row>
    <row r="1593">
      <c r="A1593" s="92" t="n">
        <v>2025</v>
      </c>
      <c r="B1593" s="92" t="n">
        <v>8</v>
      </c>
      <c r="C1593" s="92" t="inlineStr">
        <is>
          <t>5100001589</t>
        </is>
      </c>
      <c r="D1593" s="95" t="n">
        <v>45871</v>
      </c>
      <c r="E1593" s="92" t="inlineStr">
        <is>
          <t>KR</t>
        </is>
      </c>
      <c r="F1593" s="92" t="n">
        <v>62102000</v>
      </c>
      <c r="G1593" s="92" t="n">
        <v>1201</v>
      </c>
      <c r="H1593" s="93" t="n">
        <v>72000</v>
      </c>
      <c r="I1593" s="92" t="inlineStr">
        <is>
          <t>8월 해외출장 - N호텔</t>
        </is>
      </c>
      <c r="J1593" s="92" t="inlineStr">
        <is>
          <t>V10009</t>
        </is>
      </c>
      <c r="K1593" s="92" t="inlineStr">
        <is>
          <t>N호텔</t>
        </is>
      </c>
      <c r="M1593" s="9">
        <f>IF($A1593="","",VALUE($A1593&amp;"")*12+VALUE($B1593&amp;""))</f>
        <v/>
      </c>
      <c r="N1593" s="64">
        <f>IF($A1593="","",IFERROR(INDEX(부서매핑!$C$5:$C$504,MATCH($G1593&amp;"",부서매핑!$A$5:$A$504,0)),"미매핑"))</f>
        <v/>
      </c>
      <c r="O1593" s="9">
        <f>IF($A1593="","",N1593&amp;"|"&amp;$F1593)</f>
        <v/>
      </c>
      <c r="P1593" s="94">
        <f>IF($A1593="",0,$H1593*설정!$C$23)</f>
        <v/>
      </c>
      <c r="Q1593" s="64">
        <f>IF($A1593="","",IF(O1593&lt;&gt;원인분석!$C$9,"",IF(AND(M1593&gt;=원인분석!$C$10,M1593&lt;=원인분석!$C$11),"당기",IF(AND(M1593&gt;=원인분석!$C$12,M1593&lt;=원인분석!$C$13),"비교",""))))</f>
        <v/>
      </c>
      <c r="R1593" s="9">
        <f>IF(Q1593="","",$K1593&amp;"")</f>
        <v/>
      </c>
      <c r="S1593" s="9">
        <f>IF(Q1593="","",IF(MATCH(R1593,$R$5:$R$100000,0)=ROW()-4,ROW(),""))</f>
        <v/>
      </c>
      <c r="T1593" s="9">
        <f>IF(Q1593="당기",ABS(P1593)+ROW()/1000000000,"")</f>
        <v/>
      </c>
      <c r="U1593" s="9">
        <f>IF(Q1593="비교",ABS(P1593)+ROW()/1000000000,"")</f>
        <v/>
      </c>
      <c r="V1593" s="64">
        <f>IF($A1593="","",IF(COUNTIF(변동분석!$E$7:$E$506,O1593)&gt;0,"Y","N"))</f>
        <v/>
      </c>
      <c r="W1593" s="64">
        <f>IF($A1593="","",IFERROR(INDEX(계정매핑!$D$5:$D$504,MATCH($F1593&amp;"",계정매핑!$A$5:$A$504,0)),"미매핑"))</f>
        <v/>
      </c>
      <c r="X1593" s="9">
        <f>IF($A1593="","",$F1593&amp;"")</f>
        <v/>
      </c>
      <c r="Y1593" s="94">
        <f>IF($A1593="",0,IF(AE1593="직접",IF(AF1593="비귀속",$P1593,0),$P1593*(1-AG1593)*IFERROR(INDEX(계정대체기준!$F$20:$F$49,MATCH($N1593,계정대체기준!$A$20:$A$49,0)),1)))</f>
        <v/>
      </c>
      <c r="Z1593" s="94">
        <f>IF($A1593="",0,IF(AE1593="직접",IF(AF1593="신계약비",$P1593,0),$P1593*(1-AG1593)*IFERROR(INDEX(계정대체기준!$C$20:$C$49,MATCH($N1593,계정대체기준!$A$20:$A$49,0)),0)))</f>
        <v/>
      </c>
      <c r="AA1593" s="94">
        <f>IF($A1593="",0,IF(AE1593="직접",IF(OR(AF1593="유지비",AF1593="손해조사비"),$P1593,0),$P1593*(1-AG1593)*IFERROR(INDEX(계정대체기준!$D$20:$D$49,MATCH($N1593,계정대체기준!$A$20:$A$49,0)),0)))</f>
        <v/>
      </c>
      <c r="AB1593" s="94">
        <f>IF($A1593="",0,IF(AE1593="직접",IF(AF1593="수금비",$P1593,0),$P1593*(1-AG1593)*IFERROR(INDEX(계정대체기준!$E$20:$E$49,MATCH($N1593,계정대체기준!$A$20:$A$49,0)),0)))</f>
        <v/>
      </c>
      <c r="AC1593" s="9">
        <f>IF(AND($A1593&lt;&gt;"",M1593=설정!$C$20,Z1593&gt;0),Z1593+ROW()/1000000000,"")</f>
        <v/>
      </c>
      <c r="AD1593" s="94">
        <f>IF($A1593="",0,$P1593*AG1593)</f>
        <v/>
      </c>
      <c r="AE1593" s="64">
        <f>IF($A1593="","",IFERROR(INDEX(계정매핑!$E$5:$E$504,MATCH($F1593&amp;"",계정매핑!$A$5:$A$504,0))&amp;"","공통비"))</f>
        <v/>
      </c>
      <c r="AF1593" s="64">
        <f>IF($A1593="","",IF(AE1593="직접",IFERROR(INDEX(계정매핑!$F$5:$F$504,MATCH($F1593&amp;"",계정매핑!$A$5:$A$504,0))&amp;"","비귀속"),""))</f>
        <v/>
      </c>
      <c r="AG1593" s="96">
        <f>IF($A1593="",0,IF(AND(AE1593&lt;&gt;"직접",IFERROR(INDEX(계정매핑!$G$5:$G$504,MATCH($F1593&amp;"",계정매핑!$A$5:$A$504,0))&amp;"","")="유지비",COUNTIF(계정대체기준!$A$6:$A$15,$N1593)&gt;0),IFERROR(INDEX(계정대체기준!$E$6:$E$15,MATCH(VALUE($A1593&amp;""),계정대체기준!$D$6:$D$15,0)),0),0))</f>
        <v/>
      </c>
      <c r="AH1593" s="64">
        <f>IF($A1593="","",IF(AD1593=0,"",IF(OR(COUNTIF(계정대체기준!$A$77:$A$86,$N1593)&gt;0,ISNUMBER(MATCH($X1593,계정대체기준!$D$77:$D$86,0)),ISNUMBER(MATCH($F1593,계정대체기준!$D$77:$D$86,0))),"Y","N")))</f>
        <v/>
      </c>
    </row>
    <row r="1594">
      <c r="A1594" s="92" t="n">
        <v>2025</v>
      </c>
      <c r="B1594" s="92" t="n">
        <v>8</v>
      </c>
      <c r="C1594" s="92" t="inlineStr">
        <is>
          <t>5100001590</t>
        </is>
      </c>
      <c r="D1594" s="95" t="n">
        <v>45871</v>
      </c>
      <c r="E1594" s="92" t="inlineStr">
        <is>
          <t>KR</t>
        </is>
      </c>
      <c r="F1594" s="92" t="n">
        <v>62102000</v>
      </c>
      <c r="G1594" s="92" t="n">
        <v>1301</v>
      </c>
      <c r="H1594" s="93" t="n">
        <v>84000</v>
      </c>
      <c r="I1594" s="92" t="inlineStr">
        <is>
          <t>8월 해외출장 - N호텔</t>
        </is>
      </c>
      <c r="J1594" s="92" t="inlineStr">
        <is>
          <t>V10009</t>
        </is>
      </c>
      <c r="K1594" s="92" t="inlineStr">
        <is>
          <t>N호텔</t>
        </is>
      </c>
      <c r="M1594" s="9">
        <f>IF($A1594="","",VALUE($A1594&amp;"")*12+VALUE($B1594&amp;""))</f>
        <v/>
      </c>
      <c r="N1594" s="64">
        <f>IF($A1594="","",IFERROR(INDEX(부서매핑!$C$5:$C$504,MATCH($G1594&amp;"",부서매핑!$A$5:$A$504,0)),"미매핑"))</f>
        <v/>
      </c>
      <c r="O1594" s="9">
        <f>IF($A1594="","",N1594&amp;"|"&amp;$F1594)</f>
        <v/>
      </c>
      <c r="P1594" s="94">
        <f>IF($A1594="",0,$H1594*설정!$C$23)</f>
        <v/>
      </c>
      <c r="Q1594" s="64">
        <f>IF($A1594="","",IF(O1594&lt;&gt;원인분석!$C$9,"",IF(AND(M1594&gt;=원인분석!$C$10,M1594&lt;=원인분석!$C$11),"당기",IF(AND(M1594&gt;=원인분석!$C$12,M1594&lt;=원인분석!$C$13),"비교",""))))</f>
        <v/>
      </c>
      <c r="R1594" s="9">
        <f>IF(Q1594="","",$K1594&amp;"")</f>
        <v/>
      </c>
      <c r="S1594" s="9">
        <f>IF(Q1594="","",IF(MATCH(R1594,$R$5:$R$100000,0)=ROW()-4,ROW(),""))</f>
        <v/>
      </c>
      <c r="T1594" s="9">
        <f>IF(Q1594="당기",ABS(P1594)+ROW()/1000000000,"")</f>
        <v/>
      </c>
      <c r="U1594" s="9">
        <f>IF(Q1594="비교",ABS(P1594)+ROW()/1000000000,"")</f>
        <v/>
      </c>
      <c r="V1594" s="64">
        <f>IF($A1594="","",IF(COUNTIF(변동분석!$E$7:$E$506,O1594)&gt;0,"Y","N"))</f>
        <v/>
      </c>
      <c r="W1594" s="64">
        <f>IF($A1594="","",IFERROR(INDEX(계정매핑!$D$5:$D$504,MATCH($F1594&amp;"",계정매핑!$A$5:$A$504,0)),"미매핑"))</f>
        <v/>
      </c>
      <c r="X1594" s="9">
        <f>IF($A1594="","",$F1594&amp;"")</f>
        <v/>
      </c>
      <c r="Y1594" s="94">
        <f>IF($A1594="",0,IF(AE1594="직접",IF(AF1594="비귀속",$P1594,0),$P1594*(1-AG1594)*IFERROR(INDEX(계정대체기준!$F$20:$F$49,MATCH($N1594,계정대체기준!$A$20:$A$49,0)),1)))</f>
        <v/>
      </c>
      <c r="Z1594" s="94">
        <f>IF($A1594="",0,IF(AE1594="직접",IF(AF1594="신계약비",$P1594,0),$P1594*(1-AG1594)*IFERROR(INDEX(계정대체기준!$C$20:$C$49,MATCH($N1594,계정대체기준!$A$20:$A$49,0)),0)))</f>
        <v/>
      </c>
      <c r="AA1594" s="94">
        <f>IF($A1594="",0,IF(AE1594="직접",IF(OR(AF1594="유지비",AF1594="손해조사비"),$P1594,0),$P1594*(1-AG1594)*IFERROR(INDEX(계정대체기준!$D$20:$D$49,MATCH($N1594,계정대체기준!$A$20:$A$49,0)),0)))</f>
        <v/>
      </c>
      <c r="AB1594" s="94">
        <f>IF($A1594="",0,IF(AE1594="직접",IF(AF1594="수금비",$P1594,0),$P1594*(1-AG1594)*IFERROR(INDEX(계정대체기준!$E$20:$E$49,MATCH($N1594,계정대체기준!$A$20:$A$49,0)),0)))</f>
        <v/>
      </c>
      <c r="AC1594" s="9">
        <f>IF(AND($A1594&lt;&gt;"",M1594=설정!$C$20,Z1594&gt;0),Z1594+ROW()/1000000000,"")</f>
        <v/>
      </c>
      <c r="AD1594" s="94">
        <f>IF($A1594="",0,$P1594*AG1594)</f>
        <v/>
      </c>
      <c r="AE1594" s="64">
        <f>IF($A1594="","",IFERROR(INDEX(계정매핑!$E$5:$E$504,MATCH($F1594&amp;"",계정매핑!$A$5:$A$504,0))&amp;"","공통비"))</f>
        <v/>
      </c>
      <c r="AF1594" s="64">
        <f>IF($A1594="","",IF(AE1594="직접",IFERROR(INDEX(계정매핑!$F$5:$F$504,MATCH($F1594&amp;"",계정매핑!$A$5:$A$504,0))&amp;"","비귀속"),""))</f>
        <v/>
      </c>
      <c r="AG1594" s="96">
        <f>IF($A1594="",0,IF(AND(AE1594&lt;&gt;"직접",IFERROR(INDEX(계정매핑!$G$5:$G$504,MATCH($F1594&amp;"",계정매핑!$A$5:$A$504,0))&amp;"","")="유지비",COUNTIF(계정대체기준!$A$6:$A$15,$N1594)&gt;0),IFERROR(INDEX(계정대체기준!$E$6:$E$15,MATCH(VALUE($A1594&amp;""),계정대체기준!$D$6:$D$15,0)),0),0))</f>
        <v/>
      </c>
      <c r="AH1594" s="64">
        <f>IF($A1594="","",IF(AD1594=0,"",IF(OR(COUNTIF(계정대체기준!$A$77:$A$86,$N1594)&gt;0,ISNUMBER(MATCH($X1594,계정대체기준!$D$77:$D$86,0)),ISNUMBER(MATCH($F1594,계정대체기준!$D$77:$D$86,0))),"Y","N")))</f>
        <v/>
      </c>
    </row>
    <row r="1595">
      <c r="A1595" s="92" t="n">
        <v>2025</v>
      </c>
      <c r="B1595" s="92" t="n">
        <v>8</v>
      </c>
      <c r="C1595" s="92" t="inlineStr">
        <is>
          <t>5100001591</t>
        </is>
      </c>
      <c r="D1595" s="95" t="n">
        <v>45871</v>
      </c>
      <c r="E1595" s="92" t="inlineStr">
        <is>
          <t>KR</t>
        </is>
      </c>
      <c r="F1595" s="92" t="n">
        <v>62201000</v>
      </c>
      <c r="G1595" s="92" t="n">
        <v>1801</v>
      </c>
      <c r="H1595" s="93" t="n">
        <v>5151000</v>
      </c>
      <c r="I1595" s="92" t="inlineStr">
        <is>
          <t>8월 통신요금 - O텔레콤</t>
        </is>
      </c>
      <c r="J1595" s="92" t="inlineStr">
        <is>
          <t>V10002</t>
        </is>
      </c>
      <c r="K1595" s="92" t="inlineStr">
        <is>
          <t>O텔레콤</t>
        </is>
      </c>
      <c r="M1595" s="9">
        <f>IF($A1595="","",VALUE($A1595&amp;"")*12+VALUE($B1595&amp;""))</f>
        <v/>
      </c>
      <c r="N1595" s="64">
        <f>IF($A1595="","",IFERROR(INDEX(부서매핑!$C$5:$C$504,MATCH($G1595&amp;"",부서매핑!$A$5:$A$504,0)),"미매핑"))</f>
        <v/>
      </c>
      <c r="O1595" s="9">
        <f>IF($A1595="","",N1595&amp;"|"&amp;$F1595)</f>
        <v/>
      </c>
      <c r="P1595" s="94">
        <f>IF($A1595="",0,$H1595*설정!$C$23)</f>
        <v/>
      </c>
      <c r="Q1595" s="64">
        <f>IF($A1595="","",IF(O1595&lt;&gt;원인분석!$C$9,"",IF(AND(M1595&gt;=원인분석!$C$10,M1595&lt;=원인분석!$C$11),"당기",IF(AND(M1595&gt;=원인분석!$C$12,M1595&lt;=원인분석!$C$13),"비교",""))))</f>
        <v/>
      </c>
      <c r="R1595" s="9">
        <f>IF(Q1595="","",$K1595&amp;"")</f>
        <v/>
      </c>
      <c r="S1595" s="9">
        <f>IF(Q1595="","",IF(MATCH(R1595,$R$5:$R$100000,0)=ROW()-4,ROW(),""))</f>
        <v/>
      </c>
      <c r="T1595" s="9">
        <f>IF(Q1595="당기",ABS(P1595)+ROW()/1000000000,"")</f>
        <v/>
      </c>
      <c r="U1595" s="9">
        <f>IF(Q1595="비교",ABS(P1595)+ROW()/1000000000,"")</f>
        <v/>
      </c>
      <c r="V1595" s="64">
        <f>IF($A1595="","",IF(COUNTIF(변동분석!$E$7:$E$506,O1595)&gt;0,"Y","N"))</f>
        <v/>
      </c>
      <c r="W1595" s="64">
        <f>IF($A1595="","",IFERROR(INDEX(계정매핑!$D$5:$D$504,MATCH($F1595&amp;"",계정매핑!$A$5:$A$504,0)),"미매핑"))</f>
        <v/>
      </c>
      <c r="X1595" s="9">
        <f>IF($A1595="","",$F1595&amp;"")</f>
        <v/>
      </c>
      <c r="Y1595" s="94">
        <f>IF($A1595="",0,IF(AE1595="직접",IF(AF1595="비귀속",$P1595,0),$P1595*(1-AG1595)*IFERROR(INDEX(계정대체기준!$F$20:$F$49,MATCH($N1595,계정대체기준!$A$20:$A$49,0)),1)))</f>
        <v/>
      </c>
      <c r="Z1595" s="94">
        <f>IF($A1595="",0,IF(AE1595="직접",IF(AF1595="신계약비",$P1595,0),$P1595*(1-AG1595)*IFERROR(INDEX(계정대체기준!$C$20:$C$49,MATCH($N1595,계정대체기준!$A$20:$A$49,0)),0)))</f>
        <v/>
      </c>
      <c r="AA1595" s="94">
        <f>IF($A1595="",0,IF(AE1595="직접",IF(OR(AF1595="유지비",AF1595="손해조사비"),$P1595,0),$P1595*(1-AG1595)*IFERROR(INDEX(계정대체기준!$D$20:$D$49,MATCH($N1595,계정대체기준!$A$20:$A$49,0)),0)))</f>
        <v/>
      </c>
      <c r="AB1595" s="94">
        <f>IF($A1595="",0,IF(AE1595="직접",IF(AF1595="수금비",$P1595,0),$P1595*(1-AG1595)*IFERROR(INDEX(계정대체기준!$E$20:$E$49,MATCH($N1595,계정대체기준!$A$20:$A$49,0)),0)))</f>
        <v/>
      </c>
      <c r="AC1595" s="9">
        <f>IF(AND($A1595&lt;&gt;"",M1595=설정!$C$20,Z1595&gt;0),Z1595+ROW()/1000000000,"")</f>
        <v/>
      </c>
      <c r="AD1595" s="94">
        <f>IF($A1595="",0,$P1595*AG1595)</f>
        <v/>
      </c>
      <c r="AE1595" s="64">
        <f>IF($A1595="","",IFERROR(INDEX(계정매핑!$E$5:$E$504,MATCH($F1595&amp;"",계정매핑!$A$5:$A$504,0))&amp;"","공통비"))</f>
        <v/>
      </c>
      <c r="AF1595" s="64">
        <f>IF($A1595="","",IF(AE1595="직접",IFERROR(INDEX(계정매핑!$F$5:$F$504,MATCH($F1595&amp;"",계정매핑!$A$5:$A$504,0))&amp;"","비귀속"),""))</f>
        <v/>
      </c>
      <c r="AG1595" s="96">
        <f>IF($A1595="",0,IF(AND(AE1595&lt;&gt;"직접",IFERROR(INDEX(계정매핑!$G$5:$G$504,MATCH($F1595&amp;"",계정매핑!$A$5:$A$504,0))&amp;"","")="유지비",COUNTIF(계정대체기준!$A$6:$A$15,$N1595)&gt;0),IFERROR(INDEX(계정대체기준!$E$6:$E$15,MATCH(VALUE($A1595&amp;""),계정대체기준!$D$6:$D$15,0)),0),0))</f>
        <v/>
      </c>
      <c r="AH1595" s="64">
        <f>IF($A1595="","",IF(AD1595=0,"",IF(OR(COUNTIF(계정대체기준!$A$77:$A$86,$N1595)&gt;0,ISNUMBER(MATCH($X1595,계정대체기준!$D$77:$D$86,0)),ISNUMBER(MATCH($F1595,계정대체기준!$D$77:$D$86,0))),"Y","N")))</f>
        <v/>
      </c>
    </row>
    <row r="1596">
      <c r="A1596" s="92" t="n">
        <v>2025</v>
      </c>
      <c r="B1596" s="92" t="n">
        <v>8</v>
      </c>
      <c r="C1596" s="92" t="inlineStr">
        <is>
          <t>5100001592</t>
        </is>
      </c>
      <c r="D1596" s="95" t="n">
        <v>45871</v>
      </c>
      <c r="E1596" s="92" t="inlineStr">
        <is>
          <t>KR</t>
        </is>
      </c>
      <c r="F1596" s="92" t="n">
        <v>62501000</v>
      </c>
      <c r="G1596" s="92" t="n">
        <v>1401</v>
      </c>
      <c r="H1596" s="93" t="n">
        <v>135000</v>
      </c>
      <c r="I1596" s="92" t="inlineStr">
        <is>
          <t>8월 회의 다과 - (법인카드)</t>
        </is>
      </c>
      <c r="J1596" s="92" t="inlineStr">
        <is>
          <t>V10010</t>
        </is>
      </c>
      <c r="K1596" s="92" t="inlineStr">
        <is>
          <t>(법인카드)</t>
        </is>
      </c>
      <c r="M1596" s="9">
        <f>IF($A1596="","",VALUE($A1596&amp;"")*12+VALUE($B1596&amp;""))</f>
        <v/>
      </c>
      <c r="N1596" s="64">
        <f>IF($A1596="","",IFERROR(INDEX(부서매핑!$C$5:$C$504,MATCH($G1596&amp;"",부서매핑!$A$5:$A$504,0)),"미매핑"))</f>
        <v/>
      </c>
      <c r="O1596" s="9">
        <f>IF($A1596="","",N1596&amp;"|"&amp;$F1596)</f>
        <v/>
      </c>
      <c r="P1596" s="94">
        <f>IF($A1596="",0,$H1596*설정!$C$23)</f>
        <v/>
      </c>
      <c r="Q1596" s="64">
        <f>IF($A1596="","",IF(O1596&lt;&gt;원인분석!$C$9,"",IF(AND(M1596&gt;=원인분석!$C$10,M1596&lt;=원인분석!$C$11),"당기",IF(AND(M1596&gt;=원인분석!$C$12,M1596&lt;=원인분석!$C$13),"비교",""))))</f>
        <v/>
      </c>
      <c r="R1596" s="9">
        <f>IF(Q1596="","",$K1596&amp;"")</f>
        <v/>
      </c>
      <c r="S1596" s="9">
        <f>IF(Q1596="","",IF(MATCH(R1596,$R$5:$R$100000,0)=ROW()-4,ROW(),""))</f>
        <v/>
      </c>
      <c r="T1596" s="9">
        <f>IF(Q1596="당기",ABS(P1596)+ROW()/1000000000,"")</f>
        <v/>
      </c>
      <c r="U1596" s="9">
        <f>IF(Q1596="비교",ABS(P1596)+ROW()/1000000000,"")</f>
        <v/>
      </c>
      <c r="V1596" s="64">
        <f>IF($A1596="","",IF(COUNTIF(변동분석!$E$7:$E$506,O1596)&gt;0,"Y","N"))</f>
        <v/>
      </c>
      <c r="W1596" s="64">
        <f>IF($A1596="","",IFERROR(INDEX(계정매핑!$D$5:$D$504,MATCH($F1596&amp;"",계정매핑!$A$5:$A$504,0)),"미매핑"))</f>
        <v/>
      </c>
      <c r="X1596" s="9">
        <f>IF($A1596="","",$F1596&amp;"")</f>
        <v/>
      </c>
      <c r="Y1596" s="94">
        <f>IF($A1596="",0,IF(AE1596="직접",IF(AF1596="비귀속",$P1596,0),$P1596*(1-AG1596)*IFERROR(INDEX(계정대체기준!$F$20:$F$49,MATCH($N1596,계정대체기준!$A$20:$A$49,0)),1)))</f>
        <v/>
      </c>
      <c r="Z1596" s="94">
        <f>IF($A1596="",0,IF(AE1596="직접",IF(AF1596="신계약비",$P1596,0),$P1596*(1-AG1596)*IFERROR(INDEX(계정대체기준!$C$20:$C$49,MATCH($N1596,계정대체기준!$A$20:$A$49,0)),0)))</f>
        <v/>
      </c>
      <c r="AA1596" s="94">
        <f>IF($A1596="",0,IF(AE1596="직접",IF(OR(AF1596="유지비",AF1596="손해조사비"),$P1596,0),$P1596*(1-AG1596)*IFERROR(INDEX(계정대체기준!$D$20:$D$49,MATCH($N1596,계정대체기준!$A$20:$A$49,0)),0)))</f>
        <v/>
      </c>
      <c r="AB1596" s="94">
        <f>IF($A1596="",0,IF(AE1596="직접",IF(AF1596="수금비",$P1596,0),$P1596*(1-AG1596)*IFERROR(INDEX(계정대체기준!$E$20:$E$49,MATCH($N1596,계정대체기준!$A$20:$A$49,0)),0)))</f>
        <v/>
      </c>
      <c r="AC1596" s="9">
        <f>IF(AND($A1596&lt;&gt;"",M1596=설정!$C$20,Z1596&gt;0),Z1596+ROW()/1000000000,"")</f>
        <v/>
      </c>
      <c r="AD1596" s="94">
        <f>IF($A1596="",0,$P1596*AG1596)</f>
        <v/>
      </c>
      <c r="AE1596" s="64">
        <f>IF($A1596="","",IFERROR(INDEX(계정매핑!$E$5:$E$504,MATCH($F1596&amp;"",계정매핑!$A$5:$A$504,0))&amp;"","공통비"))</f>
        <v/>
      </c>
      <c r="AF1596" s="64">
        <f>IF($A1596="","",IF(AE1596="직접",IFERROR(INDEX(계정매핑!$F$5:$F$504,MATCH($F1596&amp;"",계정매핑!$A$5:$A$504,0))&amp;"","비귀속"),""))</f>
        <v/>
      </c>
      <c r="AG1596" s="96">
        <f>IF($A1596="",0,IF(AND(AE1596&lt;&gt;"직접",IFERROR(INDEX(계정매핑!$G$5:$G$504,MATCH($F1596&amp;"",계정매핑!$A$5:$A$504,0))&amp;"","")="유지비",COUNTIF(계정대체기준!$A$6:$A$15,$N1596)&gt;0),IFERROR(INDEX(계정대체기준!$E$6:$E$15,MATCH(VALUE($A1596&amp;""),계정대체기준!$D$6:$D$15,0)),0),0))</f>
        <v/>
      </c>
      <c r="AH1596" s="64">
        <f>IF($A1596="","",IF(AD1596=0,"",IF(OR(COUNTIF(계정대체기준!$A$77:$A$86,$N1596)&gt;0,ISNUMBER(MATCH($X1596,계정대체기준!$D$77:$D$86,0)),ISNUMBER(MATCH($F1596,계정대체기준!$D$77:$D$86,0))),"Y","N")))</f>
        <v/>
      </c>
    </row>
    <row r="1597">
      <c r="A1597" s="92" t="n">
        <v>2025</v>
      </c>
      <c r="B1597" s="92" t="n">
        <v>8</v>
      </c>
      <c r="C1597" s="92" t="inlineStr">
        <is>
          <t>5100001593</t>
        </is>
      </c>
      <c r="D1597" s="95" t="n">
        <v>45871</v>
      </c>
      <c r="E1597" s="92" t="inlineStr">
        <is>
          <t>KR</t>
        </is>
      </c>
      <c r="F1597" s="92" t="n">
        <v>62901000</v>
      </c>
      <c r="G1597" s="92" t="n">
        <v>1801</v>
      </c>
      <c r="H1597" s="93" t="n">
        <v>8778000</v>
      </c>
      <c r="I1597" s="92" t="inlineStr">
        <is>
          <t>8월 자문 수수료 - K회계법인</t>
        </is>
      </c>
      <c r="J1597" s="92" t="inlineStr">
        <is>
          <t>V10011</t>
        </is>
      </c>
      <c r="K1597" s="92" t="inlineStr">
        <is>
          <t>K회계법인</t>
        </is>
      </c>
      <c r="M1597" s="9">
        <f>IF($A1597="","",VALUE($A1597&amp;"")*12+VALUE($B1597&amp;""))</f>
        <v/>
      </c>
      <c r="N1597" s="64">
        <f>IF($A1597="","",IFERROR(INDEX(부서매핑!$C$5:$C$504,MATCH($G1597&amp;"",부서매핑!$A$5:$A$504,0)),"미매핑"))</f>
        <v/>
      </c>
      <c r="O1597" s="9">
        <f>IF($A1597="","",N1597&amp;"|"&amp;$F1597)</f>
        <v/>
      </c>
      <c r="P1597" s="94">
        <f>IF($A1597="",0,$H1597*설정!$C$23)</f>
        <v/>
      </c>
      <c r="Q1597" s="64">
        <f>IF($A1597="","",IF(O1597&lt;&gt;원인분석!$C$9,"",IF(AND(M1597&gt;=원인분석!$C$10,M1597&lt;=원인분석!$C$11),"당기",IF(AND(M1597&gt;=원인분석!$C$12,M1597&lt;=원인분석!$C$13),"비교",""))))</f>
        <v/>
      </c>
      <c r="R1597" s="9">
        <f>IF(Q1597="","",$K1597&amp;"")</f>
        <v/>
      </c>
      <c r="S1597" s="9">
        <f>IF(Q1597="","",IF(MATCH(R1597,$R$5:$R$100000,0)=ROW()-4,ROW(),""))</f>
        <v/>
      </c>
      <c r="T1597" s="9">
        <f>IF(Q1597="당기",ABS(P1597)+ROW()/1000000000,"")</f>
        <v/>
      </c>
      <c r="U1597" s="9">
        <f>IF(Q1597="비교",ABS(P1597)+ROW()/1000000000,"")</f>
        <v/>
      </c>
      <c r="V1597" s="64">
        <f>IF($A1597="","",IF(COUNTIF(변동분석!$E$7:$E$506,O1597)&gt;0,"Y","N"))</f>
        <v/>
      </c>
      <c r="W1597" s="64">
        <f>IF($A1597="","",IFERROR(INDEX(계정매핑!$D$5:$D$504,MATCH($F1597&amp;"",계정매핑!$A$5:$A$504,0)),"미매핑"))</f>
        <v/>
      </c>
      <c r="X1597" s="9">
        <f>IF($A1597="","",$F1597&amp;"")</f>
        <v/>
      </c>
      <c r="Y1597" s="94">
        <f>IF($A1597="",0,IF(AE1597="직접",IF(AF1597="비귀속",$P1597,0),$P1597*(1-AG1597)*IFERROR(INDEX(계정대체기준!$F$20:$F$49,MATCH($N1597,계정대체기준!$A$20:$A$49,0)),1)))</f>
        <v/>
      </c>
      <c r="Z1597" s="94">
        <f>IF($A1597="",0,IF(AE1597="직접",IF(AF1597="신계약비",$P1597,0),$P1597*(1-AG1597)*IFERROR(INDEX(계정대체기준!$C$20:$C$49,MATCH($N1597,계정대체기준!$A$20:$A$49,0)),0)))</f>
        <v/>
      </c>
      <c r="AA1597" s="94">
        <f>IF($A1597="",0,IF(AE1597="직접",IF(OR(AF1597="유지비",AF1597="손해조사비"),$P1597,0),$P1597*(1-AG1597)*IFERROR(INDEX(계정대체기준!$D$20:$D$49,MATCH($N1597,계정대체기준!$A$20:$A$49,0)),0)))</f>
        <v/>
      </c>
      <c r="AB1597" s="94">
        <f>IF($A1597="",0,IF(AE1597="직접",IF(AF1597="수금비",$P1597,0),$P1597*(1-AG1597)*IFERROR(INDEX(계정대체기준!$E$20:$E$49,MATCH($N1597,계정대체기준!$A$20:$A$49,0)),0)))</f>
        <v/>
      </c>
      <c r="AC1597" s="9">
        <f>IF(AND($A1597&lt;&gt;"",M1597=설정!$C$20,Z1597&gt;0),Z1597+ROW()/1000000000,"")</f>
        <v/>
      </c>
      <c r="AD1597" s="94">
        <f>IF($A1597="",0,$P1597*AG1597)</f>
        <v/>
      </c>
      <c r="AE1597" s="64">
        <f>IF($A1597="","",IFERROR(INDEX(계정매핑!$E$5:$E$504,MATCH($F1597&amp;"",계정매핑!$A$5:$A$504,0))&amp;"","공통비"))</f>
        <v/>
      </c>
      <c r="AF1597" s="64">
        <f>IF($A1597="","",IF(AE1597="직접",IFERROR(INDEX(계정매핑!$F$5:$F$504,MATCH($F1597&amp;"",계정매핑!$A$5:$A$504,0))&amp;"","비귀속"),""))</f>
        <v/>
      </c>
      <c r="AG1597" s="96">
        <f>IF($A1597="",0,IF(AND(AE1597&lt;&gt;"직접",IFERROR(INDEX(계정매핑!$G$5:$G$504,MATCH($F1597&amp;"",계정매핑!$A$5:$A$504,0))&amp;"","")="유지비",COUNTIF(계정대체기준!$A$6:$A$15,$N1597)&gt;0),IFERROR(INDEX(계정대체기준!$E$6:$E$15,MATCH(VALUE($A1597&amp;""),계정대체기준!$D$6:$D$15,0)),0),0))</f>
        <v/>
      </c>
      <c r="AH1597" s="64">
        <f>IF($A1597="","",IF(AD1597=0,"",IF(OR(COUNTIF(계정대체기준!$A$77:$A$86,$N1597)&gt;0,ISNUMBER(MATCH($X1597,계정대체기준!$D$77:$D$86,0)),ISNUMBER(MATCH($F1597,계정대체기준!$D$77:$D$86,0))),"Y","N")))</f>
        <v/>
      </c>
    </row>
    <row r="1598">
      <c r="A1598" s="92" t="n">
        <v>2025</v>
      </c>
      <c r="B1598" s="92" t="n">
        <v>8</v>
      </c>
      <c r="C1598" s="92" t="inlineStr">
        <is>
          <t>5100001594</t>
        </is>
      </c>
      <c r="D1598" s="95" t="n">
        <v>45871</v>
      </c>
      <c r="E1598" s="92" t="inlineStr">
        <is>
          <t>KR</t>
        </is>
      </c>
      <c r="F1598" s="92" t="n">
        <v>62902000</v>
      </c>
      <c r="G1598" s="92" t="n">
        <v>1801</v>
      </c>
      <c r="H1598" s="93" t="n">
        <v>1787000</v>
      </c>
      <c r="I1598" s="92" t="inlineStr">
        <is>
          <t>8월 콜 위탁 수수료(건별)</t>
        </is>
      </c>
      <c r="J1598" s="92" t="inlineStr">
        <is>
          <t>V10016</t>
        </is>
      </c>
      <c r="K1598" s="92" t="inlineStr">
        <is>
          <t>J콜센터</t>
        </is>
      </c>
      <c r="M1598" s="9">
        <f>IF($A1598="","",VALUE($A1598&amp;"")*12+VALUE($B1598&amp;""))</f>
        <v/>
      </c>
      <c r="N1598" s="64">
        <f>IF($A1598="","",IFERROR(INDEX(부서매핑!$C$5:$C$504,MATCH($G1598&amp;"",부서매핑!$A$5:$A$504,0)),"미매핑"))</f>
        <v/>
      </c>
      <c r="O1598" s="9">
        <f>IF($A1598="","",N1598&amp;"|"&amp;$F1598)</f>
        <v/>
      </c>
      <c r="P1598" s="94">
        <f>IF($A1598="",0,$H1598*설정!$C$23)</f>
        <v/>
      </c>
      <c r="Q1598" s="64">
        <f>IF($A1598="","",IF(O1598&lt;&gt;원인분석!$C$9,"",IF(AND(M1598&gt;=원인분석!$C$10,M1598&lt;=원인분석!$C$11),"당기",IF(AND(M1598&gt;=원인분석!$C$12,M1598&lt;=원인분석!$C$13),"비교",""))))</f>
        <v/>
      </c>
      <c r="R1598" s="9">
        <f>IF(Q1598="","",$K1598&amp;"")</f>
        <v/>
      </c>
      <c r="S1598" s="9">
        <f>IF(Q1598="","",IF(MATCH(R1598,$R$5:$R$100000,0)=ROW()-4,ROW(),""))</f>
        <v/>
      </c>
      <c r="T1598" s="9">
        <f>IF(Q1598="당기",ABS(P1598)+ROW()/1000000000,"")</f>
        <v/>
      </c>
      <c r="U1598" s="9">
        <f>IF(Q1598="비교",ABS(P1598)+ROW()/1000000000,"")</f>
        <v/>
      </c>
      <c r="V1598" s="64">
        <f>IF($A1598="","",IF(COUNTIF(변동분석!$E$7:$E$506,O1598)&gt;0,"Y","N"))</f>
        <v/>
      </c>
      <c r="W1598" s="64">
        <f>IF($A1598="","",IFERROR(INDEX(계정매핑!$D$5:$D$504,MATCH($F1598&amp;"",계정매핑!$A$5:$A$504,0)),"미매핑"))</f>
        <v/>
      </c>
      <c r="X1598" s="9">
        <f>IF($A1598="","",$F1598&amp;"")</f>
        <v/>
      </c>
      <c r="Y1598" s="94">
        <f>IF($A1598="",0,IF(AE1598="직접",IF(AF1598="비귀속",$P1598,0),$P1598*(1-AG1598)*IFERROR(INDEX(계정대체기준!$F$20:$F$49,MATCH($N1598,계정대체기준!$A$20:$A$49,0)),1)))</f>
        <v/>
      </c>
      <c r="Z1598" s="94">
        <f>IF($A1598="",0,IF(AE1598="직접",IF(AF1598="신계약비",$P1598,0),$P1598*(1-AG1598)*IFERROR(INDEX(계정대체기준!$C$20:$C$49,MATCH($N1598,계정대체기준!$A$20:$A$49,0)),0)))</f>
        <v/>
      </c>
      <c r="AA1598" s="94">
        <f>IF($A1598="",0,IF(AE1598="직접",IF(OR(AF1598="유지비",AF1598="손해조사비"),$P1598,0),$P1598*(1-AG1598)*IFERROR(INDEX(계정대체기준!$D$20:$D$49,MATCH($N1598,계정대체기준!$A$20:$A$49,0)),0)))</f>
        <v/>
      </c>
      <c r="AB1598" s="94">
        <f>IF($A1598="",0,IF(AE1598="직접",IF(AF1598="수금비",$P1598,0),$P1598*(1-AG1598)*IFERROR(INDEX(계정대체기준!$E$20:$E$49,MATCH($N1598,계정대체기준!$A$20:$A$49,0)),0)))</f>
        <v/>
      </c>
      <c r="AC1598" s="9">
        <f>IF(AND($A1598&lt;&gt;"",M1598=설정!$C$20,Z1598&gt;0),Z1598+ROW()/1000000000,"")</f>
        <v/>
      </c>
      <c r="AD1598" s="94">
        <f>IF($A1598="",0,$P1598*AG1598)</f>
        <v/>
      </c>
      <c r="AE1598" s="64">
        <f>IF($A1598="","",IFERROR(INDEX(계정매핑!$E$5:$E$504,MATCH($F1598&amp;"",계정매핑!$A$5:$A$504,0))&amp;"","공통비"))</f>
        <v/>
      </c>
      <c r="AF1598" s="64">
        <f>IF($A1598="","",IF(AE1598="직접",IFERROR(INDEX(계정매핑!$F$5:$F$504,MATCH($F1598&amp;"",계정매핑!$A$5:$A$504,0))&amp;"","비귀속"),""))</f>
        <v/>
      </c>
      <c r="AG1598" s="96">
        <f>IF($A1598="",0,IF(AND(AE1598&lt;&gt;"직접",IFERROR(INDEX(계정매핑!$G$5:$G$504,MATCH($F1598&amp;"",계정매핑!$A$5:$A$504,0))&amp;"","")="유지비",COUNTIF(계정대체기준!$A$6:$A$15,$N1598)&gt;0),IFERROR(INDEX(계정대체기준!$E$6:$E$15,MATCH(VALUE($A1598&amp;""),계정대체기준!$D$6:$D$15,0)),0),0))</f>
        <v/>
      </c>
      <c r="AH1598" s="64">
        <f>IF($A1598="","",IF(AD1598=0,"",IF(OR(COUNTIF(계정대체기준!$A$77:$A$86,$N1598)&gt;0,ISNUMBER(MATCH($X1598,계정대체기준!$D$77:$D$86,0)),ISNUMBER(MATCH($F1598,계정대체기준!$D$77:$D$86,0))),"Y","N")))</f>
        <v/>
      </c>
    </row>
    <row r="1599">
      <c r="A1599" s="92" t="n">
        <v>2025</v>
      </c>
      <c r="B1599" s="92" t="n">
        <v>8</v>
      </c>
      <c r="C1599" s="92" t="inlineStr">
        <is>
          <t>5100001595</t>
        </is>
      </c>
      <c r="D1599" s="95" t="n">
        <v>45872</v>
      </c>
      <c r="E1599" s="92" t="inlineStr">
        <is>
          <t>KR</t>
        </is>
      </c>
      <c r="F1599" s="92" t="n">
        <v>62201000</v>
      </c>
      <c r="G1599" s="92" t="n">
        <v>1101</v>
      </c>
      <c r="H1599" s="93" t="n">
        <v>191000</v>
      </c>
      <c r="I1599" s="92" t="inlineStr">
        <is>
          <t>8월 통신요금 - P통신</t>
        </is>
      </c>
      <c r="J1599" s="92" t="inlineStr">
        <is>
          <t>V10014</t>
        </is>
      </c>
      <c r="K1599" s="92" t="inlineStr">
        <is>
          <t>P통신</t>
        </is>
      </c>
      <c r="M1599" s="9">
        <f>IF($A1599="","",VALUE($A1599&amp;"")*12+VALUE($B1599&amp;""))</f>
        <v/>
      </c>
      <c r="N1599" s="64">
        <f>IF($A1599="","",IFERROR(INDEX(부서매핑!$C$5:$C$504,MATCH($G1599&amp;"",부서매핑!$A$5:$A$504,0)),"미매핑"))</f>
        <v/>
      </c>
      <c r="O1599" s="9">
        <f>IF($A1599="","",N1599&amp;"|"&amp;$F1599)</f>
        <v/>
      </c>
      <c r="P1599" s="94">
        <f>IF($A1599="",0,$H1599*설정!$C$23)</f>
        <v/>
      </c>
      <c r="Q1599" s="64">
        <f>IF($A1599="","",IF(O1599&lt;&gt;원인분석!$C$9,"",IF(AND(M1599&gt;=원인분석!$C$10,M1599&lt;=원인분석!$C$11),"당기",IF(AND(M1599&gt;=원인분석!$C$12,M1599&lt;=원인분석!$C$13),"비교",""))))</f>
        <v/>
      </c>
      <c r="R1599" s="9">
        <f>IF(Q1599="","",$K1599&amp;"")</f>
        <v/>
      </c>
      <c r="S1599" s="9">
        <f>IF(Q1599="","",IF(MATCH(R1599,$R$5:$R$100000,0)=ROW()-4,ROW(),""))</f>
        <v/>
      </c>
      <c r="T1599" s="9">
        <f>IF(Q1599="당기",ABS(P1599)+ROW()/1000000000,"")</f>
        <v/>
      </c>
      <c r="U1599" s="9">
        <f>IF(Q1599="비교",ABS(P1599)+ROW()/1000000000,"")</f>
        <v/>
      </c>
      <c r="V1599" s="64">
        <f>IF($A1599="","",IF(COUNTIF(변동분석!$E$7:$E$506,O1599)&gt;0,"Y","N"))</f>
        <v/>
      </c>
      <c r="W1599" s="64">
        <f>IF($A1599="","",IFERROR(INDEX(계정매핑!$D$5:$D$504,MATCH($F1599&amp;"",계정매핑!$A$5:$A$504,0)),"미매핑"))</f>
        <v/>
      </c>
      <c r="X1599" s="9">
        <f>IF($A1599="","",$F1599&amp;"")</f>
        <v/>
      </c>
      <c r="Y1599" s="94">
        <f>IF($A1599="",0,IF(AE1599="직접",IF(AF1599="비귀속",$P1599,0),$P1599*(1-AG1599)*IFERROR(INDEX(계정대체기준!$F$20:$F$49,MATCH($N1599,계정대체기준!$A$20:$A$49,0)),1)))</f>
        <v/>
      </c>
      <c r="Z1599" s="94">
        <f>IF($A1599="",0,IF(AE1599="직접",IF(AF1599="신계약비",$P1599,0),$P1599*(1-AG1599)*IFERROR(INDEX(계정대체기준!$C$20:$C$49,MATCH($N1599,계정대체기준!$A$20:$A$49,0)),0)))</f>
        <v/>
      </c>
      <c r="AA1599" s="94">
        <f>IF($A1599="",0,IF(AE1599="직접",IF(OR(AF1599="유지비",AF1599="손해조사비"),$P1599,0),$P1599*(1-AG1599)*IFERROR(INDEX(계정대체기준!$D$20:$D$49,MATCH($N1599,계정대체기준!$A$20:$A$49,0)),0)))</f>
        <v/>
      </c>
      <c r="AB1599" s="94">
        <f>IF($A1599="",0,IF(AE1599="직접",IF(AF1599="수금비",$P1599,0),$P1599*(1-AG1599)*IFERROR(INDEX(계정대체기준!$E$20:$E$49,MATCH($N1599,계정대체기준!$A$20:$A$49,0)),0)))</f>
        <v/>
      </c>
      <c r="AC1599" s="9">
        <f>IF(AND($A1599&lt;&gt;"",M1599=설정!$C$20,Z1599&gt;0),Z1599+ROW()/1000000000,"")</f>
        <v/>
      </c>
      <c r="AD1599" s="94">
        <f>IF($A1599="",0,$P1599*AG1599)</f>
        <v/>
      </c>
      <c r="AE1599" s="64">
        <f>IF($A1599="","",IFERROR(INDEX(계정매핑!$E$5:$E$504,MATCH($F1599&amp;"",계정매핑!$A$5:$A$504,0))&amp;"","공통비"))</f>
        <v/>
      </c>
      <c r="AF1599" s="64">
        <f>IF($A1599="","",IF(AE1599="직접",IFERROR(INDEX(계정매핑!$F$5:$F$504,MATCH($F1599&amp;"",계정매핑!$A$5:$A$504,0))&amp;"","비귀속"),""))</f>
        <v/>
      </c>
      <c r="AG1599" s="96">
        <f>IF($A1599="",0,IF(AND(AE1599&lt;&gt;"직접",IFERROR(INDEX(계정매핑!$G$5:$G$504,MATCH($F1599&amp;"",계정매핑!$A$5:$A$504,0))&amp;"","")="유지비",COUNTIF(계정대체기준!$A$6:$A$15,$N1599)&gt;0),IFERROR(INDEX(계정대체기준!$E$6:$E$15,MATCH(VALUE($A1599&amp;""),계정대체기준!$D$6:$D$15,0)),0),0))</f>
        <v/>
      </c>
      <c r="AH1599" s="64">
        <f>IF($A1599="","",IF(AD1599=0,"",IF(OR(COUNTIF(계정대체기준!$A$77:$A$86,$N1599)&gt;0,ISNUMBER(MATCH($X1599,계정대체기준!$D$77:$D$86,0)),ISNUMBER(MATCH($F1599,계정대체기준!$D$77:$D$86,0))),"Y","N")))</f>
        <v/>
      </c>
    </row>
    <row r="1600">
      <c r="A1600" s="92" t="n">
        <v>2025</v>
      </c>
      <c r="B1600" s="92" t="n">
        <v>8</v>
      </c>
      <c r="C1600" s="92" t="inlineStr">
        <is>
          <t>5100001596</t>
        </is>
      </c>
      <c r="D1600" s="95" t="n">
        <v>45872</v>
      </c>
      <c r="E1600" s="92" t="inlineStr">
        <is>
          <t>KR</t>
        </is>
      </c>
      <c r="F1600" s="92" t="n">
        <v>62201000</v>
      </c>
      <c r="G1600" s="92" t="n">
        <v>1201</v>
      </c>
      <c r="H1600" s="93" t="n">
        <v>192000</v>
      </c>
      <c r="I1600" s="92" t="inlineStr">
        <is>
          <t>8월 통신요금 - O텔레콤</t>
        </is>
      </c>
      <c r="J1600" s="92" t="inlineStr">
        <is>
          <t>V10002</t>
        </is>
      </c>
      <c r="K1600" s="92" t="inlineStr">
        <is>
          <t>O텔레콤</t>
        </is>
      </c>
      <c r="M1600" s="9">
        <f>IF($A1600="","",VALUE($A1600&amp;"")*12+VALUE($B1600&amp;""))</f>
        <v/>
      </c>
      <c r="N1600" s="64">
        <f>IF($A1600="","",IFERROR(INDEX(부서매핑!$C$5:$C$504,MATCH($G1600&amp;"",부서매핑!$A$5:$A$504,0)),"미매핑"))</f>
        <v/>
      </c>
      <c r="O1600" s="9">
        <f>IF($A1600="","",N1600&amp;"|"&amp;$F1600)</f>
        <v/>
      </c>
      <c r="P1600" s="94">
        <f>IF($A1600="",0,$H1600*설정!$C$23)</f>
        <v/>
      </c>
      <c r="Q1600" s="64">
        <f>IF($A1600="","",IF(O1600&lt;&gt;원인분석!$C$9,"",IF(AND(M1600&gt;=원인분석!$C$10,M1600&lt;=원인분석!$C$11),"당기",IF(AND(M1600&gt;=원인분석!$C$12,M1600&lt;=원인분석!$C$13),"비교",""))))</f>
        <v/>
      </c>
      <c r="R1600" s="9">
        <f>IF(Q1600="","",$K1600&amp;"")</f>
        <v/>
      </c>
      <c r="S1600" s="9">
        <f>IF(Q1600="","",IF(MATCH(R1600,$R$5:$R$100000,0)=ROW()-4,ROW(),""))</f>
        <v/>
      </c>
      <c r="T1600" s="9">
        <f>IF(Q1600="당기",ABS(P1600)+ROW()/1000000000,"")</f>
        <v/>
      </c>
      <c r="U1600" s="9">
        <f>IF(Q1600="비교",ABS(P1600)+ROW()/1000000000,"")</f>
        <v/>
      </c>
      <c r="V1600" s="64">
        <f>IF($A1600="","",IF(COUNTIF(변동분석!$E$7:$E$506,O1600)&gt;0,"Y","N"))</f>
        <v/>
      </c>
      <c r="W1600" s="64">
        <f>IF($A1600="","",IFERROR(INDEX(계정매핑!$D$5:$D$504,MATCH($F1600&amp;"",계정매핑!$A$5:$A$504,0)),"미매핑"))</f>
        <v/>
      </c>
      <c r="X1600" s="9">
        <f>IF($A1600="","",$F1600&amp;"")</f>
        <v/>
      </c>
      <c r="Y1600" s="94">
        <f>IF($A1600="",0,IF(AE1600="직접",IF(AF1600="비귀속",$P1600,0),$P1600*(1-AG1600)*IFERROR(INDEX(계정대체기준!$F$20:$F$49,MATCH($N1600,계정대체기준!$A$20:$A$49,0)),1)))</f>
        <v/>
      </c>
      <c r="Z1600" s="94">
        <f>IF($A1600="",0,IF(AE1600="직접",IF(AF1600="신계약비",$P1600,0),$P1600*(1-AG1600)*IFERROR(INDEX(계정대체기준!$C$20:$C$49,MATCH($N1600,계정대체기준!$A$20:$A$49,0)),0)))</f>
        <v/>
      </c>
      <c r="AA1600" s="94">
        <f>IF($A1600="",0,IF(AE1600="직접",IF(OR(AF1600="유지비",AF1600="손해조사비"),$P1600,0),$P1600*(1-AG1600)*IFERROR(INDEX(계정대체기준!$D$20:$D$49,MATCH($N1600,계정대체기준!$A$20:$A$49,0)),0)))</f>
        <v/>
      </c>
      <c r="AB1600" s="94">
        <f>IF($A1600="",0,IF(AE1600="직접",IF(AF1600="수금비",$P1600,0),$P1600*(1-AG1600)*IFERROR(INDEX(계정대체기준!$E$20:$E$49,MATCH($N1600,계정대체기준!$A$20:$A$49,0)),0)))</f>
        <v/>
      </c>
      <c r="AC1600" s="9">
        <f>IF(AND($A1600&lt;&gt;"",M1600=설정!$C$20,Z1600&gt;0),Z1600+ROW()/1000000000,"")</f>
        <v/>
      </c>
      <c r="AD1600" s="94">
        <f>IF($A1600="",0,$P1600*AG1600)</f>
        <v/>
      </c>
      <c r="AE1600" s="64">
        <f>IF($A1600="","",IFERROR(INDEX(계정매핑!$E$5:$E$504,MATCH($F1600&amp;"",계정매핑!$A$5:$A$504,0))&amp;"","공통비"))</f>
        <v/>
      </c>
      <c r="AF1600" s="64">
        <f>IF($A1600="","",IF(AE1600="직접",IFERROR(INDEX(계정매핑!$F$5:$F$504,MATCH($F1600&amp;"",계정매핑!$A$5:$A$504,0))&amp;"","비귀속"),""))</f>
        <v/>
      </c>
      <c r="AG1600" s="96">
        <f>IF($A1600="",0,IF(AND(AE1600&lt;&gt;"직접",IFERROR(INDEX(계정매핑!$G$5:$G$504,MATCH($F1600&amp;"",계정매핑!$A$5:$A$504,0))&amp;"","")="유지비",COUNTIF(계정대체기준!$A$6:$A$15,$N1600)&gt;0),IFERROR(INDEX(계정대체기준!$E$6:$E$15,MATCH(VALUE($A1600&amp;""),계정대체기준!$D$6:$D$15,0)),0),0))</f>
        <v/>
      </c>
      <c r="AH1600" s="64">
        <f>IF($A1600="","",IF(AD1600=0,"",IF(OR(COUNTIF(계정대체기준!$A$77:$A$86,$N1600)&gt;0,ISNUMBER(MATCH($X1600,계정대체기준!$D$77:$D$86,0)),ISNUMBER(MATCH($F1600,계정대체기준!$D$77:$D$86,0))),"Y","N")))</f>
        <v/>
      </c>
    </row>
    <row r="1601">
      <c r="A1601" s="92" t="n">
        <v>2025</v>
      </c>
      <c r="B1601" s="92" t="n">
        <v>8</v>
      </c>
      <c r="C1601" s="92" t="inlineStr">
        <is>
          <t>5100001597</t>
        </is>
      </c>
      <c r="D1601" s="95" t="n">
        <v>45872</v>
      </c>
      <c r="E1601" s="92" t="inlineStr">
        <is>
          <t>KR</t>
        </is>
      </c>
      <c r="F1601" s="92" t="n">
        <v>62301000</v>
      </c>
      <c r="G1601" s="92" t="n">
        <v>1401</v>
      </c>
      <c r="H1601" s="93" t="n">
        <v>86000</v>
      </c>
      <c r="I1601" s="92" t="inlineStr">
        <is>
          <t>8월 소모품 구입 - Q오피스</t>
        </is>
      </c>
      <c r="J1601" s="92" t="inlineStr">
        <is>
          <t>V10003</t>
        </is>
      </c>
      <c r="K1601" s="92" t="inlineStr">
        <is>
          <t>Q오피스</t>
        </is>
      </c>
      <c r="M1601" s="9">
        <f>IF($A1601="","",VALUE($A1601&amp;"")*12+VALUE($B1601&amp;""))</f>
        <v/>
      </c>
      <c r="N1601" s="64">
        <f>IF($A1601="","",IFERROR(INDEX(부서매핑!$C$5:$C$504,MATCH($G1601&amp;"",부서매핑!$A$5:$A$504,0)),"미매핑"))</f>
        <v/>
      </c>
      <c r="O1601" s="9">
        <f>IF($A1601="","",N1601&amp;"|"&amp;$F1601)</f>
        <v/>
      </c>
      <c r="P1601" s="94">
        <f>IF($A1601="",0,$H1601*설정!$C$23)</f>
        <v/>
      </c>
      <c r="Q1601" s="64">
        <f>IF($A1601="","",IF(O1601&lt;&gt;원인분석!$C$9,"",IF(AND(M1601&gt;=원인분석!$C$10,M1601&lt;=원인분석!$C$11),"당기",IF(AND(M1601&gt;=원인분석!$C$12,M1601&lt;=원인분석!$C$13),"비교",""))))</f>
        <v/>
      </c>
      <c r="R1601" s="9">
        <f>IF(Q1601="","",$K1601&amp;"")</f>
        <v/>
      </c>
      <c r="S1601" s="9">
        <f>IF(Q1601="","",IF(MATCH(R1601,$R$5:$R$100000,0)=ROW()-4,ROW(),""))</f>
        <v/>
      </c>
      <c r="T1601" s="9">
        <f>IF(Q1601="당기",ABS(P1601)+ROW()/1000000000,"")</f>
        <v/>
      </c>
      <c r="U1601" s="9">
        <f>IF(Q1601="비교",ABS(P1601)+ROW()/1000000000,"")</f>
        <v/>
      </c>
      <c r="V1601" s="64">
        <f>IF($A1601="","",IF(COUNTIF(변동분석!$E$7:$E$506,O1601)&gt;0,"Y","N"))</f>
        <v/>
      </c>
      <c r="W1601" s="64">
        <f>IF($A1601="","",IFERROR(INDEX(계정매핑!$D$5:$D$504,MATCH($F1601&amp;"",계정매핑!$A$5:$A$504,0)),"미매핑"))</f>
        <v/>
      </c>
      <c r="X1601" s="9">
        <f>IF($A1601="","",$F1601&amp;"")</f>
        <v/>
      </c>
      <c r="Y1601" s="94">
        <f>IF($A1601="",0,IF(AE1601="직접",IF(AF1601="비귀속",$P1601,0),$P1601*(1-AG1601)*IFERROR(INDEX(계정대체기준!$F$20:$F$49,MATCH($N1601,계정대체기준!$A$20:$A$49,0)),1)))</f>
        <v/>
      </c>
      <c r="Z1601" s="94">
        <f>IF($A1601="",0,IF(AE1601="직접",IF(AF1601="신계약비",$P1601,0),$P1601*(1-AG1601)*IFERROR(INDEX(계정대체기준!$C$20:$C$49,MATCH($N1601,계정대체기준!$A$20:$A$49,0)),0)))</f>
        <v/>
      </c>
      <c r="AA1601" s="94">
        <f>IF($A1601="",0,IF(AE1601="직접",IF(OR(AF1601="유지비",AF1601="손해조사비"),$P1601,0),$P1601*(1-AG1601)*IFERROR(INDEX(계정대체기준!$D$20:$D$49,MATCH($N1601,계정대체기준!$A$20:$A$49,0)),0)))</f>
        <v/>
      </c>
      <c r="AB1601" s="94">
        <f>IF($A1601="",0,IF(AE1601="직접",IF(AF1601="수금비",$P1601,0),$P1601*(1-AG1601)*IFERROR(INDEX(계정대체기준!$E$20:$E$49,MATCH($N1601,계정대체기준!$A$20:$A$49,0)),0)))</f>
        <v/>
      </c>
      <c r="AC1601" s="9">
        <f>IF(AND($A1601&lt;&gt;"",M1601=설정!$C$20,Z1601&gt;0),Z1601+ROW()/1000000000,"")</f>
        <v/>
      </c>
      <c r="AD1601" s="94">
        <f>IF($A1601="",0,$P1601*AG1601)</f>
        <v/>
      </c>
      <c r="AE1601" s="64">
        <f>IF($A1601="","",IFERROR(INDEX(계정매핑!$E$5:$E$504,MATCH($F1601&amp;"",계정매핑!$A$5:$A$504,0))&amp;"","공통비"))</f>
        <v/>
      </c>
      <c r="AF1601" s="64">
        <f>IF($A1601="","",IF(AE1601="직접",IFERROR(INDEX(계정매핑!$F$5:$F$504,MATCH($F1601&amp;"",계정매핑!$A$5:$A$504,0))&amp;"","비귀속"),""))</f>
        <v/>
      </c>
      <c r="AG1601" s="96">
        <f>IF($A1601="",0,IF(AND(AE1601&lt;&gt;"직접",IFERROR(INDEX(계정매핑!$G$5:$G$504,MATCH($F1601&amp;"",계정매핑!$A$5:$A$504,0))&amp;"","")="유지비",COUNTIF(계정대체기준!$A$6:$A$15,$N1601)&gt;0),IFERROR(INDEX(계정대체기준!$E$6:$E$15,MATCH(VALUE($A1601&amp;""),계정대체기준!$D$6:$D$15,0)),0),0))</f>
        <v/>
      </c>
      <c r="AH1601" s="64">
        <f>IF($A1601="","",IF(AD1601=0,"",IF(OR(COUNTIF(계정대체기준!$A$77:$A$86,$N1601)&gt;0,ISNUMBER(MATCH($X1601,계정대체기준!$D$77:$D$86,0)),ISNUMBER(MATCH($F1601,계정대체기준!$D$77:$D$86,0))),"Y","N")))</f>
        <v/>
      </c>
    </row>
    <row r="1602">
      <c r="A1602" s="92" t="n">
        <v>2025</v>
      </c>
      <c r="B1602" s="92" t="n">
        <v>8</v>
      </c>
      <c r="C1602" s="92" t="inlineStr">
        <is>
          <t>5100001598</t>
        </is>
      </c>
      <c r="D1602" s="95" t="n">
        <v>45872</v>
      </c>
      <c r="E1602" s="92" t="inlineStr">
        <is>
          <t>KR</t>
        </is>
      </c>
      <c r="F1602" s="92" t="n">
        <v>62501000</v>
      </c>
      <c r="G1602" s="92" t="n">
        <v>1501</v>
      </c>
      <c r="H1602" s="93" t="n">
        <v>478000</v>
      </c>
      <c r="I1602" s="92" t="inlineStr">
        <is>
          <t>8월 회의 다과 - T케이터링</t>
        </is>
      </c>
      <c r="J1602" s="92" t="inlineStr">
        <is>
          <t>V10005</t>
        </is>
      </c>
      <c r="K1602" s="92" t="inlineStr">
        <is>
          <t>T케이터링</t>
        </is>
      </c>
      <c r="M1602" s="9">
        <f>IF($A1602="","",VALUE($A1602&amp;"")*12+VALUE($B1602&amp;""))</f>
        <v/>
      </c>
      <c r="N1602" s="64">
        <f>IF($A1602="","",IFERROR(INDEX(부서매핑!$C$5:$C$504,MATCH($G1602&amp;"",부서매핑!$A$5:$A$504,0)),"미매핑"))</f>
        <v/>
      </c>
      <c r="O1602" s="9">
        <f>IF($A1602="","",N1602&amp;"|"&amp;$F1602)</f>
        <v/>
      </c>
      <c r="P1602" s="94">
        <f>IF($A1602="",0,$H1602*설정!$C$23)</f>
        <v/>
      </c>
      <c r="Q1602" s="64">
        <f>IF($A1602="","",IF(O1602&lt;&gt;원인분석!$C$9,"",IF(AND(M1602&gt;=원인분석!$C$10,M1602&lt;=원인분석!$C$11),"당기",IF(AND(M1602&gt;=원인분석!$C$12,M1602&lt;=원인분석!$C$13),"비교",""))))</f>
        <v/>
      </c>
      <c r="R1602" s="9">
        <f>IF(Q1602="","",$K1602&amp;"")</f>
        <v/>
      </c>
      <c r="S1602" s="9">
        <f>IF(Q1602="","",IF(MATCH(R1602,$R$5:$R$100000,0)=ROW()-4,ROW(),""))</f>
        <v/>
      </c>
      <c r="T1602" s="9">
        <f>IF(Q1602="당기",ABS(P1602)+ROW()/1000000000,"")</f>
        <v/>
      </c>
      <c r="U1602" s="9">
        <f>IF(Q1602="비교",ABS(P1602)+ROW()/1000000000,"")</f>
        <v/>
      </c>
      <c r="V1602" s="64">
        <f>IF($A1602="","",IF(COUNTIF(변동분석!$E$7:$E$506,O1602)&gt;0,"Y","N"))</f>
        <v/>
      </c>
      <c r="W1602" s="64">
        <f>IF($A1602="","",IFERROR(INDEX(계정매핑!$D$5:$D$504,MATCH($F1602&amp;"",계정매핑!$A$5:$A$504,0)),"미매핑"))</f>
        <v/>
      </c>
      <c r="X1602" s="9">
        <f>IF($A1602="","",$F1602&amp;"")</f>
        <v/>
      </c>
      <c r="Y1602" s="94">
        <f>IF($A1602="",0,IF(AE1602="직접",IF(AF1602="비귀속",$P1602,0),$P1602*(1-AG1602)*IFERROR(INDEX(계정대체기준!$F$20:$F$49,MATCH($N1602,계정대체기준!$A$20:$A$49,0)),1)))</f>
        <v/>
      </c>
      <c r="Z1602" s="94">
        <f>IF($A1602="",0,IF(AE1602="직접",IF(AF1602="신계약비",$P1602,0),$P1602*(1-AG1602)*IFERROR(INDEX(계정대체기준!$C$20:$C$49,MATCH($N1602,계정대체기준!$A$20:$A$49,0)),0)))</f>
        <v/>
      </c>
      <c r="AA1602" s="94">
        <f>IF($A1602="",0,IF(AE1602="직접",IF(OR(AF1602="유지비",AF1602="손해조사비"),$P1602,0),$P1602*(1-AG1602)*IFERROR(INDEX(계정대체기준!$D$20:$D$49,MATCH($N1602,계정대체기준!$A$20:$A$49,0)),0)))</f>
        <v/>
      </c>
      <c r="AB1602" s="94">
        <f>IF($A1602="",0,IF(AE1602="직접",IF(AF1602="수금비",$P1602,0),$P1602*(1-AG1602)*IFERROR(INDEX(계정대체기준!$E$20:$E$49,MATCH($N1602,계정대체기준!$A$20:$A$49,0)),0)))</f>
        <v/>
      </c>
      <c r="AC1602" s="9">
        <f>IF(AND($A1602&lt;&gt;"",M1602=설정!$C$20,Z1602&gt;0),Z1602+ROW()/1000000000,"")</f>
        <v/>
      </c>
      <c r="AD1602" s="94">
        <f>IF($A1602="",0,$P1602*AG1602)</f>
        <v/>
      </c>
      <c r="AE1602" s="64">
        <f>IF($A1602="","",IFERROR(INDEX(계정매핑!$E$5:$E$504,MATCH($F1602&amp;"",계정매핑!$A$5:$A$504,0))&amp;"","공통비"))</f>
        <v/>
      </c>
      <c r="AF1602" s="64">
        <f>IF($A1602="","",IF(AE1602="직접",IFERROR(INDEX(계정매핑!$F$5:$F$504,MATCH($F1602&amp;"",계정매핑!$A$5:$A$504,0))&amp;"","비귀속"),""))</f>
        <v/>
      </c>
      <c r="AG1602" s="96">
        <f>IF($A1602="",0,IF(AND(AE1602&lt;&gt;"직접",IFERROR(INDEX(계정매핑!$G$5:$G$504,MATCH($F1602&amp;"",계정매핑!$A$5:$A$504,0))&amp;"","")="유지비",COUNTIF(계정대체기준!$A$6:$A$15,$N1602)&gt;0),IFERROR(INDEX(계정대체기준!$E$6:$E$15,MATCH(VALUE($A1602&amp;""),계정대체기준!$D$6:$D$15,0)),0),0))</f>
        <v/>
      </c>
      <c r="AH1602" s="64">
        <f>IF($A1602="","",IF(AD1602=0,"",IF(OR(COUNTIF(계정대체기준!$A$77:$A$86,$N1602)&gt;0,ISNUMBER(MATCH($X1602,계정대체기준!$D$77:$D$86,0)),ISNUMBER(MATCH($F1602,계정대체기준!$D$77:$D$86,0))),"Y","N")))</f>
        <v/>
      </c>
    </row>
    <row r="1603">
      <c r="A1603" s="92" t="n">
        <v>2025</v>
      </c>
      <c r="B1603" s="92" t="n">
        <v>8</v>
      </c>
      <c r="C1603" s="92" t="inlineStr">
        <is>
          <t>5100001599</t>
        </is>
      </c>
      <c r="D1603" s="95" t="n">
        <v>45872</v>
      </c>
      <c r="E1603" s="92" t="inlineStr">
        <is>
          <t>KR</t>
        </is>
      </c>
      <c r="F1603" s="92" t="n">
        <v>62501000</v>
      </c>
      <c r="G1603" s="92" t="n">
        <v>1501</v>
      </c>
      <c r="H1603" s="93" t="n">
        <v>259000</v>
      </c>
      <c r="I1603" s="92" t="inlineStr">
        <is>
          <t>8월 회의 다과 - T케이터링</t>
        </is>
      </c>
      <c r="J1603" s="92" t="inlineStr">
        <is>
          <t>V10005</t>
        </is>
      </c>
      <c r="K1603" s="92" t="inlineStr">
        <is>
          <t>T케이터링</t>
        </is>
      </c>
      <c r="M1603" s="9">
        <f>IF($A1603="","",VALUE($A1603&amp;"")*12+VALUE($B1603&amp;""))</f>
        <v/>
      </c>
      <c r="N1603" s="64">
        <f>IF($A1603="","",IFERROR(INDEX(부서매핑!$C$5:$C$504,MATCH($G1603&amp;"",부서매핑!$A$5:$A$504,0)),"미매핑"))</f>
        <v/>
      </c>
      <c r="O1603" s="9">
        <f>IF($A1603="","",N1603&amp;"|"&amp;$F1603)</f>
        <v/>
      </c>
      <c r="P1603" s="94">
        <f>IF($A1603="",0,$H1603*설정!$C$23)</f>
        <v/>
      </c>
      <c r="Q1603" s="64">
        <f>IF($A1603="","",IF(O1603&lt;&gt;원인분석!$C$9,"",IF(AND(M1603&gt;=원인분석!$C$10,M1603&lt;=원인분석!$C$11),"당기",IF(AND(M1603&gt;=원인분석!$C$12,M1603&lt;=원인분석!$C$13),"비교",""))))</f>
        <v/>
      </c>
      <c r="R1603" s="9">
        <f>IF(Q1603="","",$K1603&amp;"")</f>
        <v/>
      </c>
      <c r="S1603" s="9">
        <f>IF(Q1603="","",IF(MATCH(R1603,$R$5:$R$100000,0)=ROW()-4,ROW(),""))</f>
        <v/>
      </c>
      <c r="T1603" s="9">
        <f>IF(Q1603="당기",ABS(P1603)+ROW()/1000000000,"")</f>
        <v/>
      </c>
      <c r="U1603" s="9">
        <f>IF(Q1603="비교",ABS(P1603)+ROW()/1000000000,"")</f>
        <v/>
      </c>
      <c r="V1603" s="64">
        <f>IF($A1603="","",IF(COUNTIF(변동분석!$E$7:$E$506,O1603)&gt;0,"Y","N"))</f>
        <v/>
      </c>
      <c r="W1603" s="64">
        <f>IF($A1603="","",IFERROR(INDEX(계정매핑!$D$5:$D$504,MATCH($F1603&amp;"",계정매핑!$A$5:$A$504,0)),"미매핑"))</f>
        <v/>
      </c>
      <c r="X1603" s="9">
        <f>IF($A1603="","",$F1603&amp;"")</f>
        <v/>
      </c>
      <c r="Y1603" s="94">
        <f>IF($A1603="",0,IF(AE1603="직접",IF(AF1603="비귀속",$P1603,0),$P1603*(1-AG1603)*IFERROR(INDEX(계정대체기준!$F$20:$F$49,MATCH($N1603,계정대체기준!$A$20:$A$49,0)),1)))</f>
        <v/>
      </c>
      <c r="Z1603" s="94">
        <f>IF($A1603="",0,IF(AE1603="직접",IF(AF1603="신계약비",$P1603,0),$P1603*(1-AG1603)*IFERROR(INDEX(계정대체기준!$C$20:$C$49,MATCH($N1603,계정대체기준!$A$20:$A$49,0)),0)))</f>
        <v/>
      </c>
      <c r="AA1603" s="94">
        <f>IF($A1603="",0,IF(AE1603="직접",IF(OR(AF1603="유지비",AF1603="손해조사비"),$P1603,0),$P1603*(1-AG1603)*IFERROR(INDEX(계정대체기준!$D$20:$D$49,MATCH($N1603,계정대체기준!$A$20:$A$49,0)),0)))</f>
        <v/>
      </c>
      <c r="AB1603" s="94">
        <f>IF($A1603="",0,IF(AE1603="직접",IF(AF1603="수금비",$P1603,0),$P1603*(1-AG1603)*IFERROR(INDEX(계정대체기준!$E$20:$E$49,MATCH($N1603,계정대체기준!$A$20:$A$49,0)),0)))</f>
        <v/>
      </c>
      <c r="AC1603" s="9">
        <f>IF(AND($A1603&lt;&gt;"",M1603=설정!$C$20,Z1603&gt;0),Z1603+ROW()/1000000000,"")</f>
        <v/>
      </c>
      <c r="AD1603" s="94">
        <f>IF($A1603="",0,$P1603*AG1603)</f>
        <v/>
      </c>
      <c r="AE1603" s="64">
        <f>IF($A1603="","",IFERROR(INDEX(계정매핑!$E$5:$E$504,MATCH($F1603&amp;"",계정매핑!$A$5:$A$504,0))&amp;"","공통비"))</f>
        <v/>
      </c>
      <c r="AF1603" s="64">
        <f>IF($A1603="","",IF(AE1603="직접",IFERROR(INDEX(계정매핑!$F$5:$F$504,MATCH($F1603&amp;"",계정매핑!$A$5:$A$504,0))&amp;"","비귀속"),""))</f>
        <v/>
      </c>
      <c r="AG1603" s="96">
        <f>IF($A1603="",0,IF(AND(AE1603&lt;&gt;"직접",IFERROR(INDEX(계정매핑!$G$5:$G$504,MATCH($F1603&amp;"",계정매핑!$A$5:$A$504,0))&amp;"","")="유지비",COUNTIF(계정대체기준!$A$6:$A$15,$N1603)&gt;0),IFERROR(INDEX(계정대체기준!$E$6:$E$15,MATCH(VALUE($A1603&amp;""),계정대체기준!$D$6:$D$15,0)),0),0))</f>
        <v/>
      </c>
      <c r="AH1603" s="64">
        <f>IF($A1603="","",IF(AD1603=0,"",IF(OR(COUNTIF(계정대체기준!$A$77:$A$86,$N1603)&gt;0,ISNUMBER(MATCH($X1603,계정대체기준!$D$77:$D$86,0)),ISNUMBER(MATCH($F1603,계정대체기준!$D$77:$D$86,0))),"Y","N")))</f>
        <v/>
      </c>
    </row>
    <row r="1604">
      <c r="A1604" s="92" t="n">
        <v>2025</v>
      </c>
      <c r="B1604" s="92" t="n">
        <v>8</v>
      </c>
      <c r="C1604" s="92" t="inlineStr">
        <is>
          <t>5100001600</t>
        </is>
      </c>
      <c r="D1604" s="95" t="n">
        <v>45872</v>
      </c>
      <c r="E1604" s="92" t="inlineStr">
        <is>
          <t>KR</t>
        </is>
      </c>
      <c r="F1604" s="92" t="n">
        <v>63001000</v>
      </c>
      <c r="G1604" s="92" t="n">
        <v>1701</v>
      </c>
      <c r="H1604" s="93" t="n">
        <v>26380000</v>
      </c>
      <c r="I1604" s="92" t="inlineStr">
        <is>
          <t>8월 SW 유지보수 - Y소프트</t>
        </is>
      </c>
      <c r="J1604" s="92" t="inlineStr">
        <is>
          <t>V10017</t>
        </is>
      </c>
      <c r="K1604" s="92" t="inlineStr">
        <is>
          <t>Y소프트</t>
        </is>
      </c>
      <c r="M1604" s="9">
        <f>IF($A1604="","",VALUE($A1604&amp;"")*12+VALUE($B1604&amp;""))</f>
        <v/>
      </c>
      <c r="N1604" s="64">
        <f>IF($A1604="","",IFERROR(INDEX(부서매핑!$C$5:$C$504,MATCH($G1604&amp;"",부서매핑!$A$5:$A$504,0)),"미매핑"))</f>
        <v/>
      </c>
      <c r="O1604" s="9">
        <f>IF($A1604="","",N1604&amp;"|"&amp;$F1604)</f>
        <v/>
      </c>
      <c r="P1604" s="94">
        <f>IF($A1604="",0,$H1604*설정!$C$23)</f>
        <v/>
      </c>
      <c r="Q1604" s="64">
        <f>IF($A1604="","",IF(O1604&lt;&gt;원인분석!$C$9,"",IF(AND(M1604&gt;=원인분석!$C$10,M1604&lt;=원인분석!$C$11),"당기",IF(AND(M1604&gt;=원인분석!$C$12,M1604&lt;=원인분석!$C$13),"비교",""))))</f>
        <v/>
      </c>
      <c r="R1604" s="9">
        <f>IF(Q1604="","",$K1604&amp;"")</f>
        <v/>
      </c>
      <c r="S1604" s="9">
        <f>IF(Q1604="","",IF(MATCH(R1604,$R$5:$R$100000,0)=ROW()-4,ROW(),""))</f>
        <v/>
      </c>
      <c r="T1604" s="9">
        <f>IF(Q1604="당기",ABS(P1604)+ROW()/1000000000,"")</f>
        <v/>
      </c>
      <c r="U1604" s="9">
        <f>IF(Q1604="비교",ABS(P1604)+ROW()/1000000000,"")</f>
        <v/>
      </c>
      <c r="V1604" s="64">
        <f>IF($A1604="","",IF(COUNTIF(변동분석!$E$7:$E$506,O1604)&gt;0,"Y","N"))</f>
        <v/>
      </c>
      <c r="W1604" s="64">
        <f>IF($A1604="","",IFERROR(INDEX(계정매핑!$D$5:$D$504,MATCH($F1604&amp;"",계정매핑!$A$5:$A$504,0)),"미매핑"))</f>
        <v/>
      </c>
      <c r="X1604" s="9">
        <f>IF($A1604="","",$F1604&amp;"")</f>
        <v/>
      </c>
      <c r="Y1604" s="94">
        <f>IF($A1604="",0,IF(AE1604="직접",IF(AF1604="비귀속",$P1604,0),$P1604*(1-AG1604)*IFERROR(INDEX(계정대체기준!$F$20:$F$49,MATCH($N1604,계정대체기준!$A$20:$A$49,0)),1)))</f>
        <v/>
      </c>
      <c r="Z1604" s="94">
        <f>IF($A1604="",0,IF(AE1604="직접",IF(AF1604="신계약비",$P1604,0),$P1604*(1-AG1604)*IFERROR(INDEX(계정대체기준!$C$20:$C$49,MATCH($N1604,계정대체기준!$A$20:$A$49,0)),0)))</f>
        <v/>
      </c>
      <c r="AA1604" s="94">
        <f>IF($A1604="",0,IF(AE1604="직접",IF(OR(AF1604="유지비",AF1604="손해조사비"),$P1604,0),$P1604*(1-AG1604)*IFERROR(INDEX(계정대체기준!$D$20:$D$49,MATCH($N1604,계정대체기준!$A$20:$A$49,0)),0)))</f>
        <v/>
      </c>
      <c r="AB1604" s="94">
        <f>IF($A1604="",0,IF(AE1604="직접",IF(AF1604="수금비",$P1604,0),$P1604*(1-AG1604)*IFERROR(INDEX(계정대체기준!$E$20:$E$49,MATCH($N1604,계정대체기준!$A$20:$A$49,0)),0)))</f>
        <v/>
      </c>
      <c r="AC1604" s="9">
        <f>IF(AND($A1604&lt;&gt;"",M1604=설정!$C$20,Z1604&gt;0),Z1604+ROW()/1000000000,"")</f>
        <v/>
      </c>
      <c r="AD1604" s="94">
        <f>IF($A1604="",0,$P1604*AG1604)</f>
        <v/>
      </c>
      <c r="AE1604" s="64">
        <f>IF($A1604="","",IFERROR(INDEX(계정매핑!$E$5:$E$504,MATCH($F1604&amp;"",계정매핑!$A$5:$A$504,0))&amp;"","공통비"))</f>
        <v/>
      </c>
      <c r="AF1604" s="64">
        <f>IF($A1604="","",IF(AE1604="직접",IFERROR(INDEX(계정매핑!$F$5:$F$504,MATCH($F1604&amp;"",계정매핑!$A$5:$A$504,0))&amp;"","비귀속"),""))</f>
        <v/>
      </c>
      <c r="AG1604" s="96">
        <f>IF($A1604="",0,IF(AND(AE1604&lt;&gt;"직접",IFERROR(INDEX(계정매핑!$G$5:$G$504,MATCH($F1604&amp;"",계정매핑!$A$5:$A$504,0))&amp;"","")="유지비",COUNTIF(계정대체기준!$A$6:$A$15,$N1604)&gt;0),IFERROR(INDEX(계정대체기준!$E$6:$E$15,MATCH(VALUE($A1604&amp;""),계정대체기준!$D$6:$D$15,0)),0),0))</f>
        <v/>
      </c>
      <c r="AH1604" s="64">
        <f>IF($A1604="","",IF(AD1604=0,"",IF(OR(COUNTIF(계정대체기준!$A$77:$A$86,$N1604)&gt;0,ISNUMBER(MATCH($X1604,계정대체기준!$D$77:$D$86,0)),ISNUMBER(MATCH($F1604,계정대체기준!$D$77:$D$86,0))),"Y","N")))</f>
        <v/>
      </c>
    </row>
    <row r="1605">
      <c r="A1605" s="92" t="n">
        <v>2025</v>
      </c>
      <c r="B1605" s="92" t="n">
        <v>8</v>
      </c>
      <c r="C1605" s="92" t="inlineStr">
        <is>
          <t>5100001601</t>
        </is>
      </c>
      <c r="D1605" s="95" t="n">
        <v>45873</v>
      </c>
      <c r="E1605" s="92" t="inlineStr">
        <is>
          <t>KR</t>
        </is>
      </c>
      <c r="F1605" s="92" t="n">
        <v>62101000</v>
      </c>
      <c r="G1605" s="92" t="n">
        <v>1201</v>
      </c>
      <c r="H1605" s="93" t="n">
        <v>260000</v>
      </c>
      <c r="I1605" s="92" t="inlineStr">
        <is>
          <t>8월 국내출장 - M항공</t>
        </is>
      </c>
      <c r="J1605" s="92" t="inlineStr">
        <is>
          <t>V10001</t>
        </is>
      </c>
      <c r="K1605" s="92" t="inlineStr">
        <is>
          <t>M항공</t>
        </is>
      </c>
      <c r="M1605" s="9">
        <f>IF($A1605="","",VALUE($A1605&amp;"")*12+VALUE($B1605&amp;""))</f>
        <v/>
      </c>
      <c r="N1605" s="64">
        <f>IF($A1605="","",IFERROR(INDEX(부서매핑!$C$5:$C$504,MATCH($G1605&amp;"",부서매핑!$A$5:$A$504,0)),"미매핑"))</f>
        <v/>
      </c>
      <c r="O1605" s="9">
        <f>IF($A1605="","",N1605&amp;"|"&amp;$F1605)</f>
        <v/>
      </c>
      <c r="P1605" s="94">
        <f>IF($A1605="",0,$H1605*설정!$C$23)</f>
        <v/>
      </c>
      <c r="Q1605" s="64">
        <f>IF($A1605="","",IF(O1605&lt;&gt;원인분석!$C$9,"",IF(AND(M1605&gt;=원인분석!$C$10,M1605&lt;=원인분석!$C$11),"당기",IF(AND(M1605&gt;=원인분석!$C$12,M1605&lt;=원인분석!$C$13),"비교",""))))</f>
        <v/>
      </c>
      <c r="R1605" s="9">
        <f>IF(Q1605="","",$K1605&amp;"")</f>
        <v/>
      </c>
      <c r="S1605" s="9">
        <f>IF(Q1605="","",IF(MATCH(R1605,$R$5:$R$100000,0)=ROW()-4,ROW(),""))</f>
        <v/>
      </c>
      <c r="T1605" s="9">
        <f>IF(Q1605="당기",ABS(P1605)+ROW()/1000000000,"")</f>
        <v/>
      </c>
      <c r="U1605" s="9">
        <f>IF(Q1605="비교",ABS(P1605)+ROW()/1000000000,"")</f>
        <v/>
      </c>
      <c r="V1605" s="64">
        <f>IF($A1605="","",IF(COUNTIF(변동분석!$E$7:$E$506,O1605)&gt;0,"Y","N"))</f>
        <v/>
      </c>
      <c r="W1605" s="64">
        <f>IF($A1605="","",IFERROR(INDEX(계정매핑!$D$5:$D$504,MATCH($F1605&amp;"",계정매핑!$A$5:$A$504,0)),"미매핑"))</f>
        <v/>
      </c>
      <c r="X1605" s="9">
        <f>IF($A1605="","",$F1605&amp;"")</f>
        <v/>
      </c>
      <c r="Y1605" s="94">
        <f>IF($A1605="",0,IF(AE1605="직접",IF(AF1605="비귀속",$P1605,0),$P1605*(1-AG1605)*IFERROR(INDEX(계정대체기준!$F$20:$F$49,MATCH($N1605,계정대체기준!$A$20:$A$49,0)),1)))</f>
        <v/>
      </c>
      <c r="Z1605" s="94">
        <f>IF($A1605="",0,IF(AE1605="직접",IF(AF1605="신계약비",$P1605,0),$P1605*(1-AG1605)*IFERROR(INDEX(계정대체기준!$C$20:$C$49,MATCH($N1605,계정대체기준!$A$20:$A$49,0)),0)))</f>
        <v/>
      </c>
      <c r="AA1605" s="94">
        <f>IF($A1605="",0,IF(AE1605="직접",IF(OR(AF1605="유지비",AF1605="손해조사비"),$P1605,0),$P1605*(1-AG1605)*IFERROR(INDEX(계정대체기준!$D$20:$D$49,MATCH($N1605,계정대체기준!$A$20:$A$49,0)),0)))</f>
        <v/>
      </c>
      <c r="AB1605" s="94">
        <f>IF($A1605="",0,IF(AE1605="직접",IF(AF1605="수금비",$P1605,0),$P1605*(1-AG1605)*IFERROR(INDEX(계정대체기준!$E$20:$E$49,MATCH($N1605,계정대체기준!$A$20:$A$49,0)),0)))</f>
        <v/>
      </c>
      <c r="AC1605" s="9">
        <f>IF(AND($A1605&lt;&gt;"",M1605=설정!$C$20,Z1605&gt;0),Z1605+ROW()/1000000000,"")</f>
        <v/>
      </c>
      <c r="AD1605" s="94">
        <f>IF($A1605="",0,$P1605*AG1605)</f>
        <v/>
      </c>
      <c r="AE1605" s="64">
        <f>IF($A1605="","",IFERROR(INDEX(계정매핑!$E$5:$E$504,MATCH($F1605&amp;"",계정매핑!$A$5:$A$504,0))&amp;"","공통비"))</f>
        <v/>
      </c>
      <c r="AF1605" s="64">
        <f>IF($A1605="","",IF(AE1605="직접",IFERROR(INDEX(계정매핑!$F$5:$F$504,MATCH($F1605&amp;"",계정매핑!$A$5:$A$504,0))&amp;"","비귀속"),""))</f>
        <v/>
      </c>
      <c r="AG1605" s="96">
        <f>IF($A1605="",0,IF(AND(AE1605&lt;&gt;"직접",IFERROR(INDEX(계정매핑!$G$5:$G$504,MATCH($F1605&amp;"",계정매핑!$A$5:$A$504,0))&amp;"","")="유지비",COUNTIF(계정대체기준!$A$6:$A$15,$N1605)&gt;0),IFERROR(INDEX(계정대체기준!$E$6:$E$15,MATCH(VALUE($A1605&amp;""),계정대체기준!$D$6:$D$15,0)),0),0))</f>
        <v/>
      </c>
      <c r="AH1605" s="64">
        <f>IF($A1605="","",IF(AD1605=0,"",IF(OR(COUNTIF(계정대체기준!$A$77:$A$86,$N1605)&gt;0,ISNUMBER(MATCH($X1605,계정대체기준!$D$77:$D$86,0)),ISNUMBER(MATCH($F1605,계정대체기준!$D$77:$D$86,0))),"Y","N")))</f>
        <v/>
      </c>
    </row>
    <row r="1606">
      <c r="A1606" s="92" t="n">
        <v>2025</v>
      </c>
      <c r="B1606" s="92" t="n">
        <v>8</v>
      </c>
      <c r="C1606" s="92" t="inlineStr">
        <is>
          <t>5100001602</t>
        </is>
      </c>
      <c r="D1606" s="95" t="n">
        <v>45873</v>
      </c>
      <c r="E1606" s="92" t="inlineStr">
        <is>
          <t>KR</t>
        </is>
      </c>
      <c r="F1606" s="92" t="n">
        <v>62102000</v>
      </c>
      <c r="G1606" s="92" t="n">
        <v>1601</v>
      </c>
      <c r="H1606" s="93" t="n">
        <v>324000</v>
      </c>
      <c r="I1606" s="92" t="inlineStr">
        <is>
          <t>8월 해외출장 - N호텔</t>
        </is>
      </c>
      <c r="J1606" s="92" t="inlineStr">
        <is>
          <t>V10009</t>
        </is>
      </c>
      <c r="K1606" s="92" t="inlineStr">
        <is>
          <t>N호텔</t>
        </is>
      </c>
      <c r="M1606" s="9">
        <f>IF($A1606="","",VALUE($A1606&amp;"")*12+VALUE($B1606&amp;""))</f>
        <v/>
      </c>
      <c r="N1606" s="64">
        <f>IF($A1606="","",IFERROR(INDEX(부서매핑!$C$5:$C$504,MATCH($G1606&amp;"",부서매핑!$A$5:$A$504,0)),"미매핑"))</f>
        <v/>
      </c>
      <c r="O1606" s="9">
        <f>IF($A1606="","",N1606&amp;"|"&amp;$F1606)</f>
        <v/>
      </c>
      <c r="P1606" s="94">
        <f>IF($A1606="",0,$H1606*설정!$C$23)</f>
        <v/>
      </c>
      <c r="Q1606" s="64">
        <f>IF($A1606="","",IF(O1606&lt;&gt;원인분석!$C$9,"",IF(AND(M1606&gt;=원인분석!$C$10,M1606&lt;=원인분석!$C$11),"당기",IF(AND(M1606&gt;=원인분석!$C$12,M1606&lt;=원인분석!$C$13),"비교",""))))</f>
        <v/>
      </c>
      <c r="R1606" s="9">
        <f>IF(Q1606="","",$K1606&amp;"")</f>
        <v/>
      </c>
      <c r="S1606" s="9">
        <f>IF(Q1606="","",IF(MATCH(R1606,$R$5:$R$100000,0)=ROW()-4,ROW(),""))</f>
        <v/>
      </c>
      <c r="T1606" s="9">
        <f>IF(Q1606="당기",ABS(P1606)+ROW()/1000000000,"")</f>
        <v/>
      </c>
      <c r="U1606" s="9">
        <f>IF(Q1606="비교",ABS(P1606)+ROW()/1000000000,"")</f>
        <v/>
      </c>
      <c r="V1606" s="64">
        <f>IF($A1606="","",IF(COUNTIF(변동분석!$E$7:$E$506,O1606)&gt;0,"Y","N"))</f>
        <v/>
      </c>
      <c r="W1606" s="64">
        <f>IF($A1606="","",IFERROR(INDEX(계정매핑!$D$5:$D$504,MATCH($F1606&amp;"",계정매핑!$A$5:$A$504,0)),"미매핑"))</f>
        <v/>
      </c>
      <c r="X1606" s="9">
        <f>IF($A1606="","",$F1606&amp;"")</f>
        <v/>
      </c>
      <c r="Y1606" s="94">
        <f>IF($A1606="",0,IF(AE1606="직접",IF(AF1606="비귀속",$P1606,0),$P1606*(1-AG1606)*IFERROR(INDEX(계정대체기준!$F$20:$F$49,MATCH($N1606,계정대체기준!$A$20:$A$49,0)),1)))</f>
        <v/>
      </c>
      <c r="Z1606" s="94">
        <f>IF($A1606="",0,IF(AE1606="직접",IF(AF1606="신계약비",$P1606,0),$P1606*(1-AG1606)*IFERROR(INDEX(계정대체기준!$C$20:$C$49,MATCH($N1606,계정대체기준!$A$20:$A$49,0)),0)))</f>
        <v/>
      </c>
      <c r="AA1606" s="94">
        <f>IF($A1606="",0,IF(AE1606="직접",IF(OR(AF1606="유지비",AF1606="손해조사비"),$P1606,0),$P1606*(1-AG1606)*IFERROR(INDEX(계정대체기준!$D$20:$D$49,MATCH($N1606,계정대체기준!$A$20:$A$49,0)),0)))</f>
        <v/>
      </c>
      <c r="AB1606" s="94">
        <f>IF($A1606="",0,IF(AE1606="직접",IF(AF1606="수금비",$P1606,0),$P1606*(1-AG1606)*IFERROR(INDEX(계정대체기준!$E$20:$E$49,MATCH($N1606,계정대체기준!$A$20:$A$49,0)),0)))</f>
        <v/>
      </c>
      <c r="AC1606" s="9">
        <f>IF(AND($A1606&lt;&gt;"",M1606=설정!$C$20,Z1606&gt;0),Z1606+ROW()/1000000000,"")</f>
        <v/>
      </c>
      <c r="AD1606" s="94">
        <f>IF($A1606="",0,$P1606*AG1606)</f>
        <v/>
      </c>
      <c r="AE1606" s="64">
        <f>IF($A1606="","",IFERROR(INDEX(계정매핑!$E$5:$E$504,MATCH($F1606&amp;"",계정매핑!$A$5:$A$504,0))&amp;"","공통비"))</f>
        <v/>
      </c>
      <c r="AF1606" s="64">
        <f>IF($A1606="","",IF(AE1606="직접",IFERROR(INDEX(계정매핑!$F$5:$F$504,MATCH($F1606&amp;"",계정매핑!$A$5:$A$504,0))&amp;"","비귀속"),""))</f>
        <v/>
      </c>
      <c r="AG1606" s="96">
        <f>IF($A1606="",0,IF(AND(AE1606&lt;&gt;"직접",IFERROR(INDEX(계정매핑!$G$5:$G$504,MATCH($F1606&amp;"",계정매핑!$A$5:$A$504,0))&amp;"","")="유지비",COUNTIF(계정대체기준!$A$6:$A$15,$N1606)&gt;0),IFERROR(INDEX(계정대체기준!$E$6:$E$15,MATCH(VALUE($A1606&amp;""),계정대체기준!$D$6:$D$15,0)),0),0))</f>
        <v/>
      </c>
      <c r="AH1606" s="64">
        <f>IF($A1606="","",IF(AD1606=0,"",IF(OR(COUNTIF(계정대체기준!$A$77:$A$86,$N1606)&gt;0,ISNUMBER(MATCH($X1606,계정대체기준!$D$77:$D$86,0)),ISNUMBER(MATCH($F1606,계정대체기준!$D$77:$D$86,0))),"Y","N")))</f>
        <v/>
      </c>
    </row>
    <row r="1607">
      <c r="A1607" s="92" t="n">
        <v>2025</v>
      </c>
      <c r="B1607" s="92" t="n">
        <v>8</v>
      </c>
      <c r="C1607" s="92" t="inlineStr">
        <is>
          <t>5100001603</t>
        </is>
      </c>
      <c r="D1607" s="95" t="n">
        <v>45873</v>
      </c>
      <c r="E1607" s="92" t="inlineStr">
        <is>
          <t>KR</t>
        </is>
      </c>
      <c r="F1607" s="92" t="n">
        <v>62102000</v>
      </c>
      <c r="G1607" s="92" t="n">
        <v>1701</v>
      </c>
      <c r="H1607" s="93" t="n">
        <v>101000</v>
      </c>
      <c r="I1607" s="92" t="inlineStr">
        <is>
          <t>8월 해외출장 - N호텔</t>
        </is>
      </c>
      <c r="J1607" s="92" t="inlineStr">
        <is>
          <t>V10009</t>
        </is>
      </c>
      <c r="K1607" s="92" t="inlineStr">
        <is>
          <t>N호텔</t>
        </is>
      </c>
      <c r="M1607" s="9">
        <f>IF($A1607="","",VALUE($A1607&amp;"")*12+VALUE($B1607&amp;""))</f>
        <v/>
      </c>
      <c r="N1607" s="64">
        <f>IF($A1607="","",IFERROR(INDEX(부서매핑!$C$5:$C$504,MATCH($G1607&amp;"",부서매핑!$A$5:$A$504,0)),"미매핑"))</f>
        <v/>
      </c>
      <c r="O1607" s="9">
        <f>IF($A1607="","",N1607&amp;"|"&amp;$F1607)</f>
        <v/>
      </c>
      <c r="P1607" s="94">
        <f>IF($A1607="",0,$H1607*설정!$C$23)</f>
        <v/>
      </c>
      <c r="Q1607" s="64">
        <f>IF($A1607="","",IF(O1607&lt;&gt;원인분석!$C$9,"",IF(AND(M1607&gt;=원인분석!$C$10,M1607&lt;=원인분석!$C$11),"당기",IF(AND(M1607&gt;=원인분석!$C$12,M1607&lt;=원인분석!$C$13),"비교",""))))</f>
        <v/>
      </c>
      <c r="R1607" s="9">
        <f>IF(Q1607="","",$K1607&amp;"")</f>
        <v/>
      </c>
      <c r="S1607" s="9">
        <f>IF(Q1607="","",IF(MATCH(R1607,$R$5:$R$100000,0)=ROW()-4,ROW(),""))</f>
        <v/>
      </c>
      <c r="T1607" s="9">
        <f>IF(Q1607="당기",ABS(P1607)+ROW()/1000000000,"")</f>
        <v/>
      </c>
      <c r="U1607" s="9">
        <f>IF(Q1607="비교",ABS(P1607)+ROW()/1000000000,"")</f>
        <v/>
      </c>
      <c r="V1607" s="64">
        <f>IF($A1607="","",IF(COUNTIF(변동분석!$E$7:$E$506,O1607)&gt;0,"Y","N"))</f>
        <v/>
      </c>
      <c r="W1607" s="64">
        <f>IF($A1607="","",IFERROR(INDEX(계정매핑!$D$5:$D$504,MATCH($F1607&amp;"",계정매핑!$A$5:$A$504,0)),"미매핑"))</f>
        <v/>
      </c>
      <c r="X1607" s="9">
        <f>IF($A1607="","",$F1607&amp;"")</f>
        <v/>
      </c>
      <c r="Y1607" s="94">
        <f>IF($A1607="",0,IF(AE1607="직접",IF(AF1607="비귀속",$P1607,0),$P1607*(1-AG1607)*IFERROR(INDEX(계정대체기준!$F$20:$F$49,MATCH($N1607,계정대체기준!$A$20:$A$49,0)),1)))</f>
        <v/>
      </c>
      <c r="Z1607" s="94">
        <f>IF($A1607="",0,IF(AE1607="직접",IF(AF1607="신계약비",$P1607,0),$P1607*(1-AG1607)*IFERROR(INDEX(계정대체기준!$C$20:$C$49,MATCH($N1607,계정대체기준!$A$20:$A$49,0)),0)))</f>
        <v/>
      </c>
      <c r="AA1607" s="94">
        <f>IF($A1607="",0,IF(AE1607="직접",IF(OR(AF1607="유지비",AF1607="손해조사비"),$P1607,0),$P1607*(1-AG1607)*IFERROR(INDEX(계정대체기준!$D$20:$D$49,MATCH($N1607,계정대체기준!$A$20:$A$49,0)),0)))</f>
        <v/>
      </c>
      <c r="AB1607" s="94">
        <f>IF($A1607="",0,IF(AE1607="직접",IF(AF1607="수금비",$P1607,0),$P1607*(1-AG1607)*IFERROR(INDEX(계정대체기준!$E$20:$E$49,MATCH($N1607,계정대체기준!$A$20:$A$49,0)),0)))</f>
        <v/>
      </c>
      <c r="AC1607" s="9">
        <f>IF(AND($A1607&lt;&gt;"",M1607=설정!$C$20,Z1607&gt;0),Z1607+ROW()/1000000000,"")</f>
        <v/>
      </c>
      <c r="AD1607" s="94">
        <f>IF($A1607="",0,$P1607*AG1607)</f>
        <v/>
      </c>
      <c r="AE1607" s="64">
        <f>IF($A1607="","",IFERROR(INDEX(계정매핑!$E$5:$E$504,MATCH($F1607&amp;"",계정매핑!$A$5:$A$504,0))&amp;"","공통비"))</f>
        <v/>
      </c>
      <c r="AF1607" s="64">
        <f>IF($A1607="","",IF(AE1607="직접",IFERROR(INDEX(계정매핑!$F$5:$F$504,MATCH($F1607&amp;"",계정매핑!$A$5:$A$504,0))&amp;"","비귀속"),""))</f>
        <v/>
      </c>
      <c r="AG1607" s="96">
        <f>IF($A1607="",0,IF(AND(AE1607&lt;&gt;"직접",IFERROR(INDEX(계정매핑!$G$5:$G$504,MATCH($F1607&amp;"",계정매핑!$A$5:$A$504,0))&amp;"","")="유지비",COUNTIF(계정대체기준!$A$6:$A$15,$N1607)&gt;0),IFERROR(INDEX(계정대체기준!$E$6:$E$15,MATCH(VALUE($A1607&amp;""),계정대체기준!$D$6:$D$15,0)),0),0))</f>
        <v/>
      </c>
      <c r="AH1607" s="64">
        <f>IF($A1607="","",IF(AD1607=0,"",IF(OR(COUNTIF(계정대체기준!$A$77:$A$86,$N1607)&gt;0,ISNUMBER(MATCH($X1607,계정대체기준!$D$77:$D$86,0)),ISNUMBER(MATCH($F1607,계정대체기준!$D$77:$D$86,0))),"Y","N")))</f>
        <v/>
      </c>
    </row>
    <row r="1608">
      <c r="A1608" s="92" t="n">
        <v>2025</v>
      </c>
      <c r="B1608" s="92" t="n">
        <v>8</v>
      </c>
      <c r="C1608" s="92" t="inlineStr">
        <is>
          <t>5100001604</t>
        </is>
      </c>
      <c r="D1608" s="95" t="n">
        <v>45873</v>
      </c>
      <c r="E1608" s="92" t="inlineStr">
        <is>
          <t>KR</t>
        </is>
      </c>
      <c r="F1608" s="92" t="n">
        <v>62301000</v>
      </c>
      <c r="G1608" s="92" t="n">
        <v>1301</v>
      </c>
      <c r="H1608" s="93" t="n">
        <v>120000</v>
      </c>
      <c r="I1608" s="92" t="inlineStr">
        <is>
          <t>8월 소모품 구입 - R문구</t>
        </is>
      </c>
      <c r="J1608" s="92" t="inlineStr">
        <is>
          <t>V10022</t>
        </is>
      </c>
      <c r="K1608" s="92" t="inlineStr">
        <is>
          <t>R문구</t>
        </is>
      </c>
      <c r="M1608" s="9">
        <f>IF($A1608="","",VALUE($A1608&amp;"")*12+VALUE($B1608&amp;""))</f>
        <v/>
      </c>
      <c r="N1608" s="64">
        <f>IF($A1608="","",IFERROR(INDEX(부서매핑!$C$5:$C$504,MATCH($G1608&amp;"",부서매핑!$A$5:$A$504,0)),"미매핑"))</f>
        <v/>
      </c>
      <c r="O1608" s="9">
        <f>IF($A1608="","",N1608&amp;"|"&amp;$F1608)</f>
        <v/>
      </c>
      <c r="P1608" s="94">
        <f>IF($A1608="",0,$H1608*설정!$C$23)</f>
        <v/>
      </c>
      <c r="Q1608" s="64">
        <f>IF($A1608="","",IF(O1608&lt;&gt;원인분석!$C$9,"",IF(AND(M1608&gt;=원인분석!$C$10,M1608&lt;=원인분석!$C$11),"당기",IF(AND(M1608&gt;=원인분석!$C$12,M1608&lt;=원인분석!$C$13),"비교",""))))</f>
        <v/>
      </c>
      <c r="R1608" s="9">
        <f>IF(Q1608="","",$K1608&amp;"")</f>
        <v/>
      </c>
      <c r="S1608" s="9">
        <f>IF(Q1608="","",IF(MATCH(R1608,$R$5:$R$100000,0)=ROW()-4,ROW(),""))</f>
        <v/>
      </c>
      <c r="T1608" s="9">
        <f>IF(Q1608="당기",ABS(P1608)+ROW()/1000000000,"")</f>
        <v/>
      </c>
      <c r="U1608" s="9">
        <f>IF(Q1608="비교",ABS(P1608)+ROW()/1000000000,"")</f>
        <v/>
      </c>
      <c r="V1608" s="64">
        <f>IF($A1608="","",IF(COUNTIF(변동분석!$E$7:$E$506,O1608)&gt;0,"Y","N"))</f>
        <v/>
      </c>
      <c r="W1608" s="64">
        <f>IF($A1608="","",IFERROR(INDEX(계정매핑!$D$5:$D$504,MATCH($F1608&amp;"",계정매핑!$A$5:$A$504,0)),"미매핑"))</f>
        <v/>
      </c>
      <c r="X1608" s="9">
        <f>IF($A1608="","",$F1608&amp;"")</f>
        <v/>
      </c>
      <c r="Y1608" s="94">
        <f>IF($A1608="",0,IF(AE1608="직접",IF(AF1608="비귀속",$P1608,0),$P1608*(1-AG1608)*IFERROR(INDEX(계정대체기준!$F$20:$F$49,MATCH($N1608,계정대체기준!$A$20:$A$49,0)),1)))</f>
        <v/>
      </c>
      <c r="Z1608" s="94">
        <f>IF($A1608="",0,IF(AE1608="직접",IF(AF1608="신계약비",$P1608,0),$P1608*(1-AG1608)*IFERROR(INDEX(계정대체기준!$C$20:$C$49,MATCH($N1608,계정대체기준!$A$20:$A$49,0)),0)))</f>
        <v/>
      </c>
      <c r="AA1608" s="94">
        <f>IF($A1608="",0,IF(AE1608="직접",IF(OR(AF1608="유지비",AF1608="손해조사비"),$P1608,0),$P1608*(1-AG1608)*IFERROR(INDEX(계정대체기준!$D$20:$D$49,MATCH($N1608,계정대체기준!$A$20:$A$49,0)),0)))</f>
        <v/>
      </c>
      <c r="AB1608" s="94">
        <f>IF($A1608="",0,IF(AE1608="직접",IF(AF1608="수금비",$P1608,0),$P1608*(1-AG1608)*IFERROR(INDEX(계정대체기준!$E$20:$E$49,MATCH($N1608,계정대체기준!$A$20:$A$49,0)),0)))</f>
        <v/>
      </c>
      <c r="AC1608" s="9">
        <f>IF(AND($A1608&lt;&gt;"",M1608=설정!$C$20,Z1608&gt;0),Z1608+ROW()/1000000000,"")</f>
        <v/>
      </c>
      <c r="AD1608" s="94">
        <f>IF($A1608="",0,$P1608*AG1608)</f>
        <v/>
      </c>
      <c r="AE1608" s="64">
        <f>IF($A1608="","",IFERROR(INDEX(계정매핑!$E$5:$E$504,MATCH($F1608&amp;"",계정매핑!$A$5:$A$504,0))&amp;"","공통비"))</f>
        <v/>
      </c>
      <c r="AF1608" s="64">
        <f>IF($A1608="","",IF(AE1608="직접",IFERROR(INDEX(계정매핑!$F$5:$F$504,MATCH($F1608&amp;"",계정매핑!$A$5:$A$504,0))&amp;"","비귀속"),""))</f>
        <v/>
      </c>
      <c r="AG1608" s="96">
        <f>IF($A1608="",0,IF(AND(AE1608&lt;&gt;"직접",IFERROR(INDEX(계정매핑!$G$5:$G$504,MATCH($F1608&amp;"",계정매핑!$A$5:$A$504,0))&amp;"","")="유지비",COUNTIF(계정대체기준!$A$6:$A$15,$N1608)&gt;0),IFERROR(INDEX(계정대체기준!$E$6:$E$15,MATCH(VALUE($A1608&amp;""),계정대체기준!$D$6:$D$15,0)),0),0))</f>
        <v/>
      </c>
      <c r="AH1608" s="64">
        <f>IF($A1608="","",IF(AD1608=0,"",IF(OR(COUNTIF(계정대체기준!$A$77:$A$86,$N1608)&gt;0,ISNUMBER(MATCH($X1608,계정대체기준!$D$77:$D$86,0)),ISNUMBER(MATCH($F1608,계정대체기준!$D$77:$D$86,0))),"Y","N")))</f>
        <v/>
      </c>
    </row>
    <row r="1609">
      <c r="A1609" s="92" t="n">
        <v>2025</v>
      </c>
      <c r="B1609" s="92" t="n">
        <v>8</v>
      </c>
      <c r="C1609" s="92" t="inlineStr">
        <is>
          <t>5100001605</t>
        </is>
      </c>
      <c r="D1609" s="95" t="n">
        <v>45873</v>
      </c>
      <c r="E1609" s="92" t="inlineStr">
        <is>
          <t>KR</t>
        </is>
      </c>
      <c r="F1609" s="92" t="n">
        <v>62301000</v>
      </c>
      <c r="G1609" s="92" t="n">
        <v>1801</v>
      </c>
      <c r="H1609" s="93" t="n">
        <v>373000</v>
      </c>
      <c r="I1609" s="92" t="inlineStr">
        <is>
          <t>8월 소모품 구입 - Q오피스</t>
        </is>
      </c>
      <c r="J1609" s="92" t="inlineStr">
        <is>
          <t>V10003</t>
        </is>
      </c>
      <c r="K1609" s="92" t="inlineStr">
        <is>
          <t>Q오피스</t>
        </is>
      </c>
      <c r="M1609" s="9">
        <f>IF($A1609="","",VALUE($A1609&amp;"")*12+VALUE($B1609&amp;""))</f>
        <v/>
      </c>
      <c r="N1609" s="64">
        <f>IF($A1609="","",IFERROR(INDEX(부서매핑!$C$5:$C$504,MATCH($G1609&amp;"",부서매핑!$A$5:$A$504,0)),"미매핑"))</f>
        <v/>
      </c>
      <c r="O1609" s="9">
        <f>IF($A1609="","",N1609&amp;"|"&amp;$F1609)</f>
        <v/>
      </c>
      <c r="P1609" s="94">
        <f>IF($A1609="",0,$H1609*설정!$C$23)</f>
        <v/>
      </c>
      <c r="Q1609" s="64">
        <f>IF($A1609="","",IF(O1609&lt;&gt;원인분석!$C$9,"",IF(AND(M1609&gt;=원인분석!$C$10,M1609&lt;=원인분석!$C$11),"당기",IF(AND(M1609&gt;=원인분석!$C$12,M1609&lt;=원인분석!$C$13),"비교",""))))</f>
        <v/>
      </c>
      <c r="R1609" s="9">
        <f>IF(Q1609="","",$K1609&amp;"")</f>
        <v/>
      </c>
      <c r="S1609" s="9">
        <f>IF(Q1609="","",IF(MATCH(R1609,$R$5:$R$100000,0)=ROW()-4,ROW(),""))</f>
        <v/>
      </c>
      <c r="T1609" s="9">
        <f>IF(Q1609="당기",ABS(P1609)+ROW()/1000000000,"")</f>
        <v/>
      </c>
      <c r="U1609" s="9">
        <f>IF(Q1609="비교",ABS(P1609)+ROW()/1000000000,"")</f>
        <v/>
      </c>
      <c r="V1609" s="64">
        <f>IF($A1609="","",IF(COUNTIF(변동분석!$E$7:$E$506,O1609)&gt;0,"Y","N"))</f>
        <v/>
      </c>
      <c r="W1609" s="64">
        <f>IF($A1609="","",IFERROR(INDEX(계정매핑!$D$5:$D$504,MATCH($F1609&amp;"",계정매핑!$A$5:$A$504,0)),"미매핑"))</f>
        <v/>
      </c>
      <c r="X1609" s="9">
        <f>IF($A1609="","",$F1609&amp;"")</f>
        <v/>
      </c>
      <c r="Y1609" s="94">
        <f>IF($A1609="",0,IF(AE1609="직접",IF(AF1609="비귀속",$P1609,0),$P1609*(1-AG1609)*IFERROR(INDEX(계정대체기준!$F$20:$F$49,MATCH($N1609,계정대체기준!$A$20:$A$49,0)),1)))</f>
        <v/>
      </c>
      <c r="Z1609" s="94">
        <f>IF($A1609="",0,IF(AE1609="직접",IF(AF1609="신계약비",$P1609,0),$P1609*(1-AG1609)*IFERROR(INDEX(계정대체기준!$C$20:$C$49,MATCH($N1609,계정대체기준!$A$20:$A$49,0)),0)))</f>
        <v/>
      </c>
      <c r="AA1609" s="94">
        <f>IF($A1609="",0,IF(AE1609="직접",IF(OR(AF1609="유지비",AF1609="손해조사비"),$P1609,0),$P1609*(1-AG1609)*IFERROR(INDEX(계정대체기준!$D$20:$D$49,MATCH($N1609,계정대체기준!$A$20:$A$49,0)),0)))</f>
        <v/>
      </c>
      <c r="AB1609" s="94">
        <f>IF($A1609="",0,IF(AE1609="직접",IF(AF1609="수금비",$P1609,0),$P1609*(1-AG1609)*IFERROR(INDEX(계정대체기준!$E$20:$E$49,MATCH($N1609,계정대체기준!$A$20:$A$49,0)),0)))</f>
        <v/>
      </c>
      <c r="AC1609" s="9">
        <f>IF(AND($A1609&lt;&gt;"",M1609=설정!$C$20,Z1609&gt;0),Z1609+ROW()/1000000000,"")</f>
        <v/>
      </c>
      <c r="AD1609" s="94">
        <f>IF($A1609="",0,$P1609*AG1609)</f>
        <v/>
      </c>
      <c r="AE1609" s="64">
        <f>IF($A1609="","",IFERROR(INDEX(계정매핑!$E$5:$E$504,MATCH($F1609&amp;"",계정매핑!$A$5:$A$504,0))&amp;"","공통비"))</f>
        <v/>
      </c>
      <c r="AF1609" s="64">
        <f>IF($A1609="","",IF(AE1609="직접",IFERROR(INDEX(계정매핑!$F$5:$F$504,MATCH($F1609&amp;"",계정매핑!$A$5:$A$504,0))&amp;"","비귀속"),""))</f>
        <v/>
      </c>
      <c r="AG1609" s="96">
        <f>IF($A1609="",0,IF(AND(AE1609&lt;&gt;"직접",IFERROR(INDEX(계정매핑!$G$5:$G$504,MATCH($F1609&amp;"",계정매핑!$A$5:$A$504,0))&amp;"","")="유지비",COUNTIF(계정대체기준!$A$6:$A$15,$N1609)&gt;0),IFERROR(INDEX(계정대체기준!$E$6:$E$15,MATCH(VALUE($A1609&amp;""),계정대체기준!$D$6:$D$15,0)),0),0))</f>
        <v/>
      </c>
      <c r="AH1609" s="64">
        <f>IF($A1609="","",IF(AD1609=0,"",IF(OR(COUNTIF(계정대체기준!$A$77:$A$86,$N1609)&gt;0,ISNUMBER(MATCH($X1609,계정대체기준!$D$77:$D$86,0)),ISNUMBER(MATCH($F1609,계정대체기준!$D$77:$D$86,0))),"Y","N")))</f>
        <v/>
      </c>
    </row>
    <row r="1610">
      <c r="A1610" s="92" t="n">
        <v>2025</v>
      </c>
      <c r="B1610" s="92" t="n">
        <v>8</v>
      </c>
      <c r="C1610" s="92" t="inlineStr">
        <is>
          <t>5100001606</t>
        </is>
      </c>
      <c r="D1610" s="95" t="n">
        <v>45873</v>
      </c>
      <c r="E1610" s="92" t="inlineStr">
        <is>
          <t>KR</t>
        </is>
      </c>
      <c r="F1610" s="92" t="n">
        <v>62501000</v>
      </c>
      <c r="G1610" s="92" t="n">
        <v>1501</v>
      </c>
      <c r="H1610" s="93" t="n">
        <v>308000</v>
      </c>
      <c r="I1610" s="92" t="inlineStr">
        <is>
          <t>8월 회의 다과 - (법인카드)</t>
        </is>
      </c>
      <c r="J1610" s="92" t="inlineStr">
        <is>
          <t>V10010</t>
        </is>
      </c>
      <c r="K1610" s="92" t="inlineStr">
        <is>
          <t>(법인카드)</t>
        </is>
      </c>
      <c r="M1610" s="9">
        <f>IF($A1610="","",VALUE($A1610&amp;"")*12+VALUE($B1610&amp;""))</f>
        <v/>
      </c>
      <c r="N1610" s="64">
        <f>IF($A1610="","",IFERROR(INDEX(부서매핑!$C$5:$C$504,MATCH($G1610&amp;"",부서매핑!$A$5:$A$504,0)),"미매핑"))</f>
        <v/>
      </c>
      <c r="O1610" s="9">
        <f>IF($A1610="","",N1610&amp;"|"&amp;$F1610)</f>
        <v/>
      </c>
      <c r="P1610" s="94">
        <f>IF($A1610="",0,$H1610*설정!$C$23)</f>
        <v/>
      </c>
      <c r="Q1610" s="64">
        <f>IF($A1610="","",IF(O1610&lt;&gt;원인분석!$C$9,"",IF(AND(M1610&gt;=원인분석!$C$10,M1610&lt;=원인분석!$C$11),"당기",IF(AND(M1610&gt;=원인분석!$C$12,M1610&lt;=원인분석!$C$13),"비교",""))))</f>
        <v/>
      </c>
      <c r="R1610" s="9">
        <f>IF(Q1610="","",$K1610&amp;"")</f>
        <v/>
      </c>
      <c r="S1610" s="9">
        <f>IF(Q1610="","",IF(MATCH(R1610,$R$5:$R$100000,0)=ROW()-4,ROW(),""))</f>
        <v/>
      </c>
      <c r="T1610" s="9">
        <f>IF(Q1610="당기",ABS(P1610)+ROW()/1000000000,"")</f>
        <v/>
      </c>
      <c r="U1610" s="9">
        <f>IF(Q1610="비교",ABS(P1610)+ROW()/1000000000,"")</f>
        <v/>
      </c>
      <c r="V1610" s="64">
        <f>IF($A1610="","",IF(COUNTIF(변동분석!$E$7:$E$506,O1610)&gt;0,"Y","N"))</f>
        <v/>
      </c>
      <c r="W1610" s="64">
        <f>IF($A1610="","",IFERROR(INDEX(계정매핑!$D$5:$D$504,MATCH($F1610&amp;"",계정매핑!$A$5:$A$504,0)),"미매핑"))</f>
        <v/>
      </c>
      <c r="X1610" s="9">
        <f>IF($A1610="","",$F1610&amp;"")</f>
        <v/>
      </c>
      <c r="Y1610" s="94">
        <f>IF($A1610="",0,IF(AE1610="직접",IF(AF1610="비귀속",$P1610,0),$P1610*(1-AG1610)*IFERROR(INDEX(계정대체기준!$F$20:$F$49,MATCH($N1610,계정대체기준!$A$20:$A$49,0)),1)))</f>
        <v/>
      </c>
      <c r="Z1610" s="94">
        <f>IF($A1610="",0,IF(AE1610="직접",IF(AF1610="신계약비",$P1610,0),$P1610*(1-AG1610)*IFERROR(INDEX(계정대체기준!$C$20:$C$49,MATCH($N1610,계정대체기준!$A$20:$A$49,0)),0)))</f>
        <v/>
      </c>
      <c r="AA1610" s="94">
        <f>IF($A1610="",0,IF(AE1610="직접",IF(OR(AF1610="유지비",AF1610="손해조사비"),$P1610,0),$P1610*(1-AG1610)*IFERROR(INDEX(계정대체기준!$D$20:$D$49,MATCH($N1610,계정대체기준!$A$20:$A$49,0)),0)))</f>
        <v/>
      </c>
      <c r="AB1610" s="94">
        <f>IF($A1610="",0,IF(AE1610="직접",IF(AF1610="수금비",$P1610,0),$P1610*(1-AG1610)*IFERROR(INDEX(계정대체기준!$E$20:$E$49,MATCH($N1610,계정대체기준!$A$20:$A$49,0)),0)))</f>
        <v/>
      </c>
      <c r="AC1610" s="9">
        <f>IF(AND($A1610&lt;&gt;"",M1610=설정!$C$20,Z1610&gt;0),Z1610+ROW()/1000000000,"")</f>
        <v/>
      </c>
      <c r="AD1610" s="94">
        <f>IF($A1610="",0,$P1610*AG1610)</f>
        <v/>
      </c>
      <c r="AE1610" s="64">
        <f>IF($A1610="","",IFERROR(INDEX(계정매핑!$E$5:$E$504,MATCH($F1610&amp;"",계정매핑!$A$5:$A$504,0))&amp;"","공통비"))</f>
        <v/>
      </c>
      <c r="AF1610" s="64">
        <f>IF($A1610="","",IF(AE1610="직접",IFERROR(INDEX(계정매핑!$F$5:$F$504,MATCH($F1610&amp;"",계정매핑!$A$5:$A$504,0))&amp;"","비귀속"),""))</f>
        <v/>
      </c>
      <c r="AG1610" s="96">
        <f>IF($A1610="",0,IF(AND(AE1610&lt;&gt;"직접",IFERROR(INDEX(계정매핑!$G$5:$G$504,MATCH($F1610&amp;"",계정매핑!$A$5:$A$504,0))&amp;"","")="유지비",COUNTIF(계정대체기준!$A$6:$A$15,$N1610)&gt;0),IFERROR(INDEX(계정대체기준!$E$6:$E$15,MATCH(VALUE($A1610&amp;""),계정대체기준!$D$6:$D$15,0)),0),0))</f>
        <v/>
      </c>
      <c r="AH1610" s="64">
        <f>IF($A1610="","",IF(AD1610=0,"",IF(OR(COUNTIF(계정대체기준!$A$77:$A$86,$N1610)&gt;0,ISNUMBER(MATCH($X1610,계정대체기준!$D$77:$D$86,0)),ISNUMBER(MATCH($F1610,계정대체기준!$D$77:$D$86,0))),"Y","N")))</f>
        <v/>
      </c>
    </row>
    <row r="1611">
      <c r="A1611" s="92" t="n">
        <v>2025</v>
      </c>
      <c r="B1611" s="92" t="n">
        <v>8</v>
      </c>
      <c r="C1611" s="92" t="inlineStr">
        <is>
          <t>5100001607</t>
        </is>
      </c>
      <c r="D1611" s="95" t="n">
        <v>45873</v>
      </c>
      <c r="E1611" s="92" t="inlineStr">
        <is>
          <t>KR</t>
        </is>
      </c>
      <c r="F1611" s="92" t="n">
        <v>62901000</v>
      </c>
      <c r="G1611" s="92" t="n">
        <v>1201</v>
      </c>
      <c r="H1611" s="93" t="n">
        <v>8214000</v>
      </c>
      <c r="I1611" s="92" t="inlineStr">
        <is>
          <t>8월 자문 수수료 - K회계법인</t>
        </is>
      </c>
      <c r="J1611" s="92" t="inlineStr">
        <is>
          <t>V10011</t>
        </is>
      </c>
      <c r="K1611" s="92" t="inlineStr">
        <is>
          <t>K회계법인</t>
        </is>
      </c>
      <c r="M1611" s="9">
        <f>IF($A1611="","",VALUE($A1611&amp;"")*12+VALUE($B1611&amp;""))</f>
        <v/>
      </c>
      <c r="N1611" s="64">
        <f>IF($A1611="","",IFERROR(INDEX(부서매핑!$C$5:$C$504,MATCH($G1611&amp;"",부서매핑!$A$5:$A$504,0)),"미매핑"))</f>
        <v/>
      </c>
      <c r="O1611" s="9">
        <f>IF($A1611="","",N1611&amp;"|"&amp;$F1611)</f>
        <v/>
      </c>
      <c r="P1611" s="94">
        <f>IF($A1611="",0,$H1611*설정!$C$23)</f>
        <v/>
      </c>
      <c r="Q1611" s="64">
        <f>IF($A1611="","",IF(O1611&lt;&gt;원인분석!$C$9,"",IF(AND(M1611&gt;=원인분석!$C$10,M1611&lt;=원인분석!$C$11),"당기",IF(AND(M1611&gt;=원인분석!$C$12,M1611&lt;=원인분석!$C$13),"비교",""))))</f>
        <v/>
      </c>
      <c r="R1611" s="9">
        <f>IF(Q1611="","",$K1611&amp;"")</f>
        <v/>
      </c>
      <c r="S1611" s="9">
        <f>IF(Q1611="","",IF(MATCH(R1611,$R$5:$R$100000,0)=ROW()-4,ROW(),""))</f>
        <v/>
      </c>
      <c r="T1611" s="9">
        <f>IF(Q1611="당기",ABS(P1611)+ROW()/1000000000,"")</f>
        <v/>
      </c>
      <c r="U1611" s="9">
        <f>IF(Q1611="비교",ABS(P1611)+ROW()/1000000000,"")</f>
        <v/>
      </c>
      <c r="V1611" s="64">
        <f>IF($A1611="","",IF(COUNTIF(변동분석!$E$7:$E$506,O1611)&gt;0,"Y","N"))</f>
        <v/>
      </c>
      <c r="W1611" s="64">
        <f>IF($A1611="","",IFERROR(INDEX(계정매핑!$D$5:$D$504,MATCH($F1611&amp;"",계정매핑!$A$5:$A$504,0)),"미매핑"))</f>
        <v/>
      </c>
      <c r="X1611" s="9">
        <f>IF($A1611="","",$F1611&amp;"")</f>
        <v/>
      </c>
      <c r="Y1611" s="94">
        <f>IF($A1611="",0,IF(AE1611="직접",IF(AF1611="비귀속",$P1611,0),$P1611*(1-AG1611)*IFERROR(INDEX(계정대체기준!$F$20:$F$49,MATCH($N1611,계정대체기준!$A$20:$A$49,0)),1)))</f>
        <v/>
      </c>
      <c r="Z1611" s="94">
        <f>IF($A1611="",0,IF(AE1611="직접",IF(AF1611="신계약비",$P1611,0),$P1611*(1-AG1611)*IFERROR(INDEX(계정대체기준!$C$20:$C$49,MATCH($N1611,계정대체기준!$A$20:$A$49,0)),0)))</f>
        <v/>
      </c>
      <c r="AA1611" s="94">
        <f>IF($A1611="",0,IF(AE1611="직접",IF(OR(AF1611="유지비",AF1611="손해조사비"),$P1611,0),$P1611*(1-AG1611)*IFERROR(INDEX(계정대체기준!$D$20:$D$49,MATCH($N1611,계정대체기준!$A$20:$A$49,0)),0)))</f>
        <v/>
      </c>
      <c r="AB1611" s="94">
        <f>IF($A1611="",0,IF(AE1611="직접",IF(AF1611="수금비",$P1611,0),$P1611*(1-AG1611)*IFERROR(INDEX(계정대체기준!$E$20:$E$49,MATCH($N1611,계정대체기준!$A$20:$A$49,0)),0)))</f>
        <v/>
      </c>
      <c r="AC1611" s="9">
        <f>IF(AND($A1611&lt;&gt;"",M1611=설정!$C$20,Z1611&gt;0),Z1611+ROW()/1000000000,"")</f>
        <v/>
      </c>
      <c r="AD1611" s="94">
        <f>IF($A1611="",0,$P1611*AG1611)</f>
        <v/>
      </c>
      <c r="AE1611" s="64">
        <f>IF($A1611="","",IFERROR(INDEX(계정매핑!$E$5:$E$504,MATCH($F1611&amp;"",계정매핑!$A$5:$A$504,0))&amp;"","공통비"))</f>
        <v/>
      </c>
      <c r="AF1611" s="64">
        <f>IF($A1611="","",IF(AE1611="직접",IFERROR(INDEX(계정매핑!$F$5:$F$504,MATCH($F1611&amp;"",계정매핑!$A$5:$A$504,0))&amp;"","비귀속"),""))</f>
        <v/>
      </c>
      <c r="AG1611" s="96">
        <f>IF($A1611="",0,IF(AND(AE1611&lt;&gt;"직접",IFERROR(INDEX(계정매핑!$G$5:$G$504,MATCH($F1611&amp;"",계정매핑!$A$5:$A$504,0))&amp;"","")="유지비",COUNTIF(계정대체기준!$A$6:$A$15,$N1611)&gt;0),IFERROR(INDEX(계정대체기준!$E$6:$E$15,MATCH(VALUE($A1611&amp;""),계정대체기준!$D$6:$D$15,0)),0),0))</f>
        <v/>
      </c>
      <c r="AH1611" s="64">
        <f>IF($A1611="","",IF(AD1611=0,"",IF(OR(COUNTIF(계정대체기준!$A$77:$A$86,$N1611)&gt;0,ISNUMBER(MATCH($X1611,계정대체기준!$D$77:$D$86,0)),ISNUMBER(MATCH($F1611,계정대체기준!$D$77:$D$86,0))),"Y","N")))</f>
        <v/>
      </c>
    </row>
    <row r="1612">
      <c r="A1612" s="92" t="n">
        <v>2025</v>
      </c>
      <c r="B1612" s="92" t="n">
        <v>8</v>
      </c>
      <c r="C1612" s="92" t="inlineStr">
        <is>
          <t>5100001608</t>
        </is>
      </c>
      <c r="D1612" s="95" t="n">
        <v>45873</v>
      </c>
      <c r="E1612" s="92" t="inlineStr">
        <is>
          <t>KR</t>
        </is>
      </c>
      <c r="F1612" s="92" t="n">
        <v>62901000</v>
      </c>
      <c r="G1612" s="92" t="n">
        <v>1401</v>
      </c>
      <c r="H1612" s="93" t="n">
        <v>6430000</v>
      </c>
      <c r="I1612" s="92" t="inlineStr">
        <is>
          <t>8월 자문 수수료 - K회계법인</t>
        </is>
      </c>
      <c r="J1612" s="92" t="inlineStr">
        <is>
          <t>V10011</t>
        </is>
      </c>
      <c r="K1612" s="92" t="inlineStr">
        <is>
          <t>K회계법인</t>
        </is>
      </c>
      <c r="M1612" s="9">
        <f>IF($A1612="","",VALUE($A1612&amp;"")*12+VALUE($B1612&amp;""))</f>
        <v/>
      </c>
      <c r="N1612" s="64">
        <f>IF($A1612="","",IFERROR(INDEX(부서매핑!$C$5:$C$504,MATCH($G1612&amp;"",부서매핑!$A$5:$A$504,0)),"미매핑"))</f>
        <v/>
      </c>
      <c r="O1612" s="9">
        <f>IF($A1612="","",N1612&amp;"|"&amp;$F1612)</f>
        <v/>
      </c>
      <c r="P1612" s="94">
        <f>IF($A1612="",0,$H1612*설정!$C$23)</f>
        <v/>
      </c>
      <c r="Q1612" s="64">
        <f>IF($A1612="","",IF(O1612&lt;&gt;원인분석!$C$9,"",IF(AND(M1612&gt;=원인분석!$C$10,M1612&lt;=원인분석!$C$11),"당기",IF(AND(M1612&gt;=원인분석!$C$12,M1612&lt;=원인분석!$C$13),"비교",""))))</f>
        <v/>
      </c>
      <c r="R1612" s="9">
        <f>IF(Q1612="","",$K1612&amp;"")</f>
        <v/>
      </c>
      <c r="S1612" s="9">
        <f>IF(Q1612="","",IF(MATCH(R1612,$R$5:$R$100000,0)=ROW()-4,ROW(),""))</f>
        <v/>
      </c>
      <c r="T1612" s="9">
        <f>IF(Q1612="당기",ABS(P1612)+ROW()/1000000000,"")</f>
        <v/>
      </c>
      <c r="U1612" s="9">
        <f>IF(Q1612="비교",ABS(P1612)+ROW()/1000000000,"")</f>
        <v/>
      </c>
      <c r="V1612" s="64">
        <f>IF($A1612="","",IF(COUNTIF(변동분석!$E$7:$E$506,O1612)&gt;0,"Y","N"))</f>
        <v/>
      </c>
      <c r="W1612" s="64">
        <f>IF($A1612="","",IFERROR(INDEX(계정매핑!$D$5:$D$504,MATCH($F1612&amp;"",계정매핑!$A$5:$A$504,0)),"미매핑"))</f>
        <v/>
      </c>
      <c r="X1612" s="9">
        <f>IF($A1612="","",$F1612&amp;"")</f>
        <v/>
      </c>
      <c r="Y1612" s="94">
        <f>IF($A1612="",0,IF(AE1612="직접",IF(AF1612="비귀속",$P1612,0),$P1612*(1-AG1612)*IFERROR(INDEX(계정대체기준!$F$20:$F$49,MATCH($N1612,계정대체기준!$A$20:$A$49,0)),1)))</f>
        <v/>
      </c>
      <c r="Z1612" s="94">
        <f>IF($A1612="",0,IF(AE1612="직접",IF(AF1612="신계약비",$P1612,0),$P1612*(1-AG1612)*IFERROR(INDEX(계정대체기준!$C$20:$C$49,MATCH($N1612,계정대체기준!$A$20:$A$49,0)),0)))</f>
        <v/>
      </c>
      <c r="AA1612" s="94">
        <f>IF($A1612="",0,IF(AE1612="직접",IF(OR(AF1612="유지비",AF1612="손해조사비"),$P1612,0),$P1612*(1-AG1612)*IFERROR(INDEX(계정대체기준!$D$20:$D$49,MATCH($N1612,계정대체기준!$A$20:$A$49,0)),0)))</f>
        <v/>
      </c>
      <c r="AB1612" s="94">
        <f>IF($A1612="",0,IF(AE1612="직접",IF(AF1612="수금비",$P1612,0),$P1612*(1-AG1612)*IFERROR(INDEX(계정대체기준!$E$20:$E$49,MATCH($N1612,계정대체기준!$A$20:$A$49,0)),0)))</f>
        <v/>
      </c>
      <c r="AC1612" s="9">
        <f>IF(AND($A1612&lt;&gt;"",M1612=설정!$C$20,Z1612&gt;0),Z1612+ROW()/1000000000,"")</f>
        <v/>
      </c>
      <c r="AD1612" s="94">
        <f>IF($A1612="",0,$P1612*AG1612)</f>
        <v/>
      </c>
      <c r="AE1612" s="64">
        <f>IF($A1612="","",IFERROR(INDEX(계정매핑!$E$5:$E$504,MATCH($F1612&amp;"",계정매핑!$A$5:$A$504,0))&amp;"","공통비"))</f>
        <v/>
      </c>
      <c r="AF1612" s="64">
        <f>IF($A1612="","",IF(AE1612="직접",IFERROR(INDEX(계정매핑!$F$5:$F$504,MATCH($F1612&amp;"",계정매핑!$A$5:$A$504,0))&amp;"","비귀속"),""))</f>
        <v/>
      </c>
      <c r="AG1612" s="96">
        <f>IF($A1612="",0,IF(AND(AE1612&lt;&gt;"직접",IFERROR(INDEX(계정매핑!$G$5:$G$504,MATCH($F1612&amp;"",계정매핑!$A$5:$A$504,0))&amp;"","")="유지비",COUNTIF(계정대체기준!$A$6:$A$15,$N1612)&gt;0),IFERROR(INDEX(계정대체기준!$E$6:$E$15,MATCH(VALUE($A1612&amp;""),계정대체기준!$D$6:$D$15,0)),0),0))</f>
        <v/>
      </c>
      <c r="AH1612" s="64">
        <f>IF($A1612="","",IF(AD1612=0,"",IF(OR(COUNTIF(계정대체기준!$A$77:$A$86,$N1612)&gt;0,ISNUMBER(MATCH($X1612,계정대체기준!$D$77:$D$86,0)),ISNUMBER(MATCH($F1612,계정대체기준!$D$77:$D$86,0))),"Y","N")))</f>
        <v/>
      </c>
    </row>
    <row r="1613">
      <c r="A1613" s="92" t="n">
        <v>2025</v>
      </c>
      <c r="B1613" s="92" t="n">
        <v>8</v>
      </c>
      <c r="C1613" s="92" t="inlineStr">
        <is>
          <t>5100001609</t>
        </is>
      </c>
      <c r="D1613" s="95" t="n">
        <v>45873</v>
      </c>
      <c r="E1613" s="92" t="inlineStr">
        <is>
          <t>KR</t>
        </is>
      </c>
      <c r="F1613" s="92" t="n">
        <v>62901000</v>
      </c>
      <c r="G1613" s="92" t="n">
        <v>1951</v>
      </c>
      <c r="H1613" s="93" t="n">
        <v>6520000</v>
      </c>
      <c r="I1613" s="92" t="inlineStr">
        <is>
          <t>8월 자문 수수료 - W컨설팅</t>
        </is>
      </c>
      <c r="J1613" s="92" t="inlineStr">
        <is>
          <t>V10006</t>
        </is>
      </c>
      <c r="K1613" s="92" t="inlineStr">
        <is>
          <t>W컨설팅</t>
        </is>
      </c>
      <c r="M1613" s="9">
        <f>IF($A1613="","",VALUE($A1613&amp;"")*12+VALUE($B1613&amp;""))</f>
        <v/>
      </c>
      <c r="N1613" s="64">
        <f>IF($A1613="","",IFERROR(INDEX(부서매핑!$C$5:$C$504,MATCH($G1613&amp;"",부서매핑!$A$5:$A$504,0)),"미매핑"))</f>
        <v/>
      </c>
      <c r="O1613" s="9">
        <f>IF($A1613="","",N1613&amp;"|"&amp;$F1613)</f>
        <v/>
      </c>
      <c r="P1613" s="94">
        <f>IF($A1613="",0,$H1613*설정!$C$23)</f>
        <v/>
      </c>
      <c r="Q1613" s="64">
        <f>IF($A1613="","",IF(O1613&lt;&gt;원인분석!$C$9,"",IF(AND(M1613&gt;=원인분석!$C$10,M1613&lt;=원인분석!$C$11),"당기",IF(AND(M1613&gt;=원인분석!$C$12,M1613&lt;=원인분석!$C$13),"비교",""))))</f>
        <v/>
      </c>
      <c r="R1613" s="9">
        <f>IF(Q1613="","",$K1613&amp;"")</f>
        <v/>
      </c>
      <c r="S1613" s="9">
        <f>IF(Q1613="","",IF(MATCH(R1613,$R$5:$R$100000,0)=ROW()-4,ROW(),""))</f>
        <v/>
      </c>
      <c r="T1613" s="9">
        <f>IF(Q1613="당기",ABS(P1613)+ROW()/1000000000,"")</f>
        <v/>
      </c>
      <c r="U1613" s="9">
        <f>IF(Q1613="비교",ABS(P1613)+ROW()/1000000000,"")</f>
        <v/>
      </c>
      <c r="V1613" s="64">
        <f>IF($A1613="","",IF(COUNTIF(변동분석!$E$7:$E$506,O1613)&gt;0,"Y","N"))</f>
        <v/>
      </c>
      <c r="W1613" s="64">
        <f>IF($A1613="","",IFERROR(INDEX(계정매핑!$D$5:$D$504,MATCH($F1613&amp;"",계정매핑!$A$5:$A$504,0)),"미매핑"))</f>
        <v/>
      </c>
      <c r="X1613" s="9">
        <f>IF($A1613="","",$F1613&amp;"")</f>
        <v/>
      </c>
      <c r="Y1613" s="94">
        <f>IF($A1613="",0,IF(AE1613="직접",IF(AF1613="비귀속",$P1613,0),$P1613*(1-AG1613)*IFERROR(INDEX(계정대체기준!$F$20:$F$49,MATCH($N1613,계정대체기준!$A$20:$A$49,0)),1)))</f>
        <v/>
      </c>
      <c r="Z1613" s="94">
        <f>IF($A1613="",0,IF(AE1613="직접",IF(AF1613="신계약비",$P1613,0),$P1613*(1-AG1613)*IFERROR(INDEX(계정대체기준!$C$20:$C$49,MATCH($N1613,계정대체기준!$A$20:$A$49,0)),0)))</f>
        <v/>
      </c>
      <c r="AA1613" s="94">
        <f>IF($A1613="",0,IF(AE1613="직접",IF(OR(AF1613="유지비",AF1613="손해조사비"),$P1613,0),$P1613*(1-AG1613)*IFERROR(INDEX(계정대체기준!$D$20:$D$49,MATCH($N1613,계정대체기준!$A$20:$A$49,0)),0)))</f>
        <v/>
      </c>
      <c r="AB1613" s="94">
        <f>IF($A1613="",0,IF(AE1613="직접",IF(AF1613="수금비",$P1613,0),$P1613*(1-AG1613)*IFERROR(INDEX(계정대체기준!$E$20:$E$49,MATCH($N1613,계정대체기준!$A$20:$A$49,0)),0)))</f>
        <v/>
      </c>
      <c r="AC1613" s="9">
        <f>IF(AND($A1613&lt;&gt;"",M1613=설정!$C$20,Z1613&gt;0),Z1613+ROW()/1000000000,"")</f>
        <v/>
      </c>
      <c r="AD1613" s="94">
        <f>IF($A1613="",0,$P1613*AG1613)</f>
        <v/>
      </c>
      <c r="AE1613" s="64">
        <f>IF($A1613="","",IFERROR(INDEX(계정매핑!$E$5:$E$504,MATCH($F1613&amp;"",계정매핑!$A$5:$A$504,0))&amp;"","공통비"))</f>
        <v/>
      </c>
      <c r="AF1613" s="64">
        <f>IF($A1613="","",IF(AE1613="직접",IFERROR(INDEX(계정매핑!$F$5:$F$504,MATCH($F1613&amp;"",계정매핑!$A$5:$A$504,0))&amp;"","비귀속"),""))</f>
        <v/>
      </c>
      <c r="AG1613" s="96">
        <f>IF($A1613="",0,IF(AND(AE1613&lt;&gt;"직접",IFERROR(INDEX(계정매핑!$G$5:$G$504,MATCH($F1613&amp;"",계정매핑!$A$5:$A$504,0))&amp;"","")="유지비",COUNTIF(계정대체기준!$A$6:$A$15,$N1613)&gt;0),IFERROR(INDEX(계정대체기준!$E$6:$E$15,MATCH(VALUE($A1613&amp;""),계정대체기준!$D$6:$D$15,0)),0),0))</f>
        <v/>
      </c>
      <c r="AH1613" s="64">
        <f>IF($A1613="","",IF(AD1613=0,"",IF(OR(COUNTIF(계정대체기준!$A$77:$A$86,$N1613)&gt;0,ISNUMBER(MATCH($X1613,계정대체기준!$D$77:$D$86,0)),ISNUMBER(MATCH($F1613,계정대체기준!$D$77:$D$86,0))),"Y","N")))</f>
        <v/>
      </c>
    </row>
    <row r="1614">
      <c r="A1614" s="92" t="n">
        <v>2025</v>
      </c>
      <c r="B1614" s="92" t="n">
        <v>8</v>
      </c>
      <c r="C1614" s="92" t="inlineStr">
        <is>
          <t>5100001610</t>
        </is>
      </c>
      <c r="D1614" s="95" t="n">
        <v>45873</v>
      </c>
      <c r="E1614" s="92" t="inlineStr">
        <is>
          <t>KR</t>
        </is>
      </c>
      <c r="F1614" s="92" t="n">
        <v>63001000</v>
      </c>
      <c r="G1614" s="92" t="n">
        <v>1701</v>
      </c>
      <c r="H1614" s="93" t="n">
        <v>27069000</v>
      </c>
      <c r="I1614" s="92" t="inlineStr">
        <is>
          <t>8월 SW 유지보수 - Z시스템</t>
        </is>
      </c>
      <c r="J1614" s="92" t="inlineStr">
        <is>
          <t>V10012</t>
        </is>
      </c>
      <c r="K1614" s="92" t="inlineStr">
        <is>
          <t>Z시스템</t>
        </is>
      </c>
      <c r="M1614" s="9">
        <f>IF($A1614="","",VALUE($A1614&amp;"")*12+VALUE($B1614&amp;""))</f>
        <v/>
      </c>
      <c r="N1614" s="64">
        <f>IF($A1614="","",IFERROR(INDEX(부서매핑!$C$5:$C$504,MATCH($G1614&amp;"",부서매핑!$A$5:$A$504,0)),"미매핑"))</f>
        <v/>
      </c>
      <c r="O1614" s="9">
        <f>IF($A1614="","",N1614&amp;"|"&amp;$F1614)</f>
        <v/>
      </c>
      <c r="P1614" s="94">
        <f>IF($A1614="",0,$H1614*설정!$C$23)</f>
        <v/>
      </c>
      <c r="Q1614" s="64">
        <f>IF($A1614="","",IF(O1614&lt;&gt;원인분석!$C$9,"",IF(AND(M1614&gt;=원인분석!$C$10,M1614&lt;=원인분석!$C$11),"당기",IF(AND(M1614&gt;=원인분석!$C$12,M1614&lt;=원인분석!$C$13),"비교",""))))</f>
        <v/>
      </c>
      <c r="R1614" s="9">
        <f>IF(Q1614="","",$K1614&amp;"")</f>
        <v/>
      </c>
      <c r="S1614" s="9">
        <f>IF(Q1614="","",IF(MATCH(R1614,$R$5:$R$100000,0)=ROW()-4,ROW(),""))</f>
        <v/>
      </c>
      <c r="T1614" s="9">
        <f>IF(Q1614="당기",ABS(P1614)+ROW()/1000000000,"")</f>
        <v/>
      </c>
      <c r="U1614" s="9">
        <f>IF(Q1614="비교",ABS(P1614)+ROW()/1000000000,"")</f>
        <v/>
      </c>
      <c r="V1614" s="64">
        <f>IF($A1614="","",IF(COUNTIF(변동분석!$E$7:$E$506,O1614)&gt;0,"Y","N"))</f>
        <v/>
      </c>
      <c r="W1614" s="64">
        <f>IF($A1614="","",IFERROR(INDEX(계정매핑!$D$5:$D$504,MATCH($F1614&amp;"",계정매핑!$A$5:$A$504,0)),"미매핑"))</f>
        <v/>
      </c>
      <c r="X1614" s="9">
        <f>IF($A1614="","",$F1614&amp;"")</f>
        <v/>
      </c>
      <c r="Y1614" s="94">
        <f>IF($A1614="",0,IF(AE1614="직접",IF(AF1614="비귀속",$P1614,0),$P1614*(1-AG1614)*IFERROR(INDEX(계정대체기준!$F$20:$F$49,MATCH($N1614,계정대체기준!$A$20:$A$49,0)),1)))</f>
        <v/>
      </c>
      <c r="Z1614" s="94">
        <f>IF($A1614="",0,IF(AE1614="직접",IF(AF1614="신계약비",$P1614,0),$P1614*(1-AG1614)*IFERROR(INDEX(계정대체기준!$C$20:$C$49,MATCH($N1614,계정대체기준!$A$20:$A$49,0)),0)))</f>
        <v/>
      </c>
      <c r="AA1614" s="94">
        <f>IF($A1614="",0,IF(AE1614="직접",IF(OR(AF1614="유지비",AF1614="손해조사비"),$P1614,0),$P1614*(1-AG1614)*IFERROR(INDEX(계정대체기준!$D$20:$D$49,MATCH($N1614,계정대체기준!$A$20:$A$49,0)),0)))</f>
        <v/>
      </c>
      <c r="AB1614" s="94">
        <f>IF($A1614="",0,IF(AE1614="직접",IF(AF1614="수금비",$P1614,0),$P1614*(1-AG1614)*IFERROR(INDEX(계정대체기준!$E$20:$E$49,MATCH($N1614,계정대체기준!$A$20:$A$49,0)),0)))</f>
        <v/>
      </c>
      <c r="AC1614" s="9">
        <f>IF(AND($A1614&lt;&gt;"",M1614=설정!$C$20,Z1614&gt;0),Z1614+ROW()/1000000000,"")</f>
        <v/>
      </c>
      <c r="AD1614" s="94">
        <f>IF($A1614="",0,$P1614*AG1614)</f>
        <v/>
      </c>
      <c r="AE1614" s="64">
        <f>IF($A1614="","",IFERROR(INDEX(계정매핑!$E$5:$E$504,MATCH($F1614&amp;"",계정매핑!$A$5:$A$504,0))&amp;"","공통비"))</f>
        <v/>
      </c>
      <c r="AF1614" s="64">
        <f>IF($A1614="","",IF(AE1614="직접",IFERROR(INDEX(계정매핑!$F$5:$F$504,MATCH($F1614&amp;"",계정매핑!$A$5:$A$504,0))&amp;"","비귀속"),""))</f>
        <v/>
      </c>
      <c r="AG1614" s="96">
        <f>IF($A1614="",0,IF(AND(AE1614&lt;&gt;"직접",IFERROR(INDEX(계정매핑!$G$5:$G$504,MATCH($F1614&amp;"",계정매핑!$A$5:$A$504,0))&amp;"","")="유지비",COUNTIF(계정대체기준!$A$6:$A$15,$N1614)&gt;0),IFERROR(INDEX(계정대체기준!$E$6:$E$15,MATCH(VALUE($A1614&amp;""),계정대체기준!$D$6:$D$15,0)),0),0))</f>
        <v/>
      </c>
      <c r="AH1614" s="64">
        <f>IF($A1614="","",IF(AD1614=0,"",IF(OR(COUNTIF(계정대체기준!$A$77:$A$86,$N1614)&gt;0,ISNUMBER(MATCH($X1614,계정대체기준!$D$77:$D$86,0)),ISNUMBER(MATCH($F1614,계정대체기준!$D$77:$D$86,0))),"Y","N")))</f>
        <v/>
      </c>
    </row>
    <row r="1615">
      <c r="A1615" s="92" t="n">
        <v>2025</v>
      </c>
      <c r="B1615" s="92" t="n">
        <v>8</v>
      </c>
      <c r="C1615" s="92" t="inlineStr">
        <is>
          <t>5100001611</t>
        </is>
      </c>
      <c r="D1615" s="95" t="n">
        <v>45873</v>
      </c>
      <c r="E1615" s="92" t="inlineStr">
        <is>
          <t>KR</t>
        </is>
      </c>
      <c r="F1615" s="92" t="n">
        <v>63201000</v>
      </c>
      <c r="G1615" s="92" t="n">
        <v>1602</v>
      </c>
      <c r="H1615" s="93" t="n">
        <v>1796000</v>
      </c>
      <c r="I1615" s="92" t="inlineStr">
        <is>
          <t>8월 차량 유지 - H에너지</t>
        </is>
      </c>
      <c r="J1615" s="92" t="inlineStr">
        <is>
          <t>V10030</t>
        </is>
      </c>
      <c r="K1615" s="92" t="inlineStr">
        <is>
          <t>H에너지</t>
        </is>
      </c>
      <c r="M1615" s="9">
        <f>IF($A1615="","",VALUE($A1615&amp;"")*12+VALUE($B1615&amp;""))</f>
        <v/>
      </c>
      <c r="N1615" s="64">
        <f>IF($A1615="","",IFERROR(INDEX(부서매핑!$C$5:$C$504,MATCH($G1615&amp;"",부서매핑!$A$5:$A$504,0)),"미매핑"))</f>
        <v/>
      </c>
      <c r="O1615" s="9">
        <f>IF($A1615="","",N1615&amp;"|"&amp;$F1615)</f>
        <v/>
      </c>
      <c r="P1615" s="94">
        <f>IF($A1615="",0,$H1615*설정!$C$23)</f>
        <v/>
      </c>
      <c r="Q1615" s="64">
        <f>IF($A1615="","",IF(O1615&lt;&gt;원인분석!$C$9,"",IF(AND(M1615&gt;=원인분석!$C$10,M1615&lt;=원인분석!$C$11),"당기",IF(AND(M1615&gt;=원인분석!$C$12,M1615&lt;=원인분석!$C$13),"비교",""))))</f>
        <v/>
      </c>
      <c r="R1615" s="9">
        <f>IF(Q1615="","",$K1615&amp;"")</f>
        <v/>
      </c>
      <c r="S1615" s="9">
        <f>IF(Q1615="","",IF(MATCH(R1615,$R$5:$R$100000,0)=ROW()-4,ROW(),""))</f>
        <v/>
      </c>
      <c r="T1615" s="9">
        <f>IF(Q1615="당기",ABS(P1615)+ROW()/1000000000,"")</f>
        <v/>
      </c>
      <c r="U1615" s="9">
        <f>IF(Q1615="비교",ABS(P1615)+ROW()/1000000000,"")</f>
        <v/>
      </c>
      <c r="V1615" s="64">
        <f>IF($A1615="","",IF(COUNTIF(변동분석!$E$7:$E$506,O1615)&gt;0,"Y","N"))</f>
        <v/>
      </c>
      <c r="W1615" s="64">
        <f>IF($A1615="","",IFERROR(INDEX(계정매핑!$D$5:$D$504,MATCH($F1615&amp;"",계정매핑!$A$5:$A$504,0)),"미매핑"))</f>
        <v/>
      </c>
      <c r="X1615" s="9">
        <f>IF($A1615="","",$F1615&amp;"")</f>
        <v/>
      </c>
      <c r="Y1615" s="94">
        <f>IF($A1615="",0,IF(AE1615="직접",IF(AF1615="비귀속",$P1615,0),$P1615*(1-AG1615)*IFERROR(INDEX(계정대체기준!$F$20:$F$49,MATCH($N1615,계정대체기준!$A$20:$A$49,0)),1)))</f>
        <v/>
      </c>
      <c r="Z1615" s="94">
        <f>IF($A1615="",0,IF(AE1615="직접",IF(AF1615="신계약비",$P1615,0),$P1615*(1-AG1615)*IFERROR(INDEX(계정대체기준!$C$20:$C$49,MATCH($N1615,계정대체기준!$A$20:$A$49,0)),0)))</f>
        <v/>
      </c>
      <c r="AA1615" s="94">
        <f>IF($A1615="",0,IF(AE1615="직접",IF(OR(AF1615="유지비",AF1615="손해조사비"),$P1615,0),$P1615*(1-AG1615)*IFERROR(INDEX(계정대체기준!$D$20:$D$49,MATCH($N1615,계정대체기준!$A$20:$A$49,0)),0)))</f>
        <v/>
      </c>
      <c r="AB1615" s="94">
        <f>IF($A1615="",0,IF(AE1615="직접",IF(AF1615="수금비",$P1615,0),$P1615*(1-AG1615)*IFERROR(INDEX(계정대체기준!$E$20:$E$49,MATCH($N1615,계정대체기준!$A$20:$A$49,0)),0)))</f>
        <v/>
      </c>
      <c r="AC1615" s="9">
        <f>IF(AND($A1615&lt;&gt;"",M1615=설정!$C$20,Z1615&gt;0),Z1615+ROW()/1000000000,"")</f>
        <v/>
      </c>
      <c r="AD1615" s="94">
        <f>IF($A1615="",0,$P1615*AG1615)</f>
        <v/>
      </c>
      <c r="AE1615" s="64">
        <f>IF($A1615="","",IFERROR(INDEX(계정매핑!$E$5:$E$504,MATCH($F1615&amp;"",계정매핑!$A$5:$A$504,0))&amp;"","공통비"))</f>
        <v/>
      </c>
      <c r="AF1615" s="64">
        <f>IF($A1615="","",IF(AE1615="직접",IFERROR(INDEX(계정매핑!$F$5:$F$504,MATCH($F1615&amp;"",계정매핑!$A$5:$A$504,0))&amp;"","비귀속"),""))</f>
        <v/>
      </c>
      <c r="AG1615" s="96">
        <f>IF($A1615="",0,IF(AND(AE1615&lt;&gt;"직접",IFERROR(INDEX(계정매핑!$G$5:$G$504,MATCH($F1615&amp;"",계정매핑!$A$5:$A$504,0))&amp;"","")="유지비",COUNTIF(계정대체기준!$A$6:$A$15,$N1615)&gt;0),IFERROR(INDEX(계정대체기준!$E$6:$E$15,MATCH(VALUE($A1615&amp;""),계정대체기준!$D$6:$D$15,0)),0),0))</f>
        <v/>
      </c>
      <c r="AH1615" s="64">
        <f>IF($A1615="","",IF(AD1615=0,"",IF(OR(COUNTIF(계정대체기준!$A$77:$A$86,$N1615)&gt;0,ISNUMBER(MATCH($X1615,계정대체기준!$D$77:$D$86,0)),ISNUMBER(MATCH($F1615,계정대체기준!$D$77:$D$86,0))),"Y","N")))</f>
        <v/>
      </c>
    </row>
    <row r="1616">
      <c r="A1616" s="92" t="n">
        <v>2025</v>
      </c>
      <c r="B1616" s="92" t="n">
        <v>8</v>
      </c>
      <c r="C1616" s="92" t="inlineStr">
        <is>
          <t>5100001612</t>
        </is>
      </c>
      <c r="D1616" s="95" t="n">
        <v>45874</v>
      </c>
      <c r="E1616" s="92" t="inlineStr">
        <is>
          <t>KR</t>
        </is>
      </c>
      <c r="F1616" s="92" t="n">
        <v>62101000</v>
      </c>
      <c r="G1616" s="92" t="n">
        <v>1201</v>
      </c>
      <c r="H1616" s="93" t="n">
        <v>273000</v>
      </c>
      <c r="I1616" s="92" t="inlineStr">
        <is>
          <t>8월 국내출장 - L여행사</t>
        </is>
      </c>
      <c r="J1616" s="92" t="inlineStr">
        <is>
          <t>V10018</t>
        </is>
      </c>
      <c r="K1616" s="92" t="inlineStr">
        <is>
          <t>L여행사</t>
        </is>
      </c>
      <c r="M1616" s="9">
        <f>IF($A1616="","",VALUE($A1616&amp;"")*12+VALUE($B1616&amp;""))</f>
        <v/>
      </c>
      <c r="N1616" s="64">
        <f>IF($A1616="","",IFERROR(INDEX(부서매핑!$C$5:$C$504,MATCH($G1616&amp;"",부서매핑!$A$5:$A$504,0)),"미매핑"))</f>
        <v/>
      </c>
      <c r="O1616" s="9">
        <f>IF($A1616="","",N1616&amp;"|"&amp;$F1616)</f>
        <v/>
      </c>
      <c r="P1616" s="94">
        <f>IF($A1616="",0,$H1616*설정!$C$23)</f>
        <v/>
      </c>
      <c r="Q1616" s="64">
        <f>IF($A1616="","",IF(O1616&lt;&gt;원인분석!$C$9,"",IF(AND(M1616&gt;=원인분석!$C$10,M1616&lt;=원인분석!$C$11),"당기",IF(AND(M1616&gt;=원인분석!$C$12,M1616&lt;=원인분석!$C$13),"비교",""))))</f>
        <v/>
      </c>
      <c r="R1616" s="9">
        <f>IF(Q1616="","",$K1616&amp;"")</f>
        <v/>
      </c>
      <c r="S1616" s="9">
        <f>IF(Q1616="","",IF(MATCH(R1616,$R$5:$R$100000,0)=ROW()-4,ROW(),""))</f>
        <v/>
      </c>
      <c r="T1616" s="9">
        <f>IF(Q1616="당기",ABS(P1616)+ROW()/1000000000,"")</f>
        <v/>
      </c>
      <c r="U1616" s="9">
        <f>IF(Q1616="비교",ABS(P1616)+ROW()/1000000000,"")</f>
        <v/>
      </c>
      <c r="V1616" s="64">
        <f>IF($A1616="","",IF(COUNTIF(변동분석!$E$7:$E$506,O1616)&gt;0,"Y","N"))</f>
        <v/>
      </c>
      <c r="W1616" s="64">
        <f>IF($A1616="","",IFERROR(INDEX(계정매핑!$D$5:$D$504,MATCH($F1616&amp;"",계정매핑!$A$5:$A$504,0)),"미매핑"))</f>
        <v/>
      </c>
      <c r="X1616" s="9">
        <f>IF($A1616="","",$F1616&amp;"")</f>
        <v/>
      </c>
      <c r="Y1616" s="94">
        <f>IF($A1616="",0,IF(AE1616="직접",IF(AF1616="비귀속",$P1616,0),$P1616*(1-AG1616)*IFERROR(INDEX(계정대체기준!$F$20:$F$49,MATCH($N1616,계정대체기준!$A$20:$A$49,0)),1)))</f>
        <v/>
      </c>
      <c r="Z1616" s="94">
        <f>IF($A1616="",0,IF(AE1616="직접",IF(AF1616="신계약비",$P1616,0),$P1616*(1-AG1616)*IFERROR(INDEX(계정대체기준!$C$20:$C$49,MATCH($N1616,계정대체기준!$A$20:$A$49,0)),0)))</f>
        <v/>
      </c>
      <c r="AA1616" s="94">
        <f>IF($A1616="",0,IF(AE1616="직접",IF(OR(AF1616="유지비",AF1616="손해조사비"),$P1616,0),$P1616*(1-AG1616)*IFERROR(INDEX(계정대체기준!$D$20:$D$49,MATCH($N1616,계정대체기준!$A$20:$A$49,0)),0)))</f>
        <v/>
      </c>
      <c r="AB1616" s="94">
        <f>IF($A1616="",0,IF(AE1616="직접",IF(AF1616="수금비",$P1616,0),$P1616*(1-AG1616)*IFERROR(INDEX(계정대체기준!$E$20:$E$49,MATCH($N1616,계정대체기준!$A$20:$A$49,0)),0)))</f>
        <v/>
      </c>
      <c r="AC1616" s="9">
        <f>IF(AND($A1616&lt;&gt;"",M1616=설정!$C$20,Z1616&gt;0),Z1616+ROW()/1000000000,"")</f>
        <v/>
      </c>
      <c r="AD1616" s="94">
        <f>IF($A1616="",0,$P1616*AG1616)</f>
        <v/>
      </c>
      <c r="AE1616" s="64">
        <f>IF($A1616="","",IFERROR(INDEX(계정매핑!$E$5:$E$504,MATCH($F1616&amp;"",계정매핑!$A$5:$A$504,0))&amp;"","공통비"))</f>
        <v/>
      </c>
      <c r="AF1616" s="64">
        <f>IF($A1616="","",IF(AE1616="직접",IFERROR(INDEX(계정매핑!$F$5:$F$504,MATCH($F1616&amp;"",계정매핑!$A$5:$A$504,0))&amp;"","비귀속"),""))</f>
        <v/>
      </c>
      <c r="AG1616" s="96">
        <f>IF($A1616="",0,IF(AND(AE1616&lt;&gt;"직접",IFERROR(INDEX(계정매핑!$G$5:$G$504,MATCH($F1616&amp;"",계정매핑!$A$5:$A$504,0))&amp;"","")="유지비",COUNTIF(계정대체기준!$A$6:$A$15,$N1616)&gt;0),IFERROR(INDEX(계정대체기준!$E$6:$E$15,MATCH(VALUE($A1616&amp;""),계정대체기준!$D$6:$D$15,0)),0),0))</f>
        <v/>
      </c>
      <c r="AH1616" s="64">
        <f>IF($A1616="","",IF(AD1616=0,"",IF(OR(COUNTIF(계정대체기준!$A$77:$A$86,$N1616)&gt;0,ISNUMBER(MATCH($X1616,계정대체기준!$D$77:$D$86,0)),ISNUMBER(MATCH($F1616,계정대체기준!$D$77:$D$86,0))),"Y","N")))</f>
        <v/>
      </c>
    </row>
    <row r="1617">
      <c r="A1617" s="92" t="n">
        <v>2025</v>
      </c>
      <c r="B1617" s="92" t="n">
        <v>8</v>
      </c>
      <c r="C1617" s="92" t="inlineStr">
        <is>
          <t>5100001613</t>
        </is>
      </c>
      <c r="D1617" s="95" t="n">
        <v>45874</v>
      </c>
      <c r="E1617" s="92" t="inlineStr">
        <is>
          <t>KR</t>
        </is>
      </c>
      <c r="F1617" s="92" t="n">
        <v>62101000</v>
      </c>
      <c r="G1617" s="92" t="n">
        <v>1502</v>
      </c>
      <c r="H1617" s="93" t="n">
        <v>593000</v>
      </c>
      <c r="I1617" s="92" t="inlineStr">
        <is>
          <t>8월 국내출장 - M항공</t>
        </is>
      </c>
      <c r="J1617" s="92" t="inlineStr">
        <is>
          <t>V10001</t>
        </is>
      </c>
      <c r="K1617" s="92" t="inlineStr">
        <is>
          <t>M항공</t>
        </is>
      </c>
      <c r="M1617" s="9">
        <f>IF($A1617="","",VALUE($A1617&amp;"")*12+VALUE($B1617&amp;""))</f>
        <v/>
      </c>
      <c r="N1617" s="64">
        <f>IF($A1617="","",IFERROR(INDEX(부서매핑!$C$5:$C$504,MATCH($G1617&amp;"",부서매핑!$A$5:$A$504,0)),"미매핑"))</f>
        <v/>
      </c>
      <c r="O1617" s="9">
        <f>IF($A1617="","",N1617&amp;"|"&amp;$F1617)</f>
        <v/>
      </c>
      <c r="P1617" s="94">
        <f>IF($A1617="",0,$H1617*설정!$C$23)</f>
        <v/>
      </c>
      <c r="Q1617" s="64">
        <f>IF($A1617="","",IF(O1617&lt;&gt;원인분석!$C$9,"",IF(AND(M1617&gt;=원인분석!$C$10,M1617&lt;=원인분석!$C$11),"당기",IF(AND(M1617&gt;=원인분석!$C$12,M1617&lt;=원인분석!$C$13),"비교",""))))</f>
        <v/>
      </c>
      <c r="R1617" s="9">
        <f>IF(Q1617="","",$K1617&amp;"")</f>
        <v/>
      </c>
      <c r="S1617" s="9">
        <f>IF(Q1617="","",IF(MATCH(R1617,$R$5:$R$100000,0)=ROW()-4,ROW(),""))</f>
        <v/>
      </c>
      <c r="T1617" s="9">
        <f>IF(Q1617="당기",ABS(P1617)+ROW()/1000000000,"")</f>
        <v/>
      </c>
      <c r="U1617" s="9">
        <f>IF(Q1617="비교",ABS(P1617)+ROW()/1000000000,"")</f>
        <v/>
      </c>
      <c r="V1617" s="64">
        <f>IF($A1617="","",IF(COUNTIF(변동분석!$E$7:$E$506,O1617)&gt;0,"Y","N"))</f>
        <v/>
      </c>
      <c r="W1617" s="64">
        <f>IF($A1617="","",IFERROR(INDEX(계정매핑!$D$5:$D$504,MATCH($F1617&amp;"",계정매핑!$A$5:$A$504,0)),"미매핑"))</f>
        <v/>
      </c>
      <c r="X1617" s="9">
        <f>IF($A1617="","",$F1617&amp;"")</f>
        <v/>
      </c>
      <c r="Y1617" s="94">
        <f>IF($A1617="",0,IF(AE1617="직접",IF(AF1617="비귀속",$P1617,0),$P1617*(1-AG1617)*IFERROR(INDEX(계정대체기준!$F$20:$F$49,MATCH($N1617,계정대체기준!$A$20:$A$49,0)),1)))</f>
        <v/>
      </c>
      <c r="Z1617" s="94">
        <f>IF($A1617="",0,IF(AE1617="직접",IF(AF1617="신계약비",$P1617,0),$P1617*(1-AG1617)*IFERROR(INDEX(계정대체기준!$C$20:$C$49,MATCH($N1617,계정대체기준!$A$20:$A$49,0)),0)))</f>
        <v/>
      </c>
      <c r="AA1617" s="94">
        <f>IF($A1617="",0,IF(AE1617="직접",IF(OR(AF1617="유지비",AF1617="손해조사비"),$P1617,0),$P1617*(1-AG1617)*IFERROR(INDEX(계정대체기준!$D$20:$D$49,MATCH($N1617,계정대체기준!$A$20:$A$49,0)),0)))</f>
        <v/>
      </c>
      <c r="AB1617" s="94">
        <f>IF($A1617="",0,IF(AE1617="직접",IF(AF1617="수금비",$P1617,0),$P1617*(1-AG1617)*IFERROR(INDEX(계정대체기준!$E$20:$E$49,MATCH($N1617,계정대체기준!$A$20:$A$49,0)),0)))</f>
        <v/>
      </c>
      <c r="AC1617" s="9">
        <f>IF(AND($A1617&lt;&gt;"",M1617=설정!$C$20,Z1617&gt;0),Z1617+ROW()/1000000000,"")</f>
        <v/>
      </c>
      <c r="AD1617" s="94">
        <f>IF($A1617="",0,$P1617*AG1617)</f>
        <v/>
      </c>
      <c r="AE1617" s="64">
        <f>IF($A1617="","",IFERROR(INDEX(계정매핑!$E$5:$E$504,MATCH($F1617&amp;"",계정매핑!$A$5:$A$504,0))&amp;"","공통비"))</f>
        <v/>
      </c>
      <c r="AF1617" s="64">
        <f>IF($A1617="","",IF(AE1617="직접",IFERROR(INDEX(계정매핑!$F$5:$F$504,MATCH($F1617&amp;"",계정매핑!$A$5:$A$504,0))&amp;"","비귀속"),""))</f>
        <v/>
      </c>
      <c r="AG1617" s="96">
        <f>IF($A1617="",0,IF(AND(AE1617&lt;&gt;"직접",IFERROR(INDEX(계정매핑!$G$5:$G$504,MATCH($F1617&amp;"",계정매핑!$A$5:$A$504,0))&amp;"","")="유지비",COUNTIF(계정대체기준!$A$6:$A$15,$N1617)&gt;0),IFERROR(INDEX(계정대체기준!$E$6:$E$15,MATCH(VALUE($A1617&amp;""),계정대체기준!$D$6:$D$15,0)),0),0))</f>
        <v/>
      </c>
      <c r="AH1617" s="64">
        <f>IF($A1617="","",IF(AD1617=0,"",IF(OR(COUNTIF(계정대체기준!$A$77:$A$86,$N1617)&gt;0,ISNUMBER(MATCH($X1617,계정대체기준!$D$77:$D$86,0)),ISNUMBER(MATCH($F1617,계정대체기준!$D$77:$D$86,0))),"Y","N")))</f>
        <v/>
      </c>
    </row>
    <row r="1618">
      <c r="A1618" s="92" t="n">
        <v>2025</v>
      </c>
      <c r="B1618" s="92" t="n">
        <v>8</v>
      </c>
      <c r="C1618" s="92" t="inlineStr">
        <is>
          <t>5100001614</t>
        </is>
      </c>
      <c r="D1618" s="95" t="n">
        <v>45874</v>
      </c>
      <c r="E1618" s="92" t="inlineStr">
        <is>
          <t>KR</t>
        </is>
      </c>
      <c r="F1618" s="92" t="n">
        <v>62201000</v>
      </c>
      <c r="G1618" s="92" t="n">
        <v>1501</v>
      </c>
      <c r="H1618" s="93" t="n">
        <v>272000</v>
      </c>
      <c r="I1618" s="92" t="inlineStr">
        <is>
          <t>8월 통신요금 - P통신</t>
        </is>
      </c>
      <c r="J1618" s="92" t="inlineStr">
        <is>
          <t>V10014</t>
        </is>
      </c>
      <c r="K1618" s="92" t="inlineStr">
        <is>
          <t>P통신</t>
        </is>
      </c>
      <c r="M1618" s="9">
        <f>IF($A1618="","",VALUE($A1618&amp;"")*12+VALUE($B1618&amp;""))</f>
        <v/>
      </c>
      <c r="N1618" s="64">
        <f>IF($A1618="","",IFERROR(INDEX(부서매핑!$C$5:$C$504,MATCH($G1618&amp;"",부서매핑!$A$5:$A$504,0)),"미매핑"))</f>
        <v/>
      </c>
      <c r="O1618" s="9">
        <f>IF($A1618="","",N1618&amp;"|"&amp;$F1618)</f>
        <v/>
      </c>
      <c r="P1618" s="94">
        <f>IF($A1618="",0,$H1618*설정!$C$23)</f>
        <v/>
      </c>
      <c r="Q1618" s="64">
        <f>IF($A1618="","",IF(O1618&lt;&gt;원인분석!$C$9,"",IF(AND(M1618&gt;=원인분석!$C$10,M1618&lt;=원인분석!$C$11),"당기",IF(AND(M1618&gt;=원인분석!$C$12,M1618&lt;=원인분석!$C$13),"비교",""))))</f>
        <v/>
      </c>
      <c r="R1618" s="9">
        <f>IF(Q1618="","",$K1618&amp;"")</f>
        <v/>
      </c>
      <c r="S1618" s="9">
        <f>IF(Q1618="","",IF(MATCH(R1618,$R$5:$R$100000,0)=ROW()-4,ROW(),""))</f>
        <v/>
      </c>
      <c r="T1618" s="9">
        <f>IF(Q1618="당기",ABS(P1618)+ROW()/1000000000,"")</f>
        <v/>
      </c>
      <c r="U1618" s="9">
        <f>IF(Q1618="비교",ABS(P1618)+ROW()/1000000000,"")</f>
        <v/>
      </c>
      <c r="V1618" s="64">
        <f>IF($A1618="","",IF(COUNTIF(변동분석!$E$7:$E$506,O1618)&gt;0,"Y","N"))</f>
        <v/>
      </c>
      <c r="W1618" s="64">
        <f>IF($A1618="","",IFERROR(INDEX(계정매핑!$D$5:$D$504,MATCH($F1618&amp;"",계정매핑!$A$5:$A$504,0)),"미매핑"))</f>
        <v/>
      </c>
      <c r="X1618" s="9">
        <f>IF($A1618="","",$F1618&amp;"")</f>
        <v/>
      </c>
      <c r="Y1618" s="94">
        <f>IF($A1618="",0,IF(AE1618="직접",IF(AF1618="비귀속",$P1618,0),$P1618*(1-AG1618)*IFERROR(INDEX(계정대체기준!$F$20:$F$49,MATCH($N1618,계정대체기준!$A$20:$A$49,0)),1)))</f>
        <v/>
      </c>
      <c r="Z1618" s="94">
        <f>IF($A1618="",0,IF(AE1618="직접",IF(AF1618="신계약비",$P1618,0),$P1618*(1-AG1618)*IFERROR(INDEX(계정대체기준!$C$20:$C$49,MATCH($N1618,계정대체기준!$A$20:$A$49,0)),0)))</f>
        <v/>
      </c>
      <c r="AA1618" s="94">
        <f>IF($A1618="",0,IF(AE1618="직접",IF(OR(AF1618="유지비",AF1618="손해조사비"),$P1618,0),$P1618*(1-AG1618)*IFERROR(INDEX(계정대체기준!$D$20:$D$49,MATCH($N1618,계정대체기준!$A$20:$A$49,0)),0)))</f>
        <v/>
      </c>
      <c r="AB1618" s="94">
        <f>IF($A1618="",0,IF(AE1618="직접",IF(AF1618="수금비",$P1618,0),$P1618*(1-AG1618)*IFERROR(INDEX(계정대체기준!$E$20:$E$49,MATCH($N1618,계정대체기준!$A$20:$A$49,0)),0)))</f>
        <v/>
      </c>
      <c r="AC1618" s="9">
        <f>IF(AND($A1618&lt;&gt;"",M1618=설정!$C$20,Z1618&gt;0),Z1618+ROW()/1000000000,"")</f>
        <v/>
      </c>
      <c r="AD1618" s="94">
        <f>IF($A1618="",0,$P1618*AG1618)</f>
        <v/>
      </c>
      <c r="AE1618" s="64">
        <f>IF($A1618="","",IFERROR(INDEX(계정매핑!$E$5:$E$504,MATCH($F1618&amp;"",계정매핑!$A$5:$A$504,0))&amp;"","공통비"))</f>
        <v/>
      </c>
      <c r="AF1618" s="64">
        <f>IF($A1618="","",IF(AE1618="직접",IFERROR(INDEX(계정매핑!$F$5:$F$504,MATCH($F1618&amp;"",계정매핑!$A$5:$A$504,0))&amp;"","비귀속"),""))</f>
        <v/>
      </c>
      <c r="AG1618" s="96">
        <f>IF($A1618="",0,IF(AND(AE1618&lt;&gt;"직접",IFERROR(INDEX(계정매핑!$G$5:$G$504,MATCH($F1618&amp;"",계정매핑!$A$5:$A$504,0))&amp;"","")="유지비",COUNTIF(계정대체기준!$A$6:$A$15,$N1618)&gt;0),IFERROR(INDEX(계정대체기준!$E$6:$E$15,MATCH(VALUE($A1618&amp;""),계정대체기준!$D$6:$D$15,0)),0),0))</f>
        <v/>
      </c>
      <c r="AH1618" s="64">
        <f>IF($A1618="","",IF(AD1618=0,"",IF(OR(COUNTIF(계정대체기준!$A$77:$A$86,$N1618)&gt;0,ISNUMBER(MATCH($X1618,계정대체기준!$D$77:$D$86,0)),ISNUMBER(MATCH($F1618,계정대체기준!$D$77:$D$86,0))),"Y","N")))</f>
        <v/>
      </c>
    </row>
    <row r="1619">
      <c r="A1619" s="92" t="n">
        <v>2025</v>
      </c>
      <c r="B1619" s="92" t="n">
        <v>8</v>
      </c>
      <c r="C1619" s="92" t="inlineStr">
        <is>
          <t>5100001615</t>
        </is>
      </c>
      <c r="D1619" s="95" t="n">
        <v>45874</v>
      </c>
      <c r="E1619" s="92" t="inlineStr">
        <is>
          <t>KR</t>
        </is>
      </c>
      <c r="F1619" s="92" t="n">
        <v>62201000</v>
      </c>
      <c r="G1619" s="92" t="n">
        <v>1951</v>
      </c>
      <c r="H1619" s="93" t="n">
        <v>216000</v>
      </c>
      <c r="I1619" s="92" t="inlineStr">
        <is>
          <t>8월 통신요금 - O텔레콤</t>
        </is>
      </c>
      <c r="J1619" s="92" t="inlineStr">
        <is>
          <t>V10002</t>
        </is>
      </c>
      <c r="K1619" s="92" t="inlineStr">
        <is>
          <t>O텔레콤</t>
        </is>
      </c>
      <c r="M1619" s="9">
        <f>IF($A1619="","",VALUE($A1619&amp;"")*12+VALUE($B1619&amp;""))</f>
        <v/>
      </c>
      <c r="N1619" s="64">
        <f>IF($A1619="","",IFERROR(INDEX(부서매핑!$C$5:$C$504,MATCH($G1619&amp;"",부서매핑!$A$5:$A$504,0)),"미매핑"))</f>
        <v/>
      </c>
      <c r="O1619" s="9">
        <f>IF($A1619="","",N1619&amp;"|"&amp;$F1619)</f>
        <v/>
      </c>
      <c r="P1619" s="94">
        <f>IF($A1619="",0,$H1619*설정!$C$23)</f>
        <v/>
      </c>
      <c r="Q1619" s="64">
        <f>IF($A1619="","",IF(O1619&lt;&gt;원인분석!$C$9,"",IF(AND(M1619&gt;=원인분석!$C$10,M1619&lt;=원인분석!$C$11),"당기",IF(AND(M1619&gt;=원인분석!$C$12,M1619&lt;=원인분석!$C$13),"비교",""))))</f>
        <v/>
      </c>
      <c r="R1619" s="9">
        <f>IF(Q1619="","",$K1619&amp;"")</f>
        <v/>
      </c>
      <c r="S1619" s="9">
        <f>IF(Q1619="","",IF(MATCH(R1619,$R$5:$R$100000,0)=ROW()-4,ROW(),""))</f>
        <v/>
      </c>
      <c r="T1619" s="9">
        <f>IF(Q1619="당기",ABS(P1619)+ROW()/1000000000,"")</f>
        <v/>
      </c>
      <c r="U1619" s="9">
        <f>IF(Q1619="비교",ABS(P1619)+ROW()/1000000000,"")</f>
        <v/>
      </c>
      <c r="V1619" s="64">
        <f>IF($A1619="","",IF(COUNTIF(변동분석!$E$7:$E$506,O1619)&gt;0,"Y","N"))</f>
        <v/>
      </c>
      <c r="W1619" s="64">
        <f>IF($A1619="","",IFERROR(INDEX(계정매핑!$D$5:$D$504,MATCH($F1619&amp;"",계정매핑!$A$5:$A$504,0)),"미매핑"))</f>
        <v/>
      </c>
      <c r="X1619" s="9">
        <f>IF($A1619="","",$F1619&amp;"")</f>
        <v/>
      </c>
      <c r="Y1619" s="94">
        <f>IF($A1619="",0,IF(AE1619="직접",IF(AF1619="비귀속",$P1619,0),$P1619*(1-AG1619)*IFERROR(INDEX(계정대체기준!$F$20:$F$49,MATCH($N1619,계정대체기준!$A$20:$A$49,0)),1)))</f>
        <v/>
      </c>
      <c r="Z1619" s="94">
        <f>IF($A1619="",0,IF(AE1619="직접",IF(AF1619="신계약비",$P1619,0),$P1619*(1-AG1619)*IFERROR(INDEX(계정대체기준!$C$20:$C$49,MATCH($N1619,계정대체기준!$A$20:$A$49,0)),0)))</f>
        <v/>
      </c>
      <c r="AA1619" s="94">
        <f>IF($A1619="",0,IF(AE1619="직접",IF(OR(AF1619="유지비",AF1619="손해조사비"),$P1619,0),$P1619*(1-AG1619)*IFERROR(INDEX(계정대체기준!$D$20:$D$49,MATCH($N1619,계정대체기준!$A$20:$A$49,0)),0)))</f>
        <v/>
      </c>
      <c r="AB1619" s="94">
        <f>IF($A1619="",0,IF(AE1619="직접",IF(AF1619="수금비",$P1619,0),$P1619*(1-AG1619)*IFERROR(INDEX(계정대체기준!$E$20:$E$49,MATCH($N1619,계정대체기준!$A$20:$A$49,0)),0)))</f>
        <v/>
      </c>
      <c r="AC1619" s="9">
        <f>IF(AND($A1619&lt;&gt;"",M1619=설정!$C$20,Z1619&gt;0),Z1619+ROW()/1000000000,"")</f>
        <v/>
      </c>
      <c r="AD1619" s="94">
        <f>IF($A1619="",0,$P1619*AG1619)</f>
        <v/>
      </c>
      <c r="AE1619" s="64">
        <f>IF($A1619="","",IFERROR(INDEX(계정매핑!$E$5:$E$504,MATCH($F1619&amp;"",계정매핑!$A$5:$A$504,0))&amp;"","공통비"))</f>
        <v/>
      </c>
      <c r="AF1619" s="64">
        <f>IF($A1619="","",IF(AE1619="직접",IFERROR(INDEX(계정매핑!$F$5:$F$504,MATCH($F1619&amp;"",계정매핑!$A$5:$A$504,0))&amp;"","비귀속"),""))</f>
        <v/>
      </c>
      <c r="AG1619" s="96">
        <f>IF($A1619="",0,IF(AND(AE1619&lt;&gt;"직접",IFERROR(INDEX(계정매핑!$G$5:$G$504,MATCH($F1619&amp;"",계정매핑!$A$5:$A$504,0))&amp;"","")="유지비",COUNTIF(계정대체기준!$A$6:$A$15,$N1619)&gt;0),IFERROR(INDEX(계정대체기준!$E$6:$E$15,MATCH(VALUE($A1619&amp;""),계정대체기준!$D$6:$D$15,0)),0),0))</f>
        <v/>
      </c>
      <c r="AH1619" s="64">
        <f>IF($A1619="","",IF(AD1619=0,"",IF(OR(COUNTIF(계정대체기준!$A$77:$A$86,$N1619)&gt;0,ISNUMBER(MATCH($X1619,계정대체기준!$D$77:$D$86,0)),ISNUMBER(MATCH($F1619,계정대체기준!$D$77:$D$86,0))),"Y","N")))</f>
        <v/>
      </c>
    </row>
    <row r="1620">
      <c r="A1620" s="92" t="n">
        <v>2025</v>
      </c>
      <c r="B1620" s="92" t="n">
        <v>8</v>
      </c>
      <c r="C1620" s="92" t="inlineStr">
        <is>
          <t>5100001616</t>
        </is>
      </c>
      <c r="D1620" s="95" t="n">
        <v>45874</v>
      </c>
      <c r="E1620" s="92" t="inlineStr">
        <is>
          <t>KR</t>
        </is>
      </c>
      <c r="F1620" s="92" t="n">
        <v>62301000</v>
      </c>
      <c r="G1620" s="92" t="n">
        <v>1701</v>
      </c>
      <c r="H1620" s="93" t="n">
        <v>200000</v>
      </c>
      <c r="I1620" s="92" t="inlineStr">
        <is>
          <t>8월 소모품 구입 - R문구</t>
        </is>
      </c>
      <c r="J1620" s="92" t="inlineStr">
        <is>
          <t>V10022</t>
        </is>
      </c>
      <c r="K1620" s="92" t="inlineStr">
        <is>
          <t>R문구</t>
        </is>
      </c>
      <c r="M1620" s="9">
        <f>IF($A1620="","",VALUE($A1620&amp;"")*12+VALUE($B1620&amp;""))</f>
        <v/>
      </c>
      <c r="N1620" s="64">
        <f>IF($A1620="","",IFERROR(INDEX(부서매핑!$C$5:$C$504,MATCH($G1620&amp;"",부서매핑!$A$5:$A$504,0)),"미매핑"))</f>
        <v/>
      </c>
      <c r="O1620" s="9">
        <f>IF($A1620="","",N1620&amp;"|"&amp;$F1620)</f>
        <v/>
      </c>
      <c r="P1620" s="94">
        <f>IF($A1620="",0,$H1620*설정!$C$23)</f>
        <v/>
      </c>
      <c r="Q1620" s="64">
        <f>IF($A1620="","",IF(O1620&lt;&gt;원인분석!$C$9,"",IF(AND(M1620&gt;=원인분석!$C$10,M1620&lt;=원인분석!$C$11),"당기",IF(AND(M1620&gt;=원인분석!$C$12,M1620&lt;=원인분석!$C$13),"비교",""))))</f>
        <v/>
      </c>
      <c r="R1620" s="9">
        <f>IF(Q1620="","",$K1620&amp;"")</f>
        <v/>
      </c>
      <c r="S1620" s="9">
        <f>IF(Q1620="","",IF(MATCH(R1620,$R$5:$R$100000,0)=ROW()-4,ROW(),""))</f>
        <v/>
      </c>
      <c r="T1620" s="9">
        <f>IF(Q1620="당기",ABS(P1620)+ROW()/1000000000,"")</f>
        <v/>
      </c>
      <c r="U1620" s="9">
        <f>IF(Q1620="비교",ABS(P1620)+ROW()/1000000000,"")</f>
        <v/>
      </c>
      <c r="V1620" s="64">
        <f>IF($A1620="","",IF(COUNTIF(변동분석!$E$7:$E$506,O1620)&gt;0,"Y","N"))</f>
        <v/>
      </c>
      <c r="W1620" s="64">
        <f>IF($A1620="","",IFERROR(INDEX(계정매핑!$D$5:$D$504,MATCH($F1620&amp;"",계정매핑!$A$5:$A$504,0)),"미매핑"))</f>
        <v/>
      </c>
      <c r="X1620" s="9">
        <f>IF($A1620="","",$F1620&amp;"")</f>
        <v/>
      </c>
      <c r="Y1620" s="94">
        <f>IF($A1620="",0,IF(AE1620="직접",IF(AF1620="비귀속",$P1620,0),$P1620*(1-AG1620)*IFERROR(INDEX(계정대체기준!$F$20:$F$49,MATCH($N1620,계정대체기준!$A$20:$A$49,0)),1)))</f>
        <v/>
      </c>
      <c r="Z1620" s="94">
        <f>IF($A1620="",0,IF(AE1620="직접",IF(AF1620="신계약비",$P1620,0),$P1620*(1-AG1620)*IFERROR(INDEX(계정대체기준!$C$20:$C$49,MATCH($N1620,계정대체기준!$A$20:$A$49,0)),0)))</f>
        <v/>
      </c>
      <c r="AA1620" s="94">
        <f>IF($A1620="",0,IF(AE1620="직접",IF(OR(AF1620="유지비",AF1620="손해조사비"),$P1620,0),$P1620*(1-AG1620)*IFERROR(INDEX(계정대체기준!$D$20:$D$49,MATCH($N1620,계정대체기준!$A$20:$A$49,0)),0)))</f>
        <v/>
      </c>
      <c r="AB1620" s="94">
        <f>IF($A1620="",0,IF(AE1620="직접",IF(AF1620="수금비",$P1620,0),$P1620*(1-AG1620)*IFERROR(INDEX(계정대체기준!$E$20:$E$49,MATCH($N1620,계정대체기준!$A$20:$A$49,0)),0)))</f>
        <v/>
      </c>
      <c r="AC1620" s="9">
        <f>IF(AND($A1620&lt;&gt;"",M1620=설정!$C$20,Z1620&gt;0),Z1620+ROW()/1000000000,"")</f>
        <v/>
      </c>
      <c r="AD1620" s="94">
        <f>IF($A1620="",0,$P1620*AG1620)</f>
        <v/>
      </c>
      <c r="AE1620" s="64">
        <f>IF($A1620="","",IFERROR(INDEX(계정매핑!$E$5:$E$504,MATCH($F1620&amp;"",계정매핑!$A$5:$A$504,0))&amp;"","공통비"))</f>
        <v/>
      </c>
      <c r="AF1620" s="64">
        <f>IF($A1620="","",IF(AE1620="직접",IFERROR(INDEX(계정매핑!$F$5:$F$504,MATCH($F1620&amp;"",계정매핑!$A$5:$A$504,0))&amp;"","비귀속"),""))</f>
        <v/>
      </c>
      <c r="AG1620" s="96">
        <f>IF($A1620="",0,IF(AND(AE1620&lt;&gt;"직접",IFERROR(INDEX(계정매핑!$G$5:$G$504,MATCH($F1620&amp;"",계정매핑!$A$5:$A$504,0))&amp;"","")="유지비",COUNTIF(계정대체기준!$A$6:$A$15,$N1620)&gt;0),IFERROR(INDEX(계정대체기준!$E$6:$E$15,MATCH(VALUE($A1620&amp;""),계정대체기준!$D$6:$D$15,0)),0),0))</f>
        <v/>
      </c>
      <c r="AH1620" s="64">
        <f>IF($A1620="","",IF(AD1620=0,"",IF(OR(COUNTIF(계정대체기준!$A$77:$A$86,$N1620)&gt;0,ISNUMBER(MATCH($X1620,계정대체기준!$D$77:$D$86,0)),ISNUMBER(MATCH($F1620,계정대체기준!$D$77:$D$86,0))),"Y","N")))</f>
        <v/>
      </c>
    </row>
    <row r="1621">
      <c r="A1621" s="92" t="n">
        <v>2025</v>
      </c>
      <c r="B1621" s="92" t="n">
        <v>8</v>
      </c>
      <c r="C1621" s="92" t="inlineStr">
        <is>
          <t>5100001617</t>
        </is>
      </c>
      <c r="D1621" s="95" t="n">
        <v>45874</v>
      </c>
      <c r="E1621" s="92" t="inlineStr">
        <is>
          <t>KR</t>
        </is>
      </c>
      <c r="F1621" s="92" t="n">
        <v>62901000</v>
      </c>
      <c r="G1621" s="92" t="n">
        <v>1951</v>
      </c>
      <c r="H1621" s="93" t="n">
        <v>5225000</v>
      </c>
      <c r="I1621" s="92" t="inlineStr">
        <is>
          <t>8월 자문 수수료 - W컨설팅</t>
        </is>
      </c>
      <c r="J1621" s="92" t="inlineStr">
        <is>
          <t>V10006</t>
        </is>
      </c>
      <c r="K1621" s="92" t="inlineStr">
        <is>
          <t>W컨설팅</t>
        </is>
      </c>
      <c r="M1621" s="9">
        <f>IF($A1621="","",VALUE($A1621&amp;"")*12+VALUE($B1621&amp;""))</f>
        <v/>
      </c>
      <c r="N1621" s="64">
        <f>IF($A1621="","",IFERROR(INDEX(부서매핑!$C$5:$C$504,MATCH($G1621&amp;"",부서매핑!$A$5:$A$504,0)),"미매핑"))</f>
        <v/>
      </c>
      <c r="O1621" s="9">
        <f>IF($A1621="","",N1621&amp;"|"&amp;$F1621)</f>
        <v/>
      </c>
      <c r="P1621" s="94">
        <f>IF($A1621="",0,$H1621*설정!$C$23)</f>
        <v/>
      </c>
      <c r="Q1621" s="64">
        <f>IF($A1621="","",IF(O1621&lt;&gt;원인분석!$C$9,"",IF(AND(M1621&gt;=원인분석!$C$10,M1621&lt;=원인분석!$C$11),"당기",IF(AND(M1621&gt;=원인분석!$C$12,M1621&lt;=원인분석!$C$13),"비교",""))))</f>
        <v/>
      </c>
      <c r="R1621" s="9">
        <f>IF(Q1621="","",$K1621&amp;"")</f>
        <v/>
      </c>
      <c r="S1621" s="9">
        <f>IF(Q1621="","",IF(MATCH(R1621,$R$5:$R$100000,0)=ROW()-4,ROW(),""))</f>
        <v/>
      </c>
      <c r="T1621" s="9">
        <f>IF(Q1621="당기",ABS(P1621)+ROW()/1000000000,"")</f>
        <v/>
      </c>
      <c r="U1621" s="9">
        <f>IF(Q1621="비교",ABS(P1621)+ROW()/1000000000,"")</f>
        <v/>
      </c>
      <c r="V1621" s="64">
        <f>IF($A1621="","",IF(COUNTIF(변동분석!$E$7:$E$506,O1621)&gt;0,"Y","N"))</f>
        <v/>
      </c>
      <c r="W1621" s="64">
        <f>IF($A1621="","",IFERROR(INDEX(계정매핑!$D$5:$D$504,MATCH($F1621&amp;"",계정매핑!$A$5:$A$504,0)),"미매핑"))</f>
        <v/>
      </c>
      <c r="X1621" s="9">
        <f>IF($A1621="","",$F1621&amp;"")</f>
        <v/>
      </c>
      <c r="Y1621" s="94">
        <f>IF($A1621="",0,IF(AE1621="직접",IF(AF1621="비귀속",$P1621,0),$P1621*(1-AG1621)*IFERROR(INDEX(계정대체기준!$F$20:$F$49,MATCH($N1621,계정대체기준!$A$20:$A$49,0)),1)))</f>
        <v/>
      </c>
      <c r="Z1621" s="94">
        <f>IF($A1621="",0,IF(AE1621="직접",IF(AF1621="신계약비",$P1621,0),$P1621*(1-AG1621)*IFERROR(INDEX(계정대체기준!$C$20:$C$49,MATCH($N1621,계정대체기준!$A$20:$A$49,0)),0)))</f>
        <v/>
      </c>
      <c r="AA1621" s="94">
        <f>IF($A1621="",0,IF(AE1621="직접",IF(OR(AF1621="유지비",AF1621="손해조사비"),$P1621,0),$P1621*(1-AG1621)*IFERROR(INDEX(계정대체기준!$D$20:$D$49,MATCH($N1621,계정대체기준!$A$20:$A$49,0)),0)))</f>
        <v/>
      </c>
      <c r="AB1621" s="94">
        <f>IF($A1621="",0,IF(AE1621="직접",IF(AF1621="수금비",$P1621,0),$P1621*(1-AG1621)*IFERROR(INDEX(계정대체기준!$E$20:$E$49,MATCH($N1621,계정대체기준!$A$20:$A$49,0)),0)))</f>
        <v/>
      </c>
      <c r="AC1621" s="9">
        <f>IF(AND($A1621&lt;&gt;"",M1621=설정!$C$20,Z1621&gt;0),Z1621+ROW()/1000000000,"")</f>
        <v/>
      </c>
      <c r="AD1621" s="94">
        <f>IF($A1621="",0,$P1621*AG1621)</f>
        <v/>
      </c>
      <c r="AE1621" s="64">
        <f>IF($A1621="","",IFERROR(INDEX(계정매핑!$E$5:$E$504,MATCH($F1621&amp;"",계정매핑!$A$5:$A$504,0))&amp;"","공통비"))</f>
        <v/>
      </c>
      <c r="AF1621" s="64">
        <f>IF($A1621="","",IF(AE1621="직접",IFERROR(INDEX(계정매핑!$F$5:$F$504,MATCH($F1621&amp;"",계정매핑!$A$5:$A$504,0))&amp;"","비귀속"),""))</f>
        <v/>
      </c>
      <c r="AG1621" s="96">
        <f>IF($A1621="",0,IF(AND(AE1621&lt;&gt;"직접",IFERROR(INDEX(계정매핑!$G$5:$G$504,MATCH($F1621&amp;"",계정매핑!$A$5:$A$504,0))&amp;"","")="유지비",COUNTIF(계정대체기준!$A$6:$A$15,$N1621)&gt;0),IFERROR(INDEX(계정대체기준!$E$6:$E$15,MATCH(VALUE($A1621&amp;""),계정대체기준!$D$6:$D$15,0)),0),0))</f>
        <v/>
      </c>
      <c r="AH1621" s="64">
        <f>IF($A1621="","",IF(AD1621=0,"",IF(OR(COUNTIF(계정대체기준!$A$77:$A$86,$N1621)&gt;0,ISNUMBER(MATCH($X1621,계정대체기준!$D$77:$D$86,0)),ISNUMBER(MATCH($F1621,계정대체기준!$D$77:$D$86,0))),"Y","N")))</f>
        <v/>
      </c>
    </row>
    <row r="1622">
      <c r="A1622" s="92" t="n">
        <v>2025</v>
      </c>
      <c r="B1622" s="92" t="n">
        <v>8</v>
      </c>
      <c r="C1622" s="92" t="inlineStr">
        <is>
          <t>5100001618</t>
        </is>
      </c>
      <c r="D1622" s="95" t="n">
        <v>45874</v>
      </c>
      <c r="E1622" s="92" t="inlineStr">
        <is>
          <t>KR</t>
        </is>
      </c>
      <c r="F1622" s="92" t="n">
        <v>62902000</v>
      </c>
      <c r="G1622" s="92" t="n">
        <v>1201</v>
      </c>
      <c r="H1622" s="93" t="n">
        <v>4480000</v>
      </c>
      <c r="I1622" s="92" t="inlineStr">
        <is>
          <t>8월 업무 위탁 수수료 - X서비스</t>
        </is>
      </c>
      <c r="J1622" s="92" t="inlineStr">
        <is>
          <t>V10020</t>
        </is>
      </c>
      <c r="K1622" s="92" t="inlineStr">
        <is>
          <t>X서비스</t>
        </is>
      </c>
      <c r="M1622" s="9">
        <f>IF($A1622="","",VALUE($A1622&amp;"")*12+VALUE($B1622&amp;""))</f>
        <v/>
      </c>
      <c r="N1622" s="64">
        <f>IF($A1622="","",IFERROR(INDEX(부서매핑!$C$5:$C$504,MATCH($G1622&amp;"",부서매핑!$A$5:$A$504,0)),"미매핑"))</f>
        <v/>
      </c>
      <c r="O1622" s="9">
        <f>IF($A1622="","",N1622&amp;"|"&amp;$F1622)</f>
        <v/>
      </c>
      <c r="P1622" s="94">
        <f>IF($A1622="",0,$H1622*설정!$C$23)</f>
        <v/>
      </c>
      <c r="Q1622" s="64">
        <f>IF($A1622="","",IF(O1622&lt;&gt;원인분석!$C$9,"",IF(AND(M1622&gt;=원인분석!$C$10,M1622&lt;=원인분석!$C$11),"당기",IF(AND(M1622&gt;=원인분석!$C$12,M1622&lt;=원인분석!$C$13),"비교",""))))</f>
        <v/>
      </c>
      <c r="R1622" s="9">
        <f>IF(Q1622="","",$K1622&amp;"")</f>
        <v/>
      </c>
      <c r="S1622" s="9">
        <f>IF(Q1622="","",IF(MATCH(R1622,$R$5:$R$100000,0)=ROW()-4,ROW(),""))</f>
        <v/>
      </c>
      <c r="T1622" s="9">
        <f>IF(Q1622="당기",ABS(P1622)+ROW()/1000000000,"")</f>
        <v/>
      </c>
      <c r="U1622" s="9">
        <f>IF(Q1622="비교",ABS(P1622)+ROW()/1000000000,"")</f>
        <v/>
      </c>
      <c r="V1622" s="64">
        <f>IF($A1622="","",IF(COUNTIF(변동분석!$E$7:$E$506,O1622)&gt;0,"Y","N"))</f>
        <v/>
      </c>
      <c r="W1622" s="64">
        <f>IF($A1622="","",IFERROR(INDEX(계정매핑!$D$5:$D$504,MATCH($F1622&amp;"",계정매핑!$A$5:$A$504,0)),"미매핑"))</f>
        <v/>
      </c>
      <c r="X1622" s="9">
        <f>IF($A1622="","",$F1622&amp;"")</f>
        <v/>
      </c>
      <c r="Y1622" s="94">
        <f>IF($A1622="",0,IF(AE1622="직접",IF(AF1622="비귀속",$P1622,0),$P1622*(1-AG1622)*IFERROR(INDEX(계정대체기준!$F$20:$F$49,MATCH($N1622,계정대체기준!$A$20:$A$49,0)),1)))</f>
        <v/>
      </c>
      <c r="Z1622" s="94">
        <f>IF($A1622="",0,IF(AE1622="직접",IF(AF1622="신계약비",$P1622,0),$P1622*(1-AG1622)*IFERROR(INDEX(계정대체기준!$C$20:$C$49,MATCH($N1622,계정대체기준!$A$20:$A$49,0)),0)))</f>
        <v/>
      </c>
      <c r="AA1622" s="94">
        <f>IF($A1622="",0,IF(AE1622="직접",IF(OR(AF1622="유지비",AF1622="손해조사비"),$P1622,0),$P1622*(1-AG1622)*IFERROR(INDEX(계정대체기준!$D$20:$D$49,MATCH($N1622,계정대체기준!$A$20:$A$49,0)),0)))</f>
        <v/>
      </c>
      <c r="AB1622" s="94">
        <f>IF($A1622="",0,IF(AE1622="직접",IF(AF1622="수금비",$P1622,0),$P1622*(1-AG1622)*IFERROR(INDEX(계정대체기준!$E$20:$E$49,MATCH($N1622,계정대체기준!$A$20:$A$49,0)),0)))</f>
        <v/>
      </c>
      <c r="AC1622" s="9">
        <f>IF(AND($A1622&lt;&gt;"",M1622=설정!$C$20,Z1622&gt;0),Z1622+ROW()/1000000000,"")</f>
        <v/>
      </c>
      <c r="AD1622" s="94">
        <f>IF($A1622="",0,$P1622*AG1622)</f>
        <v/>
      </c>
      <c r="AE1622" s="64">
        <f>IF($A1622="","",IFERROR(INDEX(계정매핑!$E$5:$E$504,MATCH($F1622&amp;"",계정매핑!$A$5:$A$504,0))&amp;"","공통비"))</f>
        <v/>
      </c>
      <c r="AF1622" s="64">
        <f>IF($A1622="","",IF(AE1622="직접",IFERROR(INDEX(계정매핑!$F$5:$F$504,MATCH($F1622&amp;"",계정매핑!$A$5:$A$504,0))&amp;"","비귀속"),""))</f>
        <v/>
      </c>
      <c r="AG1622" s="96">
        <f>IF($A1622="",0,IF(AND(AE1622&lt;&gt;"직접",IFERROR(INDEX(계정매핑!$G$5:$G$504,MATCH($F1622&amp;"",계정매핑!$A$5:$A$504,0))&amp;"","")="유지비",COUNTIF(계정대체기준!$A$6:$A$15,$N1622)&gt;0),IFERROR(INDEX(계정대체기준!$E$6:$E$15,MATCH(VALUE($A1622&amp;""),계정대체기준!$D$6:$D$15,0)),0),0))</f>
        <v/>
      </c>
      <c r="AH1622" s="64">
        <f>IF($A1622="","",IF(AD1622=0,"",IF(OR(COUNTIF(계정대체기준!$A$77:$A$86,$N1622)&gt;0,ISNUMBER(MATCH($X1622,계정대체기준!$D$77:$D$86,0)),ISNUMBER(MATCH($F1622,계정대체기준!$D$77:$D$86,0))),"Y","N")))</f>
        <v/>
      </c>
    </row>
    <row r="1623">
      <c r="A1623" s="92" t="n">
        <v>2025</v>
      </c>
      <c r="B1623" s="92" t="n">
        <v>8</v>
      </c>
      <c r="C1623" s="92" t="inlineStr">
        <is>
          <t>5100001619</t>
        </is>
      </c>
      <c r="D1623" s="95" t="n">
        <v>45875</v>
      </c>
      <c r="E1623" s="92" t="inlineStr">
        <is>
          <t>KR</t>
        </is>
      </c>
      <c r="F1623" s="92" t="n">
        <v>62101000</v>
      </c>
      <c r="G1623" s="92" t="n">
        <v>1502</v>
      </c>
      <c r="H1623" s="93" t="n">
        <v>516000</v>
      </c>
      <c r="I1623" s="92" t="inlineStr">
        <is>
          <t>8월 국내출장 - M항공</t>
        </is>
      </c>
      <c r="J1623" s="92" t="inlineStr">
        <is>
          <t>V10001</t>
        </is>
      </c>
      <c r="K1623" s="92" t="inlineStr">
        <is>
          <t>M항공</t>
        </is>
      </c>
      <c r="M1623" s="9">
        <f>IF($A1623="","",VALUE($A1623&amp;"")*12+VALUE($B1623&amp;""))</f>
        <v/>
      </c>
      <c r="N1623" s="64">
        <f>IF($A1623="","",IFERROR(INDEX(부서매핑!$C$5:$C$504,MATCH($G1623&amp;"",부서매핑!$A$5:$A$504,0)),"미매핑"))</f>
        <v/>
      </c>
      <c r="O1623" s="9">
        <f>IF($A1623="","",N1623&amp;"|"&amp;$F1623)</f>
        <v/>
      </c>
      <c r="P1623" s="94">
        <f>IF($A1623="",0,$H1623*설정!$C$23)</f>
        <v/>
      </c>
      <c r="Q1623" s="64">
        <f>IF($A1623="","",IF(O1623&lt;&gt;원인분석!$C$9,"",IF(AND(M1623&gt;=원인분석!$C$10,M1623&lt;=원인분석!$C$11),"당기",IF(AND(M1623&gt;=원인분석!$C$12,M1623&lt;=원인분석!$C$13),"비교",""))))</f>
        <v/>
      </c>
      <c r="R1623" s="9">
        <f>IF(Q1623="","",$K1623&amp;"")</f>
        <v/>
      </c>
      <c r="S1623" s="9">
        <f>IF(Q1623="","",IF(MATCH(R1623,$R$5:$R$100000,0)=ROW()-4,ROW(),""))</f>
        <v/>
      </c>
      <c r="T1623" s="9">
        <f>IF(Q1623="당기",ABS(P1623)+ROW()/1000000000,"")</f>
        <v/>
      </c>
      <c r="U1623" s="9">
        <f>IF(Q1623="비교",ABS(P1623)+ROW()/1000000000,"")</f>
        <v/>
      </c>
      <c r="V1623" s="64">
        <f>IF($A1623="","",IF(COUNTIF(변동분석!$E$7:$E$506,O1623)&gt;0,"Y","N"))</f>
        <v/>
      </c>
      <c r="W1623" s="64">
        <f>IF($A1623="","",IFERROR(INDEX(계정매핑!$D$5:$D$504,MATCH($F1623&amp;"",계정매핑!$A$5:$A$504,0)),"미매핑"))</f>
        <v/>
      </c>
      <c r="X1623" s="9">
        <f>IF($A1623="","",$F1623&amp;"")</f>
        <v/>
      </c>
      <c r="Y1623" s="94">
        <f>IF($A1623="",0,IF(AE1623="직접",IF(AF1623="비귀속",$P1623,0),$P1623*(1-AG1623)*IFERROR(INDEX(계정대체기준!$F$20:$F$49,MATCH($N1623,계정대체기준!$A$20:$A$49,0)),1)))</f>
        <v/>
      </c>
      <c r="Z1623" s="94">
        <f>IF($A1623="",0,IF(AE1623="직접",IF(AF1623="신계약비",$P1623,0),$P1623*(1-AG1623)*IFERROR(INDEX(계정대체기준!$C$20:$C$49,MATCH($N1623,계정대체기준!$A$20:$A$49,0)),0)))</f>
        <v/>
      </c>
      <c r="AA1623" s="94">
        <f>IF($A1623="",0,IF(AE1623="직접",IF(OR(AF1623="유지비",AF1623="손해조사비"),$P1623,0),$P1623*(1-AG1623)*IFERROR(INDEX(계정대체기준!$D$20:$D$49,MATCH($N1623,계정대체기준!$A$20:$A$49,0)),0)))</f>
        <v/>
      </c>
      <c r="AB1623" s="94">
        <f>IF($A1623="",0,IF(AE1623="직접",IF(AF1623="수금비",$P1623,0),$P1623*(1-AG1623)*IFERROR(INDEX(계정대체기준!$E$20:$E$49,MATCH($N1623,계정대체기준!$A$20:$A$49,0)),0)))</f>
        <v/>
      </c>
      <c r="AC1623" s="9">
        <f>IF(AND($A1623&lt;&gt;"",M1623=설정!$C$20,Z1623&gt;0),Z1623+ROW()/1000000000,"")</f>
        <v/>
      </c>
      <c r="AD1623" s="94">
        <f>IF($A1623="",0,$P1623*AG1623)</f>
        <v/>
      </c>
      <c r="AE1623" s="64">
        <f>IF($A1623="","",IFERROR(INDEX(계정매핑!$E$5:$E$504,MATCH($F1623&amp;"",계정매핑!$A$5:$A$504,0))&amp;"","공통비"))</f>
        <v/>
      </c>
      <c r="AF1623" s="64">
        <f>IF($A1623="","",IF(AE1623="직접",IFERROR(INDEX(계정매핑!$F$5:$F$504,MATCH($F1623&amp;"",계정매핑!$A$5:$A$504,0))&amp;"","비귀속"),""))</f>
        <v/>
      </c>
      <c r="AG1623" s="96">
        <f>IF($A1623="",0,IF(AND(AE1623&lt;&gt;"직접",IFERROR(INDEX(계정매핑!$G$5:$G$504,MATCH($F1623&amp;"",계정매핑!$A$5:$A$504,0))&amp;"","")="유지비",COUNTIF(계정대체기준!$A$6:$A$15,$N1623)&gt;0),IFERROR(INDEX(계정대체기준!$E$6:$E$15,MATCH(VALUE($A1623&amp;""),계정대체기준!$D$6:$D$15,0)),0),0))</f>
        <v/>
      </c>
      <c r="AH1623" s="64">
        <f>IF($A1623="","",IF(AD1623=0,"",IF(OR(COUNTIF(계정대체기준!$A$77:$A$86,$N1623)&gt;0,ISNUMBER(MATCH($X1623,계정대체기준!$D$77:$D$86,0)),ISNUMBER(MATCH($F1623,계정대체기준!$D$77:$D$86,0))),"Y","N")))</f>
        <v/>
      </c>
    </row>
    <row r="1624">
      <c r="A1624" s="92" t="n">
        <v>2025</v>
      </c>
      <c r="B1624" s="92" t="n">
        <v>8</v>
      </c>
      <c r="C1624" s="92" t="inlineStr">
        <is>
          <t>5100001620</t>
        </is>
      </c>
      <c r="D1624" s="95" t="n">
        <v>45875</v>
      </c>
      <c r="E1624" s="92" t="inlineStr">
        <is>
          <t>KR</t>
        </is>
      </c>
      <c r="F1624" s="92" t="n">
        <v>62501000</v>
      </c>
      <c r="G1624" s="92" t="n">
        <v>1301</v>
      </c>
      <c r="H1624" s="93" t="n">
        <v>199000</v>
      </c>
      <c r="I1624" s="92" t="inlineStr">
        <is>
          <t>8월 회의 다과 - (법인카드)</t>
        </is>
      </c>
      <c r="J1624" s="92" t="inlineStr">
        <is>
          <t>V10010</t>
        </is>
      </c>
      <c r="K1624" s="92" t="inlineStr">
        <is>
          <t>(법인카드)</t>
        </is>
      </c>
      <c r="M1624" s="9">
        <f>IF($A1624="","",VALUE($A1624&amp;"")*12+VALUE($B1624&amp;""))</f>
        <v/>
      </c>
      <c r="N1624" s="64">
        <f>IF($A1624="","",IFERROR(INDEX(부서매핑!$C$5:$C$504,MATCH($G1624&amp;"",부서매핑!$A$5:$A$504,0)),"미매핑"))</f>
        <v/>
      </c>
      <c r="O1624" s="9">
        <f>IF($A1624="","",N1624&amp;"|"&amp;$F1624)</f>
        <v/>
      </c>
      <c r="P1624" s="94">
        <f>IF($A1624="",0,$H1624*설정!$C$23)</f>
        <v/>
      </c>
      <c r="Q1624" s="64">
        <f>IF($A1624="","",IF(O1624&lt;&gt;원인분석!$C$9,"",IF(AND(M1624&gt;=원인분석!$C$10,M1624&lt;=원인분석!$C$11),"당기",IF(AND(M1624&gt;=원인분석!$C$12,M1624&lt;=원인분석!$C$13),"비교",""))))</f>
        <v/>
      </c>
      <c r="R1624" s="9">
        <f>IF(Q1624="","",$K1624&amp;"")</f>
        <v/>
      </c>
      <c r="S1624" s="9">
        <f>IF(Q1624="","",IF(MATCH(R1624,$R$5:$R$100000,0)=ROW()-4,ROW(),""))</f>
        <v/>
      </c>
      <c r="T1624" s="9">
        <f>IF(Q1624="당기",ABS(P1624)+ROW()/1000000000,"")</f>
        <v/>
      </c>
      <c r="U1624" s="9">
        <f>IF(Q1624="비교",ABS(P1624)+ROW()/1000000000,"")</f>
        <v/>
      </c>
      <c r="V1624" s="64">
        <f>IF($A1624="","",IF(COUNTIF(변동분석!$E$7:$E$506,O1624)&gt;0,"Y","N"))</f>
        <v/>
      </c>
      <c r="W1624" s="64">
        <f>IF($A1624="","",IFERROR(INDEX(계정매핑!$D$5:$D$504,MATCH($F1624&amp;"",계정매핑!$A$5:$A$504,0)),"미매핑"))</f>
        <v/>
      </c>
      <c r="X1624" s="9">
        <f>IF($A1624="","",$F1624&amp;"")</f>
        <v/>
      </c>
      <c r="Y1624" s="94">
        <f>IF($A1624="",0,IF(AE1624="직접",IF(AF1624="비귀속",$P1624,0),$P1624*(1-AG1624)*IFERROR(INDEX(계정대체기준!$F$20:$F$49,MATCH($N1624,계정대체기준!$A$20:$A$49,0)),1)))</f>
        <v/>
      </c>
      <c r="Z1624" s="94">
        <f>IF($A1624="",0,IF(AE1624="직접",IF(AF1624="신계약비",$P1624,0),$P1624*(1-AG1624)*IFERROR(INDEX(계정대체기준!$C$20:$C$49,MATCH($N1624,계정대체기준!$A$20:$A$49,0)),0)))</f>
        <v/>
      </c>
      <c r="AA1624" s="94">
        <f>IF($A1624="",0,IF(AE1624="직접",IF(OR(AF1624="유지비",AF1624="손해조사비"),$P1624,0),$P1624*(1-AG1624)*IFERROR(INDEX(계정대체기준!$D$20:$D$49,MATCH($N1624,계정대체기준!$A$20:$A$49,0)),0)))</f>
        <v/>
      </c>
      <c r="AB1624" s="94">
        <f>IF($A1624="",0,IF(AE1624="직접",IF(AF1624="수금비",$P1624,0),$P1624*(1-AG1624)*IFERROR(INDEX(계정대체기준!$E$20:$E$49,MATCH($N1624,계정대체기준!$A$20:$A$49,0)),0)))</f>
        <v/>
      </c>
      <c r="AC1624" s="9">
        <f>IF(AND($A1624&lt;&gt;"",M1624=설정!$C$20,Z1624&gt;0),Z1624+ROW()/1000000000,"")</f>
        <v/>
      </c>
      <c r="AD1624" s="94">
        <f>IF($A1624="",0,$P1624*AG1624)</f>
        <v/>
      </c>
      <c r="AE1624" s="64">
        <f>IF($A1624="","",IFERROR(INDEX(계정매핑!$E$5:$E$504,MATCH($F1624&amp;"",계정매핑!$A$5:$A$504,0))&amp;"","공통비"))</f>
        <v/>
      </c>
      <c r="AF1624" s="64">
        <f>IF($A1624="","",IF(AE1624="직접",IFERROR(INDEX(계정매핑!$F$5:$F$504,MATCH($F1624&amp;"",계정매핑!$A$5:$A$504,0))&amp;"","비귀속"),""))</f>
        <v/>
      </c>
      <c r="AG1624" s="96">
        <f>IF($A1624="",0,IF(AND(AE1624&lt;&gt;"직접",IFERROR(INDEX(계정매핑!$G$5:$G$504,MATCH($F1624&amp;"",계정매핑!$A$5:$A$504,0))&amp;"","")="유지비",COUNTIF(계정대체기준!$A$6:$A$15,$N1624)&gt;0),IFERROR(INDEX(계정대체기준!$E$6:$E$15,MATCH(VALUE($A1624&amp;""),계정대체기준!$D$6:$D$15,0)),0),0))</f>
        <v/>
      </c>
      <c r="AH1624" s="64">
        <f>IF($A1624="","",IF(AD1624=0,"",IF(OR(COUNTIF(계정대체기준!$A$77:$A$86,$N1624)&gt;0,ISNUMBER(MATCH($X1624,계정대체기준!$D$77:$D$86,0)),ISNUMBER(MATCH($F1624,계정대체기준!$D$77:$D$86,0))),"Y","N")))</f>
        <v/>
      </c>
    </row>
    <row r="1625">
      <c r="A1625" s="92" t="n">
        <v>2025</v>
      </c>
      <c r="B1625" s="92" t="n">
        <v>8</v>
      </c>
      <c r="C1625" s="92" t="inlineStr">
        <is>
          <t>5100001621</t>
        </is>
      </c>
      <c r="D1625" s="95" t="n">
        <v>45875</v>
      </c>
      <c r="E1625" s="92" t="inlineStr">
        <is>
          <t>KR</t>
        </is>
      </c>
      <c r="F1625" s="92" t="n">
        <v>62601000</v>
      </c>
      <c r="G1625" s="92" t="n">
        <v>1301</v>
      </c>
      <c r="H1625" s="93" t="n">
        <v>1987000</v>
      </c>
      <c r="I1625" s="92" t="inlineStr">
        <is>
          <t>8월 업무추진 - (법인카드)</t>
        </is>
      </c>
      <c r="J1625" s="92" t="inlineStr">
        <is>
          <t>V10010</t>
        </is>
      </c>
      <c r="K1625" s="92" t="inlineStr">
        <is>
          <t>(법인카드)</t>
        </is>
      </c>
      <c r="M1625" s="9">
        <f>IF($A1625="","",VALUE($A1625&amp;"")*12+VALUE($B1625&amp;""))</f>
        <v/>
      </c>
      <c r="N1625" s="64">
        <f>IF($A1625="","",IFERROR(INDEX(부서매핑!$C$5:$C$504,MATCH($G1625&amp;"",부서매핑!$A$5:$A$504,0)),"미매핑"))</f>
        <v/>
      </c>
      <c r="O1625" s="9">
        <f>IF($A1625="","",N1625&amp;"|"&amp;$F1625)</f>
        <v/>
      </c>
      <c r="P1625" s="94">
        <f>IF($A1625="",0,$H1625*설정!$C$23)</f>
        <v/>
      </c>
      <c r="Q1625" s="64">
        <f>IF($A1625="","",IF(O1625&lt;&gt;원인분석!$C$9,"",IF(AND(M1625&gt;=원인분석!$C$10,M1625&lt;=원인분석!$C$11),"당기",IF(AND(M1625&gt;=원인분석!$C$12,M1625&lt;=원인분석!$C$13),"비교",""))))</f>
        <v/>
      </c>
      <c r="R1625" s="9">
        <f>IF(Q1625="","",$K1625&amp;"")</f>
        <v/>
      </c>
      <c r="S1625" s="9">
        <f>IF(Q1625="","",IF(MATCH(R1625,$R$5:$R$100000,0)=ROW()-4,ROW(),""))</f>
        <v/>
      </c>
      <c r="T1625" s="9">
        <f>IF(Q1625="당기",ABS(P1625)+ROW()/1000000000,"")</f>
        <v/>
      </c>
      <c r="U1625" s="9">
        <f>IF(Q1625="비교",ABS(P1625)+ROW()/1000000000,"")</f>
        <v/>
      </c>
      <c r="V1625" s="64">
        <f>IF($A1625="","",IF(COUNTIF(변동분석!$E$7:$E$506,O1625)&gt;0,"Y","N"))</f>
        <v/>
      </c>
      <c r="W1625" s="64">
        <f>IF($A1625="","",IFERROR(INDEX(계정매핑!$D$5:$D$504,MATCH($F1625&amp;"",계정매핑!$A$5:$A$504,0)),"미매핑"))</f>
        <v/>
      </c>
      <c r="X1625" s="9">
        <f>IF($A1625="","",$F1625&amp;"")</f>
        <v/>
      </c>
      <c r="Y1625" s="94">
        <f>IF($A1625="",0,IF(AE1625="직접",IF(AF1625="비귀속",$P1625,0),$P1625*(1-AG1625)*IFERROR(INDEX(계정대체기준!$F$20:$F$49,MATCH($N1625,계정대체기준!$A$20:$A$49,0)),1)))</f>
        <v/>
      </c>
      <c r="Z1625" s="94">
        <f>IF($A1625="",0,IF(AE1625="직접",IF(AF1625="신계약비",$P1625,0),$P1625*(1-AG1625)*IFERROR(INDEX(계정대체기준!$C$20:$C$49,MATCH($N1625,계정대체기준!$A$20:$A$49,0)),0)))</f>
        <v/>
      </c>
      <c r="AA1625" s="94">
        <f>IF($A1625="",0,IF(AE1625="직접",IF(OR(AF1625="유지비",AF1625="손해조사비"),$P1625,0),$P1625*(1-AG1625)*IFERROR(INDEX(계정대체기준!$D$20:$D$49,MATCH($N1625,계정대체기준!$A$20:$A$49,0)),0)))</f>
        <v/>
      </c>
      <c r="AB1625" s="94">
        <f>IF($A1625="",0,IF(AE1625="직접",IF(AF1625="수금비",$P1625,0),$P1625*(1-AG1625)*IFERROR(INDEX(계정대체기준!$E$20:$E$49,MATCH($N1625,계정대체기준!$A$20:$A$49,0)),0)))</f>
        <v/>
      </c>
      <c r="AC1625" s="9">
        <f>IF(AND($A1625&lt;&gt;"",M1625=설정!$C$20,Z1625&gt;0),Z1625+ROW()/1000000000,"")</f>
        <v/>
      </c>
      <c r="AD1625" s="94">
        <f>IF($A1625="",0,$P1625*AG1625)</f>
        <v/>
      </c>
      <c r="AE1625" s="64">
        <f>IF($A1625="","",IFERROR(INDEX(계정매핑!$E$5:$E$504,MATCH($F1625&amp;"",계정매핑!$A$5:$A$504,0))&amp;"","공통비"))</f>
        <v/>
      </c>
      <c r="AF1625" s="64">
        <f>IF($A1625="","",IF(AE1625="직접",IFERROR(INDEX(계정매핑!$F$5:$F$504,MATCH($F1625&amp;"",계정매핑!$A$5:$A$504,0))&amp;"","비귀속"),""))</f>
        <v/>
      </c>
      <c r="AG1625" s="96">
        <f>IF($A1625="",0,IF(AND(AE1625&lt;&gt;"직접",IFERROR(INDEX(계정매핑!$G$5:$G$504,MATCH($F1625&amp;"",계정매핑!$A$5:$A$504,0))&amp;"","")="유지비",COUNTIF(계정대체기준!$A$6:$A$15,$N1625)&gt;0),IFERROR(INDEX(계정대체기준!$E$6:$E$15,MATCH(VALUE($A1625&amp;""),계정대체기준!$D$6:$D$15,0)),0),0))</f>
        <v/>
      </c>
      <c r="AH1625" s="64">
        <f>IF($A1625="","",IF(AD1625=0,"",IF(OR(COUNTIF(계정대체기준!$A$77:$A$86,$N1625)&gt;0,ISNUMBER(MATCH($X1625,계정대체기준!$D$77:$D$86,0)),ISNUMBER(MATCH($F1625,계정대체기준!$D$77:$D$86,0))),"Y","N")))</f>
        <v/>
      </c>
    </row>
    <row r="1626">
      <c r="A1626" s="92" t="n">
        <v>2025</v>
      </c>
      <c r="B1626" s="92" t="n">
        <v>8</v>
      </c>
      <c r="C1626" s="92" t="inlineStr">
        <is>
          <t>5100001622</t>
        </is>
      </c>
      <c r="D1626" s="95" t="n">
        <v>45875</v>
      </c>
      <c r="E1626" s="92" t="inlineStr">
        <is>
          <t>KR</t>
        </is>
      </c>
      <c r="F1626" s="92" t="n">
        <v>62701000</v>
      </c>
      <c r="G1626" s="92" t="n">
        <v>1501</v>
      </c>
      <c r="H1626" s="93" t="n">
        <v>52546000</v>
      </c>
      <c r="I1626" s="92" t="inlineStr">
        <is>
          <t>8월 광고 집행 - E미디어</t>
        </is>
      </c>
      <c r="J1626" s="92" t="inlineStr">
        <is>
          <t>V10033</t>
        </is>
      </c>
      <c r="K1626" s="92" t="inlineStr">
        <is>
          <t>E미디어</t>
        </is>
      </c>
      <c r="M1626" s="9">
        <f>IF($A1626="","",VALUE($A1626&amp;"")*12+VALUE($B1626&amp;""))</f>
        <v/>
      </c>
      <c r="N1626" s="64">
        <f>IF($A1626="","",IFERROR(INDEX(부서매핑!$C$5:$C$504,MATCH($G1626&amp;"",부서매핑!$A$5:$A$504,0)),"미매핑"))</f>
        <v/>
      </c>
      <c r="O1626" s="9">
        <f>IF($A1626="","",N1626&amp;"|"&amp;$F1626)</f>
        <v/>
      </c>
      <c r="P1626" s="94">
        <f>IF($A1626="",0,$H1626*설정!$C$23)</f>
        <v/>
      </c>
      <c r="Q1626" s="64">
        <f>IF($A1626="","",IF(O1626&lt;&gt;원인분석!$C$9,"",IF(AND(M1626&gt;=원인분석!$C$10,M1626&lt;=원인분석!$C$11),"당기",IF(AND(M1626&gt;=원인분석!$C$12,M1626&lt;=원인분석!$C$13),"비교",""))))</f>
        <v/>
      </c>
      <c r="R1626" s="9">
        <f>IF(Q1626="","",$K1626&amp;"")</f>
        <v/>
      </c>
      <c r="S1626" s="9">
        <f>IF(Q1626="","",IF(MATCH(R1626,$R$5:$R$100000,0)=ROW()-4,ROW(),""))</f>
        <v/>
      </c>
      <c r="T1626" s="9">
        <f>IF(Q1626="당기",ABS(P1626)+ROW()/1000000000,"")</f>
        <v/>
      </c>
      <c r="U1626" s="9">
        <f>IF(Q1626="비교",ABS(P1626)+ROW()/1000000000,"")</f>
        <v/>
      </c>
      <c r="V1626" s="64">
        <f>IF($A1626="","",IF(COUNTIF(변동분석!$E$7:$E$506,O1626)&gt;0,"Y","N"))</f>
        <v/>
      </c>
      <c r="W1626" s="64">
        <f>IF($A1626="","",IFERROR(INDEX(계정매핑!$D$5:$D$504,MATCH($F1626&amp;"",계정매핑!$A$5:$A$504,0)),"미매핑"))</f>
        <v/>
      </c>
      <c r="X1626" s="9">
        <f>IF($A1626="","",$F1626&amp;"")</f>
        <v/>
      </c>
      <c r="Y1626" s="94">
        <f>IF($A1626="",0,IF(AE1626="직접",IF(AF1626="비귀속",$P1626,0),$P1626*(1-AG1626)*IFERROR(INDEX(계정대체기준!$F$20:$F$49,MATCH($N1626,계정대체기준!$A$20:$A$49,0)),1)))</f>
        <v/>
      </c>
      <c r="Z1626" s="94">
        <f>IF($A1626="",0,IF(AE1626="직접",IF(AF1626="신계약비",$P1626,0),$P1626*(1-AG1626)*IFERROR(INDEX(계정대체기준!$C$20:$C$49,MATCH($N1626,계정대체기준!$A$20:$A$49,0)),0)))</f>
        <v/>
      </c>
      <c r="AA1626" s="94">
        <f>IF($A1626="",0,IF(AE1626="직접",IF(OR(AF1626="유지비",AF1626="손해조사비"),$P1626,0),$P1626*(1-AG1626)*IFERROR(INDEX(계정대체기준!$D$20:$D$49,MATCH($N1626,계정대체기준!$A$20:$A$49,0)),0)))</f>
        <v/>
      </c>
      <c r="AB1626" s="94">
        <f>IF($A1626="",0,IF(AE1626="직접",IF(AF1626="수금비",$P1626,0),$P1626*(1-AG1626)*IFERROR(INDEX(계정대체기준!$E$20:$E$49,MATCH($N1626,계정대체기준!$A$20:$A$49,0)),0)))</f>
        <v/>
      </c>
      <c r="AC1626" s="9">
        <f>IF(AND($A1626&lt;&gt;"",M1626=설정!$C$20,Z1626&gt;0),Z1626+ROW()/1000000000,"")</f>
        <v/>
      </c>
      <c r="AD1626" s="94">
        <f>IF($A1626="",0,$P1626*AG1626)</f>
        <v/>
      </c>
      <c r="AE1626" s="64">
        <f>IF($A1626="","",IFERROR(INDEX(계정매핑!$E$5:$E$504,MATCH($F1626&amp;"",계정매핑!$A$5:$A$504,0))&amp;"","공통비"))</f>
        <v/>
      </c>
      <c r="AF1626" s="64">
        <f>IF($A1626="","",IF(AE1626="직접",IFERROR(INDEX(계정매핑!$F$5:$F$504,MATCH($F1626&amp;"",계정매핑!$A$5:$A$504,0))&amp;"","비귀속"),""))</f>
        <v/>
      </c>
      <c r="AG1626" s="96">
        <f>IF($A1626="",0,IF(AND(AE1626&lt;&gt;"직접",IFERROR(INDEX(계정매핑!$G$5:$G$504,MATCH($F1626&amp;"",계정매핑!$A$5:$A$504,0))&amp;"","")="유지비",COUNTIF(계정대체기준!$A$6:$A$15,$N1626)&gt;0),IFERROR(INDEX(계정대체기준!$E$6:$E$15,MATCH(VALUE($A1626&amp;""),계정대체기준!$D$6:$D$15,0)),0),0))</f>
        <v/>
      </c>
      <c r="AH1626" s="64">
        <f>IF($A1626="","",IF(AD1626=0,"",IF(OR(COUNTIF(계정대체기준!$A$77:$A$86,$N1626)&gt;0,ISNUMBER(MATCH($X1626,계정대체기준!$D$77:$D$86,0)),ISNUMBER(MATCH($F1626,계정대체기준!$D$77:$D$86,0))),"Y","N")))</f>
        <v/>
      </c>
    </row>
    <row r="1627">
      <c r="A1627" s="92" t="n">
        <v>2025</v>
      </c>
      <c r="B1627" s="92" t="n">
        <v>8</v>
      </c>
      <c r="C1627" s="92" t="inlineStr">
        <is>
          <t>5100001623</t>
        </is>
      </c>
      <c r="D1627" s="95" t="n">
        <v>45875</v>
      </c>
      <c r="E1627" s="92" t="inlineStr">
        <is>
          <t>KR</t>
        </is>
      </c>
      <c r="F1627" s="92" t="n">
        <v>62902000</v>
      </c>
      <c r="G1627" s="92" t="n">
        <v>1101</v>
      </c>
      <c r="H1627" s="93" t="n">
        <v>1290000</v>
      </c>
      <c r="I1627" s="92" t="inlineStr">
        <is>
          <t>8월 업무 위탁 수수료 - J콜센터</t>
        </is>
      </c>
      <c r="J1627" s="92" t="inlineStr">
        <is>
          <t>V10016</t>
        </is>
      </c>
      <c r="K1627" s="92" t="inlineStr">
        <is>
          <t>J콜센터</t>
        </is>
      </c>
      <c r="M1627" s="9">
        <f>IF($A1627="","",VALUE($A1627&amp;"")*12+VALUE($B1627&amp;""))</f>
        <v/>
      </c>
      <c r="N1627" s="64">
        <f>IF($A1627="","",IFERROR(INDEX(부서매핑!$C$5:$C$504,MATCH($G1627&amp;"",부서매핑!$A$5:$A$504,0)),"미매핑"))</f>
        <v/>
      </c>
      <c r="O1627" s="9">
        <f>IF($A1627="","",N1627&amp;"|"&amp;$F1627)</f>
        <v/>
      </c>
      <c r="P1627" s="94">
        <f>IF($A1627="",0,$H1627*설정!$C$23)</f>
        <v/>
      </c>
      <c r="Q1627" s="64">
        <f>IF($A1627="","",IF(O1627&lt;&gt;원인분석!$C$9,"",IF(AND(M1627&gt;=원인분석!$C$10,M1627&lt;=원인분석!$C$11),"당기",IF(AND(M1627&gt;=원인분석!$C$12,M1627&lt;=원인분석!$C$13),"비교",""))))</f>
        <v/>
      </c>
      <c r="R1627" s="9">
        <f>IF(Q1627="","",$K1627&amp;"")</f>
        <v/>
      </c>
      <c r="S1627" s="9">
        <f>IF(Q1627="","",IF(MATCH(R1627,$R$5:$R$100000,0)=ROW()-4,ROW(),""))</f>
        <v/>
      </c>
      <c r="T1627" s="9">
        <f>IF(Q1627="당기",ABS(P1627)+ROW()/1000000000,"")</f>
        <v/>
      </c>
      <c r="U1627" s="9">
        <f>IF(Q1627="비교",ABS(P1627)+ROW()/1000000000,"")</f>
        <v/>
      </c>
      <c r="V1627" s="64">
        <f>IF($A1627="","",IF(COUNTIF(변동분석!$E$7:$E$506,O1627)&gt;0,"Y","N"))</f>
        <v/>
      </c>
      <c r="W1627" s="64">
        <f>IF($A1627="","",IFERROR(INDEX(계정매핑!$D$5:$D$504,MATCH($F1627&amp;"",계정매핑!$A$5:$A$504,0)),"미매핑"))</f>
        <v/>
      </c>
      <c r="X1627" s="9">
        <f>IF($A1627="","",$F1627&amp;"")</f>
        <v/>
      </c>
      <c r="Y1627" s="94">
        <f>IF($A1627="",0,IF(AE1627="직접",IF(AF1627="비귀속",$P1627,0),$P1627*(1-AG1627)*IFERROR(INDEX(계정대체기준!$F$20:$F$49,MATCH($N1627,계정대체기준!$A$20:$A$49,0)),1)))</f>
        <v/>
      </c>
      <c r="Z1627" s="94">
        <f>IF($A1627="",0,IF(AE1627="직접",IF(AF1627="신계약비",$P1627,0),$P1627*(1-AG1627)*IFERROR(INDEX(계정대체기준!$C$20:$C$49,MATCH($N1627,계정대체기준!$A$20:$A$49,0)),0)))</f>
        <v/>
      </c>
      <c r="AA1627" s="94">
        <f>IF($A1627="",0,IF(AE1627="직접",IF(OR(AF1627="유지비",AF1627="손해조사비"),$P1627,0),$P1627*(1-AG1627)*IFERROR(INDEX(계정대체기준!$D$20:$D$49,MATCH($N1627,계정대체기준!$A$20:$A$49,0)),0)))</f>
        <v/>
      </c>
      <c r="AB1627" s="94">
        <f>IF($A1627="",0,IF(AE1627="직접",IF(AF1627="수금비",$P1627,0),$P1627*(1-AG1627)*IFERROR(INDEX(계정대체기준!$E$20:$E$49,MATCH($N1627,계정대체기준!$A$20:$A$49,0)),0)))</f>
        <v/>
      </c>
      <c r="AC1627" s="9">
        <f>IF(AND($A1627&lt;&gt;"",M1627=설정!$C$20,Z1627&gt;0),Z1627+ROW()/1000000000,"")</f>
        <v/>
      </c>
      <c r="AD1627" s="94">
        <f>IF($A1627="",0,$P1627*AG1627)</f>
        <v/>
      </c>
      <c r="AE1627" s="64">
        <f>IF($A1627="","",IFERROR(INDEX(계정매핑!$E$5:$E$504,MATCH($F1627&amp;"",계정매핑!$A$5:$A$504,0))&amp;"","공통비"))</f>
        <v/>
      </c>
      <c r="AF1627" s="64">
        <f>IF($A1627="","",IF(AE1627="직접",IFERROR(INDEX(계정매핑!$F$5:$F$504,MATCH($F1627&amp;"",계정매핑!$A$5:$A$504,0))&amp;"","비귀속"),""))</f>
        <v/>
      </c>
      <c r="AG1627" s="96">
        <f>IF($A1627="",0,IF(AND(AE1627&lt;&gt;"직접",IFERROR(INDEX(계정매핑!$G$5:$G$504,MATCH($F1627&amp;"",계정매핑!$A$5:$A$504,0))&amp;"","")="유지비",COUNTIF(계정대체기준!$A$6:$A$15,$N1627)&gt;0),IFERROR(INDEX(계정대체기준!$E$6:$E$15,MATCH(VALUE($A1627&amp;""),계정대체기준!$D$6:$D$15,0)),0),0))</f>
        <v/>
      </c>
      <c r="AH1627" s="64">
        <f>IF($A1627="","",IF(AD1627=0,"",IF(OR(COUNTIF(계정대체기준!$A$77:$A$86,$N1627)&gt;0,ISNUMBER(MATCH($X1627,계정대체기준!$D$77:$D$86,0)),ISNUMBER(MATCH($F1627,계정대체기준!$D$77:$D$86,0))),"Y","N")))</f>
        <v/>
      </c>
    </row>
    <row r="1628">
      <c r="A1628" s="92" t="n">
        <v>2025</v>
      </c>
      <c r="B1628" s="92" t="n">
        <v>8</v>
      </c>
      <c r="C1628" s="92" t="inlineStr">
        <is>
          <t>5100001624</t>
        </is>
      </c>
      <c r="D1628" s="95" t="n">
        <v>45876</v>
      </c>
      <c r="E1628" s="92" t="inlineStr">
        <is>
          <t>KR</t>
        </is>
      </c>
      <c r="F1628" s="92" t="n">
        <v>62101000</v>
      </c>
      <c r="G1628" s="92" t="n">
        <v>1101</v>
      </c>
      <c r="H1628" s="93" t="n">
        <v>435000</v>
      </c>
      <c r="I1628" s="92" t="inlineStr">
        <is>
          <t>8월 국내출장 - L여행사</t>
        </is>
      </c>
      <c r="J1628" s="92" t="inlineStr">
        <is>
          <t>V10018</t>
        </is>
      </c>
      <c r="K1628" s="92" t="inlineStr">
        <is>
          <t>L여행사</t>
        </is>
      </c>
      <c r="M1628" s="9">
        <f>IF($A1628="","",VALUE($A1628&amp;"")*12+VALUE($B1628&amp;""))</f>
        <v/>
      </c>
      <c r="N1628" s="64">
        <f>IF($A1628="","",IFERROR(INDEX(부서매핑!$C$5:$C$504,MATCH($G1628&amp;"",부서매핑!$A$5:$A$504,0)),"미매핑"))</f>
        <v/>
      </c>
      <c r="O1628" s="9">
        <f>IF($A1628="","",N1628&amp;"|"&amp;$F1628)</f>
        <v/>
      </c>
      <c r="P1628" s="94">
        <f>IF($A1628="",0,$H1628*설정!$C$23)</f>
        <v/>
      </c>
      <c r="Q1628" s="64">
        <f>IF($A1628="","",IF(O1628&lt;&gt;원인분석!$C$9,"",IF(AND(M1628&gt;=원인분석!$C$10,M1628&lt;=원인분석!$C$11),"당기",IF(AND(M1628&gt;=원인분석!$C$12,M1628&lt;=원인분석!$C$13),"비교",""))))</f>
        <v/>
      </c>
      <c r="R1628" s="9">
        <f>IF(Q1628="","",$K1628&amp;"")</f>
        <v/>
      </c>
      <c r="S1628" s="9">
        <f>IF(Q1628="","",IF(MATCH(R1628,$R$5:$R$100000,0)=ROW()-4,ROW(),""))</f>
        <v/>
      </c>
      <c r="T1628" s="9">
        <f>IF(Q1628="당기",ABS(P1628)+ROW()/1000000000,"")</f>
        <v/>
      </c>
      <c r="U1628" s="9">
        <f>IF(Q1628="비교",ABS(P1628)+ROW()/1000000000,"")</f>
        <v/>
      </c>
      <c r="V1628" s="64">
        <f>IF($A1628="","",IF(COUNTIF(변동분석!$E$7:$E$506,O1628)&gt;0,"Y","N"))</f>
        <v/>
      </c>
      <c r="W1628" s="64">
        <f>IF($A1628="","",IFERROR(INDEX(계정매핑!$D$5:$D$504,MATCH($F1628&amp;"",계정매핑!$A$5:$A$504,0)),"미매핑"))</f>
        <v/>
      </c>
      <c r="X1628" s="9">
        <f>IF($A1628="","",$F1628&amp;"")</f>
        <v/>
      </c>
      <c r="Y1628" s="94">
        <f>IF($A1628="",0,IF(AE1628="직접",IF(AF1628="비귀속",$P1628,0),$P1628*(1-AG1628)*IFERROR(INDEX(계정대체기준!$F$20:$F$49,MATCH($N1628,계정대체기준!$A$20:$A$49,0)),1)))</f>
        <v/>
      </c>
      <c r="Z1628" s="94">
        <f>IF($A1628="",0,IF(AE1628="직접",IF(AF1628="신계약비",$P1628,0),$P1628*(1-AG1628)*IFERROR(INDEX(계정대체기준!$C$20:$C$49,MATCH($N1628,계정대체기준!$A$20:$A$49,0)),0)))</f>
        <v/>
      </c>
      <c r="AA1628" s="94">
        <f>IF($A1628="",0,IF(AE1628="직접",IF(OR(AF1628="유지비",AF1628="손해조사비"),$P1628,0),$P1628*(1-AG1628)*IFERROR(INDEX(계정대체기준!$D$20:$D$49,MATCH($N1628,계정대체기준!$A$20:$A$49,0)),0)))</f>
        <v/>
      </c>
      <c r="AB1628" s="94">
        <f>IF($A1628="",0,IF(AE1628="직접",IF(AF1628="수금비",$P1628,0),$P1628*(1-AG1628)*IFERROR(INDEX(계정대체기준!$E$20:$E$49,MATCH($N1628,계정대체기준!$A$20:$A$49,0)),0)))</f>
        <v/>
      </c>
      <c r="AC1628" s="9">
        <f>IF(AND($A1628&lt;&gt;"",M1628=설정!$C$20,Z1628&gt;0),Z1628+ROW()/1000000000,"")</f>
        <v/>
      </c>
      <c r="AD1628" s="94">
        <f>IF($A1628="",0,$P1628*AG1628)</f>
        <v/>
      </c>
      <c r="AE1628" s="64">
        <f>IF($A1628="","",IFERROR(INDEX(계정매핑!$E$5:$E$504,MATCH($F1628&amp;"",계정매핑!$A$5:$A$504,0))&amp;"","공통비"))</f>
        <v/>
      </c>
      <c r="AF1628" s="64">
        <f>IF($A1628="","",IF(AE1628="직접",IFERROR(INDEX(계정매핑!$F$5:$F$504,MATCH($F1628&amp;"",계정매핑!$A$5:$A$504,0))&amp;"","비귀속"),""))</f>
        <v/>
      </c>
      <c r="AG1628" s="96">
        <f>IF($A1628="",0,IF(AND(AE1628&lt;&gt;"직접",IFERROR(INDEX(계정매핑!$G$5:$G$504,MATCH($F1628&amp;"",계정매핑!$A$5:$A$504,0))&amp;"","")="유지비",COUNTIF(계정대체기준!$A$6:$A$15,$N1628)&gt;0),IFERROR(INDEX(계정대체기준!$E$6:$E$15,MATCH(VALUE($A1628&amp;""),계정대체기준!$D$6:$D$15,0)),0),0))</f>
        <v/>
      </c>
      <c r="AH1628" s="64">
        <f>IF($A1628="","",IF(AD1628=0,"",IF(OR(COUNTIF(계정대체기준!$A$77:$A$86,$N1628)&gt;0,ISNUMBER(MATCH($X1628,계정대체기준!$D$77:$D$86,0)),ISNUMBER(MATCH($F1628,계정대체기준!$D$77:$D$86,0))),"Y","N")))</f>
        <v/>
      </c>
    </row>
    <row r="1629">
      <c r="A1629" s="92" t="n">
        <v>2025</v>
      </c>
      <c r="B1629" s="92" t="n">
        <v>8</v>
      </c>
      <c r="C1629" s="92" t="inlineStr">
        <is>
          <t>5100001625</t>
        </is>
      </c>
      <c r="D1629" s="95" t="n">
        <v>45876</v>
      </c>
      <c r="E1629" s="92" t="inlineStr">
        <is>
          <t>KR</t>
        </is>
      </c>
      <c r="F1629" s="92" t="n">
        <v>62101000</v>
      </c>
      <c r="G1629" s="92" t="n">
        <v>1951</v>
      </c>
      <c r="H1629" s="93" t="n">
        <v>363000</v>
      </c>
      <c r="I1629" s="92" t="inlineStr">
        <is>
          <t>8월 국내출장 - M항공</t>
        </is>
      </c>
      <c r="J1629" s="92" t="inlineStr">
        <is>
          <t>V10001</t>
        </is>
      </c>
      <c r="K1629" s="92" t="inlineStr">
        <is>
          <t>M항공</t>
        </is>
      </c>
      <c r="M1629" s="9">
        <f>IF($A1629="","",VALUE($A1629&amp;"")*12+VALUE($B1629&amp;""))</f>
        <v/>
      </c>
      <c r="N1629" s="64">
        <f>IF($A1629="","",IFERROR(INDEX(부서매핑!$C$5:$C$504,MATCH($G1629&amp;"",부서매핑!$A$5:$A$504,0)),"미매핑"))</f>
        <v/>
      </c>
      <c r="O1629" s="9">
        <f>IF($A1629="","",N1629&amp;"|"&amp;$F1629)</f>
        <v/>
      </c>
      <c r="P1629" s="94">
        <f>IF($A1629="",0,$H1629*설정!$C$23)</f>
        <v/>
      </c>
      <c r="Q1629" s="64">
        <f>IF($A1629="","",IF(O1629&lt;&gt;원인분석!$C$9,"",IF(AND(M1629&gt;=원인분석!$C$10,M1629&lt;=원인분석!$C$11),"당기",IF(AND(M1629&gt;=원인분석!$C$12,M1629&lt;=원인분석!$C$13),"비교",""))))</f>
        <v/>
      </c>
      <c r="R1629" s="9">
        <f>IF(Q1629="","",$K1629&amp;"")</f>
        <v/>
      </c>
      <c r="S1629" s="9">
        <f>IF(Q1629="","",IF(MATCH(R1629,$R$5:$R$100000,0)=ROW()-4,ROW(),""))</f>
        <v/>
      </c>
      <c r="T1629" s="9">
        <f>IF(Q1629="당기",ABS(P1629)+ROW()/1000000000,"")</f>
        <v/>
      </c>
      <c r="U1629" s="9">
        <f>IF(Q1629="비교",ABS(P1629)+ROW()/1000000000,"")</f>
        <v/>
      </c>
      <c r="V1629" s="64">
        <f>IF($A1629="","",IF(COUNTIF(변동분석!$E$7:$E$506,O1629)&gt;0,"Y","N"))</f>
        <v/>
      </c>
      <c r="W1629" s="64">
        <f>IF($A1629="","",IFERROR(INDEX(계정매핑!$D$5:$D$504,MATCH($F1629&amp;"",계정매핑!$A$5:$A$504,0)),"미매핑"))</f>
        <v/>
      </c>
      <c r="X1629" s="9">
        <f>IF($A1629="","",$F1629&amp;"")</f>
        <v/>
      </c>
      <c r="Y1629" s="94">
        <f>IF($A1629="",0,IF(AE1629="직접",IF(AF1629="비귀속",$P1629,0),$P1629*(1-AG1629)*IFERROR(INDEX(계정대체기준!$F$20:$F$49,MATCH($N1629,계정대체기준!$A$20:$A$49,0)),1)))</f>
        <v/>
      </c>
      <c r="Z1629" s="94">
        <f>IF($A1629="",0,IF(AE1629="직접",IF(AF1629="신계약비",$P1629,0),$P1629*(1-AG1629)*IFERROR(INDEX(계정대체기준!$C$20:$C$49,MATCH($N1629,계정대체기준!$A$20:$A$49,0)),0)))</f>
        <v/>
      </c>
      <c r="AA1629" s="94">
        <f>IF($A1629="",0,IF(AE1629="직접",IF(OR(AF1629="유지비",AF1629="손해조사비"),$P1629,0),$P1629*(1-AG1629)*IFERROR(INDEX(계정대체기준!$D$20:$D$49,MATCH($N1629,계정대체기준!$A$20:$A$49,0)),0)))</f>
        <v/>
      </c>
      <c r="AB1629" s="94">
        <f>IF($A1629="",0,IF(AE1629="직접",IF(AF1629="수금비",$P1629,0),$P1629*(1-AG1629)*IFERROR(INDEX(계정대체기준!$E$20:$E$49,MATCH($N1629,계정대체기준!$A$20:$A$49,0)),0)))</f>
        <v/>
      </c>
      <c r="AC1629" s="9">
        <f>IF(AND($A1629&lt;&gt;"",M1629=설정!$C$20,Z1629&gt;0),Z1629+ROW()/1000000000,"")</f>
        <v/>
      </c>
      <c r="AD1629" s="94">
        <f>IF($A1629="",0,$P1629*AG1629)</f>
        <v/>
      </c>
      <c r="AE1629" s="64">
        <f>IF($A1629="","",IFERROR(INDEX(계정매핑!$E$5:$E$504,MATCH($F1629&amp;"",계정매핑!$A$5:$A$504,0))&amp;"","공통비"))</f>
        <v/>
      </c>
      <c r="AF1629" s="64">
        <f>IF($A1629="","",IF(AE1629="직접",IFERROR(INDEX(계정매핑!$F$5:$F$504,MATCH($F1629&amp;"",계정매핑!$A$5:$A$504,0))&amp;"","비귀속"),""))</f>
        <v/>
      </c>
      <c r="AG1629" s="96">
        <f>IF($A1629="",0,IF(AND(AE1629&lt;&gt;"직접",IFERROR(INDEX(계정매핑!$G$5:$G$504,MATCH($F1629&amp;"",계정매핑!$A$5:$A$504,0))&amp;"","")="유지비",COUNTIF(계정대체기준!$A$6:$A$15,$N1629)&gt;0),IFERROR(INDEX(계정대체기준!$E$6:$E$15,MATCH(VALUE($A1629&amp;""),계정대체기준!$D$6:$D$15,0)),0),0))</f>
        <v/>
      </c>
      <c r="AH1629" s="64">
        <f>IF($A1629="","",IF(AD1629=0,"",IF(OR(COUNTIF(계정대체기준!$A$77:$A$86,$N1629)&gt;0,ISNUMBER(MATCH($X1629,계정대체기준!$D$77:$D$86,0)),ISNUMBER(MATCH($F1629,계정대체기준!$D$77:$D$86,0))),"Y","N")))</f>
        <v/>
      </c>
    </row>
    <row r="1630">
      <c r="A1630" s="92" t="n">
        <v>2025</v>
      </c>
      <c r="B1630" s="92" t="n">
        <v>8</v>
      </c>
      <c r="C1630" s="92" t="inlineStr">
        <is>
          <t>5100001626</t>
        </is>
      </c>
      <c r="D1630" s="95" t="n">
        <v>45876</v>
      </c>
      <c r="E1630" s="92" t="inlineStr">
        <is>
          <t>KR</t>
        </is>
      </c>
      <c r="F1630" s="92" t="n">
        <v>62201000</v>
      </c>
      <c r="G1630" s="92" t="n">
        <v>1201</v>
      </c>
      <c r="H1630" s="93" t="n">
        <v>140000</v>
      </c>
      <c r="I1630" s="92" t="inlineStr">
        <is>
          <t>8월 통신요금 - O텔레콤</t>
        </is>
      </c>
      <c r="J1630" s="92" t="inlineStr">
        <is>
          <t>V10002</t>
        </is>
      </c>
      <c r="K1630" s="92" t="inlineStr">
        <is>
          <t>O텔레콤</t>
        </is>
      </c>
      <c r="M1630" s="9">
        <f>IF($A1630="","",VALUE($A1630&amp;"")*12+VALUE($B1630&amp;""))</f>
        <v/>
      </c>
      <c r="N1630" s="64">
        <f>IF($A1630="","",IFERROR(INDEX(부서매핑!$C$5:$C$504,MATCH($G1630&amp;"",부서매핑!$A$5:$A$504,0)),"미매핑"))</f>
        <v/>
      </c>
      <c r="O1630" s="9">
        <f>IF($A1630="","",N1630&amp;"|"&amp;$F1630)</f>
        <v/>
      </c>
      <c r="P1630" s="94">
        <f>IF($A1630="",0,$H1630*설정!$C$23)</f>
        <v/>
      </c>
      <c r="Q1630" s="64">
        <f>IF($A1630="","",IF(O1630&lt;&gt;원인분석!$C$9,"",IF(AND(M1630&gt;=원인분석!$C$10,M1630&lt;=원인분석!$C$11),"당기",IF(AND(M1630&gt;=원인분석!$C$12,M1630&lt;=원인분석!$C$13),"비교",""))))</f>
        <v/>
      </c>
      <c r="R1630" s="9">
        <f>IF(Q1630="","",$K1630&amp;"")</f>
        <v/>
      </c>
      <c r="S1630" s="9">
        <f>IF(Q1630="","",IF(MATCH(R1630,$R$5:$R$100000,0)=ROW()-4,ROW(),""))</f>
        <v/>
      </c>
      <c r="T1630" s="9">
        <f>IF(Q1630="당기",ABS(P1630)+ROW()/1000000000,"")</f>
        <v/>
      </c>
      <c r="U1630" s="9">
        <f>IF(Q1630="비교",ABS(P1630)+ROW()/1000000000,"")</f>
        <v/>
      </c>
      <c r="V1630" s="64">
        <f>IF($A1630="","",IF(COUNTIF(변동분석!$E$7:$E$506,O1630)&gt;0,"Y","N"))</f>
        <v/>
      </c>
      <c r="W1630" s="64">
        <f>IF($A1630="","",IFERROR(INDEX(계정매핑!$D$5:$D$504,MATCH($F1630&amp;"",계정매핑!$A$5:$A$504,0)),"미매핑"))</f>
        <v/>
      </c>
      <c r="X1630" s="9">
        <f>IF($A1630="","",$F1630&amp;"")</f>
        <v/>
      </c>
      <c r="Y1630" s="94">
        <f>IF($A1630="",0,IF(AE1630="직접",IF(AF1630="비귀속",$P1630,0),$P1630*(1-AG1630)*IFERROR(INDEX(계정대체기준!$F$20:$F$49,MATCH($N1630,계정대체기준!$A$20:$A$49,0)),1)))</f>
        <v/>
      </c>
      <c r="Z1630" s="94">
        <f>IF($A1630="",0,IF(AE1630="직접",IF(AF1630="신계약비",$P1630,0),$P1630*(1-AG1630)*IFERROR(INDEX(계정대체기준!$C$20:$C$49,MATCH($N1630,계정대체기준!$A$20:$A$49,0)),0)))</f>
        <v/>
      </c>
      <c r="AA1630" s="94">
        <f>IF($A1630="",0,IF(AE1630="직접",IF(OR(AF1630="유지비",AF1630="손해조사비"),$P1630,0),$P1630*(1-AG1630)*IFERROR(INDEX(계정대체기준!$D$20:$D$49,MATCH($N1630,계정대체기준!$A$20:$A$49,0)),0)))</f>
        <v/>
      </c>
      <c r="AB1630" s="94">
        <f>IF($A1630="",0,IF(AE1630="직접",IF(AF1630="수금비",$P1630,0),$P1630*(1-AG1630)*IFERROR(INDEX(계정대체기준!$E$20:$E$49,MATCH($N1630,계정대체기준!$A$20:$A$49,0)),0)))</f>
        <v/>
      </c>
      <c r="AC1630" s="9">
        <f>IF(AND($A1630&lt;&gt;"",M1630=설정!$C$20,Z1630&gt;0),Z1630+ROW()/1000000000,"")</f>
        <v/>
      </c>
      <c r="AD1630" s="94">
        <f>IF($A1630="",0,$P1630*AG1630)</f>
        <v/>
      </c>
      <c r="AE1630" s="64">
        <f>IF($A1630="","",IFERROR(INDEX(계정매핑!$E$5:$E$504,MATCH($F1630&amp;"",계정매핑!$A$5:$A$504,0))&amp;"","공통비"))</f>
        <v/>
      </c>
      <c r="AF1630" s="64">
        <f>IF($A1630="","",IF(AE1630="직접",IFERROR(INDEX(계정매핑!$F$5:$F$504,MATCH($F1630&amp;"",계정매핑!$A$5:$A$504,0))&amp;"","비귀속"),""))</f>
        <v/>
      </c>
      <c r="AG1630" s="96">
        <f>IF($A1630="",0,IF(AND(AE1630&lt;&gt;"직접",IFERROR(INDEX(계정매핑!$G$5:$G$504,MATCH($F1630&amp;"",계정매핑!$A$5:$A$504,0))&amp;"","")="유지비",COUNTIF(계정대체기준!$A$6:$A$15,$N1630)&gt;0),IFERROR(INDEX(계정대체기준!$E$6:$E$15,MATCH(VALUE($A1630&amp;""),계정대체기준!$D$6:$D$15,0)),0),0))</f>
        <v/>
      </c>
      <c r="AH1630" s="64">
        <f>IF($A1630="","",IF(AD1630=0,"",IF(OR(COUNTIF(계정대체기준!$A$77:$A$86,$N1630)&gt;0,ISNUMBER(MATCH($X1630,계정대체기준!$D$77:$D$86,0)),ISNUMBER(MATCH($F1630,계정대체기준!$D$77:$D$86,0))),"Y","N")))</f>
        <v/>
      </c>
    </row>
    <row r="1631">
      <c r="A1631" s="92" t="n">
        <v>2025</v>
      </c>
      <c r="B1631" s="92" t="n">
        <v>8</v>
      </c>
      <c r="C1631" s="92" t="inlineStr">
        <is>
          <t>5100001627</t>
        </is>
      </c>
      <c r="D1631" s="95" t="n">
        <v>45876</v>
      </c>
      <c r="E1631" s="92" t="inlineStr">
        <is>
          <t>KR</t>
        </is>
      </c>
      <c r="F1631" s="92" t="n">
        <v>62201000</v>
      </c>
      <c r="G1631" s="92" t="n">
        <v>1301</v>
      </c>
      <c r="H1631" s="93" t="n">
        <v>304000</v>
      </c>
      <c r="I1631" s="92" t="inlineStr">
        <is>
          <t>8월 통신요금 - P통신</t>
        </is>
      </c>
      <c r="J1631" s="92" t="inlineStr">
        <is>
          <t>V10014</t>
        </is>
      </c>
      <c r="K1631" s="92" t="inlineStr">
        <is>
          <t>P통신</t>
        </is>
      </c>
      <c r="M1631" s="9">
        <f>IF($A1631="","",VALUE($A1631&amp;"")*12+VALUE($B1631&amp;""))</f>
        <v/>
      </c>
      <c r="N1631" s="64">
        <f>IF($A1631="","",IFERROR(INDEX(부서매핑!$C$5:$C$504,MATCH($G1631&amp;"",부서매핑!$A$5:$A$504,0)),"미매핑"))</f>
        <v/>
      </c>
      <c r="O1631" s="9">
        <f>IF($A1631="","",N1631&amp;"|"&amp;$F1631)</f>
        <v/>
      </c>
      <c r="P1631" s="94">
        <f>IF($A1631="",0,$H1631*설정!$C$23)</f>
        <v/>
      </c>
      <c r="Q1631" s="64">
        <f>IF($A1631="","",IF(O1631&lt;&gt;원인분석!$C$9,"",IF(AND(M1631&gt;=원인분석!$C$10,M1631&lt;=원인분석!$C$11),"당기",IF(AND(M1631&gt;=원인분석!$C$12,M1631&lt;=원인분석!$C$13),"비교",""))))</f>
        <v/>
      </c>
      <c r="R1631" s="9">
        <f>IF(Q1631="","",$K1631&amp;"")</f>
        <v/>
      </c>
      <c r="S1631" s="9">
        <f>IF(Q1631="","",IF(MATCH(R1631,$R$5:$R$100000,0)=ROW()-4,ROW(),""))</f>
        <v/>
      </c>
      <c r="T1631" s="9">
        <f>IF(Q1631="당기",ABS(P1631)+ROW()/1000000000,"")</f>
        <v/>
      </c>
      <c r="U1631" s="9">
        <f>IF(Q1631="비교",ABS(P1631)+ROW()/1000000000,"")</f>
        <v/>
      </c>
      <c r="V1631" s="64">
        <f>IF($A1631="","",IF(COUNTIF(변동분석!$E$7:$E$506,O1631)&gt;0,"Y","N"))</f>
        <v/>
      </c>
      <c r="W1631" s="64">
        <f>IF($A1631="","",IFERROR(INDEX(계정매핑!$D$5:$D$504,MATCH($F1631&amp;"",계정매핑!$A$5:$A$504,0)),"미매핑"))</f>
        <v/>
      </c>
      <c r="X1631" s="9">
        <f>IF($A1631="","",$F1631&amp;"")</f>
        <v/>
      </c>
      <c r="Y1631" s="94">
        <f>IF($A1631="",0,IF(AE1631="직접",IF(AF1631="비귀속",$P1631,0),$P1631*(1-AG1631)*IFERROR(INDEX(계정대체기준!$F$20:$F$49,MATCH($N1631,계정대체기준!$A$20:$A$49,0)),1)))</f>
        <v/>
      </c>
      <c r="Z1631" s="94">
        <f>IF($A1631="",0,IF(AE1631="직접",IF(AF1631="신계약비",$P1631,0),$P1631*(1-AG1631)*IFERROR(INDEX(계정대체기준!$C$20:$C$49,MATCH($N1631,계정대체기준!$A$20:$A$49,0)),0)))</f>
        <v/>
      </c>
      <c r="AA1631" s="94">
        <f>IF($A1631="",0,IF(AE1631="직접",IF(OR(AF1631="유지비",AF1631="손해조사비"),$P1631,0),$P1631*(1-AG1631)*IFERROR(INDEX(계정대체기준!$D$20:$D$49,MATCH($N1631,계정대체기준!$A$20:$A$49,0)),0)))</f>
        <v/>
      </c>
      <c r="AB1631" s="94">
        <f>IF($A1631="",0,IF(AE1631="직접",IF(AF1631="수금비",$P1631,0),$P1631*(1-AG1631)*IFERROR(INDEX(계정대체기준!$E$20:$E$49,MATCH($N1631,계정대체기준!$A$20:$A$49,0)),0)))</f>
        <v/>
      </c>
      <c r="AC1631" s="9">
        <f>IF(AND($A1631&lt;&gt;"",M1631=설정!$C$20,Z1631&gt;0),Z1631+ROW()/1000000000,"")</f>
        <v/>
      </c>
      <c r="AD1631" s="94">
        <f>IF($A1631="",0,$P1631*AG1631)</f>
        <v/>
      </c>
      <c r="AE1631" s="64">
        <f>IF($A1631="","",IFERROR(INDEX(계정매핑!$E$5:$E$504,MATCH($F1631&amp;"",계정매핑!$A$5:$A$504,0))&amp;"","공통비"))</f>
        <v/>
      </c>
      <c r="AF1631" s="64">
        <f>IF($A1631="","",IF(AE1631="직접",IFERROR(INDEX(계정매핑!$F$5:$F$504,MATCH($F1631&amp;"",계정매핑!$A$5:$A$504,0))&amp;"","비귀속"),""))</f>
        <v/>
      </c>
      <c r="AG1631" s="96">
        <f>IF($A1631="",0,IF(AND(AE1631&lt;&gt;"직접",IFERROR(INDEX(계정매핑!$G$5:$G$504,MATCH($F1631&amp;"",계정매핑!$A$5:$A$504,0))&amp;"","")="유지비",COUNTIF(계정대체기준!$A$6:$A$15,$N1631)&gt;0),IFERROR(INDEX(계정대체기준!$E$6:$E$15,MATCH(VALUE($A1631&amp;""),계정대체기준!$D$6:$D$15,0)),0),0))</f>
        <v/>
      </c>
      <c r="AH1631" s="64">
        <f>IF($A1631="","",IF(AD1631=0,"",IF(OR(COUNTIF(계정대체기준!$A$77:$A$86,$N1631)&gt;0,ISNUMBER(MATCH($X1631,계정대체기준!$D$77:$D$86,0)),ISNUMBER(MATCH($F1631,계정대체기준!$D$77:$D$86,0))),"Y","N")))</f>
        <v/>
      </c>
    </row>
    <row r="1632">
      <c r="A1632" s="92" t="n">
        <v>2025</v>
      </c>
      <c r="B1632" s="92" t="n">
        <v>8</v>
      </c>
      <c r="C1632" s="92" t="inlineStr">
        <is>
          <t>5100001628</t>
        </is>
      </c>
      <c r="D1632" s="95" t="n">
        <v>45876</v>
      </c>
      <c r="E1632" s="92" t="inlineStr">
        <is>
          <t>KR</t>
        </is>
      </c>
      <c r="F1632" s="92" t="n">
        <v>62201000</v>
      </c>
      <c r="G1632" s="92" t="n">
        <v>1501</v>
      </c>
      <c r="H1632" s="93" t="n">
        <v>234000</v>
      </c>
      <c r="I1632" s="92" t="inlineStr">
        <is>
          <t>8월 통신요금 - O텔레콤</t>
        </is>
      </c>
      <c r="J1632" s="92" t="inlineStr">
        <is>
          <t>V10002</t>
        </is>
      </c>
      <c r="K1632" s="92" t="inlineStr">
        <is>
          <t>O텔레콤</t>
        </is>
      </c>
      <c r="M1632" s="9">
        <f>IF($A1632="","",VALUE($A1632&amp;"")*12+VALUE($B1632&amp;""))</f>
        <v/>
      </c>
      <c r="N1632" s="64">
        <f>IF($A1632="","",IFERROR(INDEX(부서매핑!$C$5:$C$504,MATCH($G1632&amp;"",부서매핑!$A$5:$A$504,0)),"미매핑"))</f>
        <v/>
      </c>
      <c r="O1632" s="9">
        <f>IF($A1632="","",N1632&amp;"|"&amp;$F1632)</f>
        <v/>
      </c>
      <c r="P1632" s="94">
        <f>IF($A1632="",0,$H1632*설정!$C$23)</f>
        <v/>
      </c>
      <c r="Q1632" s="64">
        <f>IF($A1632="","",IF(O1632&lt;&gt;원인분석!$C$9,"",IF(AND(M1632&gt;=원인분석!$C$10,M1632&lt;=원인분석!$C$11),"당기",IF(AND(M1632&gt;=원인분석!$C$12,M1632&lt;=원인분석!$C$13),"비교",""))))</f>
        <v/>
      </c>
      <c r="R1632" s="9">
        <f>IF(Q1632="","",$K1632&amp;"")</f>
        <v/>
      </c>
      <c r="S1632" s="9">
        <f>IF(Q1632="","",IF(MATCH(R1632,$R$5:$R$100000,0)=ROW()-4,ROW(),""))</f>
        <v/>
      </c>
      <c r="T1632" s="9">
        <f>IF(Q1632="당기",ABS(P1632)+ROW()/1000000000,"")</f>
        <v/>
      </c>
      <c r="U1632" s="9">
        <f>IF(Q1632="비교",ABS(P1632)+ROW()/1000000000,"")</f>
        <v/>
      </c>
      <c r="V1632" s="64">
        <f>IF($A1632="","",IF(COUNTIF(변동분석!$E$7:$E$506,O1632)&gt;0,"Y","N"))</f>
        <v/>
      </c>
      <c r="W1632" s="64">
        <f>IF($A1632="","",IFERROR(INDEX(계정매핑!$D$5:$D$504,MATCH($F1632&amp;"",계정매핑!$A$5:$A$504,0)),"미매핑"))</f>
        <v/>
      </c>
      <c r="X1632" s="9">
        <f>IF($A1632="","",$F1632&amp;"")</f>
        <v/>
      </c>
      <c r="Y1632" s="94">
        <f>IF($A1632="",0,IF(AE1632="직접",IF(AF1632="비귀속",$P1632,0),$P1632*(1-AG1632)*IFERROR(INDEX(계정대체기준!$F$20:$F$49,MATCH($N1632,계정대체기준!$A$20:$A$49,0)),1)))</f>
        <v/>
      </c>
      <c r="Z1632" s="94">
        <f>IF($A1632="",0,IF(AE1632="직접",IF(AF1632="신계약비",$P1632,0),$P1632*(1-AG1632)*IFERROR(INDEX(계정대체기준!$C$20:$C$49,MATCH($N1632,계정대체기준!$A$20:$A$49,0)),0)))</f>
        <v/>
      </c>
      <c r="AA1632" s="94">
        <f>IF($A1632="",0,IF(AE1632="직접",IF(OR(AF1632="유지비",AF1632="손해조사비"),$P1632,0),$P1632*(1-AG1632)*IFERROR(INDEX(계정대체기준!$D$20:$D$49,MATCH($N1632,계정대체기준!$A$20:$A$49,0)),0)))</f>
        <v/>
      </c>
      <c r="AB1632" s="94">
        <f>IF($A1632="",0,IF(AE1632="직접",IF(AF1632="수금비",$P1632,0),$P1632*(1-AG1632)*IFERROR(INDEX(계정대체기준!$E$20:$E$49,MATCH($N1632,계정대체기준!$A$20:$A$49,0)),0)))</f>
        <v/>
      </c>
      <c r="AC1632" s="9">
        <f>IF(AND($A1632&lt;&gt;"",M1632=설정!$C$20,Z1632&gt;0),Z1632+ROW()/1000000000,"")</f>
        <v/>
      </c>
      <c r="AD1632" s="94">
        <f>IF($A1632="",0,$P1632*AG1632)</f>
        <v/>
      </c>
      <c r="AE1632" s="64">
        <f>IF($A1632="","",IFERROR(INDEX(계정매핑!$E$5:$E$504,MATCH($F1632&amp;"",계정매핑!$A$5:$A$504,0))&amp;"","공통비"))</f>
        <v/>
      </c>
      <c r="AF1632" s="64">
        <f>IF($A1632="","",IF(AE1632="직접",IFERROR(INDEX(계정매핑!$F$5:$F$504,MATCH($F1632&amp;"",계정매핑!$A$5:$A$504,0))&amp;"","비귀속"),""))</f>
        <v/>
      </c>
      <c r="AG1632" s="96">
        <f>IF($A1632="",0,IF(AND(AE1632&lt;&gt;"직접",IFERROR(INDEX(계정매핑!$G$5:$G$504,MATCH($F1632&amp;"",계정매핑!$A$5:$A$504,0))&amp;"","")="유지비",COUNTIF(계정대체기준!$A$6:$A$15,$N1632)&gt;0),IFERROR(INDEX(계정대체기준!$E$6:$E$15,MATCH(VALUE($A1632&amp;""),계정대체기준!$D$6:$D$15,0)),0),0))</f>
        <v/>
      </c>
      <c r="AH1632" s="64">
        <f>IF($A1632="","",IF(AD1632=0,"",IF(OR(COUNTIF(계정대체기준!$A$77:$A$86,$N1632)&gt;0,ISNUMBER(MATCH($X1632,계정대체기준!$D$77:$D$86,0)),ISNUMBER(MATCH($F1632,계정대체기준!$D$77:$D$86,0))),"Y","N")))</f>
        <v/>
      </c>
    </row>
    <row r="1633">
      <c r="A1633" s="92" t="n">
        <v>2025</v>
      </c>
      <c r="B1633" s="92" t="n">
        <v>8</v>
      </c>
      <c r="C1633" s="92" t="inlineStr">
        <is>
          <t>5100001629</t>
        </is>
      </c>
      <c r="D1633" s="95" t="n">
        <v>45876</v>
      </c>
      <c r="E1633" s="92" t="inlineStr">
        <is>
          <t>KR</t>
        </is>
      </c>
      <c r="F1633" s="92" t="n">
        <v>62301000</v>
      </c>
      <c r="G1633" s="92" t="n">
        <v>1101</v>
      </c>
      <c r="H1633" s="93" t="n">
        <v>136000</v>
      </c>
      <c r="I1633" s="92" t="inlineStr">
        <is>
          <t>8월 소모품 구입 - Q오피스</t>
        </is>
      </c>
      <c r="J1633" s="92" t="inlineStr">
        <is>
          <t>V10003</t>
        </is>
      </c>
      <c r="K1633" s="92" t="inlineStr">
        <is>
          <t>Q오피스</t>
        </is>
      </c>
      <c r="M1633" s="9">
        <f>IF($A1633="","",VALUE($A1633&amp;"")*12+VALUE($B1633&amp;""))</f>
        <v/>
      </c>
      <c r="N1633" s="64">
        <f>IF($A1633="","",IFERROR(INDEX(부서매핑!$C$5:$C$504,MATCH($G1633&amp;"",부서매핑!$A$5:$A$504,0)),"미매핑"))</f>
        <v/>
      </c>
      <c r="O1633" s="9">
        <f>IF($A1633="","",N1633&amp;"|"&amp;$F1633)</f>
        <v/>
      </c>
      <c r="P1633" s="94">
        <f>IF($A1633="",0,$H1633*설정!$C$23)</f>
        <v/>
      </c>
      <c r="Q1633" s="64">
        <f>IF($A1633="","",IF(O1633&lt;&gt;원인분석!$C$9,"",IF(AND(M1633&gt;=원인분석!$C$10,M1633&lt;=원인분석!$C$11),"당기",IF(AND(M1633&gt;=원인분석!$C$12,M1633&lt;=원인분석!$C$13),"비교",""))))</f>
        <v/>
      </c>
      <c r="R1633" s="9">
        <f>IF(Q1633="","",$K1633&amp;"")</f>
        <v/>
      </c>
      <c r="S1633" s="9">
        <f>IF(Q1633="","",IF(MATCH(R1633,$R$5:$R$100000,0)=ROW()-4,ROW(),""))</f>
        <v/>
      </c>
      <c r="T1633" s="9">
        <f>IF(Q1633="당기",ABS(P1633)+ROW()/1000000000,"")</f>
        <v/>
      </c>
      <c r="U1633" s="9">
        <f>IF(Q1633="비교",ABS(P1633)+ROW()/1000000000,"")</f>
        <v/>
      </c>
      <c r="V1633" s="64">
        <f>IF($A1633="","",IF(COUNTIF(변동분석!$E$7:$E$506,O1633)&gt;0,"Y","N"))</f>
        <v/>
      </c>
      <c r="W1633" s="64">
        <f>IF($A1633="","",IFERROR(INDEX(계정매핑!$D$5:$D$504,MATCH($F1633&amp;"",계정매핑!$A$5:$A$504,0)),"미매핑"))</f>
        <v/>
      </c>
      <c r="X1633" s="9">
        <f>IF($A1633="","",$F1633&amp;"")</f>
        <v/>
      </c>
      <c r="Y1633" s="94">
        <f>IF($A1633="",0,IF(AE1633="직접",IF(AF1633="비귀속",$P1633,0),$P1633*(1-AG1633)*IFERROR(INDEX(계정대체기준!$F$20:$F$49,MATCH($N1633,계정대체기준!$A$20:$A$49,0)),1)))</f>
        <v/>
      </c>
      <c r="Z1633" s="94">
        <f>IF($A1633="",0,IF(AE1633="직접",IF(AF1633="신계약비",$P1633,0),$P1633*(1-AG1633)*IFERROR(INDEX(계정대체기준!$C$20:$C$49,MATCH($N1633,계정대체기준!$A$20:$A$49,0)),0)))</f>
        <v/>
      </c>
      <c r="AA1633" s="94">
        <f>IF($A1633="",0,IF(AE1633="직접",IF(OR(AF1633="유지비",AF1633="손해조사비"),$P1633,0),$P1633*(1-AG1633)*IFERROR(INDEX(계정대체기준!$D$20:$D$49,MATCH($N1633,계정대체기준!$A$20:$A$49,0)),0)))</f>
        <v/>
      </c>
      <c r="AB1633" s="94">
        <f>IF($A1633="",0,IF(AE1633="직접",IF(AF1633="수금비",$P1633,0),$P1633*(1-AG1633)*IFERROR(INDEX(계정대체기준!$E$20:$E$49,MATCH($N1633,계정대체기준!$A$20:$A$49,0)),0)))</f>
        <v/>
      </c>
      <c r="AC1633" s="9">
        <f>IF(AND($A1633&lt;&gt;"",M1633=설정!$C$20,Z1633&gt;0),Z1633+ROW()/1000000000,"")</f>
        <v/>
      </c>
      <c r="AD1633" s="94">
        <f>IF($A1633="",0,$P1633*AG1633)</f>
        <v/>
      </c>
      <c r="AE1633" s="64">
        <f>IF($A1633="","",IFERROR(INDEX(계정매핑!$E$5:$E$504,MATCH($F1633&amp;"",계정매핑!$A$5:$A$504,0))&amp;"","공통비"))</f>
        <v/>
      </c>
      <c r="AF1633" s="64">
        <f>IF($A1633="","",IF(AE1633="직접",IFERROR(INDEX(계정매핑!$F$5:$F$504,MATCH($F1633&amp;"",계정매핑!$A$5:$A$504,0))&amp;"","비귀속"),""))</f>
        <v/>
      </c>
      <c r="AG1633" s="96">
        <f>IF($A1633="",0,IF(AND(AE1633&lt;&gt;"직접",IFERROR(INDEX(계정매핑!$G$5:$G$504,MATCH($F1633&amp;"",계정매핑!$A$5:$A$504,0))&amp;"","")="유지비",COUNTIF(계정대체기준!$A$6:$A$15,$N1633)&gt;0),IFERROR(INDEX(계정대체기준!$E$6:$E$15,MATCH(VALUE($A1633&amp;""),계정대체기준!$D$6:$D$15,0)),0),0))</f>
        <v/>
      </c>
      <c r="AH1633" s="64">
        <f>IF($A1633="","",IF(AD1633=0,"",IF(OR(COUNTIF(계정대체기준!$A$77:$A$86,$N1633)&gt;0,ISNUMBER(MATCH($X1633,계정대체기준!$D$77:$D$86,0)),ISNUMBER(MATCH($F1633,계정대체기준!$D$77:$D$86,0))),"Y","N")))</f>
        <v/>
      </c>
    </row>
    <row r="1634">
      <c r="A1634" s="92" t="n">
        <v>2025</v>
      </c>
      <c r="B1634" s="92" t="n">
        <v>8</v>
      </c>
      <c r="C1634" s="92" t="inlineStr">
        <is>
          <t>5100001630</t>
        </is>
      </c>
      <c r="D1634" s="95" t="n">
        <v>45876</v>
      </c>
      <c r="E1634" s="92" t="inlineStr">
        <is>
          <t>KR</t>
        </is>
      </c>
      <c r="F1634" s="92" t="n">
        <v>62301000</v>
      </c>
      <c r="G1634" s="92" t="n">
        <v>1201</v>
      </c>
      <c r="H1634" s="93" t="n">
        <v>191000</v>
      </c>
      <c r="I1634" s="92" t="inlineStr">
        <is>
          <t>8월 소모품 구입 - R문구</t>
        </is>
      </c>
      <c r="J1634" s="92" t="inlineStr">
        <is>
          <t>V10022</t>
        </is>
      </c>
      <c r="K1634" s="92" t="inlineStr">
        <is>
          <t>R문구</t>
        </is>
      </c>
      <c r="M1634" s="9">
        <f>IF($A1634="","",VALUE($A1634&amp;"")*12+VALUE($B1634&amp;""))</f>
        <v/>
      </c>
      <c r="N1634" s="64">
        <f>IF($A1634="","",IFERROR(INDEX(부서매핑!$C$5:$C$504,MATCH($G1634&amp;"",부서매핑!$A$5:$A$504,0)),"미매핑"))</f>
        <v/>
      </c>
      <c r="O1634" s="9">
        <f>IF($A1634="","",N1634&amp;"|"&amp;$F1634)</f>
        <v/>
      </c>
      <c r="P1634" s="94">
        <f>IF($A1634="",0,$H1634*설정!$C$23)</f>
        <v/>
      </c>
      <c r="Q1634" s="64">
        <f>IF($A1634="","",IF(O1634&lt;&gt;원인분석!$C$9,"",IF(AND(M1634&gt;=원인분석!$C$10,M1634&lt;=원인분석!$C$11),"당기",IF(AND(M1634&gt;=원인분석!$C$12,M1634&lt;=원인분석!$C$13),"비교",""))))</f>
        <v/>
      </c>
      <c r="R1634" s="9">
        <f>IF(Q1634="","",$K1634&amp;"")</f>
        <v/>
      </c>
      <c r="S1634" s="9">
        <f>IF(Q1634="","",IF(MATCH(R1634,$R$5:$R$100000,0)=ROW()-4,ROW(),""))</f>
        <v/>
      </c>
      <c r="T1634" s="9">
        <f>IF(Q1634="당기",ABS(P1634)+ROW()/1000000000,"")</f>
        <v/>
      </c>
      <c r="U1634" s="9">
        <f>IF(Q1634="비교",ABS(P1634)+ROW()/1000000000,"")</f>
        <v/>
      </c>
      <c r="V1634" s="64">
        <f>IF($A1634="","",IF(COUNTIF(변동분석!$E$7:$E$506,O1634)&gt;0,"Y","N"))</f>
        <v/>
      </c>
      <c r="W1634" s="64">
        <f>IF($A1634="","",IFERROR(INDEX(계정매핑!$D$5:$D$504,MATCH($F1634&amp;"",계정매핑!$A$5:$A$504,0)),"미매핑"))</f>
        <v/>
      </c>
      <c r="X1634" s="9">
        <f>IF($A1634="","",$F1634&amp;"")</f>
        <v/>
      </c>
      <c r="Y1634" s="94">
        <f>IF($A1634="",0,IF(AE1634="직접",IF(AF1634="비귀속",$P1634,0),$P1634*(1-AG1634)*IFERROR(INDEX(계정대체기준!$F$20:$F$49,MATCH($N1634,계정대체기준!$A$20:$A$49,0)),1)))</f>
        <v/>
      </c>
      <c r="Z1634" s="94">
        <f>IF($A1634="",0,IF(AE1634="직접",IF(AF1634="신계약비",$P1634,0),$P1634*(1-AG1634)*IFERROR(INDEX(계정대체기준!$C$20:$C$49,MATCH($N1634,계정대체기준!$A$20:$A$49,0)),0)))</f>
        <v/>
      </c>
      <c r="AA1634" s="94">
        <f>IF($A1634="",0,IF(AE1634="직접",IF(OR(AF1634="유지비",AF1634="손해조사비"),$P1634,0),$P1634*(1-AG1634)*IFERROR(INDEX(계정대체기준!$D$20:$D$49,MATCH($N1634,계정대체기준!$A$20:$A$49,0)),0)))</f>
        <v/>
      </c>
      <c r="AB1634" s="94">
        <f>IF($A1634="",0,IF(AE1634="직접",IF(AF1634="수금비",$P1634,0),$P1634*(1-AG1634)*IFERROR(INDEX(계정대체기준!$E$20:$E$49,MATCH($N1634,계정대체기준!$A$20:$A$49,0)),0)))</f>
        <v/>
      </c>
      <c r="AC1634" s="9">
        <f>IF(AND($A1634&lt;&gt;"",M1634=설정!$C$20,Z1634&gt;0),Z1634+ROW()/1000000000,"")</f>
        <v/>
      </c>
      <c r="AD1634" s="94">
        <f>IF($A1634="",0,$P1634*AG1634)</f>
        <v/>
      </c>
      <c r="AE1634" s="64">
        <f>IF($A1634="","",IFERROR(INDEX(계정매핑!$E$5:$E$504,MATCH($F1634&amp;"",계정매핑!$A$5:$A$504,0))&amp;"","공통비"))</f>
        <v/>
      </c>
      <c r="AF1634" s="64">
        <f>IF($A1634="","",IF(AE1634="직접",IFERROR(INDEX(계정매핑!$F$5:$F$504,MATCH($F1634&amp;"",계정매핑!$A$5:$A$504,0))&amp;"","비귀속"),""))</f>
        <v/>
      </c>
      <c r="AG1634" s="96">
        <f>IF($A1634="",0,IF(AND(AE1634&lt;&gt;"직접",IFERROR(INDEX(계정매핑!$G$5:$G$504,MATCH($F1634&amp;"",계정매핑!$A$5:$A$504,0))&amp;"","")="유지비",COUNTIF(계정대체기준!$A$6:$A$15,$N1634)&gt;0),IFERROR(INDEX(계정대체기준!$E$6:$E$15,MATCH(VALUE($A1634&amp;""),계정대체기준!$D$6:$D$15,0)),0),0))</f>
        <v/>
      </c>
      <c r="AH1634" s="64">
        <f>IF($A1634="","",IF(AD1634=0,"",IF(OR(COUNTIF(계정대체기준!$A$77:$A$86,$N1634)&gt;0,ISNUMBER(MATCH($X1634,계정대체기준!$D$77:$D$86,0)),ISNUMBER(MATCH($F1634,계정대체기준!$D$77:$D$86,0))),"Y","N")))</f>
        <v/>
      </c>
    </row>
    <row r="1635">
      <c r="A1635" s="92" t="n">
        <v>2025</v>
      </c>
      <c r="B1635" s="92" t="n">
        <v>8</v>
      </c>
      <c r="C1635" s="92" t="inlineStr">
        <is>
          <t>5100001631</t>
        </is>
      </c>
      <c r="D1635" s="95" t="n">
        <v>45876</v>
      </c>
      <c r="E1635" s="92" t="inlineStr">
        <is>
          <t>KR</t>
        </is>
      </c>
      <c r="F1635" s="92" t="n">
        <v>62401000</v>
      </c>
      <c r="G1635" s="92" t="n">
        <v>1801</v>
      </c>
      <c r="H1635" s="93" t="n">
        <v>2143000</v>
      </c>
      <c r="I1635" s="92" t="inlineStr">
        <is>
          <t>8월 인쇄물 제작 - G인쇄</t>
        </is>
      </c>
      <c r="J1635" s="92" t="inlineStr">
        <is>
          <t>V10004</t>
        </is>
      </c>
      <c r="K1635" s="92" t="inlineStr">
        <is>
          <t>G인쇄</t>
        </is>
      </c>
      <c r="M1635" s="9">
        <f>IF($A1635="","",VALUE($A1635&amp;"")*12+VALUE($B1635&amp;""))</f>
        <v/>
      </c>
      <c r="N1635" s="64">
        <f>IF($A1635="","",IFERROR(INDEX(부서매핑!$C$5:$C$504,MATCH($G1635&amp;"",부서매핑!$A$5:$A$504,0)),"미매핑"))</f>
        <v/>
      </c>
      <c r="O1635" s="9">
        <f>IF($A1635="","",N1635&amp;"|"&amp;$F1635)</f>
        <v/>
      </c>
      <c r="P1635" s="94">
        <f>IF($A1635="",0,$H1635*설정!$C$23)</f>
        <v/>
      </c>
      <c r="Q1635" s="64">
        <f>IF($A1635="","",IF(O1635&lt;&gt;원인분석!$C$9,"",IF(AND(M1635&gt;=원인분석!$C$10,M1635&lt;=원인분석!$C$11),"당기",IF(AND(M1635&gt;=원인분석!$C$12,M1635&lt;=원인분석!$C$13),"비교",""))))</f>
        <v/>
      </c>
      <c r="R1635" s="9">
        <f>IF(Q1635="","",$K1635&amp;"")</f>
        <v/>
      </c>
      <c r="S1635" s="9">
        <f>IF(Q1635="","",IF(MATCH(R1635,$R$5:$R$100000,0)=ROW()-4,ROW(),""))</f>
        <v/>
      </c>
      <c r="T1635" s="9">
        <f>IF(Q1635="당기",ABS(P1635)+ROW()/1000000000,"")</f>
        <v/>
      </c>
      <c r="U1635" s="9">
        <f>IF(Q1635="비교",ABS(P1635)+ROW()/1000000000,"")</f>
        <v/>
      </c>
      <c r="V1635" s="64">
        <f>IF($A1635="","",IF(COUNTIF(변동분석!$E$7:$E$506,O1635)&gt;0,"Y","N"))</f>
        <v/>
      </c>
      <c r="W1635" s="64">
        <f>IF($A1635="","",IFERROR(INDEX(계정매핑!$D$5:$D$504,MATCH($F1635&amp;"",계정매핑!$A$5:$A$504,0)),"미매핑"))</f>
        <v/>
      </c>
      <c r="X1635" s="9">
        <f>IF($A1635="","",$F1635&amp;"")</f>
        <v/>
      </c>
      <c r="Y1635" s="94">
        <f>IF($A1635="",0,IF(AE1635="직접",IF(AF1635="비귀속",$P1635,0),$P1635*(1-AG1635)*IFERROR(INDEX(계정대체기준!$F$20:$F$49,MATCH($N1635,계정대체기준!$A$20:$A$49,0)),1)))</f>
        <v/>
      </c>
      <c r="Z1635" s="94">
        <f>IF($A1635="",0,IF(AE1635="직접",IF(AF1635="신계약비",$P1635,0),$P1635*(1-AG1635)*IFERROR(INDEX(계정대체기준!$C$20:$C$49,MATCH($N1635,계정대체기준!$A$20:$A$49,0)),0)))</f>
        <v/>
      </c>
      <c r="AA1635" s="94">
        <f>IF($A1635="",0,IF(AE1635="직접",IF(OR(AF1635="유지비",AF1635="손해조사비"),$P1635,0),$P1635*(1-AG1635)*IFERROR(INDEX(계정대체기준!$D$20:$D$49,MATCH($N1635,계정대체기준!$A$20:$A$49,0)),0)))</f>
        <v/>
      </c>
      <c r="AB1635" s="94">
        <f>IF($A1635="",0,IF(AE1635="직접",IF(AF1635="수금비",$P1635,0),$P1635*(1-AG1635)*IFERROR(INDEX(계정대체기준!$E$20:$E$49,MATCH($N1635,계정대체기준!$A$20:$A$49,0)),0)))</f>
        <v/>
      </c>
      <c r="AC1635" s="9">
        <f>IF(AND($A1635&lt;&gt;"",M1635=설정!$C$20,Z1635&gt;0),Z1635+ROW()/1000000000,"")</f>
        <v/>
      </c>
      <c r="AD1635" s="94">
        <f>IF($A1635="",0,$P1635*AG1635)</f>
        <v/>
      </c>
      <c r="AE1635" s="64">
        <f>IF($A1635="","",IFERROR(INDEX(계정매핑!$E$5:$E$504,MATCH($F1635&amp;"",계정매핑!$A$5:$A$504,0))&amp;"","공통비"))</f>
        <v/>
      </c>
      <c r="AF1635" s="64">
        <f>IF($A1635="","",IF(AE1635="직접",IFERROR(INDEX(계정매핑!$F$5:$F$504,MATCH($F1635&amp;"",계정매핑!$A$5:$A$504,0))&amp;"","비귀속"),""))</f>
        <v/>
      </c>
      <c r="AG1635" s="96">
        <f>IF($A1635="",0,IF(AND(AE1635&lt;&gt;"직접",IFERROR(INDEX(계정매핑!$G$5:$G$504,MATCH($F1635&amp;"",계정매핑!$A$5:$A$504,0))&amp;"","")="유지비",COUNTIF(계정대체기준!$A$6:$A$15,$N1635)&gt;0),IFERROR(INDEX(계정대체기준!$E$6:$E$15,MATCH(VALUE($A1635&amp;""),계정대체기준!$D$6:$D$15,0)),0),0))</f>
        <v/>
      </c>
      <c r="AH1635" s="64">
        <f>IF($A1635="","",IF(AD1635=0,"",IF(OR(COUNTIF(계정대체기준!$A$77:$A$86,$N1635)&gt;0,ISNUMBER(MATCH($X1635,계정대체기준!$D$77:$D$86,0)),ISNUMBER(MATCH($F1635,계정대체기준!$D$77:$D$86,0))),"Y","N")))</f>
        <v/>
      </c>
    </row>
    <row r="1636">
      <c r="A1636" s="92" t="n">
        <v>2025</v>
      </c>
      <c r="B1636" s="92" t="n">
        <v>8</v>
      </c>
      <c r="C1636" s="92" t="inlineStr">
        <is>
          <t>5100001632</t>
        </is>
      </c>
      <c r="D1636" s="95" t="n">
        <v>45876</v>
      </c>
      <c r="E1636" s="92" t="inlineStr">
        <is>
          <t>KR</t>
        </is>
      </c>
      <c r="F1636" s="92" t="n">
        <v>62501000</v>
      </c>
      <c r="G1636" s="92" t="n">
        <v>1602</v>
      </c>
      <c r="H1636" s="93" t="n">
        <v>672000</v>
      </c>
      <c r="I1636" s="92" t="inlineStr">
        <is>
          <t>8월 회의 다과 - (법인카드)</t>
        </is>
      </c>
      <c r="J1636" s="92" t="inlineStr">
        <is>
          <t>V10010</t>
        </is>
      </c>
      <c r="K1636" s="92" t="inlineStr">
        <is>
          <t>(법인카드)</t>
        </is>
      </c>
      <c r="M1636" s="9">
        <f>IF($A1636="","",VALUE($A1636&amp;"")*12+VALUE($B1636&amp;""))</f>
        <v/>
      </c>
      <c r="N1636" s="64">
        <f>IF($A1636="","",IFERROR(INDEX(부서매핑!$C$5:$C$504,MATCH($G1636&amp;"",부서매핑!$A$5:$A$504,0)),"미매핑"))</f>
        <v/>
      </c>
      <c r="O1636" s="9">
        <f>IF($A1636="","",N1636&amp;"|"&amp;$F1636)</f>
        <v/>
      </c>
      <c r="P1636" s="94">
        <f>IF($A1636="",0,$H1636*설정!$C$23)</f>
        <v/>
      </c>
      <c r="Q1636" s="64">
        <f>IF($A1636="","",IF(O1636&lt;&gt;원인분석!$C$9,"",IF(AND(M1636&gt;=원인분석!$C$10,M1636&lt;=원인분석!$C$11),"당기",IF(AND(M1636&gt;=원인분석!$C$12,M1636&lt;=원인분석!$C$13),"비교",""))))</f>
        <v/>
      </c>
      <c r="R1636" s="9">
        <f>IF(Q1636="","",$K1636&amp;"")</f>
        <v/>
      </c>
      <c r="S1636" s="9">
        <f>IF(Q1636="","",IF(MATCH(R1636,$R$5:$R$100000,0)=ROW()-4,ROW(),""))</f>
        <v/>
      </c>
      <c r="T1636" s="9">
        <f>IF(Q1636="당기",ABS(P1636)+ROW()/1000000000,"")</f>
        <v/>
      </c>
      <c r="U1636" s="9">
        <f>IF(Q1636="비교",ABS(P1636)+ROW()/1000000000,"")</f>
        <v/>
      </c>
      <c r="V1636" s="64">
        <f>IF($A1636="","",IF(COUNTIF(변동분석!$E$7:$E$506,O1636)&gt;0,"Y","N"))</f>
        <v/>
      </c>
      <c r="W1636" s="64">
        <f>IF($A1636="","",IFERROR(INDEX(계정매핑!$D$5:$D$504,MATCH($F1636&amp;"",계정매핑!$A$5:$A$504,0)),"미매핑"))</f>
        <v/>
      </c>
      <c r="X1636" s="9">
        <f>IF($A1636="","",$F1636&amp;"")</f>
        <v/>
      </c>
      <c r="Y1636" s="94">
        <f>IF($A1636="",0,IF(AE1636="직접",IF(AF1636="비귀속",$P1636,0),$P1636*(1-AG1636)*IFERROR(INDEX(계정대체기준!$F$20:$F$49,MATCH($N1636,계정대체기준!$A$20:$A$49,0)),1)))</f>
        <v/>
      </c>
      <c r="Z1636" s="94">
        <f>IF($A1636="",0,IF(AE1636="직접",IF(AF1636="신계약비",$P1636,0),$P1636*(1-AG1636)*IFERROR(INDEX(계정대체기준!$C$20:$C$49,MATCH($N1636,계정대체기준!$A$20:$A$49,0)),0)))</f>
        <v/>
      </c>
      <c r="AA1636" s="94">
        <f>IF($A1636="",0,IF(AE1636="직접",IF(OR(AF1636="유지비",AF1636="손해조사비"),$P1636,0),$P1636*(1-AG1636)*IFERROR(INDEX(계정대체기준!$D$20:$D$49,MATCH($N1636,계정대체기준!$A$20:$A$49,0)),0)))</f>
        <v/>
      </c>
      <c r="AB1636" s="94">
        <f>IF($A1636="",0,IF(AE1636="직접",IF(AF1636="수금비",$P1636,0),$P1636*(1-AG1636)*IFERROR(INDEX(계정대체기준!$E$20:$E$49,MATCH($N1636,계정대체기준!$A$20:$A$49,0)),0)))</f>
        <v/>
      </c>
      <c r="AC1636" s="9">
        <f>IF(AND($A1636&lt;&gt;"",M1636=설정!$C$20,Z1636&gt;0),Z1636+ROW()/1000000000,"")</f>
        <v/>
      </c>
      <c r="AD1636" s="94">
        <f>IF($A1636="",0,$P1636*AG1636)</f>
        <v/>
      </c>
      <c r="AE1636" s="64">
        <f>IF($A1636="","",IFERROR(INDEX(계정매핑!$E$5:$E$504,MATCH($F1636&amp;"",계정매핑!$A$5:$A$504,0))&amp;"","공통비"))</f>
        <v/>
      </c>
      <c r="AF1636" s="64">
        <f>IF($A1636="","",IF(AE1636="직접",IFERROR(INDEX(계정매핑!$F$5:$F$504,MATCH($F1636&amp;"",계정매핑!$A$5:$A$504,0))&amp;"","비귀속"),""))</f>
        <v/>
      </c>
      <c r="AG1636" s="96">
        <f>IF($A1636="",0,IF(AND(AE1636&lt;&gt;"직접",IFERROR(INDEX(계정매핑!$G$5:$G$504,MATCH($F1636&amp;"",계정매핑!$A$5:$A$504,0))&amp;"","")="유지비",COUNTIF(계정대체기준!$A$6:$A$15,$N1636)&gt;0),IFERROR(INDEX(계정대체기준!$E$6:$E$15,MATCH(VALUE($A1636&amp;""),계정대체기준!$D$6:$D$15,0)),0),0))</f>
        <v/>
      </c>
      <c r="AH1636" s="64">
        <f>IF($A1636="","",IF(AD1636=0,"",IF(OR(COUNTIF(계정대체기준!$A$77:$A$86,$N1636)&gt;0,ISNUMBER(MATCH($X1636,계정대체기준!$D$77:$D$86,0)),ISNUMBER(MATCH($F1636,계정대체기준!$D$77:$D$86,0))),"Y","N")))</f>
        <v/>
      </c>
    </row>
    <row r="1637">
      <c r="A1637" s="92" t="n">
        <v>2025</v>
      </c>
      <c r="B1637" s="92" t="n">
        <v>8</v>
      </c>
      <c r="C1637" s="92" t="inlineStr">
        <is>
          <t>5100001633</t>
        </is>
      </c>
      <c r="D1637" s="95" t="n">
        <v>45876</v>
      </c>
      <c r="E1637" s="92" t="inlineStr">
        <is>
          <t>KR</t>
        </is>
      </c>
      <c r="F1637" s="92" t="n">
        <v>62701000</v>
      </c>
      <c r="G1637" s="92" t="n">
        <v>1501</v>
      </c>
      <c r="H1637" s="93" t="n">
        <v>42129000</v>
      </c>
      <c r="I1637" s="92" t="inlineStr">
        <is>
          <t>8월 광고 집행 - E미디어</t>
        </is>
      </c>
      <c r="J1637" s="92" t="inlineStr">
        <is>
          <t>V10033</t>
        </is>
      </c>
      <c r="K1637" s="92" t="inlineStr">
        <is>
          <t>E미디어</t>
        </is>
      </c>
      <c r="M1637" s="9">
        <f>IF($A1637="","",VALUE($A1637&amp;"")*12+VALUE($B1637&amp;""))</f>
        <v/>
      </c>
      <c r="N1637" s="64">
        <f>IF($A1637="","",IFERROR(INDEX(부서매핑!$C$5:$C$504,MATCH($G1637&amp;"",부서매핑!$A$5:$A$504,0)),"미매핑"))</f>
        <v/>
      </c>
      <c r="O1637" s="9">
        <f>IF($A1637="","",N1637&amp;"|"&amp;$F1637)</f>
        <v/>
      </c>
      <c r="P1637" s="94">
        <f>IF($A1637="",0,$H1637*설정!$C$23)</f>
        <v/>
      </c>
      <c r="Q1637" s="64">
        <f>IF($A1637="","",IF(O1637&lt;&gt;원인분석!$C$9,"",IF(AND(M1637&gt;=원인분석!$C$10,M1637&lt;=원인분석!$C$11),"당기",IF(AND(M1637&gt;=원인분석!$C$12,M1637&lt;=원인분석!$C$13),"비교",""))))</f>
        <v/>
      </c>
      <c r="R1637" s="9">
        <f>IF(Q1637="","",$K1637&amp;"")</f>
        <v/>
      </c>
      <c r="S1637" s="9">
        <f>IF(Q1637="","",IF(MATCH(R1637,$R$5:$R$100000,0)=ROW()-4,ROW(),""))</f>
        <v/>
      </c>
      <c r="T1637" s="9">
        <f>IF(Q1637="당기",ABS(P1637)+ROW()/1000000000,"")</f>
        <v/>
      </c>
      <c r="U1637" s="9">
        <f>IF(Q1637="비교",ABS(P1637)+ROW()/1000000000,"")</f>
        <v/>
      </c>
      <c r="V1637" s="64">
        <f>IF($A1637="","",IF(COUNTIF(변동분석!$E$7:$E$506,O1637)&gt;0,"Y","N"))</f>
        <v/>
      </c>
      <c r="W1637" s="64">
        <f>IF($A1637="","",IFERROR(INDEX(계정매핑!$D$5:$D$504,MATCH($F1637&amp;"",계정매핑!$A$5:$A$504,0)),"미매핑"))</f>
        <v/>
      </c>
      <c r="X1637" s="9">
        <f>IF($A1637="","",$F1637&amp;"")</f>
        <v/>
      </c>
      <c r="Y1637" s="94">
        <f>IF($A1637="",0,IF(AE1637="직접",IF(AF1637="비귀속",$P1637,0),$P1637*(1-AG1637)*IFERROR(INDEX(계정대체기준!$F$20:$F$49,MATCH($N1637,계정대체기준!$A$20:$A$49,0)),1)))</f>
        <v/>
      </c>
      <c r="Z1637" s="94">
        <f>IF($A1637="",0,IF(AE1637="직접",IF(AF1637="신계약비",$P1637,0),$P1637*(1-AG1637)*IFERROR(INDEX(계정대체기준!$C$20:$C$49,MATCH($N1637,계정대체기준!$A$20:$A$49,0)),0)))</f>
        <v/>
      </c>
      <c r="AA1637" s="94">
        <f>IF($A1637="",0,IF(AE1637="직접",IF(OR(AF1637="유지비",AF1637="손해조사비"),$P1637,0),$P1637*(1-AG1637)*IFERROR(INDEX(계정대체기준!$D$20:$D$49,MATCH($N1637,계정대체기준!$A$20:$A$49,0)),0)))</f>
        <v/>
      </c>
      <c r="AB1637" s="94">
        <f>IF($A1637="",0,IF(AE1637="직접",IF(AF1637="수금비",$P1637,0),$P1637*(1-AG1637)*IFERROR(INDEX(계정대체기준!$E$20:$E$49,MATCH($N1637,계정대체기준!$A$20:$A$49,0)),0)))</f>
        <v/>
      </c>
      <c r="AC1637" s="9">
        <f>IF(AND($A1637&lt;&gt;"",M1637=설정!$C$20,Z1637&gt;0),Z1637+ROW()/1000000000,"")</f>
        <v/>
      </c>
      <c r="AD1637" s="94">
        <f>IF($A1637="",0,$P1637*AG1637)</f>
        <v/>
      </c>
      <c r="AE1637" s="64">
        <f>IF($A1637="","",IFERROR(INDEX(계정매핑!$E$5:$E$504,MATCH($F1637&amp;"",계정매핑!$A$5:$A$504,0))&amp;"","공통비"))</f>
        <v/>
      </c>
      <c r="AF1637" s="64">
        <f>IF($A1637="","",IF(AE1637="직접",IFERROR(INDEX(계정매핑!$F$5:$F$504,MATCH($F1637&amp;"",계정매핑!$A$5:$A$504,0))&amp;"","비귀속"),""))</f>
        <v/>
      </c>
      <c r="AG1637" s="96">
        <f>IF($A1637="",0,IF(AND(AE1637&lt;&gt;"직접",IFERROR(INDEX(계정매핑!$G$5:$G$504,MATCH($F1637&amp;"",계정매핑!$A$5:$A$504,0))&amp;"","")="유지비",COUNTIF(계정대체기준!$A$6:$A$15,$N1637)&gt;0),IFERROR(INDEX(계정대체기준!$E$6:$E$15,MATCH(VALUE($A1637&amp;""),계정대체기준!$D$6:$D$15,0)),0),0))</f>
        <v/>
      </c>
      <c r="AH1637" s="64">
        <f>IF($A1637="","",IF(AD1637=0,"",IF(OR(COUNTIF(계정대체기준!$A$77:$A$86,$N1637)&gt;0,ISNUMBER(MATCH($X1637,계정대체기준!$D$77:$D$86,0)),ISNUMBER(MATCH($F1637,계정대체기준!$D$77:$D$86,0))),"Y","N")))</f>
        <v/>
      </c>
    </row>
    <row r="1638">
      <c r="A1638" s="92" t="n">
        <v>2025</v>
      </c>
      <c r="B1638" s="92" t="n">
        <v>8</v>
      </c>
      <c r="C1638" s="92" t="inlineStr">
        <is>
          <t>5100001634</t>
        </is>
      </c>
      <c r="D1638" s="95" t="n">
        <v>45876</v>
      </c>
      <c r="E1638" s="92" t="inlineStr">
        <is>
          <t>KR</t>
        </is>
      </c>
      <c r="F1638" s="92" t="n">
        <v>62802000</v>
      </c>
      <c r="G1638" s="92" t="n">
        <v>1301</v>
      </c>
      <c r="H1638" s="93" t="n">
        <v>3653000</v>
      </c>
      <c r="I1638" s="92" t="inlineStr">
        <is>
          <t>8월 위탁교육 - I교육원</t>
        </is>
      </c>
      <c r="J1638" s="92" t="inlineStr">
        <is>
          <t>V10019</t>
        </is>
      </c>
      <c r="K1638" s="92" t="inlineStr">
        <is>
          <t>I교육원</t>
        </is>
      </c>
      <c r="M1638" s="9">
        <f>IF($A1638="","",VALUE($A1638&amp;"")*12+VALUE($B1638&amp;""))</f>
        <v/>
      </c>
      <c r="N1638" s="64">
        <f>IF($A1638="","",IFERROR(INDEX(부서매핑!$C$5:$C$504,MATCH($G1638&amp;"",부서매핑!$A$5:$A$504,0)),"미매핑"))</f>
        <v/>
      </c>
      <c r="O1638" s="9">
        <f>IF($A1638="","",N1638&amp;"|"&amp;$F1638)</f>
        <v/>
      </c>
      <c r="P1638" s="94">
        <f>IF($A1638="",0,$H1638*설정!$C$23)</f>
        <v/>
      </c>
      <c r="Q1638" s="64">
        <f>IF($A1638="","",IF(O1638&lt;&gt;원인분석!$C$9,"",IF(AND(M1638&gt;=원인분석!$C$10,M1638&lt;=원인분석!$C$11),"당기",IF(AND(M1638&gt;=원인분석!$C$12,M1638&lt;=원인분석!$C$13),"비교",""))))</f>
        <v/>
      </c>
      <c r="R1638" s="9">
        <f>IF(Q1638="","",$K1638&amp;"")</f>
        <v/>
      </c>
      <c r="S1638" s="9">
        <f>IF(Q1638="","",IF(MATCH(R1638,$R$5:$R$100000,0)=ROW()-4,ROW(),""))</f>
        <v/>
      </c>
      <c r="T1638" s="9">
        <f>IF(Q1638="당기",ABS(P1638)+ROW()/1000000000,"")</f>
        <v/>
      </c>
      <c r="U1638" s="9">
        <f>IF(Q1638="비교",ABS(P1638)+ROW()/1000000000,"")</f>
        <v/>
      </c>
      <c r="V1638" s="64">
        <f>IF($A1638="","",IF(COUNTIF(변동분석!$E$7:$E$506,O1638)&gt;0,"Y","N"))</f>
        <v/>
      </c>
      <c r="W1638" s="64">
        <f>IF($A1638="","",IFERROR(INDEX(계정매핑!$D$5:$D$504,MATCH($F1638&amp;"",계정매핑!$A$5:$A$504,0)),"미매핑"))</f>
        <v/>
      </c>
      <c r="X1638" s="9">
        <f>IF($A1638="","",$F1638&amp;"")</f>
        <v/>
      </c>
      <c r="Y1638" s="94">
        <f>IF($A1638="",0,IF(AE1638="직접",IF(AF1638="비귀속",$P1638,0),$P1638*(1-AG1638)*IFERROR(INDEX(계정대체기준!$F$20:$F$49,MATCH($N1638,계정대체기준!$A$20:$A$49,0)),1)))</f>
        <v/>
      </c>
      <c r="Z1638" s="94">
        <f>IF($A1638="",0,IF(AE1638="직접",IF(AF1638="신계약비",$P1638,0),$P1638*(1-AG1638)*IFERROR(INDEX(계정대체기준!$C$20:$C$49,MATCH($N1638,계정대체기준!$A$20:$A$49,0)),0)))</f>
        <v/>
      </c>
      <c r="AA1638" s="94">
        <f>IF($A1638="",0,IF(AE1638="직접",IF(OR(AF1638="유지비",AF1638="손해조사비"),$P1638,0),$P1638*(1-AG1638)*IFERROR(INDEX(계정대체기준!$D$20:$D$49,MATCH($N1638,계정대체기준!$A$20:$A$49,0)),0)))</f>
        <v/>
      </c>
      <c r="AB1638" s="94">
        <f>IF($A1638="",0,IF(AE1638="직접",IF(AF1638="수금비",$P1638,0),$P1638*(1-AG1638)*IFERROR(INDEX(계정대체기준!$E$20:$E$49,MATCH($N1638,계정대체기준!$A$20:$A$49,0)),0)))</f>
        <v/>
      </c>
      <c r="AC1638" s="9">
        <f>IF(AND($A1638&lt;&gt;"",M1638=설정!$C$20,Z1638&gt;0),Z1638+ROW()/1000000000,"")</f>
        <v/>
      </c>
      <c r="AD1638" s="94">
        <f>IF($A1638="",0,$P1638*AG1638)</f>
        <v/>
      </c>
      <c r="AE1638" s="64">
        <f>IF($A1638="","",IFERROR(INDEX(계정매핑!$E$5:$E$504,MATCH($F1638&amp;"",계정매핑!$A$5:$A$504,0))&amp;"","공통비"))</f>
        <v/>
      </c>
      <c r="AF1638" s="64">
        <f>IF($A1638="","",IF(AE1638="직접",IFERROR(INDEX(계정매핑!$F$5:$F$504,MATCH($F1638&amp;"",계정매핑!$A$5:$A$504,0))&amp;"","비귀속"),""))</f>
        <v/>
      </c>
      <c r="AG1638" s="96">
        <f>IF($A1638="",0,IF(AND(AE1638&lt;&gt;"직접",IFERROR(INDEX(계정매핑!$G$5:$G$504,MATCH($F1638&amp;"",계정매핑!$A$5:$A$504,0))&amp;"","")="유지비",COUNTIF(계정대체기준!$A$6:$A$15,$N1638)&gt;0),IFERROR(INDEX(계정대체기준!$E$6:$E$15,MATCH(VALUE($A1638&amp;""),계정대체기준!$D$6:$D$15,0)),0),0))</f>
        <v/>
      </c>
      <c r="AH1638" s="64">
        <f>IF($A1638="","",IF(AD1638=0,"",IF(OR(COUNTIF(계정대체기준!$A$77:$A$86,$N1638)&gt;0,ISNUMBER(MATCH($X1638,계정대체기준!$D$77:$D$86,0)),ISNUMBER(MATCH($F1638,계정대체기준!$D$77:$D$86,0))),"Y","N")))</f>
        <v/>
      </c>
    </row>
    <row r="1639">
      <c r="A1639" s="92" t="n">
        <v>2025</v>
      </c>
      <c r="B1639" s="92" t="n">
        <v>8</v>
      </c>
      <c r="C1639" s="92" t="inlineStr">
        <is>
          <t>5100001635</t>
        </is>
      </c>
      <c r="D1639" s="95" t="n">
        <v>45876</v>
      </c>
      <c r="E1639" s="92" t="inlineStr">
        <is>
          <t>KR</t>
        </is>
      </c>
      <c r="F1639" s="92" t="n">
        <v>62902000</v>
      </c>
      <c r="G1639" s="92" t="n">
        <v>1101</v>
      </c>
      <c r="H1639" s="93" t="n">
        <v>1289000</v>
      </c>
      <c r="I1639" s="92" t="inlineStr">
        <is>
          <t>8월 업무 위탁 수수료 - X서비스</t>
        </is>
      </c>
      <c r="J1639" s="92" t="inlineStr">
        <is>
          <t>V10020</t>
        </is>
      </c>
      <c r="K1639" s="92" t="inlineStr">
        <is>
          <t>X서비스</t>
        </is>
      </c>
      <c r="M1639" s="9">
        <f>IF($A1639="","",VALUE($A1639&amp;"")*12+VALUE($B1639&amp;""))</f>
        <v/>
      </c>
      <c r="N1639" s="64">
        <f>IF($A1639="","",IFERROR(INDEX(부서매핑!$C$5:$C$504,MATCH($G1639&amp;"",부서매핑!$A$5:$A$504,0)),"미매핑"))</f>
        <v/>
      </c>
      <c r="O1639" s="9">
        <f>IF($A1639="","",N1639&amp;"|"&amp;$F1639)</f>
        <v/>
      </c>
      <c r="P1639" s="94">
        <f>IF($A1639="",0,$H1639*설정!$C$23)</f>
        <v/>
      </c>
      <c r="Q1639" s="64">
        <f>IF($A1639="","",IF(O1639&lt;&gt;원인분석!$C$9,"",IF(AND(M1639&gt;=원인분석!$C$10,M1639&lt;=원인분석!$C$11),"당기",IF(AND(M1639&gt;=원인분석!$C$12,M1639&lt;=원인분석!$C$13),"비교",""))))</f>
        <v/>
      </c>
      <c r="R1639" s="9">
        <f>IF(Q1639="","",$K1639&amp;"")</f>
        <v/>
      </c>
      <c r="S1639" s="9">
        <f>IF(Q1639="","",IF(MATCH(R1639,$R$5:$R$100000,0)=ROW()-4,ROW(),""))</f>
        <v/>
      </c>
      <c r="T1639" s="9">
        <f>IF(Q1639="당기",ABS(P1639)+ROW()/1000000000,"")</f>
        <v/>
      </c>
      <c r="U1639" s="9">
        <f>IF(Q1639="비교",ABS(P1639)+ROW()/1000000000,"")</f>
        <v/>
      </c>
      <c r="V1639" s="64">
        <f>IF($A1639="","",IF(COUNTIF(변동분석!$E$7:$E$506,O1639)&gt;0,"Y","N"))</f>
        <v/>
      </c>
      <c r="W1639" s="64">
        <f>IF($A1639="","",IFERROR(INDEX(계정매핑!$D$5:$D$504,MATCH($F1639&amp;"",계정매핑!$A$5:$A$504,0)),"미매핑"))</f>
        <v/>
      </c>
      <c r="X1639" s="9">
        <f>IF($A1639="","",$F1639&amp;"")</f>
        <v/>
      </c>
      <c r="Y1639" s="94">
        <f>IF($A1639="",0,IF(AE1639="직접",IF(AF1639="비귀속",$P1639,0),$P1639*(1-AG1639)*IFERROR(INDEX(계정대체기준!$F$20:$F$49,MATCH($N1639,계정대체기준!$A$20:$A$49,0)),1)))</f>
        <v/>
      </c>
      <c r="Z1639" s="94">
        <f>IF($A1639="",0,IF(AE1639="직접",IF(AF1639="신계약비",$P1639,0),$P1639*(1-AG1639)*IFERROR(INDEX(계정대체기준!$C$20:$C$49,MATCH($N1639,계정대체기준!$A$20:$A$49,0)),0)))</f>
        <v/>
      </c>
      <c r="AA1639" s="94">
        <f>IF($A1639="",0,IF(AE1639="직접",IF(OR(AF1639="유지비",AF1639="손해조사비"),$P1639,0),$P1639*(1-AG1639)*IFERROR(INDEX(계정대체기준!$D$20:$D$49,MATCH($N1639,계정대체기준!$A$20:$A$49,0)),0)))</f>
        <v/>
      </c>
      <c r="AB1639" s="94">
        <f>IF($A1639="",0,IF(AE1639="직접",IF(AF1639="수금비",$P1639,0),$P1639*(1-AG1639)*IFERROR(INDEX(계정대체기준!$E$20:$E$49,MATCH($N1639,계정대체기준!$A$20:$A$49,0)),0)))</f>
        <v/>
      </c>
      <c r="AC1639" s="9">
        <f>IF(AND($A1639&lt;&gt;"",M1639=설정!$C$20,Z1639&gt;0),Z1639+ROW()/1000000000,"")</f>
        <v/>
      </c>
      <c r="AD1639" s="94">
        <f>IF($A1639="",0,$P1639*AG1639)</f>
        <v/>
      </c>
      <c r="AE1639" s="64">
        <f>IF($A1639="","",IFERROR(INDEX(계정매핑!$E$5:$E$504,MATCH($F1639&amp;"",계정매핑!$A$5:$A$504,0))&amp;"","공통비"))</f>
        <v/>
      </c>
      <c r="AF1639" s="64">
        <f>IF($A1639="","",IF(AE1639="직접",IFERROR(INDEX(계정매핑!$F$5:$F$504,MATCH($F1639&amp;"",계정매핑!$A$5:$A$504,0))&amp;"","비귀속"),""))</f>
        <v/>
      </c>
      <c r="AG1639" s="96">
        <f>IF($A1639="",0,IF(AND(AE1639&lt;&gt;"직접",IFERROR(INDEX(계정매핑!$G$5:$G$504,MATCH($F1639&amp;"",계정매핑!$A$5:$A$504,0))&amp;"","")="유지비",COUNTIF(계정대체기준!$A$6:$A$15,$N1639)&gt;0),IFERROR(INDEX(계정대체기준!$E$6:$E$15,MATCH(VALUE($A1639&amp;""),계정대체기준!$D$6:$D$15,0)),0),0))</f>
        <v/>
      </c>
      <c r="AH1639" s="64">
        <f>IF($A1639="","",IF(AD1639=0,"",IF(OR(COUNTIF(계정대체기준!$A$77:$A$86,$N1639)&gt;0,ISNUMBER(MATCH($X1639,계정대체기준!$D$77:$D$86,0)),ISNUMBER(MATCH($F1639,계정대체기준!$D$77:$D$86,0))),"Y","N")))</f>
        <v/>
      </c>
    </row>
    <row r="1640">
      <c r="A1640" s="92" t="n">
        <v>2025</v>
      </c>
      <c r="B1640" s="92" t="n">
        <v>8</v>
      </c>
      <c r="C1640" s="92" t="inlineStr">
        <is>
          <t>5100001636</t>
        </is>
      </c>
      <c r="D1640" s="95" t="n">
        <v>45876</v>
      </c>
      <c r="E1640" s="92" t="inlineStr">
        <is>
          <t>KR</t>
        </is>
      </c>
      <c r="F1640" s="92" t="n">
        <v>62902000</v>
      </c>
      <c r="G1640" s="92" t="n">
        <v>1951</v>
      </c>
      <c r="H1640" s="93" t="n">
        <v>4439000</v>
      </c>
      <c r="I1640" s="92" t="inlineStr">
        <is>
          <t>8월 업무 위탁 수수료 - J콜센터</t>
        </is>
      </c>
      <c r="J1640" s="92" t="inlineStr">
        <is>
          <t>V10016</t>
        </is>
      </c>
      <c r="K1640" s="92" t="inlineStr">
        <is>
          <t>J콜센터</t>
        </is>
      </c>
      <c r="M1640" s="9">
        <f>IF($A1640="","",VALUE($A1640&amp;"")*12+VALUE($B1640&amp;""))</f>
        <v/>
      </c>
      <c r="N1640" s="64">
        <f>IF($A1640="","",IFERROR(INDEX(부서매핑!$C$5:$C$504,MATCH($G1640&amp;"",부서매핑!$A$5:$A$504,0)),"미매핑"))</f>
        <v/>
      </c>
      <c r="O1640" s="9">
        <f>IF($A1640="","",N1640&amp;"|"&amp;$F1640)</f>
        <v/>
      </c>
      <c r="P1640" s="94">
        <f>IF($A1640="",0,$H1640*설정!$C$23)</f>
        <v/>
      </c>
      <c r="Q1640" s="64">
        <f>IF($A1640="","",IF(O1640&lt;&gt;원인분석!$C$9,"",IF(AND(M1640&gt;=원인분석!$C$10,M1640&lt;=원인분석!$C$11),"당기",IF(AND(M1640&gt;=원인분석!$C$12,M1640&lt;=원인분석!$C$13),"비교",""))))</f>
        <v/>
      </c>
      <c r="R1640" s="9">
        <f>IF(Q1640="","",$K1640&amp;"")</f>
        <v/>
      </c>
      <c r="S1640" s="9">
        <f>IF(Q1640="","",IF(MATCH(R1640,$R$5:$R$100000,0)=ROW()-4,ROW(),""))</f>
        <v/>
      </c>
      <c r="T1640" s="9">
        <f>IF(Q1640="당기",ABS(P1640)+ROW()/1000000000,"")</f>
        <v/>
      </c>
      <c r="U1640" s="9">
        <f>IF(Q1640="비교",ABS(P1640)+ROW()/1000000000,"")</f>
        <v/>
      </c>
      <c r="V1640" s="64">
        <f>IF($A1640="","",IF(COUNTIF(변동분석!$E$7:$E$506,O1640)&gt;0,"Y","N"))</f>
        <v/>
      </c>
      <c r="W1640" s="64">
        <f>IF($A1640="","",IFERROR(INDEX(계정매핑!$D$5:$D$504,MATCH($F1640&amp;"",계정매핑!$A$5:$A$504,0)),"미매핑"))</f>
        <v/>
      </c>
      <c r="X1640" s="9">
        <f>IF($A1640="","",$F1640&amp;"")</f>
        <v/>
      </c>
      <c r="Y1640" s="94">
        <f>IF($A1640="",0,IF(AE1640="직접",IF(AF1640="비귀속",$P1640,0),$P1640*(1-AG1640)*IFERROR(INDEX(계정대체기준!$F$20:$F$49,MATCH($N1640,계정대체기준!$A$20:$A$49,0)),1)))</f>
        <v/>
      </c>
      <c r="Z1640" s="94">
        <f>IF($A1640="",0,IF(AE1640="직접",IF(AF1640="신계약비",$P1640,0),$P1640*(1-AG1640)*IFERROR(INDEX(계정대체기준!$C$20:$C$49,MATCH($N1640,계정대체기준!$A$20:$A$49,0)),0)))</f>
        <v/>
      </c>
      <c r="AA1640" s="94">
        <f>IF($A1640="",0,IF(AE1640="직접",IF(OR(AF1640="유지비",AF1640="손해조사비"),$P1640,0),$P1640*(1-AG1640)*IFERROR(INDEX(계정대체기준!$D$20:$D$49,MATCH($N1640,계정대체기준!$A$20:$A$49,0)),0)))</f>
        <v/>
      </c>
      <c r="AB1640" s="94">
        <f>IF($A1640="",0,IF(AE1640="직접",IF(AF1640="수금비",$P1640,0),$P1640*(1-AG1640)*IFERROR(INDEX(계정대체기준!$E$20:$E$49,MATCH($N1640,계정대체기준!$A$20:$A$49,0)),0)))</f>
        <v/>
      </c>
      <c r="AC1640" s="9">
        <f>IF(AND($A1640&lt;&gt;"",M1640=설정!$C$20,Z1640&gt;0),Z1640+ROW()/1000000000,"")</f>
        <v/>
      </c>
      <c r="AD1640" s="94">
        <f>IF($A1640="",0,$P1640*AG1640)</f>
        <v/>
      </c>
      <c r="AE1640" s="64">
        <f>IF($A1640="","",IFERROR(INDEX(계정매핑!$E$5:$E$504,MATCH($F1640&amp;"",계정매핑!$A$5:$A$504,0))&amp;"","공통비"))</f>
        <v/>
      </c>
      <c r="AF1640" s="64">
        <f>IF($A1640="","",IF(AE1640="직접",IFERROR(INDEX(계정매핑!$F$5:$F$504,MATCH($F1640&amp;"",계정매핑!$A$5:$A$504,0))&amp;"","비귀속"),""))</f>
        <v/>
      </c>
      <c r="AG1640" s="96">
        <f>IF($A1640="",0,IF(AND(AE1640&lt;&gt;"직접",IFERROR(INDEX(계정매핑!$G$5:$G$504,MATCH($F1640&amp;"",계정매핑!$A$5:$A$504,0))&amp;"","")="유지비",COUNTIF(계정대체기준!$A$6:$A$15,$N1640)&gt;0),IFERROR(INDEX(계정대체기준!$E$6:$E$15,MATCH(VALUE($A1640&amp;""),계정대체기준!$D$6:$D$15,0)),0),0))</f>
        <v/>
      </c>
      <c r="AH1640" s="64">
        <f>IF($A1640="","",IF(AD1640=0,"",IF(OR(COUNTIF(계정대체기준!$A$77:$A$86,$N1640)&gt;0,ISNUMBER(MATCH($X1640,계정대체기준!$D$77:$D$86,0)),ISNUMBER(MATCH($F1640,계정대체기준!$D$77:$D$86,0))),"Y","N")))</f>
        <v/>
      </c>
    </row>
    <row r="1641">
      <c r="A1641" s="92" t="n">
        <v>2025</v>
      </c>
      <c r="B1641" s="92" t="n">
        <v>8</v>
      </c>
      <c r="C1641" s="92" t="inlineStr">
        <is>
          <t>5100001637</t>
        </is>
      </c>
      <c r="D1641" s="95" t="n">
        <v>45877</v>
      </c>
      <c r="E1641" s="92" t="inlineStr">
        <is>
          <t>KR</t>
        </is>
      </c>
      <c r="F1641" s="92" t="n">
        <v>62101000</v>
      </c>
      <c r="G1641" s="92" t="n">
        <v>1501</v>
      </c>
      <c r="H1641" s="93" t="n">
        <v>733000</v>
      </c>
      <c r="I1641" s="92" t="inlineStr">
        <is>
          <t>8월 국내출장 - L여행사</t>
        </is>
      </c>
      <c r="J1641" s="92" t="inlineStr">
        <is>
          <t>V10018</t>
        </is>
      </c>
      <c r="K1641" s="92" t="inlineStr">
        <is>
          <t>L여행사</t>
        </is>
      </c>
      <c r="M1641" s="9">
        <f>IF($A1641="","",VALUE($A1641&amp;"")*12+VALUE($B1641&amp;""))</f>
        <v/>
      </c>
      <c r="N1641" s="64">
        <f>IF($A1641="","",IFERROR(INDEX(부서매핑!$C$5:$C$504,MATCH($G1641&amp;"",부서매핑!$A$5:$A$504,0)),"미매핑"))</f>
        <v/>
      </c>
      <c r="O1641" s="9">
        <f>IF($A1641="","",N1641&amp;"|"&amp;$F1641)</f>
        <v/>
      </c>
      <c r="P1641" s="94">
        <f>IF($A1641="",0,$H1641*설정!$C$23)</f>
        <v/>
      </c>
      <c r="Q1641" s="64">
        <f>IF($A1641="","",IF(O1641&lt;&gt;원인분석!$C$9,"",IF(AND(M1641&gt;=원인분석!$C$10,M1641&lt;=원인분석!$C$11),"당기",IF(AND(M1641&gt;=원인분석!$C$12,M1641&lt;=원인분석!$C$13),"비교",""))))</f>
        <v/>
      </c>
      <c r="R1641" s="9">
        <f>IF(Q1641="","",$K1641&amp;"")</f>
        <v/>
      </c>
      <c r="S1641" s="9">
        <f>IF(Q1641="","",IF(MATCH(R1641,$R$5:$R$100000,0)=ROW()-4,ROW(),""))</f>
        <v/>
      </c>
      <c r="T1641" s="9">
        <f>IF(Q1641="당기",ABS(P1641)+ROW()/1000000000,"")</f>
        <v/>
      </c>
      <c r="U1641" s="9">
        <f>IF(Q1641="비교",ABS(P1641)+ROW()/1000000000,"")</f>
        <v/>
      </c>
      <c r="V1641" s="64">
        <f>IF($A1641="","",IF(COUNTIF(변동분석!$E$7:$E$506,O1641)&gt;0,"Y","N"))</f>
        <v/>
      </c>
      <c r="W1641" s="64">
        <f>IF($A1641="","",IFERROR(INDEX(계정매핑!$D$5:$D$504,MATCH($F1641&amp;"",계정매핑!$A$5:$A$504,0)),"미매핑"))</f>
        <v/>
      </c>
      <c r="X1641" s="9">
        <f>IF($A1641="","",$F1641&amp;"")</f>
        <v/>
      </c>
      <c r="Y1641" s="94">
        <f>IF($A1641="",0,IF(AE1641="직접",IF(AF1641="비귀속",$P1641,0),$P1641*(1-AG1641)*IFERROR(INDEX(계정대체기준!$F$20:$F$49,MATCH($N1641,계정대체기준!$A$20:$A$49,0)),1)))</f>
        <v/>
      </c>
      <c r="Z1641" s="94">
        <f>IF($A1641="",0,IF(AE1641="직접",IF(AF1641="신계약비",$P1641,0),$P1641*(1-AG1641)*IFERROR(INDEX(계정대체기준!$C$20:$C$49,MATCH($N1641,계정대체기준!$A$20:$A$49,0)),0)))</f>
        <v/>
      </c>
      <c r="AA1641" s="94">
        <f>IF($A1641="",0,IF(AE1641="직접",IF(OR(AF1641="유지비",AF1641="손해조사비"),$P1641,0),$P1641*(1-AG1641)*IFERROR(INDEX(계정대체기준!$D$20:$D$49,MATCH($N1641,계정대체기준!$A$20:$A$49,0)),0)))</f>
        <v/>
      </c>
      <c r="AB1641" s="94">
        <f>IF($A1641="",0,IF(AE1641="직접",IF(AF1641="수금비",$P1641,0),$P1641*(1-AG1641)*IFERROR(INDEX(계정대체기준!$E$20:$E$49,MATCH($N1641,계정대체기준!$A$20:$A$49,0)),0)))</f>
        <v/>
      </c>
      <c r="AC1641" s="9">
        <f>IF(AND($A1641&lt;&gt;"",M1641=설정!$C$20,Z1641&gt;0),Z1641+ROW()/1000000000,"")</f>
        <v/>
      </c>
      <c r="AD1641" s="94">
        <f>IF($A1641="",0,$P1641*AG1641)</f>
        <v/>
      </c>
      <c r="AE1641" s="64">
        <f>IF($A1641="","",IFERROR(INDEX(계정매핑!$E$5:$E$504,MATCH($F1641&amp;"",계정매핑!$A$5:$A$504,0))&amp;"","공통비"))</f>
        <v/>
      </c>
      <c r="AF1641" s="64">
        <f>IF($A1641="","",IF(AE1641="직접",IFERROR(INDEX(계정매핑!$F$5:$F$504,MATCH($F1641&amp;"",계정매핑!$A$5:$A$504,0))&amp;"","비귀속"),""))</f>
        <v/>
      </c>
      <c r="AG1641" s="96">
        <f>IF($A1641="",0,IF(AND(AE1641&lt;&gt;"직접",IFERROR(INDEX(계정매핑!$G$5:$G$504,MATCH($F1641&amp;"",계정매핑!$A$5:$A$504,0))&amp;"","")="유지비",COUNTIF(계정대체기준!$A$6:$A$15,$N1641)&gt;0),IFERROR(INDEX(계정대체기준!$E$6:$E$15,MATCH(VALUE($A1641&amp;""),계정대체기준!$D$6:$D$15,0)),0),0))</f>
        <v/>
      </c>
      <c r="AH1641" s="64">
        <f>IF($A1641="","",IF(AD1641=0,"",IF(OR(COUNTIF(계정대체기준!$A$77:$A$86,$N1641)&gt;0,ISNUMBER(MATCH($X1641,계정대체기준!$D$77:$D$86,0)),ISNUMBER(MATCH($F1641,계정대체기준!$D$77:$D$86,0))),"Y","N")))</f>
        <v/>
      </c>
    </row>
    <row r="1642">
      <c r="A1642" s="92" t="n">
        <v>2025</v>
      </c>
      <c r="B1642" s="92" t="n">
        <v>8</v>
      </c>
      <c r="C1642" s="92" t="inlineStr">
        <is>
          <t>5100001638</t>
        </is>
      </c>
      <c r="D1642" s="95" t="n">
        <v>45877</v>
      </c>
      <c r="E1642" s="92" t="inlineStr">
        <is>
          <t>KR</t>
        </is>
      </c>
      <c r="F1642" s="92" t="n">
        <v>62102000</v>
      </c>
      <c r="G1642" s="92" t="n">
        <v>1501</v>
      </c>
      <c r="H1642" s="93" t="n">
        <v>153000</v>
      </c>
      <c r="I1642" s="92" t="inlineStr">
        <is>
          <t>8월 해외출장 - M항공</t>
        </is>
      </c>
      <c r="J1642" s="92" t="inlineStr">
        <is>
          <t>V10001</t>
        </is>
      </c>
      <c r="K1642" s="92" t="inlineStr">
        <is>
          <t>M항공</t>
        </is>
      </c>
      <c r="M1642" s="9">
        <f>IF($A1642="","",VALUE($A1642&amp;"")*12+VALUE($B1642&amp;""))</f>
        <v/>
      </c>
      <c r="N1642" s="64">
        <f>IF($A1642="","",IFERROR(INDEX(부서매핑!$C$5:$C$504,MATCH($G1642&amp;"",부서매핑!$A$5:$A$504,0)),"미매핑"))</f>
        <v/>
      </c>
      <c r="O1642" s="9">
        <f>IF($A1642="","",N1642&amp;"|"&amp;$F1642)</f>
        <v/>
      </c>
      <c r="P1642" s="94">
        <f>IF($A1642="",0,$H1642*설정!$C$23)</f>
        <v/>
      </c>
      <c r="Q1642" s="64">
        <f>IF($A1642="","",IF(O1642&lt;&gt;원인분석!$C$9,"",IF(AND(M1642&gt;=원인분석!$C$10,M1642&lt;=원인분석!$C$11),"당기",IF(AND(M1642&gt;=원인분석!$C$12,M1642&lt;=원인분석!$C$13),"비교",""))))</f>
        <v/>
      </c>
      <c r="R1642" s="9">
        <f>IF(Q1642="","",$K1642&amp;"")</f>
        <v/>
      </c>
      <c r="S1642" s="9">
        <f>IF(Q1642="","",IF(MATCH(R1642,$R$5:$R$100000,0)=ROW()-4,ROW(),""))</f>
        <v/>
      </c>
      <c r="T1642" s="9">
        <f>IF(Q1642="당기",ABS(P1642)+ROW()/1000000000,"")</f>
        <v/>
      </c>
      <c r="U1642" s="9">
        <f>IF(Q1642="비교",ABS(P1642)+ROW()/1000000000,"")</f>
        <v/>
      </c>
      <c r="V1642" s="64">
        <f>IF($A1642="","",IF(COUNTIF(변동분석!$E$7:$E$506,O1642)&gt;0,"Y","N"))</f>
        <v/>
      </c>
      <c r="W1642" s="64">
        <f>IF($A1642="","",IFERROR(INDEX(계정매핑!$D$5:$D$504,MATCH($F1642&amp;"",계정매핑!$A$5:$A$504,0)),"미매핑"))</f>
        <v/>
      </c>
      <c r="X1642" s="9">
        <f>IF($A1642="","",$F1642&amp;"")</f>
        <v/>
      </c>
      <c r="Y1642" s="94">
        <f>IF($A1642="",0,IF(AE1642="직접",IF(AF1642="비귀속",$P1642,0),$P1642*(1-AG1642)*IFERROR(INDEX(계정대체기준!$F$20:$F$49,MATCH($N1642,계정대체기준!$A$20:$A$49,0)),1)))</f>
        <v/>
      </c>
      <c r="Z1642" s="94">
        <f>IF($A1642="",0,IF(AE1642="직접",IF(AF1642="신계약비",$P1642,0),$P1642*(1-AG1642)*IFERROR(INDEX(계정대체기준!$C$20:$C$49,MATCH($N1642,계정대체기준!$A$20:$A$49,0)),0)))</f>
        <v/>
      </c>
      <c r="AA1642" s="94">
        <f>IF($A1642="",0,IF(AE1642="직접",IF(OR(AF1642="유지비",AF1642="손해조사비"),$P1642,0),$P1642*(1-AG1642)*IFERROR(INDEX(계정대체기준!$D$20:$D$49,MATCH($N1642,계정대체기준!$A$20:$A$49,0)),0)))</f>
        <v/>
      </c>
      <c r="AB1642" s="94">
        <f>IF($A1642="",0,IF(AE1642="직접",IF(AF1642="수금비",$P1642,0),$P1642*(1-AG1642)*IFERROR(INDEX(계정대체기준!$E$20:$E$49,MATCH($N1642,계정대체기준!$A$20:$A$49,0)),0)))</f>
        <v/>
      </c>
      <c r="AC1642" s="9">
        <f>IF(AND($A1642&lt;&gt;"",M1642=설정!$C$20,Z1642&gt;0),Z1642+ROW()/1000000000,"")</f>
        <v/>
      </c>
      <c r="AD1642" s="94">
        <f>IF($A1642="",0,$P1642*AG1642)</f>
        <v/>
      </c>
      <c r="AE1642" s="64">
        <f>IF($A1642="","",IFERROR(INDEX(계정매핑!$E$5:$E$504,MATCH($F1642&amp;"",계정매핑!$A$5:$A$504,0))&amp;"","공통비"))</f>
        <v/>
      </c>
      <c r="AF1642" s="64">
        <f>IF($A1642="","",IF(AE1642="직접",IFERROR(INDEX(계정매핑!$F$5:$F$504,MATCH($F1642&amp;"",계정매핑!$A$5:$A$504,0))&amp;"","비귀속"),""))</f>
        <v/>
      </c>
      <c r="AG1642" s="96">
        <f>IF($A1642="",0,IF(AND(AE1642&lt;&gt;"직접",IFERROR(INDEX(계정매핑!$G$5:$G$504,MATCH($F1642&amp;"",계정매핑!$A$5:$A$504,0))&amp;"","")="유지비",COUNTIF(계정대체기준!$A$6:$A$15,$N1642)&gt;0),IFERROR(INDEX(계정대체기준!$E$6:$E$15,MATCH(VALUE($A1642&amp;""),계정대체기준!$D$6:$D$15,0)),0),0))</f>
        <v/>
      </c>
      <c r="AH1642" s="64">
        <f>IF($A1642="","",IF(AD1642=0,"",IF(OR(COUNTIF(계정대체기준!$A$77:$A$86,$N1642)&gt;0,ISNUMBER(MATCH($X1642,계정대체기준!$D$77:$D$86,0)),ISNUMBER(MATCH($F1642,계정대체기준!$D$77:$D$86,0))),"Y","N")))</f>
        <v/>
      </c>
    </row>
    <row r="1643">
      <c r="A1643" s="92" t="n">
        <v>2025</v>
      </c>
      <c r="B1643" s="92" t="n">
        <v>8</v>
      </c>
      <c r="C1643" s="92" t="inlineStr">
        <is>
          <t>5100001639</t>
        </is>
      </c>
      <c r="D1643" s="95" t="n">
        <v>45877</v>
      </c>
      <c r="E1643" s="92" t="inlineStr">
        <is>
          <t>KR</t>
        </is>
      </c>
      <c r="F1643" s="92" t="n">
        <v>62102000</v>
      </c>
      <c r="G1643" s="92" t="n">
        <v>1951</v>
      </c>
      <c r="H1643" s="93" t="n">
        <v>126000</v>
      </c>
      <c r="I1643" s="92" t="inlineStr">
        <is>
          <t>8월 해외출장 - M항공</t>
        </is>
      </c>
      <c r="J1643" s="92" t="inlineStr">
        <is>
          <t>V10001</t>
        </is>
      </c>
      <c r="K1643" s="92" t="inlineStr">
        <is>
          <t>M항공</t>
        </is>
      </c>
      <c r="M1643" s="9">
        <f>IF($A1643="","",VALUE($A1643&amp;"")*12+VALUE($B1643&amp;""))</f>
        <v/>
      </c>
      <c r="N1643" s="64">
        <f>IF($A1643="","",IFERROR(INDEX(부서매핑!$C$5:$C$504,MATCH($G1643&amp;"",부서매핑!$A$5:$A$504,0)),"미매핑"))</f>
        <v/>
      </c>
      <c r="O1643" s="9">
        <f>IF($A1643="","",N1643&amp;"|"&amp;$F1643)</f>
        <v/>
      </c>
      <c r="P1643" s="94">
        <f>IF($A1643="",0,$H1643*설정!$C$23)</f>
        <v/>
      </c>
      <c r="Q1643" s="64">
        <f>IF($A1643="","",IF(O1643&lt;&gt;원인분석!$C$9,"",IF(AND(M1643&gt;=원인분석!$C$10,M1643&lt;=원인분석!$C$11),"당기",IF(AND(M1643&gt;=원인분석!$C$12,M1643&lt;=원인분석!$C$13),"비교",""))))</f>
        <v/>
      </c>
      <c r="R1643" s="9">
        <f>IF(Q1643="","",$K1643&amp;"")</f>
        <v/>
      </c>
      <c r="S1643" s="9">
        <f>IF(Q1643="","",IF(MATCH(R1643,$R$5:$R$100000,0)=ROW()-4,ROW(),""))</f>
        <v/>
      </c>
      <c r="T1643" s="9">
        <f>IF(Q1643="당기",ABS(P1643)+ROW()/1000000000,"")</f>
        <v/>
      </c>
      <c r="U1643" s="9">
        <f>IF(Q1643="비교",ABS(P1643)+ROW()/1000000000,"")</f>
        <v/>
      </c>
      <c r="V1643" s="64">
        <f>IF($A1643="","",IF(COUNTIF(변동분석!$E$7:$E$506,O1643)&gt;0,"Y","N"))</f>
        <v/>
      </c>
      <c r="W1643" s="64">
        <f>IF($A1643="","",IFERROR(INDEX(계정매핑!$D$5:$D$504,MATCH($F1643&amp;"",계정매핑!$A$5:$A$504,0)),"미매핑"))</f>
        <v/>
      </c>
      <c r="X1643" s="9">
        <f>IF($A1643="","",$F1643&amp;"")</f>
        <v/>
      </c>
      <c r="Y1643" s="94">
        <f>IF($A1643="",0,IF(AE1643="직접",IF(AF1643="비귀속",$P1643,0),$P1643*(1-AG1643)*IFERROR(INDEX(계정대체기준!$F$20:$F$49,MATCH($N1643,계정대체기준!$A$20:$A$49,0)),1)))</f>
        <v/>
      </c>
      <c r="Z1643" s="94">
        <f>IF($A1643="",0,IF(AE1643="직접",IF(AF1643="신계약비",$P1643,0),$P1643*(1-AG1643)*IFERROR(INDEX(계정대체기준!$C$20:$C$49,MATCH($N1643,계정대체기준!$A$20:$A$49,0)),0)))</f>
        <v/>
      </c>
      <c r="AA1643" s="94">
        <f>IF($A1643="",0,IF(AE1643="직접",IF(OR(AF1643="유지비",AF1643="손해조사비"),$P1643,0),$P1643*(1-AG1643)*IFERROR(INDEX(계정대체기준!$D$20:$D$49,MATCH($N1643,계정대체기준!$A$20:$A$49,0)),0)))</f>
        <v/>
      </c>
      <c r="AB1643" s="94">
        <f>IF($A1643="",0,IF(AE1643="직접",IF(AF1643="수금비",$P1643,0),$P1643*(1-AG1643)*IFERROR(INDEX(계정대체기준!$E$20:$E$49,MATCH($N1643,계정대체기준!$A$20:$A$49,0)),0)))</f>
        <v/>
      </c>
      <c r="AC1643" s="9">
        <f>IF(AND($A1643&lt;&gt;"",M1643=설정!$C$20,Z1643&gt;0),Z1643+ROW()/1000000000,"")</f>
        <v/>
      </c>
      <c r="AD1643" s="94">
        <f>IF($A1643="",0,$P1643*AG1643)</f>
        <v/>
      </c>
      <c r="AE1643" s="64">
        <f>IF($A1643="","",IFERROR(INDEX(계정매핑!$E$5:$E$504,MATCH($F1643&amp;"",계정매핑!$A$5:$A$504,0))&amp;"","공통비"))</f>
        <v/>
      </c>
      <c r="AF1643" s="64">
        <f>IF($A1643="","",IF(AE1643="직접",IFERROR(INDEX(계정매핑!$F$5:$F$504,MATCH($F1643&amp;"",계정매핑!$A$5:$A$504,0))&amp;"","비귀속"),""))</f>
        <v/>
      </c>
      <c r="AG1643" s="96">
        <f>IF($A1643="",0,IF(AND(AE1643&lt;&gt;"직접",IFERROR(INDEX(계정매핑!$G$5:$G$504,MATCH($F1643&amp;"",계정매핑!$A$5:$A$504,0))&amp;"","")="유지비",COUNTIF(계정대체기준!$A$6:$A$15,$N1643)&gt;0),IFERROR(INDEX(계정대체기준!$E$6:$E$15,MATCH(VALUE($A1643&amp;""),계정대체기준!$D$6:$D$15,0)),0),0))</f>
        <v/>
      </c>
      <c r="AH1643" s="64">
        <f>IF($A1643="","",IF(AD1643=0,"",IF(OR(COUNTIF(계정대체기준!$A$77:$A$86,$N1643)&gt;0,ISNUMBER(MATCH($X1643,계정대체기준!$D$77:$D$86,0)),ISNUMBER(MATCH($F1643,계정대체기준!$D$77:$D$86,0))),"Y","N")))</f>
        <v/>
      </c>
    </row>
    <row r="1644">
      <c r="A1644" s="92" t="n">
        <v>2025</v>
      </c>
      <c r="B1644" s="92" t="n">
        <v>8</v>
      </c>
      <c r="C1644" s="92" t="inlineStr">
        <is>
          <t>5100001640</t>
        </is>
      </c>
      <c r="D1644" s="95" t="n">
        <v>45877</v>
      </c>
      <c r="E1644" s="92" t="inlineStr">
        <is>
          <t>KR</t>
        </is>
      </c>
      <c r="F1644" s="92" t="n">
        <v>62301000</v>
      </c>
      <c r="G1644" s="92" t="n">
        <v>1502</v>
      </c>
      <c r="H1644" s="93" t="n">
        <v>131000</v>
      </c>
      <c r="I1644" s="92" t="inlineStr">
        <is>
          <t>8월 소모품 구입 - R문구</t>
        </is>
      </c>
      <c r="J1644" s="92" t="inlineStr">
        <is>
          <t>V10022</t>
        </is>
      </c>
      <c r="K1644" s="92" t="inlineStr">
        <is>
          <t>R문구</t>
        </is>
      </c>
      <c r="M1644" s="9">
        <f>IF($A1644="","",VALUE($A1644&amp;"")*12+VALUE($B1644&amp;""))</f>
        <v/>
      </c>
      <c r="N1644" s="64">
        <f>IF($A1644="","",IFERROR(INDEX(부서매핑!$C$5:$C$504,MATCH($G1644&amp;"",부서매핑!$A$5:$A$504,0)),"미매핑"))</f>
        <v/>
      </c>
      <c r="O1644" s="9">
        <f>IF($A1644="","",N1644&amp;"|"&amp;$F1644)</f>
        <v/>
      </c>
      <c r="P1644" s="94">
        <f>IF($A1644="",0,$H1644*설정!$C$23)</f>
        <v/>
      </c>
      <c r="Q1644" s="64">
        <f>IF($A1644="","",IF(O1644&lt;&gt;원인분석!$C$9,"",IF(AND(M1644&gt;=원인분석!$C$10,M1644&lt;=원인분석!$C$11),"당기",IF(AND(M1644&gt;=원인분석!$C$12,M1644&lt;=원인분석!$C$13),"비교",""))))</f>
        <v/>
      </c>
      <c r="R1644" s="9">
        <f>IF(Q1644="","",$K1644&amp;"")</f>
        <v/>
      </c>
      <c r="S1644" s="9">
        <f>IF(Q1644="","",IF(MATCH(R1644,$R$5:$R$100000,0)=ROW()-4,ROW(),""))</f>
        <v/>
      </c>
      <c r="T1644" s="9">
        <f>IF(Q1644="당기",ABS(P1644)+ROW()/1000000000,"")</f>
        <v/>
      </c>
      <c r="U1644" s="9">
        <f>IF(Q1644="비교",ABS(P1644)+ROW()/1000000000,"")</f>
        <v/>
      </c>
      <c r="V1644" s="64">
        <f>IF($A1644="","",IF(COUNTIF(변동분석!$E$7:$E$506,O1644)&gt;0,"Y","N"))</f>
        <v/>
      </c>
      <c r="W1644" s="64">
        <f>IF($A1644="","",IFERROR(INDEX(계정매핑!$D$5:$D$504,MATCH($F1644&amp;"",계정매핑!$A$5:$A$504,0)),"미매핑"))</f>
        <v/>
      </c>
      <c r="X1644" s="9">
        <f>IF($A1644="","",$F1644&amp;"")</f>
        <v/>
      </c>
      <c r="Y1644" s="94">
        <f>IF($A1644="",0,IF(AE1644="직접",IF(AF1644="비귀속",$P1644,0),$P1644*(1-AG1644)*IFERROR(INDEX(계정대체기준!$F$20:$F$49,MATCH($N1644,계정대체기준!$A$20:$A$49,0)),1)))</f>
        <v/>
      </c>
      <c r="Z1644" s="94">
        <f>IF($A1644="",0,IF(AE1644="직접",IF(AF1644="신계약비",$P1644,0),$P1644*(1-AG1644)*IFERROR(INDEX(계정대체기준!$C$20:$C$49,MATCH($N1644,계정대체기준!$A$20:$A$49,0)),0)))</f>
        <v/>
      </c>
      <c r="AA1644" s="94">
        <f>IF($A1644="",0,IF(AE1644="직접",IF(OR(AF1644="유지비",AF1644="손해조사비"),$P1644,0),$P1644*(1-AG1644)*IFERROR(INDEX(계정대체기준!$D$20:$D$49,MATCH($N1644,계정대체기준!$A$20:$A$49,0)),0)))</f>
        <v/>
      </c>
      <c r="AB1644" s="94">
        <f>IF($A1644="",0,IF(AE1644="직접",IF(AF1644="수금비",$P1644,0),$P1644*(1-AG1644)*IFERROR(INDEX(계정대체기준!$E$20:$E$49,MATCH($N1644,계정대체기준!$A$20:$A$49,0)),0)))</f>
        <v/>
      </c>
      <c r="AC1644" s="9">
        <f>IF(AND($A1644&lt;&gt;"",M1644=설정!$C$20,Z1644&gt;0),Z1644+ROW()/1000000000,"")</f>
        <v/>
      </c>
      <c r="AD1644" s="94">
        <f>IF($A1644="",0,$P1644*AG1644)</f>
        <v/>
      </c>
      <c r="AE1644" s="64">
        <f>IF($A1644="","",IFERROR(INDEX(계정매핑!$E$5:$E$504,MATCH($F1644&amp;"",계정매핑!$A$5:$A$504,0))&amp;"","공통비"))</f>
        <v/>
      </c>
      <c r="AF1644" s="64">
        <f>IF($A1644="","",IF(AE1644="직접",IFERROR(INDEX(계정매핑!$F$5:$F$504,MATCH($F1644&amp;"",계정매핑!$A$5:$A$504,0))&amp;"","비귀속"),""))</f>
        <v/>
      </c>
      <c r="AG1644" s="96">
        <f>IF($A1644="",0,IF(AND(AE1644&lt;&gt;"직접",IFERROR(INDEX(계정매핑!$G$5:$G$504,MATCH($F1644&amp;"",계정매핑!$A$5:$A$504,0))&amp;"","")="유지비",COUNTIF(계정대체기준!$A$6:$A$15,$N1644)&gt;0),IFERROR(INDEX(계정대체기준!$E$6:$E$15,MATCH(VALUE($A1644&amp;""),계정대체기준!$D$6:$D$15,0)),0),0))</f>
        <v/>
      </c>
      <c r="AH1644" s="64">
        <f>IF($A1644="","",IF(AD1644=0,"",IF(OR(COUNTIF(계정대체기준!$A$77:$A$86,$N1644)&gt;0,ISNUMBER(MATCH($X1644,계정대체기준!$D$77:$D$86,0)),ISNUMBER(MATCH($F1644,계정대체기준!$D$77:$D$86,0))),"Y","N")))</f>
        <v/>
      </c>
    </row>
    <row r="1645">
      <c r="A1645" s="92" t="n">
        <v>2025</v>
      </c>
      <c r="B1645" s="92" t="n">
        <v>8</v>
      </c>
      <c r="C1645" s="92" t="inlineStr">
        <is>
          <t>5100001641</t>
        </is>
      </c>
      <c r="D1645" s="95" t="n">
        <v>45877</v>
      </c>
      <c r="E1645" s="92" t="inlineStr">
        <is>
          <t>KR</t>
        </is>
      </c>
      <c r="F1645" s="92" t="n">
        <v>62401000</v>
      </c>
      <c r="G1645" s="92" t="n">
        <v>1502</v>
      </c>
      <c r="H1645" s="93" t="n">
        <v>1653000</v>
      </c>
      <c r="I1645" s="92" t="inlineStr">
        <is>
          <t>8월 인쇄물 제작 - G인쇄</t>
        </is>
      </c>
      <c r="J1645" s="92" t="inlineStr">
        <is>
          <t>V10004</t>
        </is>
      </c>
      <c r="K1645" s="92" t="inlineStr">
        <is>
          <t>G인쇄</t>
        </is>
      </c>
      <c r="M1645" s="9">
        <f>IF($A1645="","",VALUE($A1645&amp;"")*12+VALUE($B1645&amp;""))</f>
        <v/>
      </c>
      <c r="N1645" s="64">
        <f>IF($A1645="","",IFERROR(INDEX(부서매핑!$C$5:$C$504,MATCH($G1645&amp;"",부서매핑!$A$5:$A$504,0)),"미매핑"))</f>
        <v/>
      </c>
      <c r="O1645" s="9">
        <f>IF($A1645="","",N1645&amp;"|"&amp;$F1645)</f>
        <v/>
      </c>
      <c r="P1645" s="94">
        <f>IF($A1645="",0,$H1645*설정!$C$23)</f>
        <v/>
      </c>
      <c r="Q1645" s="64">
        <f>IF($A1645="","",IF(O1645&lt;&gt;원인분석!$C$9,"",IF(AND(M1645&gt;=원인분석!$C$10,M1645&lt;=원인분석!$C$11),"당기",IF(AND(M1645&gt;=원인분석!$C$12,M1645&lt;=원인분석!$C$13),"비교",""))))</f>
        <v/>
      </c>
      <c r="R1645" s="9">
        <f>IF(Q1645="","",$K1645&amp;"")</f>
        <v/>
      </c>
      <c r="S1645" s="9">
        <f>IF(Q1645="","",IF(MATCH(R1645,$R$5:$R$100000,0)=ROW()-4,ROW(),""))</f>
        <v/>
      </c>
      <c r="T1645" s="9">
        <f>IF(Q1645="당기",ABS(P1645)+ROW()/1000000000,"")</f>
        <v/>
      </c>
      <c r="U1645" s="9">
        <f>IF(Q1645="비교",ABS(P1645)+ROW()/1000000000,"")</f>
        <v/>
      </c>
      <c r="V1645" s="64">
        <f>IF($A1645="","",IF(COUNTIF(변동분석!$E$7:$E$506,O1645)&gt;0,"Y","N"))</f>
        <v/>
      </c>
      <c r="W1645" s="64">
        <f>IF($A1645="","",IFERROR(INDEX(계정매핑!$D$5:$D$504,MATCH($F1645&amp;"",계정매핑!$A$5:$A$504,0)),"미매핑"))</f>
        <v/>
      </c>
      <c r="X1645" s="9">
        <f>IF($A1645="","",$F1645&amp;"")</f>
        <v/>
      </c>
      <c r="Y1645" s="94">
        <f>IF($A1645="",0,IF(AE1645="직접",IF(AF1645="비귀속",$P1645,0),$P1645*(1-AG1645)*IFERROR(INDEX(계정대체기준!$F$20:$F$49,MATCH($N1645,계정대체기준!$A$20:$A$49,0)),1)))</f>
        <v/>
      </c>
      <c r="Z1645" s="94">
        <f>IF($A1645="",0,IF(AE1645="직접",IF(AF1645="신계약비",$P1645,0),$P1645*(1-AG1645)*IFERROR(INDEX(계정대체기준!$C$20:$C$49,MATCH($N1645,계정대체기준!$A$20:$A$49,0)),0)))</f>
        <v/>
      </c>
      <c r="AA1645" s="94">
        <f>IF($A1645="",0,IF(AE1645="직접",IF(OR(AF1645="유지비",AF1645="손해조사비"),$P1645,0),$P1645*(1-AG1645)*IFERROR(INDEX(계정대체기준!$D$20:$D$49,MATCH($N1645,계정대체기준!$A$20:$A$49,0)),0)))</f>
        <v/>
      </c>
      <c r="AB1645" s="94">
        <f>IF($A1645="",0,IF(AE1645="직접",IF(AF1645="수금비",$P1645,0),$P1645*(1-AG1645)*IFERROR(INDEX(계정대체기준!$E$20:$E$49,MATCH($N1645,계정대체기준!$A$20:$A$49,0)),0)))</f>
        <v/>
      </c>
      <c r="AC1645" s="9">
        <f>IF(AND($A1645&lt;&gt;"",M1645=설정!$C$20,Z1645&gt;0),Z1645+ROW()/1000000000,"")</f>
        <v/>
      </c>
      <c r="AD1645" s="94">
        <f>IF($A1645="",0,$P1645*AG1645)</f>
        <v/>
      </c>
      <c r="AE1645" s="64">
        <f>IF($A1645="","",IFERROR(INDEX(계정매핑!$E$5:$E$504,MATCH($F1645&amp;"",계정매핑!$A$5:$A$504,0))&amp;"","공통비"))</f>
        <v/>
      </c>
      <c r="AF1645" s="64">
        <f>IF($A1645="","",IF(AE1645="직접",IFERROR(INDEX(계정매핑!$F$5:$F$504,MATCH($F1645&amp;"",계정매핑!$A$5:$A$504,0))&amp;"","비귀속"),""))</f>
        <v/>
      </c>
      <c r="AG1645" s="96">
        <f>IF($A1645="",0,IF(AND(AE1645&lt;&gt;"직접",IFERROR(INDEX(계정매핑!$G$5:$G$504,MATCH($F1645&amp;"",계정매핑!$A$5:$A$504,0))&amp;"","")="유지비",COUNTIF(계정대체기준!$A$6:$A$15,$N1645)&gt;0),IFERROR(INDEX(계정대체기준!$E$6:$E$15,MATCH(VALUE($A1645&amp;""),계정대체기준!$D$6:$D$15,0)),0),0))</f>
        <v/>
      </c>
      <c r="AH1645" s="64">
        <f>IF($A1645="","",IF(AD1645=0,"",IF(OR(COUNTIF(계정대체기준!$A$77:$A$86,$N1645)&gt;0,ISNUMBER(MATCH($X1645,계정대체기준!$D$77:$D$86,0)),ISNUMBER(MATCH($F1645,계정대체기준!$D$77:$D$86,0))),"Y","N")))</f>
        <v/>
      </c>
    </row>
    <row r="1646">
      <c r="A1646" s="92" t="n">
        <v>2025</v>
      </c>
      <c r="B1646" s="92" t="n">
        <v>8</v>
      </c>
      <c r="C1646" s="92" t="inlineStr">
        <is>
          <t>5100001642</t>
        </is>
      </c>
      <c r="D1646" s="95" t="n">
        <v>45877</v>
      </c>
      <c r="E1646" s="92" t="inlineStr">
        <is>
          <t>KR</t>
        </is>
      </c>
      <c r="F1646" s="92" t="n">
        <v>62501000</v>
      </c>
      <c r="G1646" s="92" t="n">
        <v>1101</v>
      </c>
      <c r="H1646" s="93" t="n">
        <v>152000</v>
      </c>
      <c r="I1646" s="92" t="inlineStr">
        <is>
          <t>8월 회의 다과 - (법인카드)</t>
        </is>
      </c>
      <c r="J1646" s="92" t="inlineStr">
        <is>
          <t>V10010</t>
        </is>
      </c>
      <c r="K1646" s="92" t="inlineStr">
        <is>
          <t>(법인카드)</t>
        </is>
      </c>
      <c r="M1646" s="9">
        <f>IF($A1646="","",VALUE($A1646&amp;"")*12+VALUE($B1646&amp;""))</f>
        <v/>
      </c>
      <c r="N1646" s="64">
        <f>IF($A1646="","",IFERROR(INDEX(부서매핑!$C$5:$C$504,MATCH($G1646&amp;"",부서매핑!$A$5:$A$504,0)),"미매핑"))</f>
        <v/>
      </c>
      <c r="O1646" s="9">
        <f>IF($A1646="","",N1646&amp;"|"&amp;$F1646)</f>
        <v/>
      </c>
      <c r="P1646" s="94">
        <f>IF($A1646="",0,$H1646*설정!$C$23)</f>
        <v/>
      </c>
      <c r="Q1646" s="64">
        <f>IF($A1646="","",IF(O1646&lt;&gt;원인분석!$C$9,"",IF(AND(M1646&gt;=원인분석!$C$10,M1646&lt;=원인분석!$C$11),"당기",IF(AND(M1646&gt;=원인분석!$C$12,M1646&lt;=원인분석!$C$13),"비교",""))))</f>
        <v/>
      </c>
      <c r="R1646" s="9">
        <f>IF(Q1646="","",$K1646&amp;"")</f>
        <v/>
      </c>
      <c r="S1646" s="9">
        <f>IF(Q1646="","",IF(MATCH(R1646,$R$5:$R$100000,0)=ROW()-4,ROW(),""))</f>
        <v/>
      </c>
      <c r="T1646" s="9">
        <f>IF(Q1646="당기",ABS(P1646)+ROW()/1000000000,"")</f>
        <v/>
      </c>
      <c r="U1646" s="9">
        <f>IF(Q1646="비교",ABS(P1646)+ROW()/1000000000,"")</f>
        <v/>
      </c>
      <c r="V1646" s="64">
        <f>IF($A1646="","",IF(COUNTIF(변동분석!$E$7:$E$506,O1646)&gt;0,"Y","N"))</f>
        <v/>
      </c>
      <c r="W1646" s="64">
        <f>IF($A1646="","",IFERROR(INDEX(계정매핑!$D$5:$D$504,MATCH($F1646&amp;"",계정매핑!$A$5:$A$504,0)),"미매핑"))</f>
        <v/>
      </c>
      <c r="X1646" s="9">
        <f>IF($A1646="","",$F1646&amp;"")</f>
        <v/>
      </c>
      <c r="Y1646" s="94">
        <f>IF($A1646="",0,IF(AE1646="직접",IF(AF1646="비귀속",$P1646,0),$P1646*(1-AG1646)*IFERROR(INDEX(계정대체기준!$F$20:$F$49,MATCH($N1646,계정대체기준!$A$20:$A$49,0)),1)))</f>
        <v/>
      </c>
      <c r="Z1646" s="94">
        <f>IF($A1646="",0,IF(AE1646="직접",IF(AF1646="신계약비",$P1646,0),$P1646*(1-AG1646)*IFERROR(INDEX(계정대체기준!$C$20:$C$49,MATCH($N1646,계정대체기준!$A$20:$A$49,0)),0)))</f>
        <v/>
      </c>
      <c r="AA1646" s="94">
        <f>IF($A1646="",0,IF(AE1646="직접",IF(OR(AF1646="유지비",AF1646="손해조사비"),$P1646,0),$P1646*(1-AG1646)*IFERROR(INDEX(계정대체기준!$D$20:$D$49,MATCH($N1646,계정대체기준!$A$20:$A$49,0)),0)))</f>
        <v/>
      </c>
      <c r="AB1646" s="94">
        <f>IF($A1646="",0,IF(AE1646="직접",IF(AF1646="수금비",$P1646,0),$P1646*(1-AG1646)*IFERROR(INDEX(계정대체기준!$E$20:$E$49,MATCH($N1646,계정대체기준!$A$20:$A$49,0)),0)))</f>
        <v/>
      </c>
      <c r="AC1646" s="9">
        <f>IF(AND($A1646&lt;&gt;"",M1646=설정!$C$20,Z1646&gt;0),Z1646+ROW()/1000000000,"")</f>
        <v/>
      </c>
      <c r="AD1646" s="94">
        <f>IF($A1646="",0,$P1646*AG1646)</f>
        <v/>
      </c>
      <c r="AE1646" s="64">
        <f>IF($A1646="","",IFERROR(INDEX(계정매핑!$E$5:$E$504,MATCH($F1646&amp;"",계정매핑!$A$5:$A$504,0))&amp;"","공통비"))</f>
        <v/>
      </c>
      <c r="AF1646" s="64">
        <f>IF($A1646="","",IF(AE1646="직접",IFERROR(INDEX(계정매핑!$F$5:$F$504,MATCH($F1646&amp;"",계정매핑!$A$5:$A$504,0))&amp;"","비귀속"),""))</f>
        <v/>
      </c>
      <c r="AG1646" s="96">
        <f>IF($A1646="",0,IF(AND(AE1646&lt;&gt;"직접",IFERROR(INDEX(계정매핑!$G$5:$G$504,MATCH($F1646&amp;"",계정매핑!$A$5:$A$504,0))&amp;"","")="유지비",COUNTIF(계정대체기준!$A$6:$A$15,$N1646)&gt;0),IFERROR(INDEX(계정대체기준!$E$6:$E$15,MATCH(VALUE($A1646&amp;""),계정대체기준!$D$6:$D$15,0)),0),0))</f>
        <v/>
      </c>
      <c r="AH1646" s="64">
        <f>IF($A1646="","",IF(AD1646=0,"",IF(OR(COUNTIF(계정대체기준!$A$77:$A$86,$N1646)&gt;0,ISNUMBER(MATCH($X1646,계정대체기준!$D$77:$D$86,0)),ISNUMBER(MATCH($F1646,계정대체기준!$D$77:$D$86,0))),"Y","N")))</f>
        <v/>
      </c>
    </row>
    <row r="1647">
      <c r="A1647" s="92" t="n">
        <v>2025</v>
      </c>
      <c r="B1647" s="92" t="n">
        <v>8</v>
      </c>
      <c r="C1647" s="92" t="inlineStr">
        <is>
          <t>5100001643</t>
        </is>
      </c>
      <c r="D1647" s="95" t="n">
        <v>45877</v>
      </c>
      <c r="E1647" s="92" t="inlineStr">
        <is>
          <t>KR</t>
        </is>
      </c>
      <c r="F1647" s="92" t="n">
        <v>62501000</v>
      </c>
      <c r="G1647" s="92" t="n">
        <v>1101</v>
      </c>
      <c r="H1647" s="93" t="n">
        <v>216000</v>
      </c>
      <c r="I1647" s="92" t="inlineStr">
        <is>
          <t>8월 회의 다과 - T케이터링</t>
        </is>
      </c>
      <c r="J1647" s="92" t="inlineStr">
        <is>
          <t>V10005</t>
        </is>
      </c>
      <c r="K1647" s="92" t="inlineStr">
        <is>
          <t>T케이터링</t>
        </is>
      </c>
      <c r="M1647" s="9">
        <f>IF($A1647="","",VALUE($A1647&amp;"")*12+VALUE($B1647&amp;""))</f>
        <v/>
      </c>
      <c r="N1647" s="64">
        <f>IF($A1647="","",IFERROR(INDEX(부서매핑!$C$5:$C$504,MATCH($G1647&amp;"",부서매핑!$A$5:$A$504,0)),"미매핑"))</f>
        <v/>
      </c>
      <c r="O1647" s="9">
        <f>IF($A1647="","",N1647&amp;"|"&amp;$F1647)</f>
        <v/>
      </c>
      <c r="P1647" s="94">
        <f>IF($A1647="",0,$H1647*설정!$C$23)</f>
        <v/>
      </c>
      <c r="Q1647" s="64">
        <f>IF($A1647="","",IF(O1647&lt;&gt;원인분석!$C$9,"",IF(AND(M1647&gt;=원인분석!$C$10,M1647&lt;=원인분석!$C$11),"당기",IF(AND(M1647&gt;=원인분석!$C$12,M1647&lt;=원인분석!$C$13),"비교",""))))</f>
        <v/>
      </c>
      <c r="R1647" s="9">
        <f>IF(Q1647="","",$K1647&amp;"")</f>
        <v/>
      </c>
      <c r="S1647" s="9">
        <f>IF(Q1647="","",IF(MATCH(R1647,$R$5:$R$100000,0)=ROW()-4,ROW(),""))</f>
        <v/>
      </c>
      <c r="T1647" s="9">
        <f>IF(Q1647="당기",ABS(P1647)+ROW()/1000000000,"")</f>
        <v/>
      </c>
      <c r="U1647" s="9">
        <f>IF(Q1647="비교",ABS(P1647)+ROW()/1000000000,"")</f>
        <v/>
      </c>
      <c r="V1647" s="64">
        <f>IF($A1647="","",IF(COUNTIF(변동분석!$E$7:$E$506,O1647)&gt;0,"Y","N"))</f>
        <v/>
      </c>
      <c r="W1647" s="64">
        <f>IF($A1647="","",IFERROR(INDEX(계정매핑!$D$5:$D$504,MATCH($F1647&amp;"",계정매핑!$A$5:$A$504,0)),"미매핑"))</f>
        <v/>
      </c>
      <c r="X1647" s="9">
        <f>IF($A1647="","",$F1647&amp;"")</f>
        <v/>
      </c>
      <c r="Y1647" s="94">
        <f>IF($A1647="",0,IF(AE1647="직접",IF(AF1647="비귀속",$P1647,0),$P1647*(1-AG1647)*IFERROR(INDEX(계정대체기준!$F$20:$F$49,MATCH($N1647,계정대체기준!$A$20:$A$49,0)),1)))</f>
        <v/>
      </c>
      <c r="Z1647" s="94">
        <f>IF($A1647="",0,IF(AE1647="직접",IF(AF1647="신계약비",$P1647,0),$P1647*(1-AG1647)*IFERROR(INDEX(계정대체기준!$C$20:$C$49,MATCH($N1647,계정대체기준!$A$20:$A$49,0)),0)))</f>
        <v/>
      </c>
      <c r="AA1647" s="94">
        <f>IF($A1647="",0,IF(AE1647="직접",IF(OR(AF1647="유지비",AF1647="손해조사비"),$P1647,0),$P1647*(1-AG1647)*IFERROR(INDEX(계정대체기준!$D$20:$D$49,MATCH($N1647,계정대체기준!$A$20:$A$49,0)),0)))</f>
        <v/>
      </c>
      <c r="AB1647" s="94">
        <f>IF($A1647="",0,IF(AE1647="직접",IF(AF1647="수금비",$P1647,0),$P1647*(1-AG1647)*IFERROR(INDEX(계정대체기준!$E$20:$E$49,MATCH($N1647,계정대체기준!$A$20:$A$49,0)),0)))</f>
        <v/>
      </c>
      <c r="AC1647" s="9">
        <f>IF(AND($A1647&lt;&gt;"",M1647=설정!$C$20,Z1647&gt;0),Z1647+ROW()/1000000000,"")</f>
        <v/>
      </c>
      <c r="AD1647" s="94">
        <f>IF($A1647="",0,$P1647*AG1647)</f>
        <v/>
      </c>
      <c r="AE1647" s="64">
        <f>IF($A1647="","",IFERROR(INDEX(계정매핑!$E$5:$E$504,MATCH($F1647&amp;"",계정매핑!$A$5:$A$504,0))&amp;"","공통비"))</f>
        <v/>
      </c>
      <c r="AF1647" s="64">
        <f>IF($A1647="","",IF(AE1647="직접",IFERROR(INDEX(계정매핑!$F$5:$F$504,MATCH($F1647&amp;"",계정매핑!$A$5:$A$504,0))&amp;"","비귀속"),""))</f>
        <v/>
      </c>
      <c r="AG1647" s="96">
        <f>IF($A1647="",0,IF(AND(AE1647&lt;&gt;"직접",IFERROR(INDEX(계정매핑!$G$5:$G$504,MATCH($F1647&amp;"",계정매핑!$A$5:$A$504,0))&amp;"","")="유지비",COUNTIF(계정대체기준!$A$6:$A$15,$N1647)&gt;0),IFERROR(INDEX(계정대체기준!$E$6:$E$15,MATCH(VALUE($A1647&amp;""),계정대체기준!$D$6:$D$15,0)),0),0))</f>
        <v/>
      </c>
      <c r="AH1647" s="64">
        <f>IF($A1647="","",IF(AD1647=0,"",IF(OR(COUNTIF(계정대체기준!$A$77:$A$86,$N1647)&gt;0,ISNUMBER(MATCH($X1647,계정대체기준!$D$77:$D$86,0)),ISNUMBER(MATCH($F1647,계정대체기준!$D$77:$D$86,0))),"Y","N")))</f>
        <v/>
      </c>
    </row>
    <row r="1648">
      <c r="A1648" s="92" t="n">
        <v>2025</v>
      </c>
      <c r="B1648" s="92" t="n">
        <v>8</v>
      </c>
      <c r="C1648" s="92" t="inlineStr">
        <is>
          <t>5100001644</t>
        </is>
      </c>
      <c r="D1648" s="95" t="n">
        <v>45877</v>
      </c>
      <c r="E1648" s="92" t="inlineStr">
        <is>
          <t>KR</t>
        </is>
      </c>
      <c r="F1648" s="92" t="n">
        <v>63101000</v>
      </c>
      <c r="G1648" s="92" t="n">
        <v>1602</v>
      </c>
      <c r="H1648" s="93" t="n">
        <v>4547000</v>
      </c>
      <c r="I1648" s="92" t="inlineStr">
        <is>
          <t>8월 사무실 임차료 - BB부동산</t>
        </is>
      </c>
      <c r="J1648" s="92" t="inlineStr">
        <is>
          <t>V10028</t>
        </is>
      </c>
      <c r="K1648" s="92" t="inlineStr">
        <is>
          <t>BB부동산</t>
        </is>
      </c>
      <c r="M1648" s="9">
        <f>IF($A1648="","",VALUE($A1648&amp;"")*12+VALUE($B1648&amp;""))</f>
        <v/>
      </c>
      <c r="N1648" s="64">
        <f>IF($A1648="","",IFERROR(INDEX(부서매핑!$C$5:$C$504,MATCH($G1648&amp;"",부서매핑!$A$5:$A$504,0)),"미매핑"))</f>
        <v/>
      </c>
      <c r="O1648" s="9">
        <f>IF($A1648="","",N1648&amp;"|"&amp;$F1648)</f>
        <v/>
      </c>
      <c r="P1648" s="94">
        <f>IF($A1648="",0,$H1648*설정!$C$23)</f>
        <v/>
      </c>
      <c r="Q1648" s="64">
        <f>IF($A1648="","",IF(O1648&lt;&gt;원인분석!$C$9,"",IF(AND(M1648&gt;=원인분석!$C$10,M1648&lt;=원인분석!$C$11),"당기",IF(AND(M1648&gt;=원인분석!$C$12,M1648&lt;=원인분석!$C$13),"비교",""))))</f>
        <v/>
      </c>
      <c r="R1648" s="9">
        <f>IF(Q1648="","",$K1648&amp;"")</f>
        <v/>
      </c>
      <c r="S1648" s="9">
        <f>IF(Q1648="","",IF(MATCH(R1648,$R$5:$R$100000,0)=ROW()-4,ROW(),""))</f>
        <v/>
      </c>
      <c r="T1648" s="9">
        <f>IF(Q1648="당기",ABS(P1648)+ROW()/1000000000,"")</f>
        <v/>
      </c>
      <c r="U1648" s="9">
        <f>IF(Q1648="비교",ABS(P1648)+ROW()/1000000000,"")</f>
        <v/>
      </c>
      <c r="V1648" s="64">
        <f>IF($A1648="","",IF(COUNTIF(변동분석!$E$7:$E$506,O1648)&gt;0,"Y","N"))</f>
        <v/>
      </c>
      <c r="W1648" s="64">
        <f>IF($A1648="","",IFERROR(INDEX(계정매핑!$D$5:$D$504,MATCH($F1648&amp;"",계정매핑!$A$5:$A$504,0)),"미매핑"))</f>
        <v/>
      </c>
      <c r="X1648" s="9">
        <f>IF($A1648="","",$F1648&amp;"")</f>
        <v/>
      </c>
      <c r="Y1648" s="94">
        <f>IF($A1648="",0,IF(AE1648="직접",IF(AF1648="비귀속",$P1648,0),$P1648*(1-AG1648)*IFERROR(INDEX(계정대체기준!$F$20:$F$49,MATCH($N1648,계정대체기준!$A$20:$A$49,0)),1)))</f>
        <v/>
      </c>
      <c r="Z1648" s="94">
        <f>IF($A1648="",0,IF(AE1648="직접",IF(AF1648="신계약비",$P1648,0),$P1648*(1-AG1648)*IFERROR(INDEX(계정대체기준!$C$20:$C$49,MATCH($N1648,계정대체기준!$A$20:$A$49,0)),0)))</f>
        <v/>
      </c>
      <c r="AA1648" s="94">
        <f>IF($A1648="",0,IF(AE1648="직접",IF(OR(AF1648="유지비",AF1648="손해조사비"),$P1648,0),$P1648*(1-AG1648)*IFERROR(INDEX(계정대체기준!$D$20:$D$49,MATCH($N1648,계정대체기준!$A$20:$A$49,0)),0)))</f>
        <v/>
      </c>
      <c r="AB1648" s="94">
        <f>IF($A1648="",0,IF(AE1648="직접",IF(AF1648="수금비",$P1648,0),$P1648*(1-AG1648)*IFERROR(INDEX(계정대체기준!$E$20:$E$49,MATCH($N1648,계정대체기준!$A$20:$A$49,0)),0)))</f>
        <v/>
      </c>
      <c r="AC1648" s="9">
        <f>IF(AND($A1648&lt;&gt;"",M1648=설정!$C$20,Z1648&gt;0),Z1648+ROW()/1000000000,"")</f>
        <v/>
      </c>
      <c r="AD1648" s="94">
        <f>IF($A1648="",0,$P1648*AG1648)</f>
        <v/>
      </c>
      <c r="AE1648" s="64">
        <f>IF($A1648="","",IFERROR(INDEX(계정매핑!$E$5:$E$504,MATCH($F1648&amp;"",계정매핑!$A$5:$A$504,0))&amp;"","공통비"))</f>
        <v/>
      </c>
      <c r="AF1648" s="64">
        <f>IF($A1648="","",IF(AE1648="직접",IFERROR(INDEX(계정매핑!$F$5:$F$504,MATCH($F1648&amp;"",계정매핑!$A$5:$A$504,0))&amp;"","비귀속"),""))</f>
        <v/>
      </c>
      <c r="AG1648" s="96">
        <f>IF($A1648="",0,IF(AND(AE1648&lt;&gt;"직접",IFERROR(INDEX(계정매핑!$G$5:$G$504,MATCH($F1648&amp;"",계정매핑!$A$5:$A$504,0))&amp;"","")="유지비",COUNTIF(계정대체기준!$A$6:$A$15,$N1648)&gt;0),IFERROR(INDEX(계정대체기준!$E$6:$E$15,MATCH(VALUE($A1648&amp;""),계정대체기준!$D$6:$D$15,0)),0),0))</f>
        <v/>
      </c>
      <c r="AH1648" s="64">
        <f>IF($A1648="","",IF(AD1648=0,"",IF(OR(COUNTIF(계정대체기준!$A$77:$A$86,$N1648)&gt;0,ISNUMBER(MATCH($X1648,계정대체기준!$D$77:$D$86,0)),ISNUMBER(MATCH($F1648,계정대체기준!$D$77:$D$86,0))),"Y","N")))</f>
        <v/>
      </c>
    </row>
    <row r="1649">
      <c r="A1649" s="92" t="n">
        <v>2025</v>
      </c>
      <c r="B1649" s="92" t="n">
        <v>8</v>
      </c>
      <c r="C1649" s="92" t="inlineStr">
        <is>
          <t>5100001645</t>
        </is>
      </c>
      <c r="D1649" s="95" t="n">
        <v>45877</v>
      </c>
      <c r="E1649" s="92" t="inlineStr">
        <is>
          <t>KR</t>
        </is>
      </c>
      <c r="F1649" s="92" t="n">
        <v>63501000</v>
      </c>
      <c r="G1649" s="92" t="n">
        <v>1902</v>
      </c>
      <c r="H1649" s="93" t="n">
        <v>290470000</v>
      </c>
      <c r="I1649" s="92" t="inlineStr">
        <is>
          <t>8월 모집수수료 - AA보험대리점</t>
        </is>
      </c>
      <c r="J1649" s="92" t="inlineStr">
        <is>
          <t>V10034</t>
        </is>
      </c>
      <c r="K1649" s="92" t="inlineStr">
        <is>
          <t>AA보험대리점</t>
        </is>
      </c>
      <c r="M1649" s="9">
        <f>IF($A1649="","",VALUE($A1649&amp;"")*12+VALUE($B1649&amp;""))</f>
        <v/>
      </c>
      <c r="N1649" s="64">
        <f>IF($A1649="","",IFERROR(INDEX(부서매핑!$C$5:$C$504,MATCH($G1649&amp;"",부서매핑!$A$5:$A$504,0)),"미매핑"))</f>
        <v/>
      </c>
      <c r="O1649" s="9">
        <f>IF($A1649="","",N1649&amp;"|"&amp;$F1649)</f>
        <v/>
      </c>
      <c r="P1649" s="94">
        <f>IF($A1649="",0,$H1649*설정!$C$23)</f>
        <v/>
      </c>
      <c r="Q1649" s="64">
        <f>IF($A1649="","",IF(O1649&lt;&gt;원인분석!$C$9,"",IF(AND(M1649&gt;=원인분석!$C$10,M1649&lt;=원인분석!$C$11),"당기",IF(AND(M1649&gt;=원인분석!$C$12,M1649&lt;=원인분석!$C$13),"비교",""))))</f>
        <v/>
      </c>
      <c r="R1649" s="9">
        <f>IF(Q1649="","",$K1649&amp;"")</f>
        <v/>
      </c>
      <c r="S1649" s="9">
        <f>IF(Q1649="","",IF(MATCH(R1649,$R$5:$R$100000,0)=ROW()-4,ROW(),""))</f>
        <v/>
      </c>
      <c r="T1649" s="9">
        <f>IF(Q1649="당기",ABS(P1649)+ROW()/1000000000,"")</f>
        <v/>
      </c>
      <c r="U1649" s="9">
        <f>IF(Q1649="비교",ABS(P1649)+ROW()/1000000000,"")</f>
        <v/>
      </c>
      <c r="V1649" s="64">
        <f>IF($A1649="","",IF(COUNTIF(변동분석!$E$7:$E$506,O1649)&gt;0,"Y","N"))</f>
        <v/>
      </c>
      <c r="W1649" s="64">
        <f>IF($A1649="","",IFERROR(INDEX(계정매핑!$D$5:$D$504,MATCH($F1649&amp;"",계정매핑!$A$5:$A$504,0)),"미매핑"))</f>
        <v/>
      </c>
      <c r="X1649" s="9">
        <f>IF($A1649="","",$F1649&amp;"")</f>
        <v/>
      </c>
      <c r="Y1649" s="94">
        <f>IF($A1649="",0,IF(AE1649="직접",IF(AF1649="비귀속",$P1649,0),$P1649*(1-AG1649)*IFERROR(INDEX(계정대체기준!$F$20:$F$49,MATCH($N1649,계정대체기준!$A$20:$A$49,0)),1)))</f>
        <v/>
      </c>
      <c r="Z1649" s="94">
        <f>IF($A1649="",0,IF(AE1649="직접",IF(AF1649="신계약비",$P1649,0),$P1649*(1-AG1649)*IFERROR(INDEX(계정대체기준!$C$20:$C$49,MATCH($N1649,계정대체기준!$A$20:$A$49,0)),0)))</f>
        <v/>
      </c>
      <c r="AA1649" s="94">
        <f>IF($A1649="",0,IF(AE1649="직접",IF(OR(AF1649="유지비",AF1649="손해조사비"),$P1649,0),$P1649*(1-AG1649)*IFERROR(INDEX(계정대체기준!$D$20:$D$49,MATCH($N1649,계정대체기준!$A$20:$A$49,0)),0)))</f>
        <v/>
      </c>
      <c r="AB1649" s="94">
        <f>IF($A1649="",0,IF(AE1649="직접",IF(AF1649="수금비",$P1649,0),$P1649*(1-AG1649)*IFERROR(INDEX(계정대체기준!$E$20:$E$49,MATCH($N1649,계정대체기준!$A$20:$A$49,0)),0)))</f>
        <v/>
      </c>
      <c r="AC1649" s="9">
        <f>IF(AND($A1649&lt;&gt;"",M1649=설정!$C$20,Z1649&gt;0),Z1649+ROW()/1000000000,"")</f>
        <v/>
      </c>
      <c r="AD1649" s="94">
        <f>IF($A1649="",0,$P1649*AG1649)</f>
        <v/>
      </c>
      <c r="AE1649" s="64">
        <f>IF($A1649="","",IFERROR(INDEX(계정매핑!$E$5:$E$504,MATCH($F1649&amp;"",계정매핑!$A$5:$A$504,0))&amp;"","공통비"))</f>
        <v/>
      </c>
      <c r="AF1649" s="64">
        <f>IF($A1649="","",IF(AE1649="직접",IFERROR(INDEX(계정매핑!$F$5:$F$504,MATCH($F1649&amp;"",계정매핑!$A$5:$A$504,0))&amp;"","비귀속"),""))</f>
        <v/>
      </c>
      <c r="AG1649" s="96">
        <f>IF($A1649="",0,IF(AND(AE1649&lt;&gt;"직접",IFERROR(INDEX(계정매핑!$G$5:$G$504,MATCH($F1649&amp;"",계정매핑!$A$5:$A$504,0))&amp;"","")="유지비",COUNTIF(계정대체기준!$A$6:$A$15,$N1649)&gt;0),IFERROR(INDEX(계정대체기준!$E$6:$E$15,MATCH(VALUE($A1649&amp;""),계정대체기준!$D$6:$D$15,0)),0),0))</f>
        <v/>
      </c>
      <c r="AH1649" s="64">
        <f>IF($A1649="","",IF(AD1649=0,"",IF(OR(COUNTIF(계정대체기준!$A$77:$A$86,$N1649)&gt;0,ISNUMBER(MATCH($X1649,계정대체기준!$D$77:$D$86,0)),ISNUMBER(MATCH($F1649,계정대체기준!$D$77:$D$86,0))),"Y","N")))</f>
        <v/>
      </c>
    </row>
    <row r="1650">
      <c r="A1650" s="92" t="n">
        <v>2025</v>
      </c>
      <c r="B1650" s="92" t="n">
        <v>8</v>
      </c>
      <c r="C1650" s="92" t="inlineStr">
        <is>
          <t>5100001646</t>
        </is>
      </c>
      <c r="D1650" s="95" t="n">
        <v>45878</v>
      </c>
      <c r="E1650" s="92" t="inlineStr">
        <is>
          <t>KR</t>
        </is>
      </c>
      <c r="F1650" s="92" t="n">
        <v>62201000</v>
      </c>
      <c r="G1650" s="92" t="n">
        <v>1701</v>
      </c>
      <c r="H1650" s="93" t="n">
        <v>5926000</v>
      </c>
      <c r="I1650" s="92" t="inlineStr">
        <is>
          <t>8월 통신요금 - O텔레콤</t>
        </is>
      </c>
      <c r="J1650" s="92" t="inlineStr">
        <is>
          <t>V10002</t>
        </is>
      </c>
      <c r="K1650" s="92" t="inlineStr">
        <is>
          <t>O텔레콤</t>
        </is>
      </c>
      <c r="M1650" s="9">
        <f>IF($A1650="","",VALUE($A1650&amp;"")*12+VALUE($B1650&amp;""))</f>
        <v/>
      </c>
      <c r="N1650" s="64">
        <f>IF($A1650="","",IFERROR(INDEX(부서매핑!$C$5:$C$504,MATCH($G1650&amp;"",부서매핑!$A$5:$A$504,0)),"미매핑"))</f>
        <v/>
      </c>
      <c r="O1650" s="9">
        <f>IF($A1650="","",N1650&amp;"|"&amp;$F1650)</f>
        <v/>
      </c>
      <c r="P1650" s="94">
        <f>IF($A1650="",0,$H1650*설정!$C$23)</f>
        <v/>
      </c>
      <c r="Q1650" s="64">
        <f>IF($A1650="","",IF(O1650&lt;&gt;원인분석!$C$9,"",IF(AND(M1650&gt;=원인분석!$C$10,M1650&lt;=원인분석!$C$11),"당기",IF(AND(M1650&gt;=원인분석!$C$12,M1650&lt;=원인분석!$C$13),"비교",""))))</f>
        <v/>
      </c>
      <c r="R1650" s="9">
        <f>IF(Q1650="","",$K1650&amp;"")</f>
        <v/>
      </c>
      <c r="S1650" s="9">
        <f>IF(Q1650="","",IF(MATCH(R1650,$R$5:$R$100000,0)=ROW()-4,ROW(),""))</f>
        <v/>
      </c>
      <c r="T1650" s="9">
        <f>IF(Q1650="당기",ABS(P1650)+ROW()/1000000000,"")</f>
        <v/>
      </c>
      <c r="U1650" s="9">
        <f>IF(Q1650="비교",ABS(P1650)+ROW()/1000000000,"")</f>
        <v/>
      </c>
      <c r="V1650" s="64">
        <f>IF($A1650="","",IF(COUNTIF(변동분석!$E$7:$E$506,O1650)&gt;0,"Y","N"))</f>
        <v/>
      </c>
      <c r="W1650" s="64">
        <f>IF($A1650="","",IFERROR(INDEX(계정매핑!$D$5:$D$504,MATCH($F1650&amp;"",계정매핑!$A$5:$A$504,0)),"미매핑"))</f>
        <v/>
      </c>
      <c r="X1650" s="9">
        <f>IF($A1650="","",$F1650&amp;"")</f>
        <v/>
      </c>
      <c r="Y1650" s="94">
        <f>IF($A1650="",0,IF(AE1650="직접",IF(AF1650="비귀속",$P1650,0),$P1650*(1-AG1650)*IFERROR(INDEX(계정대체기준!$F$20:$F$49,MATCH($N1650,계정대체기준!$A$20:$A$49,0)),1)))</f>
        <v/>
      </c>
      <c r="Z1650" s="94">
        <f>IF($A1650="",0,IF(AE1650="직접",IF(AF1650="신계약비",$P1650,0),$P1650*(1-AG1650)*IFERROR(INDEX(계정대체기준!$C$20:$C$49,MATCH($N1650,계정대체기준!$A$20:$A$49,0)),0)))</f>
        <v/>
      </c>
      <c r="AA1650" s="94">
        <f>IF($A1650="",0,IF(AE1650="직접",IF(OR(AF1650="유지비",AF1650="손해조사비"),$P1650,0),$P1650*(1-AG1650)*IFERROR(INDEX(계정대체기준!$D$20:$D$49,MATCH($N1650,계정대체기준!$A$20:$A$49,0)),0)))</f>
        <v/>
      </c>
      <c r="AB1650" s="94">
        <f>IF($A1650="",0,IF(AE1650="직접",IF(AF1650="수금비",$P1650,0),$P1650*(1-AG1650)*IFERROR(INDEX(계정대체기준!$E$20:$E$49,MATCH($N1650,계정대체기준!$A$20:$A$49,0)),0)))</f>
        <v/>
      </c>
      <c r="AC1650" s="9">
        <f>IF(AND($A1650&lt;&gt;"",M1650=설정!$C$20,Z1650&gt;0),Z1650+ROW()/1000000000,"")</f>
        <v/>
      </c>
      <c r="AD1650" s="94">
        <f>IF($A1650="",0,$P1650*AG1650)</f>
        <v/>
      </c>
      <c r="AE1650" s="64">
        <f>IF($A1650="","",IFERROR(INDEX(계정매핑!$E$5:$E$504,MATCH($F1650&amp;"",계정매핑!$A$5:$A$504,0))&amp;"","공통비"))</f>
        <v/>
      </c>
      <c r="AF1650" s="64">
        <f>IF($A1650="","",IF(AE1650="직접",IFERROR(INDEX(계정매핑!$F$5:$F$504,MATCH($F1650&amp;"",계정매핑!$A$5:$A$504,0))&amp;"","비귀속"),""))</f>
        <v/>
      </c>
      <c r="AG1650" s="96">
        <f>IF($A1650="",0,IF(AND(AE1650&lt;&gt;"직접",IFERROR(INDEX(계정매핑!$G$5:$G$504,MATCH($F1650&amp;"",계정매핑!$A$5:$A$504,0))&amp;"","")="유지비",COUNTIF(계정대체기준!$A$6:$A$15,$N1650)&gt;0),IFERROR(INDEX(계정대체기준!$E$6:$E$15,MATCH(VALUE($A1650&amp;""),계정대체기준!$D$6:$D$15,0)),0),0))</f>
        <v/>
      </c>
      <c r="AH1650" s="64">
        <f>IF($A1650="","",IF(AD1650=0,"",IF(OR(COUNTIF(계정대체기준!$A$77:$A$86,$N1650)&gt;0,ISNUMBER(MATCH($X1650,계정대체기준!$D$77:$D$86,0)),ISNUMBER(MATCH($F1650,계정대체기준!$D$77:$D$86,0))),"Y","N")))</f>
        <v/>
      </c>
    </row>
    <row r="1651">
      <c r="A1651" s="92" t="n">
        <v>2025</v>
      </c>
      <c r="B1651" s="92" t="n">
        <v>8</v>
      </c>
      <c r="C1651" s="92" t="inlineStr">
        <is>
          <t>5100001647</t>
        </is>
      </c>
      <c r="D1651" s="95" t="n">
        <v>45878</v>
      </c>
      <c r="E1651" s="92" t="inlineStr">
        <is>
          <t>KR</t>
        </is>
      </c>
      <c r="F1651" s="92" t="n">
        <v>62301000</v>
      </c>
      <c r="G1651" s="92" t="n">
        <v>1501</v>
      </c>
      <c r="H1651" s="93" t="n">
        <v>251000</v>
      </c>
      <c r="I1651" s="92" t="inlineStr">
        <is>
          <t>8월 소모품 구입 - R문구</t>
        </is>
      </c>
      <c r="J1651" s="92" t="inlineStr">
        <is>
          <t>V10022</t>
        </is>
      </c>
      <c r="K1651" s="92" t="inlineStr">
        <is>
          <t>R문구</t>
        </is>
      </c>
      <c r="M1651" s="9">
        <f>IF($A1651="","",VALUE($A1651&amp;"")*12+VALUE($B1651&amp;""))</f>
        <v/>
      </c>
      <c r="N1651" s="64">
        <f>IF($A1651="","",IFERROR(INDEX(부서매핑!$C$5:$C$504,MATCH($G1651&amp;"",부서매핑!$A$5:$A$504,0)),"미매핑"))</f>
        <v/>
      </c>
      <c r="O1651" s="9">
        <f>IF($A1651="","",N1651&amp;"|"&amp;$F1651)</f>
        <v/>
      </c>
      <c r="P1651" s="94">
        <f>IF($A1651="",0,$H1651*설정!$C$23)</f>
        <v/>
      </c>
      <c r="Q1651" s="64">
        <f>IF($A1651="","",IF(O1651&lt;&gt;원인분석!$C$9,"",IF(AND(M1651&gt;=원인분석!$C$10,M1651&lt;=원인분석!$C$11),"당기",IF(AND(M1651&gt;=원인분석!$C$12,M1651&lt;=원인분석!$C$13),"비교",""))))</f>
        <v/>
      </c>
      <c r="R1651" s="9">
        <f>IF(Q1651="","",$K1651&amp;"")</f>
        <v/>
      </c>
      <c r="S1651" s="9">
        <f>IF(Q1651="","",IF(MATCH(R1651,$R$5:$R$100000,0)=ROW()-4,ROW(),""))</f>
        <v/>
      </c>
      <c r="T1651" s="9">
        <f>IF(Q1651="당기",ABS(P1651)+ROW()/1000000000,"")</f>
        <v/>
      </c>
      <c r="U1651" s="9">
        <f>IF(Q1651="비교",ABS(P1651)+ROW()/1000000000,"")</f>
        <v/>
      </c>
      <c r="V1651" s="64">
        <f>IF($A1651="","",IF(COUNTIF(변동분석!$E$7:$E$506,O1651)&gt;0,"Y","N"))</f>
        <v/>
      </c>
      <c r="W1651" s="64">
        <f>IF($A1651="","",IFERROR(INDEX(계정매핑!$D$5:$D$504,MATCH($F1651&amp;"",계정매핑!$A$5:$A$504,0)),"미매핑"))</f>
        <v/>
      </c>
      <c r="X1651" s="9">
        <f>IF($A1651="","",$F1651&amp;"")</f>
        <v/>
      </c>
      <c r="Y1651" s="94">
        <f>IF($A1651="",0,IF(AE1651="직접",IF(AF1651="비귀속",$P1651,0),$P1651*(1-AG1651)*IFERROR(INDEX(계정대체기준!$F$20:$F$49,MATCH($N1651,계정대체기준!$A$20:$A$49,0)),1)))</f>
        <v/>
      </c>
      <c r="Z1651" s="94">
        <f>IF($A1651="",0,IF(AE1651="직접",IF(AF1651="신계약비",$P1651,0),$P1651*(1-AG1651)*IFERROR(INDEX(계정대체기준!$C$20:$C$49,MATCH($N1651,계정대체기준!$A$20:$A$49,0)),0)))</f>
        <v/>
      </c>
      <c r="AA1651" s="94">
        <f>IF($A1651="",0,IF(AE1651="직접",IF(OR(AF1651="유지비",AF1651="손해조사비"),$P1651,0),$P1651*(1-AG1651)*IFERROR(INDEX(계정대체기준!$D$20:$D$49,MATCH($N1651,계정대체기준!$A$20:$A$49,0)),0)))</f>
        <v/>
      </c>
      <c r="AB1651" s="94">
        <f>IF($A1651="",0,IF(AE1651="직접",IF(AF1651="수금비",$P1651,0),$P1651*(1-AG1651)*IFERROR(INDEX(계정대체기준!$E$20:$E$49,MATCH($N1651,계정대체기준!$A$20:$A$49,0)),0)))</f>
        <v/>
      </c>
      <c r="AC1651" s="9">
        <f>IF(AND($A1651&lt;&gt;"",M1651=설정!$C$20,Z1651&gt;0),Z1651+ROW()/1000000000,"")</f>
        <v/>
      </c>
      <c r="AD1651" s="94">
        <f>IF($A1651="",0,$P1651*AG1651)</f>
        <v/>
      </c>
      <c r="AE1651" s="64">
        <f>IF($A1651="","",IFERROR(INDEX(계정매핑!$E$5:$E$504,MATCH($F1651&amp;"",계정매핑!$A$5:$A$504,0))&amp;"","공통비"))</f>
        <v/>
      </c>
      <c r="AF1651" s="64">
        <f>IF($A1651="","",IF(AE1651="직접",IFERROR(INDEX(계정매핑!$F$5:$F$504,MATCH($F1651&amp;"",계정매핑!$A$5:$A$504,0))&amp;"","비귀속"),""))</f>
        <v/>
      </c>
      <c r="AG1651" s="96">
        <f>IF($A1651="",0,IF(AND(AE1651&lt;&gt;"직접",IFERROR(INDEX(계정매핑!$G$5:$G$504,MATCH($F1651&amp;"",계정매핑!$A$5:$A$504,0))&amp;"","")="유지비",COUNTIF(계정대체기준!$A$6:$A$15,$N1651)&gt;0),IFERROR(INDEX(계정대체기준!$E$6:$E$15,MATCH(VALUE($A1651&amp;""),계정대체기준!$D$6:$D$15,0)),0),0))</f>
        <v/>
      </c>
      <c r="AH1651" s="64">
        <f>IF($A1651="","",IF(AD1651=0,"",IF(OR(COUNTIF(계정대체기준!$A$77:$A$86,$N1651)&gt;0,ISNUMBER(MATCH($X1651,계정대체기준!$D$77:$D$86,0)),ISNUMBER(MATCH($F1651,계정대체기준!$D$77:$D$86,0))),"Y","N")))</f>
        <v/>
      </c>
    </row>
    <row r="1652">
      <c r="A1652" s="92" t="n">
        <v>2025</v>
      </c>
      <c r="B1652" s="92" t="n">
        <v>8</v>
      </c>
      <c r="C1652" s="92" t="inlineStr">
        <is>
          <t>5100001648</t>
        </is>
      </c>
      <c r="D1652" s="95" t="n">
        <v>45878</v>
      </c>
      <c r="E1652" s="92" t="inlineStr">
        <is>
          <t>KR</t>
        </is>
      </c>
      <c r="F1652" s="92" t="n">
        <v>62301000</v>
      </c>
      <c r="G1652" s="92" t="n">
        <v>1701</v>
      </c>
      <c r="H1652" s="93" t="n">
        <v>290000</v>
      </c>
      <c r="I1652" s="92" t="inlineStr">
        <is>
          <t>8월 소모품 구입 - Q오피스</t>
        </is>
      </c>
      <c r="J1652" s="92" t="inlineStr">
        <is>
          <t>V10003</t>
        </is>
      </c>
      <c r="K1652" s="92" t="inlineStr">
        <is>
          <t>Q오피스</t>
        </is>
      </c>
      <c r="M1652" s="9">
        <f>IF($A1652="","",VALUE($A1652&amp;"")*12+VALUE($B1652&amp;""))</f>
        <v/>
      </c>
      <c r="N1652" s="64">
        <f>IF($A1652="","",IFERROR(INDEX(부서매핑!$C$5:$C$504,MATCH($G1652&amp;"",부서매핑!$A$5:$A$504,0)),"미매핑"))</f>
        <v/>
      </c>
      <c r="O1652" s="9">
        <f>IF($A1652="","",N1652&amp;"|"&amp;$F1652)</f>
        <v/>
      </c>
      <c r="P1652" s="94">
        <f>IF($A1652="",0,$H1652*설정!$C$23)</f>
        <v/>
      </c>
      <c r="Q1652" s="64">
        <f>IF($A1652="","",IF(O1652&lt;&gt;원인분석!$C$9,"",IF(AND(M1652&gt;=원인분석!$C$10,M1652&lt;=원인분석!$C$11),"당기",IF(AND(M1652&gt;=원인분석!$C$12,M1652&lt;=원인분석!$C$13),"비교",""))))</f>
        <v/>
      </c>
      <c r="R1652" s="9">
        <f>IF(Q1652="","",$K1652&amp;"")</f>
        <v/>
      </c>
      <c r="S1652" s="9">
        <f>IF(Q1652="","",IF(MATCH(R1652,$R$5:$R$100000,0)=ROW()-4,ROW(),""))</f>
        <v/>
      </c>
      <c r="T1652" s="9">
        <f>IF(Q1652="당기",ABS(P1652)+ROW()/1000000000,"")</f>
        <v/>
      </c>
      <c r="U1652" s="9">
        <f>IF(Q1652="비교",ABS(P1652)+ROW()/1000000000,"")</f>
        <v/>
      </c>
      <c r="V1652" s="64">
        <f>IF($A1652="","",IF(COUNTIF(변동분석!$E$7:$E$506,O1652)&gt;0,"Y","N"))</f>
        <v/>
      </c>
      <c r="W1652" s="64">
        <f>IF($A1652="","",IFERROR(INDEX(계정매핑!$D$5:$D$504,MATCH($F1652&amp;"",계정매핑!$A$5:$A$504,0)),"미매핑"))</f>
        <v/>
      </c>
      <c r="X1652" s="9">
        <f>IF($A1652="","",$F1652&amp;"")</f>
        <v/>
      </c>
      <c r="Y1652" s="94">
        <f>IF($A1652="",0,IF(AE1652="직접",IF(AF1652="비귀속",$P1652,0),$P1652*(1-AG1652)*IFERROR(INDEX(계정대체기준!$F$20:$F$49,MATCH($N1652,계정대체기준!$A$20:$A$49,0)),1)))</f>
        <v/>
      </c>
      <c r="Z1652" s="94">
        <f>IF($A1652="",0,IF(AE1652="직접",IF(AF1652="신계약비",$P1652,0),$P1652*(1-AG1652)*IFERROR(INDEX(계정대체기준!$C$20:$C$49,MATCH($N1652,계정대체기준!$A$20:$A$49,0)),0)))</f>
        <v/>
      </c>
      <c r="AA1652" s="94">
        <f>IF($A1652="",0,IF(AE1652="직접",IF(OR(AF1652="유지비",AF1652="손해조사비"),$P1652,0),$P1652*(1-AG1652)*IFERROR(INDEX(계정대체기준!$D$20:$D$49,MATCH($N1652,계정대체기준!$A$20:$A$49,0)),0)))</f>
        <v/>
      </c>
      <c r="AB1652" s="94">
        <f>IF($A1652="",0,IF(AE1652="직접",IF(AF1652="수금비",$P1652,0),$P1652*(1-AG1652)*IFERROR(INDEX(계정대체기준!$E$20:$E$49,MATCH($N1652,계정대체기준!$A$20:$A$49,0)),0)))</f>
        <v/>
      </c>
      <c r="AC1652" s="9">
        <f>IF(AND($A1652&lt;&gt;"",M1652=설정!$C$20,Z1652&gt;0),Z1652+ROW()/1000000000,"")</f>
        <v/>
      </c>
      <c r="AD1652" s="94">
        <f>IF($A1652="",0,$P1652*AG1652)</f>
        <v/>
      </c>
      <c r="AE1652" s="64">
        <f>IF($A1652="","",IFERROR(INDEX(계정매핑!$E$5:$E$504,MATCH($F1652&amp;"",계정매핑!$A$5:$A$504,0))&amp;"","공통비"))</f>
        <v/>
      </c>
      <c r="AF1652" s="64">
        <f>IF($A1652="","",IF(AE1652="직접",IFERROR(INDEX(계정매핑!$F$5:$F$504,MATCH($F1652&amp;"",계정매핑!$A$5:$A$504,0))&amp;"","비귀속"),""))</f>
        <v/>
      </c>
      <c r="AG1652" s="96">
        <f>IF($A1652="",0,IF(AND(AE1652&lt;&gt;"직접",IFERROR(INDEX(계정매핑!$G$5:$G$504,MATCH($F1652&amp;"",계정매핑!$A$5:$A$504,0))&amp;"","")="유지비",COUNTIF(계정대체기준!$A$6:$A$15,$N1652)&gt;0),IFERROR(INDEX(계정대체기준!$E$6:$E$15,MATCH(VALUE($A1652&amp;""),계정대체기준!$D$6:$D$15,0)),0),0))</f>
        <v/>
      </c>
      <c r="AH1652" s="64">
        <f>IF($A1652="","",IF(AD1652=0,"",IF(OR(COUNTIF(계정대체기준!$A$77:$A$86,$N1652)&gt;0,ISNUMBER(MATCH($X1652,계정대체기준!$D$77:$D$86,0)),ISNUMBER(MATCH($F1652,계정대체기준!$D$77:$D$86,0))),"Y","N")))</f>
        <v/>
      </c>
    </row>
    <row r="1653">
      <c r="A1653" s="92" t="n">
        <v>2025</v>
      </c>
      <c r="B1653" s="92" t="n">
        <v>8</v>
      </c>
      <c r="C1653" s="92" t="inlineStr">
        <is>
          <t>5100001649</t>
        </is>
      </c>
      <c r="D1653" s="95" t="n">
        <v>45878</v>
      </c>
      <c r="E1653" s="92" t="inlineStr">
        <is>
          <t>KR</t>
        </is>
      </c>
      <c r="F1653" s="92" t="n">
        <v>62401000</v>
      </c>
      <c r="G1653" s="92" t="n">
        <v>1401</v>
      </c>
      <c r="H1653" s="93" t="n">
        <v>266000</v>
      </c>
      <c r="I1653" s="92" t="inlineStr">
        <is>
          <t>8월 인쇄물 제작 - G인쇄</t>
        </is>
      </c>
      <c r="J1653" s="92" t="inlineStr">
        <is>
          <t>V10004</t>
        </is>
      </c>
      <c r="K1653" s="92" t="inlineStr">
        <is>
          <t>G인쇄</t>
        </is>
      </c>
      <c r="M1653" s="9">
        <f>IF($A1653="","",VALUE($A1653&amp;"")*12+VALUE($B1653&amp;""))</f>
        <v/>
      </c>
      <c r="N1653" s="64">
        <f>IF($A1653="","",IFERROR(INDEX(부서매핑!$C$5:$C$504,MATCH($G1653&amp;"",부서매핑!$A$5:$A$504,0)),"미매핑"))</f>
        <v/>
      </c>
      <c r="O1653" s="9">
        <f>IF($A1653="","",N1653&amp;"|"&amp;$F1653)</f>
        <v/>
      </c>
      <c r="P1653" s="94">
        <f>IF($A1653="",0,$H1653*설정!$C$23)</f>
        <v/>
      </c>
      <c r="Q1653" s="64">
        <f>IF($A1653="","",IF(O1653&lt;&gt;원인분석!$C$9,"",IF(AND(M1653&gt;=원인분석!$C$10,M1653&lt;=원인분석!$C$11),"당기",IF(AND(M1653&gt;=원인분석!$C$12,M1653&lt;=원인분석!$C$13),"비교",""))))</f>
        <v/>
      </c>
      <c r="R1653" s="9">
        <f>IF(Q1653="","",$K1653&amp;"")</f>
        <v/>
      </c>
      <c r="S1653" s="9">
        <f>IF(Q1653="","",IF(MATCH(R1653,$R$5:$R$100000,0)=ROW()-4,ROW(),""))</f>
        <v/>
      </c>
      <c r="T1653" s="9">
        <f>IF(Q1653="당기",ABS(P1653)+ROW()/1000000000,"")</f>
        <v/>
      </c>
      <c r="U1653" s="9">
        <f>IF(Q1653="비교",ABS(P1653)+ROW()/1000000000,"")</f>
        <v/>
      </c>
      <c r="V1653" s="64">
        <f>IF($A1653="","",IF(COUNTIF(변동분석!$E$7:$E$506,O1653)&gt;0,"Y","N"))</f>
        <v/>
      </c>
      <c r="W1653" s="64">
        <f>IF($A1653="","",IFERROR(INDEX(계정매핑!$D$5:$D$504,MATCH($F1653&amp;"",계정매핑!$A$5:$A$504,0)),"미매핑"))</f>
        <v/>
      </c>
      <c r="X1653" s="9">
        <f>IF($A1653="","",$F1653&amp;"")</f>
        <v/>
      </c>
      <c r="Y1653" s="94">
        <f>IF($A1653="",0,IF(AE1653="직접",IF(AF1653="비귀속",$P1653,0),$P1653*(1-AG1653)*IFERROR(INDEX(계정대체기준!$F$20:$F$49,MATCH($N1653,계정대체기준!$A$20:$A$49,0)),1)))</f>
        <v/>
      </c>
      <c r="Z1653" s="94">
        <f>IF($A1653="",0,IF(AE1653="직접",IF(AF1653="신계약비",$P1653,0),$P1653*(1-AG1653)*IFERROR(INDEX(계정대체기준!$C$20:$C$49,MATCH($N1653,계정대체기준!$A$20:$A$49,0)),0)))</f>
        <v/>
      </c>
      <c r="AA1653" s="94">
        <f>IF($A1653="",0,IF(AE1653="직접",IF(OR(AF1653="유지비",AF1653="손해조사비"),$P1653,0),$P1653*(1-AG1653)*IFERROR(INDEX(계정대체기준!$D$20:$D$49,MATCH($N1653,계정대체기준!$A$20:$A$49,0)),0)))</f>
        <v/>
      </c>
      <c r="AB1653" s="94">
        <f>IF($A1653="",0,IF(AE1653="직접",IF(AF1653="수금비",$P1653,0),$P1653*(1-AG1653)*IFERROR(INDEX(계정대체기준!$E$20:$E$49,MATCH($N1653,계정대체기준!$A$20:$A$49,0)),0)))</f>
        <v/>
      </c>
      <c r="AC1653" s="9">
        <f>IF(AND($A1653&lt;&gt;"",M1653=설정!$C$20,Z1653&gt;0),Z1653+ROW()/1000000000,"")</f>
        <v/>
      </c>
      <c r="AD1653" s="94">
        <f>IF($A1653="",0,$P1653*AG1653)</f>
        <v/>
      </c>
      <c r="AE1653" s="64">
        <f>IF($A1653="","",IFERROR(INDEX(계정매핑!$E$5:$E$504,MATCH($F1653&amp;"",계정매핑!$A$5:$A$504,0))&amp;"","공통비"))</f>
        <v/>
      </c>
      <c r="AF1653" s="64">
        <f>IF($A1653="","",IF(AE1653="직접",IFERROR(INDEX(계정매핑!$F$5:$F$504,MATCH($F1653&amp;"",계정매핑!$A$5:$A$504,0))&amp;"","비귀속"),""))</f>
        <v/>
      </c>
      <c r="AG1653" s="96">
        <f>IF($A1653="",0,IF(AND(AE1653&lt;&gt;"직접",IFERROR(INDEX(계정매핑!$G$5:$G$504,MATCH($F1653&amp;"",계정매핑!$A$5:$A$504,0))&amp;"","")="유지비",COUNTIF(계정대체기준!$A$6:$A$15,$N1653)&gt;0),IFERROR(INDEX(계정대체기준!$E$6:$E$15,MATCH(VALUE($A1653&amp;""),계정대체기준!$D$6:$D$15,0)),0),0))</f>
        <v/>
      </c>
      <c r="AH1653" s="64">
        <f>IF($A1653="","",IF(AD1653=0,"",IF(OR(COUNTIF(계정대체기준!$A$77:$A$86,$N1653)&gt;0,ISNUMBER(MATCH($X1653,계정대체기준!$D$77:$D$86,0)),ISNUMBER(MATCH($F1653,계정대체기준!$D$77:$D$86,0))),"Y","N")))</f>
        <v/>
      </c>
    </row>
    <row r="1654">
      <c r="A1654" s="92" t="n">
        <v>2025</v>
      </c>
      <c r="B1654" s="92" t="n">
        <v>8</v>
      </c>
      <c r="C1654" s="92" t="inlineStr">
        <is>
          <t>5100001650</t>
        </is>
      </c>
      <c r="D1654" s="95" t="n">
        <v>45878</v>
      </c>
      <c r="E1654" s="92" t="inlineStr">
        <is>
          <t>KR</t>
        </is>
      </c>
      <c r="F1654" s="92" t="n">
        <v>62401000</v>
      </c>
      <c r="G1654" s="92" t="n">
        <v>1502</v>
      </c>
      <c r="H1654" s="93" t="n">
        <v>1520000</v>
      </c>
      <c r="I1654" s="92" t="inlineStr">
        <is>
          <t>8월 인쇄물 제작 - G인쇄</t>
        </is>
      </c>
      <c r="J1654" s="92" t="inlineStr">
        <is>
          <t>V10004</t>
        </is>
      </c>
      <c r="K1654" s="92" t="inlineStr">
        <is>
          <t>G인쇄</t>
        </is>
      </c>
      <c r="M1654" s="9">
        <f>IF($A1654="","",VALUE($A1654&amp;"")*12+VALUE($B1654&amp;""))</f>
        <v/>
      </c>
      <c r="N1654" s="64">
        <f>IF($A1654="","",IFERROR(INDEX(부서매핑!$C$5:$C$504,MATCH($G1654&amp;"",부서매핑!$A$5:$A$504,0)),"미매핑"))</f>
        <v/>
      </c>
      <c r="O1654" s="9">
        <f>IF($A1654="","",N1654&amp;"|"&amp;$F1654)</f>
        <v/>
      </c>
      <c r="P1654" s="94">
        <f>IF($A1654="",0,$H1654*설정!$C$23)</f>
        <v/>
      </c>
      <c r="Q1654" s="64">
        <f>IF($A1654="","",IF(O1654&lt;&gt;원인분석!$C$9,"",IF(AND(M1654&gt;=원인분석!$C$10,M1654&lt;=원인분석!$C$11),"당기",IF(AND(M1654&gt;=원인분석!$C$12,M1654&lt;=원인분석!$C$13),"비교",""))))</f>
        <v/>
      </c>
      <c r="R1654" s="9">
        <f>IF(Q1654="","",$K1654&amp;"")</f>
        <v/>
      </c>
      <c r="S1654" s="9">
        <f>IF(Q1654="","",IF(MATCH(R1654,$R$5:$R$100000,0)=ROW()-4,ROW(),""))</f>
        <v/>
      </c>
      <c r="T1654" s="9">
        <f>IF(Q1654="당기",ABS(P1654)+ROW()/1000000000,"")</f>
        <v/>
      </c>
      <c r="U1654" s="9">
        <f>IF(Q1654="비교",ABS(P1654)+ROW()/1000000000,"")</f>
        <v/>
      </c>
      <c r="V1654" s="64">
        <f>IF($A1654="","",IF(COUNTIF(변동분석!$E$7:$E$506,O1654)&gt;0,"Y","N"))</f>
        <v/>
      </c>
      <c r="W1654" s="64">
        <f>IF($A1654="","",IFERROR(INDEX(계정매핑!$D$5:$D$504,MATCH($F1654&amp;"",계정매핑!$A$5:$A$504,0)),"미매핑"))</f>
        <v/>
      </c>
      <c r="X1654" s="9">
        <f>IF($A1654="","",$F1654&amp;"")</f>
        <v/>
      </c>
      <c r="Y1654" s="94">
        <f>IF($A1654="",0,IF(AE1654="직접",IF(AF1654="비귀속",$P1654,0),$P1654*(1-AG1654)*IFERROR(INDEX(계정대체기준!$F$20:$F$49,MATCH($N1654,계정대체기준!$A$20:$A$49,0)),1)))</f>
        <v/>
      </c>
      <c r="Z1654" s="94">
        <f>IF($A1654="",0,IF(AE1654="직접",IF(AF1654="신계약비",$P1654,0),$P1654*(1-AG1654)*IFERROR(INDEX(계정대체기준!$C$20:$C$49,MATCH($N1654,계정대체기준!$A$20:$A$49,0)),0)))</f>
        <v/>
      </c>
      <c r="AA1654" s="94">
        <f>IF($A1654="",0,IF(AE1654="직접",IF(OR(AF1654="유지비",AF1654="손해조사비"),$P1654,0),$P1654*(1-AG1654)*IFERROR(INDEX(계정대체기준!$D$20:$D$49,MATCH($N1654,계정대체기준!$A$20:$A$49,0)),0)))</f>
        <v/>
      </c>
      <c r="AB1654" s="94">
        <f>IF($A1654="",0,IF(AE1654="직접",IF(AF1654="수금비",$P1654,0),$P1654*(1-AG1654)*IFERROR(INDEX(계정대체기준!$E$20:$E$49,MATCH($N1654,계정대체기준!$A$20:$A$49,0)),0)))</f>
        <v/>
      </c>
      <c r="AC1654" s="9">
        <f>IF(AND($A1654&lt;&gt;"",M1654=설정!$C$20,Z1654&gt;0),Z1654+ROW()/1000000000,"")</f>
        <v/>
      </c>
      <c r="AD1654" s="94">
        <f>IF($A1654="",0,$P1654*AG1654)</f>
        <v/>
      </c>
      <c r="AE1654" s="64">
        <f>IF($A1654="","",IFERROR(INDEX(계정매핑!$E$5:$E$504,MATCH($F1654&amp;"",계정매핑!$A$5:$A$504,0))&amp;"","공통비"))</f>
        <v/>
      </c>
      <c r="AF1654" s="64">
        <f>IF($A1654="","",IF(AE1654="직접",IFERROR(INDEX(계정매핑!$F$5:$F$504,MATCH($F1654&amp;"",계정매핑!$A$5:$A$504,0))&amp;"","비귀속"),""))</f>
        <v/>
      </c>
      <c r="AG1654" s="96">
        <f>IF($A1654="",0,IF(AND(AE1654&lt;&gt;"직접",IFERROR(INDEX(계정매핑!$G$5:$G$504,MATCH($F1654&amp;"",계정매핑!$A$5:$A$504,0))&amp;"","")="유지비",COUNTIF(계정대체기준!$A$6:$A$15,$N1654)&gt;0),IFERROR(INDEX(계정대체기준!$E$6:$E$15,MATCH(VALUE($A1654&amp;""),계정대체기준!$D$6:$D$15,0)),0),0))</f>
        <v/>
      </c>
      <c r="AH1654" s="64">
        <f>IF($A1654="","",IF(AD1654=0,"",IF(OR(COUNTIF(계정대체기준!$A$77:$A$86,$N1654)&gt;0,ISNUMBER(MATCH($X1654,계정대체기준!$D$77:$D$86,0)),ISNUMBER(MATCH($F1654,계정대체기준!$D$77:$D$86,0))),"Y","N")))</f>
        <v/>
      </c>
    </row>
    <row r="1655">
      <c r="A1655" s="92" t="n">
        <v>2025</v>
      </c>
      <c r="B1655" s="92" t="n">
        <v>8</v>
      </c>
      <c r="C1655" s="92" t="inlineStr">
        <is>
          <t>5100001651</t>
        </is>
      </c>
      <c r="D1655" s="95" t="n">
        <v>45878</v>
      </c>
      <c r="E1655" s="92" t="inlineStr">
        <is>
          <t>KR</t>
        </is>
      </c>
      <c r="F1655" s="92" t="n">
        <v>62501000</v>
      </c>
      <c r="G1655" s="92" t="n">
        <v>1801</v>
      </c>
      <c r="H1655" s="93" t="n">
        <v>119000</v>
      </c>
      <c r="I1655" s="92" t="inlineStr">
        <is>
          <t>8월 회의 다과 - (법인카드)</t>
        </is>
      </c>
      <c r="J1655" s="92" t="inlineStr">
        <is>
          <t>V10010</t>
        </is>
      </c>
      <c r="K1655" s="92" t="inlineStr">
        <is>
          <t>(법인카드)</t>
        </is>
      </c>
      <c r="M1655" s="9">
        <f>IF($A1655="","",VALUE($A1655&amp;"")*12+VALUE($B1655&amp;""))</f>
        <v/>
      </c>
      <c r="N1655" s="64">
        <f>IF($A1655="","",IFERROR(INDEX(부서매핑!$C$5:$C$504,MATCH($G1655&amp;"",부서매핑!$A$5:$A$504,0)),"미매핑"))</f>
        <v/>
      </c>
      <c r="O1655" s="9">
        <f>IF($A1655="","",N1655&amp;"|"&amp;$F1655)</f>
        <v/>
      </c>
      <c r="P1655" s="94">
        <f>IF($A1655="",0,$H1655*설정!$C$23)</f>
        <v/>
      </c>
      <c r="Q1655" s="64">
        <f>IF($A1655="","",IF(O1655&lt;&gt;원인분석!$C$9,"",IF(AND(M1655&gt;=원인분석!$C$10,M1655&lt;=원인분석!$C$11),"당기",IF(AND(M1655&gt;=원인분석!$C$12,M1655&lt;=원인분석!$C$13),"비교",""))))</f>
        <v/>
      </c>
      <c r="R1655" s="9">
        <f>IF(Q1655="","",$K1655&amp;"")</f>
        <v/>
      </c>
      <c r="S1655" s="9">
        <f>IF(Q1655="","",IF(MATCH(R1655,$R$5:$R$100000,0)=ROW()-4,ROW(),""))</f>
        <v/>
      </c>
      <c r="T1655" s="9">
        <f>IF(Q1655="당기",ABS(P1655)+ROW()/1000000000,"")</f>
        <v/>
      </c>
      <c r="U1655" s="9">
        <f>IF(Q1655="비교",ABS(P1655)+ROW()/1000000000,"")</f>
        <v/>
      </c>
      <c r="V1655" s="64">
        <f>IF($A1655="","",IF(COUNTIF(변동분석!$E$7:$E$506,O1655)&gt;0,"Y","N"))</f>
        <v/>
      </c>
      <c r="W1655" s="64">
        <f>IF($A1655="","",IFERROR(INDEX(계정매핑!$D$5:$D$504,MATCH($F1655&amp;"",계정매핑!$A$5:$A$504,0)),"미매핑"))</f>
        <v/>
      </c>
      <c r="X1655" s="9">
        <f>IF($A1655="","",$F1655&amp;"")</f>
        <v/>
      </c>
      <c r="Y1655" s="94">
        <f>IF($A1655="",0,IF(AE1655="직접",IF(AF1655="비귀속",$P1655,0),$P1655*(1-AG1655)*IFERROR(INDEX(계정대체기준!$F$20:$F$49,MATCH($N1655,계정대체기준!$A$20:$A$49,0)),1)))</f>
        <v/>
      </c>
      <c r="Z1655" s="94">
        <f>IF($A1655="",0,IF(AE1655="직접",IF(AF1655="신계약비",$P1655,0),$P1655*(1-AG1655)*IFERROR(INDEX(계정대체기준!$C$20:$C$49,MATCH($N1655,계정대체기준!$A$20:$A$49,0)),0)))</f>
        <v/>
      </c>
      <c r="AA1655" s="94">
        <f>IF($A1655="",0,IF(AE1655="직접",IF(OR(AF1655="유지비",AF1655="손해조사비"),$P1655,0),$P1655*(1-AG1655)*IFERROR(INDEX(계정대체기준!$D$20:$D$49,MATCH($N1655,계정대체기준!$A$20:$A$49,0)),0)))</f>
        <v/>
      </c>
      <c r="AB1655" s="94">
        <f>IF($A1655="",0,IF(AE1655="직접",IF(AF1655="수금비",$P1655,0),$P1655*(1-AG1655)*IFERROR(INDEX(계정대체기준!$E$20:$E$49,MATCH($N1655,계정대체기준!$A$20:$A$49,0)),0)))</f>
        <v/>
      </c>
      <c r="AC1655" s="9">
        <f>IF(AND($A1655&lt;&gt;"",M1655=설정!$C$20,Z1655&gt;0),Z1655+ROW()/1000000000,"")</f>
        <v/>
      </c>
      <c r="AD1655" s="94">
        <f>IF($A1655="",0,$P1655*AG1655)</f>
        <v/>
      </c>
      <c r="AE1655" s="64">
        <f>IF($A1655="","",IFERROR(INDEX(계정매핑!$E$5:$E$504,MATCH($F1655&amp;"",계정매핑!$A$5:$A$504,0))&amp;"","공통비"))</f>
        <v/>
      </c>
      <c r="AF1655" s="64">
        <f>IF($A1655="","",IF(AE1655="직접",IFERROR(INDEX(계정매핑!$F$5:$F$504,MATCH($F1655&amp;"",계정매핑!$A$5:$A$504,0))&amp;"","비귀속"),""))</f>
        <v/>
      </c>
      <c r="AG1655" s="96">
        <f>IF($A1655="",0,IF(AND(AE1655&lt;&gt;"직접",IFERROR(INDEX(계정매핑!$G$5:$G$504,MATCH($F1655&amp;"",계정매핑!$A$5:$A$504,0))&amp;"","")="유지비",COUNTIF(계정대체기준!$A$6:$A$15,$N1655)&gt;0),IFERROR(INDEX(계정대체기준!$E$6:$E$15,MATCH(VALUE($A1655&amp;""),계정대체기준!$D$6:$D$15,0)),0),0))</f>
        <v/>
      </c>
      <c r="AH1655" s="64">
        <f>IF($A1655="","",IF(AD1655=0,"",IF(OR(COUNTIF(계정대체기준!$A$77:$A$86,$N1655)&gt;0,ISNUMBER(MATCH($X1655,계정대체기준!$D$77:$D$86,0)),ISNUMBER(MATCH($F1655,계정대체기준!$D$77:$D$86,0))),"Y","N")))</f>
        <v/>
      </c>
    </row>
    <row r="1656">
      <c r="A1656" s="92" t="n">
        <v>2025</v>
      </c>
      <c r="B1656" s="92" t="n">
        <v>8</v>
      </c>
      <c r="C1656" s="92" t="inlineStr">
        <is>
          <t>5100001652</t>
        </is>
      </c>
      <c r="D1656" s="95" t="n">
        <v>45878</v>
      </c>
      <c r="E1656" s="92" t="inlineStr">
        <is>
          <t>KR</t>
        </is>
      </c>
      <c r="F1656" s="92" t="n">
        <v>62902000</v>
      </c>
      <c r="G1656" s="92" t="n">
        <v>1801</v>
      </c>
      <c r="H1656" s="93" t="n">
        <v>1776000</v>
      </c>
      <c r="I1656" s="92" t="inlineStr">
        <is>
          <t>8월 콜 위탁 수수료(건별)</t>
        </is>
      </c>
      <c r="J1656" s="92" t="inlineStr">
        <is>
          <t>V10016</t>
        </is>
      </c>
      <c r="K1656" s="92" t="inlineStr">
        <is>
          <t>J콜센터</t>
        </is>
      </c>
      <c r="M1656" s="9">
        <f>IF($A1656="","",VALUE($A1656&amp;"")*12+VALUE($B1656&amp;""))</f>
        <v/>
      </c>
      <c r="N1656" s="64">
        <f>IF($A1656="","",IFERROR(INDEX(부서매핑!$C$5:$C$504,MATCH($G1656&amp;"",부서매핑!$A$5:$A$504,0)),"미매핑"))</f>
        <v/>
      </c>
      <c r="O1656" s="9">
        <f>IF($A1656="","",N1656&amp;"|"&amp;$F1656)</f>
        <v/>
      </c>
      <c r="P1656" s="94">
        <f>IF($A1656="",0,$H1656*설정!$C$23)</f>
        <v/>
      </c>
      <c r="Q1656" s="64">
        <f>IF($A1656="","",IF(O1656&lt;&gt;원인분석!$C$9,"",IF(AND(M1656&gt;=원인분석!$C$10,M1656&lt;=원인분석!$C$11),"당기",IF(AND(M1656&gt;=원인분석!$C$12,M1656&lt;=원인분석!$C$13),"비교",""))))</f>
        <v/>
      </c>
      <c r="R1656" s="9">
        <f>IF(Q1656="","",$K1656&amp;"")</f>
        <v/>
      </c>
      <c r="S1656" s="9">
        <f>IF(Q1656="","",IF(MATCH(R1656,$R$5:$R$100000,0)=ROW()-4,ROW(),""))</f>
        <v/>
      </c>
      <c r="T1656" s="9">
        <f>IF(Q1656="당기",ABS(P1656)+ROW()/1000000000,"")</f>
        <v/>
      </c>
      <c r="U1656" s="9">
        <f>IF(Q1656="비교",ABS(P1656)+ROW()/1000000000,"")</f>
        <v/>
      </c>
      <c r="V1656" s="64">
        <f>IF($A1656="","",IF(COUNTIF(변동분석!$E$7:$E$506,O1656)&gt;0,"Y","N"))</f>
        <v/>
      </c>
      <c r="W1656" s="64">
        <f>IF($A1656="","",IFERROR(INDEX(계정매핑!$D$5:$D$504,MATCH($F1656&amp;"",계정매핑!$A$5:$A$504,0)),"미매핑"))</f>
        <v/>
      </c>
      <c r="X1656" s="9">
        <f>IF($A1656="","",$F1656&amp;"")</f>
        <v/>
      </c>
      <c r="Y1656" s="94">
        <f>IF($A1656="",0,IF(AE1656="직접",IF(AF1656="비귀속",$P1656,0),$P1656*(1-AG1656)*IFERROR(INDEX(계정대체기준!$F$20:$F$49,MATCH($N1656,계정대체기준!$A$20:$A$49,0)),1)))</f>
        <v/>
      </c>
      <c r="Z1656" s="94">
        <f>IF($A1656="",0,IF(AE1656="직접",IF(AF1656="신계약비",$P1656,0),$P1656*(1-AG1656)*IFERROR(INDEX(계정대체기준!$C$20:$C$49,MATCH($N1656,계정대체기준!$A$20:$A$49,0)),0)))</f>
        <v/>
      </c>
      <c r="AA1656" s="94">
        <f>IF($A1656="",0,IF(AE1656="직접",IF(OR(AF1656="유지비",AF1656="손해조사비"),$P1656,0),$P1656*(1-AG1656)*IFERROR(INDEX(계정대체기준!$D$20:$D$49,MATCH($N1656,계정대체기준!$A$20:$A$49,0)),0)))</f>
        <v/>
      </c>
      <c r="AB1656" s="94">
        <f>IF($A1656="",0,IF(AE1656="직접",IF(AF1656="수금비",$P1656,0),$P1656*(1-AG1656)*IFERROR(INDEX(계정대체기준!$E$20:$E$49,MATCH($N1656,계정대체기준!$A$20:$A$49,0)),0)))</f>
        <v/>
      </c>
      <c r="AC1656" s="9">
        <f>IF(AND($A1656&lt;&gt;"",M1656=설정!$C$20,Z1656&gt;0),Z1656+ROW()/1000000000,"")</f>
        <v/>
      </c>
      <c r="AD1656" s="94">
        <f>IF($A1656="",0,$P1656*AG1656)</f>
        <v/>
      </c>
      <c r="AE1656" s="64">
        <f>IF($A1656="","",IFERROR(INDEX(계정매핑!$E$5:$E$504,MATCH($F1656&amp;"",계정매핑!$A$5:$A$504,0))&amp;"","공통비"))</f>
        <v/>
      </c>
      <c r="AF1656" s="64">
        <f>IF($A1656="","",IF(AE1656="직접",IFERROR(INDEX(계정매핑!$F$5:$F$504,MATCH($F1656&amp;"",계정매핑!$A$5:$A$504,0))&amp;"","비귀속"),""))</f>
        <v/>
      </c>
      <c r="AG1656" s="96">
        <f>IF($A1656="",0,IF(AND(AE1656&lt;&gt;"직접",IFERROR(INDEX(계정매핑!$G$5:$G$504,MATCH($F1656&amp;"",계정매핑!$A$5:$A$504,0))&amp;"","")="유지비",COUNTIF(계정대체기준!$A$6:$A$15,$N1656)&gt;0),IFERROR(INDEX(계정대체기준!$E$6:$E$15,MATCH(VALUE($A1656&amp;""),계정대체기준!$D$6:$D$15,0)),0),0))</f>
        <v/>
      </c>
      <c r="AH1656" s="64">
        <f>IF($A1656="","",IF(AD1656=0,"",IF(OR(COUNTIF(계정대체기준!$A$77:$A$86,$N1656)&gt;0,ISNUMBER(MATCH($X1656,계정대체기준!$D$77:$D$86,0)),ISNUMBER(MATCH($F1656,계정대체기준!$D$77:$D$86,0))),"Y","N")))</f>
        <v/>
      </c>
    </row>
    <row r="1657">
      <c r="A1657" s="92" t="n">
        <v>2025</v>
      </c>
      <c r="B1657" s="92" t="n">
        <v>8</v>
      </c>
      <c r="C1657" s="92" t="inlineStr">
        <is>
          <t>5100001653</t>
        </is>
      </c>
      <c r="D1657" s="95" t="n">
        <v>45878</v>
      </c>
      <c r="E1657" s="92" t="inlineStr">
        <is>
          <t>KR</t>
        </is>
      </c>
      <c r="F1657" s="92" t="n">
        <v>63502000</v>
      </c>
      <c r="G1657" s="92" t="n">
        <v>1901</v>
      </c>
      <c r="H1657" s="93" t="n">
        <v>143251000</v>
      </c>
      <c r="I1657" s="92" t="inlineStr">
        <is>
          <t>8월 유지수수료 - (전속설계사)</t>
        </is>
      </c>
      <c r="J1657" s="92" t="inlineStr">
        <is>
          <t>V10021</t>
        </is>
      </c>
      <c r="K1657" s="92" t="inlineStr">
        <is>
          <t>(전속설계사)</t>
        </is>
      </c>
      <c r="M1657" s="9">
        <f>IF($A1657="","",VALUE($A1657&amp;"")*12+VALUE($B1657&amp;""))</f>
        <v/>
      </c>
      <c r="N1657" s="64">
        <f>IF($A1657="","",IFERROR(INDEX(부서매핑!$C$5:$C$504,MATCH($G1657&amp;"",부서매핑!$A$5:$A$504,0)),"미매핑"))</f>
        <v/>
      </c>
      <c r="O1657" s="9">
        <f>IF($A1657="","",N1657&amp;"|"&amp;$F1657)</f>
        <v/>
      </c>
      <c r="P1657" s="94">
        <f>IF($A1657="",0,$H1657*설정!$C$23)</f>
        <v/>
      </c>
      <c r="Q1657" s="64">
        <f>IF($A1657="","",IF(O1657&lt;&gt;원인분석!$C$9,"",IF(AND(M1657&gt;=원인분석!$C$10,M1657&lt;=원인분석!$C$11),"당기",IF(AND(M1657&gt;=원인분석!$C$12,M1657&lt;=원인분석!$C$13),"비교",""))))</f>
        <v/>
      </c>
      <c r="R1657" s="9">
        <f>IF(Q1657="","",$K1657&amp;"")</f>
        <v/>
      </c>
      <c r="S1657" s="9">
        <f>IF(Q1657="","",IF(MATCH(R1657,$R$5:$R$100000,0)=ROW()-4,ROW(),""))</f>
        <v/>
      </c>
      <c r="T1657" s="9">
        <f>IF(Q1657="당기",ABS(P1657)+ROW()/1000000000,"")</f>
        <v/>
      </c>
      <c r="U1657" s="9">
        <f>IF(Q1657="비교",ABS(P1657)+ROW()/1000000000,"")</f>
        <v/>
      </c>
      <c r="V1657" s="64">
        <f>IF($A1657="","",IF(COUNTIF(변동분석!$E$7:$E$506,O1657)&gt;0,"Y","N"))</f>
        <v/>
      </c>
      <c r="W1657" s="64">
        <f>IF($A1657="","",IFERROR(INDEX(계정매핑!$D$5:$D$504,MATCH($F1657&amp;"",계정매핑!$A$5:$A$504,0)),"미매핑"))</f>
        <v/>
      </c>
      <c r="X1657" s="9">
        <f>IF($A1657="","",$F1657&amp;"")</f>
        <v/>
      </c>
      <c r="Y1657" s="94">
        <f>IF($A1657="",0,IF(AE1657="직접",IF(AF1657="비귀속",$P1657,0),$P1657*(1-AG1657)*IFERROR(INDEX(계정대체기준!$F$20:$F$49,MATCH($N1657,계정대체기준!$A$20:$A$49,0)),1)))</f>
        <v/>
      </c>
      <c r="Z1657" s="94">
        <f>IF($A1657="",0,IF(AE1657="직접",IF(AF1657="신계약비",$P1657,0),$P1657*(1-AG1657)*IFERROR(INDEX(계정대체기준!$C$20:$C$49,MATCH($N1657,계정대체기준!$A$20:$A$49,0)),0)))</f>
        <v/>
      </c>
      <c r="AA1657" s="94">
        <f>IF($A1657="",0,IF(AE1657="직접",IF(OR(AF1657="유지비",AF1657="손해조사비"),$P1657,0),$P1657*(1-AG1657)*IFERROR(INDEX(계정대체기준!$D$20:$D$49,MATCH($N1657,계정대체기준!$A$20:$A$49,0)),0)))</f>
        <v/>
      </c>
      <c r="AB1657" s="94">
        <f>IF($A1657="",0,IF(AE1657="직접",IF(AF1657="수금비",$P1657,0),$P1657*(1-AG1657)*IFERROR(INDEX(계정대체기준!$E$20:$E$49,MATCH($N1657,계정대체기준!$A$20:$A$49,0)),0)))</f>
        <v/>
      </c>
      <c r="AC1657" s="9">
        <f>IF(AND($A1657&lt;&gt;"",M1657=설정!$C$20,Z1657&gt;0),Z1657+ROW()/1000000000,"")</f>
        <v/>
      </c>
      <c r="AD1657" s="94">
        <f>IF($A1657="",0,$P1657*AG1657)</f>
        <v/>
      </c>
      <c r="AE1657" s="64">
        <f>IF($A1657="","",IFERROR(INDEX(계정매핑!$E$5:$E$504,MATCH($F1657&amp;"",계정매핑!$A$5:$A$504,0))&amp;"","공통비"))</f>
        <v/>
      </c>
      <c r="AF1657" s="64">
        <f>IF($A1657="","",IF(AE1657="직접",IFERROR(INDEX(계정매핑!$F$5:$F$504,MATCH($F1657&amp;"",계정매핑!$A$5:$A$504,0))&amp;"","비귀속"),""))</f>
        <v/>
      </c>
      <c r="AG1657" s="96">
        <f>IF($A1657="",0,IF(AND(AE1657&lt;&gt;"직접",IFERROR(INDEX(계정매핑!$G$5:$G$504,MATCH($F1657&amp;"",계정매핑!$A$5:$A$504,0))&amp;"","")="유지비",COUNTIF(계정대체기준!$A$6:$A$15,$N1657)&gt;0),IFERROR(INDEX(계정대체기준!$E$6:$E$15,MATCH(VALUE($A1657&amp;""),계정대체기준!$D$6:$D$15,0)),0),0))</f>
        <v/>
      </c>
      <c r="AH1657" s="64">
        <f>IF($A1657="","",IF(AD1657=0,"",IF(OR(COUNTIF(계정대체기준!$A$77:$A$86,$N1657)&gt;0,ISNUMBER(MATCH($X1657,계정대체기준!$D$77:$D$86,0)),ISNUMBER(MATCH($F1657,계정대체기준!$D$77:$D$86,0))),"Y","N")))</f>
        <v/>
      </c>
    </row>
    <row r="1658">
      <c r="A1658" s="92" t="n">
        <v>2025</v>
      </c>
      <c r="B1658" s="92" t="n">
        <v>8</v>
      </c>
      <c r="C1658" s="92" t="inlineStr">
        <is>
          <t>5100001654</t>
        </is>
      </c>
      <c r="D1658" s="95" t="n">
        <v>45879</v>
      </c>
      <c r="E1658" s="92" t="inlineStr">
        <is>
          <t>KR</t>
        </is>
      </c>
      <c r="F1658" s="92" t="n">
        <v>62201000</v>
      </c>
      <c r="G1658" s="92" t="n">
        <v>1201</v>
      </c>
      <c r="H1658" s="93" t="n">
        <v>103000</v>
      </c>
      <c r="I1658" s="92" t="inlineStr">
        <is>
          <t>8월 통신요금 - P통신</t>
        </is>
      </c>
      <c r="J1658" s="92" t="inlineStr">
        <is>
          <t>V10014</t>
        </is>
      </c>
      <c r="K1658" s="92" t="inlineStr">
        <is>
          <t>P통신</t>
        </is>
      </c>
      <c r="M1658" s="9">
        <f>IF($A1658="","",VALUE($A1658&amp;"")*12+VALUE($B1658&amp;""))</f>
        <v/>
      </c>
      <c r="N1658" s="64">
        <f>IF($A1658="","",IFERROR(INDEX(부서매핑!$C$5:$C$504,MATCH($G1658&amp;"",부서매핑!$A$5:$A$504,0)),"미매핑"))</f>
        <v/>
      </c>
      <c r="O1658" s="9">
        <f>IF($A1658="","",N1658&amp;"|"&amp;$F1658)</f>
        <v/>
      </c>
      <c r="P1658" s="94">
        <f>IF($A1658="",0,$H1658*설정!$C$23)</f>
        <v/>
      </c>
      <c r="Q1658" s="64">
        <f>IF($A1658="","",IF(O1658&lt;&gt;원인분석!$C$9,"",IF(AND(M1658&gt;=원인분석!$C$10,M1658&lt;=원인분석!$C$11),"당기",IF(AND(M1658&gt;=원인분석!$C$12,M1658&lt;=원인분석!$C$13),"비교",""))))</f>
        <v/>
      </c>
      <c r="R1658" s="9">
        <f>IF(Q1658="","",$K1658&amp;"")</f>
        <v/>
      </c>
      <c r="S1658" s="9">
        <f>IF(Q1658="","",IF(MATCH(R1658,$R$5:$R$100000,0)=ROW()-4,ROW(),""))</f>
        <v/>
      </c>
      <c r="T1658" s="9">
        <f>IF(Q1658="당기",ABS(P1658)+ROW()/1000000000,"")</f>
        <v/>
      </c>
      <c r="U1658" s="9">
        <f>IF(Q1658="비교",ABS(P1658)+ROW()/1000000000,"")</f>
        <v/>
      </c>
      <c r="V1658" s="64">
        <f>IF($A1658="","",IF(COUNTIF(변동분석!$E$7:$E$506,O1658)&gt;0,"Y","N"))</f>
        <v/>
      </c>
      <c r="W1658" s="64">
        <f>IF($A1658="","",IFERROR(INDEX(계정매핑!$D$5:$D$504,MATCH($F1658&amp;"",계정매핑!$A$5:$A$504,0)),"미매핑"))</f>
        <v/>
      </c>
      <c r="X1658" s="9">
        <f>IF($A1658="","",$F1658&amp;"")</f>
        <v/>
      </c>
      <c r="Y1658" s="94">
        <f>IF($A1658="",0,IF(AE1658="직접",IF(AF1658="비귀속",$P1658,0),$P1658*(1-AG1658)*IFERROR(INDEX(계정대체기준!$F$20:$F$49,MATCH($N1658,계정대체기준!$A$20:$A$49,0)),1)))</f>
        <v/>
      </c>
      <c r="Z1658" s="94">
        <f>IF($A1658="",0,IF(AE1658="직접",IF(AF1658="신계약비",$P1658,0),$P1658*(1-AG1658)*IFERROR(INDEX(계정대체기준!$C$20:$C$49,MATCH($N1658,계정대체기준!$A$20:$A$49,0)),0)))</f>
        <v/>
      </c>
      <c r="AA1658" s="94">
        <f>IF($A1658="",0,IF(AE1658="직접",IF(OR(AF1658="유지비",AF1658="손해조사비"),$P1658,0),$P1658*(1-AG1658)*IFERROR(INDEX(계정대체기준!$D$20:$D$49,MATCH($N1658,계정대체기준!$A$20:$A$49,0)),0)))</f>
        <v/>
      </c>
      <c r="AB1658" s="94">
        <f>IF($A1658="",0,IF(AE1658="직접",IF(AF1658="수금비",$P1658,0),$P1658*(1-AG1658)*IFERROR(INDEX(계정대체기준!$E$20:$E$49,MATCH($N1658,계정대체기준!$A$20:$A$49,0)),0)))</f>
        <v/>
      </c>
      <c r="AC1658" s="9">
        <f>IF(AND($A1658&lt;&gt;"",M1658=설정!$C$20,Z1658&gt;0),Z1658+ROW()/1000000000,"")</f>
        <v/>
      </c>
      <c r="AD1658" s="94">
        <f>IF($A1658="",0,$P1658*AG1658)</f>
        <v/>
      </c>
      <c r="AE1658" s="64">
        <f>IF($A1658="","",IFERROR(INDEX(계정매핑!$E$5:$E$504,MATCH($F1658&amp;"",계정매핑!$A$5:$A$504,0))&amp;"","공통비"))</f>
        <v/>
      </c>
      <c r="AF1658" s="64">
        <f>IF($A1658="","",IF(AE1658="직접",IFERROR(INDEX(계정매핑!$F$5:$F$504,MATCH($F1658&amp;"",계정매핑!$A$5:$A$504,0))&amp;"","비귀속"),""))</f>
        <v/>
      </c>
      <c r="AG1658" s="96">
        <f>IF($A1658="",0,IF(AND(AE1658&lt;&gt;"직접",IFERROR(INDEX(계정매핑!$G$5:$G$504,MATCH($F1658&amp;"",계정매핑!$A$5:$A$504,0))&amp;"","")="유지비",COUNTIF(계정대체기준!$A$6:$A$15,$N1658)&gt;0),IFERROR(INDEX(계정대체기준!$E$6:$E$15,MATCH(VALUE($A1658&amp;""),계정대체기준!$D$6:$D$15,0)),0),0))</f>
        <v/>
      </c>
      <c r="AH1658" s="64">
        <f>IF($A1658="","",IF(AD1658=0,"",IF(OR(COUNTIF(계정대체기준!$A$77:$A$86,$N1658)&gt;0,ISNUMBER(MATCH($X1658,계정대체기준!$D$77:$D$86,0)),ISNUMBER(MATCH($F1658,계정대체기준!$D$77:$D$86,0))),"Y","N")))</f>
        <v/>
      </c>
    </row>
    <row r="1659">
      <c r="A1659" s="92" t="n">
        <v>2025</v>
      </c>
      <c r="B1659" s="92" t="n">
        <v>8</v>
      </c>
      <c r="C1659" s="92" t="inlineStr">
        <is>
          <t>5100001655</t>
        </is>
      </c>
      <c r="D1659" s="95" t="n">
        <v>45879</v>
      </c>
      <c r="E1659" s="92" t="inlineStr">
        <is>
          <t>KR</t>
        </is>
      </c>
      <c r="F1659" s="92" t="n">
        <v>62201000</v>
      </c>
      <c r="G1659" s="92" t="n">
        <v>1401</v>
      </c>
      <c r="H1659" s="93" t="n">
        <v>162000</v>
      </c>
      <c r="I1659" s="92" t="inlineStr">
        <is>
          <t>8월 통신요금 - O텔레콤</t>
        </is>
      </c>
      <c r="J1659" s="92" t="inlineStr">
        <is>
          <t>V10002</t>
        </is>
      </c>
      <c r="K1659" s="92" t="inlineStr">
        <is>
          <t>O텔레콤</t>
        </is>
      </c>
      <c r="M1659" s="9">
        <f>IF($A1659="","",VALUE($A1659&amp;"")*12+VALUE($B1659&amp;""))</f>
        <v/>
      </c>
      <c r="N1659" s="64">
        <f>IF($A1659="","",IFERROR(INDEX(부서매핑!$C$5:$C$504,MATCH($G1659&amp;"",부서매핑!$A$5:$A$504,0)),"미매핑"))</f>
        <v/>
      </c>
      <c r="O1659" s="9">
        <f>IF($A1659="","",N1659&amp;"|"&amp;$F1659)</f>
        <v/>
      </c>
      <c r="P1659" s="94">
        <f>IF($A1659="",0,$H1659*설정!$C$23)</f>
        <v/>
      </c>
      <c r="Q1659" s="64">
        <f>IF($A1659="","",IF(O1659&lt;&gt;원인분석!$C$9,"",IF(AND(M1659&gt;=원인분석!$C$10,M1659&lt;=원인분석!$C$11),"당기",IF(AND(M1659&gt;=원인분석!$C$12,M1659&lt;=원인분석!$C$13),"비교",""))))</f>
        <v/>
      </c>
      <c r="R1659" s="9">
        <f>IF(Q1659="","",$K1659&amp;"")</f>
        <v/>
      </c>
      <c r="S1659" s="9">
        <f>IF(Q1659="","",IF(MATCH(R1659,$R$5:$R$100000,0)=ROW()-4,ROW(),""))</f>
        <v/>
      </c>
      <c r="T1659" s="9">
        <f>IF(Q1659="당기",ABS(P1659)+ROW()/1000000000,"")</f>
        <v/>
      </c>
      <c r="U1659" s="9">
        <f>IF(Q1659="비교",ABS(P1659)+ROW()/1000000000,"")</f>
        <v/>
      </c>
      <c r="V1659" s="64">
        <f>IF($A1659="","",IF(COUNTIF(변동분석!$E$7:$E$506,O1659)&gt;0,"Y","N"))</f>
        <v/>
      </c>
      <c r="W1659" s="64">
        <f>IF($A1659="","",IFERROR(INDEX(계정매핑!$D$5:$D$504,MATCH($F1659&amp;"",계정매핑!$A$5:$A$504,0)),"미매핑"))</f>
        <v/>
      </c>
      <c r="X1659" s="9">
        <f>IF($A1659="","",$F1659&amp;"")</f>
        <v/>
      </c>
      <c r="Y1659" s="94">
        <f>IF($A1659="",0,IF(AE1659="직접",IF(AF1659="비귀속",$P1659,0),$P1659*(1-AG1659)*IFERROR(INDEX(계정대체기준!$F$20:$F$49,MATCH($N1659,계정대체기준!$A$20:$A$49,0)),1)))</f>
        <v/>
      </c>
      <c r="Z1659" s="94">
        <f>IF($A1659="",0,IF(AE1659="직접",IF(AF1659="신계약비",$P1659,0),$P1659*(1-AG1659)*IFERROR(INDEX(계정대체기준!$C$20:$C$49,MATCH($N1659,계정대체기준!$A$20:$A$49,0)),0)))</f>
        <v/>
      </c>
      <c r="AA1659" s="94">
        <f>IF($A1659="",0,IF(AE1659="직접",IF(OR(AF1659="유지비",AF1659="손해조사비"),$P1659,0),$P1659*(1-AG1659)*IFERROR(INDEX(계정대체기준!$D$20:$D$49,MATCH($N1659,계정대체기준!$A$20:$A$49,0)),0)))</f>
        <v/>
      </c>
      <c r="AB1659" s="94">
        <f>IF($A1659="",0,IF(AE1659="직접",IF(AF1659="수금비",$P1659,0),$P1659*(1-AG1659)*IFERROR(INDEX(계정대체기준!$E$20:$E$49,MATCH($N1659,계정대체기준!$A$20:$A$49,0)),0)))</f>
        <v/>
      </c>
      <c r="AC1659" s="9">
        <f>IF(AND($A1659&lt;&gt;"",M1659=설정!$C$20,Z1659&gt;0),Z1659+ROW()/1000000000,"")</f>
        <v/>
      </c>
      <c r="AD1659" s="94">
        <f>IF($A1659="",0,$P1659*AG1659)</f>
        <v/>
      </c>
      <c r="AE1659" s="64">
        <f>IF($A1659="","",IFERROR(INDEX(계정매핑!$E$5:$E$504,MATCH($F1659&amp;"",계정매핑!$A$5:$A$504,0))&amp;"","공통비"))</f>
        <v/>
      </c>
      <c r="AF1659" s="64">
        <f>IF($A1659="","",IF(AE1659="직접",IFERROR(INDEX(계정매핑!$F$5:$F$504,MATCH($F1659&amp;"",계정매핑!$A$5:$A$504,0))&amp;"","비귀속"),""))</f>
        <v/>
      </c>
      <c r="AG1659" s="96">
        <f>IF($A1659="",0,IF(AND(AE1659&lt;&gt;"직접",IFERROR(INDEX(계정매핑!$G$5:$G$504,MATCH($F1659&amp;"",계정매핑!$A$5:$A$504,0))&amp;"","")="유지비",COUNTIF(계정대체기준!$A$6:$A$15,$N1659)&gt;0),IFERROR(INDEX(계정대체기준!$E$6:$E$15,MATCH(VALUE($A1659&amp;""),계정대체기준!$D$6:$D$15,0)),0),0))</f>
        <v/>
      </c>
      <c r="AH1659" s="64">
        <f>IF($A1659="","",IF(AD1659=0,"",IF(OR(COUNTIF(계정대체기준!$A$77:$A$86,$N1659)&gt;0,ISNUMBER(MATCH($X1659,계정대체기준!$D$77:$D$86,0)),ISNUMBER(MATCH($F1659,계정대체기준!$D$77:$D$86,0))),"Y","N")))</f>
        <v/>
      </c>
    </row>
    <row r="1660">
      <c r="A1660" s="92" t="n">
        <v>2025</v>
      </c>
      <c r="B1660" s="92" t="n">
        <v>8</v>
      </c>
      <c r="C1660" s="92" t="inlineStr">
        <is>
          <t>5100001656</t>
        </is>
      </c>
      <c r="D1660" s="95" t="n">
        <v>45879</v>
      </c>
      <c r="E1660" s="92" t="inlineStr">
        <is>
          <t>KR</t>
        </is>
      </c>
      <c r="F1660" s="92" t="n">
        <v>62201000</v>
      </c>
      <c r="G1660" s="92" t="n">
        <v>1401</v>
      </c>
      <c r="H1660" s="93" t="n">
        <v>148000</v>
      </c>
      <c r="I1660" s="92" t="inlineStr">
        <is>
          <t>8월 통신요금 - P통신</t>
        </is>
      </c>
      <c r="J1660" s="92" t="inlineStr">
        <is>
          <t>V10014</t>
        </is>
      </c>
      <c r="K1660" s="92" t="inlineStr">
        <is>
          <t>P통신</t>
        </is>
      </c>
      <c r="M1660" s="9">
        <f>IF($A1660="","",VALUE($A1660&amp;"")*12+VALUE($B1660&amp;""))</f>
        <v/>
      </c>
      <c r="N1660" s="64">
        <f>IF($A1660="","",IFERROR(INDEX(부서매핑!$C$5:$C$504,MATCH($G1660&amp;"",부서매핑!$A$5:$A$504,0)),"미매핑"))</f>
        <v/>
      </c>
      <c r="O1660" s="9">
        <f>IF($A1660="","",N1660&amp;"|"&amp;$F1660)</f>
        <v/>
      </c>
      <c r="P1660" s="94">
        <f>IF($A1660="",0,$H1660*설정!$C$23)</f>
        <v/>
      </c>
      <c r="Q1660" s="64">
        <f>IF($A1660="","",IF(O1660&lt;&gt;원인분석!$C$9,"",IF(AND(M1660&gt;=원인분석!$C$10,M1660&lt;=원인분석!$C$11),"당기",IF(AND(M1660&gt;=원인분석!$C$12,M1660&lt;=원인분석!$C$13),"비교",""))))</f>
        <v/>
      </c>
      <c r="R1660" s="9">
        <f>IF(Q1660="","",$K1660&amp;"")</f>
        <v/>
      </c>
      <c r="S1660" s="9">
        <f>IF(Q1660="","",IF(MATCH(R1660,$R$5:$R$100000,0)=ROW()-4,ROW(),""))</f>
        <v/>
      </c>
      <c r="T1660" s="9">
        <f>IF(Q1660="당기",ABS(P1660)+ROW()/1000000000,"")</f>
        <v/>
      </c>
      <c r="U1660" s="9">
        <f>IF(Q1660="비교",ABS(P1660)+ROW()/1000000000,"")</f>
        <v/>
      </c>
      <c r="V1660" s="64">
        <f>IF($A1660="","",IF(COUNTIF(변동분석!$E$7:$E$506,O1660)&gt;0,"Y","N"))</f>
        <v/>
      </c>
      <c r="W1660" s="64">
        <f>IF($A1660="","",IFERROR(INDEX(계정매핑!$D$5:$D$504,MATCH($F1660&amp;"",계정매핑!$A$5:$A$504,0)),"미매핑"))</f>
        <v/>
      </c>
      <c r="X1660" s="9">
        <f>IF($A1660="","",$F1660&amp;"")</f>
        <v/>
      </c>
      <c r="Y1660" s="94">
        <f>IF($A1660="",0,IF(AE1660="직접",IF(AF1660="비귀속",$P1660,0),$P1660*(1-AG1660)*IFERROR(INDEX(계정대체기준!$F$20:$F$49,MATCH($N1660,계정대체기준!$A$20:$A$49,0)),1)))</f>
        <v/>
      </c>
      <c r="Z1660" s="94">
        <f>IF($A1660="",0,IF(AE1660="직접",IF(AF1660="신계약비",$P1660,0),$P1660*(1-AG1660)*IFERROR(INDEX(계정대체기준!$C$20:$C$49,MATCH($N1660,계정대체기준!$A$20:$A$49,0)),0)))</f>
        <v/>
      </c>
      <c r="AA1660" s="94">
        <f>IF($A1660="",0,IF(AE1660="직접",IF(OR(AF1660="유지비",AF1660="손해조사비"),$P1660,0),$P1660*(1-AG1660)*IFERROR(INDEX(계정대체기준!$D$20:$D$49,MATCH($N1660,계정대체기준!$A$20:$A$49,0)),0)))</f>
        <v/>
      </c>
      <c r="AB1660" s="94">
        <f>IF($A1660="",0,IF(AE1660="직접",IF(AF1660="수금비",$P1660,0),$P1660*(1-AG1660)*IFERROR(INDEX(계정대체기준!$E$20:$E$49,MATCH($N1660,계정대체기준!$A$20:$A$49,0)),0)))</f>
        <v/>
      </c>
      <c r="AC1660" s="9">
        <f>IF(AND($A1660&lt;&gt;"",M1660=설정!$C$20,Z1660&gt;0),Z1660+ROW()/1000000000,"")</f>
        <v/>
      </c>
      <c r="AD1660" s="94">
        <f>IF($A1660="",0,$P1660*AG1660)</f>
        <v/>
      </c>
      <c r="AE1660" s="64">
        <f>IF($A1660="","",IFERROR(INDEX(계정매핑!$E$5:$E$504,MATCH($F1660&amp;"",계정매핑!$A$5:$A$504,0))&amp;"","공통비"))</f>
        <v/>
      </c>
      <c r="AF1660" s="64">
        <f>IF($A1660="","",IF(AE1660="직접",IFERROR(INDEX(계정매핑!$F$5:$F$504,MATCH($F1660&amp;"",계정매핑!$A$5:$A$504,0))&amp;"","비귀속"),""))</f>
        <v/>
      </c>
      <c r="AG1660" s="96">
        <f>IF($A1660="",0,IF(AND(AE1660&lt;&gt;"직접",IFERROR(INDEX(계정매핑!$G$5:$G$504,MATCH($F1660&amp;"",계정매핑!$A$5:$A$504,0))&amp;"","")="유지비",COUNTIF(계정대체기준!$A$6:$A$15,$N1660)&gt;0),IFERROR(INDEX(계정대체기준!$E$6:$E$15,MATCH(VALUE($A1660&amp;""),계정대체기준!$D$6:$D$15,0)),0),0))</f>
        <v/>
      </c>
      <c r="AH1660" s="64">
        <f>IF($A1660="","",IF(AD1660=0,"",IF(OR(COUNTIF(계정대체기준!$A$77:$A$86,$N1660)&gt;0,ISNUMBER(MATCH($X1660,계정대체기준!$D$77:$D$86,0)),ISNUMBER(MATCH($F1660,계정대체기준!$D$77:$D$86,0))),"Y","N")))</f>
        <v/>
      </c>
    </row>
    <row r="1661">
      <c r="A1661" s="92" t="n">
        <v>2025</v>
      </c>
      <c r="B1661" s="92" t="n">
        <v>8</v>
      </c>
      <c r="C1661" s="92" t="inlineStr">
        <is>
          <t>5100001657</t>
        </is>
      </c>
      <c r="D1661" s="95" t="n">
        <v>45879</v>
      </c>
      <c r="E1661" s="92" t="inlineStr">
        <is>
          <t>KR</t>
        </is>
      </c>
      <c r="F1661" s="92" t="n">
        <v>62201000</v>
      </c>
      <c r="G1661" s="92" t="n">
        <v>1951</v>
      </c>
      <c r="H1661" s="93" t="n">
        <v>178000</v>
      </c>
      <c r="I1661" s="92" t="inlineStr">
        <is>
          <t>8월 통신요금 - P통신</t>
        </is>
      </c>
      <c r="J1661" s="92" t="inlineStr">
        <is>
          <t>V10014</t>
        </is>
      </c>
      <c r="K1661" s="92" t="inlineStr">
        <is>
          <t>P통신</t>
        </is>
      </c>
      <c r="M1661" s="9">
        <f>IF($A1661="","",VALUE($A1661&amp;"")*12+VALUE($B1661&amp;""))</f>
        <v/>
      </c>
      <c r="N1661" s="64">
        <f>IF($A1661="","",IFERROR(INDEX(부서매핑!$C$5:$C$504,MATCH($G1661&amp;"",부서매핑!$A$5:$A$504,0)),"미매핑"))</f>
        <v/>
      </c>
      <c r="O1661" s="9">
        <f>IF($A1661="","",N1661&amp;"|"&amp;$F1661)</f>
        <v/>
      </c>
      <c r="P1661" s="94">
        <f>IF($A1661="",0,$H1661*설정!$C$23)</f>
        <v/>
      </c>
      <c r="Q1661" s="64">
        <f>IF($A1661="","",IF(O1661&lt;&gt;원인분석!$C$9,"",IF(AND(M1661&gt;=원인분석!$C$10,M1661&lt;=원인분석!$C$11),"당기",IF(AND(M1661&gt;=원인분석!$C$12,M1661&lt;=원인분석!$C$13),"비교",""))))</f>
        <v/>
      </c>
      <c r="R1661" s="9">
        <f>IF(Q1661="","",$K1661&amp;"")</f>
        <v/>
      </c>
      <c r="S1661" s="9">
        <f>IF(Q1661="","",IF(MATCH(R1661,$R$5:$R$100000,0)=ROW()-4,ROW(),""))</f>
        <v/>
      </c>
      <c r="T1661" s="9">
        <f>IF(Q1661="당기",ABS(P1661)+ROW()/1000000000,"")</f>
        <v/>
      </c>
      <c r="U1661" s="9">
        <f>IF(Q1661="비교",ABS(P1661)+ROW()/1000000000,"")</f>
        <v/>
      </c>
      <c r="V1661" s="64">
        <f>IF($A1661="","",IF(COUNTIF(변동분석!$E$7:$E$506,O1661)&gt;0,"Y","N"))</f>
        <v/>
      </c>
      <c r="W1661" s="64">
        <f>IF($A1661="","",IFERROR(INDEX(계정매핑!$D$5:$D$504,MATCH($F1661&amp;"",계정매핑!$A$5:$A$504,0)),"미매핑"))</f>
        <v/>
      </c>
      <c r="X1661" s="9">
        <f>IF($A1661="","",$F1661&amp;"")</f>
        <v/>
      </c>
      <c r="Y1661" s="94">
        <f>IF($A1661="",0,IF(AE1661="직접",IF(AF1661="비귀속",$P1661,0),$P1661*(1-AG1661)*IFERROR(INDEX(계정대체기준!$F$20:$F$49,MATCH($N1661,계정대체기준!$A$20:$A$49,0)),1)))</f>
        <v/>
      </c>
      <c r="Z1661" s="94">
        <f>IF($A1661="",0,IF(AE1661="직접",IF(AF1661="신계약비",$P1661,0),$P1661*(1-AG1661)*IFERROR(INDEX(계정대체기준!$C$20:$C$49,MATCH($N1661,계정대체기준!$A$20:$A$49,0)),0)))</f>
        <v/>
      </c>
      <c r="AA1661" s="94">
        <f>IF($A1661="",0,IF(AE1661="직접",IF(OR(AF1661="유지비",AF1661="손해조사비"),$P1661,0),$P1661*(1-AG1661)*IFERROR(INDEX(계정대체기준!$D$20:$D$49,MATCH($N1661,계정대체기준!$A$20:$A$49,0)),0)))</f>
        <v/>
      </c>
      <c r="AB1661" s="94">
        <f>IF($A1661="",0,IF(AE1661="직접",IF(AF1661="수금비",$P1661,0),$P1661*(1-AG1661)*IFERROR(INDEX(계정대체기준!$E$20:$E$49,MATCH($N1661,계정대체기준!$A$20:$A$49,0)),0)))</f>
        <v/>
      </c>
      <c r="AC1661" s="9">
        <f>IF(AND($A1661&lt;&gt;"",M1661=설정!$C$20,Z1661&gt;0),Z1661+ROW()/1000000000,"")</f>
        <v/>
      </c>
      <c r="AD1661" s="94">
        <f>IF($A1661="",0,$P1661*AG1661)</f>
        <v/>
      </c>
      <c r="AE1661" s="64">
        <f>IF($A1661="","",IFERROR(INDEX(계정매핑!$E$5:$E$504,MATCH($F1661&amp;"",계정매핑!$A$5:$A$504,0))&amp;"","공통비"))</f>
        <v/>
      </c>
      <c r="AF1661" s="64">
        <f>IF($A1661="","",IF(AE1661="직접",IFERROR(INDEX(계정매핑!$F$5:$F$504,MATCH($F1661&amp;"",계정매핑!$A$5:$A$504,0))&amp;"","비귀속"),""))</f>
        <v/>
      </c>
      <c r="AG1661" s="96">
        <f>IF($A1661="",0,IF(AND(AE1661&lt;&gt;"직접",IFERROR(INDEX(계정매핑!$G$5:$G$504,MATCH($F1661&amp;"",계정매핑!$A$5:$A$504,0))&amp;"","")="유지비",COUNTIF(계정대체기준!$A$6:$A$15,$N1661)&gt;0),IFERROR(INDEX(계정대체기준!$E$6:$E$15,MATCH(VALUE($A1661&amp;""),계정대체기준!$D$6:$D$15,0)),0),0))</f>
        <v/>
      </c>
      <c r="AH1661" s="64">
        <f>IF($A1661="","",IF(AD1661=0,"",IF(OR(COUNTIF(계정대체기준!$A$77:$A$86,$N1661)&gt;0,ISNUMBER(MATCH($X1661,계정대체기준!$D$77:$D$86,0)),ISNUMBER(MATCH($F1661,계정대체기준!$D$77:$D$86,0))),"Y","N")))</f>
        <v/>
      </c>
    </row>
    <row r="1662">
      <c r="A1662" s="92" t="n">
        <v>2025</v>
      </c>
      <c r="B1662" s="92" t="n">
        <v>8</v>
      </c>
      <c r="C1662" s="92" t="inlineStr">
        <is>
          <t>5100001658</t>
        </is>
      </c>
      <c r="D1662" s="95" t="n">
        <v>45879</v>
      </c>
      <c r="E1662" s="92" t="inlineStr">
        <is>
          <t>KR</t>
        </is>
      </c>
      <c r="F1662" s="92" t="n">
        <v>62301000</v>
      </c>
      <c r="G1662" s="92" t="n">
        <v>1201</v>
      </c>
      <c r="H1662" s="93" t="n">
        <v>131000</v>
      </c>
      <c r="I1662" s="92" t="inlineStr">
        <is>
          <t>8월 소모품 구입 - R문구</t>
        </is>
      </c>
      <c r="J1662" s="92" t="inlineStr">
        <is>
          <t>V10022</t>
        </is>
      </c>
      <c r="K1662" s="92" t="inlineStr">
        <is>
          <t>R문구</t>
        </is>
      </c>
      <c r="M1662" s="9">
        <f>IF($A1662="","",VALUE($A1662&amp;"")*12+VALUE($B1662&amp;""))</f>
        <v/>
      </c>
      <c r="N1662" s="64">
        <f>IF($A1662="","",IFERROR(INDEX(부서매핑!$C$5:$C$504,MATCH($G1662&amp;"",부서매핑!$A$5:$A$504,0)),"미매핑"))</f>
        <v/>
      </c>
      <c r="O1662" s="9">
        <f>IF($A1662="","",N1662&amp;"|"&amp;$F1662)</f>
        <v/>
      </c>
      <c r="P1662" s="94">
        <f>IF($A1662="",0,$H1662*설정!$C$23)</f>
        <v/>
      </c>
      <c r="Q1662" s="64">
        <f>IF($A1662="","",IF(O1662&lt;&gt;원인분석!$C$9,"",IF(AND(M1662&gt;=원인분석!$C$10,M1662&lt;=원인분석!$C$11),"당기",IF(AND(M1662&gt;=원인분석!$C$12,M1662&lt;=원인분석!$C$13),"비교",""))))</f>
        <v/>
      </c>
      <c r="R1662" s="9">
        <f>IF(Q1662="","",$K1662&amp;"")</f>
        <v/>
      </c>
      <c r="S1662" s="9">
        <f>IF(Q1662="","",IF(MATCH(R1662,$R$5:$R$100000,0)=ROW()-4,ROW(),""))</f>
        <v/>
      </c>
      <c r="T1662" s="9">
        <f>IF(Q1662="당기",ABS(P1662)+ROW()/1000000000,"")</f>
        <v/>
      </c>
      <c r="U1662" s="9">
        <f>IF(Q1662="비교",ABS(P1662)+ROW()/1000000000,"")</f>
        <v/>
      </c>
      <c r="V1662" s="64">
        <f>IF($A1662="","",IF(COUNTIF(변동분석!$E$7:$E$506,O1662)&gt;0,"Y","N"))</f>
        <v/>
      </c>
      <c r="W1662" s="64">
        <f>IF($A1662="","",IFERROR(INDEX(계정매핑!$D$5:$D$504,MATCH($F1662&amp;"",계정매핑!$A$5:$A$504,0)),"미매핑"))</f>
        <v/>
      </c>
      <c r="X1662" s="9">
        <f>IF($A1662="","",$F1662&amp;"")</f>
        <v/>
      </c>
      <c r="Y1662" s="94">
        <f>IF($A1662="",0,IF(AE1662="직접",IF(AF1662="비귀속",$P1662,0),$P1662*(1-AG1662)*IFERROR(INDEX(계정대체기준!$F$20:$F$49,MATCH($N1662,계정대체기준!$A$20:$A$49,0)),1)))</f>
        <v/>
      </c>
      <c r="Z1662" s="94">
        <f>IF($A1662="",0,IF(AE1662="직접",IF(AF1662="신계약비",$P1662,0),$P1662*(1-AG1662)*IFERROR(INDEX(계정대체기준!$C$20:$C$49,MATCH($N1662,계정대체기준!$A$20:$A$49,0)),0)))</f>
        <v/>
      </c>
      <c r="AA1662" s="94">
        <f>IF($A1662="",0,IF(AE1662="직접",IF(OR(AF1662="유지비",AF1662="손해조사비"),$P1662,0),$P1662*(1-AG1662)*IFERROR(INDEX(계정대체기준!$D$20:$D$49,MATCH($N1662,계정대체기준!$A$20:$A$49,0)),0)))</f>
        <v/>
      </c>
      <c r="AB1662" s="94">
        <f>IF($A1662="",0,IF(AE1662="직접",IF(AF1662="수금비",$P1662,0),$P1662*(1-AG1662)*IFERROR(INDEX(계정대체기준!$E$20:$E$49,MATCH($N1662,계정대체기준!$A$20:$A$49,0)),0)))</f>
        <v/>
      </c>
      <c r="AC1662" s="9">
        <f>IF(AND($A1662&lt;&gt;"",M1662=설정!$C$20,Z1662&gt;0),Z1662+ROW()/1000000000,"")</f>
        <v/>
      </c>
      <c r="AD1662" s="94">
        <f>IF($A1662="",0,$P1662*AG1662)</f>
        <v/>
      </c>
      <c r="AE1662" s="64">
        <f>IF($A1662="","",IFERROR(INDEX(계정매핑!$E$5:$E$504,MATCH($F1662&amp;"",계정매핑!$A$5:$A$504,0))&amp;"","공통비"))</f>
        <v/>
      </c>
      <c r="AF1662" s="64">
        <f>IF($A1662="","",IF(AE1662="직접",IFERROR(INDEX(계정매핑!$F$5:$F$504,MATCH($F1662&amp;"",계정매핑!$A$5:$A$504,0))&amp;"","비귀속"),""))</f>
        <v/>
      </c>
      <c r="AG1662" s="96">
        <f>IF($A1662="",0,IF(AND(AE1662&lt;&gt;"직접",IFERROR(INDEX(계정매핑!$G$5:$G$504,MATCH($F1662&amp;"",계정매핑!$A$5:$A$504,0))&amp;"","")="유지비",COUNTIF(계정대체기준!$A$6:$A$15,$N1662)&gt;0),IFERROR(INDEX(계정대체기준!$E$6:$E$15,MATCH(VALUE($A1662&amp;""),계정대체기준!$D$6:$D$15,0)),0),0))</f>
        <v/>
      </c>
      <c r="AH1662" s="64">
        <f>IF($A1662="","",IF(AD1662=0,"",IF(OR(COUNTIF(계정대체기준!$A$77:$A$86,$N1662)&gt;0,ISNUMBER(MATCH($X1662,계정대체기준!$D$77:$D$86,0)),ISNUMBER(MATCH($F1662,계정대체기준!$D$77:$D$86,0))),"Y","N")))</f>
        <v/>
      </c>
    </row>
    <row r="1663">
      <c r="A1663" s="92" t="n">
        <v>2025</v>
      </c>
      <c r="B1663" s="92" t="n">
        <v>8</v>
      </c>
      <c r="C1663" s="92" t="inlineStr">
        <is>
          <t>5100001659</t>
        </is>
      </c>
      <c r="D1663" s="95" t="n">
        <v>45879</v>
      </c>
      <c r="E1663" s="92" t="inlineStr">
        <is>
          <t>KR</t>
        </is>
      </c>
      <c r="F1663" s="92" t="n">
        <v>62301000</v>
      </c>
      <c r="G1663" s="92" t="n">
        <v>1301</v>
      </c>
      <c r="H1663" s="93" t="n">
        <v>177000</v>
      </c>
      <c r="I1663" s="92" t="inlineStr">
        <is>
          <t>8월 소모품 구입 - Q오피스</t>
        </is>
      </c>
      <c r="J1663" s="92" t="inlineStr">
        <is>
          <t>V10003</t>
        </is>
      </c>
      <c r="K1663" s="92" t="inlineStr">
        <is>
          <t>Q오피스</t>
        </is>
      </c>
      <c r="M1663" s="9">
        <f>IF($A1663="","",VALUE($A1663&amp;"")*12+VALUE($B1663&amp;""))</f>
        <v/>
      </c>
      <c r="N1663" s="64">
        <f>IF($A1663="","",IFERROR(INDEX(부서매핑!$C$5:$C$504,MATCH($G1663&amp;"",부서매핑!$A$5:$A$504,0)),"미매핑"))</f>
        <v/>
      </c>
      <c r="O1663" s="9">
        <f>IF($A1663="","",N1663&amp;"|"&amp;$F1663)</f>
        <v/>
      </c>
      <c r="P1663" s="94">
        <f>IF($A1663="",0,$H1663*설정!$C$23)</f>
        <v/>
      </c>
      <c r="Q1663" s="64">
        <f>IF($A1663="","",IF(O1663&lt;&gt;원인분석!$C$9,"",IF(AND(M1663&gt;=원인분석!$C$10,M1663&lt;=원인분석!$C$11),"당기",IF(AND(M1663&gt;=원인분석!$C$12,M1663&lt;=원인분석!$C$13),"비교",""))))</f>
        <v/>
      </c>
      <c r="R1663" s="9">
        <f>IF(Q1663="","",$K1663&amp;"")</f>
        <v/>
      </c>
      <c r="S1663" s="9">
        <f>IF(Q1663="","",IF(MATCH(R1663,$R$5:$R$100000,0)=ROW()-4,ROW(),""))</f>
        <v/>
      </c>
      <c r="T1663" s="9">
        <f>IF(Q1663="당기",ABS(P1663)+ROW()/1000000000,"")</f>
        <v/>
      </c>
      <c r="U1663" s="9">
        <f>IF(Q1663="비교",ABS(P1663)+ROW()/1000000000,"")</f>
        <v/>
      </c>
      <c r="V1663" s="64">
        <f>IF($A1663="","",IF(COUNTIF(변동분석!$E$7:$E$506,O1663)&gt;0,"Y","N"))</f>
        <v/>
      </c>
      <c r="W1663" s="64">
        <f>IF($A1663="","",IFERROR(INDEX(계정매핑!$D$5:$D$504,MATCH($F1663&amp;"",계정매핑!$A$5:$A$504,0)),"미매핑"))</f>
        <v/>
      </c>
      <c r="X1663" s="9">
        <f>IF($A1663="","",$F1663&amp;"")</f>
        <v/>
      </c>
      <c r="Y1663" s="94">
        <f>IF($A1663="",0,IF(AE1663="직접",IF(AF1663="비귀속",$P1663,0),$P1663*(1-AG1663)*IFERROR(INDEX(계정대체기준!$F$20:$F$49,MATCH($N1663,계정대체기준!$A$20:$A$49,0)),1)))</f>
        <v/>
      </c>
      <c r="Z1663" s="94">
        <f>IF($A1663="",0,IF(AE1663="직접",IF(AF1663="신계약비",$P1663,0),$P1663*(1-AG1663)*IFERROR(INDEX(계정대체기준!$C$20:$C$49,MATCH($N1663,계정대체기준!$A$20:$A$49,0)),0)))</f>
        <v/>
      </c>
      <c r="AA1663" s="94">
        <f>IF($A1663="",0,IF(AE1663="직접",IF(OR(AF1663="유지비",AF1663="손해조사비"),$P1663,0),$P1663*(1-AG1663)*IFERROR(INDEX(계정대체기준!$D$20:$D$49,MATCH($N1663,계정대체기준!$A$20:$A$49,0)),0)))</f>
        <v/>
      </c>
      <c r="AB1663" s="94">
        <f>IF($A1663="",0,IF(AE1663="직접",IF(AF1663="수금비",$P1663,0),$P1663*(1-AG1663)*IFERROR(INDEX(계정대체기준!$E$20:$E$49,MATCH($N1663,계정대체기준!$A$20:$A$49,0)),0)))</f>
        <v/>
      </c>
      <c r="AC1663" s="9">
        <f>IF(AND($A1663&lt;&gt;"",M1663=설정!$C$20,Z1663&gt;0),Z1663+ROW()/1000000000,"")</f>
        <v/>
      </c>
      <c r="AD1663" s="94">
        <f>IF($A1663="",0,$P1663*AG1663)</f>
        <v/>
      </c>
      <c r="AE1663" s="64">
        <f>IF($A1663="","",IFERROR(INDEX(계정매핑!$E$5:$E$504,MATCH($F1663&amp;"",계정매핑!$A$5:$A$504,0))&amp;"","공통비"))</f>
        <v/>
      </c>
      <c r="AF1663" s="64">
        <f>IF($A1663="","",IF(AE1663="직접",IFERROR(INDEX(계정매핑!$F$5:$F$504,MATCH($F1663&amp;"",계정매핑!$A$5:$A$504,0))&amp;"","비귀속"),""))</f>
        <v/>
      </c>
      <c r="AG1663" s="96">
        <f>IF($A1663="",0,IF(AND(AE1663&lt;&gt;"직접",IFERROR(INDEX(계정매핑!$G$5:$G$504,MATCH($F1663&amp;"",계정매핑!$A$5:$A$504,0))&amp;"","")="유지비",COUNTIF(계정대체기준!$A$6:$A$15,$N1663)&gt;0),IFERROR(INDEX(계정대체기준!$E$6:$E$15,MATCH(VALUE($A1663&amp;""),계정대체기준!$D$6:$D$15,0)),0),0))</f>
        <v/>
      </c>
      <c r="AH1663" s="64">
        <f>IF($A1663="","",IF(AD1663=0,"",IF(OR(COUNTIF(계정대체기준!$A$77:$A$86,$N1663)&gt;0,ISNUMBER(MATCH($X1663,계정대체기준!$D$77:$D$86,0)),ISNUMBER(MATCH($F1663,계정대체기준!$D$77:$D$86,0))),"Y","N")))</f>
        <v/>
      </c>
    </row>
    <row r="1664">
      <c r="A1664" s="92" t="n">
        <v>2025</v>
      </c>
      <c r="B1664" s="92" t="n">
        <v>8</v>
      </c>
      <c r="C1664" s="92" t="inlineStr">
        <is>
          <t>5100001660</t>
        </is>
      </c>
      <c r="D1664" s="95" t="n">
        <v>45879</v>
      </c>
      <c r="E1664" s="92" t="inlineStr">
        <is>
          <t>KR</t>
        </is>
      </c>
      <c r="F1664" s="92" t="n">
        <v>62301000</v>
      </c>
      <c r="G1664" s="92" t="n">
        <v>1701</v>
      </c>
      <c r="H1664" s="93" t="n">
        <v>213000</v>
      </c>
      <c r="I1664" s="92" t="inlineStr">
        <is>
          <t>8월 소모품 구입 - Q오피스</t>
        </is>
      </c>
      <c r="J1664" s="92" t="inlineStr">
        <is>
          <t>V10003</t>
        </is>
      </c>
      <c r="K1664" s="92" t="inlineStr">
        <is>
          <t>Q오피스</t>
        </is>
      </c>
      <c r="M1664" s="9">
        <f>IF($A1664="","",VALUE($A1664&amp;"")*12+VALUE($B1664&amp;""))</f>
        <v/>
      </c>
      <c r="N1664" s="64">
        <f>IF($A1664="","",IFERROR(INDEX(부서매핑!$C$5:$C$504,MATCH($G1664&amp;"",부서매핑!$A$5:$A$504,0)),"미매핑"))</f>
        <v/>
      </c>
      <c r="O1664" s="9">
        <f>IF($A1664="","",N1664&amp;"|"&amp;$F1664)</f>
        <v/>
      </c>
      <c r="P1664" s="94">
        <f>IF($A1664="",0,$H1664*설정!$C$23)</f>
        <v/>
      </c>
      <c r="Q1664" s="64">
        <f>IF($A1664="","",IF(O1664&lt;&gt;원인분석!$C$9,"",IF(AND(M1664&gt;=원인분석!$C$10,M1664&lt;=원인분석!$C$11),"당기",IF(AND(M1664&gt;=원인분석!$C$12,M1664&lt;=원인분석!$C$13),"비교",""))))</f>
        <v/>
      </c>
      <c r="R1664" s="9">
        <f>IF(Q1664="","",$K1664&amp;"")</f>
        <v/>
      </c>
      <c r="S1664" s="9">
        <f>IF(Q1664="","",IF(MATCH(R1664,$R$5:$R$100000,0)=ROW()-4,ROW(),""))</f>
        <v/>
      </c>
      <c r="T1664" s="9">
        <f>IF(Q1664="당기",ABS(P1664)+ROW()/1000000000,"")</f>
        <v/>
      </c>
      <c r="U1664" s="9">
        <f>IF(Q1664="비교",ABS(P1664)+ROW()/1000000000,"")</f>
        <v/>
      </c>
      <c r="V1664" s="64">
        <f>IF($A1664="","",IF(COUNTIF(변동분석!$E$7:$E$506,O1664)&gt;0,"Y","N"))</f>
        <v/>
      </c>
      <c r="W1664" s="64">
        <f>IF($A1664="","",IFERROR(INDEX(계정매핑!$D$5:$D$504,MATCH($F1664&amp;"",계정매핑!$A$5:$A$504,0)),"미매핑"))</f>
        <v/>
      </c>
      <c r="X1664" s="9">
        <f>IF($A1664="","",$F1664&amp;"")</f>
        <v/>
      </c>
      <c r="Y1664" s="94">
        <f>IF($A1664="",0,IF(AE1664="직접",IF(AF1664="비귀속",$P1664,0),$P1664*(1-AG1664)*IFERROR(INDEX(계정대체기준!$F$20:$F$49,MATCH($N1664,계정대체기준!$A$20:$A$49,0)),1)))</f>
        <v/>
      </c>
      <c r="Z1664" s="94">
        <f>IF($A1664="",0,IF(AE1664="직접",IF(AF1664="신계약비",$P1664,0),$P1664*(1-AG1664)*IFERROR(INDEX(계정대체기준!$C$20:$C$49,MATCH($N1664,계정대체기준!$A$20:$A$49,0)),0)))</f>
        <v/>
      </c>
      <c r="AA1664" s="94">
        <f>IF($A1664="",0,IF(AE1664="직접",IF(OR(AF1664="유지비",AF1664="손해조사비"),$P1664,0),$P1664*(1-AG1664)*IFERROR(INDEX(계정대체기준!$D$20:$D$49,MATCH($N1664,계정대체기준!$A$20:$A$49,0)),0)))</f>
        <v/>
      </c>
      <c r="AB1664" s="94">
        <f>IF($A1664="",0,IF(AE1664="직접",IF(AF1664="수금비",$P1664,0),$P1664*(1-AG1664)*IFERROR(INDEX(계정대체기준!$E$20:$E$49,MATCH($N1664,계정대체기준!$A$20:$A$49,0)),0)))</f>
        <v/>
      </c>
      <c r="AC1664" s="9">
        <f>IF(AND($A1664&lt;&gt;"",M1664=설정!$C$20,Z1664&gt;0),Z1664+ROW()/1000000000,"")</f>
        <v/>
      </c>
      <c r="AD1664" s="94">
        <f>IF($A1664="",0,$P1664*AG1664)</f>
        <v/>
      </c>
      <c r="AE1664" s="64">
        <f>IF($A1664="","",IFERROR(INDEX(계정매핑!$E$5:$E$504,MATCH($F1664&amp;"",계정매핑!$A$5:$A$504,0))&amp;"","공통비"))</f>
        <v/>
      </c>
      <c r="AF1664" s="64">
        <f>IF($A1664="","",IF(AE1664="직접",IFERROR(INDEX(계정매핑!$F$5:$F$504,MATCH($F1664&amp;"",계정매핑!$A$5:$A$504,0))&amp;"","비귀속"),""))</f>
        <v/>
      </c>
      <c r="AG1664" s="96">
        <f>IF($A1664="",0,IF(AND(AE1664&lt;&gt;"직접",IFERROR(INDEX(계정매핑!$G$5:$G$504,MATCH($F1664&amp;"",계정매핑!$A$5:$A$504,0))&amp;"","")="유지비",COUNTIF(계정대체기준!$A$6:$A$15,$N1664)&gt;0),IFERROR(INDEX(계정대체기준!$E$6:$E$15,MATCH(VALUE($A1664&amp;""),계정대체기준!$D$6:$D$15,0)),0),0))</f>
        <v/>
      </c>
      <c r="AH1664" s="64">
        <f>IF($A1664="","",IF(AD1664=0,"",IF(OR(COUNTIF(계정대체기준!$A$77:$A$86,$N1664)&gt;0,ISNUMBER(MATCH($X1664,계정대체기준!$D$77:$D$86,0)),ISNUMBER(MATCH($F1664,계정대체기준!$D$77:$D$86,0))),"Y","N")))</f>
        <v/>
      </c>
    </row>
    <row r="1665">
      <c r="A1665" s="92" t="n">
        <v>2025</v>
      </c>
      <c r="B1665" s="92" t="n">
        <v>8</v>
      </c>
      <c r="C1665" s="92" t="inlineStr">
        <is>
          <t>5100001661</t>
        </is>
      </c>
      <c r="D1665" s="95" t="n">
        <v>45879</v>
      </c>
      <c r="E1665" s="92" t="inlineStr">
        <is>
          <t>KR</t>
        </is>
      </c>
      <c r="F1665" s="92" t="n">
        <v>62501000</v>
      </c>
      <c r="G1665" s="92" t="n">
        <v>1201</v>
      </c>
      <c r="H1665" s="93" t="n">
        <v>86000</v>
      </c>
      <c r="I1665" s="92" t="inlineStr">
        <is>
          <t>8월 회의 다과 - (법인카드)</t>
        </is>
      </c>
      <c r="J1665" s="92" t="inlineStr">
        <is>
          <t>V10010</t>
        </is>
      </c>
      <c r="K1665" s="92" t="inlineStr">
        <is>
          <t>(법인카드)</t>
        </is>
      </c>
      <c r="M1665" s="9">
        <f>IF($A1665="","",VALUE($A1665&amp;"")*12+VALUE($B1665&amp;""))</f>
        <v/>
      </c>
      <c r="N1665" s="64">
        <f>IF($A1665="","",IFERROR(INDEX(부서매핑!$C$5:$C$504,MATCH($G1665&amp;"",부서매핑!$A$5:$A$504,0)),"미매핑"))</f>
        <v/>
      </c>
      <c r="O1665" s="9">
        <f>IF($A1665="","",N1665&amp;"|"&amp;$F1665)</f>
        <v/>
      </c>
      <c r="P1665" s="94">
        <f>IF($A1665="",0,$H1665*설정!$C$23)</f>
        <v/>
      </c>
      <c r="Q1665" s="64">
        <f>IF($A1665="","",IF(O1665&lt;&gt;원인분석!$C$9,"",IF(AND(M1665&gt;=원인분석!$C$10,M1665&lt;=원인분석!$C$11),"당기",IF(AND(M1665&gt;=원인분석!$C$12,M1665&lt;=원인분석!$C$13),"비교",""))))</f>
        <v/>
      </c>
      <c r="R1665" s="9">
        <f>IF(Q1665="","",$K1665&amp;"")</f>
        <v/>
      </c>
      <c r="S1665" s="9">
        <f>IF(Q1665="","",IF(MATCH(R1665,$R$5:$R$100000,0)=ROW()-4,ROW(),""))</f>
        <v/>
      </c>
      <c r="T1665" s="9">
        <f>IF(Q1665="당기",ABS(P1665)+ROW()/1000000000,"")</f>
        <v/>
      </c>
      <c r="U1665" s="9">
        <f>IF(Q1665="비교",ABS(P1665)+ROW()/1000000000,"")</f>
        <v/>
      </c>
      <c r="V1665" s="64">
        <f>IF($A1665="","",IF(COUNTIF(변동분석!$E$7:$E$506,O1665)&gt;0,"Y","N"))</f>
        <v/>
      </c>
      <c r="W1665" s="64">
        <f>IF($A1665="","",IFERROR(INDEX(계정매핑!$D$5:$D$504,MATCH($F1665&amp;"",계정매핑!$A$5:$A$504,0)),"미매핑"))</f>
        <v/>
      </c>
      <c r="X1665" s="9">
        <f>IF($A1665="","",$F1665&amp;"")</f>
        <v/>
      </c>
      <c r="Y1665" s="94">
        <f>IF($A1665="",0,IF(AE1665="직접",IF(AF1665="비귀속",$P1665,0),$P1665*(1-AG1665)*IFERROR(INDEX(계정대체기준!$F$20:$F$49,MATCH($N1665,계정대체기준!$A$20:$A$49,0)),1)))</f>
        <v/>
      </c>
      <c r="Z1665" s="94">
        <f>IF($A1665="",0,IF(AE1665="직접",IF(AF1665="신계약비",$P1665,0),$P1665*(1-AG1665)*IFERROR(INDEX(계정대체기준!$C$20:$C$49,MATCH($N1665,계정대체기준!$A$20:$A$49,0)),0)))</f>
        <v/>
      </c>
      <c r="AA1665" s="94">
        <f>IF($A1665="",0,IF(AE1665="직접",IF(OR(AF1665="유지비",AF1665="손해조사비"),$P1665,0),$P1665*(1-AG1665)*IFERROR(INDEX(계정대체기준!$D$20:$D$49,MATCH($N1665,계정대체기준!$A$20:$A$49,0)),0)))</f>
        <v/>
      </c>
      <c r="AB1665" s="94">
        <f>IF($A1665="",0,IF(AE1665="직접",IF(AF1665="수금비",$P1665,0),$P1665*(1-AG1665)*IFERROR(INDEX(계정대체기준!$E$20:$E$49,MATCH($N1665,계정대체기준!$A$20:$A$49,0)),0)))</f>
        <v/>
      </c>
      <c r="AC1665" s="9">
        <f>IF(AND($A1665&lt;&gt;"",M1665=설정!$C$20,Z1665&gt;0),Z1665+ROW()/1000000000,"")</f>
        <v/>
      </c>
      <c r="AD1665" s="94">
        <f>IF($A1665="",0,$P1665*AG1665)</f>
        <v/>
      </c>
      <c r="AE1665" s="64">
        <f>IF($A1665="","",IFERROR(INDEX(계정매핑!$E$5:$E$504,MATCH($F1665&amp;"",계정매핑!$A$5:$A$504,0))&amp;"","공통비"))</f>
        <v/>
      </c>
      <c r="AF1665" s="64">
        <f>IF($A1665="","",IF(AE1665="직접",IFERROR(INDEX(계정매핑!$F$5:$F$504,MATCH($F1665&amp;"",계정매핑!$A$5:$A$504,0))&amp;"","비귀속"),""))</f>
        <v/>
      </c>
      <c r="AG1665" s="96">
        <f>IF($A1665="",0,IF(AND(AE1665&lt;&gt;"직접",IFERROR(INDEX(계정매핑!$G$5:$G$504,MATCH($F1665&amp;"",계정매핑!$A$5:$A$504,0))&amp;"","")="유지비",COUNTIF(계정대체기준!$A$6:$A$15,$N1665)&gt;0),IFERROR(INDEX(계정대체기준!$E$6:$E$15,MATCH(VALUE($A1665&amp;""),계정대체기준!$D$6:$D$15,0)),0),0))</f>
        <v/>
      </c>
      <c r="AH1665" s="64">
        <f>IF($A1665="","",IF(AD1665=0,"",IF(OR(COUNTIF(계정대체기준!$A$77:$A$86,$N1665)&gt;0,ISNUMBER(MATCH($X1665,계정대체기준!$D$77:$D$86,0)),ISNUMBER(MATCH($F1665,계정대체기준!$D$77:$D$86,0))),"Y","N")))</f>
        <v/>
      </c>
    </row>
    <row r="1666">
      <c r="A1666" s="92" t="n">
        <v>2025</v>
      </c>
      <c r="B1666" s="92" t="n">
        <v>8</v>
      </c>
      <c r="C1666" s="92" t="inlineStr">
        <is>
          <t>5100001662</t>
        </is>
      </c>
      <c r="D1666" s="95" t="n">
        <v>45880</v>
      </c>
      <c r="E1666" s="92" t="inlineStr">
        <is>
          <t>KR</t>
        </is>
      </c>
      <c r="F1666" s="92" t="n">
        <v>62101000</v>
      </c>
      <c r="G1666" s="92" t="n">
        <v>1301</v>
      </c>
      <c r="H1666" s="93" t="n">
        <v>317000</v>
      </c>
      <c r="I1666" s="92" t="inlineStr">
        <is>
          <t>8월 국내출장 - L여행사</t>
        </is>
      </c>
      <c r="J1666" s="92" t="inlineStr">
        <is>
          <t>V10018</t>
        </is>
      </c>
      <c r="K1666" s="92" t="inlineStr">
        <is>
          <t>L여행사</t>
        </is>
      </c>
      <c r="M1666" s="9">
        <f>IF($A1666="","",VALUE($A1666&amp;"")*12+VALUE($B1666&amp;""))</f>
        <v/>
      </c>
      <c r="N1666" s="64">
        <f>IF($A1666="","",IFERROR(INDEX(부서매핑!$C$5:$C$504,MATCH($G1666&amp;"",부서매핑!$A$5:$A$504,0)),"미매핑"))</f>
        <v/>
      </c>
      <c r="O1666" s="9">
        <f>IF($A1666="","",N1666&amp;"|"&amp;$F1666)</f>
        <v/>
      </c>
      <c r="P1666" s="94">
        <f>IF($A1666="",0,$H1666*설정!$C$23)</f>
        <v/>
      </c>
      <c r="Q1666" s="64">
        <f>IF($A1666="","",IF(O1666&lt;&gt;원인분석!$C$9,"",IF(AND(M1666&gt;=원인분석!$C$10,M1666&lt;=원인분석!$C$11),"당기",IF(AND(M1666&gt;=원인분석!$C$12,M1666&lt;=원인분석!$C$13),"비교",""))))</f>
        <v/>
      </c>
      <c r="R1666" s="9">
        <f>IF(Q1666="","",$K1666&amp;"")</f>
        <v/>
      </c>
      <c r="S1666" s="9">
        <f>IF(Q1666="","",IF(MATCH(R1666,$R$5:$R$100000,0)=ROW()-4,ROW(),""))</f>
        <v/>
      </c>
      <c r="T1666" s="9">
        <f>IF(Q1666="당기",ABS(P1666)+ROW()/1000000000,"")</f>
        <v/>
      </c>
      <c r="U1666" s="9">
        <f>IF(Q1666="비교",ABS(P1666)+ROW()/1000000000,"")</f>
        <v/>
      </c>
      <c r="V1666" s="64">
        <f>IF($A1666="","",IF(COUNTIF(변동분석!$E$7:$E$506,O1666)&gt;0,"Y","N"))</f>
        <v/>
      </c>
      <c r="W1666" s="64">
        <f>IF($A1666="","",IFERROR(INDEX(계정매핑!$D$5:$D$504,MATCH($F1666&amp;"",계정매핑!$A$5:$A$504,0)),"미매핑"))</f>
        <v/>
      </c>
      <c r="X1666" s="9">
        <f>IF($A1666="","",$F1666&amp;"")</f>
        <v/>
      </c>
      <c r="Y1666" s="94">
        <f>IF($A1666="",0,IF(AE1666="직접",IF(AF1666="비귀속",$P1666,0),$P1666*(1-AG1666)*IFERROR(INDEX(계정대체기준!$F$20:$F$49,MATCH($N1666,계정대체기준!$A$20:$A$49,0)),1)))</f>
        <v/>
      </c>
      <c r="Z1666" s="94">
        <f>IF($A1666="",0,IF(AE1666="직접",IF(AF1666="신계약비",$P1666,0),$P1666*(1-AG1666)*IFERROR(INDEX(계정대체기준!$C$20:$C$49,MATCH($N1666,계정대체기준!$A$20:$A$49,0)),0)))</f>
        <v/>
      </c>
      <c r="AA1666" s="94">
        <f>IF($A1666="",0,IF(AE1666="직접",IF(OR(AF1666="유지비",AF1666="손해조사비"),$P1666,0),$P1666*(1-AG1666)*IFERROR(INDEX(계정대체기준!$D$20:$D$49,MATCH($N1666,계정대체기준!$A$20:$A$49,0)),0)))</f>
        <v/>
      </c>
      <c r="AB1666" s="94">
        <f>IF($A1666="",0,IF(AE1666="직접",IF(AF1666="수금비",$P1666,0),$P1666*(1-AG1666)*IFERROR(INDEX(계정대체기준!$E$20:$E$49,MATCH($N1666,계정대체기준!$A$20:$A$49,0)),0)))</f>
        <v/>
      </c>
      <c r="AC1666" s="9">
        <f>IF(AND($A1666&lt;&gt;"",M1666=설정!$C$20,Z1666&gt;0),Z1666+ROW()/1000000000,"")</f>
        <v/>
      </c>
      <c r="AD1666" s="94">
        <f>IF($A1666="",0,$P1666*AG1666)</f>
        <v/>
      </c>
      <c r="AE1666" s="64">
        <f>IF($A1666="","",IFERROR(INDEX(계정매핑!$E$5:$E$504,MATCH($F1666&amp;"",계정매핑!$A$5:$A$504,0))&amp;"","공통비"))</f>
        <v/>
      </c>
      <c r="AF1666" s="64">
        <f>IF($A1666="","",IF(AE1666="직접",IFERROR(INDEX(계정매핑!$F$5:$F$504,MATCH($F1666&amp;"",계정매핑!$A$5:$A$504,0))&amp;"","비귀속"),""))</f>
        <v/>
      </c>
      <c r="AG1666" s="96">
        <f>IF($A1666="",0,IF(AND(AE1666&lt;&gt;"직접",IFERROR(INDEX(계정매핑!$G$5:$G$504,MATCH($F1666&amp;"",계정매핑!$A$5:$A$504,0))&amp;"","")="유지비",COUNTIF(계정대체기준!$A$6:$A$15,$N1666)&gt;0),IFERROR(INDEX(계정대체기준!$E$6:$E$15,MATCH(VALUE($A1666&amp;""),계정대체기준!$D$6:$D$15,0)),0),0))</f>
        <v/>
      </c>
      <c r="AH1666" s="64">
        <f>IF($A1666="","",IF(AD1666=0,"",IF(OR(COUNTIF(계정대체기준!$A$77:$A$86,$N1666)&gt;0,ISNUMBER(MATCH($X1666,계정대체기준!$D$77:$D$86,0)),ISNUMBER(MATCH($F1666,계정대체기준!$D$77:$D$86,0))),"Y","N")))</f>
        <v/>
      </c>
    </row>
    <row r="1667">
      <c r="A1667" s="92" t="n">
        <v>2025</v>
      </c>
      <c r="B1667" s="92" t="n">
        <v>8</v>
      </c>
      <c r="C1667" s="92" t="inlineStr">
        <is>
          <t>5100001663</t>
        </is>
      </c>
      <c r="D1667" s="95" t="n">
        <v>45880</v>
      </c>
      <c r="E1667" s="92" t="inlineStr">
        <is>
          <t>KR</t>
        </is>
      </c>
      <c r="F1667" s="92" t="n">
        <v>62101000</v>
      </c>
      <c r="G1667" s="92" t="n">
        <v>1401</v>
      </c>
      <c r="H1667" s="93" t="n">
        <v>544000</v>
      </c>
      <c r="I1667" s="92" t="inlineStr">
        <is>
          <t>8월 국내출장 - (법인카드)</t>
        </is>
      </c>
      <c r="J1667" s="92" t="inlineStr">
        <is>
          <t>V10010</t>
        </is>
      </c>
      <c r="K1667" s="92" t="inlineStr">
        <is>
          <t>(법인카드)</t>
        </is>
      </c>
      <c r="M1667" s="9">
        <f>IF($A1667="","",VALUE($A1667&amp;"")*12+VALUE($B1667&amp;""))</f>
        <v/>
      </c>
      <c r="N1667" s="64">
        <f>IF($A1667="","",IFERROR(INDEX(부서매핑!$C$5:$C$504,MATCH($G1667&amp;"",부서매핑!$A$5:$A$504,0)),"미매핑"))</f>
        <v/>
      </c>
      <c r="O1667" s="9">
        <f>IF($A1667="","",N1667&amp;"|"&amp;$F1667)</f>
        <v/>
      </c>
      <c r="P1667" s="94">
        <f>IF($A1667="",0,$H1667*설정!$C$23)</f>
        <v/>
      </c>
      <c r="Q1667" s="64">
        <f>IF($A1667="","",IF(O1667&lt;&gt;원인분석!$C$9,"",IF(AND(M1667&gt;=원인분석!$C$10,M1667&lt;=원인분석!$C$11),"당기",IF(AND(M1667&gt;=원인분석!$C$12,M1667&lt;=원인분석!$C$13),"비교",""))))</f>
        <v/>
      </c>
      <c r="R1667" s="9">
        <f>IF(Q1667="","",$K1667&amp;"")</f>
        <v/>
      </c>
      <c r="S1667" s="9">
        <f>IF(Q1667="","",IF(MATCH(R1667,$R$5:$R$100000,0)=ROW()-4,ROW(),""))</f>
        <v/>
      </c>
      <c r="T1667" s="9">
        <f>IF(Q1667="당기",ABS(P1667)+ROW()/1000000000,"")</f>
        <v/>
      </c>
      <c r="U1667" s="9">
        <f>IF(Q1667="비교",ABS(P1667)+ROW()/1000000000,"")</f>
        <v/>
      </c>
      <c r="V1667" s="64">
        <f>IF($A1667="","",IF(COUNTIF(변동분석!$E$7:$E$506,O1667)&gt;0,"Y","N"))</f>
        <v/>
      </c>
      <c r="W1667" s="64">
        <f>IF($A1667="","",IFERROR(INDEX(계정매핑!$D$5:$D$504,MATCH($F1667&amp;"",계정매핑!$A$5:$A$504,0)),"미매핑"))</f>
        <v/>
      </c>
      <c r="X1667" s="9">
        <f>IF($A1667="","",$F1667&amp;"")</f>
        <v/>
      </c>
      <c r="Y1667" s="94">
        <f>IF($A1667="",0,IF(AE1667="직접",IF(AF1667="비귀속",$P1667,0),$P1667*(1-AG1667)*IFERROR(INDEX(계정대체기준!$F$20:$F$49,MATCH($N1667,계정대체기준!$A$20:$A$49,0)),1)))</f>
        <v/>
      </c>
      <c r="Z1667" s="94">
        <f>IF($A1667="",0,IF(AE1667="직접",IF(AF1667="신계약비",$P1667,0),$P1667*(1-AG1667)*IFERROR(INDEX(계정대체기준!$C$20:$C$49,MATCH($N1667,계정대체기준!$A$20:$A$49,0)),0)))</f>
        <v/>
      </c>
      <c r="AA1667" s="94">
        <f>IF($A1667="",0,IF(AE1667="직접",IF(OR(AF1667="유지비",AF1667="손해조사비"),$P1667,0),$P1667*(1-AG1667)*IFERROR(INDEX(계정대체기준!$D$20:$D$49,MATCH($N1667,계정대체기준!$A$20:$A$49,0)),0)))</f>
        <v/>
      </c>
      <c r="AB1667" s="94">
        <f>IF($A1667="",0,IF(AE1667="직접",IF(AF1667="수금비",$P1667,0),$P1667*(1-AG1667)*IFERROR(INDEX(계정대체기준!$E$20:$E$49,MATCH($N1667,계정대체기준!$A$20:$A$49,0)),0)))</f>
        <v/>
      </c>
      <c r="AC1667" s="9">
        <f>IF(AND($A1667&lt;&gt;"",M1667=설정!$C$20,Z1667&gt;0),Z1667+ROW()/1000000000,"")</f>
        <v/>
      </c>
      <c r="AD1667" s="94">
        <f>IF($A1667="",0,$P1667*AG1667)</f>
        <v/>
      </c>
      <c r="AE1667" s="64">
        <f>IF($A1667="","",IFERROR(INDEX(계정매핑!$E$5:$E$504,MATCH($F1667&amp;"",계정매핑!$A$5:$A$504,0))&amp;"","공통비"))</f>
        <v/>
      </c>
      <c r="AF1667" s="64">
        <f>IF($A1667="","",IF(AE1667="직접",IFERROR(INDEX(계정매핑!$F$5:$F$504,MATCH($F1667&amp;"",계정매핑!$A$5:$A$504,0))&amp;"","비귀속"),""))</f>
        <v/>
      </c>
      <c r="AG1667" s="96">
        <f>IF($A1667="",0,IF(AND(AE1667&lt;&gt;"직접",IFERROR(INDEX(계정매핑!$G$5:$G$504,MATCH($F1667&amp;"",계정매핑!$A$5:$A$504,0))&amp;"","")="유지비",COUNTIF(계정대체기준!$A$6:$A$15,$N1667)&gt;0),IFERROR(INDEX(계정대체기준!$E$6:$E$15,MATCH(VALUE($A1667&amp;""),계정대체기준!$D$6:$D$15,0)),0),0))</f>
        <v/>
      </c>
      <c r="AH1667" s="64">
        <f>IF($A1667="","",IF(AD1667=0,"",IF(OR(COUNTIF(계정대체기준!$A$77:$A$86,$N1667)&gt;0,ISNUMBER(MATCH($X1667,계정대체기준!$D$77:$D$86,0)),ISNUMBER(MATCH($F1667,계정대체기준!$D$77:$D$86,0))),"Y","N")))</f>
        <v/>
      </c>
    </row>
    <row r="1668">
      <c r="A1668" s="92" t="n">
        <v>2025</v>
      </c>
      <c r="B1668" s="92" t="n">
        <v>8</v>
      </c>
      <c r="C1668" s="92" t="inlineStr">
        <is>
          <t>5100001664</t>
        </is>
      </c>
      <c r="D1668" s="95" t="n">
        <v>45880</v>
      </c>
      <c r="E1668" s="92" t="inlineStr">
        <is>
          <t>KR</t>
        </is>
      </c>
      <c r="F1668" s="92" t="n">
        <v>62101000</v>
      </c>
      <c r="G1668" s="92" t="n">
        <v>1701</v>
      </c>
      <c r="H1668" s="93" t="n">
        <v>243000</v>
      </c>
      <c r="I1668" s="92" t="inlineStr">
        <is>
          <t>8월 국내출장 - L여행사</t>
        </is>
      </c>
      <c r="J1668" s="92" t="inlineStr">
        <is>
          <t>V10018</t>
        </is>
      </c>
      <c r="K1668" s="92" t="inlineStr">
        <is>
          <t>L여행사</t>
        </is>
      </c>
      <c r="M1668" s="9">
        <f>IF($A1668="","",VALUE($A1668&amp;"")*12+VALUE($B1668&amp;""))</f>
        <v/>
      </c>
      <c r="N1668" s="64">
        <f>IF($A1668="","",IFERROR(INDEX(부서매핑!$C$5:$C$504,MATCH($G1668&amp;"",부서매핑!$A$5:$A$504,0)),"미매핑"))</f>
        <v/>
      </c>
      <c r="O1668" s="9">
        <f>IF($A1668="","",N1668&amp;"|"&amp;$F1668)</f>
        <v/>
      </c>
      <c r="P1668" s="94">
        <f>IF($A1668="",0,$H1668*설정!$C$23)</f>
        <v/>
      </c>
      <c r="Q1668" s="64">
        <f>IF($A1668="","",IF(O1668&lt;&gt;원인분석!$C$9,"",IF(AND(M1668&gt;=원인분석!$C$10,M1668&lt;=원인분석!$C$11),"당기",IF(AND(M1668&gt;=원인분석!$C$12,M1668&lt;=원인분석!$C$13),"비교",""))))</f>
        <v/>
      </c>
      <c r="R1668" s="9">
        <f>IF(Q1668="","",$K1668&amp;"")</f>
        <v/>
      </c>
      <c r="S1668" s="9">
        <f>IF(Q1668="","",IF(MATCH(R1668,$R$5:$R$100000,0)=ROW()-4,ROW(),""))</f>
        <v/>
      </c>
      <c r="T1668" s="9">
        <f>IF(Q1668="당기",ABS(P1668)+ROW()/1000000000,"")</f>
        <v/>
      </c>
      <c r="U1668" s="9">
        <f>IF(Q1668="비교",ABS(P1668)+ROW()/1000000000,"")</f>
        <v/>
      </c>
      <c r="V1668" s="64">
        <f>IF($A1668="","",IF(COUNTIF(변동분석!$E$7:$E$506,O1668)&gt;0,"Y","N"))</f>
        <v/>
      </c>
      <c r="W1668" s="64">
        <f>IF($A1668="","",IFERROR(INDEX(계정매핑!$D$5:$D$504,MATCH($F1668&amp;"",계정매핑!$A$5:$A$504,0)),"미매핑"))</f>
        <v/>
      </c>
      <c r="X1668" s="9">
        <f>IF($A1668="","",$F1668&amp;"")</f>
        <v/>
      </c>
      <c r="Y1668" s="94">
        <f>IF($A1668="",0,IF(AE1668="직접",IF(AF1668="비귀속",$P1668,0),$P1668*(1-AG1668)*IFERROR(INDEX(계정대체기준!$F$20:$F$49,MATCH($N1668,계정대체기준!$A$20:$A$49,0)),1)))</f>
        <v/>
      </c>
      <c r="Z1668" s="94">
        <f>IF($A1668="",0,IF(AE1668="직접",IF(AF1668="신계약비",$P1668,0),$P1668*(1-AG1668)*IFERROR(INDEX(계정대체기준!$C$20:$C$49,MATCH($N1668,계정대체기준!$A$20:$A$49,0)),0)))</f>
        <v/>
      </c>
      <c r="AA1668" s="94">
        <f>IF($A1668="",0,IF(AE1668="직접",IF(OR(AF1668="유지비",AF1668="손해조사비"),$P1668,0),$P1668*(1-AG1668)*IFERROR(INDEX(계정대체기준!$D$20:$D$49,MATCH($N1668,계정대체기준!$A$20:$A$49,0)),0)))</f>
        <v/>
      </c>
      <c r="AB1668" s="94">
        <f>IF($A1668="",0,IF(AE1668="직접",IF(AF1668="수금비",$P1668,0),$P1668*(1-AG1668)*IFERROR(INDEX(계정대체기준!$E$20:$E$49,MATCH($N1668,계정대체기준!$A$20:$A$49,0)),0)))</f>
        <v/>
      </c>
      <c r="AC1668" s="9">
        <f>IF(AND($A1668&lt;&gt;"",M1668=설정!$C$20,Z1668&gt;0),Z1668+ROW()/1000000000,"")</f>
        <v/>
      </c>
      <c r="AD1668" s="94">
        <f>IF($A1668="",0,$P1668*AG1668)</f>
        <v/>
      </c>
      <c r="AE1668" s="64">
        <f>IF($A1668="","",IFERROR(INDEX(계정매핑!$E$5:$E$504,MATCH($F1668&amp;"",계정매핑!$A$5:$A$504,0))&amp;"","공통비"))</f>
        <v/>
      </c>
      <c r="AF1668" s="64">
        <f>IF($A1668="","",IF(AE1668="직접",IFERROR(INDEX(계정매핑!$F$5:$F$504,MATCH($F1668&amp;"",계정매핑!$A$5:$A$504,0))&amp;"","비귀속"),""))</f>
        <v/>
      </c>
      <c r="AG1668" s="96">
        <f>IF($A1668="",0,IF(AND(AE1668&lt;&gt;"직접",IFERROR(INDEX(계정매핑!$G$5:$G$504,MATCH($F1668&amp;"",계정매핑!$A$5:$A$504,0))&amp;"","")="유지비",COUNTIF(계정대체기준!$A$6:$A$15,$N1668)&gt;0),IFERROR(INDEX(계정대체기준!$E$6:$E$15,MATCH(VALUE($A1668&amp;""),계정대체기준!$D$6:$D$15,0)),0),0))</f>
        <v/>
      </c>
      <c r="AH1668" s="64">
        <f>IF($A1668="","",IF(AD1668=0,"",IF(OR(COUNTIF(계정대체기준!$A$77:$A$86,$N1668)&gt;0,ISNUMBER(MATCH($X1668,계정대체기준!$D$77:$D$86,0)),ISNUMBER(MATCH($F1668,계정대체기준!$D$77:$D$86,0))),"Y","N")))</f>
        <v/>
      </c>
    </row>
    <row r="1669">
      <c r="A1669" s="92" t="n">
        <v>2025</v>
      </c>
      <c r="B1669" s="92" t="n">
        <v>8</v>
      </c>
      <c r="C1669" s="92" t="inlineStr">
        <is>
          <t>5100001665</t>
        </is>
      </c>
      <c r="D1669" s="95" t="n">
        <v>45880</v>
      </c>
      <c r="E1669" s="92" t="inlineStr">
        <is>
          <t>KR</t>
        </is>
      </c>
      <c r="F1669" s="92" t="n">
        <v>62101000</v>
      </c>
      <c r="G1669" s="92" t="n">
        <v>1951</v>
      </c>
      <c r="H1669" s="93" t="n">
        <v>351000</v>
      </c>
      <c r="I1669" s="92" t="inlineStr">
        <is>
          <t>8월 국내출장 - (법인카드)</t>
        </is>
      </c>
      <c r="J1669" s="92" t="inlineStr">
        <is>
          <t>V10010</t>
        </is>
      </c>
      <c r="K1669" s="92" t="inlineStr">
        <is>
          <t>(법인카드)</t>
        </is>
      </c>
      <c r="M1669" s="9">
        <f>IF($A1669="","",VALUE($A1669&amp;"")*12+VALUE($B1669&amp;""))</f>
        <v/>
      </c>
      <c r="N1669" s="64">
        <f>IF($A1669="","",IFERROR(INDEX(부서매핑!$C$5:$C$504,MATCH($G1669&amp;"",부서매핑!$A$5:$A$504,0)),"미매핑"))</f>
        <v/>
      </c>
      <c r="O1669" s="9">
        <f>IF($A1669="","",N1669&amp;"|"&amp;$F1669)</f>
        <v/>
      </c>
      <c r="P1669" s="94">
        <f>IF($A1669="",0,$H1669*설정!$C$23)</f>
        <v/>
      </c>
      <c r="Q1669" s="64">
        <f>IF($A1669="","",IF(O1669&lt;&gt;원인분석!$C$9,"",IF(AND(M1669&gt;=원인분석!$C$10,M1669&lt;=원인분석!$C$11),"당기",IF(AND(M1669&gt;=원인분석!$C$12,M1669&lt;=원인분석!$C$13),"비교",""))))</f>
        <v/>
      </c>
      <c r="R1669" s="9">
        <f>IF(Q1669="","",$K1669&amp;"")</f>
        <v/>
      </c>
      <c r="S1669" s="9">
        <f>IF(Q1669="","",IF(MATCH(R1669,$R$5:$R$100000,0)=ROW()-4,ROW(),""))</f>
        <v/>
      </c>
      <c r="T1669" s="9">
        <f>IF(Q1669="당기",ABS(P1669)+ROW()/1000000000,"")</f>
        <v/>
      </c>
      <c r="U1669" s="9">
        <f>IF(Q1669="비교",ABS(P1669)+ROW()/1000000000,"")</f>
        <v/>
      </c>
      <c r="V1669" s="64">
        <f>IF($A1669="","",IF(COUNTIF(변동분석!$E$7:$E$506,O1669)&gt;0,"Y","N"))</f>
        <v/>
      </c>
      <c r="W1669" s="64">
        <f>IF($A1669="","",IFERROR(INDEX(계정매핑!$D$5:$D$504,MATCH($F1669&amp;"",계정매핑!$A$5:$A$504,0)),"미매핑"))</f>
        <v/>
      </c>
      <c r="X1669" s="9">
        <f>IF($A1669="","",$F1669&amp;"")</f>
        <v/>
      </c>
      <c r="Y1669" s="94">
        <f>IF($A1669="",0,IF(AE1669="직접",IF(AF1669="비귀속",$P1669,0),$P1669*(1-AG1669)*IFERROR(INDEX(계정대체기준!$F$20:$F$49,MATCH($N1669,계정대체기준!$A$20:$A$49,0)),1)))</f>
        <v/>
      </c>
      <c r="Z1669" s="94">
        <f>IF($A1669="",0,IF(AE1669="직접",IF(AF1669="신계약비",$P1669,0),$P1669*(1-AG1669)*IFERROR(INDEX(계정대체기준!$C$20:$C$49,MATCH($N1669,계정대체기준!$A$20:$A$49,0)),0)))</f>
        <v/>
      </c>
      <c r="AA1669" s="94">
        <f>IF($A1669="",0,IF(AE1669="직접",IF(OR(AF1669="유지비",AF1669="손해조사비"),$P1669,0),$P1669*(1-AG1669)*IFERROR(INDEX(계정대체기준!$D$20:$D$49,MATCH($N1669,계정대체기준!$A$20:$A$49,0)),0)))</f>
        <v/>
      </c>
      <c r="AB1669" s="94">
        <f>IF($A1669="",0,IF(AE1669="직접",IF(AF1669="수금비",$P1669,0),$P1669*(1-AG1669)*IFERROR(INDEX(계정대체기준!$E$20:$E$49,MATCH($N1669,계정대체기준!$A$20:$A$49,0)),0)))</f>
        <v/>
      </c>
      <c r="AC1669" s="9">
        <f>IF(AND($A1669&lt;&gt;"",M1669=설정!$C$20,Z1669&gt;0),Z1669+ROW()/1000000000,"")</f>
        <v/>
      </c>
      <c r="AD1669" s="94">
        <f>IF($A1669="",0,$P1669*AG1669)</f>
        <v/>
      </c>
      <c r="AE1669" s="64">
        <f>IF($A1669="","",IFERROR(INDEX(계정매핑!$E$5:$E$504,MATCH($F1669&amp;"",계정매핑!$A$5:$A$504,0))&amp;"","공통비"))</f>
        <v/>
      </c>
      <c r="AF1669" s="64">
        <f>IF($A1669="","",IF(AE1669="직접",IFERROR(INDEX(계정매핑!$F$5:$F$504,MATCH($F1669&amp;"",계정매핑!$A$5:$A$504,0))&amp;"","비귀속"),""))</f>
        <v/>
      </c>
      <c r="AG1669" s="96">
        <f>IF($A1669="",0,IF(AND(AE1669&lt;&gt;"직접",IFERROR(INDEX(계정매핑!$G$5:$G$504,MATCH($F1669&amp;"",계정매핑!$A$5:$A$504,0))&amp;"","")="유지비",COUNTIF(계정대체기준!$A$6:$A$15,$N1669)&gt;0),IFERROR(INDEX(계정대체기준!$E$6:$E$15,MATCH(VALUE($A1669&amp;""),계정대체기준!$D$6:$D$15,0)),0),0))</f>
        <v/>
      </c>
      <c r="AH1669" s="64">
        <f>IF($A1669="","",IF(AD1669=0,"",IF(OR(COUNTIF(계정대체기준!$A$77:$A$86,$N1669)&gt;0,ISNUMBER(MATCH($X1669,계정대체기준!$D$77:$D$86,0)),ISNUMBER(MATCH($F1669,계정대체기준!$D$77:$D$86,0))),"Y","N")))</f>
        <v/>
      </c>
    </row>
    <row r="1670">
      <c r="A1670" s="92" t="n">
        <v>2025</v>
      </c>
      <c r="B1670" s="92" t="n">
        <v>8</v>
      </c>
      <c r="C1670" s="92" t="inlineStr">
        <is>
          <t>5100001666</t>
        </is>
      </c>
      <c r="D1670" s="95" t="n">
        <v>45880</v>
      </c>
      <c r="E1670" s="92" t="inlineStr">
        <is>
          <t>KR</t>
        </is>
      </c>
      <c r="F1670" s="92" t="n">
        <v>62102000</v>
      </c>
      <c r="G1670" s="92" t="n">
        <v>1951</v>
      </c>
      <c r="H1670" s="93" t="n">
        <v>75000</v>
      </c>
      <c r="I1670" s="92" t="inlineStr">
        <is>
          <t>8월 해외출장 - N호텔</t>
        </is>
      </c>
      <c r="J1670" s="92" t="inlineStr">
        <is>
          <t>V10009</t>
        </is>
      </c>
      <c r="K1670" s="92" t="inlineStr">
        <is>
          <t>N호텔</t>
        </is>
      </c>
      <c r="M1670" s="9">
        <f>IF($A1670="","",VALUE($A1670&amp;"")*12+VALUE($B1670&amp;""))</f>
        <v/>
      </c>
      <c r="N1670" s="64">
        <f>IF($A1670="","",IFERROR(INDEX(부서매핑!$C$5:$C$504,MATCH($G1670&amp;"",부서매핑!$A$5:$A$504,0)),"미매핑"))</f>
        <v/>
      </c>
      <c r="O1670" s="9">
        <f>IF($A1670="","",N1670&amp;"|"&amp;$F1670)</f>
        <v/>
      </c>
      <c r="P1670" s="94">
        <f>IF($A1670="",0,$H1670*설정!$C$23)</f>
        <v/>
      </c>
      <c r="Q1670" s="64">
        <f>IF($A1670="","",IF(O1670&lt;&gt;원인분석!$C$9,"",IF(AND(M1670&gt;=원인분석!$C$10,M1670&lt;=원인분석!$C$11),"당기",IF(AND(M1670&gt;=원인분석!$C$12,M1670&lt;=원인분석!$C$13),"비교",""))))</f>
        <v/>
      </c>
      <c r="R1670" s="9">
        <f>IF(Q1670="","",$K1670&amp;"")</f>
        <v/>
      </c>
      <c r="S1670" s="9">
        <f>IF(Q1670="","",IF(MATCH(R1670,$R$5:$R$100000,0)=ROW()-4,ROW(),""))</f>
        <v/>
      </c>
      <c r="T1670" s="9">
        <f>IF(Q1670="당기",ABS(P1670)+ROW()/1000000000,"")</f>
        <v/>
      </c>
      <c r="U1670" s="9">
        <f>IF(Q1670="비교",ABS(P1670)+ROW()/1000000000,"")</f>
        <v/>
      </c>
      <c r="V1670" s="64">
        <f>IF($A1670="","",IF(COUNTIF(변동분석!$E$7:$E$506,O1670)&gt;0,"Y","N"))</f>
        <v/>
      </c>
      <c r="W1670" s="64">
        <f>IF($A1670="","",IFERROR(INDEX(계정매핑!$D$5:$D$504,MATCH($F1670&amp;"",계정매핑!$A$5:$A$504,0)),"미매핑"))</f>
        <v/>
      </c>
      <c r="X1670" s="9">
        <f>IF($A1670="","",$F1670&amp;"")</f>
        <v/>
      </c>
      <c r="Y1670" s="94">
        <f>IF($A1670="",0,IF(AE1670="직접",IF(AF1670="비귀속",$P1670,0),$P1670*(1-AG1670)*IFERROR(INDEX(계정대체기준!$F$20:$F$49,MATCH($N1670,계정대체기준!$A$20:$A$49,0)),1)))</f>
        <v/>
      </c>
      <c r="Z1670" s="94">
        <f>IF($A1670="",0,IF(AE1670="직접",IF(AF1670="신계약비",$P1670,0),$P1670*(1-AG1670)*IFERROR(INDEX(계정대체기준!$C$20:$C$49,MATCH($N1670,계정대체기준!$A$20:$A$49,0)),0)))</f>
        <v/>
      </c>
      <c r="AA1670" s="94">
        <f>IF($A1670="",0,IF(AE1670="직접",IF(OR(AF1670="유지비",AF1670="손해조사비"),$P1670,0),$P1670*(1-AG1670)*IFERROR(INDEX(계정대체기준!$D$20:$D$49,MATCH($N1670,계정대체기준!$A$20:$A$49,0)),0)))</f>
        <v/>
      </c>
      <c r="AB1670" s="94">
        <f>IF($A1670="",0,IF(AE1670="직접",IF(AF1670="수금비",$P1670,0),$P1670*(1-AG1670)*IFERROR(INDEX(계정대체기준!$E$20:$E$49,MATCH($N1670,계정대체기준!$A$20:$A$49,0)),0)))</f>
        <v/>
      </c>
      <c r="AC1670" s="9">
        <f>IF(AND($A1670&lt;&gt;"",M1670=설정!$C$20,Z1670&gt;0),Z1670+ROW()/1000000000,"")</f>
        <v/>
      </c>
      <c r="AD1670" s="94">
        <f>IF($A1670="",0,$P1670*AG1670)</f>
        <v/>
      </c>
      <c r="AE1670" s="64">
        <f>IF($A1670="","",IFERROR(INDEX(계정매핑!$E$5:$E$504,MATCH($F1670&amp;"",계정매핑!$A$5:$A$504,0))&amp;"","공통비"))</f>
        <v/>
      </c>
      <c r="AF1670" s="64">
        <f>IF($A1670="","",IF(AE1670="직접",IFERROR(INDEX(계정매핑!$F$5:$F$504,MATCH($F1670&amp;"",계정매핑!$A$5:$A$504,0))&amp;"","비귀속"),""))</f>
        <v/>
      </c>
      <c r="AG1670" s="96">
        <f>IF($A1670="",0,IF(AND(AE1670&lt;&gt;"직접",IFERROR(INDEX(계정매핑!$G$5:$G$504,MATCH($F1670&amp;"",계정매핑!$A$5:$A$504,0))&amp;"","")="유지비",COUNTIF(계정대체기준!$A$6:$A$15,$N1670)&gt;0),IFERROR(INDEX(계정대체기준!$E$6:$E$15,MATCH(VALUE($A1670&amp;""),계정대체기준!$D$6:$D$15,0)),0),0))</f>
        <v/>
      </c>
      <c r="AH1670" s="64">
        <f>IF($A1670="","",IF(AD1670=0,"",IF(OR(COUNTIF(계정대체기준!$A$77:$A$86,$N1670)&gt;0,ISNUMBER(MATCH($X1670,계정대체기준!$D$77:$D$86,0)),ISNUMBER(MATCH($F1670,계정대체기준!$D$77:$D$86,0))),"Y","N")))</f>
        <v/>
      </c>
    </row>
    <row r="1671">
      <c r="A1671" s="92" t="n">
        <v>2025</v>
      </c>
      <c r="B1671" s="92" t="n">
        <v>8</v>
      </c>
      <c r="C1671" s="92" t="inlineStr">
        <is>
          <t>5100001667</t>
        </is>
      </c>
      <c r="D1671" s="95" t="n">
        <v>45880</v>
      </c>
      <c r="E1671" s="92" t="inlineStr">
        <is>
          <t>KR</t>
        </is>
      </c>
      <c r="F1671" s="92" t="n">
        <v>62201000</v>
      </c>
      <c r="G1671" s="92" t="n">
        <v>1602</v>
      </c>
      <c r="H1671" s="93" t="n">
        <v>438000</v>
      </c>
      <c r="I1671" s="92" t="inlineStr">
        <is>
          <t>8월 통신요금 - O텔레콤</t>
        </is>
      </c>
      <c r="J1671" s="92" t="inlineStr">
        <is>
          <t>V10002</t>
        </is>
      </c>
      <c r="K1671" s="92" t="inlineStr">
        <is>
          <t>O텔레콤</t>
        </is>
      </c>
      <c r="M1671" s="9">
        <f>IF($A1671="","",VALUE($A1671&amp;"")*12+VALUE($B1671&amp;""))</f>
        <v/>
      </c>
      <c r="N1671" s="64">
        <f>IF($A1671="","",IFERROR(INDEX(부서매핑!$C$5:$C$504,MATCH($G1671&amp;"",부서매핑!$A$5:$A$504,0)),"미매핑"))</f>
        <v/>
      </c>
      <c r="O1671" s="9">
        <f>IF($A1671="","",N1671&amp;"|"&amp;$F1671)</f>
        <v/>
      </c>
      <c r="P1671" s="94">
        <f>IF($A1671="",0,$H1671*설정!$C$23)</f>
        <v/>
      </c>
      <c r="Q1671" s="64">
        <f>IF($A1671="","",IF(O1671&lt;&gt;원인분석!$C$9,"",IF(AND(M1671&gt;=원인분석!$C$10,M1671&lt;=원인분석!$C$11),"당기",IF(AND(M1671&gt;=원인분석!$C$12,M1671&lt;=원인분석!$C$13),"비교",""))))</f>
        <v/>
      </c>
      <c r="R1671" s="9">
        <f>IF(Q1671="","",$K1671&amp;"")</f>
        <v/>
      </c>
      <c r="S1671" s="9">
        <f>IF(Q1671="","",IF(MATCH(R1671,$R$5:$R$100000,0)=ROW()-4,ROW(),""))</f>
        <v/>
      </c>
      <c r="T1671" s="9">
        <f>IF(Q1671="당기",ABS(P1671)+ROW()/1000000000,"")</f>
        <v/>
      </c>
      <c r="U1671" s="9">
        <f>IF(Q1671="비교",ABS(P1671)+ROW()/1000000000,"")</f>
        <v/>
      </c>
      <c r="V1671" s="64">
        <f>IF($A1671="","",IF(COUNTIF(변동분석!$E$7:$E$506,O1671)&gt;0,"Y","N"))</f>
        <v/>
      </c>
      <c r="W1671" s="64">
        <f>IF($A1671="","",IFERROR(INDEX(계정매핑!$D$5:$D$504,MATCH($F1671&amp;"",계정매핑!$A$5:$A$504,0)),"미매핑"))</f>
        <v/>
      </c>
      <c r="X1671" s="9">
        <f>IF($A1671="","",$F1671&amp;"")</f>
        <v/>
      </c>
      <c r="Y1671" s="94">
        <f>IF($A1671="",0,IF(AE1671="직접",IF(AF1671="비귀속",$P1671,0),$P1671*(1-AG1671)*IFERROR(INDEX(계정대체기준!$F$20:$F$49,MATCH($N1671,계정대체기준!$A$20:$A$49,0)),1)))</f>
        <v/>
      </c>
      <c r="Z1671" s="94">
        <f>IF($A1671="",0,IF(AE1671="직접",IF(AF1671="신계약비",$P1671,0),$P1671*(1-AG1671)*IFERROR(INDEX(계정대체기준!$C$20:$C$49,MATCH($N1671,계정대체기준!$A$20:$A$49,0)),0)))</f>
        <v/>
      </c>
      <c r="AA1671" s="94">
        <f>IF($A1671="",0,IF(AE1671="직접",IF(OR(AF1671="유지비",AF1671="손해조사비"),$P1671,0),$P1671*(1-AG1671)*IFERROR(INDEX(계정대체기준!$D$20:$D$49,MATCH($N1671,계정대체기준!$A$20:$A$49,0)),0)))</f>
        <v/>
      </c>
      <c r="AB1671" s="94">
        <f>IF($A1671="",0,IF(AE1671="직접",IF(AF1671="수금비",$P1671,0),$P1671*(1-AG1671)*IFERROR(INDEX(계정대체기준!$E$20:$E$49,MATCH($N1671,계정대체기준!$A$20:$A$49,0)),0)))</f>
        <v/>
      </c>
      <c r="AC1671" s="9">
        <f>IF(AND($A1671&lt;&gt;"",M1671=설정!$C$20,Z1671&gt;0),Z1671+ROW()/1000000000,"")</f>
        <v/>
      </c>
      <c r="AD1671" s="94">
        <f>IF($A1671="",0,$P1671*AG1671)</f>
        <v/>
      </c>
      <c r="AE1671" s="64">
        <f>IF($A1671="","",IFERROR(INDEX(계정매핑!$E$5:$E$504,MATCH($F1671&amp;"",계정매핑!$A$5:$A$504,0))&amp;"","공통비"))</f>
        <v/>
      </c>
      <c r="AF1671" s="64">
        <f>IF($A1671="","",IF(AE1671="직접",IFERROR(INDEX(계정매핑!$F$5:$F$504,MATCH($F1671&amp;"",계정매핑!$A$5:$A$504,0))&amp;"","비귀속"),""))</f>
        <v/>
      </c>
      <c r="AG1671" s="96">
        <f>IF($A1671="",0,IF(AND(AE1671&lt;&gt;"직접",IFERROR(INDEX(계정매핑!$G$5:$G$504,MATCH($F1671&amp;"",계정매핑!$A$5:$A$504,0))&amp;"","")="유지비",COUNTIF(계정대체기준!$A$6:$A$15,$N1671)&gt;0),IFERROR(INDEX(계정대체기준!$E$6:$E$15,MATCH(VALUE($A1671&amp;""),계정대체기준!$D$6:$D$15,0)),0),0))</f>
        <v/>
      </c>
      <c r="AH1671" s="64">
        <f>IF($A1671="","",IF(AD1671=0,"",IF(OR(COUNTIF(계정대체기준!$A$77:$A$86,$N1671)&gt;0,ISNUMBER(MATCH($X1671,계정대체기준!$D$77:$D$86,0)),ISNUMBER(MATCH($F1671,계정대체기준!$D$77:$D$86,0))),"Y","N")))</f>
        <v/>
      </c>
    </row>
    <row r="1672">
      <c r="A1672" s="92" t="n">
        <v>2025</v>
      </c>
      <c r="B1672" s="92" t="n">
        <v>8</v>
      </c>
      <c r="C1672" s="92" t="inlineStr">
        <is>
          <t>5100001668</t>
        </is>
      </c>
      <c r="D1672" s="95" t="n">
        <v>45880</v>
      </c>
      <c r="E1672" s="92" t="inlineStr">
        <is>
          <t>KR</t>
        </is>
      </c>
      <c r="F1672" s="92" t="n">
        <v>62301000</v>
      </c>
      <c r="G1672" s="92" t="n">
        <v>1101</v>
      </c>
      <c r="H1672" s="93" t="n">
        <v>183000</v>
      </c>
      <c r="I1672" s="92" t="inlineStr">
        <is>
          <t>8월 소모품 구입 - R문구</t>
        </is>
      </c>
      <c r="J1672" s="92" t="inlineStr">
        <is>
          <t>V10022</t>
        </is>
      </c>
      <c r="K1672" s="92" t="inlineStr">
        <is>
          <t>R문구</t>
        </is>
      </c>
      <c r="M1672" s="9">
        <f>IF($A1672="","",VALUE($A1672&amp;"")*12+VALUE($B1672&amp;""))</f>
        <v/>
      </c>
      <c r="N1672" s="64">
        <f>IF($A1672="","",IFERROR(INDEX(부서매핑!$C$5:$C$504,MATCH($G1672&amp;"",부서매핑!$A$5:$A$504,0)),"미매핑"))</f>
        <v/>
      </c>
      <c r="O1672" s="9">
        <f>IF($A1672="","",N1672&amp;"|"&amp;$F1672)</f>
        <v/>
      </c>
      <c r="P1672" s="94">
        <f>IF($A1672="",0,$H1672*설정!$C$23)</f>
        <v/>
      </c>
      <c r="Q1672" s="64">
        <f>IF($A1672="","",IF(O1672&lt;&gt;원인분석!$C$9,"",IF(AND(M1672&gt;=원인분석!$C$10,M1672&lt;=원인분석!$C$11),"당기",IF(AND(M1672&gt;=원인분석!$C$12,M1672&lt;=원인분석!$C$13),"비교",""))))</f>
        <v/>
      </c>
      <c r="R1672" s="9">
        <f>IF(Q1672="","",$K1672&amp;"")</f>
        <v/>
      </c>
      <c r="S1672" s="9">
        <f>IF(Q1672="","",IF(MATCH(R1672,$R$5:$R$100000,0)=ROW()-4,ROW(),""))</f>
        <v/>
      </c>
      <c r="T1672" s="9">
        <f>IF(Q1672="당기",ABS(P1672)+ROW()/1000000000,"")</f>
        <v/>
      </c>
      <c r="U1672" s="9">
        <f>IF(Q1672="비교",ABS(P1672)+ROW()/1000000000,"")</f>
        <v/>
      </c>
      <c r="V1672" s="64">
        <f>IF($A1672="","",IF(COUNTIF(변동분석!$E$7:$E$506,O1672)&gt;0,"Y","N"))</f>
        <v/>
      </c>
      <c r="W1672" s="64">
        <f>IF($A1672="","",IFERROR(INDEX(계정매핑!$D$5:$D$504,MATCH($F1672&amp;"",계정매핑!$A$5:$A$504,0)),"미매핑"))</f>
        <v/>
      </c>
      <c r="X1672" s="9">
        <f>IF($A1672="","",$F1672&amp;"")</f>
        <v/>
      </c>
      <c r="Y1672" s="94">
        <f>IF($A1672="",0,IF(AE1672="직접",IF(AF1672="비귀속",$P1672,0),$P1672*(1-AG1672)*IFERROR(INDEX(계정대체기준!$F$20:$F$49,MATCH($N1672,계정대체기준!$A$20:$A$49,0)),1)))</f>
        <v/>
      </c>
      <c r="Z1672" s="94">
        <f>IF($A1672="",0,IF(AE1672="직접",IF(AF1672="신계약비",$P1672,0),$P1672*(1-AG1672)*IFERROR(INDEX(계정대체기준!$C$20:$C$49,MATCH($N1672,계정대체기준!$A$20:$A$49,0)),0)))</f>
        <v/>
      </c>
      <c r="AA1672" s="94">
        <f>IF($A1672="",0,IF(AE1672="직접",IF(OR(AF1672="유지비",AF1672="손해조사비"),$P1672,0),$P1672*(1-AG1672)*IFERROR(INDEX(계정대체기준!$D$20:$D$49,MATCH($N1672,계정대체기준!$A$20:$A$49,0)),0)))</f>
        <v/>
      </c>
      <c r="AB1672" s="94">
        <f>IF($A1672="",0,IF(AE1672="직접",IF(AF1672="수금비",$P1672,0),$P1672*(1-AG1672)*IFERROR(INDEX(계정대체기준!$E$20:$E$49,MATCH($N1672,계정대체기준!$A$20:$A$49,0)),0)))</f>
        <v/>
      </c>
      <c r="AC1672" s="9">
        <f>IF(AND($A1672&lt;&gt;"",M1672=설정!$C$20,Z1672&gt;0),Z1672+ROW()/1000000000,"")</f>
        <v/>
      </c>
      <c r="AD1672" s="94">
        <f>IF($A1672="",0,$P1672*AG1672)</f>
        <v/>
      </c>
      <c r="AE1672" s="64">
        <f>IF($A1672="","",IFERROR(INDEX(계정매핑!$E$5:$E$504,MATCH($F1672&amp;"",계정매핑!$A$5:$A$504,0))&amp;"","공통비"))</f>
        <v/>
      </c>
      <c r="AF1672" s="64">
        <f>IF($A1672="","",IF(AE1672="직접",IFERROR(INDEX(계정매핑!$F$5:$F$504,MATCH($F1672&amp;"",계정매핑!$A$5:$A$504,0))&amp;"","비귀속"),""))</f>
        <v/>
      </c>
      <c r="AG1672" s="96">
        <f>IF($A1672="",0,IF(AND(AE1672&lt;&gt;"직접",IFERROR(INDEX(계정매핑!$G$5:$G$504,MATCH($F1672&amp;"",계정매핑!$A$5:$A$504,0))&amp;"","")="유지비",COUNTIF(계정대체기준!$A$6:$A$15,$N1672)&gt;0),IFERROR(INDEX(계정대체기준!$E$6:$E$15,MATCH(VALUE($A1672&amp;""),계정대체기준!$D$6:$D$15,0)),0),0))</f>
        <v/>
      </c>
      <c r="AH1672" s="64">
        <f>IF($A1672="","",IF(AD1672=0,"",IF(OR(COUNTIF(계정대체기준!$A$77:$A$86,$N1672)&gt;0,ISNUMBER(MATCH($X1672,계정대체기준!$D$77:$D$86,0)),ISNUMBER(MATCH($F1672,계정대체기준!$D$77:$D$86,0))),"Y","N")))</f>
        <v/>
      </c>
    </row>
    <row r="1673">
      <c r="A1673" s="92" t="n">
        <v>2025</v>
      </c>
      <c r="B1673" s="92" t="n">
        <v>8</v>
      </c>
      <c r="C1673" s="92" t="inlineStr">
        <is>
          <t>5100001669</t>
        </is>
      </c>
      <c r="D1673" s="95" t="n">
        <v>45880</v>
      </c>
      <c r="E1673" s="92" t="inlineStr">
        <is>
          <t>KR</t>
        </is>
      </c>
      <c r="F1673" s="92" t="n">
        <v>62501000</v>
      </c>
      <c r="G1673" s="92" t="n">
        <v>1701</v>
      </c>
      <c r="H1673" s="93" t="n">
        <v>67000</v>
      </c>
      <c r="I1673" s="92" t="inlineStr">
        <is>
          <t>8월 회의 다과 - T케이터링</t>
        </is>
      </c>
      <c r="J1673" s="92" t="inlineStr">
        <is>
          <t>V10005</t>
        </is>
      </c>
      <c r="K1673" s="92" t="inlineStr">
        <is>
          <t>T케이터링</t>
        </is>
      </c>
      <c r="M1673" s="9">
        <f>IF($A1673="","",VALUE($A1673&amp;"")*12+VALUE($B1673&amp;""))</f>
        <v/>
      </c>
      <c r="N1673" s="64">
        <f>IF($A1673="","",IFERROR(INDEX(부서매핑!$C$5:$C$504,MATCH($G1673&amp;"",부서매핑!$A$5:$A$504,0)),"미매핑"))</f>
        <v/>
      </c>
      <c r="O1673" s="9">
        <f>IF($A1673="","",N1673&amp;"|"&amp;$F1673)</f>
        <v/>
      </c>
      <c r="P1673" s="94">
        <f>IF($A1673="",0,$H1673*설정!$C$23)</f>
        <v/>
      </c>
      <c r="Q1673" s="64">
        <f>IF($A1673="","",IF(O1673&lt;&gt;원인분석!$C$9,"",IF(AND(M1673&gt;=원인분석!$C$10,M1673&lt;=원인분석!$C$11),"당기",IF(AND(M1673&gt;=원인분석!$C$12,M1673&lt;=원인분석!$C$13),"비교",""))))</f>
        <v/>
      </c>
      <c r="R1673" s="9">
        <f>IF(Q1673="","",$K1673&amp;"")</f>
        <v/>
      </c>
      <c r="S1673" s="9">
        <f>IF(Q1673="","",IF(MATCH(R1673,$R$5:$R$100000,0)=ROW()-4,ROW(),""))</f>
        <v/>
      </c>
      <c r="T1673" s="9">
        <f>IF(Q1673="당기",ABS(P1673)+ROW()/1000000000,"")</f>
        <v/>
      </c>
      <c r="U1673" s="9">
        <f>IF(Q1673="비교",ABS(P1673)+ROW()/1000000000,"")</f>
        <v/>
      </c>
      <c r="V1673" s="64">
        <f>IF($A1673="","",IF(COUNTIF(변동분석!$E$7:$E$506,O1673)&gt;0,"Y","N"))</f>
        <v/>
      </c>
      <c r="W1673" s="64">
        <f>IF($A1673="","",IFERROR(INDEX(계정매핑!$D$5:$D$504,MATCH($F1673&amp;"",계정매핑!$A$5:$A$504,0)),"미매핑"))</f>
        <v/>
      </c>
      <c r="X1673" s="9">
        <f>IF($A1673="","",$F1673&amp;"")</f>
        <v/>
      </c>
      <c r="Y1673" s="94">
        <f>IF($A1673="",0,IF(AE1673="직접",IF(AF1673="비귀속",$P1673,0),$P1673*(1-AG1673)*IFERROR(INDEX(계정대체기준!$F$20:$F$49,MATCH($N1673,계정대체기준!$A$20:$A$49,0)),1)))</f>
        <v/>
      </c>
      <c r="Z1673" s="94">
        <f>IF($A1673="",0,IF(AE1673="직접",IF(AF1673="신계약비",$P1673,0),$P1673*(1-AG1673)*IFERROR(INDEX(계정대체기준!$C$20:$C$49,MATCH($N1673,계정대체기준!$A$20:$A$49,0)),0)))</f>
        <v/>
      </c>
      <c r="AA1673" s="94">
        <f>IF($A1673="",0,IF(AE1673="직접",IF(OR(AF1673="유지비",AF1673="손해조사비"),$P1673,0),$P1673*(1-AG1673)*IFERROR(INDEX(계정대체기준!$D$20:$D$49,MATCH($N1673,계정대체기준!$A$20:$A$49,0)),0)))</f>
        <v/>
      </c>
      <c r="AB1673" s="94">
        <f>IF($A1673="",0,IF(AE1673="직접",IF(AF1673="수금비",$P1673,0),$P1673*(1-AG1673)*IFERROR(INDEX(계정대체기준!$E$20:$E$49,MATCH($N1673,계정대체기준!$A$20:$A$49,0)),0)))</f>
        <v/>
      </c>
      <c r="AC1673" s="9">
        <f>IF(AND($A1673&lt;&gt;"",M1673=설정!$C$20,Z1673&gt;0),Z1673+ROW()/1000000000,"")</f>
        <v/>
      </c>
      <c r="AD1673" s="94">
        <f>IF($A1673="",0,$P1673*AG1673)</f>
        <v/>
      </c>
      <c r="AE1673" s="64">
        <f>IF($A1673="","",IFERROR(INDEX(계정매핑!$E$5:$E$504,MATCH($F1673&amp;"",계정매핑!$A$5:$A$504,0))&amp;"","공통비"))</f>
        <v/>
      </c>
      <c r="AF1673" s="64">
        <f>IF($A1673="","",IF(AE1673="직접",IFERROR(INDEX(계정매핑!$F$5:$F$504,MATCH($F1673&amp;"",계정매핑!$A$5:$A$504,0))&amp;"","비귀속"),""))</f>
        <v/>
      </c>
      <c r="AG1673" s="96">
        <f>IF($A1673="",0,IF(AND(AE1673&lt;&gt;"직접",IFERROR(INDEX(계정매핑!$G$5:$G$504,MATCH($F1673&amp;"",계정매핑!$A$5:$A$504,0))&amp;"","")="유지비",COUNTIF(계정대체기준!$A$6:$A$15,$N1673)&gt;0),IFERROR(INDEX(계정대체기준!$E$6:$E$15,MATCH(VALUE($A1673&amp;""),계정대체기준!$D$6:$D$15,0)),0),0))</f>
        <v/>
      </c>
      <c r="AH1673" s="64">
        <f>IF($A1673="","",IF(AD1673=0,"",IF(OR(COUNTIF(계정대체기준!$A$77:$A$86,$N1673)&gt;0,ISNUMBER(MATCH($X1673,계정대체기준!$D$77:$D$86,0)),ISNUMBER(MATCH($F1673,계정대체기준!$D$77:$D$86,0))),"Y","N")))</f>
        <v/>
      </c>
    </row>
    <row r="1674">
      <c r="A1674" s="92" t="n">
        <v>2025</v>
      </c>
      <c r="B1674" s="92" t="n">
        <v>8</v>
      </c>
      <c r="C1674" s="92" t="inlineStr">
        <is>
          <t>5100001670</t>
        </is>
      </c>
      <c r="D1674" s="95" t="n">
        <v>45880</v>
      </c>
      <c r="E1674" s="92" t="inlineStr">
        <is>
          <t>KR</t>
        </is>
      </c>
      <c r="F1674" s="92" t="n">
        <v>62901000</v>
      </c>
      <c r="G1674" s="92" t="n">
        <v>1801</v>
      </c>
      <c r="H1674" s="93" t="n">
        <v>11910000</v>
      </c>
      <c r="I1674" s="92" t="inlineStr">
        <is>
          <t>8월 자문 수수료 - K회계법인</t>
        </is>
      </c>
      <c r="J1674" s="92" t="inlineStr">
        <is>
          <t>V10011</t>
        </is>
      </c>
      <c r="K1674" s="92" t="inlineStr">
        <is>
          <t>K회계법인</t>
        </is>
      </c>
      <c r="M1674" s="9">
        <f>IF($A1674="","",VALUE($A1674&amp;"")*12+VALUE($B1674&amp;""))</f>
        <v/>
      </c>
      <c r="N1674" s="64">
        <f>IF($A1674="","",IFERROR(INDEX(부서매핑!$C$5:$C$504,MATCH($G1674&amp;"",부서매핑!$A$5:$A$504,0)),"미매핑"))</f>
        <v/>
      </c>
      <c r="O1674" s="9">
        <f>IF($A1674="","",N1674&amp;"|"&amp;$F1674)</f>
        <v/>
      </c>
      <c r="P1674" s="94">
        <f>IF($A1674="",0,$H1674*설정!$C$23)</f>
        <v/>
      </c>
      <c r="Q1674" s="64">
        <f>IF($A1674="","",IF(O1674&lt;&gt;원인분석!$C$9,"",IF(AND(M1674&gt;=원인분석!$C$10,M1674&lt;=원인분석!$C$11),"당기",IF(AND(M1674&gt;=원인분석!$C$12,M1674&lt;=원인분석!$C$13),"비교",""))))</f>
        <v/>
      </c>
      <c r="R1674" s="9">
        <f>IF(Q1674="","",$K1674&amp;"")</f>
        <v/>
      </c>
      <c r="S1674" s="9">
        <f>IF(Q1674="","",IF(MATCH(R1674,$R$5:$R$100000,0)=ROW()-4,ROW(),""))</f>
        <v/>
      </c>
      <c r="T1674" s="9">
        <f>IF(Q1674="당기",ABS(P1674)+ROW()/1000000000,"")</f>
        <v/>
      </c>
      <c r="U1674" s="9">
        <f>IF(Q1674="비교",ABS(P1674)+ROW()/1000000000,"")</f>
        <v/>
      </c>
      <c r="V1674" s="64">
        <f>IF($A1674="","",IF(COUNTIF(변동분석!$E$7:$E$506,O1674)&gt;0,"Y","N"))</f>
        <v/>
      </c>
      <c r="W1674" s="64">
        <f>IF($A1674="","",IFERROR(INDEX(계정매핑!$D$5:$D$504,MATCH($F1674&amp;"",계정매핑!$A$5:$A$504,0)),"미매핑"))</f>
        <v/>
      </c>
      <c r="X1674" s="9">
        <f>IF($A1674="","",$F1674&amp;"")</f>
        <v/>
      </c>
      <c r="Y1674" s="94">
        <f>IF($A1674="",0,IF(AE1674="직접",IF(AF1674="비귀속",$P1674,0),$P1674*(1-AG1674)*IFERROR(INDEX(계정대체기준!$F$20:$F$49,MATCH($N1674,계정대체기준!$A$20:$A$49,0)),1)))</f>
        <v/>
      </c>
      <c r="Z1674" s="94">
        <f>IF($A1674="",0,IF(AE1674="직접",IF(AF1674="신계약비",$P1674,0),$P1674*(1-AG1674)*IFERROR(INDEX(계정대체기준!$C$20:$C$49,MATCH($N1674,계정대체기준!$A$20:$A$49,0)),0)))</f>
        <v/>
      </c>
      <c r="AA1674" s="94">
        <f>IF($A1674="",0,IF(AE1674="직접",IF(OR(AF1674="유지비",AF1674="손해조사비"),$P1674,0),$P1674*(1-AG1674)*IFERROR(INDEX(계정대체기준!$D$20:$D$49,MATCH($N1674,계정대체기준!$A$20:$A$49,0)),0)))</f>
        <v/>
      </c>
      <c r="AB1674" s="94">
        <f>IF($A1674="",0,IF(AE1674="직접",IF(AF1674="수금비",$P1674,0),$P1674*(1-AG1674)*IFERROR(INDEX(계정대체기준!$E$20:$E$49,MATCH($N1674,계정대체기준!$A$20:$A$49,0)),0)))</f>
        <v/>
      </c>
      <c r="AC1674" s="9">
        <f>IF(AND($A1674&lt;&gt;"",M1674=설정!$C$20,Z1674&gt;0),Z1674+ROW()/1000000000,"")</f>
        <v/>
      </c>
      <c r="AD1674" s="94">
        <f>IF($A1674="",0,$P1674*AG1674)</f>
        <v/>
      </c>
      <c r="AE1674" s="64">
        <f>IF($A1674="","",IFERROR(INDEX(계정매핑!$E$5:$E$504,MATCH($F1674&amp;"",계정매핑!$A$5:$A$504,0))&amp;"","공통비"))</f>
        <v/>
      </c>
      <c r="AF1674" s="64">
        <f>IF($A1674="","",IF(AE1674="직접",IFERROR(INDEX(계정매핑!$F$5:$F$504,MATCH($F1674&amp;"",계정매핑!$A$5:$A$504,0))&amp;"","비귀속"),""))</f>
        <v/>
      </c>
      <c r="AG1674" s="96">
        <f>IF($A1674="",0,IF(AND(AE1674&lt;&gt;"직접",IFERROR(INDEX(계정매핑!$G$5:$G$504,MATCH($F1674&amp;"",계정매핑!$A$5:$A$504,0))&amp;"","")="유지비",COUNTIF(계정대체기준!$A$6:$A$15,$N1674)&gt;0),IFERROR(INDEX(계정대체기준!$E$6:$E$15,MATCH(VALUE($A1674&amp;""),계정대체기준!$D$6:$D$15,0)),0),0))</f>
        <v/>
      </c>
      <c r="AH1674" s="64">
        <f>IF($A1674="","",IF(AD1674=0,"",IF(OR(COUNTIF(계정대체기준!$A$77:$A$86,$N1674)&gt;0,ISNUMBER(MATCH($X1674,계정대체기준!$D$77:$D$86,0)),ISNUMBER(MATCH($F1674,계정대체기준!$D$77:$D$86,0))),"Y","N")))</f>
        <v/>
      </c>
    </row>
    <row r="1675">
      <c r="A1675" s="92" t="n">
        <v>2025</v>
      </c>
      <c r="B1675" s="92" t="n">
        <v>8</v>
      </c>
      <c r="C1675" s="92" t="inlineStr">
        <is>
          <t>5100001671</t>
        </is>
      </c>
      <c r="D1675" s="95" t="n">
        <v>45880</v>
      </c>
      <c r="E1675" s="92" t="inlineStr">
        <is>
          <t>KR</t>
        </is>
      </c>
      <c r="F1675" s="92" t="n">
        <v>62902000</v>
      </c>
      <c r="G1675" s="92" t="n">
        <v>1801</v>
      </c>
      <c r="H1675" s="93" t="n">
        <v>3000000</v>
      </c>
      <c r="I1675" s="92" t="inlineStr">
        <is>
          <t>8월 업무 위탁 수수료 - X서비스</t>
        </is>
      </c>
      <c r="J1675" s="92" t="inlineStr">
        <is>
          <t>V10020</t>
        </is>
      </c>
      <c r="K1675" s="92" t="inlineStr">
        <is>
          <t>X서비스</t>
        </is>
      </c>
      <c r="M1675" s="9">
        <f>IF($A1675="","",VALUE($A1675&amp;"")*12+VALUE($B1675&amp;""))</f>
        <v/>
      </c>
      <c r="N1675" s="64">
        <f>IF($A1675="","",IFERROR(INDEX(부서매핑!$C$5:$C$504,MATCH($G1675&amp;"",부서매핑!$A$5:$A$504,0)),"미매핑"))</f>
        <v/>
      </c>
      <c r="O1675" s="9">
        <f>IF($A1675="","",N1675&amp;"|"&amp;$F1675)</f>
        <v/>
      </c>
      <c r="P1675" s="94">
        <f>IF($A1675="",0,$H1675*설정!$C$23)</f>
        <v/>
      </c>
      <c r="Q1675" s="64">
        <f>IF($A1675="","",IF(O1675&lt;&gt;원인분석!$C$9,"",IF(AND(M1675&gt;=원인분석!$C$10,M1675&lt;=원인분석!$C$11),"당기",IF(AND(M1675&gt;=원인분석!$C$12,M1675&lt;=원인분석!$C$13),"비교",""))))</f>
        <v/>
      </c>
      <c r="R1675" s="9">
        <f>IF(Q1675="","",$K1675&amp;"")</f>
        <v/>
      </c>
      <c r="S1675" s="9">
        <f>IF(Q1675="","",IF(MATCH(R1675,$R$5:$R$100000,0)=ROW()-4,ROW(),""))</f>
        <v/>
      </c>
      <c r="T1675" s="9">
        <f>IF(Q1675="당기",ABS(P1675)+ROW()/1000000000,"")</f>
        <v/>
      </c>
      <c r="U1675" s="9">
        <f>IF(Q1675="비교",ABS(P1675)+ROW()/1000000000,"")</f>
        <v/>
      </c>
      <c r="V1675" s="64">
        <f>IF($A1675="","",IF(COUNTIF(변동분석!$E$7:$E$506,O1675)&gt;0,"Y","N"))</f>
        <v/>
      </c>
      <c r="W1675" s="64">
        <f>IF($A1675="","",IFERROR(INDEX(계정매핑!$D$5:$D$504,MATCH($F1675&amp;"",계정매핑!$A$5:$A$504,0)),"미매핑"))</f>
        <v/>
      </c>
      <c r="X1675" s="9">
        <f>IF($A1675="","",$F1675&amp;"")</f>
        <v/>
      </c>
      <c r="Y1675" s="94">
        <f>IF($A1675="",0,IF(AE1675="직접",IF(AF1675="비귀속",$P1675,0),$P1675*(1-AG1675)*IFERROR(INDEX(계정대체기준!$F$20:$F$49,MATCH($N1675,계정대체기준!$A$20:$A$49,0)),1)))</f>
        <v/>
      </c>
      <c r="Z1675" s="94">
        <f>IF($A1675="",0,IF(AE1675="직접",IF(AF1675="신계약비",$P1675,0),$P1675*(1-AG1675)*IFERROR(INDEX(계정대체기준!$C$20:$C$49,MATCH($N1675,계정대체기준!$A$20:$A$49,0)),0)))</f>
        <v/>
      </c>
      <c r="AA1675" s="94">
        <f>IF($A1675="",0,IF(AE1675="직접",IF(OR(AF1675="유지비",AF1675="손해조사비"),$P1675,0),$P1675*(1-AG1675)*IFERROR(INDEX(계정대체기준!$D$20:$D$49,MATCH($N1675,계정대체기준!$A$20:$A$49,0)),0)))</f>
        <v/>
      </c>
      <c r="AB1675" s="94">
        <f>IF($A1675="",0,IF(AE1675="직접",IF(AF1675="수금비",$P1675,0),$P1675*(1-AG1675)*IFERROR(INDEX(계정대체기준!$E$20:$E$49,MATCH($N1675,계정대체기준!$A$20:$A$49,0)),0)))</f>
        <v/>
      </c>
      <c r="AC1675" s="9">
        <f>IF(AND($A1675&lt;&gt;"",M1675=설정!$C$20,Z1675&gt;0),Z1675+ROW()/1000000000,"")</f>
        <v/>
      </c>
      <c r="AD1675" s="94">
        <f>IF($A1675="",0,$P1675*AG1675)</f>
        <v/>
      </c>
      <c r="AE1675" s="64">
        <f>IF($A1675="","",IFERROR(INDEX(계정매핑!$E$5:$E$504,MATCH($F1675&amp;"",계정매핑!$A$5:$A$504,0))&amp;"","공통비"))</f>
        <v/>
      </c>
      <c r="AF1675" s="64">
        <f>IF($A1675="","",IF(AE1675="직접",IFERROR(INDEX(계정매핑!$F$5:$F$504,MATCH($F1675&amp;"",계정매핑!$A$5:$A$504,0))&amp;"","비귀속"),""))</f>
        <v/>
      </c>
      <c r="AG1675" s="96">
        <f>IF($A1675="",0,IF(AND(AE1675&lt;&gt;"직접",IFERROR(INDEX(계정매핑!$G$5:$G$504,MATCH($F1675&amp;"",계정매핑!$A$5:$A$504,0))&amp;"","")="유지비",COUNTIF(계정대체기준!$A$6:$A$15,$N1675)&gt;0),IFERROR(INDEX(계정대체기준!$E$6:$E$15,MATCH(VALUE($A1675&amp;""),계정대체기준!$D$6:$D$15,0)),0),0))</f>
        <v/>
      </c>
      <c r="AH1675" s="64">
        <f>IF($A1675="","",IF(AD1675=0,"",IF(OR(COUNTIF(계정대체기준!$A$77:$A$86,$N1675)&gt;0,ISNUMBER(MATCH($X1675,계정대체기준!$D$77:$D$86,0)),ISNUMBER(MATCH($F1675,계정대체기준!$D$77:$D$86,0))),"Y","N")))</f>
        <v/>
      </c>
    </row>
    <row r="1676">
      <c r="A1676" s="92" t="n">
        <v>2025</v>
      </c>
      <c r="B1676" s="92" t="n">
        <v>8</v>
      </c>
      <c r="C1676" s="92" t="inlineStr">
        <is>
          <t>5100001672</t>
        </is>
      </c>
      <c r="D1676" s="95" t="n">
        <v>45880</v>
      </c>
      <c r="E1676" s="92" t="inlineStr">
        <is>
          <t>KR</t>
        </is>
      </c>
      <c r="F1676" s="92" t="n">
        <v>63002000</v>
      </c>
      <c r="G1676" s="92" t="n">
        <v>1951</v>
      </c>
      <c r="H1676" s="93" t="n">
        <v>3673000</v>
      </c>
      <c r="I1676" s="92" t="inlineStr">
        <is>
          <t>8월 클라우드 사용료 - C클라우드</t>
        </is>
      </c>
      <c r="J1676" s="92" t="inlineStr">
        <is>
          <t>V10026</t>
        </is>
      </c>
      <c r="K1676" s="92" t="inlineStr">
        <is>
          <t>C클라우드</t>
        </is>
      </c>
      <c r="M1676" s="9">
        <f>IF($A1676="","",VALUE($A1676&amp;"")*12+VALUE($B1676&amp;""))</f>
        <v/>
      </c>
      <c r="N1676" s="64">
        <f>IF($A1676="","",IFERROR(INDEX(부서매핑!$C$5:$C$504,MATCH($G1676&amp;"",부서매핑!$A$5:$A$504,0)),"미매핑"))</f>
        <v/>
      </c>
      <c r="O1676" s="9">
        <f>IF($A1676="","",N1676&amp;"|"&amp;$F1676)</f>
        <v/>
      </c>
      <c r="P1676" s="94">
        <f>IF($A1676="",0,$H1676*설정!$C$23)</f>
        <v/>
      </c>
      <c r="Q1676" s="64">
        <f>IF($A1676="","",IF(O1676&lt;&gt;원인분석!$C$9,"",IF(AND(M1676&gt;=원인분석!$C$10,M1676&lt;=원인분석!$C$11),"당기",IF(AND(M1676&gt;=원인분석!$C$12,M1676&lt;=원인분석!$C$13),"비교",""))))</f>
        <v/>
      </c>
      <c r="R1676" s="9">
        <f>IF(Q1676="","",$K1676&amp;"")</f>
        <v/>
      </c>
      <c r="S1676" s="9">
        <f>IF(Q1676="","",IF(MATCH(R1676,$R$5:$R$100000,0)=ROW()-4,ROW(),""))</f>
        <v/>
      </c>
      <c r="T1676" s="9">
        <f>IF(Q1676="당기",ABS(P1676)+ROW()/1000000000,"")</f>
        <v/>
      </c>
      <c r="U1676" s="9">
        <f>IF(Q1676="비교",ABS(P1676)+ROW()/1000000000,"")</f>
        <v/>
      </c>
      <c r="V1676" s="64">
        <f>IF($A1676="","",IF(COUNTIF(변동분석!$E$7:$E$506,O1676)&gt;0,"Y","N"))</f>
        <v/>
      </c>
      <c r="W1676" s="64">
        <f>IF($A1676="","",IFERROR(INDEX(계정매핑!$D$5:$D$504,MATCH($F1676&amp;"",계정매핑!$A$5:$A$504,0)),"미매핑"))</f>
        <v/>
      </c>
      <c r="X1676" s="9">
        <f>IF($A1676="","",$F1676&amp;"")</f>
        <v/>
      </c>
      <c r="Y1676" s="94">
        <f>IF($A1676="",0,IF(AE1676="직접",IF(AF1676="비귀속",$P1676,0),$P1676*(1-AG1676)*IFERROR(INDEX(계정대체기준!$F$20:$F$49,MATCH($N1676,계정대체기준!$A$20:$A$49,0)),1)))</f>
        <v/>
      </c>
      <c r="Z1676" s="94">
        <f>IF($A1676="",0,IF(AE1676="직접",IF(AF1676="신계약비",$P1676,0),$P1676*(1-AG1676)*IFERROR(INDEX(계정대체기준!$C$20:$C$49,MATCH($N1676,계정대체기준!$A$20:$A$49,0)),0)))</f>
        <v/>
      </c>
      <c r="AA1676" s="94">
        <f>IF($A1676="",0,IF(AE1676="직접",IF(OR(AF1676="유지비",AF1676="손해조사비"),$P1676,0),$P1676*(1-AG1676)*IFERROR(INDEX(계정대체기준!$D$20:$D$49,MATCH($N1676,계정대체기준!$A$20:$A$49,0)),0)))</f>
        <v/>
      </c>
      <c r="AB1676" s="94">
        <f>IF($A1676="",0,IF(AE1676="직접",IF(AF1676="수금비",$P1676,0),$P1676*(1-AG1676)*IFERROR(INDEX(계정대체기준!$E$20:$E$49,MATCH($N1676,계정대체기준!$A$20:$A$49,0)),0)))</f>
        <v/>
      </c>
      <c r="AC1676" s="9">
        <f>IF(AND($A1676&lt;&gt;"",M1676=설정!$C$20,Z1676&gt;0),Z1676+ROW()/1000000000,"")</f>
        <v/>
      </c>
      <c r="AD1676" s="94">
        <f>IF($A1676="",0,$P1676*AG1676)</f>
        <v/>
      </c>
      <c r="AE1676" s="64">
        <f>IF($A1676="","",IFERROR(INDEX(계정매핑!$E$5:$E$504,MATCH($F1676&amp;"",계정매핑!$A$5:$A$504,0))&amp;"","공통비"))</f>
        <v/>
      </c>
      <c r="AF1676" s="64">
        <f>IF($A1676="","",IF(AE1676="직접",IFERROR(INDEX(계정매핑!$F$5:$F$504,MATCH($F1676&amp;"",계정매핑!$A$5:$A$504,0))&amp;"","비귀속"),""))</f>
        <v/>
      </c>
      <c r="AG1676" s="96">
        <f>IF($A1676="",0,IF(AND(AE1676&lt;&gt;"직접",IFERROR(INDEX(계정매핑!$G$5:$G$504,MATCH($F1676&amp;"",계정매핑!$A$5:$A$504,0))&amp;"","")="유지비",COUNTIF(계정대체기준!$A$6:$A$15,$N1676)&gt;0),IFERROR(INDEX(계정대체기준!$E$6:$E$15,MATCH(VALUE($A1676&amp;""),계정대체기준!$D$6:$D$15,0)),0),0))</f>
        <v/>
      </c>
      <c r="AH1676" s="64">
        <f>IF($A1676="","",IF(AD1676=0,"",IF(OR(COUNTIF(계정대체기준!$A$77:$A$86,$N1676)&gt;0,ISNUMBER(MATCH($X1676,계정대체기준!$D$77:$D$86,0)),ISNUMBER(MATCH($F1676,계정대체기준!$D$77:$D$86,0))),"Y","N")))</f>
        <v/>
      </c>
    </row>
    <row r="1677">
      <c r="A1677" s="92" t="n">
        <v>2025</v>
      </c>
      <c r="B1677" s="92" t="n">
        <v>8</v>
      </c>
      <c r="C1677" s="92" t="inlineStr">
        <is>
          <t>5100001673</t>
        </is>
      </c>
      <c r="D1677" s="95" t="n">
        <v>45880</v>
      </c>
      <c r="E1677" s="92" t="inlineStr">
        <is>
          <t>KR</t>
        </is>
      </c>
      <c r="F1677" s="92" t="n">
        <v>63501000</v>
      </c>
      <c r="G1677" s="92" t="n">
        <v>1902</v>
      </c>
      <c r="H1677" s="93" t="n">
        <v>433713000</v>
      </c>
      <c r="I1677" s="92" t="inlineStr">
        <is>
          <t>8월 모집수수료 - AA보험대리점</t>
        </is>
      </c>
      <c r="J1677" s="92" t="inlineStr">
        <is>
          <t>V10034</t>
        </is>
      </c>
      <c r="K1677" s="92" t="inlineStr">
        <is>
          <t>AA보험대리점</t>
        </is>
      </c>
      <c r="M1677" s="9">
        <f>IF($A1677="","",VALUE($A1677&amp;"")*12+VALUE($B1677&amp;""))</f>
        <v/>
      </c>
      <c r="N1677" s="64">
        <f>IF($A1677="","",IFERROR(INDEX(부서매핑!$C$5:$C$504,MATCH($G1677&amp;"",부서매핑!$A$5:$A$504,0)),"미매핑"))</f>
        <v/>
      </c>
      <c r="O1677" s="9">
        <f>IF($A1677="","",N1677&amp;"|"&amp;$F1677)</f>
        <v/>
      </c>
      <c r="P1677" s="94">
        <f>IF($A1677="",0,$H1677*설정!$C$23)</f>
        <v/>
      </c>
      <c r="Q1677" s="64">
        <f>IF($A1677="","",IF(O1677&lt;&gt;원인분석!$C$9,"",IF(AND(M1677&gt;=원인분석!$C$10,M1677&lt;=원인분석!$C$11),"당기",IF(AND(M1677&gt;=원인분석!$C$12,M1677&lt;=원인분석!$C$13),"비교",""))))</f>
        <v/>
      </c>
      <c r="R1677" s="9">
        <f>IF(Q1677="","",$K1677&amp;"")</f>
        <v/>
      </c>
      <c r="S1677" s="9">
        <f>IF(Q1677="","",IF(MATCH(R1677,$R$5:$R$100000,0)=ROW()-4,ROW(),""))</f>
        <v/>
      </c>
      <c r="T1677" s="9">
        <f>IF(Q1677="당기",ABS(P1677)+ROW()/1000000000,"")</f>
        <v/>
      </c>
      <c r="U1677" s="9">
        <f>IF(Q1677="비교",ABS(P1677)+ROW()/1000000000,"")</f>
        <v/>
      </c>
      <c r="V1677" s="64">
        <f>IF($A1677="","",IF(COUNTIF(변동분석!$E$7:$E$506,O1677)&gt;0,"Y","N"))</f>
        <v/>
      </c>
      <c r="W1677" s="64">
        <f>IF($A1677="","",IFERROR(INDEX(계정매핑!$D$5:$D$504,MATCH($F1677&amp;"",계정매핑!$A$5:$A$504,0)),"미매핑"))</f>
        <v/>
      </c>
      <c r="X1677" s="9">
        <f>IF($A1677="","",$F1677&amp;"")</f>
        <v/>
      </c>
      <c r="Y1677" s="94">
        <f>IF($A1677="",0,IF(AE1677="직접",IF(AF1677="비귀속",$P1677,0),$P1677*(1-AG1677)*IFERROR(INDEX(계정대체기준!$F$20:$F$49,MATCH($N1677,계정대체기준!$A$20:$A$49,0)),1)))</f>
        <v/>
      </c>
      <c r="Z1677" s="94">
        <f>IF($A1677="",0,IF(AE1677="직접",IF(AF1677="신계약비",$P1677,0),$P1677*(1-AG1677)*IFERROR(INDEX(계정대체기준!$C$20:$C$49,MATCH($N1677,계정대체기준!$A$20:$A$49,0)),0)))</f>
        <v/>
      </c>
      <c r="AA1677" s="94">
        <f>IF($A1677="",0,IF(AE1677="직접",IF(OR(AF1677="유지비",AF1677="손해조사비"),$P1677,0),$P1677*(1-AG1677)*IFERROR(INDEX(계정대체기준!$D$20:$D$49,MATCH($N1677,계정대체기준!$A$20:$A$49,0)),0)))</f>
        <v/>
      </c>
      <c r="AB1677" s="94">
        <f>IF($A1677="",0,IF(AE1677="직접",IF(AF1677="수금비",$P1677,0),$P1677*(1-AG1677)*IFERROR(INDEX(계정대체기준!$E$20:$E$49,MATCH($N1677,계정대체기준!$A$20:$A$49,0)),0)))</f>
        <v/>
      </c>
      <c r="AC1677" s="9">
        <f>IF(AND($A1677&lt;&gt;"",M1677=설정!$C$20,Z1677&gt;0),Z1677+ROW()/1000000000,"")</f>
        <v/>
      </c>
      <c r="AD1677" s="94">
        <f>IF($A1677="",0,$P1677*AG1677)</f>
        <v/>
      </c>
      <c r="AE1677" s="64">
        <f>IF($A1677="","",IFERROR(INDEX(계정매핑!$E$5:$E$504,MATCH($F1677&amp;"",계정매핑!$A$5:$A$504,0))&amp;"","공통비"))</f>
        <v/>
      </c>
      <c r="AF1677" s="64">
        <f>IF($A1677="","",IF(AE1677="직접",IFERROR(INDEX(계정매핑!$F$5:$F$504,MATCH($F1677&amp;"",계정매핑!$A$5:$A$504,0))&amp;"","비귀속"),""))</f>
        <v/>
      </c>
      <c r="AG1677" s="96">
        <f>IF($A1677="",0,IF(AND(AE1677&lt;&gt;"직접",IFERROR(INDEX(계정매핑!$G$5:$G$504,MATCH($F1677&amp;"",계정매핑!$A$5:$A$504,0))&amp;"","")="유지비",COUNTIF(계정대체기준!$A$6:$A$15,$N1677)&gt;0),IFERROR(INDEX(계정대체기준!$E$6:$E$15,MATCH(VALUE($A1677&amp;""),계정대체기준!$D$6:$D$15,0)),0),0))</f>
        <v/>
      </c>
      <c r="AH1677" s="64">
        <f>IF($A1677="","",IF(AD1677=0,"",IF(OR(COUNTIF(계정대체기준!$A$77:$A$86,$N1677)&gt;0,ISNUMBER(MATCH($X1677,계정대체기준!$D$77:$D$86,0)),ISNUMBER(MATCH($F1677,계정대체기준!$D$77:$D$86,0))),"Y","N")))</f>
        <v/>
      </c>
    </row>
    <row r="1678">
      <c r="A1678" s="92" t="n">
        <v>2025</v>
      </c>
      <c r="B1678" s="92" t="n">
        <v>8</v>
      </c>
      <c r="C1678" s="92" t="inlineStr">
        <is>
          <t>5100001674</t>
        </is>
      </c>
      <c r="D1678" s="95" t="n">
        <v>45881</v>
      </c>
      <c r="E1678" s="92" t="inlineStr">
        <is>
          <t>KR</t>
        </is>
      </c>
      <c r="F1678" s="92" t="n">
        <v>62501000</v>
      </c>
      <c r="G1678" s="92" t="n">
        <v>1602</v>
      </c>
      <c r="H1678" s="93" t="n">
        <v>306000</v>
      </c>
      <c r="I1678" s="92" t="inlineStr">
        <is>
          <t>8월 회의 다과 - (법인카드)</t>
        </is>
      </c>
      <c r="J1678" s="92" t="inlineStr">
        <is>
          <t>V10010</t>
        </is>
      </c>
      <c r="K1678" s="92" t="inlineStr">
        <is>
          <t>(법인카드)</t>
        </is>
      </c>
      <c r="M1678" s="9">
        <f>IF($A1678="","",VALUE($A1678&amp;"")*12+VALUE($B1678&amp;""))</f>
        <v/>
      </c>
      <c r="N1678" s="64">
        <f>IF($A1678="","",IFERROR(INDEX(부서매핑!$C$5:$C$504,MATCH($G1678&amp;"",부서매핑!$A$5:$A$504,0)),"미매핑"))</f>
        <v/>
      </c>
      <c r="O1678" s="9">
        <f>IF($A1678="","",N1678&amp;"|"&amp;$F1678)</f>
        <v/>
      </c>
      <c r="P1678" s="94">
        <f>IF($A1678="",0,$H1678*설정!$C$23)</f>
        <v/>
      </c>
      <c r="Q1678" s="64">
        <f>IF($A1678="","",IF(O1678&lt;&gt;원인분석!$C$9,"",IF(AND(M1678&gt;=원인분석!$C$10,M1678&lt;=원인분석!$C$11),"당기",IF(AND(M1678&gt;=원인분석!$C$12,M1678&lt;=원인분석!$C$13),"비교",""))))</f>
        <v/>
      </c>
      <c r="R1678" s="9">
        <f>IF(Q1678="","",$K1678&amp;"")</f>
        <v/>
      </c>
      <c r="S1678" s="9">
        <f>IF(Q1678="","",IF(MATCH(R1678,$R$5:$R$100000,0)=ROW()-4,ROW(),""))</f>
        <v/>
      </c>
      <c r="T1678" s="9">
        <f>IF(Q1678="당기",ABS(P1678)+ROW()/1000000000,"")</f>
        <v/>
      </c>
      <c r="U1678" s="9">
        <f>IF(Q1678="비교",ABS(P1678)+ROW()/1000000000,"")</f>
        <v/>
      </c>
      <c r="V1678" s="64">
        <f>IF($A1678="","",IF(COUNTIF(변동분석!$E$7:$E$506,O1678)&gt;0,"Y","N"))</f>
        <v/>
      </c>
      <c r="W1678" s="64">
        <f>IF($A1678="","",IFERROR(INDEX(계정매핑!$D$5:$D$504,MATCH($F1678&amp;"",계정매핑!$A$5:$A$504,0)),"미매핑"))</f>
        <v/>
      </c>
      <c r="X1678" s="9">
        <f>IF($A1678="","",$F1678&amp;"")</f>
        <v/>
      </c>
      <c r="Y1678" s="94">
        <f>IF($A1678="",0,IF(AE1678="직접",IF(AF1678="비귀속",$P1678,0),$P1678*(1-AG1678)*IFERROR(INDEX(계정대체기준!$F$20:$F$49,MATCH($N1678,계정대체기준!$A$20:$A$49,0)),1)))</f>
        <v/>
      </c>
      <c r="Z1678" s="94">
        <f>IF($A1678="",0,IF(AE1678="직접",IF(AF1678="신계약비",$P1678,0),$P1678*(1-AG1678)*IFERROR(INDEX(계정대체기준!$C$20:$C$49,MATCH($N1678,계정대체기준!$A$20:$A$49,0)),0)))</f>
        <v/>
      </c>
      <c r="AA1678" s="94">
        <f>IF($A1678="",0,IF(AE1678="직접",IF(OR(AF1678="유지비",AF1678="손해조사비"),$P1678,0),$P1678*(1-AG1678)*IFERROR(INDEX(계정대체기준!$D$20:$D$49,MATCH($N1678,계정대체기준!$A$20:$A$49,0)),0)))</f>
        <v/>
      </c>
      <c r="AB1678" s="94">
        <f>IF($A1678="",0,IF(AE1678="직접",IF(AF1678="수금비",$P1678,0),$P1678*(1-AG1678)*IFERROR(INDEX(계정대체기준!$E$20:$E$49,MATCH($N1678,계정대체기준!$A$20:$A$49,0)),0)))</f>
        <v/>
      </c>
      <c r="AC1678" s="9">
        <f>IF(AND($A1678&lt;&gt;"",M1678=설정!$C$20,Z1678&gt;0),Z1678+ROW()/1000000000,"")</f>
        <v/>
      </c>
      <c r="AD1678" s="94">
        <f>IF($A1678="",0,$P1678*AG1678)</f>
        <v/>
      </c>
      <c r="AE1678" s="64">
        <f>IF($A1678="","",IFERROR(INDEX(계정매핑!$E$5:$E$504,MATCH($F1678&amp;"",계정매핑!$A$5:$A$504,0))&amp;"","공통비"))</f>
        <v/>
      </c>
      <c r="AF1678" s="64">
        <f>IF($A1678="","",IF(AE1678="직접",IFERROR(INDEX(계정매핑!$F$5:$F$504,MATCH($F1678&amp;"",계정매핑!$A$5:$A$504,0))&amp;"","비귀속"),""))</f>
        <v/>
      </c>
      <c r="AG1678" s="96">
        <f>IF($A1678="",0,IF(AND(AE1678&lt;&gt;"직접",IFERROR(INDEX(계정매핑!$G$5:$G$504,MATCH($F1678&amp;"",계정매핑!$A$5:$A$504,0))&amp;"","")="유지비",COUNTIF(계정대체기준!$A$6:$A$15,$N1678)&gt;0),IFERROR(INDEX(계정대체기준!$E$6:$E$15,MATCH(VALUE($A1678&amp;""),계정대체기준!$D$6:$D$15,0)),0),0))</f>
        <v/>
      </c>
      <c r="AH1678" s="64">
        <f>IF($A1678="","",IF(AD1678=0,"",IF(OR(COUNTIF(계정대체기준!$A$77:$A$86,$N1678)&gt;0,ISNUMBER(MATCH($X1678,계정대체기준!$D$77:$D$86,0)),ISNUMBER(MATCH($F1678,계정대체기준!$D$77:$D$86,0))),"Y","N")))</f>
        <v/>
      </c>
    </row>
    <row r="1679">
      <c r="A1679" s="92" t="n">
        <v>2025</v>
      </c>
      <c r="B1679" s="92" t="n">
        <v>8</v>
      </c>
      <c r="C1679" s="92" t="inlineStr">
        <is>
          <t>5100001675</t>
        </is>
      </c>
      <c r="D1679" s="95" t="n">
        <v>45881</v>
      </c>
      <c r="E1679" s="92" t="inlineStr">
        <is>
          <t>KR</t>
        </is>
      </c>
      <c r="F1679" s="92" t="n">
        <v>62501000</v>
      </c>
      <c r="G1679" s="92" t="n">
        <v>1602</v>
      </c>
      <c r="H1679" s="93" t="n">
        <v>304000</v>
      </c>
      <c r="I1679" s="92" t="inlineStr">
        <is>
          <t>8월 회의 다과 - T케이터링</t>
        </is>
      </c>
      <c r="J1679" s="92" t="inlineStr">
        <is>
          <t>V10005</t>
        </is>
      </c>
      <c r="K1679" s="92" t="inlineStr">
        <is>
          <t>T케이터링</t>
        </is>
      </c>
      <c r="M1679" s="9">
        <f>IF($A1679="","",VALUE($A1679&amp;"")*12+VALUE($B1679&amp;""))</f>
        <v/>
      </c>
      <c r="N1679" s="64">
        <f>IF($A1679="","",IFERROR(INDEX(부서매핑!$C$5:$C$504,MATCH($G1679&amp;"",부서매핑!$A$5:$A$504,0)),"미매핑"))</f>
        <v/>
      </c>
      <c r="O1679" s="9">
        <f>IF($A1679="","",N1679&amp;"|"&amp;$F1679)</f>
        <v/>
      </c>
      <c r="P1679" s="94">
        <f>IF($A1679="",0,$H1679*설정!$C$23)</f>
        <v/>
      </c>
      <c r="Q1679" s="64">
        <f>IF($A1679="","",IF(O1679&lt;&gt;원인분석!$C$9,"",IF(AND(M1679&gt;=원인분석!$C$10,M1679&lt;=원인분석!$C$11),"당기",IF(AND(M1679&gt;=원인분석!$C$12,M1679&lt;=원인분석!$C$13),"비교",""))))</f>
        <v/>
      </c>
      <c r="R1679" s="9">
        <f>IF(Q1679="","",$K1679&amp;"")</f>
        <v/>
      </c>
      <c r="S1679" s="9">
        <f>IF(Q1679="","",IF(MATCH(R1679,$R$5:$R$100000,0)=ROW()-4,ROW(),""))</f>
        <v/>
      </c>
      <c r="T1679" s="9">
        <f>IF(Q1679="당기",ABS(P1679)+ROW()/1000000000,"")</f>
        <v/>
      </c>
      <c r="U1679" s="9">
        <f>IF(Q1679="비교",ABS(P1679)+ROW()/1000000000,"")</f>
        <v/>
      </c>
      <c r="V1679" s="64">
        <f>IF($A1679="","",IF(COUNTIF(변동분석!$E$7:$E$506,O1679)&gt;0,"Y","N"))</f>
        <v/>
      </c>
      <c r="W1679" s="64">
        <f>IF($A1679="","",IFERROR(INDEX(계정매핑!$D$5:$D$504,MATCH($F1679&amp;"",계정매핑!$A$5:$A$504,0)),"미매핑"))</f>
        <v/>
      </c>
      <c r="X1679" s="9">
        <f>IF($A1679="","",$F1679&amp;"")</f>
        <v/>
      </c>
      <c r="Y1679" s="94">
        <f>IF($A1679="",0,IF(AE1679="직접",IF(AF1679="비귀속",$P1679,0),$P1679*(1-AG1679)*IFERROR(INDEX(계정대체기준!$F$20:$F$49,MATCH($N1679,계정대체기준!$A$20:$A$49,0)),1)))</f>
        <v/>
      </c>
      <c r="Z1679" s="94">
        <f>IF($A1679="",0,IF(AE1679="직접",IF(AF1679="신계약비",$P1679,0),$P1679*(1-AG1679)*IFERROR(INDEX(계정대체기준!$C$20:$C$49,MATCH($N1679,계정대체기준!$A$20:$A$49,0)),0)))</f>
        <v/>
      </c>
      <c r="AA1679" s="94">
        <f>IF($A1679="",0,IF(AE1679="직접",IF(OR(AF1679="유지비",AF1679="손해조사비"),$P1679,0),$P1679*(1-AG1679)*IFERROR(INDEX(계정대체기준!$D$20:$D$49,MATCH($N1679,계정대체기준!$A$20:$A$49,0)),0)))</f>
        <v/>
      </c>
      <c r="AB1679" s="94">
        <f>IF($A1679="",0,IF(AE1679="직접",IF(AF1679="수금비",$P1679,0),$P1679*(1-AG1679)*IFERROR(INDEX(계정대체기준!$E$20:$E$49,MATCH($N1679,계정대체기준!$A$20:$A$49,0)),0)))</f>
        <v/>
      </c>
      <c r="AC1679" s="9">
        <f>IF(AND($A1679&lt;&gt;"",M1679=설정!$C$20,Z1679&gt;0),Z1679+ROW()/1000000000,"")</f>
        <v/>
      </c>
      <c r="AD1679" s="94">
        <f>IF($A1679="",0,$P1679*AG1679)</f>
        <v/>
      </c>
      <c r="AE1679" s="64">
        <f>IF($A1679="","",IFERROR(INDEX(계정매핑!$E$5:$E$504,MATCH($F1679&amp;"",계정매핑!$A$5:$A$504,0))&amp;"","공통비"))</f>
        <v/>
      </c>
      <c r="AF1679" s="64">
        <f>IF($A1679="","",IF(AE1679="직접",IFERROR(INDEX(계정매핑!$F$5:$F$504,MATCH($F1679&amp;"",계정매핑!$A$5:$A$504,0))&amp;"","비귀속"),""))</f>
        <v/>
      </c>
      <c r="AG1679" s="96">
        <f>IF($A1679="",0,IF(AND(AE1679&lt;&gt;"직접",IFERROR(INDEX(계정매핑!$G$5:$G$504,MATCH($F1679&amp;"",계정매핑!$A$5:$A$504,0))&amp;"","")="유지비",COUNTIF(계정대체기준!$A$6:$A$15,$N1679)&gt;0),IFERROR(INDEX(계정대체기준!$E$6:$E$15,MATCH(VALUE($A1679&amp;""),계정대체기준!$D$6:$D$15,0)),0),0))</f>
        <v/>
      </c>
      <c r="AH1679" s="64">
        <f>IF($A1679="","",IF(AD1679=0,"",IF(OR(COUNTIF(계정대체기준!$A$77:$A$86,$N1679)&gt;0,ISNUMBER(MATCH($X1679,계정대체기준!$D$77:$D$86,0)),ISNUMBER(MATCH($F1679,계정대체기준!$D$77:$D$86,0))),"Y","N")))</f>
        <v/>
      </c>
    </row>
    <row r="1680">
      <c r="A1680" s="92" t="n">
        <v>2025</v>
      </c>
      <c r="B1680" s="92" t="n">
        <v>8</v>
      </c>
      <c r="C1680" s="92" t="inlineStr">
        <is>
          <t>5100001676</t>
        </is>
      </c>
      <c r="D1680" s="95" t="n">
        <v>45881</v>
      </c>
      <c r="E1680" s="92" t="inlineStr">
        <is>
          <t>KR</t>
        </is>
      </c>
      <c r="F1680" s="92" t="n">
        <v>62501000</v>
      </c>
      <c r="G1680" s="92" t="n">
        <v>1801</v>
      </c>
      <c r="H1680" s="93" t="n">
        <v>168000</v>
      </c>
      <c r="I1680" s="92" t="inlineStr">
        <is>
          <t>8월 회의 다과 - T케이터링</t>
        </is>
      </c>
      <c r="J1680" s="92" t="inlineStr">
        <is>
          <t>V10005</t>
        </is>
      </c>
      <c r="K1680" s="92" t="inlineStr">
        <is>
          <t>T케이터링</t>
        </is>
      </c>
      <c r="M1680" s="9">
        <f>IF($A1680="","",VALUE($A1680&amp;"")*12+VALUE($B1680&amp;""))</f>
        <v/>
      </c>
      <c r="N1680" s="64">
        <f>IF($A1680="","",IFERROR(INDEX(부서매핑!$C$5:$C$504,MATCH($G1680&amp;"",부서매핑!$A$5:$A$504,0)),"미매핑"))</f>
        <v/>
      </c>
      <c r="O1680" s="9">
        <f>IF($A1680="","",N1680&amp;"|"&amp;$F1680)</f>
        <v/>
      </c>
      <c r="P1680" s="94">
        <f>IF($A1680="",0,$H1680*설정!$C$23)</f>
        <v/>
      </c>
      <c r="Q1680" s="64">
        <f>IF($A1680="","",IF(O1680&lt;&gt;원인분석!$C$9,"",IF(AND(M1680&gt;=원인분석!$C$10,M1680&lt;=원인분석!$C$11),"당기",IF(AND(M1680&gt;=원인분석!$C$12,M1680&lt;=원인분석!$C$13),"비교",""))))</f>
        <v/>
      </c>
      <c r="R1680" s="9">
        <f>IF(Q1680="","",$K1680&amp;"")</f>
        <v/>
      </c>
      <c r="S1680" s="9">
        <f>IF(Q1680="","",IF(MATCH(R1680,$R$5:$R$100000,0)=ROW()-4,ROW(),""))</f>
        <v/>
      </c>
      <c r="T1680" s="9">
        <f>IF(Q1680="당기",ABS(P1680)+ROW()/1000000000,"")</f>
        <v/>
      </c>
      <c r="U1680" s="9">
        <f>IF(Q1680="비교",ABS(P1680)+ROW()/1000000000,"")</f>
        <v/>
      </c>
      <c r="V1680" s="64">
        <f>IF($A1680="","",IF(COUNTIF(변동분석!$E$7:$E$506,O1680)&gt;0,"Y","N"))</f>
        <v/>
      </c>
      <c r="W1680" s="64">
        <f>IF($A1680="","",IFERROR(INDEX(계정매핑!$D$5:$D$504,MATCH($F1680&amp;"",계정매핑!$A$5:$A$504,0)),"미매핑"))</f>
        <v/>
      </c>
      <c r="X1680" s="9">
        <f>IF($A1680="","",$F1680&amp;"")</f>
        <v/>
      </c>
      <c r="Y1680" s="94">
        <f>IF($A1680="",0,IF(AE1680="직접",IF(AF1680="비귀속",$P1680,0),$P1680*(1-AG1680)*IFERROR(INDEX(계정대체기준!$F$20:$F$49,MATCH($N1680,계정대체기준!$A$20:$A$49,0)),1)))</f>
        <v/>
      </c>
      <c r="Z1680" s="94">
        <f>IF($A1680="",0,IF(AE1680="직접",IF(AF1680="신계약비",$P1680,0),$P1680*(1-AG1680)*IFERROR(INDEX(계정대체기준!$C$20:$C$49,MATCH($N1680,계정대체기준!$A$20:$A$49,0)),0)))</f>
        <v/>
      </c>
      <c r="AA1680" s="94">
        <f>IF($A1680="",0,IF(AE1680="직접",IF(OR(AF1680="유지비",AF1680="손해조사비"),$P1680,0),$P1680*(1-AG1680)*IFERROR(INDEX(계정대체기준!$D$20:$D$49,MATCH($N1680,계정대체기준!$A$20:$A$49,0)),0)))</f>
        <v/>
      </c>
      <c r="AB1680" s="94">
        <f>IF($A1680="",0,IF(AE1680="직접",IF(AF1680="수금비",$P1680,0),$P1680*(1-AG1680)*IFERROR(INDEX(계정대체기준!$E$20:$E$49,MATCH($N1680,계정대체기준!$A$20:$A$49,0)),0)))</f>
        <v/>
      </c>
      <c r="AC1680" s="9">
        <f>IF(AND($A1680&lt;&gt;"",M1680=설정!$C$20,Z1680&gt;0),Z1680+ROW()/1000000000,"")</f>
        <v/>
      </c>
      <c r="AD1680" s="94">
        <f>IF($A1680="",0,$P1680*AG1680)</f>
        <v/>
      </c>
      <c r="AE1680" s="64">
        <f>IF($A1680="","",IFERROR(INDEX(계정매핑!$E$5:$E$504,MATCH($F1680&amp;"",계정매핑!$A$5:$A$504,0))&amp;"","공통비"))</f>
        <v/>
      </c>
      <c r="AF1680" s="64">
        <f>IF($A1680="","",IF(AE1680="직접",IFERROR(INDEX(계정매핑!$F$5:$F$504,MATCH($F1680&amp;"",계정매핑!$A$5:$A$504,0))&amp;"","비귀속"),""))</f>
        <v/>
      </c>
      <c r="AG1680" s="96">
        <f>IF($A1680="",0,IF(AND(AE1680&lt;&gt;"직접",IFERROR(INDEX(계정매핑!$G$5:$G$504,MATCH($F1680&amp;"",계정매핑!$A$5:$A$504,0))&amp;"","")="유지비",COUNTIF(계정대체기준!$A$6:$A$15,$N1680)&gt;0),IFERROR(INDEX(계정대체기준!$E$6:$E$15,MATCH(VALUE($A1680&amp;""),계정대체기준!$D$6:$D$15,0)),0),0))</f>
        <v/>
      </c>
      <c r="AH1680" s="64">
        <f>IF($A1680="","",IF(AD1680=0,"",IF(OR(COUNTIF(계정대체기준!$A$77:$A$86,$N1680)&gt;0,ISNUMBER(MATCH($X1680,계정대체기준!$D$77:$D$86,0)),ISNUMBER(MATCH($F1680,계정대체기준!$D$77:$D$86,0))),"Y","N")))</f>
        <v/>
      </c>
    </row>
    <row r="1681">
      <c r="A1681" s="92" t="n">
        <v>2025</v>
      </c>
      <c r="B1681" s="92" t="n">
        <v>8</v>
      </c>
      <c r="C1681" s="92" t="inlineStr">
        <is>
          <t>5100001677</t>
        </is>
      </c>
      <c r="D1681" s="95" t="n">
        <v>45881</v>
      </c>
      <c r="E1681" s="92" t="inlineStr">
        <is>
          <t>KR</t>
        </is>
      </c>
      <c r="F1681" s="92" t="n">
        <v>62701000</v>
      </c>
      <c r="G1681" s="92" t="n">
        <v>1501</v>
      </c>
      <c r="H1681" s="93" t="n">
        <v>55325000</v>
      </c>
      <c r="I1681" s="92" t="inlineStr">
        <is>
          <t>8월 광고 집행 - F애드</t>
        </is>
      </c>
      <c r="J1681" s="92" t="inlineStr">
        <is>
          <t>V10023</t>
        </is>
      </c>
      <c r="K1681" s="92" t="inlineStr">
        <is>
          <t>F애드</t>
        </is>
      </c>
      <c r="M1681" s="9">
        <f>IF($A1681="","",VALUE($A1681&amp;"")*12+VALUE($B1681&amp;""))</f>
        <v/>
      </c>
      <c r="N1681" s="64">
        <f>IF($A1681="","",IFERROR(INDEX(부서매핑!$C$5:$C$504,MATCH($G1681&amp;"",부서매핑!$A$5:$A$504,0)),"미매핑"))</f>
        <v/>
      </c>
      <c r="O1681" s="9">
        <f>IF($A1681="","",N1681&amp;"|"&amp;$F1681)</f>
        <v/>
      </c>
      <c r="P1681" s="94">
        <f>IF($A1681="",0,$H1681*설정!$C$23)</f>
        <v/>
      </c>
      <c r="Q1681" s="64">
        <f>IF($A1681="","",IF(O1681&lt;&gt;원인분석!$C$9,"",IF(AND(M1681&gt;=원인분석!$C$10,M1681&lt;=원인분석!$C$11),"당기",IF(AND(M1681&gt;=원인분석!$C$12,M1681&lt;=원인분석!$C$13),"비교",""))))</f>
        <v/>
      </c>
      <c r="R1681" s="9">
        <f>IF(Q1681="","",$K1681&amp;"")</f>
        <v/>
      </c>
      <c r="S1681" s="9">
        <f>IF(Q1681="","",IF(MATCH(R1681,$R$5:$R$100000,0)=ROW()-4,ROW(),""))</f>
        <v/>
      </c>
      <c r="T1681" s="9">
        <f>IF(Q1681="당기",ABS(P1681)+ROW()/1000000000,"")</f>
        <v/>
      </c>
      <c r="U1681" s="9">
        <f>IF(Q1681="비교",ABS(P1681)+ROW()/1000000000,"")</f>
        <v/>
      </c>
      <c r="V1681" s="64">
        <f>IF($A1681="","",IF(COUNTIF(변동분석!$E$7:$E$506,O1681)&gt;0,"Y","N"))</f>
        <v/>
      </c>
      <c r="W1681" s="64">
        <f>IF($A1681="","",IFERROR(INDEX(계정매핑!$D$5:$D$504,MATCH($F1681&amp;"",계정매핑!$A$5:$A$504,0)),"미매핑"))</f>
        <v/>
      </c>
      <c r="X1681" s="9">
        <f>IF($A1681="","",$F1681&amp;"")</f>
        <v/>
      </c>
      <c r="Y1681" s="94">
        <f>IF($A1681="",0,IF(AE1681="직접",IF(AF1681="비귀속",$P1681,0),$P1681*(1-AG1681)*IFERROR(INDEX(계정대체기준!$F$20:$F$49,MATCH($N1681,계정대체기준!$A$20:$A$49,0)),1)))</f>
        <v/>
      </c>
      <c r="Z1681" s="94">
        <f>IF($A1681="",0,IF(AE1681="직접",IF(AF1681="신계약비",$P1681,0),$P1681*(1-AG1681)*IFERROR(INDEX(계정대체기준!$C$20:$C$49,MATCH($N1681,계정대체기준!$A$20:$A$49,0)),0)))</f>
        <v/>
      </c>
      <c r="AA1681" s="94">
        <f>IF($A1681="",0,IF(AE1681="직접",IF(OR(AF1681="유지비",AF1681="손해조사비"),$P1681,0),$P1681*(1-AG1681)*IFERROR(INDEX(계정대체기준!$D$20:$D$49,MATCH($N1681,계정대체기준!$A$20:$A$49,0)),0)))</f>
        <v/>
      </c>
      <c r="AB1681" s="94">
        <f>IF($A1681="",0,IF(AE1681="직접",IF(AF1681="수금비",$P1681,0),$P1681*(1-AG1681)*IFERROR(INDEX(계정대체기준!$E$20:$E$49,MATCH($N1681,계정대체기준!$A$20:$A$49,0)),0)))</f>
        <v/>
      </c>
      <c r="AC1681" s="9">
        <f>IF(AND($A1681&lt;&gt;"",M1681=설정!$C$20,Z1681&gt;0),Z1681+ROW()/1000000000,"")</f>
        <v/>
      </c>
      <c r="AD1681" s="94">
        <f>IF($A1681="",0,$P1681*AG1681)</f>
        <v/>
      </c>
      <c r="AE1681" s="64">
        <f>IF($A1681="","",IFERROR(INDEX(계정매핑!$E$5:$E$504,MATCH($F1681&amp;"",계정매핑!$A$5:$A$504,0))&amp;"","공통비"))</f>
        <v/>
      </c>
      <c r="AF1681" s="64">
        <f>IF($A1681="","",IF(AE1681="직접",IFERROR(INDEX(계정매핑!$F$5:$F$504,MATCH($F1681&amp;"",계정매핑!$A$5:$A$504,0))&amp;"","비귀속"),""))</f>
        <v/>
      </c>
      <c r="AG1681" s="96">
        <f>IF($A1681="",0,IF(AND(AE1681&lt;&gt;"직접",IFERROR(INDEX(계정매핑!$G$5:$G$504,MATCH($F1681&amp;"",계정매핑!$A$5:$A$504,0))&amp;"","")="유지비",COUNTIF(계정대체기준!$A$6:$A$15,$N1681)&gt;0),IFERROR(INDEX(계정대체기준!$E$6:$E$15,MATCH(VALUE($A1681&amp;""),계정대체기준!$D$6:$D$15,0)),0),0))</f>
        <v/>
      </c>
      <c r="AH1681" s="64">
        <f>IF($A1681="","",IF(AD1681=0,"",IF(OR(COUNTIF(계정대체기준!$A$77:$A$86,$N1681)&gt;0,ISNUMBER(MATCH($X1681,계정대체기준!$D$77:$D$86,0)),ISNUMBER(MATCH($F1681,계정대체기준!$D$77:$D$86,0))),"Y","N")))</f>
        <v/>
      </c>
    </row>
    <row r="1682">
      <c r="A1682" s="92" t="n">
        <v>2025</v>
      </c>
      <c r="B1682" s="92" t="n">
        <v>8</v>
      </c>
      <c r="C1682" s="92" t="inlineStr">
        <is>
          <t>5100001678</t>
        </is>
      </c>
      <c r="D1682" s="95" t="n">
        <v>45881</v>
      </c>
      <c r="E1682" s="92" t="inlineStr">
        <is>
          <t>KR</t>
        </is>
      </c>
      <c r="F1682" s="92" t="n">
        <v>62801000</v>
      </c>
      <c r="G1682" s="92" t="n">
        <v>1301</v>
      </c>
      <c r="H1682" s="93" t="n">
        <v>3882000</v>
      </c>
      <c r="I1682" s="92" t="inlineStr">
        <is>
          <t>8월 사내교육 - U에듀</t>
        </is>
      </c>
      <c r="J1682" s="92" t="inlineStr">
        <is>
          <t>V10031</t>
        </is>
      </c>
      <c r="K1682" s="92" t="inlineStr">
        <is>
          <t>U에듀</t>
        </is>
      </c>
      <c r="M1682" s="9">
        <f>IF($A1682="","",VALUE($A1682&amp;"")*12+VALUE($B1682&amp;""))</f>
        <v/>
      </c>
      <c r="N1682" s="64">
        <f>IF($A1682="","",IFERROR(INDEX(부서매핑!$C$5:$C$504,MATCH($G1682&amp;"",부서매핑!$A$5:$A$504,0)),"미매핑"))</f>
        <v/>
      </c>
      <c r="O1682" s="9">
        <f>IF($A1682="","",N1682&amp;"|"&amp;$F1682)</f>
        <v/>
      </c>
      <c r="P1682" s="94">
        <f>IF($A1682="",0,$H1682*설정!$C$23)</f>
        <v/>
      </c>
      <c r="Q1682" s="64">
        <f>IF($A1682="","",IF(O1682&lt;&gt;원인분석!$C$9,"",IF(AND(M1682&gt;=원인분석!$C$10,M1682&lt;=원인분석!$C$11),"당기",IF(AND(M1682&gt;=원인분석!$C$12,M1682&lt;=원인분석!$C$13),"비교",""))))</f>
        <v/>
      </c>
      <c r="R1682" s="9">
        <f>IF(Q1682="","",$K1682&amp;"")</f>
        <v/>
      </c>
      <c r="S1682" s="9">
        <f>IF(Q1682="","",IF(MATCH(R1682,$R$5:$R$100000,0)=ROW()-4,ROW(),""))</f>
        <v/>
      </c>
      <c r="T1682" s="9">
        <f>IF(Q1682="당기",ABS(P1682)+ROW()/1000000000,"")</f>
        <v/>
      </c>
      <c r="U1682" s="9">
        <f>IF(Q1682="비교",ABS(P1682)+ROW()/1000000000,"")</f>
        <v/>
      </c>
      <c r="V1682" s="64">
        <f>IF($A1682="","",IF(COUNTIF(변동분석!$E$7:$E$506,O1682)&gt;0,"Y","N"))</f>
        <v/>
      </c>
      <c r="W1682" s="64">
        <f>IF($A1682="","",IFERROR(INDEX(계정매핑!$D$5:$D$504,MATCH($F1682&amp;"",계정매핑!$A$5:$A$504,0)),"미매핑"))</f>
        <v/>
      </c>
      <c r="X1682" s="9">
        <f>IF($A1682="","",$F1682&amp;"")</f>
        <v/>
      </c>
      <c r="Y1682" s="94">
        <f>IF($A1682="",0,IF(AE1682="직접",IF(AF1682="비귀속",$P1682,0),$P1682*(1-AG1682)*IFERROR(INDEX(계정대체기준!$F$20:$F$49,MATCH($N1682,계정대체기준!$A$20:$A$49,0)),1)))</f>
        <v/>
      </c>
      <c r="Z1682" s="94">
        <f>IF($A1682="",0,IF(AE1682="직접",IF(AF1682="신계약비",$P1682,0),$P1682*(1-AG1682)*IFERROR(INDEX(계정대체기준!$C$20:$C$49,MATCH($N1682,계정대체기준!$A$20:$A$49,0)),0)))</f>
        <v/>
      </c>
      <c r="AA1682" s="94">
        <f>IF($A1682="",0,IF(AE1682="직접",IF(OR(AF1682="유지비",AF1682="손해조사비"),$P1682,0),$P1682*(1-AG1682)*IFERROR(INDEX(계정대체기준!$D$20:$D$49,MATCH($N1682,계정대체기준!$A$20:$A$49,0)),0)))</f>
        <v/>
      </c>
      <c r="AB1682" s="94">
        <f>IF($A1682="",0,IF(AE1682="직접",IF(AF1682="수금비",$P1682,0),$P1682*(1-AG1682)*IFERROR(INDEX(계정대체기준!$E$20:$E$49,MATCH($N1682,계정대체기준!$A$20:$A$49,0)),0)))</f>
        <v/>
      </c>
      <c r="AC1682" s="9">
        <f>IF(AND($A1682&lt;&gt;"",M1682=설정!$C$20,Z1682&gt;0),Z1682+ROW()/1000000000,"")</f>
        <v/>
      </c>
      <c r="AD1682" s="94">
        <f>IF($A1682="",0,$P1682*AG1682)</f>
        <v/>
      </c>
      <c r="AE1682" s="64">
        <f>IF($A1682="","",IFERROR(INDEX(계정매핑!$E$5:$E$504,MATCH($F1682&amp;"",계정매핑!$A$5:$A$504,0))&amp;"","공통비"))</f>
        <v/>
      </c>
      <c r="AF1682" s="64">
        <f>IF($A1682="","",IF(AE1682="직접",IFERROR(INDEX(계정매핑!$F$5:$F$504,MATCH($F1682&amp;"",계정매핑!$A$5:$A$504,0))&amp;"","비귀속"),""))</f>
        <v/>
      </c>
      <c r="AG1682" s="96">
        <f>IF($A1682="",0,IF(AND(AE1682&lt;&gt;"직접",IFERROR(INDEX(계정매핑!$G$5:$G$504,MATCH($F1682&amp;"",계정매핑!$A$5:$A$504,0))&amp;"","")="유지비",COUNTIF(계정대체기준!$A$6:$A$15,$N1682)&gt;0),IFERROR(INDEX(계정대체기준!$E$6:$E$15,MATCH(VALUE($A1682&amp;""),계정대체기준!$D$6:$D$15,0)),0),0))</f>
        <v/>
      </c>
      <c r="AH1682" s="64">
        <f>IF($A1682="","",IF(AD1682=0,"",IF(OR(COUNTIF(계정대체기준!$A$77:$A$86,$N1682)&gt;0,ISNUMBER(MATCH($X1682,계정대체기준!$D$77:$D$86,0)),ISNUMBER(MATCH($F1682,계정대체기준!$D$77:$D$86,0))),"Y","N")))</f>
        <v/>
      </c>
    </row>
    <row r="1683">
      <c r="A1683" s="92" t="n">
        <v>2025</v>
      </c>
      <c r="B1683" s="92" t="n">
        <v>8</v>
      </c>
      <c r="C1683" s="92" t="inlineStr">
        <is>
          <t>5100001679</t>
        </is>
      </c>
      <c r="D1683" s="95" t="n">
        <v>45881</v>
      </c>
      <c r="E1683" s="92" t="inlineStr">
        <is>
          <t>KR</t>
        </is>
      </c>
      <c r="F1683" s="92" t="n">
        <v>62902000</v>
      </c>
      <c r="G1683" s="92" t="n">
        <v>1801</v>
      </c>
      <c r="H1683" s="93" t="n">
        <v>1821000</v>
      </c>
      <c r="I1683" s="92" t="inlineStr">
        <is>
          <t>8월 콜 위탁 수수료(건별)</t>
        </is>
      </c>
      <c r="J1683" s="92" t="inlineStr">
        <is>
          <t>V10016</t>
        </is>
      </c>
      <c r="K1683" s="92" t="inlineStr">
        <is>
          <t>J콜센터</t>
        </is>
      </c>
      <c r="M1683" s="9">
        <f>IF($A1683="","",VALUE($A1683&amp;"")*12+VALUE($B1683&amp;""))</f>
        <v/>
      </c>
      <c r="N1683" s="64">
        <f>IF($A1683="","",IFERROR(INDEX(부서매핑!$C$5:$C$504,MATCH($G1683&amp;"",부서매핑!$A$5:$A$504,0)),"미매핑"))</f>
        <v/>
      </c>
      <c r="O1683" s="9">
        <f>IF($A1683="","",N1683&amp;"|"&amp;$F1683)</f>
        <v/>
      </c>
      <c r="P1683" s="94">
        <f>IF($A1683="",0,$H1683*설정!$C$23)</f>
        <v/>
      </c>
      <c r="Q1683" s="64">
        <f>IF($A1683="","",IF(O1683&lt;&gt;원인분석!$C$9,"",IF(AND(M1683&gt;=원인분석!$C$10,M1683&lt;=원인분석!$C$11),"당기",IF(AND(M1683&gt;=원인분석!$C$12,M1683&lt;=원인분석!$C$13),"비교",""))))</f>
        <v/>
      </c>
      <c r="R1683" s="9">
        <f>IF(Q1683="","",$K1683&amp;"")</f>
        <v/>
      </c>
      <c r="S1683" s="9">
        <f>IF(Q1683="","",IF(MATCH(R1683,$R$5:$R$100000,0)=ROW()-4,ROW(),""))</f>
        <v/>
      </c>
      <c r="T1683" s="9">
        <f>IF(Q1683="당기",ABS(P1683)+ROW()/1000000000,"")</f>
        <v/>
      </c>
      <c r="U1683" s="9">
        <f>IF(Q1683="비교",ABS(P1683)+ROW()/1000000000,"")</f>
        <v/>
      </c>
      <c r="V1683" s="64">
        <f>IF($A1683="","",IF(COUNTIF(변동분석!$E$7:$E$506,O1683)&gt;0,"Y","N"))</f>
        <v/>
      </c>
      <c r="W1683" s="64">
        <f>IF($A1683="","",IFERROR(INDEX(계정매핑!$D$5:$D$504,MATCH($F1683&amp;"",계정매핑!$A$5:$A$504,0)),"미매핑"))</f>
        <v/>
      </c>
      <c r="X1683" s="9">
        <f>IF($A1683="","",$F1683&amp;"")</f>
        <v/>
      </c>
      <c r="Y1683" s="94">
        <f>IF($A1683="",0,IF(AE1683="직접",IF(AF1683="비귀속",$P1683,0),$P1683*(1-AG1683)*IFERROR(INDEX(계정대체기준!$F$20:$F$49,MATCH($N1683,계정대체기준!$A$20:$A$49,0)),1)))</f>
        <v/>
      </c>
      <c r="Z1683" s="94">
        <f>IF($A1683="",0,IF(AE1683="직접",IF(AF1683="신계약비",$P1683,0),$P1683*(1-AG1683)*IFERROR(INDEX(계정대체기준!$C$20:$C$49,MATCH($N1683,계정대체기준!$A$20:$A$49,0)),0)))</f>
        <v/>
      </c>
      <c r="AA1683" s="94">
        <f>IF($A1683="",0,IF(AE1683="직접",IF(OR(AF1683="유지비",AF1683="손해조사비"),$P1683,0),$P1683*(1-AG1683)*IFERROR(INDEX(계정대체기준!$D$20:$D$49,MATCH($N1683,계정대체기준!$A$20:$A$49,0)),0)))</f>
        <v/>
      </c>
      <c r="AB1683" s="94">
        <f>IF($A1683="",0,IF(AE1683="직접",IF(AF1683="수금비",$P1683,0),$P1683*(1-AG1683)*IFERROR(INDEX(계정대체기준!$E$20:$E$49,MATCH($N1683,계정대체기준!$A$20:$A$49,0)),0)))</f>
        <v/>
      </c>
      <c r="AC1683" s="9">
        <f>IF(AND($A1683&lt;&gt;"",M1683=설정!$C$20,Z1683&gt;0),Z1683+ROW()/1000000000,"")</f>
        <v/>
      </c>
      <c r="AD1683" s="94">
        <f>IF($A1683="",0,$P1683*AG1683)</f>
        <v/>
      </c>
      <c r="AE1683" s="64">
        <f>IF($A1683="","",IFERROR(INDEX(계정매핑!$E$5:$E$504,MATCH($F1683&amp;"",계정매핑!$A$5:$A$504,0))&amp;"","공통비"))</f>
        <v/>
      </c>
      <c r="AF1683" s="64">
        <f>IF($A1683="","",IF(AE1683="직접",IFERROR(INDEX(계정매핑!$F$5:$F$504,MATCH($F1683&amp;"",계정매핑!$A$5:$A$504,0))&amp;"","비귀속"),""))</f>
        <v/>
      </c>
      <c r="AG1683" s="96">
        <f>IF($A1683="",0,IF(AND(AE1683&lt;&gt;"직접",IFERROR(INDEX(계정매핑!$G$5:$G$504,MATCH($F1683&amp;"",계정매핑!$A$5:$A$504,0))&amp;"","")="유지비",COUNTIF(계정대체기준!$A$6:$A$15,$N1683)&gt;0),IFERROR(INDEX(계정대체기준!$E$6:$E$15,MATCH(VALUE($A1683&amp;""),계정대체기준!$D$6:$D$15,0)),0),0))</f>
        <v/>
      </c>
      <c r="AH1683" s="64">
        <f>IF($A1683="","",IF(AD1683=0,"",IF(OR(COUNTIF(계정대체기준!$A$77:$A$86,$N1683)&gt;0,ISNUMBER(MATCH($X1683,계정대체기준!$D$77:$D$86,0)),ISNUMBER(MATCH($F1683,계정대체기준!$D$77:$D$86,0))),"Y","N")))</f>
        <v/>
      </c>
    </row>
    <row r="1684">
      <c r="A1684" s="92" t="n">
        <v>2025</v>
      </c>
      <c r="B1684" s="92" t="n">
        <v>8</v>
      </c>
      <c r="C1684" s="92" t="inlineStr">
        <is>
          <t>5100001680</t>
        </is>
      </c>
      <c r="D1684" s="95" t="n">
        <v>45882</v>
      </c>
      <c r="E1684" s="92" t="inlineStr">
        <is>
          <t>KR</t>
        </is>
      </c>
      <c r="F1684" s="92" t="n">
        <v>62102000</v>
      </c>
      <c r="G1684" s="92" t="n">
        <v>1301</v>
      </c>
      <c r="H1684" s="93" t="n">
        <v>83000</v>
      </c>
      <c r="I1684" s="92" t="inlineStr">
        <is>
          <t>8월 해외출장 - N호텔</t>
        </is>
      </c>
      <c r="J1684" s="92" t="inlineStr">
        <is>
          <t>V10009</t>
        </is>
      </c>
      <c r="K1684" s="92" t="inlineStr">
        <is>
          <t>N호텔</t>
        </is>
      </c>
      <c r="M1684" s="9">
        <f>IF($A1684="","",VALUE($A1684&amp;"")*12+VALUE($B1684&amp;""))</f>
        <v/>
      </c>
      <c r="N1684" s="64">
        <f>IF($A1684="","",IFERROR(INDEX(부서매핑!$C$5:$C$504,MATCH($G1684&amp;"",부서매핑!$A$5:$A$504,0)),"미매핑"))</f>
        <v/>
      </c>
      <c r="O1684" s="9">
        <f>IF($A1684="","",N1684&amp;"|"&amp;$F1684)</f>
        <v/>
      </c>
      <c r="P1684" s="94">
        <f>IF($A1684="",0,$H1684*설정!$C$23)</f>
        <v/>
      </c>
      <c r="Q1684" s="64">
        <f>IF($A1684="","",IF(O1684&lt;&gt;원인분석!$C$9,"",IF(AND(M1684&gt;=원인분석!$C$10,M1684&lt;=원인분석!$C$11),"당기",IF(AND(M1684&gt;=원인분석!$C$12,M1684&lt;=원인분석!$C$13),"비교",""))))</f>
        <v/>
      </c>
      <c r="R1684" s="9">
        <f>IF(Q1684="","",$K1684&amp;"")</f>
        <v/>
      </c>
      <c r="S1684" s="9">
        <f>IF(Q1684="","",IF(MATCH(R1684,$R$5:$R$100000,0)=ROW()-4,ROW(),""))</f>
        <v/>
      </c>
      <c r="T1684" s="9">
        <f>IF(Q1684="당기",ABS(P1684)+ROW()/1000000000,"")</f>
        <v/>
      </c>
      <c r="U1684" s="9">
        <f>IF(Q1684="비교",ABS(P1684)+ROW()/1000000000,"")</f>
        <v/>
      </c>
      <c r="V1684" s="64">
        <f>IF($A1684="","",IF(COUNTIF(변동분석!$E$7:$E$506,O1684)&gt;0,"Y","N"))</f>
        <v/>
      </c>
      <c r="W1684" s="64">
        <f>IF($A1684="","",IFERROR(INDEX(계정매핑!$D$5:$D$504,MATCH($F1684&amp;"",계정매핑!$A$5:$A$504,0)),"미매핑"))</f>
        <v/>
      </c>
      <c r="X1684" s="9">
        <f>IF($A1684="","",$F1684&amp;"")</f>
        <v/>
      </c>
      <c r="Y1684" s="94">
        <f>IF($A1684="",0,IF(AE1684="직접",IF(AF1684="비귀속",$P1684,0),$P1684*(1-AG1684)*IFERROR(INDEX(계정대체기준!$F$20:$F$49,MATCH($N1684,계정대체기준!$A$20:$A$49,0)),1)))</f>
        <v/>
      </c>
      <c r="Z1684" s="94">
        <f>IF($A1684="",0,IF(AE1684="직접",IF(AF1684="신계약비",$P1684,0),$P1684*(1-AG1684)*IFERROR(INDEX(계정대체기준!$C$20:$C$49,MATCH($N1684,계정대체기준!$A$20:$A$49,0)),0)))</f>
        <v/>
      </c>
      <c r="AA1684" s="94">
        <f>IF($A1684="",0,IF(AE1684="직접",IF(OR(AF1684="유지비",AF1684="손해조사비"),$P1684,0),$P1684*(1-AG1684)*IFERROR(INDEX(계정대체기준!$D$20:$D$49,MATCH($N1684,계정대체기준!$A$20:$A$49,0)),0)))</f>
        <v/>
      </c>
      <c r="AB1684" s="94">
        <f>IF($A1684="",0,IF(AE1684="직접",IF(AF1684="수금비",$P1684,0),$P1684*(1-AG1684)*IFERROR(INDEX(계정대체기준!$E$20:$E$49,MATCH($N1684,계정대체기준!$A$20:$A$49,0)),0)))</f>
        <v/>
      </c>
      <c r="AC1684" s="9">
        <f>IF(AND($A1684&lt;&gt;"",M1684=설정!$C$20,Z1684&gt;0),Z1684+ROW()/1000000000,"")</f>
        <v/>
      </c>
      <c r="AD1684" s="94">
        <f>IF($A1684="",0,$P1684*AG1684)</f>
        <v/>
      </c>
      <c r="AE1684" s="64">
        <f>IF($A1684="","",IFERROR(INDEX(계정매핑!$E$5:$E$504,MATCH($F1684&amp;"",계정매핑!$A$5:$A$504,0))&amp;"","공통비"))</f>
        <v/>
      </c>
      <c r="AF1684" s="64">
        <f>IF($A1684="","",IF(AE1684="직접",IFERROR(INDEX(계정매핑!$F$5:$F$504,MATCH($F1684&amp;"",계정매핑!$A$5:$A$504,0))&amp;"","비귀속"),""))</f>
        <v/>
      </c>
      <c r="AG1684" s="96">
        <f>IF($A1684="",0,IF(AND(AE1684&lt;&gt;"직접",IFERROR(INDEX(계정매핑!$G$5:$G$504,MATCH($F1684&amp;"",계정매핑!$A$5:$A$504,0))&amp;"","")="유지비",COUNTIF(계정대체기준!$A$6:$A$15,$N1684)&gt;0),IFERROR(INDEX(계정대체기준!$E$6:$E$15,MATCH(VALUE($A1684&amp;""),계정대체기준!$D$6:$D$15,0)),0),0))</f>
        <v/>
      </c>
      <c r="AH1684" s="64">
        <f>IF($A1684="","",IF(AD1684=0,"",IF(OR(COUNTIF(계정대체기준!$A$77:$A$86,$N1684)&gt;0,ISNUMBER(MATCH($X1684,계정대체기준!$D$77:$D$86,0)),ISNUMBER(MATCH($F1684,계정대체기준!$D$77:$D$86,0))),"Y","N")))</f>
        <v/>
      </c>
    </row>
    <row r="1685">
      <c r="A1685" s="92" t="n">
        <v>2025</v>
      </c>
      <c r="B1685" s="92" t="n">
        <v>8</v>
      </c>
      <c r="C1685" s="92" t="inlineStr">
        <is>
          <t>5100001681</t>
        </is>
      </c>
      <c r="D1685" s="95" t="n">
        <v>45882</v>
      </c>
      <c r="E1685" s="92" t="inlineStr">
        <is>
          <t>KR</t>
        </is>
      </c>
      <c r="F1685" s="92" t="n">
        <v>62102000</v>
      </c>
      <c r="G1685" s="92" t="n">
        <v>1801</v>
      </c>
      <c r="H1685" s="93" t="n">
        <v>30000</v>
      </c>
      <c r="I1685" s="92" t="inlineStr">
        <is>
          <t>8월 해외출장 - N호텔</t>
        </is>
      </c>
      <c r="J1685" s="92" t="inlineStr">
        <is>
          <t>V10009</t>
        </is>
      </c>
      <c r="K1685" s="92" t="inlineStr">
        <is>
          <t>N호텔</t>
        </is>
      </c>
      <c r="M1685" s="9">
        <f>IF($A1685="","",VALUE($A1685&amp;"")*12+VALUE($B1685&amp;""))</f>
        <v/>
      </c>
      <c r="N1685" s="64">
        <f>IF($A1685="","",IFERROR(INDEX(부서매핑!$C$5:$C$504,MATCH($G1685&amp;"",부서매핑!$A$5:$A$504,0)),"미매핑"))</f>
        <v/>
      </c>
      <c r="O1685" s="9">
        <f>IF($A1685="","",N1685&amp;"|"&amp;$F1685)</f>
        <v/>
      </c>
      <c r="P1685" s="94">
        <f>IF($A1685="",0,$H1685*설정!$C$23)</f>
        <v/>
      </c>
      <c r="Q1685" s="64">
        <f>IF($A1685="","",IF(O1685&lt;&gt;원인분석!$C$9,"",IF(AND(M1685&gt;=원인분석!$C$10,M1685&lt;=원인분석!$C$11),"당기",IF(AND(M1685&gt;=원인분석!$C$12,M1685&lt;=원인분석!$C$13),"비교",""))))</f>
        <v/>
      </c>
      <c r="R1685" s="9">
        <f>IF(Q1685="","",$K1685&amp;"")</f>
        <v/>
      </c>
      <c r="S1685" s="9">
        <f>IF(Q1685="","",IF(MATCH(R1685,$R$5:$R$100000,0)=ROW()-4,ROW(),""))</f>
        <v/>
      </c>
      <c r="T1685" s="9">
        <f>IF(Q1685="당기",ABS(P1685)+ROW()/1000000000,"")</f>
        <v/>
      </c>
      <c r="U1685" s="9">
        <f>IF(Q1685="비교",ABS(P1685)+ROW()/1000000000,"")</f>
        <v/>
      </c>
      <c r="V1685" s="64">
        <f>IF($A1685="","",IF(COUNTIF(변동분석!$E$7:$E$506,O1685)&gt;0,"Y","N"))</f>
        <v/>
      </c>
      <c r="W1685" s="64">
        <f>IF($A1685="","",IFERROR(INDEX(계정매핑!$D$5:$D$504,MATCH($F1685&amp;"",계정매핑!$A$5:$A$504,0)),"미매핑"))</f>
        <v/>
      </c>
      <c r="X1685" s="9">
        <f>IF($A1685="","",$F1685&amp;"")</f>
        <v/>
      </c>
      <c r="Y1685" s="94">
        <f>IF($A1685="",0,IF(AE1685="직접",IF(AF1685="비귀속",$P1685,0),$P1685*(1-AG1685)*IFERROR(INDEX(계정대체기준!$F$20:$F$49,MATCH($N1685,계정대체기준!$A$20:$A$49,0)),1)))</f>
        <v/>
      </c>
      <c r="Z1685" s="94">
        <f>IF($A1685="",0,IF(AE1685="직접",IF(AF1685="신계약비",$P1685,0),$P1685*(1-AG1685)*IFERROR(INDEX(계정대체기준!$C$20:$C$49,MATCH($N1685,계정대체기준!$A$20:$A$49,0)),0)))</f>
        <v/>
      </c>
      <c r="AA1685" s="94">
        <f>IF($A1685="",0,IF(AE1685="직접",IF(OR(AF1685="유지비",AF1685="손해조사비"),$P1685,0),$P1685*(1-AG1685)*IFERROR(INDEX(계정대체기준!$D$20:$D$49,MATCH($N1685,계정대체기준!$A$20:$A$49,0)),0)))</f>
        <v/>
      </c>
      <c r="AB1685" s="94">
        <f>IF($A1685="",0,IF(AE1685="직접",IF(AF1685="수금비",$P1685,0),$P1685*(1-AG1685)*IFERROR(INDEX(계정대체기준!$E$20:$E$49,MATCH($N1685,계정대체기준!$A$20:$A$49,0)),0)))</f>
        <v/>
      </c>
      <c r="AC1685" s="9">
        <f>IF(AND($A1685&lt;&gt;"",M1685=설정!$C$20,Z1685&gt;0),Z1685+ROW()/1000000000,"")</f>
        <v/>
      </c>
      <c r="AD1685" s="94">
        <f>IF($A1685="",0,$P1685*AG1685)</f>
        <v/>
      </c>
      <c r="AE1685" s="64">
        <f>IF($A1685="","",IFERROR(INDEX(계정매핑!$E$5:$E$504,MATCH($F1685&amp;"",계정매핑!$A$5:$A$504,0))&amp;"","공통비"))</f>
        <v/>
      </c>
      <c r="AF1685" s="64">
        <f>IF($A1685="","",IF(AE1685="직접",IFERROR(INDEX(계정매핑!$F$5:$F$504,MATCH($F1685&amp;"",계정매핑!$A$5:$A$504,0))&amp;"","비귀속"),""))</f>
        <v/>
      </c>
      <c r="AG1685" s="96">
        <f>IF($A1685="",0,IF(AND(AE1685&lt;&gt;"직접",IFERROR(INDEX(계정매핑!$G$5:$G$504,MATCH($F1685&amp;"",계정매핑!$A$5:$A$504,0))&amp;"","")="유지비",COUNTIF(계정대체기준!$A$6:$A$15,$N1685)&gt;0),IFERROR(INDEX(계정대체기준!$E$6:$E$15,MATCH(VALUE($A1685&amp;""),계정대체기준!$D$6:$D$15,0)),0),0))</f>
        <v/>
      </c>
      <c r="AH1685" s="64">
        <f>IF($A1685="","",IF(AD1685=0,"",IF(OR(COUNTIF(계정대체기준!$A$77:$A$86,$N1685)&gt;0,ISNUMBER(MATCH($X1685,계정대체기준!$D$77:$D$86,0)),ISNUMBER(MATCH($F1685,계정대체기준!$D$77:$D$86,0))),"Y","N")))</f>
        <v/>
      </c>
    </row>
    <row r="1686">
      <c r="A1686" s="92" t="n">
        <v>2025</v>
      </c>
      <c r="B1686" s="92" t="n">
        <v>8</v>
      </c>
      <c r="C1686" s="92" t="inlineStr">
        <is>
          <t>5100001682</t>
        </is>
      </c>
      <c r="D1686" s="95" t="n">
        <v>45882</v>
      </c>
      <c r="E1686" s="92" t="inlineStr">
        <is>
          <t>KR</t>
        </is>
      </c>
      <c r="F1686" s="92" t="n">
        <v>62401000</v>
      </c>
      <c r="G1686" s="92" t="n">
        <v>1401</v>
      </c>
      <c r="H1686" s="93" t="n">
        <v>178000</v>
      </c>
      <c r="I1686" s="92" t="inlineStr">
        <is>
          <t>8월 인쇄물 제작 - S출판</t>
        </is>
      </c>
      <c r="J1686" s="92" t="inlineStr">
        <is>
          <t>V10015</t>
        </is>
      </c>
      <c r="K1686" s="92" t="inlineStr">
        <is>
          <t>S출판</t>
        </is>
      </c>
      <c r="M1686" s="9">
        <f>IF($A1686="","",VALUE($A1686&amp;"")*12+VALUE($B1686&amp;""))</f>
        <v/>
      </c>
      <c r="N1686" s="64">
        <f>IF($A1686="","",IFERROR(INDEX(부서매핑!$C$5:$C$504,MATCH($G1686&amp;"",부서매핑!$A$5:$A$504,0)),"미매핑"))</f>
        <v/>
      </c>
      <c r="O1686" s="9">
        <f>IF($A1686="","",N1686&amp;"|"&amp;$F1686)</f>
        <v/>
      </c>
      <c r="P1686" s="94">
        <f>IF($A1686="",0,$H1686*설정!$C$23)</f>
        <v/>
      </c>
      <c r="Q1686" s="64">
        <f>IF($A1686="","",IF(O1686&lt;&gt;원인분석!$C$9,"",IF(AND(M1686&gt;=원인분석!$C$10,M1686&lt;=원인분석!$C$11),"당기",IF(AND(M1686&gt;=원인분석!$C$12,M1686&lt;=원인분석!$C$13),"비교",""))))</f>
        <v/>
      </c>
      <c r="R1686" s="9">
        <f>IF(Q1686="","",$K1686&amp;"")</f>
        <v/>
      </c>
      <c r="S1686" s="9">
        <f>IF(Q1686="","",IF(MATCH(R1686,$R$5:$R$100000,0)=ROW()-4,ROW(),""))</f>
        <v/>
      </c>
      <c r="T1686" s="9">
        <f>IF(Q1686="당기",ABS(P1686)+ROW()/1000000000,"")</f>
        <v/>
      </c>
      <c r="U1686" s="9">
        <f>IF(Q1686="비교",ABS(P1686)+ROW()/1000000000,"")</f>
        <v/>
      </c>
      <c r="V1686" s="64">
        <f>IF($A1686="","",IF(COUNTIF(변동분석!$E$7:$E$506,O1686)&gt;0,"Y","N"))</f>
        <v/>
      </c>
      <c r="W1686" s="64">
        <f>IF($A1686="","",IFERROR(INDEX(계정매핑!$D$5:$D$504,MATCH($F1686&amp;"",계정매핑!$A$5:$A$504,0)),"미매핑"))</f>
        <v/>
      </c>
      <c r="X1686" s="9">
        <f>IF($A1686="","",$F1686&amp;"")</f>
        <v/>
      </c>
      <c r="Y1686" s="94">
        <f>IF($A1686="",0,IF(AE1686="직접",IF(AF1686="비귀속",$P1686,0),$P1686*(1-AG1686)*IFERROR(INDEX(계정대체기준!$F$20:$F$49,MATCH($N1686,계정대체기준!$A$20:$A$49,0)),1)))</f>
        <v/>
      </c>
      <c r="Z1686" s="94">
        <f>IF($A1686="",0,IF(AE1686="직접",IF(AF1686="신계약비",$P1686,0),$P1686*(1-AG1686)*IFERROR(INDEX(계정대체기준!$C$20:$C$49,MATCH($N1686,계정대체기준!$A$20:$A$49,0)),0)))</f>
        <v/>
      </c>
      <c r="AA1686" s="94">
        <f>IF($A1686="",0,IF(AE1686="직접",IF(OR(AF1686="유지비",AF1686="손해조사비"),$P1686,0),$P1686*(1-AG1686)*IFERROR(INDEX(계정대체기준!$D$20:$D$49,MATCH($N1686,계정대체기준!$A$20:$A$49,0)),0)))</f>
        <v/>
      </c>
      <c r="AB1686" s="94">
        <f>IF($A1686="",0,IF(AE1686="직접",IF(AF1686="수금비",$P1686,0),$P1686*(1-AG1686)*IFERROR(INDEX(계정대체기준!$E$20:$E$49,MATCH($N1686,계정대체기준!$A$20:$A$49,0)),0)))</f>
        <v/>
      </c>
      <c r="AC1686" s="9">
        <f>IF(AND($A1686&lt;&gt;"",M1686=설정!$C$20,Z1686&gt;0),Z1686+ROW()/1000000000,"")</f>
        <v/>
      </c>
      <c r="AD1686" s="94">
        <f>IF($A1686="",0,$P1686*AG1686)</f>
        <v/>
      </c>
      <c r="AE1686" s="64">
        <f>IF($A1686="","",IFERROR(INDEX(계정매핑!$E$5:$E$504,MATCH($F1686&amp;"",계정매핑!$A$5:$A$504,0))&amp;"","공통비"))</f>
        <v/>
      </c>
      <c r="AF1686" s="64">
        <f>IF($A1686="","",IF(AE1686="직접",IFERROR(INDEX(계정매핑!$F$5:$F$504,MATCH($F1686&amp;"",계정매핑!$A$5:$A$504,0))&amp;"","비귀속"),""))</f>
        <v/>
      </c>
      <c r="AG1686" s="96">
        <f>IF($A1686="",0,IF(AND(AE1686&lt;&gt;"직접",IFERROR(INDEX(계정매핑!$G$5:$G$504,MATCH($F1686&amp;"",계정매핑!$A$5:$A$504,0))&amp;"","")="유지비",COUNTIF(계정대체기준!$A$6:$A$15,$N1686)&gt;0),IFERROR(INDEX(계정대체기준!$E$6:$E$15,MATCH(VALUE($A1686&amp;""),계정대체기준!$D$6:$D$15,0)),0),0))</f>
        <v/>
      </c>
      <c r="AH1686" s="64">
        <f>IF($A1686="","",IF(AD1686=0,"",IF(OR(COUNTIF(계정대체기준!$A$77:$A$86,$N1686)&gt;0,ISNUMBER(MATCH($X1686,계정대체기준!$D$77:$D$86,0)),ISNUMBER(MATCH($F1686,계정대체기준!$D$77:$D$86,0))),"Y","N")))</f>
        <v/>
      </c>
    </row>
    <row r="1687">
      <c r="A1687" s="92" t="n">
        <v>2025</v>
      </c>
      <c r="B1687" s="92" t="n">
        <v>8</v>
      </c>
      <c r="C1687" s="92" t="inlineStr">
        <is>
          <t>5100001683</t>
        </is>
      </c>
      <c r="D1687" s="95" t="n">
        <v>45882</v>
      </c>
      <c r="E1687" s="92" t="inlineStr">
        <is>
          <t>KR</t>
        </is>
      </c>
      <c r="F1687" s="92" t="n">
        <v>62401000</v>
      </c>
      <c r="G1687" s="92" t="n">
        <v>1801</v>
      </c>
      <c r="H1687" s="93" t="n">
        <v>2127000</v>
      </c>
      <c r="I1687" s="92" t="inlineStr">
        <is>
          <t>8월 인쇄물 제작 - S출판</t>
        </is>
      </c>
      <c r="J1687" s="92" t="inlineStr">
        <is>
          <t>V10015</t>
        </is>
      </c>
      <c r="K1687" s="92" t="inlineStr">
        <is>
          <t>S출판</t>
        </is>
      </c>
      <c r="M1687" s="9">
        <f>IF($A1687="","",VALUE($A1687&amp;"")*12+VALUE($B1687&amp;""))</f>
        <v/>
      </c>
      <c r="N1687" s="64">
        <f>IF($A1687="","",IFERROR(INDEX(부서매핑!$C$5:$C$504,MATCH($G1687&amp;"",부서매핑!$A$5:$A$504,0)),"미매핑"))</f>
        <v/>
      </c>
      <c r="O1687" s="9">
        <f>IF($A1687="","",N1687&amp;"|"&amp;$F1687)</f>
        <v/>
      </c>
      <c r="P1687" s="94">
        <f>IF($A1687="",0,$H1687*설정!$C$23)</f>
        <v/>
      </c>
      <c r="Q1687" s="64">
        <f>IF($A1687="","",IF(O1687&lt;&gt;원인분석!$C$9,"",IF(AND(M1687&gt;=원인분석!$C$10,M1687&lt;=원인분석!$C$11),"당기",IF(AND(M1687&gt;=원인분석!$C$12,M1687&lt;=원인분석!$C$13),"비교",""))))</f>
        <v/>
      </c>
      <c r="R1687" s="9">
        <f>IF(Q1687="","",$K1687&amp;"")</f>
        <v/>
      </c>
      <c r="S1687" s="9">
        <f>IF(Q1687="","",IF(MATCH(R1687,$R$5:$R$100000,0)=ROW()-4,ROW(),""))</f>
        <v/>
      </c>
      <c r="T1687" s="9">
        <f>IF(Q1687="당기",ABS(P1687)+ROW()/1000000000,"")</f>
        <v/>
      </c>
      <c r="U1687" s="9">
        <f>IF(Q1687="비교",ABS(P1687)+ROW()/1000000000,"")</f>
        <v/>
      </c>
      <c r="V1687" s="64">
        <f>IF($A1687="","",IF(COUNTIF(변동분석!$E$7:$E$506,O1687)&gt;0,"Y","N"))</f>
        <v/>
      </c>
      <c r="W1687" s="64">
        <f>IF($A1687="","",IFERROR(INDEX(계정매핑!$D$5:$D$504,MATCH($F1687&amp;"",계정매핑!$A$5:$A$504,0)),"미매핑"))</f>
        <v/>
      </c>
      <c r="X1687" s="9">
        <f>IF($A1687="","",$F1687&amp;"")</f>
        <v/>
      </c>
      <c r="Y1687" s="94">
        <f>IF($A1687="",0,IF(AE1687="직접",IF(AF1687="비귀속",$P1687,0),$P1687*(1-AG1687)*IFERROR(INDEX(계정대체기준!$F$20:$F$49,MATCH($N1687,계정대체기준!$A$20:$A$49,0)),1)))</f>
        <v/>
      </c>
      <c r="Z1687" s="94">
        <f>IF($A1687="",0,IF(AE1687="직접",IF(AF1687="신계약비",$P1687,0),$P1687*(1-AG1687)*IFERROR(INDEX(계정대체기준!$C$20:$C$49,MATCH($N1687,계정대체기준!$A$20:$A$49,0)),0)))</f>
        <v/>
      </c>
      <c r="AA1687" s="94">
        <f>IF($A1687="",0,IF(AE1687="직접",IF(OR(AF1687="유지비",AF1687="손해조사비"),$P1687,0),$P1687*(1-AG1687)*IFERROR(INDEX(계정대체기준!$D$20:$D$49,MATCH($N1687,계정대체기준!$A$20:$A$49,0)),0)))</f>
        <v/>
      </c>
      <c r="AB1687" s="94">
        <f>IF($A1687="",0,IF(AE1687="직접",IF(AF1687="수금비",$P1687,0),$P1687*(1-AG1687)*IFERROR(INDEX(계정대체기준!$E$20:$E$49,MATCH($N1687,계정대체기준!$A$20:$A$49,0)),0)))</f>
        <v/>
      </c>
      <c r="AC1687" s="9">
        <f>IF(AND($A1687&lt;&gt;"",M1687=설정!$C$20,Z1687&gt;0),Z1687+ROW()/1000000000,"")</f>
        <v/>
      </c>
      <c r="AD1687" s="94">
        <f>IF($A1687="",0,$P1687*AG1687)</f>
        <v/>
      </c>
      <c r="AE1687" s="64">
        <f>IF($A1687="","",IFERROR(INDEX(계정매핑!$E$5:$E$504,MATCH($F1687&amp;"",계정매핑!$A$5:$A$504,0))&amp;"","공통비"))</f>
        <v/>
      </c>
      <c r="AF1687" s="64">
        <f>IF($A1687="","",IF(AE1687="직접",IFERROR(INDEX(계정매핑!$F$5:$F$504,MATCH($F1687&amp;"",계정매핑!$A$5:$A$504,0))&amp;"","비귀속"),""))</f>
        <v/>
      </c>
      <c r="AG1687" s="96">
        <f>IF($A1687="",0,IF(AND(AE1687&lt;&gt;"직접",IFERROR(INDEX(계정매핑!$G$5:$G$504,MATCH($F1687&amp;"",계정매핑!$A$5:$A$504,0))&amp;"","")="유지비",COUNTIF(계정대체기준!$A$6:$A$15,$N1687)&gt;0),IFERROR(INDEX(계정대체기준!$E$6:$E$15,MATCH(VALUE($A1687&amp;""),계정대체기준!$D$6:$D$15,0)),0),0))</f>
        <v/>
      </c>
      <c r="AH1687" s="64">
        <f>IF($A1687="","",IF(AD1687=0,"",IF(OR(COUNTIF(계정대체기준!$A$77:$A$86,$N1687)&gt;0,ISNUMBER(MATCH($X1687,계정대체기준!$D$77:$D$86,0)),ISNUMBER(MATCH($F1687,계정대체기준!$D$77:$D$86,0))),"Y","N")))</f>
        <v/>
      </c>
    </row>
    <row r="1688">
      <c r="A1688" s="92" t="n">
        <v>2025</v>
      </c>
      <c r="B1688" s="92" t="n">
        <v>8</v>
      </c>
      <c r="C1688" s="92" t="inlineStr">
        <is>
          <t>5100001684</t>
        </is>
      </c>
      <c r="D1688" s="95" t="n">
        <v>45882</v>
      </c>
      <c r="E1688" s="92" t="inlineStr">
        <is>
          <t>KR</t>
        </is>
      </c>
      <c r="F1688" s="92" t="n">
        <v>62501000</v>
      </c>
      <c r="G1688" s="92" t="n">
        <v>1101</v>
      </c>
      <c r="H1688" s="93" t="n">
        <v>216000</v>
      </c>
      <c r="I1688" s="92" t="inlineStr">
        <is>
          <t>8월 회의 다과 - T케이터링</t>
        </is>
      </c>
      <c r="J1688" s="92" t="inlineStr">
        <is>
          <t>V10005</t>
        </is>
      </c>
      <c r="K1688" s="92" t="inlineStr">
        <is>
          <t>T케이터링</t>
        </is>
      </c>
      <c r="M1688" s="9">
        <f>IF($A1688="","",VALUE($A1688&amp;"")*12+VALUE($B1688&amp;""))</f>
        <v/>
      </c>
      <c r="N1688" s="64">
        <f>IF($A1688="","",IFERROR(INDEX(부서매핑!$C$5:$C$504,MATCH($G1688&amp;"",부서매핑!$A$5:$A$504,0)),"미매핑"))</f>
        <v/>
      </c>
      <c r="O1688" s="9">
        <f>IF($A1688="","",N1688&amp;"|"&amp;$F1688)</f>
        <v/>
      </c>
      <c r="P1688" s="94">
        <f>IF($A1688="",0,$H1688*설정!$C$23)</f>
        <v/>
      </c>
      <c r="Q1688" s="64">
        <f>IF($A1688="","",IF(O1688&lt;&gt;원인분석!$C$9,"",IF(AND(M1688&gt;=원인분석!$C$10,M1688&lt;=원인분석!$C$11),"당기",IF(AND(M1688&gt;=원인분석!$C$12,M1688&lt;=원인분석!$C$13),"비교",""))))</f>
        <v/>
      </c>
      <c r="R1688" s="9">
        <f>IF(Q1688="","",$K1688&amp;"")</f>
        <v/>
      </c>
      <c r="S1688" s="9">
        <f>IF(Q1688="","",IF(MATCH(R1688,$R$5:$R$100000,0)=ROW()-4,ROW(),""))</f>
        <v/>
      </c>
      <c r="T1688" s="9">
        <f>IF(Q1688="당기",ABS(P1688)+ROW()/1000000000,"")</f>
        <v/>
      </c>
      <c r="U1688" s="9">
        <f>IF(Q1688="비교",ABS(P1688)+ROW()/1000000000,"")</f>
        <v/>
      </c>
      <c r="V1688" s="64">
        <f>IF($A1688="","",IF(COUNTIF(변동분석!$E$7:$E$506,O1688)&gt;0,"Y","N"))</f>
        <v/>
      </c>
      <c r="W1688" s="64">
        <f>IF($A1688="","",IFERROR(INDEX(계정매핑!$D$5:$D$504,MATCH($F1688&amp;"",계정매핑!$A$5:$A$504,0)),"미매핑"))</f>
        <v/>
      </c>
      <c r="X1688" s="9">
        <f>IF($A1688="","",$F1688&amp;"")</f>
        <v/>
      </c>
      <c r="Y1688" s="94">
        <f>IF($A1688="",0,IF(AE1688="직접",IF(AF1688="비귀속",$P1688,0),$P1688*(1-AG1688)*IFERROR(INDEX(계정대체기준!$F$20:$F$49,MATCH($N1688,계정대체기준!$A$20:$A$49,0)),1)))</f>
        <v/>
      </c>
      <c r="Z1688" s="94">
        <f>IF($A1688="",0,IF(AE1688="직접",IF(AF1688="신계약비",$P1688,0),$P1688*(1-AG1688)*IFERROR(INDEX(계정대체기준!$C$20:$C$49,MATCH($N1688,계정대체기준!$A$20:$A$49,0)),0)))</f>
        <v/>
      </c>
      <c r="AA1688" s="94">
        <f>IF($A1688="",0,IF(AE1688="직접",IF(OR(AF1688="유지비",AF1688="손해조사비"),$P1688,0),$P1688*(1-AG1688)*IFERROR(INDEX(계정대체기준!$D$20:$D$49,MATCH($N1688,계정대체기준!$A$20:$A$49,0)),0)))</f>
        <v/>
      </c>
      <c r="AB1688" s="94">
        <f>IF($A1688="",0,IF(AE1688="직접",IF(AF1688="수금비",$P1688,0),$P1688*(1-AG1688)*IFERROR(INDEX(계정대체기준!$E$20:$E$49,MATCH($N1688,계정대체기준!$A$20:$A$49,0)),0)))</f>
        <v/>
      </c>
      <c r="AC1688" s="9">
        <f>IF(AND($A1688&lt;&gt;"",M1688=설정!$C$20,Z1688&gt;0),Z1688+ROW()/1000000000,"")</f>
        <v/>
      </c>
      <c r="AD1688" s="94">
        <f>IF($A1688="",0,$P1688*AG1688)</f>
        <v/>
      </c>
      <c r="AE1688" s="64">
        <f>IF($A1688="","",IFERROR(INDEX(계정매핑!$E$5:$E$504,MATCH($F1688&amp;"",계정매핑!$A$5:$A$504,0))&amp;"","공통비"))</f>
        <v/>
      </c>
      <c r="AF1688" s="64">
        <f>IF($A1688="","",IF(AE1688="직접",IFERROR(INDEX(계정매핑!$F$5:$F$504,MATCH($F1688&amp;"",계정매핑!$A$5:$A$504,0))&amp;"","비귀속"),""))</f>
        <v/>
      </c>
      <c r="AG1688" s="96">
        <f>IF($A1688="",0,IF(AND(AE1688&lt;&gt;"직접",IFERROR(INDEX(계정매핑!$G$5:$G$504,MATCH($F1688&amp;"",계정매핑!$A$5:$A$504,0))&amp;"","")="유지비",COUNTIF(계정대체기준!$A$6:$A$15,$N1688)&gt;0),IFERROR(INDEX(계정대체기준!$E$6:$E$15,MATCH(VALUE($A1688&amp;""),계정대체기준!$D$6:$D$15,0)),0),0))</f>
        <v/>
      </c>
      <c r="AH1688" s="64">
        <f>IF($A1688="","",IF(AD1688=0,"",IF(OR(COUNTIF(계정대체기준!$A$77:$A$86,$N1688)&gt;0,ISNUMBER(MATCH($X1688,계정대체기준!$D$77:$D$86,0)),ISNUMBER(MATCH($F1688,계정대체기준!$D$77:$D$86,0))),"Y","N")))</f>
        <v/>
      </c>
    </row>
    <row r="1689">
      <c r="A1689" s="92" t="n">
        <v>2025</v>
      </c>
      <c r="B1689" s="92" t="n">
        <v>8</v>
      </c>
      <c r="C1689" s="92" t="inlineStr">
        <is>
          <t>5100001685</t>
        </is>
      </c>
      <c r="D1689" s="95" t="n">
        <v>45882</v>
      </c>
      <c r="E1689" s="92" t="inlineStr">
        <is>
          <t>KR</t>
        </is>
      </c>
      <c r="F1689" s="92" t="n">
        <v>62501000</v>
      </c>
      <c r="G1689" s="92" t="n">
        <v>1301</v>
      </c>
      <c r="H1689" s="93" t="n">
        <v>253000</v>
      </c>
      <c r="I1689" s="92" t="inlineStr">
        <is>
          <t>8월 회의 다과 - (법인카드)</t>
        </is>
      </c>
      <c r="J1689" s="92" t="inlineStr">
        <is>
          <t>V10010</t>
        </is>
      </c>
      <c r="K1689" s="92" t="inlineStr">
        <is>
          <t>(법인카드)</t>
        </is>
      </c>
      <c r="M1689" s="9">
        <f>IF($A1689="","",VALUE($A1689&amp;"")*12+VALUE($B1689&amp;""))</f>
        <v/>
      </c>
      <c r="N1689" s="64">
        <f>IF($A1689="","",IFERROR(INDEX(부서매핑!$C$5:$C$504,MATCH($G1689&amp;"",부서매핑!$A$5:$A$504,0)),"미매핑"))</f>
        <v/>
      </c>
      <c r="O1689" s="9">
        <f>IF($A1689="","",N1689&amp;"|"&amp;$F1689)</f>
        <v/>
      </c>
      <c r="P1689" s="94">
        <f>IF($A1689="",0,$H1689*설정!$C$23)</f>
        <v/>
      </c>
      <c r="Q1689" s="64">
        <f>IF($A1689="","",IF(O1689&lt;&gt;원인분석!$C$9,"",IF(AND(M1689&gt;=원인분석!$C$10,M1689&lt;=원인분석!$C$11),"당기",IF(AND(M1689&gt;=원인분석!$C$12,M1689&lt;=원인분석!$C$13),"비교",""))))</f>
        <v/>
      </c>
      <c r="R1689" s="9">
        <f>IF(Q1689="","",$K1689&amp;"")</f>
        <v/>
      </c>
      <c r="S1689" s="9">
        <f>IF(Q1689="","",IF(MATCH(R1689,$R$5:$R$100000,0)=ROW()-4,ROW(),""))</f>
        <v/>
      </c>
      <c r="T1689" s="9">
        <f>IF(Q1689="당기",ABS(P1689)+ROW()/1000000000,"")</f>
        <v/>
      </c>
      <c r="U1689" s="9">
        <f>IF(Q1689="비교",ABS(P1689)+ROW()/1000000000,"")</f>
        <v/>
      </c>
      <c r="V1689" s="64">
        <f>IF($A1689="","",IF(COUNTIF(변동분석!$E$7:$E$506,O1689)&gt;0,"Y","N"))</f>
        <v/>
      </c>
      <c r="W1689" s="64">
        <f>IF($A1689="","",IFERROR(INDEX(계정매핑!$D$5:$D$504,MATCH($F1689&amp;"",계정매핑!$A$5:$A$504,0)),"미매핑"))</f>
        <v/>
      </c>
      <c r="X1689" s="9">
        <f>IF($A1689="","",$F1689&amp;"")</f>
        <v/>
      </c>
      <c r="Y1689" s="94">
        <f>IF($A1689="",0,IF(AE1689="직접",IF(AF1689="비귀속",$P1689,0),$P1689*(1-AG1689)*IFERROR(INDEX(계정대체기준!$F$20:$F$49,MATCH($N1689,계정대체기준!$A$20:$A$49,0)),1)))</f>
        <v/>
      </c>
      <c r="Z1689" s="94">
        <f>IF($A1689="",0,IF(AE1689="직접",IF(AF1689="신계약비",$P1689,0),$P1689*(1-AG1689)*IFERROR(INDEX(계정대체기준!$C$20:$C$49,MATCH($N1689,계정대체기준!$A$20:$A$49,0)),0)))</f>
        <v/>
      </c>
      <c r="AA1689" s="94">
        <f>IF($A1689="",0,IF(AE1689="직접",IF(OR(AF1689="유지비",AF1689="손해조사비"),$P1689,0),$P1689*(1-AG1689)*IFERROR(INDEX(계정대체기준!$D$20:$D$49,MATCH($N1689,계정대체기준!$A$20:$A$49,0)),0)))</f>
        <v/>
      </c>
      <c r="AB1689" s="94">
        <f>IF($A1689="",0,IF(AE1689="직접",IF(AF1689="수금비",$P1689,0),$P1689*(1-AG1689)*IFERROR(INDEX(계정대체기준!$E$20:$E$49,MATCH($N1689,계정대체기준!$A$20:$A$49,0)),0)))</f>
        <v/>
      </c>
      <c r="AC1689" s="9">
        <f>IF(AND($A1689&lt;&gt;"",M1689=설정!$C$20,Z1689&gt;0),Z1689+ROW()/1000000000,"")</f>
        <v/>
      </c>
      <c r="AD1689" s="94">
        <f>IF($A1689="",0,$P1689*AG1689)</f>
        <v/>
      </c>
      <c r="AE1689" s="64">
        <f>IF($A1689="","",IFERROR(INDEX(계정매핑!$E$5:$E$504,MATCH($F1689&amp;"",계정매핑!$A$5:$A$504,0))&amp;"","공통비"))</f>
        <v/>
      </c>
      <c r="AF1689" s="64">
        <f>IF($A1689="","",IF(AE1689="직접",IFERROR(INDEX(계정매핑!$F$5:$F$504,MATCH($F1689&amp;"",계정매핑!$A$5:$A$504,0))&amp;"","비귀속"),""))</f>
        <v/>
      </c>
      <c r="AG1689" s="96">
        <f>IF($A1689="",0,IF(AND(AE1689&lt;&gt;"직접",IFERROR(INDEX(계정매핑!$G$5:$G$504,MATCH($F1689&amp;"",계정매핑!$A$5:$A$504,0))&amp;"","")="유지비",COUNTIF(계정대체기준!$A$6:$A$15,$N1689)&gt;0),IFERROR(INDEX(계정대체기준!$E$6:$E$15,MATCH(VALUE($A1689&amp;""),계정대체기준!$D$6:$D$15,0)),0),0))</f>
        <v/>
      </c>
      <c r="AH1689" s="64">
        <f>IF($A1689="","",IF(AD1689=0,"",IF(OR(COUNTIF(계정대체기준!$A$77:$A$86,$N1689)&gt;0,ISNUMBER(MATCH($X1689,계정대체기준!$D$77:$D$86,0)),ISNUMBER(MATCH($F1689,계정대체기준!$D$77:$D$86,0))),"Y","N")))</f>
        <v/>
      </c>
    </row>
    <row r="1690">
      <c r="A1690" s="92" t="n">
        <v>2025</v>
      </c>
      <c r="B1690" s="92" t="n">
        <v>8</v>
      </c>
      <c r="C1690" s="92" t="inlineStr">
        <is>
          <t>5100001686</t>
        </is>
      </c>
      <c r="D1690" s="95" t="n">
        <v>45882</v>
      </c>
      <c r="E1690" s="92" t="inlineStr">
        <is>
          <t>KR</t>
        </is>
      </c>
      <c r="F1690" s="92" t="n">
        <v>62901000</v>
      </c>
      <c r="G1690" s="92" t="n">
        <v>1101</v>
      </c>
      <c r="H1690" s="93" t="n">
        <v>4395000</v>
      </c>
      <c r="I1690" s="92" t="inlineStr">
        <is>
          <t>8월 자문 수수료 - K회계법인</t>
        </is>
      </c>
      <c r="J1690" s="92" t="inlineStr">
        <is>
          <t>V10011</t>
        </is>
      </c>
      <c r="K1690" s="92" t="inlineStr">
        <is>
          <t>K회계법인</t>
        </is>
      </c>
      <c r="M1690" s="9">
        <f>IF($A1690="","",VALUE($A1690&amp;"")*12+VALUE($B1690&amp;""))</f>
        <v/>
      </c>
      <c r="N1690" s="64">
        <f>IF($A1690="","",IFERROR(INDEX(부서매핑!$C$5:$C$504,MATCH($G1690&amp;"",부서매핑!$A$5:$A$504,0)),"미매핑"))</f>
        <v/>
      </c>
      <c r="O1690" s="9">
        <f>IF($A1690="","",N1690&amp;"|"&amp;$F1690)</f>
        <v/>
      </c>
      <c r="P1690" s="94">
        <f>IF($A1690="",0,$H1690*설정!$C$23)</f>
        <v/>
      </c>
      <c r="Q1690" s="64">
        <f>IF($A1690="","",IF(O1690&lt;&gt;원인분석!$C$9,"",IF(AND(M1690&gt;=원인분석!$C$10,M1690&lt;=원인분석!$C$11),"당기",IF(AND(M1690&gt;=원인분석!$C$12,M1690&lt;=원인분석!$C$13),"비교",""))))</f>
        <v/>
      </c>
      <c r="R1690" s="9">
        <f>IF(Q1690="","",$K1690&amp;"")</f>
        <v/>
      </c>
      <c r="S1690" s="9">
        <f>IF(Q1690="","",IF(MATCH(R1690,$R$5:$R$100000,0)=ROW()-4,ROW(),""))</f>
        <v/>
      </c>
      <c r="T1690" s="9">
        <f>IF(Q1690="당기",ABS(P1690)+ROW()/1000000000,"")</f>
        <v/>
      </c>
      <c r="U1690" s="9">
        <f>IF(Q1690="비교",ABS(P1690)+ROW()/1000000000,"")</f>
        <v/>
      </c>
      <c r="V1690" s="64">
        <f>IF($A1690="","",IF(COUNTIF(변동분석!$E$7:$E$506,O1690)&gt;0,"Y","N"))</f>
        <v/>
      </c>
      <c r="W1690" s="64">
        <f>IF($A1690="","",IFERROR(INDEX(계정매핑!$D$5:$D$504,MATCH($F1690&amp;"",계정매핑!$A$5:$A$504,0)),"미매핑"))</f>
        <v/>
      </c>
      <c r="X1690" s="9">
        <f>IF($A1690="","",$F1690&amp;"")</f>
        <v/>
      </c>
      <c r="Y1690" s="94">
        <f>IF($A1690="",0,IF(AE1690="직접",IF(AF1690="비귀속",$P1690,0),$P1690*(1-AG1690)*IFERROR(INDEX(계정대체기준!$F$20:$F$49,MATCH($N1690,계정대체기준!$A$20:$A$49,0)),1)))</f>
        <v/>
      </c>
      <c r="Z1690" s="94">
        <f>IF($A1690="",0,IF(AE1690="직접",IF(AF1690="신계약비",$P1690,0),$P1690*(1-AG1690)*IFERROR(INDEX(계정대체기준!$C$20:$C$49,MATCH($N1690,계정대체기준!$A$20:$A$49,0)),0)))</f>
        <v/>
      </c>
      <c r="AA1690" s="94">
        <f>IF($A1690="",0,IF(AE1690="직접",IF(OR(AF1690="유지비",AF1690="손해조사비"),$P1690,0),$P1690*(1-AG1690)*IFERROR(INDEX(계정대체기준!$D$20:$D$49,MATCH($N1690,계정대체기준!$A$20:$A$49,0)),0)))</f>
        <v/>
      </c>
      <c r="AB1690" s="94">
        <f>IF($A1690="",0,IF(AE1690="직접",IF(AF1690="수금비",$P1690,0),$P1690*(1-AG1690)*IFERROR(INDEX(계정대체기준!$E$20:$E$49,MATCH($N1690,계정대체기준!$A$20:$A$49,0)),0)))</f>
        <v/>
      </c>
      <c r="AC1690" s="9">
        <f>IF(AND($A1690&lt;&gt;"",M1690=설정!$C$20,Z1690&gt;0),Z1690+ROW()/1000000000,"")</f>
        <v/>
      </c>
      <c r="AD1690" s="94">
        <f>IF($A1690="",0,$P1690*AG1690)</f>
        <v/>
      </c>
      <c r="AE1690" s="64">
        <f>IF($A1690="","",IFERROR(INDEX(계정매핑!$E$5:$E$504,MATCH($F1690&amp;"",계정매핑!$A$5:$A$504,0))&amp;"","공통비"))</f>
        <v/>
      </c>
      <c r="AF1690" s="64">
        <f>IF($A1690="","",IF(AE1690="직접",IFERROR(INDEX(계정매핑!$F$5:$F$504,MATCH($F1690&amp;"",계정매핑!$A$5:$A$504,0))&amp;"","비귀속"),""))</f>
        <v/>
      </c>
      <c r="AG1690" s="96">
        <f>IF($A1690="",0,IF(AND(AE1690&lt;&gt;"직접",IFERROR(INDEX(계정매핑!$G$5:$G$504,MATCH($F1690&amp;"",계정매핑!$A$5:$A$504,0))&amp;"","")="유지비",COUNTIF(계정대체기준!$A$6:$A$15,$N1690)&gt;0),IFERROR(INDEX(계정대체기준!$E$6:$E$15,MATCH(VALUE($A1690&amp;""),계정대체기준!$D$6:$D$15,0)),0),0))</f>
        <v/>
      </c>
      <c r="AH1690" s="64">
        <f>IF($A1690="","",IF(AD1690=0,"",IF(OR(COUNTIF(계정대체기준!$A$77:$A$86,$N1690)&gt;0,ISNUMBER(MATCH($X1690,계정대체기준!$D$77:$D$86,0)),ISNUMBER(MATCH($F1690,계정대체기준!$D$77:$D$86,0))),"Y","N")))</f>
        <v/>
      </c>
    </row>
    <row r="1691">
      <c r="A1691" s="92" t="n">
        <v>2025</v>
      </c>
      <c r="B1691" s="92" t="n">
        <v>8</v>
      </c>
      <c r="C1691" s="92" t="inlineStr">
        <is>
          <t>5100001687</t>
        </is>
      </c>
      <c r="D1691" s="95" t="n">
        <v>45882</v>
      </c>
      <c r="E1691" s="92" t="inlineStr">
        <is>
          <t>KR</t>
        </is>
      </c>
      <c r="F1691" s="92" t="n">
        <v>62901000</v>
      </c>
      <c r="G1691" s="92" t="n">
        <v>1101</v>
      </c>
      <c r="H1691" s="93" t="n">
        <v>3975000</v>
      </c>
      <c r="I1691" s="92" t="inlineStr">
        <is>
          <t>8월 자문 수수료 - W컨설팅</t>
        </is>
      </c>
      <c r="J1691" s="92" t="inlineStr">
        <is>
          <t>V10006</t>
        </is>
      </c>
      <c r="K1691" s="92" t="inlineStr">
        <is>
          <t>W컨설팅</t>
        </is>
      </c>
      <c r="M1691" s="9">
        <f>IF($A1691="","",VALUE($A1691&amp;"")*12+VALUE($B1691&amp;""))</f>
        <v/>
      </c>
      <c r="N1691" s="64">
        <f>IF($A1691="","",IFERROR(INDEX(부서매핑!$C$5:$C$504,MATCH($G1691&amp;"",부서매핑!$A$5:$A$504,0)),"미매핑"))</f>
        <v/>
      </c>
      <c r="O1691" s="9">
        <f>IF($A1691="","",N1691&amp;"|"&amp;$F1691)</f>
        <v/>
      </c>
      <c r="P1691" s="94">
        <f>IF($A1691="",0,$H1691*설정!$C$23)</f>
        <v/>
      </c>
      <c r="Q1691" s="64">
        <f>IF($A1691="","",IF(O1691&lt;&gt;원인분석!$C$9,"",IF(AND(M1691&gt;=원인분석!$C$10,M1691&lt;=원인분석!$C$11),"당기",IF(AND(M1691&gt;=원인분석!$C$12,M1691&lt;=원인분석!$C$13),"비교",""))))</f>
        <v/>
      </c>
      <c r="R1691" s="9">
        <f>IF(Q1691="","",$K1691&amp;"")</f>
        <v/>
      </c>
      <c r="S1691" s="9">
        <f>IF(Q1691="","",IF(MATCH(R1691,$R$5:$R$100000,0)=ROW()-4,ROW(),""))</f>
        <v/>
      </c>
      <c r="T1691" s="9">
        <f>IF(Q1691="당기",ABS(P1691)+ROW()/1000000000,"")</f>
        <v/>
      </c>
      <c r="U1691" s="9">
        <f>IF(Q1691="비교",ABS(P1691)+ROW()/1000000000,"")</f>
        <v/>
      </c>
      <c r="V1691" s="64">
        <f>IF($A1691="","",IF(COUNTIF(변동분석!$E$7:$E$506,O1691)&gt;0,"Y","N"))</f>
        <v/>
      </c>
      <c r="W1691" s="64">
        <f>IF($A1691="","",IFERROR(INDEX(계정매핑!$D$5:$D$504,MATCH($F1691&amp;"",계정매핑!$A$5:$A$504,0)),"미매핑"))</f>
        <v/>
      </c>
      <c r="X1691" s="9">
        <f>IF($A1691="","",$F1691&amp;"")</f>
        <v/>
      </c>
      <c r="Y1691" s="94">
        <f>IF($A1691="",0,IF(AE1691="직접",IF(AF1691="비귀속",$P1691,0),$P1691*(1-AG1691)*IFERROR(INDEX(계정대체기준!$F$20:$F$49,MATCH($N1691,계정대체기준!$A$20:$A$49,0)),1)))</f>
        <v/>
      </c>
      <c r="Z1691" s="94">
        <f>IF($A1691="",0,IF(AE1691="직접",IF(AF1691="신계약비",$P1691,0),$P1691*(1-AG1691)*IFERROR(INDEX(계정대체기준!$C$20:$C$49,MATCH($N1691,계정대체기준!$A$20:$A$49,0)),0)))</f>
        <v/>
      </c>
      <c r="AA1691" s="94">
        <f>IF($A1691="",0,IF(AE1691="직접",IF(OR(AF1691="유지비",AF1691="손해조사비"),$P1691,0),$P1691*(1-AG1691)*IFERROR(INDEX(계정대체기준!$D$20:$D$49,MATCH($N1691,계정대체기준!$A$20:$A$49,0)),0)))</f>
        <v/>
      </c>
      <c r="AB1691" s="94">
        <f>IF($A1691="",0,IF(AE1691="직접",IF(AF1691="수금비",$P1691,0),$P1691*(1-AG1691)*IFERROR(INDEX(계정대체기준!$E$20:$E$49,MATCH($N1691,계정대체기준!$A$20:$A$49,0)),0)))</f>
        <v/>
      </c>
      <c r="AC1691" s="9">
        <f>IF(AND($A1691&lt;&gt;"",M1691=설정!$C$20,Z1691&gt;0),Z1691+ROW()/1000000000,"")</f>
        <v/>
      </c>
      <c r="AD1691" s="94">
        <f>IF($A1691="",0,$P1691*AG1691)</f>
        <v/>
      </c>
      <c r="AE1691" s="64">
        <f>IF($A1691="","",IFERROR(INDEX(계정매핑!$E$5:$E$504,MATCH($F1691&amp;"",계정매핑!$A$5:$A$504,0))&amp;"","공통비"))</f>
        <v/>
      </c>
      <c r="AF1691" s="64">
        <f>IF($A1691="","",IF(AE1691="직접",IFERROR(INDEX(계정매핑!$F$5:$F$504,MATCH($F1691&amp;"",계정매핑!$A$5:$A$504,0))&amp;"","비귀속"),""))</f>
        <v/>
      </c>
      <c r="AG1691" s="96">
        <f>IF($A1691="",0,IF(AND(AE1691&lt;&gt;"직접",IFERROR(INDEX(계정매핑!$G$5:$G$504,MATCH($F1691&amp;"",계정매핑!$A$5:$A$504,0))&amp;"","")="유지비",COUNTIF(계정대체기준!$A$6:$A$15,$N1691)&gt;0),IFERROR(INDEX(계정대체기준!$E$6:$E$15,MATCH(VALUE($A1691&amp;""),계정대체기준!$D$6:$D$15,0)),0),0))</f>
        <v/>
      </c>
      <c r="AH1691" s="64">
        <f>IF($A1691="","",IF(AD1691=0,"",IF(OR(COUNTIF(계정대체기준!$A$77:$A$86,$N1691)&gt;0,ISNUMBER(MATCH($X1691,계정대체기준!$D$77:$D$86,0)),ISNUMBER(MATCH($F1691,계정대체기준!$D$77:$D$86,0))),"Y","N")))</f>
        <v/>
      </c>
    </row>
    <row r="1692">
      <c r="A1692" s="92" t="n">
        <v>2025</v>
      </c>
      <c r="B1692" s="92" t="n">
        <v>8</v>
      </c>
      <c r="C1692" s="92" t="inlineStr">
        <is>
          <t>5100001688</t>
        </is>
      </c>
      <c r="D1692" s="95" t="n">
        <v>45882</v>
      </c>
      <c r="E1692" s="92" t="inlineStr">
        <is>
          <t>KR</t>
        </is>
      </c>
      <c r="F1692" s="92" t="n">
        <v>62902000</v>
      </c>
      <c r="G1692" s="92" t="n">
        <v>1951</v>
      </c>
      <c r="H1692" s="93" t="n">
        <v>2828000</v>
      </c>
      <c r="I1692" s="92" t="inlineStr">
        <is>
          <t>8월 업무 위탁 수수료 - X서비스</t>
        </is>
      </c>
      <c r="J1692" s="92" t="inlineStr">
        <is>
          <t>V10020</t>
        </is>
      </c>
      <c r="K1692" s="92" t="inlineStr">
        <is>
          <t>X서비스</t>
        </is>
      </c>
      <c r="M1692" s="9">
        <f>IF($A1692="","",VALUE($A1692&amp;"")*12+VALUE($B1692&amp;""))</f>
        <v/>
      </c>
      <c r="N1692" s="64">
        <f>IF($A1692="","",IFERROR(INDEX(부서매핑!$C$5:$C$504,MATCH($G1692&amp;"",부서매핑!$A$5:$A$504,0)),"미매핑"))</f>
        <v/>
      </c>
      <c r="O1692" s="9">
        <f>IF($A1692="","",N1692&amp;"|"&amp;$F1692)</f>
        <v/>
      </c>
      <c r="P1692" s="94">
        <f>IF($A1692="",0,$H1692*설정!$C$23)</f>
        <v/>
      </c>
      <c r="Q1692" s="64">
        <f>IF($A1692="","",IF(O1692&lt;&gt;원인분석!$C$9,"",IF(AND(M1692&gt;=원인분석!$C$10,M1692&lt;=원인분석!$C$11),"당기",IF(AND(M1692&gt;=원인분석!$C$12,M1692&lt;=원인분석!$C$13),"비교",""))))</f>
        <v/>
      </c>
      <c r="R1692" s="9">
        <f>IF(Q1692="","",$K1692&amp;"")</f>
        <v/>
      </c>
      <c r="S1692" s="9">
        <f>IF(Q1692="","",IF(MATCH(R1692,$R$5:$R$100000,0)=ROW()-4,ROW(),""))</f>
        <v/>
      </c>
      <c r="T1692" s="9">
        <f>IF(Q1692="당기",ABS(P1692)+ROW()/1000000000,"")</f>
        <v/>
      </c>
      <c r="U1692" s="9">
        <f>IF(Q1692="비교",ABS(P1692)+ROW()/1000000000,"")</f>
        <v/>
      </c>
      <c r="V1692" s="64">
        <f>IF($A1692="","",IF(COUNTIF(변동분석!$E$7:$E$506,O1692)&gt;0,"Y","N"))</f>
        <v/>
      </c>
      <c r="W1692" s="64">
        <f>IF($A1692="","",IFERROR(INDEX(계정매핑!$D$5:$D$504,MATCH($F1692&amp;"",계정매핑!$A$5:$A$504,0)),"미매핑"))</f>
        <v/>
      </c>
      <c r="X1692" s="9">
        <f>IF($A1692="","",$F1692&amp;"")</f>
        <v/>
      </c>
      <c r="Y1692" s="94">
        <f>IF($A1692="",0,IF(AE1692="직접",IF(AF1692="비귀속",$P1692,0),$P1692*(1-AG1692)*IFERROR(INDEX(계정대체기준!$F$20:$F$49,MATCH($N1692,계정대체기준!$A$20:$A$49,0)),1)))</f>
        <v/>
      </c>
      <c r="Z1692" s="94">
        <f>IF($A1692="",0,IF(AE1692="직접",IF(AF1692="신계약비",$P1692,0),$P1692*(1-AG1692)*IFERROR(INDEX(계정대체기준!$C$20:$C$49,MATCH($N1692,계정대체기준!$A$20:$A$49,0)),0)))</f>
        <v/>
      </c>
      <c r="AA1692" s="94">
        <f>IF($A1692="",0,IF(AE1692="직접",IF(OR(AF1692="유지비",AF1692="손해조사비"),$P1692,0),$P1692*(1-AG1692)*IFERROR(INDEX(계정대체기준!$D$20:$D$49,MATCH($N1692,계정대체기준!$A$20:$A$49,0)),0)))</f>
        <v/>
      </c>
      <c r="AB1692" s="94">
        <f>IF($A1692="",0,IF(AE1692="직접",IF(AF1692="수금비",$P1692,0),$P1692*(1-AG1692)*IFERROR(INDEX(계정대체기준!$E$20:$E$49,MATCH($N1692,계정대체기준!$A$20:$A$49,0)),0)))</f>
        <v/>
      </c>
      <c r="AC1692" s="9">
        <f>IF(AND($A1692&lt;&gt;"",M1692=설정!$C$20,Z1692&gt;0),Z1692+ROW()/1000000000,"")</f>
        <v/>
      </c>
      <c r="AD1692" s="94">
        <f>IF($A1692="",0,$P1692*AG1692)</f>
        <v/>
      </c>
      <c r="AE1692" s="64">
        <f>IF($A1692="","",IFERROR(INDEX(계정매핑!$E$5:$E$504,MATCH($F1692&amp;"",계정매핑!$A$5:$A$504,0))&amp;"","공통비"))</f>
        <v/>
      </c>
      <c r="AF1692" s="64">
        <f>IF($A1692="","",IF(AE1692="직접",IFERROR(INDEX(계정매핑!$F$5:$F$504,MATCH($F1692&amp;"",계정매핑!$A$5:$A$504,0))&amp;"","비귀속"),""))</f>
        <v/>
      </c>
      <c r="AG1692" s="96">
        <f>IF($A1692="",0,IF(AND(AE1692&lt;&gt;"직접",IFERROR(INDEX(계정매핑!$G$5:$G$504,MATCH($F1692&amp;"",계정매핑!$A$5:$A$504,0))&amp;"","")="유지비",COUNTIF(계정대체기준!$A$6:$A$15,$N1692)&gt;0),IFERROR(INDEX(계정대체기준!$E$6:$E$15,MATCH(VALUE($A1692&amp;""),계정대체기준!$D$6:$D$15,0)),0),0))</f>
        <v/>
      </c>
      <c r="AH1692" s="64">
        <f>IF($A1692="","",IF(AD1692=0,"",IF(OR(COUNTIF(계정대체기준!$A$77:$A$86,$N1692)&gt;0,ISNUMBER(MATCH($X1692,계정대체기준!$D$77:$D$86,0)),ISNUMBER(MATCH($F1692,계정대체기준!$D$77:$D$86,0))),"Y","N")))</f>
        <v/>
      </c>
    </row>
    <row r="1693">
      <c r="A1693" s="92" t="n">
        <v>2025</v>
      </c>
      <c r="B1693" s="92" t="n">
        <v>8</v>
      </c>
      <c r="C1693" s="92" t="inlineStr">
        <is>
          <t>5100001689</t>
        </is>
      </c>
      <c r="D1693" s="95" t="n">
        <v>45882</v>
      </c>
      <c r="E1693" s="92" t="inlineStr">
        <is>
          <t>KR</t>
        </is>
      </c>
      <c r="F1693" s="92" t="n">
        <v>63002000</v>
      </c>
      <c r="G1693" s="92" t="n">
        <v>1951</v>
      </c>
      <c r="H1693" s="93" t="n">
        <v>4205000</v>
      </c>
      <c r="I1693" s="92" t="inlineStr">
        <is>
          <t>8월 클라우드 사용료 - C클라우드</t>
        </is>
      </c>
      <c r="J1693" s="92" t="inlineStr">
        <is>
          <t>V10026</t>
        </is>
      </c>
      <c r="K1693" s="92" t="inlineStr">
        <is>
          <t>C클라우드</t>
        </is>
      </c>
      <c r="M1693" s="9">
        <f>IF($A1693="","",VALUE($A1693&amp;"")*12+VALUE($B1693&amp;""))</f>
        <v/>
      </c>
      <c r="N1693" s="64">
        <f>IF($A1693="","",IFERROR(INDEX(부서매핑!$C$5:$C$504,MATCH($G1693&amp;"",부서매핑!$A$5:$A$504,0)),"미매핑"))</f>
        <v/>
      </c>
      <c r="O1693" s="9">
        <f>IF($A1693="","",N1693&amp;"|"&amp;$F1693)</f>
        <v/>
      </c>
      <c r="P1693" s="94">
        <f>IF($A1693="",0,$H1693*설정!$C$23)</f>
        <v/>
      </c>
      <c r="Q1693" s="64">
        <f>IF($A1693="","",IF(O1693&lt;&gt;원인분석!$C$9,"",IF(AND(M1693&gt;=원인분석!$C$10,M1693&lt;=원인분석!$C$11),"당기",IF(AND(M1693&gt;=원인분석!$C$12,M1693&lt;=원인분석!$C$13),"비교",""))))</f>
        <v/>
      </c>
      <c r="R1693" s="9">
        <f>IF(Q1693="","",$K1693&amp;"")</f>
        <v/>
      </c>
      <c r="S1693" s="9">
        <f>IF(Q1693="","",IF(MATCH(R1693,$R$5:$R$100000,0)=ROW()-4,ROW(),""))</f>
        <v/>
      </c>
      <c r="T1693" s="9">
        <f>IF(Q1693="당기",ABS(P1693)+ROW()/1000000000,"")</f>
        <v/>
      </c>
      <c r="U1693" s="9">
        <f>IF(Q1693="비교",ABS(P1693)+ROW()/1000000000,"")</f>
        <v/>
      </c>
      <c r="V1693" s="64">
        <f>IF($A1693="","",IF(COUNTIF(변동분석!$E$7:$E$506,O1693)&gt;0,"Y","N"))</f>
        <v/>
      </c>
      <c r="W1693" s="64">
        <f>IF($A1693="","",IFERROR(INDEX(계정매핑!$D$5:$D$504,MATCH($F1693&amp;"",계정매핑!$A$5:$A$504,0)),"미매핑"))</f>
        <v/>
      </c>
      <c r="X1693" s="9">
        <f>IF($A1693="","",$F1693&amp;"")</f>
        <v/>
      </c>
      <c r="Y1693" s="94">
        <f>IF($A1693="",0,IF(AE1693="직접",IF(AF1693="비귀속",$P1693,0),$P1693*(1-AG1693)*IFERROR(INDEX(계정대체기준!$F$20:$F$49,MATCH($N1693,계정대체기준!$A$20:$A$49,0)),1)))</f>
        <v/>
      </c>
      <c r="Z1693" s="94">
        <f>IF($A1693="",0,IF(AE1693="직접",IF(AF1693="신계약비",$P1693,0),$P1693*(1-AG1693)*IFERROR(INDEX(계정대체기준!$C$20:$C$49,MATCH($N1693,계정대체기준!$A$20:$A$49,0)),0)))</f>
        <v/>
      </c>
      <c r="AA1693" s="94">
        <f>IF($A1693="",0,IF(AE1693="직접",IF(OR(AF1693="유지비",AF1693="손해조사비"),$P1693,0),$P1693*(1-AG1693)*IFERROR(INDEX(계정대체기준!$D$20:$D$49,MATCH($N1693,계정대체기준!$A$20:$A$49,0)),0)))</f>
        <v/>
      </c>
      <c r="AB1693" s="94">
        <f>IF($A1693="",0,IF(AE1693="직접",IF(AF1693="수금비",$P1693,0),$P1693*(1-AG1693)*IFERROR(INDEX(계정대체기준!$E$20:$E$49,MATCH($N1693,계정대체기준!$A$20:$A$49,0)),0)))</f>
        <v/>
      </c>
      <c r="AC1693" s="9">
        <f>IF(AND($A1693&lt;&gt;"",M1693=설정!$C$20,Z1693&gt;0),Z1693+ROW()/1000000000,"")</f>
        <v/>
      </c>
      <c r="AD1693" s="94">
        <f>IF($A1693="",0,$P1693*AG1693)</f>
        <v/>
      </c>
      <c r="AE1693" s="64">
        <f>IF($A1693="","",IFERROR(INDEX(계정매핑!$E$5:$E$504,MATCH($F1693&amp;"",계정매핑!$A$5:$A$504,0))&amp;"","공통비"))</f>
        <v/>
      </c>
      <c r="AF1693" s="64">
        <f>IF($A1693="","",IF(AE1693="직접",IFERROR(INDEX(계정매핑!$F$5:$F$504,MATCH($F1693&amp;"",계정매핑!$A$5:$A$504,0))&amp;"","비귀속"),""))</f>
        <v/>
      </c>
      <c r="AG1693" s="96">
        <f>IF($A1693="",0,IF(AND(AE1693&lt;&gt;"직접",IFERROR(INDEX(계정매핑!$G$5:$G$504,MATCH($F1693&amp;"",계정매핑!$A$5:$A$504,0))&amp;"","")="유지비",COUNTIF(계정대체기준!$A$6:$A$15,$N1693)&gt;0),IFERROR(INDEX(계정대체기준!$E$6:$E$15,MATCH(VALUE($A1693&amp;""),계정대체기준!$D$6:$D$15,0)),0),0))</f>
        <v/>
      </c>
      <c r="AH1693" s="64">
        <f>IF($A1693="","",IF(AD1693=0,"",IF(OR(COUNTIF(계정대체기준!$A$77:$A$86,$N1693)&gt;0,ISNUMBER(MATCH($X1693,계정대체기준!$D$77:$D$86,0)),ISNUMBER(MATCH($F1693,계정대체기준!$D$77:$D$86,0))),"Y","N")))</f>
        <v/>
      </c>
    </row>
    <row r="1694">
      <c r="A1694" s="92" t="n">
        <v>2025</v>
      </c>
      <c r="B1694" s="92" t="n">
        <v>8</v>
      </c>
      <c r="C1694" s="92" t="inlineStr">
        <is>
          <t>5100001690</t>
        </is>
      </c>
      <c r="D1694" s="95" t="n">
        <v>45882</v>
      </c>
      <c r="E1694" s="92" t="inlineStr">
        <is>
          <t>KR</t>
        </is>
      </c>
      <c r="F1694" s="92" t="n">
        <v>63502000</v>
      </c>
      <c r="G1694" s="92" t="n">
        <v>1902</v>
      </c>
      <c r="H1694" s="93" t="n">
        <v>119214000</v>
      </c>
      <c r="I1694" s="92" t="inlineStr">
        <is>
          <t>8월 유지수수료 - CC금융서비스</t>
        </is>
      </c>
      <c r="J1694" s="92" t="inlineStr">
        <is>
          <t>V10029</t>
        </is>
      </c>
      <c r="K1694" s="92" t="inlineStr">
        <is>
          <t>CC금융서비스</t>
        </is>
      </c>
      <c r="M1694" s="9">
        <f>IF($A1694="","",VALUE($A1694&amp;"")*12+VALUE($B1694&amp;""))</f>
        <v/>
      </c>
      <c r="N1694" s="64">
        <f>IF($A1694="","",IFERROR(INDEX(부서매핑!$C$5:$C$504,MATCH($G1694&amp;"",부서매핑!$A$5:$A$504,0)),"미매핑"))</f>
        <v/>
      </c>
      <c r="O1694" s="9">
        <f>IF($A1694="","",N1694&amp;"|"&amp;$F1694)</f>
        <v/>
      </c>
      <c r="P1694" s="94">
        <f>IF($A1694="",0,$H1694*설정!$C$23)</f>
        <v/>
      </c>
      <c r="Q1694" s="64">
        <f>IF($A1694="","",IF(O1694&lt;&gt;원인분석!$C$9,"",IF(AND(M1694&gt;=원인분석!$C$10,M1694&lt;=원인분석!$C$11),"당기",IF(AND(M1694&gt;=원인분석!$C$12,M1694&lt;=원인분석!$C$13),"비교",""))))</f>
        <v/>
      </c>
      <c r="R1694" s="9">
        <f>IF(Q1694="","",$K1694&amp;"")</f>
        <v/>
      </c>
      <c r="S1694" s="9">
        <f>IF(Q1694="","",IF(MATCH(R1694,$R$5:$R$100000,0)=ROW()-4,ROW(),""))</f>
        <v/>
      </c>
      <c r="T1694" s="9">
        <f>IF(Q1694="당기",ABS(P1694)+ROW()/1000000000,"")</f>
        <v/>
      </c>
      <c r="U1694" s="9">
        <f>IF(Q1694="비교",ABS(P1694)+ROW()/1000000000,"")</f>
        <v/>
      </c>
      <c r="V1694" s="64">
        <f>IF($A1694="","",IF(COUNTIF(변동분석!$E$7:$E$506,O1694)&gt;0,"Y","N"))</f>
        <v/>
      </c>
      <c r="W1694" s="64">
        <f>IF($A1694="","",IFERROR(INDEX(계정매핑!$D$5:$D$504,MATCH($F1694&amp;"",계정매핑!$A$5:$A$504,0)),"미매핑"))</f>
        <v/>
      </c>
      <c r="X1694" s="9">
        <f>IF($A1694="","",$F1694&amp;"")</f>
        <v/>
      </c>
      <c r="Y1694" s="94">
        <f>IF($A1694="",0,IF(AE1694="직접",IF(AF1694="비귀속",$P1694,0),$P1694*(1-AG1694)*IFERROR(INDEX(계정대체기준!$F$20:$F$49,MATCH($N1694,계정대체기준!$A$20:$A$49,0)),1)))</f>
        <v/>
      </c>
      <c r="Z1694" s="94">
        <f>IF($A1694="",0,IF(AE1694="직접",IF(AF1694="신계약비",$P1694,0),$P1694*(1-AG1694)*IFERROR(INDEX(계정대체기준!$C$20:$C$49,MATCH($N1694,계정대체기준!$A$20:$A$49,0)),0)))</f>
        <v/>
      </c>
      <c r="AA1694" s="94">
        <f>IF($A1694="",0,IF(AE1694="직접",IF(OR(AF1694="유지비",AF1694="손해조사비"),$P1694,0),$P1694*(1-AG1694)*IFERROR(INDEX(계정대체기준!$D$20:$D$49,MATCH($N1694,계정대체기준!$A$20:$A$49,0)),0)))</f>
        <v/>
      </c>
      <c r="AB1694" s="94">
        <f>IF($A1694="",0,IF(AE1694="직접",IF(AF1694="수금비",$P1694,0),$P1694*(1-AG1694)*IFERROR(INDEX(계정대체기준!$E$20:$E$49,MATCH($N1694,계정대체기준!$A$20:$A$49,0)),0)))</f>
        <v/>
      </c>
      <c r="AC1694" s="9">
        <f>IF(AND($A1694&lt;&gt;"",M1694=설정!$C$20,Z1694&gt;0),Z1694+ROW()/1000000000,"")</f>
        <v/>
      </c>
      <c r="AD1694" s="94">
        <f>IF($A1694="",0,$P1694*AG1694)</f>
        <v/>
      </c>
      <c r="AE1694" s="64">
        <f>IF($A1694="","",IFERROR(INDEX(계정매핑!$E$5:$E$504,MATCH($F1694&amp;"",계정매핑!$A$5:$A$504,0))&amp;"","공통비"))</f>
        <v/>
      </c>
      <c r="AF1694" s="64">
        <f>IF($A1694="","",IF(AE1694="직접",IFERROR(INDEX(계정매핑!$F$5:$F$504,MATCH($F1694&amp;"",계정매핑!$A$5:$A$504,0))&amp;"","비귀속"),""))</f>
        <v/>
      </c>
      <c r="AG1694" s="96">
        <f>IF($A1694="",0,IF(AND(AE1694&lt;&gt;"직접",IFERROR(INDEX(계정매핑!$G$5:$G$504,MATCH($F1694&amp;"",계정매핑!$A$5:$A$504,0))&amp;"","")="유지비",COUNTIF(계정대체기준!$A$6:$A$15,$N1694)&gt;0),IFERROR(INDEX(계정대체기준!$E$6:$E$15,MATCH(VALUE($A1694&amp;""),계정대체기준!$D$6:$D$15,0)),0),0))</f>
        <v/>
      </c>
      <c r="AH1694" s="64">
        <f>IF($A1694="","",IF(AD1694=0,"",IF(OR(COUNTIF(계정대체기준!$A$77:$A$86,$N1694)&gt;0,ISNUMBER(MATCH($X1694,계정대체기준!$D$77:$D$86,0)),ISNUMBER(MATCH($F1694,계정대체기준!$D$77:$D$86,0))),"Y","N")))</f>
        <v/>
      </c>
    </row>
    <row r="1695">
      <c r="A1695" s="92" t="n">
        <v>2025</v>
      </c>
      <c r="B1695" s="92" t="n">
        <v>8</v>
      </c>
      <c r="C1695" s="92" t="inlineStr">
        <is>
          <t>5100001691</t>
        </is>
      </c>
      <c r="D1695" s="95" t="n">
        <v>45883</v>
      </c>
      <c r="E1695" s="92" t="inlineStr">
        <is>
          <t>KR</t>
        </is>
      </c>
      <c r="F1695" s="92" t="n">
        <v>62101000</v>
      </c>
      <c r="G1695" s="92" t="n">
        <v>1101</v>
      </c>
      <c r="H1695" s="93" t="n">
        <v>557000</v>
      </c>
      <c r="I1695" s="92" t="inlineStr">
        <is>
          <t>8월 국내출장 - M항공</t>
        </is>
      </c>
      <c r="J1695" s="92" t="inlineStr">
        <is>
          <t>V10001</t>
        </is>
      </c>
      <c r="K1695" s="92" t="inlineStr">
        <is>
          <t>M항공</t>
        </is>
      </c>
      <c r="M1695" s="9">
        <f>IF($A1695="","",VALUE($A1695&amp;"")*12+VALUE($B1695&amp;""))</f>
        <v/>
      </c>
      <c r="N1695" s="64">
        <f>IF($A1695="","",IFERROR(INDEX(부서매핑!$C$5:$C$504,MATCH($G1695&amp;"",부서매핑!$A$5:$A$504,0)),"미매핑"))</f>
        <v/>
      </c>
      <c r="O1695" s="9">
        <f>IF($A1695="","",N1695&amp;"|"&amp;$F1695)</f>
        <v/>
      </c>
      <c r="P1695" s="94">
        <f>IF($A1695="",0,$H1695*설정!$C$23)</f>
        <v/>
      </c>
      <c r="Q1695" s="64">
        <f>IF($A1695="","",IF(O1695&lt;&gt;원인분석!$C$9,"",IF(AND(M1695&gt;=원인분석!$C$10,M1695&lt;=원인분석!$C$11),"당기",IF(AND(M1695&gt;=원인분석!$C$12,M1695&lt;=원인분석!$C$13),"비교",""))))</f>
        <v/>
      </c>
      <c r="R1695" s="9">
        <f>IF(Q1695="","",$K1695&amp;"")</f>
        <v/>
      </c>
      <c r="S1695" s="9">
        <f>IF(Q1695="","",IF(MATCH(R1695,$R$5:$R$100000,0)=ROW()-4,ROW(),""))</f>
        <v/>
      </c>
      <c r="T1695" s="9">
        <f>IF(Q1695="당기",ABS(P1695)+ROW()/1000000000,"")</f>
        <v/>
      </c>
      <c r="U1695" s="9">
        <f>IF(Q1695="비교",ABS(P1695)+ROW()/1000000000,"")</f>
        <v/>
      </c>
      <c r="V1695" s="64">
        <f>IF($A1695="","",IF(COUNTIF(변동분석!$E$7:$E$506,O1695)&gt;0,"Y","N"))</f>
        <v/>
      </c>
      <c r="W1695" s="64">
        <f>IF($A1695="","",IFERROR(INDEX(계정매핑!$D$5:$D$504,MATCH($F1695&amp;"",계정매핑!$A$5:$A$504,0)),"미매핑"))</f>
        <v/>
      </c>
      <c r="X1695" s="9">
        <f>IF($A1695="","",$F1695&amp;"")</f>
        <v/>
      </c>
      <c r="Y1695" s="94">
        <f>IF($A1695="",0,IF(AE1695="직접",IF(AF1695="비귀속",$P1695,0),$P1695*(1-AG1695)*IFERROR(INDEX(계정대체기준!$F$20:$F$49,MATCH($N1695,계정대체기준!$A$20:$A$49,0)),1)))</f>
        <v/>
      </c>
      <c r="Z1695" s="94">
        <f>IF($A1695="",0,IF(AE1695="직접",IF(AF1695="신계약비",$P1695,0),$P1695*(1-AG1695)*IFERROR(INDEX(계정대체기준!$C$20:$C$49,MATCH($N1695,계정대체기준!$A$20:$A$49,0)),0)))</f>
        <v/>
      </c>
      <c r="AA1695" s="94">
        <f>IF($A1695="",0,IF(AE1695="직접",IF(OR(AF1695="유지비",AF1695="손해조사비"),$P1695,0),$P1695*(1-AG1695)*IFERROR(INDEX(계정대체기준!$D$20:$D$49,MATCH($N1695,계정대체기준!$A$20:$A$49,0)),0)))</f>
        <v/>
      </c>
      <c r="AB1695" s="94">
        <f>IF($A1695="",0,IF(AE1695="직접",IF(AF1695="수금비",$P1695,0),$P1695*(1-AG1695)*IFERROR(INDEX(계정대체기준!$E$20:$E$49,MATCH($N1695,계정대체기준!$A$20:$A$49,0)),0)))</f>
        <v/>
      </c>
      <c r="AC1695" s="9">
        <f>IF(AND($A1695&lt;&gt;"",M1695=설정!$C$20,Z1695&gt;0),Z1695+ROW()/1000000000,"")</f>
        <v/>
      </c>
      <c r="AD1695" s="94">
        <f>IF($A1695="",0,$P1695*AG1695)</f>
        <v/>
      </c>
      <c r="AE1695" s="64">
        <f>IF($A1695="","",IFERROR(INDEX(계정매핑!$E$5:$E$504,MATCH($F1695&amp;"",계정매핑!$A$5:$A$504,0))&amp;"","공통비"))</f>
        <v/>
      </c>
      <c r="AF1695" s="64">
        <f>IF($A1695="","",IF(AE1695="직접",IFERROR(INDEX(계정매핑!$F$5:$F$504,MATCH($F1695&amp;"",계정매핑!$A$5:$A$504,0))&amp;"","비귀속"),""))</f>
        <v/>
      </c>
      <c r="AG1695" s="96">
        <f>IF($A1695="",0,IF(AND(AE1695&lt;&gt;"직접",IFERROR(INDEX(계정매핑!$G$5:$G$504,MATCH($F1695&amp;"",계정매핑!$A$5:$A$504,0))&amp;"","")="유지비",COUNTIF(계정대체기준!$A$6:$A$15,$N1695)&gt;0),IFERROR(INDEX(계정대체기준!$E$6:$E$15,MATCH(VALUE($A1695&amp;""),계정대체기준!$D$6:$D$15,0)),0),0))</f>
        <v/>
      </c>
      <c r="AH1695" s="64">
        <f>IF($A1695="","",IF(AD1695=0,"",IF(OR(COUNTIF(계정대체기준!$A$77:$A$86,$N1695)&gt;0,ISNUMBER(MATCH($X1695,계정대체기준!$D$77:$D$86,0)),ISNUMBER(MATCH($F1695,계정대체기준!$D$77:$D$86,0))),"Y","N")))</f>
        <v/>
      </c>
    </row>
    <row r="1696">
      <c r="A1696" s="92" t="n">
        <v>2025</v>
      </c>
      <c r="B1696" s="92" t="n">
        <v>8</v>
      </c>
      <c r="C1696" s="92" t="inlineStr">
        <is>
          <t>5100001692</t>
        </is>
      </c>
      <c r="D1696" s="95" t="n">
        <v>45883</v>
      </c>
      <c r="E1696" s="92" t="inlineStr">
        <is>
          <t>KR</t>
        </is>
      </c>
      <c r="F1696" s="92" t="n">
        <v>62102000</v>
      </c>
      <c r="G1696" s="92" t="n">
        <v>1301</v>
      </c>
      <c r="H1696" s="93" t="n">
        <v>69000</v>
      </c>
      <c r="I1696" s="92" t="inlineStr">
        <is>
          <t>8월 해외출장 - M항공</t>
        </is>
      </c>
      <c r="J1696" s="92" t="inlineStr">
        <is>
          <t>V10001</t>
        </is>
      </c>
      <c r="K1696" s="92" t="inlineStr">
        <is>
          <t>M항공</t>
        </is>
      </c>
      <c r="M1696" s="9">
        <f>IF($A1696="","",VALUE($A1696&amp;"")*12+VALUE($B1696&amp;""))</f>
        <v/>
      </c>
      <c r="N1696" s="64">
        <f>IF($A1696="","",IFERROR(INDEX(부서매핑!$C$5:$C$504,MATCH($G1696&amp;"",부서매핑!$A$5:$A$504,0)),"미매핑"))</f>
        <v/>
      </c>
      <c r="O1696" s="9">
        <f>IF($A1696="","",N1696&amp;"|"&amp;$F1696)</f>
        <v/>
      </c>
      <c r="P1696" s="94">
        <f>IF($A1696="",0,$H1696*설정!$C$23)</f>
        <v/>
      </c>
      <c r="Q1696" s="64">
        <f>IF($A1696="","",IF(O1696&lt;&gt;원인분석!$C$9,"",IF(AND(M1696&gt;=원인분석!$C$10,M1696&lt;=원인분석!$C$11),"당기",IF(AND(M1696&gt;=원인분석!$C$12,M1696&lt;=원인분석!$C$13),"비교",""))))</f>
        <v/>
      </c>
      <c r="R1696" s="9">
        <f>IF(Q1696="","",$K1696&amp;"")</f>
        <v/>
      </c>
      <c r="S1696" s="9">
        <f>IF(Q1696="","",IF(MATCH(R1696,$R$5:$R$100000,0)=ROW()-4,ROW(),""))</f>
        <v/>
      </c>
      <c r="T1696" s="9">
        <f>IF(Q1696="당기",ABS(P1696)+ROW()/1000000000,"")</f>
        <v/>
      </c>
      <c r="U1696" s="9">
        <f>IF(Q1696="비교",ABS(P1696)+ROW()/1000000000,"")</f>
        <v/>
      </c>
      <c r="V1696" s="64">
        <f>IF($A1696="","",IF(COUNTIF(변동분석!$E$7:$E$506,O1696)&gt;0,"Y","N"))</f>
        <v/>
      </c>
      <c r="W1696" s="64">
        <f>IF($A1696="","",IFERROR(INDEX(계정매핑!$D$5:$D$504,MATCH($F1696&amp;"",계정매핑!$A$5:$A$504,0)),"미매핑"))</f>
        <v/>
      </c>
      <c r="X1696" s="9">
        <f>IF($A1696="","",$F1696&amp;"")</f>
        <v/>
      </c>
      <c r="Y1696" s="94">
        <f>IF($A1696="",0,IF(AE1696="직접",IF(AF1696="비귀속",$P1696,0),$P1696*(1-AG1696)*IFERROR(INDEX(계정대체기준!$F$20:$F$49,MATCH($N1696,계정대체기준!$A$20:$A$49,0)),1)))</f>
        <v/>
      </c>
      <c r="Z1696" s="94">
        <f>IF($A1696="",0,IF(AE1696="직접",IF(AF1696="신계약비",$P1696,0),$P1696*(1-AG1696)*IFERROR(INDEX(계정대체기준!$C$20:$C$49,MATCH($N1696,계정대체기준!$A$20:$A$49,0)),0)))</f>
        <v/>
      </c>
      <c r="AA1696" s="94">
        <f>IF($A1696="",0,IF(AE1696="직접",IF(OR(AF1696="유지비",AF1696="손해조사비"),$P1696,0),$P1696*(1-AG1696)*IFERROR(INDEX(계정대체기준!$D$20:$D$49,MATCH($N1696,계정대체기준!$A$20:$A$49,0)),0)))</f>
        <v/>
      </c>
      <c r="AB1696" s="94">
        <f>IF($A1696="",0,IF(AE1696="직접",IF(AF1696="수금비",$P1696,0),$P1696*(1-AG1696)*IFERROR(INDEX(계정대체기준!$E$20:$E$49,MATCH($N1696,계정대체기준!$A$20:$A$49,0)),0)))</f>
        <v/>
      </c>
      <c r="AC1696" s="9">
        <f>IF(AND($A1696&lt;&gt;"",M1696=설정!$C$20,Z1696&gt;0),Z1696+ROW()/1000000000,"")</f>
        <v/>
      </c>
      <c r="AD1696" s="94">
        <f>IF($A1696="",0,$P1696*AG1696)</f>
        <v/>
      </c>
      <c r="AE1696" s="64">
        <f>IF($A1696="","",IFERROR(INDEX(계정매핑!$E$5:$E$504,MATCH($F1696&amp;"",계정매핑!$A$5:$A$504,0))&amp;"","공통비"))</f>
        <v/>
      </c>
      <c r="AF1696" s="64">
        <f>IF($A1696="","",IF(AE1696="직접",IFERROR(INDEX(계정매핑!$F$5:$F$504,MATCH($F1696&amp;"",계정매핑!$A$5:$A$504,0))&amp;"","비귀속"),""))</f>
        <v/>
      </c>
      <c r="AG1696" s="96">
        <f>IF($A1696="",0,IF(AND(AE1696&lt;&gt;"직접",IFERROR(INDEX(계정매핑!$G$5:$G$504,MATCH($F1696&amp;"",계정매핑!$A$5:$A$504,0))&amp;"","")="유지비",COUNTIF(계정대체기준!$A$6:$A$15,$N1696)&gt;0),IFERROR(INDEX(계정대체기준!$E$6:$E$15,MATCH(VALUE($A1696&amp;""),계정대체기준!$D$6:$D$15,0)),0),0))</f>
        <v/>
      </c>
      <c r="AH1696" s="64">
        <f>IF($A1696="","",IF(AD1696=0,"",IF(OR(COUNTIF(계정대체기준!$A$77:$A$86,$N1696)&gt;0,ISNUMBER(MATCH($X1696,계정대체기준!$D$77:$D$86,0)),ISNUMBER(MATCH($F1696,계정대체기준!$D$77:$D$86,0))),"Y","N")))</f>
        <v/>
      </c>
    </row>
    <row r="1697">
      <c r="A1697" s="92" t="n">
        <v>2025</v>
      </c>
      <c r="B1697" s="92" t="n">
        <v>8</v>
      </c>
      <c r="C1697" s="92" t="inlineStr">
        <is>
          <t>5100001693</t>
        </is>
      </c>
      <c r="D1697" s="95" t="n">
        <v>45883</v>
      </c>
      <c r="E1697" s="92" t="inlineStr">
        <is>
          <t>KR</t>
        </is>
      </c>
      <c r="F1697" s="92" t="n">
        <v>62102000</v>
      </c>
      <c r="G1697" s="92" t="n">
        <v>1951</v>
      </c>
      <c r="H1697" s="93" t="n">
        <v>65000</v>
      </c>
      <c r="I1697" s="92" t="inlineStr">
        <is>
          <t>8월 해외출장 - M항공</t>
        </is>
      </c>
      <c r="J1697" s="92" t="inlineStr">
        <is>
          <t>V10001</t>
        </is>
      </c>
      <c r="K1697" s="92" t="inlineStr">
        <is>
          <t>M항공</t>
        </is>
      </c>
      <c r="M1697" s="9">
        <f>IF($A1697="","",VALUE($A1697&amp;"")*12+VALUE($B1697&amp;""))</f>
        <v/>
      </c>
      <c r="N1697" s="64">
        <f>IF($A1697="","",IFERROR(INDEX(부서매핑!$C$5:$C$504,MATCH($G1697&amp;"",부서매핑!$A$5:$A$504,0)),"미매핑"))</f>
        <v/>
      </c>
      <c r="O1697" s="9">
        <f>IF($A1697="","",N1697&amp;"|"&amp;$F1697)</f>
        <v/>
      </c>
      <c r="P1697" s="94">
        <f>IF($A1697="",0,$H1697*설정!$C$23)</f>
        <v/>
      </c>
      <c r="Q1697" s="64">
        <f>IF($A1697="","",IF(O1697&lt;&gt;원인분석!$C$9,"",IF(AND(M1697&gt;=원인분석!$C$10,M1697&lt;=원인분석!$C$11),"당기",IF(AND(M1697&gt;=원인분석!$C$12,M1697&lt;=원인분석!$C$13),"비교",""))))</f>
        <v/>
      </c>
      <c r="R1697" s="9">
        <f>IF(Q1697="","",$K1697&amp;"")</f>
        <v/>
      </c>
      <c r="S1697" s="9">
        <f>IF(Q1697="","",IF(MATCH(R1697,$R$5:$R$100000,0)=ROW()-4,ROW(),""))</f>
        <v/>
      </c>
      <c r="T1697" s="9">
        <f>IF(Q1697="당기",ABS(P1697)+ROW()/1000000000,"")</f>
        <v/>
      </c>
      <c r="U1697" s="9">
        <f>IF(Q1697="비교",ABS(P1697)+ROW()/1000000000,"")</f>
        <v/>
      </c>
      <c r="V1697" s="64">
        <f>IF($A1697="","",IF(COUNTIF(변동분석!$E$7:$E$506,O1697)&gt;0,"Y","N"))</f>
        <v/>
      </c>
      <c r="W1697" s="64">
        <f>IF($A1697="","",IFERROR(INDEX(계정매핑!$D$5:$D$504,MATCH($F1697&amp;"",계정매핑!$A$5:$A$504,0)),"미매핑"))</f>
        <v/>
      </c>
      <c r="X1697" s="9">
        <f>IF($A1697="","",$F1697&amp;"")</f>
        <v/>
      </c>
      <c r="Y1697" s="94">
        <f>IF($A1697="",0,IF(AE1697="직접",IF(AF1697="비귀속",$P1697,0),$P1697*(1-AG1697)*IFERROR(INDEX(계정대체기준!$F$20:$F$49,MATCH($N1697,계정대체기준!$A$20:$A$49,0)),1)))</f>
        <v/>
      </c>
      <c r="Z1697" s="94">
        <f>IF($A1697="",0,IF(AE1697="직접",IF(AF1697="신계약비",$P1697,0),$P1697*(1-AG1697)*IFERROR(INDEX(계정대체기준!$C$20:$C$49,MATCH($N1697,계정대체기준!$A$20:$A$49,0)),0)))</f>
        <v/>
      </c>
      <c r="AA1697" s="94">
        <f>IF($A1697="",0,IF(AE1697="직접",IF(OR(AF1697="유지비",AF1697="손해조사비"),$P1697,0),$P1697*(1-AG1697)*IFERROR(INDEX(계정대체기준!$D$20:$D$49,MATCH($N1697,계정대체기준!$A$20:$A$49,0)),0)))</f>
        <v/>
      </c>
      <c r="AB1697" s="94">
        <f>IF($A1697="",0,IF(AE1697="직접",IF(AF1697="수금비",$P1697,0),$P1697*(1-AG1697)*IFERROR(INDEX(계정대체기준!$E$20:$E$49,MATCH($N1697,계정대체기준!$A$20:$A$49,0)),0)))</f>
        <v/>
      </c>
      <c r="AC1697" s="9">
        <f>IF(AND($A1697&lt;&gt;"",M1697=설정!$C$20,Z1697&gt;0),Z1697+ROW()/1000000000,"")</f>
        <v/>
      </c>
      <c r="AD1697" s="94">
        <f>IF($A1697="",0,$P1697*AG1697)</f>
        <v/>
      </c>
      <c r="AE1697" s="64">
        <f>IF($A1697="","",IFERROR(INDEX(계정매핑!$E$5:$E$504,MATCH($F1697&amp;"",계정매핑!$A$5:$A$504,0))&amp;"","공통비"))</f>
        <v/>
      </c>
      <c r="AF1697" s="64">
        <f>IF($A1697="","",IF(AE1697="직접",IFERROR(INDEX(계정매핑!$F$5:$F$504,MATCH($F1697&amp;"",계정매핑!$A$5:$A$504,0))&amp;"","비귀속"),""))</f>
        <v/>
      </c>
      <c r="AG1697" s="96">
        <f>IF($A1697="",0,IF(AND(AE1697&lt;&gt;"직접",IFERROR(INDEX(계정매핑!$G$5:$G$504,MATCH($F1697&amp;"",계정매핑!$A$5:$A$504,0))&amp;"","")="유지비",COUNTIF(계정대체기준!$A$6:$A$15,$N1697)&gt;0),IFERROR(INDEX(계정대체기준!$E$6:$E$15,MATCH(VALUE($A1697&amp;""),계정대체기준!$D$6:$D$15,0)),0),0))</f>
        <v/>
      </c>
      <c r="AH1697" s="64">
        <f>IF($A1697="","",IF(AD1697=0,"",IF(OR(COUNTIF(계정대체기준!$A$77:$A$86,$N1697)&gt;0,ISNUMBER(MATCH($X1697,계정대체기준!$D$77:$D$86,0)),ISNUMBER(MATCH($F1697,계정대체기준!$D$77:$D$86,0))),"Y","N")))</f>
        <v/>
      </c>
    </row>
    <row r="1698">
      <c r="A1698" s="92" t="n">
        <v>2025</v>
      </c>
      <c r="B1698" s="92" t="n">
        <v>8</v>
      </c>
      <c r="C1698" s="92" t="inlineStr">
        <is>
          <t>5100001694</t>
        </is>
      </c>
      <c r="D1698" s="95" t="n">
        <v>45883</v>
      </c>
      <c r="E1698" s="92" t="inlineStr">
        <is>
          <t>KR</t>
        </is>
      </c>
      <c r="F1698" s="92" t="n">
        <v>62201000</v>
      </c>
      <c r="G1698" s="92" t="n">
        <v>1701</v>
      </c>
      <c r="H1698" s="93" t="n">
        <v>8323000</v>
      </c>
      <c r="I1698" s="92" t="inlineStr">
        <is>
          <t>8월 통신요금 - P통신</t>
        </is>
      </c>
      <c r="J1698" s="92" t="inlineStr">
        <is>
          <t>V10014</t>
        </is>
      </c>
      <c r="K1698" s="92" t="inlineStr">
        <is>
          <t>P통신</t>
        </is>
      </c>
      <c r="M1698" s="9">
        <f>IF($A1698="","",VALUE($A1698&amp;"")*12+VALUE($B1698&amp;""))</f>
        <v/>
      </c>
      <c r="N1698" s="64">
        <f>IF($A1698="","",IFERROR(INDEX(부서매핑!$C$5:$C$504,MATCH($G1698&amp;"",부서매핑!$A$5:$A$504,0)),"미매핑"))</f>
        <v/>
      </c>
      <c r="O1698" s="9">
        <f>IF($A1698="","",N1698&amp;"|"&amp;$F1698)</f>
        <v/>
      </c>
      <c r="P1698" s="94">
        <f>IF($A1698="",0,$H1698*설정!$C$23)</f>
        <v/>
      </c>
      <c r="Q1698" s="64">
        <f>IF($A1698="","",IF(O1698&lt;&gt;원인분석!$C$9,"",IF(AND(M1698&gt;=원인분석!$C$10,M1698&lt;=원인분석!$C$11),"당기",IF(AND(M1698&gt;=원인분석!$C$12,M1698&lt;=원인분석!$C$13),"비교",""))))</f>
        <v/>
      </c>
      <c r="R1698" s="9">
        <f>IF(Q1698="","",$K1698&amp;"")</f>
        <v/>
      </c>
      <c r="S1698" s="9">
        <f>IF(Q1698="","",IF(MATCH(R1698,$R$5:$R$100000,0)=ROW()-4,ROW(),""))</f>
        <v/>
      </c>
      <c r="T1698" s="9">
        <f>IF(Q1698="당기",ABS(P1698)+ROW()/1000000000,"")</f>
        <v/>
      </c>
      <c r="U1698" s="9">
        <f>IF(Q1698="비교",ABS(P1698)+ROW()/1000000000,"")</f>
        <v/>
      </c>
      <c r="V1698" s="64">
        <f>IF($A1698="","",IF(COUNTIF(변동분석!$E$7:$E$506,O1698)&gt;0,"Y","N"))</f>
        <v/>
      </c>
      <c r="W1698" s="64">
        <f>IF($A1698="","",IFERROR(INDEX(계정매핑!$D$5:$D$504,MATCH($F1698&amp;"",계정매핑!$A$5:$A$504,0)),"미매핑"))</f>
        <v/>
      </c>
      <c r="X1698" s="9">
        <f>IF($A1698="","",$F1698&amp;"")</f>
        <v/>
      </c>
      <c r="Y1698" s="94">
        <f>IF($A1698="",0,IF(AE1698="직접",IF(AF1698="비귀속",$P1698,0),$P1698*(1-AG1698)*IFERROR(INDEX(계정대체기준!$F$20:$F$49,MATCH($N1698,계정대체기준!$A$20:$A$49,0)),1)))</f>
        <v/>
      </c>
      <c r="Z1698" s="94">
        <f>IF($A1698="",0,IF(AE1698="직접",IF(AF1698="신계약비",$P1698,0),$P1698*(1-AG1698)*IFERROR(INDEX(계정대체기준!$C$20:$C$49,MATCH($N1698,계정대체기준!$A$20:$A$49,0)),0)))</f>
        <v/>
      </c>
      <c r="AA1698" s="94">
        <f>IF($A1698="",0,IF(AE1698="직접",IF(OR(AF1698="유지비",AF1698="손해조사비"),$P1698,0),$P1698*(1-AG1698)*IFERROR(INDEX(계정대체기준!$D$20:$D$49,MATCH($N1698,계정대체기준!$A$20:$A$49,0)),0)))</f>
        <v/>
      </c>
      <c r="AB1698" s="94">
        <f>IF($A1698="",0,IF(AE1698="직접",IF(AF1698="수금비",$P1698,0),$P1698*(1-AG1698)*IFERROR(INDEX(계정대체기준!$E$20:$E$49,MATCH($N1698,계정대체기준!$A$20:$A$49,0)),0)))</f>
        <v/>
      </c>
      <c r="AC1698" s="9">
        <f>IF(AND($A1698&lt;&gt;"",M1698=설정!$C$20,Z1698&gt;0),Z1698+ROW()/1000000000,"")</f>
        <v/>
      </c>
      <c r="AD1698" s="94">
        <f>IF($A1698="",0,$P1698*AG1698)</f>
        <v/>
      </c>
      <c r="AE1698" s="64">
        <f>IF($A1698="","",IFERROR(INDEX(계정매핑!$E$5:$E$504,MATCH($F1698&amp;"",계정매핑!$A$5:$A$504,0))&amp;"","공통비"))</f>
        <v/>
      </c>
      <c r="AF1698" s="64">
        <f>IF($A1698="","",IF(AE1698="직접",IFERROR(INDEX(계정매핑!$F$5:$F$504,MATCH($F1698&amp;"",계정매핑!$A$5:$A$504,0))&amp;"","비귀속"),""))</f>
        <v/>
      </c>
      <c r="AG1698" s="96">
        <f>IF($A1698="",0,IF(AND(AE1698&lt;&gt;"직접",IFERROR(INDEX(계정매핑!$G$5:$G$504,MATCH($F1698&amp;"",계정매핑!$A$5:$A$504,0))&amp;"","")="유지비",COUNTIF(계정대체기준!$A$6:$A$15,$N1698)&gt;0),IFERROR(INDEX(계정대체기준!$E$6:$E$15,MATCH(VALUE($A1698&amp;""),계정대체기준!$D$6:$D$15,0)),0),0))</f>
        <v/>
      </c>
      <c r="AH1698" s="64">
        <f>IF($A1698="","",IF(AD1698=0,"",IF(OR(COUNTIF(계정대체기준!$A$77:$A$86,$N1698)&gt;0,ISNUMBER(MATCH($X1698,계정대체기준!$D$77:$D$86,0)),ISNUMBER(MATCH($F1698,계정대체기준!$D$77:$D$86,0))),"Y","N")))</f>
        <v/>
      </c>
    </row>
    <row r="1699">
      <c r="A1699" s="92" t="n">
        <v>2025</v>
      </c>
      <c r="B1699" s="92" t="n">
        <v>8</v>
      </c>
      <c r="C1699" s="92" t="inlineStr">
        <is>
          <t>5100001695</t>
        </is>
      </c>
      <c r="D1699" s="95" t="n">
        <v>45883</v>
      </c>
      <c r="E1699" s="92" t="inlineStr">
        <is>
          <t>KR</t>
        </is>
      </c>
      <c r="F1699" s="92" t="n">
        <v>62201000</v>
      </c>
      <c r="G1699" s="92" t="n">
        <v>1801</v>
      </c>
      <c r="H1699" s="93" t="n">
        <v>5257000</v>
      </c>
      <c r="I1699" s="92" t="inlineStr">
        <is>
          <t>8월 통신요금 - P통신</t>
        </is>
      </c>
      <c r="J1699" s="92" t="inlineStr">
        <is>
          <t>V10014</t>
        </is>
      </c>
      <c r="K1699" s="92" t="inlineStr">
        <is>
          <t>P통신</t>
        </is>
      </c>
      <c r="M1699" s="9">
        <f>IF($A1699="","",VALUE($A1699&amp;"")*12+VALUE($B1699&amp;""))</f>
        <v/>
      </c>
      <c r="N1699" s="64">
        <f>IF($A1699="","",IFERROR(INDEX(부서매핑!$C$5:$C$504,MATCH($G1699&amp;"",부서매핑!$A$5:$A$504,0)),"미매핑"))</f>
        <v/>
      </c>
      <c r="O1699" s="9">
        <f>IF($A1699="","",N1699&amp;"|"&amp;$F1699)</f>
        <v/>
      </c>
      <c r="P1699" s="94">
        <f>IF($A1699="",0,$H1699*설정!$C$23)</f>
        <v/>
      </c>
      <c r="Q1699" s="64">
        <f>IF($A1699="","",IF(O1699&lt;&gt;원인분석!$C$9,"",IF(AND(M1699&gt;=원인분석!$C$10,M1699&lt;=원인분석!$C$11),"당기",IF(AND(M1699&gt;=원인분석!$C$12,M1699&lt;=원인분석!$C$13),"비교",""))))</f>
        <v/>
      </c>
      <c r="R1699" s="9">
        <f>IF(Q1699="","",$K1699&amp;"")</f>
        <v/>
      </c>
      <c r="S1699" s="9">
        <f>IF(Q1699="","",IF(MATCH(R1699,$R$5:$R$100000,0)=ROW()-4,ROW(),""))</f>
        <v/>
      </c>
      <c r="T1699" s="9">
        <f>IF(Q1699="당기",ABS(P1699)+ROW()/1000000000,"")</f>
        <v/>
      </c>
      <c r="U1699" s="9">
        <f>IF(Q1699="비교",ABS(P1699)+ROW()/1000000000,"")</f>
        <v/>
      </c>
      <c r="V1699" s="64">
        <f>IF($A1699="","",IF(COUNTIF(변동분석!$E$7:$E$506,O1699)&gt;0,"Y","N"))</f>
        <v/>
      </c>
      <c r="W1699" s="64">
        <f>IF($A1699="","",IFERROR(INDEX(계정매핑!$D$5:$D$504,MATCH($F1699&amp;"",계정매핑!$A$5:$A$504,0)),"미매핑"))</f>
        <v/>
      </c>
      <c r="X1699" s="9">
        <f>IF($A1699="","",$F1699&amp;"")</f>
        <v/>
      </c>
      <c r="Y1699" s="94">
        <f>IF($A1699="",0,IF(AE1699="직접",IF(AF1699="비귀속",$P1699,0),$P1699*(1-AG1699)*IFERROR(INDEX(계정대체기준!$F$20:$F$49,MATCH($N1699,계정대체기준!$A$20:$A$49,0)),1)))</f>
        <v/>
      </c>
      <c r="Z1699" s="94">
        <f>IF($A1699="",0,IF(AE1699="직접",IF(AF1699="신계약비",$P1699,0),$P1699*(1-AG1699)*IFERROR(INDEX(계정대체기준!$C$20:$C$49,MATCH($N1699,계정대체기준!$A$20:$A$49,0)),0)))</f>
        <v/>
      </c>
      <c r="AA1699" s="94">
        <f>IF($A1699="",0,IF(AE1699="직접",IF(OR(AF1699="유지비",AF1699="손해조사비"),$P1699,0),$P1699*(1-AG1699)*IFERROR(INDEX(계정대체기준!$D$20:$D$49,MATCH($N1699,계정대체기준!$A$20:$A$49,0)),0)))</f>
        <v/>
      </c>
      <c r="AB1699" s="94">
        <f>IF($A1699="",0,IF(AE1699="직접",IF(AF1699="수금비",$P1699,0),$P1699*(1-AG1699)*IFERROR(INDEX(계정대체기준!$E$20:$E$49,MATCH($N1699,계정대체기준!$A$20:$A$49,0)),0)))</f>
        <v/>
      </c>
      <c r="AC1699" s="9">
        <f>IF(AND($A1699&lt;&gt;"",M1699=설정!$C$20,Z1699&gt;0),Z1699+ROW()/1000000000,"")</f>
        <v/>
      </c>
      <c r="AD1699" s="94">
        <f>IF($A1699="",0,$P1699*AG1699)</f>
        <v/>
      </c>
      <c r="AE1699" s="64">
        <f>IF($A1699="","",IFERROR(INDEX(계정매핑!$E$5:$E$504,MATCH($F1699&amp;"",계정매핑!$A$5:$A$504,0))&amp;"","공통비"))</f>
        <v/>
      </c>
      <c r="AF1699" s="64">
        <f>IF($A1699="","",IF(AE1699="직접",IFERROR(INDEX(계정매핑!$F$5:$F$504,MATCH($F1699&amp;"",계정매핑!$A$5:$A$504,0))&amp;"","비귀속"),""))</f>
        <v/>
      </c>
      <c r="AG1699" s="96">
        <f>IF($A1699="",0,IF(AND(AE1699&lt;&gt;"직접",IFERROR(INDEX(계정매핑!$G$5:$G$504,MATCH($F1699&amp;"",계정매핑!$A$5:$A$504,0))&amp;"","")="유지비",COUNTIF(계정대체기준!$A$6:$A$15,$N1699)&gt;0),IFERROR(INDEX(계정대체기준!$E$6:$E$15,MATCH(VALUE($A1699&amp;""),계정대체기준!$D$6:$D$15,0)),0),0))</f>
        <v/>
      </c>
      <c r="AH1699" s="64">
        <f>IF($A1699="","",IF(AD1699=0,"",IF(OR(COUNTIF(계정대체기준!$A$77:$A$86,$N1699)&gt;0,ISNUMBER(MATCH($X1699,계정대체기준!$D$77:$D$86,0)),ISNUMBER(MATCH($F1699,계정대체기준!$D$77:$D$86,0))),"Y","N")))</f>
        <v/>
      </c>
    </row>
    <row r="1700">
      <c r="A1700" s="92" t="n">
        <v>2025</v>
      </c>
      <c r="B1700" s="92" t="n">
        <v>8</v>
      </c>
      <c r="C1700" s="92" t="inlineStr">
        <is>
          <t>5100001696</t>
        </is>
      </c>
      <c r="D1700" s="95" t="n">
        <v>45883</v>
      </c>
      <c r="E1700" s="92" t="inlineStr">
        <is>
          <t>KR</t>
        </is>
      </c>
      <c r="F1700" s="92" t="n">
        <v>62301000</v>
      </c>
      <c r="G1700" s="92" t="n">
        <v>1101</v>
      </c>
      <c r="H1700" s="93" t="n">
        <v>181000</v>
      </c>
      <c r="I1700" s="92" t="inlineStr">
        <is>
          <t>8월 소모품 구입 - R문구</t>
        </is>
      </c>
      <c r="J1700" s="92" t="inlineStr">
        <is>
          <t>V10022</t>
        </is>
      </c>
      <c r="K1700" s="92" t="inlineStr">
        <is>
          <t>R문구</t>
        </is>
      </c>
      <c r="M1700" s="9">
        <f>IF($A1700="","",VALUE($A1700&amp;"")*12+VALUE($B1700&amp;""))</f>
        <v/>
      </c>
      <c r="N1700" s="64">
        <f>IF($A1700="","",IFERROR(INDEX(부서매핑!$C$5:$C$504,MATCH($G1700&amp;"",부서매핑!$A$5:$A$504,0)),"미매핑"))</f>
        <v/>
      </c>
      <c r="O1700" s="9">
        <f>IF($A1700="","",N1700&amp;"|"&amp;$F1700)</f>
        <v/>
      </c>
      <c r="P1700" s="94">
        <f>IF($A1700="",0,$H1700*설정!$C$23)</f>
        <v/>
      </c>
      <c r="Q1700" s="64">
        <f>IF($A1700="","",IF(O1700&lt;&gt;원인분석!$C$9,"",IF(AND(M1700&gt;=원인분석!$C$10,M1700&lt;=원인분석!$C$11),"당기",IF(AND(M1700&gt;=원인분석!$C$12,M1700&lt;=원인분석!$C$13),"비교",""))))</f>
        <v/>
      </c>
      <c r="R1700" s="9">
        <f>IF(Q1700="","",$K1700&amp;"")</f>
        <v/>
      </c>
      <c r="S1700" s="9">
        <f>IF(Q1700="","",IF(MATCH(R1700,$R$5:$R$100000,0)=ROW()-4,ROW(),""))</f>
        <v/>
      </c>
      <c r="T1700" s="9">
        <f>IF(Q1700="당기",ABS(P1700)+ROW()/1000000000,"")</f>
        <v/>
      </c>
      <c r="U1700" s="9">
        <f>IF(Q1700="비교",ABS(P1700)+ROW()/1000000000,"")</f>
        <v/>
      </c>
      <c r="V1700" s="64">
        <f>IF($A1700="","",IF(COUNTIF(변동분석!$E$7:$E$506,O1700)&gt;0,"Y","N"))</f>
        <v/>
      </c>
      <c r="W1700" s="64">
        <f>IF($A1700="","",IFERROR(INDEX(계정매핑!$D$5:$D$504,MATCH($F1700&amp;"",계정매핑!$A$5:$A$504,0)),"미매핑"))</f>
        <v/>
      </c>
      <c r="X1700" s="9">
        <f>IF($A1700="","",$F1700&amp;"")</f>
        <v/>
      </c>
      <c r="Y1700" s="94">
        <f>IF($A1700="",0,IF(AE1700="직접",IF(AF1700="비귀속",$P1700,0),$P1700*(1-AG1700)*IFERROR(INDEX(계정대체기준!$F$20:$F$49,MATCH($N1700,계정대체기준!$A$20:$A$49,0)),1)))</f>
        <v/>
      </c>
      <c r="Z1700" s="94">
        <f>IF($A1700="",0,IF(AE1700="직접",IF(AF1700="신계약비",$P1700,0),$P1700*(1-AG1700)*IFERROR(INDEX(계정대체기준!$C$20:$C$49,MATCH($N1700,계정대체기준!$A$20:$A$49,0)),0)))</f>
        <v/>
      </c>
      <c r="AA1700" s="94">
        <f>IF($A1700="",0,IF(AE1700="직접",IF(OR(AF1700="유지비",AF1700="손해조사비"),$P1700,0),$P1700*(1-AG1700)*IFERROR(INDEX(계정대체기준!$D$20:$D$49,MATCH($N1700,계정대체기준!$A$20:$A$49,0)),0)))</f>
        <v/>
      </c>
      <c r="AB1700" s="94">
        <f>IF($A1700="",0,IF(AE1700="직접",IF(AF1700="수금비",$P1700,0),$P1700*(1-AG1700)*IFERROR(INDEX(계정대체기준!$E$20:$E$49,MATCH($N1700,계정대체기준!$A$20:$A$49,0)),0)))</f>
        <v/>
      </c>
      <c r="AC1700" s="9">
        <f>IF(AND($A1700&lt;&gt;"",M1700=설정!$C$20,Z1700&gt;0),Z1700+ROW()/1000000000,"")</f>
        <v/>
      </c>
      <c r="AD1700" s="94">
        <f>IF($A1700="",0,$P1700*AG1700)</f>
        <v/>
      </c>
      <c r="AE1700" s="64">
        <f>IF($A1700="","",IFERROR(INDEX(계정매핑!$E$5:$E$504,MATCH($F1700&amp;"",계정매핑!$A$5:$A$504,0))&amp;"","공통비"))</f>
        <v/>
      </c>
      <c r="AF1700" s="64">
        <f>IF($A1700="","",IF(AE1700="직접",IFERROR(INDEX(계정매핑!$F$5:$F$504,MATCH($F1700&amp;"",계정매핑!$A$5:$A$504,0))&amp;"","비귀속"),""))</f>
        <v/>
      </c>
      <c r="AG1700" s="96">
        <f>IF($A1700="",0,IF(AND(AE1700&lt;&gt;"직접",IFERROR(INDEX(계정매핑!$G$5:$G$504,MATCH($F1700&amp;"",계정매핑!$A$5:$A$504,0))&amp;"","")="유지비",COUNTIF(계정대체기준!$A$6:$A$15,$N1700)&gt;0),IFERROR(INDEX(계정대체기준!$E$6:$E$15,MATCH(VALUE($A1700&amp;""),계정대체기준!$D$6:$D$15,0)),0),0))</f>
        <v/>
      </c>
      <c r="AH1700" s="64">
        <f>IF($A1700="","",IF(AD1700=0,"",IF(OR(COUNTIF(계정대체기준!$A$77:$A$86,$N1700)&gt;0,ISNUMBER(MATCH($X1700,계정대체기준!$D$77:$D$86,0)),ISNUMBER(MATCH($F1700,계정대체기준!$D$77:$D$86,0))),"Y","N")))</f>
        <v/>
      </c>
    </row>
    <row r="1701">
      <c r="A1701" s="92" t="n">
        <v>2025</v>
      </c>
      <c r="B1701" s="92" t="n">
        <v>8</v>
      </c>
      <c r="C1701" s="92" t="inlineStr">
        <is>
          <t>5100001697</t>
        </is>
      </c>
      <c r="D1701" s="95" t="n">
        <v>45883</v>
      </c>
      <c r="E1701" s="92" t="inlineStr">
        <is>
          <t>KR</t>
        </is>
      </c>
      <c r="F1701" s="92" t="n">
        <v>62401000</v>
      </c>
      <c r="G1701" s="92" t="n">
        <v>1801</v>
      </c>
      <c r="H1701" s="93" t="n">
        <v>1457000</v>
      </c>
      <c r="I1701" s="92" t="inlineStr">
        <is>
          <t>8월 인쇄물 제작 - G인쇄</t>
        </is>
      </c>
      <c r="J1701" s="92" t="inlineStr">
        <is>
          <t>V10004</t>
        </is>
      </c>
      <c r="K1701" s="92" t="inlineStr">
        <is>
          <t>G인쇄</t>
        </is>
      </c>
      <c r="M1701" s="9">
        <f>IF($A1701="","",VALUE($A1701&amp;"")*12+VALUE($B1701&amp;""))</f>
        <v/>
      </c>
      <c r="N1701" s="64">
        <f>IF($A1701="","",IFERROR(INDEX(부서매핑!$C$5:$C$504,MATCH($G1701&amp;"",부서매핑!$A$5:$A$504,0)),"미매핑"))</f>
        <v/>
      </c>
      <c r="O1701" s="9">
        <f>IF($A1701="","",N1701&amp;"|"&amp;$F1701)</f>
        <v/>
      </c>
      <c r="P1701" s="94">
        <f>IF($A1701="",0,$H1701*설정!$C$23)</f>
        <v/>
      </c>
      <c r="Q1701" s="64">
        <f>IF($A1701="","",IF(O1701&lt;&gt;원인분석!$C$9,"",IF(AND(M1701&gt;=원인분석!$C$10,M1701&lt;=원인분석!$C$11),"당기",IF(AND(M1701&gt;=원인분석!$C$12,M1701&lt;=원인분석!$C$13),"비교",""))))</f>
        <v/>
      </c>
      <c r="R1701" s="9">
        <f>IF(Q1701="","",$K1701&amp;"")</f>
        <v/>
      </c>
      <c r="S1701" s="9">
        <f>IF(Q1701="","",IF(MATCH(R1701,$R$5:$R$100000,0)=ROW()-4,ROW(),""))</f>
        <v/>
      </c>
      <c r="T1701" s="9">
        <f>IF(Q1701="당기",ABS(P1701)+ROW()/1000000000,"")</f>
        <v/>
      </c>
      <c r="U1701" s="9">
        <f>IF(Q1701="비교",ABS(P1701)+ROW()/1000000000,"")</f>
        <v/>
      </c>
      <c r="V1701" s="64">
        <f>IF($A1701="","",IF(COUNTIF(변동분석!$E$7:$E$506,O1701)&gt;0,"Y","N"))</f>
        <v/>
      </c>
      <c r="W1701" s="64">
        <f>IF($A1701="","",IFERROR(INDEX(계정매핑!$D$5:$D$504,MATCH($F1701&amp;"",계정매핑!$A$5:$A$504,0)),"미매핑"))</f>
        <v/>
      </c>
      <c r="X1701" s="9">
        <f>IF($A1701="","",$F1701&amp;"")</f>
        <v/>
      </c>
      <c r="Y1701" s="94">
        <f>IF($A1701="",0,IF(AE1701="직접",IF(AF1701="비귀속",$P1701,0),$P1701*(1-AG1701)*IFERROR(INDEX(계정대체기준!$F$20:$F$49,MATCH($N1701,계정대체기준!$A$20:$A$49,0)),1)))</f>
        <v/>
      </c>
      <c r="Z1701" s="94">
        <f>IF($A1701="",0,IF(AE1701="직접",IF(AF1701="신계약비",$P1701,0),$P1701*(1-AG1701)*IFERROR(INDEX(계정대체기준!$C$20:$C$49,MATCH($N1701,계정대체기준!$A$20:$A$49,0)),0)))</f>
        <v/>
      </c>
      <c r="AA1701" s="94">
        <f>IF($A1701="",0,IF(AE1701="직접",IF(OR(AF1701="유지비",AF1701="손해조사비"),$P1701,0),$P1701*(1-AG1701)*IFERROR(INDEX(계정대체기준!$D$20:$D$49,MATCH($N1701,계정대체기준!$A$20:$A$49,0)),0)))</f>
        <v/>
      </c>
      <c r="AB1701" s="94">
        <f>IF($A1701="",0,IF(AE1701="직접",IF(AF1701="수금비",$P1701,0),$P1701*(1-AG1701)*IFERROR(INDEX(계정대체기준!$E$20:$E$49,MATCH($N1701,계정대체기준!$A$20:$A$49,0)),0)))</f>
        <v/>
      </c>
      <c r="AC1701" s="9">
        <f>IF(AND($A1701&lt;&gt;"",M1701=설정!$C$20,Z1701&gt;0),Z1701+ROW()/1000000000,"")</f>
        <v/>
      </c>
      <c r="AD1701" s="94">
        <f>IF($A1701="",0,$P1701*AG1701)</f>
        <v/>
      </c>
      <c r="AE1701" s="64">
        <f>IF($A1701="","",IFERROR(INDEX(계정매핑!$E$5:$E$504,MATCH($F1701&amp;"",계정매핑!$A$5:$A$504,0))&amp;"","공통비"))</f>
        <v/>
      </c>
      <c r="AF1701" s="64">
        <f>IF($A1701="","",IF(AE1701="직접",IFERROR(INDEX(계정매핑!$F$5:$F$504,MATCH($F1701&amp;"",계정매핑!$A$5:$A$504,0))&amp;"","비귀속"),""))</f>
        <v/>
      </c>
      <c r="AG1701" s="96">
        <f>IF($A1701="",0,IF(AND(AE1701&lt;&gt;"직접",IFERROR(INDEX(계정매핑!$G$5:$G$504,MATCH($F1701&amp;"",계정매핑!$A$5:$A$504,0))&amp;"","")="유지비",COUNTIF(계정대체기준!$A$6:$A$15,$N1701)&gt;0),IFERROR(INDEX(계정대체기준!$E$6:$E$15,MATCH(VALUE($A1701&amp;""),계정대체기준!$D$6:$D$15,0)),0),0))</f>
        <v/>
      </c>
      <c r="AH1701" s="64">
        <f>IF($A1701="","",IF(AD1701=0,"",IF(OR(COUNTIF(계정대체기준!$A$77:$A$86,$N1701)&gt;0,ISNUMBER(MATCH($X1701,계정대체기준!$D$77:$D$86,0)),ISNUMBER(MATCH($F1701,계정대체기준!$D$77:$D$86,0))),"Y","N")))</f>
        <v/>
      </c>
    </row>
    <row r="1702">
      <c r="A1702" s="92" t="n">
        <v>2025</v>
      </c>
      <c r="B1702" s="92" t="n">
        <v>8</v>
      </c>
      <c r="C1702" s="92" t="inlineStr">
        <is>
          <t>5100001698</t>
        </is>
      </c>
      <c r="D1702" s="95" t="n">
        <v>45883</v>
      </c>
      <c r="E1702" s="92" t="inlineStr">
        <is>
          <t>KR</t>
        </is>
      </c>
      <c r="F1702" s="92" t="n">
        <v>62501000</v>
      </c>
      <c r="G1702" s="92" t="n">
        <v>1201</v>
      </c>
      <c r="H1702" s="93" t="n">
        <v>105000</v>
      </c>
      <c r="I1702" s="92" t="inlineStr">
        <is>
          <t>8월 회의 다과 - T케이터링</t>
        </is>
      </c>
      <c r="J1702" s="92" t="inlineStr">
        <is>
          <t>V10005</t>
        </is>
      </c>
      <c r="K1702" s="92" t="inlineStr">
        <is>
          <t>T케이터링</t>
        </is>
      </c>
      <c r="M1702" s="9">
        <f>IF($A1702="","",VALUE($A1702&amp;"")*12+VALUE($B1702&amp;""))</f>
        <v/>
      </c>
      <c r="N1702" s="64">
        <f>IF($A1702="","",IFERROR(INDEX(부서매핑!$C$5:$C$504,MATCH($G1702&amp;"",부서매핑!$A$5:$A$504,0)),"미매핑"))</f>
        <v/>
      </c>
      <c r="O1702" s="9">
        <f>IF($A1702="","",N1702&amp;"|"&amp;$F1702)</f>
        <v/>
      </c>
      <c r="P1702" s="94">
        <f>IF($A1702="",0,$H1702*설정!$C$23)</f>
        <v/>
      </c>
      <c r="Q1702" s="64">
        <f>IF($A1702="","",IF(O1702&lt;&gt;원인분석!$C$9,"",IF(AND(M1702&gt;=원인분석!$C$10,M1702&lt;=원인분석!$C$11),"당기",IF(AND(M1702&gt;=원인분석!$C$12,M1702&lt;=원인분석!$C$13),"비교",""))))</f>
        <v/>
      </c>
      <c r="R1702" s="9">
        <f>IF(Q1702="","",$K1702&amp;"")</f>
        <v/>
      </c>
      <c r="S1702" s="9">
        <f>IF(Q1702="","",IF(MATCH(R1702,$R$5:$R$100000,0)=ROW()-4,ROW(),""))</f>
        <v/>
      </c>
      <c r="T1702" s="9">
        <f>IF(Q1702="당기",ABS(P1702)+ROW()/1000000000,"")</f>
        <v/>
      </c>
      <c r="U1702" s="9">
        <f>IF(Q1702="비교",ABS(P1702)+ROW()/1000000000,"")</f>
        <v/>
      </c>
      <c r="V1702" s="64">
        <f>IF($A1702="","",IF(COUNTIF(변동분석!$E$7:$E$506,O1702)&gt;0,"Y","N"))</f>
        <v/>
      </c>
      <c r="W1702" s="64">
        <f>IF($A1702="","",IFERROR(INDEX(계정매핑!$D$5:$D$504,MATCH($F1702&amp;"",계정매핑!$A$5:$A$504,0)),"미매핑"))</f>
        <v/>
      </c>
      <c r="X1702" s="9">
        <f>IF($A1702="","",$F1702&amp;"")</f>
        <v/>
      </c>
      <c r="Y1702" s="94">
        <f>IF($A1702="",0,IF(AE1702="직접",IF(AF1702="비귀속",$P1702,0),$P1702*(1-AG1702)*IFERROR(INDEX(계정대체기준!$F$20:$F$49,MATCH($N1702,계정대체기준!$A$20:$A$49,0)),1)))</f>
        <v/>
      </c>
      <c r="Z1702" s="94">
        <f>IF($A1702="",0,IF(AE1702="직접",IF(AF1702="신계약비",$P1702,0),$P1702*(1-AG1702)*IFERROR(INDEX(계정대체기준!$C$20:$C$49,MATCH($N1702,계정대체기준!$A$20:$A$49,0)),0)))</f>
        <v/>
      </c>
      <c r="AA1702" s="94">
        <f>IF($A1702="",0,IF(AE1702="직접",IF(OR(AF1702="유지비",AF1702="손해조사비"),$P1702,0),$P1702*(1-AG1702)*IFERROR(INDEX(계정대체기준!$D$20:$D$49,MATCH($N1702,계정대체기준!$A$20:$A$49,0)),0)))</f>
        <v/>
      </c>
      <c r="AB1702" s="94">
        <f>IF($A1702="",0,IF(AE1702="직접",IF(AF1702="수금비",$P1702,0),$P1702*(1-AG1702)*IFERROR(INDEX(계정대체기준!$E$20:$E$49,MATCH($N1702,계정대체기준!$A$20:$A$49,0)),0)))</f>
        <v/>
      </c>
      <c r="AC1702" s="9">
        <f>IF(AND($A1702&lt;&gt;"",M1702=설정!$C$20,Z1702&gt;0),Z1702+ROW()/1000000000,"")</f>
        <v/>
      </c>
      <c r="AD1702" s="94">
        <f>IF($A1702="",0,$P1702*AG1702)</f>
        <v/>
      </c>
      <c r="AE1702" s="64">
        <f>IF($A1702="","",IFERROR(INDEX(계정매핑!$E$5:$E$504,MATCH($F1702&amp;"",계정매핑!$A$5:$A$504,0))&amp;"","공통비"))</f>
        <v/>
      </c>
      <c r="AF1702" s="64">
        <f>IF($A1702="","",IF(AE1702="직접",IFERROR(INDEX(계정매핑!$F$5:$F$504,MATCH($F1702&amp;"",계정매핑!$A$5:$A$504,0))&amp;"","비귀속"),""))</f>
        <v/>
      </c>
      <c r="AG1702" s="96">
        <f>IF($A1702="",0,IF(AND(AE1702&lt;&gt;"직접",IFERROR(INDEX(계정매핑!$G$5:$G$504,MATCH($F1702&amp;"",계정매핑!$A$5:$A$504,0))&amp;"","")="유지비",COUNTIF(계정대체기준!$A$6:$A$15,$N1702)&gt;0),IFERROR(INDEX(계정대체기준!$E$6:$E$15,MATCH(VALUE($A1702&amp;""),계정대체기준!$D$6:$D$15,0)),0),0))</f>
        <v/>
      </c>
      <c r="AH1702" s="64">
        <f>IF($A1702="","",IF(AD1702=0,"",IF(OR(COUNTIF(계정대체기준!$A$77:$A$86,$N1702)&gt;0,ISNUMBER(MATCH($X1702,계정대체기준!$D$77:$D$86,0)),ISNUMBER(MATCH($F1702,계정대체기준!$D$77:$D$86,0))),"Y","N")))</f>
        <v/>
      </c>
    </row>
    <row r="1703">
      <c r="A1703" s="92" t="n">
        <v>2025</v>
      </c>
      <c r="B1703" s="92" t="n">
        <v>8</v>
      </c>
      <c r="C1703" s="92" t="inlineStr">
        <is>
          <t>5100001699</t>
        </is>
      </c>
      <c r="D1703" s="95" t="n">
        <v>45883</v>
      </c>
      <c r="E1703" s="92" t="inlineStr">
        <is>
          <t>KR</t>
        </is>
      </c>
      <c r="F1703" s="92" t="n">
        <v>62501000</v>
      </c>
      <c r="G1703" s="92" t="n">
        <v>1701</v>
      </c>
      <c r="H1703" s="93" t="n">
        <v>122000</v>
      </c>
      <c r="I1703" s="92" t="inlineStr">
        <is>
          <t>8월 회의 다과 - (법인카드)</t>
        </is>
      </c>
      <c r="J1703" s="92" t="inlineStr">
        <is>
          <t>V10010</t>
        </is>
      </c>
      <c r="K1703" s="92" t="inlineStr">
        <is>
          <t>(법인카드)</t>
        </is>
      </c>
      <c r="M1703" s="9">
        <f>IF($A1703="","",VALUE($A1703&amp;"")*12+VALUE($B1703&amp;""))</f>
        <v/>
      </c>
      <c r="N1703" s="64">
        <f>IF($A1703="","",IFERROR(INDEX(부서매핑!$C$5:$C$504,MATCH($G1703&amp;"",부서매핑!$A$5:$A$504,0)),"미매핑"))</f>
        <v/>
      </c>
      <c r="O1703" s="9">
        <f>IF($A1703="","",N1703&amp;"|"&amp;$F1703)</f>
        <v/>
      </c>
      <c r="P1703" s="94">
        <f>IF($A1703="",0,$H1703*설정!$C$23)</f>
        <v/>
      </c>
      <c r="Q1703" s="64">
        <f>IF($A1703="","",IF(O1703&lt;&gt;원인분석!$C$9,"",IF(AND(M1703&gt;=원인분석!$C$10,M1703&lt;=원인분석!$C$11),"당기",IF(AND(M1703&gt;=원인분석!$C$12,M1703&lt;=원인분석!$C$13),"비교",""))))</f>
        <v/>
      </c>
      <c r="R1703" s="9">
        <f>IF(Q1703="","",$K1703&amp;"")</f>
        <v/>
      </c>
      <c r="S1703" s="9">
        <f>IF(Q1703="","",IF(MATCH(R1703,$R$5:$R$100000,0)=ROW()-4,ROW(),""))</f>
        <v/>
      </c>
      <c r="T1703" s="9">
        <f>IF(Q1703="당기",ABS(P1703)+ROW()/1000000000,"")</f>
        <v/>
      </c>
      <c r="U1703" s="9">
        <f>IF(Q1703="비교",ABS(P1703)+ROW()/1000000000,"")</f>
        <v/>
      </c>
      <c r="V1703" s="64">
        <f>IF($A1703="","",IF(COUNTIF(변동분석!$E$7:$E$506,O1703)&gt;0,"Y","N"))</f>
        <v/>
      </c>
      <c r="W1703" s="64">
        <f>IF($A1703="","",IFERROR(INDEX(계정매핑!$D$5:$D$504,MATCH($F1703&amp;"",계정매핑!$A$5:$A$504,0)),"미매핑"))</f>
        <v/>
      </c>
      <c r="X1703" s="9">
        <f>IF($A1703="","",$F1703&amp;"")</f>
        <v/>
      </c>
      <c r="Y1703" s="94">
        <f>IF($A1703="",0,IF(AE1703="직접",IF(AF1703="비귀속",$P1703,0),$P1703*(1-AG1703)*IFERROR(INDEX(계정대체기준!$F$20:$F$49,MATCH($N1703,계정대체기준!$A$20:$A$49,0)),1)))</f>
        <v/>
      </c>
      <c r="Z1703" s="94">
        <f>IF($A1703="",0,IF(AE1703="직접",IF(AF1703="신계약비",$P1703,0),$P1703*(1-AG1703)*IFERROR(INDEX(계정대체기준!$C$20:$C$49,MATCH($N1703,계정대체기준!$A$20:$A$49,0)),0)))</f>
        <v/>
      </c>
      <c r="AA1703" s="94">
        <f>IF($A1703="",0,IF(AE1703="직접",IF(OR(AF1703="유지비",AF1703="손해조사비"),$P1703,0),$P1703*(1-AG1703)*IFERROR(INDEX(계정대체기준!$D$20:$D$49,MATCH($N1703,계정대체기준!$A$20:$A$49,0)),0)))</f>
        <v/>
      </c>
      <c r="AB1703" s="94">
        <f>IF($A1703="",0,IF(AE1703="직접",IF(AF1703="수금비",$P1703,0),$P1703*(1-AG1703)*IFERROR(INDEX(계정대체기준!$E$20:$E$49,MATCH($N1703,계정대체기준!$A$20:$A$49,0)),0)))</f>
        <v/>
      </c>
      <c r="AC1703" s="9">
        <f>IF(AND($A1703&lt;&gt;"",M1703=설정!$C$20,Z1703&gt;0),Z1703+ROW()/1000000000,"")</f>
        <v/>
      </c>
      <c r="AD1703" s="94">
        <f>IF($A1703="",0,$P1703*AG1703)</f>
        <v/>
      </c>
      <c r="AE1703" s="64">
        <f>IF($A1703="","",IFERROR(INDEX(계정매핑!$E$5:$E$504,MATCH($F1703&amp;"",계정매핑!$A$5:$A$504,0))&amp;"","공통비"))</f>
        <v/>
      </c>
      <c r="AF1703" s="64">
        <f>IF($A1703="","",IF(AE1703="직접",IFERROR(INDEX(계정매핑!$F$5:$F$504,MATCH($F1703&amp;"",계정매핑!$A$5:$A$504,0))&amp;"","비귀속"),""))</f>
        <v/>
      </c>
      <c r="AG1703" s="96">
        <f>IF($A1703="",0,IF(AND(AE1703&lt;&gt;"직접",IFERROR(INDEX(계정매핑!$G$5:$G$504,MATCH($F1703&amp;"",계정매핑!$A$5:$A$504,0))&amp;"","")="유지비",COUNTIF(계정대체기준!$A$6:$A$15,$N1703)&gt;0),IFERROR(INDEX(계정대체기준!$E$6:$E$15,MATCH(VALUE($A1703&amp;""),계정대체기준!$D$6:$D$15,0)),0),0))</f>
        <v/>
      </c>
      <c r="AH1703" s="64">
        <f>IF($A1703="","",IF(AD1703=0,"",IF(OR(COUNTIF(계정대체기준!$A$77:$A$86,$N1703)&gt;0,ISNUMBER(MATCH($X1703,계정대체기준!$D$77:$D$86,0)),ISNUMBER(MATCH($F1703,계정대체기준!$D$77:$D$86,0))),"Y","N")))</f>
        <v/>
      </c>
    </row>
    <row r="1704">
      <c r="A1704" s="92" t="n">
        <v>2025</v>
      </c>
      <c r="B1704" s="92" t="n">
        <v>8</v>
      </c>
      <c r="C1704" s="92" t="inlineStr">
        <is>
          <t>5100001700</t>
        </is>
      </c>
      <c r="D1704" s="95" t="n">
        <v>45883</v>
      </c>
      <c r="E1704" s="92" t="inlineStr">
        <is>
          <t>KR</t>
        </is>
      </c>
      <c r="F1704" s="92" t="n">
        <v>62801000</v>
      </c>
      <c r="G1704" s="92" t="n">
        <v>1301</v>
      </c>
      <c r="H1704" s="93" t="n">
        <v>4290000</v>
      </c>
      <c r="I1704" s="92" t="inlineStr">
        <is>
          <t>8월 사내교육 - U에듀</t>
        </is>
      </c>
      <c r="J1704" s="92" t="inlineStr">
        <is>
          <t>V10031</t>
        </is>
      </c>
      <c r="K1704" s="92" t="inlineStr">
        <is>
          <t>U에듀</t>
        </is>
      </c>
      <c r="M1704" s="9">
        <f>IF($A1704="","",VALUE($A1704&amp;"")*12+VALUE($B1704&amp;""))</f>
        <v/>
      </c>
      <c r="N1704" s="64">
        <f>IF($A1704="","",IFERROR(INDEX(부서매핑!$C$5:$C$504,MATCH($G1704&amp;"",부서매핑!$A$5:$A$504,0)),"미매핑"))</f>
        <v/>
      </c>
      <c r="O1704" s="9">
        <f>IF($A1704="","",N1704&amp;"|"&amp;$F1704)</f>
        <v/>
      </c>
      <c r="P1704" s="94">
        <f>IF($A1704="",0,$H1704*설정!$C$23)</f>
        <v/>
      </c>
      <c r="Q1704" s="64">
        <f>IF($A1704="","",IF(O1704&lt;&gt;원인분석!$C$9,"",IF(AND(M1704&gt;=원인분석!$C$10,M1704&lt;=원인분석!$C$11),"당기",IF(AND(M1704&gt;=원인분석!$C$12,M1704&lt;=원인분석!$C$13),"비교",""))))</f>
        <v/>
      </c>
      <c r="R1704" s="9">
        <f>IF(Q1704="","",$K1704&amp;"")</f>
        <v/>
      </c>
      <c r="S1704" s="9">
        <f>IF(Q1704="","",IF(MATCH(R1704,$R$5:$R$100000,0)=ROW()-4,ROW(),""))</f>
        <v/>
      </c>
      <c r="T1704" s="9">
        <f>IF(Q1704="당기",ABS(P1704)+ROW()/1000000000,"")</f>
        <v/>
      </c>
      <c r="U1704" s="9">
        <f>IF(Q1704="비교",ABS(P1704)+ROW()/1000000000,"")</f>
        <v/>
      </c>
      <c r="V1704" s="64">
        <f>IF($A1704="","",IF(COUNTIF(변동분석!$E$7:$E$506,O1704)&gt;0,"Y","N"))</f>
        <v/>
      </c>
      <c r="W1704" s="64">
        <f>IF($A1704="","",IFERROR(INDEX(계정매핑!$D$5:$D$504,MATCH($F1704&amp;"",계정매핑!$A$5:$A$504,0)),"미매핑"))</f>
        <v/>
      </c>
      <c r="X1704" s="9">
        <f>IF($A1704="","",$F1704&amp;"")</f>
        <v/>
      </c>
      <c r="Y1704" s="94">
        <f>IF($A1704="",0,IF(AE1704="직접",IF(AF1704="비귀속",$P1704,0),$P1704*(1-AG1704)*IFERROR(INDEX(계정대체기준!$F$20:$F$49,MATCH($N1704,계정대체기준!$A$20:$A$49,0)),1)))</f>
        <v/>
      </c>
      <c r="Z1704" s="94">
        <f>IF($A1704="",0,IF(AE1704="직접",IF(AF1704="신계약비",$P1704,0),$P1704*(1-AG1704)*IFERROR(INDEX(계정대체기준!$C$20:$C$49,MATCH($N1704,계정대체기준!$A$20:$A$49,0)),0)))</f>
        <v/>
      </c>
      <c r="AA1704" s="94">
        <f>IF($A1704="",0,IF(AE1704="직접",IF(OR(AF1704="유지비",AF1704="손해조사비"),$P1704,0),$P1704*(1-AG1704)*IFERROR(INDEX(계정대체기준!$D$20:$D$49,MATCH($N1704,계정대체기준!$A$20:$A$49,0)),0)))</f>
        <v/>
      </c>
      <c r="AB1704" s="94">
        <f>IF($A1704="",0,IF(AE1704="직접",IF(AF1704="수금비",$P1704,0),$P1704*(1-AG1704)*IFERROR(INDEX(계정대체기준!$E$20:$E$49,MATCH($N1704,계정대체기준!$A$20:$A$49,0)),0)))</f>
        <v/>
      </c>
      <c r="AC1704" s="9">
        <f>IF(AND($A1704&lt;&gt;"",M1704=설정!$C$20,Z1704&gt;0),Z1704+ROW()/1000000000,"")</f>
        <v/>
      </c>
      <c r="AD1704" s="94">
        <f>IF($A1704="",0,$P1704*AG1704)</f>
        <v/>
      </c>
      <c r="AE1704" s="64">
        <f>IF($A1704="","",IFERROR(INDEX(계정매핑!$E$5:$E$504,MATCH($F1704&amp;"",계정매핑!$A$5:$A$504,0))&amp;"","공통비"))</f>
        <v/>
      </c>
      <c r="AF1704" s="64">
        <f>IF($A1704="","",IF(AE1704="직접",IFERROR(INDEX(계정매핑!$F$5:$F$504,MATCH($F1704&amp;"",계정매핑!$A$5:$A$504,0))&amp;"","비귀속"),""))</f>
        <v/>
      </c>
      <c r="AG1704" s="96">
        <f>IF($A1704="",0,IF(AND(AE1704&lt;&gt;"직접",IFERROR(INDEX(계정매핑!$G$5:$G$504,MATCH($F1704&amp;"",계정매핑!$A$5:$A$504,0))&amp;"","")="유지비",COUNTIF(계정대체기준!$A$6:$A$15,$N1704)&gt;0),IFERROR(INDEX(계정대체기준!$E$6:$E$15,MATCH(VALUE($A1704&amp;""),계정대체기준!$D$6:$D$15,0)),0),0))</f>
        <v/>
      </c>
      <c r="AH1704" s="64">
        <f>IF($A1704="","",IF(AD1704=0,"",IF(OR(COUNTIF(계정대체기준!$A$77:$A$86,$N1704)&gt;0,ISNUMBER(MATCH($X1704,계정대체기준!$D$77:$D$86,0)),ISNUMBER(MATCH($F1704,계정대체기준!$D$77:$D$86,0))),"Y","N")))</f>
        <v/>
      </c>
    </row>
    <row r="1705">
      <c r="A1705" s="92" t="n">
        <v>2025</v>
      </c>
      <c r="B1705" s="92" t="n">
        <v>8</v>
      </c>
      <c r="C1705" s="92" t="inlineStr">
        <is>
          <t>5100001701</t>
        </is>
      </c>
      <c r="D1705" s="95" t="n">
        <v>45884</v>
      </c>
      <c r="E1705" s="92" t="inlineStr">
        <is>
          <t>KR</t>
        </is>
      </c>
      <c r="F1705" s="92" t="n">
        <v>62101000</v>
      </c>
      <c r="G1705" s="92" t="n">
        <v>1801</v>
      </c>
      <c r="H1705" s="93" t="n">
        <v>232000</v>
      </c>
      <c r="I1705" s="92" t="inlineStr">
        <is>
          <t>8월 국내출장 - M항공</t>
        </is>
      </c>
      <c r="J1705" s="92" t="inlineStr">
        <is>
          <t>V10001</t>
        </is>
      </c>
      <c r="K1705" s="92" t="inlineStr">
        <is>
          <t>M항공</t>
        </is>
      </c>
      <c r="M1705" s="9">
        <f>IF($A1705="","",VALUE($A1705&amp;"")*12+VALUE($B1705&amp;""))</f>
        <v/>
      </c>
      <c r="N1705" s="64">
        <f>IF($A1705="","",IFERROR(INDEX(부서매핑!$C$5:$C$504,MATCH($G1705&amp;"",부서매핑!$A$5:$A$504,0)),"미매핑"))</f>
        <v/>
      </c>
      <c r="O1705" s="9">
        <f>IF($A1705="","",N1705&amp;"|"&amp;$F1705)</f>
        <v/>
      </c>
      <c r="P1705" s="94">
        <f>IF($A1705="",0,$H1705*설정!$C$23)</f>
        <v/>
      </c>
      <c r="Q1705" s="64">
        <f>IF($A1705="","",IF(O1705&lt;&gt;원인분석!$C$9,"",IF(AND(M1705&gt;=원인분석!$C$10,M1705&lt;=원인분석!$C$11),"당기",IF(AND(M1705&gt;=원인분석!$C$12,M1705&lt;=원인분석!$C$13),"비교",""))))</f>
        <v/>
      </c>
      <c r="R1705" s="9">
        <f>IF(Q1705="","",$K1705&amp;"")</f>
        <v/>
      </c>
      <c r="S1705" s="9">
        <f>IF(Q1705="","",IF(MATCH(R1705,$R$5:$R$100000,0)=ROW()-4,ROW(),""))</f>
        <v/>
      </c>
      <c r="T1705" s="9">
        <f>IF(Q1705="당기",ABS(P1705)+ROW()/1000000000,"")</f>
        <v/>
      </c>
      <c r="U1705" s="9">
        <f>IF(Q1705="비교",ABS(P1705)+ROW()/1000000000,"")</f>
        <v/>
      </c>
      <c r="V1705" s="64">
        <f>IF($A1705="","",IF(COUNTIF(변동분석!$E$7:$E$506,O1705)&gt;0,"Y","N"))</f>
        <v/>
      </c>
      <c r="W1705" s="64">
        <f>IF($A1705="","",IFERROR(INDEX(계정매핑!$D$5:$D$504,MATCH($F1705&amp;"",계정매핑!$A$5:$A$504,0)),"미매핑"))</f>
        <v/>
      </c>
      <c r="X1705" s="9">
        <f>IF($A1705="","",$F1705&amp;"")</f>
        <v/>
      </c>
      <c r="Y1705" s="94">
        <f>IF($A1705="",0,IF(AE1705="직접",IF(AF1705="비귀속",$P1705,0),$P1705*(1-AG1705)*IFERROR(INDEX(계정대체기준!$F$20:$F$49,MATCH($N1705,계정대체기준!$A$20:$A$49,0)),1)))</f>
        <v/>
      </c>
      <c r="Z1705" s="94">
        <f>IF($A1705="",0,IF(AE1705="직접",IF(AF1705="신계약비",$P1705,0),$P1705*(1-AG1705)*IFERROR(INDEX(계정대체기준!$C$20:$C$49,MATCH($N1705,계정대체기준!$A$20:$A$49,0)),0)))</f>
        <v/>
      </c>
      <c r="AA1705" s="94">
        <f>IF($A1705="",0,IF(AE1705="직접",IF(OR(AF1705="유지비",AF1705="손해조사비"),$P1705,0),$P1705*(1-AG1705)*IFERROR(INDEX(계정대체기준!$D$20:$D$49,MATCH($N1705,계정대체기준!$A$20:$A$49,0)),0)))</f>
        <v/>
      </c>
      <c r="AB1705" s="94">
        <f>IF($A1705="",0,IF(AE1705="직접",IF(AF1705="수금비",$P1705,0),$P1705*(1-AG1705)*IFERROR(INDEX(계정대체기준!$E$20:$E$49,MATCH($N1705,계정대체기준!$A$20:$A$49,0)),0)))</f>
        <v/>
      </c>
      <c r="AC1705" s="9">
        <f>IF(AND($A1705&lt;&gt;"",M1705=설정!$C$20,Z1705&gt;0),Z1705+ROW()/1000000000,"")</f>
        <v/>
      </c>
      <c r="AD1705" s="94">
        <f>IF($A1705="",0,$P1705*AG1705)</f>
        <v/>
      </c>
      <c r="AE1705" s="64">
        <f>IF($A1705="","",IFERROR(INDEX(계정매핑!$E$5:$E$504,MATCH($F1705&amp;"",계정매핑!$A$5:$A$504,0))&amp;"","공통비"))</f>
        <v/>
      </c>
      <c r="AF1705" s="64">
        <f>IF($A1705="","",IF(AE1705="직접",IFERROR(INDEX(계정매핑!$F$5:$F$504,MATCH($F1705&amp;"",계정매핑!$A$5:$A$504,0))&amp;"","비귀속"),""))</f>
        <v/>
      </c>
      <c r="AG1705" s="96">
        <f>IF($A1705="",0,IF(AND(AE1705&lt;&gt;"직접",IFERROR(INDEX(계정매핑!$G$5:$G$504,MATCH($F1705&amp;"",계정매핑!$A$5:$A$504,0))&amp;"","")="유지비",COUNTIF(계정대체기준!$A$6:$A$15,$N1705)&gt;0),IFERROR(INDEX(계정대체기준!$E$6:$E$15,MATCH(VALUE($A1705&amp;""),계정대체기준!$D$6:$D$15,0)),0),0))</f>
        <v/>
      </c>
      <c r="AH1705" s="64">
        <f>IF($A1705="","",IF(AD1705=0,"",IF(OR(COUNTIF(계정대체기준!$A$77:$A$86,$N1705)&gt;0,ISNUMBER(MATCH($X1705,계정대체기준!$D$77:$D$86,0)),ISNUMBER(MATCH($F1705,계정대체기준!$D$77:$D$86,0))),"Y","N")))</f>
        <v/>
      </c>
    </row>
    <row r="1706">
      <c r="A1706" s="92" t="n">
        <v>2025</v>
      </c>
      <c r="B1706" s="92" t="n">
        <v>8</v>
      </c>
      <c r="C1706" s="92" t="inlineStr">
        <is>
          <t>5100001702</t>
        </is>
      </c>
      <c r="D1706" s="95" t="n">
        <v>45884</v>
      </c>
      <c r="E1706" s="92" t="inlineStr">
        <is>
          <t>KR</t>
        </is>
      </c>
      <c r="F1706" s="92" t="n">
        <v>62102000</v>
      </c>
      <c r="G1706" s="92" t="n">
        <v>1101</v>
      </c>
      <c r="H1706" s="93" t="n">
        <v>127000</v>
      </c>
      <c r="I1706" s="92" t="inlineStr">
        <is>
          <t>8월 해외출장 - N호텔</t>
        </is>
      </c>
      <c r="J1706" s="92" t="inlineStr">
        <is>
          <t>V10009</t>
        </is>
      </c>
      <c r="K1706" s="92" t="inlineStr">
        <is>
          <t>N호텔</t>
        </is>
      </c>
      <c r="M1706" s="9">
        <f>IF($A1706="","",VALUE($A1706&amp;"")*12+VALUE($B1706&amp;""))</f>
        <v/>
      </c>
      <c r="N1706" s="64">
        <f>IF($A1706="","",IFERROR(INDEX(부서매핑!$C$5:$C$504,MATCH($G1706&amp;"",부서매핑!$A$5:$A$504,0)),"미매핑"))</f>
        <v/>
      </c>
      <c r="O1706" s="9">
        <f>IF($A1706="","",N1706&amp;"|"&amp;$F1706)</f>
        <v/>
      </c>
      <c r="P1706" s="94">
        <f>IF($A1706="",0,$H1706*설정!$C$23)</f>
        <v/>
      </c>
      <c r="Q1706" s="64">
        <f>IF($A1706="","",IF(O1706&lt;&gt;원인분석!$C$9,"",IF(AND(M1706&gt;=원인분석!$C$10,M1706&lt;=원인분석!$C$11),"당기",IF(AND(M1706&gt;=원인분석!$C$12,M1706&lt;=원인분석!$C$13),"비교",""))))</f>
        <v/>
      </c>
      <c r="R1706" s="9">
        <f>IF(Q1706="","",$K1706&amp;"")</f>
        <v/>
      </c>
      <c r="S1706" s="9">
        <f>IF(Q1706="","",IF(MATCH(R1706,$R$5:$R$100000,0)=ROW()-4,ROW(),""))</f>
        <v/>
      </c>
      <c r="T1706" s="9">
        <f>IF(Q1706="당기",ABS(P1706)+ROW()/1000000000,"")</f>
        <v/>
      </c>
      <c r="U1706" s="9">
        <f>IF(Q1706="비교",ABS(P1706)+ROW()/1000000000,"")</f>
        <v/>
      </c>
      <c r="V1706" s="64">
        <f>IF($A1706="","",IF(COUNTIF(변동분석!$E$7:$E$506,O1706)&gt;0,"Y","N"))</f>
        <v/>
      </c>
      <c r="W1706" s="64">
        <f>IF($A1706="","",IFERROR(INDEX(계정매핑!$D$5:$D$504,MATCH($F1706&amp;"",계정매핑!$A$5:$A$504,0)),"미매핑"))</f>
        <v/>
      </c>
      <c r="X1706" s="9">
        <f>IF($A1706="","",$F1706&amp;"")</f>
        <v/>
      </c>
      <c r="Y1706" s="94">
        <f>IF($A1706="",0,IF(AE1706="직접",IF(AF1706="비귀속",$P1706,0),$P1706*(1-AG1706)*IFERROR(INDEX(계정대체기준!$F$20:$F$49,MATCH($N1706,계정대체기준!$A$20:$A$49,0)),1)))</f>
        <v/>
      </c>
      <c r="Z1706" s="94">
        <f>IF($A1706="",0,IF(AE1706="직접",IF(AF1706="신계약비",$P1706,0),$P1706*(1-AG1706)*IFERROR(INDEX(계정대체기준!$C$20:$C$49,MATCH($N1706,계정대체기준!$A$20:$A$49,0)),0)))</f>
        <v/>
      </c>
      <c r="AA1706" s="94">
        <f>IF($A1706="",0,IF(AE1706="직접",IF(OR(AF1706="유지비",AF1706="손해조사비"),$P1706,0),$P1706*(1-AG1706)*IFERROR(INDEX(계정대체기준!$D$20:$D$49,MATCH($N1706,계정대체기준!$A$20:$A$49,0)),0)))</f>
        <v/>
      </c>
      <c r="AB1706" s="94">
        <f>IF($A1706="",0,IF(AE1706="직접",IF(AF1706="수금비",$P1706,0),$P1706*(1-AG1706)*IFERROR(INDEX(계정대체기준!$E$20:$E$49,MATCH($N1706,계정대체기준!$A$20:$A$49,0)),0)))</f>
        <v/>
      </c>
      <c r="AC1706" s="9">
        <f>IF(AND($A1706&lt;&gt;"",M1706=설정!$C$20,Z1706&gt;0),Z1706+ROW()/1000000000,"")</f>
        <v/>
      </c>
      <c r="AD1706" s="94">
        <f>IF($A1706="",0,$P1706*AG1706)</f>
        <v/>
      </c>
      <c r="AE1706" s="64">
        <f>IF($A1706="","",IFERROR(INDEX(계정매핑!$E$5:$E$504,MATCH($F1706&amp;"",계정매핑!$A$5:$A$504,0))&amp;"","공통비"))</f>
        <v/>
      </c>
      <c r="AF1706" s="64">
        <f>IF($A1706="","",IF(AE1706="직접",IFERROR(INDEX(계정매핑!$F$5:$F$504,MATCH($F1706&amp;"",계정매핑!$A$5:$A$504,0))&amp;"","비귀속"),""))</f>
        <v/>
      </c>
      <c r="AG1706" s="96">
        <f>IF($A1706="",0,IF(AND(AE1706&lt;&gt;"직접",IFERROR(INDEX(계정매핑!$G$5:$G$504,MATCH($F1706&amp;"",계정매핑!$A$5:$A$504,0))&amp;"","")="유지비",COUNTIF(계정대체기준!$A$6:$A$15,$N1706)&gt;0),IFERROR(INDEX(계정대체기준!$E$6:$E$15,MATCH(VALUE($A1706&amp;""),계정대체기준!$D$6:$D$15,0)),0),0))</f>
        <v/>
      </c>
      <c r="AH1706" s="64">
        <f>IF($A1706="","",IF(AD1706=0,"",IF(OR(COUNTIF(계정대체기준!$A$77:$A$86,$N1706)&gt;0,ISNUMBER(MATCH($X1706,계정대체기준!$D$77:$D$86,0)),ISNUMBER(MATCH($F1706,계정대체기준!$D$77:$D$86,0))),"Y","N")))</f>
        <v/>
      </c>
    </row>
    <row r="1707">
      <c r="A1707" s="92" t="n">
        <v>2025</v>
      </c>
      <c r="B1707" s="92" t="n">
        <v>8</v>
      </c>
      <c r="C1707" s="92" t="inlineStr">
        <is>
          <t>5100001703</t>
        </is>
      </c>
      <c r="D1707" s="95" t="n">
        <v>45884</v>
      </c>
      <c r="E1707" s="92" t="inlineStr">
        <is>
          <t>KR</t>
        </is>
      </c>
      <c r="F1707" s="92" t="n">
        <v>62201000</v>
      </c>
      <c r="G1707" s="92" t="n">
        <v>1301</v>
      </c>
      <c r="H1707" s="93" t="n">
        <v>292000</v>
      </c>
      <c r="I1707" s="92" t="inlineStr">
        <is>
          <t>8월 통신요금 - O텔레콤</t>
        </is>
      </c>
      <c r="J1707" s="92" t="inlineStr">
        <is>
          <t>V10002</t>
        </is>
      </c>
      <c r="K1707" s="92" t="inlineStr">
        <is>
          <t>O텔레콤</t>
        </is>
      </c>
      <c r="M1707" s="9">
        <f>IF($A1707="","",VALUE($A1707&amp;"")*12+VALUE($B1707&amp;""))</f>
        <v/>
      </c>
      <c r="N1707" s="64">
        <f>IF($A1707="","",IFERROR(INDEX(부서매핑!$C$5:$C$504,MATCH($G1707&amp;"",부서매핑!$A$5:$A$504,0)),"미매핑"))</f>
        <v/>
      </c>
      <c r="O1707" s="9">
        <f>IF($A1707="","",N1707&amp;"|"&amp;$F1707)</f>
        <v/>
      </c>
      <c r="P1707" s="94">
        <f>IF($A1707="",0,$H1707*설정!$C$23)</f>
        <v/>
      </c>
      <c r="Q1707" s="64">
        <f>IF($A1707="","",IF(O1707&lt;&gt;원인분석!$C$9,"",IF(AND(M1707&gt;=원인분석!$C$10,M1707&lt;=원인분석!$C$11),"당기",IF(AND(M1707&gt;=원인분석!$C$12,M1707&lt;=원인분석!$C$13),"비교",""))))</f>
        <v/>
      </c>
      <c r="R1707" s="9">
        <f>IF(Q1707="","",$K1707&amp;"")</f>
        <v/>
      </c>
      <c r="S1707" s="9">
        <f>IF(Q1707="","",IF(MATCH(R1707,$R$5:$R$100000,0)=ROW()-4,ROW(),""))</f>
        <v/>
      </c>
      <c r="T1707" s="9">
        <f>IF(Q1707="당기",ABS(P1707)+ROW()/1000000000,"")</f>
        <v/>
      </c>
      <c r="U1707" s="9">
        <f>IF(Q1707="비교",ABS(P1707)+ROW()/1000000000,"")</f>
        <v/>
      </c>
      <c r="V1707" s="64">
        <f>IF($A1707="","",IF(COUNTIF(변동분석!$E$7:$E$506,O1707)&gt;0,"Y","N"))</f>
        <v/>
      </c>
      <c r="W1707" s="64">
        <f>IF($A1707="","",IFERROR(INDEX(계정매핑!$D$5:$D$504,MATCH($F1707&amp;"",계정매핑!$A$5:$A$504,0)),"미매핑"))</f>
        <v/>
      </c>
      <c r="X1707" s="9">
        <f>IF($A1707="","",$F1707&amp;"")</f>
        <v/>
      </c>
      <c r="Y1707" s="94">
        <f>IF($A1707="",0,IF(AE1707="직접",IF(AF1707="비귀속",$P1707,0),$P1707*(1-AG1707)*IFERROR(INDEX(계정대체기준!$F$20:$F$49,MATCH($N1707,계정대체기준!$A$20:$A$49,0)),1)))</f>
        <v/>
      </c>
      <c r="Z1707" s="94">
        <f>IF($A1707="",0,IF(AE1707="직접",IF(AF1707="신계약비",$P1707,0),$P1707*(1-AG1707)*IFERROR(INDEX(계정대체기준!$C$20:$C$49,MATCH($N1707,계정대체기준!$A$20:$A$49,0)),0)))</f>
        <v/>
      </c>
      <c r="AA1707" s="94">
        <f>IF($A1707="",0,IF(AE1707="직접",IF(OR(AF1707="유지비",AF1707="손해조사비"),$P1707,0),$P1707*(1-AG1707)*IFERROR(INDEX(계정대체기준!$D$20:$D$49,MATCH($N1707,계정대체기준!$A$20:$A$49,0)),0)))</f>
        <v/>
      </c>
      <c r="AB1707" s="94">
        <f>IF($A1707="",0,IF(AE1707="직접",IF(AF1707="수금비",$P1707,0),$P1707*(1-AG1707)*IFERROR(INDEX(계정대체기준!$E$20:$E$49,MATCH($N1707,계정대체기준!$A$20:$A$49,0)),0)))</f>
        <v/>
      </c>
      <c r="AC1707" s="9">
        <f>IF(AND($A1707&lt;&gt;"",M1707=설정!$C$20,Z1707&gt;0),Z1707+ROW()/1000000000,"")</f>
        <v/>
      </c>
      <c r="AD1707" s="94">
        <f>IF($A1707="",0,$P1707*AG1707)</f>
        <v/>
      </c>
      <c r="AE1707" s="64">
        <f>IF($A1707="","",IFERROR(INDEX(계정매핑!$E$5:$E$504,MATCH($F1707&amp;"",계정매핑!$A$5:$A$504,0))&amp;"","공통비"))</f>
        <v/>
      </c>
      <c r="AF1707" s="64">
        <f>IF($A1707="","",IF(AE1707="직접",IFERROR(INDEX(계정매핑!$F$5:$F$504,MATCH($F1707&amp;"",계정매핑!$A$5:$A$504,0))&amp;"","비귀속"),""))</f>
        <v/>
      </c>
      <c r="AG1707" s="96">
        <f>IF($A1707="",0,IF(AND(AE1707&lt;&gt;"직접",IFERROR(INDEX(계정매핑!$G$5:$G$504,MATCH($F1707&amp;"",계정매핑!$A$5:$A$504,0))&amp;"","")="유지비",COUNTIF(계정대체기준!$A$6:$A$15,$N1707)&gt;0),IFERROR(INDEX(계정대체기준!$E$6:$E$15,MATCH(VALUE($A1707&amp;""),계정대체기준!$D$6:$D$15,0)),0),0))</f>
        <v/>
      </c>
      <c r="AH1707" s="64">
        <f>IF($A1707="","",IF(AD1707=0,"",IF(OR(COUNTIF(계정대체기준!$A$77:$A$86,$N1707)&gt;0,ISNUMBER(MATCH($X1707,계정대체기준!$D$77:$D$86,0)),ISNUMBER(MATCH($F1707,계정대체기준!$D$77:$D$86,0))),"Y","N")))</f>
        <v/>
      </c>
    </row>
    <row r="1708">
      <c r="A1708" s="92" t="n">
        <v>2025</v>
      </c>
      <c r="B1708" s="92" t="n">
        <v>8</v>
      </c>
      <c r="C1708" s="92" t="inlineStr">
        <is>
          <t>5100001704</t>
        </is>
      </c>
      <c r="D1708" s="95" t="n">
        <v>45884</v>
      </c>
      <c r="E1708" s="92" t="inlineStr">
        <is>
          <t>KR</t>
        </is>
      </c>
      <c r="F1708" s="92" t="n">
        <v>62201000</v>
      </c>
      <c r="G1708" s="92" t="n">
        <v>1602</v>
      </c>
      <c r="H1708" s="93" t="n">
        <v>559000</v>
      </c>
      <c r="I1708" s="92" t="inlineStr">
        <is>
          <t>8월 통신요금 - P통신</t>
        </is>
      </c>
      <c r="J1708" s="92" t="inlineStr">
        <is>
          <t>V10014</t>
        </is>
      </c>
      <c r="K1708" s="92" t="inlineStr">
        <is>
          <t>P통신</t>
        </is>
      </c>
      <c r="M1708" s="9">
        <f>IF($A1708="","",VALUE($A1708&amp;"")*12+VALUE($B1708&amp;""))</f>
        <v/>
      </c>
      <c r="N1708" s="64">
        <f>IF($A1708="","",IFERROR(INDEX(부서매핑!$C$5:$C$504,MATCH($G1708&amp;"",부서매핑!$A$5:$A$504,0)),"미매핑"))</f>
        <v/>
      </c>
      <c r="O1708" s="9">
        <f>IF($A1708="","",N1708&amp;"|"&amp;$F1708)</f>
        <v/>
      </c>
      <c r="P1708" s="94">
        <f>IF($A1708="",0,$H1708*설정!$C$23)</f>
        <v/>
      </c>
      <c r="Q1708" s="64">
        <f>IF($A1708="","",IF(O1708&lt;&gt;원인분석!$C$9,"",IF(AND(M1708&gt;=원인분석!$C$10,M1708&lt;=원인분석!$C$11),"당기",IF(AND(M1708&gt;=원인분석!$C$12,M1708&lt;=원인분석!$C$13),"비교",""))))</f>
        <v/>
      </c>
      <c r="R1708" s="9">
        <f>IF(Q1708="","",$K1708&amp;"")</f>
        <v/>
      </c>
      <c r="S1708" s="9">
        <f>IF(Q1708="","",IF(MATCH(R1708,$R$5:$R$100000,0)=ROW()-4,ROW(),""))</f>
        <v/>
      </c>
      <c r="T1708" s="9">
        <f>IF(Q1708="당기",ABS(P1708)+ROW()/1000000000,"")</f>
        <v/>
      </c>
      <c r="U1708" s="9">
        <f>IF(Q1708="비교",ABS(P1708)+ROW()/1000000000,"")</f>
        <v/>
      </c>
      <c r="V1708" s="64">
        <f>IF($A1708="","",IF(COUNTIF(변동분석!$E$7:$E$506,O1708)&gt;0,"Y","N"))</f>
        <v/>
      </c>
      <c r="W1708" s="64">
        <f>IF($A1708="","",IFERROR(INDEX(계정매핑!$D$5:$D$504,MATCH($F1708&amp;"",계정매핑!$A$5:$A$504,0)),"미매핑"))</f>
        <v/>
      </c>
      <c r="X1708" s="9">
        <f>IF($A1708="","",$F1708&amp;"")</f>
        <v/>
      </c>
      <c r="Y1708" s="94">
        <f>IF($A1708="",0,IF(AE1708="직접",IF(AF1708="비귀속",$P1708,0),$P1708*(1-AG1708)*IFERROR(INDEX(계정대체기준!$F$20:$F$49,MATCH($N1708,계정대체기준!$A$20:$A$49,0)),1)))</f>
        <v/>
      </c>
      <c r="Z1708" s="94">
        <f>IF($A1708="",0,IF(AE1708="직접",IF(AF1708="신계약비",$P1708,0),$P1708*(1-AG1708)*IFERROR(INDEX(계정대체기준!$C$20:$C$49,MATCH($N1708,계정대체기준!$A$20:$A$49,0)),0)))</f>
        <v/>
      </c>
      <c r="AA1708" s="94">
        <f>IF($A1708="",0,IF(AE1708="직접",IF(OR(AF1708="유지비",AF1708="손해조사비"),$P1708,0),$P1708*(1-AG1708)*IFERROR(INDEX(계정대체기준!$D$20:$D$49,MATCH($N1708,계정대체기준!$A$20:$A$49,0)),0)))</f>
        <v/>
      </c>
      <c r="AB1708" s="94">
        <f>IF($A1708="",0,IF(AE1708="직접",IF(AF1708="수금비",$P1708,0),$P1708*(1-AG1708)*IFERROR(INDEX(계정대체기준!$E$20:$E$49,MATCH($N1708,계정대체기준!$A$20:$A$49,0)),0)))</f>
        <v/>
      </c>
      <c r="AC1708" s="9">
        <f>IF(AND($A1708&lt;&gt;"",M1708=설정!$C$20,Z1708&gt;0),Z1708+ROW()/1000000000,"")</f>
        <v/>
      </c>
      <c r="AD1708" s="94">
        <f>IF($A1708="",0,$P1708*AG1708)</f>
        <v/>
      </c>
      <c r="AE1708" s="64">
        <f>IF($A1708="","",IFERROR(INDEX(계정매핑!$E$5:$E$504,MATCH($F1708&amp;"",계정매핑!$A$5:$A$504,0))&amp;"","공통비"))</f>
        <v/>
      </c>
      <c r="AF1708" s="64">
        <f>IF($A1708="","",IF(AE1708="직접",IFERROR(INDEX(계정매핑!$F$5:$F$504,MATCH($F1708&amp;"",계정매핑!$A$5:$A$504,0))&amp;"","비귀속"),""))</f>
        <v/>
      </c>
      <c r="AG1708" s="96">
        <f>IF($A1708="",0,IF(AND(AE1708&lt;&gt;"직접",IFERROR(INDEX(계정매핑!$G$5:$G$504,MATCH($F1708&amp;"",계정매핑!$A$5:$A$504,0))&amp;"","")="유지비",COUNTIF(계정대체기준!$A$6:$A$15,$N1708)&gt;0),IFERROR(INDEX(계정대체기준!$E$6:$E$15,MATCH(VALUE($A1708&amp;""),계정대체기준!$D$6:$D$15,0)),0),0))</f>
        <v/>
      </c>
      <c r="AH1708" s="64">
        <f>IF($A1708="","",IF(AD1708=0,"",IF(OR(COUNTIF(계정대체기준!$A$77:$A$86,$N1708)&gt;0,ISNUMBER(MATCH($X1708,계정대체기준!$D$77:$D$86,0)),ISNUMBER(MATCH($F1708,계정대체기준!$D$77:$D$86,0))),"Y","N")))</f>
        <v/>
      </c>
    </row>
    <row r="1709">
      <c r="A1709" s="92" t="n">
        <v>2025</v>
      </c>
      <c r="B1709" s="92" t="n">
        <v>8</v>
      </c>
      <c r="C1709" s="92" t="inlineStr">
        <is>
          <t>5100001705</t>
        </is>
      </c>
      <c r="D1709" s="95" t="n">
        <v>45884</v>
      </c>
      <c r="E1709" s="92" t="inlineStr">
        <is>
          <t>KR</t>
        </is>
      </c>
      <c r="F1709" s="92" t="n">
        <v>62301000</v>
      </c>
      <c r="G1709" s="92" t="n">
        <v>1201</v>
      </c>
      <c r="H1709" s="93" t="n">
        <v>180000</v>
      </c>
      <c r="I1709" s="92" t="inlineStr">
        <is>
          <t>8월 소모품 구입 - Q오피스</t>
        </is>
      </c>
      <c r="J1709" s="92" t="inlineStr">
        <is>
          <t>V10003</t>
        </is>
      </c>
      <c r="K1709" s="92" t="inlineStr">
        <is>
          <t>Q오피스</t>
        </is>
      </c>
      <c r="M1709" s="9">
        <f>IF($A1709="","",VALUE($A1709&amp;"")*12+VALUE($B1709&amp;""))</f>
        <v/>
      </c>
      <c r="N1709" s="64">
        <f>IF($A1709="","",IFERROR(INDEX(부서매핑!$C$5:$C$504,MATCH($G1709&amp;"",부서매핑!$A$5:$A$504,0)),"미매핑"))</f>
        <v/>
      </c>
      <c r="O1709" s="9">
        <f>IF($A1709="","",N1709&amp;"|"&amp;$F1709)</f>
        <v/>
      </c>
      <c r="P1709" s="94">
        <f>IF($A1709="",0,$H1709*설정!$C$23)</f>
        <v/>
      </c>
      <c r="Q1709" s="64">
        <f>IF($A1709="","",IF(O1709&lt;&gt;원인분석!$C$9,"",IF(AND(M1709&gt;=원인분석!$C$10,M1709&lt;=원인분석!$C$11),"당기",IF(AND(M1709&gt;=원인분석!$C$12,M1709&lt;=원인분석!$C$13),"비교",""))))</f>
        <v/>
      </c>
      <c r="R1709" s="9">
        <f>IF(Q1709="","",$K1709&amp;"")</f>
        <v/>
      </c>
      <c r="S1709" s="9">
        <f>IF(Q1709="","",IF(MATCH(R1709,$R$5:$R$100000,0)=ROW()-4,ROW(),""))</f>
        <v/>
      </c>
      <c r="T1709" s="9">
        <f>IF(Q1709="당기",ABS(P1709)+ROW()/1000000000,"")</f>
        <v/>
      </c>
      <c r="U1709" s="9">
        <f>IF(Q1709="비교",ABS(P1709)+ROW()/1000000000,"")</f>
        <v/>
      </c>
      <c r="V1709" s="64">
        <f>IF($A1709="","",IF(COUNTIF(변동분석!$E$7:$E$506,O1709)&gt;0,"Y","N"))</f>
        <v/>
      </c>
      <c r="W1709" s="64">
        <f>IF($A1709="","",IFERROR(INDEX(계정매핑!$D$5:$D$504,MATCH($F1709&amp;"",계정매핑!$A$5:$A$504,0)),"미매핑"))</f>
        <v/>
      </c>
      <c r="X1709" s="9">
        <f>IF($A1709="","",$F1709&amp;"")</f>
        <v/>
      </c>
      <c r="Y1709" s="94">
        <f>IF($A1709="",0,IF(AE1709="직접",IF(AF1709="비귀속",$P1709,0),$P1709*(1-AG1709)*IFERROR(INDEX(계정대체기준!$F$20:$F$49,MATCH($N1709,계정대체기준!$A$20:$A$49,0)),1)))</f>
        <v/>
      </c>
      <c r="Z1709" s="94">
        <f>IF($A1709="",0,IF(AE1709="직접",IF(AF1709="신계약비",$P1709,0),$P1709*(1-AG1709)*IFERROR(INDEX(계정대체기준!$C$20:$C$49,MATCH($N1709,계정대체기준!$A$20:$A$49,0)),0)))</f>
        <v/>
      </c>
      <c r="AA1709" s="94">
        <f>IF($A1709="",0,IF(AE1709="직접",IF(OR(AF1709="유지비",AF1709="손해조사비"),$P1709,0),$P1709*(1-AG1709)*IFERROR(INDEX(계정대체기준!$D$20:$D$49,MATCH($N1709,계정대체기준!$A$20:$A$49,0)),0)))</f>
        <v/>
      </c>
      <c r="AB1709" s="94">
        <f>IF($A1709="",0,IF(AE1709="직접",IF(AF1709="수금비",$P1709,0),$P1709*(1-AG1709)*IFERROR(INDEX(계정대체기준!$E$20:$E$49,MATCH($N1709,계정대체기준!$A$20:$A$49,0)),0)))</f>
        <v/>
      </c>
      <c r="AC1709" s="9">
        <f>IF(AND($A1709&lt;&gt;"",M1709=설정!$C$20,Z1709&gt;0),Z1709+ROW()/1000000000,"")</f>
        <v/>
      </c>
      <c r="AD1709" s="94">
        <f>IF($A1709="",0,$P1709*AG1709)</f>
        <v/>
      </c>
      <c r="AE1709" s="64">
        <f>IF($A1709="","",IFERROR(INDEX(계정매핑!$E$5:$E$504,MATCH($F1709&amp;"",계정매핑!$A$5:$A$504,0))&amp;"","공통비"))</f>
        <v/>
      </c>
      <c r="AF1709" s="64">
        <f>IF($A1709="","",IF(AE1709="직접",IFERROR(INDEX(계정매핑!$F$5:$F$504,MATCH($F1709&amp;"",계정매핑!$A$5:$A$504,0))&amp;"","비귀속"),""))</f>
        <v/>
      </c>
      <c r="AG1709" s="96">
        <f>IF($A1709="",0,IF(AND(AE1709&lt;&gt;"직접",IFERROR(INDEX(계정매핑!$G$5:$G$504,MATCH($F1709&amp;"",계정매핑!$A$5:$A$504,0))&amp;"","")="유지비",COUNTIF(계정대체기준!$A$6:$A$15,$N1709)&gt;0),IFERROR(INDEX(계정대체기준!$E$6:$E$15,MATCH(VALUE($A1709&amp;""),계정대체기준!$D$6:$D$15,0)),0),0))</f>
        <v/>
      </c>
      <c r="AH1709" s="64">
        <f>IF($A1709="","",IF(AD1709=0,"",IF(OR(COUNTIF(계정대체기준!$A$77:$A$86,$N1709)&gt;0,ISNUMBER(MATCH($X1709,계정대체기준!$D$77:$D$86,0)),ISNUMBER(MATCH($F1709,계정대체기준!$D$77:$D$86,0))),"Y","N")))</f>
        <v/>
      </c>
    </row>
    <row r="1710">
      <c r="A1710" s="92" t="n">
        <v>2025</v>
      </c>
      <c r="B1710" s="92" t="n">
        <v>8</v>
      </c>
      <c r="C1710" s="92" t="inlineStr">
        <is>
          <t>5100001706</t>
        </is>
      </c>
      <c r="D1710" s="95" t="n">
        <v>45884</v>
      </c>
      <c r="E1710" s="92" t="inlineStr">
        <is>
          <t>KR</t>
        </is>
      </c>
      <c r="F1710" s="92" t="n">
        <v>62301000</v>
      </c>
      <c r="G1710" s="92" t="n">
        <v>1601</v>
      </c>
      <c r="H1710" s="93" t="n">
        <v>350000</v>
      </c>
      <c r="I1710" s="92" t="inlineStr">
        <is>
          <t>8월 소모품 구입 - Q오피스</t>
        </is>
      </c>
      <c r="J1710" s="92" t="inlineStr">
        <is>
          <t>V10003</t>
        </is>
      </c>
      <c r="K1710" s="92" t="inlineStr">
        <is>
          <t>Q오피스</t>
        </is>
      </c>
      <c r="M1710" s="9">
        <f>IF($A1710="","",VALUE($A1710&amp;"")*12+VALUE($B1710&amp;""))</f>
        <v/>
      </c>
      <c r="N1710" s="64">
        <f>IF($A1710="","",IFERROR(INDEX(부서매핑!$C$5:$C$504,MATCH($G1710&amp;"",부서매핑!$A$5:$A$504,0)),"미매핑"))</f>
        <v/>
      </c>
      <c r="O1710" s="9">
        <f>IF($A1710="","",N1710&amp;"|"&amp;$F1710)</f>
        <v/>
      </c>
      <c r="P1710" s="94">
        <f>IF($A1710="",0,$H1710*설정!$C$23)</f>
        <v/>
      </c>
      <c r="Q1710" s="64">
        <f>IF($A1710="","",IF(O1710&lt;&gt;원인분석!$C$9,"",IF(AND(M1710&gt;=원인분석!$C$10,M1710&lt;=원인분석!$C$11),"당기",IF(AND(M1710&gt;=원인분석!$C$12,M1710&lt;=원인분석!$C$13),"비교",""))))</f>
        <v/>
      </c>
      <c r="R1710" s="9">
        <f>IF(Q1710="","",$K1710&amp;"")</f>
        <v/>
      </c>
      <c r="S1710" s="9">
        <f>IF(Q1710="","",IF(MATCH(R1710,$R$5:$R$100000,0)=ROW()-4,ROW(),""))</f>
        <v/>
      </c>
      <c r="T1710" s="9">
        <f>IF(Q1710="당기",ABS(P1710)+ROW()/1000000000,"")</f>
        <v/>
      </c>
      <c r="U1710" s="9">
        <f>IF(Q1710="비교",ABS(P1710)+ROW()/1000000000,"")</f>
        <v/>
      </c>
      <c r="V1710" s="64">
        <f>IF($A1710="","",IF(COUNTIF(변동분석!$E$7:$E$506,O1710)&gt;0,"Y","N"))</f>
        <v/>
      </c>
      <c r="W1710" s="64">
        <f>IF($A1710="","",IFERROR(INDEX(계정매핑!$D$5:$D$504,MATCH($F1710&amp;"",계정매핑!$A$5:$A$504,0)),"미매핑"))</f>
        <v/>
      </c>
      <c r="X1710" s="9">
        <f>IF($A1710="","",$F1710&amp;"")</f>
        <v/>
      </c>
      <c r="Y1710" s="94">
        <f>IF($A1710="",0,IF(AE1710="직접",IF(AF1710="비귀속",$P1710,0),$P1710*(1-AG1710)*IFERROR(INDEX(계정대체기준!$F$20:$F$49,MATCH($N1710,계정대체기준!$A$20:$A$49,0)),1)))</f>
        <v/>
      </c>
      <c r="Z1710" s="94">
        <f>IF($A1710="",0,IF(AE1710="직접",IF(AF1710="신계약비",$P1710,0),$P1710*(1-AG1710)*IFERROR(INDEX(계정대체기준!$C$20:$C$49,MATCH($N1710,계정대체기준!$A$20:$A$49,0)),0)))</f>
        <v/>
      </c>
      <c r="AA1710" s="94">
        <f>IF($A1710="",0,IF(AE1710="직접",IF(OR(AF1710="유지비",AF1710="손해조사비"),$P1710,0),$P1710*(1-AG1710)*IFERROR(INDEX(계정대체기준!$D$20:$D$49,MATCH($N1710,계정대체기준!$A$20:$A$49,0)),0)))</f>
        <v/>
      </c>
      <c r="AB1710" s="94">
        <f>IF($A1710="",0,IF(AE1710="직접",IF(AF1710="수금비",$P1710,0),$P1710*(1-AG1710)*IFERROR(INDEX(계정대체기준!$E$20:$E$49,MATCH($N1710,계정대체기준!$A$20:$A$49,0)),0)))</f>
        <v/>
      </c>
      <c r="AC1710" s="9">
        <f>IF(AND($A1710&lt;&gt;"",M1710=설정!$C$20,Z1710&gt;0),Z1710+ROW()/1000000000,"")</f>
        <v/>
      </c>
      <c r="AD1710" s="94">
        <f>IF($A1710="",0,$P1710*AG1710)</f>
        <v/>
      </c>
      <c r="AE1710" s="64">
        <f>IF($A1710="","",IFERROR(INDEX(계정매핑!$E$5:$E$504,MATCH($F1710&amp;"",계정매핑!$A$5:$A$504,0))&amp;"","공통비"))</f>
        <v/>
      </c>
      <c r="AF1710" s="64">
        <f>IF($A1710="","",IF(AE1710="직접",IFERROR(INDEX(계정매핑!$F$5:$F$504,MATCH($F1710&amp;"",계정매핑!$A$5:$A$504,0))&amp;"","비귀속"),""))</f>
        <v/>
      </c>
      <c r="AG1710" s="96">
        <f>IF($A1710="",0,IF(AND(AE1710&lt;&gt;"직접",IFERROR(INDEX(계정매핑!$G$5:$G$504,MATCH($F1710&amp;"",계정매핑!$A$5:$A$504,0))&amp;"","")="유지비",COUNTIF(계정대체기준!$A$6:$A$15,$N1710)&gt;0),IFERROR(INDEX(계정대체기준!$E$6:$E$15,MATCH(VALUE($A1710&amp;""),계정대체기준!$D$6:$D$15,0)),0),0))</f>
        <v/>
      </c>
      <c r="AH1710" s="64">
        <f>IF($A1710="","",IF(AD1710=0,"",IF(OR(COUNTIF(계정대체기준!$A$77:$A$86,$N1710)&gt;0,ISNUMBER(MATCH($X1710,계정대체기준!$D$77:$D$86,0)),ISNUMBER(MATCH($F1710,계정대체기준!$D$77:$D$86,0))),"Y","N")))</f>
        <v/>
      </c>
    </row>
    <row r="1711">
      <c r="A1711" s="92" t="n">
        <v>2025</v>
      </c>
      <c r="B1711" s="92" t="n">
        <v>8</v>
      </c>
      <c r="C1711" s="92" t="inlineStr">
        <is>
          <t>5100001707</t>
        </is>
      </c>
      <c r="D1711" s="95" t="n">
        <v>45884</v>
      </c>
      <c r="E1711" s="92" t="inlineStr">
        <is>
          <t>KR</t>
        </is>
      </c>
      <c r="F1711" s="92" t="n">
        <v>62801000</v>
      </c>
      <c r="G1711" s="92" t="n">
        <v>1301</v>
      </c>
      <c r="H1711" s="93" t="n">
        <v>2983000</v>
      </c>
      <c r="I1711" s="92" t="inlineStr">
        <is>
          <t>8월 사내교육 - (사내강사료)</t>
        </is>
      </c>
      <c r="J1711" s="92" t="inlineStr">
        <is>
          <t>V10024</t>
        </is>
      </c>
      <c r="K1711" s="92" t="inlineStr">
        <is>
          <t>(사내강사료)</t>
        </is>
      </c>
      <c r="M1711" s="9">
        <f>IF($A1711="","",VALUE($A1711&amp;"")*12+VALUE($B1711&amp;""))</f>
        <v/>
      </c>
      <c r="N1711" s="64">
        <f>IF($A1711="","",IFERROR(INDEX(부서매핑!$C$5:$C$504,MATCH($G1711&amp;"",부서매핑!$A$5:$A$504,0)),"미매핑"))</f>
        <v/>
      </c>
      <c r="O1711" s="9">
        <f>IF($A1711="","",N1711&amp;"|"&amp;$F1711)</f>
        <v/>
      </c>
      <c r="P1711" s="94">
        <f>IF($A1711="",0,$H1711*설정!$C$23)</f>
        <v/>
      </c>
      <c r="Q1711" s="64">
        <f>IF($A1711="","",IF(O1711&lt;&gt;원인분석!$C$9,"",IF(AND(M1711&gt;=원인분석!$C$10,M1711&lt;=원인분석!$C$11),"당기",IF(AND(M1711&gt;=원인분석!$C$12,M1711&lt;=원인분석!$C$13),"비교",""))))</f>
        <v/>
      </c>
      <c r="R1711" s="9">
        <f>IF(Q1711="","",$K1711&amp;"")</f>
        <v/>
      </c>
      <c r="S1711" s="9">
        <f>IF(Q1711="","",IF(MATCH(R1711,$R$5:$R$100000,0)=ROW()-4,ROW(),""))</f>
        <v/>
      </c>
      <c r="T1711" s="9">
        <f>IF(Q1711="당기",ABS(P1711)+ROW()/1000000000,"")</f>
        <v/>
      </c>
      <c r="U1711" s="9">
        <f>IF(Q1711="비교",ABS(P1711)+ROW()/1000000000,"")</f>
        <v/>
      </c>
      <c r="V1711" s="64">
        <f>IF($A1711="","",IF(COUNTIF(변동분석!$E$7:$E$506,O1711)&gt;0,"Y","N"))</f>
        <v/>
      </c>
      <c r="W1711" s="64">
        <f>IF($A1711="","",IFERROR(INDEX(계정매핑!$D$5:$D$504,MATCH($F1711&amp;"",계정매핑!$A$5:$A$504,0)),"미매핑"))</f>
        <v/>
      </c>
      <c r="X1711" s="9">
        <f>IF($A1711="","",$F1711&amp;"")</f>
        <v/>
      </c>
      <c r="Y1711" s="94">
        <f>IF($A1711="",0,IF(AE1711="직접",IF(AF1711="비귀속",$P1711,0),$P1711*(1-AG1711)*IFERROR(INDEX(계정대체기준!$F$20:$F$49,MATCH($N1711,계정대체기준!$A$20:$A$49,0)),1)))</f>
        <v/>
      </c>
      <c r="Z1711" s="94">
        <f>IF($A1711="",0,IF(AE1711="직접",IF(AF1711="신계약비",$P1711,0),$P1711*(1-AG1711)*IFERROR(INDEX(계정대체기준!$C$20:$C$49,MATCH($N1711,계정대체기준!$A$20:$A$49,0)),0)))</f>
        <v/>
      </c>
      <c r="AA1711" s="94">
        <f>IF($A1711="",0,IF(AE1711="직접",IF(OR(AF1711="유지비",AF1711="손해조사비"),$P1711,0),$P1711*(1-AG1711)*IFERROR(INDEX(계정대체기준!$D$20:$D$49,MATCH($N1711,계정대체기준!$A$20:$A$49,0)),0)))</f>
        <v/>
      </c>
      <c r="AB1711" s="94">
        <f>IF($A1711="",0,IF(AE1711="직접",IF(AF1711="수금비",$P1711,0),$P1711*(1-AG1711)*IFERROR(INDEX(계정대체기준!$E$20:$E$49,MATCH($N1711,계정대체기준!$A$20:$A$49,0)),0)))</f>
        <v/>
      </c>
      <c r="AC1711" s="9">
        <f>IF(AND($A1711&lt;&gt;"",M1711=설정!$C$20,Z1711&gt;0),Z1711+ROW()/1000000000,"")</f>
        <v/>
      </c>
      <c r="AD1711" s="94">
        <f>IF($A1711="",0,$P1711*AG1711)</f>
        <v/>
      </c>
      <c r="AE1711" s="64">
        <f>IF($A1711="","",IFERROR(INDEX(계정매핑!$E$5:$E$504,MATCH($F1711&amp;"",계정매핑!$A$5:$A$504,0))&amp;"","공통비"))</f>
        <v/>
      </c>
      <c r="AF1711" s="64">
        <f>IF($A1711="","",IF(AE1711="직접",IFERROR(INDEX(계정매핑!$F$5:$F$504,MATCH($F1711&amp;"",계정매핑!$A$5:$A$504,0))&amp;"","비귀속"),""))</f>
        <v/>
      </c>
      <c r="AG1711" s="96">
        <f>IF($A1711="",0,IF(AND(AE1711&lt;&gt;"직접",IFERROR(INDEX(계정매핑!$G$5:$G$504,MATCH($F1711&amp;"",계정매핑!$A$5:$A$504,0))&amp;"","")="유지비",COUNTIF(계정대체기준!$A$6:$A$15,$N1711)&gt;0),IFERROR(INDEX(계정대체기준!$E$6:$E$15,MATCH(VALUE($A1711&amp;""),계정대체기준!$D$6:$D$15,0)),0),0))</f>
        <v/>
      </c>
      <c r="AH1711" s="64">
        <f>IF($A1711="","",IF(AD1711=0,"",IF(OR(COUNTIF(계정대체기준!$A$77:$A$86,$N1711)&gt;0,ISNUMBER(MATCH($X1711,계정대체기준!$D$77:$D$86,0)),ISNUMBER(MATCH($F1711,계정대체기준!$D$77:$D$86,0))),"Y","N")))</f>
        <v/>
      </c>
    </row>
    <row r="1712">
      <c r="A1712" s="92" t="n">
        <v>2025</v>
      </c>
      <c r="B1712" s="92" t="n">
        <v>8</v>
      </c>
      <c r="C1712" s="92" t="inlineStr">
        <is>
          <t>5100001708</t>
        </is>
      </c>
      <c r="D1712" s="95" t="n">
        <v>45885</v>
      </c>
      <c r="E1712" s="92" t="inlineStr">
        <is>
          <t>KR</t>
        </is>
      </c>
      <c r="F1712" s="92" t="n">
        <v>62101000</v>
      </c>
      <c r="G1712" s="92" t="n">
        <v>1301</v>
      </c>
      <c r="H1712" s="93" t="n">
        <v>310000</v>
      </c>
      <c r="I1712" s="92" t="inlineStr">
        <is>
          <t>8월 국내출장 - (법인카드)</t>
        </is>
      </c>
      <c r="J1712" s="92" t="inlineStr">
        <is>
          <t>V10010</t>
        </is>
      </c>
      <c r="K1712" s="92" t="inlineStr">
        <is>
          <t>(법인카드)</t>
        </is>
      </c>
      <c r="M1712" s="9">
        <f>IF($A1712="","",VALUE($A1712&amp;"")*12+VALUE($B1712&amp;""))</f>
        <v/>
      </c>
      <c r="N1712" s="64">
        <f>IF($A1712="","",IFERROR(INDEX(부서매핑!$C$5:$C$504,MATCH($G1712&amp;"",부서매핑!$A$5:$A$504,0)),"미매핑"))</f>
        <v/>
      </c>
      <c r="O1712" s="9">
        <f>IF($A1712="","",N1712&amp;"|"&amp;$F1712)</f>
        <v/>
      </c>
      <c r="P1712" s="94">
        <f>IF($A1712="",0,$H1712*설정!$C$23)</f>
        <v/>
      </c>
      <c r="Q1712" s="64">
        <f>IF($A1712="","",IF(O1712&lt;&gt;원인분석!$C$9,"",IF(AND(M1712&gt;=원인분석!$C$10,M1712&lt;=원인분석!$C$11),"당기",IF(AND(M1712&gt;=원인분석!$C$12,M1712&lt;=원인분석!$C$13),"비교",""))))</f>
        <v/>
      </c>
      <c r="R1712" s="9">
        <f>IF(Q1712="","",$K1712&amp;"")</f>
        <v/>
      </c>
      <c r="S1712" s="9">
        <f>IF(Q1712="","",IF(MATCH(R1712,$R$5:$R$100000,0)=ROW()-4,ROW(),""))</f>
        <v/>
      </c>
      <c r="T1712" s="9">
        <f>IF(Q1712="당기",ABS(P1712)+ROW()/1000000000,"")</f>
        <v/>
      </c>
      <c r="U1712" s="9">
        <f>IF(Q1712="비교",ABS(P1712)+ROW()/1000000000,"")</f>
        <v/>
      </c>
      <c r="V1712" s="64">
        <f>IF($A1712="","",IF(COUNTIF(변동분석!$E$7:$E$506,O1712)&gt;0,"Y","N"))</f>
        <v/>
      </c>
      <c r="W1712" s="64">
        <f>IF($A1712="","",IFERROR(INDEX(계정매핑!$D$5:$D$504,MATCH($F1712&amp;"",계정매핑!$A$5:$A$504,0)),"미매핑"))</f>
        <v/>
      </c>
      <c r="X1712" s="9">
        <f>IF($A1712="","",$F1712&amp;"")</f>
        <v/>
      </c>
      <c r="Y1712" s="94">
        <f>IF($A1712="",0,IF(AE1712="직접",IF(AF1712="비귀속",$P1712,0),$P1712*(1-AG1712)*IFERROR(INDEX(계정대체기준!$F$20:$F$49,MATCH($N1712,계정대체기준!$A$20:$A$49,0)),1)))</f>
        <v/>
      </c>
      <c r="Z1712" s="94">
        <f>IF($A1712="",0,IF(AE1712="직접",IF(AF1712="신계약비",$P1712,0),$P1712*(1-AG1712)*IFERROR(INDEX(계정대체기준!$C$20:$C$49,MATCH($N1712,계정대체기준!$A$20:$A$49,0)),0)))</f>
        <v/>
      </c>
      <c r="AA1712" s="94">
        <f>IF($A1712="",0,IF(AE1712="직접",IF(OR(AF1712="유지비",AF1712="손해조사비"),$P1712,0),$P1712*(1-AG1712)*IFERROR(INDEX(계정대체기준!$D$20:$D$49,MATCH($N1712,계정대체기준!$A$20:$A$49,0)),0)))</f>
        <v/>
      </c>
      <c r="AB1712" s="94">
        <f>IF($A1712="",0,IF(AE1712="직접",IF(AF1712="수금비",$P1712,0),$P1712*(1-AG1712)*IFERROR(INDEX(계정대체기준!$E$20:$E$49,MATCH($N1712,계정대체기준!$A$20:$A$49,0)),0)))</f>
        <v/>
      </c>
      <c r="AC1712" s="9">
        <f>IF(AND($A1712&lt;&gt;"",M1712=설정!$C$20,Z1712&gt;0),Z1712+ROW()/1000000000,"")</f>
        <v/>
      </c>
      <c r="AD1712" s="94">
        <f>IF($A1712="",0,$P1712*AG1712)</f>
        <v/>
      </c>
      <c r="AE1712" s="64">
        <f>IF($A1712="","",IFERROR(INDEX(계정매핑!$E$5:$E$504,MATCH($F1712&amp;"",계정매핑!$A$5:$A$504,0))&amp;"","공통비"))</f>
        <v/>
      </c>
      <c r="AF1712" s="64">
        <f>IF($A1712="","",IF(AE1712="직접",IFERROR(INDEX(계정매핑!$F$5:$F$504,MATCH($F1712&amp;"",계정매핑!$A$5:$A$504,0))&amp;"","비귀속"),""))</f>
        <v/>
      </c>
      <c r="AG1712" s="96">
        <f>IF($A1712="",0,IF(AND(AE1712&lt;&gt;"직접",IFERROR(INDEX(계정매핑!$G$5:$G$504,MATCH($F1712&amp;"",계정매핑!$A$5:$A$504,0))&amp;"","")="유지비",COUNTIF(계정대체기준!$A$6:$A$15,$N1712)&gt;0),IFERROR(INDEX(계정대체기준!$E$6:$E$15,MATCH(VALUE($A1712&amp;""),계정대체기준!$D$6:$D$15,0)),0),0))</f>
        <v/>
      </c>
      <c r="AH1712" s="64">
        <f>IF($A1712="","",IF(AD1712=0,"",IF(OR(COUNTIF(계정대체기준!$A$77:$A$86,$N1712)&gt;0,ISNUMBER(MATCH($X1712,계정대체기준!$D$77:$D$86,0)),ISNUMBER(MATCH($F1712,계정대체기준!$D$77:$D$86,0))),"Y","N")))</f>
        <v/>
      </c>
    </row>
    <row r="1713">
      <c r="A1713" s="92" t="n">
        <v>2025</v>
      </c>
      <c r="B1713" s="92" t="n">
        <v>8</v>
      </c>
      <c r="C1713" s="92" t="inlineStr">
        <is>
          <t>5100001709</t>
        </is>
      </c>
      <c r="D1713" s="95" t="n">
        <v>45885</v>
      </c>
      <c r="E1713" s="92" t="inlineStr">
        <is>
          <t>KR</t>
        </is>
      </c>
      <c r="F1713" s="92" t="n">
        <v>62101000</v>
      </c>
      <c r="G1713" s="92" t="n">
        <v>1602</v>
      </c>
      <c r="H1713" s="93" t="n">
        <v>751000</v>
      </c>
      <c r="I1713" s="92" t="inlineStr">
        <is>
          <t>8월 국내출장 - M항공</t>
        </is>
      </c>
      <c r="J1713" s="92" t="inlineStr">
        <is>
          <t>V10001</t>
        </is>
      </c>
      <c r="K1713" s="92" t="inlineStr">
        <is>
          <t>M항공</t>
        </is>
      </c>
      <c r="M1713" s="9">
        <f>IF($A1713="","",VALUE($A1713&amp;"")*12+VALUE($B1713&amp;""))</f>
        <v/>
      </c>
      <c r="N1713" s="64">
        <f>IF($A1713="","",IFERROR(INDEX(부서매핑!$C$5:$C$504,MATCH($G1713&amp;"",부서매핑!$A$5:$A$504,0)),"미매핑"))</f>
        <v/>
      </c>
      <c r="O1713" s="9">
        <f>IF($A1713="","",N1713&amp;"|"&amp;$F1713)</f>
        <v/>
      </c>
      <c r="P1713" s="94">
        <f>IF($A1713="",0,$H1713*설정!$C$23)</f>
        <v/>
      </c>
      <c r="Q1713" s="64">
        <f>IF($A1713="","",IF(O1713&lt;&gt;원인분석!$C$9,"",IF(AND(M1713&gt;=원인분석!$C$10,M1713&lt;=원인분석!$C$11),"당기",IF(AND(M1713&gt;=원인분석!$C$12,M1713&lt;=원인분석!$C$13),"비교",""))))</f>
        <v/>
      </c>
      <c r="R1713" s="9">
        <f>IF(Q1713="","",$K1713&amp;"")</f>
        <v/>
      </c>
      <c r="S1713" s="9">
        <f>IF(Q1713="","",IF(MATCH(R1713,$R$5:$R$100000,0)=ROW()-4,ROW(),""))</f>
        <v/>
      </c>
      <c r="T1713" s="9">
        <f>IF(Q1713="당기",ABS(P1713)+ROW()/1000000000,"")</f>
        <v/>
      </c>
      <c r="U1713" s="9">
        <f>IF(Q1713="비교",ABS(P1713)+ROW()/1000000000,"")</f>
        <v/>
      </c>
      <c r="V1713" s="64">
        <f>IF($A1713="","",IF(COUNTIF(변동분석!$E$7:$E$506,O1713)&gt;0,"Y","N"))</f>
        <v/>
      </c>
      <c r="W1713" s="64">
        <f>IF($A1713="","",IFERROR(INDEX(계정매핑!$D$5:$D$504,MATCH($F1713&amp;"",계정매핑!$A$5:$A$504,0)),"미매핑"))</f>
        <v/>
      </c>
      <c r="X1713" s="9">
        <f>IF($A1713="","",$F1713&amp;"")</f>
        <v/>
      </c>
      <c r="Y1713" s="94">
        <f>IF($A1713="",0,IF(AE1713="직접",IF(AF1713="비귀속",$P1713,0),$P1713*(1-AG1713)*IFERROR(INDEX(계정대체기준!$F$20:$F$49,MATCH($N1713,계정대체기준!$A$20:$A$49,0)),1)))</f>
        <v/>
      </c>
      <c r="Z1713" s="94">
        <f>IF($A1713="",0,IF(AE1713="직접",IF(AF1713="신계약비",$P1713,0),$P1713*(1-AG1713)*IFERROR(INDEX(계정대체기준!$C$20:$C$49,MATCH($N1713,계정대체기준!$A$20:$A$49,0)),0)))</f>
        <v/>
      </c>
      <c r="AA1713" s="94">
        <f>IF($A1713="",0,IF(AE1713="직접",IF(OR(AF1713="유지비",AF1713="손해조사비"),$P1713,0),$P1713*(1-AG1713)*IFERROR(INDEX(계정대체기준!$D$20:$D$49,MATCH($N1713,계정대체기준!$A$20:$A$49,0)),0)))</f>
        <v/>
      </c>
      <c r="AB1713" s="94">
        <f>IF($A1713="",0,IF(AE1713="직접",IF(AF1713="수금비",$P1713,0),$P1713*(1-AG1713)*IFERROR(INDEX(계정대체기준!$E$20:$E$49,MATCH($N1713,계정대체기준!$A$20:$A$49,0)),0)))</f>
        <v/>
      </c>
      <c r="AC1713" s="9">
        <f>IF(AND($A1713&lt;&gt;"",M1713=설정!$C$20,Z1713&gt;0),Z1713+ROW()/1000000000,"")</f>
        <v/>
      </c>
      <c r="AD1713" s="94">
        <f>IF($A1713="",0,$P1713*AG1713)</f>
        <v/>
      </c>
      <c r="AE1713" s="64">
        <f>IF($A1713="","",IFERROR(INDEX(계정매핑!$E$5:$E$504,MATCH($F1713&amp;"",계정매핑!$A$5:$A$504,0))&amp;"","공통비"))</f>
        <v/>
      </c>
      <c r="AF1713" s="64">
        <f>IF($A1713="","",IF(AE1713="직접",IFERROR(INDEX(계정매핑!$F$5:$F$504,MATCH($F1713&amp;"",계정매핑!$A$5:$A$504,0))&amp;"","비귀속"),""))</f>
        <v/>
      </c>
      <c r="AG1713" s="96">
        <f>IF($A1713="",0,IF(AND(AE1713&lt;&gt;"직접",IFERROR(INDEX(계정매핑!$G$5:$G$504,MATCH($F1713&amp;"",계정매핑!$A$5:$A$504,0))&amp;"","")="유지비",COUNTIF(계정대체기준!$A$6:$A$15,$N1713)&gt;0),IFERROR(INDEX(계정대체기준!$E$6:$E$15,MATCH(VALUE($A1713&amp;""),계정대체기준!$D$6:$D$15,0)),0),0))</f>
        <v/>
      </c>
      <c r="AH1713" s="64">
        <f>IF($A1713="","",IF(AD1713=0,"",IF(OR(COUNTIF(계정대체기준!$A$77:$A$86,$N1713)&gt;0,ISNUMBER(MATCH($X1713,계정대체기준!$D$77:$D$86,0)),ISNUMBER(MATCH($F1713,계정대체기준!$D$77:$D$86,0))),"Y","N")))</f>
        <v/>
      </c>
    </row>
    <row r="1714">
      <c r="A1714" s="92" t="n">
        <v>2025</v>
      </c>
      <c r="B1714" s="92" t="n">
        <v>8</v>
      </c>
      <c r="C1714" s="92" t="inlineStr">
        <is>
          <t>5100001710</t>
        </is>
      </c>
      <c r="D1714" s="95" t="n">
        <v>45885</v>
      </c>
      <c r="E1714" s="92" t="inlineStr">
        <is>
          <t>KR</t>
        </is>
      </c>
      <c r="F1714" s="92" t="n">
        <v>62101000</v>
      </c>
      <c r="G1714" s="92" t="n">
        <v>1801</v>
      </c>
      <c r="H1714" s="93" t="n">
        <v>238000</v>
      </c>
      <c r="I1714" s="92" t="inlineStr">
        <is>
          <t>8월 국내출장 - L여행사</t>
        </is>
      </c>
      <c r="J1714" s="92" t="inlineStr">
        <is>
          <t>V10018</t>
        </is>
      </c>
      <c r="K1714" s="92" t="inlineStr">
        <is>
          <t>L여행사</t>
        </is>
      </c>
      <c r="M1714" s="9">
        <f>IF($A1714="","",VALUE($A1714&amp;"")*12+VALUE($B1714&amp;""))</f>
        <v/>
      </c>
      <c r="N1714" s="64">
        <f>IF($A1714="","",IFERROR(INDEX(부서매핑!$C$5:$C$504,MATCH($G1714&amp;"",부서매핑!$A$5:$A$504,0)),"미매핑"))</f>
        <v/>
      </c>
      <c r="O1714" s="9">
        <f>IF($A1714="","",N1714&amp;"|"&amp;$F1714)</f>
        <v/>
      </c>
      <c r="P1714" s="94">
        <f>IF($A1714="",0,$H1714*설정!$C$23)</f>
        <v/>
      </c>
      <c r="Q1714" s="64">
        <f>IF($A1714="","",IF(O1714&lt;&gt;원인분석!$C$9,"",IF(AND(M1714&gt;=원인분석!$C$10,M1714&lt;=원인분석!$C$11),"당기",IF(AND(M1714&gt;=원인분석!$C$12,M1714&lt;=원인분석!$C$13),"비교",""))))</f>
        <v/>
      </c>
      <c r="R1714" s="9">
        <f>IF(Q1714="","",$K1714&amp;"")</f>
        <v/>
      </c>
      <c r="S1714" s="9">
        <f>IF(Q1714="","",IF(MATCH(R1714,$R$5:$R$100000,0)=ROW()-4,ROW(),""))</f>
        <v/>
      </c>
      <c r="T1714" s="9">
        <f>IF(Q1714="당기",ABS(P1714)+ROW()/1000000000,"")</f>
        <v/>
      </c>
      <c r="U1714" s="9">
        <f>IF(Q1714="비교",ABS(P1714)+ROW()/1000000000,"")</f>
        <v/>
      </c>
      <c r="V1714" s="64">
        <f>IF($A1714="","",IF(COUNTIF(변동분석!$E$7:$E$506,O1714)&gt;0,"Y","N"))</f>
        <v/>
      </c>
      <c r="W1714" s="64">
        <f>IF($A1714="","",IFERROR(INDEX(계정매핑!$D$5:$D$504,MATCH($F1714&amp;"",계정매핑!$A$5:$A$504,0)),"미매핑"))</f>
        <v/>
      </c>
      <c r="X1714" s="9">
        <f>IF($A1714="","",$F1714&amp;"")</f>
        <v/>
      </c>
      <c r="Y1714" s="94">
        <f>IF($A1714="",0,IF(AE1714="직접",IF(AF1714="비귀속",$P1714,0),$P1714*(1-AG1714)*IFERROR(INDEX(계정대체기준!$F$20:$F$49,MATCH($N1714,계정대체기준!$A$20:$A$49,0)),1)))</f>
        <v/>
      </c>
      <c r="Z1714" s="94">
        <f>IF($A1714="",0,IF(AE1714="직접",IF(AF1714="신계약비",$P1714,0),$P1714*(1-AG1714)*IFERROR(INDEX(계정대체기준!$C$20:$C$49,MATCH($N1714,계정대체기준!$A$20:$A$49,0)),0)))</f>
        <v/>
      </c>
      <c r="AA1714" s="94">
        <f>IF($A1714="",0,IF(AE1714="직접",IF(OR(AF1714="유지비",AF1714="손해조사비"),$P1714,0),$P1714*(1-AG1714)*IFERROR(INDEX(계정대체기준!$D$20:$D$49,MATCH($N1714,계정대체기준!$A$20:$A$49,0)),0)))</f>
        <v/>
      </c>
      <c r="AB1714" s="94">
        <f>IF($A1714="",0,IF(AE1714="직접",IF(AF1714="수금비",$P1714,0),$P1714*(1-AG1714)*IFERROR(INDEX(계정대체기준!$E$20:$E$49,MATCH($N1714,계정대체기준!$A$20:$A$49,0)),0)))</f>
        <v/>
      </c>
      <c r="AC1714" s="9">
        <f>IF(AND($A1714&lt;&gt;"",M1714=설정!$C$20,Z1714&gt;0),Z1714+ROW()/1000000000,"")</f>
        <v/>
      </c>
      <c r="AD1714" s="94">
        <f>IF($A1714="",0,$P1714*AG1714)</f>
        <v/>
      </c>
      <c r="AE1714" s="64">
        <f>IF($A1714="","",IFERROR(INDEX(계정매핑!$E$5:$E$504,MATCH($F1714&amp;"",계정매핑!$A$5:$A$504,0))&amp;"","공통비"))</f>
        <v/>
      </c>
      <c r="AF1714" s="64">
        <f>IF($A1714="","",IF(AE1714="직접",IFERROR(INDEX(계정매핑!$F$5:$F$504,MATCH($F1714&amp;"",계정매핑!$A$5:$A$504,0))&amp;"","비귀속"),""))</f>
        <v/>
      </c>
      <c r="AG1714" s="96">
        <f>IF($A1714="",0,IF(AND(AE1714&lt;&gt;"직접",IFERROR(INDEX(계정매핑!$G$5:$G$504,MATCH($F1714&amp;"",계정매핑!$A$5:$A$504,0))&amp;"","")="유지비",COUNTIF(계정대체기준!$A$6:$A$15,$N1714)&gt;0),IFERROR(INDEX(계정대체기준!$E$6:$E$15,MATCH(VALUE($A1714&amp;""),계정대체기준!$D$6:$D$15,0)),0),0))</f>
        <v/>
      </c>
      <c r="AH1714" s="64">
        <f>IF($A1714="","",IF(AD1714=0,"",IF(OR(COUNTIF(계정대체기준!$A$77:$A$86,$N1714)&gt;0,ISNUMBER(MATCH($X1714,계정대체기준!$D$77:$D$86,0)),ISNUMBER(MATCH($F1714,계정대체기준!$D$77:$D$86,0))),"Y","N")))</f>
        <v/>
      </c>
    </row>
    <row r="1715">
      <c r="A1715" s="92" t="n">
        <v>2025</v>
      </c>
      <c r="B1715" s="92" t="n">
        <v>8</v>
      </c>
      <c r="C1715" s="92" t="inlineStr">
        <is>
          <t>5100001711</t>
        </is>
      </c>
      <c r="D1715" s="95" t="n">
        <v>45885</v>
      </c>
      <c r="E1715" s="92" t="inlineStr">
        <is>
          <t>KR</t>
        </is>
      </c>
      <c r="F1715" s="92" t="n">
        <v>62102000</v>
      </c>
      <c r="G1715" s="92" t="n">
        <v>1602</v>
      </c>
      <c r="H1715" s="93" t="n">
        <v>282000</v>
      </c>
      <c r="I1715" s="92" t="inlineStr">
        <is>
          <t>8월 해외출장 - M항공</t>
        </is>
      </c>
      <c r="J1715" s="92" t="inlineStr">
        <is>
          <t>V10001</t>
        </is>
      </c>
      <c r="K1715" s="92" t="inlineStr">
        <is>
          <t>M항공</t>
        </is>
      </c>
      <c r="M1715" s="9">
        <f>IF($A1715="","",VALUE($A1715&amp;"")*12+VALUE($B1715&amp;""))</f>
        <v/>
      </c>
      <c r="N1715" s="64">
        <f>IF($A1715="","",IFERROR(INDEX(부서매핑!$C$5:$C$504,MATCH($G1715&amp;"",부서매핑!$A$5:$A$504,0)),"미매핑"))</f>
        <v/>
      </c>
      <c r="O1715" s="9">
        <f>IF($A1715="","",N1715&amp;"|"&amp;$F1715)</f>
        <v/>
      </c>
      <c r="P1715" s="94">
        <f>IF($A1715="",0,$H1715*설정!$C$23)</f>
        <v/>
      </c>
      <c r="Q1715" s="64">
        <f>IF($A1715="","",IF(O1715&lt;&gt;원인분석!$C$9,"",IF(AND(M1715&gt;=원인분석!$C$10,M1715&lt;=원인분석!$C$11),"당기",IF(AND(M1715&gt;=원인분석!$C$12,M1715&lt;=원인분석!$C$13),"비교",""))))</f>
        <v/>
      </c>
      <c r="R1715" s="9">
        <f>IF(Q1715="","",$K1715&amp;"")</f>
        <v/>
      </c>
      <c r="S1715" s="9">
        <f>IF(Q1715="","",IF(MATCH(R1715,$R$5:$R$100000,0)=ROW()-4,ROW(),""))</f>
        <v/>
      </c>
      <c r="T1715" s="9">
        <f>IF(Q1715="당기",ABS(P1715)+ROW()/1000000000,"")</f>
        <v/>
      </c>
      <c r="U1715" s="9">
        <f>IF(Q1715="비교",ABS(P1715)+ROW()/1000000000,"")</f>
        <v/>
      </c>
      <c r="V1715" s="64">
        <f>IF($A1715="","",IF(COUNTIF(변동분석!$E$7:$E$506,O1715)&gt;0,"Y","N"))</f>
        <v/>
      </c>
      <c r="W1715" s="64">
        <f>IF($A1715="","",IFERROR(INDEX(계정매핑!$D$5:$D$504,MATCH($F1715&amp;"",계정매핑!$A$5:$A$504,0)),"미매핑"))</f>
        <v/>
      </c>
      <c r="X1715" s="9">
        <f>IF($A1715="","",$F1715&amp;"")</f>
        <v/>
      </c>
      <c r="Y1715" s="94">
        <f>IF($A1715="",0,IF(AE1715="직접",IF(AF1715="비귀속",$P1715,0),$P1715*(1-AG1715)*IFERROR(INDEX(계정대체기준!$F$20:$F$49,MATCH($N1715,계정대체기준!$A$20:$A$49,0)),1)))</f>
        <v/>
      </c>
      <c r="Z1715" s="94">
        <f>IF($A1715="",0,IF(AE1715="직접",IF(AF1715="신계약비",$P1715,0),$P1715*(1-AG1715)*IFERROR(INDEX(계정대체기준!$C$20:$C$49,MATCH($N1715,계정대체기준!$A$20:$A$49,0)),0)))</f>
        <v/>
      </c>
      <c r="AA1715" s="94">
        <f>IF($A1715="",0,IF(AE1715="직접",IF(OR(AF1715="유지비",AF1715="손해조사비"),$P1715,0),$P1715*(1-AG1715)*IFERROR(INDEX(계정대체기준!$D$20:$D$49,MATCH($N1715,계정대체기준!$A$20:$A$49,0)),0)))</f>
        <v/>
      </c>
      <c r="AB1715" s="94">
        <f>IF($A1715="",0,IF(AE1715="직접",IF(AF1715="수금비",$P1715,0),$P1715*(1-AG1715)*IFERROR(INDEX(계정대체기준!$E$20:$E$49,MATCH($N1715,계정대체기준!$A$20:$A$49,0)),0)))</f>
        <v/>
      </c>
      <c r="AC1715" s="9">
        <f>IF(AND($A1715&lt;&gt;"",M1715=설정!$C$20,Z1715&gt;0),Z1715+ROW()/1000000000,"")</f>
        <v/>
      </c>
      <c r="AD1715" s="94">
        <f>IF($A1715="",0,$P1715*AG1715)</f>
        <v/>
      </c>
      <c r="AE1715" s="64">
        <f>IF($A1715="","",IFERROR(INDEX(계정매핑!$E$5:$E$504,MATCH($F1715&amp;"",계정매핑!$A$5:$A$504,0))&amp;"","공통비"))</f>
        <v/>
      </c>
      <c r="AF1715" s="64">
        <f>IF($A1715="","",IF(AE1715="직접",IFERROR(INDEX(계정매핑!$F$5:$F$504,MATCH($F1715&amp;"",계정매핑!$A$5:$A$504,0))&amp;"","비귀속"),""))</f>
        <v/>
      </c>
      <c r="AG1715" s="96">
        <f>IF($A1715="",0,IF(AND(AE1715&lt;&gt;"직접",IFERROR(INDEX(계정매핑!$G$5:$G$504,MATCH($F1715&amp;"",계정매핑!$A$5:$A$504,0))&amp;"","")="유지비",COUNTIF(계정대체기준!$A$6:$A$15,$N1715)&gt;0),IFERROR(INDEX(계정대체기준!$E$6:$E$15,MATCH(VALUE($A1715&amp;""),계정대체기준!$D$6:$D$15,0)),0),0))</f>
        <v/>
      </c>
      <c r="AH1715" s="64">
        <f>IF($A1715="","",IF(AD1715=0,"",IF(OR(COUNTIF(계정대체기준!$A$77:$A$86,$N1715)&gt;0,ISNUMBER(MATCH($X1715,계정대체기준!$D$77:$D$86,0)),ISNUMBER(MATCH($F1715,계정대체기준!$D$77:$D$86,0))),"Y","N")))</f>
        <v/>
      </c>
    </row>
    <row r="1716">
      <c r="A1716" s="92" t="n">
        <v>2025</v>
      </c>
      <c r="B1716" s="92" t="n">
        <v>8</v>
      </c>
      <c r="C1716" s="92" t="inlineStr">
        <is>
          <t>5100001712</t>
        </is>
      </c>
      <c r="D1716" s="95" t="n">
        <v>45885</v>
      </c>
      <c r="E1716" s="92" t="inlineStr">
        <is>
          <t>KR</t>
        </is>
      </c>
      <c r="F1716" s="92" t="n">
        <v>62102000</v>
      </c>
      <c r="G1716" s="92" t="n">
        <v>1602</v>
      </c>
      <c r="H1716" s="93" t="n">
        <v>191000</v>
      </c>
      <c r="I1716" s="92" t="inlineStr">
        <is>
          <t>8월 해외출장 - N호텔</t>
        </is>
      </c>
      <c r="J1716" s="92" t="inlineStr">
        <is>
          <t>V10009</t>
        </is>
      </c>
      <c r="K1716" s="92" t="inlineStr">
        <is>
          <t>N호텔</t>
        </is>
      </c>
      <c r="M1716" s="9">
        <f>IF($A1716="","",VALUE($A1716&amp;"")*12+VALUE($B1716&amp;""))</f>
        <v/>
      </c>
      <c r="N1716" s="64">
        <f>IF($A1716="","",IFERROR(INDEX(부서매핑!$C$5:$C$504,MATCH($G1716&amp;"",부서매핑!$A$5:$A$504,0)),"미매핑"))</f>
        <v/>
      </c>
      <c r="O1716" s="9">
        <f>IF($A1716="","",N1716&amp;"|"&amp;$F1716)</f>
        <v/>
      </c>
      <c r="P1716" s="94">
        <f>IF($A1716="",0,$H1716*설정!$C$23)</f>
        <v/>
      </c>
      <c r="Q1716" s="64">
        <f>IF($A1716="","",IF(O1716&lt;&gt;원인분석!$C$9,"",IF(AND(M1716&gt;=원인분석!$C$10,M1716&lt;=원인분석!$C$11),"당기",IF(AND(M1716&gt;=원인분석!$C$12,M1716&lt;=원인분석!$C$13),"비교",""))))</f>
        <v/>
      </c>
      <c r="R1716" s="9">
        <f>IF(Q1716="","",$K1716&amp;"")</f>
        <v/>
      </c>
      <c r="S1716" s="9">
        <f>IF(Q1716="","",IF(MATCH(R1716,$R$5:$R$100000,0)=ROW()-4,ROW(),""))</f>
        <v/>
      </c>
      <c r="T1716" s="9">
        <f>IF(Q1716="당기",ABS(P1716)+ROW()/1000000000,"")</f>
        <v/>
      </c>
      <c r="U1716" s="9">
        <f>IF(Q1716="비교",ABS(P1716)+ROW()/1000000000,"")</f>
        <v/>
      </c>
      <c r="V1716" s="64">
        <f>IF($A1716="","",IF(COUNTIF(변동분석!$E$7:$E$506,O1716)&gt;0,"Y","N"))</f>
        <v/>
      </c>
      <c r="W1716" s="64">
        <f>IF($A1716="","",IFERROR(INDEX(계정매핑!$D$5:$D$504,MATCH($F1716&amp;"",계정매핑!$A$5:$A$504,0)),"미매핑"))</f>
        <v/>
      </c>
      <c r="X1716" s="9">
        <f>IF($A1716="","",$F1716&amp;"")</f>
        <v/>
      </c>
      <c r="Y1716" s="94">
        <f>IF($A1716="",0,IF(AE1716="직접",IF(AF1716="비귀속",$P1716,0),$P1716*(1-AG1716)*IFERROR(INDEX(계정대체기준!$F$20:$F$49,MATCH($N1716,계정대체기준!$A$20:$A$49,0)),1)))</f>
        <v/>
      </c>
      <c r="Z1716" s="94">
        <f>IF($A1716="",0,IF(AE1716="직접",IF(AF1716="신계약비",$P1716,0),$P1716*(1-AG1716)*IFERROR(INDEX(계정대체기준!$C$20:$C$49,MATCH($N1716,계정대체기준!$A$20:$A$49,0)),0)))</f>
        <v/>
      </c>
      <c r="AA1716" s="94">
        <f>IF($A1716="",0,IF(AE1716="직접",IF(OR(AF1716="유지비",AF1716="손해조사비"),$P1716,0),$P1716*(1-AG1716)*IFERROR(INDEX(계정대체기준!$D$20:$D$49,MATCH($N1716,계정대체기준!$A$20:$A$49,0)),0)))</f>
        <v/>
      </c>
      <c r="AB1716" s="94">
        <f>IF($A1716="",0,IF(AE1716="직접",IF(AF1716="수금비",$P1716,0),$P1716*(1-AG1716)*IFERROR(INDEX(계정대체기준!$E$20:$E$49,MATCH($N1716,계정대체기준!$A$20:$A$49,0)),0)))</f>
        <v/>
      </c>
      <c r="AC1716" s="9">
        <f>IF(AND($A1716&lt;&gt;"",M1716=설정!$C$20,Z1716&gt;0),Z1716+ROW()/1000000000,"")</f>
        <v/>
      </c>
      <c r="AD1716" s="94">
        <f>IF($A1716="",0,$P1716*AG1716)</f>
        <v/>
      </c>
      <c r="AE1716" s="64">
        <f>IF($A1716="","",IFERROR(INDEX(계정매핑!$E$5:$E$504,MATCH($F1716&amp;"",계정매핑!$A$5:$A$504,0))&amp;"","공통비"))</f>
        <v/>
      </c>
      <c r="AF1716" s="64">
        <f>IF($A1716="","",IF(AE1716="직접",IFERROR(INDEX(계정매핑!$F$5:$F$504,MATCH($F1716&amp;"",계정매핑!$A$5:$A$504,0))&amp;"","비귀속"),""))</f>
        <v/>
      </c>
      <c r="AG1716" s="96">
        <f>IF($A1716="",0,IF(AND(AE1716&lt;&gt;"직접",IFERROR(INDEX(계정매핑!$G$5:$G$504,MATCH($F1716&amp;"",계정매핑!$A$5:$A$504,0))&amp;"","")="유지비",COUNTIF(계정대체기준!$A$6:$A$15,$N1716)&gt;0),IFERROR(INDEX(계정대체기준!$E$6:$E$15,MATCH(VALUE($A1716&amp;""),계정대체기준!$D$6:$D$15,0)),0),0))</f>
        <v/>
      </c>
      <c r="AH1716" s="64">
        <f>IF($A1716="","",IF(AD1716=0,"",IF(OR(COUNTIF(계정대체기준!$A$77:$A$86,$N1716)&gt;0,ISNUMBER(MATCH($X1716,계정대체기준!$D$77:$D$86,0)),ISNUMBER(MATCH($F1716,계정대체기준!$D$77:$D$86,0))),"Y","N")))</f>
        <v/>
      </c>
    </row>
    <row r="1717">
      <c r="A1717" s="92" t="n">
        <v>2025</v>
      </c>
      <c r="B1717" s="92" t="n">
        <v>8</v>
      </c>
      <c r="C1717" s="92" t="inlineStr">
        <is>
          <t>5100001713</t>
        </is>
      </c>
      <c r="D1717" s="95" t="n">
        <v>45885</v>
      </c>
      <c r="E1717" s="92" t="inlineStr">
        <is>
          <t>KR</t>
        </is>
      </c>
      <c r="F1717" s="92" t="n">
        <v>62902000</v>
      </c>
      <c r="G1717" s="92" t="n">
        <v>1801</v>
      </c>
      <c r="H1717" s="93" t="n">
        <v>1762000</v>
      </c>
      <c r="I1717" s="92" t="inlineStr">
        <is>
          <t>8월 콜 위탁 수수료(건별)</t>
        </is>
      </c>
      <c r="J1717" s="92" t="inlineStr">
        <is>
          <t>V10016</t>
        </is>
      </c>
      <c r="K1717" s="92" t="inlineStr">
        <is>
          <t>J콜센터</t>
        </is>
      </c>
      <c r="M1717" s="9">
        <f>IF($A1717="","",VALUE($A1717&amp;"")*12+VALUE($B1717&amp;""))</f>
        <v/>
      </c>
      <c r="N1717" s="64">
        <f>IF($A1717="","",IFERROR(INDEX(부서매핑!$C$5:$C$504,MATCH($G1717&amp;"",부서매핑!$A$5:$A$504,0)),"미매핑"))</f>
        <v/>
      </c>
      <c r="O1717" s="9">
        <f>IF($A1717="","",N1717&amp;"|"&amp;$F1717)</f>
        <v/>
      </c>
      <c r="P1717" s="94">
        <f>IF($A1717="",0,$H1717*설정!$C$23)</f>
        <v/>
      </c>
      <c r="Q1717" s="64">
        <f>IF($A1717="","",IF(O1717&lt;&gt;원인분석!$C$9,"",IF(AND(M1717&gt;=원인분석!$C$10,M1717&lt;=원인분석!$C$11),"당기",IF(AND(M1717&gt;=원인분석!$C$12,M1717&lt;=원인분석!$C$13),"비교",""))))</f>
        <v/>
      </c>
      <c r="R1717" s="9">
        <f>IF(Q1717="","",$K1717&amp;"")</f>
        <v/>
      </c>
      <c r="S1717" s="9">
        <f>IF(Q1717="","",IF(MATCH(R1717,$R$5:$R$100000,0)=ROW()-4,ROW(),""))</f>
        <v/>
      </c>
      <c r="T1717" s="9">
        <f>IF(Q1717="당기",ABS(P1717)+ROW()/1000000000,"")</f>
        <v/>
      </c>
      <c r="U1717" s="9">
        <f>IF(Q1717="비교",ABS(P1717)+ROW()/1000000000,"")</f>
        <v/>
      </c>
      <c r="V1717" s="64">
        <f>IF($A1717="","",IF(COUNTIF(변동분석!$E$7:$E$506,O1717)&gt;0,"Y","N"))</f>
        <v/>
      </c>
      <c r="W1717" s="64">
        <f>IF($A1717="","",IFERROR(INDEX(계정매핑!$D$5:$D$504,MATCH($F1717&amp;"",계정매핑!$A$5:$A$504,0)),"미매핑"))</f>
        <v/>
      </c>
      <c r="X1717" s="9">
        <f>IF($A1717="","",$F1717&amp;"")</f>
        <v/>
      </c>
      <c r="Y1717" s="94">
        <f>IF($A1717="",0,IF(AE1717="직접",IF(AF1717="비귀속",$P1717,0),$P1717*(1-AG1717)*IFERROR(INDEX(계정대체기준!$F$20:$F$49,MATCH($N1717,계정대체기준!$A$20:$A$49,0)),1)))</f>
        <v/>
      </c>
      <c r="Z1717" s="94">
        <f>IF($A1717="",0,IF(AE1717="직접",IF(AF1717="신계약비",$P1717,0),$P1717*(1-AG1717)*IFERROR(INDEX(계정대체기준!$C$20:$C$49,MATCH($N1717,계정대체기준!$A$20:$A$49,0)),0)))</f>
        <v/>
      </c>
      <c r="AA1717" s="94">
        <f>IF($A1717="",0,IF(AE1717="직접",IF(OR(AF1717="유지비",AF1717="손해조사비"),$P1717,0),$P1717*(1-AG1717)*IFERROR(INDEX(계정대체기준!$D$20:$D$49,MATCH($N1717,계정대체기준!$A$20:$A$49,0)),0)))</f>
        <v/>
      </c>
      <c r="AB1717" s="94">
        <f>IF($A1717="",0,IF(AE1717="직접",IF(AF1717="수금비",$P1717,0),$P1717*(1-AG1717)*IFERROR(INDEX(계정대체기준!$E$20:$E$49,MATCH($N1717,계정대체기준!$A$20:$A$49,0)),0)))</f>
        <v/>
      </c>
      <c r="AC1717" s="9">
        <f>IF(AND($A1717&lt;&gt;"",M1717=설정!$C$20,Z1717&gt;0),Z1717+ROW()/1000000000,"")</f>
        <v/>
      </c>
      <c r="AD1717" s="94">
        <f>IF($A1717="",0,$P1717*AG1717)</f>
        <v/>
      </c>
      <c r="AE1717" s="64">
        <f>IF($A1717="","",IFERROR(INDEX(계정매핑!$E$5:$E$504,MATCH($F1717&amp;"",계정매핑!$A$5:$A$504,0))&amp;"","공통비"))</f>
        <v/>
      </c>
      <c r="AF1717" s="64">
        <f>IF($A1717="","",IF(AE1717="직접",IFERROR(INDEX(계정매핑!$F$5:$F$504,MATCH($F1717&amp;"",계정매핑!$A$5:$A$504,0))&amp;"","비귀속"),""))</f>
        <v/>
      </c>
      <c r="AG1717" s="96">
        <f>IF($A1717="",0,IF(AND(AE1717&lt;&gt;"직접",IFERROR(INDEX(계정매핑!$G$5:$G$504,MATCH($F1717&amp;"",계정매핑!$A$5:$A$504,0))&amp;"","")="유지비",COUNTIF(계정대체기준!$A$6:$A$15,$N1717)&gt;0),IFERROR(INDEX(계정대체기준!$E$6:$E$15,MATCH(VALUE($A1717&amp;""),계정대체기준!$D$6:$D$15,0)),0),0))</f>
        <v/>
      </c>
      <c r="AH1717" s="64">
        <f>IF($A1717="","",IF(AD1717=0,"",IF(OR(COUNTIF(계정대체기준!$A$77:$A$86,$N1717)&gt;0,ISNUMBER(MATCH($X1717,계정대체기준!$D$77:$D$86,0)),ISNUMBER(MATCH($F1717,계정대체기준!$D$77:$D$86,0))),"Y","N")))</f>
        <v/>
      </c>
    </row>
    <row r="1718">
      <c r="A1718" s="92" t="n">
        <v>2025</v>
      </c>
      <c r="B1718" s="92" t="n">
        <v>8</v>
      </c>
      <c r="C1718" s="92" t="inlineStr">
        <is>
          <t>5100001714</t>
        </is>
      </c>
      <c r="D1718" s="95" t="n">
        <v>45885</v>
      </c>
      <c r="E1718" s="92" t="inlineStr">
        <is>
          <t>KR</t>
        </is>
      </c>
      <c r="F1718" s="92" t="n">
        <v>63001000</v>
      </c>
      <c r="G1718" s="92" t="n">
        <v>1701</v>
      </c>
      <c r="H1718" s="93" t="n">
        <v>40081000</v>
      </c>
      <c r="I1718" s="92" t="inlineStr">
        <is>
          <t>8월 SW 유지보수 - Y소프트</t>
        </is>
      </c>
      <c r="J1718" s="92" t="inlineStr">
        <is>
          <t>V10017</t>
        </is>
      </c>
      <c r="K1718" s="92" t="inlineStr">
        <is>
          <t>Y소프트</t>
        </is>
      </c>
      <c r="M1718" s="9">
        <f>IF($A1718="","",VALUE($A1718&amp;"")*12+VALUE($B1718&amp;""))</f>
        <v/>
      </c>
      <c r="N1718" s="64">
        <f>IF($A1718="","",IFERROR(INDEX(부서매핑!$C$5:$C$504,MATCH($G1718&amp;"",부서매핑!$A$5:$A$504,0)),"미매핑"))</f>
        <v/>
      </c>
      <c r="O1718" s="9">
        <f>IF($A1718="","",N1718&amp;"|"&amp;$F1718)</f>
        <v/>
      </c>
      <c r="P1718" s="94">
        <f>IF($A1718="",0,$H1718*설정!$C$23)</f>
        <v/>
      </c>
      <c r="Q1718" s="64">
        <f>IF($A1718="","",IF(O1718&lt;&gt;원인분석!$C$9,"",IF(AND(M1718&gt;=원인분석!$C$10,M1718&lt;=원인분석!$C$11),"당기",IF(AND(M1718&gt;=원인분석!$C$12,M1718&lt;=원인분석!$C$13),"비교",""))))</f>
        <v/>
      </c>
      <c r="R1718" s="9">
        <f>IF(Q1718="","",$K1718&amp;"")</f>
        <v/>
      </c>
      <c r="S1718" s="9">
        <f>IF(Q1718="","",IF(MATCH(R1718,$R$5:$R$100000,0)=ROW()-4,ROW(),""))</f>
        <v/>
      </c>
      <c r="T1718" s="9">
        <f>IF(Q1718="당기",ABS(P1718)+ROW()/1000000000,"")</f>
        <v/>
      </c>
      <c r="U1718" s="9">
        <f>IF(Q1718="비교",ABS(P1718)+ROW()/1000000000,"")</f>
        <v/>
      </c>
      <c r="V1718" s="64">
        <f>IF($A1718="","",IF(COUNTIF(변동분석!$E$7:$E$506,O1718)&gt;0,"Y","N"))</f>
        <v/>
      </c>
      <c r="W1718" s="64">
        <f>IF($A1718="","",IFERROR(INDEX(계정매핑!$D$5:$D$504,MATCH($F1718&amp;"",계정매핑!$A$5:$A$504,0)),"미매핑"))</f>
        <v/>
      </c>
      <c r="X1718" s="9">
        <f>IF($A1718="","",$F1718&amp;"")</f>
        <v/>
      </c>
      <c r="Y1718" s="94">
        <f>IF($A1718="",0,IF(AE1718="직접",IF(AF1718="비귀속",$P1718,0),$P1718*(1-AG1718)*IFERROR(INDEX(계정대체기준!$F$20:$F$49,MATCH($N1718,계정대체기준!$A$20:$A$49,0)),1)))</f>
        <v/>
      </c>
      <c r="Z1718" s="94">
        <f>IF($A1718="",0,IF(AE1718="직접",IF(AF1718="신계약비",$P1718,0),$P1718*(1-AG1718)*IFERROR(INDEX(계정대체기준!$C$20:$C$49,MATCH($N1718,계정대체기준!$A$20:$A$49,0)),0)))</f>
        <v/>
      </c>
      <c r="AA1718" s="94">
        <f>IF($A1718="",0,IF(AE1718="직접",IF(OR(AF1718="유지비",AF1718="손해조사비"),$P1718,0),$P1718*(1-AG1718)*IFERROR(INDEX(계정대체기준!$D$20:$D$49,MATCH($N1718,계정대체기준!$A$20:$A$49,0)),0)))</f>
        <v/>
      </c>
      <c r="AB1718" s="94">
        <f>IF($A1718="",0,IF(AE1718="직접",IF(AF1718="수금비",$P1718,0),$P1718*(1-AG1718)*IFERROR(INDEX(계정대체기준!$E$20:$E$49,MATCH($N1718,계정대체기준!$A$20:$A$49,0)),0)))</f>
        <v/>
      </c>
      <c r="AC1718" s="9">
        <f>IF(AND($A1718&lt;&gt;"",M1718=설정!$C$20,Z1718&gt;0),Z1718+ROW()/1000000000,"")</f>
        <v/>
      </c>
      <c r="AD1718" s="94">
        <f>IF($A1718="",0,$P1718*AG1718)</f>
        <v/>
      </c>
      <c r="AE1718" s="64">
        <f>IF($A1718="","",IFERROR(INDEX(계정매핑!$E$5:$E$504,MATCH($F1718&amp;"",계정매핑!$A$5:$A$504,0))&amp;"","공통비"))</f>
        <v/>
      </c>
      <c r="AF1718" s="64">
        <f>IF($A1718="","",IF(AE1718="직접",IFERROR(INDEX(계정매핑!$F$5:$F$504,MATCH($F1718&amp;"",계정매핑!$A$5:$A$504,0))&amp;"","비귀속"),""))</f>
        <v/>
      </c>
      <c r="AG1718" s="96">
        <f>IF($A1718="",0,IF(AND(AE1718&lt;&gt;"직접",IFERROR(INDEX(계정매핑!$G$5:$G$504,MATCH($F1718&amp;"",계정매핑!$A$5:$A$504,0))&amp;"","")="유지비",COUNTIF(계정대체기준!$A$6:$A$15,$N1718)&gt;0),IFERROR(INDEX(계정대체기준!$E$6:$E$15,MATCH(VALUE($A1718&amp;""),계정대체기준!$D$6:$D$15,0)),0),0))</f>
        <v/>
      </c>
      <c r="AH1718" s="64">
        <f>IF($A1718="","",IF(AD1718=0,"",IF(OR(COUNTIF(계정대체기준!$A$77:$A$86,$N1718)&gt;0,ISNUMBER(MATCH($X1718,계정대체기준!$D$77:$D$86,0)),ISNUMBER(MATCH($F1718,계정대체기준!$D$77:$D$86,0))),"Y","N")))</f>
        <v/>
      </c>
    </row>
    <row r="1719">
      <c r="A1719" s="92" t="n">
        <v>2025</v>
      </c>
      <c r="B1719" s="92" t="n">
        <v>8</v>
      </c>
      <c r="C1719" s="92" t="inlineStr">
        <is>
          <t>5100001715</t>
        </is>
      </c>
      <c r="D1719" s="95" t="n">
        <v>45885</v>
      </c>
      <c r="E1719" s="92" t="inlineStr">
        <is>
          <t>KR</t>
        </is>
      </c>
      <c r="F1719" s="92" t="n">
        <v>63502000</v>
      </c>
      <c r="G1719" s="92" t="n">
        <v>1902</v>
      </c>
      <c r="H1719" s="93" t="n">
        <v>162442000</v>
      </c>
      <c r="I1719" s="92" t="inlineStr">
        <is>
          <t>8월 유지수수료 - (전속설계사)</t>
        </is>
      </c>
      <c r="J1719" s="92" t="inlineStr">
        <is>
          <t>V10021</t>
        </is>
      </c>
      <c r="K1719" s="92" t="inlineStr">
        <is>
          <t>(전속설계사)</t>
        </is>
      </c>
      <c r="M1719" s="9">
        <f>IF($A1719="","",VALUE($A1719&amp;"")*12+VALUE($B1719&amp;""))</f>
        <v/>
      </c>
      <c r="N1719" s="64">
        <f>IF($A1719="","",IFERROR(INDEX(부서매핑!$C$5:$C$504,MATCH($G1719&amp;"",부서매핑!$A$5:$A$504,0)),"미매핑"))</f>
        <v/>
      </c>
      <c r="O1719" s="9">
        <f>IF($A1719="","",N1719&amp;"|"&amp;$F1719)</f>
        <v/>
      </c>
      <c r="P1719" s="94">
        <f>IF($A1719="",0,$H1719*설정!$C$23)</f>
        <v/>
      </c>
      <c r="Q1719" s="64">
        <f>IF($A1719="","",IF(O1719&lt;&gt;원인분석!$C$9,"",IF(AND(M1719&gt;=원인분석!$C$10,M1719&lt;=원인분석!$C$11),"당기",IF(AND(M1719&gt;=원인분석!$C$12,M1719&lt;=원인분석!$C$13),"비교",""))))</f>
        <v/>
      </c>
      <c r="R1719" s="9">
        <f>IF(Q1719="","",$K1719&amp;"")</f>
        <v/>
      </c>
      <c r="S1719" s="9">
        <f>IF(Q1719="","",IF(MATCH(R1719,$R$5:$R$100000,0)=ROW()-4,ROW(),""))</f>
        <v/>
      </c>
      <c r="T1719" s="9">
        <f>IF(Q1719="당기",ABS(P1719)+ROW()/1000000000,"")</f>
        <v/>
      </c>
      <c r="U1719" s="9">
        <f>IF(Q1719="비교",ABS(P1719)+ROW()/1000000000,"")</f>
        <v/>
      </c>
      <c r="V1719" s="64">
        <f>IF($A1719="","",IF(COUNTIF(변동분석!$E$7:$E$506,O1719)&gt;0,"Y","N"))</f>
        <v/>
      </c>
      <c r="W1719" s="64">
        <f>IF($A1719="","",IFERROR(INDEX(계정매핑!$D$5:$D$504,MATCH($F1719&amp;"",계정매핑!$A$5:$A$504,0)),"미매핑"))</f>
        <v/>
      </c>
      <c r="X1719" s="9">
        <f>IF($A1719="","",$F1719&amp;"")</f>
        <v/>
      </c>
      <c r="Y1719" s="94">
        <f>IF($A1719="",0,IF(AE1719="직접",IF(AF1719="비귀속",$P1719,0),$P1719*(1-AG1719)*IFERROR(INDEX(계정대체기준!$F$20:$F$49,MATCH($N1719,계정대체기준!$A$20:$A$49,0)),1)))</f>
        <v/>
      </c>
      <c r="Z1719" s="94">
        <f>IF($A1719="",0,IF(AE1719="직접",IF(AF1719="신계약비",$P1719,0),$P1719*(1-AG1719)*IFERROR(INDEX(계정대체기준!$C$20:$C$49,MATCH($N1719,계정대체기준!$A$20:$A$49,0)),0)))</f>
        <v/>
      </c>
      <c r="AA1719" s="94">
        <f>IF($A1719="",0,IF(AE1719="직접",IF(OR(AF1719="유지비",AF1719="손해조사비"),$P1719,0),$P1719*(1-AG1719)*IFERROR(INDEX(계정대체기준!$D$20:$D$49,MATCH($N1719,계정대체기준!$A$20:$A$49,0)),0)))</f>
        <v/>
      </c>
      <c r="AB1719" s="94">
        <f>IF($A1719="",0,IF(AE1719="직접",IF(AF1719="수금비",$P1719,0),$P1719*(1-AG1719)*IFERROR(INDEX(계정대체기준!$E$20:$E$49,MATCH($N1719,계정대체기준!$A$20:$A$49,0)),0)))</f>
        <v/>
      </c>
      <c r="AC1719" s="9">
        <f>IF(AND($A1719&lt;&gt;"",M1719=설정!$C$20,Z1719&gt;0),Z1719+ROW()/1000000000,"")</f>
        <v/>
      </c>
      <c r="AD1719" s="94">
        <f>IF($A1719="",0,$P1719*AG1719)</f>
        <v/>
      </c>
      <c r="AE1719" s="64">
        <f>IF($A1719="","",IFERROR(INDEX(계정매핑!$E$5:$E$504,MATCH($F1719&amp;"",계정매핑!$A$5:$A$504,0))&amp;"","공통비"))</f>
        <v/>
      </c>
      <c r="AF1719" s="64">
        <f>IF($A1719="","",IF(AE1719="직접",IFERROR(INDEX(계정매핑!$F$5:$F$504,MATCH($F1719&amp;"",계정매핑!$A$5:$A$504,0))&amp;"","비귀속"),""))</f>
        <v/>
      </c>
      <c r="AG1719" s="96">
        <f>IF($A1719="",0,IF(AND(AE1719&lt;&gt;"직접",IFERROR(INDEX(계정매핑!$G$5:$G$504,MATCH($F1719&amp;"",계정매핑!$A$5:$A$504,0))&amp;"","")="유지비",COUNTIF(계정대체기준!$A$6:$A$15,$N1719)&gt;0),IFERROR(INDEX(계정대체기준!$E$6:$E$15,MATCH(VALUE($A1719&amp;""),계정대체기준!$D$6:$D$15,0)),0),0))</f>
        <v/>
      </c>
      <c r="AH1719" s="64">
        <f>IF($A1719="","",IF(AD1719=0,"",IF(OR(COUNTIF(계정대체기준!$A$77:$A$86,$N1719)&gt;0,ISNUMBER(MATCH($X1719,계정대체기준!$D$77:$D$86,0)),ISNUMBER(MATCH($F1719,계정대체기준!$D$77:$D$86,0))),"Y","N")))</f>
        <v/>
      </c>
    </row>
    <row r="1720">
      <c r="A1720" s="92" t="n">
        <v>2025</v>
      </c>
      <c r="B1720" s="92" t="n">
        <v>8</v>
      </c>
      <c r="C1720" s="92" t="inlineStr">
        <is>
          <t>5100001716</t>
        </is>
      </c>
      <c r="D1720" s="95" t="n">
        <v>45886</v>
      </c>
      <c r="E1720" s="92" t="inlineStr">
        <is>
          <t>KR</t>
        </is>
      </c>
      <c r="F1720" s="92" t="n">
        <v>62101000</v>
      </c>
      <c r="G1720" s="92" t="n">
        <v>1401</v>
      </c>
      <c r="H1720" s="93" t="n">
        <v>441000</v>
      </c>
      <c r="I1720" s="92" t="inlineStr">
        <is>
          <t>8월 국내출장 - M항공</t>
        </is>
      </c>
      <c r="J1720" s="92" t="inlineStr">
        <is>
          <t>V10001</t>
        </is>
      </c>
      <c r="K1720" s="92" t="inlineStr">
        <is>
          <t>M항공</t>
        </is>
      </c>
      <c r="M1720" s="9">
        <f>IF($A1720="","",VALUE($A1720&amp;"")*12+VALUE($B1720&amp;""))</f>
        <v/>
      </c>
      <c r="N1720" s="64">
        <f>IF($A1720="","",IFERROR(INDEX(부서매핑!$C$5:$C$504,MATCH($G1720&amp;"",부서매핑!$A$5:$A$504,0)),"미매핑"))</f>
        <v/>
      </c>
      <c r="O1720" s="9">
        <f>IF($A1720="","",N1720&amp;"|"&amp;$F1720)</f>
        <v/>
      </c>
      <c r="P1720" s="94">
        <f>IF($A1720="",0,$H1720*설정!$C$23)</f>
        <v/>
      </c>
      <c r="Q1720" s="64">
        <f>IF($A1720="","",IF(O1720&lt;&gt;원인분석!$C$9,"",IF(AND(M1720&gt;=원인분석!$C$10,M1720&lt;=원인분석!$C$11),"당기",IF(AND(M1720&gt;=원인분석!$C$12,M1720&lt;=원인분석!$C$13),"비교",""))))</f>
        <v/>
      </c>
      <c r="R1720" s="9">
        <f>IF(Q1720="","",$K1720&amp;"")</f>
        <v/>
      </c>
      <c r="S1720" s="9">
        <f>IF(Q1720="","",IF(MATCH(R1720,$R$5:$R$100000,0)=ROW()-4,ROW(),""))</f>
        <v/>
      </c>
      <c r="T1720" s="9">
        <f>IF(Q1720="당기",ABS(P1720)+ROW()/1000000000,"")</f>
        <v/>
      </c>
      <c r="U1720" s="9">
        <f>IF(Q1720="비교",ABS(P1720)+ROW()/1000000000,"")</f>
        <v/>
      </c>
      <c r="V1720" s="64">
        <f>IF($A1720="","",IF(COUNTIF(변동분석!$E$7:$E$506,O1720)&gt;0,"Y","N"))</f>
        <v/>
      </c>
      <c r="W1720" s="64">
        <f>IF($A1720="","",IFERROR(INDEX(계정매핑!$D$5:$D$504,MATCH($F1720&amp;"",계정매핑!$A$5:$A$504,0)),"미매핑"))</f>
        <v/>
      </c>
      <c r="X1720" s="9">
        <f>IF($A1720="","",$F1720&amp;"")</f>
        <v/>
      </c>
      <c r="Y1720" s="94">
        <f>IF($A1720="",0,IF(AE1720="직접",IF(AF1720="비귀속",$P1720,0),$P1720*(1-AG1720)*IFERROR(INDEX(계정대체기준!$F$20:$F$49,MATCH($N1720,계정대체기준!$A$20:$A$49,0)),1)))</f>
        <v/>
      </c>
      <c r="Z1720" s="94">
        <f>IF($A1720="",0,IF(AE1720="직접",IF(AF1720="신계약비",$P1720,0),$P1720*(1-AG1720)*IFERROR(INDEX(계정대체기준!$C$20:$C$49,MATCH($N1720,계정대체기준!$A$20:$A$49,0)),0)))</f>
        <v/>
      </c>
      <c r="AA1720" s="94">
        <f>IF($A1720="",0,IF(AE1720="직접",IF(OR(AF1720="유지비",AF1720="손해조사비"),$P1720,0),$P1720*(1-AG1720)*IFERROR(INDEX(계정대체기준!$D$20:$D$49,MATCH($N1720,계정대체기준!$A$20:$A$49,0)),0)))</f>
        <v/>
      </c>
      <c r="AB1720" s="94">
        <f>IF($A1720="",0,IF(AE1720="직접",IF(AF1720="수금비",$P1720,0),$P1720*(1-AG1720)*IFERROR(INDEX(계정대체기준!$E$20:$E$49,MATCH($N1720,계정대체기준!$A$20:$A$49,0)),0)))</f>
        <v/>
      </c>
      <c r="AC1720" s="9">
        <f>IF(AND($A1720&lt;&gt;"",M1720=설정!$C$20,Z1720&gt;0),Z1720+ROW()/1000000000,"")</f>
        <v/>
      </c>
      <c r="AD1720" s="94">
        <f>IF($A1720="",0,$P1720*AG1720)</f>
        <v/>
      </c>
      <c r="AE1720" s="64">
        <f>IF($A1720="","",IFERROR(INDEX(계정매핑!$E$5:$E$504,MATCH($F1720&amp;"",계정매핑!$A$5:$A$504,0))&amp;"","공통비"))</f>
        <v/>
      </c>
      <c r="AF1720" s="64">
        <f>IF($A1720="","",IF(AE1720="직접",IFERROR(INDEX(계정매핑!$F$5:$F$504,MATCH($F1720&amp;"",계정매핑!$A$5:$A$504,0))&amp;"","비귀속"),""))</f>
        <v/>
      </c>
      <c r="AG1720" s="96">
        <f>IF($A1720="",0,IF(AND(AE1720&lt;&gt;"직접",IFERROR(INDEX(계정매핑!$G$5:$G$504,MATCH($F1720&amp;"",계정매핑!$A$5:$A$504,0))&amp;"","")="유지비",COUNTIF(계정대체기준!$A$6:$A$15,$N1720)&gt;0),IFERROR(INDEX(계정대체기준!$E$6:$E$15,MATCH(VALUE($A1720&amp;""),계정대체기준!$D$6:$D$15,0)),0),0))</f>
        <v/>
      </c>
      <c r="AH1720" s="64">
        <f>IF($A1720="","",IF(AD1720=0,"",IF(OR(COUNTIF(계정대체기준!$A$77:$A$86,$N1720)&gt;0,ISNUMBER(MATCH($X1720,계정대체기준!$D$77:$D$86,0)),ISNUMBER(MATCH($F1720,계정대체기준!$D$77:$D$86,0))),"Y","N")))</f>
        <v/>
      </c>
    </row>
    <row r="1721">
      <c r="A1721" s="92" t="n">
        <v>2025</v>
      </c>
      <c r="B1721" s="92" t="n">
        <v>8</v>
      </c>
      <c r="C1721" s="92" t="inlineStr">
        <is>
          <t>5100001717</t>
        </is>
      </c>
      <c r="D1721" s="95" t="n">
        <v>45886</v>
      </c>
      <c r="E1721" s="92" t="inlineStr">
        <is>
          <t>KR</t>
        </is>
      </c>
      <c r="F1721" s="92" t="n">
        <v>62501000</v>
      </c>
      <c r="G1721" s="92" t="n">
        <v>1201</v>
      </c>
      <c r="H1721" s="93" t="n">
        <v>92000</v>
      </c>
      <c r="I1721" s="92" t="inlineStr">
        <is>
          <t>8월 회의 다과 - (법인카드)</t>
        </is>
      </c>
      <c r="J1721" s="92" t="inlineStr">
        <is>
          <t>V10010</t>
        </is>
      </c>
      <c r="K1721" s="92" t="inlineStr">
        <is>
          <t>(법인카드)</t>
        </is>
      </c>
      <c r="M1721" s="9">
        <f>IF($A1721="","",VALUE($A1721&amp;"")*12+VALUE($B1721&amp;""))</f>
        <v/>
      </c>
      <c r="N1721" s="64">
        <f>IF($A1721="","",IFERROR(INDEX(부서매핑!$C$5:$C$504,MATCH($G1721&amp;"",부서매핑!$A$5:$A$504,0)),"미매핑"))</f>
        <v/>
      </c>
      <c r="O1721" s="9">
        <f>IF($A1721="","",N1721&amp;"|"&amp;$F1721)</f>
        <v/>
      </c>
      <c r="P1721" s="94">
        <f>IF($A1721="",0,$H1721*설정!$C$23)</f>
        <v/>
      </c>
      <c r="Q1721" s="64">
        <f>IF($A1721="","",IF(O1721&lt;&gt;원인분석!$C$9,"",IF(AND(M1721&gt;=원인분석!$C$10,M1721&lt;=원인분석!$C$11),"당기",IF(AND(M1721&gt;=원인분석!$C$12,M1721&lt;=원인분석!$C$13),"비교",""))))</f>
        <v/>
      </c>
      <c r="R1721" s="9">
        <f>IF(Q1721="","",$K1721&amp;"")</f>
        <v/>
      </c>
      <c r="S1721" s="9">
        <f>IF(Q1721="","",IF(MATCH(R1721,$R$5:$R$100000,0)=ROW()-4,ROW(),""))</f>
        <v/>
      </c>
      <c r="T1721" s="9">
        <f>IF(Q1721="당기",ABS(P1721)+ROW()/1000000000,"")</f>
        <v/>
      </c>
      <c r="U1721" s="9">
        <f>IF(Q1721="비교",ABS(P1721)+ROW()/1000000000,"")</f>
        <v/>
      </c>
      <c r="V1721" s="64">
        <f>IF($A1721="","",IF(COUNTIF(변동분석!$E$7:$E$506,O1721)&gt;0,"Y","N"))</f>
        <v/>
      </c>
      <c r="W1721" s="64">
        <f>IF($A1721="","",IFERROR(INDEX(계정매핑!$D$5:$D$504,MATCH($F1721&amp;"",계정매핑!$A$5:$A$504,0)),"미매핑"))</f>
        <v/>
      </c>
      <c r="X1721" s="9">
        <f>IF($A1721="","",$F1721&amp;"")</f>
        <v/>
      </c>
      <c r="Y1721" s="94">
        <f>IF($A1721="",0,IF(AE1721="직접",IF(AF1721="비귀속",$P1721,0),$P1721*(1-AG1721)*IFERROR(INDEX(계정대체기준!$F$20:$F$49,MATCH($N1721,계정대체기준!$A$20:$A$49,0)),1)))</f>
        <v/>
      </c>
      <c r="Z1721" s="94">
        <f>IF($A1721="",0,IF(AE1721="직접",IF(AF1721="신계약비",$P1721,0),$P1721*(1-AG1721)*IFERROR(INDEX(계정대체기준!$C$20:$C$49,MATCH($N1721,계정대체기준!$A$20:$A$49,0)),0)))</f>
        <v/>
      </c>
      <c r="AA1721" s="94">
        <f>IF($A1721="",0,IF(AE1721="직접",IF(OR(AF1721="유지비",AF1721="손해조사비"),$P1721,0),$P1721*(1-AG1721)*IFERROR(INDEX(계정대체기준!$D$20:$D$49,MATCH($N1721,계정대체기준!$A$20:$A$49,0)),0)))</f>
        <v/>
      </c>
      <c r="AB1721" s="94">
        <f>IF($A1721="",0,IF(AE1721="직접",IF(AF1721="수금비",$P1721,0),$P1721*(1-AG1721)*IFERROR(INDEX(계정대체기준!$E$20:$E$49,MATCH($N1721,계정대체기준!$A$20:$A$49,0)),0)))</f>
        <v/>
      </c>
      <c r="AC1721" s="9">
        <f>IF(AND($A1721&lt;&gt;"",M1721=설정!$C$20,Z1721&gt;0),Z1721+ROW()/1000000000,"")</f>
        <v/>
      </c>
      <c r="AD1721" s="94">
        <f>IF($A1721="",0,$P1721*AG1721)</f>
        <v/>
      </c>
      <c r="AE1721" s="64">
        <f>IF($A1721="","",IFERROR(INDEX(계정매핑!$E$5:$E$504,MATCH($F1721&amp;"",계정매핑!$A$5:$A$504,0))&amp;"","공통비"))</f>
        <v/>
      </c>
      <c r="AF1721" s="64">
        <f>IF($A1721="","",IF(AE1721="직접",IFERROR(INDEX(계정매핑!$F$5:$F$504,MATCH($F1721&amp;"",계정매핑!$A$5:$A$504,0))&amp;"","비귀속"),""))</f>
        <v/>
      </c>
      <c r="AG1721" s="96">
        <f>IF($A1721="",0,IF(AND(AE1721&lt;&gt;"직접",IFERROR(INDEX(계정매핑!$G$5:$G$504,MATCH($F1721&amp;"",계정매핑!$A$5:$A$504,0))&amp;"","")="유지비",COUNTIF(계정대체기준!$A$6:$A$15,$N1721)&gt;0),IFERROR(INDEX(계정대체기준!$E$6:$E$15,MATCH(VALUE($A1721&amp;""),계정대체기준!$D$6:$D$15,0)),0),0))</f>
        <v/>
      </c>
      <c r="AH1721" s="64">
        <f>IF($A1721="","",IF(AD1721=0,"",IF(OR(COUNTIF(계정대체기준!$A$77:$A$86,$N1721)&gt;0,ISNUMBER(MATCH($X1721,계정대체기준!$D$77:$D$86,0)),ISNUMBER(MATCH($F1721,계정대체기준!$D$77:$D$86,0))),"Y","N")))</f>
        <v/>
      </c>
    </row>
    <row r="1722">
      <c r="A1722" s="92" t="n">
        <v>2025</v>
      </c>
      <c r="B1722" s="92" t="n">
        <v>8</v>
      </c>
      <c r="C1722" s="92" t="inlineStr">
        <is>
          <t>5100001718</t>
        </is>
      </c>
      <c r="D1722" s="95" t="n">
        <v>45886</v>
      </c>
      <c r="E1722" s="92" t="inlineStr">
        <is>
          <t>KR</t>
        </is>
      </c>
      <c r="F1722" s="92" t="n">
        <v>62601000</v>
      </c>
      <c r="G1722" s="92" t="n">
        <v>1601</v>
      </c>
      <c r="H1722" s="93" t="n">
        <v>2821000</v>
      </c>
      <c r="I1722" s="92" t="inlineStr">
        <is>
          <t>8월 업무추진 - (법인카드)</t>
        </is>
      </c>
      <c r="J1722" s="92" t="inlineStr">
        <is>
          <t>V10010</t>
        </is>
      </c>
      <c r="K1722" s="92" t="inlineStr">
        <is>
          <t>(법인카드)</t>
        </is>
      </c>
      <c r="M1722" s="9">
        <f>IF($A1722="","",VALUE($A1722&amp;"")*12+VALUE($B1722&amp;""))</f>
        <v/>
      </c>
      <c r="N1722" s="64">
        <f>IF($A1722="","",IFERROR(INDEX(부서매핑!$C$5:$C$504,MATCH($G1722&amp;"",부서매핑!$A$5:$A$504,0)),"미매핑"))</f>
        <v/>
      </c>
      <c r="O1722" s="9">
        <f>IF($A1722="","",N1722&amp;"|"&amp;$F1722)</f>
        <v/>
      </c>
      <c r="P1722" s="94">
        <f>IF($A1722="",0,$H1722*설정!$C$23)</f>
        <v/>
      </c>
      <c r="Q1722" s="64">
        <f>IF($A1722="","",IF(O1722&lt;&gt;원인분석!$C$9,"",IF(AND(M1722&gt;=원인분석!$C$10,M1722&lt;=원인분석!$C$11),"당기",IF(AND(M1722&gt;=원인분석!$C$12,M1722&lt;=원인분석!$C$13),"비교",""))))</f>
        <v/>
      </c>
      <c r="R1722" s="9">
        <f>IF(Q1722="","",$K1722&amp;"")</f>
        <v/>
      </c>
      <c r="S1722" s="9">
        <f>IF(Q1722="","",IF(MATCH(R1722,$R$5:$R$100000,0)=ROW()-4,ROW(),""))</f>
        <v/>
      </c>
      <c r="T1722" s="9">
        <f>IF(Q1722="당기",ABS(P1722)+ROW()/1000000000,"")</f>
        <v/>
      </c>
      <c r="U1722" s="9">
        <f>IF(Q1722="비교",ABS(P1722)+ROW()/1000000000,"")</f>
        <v/>
      </c>
      <c r="V1722" s="64">
        <f>IF($A1722="","",IF(COUNTIF(변동분석!$E$7:$E$506,O1722)&gt;0,"Y","N"))</f>
        <v/>
      </c>
      <c r="W1722" s="64">
        <f>IF($A1722="","",IFERROR(INDEX(계정매핑!$D$5:$D$504,MATCH($F1722&amp;"",계정매핑!$A$5:$A$504,0)),"미매핑"))</f>
        <v/>
      </c>
      <c r="X1722" s="9">
        <f>IF($A1722="","",$F1722&amp;"")</f>
        <v/>
      </c>
      <c r="Y1722" s="94">
        <f>IF($A1722="",0,IF(AE1722="직접",IF(AF1722="비귀속",$P1722,0),$P1722*(1-AG1722)*IFERROR(INDEX(계정대체기준!$F$20:$F$49,MATCH($N1722,계정대체기준!$A$20:$A$49,0)),1)))</f>
        <v/>
      </c>
      <c r="Z1722" s="94">
        <f>IF($A1722="",0,IF(AE1722="직접",IF(AF1722="신계약비",$P1722,0),$P1722*(1-AG1722)*IFERROR(INDEX(계정대체기준!$C$20:$C$49,MATCH($N1722,계정대체기준!$A$20:$A$49,0)),0)))</f>
        <v/>
      </c>
      <c r="AA1722" s="94">
        <f>IF($A1722="",0,IF(AE1722="직접",IF(OR(AF1722="유지비",AF1722="손해조사비"),$P1722,0),$P1722*(1-AG1722)*IFERROR(INDEX(계정대체기준!$D$20:$D$49,MATCH($N1722,계정대체기준!$A$20:$A$49,0)),0)))</f>
        <v/>
      </c>
      <c r="AB1722" s="94">
        <f>IF($A1722="",0,IF(AE1722="직접",IF(AF1722="수금비",$P1722,0),$P1722*(1-AG1722)*IFERROR(INDEX(계정대체기준!$E$20:$E$49,MATCH($N1722,계정대체기준!$A$20:$A$49,0)),0)))</f>
        <v/>
      </c>
      <c r="AC1722" s="9">
        <f>IF(AND($A1722&lt;&gt;"",M1722=설정!$C$20,Z1722&gt;0),Z1722+ROW()/1000000000,"")</f>
        <v/>
      </c>
      <c r="AD1722" s="94">
        <f>IF($A1722="",0,$P1722*AG1722)</f>
        <v/>
      </c>
      <c r="AE1722" s="64">
        <f>IF($A1722="","",IFERROR(INDEX(계정매핑!$E$5:$E$504,MATCH($F1722&amp;"",계정매핑!$A$5:$A$504,0))&amp;"","공통비"))</f>
        <v/>
      </c>
      <c r="AF1722" s="64">
        <f>IF($A1722="","",IF(AE1722="직접",IFERROR(INDEX(계정매핑!$F$5:$F$504,MATCH($F1722&amp;"",계정매핑!$A$5:$A$504,0))&amp;"","비귀속"),""))</f>
        <v/>
      </c>
      <c r="AG1722" s="96">
        <f>IF($A1722="",0,IF(AND(AE1722&lt;&gt;"직접",IFERROR(INDEX(계정매핑!$G$5:$G$504,MATCH($F1722&amp;"",계정매핑!$A$5:$A$504,0))&amp;"","")="유지비",COUNTIF(계정대체기준!$A$6:$A$15,$N1722)&gt;0),IFERROR(INDEX(계정대체기준!$E$6:$E$15,MATCH(VALUE($A1722&amp;""),계정대체기준!$D$6:$D$15,0)),0),0))</f>
        <v/>
      </c>
      <c r="AH1722" s="64">
        <f>IF($A1722="","",IF(AD1722=0,"",IF(OR(COUNTIF(계정대체기준!$A$77:$A$86,$N1722)&gt;0,ISNUMBER(MATCH($X1722,계정대체기준!$D$77:$D$86,0)),ISNUMBER(MATCH($F1722,계정대체기준!$D$77:$D$86,0))),"Y","N")))</f>
        <v/>
      </c>
    </row>
    <row r="1723">
      <c r="A1723" s="92" t="n">
        <v>2025</v>
      </c>
      <c r="B1723" s="92" t="n">
        <v>8</v>
      </c>
      <c r="C1723" s="92" t="inlineStr">
        <is>
          <t>5100001719</t>
        </is>
      </c>
      <c r="D1723" s="95" t="n">
        <v>45886</v>
      </c>
      <c r="E1723" s="92" t="inlineStr">
        <is>
          <t>KR</t>
        </is>
      </c>
      <c r="F1723" s="92" t="n">
        <v>62801000</v>
      </c>
      <c r="G1723" s="92" t="n">
        <v>1301</v>
      </c>
      <c r="H1723" s="93" t="n">
        <v>2188000</v>
      </c>
      <c r="I1723" s="92" t="inlineStr">
        <is>
          <t>8월 사내교육 - (사내강사료)</t>
        </is>
      </c>
      <c r="J1723" s="92" t="inlineStr">
        <is>
          <t>V10024</t>
        </is>
      </c>
      <c r="K1723" s="92" t="inlineStr">
        <is>
          <t>(사내강사료)</t>
        </is>
      </c>
      <c r="M1723" s="9">
        <f>IF($A1723="","",VALUE($A1723&amp;"")*12+VALUE($B1723&amp;""))</f>
        <v/>
      </c>
      <c r="N1723" s="64">
        <f>IF($A1723="","",IFERROR(INDEX(부서매핑!$C$5:$C$504,MATCH($G1723&amp;"",부서매핑!$A$5:$A$504,0)),"미매핑"))</f>
        <v/>
      </c>
      <c r="O1723" s="9">
        <f>IF($A1723="","",N1723&amp;"|"&amp;$F1723)</f>
        <v/>
      </c>
      <c r="P1723" s="94">
        <f>IF($A1723="",0,$H1723*설정!$C$23)</f>
        <v/>
      </c>
      <c r="Q1723" s="64">
        <f>IF($A1723="","",IF(O1723&lt;&gt;원인분석!$C$9,"",IF(AND(M1723&gt;=원인분석!$C$10,M1723&lt;=원인분석!$C$11),"당기",IF(AND(M1723&gt;=원인분석!$C$12,M1723&lt;=원인분석!$C$13),"비교",""))))</f>
        <v/>
      </c>
      <c r="R1723" s="9">
        <f>IF(Q1723="","",$K1723&amp;"")</f>
        <v/>
      </c>
      <c r="S1723" s="9">
        <f>IF(Q1723="","",IF(MATCH(R1723,$R$5:$R$100000,0)=ROW()-4,ROW(),""))</f>
        <v/>
      </c>
      <c r="T1723" s="9">
        <f>IF(Q1723="당기",ABS(P1723)+ROW()/1000000000,"")</f>
        <v/>
      </c>
      <c r="U1723" s="9">
        <f>IF(Q1723="비교",ABS(P1723)+ROW()/1000000000,"")</f>
        <v/>
      </c>
      <c r="V1723" s="64">
        <f>IF($A1723="","",IF(COUNTIF(변동분석!$E$7:$E$506,O1723)&gt;0,"Y","N"))</f>
        <v/>
      </c>
      <c r="W1723" s="64">
        <f>IF($A1723="","",IFERROR(INDEX(계정매핑!$D$5:$D$504,MATCH($F1723&amp;"",계정매핑!$A$5:$A$504,0)),"미매핑"))</f>
        <v/>
      </c>
      <c r="X1723" s="9">
        <f>IF($A1723="","",$F1723&amp;"")</f>
        <v/>
      </c>
      <c r="Y1723" s="94">
        <f>IF($A1723="",0,IF(AE1723="직접",IF(AF1723="비귀속",$P1723,0),$P1723*(1-AG1723)*IFERROR(INDEX(계정대체기준!$F$20:$F$49,MATCH($N1723,계정대체기준!$A$20:$A$49,0)),1)))</f>
        <v/>
      </c>
      <c r="Z1723" s="94">
        <f>IF($A1723="",0,IF(AE1723="직접",IF(AF1723="신계약비",$P1723,0),$P1723*(1-AG1723)*IFERROR(INDEX(계정대체기준!$C$20:$C$49,MATCH($N1723,계정대체기준!$A$20:$A$49,0)),0)))</f>
        <v/>
      </c>
      <c r="AA1723" s="94">
        <f>IF($A1723="",0,IF(AE1723="직접",IF(OR(AF1723="유지비",AF1723="손해조사비"),$P1723,0),$P1723*(1-AG1723)*IFERROR(INDEX(계정대체기준!$D$20:$D$49,MATCH($N1723,계정대체기준!$A$20:$A$49,0)),0)))</f>
        <v/>
      </c>
      <c r="AB1723" s="94">
        <f>IF($A1723="",0,IF(AE1723="직접",IF(AF1723="수금비",$P1723,0),$P1723*(1-AG1723)*IFERROR(INDEX(계정대체기준!$E$20:$E$49,MATCH($N1723,계정대체기준!$A$20:$A$49,0)),0)))</f>
        <v/>
      </c>
      <c r="AC1723" s="9">
        <f>IF(AND($A1723&lt;&gt;"",M1723=설정!$C$20,Z1723&gt;0),Z1723+ROW()/1000000000,"")</f>
        <v/>
      </c>
      <c r="AD1723" s="94">
        <f>IF($A1723="",0,$P1723*AG1723)</f>
        <v/>
      </c>
      <c r="AE1723" s="64">
        <f>IF($A1723="","",IFERROR(INDEX(계정매핑!$E$5:$E$504,MATCH($F1723&amp;"",계정매핑!$A$5:$A$504,0))&amp;"","공통비"))</f>
        <v/>
      </c>
      <c r="AF1723" s="64">
        <f>IF($A1723="","",IF(AE1723="직접",IFERROR(INDEX(계정매핑!$F$5:$F$504,MATCH($F1723&amp;"",계정매핑!$A$5:$A$504,0))&amp;"","비귀속"),""))</f>
        <v/>
      </c>
      <c r="AG1723" s="96">
        <f>IF($A1723="",0,IF(AND(AE1723&lt;&gt;"직접",IFERROR(INDEX(계정매핑!$G$5:$G$504,MATCH($F1723&amp;"",계정매핑!$A$5:$A$504,0))&amp;"","")="유지비",COUNTIF(계정대체기준!$A$6:$A$15,$N1723)&gt;0),IFERROR(INDEX(계정대체기준!$E$6:$E$15,MATCH(VALUE($A1723&amp;""),계정대체기준!$D$6:$D$15,0)),0),0))</f>
        <v/>
      </c>
      <c r="AH1723" s="64">
        <f>IF($A1723="","",IF(AD1723=0,"",IF(OR(COUNTIF(계정대체기준!$A$77:$A$86,$N1723)&gt;0,ISNUMBER(MATCH($X1723,계정대체기준!$D$77:$D$86,0)),ISNUMBER(MATCH($F1723,계정대체기준!$D$77:$D$86,0))),"Y","N")))</f>
        <v/>
      </c>
    </row>
    <row r="1724">
      <c r="A1724" s="92" t="n">
        <v>2025</v>
      </c>
      <c r="B1724" s="92" t="n">
        <v>8</v>
      </c>
      <c r="C1724" s="92" t="inlineStr">
        <is>
          <t>5100001720</t>
        </is>
      </c>
      <c r="D1724" s="95" t="n">
        <v>45886</v>
      </c>
      <c r="E1724" s="92" t="inlineStr">
        <is>
          <t>KR</t>
        </is>
      </c>
      <c r="F1724" s="92" t="n">
        <v>62901000</v>
      </c>
      <c r="G1724" s="92" t="n">
        <v>1201</v>
      </c>
      <c r="H1724" s="93" t="n">
        <v>6666000</v>
      </c>
      <c r="I1724" s="92" t="inlineStr">
        <is>
          <t>8월 자문 수수료 - W컨설팅</t>
        </is>
      </c>
      <c r="J1724" s="92" t="inlineStr">
        <is>
          <t>V10006</t>
        </is>
      </c>
      <c r="K1724" s="92" t="inlineStr">
        <is>
          <t>W컨설팅</t>
        </is>
      </c>
      <c r="M1724" s="9">
        <f>IF($A1724="","",VALUE($A1724&amp;"")*12+VALUE($B1724&amp;""))</f>
        <v/>
      </c>
      <c r="N1724" s="64">
        <f>IF($A1724="","",IFERROR(INDEX(부서매핑!$C$5:$C$504,MATCH($G1724&amp;"",부서매핑!$A$5:$A$504,0)),"미매핑"))</f>
        <v/>
      </c>
      <c r="O1724" s="9">
        <f>IF($A1724="","",N1724&amp;"|"&amp;$F1724)</f>
        <v/>
      </c>
      <c r="P1724" s="94">
        <f>IF($A1724="",0,$H1724*설정!$C$23)</f>
        <v/>
      </c>
      <c r="Q1724" s="64">
        <f>IF($A1724="","",IF(O1724&lt;&gt;원인분석!$C$9,"",IF(AND(M1724&gt;=원인분석!$C$10,M1724&lt;=원인분석!$C$11),"당기",IF(AND(M1724&gt;=원인분석!$C$12,M1724&lt;=원인분석!$C$13),"비교",""))))</f>
        <v/>
      </c>
      <c r="R1724" s="9">
        <f>IF(Q1724="","",$K1724&amp;"")</f>
        <v/>
      </c>
      <c r="S1724" s="9">
        <f>IF(Q1724="","",IF(MATCH(R1724,$R$5:$R$100000,0)=ROW()-4,ROW(),""))</f>
        <v/>
      </c>
      <c r="T1724" s="9">
        <f>IF(Q1724="당기",ABS(P1724)+ROW()/1000000000,"")</f>
        <v/>
      </c>
      <c r="U1724" s="9">
        <f>IF(Q1724="비교",ABS(P1724)+ROW()/1000000000,"")</f>
        <v/>
      </c>
      <c r="V1724" s="64">
        <f>IF($A1724="","",IF(COUNTIF(변동분석!$E$7:$E$506,O1724)&gt;0,"Y","N"))</f>
        <v/>
      </c>
      <c r="W1724" s="64">
        <f>IF($A1724="","",IFERROR(INDEX(계정매핑!$D$5:$D$504,MATCH($F1724&amp;"",계정매핑!$A$5:$A$504,0)),"미매핑"))</f>
        <v/>
      </c>
      <c r="X1724" s="9">
        <f>IF($A1724="","",$F1724&amp;"")</f>
        <v/>
      </c>
      <c r="Y1724" s="94">
        <f>IF($A1724="",0,IF(AE1724="직접",IF(AF1724="비귀속",$P1724,0),$P1724*(1-AG1724)*IFERROR(INDEX(계정대체기준!$F$20:$F$49,MATCH($N1724,계정대체기준!$A$20:$A$49,0)),1)))</f>
        <v/>
      </c>
      <c r="Z1724" s="94">
        <f>IF($A1724="",0,IF(AE1724="직접",IF(AF1724="신계약비",$P1724,0),$P1724*(1-AG1724)*IFERROR(INDEX(계정대체기준!$C$20:$C$49,MATCH($N1724,계정대체기준!$A$20:$A$49,0)),0)))</f>
        <v/>
      </c>
      <c r="AA1724" s="94">
        <f>IF($A1724="",0,IF(AE1724="직접",IF(OR(AF1724="유지비",AF1724="손해조사비"),$P1724,0),$P1724*(1-AG1724)*IFERROR(INDEX(계정대체기준!$D$20:$D$49,MATCH($N1724,계정대체기준!$A$20:$A$49,0)),0)))</f>
        <v/>
      </c>
      <c r="AB1724" s="94">
        <f>IF($A1724="",0,IF(AE1724="직접",IF(AF1724="수금비",$P1724,0),$P1724*(1-AG1724)*IFERROR(INDEX(계정대체기준!$E$20:$E$49,MATCH($N1724,계정대체기준!$A$20:$A$49,0)),0)))</f>
        <v/>
      </c>
      <c r="AC1724" s="9">
        <f>IF(AND($A1724&lt;&gt;"",M1724=설정!$C$20,Z1724&gt;0),Z1724+ROW()/1000000000,"")</f>
        <v/>
      </c>
      <c r="AD1724" s="94">
        <f>IF($A1724="",0,$P1724*AG1724)</f>
        <v/>
      </c>
      <c r="AE1724" s="64">
        <f>IF($A1724="","",IFERROR(INDEX(계정매핑!$E$5:$E$504,MATCH($F1724&amp;"",계정매핑!$A$5:$A$504,0))&amp;"","공통비"))</f>
        <v/>
      </c>
      <c r="AF1724" s="64">
        <f>IF($A1724="","",IF(AE1724="직접",IFERROR(INDEX(계정매핑!$F$5:$F$504,MATCH($F1724&amp;"",계정매핑!$A$5:$A$504,0))&amp;"","비귀속"),""))</f>
        <v/>
      </c>
      <c r="AG1724" s="96">
        <f>IF($A1724="",0,IF(AND(AE1724&lt;&gt;"직접",IFERROR(INDEX(계정매핑!$G$5:$G$504,MATCH($F1724&amp;"",계정매핑!$A$5:$A$504,0))&amp;"","")="유지비",COUNTIF(계정대체기준!$A$6:$A$15,$N1724)&gt;0),IFERROR(INDEX(계정대체기준!$E$6:$E$15,MATCH(VALUE($A1724&amp;""),계정대체기준!$D$6:$D$15,0)),0),0))</f>
        <v/>
      </c>
      <c r="AH1724" s="64">
        <f>IF($A1724="","",IF(AD1724=0,"",IF(OR(COUNTIF(계정대체기준!$A$77:$A$86,$N1724)&gt;0,ISNUMBER(MATCH($X1724,계정대체기준!$D$77:$D$86,0)),ISNUMBER(MATCH($F1724,계정대체기준!$D$77:$D$86,0))),"Y","N")))</f>
        <v/>
      </c>
    </row>
    <row r="1725">
      <c r="A1725" s="92" t="n">
        <v>2025</v>
      </c>
      <c r="B1725" s="92" t="n">
        <v>8</v>
      </c>
      <c r="C1725" s="92" t="inlineStr">
        <is>
          <t>5100001721</t>
        </is>
      </c>
      <c r="D1725" s="95" t="n">
        <v>45886</v>
      </c>
      <c r="E1725" s="92" t="inlineStr">
        <is>
          <t>KR</t>
        </is>
      </c>
      <c r="F1725" s="92" t="n">
        <v>62902000</v>
      </c>
      <c r="G1725" s="92" t="n">
        <v>1101</v>
      </c>
      <c r="H1725" s="93" t="n">
        <v>922000</v>
      </c>
      <c r="I1725" s="92" t="inlineStr">
        <is>
          <t>8월 업무 위탁 수수료 - X서비스</t>
        </is>
      </c>
      <c r="J1725" s="92" t="inlineStr">
        <is>
          <t>V10020</t>
        </is>
      </c>
      <c r="K1725" s="92" t="inlineStr">
        <is>
          <t>X서비스</t>
        </is>
      </c>
      <c r="M1725" s="9">
        <f>IF($A1725="","",VALUE($A1725&amp;"")*12+VALUE($B1725&amp;""))</f>
        <v/>
      </c>
      <c r="N1725" s="64">
        <f>IF($A1725="","",IFERROR(INDEX(부서매핑!$C$5:$C$504,MATCH($G1725&amp;"",부서매핑!$A$5:$A$504,0)),"미매핑"))</f>
        <v/>
      </c>
      <c r="O1725" s="9">
        <f>IF($A1725="","",N1725&amp;"|"&amp;$F1725)</f>
        <v/>
      </c>
      <c r="P1725" s="94">
        <f>IF($A1725="",0,$H1725*설정!$C$23)</f>
        <v/>
      </c>
      <c r="Q1725" s="64">
        <f>IF($A1725="","",IF(O1725&lt;&gt;원인분석!$C$9,"",IF(AND(M1725&gt;=원인분석!$C$10,M1725&lt;=원인분석!$C$11),"당기",IF(AND(M1725&gt;=원인분석!$C$12,M1725&lt;=원인분석!$C$13),"비교",""))))</f>
        <v/>
      </c>
      <c r="R1725" s="9">
        <f>IF(Q1725="","",$K1725&amp;"")</f>
        <v/>
      </c>
      <c r="S1725" s="9">
        <f>IF(Q1725="","",IF(MATCH(R1725,$R$5:$R$100000,0)=ROW()-4,ROW(),""))</f>
        <v/>
      </c>
      <c r="T1725" s="9">
        <f>IF(Q1725="당기",ABS(P1725)+ROW()/1000000000,"")</f>
        <v/>
      </c>
      <c r="U1725" s="9">
        <f>IF(Q1725="비교",ABS(P1725)+ROW()/1000000000,"")</f>
        <v/>
      </c>
      <c r="V1725" s="64">
        <f>IF($A1725="","",IF(COUNTIF(변동분석!$E$7:$E$506,O1725)&gt;0,"Y","N"))</f>
        <v/>
      </c>
      <c r="W1725" s="64">
        <f>IF($A1725="","",IFERROR(INDEX(계정매핑!$D$5:$D$504,MATCH($F1725&amp;"",계정매핑!$A$5:$A$504,0)),"미매핑"))</f>
        <v/>
      </c>
      <c r="X1725" s="9">
        <f>IF($A1725="","",$F1725&amp;"")</f>
        <v/>
      </c>
      <c r="Y1725" s="94">
        <f>IF($A1725="",0,IF(AE1725="직접",IF(AF1725="비귀속",$P1725,0),$P1725*(1-AG1725)*IFERROR(INDEX(계정대체기준!$F$20:$F$49,MATCH($N1725,계정대체기준!$A$20:$A$49,0)),1)))</f>
        <v/>
      </c>
      <c r="Z1725" s="94">
        <f>IF($A1725="",0,IF(AE1725="직접",IF(AF1725="신계약비",$P1725,0),$P1725*(1-AG1725)*IFERROR(INDEX(계정대체기준!$C$20:$C$49,MATCH($N1725,계정대체기준!$A$20:$A$49,0)),0)))</f>
        <v/>
      </c>
      <c r="AA1725" s="94">
        <f>IF($A1725="",0,IF(AE1725="직접",IF(OR(AF1725="유지비",AF1725="손해조사비"),$P1725,0),$P1725*(1-AG1725)*IFERROR(INDEX(계정대체기준!$D$20:$D$49,MATCH($N1725,계정대체기준!$A$20:$A$49,0)),0)))</f>
        <v/>
      </c>
      <c r="AB1725" s="94">
        <f>IF($A1725="",0,IF(AE1725="직접",IF(AF1725="수금비",$P1725,0),$P1725*(1-AG1725)*IFERROR(INDEX(계정대체기준!$E$20:$E$49,MATCH($N1725,계정대체기준!$A$20:$A$49,0)),0)))</f>
        <v/>
      </c>
      <c r="AC1725" s="9">
        <f>IF(AND($A1725&lt;&gt;"",M1725=설정!$C$20,Z1725&gt;0),Z1725+ROW()/1000000000,"")</f>
        <v/>
      </c>
      <c r="AD1725" s="94">
        <f>IF($A1725="",0,$P1725*AG1725)</f>
        <v/>
      </c>
      <c r="AE1725" s="64">
        <f>IF($A1725="","",IFERROR(INDEX(계정매핑!$E$5:$E$504,MATCH($F1725&amp;"",계정매핑!$A$5:$A$504,0))&amp;"","공통비"))</f>
        <v/>
      </c>
      <c r="AF1725" s="64">
        <f>IF($A1725="","",IF(AE1725="직접",IFERROR(INDEX(계정매핑!$F$5:$F$504,MATCH($F1725&amp;"",계정매핑!$A$5:$A$504,0))&amp;"","비귀속"),""))</f>
        <v/>
      </c>
      <c r="AG1725" s="96">
        <f>IF($A1725="",0,IF(AND(AE1725&lt;&gt;"직접",IFERROR(INDEX(계정매핑!$G$5:$G$504,MATCH($F1725&amp;"",계정매핑!$A$5:$A$504,0))&amp;"","")="유지비",COUNTIF(계정대체기준!$A$6:$A$15,$N1725)&gt;0),IFERROR(INDEX(계정대체기준!$E$6:$E$15,MATCH(VALUE($A1725&amp;""),계정대체기준!$D$6:$D$15,0)),0),0))</f>
        <v/>
      </c>
      <c r="AH1725" s="64">
        <f>IF($A1725="","",IF(AD1725=0,"",IF(OR(COUNTIF(계정대체기준!$A$77:$A$86,$N1725)&gt;0,ISNUMBER(MATCH($X1725,계정대체기준!$D$77:$D$86,0)),ISNUMBER(MATCH($F1725,계정대체기준!$D$77:$D$86,0))),"Y","N")))</f>
        <v/>
      </c>
    </row>
    <row r="1726">
      <c r="A1726" s="92" t="n">
        <v>2025</v>
      </c>
      <c r="B1726" s="92" t="n">
        <v>8</v>
      </c>
      <c r="C1726" s="92" t="inlineStr">
        <is>
          <t>5100001722</t>
        </is>
      </c>
      <c r="D1726" s="95" t="n">
        <v>45886</v>
      </c>
      <c r="E1726" s="92" t="inlineStr">
        <is>
          <t>KR</t>
        </is>
      </c>
      <c r="F1726" s="92" t="n">
        <v>62902000</v>
      </c>
      <c r="G1726" s="92" t="n">
        <v>1801</v>
      </c>
      <c r="H1726" s="93" t="n">
        <v>1761000</v>
      </c>
      <c r="I1726" s="92" t="inlineStr">
        <is>
          <t>8월 콜 위탁 수수료(건별)</t>
        </is>
      </c>
      <c r="J1726" s="92" t="inlineStr">
        <is>
          <t>V10016</t>
        </is>
      </c>
      <c r="K1726" s="92" t="inlineStr">
        <is>
          <t>J콜센터</t>
        </is>
      </c>
      <c r="M1726" s="9">
        <f>IF($A1726="","",VALUE($A1726&amp;"")*12+VALUE($B1726&amp;""))</f>
        <v/>
      </c>
      <c r="N1726" s="64">
        <f>IF($A1726="","",IFERROR(INDEX(부서매핑!$C$5:$C$504,MATCH($G1726&amp;"",부서매핑!$A$5:$A$504,0)),"미매핑"))</f>
        <v/>
      </c>
      <c r="O1726" s="9">
        <f>IF($A1726="","",N1726&amp;"|"&amp;$F1726)</f>
        <v/>
      </c>
      <c r="P1726" s="94">
        <f>IF($A1726="",0,$H1726*설정!$C$23)</f>
        <v/>
      </c>
      <c r="Q1726" s="64">
        <f>IF($A1726="","",IF(O1726&lt;&gt;원인분석!$C$9,"",IF(AND(M1726&gt;=원인분석!$C$10,M1726&lt;=원인분석!$C$11),"당기",IF(AND(M1726&gt;=원인분석!$C$12,M1726&lt;=원인분석!$C$13),"비교",""))))</f>
        <v/>
      </c>
      <c r="R1726" s="9">
        <f>IF(Q1726="","",$K1726&amp;"")</f>
        <v/>
      </c>
      <c r="S1726" s="9">
        <f>IF(Q1726="","",IF(MATCH(R1726,$R$5:$R$100000,0)=ROW()-4,ROW(),""))</f>
        <v/>
      </c>
      <c r="T1726" s="9">
        <f>IF(Q1726="당기",ABS(P1726)+ROW()/1000000000,"")</f>
        <v/>
      </c>
      <c r="U1726" s="9">
        <f>IF(Q1726="비교",ABS(P1726)+ROW()/1000000000,"")</f>
        <v/>
      </c>
      <c r="V1726" s="64">
        <f>IF($A1726="","",IF(COUNTIF(변동분석!$E$7:$E$506,O1726)&gt;0,"Y","N"))</f>
        <v/>
      </c>
      <c r="W1726" s="64">
        <f>IF($A1726="","",IFERROR(INDEX(계정매핑!$D$5:$D$504,MATCH($F1726&amp;"",계정매핑!$A$5:$A$504,0)),"미매핑"))</f>
        <v/>
      </c>
      <c r="X1726" s="9">
        <f>IF($A1726="","",$F1726&amp;"")</f>
        <v/>
      </c>
      <c r="Y1726" s="94">
        <f>IF($A1726="",0,IF(AE1726="직접",IF(AF1726="비귀속",$P1726,0),$P1726*(1-AG1726)*IFERROR(INDEX(계정대체기준!$F$20:$F$49,MATCH($N1726,계정대체기준!$A$20:$A$49,0)),1)))</f>
        <v/>
      </c>
      <c r="Z1726" s="94">
        <f>IF($A1726="",0,IF(AE1726="직접",IF(AF1726="신계약비",$P1726,0),$P1726*(1-AG1726)*IFERROR(INDEX(계정대체기준!$C$20:$C$49,MATCH($N1726,계정대체기준!$A$20:$A$49,0)),0)))</f>
        <v/>
      </c>
      <c r="AA1726" s="94">
        <f>IF($A1726="",0,IF(AE1726="직접",IF(OR(AF1726="유지비",AF1726="손해조사비"),$P1726,0),$P1726*(1-AG1726)*IFERROR(INDEX(계정대체기준!$D$20:$D$49,MATCH($N1726,계정대체기준!$A$20:$A$49,0)),0)))</f>
        <v/>
      </c>
      <c r="AB1726" s="94">
        <f>IF($A1726="",0,IF(AE1726="직접",IF(AF1726="수금비",$P1726,0),$P1726*(1-AG1726)*IFERROR(INDEX(계정대체기준!$E$20:$E$49,MATCH($N1726,계정대체기준!$A$20:$A$49,0)),0)))</f>
        <v/>
      </c>
      <c r="AC1726" s="9">
        <f>IF(AND($A1726&lt;&gt;"",M1726=설정!$C$20,Z1726&gt;0),Z1726+ROW()/1000000000,"")</f>
        <v/>
      </c>
      <c r="AD1726" s="94">
        <f>IF($A1726="",0,$P1726*AG1726)</f>
        <v/>
      </c>
      <c r="AE1726" s="64">
        <f>IF($A1726="","",IFERROR(INDEX(계정매핑!$E$5:$E$504,MATCH($F1726&amp;"",계정매핑!$A$5:$A$504,0))&amp;"","공통비"))</f>
        <v/>
      </c>
      <c r="AF1726" s="64">
        <f>IF($A1726="","",IF(AE1726="직접",IFERROR(INDEX(계정매핑!$F$5:$F$504,MATCH($F1726&amp;"",계정매핑!$A$5:$A$504,0))&amp;"","비귀속"),""))</f>
        <v/>
      </c>
      <c r="AG1726" s="96">
        <f>IF($A1726="",0,IF(AND(AE1726&lt;&gt;"직접",IFERROR(INDEX(계정매핑!$G$5:$G$504,MATCH($F1726&amp;"",계정매핑!$A$5:$A$504,0))&amp;"","")="유지비",COUNTIF(계정대체기준!$A$6:$A$15,$N1726)&gt;0),IFERROR(INDEX(계정대체기준!$E$6:$E$15,MATCH(VALUE($A1726&amp;""),계정대체기준!$D$6:$D$15,0)),0),0))</f>
        <v/>
      </c>
      <c r="AH1726" s="64">
        <f>IF($A1726="","",IF(AD1726=0,"",IF(OR(COUNTIF(계정대체기준!$A$77:$A$86,$N1726)&gt;0,ISNUMBER(MATCH($X1726,계정대체기준!$D$77:$D$86,0)),ISNUMBER(MATCH($F1726,계정대체기준!$D$77:$D$86,0))),"Y","N")))</f>
        <v/>
      </c>
    </row>
    <row r="1727">
      <c r="A1727" s="92" t="n">
        <v>2025</v>
      </c>
      <c r="B1727" s="92" t="n">
        <v>8</v>
      </c>
      <c r="C1727" s="92" t="inlineStr">
        <is>
          <t>5100001723</t>
        </is>
      </c>
      <c r="D1727" s="95" t="n">
        <v>45886</v>
      </c>
      <c r="E1727" s="92" t="inlineStr">
        <is>
          <t>KR</t>
        </is>
      </c>
      <c r="F1727" s="92" t="n">
        <v>62902000</v>
      </c>
      <c r="G1727" s="92" t="n">
        <v>1801</v>
      </c>
      <c r="H1727" s="93" t="n">
        <v>1782000</v>
      </c>
      <c r="I1727" s="92" t="inlineStr">
        <is>
          <t>8월 콜 위탁 수수료(건별)</t>
        </is>
      </c>
      <c r="J1727" s="92" t="inlineStr">
        <is>
          <t>V10016</t>
        </is>
      </c>
      <c r="K1727" s="92" t="inlineStr">
        <is>
          <t>J콜센터</t>
        </is>
      </c>
      <c r="M1727" s="9">
        <f>IF($A1727="","",VALUE($A1727&amp;"")*12+VALUE($B1727&amp;""))</f>
        <v/>
      </c>
      <c r="N1727" s="64">
        <f>IF($A1727="","",IFERROR(INDEX(부서매핑!$C$5:$C$504,MATCH($G1727&amp;"",부서매핑!$A$5:$A$504,0)),"미매핑"))</f>
        <v/>
      </c>
      <c r="O1727" s="9">
        <f>IF($A1727="","",N1727&amp;"|"&amp;$F1727)</f>
        <v/>
      </c>
      <c r="P1727" s="94">
        <f>IF($A1727="",0,$H1727*설정!$C$23)</f>
        <v/>
      </c>
      <c r="Q1727" s="64">
        <f>IF($A1727="","",IF(O1727&lt;&gt;원인분석!$C$9,"",IF(AND(M1727&gt;=원인분석!$C$10,M1727&lt;=원인분석!$C$11),"당기",IF(AND(M1727&gt;=원인분석!$C$12,M1727&lt;=원인분석!$C$13),"비교",""))))</f>
        <v/>
      </c>
      <c r="R1727" s="9">
        <f>IF(Q1727="","",$K1727&amp;"")</f>
        <v/>
      </c>
      <c r="S1727" s="9">
        <f>IF(Q1727="","",IF(MATCH(R1727,$R$5:$R$100000,0)=ROW()-4,ROW(),""))</f>
        <v/>
      </c>
      <c r="T1727" s="9">
        <f>IF(Q1727="당기",ABS(P1727)+ROW()/1000000000,"")</f>
        <v/>
      </c>
      <c r="U1727" s="9">
        <f>IF(Q1727="비교",ABS(P1727)+ROW()/1000000000,"")</f>
        <v/>
      </c>
      <c r="V1727" s="64">
        <f>IF($A1727="","",IF(COUNTIF(변동분석!$E$7:$E$506,O1727)&gt;0,"Y","N"))</f>
        <v/>
      </c>
      <c r="W1727" s="64">
        <f>IF($A1727="","",IFERROR(INDEX(계정매핑!$D$5:$D$504,MATCH($F1727&amp;"",계정매핑!$A$5:$A$504,0)),"미매핑"))</f>
        <v/>
      </c>
      <c r="X1727" s="9">
        <f>IF($A1727="","",$F1727&amp;"")</f>
        <v/>
      </c>
      <c r="Y1727" s="94">
        <f>IF($A1727="",0,IF(AE1727="직접",IF(AF1727="비귀속",$P1727,0),$P1727*(1-AG1727)*IFERROR(INDEX(계정대체기준!$F$20:$F$49,MATCH($N1727,계정대체기준!$A$20:$A$49,0)),1)))</f>
        <v/>
      </c>
      <c r="Z1727" s="94">
        <f>IF($A1727="",0,IF(AE1727="직접",IF(AF1727="신계약비",$P1727,0),$P1727*(1-AG1727)*IFERROR(INDEX(계정대체기준!$C$20:$C$49,MATCH($N1727,계정대체기준!$A$20:$A$49,0)),0)))</f>
        <v/>
      </c>
      <c r="AA1727" s="94">
        <f>IF($A1727="",0,IF(AE1727="직접",IF(OR(AF1727="유지비",AF1727="손해조사비"),$P1727,0),$P1727*(1-AG1727)*IFERROR(INDEX(계정대체기준!$D$20:$D$49,MATCH($N1727,계정대체기준!$A$20:$A$49,0)),0)))</f>
        <v/>
      </c>
      <c r="AB1727" s="94">
        <f>IF($A1727="",0,IF(AE1727="직접",IF(AF1727="수금비",$P1727,0),$P1727*(1-AG1727)*IFERROR(INDEX(계정대체기준!$E$20:$E$49,MATCH($N1727,계정대체기준!$A$20:$A$49,0)),0)))</f>
        <v/>
      </c>
      <c r="AC1727" s="9">
        <f>IF(AND($A1727&lt;&gt;"",M1727=설정!$C$20,Z1727&gt;0),Z1727+ROW()/1000000000,"")</f>
        <v/>
      </c>
      <c r="AD1727" s="94">
        <f>IF($A1727="",0,$P1727*AG1727)</f>
        <v/>
      </c>
      <c r="AE1727" s="64">
        <f>IF($A1727="","",IFERROR(INDEX(계정매핑!$E$5:$E$504,MATCH($F1727&amp;"",계정매핑!$A$5:$A$504,0))&amp;"","공통비"))</f>
        <v/>
      </c>
      <c r="AF1727" s="64">
        <f>IF($A1727="","",IF(AE1727="직접",IFERROR(INDEX(계정매핑!$F$5:$F$504,MATCH($F1727&amp;"",계정매핑!$A$5:$A$504,0))&amp;"","비귀속"),""))</f>
        <v/>
      </c>
      <c r="AG1727" s="96">
        <f>IF($A1727="",0,IF(AND(AE1727&lt;&gt;"직접",IFERROR(INDEX(계정매핑!$G$5:$G$504,MATCH($F1727&amp;"",계정매핑!$A$5:$A$504,0))&amp;"","")="유지비",COUNTIF(계정대체기준!$A$6:$A$15,$N1727)&gt;0),IFERROR(INDEX(계정대체기준!$E$6:$E$15,MATCH(VALUE($A1727&amp;""),계정대체기준!$D$6:$D$15,0)),0),0))</f>
        <v/>
      </c>
      <c r="AH1727" s="64">
        <f>IF($A1727="","",IF(AD1727=0,"",IF(OR(COUNTIF(계정대체기준!$A$77:$A$86,$N1727)&gt;0,ISNUMBER(MATCH($X1727,계정대체기준!$D$77:$D$86,0)),ISNUMBER(MATCH($F1727,계정대체기준!$D$77:$D$86,0))),"Y","N")))</f>
        <v/>
      </c>
    </row>
    <row r="1728">
      <c r="A1728" s="92" t="n">
        <v>2025</v>
      </c>
      <c r="B1728" s="92" t="n">
        <v>8</v>
      </c>
      <c r="C1728" s="92" t="inlineStr">
        <is>
          <t>5100001724</t>
        </is>
      </c>
      <c r="D1728" s="95" t="n">
        <v>45887</v>
      </c>
      <c r="E1728" s="92" t="inlineStr">
        <is>
          <t>KR</t>
        </is>
      </c>
      <c r="F1728" s="92" t="n">
        <v>62101000</v>
      </c>
      <c r="G1728" s="92" t="n">
        <v>1502</v>
      </c>
      <c r="H1728" s="93" t="n">
        <v>973000</v>
      </c>
      <c r="I1728" s="92" t="inlineStr">
        <is>
          <t>8월 국내출장 - (법인카드)</t>
        </is>
      </c>
      <c r="J1728" s="92" t="inlineStr">
        <is>
          <t>V10010</t>
        </is>
      </c>
      <c r="K1728" s="92" t="inlineStr">
        <is>
          <t>(법인카드)</t>
        </is>
      </c>
      <c r="M1728" s="9">
        <f>IF($A1728="","",VALUE($A1728&amp;"")*12+VALUE($B1728&amp;""))</f>
        <v/>
      </c>
      <c r="N1728" s="64">
        <f>IF($A1728="","",IFERROR(INDEX(부서매핑!$C$5:$C$504,MATCH($G1728&amp;"",부서매핑!$A$5:$A$504,0)),"미매핑"))</f>
        <v/>
      </c>
      <c r="O1728" s="9">
        <f>IF($A1728="","",N1728&amp;"|"&amp;$F1728)</f>
        <v/>
      </c>
      <c r="P1728" s="94">
        <f>IF($A1728="",0,$H1728*설정!$C$23)</f>
        <v/>
      </c>
      <c r="Q1728" s="64">
        <f>IF($A1728="","",IF(O1728&lt;&gt;원인분석!$C$9,"",IF(AND(M1728&gt;=원인분석!$C$10,M1728&lt;=원인분석!$C$11),"당기",IF(AND(M1728&gt;=원인분석!$C$12,M1728&lt;=원인분석!$C$13),"비교",""))))</f>
        <v/>
      </c>
      <c r="R1728" s="9">
        <f>IF(Q1728="","",$K1728&amp;"")</f>
        <v/>
      </c>
      <c r="S1728" s="9">
        <f>IF(Q1728="","",IF(MATCH(R1728,$R$5:$R$100000,0)=ROW()-4,ROW(),""))</f>
        <v/>
      </c>
      <c r="T1728" s="9">
        <f>IF(Q1728="당기",ABS(P1728)+ROW()/1000000000,"")</f>
        <v/>
      </c>
      <c r="U1728" s="9">
        <f>IF(Q1728="비교",ABS(P1728)+ROW()/1000000000,"")</f>
        <v/>
      </c>
      <c r="V1728" s="64">
        <f>IF($A1728="","",IF(COUNTIF(변동분석!$E$7:$E$506,O1728)&gt;0,"Y","N"))</f>
        <v/>
      </c>
      <c r="W1728" s="64">
        <f>IF($A1728="","",IFERROR(INDEX(계정매핑!$D$5:$D$504,MATCH($F1728&amp;"",계정매핑!$A$5:$A$504,0)),"미매핑"))</f>
        <v/>
      </c>
      <c r="X1728" s="9">
        <f>IF($A1728="","",$F1728&amp;"")</f>
        <v/>
      </c>
      <c r="Y1728" s="94">
        <f>IF($A1728="",0,IF(AE1728="직접",IF(AF1728="비귀속",$P1728,0),$P1728*(1-AG1728)*IFERROR(INDEX(계정대체기준!$F$20:$F$49,MATCH($N1728,계정대체기준!$A$20:$A$49,0)),1)))</f>
        <v/>
      </c>
      <c r="Z1728" s="94">
        <f>IF($A1728="",0,IF(AE1728="직접",IF(AF1728="신계약비",$P1728,0),$P1728*(1-AG1728)*IFERROR(INDEX(계정대체기준!$C$20:$C$49,MATCH($N1728,계정대체기준!$A$20:$A$49,0)),0)))</f>
        <v/>
      </c>
      <c r="AA1728" s="94">
        <f>IF($A1728="",0,IF(AE1728="직접",IF(OR(AF1728="유지비",AF1728="손해조사비"),$P1728,0),$P1728*(1-AG1728)*IFERROR(INDEX(계정대체기준!$D$20:$D$49,MATCH($N1728,계정대체기준!$A$20:$A$49,0)),0)))</f>
        <v/>
      </c>
      <c r="AB1728" s="94">
        <f>IF($A1728="",0,IF(AE1728="직접",IF(AF1728="수금비",$P1728,0),$P1728*(1-AG1728)*IFERROR(INDEX(계정대체기준!$E$20:$E$49,MATCH($N1728,계정대체기준!$A$20:$A$49,0)),0)))</f>
        <v/>
      </c>
      <c r="AC1728" s="9">
        <f>IF(AND($A1728&lt;&gt;"",M1728=설정!$C$20,Z1728&gt;0),Z1728+ROW()/1000000000,"")</f>
        <v/>
      </c>
      <c r="AD1728" s="94">
        <f>IF($A1728="",0,$P1728*AG1728)</f>
        <v/>
      </c>
      <c r="AE1728" s="64">
        <f>IF($A1728="","",IFERROR(INDEX(계정매핑!$E$5:$E$504,MATCH($F1728&amp;"",계정매핑!$A$5:$A$504,0))&amp;"","공통비"))</f>
        <v/>
      </c>
      <c r="AF1728" s="64">
        <f>IF($A1728="","",IF(AE1728="직접",IFERROR(INDEX(계정매핑!$F$5:$F$504,MATCH($F1728&amp;"",계정매핑!$A$5:$A$504,0))&amp;"","비귀속"),""))</f>
        <v/>
      </c>
      <c r="AG1728" s="96">
        <f>IF($A1728="",0,IF(AND(AE1728&lt;&gt;"직접",IFERROR(INDEX(계정매핑!$G$5:$G$504,MATCH($F1728&amp;"",계정매핑!$A$5:$A$504,0))&amp;"","")="유지비",COUNTIF(계정대체기준!$A$6:$A$15,$N1728)&gt;0),IFERROR(INDEX(계정대체기준!$E$6:$E$15,MATCH(VALUE($A1728&amp;""),계정대체기준!$D$6:$D$15,0)),0),0))</f>
        <v/>
      </c>
      <c r="AH1728" s="64">
        <f>IF($A1728="","",IF(AD1728=0,"",IF(OR(COUNTIF(계정대체기준!$A$77:$A$86,$N1728)&gt;0,ISNUMBER(MATCH($X1728,계정대체기준!$D$77:$D$86,0)),ISNUMBER(MATCH($F1728,계정대체기준!$D$77:$D$86,0))),"Y","N")))</f>
        <v/>
      </c>
    </row>
    <row r="1729">
      <c r="A1729" s="92" t="n">
        <v>2025</v>
      </c>
      <c r="B1729" s="92" t="n">
        <v>8</v>
      </c>
      <c r="C1729" s="92" t="inlineStr">
        <is>
          <t>5100001725</t>
        </is>
      </c>
      <c r="D1729" s="95" t="n">
        <v>45887</v>
      </c>
      <c r="E1729" s="92" t="inlineStr">
        <is>
          <t>KR</t>
        </is>
      </c>
      <c r="F1729" s="92" t="n">
        <v>62102000</v>
      </c>
      <c r="G1729" s="92" t="n">
        <v>1502</v>
      </c>
      <c r="H1729" s="93" t="n">
        <v>144000</v>
      </c>
      <c r="I1729" s="92" t="inlineStr">
        <is>
          <t>8월 해외출장 - N호텔</t>
        </is>
      </c>
      <c r="J1729" s="92" t="inlineStr">
        <is>
          <t>V10009</t>
        </is>
      </c>
      <c r="K1729" s="92" t="inlineStr">
        <is>
          <t>N호텔</t>
        </is>
      </c>
      <c r="M1729" s="9">
        <f>IF($A1729="","",VALUE($A1729&amp;"")*12+VALUE($B1729&amp;""))</f>
        <v/>
      </c>
      <c r="N1729" s="64">
        <f>IF($A1729="","",IFERROR(INDEX(부서매핑!$C$5:$C$504,MATCH($G1729&amp;"",부서매핑!$A$5:$A$504,0)),"미매핑"))</f>
        <v/>
      </c>
      <c r="O1729" s="9">
        <f>IF($A1729="","",N1729&amp;"|"&amp;$F1729)</f>
        <v/>
      </c>
      <c r="P1729" s="94">
        <f>IF($A1729="",0,$H1729*설정!$C$23)</f>
        <v/>
      </c>
      <c r="Q1729" s="64">
        <f>IF($A1729="","",IF(O1729&lt;&gt;원인분석!$C$9,"",IF(AND(M1729&gt;=원인분석!$C$10,M1729&lt;=원인분석!$C$11),"당기",IF(AND(M1729&gt;=원인분석!$C$12,M1729&lt;=원인분석!$C$13),"비교",""))))</f>
        <v/>
      </c>
      <c r="R1729" s="9">
        <f>IF(Q1729="","",$K1729&amp;"")</f>
        <v/>
      </c>
      <c r="S1729" s="9">
        <f>IF(Q1729="","",IF(MATCH(R1729,$R$5:$R$100000,0)=ROW()-4,ROW(),""))</f>
        <v/>
      </c>
      <c r="T1729" s="9">
        <f>IF(Q1729="당기",ABS(P1729)+ROW()/1000000000,"")</f>
        <v/>
      </c>
      <c r="U1729" s="9">
        <f>IF(Q1729="비교",ABS(P1729)+ROW()/1000000000,"")</f>
        <v/>
      </c>
      <c r="V1729" s="64">
        <f>IF($A1729="","",IF(COUNTIF(변동분석!$E$7:$E$506,O1729)&gt;0,"Y","N"))</f>
        <v/>
      </c>
      <c r="W1729" s="64">
        <f>IF($A1729="","",IFERROR(INDEX(계정매핑!$D$5:$D$504,MATCH($F1729&amp;"",계정매핑!$A$5:$A$504,0)),"미매핑"))</f>
        <v/>
      </c>
      <c r="X1729" s="9">
        <f>IF($A1729="","",$F1729&amp;"")</f>
        <v/>
      </c>
      <c r="Y1729" s="94">
        <f>IF($A1729="",0,IF(AE1729="직접",IF(AF1729="비귀속",$P1729,0),$P1729*(1-AG1729)*IFERROR(INDEX(계정대체기준!$F$20:$F$49,MATCH($N1729,계정대체기준!$A$20:$A$49,0)),1)))</f>
        <v/>
      </c>
      <c r="Z1729" s="94">
        <f>IF($A1729="",0,IF(AE1729="직접",IF(AF1729="신계약비",$P1729,0),$P1729*(1-AG1729)*IFERROR(INDEX(계정대체기준!$C$20:$C$49,MATCH($N1729,계정대체기준!$A$20:$A$49,0)),0)))</f>
        <v/>
      </c>
      <c r="AA1729" s="94">
        <f>IF($A1729="",0,IF(AE1729="직접",IF(OR(AF1729="유지비",AF1729="손해조사비"),$P1729,0),$P1729*(1-AG1729)*IFERROR(INDEX(계정대체기준!$D$20:$D$49,MATCH($N1729,계정대체기준!$A$20:$A$49,0)),0)))</f>
        <v/>
      </c>
      <c r="AB1729" s="94">
        <f>IF($A1729="",0,IF(AE1729="직접",IF(AF1729="수금비",$P1729,0),$P1729*(1-AG1729)*IFERROR(INDEX(계정대체기준!$E$20:$E$49,MATCH($N1729,계정대체기준!$A$20:$A$49,0)),0)))</f>
        <v/>
      </c>
      <c r="AC1729" s="9">
        <f>IF(AND($A1729&lt;&gt;"",M1729=설정!$C$20,Z1729&gt;0),Z1729+ROW()/1000000000,"")</f>
        <v/>
      </c>
      <c r="AD1729" s="94">
        <f>IF($A1729="",0,$P1729*AG1729)</f>
        <v/>
      </c>
      <c r="AE1729" s="64">
        <f>IF($A1729="","",IFERROR(INDEX(계정매핑!$E$5:$E$504,MATCH($F1729&amp;"",계정매핑!$A$5:$A$504,0))&amp;"","공통비"))</f>
        <v/>
      </c>
      <c r="AF1729" s="64">
        <f>IF($A1729="","",IF(AE1729="직접",IFERROR(INDEX(계정매핑!$F$5:$F$504,MATCH($F1729&amp;"",계정매핑!$A$5:$A$504,0))&amp;"","비귀속"),""))</f>
        <v/>
      </c>
      <c r="AG1729" s="96">
        <f>IF($A1729="",0,IF(AND(AE1729&lt;&gt;"직접",IFERROR(INDEX(계정매핑!$G$5:$G$504,MATCH($F1729&amp;"",계정매핑!$A$5:$A$504,0))&amp;"","")="유지비",COUNTIF(계정대체기준!$A$6:$A$15,$N1729)&gt;0),IFERROR(INDEX(계정대체기준!$E$6:$E$15,MATCH(VALUE($A1729&amp;""),계정대체기준!$D$6:$D$15,0)),0),0))</f>
        <v/>
      </c>
      <c r="AH1729" s="64">
        <f>IF($A1729="","",IF(AD1729=0,"",IF(OR(COUNTIF(계정대체기준!$A$77:$A$86,$N1729)&gt;0,ISNUMBER(MATCH($X1729,계정대체기준!$D$77:$D$86,0)),ISNUMBER(MATCH($F1729,계정대체기준!$D$77:$D$86,0))),"Y","N")))</f>
        <v/>
      </c>
    </row>
    <row r="1730">
      <c r="A1730" s="92" t="n">
        <v>2025</v>
      </c>
      <c r="B1730" s="92" t="n">
        <v>8</v>
      </c>
      <c r="C1730" s="92" t="inlineStr">
        <is>
          <t>5100001726</t>
        </is>
      </c>
      <c r="D1730" s="95" t="n">
        <v>45888</v>
      </c>
      <c r="E1730" s="92" t="inlineStr">
        <is>
          <t>KR</t>
        </is>
      </c>
      <c r="F1730" s="92" t="n">
        <v>62101000</v>
      </c>
      <c r="G1730" s="92" t="n">
        <v>1101</v>
      </c>
      <c r="H1730" s="93" t="n">
        <v>401000</v>
      </c>
      <c r="I1730" s="92" t="inlineStr">
        <is>
          <t>8월 국내출장 - L여행사</t>
        </is>
      </c>
      <c r="J1730" s="92" t="inlineStr">
        <is>
          <t>V10018</t>
        </is>
      </c>
      <c r="K1730" s="92" t="inlineStr">
        <is>
          <t>L여행사</t>
        </is>
      </c>
      <c r="M1730" s="9">
        <f>IF($A1730="","",VALUE($A1730&amp;"")*12+VALUE($B1730&amp;""))</f>
        <v/>
      </c>
      <c r="N1730" s="64">
        <f>IF($A1730="","",IFERROR(INDEX(부서매핑!$C$5:$C$504,MATCH($G1730&amp;"",부서매핑!$A$5:$A$504,0)),"미매핑"))</f>
        <v/>
      </c>
      <c r="O1730" s="9">
        <f>IF($A1730="","",N1730&amp;"|"&amp;$F1730)</f>
        <v/>
      </c>
      <c r="P1730" s="94">
        <f>IF($A1730="",0,$H1730*설정!$C$23)</f>
        <v/>
      </c>
      <c r="Q1730" s="64">
        <f>IF($A1730="","",IF(O1730&lt;&gt;원인분석!$C$9,"",IF(AND(M1730&gt;=원인분석!$C$10,M1730&lt;=원인분석!$C$11),"당기",IF(AND(M1730&gt;=원인분석!$C$12,M1730&lt;=원인분석!$C$13),"비교",""))))</f>
        <v/>
      </c>
      <c r="R1730" s="9">
        <f>IF(Q1730="","",$K1730&amp;"")</f>
        <v/>
      </c>
      <c r="S1730" s="9">
        <f>IF(Q1730="","",IF(MATCH(R1730,$R$5:$R$100000,0)=ROW()-4,ROW(),""))</f>
        <v/>
      </c>
      <c r="T1730" s="9">
        <f>IF(Q1730="당기",ABS(P1730)+ROW()/1000000000,"")</f>
        <v/>
      </c>
      <c r="U1730" s="9">
        <f>IF(Q1730="비교",ABS(P1730)+ROW()/1000000000,"")</f>
        <v/>
      </c>
      <c r="V1730" s="64">
        <f>IF($A1730="","",IF(COUNTIF(변동분석!$E$7:$E$506,O1730)&gt;0,"Y","N"))</f>
        <v/>
      </c>
      <c r="W1730" s="64">
        <f>IF($A1730="","",IFERROR(INDEX(계정매핑!$D$5:$D$504,MATCH($F1730&amp;"",계정매핑!$A$5:$A$504,0)),"미매핑"))</f>
        <v/>
      </c>
      <c r="X1730" s="9">
        <f>IF($A1730="","",$F1730&amp;"")</f>
        <v/>
      </c>
      <c r="Y1730" s="94">
        <f>IF($A1730="",0,IF(AE1730="직접",IF(AF1730="비귀속",$P1730,0),$P1730*(1-AG1730)*IFERROR(INDEX(계정대체기준!$F$20:$F$49,MATCH($N1730,계정대체기준!$A$20:$A$49,0)),1)))</f>
        <v/>
      </c>
      <c r="Z1730" s="94">
        <f>IF($A1730="",0,IF(AE1730="직접",IF(AF1730="신계약비",$P1730,0),$P1730*(1-AG1730)*IFERROR(INDEX(계정대체기준!$C$20:$C$49,MATCH($N1730,계정대체기준!$A$20:$A$49,0)),0)))</f>
        <v/>
      </c>
      <c r="AA1730" s="94">
        <f>IF($A1730="",0,IF(AE1730="직접",IF(OR(AF1730="유지비",AF1730="손해조사비"),$P1730,0),$P1730*(1-AG1730)*IFERROR(INDEX(계정대체기준!$D$20:$D$49,MATCH($N1730,계정대체기준!$A$20:$A$49,0)),0)))</f>
        <v/>
      </c>
      <c r="AB1730" s="94">
        <f>IF($A1730="",0,IF(AE1730="직접",IF(AF1730="수금비",$P1730,0),$P1730*(1-AG1730)*IFERROR(INDEX(계정대체기준!$E$20:$E$49,MATCH($N1730,계정대체기준!$A$20:$A$49,0)),0)))</f>
        <v/>
      </c>
      <c r="AC1730" s="9">
        <f>IF(AND($A1730&lt;&gt;"",M1730=설정!$C$20,Z1730&gt;0),Z1730+ROW()/1000000000,"")</f>
        <v/>
      </c>
      <c r="AD1730" s="94">
        <f>IF($A1730="",0,$P1730*AG1730)</f>
        <v/>
      </c>
      <c r="AE1730" s="64">
        <f>IF($A1730="","",IFERROR(INDEX(계정매핑!$E$5:$E$504,MATCH($F1730&amp;"",계정매핑!$A$5:$A$504,0))&amp;"","공통비"))</f>
        <v/>
      </c>
      <c r="AF1730" s="64">
        <f>IF($A1730="","",IF(AE1730="직접",IFERROR(INDEX(계정매핑!$F$5:$F$504,MATCH($F1730&amp;"",계정매핑!$A$5:$A$504,0))&amp;"","비귀속"),""))</f>
        <v/>
      </c>
      <c r="AG1730" s="96">
        <f>IF($A1730="",0,IF(AND(AE1730&lt;&gt;"직접",IFERROR(INDEX(계정매핑!$G$5:$G$504,MATCH($F1730&amp;"",계정매핑!$A$5:$A$504,0))&amp;"","")="유지비",COUNTIF(계정대체기준!$A$6:$A$15,$N1730)&gt;0),IFERROR(INDEX(계정대체기준!$E$6:$E$15,MATCH(VALUE($A1730&amp;""),계정대체기준!$D$6:$D$15,0)),0),0))</f>
        <v/>
      </c>
      <c r="AH1730" s="64">
        <f>IF($A1730="","",IF(AD1730=0,"",IF(OR(COUNTIF(계정대체기준!$A$77:$A$86,$N1730)&gt;0,ISNUMBER(MATCH($X1730,계정대체기준!$D$77:$D$86,0)),ISNUMBER(MATCH($F1730,계정대체기준!$D$77:$D$86,0))),"Y","N")))</f>
        <v/>
      </c>
    </row>
    <row r="1731">
      <c r="A1731" s="92" t="n">
        <v>2025</v>
      </c>
      <c r="B1731" s="92" t="n">
        <v>8</v>
      </c>
      <c r="C1731" s="92" t="inlineStr">
        <is>
          <t>5100001727</t>
        </is>
      </c>
      <c r="D1731" s="95" t="n">
        <v>45888</v>
      </c>
      <c r="E1731" s="92" t="inlineStr">
        <is>
          <t>KR</t>
        </is>
      </c>
      <c r="F1731" s="92" t="n">
        <v>62101000</v>
      </c>
      <c r="G1731" s="92" t="n">
        <v>1301</v>
      </c>
      <c r="H1731" s="93" t="n">
        <v>278000</v>
      </c>
      <c r="I1731" s="92" t="inlineStr">
        <is>
          <t>8월 국내출장 - M항공</t>
        </is>
      </c>
      <c r="J1731" s="92" t="inlineStr">
        <is>
          <t>V10001</t>
        </is>
      </c>
      <c r="K1731" s="92" t="inlineStr">
        <is>
          <t>M항공</t>
        </is>
      </c>
      <c r="M1731" s="9">
        <f>IF($A1731="","",VALUE($A1731&amp;"")*12+VALUE($B1731&amp;""))</f>
        <v/>
      </c>
      <c r="N1731" s="64">
        <f>IF($A1731="","",IFERROR(INDEX(부서매핑!$C$5:$C$504,MATCH($G1731&amp;"",부서매핑!$A$5:$A$504,0)),"미매핑"))</f>
        <v/>
      </c>
      <c r="O1731" s="9">
        <f>IF($A1731="","",N1731&amp;"|"&amp;$F1731)</f>
        <v/>
      </c>
      <c r="P1731" s="94">
        <f>IF($A1731="",0,$H1731*설정!$C$23)</f>
        <v/>
      </c>
      <c r="Q1731" s="64">
        <f>IF($A1731="","",IF(O1731&lt;&gt;원인분석!$C$9,"",IF(AND(M1731&gt;=원인분석!$C$10,M1731&lt;=원인분석!$C$11),"당기",IF(AND(M1731&gt;=원인분석!$C$12,M1731&lt;=원인분석!$C$13),"비교",""))))</f>
        <v/>
      </c>
      <c r="R1731" s="9">
        <f>IF(Q1731="","",$K1731&amp;"")</f>
        <v/>
      </c>
      <c r="S1731" s="9">
        <f>IF(Q1731="","",IF(MATCH(R1731,$R$5:$R$100000,0)=ROW()-4,ROW(),""))</f>
        <v/>
      </c>
      <c r="T1731" s="9">
        <f>IF(Q1731="당기",ABS(P1731)+ROW()/1000000000,"")</f>
        <v/>
      </c>
      <c r="U1731" s="9">
        <f>IF(Q1731="비교",ABS(P1731)+ROW()/1000000000,"")</f>
        <v/>
      </c>
      <c r="V1731" s="64">
        <f>IF($A1731="","",IF(COUNTIF(변동분석!$E$7:$E$506,O1731)&gt;0,"Y","N"))</f>
        <v/>
      </c>
      <c r="W1731" s="64">
        <f>IF($A1731="","",IFERROR(INDEX(계정매핑!$D$5:$D$504,MATCH($F1731&amp;"",계정매핑!$A$5:$A$504,0)),"미매핑"))</f>
        <v/>
      </c>
      <c r="X1731" s="9">
        <f>IF($A1731="","",$F1731&amp;"")</f>
        <v/>
      </c>
      <c r="Y1731" s="94">
        <f>IF($A1731="",0,IF(AE1731="직접",IF(AF1731="비귀속",$P1731,0),$P1731*(1-AG1731)*IFERROR(INDEX(계정대체기준!$F$20:$F$49,MATCH($N1731,계정대체기준!$A$20:$A$49,0)),1)))</f>
        <v/>
      </c>
      <c r="Z1731" s="94">
        <f>IF($A1731="",0,IF(AE1731="직접",IF(AF1731="신계약비",$P1731,0),$P1731*(1-AG1731)*IFERROR(INDEX(계정대체기준!$C$20:$C$49,MATCH($N1731,계정대체기준!$A$20:$A$49,0)),0)))</f>
        <v/>
      </c>
      <c r="AA1731" s="94">
        <f>IF($A1731="",0,IF(AE1731="직접",IF(OR(AF1731="유지비",AF1731="손해조사비"),$P1731,0),$P1731*(1-AG1731)*IFERROR(INDEX(계정대체기준!$D$20:$D$49,MATCH($N1731,계정대체기준!$A$20:$A$49,0)),0)))</f>
        <v/>
      </c>
      <c r="AB1731" s="94">
        <f>IF($A1731="",0,IF(AE1731="직접",IF(AF1731="수금비",$P1731,0),$P1731*(1-AG1731)*IFERROR(INDEX(계정대체기준!$E$20:$E$49,MATCH($N1731,계정대체기준!$A$20:$A$49,0)),0)))</f>
        <v/>
      </c>
      <c r="AC1731" s="9">
        <f>IF(AND($A1731&lt;&gt;"",M1731=설정!$C$20,Z1731&gt;0),Z1731+ROW()/1000000000,"")</f>
        <v/>
      </c>
      <c r="AD1731" s="94">
        <f>IF($A1731="",0,$P1731*AG1731)</f>
        <v/>
      </c>
      <c r="AE1731" s="64">
        <f>IF($A1731="","",IFERROR(INDEX(계정매핑!$E$5:$E$504,MATCH($F1731&amp;"",계정매핑!$A$5:$A$504,0))&amp;"","공통비"))</f>
        <v/>
      </c>
      <c r="AF1731" s="64">
        <f>IF($A1731="","",IF(AE1731="직접",IFERROR(INDEX(계정매핑!$F$5:$F$504,MATCH($F1731&amp;"",계정매핑!$A$5:$A$504,0))&amp;"","비귀속"),""))</f>
        <v/>
      </c>
      <c r="AG1731" s="96">
        <f>IF($A1731="",0,IF(AND(AE1731&lt;&gt;"직접",IFERROR(INDEX(계정매핑!$G$5:$G$504,MATCH($F1731&amp;"",계정매핑!$A$5:$A$504,0))&amp;"","")="유지비",COUNTIF(계정대체기준!$A$6:$A$15,$N1731)&gt;0),IFERROR(INDEX(계정대체기준!$E$6:$E$15,MATCH(VALUE($A1731&amp;""),계정대체기준!$D$6:$D$15,0)),0),0))</f>
        <v/>
      </c>
      <c r="AH1731" s="64">
        <f>IF($A1731="","",IF(AD1731=0,"",IF(OR(COUNTIF(계정대체기준!$A$77:$A$86,$N1731)&gt;0,ISNUMBER(MATCH($X1731,계정대체기준!$D$77:$D$86,0)),ISNUMBER(MATCH($F1731,계정대체기준!$D$77:$D$86,0))),"Y","N")))</f>
        <v/>
      </c>
    </row>
    <row r="1732">
      <c r="A1732" s="92" t="n">
        <v>2025</v>
      </c>
      <c r="B1732" s="92" t="n">
        <v>8</v>
      </c>
      <c r="C1732" s="92" t="inlineStr">
        <is>
          <t>5100001728</t>
        </is>
      </c>
      <c r="D1732" s="95" t="n">
        <v>45888</v>
      </c>
      <c r="E1732" s="92" t="inlineStr">
        <is>
          <t>KR</t>
        </is>
      </c>
      <c r="F1732" s="92" t="n">
        <v>62101000</v>
      </c>
      <c r="G1732" s="92" t="n">
        <v>1801</v>
      </c>
      <c r="H1732" s="93" t="n">
        <v>139000</v>
      </c>
      <c r="I1732" s="92" t="inlineStr">
        <is>
          <t>8월 국내출장 - L여행사</t>
        </is>
      </c>
      <c r="J1732" s="92" t="inlineStr">
        <is>
          <t>V10018</t>
        </is>
      </c>
      <c r="K1732" s="92" t="inlineStr">
        <is>
          <t>L여행사</t>
        </is>
      </c>
      <c r="M1732" s="9">
        <f>IF($A1732="","",VALUE($A1732&amp;"")*12+VALUE($B1732&amp;""))</f>
        <v/>
      </c>
      <c r="N1732" s="64">
        <f>IF($A1732="","",IFERROR(INDEX(부서매핑!$C$5:$C$504,MATCH($G1732&amp;"",부서매핑!$A$5:$A$504,0)),"미매핑"))</f>
        <v/>
      </c>
      <c r="O1732" s="9">
        <f>IF($A1732="","",N1732&amp;"|"&amp;$F1732)</f>
        <v/>
      </c>
      <c r="P1732" s="94">
        <f>IF($A1732="",0,$H1732*설정!$C$23)</f>
        <v/>
      </c>
      <c r="Q1732" s="64">
        <f>IF($A1732="","",IF(O1732&lt;&gt;원인분석!$C$9,"",IF(AND(M1732&gt;=원인분석!$C$10,M1732&lt;=원인분석!$C$11),"당기",IF(AND(M1732&gt;=원인분석!$C$12,M1732&lt;=원인분석!$C$13),"비교",""))))</f>
        <v/>
      </c>
      <c r="R1732" s="9">
        <f>IF(Q1732="","",$K1732&amp;"")</f>
        <v/>
      </c>
      <c r="S1732" s="9">
        <f>IF(Q1732="","",IF(MATCH(R1732,$R$5:$R$100000,0)=ROW()-4,ROW(),""))</f>
        <v/>
      </c>
      <c r="T1732" s="9">
        <f>IF(Q1732="당기",ABS(P1732)+ROW()/1000000000,"")</f>
        <v/>
      </c>
      <c r="U1732" s="9">
        <f>IF(Q1732="비교",ABS(P1732)+ROW()/1000000000,"")</f>
        <v/>
      </c>
      <c r="V1732" s="64">
        <f>IF($A1732="","",IF(COUNTIF(변동분석!$E$7:$E$506,O1732)&gt;0,"Y","N"))</f>
        <v/>
      </c>
      <c r="W1732" s="64">
        <f>IF($A1732="","",IFERROR(INDEX(계정매핑!$D$5:$D$504,MATCH($F1732&amp;"",계정매핑!$A$5:$A$504,0)),"미매핑"))</f>
        <v/>
      </c>
      <c r="X1732" s="9">
        <f>IF($A1732="","",$F1732&amp;"")</f>
        <v/>
      </c>
      <c r="Y1732" s="94">
        <f>IF($A1732="",0,IF(AE1732="직접",IF(AF1732="비귀속",$P1732,0),$P1732*(1-AG1732)*IFERROR(INDEX(계정대체기준!$F$20:$F$49,MATCH($N1732,계정대체기준!$A$20:$A$49,0)),1)))</f>
        <v/>
      </c>
      <c r="Z1732" s="94">
        <f>IF($A1732="",0,IF(AE1732="직접",IF(AF1732="신계약비",$P1732,0),$P1732*(1-AG1732)*IFERROR(INDEX(계정대체기준!$C$20:$C$49,MATCH($N1732,계정대체기준!$A$20:$A$49,0)),0)))</f>
        <v/>
      </c>
      <c r="AA1732" s="94">
        <f>IF($A1732="",0,IF(AE1732="직접",IF(OR(AF1732="유지비",AF1732="손해조사비"),$P1732,0),$P1732*(1-AG1732)*IFERROR(INDEX(계정대체기준!$D$20:$D$49,MATCH($N1732,계정대체기준!$A$20:$A$49,0)),0)))</f>
        <v/>
      </c>
      <c r="AB1732" s="94">
        <f>IF($A1732="",0,IF(AE1732="직접",IF(AF1732="수금비",$P1732,0),$P1732*(1-AG1732)*IFERROR(INDEX(계정대체기준!$E$20:$E$49,MATCH($N1732,계정대체기준!$A$20:$A$49,0)),0)))</f>
        <v/>
      </c>
      <c r="AC1732" s="9">
        <f>IF(AND($A1732&lt;&gt;"",M1732=설정!$C$20,Z1732&gt;0),Z1732+ROW()/1000000000,"")</f>
        <v/>
      </c>
      <c r="AD1732" s="94">
        <f>IF($A1732="",0,$P1732*AG1732)</f>
        <v/>
      </c>
      <c r="AE1732" s="64">
        <f>IF($A1732="","",IFERROR(INDEX(계정매핑!$E$5:$E$504,MATCH($F1732&amp;"",계정매핑!$A$5:$A$504,0))&amp;"","공통비"))</f>
        <v/>
      </c>
      <c r="AF1732" s="64">
        <f>IF($A1732="","",IF(AE1732="직접",IFERROR(INDEX(계정매핑!$F$5:$F$504,MATCH($F1732&amp;"",계정매핑!$A$5:$A$504,0))&amp;"","비귀속"),""))</f>
        <v/>
      </c>
      <c r="AG1732" s="96">
        <f>IF($A1732="",0,IF(AND(AE1732&lt;&gt;"직접",IFERROR(INDEX(계정매핑!$G$5:$G$504,MATCH($F1732&amp;"",계정매핑!$A$5:$A$504,0))&amp;"","")="유지비",COUNTIF(계정대체기준!$A$6:$A$15,$N1732)&gt;0),IFERROR(INDEX(계정대체기준!$E$6:$E$15,MATCH(VALUE($A1732&amp;""),계정대체기준!$D$6:$D$15,0)),0),0))</f>
        <v/>
      </c>
      <c r="AH1732" s="64">
        <f>IF($A1732="","",IF(AD1732=0,"",IF(OR(COUNTIF(계정대체기준!$A$77:$A$86,$N1732)&gt;0,ISNUMBER(MATCH($X1732,계정대체기준!$D$77:$D$86,0)),ISNUMBER(MATCH($F1732,계정대체기준!$D$77:$D$86,0))),"Y","N")))</f>
        <v/>
      </c>
    </row>
    <row r="1733">
      <c r="A1733" s="92" t="n">
        <v>2025</v>
      </c>
      <c r="B1733" s="92" t="n">
        <v>8</v>
      </c>
      <c r="C1733" s="92" t="inlineStr">
        <is>
          <t>5100001729</t>
        </is>
      </c>
      <c r="D1733" s="95" t="n">
        <v>45888</v>
      </c>
      <c r="E1733" s="92" t="inlineStr">
        <is>
          <t>KR</t>
        </is>
      </c>
      <c r="F1733" s="92" t="n">
        <v>62102000</v>
      </c>
      <c r="G1733" s="92" t="n">
        <v>1201</v>
      </c>
      <c r="H1733" s="93" t="n">
        <v>76000</v>
      </c>
      <c r="I1733" s="92" t="inlineStr">
        <is>
          <t>8월 해외출장 - M항공</t>
        </is>
      </c>
      <c r="J1733" s="92" t="inlineStr">
        <is>
          <t>V10001</t>
        </is>
      </c>
      <c r="K1733" s="92" t="inlineStr">
        <is>
          <t>M항공</t>
        </is>
      </c>
      <c r="M1733" s="9">
        <f>IF($A1733="","",VALUE($A1733&amp;"")*12+VALUE($B1733&amp;""))</f>
        <v/>
      </c>
      <c r="N1733" s="64">
        <f>IF($A1733="","",IFERROR(INDEX(부서매핑!$C$5:$C$504,MATCH($G1733&amp;"",부서매핑!$A$5:$A$504,0)),"미매핑"))</f>
        <v/>
      </c>
      <c r="O1733" s="9">
        <f>IF($A1733="","",N1733&amp;"|"&amp;$F1733)</f>
        <v/>
      </c>
      <c r="P1733" s="94">
        <f>IF($A1733="",0,$H1733*설정!$C$23)</f>
        <v/>
      </c>
      <c r="Q1733" s="64">
        <f>IF($A1733="","",IF(O1733&lt;&gt;원인분석!$C$9,"",IF(AND(M1733&gt;=원인분석!$C$10,M1733&lt;=원인분석!$C$11),"당기",IF(AND(M1733&gt;=원인분석!$C$12,M1733&lt;=원인분석!$C$13),"비교",""))))</f>
        <v/>
      </c>
      <c r="R1733" s="9">
        <f>IF(Q1733="","",$K1733&amp;"")</f>
        <v/>
      </c>
      <c r="S1733" s="9">
        <f>IF(Q1733="","",IF(MATCH(R1733,$R$5:$R$100000,0)=ROW()-4,ROW(),""))</f>
        <v/>
      </c>
      <c r="T1733" s="9">
        <f>IF(Q1733="당기",ABS(P1733)+ROW()/1000000000,"")</f>
        <v/>
      </c>
      <c r="U1733" s="9">
        <f>IF(Q1733="비교",ABS(P1733)+ROW()/1000000000,"")</f>
        <v/>
      </c>
      <c r="V1733" s="64">
        <f>IF($A1733="","",IF(COUNTIF(변동분석!$E$7:$E$506,O1733)&gt;0,"Y","N"))</f>
        <v/>
      </c>
      <c r="W1733" s="64">
        <f>IF($A1733="","",IFERROR(INDEX(계정매핑!$D$5:$D$504,MATCH($F1733&amp;"",계정매핑!$A$5:$A$504,0)),"미매핑"))</f>
        <v/>
      </c>
      <c r="X1733" s="9">
        <f>IF($A1733="","",$F1733&amp;"")</f>
        <v/>
      </c>
      <c r="Y1733" s="94">
        <f>IF($A1733="",0,IF(AE1733="직접",IF(AF1733="비귀속",$P1733,0),$P1733*(1-AG1733)*IFERROR(INDEX(계정대체기준!$F$20:$F$49,MATCH($N1733,계정대체기준!$A$20:$A$49,0)),1)))</f>
        <v/>
      </c>
      <c r="Z1733" s="94">
        <f>IF($A1733="",0,IF(AE1733="직접",IF(AF1733="신계약비",$P1733,0),$P1733*(1-AG1733)*IFERROR(INDEX(계정대체기준!$C$20:$C$49,MATCH($N1733,계정대체기준!$A$20:$A$49,0)),0)))</f>
        <v/>
      </c>
      <c r="AA1733" s="94">
        <f>IF($A1733="",0,IF(AE1733="직접",IF(OR(AF1733="유지비",AF1733="손해조사비"),$P1733,0),$P1733*(1-AG1733)*IFERROR(INDEX(계정대체기준!$D$20:$D$49,MATCH($N1733,계정대체기준!$A$20:$A$49,0)),0)))</f>
        <v/>
      </c>
      <c r="AB1733" s="94">
        <f>IF($A1733="",0,IF(AE1733="직접",IF(AF1733="수금비",$P1733,0),$P1733*(1-AG1733)*IFERROR(INDEX(계정대체기준!$E$20:$E$49,MATCH($N1733,계정대체기준!$A$20:$A$49,0)),0)))</f>
        <v/>
      </c>
      <c r="AC1733" s="9">
        <f>IF(AND($A1733&lt;&gt;"",M1733=설정!$C$20,Z1733&gt;0),Z1733+ROW()/1000000000,"")</f>
        <v/>
      </c>
      <c r="AD1733" s="94">
        <f>IF($A1733="",0,$P1733*AG1733)</f>
        <v/>
      </c>
      <c r="AE1733" s="64">
        <f>IF($A1733="","",IFERROR(INDEX(계정매핑!$E$5:$E$504,MATCH($F1733&amp;"",계정매핑!$A$5:$A$504,0))&amp;"","공통비"))</f>
        <v/>
      </c>
      <c r="AF1733" s="64">
        <f>IF($A1733="","",IF(AE1733="직접",IFERROR(INDEX(계정매핑!$F$5:$F$504,MATCH($F1733&amp;"",계정매핑!$A$5:$A$504,0))&amp;"","비귀속"),""))</f>
        <v/>
      </c>
      <c r="AG1733" s="96">
        <f>IF($A1733="",0,IF(AND(AE1733&lt;&gt;"직접",IFERROR(INDEX(계정매핑!$G$5:$G$504,MATCH($F1733&amp;"",계정매핑!$A$5:$A$504,0))&amp;"","")="유지비",COUNTIF(계정대체기준!$A$6:$A$15,$N1733)&gt;0),IFERROR(INDEX(계정대체기준!$E$6:$E$15,MATCH(VALUE($A1733&amp;""),계정대체기준!$D$6:$D$15,0)),0),0))</f>
        <v/>
      </c>
      <c r="AH1733" s="64">
        <f>IF($A1733="","",IF(AD1733=0,"",IF(OR(COUNTIF(계정대체기준!$A$77:$A$86,$N1733)&gt;0,ISNUMBER(MATCH($X1733,계정대체기준!$D$77:$D$86,0)),ISNUMBER(MATCH($F1733,계정대체기준!$D$77:$D$86,0))),"Y","N")))</f>
        <v/>
      </c>
    </row>
    <row r="1734">
      <c r="A1734" s="92" t="n">
        <v>2025</v>
      </c>
      <c r="B1734" s="92" t="n">
        <v>8</v>
      </c>
      <c r="C1734" s="92" t="inlineStr">
        <is>
          <t>5100001730</t>
        </is>
      </c>
      <c r="D1734" s="95" t="n">
        <v>45888</v>
      </c>
      <c r="E1734" s="92" t="inlineStr">
        <is>
          <t>KR</t>
        </is>
      </c>
      <c r="F1734" s="92" t="n">
        <v>62102000</v>
      </c>
      <c r="G1734" s="92" t="n">
        <v>1401</v>
      </c>
      <c r="H1734" s="93" t="n">
        <v>86000</v>
      </c>
      <c r="I1734" s="92" t="inlineStr">
        <is>
          <t>8월 해외출장 - M항공</t>
        </is>
      </c>
      <c r="J1734" s="92" t="inlineStr">
        <is>
          <t>V10001</t>
        </is>
      </c>
      <c r="K1734" s="92" t="inlineStr">
        <is>
          <t>M항공</t>
        </is>
      </c>
      <c r="M1734" s="9">
        <f>IF($A1734="","",VALUE($A1734&amp;"")*12+VALUE($B1734&amp;""))</f>
        <v/>
      </c>
      <c r="N1734" s="64">
        <f>IF($A1734="","",IFERROR(INDEX(부서매핑!$C$5:$C$504,MATCH($G1734&amp;"",부서매핑!$A$5:$A$504,0)),"미매핑"))</f>
        <v/>
      </c>
      <c r="O1734" s="9">
        <f>IF($A1734="","",N1734&amp;"|"&amp;$F1734)</f>
        <v/>
      </c>
      <c r="P1734" s="94">
        <f>IF($A1734="",0,$H1734*설정!$C$23)</f>
        <v/>
      </c>
      <c r="Q1734" s="64">
        <f>IF($A1734="","",IF(O1734&lt;&gt;원인분석!$C$9,"",IF(AND(M1734&gt;=원인분석!$C$10,M1734&lt;=원인분석!$C$11),"당기",IF(AND(M1734&gt;=원인분석!$C$12,M1734&lt;=원인분석!$C$13),"비교",""))))</f>
        <v/>
      </c>
      <c r="R1734" s="9">
        <f>IF(Q1734="","",$K1734&amp;"")</f>
        <v/>
      </c>
      <c r="S1734" s="9">
        <f>IF(Q1734="","",IF(MATCH(R1734,$R$5:$R$100000,0)=ROW()-4,ROW(),""))</f>
        <v/>
      </c>
      <c r="T1734" s="9">
        <f>IF(Q1734="당기",ABS(P1734)+ROW()/1000000000,"")</f>
        <v/>
      </c>
      <c r="U1734" s="9">
        <f>IF(Q1734="비교",ABS(P1734)+ROW()/1000000000,"")</f>
        <v/>
      </c>
      <c r="V1734" s="64">
        <f>IF($A1734="","",IF(COUNTIF(변동분석!$E$7:$E$506,O1734)&gt;0,"Y","N"))</f>
        <v/>
      </c>
      <c r="W1734" s="64">
        <f>IF($A1734="","",IFERROR(INDEX(계정매핑!$D$5:$D$504,MATCH($F1734&amp;"",계정매핑!$A$5:$A$504,0)),"미매핑"))</f>
        <v/>
      </c>
      <c r="X1734" s="9">
        <f>IF($A1734="","",$F1734&amp;"")</f>
        <v/>
      </c>
      <c r="Y1734" s="94">
        <f>IF($A1734="",0,IF(AE1734="직접",IF(AF1734="비귀속",$P1734,0),$P1734*(1-AG1734)*IFERROR(INDEX(계정대체기준!$F$20:$F$49,MATCH($N1734,계정대체기준!$A$20:$A$49,0)),1)))</f>
        <v/>
      </c>
      <c r="Z1734" s="94">
        <f>IF($A1734="",0,IF(AE1734="직접",IF(AF1734="신계약비",$P1734,0),$P1734*(1-AG1734)*IFERROR(INDEX(계정대체기준!$C$20:$C$49,MATCH($N1734,계정대체기준!$A$20:$A$49,0)),0)))</f>
        <v/>
      </c>
      <c r="AA1734" s="94">
        <f>IF($A1734="",0,IF(AE1734="직접",IF(OR(AF1734="유지비",AF1734="손해조사비"),$P1734,0),$P1734*(1-AG1734)*IFERROR(INDEX(계정대체기준!$D$20:$D$49,MATCH($N1734,계정대체기준!$A$20:$A$49,0)),0)))</f>
        <v/>
      </c>
      <c r="AB1734" s="94">
        <f>IF($A1734="",0,IF(AE1734="직접",IF(AF1734="수금비",$P1734,0),$P1734*(1-AG1734)*IFERROR(INDEX(계정대체기준!$E$20:$E$49,MATCH($N1734,계정대체기준!$A$20:$A$49,0)),0)))</f>
        <v/>
      </c>
      <c r="AC1734" s="9">
        <f>IF(AND($A1734&lt;&gt;"",M1734=설정!$C$20,Z1734&gt;0),Z1734+ROW()/1000000000,"")</f>
        <v/>
      </c>
      <c r="AD1734" s="94">
        <f>IF($A1734="",0,$P1734*AG1734)</f>
        <v/>
      </c>
      <c r="AE1734" s="64">
        <f>IF($A1734="","",IFERROR(INDEX(계정매핑!$E$5:$E$504,MATCH($F1734&amp;"",계정매핑!$A$5:$A$504,0))&amp;"","공통비"))</f>
        <v/>
      </c>
      <c r="AF1734" s="64">
        <f>IF($A1734="","",IF(AE1734="직접",IFERROR(INDEX(계정매핑!$F$5:$F$504,MATCH($F1734&amp;"",계정매핑!$A$5:$A$504,0))&amp;"","비귀속"),""))</f>
        <v/>
      </c>
      <c r="AG1734" s="96">
        <f>IF($A1734="",0,IF(AND(AE1734&lt;&gt;"직접",IFERROR(INDEX(계정매핑!$G$5:$G$504,MATCH($F1734&amp;"",계정매핑!$A$5:$A$504,0))&amp;"","")="유지비",COUNTIF(계정대체기준!$A$6:$A$15,$N1734)&gt;0),IFERROR(INDEX(계정대체기준!$E$6:$E$15,MATCH(VALUE($A1734&amp;""),계정대체기준!$D$6:$D$15,0)),0),0))</f>
        <v/>
      </c>
      <c r="AH1734" s="64">
        <f>IF($A1734="","",IF(AD1734=0,"",IF(OR(COUNTIF(계정대체기준!$A$77:$A$86,$N1734)&gt;0,ISNUMBER(MATCH($X1734,계정대체기준!$D$77:$D$86,0)),ISNUMBER(MATCH($F1734,계정대체기준!$D$77:$D$86,0))),"Y","N")))</f>
        <v/>
      </c>
    </row>
    <row r="1735">
      <c r="A1735" s="92" t="n">
        <v>2025</v>
      </c>
      <c r="B1735" s="92" t="n">
        <v>8</v>
      </c>
      <c r="C1735" s="92" t="inlineStr">
        <is>
          <t>5100001731</t>
        </is>
      </c>
      <c r="D1735" s="95" t="n">
        <v>45888</v>
      </c>
      <c r="E1735" s="92" t="inlineStr">
        <is>
          <t>KR</t>
        </is>
      </c>
      <c r="F1735" s="92" t="n">
        <v>62102000</v>
      </c>
      <c r="G1735" s="92" t="n">
        <v>1401</v>
      </c>
      <c r="H1735" s="93" t="n">
        <v>140000</v>
      </c>
      <c r="I1735" s="92" t="inlineStr">
        <is>
          <t>8월 해외출장 - M항공</t>
        </is>
      </c>
      <c r="J1735" s="92" t="inlineStr">
        <is>
          <t>V10001</t>
        </is>
      </c>
      <c r="K1735" s="92" t="inlineStr">
        <is>
          <t>M항공</t>
        </is>
      </c>
      <c r="M1735" s="9">
        <f>IF($A1735="","",VALUE($A1735&amp;"")*12+VALUE($B1735&amp;""))</f>
        <v/>
      </c>
      <c r="N1735" s="64">
        <f>IF($A1735="","",IFERROR(INDEX(부서매핑!$C$5:$C$504,MATCH($G1735&amp;"",부서매핑!$A$5:$A$504,0)),"미매핑"))</f>
        <v/>
      </c>
      <c r="O1735" s="9">
        <f>IF($A1735="","",N1735&amp;"|"&amp;$F1735)</f>
        <v/>
      </c>
      <c r="P1735" s="94">
        <f>IF($A1735="",0,$H1735*설정!$C$23)</f>
        <v/>
      </c>
      <c r="Q1735" s="64">
        <f>IF($A1735="","",IF(O1735&lt;&gt;원인분석!$C$9,"",IF(AND(M1735&gt;=원인분석!$C$10,M1735&lt;=원인분석!$C$11),"당기",IF(AND(M1735&gt;=원인분석!$C$12,M1735&lt;=원인분석!$C$13),"비교",""))))</f>
        <v/>
      </c>
      <c r="R1735" s="9">
        <f>IF(Q1735="","",$K1735&amp;"")</f>
        <v/>
      </c>
      <c r="S1735" s="9">
        <f>IF(Q1735="","",IF(MATCH(R1735,$R$5:$R$100000,0)=ROW()-4,ROW(),""))</f>
        <v/>
      </c>
      <c r="T1735" s="9">
        <f>IF(Q1735="당기",ABS(P1735)+ROW()/1000000000,"")</f>
        <v/>
      </c>
      <c r="U1735" s="9">
        <f>IF(Q1735="비교",ABS(P1735)+ROW()/1000000000,"")</f>
        <v/>
      </c>
      <c r="V1735" s="64">
        <f>IF($A1735="","",IF(COUNTIF(변동분석!$E$7:$E$506,O1735)&gt;0,"Y","N"))</f>
        <v/>
      </c>
      <c r="W1735" s="64">
        <f>IF($A1735="","",IFERROR(INDEX(계정매핑!$D$5:$D$504,MATCH($F1735&amp;"",계정매핑!$A$5:$A$504,0)),"미매핑"))</f>
        <v/>
      </c>
      <c r="X1735" s="9">
        <f>IF($A1735="","",$F1735&amp;"")</f>
        <v/>
      </c>
      <c r="Y1735" s="94">
        <f>IF($A1735="",0,IF(AE1735="직접",IF(AF1735="비귀속",$P1735,0),$P1735*(1-AG1735)*IFERROR(INDEX(계정대체기준!$F$20:$F$49,MATCH($N1735,계정대체기준!$A$20:$A$49,0)),1)))</f>
        <v/>
      </c>
      <c r="Z1735" s="94">
        <f>IF($A1735="",0,IF(AE1735="직접",IF(AF1735="신계약비",$P1735,0),$P1735*(1-AG1735)*IFERROR(INDEX(계정대체기준!$C$20:$C$49,MATCH($N1735,계정대체기준!$A$20:$A$49,0)),0)))</f>
        <v/>
      </c>
      <c r="AA1735" s="94">
        <f>IF($A1735="",0,IF(AE1735="직접",IF(OR(AF1735="유지비",AF1735="손해조사비"),$P1735,0),$P1735*(1-AG1735)*IFERROR(INDEX(계정대체기준!$D$20:$D$49,MATCH($N1735,계정대체기준!$A$20:$A$49,0)),0)))</f>
        <v/>
      </c>
      <c r="AB1735" s="94">
        <f>IF($A1735="",0,IF(AE1735="직접",IF(AF1735="수금비",$P1735,0),$P1735*(1-AG1735)*IFERROR(INDEX(계정대체기준!$E$20:$E$49,MATCH($N1735,계정대체기준!$A$20:$A$49,0)),0)))</f>
        <v/>
      </c>
      <c r="AC1735" s="9">
        <f>IF(AND($A1735&lt;&gt;"",M1735=설정!$C$20,Z1735&gt;0),Z1735+ROW()/1000000000,"")</f>
        <v/>
      </c>
      <c r="AD1735" s="94">
        <f>IF($A1735="",0,$P1735*AG1735)</f>
        <v/>
      </c>
      <c r="AE1735" s="64">
        <f>IF($A1735="","",IFERROR(INDEX(계정매핑!$E$5:$E$504,MATCH($F1735&amp;"",계정매핑!$A$5:$A$504,0))&amp;"","공통비"))</f>
        <v/>
      </c>
      <c r="AF1735" s="64">
        <f>IF($A1735="","",IF(AE1735="직접",IFERROR(INDEX(계정매핑!$F$5:$F$504,MATCH($F1735&amp;"",계정매핑!$A$5:$A$504,0))&amp;"","비귀속"),""))</f>
        <v/>
      </c>
      <c r="AG1735" s="96">
        <f>IF($A1735="",0,IF(AND(AE1735&lt;&gt;"직접",IFERROR(INDEX(계정매핑!$G$5:$G$504,MATCH($F1735&amp;"",계정매핑!$A$5:$A$504,0))&amp;"","")="유지비",COUNTIF(계정대체기준!$A$6:$A$15,$N1735)&gt;0),IFERROR(INDEX(계정대체기준!$E$6:$E$15,MATCH(VALUE($A1735&amp;""),계정대체기준!$D$6:$D$15,0)),0),0))</f>
        <v/>
      </c>
      <c r="AH1735" s="64">
        <f>IF($A1735="","",IF(AD1735=0,"",IF(OR(COUNTIF(계정대체기준!$A$77:$A$86,$N1735)&gt;0,ISNUMBER(MATCH($X1735,계정대체기준!$D$77:$D$86,0)),ISNUMBER(MATCH($F1735,계정대체기준!$D$77:$D$86,0))),"Y","N")))</f>
        <v/>
      </c>
    </row>
    <row r="1736">
      <c r="A1736" s="92" t="n">
        <v>2025</v>
      </c>
      <c r="B1736" s="92" t="n">
        <v>8</v>
      </c>
      <c r="C1736" s="92" t="inlineStr">
        <is>
          <t>5100001732</t>
        </is>
      </c>
      <c r="D1736" s="95" t="n">
        <v>45888</v>
      </c>
      <c r="E1736" s="92" t="inlineStr">
        <is>
          <t>KR</t>
        </is>
      </c>
      <c r="F1736" s="92" t="n">
        <v>62301000</v>
      </c>
      <c r="G1736" s="92" t="n">
        <v>1401</v>
      </c>
      <c r="H1736" s="93" t="n">
        <v>71000</v>
      </c>
      <c r="I1736" s="92" t="inlineStr">
        <is>
          <t>8월 소모품 구입 - R문구</t>
        </is>
      </c>
      <c r="J1736" s="92" t="inlineStr">
        <is>
          <t>V10022</t>
        </is>
      </c>
      <c r="K1736" s="92" t="inlineStr">
        <is>
          <t>R문구</t>
        </is>
      </c>
      <c r="M1736" s="9">
        <f>IF($A1736="","",VALUE($A1736&amp;"")*12+VALUE($B1736&amp;""))</f>
        <v/>
      </c>
      <c r="N1736" s="64">
        <f>IF($A1736="","",IFERROR(INDEX(부서매핑!$C$5:$C$504,MATCH($G1736&amp;"",부서매핑!$A$5:$A$504,0)),"미매핑"))</f>
        <v/>
      </c>
      <c r="O1736" s="9">
        <f>IF($A1736="","",N1736&amp;"|"&amp;$F1736)</f>
        <v/>
      </c>
      <c r="P1736" s="94">
        <f>IF($A1736="",0,$H1736*설정!$C$23)</f>
        <v/>
      </c>
      <c r="Q1736" s="64">
        <f>IF($A1736="","",IF(O1736&lt;&gt;원인분석!$C$9,"",IF(AND(M1736&gt;=원인분석!$C$10,M1736&lt;=원인분석!$C$11),"당기",IF(AND(M1736&gt;=원인분석!$C$12,M1736&lt;=원인분석!$C$13),"비교",""))))</f>
        <v/>
      </c>
      <c r="R1736" s="9">
        <f>IF(Q1736="","",$K1736&amp;"")</f>
        <v/>
      </c>
      <c r="S1736" s="9">
        <f>IF(Q1736="","",IF(MATCH(R1736,$R$5:$R$100000,0)=ROW()-4,ROW(),""))</f>
        <v/>
      </c>
      <c r="T1736" s="9">
        <f>IF(Q1736="당기",ABS(P1736)+ROW()/1000000000,"")</f>
        <v/>
      </c>
      <c r="U1736" s="9">
        <f>IF(Q1736="비교",ABS(P1736)+ROW()/1000000000,"")</f>
        <v/>
      </c>
      <c r="V1736" s="64">
        <f>IF($A1736="","",IF(COUNTIF(변동분석!$E$7:$E$506,O1736)&gt;0,"Y","N"))</f>
        <v/>
      </c>
      <c r="W1736" s="64">
        <f>IF($A1736="","",IFERROR(INDEX(계정매핑!$D$5:$D$504,MATCH($F1736&amp;"",계정매핑!$A$5:$A$504,0)),"미매핑"))</f>
        <v/>
      </c>
      <c r="X1736" s="9">
        <f>IF($A1736="","",$F1736&amp;"")</f>
        <v/>
      </c>
      <c r="Y1736" s="94">
        <f>IF($A1736="",0,IF(AE1736="직접",IF(AF1736="비귀속",$P1736,0),$P1736*(1-AG1736)*IFERROR(INDEX(계정대체기준!$F$20:$F$49,MATCH($N1736,계정대체기준!$A$20:$A$49,0)),1)))</f>
        <v/>
      </c>
      <c r="Z1736" s="94">
        <f>IF($A1736="",0,IF(AE1736="직접",IF(AF1736="신계약비",$P1736,0),$P1736*(1-AG1736)*IFERROR(INDEX(계정대체기준!$C$20:$C$49,MATCH($N1736,계정대체기준!$A$20:$A$49,0)),0)))</f>
        <v/>
      </c>
      <c r="AA1736" s="94">
        <f>IF($A1736="",0,IF(AE1736="직접",IF(OR(AF1736="유지비",AF1736="손해조사비"),$P1736,0),$P1736*(1-AG1736)*IFERROR(INDEX(계정대체기준!$D$20:$D$49,MATCH($N1736,계정대체기준!$A$20:$A$49,0)),0)))</f>
        <v/>
      </c>
      <c r="AB1736" s="94">
        <f>IF($A1736="",0,IF(AE1736="직접",IF(AF1736="수금비",$P1736,0),$P1736*(1-AG1736)*IFERROR(INDEX(계정대체기준!$E$20:$E$49,MATCH($N1736,계정대체기준!$A$20:$A$49,0)),0)))</f>
        <v/>
      </c>
      <c r="AC1736" s="9">
        <f>IF(AND($A1736&lt;&gt;"",M1736=설정!$C$20,Z1736&gt;0),Z1736+ROW()/1000000000,"")</f>
        <v/>
      </c>
      <c r="AD1736" s="94">
        <f>IF($A1736="",0,$P1736*AG1736)</f>
        <v/>
      </c>
      <c r="AE1736" s="64">
        <f>IF($A1736="","",IFERROR(INDEX(계정매핑!$E$5:$E$504,MATCH($F1736&amp;"",계정매핑!$A$5:$A$504,0))&amp;"","공통비"))</f>
        <v/>
      </c>
      <c r="AF1736" s="64">
        <f>IF($A1736="","",IF(AE1736="직접",IFERROR(INDEX(계정매핑!$F$5:$F$504,MATCH($F1736&amp;"",계정매핑!$A$5:$A$504,0))&amp;"","비귀속"),""))</f>
        <v/>
      </c>
      <c r="AG1736" s="96">
        <f>IF($A1736="",0,IF(AND(AE1736&lt;&gt;"직접",IFERROR(INDEX(계정매핑!$G$5:$G$504,MATCH($F1736&amp;"",계정매핑!$A$5:$A$504,0))&amp;"","")="유지비",COUNTIF(계정대체기준!$A$6:$A$15,$N1736)&gt;0),IFERROR(INDEX(계정대체기준!$E$6:$E$15,MATCH(VALUE($A1736&amp;""),계정대체기준!$D$6:$D$15,0)),0),0))</f>
        <v/>
      </c>
      <c r="AH1736" s="64">
        <f>IF($A1736="","",IF(AD1736=0,"",IF(OR(COUNTIF(계정대체기준!$A$77:$A$86,$N1736)&gt;0,ISNUMBER(MATCH($X1736,계정대체기준!$D$77:$D$86,0)),ISNUMBER(MATCH($F1736,계정대체기준!$D$77:$D$86,0))),"Y","N")))</f>
        <v/>
      </c>
    </row>
    <row r="1737">
      <c r="A1737" s="92" t="n">
        <v>2025</v>
      </c>
      <c r="B1737" s="92" t="n">
        <v>8</v>
      </c>
      <c r="C1737" s="92" t="inlineStr">
        <is>
          <t>5100001733</t>
        </is>
      </c>
      <c r="D1737" s="95" t="n">
        <v>45888</v>
      </c>
      <c r="E1737" s="92" t="inlineStr">
        <is>
          <t>KR</t>
        </is>
      </c>
      <c r="F1737" s="92" t="n">
        <v>62901000</v>
      </c>
      <c r="G1737" s="92" t="n">
        <v>1101</v>
      </c>
      <c r="H1737" s="93" t="n">
        <v>4210000</v>
      </c>
      <c r="I1737" s="92" t="inlineStr">
        <is>
          <t>8월 자문 수수료 - W컨설팅</t>
        </is>
      </c>
      <c r="J1737" s="92" t="inlineStr">
        <is>
          <t>V10006</t>
        </is>
      </c>
      <c r="K1737" s="92" t="inlineStr">
        <is>
          <t>W컨설팅</t>
        </is>
      </c>
      <c r="M1737" s="9">
        <f>IF($A1737="","",VALUE($A1737&amp;"")*12+VALUE($B1737&amp;""))</f>
        <v/>
      </c>
      <c r="N1737" s="64">
        <f>IF($A1737="","",IFERROR(INDEX(부서매핑!$C$5:$C$504,MATCH($G1737&amp;"",부서매핑!$A$5:$A$504,0)),"미매핑"))</f>
        <v/>
      </c>
      <c r="O1737" s="9">
        <f>IF($A1737="","",N1737&amp;"|"&amp;$F1737)</f>
        <v/>
      </c>
      <c r="P1737" s="94">
        <f>IF($A1737="",0,$H1737*설정!$C$23)</f>
        <v/>
      </c>
      <c r="Q1737" s="64">
        <f>IF($A1737="","",IF(O1737&lt;&gt;원인분석!$C$9,"",IF(AND(M1737&gt;=원인분석!$C$10,M1737&lt;=원인분석!$C$11),"당기",IF(AND(M1737&gt;=원인분석!$C$12,M1737&lt;=원인분석!$C$13),"비교",""))))</f>
        <v/>
      </c>
      <c r="R1737" s="9">
        <f>IF(Q1737="","",$K1737&amp;"")</f>
        <v/>
      </c>
      <c r="S1737" s="9">
        <f>IF(Q1737="","",IF(MATCH(R1737,$R$5:$R$100000,0)=ROW()-4,ROW(),""))</f>
        <v/>
      </c>
      <c r="T1737" s="9">
        <f>IF(Q1737="당기",ABS(P1737)+ROW()/1000000000,"")</f>
        <v/>
      </c>
      <c r="U1737" s="9">
        <f>IF(Q1737="비교",ABS(P1737)+ROW()/1000000000,"")</f>
        <v/>
      </c>
      <c r="V1737" s="64">
        <f>IF($A1737="","",IF(COUNTIF(변동분석!$E$7:$E$506,O1737)&gt;0,"Y","N"))</f>
        <v/>
      </c>
      <c r="W1737" s="64">
        <f>IF($A1737="","",IFERROR(INDEX(계정매핑!$D$5:$D$504,MATCH($F1737&amp;"",계정매핑!$A$5:$A$504,0)),"미매핑"))</f>
        <v/>
      </c>
      <c r="X1737" s="9">
        <f>IF($A1737="","",$F1737&amp;"")</f>
        <v/>
      </c>
      <c r="Y1737" s="94">
        <f>IF($A1737="",0,IF(AE1737="직접",IF(AF1737="비귀속",$P1737,0),$P1737*(1-AG1737)*IFERROR(INDEX(계정대체기준!$F$20:$F$49,MATCH($N1737,계정대체기준!$A$20:$A$49,0)),1)))</f>
        <v/>
      </c>
      <c r="Z1737" s="94">
        <f>IF($A1737="",0,IF(AE1737="직접",IF(AF1737="신계약비",$P1737,0),$P1737*(1-AG1737)*IFERROR(INDEX(계정대체기준!$C$20:$C$49,MATCH($N1737,계정대체기준!$A$20:$A$49,0)),0)))</f>
        <v/>
      </c>
      <c r="AA1737" s="94">
        <f>IF($A1737="",0,IF(AE1737="직접",IF(OR(AF1737="유지비",AF1737="손해조사비"),$P1737,0),$P1737*(1-AG1737)*IFERROR(INDEX(계정대체기준!$D$20:$D$49,MATCH($N1737,계정대체기준!$A$20:$A$49,0)),0)))</f>
        <v/>
      </c>
      <c r="AB1737" s="94">
        <f>IF($A1737="",0,IF(AE1737="직접",IF(AF1737="수금비",$P1737,0),$P1737*(1-AG1737)*IFERROR(INDEX(계정대체기준!$E$20:$E$49,MATCH($N1737,계정대체기준!$A$20:$A$49,0)),0)))</f>
        <v/>
      </c>
      <c r="AC1737" s="9">
        <f>IF(AND($A1737&lt;&gt;"",M1737=설정!$C$20,Z1737&gt;0),Z1737+ROW()/1000000000,"")</f>
        <v/>
      </c>
      <c r="AD1737" s="94">
        <f>IF($A1737="",0,$P1737*AG1737)</f>
        <v/>
      </c>
      <c r="AE1737" s="64">
        <f>IF($A1737="","",IFERROR(INDEX(계정매핑!$E$5:$E$504,MATCH($F1737&amp;"",계정매핑!$A$5:$A$504,0))&amp;"","공통비"))</f>
        <v/>
      </c>
      <c r="AF1737" s="64">
        <f>IF($A1737="","",IF(AE1737="직접",IFERROR(INDEX(계정매핑!$F$5:$F$504,MATCH($F1737&amp;"",계정매핑!$A$5:$A$504,0))&amp;"","비귀속"),""))</f>
        <v/>
      </c>
      <c r="AG1737" s="96">
        <f>IF($A1737="",0,IF(AND(AE1737&lt;&gt;"직접",IFERROR(INDEX(계정매핑!$G$5:$G$504,MATCH($F1737&amp;"",계정매핑!$A$5:$A$504,0))&amp;"","")="유지비",COUNTIF(계정대체기준!$A$6:$A$15,$N1737)&gt;0),IFERROR(INDEX(계정대체기준!$E$6:$E$15,MATCH(VALUE($A1737&amp;""),계정대체기준!$D$6:$D$15,0)),0),0))</f>
        <v/>
      </c>
      <c r="AH1737" s="64">
        <f>IF($A1737="","",IF(AD1737=0,"",IF(OR(COUNTIF(계정대체기준!$A$77:$A$86,$N1737)&gt;0,ISNUMBER(MATCH($X1737,계정대체기준!$D$77:$D$86,0)),ISNUMBER(MATCH($F1737,계정대체기준!$D$77:$D$86,0))),"Y","N")))</f>
        <v/>
      </c>
    </row>
    <row r="1738">
      <c r="A1738" s="92" t="n">
        <v>2025</v>
      </c>
      <c r="B1738" s="92" t="n">
        <v>8</v>
      </c>
      <c r="C1738" s="92" t="inlineStr">
        <is>
          <t>5100001734</t>
        </is>
      </c>
      <c r="D1738" s="95" t="n">
        <v>45888</v>
      </c>
      <c r="E1738" s="92" t="inlineStr">
        <is>
          <t>KR</t>
        </is>
      </c>
      <c r="F1738" s="92" t="n">
        <v>62901000</v>
      </c>
      <c r="G1738" s="92" t="n">
        <v>1401</v>
      </c>
      <c r="H1738" s="93" t="n">
        <v>4790000</v>
      </c>
      <c r="I1738" s="92" t="inlineStr">
        <is>
          <t>8월 자문 수수료 - K회계법인</t>
        </is>
      </c>
      <c r="J1738" s="92" t="inlineStr">
        <is>
          <t>V10011</t>
        </is>
      </c>
      <c r="K1738" s="92" t="inlineStr">
        <is>
          <t>K회계법인</t>
        </is>
      </c>
      <c r="M1738" s="9">
        <f>IF($A1738="","",VALUE($A1738&amp;"")*12+VALUE($B1738&amp;""))</f>
        <v/>
      </c>
      <c r="N1738" s="64">
        <f>IF($A1738="","",IFERROR(INDEX(부서매핑!$C$5:$C$504,MATCH($G1738&amp;"",부서매핑!$A$5:$A$504,0)),"미매핑"))</f>
        <v/>
      </c>
      <c r="O1738" s="9">
        <f>IF($A1738="","",N1738&amp;"|"&amp;$F1738)</f>
        <v/>
      </c>
      <c r="P1738" s="94">
        <f>IF($A1738="",0,$H1738*설정!$C$23)</f>
        <v/>
      </c>
      <c r="Q1738" s="64">
        <f>IF($A1738="","",IF(O1738&lt;&gt;원인분석!$C$9,"",IF(AND(M1738&gt;=원인분석!$C$10,M1738&lt;=원인분석!$C$11),"당기",IF(AND(M1738&gt;=원인분석!$C$12,M1738&lt;=원인분석!$C$13),"비교",""))))</f>
        <v/>
      </c>
      <c r="R1738" s="9">
        <f>IF(Q1738="","",$K1738&amp;"")</f>
        <v/>
      </c>
      <c r="S1738" s="9">
        <f>IF(Q1738="","",IF(MATCH(R1738,$R$5:$R$100000,0)=ROW()-4,ROW(),""))</f>
        <v/>
      </c>
      <c r="T1738" s="9">
        <f>IF(Q1738="당기",ABS(P1738)+ROW()/1000000000,"")</f>
        <v/>
      </c>
      <c r="U1738" s="9">
        <f>IF(Q1738="비교",ABS(P1738)+ROW()/1000000000,"")</f>
        <v/>
      </c>
      <c r="V1738" s="64">
        <f>IF($A1738="","",IF(COUNTIF(변동분석!$E$7:$E$506,O1738)&gt;0,"Y","N"))</f>
        <v/>
      </c>
      <c r="W1738" s="64">
        <f>IF($A1738="","",IFERROR(INDEX(계정매핑!$D$5:$D$504,MATCH($F1738&amp;"",계정매핑!$A$5:$A$504,0)),"미매핑"))</f>
        <v/>
      </c>
      <c r="X1738" s="9">
        <f>IF($A1738="","",$F1738&amp;"")</f>
        <v/>
      </c>
      <c r="Y1738" s="94">
        <f>IF($A1738="",0,IF(AE1738="직접",IF(AF1738="비귀속",$P1738,0),$P1738*(1-AG1738)*IFERROR(INDEX(계정대체기준!$F$20:$F$49,MATCH($N1738,계정대체기준!$A$20:$A$49,0)),1)))</f>
        <v/>
      </c>
      <c r="Z1738" s="94">
        <f>IF($A1738="",0,IF(AE1738="직접",IF(AF1738="신계약비",$P1738,0),$P1738*(1-AG1738)*IFERROR(INDEX(계정대체기준!$C$20:$C$49,MATCH($N1738,계정대체기준!$A$20:$A$49,0)),0)))</f>
        <v/>
      </c>
      <c r="AA1738" s="94">
        <f>IF($A1738="",0,IF(AE1738="직접",IF(OR(AF1738="유지비",AF1738="손해조사비"),$P1738,0),$P1738*(1-AG1738)*IFERROR(INDEX(계정대체기준!$D$20:$D$49,MATCH($N1738,계정대체기준!$A$20:$A$49,0)),0)))</f>
        <v/>
      </c>
      <c r="AB1738" s="94">
        <f>IF($A1738="",0,IF(AE1738="직접",IF(AF1738="수금비",$P1738,0),$P1738*(1-AG1738)*IFERROR(INDEX(계정대체기준!$E$20:$E$49,MATCH($N1738,계정대체기준!$A$20:$A$49,0)),0)))</f>
        <v/>
      </c>
      <c r="AC1738" s="9">
        <f>IF(AND($A1738&lt;&gt;"",M1738=설정!$C$20,Z1738&gt;0),Z1738+ROW()/1000000000,"")</f>
        <v/>
      </c>
      <c r="AD1738" s="94">
        <f>IF($A1738="",0,$P1738*AG1738)</f>
        <v/>
      </c>
      <c r="AE1738" s="64">
        <f>IF($A1738="","",IFERROR(INDEX(계정매핑!$E$5:$E$504,MATCH($F1738&amp;"",계정매핑!$A$5:$A$504,0))&amp;"","공통비"))</f>
        <v/>
      </c>
      <c r="AF1738" s="64">
        <f>IF($A1738="","",IF(AE1738="직접",IFERROR(INDEX(계정매핑!$F$5:$F$504,MATCH($F1738&amp;"",계정매핑!$A$5:$A$504,0))&amp;"","비귀속"),""))</f>
        <v/>
      </c>
      <c r="AG1738" s="96">
        <f>IF($A1738="",0,IF(AND(AE1738&lt;&gt;"직접",IFERROR(INDEX(계정매핑!$G$5:$G$504,MATCH($F1738&amp;"",계정매핑!$A$5:$A$504,0))&amp;"","")="유지비",COUNTIF(계정대체기준!$A$6:$A$15,$N1738)&gt;0),IFERROR(INDEX(계정대체기준!$E$6:$E$15,MATCH(VALUE($A1738&amp;""),계정대체기준!$D$6:$D$15,0)),0),0))</f>
        <v/>
      </c>
      <c r="AH1738" s="64">
        <f>IF($A1738="","",IF(AD1738=0,"",IF(OR(COUNTIF(계정대체기준!$A$77:$A$86,$N1738)&gt;0,ISNUMBER(MATCH($X1738,계정대체기준!$D$77:$D$86,0)),ISNUMBER(MATCH($F1738,계정대체기준!$D$77:$D$86,0))),"Y","N")))</f>
        <v/>
      </c>
    </row>
    <row r="1739">
      <c r="A1739" s="92" t="n">
        <v>2025</v>
      </c>
      <c r="B1739" s="92" t="n">
        <v>8</v>
      </c>
      <c r="C1739" s="92" t="inlineStr">
        <is>
          <t>5100001735</t>
        </is>
      </c>
      <c r="D1739" s="95" t="n">
        <v>45888</v>
      </c>
      <c r="E1739" s="92" t="inlineStr">
        <is>
          <t>KR</t>
        </is>
      </c>
      <c r="F1739" s="92" t="n">
        <v>62902000</v>
      </c>
      <c r="G1739" s="92" t="n">
        <v>1101</v>
      </c>
      <c r="H1739" s="93" t="n">
        <v>1511000</v>
      </c>
      <c r="I1739" s="92" t="inlineStr">
        <is>
          <t>8월 업무 위탁 수수료 - J콜센터</t>
        </is>
      </c>
      <c r="J1739" s="92" t="inlineStr">
        <is>
          <t>V10016</t>
        </is>
      </c>
      <c r="K1739" s="92" t="inlineStr">
        <is>
          <t>J콜센터</t>
        </is>
      </c>
      <c r="M1739" s="9">
        <f>IF($A1739="","",VALUE($A1739&amp;"")*12+VALUE($B1739&amp;""))</f>
        <v/>
      </c>
      <c r="N1739" s="64">
        <f>IF($A1739="","",IFERROR(INDEX(부서매핑!$C$5:$C$504,MATCH($G1739&amp;"",부서매핑!$A$5:$A$504,0)),"미매핑"))</f>
        <v/>
      </c>
      <c r="O1739" s="9">
        <f>IF($A1739="","",N1739&amp;"|"&amp;$F1739)</f>
        <v/>
      </c>
      <c r="P1739" s="94">
        <f>IF($A1739="",0,$H1739*설정!$C$23)</f>
        <v/>
      </c>
      <c r="Q1739" s="64">
        <f>IF($A1739="","",IF(O1739&lt;&gt;원인분석!$C$9,"",IF(AND(M1739&gt;=원인분석!$C$10,M1739&lt;=원인분석!$C$11),"당기",IF(AND(M1739&gt;=원인분석!$C$12,M1739&lt;=원인분석!$C$13),"비교",""))))</f>
        <v/>
      </c>
      <c r="R1739" s="9">
        <f>IF(Q1739="","",$K1739&amp;"")</f>
        <v/>
      </c>
      <c r="S1739" s="9">
        <f>IF(Q1739="","",IF(MATCH(R1739,$R$5:$R$100000,0)=ROW()-4,ROW(),""))</f>
        <v/>
      </c>
      <c r="T1739" s="9">
        <f>IF(Q1739="당기",ABS(P1739)+ROW()/1000000000,"")</f>
        <v/>
      </c>
      <c r="U1739" s="9">
        <f>IF(Q1739="비교",ABS(P1739)+ROW()/1000000000,"")</f>
        <v/>
      </c>
      <c r="V1739" s="64">
        <f>IF($A1739="","",IF(COUNTIF(변동분석!$E$7:$E$506,O1739)&gt;0,"Y","N"))</f>
        <v/>
      </c>
      <c r="W1739" s="64">
        <f>IF($A1739="","",IFERROR(INDEX(계정매핑!$D$5:$D$504,MATCH($F1739&amp;"",계정매핑!$A$5:$A$504,0)),"미매핑"))</f>
        <v/>
      </c>
      <c r="X1739" s="9">
        <f>IF($A1739="","",$F1739&amp;"")</f>
        <v/>
      </c>
      <c r="Y1739" s="94">
        <f>IF($A1739="",0,IF(AE1739="직접",IF(AF1739="비귀속",$P1739,0),$P1739*(1-AG1739)*IFERROR(INDEX(계정대체기준!$F$20:$F$49,MATCH($N1739,계정대체기준!$A$20:$A$49,0)),1)))</f>
        <v/>
      </c>
      <c r="Z1739" s="94">
        <f>IF($A1739="",0,IF(AE1739="직접",IF(AF1739="신계약비",$P1739,0),$P1739*(1-AG1739)*IFERROR(INDEX(계정대체기준!$C$20:$C$49,MATCH($N1739,계정대체기준!$A$20:$A$49,0)),0)))</f>
        <v/>
      </c>
      <c r="AA1739" s="94">
        <f>IF($A1739="",0,IF(AE1739="직접",IF(OR(AF1739="유지비",AF1739="손해조사비"),$P1739,0),$P1739*(1-AG1739)*IFERROR(INDEX(계정대체기준!$D$20:$D$49,MATCH($N1739,계정대체기준!$A$20:$A$49,0)),0)))</f>
        <v/>
      </c>
      <c r="AB1739" s="94">
        <f>IF($A1739="",0,IF(AE1739="직접",IF(AF1739="수금비",$P1739,0),$P1739*(1-AG1739)*IFERROR(INDEX(계정대체기준!$E$20:$E$49,MATCH($N1739,계정대체기준!$A$20:$A$49,0)),0)))</f>
        <v/>
      </c>
      <c r="AC1739" s="9">
        <f>IF(AND($A1739&lt;&gt;"",M1739=설정!$C$20,Z1739&gt;0),Z1739+ROW()/1000000000,"")</f>
        <v/>
      </c>
      <c r="AD1739" s="94">
        <f>IF($A1739="",0,$P1739*AG1739)</f>
        <v/>
      </c>
      <c r="AE1739" s="64">
        <f>IF($A1739="","",IFERROR(INDEX(계정매핑!$E$5:$E$504,MATCH($F1739&amp;"",계정매핑!$A$5:$A$504,0))&amp;"","공통비"))</f>
        <v/>
      </c>
      <c r="AF1739" s="64">
        <f>IF($A1739="","",IF(AE1739="직접",IFERROR(INDEX(계정매핑!$F$5:$F$504,MATCH($F1739&amp;"",계정매핑!$A$5:$A$504,0))&amp;"","비귀속"),""))</f>
        <v/>
      </c>
      <c r="AG1739" s="96">
        <f>IF($A1739="",0,IF(AND(AE1739&lt;&gt;"직접",IFERROR(INDEX(계정매핑!$G$5:$G$504,MATCH($F1739&amp;"",계정매핑!$A$5:$A$504,0))&amp;"","")="유지비",COUNTIF(계정대체기준!$A$6:$A$15,$N1739)&gt;0),IFERROR(INDEX(계정대체기준!$E$6:$E$15,MATCH(VALUE($A1739&amp;""),계정대체기준!$D$6:$D$15,0)),0),0))</f>
        <v/>
      </c>
      <c r="AH1739" s="64">
        <f>IF($A1739="","",IF(AD1739=0,"",IF(OR(COUNTIF(계정대체기준!$A$77:$A$86,$N1739)&gt;0,ISNUMBER(MATCH($X1739,계정대체기준!$D$77:$D$86,0)),ISNUMBER(MATCH($F1739,계정대체기준!$D$77:$D$86,0))),"Y","N")))</f>
        <v/>
      </c>
    </row>
    <row r="1740">
      <c r="A1740" s="92" t="n">
        <v>2025</v>
      </c>
      <c r="B1740" s="92" t="n">
        <v>8</v>
      </c>
      <c r="C1740" s="92" t="inlineStr">
        <is>
          <t>5100001736</t>
        </is>
      </c>
      <c r="D1740" s="95" t="n">
        <v>45888</v>
      </c>
      <c r="E1740" s="92" t="inlineStr">
        <is>
          <t>KR</t>
        </is>
      </c>
      <c r="F1740" s="92" t="n">
        <v>63501000</v>
      </c>
      <c r="G1740" s="92" t="n">
        <v>1901</v>
      </c>
      <c r="H1740" s="93" t="n">
        <v>449083000</v>
      </c>
      <c r="I1740" s="92" t="inlineStr">
        <is>
          <t>8월 모집수수료 - BB에셋</t>
        </is>
      </c>
      <c r="J1740" s="92" t="inlineStr">
        <is>
          <t>V10013</t>
        </is>
      </c>
      <c r="K1740" s="92" t="inlineStr">
        <is>
          <t>BB에셋</t>
        </is>
      </c>
      <c r="M1740" s="9">
        <f>IF($A1740="","",VALUE($A1740&amp;"")*12+VALUE($B1740&amp;""))</f>
        <v/>
      </c>
      <c r="N1740" s="64">
        <f>IF($A1740="","",IFERROR(INDEX(부서매핑!$C$5:$C$504,MATCH($G1740&amp;"",부서매핑!$A$5:$A$504,0)),"미매핑"))</f>
        <v/>
      </c>
      <c r="O1740" s="9">
        <f>IF($A1740="","",N1740&amp;"|"&amp;$F1740)</f>
        <v/>
      </c>
      <c r="P1740" s="94">
        <f>IF($A1740="",0,$H1740*설정!$C$23)</f>
        <v/>
      </c>
      <c r="Q1740" s="64">
        <f>IF($A1740="","",IF(O1740&lt;&gt;원인분석!$C$9,"",IF(AND(M1740&gt;=원인분석!$C$10,M1740&lt;=원인분석!$C$11),"당기",IF(AND(M1740&gt;=원인분석!$C$12,M1740&lt;=원인분석!$C$13),"비교",""))))</f>
        <v/>
      </c>
      <c r="R1740" s="9">
        <f>IF(Q1740="","",$K1740&amp;"")</f>
        <v/>
      </c>
      <c r="S1740" s="9">
        <f>IF(Q1740="","",IF(MATCH(R1740,$R$5:$R$100000,0)=ROW()-4,ROW(),""))</f>
        <v/>
      </c>
      <c r="T1740" s="9">
        <f>IF(Q1740="당기",ABS(P1740)+ROW()/1000000000,"")</f>
        <v/>
      </c>
      <c r="U1740" s="9">
        <f>IF(Q1740="비교",ABS(P1740)+ROW()/1000000000,"")</f>
        <v/>
      </c>
      <c r="V1740" s="64">
        <f>IF($A1740="","",IF(COUNTIF(변동분석!$E$7:$E$506,O1740)&gt;0,"Y","N"))</f>
        <v/>
      </c>
      <c r="W1740" s="64">
        <f>IF($A1740="","",IFERROR(INDEX(계정매핑!$D$5:$D$504,MATCH($F1740&amp;"",계정매핑!$A$5:$A$504,0)),"미매핑"))</f>
        <v/>
      </c>
      <c r="X1740" s="9">
        <f>IF($A1740="","",$F1740&amp;"")</f>
        <v/>
      </c>
      <c r="Y1740" s="94">
        <f>IF($A1740="",0,IF(AE1740="직접",IF(AF1740="비귀속",$P1740,0),$P1740*(1-AG1740)*IFERROR(INDEX(계정대체기준!$F$20:$F$49,MATCH($N1740,계정대체기준!$A$20:$A$49,0)),1)))</f>
        <v/>
      </c>
      <c r="Z1740" s="94">
        <f>IF($A1740="",0,IF(AE1740="직접",IF(AF1740="신계약비",$P1740,0),$P1740*(1-AG1740)*IFERROR(INDEX(계정대체기준!$C$20:$C$49,MATCH($N1740,계정대체기준!$A$20:$A$49,0)),0)))</f>
        <v/>
      </c>
      <c r="AA1740" s="94">
        <f>IF($A1740="",0,IF(AE1740="직접",IF(OR(AF1740="유지비",AF1740="손해조사비"),$P1740,0),$P1740*(1-AG1740)*IFERROR(INDEX(계정대체기준!$D$20:$D$49,MATCH($N1740,계정대체기준!$A$20:$A$49,0)),0)))</f>
        <v/>
      </c>
      <c r="AB1740" s="94">
        <f>IF($A1740="",0,IF(AE1740="직접",IF(AF1740="수금비",$P1740,0),$P1740*(1-AG1740)*IFERROR(INDEX(계정대체기준!$E$20:$E$49,MATCH($N1740,계정대체기준!$A$20:$A$49,0)),0)))</f>
        <v/>
      </c>
      <c r="AC1740" s="9">
        <f>IF(AND($A1740&lt;&gt;"",M1740=설정!$C$20,Z1740&gt;0),Z1740+ROW()/1000000000,"")</f>
        <v/>
      </c>
      <c r="AD1740" s="94">
        <f>IF($A1740="",0,$P1740*AG1740)</f>
        <v/>
      </c>
      <c r="AE1740" s="64">
        <f>IF($A1740="","",IFERROR(INDEX(계정매핑!$E$5:$E$504,MATCH($F1740&amp;"",계정매핑!$A$5:$A$504,0))&amp;"","공통비"))</f>
        <v/>
      </c>
      <c r="AF1740" s="64">
        <f>IF($A1740="","",IF(AE1740="직접",IFERROR(INDEX(계정매핑!$F$5:$F$504,MATCH($F1740&amp;"",계정매핑!$A$5:$A$504,0))&amp;"","비귀속"),""))</f>
        <v/>
      </c>
      <c r="AG1740" s="96">
        <f>IF($A1740="",0,IF(AND(AE1740&lt;&gt;"직접",IFERROR(INDEX(계정매핑!$G$5:$G$504,MATCH($F1740&amp;"",계정매핑!$A$5:$A$504,0))&amp;"","")="유지비",COUNTIF(계정대체기준!$A$6:$A$15,$N1740)&gt;0),IFERROR(INDEX(계정대체기준!$E$6:$E$15,MATCH(VALUE($A1740&amp;""),계정대체기준!$D$6:$D$15,0)),0),0))</f>
        <v/>
      </c>
      <c r="AH1740" s="64">
        <f>IF($A1740="","",IF(AD1740=0,"",IF(OR(COUNTIF(계정대체기준!$A$77:$A$86,$N1740)&gt;0,ISNUMBER(MATCH($X1740,계정대체기준!$D$77:$D$86,0)),ISNUMBER(MATCH($F1740,계정대체기준!$D$77:$D$86,0))),"Y","N")))</f>
        <v/>
      </c>
    </row>
    <row r="1741">
      <c r="A1741" s="92" t="n">
        <v>2025</v>
      </c>
      <c r="B1741" s="92" t="n">
        <v>8</v>
      </c>
      <c r="C1741" s="92" t="inlineStr">
        <is>
          <t>5100001737</t>
        </is>
      </c>
      <c r="D1741" s="95" t="n">
        <v>45889</v>
      </c>
      <c r="E1741" s="92" t="inlineStr">
        <is>
          <t>KR</t>
        </is>
      </c>
      <c r="F1741" s="92" t="n">
        <v>62101000</v>
      </c>
      <c r="G1741" s="92" t="n">
        <v>1201</v>
      </c>
      <c r="H1741" s="93" t="n">
        <v>139000</v>
      </c>
      <c r="I1741" s="92" t="inlineStr">
        <is>
          <t>8월 국내출장 - (법인카드)</t>
        </is>
      </c>
      <c r="J1741" s="92" t="inlineStr">
        <is>
          <t>V10010</t>
        </is>
      </c>
      <c r="K1741" s="92" t="inlineStr">
        <is>
          <t>(법인카드)</t>
        </is>
      </c>
      <c r="M1741" s="9">
        <f>IF($A1741="","",VALUE($A1741&amp;"")*12+VALUE($B1741&amp;""))</f>
        <v/>
      </c>
      <c r="N1741" s="64">
        <f>IF($A1741="","",IFERROR(INDEX(부서매핑!$C$5:$C$504,MATCH($G1741&amp;"",부서매핑!$A$5:$A$504,0)),"미매핑"))</f>
        <v/>
      </c>
      <c r="O1741" s="9">
        <f>IF($A1741="","",N1741&amp;"|"&amp;$F1741)</f>
        <v/>
      </c>
      <c r="P1741" s="94">
        <f>IF($A1741="",0,$H1741*설정!$C$23)</f>
        <v/>
      </c>
      <c r="Q1741" s="64">
        <f>IF($A1741="","",IF(O1741&lt;&gt;원인분석!$C$9,"",IF(AND(M1741&gt;=원인분석!$C$10,M1741&lt;=원인분석!$C$11),"당기",IF(AND(M1741&gt;=원인분석!$C$12,M1741&lt;=원인분석!$C$13),"비교",""))))</f>
        <v/>
      </c>
      <c r="R1741" s="9">
        <f>IF(Q1741="","",$K1741&amp;"")</f>
        <v/>
      </c>
      <c r="S1741" s="9">
        <f>IF(Q1741="","",IF(MATCH(R1741,$R$5:$R$100000,0)=ROW()-4,ROW(),""))</f>
        <v/>
      </c>
      <c r="T1741" s="9">
        <f>IF(Q1741="당기",ABS(P1741)+ROW()/1000000000,"")</f>
        <v/>
      </c>
      <c r="U1741" s="9">
        <f>IF(Q1741="비교",ABS(P1741)+ROW()/1000000000,"")</f>
        <v/>
      </c>
      <c r="V1741" s="64">
        <f>IF($A1741="","",IF(COUNTIF(변동분석!$E$7:$E$506,O1741)&gt;0,"Y","N"))</f>
        <v/>
      </c>
      <c r="W1741" s="64">
        <f>IF($A1741="","",IFERROR(INDEX(계정매핑!$D$5:$D$504,MATCH($F1741&amp;"",계정매핑!$A$5:$A$504,0)),"미매핑"))</f>
        <v/>
      </c>
      <c r="X1741" s="9">
        <f>IF($A1741="","",$F1741&amp;"")</f>
        <v/>
      </c>
      <c r="Y1741" s="94">
        <f>IF($A1741="",0,IF(AE1741="직접",IF(AF1741="비귀속",$P1741,0),$P1741*(1-AG1741)*IFERROR(INDEX(계정대체기준!$F$20:$F$49,MATCH($N1741,계정대체기준!$A$20:$A$49,0)),1)))</f>
        <v/>
      </c>
      <c r="Z1741" s="94">
        <f>IF($A1741="",0,IF(AE1741="직접",IF(AF1741="신계약비",$P1741,0),$P1741*(1-AG1741)*IFERROR(INDEX(계정대체기준!$C$20:$C$49,MATCH($N1741,계정대체기준!$A$20:$A$49,0)),0)))</f>
        <v/>
      </c>
      <c r="AA1741" s="94">
        <f>IF($A1741="",0,IF(AE1741="직접",IF(OR(AF1741="유지비",AF1741="손해조사비"),$P1741,0),$P1741*(1-AG1741)*IFERROR(INDEX(계정대체기준!$D$20:$D$49,MATCH($N1741,계정대체기준!$A$20:$A$49,0)),0)))</f>
        <v/>
      </c>
      <c r="AB1741" s="94">
        <f>IF($A1741="",0,IF(AE1741="직접",IF(AF1741="수금비",$P1741,0),$P1741*(1-AG1741)*IFERROR(INDEX(계정대체기준!$E$20:$E$49,MATCH($N1741,계정대체기준!$A$20:$A$49,0)),0)))</f>
        <v/>
      </c>
      <c r="AC1741" s="9">
        <f>IF(AND($A1741&lt;&gt;"",M1741=설정!$C$20,Z1741&gt;0),Z1741+ROW()/1000000000,"")</f>
        <v/>
      </c>
      <c r="AD1741" s="94">
        <f>IF($A1741="",0,$P1741*AG1741)</f>
        <v/>
      </c>
      <c r="AE1741" s="64">
        <f>IF($A1741="","",IFERROR(INDEX(계정매핑!$E$5:$E$504,MATCH($F1741&amp;"",계정매핑!$A$5:$A$504,0))&amp;"","공통비"))</f>
        <v/>
      </c>
      <c r="AF1741" s="64">
        <f>IF($A1741="","",IF(AE1741="직접",IFERROR(INDEX(계정매핑!$F$5:$F$504,MATCH($F1741&amp;"",계정매핑!$A$5:$A$504,0))&amp;"","비귀속"),""))</f>
        <v/>
      </c>
      <c r="AG1741" s="96">
        <f>IF($A1741="",0,IF(AND(AE1741&lt;&gt;"직접",IFERROR(INDEX(계정매핑!$G$5:$G$504,MATCH($F1741&amp;"",계정매핑!$A$5:$A$504,0))&amp;"","")="유지비",COUNTIF(계정대체기준!$A$6:$A$15,$N1741)&gt;0),IFERROR(INDEX(계정대체기준!$E$6:$E$15,MATCH(VALUE($A1741&amp;""),계정대체기준!$D$6:$D$15,0)),0),0))</f>
        <v/>
      </c>
      <c r="AH1741" s="64">
        <f>IF($A1741="","",IF(AD1741=0,"",IF(OR(COUNTIF(계정대체기준!$A$77:$A$86,$N1741)&gt;0,ISNUMBER(MATCH($X1741,계정대체기준!$D$77:$D$86,0)),ISNUMBER(MATCH($F1741,계정대체기준!$D$77:$D$86,0))),"Y","N")))</f>
        <v/>
      </c>
    </row>
    <row r="1742">
      <c r="A1742" s="92" t="n">
        <v>2025</v>
      </c>
      <c r="B1742" s="92" t="n">
        <v>8</v>
      </c>
      <c r="C1742" s="92" t="inlineStr">
        <is>
          <t>5100001738</t>
        </is>
      </c>
      <c r="D1742" s="95" t="n">
        <v>45889</v>
      </c>
      <c r="E1742" s="92" t="inlineStr">
        <is>
          <t>KR</t>
        </is>
      </c>
      <c r="F1742" s="92" t="n">
        <v>62101000</v>
      </c>
      <c r="G1742" s="92" t="n">
        <v>1701</v>
      </c>
      <c r="H1742" s="93" t="n">
        <v>221000</v>
      </c>
      <c r="I1742" s="92" t="inlineStr">
        <is>
          <t>8월 국내출장 - (법인카드)</t>
        </is>
      </c>
      <c r="J1742" s="92" t="inlineStr">
        <is>
          <t>V10010</t>
        </is>
      </c>
      <c r="K1742" s="92" t="inlineStr">
        <is>
          <t>(법인카드)</t>
        </is>
      </c>
      <c r="M1742" s="9">
        <f>IF($A1742="","",VALUE($A1742&amp;"")*12+VALUE($B1742&amp;""))</f>
        <v/>
      </c>
      <c r="N1742" s="64">
        <f>IF($A1742="","",IFERROR(INDEX(부서매핑!$C$5:$C$504,MATCH($G1742&amp;"",부서매핑!$A$5:$A$504,0)),"미매핑"))</f>
        <v/>
      </c>
      <c r="O1742" s="9">
        <f>IF($A1742="","",N1742&amp;"|"&amp;$F1742)</f>
        <v/>
      </c>
      <c r="P1742" s="94">
        <f>IF($A1742="",0,$H1742*설정!$C$23)</f>
        <v/>
      </c>
      <c r="Q1742" s="64">
        <f>IF($A1742="","",IF(O1742&lt;&gt;원인분석!$C$9,"",IF(AND(M1742&gt;=원인분석!$C$10,M1742&lt;=원인분석!$C$11),"당기",IF(AND(M1742&gt;=원인분석!$C$12,M1742&lt;=원인분석!$C$13),"비교",""))))</f>
        <v/>
      </c>
      <c r="R1742" s="9">
        <f>IF(Q1742="","",$K1742&amp;"")</f>
        <v/>
      </c>
      <c r="S1742" s="9">
        <f>IF(Q1742="","",IF(MATCH(R1742,$R$5:$R$100000,0)=ROW()-4,ROW(),""))</f>
        <v/>
      </c>
      <c r="T1742" s="9">
        <f>IF(Q1742="당기",ABS(P1742)+ROW()/1000000000,"")</f>
        <v/>
      </c>
      <c r="U1742" s="9">
        <f>IF(Q1742="비교",ABS(P1742)+ROW()/1000000000,"")</f>
        <v/>
      </c>
      <c r="V1742" s="64">
        <f>IF($A1742="","",IF(COUNTIF(변동분석!$E$7:$E$506,O1742)&gt;0,"Y","N"))</f>
        <v/>
      </c>
      <c r="W1742" s="64">
        <f>IF($A1742="","",IFERROR(INDEX(계정매핑!$D$5:$D$504,MATCH($F1742&amp;"",계정매핑!$A$5:$A$504,0)),"미매핑"))</f>
        <v/>
      </c>
      <c r="X1742" s="9">
        <f>IF($A1742="","",$F1742&amp;"")</f>
        <v/>
      </c>
      <c r="Y1742" s="94">
        <f>IF($A1742="",0,IF(AE1742="직접",IF(AF1742="비귀속",$P1742,0),$P1742*(1-AG1742)*IFERROR(INDEX(계정대체기준!$F$20:$F$49,MATCH($N1742,계정대체기준!$A$20:$A$49,0)),1)))</f>
        <v/>
      </c>
      <c r="Z1742" s="94">
        <f>IF($A1742="",0,IF(AE1742="직접",IF(AF1742="신계약비",$P1742,0),$P1742*(1-AG1742)*IFERROR(INDEX(계정대체기준!$C$20:$C$49,MATCH($N1742,계정대체기준!$A$20:$A$49,0)),0)))</f>
        <v/>
      </c>
      <c r="AA1742" s="94">
        <f>IF($A1742="",0,IF(AE1742="직접",IF(OR(AF1742="유지비",AF1742="손해조사비"),$P1742,0),$P1742*(1-AG1742)*IFERROR(INDEX(계정대체기준!$D$20:$D$49,MATCH($N1742,계정대체기준!$A$20:$A$49,0)),0)))</f>
        <v/>
      </c>
      <c r="AB1742" s="94">
        <f>IF($A1742="",0,IF(AE1742="직접",IF(AF1742="수금비",$P1742,0),$P1742*(1-AG1742)*IFERROR(INDEX(계정대체기준!$E$20:$E$49,MATCH($N1742,계정대체기준!$A$20:$A$49,0)),0)))</f>
        <v/>
      </c>
      <c r="AC1742" s="9">
        <f>IF(AND($A1742&lt;&gt;"",M1742=설정!$C$20,Z1742&gt;0),Z1742+ROW()/1000000000,"")</f>
        <v/>
      </c>
      <c r="AD1742" s="94">
        <f>IF($A1742="",0,$P1742*AG1742)</f>
        <v/>
      </c>
      <c r="AE1742" s="64">
        <f>IF($A1742="","",IFERROR(INDEX(계정매핑!$E$5:$E$504,MATCH($F1742&amp;"",계정매핑!$A$5:$A$504,0))&amp;"","공통비"))</f>
        <v/>
      </c>
      <c r="AF1742" s="64">
        <f>IF($A1742="","",IF(AE1742="직접",IFERROR(INDEX(계정매핑!$F$5:$F$504,MATCH($F1742&amp;"",계정매핑!$A$5:$A$504,0))&amp;"","비귀속"),""))</f>
        <v/>
      </c>
      <c r="AG1742" s="96">
        <f>IF($A1742="",0,IF(AND(AE1742&lt;&gt;"직접",IFERROR(INDEX(계정매핑!$G$5:$G$504,MATCH($F1742&amp;"",계정매핑!$A$5:$A$504,0))&amp;"","")="유지비",COUNTIF(계정대체기준!$A$6:$A$15,$N1742)&gt;0),IFERROR(INDEX(계정대체기준!$E$6:$E$15,MATCH(VALUE($A1742&amp;""),계정대체기준!$D$6:$D$15,0)),0),0))</f>
        <v/>
      </c>
      <c r="AH1742" s="64">
        <f>IF($A1742="","",IF(AD1742=0,"",IF(OR(COUNTIF(계정대체기준!$A$77:$A$86,$N1742)&gt;0,ISNUMBER(MATCH($X1742,계정대체기준!$D$77:$D$86,0)),ISNUMBER(MATCH($F1742,계정대체기준!$D$77:$D$86,0))),"Y","N")))</f>
        <v/>
      </c>
    </row>
    <row r="1743">
      <c r="A1743" s="92" t="n">
        <v>2025</v>
      </c>
      <c r="B1743" s="92" t="n">
        <v>8</v>
      </c>
      <c r="C1743" s="92" t="inlineStr">
        <is>
          <t>5100001739</t>
        </is>
      </c>
      <c r="D1743" s="95" t="n">
        <v>45889</v>
      </c>
      <c r="E1743" s="92" t="inlineStr">
        <is>
          <t>KR</t>
        </is>
      </c>
      <c r="F1743" s="92" t="n">
        <v>62101000</v>
      </c>
      <c r="G1743" s="92" t="n">
        <v>1951</v>
      </c>
      <c r="H1743" s="93" t="n">
        <v>240000</v>
      </c>
      <c r="I1743" s="92" t="inlineStr">
        <is>
          <t>8월 국내출장 - M항공</t>
        </is>
      </c>
      <c r="J1743" s="92" t="inlineStr">
        <is>
          <t>V10001</t>
        </is>
      </c>
      <c r="K1743" s="92" t="inlineStr">
        <is>
          <t>M항공</t>
        </is>
      </c>
      <c r="M1743" s="9">
        <f>IF($A1743="","",VALUE($A1743&amp;"")*12+VALUE($B1743&amp;""))</f>
        <v/>
      </c>
      <c r="N1743" s="64">
        <f>IF($A1743="","",IFERROR(INDEX(부서매핑!$C$5:$C$504,MATCH($G1743&amp;"",부서매핑!$A$5:$A$504,0)),"미매핑"))</f>
        <v/>
      </c>
      <c r="O1743" s="9">
        <f>IF($A1743="","",N1743&amp;"|"&amp;$F1743)</f>
        <v/>
      </c>
      <c r="P1743" s="94">
        <f>IF($A1743="",0,$H1743*설정!$C$23)</f>
        <v/>
      </c>
      <c r="Q1743" s="64">
        <f>IF($A1743="","",IF(O1743&lt;&gt;원인분석!$C$9,"",IF(AND(M1743&gt;=원인분석!$C$10,M1743&lt;=원인분석!$C$11),"당기",IF(AND(M1743&gt;=원인분석!$C$12,M1743&lt;=원인분석!$C$13),"비교",""))))</f>
        <v/>
      </c>
      <c r="R1743" s="9">
        <f>IF(Q1743="","",$K1743&amp;"")</f>
        <v/>
      </c>
      <c r="S1743" s="9">
        <f>IF(Q1743="","",IF(MATCH(R1743,$R$5:$R$100000,0)=ROW()-4,ROW(),""))</f>
        <v/>
      </c>
      <c r="T1743" s="9">
        <f>IF(Q1743="당기",ABS(P1743)+ROW()/1000000000,"")</f>
        <v/>
      </c>
      <c r="U1743" s="9">
        <f>IF(Q1743="비교",ABS(P1743)+ROW()/1000000000,"")</f>
        <v/>
      </c>
      <c r="V1743" s="64">
        <f>IF($A1743="","",IF(COUNTIF(변동분석!$E$7:$E$506,O1743)&gt;0,"Y","N"))</f>
        <v/>
      </c>
      <c r="W1743" s="64">
        <f>IF($A1743="","",IFERROR(INDEX(계정매핑!$D$5:$D$504,MATCH($F1743&amp;"",계정매핑!$A$5:$A$504,0)),"미매핑"))</f>
        <v/>
      </c>
      <c r="X1743" s="9">
        <f>IF($A1743="","",$F1743&amp;"")</f>
        <v/>
      </c>
      <c r="Y1743" s="94">
        <f>IF($A1743="",0,IF(AE1743="직접",IF(AF1743="비귀속",$P1743,0),$P1743*(1-AG1743)*IFERROR(INDEX(계정대체기준!$F$20:$F$49,MATCH($N1743,계정대체기준!$A$20:$A$49,0)),1)))</f>
        <v/>
      </c>
      <c r="Z1743" s="94">
        <f>IF($A1743="",0,IF(AE1743="직접",IF(AF1743="신계약비",$P1743,0),$P1743*(1-AG1743)*IFERROR(INDEX(계정대체기준!$C$20:$C$49,MATCH($N1743,계정대체기준!$A$20:$A$49,0)),0)))</f>
        <v/>
      </c>
      <c r="AA1743" s="94">
        <f>IF($A1743="",0,IF(AE1743="직접",IF(OR(AF1743="유지비",AF1743="손해조사비"),$P1743,0),$P1743*(1-AG1743)*IFERROR(INDEX(계정대체기준!$D$20:$D$49,MATCH($N1743,계정대체기준!$A$20:$A$49,0)),0)))</f>
        <v/>
      </c>
      <c r="AB1743" s="94">
        <f>IF($A1743="",0,IF(AE1743="직접",IF(AF1743="수금비",$P1743,0),$P1743*(1-AG1743)*IFERROR(INDEX(계정대체기준!$E$20:$E$49,MATCH($N1743,계정대체기준!$A$20:$A$49,0)),0)))</f>
        <v/>
      </c>
      <c r="AC1743" s="9">
        <f>IF(AND($A1743&lt;&gt;"",M1743=설정!$C$20,Z1743&gt;0),Z1743+ROW()/1000000000,"")</f>
        <v/>
      </c>
      <c r="AD1743" s="94">
        <f>IF($A1743="",0,$P1743*AG1743)</f>
        <v/>
      </c>
      <c r="AE1743" s="64">
        <f>IF($A1743="","",IFERROR(INDEX(계정매핑!$E$5:$E$504,MATCH($F1743&amp;"",계정매핑!$A$5:$A$504,0))&amp;"","공통비"))</f>
        <v/>
      </c>
      <c r="AF1743" s="64">
        <f>IF($A1743="","",IF(AE1743="직접",IFERROR(INDEX(계정매핑!$F$5:$F$504,MATCH($F1743&amp;"",계정매핑!$A$5:$A$504,0))&amp;"","비귀속"),""))</f>
        <v/>
      </c>
      <c r="AG1743" s="96">
        <f>IF($A1743="",0,IF(AND(AE1743&lt;&gt;"직접",IFERROR(INDEX(계정매핑!$G$5:$G$504,MATCH($F1743&amp;"",계정매핑!$A$5:$A$504,0))&amp;"","")="유지비",COUNTIF(계정대체기준!$A$6:$A$15,$N1743)&gt;0),IFERROR(INDEX(계정대체기준!$E$6:$E$15,MATCH(VALUE($A1743&amp;""),계정대체기준!$D$6:$D$15,0)),0),0))</f>
        <v/>
      </c>
      <c r="AH1743" s="64">
        <f>IF($A1743="","",IF(AD1743=0,"",IF(OR(COUNTIF(계정대체기준!$A$77:$A$86,$N1743)&gt;0,ISNUMBER(MATCH($X1743,계정대체기준!$D$77:$D$86,0)),ISNUMBER(MATCH($F1743,계정대체기준!$D$77:$D$86,0))),"Y","N")))</f>
        <v/>
      </c>
    </row>
    <row r="1744">
      <c r="A1744" s="92" t="n">
        <v>2025</v>
      </c>
      <c r="B1744" s="92" t="n">
        <v>8</v>
      </c>
      <c r="C1744" s="92" t="inlineStr">
        <is>
          <t>5100001740</t>
        </is>
      </c>
      <c r="D1744" s="95" t="n">
        <v>45889</v>
      </c>
      <c r="E1744" s="92" t="inlineStr">
        <is>
          <t>KR</t>
        </is>
      </c>
      <c r="F1744" s="92" t="n">
        <v>62102000</v>
      </c>
      <c r="G1744" s="92" t="n">
        <v>1401</v>
      </c>
      <c r="H1744" s="93" t="n">
        <v>111000</v>
      </c>
      <c r="I1744" s="92" t="inlineStr">
        <is>
          <t>8월 해외출장 - N호텔</t>
        </is>
      </c>
      <c r="J1744" s="92" t="inlineStr">
        <is>
          <t>V10009</t>
        </is>
      </c>
      <c r="K1744" s="92" t="inlineStr">
        <is>
          <t>N호텔</t>
        </is>
      </c>
      <c r="M1744" s="9">
        <f>IF($A1744="","",VALUE($A1744&amp;"")*12+VALUE($B1744&amp;""))</f>
        <v/>
      </c>
      <c r="N1744" s="64">
        <f>IF($A1744="","",IFERROR(INDEX(부서매핑!$C$5:$C$504,MATCH($G1744&amp;"",부서매핑!$A$5:$A$504,0)),"미매핑"))</f>
        <v/>
      </c>
      <c r="O1744" s="9">
        <f>IF($A1744="","",N1744&amp;"|"&amp;$F1744)</f>
        <v/>
      </c>
      <c r="P1744" s="94">
        <f>IF($A1744="",0,$H1744*설정!$C$23)</f>
        <v/>
      </c>
      <c r="Q1744" s="64">
        <f>IF($A1744="","",IF(O1744&lt;&gt;원인분석!$C$9,"",IF(AND(M1744&gt;=원인분석!$C$10,M1744&lt;=원인분석!$C$11),"당기",IF(AND(M1744&gt;=원인분석!$C$12,M1744&lt;=원인분석!$C$13),"비교",""))))</f>
        <v/>
      </c>
      <c r="R1744" s="9">
        <f>IF(Q1744="","",$K1744&amp;"")</f>
        <v/>
      </c>
      <c r="S1744" s="9">
        <f>IF(Q1744="","",IF(MATCH(R1744,$R$5:$R$100000,0)=ROW()-4,ROW(),""))</f>
        <v/>
      </c>
      <c r="T1744" s="9">
        <f>IF(Q1744="당기",ABS(P1744)+ROW()/1000000000,"")</f>
        <v/>
      </c>
      <c r="U1744" s="9">
        <f>IF(Q1744="비교",ABS(P1744)+ROW()/1000000000,"")</f>
        <v/>
      </c>
      <c r="V1744" s="64">
        <f>IF($A1744="","",IF(COUNTIF(변동분석!$E$7:$E$506,O1744)&gt;0,"Y","N"))</f>
        <v/>
      </c>
      <c r="W1744" s="64">
        <f>IF($A1744="","",IFERROR(INDEX(계정매핑!$D$5:$D$504,MATCH($F1744&amp;"",계정매핑!$A$5:$A$504,0)),"미매핑"))</f>
        <v/>
      </c>
      <c r="X1744" s="9">
        <f>IF($A1744="","",$F1744&amp;"")</f>
        <v/>
      </c>
      <c r="Y1744" s="94">
        <f>IF($A1744="",0,IF(AE1744="직접",IF(AF1744="비귀속",$P1744,0),$P1744*(1-AG1744)*IFERROR(INDEX(계정대체기준!$F$20:$F$49,MATCH($N1744,계정대체기준!$A$20:$A$49,0)),1)))</f>
        <v/>
      </c>
      <c r="Z1744" s="94">
        <f>IF($A1744="",0,IF(AE1744="직접",IF(AF1744="신계약비",$P1744,0),$P1744*(1-AG1744)*IFERROR(INDEX(계정대체기준!$C$20:$C$49,MATCH($N1744,계정대체기준!$A$20:$A$49,0)),0)))</f>
        <v/>
      </c>
      <c r="AA1744" s="94">
        <f>IF($A1744="",0,IF(AE1744="직접",IF(OR(AF1744="유지비",AF1744="손해조사비"),$P1744,0),$P1744*(1-AG1744)*IFERROR(INDEX(계정대체기준!$D$20:$D$49,MATCH($N1744,계정대체기준!$A$20:$A$49,0)),0)))</f>
        <v/>
      </c>
      <c r="AB1744" s="94">
        <f>IF($A1744="",0,IF(AE1744="직접",IF(AF1744="수금비",$P1744,0),$P1744*(1-AG1744)*IFERROR(INDEX(계정대체기준!$E$20:$E$49,MATCH($N1744,계정대체기준!$A$20:$A$49,0)),0)))</f>
        <v/>
      </c>
      <c r="AC1744" s="9">
        <f>IF(AND($A1744&lt;&gt;"",M1744=설정!$C$20,Z1744&gt;0),Z1744+ROW()/1000000000,"")</f>
        <v/>
      </c>
      <c r="AD1744" s="94">
        <f>IF($A1744="",0,$P1744*AG1744)</f>
        <v/>
      </c>
      <c r="AE1744" s="64">
        <f>IF($A1744="","",IFERROR(INDEX(계정매핑!$E$5:$E$504,MATCH($F1744&amp;"",계정매핑!$A$5:$A$504,0))&amp;"","공통비"))</f>
        <v/>
      </c>
      <c r="AF1744" s="64">
        <f>IF($A1744="","",IF(AE1744="직접",IFERROR(INDEX(계정매핑!$F$5:$F$504,MATCH($F1744&amp;"",계정매핑!$A$5:$A$504,0))&amp;"","비귀속"),""))</f>
        <v/>
      </c>
      <c r="AG1744" s="96">
        <f>IF($A1744="",0,IF(AND(AE1744&lt;&gt;"직접",IFERROR(INDEX(계정매핑!$G$5:$G$504,MATCH($F1744&amp;"",계정매핑!$A$5:$A$504,0))&amp;"","")="유지비",COUNTIF(계정대체기준!$A$6:$A$15,$N1744)&gt;0),IFERROR(INDEX(계정대체기준!$E$6:$E$15,MATCH(VALUE($A1744&amp;""),계정대체기준!$D$6:$D$15,0)),0),0))</f>
        <v/>
      </c>
      <c r="AH1744" s="64">
        <f>IF($A1744="","",IF(AD1744=0,"",IF(OR(COUNTIF(계정대체기준!$A$77:$A$86,$N1744)&gt;0,ISNUMBER(MATCH($X1744,계정대체기준!$D$77:$D$86,0)),ISNUMBER(MATCH($F1744,계정대체기준!$D$77:$D$86,0))),"Y","N")))</f>
        <v/>
      </c>
    </row>
    <row r="1745">
      <c r="A1745" s="92" t="n">
        <v>2025</v>
      </c>
      <c r="B1745" s="92" t="n">
        <v>8</v>
      </c>
      <c r="C1745" s="92" t="inlineStr">
        <is>
          <t>5100001741</t>
        </is>
      </c>
      <c r="D1745" s="95" t="n">
        <v>45889</v>
      </c>
      <c r="E1745" s="92" t="inlineStr">
        <is>
          <t>KR</t>
        </is>
      </c>
      <c r="F1745" s="92" t="n">
        <v>62102000</v>
      </c>
      <c r="G1745" s="92" t="n">
        <v>1701</v>
      </c>
      <c r="H1745" s="93" t="n">
        <v>59000</v>
      </c>
      <c r="I1745" s="92" t="inlineStr">
        <is>
          <t>8월 해외출장 - M항공</t>
        </is>
      </c>
      <c r="J1745" s="92" t="inlineStr">
        <is>
          <t>V10001</t>
        </is>
      </c>
      <c r="K1745" s="92" t="inlineStr">
        <is>
          <t>M항공</t>
        </is>
      </c>
      <c r="M1745" s="9">
        <f>IF($A1745="","",VALUE($A1745&amp;"")*12+VALUE($B1745&amp;""))</f>
        <v/>
      </c>
      <c r="N1745" s="64">
        <f>IF($A1745="","",IFERROR(INDEX(부서매핑!$C$5:$C$504,MATCH($G1745&amp;"",부서매핑!$A$5:$A$504,0)),"미매핑"))</f>
        <v/>
      </c>
      <c r="O1745" s="9">
        <f>IF($A1745="","",N1745&amp;"|"&amp;$F1745)</f>
        <v/>
      </c>
      <c r="P1745" s="94">
        <f>IF($A1745="",0,$H1745*설정!$C$23)</f>
        <v/>
      </c>
      <c r="Q1745" s="64">
        <f>IF($A1745="","",IF(O1745&lt;&gt;원인분석!$C$9,"",IF(AND(M1745&gt;=원인분석!$C$10,M1745&lt;=원인분석!$C$11),"당기",IF(AND(M1745&gt;=원인분석!$C$12,M1745&lt;=원인분석!$C$13),"비교",""))))</f>
        <v/>
      </c>
      <c r="R1745" s="9">
        <f>IF(Q1745="","",$K1745&amp;"")</f>
        <v/>
      </c>
      <c r="S1745" s="9">
        <f>IF(Q1745="","",IF(MATCH(R1745,$R$5:$R$100000,0)=ROW()-4,ROW(),""))</f>
        <v/>
      </c>
      <c r="T1745" s="9">
        <f>IF(Q1745="당기",ABS(P1745)+ROW()/1000000000,"")</f>
        <v/>
      </c>
      <c r="U1745" s="9">
        <f>IF(Q1745="비교",ABS(P1745)+ROW()/1000000000,"")</f>
        <v/>
      </c>
      <c r="V1745" s="64">
        <f>IF($A1745="","",IF(COUNTIF(변동분석!$E$7:$E$506,O1745)&gt;0,"Y","N"))</f>
        <v/>
      </c>
      <c r="W1745" s="64">
        <f>IF($A1745="","",IFERROR(INDEX(계정매핑!$D$5:$D$504,MATCH($F1745&amp;"",계정매핑!$A$5:$A$504,0)),"미매핑"))</f>
        <v/>
      </c>
      <c r="X1745" s="9">
        <f>IF($A1745="","",$F1745&amp;"")</f>
        <v/>
      </c>
      <c r="Y1745" s="94">
        <f>IF($A1745="",0,IF(AE1745="직접",IF(AF1745="비귀속",$P1745,0),$P1745*(1-AG1745)*IFERROR(INDEX(계정대체기준!$F$20:$F$49,MATCH($N1745,계정대체기준!$A$20:$A$49,0)),1)))</f>
        <v/>
      </c>
      <c r="Z1745" s="94">
        <f>IF($A1745="",0,IF(AE1745="직접",IF(AF1745="신계약비",$P1745,0),$P1745*(1-AG1745)*IFERROR(INDEX(계정대체기준!$C$20:$C$49,MATCH($N1745,계정대체기준!$A$20:$A$49,0)),0)))</f>
        <v/>
      </c>
      <c r="AA1745" s="94">
        <f>IF($A1745="",0,IF(AE1745="직접",IF(OR(AF1745="유지비",AF1745="손해조사비"),$P1745,0),$P1745*(1-AG1745)*IFERROR(INDEX(계정대체기준!$D$20:$D$49,MATCH($N1745,계정대체기준!$A$20:$A$49,0)),0)))</f>
        <v/>
      </c>
      <c r="AB1745" s="94">
        <f>IF($A1745="",0,IF(AE1745="직접",IF(AF1745="수금비",$P1745,0),$P1745*(1-AG1745)*IFERROR(INDEX(계정대체기준!$E$20:$E$49,MATCH($N1745,계정대체기준!$A$20:$A$49,0)),0)))</f>
        <v/>
      </c>
      <c r="AC1745" s="9">
        <f>IF(AND($A1745&lt;&gt;"",M1745=설정!$C$20,Z1745&gt;0),Z1745+ROW()/1000000000,"")</f>
        <v/>
      </c>
      <c r="AD1745" s="94">
        <f>IF($A1745="",0,$P1745*AG1745)</f>
        <v/>
      </c>
      <c r="AE1745" s="64">
        <f>IF($A1745="","",IFERROR(INDEX(계정매핑!$E$5:$E$504,MATCH($F1745&amp;"",계정매핑!$A$5:$A$504,0))&amp;"","공통비"))</f>
        <v/>
      </c>
      <c r="AF1745" s="64">
        <f>IF($A1745="","",IF(AE1745="직접",IFERROR(INDEX(계정매핑!$F$5:$F$504,MATCH($F1745&amp;"",계정매핑!$A$5:$A$504,0))&amp;"","비귀속"),""))</f>
        <v/>
      </c>
      <c r="AG1745" s="96">
        <f>IF($A1745="",0,IF(AND(AE1745&lt;&gt;"직접",IFERROR(INDEX(계정매핑!$G$5:$G$504,MATCH($F1745&amp;"",계정매핑!$A$5:$A$504,0))&amp;"","")="유지비",COUNTIF(계정대체기준!$A$6:$A$15,$N1745)&gt;0),IFERROR(INDEX(계정대체기준!$E$6:$E$15,MATCH(VALUE($A1745&amp;""),계정대체기준!$D$6:$D$15,0)),0),0))</f>
        <v/>
      </c>
      <c r="AH1745" s="64">
        <f>IF($A1745="","",IF(AD1745=0,"",IF(OR(COUNTIF(계정대체기준!$A$77:$A$86,$N1745)&gt;0,ISNUMBER(MATCH($X1745,계정대체기준!$D$77:$D$86,0)),ISNUMBER(MATCH($F1745,계정대체기준!$D$77:$D$86,0))),"Y","N")))</f>
        <v/>
      </c>
    </row>
    <row r="1746">
      <c r="A1746" s="92" t="n">
        <v>2025</v>
      </c>
      <c r="B1746" s="92" t="n">
        <v>8</v>
      </c>
      <c r="C1746" s="92" t="inlineStr">
        <is>
          <t>5100001742</t>
        </is>
      </c>
      <c r="D1746" s="95" t="n">
        <v>45889</v>
      </c>
      <c r="E1746" s="92" t="inlineStr">
        <is>
          <t>KR</t>
        </is>
      </c>
      <c r="F1746" s="92" t="n">
        <v>62201000</v>
      </c>
      <c r="G1746" s="92" t="n">
        <v>1201</v>
      </c>
      <c r="H1746" s="93" t="n">
        <v>167000</v>
      </c>
      <c r="I1746" s="92" t="inlineStr">
        <is>
          <t>8월 통신요금 - P통신</t>
        </is>
      </c>
      <c r="J1746" s="92" t="inlineStr">
        <is>
          <t>V10014</t>
        </is>
      </c>
      <c r="K1746" s="92" t="inlineStr">
        <is>
          <t>P통신</t>
        </is>
      </c>
      <c r="M1746" s="9">
        <f>IF($A1746="","",VALUE($A1746&amp;"")*12+VALUE($B1746&amp;""))</f>
        <v/>
      </c>
      <c r="N1746" s="64">
        <f>IF($A1746="","",IFERROR(INDEX(부서매핑!$C$5:$C$504,MATCH($G1746&amp;"",부서매핑!$A$5:$A$504,0)),"미매핑"))</f>
        <v/>
      </c>
      <c r="O1746" s="9">
        <f>IF($A1746="","",N1746&amp;"|"&amp;$F1746)</f>
        <v/>
      </c>
      <c r="P1746" s="94">
        <f>IF($A1746="",0,$H1746*설정!$C$23)</f>
        <v/>
      </c>
      <c r="Q1746" s="64">
        <f>IF($A1746="","",IF(O1746&lt;&gt;원인분석!$C$9,"",IF(AND(M1746&gt;=원인분석!$C$10,M1746&lt;=원인분석!$C$11),"당기",IF(AND(M1746&gt;=원인분석!$C$12,M1746&lt;=원인분석!$C$13),"비교",""))))</f>
        <v/>
      </c>
      <c r="R1746" s="9">
        <f>IF(Q1746="","",$K1746&amp;"")</f>
        <v/>
      </c>
      <c r="S1746" s="9">
        <f>IF(Q1746="","",IF(MATCH(R1746,$R$5:$R$100000,0)=ROW()-4,ROW(),""))</f>
        <v/>
      </c>
      <c r="T1746" s="9">
        <f>IF(Q1746="당기",ABS(P1746)+ROW()/1000000000,"")</f>
        <v/>
      </c>
      <c r="U1746" s="9">
        <f>IF(Q1746="비교",ABS(P1746)+ROW()/1000000000,"")</f>
        <v/>
      </c>
      <c r="V1746" s="64">
        <f>IF($A1746="","",IF(COUNTIF(변동분석!$E$7:$E$506,O1746)&gt;0,"Y","N"))</f>
        <v/>
      </c>
      <c r="W1746" s="64">
        <f>IF($A1746="","",IFERROR(INDEX(계정매핑!$D$5:$D$504,MATCH($F1746&amp;"",계정매핑!$A$5:$A$504,0)),"미매핑"))</f>
        <v/>
      </c>
      <c r="X1746" s="9">
        <f>IF($A1746="","",$F1746&amp;"")</f>
        <v/>
      </c>
      <c r="Y1746" s="94">
        <f>IF($A1746="",0,IF(AE1746="직접",IF(AF1746="비귀속",$P1746,0),$P1746*(1-AG1746)*IFERROR(INDEX(계정대체기준!$F$20:$F$49,MATCH($N1746,계정대체기준!$A$20:$A$49,0)),1)))</f>
        <v/>
      </c>
      <c r="Z1746" s="94">
        <f>IF($A1746="",0,IF(AE1746="직접",IF(AF1746="신계약비",$P1746,0),$P1746*(1-AG1746)*IFERROR(INDEX(계정대체기준!$C$20:$C$49,MATCH($N1746,계정대체기준!$A$20:$A$49,0)),0)))</f>
        <v/>
      </c>
      <c r="AA1746" s="94">
        <f>IF($A1746="",0,IF(AE1746="직접",IF(OR(AF1746="유지비",AF1746="손해조사비"),$P1746,0),$P1746*(1-AG1746)*IFERROR(INDEX(계정대체기준!$D$20:$D$49,MATCH($N1746,계정대체기준!$A$20:$A$49,0)),0)))</f>
        <v/>
      </c>
      <c r="AB1746" s="94">
        <f>IF($A1746="",0,IF(AE1746="직접",IF(AF1746="수금비",$P1746,0),$P1746*(1-AG1746)*IFERROR(INDEX(계정대체기준!$E$20:$E$49,MATCH($N1746,계정대체기준!$A$20:$A$49,0)),0)))</f>
        <v/>
      </c>
      <c r="AC1746" s="9">
        <f>IF(AND($A1746&lt;&gt;"",M1746=설정!$C$20,Z1746&gt;0),Z1746+ROW()/1000000000,"")</f>
        <v/>
      </c>
      <c r="AD1746" s="94">
        <f>IF($A1746="",0,$P1746*AG1746)</f>
        <v/>
      </c>
      <c r="AE1746" s="64">
        <f>IF($A1746="","",IFERROR(INDEX(계정매핑!$E$5:$E$504,MATCH($F1746&amp;"",계정매핑!$A$5:$A$504,0))&amp;"","공통비"))</f>
        <v/>
      </c>
      <c r="AF1746" s="64">
        <f>IF($A1746="","",IF(AE1746="직접",IFERROR(INDEX(계정매핑!$F$5:$F$504,MATCH($F1746&amp;"",계정매핑!$A$5:$A$504,0))&amp;"","비귀속"),""))</f>
        <v/>
      </c>
      <c r="AG1746" s="96">
        <f>IF($A1746="",0,IF(AND(AE1746&lt;&gt;"직접",IFERROR(INDEX(계정매핑!$G$5:$G$504,MATCH($F1746&amp;"",계정매핑!$A$5:$A$504,0))&amp;"","")="유지비",COUNTIF(계정대체기준!$A$6:$A$15,$N1746)&gt;0),IFERROR(INDEX(계정대체기준!$E$6:$E$15,MATCH(VALUE($A1746&amp;""),계정대체기준!$D$6:$D$15,0)),0),0))</f>
        <v/>
      </c>
      <c r="AH1746" s="64">
        <f>IF($A1746="","",IF(AD1746=0,"",IF(OR(COUNTIF(계정대체기준!$A$77:$A$86,$N1746)&gt;0,ISNUMBER(MATCH($X1746,계정대체기준!$D$77:$D$86,0)),ISNUMBER(MATCH($F1746,계정대체기준!$D$77:$D$86,0))),"Y","N")))</f>
        <v/>
      </c>
    </row>
    <row r="1747">
      <c r="A1747" s="92" t="n">
        <v>2025</v>
      </c>
      <c r="B1747" s="92" t="n">
        <v>8</v>
      </c>
      <c r="C1747" s="92" t="inlineStr">
        <is>
          <t>5100001743</t>
        </is>
      </c>
      <c r="D1747" s="95" t="n">
        <v>45889</v>
      </c>
      <c r="E1747" s="92" t="inlineStr">
        <is>
          <t>KR</t>
        </is>
      </c>
      <c r="F1747" s="92" t="n">
        <v>62301000</v>
      </c>
      <c r="G1747" s="92" t="n">
        <v>1501</v>
      </c>
      <c r="H1747" s="93" t="n">
        <v>199000</v>
      </c>
      <c r="I1747" s="92" t="inlineStr">
        <is>
          <t>8월 소모품 구입 - Q오피스</t>
        </is>
      </c>
      <c r="J1747" s="92" t="inlineStr">
        <is>
          <t>V10003</t>
        </is>
      </c>
      <c r="K1747" s="92" t="inlineStr">
        <is>
          <t>Q오피스</t>
        </is>
      </c>
      <c r="M1747" s="9">
        <f>IF($A1747="","",VALUE($A1747&amp;"")*12+VALUE($B1747&amp;""))</f>
        <v/>
      </c>
      <c r="N1747" s="64">
        <f>IF($A1747="","",IFERROR(INDEX(부서매핑!$C$5:$C$504,MATCH($G1747&amp;"",부서매핑!$A$5:$A$504,0)),"미매핑"))</f>
        <v/>
      </c>
      <c r="O1747" s="9">
        <f>IF($A1747="","",N1747&amp;"|"&amp;$F1747)</f>
        <v/>
      </c>
      <c r="P1747" s="94">
        <f>IF($A1747="",0,$H1747*설정!$C$23)</f>
        <v/>
      </c>
      <c r="Q1747" s="64">
        <f>IF($A1747="","",IF(O1747&lt;&gt;원인분석!$C$9,"",IF(AND(M1747&gt;=원인분석!$C$10,M1747&lt;=원인분석!$C$11),"당기",IF(AND(M1747&gt;=원인분석!$C$12,M1747&lt;=원인분석!$C$13),"비교",""))))</f>
        <v/>
      </c>
      <c r="R1747" s="9">
        <f>IF(Q1747="","",$K1747&amp;"")</f>
        <v/>
      </c>
      <c r="S1747" s="9">
        <f>IF(Q1747="","",IF(MATCH(R1747,$R$5:$R$100000,0)=ROW()-4,ROW(),""))</f>
        <v/>
      </c>
      <c r="T1747" s="9">
        <f>IF(Q1747="당기",ABS(P1747)+ROW()/1000000000,"")</f>
        <v/>
      </c>
      <c r="U1747" s="9">
        <f>IF(Q1747="비교",ABS(P1747)+ROW()/1000000000,"")</f>
        <v/>
      </c>
      <c r="V1747" s="64">
        <f>IF($A1747="","",IF(COUNTIF(변동분석!$E$7:$E$506,O1747)&gt;0,"Y","N"))</f>
        <v/>
      </c>
      <c r="W1747" s="64">
        <f>IF($A1747="","",IFERROR(INDEX(계정매핑!$D$5:$D$504,MATCH($F1747&amp;"",계정매핑!$A$5:$A$504,0)),"미매핑"))</f>
        <v/>
      </c>
      <c r="X1747" s="9">
        <f>IF($A1747="","",$F1747&amp;"")</f>
        <v/>
      </c>
      <c r="Y1747" s="94">
        <f>IF($A1747="",0,IF(AE1747="직접",IF(AF1747="비귀속",$P1747,0),$P1747*(1-AG1747)*IFERROR(INDEX(계정대체기준!$F$20:$F$49,MATCH($N1747,계정대체기준!$A$20:$A$49,0)),1)))</f>
        <v/>
      </c>
      <c r="Z1747" s="94">
        <f>IF($A1747="",0,IF(AE1747="직접",IF(AF1747="신계약비",$P1747,0),$P1747*(1-AG1747)*IFERROR(INDEX(계정대체기준!$C$20:$C$49,MATCH($N1747,계정대체기준!$A$20:$A$49,0)),0)))</f>
        <v/>
      </c>
      <c r="AA1747" s="94">
        <f>IF($A1747="",0,IF(AE1747="직접",IF(OR(AF1747="유지비",AF1747="손해조사비"),$P1747,0),$P1747*(1-AG1747)*IFERROR(INDEX(계정대체기준!$D$20:$D$49,MATCH($N1747,계정대체기준!$A$20:$A$49,0)),0)))</f>
        <v/>
      </c>
      <c r="AB1747" s="94">
        <f>IF($A1747="",0,IF(AE1747="직접",IF(AF1747="수금비",$P1747,0),$P1747*(1-AG1747)*IFERROR(INDEX(계정대체기준!$E$20:$E$49,MATCH($N1747,계정대체기준!$A$20:$A$49,0)),0)))</f>
        <v/>
      </c>
      <c r="AC1747" s="9">
        <f>IF(AND($A1747&lt;&gt;"",M1747=설정!$C$20,Z1747&gt;0),Z1747+ROW()/1000000000,"")</f>
        <v/>
      </c>
      <c r="AD1747" s="94">
        <f>IF($A1747="",0,$P1747*AG1747)</f>
        <v/>
      </c>
      <c r="AE1747" s="64">
        <f>IF($A1747="","",IFERROR(INDEX(계정매핑!$E$5:$E$504,MATCH($F1747&amp;"",계정매핑!$A$5:$A$504,0))&amp;"","공통비"))</f>
        <v/>
      </c>
      <c r="AF1747" s="64">
        <f>IF($A1747="","",IF(AE1747="직접",IFERROR(INDEX(계정매핑!$F$5:$F$504,MATCH($F1747&amp;"",계정매핑!$A$5:$A$504,0))&amp;"","비귀속"),""))</f>
        <v/>
      </c>
      <c r="AG1747" s="96">
        <f>IF($A1747="",0,IF(AND(AE1747&lt;&gt;"직접",IFERROR(INDEX(계정매핑!$G$5:$G$504,MATCH($F1747&amp;"",계정매핑!$A$5:$A$504,0))&amp;"","")="유지비",COUNTIF(계정대체기준!$A$6:$A$15,$N1747)&gt;0),IFERROR(INDEX(계정대체기준!$E$6:$E$15,MATCH(VALUE($A1747&amp;""),계정대체기준!$D$6:$D$15,0)),0),0))</f>
        <v/>
      </c>
      <c r="AH1747" s="64">
        <f>IF($A1747="","",IF(AD1747=0,"",IF(OR(COUNTIF(계정대체기준!$A$77:$A$86,$N1747)&gt;0,ISNUMBER(MATCH($X1747,계정대체기준!$D$77:$D$86,0)),ISNUMBER(MATCH($F1747,계정대체기준!$D$77:$D$86,0))),"Y","N")))</f>
        <v/>
      </c>
    </row>
    <row r="1748">
      <c r="A1748" s="92" t="n">
        <v>2025</v>
      </c>
      <c r="B1748" s="92" t="n">
        <v>8</v>
      </c>
      <c r="C1748" s="92" t="inlineStr">
        <is>
          <t>5100001744</t>
        </is>
      </c>
      <c r="D1748" s="95" t="n">
        <v>45889</v>
      </c>
      <c r="E1748" s="92" t="inlineStr">
        <is>
          <t>KR</t>
        </is>
      </c>
      <c r="F1748" s="92" t="n">
        <v>62401000</v>
      </c>
      <c r="G1748" s="92" t="n">
        <v>1501</v>
      </c>
      <c r="H1748" s="93" t="n">
        <v>896000</v>
      </c>
      <c r="I1748" s="92" t="inlineStr">
        <is>
          <t>8월 인쇄물 제작 - S출판</t>
        </is>
      </c>
      <c r="J1748" s="92" t="inlineStr">
        <is>
          <t>V10015</t>
        </is>
      </c>
      <c r="K1748" s="92" t="inlineStr">
        <is>
          <t>S출판</t>
        </is>
      </c>
      <c r="M1748" s="9">
        <f>IF($A1748="","",VALUE($A1748&amp;"")*12+VALUE($B1748&amp;""))</f>
        <v/>
      </c>
      <c r="N1748" s="64">
        <f>IF($A1748="","",IFERROR(INDEX(부서매핑!$C$5:$C$504,MATCH($G1748&amp;"",부서매핑!$A$5:$A$504,0)),"미매핑"))</f>
        <v/>
      </c>
      <c r="O1748" s="9">
        <f>IF($A1748="","",N1748&amp;"|"&amp;$F1748)</f>
        <v/>
      </c>
      <c r="P1748" s="94">
        <f>IF($A1748="",0,$H1748*설정!$C$23)</f>
        <v/>
      </c>
      <c r="Q1748" s="64">
        <f>IF($A1748="","",IF(O1748&lt;&gt;원인분석!$C$9,"",IF(AND(M1748&gt;=원인분석!$C$10,M1748&lt;=원인분석!$C$11),"당기",IF(AND(M1748&gt;=원인분석!$C$12,M1748&lt;=원인분석!$C$13),"비교",""))))</f>
        <v/>
      </c>
      <c r="R1748" s="9">
        <f>IF(Q1748="","",$K1748&amp;"")</f>
        <v/>
      </c>
      <c r="S1748" s="9">
        <f>IF(Q1748="","",IF(MATCH(R1748,$R$5:$R$100000,0)=ROW()-4,ROW(),""))</f>
        <v/>
      </c>
      <c r="T1748" s="9">
        <f>IF(Q1748="당기",ABS(P1748)+ROW()/1000000000,"")</f>
        <v/>
      </c>
      <c r="U1748" s="9">
        <f>IF(Q1748="비교",ABS(P1748)+ROW()/1000000000,"")</f>
        <v/>
      </c>
      <c r="V1748" s="64">
        <f>IF($A1748="","",IF(COUNTIF(변동분석!$E$7:$E$506,O1748)&gt;0,"Y","N"))</f>
        <v/>
      </c>
      <c r="W1748" s="64">
        <f>IF($A1748="","",IFERROR(INDEX(계정매핑!$D$5:$D$504,MATCH($F1748&amp;"",계정매핑!$A$5:$A$504,0)),"미매핑"))</f>
        <v/>
      </c>
      <c r="X1748" s="9">
        <f>IF($A1748="","",$F1748&amp;"")</f>
        <v/>
      </c>
      <c r="Y1748" s="94">
        <f>IF($A1748="",0,IF(AE1748="직접",IF(AF1748="비귀속",$P1748,0),$P1748*(1-AG1748)*IFERROR(INDEX(계정대체기준!$F$20:$F$49,MATCH($N1748,계정대체기준!$A$20:$A$49,0)),1)))</f>
        <v/>
      </c>
      <c r="Z1748" s="94">
        <f>IF($A1748="",0,IF(AE1748="직접",IF(AF1748="신계약비",$P1748,0),$P1748*(1-AG1748)*IFERROR(INDEX(계정대체기준!$C$20:$C$49,MATCH($N1748,계정대체기준!$A$20:$A$49,0)),0)))</f>
        <v/>
      </c>
      <c r="AA1748" s="94">
        <f>IF($A1748="",0,IF(AE1748="직접",IF(OR(AF1748="유지비",AF1748="손해조사비"),$P1748,0),$P1748*(1-AG1748)*IFERROR(INDEX(계정대체기준!$D$20:$D$49,MATCH($N1748,계정대체기준!$A$20:$A$49,0)),0)))</f>
        <v/>
      </c>
      <c r="AB1748" s="94">
        <f>IF($A1748="",0,IF(AE1748="직접",IF(AF1748="수금비",$P1748,0),$P1748*(1-AG1748)*IFERROR(INDEX(계정대체기준!$E$20:$E$49,MATCH($N1748,계정대체기준!$A$20:$A$49,0)),0)))</f>
        <v/>
      </c>
      <c r="AC1748" s="9">
        <f>IF(AND($A1748&lt;&gt;"",M1748=설정!$C$20,Z1748&gt;0),Z1748+ROW()/1000000000,"")</f>
        <v/>
      </c>
      <c r="AD1748" s="94">
        <f>IF($A1748="",0,$P1748*AG1748)</f>
        <v/>
      </c>
      <c r="AE1748" s="64">
        <f>IF($A1748="","",IFERROR(INDEX(계정매핑!$E$5:$E$504,MATCH($F1748&amp;"",계정매핑!$A$5:$A$504,0))&amp;"","공통비"))</f>
        <v/>
      </c>
      <c r="AF1748" s="64">
        <f>IF($A1748="","",IF(AE1748="직접",IFERROR(INDEX(계정매핑!$F$5:$F$504,MATCH($F1748&amp;"",계정매핑!$A$5:$A$504,0))&amp;"","비귀속"),""))</f>
        <v/>
      </c>
      <c r="AG1748" s="96">
        <f>IF($A1748="",0,IF(AND(AE1748&lt;&gt;"직접",IFERROR(INDEX(계정매핑!$G$5:$G$504,MATCH($F1748&amp;"",계정매핑!$A$5:$A$504,0))&amp;"","")="유지비",COUNTIF(계정대체기준!$A$6:$A$15,$N1748)&gt;0),IFERROR(INDEX(계정대체기준!$E$6:$E$15,MATCH(VALUE($A1748&amp;""),계정대체기준!$D$6:$D$15,0)),0),0))</f>
        <v/>
      </c>
      <c r="AH1748" s="64">
        <f>IF($A1748="","",IF(AD1748=0,"",IF(OR(COUNTIF(계정대체기준!$A$77:$A$86,$N1748)&gt;0,ISNUMBER(MATCH($X1748,계정대체기준!$D$77:$D$86,0)),ISNUMBER(MATCH($F1748,계정대체기준!$D$77:$D$86,0))),"Y","N")))</f>
        <v/>
      </c>
    </row>
    <row r="1749">
      <c r="A1749" s="92" t="n">
        <v>2025</v>
      </c>
      <c r="B1749" s="92" t="n">
        <v>8</v>
      </c>
      <c r="C1749" s="92" t="inlineStr">
        <is>
          <t>5100001745</t>
        </is>
      </c>
      <c r="D1749" s="95" t="n">
        <v>45889</v>
      </c>
      <c r="E1749" s="92" t="inlineStr">
        <is>
          <t>KR</t>
        </is>
      </c>
      <c r="F1749" s="92" t="n">
        <v>62501000</v>
      </c>
      <c r="G1749" s="92" t="n">
        <v>1201</v>
      </c>
      <c r="H1749" s="93" t="n">
        <v>85000</v>
      </c>
      <c r="I1749" s="92" t="inlineStr">
        <is>
          <t>8월 회의 다과 - T케이터링</t>
        </is>
      </c>
      <c r="J1749" s="92" t="inlineStr">
        <is>
          <t>V10005</t>
        </is>
      </c>
      <c r="K1749" s="92" t="inlineStr">
        <is>
          <t>T케이터링</t>
        </is>
      </c>
      <c r="M1749" s="9">
        <f>IF($A1749="","",VALUE($A1749&amp;"")*12+VALUE($B1749&amp;""))</f>
        <v/>
      </c>
      <c r="N1749" s="64">
        <f>IF($A1749="","",IFERROR(INDEX(부서매핑!$C$5:$C$504,MATCH($G1749&amp;"",부서매핑!$A$5:$A$504,0)),"미매핑"))</f>
        <v/>
      </c>
      <c r="O1749" s="9">
        <f>IF($A1749="","",N1749&amp;"|"&amp;$F1749)</f>
        <v/>
      </c>
      <c r="P1749" s="94">
        <f>IF($A1749="",0,$H1749*설정!$C$23)</f>
        <v/>
      </c>
      <c r="Q1749" s="64">
        <f>IF($A1749="","",IF(O1749&lt;&gt;원인분석!$C$9,"",IF(AND(M1749&gt;=원인분석!$C$10,M1749&lt;=원인분석!$C$11),"당기",IF(AND(M1749&gt;=원인분석!$C$12,M1749&lt;=원인분석!$C$13),"비교",""))))</f>
        <v/>
      </c>
      <c r="R1749" s="9">
        <f>IF(Q1749="","",$K1749&amp;"")</f>
        <v/>
      </c>
      <c r="S1749" s="9">
        <f>IF(Q1749="","",IF(MATCH(R1749,$R$5:$R$100000,0)=ROW()-4,ROW(),""))</f>
        <v/>
      </c>
      <c r="T1749" s="9">
        <f>IF(Q1749="당기",ABS(P1749)+ROW()/1000000000,"")</f>
        <v/>
      </c>
      <c r="U1749" s="9">
        <f>IF(Q1749="비교",ABS(P1749)+ROW()/1000000000,"")</f>
        <v/>
      </c>
      <c r="V1749" s="64">
        <f>IF($A1749="","",IF(COUNTIF(변동분석!$E$7:$E$506,O1749)&gt;0,"Y","N"))</f>
        <v/>
      </c>
      <c r="W1749" s="64">
        <f>IF($A1749="","",IFERROR(INDEX(계정매핑!$D$5:$D$504,MATCH($F1749&amp;"",계정매핑!$A$5:$A$504,0)),"미매핑"))</f>
        <v/>
      </c>
      <c r="X1749" s="9">
        <f>IF($A1749="","",$F1749&amp;"")</f>
        <v/>
      </c>
      <c r="Y1749" s="94">
        <f>IF($A1749="",0,IF(AE1749="직접",IF(AF1749="비귀속",$P1749,0),$P1749*(1-AG1749)*IFERROR(INDEX(계정대체기준!$F$20:$F$49,MATCH($N1749,계정대체기준!$A$20:$A$49,0)),1)))</f>
        <v/>
      </c>
      <c r="Z1749" s="94">
        <f>IF($A1749="",0,IF(AE1749="직접",IF(AF1749="신계약비",$P1749,0),$P1749*(1-AG1749)*IFERROR(INDEX(계정대체기준!$C$20:$C$49,MATCH($N1749,계정대체기준!$A$20:$A$49,0)),0)))</f>
        <v/>
      </c>
      <c r="AA1749" s="94">
        <f>IF($A1749="",0,IF(AE1749="직접",IF(OR(AF1749="유지비",AF1749="손해조사비"),$P1749,0),$P1749*(1-AG1749)*IFERROR(INDEX(계정대체기준!$D$20:$D$49,MATCH($N1749,계정대체기준!$A$20:$A$49,0)),0)))</f>
        <v/>
      </c>
      <c r="AB1749" s="94">
        <f>IF($A1749="",0,IF(AE1749="직접",IF(AF1749="수금비",$P1749,0),$P1749*(1-AG1749)*IFERROR(INDEX(계정대체기준!$E$20:$E$49,MATCH($N1749,계정대체기준!$A$20:$A$49,0)),0)))</f>
        <v/>
      </c>
      <c r="AC1749" s="9">
        <f>IF(AND($A1749&lt;&gt;"",M1749=설정!$C$20,Z1749&gt;0),Z1749+ROW()/1000000000,"")</f>
        <v/>
      </c>
      <c r="AD1749" s="94">
        <f>IF($A1749="",0,$P1749*AG1749)</f>
        <v/>
      </c>
      <c r="AE1749" s="64">
        <f>IF($A1749="","",IFERROR(INDEX(계정매핑!$E$5:$E$504,MATCH($F1749&amp;"",계정매핑!$A$5:$A$504,0))&amp;"","공통비"))</f>
        <v/>
      </c>
      <c r="AF1749" s="64">
        <f>IF($A1749="","",IF(AE1749="직접",IFERROR(INDEX(계정매핑!$F$5:$F$504,MATCH($F1749&amp;"",계정매핑!$A$5:$A$504,0))&amp;"","비귀속"),""))</f>
        <v/>
      </c>
      <c r="AG1749" s="96">
        <f>IF($A1749="",0,IF(AND(AE1749&lt;&gt;"직접",IFERROR(INDEX(계정매핑!$G$5:$G$504,MATCH($F1749&amp;"",계정매핑!$A$5:$A$504,0))&amp;"","")="유지비",COUNTIF(계정대체기준!$A$6:$A$15,$N1749)&gt;0),IFERROR(INDEX(계정대체기준!$E$6:$E$15,MATCH(VALUE($A1749&amp;""),계정대체기준!$D$6:$D$15,0)),0),0))</f>
        <v/>
      </c>
      <c r="AH1749" s="64">
        <f>IF($A1749="","",IF(AD1749=0,"",IF(OR(COUNTIF(계정대체기준!$A$77:$A$86,$N1749)&gt;0,ISNUMBER(MATCH($X1749,계정대체기준!$D$77:$D$86,0)),ISNUMBER(MATCH($F1749,계정대체기준!$D$77:$D$86,0))),"Y","N")))</f>
        <v/>
      </c>
    </row>
    <row r="1750">
      <c r="A1750" s="92" t="n">
        <v>2025</v>
      </c>
      <c r="B1750" s="92" t="n">
        <v>8</v>
      </c>
      <c r="C1750" s="92" t="inlineStr">
        <is>
          <t>5100001746</t>
        </is>
      </c>
      <c r="D1750" s="95" t="n">
        <v>45889</v>
      </c>
      <c r="E1750" s="92" t="inlineStr">
        <is>
          <t>KR</t>
        </is>
      </c>
      <c r="F1750" s="92" t="n">
        <v>62901000</v>
      </c>
      <c r="G1750" s="92" t="n">
        <v>1401</v>
      </c>
      <c r="H1750" s="93" t="n">
        <v>6412000</v>
      </c>
      <c r="I1750" s="92" t="inlineStr">
        <is>
          <t>8월 자문 수수료 - W컨설팅</t>
        </is>
      </c>
      <c r="J1750" s="92" t="inlineStr">
        <is>
          <t>V10006</t>
        </is>
      </c>
      <c r="K1750" s="92" t="inlineStr">
        <is>
          <t>W컨설팅</t>
        </is>
      </c>
      <c r="M1750" s="9">
        <f>IF($A1750="","",VALUE($A1750&amp;"")*12+VALUE($B1750&amp;""))</f>
        <v/>
      </c>
      <c r="N1750" s="64">
        <f>IF($A1750="","",IFERROR(INDEX(부서매핑!$C$5:$C$504,MATCH($G1750&amp;"",부서매핑!$A$5:$A$504,0)),"미매핑"))</f>
        <v/>
      </c>
      <c r="O1750" s="9">
        <f>IF($A1750="","",N1750&amp;"|"&amp;$F1750)</f>
        <v/>
      </c>
      <c r="P1750" s="94">
        <f>IF($A1750="",0,$H1750*설정!$C$23)</f>
        <v/>
      </c>
      <c r="Q1750" s="64">
        <f>IF($A1750="","",IF(O1750&lt;&gt;원인분석!$C$9,"",IF(AND(M1750&gt;=원인분석!$C$10,M1750&lt;=원인분석!$C$11),"당기",IF(AND(M1750&gt;=원인분석!$C$12,M1750&lt;=원인분석!$C$13),"비교",""))))</f>
        <v/>
      </c>
      <c r="R1750" s="9">
        <f>IF(Q1750="","",$K1750&amp;"")</f>
        <v/>
      </c>
      <c r="S1750" s="9">
        <f>IF(Q1750="","",IF(MATCH(R1750,$R$5:$R$100000,0)=ROW()-4,ROW(),""))</f>
        <v/>
      </c>
      <c r="T1750" s="9">
        <f>IF(Q1750="당기",ABS(P1750)+ROW()/1000000000,"")</f>
        <v/>
      </c>
      <c r="U1750" s="9">
        <f>IF(Q1750="비교",ABS(P1750)+ROW()/1000000000,"")</f>
        <v/>
      </c>
      <c r="V1750" s="64">
        <f>IF($A1750="","",IF(COUNTIF(변동분석!$E$7:$E$506,O1750)&gt;0,"Y","N"))</f>
        <v/>
      </c>
      <c r="W1750" s="64">
        <f>IF($A1750="","",IFERROR(INDEX(계정매핑!$D$5:$D$504,MATCH($F1750&amp;"",계정매핑!$A$5:$A$504,0)),"미매핑"))</f>
        <v/>
      </c>
      <c r="X1750" s="9">
        <f>IF($A1750="","",$F1750&amp;"")</f>
        <v/>
      </c>
      <c r="Y1750" s="94">
        <f>IF($A1750="",0,IF(AE1750="직접",IF(AF1750="비귀속",$P1750,0),$P1750*(1-AG1750)*IFERROR(INDEX(계정대체기준!$F$20:$F$49,MATCH($N1750,계정대체기준!$A$20:$A$49,0)),1)))</f>
        <v/>
      </c>
      <c r="Z1750" s="94">
        <f>IF($A1750="",0,IF(AE1750="직접",IF(AF1750="신계약비",$P1750,0),$P1750*(1-AG1750)*IFERROR(INDEX(계정대체기준!$C$20:$C$49,MATCH($N1750,계정대체기준!$A$20:$A$49,0)),0)))</f>
        <v/>
      </c>
      <c r="AA1750" s="94">
        <f>IF($A1750="",0,IF(AE1750="직접",IF(OR(AF1750="유지비",AF1750="손해조사비"),$P1750,0),$P1750*(1-AG1750)*IFERROR(INDEX(계정대체기준!$D$20:$D$49,MATCH($N1750,계정대체기준!$A$20:$A$49,0)),0)))</f>
        <v/>
      </c>
      <c r="AB1750" s="94">
        <f>IF($A1750="",0,IF(AE1750="직접",IF(AF1750="수금비",$P1750,0),$P1750*(1-AG1750)*IFERROR(INDEX(계정대체기준!$E$20:$E$49,MATCH($N1750,계정대체기준!$A$20:$A$49,0)),0)))</f>
        <v/>
      </c>
      <c r="AC1750" s="9">
        <f>IF(AND($A1750&lt;&gt;"",M1750=설정!$C$20,Z1750&gt;0),Z1750+ROW()/1000000000,"")</f>
        <v/>
      </c>
      <c r="AD1750" s="94">
        <f>IF($A1750="",0,$P1750*AG1750)</f>
        <v/>
      </c>
      <c r="AE1750" s="64">
        <f>IF($A1750="","",IFERROR(INDEX(계정매핑!$E$5:$E$504,MATCH($F1750&amp;"",계정매핑!$A$5:$A$504,0))&amp;"","공통비"))</f>
        <v/>
      </c>
      <c r="AF1750" s="64">
        <f>IF($A1750="","",IF(AE1750="직접",IFERROR(INDEX(계정매핑!$F$5:$F$504,MATCH($F1750&amp;"",계정매핑!$A$5:$A$504,0))&amp;"","비귀속"),""))</f>
        <v/>
      </c>
      <c r="AG1750" s="96">
        <f>IF($A1750="",0,IF(AND(AE1750&lt;&gt;"직접",IFERROR(INDEX(계정매핑!$G$5:$G$504,MATCH($F1750&amp;"",계정매핑!$A$5:$A$504,0))&amp;"","")="유지비",COUNTIF(계정대체기준!$A$6:$A$15,$N1750)&gt;0),IFERROR(INDEX(계정대체기준!$E$6:$E$15,MATCH(VALUE($A1750&amp;""),계정대체기준!$D$6:$D$15,0)),0),0))</f>
        <v/>
      </c>
      <c r="AH1750" s="64">
        <f>IF($A1750="","",IF(AD1750=0,"",IF(OR(COUNTIF(계정대체기준!$A$77:$A$86,$N1750)&gt;0,ISNUMBER(MATCH($X1750,계정대체기준!$D$77:$D$86,0)),ISNUMBER(MATCH($F1750,계정대체기준!$D$77:$D$86,0))),"Y","N")))</f>
        <v/>
      </c>
    </row>
    <row r="1751">
      <c r="A1751" s="92" t="n">
        <v>2025</v>
      </c>
      <c r="B1751" s="92" t="n">
        <v>8</v>
      </c>
      <c r="C1751" s="92" t="inlineStr">
        <is>
          <t>5100001747</t>
        </is>
      </c>
      <c r="D1751" s="95" t="n">
        <v>45889</v>
      </c>
      <c r="E1751" s="92" t="inlineStr">
        <is>
          <t>KR</t>
        </is>
      </c>
      <c r="F1751" s="92" t="n">
        <v>62901000</v>
      </c>
      <c r="G1751" s="92" t="n">
        <v>1801</v>
      </c>
      <c r="H1751" s="93" t="n">
        <v>6740000</v>
      </c>
      <c r="I1751" s="92" t="inlineStr">
        <is>
          <t>8월 자문 수수료 - W컨설팅</t>
        </is>
      </c>
      <c r="J1751" s="92" t="inlineStr">
        <is>
          <t>V10006</t>
        </is>
      </c>
      <c r="K1751" s="92" t="inlineStr">
        <is>
          <t>W컨설팅</t>
        </is>
      </c>
      <c r="M1751" s="9">
        <f>IF($A1751="","",VALUE($A1751&amp;"")*12+VALUE($B1751&amp;""))</f>
        <v/>
      </c>
      <c r="N1751" s="64">
        <f>IF($A1751="","",IFERROR(INDEX(부서매핑!$C$5:$C$504,MATCH($G1751&amp;"",부서매핑!$A$5:$A$504,0)),"미매핑"))</f>
        <v/>
      </c>
      <c r="O1751" s="9">
        <f>IF($A1751="","",N1751&amp;"|"&amp;$F1751)</f>
        <v/>
      </c>
      <c r="P1751" s="94">
        <f>IF($A1751="",0,$H1751*설정!$C$23)</f>
        <v/>
      </c>
      <c r="Q1751" s="64">
        <f>IF($A1751="","",IF(O1751&lt;&gt;원인분석!$C$9,"",IF(AND(M1751&gt;=원인분석!$C$10,M1751&lt;=원인분석!$C$11),"당기",IF(AND(M1751&gt;=원인분석!$C$12,M1751&lt;=원인분석!$C$13),"비교",""))))</f>
        <v/>
      </c>
      <c r="R1751" s="9">
        <f>IF(Q1751="","",$K1751&amp;"")</f>
        <v/>
      </c>
      <c r="S1751" s="9">
        <f>IF(Q1751="","",IF(MATCH(R1751,$R$5:$R$100000,0)=ROW()-4,ROW(),""))</f>
        <v/>
      </c>
      <c r="T1751" s="9">
        <f>IF(Q1751="당기",ABS(P1751)+ROW()/1000000000,"")</f>
        <v/>
      </c>
      <c r="U1751" s="9">
        <f>IF(Q1751="비교",ABS(P1751)+ROW()/1000000000,"")</f>
        <v/>
      </c>
      <c r="V1751" s="64">
        <f>IF($A1751="","",IF(COUNTIF(변동분석!$E$7:$E$506,O1751)&gt;0,"Y","N"))</f>
        <v/>
      </c>
      <c r="W1751" s="64">
        <f>IF($A1751="","",IFERROR(INDEX(계정매핑!$D$5:$D$504,MATCH($F1751&amp;"",계정매핑!$A$5:$A$504,0)),"미매핑"))</f>
        <v/>
      </c>
      <c r="X1751" s="9">
        <f>IF($A1751="","",$F1751&amp;"")</f>
        <v/>
      </c>
      <c r="Y1751" s="94">
        <f>IF($A1751="",0,IF(AE1751="직접",IF(AF1751="비귀속",$P1751,0),$P1751*(1-AG1751)*IFERROR(INDEX(계정대체기준!$F$20:$F$49,MATCH($N1751,계정대체기준!$A$20:$A$49,0)),1)))</f>
        <v/>
      </c>
      <c r="Z1751" s="94">
        <f>IF($A1751="",0,IF(AE1751="직접",IF(AF1751="신계약비",$P1751,0),$P1751*(1-AG1751)*IFERROR(INDEX(계정대체기준!$C$20:$C$49,MATCH($N1751,계정대체기준!$A$20:$A$49,0)),0)))</f>
        <v/>
      </c>
      <c r="AA1751" s="94">
        <f>IF($A1751="",0,IF(AE1751="직접",IF(OR(AF1751="유지비",AF1751="손해조사비"),$P1751,0),$P1751*(1-AG1751)*IFERROR(INDEX(계정대체기준!$D$20:$D$49,MATCH($N1751,계정대체기준!$A$20:$A$49,0)),0)))</f>
        <v/>
      </c>
      <c r="AB1751" s="94">
        <f>IF($A1751="",0,IF(AE1751="직접",IF(AF1751="수금비",$P1751,0),$P1751*(1-AG1751)*IFERROR(INDEX(계정대체기준!$E$20:$E$49,MATCH($N1751,계정대체기준!$A$20:$A$49,0)),0)))</f>
        <v/>
      </c>
      <c r="AC1751" s="9">
        <f>IF(AND($A1751&lt;&gt;"",M1751=설정!$C$20,Z1751&gt;0),Z1751+ROW()/1000000000,"")</f>
        <v/>
      </c>
      <c r="AD1751" s="94">
        <f>IF($A1751="",0,$P1751*AG1751)</f>
        <v/>
      </c>
      <c r="AE1751" s="64">
        <f>IF($A1751="","",IFERROR(INDEX(계정매핑!$E$5:$E$504,MATCH($F1751&amp;"",계정매핑!$A$5:$A$504,0))&amp;"","공통비"))</f>
        <v/>
      </c>
      <c r="AF1751" s="64">
        <f>IF($A1751="","",IF(AE1751="직접",IFERROR(INDEX(계정매핑!$F$5:$F$504,MATCH($F1751&amp;"",계정매핑!$A$5:$A$504,0))&amp;"","비귀속"),""))</f>
        <v/>
      </c>
      <c r="AG1751" s="96">
        <f>IF($A1751="",0,IF(AND(AE1751&lt;&gt;"직접",IFERROR(INDEX(계정매핑!$G$5:$G$504,MATCH($F1751&amp;"",계정매핑!$A$5:$A$504,0))&amp;"","")="유지비",COUNTIF(계정대체기준!$A$6:$A$15,$N1751)&gt;0),IFERROR(INDEX(계정대체기준!$E$6:$E$15,MATCH(VALUE($A1751&amp;""),계정대체기준!$D$6:$D$15,0)),0),0))</f>
        <v/>
      </c>
      <c r="AH1751" s="64">
        <f>IF($A1751="","",IF(AD1751=0,"",IF(OR(COUNTIF(계정대체기준!$A$77:$A$86,$N1751)&gt;0,ISNUMBER(MATCH($X1751,계정대체기준!$D$77:$D$86,0)),ISNUMBER(MATCH($F1751,계정대체기준!$D$77:$D$86,0))),"Y","N")))</f>
        <v/>
      </c>
    </row>
    <row r="1752">
      <c r="A1752" s="92" t="n">
        <v>2025</v>
      </c>
      <c r="B1752" s="92" t="n">
        <v>8</v>
      </c>
      <c r="C1752" s="92" t="inlineStr">
        <is>
          <t>5100001748</t>
        </is>
      </c>
      <c r="D1752" s="95" t="n">
        <v>45889</v>
      </c>
      <c r="E1752" s="92" t="inlineStr">
        <is>
          <t>KR</t>
        </is>
      </c>
      <c r="F1752" s="92" t="n">
        <v>62902000</v>
      </c>
      <c r="G1752" s="92" t="n">
        <v>1201</v>
      </c>
      <c r="H1752" s="93" t="n">
        <v>2971000</v>
      </c>
      <c r="I1752" s="92" t="inlineStr">
        <is>
          <t>8월 업무 위탁 수수료 - J콜센터</t>
        </is>
      </c>
      <c r="J1752" s="92" t="inlineStr">
        <is>
          <t>V10016</t>
        </is>
      </c>
      <c r="K1752" s="92" t="inlineStr">
        <is>
          <t>J콜센터</t>
        </is>
      </c>
      <c r="M1752" s="9">
        <f>IF($A1752="","",VALUE($A1752&amp;"")*12+VALUE($B1752&amp;""))</f>
        <v/>
      </c>
      <c r="N1752" s="64">
        <f>IF($A1752="","",IFERROR(INDEX(부서매핑!$C$5:$C$504,MATCH($G1752&amp;"",부서매핑!$A$5:$A$504,0)),"미매핑"))</f>
        <v/>
      </c>
      <c r="O1752" s="9">
        <f>IF($A1752="","",N1752&amp;"|"&amp;$F1752)</f>
        <v/>
      </c>
      <c r="P1752" s="94">
        <f>IF($A1752="",0,$H1752*설정!$C$23)</f>
        <v/>
      </c>
      <c r="Q1752" s="64">
        <f>IF($A1752="","",IF(O1752&lt;&gt;원인분석!$C$9,"",IF(AND(M1752&gt;=원인분석!$C$10,M1752&lt;=원인분석!$C$11),"당기",IF(AND(M1752&gt;=원인분석!$C$12,M1752&lt;=원인분석!$C$13),"비교",""))))</f>
        <v/>
      </c>
      <c r="R1752" s="9">
        <f>IF(Q1752="","",$K1752&amp;"")</f>
        <v/>
      </c>
      <c r="S1752" s="9">
        <f>IF(Q1752="","",IF(MATCH(R1752,$R$5:$R$100000,0)=ROW()-4,ROW(),""))</f>
        <v/>
      </c>
      <c r="T1752" s="9">
        <f>IF(Q1752="당기",ABS(P1752)+ROW()/1000000000,"")</f>
        <v/>
      </c>
      <c r="U1752" s="9">
        <f>IF(Q1752="비교",ABS(P1752)+ROW()/1000000000,"")</f>
        <v/>
      </c>
      <c r="V1752" s="64">
        <f>IF($A1752="","",IF(COUNTIF(변동분석!$E$7:$E$506,O1752)&gt;0,"Y","N"))</f>
        <v/>
      </c>
      <c r="W1752" s="64">
        <f>IF($A1752="","",IFERROR(INDEX(계정매핑!$D$5:$D$504,MATCH($F1752&amp;"",계정매핑!$A$5:$A$504,0)),"미매핑"))</f>
        <v/>
      </c>
      <c r="X1752" s="9">
        <f>IF($A1752="","",$F1752&amp;"")</f>
        <v/>
      </c>
      <c r="Y1752" s="94">
        <f>IF($A1752="",0,IF(AE1752="직접",IF(AF1752="비귀속",$P1752,0),$P1752*(1-AG1752)*IFERROR(INDEX(계정대체기준!$F$20:$F$49,MATCH($N1752,계정대체기준!$A$20:$A$49,0)),1)))</f>
        <v/>
      </c>
      <c r="Z1752" s="94">
        <f>IF($A1752="",0,IF(AE1752="직접",IF(AF1752="신계약비",$P1752,0),$P1752*(1-AG1752)*IFERROR(INDEX(계정대체기준!$C$20:$C$49,MATCH($N1752,계정대체기준!$A$20:$A$49,0)),0)))</f>
        <v/>
      </c>
      <c r="AA1752" s="94">
        <f>IF($A1752="",0,IF(AE1752="직접",IF(OR(AF1752="유지비",AF1752="손해조사비"),$P1752,0),$P1752*(1-AG1752)*IFERROR(INDEX(계정대체기준!$D$20:$D$49,MATCH($N1752,계정대체기준!$A$20:$A$49,0)),0)))</f>
        <v/>
      </c>
      <c r="AB1752" s="94">
        <f>IF($A1752="",0,IF(AE1752="직접",IF(AF1752="수금비",$P1752,0),$P1752*(1-AG1752)*IFERROR(INDEX(계정대체기준!$E$20:$E$49,MATCH($N1752,계정대체기준!$A$20:$A$49,0)),0)))</f>
        <v/>
      </c>
      <c r="AC1752" s="9">
        <f>IF(AND($A1752&lt;&gt;"",M1752=설정!$C$20,Z1752&gt;0),Z1752+ROW()/1000000000,"")</f>
        <v/>
      </c>
      <c r="AD1752" s="94">
        <f>IF($A1752="",0,$P1752*AG1752)</f>
        <v/>
      </c>
      <c r="AE1752" s="64">
        <f>IF($A1752="","",IFERROR(INDEX(계정매핑!$E$5:$E$504,MATCH($F1752&amp;"",계정매핑!$A$5:$A$504,0))&amp;"","공통비"))</f>
        <v/>
      </c>
      <c r="AF1752" s="64">
        <f>IF($A1752="","",IF(AE1752="직접",IFERROR(INDEX(계정매핑!$F$5:$F$504,MATCH($F1752&amp;"",계정매핑!$A$5:$A$504,0))&amp;"","비귀속"),""))</f>
        <v/>
      </c>
      <c r="AG1752" s="96">
        <f>IF($A1752="",0,IF(AND(AE1752&lt;&gt;"직접",IFERROR(INDEX(계정매핑!$G$5:$G$504,MATCH($F1752&amp;"",계정매핑!$A$5:$A$504,0))&amp;"","")="유지비",COUNTIF(계정대체기준!$A$6:$A$15,$N1752)&gt;0),IFERROR(INDEX(계정대체기준!$E$6:$E$15,MATCH(VALUE($A1752&amp;""),계정대체기준!$D$6:$D$15,0)),0),0))</f>
        <v/>
      </c>
      <c r="AH1752" s="64">
        <f>IF($A1752="","",IF(AD1752=0,"",IF(OR(COUNTIF(계정대체기준!$A$77:$A$86,$N1752)&gt;0,ISNUMBER(MATCH($X1752,계정대체기준!$D$77:$D$86,0)),ISNUMBER(MATCH($F1752,계정대체기준!$D$77:$D$86,0))),"Y","N")))</f>
        <v/>
      </c>
    </row>
    <row r="1753">
      <c r="A1753" s="92" t="n">
        <v>2025</v>
      </c>
      <c r="B1753" s="92" t="n">
        <v>8</v>
      </c>
      <c r="C1753" s="92" t="inlineStr">
        <is>
          <t>5100001749</t>
        </is>
      </c>
      <c r="D1753" s="95" t="n">
        <v>45889</v>
      </c>
      <c r="E1753" s="92" t="inlineStr">
        <is>
          <t>KR</t>
        </is>
      </c>
      <c r="F1753" s="92" t="n">
        <v>62902000</v>
      </c>
      <c r="G1753" s="92" t="n">
        <v>1801</v>
      </c>
      <c r="H1753" s="93" t="n">
        <v>1782000</v>
      </c>
      <c r="I1753" s="92" t="inlineStr">
        <is>
          <t>8월 콜 위탁 수수료(건별)</t>
        </is>
      </c>
      <c r="J1753" s="92" t="inlineStr">
        <is>
          <t>V10016</t>
        </is>
      </c>
      <c r="K1753" s="92" t="inlineStr">
        <is>
          <t>J콜센터</t>
        </is>
      </c>
      <c r="M1753" s="9">
        <f>IF($A1753="","",VALUE($A1753&amp;"")*12+VALUE($B1753&amp;""))</f>
        <v/>
      </c>
      <c r="N1753" s="64">
        <f>IF($A1753="","",IFERROR(INDEX(부서매핑!$C$5:$C$504,MATCH($G1753&amp;"",부서매핑!$A$5:$A$504,0)),"미매핑"))</f>
        <v/>
      </c>
      <c r="O1753" s="9">
        <f>IF($A1753="","",N1753&amp;"|"&amp;$F1753)</f>
        <v/>
      </c>
      <c r="P1753" s="94">
        <f>IF($A1753="",0,$H1753*설정!$C$23)</f>
        <v/>
      </c>
      <c r="Q1753" s="64">
        <f>IF($A1753="","",IF(O1753&lt;&gt;원인분석!$C$9,"",IF(AND(M1753&gt;=원인분석!$C$10,M1753&lt;=원인분석!$C$11),"당기",IF(AND(M1753&gt;=원인분석!$C$12,M1753&lt;=원인분석!$C$13),"비교",""))))</f>
        <v/>
      </c>
      <c r="R1753" s="9">
        <f>IF(Q1753="","",$K1753&amp;"")</f>
        <v/>
      </c>
      <c r="S1753" s="9">
        <f>IF(Q1753="","",IF(MATCH(R1753,$R$5:$R$100000,0)=ROW()-4,ROW(),""))</f>
        <v/>
      </c>
      <c r="T1753" s="9">
        <f>IF(Q1753="당기",ABS(P1753)+ROW()/1000000000,"")</f>
        <v/>
      </c>
      <c r="U1753" s="9">
        <f>IF(Q1753="비교",ABS(P1753)+ROW()/1000000000,"")</f>
        <v/>
      </c>
      <c r="V1753" s="64">
        <f>IF($A1753="","",IF(COUNTIF(변동분석!$E$7:$E$506,O1753)&gt;0,"Y","N"))</f>
        <v/>
      </c>
      <c r="W1753" s="64">
        <f>IF($A1753="","",IFERROR(INDEX(계정매핑!$D$5:$D$504,MATCH($F1753&amp;"",계정매핑!$A$5:$A$504,0)),"미매핑"))</f>
        <v/>
      </c>
      <c r="X1753" s="9">
        <f>IF($A1753="","",$F1753&amp;"")</f>
        <v/>
      </c>
      <c r="Y1753" s="94">
        <f>IF($A1753="",0,IF(AE1753="직접",IF(AF1753="비귀속",$P1753,0),$P1753*(1-AG1753)*IFERROR(INDEX(계정대체기준!$F$20:$F$49,MATCH($N1753,계정대체기준!$A$20:$A$49,0)),1)))</f>
        <v/>
      </c>
      <c r="Z1753" s="94">
        <f>IF($A1753="",0,IF(AE1753="직접",IF(AF1753="신계약비",$P1753,0),$P1753*(1-AG1753)*IFERROR(INDEX(계정대체기준!$C$20:$C$49,MATCH($N1753,계정대체기준!$A$20:$A$49,0)),0)))</f>
        <v/>
      </c>
      <c r="AA1753" s="94">
        <f>IF($A1753="",0,IF(AE1753="직접",IF(OR(AF1753="유지비",AF1753="손해조사비"),$P1753,0),$P1753*(1-AG1753)*IFERROR(INDEX(계정대체기준!$D$20:$D$49,MATCH($N1753,계정대체기준!$A$20:$A$49,0)),0)))</f>
        <v/>
      </c>
      <c r="AB1753" s="94">
        <f>IF($A1753="",0,IF(AE1753="직접",IF(AF1753="수금비",$P1753,0),$P1753*(1-AG1753)*IFERROR(INDEX(계정대체기준!$E$20:$E$49,MATCH($N1753,계정대체기준!$A$20:$A$49,0)),0)))</f>
        <v/>
      </c>
      <c r="AC1753" s="9">
        <f>IF(AND($A1753&lt;&gt;"",M1753=설정!$C$20,Z1753&gt;0),Z1753+ROW()/1000000000,"")</f>
        <v/>
      </c>
      <c r="AD1753" s="94">
        <f>IF($A1753="",0,$P1753*AG1753)</f>
        <v/>
      </c>
      <c r="AE1753" s="64">
        <f>IF($A1753="","",IFERROR(INDEX(계정매핑!$E$5:$E$504,MATCH($F1753&amp;"",계정매핑!$A$5:$A$504,0))&amp;"","공통비"))</f>
        <v/>
      </c>
      <c r="AF1753" s="64">
        <f>IF($A1753="","",IF(AE1753="직접",IFERROR(INDEX(계정매핑!$F$5:$F$504,MATCH($F1753&amp;"",계정매핑!$A$5:$A$504,0))&amp;"","비귀속"),""))</f>
        <v/>
      </c>
      <c r="AG1753" s="96">
        <f>IF($A1753="",0,IF(AND(AE1753&lt;&gt;"직접",IFERROR(INDEX(계정매핑!$G$5:$G$504,MATCH($F1753&amp;"",계정매핑!$A$5:$A$504,0))&amp;"","")="유지비",COUNTIF(계정대체기준!$A$6:$A$15,$N1753)&gt;0),IFERROR(INDEX(계정대체기준!$E$6:$E$15,MATCH(VALUE($A1753&amp;""),계정대체기준!$D$6:$D$15,0)),0),0))</f>
        <v/>
      </c>
      <c r="AH1753" s="64">
        <f>IF($A1753="","",IF(AD1753=0,"",IF(OR(COUNTIF(계정대체기준!$A$77:$A$86,$N1753)&gt;0,ISNUMBER(MATCH($X1753,계정대체기준!$D$77:$D$86,0)),ISNUMBER(MATCH($F1753,계정대체기준!$D$77:$D$86,0))),"Y","N")))</f>
        <v/>
      </c>
    </row>
    <row r="1754">
      <c r="A1754" s="92" t="n">
        <v>2025</v>
      </c>
      <c r="B1754" s="92" t="n">
        <v>8</v>
      </c>
      <c r="C1754" s="92" t="inlineStr">
        <is>
          <t>5100001750</t>
        </is>
      </c>
      <c r="D1754" s="95" t="n">
        <v>45890</v>
      </c>
      <c r="E1754" s="92" t="inlineStr">
        <is>
          <t>KR</t>
        </is>
      </c>
      <c r="F1754" s="92" t="n">
        <v>62101000</v>
      </c>
      <c r="G1754" s="92" t="n">
        <v>1101</v>
      </c>
      <c r="H1754" s="93" t="n">
        <v>605000</v>
      </c>
      <c r="I1754" s="92" t="inlineStr">
        <is>
          <t>8월 국내출장 - (법인카드)</t>
        </is>
      </c>
      <c r="J1754" s="92" t="inlineStr">
        <is>
          <t>V10010</t>
        </is>
      </c>
      <c r="K1754" s="92" t="inlineStr">
        <is>
          <t>(법인카드)</t>
        </is>
      </c>
      <c r="M1754" s="9">
        <f>IF($A1754="","",VALUE($A1754&amp;"")*12+VALUE($B1754&amp;""))</f>
        <v/>
      </c>
      <c r="N1754" s="64">
        <f>IF($A1754="","",IFERROR(INDEX(부서매핑!$C$5:$C$504,MATCH($G1754&amp;"",부서매핑!$A$5:$A$504,0)),"미매핑"))</f>
        <v/>
      </c>
      <c r="O1754" s="9">
        <f>IF($A1754="","",N1754&amp;"|"&amp;$F1754)</f>
        <v/>
      </c>
      <c r="P1754" s="94">
        <f>IF($A1754="",0,$H1754*설정!$C$23)</f>
        <v/>
      </c>
      <c r="Q1754" s="64">
        <f>IF($A1754="","",IF(O1754&lt;&gt;원인분석!$C$9,"",IF(AND(M1754&gt;=원인분석!$C$10,M1754&lt;=원인분석!$C$11),"당기",IF(AND(M1754&gt;=원인분석!$C$12,M1754&lt;=원인분석!$C$13),"비교",""))))</f>
        <v/>
      </c>
      <c r="R1754" s="9">
        <f>IF(Q1754="","",$K1754&amp;"")</f>
        <v/>
      </c>
      <c r="S1754" s="9">
        <f>IF(Q1754="","",IF(MATCH(R1754,$R$5:$R$100000,0)=ROW()-4,ROW(),""))</f>
        <v/>
      </c>
      <c r="T1754" s="9">
        <f>IF(Q1754="당기",ABS(P1754)+ROW()/1000000000,"")</f>
        <v/>
      </c>
      <c r="U1754" s="9">
        <f>IF(Q1754="비교",ABS(P1754)+ROW()/1000000000,"")</f>
        <v/>
      </c>
      <c r="V1754" s="64">
        <f>IF($A1754="","",IF(COUNTIF(변동분석!$E$7:$E$506,O1754)&gt;0,"Y","N"))</f>
        <v/>
      </c>
      <c r="W1754" s="64">
        <f>IF($A1754="","",IFERROR(INDEX(계정매핑!$D$5:$D$504,MATCH($F1754&amp;"",계정매핑!$A$5:$A$504,0)),"미매핑"))</f>
        <v/>
      </c>
      <c r="X1754" s="9">
        <f>IF($A1754="","",$F1754&amp;"")</f>
        <v/>
      </c>
      <c r="Y1754" s="94">
        <f>IF($A1754="",0,IF(AE1754="직접",IF(AF1754="비귀속",$P1754,0),$P1754*(1-AG1754)*IFERROR(INDEX(계정대체기준!$F$20:$F$49,MATCH($N1754,계정대체기준!$A$20:$A$49,0)),1)))</f>
        <v/>
      </c>
      <c r="Z1754" s="94">
        <f>IF($A1754="",0,IF(AE1754="직접",IF(AF1754="신계약비",$P1754,0),$P1754*(1-AG1754)*IFERROR(INDEX(계정대체기준!$C$20:$C$49,MATCH($N1754,계정대체기준!$A$20:$A$49,0)),0)))</f>
        <v/>
      </c>
      <c r="AA1754" s="94">
        <f>IF($A1754="",0,IF(AE1754="직접",IF(OR(AF1754="유지비",AF1754="손해조사비"),$P1754,0),$P1754*(1-AG1754)*IFERROR(INDEX(계정대체기준!$D$20:$D$49,MATCH($N1754,계정대체기준!$A$20:$A$49,0)),0)))</f>
        <v/>
      </c>
      <c r="AB1754" s="94">
        <f>IF($A1754="",0,IF(AE1754="직접",IF(AF1754="수금비",$P1754,0),$P1754*(1-AG1754)*IFERROR(INDEX(계정대체기준!$E$20:$E$49,MATCH($N1754,계정대체기준!$A$20:$A$49,0)),0)))</f>
        <v/>
      </c>
      <c r="AC1754" s="9">
        <f>IF(AND($A1754&lt;&gt;"",M1754=설정!$C$20,Z1754&gt;0),Z1754+ROW()/1000000000,"")</f>
        <v/>
      </c>
      <c r="AD1754" s="94">
        <f>IF($A1754="",0,$P1754*AG1754)</f>
        <v/>
      </c>
      <c r="AE1754" s="64">
        <f>IF($A1754="","",IFERROR(INDEX(계정매핑!$E$5:$E$504,MATCH($F1754&amp;"",계정매핑!$A$5:$A$504,0))&amp;"","공통비"))</f>
        <v/>
      </c>
      <c r="AF1754" s="64">
        <f>IF($A1754="","",IF(AE1754="직접",IFERROR(INDEX(계정매핑!$F$5:$F$504,MATCH($F1754&amp;"",계정매핑!$A$5:$A$504,0))&amp;"","비귀속"),""))</f>
        <v/>
      </c>
      <c r="AG1754" s="96">
        <f>IF($A1754="",0,IF(AND(AE1754&lt;&gt;"직접",IFERROR(INDEX(계정매핑!$G$5:$G$504,MATCH($F1754&amp;"",계정매핑!$A$5:$A$504,0))&amp;"","")="유지비",COUNTIF(계정대체기준!$A$6:$A$15,$N1754)&gt;0),IFERROR(INDEX(계정대체기준!$E$6:$E$15,MATCH(VALUE($A1754&amp;""),계정대체기준!$D$6:$D$15,0)),0),0))</f>
        <v/>
      </c>
      <c r="AH1754" s="64">
        <f>IF($A1754="","",IF(AD1754=0,"",IF(OR(COUNTIF(계정대체기준!$A$77:$A$86,$N1754)&gt;0,ISNUMBER(MATCH($X1754,계정대체기준!$D$77:$D$86,0)),ISNUMBER(MATCH($F1754,계정대체기준!$D$77:$D$86,0))),"Y","N")))</f>
        <v/>
      </c>
    </row>
    <row r="1755">
      <c r="A1755" s="92" t="n">
        <v>2025</v>
      </c>
      <c r="B1755" s="92" t="n">
        <v>8</v>
      </c>
      <c r="C1755" s="92" t="inlineStr">
        <is>
          <t>5100001751</t>
        </is>
      </c>
      <c r="D1755" s="95" t="n">
        <v>45890</v>
      </c>
      <c r="E1755" s="92" t="inlineStr">
        <is>
          <t>KR</t>
        </is>
      </c>
      <c r="F1755" s="92" t="n">
        <v>62101000</v>
      </c>
      <c r="G1755" s="92" t="n">
        <v>1301</v>
      </c>
      <c r="H1755" s="93" t="n">
        <v>389000</v>
      </c>
      <c r="I1755" s="92" t="inlineStr">
        <is>
          <t>8월 국내출장 - (법인카드)</t>
        </is>
      </c>
      <c r="J1755" s="92" t="inlineStr">
        <is>
          <t>V10010</t>
        </is>
      </c>
      <c r="K1755" s="92" t="inlineStr">
        <is>
          <t>(법인카드)</t>
        </is>
      </c>
      <c r="M1755" s="9">
        <f>IF($A1755="","",VALUE($A1755&amp;"")*12+VALUE($B1755&amp;""))</f>
        <v/>
      </c>
      <c r="N1755" s="64">
        <f>IF($A1755="","",IFERROR(INDEX(부서매핑!$C$5:$C$504,MATCH($G1755&amp;"",부서매핑!$A$5:$A$504,0)),"미매핑"))</f>
        <v/>
      </c>
      <c r="O1755" s="9">
        <f>IF($A1755="","",N1755&amp;"|"&amp;$F1755)</f>
        <v/>
      </c>
      <c r="P1755" s="94">
        <f>IF($A1755="",0,$H1755*설정!$C$23)</f>
        <v/>
      </c>
      <c r="Q1755" s="64">
        <f>IF($A1755="","",IF(O1755&lt;&gt;원인분석!$C$9,"",IF(AND(M1755&gt;=원인분석!$C$10,M1755&lt;=원인분석!$C$11),"당기",IF(AND(M1755&gt;=원인분석!$C$12,M1755&lt;=원인분석!$C$13),"비교",""))))</f>
        <v/>
      </c>
      <c r="R1755" s="9">
        <f>IF(Q1755="","",$K1755&amp;"")</f>
        <v/>
      </c>
      <c r="S1755" s="9">
        <f>IF(Q1755="","",IF(MATCH(R1755,$R$5:$R$100000,0)=ROW()-4,ROW(),""))</f>
        <v/>
      </c>
      <c r="T1755" s="9">
        <f>IF(Q1755="당기",ABS(P1755)+ROW()/1000000000,"")</f>
        <v/>
      </c>
      <c r="U1755" s="9">
        <f>IF(Q1755="비교",ABS(P1755)+ROW()/1000000000,"")</f>
        <v/>
      </c>
      <c r="V1755" s="64">
        <f>IF($A1755="","",IF(COUNTIF(변동분석!$E$7:$E$506,O1755)&gt;0,"Y","N"))</f>
        <v/>
      </c>
      <c r="W1755" s="64">
        <f>IF($A1755="","",IFERROR(INDEX(계정매핑!$D$5:$D$504,MATCH($F1755&amp;"",계정매핑!$A$5:$A$504,0)),"미매핑"))</f>
        <v/>
      </c>
      <c r="X1755" s="9">
        <f>IF($A1755="","",$F1755&amp;"")</f>
        <v/>
      </c>
      <c r="Y1755" s="94">
        <f>IF($A1755="",0,IF(AE1755="직접",IF(AF1755="비귀속",$P1755,0),$P1755*(1-AG1755)*IFERROR(INDEX(계정대체기준!$F$20:$F$49,MATCH($N1755,계정대체기준!$A$20:$A$49,0)),1)))</f>
        <v/>
      </c>
      <c r="Z1755" s="94">
        <f>IF($A1755="",0,IF(AE1755="직접",IF(AF1755="신계약비",$P1755,0),$P1755*(1-AG1755)*IFERROR(INDEX(계정대체기준!$C$20:$C$49,MATCH($N1755,계정대체기준!$A$20:$A$49,0)),0)))</f>
        <v/>
      </c>
      <c r="AA1755" s="94">
        <f>IF($A1755="",0,IF(AE1755="직접",IF(OR(AF1755="유지비",AF1755="손해조사비"),$P1755,0),$P1755*(1-AG1755)*IFERROR(INDEX(계정대체기준!$D$20:$D$49,MATCH($N1755,계정대체기준!$A$20:$A$49,0)),0)))</f>
        <v/>
      </c>
      <c r="AB1755" s="94">
        <f>IF($A1755="",0,IF(AE1755="직접",IF(AF1755="수금비",$P1755,0),$P1755*(1-AG1755)*IFERROR(INDEX(계정대체기준!$E$20:$E$49,MATCH($N1755,계정대체기준!$A$20:$A$49,0)),0)))</f>
        <v/>
      </c>
      <c r="AC1755" s="9">
        <f>IF(AND($A1755&lt;&gt;"",M1755=설정!$C$20,Z1755&gt;0),Z1755+ROW()/1000000000,"")</f>
        <v/>
      </c>
      <c r="AD1755" s="94">
        <f>IF($A1755="",0,$P1755*AG1755)</f>
        <v/>
      </c>
      <c r="AE1755" s="64">
        <f>IF($A1755="","",IFERROR(INDEX(계정매핑!$E$5:$E$504,MATCH($F1755&amp;"",계정매핑!$A$5:$A$504,0))&amp;"","공통비"))</f>
        <v/>
      </c>
      <c r="AF1755" s="64">
        <f>IF($A1755="","",IF(AE1755="직접",IFERROR(INDEX(계정매핑!$F$5:$F$504,MATCH($F1755&amp;"",계정매핑!$A$5:$A$504,0))&amp;"","비귀속"),""))</f>
        <v/>
      </c>
      <c r="AG1755" s="96">
        <f>IF($A1755="",0,IF(AND(AE1755&lt;&gt;"직접",IFERROR(INDEX(계정매핑!$G$5:$G$504,MATCH($F1755&amp;"",계정매핑!$A$5:$A$504,0))&amp;"","")="유지비",COUNTIF(계정대체기준!$A$6:$A$15,$N1755)&gt;0),IFERROR(INDEX(계정대체기준!$E$6:$E$15,MATCH(VALUE($A1755&amp;""),계정대체기준!$D$6:$D$15,0)),0),0))</f>
        <v/>
      </c>
      <c r="AH1755" s="64">
        <f>IF($A1755="","",IF(AD1755=0,"",IF(OR(COUNTIF(계정대체기준!$A$77:$A$86,$N1755)&gt;0,ISNUMBER(MATCH($X1755,계정대체기준!$D$77:$D$86,0)),ISNUMBER(MATCH($F1755,계정대체기준!$D$77:$D$86,0))),"Y","N")))</f>
        <v/>
      </c>
    </row>
    <row r="1756">
      <c r="A1756" s="92" t="n">
        <v>2025</v>
      </c>
      <c r="B1756" s="92" t="n">
        <v>8</v>
      </c>
      <c r="C1756" s="92" t="inlineStr">
        <is>
          <t>5100001752</t>
        </is>
      </c>
      <c r="D1756" s="95" t="n">
        <v>45890</v>
      </c>
      <c r="E1756" s="92" t="inlineStr">
        <is>
          <t>KR</t>
        </is>
      </c>
      <c r="F1756" s="92" t="n">
        <v>62101000</v>
      </c>
      <c r="G1756" s="92" t="n">
        <v>1601</v>
      </c>
      <c r="H1756" s="93" t="n">
        <v>837000</v>
      </c>
      <c r="I1756" s="92" t="inlineStr">
        <is>
          <t>8월 국내출장 - L여행사</t>
        </is>
      </c>
      <c r="J1756" s="92" t="inlineStr">
        <is>
          <t>V10018</t>
        </is>
      </c>
      <c r="K1756" s="92" t="inlineStr">
        <is>
          <t>L여행사</t>
        </is>
      </c>
      <c r="M1756" s="9">
        <f>IF($A1756="","",VALUE($A1756&amp;"")*12+VALUE($B1756&amp;""))</f>
        <v/>
      </c>
      <c r="N1756" s="64">
        <f>IF($A1756="","",IFERROR(INDEX(부서매핑!$C$5:$C$504,MATCH($G1756&amp;"",부서매핑!$A$5:$A$504,0)),"미매핑"))</f>
        <v/>
      </c>
      <c r="O1756" s="9">
        <f>IF($A1756="","",N1756&amp;"|"&amp;$F1756)</f>
        <v/>
      </c>
      <c r="P1756" s="94">
        <f>IF($A1756="",0,$H1756*설정!$C$23)</f>
        <v/>
      </c>
      <c r="Q1756" s="64">
        <f>IF($A1756="","",IF(O1756&lt;&gt;원인분석!$C$9,"",IF(AND(M1756&gt;=원인분석!$C$10,M1756&lt;=원인분석!$C$11),"당기",IF(AND(M1756&gt;=원인분석!$C$12,M1756&lt;=원인분석!$C$13),"비교",""))))</f>
        <v/>
      </c>
      <c r="R1756" s="9">
        <f>IF(Q1756="","",$K1756&amp;"")</f>
        <v/>
      </c>
      <c r="S1756" s="9">
        <f>IF(Q1756="","",IF(MATCH(R1756,$R$5:$R$100000,0)=ROW()-4,ROW(),""))</f>
        <v/>
      </c>
      <c r="T1756" s="9">
        <f>IF(Q1756="당기",ABS(P1756)+ROW()/1000000000,"")</f>
        <v/>
      </c>
      <c r="U1756" s="9">
        <f>IF(Q1756="비교",ABS(P1756)+ROW()/1000000000,"")</f>
        <v/>
      </c>
      <c r="V1756" s="64">
        <f>IF($A1756="","",IF(COUNTIF(변동분석!$E$7:$E$506,O1756)&gt;0,"Y","N"))</f>
        <v/>
      </c>
      <c r="W1756" s="64">
        <f>IF($A1756="","",IFERROR(INDEX(계정매핑!$D$5:$D$504,MATCH($F1756&amp;"",계정매핑!$A$5:$A$504,0)),"미매핑"))</f>
        <v/>
      </c>
      <c r="X1756" s="9">
        <f>IF($A1756="","",$F1756&amp;"")</f>
        <v/>
      </c>
      <c r="Y1756" s="94">
        <f>IF($A1756="",0,IF(AE1756="직접",IF(AF1756="비귀속",$P1756,0),$P1756*(1-AG1756)*IFERROR(INDEX(계정대체기준!$F$20:$F$49,MATCH($N1756,계정대체기준!$A$20:$A$49,0)),1)))</f>
        <v/>
      </c>
      <c r="Z1756" s="94">
        <f>IF($A1756="",0,IF(AE1756="직접",IF(AF1756="신계약비",$P1756,0),$P1756*(1-AG1756)*IFERROR(INDEX(계정대체기준!$C$20:$C$49,MATCH($N1756,계정대체기준!$A$20:$A$49,0)),0)))</f>
        <v/>
      </c>
      <c r="AA1756" s="94">
        <f>IF($A1756="",0,IF(AE1756="직접",IF(OR(AF1756="유지비",AF1756="손해조사비"),$P1756,0),$P1756*(1-AG1756)*IFERROR(INDEX(계정대체기준!$D$20:$D$49,MATCH($N1756,계정대체기준!$A$20:$A$49,0)),0)))</f>
        <v/>
      </c>
      <c r="AB1756" s="94">
        <f>IF($A1756="",0,IF(AE1756="직접",IF(AF1756="수금비",$P1756,0),$P1756*(1-AG1756)*IFERROR(INDEX(계정대체기준!$E$20:$E$49,MATCH($N1756,계정대체기준!$A$20:$A$49,0)),0)))</f>
        <v/>
      </c>
      <c r="AC1756" s="9">
        <f>IF(AND($A1756&lt;&gt;"",M1756=설정!$C$20,Z1756&gt;0),Z1756+ROW()/1000000000,"")</f>
        <v/>
      </c>
      <c r="AD1756" s="94">
        <f>IF($A1756="",0,$P1756*AG1756)</f>
        <v/>
      </c>
      <c r="AE1756" s="64">
        <f>IF($A1756="","",IFERROR(INDEX(계정매핑!$E$5:$E$504,MATCH($F1756&amp;"",계정매핑!$A$5:$A$504,0))&amp;"","공통비"))</f>
        <v/>
      </c>
      <c r="AF1756" s="64">
        <f>IF($A1756="","",IF(AE1756="직접",IFERROR(INDEX(계정매핑!$F$5:$F$504,MATCH($F1756&amp;"",계정매핑!$A$5:$A$504,0))&amp;"","비귀속"),""))</f>
        <v/>
      </c>
      <c r="AG1756" s="96">
        <f>IF($A1756="",0,IF(AND(AE1756&lt;&gt;"직접",IFERROR(INDEX(계정매핑!$G$5:$G$504,MATCH($F1756&amp;"",계정매핑!$A$5:$A$504,0))&amp;"","")="유지비",COUNTIF(계정대체기준!$A$6:$A$15,$N1756)&gt;0),IFERROR(INDEX(계정대체기준!$E$6:$E$15,MATCH(VALUE($A1756&amp;""),계정대체기준!$D$6:$D$15,0)),0),0))</f>
        <v/>
      </c>
      <c r="AH1756" s="64">
        <f>IF($A1756="","",IF(AD1756=0,"",IF(OR(COUNTIF(계정대체기준!$A$77:$A$86,$N1756)&gt;0,ISNUMBER(MATCH($X1756,계정대체기준!$D$77:$D$86,0)),ISNUMBER(MATCH($F1756,계정대체기준!$D$77:$D$86,0))),"Y","N")))</f>
        <v/>
      </c>
    </row>
    <row r="1757">
      <c r="A1757" s="92" t="n">
        <v>2025</v>
      </c>
      <c r="B1757" s="92" t="n">
        <v>8</v>
      </c>
      <c r="C1757" s="92" t="inlineStr">
        <is>
          <t>5100001753</t>
        </is>
      </c>
      <c r="D1757" s="95" t="n">
        <v>45890</v>
      </c>
      <c r="E1757" s="92" t="inlineStr">
        <is>
          <t>KR</t>
        </is>
      </c>
      <c r="F1757" s="92" t="n">
        <v>62101000</v>
      </c>
      <c r="G1757" s="92" t="n">
        <v>1701</v>
      </c>
      <c r="H1757" s="93" t="n">
        <v>185000</v>
      </c>
      <c r="I1757" s="92" t="inlineStr">
        <is>
          <t>8월 국내출장 - L여행사</t>
        </is>
      </c>
      <c r="J1757" s="92" t="inlineStr">
        <is>
          <t>V10018</t>
        </is>
      </c>
      <c r="K1757" s="92" t="inlineStr">
        <is>
          <t>L여행사</t>
        </is>
      </c>
      <c r="M1757" s="9">
        <f>IF($A1757="","",VALUE($A1757&amp;"")*12+VALUE($B1757&amp;""))</f>
        <v/>
      </c>
      <c r="N1757" s="64">
        <f>IF($A1757="","",IFERROR(INDEX(부서매핑!$C$5:$C$504,MATCH($G1757&amp;"",부서매핑!$A$5:$A$504,0)),"미매핑"))</f>
        <v/>
      </c>
      <c r="O1757" s="9">
        <f>IF($A1757="","",N1757&amp;"|"&amp;$F1757)</f>
        <v/>
      </c>
      <c r="P1757" s="94">
        <f>IF($A1757="",0,$H1757*설정!$C$23)</f>
        <v/>
      </c>
      <c r="Q1757" s="64">
        <f>IF($A1757="","",IF(O1757&lt;&gt;원인분석!$C$9,"",IF(AND(M1757&gt;=원인분석!$C$10,M1757&lt;=원인분석!$C$11),"당기",IF(AND(M1757&gt;=원인분석!$C$12,M1757&lt;=원인분석!$C$13),"비교",""))))</f>
        <v/>
      </c>
      <c r="R1757" s="9">
        <f>IF(Q1757="","",$K1757&amp;"")</f>
        <v/>
      </c>
      <c r="S1757" s="9">
        <f>IF(Q1757="","",IF(MATCH(R1757,$R$5:$R$100000,0)=ROW()-4,ROW(),""))</f>
        <v/>
      </c>
      <c r="T1757" s="9">
        <f>IF(Q1757="당기",ABS(P1757)+ROW()/1000000000,"")</f>
        <v/>
      </c>
      <c r="U1757" s="9">
        <f>IF(Q1757="비교",ABS(P1757)+ROW()/1000000000,"")</f>
        <v/>
      </c>
      <c r="V1757" s="64">
        <f>IF($A1757="","",IF(COUNTIF(변동분석!$E$7:$E$506,O1757)&gt;0,"Y","N"))</f>
        <v/>
      </c>
      <c r="W1757" s="64">
        <f>IF($A1757="","",IFERROR(INDEX(계정매핑!$D$5:$D$504,MATCH($F1757&amp;"",계정매핑!$A$5:$A$504,0)),"미매핑"))</f>
        <v/>
      </c>
      <c r="X1757" s="9">
        <f>IF($A1757="","",$F1757&amp;"")</f>
        <v/>
      </c>
      <c r="Y1757" s="94">
        <f>IF($A1757="",0,IF(AE1757="직접",IF(AF1757="비귀속",$P1757,0),$P1757*(1-AG1757)*IFERROR(INDEX(계정대체기준!$F$20:$F$49,MATCH($N1757,계정대체기준!$A$20:$A$49,0)),1)))</f>
        <v/>
      </c>
      <c r="Z1757" s="94">
        <f>IF($A1757="",0,IF(AE1757="직접",IF(AF1757="신계약비",$P1757,0),$P1757*(1-AG1757)*IFERROR(INDEX(계정대체기준!$C$20:$C$49,MATCH($N1757,계정대체기준!$A$20:$A$49,0)),0)))</f>
        <v/>
      </c>
      <c r="AA1757" s="94">
        <f>IF($A1757="",0,IF(AE1757="직접",IF(OR(AF1757="유지비",AF1757="손해조사비"),$P1757,0),$P1757*(1-AG1757)*IFERROR(INDEX(계정대체기준!$D$20:$D$49,MATCH($N1757,계정대체기준!$A$20:$A$49,0)),0)))</f>
        <v/>
      </c>
      <c r="AB1757" s="94">
        <f>IF($A1757="",0,IF(AE1757="직접",IF(AF1757="수금비",$P1757,0),$P1757*(1-AG1757)*IFERROR(INDEX(계정대체기준!$E$20:$E$49,MATCH($N1757,계정대체기준!$A$20:$A$49,0)),0)))</f>
        <v/>
      </c>
      <c r="AC1757" s="9">
        <f>IF(AND($A1757&lt;&gt;"",M1757=설정!$C$20,Z1757&gt;0),Z1757+ROW()/1000000000,"")</f>
        <v/>
      </c>
      <c r="AD1757" s="94">
        <f>IF($A1757="",0,$P1757*AG1757)</f>
        <v/>
      </c>
      <c r="AE1757" s="64">
        <f>IF($A1757="","",IFERROR(INDEX(계정매핑!$E$5:$E$504,MATCH($F1757&amp;"",계정매핑!$A$5:$A$504,0))&amp;"","공통비"))</f>
        <v/>
      </c>
      <c r="AF1757" s="64">
        <f>IF($A1757="","",IF(AE1757="직접",IFERROR(INDEX(계정매핑!$F$5:$F$504,MATCH($F1757&amp;"",계정매핑!$A$5:$A$504,0))&amp;"","비귀속"),""))</f>
        <v/>
      </c>
      <c r="AG1757" s="96">
        <f>IF($A1757="",0,IF(AND(AE1757&lt;&gt;"직접",IFERROR(INDEX(계정매핑!$G$5:$G$504,MATCH($F1757&amp;"",계정매핑!$A$5:$A$504,0))&amp;"","")="유지비",COUNTIF(계정대체기준!$A$6:$A$15,$N1757)&gt;0),IFERROR(INDEX(계정대체기준!$E$6:$E$15,MATCH(VALUE($A1757&amp;""),계정대체기준!$D$6:$D$15,0)),0),0))</f>
        <v/>
      </c>
      <c r="AH1757" s="64">
        <f>IF($A1757="","",IF(AD1757=0,"",IF(OR(COUNTIF(계정대체기준!$A$77:$A$86,$N1757)&gt;0,ISNUMBER(MATCH($X1757,계정대체기준!$D$77:$D$86,0)),ISNUMBER(MATCH($F1757,계정대체기준!$D$77:$D$86,0))),"Y","N")))</f>
        <v/>
      </c>
    </row>
    <row r="1758">
      <c r="A1758" s="92" t="n">
        <v>2025</v>
      </c>
      <c r="B1758" s="92" t="n">
        <v>8</v>
      </c>
      <c r="C1758" s="92" t="inlineStr">
        <is>
          <t>5100001754</t>
        </is>
      </c>
      <c r="D1758" s="95" t="n">
        <v>45890</v>
      </c>
      <c r="E1758" s="92" t="inlineStr">
        <is>
          <t>KR</t>
        </is>
      </c>
      <c r="F1758" s="92" t="n">
        <v>62101000</v>
      </c>
      <c r="G1758" s="92" t="n">
        <v>1951</v>
      </c>
      <c r="H1758" s="93" t="n">
        <v>470000</v>
      </c>
      <c r="I1758" s="92" t="inlineStr">
        <is>
          <t>8월 국내출장 - L여행사</t>
        </is>
      </c>
      <c r="J1758" s="92" t="inlineStr">
        <is>
          <t>V10018</t>
        </is>
      </c>
      <c r="K1758" s="92" t="inlineStr">
        <is>
          <t>L여행사</t>
        </is>
      </c>
      <c r="M1758" s="9">
        <f>IF($A1758="","",VALUE($A1758&amp;"")*12+VALUE($B1758&amp;""))</f>
        <v/>
      </c>
      <c r="N1758" s="64">
        <f>IF($A1758="","",IFERROR(INDEX(부서매핑!$C$5:$C$504,MATCH($G1758&amp;"",부서매핑!$A$5:$A$504,0)),"미매핑"))</f>
        <v/>
      </c>
      <c r="O1758" s="9">
        <f>IF($A1758="","",N1758&amp;"|"&amp;$F1758)</f>
        <v/>
      </c>
      <c r="P1758" s="94">
        <f>IF($A1758="",0,$H1758*설정!$C$23)</f>
        <v/>
      </c>
      <c r="Q1758" s="64">
        <f>IF($A1758="","",IF(O1758&lt;&gt;원인분석!$C$9,"",IF(AND(M1758&gt;=원인분석!$C$10,M1758&lt;=원인분석!$C$11),"당기",IF(AND(M1758&gt;=원인분석!$C$12,M1758&lt;=원인분석!$C$13),"비교",""))))</f>
        <v/>
      </c>
      <c r="R1758" s="9">
        <f>IF(Q1758="","",$K1758&amp;"")</f>
        <v/>
      </c>
      <c r="S1758" s="9">
        <f>IF(Q1758="","",IF(MATCH(R1758,$R$5:$R$100000,0)=ROW()-4,ROW(),""))</f>
        <v/>
      </c>
      <c r="T1758" s="9">
        <f>IF(Q1758="당기",ABS(P1758)+ROW()/1000000000,"")</f>
        <v/>
      </c>
      <c r="U1758" s="9">
        <f>IF(Q1758="비교",ABS(P1758)+ROW()/1000000000,"")</f>
        <v/>
      </c>
      <c r="V1758" s="64">
        <f>IF($A1758="","",IF(COUNTIF(변동분석!$E$7:$E$506,O1758)&gt;0,"Y","N"))</f>
        <v/>
      </c>
      <c r="W1758" s="64">
        <f>IF($A1758="","",IFERROR(INDEX(계정매핑!$D$5:$D$504,MATCH($F1758&amp;"",계정매핑!$A$5:$A$504,0)),"미매핑"))</f>
        <v/>
      </c>
      <c r="X1758" s="9">
        <f>IF($A1758="","",$F1758&amp;"")</f>
        <v/>
      </c>
      <c r="Y1758" s="94">
        <f>IF($A1758="",0,IF(AE1758="직접",IF(AF1758="비귀속",$P1758,0),$P1758*(1-AG1758)*IFERROR(INDEX(계정대체기준!$F$20:$F$49,MATCH($N1758,계정대체기준!$A$20:$A$49,0)),1)))</f>
        <v/>
      </c>
      <c r="Z1758" s="94">
        <f>IF($A1758="",0,IF(AE1758="직접",IF(AF1758="신계약비",$P1758,0),$P1758*(1-AG1758)*IFERROR(INDEX(계정대체기준!$C$20:$C$49,MATCH($N1758,계정대체기준!$A$20:$A$49,0)),0)))</f>
        <v/>
      </c>
      <c r="AA1758" s="94">
        <f>IF($A1758="",0,IF(AE1758="직접",IF(OR(AF1758="유지비",AF1758="손해조사비"),$P1758,0),$P1758*(1-AG1758)*IFERROR(INDEX(계정대체기준!$D$20:$D$49,MATCH($N1758,계정대체기준!$A$20:$A$49,0)),0)))</f>
        <v/>
      </c>
      <c r="AB1758" s="94">
        <f>IF($A1758="",0,IF(AE1758="직접",IF(AF1758="수금비",$P1758,0),$P1758*(1-AG1758)*IFERROR(INDEX(계정대체기준!$E$20:$E$49,MATCH($N1758,계정대체기준!$A$20:$A$49,0)),0)))</f>
        <v/>
      </c>
      <c r="AC1758" s="9">
        <f>IF(AND($A1758&lt;&gt;"",M1758=설정!$C$20,Z1758&gt;0),Z1758+ROW()/1000000000,"")</f>
        <v/>
      </c>
      <c r="AD1758" s="94">
        <f>IF($A1758="",0,$P1758*AG1758)</f>
        <v/>
      </c>
      <c r="AE1758" s="64">
        <f>IF($A1758="","",IFERROR(INDEX(계정매핑!$E$5:$E$504,MATCH($F1758&amp;"",계정매핑!$A$5:$A$504,0))&amp;"","공통비"))</f>
        <v/>
      </c>
      <c r="AF1758" s="64">
        <f>IF($A1758="","",IF(AE1758="직접",IFERROR(INDEX(계정매핑!$F$5:$F$504,MATCH($F1758&amp;"",계정매핑!$A$5:$A$504,0))&amp;"","비귀속"),""))</f>
        <v/>
      </c>
      <c r="AG1758" s="96">
        <f>IF($A1758="",0,IF(AND(AE1758&lt;&gt;"직접",IFERROR(INDEX(계정매핑!$G$5:$G$504,MATCH($F1758&amp;"",계정매핑!$A$5:$A$504,0))&amp;"","")="유지비",COUNTIF(계정대체기준!$A$6:$A$15,$N1758)&gt;0),IFERROR(INDEX(계정대체기준!$E$6:$E$15,MATCH(VALUE($A1758&amp;""),계정대체기준!$D$6:$D$15,0)),0),0))</f>
        <v/>
      </c>
      <c r="AH1758" s="64">
        <f>IF($A1758="","",IF(AD1758=0,"",IF(OR(COUNTIF(계정대체기준!$A$77:$A$86,$N1758)&gt;0,ISNUMBER(MATCH($X1758,계정대체기준!$D$77:$D$86,0)),ISNUMBER(MATCH($F1758,계정대체기준!$D$77:$D$86,0))),"Y","N")))</f>
        <v/>
      </c>
    </row>
    <row r="1759">
      <c r="A1759" s="92" t="n">
        <v>2025</v>
      </c>
      <c r="B1759" s="92" t="n">
        <v>8</v>
      </c>
      <c r="C1759" s="92" t="inlineStr">
        <is>
          <t>5100001755</t>
        </is>
      </c>
      <c r="D1759" s="95" t="n">
        <v>45890</v>
      </c>
      <c r="E1759" s="92" t="inlineStr">
        <is>
          <t>KR</t>
        </is>
      </c>
      <c r="F1759" s="92" t="n">
        <v>62102000</v>
      </c>
      <c r="G1759" s="92" t="n">
        <v>1101</v>
      </c>
      <c r="H1759" s="93" t="n">
        <v>143000</v>
      </c>
      <c r="I1759" s="92" t="inlineStr">
        <is>
          <t>8월 해외출장 - N호텔</t>
        </is>
      </c>
      <c r="J1759" s="92" t="inlineStr">
        <is>
          <t>V10009</t>
        </is>
      </c>
      <c r="K1759" s="92" t="inlineStr">
        <is>
          <t>N호텔</t>
        </is>
      </c>
      <c r="M1759" s="9">
        <f>IF($A1759="","",VALUE($A1759&amp;"")*12+VALUE($B1759&amp;""))</f>
        <v/>
      </c>
      <c r="N1759" s="64">
        <f>IF($A1759="","",IFERROR(INDEX(부서매핑!$C$5:$C$504,MATCH($G1759&amp;"",부서매핑!$A$5:$A$504,0)),"미매핑"))</f>
        <v/>
      </c>
      <c r="O1759" s="9">
        <f>IF($A1759="","",N1759&amp;"|"&amp;$F1759)</f>
        <v/>
      </c>
      <c r="P1759" s="94">
        <f>IF($A1759="",0,$H1759*설정!$C$23)</f>
        <v/>
      </c>
      <c r="Q1759" s="64">
        <f>IF($A1759="","",IF(O1759&lt;&gt;원인분석!$C$9,"",IF(AND(M1759&gt;=원인분석!$C$10,M1759&lt;=원인분석!$C$11),"당기",IF(AND(M1759&gt;=원인분석!$C$12,M1759&lt;=원인분석!$C$13),"비교",""))))</f>
        <v/>
      </c>
      <c r="R1759" s="9">
        <f>IF(Q1759="","",$K1759&amp;"")</f>
        <v/>
      </c>
      <c r="S1759" s="9">
        <f>IF(Q1759="","",IF(MATCH(R1759,$R$5:$R$100000,0)=ROW()-4,ROW(),""))</f>
        <v/>
      </c>
      <c r="T1759" s="9">
        <f>IF(Q1759="당기",ABS(P1759)+ROW()/1000000000,"")</f>
        <v/>
      </c>
      <c r="U1759" s="9">
        <f>IF(Q1759="비교",ABS(P1759)+ROW()/1000000000,"")</f>
        <v/>
      </c>
      <c r="V1759" s="64">
        <f>IF($A1759="","",IF(COUNTIF(변동분석!$E$7:$E$506,O1759)&gt;0,"Y","N"))</f>
        <v/>
      </c>
      <c r="W1759" s="64">
        <f>IF($A1759="","",IFERROR(INDEX(계정매핑!$D$5:$D$504,MATCH($F1759&amp;"",계정매핑!$A$5:$A$504,0)),"미매핑"))</f>
        <v/>
      </c>
      <c r="X1759" s="9">
        <f>IF($A1759="","",$F1759&amp;"")</f>
        <v/>
      </c>
      <c r="Y1759" s="94">
        <f>IF($A1759="",0,IF(AE1759="직접",IF(AF1759="비귀속",$P1759,0),$P1759*(1-AG1759)*IFERROR(INDEX(계정대체기준!$F$20:$F$49,MATCH($N1759,계정대체기준!$A$20:$A$49,0)),1)))</f>
        <v/>
      </c>
      <c r="Z1759" s="94">
        <f>IF($A1759="",0,IF(AE1759="직접",IF(AF1759="신계약비",$P1759,0),$P1759*(1-AG1759)*IFERROR(INDEX(계정대체기준!$C$20:$C$49,MATCH($N1759,계정대체기준!$A$20:$A$49,0)),0)))</f>
        <v/>
      </c>
      <c r="AA1759" s="94">
        <f>IF($A1759="",0,IF(AE1759="직접",IF(OR(AF1759="유지비",AF1759="손해조사비"),$P1759,0),$P1759*(1-AG1759)*IFERROR(INDEX(계정대체기준!$D$20:$D$49,MATCH($N1759,계정대체기준!$A$20:$A$49,0)),0)))</f>
        <v/>
      </c>
      <c r="AB1759" s="94">
        <f>IF($A1759="",0,IF(AE1759="직접",IF(AF1759="수금비",$P1759,0),$P1759*(1-AG1759)*IFERROR(INDEX(계정대체기준!$E$20:$E$49,MATCH($N1759,계정대체기준!$A$20:$A$49,0)),0)))</f>
        <v/>
      </c>
      <c r="AC1759" s="9">
        <f>IF(AND($A1759&lt;&gt;"",M1759=설정!$C$20,Z1759&gt;0),Z1759+ROW()/1000000000,"")</f>
        <v/>
      </c>
      <c r="AD1759" s="94">
        <f>IF($A1759="",0,$P1759*AG1759)</f>
        <v/>
      </c>
      <c r="AE1759" s="64">
        <f>IF($A1759="","",IFERROR(INDEX(계정매핑!$E$5:$E$504,MATCH($F1759&amp;"",계정매핑!$A$5:$A$504,0))&amp;"","공통비"))</f>
        <v/>
      </c>
      <c r="AF1759" s="64">
        <f>IF($A1759="","",IF(AE1759="직접",IFERROR(INDEX(계정매핑!$F$5:$F$504,MATCH($F1759&amp;"",계정매핑!$A$5:$A$504,0))&amp;"","비귀속"),""))</f>
        <v/>
      </c>
      <c r="AG1759" s="96">
        <f>IF($A1759="",0,IF(AND(AE1759&lt;&gt;"직접",IFERROR(INDEX(계정매핑!$G$5:$G$504,MATCH($F1759&amp;"",계정매핑!$A$5:$A$504,0))&amp;"","")="유지비",COUNTIF(계정대체기준!$A$6:$A$15,$N1759)&gt;0),IFERROR(INDEX(계정대체기준!$E$6:$E$15,MATCH(VALUE($A1759&amp;""),계정대체기준!$D$6:$D$15,0)),0),0))</f>
        <v/>
      </c>
      <c r="AH1759" s="64">
        <f>IF($A1759="","",IF(AD1759=0,"",IF(OR(COUNTIF(계정대체기준!$A$77:$A$86,$N1759)&gt;0,ISNUMBER(MATCH($X1759,계정대체기준!$D$77:$D$86,0)),ISNUMBER(MATCH($F1759,계정대체기준!$D$77:$D$86,0))),"Y","N")))</f>
        <v/>
      </c>
    </row>
    <row r="1760">
      <c r="A1760" s="92" t="n">
        <v>2025</v>
      </c>
      <c r="B1760" s="92" t="n">
        <v>8</v>
      </c>
      <c r="C1760" s="92" t="inlineStr">
        <is>
          <t>5100001756</t>
        </is>
      </c>
      <c r="D1760" s="95" t="n">
        <v>45890</v>
      </c>
      <c r="E1760" s="92" t="inlineStr">
        <is>
          <t>KR</t>
        </is>
      </c>
      <c r="F1760" s="92" t="n">
        <v>62201000</v>
      </c>
      <c r="G1760" s="92" t="n">
        <v>1502</v>
      </c>
      <c r="H1760" s="93" t="n">
        <v>280000</v>
      </c>
      <c r="I1760" s="92" t="inlineStr">
        <is>
          <t>8월 통신요금 - O텔레콤</t>
        </is>
      </c>
      <c r="J1760" s="92" t="inlineStr">
        <is>
          <t>V10002</t>
        </is>
      </c>
      <c r="K1760" s="92" t="inlineStr">
        <is>
          <t>O텔레콤</t>
        </is>
      </c>
      <c r="M1760" s="9">
        <f>IF($A1760="","",VALUE($A1760&amp;"")*12+VALUE($B1760&amp;""))</f>
        <v/>
      </c>
      <c r="N1760" s="64">
        <f>IF($A1760="","",IFERROR(INDEX(부서매핑!$C$5:$C$504,MATCH($G1760&amp;"",부서매핑!$A$5:$A$504,0)),"미매핑"))</f>
        <v/>
      </c>
      <c r="O1760" s="9">
        <f>IF($A1760="","",N1760&amp;"|"&amp;$F1760)</f>
        <v/>
      </c>
      <c r="P1760" s="94">
        <f>IF($A1760="",0,$H1760*설정!$C$23)</f>
        <v/>
      </c>
      <c r="Q1760" s="64">
        <f>IF($A1760="","",IF(O1760&lt;&gt;원인분석!$C$9,"",IF(AND(M1760&gt;=원인분석!$C$10,M1760&lt;=원인분석!$C$11),"당기",IF(AND(M1760&gt;=원인분석!$C$12,M1760&lt;=원인분석!$C$13),"비교",""))))</f>
        <v/>
      </c>
      <c r="R1760" s="9">
        <f>IF(Q1760="","",$K1760&amp;"")</f>
        <v/>
      </c>
      <c r="S1760" s="9">
        <f>IF(Q1760="","",IF(MATCH(R1760,$R$5:$R$100000,0)=ROW()-4,ROW(),""))</f>
        <v/>
      </c>
      <c r="T1760" s="9">
        <f>IF(Q1760="당기",ABS(P1760)+ROW()/1000000000,"")</f>
        <v/>
      </c>
      <c r="U1760" s="9">
        <f>IF(Q1760="비교",ABS(P1760)+ROW()/1000000000,"")</f>
        <v/>
      </c>
      <c r="V1760" s="64">
        <f>IF($A1760="","",IF(COUNTIF(변동분석!$E$7:$E$506,O1760)&gt;0,"Y","N"))</f>
        <v/>
      </c>
      <c r="W1760" s="64">
        <f>IF($A1760="","",IFERROR(INDEX(계정매핑!$D$5:$D$504,MATCH($F1760&amp;"",계정매핑!$A$5:$A$504,0)),"미매핑"))</f>
        <v/>
      </c>
      <c r="X1760" s="9">
        <f>IF($A1760="","",$F1760&amp;"")</f>
        <v/>
      </c>
      <c r="Y1760" s="94">
        <f>IF($A1760="",0,IF(AE1760="직접",IF(AF1760="비귀속",$P1760,0),$P1760*(1-AG1760)*IFERROR(INDEX(계정대체기준!$F$20:$F$49,MATCH($N1760,계정대체기준!$A$20:$A$49,0)),1)))</f>
        <v/>
      </c>
      <c r="Z1760" s="94">
        <f>IF($A1760="",0,IF(AE1760="직접",IF(AF1760="신계약비",$P1760,0),$P1760*(1-AG1760)*IFERROR(INDEX(계정대체기준!$C$20:$C$49,MATCH($N1760,계정대체기준!$A$20:$A$49,0)),0)))</f>
        <v/>
      </c>
      <c r="AA1760" s="94">
        <f>IF($A1760="",0,IF(AE1760="직접",IF(OR(AF1760="유지비",AF1760="손해조사비"),$P1760,0),$P1760*(1-AG1760)*IFERROR(INDEX(계정대체기준!$D$20:$D$49,MATCH($N1760,계정대체기준!$A$20:$A$49,0)),0)))</f>
        <v/>
      </c>
      <c r="AB1760" s="94">
        <f>IF($A1760="",0,IF(AE1760="직접",IF(AF1760="수금비",$P1760,0),$P1760*(1-AG1760)*IFERROR(INDEX(계정대체기준!$E$20:$E$49,MATCH($N1760,계정대체기준!$A$20:$A$49,0)),0)))</f>
        <v/>
      </c>
      <c r="AC1760" s="9">
        <f>IF(AND($A1760&lt;&gt;"",M1760=설정!$C$20,Z1760&gt;0),Z1760+ROW()/1000000000,"")</f>
        <v/>
      </c>
      <c r="AD1760" s="94">
        <f>IF($A1760="",0,$P1760*AG1760)</f>
        <v/>
      </c>
      <c r="AE1760" s="64">
        <f>IF($A1760="","",IFERROR(INDEX(계정매핑!$E$5:$E$504,MATCH($F1760&amp;"",계정매핑!$A$5:$A$504,0))&amp;"","공통비"))</f>
        <v/>
      </c>
      <c r="AF1760" s="64">
        <f>IF($A1760="","",IF(AE1760="직접",IFERROR(INDEX(계정매핑!$F$5:$F$504,MATCH($F1760&amp;"",계정매핑!$A$5:$A$504,0))&amp;"","비귀속"),""))</f>
        <v/>
      </c>
      <c r="AG1760" s="96">
        <f>IF($A1760="",0,IF(AND(AE1760&lt;&gt;"직접",IFERROR(INDEX(계정매핑!$G$5:$G$504,MATCH($F1760&amp;"",계정매핑!$A$5:$A$504,0))&amp;"","")="유지비",COUNTIF(계정대체기준!$A$6:$A$15,$N1760)&gt;0),IFERROR(INDEX(계정대체기준!$E$6:$E$15,MATCH(VALUE($A1760&amp;""),계정대체기준!$D$6:$D$15,0)),0),0))</f>
        <v/>
      </c>
      <c r="AH1760" s="64">
        <f>IF($A1760="","",IF(AD1760=0,"",IF(OR(COUNTIF(계정대체기준!$A$77:$A$86,$N1760)&gt;0,ISNUMBER(MATCH($X1760,계정대체기준!$D$77:$D$86,0)),ISNUMBER(MATCH($F1760,계정대체기준!$D$77:$D$86,0))),"Y","N")))</f>
        <v/>
      </c>
    </row>
    <row r="1761">
      <c r="A1761" s="92" t="n">
        <v>2025</v>
      </c>
      <c r="B1761" s="92" t="n">
        <v>8</v>
      </c>
      <c r="C1761" s="92" t="inlineStr">
        <is>
          <t>5100001757</t>
        </is>
      </c>
      <c r="D1761" s="95" t="n">
        <v>45890</v>
      </c>
      <c r="E1761" s="92" t="inlineStr">
        <is>
          <t>KR</t>
        </is>
      </c>
      <c r="F1761" s="92" t="n">
        <v>62201000</v>
      </c>
      <c r="G1761" s="92" t="n">
        <v>1601</v>
      </c>
      <c r="H1761" s="93" t="n">
        <v>752000</v>
      </c>
      <c r="I1761" s="92" t="inlineStr">
        <is>
          <t>8월 통신요금 - P통신</t>
        </is>
      </c>
      <c r="J1761" s="92" t="inlineStr">
        <is>
          <t>V10014</t>
        </is>
      </c>
      <c r="K1761" s="92" t="inlineStr">
        <is>
          <t>P통신</t>
        </is>
      </c>
      <c r="M1761" s="9">
        <f>IF($A1761="","",VALUE($A1761&amp;"")*12+VALUE($B1761&amp;""))</f>
        <v/>
      </c>
      <c r="N1761" s="64">
        <f>IF($A1761="","",IFERROR(INDEX(부서매핑!$C$5:$C$504,MATCH($G1761&amp;"",부서매핑!$A$5:$A$504,0)),"미매핑"))</f>
        <v/>
      </c>
      <c r="O1761" s="9">
        <f>IF($A1761="","",N1761&amp;"|"&amp;$F1761)</f>
        <v/>
      </c>
      <c r="P1761" s="94">
        <f>IF($A1761="",0,$H1761*설정!$C$23)</f>
        <v/>
      </c>
      <c r="Q1761" s="64">
        <f>IF($A1761="","",IF(O1761&lt;&gt;원인분석!$C$9,"",IF(AND(M1761&gt;=원인분석!$C$10,M1761&lt;=원인분석!$C$11),"당기",IF(AND(M1761&gt;=원인분석!$C$12,M1761&lt;=원인분석!$C$13),"비교",""))))</f>
        <v/>
      </c>
      <c r="R1761" s="9">
        <f>IF(Q1761="","",$K1761&amp;"")</f>
        <v/>
      </c>
      <c r="S1761" s="9">
        <f>IF(Q1761="","",IF(MATCH(R1761,$R$5:$R$100000,0)=ROW()-4,ROW(),""))</f>
        <v/>
      </c>
      <c r="T1761" s="9">
        <f>IF(Q1761="당기",ABS(P1761)+ROW()/1000000000,"")</f>
        <v/>
      </c>
      <c r="U1761" s="9">
        <f>IF(Q1761="비교",ABS(P1761)+ROW()/1000000000,"")</f>
        <v/>
      </c>
      <c r="V1761" s="64">
        <f>IF($A1761="","",IF(COUNTIF(변동분석!$E$7:$E$506,O1761)&gt;0,"Y","N"))</f>
        <v/>
      </c>
      <c r="W1761" s="64">
        <f>IF($A1761="","",IFERROR(INDEX(계정매핑!$D$5:$D$504,MATCH($F1761&amp;"",계정매핑!$A$5:$A$504,0)),"미매핑"))</f>
        <v/>
      </c>
      <c r="X1761" s="9">
        <f>IF($A1761="","",$F1761&amp;"")</f>
        <v/>
      </c>
      <c r="Y1761" s="94">
        <f>IF($A1761="",0,IF(AE1761="직접",IF(AF1761="비귀속",$P1761,0),$P1761*(1-AG1761)*IFERROR(INDEX(계정대체기준!$F$20:$F$49,MATCH($N1761,계정대체기준!$A$20:$A$49,0)),1)))</f>
        <v/>
      </c>
      <c r="Z1761" s="94">
        <f>IF($A1761="",0,IF(AE1761="직접",IF(AF1761="신계약비",$P1761,0),$P1761*(1-AG1761)*IFERROR(INDEX(계정대체기준!$C$20:$C$49,MATCH($N1761,계정대체기준!$A$20:$A$49,0)),0)))</f>
        <v/>
      </c>
      <c r="AA1761" s="94">
        <f>IF($A1761="",0,IF(AE1761="직접",IF(OR(AF1761="유지비",AF1761="손해조사비"),$P1761,0),$P1761*(1-AG1761)*IFERROR(INDEX(계정대체기준!$D$20:$D$49,MATCH($N1761,계정대체기준!$A$20:$A$49,0)),0)))</f>
        <v/>
      </c>
      <c r="AB1761" s="94">
        <f>IF($A1761="",0,IF(AE1761="직접",IF(AF1761="수금비",$P1761,0),$P1761*(1-AG1761)*IFERROR(INDEX(계정대체기준!$E$20:$E$49,MATCH($N1761,계정대체기준!$A$20:$A$49,0)),0)))</f>
        <v/>
      </c>
      <c r="AC1761" s="9">
        <f>IF(AND($A1761&lt;&gt;"",M1761=설정!$C$20,Z1761&gt;0),Z1761+ROW()/1000000000,"")</f>
        <v/>
      </c>
      <c r="AD1761" s="94">
        <f>IF($A1761="",0,$P1761*AG1761)</f>
        <v/>
      </c>
      <c r="AE1761" s="64">
        <f>IF($A1761="","",IFERROR(INDEX(계정매핑!$E$5:$E$504,MATCH($F1761&amp;"",계정매핑!$A$5:$A$504,0))&amp;"","공통비"))</f>
        <v/>
      </c>
      <c r="AF1761" s="64">
        <f>IF($A1761="","",IF(AE1761="직접",IFERROR(INDEX(계정매핑!$F$5:$F$504,MATCH($F1761&amp;"",계정매핑!$A$5:$A$504,0))&amp;"","비귀속"),""))</f>
        <v/>
      </c>
      <c r="AG1761" s="96">
        <f>IF($A1761="",0,IF(AND(AE1761&lt;&gt;"직접",IFERROR(INDEX(계정매핑!$G$5:$G$504,MATCH($F1761&amp;"",계정매핑!$A$5:$A$504,0))&amp;"","")="유지비",COUNTIF(계정대체기준!$A$6:$A$15,$N1761)&gt;0),IFERROR(INDEX(계정대체기준!$E$6:$E$15,MATCH(VALUE($A1761&amp;""),계정대체기준!$D$6:$D$15,0)),0),0))</f>
        <v/>
      </c>
      <c r="AH1761" s="64">
        <f>IF($A1761="","",IF(AD1761=0,"",IF(OR(COUNTIF(계정대체기준!$A$77:$A$86,$N1761)&gt;0,ISNUMBER(MATCH($X1761,계정대체기준!$D$77:$D$86,0)),ISNUMBER(MATCH($F1761,계정대체기준!$D$77:$D$86,0))),"Y","N")))</f>
        <v/>
      </c>
    </row>
    <row r="1762">
      <c r="A1762" s="92" t="n">
        <v>2025</v>
      </c>
      <c r="B1762" s="92" t="n">
        <v>8</v>
      </c>
      <c r="C1762" s="92" t="inlineStr">
        <is>
          <t>5100001758</t>
        </is>
      </c>
      <c r="D1762" s="95" t="n">
        <v>45890</v>
      </c>
      <c r="E1762" s="92" t="inlineStr">
        <is>
          <t>KR</t>
        </is>
      </c>
      <c r="F1762" s="92" t="n">
        <v>62401000</v>
      </c>
      <c r="G1762" s="92" t="n">
        <v>1501</v>
      </c>
      <c r="H1762" s="93" t="n">
        <v>1510000</v>
      </c>
      <c r="I1762" s="92" t="inlineStr">
        <is>
          <t>8월 인쇄물 제작 - S출판</t>
        </is>
      </c>
      <c r="J1762" s="92" t="inlineStr">
        <is>
          <t>V10015</t>
        </is>
      </c>
      <c r="K1762" s="92" t="inlineStr">
        <is>
          <t>S출판</t>
        </is>
      </c>
      <c r="M1762" s="9">
        <f>IF($A1762="","",VALUE($A1762&amp;"")*12+VALUE($B1762&amp;""))</f>
        <v/>
      </c>
      <c r="N1762" s="64">
        <f>IF($A1762="","",IFERROR(INDEX(부서매핑!$C$5:$C$504,MATCH($G1762&amp;"",부서매핑!$A$5:$A$504,0)),"미매핑"))</f>
        <v/>
      </c>
      <c r="O1762" s="9">
        <f>IF($A1762="","",N1762&amp;"|"&amp;$F1762)</f>
        <v/>
      </c>
      <c r="P1762" s="94">
        <f>IF($A1762="",0,$H1762*설정!$C$23)</f>
        <v/>
      </c>
      <c r="Q1762" s="64">
        <f>IF($A1762="","",IF(O1762&lt;&gt;원인분석!$C$9,"",IF(AND(M1762&gt;=원인분석!$C$10,M1762&lt;=원인분석!$C$11),"당기",IF(AND(M1762&gt;=원인분석!$C$12,M1762&lt;=원인분석!$C$13),"비교",""))))</f>
        <v/>
      </c>
      <c r="R1762" s="9">
        <f>IF(Q1762="","",$K1762&amp;"")</f>
        <v/>
      </c>
      <c r="S1762" s="9">
        <f>IF(Q1762="","",IF(MATCH(R1762,$R$5:$R$100000,0)=ROW()-4,ROW(),""))</f>
        <v/>
      </c>
      <c r="T1762" s="9">
        <f>IF(Q1762="당기",ABS(P1762)+ROW()/1000000000,"")</f>
        <v/>
      </c>
      <c r="U1762" s="9">
        <f>IF(Q1762="비교",ABS(P1762)+ROW()/1000000000,"")</f>
        <v/>
      </c>
      <c r="V1762" s="64">
        <f>IF($A1762="","",IF(COUNTIF(변동분석!$E$7:$E$506,O1762)&gt;0,"Y","N"))</f>
        <v/>
      </c>
      <c r="W1762" s="64">
        <f>IF($A1762="","",IFERROR(INDEX(계정매핑!$D$5:$D$504,MATCH($F1762&amp;"",계정매핑!$A$5:$A$504,0)),"미매핑"))</f>
        <v/>
      </c>
      <c r="X1762" s="9">
        <f>IF($A1762="","",$F1762&amp;"")</f>
        <v/>
      </c>
      <c r="Y1762" s="94">
        <f>IF($A1762="",0,IF(AE1762="직접",IF(AF1762="비귀속",$P1762,0),$P1762*(1-AG1762)*IFERROR(INDEX(계정대체기준!$F$20:$F$49,MATCH($N1762,계정대체기준!$A$20:$A$49,0)),1)))</f>
        <v/>
      </c>
      <c r="Z1762" s="94">
        <f>IF($A1762="",0,IF(AE1762="직접",IF(AF1762="신계약비",$P1762,0),$P1762*(1-AG1762)*IFERROR(INDEX(계정대체기준!$C$20:$C$49,MATCH($N1762,계정대체기준!$A$20:$A$49,0)),0)))</f>
        <v/>
      </c>
      <c r="AA1762" s="94">
        <f>IF($A1762="",0,IF(AE1762="직접",IF(OR(AF1762="유지비",AF1762="손해조사비"),$P1762,0),$P1762*(1-AG1762)*IFERROR(INDEX(계정대체기준!$D$20:$D$49,MATCH($N1762,계정대체기준!$A$20:$A$49,0)),0)))</f>
        <v/>
      </c>
      <c r="AB1762" s="94">
        <f>IF($A1762="",0,IF(AE1762="직접",IF(AF1762="수금비",$P1762,0),$P1762*(1-AG1762)*IFERROR(INDEX(계정대체기준!$E$20:$E$49,MATCH($N1762,계정대체기준!$A$20:$A$49,0)),0)))</f>
        <v/>
      </c>
      <c r="AC1762" s="9">
        <f>IF(AND($A1762&lt;&gt;"",M1762=설정!$C$20,Z1762&gt;0),Z1762+ROW()/1000000000,"")</f>
        <v/>
      </c>
      <c r="AD1762" s="94">
        <f>IF($A1762="",0,$P1762*AG1762)</f>
        <v/>
      </c>
      <c r="AE1762" s="64">
        <f>IF($A1762="","",IFERROR(INDEX(계정매핑!$E$5:$E$504,MATCH($F1762&amp;"",계정매핑!$A$5:$A$504,0))&amp;"","공통비"))</f>
        <v/>
      </c>
      <c r="AF1762" s="64">
        <f>IF($A1762="","",IF(AE1762="직접",IFERROR(INDEX(계정매핑!$F$5:$F$504,MATCH($F1762&amp;"",계정매핑!$A$5:$A$504,0))&amp;"","비귀속"),""))</f>
        <v/>
      </c>
      <c r="AG1762" s="96">
        <f>IF($A1762="",0,IF(AND(AE1762&lt;&gt;"직접",IFERROR(INDEX(계정매핑!$G$5:$G$504,MATCH($F1762&amp;"",계정매핑!$A$5:$A$504,0))&amp;"","")="유지비",COUNTIF(계정대체기준!$A$6:$A$15,$N1762)&gt;0),IFERROR(INDEX(계정대체기준!$E$6:$E$15,MATCH(VALUE($A1762&amp;""),계정대체기준!$D$6:$D$15,0)),0),0))</f>
        <v/>
      </c>
      <c r="AH1762" s="64">
        <f>IF($A1762="","",IF(AD1762=0,"",IF(OR(COUNTIF(계정대체기준!$A$77:$A$86,$N1762)&gt;0,ISNUMBER(MATCH($X1762,계정대체기준!$D$77:$D$86,0)),ISNUMBER(MATCH($F1762,계정대체기준!$D$77:$D$86,0))),"Y","N")))</f>
        <v/>
      </c>
    </row>
    <row r="1763">
      <c r="A1763" s="92" t="n">
        <v>2025</v>
      </c>
      <c r="B1763" s="92" t="n">
        <v>8</v>
      </c>
      <c r="C1763" s="92" t="inlineStr">
        <is>
          <t>5100001759</t>
        </is>
      </c>
      <c r="D1763" s="95" t="n">
        <v>45890</v>
      </c>
      <c r="E1763" s="92" t="inlineStr">
        <is>
          <t>KR</t>
        </is>
      </c>
      <c r="F1763" s="92" t="n">
        <v>62501000</v>
      </c>
      <c r="G1763" s="92" t="n">
        <v>1801</v>
      </c>
      <c r="H1763" s="93" t="n">
        <v>94000</v>
      </c>
      <c r="I1763" s="92" t="inlineStr">
        <is>
          <t>8월 회의 다과 - T케이터링</t>
        </is>
      </c>
      <c r="J1763" s="92" t="inlineStr">
        <is>
          <t>V10005</t>
        </is>
      </c>
      <c r="K1763" s="92" t="inlineStr">
        <is>
          <t>T케이터링</t>
        </is>
      </c>
      <c r="M1763" s="9">
        <f>IF($A1763="","",VALUE($A1763&amp;"")*12+VALUE($B1763&amp;""))</f>
        <v/>
      </c>
      <c r="N1763" s="64">
        <f>IF($A1763="","",IFERROR(INDEX(부서매핑!$C$5:$C$504,MATCH($G1763&amp;"",부서매핑!$A$5:$A$504,0)),"미매핑"))</f>
        <v/>
      </c>
      <c r="O1763" s="9">
        <f>IF($A1763="","",N1763&amp;"|"&amp;$F1763)</f>
        <v/>
      </c>
      <c r="P1763" s="94">
        <f>IF($A1763="",0,$H1763*설정!$C$23)</f>
        <v/>
      </c>
      <c r="Q1763" s="64">
        <f>IF($A1763="","",IF(O1763&lt;&gt;원인분석!$C$9,"",IF(AND(M1763&gt;=원인분석!$C$10,M1763&lt;=원인분석!$C$11),"당기",IF(AND(M1763&gt;=원인분석!$C$12,M1763&lt;=원인분석!$C$13),"비교",""))))</f>
        <v/>
      </c>
      <c r="R1763" s="9">
        <f>IF(Q1763="","",$K1763&amp;"")</f>
        <v/>
      </c>
      <c r="S1763" s="9">
        <f>IF(Q1763="","",IF(MATCH(R1763,$R$5:$R$100000,0)=ROW()-4,ROW(),""))</f>
        <v/>
      </c>
      <c r="T1763" s="9">
        <f>IF(Q1763="당기",ABS(P1763)+ROW()/1000000000,"")</f>
        <v/>
      </c>
      <c r="U1763" s="9">
        <f>IF(Q1763="비교",ABS(P1763)+ROW()/1000000000,"")</f>
        <v/>
      </c>
      <c r="V1763" s="64">
        <f>IF($A1763="","",IF(COUNTIF(변동분석!$E$7:$E$506,O1763)&gt;0,"Y","N"))</f>
        <v/>
      </c>
      <c r="W1763" s="64">
        <f>IF($A1763="","",IFERROR(INDEX(계정매핑!$D$5:$D$504,MATCH($F1763&amp;"",계정매핑!$A$5:$A$504,0)),"미매핑"))</f>
        <v/>
      </c>
      <c r="X1763" s="9">
        <f>IF($A1763="","",$F1763&amp;"")</f>
        <v/>
      </c>
      <c r="Y1763" s="94">
        <f>IF($A1763="",0,IF(AE1763="직접",IF(AF1763="비귀속",$P1763,0),$P1763*(1-AG1763)*IFERROR(INDEX(계정대체기준!$F$20:$F$49,MATCH($N1763,계정대체기준!$A$20:$A$49,0)),1)))</f>
        <v/>
      </c>
      <c r="Z1763" s="94">
        <f>IF($A1763="",0,IF(AE1763="직접",IF(AF1763="신계약비",$P1763,0),$P1763*(1-AG1763)*IFERROR(INDEX(계정대체기준!$C$20:$C$49,MATCH($N1763,계정대체기준!$A$20:$A$49,0)),0)))</f>
        <v/>
      </c>
      <c r="AA1763" s="94">
        <f>IF($A1763="",0,IF(AE1763="직접",IF(OR(AF1763="유지비",AF1763="손해조사비"),$P1763,0),$P1763*(1-AG1763)*IFERROR(INDEX(계정대체기준!$D$20:$D$49,MATCH($N1763,계정대체기준!$A$20:$A$49,0)),0)))</f>
        <v/>
      </c>
      <c r="AB1763" s="94">
        <f>IF($A1763="",0,IF(AE1763="직접",IF(AF1763="수금비",$P1763,0),$P1763*(1-AG1763)*IFERROR(INDEX(계정대체기준!$E$20:$E$49,MATCH($N1763,계정대체기준!$A$20:$A$49,0)),0)))</f>
        <v/>
      </c>
      <c r="AC1763" s="9">
        <f>IF(AND($A1763&lt;&gt;"",M1763=설정!$C$20,Z1763&gt;0),Z1763+ROW()/1000000000,"")</f>
        <v/>
      </c>
      <c r="AD1763" s="94">
        <f>IF($A1763="",0,$P1763*AG1763)</f>
        <v/>
      </c>
      <c r="AE1763" s="64">
        <f>IF($A1763="","",IFERROR(INDEX(계정매핑!$E$5:$E$504,MATCH($F1763&amp;"",계정매핑!$A$5:$A$504,0))&amp;"","공통비"))</f>
        <v/>
      </c>
      <c r="AF1763" s="64">
        <f>IF($A1763="","",IF(AE1763="직접",IFERROR(INDEX(계정매핑!$F$5:$F$504,MATCH($F1763&amp;"",계정매핑!$A$5:$A$504,0))&amp;"","비귀속"),""))</f>
        <v/>
      </c>
      <c r="AG1763" s="96">
        <f>IF($A1763="",0,IF(AND(AE1763&lt;&gt;"직접",IFERROR(INDEX(계정매핑!$G$5:$G$504,MATCH($F1763&amp;"",계정매핑!$A$5:$A$504,0))&amp;"","")="유지비",COUNTIF(계정대체기준!$A$6:$A$15,$N1763)&gt;0),IFERROR(INDEX(계정대체기준!$E$6:$E$15,MATCH(VALUE($A1763&amp;""),계정대체기준!$D$6:$D$15,0)),0),0))</f>
        <v/>
      </c>
      <c r="AH1763" s="64">
        <f>IF($A1763="","",IF(AD1763=0,"",IF(OR(COUNTIF(계정대체기준!$A$77:$A$86,$N1763)&gt;0,ISNUMBER(MATCH($X1763,계정대체기준!$D$77:$D$86,0)),ISNUMBER(MATCH($F1763,계정대체기준!$D$77:$D$86,0))),"Y","N")))</f>
        <v/>
      </c>
    </row>
    <row r="1764">
      <c r="A1764" s="92" t="n">
        <v>2025</v>
      </c>
      <c r="B1764" s="92" t="n">
        <v>8</v>
      </c>
      <c r="C1764" s="92" t="inlineStr">
        <is>
          <t>5100001760</t>
        </is>
      </c>
      <c r="D1764" s="95" t="n">
        <v>45890</v>
      </c>
      <c r="E1764" s="92" t="inlineStr">
        <is>
          <t>KR</t>
        </is>
      </c>
      <c r="F1764" s="92" t="n">
        <v>62601000</v>
      </c>
      <c r="G1764" s="92" t="n">
        <v>1101</v>
      </c>
      <c r="H1764" s="93" t="n">
        <v>2870000</v>
      </c>
      <c r="I1764" s="92" t="inlineStr">
        <is>
          <t>8월 업무추진 - (법인카드)</t>
        </is>
      </c>
      <c r="J1764" s="92" t="inlineStr">
        <is>
          <t>V10010</t>
        </is>
      </c>
      <c r="K1764" s="92" t="inlineStr">
        <is>
          <t>(법인카드)</t>
        </is>
      </c>
      <c r="M1764" s="9">
        <f>IF($A1764="","",VALUE($A1764&amp;"")*12+VALUE($B1764&amp;""))</f>
        <v/>
      </c>
      <c r="N1764" s="64">
        <f>IF($A1764="","",IFERROR(INDEX(부서매핑!$C$5:$C$504,MATCH($G1764&amp;"",부서매핑!$A$5:$A$504,0)),"미매핑"))</f>
        <v/>
      </c>
      <c r="O1764" s="9">
        <f>IF($A1764="","",N1764&amp;"|"&amp;$F1764)</f>
        <v/>
      </c>
      <c r="P1764" s="94">
        <f>IF($A1764="",0,$H1764*설정!$C$23)</f>
        <v/>
      </c>
      <c r="Q1764" s="64">
        <f>IF($A1764="","",IF(O1764&lt;&gt;원인분석!$C$9,"",IF(AND(M1764&gt;=원인분석!$C$10,M1764&lt;=원인분석!$C$11),"당기",IF(AND(M1764&gt;=원인분석!$C$12,M1764&lt;=원인분석!$C$13),"비교",""))))</f>
        <v/>
      </c>
      <c r="R1764" s="9">
        <f>IF(Q1764="","",$K1764&amp;"")</f>
        <v/>
      </c>
      <c r="S1764" s="9">
        <f>IF(Q1764="","",IF(MATCH(R1764,$R$5:$R$100000,0)=ROW()-4,ROW(),""))</f>
        <v/>
      </c>
      <c r="T1764" s="9">
        <f>IF(Q1764="당기",ABS(P1764)+ROW()/1000000000,"")</f>
        <v/>
      </c>
      <c r="U1764" s="9">
        <f>IF(Q1764="비교",ABS(P1764)+ROW()/1000000000,"")</f>
        <v/>
      </c>
      <c r="V1764" s="64">
        <f>IF($A1764="","",IF(COUNTIF(변동분석!$E$7:$E$506,O1764)&gt;0,"Y","N"))</f>
        <v/>
      </c>
      <c r="W1764" s="64">
        <f>IF($A1764="","",IFERROR(INDEX(계정매핑!$D$5:$D$504,MATCH($F1764&amp;"",계정매핑!$A$5:$A$504,0)),"미매핑"))</f>
        <v/>
      </c>
      <c r="X1764" s="9">
        <f>IF($A1764="","",$F1764&amp;"")</f>
        <v/>
      </c>
      <c r="Y1764" s="94">
        <f>IF($A1764="",0,IF(AE1764="직접",IF(AF1764="비귀속",$P1764,0),$P1764*(1-AG1764)*IFERROR(INDEX(계정대체기준!$F$20:$F$49,MATCH($N1764,계정대체기준!$A$20:$A$49,0)),1)))</f>
        <v/>
      </c>
      <c r="Z1764" s="94">
        <f>IF($A1764="",0,IF(AE1764="직접",IF(AF1764="신계약비",$P1764,0),$P1764*(1-AG1764)*IFERROR(INDEX(계정대체기준!$C$20:$C$49,MATCH($N1764,계정대체기준!$A$20:$A$49,0)),0)))</f>
        <v/>
      </c>
      <c r="AA1764" s="94">
        <f>IF($A1764="",0,IF(AE1764="직접",IF(OR(AF1764="유지비",AF1764="손해조사비"),$P1764,0),$P1764*(1-AG1764)*IFERROR(INDEX(계정대체기준!$D$20:$D$49,MATCH($N1764,계정대체기준!$A$20:$A$49,0)),0)))</f>
        <v/>
      </c>
      <c r="AB1764" s="94">
        <f>IF($A1764="",0,IF(AE1764="직접",IF(AF1764="수금비",$P1764,0),$P1764*(1-AG1764)*IFERROR(INDEX(계정대체기준!$E$20:$E$49,MATCH($N1764,계정대체기준!$A$20:$A$49,0)),0)))</f>
        <v/>
      </c>
      <c r="AC1764" s="9">
        <f>IF(AND($A1764&lt;&gt;"",M1764=설정!$C$20,Z1764&gt;0),Z1764+ROW()/1000000000,"")</f>
        <v/>
      </c>
      <c r="AD1764" s="94">
        <f>IF($A1764="",0,$P1764*AG1764)</f>
        <v/>
      </c>
      <c r="AE1764" s="64">
        <f>IF($A1764="","",IFERROR(INDEX(계정매핑!$E$5:$E$504,MATCH($F1764&amp;"",계정매핑!$A$5:$A$504,0))&amp;"","공통비"))</f>
        <v/>
      </c>
      <c r="AF1764" s="64">
        <f>IF($A1764="","",IF(AE1764="직접",IFERROR(INDEX(계정매핑!$F$5:$F$504,MATCH($F1764&amp;"",계정매핑!$A$5:$A$504,0))&amp;"","비귀속"),""))</f>
        <v/>
      </c>
      <c r="AG1764" s="96">
        <f>IF($A1764="",0,IF(AND(AE1764&lt;&gt;"직접",IFERROR(INDEX(계정매핑!$G$5:$G$504,MATCH($F1764&amp;"",계정매핑!$A$5:$A$504,0))&amp;"","")="유지비",COUNTIF(계정대체기준!$A$6:$A$15,$N1764)&gt;0),IFERROR(INDEX(계정대체기준!$E$6:$E$15,MATCH(VALUE($A1764&amp;""),계정대체기준!$D$6:$D$15,0)),0),0))</f>
        <v/>
      </c>
      <c r="AH1764" s="64">
        <f>IF($A1764="","",IF(AD1764=0,"",IF(OR(COUNTIF(계정대체기준!$A$77:$A$86,$N1764)&gt;0,ISNUMBER(MATCH($X1764,계정대체기준!$D$77:$D$86,0)),ISNUMBER(MATCH($F1764,계정대체기준!$D$77:$D$86,0))),"Y","N")))</f>
        <v/>
      </c>
    </row>
    <row r="1765">
      <c r="A1765" s="92" t="n">
        <v>2025</v>
      </c>
      <c r="B1765" s="92" t="n">
        <v>8</v>
      </c>
      <c r="C1765" s="92" t="inlineStr">
        <is>
          <t>5100001761</t>
        </is>
      </c>
      <c r="D1765" s="95" t="n">
        <v>45890</v>
      </c>
      <c r="E1765" s="92" t="inlineStr">
        <is>
          <t>KR</t>
        </is>
      </c>
      <c r="F1765" s="92" t="n">
        <v>62601000</v>
      </c>
      <c r="G1765" s="92" t="n">
        <v>1502</v>
      </c>
      <c r="H1765" s="93" t="n">
        <v>2521000</v>
      </c>
      <c r="I1765" s="92" t="inlineStr">
        <is>
          <t>8월 업무추진 - (법인카드)</t>
        </is>
      </c>
      <c r="J1765" s="92" t="inlineStr">
        <is>
          <t>V10010</t>
        </is>
      </c>
      <c r="K1765" s="92" t="inlineStr">
        <is>
          <t>(법인카드)</t>
        </is>
      </c>
      <c r="M1765" s="9">
        <f>IF($A1765="","",VALUE($A1765&amp;"")*12+VALUE($B1765&amp;""))</f>
        <v/>
      </c>
      <c r="N1765" s="64">
        <f>IF($A1765="","",IFERROR(INDEX(부서매핑!$C$5:$C$504,MATCH($G1765&amp;"",부서매핑!$A$5:$A$504,0)),"미매핑"))</f>
        <v/>
      </c>
      <c r="O1765" s="9">
        <f>IF($A1765="","",N1765&amp;"|"&amp;$F1765)</f>
        <v/>
      </c>
      <c r="P1765" s="94">
        <f>IF($A1765="",0,$H1765*설정!$C$23)</f>
        <v/>
      </c>
      <c r="Q1765" s="64">
        <f>IF($A1765="","",IF(O1765&lt;&gt;원인분석!$C$9,"",IF(AND(M1765&gt;=원인분석!$C$10,M1765&lt;=원인분석!$C$11),"당기",IF(AND(M1765&gt;=원인분석!$C$12,M1765&lt;=원인분석!$C$13),"비교",""))))</f>
        <v/>
      </c>
      <c r="R1765" s="9">
        <f>IF(Q1765="","",$K1765&amp;"")</f>
        <v/>
      </c>
      <c r="S1765" s="9">
        <f>IF(Q1765="","",IF(MATCH(R1765,$R$5:$R$100000,0)=ROW()-4,ROW(),""))</f>
        <v/>
      </c>
      <c r="T1765" s="9">
        <f>IF(Q1765="당기",ABS(P1765)+ROW()/1000000000,"")</f>
        <v/>
      </c>
      <c r="U1765" s="9">
        <f>IF(Q1765="비교",ABS(P1765)+ROW()/1000000000,"")</f>
        <v/>
      </c>
      <c r="V1765" s="64">
        <f>IF($A1765="","",IF(COUNTIF(변동분석!$E$7:$E$506,O1765)&gt;0,"Y","N"))</f>
        <v/>
      </c>
      <c r="W1765" s="64">
        <f>IF($A1765="","",IFERROR(INDEX(계정매핑!$D$5:$D$504,MATCH($F1765&amp;"",계정매핑!$A$5:$A$504,0)),"미매핑"))</f>
        <v/>
      </c>
      <c r="X1765" s="9">
        <f>IF($A1765="","",$F1765&amp;"")</f>
        <v/>
      </c>
      <c r="Y1765" s="94">
        <f>IF($A1765="",0,IF(AE1765="직접",IF(AF1765="비귀속",$P1765,0),$P1765*(1-AG1765)*IFERROR(INDEX(계정대체기준!$F$20:$F$49,MATCH($N1765,계정대체기준!$A$20:$A$49,0)),1)))</f>
        <v/>
      </c>
      <c r="Z1765" s="94">
        <f>IF($A1765="",0,IF(AE1765="직접",IF(AF1765="신계약비",$P1765,0),$P1765*(1-AG1765)*IFERROR(INDEX(계정대체기준!$C$20:$C$49,MATCH($N1765,계정대체기준!$A$20:$A$49,0)),0)))</f>
        <v/>
      </c>
      <c r="AA1765" s="94">
        <f>IF($A1765="",0,IF(AE1765="직접",IF(OR(AF1765="유지비",AF1765="손해조사비"),$P1765,0),$P1765*(1-AG1765)*IFERROR(INDEX(계정대체기준!$D$20:$D$49,MATCH($N1765,계정대체기준!$A$20:$A$49,0)),0)))</f>
        <v/>
      </c>
      <c r="AB1765" s="94">
        <f>IF($A1765="",0,IF(AE1765="직접",IF(AF1765="수금비",$P1765,0),$P1765*(1-AG1765)*IFERROR(INDEX(계정대체기준!$E$20:$E$49,MATCH($N1765,계정대체기준!$A$20:$A$49,0)),0)))</f>
        <v/>
      </c>
      <c r="AC1765" s="9">
        <f>IF(AND($A1765&lt;&gt;"",M1765=설정!$C$20,Z1765&gt;0),Z1765+ROW()/1000000000,"")</f>
        <v/>
      </c>
      <c r="AD1765" s="94">
        <f>IF($A1765="",0,$P1765*AG1765)</f>
        <v/>
      </c>
      <c r="AE1765" s="64">
        <f>IF($A1765="","",IFERROR(INDEX(계정매핑!$E$5:$E$504,MATCH($F1765&amp;"",계정매핑!$A$5:$A$504,0))&amp;"","공통비"))</f>
        <v/>
      </c>
      <c r="AF1765" s="64">
        <f>IF($A1765="","",IF(AE1765="직접",IFERROR(INDEX(계정매핑!$F$5:$F$504,MATCH($F1765&amp;"",계정매핑!$A$5:$A$504,0))&amp;"","비귀속"),""))</f>
        <v/>
      </c>
      <c r="AG1765" s="96">
        <f>IF($A1765="",0,IF(AND(AE1765&lt;&gt;"직접",IFERROR(INDEX(계정매핑!$G$5:$G$504,MATCH($F1765&amp;"",계정매핑!$A$5:$A$504,0))&amp;"","")="유지비",COUNTIF(계정대체기준!$A$6:$A$15,$N1765)&gt;0),IFERROR(INDEX(계정대체기준!$E$6:$E$15,MATCH(VALUE($A1765&amp;""),계정대체기준!$D$6:$D$15,0)),0),0))</f>
        <v/>
      </c>
      <c r="AH1765" s="64">
        <f>IF($A1765="","",IF(AD1765=0,"",IF(OR(COUNTIF(계정대체기준!$A$77:$A$86,$N1765)&gt;0,ISNUMBER(MATCH($X1765,계정대체기준!$D$77:$D$86,0)),ISNUMBER(MATCH($F1765,계정대체기준!$D$77:$D$86,0))),"Y","N")))</f>
        <v/>
      </c>
    </row>
    <row r="1766">
      <c r="A1766" s="92" t="n">
        <v>2025</v>
      </c>
      <c r="B1766" s="92" t="n">
        <v>8</v>
      </c>
      <c r="C1766" s="92" t="inlineStr">
        <is>
          <t>5100001762</t>
        </is>
      </c>
      <c r="D1766" s="95" t="n">
        <v>45891</v>
      </c>
      <c r="E1766" s="92" t="inlineStr">
        <is>
          <t>KR</t>
        </is>
      </c>
      <c r="F1766" s="92" t="n">
        <v>62101000</v>
      </c>
      <c r="G1766" s="92" t="n">
        <v>1701</v>
      </c>
      <c r="H1766" s="93" t="n">
        <v>356000</v>
      </c>
      <c r="I1766" s="92" t="inlineStr">
        <is>
          <t>8월 국내출장 - M항공</t>
        </is>
      </c>
      <c r="J1766" s="92" t="inlineStr">
        <is>
          <t>V10001</t>
        </is>
      </c>
      <c r="K1766" s="92" t="inlineStr">
        <is>
          <t>M항공</t>
        </is>
      </c>
      <c r="M1766" s="9">
        <f>IF($A1766="","",VALUE($A1766&amp;"")*12+VALUE($B1766&amp;""))</f>
        <v/>
      </c>
      <c r="N1766" s="64">
        <f>IF($A1766="","",IFERROR(INDEX(부서매핑!$C$5:$C$504,MATCH($G1766&amp;"",부서매핑!$A$5:$A$504,0)),"미매핑"))</f>
        <v/>
      </c>
      <c r="O1766" s="9">
        <f>IF($A1766="","",N1766&amp;"|"&amp;$F1766)</f>
        <v/>
      </c>
      <c r="P1766" s="94">
        <f>IF($A1766="",0,$H1766*설정!$C$23)</f>
        <v/>
      </c>
      <c r="Q1766" s="64">
        <f>IF($A1766="","",IF(O1766&lt;&gt;원인분석!$C$9,"",IF(AND(M1766&gt;=원인분석!$C$10,M1766&lt;=원인분석!$C$11),"당기",IF(AND(M1766&gt;=원인분석!$C$12,M1766&lt;=원인분석!$C$13),"비교",""))))</f>
        <v/>
      </c>
      <c r="R1766" s="9">
        <f>IF(Q1766="","",$K1766&amp;"")</f>
        <v/>
      </c>
      <c r="S1766" s="9">
        <f>IF(Q1766="","",IF(MATCH(R1766,$R$5:$R$100000,0)=ROW()-4,ROW(),""))</f>
        <v/>
      </c>
      <c r="T1766" s="9">
        <f>IF(Q1766="당기",ABS(P1766)+ROW()/1000000000,"")</f>
        <v/>
      </c>
      <c r="U1766" s="9">
        <f>IF(Q1766="비교",ABS(P1766)+ROW()/1000000000,"")</f>
        <v/>
      </c>
      <c r="V1766" s="64">
        <f>IF($A1766="","",IF(COUNTIF(변동분석!$E$7:$E$506,O1766)&gt;0,"Y","N"))</f>
        <v/>
      </c>
      <c r="W1766" s="64">
        <f>IF($A1766="","",IFERROR(INDEX(계정매핑!$D$5:$D$504,MATCH($F1766&amp;"",계정매핑!$A$5:$A$504,0)),"미매핑"))</f>
        <v/>
      </c>
      <c r="X1766" s="9">
        <f>IF($A1766="","",$F1766&amp;"")</f>
        <v/>
      </c>
      <c r="Y1766" s="94">
        <f>IF($A1766="",0,IF(AE1766="직접",IF(AF1766="비귀속",$P1766,0),$P1766*(1-AG1766)*IFERROR(INDEX(계정대체기준!$F$20:$F$49,MATCH($N1766,계정대체기준!$A$20:$A$49,0)),1)))</f>
        <v/>
      </c>
      <c r="Z1766" s="94">
        <f>IF($A1766="",0,IF(AE1766="직접",IF(AF1766="신계약비",$P1766,0),$P1766*(1-AG1766)*IFERROR(INDEX(계정대체기준!$C$20:$C$49,MATCH($N1766,계정대체기준!$A$20:$A$49,0)),0)))</f>
        <v/>
      </c>
      <c r="AA1766" s="94">
        <f>IF($A1766="",0,IF(AE1766="직접",IF(OR(AF1766="유지비",AF1766="손해조사비"),$P1766,0),$P1766*(1-AG1766)*IFERROR(INDEX(계정대체기준!$D$20:$D$49,MATCH($N1766,계정대체기준!$A$20:$A$49,0)),0)))</f>
        <v/>
      </c>
      <c r="AB1766" s="94">
        <f>IF($A1766="",0,IF(AE1766="직접",IF(AF1766="수금비",$P1766,0),$P1766*(1-AG1766)*IFERROR(INDEX(계정대체기준!$E$20:$E$49,MATCH($N1766,계정대체기준!$A$20:$A$49,0)),0)))</f>
        <v/>
      </c>
      <c r="AC1766" s="9">
        <f>IF(AND($A1766&lt;&gt;"",M1766=설정!$C$20,Z1766&gt;0),Z1766+ROW()/1000000000,"")</f>
        <v/>
      </c>
      <c r="AD1766" s="94">
        <f>IF($A1766="",0,$P1766*AG1766)</f>
        <v/>
      </c>
      <c r="AE1766" s="64">
        <f>IF($A1766="","",IFERROR(INDEX(계정매핑!$E$5:$E$504,MATCH($F1766&amp;"",계정매핑!$A$5:$A$504,0))&amp;"","공통비"))</f>
        <v/>
      </c>
      <c r="AF1766" s="64">
        <f>IF($A1766="","",IF(AE1766="직접",IFERROR(INDEX(계정매핑!$F$5:$F$504,MATCH($F1766&amp;"",계정매핑!$A$5:$A$504,0))&amp;"","비귀속"),""))</f>
        <v/>
      </c>
      <c r="AG1766" s="96">
        <f>IF($A1766="",0,IF(AND(AE1766&lt;&gt;"직접",IFERROR(INDEX(계정매핑!$G$5:$G$504,MATCH($F1766&amp;"",계정매핑!$A$5:$A$504,0))&amp;"","")="유지비",COUNTIF(계정대체기준!$A$6:$A$15,$N1766)&gt;0),IFERROR(INDEX(계정대체기준!$E$6:$E$15,MATCH(VALUE($A1766&amp;""),계정대체기준!$D$6:$D$15,0)),0),0))</f>
        <v/>
      </c>
      <c r="AH1766" s="64">
        <f>IF($A1766="","",IF(AD1766=0,"",IF(OR(COUNTIF(계정대체기준!$A$77:$A$86,$N1766)&gt;0,ISNUMBER(MATCH($X1766,계정대체기준!$D$77:$D$86,0)),ISNUMBER(MATCH($F1766,계정대체기준!$D$77:$D$86,0))),"Y","N")))</f>
        <v/>
      </c>
    </row>
    <row r="1767">
      <c r="A1767" s="92" t="n">
        <v>2025</v>
      </c>
      <c r="B1767" s="92" t="n">
        <v>8</v>
      </c>
      <c r="C1767" s="92" t="inlineStr">
        <is>
          <t>5100001763</t>
        </is>
      </c>
      <c r="D1767" s="95" t="n">
        <v>45891</v>
      </c>
      <c r="E1767" s="92" t="inlineStr">
        <is>
          <t>KR</t>
        </is>
      </c>
      <c r="F1767" s="92" t="n">
        <v>62201000</v>
      </c>
      <c r="G1767" s="92" t="n">
        <v>1101</v>
      </c>
      <c r="H1767" s="93" t="n">
        <v>287000</v>
      </c>
      <c r="I1767" s="92" t="inlineStr">
        <is>
          <t>8월 통신요금 - O텔레콤</t>
        </is>
      </c>
      <c r="J1767" s="92" t="inlineStr">
        <is>
          <t>V10002</t>
        </is>
      </c>
      <c r="K1767" s="92" t="inlineStr">
        <is>
          <t>O텔레콤</t>
        </is>
      </c>
      <c r="M1767" s="9">
        <f>IF($A1767="","",VALUE($A1767&amp;"")*12+VALUE($B1767&amp;""))</f>
        <v/>
      </c>
      <c r="N1767" s="64">
        <f>IF($A1767="","",IFERROR(INDEX(부서매핑!$C$5:$C$504,MATCH($G1767&amp;"",부서매핑!$A$5:$A$504,0)),"미매핑"))</f>
        <v/>
      </c>
      <c r="O1767" s="9">
        <f>IF($A1767="","",N1767&amp;"|"&amp;$F1767)</f>
        <v/>
      </c>
      <c r="P1767" s="94">
        <f>IF($A1767="",0,$H1767*설정!$C$23)</f>
        <v/>
      </c>
      <c r="Q1767" s="64">
        <f>IF($A1767="","",IF(O1767&lt;&gt;원인분석!$C$9,"",IF(AND(M1767&gt;=원인분석!$C$10,M1767&lt;=원인분석!$C$11),"당기",IF(AND(M1767&gt;=원인분석!$C$12,M1767&lt;=원인분석!$C$13),"비교",""))))</f>
        <v/>
      </c>
      <c r="R1767" s="9">
        <f>IF(Q1767="","",$K1767&amp;"")</f>
        <v/>
      </c>
      <c r="S1767" s="9">
        <f>IF(Q1767="","",IF(MATCH(R1767,$R$5:$R$100000,0)=ROW()-4,ROW(),""))</f>
        <v/>
      </c>
      <c r="T1767" s="9">
        <f>IF(Q1767="당기",ABS(P1767)+ROW()/1000000000,"")</f>
        <v/>
      </c>
      <c r="U1767" s="9">
        <f>IF(Q1767="비교",ABS(P1767)+ROW()/1000000000,"")</f>
        <v/>
      </c>
      <c r="V1767" s="64">
        <f>IF($A1767="","",IF(COUNTIF(변동분석!$E$7:$E$506,O1767)&gt;0,"Y","N"))</f>
        <v/>
      </c>
      <c r="W1767" s="64">
        <f>IF($A1767="","",IFERROR(INDEX(계정매핑!$D$5:$D$504,MATCH($F1767&amp;"",계정매핑!$A$5:$A$504,0)),"미매핑"))</f>
        <v/>
      </c>
      <c r="X1767" s="9">
        <f>IF($A1767="","",$F1767&amp;"")</f>
        <v/>
      </c>
      <c r="Y1767" s="94">
        <f>IF($A1767="",0,IF(AE1767="직접",IF(AF1767="비귀속",$P1767,0),$P1767*(1-AG1767)*IFERROR(INDEX(계정대체기준!$F$20:$F$49,MATCH($N1767,계정대체기준!$A$20:$A$49,0)),1)))</f>
        <v/>
      </c>
      <c r="Z1767" s="94">
        <f>IF($A1767="",0,IF(AE1767="직접",IF(AF1767="신계약비",$P1767,0),$P1767*(1-AG1767)*IFERROR(INDEX(계정대체기준!$C$20:$C$49,MATCH($N1767,계정대체기준!$A$20:$A$49,0)),0)))</f>
        <v/>
      </c>
      <c r="AA1767" s="94">
        <f>IF($A1767="",0,IF(AE1767="직접",IF(OR(AF1767="유지비",AF1767="손해조사비"),$P1767,0),$P1767*(1-AG1767)*IFERROR(INDEX(계정대체기준!$D$20:$D$49,MATCH($N1767,계정대체기준!$A$20:$A$49,0)),0)))</f>
        <v/>
      </c>
      <c r="AB1767" s="94">
        <f>IF($A1767="",0,IF(AE1767="직접",IF(AF1767="수금비",$P1767,0),$P1767*(1-AG1767)*IFERROR(INDEX(계정대체기준!$E$20:$E$49,MATCH($N1767,계정대체기준!$A$20:$A$49,0)),0)))</f>
        <v/>
      </c>
      <c r="AC1767" s="9">
        <f>IF(AND($A1767&lt;&gt;"",M1767=설정!$C$20,Z1767&gt;0),Z1767+ROW()/1000000000,"")</f>
        <v/>
      </c>
      <c r="AD1767" s="94">
        <f>IF($A1767="",0,$P1767*AG1767)</f>
        <v/>
      </c>
      <c r="AE1767" s="64">
        <f>IF($A1767="","",IFERROR(INDEX(계정매핑!$E$5:$E$504,MATCH($F1767&amp;"",계정매핑!$A$5:$A$504,0))&amp;"","공통비"))</f>
        <v/>
      </c>
      <c r="AF1767" s="64">
        <f>IF($A1767="","",IF(AE1767="직접",IFERROR(INDEX(계정매핑!$F$5:$F$504,MATCH($F1767&amp;"",계정매핑!$A$5:$A$504,0))&amp;"","비귀속"),""))</f>
        <v/>
      </c>
      <c r="AG1767" s="96">
        <f>IF($A1767="",0,IF(AND(AE1767&lt;&gt;"직접",IFERROR(INDEX(계정매핑!$G$5:$G$504,MATCH($F1767&amp;"",계정매핑!$A$5:$A$504,0))&amp;"","")="유지비",COUNTIF(계정대체기준!$A$6:$A$15,$N1767)&gt;0),IFERROR(INDEX(계정대체기준!$E$6:$E$15,MATCH(VALUE($A1767&amp;""),계정대체기준!$D$6:$D$15,0)),0),0))</f>
        <v/>
      </c>
      <c r="AH1767" s="64">
        <f>IF($A1767="","",IF(AD1767=0,"",IF(OR(COUNTIF(계정대체기준!$A$77:$A$86,$N1767)&gt;0,ISNUMBER(MATCH($X1767,계정대체기준!$D$77:$D$86,0)),ISNUMBER(MATCH($F1767,계정대체기준!$D$77:$D$86,0))),"Y","N")))</f>
        <v/>
      </c>
    </row>
    <row r="1768">
      <c r="A1768" s="92" t="n">
        <v>2025</v>
      </c>
      <c r="B1768" s="92" t="n">
        <v>8</v>
      </c>
      <c r="C1768" s="92" t="inlineStr">
        <is>
          <t>5100001764</t>
        </is>
      </c>
      <c r="D1768" s="95" t="n">
        <v>45891</v>
      </c>
      <c r="E1768" s="92" t="inlineStr">
        <is>
          <t>KR</t>
        </is>
      </c>
      <c r="F1768" s="92" t="n">
        <v>62301000</v>
      </c>
      <c r="G1768" s="92" t="n">
        <v>1501</v>
      </c>
      <c r="H1768" s="93" t="n">
        <v>131000</v>
      </c>
      <c r="I1768" s="92" t="inlineStr">
        <is>
          <t>8월 소모품 구입 - Q오피스</t>
        </is>
      </c>
      <c r="J1768" s="92" t="inlineStr">
        <is>
          <t>V10003</t>
        </is>
      </c>
      <c r="K1768" s="92" t="inlineStr">
        <is>
          <t>Q오피스</t>
        </is>
      </c>
      <c r="M1768" s="9">
        <f>IF($A1768="","",VALUE($A1768&amp;"")*12+VALUE($B1768&amp;""))</f>
        <v/>
      </c>
      <c r="N1768" s="64">
        <f>IF($A1768="","",IFERROR(INDEX(부서매핑!$C$5:$C$504,MATCH($G1768&amp;"",부서매핑!$A$5:$A$504,0)),"미매핑"))</f>
        <v/>
      </c>
      <c r="O1768" s="9">
        <f>IF($A1768="","",N1768&amp;"|"&amp;$F1768)</f>
        <v/>
      </c>
      <c r="P1768" s="94">
        <f>IF($A1768="",0,$H1768*설정!$C$23)</f>
        <v/>
      </c>
      <c r="Q1768" s="64">
        <f>IF($A1768="","",IF(O1768&lt;&gt;원인분석!$C$9,"",IF(AND(M1768&gt;=원인분석!$C$10,M1768&lt;=원인분석!$C$11),"당기",IF(AND(M1768&gt;=원인분석!$C$12,M1768&lt;=원인분석!$C$13),"비교",""))))</f>
        <v/>
      </c>
      <c r="R1768" s="9">
        <f>IF(Q1768="","",$K1768&amp;"")</f>
        <v/>
      </c>
      <c r="S1768" s="9">
        <f>IF(Q1768="","",IF(MATCH(R1768,$R$5:$R$100000,0)=ROW()-4,ROW(),""))</f>
        <v/>
      </c>
      <c r="T1768" s="9">
        <f>IF(Q1768="당기",ABS(P1768)+ROW()/1000000000,"")</f>
        <v/>
      </c>
      <c r="U1768" s="9">
        <f>IF(Q1768="비교",ABS(P1768)+ROW()/1000000000,"")</f>
        <v/>
      </c>
      <c r="V1768" s="64">
        <f>IF($A1768="","",IF(COUNTIF(변동분석!$E$7:$E$506,O1768)&gt;0,"Y","N"))</f>
        <v/>
      </c>
      <c r="W1768" s="64">
        <f>IF($A1768="","",IFERROR(INDEX(계정매핑!$D$5:$D$504,MATCH($F1768&amp;"",계정매핑!$A$5:$A$504,0)),"미매핑"))</f>
        <v/>
      </c>
      <c r="X1768" s="9">
        <f>IF($A1768="","",$F1768&amp;"")</f>
        <v/>
      </c>
      <c r="Y1768" s="94">
        <f>IF($A1768="",0,IF(AE1768="직접",IF(AF1768="비귀속",$P1768,0),$P1768*(1-AG1768)*IFERROR(INDEX(계정대체기준!$F$20:$F$49,MATCH($N1768,계정대체기준!$A$20:$A$49,0)),1)))</f>
        <v/>
      </c>
      <c r="Z1768" s="94">
        <f>IF($A1768="",0,IF(AE1768="직접",IF(AF1768="신계약비",$P1768,0),$P1768*(1-AG1768)*IFERROR(INDEX(계정대체기준!$C$20:$C$49,MATCH($N1768,계정대체기준!$A$20:$A$49,0)),0)))</f>
        <v/>
      </c>
      <c r="AA1768" s="94">
        <f>IF($A1768="",0,IF(AE1768="직접",IF(OR(AF1768="유지비",AF1768="손해조사비"),$P1768,0),$P1768*(1-AG1768)*IFERROR(INDEX(계정대체기준!$D$20:$D$49,MATCH($N1768,계정대체기준!$A$20:$A$49,0)),0)))</f>
        <v/>
      </c>
      <c r="AB1768" s="94">
        <f>IF($A1768="",0,IF(AE1768="직접",IF(AF1768="수금비",$P1768,0),$P1768*(1-AG1768)*IFERROR(INDEX(계정대체기준!$E$20:$E$49,MATCH($N1768,계정대체기준!$A$20:$A$49,0)),0)))</f>
        <v/>
      </c>
      <c r="AC1768" s="9">
        <f>IF(AND($A1768&lt;&gt;"",M1768=설정!$C$20,Z1768&gt;0),Z1768+ROW()/1000000000,"")</f>
        <v/>
      </c>
      <c r="AD1768" s="94">
        <f>IF($A1768="",0,$P1768*AG1768)</f>
        <v/>
      </c>
      <c r="AE1768" s="64">
        <f>IF($A1768="","",IFERROR(INDEX(계정매핑!$E$5:$E$504,MATCH($F1768&amp;"",계정매핑!$A$5:$A$504,0))&amp;"","공통비"))</f>
        <v/>
      </c>
      <c r="AF1768" s="64">
        <f>IF($A1768="","",IF(AE1768="직접",IFERROR(INDEX(계정매핑!$F$5:$F$504,MATCH($F1768&amp;"",계정매핑!$A$5:$A$504,0))&amp;"","비귀속"),""))</f>
        <v/>
      </c>
      <c r="AG1768" s="96">
        <f>IF($A1768="",0,IF(AND(AE1768&lt;&gt;"직접",IFERROR(INDEX(계정매핑!$G$5:$G$504,MATCH($F1768&amp;"",계정매핑!$A$5:$A$504,0))&amp;"","")="유지비",COUNTIF(계정대체기준!$A$6:$A$15,$N1768)&gt;0),IFERROR(INDEX(계정대체기준!$E$6:$E$15,MATCH(VALUE($A1768&amp;""),계정대체기준!$D$6:$D$15,0)),0),0))</f>
        <v/>
      </c>
      <c r="AH1768" s="64">
        <f>IF($A1768="","",IF(AD1768=0,"",IF(OR(COUNTIF(계정대체기준!$A$77:$A$86,$N1768)&gt;0,ISNUMBER(MATCH($X1768,계정대체기준!$D$77:$D$86,0)),ISNUMBER(MATCH($F1768,계정대체기준!$D$77:$D$86,0))),"Y","N")))</f>
        <v/>
      </c>
    </row>
    <row r="1769">
      <c r="A1769" s="92" t="n">
        <v>2025</v>
      </c>
      <c r="B1769" s="92" t="n">
        <v>8</v>
      </c>
      <c r="C1769" s="92" t="inlineStr">
        <is>
          <t>5100001765</t>
        </is>
      </c>
      <c r="D1769" s="95" t="n">
        <v>45891</v>
      </c>
      <c r="E1769" s="92" t="inlineStr">
        <is>
          <t>KR</t>
        </is>
      </c>
      <c r="F1769" s="92" t="n">
        <v>62901000</v>
      </c>
      <c r="G1769" s="92" t="n">
        <v>1951</v>
      </c>
      <c r="H1769" s="93" t="n">
        <v>6511000</v>
      </c>
      <c r="I1769" s="92" t="inlineStr">
        <is>
          <t>8월 자문 수수료 - K회계법인</t>
        </is>
      </c>
      <c r="J1769" s="92" t="inlineStr">
        <is>
          <t>V10011</t>
        </is>
      </c>
      <c r="K1769" s="92" t="inlineStr">
        <is>
          <t>K회계법인</t>
        </is>
      </c>
      <c r="M1769" s="9">
        <f>IF($A1769="","",VALUE($A1769&amp;"")*12+VALUE($B1769&amp;""))</f>
        <v/>
      </c>
      <c r="N1769" s="64">
        <f>IF($A1769="","",IFERROR(INDEX(부서매핑!$C$5:$C$504,MATCH($G1769&amp;"",부서매핑!$A$5:$A$504,0)),"미매핑"))</f>
        <v/>
      </c>
      <c r="O1769" s="9">
        <f>IF($A1769="","",N1769&amp;"|"&amp;$F1769)</f>
        <v/>
      </c>
      <c r="P1769" s="94">
        <f>IF($A1769="",0,$H1769*설정!$C$23)</f>
        <v/>
      </c>
      <c r="Q1769" s="64">
        <f>IF($A1769="","",IF(O1769&lt;&gt;원인분석!$C$9,"",IF(AND(M1769&gt;=원인분석!$C$10,M1769&lt;=원인분석!$C$11),"당기",IF(AND(M1769&gt;=원인분석!$C$12,M1769&lt;=원인분석!$C$13),"비교",""))))</f>
        <v/>
      </c>
      <c r="R1769" s="9">
        <f>IF(Q1769="","",$K1769&amp;"")</f>
        <v/>
      </c>
      <c r="S1769" s="9">
        <f>IF(Q1769="","",IF(MATCH(R1769,$R$5:$R$100000,0)=ROW()-4,ROW(),""))</f>
        <v/>
      </c>
      <c r="T1769" s="9">
        <f>IF(Q1769="당기",ABS(P1769)+ROW()/1000000000,"")</f>
        <v/>
      </c>
      <c r="U1769" s="9">
        <f>IF(Q1769="비교",ABS(P1769)+ROW()/1000000000,"")</f>
        <v/>
      </c>
      <c r="V1769" s="64">
        <f>IF($A1769="","",IF(COUNTIF(변동분석!$E$7:$E$506,O1769)&gt;0,"Y","N"))</f>
        <v/>
      </c>
      <c r="W1769" s="64">
        <f>IF($A1769="","",IFERROR(INDEX(계정매핑!$D$5:$D$504,MATCH($F1769&amp;"",계정매핑!$A$5:$A$504,0)),"미매핑"))</f>
        <v/>
      </c>
      <c r="X1769" s="9">
        <f>IF($A1769="","",$F1769&amp;"")</f>
        <v/>
      </c>
      <c r="Y1769" s="94">
        <f>IF($A1769="",0,IF(AE1769="직접",IF(AF1769="비귀속",$P1769,0),$P1769*(1-AG1769)*IFERROR(INDEX(계정대체기준!$F$20:$F$49,MATCH($N1769,계정대체기준!$A$20:$A$49,0)),1)))</f>
        <v/>
      </c>
      <c r="Z1769" s="94">
        <f>IF($A1769="",0,IF(AE1769="직접",IF(AF1769="신계약비",$P1769,0),$P1769*(1-AG1769)*IFERROR(INDEX(계정대체기준!$C$20:$C$49,MATCH($N1769,계정대체기준!$A$20:$A$49,0)),0)))</f>
        <v/>
      </c>
      <c r="AA1769" s="94">
        <f>IF($A1769="",0,IF(AE1769="직접",IF(OR(AF1769="유지비",AF1769="손해조사비"),$P1769,0),$P1769*(1-AG1769)*IFERROR(INDEX(계정대체기준!$D$20:$D$49,MATCH($N1769,계정대체기준!$A$20:$A$49,0)),0)))</f>
        <v/>
      </c>
      <c r="AB1769" s="94">
        <f>IF($A1769="",0,IF(AE1769="직접",IF(AF1769="수금비",$P1769,0),$P1769*(1-AG1769)*IFERROR(INDEX(계정대체기준!$E$20:$E$49,MATCH($N1769,계정대체기준!$A$20:$A$49,0)),0)))</f>
        <v/>
      </c>
      <c r="AC1769" s="9">
        <f>IF(AND($A1769&lt;&gt;"",M1769=설정!$C$20,Z1769&gt;0),Z1769+ROW()/1000000000,"")</f>
        <v/>
      </c>
      <c r="AD1769" s="94">
        <f>IF($A1769="",0,$P1769*AG1769)</f>
        <v/>
      </c>
      <c r="AE1769" s="64">
        <f>IF($A1769="","",IFERROR(INDEX(계정매핑!$E$5:$E$504,MATCH($F1769&amp;"",계정매핑!$A$5:$A$504,0))&amp;"","공통비"))</f>
        <v/>
      </c>
      <c r="AF1769" s="64">
        <f>IF($A1769="","",IF(AE1769="직접",IFERROR(INDEX(계정매핑!$F$5:$F$504,MATCH($F1769&amp;"",계정매핑!$A$5:$A$504,0))&amp;"","비귀속"),""))</f>
        <v/>
      </c>
      <c r="AG1769" s="96">
        <f>IF($A1769="",0,IF(AND(AE1769&lt;&gt;"직접",IFERROR(INDEX(계정매핑!$G$5:$G$504,MATCH($F1769&amp;"",계정매핑!$A$5:$A$504,0))&amp;"","")="유지비",COUNTIF(계정대체기준!$A$6:$A$15,$N1769)&gt;0),IFERROR(INDEX(계정대체기준!$E$6:$E$15,MATCH(VALUE($A1769&amp;""),계정대체기준!$D$6:$D$15,0)),0),0))</f>
        <v/>
      </c>
      <c r="AH1769" s="64">
        <f>IF($A1769="","",IF(AD1769=0,"",IF(OR(COUNTIF(계정대체기준!$A$77:$A$86,$N1769)&gt;0,ISNUMBER(MATCH($X1769,계정대체기준!$D$77:$D$86,0)),ISNUMBER(MATCH($F1769,계정대체기준!$D$77:$D$86,0))),"Y","N")))</f>
        <v/>
      </c>
    </row>
    <row r="1770">
      <c r="A1770" s="92" t="n">
        <v>2025</v>
      </c>
      <c r="B1770" s="92" t="n">
        <v>8</v>
      </c>
      <c r="C1770" s="92" t="inlineStr">
        <is>
          <t>5100001766</t>
        </is>
      </c>
      <c r="D1770" s="95" t="n">
        <v>45891</v>
      </c>
      <c r="E1770" s="92" t="inlineStr">
        <is>
          <t>KR</t>
        </is>
      </c>
      <c r="F1770" s="92" t="n">
        <v>63001000</v>
      </c>
      <c r="G1770" s="92" t="n">
        <v>1951</v>
      </c>
      <c r="H1770" s="93" t="n">
        <v>3520000</v>
      </c>
      <c r="I1770" s="92" t="inlineStr">
        <is>
          <t>8월 SW 유지보수 - Z시스템</t>
        </is>
      </c>
      <c r="J1770" s="92" t="inlineStr">
        <is>
          <t>V10012</t>
        </is>
      </c>
      <c r="K1770" s="92" t="inlineStr">
        <is>
          <t>Z시스템</t>
        </is>
      </c>
      <c r="M1770" s="9">
        <f>IF($A1770="","",VALUE($A1770&amp;"")*12+VALUE($B1770&amp;""))</f>
        <v/>
      </c>
      <c r="N1770" s="64">
        <f>IF($A1770="","",IFERROR(INDEX(부서매핑!$C$5:$C$504,MATCH($G1770&amp;"",부서매핑!$A$5:$A$504,0)),"미매핑"))</f>
        <v/>
      </c>
      <c r="O1770" s="9">
        <f>IF($A1770="","",N1770&amp;"|"&amp;$F1770)</f>
        <v/>
      </c>
      <c r="P1770" s="94">
        <f>IF($A1770="",0,$H1770*설정!$C$23)</f>
        <v/>
      </c>
      <c r="Q1770" s="64">
        <f>IF($A1770="","",IF(O1770&lt;&gt;원인분석!$C$9,"",IF(AND(M1770&gt;=원인분석!$C$10,M1770&lt;=원인분석!$C$11),"당기",IF(AND(M1770&gt;=원인분석!$C$12,M1770&lt;=원인분석!$C$13),"비교",""))))</f>
        <v/>
      </c>
      <c r="R1770" s="9">
        <f>IF(Q1770="","",$K1770&amp;"")</f>
        <v/>
      </c>
      <c r="S1770" s="9">
        <f>IF(Q1770="","",IF(MATCH(R1770,$R$5:$R$100000,0)=ROW()-4,ROW(),""))</f>
        <v/>
      </c>
      <c r="T1770" s="9">
        <f>IF(Q1770="당기",ABS(P1770)+ROW()/1000000000,"")</f>
        <v/>
      </c>
      <c r="U1770" s="9">
        <f>IF(Q1770="비교",ABS(P1770)+ROW()/1000000000,"")</f>
        <v/>
      </c>
      <c r="V1770" s="64">
        <f>IF($A1770="","",IF(COUNTIF(변동분석!$E$7:$E$506,O1770)&gt;0,"Y","N"))</f>
        <v/>
      </c>
      <c r="W1770" s="64">
        <f>IF($A1770="","",IFERROR(INDEX(계정매핑!$D$5:$D$504,MATCH($F1770&amp;"",계정매핑!$A$5:$A$504,0)),"미매핑"))</f>
        <v/>
      </c>
      <c r="X1770" s="9">
        <f>IF($A1770="","",$F1770&amp;"")</f>
        <v/>
      </c>
      <c r="Y1770" s="94">
        <f>IF($A1770="",0,IF(AE1770="직접",IF(AF1770="비귀속",$P1770,0),$P1770*(1-AG1770)*IFERROR(INDEX(계정대체기준!$F$20:$F$49,MATCH($N1770,계정대체기준!$A$20:$A$49,0)),1)))</f>
        <v/>
      </c>
      <c r="Z1770" s="94">
        <f>IF($A1770="",0,IF(AE1770="직접",IF(AF1770="신계약비",$P1770,0),$P1770*(1-AG1770)*IFERROR(INDEX(계정대체기준!$C$20:$C$49,MATCH($N1770,계정대체기준!$A$20:$A$49,0)),0)))</f>
        <v/>
      </c>
      <c r="AA1770" s="94">
        <f>IF($A1770="",0,IF(AE1770="직접",IF(OR(AF1770="유지비",AF1770="손해조사비"),$P1770,0),$P1770*(1-AG1770)*IFERROR(INDEX(계정대체기준!$D$20:$D$49,MATCH($N1770,계정대체기준!$A$20:$A$49,0)),0)))</f>
        <v/>
      </c>
      <c r="AB1770" s="94">
        <f>IF($A1770="",0,IF(AE1770="직접",IF(AF1770="수금비",$P1770,0),$P1770*(1-AG1770)*IFERROR(INDEX(계정대체기준!$E$20:$E$49,MATCH($N1770,계정대체기준!$A$20:$A$49,0)),0)))</f>
        <v/>
      </c>
      <c r="AC1770" s="9">
        <f>IF(AND($A1770&lt;&gt;"",M1770=설정!$C$20,Z1770&gt;0),Z1770+ROW()/1000000000,"")</f>
        <v/>
      </c>
      <c r="AD1770" s="94">
        <f>IF($A1770="",0,$P1770*AG1770)</f>
        <v/>
      </c>
      <c r="AE1770" s="64">
        <f>IF($A1770="","",IFERROR(INDEX(계정매핑!$E$5:$E$504,MATCH($F1770&amp;"",계정매핑!$A$5:$A$504,0))&amp;"","공통비"))</f>
        <v/>
      </c>
      <c r="AF1770" s="64">
        <f>IF($A1770="","",IF(AE1770="직접",IFERROR(INDEX(계정매핑!$F$5:$F$504,MATCH($F1770&amp;"",계정매핑!$A$5:$A$504,0))&amp;"","비귀속"),""))</f>
        <v/>
      </c>
      <c r="AG1770" s="96">
        <f>IF($A1770="",0,IF(AND(AE1770&lt;&gt;"직접",IFERROR(INDEX(계정매핑!$G$5:$G$504,MATCH($F1770&amp;"",계정매핑!$A$5:$A$504,0))&amp;"","")="유지비",COUNTIF(계정대체기준!$A$6:$A$15,$N1770)&gt;0),IFERROR(INDEX(계정대체기준!$E$6:$E$15,MATCH(VALUE($A1770&amp;""),계정대체기준!$D$6:$D$15,0)),0),0))</f>
        <v/>
      </c>
      <c r="AH1770" s="64">
        <f>IF($A1770="","",IF(AD1770=0,"",IF(OR(COUNTIF(계정대체기준!$A$77:$A$86,$N1770)&gt;0,ISNUMBER(MATCH($X1770,계정대체기준!$D$77:$D$86,0)),ISNUMBER(MATCH($F1770,계정대체기준!$D$77:$D$86,0))),"Y","N")))</f>
        <v/>
      </c>
    </row>
    <row r="1771">
      <c r="A1771" s="92" t="n">
        <v>2025</v>
      </c>
      <c r="B1771" s="92" t="n">
        <v>8</v>
      </c>
      <c r="C1771" s="92" t="inlineStr">
        <is>
          <t>5100001767</t>
        </is>
      </c>
      <c r="D1771" s="95" t="n">
        <v>45892</v>
      </c>
      <c r="E1771" s="92" t="inlineStr">
        <is>
          <t>KR</t>
        </is>
      </c>
      <c r="F1771" s="92" t="n">
        <v>62101000</v>
      </c>
      <c r="G1771" s="92" t="n">
        <v>1602</v>
      </c>
      <c r="H1771" s="93" t="n">
        <v>842000</v>
      </c>
      <c r="I1771" s="92" t="inlineStr">
        <is>
          <t>8월 국내출장 - M항공</t>
        </is>
      </c>
      <c r="J1771" s="92" t="inlineStr">
        <is>
          <t>V10001</t>
        </is>
      </c>
      <c r="K1771" s="92" t="inlineStr">
        <is>
          <t>M항공</t>
        </is>
      </c>
      <c r="M1771" s="9">
        <f>IF($A1771="","",VALUE($A1771&amp;"")*12+VALUE($B1771&amp;""))</f>
        <v/>
      </c>
      <c r="N1771" s="64">
        <f>IF($A1771="","",IFERROR(INDEX(부서매핑!$C$5:$C$504,MATCH($G1771&amp;"",부서매핑!$A$5:$A$504,0)),"미매핑"))</f>
        <v/>
      </c>
      <c r="O1771" s="9">
        <f>IF($A1771="","",N1771&amp;"|"&amp;$F1771)</f>
        <v/>
      </c>
      <c r="P1771" s="94">
        <f>IF($A1771="",0,$H1771*설정!$C$23)</f>
        <v/>
      </c>
      <c r="Q1771" s="64">
        <f>IF($A1771="","",IF(O1771&lt;&gt;원인분석!$C$9,"",IF(AND(M1771&gt;=원인분석!$C$10,M1771&lt;=원인분석!$C$11),"당기",IF(AND(M1771&gt;=원인분석!$C$12,M1771&lt;=원인분석!$C$13),"비교",""))))</f>
        <v/>
      </c>
      <c r="R1771" s="9">
        <f>IF(Q1771="","",$K1771&amp;"")</f>
        <v/>
      </c>
      <c r="S1771" s="9">
        <f>IF(Q1771="","",IF(MATCH(R1771,$R$5:$R$100000,0)=ROW()-4,ROW(),""))</f>
        <v/>
      </c>
      <c r="T1771" s="9">
        <f>IF(Q1771="당기",ABS(P1771)+ROW()/1000000000,"")</f>
        <v/>
      </c>
      <c r="U1771" s="9">
        <f>IF(Q1771="비교",ABS(P1771)+ROW()/1000000000,"")</f>
        <v/>
      </c>
      <c r="V1771" s="64">
        <f>IF($A1771="","",IF(COUNTIF(변동분석!$E$7:$E$506,O1771)&gt;0,"Y","N"))</f>
        <v/>
      </c>
      <c r="W1771" s="64">
        <f>IF($A1771="","",IFERROR(INDEX(계정매핑!$D$5:$D$504,MATCH($F1771&amp;"",계정매핑!$A$5:$A$504,0)),"미매핑"))</f>
        <v/>
      </c>
      <c r="X1771" s="9">
        <f>IF($A1771="","",$F1771&amp;"")</f>
        <v/>
      </c>
      <c r="Y1771" s="94">
        <f>IF($A1771="",0,IF(AE1771="직접",IF(AF1771="비귀속",$P1771,0),$P1771*(1-AG1771)*IFERROR(INDEX(계정대체기준!$F$20:$F$49,MATCH($N1771,계정대체기준!$A$20:$A$49,0)),1)))</f>
        <v/>
      </c>
      <c r="Z1771" s="94">
        <f>IF($A1771="",0,IF(AE1771="직접",IF(AF1771="신계약비",$P1771,0),$P1771*(1-AG1771)*IFERROR(INDEX(계정대체기준!$C$20:$C$49,MATCH($N1771,계정대체기준!$A$20:$A$49,0)),0)))</f>
        <v/>
      </c>
      <c r="AA1771" s="94">
        <f>IF($A1771="",0,IF(AE1771="직접",IF(OR(AF1771="유지비",AF1771="손해조사비"),$P1771,0),$P1771*(1-AG1771)*IFERROR(INDEX(계정대체기준!$D$20:$D$49,MATCH($N1771,계정대체기준!$A$20:$A$49,0)),0)))</f>
        <v/>
      </c>
      <c r="AB1771" s="94">
        <f>IF($A1771="",0,IF(AE1771="직접",IF(AF1771="수금비",$P1771,0),$P1771*(1-AG1771)*IFERROR(INDEX(계정대체기준!$E$20:$E$49,MATCH($N1771,계정대체기준!$A$20:$A$49,0)),0)))</f>
        <v/>
      </c>
      <c r="AC1771" s="9">
        <f>IF(AND($A1771&lt;&gt;"",M1771=설정!$C$20,Z1771&gt;0),Z1771+ROW()/1000000000,"")</f>
        <v/>
      </c>
      <c r="AD1771" s="94">
        <f>IF($A1771="",0,$P1771*AG1771)</f>
        <v/>
      </c>
      <c r="AE1771" s="64">
        <f>IF($A1771="","",IFERROR(INDEX(계정매핑!$E$5:$E$504,MATCH($F1771&amp;"",계정매핑!$A$5:$A$504,0))&amp;"","공통비"))</f>
        <v/>
      </c>
      <c r="AF1771" s="64">
        <f>IF($A1771="","",IF(AE1771="직접",IFERROR(INDEX(계정매핑!$F$5:$F$504,MATCH($F1771&amp;"",계정매핑!$A$5:$A$504,0))&amp;"","비귀속"),""))</f>
        <v/>
      </c>
      <c r="AG1771" s="96">
        <f>IF($A1771="",0,IF(AND(AE1771&lt;&gt;"직접",IFERROR(INDEX(계정매핑!$G$5:$G$504,MATCH($F1771&amp;"",계정매핑!$A$5:$A$504,0))&amp;"","")="유지비",COUNTIF(계정대체기준!$A$6:$A$15,$N1771)&gt;0),IFERROR(INDEX(계정대체기준!$E$6:$E$15,MATCH(VALUE($A1771&amp;""),계정대체기준!$D$6:$D$15,0)),0),0))</f>
        <v/>
      </c>
      <c r="AH1771" s="64">
        <f>IF($A1771="","",IF(AD1771=0,"",IF(OR(COUNTIF(계정대체기준!$A$77:$A$86,$N1771)&gt;0,ISNUMBER(MATCH($X1771,계정대체기준!$D$77:$D$86,0)),ISNUMBER(MATCH($F1771,계정대체기준!$D$77:$D$86,0))),"Y","N")))</f>
        <v/>
      </c>
    </row>
    <row r="1772">
      <c r="A1772" s="92" t="n">
        <v>2025</v>
      </c>
      <c r="B1772" s="92" t="n">
        <v>8</v>
      </c>
      <c r="C1772" s="92" t="inlineStr">
        <is>
          <t>5100001768</t>
        </is>
      </c>
      <c r="D1772" s="95" t="n">
        <v>45892</v>
      </c>
      <c r="E1772" s="92" t="inlineStr">
        <is>
          <t>KR</t>
        </is>
      </c>
      <c r="F1772" s="92" t="n">
        <v>62102000</v>
      </c>
      <c r="G1772" s="92" t="n">
        <v>1601</v>
      </c>
      <c r="H1772" s="93" t="n">
        <v>237000</v>
      </c>
      <c r="I1772" s="92" t="inlineStr">
        <is>
          <t>8월 해외출장 - M항공</t>
        </is>
      </c>
      <c r="J1772" s="92" t="inlineStr">
        <is>
          <t>V10001</t>
        </is>
      </c>
      <c r="K1772" s="92" t="inlineStr">
        <is>
          <t>M항공</t>
        </is>
      </c>
      <c r="M1772" s="9">
        <f>IF($A1772="","",VALUE($A1772&amp;"")*12+VALUE($B1772&amp;""))</f>
        <v/>
      </c>
      <c r="N1772" s="64">
        <f>IF($A1772="","",IFERROR(INDEX(부서매핑!$C$5:$C$504,MATCH($G1772&amp;"",부서매핑!$A$5:$A$504,0)),"미매핑"))</f>
        <v/>
      </c>
      <c r="O1772" s="9">
        <f>IF($A1772="","",N1772&amp;"|"&amp;$F1772)</f>
        <v/>
      </c>
      <c r="P1772" s="94">
        <f>IF($A1772="",0,$H1772*설정!$C$23)</f>
        <v/>
      </c>
      <c r="Q1772" s="64">
        <f>IF($A1772="","",IF(O1772&lt;&gt;원인분석!$C$9,"",IF(AND(M1772&gt;=원인분석!$C$10,M1772&lt;=원인분석!$C$11),"당기",IF(AND(M1772&gt;=원인분석!$C$12,M1772&lt;=원인분석!$C$13),"비교",""))))</f>
        <v/>
      </c>
      <c r="R1772" s="9">
        <f>IF(Q1772="","",$K1772&amp;"")</f>
        <v/>
      </c>
      <c r="S1772" s="9">
        <f>IF(Q1772="","",IF(MATCH(R1772,$R$5:$R$100000,0)=ROW()-4,ROW(),""))</f>
        <v/>
      </c>
      <c r="T1772" s="9">
        <f>IF(Q1772="당기",ABS(P1772)+ROW()/1000000000,"")</f>
        <v/>
      </c>
      <c r="U1772" s="9">
        <f>IF(Q1772="비교",ABS(P1772)+ROW()/1000000000,"")</f>
        <v/>
      </c>
      <c r="V1772" s="64">
        <f>IF($A1772="","",IF(COUNTIF(변동분석!$E$7:$E$506,O1772)&gt;0,"Y","N"))</f>
        <v/>
      </c>
      <c r="W1772" s="64">
        <f>IF($A1772="","",IFERROR(INDEX(계정매핑!$D$5:$D$504,MATCH($F1772&amp;"",계정매핑!$A$5:$A$504,0)),"미매핑"))</f>
        <v/>
      </c>
      <c r="X1772" s="9">
        <f>IF($A1772="","",$F1772&amp;"")</f>
        <v/>
      </c>
      <c r="Y1772" s="94">
        <f>IF($A1772="",0,IF(AE1772="직접",IF(AF1772="비귀속",$P1772,0),$P1772*(1-AG1772)*IFERROR(INDEX(계정대체기준!$F$20:$F$49,MATCH($N1772,계정대체기준!$A$20:$A$49,0)),1)))</f>
        <v/>
      </c>
      <c r="Z1772" s="94">
        <f>IF($A1772="",0,IF(AE1772="직접",IF(AF1772="신계약비",$P1772,0),$P1772*(1-AG1772)*IFERROR(INDEX(계정대체기준!$C$20:$C$49,MATCH($N1772,계정대체기준!$A$20:$A$49,0)),0)))</f>
        <v/>
      </c>
      <c r="AA1772" s="94">
        <f>IF($A1772="",0,IF(AE1772="직접",IF(OR(AF1772="유지비",AF1772="손해조사비"),$P1772,0),$P1772*(1-AG1772)*IFERROR(INDEX(계정대체기준!$D$20:$D$49,MATCH($N1772,계정대체기준!$A$20:$A$49,0)),0)))</f>
        <v/>
      </c>
      <c r="AB1772" s="94">
        <f>IF($A1772="",0,IF(AE1772="직접",IF(AF1772="수금비",$P1772,0),$P1772*(1-AG1772)*IFERROR(INDEX(계정대체기준!$E$20:$E$49,MATCH($N1772,계정대체기준!$A$20:$A$49,0)),0)))</f>
        <v/>
      </c>
      <c r="AC1772" s="9">
        <f>IF(AND($A1772&lt;&gt;"",M1772=설정!$C$20,Z1772&gt;0),Z1772+ROW()/1000000000,"")</f>
        <v/>
      </c>
      <c r="AD1772" s="94">
        <f>IF($A1772="",0,$P1772*AG1772)</f>
        <v/>
      </c>
      <c r="AE1772" s="64">
        <f>IF($A1772="","",IFERROR(INDEX(계정매핑!$E$5:$E$504,MATCH($F1772&amp;"",계정매핑!$A$5:$A$504,0))&amp;"","공통비"))</f>
        <v/>
      </c>
      <c r="AF1772" s="64">
        <f>IF($A1772="","",IF(AE1772="직접",IFERROR(INDEX(계정매핑!$F$5:$F$504,MATCH($F1772&amp;"",계정매핑!$A$5:$A$504,0))&amp;"","비귀속"),""))</f>
        <v/>
      </c>
      <c r="AG1772" s="96">
        <f>IF($A1772="",0,IF(AND(AE1772&lt;&gt;"직접",IFERROR(INDEX(계정매핑!$G$5:$G$504,MATCH($F1772&amp;"",계정매핑!$A$5:$A$504,0))&amp;"","")="유지비",COUNTIF(계정대체기준!$A$6:$A$15,$N1772)&gt;0),IFERROR(INDEX(계정대체기준!$E$6:$E$15,MATCH(VALUE($A1772&amp;""),계정대체기준!$D$6:$D$15,0)),0),0))</f>
        <v/>
      </c>
      <c r="AH1772" s="64">
        <f>IF($A1772="","",IF(AD1772=0,"",IF(OR(COUNTIF(계정대체기준!$A$77:$A$86,$N1772)&gt;0,ISNUMBER(MATCH($X1772,계정대체기준!$D$77:$D$86,0)),ISNUMBER(MATCH($F1772,계정대체기준!$D$77:$D$86,0))),"Y","N")))</f>
        <v/>
      </c>
    </row>
    <row r="1773">
      <c r="A1773" s="92" t="n">
        <v>2025</v>
      </c>
      <c r="B1773" s="92" t="n">
        <v>8</v>
      </c>
      <c r="C1773" s="92" t="inlineStr">
        <is>
          <t>5100001769</t>
        </is>
      </c>
      <c r="D1773" s="95" t="n">
        <v>45892</v>
      </c>
      <c r="E1773" s="92" t="inlineStr">
        <is>
          <t>KR</t>
        </is>
      </c>
      <c r="F1773" s="92" t="n">
        <v>62201000</v>
      </c>
      <c r="G1773" s="92" t="n">
        <v>1101</v>
      </c>
      <c r="H1773" s="93" t="n">
        <v>180000</v>
      </c>
      <c r="I1773" s="92" t="inlineStr">
        <is>
          <t>8월 통신요금 - P통신</t>
        </is>
      </c>
      <c r="J1773" s="92" t="inlineStr">
        <is>
          <t>V10014</t>
        </is>
      </c>
      <c r="K1773" s="92" t="inlineStr">
        <is>
          <t>P통신</t>
        </is>
      </c>
      <c r="M1773" s="9">
        <f>IF($A1773="","",VALUE($A1773&amp;"")*12+VALUE($B1773&amp;""))</f>
        <v/>
      </c>
      <c r="N1773" s="64">
        <f>IF($A1773="","",IFERROR(INDEX(부서매핑!$C$5:$C$504,MATCH($G1773&amp;"",부서매핑!$A$5:$A$504,0)),"미매핑"))</f>
        <v/>
      </c>
      <c r="O1773" s="9">
        <f>IF($A1773="","",N1773&amp;"|"&amp;$F1773)</f>
        <v/>
      </c>
      <c r="P1773" s="94">
        <f>IF($A1773="",0,$H1773*설정!$C$23)</f>
        <v/>
      </c>
      <c r="Q1773" s="64">
        <f>IF($A1773="","",IF(O1773&lt;&gt;원인분석!$C$9,"",IF(AND(M1773&gt;=원인분석!$C$10,M1773&lt;=원인분석!$C$11),"당기",IF(AND(M1773&gt;=원인분석!$C$12,M1773&lt;=원인분석!$C$13),"비교",""))))</f>
        <v/>
      </c>
      <c r="R1773" s="9">
        <f>IF(Q1773="","",$K1773&amp;"")</f>
        <v/>
      </c>
      <c r="S1773" s="9">
        <f>IF(Q1773="","",IF(MATCH(R1773,$R$5:$R$100000,0)=ROW()-4,ROW(),""))</f>
        <v/>
      </c>
      <c r="T1773" s="9">
        <f>IF(Q1773="당기",ABS(P1773)+ROW()/1000000000,"")</f>
        <v/>
      </c>
      <c r="U1773" s="9">
        <f>IF(Q1773="비교",ABS(P1773)+ROW()/1000000000,"")</f>
        <v/>
      </c>
      <c r="V1773" s="64">
        <f>IF($A1773="","",IF(COUNTIF(변동분석!$E$7:$E$506,O1773)&gt;0,"Y","N"))</f>
        <v/>
      </c>
      <c r="W1773" s="64">
        <f>IF($A1773="","",IFERROR(INDEX(계정매핑!$D$5:$D$504,MATCH($F1773&amp;"",계정매핑!$A$5:$A$504,0)),"미매핑"))</f>
        <v/>
      </c>
      <c r="X1773" s="9">
        <f>IF($A1773="","",$F1773&amp;"")</f>
        <v/>
      </c>
      <c r="Y1773" s="94">
        <f>IF($A1773="",0,IF(AE1773="직접",IF(AF1773="비귀속",$P1773,0),$P1773*(1-AG1773)*IFERROR(INDEX(계정대체기준!$F$20:$F$49,MATCH($N1773,계정대체기준!$A$20:$A$49,0)),1)))</f>
        <v/>
      </c>
      <c r="Z1773" s="94">
        <f>IF($A1773="",0,IF(AE1773="직접",IF(AF1773="신계약비",$P1773,0),$P1773*(1-AG1773)*IFERROR(INDEX(계정대체기준!$C$20:$C$49,MATCH($N1773,계정대체기준!$A$20:$A$49,0)),0)))</f>
        <v/>
      </c>
      <c r="AA1773" s="94">
        <f>IF($A1773="",0,IF(AE1773="직접",IF(OR(AF1773="유지비",AF1773="손해조사비"),$P1773,0),$P1773*(1-AG1773)*IFERROR(INDEX(계정대체기준!$D$20:$D$49,MATCH($N1773,계정대체기준!$A$20:$A$49,0)),0)))</f>
        <v/>
      </c>
      <c r="AB1773" s="94">
        <f>IF($A1773="",0,IF(AE1773="직접",IF(AF1773="수금비",$P1773,0),$P1773*(1-AG1773)*IFERROR(INDEX(계정대체기준!$E$20:$E$49,MATCH($N1773,계정대체기준!$A$20:$A$49,0)),0)))</f>
        <v/>
      </c>
      <c r="AC1773" s="9">
        <f>IF(AND($A1773&lt;&gt;"",M1773=설정!$C$20,Z1773&gt;0),Z1773+ROW()/1000000000,"")</f>
        <v/>
      </c>
      <c r="AD1773" s="94">
        <f>IF($A1773="",0,$P1773*AG1773)</f>
        <v/>
      </c>
      <c r="AE1773" s="64">
        <f>IF($A1773="","",IFERROR(INDEX(계정매핑!$E$5:$E$504,MATCH($F1773&amp;"",계정매핑!$A$5:$A$504,0))&amp;"","공통비"))</f>
        <v/>
      </c>
      <c r="AF1773" s="64">
        <f>IF($A1773="","",IF(AE1773="직접",IFERROR(INDEX(계정매핑!$F$5:$F$504,MATCH($F1773&amp;"",계정매핑!$A$5:$A$504,0))&amp;"","비귀속"),""))</f>
        <v/>
      </c>
      <c r="AG1773" s="96">
        <f>IF($A1773="",0,IF(AND(AE1773&lt;&gt;"직접",IFERROR(INDEX(계정매핑!$G$5:$G$504,MATCH($F1773&amp;"",계정매핑!$A$5:$A$504,0))&amp;"","")="유지비",COUNTIF(계정대체기준!$A$6:$A$15,$N1773)&gt;0),IFERROR(INDEX(계정대체기준!$E$6:$E$15,MATCH(VALUE($A1773&amp;""),계정대체기준!$D$6:$D$15,0)),0),0))</f>
        <v/>
      </c>
      <c r="AH1773" s="64">
        <f>IF($A1773="","",IF(AD1773=0,"",IF(OR(COUNTIF(계정대체기준!$A$77:$A$86,$N1773)&gt;0,ISNUMBER(MATCH($X1773,계정대체기준!$D$77:$D$86,0)),ISNUMBER(MATCH($F1773,계정대체기준!$D$77:$D$86,0))),"Y","N")))</f>
        <v/>
      </c>
    </row>
    <row r="1774">
      <c r="A1774" s="92" t="n">
        <v>2025</v>
      </c>
      <c r="B1774" s="92" t="n">
        <v>8</v>
      </c>
      <c r="C1774" s="92" t="inlineStr">
        <is>
          <t>5100001770</t>
        </is>
      </c>
      <c r="D1774" s="95" t="n">
        <v>45892</v>
      </c>
      <c r="E1774" s="92" t="inlineStr">
        <is>
          <t>KR</t>
        </is>
      </c>
      <c r="F1774" s="92" t="n">
        <v>62301000</v>
      </c>
      <c r="G1774" s="92" t="n">
        <v>1401</v>
      </c>
      <c r="H1774" s="93" t="n">
        <v>86000</v>
      </c>
      <c r="I1774" s="92" t="inlineStr">
        <is>
          <t>8월 소모품 구입 - Q오피스</t>
        </is>
      </c>
      <c r="J1774" s="92" t="inlineStr">
        <is>
          <t>V10003</t>
        </is>
      </c>
      <c r="K1774" s="92" t="inlineStr">
        <is>
          <t>Q오피스</t>
        </is>
      </c>
      <c r="M1774" s="9">
        <f>IF($A1774="","",VALUE($A1774&amp;"")*12+VALUE($B1774&amp;""))</f>
        <v/>
      </c>
      <c r="N1774" s="64">
        <f>IF($A1774="","",IFERROR(INDEX(부서매핑!$C$5:$C$504,MATCH($G1774&amp;"",부서매핑!$A$5:$A$504,0)),"미매핑"))</f>
        <v/>
      </c>
      <c r="O1774" s="9">
        <f>IF($A1774="","",N1774&amp;"|"&amp;$F1774)</f>
        <v/>
      </c>
      <c r="P1774" s="94">
        <f>IF($A1774="",0,$H1774*설정!$C$23)</f>
        <v/>
      </c>
      <c r="Q1774" s="64">
        <f>IF($A1774="","",IF(O1774&lt;&gt;원인분석!$C$9,"",IF(AND(M1774&gt;=원인분석!$C$10,M1774&lt;=원인분석!$C$11),"당기",IF(AND(M1774&gt;=원인분석!$C$12,M1774&lt;=원인분석!$C$13),"비교",""))))</f>
        <v/>
      </c>
      <c r="R1774" s="9">
        <f>IF(Q1774="","",$K1774&amp;"")</f>
        <v/>
      </c>
      <c r="S1774" s="9">
        <f>IF(Q1774="","",IF(MATCH(R1774,$R$5:$R$100000,0)=ROW()-4,ROW(),""))</f>
        <v/>
      </c>
      <c r="T1774" s="9">
        <f>IF(Q1774="당기",ABS(P1774)+ROW()/1000000000,"")</f>
        <v/>
      </c>
      <c r="U1774" s="9">
        <f>IF(Q1774="비교",ABS(P1774)+ROW()/1000000000,"")</f>
        <v/>
      </c>
      <c r="V1774" s="64">
        <f>IF($A1774="","",IF(COUNTIF(변동분석!$E$7:$E$506,O1774)&gt;0,"Y","N"))</f>
        <v/>
      </c>
      <c r="W1774" s="64">
        <f>IF($A1774="","",IFERROR(INDEX(계정매핑!$D$5:$D$504,MATCH($F1774&amp;"",계정매핑!$A$5:$A$504,0)),"미매핑"))</f>
        <v/>
      </c>
      <c r="X1774" s="9">
        <f>IF($A1774="","",$F1774&amp;"")</f>
        <v/>
      </c>
      <c r="Y1774" s="94">
        <f>IF($A1774="",0,IF(AE1774="직접",IF(AF1774="비귀속",$P1774,0),$P1774*(1-AG1774)*IFERROR(INDEX(계정대체기준!$F$20:$F$49,MATCH($N1774,계정대체기준!$A$20:$A$49,0)),1)))</f>
        <v/>
      </c>
      <c r="Z1774" s="94">
        <f>IF($A1774="",0,IF(AE1774="직접",IF(AF1774="신계약비",$P1774,0),$P1774*(1-AG1774)*IFERROR(INDEX(계정대체기준!$C$20:$C$49,MATCH($N1774,계정대체기준!$A$20:$A$49,0)),0)))</f>
        <v/>
      </c>
      <c r="AA1774" s="94">
        <f>IF($A1774="",0,IF(AE1774="직접",IF(OR(AF1774="유지비",AF1774="손해조사비"),$P1774,0),$P1774*(1-AG1774)*IFERROR(INDEX(계정대체기준!$D$20:$D$49,MATCH($N1774,계정대체기준!$A$20:$A$49,0)),0)))</f>
        <v/>
      </c>
      <c r="AB1774" s="94">
        <f>IF($A1774="",0,IF(AE1774="직접",IF(AF1774="수금비",$P1774,0),$P1774*(1-AG1774)*IFERROR(INDEX(계정대체기준!$E$20:$E$49,MATCH($N1774,계정대체기준!$A$20:$A$49,0)),0)))</f>
        <v/>
      </c>
      <c r="AC1774" s="9">
        <f>IF(AND($A1774&lt;&gt;"",M1774=설정!$C$20,Z1774&gt;0),Z1774+ROW()/1000000000,"")</f>
        <v/>
      </c>
      <c r="AD1774" s="94">
        <f>IF($A1774="",0,$P1774*AG1774)</f>
        <v/>
      </c>
      <c r="AE1774" s="64">
        <f>IF($A1774="","",IFERROR(INDEX(계정매핑!$E$5:$E$504,MATCH($F1774&amp;"",계정매핑!$A$5:$A$504,0))&amp;"","공통비"))</f>
        <v/>
      </c>
      <c r="AF1774" s="64">
        <f>IF($A1774="","",IF(AE1774="직접",IFERROR(INDEX(계정매핑!$F$5:$F$504,MATCH($F1774&amp;"",계정매핑!$A$5:$A$504,0))&amp;"","비귀속"),""))</f>
        <v/>
      </c>
      <c r="AG1774" s="96">
        <f>IF($A1774="",0,IF(AND(AE1774&lt;&gt;"직접",IFERROR(INDEX(계정매핑!$G$5:$G$504,MATCH($F1774&amp;"",계정매핑!$A$5:$A$504,0))&amp;"","")="유지비",COUNTIF(계정대체기준!$A$6:$A$15,$N1774)&gt;0),IFERROR(INDEX(계정대체기준!$E$6:$E$15,MATCH(VALUE($A1774&amp;""),계정대체기준!$D$6:$D$15,0)),0),0))</f>
        <v/>
      </c>
      <c r="AH1774" s="64">
        <f>IF($A1774="","",IF(AD1774=0,"",IF(OR(COUNTIF(계정대체기준!$A$77:$A$86,$N1774)&gt;0,ISNUMBER(MATCH($X1774,계정대체기준!$D$77:$D$86,0)),ISNUMBER(MATCH($F1774,계정대체기준!$D$77:$D$86,0))),"Y","N")))</f>
        <v/>
      </c>
    </row>
    <row r="1775">
      <c r="A1775" s="92" t="n">
        <v>2025</v>
      </c>
      <c r="B1775" s="92" t="n">
        <v>8</v>
      </c>
      <c r="C1775" s="92" t="inlineStr">
        <is>
          <t>5100001771</t>
        </is>
      </c>
      <c r="D1775" s="95" t="n">
        <v>45892</v>
      </c>
      <c r="E1775" s="92" t="inlineStr">
        <is>
          <t>KR</t>
        </is>
      </c>
      <c r="F1775" s="92" t="n">
        <v>62301000</v>
      </c>
      <c r="G1775" s="92" t="n">
        <v>1602</v>
      </c>
      <c r="H1775" s="93" t="n">
        <v>625000</v>
      </c>
      <c r="I1775" s="92" t="inlineStr">
        <is>
          <t>8월 소모품 구입 - R문구</t>
        </is>
      </c>
      <c r="J1775" s="92" t="inlineStr">
        <is>
          <t>V10022</t>
        </is>
      </c>
      <c r="K1775" s="92" t="inlineStr">
        <is>
          <t>R문구</t>
        </is>
      </c>
      <c r="M1775" s="9">
        <f>IF($A1775="","",VALUE($A1775&amp;"")*12+VALUE($B1775&amp;""))</f>
        <v/>
      </c>
      <c r="N1775" s="64">
        <f>IF($A1775="","",IFERROR(INDEX(부서매핑!$C$5:$C$504,MATCH($G1775&amp;"",부서매핑!$A$5:$A$504,0)),"미매핑"))</f>
        <v/>
      </c>
      <c r="O1775" s="9">
        <f>IF($A1775="","",N1775&amp;"|"&amp;$F1775)</f>
        <v/>
      </c>
      <c r="P1775" s="94">
        <f>IF($A1775="",0,$H1775*설정!$C$23)</f>
        <v/>
      </c>
      <c r="Q1775" s="64">
        <f>IF($A1775="","",IF(O1775&lt;&gt;원인분석!$C$9,"",IF(AND(M1775&gt;=원인분석!$C$10,M1775&lt;=원인분석!$C$11),"당기",IF(AND(M1775&gt;=원인분석!$C$12,M1775&lt;=원인분석!$C$13),"비교",""))))</f>
        <v/>
      </c>
      <c r="R1775" s="9">
        <f>IF(Q1775="","",$K1775&amp;"")</f>
        <v/>
      </c>
      <c r="S1775" s="9">
        <f>IF(Q1775="","",IF(MATCH(R1775,$R$5:$R$100000,0)=ROW()-4,ROW(),""))</f>
        <v/>
      </c>
      <c r="T1775" s="9">
        <f>IF(Q1775="당기",ABS(P1775)+ROW()/1000000000,"")</f>
        <v/>
      </c>
      <c r="U1775" s="9">
        <f>IF(Q1775="비교",ABS(P1775)+ROW()/1000000000,"")</f>
        <v/>
      </c>
      <c r="V1775" s="64">
        <f>IF($A1775="","",IF(COUNTIF(변동분석!$E$7:$E$506,O1775)&gt;0,"Y","N"))</f>
        <v/>
      </c>
      <c r="W1775" s="64">
        <f>IF($A1775="","",IFERROR(INDEX(계정매핑!$D$5:$D$504,MATCH($F1775&amp;"",계정매핑!$A$5:$A$504,0)),"미매핑"))</f>
        <v/>
      </c>
      <c r="X1775" s="9">
        <f>IF($A1775="","",$F1775&amp;"")</f>
        <v/>
      </c>
      <c r="Y1775" s="94">
        <f>IF($A1775="",0,IF(AE1775="직접",IF(AF1775="비귀속",$P1775,0),$P1775*(1-AG1775)*IFERROR(INDEX(계정대체기준!$F$20:$F$49,MATCH($N1775,계정대체기준!$A$20:$A$49,0)),1)))</f>
        <v/>
      </c>
      <c r="Z1775" s="94">
        <f>IF($A1775="",0,IF(AE1775="직접",IF(AF1775="신계약비",$P1775,0),$P1775*(1-AG1775)*IFERROR(INDEX(계정대체기준!$C$20:$C$49,MATCH($N1775,계정대체기준!$A$20:$A$49,0)),0)))</f>
        <v/>
      </c>
      <c r="AA1775" s="94">
        <f>IF($A1775="",0,IF(AE1775="직접",IF(OR(AF1775="유지비",AF1775="손해조사비"),$P1775,0),$P1775*(1-AG1775)*IFERROR(INDEX(계정대체기준!$D$20:$D$49,MATCH($N1775,계정대체기준!$A$20:$A$49,0)),0)))</f>
        <v/>
      </c>
      <c r="AB1775" s="94">
        <f>IF($A1775="",0,IF(AE1775="직접",IF(AF1775="수금비",$P1775,0),$P1775*(1-AG1775)*IFERROR(INDEX(계정대체기준!$E$20:$E$49,MATCH($N1775,계정대체기준!$A$20:$A$49,0)),0)))</f>
        <v/>
      </c>
      <c r="AC1775" s="9">
        <f>IF(AND($A1775&lt;&gt;"",M1775=설정!$C$20,Z1775&gt;0),Z1775+ROW()/1000000000,"")</f>
        <v/>
      </c>
      <c r="AD1775" s="94">
        <f>IF($A1775="",0,$P1775*AG1775)</f>
        <v/>
      </c>
      <c r="AE1775" s="64">
        <f>IF($A1775="","",IFERROR(INDEX(계정매핑!$E$5:$E$504,MATCH($F1775&amp;"",계정매핑!$A$5:$A$504,0))&amp;"","공통비"))</f>
        <v/>
      </c>
      <c r="AF1775" s="64">
        <f>IF($A1775="","",IF(AE1775="직접",IFERROR(INDEX(계정매핑!$F$5:$F$504,MATCH($F1775&amp;"",계정매핑!$A$5:$A$504,0))&amp;"","비귀속"),""))</f>
        <v/>
      </c>
      <c r="AG1775" s="96">
        <f>IF($A1775="",0,IF(AND(AE1775&lt;&gt;"직접",IFERROR(INDEX(계정매핑!$G$5:$G$504,MATCH($F1775&amp;"",계정매핑!$A$5:$A$504,0))&amp;"","")="유지비",COUNTIF(계정대체기준!$A$6:$A$15,$N1775)&gt;0),IFERROR(INDEX(계정대체기준!$E$6:$E$15,MATCH(VALUE($A1775&amp;""),계정대체기준!$D$6:$D$15,0)),0),0))</f>
        <v/>
      </c>
      <c r="AH1775" s="64">
        <f>IF($A1775="","",IF(AD1775=0,"",IF(OR(COUNTIF(계정대체기준!$A$77:$A$86,$N1775)&gt;0,ISNUMBER(MATCH($X1775,계정대체기준!$D$77:$D$86,0)),ISNUMBER(MATCH($F1775,계정대체기준!$D$77:$D$86,0))),"Y","N")))</f>
        <v/>
      </c>
    </row>
    <row r="1776">
      <c r="A1776" s="92" t="n">
        <v>2025</v>
      </c>
      <c r="B1776" s="92" t="n">
        <v>8</v>
      </c>
      <c r="C1776" s="92" t="inlineStr">
        <is>
          <t>5100001772</t>
        </is>
      </c>
      <c r="D1776" s="95" t="n">
        <v>45892</v>
      </c>
      <c r="E1776" s="92" t="inlineStr">
        <is>
          <t>KR</t>
        </is>
      </c>
      <c r="F1776" s="92" t="n">
        <v>62501000</v>
      </c>
      <c r="G1776" s="92" t="n">
        <v>1701</v>
      </c>
      <c r="H1776" s="93" t="n">
        <v>119000</v>
      </c>
      <c r="I1776" s="92" t="inlineStr">
        <is>
          <t>8월 회의 다과 - (법인카드)</t>
        </is>
      </c>
      <c r="J1776" s="92" t="inlineStr">
        <is>
          <t>V10010</t>
        </is>
      </c>
      <c r="K1776" s="92" t="inlineStr">
        <is>
          <t>(법인카드)</t>
        </is>
      </c>
      <c r="M1776" s="9">
        <f>IF($A1776="","",VALUE($A1776&amp;"")*12+VALUE($B1776&amp;""))</f>
        <v/>
      </c>
      <c r="N1776" s="64">
        <f>IF($A1776="","",IFERROR(INDEX(부서매핑!$C$5:$C$504,MATCH($G1776&amp;"",부서매핑!$A$5:$A$504,0)),"미매핑"))</f>
        <v/>
      </c>
      <c r="O1776" s="9">
        <f>IF($A1776="","",N1776&amp;"|"&amp;$F1776)</f>
        <v/>
      </c>
      <c r="P1776" s="94">
        <f>IF($A1776="",0,$H1776*설정!$C$23)</f>
        <v/>
      </c>
      <c r="Q1776" s="64">
        <f>IF($A1776="","",IF(O1776&lt;&gt;원인분석!$C$9,"",IF(AND(M1776&gt;=원인분석!$C$10,M1776&lt;=원인분석!$C$11),"당기",IF(AND(M1776&gt;=원인분석!$C$12,M1776&lt;=원인분석!$C$13),"비교",""))))</f>
        <v/>
      </c>
      <c r="R1776" s="9">
        <f>IF(Q1776="","",$K1776&amp;"")</f>
        <v/>
      </c>
      <c r="S1776" s="9">
        <f>IF(Q1776="","",IF(MATCH(R1776,$R$5:$R$100000,0)=ROW()-4,ROW(),""))</f>
        <v/>
      </c>
      <c r="T1776" s="9">
        <f>IF(Q1776="당기",ABS(P1776)+ROW()/1000000000,"")</f>
        <v/>
      </c>
      <c r="U1776" s="9">
        <f>IF(Q1776="비교",ABS(P1776)+ROW()/1000000000,"")</f>
        <v/>
      </c>
      <c r="V1776" s="64">
        <f>IF($A1776="","",IF(COUNTIF(변동분석!$E$7:$E$506,O1776)&gt;0,"Y","N"))</f>
        <v/>
      </c>
      <c r="W1776" s="64">
        <f>IF($A1776="","",IFERROR(INDEX(계정매핑!$D$5:$D$504,MATCH($F1776&amp;"",계정매핑!$A$5:$A$504,0)),"미매핑"))</f>
        <v/>
      </c>
      <c r="X1776" s="9">
        <f>IF($A1776="","",$F1776&amp;"")</f>
        <v/>
      </c>
      <c r="Y1776" s="94">
        <f>IF($A1776="",0,IF(AE1776="직접",IF(AF1776="비귀속",$P1776,0),$P1776*(1-AG1776)*IFERROR(INDEX(계정대체기준!$F$20:$F$49,MATCH($N1776,계정대체기준!$A$20:$A$49,0)),1)))</f>
        <v/>
      </c>
      <c r="Z1776" s="94">
        <f>IF($A1776="",0,IF(AE1776="직접",IF(AF1776="신계약비",$P1776,0),$P1776*(1-AG1776)*IFERROR(INDEX(계정대체기준!$C$20:$C$49,MATCH($N1776,계정대체기준!$A$20:$A$49,0)),0)))</f>
        <v/>
      </c>
      <c r="AA1776" s="94">
        <f>IF($A1776="",0,IF(AE1776="직접",IF(OR(AF1776="유지비",AF1776="손해조사비"),$P1776,0),$P1776*(1-AG1776)*IFERROR(INDEX(계정대체기준!$D$20:$D$49,MATCH($N1776,계정대체기준!$A$20:$A$49,0)),0)))</f>
        <v/>
      </c>
      <c r="AB1776" s="94">
        <f>IF($A1776="",0,IF(AE1776="직접",IF(AF1776="수금비",$P1776,0),$P1776*(1-AG1776)*IFERROR(INDEX(계정대체기준!$E$20:$E$49,MATCH($N1776,계정대체기준!$A$20:$A$49,0)),0)))</f>
        <v/>
      </c>
      <c r="AC1776" s="9">
        <f>IF(AND($A1776&lt;&gt;"",M1776=설정!$C$20,Z1776&gt;0),Z1776+ROW()/1000000000,"")</f>
        <v/>
      </c>
      <c r="AD1776" s="94">
        <f>IF($A1776="",0,$P1776*AG1776)</f>
        <v/>
      </c>
      <c r="AE1776" s="64">
        <f>IF($A1776="","",IFERROR(INDEX(계정매핑!$E$5:$E$504,MATCH($F1776&amp;"",계정매핑!$A$5:$A$504,0))&amp;"","공통비"))</f>
        <v/>
      </c>
      <c r="AF1776" s="64">
        <f>IF($A1776="","",IF(AE1776="직접",IFERROR(INDEX(계정매핑!$F$5:$F$504,MATCH($F1776&amp;"",계정매핑!$A$5:$A$504,0))&amp;"","비귀속"),""))</f>
        <v/>
      </c>
      <c r="AG1776" s="96">
        <f>IF($A1776="",0,IF(AND(AE1776&lt;&gt;"직접",IFERROR(INDEX(계정매핑!$G$5:$G$504,MATCH($F1776&amp;"",계정매핑!$A$5:$A$504,0))&amp;"","")="유지비",COUNTIF(계정대체기준!$A$6:$A$15,$N1776)&gt;0),IFERROR(INDEX(계정대체기준!$E$6:$E$15,MATCH(VALUE($A1776&amp;""),계정대체기준!$D$6:$D$15,0)),0),0))</f>
        <v/>
      </c>
      <c r="AH1776" s="64">
        <f>IF($A1776="","",IF(AD1776=0,"",IF(OR(COUNTIF(계정대체기준!$A$77:$A$86,$N1776)&gt;0,ISNUMBER(MATCH($X1776,계정대체기준!$D$77:$D$86,0)),ISNUMBER(MATCH($F1776,계정대체기준!$D$77:$D$86,0))),"Y","N")))</f>
        <v/>
      </c>
    </row>
    <row r="1777">
      <c r="A1777" s="92" t="n">
        <v>2025</v>
      </c>
      <c r="B1777" s="92" t="n">
        <v>8</v>
      </c>
      <c r="C1777" s="92" t="inlineStr">
        <is>
          <t>5100001773</t>
        </is>
      </c>
      <c r="D1777" s="95" t="n">
        <v>45892</v>
      </c>
      <c r="E1777" s="92" t="inlineStr">
        <is>
          <t>KR</t>
        </is>
      </c>
      <c r="F1777" s="92" t="n">
        <v>62802000</v>
      </c>
      <c r="G1777" s="92" t="n">
        <v>1301</v>
      </c>
      <c r="H1777" s="93" t="n">
        <v>5600000</v>
      </c>
      <c r="I1777" s="92" t="inlineStr">
        <is>
          <t>8월 위탁교육 - I교육원</t>
        </is>
      </c>
      <c r="J1777" s="92" t="inlineStr">
        <is>
          <t>V10019</t>
        </is>
      </c>
      <c r="K1777" s="92" t="inlineStr">
        <is>
          <t>I교육원</t>
        </is>
      </c>
      <c r="M1777" s="9">
        <f>IF($A1777="","",VALUE($A1777&amp;"")*12+VALUE($B1777&amp;""))</f>
        <v/>
      </c>
      <c r="N1777" s="64">
        <f>IF($A1777="","",IFERROR(INDEX(부서매핑!$C$5:$C$504,MATCH($G1777&amp;"",부서매핑!$A$5:$A$504,0)),"미매핑"))</f>
        <v/>
      </c>
      <c r="O1777" s="9">
        <f>IF($A1777="","",N1777&amp;"|"&amp;$F1777)</f>
        <v/>
      </c>
      <c r="P1777" s="94">
        <f>IF($A1777="",0,$H1777*설정!$C$23)</f>
        <v/>
      </c>
      <c r="Q1777" s="64">
        <f>IF($A1777="","",IF(O1777&lt;&gt;원인분석!$C$9,"",IF(AND(M1777&gt;=원인분석!$C$10,M1777&lt;=원인분석!$C$11),"당기",IF(AND(M1777&gt;=원인분석!$C$12,M1777&lt;=원인분석!$C$13),"비교",""))))</f>
        <v/>
      </c>
      <c r="R1777" s="9">
        <f>IF(Q1777="","",$K1777&amp;"")</f>
        <v/>
      </c>
      <c r="S1777" s="9">
        <f>IF(Q1777="","",IF(MATCH(R1777,$R$5:$R$100000,0)=ROW()-4,ROW(),""))</f>
        <v/>
      </c>
      <c r="T1777" s="9">
        <f>IF(Q1777="당기",ABS(P1777)+ROW()/1000000000,"")</f>
        <v/>
      </c>
      <c r="U1777" s="9">
        <f>IF(Q1777="비교",ABS(P1777)+ROW()/1000000000,"")</f>
        <v/>
      </c>
      <c r="V1777" s="64">
        <f>IF($A1777="","",IF(COUNTIF(변동분석!$E$7:$E$506,O1777)&gt;0,"Y","N"))</f>
        <v/>
      </c>
      <c r="W1777" s="64">
        <f>IF($A1777="","",IFERROR(INDEX(계정매핑!$D$5:$D$504,MATCH($F1777&amp;"",계정매핑!$A$5:$A$504,0)),"미매핑"))</f>
        <v/>
      </c>
      <c r="X1777" s="9">
        <f>IF($A1777="","",$F1777&amp;"")</f>
        <v/>
      </c>
      <c r="Y1777" s="94">
        <f>IF($A1777="",0,IF(AE1777="직접",IF(AF1777="비귀속",$P1777,0),$P1777*(1-AG1777)*IFERROR(INDEX(계정대체기준!$F$20:$F$49,MATCH($N1777,계정대체기준!$A$20:$A$49,0)),1)))</f>
        <v/>
      </c>
      <c r="Z1777" s="94">
        <f>IF($A1777="",0,IF(AE1777="직접",IF(AF1777="신계약비",$P1777,0),$P1777*(1-AG1777)*IFERROR(INDEX(계정대체기준!$C$20:$C$49,MATCH($N1777,계정대체기준!$A$20:$A$49,0)),0)))</f>
        <v/>
      </c>
      <c r="AA1777" s="94">
        <f>IF($A1777="",0,IF(AE1777="직접",IF(OR(AF1777="유지비",AF1777="손해조사비"),$P1777,0),$P1777*(1-AG1777)*IFERROR(INDEX(계정대체기준!$D$20:$D$49,MATCH($N1777,계정대체기준!$A$20:$A$49,0)),0)))</f>
        <v/>
      </c>
      <c r="AB1777" s="94">
        <f>IF($A1777="",0,IF(AE1777="직접",IF(AF1777="수금비",$P1777,0),$P1777*(1-AG1777)*IFERROR(INDEX(계정대체기준!$E$20:$E$49,MATCH($N1777,계정대체기준!$A$20:$A$49,0)),0)))</f>
        <v/>
      </c>
      <c r="AC1777" s="9">
        <f>IF(AND($A1777&lt;&gt;"",M1777=설정!$C$20,Z1777&gt;0),Z1777+ROW()/1000000000,"")</f>
        <v/>
      </c>
      <c r="AD1777" s="94">
        <f>IF($A1777="",0,$P1777*AG1777)</f>
        <v/>
      </c>
      <c r="AE1777" s="64">
        <f>IF($A1777="","",IFERROR(INDEX(계정매핑!$E$5:$E$504,MATCH($F1777&amp;"",계정매핑!$A$5:$A$504,0))&amp;"","공통비"))</f>
        <v/>
      </c>
      <c r="AF1777" s="64">
        <f>IF($A1777="","",IF(AE1777="직접",IFERROR(INDEX(계정매핑!$F$5:$F$504,MATCH($F1777&amp;"",계정매핑!$A$5:$A$504,0))&amp;"","비귀속"),""))</f>
        <v/>
      </c>
      <c r="AG1777" s="96">
        <f>IF($A1777="",0,IF(AND(AE1777&lt;&gt;"직접",IFERROR(INDEX(계정매핑!$G$5:$G$504,MATCH($F1777&amp;"",계정매핑!$A$5:$A$504,0))&amp;"","")="유지비",COUNTIF(계정대체기준!$A$6:$A$15,$N1777)&gt;0),IFERROR(INDEX(계정대체기준!$E$6:$E$15,MATCH(VALUE($A1777&amp;""),계정대체기준!$D$6:$D$15,0)),0),0))</f>
        <v/>
      </c>
      <c r="AH1777" s="64">
        <f>IF($A1777="","",IF(AD1777=0,"",IF(OR(COUNTIF(계정대체기준!$A$77:$A$86,$N1777)&gt;0,ISNUMBER(MATCH($X1777,계정대체기준!$D$77:$D$86,0)),ISNUMBER(MATCH($F1777,계정대체기준!$D$77:$D$86,0))),"Y","N")))</f>
        <v/>
      </c>
    </row>
    <row r="1778">
      <c r="A1778" s="92" t="n">
        <v>2025</v>
      </c>
      <c r="B1778" s="92" t="n">
        <v>8</v>
      </c>
      <c r="C1778" s="92" t="inlineStr">
        <is>
          <t>5100001774</t>
        </is>
      </c>
      <c r="D1778" s="95" t="n">
        <v>45893</v>
      </c>
      <c r="E1778" s="92" t="inlineStr">
        <is>
          <t>KR</t>
        </is>
      </c>
      <c r="F1778" s="92" t="n">
        <v>62101000</v>
      </c>
      <c r="G1778" s="92" t="n">
        <v>1602</v>
      </c>
      <c r="H1778" s="93" t="n">
        <v>1520000</v>
      </c>
      <c r="I1778" s="92" t="inlineStr">
        <is>
          <t>8월 국내출장 - L여행사</t>
        </is>
      </c>
      <c r="J1778" s="92" t="inlineStr">
        <is>
          <t>V10018</t>
        </is>
      </c>
      <c r="K1778" s="92" t="inlineStr">
        <is>
          <t>L여행사</t>
        </is>
      </c>
      <c r="M1778" s="9">
        <f>IF($A1778="","",VALUE($A1778&amp;"")*12+VALUE($B1778&amp;""))</f>
        <v/>
      </c>
      <c r="N1778" s="64">
        <f>IF($A1778="","",IFERROR(INDEX(부서매핑!$C$5:$C$504,MATCH($G1778&amp;"",부서매핑!$A$5:$A$504,0)),"미매핑"))</f>
        <v/>
      </c>
      <c r="O1778" s="9">
        <f>IF($A1778="","",N1778&amp;"|"&amp;$F1778)</f>
        <v/>
      </c>
      <c r="P1778" s="94">
        <f>IF($A1778="",0,$H1778*설정!$C$23)</f>
        <v/>
      </c>
      <c r="Q1778" s="64">
        <f>IF($A1778="","",IF(O1778&lt;&gt;원인분석!$C$9,"",IF(AND(M1778&gt;=원인분석!$C$10,M1778&lt;=원인분석!$C$11),"당기",IF(AND(M1778&gt;=원인분석!$C$12,M1778&lt;=원인분석!$C$13),"비교",""))))</f>
        <v/>
      </c>
      <c r="R1778" s="9">
        <f>IF(Q1778="","",$K1778&amp;"")</f>
        <v/>
      </c>
      <c r="S1778" s="9">
        <f>IF(Q1778="","",IF(MATCH(R1778,$R$5:$R$100000,0)=ROW()-4,ROW(),""))</f>
        <v/>
      </c>
      <c r="T1778" s="9">
        <f>IF(Q1778="당기",ABS(P1778)+ROW()/1000000000,"")</f>
        <v/>
      </c>
      <c r="U1778" s="9">
        <f>IF(Q1778="비교",ABS(P1778)+ROW()/1000000000,"")</f>
        <v/>
      </c>
      <c r="V1778" s="64">
        <f>IF($A1778="","",IF(COUNTIF(변동분석!$E$7:$E$506,O1778)&gt;0,"Y","N"))</f>
        <v/>
      </c>
      <c r="W1778" s="64">
        <f>IF($A1778="","",IFERROR(INDEX(계정매핑!$D$5:$D$504,MATCH($F1778&amp;"",계정매핑!$A$5:$A$504,0)),"미매핑"))</f>
        <v/>
      </c>
      <c r="X1778" s="9">
        <f>IF($A1778="","",$F1778&amp;"")</f>
        <v/>
      </c>
      <c r="Y1778" s="94">
        <f>IF($A1778="",0,IF(AE1778="직접",IF(AF1778="비귀속",$P1778,0),$P1778*(1-AG1778)*IFERROR(INDEX(계정대체기준!$F$20:$F$49,MATCH($N1778,계정대체기준!$A$20:$A$49,0)),1)))</f>
        <v/>
      </c>
      <c r="Z1778" s="94">
        <f>IF($A1778="",0,IF(AE1778="직접",IF(AF1778="신계약비",$P1778,0),$P1778*(1-AG1778)*IFERROR(INDEX(계정대체기준!$C$20:$C$49,MATCH($N1778,계정대체기준!$A$20:$A$49,0)),0)))</f>
        <v/>
      </c>
      <c r="AA1778" s="94">
        <f>IF($A1778="",0,IF(AE1778="직접",IF(OR(AF1778="유지비",AF1778="손해조사비"),$P1778,0),$P1778*(1-AG1778)*IFERROR(INDEX(계정대체기준!$D$20:$D$49,MATCH($N1778,계정대체기준!$A$20:$A$49,0)),0)))</f>
        <v/>
      </c>
      <c r="AB1778" s="94">
        <f>IF($A1778="",0,IF(AE1778="직접",IF(AF1778="수금비",$P1778,0),$P1778*(1-AG1778)*IFERROR(INDEX(계정대체기준!$E$20:$E$49,MATCH($N1778,계정대체기준!$A$20:$A$49,0)),0)))</f>
        <v/>
      </c>
      <c r="AC1778" s="9">
        <f>IF(AND($A1778&lt;&gt;"",M1778=설정!$C$20,Z1778&gt;0),Z1778+ROW()/1000000000,"")</f>
        <v/>
      </c>
      <c r="AD1778" s="94">
        <f>IF($A1778="",0,$P1778*AG1778)</f>
        <v/>
      </c>
      <c r="AE1778" s="64">
        <f>IF($A1778="","",IFERROR(INDEX(계정매핑!$E$5:$E$504,MATCH($F1778&amp;"",계정매핑!$A$5:$A$504,0))&amp;"","공통비"))</f>
        <v/>
      </c>
      <c r="AF1778" s="64">
        <f>IF($A1778="","",IF(AE1778="직접",IFERROR(INDEX(계정매핑!$F$5:$F$504,MATCH($F1778&amp;"",계정매핑!$A$5:$A$504,0))&amp;"","비귀속"),""))</f>
        <v/>
      </c>
      <c r="AG1778" s="96">
        <f>IF($A1778="",0,IF(AND(AE1778&lt;&gt;"직접",IFERROR(INDEX(계정매핑!$G$5:$G$504,MATCH($F1778&amp;"",계정매핑!$A$5:$A$504,0))&amp;"","")="유지비",COUNTIF(계정대체기준!$A$6:$A$15,$N1778)&gt;0),IFERROR(INDEX(계정대체기준!$E$6:$E$15,MATCH(VALUE($A1778&amp;""),계정대체기준!$D$6:$D$15,0)),0),0))</f>
        <v/>
      </c>
      <c r="AH1778" s="64">
        <f>IF($A1778="","",IF(AD1778=0,"",IF(OR(COUNTIF(계정대체기준!$A$77:$A$86,$N1778)&gt;0,ISNUMBER(MATCH($X1778,계정대체기준!$D$77:$D$86,0)),ISNUMBER(MATCH($F1778,계정대체기준!$D$77:$D$86,0))),"Y","N")))</f>
        <v/>
      </c>
    </row>
    <row r="1779">
      <c r="A1779" s="92" t="n">
        <v>2025</v>
      </c>
      <c r="B1779" s="92" t="n">
        <v>8</v>
      </c>
      <c r="C1779" s="92" t="inlineStr">
        <is>
          <t>5100001775</t>
        </is>
      </c>
      <c r="D1779" s="95" t="n">
        <v>45893</v>
      </c>
      <c r="E1779" s="92" t="inlineStr">
        <is>
          <t>KR</t>
        </is>
      </c>
      <c r="F1779" s="92" t="n">
        <v>62102000</v>
      </c>
      <c r="G1779" s="92" t="n">
        <v>1801</v>
      </c>
      <c r="H1779" s="93" t="n">
        <v>39000</v>
      </c>
      <c r="I1779" s="92" t="inlineStr">
        <is>
          <t>8월 해외출장 - M항공</t>
        </is>
      </c>
      <c r="J1779" s="92" t="inlineStr">
        <is>
          <t>V10001</t>
        </is>
      </c>
      <c r="K1779" s="92" t="inlineStr">
        <is>
          <t>M항공</t>
        </is>
      </c>
      <c r="M1779" s="9">
        <f>IF($A1779="","",VALUE($A1779&amp;"")*12+VALUE($B1779&amp;""))</f>
        <v/>
      </c>
      <c r="N1779" s="64">
        <f>IF($A1779="","",IFERROR(INDEX(부서매핑!$C$5:$C$504,MATCH($G1779&amp;"",부서매핑!$A$5:$A$504,0)),"미매핑"))</f>
        <v/>
      </c>
      <c r="O1779" s="9">
        <f>IF($A1779="","",N1779&amp;"|"&amp;$F1779)</f>
        <v/>
      </c>
      <c r="P1779" s="94">
        <f>IF($A1779="",0,$H1779*설정!$C$23)</f>
        <v/>
      </c>
      <c r="Q1779" s="64">
        <f>IF($A1779="","",IF(O1779&lt;&gt;원인분석!$C$9,"",IF(AND(M1779&gt;=원인분석!$C$10,M1779&lt;=원인분석!$C$11),"당기",IF(AND(M1779&gt;=원인분석!$C$12,M1779&lt;=원인분석!$C$13),"비교",""))))</f>
        <v/>
      </c>
      <c r="R1779" s="9">
        <f>IF(Q1779="","",$K1779&amp;"")</f>
        <v/>
      </c>
      <c r="S1779" s="9">
        <f>IF(Q1779="","",IF(MATCH(R1779,$R$5:$R$100000,0)=ROW()-4,ROW(),""))</f>
        <v/>
      </c>
      <c r="T1779" s="9">
        <f>IF(Q1779="당기",ABS(P1779)+ROW()/1000000000,"")</f>
        <v/>
      </c>
      <c r="U1779" s="9">
        <f>IF(Q1779="비교",ABS(P1779)+ROW()/1000000000,"")</f>
        <v/>
      </c>
      <c r="V1779" s="64">
        <f>IF($A1779="","",IF(COUNTIF(변동분석!$E$7:$E$506,O1779)&gt;0,"Y","N"))</f>
        <v/>
      </c>
      <c r="W1779" s="64">
        <f>IF($A1779="","",IFERROR(INDEX(계정매핑!$D$5:$D$504,MATCH($F1779&amp;"",계정매핑!$A$5:$A$504,0)),"미매핑"))</f>
        <v/>
      </c>
      <c r="X1779" s="9">
        <f>IF($A1779="","",$F1779&amp;"")</f>
        <v/>
      </c>
      <c r="Y1779" s="94">
        <f>IF($A1779="",0,IF(AE1779="직접",IF(AF1779="비귀속",$P1779,0),$P1779*(1-AG1779)*IFERROR(INDEX(계정대체기준!$F$20:$F$49,MATCH($N1779,계정대체기준!$A$20:$A$49,0)),1)))</f>
        <v/>
      </c>
      <c r="Z1779" s="94">
        <f>IF($A1779="",0,IF(AE1779="직접",IF(AF1779="신계약비",$P1779,0),$P1779*(1-AG1779)*IFERROR(INDEX(계정대체기준!$C$20:$C$49,MATCH($N1779,계정대체기준!$A$20:$A$49,0)),0)))</f>
        <v/>
      </c>
      <c r="AA1779" s="94">
        <f>IF($A1779="",0,IF(AE1779="직접",IF(OR(AF1779="유지비",AF1779="손해조사비"),$P1779,0),$P1779*(1-AG1779)*IFERROR(INDEX(계정대체기준!$D$20:$D$49,MATCH($N1779,계정대체기준!$A$20:$A$49,0)),0)))</f>
        <v/>
      </c>
      <c r="AB1779" s="94">
        <f>IF($A1779="",0,IF(AE1779="직접",IF(AF1779="수금비",$P1779,0),$P1779*(1-AG1779)*IFERROR(INDEX(계정대체기준!$E$20:$E$49,MATCH($N1779,계정대체기준!$A$20:$A$49,0)),0)))</f>
        <v/>
      </c>
      <c r="AC1779" s="9">
        <f>IF(AND($A1779&lt;&gt;"",M1779=설정!$C$20,Z1779&gt;0),Z1779+ROW()/1000000000,"")</f>
        <v/>
      </c>
      <c r="AD1779" s="94">
        <f>IF($A1779="",0,$P1779*AG1779)</f>
        <v/>
      </c>
      <c r="AE1779" s="64">
        <f>IF($A1779="","",IFERROR(INDEX(계정매핑!$E$5:$E$504,MATCH($F1779&amp;"",계정매핑!$A$5:$A$504,0))&amp;"","공통비"))</f>
        <v/>
      </c>
      <c r="AF1779" s="64">
        <f>IF($A1779="","",IF(AE1779="직접",IFERROR(INDEX(계정매핑!$F$5:$F$504,MATCH($F1779&amp;"",계정매핑!$A$5:$A$504,0))&amp;"","비귀속"),""))</f>
        <v/>
      </c>
      <c r="AG1779" s="96">
        <f>IF($A1779="",0,IF(AND(AE1779&lt;&gt;"직접",IFERROR(INDEX(계정매핑!$G$5:$G$504,MATCH($F1779&amp;"",계정매핑!$A$5:$A$504,0))&amp;"","")="유지비",COUNTIF(계정대체기준!$A$6:$A$15,$N1779)&gt;0),IFERROR(INDEX(계정대체기준!$E$6:$E$15,MATCH(VALUE($A1779&amp;""),계정대체기준!$D$6:$D$15,0)),0),0))</f>
        <v/>
      </c>
      <c r="AH1779" s="64">
        <f>IF($A1779="","",IF(AD1779=0,"",IF(OR(COUNTIF(계정대체기준!$A$77:$A$86,$N1779)&gt;0,ISNUMBER(MATCH($X1779,계정대체기준!$D$77:$D$86,0)),ISNUMBER(MATCH($F1779,계정대체기준!$D$77:$D$86,0))),"Y","N")))</f>
        <v/>
      </c>
    </row>
    <row r="1780">
      <c r="A1780" s="92" t="n">
        <v>2025</v>
      </c>
      <c r="B1780" s="92" t="n">
        <v>8</v>
      </c>
      <c r="C1780" s="92" t="inlineStr">
        <is>
          <t>5100001776</t>
        </is>
      </c>
      <c r="D1780" s="95" t="n">
        <v>45893</v>
      </c>
      <c r="E1780" s="92" t="inlineStr">
        <is>
          <t>KR</t>
        </is>
      </c>
      <c r="F1780" s="92" t="n">
        <v>62102000</v>
      </c>
      <c r="G1780" s="92" t="n">
        <v>1801</v>
      </c>
      <c r="H1780" s="93" t="n">
        <v>24000</v>
      </c>
      <c r="I1780" s="92" t="inlineStr">
        <is>
          <t>8월 해외출장 - N호텔</t>
        </is>
      </c>
      <c r="J1780" s="92" t="inlineStr">
        <is>
          <t>V10009</t>
        </is>
      </c>
      <c r="K1780" s="92" t="inlineStr">
        <is>
          <t>N호텔</t>
        </is>
      </c>
      <c r="M1780" s="9">
        <f>IF($A1780="","",VALUE($A1780&amp;"")*12+VALUE($B1780&amp;""))</f>
        <v/>
      </c>
      <c r="N1780" s="64">
        <f>IF($A1780="","",IFERROR(INDEX(부서매핑!$C$5:$C$504,MATCH($G1780&amp;"",부서매핑!$A$5:$A$504,0)),"미매핑"))</f>
        <v/>
      </c>
      <c r="O1780" s="9">
        <f>IF($A1780="","",N1780&amp;"|"&amp;$F1780)</f>
        <v/>
      </c>
      <c r="P1780" s="94">
        <f>IF($A1780="",0,$H1780*설정!$C$23)</f>
        <v/>
      </c>
      <c r="Q1780" s="64">
        <f>IF($A1780="","",IF(O1780&lt;&gt;원인분석!$C$9,"",IF(AND(M1780&gt;=원인분석!$C$10,M1780&lt;=원인분석!$C$11),"당기",IF(AND(M1780&gt;=원인분석!$C$12,M1780&lt;=원인분석!$C$13),"비교",""))))</f>
        <v/>
      </c>
      <c r="R1780" s="9">
        <f>IF(Q1780="","",$K1780&amp;"")</f>
        <v/>
      </c>
      <c r="S1780" s="9">
        <f>IF(Q1780="","",IF(MATCH(R1780,$R$5:$R$100000,0)=ROW()-4,ROW(),""))</f>
        <v/>
      </c>
      <c r="T1780" s="9">
        <f>IF(Q1780="당기",ABS(P1780)+ROW()/1000000000,"")</f>
        <v/>
      </c>
      <c r="U1780" s="9">
        <f>IF(Q1780="비교",ABS(P1780)+ROW()/1000000000,"")</f>
        <v/>
      </c>
      <c r="V1780" s="64">
        <f>IF($A1780="","",IF(COUNTIF(변동분석!$E$7:$E$506,O1780)&gt;0,"Y","N"))</f>
        <v/>
      </c>
      <c r="W1780" s="64">
        <f>IF($A1780="","",IFERROR(INDEX(계정매핑!$D$5:$D$504,MATCH($F1780&amp;"",계정매핑!$A$5:$A$504,0)),"미매핑"))</f>
        <v/>
      </c>
      <c r="X1780" s="9">
        <f>IF($A1780="","",$F1780&amp;"")</f>
        <v/>
      </c>
      <c r="Y1780" s="94">
        <f>IF($A1780="",0,IF(AE1780="직접",IF(AF1780="비귀속",$P1780,0),$P1780*(1-AG1780)*IFERROR(INDEX(계정대체기준!$F$20:$F$49,MATCH($N1780,계정대체기준!$A$20:$A$49,0)),1)))</f>
        <v/>
      </c>
      <c r="Z1780" s="94">
        <f>IF($A1780="",0,IF(AE1780="직접",IF(AF1780="신계약비",$P1780,0),$P1780*(1-AG1780)*IFERROR(INDEX(계정대체기준!$C$20:$C$49,MATCH($N1780,계정대체기준!$A$20:$A$49,0)),0)))</f>
        <v/>
      </c>
      <c r="AA1780" s="94">
        <f>IF($A1780="",0,IF(AE1780="직접",IF(OR(AF1780="유지비",AF1780="손해조사비"),$P1780,0),$P1780*(1-AG1780)*IFERROR(INDEX(계정대체기준!$D$20:$D$49,MATCH($N1780,계정대체기준!$A$20:$A$49,0)),0)))</f>
        <v/>
      </c>
      <c r="AB1780" s="94">
        <f>IF($A1780="",0,IF(AE1780="직접",IF(AF1780="수금비",$P1780,0),$P1780*(1-AG1780)*IFERROR(INDEX(계정대체기준!$E$20:$E$49,MATCH($N1780,계정대체기준!$A$20:$A$49,0)),0)))</f>
        <v/>
      </c>
      <c r="AC1780" s="9">
        <f>IF(AND($A1780&lt;&gt;"",M1780=설정!$C$20,Z1780&gt;0),Z1780+ROW()/1000000000,"")</f>
        <v/>
      </c>
      <c r="AD1780" s="94">
        <f>IF($A1780="",0,$P1780*AG1780)</f>
        <v/>
      </c>
      <c r="AE1780" s="64">
        <f>IF($A1780="","",IFERROR(INDEX(계정매핑!$E$5:$E$504,MATCH($F1780&amp;"",계정매핑!$A$5:$A$504,0))&amp;"","공통비"))</f>
        <v/>
      </c>
      <c r="AF1780" s="64">
        <f>IF($A1780="","",IF(AE1780="직접",IFERROR(INDEX(계정매핑!$F$5:$F$504,MATCH($F1780&amp;"",계정매핑!$A$5:$A$504,0))&amp;"","비귀속"),""))</f>
        <v/>
      </c>
      <c r="AG1780" s="96">
        <f>IF($A1780="",0,IF(AND(AE1780&lt;&gt;"직접",IFERROR(INDEX(계정매핑!$G$5:$G$504,MATCH($F1780&amp;"",계정매핑!$A$5:$A$504,0))&amp;"","")="유지비",COUNTIF(계정대체기준!$A$6:$A$15,$N1780)&gt;0),IFERROR(INDEX(계정대체기준!$E$6:$E$15,MATCH(VALUE($A1780&amp;""),계정대체기준!$D$6:$D$15,0)),0),0))</f>
        <v/>
      </c>
      <c r="AH1780" s="64">
        <f>IF($A1780="","",IF(AD1780=0,"",IF(OR(COUNTIF(계정대체기준!$A$77:$A$86,$N1780)&gt;0,ISNUMBER(MATCH($X1780,계정대체기준!$D$77:$D$86,0)),ISNUMBER(MATCH($F1780,계정대체기준!$D$77:$D$86,0))),"Y","N")))</f>
        <v/>
      </c>
    </row>
    <row r="1781">
      <c r="A1781" s="92" t="n">
        <v>2025</v>
      </c>
      <c r="B1781" s="92" t="n">
        <v>8</v>
      </c>
      <c r="C1781" s="92" t="inlineStr">
        <is>
          <t>5100001777</t>
        </is>
      </c>
      <c r="D1781" s="95" t="n">
        <v>45893</v>
      </c>
      <c r="E1781" s="92" t="inlineStr">
        <is>
          <t>KR</t>
        </is>
      </c>
      <c r="F1781" s="92" t="n">
        <v>62301000</v>
      </c>
      <c r="G1781" s="92" t="n">
        <v>1301</v>
      </c>
      <c r="H1781" s="93" t="n">
        <v>233000</v>
      </c>
      <c r="I1781" s="92" t="inlineStr">
        <is>
          <t>8월 소모품 구입 - Q오피스</t>
        </is>
      </c>
      <c r="J1781" s="92" t="inlineStr">
        <is>
          <t>V10003</t>
        </is>
      </c>
      <c r="K1781" s="92" t="inlineStr">
        <is>
          <t>Q오피스</t>
        </is>
      </c>
      <c r="M1781" s="9">
        <f>IF($A1781="","",VALUE($A1781&amp;"")*12+VALUE($B1781&amp;""))</f>
        <v/>
      </c>
      <c r="N1781" s="64">
        <f>IF($A1781="","",IFERROR(INDEX(부서매핑!$C$5:$C$504,MATCH($G1781&amp;"",부서매핑!$A$5:$A$504,0)),"미매핑"))</f>
        <v/>
      </c>
      <c r="O1781" s="9">
        <f>IF($A1781="","",N1781&amp;"|"&amp;$F1781)</f>
        <v/>
      </c>
      <c r="P1781" s="94">
        <f>IF($A1781="",0,$H1781*설정!$C$23)</f>
        <v/>
      </c>
      <c r="Q1781" s="64">
        <f>IF($A1781="","",IF(O1781&lt;&gt;원인분석!$C$9,"",IF(AND(M1781&gt;=원인분석!$C$10,M1781&lt;=원인분석!$C$11),"당기",IF(AND(M1781&gt;=원인분석!$C$12,M1781&lt;=원인분석!$C$13),"비교",""))))</f>
        <v/>
      </c>
      <c r="R1781" s="9">
        <f>IF(Q1781="","",$K1781&amp;"")</f>
        <v/>
      </c>
      <c r="S1781" s="9">
        <f>IF(Q1781="","",IF(MATCH(R1781,$R$5:$R$100000,0)=ROW()-4,ROW(),""))</f>
        <v/>
      </c>
      <c r="T1781" s="9">
        <f>IF(Q1781="당기",ABS(P1781)+ROW()/1000000000,"")</f>
        <v/>
      </c>
      <c r="U1781" s="9">
        <f>IF(Q1781="비교",ABS(P1781)+ROW()/1000000000,"")</f>
        <v/>
      </c>
      <c r="V1781" s="64">
        <f>IF($A1781="","",IF(COUNTIF(변동분석!$E$7:$E$506,O1781)&gt;0,"Y","N"))</f>
        <v/>
      </c>
      <c r="W1781" s="64">
        <f>IF($A1781="","",IFERROR(INDEX(계정매핑!$D$5:$D$504,MATCH($F1781&amp;"",계정매핑!$A$5:$A$504,0)),"미매핑"))</f>
        <v/>
      </c>
      <c r="X1781" s="9">
        <f>IF($A1781="","",$F1781&amp;"")</f>
        <v/>
      </c>
      <c r="Y1781" s="94">
        <f>IF($A1781="",0,IF(AE1781="직접",IF(AF1781="비귀속",$P1781,0),$P1781*(1-AG1781)*IFERROR(INDEX(계정대체기준!$F$20:$F$49,MATCH($N1781,계정대체기준!$A$20:$A$49,0)),1)))</f>
        <v/>
      </c>
      <c r="Z1781" s="94">
        <f>IF($A1781="",0,IF(AE1781="직접",IF(AF1781="신계약비",$P1781,0),$P1781*(1-AG1781)*IFERROR(INDEX(계정대체기준!$C$20:$C$49,MATCH($N1781,계정대체기준!$A$20:$A$49,0)),0)))</f>
        <v/>
      </c>
      <c r="AA1781" s="94">
        <f>IF($A1781="",0,IF(AE1781="직접",IF(OR(AF1781="유지비",AF1781="손해조사비"),$P1781,0),$P1781*(1-AG1781)*IFERROR(INDEX(계정대체기준!$D$20:$D$49,MATCH($N1781,계정대체기준!$A$20:$A$49,0)),0)))</f>
        <v/>
      </c>
      <c r="AB1781" s="94">
        <f>IF($A1781="",0,IF(AE1781="직접",IF(AF1781="수금비",$P1781,0),$P1781*(1-AG1781)*IFERROR(INDEX(계정대체기준!$E$20:$E$49,MATCH($N1781,계정대체기준!$A$20:$A$49,0)),0)))</f>
        <v/>
      </c>
      <c r="AC1781" s="9">
        <f>IF(AND($A1781&lt;&gt;"",M1781=설정!$C$20,Z1781&gt;0),Z1781+ROW()/1000000000,"")</f>
        <v/>
      </c>
      <c r="AD1781" s="94">
        <f>IF($A1781="",0,$P1781*AG1781)</f>
        <v/>
      </c>
      <c r="AE1781" s="64">
        <f>IF($A1781="","",IFERROR(INDEX(계정매핑!$E$5:$E$504,MATCH($F1781&amp;"",계정매핑!$A$5:$A$504,0))&amp;"","공통비"))</f>
        <v/>
      </c>
      <c r="AF1781" s="64">
        <f>IF($A1781="","",IF(AE1781="직접",IFERROR(INDEX(계정매핑!$F$5:$F$504,MATCH($F1781&amp;"",계정매핑!$A$5:$A$504,0))&amp;"","비귀속"),""))</f>
        <v/>
      </c>
      <c r="AG1781" s="96">
        <f>IF($A1781="",0,IF(AND(AE1781&lt;&gt;"직접",IFERROR(INDEX(계정매핑!$G$5:$G$504,MATCH($F1781&amp;"",계정매핑!$A$5:$A$504,0))&amp;"","")="유지비",COUNTIF(계정대체기준!$A$6:$A$15,$N1781)&gt;0),IFERROR(INDEX(계정대체기준!$E$6:$E$15,MATCH(VALUE($A1781&amp;""),계정대체기준!$D$6:$D$15,0)),0),0))</f>
        <v/>
      </c>
      <c r="AH1781" s="64">
        <f>IF($A1781="","",IF(AD1781=0,"",IF(OR(COUNTIF(계정대체기준!$A$77:$A$86,$N1781)&gt;0,ISNUMBER(MATCH($X1781,계정대체기준!$D$77:$D$86,0)),ISNUMBER(MATCH($F1781,계정대체기준!$D$77:$D$86,0))),"Y","N")))</f>
        <v/>
      </c>
    </row>
    <row r="1782">
      <c r="A1782" s="92" t="n">
        <v>2025</v>
      </c>
      <c r="B1782" s="92" t="n">
        <v>8</v>
      </c>
      <c r="C1782" s="92" t="inlineStr">
        <is>
          <t>5100001778</t>
        </is>
      </c>
      <c r="D1782" s="95" t="n">
        <v>45893</v>
      </c>
      <c r="E1782" s="92" t="inlineStr">
        <is>
          <t>KR</t>
        </is>
      </c>
      <c r="F1782" s="92" t="n">
        <v>62301000</v>
      </c>
      <c r="G1782" s="92" t="n">
        <v>1301</v>
      </c>
      <c r="H1782" s="93" t="n">
        <v>188000</v>
      </c>
      <c r="I1782" s="92" t="inlineStr">
        <is>
          <t>8월 소모품 구입 - R문구</t>
        </is>
      </c>
      <c r="J1782" s="92" t="inlineStr">
        <is>
          <t>V10022</t>
        </is>
      </c>
      <c r="K1782" s="92" t="inlineStr">
        <is>
          <t>R문구</t>
        </is>
      </c>
      <c r="M1782" s="9">
        <f>IF($A1782="","",VALUE($A1782&amp;"")*12+VALUE($B1782&amp;""))</f>
        <v/>
      </c>
      <c r="N1782" s="64">
        <f>IF($A1782="","",IFERROR(INDEX(부서매핑!$C$5:$C$504,MATCH($G1782&amp;"",부서매핑!$A$5:$A$504,0)),"미매핑"))</f>
        <v/>
      </c>
      <c r="O1782" s="9">
        <f>IF($A1782="","",N1782&amp;"|"&amp;$F1782)</f>
        <v/>
      </c>
      <c r="P1782" s="94">
        <f>IF($A1782="",0,$H1782*설정!$C$23)</f>
        <v/>
      </c>
      <c r="Q1782" s="64">
        <f>IF($A1782="","",IF(O1782&lt;&gt;원인분석!$C$9,"",IF(AND(M1782&gt;=원인분석!$C$10,M1782&lt;=원인분석!$C$11),"당기",IF(AND(M1782&gt;=원인분석!$C$12,M1782&lt;=원인분석!$C$13),"비교",""))))</f>
        <v/>
      </c>
      <c r="R1782" s="9">
        <f>IF(Q1782="","",$K1782&amp;"")</f>
        <v/>
      </c>
      <c r="S1782" s="9">
        <f>IF(Q1782="","",IF(MATCH(R1782,$R$5:$R$100000,0)=ROW()-4,ROW(),""))</f>
        <v/>
      </c>
      <c r="T1782" s="9">
        <f>IF(Q1782="당기",ABS(P1782)+ROW()/1000000000,"")</f>
        <v/>
      </c>
      <c r="U1782" s="9">
        <f>IF(Q1782="비교",ABS(P1782)+ROW()/1000000000,"")</f>
        <v/>
      </c>
      <c r="V1782" s="64">
        <f>IF($A1782="","",IF(COUNTIF(변동분석!$E$7:$E$506,O1782)&gt;0,"Y","N"))</f>
        <v/>
      </c>
      <c r="W1782" s="64">
        <f>IF($A1782="","",IFERROR(INDEX(계정매핑!$D$5:$D$504,MATCH($F1782&amp;"",계정매핑!$A$5:$A$504,0)),"미매핑"))</f>
        <v/>
      </c>
      <c r="X1782" s="9">
        <f>IF($A1782="","",$F1782&amp;"")</f>
        <v/>
      </c>
      <c r="Y1782" s="94">
        <f>IF($A1782="",0,IF(AE1782="직접",IF(AF1782="비귀속",$P1782,0),$P1782*(1-AG1782)*IFERROR(INDEX(계정대체기준!$F$20:$F$49,MATCH($N1782,계정대체기준!$A$20:$A$49,0)),1)))</f>
        <v/>
      </c>
      <c r="Z1782" s="94">
        <f>IF($A1782="",0,IF(AE1782="직접",IF(AF1782="신계약비",$P1782,0),$P1782*(1-AG1782)*IFERROR(INDEX(계정대체기준!$C$20:$C$49,MATCH($N1782,계정대체기준!$A$20:$A$49,0)),0)))</f>
        <v/>
      </c>
      <c r="AA1782" s="94">
        <f>IF($A1782="",0,IF(AE1782="직접",IF(OR(AF1782="유지비",AF1782="손해조사비"),$P1782,0),$P1782*(1-AG1782)*IFERROR(INDEX(계정대체기준!$D$20:$D$49,MATCH($N1782,계정대체기준!$A$20:$A$49,0)),0)))</f>
        <v/>
      </c>
      <c r="AB1782" s="94">
        <f>IF($A1782="",0,IF(AE1782="직접",IF(AF1782="수금비",$P1782,0),$P1782*(1-AG1782)*IFERROR(INDEX(계정대체기준!$E$20:$E$49,MATCH($N1782,계정대체기준!$A$20:$A$49,0)),0)))</f>
        <v/>
      </c>
      <c r="AC1782" s="9">
        <f>IF(AND($A1782&lt;&gt;"",M1782=설정!$C$20,Z1782&gt;0),Z1782+ROW()/1000000000,"")</f>
        <v/>
      </c>
      <c r="AD1782" s="94">
        <f>IF($A1782="",0,$P1782*AG1782)</f>
        <v/>
      </c>
      <c r="AE1782" s="64">
        <f>IF($A1782="","",IFERROR(INDEX(계정매핑!$E$5:$E$504,MATCH($F1782&amp;"",계정매핑!$A$5:$A$504,0))&amp;"","공통비"))</f>
        <v/>
      </c>
      <c r="AF1782" s="64">
        <f>IF($A1782="","",IF(AE1782="직접",IFERROR(INDEX(계정매핑!$F$5:$F$504,MATCH($F1782&amp;"",계정매핑!$A$5:$A$504,0))&amp;"","비귀속"),""))</f>
        <v/>
      </c>
      <c r="AG1782" s="96">
        <f>IF($A1782="",0,IF(AND(AE1782&lt;&gt;"직접",IFERROR(INDEX(계정매핑!$G$5:$G$504,MATCH($F1782&amp;"",계정매핑!$A$5:$A$504,0))&amp;"","")="유지비",COUNTIF(계정대체기준!$A$6:$A$15,$N1782)&gt;0),IFERROR(INDEX(계정대체기준!$E$6:$E$15,MATCH(VALUE($A1782&amp;""),계정대체기준!$D$6:$D$15,0)),0),0))</f>
        <v/>
      </c>
      <c r="AH1782" s="64">
        <f>IF($A1782="","",IF(AD1782=0,"",IF(OR(COUNTIF(계정대체기준!$A$77:$A$86,$N1782)&gt;0,ISNUMBER(MATCH($X1782,계정대체기준!$D$77:$D$86,0)),ISNUMBER(MATCH($F1782,계정대체기준!$D$77:$D$86,0))),"Y","N")))</f>
        <v/>
      </c>
    </row>
    <row r="1783">
      <c r="A1783" s="92" t="n">
        <v>2025</v>
      </c>
      <c r="B1783" s="92" t="n">
        <v>8</v>
      </c>
      <c r="C1783" s="92" t="inlineStr">
        <is>
          <t>5100001779</t>
        </is>
      </c>
      <c r="D1783" s="95" t="n">
        <v>45893</v>
      </c>
      <c r="E1783" s="92" t="inlineStr">
        <is>
          <t>KR</t>
        </is>
      </c>
      <c r="F1783" s="92" t="n">
        <v>62501000</v>
      </c>
      <c r="G1783" s="92" t="n">
        <v>1101</v>
      </c>
      <c r="H1783" s="93" t="n">
        <v>126000</v>
      </c>
      <c r="I1783" s="92" t="inlineStr">
        <is>
          <t>8월 회의 다과 - (법인카드)</t>
        </is>
      </c>
      <c r="J1783" s="92" t="inlineStr">
        <is>
          <t>V10010</t>
        </is>
      </c>
      <c r="K1783" s="92" t="inlineStr">
        <is>
          <t>(법인카드)</t>
        </is>
      </c>
      <c r="M1783" s="9">
        <f>IF($A1783="","",VALUE($A1783&amp;"")*12+VALUE($B1783&amp;""))</f>
        <v/>
      </c>
      <c r="N1783" s="64">
        <f>IF($A1783="","",IFERROR(INDEX(부서매핑!$C$5:$C$504,MATCH($G1783&amp;"",부서매핑!$A$5:$A$504,0)),"미매핑"))</f>
        <v/>
      </c>
      <c r="O1783" s="9">
        <f>IF($A1783="","",N1783&amp;"|"&amp;$F1783)</f>
        <v/>
      </c>
      <c r="P1783" s="94">
        <f>IF($A1783="",0,$H1783*설정!$C$23)</f>
        <v/>
      </c>
      <c r="Q1783" s="64">
        <f>IF($A1783="","",IF(O1783&lt;&gt;원인분석!$C$9,"",IF(AND(M1783&gt;=원인분석!$C$10,M1783&lt;=원인분석!$C$11),"당기",IF(AND(M1783&gt;=원인분석!$C$12,M1783&lt;=원인분석!$C$13),"비교",""))))</f>
        <v/>
      </c>
      <c r="R1783" s="9">
        <f>IF(Q1783="","",$K1783&amp;"")</f>
        <v/>
      </c>
      <c r="S1783" s="9">
        <f>IF(Q1783="","",IF(MATCH(R1783,$R$5:$R$100000,0)=ROW()-4,ROW(),""))</f>
        <v/>
      </c>
      <c r="T1783" s="9">
        <f>IF(Q1783="당기",ABS(P1783)+ROW()/1000000000,"")</f>
        <v/>
      </c>
      <c r="U1783" s="9">
        <f>IF(Q1783="비교",ABS(P1783)+ROW()/1000000000,"")</f>
        <v/>
      </c>
      <c r="V1783" s="64">
        <f>IF($A1783="","",IF(COUNTIF(변동분석!$E$7:$E$506,O1783)&gt;0,"Y","N"))</f>
        <v/>
      </c>
      <c r="W1783" s="64">
        <f>IF($A1783="","",IFERROR(INDEX(계정매핑!$D$5:$D$504,MATCH($F1783&amp;"",계정매핑!$A$5:$A$504,0)),"미매핑"))</f>
        <v/>
      </c>
      <c r="X1783" s="9">
        <f>IF($A1783="","",$F1783&amp;"")</f>
        <v/>
      </c>
      <c r="Y1783" s="94">
        <f>IF($A1783="",0,IF(AE1783="직접",IF(AF1783="비귀속",$P1783,0),$P1783*(1-AG1783)*IFERROR(INDEX(계정대체기준!$F$20:$F$49,MATCH($N1783,계정대체기준!$A$20:$A$49,0)),1)))</f>
        <v/>
      </c>
      <c r="Z1783" s="94">
        <f>IF($A1783="",0,IF(AE1783="직접",IF(AF1783="신계약비",$P1783,0),$P1783*(1-AG1783)*IFERROR(INDEX(계정대체기준!$C$20:$C$49,MATCH($N1783,계정대체기준!$A$20:$A$49,0)),0)))</f>
        <v/>
      </c>
      <c r="AA1783" s="94">
        <f>IF($A1783="",0,IF(AE1783="직접",IF(OR(AF1783="유지비",AF1783="손해조사비"),$P1783,0),$P1783*(1-AG1783)*IFERROR(INDEX(계정대체기준!$D$20:$D$49,MATCH($N1783,계정대체기준!$A$20:$A$49,0)),0)))</f>
        <v/>
      </c>
      <c r="AB1783" s="94">
        <f>IF($A1783="",0,IF(AE1783="직접",IF(AF1783="수금비",$P1783,0),$P1783*(1-AG1783)*IFERROR(INDEX(계정대체기준!$E$20:$E$49,MATCH($N1783,계정대체기준!$A$20:$A$49,0)),0)))</f>
        <v/>
      </c>
      <c r="AC1783" s="9">
        <f>IF(AND($A1783&lt;&gt;"",M1783=설정!$C$20,Z1783&gt;0),Z1783+ROW()/1000000000,"")</f>
        <v/>
      </c>
      <c r="AD1783" s="94">
        <f>IF($A1783="",0,$P1783*AG1783)</f>
        <v/>
      </c>
      <c r="AE1783" s="64">
        <f>IF($A1783="","",IFERROR(INDEX(계정매핑!$E$5:$E$504,MATCH($F1783&amp;"",계정매핑!$A$5:$A$504,0))&amp;"","공통비"))</f>
        <v/>
      </c>
      <c r="AF1783" s="64">
        <f>IF($A1783="","",IF(AE1783="직접",IFERROR(INDEX(계정매핑!$F$5:$F$504,MATCH($F1783&amp;"",계정매핑!$A$5:$A$504,0))&amp;"","비귀속"),""))</f>
        <v/>
      </c>
      <c r="AG1783" s="96">
        <f>IF($A1783="",0,IF(AND(AE1783&lt;&gt;"직접",IFERROR(INDEX(계정매핑!$G$5:$G$504,MATCH($F1783&amp;"",계정매핑!$A$5:$A$504,0))&amp;"","")="유지비",COUNTIF(계정대체기준!$A$6:$A$15,$N1783)&gt;0),IFERROR(INDEX(계정대체기준!$E$6:$E$15,MATCH(VALUE($A1783&amp;""),계정대체기준!$D$6:$D$15,0)),0),0))</f>
        <v/>
      </c>
      <c r="AH1783" s="64">
        <f>IF($A1783="","",IF(AD1783=0,"",IF(OR(COUNTIF(계정대체기준!$A$77:$A$86,$N1783)&gt;0,ISNUMBER(MATCH($X1783,계정대체기준!$D$77:$D$86,0)),ISNUMBER(MATCH($F1783,계정대체기준!$D$77:$D$86,0))),"Y","N")))</f>
        <v/>
      </c>
    </row>
    <row r="1784">
      <c r="A1784" s="92" t="n">
        <v>2025</v>
      </c>
      <c r="B1784" s="92" t="n">
        <v>8</v>
      </c>
      <c r="C1784" s="92" t="inlineStr">
        <is>
          <t>5100001780</t>
        </is>
      </c>
      <c r="D1784" s="95" t="n">
        <v>45893</v>
      </c>
      <c r="E1784" s="92" t="inlineStr">
        <is>
          <t>KR</t>
        </is>
      </c>
      <c r="F1784" s="92" t="n">
        <v>62501000</v>
      </c>
      <c r="G1784" s="92" t="n">
        <v>1301</v>
      </c>
      <c r="H1784" s="93" t="n">
        <v>331000</v>
      </c>
      <c r="I1784" s="92" t="inlineStr">
        <is>
          <t>8월 회의 다과 - T케이터링</t>
        </is>
      </c>
      <c r="J1784" s="92" t="inlineStr">
        <is>
          <t>V10005</t>
        </is>
      </c>
      <c r="K1784" s="92" t="inlineStr">
        <is>
          <t>T케이터링</t>
        </is>
      </c>
      <c r="M1784" s="9">
        <f>IF($A1784="","",VALUE($A1784&amp;"")*12+VALUE($B1784&amp;""))</f>
        <v/>
      </c>
      <c r="N1784" s="64">
        <f>IF($A1784="","",IFERROR(INDEX(부서매핑!$C$5:$C$504,MATCH($G1784&amp;"",부서매핑!$A$5:$A$504,0)),"미매핑"))</f>
        <v/>
      </c>
      <c r="O1784" s="9">
        <f>IF($A1784="","",N1784&amp;"|"&amp;$F1784)</f>
        <v/>
      </c>
      <c r="P1784" s="94">
        <f>IF($A1784="",0,$H1784*설정!$C$23)</f>
        <v/>
      </c>
      <c r="Q1784" s="64">
        <f>IF($A1784="","",IF(O1784&lt;&gt;원인분석!$C$9,"",IF(AND(M1784&gt;=원인분석!$C$10,M1784&lt;=원인분석!$C$11),"당기",IF(AND(M1784&gt;=원인분석!$C$12,M1784&lt;=원인분석!$C$13),"비교",""))))</f>
        <v/>
      </c>
      <c r="R1784" s="9">
        <f>IF(Q1784="","",$K1784&amp;"")</f>
        <v/>
      </c>
      <c r="S1784" s="9">
        <f>IF(Q1784="","",IF(MATCH(R1784,$R$5:$R$100000,0)=ROW()-4,ROW(),""))</f>
        <v/>
      </c>
      <c r="T1784" s="9">
        <f>IF(Q1784="당기",ABS(P1784)+ROW()/1000000000,"")</f>
        <v/>
      </c>
      <c r="U1784" s="9">
        <f>IF(Q1784="비교",ABS(P1784)+ROW()/1000000000,"")</f>
        <v/>
      </c>
      <c r="V1784" s="64">
        <f>IF($A1784="","",IF(COUNTIF(변동분석!$E$7:$E$506,O1784)&gt;0,"Y","N"))</f>
        <v/>
      </c>
      <c r="W1784" s="64">
        <f>IF($A1784="","",IFERROR(INDEX(계정매핑!$D$5:$D$504,MATCH($F1784&amp;"",계정매핑!$A$5:$A$504,0)),"미매핑"))</f>
        <v/>
      </c>
      <c r="X1784" s="9">
        <f>IF($A1784="","",$F1784&amp;"")</f>
        <v/>
      </c>
      <c r="Y1784" s="94">
        <f>IF($A1784="",0,IF(AE1784="직접",IF(AF1784="비귀속",$P1784,0),$P1784*(1-AG1784)*IFERROR(INDEX(계정대체기준!$F$20:$F$49,MATCH($N1784,계정대체기준!$A$20:$A$49,0)),1)))</f>
        <v/>
      </c>
      <c r="Z1784" s="94">
        <f>IF($A1784="",0,IF(AE1784="직접",IF(AF1784="신계약비",$P1784,0),$P1784*(1-AG1784)*IFERROR(INDEX(계정대체기준!$C$20:$C$49,MATCH($N1784,계정대체기준!$A$20:$A$49,0)),0)))</f>
        <v/>
      </c>
      <c r="AA1784" s="94">
        <f>IF($A1784="",0,IF(AE1784="직접",IF(OR(AF1784="유지비",AF1784="손해조사비"),$P1784,0),$P1784*(1-AG1784)*IFERROR(INDEX(계정대체기준!$D$20:$D$49,MATCH($N1784,계정대체기준!$A$20:$A$49,0)),0)))</f>
        <v/>
      </c>
      <c r="AB1784" s="94">
        <f>IF($A1784="",0,IF(AE1784="직접",IF(AF1784="수금비",$P1784,0),$P1784*(1-AG1784)*IFERROR(INDEX(계정대체기준!$E$20:$E$49,MATCH($N1784,계정대체기준!$A$20:$A$49,0)),0)))</f>
        <v/>
      </c>
      <c r="AC1784" s="9">
        <f>IF(AND($A1784&lt;&gt;"",M1784=설정!$C$20,Z1784&gt;0),Z1784+ROW()/1000000000,"")</f>
        <v/>
      </c>
      <c r="AD1784" s="94">
        <f>IF($A1784="",0,$P1784*AG1784)</f>
        <v/>
      </c>
      <c r="AE1784" s="64">
        <f>IF($A1784="","",IFERROR(INDEX(계정매핑!$E$5:$E$504,MATCH($F1784&amp;"",계정매핑!$A$5:$A$504,0))&amp;"","공통비"))</f>
        <v/>
      </c>
      <c r="AF1784" s="64">
        <f>IF($A1784="","",IF(AE1784="직접",IFERROR(INDEX(계정매핑!$F$5:$F$504,MATCH($F1784&amp;"",계정매핑!$A$5:$A$504,0))&amp;"","비귀속"),""))</f>
        <v/>
      </c>
      <c r="AG1784" s="96">
        <f>IF($A1784="",0,IF(AND(AE1784&lt;&gt;"직접",IFERROR(INDEX(계정매핑!$G$5:$G$504,MATCH($F1784&amp;"",계정매핑!$A$5:$A$504,0))&amp;"","")="유지비",COUNTIF(계정대체기준!$A$6:$A$15,$N1784)&gt;0),IFERROR(INDEX(계정대체기준!$E$6:$E$15,MATCH(VALUE($A1784&amp;""),계정대체기준!$D$6:$D$15,0)),0),0))</f>
        <v/>
      </c>
      <c r="AH1784" s="64">
        <f>IF($A1784="","",IF(AD1784=0,"",IF(OR(COUNTIF(계정대체기준!$A$77:$A$86,$N1784)&gt;0,ISNUMBER(MATCH($X1784,계정대체기준!$D$77:$D$86,0)),ISNUMBER(MATCH($F1784,계정대체기준!$D$77:$D$86,0))),"Y","N")))</f>
        <v/>
      </c>
    </row>
    <row r="1785">
      <c r="A1785" s="92" t="n">
        <v>2025</v>
      </c>
      <c r="B1785" s="92" t="n">
        <v>8</v>
      </c>
      <c r="C1785" s="92" t="inlineStr">
        <is>
          <t>5100001781</t>
        </is>
      </c>
      <c r="D1785" s="95" t="n">
        <v>45893</v>
      </c>
      <c r="E1785" s="92" t="inlineStr">
        <is>
          <t>KR</t>
        </is>
      </c>
      <c r="F1785" s="92" t="n">
        <v>62501000</v>
      </c>
      <c r="G1785" s="92" t="n">
        <v>1401</v>
      </c>
      <c r="H1785" s="93" t="n">
        <v>200000</v>
      </c>
      <c r="I1785" s="92" t="inlineStr">
        <is>
          <t>8월 회의 다과 - T케이터링</t>
        </is>
      </c>
      <c r="J1785" s="92" t="inlineStr">
        <is>
          <t>V10005</t>
        </is>
      </c>
      <c r="K1785" s="92" t="inlineStr">
        <is>
          <t>T케이터링</t>
        </is>
      </c>
      <c r="M1785" s="9">
        <f>IF($A1785="","",VALUE($A1785&amp;"")*12+VALUE($B1785&amp;""))</f>
        <v/>
      </c>
      <c r="N1785" s="64">
        <f>IF($A1785="","",IFERROR(INDEX(부서매핑!$C$5:$C$504,MATCH($G1785&amp;"",부서매핑!$A$5:$A$504,0)),"미매핑"))</f>
        <v/>
      </c>
      <c r="O1785" s="9">
        <f>IF($A1785="","",N1785&amp;"|"&amp;$F1785)</f>
        <v/>
      </c>
      <c r="P1785" s="94">
        <f>IF($A1785="",0,$H1785*설정!$C$23)</f>
        <v/>
      </c>
      <c r="Q1785" s="64">
        <f>IF($A1785="","",IF(O1785&lt;&gt;원인분석!$C$9,"",IF(AND(M1785&gt;=원인분석!$C$10,M1785&lt;=원인분석!$C$11),"당기",IF(AND(M1785&gt;=원인분석!$C$12,M1785&lt;=원인분석!$C$13),"비교",""))))</f>
        <v/>
      </c>
      <c r="R1785" s="9">
        <f>IF(Q1785="","",$K1785&amp;"")</f>
        <v/>
      </c>
      <c r="S1785" s="9">
        <f>IF(Q1785="","",IF(MATCH(R1785,$R$5:$R$100000,0)=ROW()-4,ROW(),""))</f>
        <v/>
      </c>
      <c r="T1785" s="9">
        <f>IF(Q1785="당기",ABS(P1785)+ROW()/1000000000,"")</f>
        <v/>
      </c>
      <c r="U1785" s="9">
        <f>IF(Q1785="비교",ABS(P1785)+ROW()/1000000000,"")</f>
        <v/>
      </c>
      <c r="V1785" s="64">
        <f>IF($A1785="","",IF(COUNTIF(변동분석!$E$7:$E$506,O1785)&gt;0,"Y","N"))</f>
        <v/>
      </c>
      <c r="W1785" s="64">
        <f>IF($A1785="","",IFERROR(INDEX(계정매핑!$D$5:$D$504,MATCH($F1785&amp;"",계정매핑!$A$5:$A$504,0)),"미매핑"))</f>
        <v/>
      </c>
      <c r="X1785" s="9">
        <f>IF($A1785="","",$F1785&amp;"")</f>
        <v/>
      </c>
      <c r="Y1785" s="94">
        <f>IF($A1785="",0,IF(AE1785="직접",IF(AF1785="비귀속",$P1785,0),$P1785*(1-AG1785)*IFERROR(INDEX(계정대체기준!$F$20:$F$49,MATCH($N1785,계정대체기준!$A$20:$A$49,0)),1)))</f>
        <v/>
      </c>
      <c r="Z1785" s="94">
        <f>IF($A1785="",0,IF(AE1785="직접",IF(AF1785="신계약비",$P1785,0),$P1785*(1-AG1785)*IFERROR(INDEX(계정대체기준!$C$20:$C$49,MATCH($N1785,계정대체기준!$A$20:$A$49,0)),0)))</f>
        <v/>
      </c>
      <c r="AA1785" s="94">
        <f>IF($A1785="",0,IF(AE1785="직접",IF(OR(AF1785="유지비",AF1785="손해조사비"),$P1785,0),$P1785*(1-AG1785)*IFERROR(INDEX(계정대체기준!$D$20:$D$49,MATCH($N1785,계정대체기준!$A$20:$A$49,0)),0)))</f>
        <v/>
      </c>
      <c r="AB1785" s="94">
        <f>IF($A1785="",0,IF(AE1785="직접",IF(AF1785="수금비",$P1785,0),$P1785*(1-AG1785)*IFERROR(INDEX(계정대체기준!$E$20:$E$49,MATCH($N1785,계정대체기준!$A$20:$A$49,0)),0)))</f>
        <v/>
      </c>
      <c r="AC1785" s="9">
        <f>IF(AND($A1785&lt;&gt;"",M1785=설정!$C$20,Z1785&gt;0),Z1785+ROW()/1000000000,"")</f>
        <v/>
      </c>
      <c r="AD1785" s="94">
        <f>IF($A1785="",0,$P1785*AG1785)</f>
        <v/>
      </c>
      <c r="AE1785" s="64">
        <f>IF($A1785="","",IFERROR(INDEX(계정매핑!$E$5:$E$504,MATCH($F1785&amp;"",계정매핑!$A$5:$A$504,0))&amp;"","공통비"))</f>
        <v/>
      </c>
      <c r="AF1785" s="64">
        <f>IF($A1785="","",IF(AE1785="직접",IFERROR(INDEX(계정매핑!$F$5:$F$504,MATCH($F1785&amp;"",계정매핑!$A$5:$A$504,0))&amp;"","비귀속"),""))</f>
        <v/>
      </c>
      <c r="AG1785" s="96">
        <f>IF($A1785="",0,IF(AND(AE1785&lt;&gt;"직접",IFERROR(INDEX(계정매핑!$G$5:$G$504,MATCH($F1785&amp;"",계정매핑!$A$5:$A$504,0))&amp;"","")="유지비",COUNTIF(계정대체기준!$A$6:$A$15,$N1785)&gt;0),IFERROR(INDEX(계정대체기준!$E$6:$E$15,MATCH(VALUE($A1785&amp;""),계정대체기준!$D$6:$D$15,0)),0),0))</f>
        <v/>
      </c>
      <c r="AH1785" s="64">
        <f>IF($A1785="","",IF(AD1785=0,"",IF(OR(COUNTIF(계정대체기준!$A$77:$A$86,$N1785)&gt;0,ISNUMBER(MATCH($X1785,계정대체기준!$D$77:$D$86,0)),ISNUMBER(MATCH($F1785,계정대체기준!$D$77:$D$86,0))),"Y","N")))</f>
        <v/>
      </c>
    </row>
    <row r="1786">
      <c r="A1786" s="92" t="n">
        <v>2025</v>
      </c>
      <c r="B1786" s="92" t="n">
        <v>8</v>
      </c>
      <c r="C1786" s="92" t="inlineStr">
        <is>
          <t>5100001782</t>
        </is>
      </c>
      <c r="D1786" s="95" t="n">
        <v>45893</v>
      </c>
      <c r="E1786" s="92" t="inlineStr">
        <is>
          <t>KR</t>
        </is>
      </c>
      <c r="F1786" s="92" t="n">
        <v>62902000</v>
      </c>
      <c r="G1786" s="92" t="n">
        <v>1401</v>
      </c>
      <c r="H1786" s="93" t="n">
        <v>3786000</v>
      </c>
      <c r="I1786" s="92" t="inlineStr">
        <is>
          <t>8월 업무 위탁 수수료 - X서비스</t>
        </is>
      </c>
      <c r="J1786" s="92" t="inlineStr">
        <is>
          <t>V10020</t>
        </is>
      </c>
      <c r="K1786" s="92" t="inlineStr">
        <is>
          <t>X서비스</t>
        </is>
      </c>
      <c r="M1786" s="9">
        <f>IF($A1786="","",VALUE($A1786&amp;"")*12+VALUE($B1786&amp;""))</f>
        <v/>
      </c>
      <c r="N1786" s="64">
        <f>IF($A1786="","",IFERROR(INDEX(부서매핑!$C$5:$C$504,MATCH($G1786&amp;"",부서매핑!$A$5:$A$504,0)),"미매핑"))</f>
        <v/>
      </c>
      <c r="O1786" s="9">
        <f>IF($A1786="","",N1786&amp;"|"&amp;$F1786)</f>
        <v/>
      </c>
      <c r="P1786" s="94">
        <f>IF($A1786="",0,$H1786*설정!$C$23)</f>
        <v/>
      </c>
      <c r="Q1786" s="64">
        <f>IF($A1786="","",IF(O1786&lt;&gt;원인분석!$C$9,"",IF(AND(M1786&gt;=원인분석!$C$10,M1786&lt;=원인분석!$C$11),"당기",IF(AND(M1786&gt;=원인분석!$C$12,M1786&lt;=원인분석!$C$13),"비교",""))))</f>
        <v/>
      </c>
      <c r="R1786" s="9">
        <f>IF(Q1786="","",$K1786&amp;"")</f>
        <v/>
      </c>
      <c r="S1786" s="9">
        <f>IF(Q1786="","",IF(MATCH(R1786,$R$5:$R$100000,0)=ROW()-4,ROW(),""))</f>
        <v/>
      </c>
      <c r="T1786" s="9">
        <f>IF(Q1786="당기",ABS(P1786)+ROW()/1000000000,"")</f>
        <v/>
      </c>
      <c r="U1786" s="9">
        <f>IF(Q1786="비교",ABS(P1786)+ROW()/1000000000,"")</f>
        <v/>
      </c>
      <c r="V1786" s="64">
        <f>IF($A1786="","",IF(COUNTIF(변동분석!$E$7:$E$506,O1786)&gt;0,"Y","N"))</f>
        <v/>
      </c>
      <c r="W1786" s="64">
        <f>IF($A1786="","",IFERROR(INDEX(계정매핑!$D$5:$D$504,MATCH($F1786&amp;"",계정매핑!$A$5:$A$504,0)),"미매핑"))</f>
        <v/>
      </c>
      <c r="X1786" s="9">
        <f>IF($A1786="","",$F1786&amp;"")</f>
        <v/>
      </c>
      <c r="Y1786" s="94">
        <f>IF($A1786="",0,IF(AE1786="직접",IF(AF1786="비귀속",$P1786,0),$P1786*(1-AG1786)*IFERROR(INDEX(계정대체기준!$F$20:$F$49,MATCH($N1786,계정대체기준!$A$20:$A$49,0)),1)))</f>
        <v/>
      </c>
      <c r="Z1786" s="94">
        <f>IF($A1786="",0,IF(AE1786="직접",IF(AF1786="신계약비",$P1786,0),$P1786*(1-AG1786)*IFERROR(INDEX(계정대체기준!$C$20:$C$49,MATCH($N1786,계정대체기준!$A$20:$A$49,0)),0)))</f>
        <v/>
      </c>
      <c r="AA1786" s="94">
        <f>IF($A1786="",0,IF(AE1786="직접",IF(OR(AF1786="유지비",AF1786="손해조사비"),$P1786,0),$P1786*(1-AG1786)*IFERROR(INDEX(계정대체기준!$D$20:$D$49,MATCH($N1786,계정대체기준!$A$20:$A$49,0)),0)))</f>
        <v/>
      </c>
      <c r="AB1786" s="94">
        <f>IF($A1786="",0,IF(AE1786="직접",IF(AF1786="수금비",$P1786,0),$P1786*(1-AG1786)*IFERROR(INDEX(계정대체기준!$E$20:$E$49,MATCH($N1786,계정대체기준!$A$20:$A$49,0)),0)))</f>
        <v/>
      </c>
      <c r="AC1786" s="9">
        <f>IF(AND($A1786&lt;&gt;"",M1786=설정!$C$20,Z1786&gt;0),Z1786+ROW()/1000000000,"")</f>
        <v/>
      </c>
      <c r="AD1786" s="94">
        <f>IF($A1786="",0,$P1786*AG1786)</f>
        <v/>
      </c>
      <c r="AE1786" s="64">
        <f>IF($A1786="","",IFERROR(INDEX(계정매핑!$E$5:$E$504,MATCH($F1786&amp;"",계정매핑!$A$5:$A$504,0))&amp;"","공통비"))</f>
        <v/>
      </c>
      <c r="AF1786" s="64">
        <f>IF($A1786="","",IF(AE1786="직접",IFERROR(INDEX(계정매핑!$F$5:$F$504,MATCH($F1786&amp;"",계정매핑!$A$5:$A$504,0))&amp;"","비귀속"),""))</f>
        <v/>
      </c>
      <c r="AG1786" s="96">
        <f>IF($A1786="",0,IF(AND(AE1786&lt;&gt;"직접",IFERROR(INDEX(계정매핑!$G$5:$G$504,MATCH($F1786&amp;"",계정매핑!$A$5:$A$504,0))&amp;"","")="유지비",COUNTIF(계정대체기준!$A$6:$A$15,$N1786)&gt;0),IFERROR(INDEX(계정대체기준!$E$6:$E$15,MATCH(VALUE($A1786&amp;""),계정대체기준!$D$6:$D$15,0)),0),0))</f>
        <v/>
      </c>
      <c r="AH1786" s="64">
        <f>IF($A1786="","",IF(AD1786=0,"",IF(OR(COUNTIF(계정대체기준!$A$77:$A$86,$N1786)&gt;0,ISNUMBER(MATCH($X1786,계정대체기준!$D$77:$D$86,0)),ISNUMBER(MATCH($F1786,계정대체기준!$D$77:$D$86,0))),"Y","N")))</f>
        <v/>
      </c>
    </row>
    <row r="1787">
      <c r="A1787" s="92" t="n">
        <v>2025</v>
      </c>
      <c r="B1787" s="92" t="n">
        <v>8</v>
      </c>
      <c r="C1787" s="92" t="inlineStr">
        <is>
          <t>5100001783</t>
        </is>
      </c>
      <c r="D1787" s="95" t="n">
        <v>45893</v>
      </c>
      <c r="E1787" s="92" t="inlineStr">
        <is>
          <t>KR</t>
        </is>
      </c>
      <c r="F1787" s="92" t="n">
        <v>62902000</v>
      </c>
      <c r="G1787" s="92" t="n">
        <v>1801</v>
      </c>
      <c r="H1787" s="93" t="n">
        <v>1839000</v>
      </c>
      <c r="I1787" s="92" t="inlineStr">
        <is>
          <t>8월 콜 위탁 수수료(건별)</t>
        </is>
      </c>
      <c r="J1787" s="92" t="inlineStr">
        <is>
          <t>V10016</t>
        </is>
      </c>
      <c r="K1787" s="92" t="inlineStr">
        <is>
          <t>J콜센터</t>
        </is>
      </c>
      <c r="M1787" s="9">
        <f>IF($A1787="","",VALUE($A1787&amp;"")*12+VALUE($B1787&amp;""))</f>
        <v/>
      </c>
      <c r="N1787" s="64">
        <f>IF($A1787="","",IFERROR(INDEX(부서매핑!$C$5:$C$504,MATCH($G1787&amp;"",부서매핑!$A$5:$A$504,0)),"미매핑"))</f>
        <v/>
      </c>
      <c r="O1787" s="9">
        <f>IF($A1787="","",N1787&amp;"|"&amp;$F1787)</f>
        <v/>
      </c>
      <c r="P1787" s="94">
        <f>IF($A1787="",0,$H1787*설정!$C$23)</f>
        <v/>
      </c>
      <c r="Q1787" s="64">
        <f>IF($A1787="","",IF(O1787&lt;&gt;원인분석!$C$9,"",IF(AND(M1787&gt;=원인분석!$C$10,M1787&lt;=원인분석!$C$11),"당기",IF(AND(M1787&gt;=원인분석!$C$12,M1787&lt;=원인분석!$C$13),"비교",""))))</f>
        <v/>
      </c>
      <c r="R1787" s="9">
        <f>IF(Q1787="","",$K1787&amp;"")</f>
        <v/>
      </c>
      <c r="S1787" s="9">
        <f>IF(Q1787="","",IF(MATCH(R1787,$R$5:$R$100000,0)=ROW()-4,ROW(),""))</f>
        <v/>
      </c>
      <c r="T1787" s="9">
        <f>IF(Q1787="당기",ABS(P1787)+ROW()/1000000000,"")</f>
        <v/>
      </c>
      <c r="U1787" s="9">
        <f>IF(Q1787="비교",ABS(P1787)+ROW()/1000000000,"")</f>
        <v/>
      </c>
      <c r="V1787" s="64">
        <f>IF($A1787="","",IF(COUNTIF(변동분석!$E$7:$E$506,O1787)&gt;0,"Y","N"))</f>
        <v/>
      </c>
      <c r="W1787" s="64">
        <f>IF($A1787="","",IFERROR(INDEX(계정매핑!$D$5:$D$504,MATCH($F1787&amp;"",계정매핑!$A$5:$A$504,0)),"미매핑"))</f>
        <v/>
      </c>
      <c r="X1787" s="9">
        <f>IF($A1787="","",$F1787&amp;"")</f>
        <v/>
      </c>
      <c r="Y1787" s="94">
        <f>IF($A1787="",0,IF(AE1787="직접",IF(AF1787="비귀속",$P1787,0),$P1787*(1-AG1787)*IFERROR(INDEX(계정대체기준!$F$20:$F$49,MATCH($N1787,계정대체기준!$A$20:$A$49,0)),1)))</f>
        <v/>
      </c>
      <c r="Z1787" s="94">
        <f>IF($A1787="",0,IF(AE1787="직접",IF(AF1787="신계약비",$P1787,0),$P1787*(1-AG1787)*IFERROR(INDEX(계정대체기준!$C$20:$C$49,MATCH($N1787,계정대체기준!$A$20:$A$49,0)),0)))</f>
        <v/>
      </c>
      <c r="AA1787" s="94">
        <f>IF($A1787="",0,IF(AE1787="직접",IF(OR(AF1787="유지비",AF1787="손해조사비"),$P1787,0),$P1787*(1-AG1787)*IFERROR(INDEX(계정대체기준!$D$20:$D$49,MATCH($N1787,계정대체기준!$A$20:$A$49,0)),0)))</f>
        <v/>
      </c>
      <c r="AB1787" s="94">
        <f>IF($A1787="",0,IF(AE1787="직접",IF(AF1787="수금비",$P1787,0),$P1787*(1-AG1787)*IFERROR(INDEX(계정대체기준!$E$20:$E$49,MATCH($N1787,계정대체기준!$A$20:$A$49,0)),0)))</f>
        <v/>
      </c>
      <c r="AC1787" s="9">
        <f>IF(AND($A1787&lt;&gt;"",M1787=설정!$C$20,Z1787&gt;0),Z1787+ROW()/1000000000,"")</f>
        <v/>
      </c>
      <c r="AD1787" s="94">
        <f>IF($A1787="",0,$P1787*AG1787)</f>
        <v/>
      </c>
      <c r="AE1787" s="64">
        <f>IF($A1787="","",IFERROR(INDEX(계정매핑!$E$5:$E$504,MATCH($F1787&amp;"",계정매핑!$A$5:$A$504,0))&amp;"","공통비"))</f>
        <v/>
      </c>
      <c r="AF1787" s="64">
        <f>IF($A1787="","",IF(AE1787="직접",IFERROR(INDEX(계정매핑!$F$5:$F$504,MATCH($F1787&amp;"",계정매핑!$A$5:$A$504,0))&amp;"","비귀속"),""))</f>
        <v/>
      </c>
      <c r="AG1787" s="96">
        <f>IF($A1787="",0,IF(AND(AE1787&lt;&gt;"직접",IFERROR(INDEX(계정매핑!$G$5:$G$504,MATCH($F1787&amp;"",계정매핑!$A$5:$A$504,0))&amp;"","")="유지비",COUNTIF(계정대체기준!$A$6:$A$15,$N1787)&gt;0),IFERROR(INDEX(계정대체기준!$E$6:$E$15,MATCH(VALUE($A1787&amp;""),계정대체기준!$D$6:$D$15,0)),0),0))</f>
        <v/>
      </c>
      <c r="AH1787" s="64">
        <f>IF($A1787="","",IF(AD1787=0,"",IF(OR(COUNTIF(계정대체기준!$A$77:$A$86,$N1787)&gt;0,ISNUMBER(MATCH($X1787,계정대체기준!$D$77:$D$86,0)),ISNUMBER(MATCH($F1787,계정대체기준!$D$77:$D$86,0))),"Y","N")))</f>
        <v/>
      </c>
    </row>
    <row r="1788">
      <c r="A1788" s="92" t="n">
        <v>2025</v>
      </c>
      <c r="B1788" s="92" t="n">
        <v>8</v>
      </c>
      <c r="C1788" s="92" t="inlineStr">
        <is>
          <t>5100001784</t>
        </is>
      </c>
      <c r="D1788" s="95" t="n">
        <v>45893</v>
      </c>
      <c r="E1788" s="92" t="inlineStr">
        <is>
          <t>KR</t>
        </is>
      </c>
      <c r="F1788" s="92" t="n">
        <v>63001000</v>
      </c>
      <c r="G1788" s="92" t="n">
        <v>1951</v>
      </c>
      <c r="H1788" s="93" t="n">
        <v>2141000</v>
      </c>
      <c r="I1788" s="92" t="inlineStr">
        <is>
          <t>8월 SW 유지보수 - Y소프트</t>
        </is>
      </c>
      <c r="J1788" s="92" t="inlineStr">
        <is>
          <t>V10017</t>
        </is>
      </c>
      <c r="K1788" s="92" t="inlineStr">
        <is>
          <t>Y소프트</t>
        </is>
      </c>
      <c r="M1788" s="9">
        <f>IF($A1788="","",VALUE($A1788&amp;"")*12+VALUE($B1788&amp;""))</f>
        <v/>
      </c>
      <c r="N1788" s="64">
        <f>IF($A1788="","",IFERROR(INDEX(부서매핑!$C$5:$C$504,MATCH($G1788&amp;"",부서매핑!$A$5:$A$504,0)),"미매핑"))</f>
        <v/>
      </c>
      <c r="O1788" s="9">
        <f>IF($A1788="","",N1788&amp;"|"&amp;$F1788)</f>
        <v/>
      </c>
      <c r="P1788" s="94">
        <f>IF($A1788="",0,$H1788*설정!$C$23)</f>
        <v/>
      </c>
      <c r="Q1788" s="64">
        <f>IF($A1788="","",IF(O1788&lt;&gt;원인분석!$C$9,"",IF(AND(M1788&gt;=원인분석!$C$10,M1788&lt;=원인분석!$C$11),"당기",IF(AND(M1788&gt;=원인분석!$C$12,M1788&lt;=원인분석!$C$13),"비교",""))))</f>
        <v/>
      </c>
      <c r="R1788" s="9">
        <f>IF(Q1788="","",$K1788&amp;"")</f>
        <v/>
      </c>
      <c r="S1788" s="9">
        <f>IF(Q1788="","",IF(MATCH(R1788,$R$5:$R$100000,0)=ROW()-4,ROW(),""))</f>
        <v/>
      </c>
      <c r="T1788" s="9">
        <f>IF(Q1788="당기",ABS(P1788)+ROW()/1000000000,"")</f>
        <v/>
      </c>
      <c r="U1788" s="9">
        <f>IF(Q1788="비교",ABS(P1788)+ROW()/1000000000,"")</f>
        <v/>
      </c>
      <c r="V1788" s="64">
        <f>IF($A1788="","",IF(COUNTIF(변동분석!$E$7:$E$506,O1788)&gt;0,"Y","N"))</f>
        <v/>
      </c>
      <c r="W1788" s="64">
        <f>IF($A1788="","",IFERROR(INDEX(계정매핑!$D$5:$D$504,MATCH($F1788&amp;"",계정매핑!$A$5:$A$504,0)),"미매핑"))</f>
        <v/>
      </c>
      <c r="X1788" s="9">
        <f>IF($A1788="","",$F1788&amp;"")</f>
        <v/>
      </c>
      <c r="Y1788" s="94">
        <f>IF($A1788="",0,IF(AE1788="직접",IF(AF1788="비귀속",$P1788,0),$P1788*(1-AG1788)*IFERROR(INDEX(계정대체기준!$F$20:$F$49,MATCH($N1788,계정대체기준!$A$20:$A$49,0)),1)))</f>
        <v/>
      </c>
      <c r="Z1788" s="94">
        <f>IF($A1788="",0,IF(AE1788="직접",IF(AF1788="신계약비",$P1788,0),$P1788*(1-AG1788)*IFERROR(INDEX(계정대체기준!$C$20:$C$49,MATCH($N1788,계정대체기준!$A$20:$A$49,0)),0)))</f>
        <v/>
      </c>
      <c r="AA1788" s="94">
        <f>IF($A1788="",0,IF(AE1788="직접",IF(OR(AF1788="유지비",AF1788="손해조사비"),$P1788,0),$P1788*(1-AG1788)*IFERROR(INDEX(계정대체기준!$D$20:$D$49,MATCH($N1788,계정대체기준!$A$20:$A$49,0)),0)))</f>
        <v/>
      </c>
      <c r="AB1788" s="94">
        <f>IF($A1788="",0,IF(AE1788="직접",IF(AF1788="수금비",$P1788,0),$P1788*(1-AG1788)*IFERROR(INDEX(계정대체기준!$E$20:$E$49,MATCH($N1788,계정대체기준!$A$20:$A$49,0)),0)))</f>
        <v/>
      </c>
      <c r="AC1788" s="9">
        <f>IF(AND($A1788&lt;&gt;"",M1788=설정!$C$20,Z1788&gt;0),Z1788+ROW()/1000000000,"")</f>
        <v/>
      </c>
      <c r="AD1788" s="94">
        <f>IF($A1788="",0,$P1788*AG1788)</f>
        <v/>
      </c>
      <c r="AE1788" s="64">
        <f>IF($A1788="","",IFERROR(INDEX(계정매핑!$E$5:$E$504,MATCH($F1788&amp;"",계정매핑!$A$5:$A$504,0))&amp;"","공통비"))</f>
        <v/>
      </c>
      <c r="AF1788" s="64">
        <f>IF($A1788="","",IF(AE1788="직접",IFERROR(INDEX(계정매핑!$F$5:$F$504,MATCH($F1788&amp;"",계정매핑!$A$5:$A$504,0))&amp;"","비귀속"),""))</f>
        <v/>
      </c>
      <c r="AG1788" s="96">
        <f>IF($A1788="",0,IF(AND(AE1788&lt;&gt;"직접",IFERROR(INDEX(계정매핑!$G$5:$G$504,MATCH($F1788&amp;"",계정매핑!$A$5:$A$504,0))&amp;"","")="유지비",COUNTIF(계정대체기준!$A$6:$A$15,$N1788)&gt;0),IFERROR(INDEX(계정대체기준!$E$6:$E$15,MATCH(VALUE($A1788&amp;""),계정대체기준!$D$6:$D$15,0)),0),0))</f>
        <v/>
      </c>
      <c r="AH1788" s="64">
        <f>IF($A1788="","",IF(AD1788=0,"",IF(OR(COUNTIF(계정대체기준!$A$77:$A$86,$N1788)&gt;0,ISNUMBER(MATCH($X1788,계정대체기준!$D$77:$D$86,0)),ISNUMBER(MATCH($F1788,계정대체기준!$D$77:$D$86,0))),"Y","N")))</f>
        <v/>
      </c>
    </row>
    <row r="1789">
      <c r="A1789" s="92" t="n">
        <v>2025</v>
      </c>
      <c r="B1789" s="92" t="n">
        <v>8</v>
      </c>
      <c r="C1789" s="92" t="inlineStr">
        <is>
          <t>5100001785</t>
        </is>
      </c>
      <c r="D1789" s="95" t="n">
        <v>45893</v>
      </c>
      <c r="E1789" s="92" t="inlineStr">
        <is>
          <t>KR</t>
        </is>
      </c>
      <c r="F1789" s="92" t="n">
        <v>63101000</v>
      </c>
      <c r="G1789" s="92" t="n">
        <v>1601</v>
      </c>
      <c r="H1789" s="93" t="n">
        <v>5817000</v>
      </c>
      <c r="I1789" s="92" t="inlineStr">
        <is>
          <t>8월 사무실 임차료 - BB부동산</t>
        </is>
      </c>
      <c r="J1789" s="92" t="inlineStr">
        <is>
          <t>V10028</t>
        </is>
      </c>
      <c r="K1789" s="92" t="inlineStr">
        <is>
          <t>BB부동산</t>
        </is>
      </c>
      <c r="M1789" s="9">
        <f>IF($A1789="","",VALUE($A1789&amp;"")*12+VALUE($B1789&amp;""))</f>
        <v/>
      </c>
      <c r="N1789" s="64">
        <f>IF($A1789="","",IFERROR(INDEX(부서매핑!$C$5:$C$504,MATCH($G1789&amp;"",부서매핑!$A$5:$A$504,0)),"미매핑"))</f>
        <v/>
      </c>
      <c r="O1789" s="9">
        <f>IF($A1789="","",N1789&amp;"|"&amp;$F1789)</f>
        <v/>
      </c>
      <c r="P1789" s="94">
        <f>IF($A1789="",0,$H1789*설정!$C$23)</f>
        <v/>
      </c>
      <c r="Q1789" s="64">
        <f>IF($A1789="","",IF(O1789&lt;&gt;원인분석!$C$9,"",IF(AND(M1789&gt;=원인분석!$C$10,M1789&lt;=원인분석!$C$11),"당기",IF(AND(M1789&gt;=원인분석!$C$12,M1789&lt;=원인분석!$C$13),"비교",""))))</f>
        <v/>
      </c>
      <c r="R1789" s="9">
        <f>IF(Q1789="","",$K1789&amp;"")</f>
        <v/>
      </c>
      <c r="S1789" s="9">
        <f>IF(Q1789="","",IF(MATCH(R1789,$R$5:$R$100000,0)=ROW()-4,ROW(),""))</f>
        <v/>
      </c>
      <c r="T1789" s="9">
        <f>IF(Q1789="당기",ABS(P1789)+ROW()/1000000000,"")</f>
        <v/>
      </c>
      <c r="U1789" s="9">
        <f>IF(Q1789="비교",ABS(P1789)+ROW()/1000000000,"")</f>
        <v/>
      </c>
      <c r="V1789" s="64">
        <f>IF($A1789="","",IF(COUNTIF(변동분석!$E$7:$E$506,O1789)&gt;0,"Y","N"))</f>
        <v/>
      </c>
      <c r="W1789" s="64">
        <f>IF($A1789="","",IFERROR(INDEX(계정매핑!$D$5:$D$504,MATCH($F1789&amp;"",계정매핑!$A$5:$A$504,0)),"미매핑"))</f>
        <v/>
      </c>
      <c r="X1789" s="9">
        <f>IF($A1789="","",$F1789&amp;"")</f>
        <v/>
      </c>
      <c r="Y1789" s="94">
        <f>IF($A1789="",0,IF(AE1789="직접",IF(AF1789="비귀속",$P1789,0),$P1789*(1-AG1789)*IFERROR(INDEX(계정대체기준!$F$20:$F$49,MATCH($N1789,계정대체기준!$A$20:$A$49,0)),1)))</f>
        <v/>
      </c>
      <c r="Z1789" s="94">
        <f>IF($A1789="",0,IF(AE1789="직접",IF(AF1789="신계약비",$P1789,0),$P1789*(1-AG1789)*IFERROR(INDEX(계정대체기준!$C$20:$C$49,MATCH($N1789,계정대체기준!$A$20:$A$49,0)),0)))</f>
        <v/>
      </c>
      <c r="AA1789" s="94">
        <f>IF($A1789="",0,IF(AE1789="직접",IF(OR(AF1789="유지비",AF1789="손해조사비"),$P1789,0),$P1789*(1-AG1789)*IFERROR(INDEX(계정대체기준!$D$20:$D$49,MATCH($N1789,계정대체기준!$A$20:$A$49,0)),0)))</f>
        <v/>
      </c>
      <c r="AB1789" s="94">
        <f>IF($A1789="",0,IF(AE1789="직접",IF(AF1789="수금비",$P1789,0),$P1789*(1-AG1789)*IFERROR(INDEX(계정대체기준!$E$20:$E$49,MATCH($N1789,계정대체기준!$A$20:$A$49,0)),0)))</f>
        <v/>
      </c>
      <c r="AC1789" s="9">
        <f>IF(AND($A1789&lt;&gt;"",M1789=설정!$C$20,Z1789&gt;0),Z1789+ROW()/1000000000,"")</f>
        <v/>
      </c>
      <c r="AD1789" s="94">
        <f>IF($A1789="",0,$P1789*AG1789)</f>
        <v/>
      </c>
      <c r="AE1789" s="64">
        <f>IF($A1789="","",IFERROR(INDEX(계정매핑!$E$5:$E$504,MATCH($F1789&amp;"",계정매핑!$A$5:$A$504,0))&amp;"","공통비"))</f>
        <v/>
      </c>
      <c r="AF1789" s="64">
        <f>IF($A1789="","",IF(AE1789="직접",IFERROR(INDEX(계정매핑!$F$5:$F$504,MATCH($F1789&amp;"",계정매핑!$A$5:$A$504,0))&amp;"","비귀속"),""))</f>
        <v/>
      </c>
      <c r="AG1789" s="96">
        <f>IF($A1789="",0,IF(AND(AE1789&lt;&gt;"직접",IFERROR(INDEX(계정매핑!$G$5:$G$504,MATCH($F1789&amp;"",계정매핑!$A$5:$A$504,0))&amp;"","")="유지비",COUNTIF(계정대체기준!$A$6:$A$15,$N1789)&gt;0),IFERROR(INDEX(계정대체기준!$E$6:$E$15,MATCH(VALUE($A1789&amp;""),계정대체기준!$D$6:$D$15,0)),0),0))</f>
        <v/>
      </c>
      <c r="AH1789" s="64">
        <f>IF($A1789="","",IF(AD1789=0,"",IF(OR(COUNTIF(계정대체기준!$A$77:$A$86,$N1789)&gt;0,ISNUMBER(MATCH($X1789,계정대체기준!$D$77:$D$86,0)),ISNUMBER(MATCH($F1789,계정대체기준!$D$77:$D$86,0))),"Y","N")))</f>
        <v/>
      </c>
    </row>
    <row r="1790">
      <c r="A1790" s="92" t="n">
        <v>2025</v>
      </c>
      <c r="B1790" s="92" t="n">
        <v>8</v>
      </c>
      <c r="C1790" s="92" t="inlineStr">
        <is>
          <t>5100001786</t>
        </is>
      </c>
      <c r="D1790" s="95" t="n">
        <v>45893</v>
      </c>
      <c r="E1790" s="92" t="inlineStr">
        <is>
          <t>KR</t>
        </is>
      </c>
      <c r="F1790" s="92" t="n">
        <v>63501000</v>
      </c>
      <c r="G1790" s="92" t="n">
        <v>1901</v>
      </c>
      <c r="H1790" s="93" t="n">
        <v>551001000</v>
      </c>
      <c r="I1790" s="92" t="inlineStr">
        <is>
          <t>8월 모집수수료 - (전속설계사)</t>
        </is>
      </c>
      <c r="J1790" s="92" t="inlineStr">
        <is>
          <t>V10021</t>
        </is>
      </c>
      <c r="K1790" s="92" t="inlineStr">
        <is>
          <t>(전속설계사)</t>
        </is>
      </c>
      <c r="M1790" s="9">
        <f>IF($A1790="","",VALUE($A1790&amp;"")*12+VALUE($B1790&amp;""))</f>
        <v/>
      </c>
      <c r="N1790" s="64">
        <f>IF($A1790="","",IFERROR(INDEX(부서매핑!$C$5:$C$504,MATCH($G1790&amp;"",부서매핑!$A$5:$A$504,0)),"미매핑"))</f>
        <v/>
      </c>
      <c r="O1790" s="9">
        <f>IF($A1790="","",N1790&amp;"|"&amp;$F1790)</f>
        <v/>
      </c>
      <c r="P1790" s="94">
        <f>IF($A1790="",0,$H1790*설정!$C$23)</f>
        <v/>
      </c>
      <c r="Q1790" s="64">
        <f>IF($A1790="","",IF(O1790&lt;&gt;원인분석!$C$9,"",IF(AND(M1790&gt;=원인분석!$C$10,M1790&lt;=원인분석!$C$11),"당기",IF(AND(M1790&gt;=원인분석!$C$12,M1790&lt;=원인분석!$C$13),"비교",""))))</f>
        <v/>
      </c>
      <c r="R1790" s="9">
        <f>IF(Q1790="","",$K1790&amp;"")</f>
        <v/>
      </c>
      <c r="S1790" s="9">
        <f>IF(Q1790="","",IF(MATCH(R1790,$R$5:$R$100000,0)=ROW()-4,ROW(),""))</f>
        <v/>
      </c>
      <c r="T1790" s="9">
        <f>IF(Q1790="당기",ABS(P1790)+ROW()/1000000000,"")</f>
        <v/>
      </c>
      <c r="U1790" s="9">
        <f>IF(Q1790="비교",ABS(P1790)+ROW()/1000000000,"")</f>
        <v/>
      </c>
      <c r="V1790" s="64">
        <f>IF($A1790="","",IF(COUNTIF(변동분석!$E$7:$E$506,O1790)&gt;0,"Y","N"))</f>
        <v/>
      </c>
      <c r="W1790" s="64">
        <f>IF($A1790="","",IFERROR(INDEX(계정매핑!$D$5:$D$504,MATCH($F1790&amp;"",계정매핑!$A$5:$A$504,0)),"미매핑"))</f>
        <v/>
      </c>
      <c r="X1790" s="9">
        <f>IF($A1790="","",$F1790&amp;"")</f>
        <v/>
      </c>
      <c r="Y1790" s="94">
        <f>IF($A1790="",0,IF(AE1790="직접",IF(AF1790="비귀속",$P1790,0),$P1790*(1-AG1790)*IFERROR(INDEX(계정대체기준!$F$20:$F$49,MATCH($N1790,계정대체기준!$A$20:$A$49,0)),1)))</f>
        <v/>
      </c>
      <c r="Z1790" s="94">
        <f>IF($A1790="",0,IF(AE1790="직접",IF(AF1790="신계약비",$P1790,0),$P1790*(1-AG1790)*IFERROR(INDEX(계정대체기준!$C$20:$C$49,MATCH($N1790,계정대체기준!$A$20:$A$49,0)),0)))</f>
        <v/>
      </c>
      <c r="AA1790" s="94">
        <f>IF($A1790="",0,IF(AE1790="직접",IF(OR(AF1790="유지비",AF1790="손해조사비"),$P1790,0),$P1790*(1-AG1790)*IFERROR(INDEX(계정대체기준!$D$20:$D$49,MATCH($N1790,계정대체기준!$A$20:$A$49,0)),0)))</f>
        <v/>
      </c>
      <c r="AB1790" s="94">
        <f>IF($A1790="",0,IF(AE1790="직접",IF(AF1790="수금비",$P1790,0),$P1790*(1-AG1790)*IFERROR(INDEX(계정대체기준!$E$20:$E$49,MATCH($N1790,계정대체기준!$A$20:$A$49,0)),0)))</f>
        <v/>
      </c>
      <c r="AC1790" s="9">
        <f>IF(AND($A1790&lt;&gt;"",M1790=설정!$C$20,Z1790&gt;0),Z1790+ROW()/1000000000,"")</f>
        <v/>
      </c>
      <c r="AD1790" s="94">
        <f>IF($A1790="",0,$P1790*AG1790)</f>
        <v/>
      </c>
      <c r="AE1790" s="64">
        <f>IF($A1790="","",IFERROR(INDEX(계정매핑!$E$5:$E$504,MATCH($F1790&amp;"",계정매핑!$A$5:$A$504,0))&amp;"","공통비"))</f>
        <v/>
      </c>
      <c r="AF1790" s="64">
        <f>IF($A1790="","",IF(AE1790="직접",IFERROR(INDEX(계정매핑!$F$5:$F$504,MATCH($F1790&amp;"",계정매핑!$A$5:$A$504,0))&amp;"","비귀속"),""))</f>
        <v/>
      </c>
      <c r="AG1790" s="96">
        <f>IF($A1790="",0,IF(AND(AE1790&lt;&gt;"직접",IFERROR(INDEX(계정매핑!$G$5:$G$504,MATCH($F1790&amp;"",계정매핑!$A$5:$A$504,0))&amp;"","")="유지비",COUNTIF(계정대체기준!$A$6:$A$15,$N1790)&gt;0),IFERROR(INDEX(계정대체기준!$E$6:$E$15,MATCH(VALUE($A1790&amp;""),계정대체기준!$D$6:$D$15,0)),0),0))</f>
        <v/>
      </c>
      <c r="AH1790" s="64">
        <f>IF($A1790="","",IF(AD1790=0,"",IF(OR(COUNTIF(계정대체기준!$A$77:$A$86,$N1790)&gt;0,ISNUMBER(MATCH($X1790,계정대체기준!$D$77:$D$86,0)),ISNUMBER(MATCH($F1790,계정대체기준!$D$77:$D$86,0))),"Y","N")))</f>
        <v/>
      </c>
    </row>
    <row r="1791">
      <c r="A1791" s="92" t="n">
        <v>2025</v>
      </c>
      <c r="B1791" s="92" t="n">
        <v>8</v>
      </c>
      <c r="C1791" s="92" t="inlineStr">
        <is>
          <t>5100001787</t>
        </is>
      </c>
      <c r="D1791" s="95" t="n">
        <v>45894</v>
      </c>
      <c r="E1791" s="92" t="inlineStr">
        <is>
          <t>KR</t>
        </is>
      </c>
      <c r="F1791" s="92" t="n">
        <v>62102000</v>
      </c>
      <c r="G1791" s="92" t="n">
        <v>1201</v>
      </c>
      <c r="H1791" s="93" t="n">
        <v>42000</v>
      </c>
      <c r="I1791" s="92" t="inlineStr">
        <is>
          <t>8월 해외출장 - N호텔</t>
        </is>
      </c>
      <c r="J1791" s="92" t="inlineStr">
        <is>
          <t>V10009</t>
        </is>
      </c>
      <c r="K1791" s="92" t="inlineStr">
        <is>
          <t>N호텔</t>
        </is>
      </c>
      <c r="M1791" s="9">
        <f>IF($A1791="","",VALUE($A1791&amp;"")*12+VALUE($B1791&amp;""))</f>
        <v/>
      </c>
      <c r="N1791" s="64">
        <f>IF($A1791="","",IFERROR(INDEX(부서매핑!$C$5:$C$504,MATCH($G1791&amp;"",부서매핑!$A$5:$A$504,0)),"미매핑"))</f>
        <v/>
      </c>
      <c r="O1791" s="9">
        <f>IF($A1791="","",N1791&amp;"|"&amp;$F1791)</f>
        <v/>
      </c>
      <c r="P1791" s="94">
        <f>IF($A1791="",0,$H1791*설정!$C$23)</f>
        <v/>
      </c>
      <c r="Q1791" s="64">
        <f>IF($A1791="","",IF(O1791&lt;&gt;원인분석!$C$9,"",IF(AND(M1791&gt;=원인분석!$C$10,M1791&lt;=원인분석!$C$11),"당기",IF(AND(M1791&gt;=원인분석!$C$12,M1791&lt;=원인분석!$C$13),"비교",""))))</f>
        <v/>
      </c>
      <c r="R1791" s="9">
        <f>IF(Q1791="","",$K1791&amp;"")</f>
        <v/>
      </c>
      <c r="S1791" s="9">
        <f>IF(Q1791="","",IF(MATCH(R1791,$R$5:$R$100000,0)=ROW()-4,ROW(),""))</f>
        <v/>
      </c>
      <c r="T1791" s="9">
        <f>IF(Q1791="당기",ABS(P1791)+ROW()/1000000000,"")</f>
        <v/>
      </c>
      <c r="U1791" s="9">
        <f>IF(Q1791="비교",ABS(P1791)+ROW()/1000000000,"")</f>
        <v/>
      </c>
      <c r="V1791" s="64">
        <f>IF($A1791="","",IF(COUNTIF(변동분석!$E$7:$E$506,O1791)&gt;0,"Y","N"))</f>
        <v/>
      </c>
      <c r="W1791" s="64">
        <f>IF($A1791="","",IFERROR(INDEX(계정매핑!$D$5:$D$504,MATCH($F1791&amp;"",계정매핑!$A$5:$A$504,0)),"미매핑"))</f>
        <v/>
      </c>
      <c r="X1791" s="9">
        <f>IF($A1791="","",$F1791&amp;"")</f>
        <v/>
      </c>
      <c r="Y1791" s="94">
        <f>IF($A1791="",0,IF(AE1791="직접",IF(AF1791="비귀속",$P1791,0),$P1791*(1-AG1791)*IFERROR(INDEX(계정대체기준!$F$20:$F$49,MATCH($N1791,계정대체기준!$A$20:$A$49,0)),1)))</f>
        <v/>
      </c>
      <c r="Z1791" s="94">
        <f>IF($A1791="",0,IF(AE1791="직접",IF(AF1791="신계약비",$P1791,0),$P1791*(1-AG1791)*IFERROR(INDEX(계정대체기준!$C$20:$C$49,MATCH($N1791,계정대체기준!$A$20:$A$49,0)),0)))</f>
        <v/>
      </c>
      <c r="AA1791" s="94">
        <f>IF($A1791="",0,IF(AE1791="직접",IF(OR(AF1791="유지비",AF1791="손해조사비"),$P1791,0),$P1791*(1-AG1791)*IFERROR(INDEX(계정대체기준!$D$20:$D$49,MATCH($N1791,계정대체기준!$A$20:$A$49,0)),0)))</f>
        <v/>
      </c>
      <c r="AB1791" s="94">
        <f>IF($A1791="",0,IF(AE1791="직접",IF(AF1791="수금비",$P1791,0),$P1791*(1-AG1791)*IFERROR(INDEX(계정대체기준!$E$20:$E$49,MATCH($N1791,계정대체기준!$A$20:$A$49,0)),0)))</f>
        <v/>
      </c>
      <c r="AC1791" s="9">
        <f>IF(AND($A1791&lt;&gt;"",M1791=설정!$C$20,Z1791&gt;0),Z1791+ROW()/1000000000,"")</f>
        <v/>
      </c>
      <c r="AD1791" s="94">
        <f>IF($A1791="",0,$P1791*AG1791)</f>
        <v/>
      </c>
      <c r="AE1791" s="64">
        <f>IF($A1791="","",IFERROR(INDEX(계정매핑!$E$5:$E$504,MATCH($F1791&amp;"",계정매핑!$A$5:$A$504,0))&amp;"","공통비"))</f>
        <v/>
      </c>
      <c r="AF1791" s="64">
        <f>IF($A1791="","",IF(AE1791="직접",IFERROR(INDEX(계정매핑!$F$5:$F$504,MATCH($F1791&amp;"",계정매핑!$A$5:$A$504,0))&amp;"","비귀속"),""))</f>
        <v/>
      </c>
      <c r="AG1791" s="96">
        <f>IF($A1791="",0,IF(AND(AE1791&lt;&gt;"직접",IFERROR(INDEX(계정매핑!$G$5:$G$504,MATCH($F1791&amp;"",계정매핑!$A$5:$A$504,0))&amp;"","")="유지비",COUNTIF(계정대체기준!$A$6:$A$15,$N1791)&gt;0),IFERROR(INDEX(계정대체기준!$E$6:$E$15,MATCH(VALUE($A1791&amp;""),계정대체기준!$D$6:$D$15,0)),0),0))</f>
        <v/>
      </c>
      <c r="AH1791" s="64">
        <f>IF($A1791="","",IF(AD1791=0,"",IF(OR(COUNTIF(계정대체기준!$A$77:$A$86,$N1791)&gt;0,ISNUMBER(MATCH($X1791,계정대체기준!$D$77:$D$86,0)),ISNUMBER(MATCH($F1791,계정대체기준!$D$77:$D$86,0))),"Y","N")))</f>
        <v/>
      </c>
    </row>
    <row r="1792">
      <c r="A1792" s="92" t="n">
        <v>2025</v>
      </c>
      <c r="B1792" s="92" t="n">
        <v>8</v>
      </c>
      <c r="C1792" s="92" t="inlineStr">
        <is>
          <t>5100001788</t>
        </is>
      </c>
      <c r="D1792" s="95" t="n">
        <v>45894</v>
      </c>
      <c r="E1792" s="92" t="inlineStr">
        <is>
          <t>KR</t>
        </is>
      </c>
      <c r="F1792" s="92" t="n">
        <v>62102000</v>
      </c>
      <c r="G1792" s="92" t="n">
        <v>1501</v>
      </c>
      <c r="H1792" s="93" t="n">
        <v>138000</v>
      </c>
      <c r="I1792" s="92" t="inlineStr">
        <is>
          <t>8월 해외출장 - M항공</t>
        </is>
      </c>
      <c r="J1792" s="92" t="inlineStr">
        <is>
          <t>V10001</t>
        </is>
      </c>
      <c r="K1792" s="92" t="inlineStr">
        <is>
          <t>M항공</t>
        </is>
      </c>
      <c r="M1792" s="9">
        <f>IF($A1792="","",VALUE($A1792&amp;"")*12+VALUE($B1792&amp;""))</f>
        <v/>
      </c>
      <c r="N1792" s="64">
        <f>IF($A1792="","",IFERROR(INDEX(부서매핑!$C$5:$C$504,MATCH($G1792&amp;"",부서매핑!$A$5:$A$504,0)),"미매핑"))</f>
        <v/>
      </c>
      <c r="O1792" s="9">
        <f>IF($A1792="","",N1792&amp;"|"&amp;$F1792)</f>
        <v/>
      </c>
      <c r="P1792" s="94">
        <f>IF($A1792="",0,$H1792*설정!$C$23)</f>
        <v/>
      </c>
      <c r="Q1792" s="64">
        <f>IF($A1792="","",IF(O1792&lt;&gt;원인분석!$C$9,"",IF(AND(M1792&gt;=원인분석!$C$10,M1792&lt;=원인분석!$C$11),"당기",IF(AND(M1792&gt;=원인분석!$C$12,M1792&lt;=원인분석!$C$13),"비교",""))))</f>
        <v/>
      </c>
      <c r="R1792" s="9">
        <f>IF(Q1792="","",$K1792&amp;"")</f>
        <v/>
      </c>
      <c r="S1792" s="9">
        <f>IF(Q1792="","",IF(MATCH(R1792,$R$5:$R$100000,0)=ROW()-4,ROW(),""))</f>
        <v/>
      </c>
      <c r="T1792" s="9">
        <f>IF(Q1792="당기",ABS(P1792)+ROW()/1000000000,"")</f>
        <v/>
      </c>
      <c r="U1792" s="9">
        <f>IF(Q1792="비교",ABS(P1792)+ROW()/1000000000,"")</f>
        <v/>
      </c>
      <c r="V1792" s="64">
        <f>IF($A1792="","",IF(COUNTIF(변동분석!$E$7:$E$506,O1792)&gt;0,"Y","N"))</f>
        <v/>
      </c>
      <c r="W1792" s="64">
        <f>IF($A1792="","",IFERROR(INDEX(계정매핑!$D$5:$D$504,MATCH($F1792&amp;"",계정매핑!$A$5:$A$504,0)),"미매핑"))</f>
        <v/>
      </c>
      <c r="X1792" s="9">
        <f>IF($A1792="","",$F1792&amp;"")</f>
        <v/>
      </c>
      <c r="Y1792" s="94">
        <f>IF($A1792="",0,IF(AE1792="직접",IF(AF1792="비귀속",$P1792,0),$P1792*(1-AG1792)*IFERROR(INDEX(계정대체기준!$F$20:$F$49,MATCH($N1792,계정대체기준!$A$20:$A$49,0)),1)))</f>
        <v/>
      </c>
      <c r="Z1792" s="94">
        <f>IF($A1792="",0,IF(AE1792="직접",IF(AF1792="신계약비",$P1792,0),$P1792*(1-AG1792)*IFERROR(INDEX(계정대체기준!$C$20:$C$49,MATCH($N1792,계정대체기준!$A$20:$A$49,0)),0)))</f>
        <v/>
      </c>
      <c r="AA1792" s="94">
        <f>IF($A1792="",0,IF(AE1792="직접",IF(OR(AF1792="유지비",AF1792="손해조사비"),$P1792,0),$P1792*(1-AG1792)*IFERROR(INDEX(계정대체기준!$D$20:$D$49,MATCH($N1792,계정대체기준!$A$20:$A$49,0)),0)))</f>
        <v/>
      </c>
      <c r="AB1792" s="94">
        <f>IF($A1792="",0,IF(AE1792="직접",IF(AF1792="수금비",$P1792,0),$P1792*(1-AG1792)*IFERROR(INDEX(계정대체기준!$E$20:$E$49,MATCH($N1792,계정대체기준!$A$20:$A$49,0)),0)))</f>
        <v/>
      </c>
      <c r="AC1792" s="9">
        <f>IF(AND($A1792&lt;&gt;"",M1792=설정!$C$20,Z1792&gt;0),Z1792+ROW()/1000000000,"")</f>
        <v/>
      </c>
      <c r="AD1792" s="94">
        <f>IF($A1792="",0,$P1792*AG1792)</f>
        <v/>
      </c>
      <c r="AE1792" s="64">
        <f>IF($A1792="","",IFERROR(INDEX(계정매핑!$E$5:$E$504,MATCH($F1792&amp;"",계정매핑!$A$5:$A$504,0))&amp;"","공통비"))</f>
        <v/>
      </c>
      <c r="AF1792" s="64">
        <f>IF($A1792="","",IF(AE1792="직접",IFERROR(INDEX(계정매핑!$F$5:$F$504,MATCH($F1792&amp;"",계정매핑!$A$5:$A$504,0))&amp;"","비귀속"),""))</f>
        <v/>
      </c>
      <c r="AG1792" s="96">
        <f>IF($A1792="",0,IF(AND(AE1792&lt;&gt;"직접",IFERROR(INDEX(계정매핑!$G$5:$G$504,MATCH($F1792&amp;"",계정매핑!$A$5:$A$504,0))&amp;"","")="유지비",COUNTIF(계정대체기준!$A$6:$A$15,$N1792)&gt;0),IFERROR(INDEX(계정대체기준!$E$6:$E$15,MATCH(VALUE($A1792&amp;""),계정대체기준!$D$6:$D$15,0)),0),0))</f>
        <v/>
      </c>
      <c r="AH1792" s="64">
        <f>IF($A1792="","",IF(AD1792=0,"",IF(OR(COUNTIF(계정대체기준!$A$77:$A$86,$N1792)&gt;0,ISNUMBER(MATCH($X1792,계정대체기준!$D$77:$D$86,0)),ISNUMBER(MATCH($F1792,계정대체기준!$D$77:$D$86,0))),"Y","N")))</f>
        <v/>
      </c>
    </row>
    <row r="1793">
      <c r="A1793" s="92" t="n">
        <v>2025</v>
      </c>
      <c r="B1793" s="92" t="n">
        <v>8</v>
      </c>
      <c r="C1793" s="92" t="inlineStr">
        <is>
          <t>5100001789</t>
        </is>
      </c>
      <c r="D1793" s="95" t="n">
        <v>45894</v>
      </c>
      <c r="E1793" s="92" t="inlineStr">
        <is>
          <t>KR</t>
        </is>
      </c>
      <c r="F1793" s="92" t="n">
        <v>62201000</v>
      </c>
      <c r="G1793" s="92" t="n">
        <v>1801</v>
      </c>
      <c r="H1793" s="93" t="n">
        <v>5096000</v>
      </c>
      <c r="I1793" s="92" t="inlineStr">
        <is>
          <t>8월 통신요금 - P통신</t>
        </is>
      </c>
      <c r="J1793" s="92" t="inlineStr">
        <is>
          <t>V10014</t>
        </is>
      </c>
      <c r="K1793" s="92" t="inlineStr">
        <is>
          <t>P통신</t>
        </is>
      </c>
      <c r="M1793" s="9">
        <f>IF($A1793="","",VALUE($A1793&amp;"")*12+VALUE($B1793&amp;""))</f>
        <v/>
      </c>
      <c r="N1793" s="64">
        <f>IF($A1793="","",IFERROR(INDEX(부서매핑!$C$5:$C$504,MATCH($G1793&amp;"",부서매핑!$A$5:$A$504,0)),"미매핑"))</f>
        <v/>
      </c>
      <c r="O1793" s="9">
        <f>IF($A1793="","",N1793&amp;"|"&amp;$F1793)</f>
        <v/>
      </c>
      <c r="P1793" s="94">
        <f>IF($A1793="",0,$H1793*설정!$C$23)</f>
        <v/>
      </c>
      <c r="Q1793" s="64">
        <f>IF($A1793="","",IF(O1793&lt;&gt;원인분석!$C$9,"",IF(AND(M1793&gt;=원인분석!$C$10,M1793&lt;=원인분석!$C$11),"당기",IF(AND(M1793&gt;=원인분석!$C$12,M1793&lt;=원인분석!$C$13),"비교",""))))</f>
        <v/>
      </c>
      <c r="R1793" s="9">
        <f>IF(Q1793="","",$K1793&amp;"")</f>
        <v/>
      </c>
      <c r="S1793" s="9">
        <f>IF(Q1793="","",IF(MATCH(R1793,$R$5:$R$100000,0)=ROW()-4,ROW(),""))</f>
        <v/>
      </c>
      <c r="T1793" s="9">
        <f>IF(Q1793="당기",ABS(P1793)+ROW()/1000000000,"")</f>
        <v/>
      </c>
      <c r="U1793" s="9">
        <f>IF(Q1793="비교",ABS(P1793)+ROW()/1000000000,"")</f>
        <v/>
      </c>
      <c r="V1793" s="64">
        <f>IF($A1793="","",IF(COUNTIF(변동분석!$E$7:$E$506,O1793)&gt;0,"Y","N"))</f>
        <v/>
      </c>
      <c r="W1793" s="64">
        <f>IF($A1793="","",IFERROR(INDEX(계정매핑!$D$5:$D$504,MATCH($F1793&amp;"",계정매핑!$A$5:$A$504,0)),"미매핑"))</f>
        <v/>
      </c>
      <c r="X1793" s="9">
        <f>IF($A1793="","",$F1793&amp;"")</f>
        <v/>
      </c>
      <c r="Y1793" s="94">
        <f>IF($A1793="",0,IF(AE1793="직접",IF(AF1793="비귀속",$P1793,0),$P1793*(1-AG1793)*IFERROR(INDEX(계정대체기준!$F$20:$F$49,MATCH($N1793,계정대체기준!$A$20:$A$49,0)),1)))</f>
        <v/>
      </c>
      <c r="Z1793" s="94">
        <f>IF($A1793="",0,IF(AE1793="직접",IF(AF1793="신계약비",$P1793,0),$P1793*(1-AG1793)*IFERROR(INDEX(계정대체기준!$C$20:$C$49,MATCH($N1793,계정대체기준!$A$20:$A$49,0)),0)))</f>
        <v/>
      </c>
      <c r="AA1793" s="94">
        <f>IF($A1793="",0,IF(AE1793="직접",IF(OR(AF1793="유지비",AF1793="손해조사비"),$P1793,0),$P1793*(1-AG1793)*IFERROR(INDEX(계정대체기준!$D$20:$D$49,MATCH($N1793,계정대체기준!$A$20:$A$49,0)),0)))</f>
        <v/>
      </c>
      <c r="AB1793" s="94">
        <f>IF($A1793="",0,IF(AE1793="직접",IF(AF1793="수금비",$P1793,0),$P1793*(1-AG1793)*IFERROR(INDEX(계정대체기준!$E$20:$E$49,MATCH($N1793,계정대체기준!$A$20:$A$49,0)),0)))</f>
        <v/>
      </c>
      <c r="AC1793" s="9">
        <f>IF(AND($A1793&lt;&gt;"",M1793=설정!$C$20,Z1793&gt;0),Z1793+ROW()/1000000000,"")</f>
        <v/>
      </c>
      <c r="AD1793" s="94">
        <f>IF($A1793="",0,$P1793*AG1793)</f>
        <v/>
      </c>
      <c r="AE1793" s="64">
        <f>IF($A1793="","",IFERROR(INDEX(계정매핑!$E$5:$E$504,MATCH($F1793&amp;"",계정매핑!$A$5:$A$504,0))&amp;"","공통비"))</f>
        <v/>
      </c>
      <c r="AF1793" s="64">
        <f>IF($A1793="","",IF(AE1793="직접",IFERROR(INDEX(계정매핑!$F$5:$F$504,MATCH($F1793&amp;"",계정매핑!$A$5:$A$504,0))&amp;"","비귀속"),""))</f>
        <v/>
      </c>
      <c r="AG1793" s="96">
        <f>IF($A1793="",0,IF(AND(AE1793&lt;&gt;"직접",IFERROR(INDEX(계정매핑!$G$5:$G$504,MATCH($F1793&amp;"",계정매핑!$A$5:$A$504,0))&amp;"","")="유지비",COUNTIF(계정대체기준!$A$6:$A$15,$N1793)&gt;0),IFERROR(INDEX(계정대체기준!$E$6:$E$15,MATCH(VALUE($A1793&amp;""),계정대체기준!$D$6:$D$15,0)),0),0))</f>
        <v/>
      </c>
      <c r="AH1793" s="64">
        <f>IF($A1793="","",IF(AD1793=0,"",IF(OR(COUNTIF(계정대체기준!$A$77:$A$86,$N1793)&gt;0,ISNUMBER(MATCH($X1793,계정대체기준!$D$77:$D$86,0)),ISNUMBER(MATCH($F1793,계정대체기준!$D$77:$D$86,0))),"Y","N")))</f>
        <v/>
      </c>
    </row>
    <row r="1794">
      <c r="A1794" s="92" t="n">
        <v>2025</v>
      </c>
      <c r="B1794" s="92" t="n">
        <v>8</v>
      </c>
      <c r="C1794" s="92" t="inlineStr">
        <is>
          <t>5100001790</t>
        </is>
      </c>
      <c r="D1794" s="95" t="n">
        <v>45894</v>
      </c>
      <c r="E1794" s="92" t="inlineStr">
        <is>
          <t>KR</t>
        </is>
      </c>
      <c r="F1794" s="92" t="n">
        <v>62201000</v>
      </c>
      <c r="G1794" s="92" t="n">
        <v>1951</v>
      </c>
      <c r="H1794" s="93" t="n">
        <v>248000</v>
      </c>
      <c r="I1794" s="92" t="inlineStr">
        <is>
          <t>8월 통신요금 - P통신</t>
        </is>
      </c>
      <c r="J1794" s="92" t="inlineStr">
        <is>
          <t>V10014</t>
        </is>
      </c>
      <c r="K1794" s="92" t="inlineStr">
        <is>
          <t>P통신</t>
        </is>
      </c>
      <c r="M1794" s="9">
        <f>IF($A1794="","",VALUE($A1794&amp;"")*12+VALUE($B1794&amp;""))</f>
        <v/>
      </c>
      <c r="N1794" s="64">
        <f>IF($A1794="","",IFERROR(INDEX(부서매핑!$C$5:$C$504,MATCH($G1794&amp;"",부서매핑!$A$5:$A$504,0)),"미매핑"))</f>
        <v/>
      </c>
      <c r="O1794" s="9">
        <f>IF($A1794="","",N1794&amp;"|"&amp;$F1794)</f>
        <v/>
      </c>
      <c r="P1794" s="94">
        <f>IF($A1794="",0,$H1794*설정!$C$23)</f>
        <v/>
      </c>
      <c r="Q1794" s="64">
        <f>IF($A1794="","",IF(O1794&lt;&gt;원인분석!$C$9,"",IF(AND(M1794&gt;=원인분석!$C$10,M1794&lt;=원인분석!$C$11),"당기",IF(AND(M1794&gt;=원인분석!$C$12,M1794&lt;=원인분석!$C$13),"비교",""))))</f>
        <v/>
      </c>
      <c r="R1794" s="9">
        <f>IF(Q1794="","",$K1794&amp;"")</f>
        <v/>
      </c>
      <c r="S1794" s="9">
        <f>IF(Q1794="","",IF(MATCH(R1794,$R$5:$R$100000,0)=ROW()-4,ROW(),""))</f>
        <v/>
      </c>
      <c r="T1794" s="9">
        <f>IF(Q1794="당기",ABS(P1794)+ROW()/1000000000,"")</f>
        <v/>
      </c>
      <c r="U1794" s="9">
        <f>IF(Q1794="비교",ABS(P1794)+ROW()/1000000000,"")</f>
        <v/>
      </c>
      <c r="V1794" s="64">
        <f>IF($A1794="","",IF(COUNTIF(변동분석!$E$7:$E$506,O1794)&gt;0,"Y","N"))</f>
        <v/>
      </c>
      <c r="W1794" s="64">
        <f>IF($A1794="","",IFERROR(INDEX(계정매핑!$D$5:$D$504,MATCH($F1794&amp;"",계정매핑!$A$5:$A$504,0)),"미매핑"))</f>
        <v/>
      </c>
      <c r="X1794" s="9">
        <f>IF($A1794="","",$F1794&amp;"")</f>
        <v/>
      </c>
      <c r="Y1794" s="94">
        <f>IF($A1794="",0,IF(AE1794="직접",IF(AF1794="비귀속",$P1794,0),$P1794*(1-AG1794)*IFERROR(INDEX(계정대체기준!$F$20:$F$49,MATCH($N1794,계정대체기준!$A$20:$A$49,0)),1)))</f>
        <v/>
      </c>
      <c r="Z1794" s="94">
        <f>IF($A1794="",0,IF(AE1794="직접",IF(AF1794="신계약비",$P1794,0),$P1794*(1-AG1794)*IFERROR(INDEX(계정대체기준!$C$20:$C$49,MATCH($N1794,계정대체기준!$A$20:$A$49,0)),0)))</f>
        <v/>
      </c>
      <c r="AA1794" s="94">
        <f>IF($A1794="",0,IF(AE1794="직접",IF(OR(AF1794="유지비",AF1794="손해조사비"),$P1794,0),$P1794*(1-AG1794)*IFERROR(INDEX(계정대체기준!$D$20:$D$49,MATCH($N1794,계정대체기준!$A$20:$A$49,0)),0)))</f>
        <v/>
      </c>
      <c r="AB1794" s="94">
        <f>IF($A1794="",0,IF(AE1794="직접",IF(AF1794="수금비",$P1794,0),$P1794*(1-AG1794)*IFERROR(INDEX(계정대체기준!$E$20:$E$49,MATCH($N1794,계정대체기준!$A$20:$A$49,0)),0)))</f>
        <v/>
      </c>
      <c r="AC1794" s="9">
        <f>IF(AND($A1794&lt;&gt;"",M1794=설정!$C$20,Z1794&gt;0),Z1794+ROW()/1000000000,"")</f>
        <v/>
      </c>
      <c r="AD1794" s="94">
        <f>IF($A1794="",0,$P1794*AG1794)</f>
        <v/>
      </c>
      <c r="AE1794" s="64">
        <f>IF($A1794="","",IFERROR(INDEX(계정매핑!$E$5:$E$504,MATCH($F1794&amp;"",계정매핑!$A$5:$A$504,0))&amp;"","공통비"))</f>
        <v/>
      </c>
      <c r="AF1794" s="64">
        <f>IF($A1794="","",IF(AE1794="직접",IFERROR(INDEX(계정매핑!$F$5:$F$504,MATCH($F1794&amp;"",계정매핑!$A$5:$A$504,0))&amp;"","비귀속"),""))</f>
        <v/>
      </c>
      <c r="AG1794" s="96">
        <f>IF($A1794="",0,IF(AND(AE1794&lt;&gt;"직접",IFERROR(INDEX(계정매핑!$G$5:$G$504,MATCH($F1794&amp;"",계정매핑!$A$5:$A$504,0))&amp;"","")="유지비",COUNTIF(계정대체기준!$A$6:$A$15,$N1794)&gt;0),IFERROR(INDEX(계정대체기준!$E$6:$E$15,MATCH(VALUE($A1794&amp;""),계정대체기준!$D$6:$D$15,0)),0),0))</f>
        <v/>
      </c>
      <c r="AH1794" s="64">
        <f>IF($A1794="","",IF(AD1794=0,"",IF(OR(COUNTIF(계정대체기준!$A$77:$A$86,$N1794)&gt;0,ISNUMBER(MATCH($X1794,계정대체기준!$D$77:$D$86,0)),ISNUMBER(MATCH($F1794,계정대체기준!$D$77:$D$86,0))),"Y","N")))</f>
        <v/>
      </c>
    </row>
    <row r="1795">
      <c r="A1795" s="92" t="n">
        <v>2025</v>
      </c>
      <c r="B1795" s="92" t="n">
        <v>8</v>
      </c>
      <c r="C1795" s="92" t="inlineStr">
        <is>
          <t>5100001791</t>
        </is>
      </c>
      <c r="D1795" s="95" t="n">
        <v>45894</v>
      </c>
      <c r="E1795" s="92" t="inlineStr">
        <is>
          <t>KR</t>
        </is>
      </c>
      <c r="F1795" s="92" t="n">
        <v>62301000</v>
      </c>
      <c r="G1795" s="92" t="n">
        <v>1401</v>
      </c>
      <c r="H1795" s="93" t="n">
        <v>112000</v>
      </c>
      <c r="I1795" s="92" t="inlineStr">
        <is>
          <t>8월 소모품 구입 - R문구</t>
        </is>
      </c>
      <c r="J1795" s="92" t="inlineStr">
        <is>
          <t>V10022</t>
        </is>
      </c>
      <c r="K1795" s="92" t="inlineStr">
        <is>
          <t>R문구</t>
        </is>
      </c>
      <c r="M1795" s="9">
        <f>IF($A1795="","",VALUE($A1795&amp;"")*12+VALUE($B1795&amp;""))</f>
        <v/>
      </c>
      <c r="N1795" s="64">
        <f>IF($A1795="","",IFERROR(INDEX(부서매핑!$C$5:$C$504,MATCH($G1795&amp;"",부서매핑!$A$5:$A$504,0)),"미매핑"))</f>
        <v/>
      </c>
      <c r="O1795" s="9">
        <f>IF($A1795="","",N1795&amp;"|"&amp;$F1795)</f>
        <v/>
      </c>
      <c r="P1795" s="94">
        <f>IF($A1795="",0,$H1795*설정!$C$23)</f>
        <v/>
      </c>
      <c r="Q1795" s="64">
        <f>IF($A1795="","",IF(O1795&lt;&gt;원인분석!$C$9,"",IF(AND(M1795&gt;=원인분석!$C$10,M1795&lt;=원인분석!$C$11),"당기",IF(AND(M1795&gt;=원인분석!$C$12,M1795&lt;=원인분석!$C$13),"비교",""))))</f>
        <v/>
      </c>
      <c r="R1795" s="9">
        <f>IF(Q1795="","",$K1795&amp;"")</f>
        <v/>
      </c>
      <c r="S1795" s="9">
        <f>IF(Q1795="","",IF(MATCH(R1795,$R$5:$R$100000,0)=ROW()-4,ROW(),""))</f>
        <v/>
      </c>
      <c r="T1795" s="9">
        <f>IF(Q1795="당기",ABS(P1795)+ROW()/1000000000,"")</f>
        <v/>
      </c>
      <c r="U1795" s="9">
        <f>IF(Q1795="비교",ABS(P1795)+ROW()/1000000000,"")</f>
        <v/>
      </c>
      <c r="V1795" s="64">
        <f>IF($A1795="","",IF(COUNTIF(변동분석!$E$7:$E$506,O1795)&gt;0,"Y","N"))</f>
        <v/>
      </c>
      <c r="W1795" s="64">
        <f>IF($A1795="","",IFERROR(INDEX(계정매핑!$D$5:$D$504,MATCH($F1795&amp;"",계정매핑!$A$5:$A$504,0)),"미매핑"))</f>
        <v/>
      </c>
      <c r="X1795" s="9">
        <f>IF($A1795="","",$F1795&amp;"")</f>
        <v/>
      </c>
      <c r="Y1795" s="94">
        <f>IF($A1795="",0,IF(AE1795="직접",IF(AF1795="비귀속",$P1795,0),$P1795*(1-AG1795)*IFERROR(INDEX(계정대체기준!$F$20:$F$49,MATCH($N1795,계정대체기준!$A$20:$A$49,0)),1)))</f>
        <v/>
      </c>
      <c r="Z1795" s="94">
        <f>IF($A1795="",0,IF(AE1795="직접",IF(AF1795="신계약비",$P1795,0),$P1795*(1-AG1795)*IFERROR(INDEX(계정대체기준!$C$20:$C$49,MATCH($N1795,계정대체기준!$A$20:$A$49,0)),0)))</f>
        <v/>
      </c>
      <c r="AA1795" s="94">
        <f>IF($A1795="",0,IF(AE1795="직접",IF(OR(AF1795="유지비",AF1795="손해조사비"),$P1795,0),$P1795*(1-AG1795)*IFERROR(INDEX(계정대체기준!$D$20:$D$49,MATCH($N1795,계정대체기준!$A$20:$A$49,0)),0)))</f>
        <v/>
      </c>
      <c r="AB1795" s="94">
        <f>IF($A1795="",0,IF(AE1795="직접",IF(AF1795="수금비",$P1795,0),$P1795*(1-AG1795)*IFERROR(INDEX(계정대체기준!$E$20:$E$49,MATCH($N1795,계정대체기준!$A$20:$A$49,0)),0)))</f>
        <v/>
      </c>
      <c r="AC1795" s="9">
        <f>IF(AND($A1795&lt;&gt;"",M1795=설정!$C$20,Z1795&gt;0),Z1795+ROW()/1000000000,"")</f>
        <v/>
      </c>
      <c r="AD1795" s="94">
        <f>IF($A1795="",0,$P1795*AG1795)</f>
        <v/>
      </c>
      <c r="AE1795" s="64">
        <f>IF($A1795="","",IFERROR(INDEX(계정매핑!$E$5:$E$504,MATCH($F1795&amp;"",계정매핑!$A$5:$A$504,0))&amp;"","공통비"))</f>
        <v/>
      </c>
      <c r="AF1795" s="64">
        <f>IF($A1795="","",IF(AE1795="직접",IFERROR(INDEX(계정매핑!$F$5:$F$504,MATCH($F1795&amp;"",계정매핑!$A$5:$A$504,0))&amp;"","비귀속"),""))</f>
        <v/>
      </c>
      <c r="AG1795" s="96">
        <f>IF($A1795="",0,IF(AND(AE1795&lt;&gt;"직접",IFERROR(INDEX(계정매핑!$G$5:$G$504,MATCH($F1795&amp;"",계정매핑!$A$5:$A$504,0))&amp;"","")="유지비",COUNTIF(계정대체기준!$A$6:$A$15,$N1795)&gt;0),IFERROR(INDEX(계정대체기준!$E$6:$E$15,MATCH(VALUE($A1795&amp;""),계정대체기준!$D$6:$D$15,0)),0),0))</f>
        <v/>
      </c>
      <c r="AH1795" s="64">
        <f>IF($A1795="","",IF(AD1795=0,"",IF(OR(COUNTIF(계정대체기준!$A$77:$A$86,$N1795)&gt;0,ISNUMBER(MATCH($X1795,계정대체기준!$D$77:$D$86,0)),ISNUMBER(MATCH($F1795,계정대체기준!$D$77:$D$86,0))),"Y","N")))</f>
        <v/>
      </c>
    </row>
    <row r="1796">
      <c r="A1796" s="92" t="n">
        <v>2025</v>
      </c>
      <c r="B1796" s="92" t="n">
        <v>8</v>
      </c>
      <c r="C1796" s="92" t="inlineStr">
        <is>
          <t>5100001792</t>
        </is>
      </c>
      <c r="D1796" s="95" t="n">
        <v>45894</v>
      </c>
      <c r="E1796" s="92" t="inlineStr">
        <is>
          <t>KR</t>
        </is>
      </c>
      <c r="F1796" s="92" t="n">
        <v>62401000</v>
      </c>
      <c r="G1796" s="92" t="n">
        <v>1801</v>
      </c>
      <c r="H1796" s="93" t="n">
        <v>1660000</v>
      </c>
      <c r="I1796" s="92" t="inlineStr">
        <is>
          <t>8월 인쇄물 제작 - S출판</t>
        </is>
      </c>
      <c r="J1796" s="92" t="inlineStr">
        <is>
          <t>V10015</t>
        </is>
      </c>
      <c r="K1796" s="92" t="inlineStr">
        <is>
          <t>S출판</t>
        </is>
      </c>
      <c r="M1796" s="9">
        <f>IF($A1796="","",VALUE($A1796&amp;"")*12+VALUE($B1796&amp;""))</f>
        <v/>
      </c>
      <c r="N1796" s="64">
        <f>IF($A1796="","",IFERROR(INDEX(부서매핑!$C$5:$C$504,MATCH($G1796&amp;"",부서매핑!$A$5:$A$504,0)),"미매핑"))</f>
        <v/>
      </c>
      <c r="O1796" s="9">
        <f>IF($A1796="","",N1796&amp;"|"&amp;$F1796)</f>
        <v/>
      </c>
      <c r="P1796" s="94">
        <f>IF($A1796="",0,$H1796*설정!$C$23)</f>
        <v/>
      </c>
      <c r="Q1796" s="64">
        <f>IF($A1796="","",IF(O1796&lt;&gt;원인분석!$C$9,"",IF(AND(M1796&gt;=원인분석!$C$10,M1796&lt;=원인분석!$C$11),"당기",IF(AND(M1796&gt;=원인분석!$C$12,M1796&lt;=원인분석!$C$13),"비교",""))))</f>
        <v/>
      </c>
      <c r="R1796" s="9">
        <f>IF(Q1796="","",$K1796&amp;"")</f>
        <v/>
      </c>
      <c r="S1796" s="9">
        <f>IF(Q1796="","",IF(MATCH(R1796,$R$5:$R$100000,0)=ROW()-4,ROW(),""))</f>
        <v/>
      </c>
      <c r="T1796" s="9">
        <f>IF(Q1796="당기",ABS(P1796)+ROW()/1000000000,"")</f>
        <v/>
      </c>
      <c r="U1796" s="9">
        <f>IF(Q1796="비교",ABS(P1796)+ROW()/1000000000,"")</f>
        <v/>
      </c>
      <c r="V1796" s="64">
        <f>IF($A1796="","",IF(COUNTIF(변동분석!$E$7:$E$506,O1796)&gt;0,"Y","N"))</f>
        <v/>
      </c>
      <c r="W1796" s="64">
        <f>IF($A1796="","",IFERROR(INDEX(계정매핑!$D$5:$D$504,MATCH($F1796&amp;"",계정매핑!$A$5:$A$504,0)),"미매핑"))</f>
        <v/>
      </c>
      <c r="X1796" s="9">
        <f>IF($A1796="","",$F1796&amp;"")</f>
        <v/>
      </c>
      <c r="Y1796" s="94">
        <f>IF($A1796="",0,IF(AE1796="직접",IF(AF1796="비귀속",$P1796,0),$P1796*(1-AG1796)*IFERROR(INDEX(계정대체기준!$F$20:$F$49,MATCH($N1796,계정대체기준!$A$20:$A$49,0)),1)))</f>
        <v/>
      </c>
      <c r="Z1796" s="94">
        <f>IF($A1796="",0,IF(AE1796="직접",IF(AF1796="신계약비",$P1796,0),$P1796*(1-AG1796)*IFERROR(INDEX(계정대체기준!$C$20:$C$49,MATCH($N1796,계정대체기준!$A$20:$A$49,0)),0)))</f>
        <v/>
      </c>
      <c r="AA1796" s="94">
        <f>IF($A1796="",0,IF(AE1796="직접",IF(OR(AF1796="유지비",AF1796="손해조사비"),$P1796,0),$P1796*(1-AG1796)*IFERROR(INDEX(계정대체기준!$D$20:$D$49,MATCH($N1796,계정대체기준!$A$20:$A$49,0)),0)))</f>
        <v/>
      </c>
      <c r="AB1796" s="94">
        <f>IF($A1796="",0,IF(AE1796="직접",IF(AF1796="수금비",$P1796,0),$P1796*(1-AG1796)*IFERROR(INDEX(계정대체기준!$E$20:$E$49,MATCH($N1796,계정대체기준!$A$20:$A$49,0)),0)))</f>
        <v/>
      </c>
      <c r="AC1796" s="9">
        <f>IF(AND($A1796&lt;&gt;"",M1796=설정!$C$20,Z1796&gt;0),Z1796+ROW()/1000000000,"")</f>
        <v/>
      </c>
      <c r="AD1796" s="94">
        <f>IF($A1796="",0,$P1796*AG1796)</f>
        <v/>
      </c>
      <c r="AE1796" s="64">
        <f>IF($A1796="","",IFERROR(INDEX(계정매핑!$E$5:$E$504,MATCH($F1796&amp;"",계정매핑!$A$5:$A$504,0))&amp;"","공통비"))</f>
        <v/>
      </c>
      <c r="AF1796" s="64">
        <f>IF($A1796="","",IF(AE1796="직접",IFERROR(INDEX(계정매핑!$F$5:$F$504,MATCH($F1796&amp;"",계정매핑!$A$5:$A$504,0))&amp;"","비귀속"),""))</f>
        <v/>
      </c>
      <c r="AG1796" s="96">
        <f>IF($A1796="",0,IF(AND(AE1796&lt;&gt;"직접",IFERROR(INDEX(계정매핑!$G$5:$G$504,MATCH($F1796&amp;"",계정매핑!$A$5:$A$504,0))&amp;"","")="유지비",COUNTIF(계정대체기준!$A$6:$A$15,$N1796)&gt;0),IFERROR(INDEX(계정대체기준!$E$6:$E$15,MATCH(VALUE($A1796&amp;""),계정대체기준!$D$6:$D$15,0)),0),0))</f>
        <v/>
      </c>
      <c r="AH1796" s="64">
        <f>IF($A1796="","",IF(AD1796=0,"",IF(OR(COUNTIF(계정대체기준!$A$77:$A$86,$N1796)&gt;0,ISNUMBER(MATCH($X1796,계정대체기준!$D$77:$D$86,0)),ISNUMBER(MATCH($F1796,계정대체기준!$D$77:$D$86,0))),"Y","N")))</f>
        <v/>
      </c>
    </row>
    <row r="1797">
      <c r="A1797" s="92" t="n">
        <v>2025</v>
      </c>
      <c r="B1797" s="92" t="n">
        <v>8</v>
      </c>
      <c r="C1797" s="92" t="inlineStr">
        <is>
          <t>5100001793</t>
        </is>
      </c>
      <c r="D1797" s="95" t="n">
        <v>45894</v>
      </c>
      <c r="E1797" s="92" t="inlineStr">
        <is>
          <t>KR</t>
        </is>
      </c>
      <c r="F1797" s="92" t="n">
        <v>62501000</v>
      </c>
      <c r="G1797" s="92" t="n">
        <v>1401</v>
      </c>
      <c r="H1797" s="93" t="n">
        <v>185000</v>
      </c>
      <c r="I1797" s="92" t="inlineStr">
        <is>
          <t>8월 회의 다과 - T케이터링</t>
        </is>
      </c>
      <c r="J1797" s="92" t="inlineStr">
        <is>
          <t>V10005</t>
        </is>
      </c>
      <c r="K1797" s="92" t="inlineStr">
        <is>
          <t>T케이터링</t>
        </is>
      </c>
      <c r="M1797" s="9">
        <f>IF($A1797="","",VALUE($A1797&amp;"")*12+VALUE($B1797&amp;""))</f>
        <v/>
      </c>
      <c r="N1797" s="64">
        <f>IF($A1797="","",IFERROR(INDEX(부서매핑!$C$5:$C$504,MATCH($G1797&amp;"",부서매핑!$A$5:$A$504,0)),"미매핑"))</f>
        <v/>
      </c>
      <c r="O1797" s="9">
        <f>IF($A1797="","",N1797&amp;"|"&amp;$F1797)</f>
        <v/>
      </c>
      <c r="P1797" s="94">
        <f>IF($A1797="",0,$H1797*설정!$C$23)</f>
        <v/>
      </c>
      <c r="Q1797" s="64">
        <f>IF($A1797="","",IF(O1797&lt;&gt;원인분석!$C$9,"",IF(AND(M1797&gt;=원인분석!$C$10,M1797&lt;=원인분석!$C$11),"당기",IF(AND(M1797&gt;=원인분석!$C$12,M1797&lt;=원인분석!$C$13),"비교",""))))</f>
        <v/>
      </c>
      <c r="R1797" s="9">
        <f>IF(Q1797="","",$K1797&amp;"")</f>
        <v/>
      </c>
      <c r="S1797" s="9">
        <f>IF(Q1797="","",IF(MATCH(R1797,$R$5:$R$100000,0)=ROW()-4,ROW(),""))</f>
        <v/>
      </c>
      <c r="T1797" s="9">
        <f>IF(Q1797="당기",ABS(P1797)+ROW()/1000000000,"")</f>
        <v/>
      </c>
      <c r="U1797" s="9">
        <f>IF(Q1797="비교",ABS(P1797)+ROW()/1000000000,"")</f>
        <v/>
      </c>
      <c r="V1797" s="64">
        <f>IF($A1797="","",IF(COUNTIF(변동분석!$E$7:$E$506,O1797)&gt;0,"Y","N"))</f>
        <v/>
      </c>
      <c r="W1797" s="64">
        <f>IF($A1797="","",IFERROR(INDEX(계정매핑!$D$5:$D$504,MATCH($F1797&amp;"",계정매핑!$A$5:$A$504,0)),"미매핑"))</f>
        <v/>
      </c>
      <c r="X1797" s="9">
        <f>IF($A1797="","",$F1797&amp;"")</f>
        <v/>
      </c>
      <c r="Y1797" s="94">
        <f>IF($A1797="",0,IF(AE1797="직접",IF(AF1797="비귀속",$P1797,0),$P1797*(1-AG1797)*IFERROR(INDEX(계정대체기준!$F$20:$F$49,MATCH($N1797,계정대체기준!$A$20:$A$49,0)),1)))</f>
        <v/>
      </c>
      <c r="Z1797" s="94">
        <f>IF($A1797="",0,IF(AE1797="직접",IF(AF1797="신계약비",$P1797,0),$P1797*(1-AG1797)*IFERROR(INDEX(계정대체기준!$C$20:$C$49,MATCH($N1797,계정대체기준!$A$20:$A$49,0)),0)))</f>
        <v/>
      </c>
      <c r="AA1797" s="94">
        <f>IF($A1797="",0,IF(AE1797="직접",IF(OR(AF1797="유지비",AF1797="손해조사비"),$P1797,0),$P1797*(1-AG1797)*IFERROR(INDEX(계정대체기준!$D$20:$D$49,MATCH($N1797,계정대체기준!$A$20:$A$49,0)),0)))</f>
        <v/>
      </c>
      <c r="AB1797" s="94">
        <f>IF($A1797="",0,IF(AE1797="직접",IF(AF1797="수금비",$P1797,0),$P1797*(1-AG1797)*IFERROR(INDEX(계정대체기준!$E$20:$E$49,MATCH($N1797,계정대체기준!$A$20:$A$49,0)),0)))</f>
        <v/>
      </c>
      <c r="AC1797" s="9">
        <f>IF(AND($A1797&lt;&gt;"",M1797=설정!$C$20,Z1797&gt;0),Z1797+ROW()/1000000000,"")</f>
        <v/>
      </c>
      <c r="AD1797" s="94">
        <f>IF($A1797="",0,$P1797*AG1797)</f>
        <v/>
      </c>
      <c r="AE1797" s="64">
        <f>IF($A1797="","",IFERROR(INDEX(계정매핑!$E$5:$E$504,MATCH($F1797&amp;"",계정매핑!$A$5:$A$504,0))&amp;"","공통비"))</f>
        <v/>
      </c>
      <c r="AF1797" s="64">
        <f>IF($A1797="","",IF(AE1797="직접",IFERROR(INDEX(계정매핑!$F$5:$F$504,MATCH($F1797&amp;"",계정매핑!$A$5:$A$504,0))&amp;"","비귀속"),""))</f>
        <v/>
      </c>
      <c r="AG1797" s="96">
        <f>IF($A1797="",0,IF(AND(AE1797&lt;&gt;"직접",IFERROR(INDEX(계정매핑!$G$5:$G$504,MATCH($F1797&amp;"",계정매핑!$A$5:$A$504,0))&amp;"","")="유지비",COUNTIF(계정대체기준!$A$6:$A$15,$N1797)&gt;0),IFERROR(INDEX(계정대체기준!$E$6:$E$15,MATCH(VALUE($A1797&amp;""),계정대체기준!$D$6:$D$15,0)),0),0))</f>
        <v/>
      </c>
      <c r="AH1797" s="64">
        <f>IF($A1797="","",IF(AD1797=0,"",IF(OR(COUNTIF(계정대체기준!$A$77:$A$86,$N1797)&gt;0,ISNUMBER(MATCH($X1797,계정대체기준!$D$77:$D$86,0)),ISNUMBER(MATCH($F1797,계정대체기준!$D$77:$D$86,0))),"Y","N")))</f>
        <v/>
      </c>
    </row>
    <row r="1798">
      <c r="A1798" s="92" t="n">
        <v>2025</v>
      </c>
      <c r="B1798" s="92" t="n">
        <v>8</v>
      </c>
      <c r="C1798" s="92" t="inlineStr">
        <is>
          <t>5100001794</t>
        </is>
      </c>
      <c r="D1798" s="95" t="n">
        <v>45894</v>
      </c>
      <c r="E1798" s="92" t="inlineStr">
        <is>
          <t>KR</t>
        </is>
      </c>
      <c r="F1798" s="92" t="n">
        <v>62902000</v>
      </c>
      <c r="G1798" s="92" t="n">
        <v>1801</v>
      </c>
      <c r="H1798" s="93" t="n">
        <v>1828000</v>
      </c>
      <c r="I1798" s="92" t="inlineStr">
        <is>
          <t>8월 콜 위탁 수수료(건별)</t>
        </is>
      </c>
      <c r="J1798" s="92" t="inlineStr">
        <is>
          <t>V10016</t>
        </is>
      </c>
      <c r="K1798" s="92" t="inlineStr">
        <is>
          <t>J콜센터</t>
        </is>
      </c>
      <c r="M1798" s="9">
        <f>IF($A1798="","",VALUE($A1798&amp;"")*12+VALUE($B1798&amp;""))</f>
        <v/>
      </c>
      <c r="N1798" s="64">
        <f>IF($A1798="","",IFERROR(INDEX(부서매핑!$C$5:$C$504,MATCH($G1798&amp;"",부서매핑!$A$5:$A$504,0)),"미매핑"))</f>
        <v/>
      </c>
      <c r="O1798" s="9">
        <f>IF($A1798="","",N1798&amp;"|"&amp;$F1798)</f>
        <v/>
      </c>
      <c r="P1798" s="94">
        <f>IF($A1798="",0,$H1798*설정!$C$23)</f>
        <v/>
      </c>
      <c r="Q1798" s="64">
        <f>IF($A1798="","",IF(O1798&lt;&gt;원인분석!$C$9,"",IF(AND(M1798&gt;=원인분석!$C$10,M1798&lt;=원인분석!$C$11),"당기",IF(AND(M1798&gt;=원인분석!$C$12,M1798&lt;=원인분석!$C$13),"비교",""))))</f>
        <v/>
      </c>
      <c r="R1798" s="9">
        <f>IF(Q1798="","",$K1798&amp;"")</f>
        <v/>
      </c>
      <c r="S1798" s="9">
        <f>IF(Q1798="","",IF(MATCH(R1798,$R$5:$R$100000,0)=ROW()-4,ROW(),""))</f>
        <v/>
      </c>
      <c r="T1798" s="9">
        <f>IF(Q1798="당기",ABS(P1798)+ROW()/1000000000,"")</f>
        <v/>
      </c>
      <c r="U1798" s="9">
        <f>IF(Q1798="비교",ABS(P1798)+ROW()/1000000000,"")</f>
        <v/>
      </c>
      <c r="V1798" s="64">
        <f>IF($A1798="","",IF(COUNTIF(변동분석!$E$7:$E$506,O1798)&gt;0,"Y","N"))</f>
        <v/>
      </c>
      <c r="W1798" s="64">
        <f>IF($A1798="","",IFERROR(INDEX(계정매핑!$D$5:$D$504,MATCH($F1798&amp;"",계정매핑!$A$5:$A$504,0)),"미매핑"))</f>
        <v/>
      </c>
      <c r="X1798" s="9">
        <f>IF($A1798="","",$F1798&amp;"")</f>
        <v/>
      </c>
      <c r="Y1798" s="94">
        <f>IF($A1798="",0,IF(AE1798="직접",IF(AF1798="비귀속",$P1798,0),$P1798*(1-AG1798)*IFERROR(INDEX(계정대체기준!$F$20:$F$49,MATCH($N1798,계정대체기준!$A$20:$A$49,0)),1)))</f>
        <v/>
      </c>
      <c r="Z1798" s="94">
        <f>IF($A1798="",0,IF(AE1798="직접",IF(AF1798="신계약비",$P1798,0),$P1798*(1-AG1798)*IFERROR(INDEX(계정대체기준!$C$20:$C$49,MATCH($N1798,계정대체기준!$A$20:$A$49,0)),0)))</f>
        <v/>
      </c>
      <c r="AA1798" s="94">
        <f>IF($A1798="",0,IF(AE1798="직접",IF(OR(AF1798="유지비",AF1798="손해조사비"),$P1798,0),$P1798*(1-AG1798)*IFERROR(INDEX(계정대체기준!$D$20:$D$49,MATCH($N1798,계정대체기준!$A$20:$A$49,0)),0)))</f>
        <v/>
      </c>
      <c r="AB1798" s="94">
        <f>IF($A1798="",0,IF(AE1798="직접",IF(AF1798="수금비",$P1798,0),$P1798*(1-AG1798)*IFERROR(INDEX(계정대체기준!$E$20:$E$49,MATCH($N1798,계정대체기준!$A$20:$A$49,0)),0)))</f>
        <v/>
      </c>
      <c r="AC1798" s="9">
        <f>IF(AND($A1798&lt;&gt;"",M1798=설정!$C$20,Z1798&gt;0),Z1798+ROW()/1000000000,"")</f>
        <v/>
      </c>
      <c r="AD1798" s="94">
        <f>IF($A1798="",0,$P1798*AG1798)</f>
        <v/>
      </c>
      <c r="AE1798" s="64">
        <f>IF($A1798="","",IFERROR(INDEX(계정매핑!$E$5:$E$504,MATCH($F1798&amp;"",계정매핑!$A$5:$A$504,0))&amp;"","공통비"))</f>
        <v/>
      </c>
      <c r="AF1798" s="64">
        <f>IF($A1798="","",IF(AE1798="직접",IFERROR(INDEX(계정매핑!$F$5:$F$504,MATCH($F1798&amp;"",계정매핑!$A$5:$A$504,0))&amp;"","비귀속"),""))</f>
        <v/>
      </c>
      <c r="AG1798" s="96">
        <f>IF($A1798="",0,IF(AND(AE1798&lt;&gt;"직접",IFERROR(INDEX(계정매핑!$G$5:$G$504,MATCH($F1798&amp;"",계정매핑!$A$5:$A$504,0))&amp;"","")="유지비",COUNTIF(계정대체기준!$A$6:$A$15,$N1798)&gt;0),IFERROR(INDEX(계정대체기준!$E$6:$E$15,MATCH(VALUE($A1798&amp;""),계정대체기준!$D$6:$D$15,0)),0),0))</f>
        <v/>
      </c>
      <c r="AH1798" s="64">
        <f>IF($A1798="","",IF(AD1798=0,"",IF(OR(COUNTIF(계정대체기준!$A$77:$A$86,$N1798)&gt;0,ISNUMBER(MATCH($X1798,계정대체기준!$D$77:$D$86,0)),ISNUMBER(MATCH($F1798,계정대체기준!$D$77:$D$86,0))),"Y","N")))</f>
        <v/>
      </c>
    </row>
    <row r="1799">
      <c r="A1799" s="92" t="n">
        <v>2025</v>
      </c>
      <c r="B1799" s="92" t="n">
        <v>8</v>
      </c>
      <c r="C1799" s="92" t="inlineStr">
        <is>
          <t>5100001795</t>
        </is>
      </c>
      <c r="D1799" s="95" t="n">
        <v>45894</v>
      </c>
      <c r="E1799" s="92" t="inlineStr">
        <is>
          <t>KR</t>
        </is>
      </c>
      <c r="F1799" s="92" t="n">
        <v>63002000</v>
      </c>
      <c r="G1799" s="92" t="n">
        <v>1701</v>
      </c>
      <c r="H1799" s="93" t="n">
        <v>69000000</v>
      </c>
      <c r="I1799" s="92" t="inlineStr">
        <is>
          <t>8월 클라우드 사용료 - C클라우드</t>
        </is>
      </c>
      <c r="J1799" s="92" t="inlineStr">
        <is>
          <t>V10026</t>
        </is>
      </c>
      <c r="K1799" s="92" t="inlineStr">
        <is>
          <t>C클라우드</t>
        </is>
      </c>
      <c r="M1799" s="9">
        <f>IF($A1799="","",VALUE($A1799&amp;"")*12+VALUE($B1799&amp;""))</f>
        <v/>
      </c>
      <c r="N1799" s="64">
        <f>IF($A1799="","",IFERROR(INDEX(부서매핑!$C$5:$C$504,MATCH($G1799&amp;"",부서매핑!$A$5:$A$504,0)),"미매핑"))</f>
        <v/>
      </c>
      <c r="O1799" s="9">
        <f>IF($A1799="","",N1799&amp;"|"&amp;$F1799)</f>
        <v/>
      </c>
      <c r="P1799" s="94">
        <f>IF($A1799="",0,$H1799*설정!$C$23)</f>
        <v/>
      </c>
      <c r="Q1799" s="64">
        <f>IF($A1799="","",IF(O1799&lt;&gt;원인분석!$C$9,"",IF(AND(M1799&gt;=원인분석!$C$10,M1799&lt;=원인분석!$C$11),"당기",IF(AND(M1799&gt;=원인분석!$C$12,M1799&lt;=원인분석!$C$13),"비교",""))))</f>
        <v/>
      </c>
      <c r="R1799" s="9">
        <f>IF(Q1799="","",$K1799&amp;"")</f>
        <v/>
      </c>
      <c r="S1799" s="9">
        <f>IF(Q1799="","",IF(MATCH(R1799,$R$5:$R$100000,0)=ROW()-4,ROW(),""))</f>
        <v/>
      </c>
      <c r="T1799" s="9">
        <f>IF(Q1799="당기",ABS(P1799)+ROW()/1000000000,"")</f>
        <v/>
      </c>
      <c r="U1799" s="9">
        <f>IF(Q1799="비교",ABS(P1799)+ROW()/1000000000,"")</f>
        <v/>
      </c>
      <c r="V1799" s="64">
        <f>IF($A1799="","",IF(COUNTIF(변동분석!$E$7:$E$506,O1799)&gt;0,"Y","N"))</f>
        <v/>
      </c>
      <c r="W1799" s="64">
        <f>IF($A1799="","",IFERROR(INDEX(계정매핑!$D$5:$D$504,MATCH($F1799&amp;"",계정매핑!$A$5:$A$504,0)),"미매핑"))</f>
        <v/>
      </c>
      <c r="X1799" s="9">
        <f>IF($A1799="","",$F1799&amp;"")</f>
        <v/>
      </c>
      <c r="Y1799" s="94">
        <f>IF($A1799="",0,IF(AE1799="직접",IF(AF1799="비귀속",$P1799,0),$P1799*(1-AG1799)*IFERROR(INDEX(계정대체기준!$F$20:$F$49,MATCH($N1799,계정대체기준!$A$20:$A$49,0)),1)))</f>
        <v/>
      </c>
      <c r="Z1799" s="94">
        <f>IF($A1799="",0,IF(AE1799="직접",IF(AF1799="신계약비",$P1799,0),$P1799*(1-AG1799)*IFERROR(INDEX(계정대체기준!$C$20:$C$49,MATCH($N1799,계정대체기준!$A$20:$A$49,0)),0)))</f>
        <v/>
      </c>
      <c r="AA1799" s="94">
        <f>IF($A1799="",0,IF(AE1799="직접",IF(OR(AF1799="유지비",AF1799="손해조사비"),$P1799,0),$P1799*(1-AG1799)*IFERROR(INDEX(계정대체기준!$D$20:$D$49,MATCH($N1799,계정대체기준!$A$20:$A$49,0)),0)))</f>
        <v/>
      </c>
      <c r="AB1799" s="94">
        <f>IF($A1799="",0,IF(AE1799="직접",IF(AF1799="수금비",$P1799,0),$P1799*(1-AG1799)*IFERROR(INDEX(계정대체기준!$E$20:$E$49,MATCH($N1799,계정대체기준!$A$20:$A$49,0)),0)))</f>
        <v/>
      </c>
      <c r="AC1799" s="9">
        <f>IF(AND($A1799&lt;&gt;"",M1799=설정!$C$20,Z1799&gt;0),Z1799+ROW()/1000000000,"")</f>
        <v/>
      </c>
      <c r="AD1799" s="94">
        <f>IF($A1799="",0,$P1799*AG1799)</f>
        <v/>
      </c>
      <c r="AE1799" s="64">
        <f>IF($A1799="","",IFERROR(INDEX(계정매핑!$E$5:$E$504,MATCH($F1799&amp;"",계정매핑!$A$5:$A$504,0))&amp;"","공통비"))</f>
        <v/>
      </c>
      <c r="AF1799" s="64">
        <f>IF($A1799="","",IF(AE1799="직접",IFERROR(INDEX(계정매핑!$F$5:$F$504,MATCH($F1799&amp;"",계정매핑!$A$5:$A$504,0))&amp;"","비귀속"),""))</f>
        <v/>
      </c>
      <c r="AG1799" s="96">
        <f>IF($A1799="",0,IF(AND(AE1799&lt;&gt;"직접",IFERROR(INDEX(계정매핑!$G$5:$G$504,MATCH($F1799&amp;"",계정매핑!$A$5:$A$504,0))&amp;"","")="유지비",COUNTIF(계정대체기준!$A$6:$A$15,$N1799)&gt;0),IFERROR(INDEX(계정대체기준!$E$6:$E$15,MATCH(VALUE($A1799&amp;""),계정대체기준!$D$6:$D$15,0)),0),0))</f>
        <v/>
      </c>
      <c r="AH1799" s="64">
        <f>IF($A1799="","",IF(AD1799=0,"",IF(OR(COUNTIF(계정대체기준!$A$77:$A$86,$N1799)&gt;0,ISNUMBER(MATCH($X1799,계정대체기준!$D$77:$D$86,0)),ISNUMBER(MATCH($F1799,계정대체기준!$D$77:$D$86,0))),"Y","N")))</f>
        <v/>
      </c>
    </row>
    <row r="1800">
      <c r="A1800" s="92" t="n">
        <v>2025</v>
      </c>
      <c r="B1800" s="92" t="n">
        <v>8</v>
      </c>
      <c r="C1800" s="92" t="inlineStr">
        <is>
          <t>5100001796</t>
        </is>
      </c>
      <c r="D1800" s="95" t="n">
        <v>45894</v>
      </c>
      <c r="E1800" s="92" t="inlineStr">
        <is>
          <t>KR</t>
        </is>
      </c>
      <c r="F1800" s="92" t="n">
        <v>63201000</v>
      </c>
      <c r="G1800" s="92" t="n">
        <v>1602</v>
      </c>
      <c r="H1800" s="93" t="n">
        <v>5363000</v>
      </c>
      <c r="I1800" s="92" t="inlineStr">
        <is>
          <t>8월 차량 유지 - D정비</t>
        </is>
      </c>
      <c r="J1800" s="92" t="inlineStr">
        <is>
          <t>V10025</t>
        </is>
      </c>
      <c r="K1800" s="92" t="inlineStr">
        <is>
          <t>D정비</t>
        </is>
      </c>
      <c r="M1800" s="9">
        <f>IF($A1800="","",VALUE($A1800&amp;"")*12+VALUE($B1800&amp;""))</f>
        <v/>
      </c>
      <c r="N1800" s="64">
        <f>IF($A1800="","",IFERROR(INDEX(부서매핑!$C$5:$C$504,MATCH($G1800&amp;"",부서매핑!$A$5:$A$504,0)),"미매핑"))</f>
        <v/>
      </c>
      <c r="O1800" s="9">
        <f>IF($A1800="","",N1800&amp;"|"&amp;$F1800)</f>
        <v/>
      </c>
      <c r="P1800" s="94">
        <f>IF($A1800="",0,$H1800*설정!$C$23)</f>
        <v/>
      </c>
      <c r="Q1800" s="64">
        <f>IF($A1800="","",IF(O1800&lt;&gt;원인분석!$C$9,"",IF(AND(M1800&gt;=원인분석!$C$10,M1800&lt;=원인분석!$C$11),"당기",IF(AND(M1800&gt;=원인분석!$C$12,M1800&lt;=원인분석!$C$13),"비교",""))))</f>
        <v/>
      </c>
      <c r="R1800" s="9">
        <f>IF(Q1800="","",$K1800&amp;"")</f>
        <v/>
      </c>
      <c r="S1800" s="9">
        <f>IF(Q1800="","",IF(MATCH(R1800,$R$5:$R$100000,0)=ROW()-4,ROW(),""))</f>
        <v/>
      </c>
      <c r="T1800" s="9">
        <f>IF(Q1800="당기",ABS(P1800)+ROW()/1000000000,"")</f>
        <v/>
      </c>
      <c r="U1800" s="9">
        <f>IF(Q1800="비교",ABS(P1800)+ROW()/1000000000,"")</f>
        <v/>
      </c>
      <c r="V1800" s="64">
        <f>IF($A1800="","",IF(COUNTIF(변동분석!$E$7:$E$506,O1800)&gt;0,"Y","N"))</f>
        <v/>
      </c>
      <c r="W1800" s="64">
        <f>IF($A1800="","",IFERROR(INDEX(계정매핑!$D$5:$D$504,MATCH($F1800&amp;"",계정매핑!$A$5:$A$504,0)),"미매핑"))</f>
        <v/>
      </c>
      <c r="X1800" s="9">
        <f>IF($A1800="","",$F1800&amp;"")</f>
        <v/>
      </c>
      <c r="Y1800" s="94">
        <f>IF($A1800="",0,IF(AE1800="직접",IF(AF1800="비귀속",$P1800,0),$P1800*(1-AG1800)*IFERROR(INDEX(계정대체기준!$F$20:$F$49,MATCH($N1800,계정대체기준!$A$20:$A$49,0)),1)))</f>
        <v/>
      </c>
      <c r="Z1800" s="94">
        <f>IF($A1800="",0,IF(AE1800="직접",IF(AF1800="신계약비",$P1800,0),$P1800*(1-AG1800)*IFERROR(INDEX(계정대체기준!$C$20:$C$49,MATCH($N1800,계정대체기준!$A$20:$A$49,0)),0)))</f>
        <v/>
      </c>
      <c r="AA1800" s="94">
        <f>IF($A1800="",0,IF(AE1800="직접",IF(OR(AF1800="유지비",AF1800="손해조사비"),$P1800,0),$P1800*(1-AG1800)*IFERROR(INDEX(계정대체기준!$D$20:$D$49,MATCH($N1800,계정대체기준!$A$20:$A$49,0)),0)))</f>
        <v/>
      </c>
      <c r="AB1800" s="94">
        <f>IF($A1800="",0,IF(AE1800="직접",IF(AF1800="수금비",$P1800,0),$P1800*(1-AG1800)*IFERROR(INDEX(계정대체기준!$E$20:$E$49,MATCH($N1800,계정대체기준!$A$20:$A$49,0)),0)))</f>
        <v/>
      </c>
      <c r="AC1800" s="9">
        <f>IF(AND($A1800&lt;&gt;"",M1800=설정!$C$20,Z1800&gt;0),Z1800+ROW()/1000000000,"")</f>
        <v/>
      </c>
      <c r="AD1800" s="94">
        <f>IF($A1800="",0,$P1800*AG1800)</f>
        <v/>
      </c>
      <c r="AE1800" s="64">
        <f>IF($A1800="","",IFERROR(INDEX(계정매핑!$E$5:$E$504,MATCH($F1800&amp;"",계정매핑!$A$5:$A$504,0))&amp;"","공통비"))</f>
        <v/>
      </c>
      <c r="AF1800" s="64">
        <f>IF($A1800="","",IF(AE1800="직접",IFERROR(INDEX(계정매핑!$F$5:$F$504,MATCH($F1800&amp;"",계정매핑!$A$5:$A$504,0))&amp;"","비귀속"),""))</f>
        <v/>
      </c>
      <c r="AG1800" s="96">
        <f>IF($A1800="",0,IF(AND(AE1800&lt;&gt;"직접",IFERROR(INDEX(계정매핑!$G$5:$G$504,MATCH($F1800&amp;"",계정매핑!$A$5:$A$504,0))&amp;"","")="유지비",COUNTIF(계정대체기준!$A$6:$A$15,$N1800)&gt;0),IFERROR(INDEX(계정대체기준!$E$6:$E$15,MATCH(VALUE($A1800&amp;""),계정대체기준!$D$6:$D$15,0)),0),0))</f>
        <v/>
      </c>
      <c r="AH1800" s="64">
        <f>IF($A1800="","",IF(AD1800=0,"",IF(OR(COUNTIF(계정대체기준!$A$77:$A$86,$N1800)&gt;0,ISNUMBER(MATCH($X1800,계정대체기준!$D$77:$D$86,0)),ISNUMBER(MATCH($F1800,계정대체기준!$D$77:$D$86,0))),"Y","N")))</f>
        <v/>
      </c>
    </row>
    <row r="1801">
      <c r="A1801" s="92" t="n">
        <v>2025</v>
      </c>
      <c r="B1801" s="92" t="n">
        <v>8</v>
      </c>
      <c r="C1801" s="92" t="inlineStr">
        <is>
          <t>5100001797</t>
        </is>
      </c>
      <c r="D1801" s="95" t="n">
        <v>45895</v>
      </c>
      <c r="E1801" s="92" t="inlineStr">
        <is>
          <t>KR</t>
        </is>
      </c>
      <c r="F1801" s="92" t="n">
        <v>62101000</v>
      </c>
      <c r="G1801" s="92" t="n">
        <v>1201</v>
      </c>
      <c r="H1801" s="93" t="n">
        <v>165000</v>
      </c>
      <c r="I1801" s="92" t="inlineStr">
        <is>
          <t>8월 국내출장 - M항공</t>
        </is>
      </c>
      <c r="J1801" s="92" t="inlineStr">
        <is>
          <t>V10001</t>
        </is>
      </c>
      <c r="K1801" s="92" t="inlineStr">
        <is>
          <t>M항공</t>
        </is>
      </c>
      <c r="M1801" s="9">
        <f>IF($A1801="","",VALUE($A1801&amp;"")*12+VALUE($B1801&amp;""))</f>
        <v/>
      </c>
      <c r="N1801" s="64">
        <f>IF($A1801="","",IFERROR(INDEX(부서매핑!$C$5:$C$504,MATCH($G1801&amp;"",부서매핑!$A$5:$A$504,0)),"미매핑"))</f>
        <v/>
      </c>
      <c r="O1801" s="9">
        <f>IF($A1801="","",N1801&amp;"|"&amp;$F1801)</f>
        <v/>
      </c>
      <c r="P1801" s="94">
        <f>IF($A1801="",0,$H1801*설정!$C$23)</f>
        <v/>
      </c>
      <c r="Q1801" s="64">
        <f>IF($A1801="","",IF(O1801&lt;&gt;원인분석!$C$9,"",IF(AND(M1801&gt;=원인분석!$C$10,M1801&lt;=원인분석!$C$11),"당기",IF(AND(M1801&gt;=원인분석!$C$12,M1801&lt;=원인분석!$C$13),"비교",""))))</f>
        <v/>
      </c>
      <c r="R1801" s="9">
        <f>IF(Q1801="","",$K1801&amp;"")</f>
        <v/>
      </c>
      <c r="S1801" s="9">
        <f>IF(Q1801="","",IF(MATCH(R1801,$R$5:$R$100000,0)=ROW()-4,ROW(),""))</f>
        <v/>
      </c>
      <c r="T1801" s="9">
        <f>IF(Q1801="당기",ABS(P1801)+ROW()/1000000000,"")</f>
        <v/>
      </c>
      <c r="U1801" s="9">
        <f>IF(Q1801="비교",ABS(P1801)+ROW()/1000000000,"")</f>
        <v/>
      </c>
      <c r="V1801" s="64">
        <f>IF($A1801="","",IF(COUNTIF(변동분석!$E$7:$E$506,O1801)&gt;0,"Y","N"))</f>
        <v/>
      </c>
      <c r="W1801" s="64">
        <f>IF($A1801="","",IFERROR(INDEX(계정매핑!$D$5:$D$504,MATCH($F1801&amp;"",계정매핑!$A$5:$A$504,0)),"미매핑"))</f>
        <v/>
      </c>
      <c r="X1801" s="9">
        <f>IF($A1801="","",$F1801&amp;"")</f>
        <v/>
      </c>
      <c r="Y1801" s="94">
        <f>IF($A1801="",0,IF(AE1801="직접",IF(AF1801="비귀속",$P1801,0),$P1801*(1-AG1801)*IFERROR(INDEX(계정대체기준!$F$20:$F$49,MATCH($N1801,계정대체기준!$A$20:$A$49,0)),1)))</f>
        <v/>
      </c>
      <c r="Z1801" s="94">
        <f>IF($A1801="",0,IF(AE1801="직접",IF(AF1801="신계약비",$P1801,0),$P1801*(1-AG1801)*IFERROR(INDEX(계정대체기준!$C$20:$C$49,MATCH($N1801,계정대체기준!$A$20:$A$49,0)),0)))</f>
        <v/>
      </c>
      <c r="AA1801" s="94">
        <f>IF($A1801="",0,IF(AE1801="직접",IF(OR(AF1801="유지비",AF1801="손해조사비"),$P1801,0),$P1801*(1-AG1801)*IFERROR(INDEX(계정대체기준!$D$20:$D$49,MATCH($N1801,계정대체기준!$A$20:$A$49,0)),0)))</f>
        <v/>
      </c>
      <c r="AB1801" s="94">
        <f>IF($A1801="",0,IF(AE1801="직접",IF(AF1801="수금비",$P1801,0),$P1801*(1-AG1801)*IFERROR(INDEX(계정대체기준!$E$20:$E$49,MATCH($N1801,계정대체기준!$A$20:$A$49,0)),0)))</f>
        <v/>
      </c>
      <c r="AC1801" s="9">
        <f>IF(AND($A1801&lt;&gt;"",M1801=설정!$C$20,Z1801&gt;0),Z1801+ROW()/1000000000,"")</f>
        <v/>
      </c>
      <c r="AD1801" s="94">
        <f>IF($A1801="",0,$P1801*AG1801)</f>
        <v/>
      </c>
      <c r="AE1801" s="64">
        <f>IF($A1801="","",IFERROR(INDEX(계정매핑!$E$5:$E$504,MATCH($F1801&amp;"",계정매핑!$A$5:$A$504,0))&amp;"","공통비"))</f>
        <v/>
      </c>
      <c r="AF1801" s="64">
        <f>IF($A1801="","",IF(AE1801="직접",IFERROR(INDEX(계정매핑!$F$5:$F$504,MATCH($F1801&amp;"",계정매핑!$A$5:$A$504,0))&amp;"","비귀속"),""))</f>
        <v/>
      </c>
      <c r="AG1801" s="96">
        <f>IF($A1801="",0,IF(AND(AE1801&lt;&gt;"직접",IFERROR(INDEX(계정매핑!$G$5:$G$504,MATCH($F1801&amp;"",계정매핑!$A$5:$A$504,0))&amp;"","")="유지비",COUNTIF(계정대체기준!$A$6:$A$15,$N1801)&gt;0),IFERROR(INDEX(계정대체기준!$E$6:$E$15,MATCH(VALUE($A1801&amp;""),계정대체기준!$D$6:$D$15,0)),0),0))</f>
        <v/>
      </c>
      <c r="AH1801" s="64">
        <f>IF($A1801="","",IF(AD1801=0,"",IF(OR(COUNTIF(계정대체기준!$A$77:$A$86,$N1801)&gt;0,ISNUMBER(MATCH($X1801,계정대체기준!$D$77:$D$86,0)),ISNUMBER(MATCH($F1801,계정대체기준!$D$77:$D$86,0))),"Y","N")))</f>
        <v/>
      </c>
    </row>
    <row r="1802">
      <c r="A1802" s="92" t="n">
        <v>2025</v>
      </c>
      <c r="B1802" s="92" t="n">
        <v>8</v>
      </c>
      <c r="C1802" s="92" t="inlineStr">
        <is>
          <t>5100001798</t>
        </is>
      </c>
      <c r="D1802" s="95" t="n">
        <v>45895</v>
      </c>
      <c r="E1802" s="92" t="inlineStr">
        <is>
          <t>KR</t>
        </is>
      </c>
      <c r="F1802" s="92" t="n">
        <v>62301000</v>
      </c>
      <c r="G1802" s="92" t="n">
        <v>1801</v>
      </c>
      <c r="H1802" s="93" t="n">
        <v>509000</v>
      </c>
      <c r="I1802" s="92" t="inlineStr">
        <is>
          <t>8월 소모품 구입 - Q오피스</t>
        </is>
      </c>
      <c r="J1802" s="92" t="inlineStr">
        <is>
          <t>V10003</t>
        </is>
      </c>
      <c r="K1802" s="92" t="inlineStr">
        <is>
          <t>Q오피스</t>
        </is>
      </c>
      <c r="M1802" s="9">
        <f>IF($A1802="","",VALUE($A1802&amp;"")*12+VALUE($B1802&amp;""))</f>
        <v/>
      </c>
      <c r="N1802" s="64">
        <f>IF($A1802="","",IFERROR(INDEX(부서매핑!$C$5:$C$504,MATCH($G1802&amp;"",부서매핑!$A$5:$A$504,0)),"미매핑"))</f>
        <v/>
      </c>
      <c r="O1802" s="9">
        <f>IF($A1802="","",N1802&amp;"|"&amp;$F1802)</f>
        <v/>
      </c>
      <c r="P1802" s="94">
        <f>IF($A1802="",0,$H1802*설정!$C$23)</f>
        <v/>
      </c>
      <c r="Q1802" s="64">
        <f>IF($A1802="","",IF(O1802&lt;&gt;원인분석!$C$9,"",IF(AND(M1802&gt;=원인분석!$C$10,M1802&lt;=원인분석!$C$11),"당기",IF(AND(M1802&gt;=원인분석!$C$12,M1802&lt;=원인분석!$C$13),"비교",""))))</f>
        <v/>
      </c>
      <c r="R1802" s="9">
        <f>IF(Q1802="","",$K1802&amp;"")</f>
        <v/>
      </c>
      <c r="S1802" s="9">
        <f>IF(Q1802="","",IF(MATCH(R1802,$R$5:$R$100000,0)=ROW()-4,ROW(),""))</f>
        <v/>
      </c>
      <c r="T1802" s="9">
        <f>IF(Q1802="당기",ABS(P1802)+ROW()/1000000000,"")</f>
        <v/>
      </c>
      <c r="U1802" s="9">
        <f>IF(Q1802="비교",ABS(P1802)+ROW()/1000000000,"")</f>
        <v/>
      </c>
      <c r="V1802" s="64">
        <f>IF($A1802="","",IF(COUNTIF(변동분석!$E$7:$E$506,O1802)&gt;0,"Y","N"))</f>
        <v/>
      </c>
      <c r="W1802" s="64">
        <f>IF($A1802="","",IFERROR(INDEX(계정매핑!$D$5:$D$504,MATCH($F1802&amp;"",계정매핑!$A$5:$A$504,0)),"미매핑"))</f>
        <v/>
      </c>
      <c r="X1802" s="9">
        <f>IF($A1802="","",$F1802&amp;"")</f>
        <v/>
      </c>
      <c r="Y1802" s="94">
        <f>IF($A1802="",0,IF(AE1802="직접",IF(AF1802="비귀속",$P1802,0),$P1802*(1-AG1802)*IFERROR(INDEX(계정대체기준!$F$20:$F$49,MATCH($N1802,계정대체기준!$A$20:$A$49,0)),1)))</f>
        <v/>
      </c>
      <c r="Z1802" s="94">
        <f>IF($A1802="",0,IF(AE1802="직접",IF(AF1802="신계약비",$P1802,0),$P1802*(1-AG1802)*IFERROR(INDEX(계정대체기준!$C$20:$C$49,MATCH($N1802,계정대체기준!$A$20:$A$49,0)),0)))</f>
        <v/>
      </c>
      <c r="AA1802" s="94">
        <f>IF($A1802="",0,IF(AE1802="직접",IF(OR(AF1802="유지비",AF1802="손해조사비"),$P1802,0),$P1802*(1-AG1802)*IFERROR(INDEX(계정대체기준!$D$20:$D$49,MATCH($N1802,계정대체기준!$A$20:$A$49,0)),0)))</f>
        <v/>
      </c>
      <c r="AB1802" s="94">
        <f>IF($A1802="",0,IF(AE1802="직접",IF(AF1802="수금비",$P1802,0),$P1802*(1-AG1802)*IFERROR(INDEX(계정대체기준!$E$20:$E$49,MATCH($N1802,계정대체기준!$A$20:$A$49,0)),0)))</f>
        <v/>
      </c>
      <c r="AC1802" s="9">
        <f>IF(AND($A1802&lt;&gt;"",M1802=설정!$C$20,Z1802&gt;0),Z1802+ROW()/1000000000,"")</f>
        <v/>
      </c>
      <c r="AD1802" s="94">
        <f>IF($A1802="",0,$P1802*AG1802)</f>
        <v/>
      </c>
      <c r="AE1802" s="64">
        <f>IF($A1802="","",IFERROR(INDEX(계정매핑!$E$5:$E$504,MATCH($F1802&amp;"",계정매핑!$A$5:$A$504,0))&amp;"","공통비"))</f>
        <v/>
      </c>
      <c r="AF1802" s="64">
        <f>IF($A1802="","",IF(AE1802="직접",IFERROR(INDEX(계정매핑!$F$5:$F$504,MATCH($F1802&amp;"",계정매핑!$A$5:$A$504,0))&amp;"","비귀속"),""))</f>
        <v/>
      </c>
      <c r="AG1802" s="96">
        <f>IF($A1802="",0,IF(AND(AE1802&lt;&gt;"직접",IFERROR(INDEX(계정매핑!$G$5:$G$504,MATCH($F1802&amp;"",계정매핑!$A$5:$A$504,0))&amp;"","")="유지비",COUNTIF(계정대체기준!$A$6:$A$15,$N1802)&gt;0),IFERROR(INDEX(계정대체기준!$E$6:$E$15,MATCH(VALUE($A1802&amp;""),계정대체기준!$D$6:$D$15,0)),0),0))</f>
        <v/>
      </c>
      <c r="AH1802" s="64">
        <f>IF($A1802="","",IF(AD1802=0,"",IF(OR(COUNTIF(계정대체기준!$A$77:$A$86,$N1802)&gt;0,ISNUMBER(MATCH($X1802,계정대체기준!$D$77:$D$86,0)),ISNUMBER(MATCH($F1802,계정대체기준!$D$77:$D$86,0))),"Y","N")))</f>
        <v/>
      </c>
    </row>
    <row r="1803">
      <c r="A1803" s="92" t="n">
        <v>2025</v>
      </c>
      <c r="B1803" s="92" t="n">
        <v>8</v>
      </c>
      <c r="C1803" s="92" t="inlineStr">
        <is>
          <t>5100001799</t>
        </is>
      </c>
      <c r="D1803" s="95" t="n">
        <v>45895</v>
      </c>
      <c r="E1803" s="92" t="inlineStr">
        <is>
          <t>KR</t>
        </is>
      </c>
      <c r="F1803" s="92" t="n">
        <v>62401000</v>
      </c>
      <c r="G1803" s="92" t="n">
        <v>1401</v>
      </c>
      <c r="H1803" s="93" t="n">
        <v>158000</v>
      </c>
      <c r="I1803" s="92" t="inlineStr">
        <is>
          <t>8월 인쇄물 제작 - G인쇄</t>
        </is>
      </c>
      <c r="J1803" s="92" t="inlineStr">
        <is>
          <t>V10004</t>
        </is>
      </c>
      <c r="K1803" s="92" t="inlineStr">
        <is>
          <t>G인쇄</t>
        </is>
      </c>
      <c r="M1803" s="9">
        <f>IF($A1803="","",VALUE($A1803&amp;"")*12+VALUE($B1803&amp;""))</f>
        <v/>
      </c>
      <c r="N1803" s="64">
        <f>IF($A1803="","",IFERROR(INDEX(부서매핑!$C$5:$C$504,MATCH($G1803&amp;"",부서매핑!$A$5:$A$504,0)),"미매핑"))</f>
        <v/>
      </c>
      <c r="O1803" s="9">
        <f>IF($A1803="","",N1803&amp;"|"&amp;$F1803)</f>
        <v/>
      </c>
      <c r="P1803" s="94">
        <f>IF($A1803="",0,$H1803*설정!$C$23)</f>
        <v/>
      </c>
      <c r="Q1803" s="64">
        <f>IF($A1803="","",IF(O1803&lt;&gt;원인분석!$C$9,"",IF(AND(M1803&gt;=원인분석!$C$10,M1803&lt;=원인분석!$C$11),"당기",IF(AND(M1803&gt;=원인분석!$C$12,M1803&lt;=원인분석!$C$13),"비교",""))))</f>
        <v/>
      </c>
      <c r="R1803" s="9">
        <f>IF(Q1803="","",$K1803&amp;"")</f>
        <v/>
      </c>
      <c r="S1803" s="9">
        <f>IF(Q1803="","",IF(MATCH(R1803,$R$5:$R$100000,0)=ROW()-4,ROW(),""))</f>
        <v/>
      </c>
      <c r="T1803" s="9">
        <f>IF(Q1803="당기",ABS(P1803)+ROW()/1000000000,"")</f>
        <v/>
      </c>
      <c r="U1803" s="9">
        <f>IF(Q1803="비교",ABS(P1803)+ROW()/1000000000,"")</f>
        <v/>
      </c>
      <c r="V1803" s="64">
        <f>IF($A1803="","",IF(COUNTIF(변동분석!$E$7:$E$506,O1803)&gt;0,"Y","N"))</f>
        <v/>
      </c>
      <c r="W1803" s="64">
        <f>IF($A1803="","",IFERROR(INDEX(계정매핑!$D$5:$D$504,MATCH($F1803&amp;"",계정매핑!$A$5:$A$504,0)),"미매핑"))</f>
        <v/>
      </c>
      <c r="X1803" s="9">
        <f>IF($A1803="","",$F1803&amp;"")</f>
        <v/>
      </c>
      <c r="Y1803" s="94">
        <f>IF($A1803="",0,IF(AE1803="직접",IF(AF1803="비귀속",$P1803,0),$P1803*(1-AG1803)*IFERROR(INDEX(계정대체기준!$F$20:$F$49,MATCH($N1803,계정대체기준!$A$20:$A$49,0)),1)))</f>
        <v/>
      </c>
      <c r="Z1803" s="94">
        <f>IF($A1803="",0,IF(AE1803="직접",IF(AF1803="신계약비",$P1803,0),$P1803*(1-AG1803)*IFERROR(INDEX(계정대체기준!$C$20:$C$49,MATCH($N1803,계정대체기준!$A$20:$A$49,0)),0)))</f>
        <v/>
      </c>
      <c r="AA1803" s="94">
        <f>IF($A1803="",0,IF(AE1803="직접",IF(OR(AF1803="유지비",AF1803="손해조사비"),$P1803,0),$P1803*(1-AG1803)*IFERROR(INDEX(계정대체기준!$D$20:$D$49,MATCH($N1803,계정대체기준!$A$20:$A$49,0)),0)))</f>
        <v/>
      </c>
      <c r="AB1803" s="94">
        <f>IF($A1803="",0,IF(AE1803="직접",IF(AF1803="수금비",$P1803,0),$P1803*(1-AG1803)*IFERROR(INDEX(계정대체기준!$E$20:$E$49,MATCH($N1803,계정대체기준!$A$20:$A$49,0)),0)))</f>
        <v/>
      </c>
      <c r="AC1803" s="9">
        <f>IF(AND($A1803&lt;&gt;"",M1803=설정!$C$20,Z1803&gt;0),Z1803+ROW()/1000000000,"")</f>
        <v/>
      </c>
      <c r="AD1803" s="94">
        <f>IF($A1803="",0,$P1803*AG1803)</f>
        <v/>
      </c>
      <c r="AE1803" s="64">
        <f>IF($A1803="","",IFERROR(INDEX(계정매핑!$E$5:$E$504,MATCH($F1803&amp;"",계정매핑!$A$5:$A$504,0))&amp;"","공통비"))</f>
        <v/>
      </c>
      <c r="AF1803" s="64">
        <f>IF($A1803="","",IF(AE1803="직접",IFERROR(INDEX(계정매핑!$F$5:$F$504,MATCH($F1803&amp;"",계정매핑!$A$5:$A$504,0))&amp;"","비귀속"),""))</f>
        <v/>
      </c>
      <c r="AG1803" s="96">
        <f>IF($A1803="",0,IF(AND(AE1803&lt;&gt;"직접",IFERROR(INDEX(계정매핑!$G$5:$G$504,MATCH($F1803&amp;"",계정매핑!$A$5:$A$504,0))&amp;"","")="유지비",COUNTIF(계정대체기준!$A$6:$A$15,$N1803)&gt;0),IFERROR(INDEX(계정대체기준!$E$6:$E$15,MATCH(VALUE($A1803&amp;""),계정대체기준!$D$6:$D$15,0)),0),0))</f>
        <v/>
      </c>
      <c r="AH1803" s="64">
        <f>IF($A1803="","",IF(AD1803=0,"",IF(OR(COUNTIF(계정대체기준!$A$77:$A$86,$N1803)&gt;0,ISNUMBER(MATCH($X1803,계정대체기준!$D$77:$D$86,0)),ISNUMBER(MATCH($F1803,계정대체기준!$D$77:$D$86,0))),"Y","N")))</f>
        <v/>
      </c>
    </row>
    <row r="1804">
      <c r="A1804" s="92" t="n">
        <v>2025</v>
      </c>
      <c r="B1804" s="92" t="n">
        <v>8</v>
      </c>
      <c r="C1804" s="92" t="inlineStr">
        <is>
          <t>5100001800</t>
        </is>
      </c>
      <c r="D1804" s="95" t="n">
        <v>45895</v>
      </c>
      <c r="E1804" s="92" t="inlineStr">
        <is>
          <t>KR</t>
        </is>
      </c>
      <c r="F1804" s="92" t="n">
        <v>62902000</v>
      </c>
      <c r="G1804" s="92" t="n">
        <v>1201</v>
      </c>
      <c r="H1804" s="93" t="n">
        <v>2549000</v>
      </c>
      <c r="I1804" s="92" t="inlineStr">
        <is>
          <t>8월 업무 위탁 수수료 - X서비스</t>
        </is>
      </c>
      <c r="J1804" s="92" t="inlineStr">
        <is>
          <t>V10020</t>
        </is>
      </c>
      <c r="K1804" s="92" t="inlineStr">
        <is>
          <t>X서비스</t>
        </is>
      </c>
      <c r="M1804" s="9">
        <f>IF($A1804="","",VALUE($A1804&amp;"")*12+VALUE($B1804&amp;""))</f>
        <v/>
      </c>
      <c r="N1804" s="64">
        <f>IF($A1804="","",IFERROR(INDEX(부서매핑!$C$5:$C$504,MATCH($G1804&amp;"",부서매핑!$A$5:$A$504,0)),"미매핑"))</f>
        <v/>
      </c>
      <c r="O1804" s="9">
        <f>IF($A1804="","",N1804&amp;"|"&amp;$F1804)</f>
        <v/>
      </c>
      <c r="P1804" s="94">
        <f>IF($A1804="",0,$H1804*설정!$C$23)</f>
        <v/>
      </c>
      <c r="Q1804" s="64">
        <f>IF($A1804="","",IF(O1804&lt;&gt;원인분석!$C$9,"",IF(AND(M1804&gt;=원인분석!$C$10,M1804&lt;=원인분석!$C$11),"당기",IF(AND(M1804&gt;=원인분석!$C$12,M1804&lt;=원인분석!$C$13),"비교",""))))</f>
        <v/>
      </c>
      <c r="R1804" s="9">
        <f>IF(Q1804="","",$K1804&amp;"")</f>
        <v/>
      </c>
      <c r="S1804" s="9">
        <f>IF(Q1804="","",IF(MATCH(R1804,$R$5:$R$100000,0)=ROW()-4,ROW(),""))</f>
        <v/>
      </c>
      <c r="T1804" s="9">
        <f>IF(Q1804="당기",ABS(P1804)+ROW()/1000000000,"")</f>
        <v/>
      </c>
      <c r="U1804" s="9">
        <f>IF(Q1804="비교",ABS(P1804)+ROW()/1000000000,"")</f>
        <v/>
      </c>
      <c r="V1804" s="64">
        <f>IF($A1804="","",IF(COUNTIF(변동분석!$E$7:$E$506,O1804)&gt;0,"Y","N"))</f>
        <v/>
      </c>
      <c r="W1804" s="64">
        <f>IF($A1804="","",IFERROR(INDEX(계정매핑!$D$5:$D$504,MATCH($F1804&amp;"",계정매핑!$A$5:$A$504,0)),"미매핑"))</f>
        <v/>
      </c>
      <c r="X1804" s="9">
        <f>IF($A1804="","",$F1804&amp;"")</f>
        <v/>
      </c>
      <c r="Y1804" s="94">
        <f>IF($A1804="",0,IF(AE1804="직접",IF(AF1804="비귀속",$P1804,0),$P1804*(1-AG1804)*IFERROR(INDEX(계정대체기준!$F$20:$F$49,MATCH($N1804,계정대체기준!$A$20:$A$49,0)),1)))</f>
        <v/>
      </c>
      <c r="Z1804" s="94">
        <f>IF($A1804="",0,IF(AE1804="직접",IF(AF1804="신계약비",$P1804,0),$P1804*(1-AG1804)*IFERROR(INDEX(계정대체기준!$C$20:$C$49,MATCH($N1804,계정대체기준!$A$20:$A$49,0)),0)))</f>
        <v/>
      </c>
      <c r="AA1804" s="94">
        <f>IF($A1804="",0,IF(AE1804="직접",IF(OR(AF1804="유지비",AF1804="손해조사비"),$P1804,0),$P1804*(1-AG1804)*IFERROR(INDEX(계정대체기준!$D$20:$D$49,MATCH($N1804,계정대체기준!$A$20:$A$49,0)),0)))</f>
        <v/>
      </c>
      <c r="AB1804" s="94">
        <f>IF($A1804="",0,IF(AE1804="직접",IF(AF1804="수금비",$P1804,0),$P1804*(1-AG1804)*IFERROR(INDEX(계정대체기준!$E$20:$E$49,MATCH($N1804,계정대체기준!$A$20:$A$49,0)),0)))</f>
        <v/>
      </c>
      <c r="AC1804" s="9">
        <f>IF(AND($A1804&lt;&gt;"",M1804=설정!$C$20,Z1804&gt;0),Z1804+ROW()/1000000000,"")</f>
        <v/>
      </c>
      <c r="AD1804" s="94">
        <f>IF($A1804="",0,$P1804*AG1804)</f>
        <v/>
      </c>
      <c r="AE1804" s="64">
        <f>IF($A1804="","",IFERROR(INDEX(계정매핑!$E$5:$E$504,MATCH($F1804&amp;"",계정매핑!$A$5:$A$504,0))&amp;"","공통비"))</f>
        <v/>
      </c>
      <c r="AF1804" s="64">
        <f>IF($A1804="","",IF(AE1804="직접",IFERROR(INDEX(계정매핑!$F$5:$F$504,MATCH($F1804&amp;"",계정매핑!$A$5:$A$504,0))&amp;"","비귀속"),""))</f>
        <v/>
      </c>
      <c r="AG1804" s="96">
        <f>IF($A1804="",0,IF(AND(AE1804&lt;&gt;"직접",IFERROR(INDEX(계정매핑!$G$5:$G$504,MATCH($F1804&amp;"",계정매핑!$A$5:$A$504,0))&amp;"","")="유지비",COUNTIF(계정대체기준!$A$6:$A$15,$N1804)&gt;0),IFERROR(INDEX(계정대체기준!$E$6:$E$15,MATCH(VALUE($A1804&amp;""),계정대체기준!$D$6:$D$15,0)),0),0))</f>
        <v/>
      </c>
      <c r="AH1804" s="64">
        <f>IF($A1804="","",IF(AD1804=0,"",IF(OR(COUNTIF(계정대체기준!$A$77:$A$86,$N1804)&gt;0,ISNUMBER(MATCH($X1804,계정대체기준!$D$77:$D$86,0)),ISNUMBER(MATCH($F1804,계정대체기준!$D$77:$D$86,0))),"Y","N")))</f>
        <v/>
      </c>
    </row>
    <row r="1805">
      <c r="A1805" s="92" t="n">
        <v>2025</v>
      </c>
      <c r="B1805" s="92" t="n">
        <v>8</v>
      </c>
      <c r="C1805" s="92" t="inlineStr">
        <is>
          <t>5100001801</t>
        </is>
      </c>
      <c r="D1805" s="95" t="n">
        <v>45895</v>
      </c>
      <c r="E1805" s="92" t="inlineStr">
        <is>
          <t>KR</t>
        </is>
      </c>
      <c r="F1805" s="92" t="n">
        <v>62902000</v>
      </c>
      <c r="G1805" s="92" t="n">
        <v>1401</v>
      </c>
      <c r="H1805" s="93" t="n">
        <v>4030000</v>
      </c>
      <c r="I1805" s="92" t="inlineStr">
        <is>
          <t>8월 업무 위탁 수수료 - J콜센터</t>
        </is>
      </c>
      <c r="J1805" s="92" t="inlineStr">
        <is>
          <t>V10016</t>
        </is>
      </c>
      <c r="K1805" s="92" t="inlineStr">
        <is>
          <t>J콜센터</t>
        </is>
      </c>
      <c r="M1805" s="9">
        <f>IF($A1805="","",VALUE($A1805&amp;"")*12+VALUE($B1805&amp;""))</f>
        <v/>
      </c>
      <c r="N1805" s="64">
        <f>IF($A1805="","",IFERROR(INDEX(부서매핑!$C$5:$C$504,MATCH($G1805&amp;"",부서매핑!$A$5:$A$504,0)),"미매핑"))</f>
        <v/>
      </c>
      <c r="O1805" s="9">
        <f>IF($A1805="","",N1805&amp;"|"&amp;$F1805)</f>
        <v/>
      </c>
      <c r="P1805" s="94">
        <f>IF($A1805="",0,$H1805*설정!$C$23)</f>
        <v/>
      </c>
      <c r="Q1805" s="64">
        <f>IF($A1805="","",IF(O1805&lt;&gt;원인분석!$C$9,"",IF(AND(M1805&gt;=원인분석!$C$10,M1805&lt;=원인분석!$C$11),"당기",IF(AND(M1805&gt;=원인분석!$C$12,M1805&lt;=원인분석!$C$13),"비교",""))))</f>
        <v/>
      </c>
      <c r="R1805" s="9">
        <f>IF(Q1805="","",$K1805&amp;"")</f>
        <v/>
      </c>
      <c r="S1805" s="9">
        <f>IF(Q1805="","",IF(MATCH(R1805,$R$5:$R$100000,0)=ROW()-4,ROW(),""))</f>
        <v/>
      </c>
      <c r="T1805" s="9">
        <f>IF(Q1805="당기",ABS(P1805)+ROW()/1000000000,"")</f>
        <v/>
      </c>
      <c r="U1805" s="9">
        <f>IF(Q1805="비교",ABS(P1805)+ROW()/1000000000,"")</f>
        <v/>
      </c>
      <c r="V1805" s="64">
        <f>IF($A1805="","",IF(COUNTIF(변동분석!$E$7:$E$506,O1805)&gt;0,"Y","N"))</f>
        <v/>
      </c>
      <c r="W1805" s="64">
        <f>IF($A1805="","",IFERROR(INDEX(계정매핑!$D$5:$D$504,MATCH($F1805&amp;"",계정매핑!$A$5:$A$504,0)),"미매핑"))</f>
        <v/>
      </c>
      <c r="X1805" s="9">
        <f>IF($A1805="","",$F1805&amp;"")</f>
        <v/>
      </c>
      <c r="Y1805" s="94">
        <f>IF($A1805="",0,IF(AE1805="직접",IF(AF1805="비귀속",$P1805,0),$P1805*(1-AG1805)*IFERROR(INDEX(계정대체기준!$F$20:$F$49,MATCH($N1805,계정대체기준!$A$20:$A$49,0)),1)))</f>
        <v/>
      </c>
      <c r="Z1805" s="94">
        <f>IF($A1805="",0,IF(AE1805="직접",IF(AF1805="신계약비",$P1805,0),$P1805*(1-AG1805)*IFERROR(INDEX(계정대체기준!$C$20:$C$49,MATCH($N1805,계정대체기준!$A$20:$A$49,0)),0)))</f>
        <v/>
      </c>
      <c r="AA1805" s="94">
        <f>IF($A1805="",0,IF(AE1805="직접",IF(OR(AF1805="유지비",AF1805="손해조사비"),$P1805,0),$P1805*(1-AG1805)*IFERROR(INDEX(계정대체기준!$D$20:$D$49,MATCH($N1805,계정대체기준!$A$20:$A$49,0)),0)))</f>
        <v/>
      </c>
      <c r="AB1805" s="94">
        <f>IF($A1805="",0,IF(AE1805="직접",IF(AF1805="수금비",$P1805,0),$P1805*(1-AG1805)*IFERROR(INDEX(계정대체기준!$E$20:$E$49,MATCH($N1805,계정대체기준!$A$20:$A$49,0)),0)))</f>
        <v/>
      </c>
      <c r="AC1805" s="9">
        <f>IF(AND($A1805&lt;&gt;"",M1805=설정!$C$20,Z1805&gt;0),Z1805+ROW()/1000000000,"")</f>
        <v/>
      </c>
      <c r="AD1805" s="94">
        <f>IF($A1805="",0,$P1805*AG1805)</f>
        <v/>
      </c>
      <c r="AE1805" s="64">
        <f>IF($A1805="","",IFERROR(INDEX(계정매핑!$E$5:$E$504,MATCH($F1805&amp;"",계정매핑!$A$5:$A$504,0))&amp;"","공통비"))</f>
        <v/>
      </c>
      <c r="AF1805" s="64">
        <f>IF($A1805="","",IF(AE1805="직접",IFERROR(INDEX(계정매핑!$F$5:$F$504,MATCH($F1805&amp;"",계정매핑!$A$5:$A$504,0))&amp;"","비귀속"),""))</f>
        <v/>
      </c>
      <c r="AG1805" s="96">
        <f>IF($A1805="",0,IF(AND(AE1805&lt;&gt;"직접",IFERROR(INDEX(계정매핑!$G$5:$G$504,MATCH($F1805&amp;"",계정매핑!$A$5:$A$504,0))&amp;"","")="유지비",COUNTIF(계정대체기준!$A$6:$A$15,$N1805)&gt;0),IFERROR(INDEX(계정대체기준!$E$6:$E$15,MATCH(VALUE($A1805&amp;""),계정대체기준!$D$6:$D$15,0)),0),0))</f>
        <v/>
      </c>
      <c r="AH1805" s="64">
        <f>IF($A1805="","",IF(AD1805=0,"",IF(OR(COUNTIF(계정대체기준!$A$77:$A$86,$N1805)&gt;0,ISNUMBER(MATCH($X1805,계정대체기준!$D$77:$D$86,0)),ISNUMBER(MATCH($F1805,계정대체기준!$D$77:$D$86,0))),"Y","N")))</f>
        <v/>
      </c>
    </row>
    <row r="1806">
      <c r="A1806" s="92" t="n">
        <v>2025</v>
      </c>
      <c r="B1806" s="92" t="n">
        <v>8</v>
      </c>
      <c r="C1806" s="92" t="inlineStr">
        <is>
          <t>5100001802</t>
        </is>
      </c>
      <c r="D1806" s="95" t="n">
        <v>45895</v>
      </c>
      <c r="E1806" s="92" t="inlineStr">
        <is>
          <t>KR</t>
        </is>
      </c>
      <c r="F1806" s="92" t="n">
        <v>63001000</v>
      </c>
      <c r="G1806" s="92" t="n">
        <v>1951</v>
      </c>
      <c r="H1806" s="93" t="n">
        <v>3977000</v>
      </c>
      <c r="I1806" s="92" t="inlineStr">
        <is>
          <t>8월 SW 유지보수 - Y소프트</t>
        </is>
      </c>
      <c r="J1806" s="92" t="inlineStr">
        <is>
          <t>V10017</t>
        </is>
      </c>
      <c r="K1806" s="92" t="inlineStr">
        <is>
          <t>Y소프트</t>
        </is>
      </c>
      <c r="M1806" s="9">
        <f>IF($A1806="","",VALUE($A1806&amp;"")*12+VALUE($B1806&amp;""))</f>
        <v/>
      </c>
      <c r="N1806" s="64">
        <f>IF($A1806="","",IFERROR(INDEX(부서매핑!$C$5:$C$504,MATCH($G1806&amp;"",부서매핑!$A$5:$A$504,0)),"미매핑"))</f>
        <v/>
      </c>
      <c r="O1806" s="9">
        <f>IF($A1806="","",N1806&amp;"|"&amp;$F1806)</f>
        <v/>
      </c>
      <c r="P1806" s="94">
        <f>IF($A1806="",0,$H1806*설정!$C$23)</f>
        <v/>
      </c>
      <c r="Q1806" s="64">
        <f>IF($A1806="","",IF(O1806&lt;&gt;원인분석!$C$9,"",IF(AND(M1806&gt;=원인분석!$C$10,M1806&lt;=원인분석!$C$11),"당기",IF(AND(M1806&gt;=원인분석!$C$12,M1806&lt;=원인분석!$C$13),"비교",""))))</f>
        <v/>
      </c>
      <c r="R1806" s="9">
        <f>IF(Q1806="","",$K1806&amp;"")</f>
        <v/>
      </c>
      <c r="S1806" s="9">
        <f>IF(Q1806="","",IF(MATCH(R1806,$R$5:$R$100000,0)=ROW()-4,ROW(),""))</f>
        <v/>
      </c>
      <c r="T1806" s="9">
        <f>IF(Q1806="당기",ABS(P1806)+ROW()/1000000000,"")</f>
        <v/>
      </c>
      <c r="U1806" s="9">
        <f>IF(Q1806="비교",ABS(P1806)+ROW()/1000000000,"")</f>
        <v/>
      </c>
      <c r="V1806" s="64">
        <f>IF($A1806="","",IF(COUNTIF(변동분석!$E$7:$E$506,O1806)&gt;0,"Y","N"))</f>
        <v/>
      </c>
      <c r="W1806" s="64">
        <f>IF($A1806="","",IFERROR(INDEX(계정매핑!$D$5:$D$504,MATCH($F1806&amp;"",계정매핑!$A$5:$A$504,0)),"미매핑"))</f>
        <v/>
      </c>
      <c r="X1806" s="9">
        <f>IF($A1806="","",$F1806&amp;"")</f>
        <v/>
      </c>
      <c r="Y1806" s="94">
        <f>IF($A1806="",0,IF(AE1806="직접",IF(AF1806="비귀속",$P1806,0),$P1806*(1-AG1806)*IFERROR(INDEX(계정대체기준!$F$20:$F$49,MATCH($N1806,계정대체기준!$A$20:$A$49,0)),1)))</f>
        <v/>
      </c>
      <c r="Z1806" s="94">
        <f>IF($A1806="",0,IF(AE1806="직접",IF(AF1806="신계약비",$P1806,0),$P1806*(1-AG1806)*IFERROR(INDEX(계정대체기준!$C$20:$C$49,MATCH($N1806,계정대체기준!$A$20:$A$49,0)),0)))</f>
        <v/>
      </c>
      <c r="AA1806" s="94">
        <f>IF($A1806="",0,IF(AE1806="직접",IF(OR(AF1806="유지비",AF1806="손해조사비"),$P1806,0),$P1806*(1-AG1806)*IFERROR(INDEX(계정대체기준!$D$20:$D$49,MATCH($N1806,계정대체기준!$A$20:$A$49,0)),0)))</f>
        <v/>
      </c>
      <c r="AB1806" s="94">
        <f>IF($A1806="",0,IF(AE1806="직접",IF(AF1806="수금비",$P1806,0),$P1806*(1-AG1806)*IFERROR(INDEX(계정대체기준!$E$20:$E$49,MATCH($N1806,계정대체기준!$A$20:$A$49,0)),0)))</f>
        <v/>
      </c>
      <c r="AC1806" s="9">
        <f>IF(AND($A1806&lt;&gt;"",M1806=설정!$C$20,Z1806&gt;0),Z1806+ROW()/1000000000,"")</f>
        <v/>
      </c>
      <c r="AD1806" s="94">
        <f>IF($A1806="",0,$P1806*AG1806)</f>
        <v/>
      </c>
      <c r="AE1806" s="64">
        <f>IF($A1806="","",IFERROR(INDEX(계정매핑!$E$5:$E$504,MATCH($F1806&amp;"",계정매핑!$A$5:$A$504,0))&amp;"","공통비"))</f>
        <v/>
      </c>
      <c r="AF1806" s="64">
        <f>IF($A1806="","",IF(AE1806="직접",IFERROR(INDEX(계정매핑!$F$5:$F$504,MATCH($F1806&amp;"",계정매핑!$A$5:$A$504,0))&amp;"","비귀속"),""))</f>
        <v/>
      </c>
      <c r="AG1806" s="96">
        <f>IF($A1806="",0,IF(AND(AE1806&lt;&gt;"직접",IFERROR(INDEX(계정매핑!$G$5:$G$504,MATCH($F1806&amp;"",계정매핑!$A$5:$A$504,0))&amp;"","")="유지비",COUNTIF(계정대체기준!$A$6:$A$15,$N1806)&gt;0),IFERROR(INDEX(계정대체기준!$E$6:$E$15,MATCH(VALUE($A1806&amp;""),계정대체기준!$D$6:$D$15,0)),0),0))</f>
        <v/>
      </c>
      <c r="AH1806" s="64">
        <f>IF($A1806="","",IF(AD1806=0,"",IF(OR(COUNTIF(계정대체기준!$A$77:$A$86,$N1806)&gt;0,ISNUMBER(MATCH($X1806,계정대체기준!$D$77:$D$86,0)),ISNUMBER(MATCH($F1806,계정대체기준!$D$77:$D$86,0))),"Y","N")))</f>
        <v/>
      </c>
    </row>
    <row r="1807">
      <c r="A1807" s="92" t="n">
        <v>2025</v>
      </c>
      <c r="B1807" s="92" t="n">
        <v>8</v>
      </c>
      <c r="C1807" s="92" t="inlineStr">
        <is>
          <t>5100001803</t>
        </is>
      </c>
      <c r="D1807" s="95" t="n">
        <v>45895</v>
      </c>
      <c r="E1807" s="92" t="inlineStr">
        <is>
          <t>KR</t>
        </is>
      </c>
      <c r="F1807" s="92" t="n">
        <v>63101000</v>
      </c>
      <c r="G1807" s="92" t="n">
        <v>1602</v>
      </c>
      <c r="H1807" s="93" t="n">
        <v>5310000</v>
      </c>
      <c r="I1807" s="92" t="inlineStr">
        <is>
          <t>8월 사무실 임차료 - AA빌딩</t>
        </is>
      </c>
      <c r="J1807" s="92" t="inlineStr">
        <is>
          <t>V10007</t>
        </is>
      </c>
      <c r="K1807" s="92" t="inlineStr">
        <is>
          <t>AA빌딩</t>
        </is>
      </c>
      <c r="M1807" s="9">
        <f>IF($A1807="","",VALUE($A1807&amp;"")*12+VALUE($B1807&amp;""))</f>
        <v/>
      </c>
      <c r="N1807" s="64">
        <f>IF($A1807="","",IFERROR(INDEX(부서매핑!$C$5:$C$504,MATCH($G1807&amp;"",부서매핑!$A$5:$A$504,0)),"미매핑"))</f>
        <v/>
      </c>
      <c r="O1807" s="9">
        <f>IF($A1807="","",N1807&amp;"|"&amp;$F1807)</f>
        <v/>
      </c>
      <c r="P1807" s="94">
        <f>IF($A1807="",0,$H1807*설정!$C$23)</f>
        <v/>
      </c>
      <c r="Q1807" s="64">
        <f>IF($A1807="","",IF(O1807&lt;&gt;원인분석!$C$9,"",IF(AND(M1807&gt;=원인분석!$C$10,M1807&lt;=원인분석!$C$11),"당기",IF(AND(M1807&gt;=원인분석!$C$12,M1807&lt;=원인분석!$C$13),"비교",""))))</f>
        <v/>
      </c>
      <c r="R1807" s="9">
        <f>IF(Q1807="","",$K1807&amp;"")</f>
        <v/>
      </c>
      <c r="S1807" s="9">
        <f>IF(Q1807="","",IF(MATCH(R1807,$R$5:$R$100000,0)=ROW()-4,ROW(),""))</f>
        <v/>
      </c>
      <c r="T1807" s="9">
        <f>IF(Q1807="당기",ABS(P1807)+ROW()/1000000000,"")</f>
        <v/>
      </c>
      <c r="U1807" s="9">
        <f>IF(Q1807="비교",ABS(P1807)+ROW()/1000000000,"")</f>
        <v/>
      </c>
      <c r="V1807" s="64">
        <f>IF($A1807="","",IF(COUNTIF(변동분석!$E$7:$E$506,O1807)&gt;0,"Y","N"))</f>
        <v/>
      </c>
      <c r="W1807" s="64">
        <f>IF($A1807="","",IFERROR(INDEX(계정매핑!$D$5:$D$504,MATCH($F1807&amp;"",계정매핑!$A$5:$A$504,0)),"미매핑"))</f>
        <v/>
      </c>
      <c r="X1807" s="9">
        <f>IF($A1807="","",$F1807&amp;"")</f>
        <v/>
      </c>
      <c r="Y1807" s="94">
        <f>IF($A1807="",0,IF(AE1807="직접",IF(AF1807="비귀속",$P1807,0),$P1807*(1-AG1807)*IFERROR(INDEX(계정대체기준!$F$20:$F$49,MATCH($N1807,계정대체기준!$A$20:$A$49,0)),1)))</f>
        <v/>
      </c>
      <c r="Z1807" s="94">
        <f>IF($A1807="",0,IF(AE1807="직접",IF(AF1807="신계약비",$P1807,0),$P1807*(1-AG1807)*IFERROR(INDEX(계정대체기준!$C$20:$C$49,MATCH($N1807,계정대체기준!$A$20:$A$49,0)),0)))</f>
        <v/>
      </c>
      <c r="AA1807" s="94">
        <f>IF($A1807="",0,IF(AE1807="직접",IF(OR(AF1807="유지비",AF1807="손해조사비"),$P1807,0),$P1807*(1-AG1807)*IFERROR(INDEX(계정대체기준!$D$20:$D$49,MATCH($N1807,계정대체기준!$A$20:$A$49,0)),0)))</f>
        <v/>
      </c>
      <c r="AB1807" s="94">
        <f>IF($A1807="",0,IF(AE1807="직접",IF(AF1807="수금비",$P1807,0),$P1807*(1-AG1807)*IFERROR(INDEX(계정대체기준!$E$20:$E$49,MATCH($N1807,계정대체기준!$A$20:$A$49,0)),0)))</f>
        <v/>
      </c>
      <c r="AC1807" s="9">
        <f>IF(AND($A1807&lt;&gt;"",M1807=설정!$C$20,Z1807&gt;0),Z1807+ROW()/1000000000,"")</f>
        <v/>
      </c>
      <c r="AD1807" s="94">
        <f>IF($A1807="",0,$P1807*AG1807)</f>
        <v/>
      </c>
      <c r="AE1807" s="64">
        <f>IF($A1807="","",IFERROR(INDEX(계정매핑!$E$5:$E$504,MATCH($F1807&amp;"",계정매핑!$A$5:$A$504,0))&amp;"","공통비"))</f>
        <v/>
      </c>
      <c r="AF1807" s="64">
        <f>IF($A1807="","",IF(AE1807="직접",IFERROR(INDEX(계정매핑!$F$5:$F$504,MATCH($F1807&amp;"",계정매핑!$A$5:$A$504,0))&amp;"","비귀속"),""))</f>
        <v/>
      </c>
      <c r="AG1807" s="96">
        <f>IF($A1807="",0,IF(AND(AE1807&lt;&gt;"직접",IFERROR(INDEX(계정매핑!$G$5:$G$504,MATCH($F1807&amp;"",계정매핑!$A$5:$A$504,0))&amp;"","")="유지비",COUNTIF(계정대체기준!$A$6:$A$15,$N1807)&gt;0),IFERROR(INDEX(계정대체기준!$E$6:$E$15,MATCH(VALUE($A1807&amp;""),계정대체기준!$D$6:$D$15,0)),0),0))</f>
        <v/>
      </c>
      <c r="AH1807" s="64">
        <f>IF($A1807="","",IF(AD1807=0,"",IF(OR(COUNTIF(계정대체기준!$A$77:$A$86,$N1807)&gt;0,ISNUMBER(MATCH($X1807,계정대체기준!$D$77:$D$86,0)),ISNUMBER(MATCH($F1807,계정대체기준!$D$77:$D$86,0))),"Y","N")))</f>
        <v/>
      </c>
    </row>
    <row r="1808">
      <c r="A1808" s="92" t="n">
        <v>2025</v>
      </c>
      <c r="B1808" s="92" t="n">
        <v>8</v>
      </c>
      <c r="C1808" s="92" t="inlineStr">
        <is>
          <t>5100001804</t>
        </is>
      </c>
      <c r="D1808" s="95" t="n">
        <v>45895</v>
      </c>
      <c r="E1808" s="92" t="inlineStr">
        <is>
          <t>KR</t>
        </is>
      </c>
      <c r="F1808" s="92" t="n">
        <v>63601000</v>
      </c>
      <c r="G1808" s="92" t="n">
        <v>1801</v>
      </c>
      <c r="H1808" s="93" t="n">
        <v>14899000</v>
      </c>
      <c r="I1808" s="92" t="inlineStr">
        <is>
          <t>8월 손해사정 수수료 - DD손해사정</t>
        </is>
      </c>
      <c r="J1808" s="92" t="inlineStr">
        <is>
          <t>V10032</t>
        </is>
      </c>
      <c r="K1808" s="92" t="inlineStr">
        <is>
          <t>DD손해사정</t>
        </is>
      </c>
      <c r="M1808" s="9">
        <f>IF($A1808="","",VALUE($A1808&amp;"")*12+VALUE($B1808&amp;""))</f>
        <v/>
      </c>
      <c r="N1808" s="64">
        <f>IF($A1808="","",IFERROR(INDEX(부서매핑!$C$5:$C$504,MATCH($G1808&amp;"",부서매핑!$A$5:$A$504,0)),"미매핑"))</f>
        <v/>
      </c>
      <c r="O1808" s="9">
        <f>IF($A1808="","",N1808&amp;"|"&amp;$F1808)</f>
        <v/>
      </c>
      <c r="P1808" s="94">
        <f>IF($A1808="",0,$H1808*설정!$C$23)</f>
        <v/>
      </c>
      <c r="Q1808" s="64">
        <f>IF($A1808="","",IF(O1808&lt;&gt;원인분석!$C$9,"",IF(AND(M1808&gt;=원인분석!$C$10,M1808&lt;=원인분석!$C$11),"당기",IF(AND(M1808&gt;=원인분석!$C$12,M1808&lt;=원인분석!$C$13),"비교",""))))</f>
        <v/>
      </c>
      <c r="R1808" s="9">
        <f>IF(Q1808="","",$K1808&amp;"")</f>
        <v/>
      </c>
      <c r="S1808" s="9">
        <f>IF(Q1808="","",IF(MATCH(R1808,$R$5:$R$100000,0)=ROW()-4,ROW(),""))</f>
        <v/>
      </c>
      <c r="T1808" s="9">
        <f>IF(Q1808="당기",ABS(P1808)+ROW()/1000000000,"")</f>
        <v/>
      </c>
      <c r="U1808" s="9">
        <f>IF(Q1808="비교",ABS(P1808)+ROW()/1000000000,"")</f>
        <v/>
      </c>
      <c r="V1808" s="64">
        <f>IF($A1808="","",IF(COUNTIF(변동분석!$E$7:$E$506,O1808)&gt;0,"Y","N"))</f>
        <v/>
      </c>
      <c r="W1808" s="64">
        <f>IF($A1808="","",IFERROR(INDEX(계정매핑!$D$5:$D$504,MATCH($F1808&amp;"",계정매핑!$A$5:$A$504,0)),"미매핑"))</f>
        <v/>
      </c>
      <c r="X1808" s="9">
        <f>IF($A1808="","",$F1808&amp;"")</f>
        <v/>
      </c>
      <c r="Y1808" s="94">
        <f>IF($A1808="",0,IF(AE1808="직접",IF(AF1808="비귀속",$P1808,0),$P1808*(1-AG1808)*IFERROR(INDEX(계정대체기준!$F$20:$F$49,MATCH($N1808,계정대체기준!$A$20:$A$49,0)),1)))</f>
        <v/>
      </c>
      <c r="Z1808" s="94">
        <f>IF($A1808="",0,IF(AE1808="직접",IF(AF1808="신계약비",$P1808,0),$P1808*(1-AG1808)*IFERROR(INDEX(계정대체기준!$C$20:$C$49,MATCH($N1808,계정대체기준!$A$20:$A$49,0)),0)))</f>
        <v/>
      </c>
      <c r="AA1808" s="94">
        <f>IF($A1808="",0,IF(AE1808="직접",IF(OR(AF1808="유지비",AF1808="손해조사비"),$P1808,0),$P1808*(1-AG1808)*IFERROR(INDEX(계정대체기준!$D$20:$D$49,MATCH($N1808,계정대체기준!$A$20:$A$49,0)),0)))</f>
        <v/>
      </c>
      <c r="AB1808" s="94">
        <f>IF($A1808="",0,IF(AE1808="직접",IF(AF1808="수금비",$P1808,0),$P1808*(1-AG1808)*IFERROR(INDEX(계정대체기준!$E$20:$E$49,MATCH($N1808,계정대체기준!$A$20:$A$49,0)),0)))</f>
        <v/>
      </c>
      <c r="AC1808" s="9">
        <f>IF(AND($A1808&lt;&gt;"",M1808=설정!$C$20,Z1808&gt;0),Z1808+ROW()/1000000000,"")</f>
        <v/>
      </c>
      <c r="AD1808" s="94">
        <f>IF($A1808="",0,$P1808*AG1808)</f>
        <v/>
      </c>
      <c r="AE1808" s="64">
        <f>IF($A1808="","",IFERROR(INDEX(계정매핑!$E$5:$E$504,MATCH($F1808&amp;"",계정매핑!$A$5:$A$504,0))&amp;"","공통비"))</f>
        <v/>
      </c>
      <c r="AF1808" s="64">
        <f>IF($A1808="","",IF(AE1808="직접",IFERROR(INDEX(계정매핑!$F$5:$F$504,MATCH($F1808&amp;"",계정매핑!$A$5:$A$504,0))&amp;"","비귀속"),""))</f>
        <v/>
      </c>
      <c r="AG1808" s="96">
        <f>IF($A1808="",0,IF(AND(AE1808&lt;&gt;"직접",IFERROR(INDEX(계정매핑!$G$5:$G$504,MATCH($F1808&amp;"",계정매핑!$A$5:$A$504,0))&amp;"","")="유지비",COUNTIF(계정대체기준!$A$6:$A$15,$N1808)&gt;0),IFERROR(INDEX(계정대체기준!$E$6:$E$15,MATCH(VALUE($A1808&amp;""),계정대체기준!$D$6:$D$15,0)),0),0))</f>
        <v/>
      </c>
      <c r="AH1808" s="64">
        <f>IF($A1808="","",IF(AD1808=0,"",IF(OR(COUNTIF(계정대체기준!$A$77:$A$86,$N1808)&gt;0,ISNUMBER(MATCH($X1808,계정대체기준!$D$77:$D$86,0)),ISNUMBER(MATCH($F1808,계정대체기준!$D$77:$D$86,0))),"Y","N")))</f>
        <v/>
      </c>
    </row>
    <row r="1809">
      <c r="A1809" s="92" t="n">
        <v>2025</v>
      </c>
      <c r="B1809" s="92" t="n">
        <v>8</v>
      </c>
      <c r="C1809" s="92" t="inlineStr">
        <is>
          <t>5100001805</t>
        </is>
      </c>
      <c r="D1809" s="95" t="n">
        <v>45895</v>
      </c>
      <c r="E1809" s="92" t="inlineStr">
        <is>
          <t>KR</t>
        </is>
      </c>
      <c r="F1809" s="92" t="n">
        <v>63601000</v>
      </c>
      <c r="G1809" s="92" t="n">
        <v>1801</v>
      </c>
      <c r="H1809" s="93" t="n">
        <v>13046000</v>
      </c>
      <c r="I1809" s="92" t="inlineStr">
        <is>
          <t>8월 손해사정 수수료 - EE손해사정</t>
        </is>
      </c>
      <c r="J1809" s="92" t="inlineStr">
        <is>
          <t>V10008</t>
        </is>
      </c>
      <c r="K1809" s="92" t="inlineStr">
        <is>
          <t>EE손해사정</t>
        </is>
      </c>
      <c r="M1809" s="9">
        <f>IF($A1809="","",VALUE($A1809&amp;"")*12+VALUE($B1809&amp;""))</f>
        <v/>
      </c>
      <c r="N1809" s="64">
        <f>IF($A1809="","",IFERROR(INDEX(부서매핑!$C$5:$C$504,MATCH($G1809&amp;"",부서매핑!$A$5:$A$504,0)),"미매핑"))</f>
        <v/>
      </c>
      <c r="O1809" s="9">
        <f>IF($A1809="","",N1809&amp;"|"&amp;$F1809)</f>
        <v/>
      </c>
      <c r="P1809" s="94">
        <f>IF($A1809="",0,$H1809*설정!$C$23)</f>
        <v/>
      </c>
      <c r="Q1809" s="64">
        <f>IF($A1809="","",IF(O1809&lt;&gt;원인분석!$C$9,"",IF(AND(M1809&gt;=원인분석!$C$10,M1809&lt;=원인분석!$C$11),"당기",IF(AND(M1809&gt;=원인분석!$C$12,M1809&lt;=원인분석!$C$13),"비교",""))))</f>
        <v/>
      </c>
      <c r="R1809" s="9">
        <f>IF(Q1809="","",$K1809&amp;"")</f>
        <v/>
      </c>
      <c r="S1809" s="9">
        <f>IF(Q1809="","",IF(MATCH(R1809,$R$5:$R$100000,0)=ROW()-4,ROW(),""))</f>
        <v/>
      </c>
      <c r="T1809" s="9">
        <f>IF(Q1809="당기",ABS(P1809)+ROW()/1000000000,"")</f>
        <v/>
      </c>
      <c r="U1809" s="9">
        <f>IF(Q1809="비교",ABS(P1809)+ROW()/1000000000,"")</f>
        <v/>
      </c>
      <c r="V1809" s="64">
        <f>IF($A1809="","",IF(COUNTIF(변동분석!$E$7:$E$506,O1809)&gt;0,"Y","N"))</f>
        <v/>
      </c>
      <c r="W1809" s="64">
        <f>IF($A1809="","",IFERROR(INDEX(계정매핑!$D$5:$D$504,MATCH($F1809&amp;"",계정매핑!$A$5:$A$504,0)),"미매핑"))</f>
        <v/>
      </c>
      <c r="X1809" s="9">
        <f>IF($A1809="","",$F1809&amp;"")</f>
        <v/>
      </c>
      <c r="Y1809" s="94">
        <f>IF($A1809="",0,IF(AE1809="직접",IF(AF1809="비귀속",$P1809,0),$P1809*(1-AG1809)*IFERROR(INDEX(계정대체기준!$F$20:$F$49,MATCH($N1809,계정대체기준!$A$20:$A$49,0)),1)))</f>
        <v/>
      </c>
      <c r="Z1809" s="94">
        <f>IF($A1809="",0,IF(AE1809="직접",IF(AF1809="신계약비",$P1809,0),$P1809*(1-AG1809)*IFERROR(INDEX(계정대체기준!$C$20:$C$49,MATCH($N1809,계정대체기준!$A$20:$A$49,0)),0)))</f>
        <v/>
      </c>
      <c r="AA1809" s="94">
        <f>IF($A1809="",0,IF(AE1809="직접",IF(OR(AF1809="유지비",AF1809="손해조사비"),$P1809,0),$P1809*(1-AG1809)*IFERROR(INDEX(계정대체기준!$D$20:$D$49,MATCH($N1809,계정대체기준!$A$20:$A$49,0)),0)))</f>
        <v/>
      </c>
      <c r="AB1809" s="94">
        <f>IF($A1809="",0,IF(AE1809="직접",IF(AF1809="수금비",$P1809,0),$P1809*(1-AG1809)*IFERROR(INDEX(계정대체기준!$E$20:$E$49,MATCH($N1809,계정대체기준!$A$20:$A$49,0)),0)))</f>
        <v/>
      </c>
      <c r="AC1809" s="9">
        <f>IF(AND($A1809&lt;&gt;"",M1809=설정!$C$20,Z1809&gt;0),Z1809+ROW()/1000000000,"")</f>
        <v/>
      </c>
      <c r="AD1809" s="94">
        <f>IF($A1809="",0,$P1809*AG1809)</f>
        <v/>
      </c>
      <c r="AE1809" s="64">
        <f>IF($A1809="","",IFERROR(INDEX(계정매핑!$E$5:$E$504,MATCH($F1809&amp;"",계정매핑!$A$5:$A$504,0))&amp;"","공통비"))</f>
        <v/>
      </c>
      <c r="AF1809" s="64">
        <f>IF($A1809="","",IF(AE1809="직접",IFERROR(INDEX(계정매핑!$F$5:$F$504,MATCH($F1809&amp;"",계정매핑!$A$5:$A$504,0))&amp;"","비귀속"),""))</f>
        <v/>
      </c>
      <c r="AG1809" s="96">
        <f>IF($A1809="",0,IF(AND(AE1809&lt;&gt;"직접",IFERROR(INDEX(계정매핑!$G$5:$G$504,MATCH($F1809&amp;"",계정매핑!$A$5:$A$504,0))&amp;"","")="유지비",COUNTIF(계정대체기준!$A$6:$A$15,$N1809)&gt;0),IFERROR(INDEX(계정대체기준!$E$6:$E$15,MATCH(VALUE($A1809&amp;""),계정대체기준!$D$6:$D$15,0)),0),0))</f>
        <v/>
      </c>
      <c r="AH1809" s="64">
        <f>IF($A1809="","",IF(AD1809=0,"",IF(OR(COUNTIF(계정대체기준!$A$77:$A$86,$N1809)&gt;0,ISNUMBER(MATCH($X1809,계정대체기준!$D$77:$D$86,0)),ISNUMBER(MATCH($F1809,계정대체기준!$D$77:$D$86,0))),"Y","N")))</f>
        <v/>
      </c>
    </row>
    <row r="1810">
      <c r="A1810" s="92" t="n">
        <v>2025</v>
      </c>
      <c r="B1810" s="92" t="n">
        <v>8</v>
      </c>
      <c r="C1810" s="92" t="inlineStr">
        <is>
          <t>5100001806</t>
        </is>
      </c>
      <c r="D1810" s="95" t="n">
        <v>45896</v>
      </c>
      <c r="E1810" s="92" t="inlineStr">
        <is>
          <t>KR</t>
        </is>
      </c>
      <c r="F1810" s="92" t="n">
        <v>62101000</v>
      </c>
      <c r="G1810" s="92" t="n">
        <v>1201</v>
      </c>
      <c r="H1810" s="93" t="n">
        <v>161000</v>
      </c>
      <c r="I1810" s="92" t="inlineStr">
        <is>
          <t>8월 국내출장 - (법인카드)</t>
        </is>
      </c>
      <c r="J1810" s="92" t="inlineStr">
        <is>
          <t>V10010</t>
        </is>
      </c>
      <c r="K1810" s="92" t="inlineStr">
        <is>
          <t>(법인카드)</t>
        </is>
      </c>
      <c r="M1810" s="9">
        <f>IF($A1810="","",VALUE($A1810&amp;"")*12+VALUE($B1810&amp;""))</f>
        <v/>
      </c>
      <c r="N1810" s="64">
        <f>IF($A1810="","",IFERROR(INDEX(부서매핑!$C$5:$C$504,MATCH($G1810&amp;"",부서매핑!$A$5:$A$504,0)),"미매핑"))</f>
        <v/>
      </c>
      <c r="O1810" s="9">
        <f>IF($A1810="","",N1810&amp;"|"&amp;$F1810)</f>
        <v/>
      </c>
      <c r="P1810" s="94">
        <f>IF($A1810="",0,$H1810*설정!$C$23)</f>
        <v/>
      </c>
      <c r="Q1810" s="64">
        <f>IF($A1810="","",IF(O1810&lt;&gt;원인분석!$C$9,"",IF(AND(M1810&gt;=원인분석!$C$10,M1810&lt;=원인분석!$C$11),"당기",IF(AND(M1810&gt;=원인분석!$C$12,M1810&lt;=원인분석!$C$13),"비교",""))))</f>
        <v/>
      </c>
      <c r="R1810" s="9">
        <f>IF(Q1810="","",$K1810&amp;"")</f>
        <v/>
      </c>
      <c r="S1810" s="9">
        <f>IF(Q1810="","",IF(MATCH(R1810,$R$5:$R$100000,0)=ROW()-4,ROW(),""))</f>
        <v/>
      </c>
      <c r="T1810" s="9">
        <f>IF(Q1810="당기",ABS(P1810)+ROW()/1000000000,"")</f>
        <v/>
      </c>
      <c r="U1810" s="9">
        <f>IF(Q1810="비교",ABS(P1810)+ROW()/1000000000,"")</f>
        <v/>
      </c>
      <c r="V1810" s="64">
        <f>IF($A1810="","",IF(COUNTIF(변동분석!$E$7:$E$506,O1810)&gt;0,"Y","N"))</f>
        <v/>
      </c>
      <c r="W1810" s="64">
        <f>IF($A1810="","",IFERROR(INDEX(계정매핑!$D$5:$D$504,MATCH($F1810&amp;"",계정매핑!$A$5:$A$504,0)),"미매핑"))</f>
        <v/>
      </c>
      <c r="X1810" s="9">
        <f>IF($A1810="","",$F1810&amp;"")</f>
        <v/>
      </c>
      <c r="Y1810" s="94">
        <f>IF($A1810="",0,IF(AE1810="직접",IF(AF1810="비귀속",$P1810,0),$P1810*(1-AG1810)*IFERROR(INDEX(계정대체기준!$F$20:$F$49,MATCH($N1810,계정대체기준!$A$20:$A$49,0)),1)))</f>
        <v/>
      </c>
      <c r="Z1810" s="94">
        <f>IF($A1810="",0,IF(AE1810="직접",IF(AF1810="신계약비",$P1810,0),$P1810*(1-AG1810)*IFERROR(INDEX(계정대체기준!$C$20:$C$49,MATCH($N1810,계정대체기준!$A$20:$A$49,0)),0)))</f>
        <v/>
      </c>
      <c r="AA1810" s="94">
        <f>IF($A1810="",0,IF(AE1810="직접",IF(OR(AF1810="유지비",AF1810="손해조사비"),$P1810,0),$P1810*(1-AG1810)*IFERROR(INDEX(계정대체기준!$D$20:$D$49,MATCH($N1810,계정대체기준!$A$20:$A$49,0)),0)))</f>
        <v/>
      </c>
      <c r="AB1810" s="94">
        <f>IF($A1810="",0,IF(AE1810="직접",IF(AF1810="수금비",$P1810,0),$P1810*(1-AG1810)*IFERROR(INDEX(계정대체기준!$E$20:$E$49,MATCH($N1810,계정대체기준!$A$20:$A$49,0)),0)))</f>
        <v/>
      </c>
      <c r="AC1810" s="9">
        <f>IF(AND($A1810&lt;&gt;"",M1810=설정!$C$20,Z1810&gt;0),Z1810+ROW()/1000000000,"")</f>
        <v/>
      </c>
      <c r="AD1810" s="94">
        <f>IF($A1810="",0,$P1810*AG1810)</f>
        <v/>
      </c>
      <c r="AE1810" s="64">
        <f>IF($A1810="","",IFERROR(INDEX(계정매핑!$E$5:$E$504,MATCH($F1810&amp;"",계정매핑!$A$5:$A$504,0))&amp;"","공통비"))</f>
        <v/>
      </c>
      <c r="AF1810" s="64">
        <f>IF($A1810="","",IF(AE1810="직접",IFERROR(INDEX(계정매핑!$F$5:$F$504,MATCH($F1810&amp;"",계정매핑!$A$5:$A$504,0))&amp;"","비귀속"),""))</f>
        <v/>
      </c>
      <c r="AG1810" s="96">
        <f>IF($A1810="",0,IF(AND(AE1810&lt;&gt;"직접",IFERROR(INDEX(계정매핑!$G$5:$G$504,MATCH($F1810&amp;"",계정매핑!$A$5:$A$504,0))&amp;"","")="유지비",COUNTIF(계정대체기준!$A$6:$A$15,$N1810)&gt;0),IFERROR(INDEX(계정대체기준!$E$6:$E$15,MATCH(VALUE($A1810&amp;""),계정대체기준!$D$6:$D$15,0)),0),0))</f>
        <v/>
      </c>
      <c r="AH1810" s="64">
        <f>IF($A1810="","",IF(AD1810=0,"",IF(OR(COUNTIF(계정대체기준!$A$77:$A$86,$N1810)&gt;0,ISNUMBER(MATCH($X1810,계정대체기준!$D$77:$D$86,0)),ISNUMBER(MATCH($F1810,계정대체기준!$D$77:$D$86,0))),"Y","N")))</f>
        <v/>
      </c>
    </row>
    <row r="1811">
      <c r="A1811" s="92" t="n">
        <v>2025</v>
      </c>
      <c r="B1811" s="92" t="n">
        <v>8</v>
      </c>
      <c r="C1811" s="92" t="inlineStr">
        <is>
          <t>5100001807</t>
        </is>
      </c>
      <c r="D1811" s="95" t="n">
        <v>45896</v>
      </c>
      <c r="E1811" s="92" t="inlineStr">
        <is>
          <t>KR</t>
        </is>
      </c>
      <c r="F1811" s="92" t="n">
        <v>62101000</v>
      </c>
      <c r="G1811" s="92" t="n">
        <v>1401</v>
      </c>
      <c r="H1811" s="93" t="n">
        <v>508000</v>
      </c>
      <c r="I1811" s="92" t="inlineStr">
        <is>
          <t>8월 국내출장 - (법인카드)</t>
        </is>
      </c>
      <c r="J1811" s="92" t="inlineStr">
        <is>
          <t>V10010</t>
        </is>
      </c>
      <c r="K1811" s="92" t="inlineStr">
        <is>
          <t>(법인카드)</t>
        </is>
      </c>
      <c r="M1811" s="9">
        <f>IF($A1811="","",VALUE($A1811&amp;"")*12+VALUE($B1811&amp;""))</f>
        <v/>
      </c>
      <c r="N1811" s="64">
        <f>IF($A1811="","",IFERROR(INDEX(부서매핑!$C$5:$C$504,MATCH($G1811&amp;"",부서매핑!$A$5:$A$504,0)),"미매핑"))</f>
        <v/>
      </c>
      <c r="O1811" s="9">
        <f>IF($A1811="","",N1811&amp;"|"&amp;$F1811)</f>
        <v/>
      </c>
      <c r="P1811" s="94">
        <f>IF($A1811="",0,$H1811*설정!$C$23)</f>
        <v/>
      </c>
      <c r="Q1811" s="64">
        <f>IF($A1811="","",IF(O1811&lt;&gt;원인분석!$C$9,"",IF(AND(M1811&gt;=원인분석!$C$10,M1811&lt;=원인분석!$C$11),"당기",IF(AND(M1811&gt;=원인분석!$C$12,M1811&lt;=원인분석!$C$13),"비교",""))))</f>
        <v/>
      </c>
      <c r="R1811" s="9">
        <f>IF(Q1811="","",$K1811&amp;"")</f>
        <v/>
      </c>
      <c r="S1811" s="9">
        <f>IF(Q1811="","",IF(MATCH(R1811,$R$5:$R$100000,0)=ROW()-4,ROW(),""))</f>
        <v/>
      </c>
      <c r="T1811" s="9">
        <f>IF(Q1811="당기",ABS(P1811)+ROW()/1000000000,"")</f>
        <v/>
      </c>
      <c r="U1811" s="9">
        <f>IF(Q1811="비교",ABS(P1811)+ROW()/1000000000,"")</f>
        <v/>
      </c>
      <c r="V1811" s="64">
        <f>IF($A1811="","",IF(COUNTIF(변동분석!$E$7:$E$506,O1811)&gt;0,"Y","N"))</f>
        <v/>
      </c>
      <c r="W1811" s="64">
        <f>IF($A1811="","",IFERROR(INDEX(계정매핑!$D$5:$D$504,MATCH($F1811&amp;"",계정매핑!$A$5:$A$504,0)),"미매핑"))</f>
        <v/>
      </c>
      <c r="X1811" s="9">
        <f>IF($A1811="","",$F1811&amp;"")</f>
        <v/>
      </c>
      <c r="Y1811" s="94">
        <f>IF($A1811="",0,IF(AE1811="직접",IF(AF1811="비귀속",$P1811,0),$P1811*(1-AG1811)*IFERROR(INDEX(계정대체기준!$F$20:$F$49,MATCH($N1811,계정대체기준!$A$20:$A$49,0)),1)))</f>
        <v/>
      </c>
      <c r="Z1811" s="94">
        <f>IF($A1811="",0,IF(AE1811="직접",IF(AF1811="신계약비",$P1811,0),$P1811*(1-AG1811)*IFERROR(INDEX(계정대체기준!$C$20:$C$49,MATCH($N1811,계정대체기준!$A$20:$A$49,0)),0)))</f>
        <v/>
      </c>
      <c r="AA1811" s="94">
        <f>IF($A1811="",0,IF(AE1811="직접",IF(OR(AF1811="유지비",AF1811="손해조사비"),$P1811,0),$P1811*(1-AG1811)*IFERROR(INDEX(계정대체기준!$D$20:$D$49,MATCH($N1811,계정대체기준!$A$20:$A$49,0)),0)))</f>
        <v/>
      </c>
      <c r="AB1811" s="94">
        <f>IF($A1811="",0,IF(AE1811="직접",IF(AF1811="수금비",$P1811,0),$P1811*(1-AG1811)*IFERROR(INDEX(계정대체기준!$E$20:$E$49,MATCH($N1811,계정대체기준!$A$20:$A$49,0)),0)))</f>
        <v/>
      </c>
      <c r="AC1811" s="9">
        <f>IF(AND($A1811&lt;&gt;"",M1811=설정!$C$20,Z1811&gt;0),Z1811+ROW()/1000000000,"")</f>
        <v/>
      </c>
      <c r="AD1811" s="94">
        <f>IF($A1811="",0,$P1811*AG1811)</f>
        <v/>
      </c>
      <c r="AE1811" s="64">
        <f>IF($A1811="","",IFERROR(INDEX(계정매핑!$E$5:$E$504,MATCH($F1811&amp;"",계정매핑!$A$5:$A$504,0))&amp;"","공통비"))</f>
        <v/>
      </c>
      <c r="AF1811" s="64">
        <f>IF($A1811="","",IF(AE1811="직접",IFERROR(INDEX(계정매핑!$F$5:$F$504,MATCH($F1811&amp;"",계정매핑!$A$5:$A$504,0))&amp;"","비귀속"),""))</f>
        <v/>
      </c>
      <c r="AG1811" s="96">
        <f>IF($A1811="",0,IF(AND(AE1811&lt;&gt;"직접",IFERROR(INDEX(계정매핑!$G$5:$G$504,MATCH($F1811&amp;"",계정매핑!$A$5:$A$504,0))&amp;"","")="유지비",COUNTIF(계정대체기준!$A$6:$A$15,$N1811)&gt;0),IFERROR(INDEX(계정대체기준!$E$6:$E$15,MATCH(VALUE($A1811&amp;""),계정대체기준!$D$6:$D$15,0)),0),0))</f>
        <v/>
      </c>
      <c r="AH1811" s="64">
        <f>IF($A1811="","",IF(AD1811=0,"",IF(OR(COUNTIF(계정대체기준!$A$77:$A$86,$N1811)&gt;0,ISNUMBER(MATCH($X1811,계정대체기준!$D$77:$D$86,0)),ISNUMBER(MATCH($F1811,계정대체기준!$D$77:$D$86,0))),"Y","N")))</f>
        <v/>
      </c>
    </row>
    <row r="1812">
      <c r="A1812" s="92" t="n">
        <v>2025</v>
      </c>
      <c r="B1812" s="92" t="n">
        <v>8</v>
      </c>
      <c r="C1812" s="92" t="inlineStr">
        <is>
          <t>5100001808</t>
        </is>
      </c>
      <c r="D1812" s="95" t="n">
        <v>45896</v>
      </c>
      <c r="E1812" s="92" t="inlineStr">
        <is>
          <t>KR</t>
        </is>
      </c>
      <c r="F1812" s="92" t="n">
        <v>62101000</v>
      </c>
      <c r="G1812" s="92" t="n">
        <v>1801</v>
      </c>
      <c r="H1812" s="93" t="n">
        <v>144000</v>
      </c>
      <c r="I1812" s="92" t="inlineStr">
        <is>
          <t>8월 국내출장 - (법인카드)</t>
        </is>
      </c>
      <c r="J1812" s="92" t="inlineStr">
        <is>
          <t>V10010</t>
        </is>
      </c>
      <c r="K1812" s="92" t="inlineStr">
        <is>
          <t>(법인카드)</t>
        </is>
      </c>
      <c r="M1812" s="9">
        <f>IF($A1812="","",VALUE($A1812&amp;"")*12+VALUE($B1812&amp;""))</f>
        <v/>
      </c>
      <c r="N1812" s="64">
        <f>IF($A1812="","",IFERROR(INDEX(부서매핑!$C$5:$C$504,MATCH($G1812&amp;"",부서매핑!$A$5:$A$504,0)),"미매핑"))</f>
        <v/>
      </c>
      <c r="O1812" s="9">
        <f>IF($A1812="","",N1812&amp;"|"&amp;$F1812)</f>
        <v/>
      </c>
      <c r="P1812" s="94">
        <f>IF($A1812="",0,$H1812*설정!$C$23)</f>
        <v/>
      </c>
      <c r="Q1812" s="64">
        <f>IF($A1812="","",IF(O1812&lt;&gt;원인분석!$C$9,"",IF(AND(M1812&gt;=원인분석!$C$10,M1812&lt;=원인분석!$C$11),"당기",IF(AND(M1812&gt;=원인분석!$C$12,M1812&lt;=원인분석!$C$13),"비교",""))))</f>
        <v/>
      </c>
      <c r="R1812" s="9">
        <f>IF(Q1812="","",$K1812&amp;"")</f>
        <v/>
      </c>
      <c r="S1812" s="9">
        <f>IF(Q1812="","",IF(MATCH(R1812,$R$5:$R$100000,0)=ROW()-4,ROW(),""))</f>
        <v/>
      </c>
      <c r="T1812" s="9">
        <f>IF(Q1812="당기",ABS(P1812)+ROW()/1000000000,"")</f>
        <v/>
      </c>
      <c r="U1812" s="9">
        <f>IF(Q1812="비교",ABS(P1812)+ROW()/1000000000,"")</f>
        <v/>
      </c>
      <c r="V1812" s="64">
        <f>IF($A1812="","",IF(COUNTIF(변동분석!$E$7:$E$506,O1812)&gt;0,"Y","N"))</f>
        <v/>
      </c>
      <c r="W1812" s="64">
        <f>IF($A1812="","",IFERROR(INDEX(계정매핑!$D$5:$D$504,MATCH($F1812&amp;"",계정매핑!$A$5:$A$504,0)),"미매핑"))</f>
        <v/>
      </c>
      <c r="X1812" s="9">
        <f>IF($A1812="","",$F1812&amp;"")</f>
        <v/>
      </c>
      <c r="Y1812" s="94">
        <f>IF($A1812="",0,IF(AE1812="직접",IF(AF1812="비귀속",$P1812,0),$P1812*(1-AG1812)*IFERROR(INDEX(계정대체기준!$F$20:$F$49,MATCH($N1812,계정대체기준!$A$20:$A$49,0)),1)))</f>
        <v/>
      </c>
      <c r="Z1812" s="94">
        <f>IF($A1812="",0,IF(AE1812="직접",IF(AF1812="신계약비",$P1812,0),$P1812*(1-AG1812)*IFERROR(INDEX(계정대체기준!$C$20:$C$49,MATCH($N1812,계정대체기준!$A$20:$A$49,0)),0)))</f>
        <v/>
      </c>
      <c r="AA1812" s="94">
        <f>IF($A1812="",0,IF(AE1812="직접",IF(OR(AF1812="유지비",AF1812="손해조사비"),$P1812,0),$P1812*(1-AG1812)*IFERROR(INDEX(계정대체기준!$D$20:$D$49,MATCH($N1812,계정대체기준!$A$20:$A$49,0)),0)))</f>
        <v/>
      </c>
      <c r="AB1812" s="94">
        <f>IF($A1812="",0,IF(AE1812="직접",IF(AF1812="수금비",$P1812,0),$P1812*(1-AG1812)*IFERROR(INDEX(계정대체기준!$E$20:$E$49,MATCH($N1812,계정대체기준!$A$20:$A$49,0)),0)))</f>
        <v/>
      </c>
      <c r="AC1812" s="9">
        <f>IF(AND($A1812&lt;&gt;"",M1812=설정!$C$20,Z1812&gt;0),Z1812+ROW()/1000000000,"")</f>
        <v/>
      </c>
      <c r="AD1812" s="94">
        <f>IF($A1812="",0,$P1812*AG1812)</f>
        <v/>
      </c>
      <c r="AE1812" s="64">
        <f>IF($A1812="","",IFERROR(INDEX(계정매핑!$E$5:$E$504,MATCH($F1812&amp;"",계정매핑!$A$5:$A$504,0))&amp;"","공통비"))</f>
        <v/>
      </c>
      <c r="AF1812" s="64">
        <f>IF($A1812="","",IF(AE1812="직접",IFERROR(INDEX(계정매핑!$F$5:$F$504,MATCH($F1812&amp;"",계정매핑!$A$5:$A$504,0))&amp;"","비귀속"),""))</f>
        <v/>
      </c>
      <c r="AG1812" s="96">
        <f>IF($A1812="",0,IF(AND(AE1812&lt;&gt;"직접",IFERROR(INDEX(계정매핑!$G$5:$G$504,MATCH($F1812&amp;"",계정매핑!$A$5:$A$504,0))&amp;"","")="유지비",COUNTIF(계정대체기준!$A$6:$A$15,$N1812)&gt;0),IFERROR(INDEX(계정대체기준!$E$6:$E$15,MATCH(VALUE($A1812&amp;""),계정대체기준!$D$6:$D$15,0)),0),0))</f>
        <v/>
      </c>
      <c r="AH1812" s="64">
        <f>IF($A1812="","",IF(AD1812=0,"",IF(OR(COUNTIF(계정대체기준!$A$77:$A$86,$N1812)&gt;0,ISNUMBER(MATCH($X1812,계정대체기준!$D$77:$D$86,0)),ISNUMBER(MATCH($F1812,계정대체기준!$D$77:$D$86,0))),"Y","N")))</f>
        <v/>
      </c>
    </row>
    <row r="1813">
      <c r="A1813" s="92" t="n">
        <v>2025</v>
      </c>
      <c r="B1813" s="92" t="n">
        <v>8</v>
      </c>
      <c r="C1813" s="92" t="inlineStr">
        <is>
          <t>5100001809</t>
        </is>
      </c>
      <c r="D1813" s="95" t="n">
        <v>45896</v>
      </c>
      <c r="E1813" s="92" t="inlineStr">
        <is>
          <t>KR</t>
        </is>
      </c>
      <c r="F1813" s="92" t="n">
        <v>62102000</v>
      </c>
      <c r="G1813" s="92" t="n">
        <v>1801</v>
      </c>
      <c r="H1813" s="93" t="n">
        <v>30000</v>
      </c>
      <c r="I1813" s="92" t="inlineStr">
        <is>
          <t>8월 해외출장 - M항공</t>
        </is>
      </c>
      <c r="J1813" s="92" t="inlineStr">
        <is>
          <t>V10001</t>
        </is>
      </c>
      <c r="K1813" s="92" t="inlineStr">
        <is>
          <t>M항공</t>
        </is>
      </c>
      <c r="M1813" s="9">
        <f>IF($A1813="","",VALUE($A1813&amp;"")*12+VALUE($B1813&amp;""))</f>
        <v/>
      </c>
      <c r="N1813" s="64">
        <f>IF($A1813="","",IFERROR(INDEX(부서매핑!$C$5:$C$504,MATCH($G1813&amp;"",부서매핑!$A$5:$A$504,0)),"미매핑"))</f>
        <v/>
      </c>
      <c r="O1813" s="9">
        <f>IF($A1813="","",N1813&amp;"|"&amp;$F1813)</f>
        <v/>
      </c>
      <c r="P1813" s="94">
        <f>IF($A1813="",0,$H1813*설정!$C$23)</f>
        <v/>
      </c>
      <c r="Q1813" s="64">
        <f>IF($A1813="","",IF(O1813&lt;&gt;원인분석!$C$9,"",IF(AND(M1813&gt;=원인분석!$C$10,M1813&lt;=원인분석!$C$11),"당기",IF(AND(M1813&gt;=원인분석!$C$12,M1813&lt;=원인분석!$C$13),"비교",""))))</f>
        <v/>
      </c>
      <c r="R1813" s="9">
        <f>IF(Q1813="","",$K1813&amp;"")</f>
        <v/>
      </c>
      <c r="S1813" s="9">
        <f>IF(Q1813="","",IF(MATCH(R1813,$R$5:$R$100000,0)=ROW()-4,ROW(),""))</f>
        <v/>
      </c>
      <c r="T1813" s="9">
        <f>IF(Q1813="당기",ABS(P1813)+ROW()/1000000000,"")</f>
        <v/>
      </c>
      <c r="U1813" s="9">
        <f>IF(Q1813="비교",ABS(P1813)+ROW()/1000000000,"")</f>
        <v/>
      </c>
      <c r="V1813" s="64">
        <f>IF($A1813="","",IF(COUNTIF(변동분석!$E$7:$E$506,O1813)&gt;0,"Y","N"))</f>
        <v/>
      </c>
      <c r="W1813" s="64">
        <f>IF($A1813="","",IFERROR(INDEX(계정매핑!$D$5:$D$504,MATCH($F1813&amp;"",계정매핑!$A$5:$A$504,0)),"미매핑"))</f>
        <v/>
      </c>
      <c r="X1813" s="9">
        <f>IF($A1813="","",$F1813&amp;"")</f>
        <v/>
      </c>
      <c r="Y1813" s="94">
        <f>IF($A1813="",0,IF(AE1813="직접",IF(AF1813="비귀속",$P1813,0),$P1813*(1-AG1813)*IFERROR(INDEX(계정대체기준!$F$20:$F$49,MATCH($N1813,계정대체기준!$A$20:$A$49,0)),1)))</f>
        <v/>
      </c>
      <c r="Z1813" s="94">
        <f>IF($A1813="",0,IF(AE1813="직접",IF(AF1813="신계약비",$P1813,0),$P1813*(1-AG1813)*IFERROR(INDEX(계정대체기준!$C$20:$C$49,MATCH($N1813,계정대체기준!$A$20:$A$49,0)),0)))</f>
        <v/>
      </c>
      <c r="AA1813" s="94">
        <f>IF($A1813="",0,IF(AE1813="직접",IF(OR(AF1813="유지비",AF1813="손해조사비"),$P1813,0),$P1813*(1-AG1813)*IFERROR(INDEX(계정대체기준!$D$20:$D$49,MATCH($N1813,계정대체기준!$A$20:$A$49,0)),0)))</f>
        <v/>
      </c>
      <c r="AB1813" s="94">
        <f>IF($A1813="",0,IF(AE1813="직접",IF(AF1813="수금비",$P1813,0),$P1813*(1-AG1813)*IFERROR(INDEX(계정대체기준!$E$20:$E$49,MATCH($N1813,계정대체기준!$A$20:$A$49,0)),0)))</f>
        <v/>
      </c>
      <c r="AC1813" s="9">
        <f>IF(AND($A1813&lt;&gt;"",M1813=설정!$C$20,Z1813&gt;0),Z1813+ROW()/1000000000,"")</f>
        <v/>
      </c>
      <c r="AD1813" s="94">
        <f>IF($A1813="",0,$P1813*AG1813)</f>
        <v/>
      </c>
      <c r="AE1813" s="64">
        <f>IF($A1813="","",IFERROR(INDEX(계정매핑!$E$5:$E$504,MATCH($F1813&amp;"",계정매핑!$A$5:$A$504,0))&amp;"","공통비"))</f>
        <v/>
      </c>
      <c r="AF1813" s="64">
        <f>IF($A1813="","",IF(AE1813="직접",IFERROR(INDEX(계정매핑!$F$5:$F$504,MATCH($F1813&amp;"",계정매핑!$A$5:$A$504,0))&amp;"","비귀속"),""))</f>
        <v/>
      </c>
      <c r="AG1813" s="96">
        <f>IF($A1813="",0,IF(AND(AE1813&lt;&gt;"직접",IFERROR(INDEX(계정매핑!$G$5:$G$504,MATCH($F1813&amp;"",계정매핑!$A$5:$A$504,0))&amp;"","")="유지비",COUNTIF(계정대체기준!$A$6:$A$15,$N1813)&gt;0),IFERROR(INDEX(계정대체기준!$E$6:$E$15,MATCH(VALUE($A1813&amp;""),계정대체기준!$D$6:$D$15,0)),0),0))</f>
        <v/>
      </c>
      <c r="AH1813" s="64">
        <f>IF($A1813="","",IF(AD1813=0,"",IF(OR(COUNTIF(계정대체기준!$A$77:$A$86,$N1813)&gt;0,ISNUMBER(MATCH($X1813,계정대체기준!$D$77:$D$86,0)),ISNUMBER(MATCH($F1813,계정대체기준!$D$77:$D$86,0))),"Y","N")))</f>
        <v/>
      </c>
    </row>
    <row r="1814">
      <c r="A1814" s="92" t="n">
        <v>2025</v>
      </c>
      <c r="B1814" s="92" t="n">
        <v>8</v>
      </c>
      <c r="C1814" s="92" t="inlineStr">
        <is>
          <t>5100001810</t>
        </is>
      </c>
      <c r="D1814" s="95" t="n">
        <v>45896</v>
      </c>
      <c r="E1814" s="92" t="inlineStr">
        <is>
          <t>KR</t>
        </is>
      </c>
      <c r="F1814" s="92" t="n">
        <v>62201000</v>
      </c>
      <c r="G1814" s="92" t="n">
        <v>1401</v>
      </c>
      <c r="H1814" s="93" t="n">
        <v>175000</v>
      </c>
      <c r="I1814" s="92" t="inlineStr">
        <is>
          <t>8월 통신요금 - O텔레콤</t>
        </is>
      </c>
      <c r="J1814" s="92" t="inlineStr">
        <is>
          <t>V10002</t>
        </is>
      </c>
      <c r="K1814" s="92" t="inlineStr">
        <is>
          <t>O텔레콤</t>
        </is>
      </c>
      <c r="M1814" s="9">
        <f>IF($A1814="","",VALUE($A1814&amp;"")*12+VALUE($B1814&amp;""))</f>
        <v/>
      </c>
      <c r="N1814" s="64">
        <f>IF($A1814="","",IFERROR(INDEX(부서매핑!$C$5:$C$504,MATCH($G1814&amp;"",부서매핑!$A$5:$A$504,0)),"미매핑"))</f>
        <v/>
      </c>
      <c r="O1814" s="9">
        <f>IF($A1814="","",N1814&amp;"|"&amp;$F1814)</f>
        <v/>
      </c>
      <c r="P1814" s="94">
        <f>IF($A1814="",0,$H1814*설정!$C$23)</f>
        <v/>
      </c>
      <c r="Q1814" s="64">
        <f>IF($A1814="","",IF(O1814&lt;&gt;원인분석!$C$9,"",IF(AND(M1814&gt;=원인분석!$C$10,M1814&lt;=원인분석!$C$11),"당기",IF(AND(M1814&gt;=원인분석!$C$12,M1814&lt;=원인분석!$C$13),"비교",""))))</f>
        <v/>
      </c>
      <c r="R1814" s="9">
        <f>IF(Q1814="","",$K1814&amp;"")</f>
        <v/>
      </c>
      <c r="S1814" s="9">
        <f>IF(Q1814="","",IF(MATCH(R1814,$R$5:$R$100000,0)=ROW()-4,ROW(),""))</f>
        <v/>
      </c>
      <c r="T1814" s="9">
        <f>IF(Q1814="당기",ABS(P1814)+ROW()/1000000000,"")</f>
        <v/>
      </c>
      <c r="U1814" s="9">
        <f>IF(Q1814="비교",ABS(P1814)+ROW()/1000000000,"")</f>
        <v/>
      </c>
      <c r="V1814" s="64">
        <f>IF($A1814="","",IF(COUNTIF(변동분석!$E$7:$E$506,O1814)&gt;0,"Y","N"))</f>
        <v/>
      </c>
      <c r="W1814" s="64">
        <f>IF($A1814="","",IFERROR(INDEX(계정매핑!$D$5:$D$504,MATCH($F1814&amp;"",계정매핑!$A$5:$A$504,0)),"미매핑"))</f>
        <v/>
      </c>
      <c r="X1814" s="9">
        <f>IF($A1814="","",$F1814&amp;"")</f>
        <v/>
      </c>
      <c r="Y1814" s="94">
        <f>IF($A1814="",0,IF(AE1814="직접",IF(AF1814="비귀속",$P1814,0),$P1814*(1-AG1814)*IFERROR(INDEX(계정대체기준!$F$20:$F$49,MATCH($N1814,계정대체기준!$A$20:$A$49,0)),1)))</f>
        <v/>
      </c>
      <c r="Z1814" s="94">
        <f>IF($A1814="",0,IF(AE1814="직접",IF(AF1814="신계약비",$P1814,0),$P1814*(1-AG1814)*IFERROR(INDEX(계정대체기준!$C$20:$C$49,MATCH($N1814,계정대체기준!$A$20:$A$49,0)),0)))</f>
        <v/>
      </c>
      <c r="AA1814" s="94">
        <f>IF($A1814="",0,IF(AE1814="직접",IF(OR(AF1814="유지비",AF1814="손해조사비"),$P1814,0),$P1814*(1-AG1814)*IFERROR(INDEX(계정대체기준!$D$20:$D$49,MATCH($N1814,계정대체기준!$A$20:$A$49,0)),0)))</f>
        <v/>
      </c>
      <c r="AB1814" s="94">
        <f>IF($A1814="",0,IF(AE1814="직접",IF(AF1814="수금비",$P1814,0),$P1814*(1-AG1814)*IFERROR(INDEX(계정대체기준!$E$20:$E$49,MATCH($N1814,계정대체기준!$A$20:$A$49,0)),0)))</f>
        <v/>
      </c>
      <c r="AC1814" s="9">
        <f>IF(AND($A1814&lt;&gt;"",M1814=설정!$C$20,Z1814&gt;0),Z1814+ROW()/1000000000,"")</f>
        <v/>
      </c>
      <c r="AD1814" s="94">
        <f>IF($A1814="",0,$P1814*AG1814)</f>
        <v/>
      </c>
      <c r="AE1814" s="64">
        <f>IF($A1814="","",IFERROR(INDEX(계정매핑!$E$5:$E$504,MATCH($F1814&amp;"",계정매핑!$A$5:$A$504,0))&amp;"","공통비"))</f>
        <v/>
      </c>
      <c r="AF1814" s="64">
        <f>IF($A1814="","",IF(AE1814="직접",IFERROR(INDEX(계정매핑!$F$5:$F$504,MATCH($F1814&amp;"",계정매핑!$A$5:$A$504,0))&amp;"","비귀속"),""))</f>
        <v/>
      </c>
      <c r="AG1814" s="96">
        <f>IF($A1814="",0,IF(AND(AE1814&lt;&gt;"직접",IFERROR(INDEX(계정매핑!$G$5:$G$504,MATCH($F1814&amp;"",계정매핑!$A$5:$A$504,0))&amp;"","")="유지비",COUNTIF(계정대체기준!$A$6:$A$15,$N1814)&gt;0),IFERROR(INDEX(계정대체기준!$E$6:$E$15,MATCH(VALUE($A1814&amp;""),계정대체기준!$D$6:$D$15,0)),0),0))</f>
        <v/>
      </c>
      <c r="AH1814" s="64">
        <f>IF($A1814="","",IF(AD1814=0,"",IF(OR(COUNTIF(계정대체기준!$A$77:$A$86,$N1814)&gt;0,ISNUMBER(MATCH($X1814,계정대체기준!$D$77:$D$86,0)),ISNUMBER(MATCH($F1814,계정대체기준!$D$77:$D$86,0))),"Y","N")))</f>
        <v/>
      </c>
    </row>
    <row r="1815">
      <c r="A1815" s="92" t="n">
        <v>2025</v>
      </c>
      <c r="B1815" s="92" t="n">
        <v>8</v>
      </c>
      <c r="C1815" s="92" t="inlineStr">
        <is>
          <t>5100001811</t>
        </is>
      </c>
      <c r="D1815" s="95" t="n">
        <v>45896</v>
      </c>
      <c r="E1815" s="92" t="inlineStr">
        <is>
          <t>KR</t>
        </is>
      </c>
      <c r="F1815" s="92" t="n">
        <v>62201000</v>
      </c>
      <c r="G1815" s="92" t="n">
        <v>1951</v>
      </c>
      <c r="H1815" s="93" t="n">
        <v>218000</v>
      </c>
      <c r="I1815" s="92" t="inlineStr">
        <is>
          <t>8월 통신요금 - O텔레콤</t>
        </is>
      </c>
      <c r="J1815" s="92" t="inlineStr">
        <is>
          <t>V10002</t>
        </is>
      </c>
      <c r="K1815" s="92" t="inlineStr">
        <is>
          <t>O텔레콤</t>
        </is>
      </c>
      <c r="M1815" s="9">
        <f>IF($A1815="","",VALUE($A1815&amp;"")*12+VALUE($B1815&amp;""))</f>
        <v/>
      </c>
      <c r="N1815" s="64">
        <f>IF($A1815="","",IFERROR(INDEX(부서매핑!$C$5:$C$504,MATCH($G1815&amp;"",부서매핑!$A$5:$A$504,0)),"미매핑"))</f>
        <v/>
      </c>
      <c r="O1815" s="9">
        <f>IF($A1815="","",N1815&amp;"|"&amp;$F1815)</f>
        <v/>
      </c>
      <c r="P1815" s="94">
        <f>IF($A1815="",0,$H1815*설정!$C$23)</f>
        <v/>
      </c>
      <c r="Q1815" s="64">
        <f>IF($A1815="","",IF(O1815&lt;&gt;원인분석!$C$9,"",IF(AND(M1815&gt;=원인분석!$C$10,M1815&lt;=원인분석!$C$11),"당기",IF(AND(M1815&gt;=원인분석!$C$12,M1815&lt;=원인분석!$C$13),"비교",""))))</f>
        <v/>
      </c>
      <c r="R1815" s="9">
        <f>IF(Q1815="","",$K1815&amp;"")</f>
        <v/>
      </c>
      <c r="S1815" s="9">
        <f>IF(Q1815="","",IF(MATCH(R1815,$R$5:$R$100000,0)=ROW()-4,ROW(),""))</f>
        <v/>
      </c>
      <c r="T1815" s="9">
        <f>IF(Q1815="당기",ABS(P1815)+ROW()/1000000000,"")</f>
        <v/>
      </c>
      <c r="U1815" s="9">
        <f>IF(Q1815="비교",ABS(P1815)+ROW()/1000000000,"")</f>
        <v/>
      </c>
      <c r="V1815" s="64">
        <f>IF($A1815="","",IF(COUNTIF(변동분석!$E$7:$E$506,O1815)&gt;0,"Y","N"))</f>
        <v/>
      </c>
      <c r="W1815" s="64">
        <f>IF($A1815="","",IFERROR(INDEX(계정매핑!$D$5:$D$504,MATCH($F1815&amp;"",계정매핑!$A$5:$A$504,0)),"미매핑"))</f>
        <v/>
      </c>
      <c r="X1815" s="9">
        <f>IF($A1815="","",$F1815&amp;"")</f>
        <v/>
      </c>
      <c r="Y1815" s="94">
        <f>IF($A1815="",0,IF(AE1815="직접",IF(AF1815="비귀속",$P1815,0),$P1815*(1-AG1815)*IFERROR(INDEX(계정대체기준!$F$20:$F$49,MATCH($N1815,계정대체기준!$A$20:$A$49,0)),1)))</f>
        <v/>
      </c>
      <c r="Z1815" s="94">
        <f>IF($A1815="",0,IF(AE1815="직접",IF(AF1815="신계약비",$P1815,0),$P1815*(1-AG1815)*IFERROR(INDEX(계정대체기준!$C$20:$C$49,MATCH($N1815,계정대체기준!$A$20:$A$49,0)),0)))</f>
        <v/>
      </c>
      <c r="AA1815" s="94">
        <f>IF($A1815="",0,IF(AE1815="직접",IF(OR(AF1815="유지비",AF1815="손해조사비"),$P1815,0),$P1815*(1-AG1815)*IFERROR(INDEX(계정대체기준!$D$20:$D$49,MATCH($N1815,계정대체기준!$A$20:$A$49,0)),0)))</f>
        <v/>
      </c>
      <c r="AB1815" s="94">
        <f>IF($A1815="",0,IF(AE1815="직접",IF(AF1815="수금비",$P1815,0),$P1815*(1-AG1815)*IFERROR(INDEX(계정대체기준!$E$20:$E$49,MATCH($N1815,계정대체기준!$A$20:$A$49,0)),0)))</f>
        <v/>
      </c>
      <c r="AC1815" s="9">
        <f>IF(AND($A1815&lt;&gt;"",M1815=설정!$C$20,Z1815&gt;0),Z1815+ROW()/1000000000,"")</f>
        <v/>
      </c>
      <c r="AD1815" s="94">
        <f>IF($A1815="",0,$P1815*AG1815)</f>
        <v/>
      </c>
      <c r="AE1815" s="64">
        <f>IF($A1815="","",IFERROR(INDEX(계정매핑!$E$5:$E$504,MATCH($F1815&amp;"",계정매핑!$A$5:$A$504,0))&amp;"","공통비"))</f>
        <v/>
      </c>
      <c r="AF1815" s="64">
        <f>IF($A1815="","",IF(AE1815="직접",IFERROR(INDEX(계정매핑!$F$5:$F$504,MATCH($F1815&amp;"",계정매핑!$A$5:$A$504,0))&amp;"","비귀속"),""))</f>
        <v/>
      </c>
      <c r="AG1815" s="96">
        <f>IF($A1815="",0,IF(AND(AE1815&lt;&gt;"직접",IFERROR(INDEX(계정매핑!$G$5:$G$504,MATCH($F1815&amp;"",계정매핑!$A$5:$A$504,0))&amp;"","")="유지비",COUNTIF(계정대체기준!$A$6:$A$15,$N1815)&gt;0),IFERROR(INDEX(계정대체기준!$E$6:$E$15,MATCH(VALUE($A1815&amp;""),계정대체기준!$D$6:$D$15,0)),0),0))</f>
        <v/>
      </c>
      <c r="AH1815" s="64">
        <f>IF($A1815="","",IF(AD1815=0,"",IF(OR(COUNTIF(계정대체기준!$A$77:$A$86,$N1815)&gt;0,ISNUMBER(MATCH($X1815,계정대체기준!$D$77:$D$86,0)),ISNUMBER(MATCH($F1815,계정대체기준!$D$77:$D$86,0))),"Y","N")))</f>
        <v/>
      </c>
    </row>
    <row r="1816">
      <c r="A1816" s="92" t="n">
        <v>2025</v>
      </c>
      <c r="B1816" s="92" t="n">
        <v>8</v>
      </c>
      <c r="C1816" s="92" t="inlineStr">
        <is>
          <t>5100001812</t>
        </is>
      </c>
      <c r="D1816" s="95" t="n">
        <v>45896</v>
      </c>
      <c r="E1816" s="92" t="inlineStr">
        <is>
          <t>KR</t>
        </is>
      </c>
      <c r="F1816" s="92" t="n">
        <v>62301000</v>
      </c>
      <c r="G1816" s="92" t="n">
        <v>1701</v>
      </c>
      <c r="H1816" s="93" t="n">
        <v>199000</v>
      </c>
      <c r="I1816" s="92" t="inlineStr">
        <is>
          <t>8월 소모품 구입 - R문구</t>
        </is>
      </c>
      <c r="J1816" s="92" t="inlineStr">
        <is>
          <t>V10022</t>
        </is>
      </c>
      <c r="K1816" s="92" t="inlineStr">
        <is>
          <t>R문구</t>
        </is>
      </c>
      <c r="M1816" s="9">
        <f>IF($A1816="","",VALUE($A1816&amp;"")*12+VALUE($B1816&amp;""))</f>
        <v/>
      </c>
      <c r="N1816" s="64">
        <f>IF($A1816="","",IFERROR(INDEX(부서매핑!$C$5:$C$504,MATCH($G1816&amp;"",부서매핑!$A$5:$A$504,0)),"미매핑"))</f>
        <v/>
      </c>
      <c r="O1816" s="9">
        <f>IF($A1816="","",N1816&amp;"|"&amp;$F1816)</f>
        <v/>
      </c>
      <c r="P1816" s="94">
        <f>IF($A1816="",0,$H1816*설정!$C$23)</f>
        <v/>
      </c>
      <c r="Q1816" s="64">
        <f>IF($A1816="","",IF(O1816&lt;&gt;원인분석!$C$9,"",IF(AND(M1816&gt;=원인분석!$C$10,M1816&lt;=원인분석!$C$11),"당기",IF(AND(M1816&gt;=원인분석!$C$12,M1816&lt;=원인분석!$C$13),"비교",""))))</f>
        <v/>
      </c>
      <c r="R1816" s="9">
        <f>IF(Q1816="","",$K1816&amp;"")</f>
        <v/>
      </c>
      <c r="S1816" s="9">
        <f>IF(Q1816="","",IF(MATCH(R1816,$R$5:$R$100000,0)=ROW()-4,ROW(),""))</f>
        <v/>
      </c>
      <c r="T1816" s="9">
        <f>IF(Q1816="당기",ABS(P1816)+ROW()/1000000000,"")</f>
        <v/>
      </c>
      <c r="U1816" s="9">
        <f>IF(Q1816="비교",ABS(P1816)+ROW()/1000000000,"")</f>
        <v/>
      </c>
      <c r="V1816" s="64">
        <f>IF($A1816="","",IF(COUNTIF(변동분석!$E$7:$E$506,O1816)&gt;0,"Y","N"))</f>
        <v/>
      </c>
      <c r="W1816" s="64">
        <f>IF($A1816="","",IFERROR(INDEX(계정매핑!$D$5:$D$504,MATCH($F1816&amp;"",계정매핑!$A$5:$A$504,0)),"미매핑"))</f>
        <v/>
      </c>
      <c r="X1816" s="9">
        <f>IF($A1816="","",$F1816&amp;"")</f>
        <v/>
      </c>
      <c r="Y1816" s="94">
        <f>IF($A1816="",0,IF(AE1816="직접",IF(AF1816="비귀속",$P1816,0),$P1816*(1-AG1816)*IFERROR(INDEX(계정대체기준!$F$20:$F$49,MATCH($N1816,계정대체기준!$A$20:$A$49,0)),1)))</f>
        <v/>
      </c>
      <c r="Z1816" s="94">
        <f>IF($A1816="",0,IF(AE1816="직접",IF(AF1816="신계약비",$P1816,0),$P1816*(1-AG1816)*IFERROR(INDEX(계정대체기준!$C$20:$C$49,MATCH($N1816,계정대체기준!$A$20:$A$49,0)),0)))</f>
        <v/>
      </c>
      <c r="AA1816" s="94">
        <f>IF($A1816="",0,IF(AE1816="직접",IF(OR(AF1816="유지비",AF1816="손해조사비"),$P1816,0),$P1816*(1-AG1816)*IFERROR(INDEX(계정대체기준!$D$20:$D$49,MATCH($N1816,계정대체기준!$A$20:$A$49,0)),0)))</f>
        <v/>
      </c>
      <c r="AB1816" s="94">
        <f>IF($A1816="",0,IF(AE1816="직접",IF(AF1816="수금비",$P1816,0),$P1816*(1-AG1816)*IFERROR(INDEX(계정대체기준!$E$20:$E$49,MATCH($N1816,계정대체기준!$A$20:$A$49,0)),0)))</f>
        <v/>
      </c>
      <c r="AC1816" s="9">
        <f>IF(AND($A1816&lt;&gt;"",M1816=설정!$C$20,Z1816&gt;0),Z1816+ROW()/1000000000,"")</f>
        <v/>
      </c>
      <c r="AD1816" s="94">
        <f>IF($A1816="",0,$P1816*AG1816)</f>
        <v/>
      </c>
      <c r="AE1816" s="64">
        <f>IF($A1816="","",IFERROR(INDEX(계정매핑!$E$5:$E$504,MATCH($F1816&amp;"",계정매핑!$A$5:$A$504,0))&amp;"","공통비"))</f>
        <v/>
      </c>
      <c r="AF1816" s="64">
        <f>IF($A1816="","",IF(AE1816="직접",IFERROR(INDEX(계정매핑!$F$5:$F$504,MATCH($F1816&amp;"",계정매핑!$A$5:$A$504,0))&amp;"","비귀속"),""))</f>
        <v/>
      </c>
      <c r="AG1816" s="96">
        <f>IF($A1816="",0,IF(AND(AE1816&lt;&gt;"직접",IFERROR(INDEX(계정매핑!$G$5:$G$504,MATCH($F1816&amp;"",계정매핑!$A$5:$A$504,0))&amp;"","")="유지비",COUNTIF(계정대체기준!$A$6:$A$15,$N1816)&gt;0),IFERROR(INDEX(계정대체기준!$E$6:$E$15,MATCH(VALUE($A1816&amp;""),계정대체기준!$D$6:$D$15,0)),0),0))</f>
        <v/>
      </c>
      <c r="AH1816" s="64">
        <f>IF($A1816="","",IF(AD1816=0,"",IF(OR(COUNTIF(계정대체기준!$A$77:$A$86,$N1816)&gt;0,ISNUMBER(MATCH($X1816,계정대체기준!$D$77:$D$86,0)),ISNUMBER(MATCH($F1816,계정대체기준!$D$77:$D$86,0))),"Y","N")))</f>
        <v/>
      </c>
    </row>
    <row r="1817">
      <c r="A1817" s="92" t="n">
        <v>2025</v>
      </c>
      <c r="B1817" s="92" t="n">
        <v>8</v>
      </c>
      <c r="C1817" s="92" t="inlineStr">
        <is>
          <t>5100001813</t>
        </is>
      </c>
      <c r="D1817" s="95" t="n">
        <v>45896</v>
      </c>
      <c r="E1817" s="92" t="inlineStr">
        <is>
          <t>KR</t>
        </is>
      </c>
      <c r="F1817" s="92" t="n">
        <v>62301000</v>
      </c>
      <c r="G1817" s="92" t="n">
        <v>1801</v>
      </c>
      <c r="H1817" s="93" t="n">
        <v>632000</v>
      </c>
      <c r="I1817" s="92" t="inlineStr">
        <is>
          <t>8월 소모품 구입 - R문구</t>
        </is>
      </c>
      <c r="J1817" s="92" t="inlineStr">
        <is>
          <t>V10022</t>
        </is>
      </c>
      <c r="K1817" s="92" t="inlineStr">
        <is>
          <t>R문구</t>
        </is>
      </c>
      <c r="M1817" s="9">
        <f>IF($A1817="","",VALUE($A1817&amp;"")*12+VALUE($B1817&amp;""))</f>
        <v/>
      </c>
      <c r="N1817" s="64">
        <f>IF($A1817="","",IFERROR(INDEX(부서매핑!$C$5:$C$504,MATCH($G1817&amp;"",부서매핑!$A$5:$A$504,0)),"미매핑"))</f>
        <v/>
      </c>
      <c r="O1817" s="9">
        <f>IF($A1817="","",N1817&amp;"|"&amp;$F1817)</f>
        <v/>
      </c>
      <c r="P1817" s="94">
        <f>IF($A1817="",0,$H1817*설정!$C$23)</f>
        <v/>
      </c>
      <c r="Q1817" s="64">
        <f>IF($A1817="","",IF(O1817&lt;&gt;원인분석!$C$9,"",IF(AND(M1817&gt;=원인분석!$C$10,M1817&lt;=원인분석!$C$11),"당기",IF(AND(M1817&gt;=원인분석!$C$12,M1817&lt;=원인분석!$C$13),"비교",""))))</f>
        <v/>
      </c>
      <c r="R1817" s="9">
        <f>IF(Q1817="","",$K1817&amp;"")</f>
        <v/>
      </c>
      <c r="S1817" s="9">
        <f>IF(Q1817="","",IF(MATCH(R1817,$R$5:$R$100000,0)=ROW()-4,ROW(),""))</f>
        <v/>
      </c>
      <c r="T1817" s="9">
        <f>IF(Q1817="당기",ABS(P1817)+ROW()/1000000000,"")</f>
        <v/>
      </c>
      <c r="U1817" s="9">
        <f>IF(Q1817="비교",ABS(P1817)+ROW()/1000000000,"")</f>
        <v/>
      </c>
      <c r="V1817" s="64">
        <f>IF($A1817="","",IF(COUNTIF(변동분석!$E$7:$E$506,O1817)&gt;0,"Y","N"))</f>
        <v/>
      </c>
      <c r="W1817" s="64">
        <f>IF($A1817="","",IFERROR(INDEX(계정매핑!$D$5:$D$504,MATCH($F1817&amp;"",계정매핑!$A$5:$A$504,0)),"미매핑"))</f>
        <v/>
      </c>
      <c r="X1817" s="9">
        <f>IF($A1817="","",$F1817&amp;"")</f>
        <v/>
      </c>
      <c r="Y1817" s="94">
        <f>IF($A1817="",0,IF(AE1817="직접",IF(AF1817="비귀속",$P1817,0),$P1817*(1-AG1817)*IFERROR(INDEX(계정대체기준!$F$20:$F$49,MATCH($N1817,계정대체기준!$A$20:$A$49,0)),1)))</f>
        <v/>
      </c>
      <c r="Z1817" s="94">
        <f>IF($A1817="",0,IF(AE1817="직접",IF(AF1817="신계약비",$P1817,0),$P1817*(1-AG1817)*IFERROR(INDEX(계정대체기준!$C$20:$C$49,MATCH($N1817,계정대체기준!$A$20:$A$49,0)),0)))</f>
        <v/>
      </c>
      <c r="AA1817" s="94">
        <f>IF($A1817="",0,IF(AE1817="직접",IF(OR(AF1817="유지비",AF1817="손해조사비"),$P1817,0),$P1817*(1-AG1817)*IFERROR(INDEX(계정대체기준!$D$20:$D$49,MATCH($N1817,계정대체기준!$A$20:$A$49,0)),0)))</f>
        <v/>
      </c>
      <c r="AB1817" s="94">
        <f>IF($A1817="",0,IF(AE1817="직접",IF(AF1817="수금비",$P1817,0),$P1817*(1-AG1817)*IFERROR(INDEX(계정대체기준!$E$20:$E$49,MATCH($N1817,계정대체기준!$A$20:$A$49,0)),0)))</f>
        <v/>
      </c>
      <c r="AC1817" s="9">
        <f>IF(AND($A1817&lt;&gt;"",M1817=설정!$C$20,Z1817&gt;0),Z1817+ROW()/1000000000,"")</f>
        <v/>
      </c>
      <c r="AD1817" s="94">
        <f>IF($A1817="",0,$P1817*AG1817)</f>
        <v/>
      </c>
      <c r="AE1817" s="64">
        <f>IF($A1817="","",IFERROR(INDEX(계정매핑!$E$5:$E$504,MATCH($F1817&amp;"",계정매핑!$A$5:$A$504,0))&amp;"","공통비"))</f>
        <v/>
      </c>
      <c r="AF1817" s="64">
        <f>IF($A1817="","",IF(AE1817="직접",IFERROR(INDEX(계정매핑!$F$5:$F$504,MATCH($F1817&amp;"",계정매핑!$A$5:$A$504,0))&amp;"","비귀속"),""))</f>
        <v/>
      </c>
      <c r="AG1817" s="96">
        <f>IF($A1817="",0,IF(AND(AE1817&lt;&gt;"직접",IFERROR(INDEX(계정매핑!$G$5:$G$504,MATCH($F1817&amp;"",계정매핑!$A$5:$A$504,0))&amp;"","")="유지비",COUNTIF(계정대체기준!$A$6:$A$15,$N1817)&gt;0),IFERROR(INDEX(계정대체기준!$E$6:$E$15,MATCH(VALUE($A1817&amp;""),계정대체기준!$D$6:$D$15,0)),0),0))</f>
        <v/>
      </c>
      <c r="AH1817" s="64">
        <f>IF($A1817="","",IF(AD1817=0,"",IF(OR(COUNTIF(계정대체기준!$A$77:$A$86,$N1817)&gt;0,ISNUMBER(MATCH($X1817,계정대체기준!$D$77:$D$86,0)),ISNUMBER(MATCH($F1817,계정대체기준!$D$77:$D$86,0))),"Y","N")))</f>
        <v/>
      </c>
    </row>
    <row r="1818">
      <c r="A1818" s="92" t="n">
        <v>2025</v>
      </c>
      <c r="B1818" s="92" t="n">
        <v>8</v>
      </c>
      <c r="C1818" s="92" t="inlineStr">
        <is>
          <t>5100001814</t>
        </is>
      </c>
      <c r="D1818" s="95" t="n">
        <v>45896</v>
      </c>
      <c r="E1818" s="92" t="inlineStr">
        <is>
          <t>KR</t>
        </is>
      </c>
      <c r="F1818" s="92" t="n">
        <v>62401000</v>
      </c>
      <c r="G1818" s="92" t="n">
        <v>1401</v>
      </c>
      <c r="H1818" s="93" t="n">
        <v>233000</v>
      </c>
      <c r="I1818" s="92" t="inlineStr">
        <is>
          <t>8월 인쇄물 제작 - S출판</t>
        </is>
      </c>
      <c r="J1818" s="92" t="inlineStr">
        <is>
          <t>V10015</t>
        </is>
      </c>
      <c r="K1818" s="92" t="inlineStr">
        <is>
          <t>S출판</t>
        </is>
      </c>
      <c r="M1818" s="9">
        <f>IF($A1818="","",VALUE($A1818&amp;"")*12+VALUE($B1818&amp;""))</f>
        <v/>
      </c>
      <c r="N1818" s="64">
        <f>IF($A1818="","",IFERROR(INDEX(부서매핑!$C$5:$C$504,MATCH($G1818&amp;"",부서매핑!$A$5:$A$504,0)),"미매핑"))</f>
        <v/>
      </c>
      <c r="O1818" s="9">
        <f>IF($A1818="","",N1818&amp;"|"&amp;$F1818)</f>
        <v/>
      </c>
      <c r="P1818" s="94">
        <f>IF($A1818="",0,$H1818*설정!$C$23)</f>
        <v/>
      </c>
      <c r="Q1818" s="64">
        <f>IF($A1818="","",IF(O1818&lt;&gt;원인분석!$C$9,"",IF(AND(M1818&gt;=원인분석!$C$10,M1818&lt;=원인분석!$C$11),"당기",IF(AND(M1818&gt;=원인분석!$C$12,M1818&lt;=원인분석!$C$13),"비교",""))))</f>
        <v/>
      </c>
      <c r="R1818" s="9">
        <f>IF(Q1818="","",$K1818&amp;"")</f>
        <v/>
      </c>
      <c r="S1818" s="9">
        <f>IF(Q1818="","",IF(MATCH(R1818,$R$5:$R$100000,0)=ROW()-4,ROW(),""))</f>
        <v/>
      </c>
      <c r="T1818" s="9">
        <f>IF(Q1818="당기",ABS(P1818)+ROW()/1000000000,"")</f>
        <v/>
      </c>
      <c r="U1818" s="9">
        <f>IF(Q1818="비교",ABS(P1818)+ROW()/1000000000,"")</f>
        <v/>
      </c>
      <c r="V1818" s="64">
        <f>IF($A1818="","",IF(COUNTIF(변동분석!$E$7:$E$506,O1818)&gt;0,"Y","N"))</f>
        <v/>
      </c>
      <c r="W1818" s="64">
        <f>IF($A1818="","",IFERROR(INDEX(계정매핑!$D$5:$D$504,MATCH($F1818&amp;"",계정매핑!$A$5:$A$504,0)),"미매핑"))</f>
        <v/>
      </c>
      <c r="X1818" s="9">
        <f>IF($A1818="","",$F1818&amp;"")</f>
        <v/>
      </c>
      <c r="Y1818" s="94">
        <f>IF($A1818="",0,IF(AE1818="직접",IF(AF1818="비귀속",$P1818,0),$P1818*(1-AG1818)*IFERROR(INDEX(계정대체기준!$F$20:$F$49,MATCH($N1818,계정대체기준!$A$20:$A$49,0)),1)))</f>
        <v/>
      </c>
      <c r="Z1818" s="94">
        <f>IF($A1818="",0,IF(AE1818="직접",IF(AF1818="신계약비",$P1818,0),$P1818*(1-AG1818)*IFERROR(INDEX(계정대체기준!$C$20:$C$49,MATCH($N1818,계정대체기준!$A$20:$A$49,0)),0)))</f>
        <v/>
      </c>
      <c r="AA1818" s="94">
        <f>IF($A1818="",0,IF(AE1818="직접",IF(OR(AF1818="유지비",AF1818="손해조사비"),$P1818,0),$P1818*(1-AG1818)*IFERROR(INDEX(계정대체기준!$D$20:$D$49,MATCH($N1818,계정대체기준!$A$20:$A$49,0)),0)))</f>
        <v/>
      </c>
      <c r="AB1818" s="94">
        <f>IF($A1818="",0,IF(AE1818="직접",IF(AF1818="수금비",$P1818,0),$P1818*(1-AG1818)*IFERROR(INDEX(계정대체기준!$E$20:$E$49,MATCH($N1818,계정대체기준!$A$20:$A$49,0)),0)))</f>
        <v/>
      </c>
      <c r="AC1818" s="9">
        <f>IF(AND($A1818&lt;&gt;"",M1818=설정!$C$20,Z1818&gt;0),Z1818+ROW()/1000000000,"")</f>
        <v/>
      </c>
      <c r="AD1818" s="94">
        <f>IF($A1818="",0,$P1818*AG1818)</f>
        <v/>
      </c>
      <c r="AE1818" s="64">
        <f>IF($A1818="","",IFERROR(INDEX(계정매핑!$E$5:$E$504,MATCH($F1818&amp;"",계정매핑!$A$5:$A$504,0))&amp;"","공통비"))</f>
        <v/>
      </c>
      <c r="AF1818" s="64">
        <f>IF($A1818="","",IF(AE1818="직접",IFERROR(INDEX(계정매핑!$F$5:$F$504,MATCH($F1818&amp;"",계정매핑!$A$5:$A$504,0))&amp;"","비귀속"),""))</f>
        <v/>
      </c>
      <c r="AG1818" s="96">
        <f>IF($A1818="",0,IF(AND(AE1818&lt;&gt;"직접",IFERROR(INDEX(계정매핑!$G$5:$G$504,MATCH($F1818&amp;"",계정매핑!$A$5:$A$504,0))&amp;"","")="유지비",COUNTIF(계정대체기준!$A$6:$A$15,$N1818)&gt;0),IFERROR(INDEX(계정대체기준!$E$6:$E$15,MATCH(VALUE($A1818&amp;""),계정대체기준!$D$6:$D$15,0)),0),0))</f>
        <v/>
      </c>
      <c r="AH1818" s="64">
        <f>IF($A1818="","",IF(AD1818=0,"",IF(OR(COUNTIF(계정대체기준!$A$77:$A$86,$N1818)&gt;0,ISNUMBER(MATCH($X1818,계정대체기준!$D$77:$D$86,0)),ISNUMBER(MATCH($F1818,계정대체기준!$D$77:$D$86,0))),"Y","N")))</f>
        <v/>
      </c>
    </row>
    <row r="1819">
      <c r="A1819" s="92" t="n">
        <v>2025</v>
      </c>
      <c r="B1819" s="92" t="n">
        <v>8</v>
      </c>
      <c r="C1819" s="92" t="inlineStr">
        <is>
          <t>5100001815</t>
        </is>
      </c>
      <c r="D1819" s="95" t="n">
        <v>45896</v>
      </c>
      <c r="E1819" s="92" t="inlineStr">
        <is>
          <t>KR</t>
        </is>
      </c>
      <c r="F1819" s="92" t="n">
        <v>62802000</v>
      </c>
      <c r="G1819" s="92" t="n">
        <v>1301</v>
      </c>
      <c r="H1819" s="93" t="n">
        <v>5080000</v>
      </c>
      <c r="I1819" s="92" t="inlineStr">
        <is>
          <t>8월 위탁교육 - V아카데미</t>
        </is>
      </c>
      <c r="J1819" s="92" t="inlineStr">
        <is>
          <t>V10027</t>
        </is>
      </c>
      <c r="K1819" s="92" t="inlineStr">
        <is>
          <t>V아카데미</t>
        </is>
      </c>
      <c r="M1819" s="9">
        <f>IF($A1819="","",VALUE($A1819&amp;"")*12+VALUE($B1819&amp;""))</f>
        <v/>
      </c>
      <c r="N1819" s="64">
        <f>IF($A1819="","",IFERROR(INDEX(부서매핑!$C$5:$C$504,MATCH($G1819&amp;"",부서매핑!$A$5:$A$504,0)),"미매핑"))</f>
        <v/>
      </c>
      <c r="O1819" s="9">
        <f>IF($A1819="","",N1819&amp;"|"&amp;$F1819)</f>
        <v/>
      </c>
      <c r="P1819" s="94">
        <f>IF($A1819="",0,$H1819*설정!$C$23)</f>
        <v/>
      </c>
      <c r="Q1819" s="64">
        <f>IF($A1819="","",IF(O1819&lt;&gt;원인분석!$C$9,"",IF(AND(M1819&gt;=원인분석!$C$10,M1819&lt;=원인분석!$C$11),"당기",IF(AND(M1819&gt;=원인분석!$C$12,M1819&lt;=원인분석!$C$13),"비교",""))))</f>
        <v/>
      </c>
      <c r="R1819" s="9">
        <f>IF(Q1819="","",$K1819&amp;"")</f>
        <v/>
      </c>
      <c r="S1819" s="9">
        <f>IF(Q1819="","",IF(MATCH(R1819,$R$5:$R$100000,0)=ROW()-4,ROW(),""))</f>
        <v/>
      </c>
      <c r="T1819" s="9">
        <f>IF(Q1819="당기",ABS(P1819)+ROW()/1000000000,"")</f>
        <v/>
      </c>
      <c r="U1819" s="9">
        <f>IF(Q1819="비교",ABS(P1819)+ROW()/1000000000,"")</f>
        <v/>
      </c>
      <c r="V1819" s="64">
        <f>IF($A1819="","",IF(COUNTIF(변동분석!$E$7:$E$506,O1819)&gt;0,"Y","N"))</f>
        <v/>
      </c>
      <c r="W1819" s="64">
        <f>IF($A1819="","",IFERROR(INDEX(계정매핑!$D$5:$D$504,MATCH($F1819&amp;"",계정매핑!$A$5:$A$504,0)),"미매핑"))</f>
        <v/>
      </c>
      <c r="X1819" s="9">
        <f>IF($A1819="","",$F1819&amp;"")</f>
        <v/>
      </c>
      <c r="Y1819" s="94">
        <f>IF($A1819="",0,IF(AE1819="직접",IF(AF1819="비귀속",$P1819,0),$P1819*(1-AG1819)*IFERROR(INDEX(계정대체기준!$F$20:$F$49,MATCH($N1819,계정대체기준!$A$20:$A$49,0)),1)))</f>
        <v/>
      </c>
      <c r="Z1819" s="94">
        <f>IF($A1819="",0,IF(AE1819="직접",IF(AF1819="신계약비",$P1819,0),$P1819*(1-AG1819)*IFERROR(INDEX(계정대체기준!$C$20:$C$49,MATCH($N1819,계정대체기준!$A$20:$A$49,0)),0)))</f>
        <v/>
      </c>
      <c r="AA1819" s="94">
        <f>IF($A1819="",0,IF(AE1819="직접",IF(OR(AF1819="유지비",AF1819="손해조사비"),$P1819,0),$P1819*(1-AG1819)*IFERROR(INDEX(계정대체기준!$D$20:$D$49,MATCH($N1819,계정대체기준!$A$20:$A$49,0)),0)))</f>
        <v/>
      </c>
      <c r="AB1819" s="94">
        <f>IF($A1819="",0,IF(AE1819="직접",IF(AF1819="수금비",$P1819,0),$P1819*(1-AG1819)*IFERROR(INDEX(계정대체기준!$E$20:$E$49,MATCH($N1819,계정대체기준!$A$20:$A$49,0)),0)))</f>
        <v/>
      </c>
      <c r="AC1819" s="9">
        <f>IF(AND($A1819&lt;&gt;"",M1819=설정!$C$20,Z1819&gt;0),Z1819+ROW()/1000000000,"")</f>
        <v/>
      </c>
      <c r="AD1819" s="94">
        <f>IF($A1819="",0,$P1819*AG1819)</f>
        <v/>
      </c>
      <c r="AE1819" s="64">
        <f>IF($A1819="","",IFERROR(INDEX(계정매핑!$E$5:$E$504,MATCH($F1819&amp;"",계정매핑!$A$5:$A$504,0))&amp;"","공통비"))</f>
        <v/>
      </c>
      <c r="AF1819" s="64">
        <f>IF($A1819="","",IF(AE1819="직접",IFERROR(INDEX(계정매핑!$F$5:$F$504,MATCH($F1819&amp;"",계정매핑!$A$5:$A$504,0))&amp;"","비귀속"),""))</f>
        <v/>
      </c>
      <c r="AG1819" s="96">
        <f>IF($A1819="",0,IF(AND(AE1819&lt;&gt;"직접",IFERROR(INDEX(계정매핑!$G$5:$G$504,MATCH($F1819&amp;"",계정매핑!$A$5:$A$504,0))&amp;"","")="유지비",COUNTIF(계정대체기준!$A$6:$A$15,$N1819)&gt;0),IFERROR(INDEX(계정대체기준!$E$6:$E$15,MATCH(VALUE($A1819&amp;""),계정대체기준!$D$6:$D$15,0)),0),0))</f>
        <v/>
      </c>
      <c r="AH1819" s="64">
        <f>IF($A1819="","",IF(AD1819=0,"",IF(OR(COUNTIF(계정대체기준!$A$77:$A$86,$N1819)&gt;0,ISNUMBER(MATCH($X1819,계정대체기준!$D$77:$D$86,0)),ISNUMBER(MATCH($F1819,계정대체기준!$D$77:$D$86,0))),"Y","N")))</f>
        <v/>
      </c>
    </row>
    <row r="1820">
      <c r="A1820" s="92" t="n">
        <v>2025</v>
      </c>
      <c r="B1820" s="92" t="n">
        <v>8</v>
      </c>
      <c r="C1820" s="92" t="inlineStr">
        <is>
          <t>5100001816</t>
        </is>
      </c>
      <c r="D1820" s="95" t="n">
        <v>45896</v>
      </c>
      <c r="E1820" s="92" t="inlineStr">
        <is>
          <t>KR</t>
        </is>
      </c>
      <c r="F1820" s="92" t="n">
        <v>62901000</v>
      </c>
      <c r="G1820" s="92" t="n">
        <v>1201</v>
      </c>
      <c r="H1820" s="93" t="n">
        <v>4541000</v>
      </c>
      <c r="I1820" s="92" t="inlineStr">
        <is>
          <t>8월 자문 수수료 - W컨설팅</t>
        </is>
      </c>
      <c r="J1820" s="92" t="inlineStr">
        <is>
          <t>V10006</t>
        </is>
      </c>
      <c r="K1820" s="92" t="inlineStr">
        <is>
          <t>W컨설팅</t>
        </is>
      </c>
      <c r="M1820" s="9">
        <f>IF($A1820="","",VALUE($A1820&amp;"")*12+VALUE($B1820&amp;""))</f>
        <v/>
      </c>
      <c r="N1820" s="64">
        <f>IF($A1820="","",IFERROR(INDEX(부서매핑!$C$5:$C$504,MATCH($G1820&amp;"",부서매핑!$A$5:$A$504,0)),"미매핑"))</f>
        <v/>
      </c>
      <c r="O1820" s="9">
        <f>IF($A1820="","",N1820&amp;"|"&amp;$F1820)</f>
        <v/>
      </c>
      <c r="P1820" s="94">
        <f>IF($A1820="",0,$H1820*설정!$C$23)</f>
        <v/>
      </c>
      <c r="Q1820" s="64">
        <f>IF($A1820="","",IF(O1820&lt;&gt;원인분석!$C$9,"",IF(AND(M1820&gt;=원인분석!$C$10,M1820&lt;=원인분석!$C$11),"당기",IF(AND(M1820&gt;=원인분석!$C$12,M1820&lt;=원인분석!$C$13),"비교",""))))</f>
        <v/>
      </c>
      <c r="R1820" s="9">
        <f>IF(Q1820="","",$K1820&amp;"")</f>
        <v/>
      </c>
      <c r="S1820" s="9">
        <f>IF(Q1820="","",IF(MATCH(R1820,$R$5:$R$100000,0)=ROW()-4,ROW(),""))</f>
        <v/>
      </c>
      <c r="T1820" s="9">
        <f>IF(Q1820="당기",ABS(P1820)+ROW()/1000000000,"")</f>
        <v/>
      </c>
      <c r="U1820" s="9">
        <f>IF(Q1820="비교",ABS(P1820)+ROW()/1000000000,"")</f>
        <v/>
      </c>
      <c r="V1820" s="64">
        <f>IF($A1820="","",IF(COUNTIF(변동분석!$E$7:$E$506,O1820)&gt;0,"Y","N"))</f>
        <v/>
      </c>
      <c r="W1820" s="64">
        <f>IF($A1820="","",IFERROR(INDEX(계정매핑!$D$5:$D$504,MATCH($F1820&amp;"",계정매핑!$A$5:$A$504,0)),"미매핑"))</f>
        <v/>
      </c>
      <c r="X1820" s="9">
        <f>IF($A1820="","",$F1820&amp;"")</f>
        <v/>
      </c>
      <c r="Y1820" s="94">
        <f>IF($A1820="",0,IF(AE1820="직접",IF(AF1820="비귀속",$P1820,0),$P1820*(1-AG1820)*IFERROR(INDEX(계정대체기준!$F$20:$F$49,MATCH($N1820,계정대체기준!$A$20:$A$49,0)),1)))</f>
        <v/>
      </c>
      <c r="Z1820" s="94">
        <f>IF($A1820="",0,IF(AE1820="직접",IF(AF1820="신계약비",$P1820,0),$P1820*(1-AG1820)*IFERROR(INDEX(계정대체기준!$C$20:$C$49,MATCH($N1820,계정대체기준!$A$20:$A$49,0)),0)))</f>
        <v/>
      </c>
      <c r="AA1820" s="94">
        <f>IF($A1820="",0,IF(AE1820="직접",IF(OR(AF1820="유지비",AF1820="손해조사비"),$P1820,0),$P1820*(1-AG1820)*IFERROR(INDEX(계정대체기준!$D$20:$D$49,MATCH($N1820,계정대체기준!$A$20:$A$49,0)),0)))</f>
        <v/>
      </c>
      <c r="AB1820" s="94">
        <f>IF($A1820="",0,IF(AE1820="직접",IF(AF1820="수금비",$P1820,0),$P1820*(1-AG1820)*IFERROR(INDEX(계정대체기준!$E$20:$E$49,MATCH($N1820,계정대체기준!$A$20:$A$49,0)),0)))</f>
        <v/>
      </c>
      <c r="AC1820" s="9">
        <f>IF(AND($A1820&lt;&gt;"",M1820=설정!$C$20,Z1820&gt;0),Z1820+ROW()/1000000000,"")</f>
        <v/>
      </c>
      <c r="AD1820" s="94">
        <f>IF($A1820="",0,$P1820*AG1820)</f>
        <v/>
      </c>
      <c r="AE1820" s="64">
        <f>IF($A1820="","",IFERROR(INDEX(계정매핑!$E$5:$E$504,MATCH($F1820&amp;"",계정매핑!$A$5:$A$504,0))&amp;"","공통비"))</f>
        <v/>
      </c>
      <c r="AF1820" s="64">
        <f>IF($A1820="","",IF(AE1820="직접",IFERROR(INDEX(계정매핑!$F$5:$F$504,MATCH($F1820&amp;"",계정매핑!$A$5:$A$504,0))&amp;"","비귀속"),""))</f>
        <v/>
      </c>
      <c r="AG1820" s="96">
        <f>IF($A1820="",0,IF(AND(AE1820&lt;&gt;"직접",IFERROR(INDEX(계정매핑!$G$5:$G$504,MATCH($F1820&amp;"",계정매핑!$A$5:$A$504,0))&amp;"","")="유지비",COUNTIF(계정대체기준!$A$6:$A$15,$N1820)&gt;0),IFERROR(INDEX(계정대체기준!$E$6:$E$15,MATCH(VALUE($A1820&amp;""),계정대체기준!$D$6:$D$15,0)),0),0))</f>
        <v/>
      </c>
      <c r="AH1820" s="64">
        <f>IF($A1820="","",IF(AD1820=0,"",IF(OR(COUNTIF(계정대체기준!$A$77:$A$86,$N1820)&gt;0,ISNUMBER(MATCH($X1820,계정대체기준!$D$77:$D$86,0)),ISNUMBER(MATCH($F1820,계정대체기준!$D$77:$D$86,0))),"Y","N")))</f>
        <v/>
      </c>
    </row>
    <row r="1821">
      <c r="A1821" s="92" t="n">
        <v>2025</v>
      </c>
      <c r="B1821" s="92" t="n">
        <v>9</v>
      </c>
      <c r="C1821" s="92" t="inlineStr">
        <is>
          <t>5100001817</t>
        </is>
      </c>
      <c r="D1821" s="95" t="n">
        <v>45902</v>
      </c>
      <c r="E1821" s="92" t="inlineStr">
        <is>
          <t>KR</t>
        </is>
      </c>
      <c r="F1821" s="92" t="n">
        <v>62102000</v>
      </c>
      <c r="G1821" s="92" t="n">
        <v>1401</v>
      </c>
      <c r="H1821" s="93" t="n">
        <v>96000</v>
      </c>
      <c r="I1821" s="92" t="inlineStr">
        <is>
          <t>9월 해외출장 - M항공</t>
        </is>
      </c>
      <c r="J1821" s="92" t="inlineStr">
        <is>
          <t>V10001</t>
        </is>
      </c>
      <c r="K1821" s="92" t="inlineStr">
        <is>
          <t>M항공</t>
        </is>
      </c>
      <c r="M1821" s="9">
        <f>IF($A1821="","",VALUE($A1821&amp;"")*12+VALUE($B1821&amp;""))</f>
        <v/>
      </c>
      <c r="N1821" s="64">
        <f>IF($A1821="","",IFERROR(INDEX(부서매핑!$C$5:$C$504,MATCH($G1821&amp;"",부서매핑!$A$5:$A$504,0)),"미매핑"))</f>
        <v/>
      </c>
      <c r="O1821" s="9">
        <f>IF($A1821="","",N1821&amp;"|"&amp;$F1821)</f>
        <v/>
      </c>
      <c r="P1821" s="94">
        <f>IF($A1821="",0,$H1821*설정!$C$23)</f>
        <v/>
      </c>
      <c r="Q1821" s="64">
        <f>IF($A1821="","",IF(O1821&lt;&gt;원인분석!$C$9,"",IF(AND(M1821&gt;=원인분석!$C$10,M1821&lt;=원인분석!$C$11),"당기",IF(AND(M1821&gt;=원인분석!$C$12,M1821&lt;=원인분석!$C$13),"비교",""))))</f>
        <v/>
      </c>
      <c r="R1821" s="9">
        <f>IF(Q1821="","",$K1821&amp;"")</f>
        <v/>
      </c>
      <c r="S1821" s="9">
        <f>IF(Q1821="","",IF(MATCH(R1821,$R$5:$R$100000,0)=ROW()-4,ROW(),""))</f>
        <v/>
      </c>
      <c r="T1821" s="9">
        <f>IF(Q1821="당기",ABS(P1821)+ROW()/1000000000,"")</f>
        <v/>
      </c>
      <c r="U1821" s="9">
        <f>IF(Q1821="비교",ABS(P1821)+ROW()/1000000000,"")</f>
        <v/>
      </c>
      <c r="V1821" s="64">
        <f>IF($A1821="","",IF(COUNTIF(변동분석!$E$7:$E$506,O1821)&gt;0,"Y","N"))</f>
        <v/>
      </c>
      <c r="W1821" s="64">
        <f>IF($A1821="","",IFERROR(INDEX(계정매핑!$D$5:$D$504,MATCH($F1821&amp;"",계정매핑!$A$5:$A$504,0)),"미매핑"))</f>
        <v/>
      </c>
      <c r="X1821" s="9">
        <f>IF($A1821="","",$F1821&amp;"")</f>
        <v/>
      </c>
      <c r="Y1821" s="94">
        <f>IF($A1821="",0,IF(AE1821="직접",IF(AF1821="비귀속",$P1821,0),$P1821*(1-AG1821)*IFERROR(INDEX(계정대체기준!$F$20:$F$49,MATCH($N1821,계정대체기준!$A$20:$A$49,0)),1)))</f>
        <v/>
      </c>
      <c r="Z1821" s="94">
        <f>IF($A1821="",0,IF(AE1821="직접",IF(AF1821="신계약비",$P1821,0),$P1821*(1-AG1821)*IFERROR(INDEX(계정대체기준!$C$20:$C$49,MATCH($N1821,계정대체기준!$A$20:$A$49,0)),0)))</f>
        <v/>
      </c>
      <c r="AA1821" s="94">
        <f>IF($A1821="",0,IF(AE1821="직접",IF(OR(AF1821="유지비",AF1821="손해조사비"),$P1821,0),$P1821*(1-AG1821)*IFERROR(INDEX(계정대체기준!$D$20:$D$49,MATCH($N1821,계정대체기준!$A$20:$A$49,0)),0)))</f>
        <v/>
      </c>
      <c r="AB1821" s="94">
        <f>IF($A1821="",0,IF(AE1821="직접",IF(AF1821="수금비",$P1821,0),$P1821*(1-AG1821)*IFERROR(INDEX(계정대체기준!$E$20:$E$49,MATCH($N1821,계정대체기준!$A$20:$A$49,0)),0)))</f>
        <v/>
      </c>
      <c r="AC1821" s="9">
        <f>IF(AND($A1821&lt;&gt;"",M1821=설정!$C$20,Z1821&gt;0),Z1821+ROW()/1000000000,"")</f>
        <v/>
      </c>
      <c r="AD1821" s="94">
        <f>IF($A1821="",0,$P1821*AG1821)</f>
        <v/>
      </c>
      <c r="AE1821" s="64">
        <f>IF($A1821="","",IFERROR(INDEX(계정매핑!$E$5:$E$504,MATCH($F1821&amp;"",계정매핑!$A$5:$A$504,0))&amp;"","공통비"))</f>
        <v/>
      </c>
      <c r="AF1821" s="64">
        <f>IF($A1821="","",IF(AE1821="직접",IFERROR(INDEX(계정매핑!$F$5:$F$504,MATCH($F1821&amp;"",계정매핑!$A$5:$A$504,0))&amp;"","비귀속"),""))</f>
        <v/>
      </c>
      <c r="AG1821" s="96">
        <f>IF($A1821="",0,IF(AND(AE1821&lt;&gt;"직접",IFERROR(INDEX(계정매핑!$G$5:$G$504,MATCH($F1821&amp;"",계정매핑!$A$5:$A$504,0))&amp;"","")="유지비",COUNTIF(계정대체기준!$A$6:$A$15,$N1821)&gt;0),IFERROR(INDEX(계정대체기준!$E$6:$E$15,MATCH(VALUE($A1821&amp;""),계정대체기준!$D$6:$D$15,0)),0),0))</f>
        <v/>
      </c>
      <c r="AH1821" s="64">
        <f>IF($A1821="","",IF(AD1821=0,"",IF(OR(COUNTIF(계정대체기준!$A$77:$A$86,$N1821)&gt;0,ISNUMBER(MATCH($X1821,계정대체기준!$D$77:$D$86,0)),ISNUMBER(MATCH($F1821,계정대체기준!$D$77:$D$86,0))),"Y","N")))</f>
        <v/>
      </c>
    </row>
    <row r="1822">
      <c r="A1822" s="92" t="n">
        <v>2025</v>
      </c>
      <c r="B1822" s="92" t="n">
        <v>9</v>
      </c>
      <c r="C1822" s="92" t="inlineStr">
        <is>
          <t>5100001818</t>
        </is>
      </c>
      <c r="D1822" s="95" t="n">
        <v>45902</v>
      </c>
      <c r="E1822" s="92" t="inlineStr">
        <is>
          <t>KR</t>
        </is>
      </c>
      <c r="F1822" s="92" t="n">
        <v>62201000</v>
      </c>
      <c r="G1822" s="92" t="n">
        <v>1701</v>
      </c>
      <c r="H1822" s="93" t="n">
        <v>6935000</v>
      </c>
      <c r="I1822" s="92" t="inlineStr">
        <is>
          <t>9월 통신요금 - O텔레콤</t>
        </is>
      </c>
      <c r="J1822" s="92" t="inlineStr">
        <is>
          <t>V10002</t>
        </is>
      </c>
      <c r="K1822" s="92" t="inlineStr">
        <is>
          <t>O텔레콤</t>
        </is>
      </c>
      <c r="M1822" s="9">
        <f>IF($A1822="","",VALUE($A1822&amp;"")*12+VALUE($B1822&amp;""))</f>
        <v/>
      </c>
      <c r="N1822" s="64">
        <f>IF($A1822="","",IFERROR(INDEX(부서매핑!$C$5:$C$504,MATCH($G1822&amp;"",부서매핑!$A$5:$A$504,0)),"미매핑"))</f>
        <v/>
      </c>
      <c r="O1822" s="9">
        <f>IF($A1822="","",N1822&amp;"|"&amp;$F1822)</f>
        <v/>
      </c>
      <c r="P1822" s="94">
        <f>IF($A1822="",0,$H1822*설정!$C$23)</f>
        <v/>
      </c>
      <c r="Q1822" s="64">
        <f>IF($A1822="","",IF(O1822&lt;&gt;원인분석!$C$9,"",IF(AND(M1822&gt;=원인분석!$C$10,M1822&lt;=원인분석!$C$11),"당기",IF(AND(M1822&gt;=원인분석!$C$12,M1822&lt;=원인분석!$C$13),"비교",""))))</f>
        <v/>
      </c>
      <c r="R1822" s="9">
        <f>IF(Q1822="","",$K1822&amp;"")</f>
        <v/>
      </c>
      <c r="S1822" s="9">
        <f>IF(Q1822="","",IF(MATCH(R1822,$R$5:$R$100000,0)=ROW()-4,ROW(),""))</f>
        <v/>
      </c>
      <c r="T1822" s="9">
        <f>IF(Q1822="당기",ABS(P1822)+ROW()/1000000000,"")</f>
        <v/>
      </c>
      <c r="U1822" s="9">
        <f>IF(Q1822="비교",ABS(P1822)+ROW()/1000000000,"")</f>
        <v/>
      </c>
      <c r="V1822" s="64">
        <f>IF($A1822="","",IF(COUNTIF(변동분석!$E$7:$E$506,O1822)&gt;0,"Y","N"))</f>
        <v/>
      </c>
      <c r="W1822" s="64">
        <f>IF($A1822="","",IFERROR(INDEX(계정매핑!$D$5:$D$504,MATCH($F1822&amp;"",계정매핑!$A$5:$A$504,0)),"미매핑"))</f>
        <v/>
      </c>
      <c r="X1822" s="9">
        <f>IF($A1822="","",$F1822&amp;"")</f>
        <v/>
      </c>
      <c r="Y1822" s="94">
        <f>IF($A1822="",0,IF(AE1822="직접",IF(AF1822="비귀속",$P1822,0),$P1822*(1-AG1822)*IFERROR(INDEX(계정대체기준!$F$20:$F$49,MATCH($N1822,계정대체기준!$A$20:$A$49,0)),1)))</f>
        <v/>
      </c>
      <c r="Z1822" s="94">
        <f>IF($A1822="",0,IF(AE1822="직접",IF(AF1822="신계약비",$P1822,0),$P1822*(1-AG1822)*IFERROR(INDEX(계정대체기준!$C$20:$C$49,MATCH($N1822,계정대체기준!$A$20:$A$49,0)),0)))</f>
        <v/>
      </c>
      <c r="AA1822" s="94">
        <f>IF($A1822="",0,IF(AE1822="직접",IF(OR(AF1822="유지비",AF1822="손해조사비"),$P1822,0),$P1822*(1-AG1822)*IFERROR(INDEX(계정대체기준!$D$20:$D$49,MATCH($N1822,계정대체기준!$A$20:$A$49,0)),0)))</f>
        <v/>
      </c>
      <c r="AB1822" s="94">
        <f>IF($A1822="",0,IF(AE1822="직접",IF(AF1822="수금비",$P1822,0),$P1822*(1-AG1822)*IFERROR(INDEX(계정대체기준!$E$20:$E$49,MATCH($N1822,계정대체기준!$A$20:$A$49,0)),0)))</f>
        <v/>
      </c>
      <c r="AC1822" s="9">
        <f>IF(AND($A1822&lt;&gt;"",M1822=설정!$C$20,Z1822&gt;0),Z1822+ROW()/1000000000,"")</f>
        <v/>
      </c>
      <c r="AD1822" s="94">
        <f>IF($A1822="",0,$P1822*AG1822)</f>
        <v/>
      </c>
      <c r="AE1822" s="64">
        <f>IF($A1822="","",IFERROR(INDEX(계정매핑!$E$5:$E$504,MATCH($F1822&amp;"",계정매핑!$A$5:$A$504,0))&amp;"","공통비"))</f>
        <v/>
      </c>
      <c r="AF1822" s="64">
        <f>IF($A1822="","",IF(AE1822="직접",IFERROR(INDEX(계정매핑!$F$5:$F$504,MATCH($F1822&amp;"",계정매핑!$A$5:$A$504,0))&amp;"","비귀속"),""))</f>
        <v/>
      </c>
      <c r="AG1822" s="96">
        <f>IF($A1822="",0,IF(AND(AE1822&lt;&gt;"직접",IFERROR(INDEX(계정매핑!$G$5:$G$504,MATCH($F1822&amp;"",계정매핑!$A$5:$A$504,0))&amp;"","")="유지비",COUNTIF(계정대체기준!$A$6:$A$15,$N1822)&gt;0),IFERROR(INDEX(계정대체기준!$E$6:$E$15,MATCH(VALUE($A1822&amp;""),계정대체기준!$D$6:$D$15,0)),0),0))</f>
        <v/>
      </c>
      <c r="AH1822" s="64">
        <f>IF($A1822="","",IF(AD1822=0,"",IF(OR(COUNTIF(계정대체기준!$A$77:$A$86,$N1822)&gt;0,ISNUMBER(MATCH($X1822,계정대체기준!$D$77:$D$86,0)),ISNUMBER(MATCH($F1822,계정대체기준!$D$77:$D$86,0))),"Y","N")))</f>
        <v/>
      </c>
    </row>
    <row r="1823">
      <c r="A1823" s="92" t="n">
        <v>2025</v>
      </c>
      <c r="B1823" s="92" t="n">
        <v>9</v>
      </c>
      <c r="C1823" s="92" t="inlineStr">
        <is>
          <t>5100001819</t>
        </is>
      </c>
      <c r="D1823" s="95" t="n">
        <v>45902</v>
      </c>
      <c r="E1823" s="92" t="inlineStr">
        <is>
          <t>KR</t>
        </is>
      </c>
      <c r="F1823" s="92" t="n">
        <v>62401000</v>
      </c>
      <c r="G1823" s="92" t="n">
        <v>1401</v>
      </c>
      <c r="H1823" s="93" t="n">
        <v>305000</v>
      </c>
      <c r="I1823" s="92" t="inlineStr">
        <is>
          <t>9월 인쇄물 제작 - S출판</t>
        </is>
      </c>
      <c r="J1823" s="92" t="inlineStr">
        <is>
          <t>V10015</t>
        </is>
      </c>
      <c r="K1823" s="92" t="inlineStr">
        <is>
          <t>S출판</t>
        </is>
      </c>
      <c r="M1823" s="9">
        <f>IF($A1823="","",VALUE($A1823&amp;"")*12+VALUE($B1823&amp;""))</f>
        <v/>
      </c>
      <c r="N1823" s="64">
        <f>IF($A1823="","",IFERROR(INDEX(부서매핑!$C$5:$C$504,MATCH($G1823&amp;"",부서매핑!$A$5:$A$504,0)),"미매핑"))</f>
        <v/>
      </c>
      <c r="O1823" s="9">
        <f>IF($A1823="","",N1823&amp;"|"&amp;$F1823)</f>
        <v/>
      </c>
      <c r="P1823" s="94">
        <f>IF($A1823="",0,$H1823*설정!$C$23)</f>
        <v/>
      </c>
      <c r="Q1823" s="64">
        <f>IF($A1823="","",IF(O1823&lt;&gt;원인분석!$C$9,"",IF(AND(M1823&gt;=원인분석!$C$10,M1823&lt;=원인분석!$C$11),"당기",IF(AND(M1823&gt;=원인분석!$C$12,M1823&lt;=원인분석!$C$13),"비교",""))))</f>
        <v/>
      </c>
      <c r="R1823" s="9">
        <f>IF(Q1823="","",$K1823&amp;"")</f>
        <v/>
      </c>
      <c r="S1823" s="9">
        <f>IF(Q1823="","",IF(MATCH(R1823,$R$5:$R$100000,0)=ROW()-4,ROW(),""))</f>
        <v/>
      </c>
      <c r="T1823" s="9">
        <f>IF(Q1823="당기",ABS(P1823)+ROW()/1000000000,"")</f>
        <v/>
      </c>
      <c r="U1823" s="9">
        <f>IF(Q1823="비교",ABS(P1823)+ROW()/1000000000,"")</f>
        <v/>
      </c>
      <c r="V1823" s="64">
        <f>IF($A1823="","",IF(COUNTIF(변동분석!$E$7:$E$506,O1823)&gt;0,"Y","N"))</f>
        <v/>
      </c>
      <c r="W1823" s="64">
        <f>IF($A1823="","",IFERROR(INDEX(계정매핑!$D$5:$D$504,MATCH($F1823&amp;"",계정매핑!$A$5:$A$504,0)),"미매핑"))</f>
        <v/>
      </c>
      <c r="X1823" s="9">
        <f>IF($A1823="","",$F1823&amp;"")</f>
        <v/>
      </c>
      <c r="Y1823" s="94">
        <f>IF($A1823="",0,IF(AE1823="직접",IF(AF1823="비귀속",$P1823,0),$P1823*(1-AG1823)*IFERROR(INDEX(계정대체기준!$F$20:$F$49,MATCH($N1823,계정대체기준!$A$20:$A$49,0)),1)))</f>
        <v/>
      </c>
      <c r="Z1823" s="94">
        <f>IF($A1823="",0,IF(AE1823="직접",IF(AF1823="신계약비",$P1823,0),$P1823*(1-AG1823)*IFERROR(INDEX(계정대체기준!$C$20:$C$49,MATCH($N1823,계정대체기준!$A$20:$A$49,0)),0)))</f>
        <v/>
      </c>
      <c r="AA1823" s="94">
        <f>IF($A1823="",0,IF(AE1823="직접",IF(OR(AF1823="유지비",AF1823="손해조사비"),$P1823,0),$P1823*(1-AG1823)*IFERROR(INDEX(계정대체기준!$D$20:$D$49,MATCH($N1823,계정대체기준!$A$20:$A$49,0)),0)))</f>
        <v/>
      </c>
      <c r="AB1823" s="94">
        <f>IF($A1823="",0,IF(AE1823="직접",IF(AF1823="수금비",$P1823,0),$P1823*(1-AG1823)*IFERROR(INDEX(계정대체기준!$E$20:$E$49,MATCH($N1823,계정대체기준!$A$20:$A$49,0)),0)))</f>
        <v/>
      </c>
      <c r="AC1823" s="9">
        <f>IF(AND($A1823&lt;&gt;"",M1823=설정!$C$20,Z1823&gt;0),Z1823+ROW()/1000000000,"")</f>
        <v/>
      </c>
      <c r="AD1823" s="94">
        <f>IF($A1823="",0,$P1823*AG1823)</f>
        <v/>
      </c>
      <c r="AE1823" s="64">
        <f>IF($A1823="","",IFERROR(INDEX(계정매핑!$E$5:$E$504,MATCH($F1823&amp;"",계정매핑!$A$5:$A$504,0))&amp;"","공통비"))</f>
        <v/>
      </c>
      <c r="AF1823" s="64">
        <f>IF($A1823="","",IF(AE1823="직접",IFERROR(INDEX(계정매핑!$F$5:$F$504,MATCH($F1823&amp;"",계정매핑!$A$5:$A$504,0))&amp;"","비귀속"),""))</f>
        <v/>
      </c>
      <c r="AG1823" s="96">
        <f>IF($A1823="",0,IF(AND(AE1823&lt;&gt;"직접",IFERROR(INDEX(계정매핑!$G$5:$G$504,MATCH($F1823&amp;"",계정매핑!$A$5:$A$504,0))&amp;"","")="유지비",COUNTIF(계정대체기준!$A$6:$A$15,$N1823)&gt;0),IFERROR(INDEX(계정대체기준!$E$6:$E$15,MATCH(VALUE($A1823&amp;""),계정대체기준!$D$6:$D$15,0)),0),0))</f>
        <v/>
      </c>
      <c r="AH1823" s="64">
        <f>IF($A1823="","",IF(AD1823=0,"",IF(OR(COUNTIF(계정대체기준!$A$77:$A$86,$N1823)&gt;0,ISNUMBER(MATCH($X1823,계정대체기준!$D$77:$D$86,0)),ISNUMBER(MATCH($F1823,계정대체기준!$D$77:$D$86,0))),"Y","N")))</f>
        <v/>
      </c>
    </row>
    <row r="1824">
      <c r="A1824" s="92" t="n">
        <v>2025</v>
      </c>
      <c r="B1824" s="92" t="n">
        <v>9</v>
      </c>
      <c r="C1824" s="92" t="inlineStr">
        <is>
          <t>5100001820</t>
        </is>
      </c>
      <c r="D1824" s="95" t="n">
        <v>45902</v>
      </c>
      <c r="E1824" s="92" t="inlineStr">
        <is>
          <t>KR</t>
        </is>
      </c>
      <c r="F1824" s="92" t="n">
        <v>62501000</v>
      </c>
      <c r="G1824" s="92" t="n">
        <v>1201</v>
      </c>
      <c r="H1824" s="93" t="n">
        <v>112000</v>
      </c>
      <c r="I1824" s="92" t="inlineStr">
        <is>
          <t>9월 회의 다과 - T케이터링</t>
        </is>
      </c>
      <c r="J1824" s="92" t="inlineStr">
        <is>
          <t>V10005</t>
        </is>
      </c>
      <c r="K1824" s="92" t="inlineStr">
        <is>
          <t>T케이터링</t>
        </is>
      </c>
      <c r="M1824" s="9">
        <f>IF($A1824="","",VALUE($A1824&amp;"")*12+VALUE($B1824&amp;""))</f>
        <v/>
      </c>
      <c r="N1824" s="64">
        <f>IF($A1824="","",IFERROR(INDEX(부서매핑!$C$5:$C$504,MATCH($G1824&amp;"",부서매핑!$A$5:$A$504,0)),"미매핑"))</f>
        <v/>
      </c>
      <c r="O1824" s="9">
        <f>IF($A1824="","",N1824&amp;"|"&amp;$F1824)</f>
        <v/>
      </c>
      <c r="P1824" s="94">
        <f>IF($A1824="",0,$H1824*설정!$C$23)</f>
        <v/>
      </c>
      <c r="Q1824" s="64">
        <f>IF($A1824="","",IF(O1824&lt;&gt;원인분석!$C$9,"",IF(AND(M1824&gt;=원인분석!$C$10,M1824&lt;=원인분석!$C$11),"당기",IF(AND(M1824&gt;=원인분석!$C$12,M1824&lt;=원인분석!$C$13),"비교",""))))</f>
        <v/>
      </c>
      <c r="R1824" s="9">
        <f>IF(Q1824="","",$K1824&amp;"")</f>
        <v/>
      </c>
      <c r="S1824" s="9">
        <f>IF(Q1824="","",IF(MATCH(R1824,$R$5:$R$100000,0)=ROW()-4,ROW(),""))</f>
        <v/>
      </c>
      <c r="T1824" s="9">
        <f>IF(Q1824="당기",ABS(P1824)+ROW()/1000000000,"")</f>
        <v/>
      </c>
      <c r="U1824" s="9">
        <f>IF(Q1824="비교",ABS(P1824)+ROW()/1000000000,"")</f>
        <v/>
      </c>
      <c r="V1824" s="64">
        <f>IF($A1824="","",IF(COUNTIF(변동분석!$E$7:$E$506,O1824)&gt;0,"Y","N"))</f>
        <v/>
      </c>
      <c r="W1824" s="64">
        <f>IF($A1824="","",IFERROR(INDEX(계정매핑!$D$5:$D$504,MATCH($F1824&amp;"",계정매핑!$A$5:$A$504,0)),"미매핑"))</f>
        <v/>
      </c>
      <c r="X1824" s="9">
        <f>IF($A1824="","",$F1824&amp;"")</f>
        <v/>
      </c>
      <c r="Y1824" s="94">
        <f>IF($A1824="",0,IF(AE1824="직접",IF(AF1824="비귀속",$P1824,0),$P1824*(1-AG1824)*IFERROR(INDEX(계정대체기준!$F$20:$F$49,MATCH($N1824,계정대체기준!$A$20:$A$49,0)),1)))</f>
        <v/>
      </c>
      <c r="Z1824" s="94">
        <f>IF($A1824="",0,IF(AE1824="직접",IF(AF1824="신계약비",$P1824,0),$P1824*(1-AG1824)*IFERROR(INDEX(계정대체기준!$C$20:$C$49,MATCH($N1824,계정대체기준!$A$20:$A$49,0)),0)))</f>
        <v/>
      </c>
      <c r="AA1824" s="94">
        <f>IF($A1824="",0,IF(AE1824="직접",IF(OR(AF1824="유지비",AF1824="손해조사비"),$P1824,0),$P1824*(1-AG1824)*IFERROR(INDEX(계정대체기준!$D$20:$D$49,MATCH($N1824,계정대체기준!$A$20:$A$49,0)),0)))</f>
        <v/>
      </c>
      <c r="AB1824" s="94">
        <f>IF($A1824="",0,IF(AE1824="직접",IF(AF1824="수금비",$P1824,0),$P1824*(1-AG1824)*IFERROR(INDEX(계정대체기준!$E$20:$E$49,MATCH($N1824,계정대체기준!$A$20:$A$49,0)),0)))</f>
        <v/>
      </c>
      <c r="AC1824" s="9">
        <f>IF(AND($A1824&lt;&gt;"",M1824=설정!$C$20,Z1824&gt;0),Z1824+ROW()/1000000000,"")</f>
        <v/>
      </c>
      <c r="AD1824" s="94">
        <f>IF($A1824="",0,$P1824*AG1824)</f>
        <v/>
      </c>
      <c r="AE1824" s="64">
        <f>IF($A1824="","",IFERROR(INDEX(계정매핑!$E$5:$E$504,MATCH($F1824&amp;"",계정매핑!$A$5:$A$504,0))&amp;"","공통비"))</f>
        <v/>
      </c>
      <c r="AF1824" s="64">
        <f>IF($A1824="","",IF(AE1824="직접",IFERROR(INDEX(계정매핑!$F$5:$F$504,MATCH($F1824&amp;"",계정매핑!$A$5:$A$504,0))&amp;"","비귀속"),""))</f>
        <v/>
      </c>
      <c r="AG1824" s="96">
        <f>IF($A1824="",0,IF(AND(AE1824&lt;&gt;"직접",IFERROR(INDEX(계정매핑!$G$5:$G$504,MATCH($F1824&amp;"",계정매핑!$A$5:$A$504,0))&amp;"","")="유지비",COUNTIF(계정대체기준!$A$6:$A$15,$N1824)&gt;0),IFERROR(INDEX(계정대체기준!$E$6:$E$15,MATCH(VALUE($A1824&amp;""),계정대체기준!$D$6:$D$15,0)),0),0))</f>
        <v/>
      </c>
      <c r="AH1824" s="64">
        <f>IF($A1824="","",IF(AD1824=0,"",IF(OR(COUNTIF(계정대체기준!$A$77:$A$86,$N1824)&gt;0,ISNUMBER(MATCH($X1824,계정대체기준!$D$77:$D$86,0)),ISNUMBER(MATCH($F1824,계정대체기준!$D$77:$D$86,0))),"Y","N")))</f>
        <v/>
      </c>
    </row>
    <row r="1825">
      <c r="A1825" s="92" t="n">
        <v>2025</v>
      </c>
      <c r="B1825" s="92" t="n">
        <v>9</v>
      </c>
      <c r="C1825" s="92" t="inlineStr">
        <is>
          <t>5100001821</t>
        </is>
      </c>
      <c r="D1825" s="95" t="n">
        <v>45902</v>
      </c>
      <c r="E1825" s="92" t="inlineStr">
        <is>
          <t>KR</t>
        </is>
      </c>
      <c r="F1825" s="92" t="n">
        <v>62501000</v>
      </c>
      <c r="G1825" s="92" t="n">
        <v>1602</v>
      </c>
      <c r="H1825" s="93" t="n">
        <v>355000</v>
      </c>
      <c r="I1825" s="92" t="inlineStr">
        <is>
          <t>9월 회의 다과 - (법인카드)</t>
        </is>
      </c>
      <c r="J1825" s="92" t="inlineStr">
        <is>
          <t>V10010</t>
        </is>
      </c>
      <c r="K1825" s="92" t="inlineStr">
        <is>
          <t>(법인카드)</t>
        </is>
      </c>
      <c r="M1825" s="9">
        <f>IF($A1825="","",VALUE($A1825&amp;"")*12+VALUE($B1825&amp;""))</f>
        <v/>
      </c>
      <c r="N1825" s="64">
        <f>IF($A1825="","",IFERROR(INDEX(부서매핑!$C$5:$C$504,MATCH($G1825&amp;"",부서매핑!$A$5:$A$504,0)),"미매핑"))</f>
        <v/>
      </c>
      <c r="O1825" s="9">
        <f>IF($A1825="","",N1825&amp;"|"&amp;$F1825)</f>
        <v/>
      </c>
      <c r="P1825" s="94">
        <f>IF($A1825="",0,$H1825*설정!$C$23)</f>
        <v/>
      </c>
      <c r="Q1825" s="64">
        <f>IF($A1825="","",IF(O1825&lt;&gt;원인분석!$C$9,"",IF(AND(M1825&gt;=원인분석!$C$10,M1825&lt;=원인분석!$C$11),"당기",IF(AND(M1825&gt;=원인분석!$C$12,M1825&lt;=원인분석!$C$13),"비교",""))))</f>
        <v/>
      </c>
      <c r="R1825" s="9">
        <f>IF(Q1825="","",$K1825&amp;"")</f>
        <v/>
      </c>
      <c r="S1825" s="9">
        <f>IF(Q1825="","",IF(MATCH(R1825,$R$5:$R$100000,0)=ROW()-4,ROW(),""))</f>
        <v/>
      </c>
      <c r="T1825" s="9">
        <f>IF(Q1825="당기",ABS(P1825)+ROW()/1000000000,"")</f>
        <v/>
      </c>
      <c r="U1825" s="9">
        <f>IF(Q1825="비교",ABS(P1825)+ROW()/1000000000,"")</f>
        <v/>
      </c>
      <c r="V1825" s="64">
        <f>IF($A1825="","",IF(COUNTIF(변동분석!$E$7:$E$506,O1825)&gt;0,"Y","N"))</f>
        <v/>
      </c>
      <c r="W1825" s="64">
        <f>IF($A1825="","",IFERROR(INDEX(계정매핑!$D$5:$D$504,MATCH($F1825&amp;"",계정매핑!$A$5:$A$504,0)),"미매핑"))</f>
        <v/>
      </c>
      <c r="X1825" s="9">
        <f>IF($A1825="","",$F1825&amp;"")</f>
        <v/>
      </c>
      <c r="Y1825" s="94">
        <f>IF($A1825="",0,IF(AE1825="직접",IF(AF1825="비귀속",$P1825,0),$P1825*(1-AG1825)*IFERROR(INDEX(계정대체기준!$F$20:$F$49,MATCH($N1825,계정대체기준!$A$20:$A$49,0)),1)))</f>
        <v/>
      </c>
      <c r="Z1825" s="94">
        <f>IF($A1825="",0,IF(AE1825="직접",IF(AF1825="신계약비",$P1825,0),$P1825*(1-AG1825)*IFERROR(INDEX(계정대체기준!$C$20:$C$49,MATCH($N1825,계정대체기준!$A$20:$A$49,0)),0)))</f>
        <v/>
      </c>
      <c r="AA1825" s="94">
        <f>IF($A1825="",0,IF(AE1825="직접",IF(OR(AF1825="유지비",AF1825="손해조사비"),$P1825,0),$P1825*(1-AG1825)*IFERROR(INDEX(계정대체기준!$D$20:$D$49,MATCH($N1825,계정대체기준!$A$20:$A$49,0)),0)))</f>
        <v/>
      </c>
      <c r="AB1825" s="94">
        <f>IF($A1825="",0,IF(AE1825="직접",IF(AF1825="수금비",$P1825,0),$P1825*(1-AG1825)*IFERROR(INDEX(계정대체기준!$E$20:$E$49,MATCH($N1825,계정대체기준!$A$20:$A$49,0)),0)))</f>
        <v/>
      </c>
      <c r="AC1825" s="9">
        <f>IF(AND($A1825&lt;&gt;"",M1825=설정!$C$20,Z1825&gt;0),Z1825+ROW()/1000000000,"")</f>
        <v/>
      </c>
      <c r="AD1825" s="94">
        <f>IF($A1825="",0,$P1825*AG1825)</f>
        <v/>
      </c>
      <c r="AE1825" s="64">
        <f>IF($A1825="","",IFERROR(INDEX(계정매핑!$E$5:$E$504,MATCH($F1825&amp;"",계정매핑!$A$5:$A$504,0))&amp;"","공통비"))</f>
        <v/>
      </c>
      <c r="AF1825" s="64">
        <f>IF($A1825="","",IF(AE1825="직접",IFERROR(INDEX(계정매핑!$F$5:$F$504,MATCH($F1825&amp;"",계정매핑!$A$5:$A$504,0))&amp;"","비귀속"),""))</f>
        <v/>
      </c>
      <c r="AG1825" s="96">
        <f>IF($A1825="",0,IF(AND(AE1825&lt;&gt;"직접",IFERROR(INDEX(계정매핑!$G$5:$G$504,MATCH($F1825&amp;"",계정매핑!$A$5:$A$504,0))&amp;"","")="유지비",COUNTIF(계정대체기준!$A$6:$A$15,$N1825)&gt;0),IFERROR(INDEX(계정대체기준!$E$6:$E$15,MATCH(VALUE($A1825&amp;""),계정대체기준!$D$6:$D$15,0)),0),0))</f>
        <v/>
      </c>
      <c r="AH1825" s="64">
        <f>IF($A1825="","",IF(AD1825=0,"",IF(OR(COUNTIF(계정대체기준!$A$77:$A$86,$N1825)&gt;0,ISNUMBER(MATCH($X1825,계정대체기준!$D$77:$D$86,0)),ISNUMBER(MATCH($F1825,계정대체기준!$D$77:$D$86,0))),"Y","N")))</f>
        <v/>
      </c>
    </row>
    <row r="1826">
      <c r="A1826" s="92" t="n">
        <v>2025</v>
      </c>
      <c r="B1826" s="92" t="n">
        <v>9</v>
      </c>
      <c r="C1826" s="92" t="inlineStr">
        <is>
          <t>5100001822</t>
        </is>
      </c>
      <c r="D1826" s="95" t="n">
        <v>45902</v>
      </c>
      <c r="E1826" s="92" t="inlineStr">
        <is>
          <t>KR</t>
        </is>
      </c>
      <c r="F1826" s="92" t="n">
        <v>62501000</v>
      </c>
      <c r="G1826" s="92" t="n">
        <v>1701</v>
      </c>
      <c r="H1826" s="93" t="n">
        <v>174000</v>
      </c>
      <c r="I1826" s="92" t="inlineStr">
        <is>
          <t>9월 회의 다과 - T케이터링</t>
        </is>
      </c>
      <c r="J1826" s="92" t="inlineStr">
        <is>
          <t>V10005</t>
        </is>
      </c>
      <c r="K1826" s="92" t="inlineStr">
        <is>
          <t>T케이터링</t>
        </is>
      </c>
      <c r="M1826" s="9">
        <f>IF($A1826="","",VALUE($A1826&amp;"")*12+VALUE($B1826&amp;""))</f>
        <v/>
      </c>
      <c r="N1826" s="64">
        <f>IF($A1826="","",IFERROR(INDEX(부서매핑!$C$5:$C$504,MATCH($G1826&amp;"",부서매핑!$A$5:$A$504,0)),"미매핑"))</f>
        <v/>
      </c>
      <c r="O1826" s="9">
        <f>IF($A1826="","",N1826&amp;"|"&amp;$F1826)</f>
        <v/>
      </c>
      <c r="P1826" s="94">
        <f>IF($A1826="",0,$H1826*설정!$C$23)</f>
        <v/>
      </c>
      <c r="Q1826" s="64">
        <f>IF($A1826="","",IF(O1826&lt;&gt;원인분석!$C$9,"",IF(AND(M1826&gt;=원인분석!$C$10,M1826&lt;=원인분석!$C$11),"당기",IF(AND(M1826&gt;=원인분석!$C$12,M1826&lt;=원인분석!$C$13),"비교",""))))</f>
        <v/>
      </c>
      <c r="R1826" s="9">
        <f>IF(Q1826="","",$K1826&amp;"")</f>
        <v/>
      </c>
      <c r="S1826" s="9">
        <f>IF(Q1826="","",IF(MATCH(R1826,$R$5:$R$100000,0)=ROW()-4,ROW(),""))</f>
        <v/>
      </c>
      <c r="T1826" s="9">
        <f>IF(Q1826="당기",ABS(P1826)+ROW()/1000000000,"")</f>
        <v/>
      </c>
      <c r="U1826" s="9">
        <f>IF(Q1826="비교",ABS(P1826)+ROW()/1000000000,"")</f>
        <v/>
      </c>
      <c r="V1826" s="64">
        <f>IF($A1826="","",IF(COUNTIF(변동분석!$E$7:$E$506,O1826)&gt;0,"Y","N"))</f>
        <v/>
      </c>
      <c r="W1826" s="64">
        <f>IF($A1826="","",IFERROR(INDEX(계정매핑!$D$5:$D$504,MATCH($F1826&amp;"",계정매핑!$A$5:$A$504,0)),"미매핑"))</f>
        <v/>
      </c>
      <c r="X1826" s="9">
        <f>IF($A1826="","",$F1826&amp;"")</f>
        <v/>
      </c>
      <c r="Y1826" s="94">
        <f>IF($A1826="",0,IF(AE1826="직접",IF(AF1826="비귀속",$P1826,0),$P1826*(1-AG1826)*IFERROR(INDEX(계정대체기준!$F$20:$F$49,MATCH($N1826,계정대체기준!$A$20:$A$49,0)),1)))</f>
        <v/>
      </c>
      <c r="Z1826" s="94">
        <f>IF($A1826="",0,IF(AE1826="직접",IF(AF1826="신계약비",$P1826,0),$P1826*(1-AG1826)*IFERROR(INDEX(계정대체기준!$C$20:$C$49,MATCH($N1826,계정대체기준!$A$20:$A$49,0)),0)))</f>
        <v/>
      </c>
      <c r="AA1826" s="94">
        <f>IF($A1826="",0,IF(AE1826="직접",IF(OR(AF1826="유지비",AF1826="손해조사비"),$P1826,0),$P1826*(1-AG1826)*IFERROR(INDEX(계정대체기준!$D$20:$D$49,MATCH($N1826,계정대체기준!$A$20:$A$49,0)),0)))</f>
        <v/>
      </c>
      <c r="AB1826" s="94">
        <f>IF($A1826="",0,IF(AE1826="직접",IF(AF1826="수금비",$P1826,0),$P1826*(1-AG1826)*IFERROR(INDEX(계정대체기준!$E$20:$E$49,MATCH($N1826,계정대체기준!$A$20:$A$49,0)),0)))</f>
        <v/>
      </c>
      <c r="AC1826" s="9">
        <f>IF(AND($A1826&lt;&gt;"",M1826=설정!$C$20,Z1826&gt;0),Z1826+ROW()/1000000000,"")</f>
        <v/>
      </c>
      <c r="AD1826" s="94">
        <f>IF($A1826="",0,$P1826*AG1826)</f>
        <v/>
      </c>
      <c r="AE1826" s="64">
        <f>IF($A1826="","",IFERROR(INDEX(계정매핑!$E$5:$E$504,MATCH($F1826&amp;"",계정매핑!$A$5:$A$504,0))&amp;"","공통비"))</f>
        <v/>
      </c>
      <c r="AF1826" s="64">
        <f>IF($A1826="","",IF(AE1826="직접",IFERROR(INDEX(계정매핑!$F$5:$F$504,MATCH($F1826&amp;"",계정매핑!$A$5:$A$504,0))&amp;"","비귀속"),""))</f>
        <v/>
      </c>
      <c r="AG1826" s="96">
        <f>IF($A1826="",0,IF(AND(AE1826&lt;&gt;"직접",IFERROR(INDEX(계정매핑!$G$5:$G$504,MATCH($F1826&amp;"",계정매핑!$A$5:$A$504,0))&amp;"","")="유지비",COUNTIF(계정대체기준!$A$6:$A$15,$N1826)&gt;0),IFERROR(INDEX(계정대체기준!$E$6:$E$15,MATCH(VALUE($A1826&amp;""),계정대체기준!$D$6:$D$15,0)),0),0))</f>
        <v/>
      </c>
      <c r="AH1826" s="64">
        <f>IF($A1826="","",IF(AD1826=0,"",IF(OR(COUNTIF(계정대체기준!$A$77:$A$86,$N1826)&gt;0,ISNUMBER(MATCH($X1826,계정대체기준!$D$77:$D$86,0)),ISNUMBER(MATCH($F1826,계정대체기준!$D$77:$D$86,0))),"Y","N")))</f>
        <v/>
      </c>
    </row>
    <row r="1827">
      <c r="A1827" s="92" t="n">
        <v>2025</v>
      </c>
      <c r="B1827" s="92" t="n">
        <v>9</v>
      </c>
      <c r="C1827" s="92" t="inlineStr">
        <is>
          <t>5100001823</t>
        </is>
      </c>
      <c r="D1827" s="95" t="n">
        <v>45902</v>
      </c>
      <c r="E1827" s="92" t="inlineStr">
        <is>
          <t>KR</t>
        </is>
      </c>
      <c r="F1827" s="92" t="n">
        <v>62501000</v>
      </c>
      <c r="G1827" s="92" t="n">
        <v>1801</v>
      </c>
      <c r="H1827" s="93" t="n">
        <v>209000</v>
      </c>
      <c r="I1827" s="92" t="inlineStr">
        <is>
          <t>9월 회의 다과 - T케이터링</t>
        </is>
      </c>
      <c r="J1827" s="92" t="inlineStr">
        <is>
          <t>V10005</t>
        </is>
      </c>
      <c r="K1827" s="92" t="inlineStr">
        <is>
          <t>T케이터링</t>
        </is>
      </c>
      <c r="M1827" s="9">
        <f>IF($A1827="","",VALUE($A1827&amp;"")*12+VALUE($B1827&amp;""))</f>
        <v/>
      </c>
      <c r="N1827" s="64">
        <f>IF($A1827="","",IFERROR(INDEX(부서매핑!$C$5:$C$504,MATCH($G1827&amp;"",부서매핑!$A$5:$A$504,0)),"미매핑"))</f>
        <v/>
      </c>
      <c r="O1827" s="9">
        <f>IF($A1827="","",N1827&amp;"|"&amp;$F1827)</f>
        <v/>
      </c>
      <c r="P1827" s="94">
        <f>IF($A1827="",0,$H1827*설정!$C$23)</f>
        <v/>
      </c>
      <c r="Q1827" s="64">
        <f>IF($A1827="","",IF(O1827&lt;&gt;원인분석!$C$9,"",IF(AND(M1827&gt;=원인분석!$C$10,M1827&lt;=원인분석!$C$11),"당기",IF(AND(M1827&gt;=원인분석!$C$12,M1827&lt;=원인분석!$C$13),"비교",""))))</f>
        <v/>
      </c>
      <c r="R1827" s="9">
        <f>IF(Q1827="","",$K1827&amp;"")</f>
        <v/>
      </c>
      <c r="S1827" s="9">
        <f>IF(Q1827="","",IF(MATCH(R1827,$R$5:$R$100000,0)=ROW()-4,ROW(),""))</f>
        <v/>
      </c>
      <c r="T1827" s="9">
        <f>IF(Q1827="당기",ABS(P1827)+ROW()/1000000000,"")</f>
        <v/>
      </c>
      <c r="U1827" s="9">
        <f>IF(Q1827="비교",ABS(P1827)+ROW()/1000000000,"")</f>
        <v/>
      </c>
      <c r="V1827" s="64">
        <f>IF($A1827="","",IF(COUNTIF(변동분석!$E$7:$E$506,O1827)&gt;0,"Y","N"))</f>
        <v/>
      </c>
      <c r="W1827" s="64">
        <f>IF($A1827="","",IFERROR(INDEX(계정매핑!$D$5:$D$504,MATCH($F1827&amp;"",계정매핑!$A$5:$A$504,0)),"미매핑"))</f>
        <v/>
      </c>
      <c r="X1827" s="9">
        <f>IF($A1827="","",$F1827&amp;"")</f>
        <v/>
      </c>
      <c r="Y1827" s="94">
        <f>IF($A1827="",0,IF(AE1827="직접",IF(AF1827="비귀속",$P1827,0),$P1827*(1-AG1827)*IFERROR(INDEX(계정대체기준!$F$20:$F$49,MATCH($N1827,계정대체기준!$A$20:$A$49,0)),1)))</f>
        <v/>
      </c>
      <c r="Z1827" s="94">
        <f>IF($A1827="",0,IF(AE1827="직접",IF(AF1827="신계약비",$P1827,0),$P1827*(1-AG1827)*IFERROR(INDEX(계정대체기준!$C$20:$C$49,MATCH($N1827,계정대체기준!$A$20:$A$49,0)),0)))</f>
        <v/>
      </c>
      <c r="AA1827" s="94">
        <f>IF($A1827="",0,IF(AE1827="직접",IF(OR(AF1827="유지비",AF1827="손해조사비"),$P1827,0),$P1827*(1-AG1827)*IFERROR(INDEX(계정대체기준!$D$20:$D$49,MATCH($N1827,계정대체기준!$A$20:$A$49,0)),0)))</f>
        <v/>
      </c>
      <c r="AB1827" s="94">
        <f>IF($A1827="",0,IF(AE1827="직접",IF(AF1827="수금비",$P1827,0),$P1827*(1-AG1827)*IFERROR(INDEX(계정대체기준!$E$20:$E$49,MATCH($N1827,계정대체기준!$A$20:$A$49,0)),0)))</f>
        <v/>
      </c>
      <c r="AC1827" s="9">
        <f>IF(AND($A1827&lt;&gt;"",M1827=설정!$C$20,Z1827&gt;0),Z1827+ROW()/1000000000,"")</f>
        <v/>
      </c>
      <c r="AD1827" s="94">
        <f>IF($A1827="",0,$P1827*AG1827)</f>
        <v/>
      </c>
      <c r="AE1827" s="64">
        <f>IF($A1827="","",IFERROR(INDEX(계정매핑!$E$5:$E$504,MATCH($F1827&amp;"",계정매핑!$A$5:$A$504,0))&amp;"","공통비"))</f>
        <v/>
      </c>
      <c r="AF1827" s="64">
        <f>IF($A1827="","",IF(AE1827="직접",IFERROR(INDEX(계정매핑!$F$5:$F$504,MATCH($F1827&amp;"",계정매핑!$A$5:$A$504,0))&amp;"","비귀속"),""))</f>
        <v/>
      </c>
      <c r="AG1827" s="96">
        <f>IF($A1827="",0,IF(AND(AE1827&lt;&gt;"직접",IFERROR(INDEX(계정매핑!$G$5:$G$504,MATCH($F1827&amp;"",계정매핑!$A$5:$A$504,0))&amp;"","")="유지비",COUNTIF(계정대체기준!$A$6:$A$15,$N1827)&gt;0),IFERROR(INDEX(계정대체기준!$E$6:$E$15,MATCH(VALUE($A1827&amp;""),계정대체기준!$D$6:$D$15,0)),0),0))</f>
        <v/>
      </c>
      <c r="AH1827" s="64">
        <f>IF($A1827="","",IF(AD1827=0,"",IF(OR(COUNTIF(계정대체기준!$A$77:$A$86,$N1827)&gt;0,ISNUMBER(MATCH($X1827,계정대체기준!$D$77:$D$86,0)),ISNUMBER(MATCH($F1827,계정대체기준!$D$77:$D$86,0))),"Y","N")))</f>
        <v/>
      </c>
    </row>
    <row r="1828">
      <c r="A1828" s="92" t="n">
        <v>2025</v>
      </c>
      <c r="B1828" s="92" t="n">
        <v>9</v>
      </c>
      <c r="C1828" s="92" t="inlineStr">
        <is>
          <t>5100001824</t>
        </is>
      </c>
      <c r="D1828" s="95" t="n">
        <v>45902</v>
      </c>
      <c r="E1828" s="92" t="inlineStr">
        <is>
          <t>KR</t>
        </is>
      </c>
      <c r="F1828" s="92" t="n">
        <v>62901000</v>
      </c>
      <c r="G1828" s="92" t="n">
        <v>1201</v>
      </c>
      <c r="H1828" s="93" t="n">
        <v>2839000</v>
      </c>
      <c r="I1828" s="92" t="inlineStr">
        <is>
          <t>9월 자문 수수료 - K회계법인</t>
        </is>
      </c>
      <c r="J1828" s="92" t="inlineStr">
        <is>
          <t>V10011</t>
        </is>
      </c>
      <c r="K1828" s="92" t="inlineStr">
        <is>
          <t>K회계법인</t>
        </is>
      </c>
      <c r="M1828" s="9">
        <f>IF($A1828="","",VALUE($A1828&amp;"")*12+VALUE($B1828&amp;""))</f>
        <v/>
      </c>
      <c r="N1828" s="64">
        <f>IF($A1828="","",IFERROR(INDEX(부서매핑!$C$5:$C$504,MATCH($G1828&amp;"",부서매핑!$A$5:$A$504,0)),"미매핑"))</f>
        <v/>
      </c>
      <c r="O1828" s="9">
        <f>IF($A1828="","",N1828&amp;"|"&amp;$F1828)</f>
        <v/>
      </c>
      <c r="P1828" s="94">
        <f>IF($A1828="",0,$H1828*설정!$C$23)</f>
        <v/>
      </c>
      <c r="Q1828" s="64">
        <f>IF($A1828="","",IF(O1828&lt;&gt;원인분석!$C$9,"",IF(AND(M1828&gt;=원인분석!$C$10,M1828&lt;=원인분석!$C$11),"당기",IF(AND(M1828&gt;=원인분석!$C$12,M1828&lt;=원인분석!$C$13),"비교",""))))</f>
        <v/>
      </c>
      <c r="R1828" s="9">
        <f>IF(Q1828="","",$K1828&amp;"")</f>
        <v/>
      </c>
      <c r="S1828" s="9">
        <f>IF(Q1828="","",IF(MATCH(R1828,$R$5:$R$100000,0)=ROW()-4,ROW(),""))</f>
        <v/>
      </c>
      <c r="T1828" s="9">
        <f>IF(Q1828="당기",ABS(P1828)+ROW()/1000000000,"")</f>
        <v/>
      </c>
      <c r="U1828" s="9">
        <f>IF(Q1828="비교",ABS(P1828)+ROW()/1000000000,"")</f>
        <v/>
      </c>
      <c r="V1828" s="64">
        <f>IF($A1828="","",IF(COUNTIF(변동분석!$E$7:$E$506,O1828)&gt;0,"Y","N"))</f>
        <v/>
      </c>
      <c r="W1828" s="64">
        <f>IF($A1828="","",IFERROR(INDEX(계정매핑!$D$5:$D$504,MATCH($F1828&amp;"",계정매핑!$A$5:$A$504,0)),"미매핑"))</f>
        <v/>
      </c>
      <c r="X1828" s="9">
        <f>IF($A1828="","",$F1828&amp;"")</f>
        <v/>
      </c>
      <c r="Y1828" s="94">
        <f>IF($A1828="",0,IF(AE1828="직접",IF(AF1828="비귀속",$P1828,0),$P1828*(1-AG1828)*IFERROR(INDEX(계정대체기준!$F$20:$F$49,MATCH($N1828,계정대체기준!$A$20:$A$49,0)),1)))</f>
        <v/>
      </c>
      <c r="Z1828" s="94">
        <f>IF($A1828="",0,IF(AE1828="직접",IF(AF1828="신계약비",$P1828,0),$P1828*(1-AG1828)*IFERROR(INDEX(계정대체기준!$C$20:$C$49,MATCH($N1828,계정대체기준!$A$20:$A$49,0)),0)))</f>
        <v/>
      </c>
      <c r="AA1828" s="94">
        <f>IF($A1828="",0,IF(AE1828="직접",IF(OR(AF1828="유지비",AF1828="손해조사비"),$P1828,0),$P1828*(1-AG1828)*IFERROR(INDEX(계정대체기준!$D$20:$D$49,MATCH($N1828,계정대체기준!$A$20:$A$49,0)),0)))</f>
        <v/>
      </c>
      <c r="AB1828" s="94">
        <f>IF($A1828="",0,IF(AE1828="직접",IF(AF1828="수금비",$P1828,0),$P1828*(1-AG1828)*IFERROR(INDEX(계정대체기준!$E$20:$E$49,MATCH($N1828,계정대체기준!$A$20:$A$49,0)),0)))</f>
        <v/>
      </c>
      <c r="AC1828" s="9">
        <f>IF(AND($A1828&lt;&gt;"",M1828=설정!$C$20,Z1828&gt;0),Z1828+ROW()/1000000000,"")</f>
        <v/>
      </c>
      <c r="AD1828" s="94">
        <f>IF($A1828="",0,$P1828*AG1828)</f>
        <v/>
      </c>
      <c r="AE1828" s="64">
        <f>IF($A1828="","",IFERROR(INDEX(계정매핑!$E$5:$E$504,MATCH($F1828&amp;"",계정매핑!$A$5:$A$504,0))&amp;"","공통비"))</f>
        <v/>
      </c>
      <c r="AF1828" s="64">
        <f>IF($A1828="","",IF(AE1828="직접",IFERROR(INDEX(계정매핑!$F$5:$F$504,MATCH($F1828&amp;"",계정매핑!$A$5:$A$504,0))&amp;"","비귀속"),""))</f>
        <v/>
      </c>
      <c r="AG1828" s="96">
        <f>IF($A1828="",0,IF(AND(AE1828&lt;&gt;"직접",IFERROR(INDEX(계정매핑!$G$5:$G$504,MATCH($F1828&amp;"",계정매핑!$A$5:$A$504,0))&amp;"","")="유지비",COUNTIF(계정대체기준!$A$6:$A$15,$N1828)&gt;0),IFERROR(INDEX(계정대체기준!$E$6:$E$15,MATCH(VALUE($A1828&amp;""),계정대체기준!$D$6:$D$15,0)),0),0))</f>
        <v/>
      </c>
      <c r="AH1828" s="64">
        <f>IF($A1828="","",IF(AD1828=0,"",IF(OR(COUNTIF(계정대체기준!$A$77:$A$86,$N1828)&gt;0,ISNUMBER(MATCH($X1828,계정대체기준!$D$77:$D$86,0)),ISNUMBER(MATCH($F1828,계정대체기준!$D$77:$D$86,0))),"Y","N")))</f>
        <v/>
      </c>
    </row>
    <row r="1829">
      <c r="A1829" s="92" t="n">
        <v>2025</v>
      </c>
      <c r="B1829" s="92" t="n">
        <v>9</v>
      </c>
      <c r="C1829" s="92" t="inlineStr">
        <is>
          <t>5100001825</t>
        </is>
      </c>
      <c r="D1829" s="95" t="n">
        <v>45902</v>
      </c>
      <c r="E1829" s="92" t="inlineStr">
        <is>
          <t>KR</t>
        </is>
      </c>
      <c r="F1829" s="92" t="n">
        <v>62902000</v>
      </c>
      <c r="G1829" s="92" t="n">
        <v>1401</v>
      </c>
      <c r="H1829" s="93" t="n">
        <v>3521000</v>
      </c>
      <c r="I1829" s="92" t="inlineStr">
        <is>
          <t>9월 업무 위탁 수수료 - J콜센터</t>
        </is>
      </c>
      <c r="J1829" s="92" t="inlineStr">
        <is>
          <t>V10016</t>
        </is>
      </c>
      <c r="K1829" s="92" t="inlineStr">
        <is>
          <t>J콜센터</t>
        </is>
      </c>
      <c r="M1829" s="9">
        <f>IF($A1829="","",VALUE($A1829&amp;"")*12+VALUE($B1829&amp;""))</f>
        <v/>
      </c>
      <c r="N1829" s="64">
        <f>IF($A1829="","",IFERROR(INDEX(부서매핑!$C$5:$C$504,MATCH($G1829&amp;"",부서매핑!$A$5:$A$504,0)),"미매핑"))</f>
        <v/>
      </c>
      <c r="O1829" s="9">
        <f>IF($A1829="","",N1829&amp;"|"&amp;$F1829)</f>
        <v/>
      </c>
      <c r="P1829" s="94">
        <f>IF($A1829="",0,$H1829*설정!$C$23)</f>
        <v/>
      </c>
      <c r="Q1829" s="64">
        <f>IF($A1829="","",IF(O1829&lt;&gt;원인분석!$C$9,"",IF(AND(M1829&gt;=원인분석!$C$10,M1829&lt;=원인분석!$C$11),"당기",IF(AND(M1829&gt;=원인분석!$C$12,M1829&lt;=원인분석!$C$13),"비교",""))))</f>
        <v/>
      </c>
      <c r="R1829" s="9">
        <f>IF(Q1829="","",$K1829&amp;"")</f>
        <v/>
      </c>
      <c r="S1829" s="9">
        <f>IF(Q1829="","",IF(MATCH(R1829,$R$5:$R$100000,0)=ROW()-4,ROW(),""))</f>
        <v/>
      </c>
      <c r="T1829" s="9">
        <f>IF(Q1829="당기",ABS(P1829)+ROW()/1000000000,"")</f>
        <v/>
      </c>
      <c r="U1829" s="9">
        <f>IF(Q1829="비교",ABS(P1829)+ROW()/1000000000,"")</f>
        <v/>
      </c>
      <c r="V1829" s="64">
        <f>IF($A1829="","",IF(COUNTIF(변동분석!$E$7:$E$506,O1829)&gt;0,"Y","N"))</f>
        <v/>
      </c>
      <c r="W1829" s="64">
        <f>IF($A1829="","",IFERROR(INDEX(계정매핑!$D$5:$D$504,MATCH($F1829&amp;"",계정매핑!$A$5:$A$504,0)),"미매핑"))</f>
        <v/>
      </c>
      <c r="X1829" s="9">
        <f>IF($A1829="","",$F1829&amp;"")</f>
        <v/>
      </c>
      <c r="Y1829" s="94">
        <f>IF($A1829="",0,IF(AE1829="직접",IF(AF1829="비귀속",$P1829,0),$P1829*(1-AG1829)*IFERROR(INDEX(계정대체기준!$F$20:$F$49,MATCH($N1829,계정대체기준!$A$20:$A$49,0)),1)))</f>
        <v/>
      </c>
      <c r="Z1829" s="94">
        <f>IF($A1829="",0,IF(AE1829="직접",IF(AF1829="신계약비",$P1829,0),$P1829*(1-AG1829)*IFERROR(INDEX(계정대체기준!$C$20:$C$49,MATCH($N1829,계정대체기준!$A$20:$A$49,0)),0)))</f>
        <v/>
      </c>
      <c r="AA1829" s="94">
        <f>IF($A1829="",0,IF(AE1829="직접",IF(OR(AF1829="유지비",AF1829="손해조사비"),$P1829,0),$P1829*(1-AG1829)*IFERROR(INDEX(계정대체기준!$D$20:$D$49,MATCH($N1829,계정대체기준!$A$20:$A$49,0)),0)))</f>
        <v/>
      </c>
      <c r="AB1829" s="94">
        <f>IF($A1829="",0,IF(AE1829="직접",IF(AF1829="수금비",$P1829,0),$P1829*(1-AG1829)*IFERROR(INDEX(계정대체기준!$E$20:$E$49,MATCH($N1829,계정대체기준!$A$20:$A$49,0)),0)))</f>
        <v/>
      </c>
      <c r="AC1829" s="9">
        <f>IF(AND($A1829&lt;&gt;"",M1829=설정!$C$20,Z1829&gt;0),Z1829+ROW()/1000000000,"")</f>
        <v/>
      </c>
      <c r="AD1829" s="94">
        <f>IF($A1829="",0,$P1829*AG1829)</f>
        <v/>
      </c>
      <c r="AE1829" s="64">
        <f>IF($A1829="","",IFERROR(INDEX(계정매핑!$E$5:$E$504,MATCH($F1829&amp;"",계정매핑!$A$5:$A$504,0))&amp;"","공통비"))</f>
        <v/>
      </c>
      <c r="AF1829" s="64">
        <f>IF($A1829="","",IF(AE1829="직접",IFERROR(INDEX(계정매핑!$F$5:$F$504,MATCH($F1829&amp;"",계정매핑!$A$5:$A$504,0))&amp;"","비귀속"),""))</f>
        <v/>
      </c>
      <c r="AG1829" s="96">
        <f>IF($A1829="",0,IF(AND(AE1829&lt;&gt;"직접",IFERROR(INDEX(계정매핑!$G$5:$G$504,MATCH($F1829&amp;"",계정매핑!$A$5:$A$504,0))&amp;"","")="유지비",COUNTIF(계정대체기준!$A$6:$A$15,$N1829)&gt;0),IFERROR(INDEX(계정대체기준!$E$6:$E$15,MATCH(VALUE($A1829&amp;""),계정대체기준!$D$6:$D$15,0)),0),0))</f>
        <v/>
      </c>
      <c r="AH1829" s="64">
        <f>IF($A1829="","",IF(AD1829=0,"",IF(OR(COUNTIF(계정대체기준!$A$77:$A$86,$N1829)&gt;0,ISNUMBER(MATCH($X1829,계정대체기준!$D$77:$D$86,0)),ISNUMBER(MATCH($F1829,계정대체기준!$D$77:$D$86,0))),"Y","N")))</f>
        <v/>
      </c>
    </row>
    <row r="1830">
      <c r="A1830" s="92" t="n">
        <v>2025</v>
      </c>
      <c r="B1830" s="92" t="n">
        <v>9</v>
      </c>
      <c r="C1830" s="92" t="inlineStr">
        <is>
          <t>5100001826</t>
        </is>
      </c>
      <c r="D1830" s="95" t="n">
        <v>45902</v>
      </c>
      <c r="E1830" s="92" t="inlineStr">
        <is>
          <t>KR</t>
        </is>
      </c>
      <c r="F1830" s="92" t="n">
        <v>62902000</v>
      </c>
      <c r="G1830" s="92" t="n">
        <v>1951</v>
      </c>
      <c r="H1830" s="93" t="n">
        <v>2502000</v>
      </c>
      <c r="I1830" s="92" t="inlineStr">
        <is>
          <t>9월 업무 위탁 수수료 - J콜센터</t>
        </is>
      </c>
      <c r="J1830" s="92" t="inlineStr">
        <is>
          <t>V10016</t>
        </is>
      </c>
      <c r="K1830" s="92" t="inlineStr">
        <is>
          <t>J콜센터</t>
        </is>
      </c>
      <c r="M1830" s="9">
        <f>IF($A1830="","",VALUE($A1830&amp;"")*12+VALUE($B1830&amp;""))</f>
        <v/>
      </c>
      <c r="N1830" s="64">
        <f>IF($A1830="","",IFERROR(INDEX(부서매핑!$C$5:$C$504,MATCH($G1830&amp;"",부서매핑!$A$5:$A$504,0)),"미매핑"))</f>
        <v/>
      </c>
      <c r="O1830" s="9">
        <f>IF($A1830="","",N1830&amp;"|"&amp;$F1830)</f>
        <v/>
      </c>
      <c r="P1830" s="94">
        <f>IF($A1830="",0,$H1830*설정!$C$23)</f>
        <v/>
      </c>
      <c r="Q1830" s="64">
        <f>IF($A1830="","",IF(O1830&lt;&gt;원인분석!$C$9,"",IF(AND(M1830&gt;=원인분석!$C$10,M1830&lt;=원인분석!$C$11),"당기",IF(AND(M1830&gt;=원인분석!$C$12,M1830&lt;=원인분석!$C$13),"비교",""))))</f>
        <v/>
      </c>
      <c r="R1830" s="9">
        <f>IF(Q1830="","",$K1830&amp;"")</f>
        <v/>
      </c>
      <c r="S1830" s="9">
        <f>IF(Q1830="","",IF(MATCH(R1830,$R$5:$R$100000,0)=ROW()-4,ROW(),""))</f>
        <v/>
      </c>
      <c r="T1830" s="9">
        <f>IF(Q1830="당기",ABS(P1830)+ROW()/1000000000,"")</f>
        <v/>
      </c>
      <c r="U1830" s="9">
        <f>IF(Q1830="비교",ABS(P1830)+ROW()/1000000000,"")</f>
        <v/>
      </c>
      <c r="V1830" s="64">
        <f>IF($A1830="","",IF(COUNTIF(변동분석!$E$7:$E$506,O1830)&gt;0,"Y","N"))</f>
        <v/>
      </c>
      <c r="W1830" s="64">
        <f>IF($A1830="","",IFERROR(INDEX(계정매핑!$D$5:$D$504,MATCH($F1830&amp;"",계정매핑!$A$5:$A$504,0)),"미매핑"))</f>
        <v/>
      </c>
      <c r="X1830" s="9">
        <f>IF($A1830="","",$F1830&amp;"")</f>
        <v/>
      </c>
      <c r="Y1830" s="94">
        <f>IF($A1830="",0,IF(AE1830="직접",IF(AF1830="비귀속",$P1830,0),$P1830*(1-AG1830)*IFERROR(INDEX(계정대체기준!$F$20:$F$49,MATCH($N1830,계정대체기준!$A$20:$A$49,0)),1)))</f>
        <v/>
      </c>
      <c r="Z1830" s="94">
        <f>IF($A1830="",0,IF(AE1830="직접",IF(AF1830="신계약비",$P1830,0),$P1830*(1-AG1830)*IFERROR(INDEX(계정대체기준!$C$20:$C$49,MATCH($N1830,계정대체기준!$A$20:$A$49,0)),0)))</f>
        <v/>
      </c>
      <c r="AA1830" s="94">
        <f>IF($A1830="",0,IF(AE1830="직접",IF(OR(AF1830="유지비",AF1830="손해조사비"),$P1830,0),$P1830*(1-AG1830)*IFERROR(INDEX(계정대체기준!$D$20:$D$49,MATCH($N1830,계정대체기준!$A$20:$A$49,0)),0)))</f>
        <v/>
      </c>
      <c r="AB1830" s="94">
        <f>IF($A1830="",0,IF(AE1830="직접",IF(AF1830="수금비",$P1830,0),$P1830*(1-AG1830)*IFERROR(INDEX(계정대체기준!$E$20:$E$49,MATCH($N1830,계정대체기준!$A$20:$A$49,0)),0)))</f>
        <v/>
      </c>
      <c r="AC1830" s="9">
        <f>IF(AND($A1830&lt;&gt;"",M1830=설정!$C$20,Z1830&gt;0),Z1830+ROW()/1000000000,"")</f>
        <v/>
      </c>
      <c r="AD1830" s="94">
        <f>IF($A1830="",0,$P1830*AG1830)</f>
        <v/>
      </c>
      <c r="AE1830" s="64">
        <f>IF($A1830="","",IFERROR(INDEX(계정매핑!$E$5:$E$504,MATCH($F1830&amp;"",계정매핑!$A$5:$A$504,0))&amp;"","공통비"))</f>
        <v/>
      </c>
      <c r="AF1830" s="64">
        <f>IF($A1830="","",IF(AE1830="직접",IFERROR(INDEX(계정매핑!$F$5:$F$504,MATCH($F1830&amp;"",계정매핑!$A$5:$A$504,0))&amp;"","비귀속"),""))</f>
        <v/>
      </c>
      <c r="AG1830" s="96">
        <f>IF($A1830="",0,IF(AND(AE1830&lt;&gt;"직접",IFERROR(INDEX(계정매핑!$G$5:$G$504,MATCH($F1830&amp;"",계정매핑!$A$5:$A$504,0))&amp;"","")="유지비",COUNTIF(계정대체기준!$A$6:$A$15,$N1830)&gt;0),IFERROR(INDEX(계정대체기준!$E$6:$E$15,MATCH(VALUE($A1830&amp;""),계정대체기준!$D$6:$D$15,0)),0),0))</f>
        <v/>
      </c>
      <c r="AH1830" s="64">
        <f>IF($A1830="","",IF(AD1830=0,"",IF(OR(COUNTIF(계정대체기준!$A$77:$A$86,$N1830)&gt;0,ISNUMBER(MATCH($X1830,계정대체기준!$D$77:$D$86,0)),ISNUMBER(MATCH($F1830,계정대체기준!$D$77:$D$86,0))),"Y","N")))</f>
        <v/>
      </c>
    </row>
    <row r="1831">
      <c r="A1831" s="92" t="n">
        <v>2025</v>
      </c>
      <c r="B1831" s="92" t="n">
        <v>9</v>
      </c>
      <c r="C1831" s="92" t="inlineStr">
        <is>
          <t>5100001827</t>
        </is>
      </c>
      <c r="D1831" s="95" t="n">
        <v>45902</v>
      </c>
      <c r="E1831" s="92" t="inlineStr">
        <is>
          <t>KR</t>
        </is>
      </c>
      <c r="F1831" s="92" t="n">
        <v>62902000</v>
      </c>
      <c r="G1831" s="92" t="n">
        <v>1951</v>
      </c>
      <c r="H1831" s="93" t="n">
        <v>1961000</v>
      </c>
      <c r="I1831" s="92" t="inlineStr">
        <is>
          <t>9월 업무 위탁 수수료 - X서비스</t>
        </is>
      </c>
      <c r="J1831" s="92" t="inlineStr">
        <is>
          <t>V10020</t>
        </is>
      </c>
      <c r="K1831" s="92" t="inlineStr">
        <is>
          <t>X서비스</t>
        </is>
      </c>
      <c r="M1831" s="9">
        <f>IF($A1831="","",VALUE($A1831&amp;"")*12+VALUE($B1831&amp;""))</f>
        <v/>
      </c>
      <c r="N1831" s="64">
        <f>IF($A1831="","",IFERROR(INDEX(부서매핑!$C$5:$C$504,MATCH($G1831&amp;"",부서매핑!$A$5:$A$504,0)),"미매핑"))</f>
        <v/>
      </c>
      <c r="O1831" s="9">
        <f>IF($A1831="","",N1831&amp;"|"&amp;$F1831)</f>
        <v/>
      </c>
      <c r="P1831" s="94">
        <f>IF($A1831="",0,$H1831*설정!$C$23)</f>
        <v/>
      </c>
      <c r="Q1831" s="64">
        <f>IF($A1831="","",IF(O1831&lt;&gt;원인분석!$C$9,"",IF(AND(M1831&gt;=원인분석!$C$10,M1831&lt;=원인분석!$C$11),"당기",IF(AND(M1831&gt;=원인분석!$C$12,M1831&lt;=원인분석!$C$13),"비교",""))))</f>
        <v/>
      </c>
      <c r="R1831" s="9">
        <f>IF(Q1831="","",$K1831&amp;"")</f>
        <v/>
      </c>
      <c r="S1831" s="9">
        <f>IF(Q1831="","",IF(MATCH(R1831,$R$5:$R$100000,0)=ROW()-4,ROW(),""))</f>
        <v/>
      </c>
      <c r="T1831" s="9">
        <f>IF(Q1831="당기",ABS(P1831)+ROW()/1000000000,"")</f>
        <v/>
      </c>
      <c r="U1831" s="9">
        <f>IF(Q1831="비교",ABS(P1831)+ROW()/1000000000,"")</f>
        <v/>
      </c>
      <c r="V1831" s="64">
        <f>IF($A1831="","",IF(COUNTIF(변동분석!$E$7:$E$506,O1831)&gt;0,"Y","N"))</f>
        <v/>
      </c>
      <c r="W1831" s="64">
        <f>IF($A1831="","",IFERROR(INDEX(계정매핑!$D$5:$D$504,MATCH($F1831&amp;"",계정매핑!$A$5:$A$504,0)),"미매핑"))</f>
        <v/>
      </c>
      <c r="X1831" s="9">
        <f>IF($A1831="","",$F1831&amp;"")</f>
        <v/>
      </c>
      <c r="Y1831" s="94">
        <f>IF($A1831="",0,IF(AE1831="직접",IF(AF1831="비귀속",$P1831,0),$P1831*(1-AG1831)*IFERROR(INDEX(계정대체기준!$F$20:$F$49,MATCH($N1831,계정대체기준!$A$20:$A$49,0)),1)))</f>
        <v/>
      </c>
      <c r="Z1831" s="94">
        <f>IF($A1831="",0,IF(AE1831="직접",IF(AF1831="신계약비",$P1831,0),$P1831*(1-AG1831)*IFERROR(INDEX(계정대체기준!$C$20:$C$49,MATCH($N1831,계정대체기준!$A$20:$A$49,0)),0)))</f>
        <v/>
      </c>
      <c r="AA1831" s="94">
        <f>IF($A1831="",0,IF(AE1831="직접",IF(OR(AF1831="유지비",AF1831="손해조사비"),$P1831,0),$P1831*(1-AG1831)*IFERROR(INDEX(계정대체기준!$D$20:$D$49,MATCH($N1831,계정대체기준!$A$20:$A$49,0)),0)))</f>
        <v/>
      </c>
      <c r="AB1831" s="94">
        <f>IF($A1831="",0,IF(AE1831="직접",IF(AF1831="수금비",$P1831,0),$P1831*(1-AG1831)*IFERROR(INDEX(계정대체기준!$E$20:$E$49,MATCH($N1831,계정대체기준!$A$20:$A$49,0)),0)))</f>
        <v/>
      </c>
      <c r="AC1831" s="9">
        <f>IF(AND($A1831&lt;&gt;"",M1831=설정!$C$20,Z1831&gt;0),Z1831+ROW()/1000000000,"")</f>
        <v/>
      </c>
      <c r="AD1831" s="94">
        <f>IF($A1831="",0,$P1831*AG1831)</f>
        <v/>
      </c>
      <c r="AE1831" s="64">
        <f>IF($A1831="","",IFERROR(INDEX(계정매핑!$E$5:$E$504,MATCH($F1831&amp;"",계정매핑!$A$5:$A$504,0))&amp;"","공통비"))</f>
        <v/>
      </c>
      <c r="AF1831" s="64">
        <f>IF($A1831="","",IF(AE1831="직접",IFERROR(INDEX(계정매핑!$F$5:$F$504,MATCH($F1831&amp;"",계정매핑!$A$5:$A$504,0))&amp;"","비귀속"),""))</f>
        <v/>
      </c>
      <c r="AG1831" s="96">
        <f>IF($A1831="",0,IF(AND(AE1831&lt;&gt;"직접",IFERROR(INDEX(계정매핑!$G$5:$G$504,MATCH($F1831&amp;"",계정매핑!$A$5:$A$504,0))&amp;"","")="유지비",COUNTIF(계정대체기준!$A$6:$A$15,$N1831)&gt;0),IFERROR(INDEX(계정대체기준!$E$6:$E$15,MATCH(VALUE($A1831&amp;""),계정대체기준!$D$6:$D$15,0)),0),0))</f>
        <v/>
      </c>
      <c r="AH1831" s="64">
        <f>IF($A1831="","",IF(AD1831=0,"",IF(OR(COUNTIF(계정대체기준!$A$77:$A$86,$N1831)&gt;0,ISNUMBER(MATCH($X1831,계정대체기준!$D$77:$D$86,0)),ISNUMBER(MATCH($F1831,계정대체기준!$D$77:$D$86,0))),"Y","N")))</f>
        <v/>
      </c>
    </row>
    <row r="1832">
      <c r="A1832" s="92" t="n">
        <v>2025</v>
      </c>
      <c r="B1832" s="92" t="n">
        <v>9</v>
      </c>
      <c r="C1832" s="92" t="inlineStr">
        <is>
          <t>5100001828</t>
        </is>
      </c>
      <c r="D1832" s="95" t="n">
        <v>45903</v>
      </c>
      <c r="E1832" s="92" t="inlineStr">
        <is>
          <t>KR</t>
        </is>
      </c>
      <c r="F1832" s="92" t="n">
        <v>62201000</v>
      </c>
      <c r="G1832" s="92" t="n">
        <v>1801</v>
      </c>
      <c r="H1832" s="93" t="n">
        <v>3917000</v>
      </c>
      <c r="I1832" s="92" t="inlineStr">
        <is>
          <t>9월 통신요금 - P통신</t>
        </is>
      </c>
      <c r="J1832" s="92" t="inlineStr">
        <is>
          <t>V10014</t>
        </is>
      </c>
      <c r="K1832" s="92" t="inlineStr">
        <is>
          <t>P통신</t>
        </is>
      </c>
      <c r="M1832" s="9">
        <f>IF($A1832="","",VALUE($A1832&amp;"")*12+VALUE($B1832&amp;""))</f>
        <v/>
      </c>
      <c r="N1832" s="64">
        <f>IF($A1832="","",IFERROR(INDEX(부서매핑!$C$5:$C$504,MATCH($G1832&amp;"",부서매핑!$A$5:$A$504,0)),"미매핑"))</f>
        <v/>
      </c>
      <c r="O1832" s="9">
        <f>IF($A1832="","",N1832&amp;"|"&amp;$F1832)</f>
        <v/>
      </c>
      <c r="P1832" s="94">
        <f>IF($A1832="",0,$H1832*설정!$C$23)</f>
        <v/>
      </c>
      <c r="Q1832" s="64">
        <f>IF($A1832="","",IF(O1832&lt;&gt;원인분석!$C$9,"",IF(AND(M1832&gt;=원인분석!$C$10,M1832&lt;=원인분석!$C$11),"당기",IF(AND(M1832&gt;=원인분석!$C$12,M1832&lt;=원인분석!$C$13),"비교",""))))</f>
        <v/>
      </c>
      <c r="R1832" s="9">
        <f>IF(Q1832="","",$K1832&amp;"")</f>
        <v/>
      </c>
      <c r="S1832" s="9">
        <f>IF(Q1832="","",IF(MATCH(R1832,$R$5:$R$100000,0)=ROW()-4,ROW(),""))</f>
        <v/>
      </c>
      <c r="T1832" s="9">
        <f>IF(Q1832="당기",ABS(P1832)+ROW()/1000000000,"")</f>
        <v/>
      </c>
      <c r="U1832" s="9">
        <f>IF(Q1832="비교",ABS(P1832)+ROW()/1000000000,"")</f>
        <v/>
      </c>
      <c r="V1832" s="64">
        <f>IF($A1832="","",IF(COUNTIF(변동분석!$E$7:$E$506,O1832)&gt;0,"Y","N"))</f>
        <v/>
      </c>
      <c r="W1832" s="64">
        <f>IF($A1832="","",IFERROR(INDEX(계정매핑!$D$5:$D$504,MATCH($F1832&amp;"",계정매핑!$A$5:$A$504,0)),"미매핑"))</f>
        <v/>
      </c>
      <c r="X1832" s="9">
        <f>IF($A1832="","",$F1832&amp;"")</f>
        <v/>
      </c>
      <c r="Y1832" s="94">
        <f>IF($A1832="",0,IF(AE1832="직접",IF(AF1832="비귀속",$P1832,0),$P1832*(1-AG1832)*IFERROR(INDEX(계정대체기준!$F$20:$F$49,MATCH($N1832,계정대체기준!$A$20:$A$49,0)),1)))</f>
        <v/>
      </c>
      <c r="Z1832" s="94">
        <f>IF($A1832="",0,IF(AE1832="직접",IF(AF1832="신계약비",$P1832,0),$P1832*(1-AG1832)*IFERROR(INDEX(계정대체기준!$C$20:$C$49,MATCH($N1832,계정대체기준!$A$20:$A$49,0)),0)))</f>
        <v/>
      </c>
      <c r="AA1832" s="94">
        <f>IF($A1832="",0,IF(AE1832="직접",IF(OR(AF1832="유지비",AF1832="손해조사비"),$P1832,0),$P1832*(1-AG1832)*IFERROR(INDEX(계정대체기준!$D$20:$D$49,MATCH($N1832,계정대체기준!$A$20:$A$49,0)),0)))</f>
        <v/>
      </c>
      <c r="AB1832" s="94">
        <f>IF($A1832="",0,IF(AE1832="직접",IF(AF1832="수금비",$P1832,0),$P1832*(1-AG1832)*IFERROR(INDEX(계정대체기준!$E$20:$E$49,MATCH($N1832,계정대체기준!$A$20:$A$49,0)),0)))</f>
        <v/>
      </c>
      <c r="AC1832" s="9">
        <f>IF(AND($A1832&lt;&gt;"",M1832=설정!$C$20,Z1832&gt;0),Z1832+ROW()/1000000000,"")</f>
        <v/>
      </c>
      <c r="AD1832" s="94">
        <f>IF($A1832="",0,$P1832*AG1832)</f>
        <v/>
      </c>
      <c r="AE1832" s="64">
        <f>IF($A1832="","",IFERROR(INDEX(계정매핑!$E$5:$E$504,MATCH($F1832&amp;"",계정매핑!$A$5:$A$504,0))&amp;"","공통비"))</f>
        <v/>
      </c>
      <c r="AF1832" s="64">
        <f>IF($A1832="","",IF(AE1832="직접",IFERROR(INDEX(계정매핑!$F$5:$F$504,MATCH($F1832&amp;"",계정매핑!$A$5:$A$504,0))&amp;"","비귀속"),""))</f>
        <v/>
      </c>
      <c r="AG1832" s="96">
        <f>IF($A1832="",0,IF(AND(AE1832&lt;&gt;"직접",IFERROR(INDEX(계정매핑!$G$5:$G$504,MATCH($F1832&amp;"",계정매핑!$A$5:$A$504,0))&amp;"","")="유지비",COUNTIF(계정대체기준!$A$6:$A$15,$N1832)&gt;0),IFERROR(INDEX(계정대체기준!$E$6:$E$15,MATCH(VALUE($A1832&amp;""),계정대체기준!$D$6:$D$15,0)),0),0))</f>
        <v/>
      </c>
      <c r="AH1832" s="64">
        <f>IF($A1832="","",IF(AD1832=0,"",IF(OR(COUNTIF(계정대체기준!$A$77:$A$86,$N1832)&gt;0,ISNUMBER(MATCH($X1832,계정대체기준!$D$77:$D$86,0)),ISNUMBER(MATCH($F1832,계정대체기준!$D$77:$D$86,0))),"Y","N")))</f>
        <v/>
      </c>
    </row>
    <row r="1833">
      <c r="A1833" s="92" t="n">
        <v>2025</v>
      </c>
      <c r="B1833" s="92" t="n">
        <v>9</v>
      </c>
      <c r="C1833" s="92" t="inlineStr">
        <is>
          <t>5100001829</t>
        </is>
      </c>
      <c r="D1833" s="95" t="n">
        <v>45903</v>
      </c>
      <c r="E1833" s="92" t="inlineStr">
        <is>
          <t>KR</t>
        </is>
      </c>
      <c r="F1833" s="92" t="n">
        <v>62301000</v>
      </c>
      <c r="G1833" s="92" t="n">
        <v>1301</v>
      </c>
      <c r="H1833" s="93" t="n">
        <v>370000</v>
      </c>
      <c r="I1833" s="92" t="inlineStr">
        <is>
          <t>9월 소모품 구입 - R문구</t>
        </is>
      </c>
      <c r="J1833" s="92" t="inlineStr">
        <is>
          <t>V10022</t>
        </is>
      </c>
      <c r="K1833" s="92" t="inlineStr">
        <is>
          <t>R문구</t>
        </is>
      </c>
      <c r="M1833" s="9">
        <f>IF($A1833="","",VALUE($A1833&amp;"")*12+VALUE($B1833&amp;""))</f>
        <v/>
      </c>
      <c r="N1833" s="64">
        <f>IF($A1833="","",IFERROR(INDEX(부서매핑!$C$5:$C$504,MATCH($G1833&amp;"",부서매핑!$A$5:$A$504,0)),"미매핑"))</f>
        <v/>
      </c>
      <c r="O1833" s="9">
        <f>IF($A1833="","",N1833&amp;"|"&amp;$F1833)</f>
        <v/>
      </c>
      <c r="P1833" s="94">
        <f>IF($A1833="",0,$H1833*설정!$C$23)</f>
        <v/>
      </c>
      <c r="Q1833" s="64">
        <f>IF($A1833="","",IF(O1833&lt;&gt;원인분석!$C$9,"",IF(AND(M1833&gt;=원인분석!$C$10,M1833&lt;=원인분석!$C$11),"당기",IF(AND(M1833&gt;=원인분석!$C$12,M1833&lt;=원인분석!$C$13),"비교",""))))</f>
        <v/>
      </c>
      <c r="R1833" s="9">
        <f>IF(Q1833="","",$K1833&amp;"")</f>
        <v/>
      </c>
      <c r="S1833" s="9">
        <f>IF(Q1833="","",IF(MATCH(R1833,$R$5:$R$100000,0)=ROW()-4,ROW(),""))</f>
        <v/>
      </c>
      <c r="T1833" s="9">
        <f>IF(Q1833="당기",ABS(P1833)+ROW()/1000000000,"")</f>
        <v/>
      </c>
      <c r="U1833" s="9">
        <f>IF(Q1833="비교",ABS(P1833)+ROW()/1000000000,"")</f>
        <v/>
      </c>
      <c r="V1833" s="64">
        <f>IF($A1833="","",IF(COUNTIF(변동분석!$E$7:$E$506,O1833)&gt;0,"Y","N"))</f>
        <v/>
      </c>
      <c r="W1833" s="64">
        <f>IF($A1833="","",IFERROR(INDEX(계정매핑!$D$5:$D$504,MATCH($F1833&amp;"",계정매핑!$A$5:$A$504,0)),"미매핑"))</f>
        <v/>
      </c>
      <c r="X1833" s="9">
        <f>IF($A1833="","",$F1833&amp;"")</f>
        <v/>
      </c>
      <c r="Y1833" s="94">
        <f>IF($A1833="",0,IF(AE1833="직접",IF(AF1833="비귀속",$P1833,0),$P1833*(1-AG1833)*IFERROR(INDEX(계정대체기준!$F$20:$F$49,MATCH($N1833,계정대체기준!$A$20:$A$49,0)),1)))</f>
        <v/>
      </c>
      <c r="Z1833" s="94">
        <f>IF($A1833="",0,IF(AE1833="직접",IF(AF1833="신계약비",$P1833,0),$P1833*(1-AG1833)*IFERROR(INDEX(계정대체기준!$C$20:$C$49,MATCH($N1833,계정대체기준!$A$20:$A$49,0)),0)))</f>
        <v/>
      </c>
      <c r="AA1833" s="94">
        <f>IF($A1833="",0,IF(AE1833="직접",IF(OR(AF1833="유지비",AF1833="손해조사비"),$P1833,0),$P1833*(1-AG1833)*IFERROR(INDEX(계정대체기준!$D$20:$D$49,MATCH($N1833,계정대체기준!$A$20:$A$49,0)),0)))</f>
        <v/>
      </c>
      <c r="AB1833" s="94">
        <f>IF($A1833="",0,IF(AE1833="직접",IF(AF1833="수금비",$P1833,0),$P1833*(1-AG1833)*IFERROR(INDEX(계정대체기준!$E$20:$E$49,MATCH($N1833,계정대체기준!$A$20:$A$49,0)),0)))</f>
        <v/>
      </c>
      <c r="AC1833" s="9">
        <f>IF(AND($A1833&lt;&gt;"",M1833=설정!$C$20,Z1833&gt;0),Z1833+ROW()/1000000000,"")</f>
        <v/>
      </c>
      <c r="AD1833" s="94">
        <f>IF($A1833="",0,$P1833*AG1833)</f>
        <v/>
      </c>
      <c r="AE1833" s="64">
        <f>IF($A1833="","",IFERROR(INDEX(계정매핑!$E$5:$E$504,MATCH($F1833&amp;"",계정매핑!$A$5:$A$504,0))&amp;"","공통비"))</f>
        <v/>
      </c>
      <c r="AF1833" s="64">
        <f>IF($A1833="","",IF(AE1833="직접",IFERROR(INDEX(계정매핑!$F$5:$F$504,MATCH($F1833&amp;"",계정매핑!$A$5:$A$504,0))&amp;"","비귀속"),""))</f>
        <v/>
      </c>
      <c r="AG1833" s="96">
        <f>IF($A1833="",0,IF(AND(AE1833&lt;&gt;"직접",IFERROR(INDEX(계정매핑!$G$5:$G$504,MATCH($F1833&amp;"",계정매핑!$A$5:$A$504,0))&amp;"","")="유지비",COUNTIF(계정대체기준!$A$6:$A$15,$N1833)&gt;0),IFERROR(INDEX(계정대체기준!$E$6:$E$15,MATCH(VALUE($A1833&amp;""),계정대체기준!$D$6:$D$15,0)),0),0))</f>
        <v/>
      </c>
      <c r="AH1833" s="64">
        <f>IF($A1833="","",IF(AD1833=0,"",IF(OR(COUNTIF(계정대체기준!$A$77:$A$86,$N1833)&gt;0,ISNUMBER(MATCH($X1833,계정대체기준!$D$77:$D$86,0)),ISNUMBER(MATCH($F1833,계정대체기준!$D$77:$D$86,0))),"Y","N")))</f>
        <v/>
      </c>
    </row>
    <row r="1834">
      <c r="A1834" s="92" t="n">
        <v>2025</v>
      </c>
      <c r="B1834" s="92" t="n">
        <v>9</v>
      </c>
      <c r="C1834" s="92" t="inlineStr">
        <is>
          <t>5100001830</t>
        </is>
      </c>
      <c r="D1834" s="95" t="n">
        <v>45903</v>
      </c>
      <c r="E1834" s="92" t="inlineStr">
        <is>
          <t>KR</t>
        </is>
      </c>
      <c r="F1834" s="92" t="n">
        <v>62501000</v>
      </c>
      <c r="G1834" s="92" t="n">
        <v>1101</v>
      </c>
      <c r="H1834" s="93" t="n">
        <v>259000</v>
      </c>
      <c r="I1834" s="92" t="inlineStr">
        <is>
          <t>9월 회의 다과 - (법인카드)</t>
        </is>
      </c>
      <c r="J1834" s="92" t="inlineStr">
        <is>
          <t>V10010</t>
        </is>
      </c>
      <c r="K1834" s="92" t="inlineStr">
        <is>
          <t>(법인카드)</t>
        </is>
      </c>
      <c r="M1834" s="9">
        <f>IF($A1834="","",VALUE($A1834&amp;"")*12+VALUE($B1834&amp;""))</f>
        <v/>
      </c>
      <c r="N1834" s="64">
        <f>IF($A1834="","",IFERROR(INDEX(부서매핑!$C$5:$C$504,MATCH($G1834&amp;"",부서매핑!$A$5:$A$504,0)),"미매핑"))</f>
        <v/>
      </c>
      <c r="O1834" s="9">
        <f>IF($A1834="","",N1834&amp;"|"&amp;$F1834)</f>
        <v/>
      </c>
      <c r="P1834" s="94">
        <f>IF($A1834="",0,$H1834*설정!$C$23)</f>
        <v/>
      </c>
      <c r="Q1834" s="64">
        <f>IF($A1834="","",IF(O1834&lt;&gt;원인분석!$C$9,"",IF(AND(M1834&gt;=원인분석!$C$10,M1834&lt;=원인분석!$C$11),"당기",IF(AND(M1834&gt;=원인분석!$C$12,M1834&lt;=원인분석!$C$13),"비교",""))))</f>
        <v/>
      </c>
      <c r="R1834" s="9">
        <f>IF(Q1834="","",$K1834&amp;"")</f>
        <v/>
      </c>
      <c r="S1834" s="9">
        <f>IF(Q1834="","",IF(MATCH(R1834,$R$5:$R$100000,0)=ROW()-4,ROW(),""))</f>
        <v/>
      </c>
      <c r="T1834" s="9">
        <f>IF(Q1834="당기",ABS(P1834)+ROW()/1000000000,"")</f>
        <v/>
      </c>
      <c r="U1834" s="9">
        <f>IF(Q1834="비교",ABS(P1834)+ROW()/1000000000,"")</f>
        <v/>
      </c>
      <c r="V1834" s="64">
        <f>IF($A1834="","",IF(COUNTIF(변동분석!$E$7:$E$506,O1834)&gt;0,"Y","N"))</f>
        <v/>
      </c>
      <c r="W1834" s="64">
        <f>IF($A1834="","",IFERROR(INDEX(계정매핑!$D$5:$D$504,MATCH($F1834&amp;"",계정매핑!$A$5:$A$504,0)),"미매핑"))</f>
        <v/>
      </c>
      <c r="X1834" s="9">
        <f>IF($A1834="","",$F1834&amp;"")</f>
        <v/>
      </c>
      <c r="Y1834" s="94">
        <f>IF($A1834="",0,IF(AE1834="직접",IF(AF1834="비귀속",$P1834,0),$P1834*(1-AG1834)*IFERROR(INDEX(계정대체기준!$F$20:$F$49,MATCH($N1834,계정대체기준!$A$20:$A$49,0)),1)))</f>
        <v/>
      </c>
      <c r="Z1834" s="94">
        <f>IF($A1834="",0,IF(AE1834="직접",IF(AF1834="신계약비",$P1834,0),$P1834*(1-AG1834)*IFERROR(INDEX(계정대체기준!$C$20:$C$49,MATCH($N1834,계정대체기준!$A$20:$A$49,0)),0)))</f>
        <v/>
      </c>
      <c r="AA1834" s="94">
        <f>IF($A1834="",0,IF(AE1834="직접",IF(OR(AF1834="유지비",AF1834="손해조사비"),$P1834,0),$P1834*(1-AG1834)*IFERROR(INDEX(계정대체기준!$D$20:$D$49,MATCH($N1834,계정대체기준!$A$20:$A$49,0)),0)))</f>
        <v/>
      </c>
      <c r="AB1834" s="94">
        <f>IF($A1834="",0,IF(AE1834="직접",IF(AF1834="수금비",$P1834,0),$P1834*(1-AG1834)*IFERROR(INDEX(계정대체기준!$E$20:$E$49,MATCH($N1834,계정대체기준!$A$20:$A$49,0)),0)))</f>
        <v/>
      </c>
      <c r="AC1834" s="9">
        <f>IF(AND($A1834&lt;&gt;"",M1834=설정!$C$20,Z1834&gt;0),Z1834+ROW()/1000000000,"")</f>
        <v/>
      </c>
      <c r="AD1834" s="94">
        <f>IF($A1834="",0,$P1834*AG1834)</f>
        <v/>
      </c>
      <c r="AE1834" s="64">
        <f>IF($A1834="","",IFERROR(INDEX(계정매핑!$E$5:$E$504,MATCH($F1834&amp;"",계정매핑!$A$5:$A$504,0))&amp;"","공통비"))</f>
        <v/>
      </c>
      <c r="AF1834" s="64">
        <f>IF($A1834="","",IF(AE1834="직접",IFERROR(INDEX(계정매핑!$F$5:$F$504,MATCH($F1834&amp;"",계정매핑!$A$5:$A$504,0))&amp;"","비귀속"),""))</f>
        <v/>
      </c>
      <c r="AG1834" s="96">
        <f>IF($A1834="",0,IF(AND(AE1834&lt;&gt;"직접",IFERROR(INDEX(계정매핑!$G$5:$G$504,MATCH($F1834&amp;"",계정매핑!$A$5:$A$504,0))&amp;"","")="유지비",COUNTIF(계정대체기준!$A$6:$A$15,$N1834)&gt;0),IFERROR(INDEX(계정대체기준!$E$6:$E$15,MATCH(VALUE($A1834&amp;""),계정대체기준!$D$6:$D$15,0)),0),0))</f>
        <v/>
      </c>
      <c r="AH1834" s="64">
        <f>IF($A1834="","",IF(AD1834=0,"",IF(OR(COUNTIF(계정대체기준!$A$77:$A$86,$N1834)&gt;0,ISNUMBER(MATCH($X1834,계정대체기준!$D$77:$D$86,0)),ISNUMBER(MATCH($F1834,계정대체기준!$D$77:$D$86,0))),"Y","N")))</f>
        <v/>
      </c>
    </row>
    <row r="1835">
      <c r="A1835" s="92" t="n">
        <v>2025</v>
      </c>
      <c r="B1835" s="92" t="n">
        <v>9</v>
      </c>
      <c r="C1835" s="92" t="inlineStr">
        <is>
          <t>5100001831</t>
        </is>
      </c>
      <c r="D1835" s="95" t="n">
        <v>45903</v>
      </c>
      <c r="E1835" s="92" t="inlineStr">
        <is>
          <t>KR</t>
        </is>
      </c>
      <c r="F1835" s="92" t="n">
        <v>62601000</v>
      </c>
      <c r="G1835" s="92" t="n">
        <v>1601</v>
      </c>
      <c r="H1835" s="93" t="n">
        <v>2994000</v>
      </c>
      <c r="I1835" s="92" t="inlineStr">
        <is>
          <t>9월 업무추진 - (법인카드)</t>
        </is>
      </c>
      <c r="J1835" s="92" t="inlineStr">
        <is>
          <t>V10010</t>
        </is>
      </c>
      <c r="K1835" s="92" t="inlineStr">
        <is>
          <t>(법인카드)</t>
        </is>
      </c>
      <c r="M1835" s="9">
        <f>IF($A1835="","",VALUE($A1835&amp;"")*12+VALUE($B1835&amp;""))</f>
        <v/>
      </c>
      <c r="N1835" s="64">
        <f>IF($A1835="","",IFERROR(INDEX(부서매핑!$C$5:$C$504,MATCH($G1835&amp;"",부서매핑!$A$5:$A$504,0)),"미매핑"))</f>
        <v/>
      </c>
      <c r="O1835" s="9">
        <f>IF($A1835="","",N1835&amp;"|"&amp;$F1835)</f>
        <v/>
      </c>
      <c r="P1835" s="94">
        <f>IF($A1835="",0,$H1835*설정!$C$23)</f>
        <v/>
      </c>
      <c r="Q1835" s="64">
        <f>IF($A1835="","",IF(O1835&lt;&gt;원인분석!$C$9,"",IF(AND(M1835&gt;=원인분석!$C$10,M1835&lt;=원인분석!$C$11),"당기",IF(AND(M1835&gt;=원인분석!$C$12,M1835&lt;=원인분석!$C$13),"비교",""))))</f>
        <v/>
      </c>
      <c r="R1835" s="9">
        <f>IF(Q1835="","",$K1835&amp;"")</f>
        <v/>
      </c>
      <c r="S1835" s="9">
        <f>IF(Q1835="","",IF(MATCH(R1835,$R$5:$R$100000,0)=ROW()-4,ROW(),""))</f>
        <v/>
      </c>
      <c r="T1835" s="9">
        <f>IF(Q1835="당기",ABS(P1835)+ROW()/1000000000,"")</f>
        <v/>
      </c>
      <c r="U1835" s="9">
        <f>IF(Q1835="비교",ABS(P1835)+ROW()/1000000000,"")</f>
        <v/>
      </c>
      <c r="V1835" s="64">
        <f>IF($A1835="","",IF(COUNTIF(변동분석!$E$7:$E$506,O1835)&gt;0,"Y","N"))</f>
        <v/>
      </c>
      <c r="W1835" s="64">
        <f>IF($A1835="","",IFERROR(INDEX(계정매핑!$D$5:$D$504,MATCH($F1835&amp;"",계정매핑!$A$5:$A$504,0)),"미매핑"))</f>
        <v/>
      </c>
      <c r="X1835" s="9">
        <f>IF($A1835="","",$F1835&amp;"")</f>
        <v/>
      </c>
      <c r="Y1835" s="94">
        <f>IF($A1835="",0,IF(AE1835="직접",IF(AF1835="비귀속",$P1835,0),$P1835*(1-AG1835)*IFERROR(INDEX(계정대체기준!$F$20:$F$49,MATCH($N1835,계정대체기준!$A$20:$A$49,0)),1)))</f>
        <v/>
      </c>
      <c r="Z1835" s="94">
        <f>IF($A1835="",0,IF(AE1835="직접",IF(AF1835="신계약비",$P1835,0),$P1835*(1-AG1835)*IFERROR(INDEX(계정대체기준!$C$20:$C$49,MATCH($N1835,계정대체기준!$A$20:$A$49,0)),0)))</f>
        <v/>
      </c>
      <c r="AA1835" s="94">
        <f>IF($A1835="",0,IF(AE1835="직접",IF(OR(AF1835="유지비",AF1835="손해조사비"),$P1835,0),$P1835*(1-AG1835)*IFERROR(INDEX(계정대체기준!$D$20:$D$49,MATCH($N1835,계정대체기준!$A$20:$A$49,0)),0)))</f>
        <v/>
      </c>
      <c r="AB1835" s="94">
        <f>IF($A1835="",0,IF(AE1835="직접",IF(AF1835="수금비",$P1835,0),$P1835*(1-AG1835)*IFERROR(INDEX(계정대체기준!$E$20:$E$49,MATCH($N1835,계정대체기준!$A$20:$A$49,0)),0)))</f>
        <v/>
      </c>
      <c r="AC1835" s="9">
        <f>IF(AND($A1835&lt;&gt;"",M1835=설정!$C$20,Z1835&gt;0),Z1835+ROW()/1000000000,"")</f>
        <v/>
      </c>
      <c r="AD1835" s="94">
        <f>IF($A1835="",0,$P1835*AG1835)</f>
        <v/>
      </c>
      <c r="AE1835" s="64">
        <f>IF($A1835="","",IFERROR(INDEX(계정매핑!$E$5:$E$504,MATCH($F1835&amp;"",계정매핑!$A$5:$A$504,0))&amp;"","공통비"))</f>
        <v/>
      </c>
      <c r="AF1835" s="64">
        <f>IF($A1835="","",IF(AE1835="직접",IFERROR(INDEX(계정매핑!$F$5:$F$504,MATCH($F1835&amp;"",계정매핑!$A$5:$A$504,0))&amp;"","비귀속"),""))</f>
        <v/>
      </c>
      <c r="AG1835" s="96">
        <f>IF($A1835="",0,IF(AND(AE1835&lt;&gt;"직접",IFERROR(INDEX(계정매핑!$G$5:$G$504,MATCH($F1835&amp;"",계정매핑!$A$5:$A$504,0))&amp;"","")="유지비",COUNTIF(계정대체기준!$A$6:$A$15,$N1835)&gt;0),IFERROR(INDEX(계정대체기준!$E$6:$E$15,MATCH(VALUE($A1835&amp;""),계정대체기준!$D$6:$D$15,0)),0),0))</f>
        <v/>
      </c>
      <c r="AH1835" s="64">
        <f>IF($A1835="","",IF(AD1835=0,"",IF(OR(COUNTIF(계정대체기준!$A$77:$A$86,$N1835)&gt;0,ISNUMBER(MATCH($X1835,계정대체기준!$D$77:$D$86,0)),ISNUMBER(MATCH($F1835,계정대체기준!$D$77:$D$86,0))),"Y","N")))</f>
        <v/>
      </c>
    </row>
    <row r="1836">
      <c r="A1836" s="92" t="n">
        <v>2025</v>
      </c>
      <c r="B1836" s="92" t="n">
        <v>9</v>
      </c>
      <c r="C1836" s="92" t="inlineStr">
        <is>
          <t>5100001832</t>
        </is>
      </c>
      <c r="D1836" s="95" t="n">
        <v>45903</v>
      </c>
      <c r="E1836" s="92" t="inlineStr">
        <is>
          <t>KR</t>
        </is>
      </c>
      <c r="F1836" s="92" t="n">
        <v>62902000</v>
      </c>
      <c r="G1836" s="92" t="n">
        <v>1101</v>
      </c>
      <c r="H1836" s="93" t="n">
        <v>2434000</v>
      </c>
      <c r="I1836" s="92" t="inlineStr">
        <is>
          <t>9월 업무 위탁 수수료 - X서비스</t>
        </is>
      </c>
      <c r="J1836" s="92" t="inlineStr">
        <is>
          <t>V10020</t>
        </is>
      </c>
      <c r="K1836" s="92" t="inlineStr">
        <is>
          <t>X서비스</t>
        </is>
      </c>
      <c r="M1836" s="9">
        <f>IF($A1836="","",VALUE($A1836&amp;"")*12+VALUE($B1836&amp;""))</f>
        <v/>
      </c>
      <c r="N1836" s="64">
        <f>IF($A1836="","",IFERROR(INDEX(부서매핑!$C$5:$C$504,MATCH($G1836&amp;"",부서매핑!$A$5:$A$504,0)),"미매핑"))</f>
        <v/>
      </c>
      <c r="O1836" s="9">
        <f>IF($A1836="","",N1836&amp;"|"&amp;$F1836)</f>
        <v/>
      </c>
      <c r="P1836" s="94">
        <f>IF($A1836="",0,$H1836*설정!$C$23)</f>
        <v/>
      </c>
      <c r="Q1836" s="64">
        <f>IF($A1836="","",IF(O1836&lt;&gt;원인분석!$C$9,"",IF(AND(M1836&gt;=원인분석!$C$10,M1836&lt;=원인분석!$C$11),"당기",IF(AND(M1836&gt;=원인분석!$C$12,M1836&lt;=원인분석!$C$13),"비교",""))))</f>
        <v/>
      </c>
      <c r="R1836" s="9">
        <f>IF(Q1836="","",$K1836&amp;"")</f>
        <v/>
      </c>
      <c r="S1836" s="9">
        <f>IF(Q1836="","",IF(MATCH(R1836,$R$5:$R$100000,0)=ROW()-4,ROW(),""))</f>
        <v/>
      </c>
      <c r="T1836" s="9">
        <f>IF(Q1836="당기",ABS(P1836)+ROW()/1000000000,"")</f>
        <v/>
      </c>
      <c r="U1836" s="9">
        <f>IF(Q1836="비교",ABS(P1836)+ROW()/1000000000,"")</f>
        <v/>
      </c>
      <c r="V1836" s="64">
        <f>IF($A1836="","",IF(COUNTIF(변동분석!$E$7:$E$506,O1836)&gt;0,"Y","N"))</f>
        <v/>
      </c>
      <c r="W1836" s="64">
        <f>IF($A1836="","",IFERROR(INDEX(계정매핑!$D$5:$D$504,MATCH($F1836&amp;"",계정매핑!$A$5:$A$504,0)),"미매핑"))</f>
        <v/>
      </c>
      <c r="X1836" s="9">
        <f>IF($A1836="","",$F1836&amp;"")</f>
        <v/>
      </c>
      <c r="Y1836" s="94">
        <f>IF($A1836="",0,IF(AE1836="직접",IF(AF1836="비귀속",$P1836,0),$P1836*(1-AG1836)*IFERROR(INDEX(계정대체기준!$F$20:$F$49,MATCH($N1836,계정대체기준!$A$20:$A$49,0)),1)))</f>
        <v/>
      </c>
      <c r="Z1836" s="94">
        <f>IF($A1836="",0,IF(AE1836="직접",IF(AF1836="신계약비",$P1836,0),$P1836*(1-AG1836)*IFERROR(INDEX(계정대체기준!$C$20:$C$49,MATCH($N1836,계정대체기준!$A$20:$A$49,0)),0)))</f>
        <v/>
      </c>
      <c r="AA1836" s="94">
        <f>IF($A1836="",0,IF(AE1836="직접",IF(OR(AF1836="유지비",AF1836="손해조사비"),$P1836,0),$P1836*(1-AG1836)*IFERROR(INDEX(계정대체기준!$D$20:$D$49,MATCH($N1836,계정대체기준!$A$20:$A$49,0)),0)))</f>
        <v/>
      </c>
      <c r="AB1836" s="94">
        <f>IF($A1836="",0,IF(AE1836="직접",IF(AF1836="수금비",$P1836,0),$P1836*(1-AG1836)*IFERROR(INDEX(계정대체기준!$E$20:$E$49,MATCH($N1836,계정대체기준!$A$20:$A$49,0)),0)))</f>
        <v/>
      </c>
      <c r="AC1836" s="9">
        <f>IF(AND($A1836&lt;&gt;"",M1836=설정!$C$20,Z1836&gt;0),Z1836+ROW()/1000000000,"")</f>
        <v/>
      </c>
      <c r="AD1836" s="94">
        <f>IF($A1836="",0,$P1836*AG1836)</f>
        <v/>
      </c>
      <c r="AE1836" s="64">
        <f>IF($A1836="","",IFERROR(INDEX(계정매핑!$E$5:$E$504,MATCH($F1836&amp;"",계정매핑!$A$5:$A$504,0))&amp;"","공통비"))</f>
        <v/>
      </c>
      <c r="AF1836" s="64">
        <f>IF($A1836="","",IF(AE1836="직접",IFERROR(INDEX(계정매핑!$F$5:$F$504,MATCH($F1836&amp;"",계정매핑!$A$5:$A$504,0))&amp;"","비귀속"),""))</f>
        <v/>
      </c>
      <c r="AG1836" s="96">
        <f>IF($A1836="",0,IF(AND(AE1836&lt;&gt;"직접",IFERROR(INDEX(계정매핑!$G$5:$G$504,MATCH($F1836&amp;"",계정매핑!$A$5:$A$504,0))&amp;"","")="유지비",COUNTIF(계정대체기준!$A$6:$A$15,$N1836)&gt;0),IFERROR(INDEX(계정대체기준!$E$6:$E$15,MATCH(VALUE($A1836&amp;""),계정대체기준!$D$6:$D$15,0)),0),0))</f>
        <v/>
      </c>
      <c r="AH1836" s="64">
        <f>IF($A1836="","",IF(AD1836=0,"",IF(OR(COUNTIF(계정대체기준!$A$77:$A$86,$N1836)&gt;0,ISNUMBER(MATCH($X1836,계정대체기준!$D$77:$D$86,0)),ISNUMBER(MATCH($F1836,계정대체기준!$D$77:$D$86,0))),"Y","N")))</f>
        <v/>
      </c>
    </row>
    <row r="1837">
      <c r="A1837" s="92" t="n">
        <v>2025</v>
      </c>
      <c r="B1837" s="92" t="n">
        <v>9</v>
      </c>
      <c r="C1837" s="92" t="inlineStr">
        <is>
          <t>5100001833</t>
        </is>
      </c>
      <c r="D1837" s="95" t="n">
        <v>45903</v>
      </c>
      <c r="E1837" s="92" t="inlineStr">
        <is>
          <t>KR</t>
        </is>
      </c>
      <c r="F1837" s="92" t="n">
        <v>63601000</v>
      </c>
      <c r="G1837" s="92" t="n">
        <v>1801</v>
      </c>
      <c r="H1837" s="93" t="n">
        <v>6942000</v>
      </c>
      <c r="I1837" s="92" t="inlineStr">
        <is>
          <t>9월 손해사정 수수료 - DD손해사정</t>
        </is>
      </c>
      <c r="J1837" s="92" t="inlineStr">
        <is>
          <t>V10032</t>
        </is>
      </c>
      <c r="K1837" s="92" t="inlineStr">
        <is>
          <t>DD손해사정</t>
        </is>
      </c>
      <c r="M1837" s="9">
        <f>IF($A1837="","",VALUE($A1837&amp;"")*12+VALUE($B1837&amp;""))</f>
        <v/>
      </c>
      <c r="N1837" s="64">
        <f>IF($A1837="","",IFERROR(INDEX(부서매핑!$C$5:$C$504,MATCH($G1837&amp;"",부서매핑!$A$5:$A$504,0)),"미매핑"))</f>
        <v/>
      </c>
      <c r="O1837" s="9">
        <f>IF($A1837="","",N1837&amp;"|"&amp;$F1837)</f>
        <v/>
      </c>
      <c r="P1837" s="94">
        <f>IF($A1837="",0,$H1837*설정!$C$23)</f>
        <v/>
      </c>
      <c r="Q1837" s="64">
        <f>IF($A1837="","",IF(O1837&lt;&gt;원인분석!$C$9,"",IF(AND(M1837&gt;=원인분석!$C$10,M1837&lt;=원인분석!$C$11),"당기",IF(AND(M1837&gt;=원인분석!$C$12,M1837&lt;=원인분석!$C$13),"비교",""))))</f>
        <v/>
      </c>
      <c r="R1837" s="9">
        <f>IF(Q1837="","",$K1837&amp;"")</f>
        <v/>
      </c>
      <c r="S1837" s="9">
        <f>IF(Q1837="","",IF(MATCH(R1837,$R$5:$R$100000,0)=ROW()-4,ROW(),""))</f>
        <v/>
      </c>
      <c r="T1837" s="9">
        <f>IF(Q1837="당기",ABS(P1837)+ROW()/1000000000,"")</f>
        <v/>
      </c>
      <c r="U1837" s="9">
        <f>IF(Q1837="비교",ABS(P1837)+ROW()/1000000000,"")</f>
        <v/>
      </c>
      <c r="V1837" s="64">
        <f>IF($A1837="","",IF(COUNTIF(변동분석!$E$7:$E$506,O1837)&gt;0,"Y","N"))</f>
        <v/>
      </c>
      <c r="W1837" s="64">
        <f>IF($A1837="","",IFERROR(INDEX(계정매핑!$D$5:$D$504,MATCH($F1837&amp;"",계정매핑!$A$5:$A$504,0)),"미매핑"))</f>
        <v/>
      </c>
      <c r="X1837" s="9">
        <f>IF($A1837="","",$F1837&amp;"")</f>
        <v/>
      </c>
      <c r="Y1837" s="94">
        <f>IF($A1837="",0,IF(AE1837="직접",IF(AF1837="비귀속",$P1837,0),$P1837*(1-AG1837)*IFERROR(INDEX(계정대체기준!$F$20:$F$49,MATCH($N1837,계정대체기준!$A$20:$A$49,0)),1)))</f>
        <v/>
      </c>
      <c r="Z1837" s="94">
        <f>IF($A1837="",0,IF(AE1837="직접",IF(AF1837="신계약비",$P1837,0),$P1837*(1-AG1837)*IFERROR(INDEX(계정대체기준!$C$20:$C$49,MATCH($N1837,계정대체기준!$A$20:$A$49,0)),0)))</f>
        <v/>
      </c>
      <c r="AA1837" s="94">
        <f>IF($A1837="",0,IF(AE1837="직접",IF(OR(AF1837="유지비",AF1837="손해조사비"),$P1837,0),$P1837*(1-AG1837)*IFERROR(INDEX(계정대체기준!$D$20:$D$49,MATCH($N1837,계정대체기준!$A$20:$A$49,0)),0)))</f>
        <v/>
      </c>
      <c r="AB1837" s="94">
        <f>IF($A1837="",0,IF(AE1837="직접",IF(AF1837="수금비",$P1837,0),$P1837*(1-AG1837)*IFERROR(INDEX(계정대체기준!$E$20:$E$49,MATCH($N1837,계정대체기준!$A$20:$A$49,0)),0)))</f>
        <v/>
      </c>
      <c r="AC1837" s="9">
        <f>IF(AND($A1837&lt;&gt;"",M1837=설정!$C$20,Z1837&gt;0),Z1837+ROW()/1000000000,"")</f>
        <v/>
      </c>
      <c r="AD1837" s="94">
        <f>IF($A1837="",0,$P1837*AG1837)</f>
        <v/>
      </c>
      <c r="AE1837" s="64">
        <f>IF($A1837="","",IFERROR(INDEX(계정매핑!$E$5:$E$504,MATCH($F1837&amp;"",계정매핑!$A$5:$A$504,0))&amp;"","공통비"))</f>
        <v/>
      </c>
      <c r="AF1837" s="64">
        <f>IF($A1837="","",IF(AE1837="직접",IFERROR(INDEX(계정매핑!$F$5:$F$504,MATCH($F1837&amp;"",계정매핑!$A$5:$A$504,0))&amp;"","비귀속"),""))</f>
        <v/>
      </c>
      <c r="AG1837" s="96">
        <f>IF($A1837="",0,IF(AND(AE1837&lt;&gt;"직접",IFERROR(INDEX(계정매핑!$G$5:$G$504,MATCH($F1837&amp;"",계정매핑!$A$5:$A$504,0))&amp;"","")="유지비",COUNTIF(계정대체기준!$A$6:$A$15,$N1837)&gt;0),IFERROR(INDEX(계정대체기준!$E$6:$E$15,MATCH(VALUE($A1837&amp;""),계정대체기준!$D$6:$D$15,0)),0),0))</f>
        <v/>
      </c>
      <c r="AH1837" s="64">
        <f>IF($A1837="","",IF(AD1837=0,"",IF(OR(COUNTIF(계정대체기준!$A$77:$A$86,$N1837)&gt;0,ISNUMBER(MATCH($X1837,계정대체기준!$D$77:$D$86,0)),ISNUMBER(MATCH($F1837,계정대체기준!$D$77:$D$86,0))),"Y","N")))</f>
        <v/>
      </c>
    </row>
    <row r="1838">
      <c r="A1838" s="92" t="n">
        <v>2025</v>
      </c>
      <c r="B1838" s="92" t="n">
        <v>9</v>
      </c>
      <c r="C1838" s="92" t="inlineStr">
        <is>
          <t>5100001834</t>
        </is>
      </c>
      <c r="D1838" s="95" t="n">
        <v>45904</v>
      </c>
      <c r="E1838" s="92" t="inlineStr">
        <is>
          <t>KR</t>
        </is>
      </c>
      <c r="F1838" s="92" t="n">
        <v>62101000</v>
      </c>
      <c r="G1838" s="92" t="n">
        <v>1801</v>
      </c>
      <c r="H1838" s="93" t="n">
        <v>179000</v>
      </c>
      <c r="I1838" s="92" t="inlineStr">
        <is>
          <t>9월 국내출장 - L여행사</t>
        </is>
      </c>
      <c r="J1838" s="92" t="inlineStr">
        <is>
          <t>V10018</t>
        </is>
      </c>
      <c r="K1838" s="92" t="inlineStr">
        <is>
          <t>L여행사</t>
        </is>
      </c>
      <c r="M1838" s="9">
        <f>IF($A1838="","",VALUE($A1838&amp;"")*12+VALUE($B1838&amp;""))</f>
        <v/>
      </c>
      <c r="N1838" s="64">
        <f>IF($A1838="","",IFERROR(INDEX(부서매핑!$C$5:$C$504,MATCH($G1838&amp;"",부서매핑!$A$5:$A$504,0)),"미매핑"))</f>
        <v/>
      </c>
      <c r="O1838" s="9">
        <f>IF($A1838="","",N1838&amp;"|"&amp;$F1838)</f>
        <v/>
      </c>
      <c r="P1838" s="94">
        <f>IF($A1838="",0,$H1838*설정!$C$23)</f>
        <v/>
      </c>
      <c r="Q1838" s="64">
        <f>IF($A1838="","",IF(O1838&lt;&gt;원인분석!$C$9,"",IF(AND(M1838&gt;=원인분석!$C$10,M1838&lt;=원인분석!$C$11),"당기",IF(AND(M1838&gt;=원인분석!$C$12,M1838&lt;=원인분석!$C$13),"비교",""))))</f>
        <v/>
      </c>
      <c r="R1838" s="9">
        <f>IF(Q1838="","",$K1838&amp;"")</f>
        <v/>
      </c>
      <c r="S1838" s="9">
        <f>IF(Q1838="","",IF(MATCH(R1838,$R$5:$R$100000,0)=ROW()-4,ROW(),""))</f>
        <v/>
      </c>
      <c r="T1838" s="9">
        <f>IF(Q1838="당기",ABS(P1838)+ROW()/1000000000,"")</f>
        <v/>
      </c>
      <c r="U1838" s="9">
        <f>IF(Q1838="비교",ABS(P1838)+ROW()/1000000000,"")</f>
        <v/>
      </c>
      <c r="V1838" s="64">
        <f>IF($A1838="","",IF(COUNTIF(변동분석!$E$7:$E$506,O1838)&gt;0,"Y","N"))</f>
        <v/>
      </c>
      <c r="W1838" s="64">
        <f>IF($A1838="","",IFERROR(INDEX(계정매핑!$D$5:$D$504,MATCH($F1838&amp;"",계정매핑!$A$5:$A$504,0)),"미매핑"))</f>
        <v/>
      </c>
      <c r="X1838" s="9">
        <f>IF($A1838="","",$F1838&amp;"")</f>
        <v/>
      </c>
      <c r="Y1838" s="94">
        <f>IF($A1838="",0,IF(AE1838="직접",IF(AF1838="비귀속",$P1838,0),$P1838*(1-AG1838)*IFERROR(INDEX(계정대체기준!$F$20:$F$49,MATCH($N1838,계정대체기준!$A$20:$A$49,0)),1)))</f>
        <v/>
      </c>
      <c r="Z1838" s="94">
        <f>IF($A1838="",0,IF(AE1838="직접",IF(AF1838="신계약비",$P1838,0),$P1838*(1-AG1838)*IFERROR(INDEX(계정대체기준!$C$20:$C$49,MATCH($N1838,계정대체기준!$A$20:$A$49,0)),0)))</f>
        <v/>
      </c>
      <c r="AA1838" s="94">
        <f>IF($A1838="",0,IF(AE1838="직접",IF(OR(AF1838="유지비",AF1838="손해조사비"),$P1838,0),$P1838*(1-AG1838)*IFERROR(INDEX(계정대체기준!$D$20:$D$49,MATCH($N1838,계정대체기준!$A$20:$A$49,0)),0)))</f>
        <v/>
      </c>
      <c r="AB1838" s="94">
        <f>IF($A1838="",0,IF(AE1838="직접",IF(AF1838="수금비",$P1838,0),$P1838*(1-AG1838)*IFERROR(INDEX(계정대체기준!$E$20:$E$49,MATCH($N1838,계정대체기준!$A$20:$A$49,0)),0)))</f>
        <v/>
      </c>
      <c r="AC1838" s="9">
        <f>IF(AND($A1838&lt;&gt;"",M1838=설정!$C$20,Z1838&gt;0),Z1838+ROW()/1000000000,"")</f>
        <v/>
      </c>
      <c r="AD1838" s="94">
        <f>IF($A1838="",0,$P1838*AG1838)</f>
        <v/>
      </c>
      <c r="AE1838" s="64">
        <f>IF($A1838="","",IFERROR(INDEX(계정매핑!$E$5:$E$504,MATCH($F1838&amp;"",계정매핑!$A$5:$A$504,0))&amp;"","공통비"))</f>
        <v/>
      </c>
      <c r="AF1838" s="64">
        <f>IF($A1838="","",IF(AE1838="직접",IFERROR(INDEX(계정매핑!$F$5:$F$504,MATCH($F1838&amp;"",계정매핑!$A$5:$A$504,0))&amp;"","비귀속"),""))</f>
        <v/>
      </c>
      <c r="AG1838" s="96">
        <f>IF($A1838="",0,IF(AND(AE1838&lt;&gt;"직접",IFERROR(INDEX(계정매핑!$G$5:$G$504,MATCH($F1838&amp;"",계정매핑!$A$5:$A$504,0))&amp;"","")="유지비",COUNTIF(계정대체기준!$A$6:$A$15,$N1838)&gt;0),IFERROR(INDEX(계정대체기준!$E$6:$E$15,MATCH(VALUE($A1838&amp;""),계정대체기준!$D$6:$D$15,0)),0),0))</f>
        <v/>
      </c>
      <c r="AH1838" s="64">
        <f>IF($A1838="","",IF(AD1838=0,"",IF(OR(COUNTIF(계정대체기준!$A$77:$A$86,$N1838)&gt;0,ISNUMBER(MATCH($X1838,계정대체기준!$D$77:$D$86,0)),ISNUMBER(MATCH($F1838,계정대체기준!$D$77:$D$86,0))),"Y","N")))</f>
        <v/>
      </c>
    </row>
    <row r="1839">
      <c r="A1839" s="92" t="n">
        <v>2025</v>
      </c>
      <c r="B1839" s="92" t="n">
        <v>9</v>
      </c>
      <c r="C1839" s="92" t="inlineStr">
        <is>
          <t>5100001835</t>
        </is>
      </c>
      <c r="D1839" s="95" t="n">
        <v>45904</v>
      </c>
      <c r="E1839" s="92" t="inlineStr">
        <is>
          <t>KR</t>
        </is>
      </c>
      <c r="F1839" s="92" t="n">
        <v>62101000</v>
      </c>
      <c r="G1839" s="92" t="n">
        <v>1801</v>
      </c>
      <c r="H1839" s="93" t="n">
        <v>203000</v>
      </c>
      <c r="I1839" s="92" t="inlineStr">
        <is>
          <t>9월 국내출장 - M항공</t>
        </is>
      </c>
      <c r="J1839" s="92" t="inlineStr">
        <is>
          <t>V10001</t>
        </is>
      </c>
      <c r="K1839" s="92" t="inlineStr">
        <is>
          <t>M항공</t>
        </is>
      </c>
      <c r="M1839" s="9">
        <f>IF($A1839="","",VALUE($A1839&amp;"")*12+VALUE($B1839&amp;""))</f>
        <v/>
      </c>
      <c r="N1839" s="64">
        <f>IF($A1839="","",IFERROR(INDEX(부서매핑!$C$5:$C$504,MATCH($G1839&amp;"",부서매핑!$A$5:$A$504,0)),"미매핑"))</f>
        <v/>
      </c>
      <c r="O1839" s="9">
        <f>IF($A1839="","",N1839&amp;"|"&amp;$F1839)</f>
        <v/>
      </c>
      <c r="P1839" s="94">
        <f>IF($A1839="",0,$H1839*설정!$C$23)</f>
        <v/>
      </c>
      <c r="Q1839" s="64">
        <f>IF($A1839="","",IF(O1839&lt;&gt;원인분석!$C$9,"",IF(AND(M1839&gt;=원인분석!$C$10,M1839&lt;=원인분석!$C$11),"당기",IF(AND(M1839&gt;=원인분석!$C$12,M1839&lt;=원인분석!$C$13),"비교",""))))</f>
        <v/>
      </c>
      <c r="R1839" s="9">
        <f>IF(Q1839="","",$K1839&amp;"")</f>
        <v/>
      </c>
      <c r="S1839" s="9">
        <f>IF(Q1839="","",IF(MATCH(R1839,$R$5:$R$100000,0)=ROW()-4,ROW(),""))</f>
        <v/>
      </c>
      <c r="T1839" s="9">
        <f>IF(Q1839="당기",ABS(P1839)+ROW()/1000000000,"")</f>
        <v/>
      </c>
      <c r="U1839" s="9">
        <f>IF(Q1839="비교",ABS(P1839)+ROW()/1000000000,"")</f>
        <v/>
      </c>
      <c r="V1839" s="64">
        <f>IF($A1839="","",IF(COUNTIF(변동분석!$E$7:$E$506,O1839)&gt;0,"Y","N"))</f>
        <v/>
      </c>
      <c r="W1839" s="64">
        <f>IF($A1839="","",IFERROR(INDEX(계정매핑!$D$5:$D$504,MATCH($F1839&amp;"",계정매핑!$A$5:$A$504,0)),"미매핑"))</f>
        <v/>
      </c>
      <c r="X1839" s="9">
        <f>IF($A1839="","",$F1839&amp;"")</f>
        <v/>
      </c>
      <c r="Y1839" s="94">
        <f>IF($A1839="",0,IF(AE1839="직접",IF(AF1839="비귀속",$P1839,0),$P1839*(1-AG1839)*IFERROR(INDEX(계정대체기준!$F$20:$F$49,MATCH($N1839,계정대체기준!$A$20:$A$49,0)),1)))</f>
        <v/>
      </c>
      <c r="Z1839" s="94">
        <f>IF($A1839="",0,IF(AE1839="직접",IF(AF1839="신계약비",$P1839,0),$P1839*(1-AG1839)*IFERROR(INDEX(계정대체기준!$C$20:$C$49,MATCH($N1839,계정대체기준!$A$20:$A$49,0)),0)))</f>
        <v/>
      </c>
      <c r="AA1839" s="94">
        <f>IF($A1839="",0,IF(AE1839="직접",IF(OR(AF1839="유지비",AF1839="손해조사비"),$P1839,0),$P1839*(1-AG1839)*IFERROR(INDEX(계정대체기준!$D$20:$D$49,MATCH($N1839,계정대체기준!$A$20:$A$49,0)),0)))</f>
        <v/>
      </c>
      <c r="AB1839" s="94">
        <f>IF($A1839="",0,IF(AE1839="직접",IF(AF1839="수금비",$P1839,0),$P1839*(1-AG1839)*IFERROR(INDEX(계정대체기준!$E$20:$E$49,MATCH($N1839,계정대체기준!$A$20:$A$49,0)),0)))</f>
        <v/>
      </c>
      <c r="AC1839" s="9">
        <f>IF(AND($A1839&lt;&gt;"",M1839=설정!$C$20,Z1839&gt;0),Z1839+ROW()/1000000000,"")</f>
        <v/>
      </c>
      <c r="AD1839" s="94">
        <f>IF($A1839="",0,$P1839*AG1839)</f>
        <v/>
      </c>
      <c r="AE1839" s="64">
        <f>IF($A1839="","",IFERROR(INDEX(계정매핑!$E$5:$E$504,MATCH($F1839&amp;"",계정매핑!$A$5:$A$504,0))&amp;"","공통비"))</f>
        <v/>
      </c>
      <c r="AF1839" s="64">
        <f>IF($A1839="","",IF(AE1839="직접",IFERROR(INDEX(계정매핑!$F$5:$F$504,MATCH($F1839&amp;"",계정매핑!$A$5:$A$504,0))&amp;"","비귀속"),""))</f>
        <v/>
      </c>
      <c r="AG1839" s="96">
        <f>IF($A1839="",0,IF(AND(AE1839&lt;&gt;"직접",IFERROR(INDEX(계정매핑!$G$5:$G$504,MATCH($F1839&amp;"",계정매핑!$A$5:$A$504,0))&amp;"","")="유지비",COUNTIF(계정대체기준!$A$6:$A$15,$N1839)&gt;0),IFERROR(INDEX(계정대체기준!$E$6:$E$15,MATCH(VALUE($A1839&amp;""),계정대체기준!$D$6:$D$15,0)),0),0))</f>
        <v/>
      </c>
      <c r="AH1839" s="64">
        <f>IF($A1839="","",IF(AD1839=0,"",IF(OR(COUNTIF(계정대체기준!$A$77:$A$86,$N1839)&gt;0,ISNUMBER(MATCH($X1839,계정대체기준!$D$77:$D$86,0)),ISNUMBER(MATCH($F1839,계정대체기준!$D$77:$D$86,0))),"Y","N")))</f>
        <v/>
      </c>
    </row>
    <row r="1840">
      <c r="A1840" s="92" t="n">
        <v>2025</v>
      </c>
      <c r="B1840" s="92" t="n">
        <v>9</v>
      </c>
      <c r="C1840" s="92" t="inlineStr">
        <is>
          <t>5100001836</t>
        </is>
      </c>
      <c r="D1840" s="95" t="n">
        <v>45904</v>
      </c>
      <c r="E1840" s="92" t="inlineStr">
        <is>
          <t>KR</t>
        </is>
      </c>
      <c r="F1840" s="92" t="n">
        <v>62201000</v>
      </c>
      <c r="G1840" s="92" t="n">
        <v>1101</v>
      </c>
      <c r="H1840" s="93" t="n">
        <v>261000</v>
      </c>
      <c r="I1840" s="92" t="inlineStr">
        <is>
          <t>9월 통신요금 - O텔레콤</t>
        </is>
      </c>
      <c r="J1840" s="92" t="inlineStr">
        <is>
          <t>V10002</t>
        </is>
      </c>
      <c r="K1840" s="92" t="inlineStr">
        <is>
          <t>O텔레콤</t>
        </is>
      </c>
      <c r="M1840" s="9">
        <f>IF($A1840="","",VALUE($A1840&amp;"")*12+VALUE($B1840&amp;""))</f>
        <v/>
      </c>
      <c r="N1840" s="64">
        <f>IF($A1840="","",IFERROR(INDEX(부서매핑!$C$5:$C$504,MATCH($G1840&amp;"",부서매핑!$A$5:$A$504,0)),"미매핑"))</f>
        <v/>
      </c>
      <c r="O1840" s="9">
        <f>IF($A1840="","",N1840&amp;"|"&amp;$F1840)</f>
        <v/>
      </c>
      <c r="P1840" s="94">
        <f>IF($A1840="",0,$H1840*설정!$C$23)</f>
        <v/>
      </c>
      <c r="Q1840" s="64">
        <f>IF($A1840="","",IF(O1840&lt;&gt;원인분석!$C$9,"",IF(AND(M1840&gt;=원인분석!$C$10,M1840&lt;=원인분석!$C$11),"당기",IF(AND(M1840&gt;=원인분석!$C$12,M1840&lt;=원인분석!$C$13),"비교",""))))</f>
        <v/>
      </c>
      <c r="R1840" s="9">
        <f>IF(Q1840="","",$K1840&amp;"")</f>
        <v/>
      </c>
      <c r="S1840" s="9">
        <f>IF(Q1840="","",IF(MATCH(R1840,$R$5:$R$100000,0)=ROW()-4,ROW(),""))</f>
        <v/>
      </c>
      <c r="T1840" s="9">
        <f>IF(Q1840="당기",ABS(P1840)+ROW()/1000000000,"")</f>
        <v/>
      </c>
      <c r="U1840" s="9">
        <f>IF(Q1840="비교",ABS(P1840)+ROW()/1000000000,"")</f>
        <v/>
      </c>
      <c r="V1840" s="64">
        <f>IF($A1840="","",IF(COUNTIF(변동분석!$E$7:$E$506,O1840)&gt;0,"Y","N"))</f>
        <v/>
      </c>
      <c r="W1840" s="64">
        <f>IF($A1840="","",IFERROR(INDEX(계정매핑!$D$5:$D$504,MATCH($F1840&amp;"",계정매핑!$A$5:$A$504,0)),"미매핑"))</f>
        <v/>
      </c>
      <c r="X1840" s="9">
        <f>IF($A1840="","",$F1840&amp;"")</f>
        <v/>
      </c>
      <c r="Y1840" s="94">
        <f>IF($A1840="",0,IF(AE1840="직접",IF(AF1840="비귀속",$P1840,0),$P1840*(1-AG1840)*IFERROR(INDEX(계정대체기준!$F$20:$F$49,MATCH($N1840,계정대체기준!$A$20:$A$49,0)),1)))</f>
        <v/>
      </c>
      <c r="Z1840" s="94">
        <f>IF($A1840="",0,IF(AE1840="직접",IF(AF1840="신계약비",$P1840,0),$P1840*(1-AG1840)*IFERROR(INDEX(계정대체기준!$C$20:$C$49,MATCH($N1840,계정대체기준!$A$20:$A$49,0)),0)))</f>
        <v/>
      </c>
      <c r="AA1840" s="94">
        <f>IF($A1840="",0,IF(AE1840="직접",IF(OR(AF1840="유지비",AF1840="손해조사비"),$P1840,0),$P1840*(1-AG1840)*IFERROR(INDEX(계정대체기준!$D$20:$D$49,MATCH($N1840,계정대체기준!$A$20:$A$49,0)),0)))</f>
        <v/>
      </c>
      <c r="AB1840" s="94">
        <f>IF($A1840="",0,IF(AE1840="직접",IF(AF1840="수금비",$P1840,0),$P1840*(1-AG1840)*IFERROR(INDEX(계정대체기준!$E$20:$E$49,MATCH($N1840,계정대체기준!$A$20:$A$49,0)),0)))</f>
        <v/>
      </c>
      <c r="AC1840" s="9">
        <f>IF(AND($A1840&lt;&gt;"",M1840=설정!$C$20,Z1840&gt;0),Z1840+ROW()/1000000000,"")</f>
        <v/>
      </c>
      <c r="AD1840" s="94">
        <f>IF($A1840="",0,$P1840*AG1840)</f>
        <v/>
      </c>
      <c r="AE1840" s="64">
        <f>IF($A1840="","",IFERROR(INDEX(계정매핑!$E$5:$E$504,MATCH($F1840&amp;"",계정매핑!$A$5:$A$504,0))&amp;"","공통비"))</f>
        <v/>
      </c>
      <c r="AF1840" s="64">
        <f>IF($A1840="","",IF(AE1840="직접",IFERROR(INDEX(계정매핑!$F$5:$F$504,MATCH($F1840&amp;"",계정매핑!$A$5:$A$504,0))&amp;"","비귀속"),""))</f>
        <v/>
      </c>
      <c r="AG1840" s="96">
        <f>IF($A1840="",0,IF(AND(AE1840&lt;&gt;"직접",IFERROR(INDEX(계정매핑!$G$5:$G$504,MATCH($F1840&amp;"",계정매핑!$A$5:$A$504,0))&amp;"","")="유지비",COUNTIF(계정대체기준!$A$6:$A$15,$N1840)&gt;0),IFERROR(INDEX(계정대체기준!$E$6:$E$15,MATCH(VALUE($A1840&amp;""),계정대체기준!$D$6:$D$15,0)),0),0))</f>
        <v/>
      </c>
      <c r="AH1840" s="64">
        <f>IF($A1840="","",IF(AD1840=0,"",IF(OR(COUNTIF(계정대체기준!$A$77:$A$86,$N1840)&gt;0,ISNUMBER(MATCH($X1840,계정대체기준!$D$77:$D$86,0)),ISNUMBER(MATCH($F1840,계정대체기준!$D$77:$D$86,0))),"Y","N")))</f>
        <v/>
      </c>
    </row>
    <row r="1841">
      <c r="A1841" s="92" t="n">
        <v>2025</v>
      </c>
      <c r="B1841" s="92" t="n">
        <v>9</v>
      </c>
      <c r="C1841" s="92" t="inlineStr">
        <is>
          <t>5100001837</t>
        </is>
      </c>
      <c r="D1841" s="95" t="n">
        <v>45904</v>
      </c>
      <c r="E1841" s="92" t="inlineStr">
        <is>
          <t>KR</t>
        </is>
      </c>
      <c r="F1841" s="92" t="n">
        <v>62201000</v>
      </c>
      <c r="G1841" s="92" t="n">
        <v>1602</v>
      </c>
      <c r="H1841" s="93" t="n">
        <v>660000</v>
      </c>
      <c r="I1841" s="92" t="inlineStr">
        <is>
          <t>9월 통신요금 - P통신</t>
        </is>
      </c>
      <c r="J1841" s="92" t="inlineStr">
        <is>
          <t>V10014</t>
        </is>
      </c>
      <c r="K1841" s="92" t="inlineStr">
        <is>
          <t>P통신</t>
        </is>
      </c>
      <c r="M1841" s="9">
        <f>IF($A1841="","",VALUE($A1841&amp;"")*12+VALUE($B1841&amp;""))</f>
        <v/>
      </c>
      <c r="N1841" s="64">
        <f>IF($A1841="","",IFERROR(INDEX(부서매핑!$C$5:$C$504,MATCH($G1841&amp;"",부서매핑!$A$5:$A$504,0)),"미매핑"))</f>
        <v/>
      </c>
      <c r="O1841" s="9">
        <f>IF($A1841="","",N1841&amp;"|"&amp;$F1841)</f>
        <v/>
      </c>
      <c r="P1841" s="94">
        <f>IF($A1841="",0,$H1841*설정!$C$23)</f>
        <v/>
      </c>
      <c r="Q1841" s="64">
        <f>IF($A1841="","",IF(O1841&lt;&gt;원인분석!$C$9,"",IF(AND(M1841&gt;=원인분석!$C$10,M1841&lt;=원인분석!$C$11),"당기",IF(AND(M1841&gt;=원인분석!$C$12,M1841&lt;=원인분석!$C$13),"비교",""))))</f>
        <v/>
      </c>
      <c r="R1841" s="9">
        <f>IF(Q1841="","",$K1841&amp;"")</f>
        <v/>
      </c>
      <c r="S1841" s="9">
        <f>IF(Q1841="","",IF(MATCH(R1841,$R$5:$R$100000,0)=ROW()-4,ROW(),""))</f>
        <v/>
      </c>
      <c r="T1841" s="9">
        <f>IF(Q1841="당기",ABS(P1841)+ROW()/1000000000,"")</f>
        <v/>
      </c>
      <c r="U1841" s="9">
        <f>IF(Q1841="비교",ABS(P1841)+ROW()/1000000000,"")</f>
        <v/>
      </c>
      <c r="V1841" s="64">
        <f>IF($A1841="","",IF(COUNTIF(변동분석!$E$7:$E$506,O1841)&gt;0,"Y","N"))</f>
        <v/>
      </c>
      <c r="W1841" s="64">
        <f>IF($A1841="","",IFERROR(INDEX(계정매핑!$D$5:$D$504,MATCH($F1841&amp;"",계정매핑!$A$5:$A$504,0)),"미매핑"))</f>
        <v/>
      </c>
      <c r="X1841" s="9">
        <f>IF($A1841="","",$F1841&amp;"")</f>
        <v/>
      </c>
      <c r="Y1841" s="94">
        <f>IF($A1841="",0,IF(AE1841="직접",IF(AF1841="비귀속",$P1841,0),$P1841*(1-AG1841)*IFERROR(INDEX(계정대체기준!$F$20:$F$49,MATCH($N1841,계정대체기준!$A$20:$A$49,0)),1)))</f>
        <v/>
      </c>
      <c r="Z1841" s="94">
        <f>IF($A1841="",0,IF(AE1841="직접",IF(AF1841="신계약비",$P1841,0),$P1841*(1-AG1841)*IFERROR(INDEX(계정대체기준!$C$20:$C$49,MATCH($N1841,계정대체기준!$A$20:$A$49,0)),0)))</f>
        <v/>
      </c>
      <c r="AA1841" s="94">
        <f>IF($A1841="",0,IF(AE1841="직접",IF(OR(AF1841="유지비",AF1841="손해조사비"),$P1841,0),$P1841*(1-AG1841)*IFERROR(INDEX(계정대체기준!$D$20:$D$49,MATCH($N1841,계정대체기준!$A$20:$A$49,0)),0)))</f>
        <v/>
      </c>
      <c r="AB1841" s="94">
        <f>IF($A1841="",0,IF(AE1841="직접",IF(AF1841="수금비",$P1841,0),$P1841*(1-AG1841)*IFERROR(INDEX(계정대체기준!$E$20:$E$49,MATCH($N1841,계정대체기준!$A$20:$A$49,0)),0)))</f>
        <v/>
      </c>
      <c r="AC1841" s="9">
        <f>IF(AND($A1841&lt;&gt;"",M1841=설정!$C$20,Z1841&gt;0),Z1841+ROW()/1000000000,"")</f>
        <v/>
      </c>
      <c r="AD1841" s="94">
        <f>IF($A1841="",0,$P1841*AG1841)</f>
        <v/>
      </c>
      <c r="AE1841" s="64">
        <f>IF($A1841="","",IFERROR(INDEX(계정매핑!$E$5:$E$504,MATCH($F1841&amp;"",계정매핑!$A$5:$A$504,0))&amp;"","공통비"))</f>
        <v/>
      </c>
      <c r="AF1841" s="64">
        <f>IF($A1841="","",IF(AE1841="직접",IFERROR(INDEX(계정매핑!$F$5:$F$504,MATCH($F1841&amp;"",계정매핑!$A$5:$A$504,0))&amp;"","비귀속"),""))</f>
        <v/>
      </c>
      <c r="AG1841" s="96">
        <f>IF($A1841="",0,IF(AND(AE1841&lt;&gt;"직접",IFERROR(INDEX(계정매핑!$G$5:$G$504,MATCH($F1841&amp;"",계정매핑!$A$5:$A$504,0))&amp;"","")="유지비",COUNTIF(계정대체기준!$A$6:$A$15,$N1841)&gt;0),IFERROR(INDEX(계정대체기준!$E$6:$E$15,MATCH(VALUE($A1841&amp;""),계정대체기준!$D$6:$D$15,0)),0),0))</f>
        <v/>
      </c>
      <c r="AH1841" s="64">
        <f>IF($A1841="","",IF(AD1841=0,"",IF(OR(COUNTIF(계정대체기준!$A$77:$A$86,$N1841)&gt;0,ISNUMBER(MATCH($X1841,계정대체기준!$D$77:$D$86,0)),ISNUMBER(MATCH($F1841,계정대체기준!$D$77:$D$86,0))),"Y","N")))</f>
        <v/>
      </c>
    </row>
    <row r="1842">
      <c r="A1842" s="92" t="n">
        <v>2025</v>
      </c>
      <c r="B1842" s="92" t="n">
        <v>9</v>
      </c>
      <c r="C1842" s="92" t="inlineStr">
        <is>
          <t>5100001838</t>
        </is>
      </c>
      <c r="D1842" s="95" t="n">
        <v>45904</v>
      </c>
      <c r="E1842" s="92" t="inlineStr">
        <is>
          <t>KR</t>
        </is>
      </c>
      <c r="F1842" s="92" t="n">
        <v>62201000</v>
      </c>
      <c r="G1842" s="92" t="n">
        <v>1701</v>
      </c>
      <c r="H1842" s="93" t="n">
        <v>6236000</v>
      </c>
      <c r="I1842" s="92" t="inlineStr">
        <is>
          <t>9월 통신요금 - P통신</t>
        </is>
      </c>
      <c r="J1842" s="92" t="inlineStr">
        <is>
          <t>V10014</t>
        </is>
      </c>
      <c r="K1842" s="92" t="inlineStr">
        <is>
          <t>P통신</t>
        </is>
      </c>
      <c r="M1842" s="9">
        <f>IF($A1842="","",VALUE($A1842&amp;"")*12+VALUE($B1842&amp;""))</f>
        <v/>
      </c>
      <c r="N1842" s="64">
        <f>IF($A1842="","",IFERROR(INDEX(부서매핑!$C$5:$C$504,MATCH($G1842&amp;"",부서매핑!$A$5:$A$504,0)),"미매핑"))</f>
        <v/>
      </c>
      <c r="O1842" s="9">
        <f>IF($A1842="","",N1842&amp;"|"&amp;$F1842)</f>
        <v/>
      </c>
      <c r="P1842" s="94">
        <f>IF($A1842="",0,$H1842*설정!$C$23)</f>
        <v/>
      </c>
      <c r="Q1842" s="64">
        <f>IF($A1842="","",IF(O1842&lt;&gt;원인분석!$C$9,"",IF(AND(M1842&gt;=원인분석!$C$10,M1842&lt;=원인분석!$C$11),"당기",IF(AND(M1842&gt;=원인분석!$C$12,M1842&lt;=원인분석!$C$13),"비교",""))))</f>
        <v/>
      </c>
      <c r="R1842" s="9">
        <f>IF(Q1842="","",$K1842&amp;"")</f>
        <v/>
      </c>
      <c r="S1842" s="9">
        <f>IF(Q1842="","",IF(MATCH(R1842,$R$5:$R$100000,0)=ROW()-4,ROW(),""))</f>
        <v/>
      </c>
      <c r="T1842" s="9">
        <f>IF(Q1842="당기",ABS(P1842)+ROW()/1000000000,"")</f>
        <v/>
      </c>
      <c r="U1842" s="9">
        <f>IF(Q1842="비교",ABS(P1842)+ROW()/1000000000,"")</f>
        <v/>
      </c>
      <c r="V1842" s="64">
        <f>IF($A1842="","",IF(COUNTIF(변동분석!$E$7:$E$506,O1842)&gt;0,"Y","N"))</f>
        <v/>
      </c>
      <c r="W1842" s="64">
        <f>IF($A1842="","",IFERROR(INDEX(계정매핑!$D$5:$D$504,MATCH($F1842&amp;"",계정매핑!$A$5:$A$504,0)),"미매핑"))</f>
        <v/>
      </c>
      <c r="X1842" s="9">
        <f>IF($A1842="","",$F1842&amp;"")</f>
        <v/>
      </c>
      <c r="Y1842" s="94">
        <f>IF($A1842="",0,IF(AE1842="직접",IF(AF1842="비귀속",$P1842,0),$P1842*(1-AG1842)*IFERROR(INDEX(계정대체기준!$F$20:$F$49,MATCH($N1842,계정대체기준!$A$20:$A$49,0)),1)))</f>
        <v/>
      </c>
      <c r="Z1842" s="94">
        <f>IF($A1842="",0,IF(AE1842="직접",IF(AF1842="신계약비",$P1842,0),$P1842*(1-AG1842)*IFERROR(INDEX(계정대체기준!$C$20:$C$49,MATCH($N1842,계정대체기준!$A$20:$A$49,0)),0)))</f>
        <v/>
      </c>
      <c r="AA1842" s="94">
        <f>IF($A1842="",0,IF(AE1842="직접",IF(OR(AF1842="유지비",AF1842="손해조사비"),$P1842,0),$P1842*(1-AG1842)*IFERROR(INDEX(계정대체기준!$D$20:$D$49,MATCH($N1842,계정대체기준!$A$20:$A$49,0)),0)))</f>
        <v/>
      </c>
      <c r="AB1842" s="94">
        <f>IF($A1842="",0,IF(AE1842="직접",IF(AF1842="수금비",$P1842,0),$P1842*(1-AG1842)*IFERROR(INDEX(계정대체기준!$E$20:$E$49,MATCH($N1842,계정대체기준!$A$20:$A$49,0)),0)))</f>
        <v/>
      </c>
      <c r="AC1842" s="9">
        <f>IF(AND($A1842&lt;&gt;"",M1842=설정!$C$20,Z1842&gt;0),Z1842+ROW()/1000000000,"")</f>
        <v/>
      </c>
      <c r="AD1842" s="94">
        <f>IF($A1842="",0,$P1842*AG1842)</f>
        <v/>
      </c>
      <c r="AE1842" s="64">
        <f>IF($A1842="","",IFERROR(INDEX(계정매핑!$E$5:$E$504,MATCH($F1842&amp;"",계정매핑!$A$5:$A$504,0))&amp;"","공통비"))</f>
        <v/>
      </c>
      <c r="AF1842" s="64">
        <f>IF($A1842="","",IF(AE1842="직접",IFERROR(INDEX(계정매핑!$F$5:$F$504,MATCH($F1842&amp;"",계정매핑!$A$5:$A$504,0))&amp;"","비귀속"),""))</f>
        <v/>
      </c>
      <c r="AG1842" s="96">
        <f>IF($A1842="",0,IF(AND(AE1842&lt;&gt;"직접",IFERROR(INDEX(계정매핑!$G$5:$G$504,MATCH($F1842&amp;"",계정매핑!$A$5:$A$504,0))&amp;"","")="유지비",COUNTIF(계정대체기준!$A$6:$A$15,$N1842)&gt;0),IFERROR(INDEX(계정대체기준!$E$6:$E$15,MATCH(VALUE($A1842&amp;""),계정대체기준!$D$6:$D$15,0)),0),0))</f>
        <v/>
      </c>
      <c r="AH1842" s="64">
        <f>IF($A1842="","",IF(AD1842=0,"",IF(OR(COUNTIF(계정대체기준!$A$77:$A$86,$N1842)&gt;0,ISNUMBER(MATCH($X1842,계정대체기준!$D$77:$D$86,0)),ISNUMBER(MATCH($F1842,계정대체기준!$D$77:$D$86,0))),"Y","N")))</f>
        <v/>
      </c>
    </row>
    <row r="1843">
      <c r="A1843" s="92" t="n">
        <v>2025</v>
      </c>
      <c r="B1843" s="92" t="n">
        <v>9</v>
      </c>
      <c r="C1843" s="92" t="inlineStr">
        <is>
          <t>5100001839</t>
        </is>
      </c>
      <c r="D1843" s="95" t="n">
        <v>45904</v>
      </c>
      <c r="E1843" s="92" t="inlineStr">
        <is>
          <t>KR</t>
        </is>
      </c>
      <c r="F1843" s="92" t="n">
        <v>62401000</v>
      </c>
      <c r="G1843" s="92" t="n">
        <v>1801</v>
      </c>
      <c r="H1843" s="93" t="n">
        <v>2194000</v>
      </c>
      <c r="I1843" s="92" t="inlineStr">
        <is>
          <t>9월 인쇄물 제작 - S출판</t>
        </is>
      </c>
      <c r="J1843" s="92" t="inlineStr">
        <is>
          <t>V10015</t>
        </is>
      </c>
      <c r="K1843" s="92" t="inlineStr">
        <is>
          <t>S출판</t>
        </is>
      </c>
      <c r="M1843" s="9">
        <f>IF($A1843="","",VALUE($A1843&amp;"")*12+VALUE($B1843&amp;""))</f>
        <v/>
      </c>
      <c r="N1843" s="64">
        <f>IF($A1843="","",IFERROR(INDEX(부서매핑!$C$5:$C$504,MATCH($G1843&amp;"",부서매핑!$A$5:$A$504,0)),"미매핑"))</f>
        <v/>
      </c>
      <c r="O1843" s="9">
        <f>IF($A1843="","",N1843&amp;"|"&amp;$F1843)</f>
        <v/>
      </c>
      <c r="P1843" s="94">
        <f>IF($A1843="",0,$H1843*설정!$C$23)</f>
        <v/>
      </c>
      <c r="Q1843" s="64">
        <f>IF($A1843="","",IF(O1843&lt;&gt;원인분석!$C$9,"",IF(AND(M1843&gt;=원인분석!$C$10,M1843&lt;=원인분석!$C$11),"당기",IF(AND(M1843&gt;=원인분석!$C$12,M1843&lt;=원인분석!$C$13),"비교",""))))</f>
        <v/>
      </c>
      <c r="R1843" s="9">
        <f>IF(Q1843="","",$K1843&amp;"")</f>
        <v/>
      </c>
      <c r="S1843" s="9">
        <f>IF(Q1843="","",IF(MATCH(R1843,$R$5:$R$100000,0)=ROW()-4,ROW(),""))</f>
        <v/>
      </c>
      <c r="T1843" s="9">
        <f>IF(Q1843="당기",ABS(P1843)+ROW()/1000000000,"")</f>
        <v/>
      </c>
      <c r="U1843" s="9">
        <f>IF(Q1843="비교",ABS(P1843)+ROW()/1000000000,"")</f>
        <v/>
      </c>
      <c r="V1843" s="64">
        <f>IF($A1843="","",IF(COUNTIF(변동분석!$E$7:$E$506,O1843)&gt;0,"Y","N"))</f>
        <v/>
      </c>
      <c r="W1843" s="64">
        <f>IF($A1843="","",IFERROR(INDEX(계정매핑!$D$5:$D$504,MATCH($F1843&amp;"",계정매핑!$A$5:$A$504,0)),"미매핑"))</f>
        <v/>
      </c>
      <c r="X1843" s="9">
        <f>IF($A1843="","",$F1843&amp;"")</f>
        <v/>
      </c>
      <c r="Y1843" s="94">
        <f>IF($A1843="",0,IF(AE1843="직접",IF(AF1843="비귀속",$P1843,0),$P1843*(1-AG1843)*IFERROR(INDEX(계정대체기준!$F$20:$F$49,MATCH($N1843,계정대체기준!$A$20:$A$49,0)),1)))</f>
        <v/>
      </c>
      <c r="Z1843" s="94">
        <f>IF($A1843="",0,IF(AE1843="직접",IF(AF1843="신계약비",$P1843,0),$P1843*(1-AG1843)*IFERROR(INDEX(계정대체기준!$C$20:$C$49,MATCH($N1843,계정대체기준!$A$20:$A$49,0)),0)))</f>
        <v/>
      </c>
      <c r="AA1843" s="94">
        <f>IF($A1843="",0,IF(AE1843="직접",IF(OR(AF1843="유지비",AF1843="손해조사비"),$P1843,0),$P1843*(1-AG1843)*IFERROR(INDEX(계정대체기준!$D$20:$D$49,MATCH($N1843,계정대체기준!$A$20:$A$49,0)),0)))</f>
        <v/>
      </c>
      <c r="AB1843" s="94">
        <f>IF($A1843="",0,IF(AE1843="직접",IF(AF1843="수금비",$P1843,0),$P1843*(1-AG1843)*IFERROR(INDEX(계정대체기준!$E$20:$E$49,MATCH($N1843,계정대체기준!$A$20:$A$49,0)),0)))</f>
        <v/>
      </c>
      <c r="AC1843" s="9">
        <f>IF(AND($A1843&lt;&gt;"",M1843=설정!$C$20,Z1843&gt;0),Z1843+ROW()/1000000000,"")</f>
        <v/>
      </c>
      <c r="AD1843" s="94">
        <f>IF($A1843="",0,$P1843*AG1843)</f>
        <v/>
      </c>
      <c r="AE1843" s="64">
        <f>IF($A1843="","",IFERROR(INDEX(계정매핑!$E$5:$E$504,MATCH($F1843&amp;"",계정매핑!$A$5:$A$504,0))&amp;"","공통비"))</f>
        <v/>
      </c>
      <c r="AF1843" s="64">
        <f>IF($A1843="","",IF(AE1843="직접",IFERROR(INDEX(계정매핑!$F$5:$F$504,MATCH($F1843&amp;"",계정매핑!$A$5:$A$504,0))&amp;"","비귀속"),""))</f>
        <v/>
      </c>
      <c r="AG1843" s="96">
        <f>IF($A1843="",0,IF(AND(AE1843&lt;&gt;"직접",IFERROR(INDEX(계정매핑!$G$5:$G$504,MATCH($F1843&amp;"",계정매핑!$A$5:$A$504,0))&amp;"","")="유지비",COUNTIF(계정대체기준!$A$6:$A$15,$N1843)&gt;0),IFERROR(INDEX(계정대체기준!$E$6:$E$15,MATCH(VALUE($A1843&amp;""),계정대체기준!$D$6:$D$15,0)),0),0))</f>
        <v/>
      </c>
      <c r="AH1843" s="64">
        <f>IF($A1843="","",IF(AD1843=0,"",IF(OR(COUNTIF(계정대체기준!$A$77:$A$86,$N1843)&gt;0,ISNUMBER(MATCH($X1843,계정대체기준!$D$77:$D$86,0)),ISNUMBER(MATCH($F1843,계정대체기준!$D$77:$D$86,0))),"Y","N")))</f>
        <v/>
      </c>
    </row>
    <row r="1844">
      <c r="A1844" s="92" t="n">
        <v>2025</v>
      </c>
      <c r="B1844" s="92" t="n">
        <v>9</v>
      </c>
      <c r="C1844" s="92" t="inlineStr">
        <is>
          <t>5100001840</t>
        </is>
      </c>
      <c r="D1844" s="95" t="n">
        <v>45904</v>
      </c>
      <c r="E1844" s="92" t="inlineStr">
        <is>
          <t>KR</t>
        </is>
      </c>
      <c r="F1844" s="92" t="n">
        <v>62901000</v>
      </c>
      <c r="G1844" s="92" t="n">
        <v>1101</v>
      </c>
      <c r="H1844" s="93" t="n">
        <v>2820000</v>
      </c>
      <c r="I1844" s="92" t="inlineStr">
        <is>
          <t>9월 자문 수수료 - K회계법인</t>
        </is>
      </c>
      <c r="J1844" s="92" t="inlineStr">
        <is>
          <t>V10011</t>
        </is>
      </c>
      <c r="K1844" s="92" t="inlineStr">
        <is>
          <t>K회계법인</t>
        </is>
      </c>
      <c r="M1844" s="9">
        <f>IF($A1844="","",VALUE($A1844&amp;"")*12+VALUE($B1844&amp;""))</f>
        <v/>
      </c>
      <c r="N1844" s="64">
        <f>IF($A1844="","",IFERROR(INDEX(부서매핑!$C$5:$C$504,MATCH($G1844&amp;"",부서매핑!$A$5:$A$504,0)),"미매핑"))</f>
        <v/>
      </c>
      <c r="O1844" s="9">
        <f>IF($A1844="","",N1844&amp;"|"&amp;$F1844)</f>
        <v/>
      </c>
      <c r="P1844" s="94">
        <f>IF($A1844="",0,$H1844*설정!$C$23)</f>
        <v/>
      </c>
      <c r="Q1844" s="64">
        <f>IF($A1844="","",IF(O1844&lt;&gt;원인분석!$C$9,"",IF(AND(M1844&gt;=원인분석!$C$10,M1844&lt;=원인분석!$C$11),"당기",IF(AND(M1844&gt;=원인분석!$C$12,M1844&lt;=원인분석!$C$13),"비교",""))))</f>
        <v/>
      </c>
      <c r="R1844" s="9">
        <f>IF(Q1844="","",$K1844&amp;"")</f>
        <v/>
      </c>
      <c r="S1844" s="9">
        <f>IF(Q1844="","",IF(MATCH(R1844,$R$5:$R$100000,0)=ROW()-4,ROW(),""))</f>
        <v/>
      </c>
      <c r="T1844" s="9">
        <f>IF(Q1844="당기",ABS(P1844)+ROW()/1000000000,"")</f>
        <v/>
      </c>
      <c r="U1844" s="9">
        <f>IF(Q1844="비교",ABS(P1844)+ROW()/1000000000,"")</f>
        <v/>
      </c>
      <c r="V1844" s="64">
        <f>IF($A1844="","",IF(COUNTIF(변동분석!$E$7:$E$506,O1844)&gt;0,"Y","N"))</f>
        <v/>
      </c>
      <c r="W1844" s="64">
        <f>IF($A1844="","",IFERROR(INDEX(계정매핑!$D$5:$D$504,MATCH($F1844&amp;"",계정매핑!$A$5:$A$504,0)),"미매핑"))</f>
        <v/>
      </c>
      <c r="X1844" s="9">
        <f>IF($A1844="","",$F1844&amp;"")</f>
        <v/>
      </c>
      <c r="Y1844" s="94">
        <f>IF($A1844="",0,IF(AE1844="직접",IF(AF1844="비귀속",$P1844,0),$P1844*(1-AG1844)*IFERROR(INDEX(계정대체기준!$F$20:$F$49,MATCH($N1844,계정대체기준!$A$20:$A$49,0)),1)))</f>
        <v/>
      </c>
      <c r="Z1844" s="94">
        <f>IF($A1844="",0,IF(AE1844="직접",IF(AF1844="신계약비",$P1844,0),$P1844*(1-AG1844)*IFERROR(INDEX(계정대체기준!$C$20:$C$49,MATCH($N1844,계정대체기준!$A$20:$A$49,0)),0)))</f>
        <v/>
      </c>
      <c r="AA1844" s="94">
        <f>IF($A1844="",0,IF(AE1844="직접",IF(OR(AF1844="유지비",AF1844="손해조사비"),$P1844,0),$P1844*(1-AG1844)*IFERROR(INDEX(계정대체기준!$D$20:$D$49,MATCH($N1844,계정대체기준!$A$20:$A$49,0)),0)))</f>
        <v/>
      </c>
      <c r="AB1844" s="94">
        <f>IF($A1844="",0,IF(AE1844="직접",IF(AF1844="수금비",$P1844,0),$P1844*(1-AG1844)*IFERROR(INDEX(계정대체기준!$E$20:$E$49,MATCH($N1844,계정대체기준!$A$20:$A$49,0)),0)))</f>
        <v/>
      </c>
      <c r="AC1844" s="9">
        <f>IF(AND($A1844&lt;&gt;"",M1844=설정!$C$20,Z1844&gt;0),Z1844+ROW()/1000000000,"")</f>
        <v/>
      </c>
      <c r="AD1844" s="94">
        <f>IF($A1844="",0,$P1844*AG1844)</f>
        <v/>
      </c>
      <c r="AE1844" s="64">
        <f>IF($A1844="","",IFERROR(INDEX(계정매핑!$E$5:$E$504,MATCH($F1844&amp;"",계정매핑!$A$5:$A$504,0))&amp;"","공통비"))</f>
        <v/>
      </c>
      <c r="AF1844" s="64">
        <f>IF($A1844="","",IF(AE1844="직접",IFERROR(INDEX(계정매핑!$F$5:$F$504,MATCH($F1844&amp;"",계정매핑!$A$5:$A$504,0))&amp;"","비귀속"),""))</f>
        <v/>
      </c>
      <c r="AG1844" s="96">
        <f>IF($A1844="",0,IF(AND(AE1844&lt;&gt;"직접",IFERROR(INDEX(계정매핑!$G$5:$G$504,MATCH($F1844&amp;"",계정매핑!$A$5:$A$504,0))&amp;"","")="유지비",COUNTIF(계정대체기준!$A$6:$A$15,$N1844)&gt;0),IFERROR(INDEX(계정대체기준!$E$6:$E$15,MATCH(VALUE($A1844&amp;""),계정대체기준!$D$6:$D$15,0)),0),0))</f>
        <v/>
      </c>
      <c r="AH1844" s="64">
        <f>IF($A1844="","",IF(AD1844=0,"",IF(OR(COUNTIF(계정대체기준!$A$77:$A$86,$N1844)&gt;0,ISNUMBER(MATCH($X1844,계정대체기준!$D$77:$D$86,0)),ISNUMBER(MATCH($F1844,계정대체기준!$D$77:$D$86,0))),"Y","N")))</f>
        <v/>
      </c>
    </row>
    <row r="1845">
      <c r="A1845" s="92" t="n">
        <v>2025</v>
      </c>
      <c r="B1845" s="92" t="n">
        <v>9</v>
      </c>
      <c r="C1845" s="92" t="inlineStr">
        <is>
          <t>5100001841</t>
        </is>
      </c>
      <c r="D1845" s="95" t="n">
        <v>45904</v>
      </c>
      <c r="E1845" s="92" t="inlineStr">
        <is>
          <t>KR</t>
        </is>
      </c>
      <c r="F1845" s="92" t="n">
        <v>62901000</v>
      </c>
      <c r="G1845" s="92" t="n">
        <v>1201</v>
      </c>
      <c r="H1845" s="93" t="n">
        <v>5054000</v>
      </c>
      <c r="I1845" s="92" t="inlineStr">
        <is>
          <t>9월 자문 수수료 - W컨설팅</t>
        </is>
      </c>
      <c r="J1845" s="92" t="inlineStr">
        <is>
          <t>V10006</t>
        </is>
      </c>
      <c r="K1845" s="92" t="inlineStr">
        <is>
          <t>W컨설팅</t>
        </is>
      </c>
      <c r="M1845" s="9">
        <f>IF($A1845="","",VALUE($A1845&amp;"")*12+VALUE($B1845&amp;""))</f>
        <v/>
      </c>
      <c r="N1845" s="64">
        <f>IF($A1845="","",IFERROR(INDEX(부서매핑!$C$5:$C$504,MATCH($G1845&amp;"",부서매핑!$A$5:$A$504,0)),"미매핑"))</f>
        <v/>
      </c>
      <c r="O1845" s="9">
        <f>IF($A1845="","",N1845&amp;"|"&amp;$F1845)</f>
        <v/>
      </c>
      <c r="P1845" s="94">
        <f>IF($A1845="",0,$H1845*설정!$C$23)</f>
        <v/>
      </c>
      <c r="Q1845" s="64">
        <f>IF($A1845="","",IF(O1845&lt;&gt;원인분석!$C$9,"",IF(AND(M1845&gt;=원인분석!$C$10,M1845&lt;=원인분석!$C$11),"당기",IF(AND(M1845&gt;=원인분석!$C$12,M1845&lt;=원인분석!$C$13),"비교",""))))</f>
        <v/>
      </c>
      <c r="R1845" s="9">
        <f>IF(Q1845="","",$K1845&amp;"")</f>
        <v/>
      </c>
      <c r="S1845" s="9">
        <f>IF(Q1845="","",IF(MATCH(R1845,$R$5:$R$100000,0)=ROW()-4,ROW(),""))</f>
        <v/>
      </c>
      <c r="T1845" s="9">
        <f>IF(Q1845="당기",ABS(P1845)+ROW()/1000000000,"")</f>
        <v/>
      </c>
      <c r="U1845" s="9">
        <f>IF(Q1845="비교",ABS(P1845)+ROW()/1000000000,"")</f>
        <v/>
      </c>
      <c r="V1845" s="64">
        <f>IF($A1845="","",IF(COUNTIF(변동분석!$E$7:$E$506,O1845)&gt;0,"Y","N"))</f>
        <v/>
      </c>
      <c r="W1845" s="64">
        <f>IF($A1845="","",IFERROR(INDEX(계정매핑!$D$5:$D$504,MATCH($F1845&amp;"",계정매핑!$A$5:$A$504,0)),"미매핑"))</f>
        <v/>
      </c>
      <c r="X1845" s="9">
        <f>IF($A1845="","",$F1845&amp;"")</f>
        <v/>
      </c>
      <c r="Y1845" s="94">
        <f>IF($A1845="",0,IF(AE1845="직접",IF(AF1845="비귀속",$P1845,0),$P1845*(1-AG1845)*IFERROR(INDEX(계정대체기준!$F$20:$F$49,MATCH($N1845,계정대체기준!$A$20:$A$49,0)),1)))</f>
        <v/>
      </c>
      <c r="Z1845" s="94">
        <f>IF($A1845="",0,IF(AE1845="직접",IF(AF1845="신계약비",$P1845,0),$P1845*(1-AG1845)*IFERROR(INDEX(계정대체기준!$C$20:$C$49,MATCH($N1845,계정대체기준!$A$20:$A$49,0)),0)))</f>
        <v/>
      </c>
      <c r="AA1845" s="94">
        <f>IF($A1845="",0,IF(AE1845="직접",IF(OR(AF1845="유지비",AF1845="손해조사비"),$P1845,0),$P1845*(1-AG1845)*IFERROR(INDEX(계정대체기준!$D$20:$D$49,MATCH($N1845,계정대체기준!$A$20:$A$49,0)),0)))</f>
        <v/>
      </c>
      <c r="AB1845" s="94">
        <f>IF($A1845="",0,IF(AE1845="직접",IF(AF1845="수금비",$P1845,0),$P1845*(1-AG1845)*IFERROR(INDEX(계정대체기준!$E$20:$E$49,MATCH($N1845,계정대체기준!$A$20:$A$49,0)),0)))</f>
        <v/>
      </c>
      <c r="AC1845" s="9">
        <f>IF(AND($A1845&lt;&gt;"",M1845=설정!$C$20,Z1845&gt;0),Z1845+ROW()/1000000000,"")</f>
        <v/>
      </c>
      <c r="AD1845" s="94">
        <f>IF($A1845="",0,$P1845*AG1845)</f>
        <v/>
      </c>
      <c r="AE1845" s="64">
        <f>IF($A1845="","",IFERROR(INDEX(계정매핑!$E$5:$E$504,MATCH($F1845&amp;"",계정매핑!$A$5:$A$504,0))&amp;"","공통비"))</f>
        <v/>
      </c>
      <c r="AF1845" s="64">
        <f>IF($A1845="","",IF(AE1845="직접",IFERROR(INDEX(계정매핑!$F$5:$F$504,MATCH($F1845&amp;"",계정매핑!$A$5:$A$504,0))&amp;"","비귀속"),""))</f>
        <v/>
      </c>
      <c r="AG1845" s="96">
        <f>IF($A1845="",0,IF(AND(AE1845&lt;&gt;"직접",IFERROR(INDEX(계정매핑!$G$5:$G$504,MATCH($F1845&amp;"",계정매핑!$A$5:$A$504,0))&amp;"","")="유지비",COUNTIF(계정대체기준!$A$6:$A$15,$N1845)&gt;0),IFERROR(INDEX(계정대체기준!$E$6:$E$15,MATCH(VALUE($A1845&amp;""),계정대체기준!$D$6:$D$15,0)),0),0))</f>
        <v/>
      </c>
      <c r="AH1845" s="64">
        <f>IF($A1845="","",IF(AD1845=0,"",IF(OR(COUNTIF(계정대체기준!$A$77:$A$86,$N1845)&gt;0,ISNUMBER(MATCH($X1845,계정대체기준!$D$77:$D$86,0)),ISNUMBER(MATCH($F1845,계정대체기준!$D$77:$D$86,0))),"Y","N")))</f>
        <v/>
      </c>
    </row>
    <row r="1846">
      <c r="A1846" s="92" t="n">
        <v>2025</v>
      </c>
      <c r="B1846" s="92" t="n">
        <v>9</v>
      </c>
      <c r="C1846" s="92" t="inlineStr">
        <is>
          <t>5100001842</t>
        </is>
      </c>
      <c r="D1846" s="95" t="n">
        <v>45904</v>
      </c>
      <c r="E1846" s="92" t="inlineStr">
        <is>
          <t>KR</t>
        </is>
      </c>
      <c r="F1846" s="92" t="n">
        <v>62901000</v>
      </c>
      <c r="G1846" s="92" t="n">
        <v>1951</v>
      </c>
      <c r="H1846" s="93" t="n">
        <v>4824000</v>
      </c>
      <c r="I1846" s="92" t="inlineStr">
        <is>
          <t>9월 자문 수수료 - W컨설팅</t>
        </is>
      </c>
      <c r="J1846" s="92" t="inlineStr">
        <is>
          <t>V10006</t>
        </is>
      </c>
      <c r="K1846" s="92" t="inlineStr">
        <is>
          <t>W컨설팅</t>
        </is>
      </c>
      <c r="M1846" s="9">
        <f>IF($A1846="","",VALUE($A1846&amp;"")*12+VALUE($B1846&amp;""))</f>
        <v/>
      </c>
      <c r="N1846" s="64">
        <f>IF($A1846="","",IFERROR(INDEX(부서매핑!$C$5:$C$504,MATCH($G1846&amp;"",부서매핑!$A$5:$A$504,0)),"미매핑"))</f>
        <v/>
      </c>
      <c r="O1846" s="9">
        <f>IF($A1846="","",N1846&amp;"|"&amp;$F1846)</f>
        <v/>
      </c>
      <c r="P1846" s="94">
        <f>IF($A1846="",0,$H1846*설정!$C$23)</f>
        <v/>
      </c>
      <c r="Q1846" s="64">
        <f>IF($A1846="","",IF(O1846&lt;&gt;원인분석!$C$9,"",IF(AND(M1846&gt;=원인분석!$C$10,M1846&lt;=원인분석!$C$11),"당기",IF(AND(M1846&gt;=원인분석!$C$12,M1846&lt;=원인분석!$C$13),"비교",""))))</f>
        <v/>
      </c>
      <c r="R1846" s="9">
        <f>IF(Q1846="","",$K1846&amp;"")</f>
        <v/>
      </c>
      <c r="S1846" s="9">
        <f>IF(Q1846="","",IF(MATCH(R1846,$R$5:$R$100000,0)=ROW()-4,ROW(),""))</f>
        <v/>
      </c>
      <c r="T1846" s="9">
        <f>IF(Q1846="당기",ABS(P1846)+ROW()/1000000000,"")</f>
        <v/>
      </c>
      <c r="U1846" s="9">
        <f>IF(Q1846="비교",ABS(P1846)+ROW()/1000000000,"")</f>
        <v/>
      </c>
      <c r="V1846" s="64">
        <f>IF($A1846="","",IF(COUNTIF(변동분석!$E$7:$E$506,O1846)&gt;0,"Y","N"))</f>
        <v/>
      </c>
      <c r="W1846" s="64">
        <f>IF($A1846="","",IFERROR(INDEX(계정매핑!$D$5:$D$504,MATCH($F1846&amp;"",계정매핑!$A$5:$A$504,0)),"미매핑"))</f>
        <v/>
      </c>
      <c r="X1846" s="9">
        <f>IF($A1846="","",$F1846&amp;"")</f>
        <v/>
      </c>
      <c r="Y1846" s="94">
        <f>IF($A1846="",0,IF(AE1846="직접",IF(AF1846="비귀속",$P1846,0),$P1846*(1-AG1846)*IFERROR(INDEX(계정대체기준!$F$20:$F$49,MATCH($N1846,계정대체기준!$A$20:$A$49,0)),1)))</f>
        <v/>
      </c>
      <c r="Z1846" s="94">
        <f>IF($A1846="",0,IF(AE1846="직접",IF(AF1846="신계약비",$P1846,0),$P1846*(1-AG1846)*IFERROR(INDEX(계정대체기준!$C$20:$C$49,MATCH($N1846,계정대체기준!$A$20:$A$49,0)),0)))</f>
        <v/>
      </c>
      <c r="AA1846" s="94">
        <f>IF($A1846="",0,IF(AE1846="직접",IF(OR(AF1846="유지비",AF1846="손해조사비"),$P1846,0),$P1846*(1-AG1846)*IFERROR(INDEX(계정대체기준!$D$20:$D$49,MATCH($N1846,계정대체기준!$A$20:$A$49,0)),0)))</f>
        <v/>
      </c>
      <c r="AB1846" s="94">
        <f>IF($A1846="",0,IF(AE1846="직접",IF(AF1846="수금비",$P1846,0),$P1846*(1-AG1846)*IFERROR(INDEX(계정대체기준!$E$20:$E$49,MATCH($N1846,계정대체기준!$A$20:$A$49,0)),0)))</f>
        <v/>
      </c>
      <c r="AC1846" s="9">
        <f>IF(AND($A1846&lt;&gt;"",M1846=설정!$C$20,Z1846&gt;0),Z1846+ROW()/1000000000,"")</f>
        <v/>
      </c>
      <c r="AD1846" s="94">
        <f>IF($A1846="",0,$P1846*AG1846)</f>
        <v/>
      </c>
      <c r="AE1846" s="64">
        <f>IF($A1846="","",IFERROR(INDEX(계정매핑!$E$5:$E$504,MATCH($F1846&amp;"",계정매핑!$A$5:$A$504,0))&amp;"","공통비"))</f>
        <v/>
      </c>
      <c r="AF1846" s="64">
        <f>IF($A1846="","",IF(AE1846="직접",IFERROR(INDEX(계정매핑!$F$5:$F$504,MATCH($F1846&amp;"",계정매핑!$A$5:$A$504,0))&amp;"","비귀속"),""))</f>
        <v/>
      </c>
      <c r="AG1846" s="96">
        <f>IF($A1846="",0,IF(AND(AE1846&lt;&gt;"직접",IFERROR(INDEX(계정매핑!$G$5:$G$504,MATCH($F1846&amp;"",계정매핑!$A$5:$A$504,0))&amp;"","")="유지비",COUNTIF(계정대체기준!$A$6:$A$15,$N1846)&gt;0),IFERROR(INDEX(계정대체기준!$E$6:$E$15,MATCH(VALUE($A1846&amp;""),계정대체기준!$D$6:$D$15,0)),0),0))</f>
        <v/>
      </c>
      <c r="AH1846" s="64">
        <f>IF($A1846="","",IF(AD1846=0,"",IF(OR(COUNTIF(계정대체기준!$A$77:$A$86,$N1846)&gt;0,ISNUMBER(MATCH($X1846,계정대체기준!$D$77:$D$86,0)),ISNUMBER(MATCH($F1846,계정대체기준!$D$77:$D$86,0))),"Y","N")))</f>
        <v/>
      </c>
    </row>
    <row r="1847">
      <c r="A1847" s="92" t="n">
        <v>2025</v>
      </c>
      <c r="B1847" s="92" t="n">
        <v>9</v>
      </c>
      <c r="C1847" s="92" t="inlineStr">
        <is>
          <t>5100001843</t>
        </is>
      </c>
      <c r="D1847" s="95" t="n">
        <v>45904</v>
      </c>
      <c r="E1847" s="92" t="inlineStr">
        <is>
          <t>KR</t>
        </is>
      </c>
      <c r="F1847" s="92" t="n">
        <v>62902000</v>
      </c>
      <c r="G1847" s="92" t="n">
        <v>1401</v>
      </c>
      <c r="H1847" s="93" t="n">
        <v>2423000</v>
      </c>
      <c r="I1847" s="92" t="inlineStr">
        <is>
          <t>9월 업무 위탁 수수료 - X서비스</t>
        </is>
      </c>
      <c r="J1847" s="92" t="inlineStr">
        <is>
          <t>V10020</t>
        </is>
      </c>
      <c r="K1847" s="92" t="inlineStr">
        <is>
          <t>X서비스</t>
        </is>
      </c>
      <c r="M1847" s="9">
        <f>IF($A1847="","",VALUE($A1847&amp;"")*12+VALUE($B1847&amp;""))</f>
        <v/>
      </c>
      <c r="N1847" s="64">
        <f>IF($A1847="","",IFERROR(INDEX(부서매핑!$C$5:$C$504,MATCH($G1847&amp;"",부서매핑!$A$5:$A$504,0)),"미매핑"))</f>
        <v/>
      </c>
      <c r="O1847" s="9">
        <f>IF($A1847="","",N1847&amp;"|"&amp;$F1847)</f>
        <v/>
      </c>
      <c r="P1847" s="94">
        <f>IF($A1847="",0,$H1847*설정!$C$23)</f>
        <v/>
      </c>
      <c r="Q1847" s="64">
        <f>IF($A1847="","",IF(O1847&lt;&gt;원인분석!$C$9,"",IF(AND(M1847&gt;=원인분석!$C$10,M1847&lt;=원인분석!$C$11),"당기",IF(AND(M1847&gt;=원인분석!$C$12,M1847&lt;=원인분석!$C$13),"비교",""))))</f>
        <v/>
      </c>
      <c r="R1847" s="9">
        <f>IF(Q1847="","",$K1847&amp;"")</f>
        <v/>
      </c>
      <c r="S1847" s="9">
        <f>IF(Q1847="","",IF(MATCH(R1847,$R$5:$R$100000,0)=ROW()-4,ROW(),""))</f>
        <v/>
      </c>
      <c r="T1847" s="9">
        <f>IF(Q1847="당기",ABS(P1847)+ROW()/1000000000,"")</f>
        <v/>
      </c>
      <c r="U1847" s="9">
        <f>IF(Q1847="비교",ABS(P1847)+ROW()/1000000000,"")</f>
        <v/>
      </c>
      <c r="V1847" s="64">
        <f>IF($A1847="","",IF(COUNTIF(변동분석!$E$7:$E$506,O1847)&gt;0,"Y","N"))</f>
        <v/>
      </c>
      <c r="W1847" s="64">
        <f>IF($A1847="","",IFERROR(INDEX(계정매핑!$D$5:$D$504,MATCH($F1847&amp;"",계정매핑!$A$5:$A$504,0)),"미매핑"))</f>
        <v/>
      </c>
      <c r="X1847" s="9">
        <f>IF($A1847="","",$F1847&amp;"")</f>
        <v/>
      </c>
      <c r="Y1847" s="94">
        <f>IF($A1847="",0,IF(AE1847="직접",IF(AF1847="비귀속",$P1847,0),$P1847*(1-AG1847)*IFERROR(INDEX(계정대체기준!$F$20:$F$49,MATCH($N1847,계정대체기준!$A$20:$A$49,0)),1)))</f>
        <v/>
      </c>
      <c r="Z1847" s="94">
        <f>IF($A1847="",0,IF(AE1847="직접",IF(AF1847="신계약비",$P1847,0),$P1847*(1-AG1847)*IFERROR(INDEX(계정대체기준!$C$20:$C$49,MATCH($N1847,계정대체기준!$A$20:$A$49,0)),0)))</f>
        <v/>
      </c>
      <c r="AA1847" s="94">
        <f>IF($A1847="",0,IF(AE1847="직접",IF(OR(AF1847="유지비",AF1847="손해조사비"),$P1847,0),$P1847*(1-AG1847)*IFERROR(INDEX(계정대체기준!$D$20:$D$49,MATCH($N1847,계정대체기준!$A$20:$A$49,0)),0)))</f>
        <v/>
      </c>
      <c r="AB1847" s="94">
        <f>IF($A1847="",0,IF(AE1847="직접",IF(AF1847="수금비",$P1847,0),$P1847*(1-AG1847)*IFERROR(INDEX(계정대체기준!$E$20:$E$49,MATCH($N1847,계정대체기준!$A$20:$A$49,0)),0)))</f>
        <v/>
      </c>
      <c r="AC1847" s="9">
        <f>IF(AND($A1847&lt;&gt;"",M1847=설정!$C$20,Z1847&gt;0),Z1847+ROW()/1000000000,"")</f>
        <v/>
      </c>
      <c r="AD1847" s="94">
        <f>IF($A1847="",0,$P1847*AG1847)</f>
        <v/>
      </c>
      <c r="AE1847" s="64">
        <f>IF($A1847="","",IFERROR(INDEX(계정매핑!$E$5:$E$504,MATCH($F1847&amp;"",계정매핑!$A$5:$A$504,0))&amp;"","공통비"))</f>
        <v/>
      </c>
      <c r="AF1847" s="64">
        <f>IF($A1847="","",IF(AE1847="직접",IFERROR(INDEX(계정매핑!$F$5:$F$504,MATCH($F1847&amp;"",계정매핑!$A$5:$A$504,0))&amp;"","비귀속"),""))</f>
        <v/>
      </c>
      <c r="AG1847" s="96">
        <f>IF($A1847="",0,IF(AND(AE1847&lt;&gt;"직접",IFERROR(INDEX(계정매핑!$G$5:$G$504,MATCH($F1847&amp;"",계정매핑!$A$5:$A$504,0))&amp;"","")="유지비",COUNTIF(계정대체기준!$A$6:$A$15,$N1847)&gt;0),IFERROR(INDEX(계정대체기준!$E$6:$E$15,MATCH(VALUE($A1847&amp;""),계정대체기준!$D$6:$D$15,0)),0),0))</f>
        <v/>
      </c>
      <c r="AH1847" s="64">
        <f>IF($A1847="","",IF(AD1847=0,"",IF(OR(COUNTIF(계정대체기준!$A$77:$A$86,$N1847)&gt;0,ISNUMBER(MATCH($X1847,계정대체기준!$D$77:$D$86,0)),ISNUMBER(MATCH($F1847,계정대체기준!$D$77:$D$86,0))),"Y","N")))</f>
        <v/>
      </c>
    </row>
    <row r="1848">
      <c r="A1848" s="92" t="n">
        <v>2025</v>
      </c>
      <c r="B1848" s="92" t="n">
        <v>9</v>
      </c>
      <c r="C1848" s="92" t="inlineStr">
        <is>
          <t>5100001844</t>
        </is>
      </c>
      <c r="D1848" s="95" t="n">
        <v>45904</v>
      </c>
      <c r="E1848" s="92" t="inlineStr">
        <is>
          <t>KR</t>
        </is>
      </c>
      <c r="F1848" s="92" t="n">
        <v>63101000</v>
      </c>
      <c r="G1848" s="92" t="n">
        <v>1601</v>
      </c>
      <c r="H1848" s="93" t="n">
        <v>3826000</v>
      </c>
      <c r="I1848" s="92" t="inlineStr">
        <is>
          <t>9월 사무실 임차료 - BB부동산</t>
        </is>
      </c>
      <c r="J1848" s="92" t="inlineStr">
        <is>
          <t>V10028</t>
        </is>
      </c>
      <c r="K1848" s="92" t="inlineStr">
        <is>
          <t>BB부동산</t>
        </is>
      </c>
      <c r="M1848" s="9">
        <f>IF($A1848="","",VALUE($A1848&amp;"")*12+VALUE($B1848&amp;""))</f>
        <v/>
      </c>
      <c r="N1848" s="64">
        <f>IF($A1848="","",IFERROR(INDEX(부서매핑!$C$5:$C$504,MATCH($G1848&amp;"",부서매핑!$A$5:$A$504,0)),"미매핑"))</f>
        <v/>
      </c>
      <c r="O1848" s="9">
        <f>IF($A1848="","",N1848&amp;"|"&amp;$F1848)</f>
        <v/>
      </c>
      <c r="P1848" s="94">
        <f>IF($A1848="",0,$H1848*설정!$C$23)</f>
        <v/>
      </c>
      <c r="Q1848" s="64">
        <f>IF($A1848="","",IF(O1848&lt;&gt;원인분석!$C$9,"",IF(AND(M1848&gt;=원인분석!$C$10,M1848&lt;=원인분석!$C$11),"당기",IF(AND(M1848&gt;=원인분석!$C$12,M1848&lt;=원인분석!$C$13),"비교",""))))</f>
        <v/>
      </c>
      <c r="R1848" s="9">
        <f>IF(Q1848="","",$K1848&amp;"")</f>
        <v/>
      </c>
      <c r="S1848" s="9">
        <f>IF(Q1848="","",IF(MATCH(R1848,$R$5:$R$100000,0)=ROW()-4,ROW(),""))</f>
        <v/>
      </c>
      <c r="T1848" s="9">
        <f>IF(Q1848="당기",ABS(P1848)+ROW()/1000000000,"")</f>
        <v/>
      </c>
      <c r="U1848" s="9">
        <f>IF(Q1848="비교",ABS(P1848)+ROW()/1000000000,"")</f>
        <v/>
      </c>
      <c r="V1848" s="64">
        <f>IF($A1848="","",IF(COUNTIF(변동분석!$E$7:$E$506,O1848)&gt;0,"Y","N"))</f>
        <v/>
      </c>
      <c r="W1848" s="64">
        <f>IF($A1848="","",IFERROR(INDEX(계정매핑!$D$5:$D$504,MATCH($F1848&amp;"",계정매핑!$A$5:$A$504,0)),"미매핑"))</f>
        <v/>
      </c>
      <c r="X1848" s="9">
        <f>IF($A1848="","",$F1848&amp;"")</f>
        <v/>
      </c>
      <c r="Y1848" s="94">
        <f>IF($A1848="",0,IF(AE1848="직접",IF(AF1848="비귀속",$P1848,0),$P1848*(1-AG1848)*IFERROR(INDEX(계정대체기준!$F$20:$F$49,MATCH($N1848,계정대체기준!$A$20:$A$49,0)),1)))</f>
        <v/>
      </c>
      <c r="Z1848" s="94">
        <f>IF($A1848="",0,IF(AE1848="직접",IF(AF1848="신계약비",$P1848,0),$P1848*(1-AG1848)*IFERROR(INDEX(계정대체기준!$C$20:$C$49,MATCH($N1848,계정대체기준!$A$20:$A$49,0)),0)))</f>
        <v/>
      </c>
      <c r="AA1848" s="94">
        <f>IF($A1848="",0,IF(AE1848="직접",IF(OR(AF1848="유지비",AF1848="손해조사비"),$P1848,0),$P1848*(1-AG1848)*IFERROR(INDEX(계정대체기준!$D$20:$D$49,MATCH($N1848,계정대체기준!$A$20:$A$49,0)),0)))</f>
        <v/>
      </c>
      <c r="AB1848" s="94">
        <f>IF($A1848="",0,IF(AE1848="직접",IF(AF1848="수금비",$P1848,0),$P1848*(1-AG1848)*IFERROR(INDEX(계정대체기준!$E$20:$E$49,MATCH($N1848,계정대체기준!$A$20:$A$49,0)),0)))</f>
        <v/>
      </c>
      <c r="AC1848" s="9">
        <f>IF(AND($A1848&lt;&gt;"",M1848=설정!$C$20,Z1848&gt;0),Z1848+ROW()/1000000000,"")</f>
        <v/>
      </c>
      <c r="AD1848" s="94">
        <f>IF($A1848="",0,$P1848*AG1848)</f>
        <v/>
      </c>
      <c r="AE1848" s="64">
        <f>IF($A1848="","",IFERROR(INDEX(계정매핑!$E$5:$E$504,MATCH($F1848&amp;"",계정매핑!$A$5:$A$504,0))&amp;"","공통비"))</f>
        <v/>
      </c>
      <c r="AF1848" s="64">
        <f>IF($A1848="","",IF(AE1848="직접",IFERROR(INDEX(계정매핑!$F$5:$F$504,MATCH($F1848&amp;"",계정매핑!$A$5:$A$504,0))&amp;"","비귀속"),""))</f>
        <v/>
      </c>
      <c r="AG1848" s="96">
        <f>IF($A1848="",0,IF(AND(AE1848&lt;&gt;"직접",IFERROR(INDEX(계정매핑!$G$5:$G$504,MATCH($F1848&amp;"",계정매핑!$A$5:$A$504,0))&amp;"","")="유지비",COUNTIF(계정대체기준!$A$6:$A$15,$N1848)&gt;0),IFERROR(INDEX(계정대체기준!$E$6:$E$15,MATCH(VALUE($A1848&amp;""),계정대체기준!$D$6:$D$15,0)),0),0))</f>
        <v/>
      </c>
      <c r="AH1848" s="64">
        <f>IF($A1848="","",IF(AD1848=0,"",IF(OR(COUNTIF(계정대체기준!$A$77:$A$86,$N1848)&gt;0,ISNUMBER(MATCH($X1848,계정대체기준!$D$77:$D$86,0)),ISNUMBER(MATCH($F1848,계정대체기준!$D$77:$D$86,0))),"Y","N")))</f>
        <v/>
      </c>
    </row>
    <row r="1849">
      <c r="A1849" s="92" t="n">
        <v>2025</v>
      </c>
      <c r="B1849" s="92" t="n">
        <v>9</v>
      </c>
      <c r="C1849" s="92" t="inlineStr">
        <is>
          <t>5100001845</t>
        </is>
      </c>
      <c r="D1849" s="95" t="n">
        <v>45905</v>
      </c>
      <c r="E1849" s="92" t="inlineStr">
        <is>
          <t>KR</t>
        </is>
      </c>
      <c r="F1849" s="92" t="n">
        <v>62102000</v>
      </c>
      <c r="G1849" s="92" t="n">
        <v>1601</v>
      </c>
      <c r="H1849" s="93" t="n">
        <v>373000</v>
      </c>
      <c r="I1849" s="92" t="inlineStr">
        <is>
          <t>9월 해외출장 - N호텔</t>
        </is>
      </c>
      <c r="J1849" s="92" t="inlineStr">
        <is>
          <t>V10009</t>
        </is>
      </c>
      <c r="K1849" s="92" t="inlineStr">
        <is>
          <t>N호텔</t>
        </is>
      </c>
      <c r="M1849" s="9">
        <f>IF($A1849="","",VALUE($A1849&amp;"")*12+VALUE($B1849&amp;""))</f>
        <v/>
      </c>
      <c r="N1849" s="64">
        <f>IF($A1849="","",IFERROR(INDEX(부서매핑!$C$5:$C$504,MATCH($G1849&amp;"",부서매핑!$A$5:$A$504,0)),"미매핑"))</f>
        <v/>
      </c>
      <c r="O1849" s="9">
        <f>IF($A1849="","",N1849&amp;"|"&amp;$F1849)</f>
        <v/>
      </c>
      <c r="P1849" s="94">
        <f>IF($A1849="",0,$H1849*설정!$C$23)</f>
        <v/>
      </c>
      <c r="Q1849" s="64">
        <f>IF($A1849="","",IF(O1849&lt;&gt;원인분석!$C$9,"",IF(AND(M1849&gt;=원인분석!$C$10,M1849&lt;=원인분석!$C$11),"당기",IF(AND(M1849&gt;=원인분석!$C$12,M1849&lt;=원인분석!$C$13),"비교",""))))</f>
        <v/>
      </c>
      <c r="R1849" s="9">
        <f>IF(Q1849="","",$K1849&amp;"")</f>
        <v/>
      </c>
      <c r="S1849" s="9">
        <f>IF(Q1849="","",IF(MATCH(R1849,$R$5:$R$100000,0)=ROW()-4,ROW(),""))</f>
        <v/>
      </c>
      <c r="T1849" s="9">
        <f>IF(Q1849="당기",ABS(P1849)+ROW()/1000000000,"")</f>
        <v/>
      </c>
      <c r="U1849" s="9">
        <f>IF(Q1849="비교",ABS(P1849)+ROW()/1000000000,"")</f>
        <v/>
      </c>
      <c r="V1849" s="64">
        <f>IF($A1849="","",IF(COUNTIF(변동분석!$E$7:$E$506,O1849)&gt;0,"Y","N"))</f>
        <v/>
      </c>
      <c r="W1849" s="64">
        <f>IF($A1849="","",IFERROR(INDEX(계정매핑!$D$5:$D$504,MATCH($F1849&amp;"",계정매핑!$A$5:$A$504,0)),"미매핑"))</f>
        <v/>
      </c>
      <c r="X1849" s="9">
        <f>IF($A1849="","",$F1849&amp;"")</f>
        <v/>
      </c>
      <c r="Y1849" s="94">
        <f>IF($A1849="",0,IF(AE1849="직접",IF(AF1849="비귀속",$P1849,0),$P1849*(1-AG1849)*IFERROR(INDEX(계정대체기준!$F$20:$F$49,MATCH($N1849,계정대체기준!$A$20:$A$49,0)),1)))</f>
        <v/>
      </c>
      <c r="Z1849" s="94">
        <f>IF($A1849="",0,IF(AE1849="직접",IF(AF1849="신계약비",$P1849,0),$P1849*(1-AG1849)*IFERROR(INDEX(계정대체기준!$C$20:$C$49,MATCH($N1849,계정대체기준!$A$20:$A$49,0)),0)))</f>
        <v/>
      </c>
      <c r="AA1849" s="94">
        <f>IF($A1849="",0,IF(AE1849="직접",IF(OR(AF1849="유지비",AF1849="손해조사비"),$P1849,0),$P1849*(1-AG1849)*IFERROR(INDEX(계정대체기준!$D$20:$D$49,MATCH($N1849,계정대체기준!$A$20:$A$49,0)),0)))</f>
        <v/>
      </c>
      <c r="AB1849" s="94">
        <f>IF($A1849="",0,IF(AE1849="직접",IF(AF1849="수금비",$P1849,0),$P1849*(1-AG1849)*IFERROR(INDEX(계정대체기준!$E$20:$E$49,MATCH($N1849,계정대체기준!$A$20:$A$49,0)),0)))</f>
        <v/>
      </c>
      <c r="AC1849" s="9">
        <f>IF(AND($A1849&lt;&gt;"",M1849=설정!$C$20,Z1849&gt;0),Z1849+ROW()/1000000000,"")</f>
        <v/>
      </c>
      <c r="AD1849" s="94">
        <f>IF($A1849="",0,$P1849*AG1849)</f>
        <v/>
      </c>
      <c r="AE1849" s="64">
        <f>IF($A1849="","",IFERROR(INDEX(계정매핑!$E$5:$E$504,MATCH($F1849&amp;"",계정매핑!$A$5:$A$504,0))&amp;"","공통비"))</f>
        <v/>
      </c>
      <c r="AF1849" s="64">
        <f>IF($A1849="","",IF(AE1849="직접",IFERROR(INDEX(계정매핑!$F$5:$F$504,MATCH($F1849&amp;"",계정매핑!$A$5:$A$504,0))&amp;"","비귀속"),""))</f>
        <v/>
      </c>
      <c r="AG1849" s="96">
        <f>IF($A1849="",0,IF(AND(AE1849&lt;&gt;"직접",IFERROR(INDEX(계정매핑!$G$5:$G$504,MATCH($F1849&amp;"",계정매핑!$A$5:$A$504,0))&amp;"","")="유지비",COUNTIF(계정대체기준!$A$6:$A$15,$N1849)&gt;0),IFERROR(INDEX(계정대체기준!$E$6:$E$15,MATCH(VALUE($A1849&amp;""),계정대체기준!$D$6:$D$15,0)),0),0))</f>
        <v/>
      </c>
      <c r="AH1849" s="64">
        <f>IF($A1849="","",IF(AD1849=0,"",IF(OR(COUNTIF(계정대체기준!$A$77:$A$86,$N1849)&gt;0,ISNUMBER(MATCH($X1849,계정대체기준!$D$77:$D$86,0)),ISNUMBER(MATCH($F1849,계정대체기준!$D$77:$D$86,0))),"Y","N")))</f>
        <v/>
      </c>
    </row>
    <row r="1850">
      <c r="A1850" s="92" t="n">
        <v>2025</v>
      </c>
      <c r="B1850" s="92" t="n">
        <v>9</v>
      </c>
      <c r="C1850" s="92" t="inlineStr">
        <is>
          <t>5100001846</t>
        </is>
      </c>
      <c r="D1850" s="95" t="n">
        <v>45905</v>
      </c>
      <c r="E1850" s="92" t="inlineStr">
        <is>
          <t>KR</t>
        </is>
      </c>
      <c r="F1850" s="92" t="n">
        <v>62201000</v>
      </c>
      <c r="G1850" s="92" t="n">
        <v>1201</v>
      </c>
      <c r="H1850" s="93" t="n">
        <v>263000</v>
      </c>
      <c r="I1850" s="92" t="inlineStr">
        <is>
          <t>9월 통신요금 - O텔레콤</t>
        </is>
      </c>
      <c r="J1850" s="92" t="inlineStr">
        <is>
          <t>V10002</t>
        </is>
      </c>
      <c r="K1850" s="92" t="inlineStr">
        <is>
          <t>O텔레콤</t>
        </is>
      </c>
      <c r="M1850" s="9">
        <f>IF($A1850="","",VALUE($A1850&amp;"")*12+VALUE($B1850&amp;""))</f>
        <v/>
      </c>
      <c r="N1850" s="64">
        <f>IF($A1850="","",IFERROR(INDEX(부서매핑!$C$5:$C$504,MATCH($G1850&amp;"",부서매핑!$A$5:$A$504,0)),"미매핑"))</f>
        <v/>
      </c>
      <c r="O1850" s="9">
        <f>IF($A1850="","",N1850&amp;"|"&amp;$F1850)</f>
        <v/>
      </c>
      <c r="P1850" s="94">
        <f>IF($A1850="",0,$H1850*설정!$C$23)</f>
        <v/>
      </c>
      <c r="Q1850" s="64">
        <f>IF($A1850="","",IF(O1850&lt;&gt;원인분석!$C$9,"",IF(AND(M1850&gt;=원인분석!$C$10,M1850&lt;=원인분석!$C$11),"당기",IF(AND(M1850&gt;=원인분석!$C$12,M1850&lt;=원인분석!$C$13),"비교",""))))</f>
        <v/>
      </c>
      <c r="R1850" s="9">
        <f>IF(Q1850="","",$K1850&amp;"")</f>
        <v/>
      </c>
      <c r="S1850" s="9">
        <f>IF(Q1850="","",IF(MATCH(R1850,$R$5:$R$100000,0)=ROW()-4,ROW(),""))</f>
        <v/>
      </c>
      <c r="T1850" s="9">
        <f>IF(Q1850="당기",ABS(P1850)+ROW()/1000000000,"")</f>
        <v/>
      </c>
      <c r="U1850" s="9">
        <f>IF(Q1850="비교",ABS(P1850)+ROW()/1000000000,"")</f>
        <v/>
      </c>
      <c r="V1850" s="64">
        <f>IF($A1850="","",IF(COUNTIF(변동분석!$E$7:$E$506,O1850)&gt;0,"Y","N"))</f>
        <v/>
      </c>
      <c r="W1850" s="64">
        <f>IF($A1850="","",IFERROR(INDEX(계정매핑!$D$5:$D$504,MATCH($F1850&amp;"",계정매핑!$A$5:$A$504,0)),"미매핑"))</f>
        <v/>
      </c>
      <c r="X1850" s="9">
        <f>IF($A1850="","",$F1850&amp;"")</f>
        <v/>
      </c>
      <c r="Y1850" s="94">
        <f>IF($A1850="",0,IF(AE1850="직접",IF(AF1850="비귀속",$P1850,0),$P1850*(1-AG1850)*IFERROR(INDEX(계정대체기준!$F$20:$F$49,MATCH($N1850,계정대체기준!$A$20:$A$49,0)),1)))</f>
        <v/>
      </c>
      <c r="Z1850" s="94">
        <f>IF($A1850="",0,IF(AE1850="직접",IF(AF1850="신계약비",$P1850,0),$P1850*(1-AG1850)*IFERROR(INDEX(계정대체기준!$C$20:$C$49,MATCH($N1850,계정대체기준!$A$20:$A$49,0)),0)))</f>
        <v/>
      </c>
      <c r="AA1850" s="94">
        <f>IF($A1850="",0,IF(AE1850="직접",IF(OR(AF1850="유지비",AF1850="손해조사비"),$P1850,0),$P1850*(1-AG1850)*IFERROR(INDEX(계정대체기준!$D$20:$D$49,MATCH($N1850,계정대체기준!$A$20:$A$49,0)),0)))</f>
        <v/>
      </c>
      <c r="AB1850" s="94">
        <f>IF($A1850="",0,IF(AE1850="직접",IF(AF1850="수금비",$P1850,0),$P1850*(1-AG1850)*IFERROR(INDEX(계정대체기준!$E$20:$E$49,MATCH($N1850,계정대체기준!$A$20:$A$49,0)),0)))</f>
        <v/>
      </c>
      <c r="AC1850" s="9">
        <f>IF(AND($A1850&lt;&gt;"",M1850=설정!$C$20,Z1850&gt;0),Z1850+ROW()/1000000000,"")</f>
        <v/>
      </c>
      <c r="AD1850" s="94">
        <f>IF($A1850="",0,$P1850*AG1850)</f>
        <v/>
      </c>
      <c r="AE1850" s="64">
        <f>IF($A1850="","",IFERROR(INDEX(계정매핑!$E$5:$E$504,MATCH($F1850&amp;"",계정매핑!$A$5:$A$504,0))&amp;"","공통비"))</f>
        <v/>
      </c>
      <c r="AF1850" s="64">
        <f>IF($A1850="","",IF(AE1850="직접",IFERROR(INDEX(계정매핑!$F$5:$F$504,MATCH($F1850&amp;"",계정매핑!$A$5:$A$504,0))&amp;"","비귀속"),""))</f>
        <v/>
      </c>
      <c r="AG1850" s="96">
        <f>IF($A1850="",0,IF(AND(AE1850&lt;&gt;"직접",IFERROR(INDEX(계정매핑!$G$5:$G$504,MATCH($F1850&amp;"",계정매핑!$A$5:$A$504,0))&amp;"","")="유지비",COUNTIF(계정대체기준!$A$6:$A$15,$N1850)&gt;0),IFERROR(INDEX(계정대체기준!$E$6:$E$15,MATCH(VALUE($A1850&amp;""),계정대체기준!$D$6:$D$15,0)),0),0))</f>
        <v/>
      </c>
      <c r="AH1850" s="64">
        <f>IF($A1850="","",IF(AD1850=0,"",IF(OR(COUNTIF(계정대체기준!$A$77:$A$86,$N1850)&gt;0,ISNUMBER(MATCH($X1850,계정대체기준!$D$77:$D$86,0)),ISNUMBER(MATCH($F1850,계정대체기준!$D$77:$D$86,0))),"Y","N")))</f>
        <v/>
      </c>
    </row>
    <row r="1851">
      <c r="A1851" s="92" t="n">
        <v>2025</v>
      </c>
      <c r="B1851" s="92" t="n">
        <v>9</v>
      </c>
      <c r="C1851" s="92" t="inlineStr">
        <is>
          <t>5100001847</t>
        </is>
      </c>
      <c r="D1851" s="95" t="n">
        <v>45905</v>
      </c>
      <c r="E1851" s="92" t="inlineStr">
        <is>
          <t>KR</t>
        </is>
      </c>
      <c r="F1851" s="92" t="n">
        <v>62301000</v>
      </c>
      <c r="G1851" s="92" t="n">
        <v>1101</v>
      </c>
      <c r="H1851" s="93" t="n">
        <v>109000</v>
      </c>
      <c r="I1851" s="92" t="inlineStr">
        <is>
          <t>9월 소모품 구입 - R문구</t>
        </is>
      </c>
      <c r="J1851" s="92" t="inlineStr">
        <is>
          <t>V10022</t>
        </is>
      </c>
      <c r="K1851" s="92" t="inlineStr">
        <is>
          <t>R문구</t>
        </is>
      </c>
      <c r="M1851" s="9">
        <f>IF($A1851="","",VALUE($A1851&amp;"")*12+VALUE($B1851&amp;""))</f>
        <v/>
      </c>
      <c r="N1851" s="64">
        <f>IF($A1851="","",IFERROR(INDEX(부서매핑!$C$5:$C$504,MATCH($G1851&amp;"",부서매핑!$A$5:$A$504,0)),"미매핑"))</f>
        <v/>
      </c>
      <c r="O1851" s="9">
        <f>IF($A1851="","",N1851&amp;"|"&amp;$F1851)</f>
        <v/>
      </c>
      <c r="P1851" s="94">
        <f>IF($A1851="",0,$H1851*설정!$C$23)</f>
        <v/>
      </c>
      <c r="Q1851" s="64">
        <f>IF($A1851="","",IF(O1851&lt;&gt;원인분석!$C$9,"",IF(AND(M1851&gt;=원인분석!$C$10,M1851&lt;=원인분석!$C$11),"당기",IF(AND(M1851&gt;=원인분석!$C$12,M1851&lt;=원인분석!$C$13),"비교",""))))</f>
        <v/>
      </c>
      <c r="R1851" s="9">
        <f>IF(Q1851="","",$K1851&amp;"")</f>
        <v/>
      </c>
      <c r="S1851" s="9">
        <f>IF(Q1851="","",IF(MATCH(R1851,$R$5:$R$100000,0)=ROW()-4,ROW(),""))</f>
        <v/>
      </c>
      <c r="T1851" s="9">
        <f>IF(Q1851="당기",ABS(P1851)+ROW()/1000000000,"")</f>
        <v/>
      </c>
      <c r="U1851" s="9">
        <f>IF(Q1851="비교",ABS(P1851)+ROW()/1000000000,"")</f>
        <v/>
      </c>
      <c r="V1851" s="64">
        <f>IF($A1851="","",IF(COUNTIF(변동분석!$E$7:$E$506,O1851)&gt;0,"Y","N"))</f>
        <v/>
      </c>
      <c r="W1851" s="64">
        <f>IF($A1851="","",IFERROR(INDEX(계정매핑!$D$5:$D$504,MATCH($F1851&amp;"",계정매핑!$A$5:$A$504,0)),"미매핑"))</f>
        <v/>
      </c>
      <c r="X1851" s="9">
        <f>IF($A1851="","",$F1851&amp;"")</f>
        <v/>
      </c>
      <c r="Y1851" s="94">
        <f>IF($A1851="",0,IF(AE1851="직접",IF(AF1851="비귀속",$P1851,0),$P1851*(1-AG1851)*IFERROR(INDEX(계정대체기준!$F$20:$F$49,MATCH($N1851,계정대체기준!$A$20:$A$49,0)),1)))</f>
        <v/>
      </c>
      <c r="Z1851" s="94">
        <f>IF($A1851="",0,IF(AE1851="직접",IF(AF1851="신계약비",$P1851,0),$P1851*(1-AG1851)*IFERROR(INDEX(계정대체기준!$C$20:$C$49,MATCH($N1851,계정대체기준!$A$20:$A$49,0)),0)))</f>
        <v/>
      </c>
      <c r="AA1851" s="94">
        <f>IF($A1851="",0,IF(AE1851="직접",IF(OR(AF1851="유지비",AF1851="손해조사비"),$P1851,0),$P1851*(1-AG1851)*IFERROR(INDEX(계정대체기준!$D$20:$D$49,MATCH($N1851,계정대체기준!$A$20:$A$49,0)),0)))</f>
        <v/>
      </c>
      <c r="AB1851" s="94">
        <f>IF($A1851="",0,IF(AE1851="직접",IF(AF1851="수금비",$P1851,0),$P1851*(1-AG1851)*IFERROR(INDEX(계정대체기준!$E$20:$E$49,MATCH($N1851,계정대체기준!$A$20:$A$49,0)),0)))</f>
        <v/>
      </c>
      <c r="AC1851" s="9">
        <f>IF(AND($A1851&lt;&gt;"",M1851=설정!$C$20,Z1851&gt;0),Z1851+ROW()/1000000000,"")</f>
        <v/>
      </c>
      <c r="AD1851" s="94">
        <f>IF($A1851="",0,$P1851*AG1851)</f>
        <v/>
      </c>
      <c r="AE1851" s="64">
        <f>IF($A1851="","",IFERROR(INDEX(계정매핑!$E$5:$E$504,MATCH($F1851&amp;"",계정매핑!$A$5:$A$504,0))&amp;"","공통비"))</f>
        <v/>
      </c>
      <c r="AF1851" s="64">
        <f>IF($A1851="","",IF(AE1851="직접",IFERROR(INDEX(계정매핑!$F$5:$F$504,MATCH($F1851&amp;"",계정매핑!$A$5:$A$504,0))&amp;"","비귀속"),""))</f>
        <v/>
      </c>
      <c r="AG1851" s="96">
        <f>IF($A1851="",0,IF(AND(AE1851&lt;&gt;"직접",IFERROR(INDEX(계정매핑!$G$5:$G$504,MATCH($F1851&amp;"",계정매핑!$A$5:$A$504,0))&amp;"","")="유지비",COUNTIF(계정대체기준!$A$6:$A$15,$N1851)&gt;0),IFERROR(INDEX(계정대체기준!$E$6:$E$15,MATCH(VALUE($A1851&amp;""),계정대체기준!$D$6:$D$15,0)),0),0))</f>
        <v/>
      </c>
      <c r="AH1851" s="64">
        <f>IF($A1851="","",IF(AD1851=0,"",IF(OR(COUNTIF(계정대체기준!$A$77:$A$86,$N1851)&gt;0,ISNUMBER(MATCH($X1851,계정대체기준!$D$77:$D$86,0)),ISNUMBER(MATCH($F1851,계정대체기준!$D$77:$D$86,0))),"Y","N")))</f>
        <v/>
      </c>
    </row>
    <row r="1852">
      <c r="A1852" s="92" t="n">
        <v>2025</v>
      </c>
      <c r="B1852" s="92" t="n">
        <v>9</v>
      </c>
      <c r="C1852" s="92" t="inlineStr">
        <is>
          <t>5100001848</t>
        </is>
      </c>
      <c r="D1852" s="95" t="n">
        <v>45905</v>
      </c>
      <c r="E1852" s="92" t="inlineStr">
        <is>
          <t>KR</t>
        </is>
      </c>
      <c r="F1852" s="92" t="n">
        <v>62901000</v>
      </c>
      <c r="G1852" s="92" t="n">
        <v>1401</v>
      </c>
      <c r="H1852" s="93" t="n">
        <v>3620000</v>
      </c>
      <c r="I1852" s="92" t="inlineStr">
        <is>
          <t>9월 자문 수수료 - K회계법인</t>
        </is>
      </c>
      <c r="J1852" s="92" t="inlineStr">
        <is>
          <t>V10011</t>
        </is>
      </c>
      <c r="K1852" s="92" t="inlineStr">
        <is>
          <t>K회계법인</t>
        </is>
      </c>
      <c r="M1852" s="9">
        <f>IF($A1852="","",VALUE($A1852&amp;"")*12+VALUE($B1852&amp;""))</f>
        <v/>
      </c>
      <c r="N1852" s="64">
        <f>IF($A1852="","",IFERROR(INDEX(부서매핑!$C$5:$C$504,MATCH($G1852&amp;"",부서매핑!$A$5:$A$504,0)),"미매핑"))</f>
        <v/>
      </c>
      <c r="O1852" s="9">
        <f>IF($A1852="","",N1852&amp;"|"&amp;$F1852)</f>
        <v/>
      </c>
      <c r="P1852" s="94">
        <f>IF($A1852="",0,$H1852*설정!$C$23)</f>
        <v/>
      </c>
      <c r="Q1852" s="64">
        <f>IF($A1852="","",IF(O1852&lt;&gt;원인분석!$C$9,"",IF(AND(M1852&gt;=원인분석!$C$10,M1852&lt;=원인분석!$C$11),"당기",IF(AND(M1852&gt;=원인분석!$C$12,M1852&lt;=원인분석!$C$13),"비교",""))))</f>
        <v/>
      </c>
      <c r="R1852" s="9">
        <f>IF(Q1852="","",$K1852&amp;"")</f>
        <v/>
      </c>
      <c r="S1852" s="9">
        <f>IF(Q1852="","",IF(MATCH(R1852,$R$5:$R$100000,0)=ROW()-4,ROW(),""))</f>
        <v/>
      </c>
      <c r="T1852" s="9">
        <f>IF(Q1852="당기",ABS(P1852)+ROW()/1000000000,"")</f>
        <v/>
      </c>
      <c r="U1852" s="9">
        <f>IF(Q1852="비교",ABS(P1852)+ROW()/1000000000,"")</f>
        <v/>
      </c>
      <c r="V1852" s="64">
        <f>IF($A1852="","",IF(COUNTIF(변동분석!$E$7:$E$506,O1852)&gt;0,"Y","N"))</f>
        <v/>
      </c>
      <c r="W1852" s="64">
        <f>IF($A1852="","",IFERROR(INDEX(계정매핑!$D$5:$D$504,MATCH($F1852&amp;"",계정매핑!$A$5:$A$504,0)),"미매핑"))</f>
        <v/>
      </c>
      <c r="X1852" s="9">
        <f>IF($A1852="","",$F1852&amp;"")</f>
        <v/>
      </c>
      <c r="Y1852" s="94">
        <f>IF($A1852="",0,IF(AE1852="직접",IF(AF1852="비귀속",$P1852,0),$P1852*(1-AG1852)*IFERROR(INDEX(계정대체기준!$F$20:$F$49,MATCH($N1852,계정대체기준!$A$20:$A$49,0)),1)))</f>
        <v/>
      </c>
      <c r="Z1852" s="94">
        <f>IF($A1852="",0,IF(AE1852="직접",IF(AF1852="신계약비",$P1852,0),$P1852*(1-AG1852)*IFERROR(INDEX(계정대체기준!$C$20:$C$49,MATCH($N1852,계정대체기준!$A$20:$A$49,0)),0)))</f>
        <v/>
      </c>
      <c r="AA1852" s="94">
        <f>IF($A1852="",0,IF(AE1852="직접",IF(OR(AF1852="유지비",AF1852="손해조사비"),$P1852,0),$P1852*(1-AG1852)*IFERROR(INDEX(계정대체기준!$D$20:$D$49,MATCH($N1852,계정대체기준!$A$20:$A$49,0)),0)))</f>
        <v/>
      </c>
      <c r="AB1852" s="94">
        <f>IF($A1852="",0,IF(AE1852="직접",IF(AF1852="수금비",$P1852,0),$P1852*(1-AG1852)*IFERROR(INDEX(계정대체기준!$E$20:$E$49,MATCH($N1852,계정대체기준!$A$20:$A$49,0)),0)))</f>
        <v/>
      </c>
      <c r="AC1852" s="9">
        <f>IF(AND($A1852&lt;&gt;"",M1852=설정!$C$20,Z1852&gt;0),Z1852+ROW()/1000000000,"")</f>
        <v/>
      </c>
      <c r="AD1852" s="94">
        <f>IF($A1852="",0,$P1852*AG1852)</f>
        <v/>
      </c>
      <c r="AE1852" s="64">
        <f>IF($A1852="","",IFERROR(INDEX(계정매핑!$E$5:$E$504,MATCH($F1852&amp;"",계정매핑!$A$5:$A$504,0))&amp;"","공통비"))</f>
        <v/>
      </c>
      <c r="AF1852" s="64">
        <f>IF($A1852="","",IF(AE1852="직접",IFERROR(INDEX(계정매핑!$F$5:$F$504,MATCH($F1852&amp;"",계정매핑!$A$5:$A$504,0))&amp;"","비귀속"),""))</f>
        <v/>
      </c>
      <c r="AG1852" s="96">
        <f>IF($A1852="",0,IF(AND(AE1852&lt;&gt;"직접",IFERROR(INDEX(계정매핑!$G$5:$G$504,MATCH($F1852&amp;"",계정매핑!$A$5:$A$504,0))&amp;"","")="유지비",COUNTIF(계정대체기준!$A$6:$A$15,$N1852)&gt;0),IFERROR(INDEX(계정대체기준!$E$6:$E$15,MATCH(VALUE($A1852&amp;""),계정대체기준!$D$6:$D$15,0)),0),0))</f>
        <v/>
      </c>
      <c r="AH1852" s="64">
        <f>IF($A1852="","",IF(AD1852=0,"",IF(OR(COUNTIF(계정대체기준!$A$77:$A$86,$N1852)&gt;0,ISNUMBER(MATCH($X1852,계정대체기준!$D$77:$D$86,0)),ISNUMBER(MATCH($F1852,계정대체기준!$D$77:$D$86,0))),"Y","N")))</f>
        <v/>
      </c>
    </row>
    <row r="1853">
      <c r="A1853" s="92" t="n">
        <v>2025</v>
      </c>
      <c r="B1853" s="92" t="n">
        <v>9</v>
      </c>
      <c r="C1853" s="92" t="inlineStr">
        <is>
          <t>5100001849</t>
        </is>
      </c>
      <c r="D1853" s="95" t="n">
        <v>45906</v>
      </c>
      <c r="E1853" s="92" t="inlineStr">
        <is>
          <t>KR</t>
        </is>
      </c>
      <c r="F1853" s="92" t="n">
        <v>62101000</v>
      </c>
      <c r="G1853" s="92" t="n">
        <v>1101</v>
      </c>
      <c r="H1853" s="93" t="n">
        <v>611000</v>
      </c>
      <c r="I1853" s="92" t="inlineStr">
        <is>
          <t>9월 국내출장 - (법인카드)</t>
        </is>
      </c>
      <c r="J1853" s="92" t="inlineStr">
        <is>
          <t>V10010</t>
        </is>
      </c>
      <c r="K1853" s="92" t="inlineStr">
        <is>
          <t>(법인카드)</t>
        </is>
      </c>
      <c r="M1853" s="9">
        <f>IF($A1853="","",VALUE($A1853&amp;"")*12+VALUE($B1853&amp;""))</f>
        <v/>
      </c>
      <c r="N1853" s="64">
        <f>IF($A1853="","",IFERROR(INDEX(부서매핑!$C$5:$C$504,MATCH($G1853&amp;"",부서매핑!$A$5:$A$504,0)),"미매핑"))</f>
        <v/>
      </c>
      <c r="O1853" s="9">
        <f>IF($A1853="","",N1853&amp;"|"&amp;$F1853)</f>
        <v/>
      </c>
      <c r="P1853" s="94">
        <f>IF($A1853="",0,$H1853*설정!$C$23)</f>
        <v/>
      </c>
      <c r="Q1853" s="64">
        <f>IF($A1853="","",IF(O1853&lt;&gt;원인분석!$C$9,"",IF(AND(M1853&gt;=원인분석!$C$10,M1853&lt;=원인분석!$C$11),"당기",IF(AND(M1853&gt;=원인분석!$C$12,M1853&lt;=원인분석!$C$13),"비교",""))))</f>
        <v/>
      </c>
      <c r="R1853" s="9">
        <f>IF(Q1853="","",$K1853&amp;"")</f>
        <v/>
      </c>
      <c r="S1853" s="9">
        <f>IF(Q1853="","",IF(MATCH(R1853,$R$5:$R$100000,0)=ROW()-4,ROW(),""))</f>
        <v/>
      </c>
      <c r="T1853" s="9">
        <f>IF(Q1853="당기",ABS(P1853)+ROW()/1000000000,"")</f>
        <v/>
      </c>
      <c r="U1853" s="9">
        <f>IF(Q1853="비교",ABS(P1853)+ROW()/1000000000,"")</f>
        <v/>
      </c>
      <c r="V1853" s="64">
        <f>IF($A1853="","",IF(COUNTIF(변동분석!$E$7:$E$506,O1853)&gt;0,"Y","N"))</f>
        <v/>
      </c>
      <c r="W1853" s="64">
        <f>IF($A1853="","",IFERROR(INDEX(계정매핑!$D$5:$D$504,MATCH($F1853&amp;"",계정매핑!$A$5:$A$504,0)),"미매핑"))</f>
        <v/>
      </c>
      <c r="X1853" s="9">
        <f>IF($A1853="","",$F1853&amp;"")</f>
        <v/>
      </c>
      <c r="Y1853" s="94">
        <f>IF($A1853="",0,IF(AE1853="직접",IF(AF1853="비귀속",$P1853,0),$P1853*(1-AG1853)*IFERROR(INDEX(계정대체기준!$F$20:$F$49,MATCH($N1853,계정대체기준!$A$20:$A$49,0)),1)))</f>
        <v/>
      </c>
      <c r="Z1853" s="94">
        <f>IF($A1853="",0,IF(AE1853="직접",IF(AF1853="신계약비",$P1853,0),$P1853*(1-AG1853)*IFERROR(INDEX(계정대체기준!$C$20:$C$49,MATCH($N1853,계정대체기준!$A$20:$A$49,0)),0)))</f>
        <v/>
      </c>
      <c r="AA1853" s="94">
        <f>IF($A1853="",0,IF(AE1853="직접",IF(OR(AF1853="유지비",AF1853="손해조사비"),$P1853,0),$P1853*(1-AG1853)*IFERROR(INDEX(계정대체기준!$D$20:$D$49,MATCH($N1853,계정대체기준!$A$20:$A$49,0)),0)))</f>
        <v/>
      </c>
      <c r="AB1853" s="94">
        <f>IF($A1853="",0,IF(AE1853="직접",IF(AF1853="수금비",$P1853,0),$P1853*(1-AG1853)*IFERROR(INDEX(계정대체기준!$E$20:$E$49,MATCH($N1853,계정대체기준!$A$20:$A$49,0)),0)))</f>
        <v/>
      </c>
      <c r="AC1853" s="9">
        <f>IF(AND($A1853&lt;&gt;"",M1853=설정!$C$20,Z1853&gt;0),Z1853+ROW()/1000000000,"")</f>
        <v/>
      </c>
      <c r="AD1853" s="94">
        <f>IF($A1853="",0,$P1853*AG1853)</f>
        <v/>
      </c>
      <c r="AE1853" s="64">
        <f>IF($A1853="","",IFERROR(INDEX(계정매핑!$E$5:$E$504,MATCH($F1853&amp;"",계정매핑!$A$5:$A$504,0))&amp;"","공통비"))</f>
        <v/>
      </c>
      <c r="AF1853" s="64">
        <f>IF($A1853="","",IF(AE1853="직접",IFERROR(INDEX(계정매핑!$F$5:$F$504,MATCH($F1853&amp;"",계정매핑!$A$5:$A$504,0))&amp;"","비귀속"),""))</f>
        <v/>
      </c>
      <c r="AG1853" s="96">
        <f>IF($A1853="",0,IF(AND(AE1853&lt;&gt;"직접",IFERROR(INDEX(계정매핑!$G$5:$G$504,MATCH($F1853&amp;"",계정매핑!$A$5:$A$504,0))&amp;"","")="유지비",COUNTIF(계정대체기준!$A$6:$A$15,$N1853)&gt;0),IFERROR(INDEX(계정대체기준!$E$6:$E$15,MATCH(VALUE($A1853&amp;""),계정대체기준!$D$6:$D$15,0)),0),0))</f>
        <v/>
      </c>
      <c r="AH1853" s="64">
        <f>IF($A1853="","",IF(AD1853=0,"",IF(OR(COUNTIF(계정대체기준!$A$77:$A$86,$N1853)&gt;0,ISNUMBER(MATCH($X1853,계정대체기준!$D$77:$D$86,0)),ISNUMBER(MATCH($F1853,계정대체기준!$D$77:$D$86,0))),"Y","N")))</f>
        <v/>
      </c>
    </row>
    <row r="1854">
      <c r="A1854" s="92" t="n">
        <v>2025</v>
      </c>
      <c r="B1854" s="92" t="n">
        <v>9</v>
      </c>
      <c r="C1854" s="92" t="inlineStr">
        <is>
          <t>5100001850</t>
        </is>
      </c>
      <c r="D1854" s="95" t="n">
        <v>45906</v>
      </c>
      <c r="E1854" s="92" t="inlineStr">
        <is>
          <t>KR</t>
        </is>
      </c>
      <c r="F1854" s="92" t="n">
        <v>62101000</v>
      </c>
      <c r="G1854" s="92" t="n">
        <v>1201</v>
      </c>
      <c r="H1854" s="93" t="n">
        <v>231000</v>
      </c>
      <c r="I1854" s="92" t="inlineStr">
        <is>
          <t>9월 국내출장 - L여행사</t>
        </is>
      </c>
      <c r="J1854" s="92" t="inlineStr">
        <is>
          <t>V10018</t>
        </is>
      </c>
      <c r="K1854" s="92" t="inlineStr">
        <is>
          <t>L여행사</t>
        </is>
      </c>
      <c r="M1854" s="9">
        <f>IF($A1854="","",VALUE($A1854&amp;"")*12+VALUE($B1854&amp;""))</f>
        <v/>
      </c>
      <c r="N1854" s="64">
        <f>IF($A1854="","",IFERROR(INDEX(부서매핑!$C$5:$C$504,MATCH($G1854&amp;"",부서매핑!$A$5:$A$504,0)),"미매핑"))</f>
        <v/>
      </c>
      <c r="O1854" s="9">
        <f>IF($A1854="","",N1854&amp;"|"&amp;$F1854)</f>
        <v/>
      </c>
      <c r="P1854" s="94">
        <f>IF($A1854="",0,$H1854*설정!$C$23)</f>
        <v/>
      </c>
      <c r="Q1854" s="64">
        <f>IF($A1854="","",IF(O1854&lt;&gt;원인분석!$C$9,"",IF(AND(M1854&gt;=원인분석!$C$10,M1854&lt;=원인분석!$C$11),"당기",IF(AND(M1854&gt;=원인분석!$C$12,M1854&lt;=원인분석!$C$13),"비교",""))))</f>
        <v/>
      </c>
      <c r="R1854" s="9">
        <f>IF(Q1854="","",$K1854&amp;"")</f>
        <v/>
      </c>
      <c r="S1854" s="9">
        <f>IF(Q1854="","",IF(MATCH(R1854,$R$5:$R$100000,0)=ROW()-4,ROW(),""))</f>
        <v/>
      </c>
      <c r="T1854" s="9">
        <f>IF(Q1854="당기",ABS(P1854)+ROW()/1000000000,"")</f>
        <v/>
      </c>
      <c r="U1854" s="9">
        <f>IF(Q1854="비교",ABS(P1854)+ROW()/1000000000,"")</f>
        <v/>
      </c>
      <c r="V1854" s="64">
        <f>IF($A1854="","",IF(COUNTIF(변동분석!$E$7:$E$506,O1854)&gt;0,"Y","N"))</f>
        <v/>
      </c>
      <c r="W1854" s="64">
        <f>IF($A1854="","",IFERROR(INDEX(계정매핑!$D$5:$D$504,MATCH($F1854&amp;"",계정매핑!$A$5:$A$504,0)),"미매핑"))</f>
        <v/>
      </c>
      <c r="X1854" s="9">
        <f>IF($A1854="","",$F1854&amp;"")</f>
        <v/>
      </c>
      <c r="Y1854" s="94">
        <f>IF($A1854="",0,IF(AE1854="직접",IF(AF1854="비귀속",$P1854,0),$P1854*(1-AG1854)*IFERROR(INDEX(계정대체기준!$F$20:$F$49,MATCH($N1854,계정대체기준!$A$20:$A$49,0)),1)))</f>
        <v/>
      </c>
      <c r="Z1854" s="94">
        <f>IF($A1854="",0,IF(AE1854="직접",IF(AF1854="신계약비",$P1854,0),$P1854*(1-AG1854)*IFERROR(INDEX(계정대체기준!$C$20:$C$49,MATCH($N1854,계정대체기준!$A$20:$A$49,0)),0)))</f>
        <v/>
      </c>
      <c r="AA1854" s="94">
        <f>IF($A1854="",0,IF(AE1854="직접",IF(OR(AF1854="유지비",AF1854="손해조사비"),$P1854,0),$P1854*(1-AG1854)*IFERROR(INDEX(계정대체기준!$D$20:$D$49,MATCH($N1854,계정대체기준!$A$20:$A$49,0)),0)))</f>
        <v/>
      </c>
      <c r="AB1854" s="94">
        <f>IF($A1854="",0,IF(AE1854="직접",IF(AF1854="수금비",$P1854,0),$P1854*(1-AG1854)*IFERROR(INDEX(계정대체기준!$E$20:$E$49,MATCH($N1854,계정대체기준!$A$20:$A$49,0)),0)))</f>
        <v/>
      </c>
      <c r="AC1854" s="9">
        <f>IF(AND($A1854&lt;&gt;"",M1854=설정!$C$20,Z1854&gt;0),Z1854+ROW()/1000000000,"")</f>
        <v/>
      </c>
      <c r="AD1854" s="94">
        <f>IF($A1854="",0,$P1854*AG1854)</f>
        <v/>
      </c>
      <c r="AE1854" s="64">
        <f>IF($A1854="","",IFERROR(INDEX(계정매핑!$E$5:$E$504,MATCH($F1854&amp;"",계정매핑!$A$5:$A$504,0))&amp;"","공통비"))</f>
        <v/>
      </c>
      <c r="AF1854" s="64">
        <f>IF($A1854="","",IF(AE1854="직접",IFERROR(INDEX(계정매핑!$F$5:$F$504,MATCH($F1854&amp;"",계정매핑!$A$5:$A$504,0))&amp;"","비귀속"),""))</f>
        <v/>
      </c>
      <c r="AG1854" s="96">
        <f>IF($A1854="",0,IF(AND(AE1854&lt;&gt;"직접",IFERROR(INDEX(계정매핑!$G$5:$G$504,MATCH($F1854&amp;"",계정매핑!$A$5:$A$504,0))&amp;"","")="유지비",COUNTIF(계정대체기준!$A$6:$A$15,$N1854)&gt;0),IFERROR(INDEX(계정대체기준!$E$6:$E$15,MATCH(VALUE($A1854&amp;""),계정대체기준!$D$6:$D$15,0)),0),0))</f>
        <v/>
      </c>
      <c r="AH1854" s="64">
        <f>IF($A1854="","",IF(AD1854=0,"",IF(OR(COUNTIF(계정대체기준!$A$77:$A$86,$N1854)&gt;0,ISNUMBER(MATCH($X1854,계정대체기준!$D$77:$D$86,0)),ISNUMBER(MATCH($F1854,계정대체기준!$D$77:$D$86,0))),"Y","N")))</f>
        <v/>
      </c>
    </row>
    <row r="1855">
      <c r="A1855" s="92" t="n">
        <v>2025</v>
      </c>
      <c r="B1855" s="92" t="n">
        <v>9</v>
      </c>
      <c r="C1855" s="92" t="inlineStr">
        <is>
          <t>5100001851</t>
        </is>
      </c>
      <c r="D1855" s="95" t="n">
        <v>45906</v>
      </c>
      <c r="E1855" s="92" t="inlineStr">
        <is>
          <t>KR</t>
        </is>
      </c>
      <c r="F1855" s="92" t="n">
        <v>62101000</v>
      </c>
      <c r="G1855" s="92" t="n">
        <v>1301</v>
      </c>
      <c r="H1855" s="93" t="n">
        <v>537000</v>
      </c>
      <c r="I1855" s="92" t="inlineStr">
        <is>
          <t>9월 국내출장 - M항공</t>
        </is>
      </c>
      <c r="J1855" s="92" t="inlineStr">
        <is>
          <t>V10001</t>
        </is>
      </c>
      <c r="K1855" s="92" t="inlineStr">
        <is>
          <t>M항공</t>
        </is>
      </c>
      <c r="M1855" s="9">
        <f>IF($A1855="","",VALUE($A1855&amp;"")*12+VALUE($B1855&amp;""))</f>
        <v/>
      </c>
      <c r="N1855" s="64">
        <f>IF($A1855="","",IFERROR(INDEX(부서매핑!$C$5:$C$504,MATCH($G1855&amp;"",부서매핑!$A$5:$A$504,0)),"미매핑"))</f>
        <v/>
      </c>
      <c r="O1855" s="9">
        <f>IF($A1855="","",N1855&amp;"|"&amp;$F1855)</f>
        <v/>
      </c>
      <c r="P1855" s="94">
        <f>IF($A1855="",0,$H1855*설정!$C$23)</f>
        <v/>
      </c>
      <c r="Q1855" s="64">
        <f>IF($A1855="","",IF(O1855&lt;&gt;원인분석!$C$9,"",IF(AND(M1855&gt;=원인분석!$C$10,M1855&lt;=원인분석!$C$11),"당기",IF(AND(M1855&gt;=원인분석!$C$12,M1855&lt;=원인분석!$C$13),"비교",""))))</f>
        <v/>
      </c>
      <c r="R1855" s="9">
        <f>IF(Q1855="","",$K1855&amp;"")</f>
        <v/>
      </c>
      <c r="S1855" s="9">
        <f>IF(Q1855="","",IF(MATCH(R1855,$R$5:$R$100000,0)=ROW()-4,ROW(),""))</f>
        <v/>
      </c>
      <c r="T1855" s="9">
        <f>IF(Q1855="당기",ABS(P1855)+ROW()/1000000000,"")</f>
        <v/>
      </c>
      <c r="U1855" s="9">
        <f>IF(Q1855="비교",ABS(P1855)+ROW()/1000000000,"")</f>
        <v/>
      </c>
      <c r="V1855" s="64">
        <f>IF($A1855="","",IF(COUNTIF(변동분석!$E$7:$E$506,O1855)&gt;0,"Y","N"))</f>
        <v/>
      </c>
      <c r="W1855" s="64">
        <f>IF($A1855="","",IFERROR(INDEX(계정매핑!$D$5:$D$504,MATCH($F1855&amp;"",계정매핑!$A$5:$A$504,0)),"미매핑"))</f>
        <v/>
      </c>
      <c r="X1855" s="9">
        <f>IF($A1855="","",$F1855&amp;"")</f>
        <v/>
      </c>
      <c r="Y1855" s="94">
        <f>IF($A1855="",0,IF(AE1855="직접",IF(AF1855="비귀속",$P1855,0),$P1855*(1-AG1855)*IFERROR(INDEX(계정대체기준!$F$20:$F$49,MATCH($N1855,계정대체기준!$A$20:$A$49,0)),1)))</f>
        <v/>
      </c>
      <c r="Z1855" s="94">
        <f>IF($A1855="",0,IF(AE1855="직접",IF(AF1855="신계약비",$P1855,0),$P1855*(1-AG1855)*IFERROR(INDEX(계정대체기준!$C$20:$C$49,MATCH($N1855,계정대체기준!$A$20:$A$49,0)),0)))</f>
        <v/>
      </c>
      <c r="AA1855" s="94">
        <f>IF($A1855="",0,IF(AE1855="직접",IF(OR(AF1855="유지비",AF1855="손해조사비"),$P1855,0),$P1855*(1-AG1855)*IFERROR(INDEX(계정대체기준!$D$20:$D$49,MATCH($N1855,계정대체기준!$A$20:$A$49,0)),0)))</f>
        <v/>
      </c>
      <c r="AB1855" s="94">
        <f>IF($A1855="",0,IF(AE1855="직접",IF(AF1855="수금비",$P1855,0),$P1855*(1-AG1855)*IFERROR(INDEX(계정대체기준!$E$20:$E$49,MATCH($N1855,계정대체기준!$A$20:$A$49,0)),0)))</f>
        <v/>
      </c>
      <c r="AC1855" s="9">
        <f>IF(AND($A1855&lt;&gt;"",M1855=설정!$C$20,Z1855&gt;0),Z1855+ROW()/1000000000,"")</f>
        <v/>
      </c>
      <c r="AD1855" s="94">
        <f>IF($A1855="",0,$P1855*AG1855)</f>
        <v/>
      </c>
      <c r="AE1855" s="64">
        <f>IF($A1855="","",IFERROR(INDEX(계정매핑!$E$5:$E$504,MATCH($F1855&amp;"",계정매핑!$A$5:$A$504,0))&amp;"","공통비"))</f>
        <v/>
      </c>
      <c r="AF1855" s="64">
        <f>IF($A1855="","",IF(AE1855="직접",IFERROR(INDEX(계정매핑!$F$5:$F$504,MATCH($F1855&amp;"",계정매핑!$A$5:$A$504,0))&amp;"","비귀속"),""))</f>
        <v/>
      </c>
      <c r="AG1855" s="96">
        <f>IF($A1855="",0,IF(AND(AE1855&lt;&gt;"직접",IFERROR(INDEX(계정매핑!$G$5:$G$504,MATCH($F1855&amp;"",계정매핑!$A$5:$A$504,0))&amp;"","")="유지비",COUNTIF(계정대체기준!$A$6:$A$15,$N1855)&gt;0),IFERROR(INDEX(계정대체기준!$E$6:$E$15,MATCH(VALUE($A1855&amp;""),계정대체기준!$D$6:$D$15,0)),0),0))</f>
        <v/>
      </c>
      <c r="AH1855" s="64">
        <f>IF($A1855="","",IF(AD1855=0,"",IF(OR(COUNTIF(계정대체기준!$A$77:$A$86,$N1855)&gt;0,ISNUMBER(MATCH($X1855,계정대체기준!$D$77:$D$86,0)),ISNUMBER(MATCH($F1855,계정대체기준!$D$77:$D$86,0))),"Y","N")))</f>
        <v/>
      </c>
    </row>
    <row r="1856">
      <c r="A1856" s="92" t="n">
        <v>2025</v>
      </c>
      <c r="B1856" s="92" t="n">
        <v>9</v>
      </c>
      <c r="C1856" s="92" t="inlineStr">
        <is>
          <t>5100001852</t>
        </is>
      </c>
      <c r="D1856" s="95" t="n">
        <v>45906</v>
      </c>
      <c r="E1856" s="92" t="inlineStr">
        <is>
          <t>KR</t>
        </is>
      </c>
      <c r="F1856" s="92" t="n">
        <v>62102000</v>
      </c>
      <c r="G1856" s="92" t="n">
        <v>1101</v>
      </c>
      <c r="H1856" s="93" t="n">
        <v>201000</v>
      </c>
      <c r="I1856" s="92" t="inlineStr">
        <is>
          <t>9월 해외출장 - M항공</t>
        </is>
      </c>
      <c r="J1856" s="92" t="inlineStr">
        <is>
          <t>V10001</t>
        </is>
      </c>
      <c r="K1856" s="92" t="inlineStr">
        <is>
          <t>M항공</t>
        </is>
      </c>
      <c r="M1856" s="9">
        <f>IF($A1856="","",VALUE($A1856&amp;"")*12+VALUE($B1856&amp;""))</f>
        <v/>
      </c>
      <c r="N1856" s="64">
        <f>IF($A1856="","",IFERROR(INDEX(부서매핑!$C$5:$C$504,MATCH($G1856&amp;"",부서매핑!$A$5:$A$504,0)),"미매핑"))</f>
        <v/>
      </c>
      <c r="O1856" s="9">
        <f>IF($A1856="","",N1856&amp;"|"&amp;$F1856)</f>
        <v/>
      </c>
      <c r="P1856" s="94">
        <f>IF($A1856="",0,$H1856*설정!$C$23)</f>
        <v/>
      </c>
      <c r="Q1856" s="64">
        <f>IF($A1856="","",IF(O1856&lt;&gt;원인분석!$C$9,"",IF(AND(M1856&gt;=원인분석!$C$10,M1856&lt;=원인분석!$C$11),"당기",IF(AND(M1856&gt;=원인분석!$C$12,M1856&lt;=원인분석!$C$13),"비교",""))))</f>
        <v/>
      </c>
      <c r="R1856" s="9">
        <f>IF(Q1856="","",$K1856&amp;"")</f>
        <v/>
      </c>
      <c r="S1856" s="9">
        <f>IF(Q1856="","",IF(MATCH(R1856,$R$5:$R$100000,0)=ROW()-4,ROW(),""))</f>
        <v/>
      </c>
      <c r="T1856" s="9">
        <f>IF(Q1856="당기",ABS(P1856)+ROW()/1000000000,"")</f>
        <v/>
      </c>
      <c r="U1856" s="9">
        <f>IF(Q1856="비교",ABS(P1856)+ROW()/1000000000,"")</f>
        <v/>
      </c>
      <c r="V1856" s="64">
        <f>IF($A1856="","",IF(COUNTIF(변동분석!$E$7:$E$506,O1856)&gt;0,"Y","N"))</f>
        <v/>
      </c>
      <c r="W1856" s="64">
        <f>IF($A1856="","",IFERROR(INDEX(계정매핑!$D$5:$D$504,MATCH($F1856&amp;"",계정매핑!$A$5:$A$504,0)),"미매핑"))</f>
        <v/>
      </c>
      <c r="X1856" s="9">
        <f>IF($A1856="","",$F1856&amp;"")</f>
        <v/>
      </c>
      <c r="Y1856" s="94">
        <f>IF($A1856="",0,IF(AE1856="직접",IF(AF1856="비귀속",$P1856,0),$P1856*(1-AG1856)*IFERROR(INDEX(계정대체기준!$F$20:$F$49,MATCH($N1856,계정대체기준!$A$20:$A$49,0)),1)))</f>
        <v/>
      </c>
      <c r="Z1856" s="94">
        <f>IF($A1856="",0,IF(AE1856="직접",IF(AF1856="신계약비",$P1856,0),$P1856*(1-AG1856)*IFERROR(INDEX(계정대체기준!$C$20:$C$49,MATCH($N1856,계정대체기준!$A$20:$A$49,0)),0)))</f>
        <v/>
      </c>
      <c r="AA1856" s="94">
        <f>IF($A1856="",0,IF(AE1856="직접",IF(OR(AF1856="유지비",AF1856="손해조사비"),$P1856,0),$P1856*(1-AG1856)*IFERROR(INDEX(계정대체기준!$D$20:$D$49,MATCH($N1856,계정대체기준!$A$20:$A$49,0)),0)))</f>
        <v/>
      </c>
      <c r="AB1856" s="94">
        <f>IF($A1856="",0,IF(AE1856="직접",IF(AF1856="수금비",$P1856,0),$P1856*(1-AG1856)*IFERROR(INDEX(계정대체기준!$E$20:$E$49,MATCH($N1856,계정대체기준!$A$20:$A$49,0)),0)))</f>
        <v/>
      </c>
      <c r="AC1856" s="9">
        <f>IF(AND($A1856&lt;&gt;"",M1856=설정!$C$20,Z1856&gt;0),Z1856+ROW()/1000000000,"")</f>
        <v/>
      </c>
      <c r="AD1856" s="94">
        <f>IF($A1856="",0,$P1856*AG1856)</f>
        <v/>
      </c>
      <c r="AE1856" s="64">
        <f>IF($A1856="","",IFERROR(INDEX(계정매핑!$E$5:$E$504,MATCH($F1856&amp;"",계정매핑!$A$5:$A$504,0))&amp;"","공통비"))</f>
        <v/>
      </c>
      <c r="AF1856" s="64">
        <f>IF($A1856="","",IF(AE1856="직접",IFERROR(INDEX(계정매핑!$F$5:$F$504,MATCH($F1856&amp;"",계정매핑!$A$5:$A$504,0))&amp;"","비귀속"),""))</f>
        <v/>
      </c>
      <c r="AG1856" s="96">
        <f>IF($A1856="",0,IF(AND(AE1856&lt;&gt;"직접",IFERROR(INDEX(계정매핑!$G$5:$G$504,MATCH($F1856&amp;"",계정매핑!$A$5:$A$504,0))&amp;"","")="유지비",COUNTIF(계정대체기준!$A$6:$A$15,$N1856)&gt;0),IFERROR(INDEX(계정대체기준!$E$6:$E$15,MATCH(VALUE($A1856&amp;""),계정대체기준!$D$6:$D$15,0)),0),0))</f>
        <v/>
      </c>
      <c r="AH1856" s="64">
        <f>IF($A1856="","",IF(AD1856=0,"",IF(OR(COUNTIF(계정대체기준!$A$77:$A$86,$N1856)&gt;0,ISNUMBER(MATCH($X1856,계정대체기준!$D$77:$D$86,0)),ISNUMBER(MATCH($F1856,계정대체기준!$D$77:$D$86,0))),"Y","N")))</f>
        <v/>
      </c>
    </row>
    <row r="1857">
      <c r="A1857" s="92" t="n">
        <v>2025</v>
      </c>
      <c r="B1857" s="92" t="n">
        <v>9</v>
      </c>
      <c r="C1857" s="92" t="inlineStr">
        <is>
          <t>5100001853</t>
        </is>
      </c>
      <c r="D1857" s="95" t="n">
        <v>45906</v>
      </c>
      <c r="E1857" s="92" t="inlineStr">
        <is>
          <t>KR</t>
        </is>
      </c>
      <c r="F1857" s="92" t="n">
        <v>62102000</v>
      </c>
      <c r="G1857" s="92" t="n">
        <v>1201</v>
      </c>
      <c r="H1857" s="93" t="n">
        <v>47000</v>
      </c>
      <c r="I1857" s="92" t="inlineStr">
        <is>
          <t>9월 해외출장 - N호텔</t>
        </is>
      </c>
      <c r="J1857" s="92" t="inlineStr">
        <is>
          <t>V10009</t>
        </is>
      </c>
      <c r="K1857" s="92" t="inlineStr">
        <is>
          <t>N호텔</t>
        </is>
      </c>
      <c r="M1857" s="9">
        <f>IF($A1857="","",VALUE($A1857&amp;"")*12+VALUE($B1857&amp;""))</f>
        <v/>
      </c>
      <c r="N1857" s="64">
        <f>IF($A1857="","",IFERROR(INDEX(부서매핑!$C$5:$C$504,MATCH($G1857&amp;"",부서매핑!$A$5:$A$504,0)),"미매핑"))</f>
        <v/>
      </c>
      <c r="O1857" s="9">
        <f>IF($A1857="","",N1857&amp;"|"&amp;$F1857)</f>
        <v/>
      </c>
      <c r="P1857" s="94">
        <f>IF($A1857="",0,$H1857*설정!$C$23)</f>
        <v/>
      </c>
      <c r="Q1857" s="64">
        <f>IF($A1857="","",IF(O1857&lt;&gt;원인분석!$C$9,"",IF(AND(M1857&gt;=원인분석!$C$10,M1857&lt;=원인분석!$C$11),"당기",IF(AND(M1857&gt;=원인분석!$C$12,M1857&lt;=원인분석!$C$13),"비교",""))))</f>
        <v/>
      </c>
      <c r="R1857" s="9">
        <f>IF(Q1857="","",$K1857&amp;"")</f>
        <v/>
      </c>
      <c r="S1857" s="9">
        <f>IF(Q1857="","",IF(MATCH(R1857,$R$5:$R$100000,0)=ROW()-4,ROW(),""))</f>
        <v/>
      </c>
      <c r="T1857" s="9">
        <f>IF(Q1857="당기",ABS(P1857)+ROW()/1000000000,"")</f>
        <v/>
      </c>
      <c r="U1857" s="9">
        <f>IF(Q1857="비교",ABS(P1857)+ROW()/1000000000,"")</f>
        <v/>
      </c>
      <c r="V1857" s="64">
        <f>IF($A1857="","",IF(COUNTIF(변동분석!$E$7:$E$506,O1857)&gt;0,"Y","N"))</f>
        <v/>
      </c>
      <c r="W1857" s="64">
        <f>IF($A1857="","",IFERROR(INDEX(계정매핑!$D$5:$D$504,MATCH($F1857&amp;"",계정매핑!$A$5:$A$504,0)),"미매핑"))</f>
        <v/>
      </c>
      <c r="X1857" s="9">
        <f>IF($A1857="","",$F1857&amp;"")</f>
        <v/>
      </c>
      <c r="Y1857" s="94">
        <f>IF($A1857="",0,IF(AE1857="직접",IF(AF1857="비귀속",$P1857,0),$P1857*(1-AG1857)*IFERROR(INDEX(계정대체기준!$F$20:$F$49,MATCH($N1857,계정대체기준!$A$20:$A$49,0)),1)))</f>
        <v/>
      </c>
      <c r="Z1857" s="94">
        <f>IF($A1857="",0,IF(AE1857="직접",IF(AF1857="신계약비",$P1857,0),$P1857*(1-AG1857)*IFERROR(INDEX(계정대체기준!$C$20:$C$49,MATCH($N1857,계정대체기준!$A$20:$A$49,0)),0)))</f>
        <v/>
      </c>
      <c r="AA1857" s="94">
        <f>IF($A1857="",0,IF(AE1857="직접",IF(OR(AF1857="유지비",AF1857="손해조사비"),$P1857,0),$P1857*(1-AG1857)*IFERROR(INDEX(계정대체기준!$D$20:$D$49,MATCH($N1857,계정대체기준!$A$20:$A$49,0)),0)))</f>
        <v/>
      </c>
      <c r="AB1857" s="94">
        <f>IF($A1857="",0,IF(AE1857="직접",IF(AF1857="수금비",$P1857,0),$P1857*(1-AG1857)*IFERROR(INDEX(계정대체기준!$E$20:$E$49,MATCH($N1857,계정대체기준!$A$20:$A$49,0)),0)))</f>
        <v/>
      </c>
      <c r="AC1857" s="9">
        <f>IF(AND($A1857&lt;&gt;"",M1857=설정!$C$20,Z1857&gt;0),Z1857+ROW()/1000000000,"")</f>
        <v/>
      </c>
      <c r="AD1857" s="94">
        <f>IF($A1857="",0,$P1857*AG1857)</f>
        <v/>
      </c>
      <c r="AE1857" s="64">
        <f>IF($A1857="","",IFERROR(INDEX(계정매핑!$E$5:$E$504,MATCH($F1857&amp;"",계정매핑!$A$5:$A$504,0))&amp;"","공통비"))</f>
        <v/>
      </c>
      <c r="AF1857" s="64">
        <f>IF($A1857="","",IF(AE1857="직접",IFERROR(INDEX(계정매핑!$F$5:$F$504,MATCH($F1857&amp;"",계정매핑!$A$5:$A$504,0))&amp;"","비귀속"),""))</f>
        <v/>
      </c>
      <c r="AG1857" s="96">
        <f>IF($A1857="",0,IF(AND(AE1857&lt;&gt;"직접",IFERROR(INDEX(계정매핑!$G$5:$G$504,MATCH($F1857&amp;"",계정매핑!$A$5:$A$504,0))&amp;"","")="유지비",COUNTIF(계정대체기준!$A$6:$A$15,$N1857)&gt;0),IFERROR(INDEX(계정대체기준!$E$6:$E$15,MATCH(VALUE($A1857&amp;""),계정대체기준!$D$6:$D$15,0)),0),0))</f>
        <v/>
      </c>
      <c r="AH1857" s="64">
        <f>IF($A1857="","",IF(AD1857=0,"",IF(OR(COUNTIF(계정대체기준!$A$77:$A$86,$N1857)&gt;0,ISNUMBER(MATCH($X1857,계정대체기준!$D$77:$D$86,0)),ISNUMBER(MATCH($F1857,계정대체기준!$D$77:$D$86,0))),"Y","N")))</f>
        <v/>
      </c>
    </row>
    <row r="1858">
      <c r="A1858" s="92" t="n">
        <v>2025</v>
      </c>
      <c r="B1858" s="92" t="n">
        <v>9</v>
      </c>
      <c r="C1858" s="92" t="inlineStr">
        <is>
          <t>5100001854</t>
        </is>
      </c>
      <c r="D1858" s="95" t="n">
        <v>45906</v>
      </c>
      <c r="E1858" s="92" t="inlineStr">
        <is>
          <t>KR</t>
        </is>
      </c>
      <c r="F1858" s="92" t="n">
        <v>62102000</v>
      </c>
      <c r="G1858" s="92" t="n">
        <v>1601</v>
      </c>
      <c r="H1858" s="93" t="n">
        <v>343000</v>
      </c>
      <c r="I1858" s="92" t="inlineStr">
        <is>
          <t>9월 해외출장 - M항공</t>
        </is>
      </c>
      <c r="J1858" s="92" t="inlineStr">
        <is>
          <t>V10001</t>
        </is>
      </c>
      <c r="K1858" s="92" t="inlineStr">
        <is>
          <t>M항공</t>
        </is>
      </c>
      <c r="M1858" s="9">
        <f>IF($A1858="","",VALUE($A1858&amp;"")*12+VALUE($B1858&amp;""))</f>
        <v/>
      </c>
      <c r="N1858" s="64">
        <f>IF($A1858="","",IFERROR(INDEX(부서매핑!$C$5:$C$504,MATCH($G1858&amp;"",부서매핑!$A$5:$A$504,0)),"미매핑"))</f>
        <v/>
      </c>
      <c r="O1858" s="9">
        <f>IF($A1858="","",N1858&amp;"|"&amp;$F1858)</f>
        <v/>
      </c>
      <c r="P1858" s="94">
        <f>IF($A1858="",0,$H1858*설정!$C$23)</f>
        <v/>
      </c>
      <c r="Q1858" s="64">
        <f>IF($A1858="","",IF(O1858&lt;&gt;원인분석!$C$9,"",IF(AND(M1858&gt;=원인분석!$C$10,M1858&lt;=원인분석!$C$11),"당기",IF(AND(M1858&gt;=원인분석!$C$12,M1858&lt;=원인분석!$C$13),"비교",""))))</f>
        <v/>
      </c>
      <c r="R1858" s="9">
        <f>IF(Q1858="","",$K1858&amp;"")</f>
        <v/>
      </c>
      <c r="S1858" s="9">
        <f>IF(Q1858="","",IF(MATCH(R1858,$R$5:$R$100000,0)=ROW()-4,ROW(),""))</f>
        <v/>
      </c>
      <c r="T1858" s="9">
        <f>IF(Q1858="당기",ABS(P1858)+ROW()/1000000000,"")</f>
        <v/>
      </c>
      <c r="U1858" s="9">
        <f>IF(Q1858="비교",ABS(P1858)+ROW()/1000000000,"")</f>
        <v/>
      </c>
      <c r="V1858" s="64">
        <f>IF($A1858="","",IF(COUNTIF(변동분석!$E$7:$E$506,O1858)&gt;0,"Y","N"))</f>
        <v/>
      </c>
      <c r="W1858" s="64">
        <f>IF($A1858="","",IFERROR(INDEX(계정매핑!$D$5:$D$504,MATCH($F1858&amp;"",계정매핑!$A$5:$A$504,0)),"미매핑"))</f>
        <v/>
      </c>
      <c r="X1858" s="9">
        <f>IF($A1858="","",$F1858&amp;"")</f>
        <v/>
      </c>
      <c r="Y1858" s="94">
        <f>IF($A1858="",0,IF(AE1858="직접",IF(AF1858="비귀속",$P1858,0),$P1858*(1-AG1858)*IFERROR(INDEX(계정대체기준!$F$20:$F$49,MATCH($N1858,계정대체기준!$A$20:$A$49,0)),1)))</f>
        <v/>
      </c>
      <c r="Z1858" s="94">
        <f>IF($A1858="",0,IF(AE1858="직접",IF(AF1858="신계약비",$P1858,0),$P1858*(1-AG1858)*IFERROR(INDEX(계정대체기준!$C$20:$C$49,MATCH($N1858,계정대체기준!$A$20:$A$49,0)),0)))</f>
        <v/>
      </c>
      <c r="AA1858" s="94">
        <f>IF($A1858="",0,IF(AE1858="직접",IF(OR(AF1858="유지비",AF1858="손해조사비"),$P1858,0),$P1858*(1-AG1858)*IFERROR(INDEX(계정대체기준!$D$20:$D$49,MATCH($N1858,계정대체기준!$A$20:$A$49,0)),0)))</f>
        <v/>
      </c>
      <c r="AB1858" s="94">
        <f>IF($A1858="",0,IF(AE1858="직접",IF(AF1858="수금비",$P1858,0),$P1858*(1-AG1858)*IFERROR(INDEX(계정대체기준!$E$20:$E$49,MATCH($N1858,계정대체기준!$A$20:$A$49,0)),0)))</f>
        <v/>
      </c>
      <c r="AC1858" s="9">
        <f>IF(AND($A1858&lt;&gt;"",M1858=설정!$C$20,Z1858&gt;0),Z1858+ROW()/1000000000,"")</f>
        <v/>
      </c>
      <c r="AD1858" s="94">
        <f>IF($A1858="",0,$P1858*AG1858)</f>
        <v/>
      </c>
      <c r="AE1858" s="64">
        <f>IF($A1858="","",IFERROR(INDEX(계정매핑!$E$5:$E$504,MATCH($F1858&amp;"",계정매핑!$A$5:$A$504,0))&amp;"","공통비"))</f>
        <v/>
      </c>
      <c r="AF1858" s="64">
        <f>IF($A1858="","",IF(AE1858="직접",IFERROR(INDEX(계정매핑!$F$5:$F$504,MATCH($F1858&amp;"",계정매핑!$A$5:$A$504,0))&amp;"","비귀속"),""))</f>
        <v/>
      </c>
      <c r="AG1858" s="96">
        <f>IF($A1858="",0,IF(AND(AE1858&lt;&gt;"직접",IFERROR(INDEX(계정매핑!$G$5:$G$504,MATCH($F1858&amp;"",계정매핑!$A$5:$A$504,0))&amp;"","")="유지비",COUNTIF(계정대체기준!$A$6:$A$15,$N1858)&gt;0),IFERROR(INDEX(계정대체기준!$E$6:$E$15,MATCH(VALUE($A1858&amp;""),계정대체기준!$D$6:$D$15,0)),0),0))</f>
        <v/>
      </c>
      <c r="AH1858" s="64">
        <f>IF($A1858="","",IF(AD1858=0,"",IF(OR(COUNTIF(계정대체기준!$A$77:$A$86,$N1858)&gt;0,ISNUMBER(MATCH($X1858,계정대체기준!$D$77:$D$86,0)),ISNUMBER(MATCH($F1858,계정대체기준!$D$77:$D$86,0))),"Y","N")))</f>
        <v/>
      </c>
    </row>
    <row r="1859">
      <c r="A1859" s="92" t="n">
        <v>2025</v>
      </c>
      <c r="B1859" s="92" t="n">
        <v>9</v>
      </c>
      <c r="C1859" s="92" t="inlineStr">
        <is>
          <t>5100001855</t>
        </is>
      </c>
      <c r="D1859" s="95" t="n">
        <v>45906</v>
      </c>
      <c r="E1859" s="92" t="inlineStr">
        <is>
          <t>KR</t>
        </is>
      </c>
      <c r="F1859" s="92" t="n">
        <v>62301000</v>
      </c>
      <c r="G1859" s="92" t="n">
        <v>1601</v>
      </c>
      <c r="H1859" s="93" t="n">
        <v>577000</v>
      </c>
      <c r="I1859" s="92" t="inlineStr">
        <is>
          <t>9월 소모품 구입 - Q오피스</t>
        </is>
      </c>
      <c r="J1859" s="92" t="inlineStr">
        <is>
          <t>V10003</t>
        </is>
      </c>
      <c r="K1859" s="92" t="inlineStr">
        <is>
          <t>Q오피스</t>
        </is>
      </c>
      <c r="M1859" s="9">
        <f>IF($A1859="","",VALUE($A1859&amp;"")*12+VALUE($B1859&amp;""))</f>
        <v/>
      </c>
      <c r="N1859" s="64">
        <f>IF($A1859="","",IFERROR(INDEX(부서매핑!$C$5:$C$504,MATCH($G1859&amp;"",부서매핑!$A$5:$A$504,0)),"미매핑"))</f>
        <v/>
      </c>
      <c r="O1859" s="9">
        <f>IF($A1859="","",N1859&amp;"|"&amp;$F1859)</f>
        <v/>
      </c>
      <c r="P1859" s="94">
        <f>IF($A1859="",0,$H1859*설정!$C$23)</f>
        <v/>
      </c>
      <c r="Q1859" s="64">
        <f>IF($A1859="","",IF(O1859&lt;&gt;원인분석!$C$9,"",IF(AND(M1859&gt;=원인분석!$C$10,M1859&lt;=원인분석!$C$11),"당기",IF(AND(M1859&gt;=원인분석!$C$12,M1859&lt;=원인분석!$C$13),"비교",""))))</f>
        <v/>
      </c>
      <c r="R1859" s="9">
        <f>IF(Q1859="","",$K1859&amp;"")</f>
        <v/>
      </c>
      <c r="S1859" s="9">
        <f>IF(Q1859="","",IF(MATCH(R1859,$R$5:$R$100000,0)=ROW()-4,ROW(),""))</f>
        <v/>
      </c>
      <c r="T1859" s="9">
        <f>IF(Q1859="당기",ABS(P1859)+ROW()/1000000000,"")</f>
        <v/>
      </c>
      <c r="U1859" s="9">
        <f>IF(Q1859="비교",ABS(P1859)+ROW()/1000000000,"")</f>
        <v/>
      </c>
      <c r="V1859" s="64">
        <f>IF($A1859="","",IF(COUNTIF(변동분석!$E$7:$E$506,O1859)&gt;0,"Y","N"))</f>
        <v/>
      </c>
      <c r="W1859" s="64">
        <f>IF($A1859="","",IFERROR(INDEX(계정매핑!$D$5:$D$504,MATCH($F1859&amp;"",계정매핑!$A$5:$A$504,0)),"미매핑"))</f>
        <v/>
      </c>
      <c r="X1859" s="9">
        <f>IF($A1859="","",$F1859&amp;"")</f>
        <v/>
      </c>
      <c r="Y1859" s="94">
        <f>IF($A1859="",0,IF(AE1859="직접",IF(AF1859="비귀속",$P1859,0),$P1859*(1-AG1859)*IFERROR(INDEX(계정대체기준!$F$20:$F$49,MATCH($N1859,계정대체기준!$A$20:$A$49,0)),1)))</f>
        <v/>
      </c>
      <c r="Z1859" s="94">
        <f>IF($A1859="",0,IF(AE1859="직접",IF(AF1859="신계약비",$P1859,0),$P1859*(1-AG1859)*IFERROR(INDEX(계정대체기준!$C$20:$C$49,MATCH($N1859,계정대체기준!$A$20:$A$49,0)),0)))</f>
        <v/>
      </c>
      <c r="AA1859" s="94">
        <f>IF($A1859="",0,IF(AE1859="직접",IF(OR(AF1859="유지비",AF1859="손해조사비"),$P1859,0),$P1859*(1-AG1859)*IFERROR(INDEX(계정대체기준!$D$20:$D$49,MATCH($N1859,계정대체기준!$A$20:$A$49,0)),0)))</f>
        <v/>
      </c>
      <c r="AB1859" s="94">
        <f>IF($A1859="",0,IF(AE1859="직접",IF(AF1859="수금비",$P1859,0),$P1859*(1-AG1859)*IFERROR(INDEX(계정대체기준!$E$20:$E$49,MATCH($N1859,계정대체기준!$A$20:$A$49,0)),0)))</f>
        <v/>
      </c>
      <c r="AC1859" s="9">
        <f>IF(AND($A1859&lt;&gt;"",M1859=설정!$C$20,Z1859&gt;0),Z1859+ROW()/1000000000,"")</f>
        <v/>
      </c>
      <c r="AD1859" s="94">
        <f>IF($A1859="",0,$P1859*AG1859)</f>
        <v/>
      </c>
      <c r="AE1859" s="64">
        <f>IF($A1859="","",IFERROR(INDEX(계정매핑!$E$5:$E$504,MATCH($F1859&amp;"",계정매핑!$A$5:$A$504,0))&amp;"","공통비"))</f>
        <v/>
      </c>
      <c r="AF1859" s="64">
        <f>IF($A1859="","",IF(AE1859="직접",IFERROR(INDEX(계정매핑!$F$5:$F$504,MATCH($F1859&amp;"",계정매핑!$A$5:$A$504,0))&amp;"","비귀속"),""))</f>
        <v/>
      </c>
      <c r="AG1859" s="96">
        <f>IF($A1859="",0,IF(AND(AE1859&lt;&gt;"직접",IFERROR(INDEX(계정매핑!$G$5:$G$504,MATCH($F1859&amp;"",계정매핑!$A$5:$A$504,0))&amp;"","")="유지비",COUNTIF(계정대체기준!$A$6:$A$15,$N1859)&gt;0),IFERROR(INDEX(계정대체기준!$E$6:$E$15,MATCH(VALUE($A1859&amp;""),계정대체기준!$D$6:$D$15,0)),0),0))</f>
        <v/>
      </c>
      <c r="AH1859" s="64">
        <f>IF($A1859="","",IF(AD1859=0,"",IF(OR(COUNTIF(계정대체기준!$A$77:$A$86,$N1859)&gt;0,ISNUMBER(MATCH($X1859,계정대체기준!$D$77:$D$86,0)),ISNUMBER(MATCH($F1859,계정대체기준!$D$77:$D$86,0))),"Y","N")))</f>
        <v/>
      </c>
    </row>
    <row r="1860">
      <c r="A1860" s="92" t="n">
        <v>2025</v>
      </c>
      <c r="B1860" s="92" t="n">
        <v>9</v>
      </c>
      <c r="C1860" s="92" t="inlineStr">
        <is>
          <t>5100001856</t>
        </is>
      </c>
      <c r="D1860" s="95" t="n">
        <v>45906</v>
      </c>
      <c r="E1860" s="92" t="inlineStr">
        <is>
          <t>KR</t>
        </is>
      </c>
      <c r="F1860" s="92" t="n">
        <v>62801000</v>
      </c>
      <c r="G1860" s="92" t="n">
        <v>1301</v>
      </c>
      <c r="H1860" s="93" t="n">
        <v>2897000</v>
      </c>
      <c r="I1860" s="92" t="inlineStr">
        <is>
          <t>9월 사내교육 - (사내강사료)</t>
        </is>
      </c>
      <c r="J1860" s="92" t="inlineStr">
        <is>
          <t>V10024</t>
        </is>
      </c>
      <c r="K1860" s="92" t="inlineStr">
        <is>
          <t>(사내강사료)</t>
        </is>
      </c>
      <c r="M1860" s="9">
        <f>IF($A1860="","",VALUE($A1860&amp;"")*12+VALUE($B1860&amp;""))</f>
        <v/>
      </c>
      <c r="N1860" s="64">
        <f>IF($A1860="","",IFERROR(INDEX(부서매핑!$C$5:$C$504,MATCH($G1860&amp;"",부서매핑!$A$5:$A$504,0)),"미매핑"))</f>
        <v/>
      </c>
      <c r="O1860" s="9">
        <f>IF($A1860="","",N1860&amp;"|"&amp;$F1860)</f>
        <v/>
      </c>
      <c r="P1860" s="94">
        <f>IF($A1860="",0,$H1860*설정!$C$23)</f>
        <v/>
      </c>
      <c r="Q1860" s="64">
        <f>IF($A1860="","",IF(O1860&lt;&gt;원인분석!$C$9,"",IF(AND(M1860&gt;=원인분석!$C$10,M1860&lt;=원인분석!$C$11),"당기",IF(AND(M1860&gt;=원인분석!$C$12,M1860&lt;=원인분석!$C$13),"비교",""))))</f>
        <v/>
      </c>
      <c r="R1860" s="9">
        <f>IF(Q1860="","",$K1860&amp;"")</f>
        <v/>
      </c>
      <c r="S1860" s="9">
        <f>IF(Q1860="","",IF(MATCH(R1860,$R$5:$R$100000,0)=ROW()-4,ROW(),""))</f>
        <v/>
      </c>
      <c r="T1860" s="9">
        <f>IF(Q1860="당기",ABS(P1860)+ROW()/1000000000,"")</f>
        <v/>
      </c>
      <c r="U1860" s="9">
        <f>IF(Q1860="비교",ABS(P1860)+ROW()/1000000000,"")</f>
        <v/>
      </c>
      <c r="V1860" s="64">
        <f>IF($A1860="","",IF(COUNTIF(변동분석!$E$7:$E$506,O1860)&gt;0,"Y","N"))</f>
        <v/>
      </c>
      <c r="W1860" s="64">
        <f>IF($A1860="","",IFERROR(INDEX(계정매핑!$D$5:$D$504,MATCH($F1860&amp;"",계정매핑!$A$5:$A$504,0)),"미매핑"))</f>
        <v/>
      </c>
      <c r="X1860" s="9">
        <f>IF($A1860="","",$F1860&amp;"")</f>
        <v/>
      </c>
      <c r="Y1860" s="94">
        <f>IF($A1860="",0,IF(AE1860="직접",IF(AF1860="비귀속",$P1860,0),$P1860*(1-AG1860)*IFERROR(INDEX(계정대체기준!$F$20:$F$49,MATCH($N1860,계정대체기준!$A$20:$A$49,0)),1)))</f>
        <v/>
      </c>
      <c r="Z1860" s="94">
        <f>IF($A1860="",0,IF(AE1860="직접",IF(AF1860="신계약비",$P1860,0),$P1860*(1-AG1860)*IFERROR(INDEX(계정대체기준!$C$20:$C$49,MATCH($N1860,계정대체기준!$A$20:$A$49,0)),0)))</f>
        <v/>
      </c>
      <c r="AA1860" s="94">
        <f>IF($A1860="",0,IF(AE1860="직접",IF(OR(AF1860="유지비",AF1860="손해조사비"),$P1860,0),$P1860*(1-AG1860)*IFERROR(INDEX(계정대체기준!$D$20:$D$49,MATCH($N1860,계정대체기준!$A$20:$A$49,0)),0)))</f>
        <v/>
      </c>
      <c r="AB1860" s="94">
        <f>IF($A1860="",0,IF(AE1860="직접",IF(AF1860="수금비",$P1860,0),$P1860*(1-AG1860)*IFERROR(INDEX(계정대체기준!$E$20:$E$49,MATCH($N1860,계정대체기준!$A$20:$A$49,0)),0)))</f>
        <v/>
      </c>
      <c r="AC1860" s="9">
        <f>IF(AND($A1860&lt;&gt;"",M1860=설정!$C$20,Z1860&gt;0),Z1860+ROW()/1000000000,"")</f>
        <v/>
      </c>
      <c r="AD1860" s="94">
        <f>IF($A1860="",0,$P1860*AG1860)</f>
        <v/>
      </c>
      <c r="AE1860" s="64">
        <f>IF($A1860="","",IFERROR(INDEX(계정매핑!$E$5:$E$504,MATCH($F1860&amp;"",계정매핑!$A$5:$A$504,0))&amp;"","공통비"))</f>
        <v/>
      </c>
      <c r="AF1860" s="64">
        <f>IF($A1860="","",IF(AE1860="직접",IFERROR(INDEX(계정매핑!$F$5:$F$504,MATCH($F1860&amp;"",계정매핑!$A$5:$A$504,0))&amp;"","비귀속"),""))</f>
        <v/>
      </c>
      <c r="AG1860" s="96">
        <f>IF($A1860="",0,IF(AND(AE1860&lt;&gt;"직접",IFERROR(INDEX(계정매핑!$G$5:$G$504,MATCH($F1860&amp;"",계정매핑!$A$5:$A$504,0))&amp;"","")="유지비",COUNTIF(계정대체기준!$A$6:$A$15,$N1860)&gt;0),IFERROR(INDEX(계정대체기준!$E$6:$E$15,MATCH(VALUE($A1860&amp;""),계정대체기준!$D$6:$D$15,0)),0),0))</f>
        <v/>
      </c>
      <c r="AH1860" s="64">
        <f>IF($A1860="","",IF(AD1860=0,"",IF(OR(COUNTIF(계정대체기준!$A$77:$A$86,$N1860)&gt;0,ISNUMBER(MATCH($X1860,계정대체기준!$D$77:$D$86,0)),ISNUMBER(MATCH($F1860,계정대체기준!$D$77:$D$86,0))),"Y","N")))</f>
        <v/>
      </c>
    </row>
    <row r="1861">
      <c r="A1861" s="92" t="n">
        <v>2025</v>
      </c>
      <c r="B1861" s="92" t="n">
        <v>9</v>
      </c>
      <c r="C1861" s="92" t="inlineStr">
        <is>
          <t>5100001857</t>
        </is>
      </c>
      <c r="D1861" s="95" t="n">
        <v>45906</v>
      </c>
      <c r="E1861" s="92" t="inlineStr">
        <is>
          <t>KR</t>
        </is>
      </c>
      <c r="F1861" s="92" t="n">
        <v>62802000</v>
      </c>
      <c r="G1861" s="92" t="n">
        <v>1301</v>
      </c>
      <c r="H1861" s="93" t="n">
        <v>8244000</v>
      </c>
      <c r="I1861" s="92" t="inlineStr">
        <is>
          <t>9월 위탁교육 - I교육원</t>
        </is>
      </c>
      <c r="J1861" s="92" t="inlineStr">
        <is>
          <t>V10019</t>
        </is>
      </c>
      <c r="K1861" s="92" t="inlineStr">
        <is>
          <t>I교육원</t>
        </is>
      </c>
      <c r="M1861" s="9">
        <f>IF($A1861="","",VALUE($A1861&amp;"")*12+VALUE($B1861&amp;""))</f>
        <v/>
      </c>
      <c r="N1861" s="64">
        <f>IF($A1861="","",IFERROR(INDEX(부서매핑!$C$5:$C$504,MATCH($G1861&amp;"",부서매핑!$A$5:$A$504,0)),"미매핑"))</f>
        <v/>
      </c>
      <c r="O1861" s="9">
        <f>IF($A1861="","",N1861&amp;"|"&amp;$F1861)</f>
        <v/>
      </c>
      <c r="P1861" s="94">
        <f>IF($A1861="",0,$H1861*설정!$C$23)</f>
        <v/>
      </c>
      <c r="Q1861" s="64">
        <f>IF($A1861="","",IF(O1861&lt;&gt;원인분석!$C$9,"",IF(AND(M1861&gt;=원인분석!$C$10,M1861&lt;=원인분석!$C$11),"당기",IF(AND(M1861&gt;=원인분석!$C$12,M1861&lt;=원인분석!$C$13),"비교",""))))</f>
        <v/>
      </c>
      <c r="R1861" s="9">
        <f>IF(Q1861="","",$K1861&amp;"")</f>
        <v/>
      </c>
      <c r="S1861" s="9">
        <f>IF(Q1861="","",IF(MATCH(R1861,$R$5:$R$100000,0)=ROW()-4,ROW(),""))</f>
        <v/>
      </c>
      <c r="T1861" s="9">
        <f>IF(Q1861="당기",ABS(P1861)+ROW()/1000000000,"")</f>
        <v/>
      </c>
      <c r="U1861" s="9">
        <f>IF(Q1861="비교",ABS(P1861)+ROW()/1000000000,"")</f>
        <v/>
      </c>
      <c r="V1861" s="64">
        <f>IF($A1861="","",IF(COUNTIF(변동분석!$E$7:$E$506,O1861)&gt;0,"Y","N"))</f>
        <v/>
      </c>
      <c r="W1861" s="64">
        <f>IF($A1861="","",IFERROR(INDEX(계정매핑!$D$5:$D$504,MATCH($F1861&amp;"",계정매핑!$A$5:$A$504,0)),"미매핑"))</f>
        <v/>
      </c>
      <c r="X1861" s="9">
        <f>IF($A1861="","",$F1861&amp;"")</f>
        <v/>
      </c>
      <c r="Y1861" s="94">
        <f>IF($A1861="",0,IF(AE1861="직접",IF(AF1861="비귀속",$P1861,0),$P1861*(1-AG1861)*IFERROR(INDEX(계정대체기준!$F$20:$F$49,MATCH($N1861,계정대체기준!$A$20:$A$49,0)),1)))</f>
        <v/>
      </c>
      <c r="Z1861" s="94">
        <f>IF($A1861="",0,IF(AE1861="직접",IF(AF1861="신계약비",$P1861,0),$P1861*(1-AG1861)*IFERROR(INDEX(계정대체기준!$C$20:$C$49,MATCH($N1861,계정대체기준!$A$20:$A$49,0)),0)))</f>
        <v/>
      </c>
      <c r="AA1861" s="94">
        <f>IF($A1861="",0,IF(AE1861="직접",IF(OR(AF1861="유지비",AF1861="손해조사비"),$P1861,0),$P1861*(1-AG1861)*IFERROR(INDEX(계정대체기준!$D$20:$D$49,MATCH($N1861,계정대체기준!$A$20:$A$49,0)),0)))</f>
        <v/>
      </c>
      <c r="AB1861" s="94">
        <f>IF($A1861="",0,IF(AE1861="직접",IF(AF1861="수금비",$P1861,0),$P1861*(1-AG1861)*IFERROR(INDEX(계정대체기준!$E$20:$E$49,MATCH($N1861,계정대체기준!$A$20:$A$49,0)),0)))</f>
        <v/>
      </c>
      <c r="AC1861" s="9">
        <f>IF(AND($A1861&lt;&gt;"",M1861=설정!$C$20,Z1861&gt;0),Z1861+ROW()/1000000000,"")</f>
        <v/>
      </c>
      <c r="AD1861" s="94">
        <f>IF($A1861="",0,$P1861*AG1861)</f>
        <v/>
      </c>
      <c r="AE1861" s="64">
        <f>IF($A1861="","",IFERROR(INDEX(계정매핑!$E$5:$E$504,MATCH($F1861&amp;"",계정매핑!$A$5:$A$504,0))&amp;"","공통비"))</f>
        <v/>
      </c>
      <c r="AF1861" s="64">
        <f>IF($A1861="","",IF(AE1861="직접",IFERROR(INDEX(계정매핑!$F$5:$F$504,MATCH($F1861&amp;"",계정매핑!$A$5:$A$504,0))&amp;"","비귀속"),""))</f>
        <v/>
      </c>
      <c r="AG1861" s="96">
        <f>IF($A1861="",0,IF(AND(AE1861&lt;&gt;"직접",IFERROR(INDEX(계정매핑!$G$5:$G$504,MATCH($F1861&amp;"",계정매핑!$A$5:$A$504,0))&amp;"","")="유지비",COUNTIF(계정대체기준!$A$6:$A$15,$N1861)&gt;0),IFERROR(INDEX(계정대체기준!$E$6:$E$15,MATCH(VALUE($A1861&amp;""),계정대체기준!$D$6:$D$15,0)),0),0))</f>
        <v/>
      </c>
      <c r="AH1861" s="64">
        <f>IF($A1861="","",IF(AD1861=0,"",IF(OR(COUNTIF(계정대체기준!$A$77:$A$86,$N1861)&gt;0,ISNUMBER(MATCH($X1861,계정대체기준!$D$77:$D$86,0)),ISNUMBER(MATCH($F1861,계정대체기준!$D$77:$D$86,0))),"Y","N")))</f>
        <v/>
      </c>
    </row>
    <row r="1862">
      <c r="A1862" s="92" t="n">
        <v>2025</v>
      </c>
      <c r="B1862" s="92" t="n">
        <v>9</v>
      </c>
      <c r="C1862" s="92" t="inlineStr">
        <is>
          <t>5100001858</t>
        </is>
      </c>
      <c r="D1862" s="95" t="n">
        <v>45906</v>
      </c>
      <c r="E1862" s="92" t="inlineStr">
        <is>
          <t>KR</t>
        </is>
      </c>
      <c r="F1862" s="92" t="n">
        <v>62902000</v>
      </c>
      <c r="G1862" s="92" t="n">
        <v>1951</v>
      </c>
      <c r="H1862" s="93" t="n">
        <v>3467000</v>
      </c>
      <c r="I1862" s="92" t="inlineStr">
        <is>
          <t>9월 업무 위탁 수수료 - X서비스</t>
        </is>
      </c>
      <c r="J1862" s="92" t="inlineStr">
        <is>
          <t>V10020</t>
        </is>
      </c>
      <c r="K1862" s="92" t="inlineStr">
        <is>
          <t>X서비스</t>
        </is>
      </c>
      <c r="M1862" s="9">
        <f>IF($A1862="","",VALUE($A1862&amp;"")*12+VALUE($B1862&amp;""))</f>
        <v/>
      </c>
      <c r="N1862" s="64">
        <f>IF($A1862="","",IFERROR(INDEX(부서매핑!$C$5:$C$504,MATCH($G1862&amp;"",부서매핑!$A$5:$A$504,0)),"미매핑"))</f>
        <v/>
      </c>
      <c r="O1862" s="9">
        <f>IF($A1862="","",N1862&amp;"|"&amp;$F1862)</f>
        <v/>
      </c>
      <c r="P1862" s="94">
        <f>IF($A1862="",0,$H1862*설정!$C$23)</f>
        <v/>
      </c>
      <c r="Q1862" s="64">
        <f>IF($A1862="","",IF(O1862&lt;&gt;원인분석!$C$9,"",IF(AND(M1862&gt;=원인분석!$C$10,M1862&lt;=원인분석!$C$11),"당기",IF(AND(M1862&gt;=원인분석!$C$12,M1862&lt;=원인분석!$C$13),"비교",""))))</f>
        <v/>
      </c>
      <c r="R1862" s="9">
        <f>IF(Q1862="","",$K1862&amp;"")</f>
        <v/>
      </c>
      <c r="S1862" s="9">
        <f>IF(Q1862="","",IF(MATCH(R1862,$R$5:$R$100000,0)=ROW()-4,ROW(),""))</f>
        <v/>
      </c>
      <c r="T1862" s="9">
        <f>IF(Q1862="당기",ABS(P1862)+ROW()/1000000000,"")</f>
        <v/>
      </c>
      <c r="U1862" s="9">
        <f>IF(Q1862="비교",ABS(P1862)+ROW()/1000000000,"")</f>
        <v/>
      </c>
      <c r="V1862" s="64">
        <f>IF($A1862="","",IF(COUNTIF(변동분석!$E$7:$E$506,O1862)&gt;0,"Y","N"))</f>
        <v/>
      </c>
      <c r="W1862" s="64">
        <f>IF($A1862="","",IFERROR(INDEX(계정매핑!$D$5:$D$504,MATCH($F1862&amp;"",계정매핑!$A$5:$A$504,0)),"미매핑"))</f>
        <v/>
      </c>
      <c r="X1862" s="9">
        <f>IF($A1862="","",$F1862&amp;"")</f>
        <v/>
      </c>
      <c r="Y1862" s="94">
        <f>IF($A1862="",0,IF(AE1862="직접",IF(AF1862="비귀속",$P1862,0),$P1862*(1-AG1862)*IFERROR(INDEX(계정대체기준!$F$20:$F$49,MATCH($N1862,계정대체기준!$A$20:$A$49,0)),1)))</f>
        <v/>
      </c>
      <c r="Z1862" s="94">
        <f>IF($A1862="",0,IF(AE1862="직접",IF(AF1862="신계약비",$P1862,0),$P1862*(1-AG1862)*IFERROR(INDEX(계정대체기준!$C$20:$C$49,MATCH($N1862,계정대체기준!$A$20:$A$49,0)),0)))</f>
        <v/>
      </c>
      <c r="AA1862" s="94">
        <f>IF($A1862="",0,IF(AE1862="직접",IF(OR(AF1862="유지비",AF1862="손해조사비"),$P1862,0),$P1862*(1-AG1862)*IFERROR(INDEX(계정대체기준!$D$20:$D$49,MATCH($N1862,계정대체기준!$A$20:$A$49,0)),0)))</f>
        <v/>
      </c>
      <c r="AB1862" s="94">
        <f>IF($A1862="",0,IF(AE1862="직접",IF(AF1862="수금비",$P1862,0),$P1862*(1-AG1862)*IFERROR(INDEX(계정대체기준!$E$20:$E$49,MATCH($N1862,계정대체기준!$A$20:$A$49,0)),0)))</f>
        <v/>
      </c>
      <c r="AC1862" s="9">
        <f>IF(AND($A1862&lt;&gt;"",M1862=설정!$C$20,Z1862&gt;0),Z1862+ROW()/1000000000,"")</f>
        <v/>
      </c>
      <c r="AD1862" s="94">
        <f>IF($A1862="",0,$P1862*AG1862)</f>
        <v/>
      </c>
      <c r="AE1862" s="64">
        <f>IF($A1862="","",IFERROR(INDEX(계정매핑!$E$5:$E$504,MATCH($F1862&amp;"",계정매핑!$A$5:$A$504,0))&amp;"","공통비"))</f>
        <v/>
      </c>
      <c r="AF1862" s="64">
        <f>IF($A1862="","",IF(AE1862="직접",IFERROR(INDEX(계정매핑!$F$5:$F$504,MATCH($F1862&amp;"",계정매핑!$A$5:$A$504,0))&amp;"","비귀속"),""))</f>
        <v/>
      </c>
      <c r="AG1862" s="96">
        <f>IF($A1862="",0,IF(AND(AE1862&lt;&gt;"직접",IFERROR(INDEX(계정매핑!$G$5:$G$504,MATCH($F1862&amp;"",계정매핑!$A$5:$A$504,0))&amp;"","")="유지비",COUNTIF(계정대체기준!$A$6:$A$15,$N1862)&gt;0),IFERROR(INDEX(계정대체기준!$E$6:$E$15,MATCH(VALUE($A1862&amp;""),계정대체기준!$D$6:$D$15,0)),0),0))</f>
        <v/>
      </c>
      <c r="AH1862" s="64">
        <f>IF($A1862="","",IF(AD1862=0,"",IF(OR(COUNTIF(계정대체기준!$A$77:$A$86,$N1862)&gt;0,ISNUMBER(MATCH($X1862,계정대체기준!$D$77:$D$86,0)),ISNUMBER(MATCH($F1862,계정대체기준!$D$77:$D$86,0))),"Y","N")))</f>
        <v/>
      </c>
    </row>
    <row r="1863">
      <c r="A1863" s="92" t="n">
        <v>2025</v>
      </c>
      <c r="B1863" s="92" t="n">
        <v>9</v>
      </c>
      <c r="C1863" s="92" t="inlineStr">
        <is>
          <t>5100001859</t>
        </is>
      </c>
      <c r="D1863" s="95" t="n">
        <v>45906</v>
      </c>
      <c r="E1863" s="92" t="inlineStr">
        <is>
          <t>KR</t>
        </is>
      </c>
      <c r="F1863" s="92" t="n">
        <v>63501000</v>
      </c>
      <c r="G1863" s="92" t="n">
        <v>1901</v>
      </c>
      <c r="H1863" s="93" t="n">
        <v>473521000</v>
      </c>
      <c r="I1863" s="92" t="inlineStr">
        <is>
          <t>9월 모집수수료 - AA보험대리점</t>
        </is>
      </c>
      <c r="J1863" s="92" t="inlineStr">
        <is>
          <t>V10034</t>
        </is>
      </c>
      <c r="K1863" s="92" t="inlineStr">
        <is>
          <t>AA보험대리점</t>
        </is>
      </c>
      <c r="M1863" s="9">
        <f>IF($A1863="","",VALUE($A1863&amp;"")*12+VALUE($B1863&amp;""))</f>
        <v/>
      </c>
      <c r="N1863" s="64">
        <f>IF($A1863="","",IFERROR(INDEX(부서매핑!$C$5:$C$504,MATCH($G1863&amp;"",부서매핑!$A$5:$A$504,0)),"미매핑"))</f>
        <v/>
      </c>
      <c r="O1863" s="9">
        <f>IF($A1863="","",N1863&amp;"|"&amp;$F1863)</f>
        <v/>
      </c>
      <c r="P1863" s="94">
        <f>IF($A1863="",0,$H1863*설정!$C$23)</f>
        <v/>
      </c>
      <c r="Q1863" s="64">
        <f>IF($A1863="","",IF(O1863&lt;&gt;원인분석!$C$9,"",IF(AND(M1863&gt;=원인분석!$C$10,M1863&lt;=원인분석!$C$11),"당기",IF(AND(M1863&gt;=원인분석!$C$12,M1863&lt;=원인분석!$C$13),"비교",""))))</f>
        <v/>
      </c>
      <c r="R1863" s="9">
        <f>IF(Q1863="","",$K1863&amp;"")</f>
        <v/>
      </c>
      <c r="S1863" s="9">
        <f>IF(Q1863="","",IF(MATCH(R1863,$R$5:$R$100000,0)=ROW()-4,ROW(),""))</f>
        <v/>
      </c>
      <c r="T1863" s="9">
        <f>IF(Q1863="당기",ABS(P1863)+ROW()/1000000000,"")</f>
        <v/>
      </c>
      <c r="U1863" s="9">
        <f>IF(Q1863="비교",ABS(P1863)+ROW()/1000000000,"")</f>
        <v/>
      </c>
      <c r="V1863" s="64">
        <f>IF($A1863="","",IF(COUNTIF(변동분석!$E$7:$E$506,O1863)&gt;0,"Y","N"))</f>
        <v/>
      </c>
      <c r="W1863" s="64">
        <f>IF($A1863="","",IFERROR(INDEX(계정매핑!$D$5:$D$504,MATCH($F1863&amp;"",계정매핑!$A$5:$A$504,0)),"미매핑"))</f>
        <v/>
      </c>
      <c r="X1863" s="9">
        <f>IF($A1863="","",$F1863&amp;"")</f>
        <v/>
      </c>
      <c r="Y1863" s="94">
        <f>IF($A1863="",0,IF(AE1863="직접",IF(AF1863="비귀속",$P1863,0),$P1863*(1-AG1863)*IFERROR(INDEX(계정대체기준!$F$20:$F$49,MATCH($N1863,계정대체기준!$A$20:$A$49,0)),1)))</f>
        <v/>
      </c>
      <c r="Z1863" s="94">
        <f>IF($A1863="",0,IF(AE1863="직접",IF(AF1863="신계약비",$P1863,0),$P1863*(1-AG1863)*IFERROR(INDEX(계정대체기준!$C$20:$C$49,MATCH($N1863,계정대체기준!$A$20:$A$49,0)),0)))</f>
        <v/>
      </c>
      <c r="AA1863" s="94">
        <f>IF($A1863="",0,IF(AE1863="직접",IF(OR(AF1863="유지비",AF1863="손해조사비"),$P1863,0),$P1863*(1-AG1863)*IFERROR(INDEX(계정대체기준!$D$20:$D$49,MATCH($N1863,계정대체기준!$A$20:$A$49,0)),0)))</f>
        <v/>
      </c>
      <c r="AB1863" s="94">
        <f>IF($A1863="",0,IF(AE1863="직접",IF(AF1863="수금비",$P1863,0),$P1863*(1-AG1863)*IFERROR(INDEX(계정대체기준!$E$20:$E$49,MATCH($N1863,계정대체기준!$A$20:$A$49,0)),0)))</f>
        <v/>
      </c>
      <c r="AC1863" s="9">
        <f>IF(AND($A1863&lt;&gt;"",M1863=설정!$C$20,Z1863&gt;0),Z1863+ROW()/1000000000,"")</f>
        <v/>
      </c>
      <c r="AD1863" s="94">
        <f>IF($A1863="",0,$P1863*AG1863)</f>
        <v/>
      </c>
      <c r="AE1863" s="64">
        <f>IF($A1863="","",IFERROR(INDEX(계정매핑!$E$5:$E$504,MATCH($F1863&amp;"",계정매핑!$A$5:$A$504,0))&amp;"","공통비"))</f>
        <v/>
      </c>
      <c r="AF1863" s="64">
        <f>IF($A1863="","",IF(AE1863="직접",IFERROR(INDEX(계정매핑!$F$5:$F$504,MATCH($F1863&amp;"",계정매핑!$A$5:$A$504,0))&amp;"","비귀속"),""))</f>
        <v/>
      </c>
      <c r="AG1863" s="96">
        <f>IF($A1863="",0,IF(AND(AE1863&lt;&gt;"직접",IFERROR(INDEX(계정매핑!$G$5:$G$504,MATCH($F1863&amp;"",계정매핑!$A$5:$A$504,0))&amp;"","")="유지비",COUNTIF(계정대체기준!$A$6:$A$15,$N1863)&gt;0),IFERROR(INDEX(계정대체기준!$E$6:$E$15,MATCH(VALUE($A1863&amp;""),계정대체기준!$D$6:$D$15,0)),0),0))</f>
        <v/>
      </c>
      <c r="AH1863" s="64">
        <f>IF($A1863="","",IF(AD1863=0,"",IF(OR(COUNTIF(계정대체기준!$A$77:$A$86,$N1863)&gt;0,ISNUMBER(MATCH($X1863,계정대체기준!$D$77:$D$86,0)),ISNUMBER(MATCH($F1863,계정대체기준!$D$77:$D$86,0))),"Y","N")))</f>
        <v/>
      </c>
    </row>
    <row r="1864">
      <c r="A1864" s="92" t="n">
        <v>2025</v>
      </c>
      <c r="B1864" s="92" t="n">
        <v>9</v>
      </c>
      <c r="C1864" s="92" t="inlineStr">
        <is>
          <t>5100001860</t>
        </is>
      </c>
      <c r="D1864" s="95" t="n">
        <v>45907</v>
      </c>
      <c r="E1864" s="92" t="inlineStr">
        <is>
          <t>KR</t>
        </is>
      </c>
      <c r="F1864" s="92" t="n">
        <v>62101000</v>
      </c>
      <c r="G1864" s="92" t="n">
        <v>1401</v>
      </c>
      <c r="H1864" s="93" t="n">
        <v>262000</v>
      </c>
      <c r="I1864" s="92" t="inlineStr">
        <is>
          <t>9월 국내출장 - L여행사</t>
        </is>
      </c>
      <c r="J1864" s="92" t="inlineStr">
        <is>
          <t>V10018</t>
        </is>
      </c>
      <c r="K1864" s="92" t="inlineStr">
        <is>
          <t>L여행사</t>
        </is>
      </c>
      <c r="M1864" s="9">
        <f>IF($A1864="","",VALUE($A1864&amp;"")*12+VALUE($B1864&amp;""))</f>
        <v/>
      </c>
      <c r="N1864" s="64">
        <f>IF($A1864="","",IFERROR(INDEX(부서매핑!$C$5:$C$504,MATCH($G1864&amp;"",부서매핑!$A$5:$A$504,0)),"미매핑"))</f>
        <v/>
      </c>
      <c r="O1864" s="9">
        <f>IF($A1864="","",N1864&amp;"|"&amp;$F1864)</f>
        <v/>
      </c>
      <c r="P1864" s="94">
        <f>IF($A1864="",0,$H1864*설정!$C$23)</f>
        <v/>
      </c>
      <c r="Q1864" s="64">
        <f>IF($A1864="","",IF(O1864&lt;&gt;원인분석!$C$9,"",IF(AND(M1864&gt;=원인분석!$C$10,M1864&lt;=원인분석!$C$11),"당기",IF(AND(M1864&gt;=원인분석!$C$12,M1864&lt;=원인분석!$C$13),"비교",""))))</f>
        <v/>
      </c>
      <c r="R1864" s="9">
        <f>IF(Q1864="","",$K1864&amp;"")</f>
        <v/>
      </c>
      <c r="S1864" s="9">
        <f>IF(Q1864="","",IF(MATCH(R1864,$R$5:$R$100000,0)=ROW()-4,ROW(),""))</f>
        <v/>
      </c>
      <c r="T1864" s="9">
        <f>IF(Q1864="당기",ABS(P1864)+ROW()/1000000000,"")</f>
        <v/>
      </c>
      <c r="U1864" s="9">
        <f>IF(Q1864="비교",ABS(P1864)+ROW()/1000000000,"")</f>
        <v/>
      </c>
      <c r="V1864" s="64">
        <f>IF($A1864="","",IF(COUNTIF(변동분석!$E$7:$E$506,O1864)&gt;0,"Y","N"))</f>
        <v/>
      </c>
      <c r="W1864" s="64">
        <f>IF($A1864="","",IFERROR(INDEX(계정매핑!$D$5:$D$504,MATCH($F1864&amp;"",계정매핑!$A$5:$A$504,0)),"미매핑"))</f>
        <v/>
      </c>
      <c r="X1864" s="9">
        <f>IF($A1864="","",$F1864&amp;"")</f>
        <v/>
      </c>
      <c r="Y1864" s="94">
        <f>IF($A1864="",0,IF(AE1864="직접",IF(AF1864="비귀속",$P1864,0),$P1864*(1-AG1864)*IFERROR(INDEX(계정대체기준!$F$20:$F$49,MATCH($N1864,계정대체기준!$A$20:$A$49,0)),1)))</f>
        <v/>
      </c>
      <c r="Z1864" s="94">
        <f>IF($A1864="",0,IF(AE1864="직접",IF(AF1864="신계약비",$P1864,0),$P1864*(1-AG1864)*IFERROR(INDEX(계정대체기준!$C$20:$C$49,MATCH($N1864,계정대체기준!$A$20:$A$49,0)),0)))</f>
        <v/>
      </c>
      <c r="AA1864" s="94">
        <f>IF($A1864="",0,IF(AE1864="직접",IF(OR(AF1864="유지비",AF1864="손해조사비"),$P1864,0),$P1864*(1-AG1864)*IFERROR(INDEX(계정대체기준!$D$20:$D$49,MATCH($N1864,계정대체기준!$A$20:$A$49,0)),0)))</f>
        <v/>
      </c>
      <c r="AB1864" s="94">
        <f>IF($A1864="",0,IF(AE1864="직접",IF(AF1864="수금비",$P1864,0),$P1864*(1-AG1864)*IFERROR(INDEX(계정대체기준!$E$20:$E$49,MATCH($N1864,계정대체기준!$A$20:$A$49,0)),0)))</f>
        <v/>
      </c>
      <c r="AC1864" s="9">
        <f>IF(AND($A1864&lt;&gt;"",M1864=설정!$C$20,Z1864&gt;0),Z1864+ROW()/1000000000,"")</f>
        <v/>
      </c>
      <c r="AD1864" s="94">
        <f>IF($A1864="",0,$P1864*AG1864)</f>
        <v/>
      </c>
      <c r="AE1864" s="64">
        <f>IF($A1864="","",IFERROR(INDEX(계정매핑!$E$5:$E$504,MATCH($F1864&amp;"",계정매핑!$A$5:$A$504,0))&amp;"","공통비"))</f>
        <v/>
      </c>
      <c r="AF1864" s="64">
        <f>IF($A1864="","",IF(AE1864="직접",IFERROR(INDEX(계정매핑!$F$5:$F$504,MATCH($F1864&amp;"",계정매핑!$A$5:$A$504,0))&amp;"","비귀속"),""))</f>
        <v/>
      </c>
      <c r="AG1864" s="96">
        <f>IF($A1864="",0,IF(AND(AE1864&lt;&gt;"직접",IFERROR(INDEX(계정매핑!$G$5:$G$504,MATCH($F1864&amp;"",계정매핑!$A$5:$A$504,0))&amp;"","")="유지비",COUNTIF(계정대체기준!$A$6:$A$15,$N1864)&gt;0),IFERROR(INDEX(계정대체기준!$E$6:$E$15,MATCH(VALUE($A1864&amp;""),계정대체기준!$D$6:$D$15,0)),0),0))</f>
        <v/>
      </c>
      <c r="AH1864" s="64">
        <f>IF($A1864="","",IF(AD1864=0,"",IF(OR(COUNTIF(계정대체기준!$A$77:$A$86,$N1864)&gt;0,ISNUMBER(MATCH($X1864,계정대체기준!$D$77:$D$86,0)),ISNUMBER(MATCH($F1864,계정대체기준!$D$77:$D$86,0))),"Y","N")))</f>
        <v/>
      </c>
    </row>
    <row r="1865">
      <c r="A1865" s="92" t="n">
        <v>2025</v>
      </c>
      <c r="B1865" s="92" t="n">
        <v>9</v>
      </c>
      <c r="C1865" s="92" t="inlineStr">
        <is>
          <t>5100001861</t>
        </is>
      </c>
      <c r="D1865" s="95" t="n">
        <v>45907</v>
      </c>
      <c r="E1865" s="92" t="inlineStr">
        <is>
          <t>KR</t>
        </is>
      </c>
      <c r="F1865" s="92" t="n">
        <v>62101000</v>
      </c>
      <c r="G1865" s="92" t="n">
        <v>1951</v>
      </c>
      <c r="H1865" s="93" t="n">
        <v>435000</v>
      </c>
      <c r="I1865" s="92" t="inlineStr">
        <is>
          <t>9월 국내출장 - L여행사</t>
        </is>
      </c>
      <c r="J1865" s="92" t="inlineStr">
        <is>
          <t>V10018</t>
        </is>
      </c>
      <c r="K1865" s="92" t="inlineStr">
        <is>
          <t>L여행사</t>
        </is>
      </c>
      <c r="M1865" s="9">
        <f>IF($A1865="","",VALUE($A1865&amp;"")*12+VALUE($B1865&amp;""))</f>
        <v/>
      </c>
      <c r="N1865" s="64">
        <f>IF($A1865="","",IFERROR(INDEX(부서매핑!$C$5:$C$504,MATCH($G1865&amp;"",부서매핑!$A$5:$A$504,0)),"미매핑"))</f>
        <v/>
      </c>
      <c r="O1865" s="9">
        <f>IF($A1865="","",N1865&amp;"|"&amp;$F1865)</f>
        <v/>
      </c>
      <c r="P1865" s="94">
        <f>IF($A1865="",0,$H1865*설정!$C$23)</f>
        <v/>
      </c>
      <c r="Q1865" s="64">
        <f>IF($A1865="","",IF(O1865&lt;&gt;원인분석!$C$9,"",IF(AND(M1865&gt;=원인분석!$C$10,M1865&lt;=원인분석!$C$11),"당기",IF(AND(M1865&gt;=원인분석!$C$12,M1865&lt;=원인분석!$C$13),"비교",""))))</f>
        <v/>
      </c>
      <c r="R1865" s="9">
        <f>IF(Q1865="","",$K1865&amp;"")</f>
        <v/>
      </c>
      <c r="S1865" s="9">
        <f>IF(Q1865="","",IF(MATCH(R1865,$R$5:$R$100000,0)=ROW()-4,ROW(),""))</f>
        <v/>
      </c>
      <c r="T1865" s="9">
        <f>IF(Q1865="당기",ABS(P1865)+ROW()/1000000000,"")</f>
        <v/>
      </c>
      <c r="U1865" s="9">
        <f>IF(Q1865="비교",ABS(P1865)+ROW()/1000000000,"")</f>
        <v/>
      </c>
      <c r="V1865" s="64">
        <f>IF($A1865="","",IF(COUNTIF(변동분석!$E$7:$E$506,O1865)&gt;0,"Y","N"))</f>
        <v/>
      </c>
      <c r="W1865" s="64">
        <f>IF($A1865="","",IFERROR(INDEX(계정매핑!$D$5:$D$504,MATCH($F1865&amp;"",계정매핑!$A$5:$A$504,0)),"미매핑"))</f>
        <v/>
      </c>
      <c r="X1865" s="9">
        <f>IF($A1865="","",$F1865&amp;"")</f>
        <v/>
      </c>
      <c r="Y1865" s="94">
        <f>IF($A1865="",0,IF(AE1865="직접",IF(AF1865="비귀속",$P1865,0),$P1865*(1-AG1865)*IFERROR(INDEX(계정대체기준!$F$20:$F$49,MATCH($N1865,계정대체기준!$A$20:$A$49,0)),1)))</f>
        <v/>
      </c>
      <c r="Z1865" s="94">
        <f>IF($A1865="",0,IF(AE1865="직접",IF(AF1865="신계약비",$P1865,0),$P1865*(1-AG1865)*IFERROR(INDEX(계정대체기준!$C$20:$C$49,MATCH($N1865,계정대체기준!$A$20:$A$49,0)),0)))</f>
        <v/>
      </c>
      <c r="AA1865" s="94">
        <f>IF($A1865="",0,IF(AE1865="직접",IF(OR(AF1865="유지비",AF1865="손해조사비"),$P1865,0),$P1865*(1-AG1865)*IFERROR(INDEX(계정대체기준!$D$20:$D$49,MATCH($N1865,계정대체기준!$A$20:$A$49,0)),0)))</f>
        <v/>
      </c>
      <c r="AB1865" s="94">
        <f>IF($A1865="",0,IF(AE1865="직접",IF(AF1865="수금비",$P1865,0),$P1865*(1-AG1865)*IFERROR(INDEX(계정대체기준!$E$20:$E$49,MATCH($N1865,계정대체기준!$A$20:$A$49,0)),0)))</f>
        <v/>
      </c>
      <c r="AC1865" s="9">
        <f>IF(AND($A1865&lt;&gt;"",M1865=설정!$C$20,Z1865&gt;0),Z1865+ROW()/1000000000,"")</f>
        <v/>
      </c>
      <c r="AD1865" s="94">
        <f>IF($A1865="",0,$P1865*AG1865)</f>
        <v/>
      </c>
      <c r="AE1865" s="64">
        <f>IF($A1865="","",IFERROR(INDEX(계정매핑!$E$5:$E$504,MATCH($F1865&amp;"",계정매핑!$A$5:$A$504,0))&amp;"","공통비"))</f>
        <v/>
      </c>
      <c r="AF1865" s="64">
        <f>IF($A1865="","",IF(AE1865="직접",IFERROR(INDEX(계정매핑!$F$5:$F$504,MATCH($F1865&amp;"",계정매핑!$A$5:$A$504,0))&amp;"","비귀속"),""))</f>
        <v/>
      </c>
      <c r="AG1865" s="96">
        <f>IF($A1865="",0,IF(AND(AE1865&lt;&gt;"직접",IFERROR(INDEX(계정매핑!$G$5:$G$504,MATCH($F1865&amp;"",계정매핑!$A$5:$A$504,0))&amp;"","")="유지비",COUNTIF(계정대체기준!$A$6:$A$15,$N1865)&gt;0),IFERROR(INDEX(계정대체기준!$E$6:$E$15,MATCH(VALUE($A1865&amp;""),계정대체기준!$D$6:$D$15,0)),0),0))</f>
        <v/>
      </c>
      <c r="AH1865" s="64">
        <f>IF($A1865="","",IF(AD1865=0,"",IF(OR(COUNTIF(계정대체기준!$A$77:$A$86,$N1865)&gt;0,ISNUMBER(MATCH($X1865,계정대체기준!$D$77:$D$86,0)),ISNUMBER(MATCH($F1865,계정대체기준!$D$77:$D$86,0))),"Y","N")))</f>
        <v/>
      </c>
    </row>
    <row r="1866">
      <c r="A1866" s="92" t="n">
        <v>2025</v>
      </c>
      <c r="B1866" s="92" t="n">
        <v>9</v>
      </c>
      <c r="C1866" s="92" t="inlineStr">
        <is>
          <t>5100001862</t>
        </is>
      </c>
      <c r="D1866" s="95" t="n">
        <v>45907</v>
      </c>
      <c r="E1866" s="92" t="inlineStr">
        <is>
          <t>KR</t>
        </is>
      </c>
      <c r="F1866" s="92" t="n">
        <v>62201000</v>
      </c>
      <c r="G1866" s="92" t="n">
        <v>1401</v>
      </c>
      <c r="H1866" s="93" t="n">
        <v>204000</v>
      </c>
      <c r="I1866" s="92" t="inlineStr">
        <is>
          <t>9월 통신요금 - P통신</t>
        </is>
      </c>
      <c r="J1866" s="92" t="inlineStr">
        <is>
          <t>V10014</t>
        </is>
      </c>
      <c r="K1866" s="92" t="inlineStr">
        <is>
          <t>P통신</t>
        </is>
      </c>
      <c r="M1866" s="9">
        <f>IF($A1866="","",VALUE($A1866&amp;"")*12+VALUE($B1866&amp;""))</f>
        <v/>
      </c>
      <c r="N1866" s="64">
        <f>IF($A1866="","",IFERROR(INDEX(부서매핑!$C$5:$C$504,MATCH($G1866&amp;"",부서매핑!$A$5:$A$504,0)),"미매핑"))</f>
        <v/>
      </c>
      <c r="O1866" s="9">
        <f>IF($A1866="","",N1866&amp;"|"&amp;$F1866)</f>
        <v/>
      </c>
      <c r="P1866" s="94">
        <f>IF($A1866="",0,$H1866*설정!$C$23)</f>
        <v/>
      </c>
      <c r="Q1866" s="64">
        <f>IF($A1866="","",IF(O1866&lt;&gt;원인분석!$C$9,"",IF(AND(M1866&gt;=원인분석!$C$10,M1866&lt;=원인분석!$C$11),"당기",IF(AND(M1866&gt;=원인분석!$C$12,M1866&lt;=원인분석!$C$13),"비교",""))))</f>
        <v/>
      </c>
      <c r="R1866" s="9">
        <f>IF(Q1866="","",$K1866&amp;"")</f>
        <v/>
      </c>
      <c r="S1866" s="9">
        <f>IF(Q1866="","",IF(MATCH(R1866,$R$5:$R$100000,0)=ROW()-4,ROW(),""))</f>
        <v/>
      </c>
      <c r="T1866" s="9">
        <f>IF(Q1866="당기",ABS(P1866)+ROW()/1000000000,"")</f>
        <v/>
      </c>
      <c r="U1866" s="9">
        <f>IF(Q1866="비교",ABS(P1866)+ROW()/1000000000,"")</f>
        <v/>
      </c>
      <c r="V1866" s="64">
        <f>IF($A1866="","",IF(COUNTIF(변동분석!$E$7:$E$506,O1866)&gt;0,"Y","N"))</f>
        <v/>
      </c>
      <c r="W1866" s="64">
        <f>IF($A1866="","",IFERROR(INDEX(계정매핑!$D$5:$D$504,MATCH($F1866&amp;"",계정매핑!$A$5:$A$504,0)),"미매핑"))</f>
        <v/>
      </c>
      <c r="X1866" s="9">
        <f>IF($A1866="","",$F1866&amp;"")</f>
        <v/>
      </c>
      <c r="Y1866" s="94">
        <f>IF($A1866="",0,IF(AE1866="직접",IF(AF1866="비귀속",$P1866,0),$P1866*(1-AG1866)*IFERROR(INDEX(계정대체기준!$F$20:$F$49,MATCH($N1866,계정대체기준!$A$20:$A$49,0)),1)))</f>
        <v/>
      </c>
      <c r="Z1866" s="94">
        <f>IF($A1866="",0,IF(AE1866="직접",IF(AF1866="신계약비",$P1866,0),$P1866*(1-AG1866)*IFERROR(INDEX(계정대체기준!$C$20:$C$49,MATCH($N1866,계정대체기준!$A$20:$A$49,0)),0)))</f>
        <v/>
      </c>
      <c r="AA1866" s="94">
        <f>IF($A1866="",0,IF(AE1866="직접",IF(OR(AF1866="유지비",AF1866="손해조사비"),$P1866,0),$P1866*(1-AG1866)*IFERROR(INDEX(계정대체기준!$D$20:$D$49,MATCH($N1866,계정대체기준!$A$20:$A$49,0)),0)))</f>
        <v/>
      </c>
      <c r="AB1866" s="94">
        <f>IF($A1866="",0,IF(AE1866="직접",IF(AF1866="수금비",$P1866,0),$P1866*(1-AG1866)*IFERROR(INDEX(계정대체기준!$E$20:$E$49,MATCH($N1866,계정대체기준!$A$20:$A$49,0)),0)))</f>
        <v/>
      </c>
      <c r="AC1866" s="9">
        <f>IF(AND($A1866&lt;&gt;"",M1866=설정!$C$20,Z1866&gt;0),Z1866+ROW()/1000000000,"")</f>
        <v/>
      </c>
      <c r="AD1866" s="94">
        <f>IF($A1866="",0,$P1866*AG1866)</f>
        <v/>
      </c>
      <c r="AE1866" s="64">
        <f>IF($A1866="","",IFERROR(INDEX(계정매핑!$E$5:$E$504,MATCH($F1866&amp;"",계정매핑!$A$5:$A$504,0))&amp;"","공통비"))</f>
        <v/>
      </c>
      <c r="AF1866" s="64">
        <f>IF($A1866="","",IF(AE1866="직접",IFERROR(INDEX(계정매핑!$F$5:$F$504,MATCH($F1866&amp;"",계정매핑!$A$5:$A$504,0))&amp;"","비귀속"),""))</f>
        <v/>
      </c>
      <c r="AG1866" s="96">
        <f>IF($A1866="",0,IF(AND(AE1866&lt;&gt;"직접",IFERROR(INDEX(계정매핑!$G$5:$G$504,MATCH($F1866&amp;"",계정매핑!$A$5:$A$504,0))&amp;"","")="유지비",COUNTIF(계정대체기준!$A$6:$A$15,$N1866)&gt;0),IFERROR(INDEX(계정대체기준!$E$6:$E$15,MATCH(VALUE($A1866&amp;""),계정대체기준!$D$6:$D$15,0)),0),0))</f>
        <v/>
      </c>
      <c r="AH1866" s="64">
        <f>IF($A1866="","",IF(AD1866=0,"",IF(OR(COUNTIF(계정대체기준!$A$77:$A$86,$N1866)&gt;0,ISNUMBER(MATCH($X1866,계정대체기준!$D$77:$D$86,0)),ISNUMBER(MATCH($F1866,계정대체기준!$D$77:$D$86,0))),"Y","N")))</f>
        <v/>
      </c>
    </row>
    <row r="1867">
      <c r="A1867" s="92" t="n">
        <v>2025</v>
      </c>
      <c r="B1867" s="92" t="n">
        <v>9</v>
      </c>
      <c r="C1867" s="92" t="inlineStr">
        <is>
          <t>5100001863</t>
        </is>
      </c>
      <c r="D1867" s="95" t="n">
        <v>45907</v>
      </c>
      <c r="E1867" s="92" t="inlineStr">
        <is>
          <t>KR</t>
        </is>
      </c>
      <c r="F1867" s="92" t="n">
        <v>62201000</v>
      </c>
      <c r="G1867" s="92" t="n">
        <v>1801</v>
      </c>
      <c r="H1867" s="93" t="n">
        <v>3942000</v>
      </c>
      <c r="I1867" s="92" t="inlineStr">
        <is>
          <t>9월 통신요금 - O텔레콤</t>
        </is>
      </c>
      <c r="J1867" s="92" t="inlineStr">
        <is>
          <t>V10002</t>
        </is>
      </c>
      <c r="K1867" s="92" t="inlineStr">
        <is>
          <t>O텔레콤</t>
        </is>
      </c>
      <c r="M1867" s="9">
        <f>IF($A1867="","",VALUE($A1867&amp;"")*12+VALUE($B1867&amp;""))</f>
        <v/>
      </c>
      <c r="N1867" s="64">
        <f>IF($A1867="","",IFERROR(INDEX(부서매핑!$C$5:$C$504,MATCH($G1867&amp;"",부서매핑!$A$5:$A$504,0)),"미매핑"))</f>
        <v/>
      </c>
      <c r="O1867" s="9">
        <f>IF($A1867="","",N1867&amp;"|"&amp;$F1867)</f>
        <v/>
      </c>
      <c r="P1867" s="94">
        <f>IF($A1867="",0,$H1867*설정!$C$23)</f>
        <v/>
      </c>
      <c r="Q1867" s="64">
        <f>IF($A1867="","",IF(O1867&lt;&gt;원인분석!$C$9,"",IF(AND(M1867&gt;=원인분석!$C$10,M1867&lt;=원인분석!$C$11),"당기",IF(AND(M1867&gt;=원인분석!$C$12,M1867&lt;=원인분석!$C$13),"비교",""))))</f>
        <v/>
      </c>
      <c r="R1867" s="9">
        <f>IF(Q1867="","",$K1867&amp;"")</f>
        <v/>
      </c>
      <c r="S1867" s="9">
        <f>IF(Q1867="","",IF(MATCH(R1867,$R$5:$R$100000,0)=ROW()-4,ROW(),""))</f>
        <v/>
      </c>
      <c r="T1867" s="9">
        <f>IF(Q1867="당기",ABS(P1867)+ROW()/1000000000,"")</f>
        <v/>
      </c>
      <c r="U1867" s="9">
        <f>IF(Q1867="비교",ABS(P1867)+ROW()/1000000000,"")</f>
        <v/>
      </c>
      <c r="V1867" s="64">
        <f>IF($A1867="","",IF(COUNTIF(변동분석!$E$7:$E$506,O1867)&gt;0,"Y","N"))</f>
        <v/>
      </c>
      <c r="W1867" s="64">
        <f>IF($A1867="","",IFERROR(INDEX(계정매핑!$D$5:$D$504,MATCH($F1867&amp;"",계정매핑!$A$5:$A$504,0)),"미매핑"))</f>
        <v/>
      </c>
      <c r="X1867" s="9">
        <f>IF($A1867="","",$F1867&amp;"")</f>
        <v/>
      </c>
      <c r="Y1867" s="94">
        <f>IF($A1867="",0,IF(AE1867="직접",IF(AF1867="비귀속",$P1867,0),$P1867*(1-AG1867)*IFERROR(INDEX(계정대체기준!$F$20:$F$49,MATCH($N1867,계정대체기준!$A$20:$A$49,0)),1)))</f>
        <v/>
      </c>
      <c r="Z1867" s="94">
        <f>IF($A1867="",0,IF(AE1867="직접",IF(AF1867="신계약비",$P1867,0),$P1867*(1-AG1867)*IFERROR(INDEX(계정대체기준!$C$20:$C$49,MATCH($N1867,계정대체기준!$A$20:$A$49,0)),0)))</f>
        <v/>
      </c>
      <c r="AA1867" s="94">
        <f>IF($A1867="",0,IF(AE1867="직접",IF(OR(AF1867="유지비",AF1867="손해조사비"),$P1867,0),$P1867*(1-AG1867)*IFERROR(INDEX(계정대체기준!$D$20:$D$49,MATCH($N1867,계정대체기준!$A$20:$A$49,0)),0)))</f>
        <v/>
      </c>
      <c r="AB1867" s="94">
        <f>IF($A1867="",0,IF(AE1867="직접",IF(AF1867="수금비",$P1867,0),$P1867*(1-AG1867)*IFERROR(INDEX(계정대체기준!$E$20:$E$49,MATCH($N1867,계정대체기준!$A$20:$A$49,0)),0)))</f>
        <v/>
      </c>
      <c r="AC1867" s="9">
        <f>IF(AND($A1867&lt;&gt;"",M1867=설정!$C$20,Z1867&gt;0),Z1867+ROW()/1000000000,"")</f>
        <v/>
      </c>
      <c r="AD1867" s="94">
        <f>IF($A1867="",0,$P1867*AG1867)</f>
        <v/>
      </c>
      <c r="AE1867" s="64">
        <f>IF($A1867="","",IFERROR(INDEX(계정매핑!$E$5:$E$504,MATCH($F1867&amp;"",계정매핑!$A$5:$A$504,0))&amp;"","공통비"))</f>
        <v/>
      </c>
      <c r="AF1867" s="64">
        <f>IF($A1867="","",IF(AE1867="직접",IFERROR(INDEX(계정매핑!$F$5:$F$504,MATCH($F1867&amp;"",계정매핑!$A$5:$A$504,0))&amp;"","비귀속"),""))</f>
        <v/>
      </c>
      <c r="AG1867" s="96">
        <f>IF($A1867="",0,IF(AND(AE1867&lt;&gt;"직접",IFERROR(INDEX(계정매핑!$G$5:$G$504,MATCH($F1867&amp;"",계정매핑!$A$5:$A$504,0))&amp;"","")="유지비",COUNTIF(계정대체기준!$A$6:$A$15,$N1867)&gt;0),IFERROR(INDEX(계정대체기준!$E$6:$E$15,MATCH(VALUE($A1867&amp;""),계정대체기준!$D$6:$D$15,0)),0),0))</f>
        <v/>
      </c>
      <c r="AH1867" s="64">
        <f>IF($A1867="","",IF(AD1867=0,"",IF(OR(COUNTIF(계정대체기준!$A$77:$A$86,$N1867)&gt;0,ISNUMBER(MATCH($X1867,계정대체기준!$D$77:$D$86,0)),ISNUMBER(MATCH($F1867,계정대체기준!$D$77:$D$86,0))),"Y","N")))</f>
        <v/>
      </c>
    </row>
    <row r="1868">
      <c r="A1868" s="92" t="n">
        <v>2025</v>
      </c>
      <c r="B1868" s="92" t="n">
        <v>9</v>
      </c>
      <c r="C1868" s="92" t="inlineStr">
        <is>
          <t>5100001864</t>
        </is>
      </c>
      <c r="D1868" s="95" t="n">
        <v>45907</v>
      </c>
      <c r="E1868" s="92" t="inlineStr">
        <is>
          <t>KR</t>
        </is>
      </c>
      <c r="F1868" s="92" t="n">
        <v>62301000</v>
      </c>
      <c r="G1868" s="92" t="n">
        <v>1602</v>
      </c>
      <c r="H1868" s="93" t="n">
        <v>529000</v>
      </c>
      <c r="I1868" s="92" t="inlineStr">
        <is>
          <t>9월 소모품 구입 - R문구</t>
        </is>
      </c>
      <c r="J1868" s="92" t="inlineStr">
        <is>
          <t>V10022</t>
        </is>
      </c>
      <c r="K1868" s="92" t="inlineStr">
        <is>
          <t>R문구</t>
        </is>
      </c>
      <c r="M1868" s="9">
        <f>IF($A1868="","",VALUE($A1868&amp;"")*12+VALUE($B1868&amp;""))</f>
        <v/>
      </c>
      <c r="N1868" s="64">
        <f>IF($A1868="","",IFERROR(INDEX(부서매핑!$C$5:$C$504,MATCH($G1868&amp;"",부서매핑!$A$5:$A$504,0)),"미매핑"))</f>
        <v/>
      </c>
      <c r="O1868" s="9">
        <f>IF($A1868="","",N1868&amp;"|"&amp;$F1868)</f>
        <v/>
      </c>
      <c r="P1868" s="94">
        <f>IF($A1868="",0,$H1868*설정!$C$23)</f>
        <v/>
      </c>
      <c r="Q1868" s="64">
        <f>IF($A1868="","",IF(O1868&lt;&gt;원인분석!$C$9,"",IF(AND(M1868&gt;=원인분석!$C$10,M1868&lt;=원인분석!$C$11),"당기",IF(AND(M1868&gt;=원인분석!$C$12,M1868&lt;=원인분석!$C$13),"비교",""))))</f>
        <v/>
      </c>
      <c r="R1868" s="9">
        <f>IF(Q1868="","",$K1868&amp;"")</f>
        <v/>
      </c>
      <c r="S1868" s="9">
        <f>IF(Q1868="","",IF(MATCH(R1868,$R$5:$R$100000,0)=ROW()-4,ROW(),""))</f>
        <v/>
      </c>
      <c r="T1868" s="9">
        <f>IF(Q1868="당기",ABS(P1868)+ROW()/1000000000,"")</f>
        <v/>
      </c>
      <c r="U1868" s="9">
        <f>IF(Q1868="비교",ABS(P1868)+ROW()/1000000000,"")</f>
        <v/>
      </c>
      <c r="V1868" s="64">
        <f>IF($A1868="","",IF(COUNTIF(변동분석!$E$7:$E$506,O1868)&gt;0,"Y","N"))</f>
        <v/>
      </c>
      <c r="W1868" s="64">
        <f>IF($A1868="","",IFERROR(INDEX(계정매핑!$D$5:$D$504,MATCH($F1868&amp;"",계정매핑!$A$5:$A$504,0)),"미매핑"))</f>
        <v/>
      </c>
      <c r="X1868" s="9">
        <f>IF($A1868="","",$F1868&amp;"")</f>
        <v/>
      </c>
      <c r="Y1868" s="94">
        <f>IF($A1868="",0,IF(AE1868="직접",IF(AF1868="비귀속",$P1868,0),$P1868*(1-AG1868)*IFERROR(INDEX(계정대체기준!$F$20:$F$49,MATCH($N1868,계정대체기준!$A$20:$A$49,0)),1)))</f>
        <v/>
      </c>
      <c r="Z1868" s="94">
        <f>IF($A1868="",0,IF(AE1868="직접",IF(AF1868="신계약비",$P1868,0),$P1868*(1-AG1868)*IFERROR(INDEX(계정대체기준!$C$20:$C$49,MATCH($N1868,계정대체기준!$A$20:$A$49,0)),0)))</f>
        <v/>
      </c>
      <c r="AA1868" s="94">
        <f>IF($A1868="",0,IF(AE1868="직접",IF(OR(AF1868="유지비",AF1868="손해조사비"),$P1868,0),$P1868*(1-AG1868)*IFERROR(INDEX(계정대체기준!$D$20:$D$49,MATCH($N1868,계정대체기준!$A$20:$A$49,0)),0)))</f>
        <v/>
      </c>
      <c r="AB1868" s="94">
        <f>IF($A1868="",0,IF(AE1868="직접",IF(AF1868="수금비",$P1868,0),$P1868*(1-AG1868)*IFERROR(INDEX(계정대체기준!$E$20:$E$49,MATCH($N1868,계정대체기준!$A$20:$A$49,0)),0)))</f>
        <v/>
      </c>
      <c r="AC1868" s="9">
        <f>IF(AND($A1868&lt;&gt;"",M1868=설정!$C$20,Z1868&gt;0),Z1868+ROW()/1000000000,"")</f>
        <v/>
      </c>
      <c r="AD1868" s="94">
        <f>IF($A1868="",0,$P1868*AG1868)</f>
        <v/>
      </c>
      <c r="AE1868" s="64">
        <f>IF($A1868="","",IFERROR(INDEX(계정매핑!$E$5:$E$504,MATCH($F1868&amp;"",계정매핑!$A$5:$A$504,0))&amp;"","공통비"))</f>
        <v/>
      </c>
      <c r="AF1868" s="64">
        <f>IF($A1868="","",IF(AE1868="직접",IFERROR(INDEX(계정매핑!$F$5:$F$504,MATCH($F1868&amp;"",계정매핑!$A$5:$A$504,0))&amp;"","비귀속"),""))</f>
        <v/>
      </c>
      <c r="AG1868" s="96">
        <f>IF($A1868="",0,IF(AND(AE1868&lt;&gt;"직접",IFERROR(INDEX(계정매핑!$G$5:$G$504,MATCH($F1868&amp;"",계정매핑!$A$5:$A$504,0))&amp;"","")="유지비",COUNTIF(계정대체기준!$A$6:$A$15,$N1868)&gt;0),IFERROR(INDEX(계정대체기준!$E$6:$E$15,MATCH(VALUE($A1868&amp;""),계정대체기준!$D$6:$D$15,0)),0),0))</f>
        <v/>
      </c>
      <c r="AH1868" s="64">
        <f>IF($A1868="","",IF(AD1868=0,"",IF(OR(COUNTIF(계정대체기준!$A$77:$A$86,$N1868)&gt;0,ISNUMBER(MATCH($X1868,계정대체기준!$D$77:$D$86,0)),ISNUMBER(MATCH($F1868,계정대체기준!$D$77:$D$86,0))),"Y","N")))</f>
        <v/>
      </c>
    </row>
    <row r="1869">
      <c r="A1869" s="92" t="n">
        <v>2025</v>
      </c>
      <c r="B1869" s="92" t="n">
        <v>9</v>
      </c>
      <c r="C1869" s="92" t="inlineStr">
        <is>
          <t>5100001865</t>
        </is>
      </c>
      <c r="D1869" s="95" t="n">
        <v>45907</v>
      </c>
      <c r="E1869" s="92" t="inlineStr">
        <is>
          <t>KR</t>
        </is>
      </c>
      <c r="F1869" s="92" t="n">
        <v>62501000</v>
      </c>
      <c r="G1869" s="92" t="n">
        <v>1301</v>
      </c>
      <c r="H1869" s="93" t="n">
        <v>190000</v>
      </c>
      <c r="I1869" s="92" t="inlineStr">
        <is>
          <t>9월 회의 다과 - (법인카드)</t>
        </is>
      </c>
      <c r="J1869" s="92" t="inlineStr">
        <is>
          <t>V10010</t>
        </is>
      </c>
      <c r="K1869" s="92" t="inlineStr">
        <is>
          <t>(법인카드)</t>
        </is>
      </c>
      <c r="M1869" s="9">
        <f>IF($A1869="","",VALUE($A1869&amp;"")*12+VALUE($B1869&amp;""))</f>
        <v/>
      </c>
      <c r="N1869" s="64">
        <f>IF($A1869="","",IFERROR(INDEX(부서매핑!$C$5:$C$504,MATCH($G1869&amp;"",부서매핑!$A$5:$A$504,0)),"미매핑"))</f>
        <v/>
      </c>
      <c r="O1869" s="9">
        <f>IF($A1869="","",N1869&amp;"|"&amp;$F1869)</f>
        <v/>
      </c>
      <c r="P1869" s="94">
        <f>IF($A1869="",0,$H1869*설정!$C$23)</f>
        <v/>
      </c>
      <c r="Q1869" s="64">
        <f>IF($A1869="","",IF(O1869&lt;&gt;원인분석!$C$9,"",IF(AND(M1869&gt;=원인분석!$C$10,M1869&lt;=원인분석!$C$11),"당기",IF(AND(M1869&gt;=원인분석!$C$12,M1869&lt;=원인분석!$C$13),"비교",""))))</f>
        <v/>
      </c>
      <c r="R1869" s="9">
        <f>IF(Q1869="","",$K1869&amp;"")</f>
        <v/>
      </c>
      <c r="S1869" s="9">
        <f>IF(Q1869="","",IF(MATCH(R1869,$R$5:$R$100000,0)=ROW()-4,ROW(),""))</f>
        <v/>
      </c>
      <c r="T1869" s="9">
        <f>IF(Q1869="당기",ABS(P1869)+ROW()/1000000000,"")</f>
        <v/>
      </c>
      <c r="U1869" s="9">
        <f>IF(Q1869="비교",ABS(P1869)+ROW()/1000000000,"")</f>
        <v/>
      </c>
      <c r="V1869" s="64">
        <f>IF($A1869="","",IF(COUNTIF(변동분석!$E$7:$E$506,O1869)&gt;0,"Y","N"))</f>
        <v/>
      </c>
      <c r="W1869" s="64">
        <f>IF($A1869="","",IFERROR(INDEX(계정매핑!$D$5:$D$504,MATCH($F1869&amp;"",계정매핑!$A$5:$A$504,0)),"미매핑"))</f>
        <v/>
      </c>
      <c r="X1869" s="9">
        <f>IF($A1869="","",$F1869&amp;"")</f>
        <v/>
      </c>
      <c r="Y1869" s="94">
        <f>IF($A1869="",0,IF(AE1869="직접",IF(AF1869="비귀속",$P1869,0),$P1869*(1-AG1869)*IFERROR(INDEX(계정대체기준!$F$20:$F$49,MATCH($N1869,계정대체기준!$A$20:$A$49,0)),1)))</f>
        <v/>
      </c>
      <c r="Z1869" s="94">
        <f>IF($A1869="",0,IF(AE1869="직접",IF(AF1869="신계약비",$P1869,0),$P1869*(1-AG1869)*IFERROR(INDEX(계정대체기준!$C$20:$C$49,MATCH($N1869,계정대체기준!$A$20:$A$49,0)),0)))</f>
        <v/>
      </c>
      <c r="AA1869" s="94">
        <f>IF($A1869="",0,IF(AE1869="직접",IF(OR(AF1869="유지비",AF1869="손해조사비"),$P1869,0),$P1869*(1-AG1869)*IFERROR(INDEX(계정대체기준!$D$20:$D$49,MATCH($N1869,계정대체기준!$A$20:$A$49,0)),0)))</f>
        <v/>
      </c>
      <c r="AB1869" s="94">
        <f>IF($A1869="",0,IF(AE1869="직접",IF(AF1869="수금비",$P1869,0),$P1869*(1-AG1869)*IFERROR(INDEX(계정대체기준!$E$20:$E$49,MATCH($N1869,계정대체기준!$A$20:$A$49,0)),0)))</f>
        <v/>
      </c>
      <c r="AC1869" s="9">
        <f>IF(AND($A1869&lt;&gt;"",M1869=설정!$C$20,Z1869&gt;0),Z1869+ROW()/1000000000,"")</f>
        <v/>
      </c>
      <c r="AD1869" s="94">
        <f>IF($A1869="",0,$P1869*AG1869)</f>
        <v/>
      </c>
      <c r="AE1869" s="64">
        <f>IF($A1869="","",IFERROR(INDEX(계정매핑!$E$5:$E$504,MATCH($F1869&amp;"",계정매핑!$A$5:$A$504,0))&amp;"","공통비"))</f>
        <v/>
      </c>
      <c r="AF1869" s="64">
        <f>IF($A1869="","",IF(AE1869="직접",IFERROR(INDEX(계정매핑!$F$5:$F$504,MATCH($F1869&amp;"",계정매핑!$A$5:$A$504,0))&amp;"","비귀속"),""))</f>
        <v/>
      </c>
      <c r="AG1869" s="96">
        <f>IF($A1869="",0,IF(AND(AE1869&lt;&gt;"직접",IFERROR(INDEX(계정매핑!$G$5:$G$504,MATCH($F1869&amp;"",계정매핑!$A$5:$A$504,0))&amp;"","")="유지비",COUNTIF(계정대체기준!$A$6:$A$15,$N1869)&gt;0),IFERROR(INDEX(계정대체기준!$E$6:$E$15,MATCH(VALUE($A1869&amp;""),계정대체기준!$D$6:$D$15,0)),0),0))</f>
        <v/>
      </c>
      <c r="AH1869" s="64">
        <f>IF($A1869="","",IF(AD1869=0,"",IF(OR(COUNTIF(계정대체기준!$A$77:$A$86,$N1869)&gt;0,ISNUMBER(MATCH($X1869,계정대체기준!$D$77:$D$86,0)),ISNUMBER(MATCH($F1869,계정대체기준!$D$77:$D$86,0))),"Y","N")))</f>
        <v/>
      </c>
    </row>
    <row r="1870">
      <c r="A1870" s="92" t="n">
        <v>2025</v>
      </c>
      <c r="B1870" s="92" t="n">
        <v>9</v>
      </c>
      <c r="C1870" s="92" t="inlineStr">
        <is>
          <t>5100001866</t>
        </is>
      </c>
      <c r="D1870" s="95" t="n">
        <v>45907</v>
      </c>
      <c r="E1870" s="92" t="inlineStr">
        <is>
          <t>KR</t>
        </is>
      </c>
      <c r="F1870" s="92" t="n">
        <v>62601000</v>
      </c>
      <c r="G1870" s="92" t="n">
        <v>1101</v>
      </c>
      <c r="H1870" s="93" t="n">
        <v>1412000</v>
      </c>
      <c r="I1870" s="92" t="inlineStr">
        <is>
          <t>9월 업무추진 - (법인카드)</t>
        </is>
      </c>
      <c r="J1870" s="92" t="inlineStr">
        <is>
          <t>V10010</t>
        </is>
      </c>
      <c r="K1870" s="92" t="inlineStr">
        <is>
          <t>(법인카드)</t>
        </is>
      </c>
      <c r="M1870" s="9">
        <f>IF($A1870="","",VALUE($A1870&amp;"")*12+VALUE($B1870&amp;""))</f>
        <v/>
      </c>
      <c r="N1870" s="64">
        <f>IF($A1870="","",IFERROR(INDEX(부서매핑!$C$5:$C$504,MATCH($G1870&amp;"",부서매핑!$A$5:$A$504,0)),"미매핑"))</f>
        <v/>
      </c>
      <c r="O1870" s="9">
        <f>IF($A1870="","",N1870&amp;"|"&amp;$F1870)</f>
        <v/>
      </c>
      <c r="P1870" s="94">
        <f>IF($A1870="",0,$H1870*설정!$C$23)</f>
        <v/>
      </c>
      <c r="Q1870" s="64">
        <f>IF($A1870="","",IF(O1870&lt;&gt;원인분석!$C$9,"",IF(AND(M1870&gt;=원인분석!$C$10,M1870&lt;=원인분석!$C$11),"당기",IF(AND(M1870&gt;=원인분석!$C$12,M1870&lt;=원인분석!$C$13),"비교",""))))</f>
        <v/>
      </c>
      <c r="R1870" s="9">
        <f>IF(Q1870="","",$K1870&amp;"")</f>
        <v/>
      </c>
      <c r="S1870" s="9">
        <f>IF(Q1870="","",IF(MATCH(R1870,$R$5:$R$100000,0)=ROW()-4,ROW(),""))</f>
        <v/>
      </c>
      <c r="T1870" s="9">
        <f>IF(Q1870="당기",ABS(P1870)+ROW()/1000000000,"")</f>
        <v/>
      </c>
      <c r="U1870" s="9">
        <f>IF(Q1870="비교",ABS(P1870)+ROW()/1000000000,"")</f>
        <v/>
      </c>
      <c r="V1870" s="64">
        <f>IF($A1870="","",IF(COUNTIF(변동분석!$E$7:$E$506,O1870)&gt;0,"Y","N"))</f>
        <v/>
      </c>
      <c r="W1870" s="64">
        <f>IF($A1870="","",IFERROR(INDEX(계정매핑!$D$5:$D$504,MATCH($F1870&amp;"",계정매핑!$A$5:$A$504,0)),"미매핑"))</f>
        <v/>
      </c>
      <c r="X1870" s="9">
        <f>IF($A1870="","",$F1870&amp;"")</f>
        <v/>
      </c>
      <c r="Y1870" s="94">
        <f>IF($A1870="",0,IF(AE1870="직접",IF(AF1870="비귀속",$P1870,0),$P1870*(1-AG1870)*IFERROR(INDEX(계정대체기준!$F$20:$F$49,MATCH($N1870,계정대체기준!$A$20:$A$49,0)),1)))</f>
        <v/>
      </c>
      <c r="Z1870" s="94">
        <f>IF($A1870="",0,IF(AE1870="직접",IF(AF1870="신계약비",$P1870,0),$P1870*(1-AG1870)*IFERROR(INDEX(계정대체기준!$C$20:$C$49,MATCH($N1870,계정대체기준!$A$20:$A$49,0)),0)))</f>
        <v/>
      </c>
      <c r="AA1870" s="94">
        <f>IF($A1870="",0,IF(AE1870="직접",IF(OR(AF1870="유지비",AF1870="손해조사비"),$P1870,0),$P1870*(1-AG1870)*IFERROR(INDEX(계정대체기준!$D$20:$D$49,MATCH($N1870,계정대체기준!$A$20:$A$49,0)),0)))</f>
        <v/>
      </c>
      <c r="AB1870" s="94">
        <f>IF($A1870="",0,IF(AE1870="직접",IF(AF1870="수금비",$P1870,0),$P1870*(1-AG1870)*IFERROR(INDEX(계정대체기준!$E$20:$E$49,MATCH($N1870,계정대체기준!$A$20:$A$49,0)),0)))</f>
        <v/>
      </c>
      <c r="AC1870" s="9">
        <f>IF(AND($A1870&lt;&gt;"",M1870=설정!$C$20,Z1870&gt;0),Z1870+ROW()/1000000000,"")</f>
        <v/>
      </c>
      <c r="AD1870" s="94">
        <f>IF($A1870="",0,$P1870*AG1870)</f>
        <v/>
      </c>
      <c r="AE1870" s="64">
        <f>IF($A1870="","",IFERROR(INDEX(계정매핑!$E$5:$E$504,MATCH($F1870&amp;"",계정매핑!$A$5:$A$504,0))&amp;"","공통비"))</f>
        <v/>
      </c>
      <c r="AF1870" s="64">
        <f>IF($A1870="","",IF(AE1870="직접",IFERROR(INDEX(계정매핑!$F$5:$F$504,MATCH($F1870&amp;"",계정매핑!$A$5:$A$504,0))&amp;"","비귀속"),""))</f>
        <v/>
      </c>
      <c r="AG1870" s="96">
        <f>IF($A1870="",0,IF(AND(AE1870&lt;&gt;"직접",IFERROR(INDEX(계정매핑!$G$5:$G$504,MATCH($F1870&amp;"",계정매핑!$A$5:$A$504,0))&amp;"","")="유지비",COUNTIF(계정대체기준!$A$6:$A$15,$N1870)&gt;0),IFERROR(INDEX(계정대체기준!$E$6:$E$15,MATCH(VALUE($A1870&amp;""),계정대체기준!$D$6:$D$15,0)),0),0))</f>
        <v/>
      </c>
      <c r="AH1870" s="64">
        <f>IF($A1870="","",IF(AD1870=0,"",IF(OR(COUNTIF(계정대체기준!$A$77:$A$86,$N1870)&gt;0,ISNUMBER(MATCH($X1870,계정대체기준!$D$77:$D$86,0)),ISNUMBER(MATCH($F1870,계정대체기준!$D$77:$D$86,0))),"Y","N")))</f>
        <v/>
      </c>
    </row>
    <row r="1871">
      <c r="A1871" s="92" t="n">
        <v>2025</v>
      </c>
      <c r="B1871" s="92" t="n">
        <v>9</v>
      </c>
      <c r="C1871" s="92" t="inlineStr">
        <is>
          <t>5100001867</t>
        </is>
      </c>
      <c r="D1871" s="95" t="n">
        <v>45908</v>
      </c>
      <c r="E1871" s="92" t="inlineStr">
        <is>
          <t>KR</t>
        </is>
      </c>
      <c r="F1871" s="92" t="n">
        <v>62101000</v>
      </c>
      <c r="G1871" s="92" t="n">
        <v>1301</v>
      </c>
      <c r="H1871" s="93" t="n">
        <v>359000</v>
      </c>
      <c r="I1871" s="92" t="inlineStr">
        <is>
          <t>9월 국내출장 - L여행사</t>
        </is>
      </c>
      <c r="J1871" s="92" t="inlineStr">
        <is>
          <t>V10018</t>
        </is>
      </c>
      <c r="K1871" s="92" t="inlineStr">
        <is>
          <t>L여행사</t>
        </is>
      </c>
      <c r="M1871" s="9">
        <f>IF($A1871="","",VALUE($A1871&amp;"")*12+VALUE($B1871&amp;""))</f>
        <v/>
      </c>
      <c r="N1871" s="64">
        <f>IF($A1871="","",IFERROR(INDEX(부서매핑!$C$5:$C$504,MATCH($G1871&amp;"",부서매핑!$A$5:$A$504,0)),"미매핑"))</f>
        <v/>
      </c>
      <c r="O1871" s="9">
        <f>IF($A1871="","",N1871&amp;"|"&amp;$F1871)</f>
        <v/>
      </c>
      <c r="P1871" s="94">
        <f>IF($A1871="",0,$H1871*설정!$C$23)</f>
        <v/>
      </c>
      <c r="Q1871" s="64">
        <f>IF($A1871="","",IF(O1871&lt;&gt;원인분석!$C$9,"",IF(AND(M1871&gt;=원인분석!$C$10,M1871&lt;=원인분석!$C$11),"당기",IF(AND(M1871&gt;=원인분석!$C$12,M1871&lt;=원인분석!$C$13),"비교",""))))</f>
        <v/>
      </c>
      <c r="R1871" s="9">
        <f>IF(Q1871="","",$K1871&amp;"")</f>
        <v/>
      </c>
      <c r="S1871" s="9">
        <f>IF(Q1871="","",IF(MATCH(R1871,$R$5:$R$100000,0)=ROW()-4,ROW(),""))</f>
        <v/>
      </c>
      <c r="T1871" s="9">
        <f>IF(Q1871="당기",ABS(P1871)+ROW()/1000000000,"")</f>
        <v/>
      </c>
      <c r="U1871" s="9">
        <f>IF(Q1871="비교",ABS(P1871)+ROW()/1000000000,"")</f>
        <v/>
      </c>
      <c r="V1871" s="64">
        <f>IF($A1871="","",IF(COUNTIF(변동분석!$E$7:$E$506,O1871)&gt;0,"Y","N"))</f>
        <v/>
      </c>
      <c r="W1871" s="64">
        <f>IF($A1871="","",IFERROR(INDEX(계정매핑!$D$5:$D$504,MATCH($F1871&amp;"",계정매핑!$A$5:$A$504,0)),"미매핑"))</f>
        <v/>
      </c>
      <c r="X1871" s="9">
        <f>IF($A1871="","",$F1871&amp;"")</f>
        <v/>
      </c>
      <c r="Y1871" s="94">
        <f>IF($A1871="",0,IF(AE1871="직접",IF(AF1871="비귀속",$P1871,0),$P1871*(1-AG1871)*IFERROR(INDEX(계정대체기준!$F$20:$F$49,MATCH($N1871,계정대체기준!$A$20:$A$49,0)),1)))</f>
        <v/>
      </c>
      <c r="Z1871" s="94">
        <f>IF($A1871="",0,IF(AE1871="직접",IF(AF1871="신계약비",$P1871,0),$P1871*(1-AG1871)*IFERROR(INDEX(계정대체기준!$C$20:$C$49,MATCH($N1871,계정대체기준!$A$20:$A$49,0)),0)))</f>
        <v/>
      </c>
      <c r="AA1871" s="94">
        <f>IF($A1871="",0,IF(AE1871="직접",IF(OR(AF1871="유지비",AF1871="손해조사비"),$P1871,0),$P1871*(1-AG1871)*IFERROR(INDEX(계정대체기준!$D$20:$D$49,MATCH($N1871,계정대체기준!$A$20:$A$49,0)),0)))</f>
        <v/>
      </c>
      <c r="AB1871" s="94">
        <f>IF($A1871="",0,IF(AE1871="직접",IF(AF1871="수금비",$P1871,0),$P1871*(1-AG1871)*IFERROR(INDEX(계정대체기준!$E$20:$E$49,MATCH($N1871,계정대체기준!$A$20:$A$49,0)),0)))</f>
        <v/>
      </c>
      <c r="AC1871" s="9">
        <f>IF(AND($A1871&lt;&gt;"",M1871=설정!$C$20,Z1871&gt;0),Z1871+ROW()/1000000000,"")</f>
        <v/>
      </c>
      <c r="AD1871" s="94">
        <f>IF($A1871="",0,$P1871*AG1871)</f>
        <v/>
      </c>
      <c r="AE1871" s="64">
        <f>IF($A1871="","",IFERROR(INDEX(계정매핑!$E$5:$E$504,MATCH($F1871&amp;"",계정매핑!$A$5:$A$504,0))&amp;"","공통비"))</f>
        <v/>
      </c>
      <c r="AF1871" s="64">
        <f>IF($A1871="","",IF(AE1871="직접",IFERROR(INDEX(계정매핑!$F$5:$F$504,MATCH($F1871&amp;"",계정매핑!$A$5:$A$504,0))&amp;"","비귀속"),""))</f>
        <v/>
      </c>
      <c r="AG1871" s="96">
        <f>IF($A1871="",0,IF(AND(AE1871&lt;&gt;"직접",IFERROR(INDEX(계정매핑!$G$5:$G$504,MATCH($F1871&amp;"",계정매핑!$A$5:$A$504,0))&amp;"","")="유지비",COUNTIF(계정대체기준!$A$6:$A$15,$N1871)&gt;0),IFERROR(INDEX(계정대체기준!$E$6:$E$15,MATCH(VALUE($A1871&amp;""),계정대체기준!$D$6:$D$15,0)),0),0))</f>
        <v/>
      </c>
      <c r="AH1871" s="64">
        <f>IF($A1871="","",IF(AD1871=0,"",IF(OR(COUNTIF(계정대체기준!$A$77:$A$86,$N1871)&gt;0,ISNUMBER(MATCH($X1871,계정대체기준!$D$77:$D$86,0)),ISNUMBER(MATCH($F1871,계정대체기준!$D$77:$D$86,0))),"Y","N")))</f>
        <v/>
      </c>
    </row>
    <row r="1872">
      <c r="A1872" s="92" t="n">
        <v>2025</v>
      </c>
      <c r="B1872" s="92" t="n">
        <v>9</v>
      </c>
      <c r="C1872" s="92" t="inlineStr">
        <is>
          <t>5100001868</t>
        </is>
      </c>
      <c r="D1872" s="95" t="n">
        <v>45908</v>
      </c>
      <c r="E1872" s="92" t="inlineStr">
        <is>
          <t>KR</t>
        </is>
      </c>
      <c r="F1872" s="92" t="n">
        <v>62101000</v>
      </c>
      <c r="G1872" s="92" t="n">
        <v>1951</v>
      </c>
      <c r="H1872" s="93" t="n">
        <v>215000</v>
      </c>
      <c r="I1872" s="92" t="inlineStr">
        <is>
          <t>9월 국내출장 - (법인카드)</t>
        </is>
      </c>
      <c r="J1872" s="92" t="inlineStr">
        <is>
          <t>V10010</t>
        </is>
      </c>
      <c r="K1872" s="92" t="inlineStr">
        <is>
          <t>(법인카드)</t>
        </is>
      </c>
      <c r="M1872" s="9">
        <f>IF($A1872="","",VALUE($A1872&amp;"")*12+VALUE($B1872&amp;""))</f>
        <v/>
      </c>
      <c r="N1872" s="64">
        <f>IF($A1872="","",IFERROR(INDEX(부서매핑!$C$5:$C$504,MATCH($G1872&amp;"",부서매핑!$A$5:$A$504,0)),"미매핑"))</f>
        <v/>
      </c>
      <c r="O1872" s="9">
        <f>IF($A1872="","",N1872&amp;"|"&amp;$F1872)</f>
        <v/>
      </c>
      <c r="P1872" s="94">
        <f>IF($A1872="",0,$H1872*설정!$C$23)</f>
        <v/>
      </c>
      <c r="Q1872" s="64">
        <f>IF($A1872="","",IF(O1872&lt;&gt;원인분석!$C$9,"",IF(AND(M1872&gt;=원인분석!$C$10,M1872&lt;=원인분석!$C$11),"당기",IF(AND(M1872&gt;=원인분석!$C$12,M1872&lt;=원인분석!$C$13),"비교",""))))</f>
        <v/>
      </c>
      <c r="R1872" s="9">
        <f>IF(Q1872="","",$K1872&amp;"")</f>
        <v/>
      </c>
      <c r="S1872" s="9">
        <f>IF(Q1872="","",IF(MATCH(R1872,$R$5:$R$100000,0)=ROW()-4,ROW(),""))</f>
        <v/>
      </c>
      <c r="T1872" s="9">
        <f>IF(Q1872="당기",ABS(P1872)+ROW()/1000000000,"")</f>
        <v/>
      </c>
      <c r="U1872" s="9">
        <f>IF(Q1872="비교",ABS(P1872)+ROW()/1000000000,"")</f>
        <v/>
      </c>
      <c r="V1872" s="64">
        <f>IF($A1872="","",IF(COUNTIF(변동분석!$E$7:$E$506,O1872)&gt;0,"Y","N"))</f>
        <v/>
      </c>
      <c r="W1872" s="64">
        <f>IF($A1872="","",IFERROR(INDEX(계정매핑!$D$5:$D$504,MATCH($F1872&amp;"",계정매핑!$A$5:$A$504,0)),"미매핑"))</f>
        <v/>
      </c>
      <c r="X1872" s="9">
        <f>IF($A1872="","",$F1872&amp;"")</f>
        <v/>
      </c>
      <c r="Y1872" s="94">
        <f>IF($A1872="",0,IF(AE1872="직접",IF(AF1872="비귀속",$P1872,0),$P1872*(1-AG1872)*IFERROR(INDEX(계정대체기준!$F$20:$F$49,MATCH($N1872,계정대체기준!$A$20:$A$49,0)),1)))</f>
        <v/>
      </c>
      <c r="Z1872" s="94">
        <f>IF($A1872="",0,IF(AE1872="직접",IF(AF1872="신계약비",$P1872,0),$P1872*(1-AG1872)*IFERROR(INDEX(계정대체기준!$C$20:$C$49,MATCH($N1872,계정대체기준!$A$20:$A$49,0)),0)))</f>
        <v/>
      </c>
      <c r="AA1872" s="94">
        <f>IF($A1872="",0,IF(AE1872="직접",IF(OR(AF1872="유지비",AF1872="손해조사비"),$P1872,0),$P1872*(1-AG1872)*IFERROR(INDEX(계정대체기준!$D$20:$D$49,MATCH($N1872,계정대체기준!$A$20:$A$49,0)),0)))</f>
        <v/>
      </c>
      <c r="AB1872" s="94">
        <f>IF($A1872="",0,IF(AE1872="직접",IF(AF1872="수금비",$P1872,0),$P1872*(1-AG1872)*IFERROR(INDEX(계정대체기준!$E$20:$E$49,MATCH($N1872,계정대체기준!$A$20:$A$49,0)),0)))</f>
        <v/>
      </c>
      <c r="AC1872" s="9">
        <f>IF(AND($A1872&lt;&gt;"",M1872=설정!$C$20,Z1872&gt;0),Z1872+ROW()/1000000000,"")</f>
        <v/>
      </c>
      <c r="AD1872" s="94">
        <f>IF($A1872="",0,$P1872*AG1872)</f>
        <v/>
      </c>
      <c r="AE1872" s="64">
        <f>IF($A1872="","",IFERROR(INDEX(계정매핑!$E$5:$E$504,MATCH($F1872&amp;"",계정매핑!$A$5:$A$504,0))&amp;"","공통비"))</f>
        <v/>
      </c>
      <c r="AF1872" s="64">
        <f>IF($A1872="","",IF(AE1872="직접",IFERROR(INDEX(계정매핑!$F$5:$F$504,MATCH($F1872&amp;"",계정매핑!$A$5:$A$504,0))&amp;"","비귀속"),""))</f>
        <v/>
      </c>
      <c r="AG1872" s="96">
        <f>IF($A1872="",0,IF(AND(AE1872&lt;&gt;"직접",IFERROR(INDEX(계정매핑!$G$5:$G$504,MATCH($F1872&amp;"",계정매핑!$A$5:$A$504,0))&amp;"","")="유지비",COUNTIF(계정대체기준!$A$6:$A$15,$N1872)&gt;0),IFERROR(INDEX(계정대체기준!$E$6:$E$15,MATCH(VALUE($A1872&amp;""),계정대체기준!$D$6:$D$15,0)),0),0))</f>
        <v/>
      </c>
      <c r="AH1872" s="64">
        <f>IF($A1872="","",IF(AD1872=0,"",IF(OR(COUNTIF(계정대체기준!$A$77:$A$86,$N1872)&gt;0,ISNUMBER(MATCH($X1872,계정대체기준!$D$77:$D$86,0)),ISNUMBER(MATCH($F1872,계정대체기준!$D$77:$D$86,0))),"Y","N")))</f>
        <v/>
      </c>
    </row>
    <row r="1873">
      <c r="A1873" s="92" t="n">
        <v>2025</v>
      </c>
      <c r="B1873" s="92" t="n">
        <v>9</v>
      </c>
      <c r="C1873" s="92" t="inlineStr">
        <is>
          <t>5100001869</t>
        </is>
      </c>
      <c r="D1873" s="95" t="n">
        <v>45908</v>
      </c>
      <c r="E1873" s="92" t="inlineStr">
        <is>
          <t>KR</t>
        </is>
      </c>
      <c r="F1873" s="92" t="n">
        <v>62201000</v>
      </c>
      <c r="G1873" s="92" t="n">
        <v>1201</v>
      </c>
      <c r="H1873" s="93" t="n">
        <v>258000</v>
      </c>
      <c r="I1873" s="92" t="inlineStr">
        <is>
          <t>9월 통신요금 - P통신</t>
        </is>
      </c>
      <c r="J1873" s="92" t="inlineStr">
        <is>
          <t>V10014</t>
        </is>
      </c>
      <c r="K1873" s="92" t="inlineStr">
        <is>
          <t>P통신</t>
        </is>
      </c>
      <c r="M1873" s="9">
        <f>IF($A1873="","",VALUE($A1873&amp;"")*12+VALUE($B1873&amp;""))</f>
        <v/>
      </c>
      <c r="N1873" s="64">
        <f>IF($A1873="","",IFERROR(INDEX(부서매핑!$C$5:$C$504,MATCH($G1873&amp;"",부서매핑!$A$5:$A$504,0)),"미매핑"))</f>
        <v/>
      </c>
      <c r="O1873" s="9">
        <f>IF($A1873="","",N1873&amp;"|"&amp;$F1873)</f>
        <v/>
      </c>
      <c r="P1873" s="94">
        <f>IF($A1873="",0,$H1873*설정!$C$23)</f>
        <v/>
      </c>
      <c r="Q1873" s="64">
        <f>IF($A1873="","",IF(O1873&lt;&gt;원인분석!$C$9,"",IF(AND(M1873&gt;=원인분석!$C$10,M1873&lt;=원인분석!$C$11),"당기",IF(AND(M1873&gt;=원인분석!$C$12,M1873&lt;=원인분석!$C$13),"비교",""))))</f>
        <v/>
      </c>
      <c r="R1873" s="9">
        <f>IF(Q1873="","",$K1873&amp;"")</f>
        <v/>
      </c>
      <c r="S1873" s="9">
        <f>IF(Q1873="","",IF(MATCH(R1873,$R$5:$R$100000,0)=ROW()-4,ROW(),""))</f>
        <v/>
      </c>
      <c r="T1873" s="9">
        <f>IF(Q1873="당기",ABS(P1873)+ROW()/1000000000,"")</f>
        <v/>
      </c>
      <c r="U1873" s="9">
        <f>IF(Q1873="비교",ABS(P1873)+ROW()/1000000000,"")</f>
        <v/>
      </c>
      <c r="V1873" s="64">
        <f>IF($A1873="","",IF(COUNTIF(변동분석!$E$7:$E$506,O1873)&gt;0,"Y","N"))</f>
        <v/>
      </c>
      <c r="W1873" s="64">
        <f>IF($A1873="","",IFERROR(INDEX(계정매핑!$D$5:$D$504,MATCH($F1873&amp;"",계정매핑!$A$5:$A$504,0)),"미매핑"))</f>
        <v/>
      </c>
      <c r="X1873" s="9">
        <f>IF($A1873="","",$F1873&amp;"")</f>
        <v/>
      </c>
      <c r="Y1873" s="94">
        <f>IF($A1873="",0,IF(AE1873="직접",IF(AF1873="비귀속",$P1873,0),$P1873*(1-AG1873)*IFERROR(INDEX(계정대체기준!$F$20:$F$49,MATCH($N1873,계정대체기준!$A$20:$A$49,0)),1)))</f>
        <v/>
      </c>
      <c r="Z1873" s="94">
        <f>IF($A1873="",0,IF(AE1873="직접",IF(AF1873="신계약비",$P1873,0),$P1873*(1-AG1873)*IFERROR(INDEX(계정대체기준!$C$20:$C$49,MATCH($N1873,계정대체기준!$A$20:$A$49,0)),0)))</f>
        <v/>
      </c>
      <c r="AA1873" s="94">
        <f>IF($A1873="",0,IF(AE1873="직접",IF(OR(AF1873="유지비",AF1873="손해조사비"),$P1873,0),$P1873*(1-AG1873)*IFERROR(INDEX(계정대체기준!$D$20:$D$49,MATCH($N1873,계정대체기준!$A$20:$A$49,0)),0)))</f>
        <v/>
      </c>
      <c r="AB1873" s="94">
        <f>IF($A1873="",0,IF(AE1873="직접",IF(AF1873="수금비",$P1873,0),$P1873*(1-AG1873)*IFERROR(INDEX(계정대체기준!$E$20:$E$49,MATCH($N1873,계정대체기준!$A$20:$A$49,0)),0)))</f>
        <v/>
      </c>
      <c r="AC1873" s="9">
        <f>IF(AND($A1873&lt;&gt;"",M1873=설정!$C$20,Z1873&gt;0),Z1873+ROW()/1000000000,"")</f>
        <v/>
      </c>
      <c r="AD1873" s="94">
        <f>IF($A1873="",0,$P1873*AG1873)</f>
        <v/>
      </c>
      <c r="AE1873" s="64">
        <f>IF($A1873="","",IFERROR(INDEX(계정매핑!$E$5:$E$504,MATCH($F1873&amp;"",계정매핑!$A$5:$A$504,0))&amp;"","공통비"))</f>
        <v/>
      </c>
      <c r="AF1873" s="64">
        <f>IF($A1873="","",IF(AE1873="직접",IFERROR(INDEX(계정매핑!$F$5:$F$504,MATCH($F1873&amp;"",계정매핑!$A$5:$A$504,0))&amp;"","비귀속"),""))</f>
        <v/>
      </c>
      <c r="AG1873" s="96">
        <f>IF($A1873="",0,IF(AND(AE1873&lt;&gt;"직접",IFERROR(INDEX(계정매핑!$G$5:$G$504,MATCH($F1873&amp;"",계정매핑!$A$5:$A$504,0))&amp;"","")="유지비",COUNTIF(계정대체기준!$A$6:$A$15,$N1873)&gt;0),IFERROR(INDEX(계정대체기준!$E$6:$E$15,MATCH(VALUE($A1873&amp;""),계정대체기준!$D$6:$D$15,0)),0),0))</f>
        <v/>
      </c>
      <c r="AH1873" s="64">
        <f>IF($A1873="","",IF(AD1873=0,"",IF(OR(COUNTIF(계정대체기준!$A$77:$A$86,$N1873)&gt;0,ISNUMBER(MATCH($X1873,계정대체기준!$D$77:$D$86,0)),ISNUMBER(MATCH($F1873,계정대체기준!$D$77:$D$86,0))),"Y","N")))</f>
        <v/>
      </c>
    </row>
    <row r="1874">
      <c r="A1874" s="92" t="n">
        <v>2025</v>
      </c>
      <c r="B1874" s="92" t="n">
        <v>9</v>
      </c>
      <c r="C1874" s="92" t="inlineStr">
        <is>
          <t>5100001870</t>
        </is>
      </c>
      <c r="D1874" s="95" t="n">
        <v>45908</v>
      </c>
      <c r="E1874" s="92" t="inlineStr">
        <is>
          <t>KR</t>
        </is>
      </c>
      <c r="F1874" s="92" t="n">
        <v>62201000</v>
      </c>
      <c r="G1874" s="92" t="n">
        <v>1601</v>
      </c>
      <c r="H1874" s="93" t="n">
        <v>738000</v>
      </c>
      <c r="I1874" s="92" t="inlineStr">
        <is>
          <t>9월 통신요금 - P통신</t>
        </is>
      </c>
      <c r="J1874" s="92" t="inlineStr">
        <is>
          <t>V10014</t>
        </is>
      </c>
      <c r="K1874" s="92" t="inlineStr">
        <is>
          <t>P통신</t>
        </is>
      </c>
      <c r="M1874" s="9">
        <f>IF($A1874="","",VALUE($A1874&amp;"")*12+VALUE($B1874&amp;""))</f>
        <v/>
      </c>
      <c r="N1874" s="64">
        <f>IF($A1874="","",IFERROR(INDEX(부서매핑!$C$5:$C$504,MATCH($G1874&amp;"",부서매핑!$A$5:$A$504,0)),"미매핑"))</f>
        <v/>
      </c>
      <c r="O1874" s="9">
        <f>IF($A1874="","",N1874&amp;"|"&amp;$F1874)</f>
        <v/>
      </c>
      <c r="P1874" s="94">
        <f>IF($A1874="",0,$H1874*설정!$C$23)</f>
        <v/>
      </c>
      <c r="Q1874" s="64">
        <f>IF($A1874="","",IF(O1874&lt;&gt;원인분석!$C$9,"",IF(AND(M1874&gt;=원인분석!$C$10,M1874&lt;=원인분석!$C$11),"당기",IF(AND(M1874&gt;=원인분석!$C$12,M1874&lt;=원인분석!$C$13),"비교",""))))</f>
        <v/>
      </c>
      <c r="R1874" s="9">
        <f>IF(Q1874="","",$K1874&amp;"")</f>
        <v/>
      </c>
      <c r="S1874" s="9">
        <f>IF(Q1874="","",IF(MATCH(R1874,$R$5:$R$100000,0)=ROW()-4,ROW(),""))</f>
        <v/>
      </c>
      <c r="T1874" s="9">
        <f>IF(Q1874="당기",ABS(P1874)+ROW()/1000000000,"")</f>
        <v/>
      </c>
      <c r="U1874" s="9">
        <f>IF(Q1874="비교",ABS(P1874)+ROW()/1000000000,"")</f>
        <v/>
      </c>
      <c r="V1874" s="64">
        <f>IF($A1874="","",IF(COUNTIF(변동분석!$E$7:$E$506,O1874)&gt;0,"Y","N"))</f>
        <v/>
      </c>
      <c r="W1874" s="64">
        <f>IF($A1874="","",IFERROR(INDEX(계정매핑!$D$5:$D$504,MATCH($F1874&amp;"",계정매핑!$A$5:$A$504,0)),"미매핑"))</f>
        <v/>
      </c>
      <c r="X1874" s="9">
        <f>IF($A1874="","",$F1874&amp;"")</f>
        <v/>
      </c>
      <c r="Y1874" s="94">
        <f>IF($A1874="",0,IF(AE1874="직접",IF(AF1874="비귀속",$P1874,0),$P1874*(1-AG1874)*IFERROR(INDEX(계정대체기준!$F$20:$F$49,MATCH($N1874,계정대체기준!$A$20:$A$49,0)),1)))</f>
        <v/>
      </c>
      <c r="Z1874" s="94">
        <f>IF($A1874="",0,IF(AE1874="직접",IF(AF1874="신계약비",$P1874,0),$P1874*(1-AG1874)*IFERROR(INDEX(계정대체기준!$C$20:$C$49,MATCH($N1874,계정대체기준!$A$20:$A$49,0)),0)))</f>
        <v/>
      </c>
      <c r="AA1874" s="94">
        <f>IF($A1874="",0,IF(AE1874="직접",IF(OR(AF1874="유지비",AF1874="손해조사비"),$P1874,0),$P1874*(1-AG1874)*IFERROR(INDEX(계정대체기준!$D$20:$D$49,MATCH($N1874,계정대체기준!$A$20:$A$49,0)),0)))</f>
        <v/>
      </c>
      <c r="AB1874" s="94">
        <f>IF($A1874="",0,IF(AE1874="직접",IF(AF1874="수금비",$P1874,0),$P1874*(1-AG1874)*IFERROR(INDEX(계정대체기준!$E$20:$E$49,MATCH($N1874,계정대체기준!$A$20:$A$49,0)),0)))</f>
        <v/>
      </c>
      <c r="AC1874" s="9">
        <f>IF(AND($A1874&lt;&gt;"",M1874=설정!$C$20,Z1874&gt;0),Z1874+ROW()/1000000000,"")</f>
        <v/>
      </c>
      <c r="AD1874" s="94">
        <f>IF($A1874="",0,$P1874*AG1874)</f>
        <v/>
      </c>
      <c r="AE1874" s="64">
        <f>IF($A1874="","",IFERROR(INDEX(계정매핑!$E$5:$E$504,MATCH($F1874&amp;"",계정매핑!$A$5:$A$504,0))&amp;"","공통비"))</f>
        <v/>
      </c>
      <c r="AF1874" s="64">
        <f>IF($A1874="","",IF(AE1874="직접",IFERROR(INDEX(계정매핑!$F$5:$F$504,MATCH($F1874&amp;"",계정매핑!$A$5:$A$504,0))&amp;"","비귀속"),""))</f>
        <v/>
      </c>
      <c r="AG1874" s="96">
        <f>IF($A1874="",0,IF(AND(AE1874&lt;&gt;"직접",IFERROR(INDEX(계정매핑!$G$5:$G$504,MATCH($F1874&amp;"",계정매핑!$A$5:$A$504,0))&amp;"","")="유지비",COUNTIF(계정대체기준!$A$6:$A$15,$N1874)&gt;0),IFERROR(INDEX(계정대체기준!$E$6:$E$15,MATCH(VALUE($A1874&amp;""),계정대체기준!$D$6:$D$15,0)),0),0))</f>
        <v/>
      </c>
      <c r="AH1874" s="64">
        <f>IF($A1874="","",IF(AD1874=0,"",IF(OR(COUNTIF(계정대체기준!$A$77:$A$86,$N1874)&gt;0,ISNUMBER(MATCH($X1874,계정대체기준!$D$77:$D$86,0)),ISNUMBER(MATCH($F1874,계정대체기준!$D$77:$D$86,0))),"Y","N")))</f>
        <v/>
      </c>
    </row>
    <row r="1875">
      <c r="A1875" s="92" t="n">
        <v>2025</v>
      </c>
      <c r="B1875" s="92" t="n">
        <v>9</v>
      </c>
      <c r="C1875" s="92" t="inlineStr">
        <is>
          <t>5100001871</t>
        </is>
      </c>
      <c r="D1875" s="95" t="n">
        <v>45908</v>
      </c>
      <c r="E1875" s="92" t="inlineStr">
        <is>
          <t>KR</t>
        </is>
      </c>
      <c r="F1875" s="92" t="n">
        <v>62301000</v>
      </c>
      <c r="G1875" s="92" t="n">
        <v>1501</v>
      </c>
      <c r="H1875" s="93" t="n">
        <v>233000</v>
      </c>
      <c r="I1875" s="92" t="inlineStr">
        <is>
          <t>9월 소모품 구입 - Q오피스</t>
        </is>
      </c>
      <c r="J1875" s="92" t="inlineStr">
        <is>
          <t>V10003</t>
        </is>
      </c>
      <c r="K1875" s="92" t="inlineStr">
        <is>
          <t>Q오피스</t>
        </is>
      </c>
      <c r="M1875" s="9">
        <f>IF($A1875="","",VALUE($A1875&amp;"")*12+VALUE($B1875&amp;""))</f>
        <v/>
      </c>
      <c r="N1875" s="64">
        <f>IF($A1875="","",IFERROR(INDEX(부서매핑!$C$5:$C$504,MATCH($G1875&amp;"",부서매핑!$A$5:$A$504,0)),"미매핑"))</f>
        <v/>
      </c>
      <c r="O1875" s="9">
        <f>IF($A1875="","",N1875&amp;"|"&amp;$F1875)</f>
        <v/>
      </c>
      <c r="P1875" s="94">
        <f>IF($A1875="",0,$H1875*설정!$C$23)</f>
        <v/>
      </c>
      <c r="Q1875" s="64">
        <f>IF($A1875="","",IF(O1875&lt;&gt;원인분석!$C$9,"",IF(AND(M1875&gt;=원인분석!$C$10,M1875&lt;=원인분석!$C$11),"당기",IF(AND(M1875&gt;=원인분석!$C$12,M1875&lt;=원인분석!$C$13),"비교",""))))</f>
        <v/>
      </c>
      <c r="R1875" s="9">
        <f>IF(Q1875="","",$K1875&amp;"")</f>
        <v/>
      </c>
      <c r="S1875" s="9">
        <f>IF(Q1875="","",IF(MATCH(R1875,$R$5:$R$100000,0)=ROW()-4,ROW(),""))</f>
        <v/>
      </c>
      <c r="T1875" s="9">
        <f>IF(Q1875="당기",ABS(P1875)+ROW()/1000000000,"")</f>
        <v/>
      </c>
      <c r="U1875" s="9">
        <f>IF(Q1875="비교",ABS(P1875)+ROW()/1000000000,"")</f>
        <v/>
      </c>
      <c r="V1875" s="64">
        <f>IF($A1875="","",IF(COUNTIF(변동분석!$E$7:$E$506,O1875)&gt;0,"Y","N"))</f>
        <v/>
      </c>
      <c r="W1875" s="64">
        <f>IF($A1875="","",IFERROR(INDEX(계정매핑!$D$5:$D$504,MATCH($F1875&amp;"",계정매핑!$A$5:$A$504,0)),"미매핑"))</f>
        <v/>
      </c>
      <c r="X1875" s="9">
        <f>IF($A1875="","",$F1875&amp;"")</f>
        <v/>
      </c>
      <c r="Y1875" s="94">
        <f>IF($A1875="",0,IF(AE1875="직접",IF(AF1875="비귀속",$P1875,0),$P1875*(1-AG1875)*IFERROR(INDEX(계정대체기준!$F$20:$F$49,MATCH($N1875,계정대체기준!$A$20:$A$49,0)),1)))</f>
        <v/>
      </c>
      <c r="Z1875" s="94">
        <f>IF($A1875="",0,IF(AE1875="직접",IF(AF1875="신계약비",$P1875,0),$P1875*(1-AG1875)*IFERROR(INDEX(계정대체기준!$C$20:$C$49,MATCH($N1875,계정대체기준!$A$20:$A$49,0)),0)))</f>
        <v/>
      </c>
      <c r="AA1875" s="94">
        <f>IF($A1875="",0,IF(AE1875="직접",IF(OR(AF1875="유지비",AF1875="손해조사비"),$P1875,0),$P1875*(1-AG1875)*IFERROR(INDEX(계정대체기준!$D$20:$D$49,MATCH($N1875,계정대체기준!$A$20:$A$49,0)),0)))</f>
        <v/>
      </c>
      <c r="AB1875" s="94">
        <f>IF($A1875="",0,IF(AE1875="직접",IF(AF1875="수금비",$P1875,0),$P1875*(1-AG1875)*IFERROR(INDEX(계정대체기준!$E$20:$E$49,MATCH($N1875,계정대체기준!$A$20:$A$49,0)),0)))</f>
        <v/>
      </c>
      <c r="AC1875" s="9">
        <f>IF(AND($A1875&lt;&gt;"",M1875=설정!$C$20,Z1875&gt;0),Z1875+ROW()/1000000000,"")</f>
        <v/>
      </c>
      <c r="AD1875" s="94">
        <f>IF($A1875="",0,$P1875*AG1875)</f>
        <v/>
      </c>
      <c r="AE1875" s="64">
        <f>IF($A1875="","",IFERROR(INDEX(계정매핑!$E$5:$E$504,MATCH($F1875&amp;"",계정매핑!$A$5:$A$504,0))&amp;"","공통비"))</f>
        <v/>
      </c>
      <c r="AF1875" s="64">
        <f>IF($A1875="","",IF(AE1875="직접",IFERROR(INDEX(계정매핑!$F$5:$F$504,MATCH($F1875&amp;"",계정매핑!$A$5:$A$504,0))&amp;"","비귀속"),""))</f>
        <v/>
      </c>
      <c r="AG1875" s="96">
        <f>IF($A1875="",0,IF(AND(AE1875&lt;&gt;"직접",IFERROR(INDEX(계정매핑!$G$5:$G$504,MATCH($F1875&amp;"",계정매핑!$A$5:$A$504,0))&amp;"","")="유지비",COUNTIF(계정대체기준!$A$6:$A$15,$N1875)&gt;0),IFERROR(INDEX(계정대체기준!$E$6:$E$15,MATCH(VALUE($A1875&amp;""),계정대체기준!$D$6:$D$15,0)),0),0))</f>
        <v/>
      </c>
      <c r="AH1875" s="64">
        <f>IF($A1875="","",IF(AD1875=0,"",IF(OR(COUNTIF(계정대체기준!$A$77:$A$86,$N1875)&gt;0,ISNUMBER(MATCH($X1875,계정대체기준!$D$77:$D$86,0)),ISNUMBER(MATCH($F1875,계정대체기준!$D$77:$D$86,0))),"Y","N")))</f>
        <v/>
      </c>
    </row>
    <row r="1876">
      <c r="A1876" s="92" t="n">
        <v>2025</v>
      </c>
      <c r="B1876" s="92" t="n">
        <v>9</v>
      </c>
      <c r="C1876" s="92" t="inlineStr">
        <is>
          <t>5100001872</t>
        </is>
      </c>
      <c r="D1876" s="95" t="n">
        <v>45908</v>
      </c>
      <c r="E1876" s="92" t="inlineStr">
        <is>
          <t>KR</t>
        </is>
      </c>
      <c r="F1876" s="92" t="n">
        <v>62501000</v>
      </c>
      <c r="G1876" s="92" t="n">
        <v>1502</v>
      </c>
      <c r="H1876" s="93" t="n">
        <v>400000</v>
      </c>
      <c r="I1876" s="92" t="inlineStr">
        <is>
          <t>9월 회의 다과 - (법인카드)</t>
        </is>
      </c>
      <c r="J1876" s="92" t="inlineStr">
        <is>
          <t>V10010</t>
        </is>
      </c>
      <c r="K1876" s="92" t="inlineStr">
        <is>
          <t>(법인카드)</t>
        </is>
      </c>
      <c r="M1876" s="9">
        <f>IF($A1876="","",VALUE($A1876&amp;"")*12+VALUE($B1876&amp;""))</f>
        <v/>
      </c>
      <c r="N1876" s="64">
        <f>IF($A1876="","",IFERROR(INDEX(부서매핑!$C$5:$C$504,MATCH($G1876&amp;"",부서매핑!$A$5:$A$504,0)),"미매핑"))</f>
        <v/>
      </c>
      <c r="O1876" s="9">
        <f>IF($A1876="","",N1876&amp;"|"&amp;$F1876)</f>
        <v/>
      </c>
      <c r="P1876" s="94">
        <f>IF($A1876="",0,$H1876*설정!$C$23)</f>
        <v/>
      </c>
      <c r="Q1876" s="64">
        <f>IF($A1876="","",IF(O1876&lt;&gt;원인분석!$C$9,"",IF(AND(M1876&gt;=원인분석!$C$10,M1876&lt;=원인분석!$C$11),"당기",IF(AND(M1876&gt;=원인분석!$C$12,M1876&lt;=원인분석!$C$13),"비교",""))))</f>
        <v/>
      </c>
      <c r="R1876" s="9">
        <f>IF(Q1876="","",$K1876&amp;"")</f>
        <v/>
      </c>
      <c r="S1876" s="9">
        <f>IF(Q1876="","",IF(MATCH(R1876,$R$5:$R$100000,0)=ROW()-4,ROW(),""))</f>
        <v/>
      </c>
      <c r="T1876" s="9">
        <f>IF(Q1876="당기",ABS(P1876)+ROW()/1000000000,"")</f>
        <v/>
      </c>
      <c r="U1876" s="9">
        <f>IF(Q1876="비교",ABS(P1876)+ROW()/1000000000,"")</f>
        <v/>
      </c>
      <c r="V1876" s="64">
        <f>IF($A1876="","",IF(COUNTIF(변동분석!$E$7:$E$506,O1876)&gt;0,"Y","N"))</f>
        <v/>
      </c>
      <c r="W1876" s="64">
        <f>IF($A1876="","",IFERROR(INDEX(계정매핑!$D$5:$D$504,MATCH($F1876&amp;"",계정매핑!$A$5:$A$504,0)),"미매핑"))</f>
        <v/>
      </c>
      <c r="X1876" s="9">
        <f>IF($A1876="","",$F1876&amp;"")</f>
        <v/>
      </c>
      <c r="Y1876" s="94">
        <f>IF($A1876="",0,IF(AE1876="직접",IF(AF1876="비귀속",$P1876,0),$P1876*(1-AG1876)*IFERROR(INDEX(계정대체기준!$F$20:$F$49,MATCH($N1876,계정대체기준!$A$20:$A$49,0)),1)))</f>
        <v/>
      </c>
      <c r="Z1876" s="94">
        <f>IF($A1876="",0,IF(AE1876="직접",IF(AF1876="신계약비",$P1876,0),$P1876*(1-AG1876)*IFERROR(INDEX(계정대체기준!$C$20:$C$49,MATCH($N1876,계정대체기준!$A$20:$A$49,0)),0)))</f>
        <v/>
      </c>
      <c r="AA1876" s="94">
        <f>IF($A1876="",0,IF(AE1876="직접",IF(OR(AF1876="유지비",AF1876="손해조사비"),$P1876,0),$P1876*(1-AG1876)*IFERROR(INDEX(계정대체기준!$D$20:$D$49,MATCH($N1876,계정대체기준!$A$20:$A$49,0)),0)))</f>
        <v/>
      </c>
      <c r="AB1876" s="94">
        <f>IF($A1876="",0,IF(AE1876="직접",IF(AF1876="수금비",$P1876,0),$P1876*(1-AG1876)*IFERROR(INDEX(계정대체기준!$E$20:$E$49,MATCH($N1876,계정대체기준!$A$20:$A$49,0)),0)))</f>
        <v/>
      </c>
      <c r="AC1876" s="9">
        <f>IF(AND($A1876&lt;&gt;"",M1876=설정!$C$20,Z1876&gt;0),Z1876+ROW()/1000000000,"")</f>
        <v/>
      </c>
      <c r="AD1876" s="94">
        <f>IF($A1876="",0,$P1876*AG1876)</f>
        <v/>
      </c>
      <c r="AE1876" s="64">
        <f>IF($A1876="","",IFERROR(INDEX(계정매핑!$E$5:$E$504,MATCH($F1876&amp;"",계정매핑!$A$5:$A$504,0))&amp;"","공통비"))</f>
        <v/>
      </c>
      <c r="AF1876" s="64">
        <f>IF($A1876="","",IF(AE1876="직접",IFERROR(INDEX(계정매핑!$F$5:$F$504,MATCH($F1876&amp;"",계정매핑!$A$5:$A$504,0))&amp;"","비귀속"),""))</f>
        <v/>
      </c>
      <c r="AG1876" s="96">
        <f>IF($A1876="",0,IF(AND(AE1876&lt;&gt;"직접",IFERROR(INDEX(계정매핑!$G$5:$G$504,MATCH($F1876&amp;"",계정매핑!$A$5:$A$504,0))&amp;"","")="유지비",COUNTIF(계정대체기준!$A$6:$A$15,$N1876)&gt;0),IFERROR(INDEX(계정대체기준!$E$6:$E$15,MATCH(VALUE($A1876&amp;""),계정대체기준!$D$6:$D$15,0)),0),0))</f>
        <v/>
      </c>
      <c r="AH1876" s="64">
        <f>IF($A1876="","",IF(AD1876=0,"",IF(OR(COUNTIF(계정대체기준!$A$77:$A$86,$N1876)&gt;0,ISNUMBER(MATCH($X1876,계정대체기준!$D$77:$D$86,0)),ISNUMBER(MATCH($F1876,계정대체기준!$D$77:$D$86,0))),"Y","N")))</f>
        <v/>
      </c>
    </row>
    <row r="1877">
      <c r="A1877" s="92" t="n">
        <v>2025</v>
      </c>
      <c r="B1877" s="92" t="n">
        <v>9</v>
      </c>
      <c r="C1877" s="92" t="inlineStr">
        <is>
          <t>5100001873</t>
        </is>
      </c>
      <c r="D1877" s="95" t="n">
        <v>45908</v>
      </c>
      <c r="E1877" s="92" t="inlineStr">
        <is>
          <t>KR</t>
        </is>
      </c>
      <c r="F1877" s="92" t="n">
        <v>62501000</v>
      </c>
      <c r="G1877" s="92" t="n">
        <v>1701</v>
      </c>
      <c r="H1877" s="93" t="n">
        <v>164000</v>
      </c>
      <c r="I1877" s="92" t="inlineStr">
        <is>
          <t>9월 회의 다과 - (법인카드)</t>
        </is>
      </c>
      <c r="J1877" s="92" t="inlineStr">
        <is>
          <t>V10010</t>
        </is>
      </c>
      <c r="K1877" s="92" t="inlineStr">
        <is>
          <t>(법인카드)</t>
        </is>
      </c>
      <c r="M1877" s="9">
        <f>IF($A1877="","",VALUE($A1877&amp;"")*12+VALUE($B1877&amp;""))</f>
        <v/>
      </c>
      <c r="N1877" s="64">
        <f>IF($A1877="","",IFERROR(INDEX(부서매핑!$C$5:$C$504,MATCH($G1877&amp;"",부서매핑!$A$5:$A$504,0)),"미매핑"))</f>
        <v/>
      </c>
      <c r="O1877" s="9">
        <f>IF($A1877="","",N1877&amp;"|"&amp;$F1877)</f>
        <v/>
      </c>
      <c r="P1877" s="94">
        <f>IF($A1877="",0,$H1877*설정!$C$23)</f>
        <v/>
      </c>
      <c r="Q1877" s="64">
        <f>IF($A1877="","",IF(O1877&lt;&gt;원인분석!$C$9,"",IF(AND(M1877&gt;=원인분석!$C$10,M1877&lt;=원인분석!$C$11),"당기",IF(AND(M1877&gt;=원인분석!$C$12,M1877&lt;=원인분석!$C$13),"비교",""))))</f>
        <v/>
      </c>
      <c r="R1877" s="9">
        <f>IF(Q1877="","",$K1877&amp;"")</f>
        <v/>
      </c>
      <c r="S1877" s="9">
        <f>IF(Q1877="","",IF(MATCH(R1877,$R$5:$R$100000,0)=ROW()-4,ROW(),""))</f>
        <v/>
      </c>
      <c r="T1877" s="9">
        <f>IF(Q1877="당기",ABS(P1877)+ROW()/1000000000,"")</f>
        <v/>
      </c>
      <c r="U1877" s="9">
        <f>IF(Q1877="비교",ABS(P1877)+ROW()/1000000000,"")</f>
        <v/>
      </c>
      <c r="V1877" s="64">
        <f>IF($A1877="","",IF(COUNTIF(변동분석!$E$7:$E$506,O1877)&gt;0,"Y","N"))</f>
        <v/>
      </c>
      <c r="W1877" s="64">
        <f>IF($A1877="","",IFERROR(INDEX(계정매핑!$D$5:$D$504,MATCH($F1877&amp;"",계정매핑!$A$5:$A$504,0)),"미매핑"))</f>
        <v/>
      </c>
      <c r="X1877" s="9">
        <f>IF($A1877="","",$F1877&amp;"")</f>
        <v/>
      </c>
      <c r="Y1877" s="94">
        <f>IF($A1877="",0,IF(AE1877="직접",IF(AF1877="비귀속",$P1877,0),$P1877*(1-AG1877)*IFERROR(INDEX(계정대체기준!$F$20:$F$49,MATCH($N1877,계정대체기준!$A$20:$A$49,0)),1)))</f>
        <v/>
      </c>
      <c r="Z1877" s="94">
        <f>IF($A1877="",0,IF(AE1877="직접",IF(AF1877="신계약비",$P1877,0),$P1877*(1-AG1877)*IFERROR(INDEX(계정대체기준!$C$20:$C$49,MATCH($N1877,계정대체기준!$A$20:$A$49,0)),0)))</f>
        <v/>
      </c>
      <c r="AA1877" s="94">
        <f>IF($A1877="",0,IF(AE1877="직접",IF(OR(AF1877="유지비",AF1877="손해조사비"),$P1877,0),$P1877*(1-AG1877)*IFERROR(INDEX(계정대체기준!$D$20:$D$49,MATCH($N1877,계정대체기준!$A$20:$A$49,0)),0)))</f>
        <v/>
      </c>
      <c r="AB1877" s="94">
        <f>IF($A1877="",0,IF(AE1877="직접",IF(AF1877="수금비",$P1877,0),$P1877*(1-AG1877)*IFERROR(INDEX(계정대체기준!$E$20:$E$49,MATCH($N1877,계정대체기준!$A$20:$A$49,0)),0)))</f>
        <v/>
      </c>
      <c r="AC1877" s="9">
        <f>IF(AND($A1877&lt;&gt;"",M1877=설정!$C$20,Z1877&gt;0),Z1877+ROW()/1000000000,"")</f>
        <v/>
      </c>
      <c r="AD1877" s="94">
        <f>IF($A1877="",0,$P1877*AG1877)</f>
        <v/>
      </c>
      <c r="AE1877" s="64">
        <f>IF($A1877="","",IFERROR(INDEX(계정매핑!$E$5:$E$504,MATCH($F1877&amp;"",계정매핑!$A$5:$A$504,0))&amp;"","공통비"))</f>
        <v/>
      </c>
      <c r="AF1877" s="64">
        <f>IF($A1877="","",IF(AE1877="직접",IFERROR(INDEX(계정매핑!$F$5:$F$504,MATCH($F1877&amp;"",계정매핑!$A$5:$A$504,0))&amp;"","비귀속"),""))</f>
        <v/>
      </c>
      <c r="AG1877" s="96">
        <f>IF($A1877="",0,IF(AND(AE1877&lt;&gt;"직접",IFERROR(INDEX(계정매핑!$G$5:$G$504,MATCH($F1877&amp;"",계정매핑!$A$5:$A$504,0))&amp;"","")="유지비",COUNTIF(계정대체기준!$A$6:$A$15,$N1877)&gt;0),IFERROR(INDEX(계정대체기준!$E$6:$E$15,MATCH(VALUE($A1877&amp;""),계정대체기준!$D$6:$D$15,0)),0),0))</f>
        <v/>
      </c>
      <c r="AH1877" s="64">
        <f>IF($A1877="","",IF(AD1877=0,"",IF(OR(COUNTIF(계정대체기준!$A$77:$A$86,$N1877)&gt;0,ISNUMBER(MATCH($X1877,계정대체기준!$D$77:$D$86,0)),ISNUMBER(MATCH($F1877,계정대체기준!$D$77:$D$86,0))),"Y","N")))</f>
        <v/>
      </c>
    </row>
    <row r="1878">
      <c r="A1878" s="92" t="n">
        <v>2025</v>
      </c>
      <c r="B1878" s="92" t="n">
        <v>9</v>
      </c>
      <c r="C1878" s="92" t="inlineStr">
        <is>
          <t>5100001874</t>
        </is>
      </c>
      <c r="D1878" s="95" t="n">
        <v>45908</v>
      </c>
      <c r="E1878" s="92" t="inlineStr">
        <is>
          <t>KR</t>
        </is>
      </c>
      <c r="F1878" s="92" t="n">
        <v>62601000</v>
      </c>
      <c r="G1878" s="92" t="n">
        <v>1101</v>
      </c>
      <c r="H1878" s="93" t="n">
        <v>1567000</v>
      </c>
      <c r="I1878" s="92" t="inlineStr">
        <is>
          <t>9월 업무추진 - (법인카드)</t>
        </is>
      </c>
      <c r="J1878" s="92" t="inlineStr">
        <is>
          <t>V10010</t>
        </is>
      </c>
      <c r="K1878" s="92" t="inlineStr">
        <is>
          <t>(법인카드)</t>
        </is>
      </c>
      <c r="M1878" s="9">
        <f>IF($A1878="","",VALUE($A1878&amp;"")*12+VALUE($B1878&amp;""))</f>
        <v/>
      </c>
      <c r="N1878" s="64">
        <f>IF($A1878="","",IFERROR(INDEX(부서매핑!$C$5:$C$504,MATCH($G1878&amp;"",부서매핑!$A$5:$A$504,0)),"미매핑"))</f>
        <v/>
      </c>
      <c r="O1878" s="9">
        <f>IF($A1878="","",N1878&amp;"|"&amp;$F1878)</f>
        <v/>
      </c>
      <c r="P1878" s="94">
        <f>IF($A1878="",0,$H1878*설정!$C$23)</f>
        <v/>
      </c>
      <c r="Q1878" s="64">
        <f>IF($A1878="","",IF(O1878&lt;&gt;원인분석!$C$9,"",IF(AND(M1878&gt;=원인분석!$C$10,M1878&lt;=원인분석!$C$11),"당기",IF(AND(M1878&gt;=원인분석!$C$12,M1878&lt;=원인분석!$C$13),"비교",""))))</f>
        <v/>
      </c>
      <c r="R1878" s="9">
        <f>IF(Q1878="","",$K1878&amp;"")</f>
        <v/>
      </c>
      <c r="S1878" s="9">
        <f>IF(Q1878="","",IF(MATCH(R1878,$R$5:$R$100000,0)=ROW()-4,ROW(),""))</f>
        <v/>
      </c>
      <c r="T1878" s="9">
        <f>IF(Q1878="당기",ABS(P1878)+ROW()/1000000000,"")</f>
        <v/>
      </c>
      <c r="U1878" s="9">
        <f>IF(Q1878="비교",ABS(P1878)+ROW()/1000000000,"")</f>
        <v/>
      </c>
      <c r="V1878" s="64">
        <f>IF($A1878="","",IF(COUNTIF(변동분석!$E$7:$E$506,O1878)&gt;0,"Y","N"))</f>
        <v/>
      </c>
      <c r="W1878" s="64">
        <f>IF($A1878="","",IFERROR(INDEX(계정매핑!$D$5:$D$504,MATCH($F1878&amp;"",계정매핑!$A$5:$A$504,0)),"미매핑"))</f>
        <v/>
      </c>
      <c r="X1878" s="9">
        <f>IF($A1878="","",$F1878&amp;"")</f>
        <v/>
      </c>
      <c r="Y1878" s="94">
        <f>IF($A1878="",0,IF(AE1878="직접",IF(AF1878="비귀속",$P1878,0),$P1878*(1-AG1878)*IFERROR(INDEX(계정대체기준!$F$20:$F$49,MATCH($N1878,계정대체기준!$A$20:$A$49,0)),1)))</f>
        <v/>
      </c>
      <c r="Z1878" s="94">
        <f>IF($A1878="",0,IF(AE1878="직접",IF(AF1878="신계약비",$P1878,0),$P1878*(1-AG1878)*IFERROR(INDEX(계정대체기준!$C$20:$C$49,MATCH($N1878,계정대체기준!$A$20:$A$49,0)),0)))</f>
        <v/>
      </c>
      <c r="AA1878" s="94">
        <f>IF($A1878="",0,IF(AE1878="직접",IF(OR(AF1878="유지비",AF1878="손해조사비"),$P1878,0),$P1878*(1-AG1878)*IFERROR(INDEX(계정대체기준!$D$20:$D$49,MATCH($N1878,계정대체기준!$A$20:$A$49,0)),0)))</f>
        <v/>
      </c>
      <c r="AB1878" s="94">
        <f>IF($A1878="",0,IF(AE1878="직접",IF(AF1878="수금비",$P1878,0),$P1878*(1-AG1878)*IFERROR(INDEX(계정대체기준!$E$20:$E$49,MATCH($N1878,계정대체기준!$A$20:$A$49,0)),0)))</f>
        <v/>
      </c>
      <c r="AC1878" s="9">
        <f>IF(AND($A1878&lt;&gt;"",M1878=설정!$C$20,Z1878&gt;0),Z1878+ROW()/1000000000,"")</f>
        <v/>
      </c>
      <c r="AD1878" s="94">
        <f>IF($A1878="",0,$P1878*AG1878)</f>
        <v/>
      </c>
      <c r="AE1878" s="64">
        <f>IF($A1878="","",IFERROR(INDEX(계정매핑!$E$5:$E$504,MATCH($F1878&amp;"",계정매핑!$A$5:$A$504,0))&amp;"","공통비"))</f>
        <v/>
      </c>
      <c r="AF1878" s="64">
        <f>IF($A1878="","",IF(AE1878="직접",IFERROR(INDEX(계정매핑!$F$5:$F$504,MATCH($F1878&amp;"",계정매핑!$A$5:$A$504,0))&amp;"","비귀속"),""))</f>
        <v/>
      </c>
      <c r="AG1878" s="96">
        <f>IF($A1878="",0,IF(AND(AE1878&lt;&gt;"직접",IFERROR(INDEX(계정매핑!$G$5:$G$504,MATCH($F1878&amp;"",계정매핑!$A$5:$A$504,0))&amp;"","")="유지비",COUNTIF(계정대체기준!$A$6:$A$15,$N1878)&gt;0),IFERROR(INDEX(계정대체기준!$E$6:$E$15,MATCH(VALUE($A1878&amp;""),계정대체기준!$D$6:$D$15,0)),0),0))</f>
        <v/>
      </c>
      <c r="AH1878" s="64">
        <f>IF($A1878="","",IF(AD1878=0,"",IF(OR(COUNTIF(계정대체기준!$A$77:$A$86,$N1878)&gt;0,ISNUMBER(MATCH($X1878,계정대체기준!$D$77:$D$86,0)),ISNUMBER(MATCH($F1878,계정대체기준!$D$77:$D$86,0))),"Y","N")))</f>
        <v/>
      </c>
    </row>
    <row r="1879">
      <c r="A1879" s="92" t="n">
        <v>2025</v>
      </c>
      <c r="B1879" s="92" t="n">
        <v>9</v>
      </c>
      <c r="C1879" s="92" t="inlineStr">
        <is>
          <t>5100001875</t>
        </is>
      </c>
      <c r="D1879" s="95" t="n">
        <v>45908</v>
      </c>
      <c r="E1879" s="92" t="inlineStr">
        <is>
          <t>KR</t>
        </is>
      </c>
      <c r="F1879" s="92" t="n">
        <v>63601000</v>
      </c>
      <c r="G1879" s="92" t="n">
        <v>1801</v>
      </c>
      <c r="H1879" s="93" t="n">
        <v>7614000</v>
      </c>
      <c r="I1879" s="92" t="inlineStr">
        <is>
          <t>9월 손해사정 수수료 - EE손해사정</t>
        </is>
      </c>
      <c r="J1879" s="92" t="inlineStr">
        <is>
          <t>V10008</t>
        </is>
      </c>
      <c r="K1879" s="92" t="inlineStr">
        <is>
          <t>EE손해사정</t>
        </is>
      </c>
      <c r="M1879" s="9">
        <f>IF($A1879="","",VALUE($A1879&amp;"")*12+VALUE($B1879&amp;""))</f>
        <v/>
      </c>
      <c r="N1879" s="64">
        <f>IF($A1879="","",IFERROR(INDEX(부서매핑!$C$5:$C$504,MATCH($G1879&amp;"",부서매핑!$A$5:$A$504,0)),"미매핑"))</f>
        <v/>
      </c>
      <c r="O1879" s="9">
        <f>IF($A1879="","",N1879&amp;"|"&amp;$F1879)</f>
        <v/>
      </c>
      <c r="P1879" s="94">
        <f>IF($A1879="",0,$H1879*설정!$C$23)</f>
        <v/>
      </c>
      <c r="Q1879" s="64">
        <f>IF($A1879="","",IF(O1879&lt;&gt;원인분석!$C$9,"",IF(AND(M1879&gt;=원인분석!$C$10,M1879&lt;=원인분석!$C$11),"당기",IF(AND(M1879&gt;=원인분석!$C$12,M1879&lt;=원인분석!$C$13),"비교",""))))</f>
        <v/>
      </c>
      <c r="R1879" s="9">
        <f>IF(Q1879="","",$K1879&amp;"")</f>
        <v/>
      </c>
      <c r="S1879" s="9">
        <f>IF(Q1879="","",IF(MATCH(R1879,$R$5:$R$100000,0)=ROW()-4,ROW(),""))</f>
        <v/>
      </c>
      <c r="T1879" s="9">
        <f>IF(Q1879="당기",ABS(P1879)+ROW()/1000000000,"")</f>
        <v/>
      </c>
      <c r="U1879" s="9">
        <f>IF(Q1879="비교",ABS(P1879)+ROW()/1000000000,"")</f>
        <v/>
      </c>
      <c r="V1879" s="64">
        <f>IF($A1879="","",IF(COUNTIF(변동분석!$E$7:$E$506,O1879)&gt;0,"Y","N"))</f>
        <v/>
      </c>
      <c r="W1879" s="64">
        <f>IF($A1879="","",IFERROR(INDEX(계정매핑!$D$5:$D$504,MATCH($F1879&amp;"",계정매핑!$A$5:$A$504,0)),"미매핑"))</f>
        <v/>
      </c>
      <c r="X1879" s="9">
        <f>IF($A1879="","",$F1879&amp;"")</f>
        <v/>
      </c>
      <c r="Y1879" s="94">
        <f>IF($A1879="",0,IF(AE1879="직접",IF(AF1879="비귀속",$P1879,0),$P1879*(1-AG1879)*IFERROR(INDEX(계정대체기준!$F$20:$F$49,MATCH($N1879,계정대체기준!$A$20:$A$49,0)),1)))</f>
        <v/>
      </c>
      <c r="Z1879" s="94">
        <f>IF($A1879="",0,IF(AE1879="직접",IF(AF1879="신계약비",$P1879,0),$P1879*(1-AG1879)*IFERROR(INDEX(계정대체기준!$C$20:$C$49,MATCH($N1879,계정대체기준!$A$20:$A$49,0)),0)))</f>
        <v/>
      </c>
      <c r="AA1879" s="94">
        <f>IF($A1879="",0,IF(AE1879="직접",IF(OR(AF1879="유지비",AF1879="손해조사비"),$P1879,0),$P1879*(1-AG1879)*IFERROR(INDEX(계정대체기준!$D$20:$D$49,MATCH($N1879,계정대체기준!$A$20:$A$49,0)),0)))</f>
        <v/>
      </c>
      <c r="AB1879" s="94">
        <f>IF($A1879="",0,IF(AE1879="직접",IF(AF1879="수금비",$P1879,0),$P1879*(1-AG1879)*IFERROR(INDEX(계정대체기준!$E$20:$E$49,MATCH($N1879,계정대체기준!$A$20:$A$49,0)),0)))</f>
        <v/>
      </c>
      <c r="AC1879" s="9">
        <f>IF(AND($A1879&lt;&gt;"",M1879=설정!$C$20,Z1879&gt;0),Z1879+ROW()/1000000000,"")</f>
        <v/>
      </c>
      <c r="AD1879" s="94">
        <f>IF($A1879="",0,$P1879*AG1879)</f>
        <v/>
      </c>
      <c r="AE1879" s="64">
        <f>IF($A1879="","",IFERROR(INDEX(계정매핑!$E$5:$E$504,MATCH($F1879&amp;"",계정매핑!$A$5:$A$504,0))&amp;"","공통비"))</f>
        <v/>
      </c>
      <c r="AF1879" s="64">
        <f>IF($A1879="","",IF(AE1879="직접",IFERROR(INDEX(계정매핑!$F$5:$F$504,MATCH($F1879&amp;"",계정매핑!$A$5:$A$504,0))&amp;"","비귀속"),""))</f>
        <v/>
      </c>
      <c r="AG1879" s="96">
        <f>IF($A1879="",0,IF(AND(AE1879&lt;&gt;"직접",IFERROR(INDEX(계정매핑!$G$5:$G$504,MATCH($F1879&amp;"",계정매핑!$A$5:$A$504,0))&amp;"","")="유지비",COUNTIF(계정대체기준!$A$6:$A$15,$N1879)&gt;0),IFERROR(INDEX(계정대체기준!$E$6:$E$15,MATCH(VALUE($A1879&amp;""),계정대체기준!$D$6:$D$15,0)),0),0))</f>
        <v/>
      </c>
      <c r="AH1879" s="64">
        <f>IF($A1879="","",IF(AD1879=0,"",IF(OR(COUNTIF(계정대체기준!$A$77:$A$86,$N1879)&gt;0,ISNUMBER(MATCH($X1879,계정대체기준!$D$77:$D$86,0)),ISNUMBER(MATCH($F1879,계정대체기준!$D$77:$D$86,0))),"Y","N")))</f>
        <v/>
      </c>
    </row>
    <row r="1880">
      <c r="A1880" s="92" t="n">
        <v>2025</v>
      </c>
      <c r="B1880" s="92" t="n">
        <v>9</v>
      </c>
      <c r="C1880" s="92" t="inlineStr">
        <is>
          <t>5100001876</t>
        </is>
      </c>
      <c r="D1880" s="95" t="n">
        <v>45909</v>
      </c>
      <c r="E1880" s="92" t="inlineStr">
        <is>
          <t>KR</t>
        </is>
      </c>
      <c r="F1880" s="92" t="n">
        <v>62101000</v>
      </c>
      <c r="G1880" s="92" t="n">
        <v>1701</v>
      </c>
      <c r="H1880" s="93" t="n">
        <v>149000</v>
      </c>
      <c r="I1880" s="92" t="inlineStr">
        <is>
          <t>9월 국내출장 - L여행사</t>
        </is>
      </c>
      <c r="J1880" s="92" t="inlineStr">
        <is>
          <t>V10018</t>
        </is>
      </c>
      <c r="K1880" s="92" t="inlineStr">
        <is>
          <t>L여행사</t>
        </is>
      </c>
      <c r="M1880" s="9">
        <f>IF($A1880="","",VALUE($A1880&amp;"")*12+VALUE($B1880&amp;""))</f>
        <v/>
      </c>
      <c r="N1880" s="64">
        <f>IF($A1880="","",IFERROR(INDEX(부서매핑!$C$5:$C$504,MATCH($G1880&amp;"",부서매핑!$A$5:$A$504,0)),"미매핑"))</f>
        <v/>
      </c>
      <c r="O1880" s="9">
        <f>IF($A1880="","",N1880&amp;"|"&amp;$F1880)</f>
        <v/>
      </c>
      <c r="P1880" s="94">
        <f>IF($A1880="",0,$H1880*설정!$C$23)</f>
        <v/>
      </c>
      <c r="Q1880" s="64">
        <f>IF($A1880="","",IF(O1880&lt;&gt;원인분석!$C$9,"",IF(AND(M1880&gt;=원인분석!$C$10,M1880&lt;=원인분석!$C$11),"당기",IF(AND(M1880&gt;=원인분석!$C$12,M1880&lt;=원인분석!$C$13),"비교",""))))</f>
        <v/>
      </c>
      <c r="R1880" s="9">
        <f>IF(Q1880="","",$K1880&amp;"")</f>
        <v/>
      </c>
      <c r="S1880" s="9">
        <f>IF(Q1880="","",IF(MATCH(R1880,$R$5:$R$100000,0)=ROW()-4,ROW(),""))</f>
        <v/>
      </c>
      <c r="T1880" s="9">
        <f>IF(Q1880="당기",ABS(P1880)+ROW()/1000000000,"")</f>
        <v/>
      </c>
      <c r="U1880" s="9">
        <f>IF(Q1880="비교",ABS(P1880)+ROW()/1000000000,"")</f>
        <v/>
      </c>
      <c r="V1880" s="64">
        <f>IF($A1880="","",IF(COUNTIF(변동분석!$E$7:$E$506,O1880)&gt;0,"Y","N"))</f>
        <v/>
      </c>
      <c r="W1880" s="64">
        <f>IF($A1880="","",IFERROR(INDEX(계정매핑!$D$5:$D$504,MATCH($F1880&amp;"",계정매핑!$A$5:$A$504,0)),"미매핑"))</f>
        <v/>
      </c>
      <c r="X1880" s="9">
        <f>IF($A1880="","",$F1880&amp;"")</f>
        <v/>
      </c>
      <c r="Y1880" s="94">
        <f>IF($A1880="",0,IF(AE1880="직접",IF(AF1880="비귀속",$P1880,0),$P1880*(1-AG1880)*IFERROR(INDEX(계정대체기준!$F$20:$F$49,MATCH($N1880,계정대체기준!$A$20:$A$49,0)),1)))</f>
        <v/>
      </c>
      <c r="Z1880" s="94">
        <f>IF($A1880="",0,IF(AE1880="직접",IF(AF1880="신계약비",$P1880,0),$P1880*(1-AG1880)*IFERROR(INDEX(계정대체기준!$C$20:$C$49,MATCH($N1880,계정대체기준!$A$20:$A$49,0)),0)))</f>
        <v/>
      </c>
      <c r="AA1880" s="94">
        <f>IF($A1880="",0,IF(AE1880="직접",IF(OR(AF1880="유지비",AF1880="손해조사비"),$P1880,0),$P1880*(1-AG1880)*IFERROR(INDEX(계정대체기준!$D$20:$D$49,MATCH($N1880,계정대체기준!$A$20:$A$49,0)),0)))</f>
        <v/>
      </c>
      <c r="AB1880" s="94">
        <f>IF($A1880="",0,IF(AE1880="직접",IF(AF1880="수금비",$P1880,0),$P1880*(1-AG1880)*IFERROR(INDEX(계정대체기준!$E$20:$E$49,MATCH($N1880,계정대체기준!$A$20:$A$49,0)),0)))</f>
        <v/>
      </c>
      <c r="AC1880" s="9">
        <f>IF(AND($A1880&lt;&gt;"",M1880=설정!$C$20,Z1880&gt;0),Z1880+ROW()/1000000000,"")</f>
        <v/>
      </c>
      <c r="AD1880" s="94">
        <f>IF($A1880="",0,$P1880*AG1880)</f>
        <v/>
      </c>
      <c r="AE1880" s="64">
        <f>IF($A1880="","",IFERROR(INDEX(계정매핑!$E$5:$E$504,MATCH($F1880&amp;"",계정매핑!$A$5:$A$504,0))&amp;"","공통비"))</f>
        <v/>
      </c>
      <c r="AF1880" s="64">
        <f>IF($A1880="","",IF(AE1880="직접",IFERROR(INDEX(계정매핑!$F$5:$F$504,MATCH($F1880&amp;"",계정매핑!$A$5:$A$504,0))&amp;"","비귀속"),""))</f>
        <v/>
      </c>
      <c r="AG1880" s="96">
        <f>IF($A1880="",0,IF(AND(AE1880&lt;&gt;"직접",IFERROR(INDEX(계정매핑!$G$5:$G$504,MATCH($F1880&amp;"",계정매핑!$A$5:$A$504,0))&amp;"","")="유지비",COUNTIF(계정대체기준!$A$6:$A$15,$N1880)&gt;0),IFERROR(INDEX(계정대체기준!$E$6:$E$15,MATCH(VALUE($A1880&amp;""),계정대체기준!$D$6:$D$15,0)),0),0))</f>
        <v/>
      </c>
      <c r="AH1880" s="64">
        <f>IF($A1880="","",IF(AD1880=0,"",IF(OR(COUNTIF(계정대체기준!$A$77:$A$86,$N1880)&gt;0,ISNUMBER(MATCH($X1880,계정대체기준!$D$77:$D$86,0)),ISNUMBER(MATCH($F1880,계정대체기준!$D$77:$D$86,0))),"Y","N")))</f>
        <v/>
      </c>
    </row>
    <row r="1881">
      <c r="A1881" s="92" t="n">
        <v>2025</v>
      </c>
      <c r="B1881" s="92" t="n">
        <v>9</v>
      </c>
      <c r="C1881" s="92" t="inlineStr">
        <is>
          <t>5100001877</t>
        </is>
      </c>
      <c r="D1881" s="95" t="n">
        <v>45909</v>
      </c>
      <c r="E1881" s="92" t="inlineStr">
        <is>
          <t>KR</t>
        </is>
      </c>
      <c r="F1881" s="92" t="n">
        <v>62101000</v>
      </c>
      <c r="G1881" s="92" t="n">
        <v>1701</v>
      </c>
      <c r="H1881" s="93" t="n">
        <v>220000</v>
      </c>
      <c r="I1881" s="92" t="inlineStr">
        <is>
          <t>9월 국내출장 - M항공</t>
        </is>
      </c>
      <c r="J1881" s="92" t="inlineStr">
        <is>
          <t>V10001</t>
        </is>
      </c>
      <c r="K1881" s="92" t="inlineStr">
        <is>
          <t>M항공</t>
        </is>
      </c>
      <c r="M1881" s="9">
        <f>IF($A1881="","",VALUE($A1881&amp;"")*12+VALUE($B1881&amp;""))</f>
        <v/>
      </c>
      <c r="N1881" s="64">
        <f>IF($A1881="","",IFERROR(INDEX(부서매핑!$C$5:$C$504,MATCH($G1881&amp;"",부서매핑!$A$5:$A$504,0)),"미매핑"))</f>
        <v/>
      </c>
      <c r="O1881" s="9">
        <f>IF($A1881="","",N1881&amp;"|"&amp;$F1881)</f>
        <v/>
      </c>
      <c r="P1881" s="94">
        <f>IF($A1881="",0,$H1881*설정!$C$23)</f>
        <v/>
      </c>
      <c r="Q1881" s="64">
        <f>IF($A1881="","",IF(O1881&lt;&gt;원인분석!$C$9,"",IF(AND(M1881&gt;=원인분석!$C$10,M1881&lt;=원인분석!$C$11),"당기",IF(AND(M1881&gt;=원인분석!$C$12,M1881&lt;=원인분석!$C$13),"비교",""))))</f>
        <v/>
      </c>
      <c r="R1881" s="9">
        <f>IF(Q1881="","",$K1881&amp;"")</f>
        <v/>
      </c>
      <c r="S1881" s="9">
        <f>IF(Q1881="","",IF(MATCH(R1881,$R$5:$R$100000,0)=ROW()-4,ROW(),""))</f>
        <v/>
      </c>
      <c r="T1881" s="9">
        <f>IF(Q1881="당기",ABS(P1881)+ROW()/1000000000,"")</f>
        <v/>
      </c>
      <c r="U1881" s="9">
        <f>IF(Q1881="비교",ABS(P1881)+ROW()/1000000000,"")</f>
        <v/>
      </c>
      <c r="V1881" s="64">
        <f>IF($A1881="","",IF(COUNTIF(변동분석!$E$7:$E$506,O1881)&gt;0,"Y","N"))</f>
        <v/>
      </c>
      <c r="W1881" s="64">
        <f>IF($A1881="","",IFERROR(INDEX(계정매핑!$D$5:$D$504,MATCH($F1881&amp;"",계정매핑!$A$5:$A$504,0)),"미매핑"))</f>
        <v/>
      </c>
      <c r="X1881" s="9">
        <f>IF($A1881="","",$F1881&amp;"")</f>
        <v/>
      </c>
      <c r="Y1881" s="94">
        <f>IF($A1881="",0,IF(AE1881="직접",IF(AF1881="비귀속",$P1881,0),$P1881*(1-AG1881)*IFERROR(INDEX(계정대체기준!$F$20:$F$49,MATCH($N1881,계정대체기준!$A$20:$A$49,0)),1)))</f>
        <v/>
      </c>
      <c r="Z1881" s="94">
        <f>IF($A1881="",0,IF(AE1881="직접",IF(AF1881="신계약비",$P1881,0),$P1881*(1-AG1881)*IFERROR(INDEX(계정대체기준!$C$20:$C$49,MATCH($N1881,계정대체기준!$A$20:$A$49,0)),0)))</f>
        <v/>
      </c>
      <c r="AA1881" s="94">
        <f>IF($A1881="",0,IF(AE1881="직접",IF(OR(AF1881="유지비",AF1881="손해조사비"),$P1881,0),$P1881*(1-AG1881)*IFERROR(INDEX(계정대체기준!$D$20:$D$49,MATCH($N1881,계정대체기준!$A$20:$A$49,0)),0)))</f>
        <v/>
      </c>
      <c r="AB1881" s="94">
        <f>IF($A1881="",0,IF(AE1881="직접",IF(AF1881="수금비",$P1881,0),$P1881*(1-AG1881)*IFERROR(INDEX(계정대체기준!$E$20:$E$49,MATCH($N1881,계정대체기준!$A$20:$A$49,0)),0)))</f>
        <v/>
      </c>
      <c r="AC1881" s="9">
        <f>IF(AND($A1881&lt;&gt;"",M1881=설정!$C$20,Z1881&gt;0),Z1881+ROW()/1000000000,"")</f>
        <v/>
      </c>
      <c r="AD1881" s="94">
        <f>IF($A1881="",0,$P1881*AG1881)</f>
        <v/>
      </c>
      <c r="AE1881" s="64">
        <f>IF($A1881="","",IFERROR(INDEX(계정매핑!$E$5:$E$504,MATCH($F1881&amp;"",계정매핑!$A$5:$A$504,0))&amp;"","공통비"))</f>
        <v/>
      </c>
      <c r="AF1881" s="64">
        <f>IF($A1881="","",IF(AE1881="직접",IFERROR(INDEX(계정매핑!$F$5:$F$504,MATCH($F1881&amp;"",계정매핑!$A$5:$A$504,0))&amp;"","비귀속"),""))</f>
        <v/>
      </c>
      <c r="AG1881" s="96">
        <f>IF($A1881="",0,IF(AND(AE1881&lt;&gt;"직접",IFERROR(INDEX(계정매핑!$G$5:$G$504,MATCH($F1881&amp;"",계정매핑!$A$5:$A$504,0))&amp;"","")="유지비",COUNTIF(계정대체기준!$A$6:$A$15,$N1881)&gt;0),IFERROR(INDEX(계정대체기준!$E$6:$E$15,MATCH(VALUE($A1881&amp;""),계정대체기준!$D$6:$D$15,0)),0),0))</f>
        <v/>
      </c>
      <c r="AH1881" s="64">
        <f>IF($A1881="","",IF(AD1881=0,"",IF(OR(COUNTIF(계정대체기준!$A$77:$A$86,$N1881)&gt;0,ISNUMBER(MATCH($X1881,계정대체기준!$D$77:$D$86,0)),ISNUMBER(MATCH($F1881,계정대체기준!$D$77:$D$86,0))),"Y","N")))</f>
        <v/>
      </c>
    </row>
    <row r="1882">
      <c r="A1882" s="92" t="n">
        <v>2025</v>
      </c>
      <c r="B1882" s="92" t="n">
        <v>9</v>
      </c>
      <c r="C1882" s="92" t="inlineStr">
        <is>
          <t>5100001878</t>
        </is>
      </c>
      <c r="D1882" s="95" t="n">
        <v>45909</v>
      </c>
      <c r="E1882" s="92" t="inlineStr">
        <is>
          <t>KR</t>
        </is>
      </c>
      <c r="F1882" s="92" t="n">
        <v>62101000</v>
      </c>
      <c r="G1882" s="92" t="n">
        <v>1951</v>
      </c>
      <c r="H1882" s="93" t="n">
        <v>383000</v>
      </c>
      <c r="I1882" s="92" t="inlineStr">
        <is>
          <t>9월 국내출장 - (법인카드)</t>
        </is>
      </c>
      <c r="J1882" s="92" t="inlineStr">
        <is>
          <t>V10010</t>
        </is>
      </c>
      <c r="K1882" s="92" t="inlineStr">
        <is>
          <t>(법인카드)</t>
        </is>
      </c>
      <c r="M1882" s="9">
        <f>IF($A1882="","",VALUE($A1882&amp;"")*12+VALUE($B1882&amp;""))</f>
        <v/>
      </c>
      <c r="N1882" s="64">
        <f>IF($A1882="","",IFERROR(INDEX(부서매핑!$C$5:$C$504,MATCH($G1882&amp;"",부서매핑!$A$5:$A$504,0)),"미매핑"))</f>
        <v/>
      </c>
      <c r="O1882" s="9">
        <f>IF($A1882="","",N1882&amp;"|"&amp;$F1882)</f>
        <v/>
      </c>
      <c r="P1882" s="94">
        <f>IF($A1882="",0,$H1882*설정!$C$23)</f>
        <v/>
      </c>
      <c r="Q1882" s="64">
        <f>IF($A1882="","",IF(O1882&lt;&gt;원인분석!$C$9,"",IF(AND(M1882&gt;=원인분석!$C$10,M1882&lt;=원인분석!$C$11),"당기",IF(AND(M1882&gt;=원인분석!$C$12,M1882&lt;=원인분석!$C$13),"비교",""))))</f>
        <v/>
      </c>
      <c r="R1882" s="9">
        <f>IF(Q1882="","",$K1882&amp;"")</f>
        <v/>
      </c>
      <c r="S1882" s="9">
        <f>IF(Q1882="","",IF(MATCH(R1882,$R$5:$R$100000,0)=ROW()-4,ROW(),""))</f>
        <v/>
      </c>
      <c r="T1882" s="9">
        <f>IF(Q1882="당기",ABS(P1882)+ROW()/1000000000,"")</f>
        <v/>
      </c>
      <c r="U1882" s="9">
        <f>IF(Q1882="비교",ABS(P1882)+ROW()/1000000000,"")</f>
        <v/>
      </c>
      <c r="V1882" s="64">
        <f>IF($A1882="","",IF(COUNTIF(변동분석!$E$7:$E$506,O1882)&gt;0,"Y","N"))</f>
        <v/>
      </c>
      <c r="W1882" s="64">
        <f>IF($A1882="","",IFERROR(INDEX(계정매핑!$D$5:$D$504,MATCH($F1882&amp;"",계정매핑!$A$5:$A$504,0)),"미매핑"))</f>
        <v/>
      </c>
      <c r="X1882" s="9">
        <f>IF($A1882="","",$F1882&amp;"")</f>
        <v/>
      </c>
      <c r="Y1882" s="94">
        <f>IF($A1882="",0,IF(AE1882="직접",IF(AF1882="비귀속",$P1882,0),$P1882*(1-AG1882)*IFERROR(INDEX(계정대체기준!$F$20:$F$49,MATCH($N1882,계정대체기준!$A$20:$A$49,0)),1)))</f>
        <v/>
      </c>
      <c r="Z1882" s="94">
        <f>IF($A1882="",0,IF(AE1882="직접",IF(AF1882="신계약비",$P1882,0),$P1882*(1-AG1882)*IFERROR(INDEX(계정대체기준!$C$20:$C$49,MATCH($N1882,계정대체기준!$A$20:$A$49,0)),0)))</f>
        <v/>
      </c>
      <c r="AA1882" s="94">
        <f>IF($A1882="",0,IF(AE1882="직접",IF(OR(AF1882="유지비",AF1882="손해조사비"),$P1882,0),$P1882*(1-AG1882)*IFERROR(INDEX(계정대체기준!$D$20:$D$49,MATCH($N1882,계정대체기준!$A$20:$A$49,0)),0)))</f>
        <v/>
      </c>
      <c r="AB1882" s="94">
        <f>IF($A1882="",0,IF(AE1882="직접",IF(AF1882="수금비",$P1882,0),$P1882*(1-AG1882)*IFERROR(INDEX(계정대체기준!$E$20:$E$49,MATCH($N1882,계정대체기준!$A$20:$A$49,0)),0)))</f>
        <v/>
      </c>
      <c r="AC1882" s="9">
        <f>IF(AND($A1882&lt;&gt;"",M1882=설정!$C$20,Z1882&gt;0),Z1882+ROW()/1000000000,"")</f>
        <v/>
      </c>
      <c r="AD1882" s="94">
        <f>IF($A1882="",0,$P1882*AG1882)</f>
        <v/>
      </c>
      <c r="AE1882" s="64">
        <f>IF($A1882="","",IFERROR(INDEX(계정매핑!$E$5:$E$504,MATCH($F1882&amp;"",계정매핑!$A$5:$A$504,0))&amp;"","공통비"))</f>
        <v/>
      </c>
      <c r="AF1882" s="64">
        <f>IF($A1882="","",IF(AE1882="직접",IFERROR(INDEX(계정매핑!$F$5:$F$504,MATCH($F1882&amp;"",계정매핑!$A$5:$A$504,0))&amp;"","비귀속"),""))</f>
        <v/>
      </c>
      <c r="AG1882" s="96">
        <f>IF($A1882="",0,IF(AND(AE1882&lt;&gt;"직접",IFERROR(INDEX(계정매핑!$G$5:$G$504,MATCH($F1882&amp;"",계정매핑!$A$5:$A$504,0))&amp;"","")="유지비",COUNTIF(계정대체기준!$A$6:$A$15,$N1882)&gt;0),IFERROR(INDEX(계정대체기준!$E$6:$E$15,MATCH(VALUE($A1882&amp;""),계정대체기준!$D$6:$D$15,0)),0),0))</f>
        <v/>
      </c>
      <c r="AH1882" s="64">
        <f>IF($A1882="","",IF(AD1882=0,"",IF(OR(COUNTIF(계정대체기준!$A$77:$A$86,$N1882)&gt;0,ISNUMBER(MATCH($X1882,계정대체기준!$D$77:$D$86,0)),ISNUMBER(MATCH($F1882,계정대체기준!$D$77:$D$86,0))),"Y","N")))</f>
        <v/>
      </c>
    </row>
    <row r="1883">
      <c r="A1883" s="92" t="n">
        <v>2025</v>
      </c>
      <c r="B1883" s="92" t="n">
        <v>9</v>
      </c>
      <c r="C1883" s="92" t="inlineStr">
        <is>
          <t>5100001879</t>
        </is>
      </c>
      <c r="D1883" s="95" t="n">
        <v>45909</v>
      </c>
      <c r="E1883" s="92" t="inlineStr">
        <is>
          <t>KR</t>
        </is>
      </c>
      <c r="F1883" s="92" t="n">
        <v>62102000</v>
      </c>
      <c r="G1883" s="92" t="n">
        <v>1701</v>
      </c>
      <c r="H1883" s="93" t="n">
        <v>89000</v>
      </c>
      <c r="I1883" s="92" t="inlineStr">
        <is>
          <t>9월 해외출장 - M항공</t>
        </is>
      </c>
      <c r="J1883" s="92" t="inlineStr">
        <is>
          <t>V10001</t>
        </is>
      </c>
      <c r="K1883" s="92" t="inlineStr">
        <is>
          <t>M항공</t>
        </is>
      </c>
      <c r="M1883" s="9">
        <f>IF($A1883="","",VALUE($A1883&amp;"")*12+VALUE($B1883&amp;""))</f>
        <v/>
      </c>
      <c r="N1883" s="64">
        <f>IF($A1883="","",IFERROR(INDEX(부서매핑!$C$5:$C$504,MATCH($G1883&amp;"",부서매핑!$A$5:$A$504,0)),"미매핑"))</f>
        <v/>
      </c>
      <c r="O1883" s="9">
        <f>IF($A1883="","",N1883&amp;"|"&amp;$F1883)</f>
        <v/>
      </c>
      <c r="P1883" s="94">
        <f>IF($A1883="",0,$H1883*설정!$C$23)</f>
        <v/>
      </c>
      <c r="Q1883" s="64">
        <f>IF($A1883="","",IF(O1883&lt;&gt;원인분석!$C$9,"",IF(AND(M1883&gt;=원인분석!$C$10,M1883&lt;=원인분석!$C$11),"당기",IF(AND(M1883&gt;=원인분석!$C$12,M1883&lt;=원인분석!$C$13),"비교",""))))</f>
        <v/>
      </c>
      <c r="R1883" s="9">
        <f>IF(Q1883="","",$K1883&amp;"")</f>
        <v/>
      </c>
      <c r="S1883" s="9">
        <f>IF(Q1883="","",IF(MATCH(R1883,$R$5:$R$100000,0)=ROW()-4,ROW(),""))</f>
        <v/>
      </c>
      <c r="T1883" s="9">
        <f>IF(Q1883="당기",ABS(P1883)+ROW()/1000000000,"")</f>
        <v/>
      </c>
      <c r="U1883" s="9">
        <f>IF(Q1883="비교",ABS(P1883)+ROW()/1000000000,"")</f>
        <v/>
      </c>
      <c r="V1883" s="64">
        <f>IF($A1883="","",IF(COUNTIF(변동분석!$E$7:$E$506,O1883)&gt;0,"Y","N"))</f>
        <v/>
      </c>
      <c r="W1883" s="64">
        <f>IF($A1883="","",IFERROR(INDEX(계정매핑!$D$5:$D$504,MATCH($F1883&amp;"",계정매핑!$A$5:$A$504,0)),"미매핑"))</f>
        <v/>
      </c>
      <c r="X1883" s="9">
        <f>IF($A1883="","",$F1883&amp;"")</f>
        <v/>
      </c>
      <c r="Y1883" s="94">
        <f>IF($A1883="",0,IF(AE1883="직접",IF(AF1883="비귀속",$P1883,0),$P1883*(1-AG1883)*IFERROR(INDEX(계정대체기준!$F$20:$F$49,MATCH($N1883,계정대체기준!$A$20:$A$49,0)),1)))</f>
        <v/>
      </c>
      <c r="Z1883" s="94">
        <f>IF($A1883="",0,IF(AE1883="직접",IF(AF1883="신계약비",$P1883,0),$P1883*(1-AG1883)*IFERROR(INDEX(계정대체기준!$C$20:$C$49,MATCH($N1883,계정대체기준!$A$20:$A$49,0)),0)))</f>
        <v/>
      </c>
      <c r="AA1883" s="94">
        <f>IF($A1883="",0,IF(AE1883="직접",IF(OR(AF1883="유지비",AF1883="손해조사비"),$P1883,0),$P1883*(1-AG1883)*IFERROR(INDEX(계정대체기준!$D$20:$D$49,MATCH($N1883,계정대체기준!$A$20:$A$49,0)),0)))</f>
        <v/>
      </c>
      <c r="AB1883" s="94">
        <f>IF($A1883="",0,IF(AE1883="직접",IF(AF1883="수금비",$P1883,0),$P1883*(1-AG1883)*IFERROR(INDEX(계정대체기준!$E$20:$E$49,MATCH($N1883,계정대체기준!$A$20:$A$49,0)),0)))</f>
        <v/>
      </c>
      <c r="AC1883" s="9">
        <f>IF(AND($A1883&lt;&gt;"",M1883=설정!$C$20,Z1883&gt;0),Z1883+ROW()/1000000000,"")</f>
        <v/>
      </c>
      <c r="AD1883" s="94">
        <f>IF($A1883="",0,$P1883*AG1883)</f>
        <v/>
      </c>
      <c r="AE1883" s="64">
        <f>IF($A1883="","",IFERROR(INDEX(계정매핑!$E$5:$E$504,MATCH($F1883&amp;"",계정매핑!$A$5:$A$504,0))&amp;"","공통비"))</f>
        <v/>
      </c>
      <c r="AF1883" s="64">
        <f>IF($A1883="","",IF(AE1883="직접",IFERROR(INDEX(계정매핑!$F$5:$F$504,MATCH($F1883&amp;"",계정매핑!$A$5:$A$504,0))&amp;"","비귀속"),""))</f>
        <v/>
      </c>
      <c r="AG1883" s="96">
        <f>IF($A1883="",0,IF(AND(AE1883&lt;&gt;"직접",IFERROR(INDEX(계정매핑!$G$5:$G$504,MATCH($F1883&amp;"",계정매핑!$A$5:$A$504,0))&amp;"","")="유지비",COUNTIF(계정대체기준!$A$6:$A$15,$N1883)&gt;0),IFERROR(INDEX(계정대체기준!$E$6:$E$15,MATCH(VALUE($A1883&amp;""),계정대체기준!$D$6:$D$15,0)),0),0))</f>
        <v/>
      </c>
      <c r="AH1883" s="64">
        <f>IF($A1883="","",IF(AD1883=0,"",IF(OR(COUNTIF(계정대체기준!$A$77:$A$86,$N1883)&gt;0,ISNUMBER(MATCH($X1883,계정대체기준!$D$77:$D$86,0)),ISNUMBER(MATCH($F1883,계정대체기준!$D$77:$D$86,0))),"Y","N")))</f>
        <v/>
      </c>
    </row>
    <row r="1884">
      <c r="A1884" s="92" t="n">
        <v>2025</v>
      </c>
      <c r="B1884" s="92" t="n">
        <v>9</v>
      </c>
      <c r="C1884" s="92" t="inlineStr">
        <is>
          <t>5100001880</t>
        </is>
      </c>
      <c r="D1884" s="95" t="n">
        <v>45909</v>
      </c>
      <c r="E1884" s="92" t="inlineStr">
        <is>
          <t>KR</t>
        </is>
      </c>
      <c r="F1884" s="92" t="n">
        <v>62102000</v>
      </c>
      <c r="G1884" s="92" t="n">
        <v>1801</v>
      </c>
      <c r="H1884" s="93" t="n">
        <v>70000</v>
      </c>
      <c r="I1884" s="92" t="inlineStr">
        <is>
          <t>9월 해외출장 - N호텔</t>
        </is>
      </c>
      <c r="J1884" s="92" t="inlineStr">
        <is>
          <t>V10009</t>
        </is>
      </c>
      <c r="K1884" s="92" t="inlineStr">
        <is>
          <t>N호텔</t>
        </is>
      </c>
      <c r="M1884" s="9">
        <f>IF($A1884="","",VALUE($A1884&amp;"")*12+VALUE($B1884&amp;""))</f>
        <v/>
      </c>
      <c r="N1884" s="64">
        <f>IF($A1884="","",IFERROR(INDEX(부서매핑!$C$5:$C$504,MATCH($G1884&amp;"",부서매핑!$A$5:$A$504,0)),"미매핑"))</f>
        <v/>
      </c>
      <c r="O1884" s="9">
        <f>IF($A1884="","",N1884&amp;"|"&amp;$F1884)</f>
        <v/>
      </c>
      <c r="P1884" s="94">
        <f>IF($A1884="",0,$H1884*설정!$C$23)</f>
        <v/>
      </c>
      <c r="Q1884" s="64">
        <f>IF($A1884="","",IF(O1884&lt;&gt;원인분석!$C$9,"",IF(AND(M1884&gt;=원인분석!$C$10,M1884&lt;=원인분석!$C$11),"당기",IF(AND(M1884&gt;=원인분석!$C$12,M1884&lt;=원인분석!$C$13),"비교",""))))</f>
        <v/>
      </c>
      <c r="R1884" s="9">
        <f>IF(Q1884="","",$K1884&amp;"")</f>
        <v/>
      </c>
      <c r="S1884" s="9">
        <f>IF(Q1884="","",IF(MATCH(R1884,$R$5:$R$100000,0)=ROW()-4,ROW(),""))</f>
        <v/>
      </c>
      <c r="T1884" s="9">
        <f>IF(Q1884="당기",ABS(P1884)+ROW()/1000000000,"")</f>
        <v/>
      </c>
      <c r="U1884" s="9">
        <f>IF(Q1884="비교",ABS(P1884)+ROW()/1000000000,"")</f>
        <v/>
      </c>
      <c r="V1884" s="64">
        <f>IF($A1884="","",IF(COUNTIF(변동분석!$E$7:$E$506,O1884)&gt;0,"Y","N"))</f>
        <v/>
      </c>
      <c r="W1884" s="64">
        <f>IF($A1884="","",IFERROR(INDEX(계정매핑!$D$5:$D$504,MATCH($F1884&amp;"",계정매핑!$A$5:$A$504,0)),"미매핑"))</f>
        <v/>
      </c>
      <c r="X1884" s="9">
        <f>IF($A1884="","",$F1884&amp;"")</f>
        <v/>
      </c>
      <c r="Y1884" s="94">
        <f>IF($A1884="",0,IF(AE1884="직접",IF(AF1884="비귀속",$P1884,0),$P1884*(1-AG1884)*IFERROR(INDEX(계정대체기준!$F$20:$F$49,MATCH($N1884,계정대체기준!$A$20:$A$49,0)),1)))</f>
        <v/>
      </c>
      <c r="Z1884" s="94">
        <f>IF($A1884="",0,IF(AE1884="직접",IF(AF1884="신계약비",$P1884,0),$P1884*(1-AG1884)*IFERROR(INDEX(계정대체기준!$C$20:$C$49,MATCH($N1884,계정대체기준!$A$20:$A$49,0)),0)))</f>
        <v/>
      </c>
      <c r="AA1884" s="94">
        <f>IF($A1884="",0,IF(AE1884="직접",IF(OR(AF1884="유지비",AF1884="손해조사비"),$P1884,0),$P1884*(1-AG1884)*IFERROR(INDEX(계정대체기준!$D$20:$D$49,MATCH($N1884,계정대체기준!$A$20:$A$49,0)),0)))</f>
        <v/>
      </c>
      <c r="AB1884" s="94">
        <f>IF($A1884="",0,IF(AE1884="직접",IF(AF1884="수금비",$P1884,0),$P1884*(1-AG1884)*IFERROR(INDEX(계정대체기준!$E$20:$E$49,MATCH($N1884,계정대체기준!$A$20:$A$49,0)),0)))</f>
        <v/>
      </c>
      <c r="AC1884" s="9">
        <f>IF(AND($A1884&lt;&gt;"",M1884=설정!$C$20,Z1884&gt;0),Z1884+ROW()/1000000000,"")</f>
        <v/>
      </c>
      <c r="AD1884" s="94">
        <f>IF($A1884="",0,$P1884*AG1884)</f>
        <v/>
      </c>
      <c r="AE1884" s="64">
        <f>IF($A1884="","",IFERROR(INDEX(계정매핑!$E$5:$E$504,MATCH($F1884&amp;"",계정매핑!$A$5:$A$504,0))&amp;"","공통비"))</f>
        <v/>
      </c>
      <c r="AF1884" s="64">
        <f>IF($A1884="","",IF(AE1884="직접",IFERROR(INDEX(계정매핑!$F$5:$F$504,MATCH($F1884&amp;"",계정매핑!$A$5:$A$504,0))&amp;"","비귀속"),""))</f>
        <v/>
      </c>
      <c r="AG1884" s="96">
        <f>IF($A1884="",0,IF(AND(AE1884&lt;&gt;"직접",IFERROR(INDEX(계정매핑!$G$5:$G$504,MATCH($F1884&amp;"",계정매핑!$A$5:$A$504,0))&amp;"","")="유지비",COUNTIF(계정대체기준!$A$6:$A$15,$N1884)&gt;0),IFERROR(INDEX(계정대체기준!$E$6:$E$15,MATCH(VALUE($A1884&amp;""),계정대체기준!$D$6:$D$15,0)),0),0))</f>
        <v/>
      </c>
      <c r="AH1884" s="64">
        <f>IF($A1884="","",IF(AD1884=0,"",IF(OR(COUNTIF(계정대체기준!$A$77:$A$86,$N1884)&gt;0,ISNUMBER(MATCH($X1884,계정대체기준!$D$77:$D$86,0)),ISNUMBER(MATCH($F1884,계정대체기준!$D$77:$D$86,0))),"Y","N")))</f>
        <v/>
      </c>
    </row>
    <row r="1885">
      <c r="A1885" s="92" t="n">
        <v>2025</v>
      </c>
      <c r="B1885" s="92" t="n">
        <v>9</v>
      </c>
      <c r="C1885" s="92" t="inlineStr">
        <is>
          <t>5100001881</t>
        </is>
      </c>
      <c r="D1885" s="95" t="n">
        <v>45909</v>
      </c>
      <c r="E1885" s="92" t="inlineStr">
        <is>
          <t>KR</t>
        </is>
      </c>
      <c r="F1885" s="92" t="n">
        <v>62301000</v>
      </c>
      <c r="G1885" s="92" t="n">
        <v>1201</v>
      </c>
      <c r="H1885" s="93" t="n">
        <v>184000</v>
      </c>
      <c r="I1885" s="92" t="inlineStr">
        <is>
          <t>9월 소모품 구입 - R문구</t>
        </is>
      </c>
      <c r="J1885" s="92" t="inlineStr">
        <is>
          <t>V10022</t>
        </is>
      </c>
      <c r="K1885" s="92" t="inlineStr">
        <is>
          <t>R문구</t>
        </is>
      </c>
      <c r="M1885" s="9">
        <f>IF($A1885="","",VALUE($A1885&amp;"")*12+VALUE($B1885&amp;""))</f>
        <v/>
      </c>
      <c r="N1885" s="64">
        <f>IF($A1885="","",IFERROR(INDEX(부서매핑!$C$5:$C$504,MATCH($G1885&amp;"",부서매핑!$A$5:$A$504,0)),"미매핑"))</f>
        <v/>
      </c>
      <c r="O1885" s="9">
        <f>IF($A1885="","",N1885&amp;"|"&amp;$F1885)</f>
        <v/>
      </c>
      <c r="P1885" s="94">
        <f>IF($A1885="",0,$H1885*설정!$C$23)</f>
        <v/>
      </c>
      <c r="Q1885" s="64">
        <f>IF($A1885="","",IF(O1885&lt;&gt;원인분석!$C$9,"",IF(AND(M1885&gt;=원인분석!$C$10,M1885&lt;=원인분석!$C$11),"당기",IF(AND(M1885&gt;=원인분석!$C$12,M1885&lt;=원인분석!$C$13),"비교",""))))</f>
        <v/>
      </c>
      <c r="R1885" s="9">
        <f>IF(Q1885="","",$K1885&amp;"")</f>
        <v/>
      </c>
      <c r="S1885" s="9">
        <f>IF(Q1885="","",IF(MATCH(R1885,$R$5:$R$100000,0)=ROW()-4,ROW(),""))</f>
        <v/>
      </c>
      <c r="T1885" s="9">
        <f>IF(Q1885="당기",ABS(P1885)+ROW()/1000000000,"")</f>
        <v/>
      </c>
      <c r="U1885" s="9">
        <f>IF(Q1885="비교",ABS(P1885)+ROW()/1000000000,"")</f>
        <v/>
      </c>
      <c r="V1885" s="64">
        <f>IF($A1885="","",IF(COUNTIF(변동분석!$E$7:$E$506,O1885)&gt;0,"Y","N"))</f>
        <v/>
      </c>
      <c r="W1885" s="64">
        <f>IF($A1885="","",IFERROR(INDEX(계정매핑!$D$5:$D$504,MATCH($F1885&amp;"",계정매핑!$A$5:$A$504,0)),"미매핑"))</f>
        <v/>
      </c>
      <c r="X1885" s="9">
        <f>IF($A1885="","",$F1885&amp;"")</f>
        <v/>
      </c>
      <c r="Y1885" s="94">
        <f>IF($A1885="",0,IF(AE1885="직접",IF(AF1885="비귀속",$P1885,0),$P1885*(1-AG1885)*IFERROR(INDEX(계정대체기준!$F$20:$F$49,MATCH($N1885,계정대체기준!$A$20:$A$49,0)),1)))</f>
        <v/>
      </c>
      <c r="Z1885" s="94">
        <f>IF($A1885="",0,IF(AE1885="직접",IF(AF1885="신계약비",$P1885,0),$P1885*(1-AG1885)*IFERROR(INDEX(계정대체기준!$C$20:$C$49,MATCH($N1885,계정대체기준!$A$20:$A$49,0)),0)))</f>
        <v/>
      </c>
      <c r="AA1885" s="94">
        <f>IF($A1885="",0,IF(AE1885="직접",IF(OR(AF1885="유지비",AF1885="손해조사비"),$P1885,0),$P1885*(1-AG1885)*IFERROR(INDEX(계정대체기준!$D$20:$D$49,MATCH($N1885,계정대체기준!$A$20:$A$49,0)),0)))</f>
        <v/>
      </c>
      <c r="AB1885" s="94">
        <f>IF($A1885="",0,IF(AE1885="직접",IF(AF1885="수금비",$P1885,0),$P1885*(1-AG1885)*IFERROR(INDEX(계정대체기준!$E$20:$E$49,MATCH($N1885,계정대체기준!$A$20:$A$49,0)),0)))</f>
        <v/>
      </c>
      <c r="AC1885" s="9">
        <f>IF(AND($A1885&lt;&gt;"",M1885=설정!$C$20,Z1885&gt;0),Z1885+ROW()/1000000000,"")</f>
        <v/>
      </c>
      <c r="AD1885" s="94">
        <f>IF($A1885="",0,$P1885*AG1885)</f>
        <v/>
      </c>
      <c r="AE1885" s="64">
        <f>IF($A1885="","",IFERROR(INDEX(계정매핑!$E$5:$E$504,MATCH($F1885&amp;"",계정매핑!$A$5:$A$504,0))&amp;"","공통비"))</f>
        <v/>
      </c>
      <c r="AF1885" s="64">
        <f>IF($A1885="","",IF(AE1885="직접",IFERROR(INDEX(계정매핑!$F$5:$F$504,MATCH($F1885&amp;"",계정매핑!$A$5:$A$504,0))&amp;"","비귀속"),""))</f>
        <v/>
      </c>
      <c r="AG1885" s="96">
        <f>IF($A1885="",0,IF(AND(AE1885&lt;&gt;"직접",IFERROR(INDEX(계정매핑!$G$5:$G$504,MATCH($F1885&amp;"",계정매핑!$A$5:$A$504,0))&amp;"","")="유지비",COUNTIF(계정대체기준!$A$6:$A$15,$N1885)&gt;0),IFERROR(INDEX(계정대체기준!$E$6:$E$15,MATCH(VALUE($A1885&amp;""),계정대체기준!$D$6:$D$15,0)),0),0))</f>
        <v/>
      </c>
      <c r="AH1885" s="64">
        <f>IF($A1885="","",IF(AD1885=0,"",IF(OR(COUNTIF(계정대체기준!$A$77:$A$86,$N1885)&gt;0,ISNUMBER(MATCH($X1885,계정대체기준!$D$77:$D$86,0)),ISNUMBER(MATCH($F1885,계정대체기준!$D$77:$D$86,0))),"Y","N")))</f>
        <v/>
      </c>
    </row>
    <row r="1886">
      <c r="A1886" s="92" t="n">
        <v>2025</v>
      </c>
      <c r="B1886" s="92" t="n">
        <v>9</v>
      </c>
      <c r="C1886" s="92" t="inlineStr">
        <is>
          <t>5100001882</t>
        </is>
      </c>
      <c r="D1886" s="95" t="n">
        <v>45909</v>
      </c>
      <c r="E1886" s="92" t="inlineStr">
        <is>
          <t>KR</t>
        </is>
      </c>
      <c r="F1886" s="92" t="n">
        <v>62401000</v>
      </c>
      <c r="G1886" s="92" t="n">
        <v>1801</v>
      </c>
      <c r="H1886" s="93" t="n">
        <v>3103000</v>
      </c>
      <c r="I1886" s="92" t="inlineStr">
        <is>
          <t>9월 인쇄물 제작 - G인쇄</t>
        </is>
      </c>
      <c r="J1886" s="92" t="inlineStr">
        <is>
          <t>V10004</t>
        </is>
      </c>
      <c r="K1886" s="92" t="inlineStr">
        <is>
          <t>G인쇄</t>
        </is>
      </c>
      <c r="M1886" s="9">
        <f>IF($A1886="","",VALUE($A1886&amp;"")*12+VALUE($B1886&amp;""))</f>
        <v/>
      </c>
      <c r="N1886" s="64">
        <f>IF($A1886="","",IFERROR(INDEX(부서매핑!$C$5:$C$504,MATCH($G1886&amp;"",부서매핑!$A$5:$A$504,0)),"미매핑"))</f>
        <v/>
      </c>
      <c r="O1886" s="9">
        <f>IF($A1886="","",N1886&amp;"|"&amp;$F1886)</f>
        <v/>
      </c>
      <c r="P1886" s="94">
        <f>IF($A1886="",0,$H1886*설정!$C$23)</f>
        <v/>
      </c>
      <c r="Q1886" s="64">
        <f>IF($A1886="","",IF(O1886&lt;&gt;원인분석!$C$9,"",IF(AND(M1886&gt;=원인분석!$C$10,M1886&lt;=원인분석!$C$11),"당기",IF(AND(M1886&gt;=원인분석!$C$12,M1886&lt;=원인분석!$C$13),"비교",""))))</f>
        <v/>
      </c>
      <c r="R1886" s="9">
        <f>IF(Q1886="","",$K1886&amp;"")</f>
        <v/>
      </c>
      <c r="S1886" s="9">
        <f>IF(Q1886="","",IF(MATCH(R1886,$R$5:$R$100000,0)=ROW()-4,ROW(),""))</f>
        <v/>
      </c>
      <c r="T1886" s="9">
        <f>IF(Q1886="당기",ABS(P1886)+ROW()/1000000000,"")</f>
        <v/>
      </c>
      <c r="U1886" s="9">
        <f>IF(Q1886="비교",ABS(P1886)+ROW()/1000000000,"")</f>
        <v/>
      </c>
      <c r="V1886" s="64">
        <f>IF($A1886="","",IF(COUNTIF(변동분석!$E$7:$E$506,O1886)&gt;0,"Y","N"))</f>
        <v/>
      </c>
      <c r="W1886" s="64">
        <f>IF($A1886="","",IFERROR(INDEX(계정매핑!$D$5:$D$504,MATCH($F1886&amp;"",계정매핑!$A$5:$A$504,0)),"미매핑"))</f>
        <v/>
      </c>
      <c r="X1886" s="9">
        <f>IF($A1886="","",$F1886&amp;"")</f>
        <v/>
      </c>
      <c r="Y1886" s="94">
        <f>IF($A1886="",0,IF(AE1886="직접",IF(AF1886="비귀속",$P1886,0),$P1886*(1-AG1886)*IFERROR(INDEX(계정대체기준!$F$20:$F$49,MATCH($N1886,계정대체기준!$A$20:$A$49,0)),1)))</f>
        <v/>
      </c>
      <c r="Z1886" s="94">
        <f>IF($A1886="",0,IF(AE1886="직접",IF(AF1886="신계약비",$P1886,0),$P1886*(1-AG1886)*IFERROR(INDEX(계정대체기준!$C$20:$C$49,MATCH($N1886,계정대체기준!$A$20:$A$49,0)),0)))</f>
        <v/>
      </c>
      <c r="AA1886" s="94">
        <f>IF($A1886="",0,IF(AE1886="직접",IF(OR(AF1886="유지비",AF1886="손해조사비"),$P1886,0),$P1886*(1-AG1886)*IFERROR(INDEX(계정대체기준!$D$20:$D$49,MATCH($N1886,계정대체기준!$A$20:$A$49,0)),0)))</f>
        <v/>
      </c>
      <c r="AB1886" s="94">
        <f>IF($A1886="",0,IF(AE1886="직접",IF(AF1886="수금비",$P1886,0),$P1886*(1-AG1886)*IFERROR(INDEX(계정대체기준!$E$20:$E$49,MATCH($N1886,계정대체기준!$A$20:$A$49,0)),0)))</f>
        <v/>
      </c>
      <c r="AC1886" s="9">
        <f>IF(AND($A1886&lt;&gt;"",M1886=설정!$C$20,Z1886&gt;0),Z1886+ROW()/1000000000,"")</f>
        <v/>
      </c>
      <c r="AD1886" s="94">
        <f>IF($A1886="",0,$P1886*AG1886)</f>
        <v/>
      </c>
      <c r="AE1886" s="64">
        <f>IF($A1886="","",IFERROR(INDEX(계정매핑!$E$5:$E$504,MATCH($F1886&amp;"",계정매핑!$A$5:$A$504,0))&amp;"","공통비"))</f>
        <v/>
      </c>
      <c r="AF1886" s="64">
        <f>IF($A1886="","",IF(AE1886="직접",IFERROR(INDEX(계정매핑!$F$5:$F$504,MATCH($F1886&amp;"",계정매핑!$A$5:$A$504,0))&amp;"","비귀속"),""))</f>
        <v/>
      </c>
      <c r="AG1886" s="96">
        <f>IF($A1886="",0,IF(AND(AE1886&lt;&gt;"직접",IFERROR(INDEX(계정매핑!$G$5:$G$504,MATCH($F1886&amp;"",계정매핑!$A$5:$A$504,0))&amp;"","")="유지비",COUNTIF(계정대체기준!$A$6:$A$15,$N1886)&gt;0),IFERROR(INDEX(계정대체기준!$E$6:$E$15,MATCH(VALUE($A1886&amp;""),계정대체기준!$D$6:$D$15,0)),0),0))</f>
        <v/>
      </c>
      <c r="AH1886" s="64">
        <f>IF($A1886="","",IF(AD1886=0,"",IF(OR(COUNTIF(계정대체기준!$A$77:$A$86,$N1886)&gt;0,ISNUMBER(MATCH($X1886,계정대체기준!$D$77:$D$86,0)),ISNUMBER(MATCH($F1886,계정대체기준!$D$77:$D$86,0))),"Y","N")))</f>
        <v/>
      </c>
    </row>
    <row r="1887">
      <c r="A1887" s="92" t="n">
        <v>2025</v>
      </c>
      <c r="B1887" s="92" t="n">
        <v>9</v>
      </c>
      <c r="C1887" s="92" t="inlineStr">
        <is>
          <t>5100001883</t>
        </is>
      </c>
      <c r="D1887" s="95" t="n">
        <v>45909</v>
      </c>
      <c r="E1887" s="92" t="inlineStr">
        <is>
          <t>KR</t>
        </is>
      </c>
      <c r="F1887" s="92" t="n">
        <v>62501000</v>
      </c>
      <c r="G1887" s="92" t="n">
        <v>1301</v>
      </c>
      <c r="H1887" s="93" t="n">
        <v>157000</v>
      </c>
      <c r="I1887" s="92" t="inlineStr">
        <is>
          <t>9월 회의 다과 - T케이터링</t>
        </is>
      </c>
      <c r="J1887" s="92" t="inlineStr">
        <is>
          <t>V10005</t>
        </is>
      </c>
      <c r="K1887" s="92" t="inlineStr">
        <is>
          <t>T케이터링</t>
        </is>
      </c>
      <c r="M1887" s="9">
        <f>IF($A1887="","",VALUE($A1887&amp;"")*12+VALUE($B1887&amp;""))</f>
        <v/>
      </c>
      <c r="N1887" s="64">
        <f>IF($A1887="","",IFERROR(INDEX(부서매핑!$C$5:$C$504,MATCH($G1887&amp;"",부서매핑!$A$5:$A$504,0)),"미매핑"))</f>
        <v/>
      </c>
      <c r="O1887" s="9">
        <f>IF($A1887="","",N1887&amp;"|"&amp;$F1887)</f>
        <v/>
      </c>
      <c r="P1887" s="94">
        <f>IF($A1887="",0,$H1887*설정!$C$23)</f>
        <v/>
      </c>
      <c r="Q1887" s="64">
        <f>IF($A1887="","",IF(O1887&lt;&gt;원인분석!$C$9,"",IF(AND(M1887&gt;=원인분석!$C$10,M1887&lt;=원인분석!$C$11),"당기",IF(AND(M1887&gt;=원인분석!$C$12,M1887&lt;=원인분석!$C$13),"비교",""))))</f>
        <v/>
      </c>
      <c r="R1887" s="9">
        <f>IF(Q1887="","",$K1887&amp;"")</f>
        <v/>
      </c>
      <c r="S1887" s="9">
        <f>IF(Q1887="","",IF(MATCH(R1887,$R$5:$R$100000,0)=ROW()-4,ROW(),""))</f>
        <v/>
      </c>
      <c r="T1887" s="9">
        <f>IF(Q1887="당기",ABS(P1887)+ROW()/1000000000,"")</f>
        <v/>
      </c>
      <c r="U1887" s="9">
        <f>IF(Q1887="비교",ABS(P1887)+ROW()/1000000000,"")</f>
        <v/>
      </c>
      <c r="V1887" s="64">
        <f>IF($A1887="","",IF(COUNTIF(변동분석!$E$7:$E$506,O1887)&gt;0,"Y","N"))</f>
        <v/>
      </c>
      <c r="W1887" s="64">
        <f>IF($A1887="","",IFERROR(INDEX(계정매핑!$D$5:$D$504,MATCH($F1887&amp;"",계정매핑!$A$5:$A$504,0)),"미매핑"))</f>
        <v/>
      </c>
      <c r="X1887" s="9">
        <f>IF($A1887="","",$F1887&amp;"")</f>
        <v/>
      </c>
      <c r="Y1887" s="94">
        <f>IF($A1887="",0,IF(AE1887="직접",IF(AF1887="비귀속",$P1887,0),$P1887*(1-AG1887)*IFERROR(INDEX(계정대체기준!$F$20:$F$49,MATCH($N1887,계정대체기준!$A$20:$A$49,0)),1)))</f>
        <v/>
      </c>
      <c r="Z1887" s="94">
        <f>IF($A1887="",0,IF(AE1887="직접",IF(AF1887="신계약비",$P1887,0),$P1887*(1-AG1887)*IFERROR(INDEX(계정대체기준!$C$20:$C$49,MATCH($N1887,계정대체기준!$A$20:$A$49,0)),0)))</f>
        <v/>
      </c>
      <c r="AA1887" s="94">
        <f>IF($A1887="",0,IF(AE1887="직접",IF(OR(AF1887="유지비",AF1887="손해조사비"),$P1887,0),$P1887*(1-AG1887)*IFERROR(INDEX(계정대체기준!$D$20:$D$49,MATCH($N1887,계정대체기준!$A$20:$A$49,0)),0)))</f>
        <v/>
      </c>
      <c r="AB1887" s="94">
        <f>IF($A1887="",0,IF(AE1887="직접",IF(AF1887="수금비",$P1887,0),$P1887*(1-AG1887)*IFERROR(INDEX(계정대체기준!$E$20:$E$49,MATCH($N1887,계정대체기준!$A$20:$A$49,0)),0)))</f>
        <v/>
      </c>
      <c r="AC1887" s="9">
        <f>IF(AND($A1887&lt;&gt;"",M1887=설정!$C$20,Z1887&gt;0),Z1887+ROW()/1000000000,"")</f>
        <v/>
      </c>
      <c r="AD1887" s="94">
        <f>IF($A1887="",0,$P1887*AG1887)</f>
        <v/>
      </c>
      <c r="AE1887" s="64">
        <f>IF($A1887="","",IFERROR(INDEX(계정매핑!$E$5:$E$504,MATCH($F1887&amp;"",계정매핑!$A$5:$A$504,0))&amp;"","공통비"))</f>
        <v/>
      </c>
      <c r="AF1887" s="64">
        <f>IF($A1887="","",IF(AE1887="직접",IFERROR(INDEX(계정매핑!$F$5:$F$504,MATCH($F1887&amp;"",계정매핑!$A$5:$A$504,0))&amp;"","비귀속"),""))</f>
        <v/>
      </c>
      <c r="AG1887" s="96">
        <f>IF($A1887="",0,IF(AND(AE1887&lt;&gt;"직접",IFERROR(INDEX(계정매핑!$G$5:$G$504,MATCH($F1887&amp;"",계정매핑!$A$5:$A$504,0))&amp;"","")="유지비",COUNTIF(계정대체기준!$A$6:$A$15,$N1887)&gt;0),IFERROR(INDEX(계정대체기준!$E$6:$E$15,MATCH(VALUE($A1887&amp;""),계정대체기준!$D$6:$D$15,0)),0),0))</f>
        <v/>
      </c>
      <c r="AH1887" s="64">
        <f>IF($A1887="","",IF(AD1887=0,"",IF(OR(COUNTIF(계정대체기준!$A$77:$A$86,$N1887)&gt;0,ISNUMBER(MATCH($X1887,계정대체기준!$D$77:$D$86,0)),ISNUMBER(MATCH($F1887,계정대체기준!$D$77:$D$86,0))),"Y","N")))</f>
        <v/>
      </c>
    </row>
    <row r="1888">
      <c r="A1888" s="92" t="n">
        <v>2025</v>
      </c>
      <c r="B1888" s="92" t="n">
        <v>9</v>
      </c>
      <c r="C1888" s="92" t="inlineStr">
        <is>
          <t>5100001884</t>
        </is>
      </c>
      <c r="D1888" s="95" t="n">
        <v>45909</v>
      </c>
      <c r="E1888" s="92" t="inlineStr">
        <is>
          <t>KR</t>
        </is>
      </c>
      <c r="F1888" s="92" t="n">
        <v>62501000</v>
      </c>
      <c r="G1888" s="92" t="n">
        <v>1501</v>
      </c>
      <c r="H1888" s="93" t="n">
        <v>645000</v>
      </c>
      <c r="I1888" s="92" t="inlineStr">
        <is>
          <t>9월 회의 다과 - T케이터링</t>
        </is>
      </c>
      <c r="J1888" s="92" t="inlineStr">
        <is>
          <t>V10005</t>
        </is>
      </c>
      <c r="K1888" s="92" t="inlineStr">
        <is>
          <t>T케이터링</t>
        </is>
      </c>
      <c r="M1888" s="9">
        <f>IF($A1888="","",VALUE($A1888&amp;"")*12+VALUE($B1888&amp;""))</f>
        <v/>
      </c>
      <c r="N1888" s="64">
        <f>IF($A1888="","",IFERROR(INDEX(부서매핑!$C$5:$C$504,MATCH($G1888&amp;"",부서매핑!$A$5:$A$504,0)),"미매핑"))</f>
        <v/>
      </c>
      <c r="O1888" s="9">
        <f>IF($A1888="","",N1888&amp;"|"&amp;$F1888)</f>
        <v/>
      </c>
      <c r="P1888" s="94">
        <f>IF($A1888="",0,$H1888*설정!$C$23)</f>
        <v/>
      </c>
      <c r="Q1888" s="64">
        <f>IF($A1888="","",IF(O1888&lt;&gt;원인분석!$C$9,"",IF(AND(M1888&gt;=원인분석!$C$10,M1888&lt;=원인분석!$C$11),"당기",IF(AND(M1888&gt;=원인분석!$C$12,M1888&lt;=원인분석!$C$13),"비교",""))))</f>
        <v/>
      </c>
      <c r="R1888" s="9">
        <f>IF(Q1888="","",$K1888&amp;"")</f>
        <v/>
      </c>
      <c r="S1888" s="9">
        <f>IF(Q1888="","",IF(MATCH(R1888,$R$5:$R$100000,0)=ROW()-4,ROW(),""))</f>
        <v/>
      </c>
      <c r="T1888" s="9">
        <f>IF(Q1888="당기",ABS(P1888)+ROW()/1000000000,"")</f>
        <v/>
      </c>
      <c r="U1888" s="9">
        <f>IF(Q1888="비교",ABS(P1888)+ROW()/1000000000,"")</f>
        <v/>
      </c>
      <c r="V1888" s="64">
        <f>IF($A1888="","",IF(COUNTIF(변동분석!$E$7:$E$506,O1888)&gt;0,"Y","N"))</f>
        <v/>
      </c>
      <c r="W1888" s="64">
        <f>IF($A1888="","",IFERROR(INDEX(계정매핑!$D$5:$D$504,MATCH($F1888&amp;"",계정매핑!$A$5:$A$504,0)),"미매핑"))</f>
        <v/>
      </c>
      <c r="X1888" s="9">
        <f>IF($A1888="","",$F1888&amp;"")</f>
        <v/>
      </c>
      <c r="Y1888" s="94">
        <f>IF($A1888="",0,IF(AE1888="직접",IF(AF1888="비귀속",$P1888,0),$P1888*(1-AG1888)*IFERROR(INDEX(계정대체기준!$F$20:$F$49,MATCH($N1888,계정대체기준!$A$20:$A$49,0)),1)))</f>
        <v/>
      </c>
      <c r="Z1888" s="94">
        <f>IF($A1888="",0,IF(AE1888="직접",IF(AF1888="신계약비",$P1888,0),$P1888*(1-AG1888)*IFERROR(INDEX(계정대체기준!$C$20:$C$49,MATCH($N1888,계정대체기준!$A$20:$A$49,0)),0)))</f>
        <v/>
      </c>
      <c r="AA1888" s="94">
        <f>IF($A1888="",0,IF(AE1888="직접",IF(OR(AF1888="유지비",AF1888="손해조사비"),$P1888,0),$P1888*(1-AG1888)*IFERROR(INDEX(계정대체기준!$D$20:$D$49,MATCH($N1888,계정대체기준!$A$20:$A$49,0)),0)))</f>
        <v/>
      </c>
      <c r="AB1888" s="94">
        <f>IF($A1888="",0,IF(AE1888="직접",IF(AF1888="수금비",$P1888,0),$P1888*(1-AG1888)*IFERROR(INDEX(계정대체기준!$E$20:$E$49,MATCH($N1888,계정대체기준!$A$20:$A$49,0)),0)))</f>
        <v/>
      </c>
      <c r="AC1888" s="9">
        <f>IF(AND($A1888&lt;&gt;"",M1888=설정!$C$20,Z1888&gt;0),Z1888+ROW()/1000000000,"")</f>
        <v/>
      </c>
      <c r="AD1888" s="94">
        <f>IF($A1888="",0,$P1888*AG1888)</f>
        <v/>
      </c>
      <c r="AE1888" s="64">
        <f>IF($A1888="","",IFERROR(INDEX(계정매핑!$E$5:$E$504,MATCH($F1888&amp;"",계정매핑!$A$5:$A$504,0))&amp;"","공통비"))</f>
        <v/>
      </c>
      <c r="AF1888" s="64">
        <f>IF($A1888="","",IF(AE1888="직접",IFERROR(INDEX(계정매핑!$F$5:$F$504,MATCH($F1888&amp;"",계정매핑!$A$5:$A$504,0))&amp;"","비귀속"),""))</f>
        <v/>
      </c>
      <c r="AG1888" s="96">
        <f>IF($A1888="",0,IF(AND(AE1888&lt;&gt;"직접",IFERROR(INDEX(계정매핑!$G$5:$G$504,MATCH($F1888&amp;"",계정매핑!$A$5:$A$504,0))&amp;"","")="유지비",COUNTIF(계정대체기준!$A$6:$A$15,$N1888)&gt;0),IFERROR(INDEX(계정대체기준!$E$6:$E$15,MATCH(VALUE($A1888&amp;""),계정대체기준!$D$6:$D$15,0)),0),0))</f>
        <v/>
      </c>
      <c r="AH1888" s="64">
        <f>IF($A1888="","",IF(AD1888=0,"",IF(OR(COUNTIF(계정대체기준!$A$77:$A$86,$N1888)&gt;0,ISNUMBER(MATCH($X1888,계정대체기준!$D$77:$D$86,0)),ISNUMBER(MATCH($F1888,계정대체기준!$D$77:$D$86,0))),"Y","N")))</f>
        <v/>
      </c>
    </row>
    <row r="1889">
      <c r="A1889" s="92" t="n">
        <v>2025</v>
      </c>
      <c r="B1889" s="92" t="n">
        <v>9</v>
      </c>
      <c r="C1889" s="92" t="inlineStr">
        <is>
          <t>5100001885</t>
        </is>
      </c>
      <c r="D1889" s="95" t="n">
        <v>45909</v>
      </c>
      <c r="E1889" s="92" t="inlineStr">
        <is>
          <t>KR</t>
        </is>
      </c>
      <c r="F1889" s="92" t="n">
        <v>62501000</v>
      </c>
      <c r="G1889" s="92" t="n">
        <v>1602</v>
      </c>
      <c r="H1889" s="93" t="n">
        <v>361000</v>
      </c>
      <c r="I1889" s="92" t="inlineStr">
        <is>
          <t>9월 회의 다과 - T케이터링</t>
        </is>
      </c>
      <c r="J1889" s="92" t="inlineStr">
        <is>
          <t>V10005</t>
        </is>
      </c>
      <c r="K1889" s="92" t="inlineStr">
        <is>
          <t>T케이터링</t>
        </is>
      </c>
      <c r="M1889" s="9">
        <f>IF($A1889="","",VALUE($A1889&amp;"")*12+VALUE($B1889&amp;""))</f>
        <v/>
      </c>
      <c r="N1889" s="64">
        <f>IF($A1889="","",IFERROR(INDEX(부서매핑!$C$5:$C$504,MATCH($G1889&amp;"",부서매핑!$A$5:$A$504,0)),"미매핑"))</f>
        <v/>
      </c>
      <c r="O1889" s="9">
        <f>IF($A1889="","",N1889&amp;"|"&amp;$F1889)</f>
        <v/>
      </c>
      <c r="P1889" s="94">
        <f>IF($A1889="",0,$H1889*설정!$C$23)</f>
        <v/>
      </c>
      <c r="Q1889" s="64">
        <f>IF($A1889="","",IF(O1889&lt;&gt;원인분석!$C$9,"",IF(AND(M1889&gt;=원인분석!$C$10,M1889&lt;=원인분석!$C$11),"당기",IF(AND(M1889&gt;=원인분석!$C$12,M1889&lt;=원인분석!$C$13),"비교",""))))</f>
        <v/>
      </c>
      <c r="R1889" s="9">
        <f>IF(Q1889="","",$K1889&amp;"")</f>
        <v/>
      </c>
      <c r="S1889" s="9">
        <f>IF(Q1889="","",IF(MATCH(R1889,$R$5:$R$100000,0)=ROW()-4,ROW(),""))</f>
        <v/>
      </c>
      <c r="T1889" s="9">
        <f>IF(Q1889="당기",ABS(P1889)+ROW()/1000000000,"")</f>
        <v/>
      </c>
      <c r="U1889" s="9">
        <f>IF(Q1889="비교",ABS(P1889)+ROW()/1000000000,"")</f>
        <v/>
      </c>
      <c r="V1889" s="64">
        <f>IF($A1889="","",IF(COUNTIF(변동분석!$E$7:$E$506,O1889)&gt;0,"Y","N"))</f>
        <v/>
      </c>
      <c r="W1889" s="64">
        <f>IF($A1889="","",IFERROR(INDEX(계정매핑!$D$5:$D$504,MATCH($F1889&amp;"",계정매핑!$A$5:$A$504,0)),"미매핑"))</f>
        <v/>
      </c>
      <c r="X1889" s="9">
        <f>IF($A1889="","",$F1889&amp;"")</f>
        <v/>
      </c>
      <c r="Y1889" s="94">
        <f>IF($A1889="",0,IF(AE1889="직접",IF(AF1889="비귀속",$P1889,0),$P1889*(1-AG1889)*IFERROR(INDEX(계정대체기준!$F$20:$F$49,MATCH($N1889,계정대체기준!$A$20:$A$49,0)),1)))</f>
        <v/>
      </c>
      <c r="Z1889" s="94">
        <f>IF($A1889="",0,IF(AE1889="직접",IF(AF1889="신계약비",$P1889,0),$P1889*(1-AG1889)*IFERROR(INDEX(계정대체기준!$C$20:$C$49,MATCH($N1889,계정대체기준!$A$20:$A$49,0)),0)))</f>
        <v/>
      </c>
      <c r="AA1889" s="94">
        <f>IF($A1889="",0,IF(AE1889="직접",IF(OR(AF1889="유지비",AF1889="손해조사비"),$P1889,0),$P1889*(1-AG1889)*IFERROR(INDEX(계정대체기준!$D$20:$D$49,MATCH($N1889,계정대체기준!$A$20:$A$49,0)),0)))</f>
        <v/>
      </c>
      <c r="AB1889" s="94">
        <f>IF($A1889="",0,IF(AE1889="직접",IF(AF1889="수금비",$P1889,0),$P1889*(1-AG1889)*IFERROR(INDEX(계정대체기준!$E$20:$E$49,MATCH($N1889,계정대체기준!$A$20:$A$49,0)),0)))</f>
        <v/>
      </c>
      <c r="AC1889" s="9">
        <f>IF(AND($A1889&lt;&gt;"",M1889=설정!$C$20,Z1889&gt;0),Z1889+ROW()/1000000000,"")</f>
        <v/>
      </c>
      <c r="AD1889" s="94">
        <f>IF($A1889="",0,$P1889*AG1889)</f>
        <v/>
      </c>
      <c r="AE1889" s="64">
        <f>IF($A1889="","",IFERROR(INDEX(계정매핑!$E$5:$E$504,MATCH($F1889&amp;"",계정매핑!$A$5:$A$504,0))&amp;"","공통비"))</f>
        <v/>
      </c>
      <c r="AF1889" s="64">
        <f>IF($A1889="","",IF(AE1889="직접",IFERROR(INDEX(계정매핑!$F$5:$F$504,MATCH($F1889&amp;"",계정매핑!$A$5:$A$504,0))&amp;"","비귀속"),""))</f>
        <v/>
      </c>
      <c r="AG1889" s="96">
        <f>IF($A1889="",0,IF(AND(AE1889&lt;&gt;"직접",IFERROR(INDEX(계정매핑!$G$5:$G$504,MATCH($F1889&amp;"",계정매핑!$A$5:$A$504,0))&amp;"","")="유지비",COUNTIF(계정대체기준!$A$6:$A$15,$N1889)&gt;0),IFERROR(INDEX(계정대체기준!$E$6:$E$15,MATCH(VALUE($A1889&amp;""),계정대체기준!$D$6:$D$15,0)),0),0))</f>
        <v/>
      </c>
      <c r="AH1889" s="64">
        <f>IF($A1889="","",IF(AD1889=0,"",IF(OR(COUNTIF(계정대체기준!$A$77:$A$86,$N1889)&gt;0,ISNUMBER(MATCH($X1889,계정대체기준!$D$77:$D$86,0)),ISNUMBER(MATCH($F1889,계정대체기준!$D$77:$D$86,0))),"Y","N")))</f>
        <v/>
      </c>
    </row>
    <row r="1890">
      <c r="A1890" s="92" t="n">
        <v>2025</v>
      </c>
      <c r="B1890" s="92" t="n">
        <v>9</v>
      </c>
      <c r="C1890" s="92" t="inlineStr">
        <is>
          <t>5100001886</t>
        </is>
      </c>
      <c r="D1890" s="95" t="n">
        <v>45910</v>
      </c>
      <c r="E1890" s="92" t="inlineStr">
        <is>
          <t>KR</t>
        </is>
      </c>
      <c r="F1890" s="92" t="n">
        <v>62102000</v>
      </c>
      <c r="G1890" s="92" t="n">
        <v>1401</v>
      </c>
      <c r="H1890" s="93" t="n">
        <v>45000</v>
      </c>
      <c r="I1890" s="92" t="inlineStr">
        <is>
          <t>9월 해외출장 - M항공</t>
        </is>
      </c>
      <c r="J1890" s="92" t="inlineStr">
        <is>
          <t>V10001</t>
        </is>
      </c>
      <c r="K1890" s="92" t="inlineStr">
        <is>
          <t>M항공</t>
        </is>
      </c>
      <c r="M1890" s="9">
        <f>IF($A1890="","",VALUE($A1890&amp;"")*12+VALUE($B1890&amp;""))</f>
        <v/>
      </c>
      <c r="N1890" s="64">
        <f>IF($A1890="","",IFERROR(INDEX(부서매핑!$C$5:$C$504,MATCH($G1890&amp;"",부서매핑!$A$5:$A$504,0)),"미매핑"))</f>
        <v/>
      </c>
      <c r="O1890" s="9">
        <f>IF($A1890="","",N1890&amp;"|"&amp;$F1890)</f>
        <v/>
      </c>
      <c r="P1890" s="94">
        <f>IF($A1890="",0,$H1890*설정!$C$23)</f>
        <v/>
      </c>
      <c r="Q1890" s="64">
        <f>IF($A1890="","",IF(O1890&lt;&gt;원인분석!$C$9,"",IF(AND(M1890&gt;=원인분석!$C$10,M1890&lt;=원인분석!$C$11),"당기",IF(AND(M1890&gt;=원인분석!$C$12,M1890&lt;=원인분석!$C$13),"비교",""))))</f>
        <v/>
      </c>
      <c r="R1890" s="9">
        <f>IF(Q1890="","",$K1890&amp;"")</f>
        <v/>
      </c>
      <c r="S1890" s="9">
        <f>IF(Q1890="","",IF(MATCH(R1890,$R$5:$R$100000,0)=ROW()-4,ROW(),""))</f>
        <v/>
      </c>
      <c r="T1890" s="9">
        <f>IF(Q1890="당기",ABS(P1890)+ROW()/1000000000,"")</f>
        <v/>
      </c>
      <c r="U1890" s="9">
        <f>IF(Q1890="비교",ABS(P1890)+ROW()/1000000000,"")</f>
        <v/>
      </c>
      <c r="V1890" s="64">
        <f>IF($A1890="","",IF(COUNTIF(변동분석!$E$7:$E$506,O1890)&gt;0,"Y","N"))</f>
        <v/>
      </c>
      <c r="W1890" s="64">
        <f>IF($A1890="","",IFERROR(INDEX(계정매핑!$D$5:$D$504,MATCH($F1890&amp;"",계정매핑!$A$5:$A$504,0)),"미매핑"))</f>
        <v/>
      </c>
      <c r="X1890" s="9">
        <f>IF($A1890="","",$F1890&amp;"")</f>
        <v/>
      </c>
      <c r="Y1890" s="94">
        <f>IF($A1890="",0,IF(AE1890="직접",IF(AF1890="비귀속",$P1890,0),$P1890*(1-AG1890)*IFERROR(INDEX(계정대체기준!$F$20:$F$49,MATCH($N1890,계정대체기준!$A$20:$A$49,0)),1)))</f>
        <v/>
      </c>
      <c r="Z1890" s="94">
        <f>IF($A1890="",0,IF(AE1890="직접",IF(AF1890="신계약비",$P1890,0),$P1890*(1-AG1890)*IFERROR(INDEX(계정대체기준!$C$20:$C$49,MATCH($N1890,계정대체기준!$A$20:$A$49,0)),0)))</f>
        <v/>
      </c>
      <c r="AA1890" s="94">
        <f>IF($A1890="",0,IF(AE1890="직접",IF(OR(AF1890="유지비",AF1890="손해조사비"),$P1890,0),$P1890*(1-AG1890)*IFERROR(INDEX(계정대체기준!$D$20:$D$49,MATCH($N1890,계정대체기준!$A$20:$A$49,0)),0)))</f>
        <v/>
      </c>
      <c r="AB1890" s="94">
        <f>IF($A1890="",0,IF(AE1890="직접",IF(AF1890="수금비",$P1890,0),$P1890*(1-AG1890)*IFERROR(INDEX(계정대체기준!$E$20:$E$49,MATCH($N1890,계정대체기준!$A$20:$A$49,0)),0)))</f>
        <v/>
      </c>
      <c r="AC1890" s="9">
        <f>IF(AND($A1890&lt;&gt;"",M1890=설정!$C$20,Z1890&gt;0),Z1890+ROW()/1000000000,"")</f>
        <v/>
      </c>
      <c r="AD1890" s="94">
        <f>IF($A1890="",0,$P1890*AG1890)</f>
        <v/>
      </c>
      <c r="AE1890" s="64">
        <f>IF($A1890="","",IFERROR(INDEX(계정매핑!$E$5:$E$504,MATCH($F1890&amp;"",계정매핑!$A$5:$A$504,0))&amp;"","공통비"))</f>
        <v/>
      </c>
      <c r="AF1890" s="64">
        <f>IF($A1890="","",IF(AE1890="직접",IFERROR(INDEX(계정매핑!$F$5:$F$504,MATCH($F1890&amp;"",계정매핑!$A$5:$A$504,0))&amp;"","비귀속"),""))</f>
        <v/>
      </c>
      <c r="AG1890" s="96">
        <f>IF($A1890="",0,IF(AND(AE1890&lt;&gt;"직접",IFERROR(INDEX(계정매핑!$G$5:$G$504,MATCH($F1890&amp;"",계정매핑!$A$5:$A$504,0))&amp;"","")="유지비",COUNTIF(계정대체기준!$A$6:$A$15,$N1890)&gt;0),IFERROR(INDEX(계정대체기준!$E$6:$E$15,MATCH(VALUE($A1890&amp;""),계정대체기준!$D$6:$D$15,0)),0),0))</f>
        <v/>
      </c>
      <c r="AH1890" s="64">
        <f>IF($A1890="","",IF(AD1890=0,"",IF(OR(COUNTIF(계정대체기준!$A$77:$A$86,$N1890)&gt;0,ISNUMBER(MATCH($X1890,계정대체기준!$D$77:$D$86,0)),ISNUMBER(MATCH($F1890,계정대체기준!$D$77:$D$86,0))),"Y","N")))</f>
        <v/>
      </c>
    </row>
    <row r="1891">
      <c r="A1891" s="92" t="n">
        <v>2025</v>
      </c>
      <c r="B1891" s="92" t="n">
        <v>9</v>
      </c>
      <c r="C1891" s="92" t="inlineStr">
        <is>
          <t>5100001887</t>
        </is>
      </c>
      <c r="D1891" s="95" t="n">
        <v>45910</v>
      </c>
      <c r="E1891" s="92" t="inlineStr">
        <is>
          <t>KR</t>
        </is>
      </c>
      <c r="F1891" s="92" t="n">
        <v>62201000</v>
      </c>
      <c r="G1891" s="92" t="n">
        <v>1401</v>
      </c>
      <c r="H1891" s="93" t="n">
        <v>198000</v>
      </c>
      <c r="I1891" s="92" t="inlineStr">
        <is>
          <t>9월 통신요금 - O텔레콤</t>
        </is>
      </c>
      <c r="J1891" s="92" t="inlineStr">
        <is>
          <t>V10002</t>
        </is>
      </c>
      <c r="K1891" s="92" t="inlineStr">
        <is>
          <t>O텔레콤</t>
        </is>
      </c>
      <c r="M1891" s="9">
        <f>IF($A1891="","",VALUE($A1891&amp;"")*12+VALUE($B1891&amp;""))</f>
        <v/>
      </c>
      <c r="N1891" s="64">
        <f>IF($A1891="","",IFERROR(INDEX(부서매핑!$C$5:$C$504,MATCH($G1891&amp;"",부서매핑!$A$5:$A$504,0)),"미매핑"))</f>
        <v/>
      </c>
      <c r="O1891" s="9">
        <f>IF($A1891="","",N1891&amp;"|"&amp;$F1891)</f>
        <v/>
      </c>
      <c r="P1891" s="94">
        <f>IF($A1891="",0,$H1891*설정!$C$23)</f>
        <v/>
      </c>
      <c r="Q1891" s="64">
        <f>IF($A1891="","",IF(O1891&lt;&gt;원인분석!$C$9,"",IF(AND(M1891&gt;=원인분석!$C$10,M1891&lt;=원인분석!$C$11),"당기",IF(AND(M1891&gt;=원인분석!$C$12,M1891&lt;=원인분석!$C$13),"비교",""))))</f>
        <v/>
      </c>
      <c r="R1891" s="9">
        <f>IF(Q1891="","",$K1891&amp;"")</f>
        <v/>
      </c>
      <c r="S1891" s="9">
        <f>IF(Q1891="","",IF(MATCH(R1891,$R$5:$R$100000,0)=ROW()-4,ROW(),""))</f>
        <v/>
      </c>
      <c r="T1891" s="9">
        <f>IF(Q1891="당기",ABS(P1891)+ROW()/1000000000,"")</f>
        <v/>
      </c>
      <c r="U1891" s="9">
        <f>IF(Q1891="비교",ABS(P1891)+ROW()/1000000000,"")</f>
        <v/>
      </c>
      <c r="V1891" s="64">
        <f>IF($A1891="","",IF(COUNTIF(변동분석!$E$7:$E$506,O1891)&gt;0,"Y","N"))</f>
        <v/>
      </c>
      <c r="W1891" s="64">
        <f>IF($A1891="","",IFERROR(INDEX(계정매핑!$D$5:$D$504,MATCH($F1891&amp;"",계정매핑!$A$5:$A$504,0)),"미매핑"))</f>
        <v/>
      </c>
      <c r="X1891" s="9">
        <f>IF($A1891="","",$F1891&amp;"")</f>
        <v/>
      </c>
      <c r="Y1891" s="94">
        <f>IF($A1891="",0,IF(AE1891="직접",IF(AF1891="비귀속",$P1891,0),$P1891*(1-AG1891)*IFERROR(INDEX(계정대체기준!$F$20:$F$49,MATCH($N1891,계정대체기준!$A$20:$A$49,0)),1)))</f>
        <v/>
      </c>
      <c r="Z1891" s="94">
        <f>IF($A1891="",0,IF(AE1891="직접",IF(AF1891="신계약비",$P1891,0),$P1891*(1-AG1891)*IFERROR(INDEX(계정대체기준!$C$20:$C$49,MATCH($N1891,계정대체기준!$A$20:$A$49,0)),0)))</f>
        <v/>
      </c>
      <c r="AA1891" s="94">
        <f>IF($A1891="",0,IF(AE1891="직접",IF(OR(AF1891="유지비",AF1891="손해조사비"),$P1891,0),$P1891*(1-AG1891)*IFERROR(INDEX(계정대체기준!$D$20:$D$49,MATCH($N1891,계정대체기준!$A$20:$A$49,0)),0)))</f>
        <v/>
      </c>
      <c r="AB1891" s="94">
        <f>IF($A1891="",0,IF(AE1891="직접",IF(AF1891="수금비",$P1891,0),$P1891*(1-AG1891)*IFERROR(INDEX(계정대체기준!$E$20:$E$49,MATCH($N1891,계정대체기준!$A$20:$A$49,0)),0)))</f>
        <v/>
      </c>
      <c r="AC1891" s="9">
        <f>IF(AND($A1891&lt;&gt;"",M1891=설정!$C$20,Z1891&gt;0),Z1891+ROW()/1000000000,"")</f>
        <v/>
      </c>
      <c r="AD1891" s="94">
        <f>IF($A1891="",0,$P1891*AG1891)</f>
        <v/>
      </c>
      <c r="AE1891" s="64">
        <f>IF($A1891="","",IFERROR(INDEX(계정매핑!$E$5:$E$504,MATCH($F1891&amp;"",계정매핑!$A$5:$A$504,0))&amp;"","공통비"))</f>
        <v/>
      </c>
      <c r="AF1891" s="64">
        <f>IF($A1891="","",IF(AE1891="직접",IFERROR(INDEX(계정매핑!$F$5:$F$504,MATCH($F1891&amp;"",계정매핑!$A$5:$A$504,0))&amp;"","비귀속"),""))</f>
        <v/>
      </c>
      <c r="AG1891" s="96">
        <f>IF($A1891="",0,IF(AND(AE1891&lt;&gt;"직접",IFERROR(INDEX(계정매핑!$G$5:$G$504,MATCH($F1891&amp;"",계정매핑!$A$5:$A$504,0))&amp;"","")="유지비",COUNTIF(계정대체기준!$A$6:$A$15,$N1891)&gt;0),IFERROR(INDEX(계정대체기준!$E$6:$E$15,MATCH(VALUE($A1891&amp;""),계정대체기준!$D$6:$D$15,0)),0),0))</f>
        <v/>
      </c>
      <c r="AH1891" s="64">
        <f>IF($A1891="","",IF(AD1891=0,"",IF(OR(COUNTIF(계정대체기준!$A$77:$A$86,$N1891)&gt;0,ISNUMBER(MATCH($X1891,계정대체기준!$D$77:$D$86,0)),ISNUMBER(MATCH($F1891,계정대체기준!$D$77:$D$86,0))),"Y","N")))</f>
        <v/>
      </c>
    </row>
    <row r="1892">
      <c r="A1892" s="92" t="n">
        <v>2025</v>
      </c>
      <c r="B1892" s="92" t="n">
        <v>9</v>
      </c>
      <c r="C1892" s="92" t="inlineStr">
        <is>
          <t>5100001888</t>
        </is>
      </c>
      <c r="D1892" s="95" t="n">
        <v>45910</v>
      </c>
      <c r="E1892" s="92" t="inlineStr">
        <is>
          <t>KR</t>
        </is>
      </c>
      <c r="F1892" s="92" t="n">
        <v>62301000</v>
      </c>
      <c r="G1892" s="92" t="n">
        <v>1801</v>
      </c>
      <c r="H1892" s="93" t="n">
        <v>248000</v>
      </c>
      <c r="I1892" s="92" t="inlineStr">
        <is>
          <t>9월 소모품 구입 - R문구</t>
        </is>
      </c>
      <c r="J1892" s="92" t="inlineStr">
        <is>
          <t>V10022</t>
        </is>
      </c>
      <c r="K1892" s="92" t="inlineStr">
        <is>
          <t>R문구</t>
        </is>
      </c>
      <c r="M1892" s="9">
        <f>IF($A1892="","",VALUE($A1892&amp;"")*12+VALUE($B1892&amp;""))</f>
        <v/>
      </c>
      <c r="N1892" s="64">
        <f>IF($A1892="","",IFERROR(INDEX(부서매핑!$C$5:$C$504,MATCH($G1892&amp;"",부서매핑!$A$5:$A$504,0)),"미매핑"))</f>
        <v/>
      </c>
      <c r="O1892" s="9">
        <f>IF($A1892="","",N1892&amp;"|"&amp;$F1892)</f>
        <v/>
      </c>
      <c r="P1892" s="94">
        <f>IF($A1892="",0,$H1892*설정!$C$23)</f>
        <v/>
      </c>
      <c r="Q1892" s="64">
        <f>IF($A1892="","",IF(O1892&lt;&gt;원인분석!$C$9,"",IF(AND(M1892&gt;=원인분석!$C$10,M1892&lt;=원인분석!$C$11),"당기",IF(AND(M1892&gt;=원인분석!$C$12,M1892&lt;=원인분석!$C$13),"비교",""))))</f>
        <v/>
      </c>
      <c r="R1892" s="9">
        <f>IF(Q1892="","",$K1892&amp;"")</f>
        <v/>
      </c>
      <c r="S1892" s="9">
        <f>IF(Q1892="","",IF(MATCH(R1892,$R$5:$R$100000,0)=ROW()-4,ROW(),""))</f>
        <v/>
      </c>
      <c r="T1892" s="9">
        <f>IF(Q1892="당기",ABS(P1892)+ROW()/1000000000,"")</f>
        <v/>
      </c>
      <c r="U1892" s="9">
        <f>IF(Q1892="비교",ABS(P1892)+ROW()/1000000000,"")</f>
        <v/>
      </c>
      <c r="V1892" s="64">
        <f>IF($A1892="","",IF(COUNTIF(변동분석!$E$7:$E$506,O1892)&gt;0,"Y","N"))</f>
        <v/>
      </c>
      <c r="W1892" s="64">
        <f>IF($A1892="","",IFERROR(INDEX(계정매핑!$D$5:$D$504,MATCH($F1892&amp;"",계정매핑!$A$5:$A$504,0)),"미매핑"))</f>
        <v/>
      </c>
      <c r="X1892" s="9">
        <f>IF($A1892="","",$F1892&amp;"")</f>
        <v/>
      </c>
      <c r="Y1892" s="94">
        <f>IF($A1892="",0,IF(AE1892="직접",IF(AF1892="비귀속",$P1892,0),$P1892*(1-AG1892)*IFERROR(INDEX(계정대체기준!$F$20:$F$49,MATCH($N1892,계정대체기준!$A$20:$A$49,0)),1)))</f>
        <v/>
      </c>
      <c r="Z1892" s="94">
        <f>IF($A1892="",0,IF(AE1892="직접",IF(AF1892="신계약비",$P1892,0),$P1892*(1-AG1892)*IFERROR(INDEX(계정대체기준!$C$20:$C$49,MATCH($N1892,계정대체기준!$A$20:$A$49,0)),0)))</f>
        <v/>
      </c>
      <c r="AA1892" s="94">
        <f>IF($A1892="",0,IF(AE1892="직접",IF(OR(AF1892="유지비",AF1892="손해조사비"),$P1892,0),$P1892*(1-AG1892)*IFERROR(INDEX(계정대체기준!$D$20:$D$49,MATCH($N1892,계정대체기준!$A$20:$A$49,0)),0)))</f>
        <v/>
      </c>
      <c r="AB1892" s="94">
        <f>IF($A1892="",0,IF(AE1892="직접",IF(AF1892="수금비",$P1892,0),$P1892*(1-AG1892)*IFERROR(INDEX(계정대체기준!$E$20:$E$49,MATCH($N1892,계정대체기준!$A$20:$A$49,0)),0)))</f>
        <v/>
      </c>
      <c r="AC1892" s="9">
        <f>IF(AND($A1892&lt;&gt;"",M1892=설정!$C$20,Z1892&gt;0),Z1892+ROW()/1000000000,"")</f>
        <v/>
      </c>
      <c r="AD1892" s="94">
        <f>IF($A1892="",0,$P1892*AG1892)</f>
        <v/>
      </c>
      <c r="AE1892" s="64">
        <f>IF($A1892="","",IFERROR(INDEX(계정매핑!$E$5:$E$504,MATCH($F1892&amp;"",계정매핑!$A$5:$A$504,0))&amp;"","공통비"))</f>
        <v/>
      </c>
      <c r="AF1892" s="64">
        <f>IF($A1892="","",IF(AE1892="직접",IFERROR(INDEX(계정매핑!$F$5:$F$504,MATCH($F1892&amp;"",계정매핑!$A$5:$A$504,0))&amp;"","비귀속"),""))</f>
        <v/>
      </c>
      <c r="AG1892" s="96">
        <f>IF($A1892="",0,IF(AND(AE1892&lt;&gt;"직접",IFERROR(INDEX(계정매핑!$G$5:$G$504,MATCH($F1892&amp;"",계정매핑!$A$5:$A$504,0))&amp;"","")="유지비",COUNTIF(계정대체기준!$A$6:$A$15,$N1892)&gt;0),IFERROR(INDEX(계정대체기준!$E$6:$E$15,MATCH(VALUE($A1892&amp;""),계정대체기준!$D$6:$D$15,0)),0),0))</f>
        <v/>
      </c>
      <c r="AH1892" s="64">
        <f>IF($A1892="","",IF(AD1892=0,"",IF(OR(COUNTIF(계정대체기준!$A$77:$A$86,$N1892)&gt;0,ISNUMBER(MATCH($X1892,계정대체기준!$D$77:$D$86,0)),ISNUMBER(MATCH($F1892,계정대체기준!$D$77:$D$86,0))),"Y","N")))</f>
        <v/>
      </c>
    </row>
    <row r="1893">
      <c r="A1893" s="92" t="n">
        <v>2025</v>
      </c>
      <c r="B1893" s="92" t="n">
        <v>9</v>
      </c>
      <c r="C1893" s="92" t="inlineStr">
        <is>
          <t>5100001889</t>
        </is>
      </c>
      <c r="D1893" s="95" t="n">
        <v>45910</v>
      </c>
      <c r="E1893" s="92" t="inlineStr">
        <is>
          <t>KR</t>
        </is>
      </c>
      <c r="F1893" s="92" t="n">
        <v>62501000</v>
      </c>
      <c r="G1893" s="92" t="n">
        <v>1201</v>
      </c>
      <c r="H1893" s="93" t="n">
        <v>108000</v>
      </c>
      <c r="I1893" s="92" t="inlineStr">
        <is>
          <t>9월 회의 다과 - T케이터링</t>
        </is>
      </c>
      <c r="J1893" s="92" t="inlineStr">
        <is>
          <t>V10005</t>
        </is>
      </c>
      <c r="K1893" s="92" t="inlineStr">
        <is>
          <t>T케이터링</t>
        </is>
      </c>
      <c r="M1893" s="9">
        <f>IF($A1893="","",VALUE($A1893&amp;"")*12+VALUE($B1893&amp;""))</f>
        <v/>
      </c>
      <c r="N1893" s="64">
        <f>IF($A1893="","",IFERROR(INDEX(부서매핑!$C$5:$C$504,MATCH($G1893&amp;"",부서매핑!$A$5:$A$504,0)),"미매핑"))</f>
        <v/>
      </c>
      <c r="O1893" s="9">
        <f>IF($A1893="","",N1893&amp;"|"&amp;$F1893)</f>
        <v/>
      </c>
      <c r="P1893" s="94">
        <f>IF($A1893="",0,$H1893*설정!$C$23)</f>
        <v/>
      </c>
      <c r="Q1893" s="64">
        <f>IF($A1893="","",IF(O1893&lt;&gt;원인분석!$C$9,"",IF(AND(M1893&gt;=원인분석!$C$10,M1893&lt;=원인분석!$C$11),"당기",IF(AND(M1893&gt;=원인분석!$C$12,M1893&lt;=원인분석!$C$13),"비교",""))))</f>
        <v/>
      </c>
      <c r="R1893" s="9">
        <f>IF(Q1893="","",$K1893&amp;"")</f>
        <v/>
      </c>
      <c r="S1893" s="9">
        <f>IF(Q1893="","",IF(MATCH(R1893,$R$5:$R$100000,0)=ROW()-4,ROW(),""))</f>
        <v/>
      </c>
      <c r="T1893" s="9">
        <f>IF(Q1893="당기",ABS(P1893)+ROW()/1000000000,"")</f>
        <v/>
      </c>
      <c r="U1893" s="9">
        <f>IF(Q1893="비교",ABS(P1893)+ROW()/1000000000,"")</f>
        <v/>
      </c>
      <c r="V1893" s="64">
        <f>IF($A1893="","",IF(COUNTIF(변동분석!$E$7:$E$506,O1893)&gt;0,"Y","N"))</f>
        <v/>
      </c>
      <c r="W1893" s="64">
        <f>IF($A1893="","",IFERROR(INDEX(계정매핑!$D$5:$D$504,MATCH($F1893&amp;"",계정매핑!$A$5:$A$504,0)),"미매핑"))</f>
        <v/>
      </c>
      <c r="X1893" s="9">
        <f>IF($A1893="","",$F1893&amp;"")</f>
        <v/>
      </c>
      <c r="Y1893" s="94">
        <f>IF($A1893="",0,IF(AE1893="직접",IF(AF1893="비귀속",$P1893,0),$P1893*(1-AG1893)*IFERROR(INDEX(계정대체기준!$F$20:$F$49,MATCH($N1893,계정대체기준!$A$20:$A$49,0)),1)))</f>
        <v/>
      </c>
      <c r="Z1893" s="94">
        <f>IF($A1893="",0,IF(AE1893="직접",IF(AF1893="신계약비",$P1893,0),$P1893*(1-AG1893)*IFERROR(INDEX(계정대체기준!$C$20:$C$49,MATCH($N1893,계정대체기준!$A$20:$A$49,0)),0)))</f>
        <v/>
      </c>
      <c r="AA1893" s="94">
        <f>IF($A1893="",0,IF(AE1893="직접",IF(OR(AF1893="유지비",AF1893="손해조사비"),$P1893,0),$P1893*(1-AG1893)*IFERROR(INDEX(계정대체기준!$D$20:$D$49,MATCH($N1893,계정대체기준!$A$20:$A$49,0)),0)))</f>
        <v/>
      </c>
      <c r="AB1893" s="94">
        <f>IF($A1893="",0,IF(AE1893="직접",IF(AF1893="수금비",$P1893,0),$P1893*(1-AG1893)*IFERROR(INDEX(계정대체기준!$E$20:$E$49,MATCH($N1893,계정대체기준!$A$20:$A$49,0)),0)))</f>
        <v/>
      </c>
      <c r="AC1893" s="9">
        <f>IF(AND($A1893&lt;&gt;"",M1893=설정!$C$20,Z1893&gt;0),Z1893+ROW()/1000000000,"")</f>
        <v/>
      </c>
      <c r="AD1893" s="94">
        <f>IF($A1893="",0,$P1893*AG1893)</f>
        <v/>
      </c>
      <c r="AE1893" s="64">
        <f>IF($A1893="","",IFERROR(INDEX(계정매핑!$E$5:$E$504,MATCH($F1893&amp;"",계정매핑!$A$5:$A$504,0))&amp;"","공통비"))</f>
        <v/>
      </c>
      <c r="AF1893" s="64">
        <f>IF($A1893="","",IF(AE1893="직접",IFERROR(INDEX(계정매핑!$F$5:$F$504,MATCH($F1893&amp;"",계정매핑!$A$5:$A$504,0))&amp;"","비귀속"),""))</f>
        <v/>
      </c>
      <c r="AG1893" s="96">
        <f>IF($A1893="",0,IF(AND(AE1893&lt;&gt;"직접",IFERROR(INDEX(계정매핑!$G$5:$G$504,MATCH($F1893&amp;"",계정매핑!$A$5:$A$504,0))&amp;"","")="유지비",COUNTIF(계정대체기준!$A$6:$A$15,$N1893)&gt;0),IFERROR(INDEX(계정대체기준!$E$6:$E$15,MATCH(VALUE($A1893&amp;""),계정대체기준!$D$6:$D$15,0)),0),0))</f>
        <v/>
      </c>
      <c r="AH1893" s="64">
        <f>IF($A1893="","",IF(AD1893=0,"",IF(OR(COUNTIF(계정대체기준!$A$77:$A$86,$N1893)&gt;0,ISNUMBER(MATCH($X1893,계정대체기준!$D$77:$D$86,0)),ISNUMBER(MATCH($F1893,계정대체기준!$D$77:$D$86,0))),"Y","N")))</f>
        <v/>
      </c>
    </row>
    <row r="1894">
      <c r="A1894" s="92" t="n">
        <v>2025</v>
      </c>
      <c r="B1894" s="92" t="n">
        <v>9</v>
      </c>
      <c r="C1894" s="92" t="inlineStr">
        <is>
          <t>5100001890</t>
        </is>
      </c>
      <c r="D1894" s="95" t="n">
        <v>45910</v>
      </c>
      <c r="E1894" s="92" t="inlineStr">
        <is>
          <t>KR</t>
        </is>
      </c>
      <c r="F1894" s="92" t="n">
        <v>62902000</v>
      </c>
      <c r="G1894" s="92" t="n">
        <v>1101</v>
      </c>
      <c r="H1894" s="93" t="n">
        <v>2986000</v>
      </c>
      <c r="I1894" s="92" t="inlineStr">
        <is>
          <t>9월 업무 위탁 수수료 - J콜센터</t>
        </is>
      </c>
      <c r="J1894" s="92" t="inlineStr">
        <is>
          <t>V10016</t>
        </is>
      </c>
      <c r="K1894" s="92" t="inlineStr">
        <is>
          <t>J콜센터</t>
        </is>
      </c>
      <c r="M1894" s="9">
        <f>IF($A1894="","",VALUE($A1894&amp;"")*12+VALUE($B1894&amp;""))</f>
        <v/>
      </c>
      <c r="N1894" s="64">
        <f>IF($A1894="","",IFERROR(INDEX(부서매핑!$C$5:$C$504,MATCH($G1894&amp;"",부서매핑!$A$5:$A$504,0)),"미매핑"))</f>
        <v/>
      </c>
      <c r="O1894" s="9">
        <f>IF($A1894="","",N1894&amp;"|"&amp;$F1894)</f>
        <v/>
      </c>
      <c r="P1894" s="94">
        <f>IF($A1894="",0,$H1894*설정!$C$23)</f>
        <v/>
      </c>
      <c r="Q1894" s="64">
        <f>IF($A1894="","",IF(O1894&lt;&gt;원인분석!$C$9,"",IF(AND(M1894&gt;=원인분석!$C$10,M1894&lt;=원인분석!$C$11),"당기",IF(AND(M1894&gt;=원인분석!$C$12,M1894&lt;=원인분석!$C$13),"비교",""))))</f>
        <v/>
      </c>
      <c r="R1894" s="9">
        <f>IF(Q1894="","",$K1894&amp;"")</f>
        <v/>
      </c>
      <c r="S1894" s="9">
        <f>IF(Q1894="","",IF(MATCH(R1894,$R$5:$R$100000,0)=ROW()-4,ROW(),""))</f>
        <v/>
      </c>
      <c r="T1894" s="9">
        <f>IF(Q1894="당기",ABS(P1894)+ROW()/1000000000,"")</f>
        <v/>
      </c>
      <c r="U1894" s="9">
        <f>IF(Q1894="비교",ABS(P1894)+ROW()/1000000000,"")</f>
        <v/>
      </c>
      <c r="V1894" s="64">
        <f>IF($A1894="","",IF(COUNTIF(변동분석!$E$7:$E$506,O1894)&gt;0,"Y","N"))</f>
        <v/>
      </c>
      <c r="W1894" s="64">
        <f>IF($A1894="","",IFERROR(INDEX(계정매핑!$D$5:$D$504,MATCH($F1894&amp;"",계정매핑!$A$5:$A$504,0)),"미매핑"))</f>
        <v/>
      </c>
      <c r="X1894" s="9">
        <f>IF($A1894="","",$F1894&amp;"")</f>
        <v/>
      </c>
      <c r="Y1894" s="94">
        <f>IF($A1894="",0,IF(AE1894="직접",IF(AF1894="비귀속",$P1894,0),$P1894*(1-AG1894)*IFERROR(INDEX(계정대체기준!$F$20:$F$49,MATCH($N1894,계정대체기준!$A$20:$A$49,0)),1)))</f>
        <v/>
      </c>
      <c r="Z1894" s="94">
        <f>IF($A1894="",0,IF(AE1894="직접",IF(AF1894="신계약비",$P1894,0),$P1894*(1-AG1894)*IFERROR(INDEX(계정대체기준!$C$20:$C$49,MATCH($N1894,계정대체기준!$A$20:$A$49,0)),0)))</f>
        <v/>
      </c>
      <c r="AA1894" s="94">
        <f>IF($A1894="",0,IF(AE1894="직접",IF(OR(AF1894="유지비",AF1894="손해조사비"),$P1894,0),$P1894*(1-AG1894)*IFERROR(INDEX(계정대체기준!$D$20:$D$49,MATCH($N1894,계정대체기준!$A$20:$A$49,0)),0)))</f>
        <v/>
      </c>
      <c r="AB1894" s="94">
        <f>IF($A1894="",0,IF(AE1894="직접",IF(AF1894="수금비",$P1894,0),$P1894*(1-AG1894)*IFERROR(INDEX(계정대체기준!$E$20:$E$49,MATCH($N1894,계정대체기준!$A$20:$A$49,0)),0)))</f>
        <v/>
      </c>
      <c r="AC1894" s="9">
        <f>IF(AND($A1894&lt;&gt;"",M1894=설정!$C$20,Z1894&gt;0),Z1894+ROW()/1000000000,"")</f>
        <v/>
      </c>
      <c r="AD1894" s="94">
        <f>IF($A1894="",0,$P1894*AG1894)</f>
        <v/>
      </c>
      <c r="AE1894" s="64">
        <f>IF($A1894="","",IFERROR(INDEX(계정매핑!$E$5:$E$504,MATCH($F1894&amp;"",계정매핑!$A$5:$A$504,0))&amp;"","공통비"))</f>
        <v/>
      </c>
      <c r="AF1894" s="64">
        <f>IF($A1894="","",IF(AE1894="직접",IFERROR(INDEX(계정매핑!$F$5:$F$504,MATCH($F1894&amp;"",계정매핑!$A$5:$A$504,0))&amp;"","비귀속"),""))</f>
        <v/>
      </c>
      <c r="AG1894" s="96">
        <f>IF($A1894="",0,IF(AND(AE1894&lt;&gt;"직접",IFERROR(INDEX(계정매핑!$G$5:$G$504,MATCH($F1894&amp;"",계정매핑!$A$5:$A$504,0))&amp;"","")="유지비",COUNTIF(계정대체기준!$A$6:$A$15,$N1894)&gt;0),IFERROR(INDEX(계정대체기준!$E$6:$E$15,MATCH(VALUE($A1894&amp;""),계정대체기준!$D$6:$D$15,0)),0),0))</f>
        <v/>
      </c>
      <c r="AH1894" s="64">
        <f>IF($A1894="","",IF(AD1894=0,"",IF(OR(COUNTIF(계정대체기준!$A$77:$A$86,$N1894)&gt;0,ISNUMBER(MATCH($X1894,계정대체기준!$D$77:$D$86,0)),ISNUMBER(MATCH($F1894,계정대체기준!$D$77:$D$86,0))),"Y","N")))</f>
        <v/>
      </c>
    </row>
    <row r="1895">
      <c r="A1895" s="92" t="n">
        <v>2025</v>
      </c>
      <c r="B1895" s="92" t="n">
        <v>9</v>
      </c>
      <c r="C1895" s="92" t="inlineStr">
        <is>
          <t>5100001891</t>
        </is>
      </c>
      <c r="D1895" s="95" t="n">
        <v>45910</v>
      </c>
      <c r="E1895" s="92" t="inlineStr">
        <is>
          <t>KR</t>
        </is>
      </c>
      <c r="F1895" s="92" t="n">
        <v>62902000</v>
      </c>
      <c r="G1895" s="92" t="n">
        <v>1201</v>
      </c>
      <c r="H1895" s="93" t="n">
        <v>3776000</v>
      </c>
      <c r="I1895" s="92" t="inlineStr">
        <is>
          <t>9월 업무 위탁 수수료 - J콜센터</t>
        </is>
      </c>
      <c r="J1895" s="92" t="inlineStr">
        <is>
          <t>V10016</t>
        </is>
      </c>
      <c r="K1895" s="92" t="inlineStr">
        <is>
          <t>J콜센터</t>
        </is>
      </c>
      <c r="M1895" s="9">
        <f>IF($A1895="","",VALUE($A1895&amp;"")*12+VALUE($B1895&amp;""))</f>
        <v/>
      </c>
      <c r="N1895" s="64">
        <f>IF($A1895="","",IFERROR(INDEX(부서매핑!$C$5:$C$504,MATCH($G1895&amp;"",부서매핑!$A$5:$A$504,0)),"미매핑"))</f>
        <v/>
      </c>
      <c r="O1895" s="9">
        <f>IF($A1895="","",N1895&amp;"|"&amp;$F1895)</f>
        <v/>
      </c>
      <c r="P1895" s="94">
        <f>IF($A1895="",0,$H1895*설정!$C$23)</f>
        <v/>
      </c>
      <c r="Q1895" s="64">
        <f>IF($A1895="","",IF(O1895&lt;&gt;원인분석!$C$9,"",IF(AND(M1895&gt;=원인분석!$C$10,M1895&lt;=원인분석!$C$11),"당기",IF(AND(M1895&gt;=원인분석!$C$12,M1895&lt;=원인분석!$C$13),"비교",""))))</f>
        <v/>
      </c>
      <c r="R1895" s="9">
        <f>IF(Q1895="","",$K1895&amp;"")</f>
        <v/>
      </c>
      <c r="S1895" s="9">
        <f>IF(Q1895="","",IF(MATCH(R1895,$R$5:$R$100000,0)=ROW()-4,ROW(),""))</f>
        <v/>
      </c>
      <c r="T1895" s="9">
        <f>IF(Q1895="당기",ABS(P1895)+ROW()/1000000000,"")</f>
        <v/>
      </c>
      <c r="U1895" s="9">
        <f>IF(Q1895="비교",ABS(P1895)+ROW()/1000000000,"")</f>
        <v/>
      </c>
      <c r="V1895" s="64">
        <f>IF($A1895="","",IF(COUNTIF(변동분석!$E$7:$E$506,O1895)&gt;0,"Y","N"))</f>
        <v/>
      </c>
      <c r="W1895" s="64">
        <f>IF($A1895="","",IFERROR(INDEX(계정매핑!$D$5:$D$504,MATCH($F1895&amp;"",계정매핑!$A$5:$A$504,0)),"미매핑"))</f>
        <v/>
      </c>
      <c r="X1895" s="9">
        <f>IF($A1895="","",$F1895&amp;"")</f>
        <v/>
      </c>
      <c r="Y1895" s="94">
        <f>IF($A1895="",0,IF(AE1895="직접",IF(AF1895="비귀속",$P1895,0),$P1895*(1-AG1895)*IFERROR(INDEX(계정대체기준!$F$20:$F$49,MATCH($N1895,계정대체기준!$A$20:$A$49,0)),1)))</f>
        <v/>
      </c>
      <c r="Z1895" s="94">
        <f>IF($A1895="",0,IF(AE1895="직접",IF(AF1895="신계약비",$P1895,0),$P1895*(1-AG1895)*IFERROR(INDEX(계정대체기준!$C$20:$C$49,MATCH($N1895,계정대체기준!$A$20:$A$49,0)),0)))</f>
        <v/>
      </c>
      <c r="AA1895" s="94">
        <f>IF($A1895="",0,IF(AE1895="직접",IF(OR(AF1895="유지비",AF1895="손해조사비"),$P1895,0),$P1895*(1-AG1895)*IFERROR(INDEX(계정대체기준!$D$20:$D$49,MATCH($N1895,계정대체기준!$A$20:$A$49,0)),0)))</f>
        <v/>
      </c>
      <c r="AB1895" s="94">
        <f>IF($A1895="",0,IF(AE1895="직접",IF(AF1895="수금비",$P1895,0),$P1895*(1-AG1895)*IFERROR(INDEX(계정대체기준!$E$20:$E$49,MATCH($N1895,계정대체기준!$A$20:$A$49,0)),0)))</f>
        <v/>
      </c>
      <c r="AC1895" s="9">
        <f>IF(AND($A1895&lt;&gt;"",M1895=설정!$C$20,Z1895&gt;0),Z1895+ROW()/1000000000,"")</f>
        <v/>
      </c>
      <c r="AD1895" s="94">
        <f>IF($A1895="",0,$P1895*AG1895)</f>
        <v/>
      </c>
      <c r="AE1895" s="64">
        <f>IF($A1895="","",IFERROR(INDEX(계정매핑!$E$5:$E$504,MATCH($F1895&amp;"",계정매핑!$A$5:$A$504,0))&amp;"","공통비"))</f>
        <v/>
      </c>
      <c r="AF1895" s="64">
        <f>IF($A1895="","",IF(AE1895="직접",IFERROR(INDEX(계정매핑!$F$5:$F$504,MATCH($F1895&amp;"",계정매핑!$A$5:$A$504,0))&amp;"","비귀속"),""))</f>
        <v/>
      </c>
      <c r="AG1895" s="96">
        <f>IF($A1895="",0,IF(AND(AE1895&lt;&gt;"직접",IFERROR(INDEX(계정매핑!$G$5:$G$504,MATCH($F1895&amp;"",계정매핑!$A$5:$A$504,0))&amp;"","")="유지비",COUNTIF(계정대체기준!$A$6:$A$15,$N1895)&gt;0),IFERROR(INDEX(계정대체기준!$E$6:$E$15,MATCH(VALUE($A1895&amp;""),계정대체기준!$D$6:$D$15,0)),0),0))</f>
        <v/>
      </c>
      <c r="AH1895" s="64">
        <f>IF($A1895="","",IF(AD1895=0,"",IF(OR(COUNTIF(계정대체기준!$A$77:$A$86,$N1895)&gt;0,ISNUMBER(MATCH($X1895,계정대체기준!$D$77:$D$86,0)),ISNUMBER(MATCH($F1895,계정대체기준!$D$77:$D$86,0))),"Y","N")))</f>
        <v/>
      </c>
    </row>
    <row r="1896">
      <c r="A1896" s="92" t="n">
        <v>2025</v>
      </c>
      <c r="B1896" s="92" t="n">
        <v>9</v>
      </c>
      <c r="C1896" s="92" t="inlineStr">
        <is>
          <t>5100001892</t>
        </is>
      </c>
      <c r="D1896" s="95" t="n">
        <v>45910</v>
      </c>
      <c r="E1896" s="92" t="inlineStr">
        <is>
          <t>KR</t>
        </is>
      </c>
      <c r="F1896" s="92" t="n">
        <v>63002000</v>
      </c>
      <c r="G1896" s="92" t="n">
        <v>1951</v>
      </c>
      <c r="H1896" s="93" t="n">
        <v>7422000</v>
      </c>
      <c r="I1896" s="92" t="inlineStr">
        <is>
          <t>9월 클라우드 사용료 - C클라우드</t>
        </is>
      </c>
      <c r="J1896" s="92" t="inlineStr">
        <is>
          <t>V10026</t>
        </is>
      </c>
      <c r="K1896" s="92" t="inlineStr">
        <is>
          <t>C클라우드</t>
        </is>
      </c>
      <c r="M1896" s="9">
        <f>IF($A1896="","",VALUE($A1896&amp;"")*12+VALUE($B1896&amp;""))</f>
        <v/>
      </c>
      <c r="N1896" s="64">
        <f>IF($A1896="","",IFERROR(INDEX(부서매핑!$C$5:$C$504,MATCH($G1896&amp;"",부서매핑!$A$5:$A$504,0)),"미매핑"))</f>
        <v/>
      </c>
      <c r="O1896" s="9">
        <f>IF($A1896="","",N1896&amp;"|"&amp;$F1896)</f>
        <v/>
      </c>
      <c r="P1896" s="94">
        <f>IF($A1896="",0,$H1896*설정!$C$23)</f>
        <v/>
      </c>
      <c r="Q1896" s="64">
        <f>IF($A1896="","",IF(O1896&lt;&gt;원인분석!$C$9,"",IF(AND(M1896&gt;=원인분석!$C$10,M1896&lt;=원인분석!$C$11),"당기",IF(AND(M1896&gt;=원인분석!$C$12,M1896&lt;=원인분석!$C$13),"비교",""))))</f>
        <v/>
      </c>
      <c r="R1896" s="9">
        <f>IF(Q1896="","",$K1896&amp;"")</f>
        <v/>
      </c>
      <c r="S1896" s="9">
        <f>IF(Q1896="","",IF(MATCH(R1896,$R$5:$R$100000,0)=ROW()-4,ROW(),""))</f>
        <v/>
      </c>
      <c r="T1896" s="9">
        <f>IF(Q1896="당기",ABS(P1896)+ROW()/1000000000,"")</f>
        <v/>
      </c>
      <c r="U1896" s="9">
        <f>IF(Q1896="비교",ABS(P1896)+ROW()/1000000000,"")</f>
        <v/>
      </c>
      <c r="V1896" s="64">
        <f>IF($A1896="","",IF(COUNTIF(변동분석!$E$7:$E$506,O1896)&gt;0,"Y","N"))</f>
        <v/>
      </c>
      <c r="W1896" s="64">
        <f>IF($A1896="","",IFERROR(INDEX(계정매핑!$D$5:$D$504,MATCH($F1896&amp;"",계정매핑!$A$5:$A$504,0)),"미매핑"))</f>
        <v/>
      </c>
      <c r="X1896" s="9">
        <f>IF($A1896="","",$F1896&amp;"")</f>
        <v/>
      </c>
      <c r="Y1896" s="94">
        <f>IF($A1896="",0,IF(AE1896="직접",IF(AF1896="비귀속",$P1896,0),$P1896*(1-AG1896)*IFERROR(INDEX(계정대체기준!$F$20:$F$49,MATCH($N1896,계정대체기준!$A$20:$A$49,0)),1)))</f>
        <v/>
      </c>
      <c r="Z1896" s="94">
        <f>IF($A1896="",0,IF(AE1896="직접",IF(AF1896="신계약비",$P1896,0),$P1896*(1-AG1896)*IFERROR(INDEX(계정대체기준!$C$20:$C$49,MATCH($N1896,계정대체기준!$A$20:$A$49,0)),0)))</f>
        <v/>
      </c>
      <c r="AA1896" s="94">
        <f>IF($A1896="",0,IF(AE1896="직접",IF(OR(AF1896="유지비",AF1896="손해조사비"),$P1896,0),$P1896*(1-AG1896)*IFERROR(INDEX(계정대체기준!$D$20:$D$49,MATCH($N1896,계정대체기준!$A$20:$A$49,0)),0)))</f>
        <v/>
      </c>
      <c r="AB1896" s="94">
        <f>IF($A1896="",0,IF(AE1896="직접",IF(AF1896="수금비",$P1896,0),$P1896*(1-AG1896)*IFERROR(INDEX(계정대체기준!$E$20:$E$49,MATCH($N1896,계정대체기준!$A$20:$A$49,0)),0)))</f>
        <v/>
      </c>
      <c r="AC1896" s="9">
        <f>IF(AND($A1896&lt;&gt;"",M1896=설정!$C$20,Z1896&gt;0),Z1896+ROW()/1000000000,"")</f>
        <v/>
      </c>
      <c r="AD1896" s="94">
        <f>IF($A1896="",0,$P1896*AG1896)</f>
        <v/>
      </c>
      <c r="AE1896" s="64">
        <f>IF($A1896="","",IFERROR(INDEX(계정매핑!$E$5:$E$504,MATCH($F1896&amp;"",계정매핑!$A$5:$A$504,0))&amp;"","공통비"))</f>
        <v/>
      </c>
      <c r="AF1896" s="64">
        <f>IF($A1896="","",IF(AE1896="직접",IFERROR(INDEX(계정매핑!$F$5:$F$504,MATCH($F1896&amp;"",계정매핑!$A$5:$A$504,0))&amp;"","비귀속"),""))</f>
        <v/>
      </c>
      <c r="AG1896" s="96">
        <f>IF($A1896="",0,IF(AND(AE1896&lt;&gt;"직접",IFERROR(INDEX(계정매핑!$G$5:$G$504,MATCH($F1896&amp;"",계정매핑!$A$5:$A$504,0))&amp;"","")="유지비",COUNTIF(계정대체기준!$A$6:$A$15,$N1896)&gt;0),IFERROR(INDEX(계정대체기준!$E$6:$E$15,MATCH(VALUE($A1896&amp;""),계정대체기준!$D$6:$D$15,0)),0),0))</f>
        <v/>
      </c>
      <c r="AH1896" s="64">
        <f>IF($A1896="","",IF(AD1896=0,"",IF(OR(COUNTIF(계정대체기준!$A$77:$A$86,$N1896)&gt;0,ISNUMBER(MATCH($X1896,계정대체기준!$D$77:$D$86,0)),ISNUMBER(MATCH($F1896,계정대체기준!$D$77:$D$86,0))),"Y","N")))</f>
        <v/>
      </c>
    </row>
    <row r="1897">
      <c r="A1897" s="92" t="n">
        <v>2025</v>
      </c>
      <c r="B1897" s="92" t="n">
        <v>9</v>
      </c>
      <c r="C1897" s="92" t="inlineStr">
        <is>
          <t>5100001893</t>
        </is>
      </c>
      <c r="D1897" s="95" t="n">
        <v>45911</v>
      </c>
      <c r="E1897" s="92" t="inlineStr">
        <is>
          <t>KR</t>
        </is>
      </c>
      <c r="F1897" s="92" t="n">
        <v>62101000</v>
      </c>
      <c r="G1897" s="92" t="n">
        <v>1201</v>
      </c>
      <c r="H1897" s="93" t="n">
        <v>280000</v>
      </c>
      <c r="I1897" s="92" t="inlineStr">
        <is>
          <t>9월 국내출장 - M항공</t>
        </is>
      </c>
      <c r="J1897" s="92" t="inlineStr">
        <is>
          <t>V10001</t>
        </is>
      </c>
      <c r="K1897" s="92" t="inlineStr">
        <is>
          <t>M항공</t>
        </is>
      </c>
      <c r="M1897" s="9">
        <f>IF($A1897="","",VALUE($A1897&amp;"")*12+VALUE($B1897&amp;""))</f>
        <v/>
      </c>
      <c r="N1897" s="64">
        <f>IF($A1897="","",IFERROR(INDEX(부서매핑!$C$5:$C$504,MATCH($G1897&amp;"",부서매핑!$A$5:$A$504,0)),"미매핑"))</f>
        <v/>
      </c>
      <c r="O1897" s="9">
        <f>IF($A1897="","",N1897&amp;"|"&amp;$F1897)</f>
        <v/>
      </c>
      <c r="P1897" s="94">
        <f>IF($A1897="",0,$H1897*설정!$C$23)</f>
        <v/>
      </c>
      <c r="Q1897" s="64">
        <f>IF($A1897="","",IF(O1897&lt;&gt;원인분석!$C$9,"",IF(AND(M1897&gt;=원인분석!$C$10,M1897&lt;=원인분석!$C$11),"당기",IF(AND(M1897&gt;=원인분석!$C$12,M1897&lt;=원인분석!$C$13),"비교",""))))</f>
        <v/>
      </c>
      <c r="R1897" s="9">
        <f>IF(Q1897="","",$K1897&amp;"")</f>
        <v/>
      </c>
      <c r="S1897" s="9">
        <f>IF(Q1897="","",IF(MATCH(R1897,$R$5:$R$100000,0)=ROW()-4,ROW(),""))</f>
        <v/>
      </c>
      <c r="T1897" s="9">
        <f>IF(Q1897="당기",ABS(P1897)+ROW()/1000000000,"")</f>
        <v/>
      </c>
      <c r="U1897" s="9">
        <f>IF(Q1897="비교",ABS(P1897)+ROW()/1000000000,"")</f>
        <v/>
      </c>
      <c r="V1897" s="64">
        <f>IF($A1897="","",IF(COUNTIF(변동분석!$E$7:$E$506,O1897)&gt;0,"Y","N"))</f>
        <v/>
      </c>
      <c r="W1897" s="64">
        <f>IF($A1897="","",IFERROR(INDEX(계정매핑!$D$5:$D$504,MATCH($F1897&amp;"",계정매핑!$A$5:$A$504,0)),"미매핑"))</f>
        <v/>
      </c>
      <c r="X1897" s="9">
        <f>IF($A1897="","",$F1897&amp;"")</f>
        <v/>
      </c>
      <c r="Y1897" s="94">
        <f>IF($A1897="",0,IF(AE1897="직접",IF(AF1897="비귀속",$P1897,0),$P1897*(1-AG1897)*IFERROR(INDEX(계정대체기준!$F$20:$F$49,MATCH($N1897,계정대체기준!$A$20:$A$49,0)),1)))</f>
        <v/>
      </c>
      <c r="Z1897" s="94">
        <f>IF($A1897="",0,IF(AE1897="직접",IF(AF1897="신계약비",$P1897,0),$P1897*(1-AG1897)*IFERROR(INDEX(계정대체기준!$C$20:$C$49,MATCH($N1897,계정대체기준!$A$20:$A$49,0)),0)))</f>
        <v/>
      </c>
      <c r="AA1897" s="94">
        <f>IF($A1897="",0,IF(AE1897="직접",IF(OR(AF1897="유지비",AF1897="손해조사비"),$P1897,0),$P1897*(1-AG1897)*IFERROR(INDEX(계정대체기준!$D$20:$D$49,MATCH($N1897,계정대체기준!$A$20:$A$49,0)),0)))</f>
        <v/>
      </c>
      <c r="AB1897" s="94">
        <f>IF($A1897="",0,IF(AE1897="직접",IF(AF1897="수금비",$P1897,0),$P1897*(1-AG1897)*IFERROR(INDEX(계정대체기준!$E$20:$E$49,MATCH($N1897,계정대체기준!$A$20:$A$49,0)),0)))</f>
        <v/>
      </c>
      <c r="AC1897" s="9">
        <f>IF(AND($A1897&lt;&gt;"",M1897=설정!$C$20,Z1897&gt;0),Z1897+ROW()/1000000000,"")</f>
        <v/>
      </c>
      <c r="AD1897" s="94">
        <f>IF($A1897="",0,$P1897*AG1897)</f>
        <v/>
      </c>
      <c r="AE1897" s="64">
        <f>IF($A1897="","",IFERROR(INDEX(계정매핑!$E$5:$E$504,MATCH($F1897&amp;"",계정매핑!$A$5:$A$504,0))&amp;"","공통비"))</f>
        <v/>
      </c>
      <c r="AF1897" s="64">
        <f>IF($A1897="","",IF(AE1897="직접",IFERROR(INDEX(계정매핑!$F$5:$F$504,MATCH($F1897&amp;"",계정매핑!$A$5:$A$504,0))&amp;"","비귀속"),""))</f>
        <v/>
      </c>
      <c r="AG1897" s="96">
        <f>IF($A1897="",0,IF(AND(AE1897&lt;&gt;"직접",IFERROR(INDEX(계정매핑!$G$5:$G$504,MATCH($F1897&amp;"",계정매핑!$A$5:$A$504,0))&amp;"","")="유지비",COUNTIF(계정대체기준!$A$6:$A$15,$N1897)&gt;0),IFERROR(INDEX(계정대체기준!$E$6:$E$15,MATCH(VALUE($A1897&amp;""),계정대체기준!$D$6:$D$15,0)),0),0))</f>
        <v/>
      </c>
      <c r="AH1897" s="64">
        <f>IF($A1897="","",IF(AD1897=0,"",IF(OR(COUNTIF(계정대체기준!$A$77:$A$86,$N1897)&gt;0,ISNUMBER(MATCH($X1897,계정대체기준!$D$77:$D$86,0)),ISNUMBER(MATCH($F1897,계정대체기준!$D$77:$D$86,0))),"Y","N")))</f>
        <v/>
      </c>
    </row>
    <row r="1898">
      <c r="A1898" s="92" t="n">
        <v>2025</v>
      </c>
      <c r="B1898" s="92" t="n">
        <v>9</v>
      </c>
      <c r="C1898" s="92" t="inlineStr">
        <is>
          <t>5100001894</t>
        </is>
      </c>
      <c r="D1898" s="95" t="n">
        <v>45911</v>
      </c>
      <c r="E1898" s="92" t="inlineStr">
        <is>
          <t>KR</t>
        </is>
      </c>
      <c r="F1898" s="92" t="n">
        <v>62101000</v>
      </c>
      <c r="G1898" s="92" t="n">
        <v>1501</v>
      </c>
      <c r="H1898" s="93" t="n">
        <v>907000</v>
      </c>
      <c r="I1898" s="92" t="inlineStr">
        <is>
          <t>9월 국내출장 - L여행사</t>
        </is>
      </c>
      <c r="J1898" s="92" t="inlineStr">
        <is>
          <t>V10018</t>
        </is>
      </c>
      <c r="K1898" s="92" t="inlineStr">
        <is>
          <t>L여행사</t>
        </is>
      </c>
      <c r="M1898" s="9">
        <f>IF($A1898="","",VALUE($A1898&amp;"")*12+VALUE($B1898&amp;""))</f>
        <v/>
      </c>
      <c r="N1898" s="64">
        <f>IF($A1898="","",IFERROR(INDEX(부서매핑!$C$5:$C$504,MATCH($G1898&amp;"",부서매핑!$A$5:$A$504,0)),"미매핑"))</f>
        <v/>
      </c>
      <c r="O1898" s="9">
        <f>IF($A1898="","",N1898&amp;"|"&amp;$F1898)</f>
        <v/>
      </c>
      <c r="P1898" s="94">
        <f>IF($A1898="",0,$H1898*설정!$C$23)</f>
        <v/>
      </c>
      <c r="Q1898" s="64">
        <f>IF($A1898="","",IF(O1898&lt;&gt;원인분석!$C$9,"",IF(AND(M1898&gt;=원인분석!$C$10,M1898&lt;=원인분석!$C$11),"당기",IF(AND(M1898&gt;=원인분석!$C$12,M1898&lt;=원인분석!$C$13),"비교",""))))</f>
        <v/>
      </c>
      <c r="R1898" s="9">
        <f>IF(Q1898="","",$K1898&amp;"")</f>
        <v/>
      </c>
      <c r="S1898" s="9">
        <f>IF(Q1898="","",IF(MATCH(R1898,$R$5:$R$100000,0)=ROW()-4,ROW(),""))</f>
        <v/>
      </c>
      <c r="T1898" s="9">
        <f>IF(Q1898="당기",ABS(P1898)+ROW()/1000000000,"")</f>
        <v/>
      </c>
      <c r="U1898" s="9">
        <f>IF(Q1898="비교",ABS(P1898)+ROW()/1000000000,"")</f>
        <v/>
      </c>
      <c r="V1898" s="64">
        <f>IF($A1898="","",IF(COUNTIF(변동분석!$E$7:$E$506,O1898)&gt;0,"Y","N"))</f>
        <v/>
      </c>
      <c r="W1898" s="64">
        <f>IF($A1898="","",IFERROR(INDEX(계정매핑!$D$5:$D$504,MATCH($F1898&amp;"",계정매핑!$A$5:$A$504,0)),"미매핑"))</f>
        <v/>
      </c>
      <c r="X1898" s="9">
        <f>IF($A1898="","",$F1898&amp;"")</f>
        <v/>
      </c>
      <c r="Y1898" s="94">
        <f>IF($A1898="",0,IF(AE1898="직접",IF(AF1898="비귀속",$P1898,0),$P1898*(1-AG1898)*IFERROR(INDEX(계정대체기준!$F$20:$F$49,MATCH($N1898,계정대체기준!$A$20:$A$49,0)),1)))</f>
        <v/>
      </c>
      <c r="Z1898" s="94">
        <f>IF($A1898="",0,IF(AE1898="직접",IF(AF1898="신계약비",$P1898,0),$P1898*(1-AG1898)*IFERROR(INDEX(계정대체기준!$C$20:$C$49,MATCH($N1898,계정대체기준!$A$20:$A$49,0)),0)))</f>
        <v/>
      </c>
      <c r="AA1898" s="94">
        <f>IF($A1898="",0,IF(AE1898="직접",IF(OR(AF1898="유지비",AF1898="손해조사비"),$P1898,0),$P1898*(1-AG1898)*IFERROR(INDEX(계정대체기준!$D$20:$D$49,MATCH($N1898,계정대체기준!$A$20:$A$49,0)),0)))</f>
        <v/>
      </c>
      <c r="AB1898" s="94">
        <f>IF($A1898="",0,IF(AE1898="직접",IF(AF1898="수금비",$P1898,0),$P1898*(1-AG1898)*IFERROR(INDEX(계정대체기준!$E$20:$E$49,MATCH($N1898,계정대체기준!$A$20:$A$49,0)),0)))</f>
        <v/>
      </c>
      <c r="AC1898" s="9">
        <f>IF(AND($A1898&lt;&gt;"",M1898=설정!$C$20,Z1898&gt;0),Z1898+ROW()/1000000000,"")</f>
        <v/>
      </c>
      <c r="AD1898" s="94">
        <f>IF($A1898="",0,$P1898*AG1898)</f>
        <v/>
      </c>
      <c r="AE1898" s="64">
        <f>IF($A1898="","",IFERROR(INDEX(계정매핑!$E$5:$E$504,MATCH($F1898&amp;"",계정매핑!$A$5:$A$504,0))&amp;"","공통비"))</f>
        <v/>
      </c>
      <c r="AF1898" s="64">
        <f>IF($A1898="","",IF(AE1898="직접",IFERROR(INDEX(계정매핑!$F$5:$F$504,MATCH($F1898&amp;"",계정매핑!$A$5:$A$504,0))&amp;"","비귀속"),""))</f>
        <v/>
      </c>
      <c r="AG1898" s="96">
        <f>IF($A1898="",0,IF(AND(AE1898&lt;&gt;"직접",IFERROR(INDEX(계정매핑!$G$5:$G$504,MATCH($F1898&amp;"",계정매핑!$A$5:$A$504,0))&amp;"","")="유지비",COUNTIF(계정대체기준!$A$6:$A$15,$N1898)&gt;0),IFERROR(INDEX(계정대체기준!$E$6:$E$15,MATCH(VALUE($A1898&amp;""),계정대체기준!$D$6:$D$15,0)),0),0))</f>
        <v/>
      </c>
      <c r="AH1898" s="64">
        <f>IF($A1898="","",IF(AD1898=0,"",IF(OR(COUNTIF(계정대체기준!$A$77:$A$86,$N1898)&gt;0,ISNUMBER(MATCH($X1898,계정대체기준!$D$77:$D$86,0)),ISNUMBER(MATCH($F1898,계정대체기준!$D$77:$D$86,0))),"Y","N")))</f>
        <v/>
      </c>
    </row>
    <row r="1899">
      <c r="A1899" s="92" t="n">
        <v>2025</v>
      </c>
      <c r="B1899" s="92" t="n">
        <v>9</v>
      </c>
      <c r="C1899" s="92" t="inlineStr">
        <is>
          <t>5100001895</t>
        </is>
      </c>
      <c r="D1899" s="95" t="n">
        <v>45911</v>
      </c>
      <c r="E1899" s="92" t="inlineStr">
        <is>
          <t>KR</t>
        </is>
      </c>
      <c r="F1899" s="92" t="n">
        <v>62102000</v>
      </c>
      <c r="G1899" s="92" t="n">
        <v>1301</v>
      </c>
      <c r="H1899" s="93" t="n">
        <v>133000</v>
      </c>
      <c r="I1899" s="92" t="inlineStr">
        <is>
          <t>9월 해외출장 - M항공</t>
        </is>
      </c>
      <c r="J1899" s="92" t="inlineStr">
        <is>
          <t>V10001</t>
        </is>
      </c>
      <c r="K1899" s="92" t="inlineStr">
        <is>
          <t>M항공</t>
        </is>
      </c>
      <c r="M1899" s="9">
        <f>IF($A1899="","",VALUE($A1899&amp;"")*12+VALUE($B1899&amp;""))</f>
        <v/>
      </c>
      <c r="N1899" s="64">
        <f>IF($A1899="","",IFERROR(INDEX(부서매핑!$C$5:$C$504,MATCH($G1899&amp;"",부서매핑!$A$5:$A$504,0)),"미매핑"))</f>
        <v/>
      </c>
      <c r="O1899" s="9">
        <f>IF($A1899="","",N1899&amp;"|"&amp;$F1899)</f>
        <v/>
      </c>
      <c r="P1899" s="94">
        <f>IF($A1899="",0,$H1899*설정!$C$23)</f>
        <v/>
      </c>
      <c r="Q1899" s="64">
        <f>IF($A1899="","",IF(O1899&lt;&gt;원인분석!$C$9,"",IF(AND(M1899&gt;=원인분석!$C$10,M1899&lt;=원인분석!$C$11),"당기",IF(AND(M1899&gt;=원인분석!$C$12,M1899&lt;=원인분석!$C$13),"비교",""))))</f>
        <v/>
      </c>
      <c r="R1899" s="9">
        <f>IF(Q1899="","",$K1899&amp;"")</f>
        <v/>
      </c>
      <c r="S1899" s="9">
        <f>IF(Q1899="","",IF(MATCH(R1899,$R$5:$R$100000,0)=ROW()-4,ROW(),""))</f>
        <v/>
      </c>
      <c r="T1899" s="9">
        <f>IF(Q1899="당기",ABS(P1899)+ROW()/1000000000,"")</f>
        <v/>
      </c>
      <c r="U1899" s="9">
        <f>IF(Q1899="비교",ABS(P1899)+ROW()/1000000000,"")</f>
        <v/>
      </c>
      <c r="V1899" s="64">
        <f>IF($A1899="","",IF(COUNTIF(변동분석!$E$7:$E$506,O1899)&gt;0,"Y","N"))</f>
        <v/>
      </c>
      <c r="W1899" s="64">
        <f>IF($A1899="","",IFERROR(INDEX(계정매핑!$D$5:$D$504,MATCH($F1899&amp;"",계정매핑!$A$5:$A$504,0)),"미매핑"))</f>
        <v/>
      </c>
      <c r="X1899" s="9">
        <f>IF($A1899="","",$F1899&amp;"")</f>
        <v/>
      </c>
      <c r="Y1899" s="94">
        <f>IF($A1899="",0,IF(AE1899="직접",IF(AF1899="비귀속",$P1899,0),$P1899*(1-AG1899)*IFERROR(INDEX(계정대체기준!$F$20:$F$49,MATCH($N1899,계정대체기준!$A$20:$A$49,0)),1)))</f>
        <v/>
      </c>
      <c r="Z1899" s="94">
        <f>IF($A1899="",0,IF(AE1899="직접",IF(AF1899="신계약비",$P1899,0),$P1899*(1-AG1899)*IFERROR(INDEX(계정대체기준!$C$20:$C$49,MATCH($N1899,계정대체기준!$A$20:$A$49,0)),0)))</f>
        <v/>
      </c>
      <c r="AA1899" s="94">
        <f>IF($A1899="",0,IF(AE1899="직접",IF(OR(AF1899="유지비",AF1899="손해조사비"),$P1899,0),$P1899*(1-AG1899)*IFERROR(INDEX(계정대체기준!$D$20:$D$49,MATCH($N1899,계정대체기준!$A$20:$A$49,0)),0)))</f>
        <v/>
      </c>
      <c r="AB1899" s="94">
        <f>IF($A1899="",0,IF(AE1899="직접",IF(AF1899="수금비",$P1899,0),$P1899*(1-AG1899)*IFERROR(INDEX(계정대체기준!$E$20:$E$49,MATCH($N1899,계정대체기준!$A$20:$A$49,0)),0)))</f>
        <v/>
      </c>
      <c r="AC1899" s="9">
        <f>IF(AND($A1899&lt;&gt;"",M1899=설정!$C$20,Z1899&gt;0),Z1899+ROW()/1000000000,"")</f>
        <v/>
      </c>
      <c r="AD1899" s="94">
        <f>IF($A1899="",0,$P1899*AG1899)</f>
        <v/>
      </c>
      <c r="AE1899" s="64">
        <f>IF($A1899="","",IFERROR(INDEX(계정매핑!$E$5:$E$504,MATCH($F1899&amp;"",계정매핑!$A$5:$A$504,0))&amp;"","공통비"))</f>
        <v/>
      </c>
      <c r="AF1899" s="64">
        <f>IF($A1899="","",IF(AE1899="직접",IFERROR(INDEX(계정매핑!$F$5:$F$504,MATCH($F1899&amp;"",계정매핑!$A$5:$A$504,0))&amp;"","비귀속"),""))</f>
        <v/>
      </c>
      <c r="AG1899" s="96">
        <f>IF($A1899="",0,IF(AND(AE1899&lt;&gt;"직접",IFERROR(INDEX(계정매핑!$G$5:$G$504,MATCH($F1899&amp;"",계정매핑!$A$5:$A$504,0))&amp;"","")="유지비",COUNTIF(계정대체기준!$A$6:$A$15,$N1899)&gt;0),IFERROR(INDEX(계정대체기준!$E$6:$E$15,MATCH(VALUE($A1899&amp;""),계정대체기준!$D$6:$D$15,0)),0),0))</f>
        <v/>
      </c>
      <c r="AH1899" s="64">
        <f>IF($A1899="","",IF(AD1899=0,"",IF(OR(COUNTIF(계정대체기준!$A$77:$A$86,$N1899)&gt;0,ISNUMBER(MATCH($X1899,계정대체기준!$D$77:$D$86,0)),ISNUMBER(MATCH($F1899,계정대체기준!$D$77:$D$86,0))),"Y","N")))</f>
        <v/>
      </c>
    </row>
    <row r="1900">
      <c r="A1900" s="92" t="n">
        <v>2025</v>
      </c>
      <c r="B1900" s="92" t="n">
        <v>9</v>
      </c>
      <c r="C1900" s="92" t="inlineStr">
        <is>
          <t>5100001896</t>
        </is>
      </c>
      <c r="D1900" s="95" t="n">
        <v>45911</v>
      </c>
      <c r="E1900" s="92" t="inlineStr">
        <is>
          <t>KR</t>
        </is>
      </c>
      <c r="F1900" s="92" t="n">
        <v>62102000</v>
      </c>
      <c r="G1900" s="92" t="n">
        <v>1401</v>
      </c>
      <c r="H1900" s="93" t="n">
        <v>89000</v>
      </c>
      <c r="I1900" s="92" t="inlineStr">
        <is>
          <t>9월 해외출장 - N호텔</t>
        </is>
      </c>
      <c r="J1900" s="92" t="inlineStr">
        <is>
          <t>V10009</t>
        </is>
      </c>
      <c r="K1900" s="92" t="inlineStr">
        <is>
          <t>N호텔</t>
        </is>
      </c>
      <c r="M1900" s="9">
        <f>IF($A1900="","",VALUE($A1900&amp;"")*12+VALUE($B1900&amp;""))</f>
        <v/>
      </c>
      <c r="N1900" s="64">
        <f>IF($A1900="","",IFERROR(INDEX(부서매핑!$C$5:$C$504,MATCH($G1900&amp;"",부서매핑!$A$5:$A$504,0)),"미매핑"))</f>
        <v/>
      </c>
      <c r="O1900" s="9">
        <f>IF($A1900="","",N1900&amp;"|"&amp;$F1900)</f>
        <v/>
      </c>
      <c r="P1900" s="94">
        <f>IF($A1900="",0,$H1900*설정!$C$23)</f>
        <v/>
      </c>
      <c r="Q1900" s="64">
        <f>IF($A1900="","",IF(O1900&lt;&gt;원인분석!$C$9,"",IF(AND(M1900&gt;=원인분석!$C$10,M1900&lt;=원인분석!$C$11),"당기",IF(AND(M1900&gt;=원인분석!$C$12,M1900&lt;=원인분석!$C$13),"비교",""))))</f>
        <v/>
      </c>
      <c r="R1900" s="9">
        <f>IF(Q1900="","",$K1900&amp;"")</f>
        <v/>
      </c>
      <c r="S1900" s="9">
        <f>IF(Q1900="","",IF(MATCH(R1900,$R$5:$R$100000,0)=ROW()-4,ROW(),""))</f>
        <v/>
      </c>
      <c r="T1900" s="9">
        <f>IF(Q1900="당기",ABS(P1900)+ROW()/1000000000,"")</f>
        <v/>
      </c>
      <c r="U1900" s="9">
        <f>IF(Q1900="비교",ABS(P1900)+ROW()/1000000000,"")</f>
        <v/>
      </c>
      <c r="V1900" s="64">
        <f>IF($A1900="","",IF(COUNTIF(변동분석!$E$7:$E$506,O1900)&gt;0,"Y","N"))</f>
        <v/>
      </c>
      <c r="W1900" s="64">
        <f>IF($A1900="","",IFERROR(INDEX(계정매핑!$D$5:$D$504,MATCH($F1900&amp;"",계정매핑!$A$5:$A$504,0)),"미매핑"))</f>
        <v/>
      </c>
      <c r="X1900" s="9">
        <f>IF($A1900="","",$F1900&amp;"")</f>
        <v/>
      </c>
      <c r="Y1900" s="94">
        <f>IF($A1900="",0,IF(AE1900="직접",IF(AF1900="비귀속",$P1900,0),$P1900*(1-AG1900)*IFERROR(INDEX(계정대체기준!$F$20:$F$49,MATCH($N1900,계정대체기준!$A$20:$A$49,0)),1)))</f>
        <v/>
      </c>
      <c r="Z1900" s="94">
        <f>IF($A1900="",0,IF(AE1900="직접",IF(AF1900="신계약비",$P1900,0),$P1900*(1-AG1900)*IFERROR(INDEX(계정대체기준!$C$20:$C$49,MATCH($N1900,계정대체기준!$A$20:$A$49,0)),0)))</f>
        <v/>
      </c>
      <c r="AA1900" s="94">
        <f>IF($A1900="",0,IF(AE1900="직접",IF(OR(AF1900="유지비",AF1900="손해조사비"),$P1900,0),$P1900*(1-AG1900)*IFERROR(INDEX(계정대체기준!$D$20:$D$49,MATCH($N1900,계정대체기준!$A$20:$A$49,0)),0)))</f>
        <v/>
      </c>
      <c r="AB1900" s="94">
        <f>IF($A1900="",0,IF(AE1900="직접",IF(AF1900="수금비",$P1900,0),$P1900*(1-AG1900)*IFERROR(INDEX(계정대체기준!$E$20:$E$49,MATCH($N1900,계정대체기준!$A$20:$A$49,0)),0)))</f>
        <v/>
      </c>
      <c r="AC1900" s="9">
        <f>IF(AND($A1900&lt;&gt;"",M1900=설정!$C$20,Z1900&gt;0),Z1900+ROW()/1000000000,"")</f>
        <v/>
      </c>
      <c r="AD1900" s="94">
        <f>IF($A1900="",0,$P1900*AG1900)</f>
        <v/>
      </c>
      <c r="AE1900" s="64">
        <f>IF($A1900="","",IFERROR(INDEX(계정매핑!$E$5:$E$504,MATCH($F1900&amp;"",계정매핑!$A$5:$A$504,0))&amp;"","공통비"))</f>
        <v/>
      </c>
      <c r="AF1900" s="64">
        <f>IF($A1900="","",IF(AE1900="직접",IFERROR(INDEX(계정매핑!$F$5:$F$504,MATCH($F1900&amp;"",계정매핑!$A$5:$A$504,0))&amp;"","비귀속"),""))</f>
        <v/>
      </c>
      <c r="AG1900" s="96">
        <f>IF($A1900="",0,IF(AND(AE1900&lt;&gt;"직접",IFERROR(INDEX(계정매핑!$G$5:$G$504,MATCH($F1900&amp;"",계정매핑!$A$5:$A$504,0))&amp;"","")="유지비",COUNTIF(계정대체기준!$A$6:$A$15,$N1900)&gt;0),IFERROR(INDEX(계정대체기준!$E$6:$E$15,MATCH(VALUE($A1900&amp;""),계정대체기준!$D$6:$D$15,0)),0),0))</f>
        <v/>
      </c>
      <c r="AH1900" s="64">
        <f>IF($A1900="","",IF(AD1900=0,"",IF(OR(COUNTIF(계정대체기준!$A$77:$A$86,$N1900)&gt;0,ISNUMBER(MATCH($X1900,계정대체기준!$D$77:$D$86,0)),ISNUMBER(MATCH($F1900,계정대체기준!$D$77:$D$86,0))),"Y","N")))</f>
        <v/>
      </c>
    </row>
    <row r="1901">
      <c r="A1901" s="92" t="n">
        <v>2025</v>
      </c>
      <c r="B1901" s="92" t="n">
        <v>9</v>
      </c>
      <c r="C1901" s="92" t="inlineStr">
        <is>
          <t>5100001897</t>
        </is>
      </c>
      <c r="D1901" s="95" t="n">
        <v>45911</v>
      </c>
      <c r="E1901" s="92" t="inlineStr">
        <is>
          <t>KR</t>
        </is>
      </c>
      <c r="F1901" s="92" t="n">
        <v>62201000</v>
      </c>
      <c r="G1901" s="92" t="n">
        <v>1951</v>
      </c>
      <c r="H1901" s="93" t="n">
        <v>217000</v>
      </c>
      <c r="I1901" s="92" t="inlineStr">
        <is>
          <t>9월 통신요금 - P통신</t>
        </is>
      </c>
      <c r="J1901" s="92" t="inlineStr">
        <is>
          <t>V10014</t>
        </is>
      </c>
      <c r="K1901" s="92" t="inlineStr">
        <is>
          <t>P통신</t>
        </is>
      </c>
      <c r="M1901" s="9">
        <f>IF($A1901="","",VALUE($A1901&amp;"")*12+VALUE($B1901&amp;""))</f>
        <v/>
      </c>
      <c r="N1901" s="64">
        <f>IF($A1901="","",IFERROR(INDEX(부서매핑!$C$5:$C$504,MATCH($G1901&amp;"",부서매핑!$A$5:$A$504,0)),"미매핑"))</f>
        <v/>
      </c>
      <c r="O1901" s="9">
        <f>IF($A1901="","",N1901&amp;"|"&amp;$F1901)</f>
        <v/>
      </c>
      <c r="P1901" s="94">
        <f>IF($A1901="",0,$H1901*설정!$C$23)</f>
        <v/>
      </c>
      <c r="Q1901" s="64">
        <f>IF($A1901="","",IF(O1901&lt;&gt;원인분석!$C$9,"",IF(AND(M1901&gt;=원인분석!$C$10,M1901&lt;=원인분석!$C$11),"당기",IF(AND(M1901&gt;=원인분석!$C$12,M1901&lt;=원인분석!$C$13),"비교",""))))</f>
        <v/>
      </c>
      <c r="R1901" s="9">
        <f>IF(Q1901="","",$K1901&amp;"")</f>
        <v/>
      </c>
      <c r="S1901" s="9">
        <f>IF(Q1901="","",IF(MATCH(R1901,$R$5:$R$100000,0)=ROW()-4,ROW(),""))</f>
        <v/>
      </c>
      <c r="T1901" s="9">
        <f>IF(Q1901="당기",ABS(P1901)+ROW()/1000000000,"")</f>
        <v/>
      </c>
      <c r="U1901" s="9">
        <f>IF(Q1901="비교",ABS(P1901)+ROW()/1000000000,"")</f>
        <v/>
      </c>
      <c r="V1901" s="64">
        <f>IF($A1901="","",IF(COUNTIF(변동분석!$E$7:$E$506,O1901)&gt;0,"Y","N"))</f>
        <v/>
      </c>
      <c r="W1901" s="64">
        <f>IF($A1901="","",IFERROR(INDEX(계정매핑!$D$5:$D$504,MATCH($F1901&amp;"",계정매핑!$A$5:$A$504,0)),"미매핑"))</f>
        <v/>
      </c>
      <c r="X1901" s="9">
        <f>IF($A1901="","",$F1901&amp;"")</f>
        <v/>
      </c>
      <c r="Y1901" s="94">
        <f>IF($A1901="",0,IF(AE1901="직접",IF(AF1901="비귀속",$P1901,0),$P1901*(1-AG1901)*IFERROR(INDEX(계정대체기준!$F$20:$F$49,MATCH($N1901,계정대체기준!$A$20:$A$49,0)),1)))</f>
        <v/>
      </c>
      <c r="Z1901" s="94">
        <f>IF($A1901="",0,IF(AE1901="직접",IF(AF1901="신계약비",$P1901,0),$P1901*(1-AG1901)*IFERROR(INDEX(계정대체기준!$C$20:$C$49,MATCH($N1901,계정대체기준!$A$20:$A$49,0)),0)))</f>
        <v/>
      </c>
      <c r="AA1901" s="94">
        <f>IF($A1901="",0,IF(AE1901="직접",IF(OR(AF1901="유지비",AF1901="손해조사비"),$P1901,0),$P1901*(1-AG1901)*IFERROR(INDEX(계정대체기준!$D$20:$D$49,MATCH($N1901,계정대체기준!$A$20:$A$49,0)),0)))</f>
        <v/>
      </c>
      <c r="AB1901" s="94">
        <f>IF($A1901="",0,IF(AE1901="직접",IF(AF1901="수금비",$P1901,0),$P1901*(1-AG1901)*IFERROR(INDEX(계정대체기준!$E$20:$E$49,MATCH($N1901,계정대체기준!$A$20:$A$49,0)),0)))</f>
        <v/>
      </c>
      <c r="AC1901" s="9">
        <f>IF(AND($A1901&lt;&gt;"",M1901=설정!$C$20,Z1901&gt;0),Z1901+ROW()/1000000000,"")</f>
        <v/>
      </c>
      <c r="AD1901" s="94">
        <f>IF($A1901="",0,$P1901*AG1901)</f>
        <v/>
      </c>
      <c r="AE1901" s="64">
        <f>IF($A1901="","",IFERROR(INDEX(계정매핑!$E$5:$E$504,MATCH($F1901&amp;"",계정매핑!$A$5:$A$504,0))&amp;"","공통비"))</f>
        <v/>
      </c>
      <c r="AF1901" s="64">
        <f>IF($A1901="","",IF(AE1901="직접",IFERROR(INDEX(계정매핑!$F$5:$F$504,MATCH($F1901&amp;"",계정매핑!$A$5:$A$504,0))&amp;"","비귀속"),""))</f>
        <v/>
      </c>
      <c r="AG1901" s="96">
        <f>IF($A1901="",0,IF(AND(AE1901&lt;&gt;"직접",IFERROR(INDEX(계정매핑!$G$5:$G$504,MATCH($F1901&amp;"",계정매핑!$A$5:$A$504,0))&amp;"","")="유지비",COUNTIF(계정대체기준!$A$6:$A$15,$N1901)&gt;0),IFERROR(INDEX(계정대체기준!$E$6:$E$15,MATCH(VALUE($A1901&amp;""),계정대체기준!$D$6:$D$15,0)),0),0))</f>
        <v/>
      </c>
      <c r="AH1901" s="64">
        <f>IF($A1901="","",IF(AD1901=0,"",IF(OR(COUNTIF(계정대체기준!$A$77:$A$86,$N1901)&gt;0,ISNUMBER(MATCH($X1901,계정대체기준!$D$77:$D$86,0)),ISNUMBER(MATCH($F1901,계정대체기준!$D$77:$D$86,0))),"Y","N")))</f>
        <v/>
      </c>
    </row>
    <row r="1902">
      <c r="A1902" s="92" t="n">
        <v>2025</v>
      </c>
      <c r="B1902" s="92" t="n">
        <v>9</v>
      </c>
      <c r="C1902" s="92" t="inlineStr">
        <is>
          <t>5100001898</t>
        </is>
      </c>
      <c r="D1902" s="95" t="n">
        <v>45911</v>
      </c>
      <c r="E1902" s="92" t="inlineStr">
        <is>
          <t>KR</t>
        </is>
      </c>
      <c r="F1902" s="92" t="n">
        <v>62501000</v>
      </c>
      <c r="G1902" s="92" t="n">
        <v>1101</v>
      </c>
      <c r="H1902" s="93" t="n">
        <v>448000</v>
      </c>
      <c r="I1902" s="92" t="inlineStr">
        <is>
          <t>9월 회의 다과 - T케이터링</t>
        </is>
      </c>
      <c r="J1902" s="92" t="inlineStr">
        <is>
          <t>V10005</t>
        </is>
      </c>
      <c r="K1902" s="92" t="inlineStr">
        <is>
          <t>T케이터링</t>
        </is>
      </c>
      <c r="M1902" s="9">
        <f>IF($A1902="","",VALUE($A1902&amp;"")*12+VALUE($B1902&amp;""))</f>
        <v/>
      </c>
      <c r="N1902" s="64">
        <f>IF($A1902="","",IFERROR(INDEX(부서매핑!$C$5:$C$504,MATCH($G1902&amp;"",부서매핑!$A$5:$A$504,0)),"미매핑"))</f>
        <v/>
      </c>
      <c r="O1902" s="9">
        <f>IF($A1902="","",N1902&amp;"|"&amp;$F1902)</f>
        <v/>
      </c>
      <c r="P1902" s="94">
        <f>IF($A1902="",0,$H1902*설정!$C$23)</f>
        <v/>
      </c>
      <c r="Q1902" s="64">
        <f>IF($A1902="","",IF(O1902&lt;&gt;원인분석!$C$9,"",IF(AND(M1902&gt;=원인분석!$C$10,M1902&lt;=원인분석!$C$11),"당기",IF(AND(M1902&gt;=원인분석!$C$12,M1902&lt;=원인분석!$C$13),"비교",""))))</f>
        <v/>
      </c>
      <c r="R1902" s="9">
        <f>IF(Q1902="","",$K1902&amp;"")</f>
        <v/>
      </c>
      <c r="S1902" s="9">
        <f>IF(Q1902="","",IF(MATCH(R1902,$R$5:$R$100000,0)=ROW()-4,ROW(),""))</f>
        <v/>
      </c>
      <c r="T1902" s="9">
        <f>IF(Q1902="당기",ABS(P1902)+ROW()/1000000000,"")</f>
        <v/>
      </c>
      <c r="U1902" s="9">
        <f>IF(Q1902="비교",ABS(P1902)+ROW()/1000000000,"")</f>
        <v/>
      </c>
      <c r="V1902" s="64">
        <f>IF($A1902="","",IF(COUNTIF(변동분석!$E$7:$E$506,O1902)&gt;0,"Y","N"))</f>
        <v/>
      </c>
      <c r="W1902" s="64">
        <f>IF($A1902="","",IFERROR(INDEX(계정매핑!$D$5:$D$504,MATCH($F1902&amp;"",계정매핑!$A$5:$A$504,0)),"미매핑"))</f>
        <v/>
      </c>
      <c r="X1902" s="9">
        <f>IF($A1902="","",$F1902&amp;"")</f>
        <v/>
      </c>
      <c r="Y1902" s="94">
        <f>IF($A1902="",0,IF(AE1902="직접",IF(AF1902="비귀속",$P1902,0),$P1902*(1-AG1902)*IFERROR(INDEX(계정대체기준!$F$20:$F$49,MATCH($N1902,계정대체기준!$A$20:$A$49,0)),1)))</f>
        <v/>
      </c>
      <c r="Z1902" s="94">
        <f>IF($A1902="",0,IF(AE1902="직접",IF(AF1902="신계약비",$P1902,0),$P1902*(1-AG1902)*IFERROR(INDEX(계정대체기준!$C$20:$C$49,MATCH($N1902,계정대체기준!$A$20:$A$49,0)),0)))</f>
        <v/>
      </c>
      <c r="AA1902" s="94">
        <f>IF($A1902="",0,IF(AE1902="직접",IF(OR(AF1902="유지비",AF1902="손해조사비"),$P1902,0),$P1902*(1-AG1902)*IFERROR(INDEX(계정대체기준!$D$20:$D$49,MATCH($N1902,계정대체기준!$A$20:$A$49,0)),0)))</f>
        <v/>
      </c>
      <c r="AB1902" s="94">
        <f>IF($A1902="",0,IF(AE1902="직접",IF(AF1902="수금비",$P1902,0),$P1902*(1-AG1902)*IFERROR(INDEX(계정대체기준!$E$20:$E$49,MATCH($N1902,계정대체기준!$A$20:$A$49,0)),0)))</f>
        <v/>
      </c>
      <c r="AC1902" s="9">
        <f>IF(AND($A1902&lt;&gt;"",M1902=설정!$C$20,Z1902&gt;0),Z1902+ROW()/1000000000,"")</f>
        <v/>
      </c>
      <c r="AD1902" s="94">
        <f>IF($A1902="",0,$P1902*AG1902)</f>
        <v/>
      </c>
      <c r="AE1902" s="64">
        <f>IF($A1902="","",IFERROR(INDEX(계정매핑!$E$5:$E$504,MATCH($F1902&amp;"",계정매핑!$A$5:$A$504,0))&amp;"","공통비"))</f>
        <v/>
      </c>
      <c r="AF1902" s="64">
        <f>IF($A1902="","",IF(AE1902="직접",IFERROR(INDEX(계정매핑!$F$5:$F$504,MATCH($F1902&amp;"",계정매핑!$A$5:$A$504,0))&amp;"","비귀속"),""))</f>
        <v/>
      </c>
      <c r="AG1902" s="96">
        <f>IF($A1902="",0,IF(AND(AE1902&lt;&gt;"직접",IFERROR(INDEX(계정매핑!$G$5:$G$504,MATCH($F1902&amp;"",계정매핑!$A$5:$A$504,0))&amp;"","")="유지비",COUNTIF(계정대체기준!$A$6:$A$15,$N1902)&gt;0),IFERROR(INDEX(계정대체기준!$E$6:$E$15,MATCH(VALUE($A1902&amp;""),계정대체기준!$D$6:$D$15,0)),0),0))</f>
        <v/>
      </c>
      <c r="AH1902" s="64">
        <f>IF($A1902="","",IF(AD1902=0,"",IF(OR(COUNTIF(계정대체기준!$A$77:$A$86,$N1902)&gt;0,ISNUMBER(MATCH($X1902,계정대체기준!$D$77:$D$86,0)),ISNUMBER(MATCH($F1902,계정대체기준!$D$77:$D$86,0))),"Y","N")))</f>
        <v/>
      </c>
    </row>
    <row r="1903">
      <c r="A1903" s="92" t="n">
        <v>2025</v>
      </c>
      <c r="B1903" s="92" t="n">
        <v>9</v>
      </c>
      <c r="C1903" s="92" t="inlineStr">
        <is>
          <t>5100001899</t>
        </is>
      </c>
      <c r="D1903" s="95" t="n">
        <v>45911</v>
      </c>
      <c r="E1903" s="92" t="inlineStr">
        <is>
          <t>KR</t>
        </is>
      </c>
      <c r="F1903" s="92" t="n">
        <v>62902000</v>
      </c>
      <c r="G1903" s="92" t="n">
        <v>1801</v>
      </c>
      <c r="H1903" s="93" t="n">
        <v>1854000</v>
      </c>
      <c r="I1903" s="92" t="inlineStr">
        <is>
          <t>9월 콜 위탁 수수료(건별)</t>
        </is>
      </c>
      <c r="J1903" s="92" t="inlineStr">
        <is>
          <t>V10016</t>
        </is>
      </c>
      <c r="K1903" s="92" t="inlineStr">
        <is>
          <t>J콜센터</t>
        </is>
      </c>
      <c r="M1903" s="9">
        <f>IF($A1903="","",VALUE($A1903&amp;"")*12+VALUE($B1903&amp;""))</f>
        <v/>
      </c>
      <c r="N1903" s="64">
        <f>IF($A1903="","",IFERROR(INDEX(부서매핑!$C$5:$C$504,MATCH($G1903&amp;"",부서매핑!$A$5:$A$504,0)),"미매핑"))</f>
        <v/>
      </c>
      <c r="O1903" s="9">
        <f>IF($A1903="","",N1903&amp;"|"&amp;$F1903)</f>
        <v/>
      </c>
      <c r="P1903" s="94">
        <f>IF($A1903="",0,$H1903*설정!$C$23)</f>
        <v/>
      </c>
      <c r="Q1903" s="64">
        <f>IF($A1903="","",IF(O1903&lt;&gt;원인분석!$C$9,"",IF(AND(M1903&gt;=원인분석!$C$10,M1903&lt;=원인분석!$C$11),"당기",IF(AND(M1903&gt;=원인분석!$C$12,M1903&lt;=원인분석!$C$13),"비교",""))))</f>
        <v/>
      </c>
      <c r="R1903" s="9">
        <f>IF(Q1903="","",$K1903&amp;"")</f>
        <v/>
      </c>
      <c r="S1903" s="9">
        <f>IF(Q1903="","",IF(MATCH(R1903,$R$5:$R$100000,0)=ROW()-4,ROW(),""))</f>
        <v/>
      </c>
      <c r="T1903" s="9">
        <f>IF(Q1903="당기",ABS(P1903)+ROW()/1000000000,"")</f>
        <v/>
      </c>
      <c r="U1903" s="9">
        <f>IF(Q1903="비교",ABS(P1903)+ROW()/1000000000,"")</f>
        <v/>
      </c>
      <c r="V1903" s="64">
        <f>IF($A1903="","",IF(COUNTIF(변동분석!$E$7:$E$506,O1903)&gt;0,"Y","N"))</f>
        <v/>
      </c>
      <c r="W1903" s="64">
        <f>IF($A1903="","",IFERROR(INDEX(계정매핑!$D$5:$D$504,MATCH($F1903&amp;"",계정매핑!$A$5:$A$504,0)),"미매핑"))</f>
        <v/>
      </c>
      <c r="X1903" s="9">
        <f>IF($A1903="","",$F1903&amp;"")</f>
        <v/>
      </c>
      <c r="Y1903" s="94">
        <f>IF($A1903="",0,IF(AE1903="직접",IF(AF1903="비귀속",$P1903,0),$P1903*(1-AG1903)*IFERROR(INDEX(계정대체기준!$F$20:$F$49,MATCH($N1903,계정대체기준!$A$20:$A$49,0)),1)))</f>
        <v/>
      </c>
      <c r="Z1903" s="94">
        <f>IF($A1903="",0,IF(AE1903="직접",IF(AF1903="신계약비",$P1903,0),$P1903*(1-AG1903)*IFERROR(INDEX(계정대체기준!$C$20:$C$49,MATCH($N1903,계정대체기준!$A$20:$A$49,0)),0)))</f>
        <v/>
      </c>
      <c r="AA1903" s="94">
        <f>IF($A1903="",0,IF(AE1903="직접",IF(OR(AF1903="유지비",AF1903="손해조사비"),$P1903,0),$P1903*(1-AG1903)*IFERROR(INDEX(계정대체기준!$D$20:$D$49,MATCH($N1903,계정대체기준!$A$20:$A$49,0)),0)))</f>
        <v/>
      </c>
      <c r="AB1903" s="94">
        <f>IF($A1903="",0,IF(AE1903="직접",IF(AF1903="수금비",$P1903,0),$P1903*(1-AG1903)*IFERROR(INDEX(계정대체기준!$E$20:$E$49,MATCH($N1903,계정대체기준!$A$20:$A$49,0)),0)))</f>
        <v/>
      </c>
      <c r="AC1903" s="9">
        <f>IF(AND($A1903&lt;&gt;"",M1903=설정!$C$20,Z1903&gt;0),Z1903+ROW()/1000000000,"")</f>
        <v/>
      </c>
      <c r="AD1903" s="94">
        <f>IF($A1903="",0,$P1903*AG1903)</f>
        <v/>
      </c>
      <c r="AE1903" s="64">
        <f>IF($A1903="","",IFERROR(INDEX(계정매핑!$E$5:$E$504,MATCH($F1903&amp;"",계정매핑!$A$5:$A$504,0))&amp;"","공통비"))</f>
        <v/>
      </c>
      <c r="AF1903" s="64">
        <f>IF($A1903="","",IF(AE1903="직접",IFERROR(INDEX(계정매핑!$F$5:$F$504,MATCH($F1903&amp;"",계정매핑!$A$5:$A$504,0))&amp;"","비귀속"),""))</f>
        <v/>
      </c>
      <c r="AG1903" s="96">
        <f>IF($A1903="",0,IF(AND(AE1903&lt;&gt;"직접",IFERROR(INDEX(계정매핑!$G$5:$G$504,MATCH($F1903&amp;"",계정매핑!$A$5:$A$504,0))&amp;"","")="유지비",COUNTIF(계정대체기준!$A$6:$A$15,$N1903)&gt;0),IFERROR(INDEX(계정대체기준!$E$6:$E$15,MATCH(VALUE($A1903&amp;""),계정대체기준!$D$6:$D$15,0)),0),0))</f>
        <v/>
      </c>
      <c r="AH1903" s="64">
        <f>IF($A1903="","",IF(AD1903=0,"",IF(OR(COUNTIF(계정대체기준!$A$77:$A$86,$N1903)&gt;0,ISNUMBER(MATCH($X1903,계정대체기준!$D$77:$D$86,0)),ISNUMBER(MATCH($F1903,계정대체기준!$D$77:$D$86,0))),"Y","N")))</f>
        <v/>
      </c>
    </row>
    <row r="1904">
      <c r="A1904" s="92" t="n">
        <v>2025</v>
      </c>
      <c r="B1904" s="92" t="n">
        <v>9</v>
      </c>
      <c r="C1904" s="92" t="inlineStr">
        <is>
          <t>5100001900</t>
        </is>
      </c>
      <c r="D1904" s="95" t="n">
        <v>45911</v>
      </c>
      <c r="E1904" s="92" t="inlineStr">
        <is>
          <t>KR</t>
        </is>
      </c>
      <c r="F1904" s="92" t="n">
        <v>62902000</v>
      </c>
      <c r="G1904" s="92" t="n">
        <v>1801</v>
      </c>
      <c r="H1904" s="93" t="n">
        <v>3000000</v>
      </c>
      <c r="I1904" s="92" t="inlineStr">
        <is>
          <t>9월 업무 위탁 수수료 - X서비스</t>
        </is>
      </c>
      <c r="J1904" s="92" t="inlineStr">
        <is>
          <t>V10020</t>
        </is>
      </c>
      <c r="K1904" s="92" t="inlineStr">
        <is>
          <t>X서비스</t>
        </is>
      </c>
      <c r="M1904" s="9">
        <f>IF($A1904="","",VALUE($A1904&amp;"")*12+VALUE($B1904&amp;""))</f>
        <v/>
      </c>
      <c r="N1904" s="64">
        <f>IF($A1904="","",IFERROR(INDEX(부서매핑!$C$5:$C$504,MATCH($G1904&amp;"",부서매핑!$A$5:$A$504,0)),"미매핑"))</f>
        <v/>
      </c>
      <c r="O1904" s="9">
        <f>IF($A1904="","",N1904&amp;"|"&amp;$F1904)</f>
        <v/>
      </c>
      <c r="P1904" s="94">
        <f>IF($A1904="",0,$H1904*설정!$C$23)</f>
        <v/>
      </c>
      <c r="Q1904" s="64">
        <f>IF($A1904="","",IF(O1904&lt;&gt;원인분석!$C$9,"",IF(AND(M1904&gt;=원인분석!$C$10,M1904&lt;=원인분석!$C$11),"당기",IF(AND(M1904&gt;=원인분석!$C$12,M1904&lt;=원인분석!$C$13),"비교",""))))</f>
        <v/>
      </c>
      <c r="R1904" s="9">
        <f>IF(Q1904="","",$K1904&amp;"")</f>
        <v/>
      </c>
      <c r="S1904" s="9">
        <f>IF(Q1904="","",IF(MATCH(R1904,$R$5:$R$100000,0)=ROW()-4,ROW(),""))</f>
        <v/>
      </c>
      <c r="T1904" s="9">
        <f>IF(Q1904="당기",ABS(P1904)+ROW()/1000000000,"")</f>
        <v/>
      </c>
      <c r="U1904" s="9">
        <f>IF(Q1904="비교",ABS(P1904)+ROW()/1000000000,"")</f>
        <v/>
      </c>
      <c r="V1904" s="64">
        <f>IF($A1904="","",IF(COUNTIF(변동분석!$E$7:$E$506,O1904)&gt;0,"Y","N"))</f>
        <v/>
      </c>
      <c r="W1904" s="64">
        <f>IF($A1904="","",IFERROR(INDEX(계정매핑!$D$5:$D$504,MATCH($F1904&amp;"",계정매핑!$A$5:$A$504,0)),"미매핑"))</f>
        <v/>
      </c>
      <c r="X1904" s="9">
        <f>IF($A1904="","",$F1904&amp;"")</f>
        <v/>
      </c>
      <c r="Y1904" s="94">
        <f>IF($A1904="",0,IF(AE1904="직접",IF(AF1904="비귀속",$P1904,0),$P1904*(1-AG1904)*IFERROR(INDEX(계정대체기준!$F$20:$F$49,MATCH($N1904,계정대체기준!$A$20:$A$49,0)),1)))</f>
        <v/>
      </c>
      <c r="Z1904" s="94">
        <f>IF($A1904="",0,IF(AE1904="직접",IF(AF1904="신계약비",$P1904,0),$P1904*(1-AG1904)*IFERROR(INDEX(계정대체기준!$C$20:$C$49,MATCH($N1904,계정대체기준!$A$20:$A$49,0)),0)))</f>
        <v/>
      </c>
      <c r="AA1904" s="94">
        <f>IF($A1904="",0,IF(AE1904="직접",IF(OR(AF1904="유지비",AF1904="손해조사비"),$P1904,0),$P1904*(1-AG1904)*IFERROR(INDEX(계정대체기준!$D$20:$D$49,MATCH($N1904,계정대체기준!$A$20:$A$49,0)),0)))</f>
        <v/>
      </c>
      <c r="AB1904" s="94">
        <f>IF($A1904="",0,IF(AE1904="직접",IF(AF1904="수금비",$P1904,0),$P1904*(1-AG1904)*IFERROR(INDEX(계정대체기준!$E$20:$E$49,MATCH($N1904,계정대체기준!$A$20:$A$49,0)),0)))</f>
        <v/>
      </c>
      <c r="AC1904" s="9">
        <f>IF(AND($A1904&lt;&gt;"",M1904=설정!$C$20,Z1904&gt;0),Z1904+ROW()/1000000000,"")</f>
        <v/>
      </c>
      <c r="AD1904" s="94">
        <f>IF($A1904="",0,$P1904*AG1904)</f>
        <v/>
      </c>
      <c r="AE1904" s="64">
        <f>IF($A1904="","",IFERROR(INDEX(계정매핑!$E$5:$E$504,MATCH($F1904&amp;"",계정매핑!$A$5:$A$504,0))&amp;"","공통비"))</f>
        <v/>
      </c>
      <c r="AF1904" s="64">
        <f>IF($A1904="","",IF(AE1904="직접",IFERROR(INDEX(계정매핑!$F$5:$F$504,MATCH($F1904&amp;"",계정매핑!$A$5:$A$504,0))&amp;"","비귀속"),""))</f>
        <v/>
      </c>
      <c r="AG1904" s="96">
        <f>IF($A1904="",0,IF(AND(AE1904&lt;&gt;"직접",IFERROR(INDEX(계정매핑!$G$5:$G$504,MATCH($F1904&amp;"",계정매핑!$A$5:$A$504,0))&amp;"","")="유지비",COUNTIF(계정대체기준!$A$6:$A$15,$N1904)&gt;0),IFERROR(INDEX(계정대체기준!$E$6:$E$15,MATCH(VALUE($A1904&amp;""),계정대체기준!$D$6:$D$15,0)),0),0))</f>
        <v/>
      </c>
      <c r="AH1904" s="64">
        <f>IF($A1904="","",IF(AD1904=0,"",IF(OR(COUNTIF(계정대체기준!$A$77:$A$86,$N1904)&gt;0,ISNUMBER(MATCH($X1904,계정대체기준!$D$77:$D$86,0)),ISNUMBER(MATCH($F1904,계정대체기준!$D$77:$D$86,0))),"Y","N")))</f>
        <v/>
      </c>
    </row>
    <row r="1905">
      <c r="A1905" s="92" t="n">
        <v>2025</v>
      </c>
      <c r="B1905" s="92" t="n">
        <v>9</v>
      </c>
      <c r="C1905" s="92" t="inlineStr">
        <is>
          <t>5100001901</t>
        </is>
      </c>
      <c r="D1905" s="95" t="n">
        <v>45911</v>
      </c>
      <c r="E1905" s="92" t="inlineStr">
        <is>
          <t>KR</t>
        </is>
      </c>
      <c r="F1905" s="92" t="n">
        <v>63001000</v>
      </c>
      <c r="G1905" s="92" t="n">
        <v>1701</v>
      </c>
      <c r="H1905" s="93" t="n">
        <v>48246000</v>
      </c>
      <c r="I1905" s="92" t="inlineStr">
        <is>
          <t>9월 SW 유지보수 - Z시스템</t>
        </is>
      </c>
      <c r="J1905" s="92" t="inlineStr">
        <is>
          <t>V10012</t>
        </is>
      </c>
      <c r="K1905" s="92" t="inlineStr">
        <is>
          <t>Z시스템</t>
        </is>
      </c>
      <c r="M1905" s="9">
        <f>IF($A1905="","",VALUE($A1905&amp;"")*12+VALUE($B1905&amp;""))</f>
        <v/>
      </c>
      <c r="N1905" s="64">
        <f>IF($A1905="","",IFERROR(INDEX(부서매핑!$C$5:$C$504,MATCH($G1905&amp;"",부서매핑!$A$5:$A$504,0)),"미매핑"))</f>
        <v/>
      </c>
      <c r="O1905" s="9">
        <f>IF($A1905="","",N1905&amp;"|"&amp;$F1905)</f>
        <v/>
      </c>
      <c r="P1905" s="94">
        <f>IF($A1905="",0,$H1905*설정!$C$23)</f>
        <v/>
      </c>
      <c r="Q1905" s="64">
        <f>IF($A1905="","",IF(O1905&lt;&gt;원인분석!$C$9,"",IF(AND(M1905&gt;=원인분석!$C$10,M1905&lt;=원인분석!$C$11),"당기",IF(AND(M1905&gt;=원인분석!$C$12,M1905&lt;=원인분석!$C$13),"비교",""))))</f>
        <v/>
      </c>
      <c r="R1905" s="9">
        <f>IF(Q1905="","",$K1905&amp;"")</f>
        <v/>
      </c>
      <c r="S1905" s="9">
        <f>IF(Q1905="","",IF(MATCH(R1905,$R$5:$R$100000,0)=ROW()-4,ROW(),""))</f>
        <v/>
      </c>
      <c r="T1905" s="9">
        <f>IF(Q1905="당기",ABS(P1905)+ROW()/1000000000,"")</f>
        <v/>
      </c>
      <c r="U1905" s="9">
        <f>IF(Q1905="비교",ABS(P1905)+ROW()/1000000000,"")</f>
        <v/>
      </c>
      <c r="V1905" s="64">
        <f>IF($A1905="","",IF(COUNTIF(변동분석!$E$7:$E$506,O1905)&gt;0,"Y","N"))</f>
        <v/>
      </c>
      <c r="W1905" s="64">
        <f>IF($A1905="","",IFERROR(INDEX(계정매핑!$D$5:$D$504,MATCH($F1905&amp;"",계정매핑!$A$5:$A$504,0)),"미매핑"))</f>
        <v/>
      </c>
      <c r="X1905" s="9">
        <f>IF($A1905="","",$F1905&amp;"")</f>
        <v/>
      </c>
      <c r="Y1905" s="94">
        <f>IF($A1905="",0,IF(AE1905="직접",IF(AF1905="비귀속",$P1905,0),$P1905*(1-AG1905)*IFERROR(INDEX(계정대체기준!$F$20:$F$49,MATCH($N1905,계정대체기준!$A$20:$A$49,0)),1)))</f>
        <v/>
      </c>
      <c r="Z1905" s="94">
        <f>IF($A1905="",0,IF(AE1905="직접",IF(AF1905="신계약비",$P1905,0),$P1905*(1-AG1905)*IFERROR(INDEX(계정대체기준!$C$20:$C$49,MATCH($N1905,계정대체기준!$A$20:$A$49,0)),0)))</f>
        <v/>
      </c>
      <c r="AA1905" s="94">
        <f>IF($A1905="",0,IF(AE1905="직접",IF(OR(AF1905="유지비",AF1905="손해조사비"),$P1905,0),$P1905*(1-AG1905)*IFERROR(INDEX(계정대체기준!$D$20:$D$49,MATCH($N1905,계정대체기준!$A$20:$A$49,0)),0)))</f>
        <v/>
      </c>
      <c r="AB1905" s="94">
        <f>IF($A1905="",0,IF(AE1905="직접",IF(AF1905="수금비",$P1905,0),$P1905*(1-AG1905)*IFERROR(INDEX(계정대체기준!$E$20:$E$49,MATCH($N1905,계정대체기준!$A$20:$A$49,0)),0)))</f>
        <v/>
      </c>
      <c r="AC1905" s="9">
        <f>IF(AND($A1905&lt;&gt;"",M1905=설정!$C$20,Z1905&gt;0),Z1905+ROW()/1000000000,"")</f>
        <v/>
      </c>
      <c r="AD1905" s="94">
        <f>IF($A1905="",0,$P1905*AG1905)</f>
        <v/>
      </c>
      <c r="AE1905" s="64">
        <f>IF($A1905="","",IFERROR(INDEX(계정매핑!$E$5:$E$504,MATCH($F1905&amp;"",계정매핑!$A$5:$A$504,0))&amp;"","공통비"))</f>
        <v/>
      </c>
      <c r="AF1905" s="64">
        <f>IF($A1905="","",IF(AE1905="직접",IFERROR(INDEX(계정매핑!$F$5:$F$504,MATCH($F1905&amp;"",계정매핑!$A$5:$A$504,0))&amp;"","비귀속"),""))</f>
        <v/>
      </c>
      <c r="AG1905" s="96">
        <f>IF($A1905="",0,IF(AND(AE1905&lt;&gt;"직접",IFERROR(INDEX(계정매핑!$G$5:$G$504,MATCH($F1905&amp;"",계정매핑!$A$5:$A$504,0))&amp;"","")="유지비",COUNTIF(계정대체기준!$A$6:$A$15,$N1905)&gt;0),IFERROR(INDEX(계정대체기준!$E$6:$E$15,MATCH(VALUE($A1905&amp;""),계정대체기준!$D$6:$D$15,0)),0),0))</f>
        <v/>
      </c>
      <c r="AH1905" s="64">
        <f>IF($A1905="","",IF(AD1905=0,"",IF(OR(COUNTIF(계정대체기준!$A$77:$A$86,$N1905)&gt;0,ISNUMBER(MATCH($X1905,계정대체기준!$D$77:$D$86,0)),ISNUMBER(MATCH($F1905,계정대체기준!$D$77:$D$86,0))),"Y","N")))</f>
        <v/>
      </c>
    </row>
    <row r="1906">
      <c r="A1906" s="92" t="n">
        <v>2025</v>
      </c>
      <c r="B1906" s="92" t="n">
        <v>9</v>
      </c>
      <c r="C1906" s="92" t="inlineStr">
        <is>
          <t>5100001902</t>
        </is>
      </c>
      <c r="D1906" s="95" t="n">
        <v>45911</v>
      </c>
      <c r="E1906" s="92" t="inlineStr">
        <is>
          <t>KR</t>
        </is>
      </c>
      <c r="F1906" s="92" t="n">
        <v>63501000</v>
      </c>
      <c r="G1906" s="92" t="n">
        <v>1902</v>
      </c>
      <c r="H1906" s="93" t="n">
        <v>392766000</v>
      </c>
      <c r="I1906" s="92" t="inlineStr">
        <is>
          <t>9월 모집수수료 - (전속설계사)</t>
        </is>
      </c>
      <c r="J1906" s="92" t="inlineStr">
        <is>
          <t>V10021</t>
        </is>
      </c>
      <c r="K1906" s="92" t="inlineStr">
        <is>
          <t>(전속설계사)</t>
        </is>
      </c>
      <c r="M1906" s="9">
        <f>IF($A1906="","",VALUE($A1906&amp;"")*12+VALUE($B1906&amp;""))</f>
        <v/>
      </c>
      <c r="N1906" s="64">
        <f>IF($A1906="","",IFERROR(INDEX(부서매핑!$C$5:$C$504,MATCH($G1906&amp;"",부서매핑!$A$5:$A$504,0)),"미매핑"))</f>
        <v/>
      </c>
      <c r="O1906" s="9">
        <f>IF($A1906="","",N1906&amp;"|"&amp;$F1906)</f>
        <v/>
      </c>
      <c r="P1906" s="94">
        <f>IF($A1906="",0,$H1906*설정!$C$23)</f>
        <v/>
      </c>
      <c r="Q1906" s="64">
        <f>IF($A1906="","",IF(O1906&lt;&gt;원인분석!$C$9,"",IF(AND(M1906&gt;=원인분석!$C$10,M1906&lt;=원인분석!$C$11),"당기",IF(AND(M1906&gt;=원인분석!$C$12,M1906&lt;=원인분석!$C$13),"비교",""))))</f>
        <v/>
      </c>
      <c r="R1906" s="9">
        <f>IF(Q1906="","",$K1906&amp;"")</f>
        <v/>
      </c>
      <c r="S1906" s="9">
        <f>IF(Q1906="","",IF(MATCH(R1906,$R$5:$R$100000,0)=ROW()-4,ROW(),""))</f>
        <v/>
      </c>
      <c r="T1906" s="9">
        <f>IF(Q1906="당기",ABS(P1906)+ROW()/1000000000,"")</f>
        <v/>
      </c>
      <c r="U1906" s="9">
        <f>IF(Q1906="비교",ABS(P1906)+ROW()/1000000000,"")</f>
        <v/>
      </c>
      <c r="V1906" s="64">
        <f>IF($A1906="","",IF(COUNTIF(변동분석!$E$7:$E$506,O1906)&gt;0,"Y","N"))</f>
        <v/>
      </c>
      <c r="W1906" s="64">
        <f>IF($A1906="","",IFERROR(INDEX(계정매핑!$D$5:$D$504,MATCH($F1906&amp;"",계정매핑!$A$5:$A$504,0)),"미매핑"))</f>
        <v/>
      </c>
      <c r="X1906" s="9">
        <f>IF($A1906="","",$F1906&amp;"")</f>
        <v/>
      </c>
      <c r="Y1906" s="94">
        <f>IF($A1906="",0,IF(AE1906="직접",IF(AF1906="비귀속",$P1906,0),$P1906*(1-AG1906)*IFERROR(INDEX(계정대체기준!$F$20:$F$49,MATCH($N1906,계정대체기준!$A$20:$A$49,0)),1)))</f>
        <v/>
      </c>
      <c r="Z1906" s="94">
        <f>IF($A1906="",0,IF(AE1906="직접",IF(AF1906="신계약비",$P1906,0),$P1906*(1-AG1906)*IFERROR(INDEX(계정대체기준!$C$20:$C$49,MATCH($N1906,계정대체기준!$A$20:$A$49,0)),0)))</f>
        <v/>
      </c>
      <c r="AA1906" s="94">
        <f>IF($A1906="",0,IF(AE1906="직접",IF(OR(AF1906="유지비",AF1906="손해조사비"),$P1906,0),$P1906*(1-AG1906)*IFERROR(INDEX(계정대체기준!$D$20:$D$49,MATCH($N1906,계정대체기준!$A$20:$A$49,0)),0)))</f>
        <v/>
      </c>
      <c r="AB1906" s="94">
        <f>IF($A1906="",0,IF(AE1906="직접",IF(AF1906="수금비",$P1906,0),$P1906*(1-AG1906)*IFERROR(INDEX(계정대체기준!$E$20:$E$49,MATCH($N1906,계정대체기준!$A$20:$A$49,0)),0)))</f>
        <v/>
      </c>
      <c r="AC1906" s="9">
        <f>IF(AND($A1906&lt;&gt;"",M1906=설정!$C$20,Z1906&gt;0),Z1906+ROW()/1000000000,"")</f>
        <v/>
      </c>
      <c r="AD1906" s="94">
        <f>IF($A1906="",0,$P1906*AG1906)</f>
        <v/>
      </c>
      <c r="AE1906" s="64">
        <f>IF($A1906="","",IFERROR(INDEX(계정매핑!$E$5:$E$504,MATCH($F1906&amp;"",계정매핑!$A$5:$A$504,0))&amp;"","공통비"))</f>
        <v/>
      </c>
      <c r="AF1906" s="64">
        <f>IF($A1906="","",IF(AE1906="직접",IFERROR(INDEX(계정매핑!$F$5:$F$504,MATCH($F1906&amp;"",계정매핑!$A$5:$A$504,0))&amp;"","비귀속"),""))</f>
        <v/>
      </c>
      <c r="AG1906" s="96">
        <f>IF($A1906="",0,IF(AND(AE1906&lt;&gt;"직접",IFERROR(INDEX(계정매핑!$G$5:$G$504,MATCH($F1906&amp;"",계정매핑!$A$5:$A$504,0))&amp;"","")="유지비",COUNTIF(계정대체기준!$A$6:$A$15,$N1906)&gt;0),IFERROR(INDEX(계정대체기준!$E$6:$E$15,MATCH(VALUE($A1906&amp;""),계정대체기준!$D$6:$D$15,0)),0),0))</f>
        <v/>
      </c>
      <c r="AH1906" s="64">
        <f>IF($A1906="","",IF(AD1906=0,"",IF(OR(COUNTIF(계정대체기준!$A$77:$A$86,$N1906)&gt;0,ISNUMBER(MATCH($X1906,계정대체기준!$D$77:$D$86,0)),ISNUMBER(MATCH($F1906,계정대체기준!$D$77:$D$86,0))),"Y","N")))</f>
        <v/>
      </c>
    </row>
    <row r="1907">
      <c r="A1907" s="92" t="n">
        <v>2025</v>
      </c>
      <c r="B1907" s="92" t="n">
        <v>9</v>
      </c>
      <c r="C1907" s="92" t="inlineStr">
        <is>
          <t>5100001903</t>
        </is>
      </c>
      <c r="D1907" s="95" t="n">
        <v>45912</v>
      </c>
      <c r="E1907" s="92" t="inlineStr">
        <is>
          <t>KR</t>
        </is>
      </c>
      <c r="F1907" s="92" t="n">
        <v>62101000</v>
      </c>
      <c r="G1907" s="92" t="n">
        <v>1201</v>
      </c>
      <c r="H1907" s="93" t="n">
        <v>167000</v>
      </c>
      <c r="I1907" s="92" t="inlineStr">
        <is>
          <t>9월 국내출장 - L여행사</t>
        </is>
      </c>
      <c r="J1907" s="92" t="inlineStr">
        <is>
          <t>V10018</t>
        </is>
      </c>
      <c r="K1907" s="92" t="inlineStr">
        <is>
          <t>L여행사</t>
        </is>
      </c>
      <c r="M1907" s="9">
        <f>IF($A1907="","",VALUE($A1907&amp;"")*12+VALUE($B1907&amp;""))</f>
        <v/>
      </c>
      <c r="N1907" s="64">
        <f>IF($A1907="","",IFERROR(INDEX(부서매핑!$C$5:$C$504,MATCH($G1907&amp;"",부서매핑!$A$5:$A$504,0)),"미매핑"))</f>
        <v/>
      </c>
      <c r="O1907" s="9">
        <f>IF($A1907="","",N1907&amp;"|"&amp;$F1907)</f>
        <v/>
      </c>
      <c r="P1907" s="94">
        <f>IF($A1907="",0,$H1907*설정!$C$23)</f>
        <v/>
      </c>
      <c r="Q1907" s="64">
        <f>IF($A1907="","",IF(O1907&lt;&gt;원인분석!$C$9,"",IF(AND(M1907&gt;=원인분석!$C$10,M1907&lt;=원인분석!$C$11),"당기",IF(AND(M1907&gt;=원인분석!$C$12,M1907&lt;=원인분석!$C$13),"비교",""))))</f>
        <v/>
      </c>
      <c r="R1907" s="9">
        <f>IF(Q1907="","",$K1907&amp;"")</f>
        <v/>
      </c>
      <c r="S1907" s="9">
        <f>IF(Q1907="","",IF(MATCH(R1907,$R$5:$R$100000,0)=ROW()-4,ROW(),""))</f>
        <v/>
      </c>
      <c r="T1907" s="9">
        <f>IF(Q1907="당기",ABS(P1907)+ROW()/1000000000,"")</f>
        <v/>
      </c>
      <c r="U1907" s="9">
        <f>IF(Q1907="비교",ABS(P1907)+ROW()/1000000000,"")</f>
        <v/>
      </c>
      <c r="V1907" s="64">
        <f>IF($A1907="","",IF(COUNTIF(변동분석!$E$7:$E$506,O1907)&gt;0,"Y","N"))</f>
        <v/>
      </c>
      <c r="W1907" s="64">
        <f>IF($A1907="","",IFERROR(INDEX(계정매핑!$D$5:$D$504,MATCH($F1907&amp;"",계정매핑!$A$5:$A$504,0)),"미매핑"))</f>
        <v/>
      </c>
      <c r="X1907" s="9">
        <f>IF($A1907="","",$F1907&amp;"")</f>
        <v/>
      </c>
      <c r="Y1907" s="94">
        <f>IF($A1907="",0,IF(AE1907="직접",IF(AF1907="비귀속",$P1907,0),$P1907*(1-AG1907)*IFERROR(INDEX(계정대체기준!$F$20:$F$49,MATCH($N1907,계정대체기준!$A$20:$A$49,0)),1)))</f>
        <v/>
      </c>
      <c r="Z1907" s="94">
        <f>IF($A1907="",0,IF(AE1907="직접",IF(AF1907="신계약비",$P1907,0),$P1907*(1-AG1907)*IFERROR(INDEX(계정대체기준!$C$20:$C$49,MATCH($N1907,계정대체기준!$A$20:$A$49,0)),0)))</f>
        <v/>
      </c>
      <c r="AA1907" s="94">
        <f>IF($A1907="",0,IF(AE1907="직접",IF(OR(AF1907="유지비",AF1907="손해조사비"),$P1907,0),$P1907*(1-AG1907)*IFERROR(INDEX(계정대체기준!$D$20:$D$49,MATCH($N1907,계정대체기준!$A$20:$A$49,0)),0)))</f>
        <v/>
      </c>
      <c r="AB1907" s="94">
        <f>IF($A1907="",0,IF(AE1907="직접",IF(AF1907="수금비",$P1907,0),$P1907*(1-AG1907)*IFERROR(INDEX(계정대체기준!$E$20:$E$49,MATCH($N1907,계정대체기준!$A$20:$A$49,0)),0)))</f>
        <v/>
      </c>
      <c r="AC1907" s="9">
        <f>IF(AND($A1907&lt;&gt;"",M1907=설정!$C$20,Z1907&gt;0),Z1907+ROW()/1000000000,"")</f>
        <v/>
      </c>
      <c r="AD1907" s="94">
        <f>IF($A1907="",0,$P1907*AG1907)</f>
        <v/>
      </c>
      <c r="AE1907" s="64">
        <f>IF($A1907="","",IFERROR(INDEX(계정매핑!$E$5:$E$504,MATCH($F1907&amp;"",계정매핑!$A$5:$A$504,0))&amp;"","공통비"))</f>
        <v/>
      </c>
      <c r="AF1907" s="64">
        <f>IF($A1907="","",IF(AE1907="직접",IFERROR(INDEX(계정매핑!$F$5:$F$504,MATCH($F1907&amp;"",계정매핑!$A$5:$A$504,0))&amp;"","비귀속"),""))</f>
        <v/>
      </c>
      <c r="AG1907" s="96">
        <f>IF($A1907="",0,IF(AND(AE1907&lt;&gt;"직접",IFERROR(INDEX(계정매핑!$G$5:$G$504,MATCH($F1907&amp;"",계정매핑!$A$5:$A$504,0))&amp;"","")="유지비",COUNTIF(계정대체기준!$A$6:$A$15,$N1907)&gt;0),IFERROR(INDEX(계정대체기준!$E$6:$E$15,MATCH(VALUE($A1907&amp;""),계정대체기준!$D$6:$D$15,0)),0),0))</f>
        <v/>
      </c>
      <c r="AH1907" s="64">
        <f>IF($A1907="","",IF(AD1907=0,"",IF(OR(COUNTIF(계정대체기준!$A$77:$A$86,$N1907)&gt;0,ISNUMBER(MATCH($X1907,계정대체기준!$D$77:$D$86,0)),ISNUMBER(MATCH($F1907,계정대체기준!$D$77:$D$86,0))),"Y","N")))</f>
        <v/>
      </c>
    </row>
    <row r="1908">
      <c r="A1908" s="92" t="n">
        <v>2025</v>
      </c>
      <c r="B1908" s="92" t="n">
        <v>9</v>
      </c>
      <c r="C1908" s="92" t="inlineStr">
        <is>
          <t>5100001904</t>
        </is>
      </c>
      <c r="D1908" s="95" t="n">
        <v>45912</v>
      </c>
      <c r="E1908" s="92" t="inlineStr">
        <is>
          <t>KR</t>
        </is>
      </c>
      <c r="F1908" s="92" t="n">
        <v>62101000</v>
      </c>
      <c r="G1908" s="92" t="n">
        <v>1401</v>
      </c>
      <c r="H1908" s="93" t="n">
        <v>353000</v>
      </c>
      <c r="I1908" s="92" t="inlineStr">
        <is>
          <t>9월 국내출장 - L여행사</t>
        </is>
      </c>
      <c r="J1908" s="92" t="inlineStr">
        <is>
          <t>V10018</t>
        </is>
      </c>
      <c r="K1908" s="92" t="inlineStr">
        <is>
          <t>L여행사</t>
        </is>
      </c>
      <c r="M1908" s="9">
        <f>IF($A1908="","",VALUE($A1908&amp;"")*12+VALUE($B1908&amp;""))</f>
        <v/>
      </c>
      <c r="N1908" s="64">
        <f>IF($A1908="","",IFERROR(INDEX(부서매핑!$C$5:$C$504,MATCH($G1908&amp;"",부서매핑!$A$5:$A$504,0)),"미매핑"))</f>
        <v/>
      </c>
      <c r="O1908" s="9">
        <f>IF($A1908="","",N1908&amp;"|"&amp;$F1908)</f>
        <v/>
      </c>
      <c r="P1908" s="94">
        <f>IF($A1908="",0,$H1908*설정!$C$23)</f>
        <v/>
      </c>
      <c r="Q1908" s="64">
        <f>IF($A1908="","",IF(O1908&lt;&gt;원인분석!$C$9,"",IF(AND(M1908&gt;=원인분석!$C$10,M1908&lt;=원인분석!$C$11),"당기",IF(AND(M1908&gt;=원인분석!$C$12,M1908&lt;=원인분석!$C$13),"비교",""))))</f>
        <v/>
      </c>
      <c r="R1908" s="9">
        <f>IF(Q1908="","",$K1908&amp;"")</f>
        <v/>
      </c>
      <c r="S1908" s="9">
        <f>IF(Q1908="","",IF(MATCH(R1908,$R$5:$R$100000,0)=ROW()-4,ROW(),""))</f>
        <v/>
      </c>
      <c r="T1908" s="9">
        <f>IF(Q1908="당기",ABS(P1908)+ROW()/1000000000,"")</f>
        <v/>
      </c>
      <c r="U1908" s="9">
        <f>IF(Q1908="비교",ABS(P1908)+ROW()/1000000000,"")</f>
        <v/>
      </c>
      <c r="V1908" s="64">
        <f>IF($A1908="","",IF(COUNTIF(변동분석!$E$7:$E$506,O1908)&gt;0,"Y","N"))</f>
        <v/>
      </c>
      <c r="W1908" s="64">
        <f>IF($A1908="","",IFERROR(INDEX(계정매핑!$D$5:$D$504,MATCH($F1908&amp;"",계정매핑!$A$5:$A$504,0)),"미매핑"))</f>
        <v/>
      </c>
      <c r="X1908" s="9">
        <f>IF($A1908="","",$F1908&amp;"")</f>
        <v/>
      </c>
      <c r="Y1908" s="94">
        <f>IF($A1908="",0,IF(AE1908="직접",IF(AF1908="비귀속",$P1908,0),$P1908*(1-AG1908)*IFERROR(INDEX(계정대체기준!$F$20:$F$49,MATCH($N1908,계정대체기준!$A$20:$A$49,0)),1)))</f>
        <v/>
      </c>
      <c r="Z1908" s="94">
        <f>IF($A1908="",0,IF(AE1908="직접",IF(AF1908="신계약비",$P1908,0),$P1908*(1-AG1908)*IFERROR(INDEX(계정대체기준!$C$20:$C$49,MATCH($N1908,계정대체기준!$A$20:$A$49,0)),0)))</f>
        <v/>
      </c>
      <c r="AA1908" s="94">
        <f>IF($A1908="",0,IF(AE1908="직접",IF(OR(AF1908="유지비",AF1908="손해조사비"),$P1908,0),$P1908*(1-AG1908)*IFERROR(INDEX(계정대체기준!$D$20:$D$49,MATCH($N1908,계정대체기준!$A$20:$A$49,0)),0)))</f>
        <v/>
      </c>
      <c r="AB1908" s="94">
        <f>IF($A1908="",0,IF(AE1908="직접",IF(AF1908="수금비",$P1908,0),$P1908*(1-AG1908)*IFERROR(INDEX(계정대체기준!$E$20:$E$49,MATCH($N1908,계정대체기준!$A$20:$A$49,0)),0)))</f>
        <v/>
      </c>
      <c r="AC1908" s="9">
        <f>IF(AND($A1908&lt;&gt;"",M1908=설정!$C$20,Z1908&gt;0),Z1908+ROW()/1000000000,"")</f>
        <v/>
      </c>
      <c r="AD1908" s="94">
        <f>IF($A1908="",0,$P1908*AG1908)</f>
        <v/>
      </c>
      <c r="AE1908" s="64">
        <f>IF($A1908="","",IFERROR(INDEX(계정매핑!$E$5:$E$504,MATCH($F1908&amp;"",계정매핑!$A$5:$A$504,0))&amp;"","공통비"))</f>
        <v/>
      </c>
      <c r="AF1908" s="64">
        <f>IF($A1908="","",IF(AE1908="직접",IFERROR(INDEX(계정매핑!$F$5:$F$504,MATCH($F1908&amp;"",계정매핑!$A$5:$A$504,0))&amp;"","비귀속"),""))</f>
        <v/>
      </c>
      <c r="AG1908" s="96">
        <f>IF($A1908="",0,IF(AND(AE1908&lt;&gt;"직접",IFERROR(INDEX(계정매핑!$G$5:$G$504,MATCH($F1908&amp;"",계정매핑!$A$5:$A$504,0))&amp;"","")="유지비",COUNTIF(계정대체기준!$A$6:$A$15,$N1908)&gt;0),IFERROR(INDEX(계정대체기준!$E$6:$E$15,MATCH(VALUE($A1908&amp;""),계정대체기준!$D$6:$D$15,0)),0),0))</f>
        <v/>
      </c>
      <c r="AH1908" s="64">
        <f>IF($A1908="","",IF(AD1908=0,"",IF(OR(COUNTIF(계정대체기준!$A$77:$A$86,$N1908)&gt;0,ISNUMBER(MATCH($X1908,계정대체기준!$D$77:$D$86,0)),ISNUMBER(MATCH($F1908,계정대체기준!$D$77:$D$86,0))),"Y","N")))</f>
        <v/>
      </c>
    </row>
    <row r="1909">
      <c r="A1909" s="92" t="n">
        <v>2025</v>
      </c>
      <c r="B1909" s="92" t="n">
        <v>9</v>
      </c>
      <c r="C1909" s="92" t="inlineStr">
        <is>
          <t>5100001905</t>
        </is>
      </c>
      <c r="D1909" s="95" t="n">
        <v>45912</v>
      </c>
      <c r="E1909" s="92" t="inlineStr">
        <is>
          <t>KR</t>
        </is>
      </c>
      <c r="F1909" s="92" t="n">
        <v>62102000</v>
      </c>
      <c r="G1909" s="92" t="n">
        <v>1201</v>
      </c>
      <c r="H1909" s="93" t="n">
        <v>44000</v>
      </c>
      <c r="I1909" s="92" t="inlineStr">
        <is>
          <t>9월 해외출장 - N호텔</t>
        </is>
      </c>
      <c r="J1909" s="92" t="inlineStr">
        <is>
          <t>V10009</t>
        </is>
      </c>
      <c r="K1909" s="92" t="inlineStr">
        <is>
          <t>N호텔</t>
        </is>
      </c>
      <c r="M1909" s="9">
        <f>IF($A1909="","",VALUE($A1909&amp;"")*12+VALUE($B1909&amp;""))</f>
        <v/>
      </c>
      <c r="N1909" s="64">
        <f>IF($A1909="","",IFERROR(INDEX(부서매핑!$C$5:$C$504,MATCH($G1909&amp;"",부서매핑!$A$5:$A$504,0)),"미매핑"))</f>
        <v/>
      </c>
      <c r="O1909" s="9">
        <f>IF($A1909="","",N1909&amp;"|"&amp;$F1909)</f>
        <v/>
      </c>
      <c r="P1909" s="94">
        <f>IF($A1909="",0,$H1909*설정!$C$23)</f>
        <v/>
      </c>
      <c r="Q1909" s="64">
        <f>IF($A1909="","",IF(O1909&lt;&gt;원인분석!$C$9,"",IF(AND(M1909&gt;=원인분석!$C$10,M1909&lt;=원인분석!$C$11),"당기",IF(AND(M1909&gt;=원인분석!$C$12,M1909&lt;=원인분석!$C$13),"비교",""))))</f>
        <v/>
      </c>
      <c r="R1909" s="9">
        <f>IF(Q1909="","",$K1909&amp;"")</f>
        <v/>
      </c>
      <c r="S1909" s="9">
        <f>IF(Q1909="","",IF(MATCH(R1909,$R$5:$R$100000,0)=ROW()-4,ROW(),""))</f>
        <v/>
      </c>
      <c r="T1909" s="9">
        <f>IF(Q1909="당기",ABS(P1909)+ROW()/1000000000,"")</f>
        <v/>
      </c>
      <c r="U1909" s="9">
        <f>IF(Q1909="비교",ABS(P1909)+ROW()/1000000000,"")</f>
        <v/>
      </c>
      <c r="V1909" s="64">
        <f>IF($A1909="","",IF(COUNTIF(변동분석!$E$7:$E$506,O1909)&gt;0,"Y","N"))</f>
        <v/>
      </c>
      <c r="W1909" s="64">
        <f>IF($A1909="","",IFERROR(INDEX(계정매핑!$D$5:$D$504,MATCH($F1909&amp;"",계정매핑!$A$5:$A$504,0)),"미매핑"))</f>
        <v/>
      </c>
      <c r="X1909" s="9">
        <f>IF($A1909="","",$F1909&amp;"")</f>
        <v/>
      </c>
      <c r="Y1909" s="94">
        <f>IF($A1909="",0,IF(AE1909="직접",IF(AF1909="비귀속",$P1909,0),$P1909*(1-AG1909)*IFERROR(INDEX(계정대체기준!$F$20:$F$49,MATCH($N1909,계정대체기준!$A$20:$A$49,0)),1)))</f>
        <v/>
      </c>
      <c r="Z1909" s="94">
        <f>IF($A1909="",0,IF(AE1909="직접",IF(AF1909="신계약비",$P1909,0),$P1909*(1-AG1909)*IFERROR(INDEX(계정대체기준!$C$20:$C$49,MATCH($N1909,계정대체기준!$A$20:$A$49,0)),0)))</f>
        <v/>
      </c>
      <c r="AA1909" s="94">
        <f>IF($A1909="",0,IF(AE1909="직접",IF(OR(AF1909="유지비",AF1909="손해조사비"),$P1909,0),$P1909*(1-AG1909)*IFERROR(INDEX(계정대체기준!$D$20:$D$49,MATCH($N1909,계정대체기준!$A$20:$A$49,0)),0)))</f>
        <v/>
      </c>
      <c r="AB1909" s="94">
        <f>IF($A1909="",0,IF(AE1909="직접",IF(AF1909="수금비",$P1909,0),$P1909*(1-AG1909)*IFERROR(INDEX(계정대체기준!$E$20:$E$49,MATCH($N1909,계정대체기준!$A$20:$A$49,0)),0)))</f>
        <v/>
      </c>
      <c r="AC1909" s="9">
        <f>IF(AND($A1909&lt;&gt;"",M1909=설정!$C$20,Z1909&gt;0),Z1909+ROW()/1000000000,"")</f>
        <v/>
      </c>
      <c r="AD1909" s="94">
        <f>IF($A1909="",0,$P1909*AG1909)</f>
        <v/>
      </c>
      <c r="AE1909" s="64">
        <f>IF($A1909="","",IFERROR(INDEX(계정매핑!$E$5:$E$504,MATCH($F1909&amp;"",계정매핑!$A$5:$A$504,0))&amp;"","공통비"))</f>
        <v/>
      </c>
      <c r="AF1909" s="64">
        <f>IF($A1909="","",IF(AE1909="직접",IFERROR(INDEX(계정매핑!$F$5:$F$504,MATCH($F1909&amp;"",계정매핑!$A$5:$A$504,0))&amp;"","비귀속"),""))</f>
        <v/>
      </c>
      <c r="AG1909" s="96">
        <f>IF($A1909="",0,IF(AND(AE1909&lt;&gt;"직접",IFERROR(INDEX(계정매핑!$G$5:$G$504,MATCH($F1909&amp;"",계정매핑!$A$5:$A$504,0))&amp;"","")="유지비",COUNTIF(계정대체기준!$A$6:$A$15,$N1909)&gt;0),IFERROR(INDEX(계정대체기준!$E$6:$E$15,MATCH(VALUE($A1909&amp;""),계정대체기준!$D$6:$D$15,0)),0),0))</f>
        <v/>
      </c>
      <c r="AH1909" s="64">
        <f>IF($A1909="","",IF(AD1909=0,"",IF(OR(COUNTIF(계정대체기준!$A$77:$A$86,$N1909)&gt;0,ISNUMBER(MATCH($X1909,계정대체기준!$D$77:$D$86,0)),ISNUMBER(MATCH($F1909,계정대체기준!$D$77:$D$86,0))),"Y","N")))</f>
        <v/>
      </c>
    </row>
    <row r="1910">
      <c r="A1910" s="92" t="n">
        <v>2025</v>
      </c>
      <c r="B1910" s="92" t="n">
        <v>9</v>
      </c>
      <c r="C1910" s="92" t="inlineStr">
        <is>
          <t>5100001906</t>
        </is>
      </c>
      <c r="D1910" s="95" t="n">
        <v>45912</v>
      </c>
      <c r="E1910" s="92" t="inlineStr">
        <is>
          <t>KR</t>
        </is>
      </c>
      <c r="F1910" s="92" t="n">
        <v>62301000</v>
      </c>
      <c r="G1910" s="92" t="n">
        <v>1301</v>
      </c>
      <c r="H1910" s="93" t="n">
        <v>233000</v>
      </c>
      <c r="I1910" s="92" t="inlineStr">
        <is>
          <t>9월 소모품 구입 - Q오피스</t>
        </is>
      </c>
      <c r="J1910" s="92" t="inlineStr">
        <is>
          <t>V10003</t>
        </is>
      </c>
      <c r="K1910" s="92" t="inlineStr">
        <is>
          <t>Q오피스</t>
        </is>
      </c>
      <c r="M1910" s="9">
        <f>IF($A1910="","",VALUE($A1910&amp;"")*12+VALUE($B1910&amp;""))</f>
        <v/>
      </c>
      <c r="N1910" s="64">
        <f>IF($A1910="","",IFERROR(INDEX(부서매핑!$C$5:$C$504,MATCH($G1910&amp;"",부서매핑!$A$5:$A$504,0)),"미매핑"))</f>
        <v/>
      </c>
      <c r="O1910" s="9">
        <f>IF($A1910="","",N1910&amp;"|"&amp;$F1910)</f>
        <v/>
      </c>
      <c r="P1910" s="94">
        <f>IF($A1910="",0,$H1910*설정!$C$23)</f>
        <v/>
      </c>
      <c r="Q1910" s="64">
        <f>IF($A1910="","",IF(O1910&lt;&gt;원인분석!$C$9,"",IF(AND(M1910&gt;=원인분석!$C$10,M1910&lt;=원인분석!$C$11),"당기",IF(AND(M1910&gt;=원인분석!$C$12,M1910&lt;=원인분석!$C$13),"비교",""))))</f>
        <v/>
      </c>
      <c r="R1910" s="9">
        <f>IF(Q1910="","",$K1910&amp;"")</f>
        <v/>
      </c>
      <c r="S1910" s="9">
        <f>IF(Q1910="","",IF(MATCH(R1910,$R$5:$R$100000,0)=ROW()-4,ROW(),""))</f>
        <v/>
      </c>
      <c r="T1910" s="9">
        <f>IF(Q1910="당기",ABS(P1910)+ROW()/1000000000,"")</f>
        <v/>
      </c>
      <c r="U1910" s="9">
        <f>IF(Q1910="비교",ABS(P1910)+ROW()/1000000000,"")</f>
        <v/>
      </c>
      <c r="V1910" s="64">
        <f>IF($A1910="","",IF(COUNTIF(변동분석!$E$7:$E$506,O1910)&gt;0,"Y","N"))</f>
        <v/>
      </c>
      <c r="W1910" s="64">
        <f>IF($A1910="","",IFERROR(INDEX(계정매핑!$D$5:$D$504,MATCH($F1910&amp;"",계정매핑!$A$5:$A$504,0)),"미매핑"))</f>
        <v/>
      </c>
      <c r="X1910" s="9">
        <f>IF($A1910="","",$F1910&amp;"")</f>
        <v/>
      </c>
      <c r="Y1910" s="94">
        <f>IF($A1910="",0,IF(AE1910="직접",IF(AF1910="비귀속",$P1910,0),$P1910*(1-AG1910)*IFERROR(INDEX(계정대체기준!$F$20:$F$49,MATCH($N1910,계정대체기준!$A$20:$A$49,0)),1)))</f>
        <v/>
      </c>
      <c r="Z1910" s="94">
        <f>IF($A1910="",0,IF(AE1910="직접",IF(AF1910="신계약비",$P1910,0),$P1910*(1-AG1910)*IFERROR(INDEX(계정대체기준!$C$20:$C$49,MATCH($N1910,계정대체기준!$A$20:$A$49,0)),0)))</f>
        <v/>
      </c>
      <c r="AA1910" s="94">
        <f>IF($A1910="",0,IF(AE1910="직접",IF(OR(AF1910="유지비",AF1910="손해조사비"),$P1910,0),$P1910*(1-AG1910)*IFERROR(INDEX(계정대체기준!$D$20:$D$49,MATCH($N1910,계정대체기준!$A$20:$A$49,0)),0)))</f>
        <v/>
      </c>
      <c r="AB1910" s="94">
        <f>IF($A1910="",0,IF(AE1910="직접",IF(AF1910="수금비",$P1910,0),$P1910*(1-AG1910)*IFERROR(INDEX(계정대체기준!$E$20:$E$49,MATCH($N1910,계정대체기준!$A$20:$A$49,0)),0)))</f>
        <v/>
      </c>
      <c r="AC1910" s="9">
        <f>IF(AND($A1910&lt;&gt;"",M1910=설정!$C$20,Z1910&gt;0),Z1910+ROW()/1000000000,"")</f>
        <v/>
      </c>
      <c r="AD1910" s="94">
        <f>IF($A1910="",0,$P1910*AG1910)</f>
        <v/>
      </c>
      <c r="AE1910" s="64">
        <f>IF($A1910="","",IFERROR(INDEX(계정매핑!$E$5:$E$504,MATCH($F1910&amp;"",계정매핑!$A$5:$A$504,0))&amp;"","공통비"))</f>
        <v/>
      </c>
      <c r="AF1910" s="64">
        <f>IF($A1910="","",IF(AE1910="직접",IFERROR(INDEX(계정매핑!$F$5:$F$504,MATCH($F1910&amp;"",계정매핑!$A$5:$A$504,0))&amp;"","비귀속"),""))</f>
        <v/>
      </c>
      <c r="AG1910" s="96">
        <f>IF($A1910="",0,IF(AND(AE1910&lt;&gt;"직접",IFERROR(INDEX(계정매핑!$G$5:$G$504,MATCH($F1910&amp;"",계정매핑!$A$5:$A$504,0))&amp;"","")="유지비",COUNTIF(계정대체기준!$A$6:$A$15,$N1910)&gt;0),IFERROR(INDEX(계정대체기준!$E$6:$E$15,MATCH(VALUE($A1910&amp;""),계정대체기준!$D$6:$D$15,0)),0),0))</f>
        <v/>
      </c>
      <c r="AH1910" s="64">
        <f>IF($A1910="","",IF(AD1910=0,"",IF(OR(COUNTIF(계정대체기준!$A$77:$A$86,$N1910)&gt;0,ISNUMBER(MATCH($X1910,계정대체기준!$D$77:$D$86,0)),ISNUMBER(MATCH($F1910,계정대체기준!$D$77:$D$86,0))),"Y","N")))</f>
        <v/>
      </c>
    </row>
    <row r="1911">
      <c r="A1911" s="92" t="n">
        <v>2025</v>
      </c>
      <c r="B1911" s="92" t="n">
        <v>9</v>
      </c>
      <c r="C1911" s="92" t="inlineStr">
        <is>
          <t>5100001907</t>
        </is>
      </c>
      <c r="D1911" s="95" t="n">
        <v>45912</v>
      </c>
      <c r="E1911" s="92" t="inlineStr">
        <is>
          <t>KR</t>
        </is>
      </c>
      <c r="F1911" s="92" t="n">
        <v>62501000</v>
      </c>
      <c r="G1911" s="92" t="n">
        <v>1401</v>
      </c>
      <c r="H1911" s="93" t="n">
        <v>185000</v>
      </c>
      <c r="I1911" s="92" t="inlineStr">
        <is>
          <t>9월 회의 다과 - (법인카드)</t>
        </is>
      </c>
      <c r="J1911" s="92" t="inlineStr">
        <is>
          <t>V10010</t>
        </is>
      </c>
      <c r="K1911" s="92" t="inlineStr">
        <is>
          <t>(법인카드)</t>
        </is>
      </c>
      <c r="M1911" s="9">
        <f>IF($A1911="","",VALUE($A1911&amp;"")*12+VALUE($B1911&amp;""))</f>
        <v/>
      </c>
      <c r="N1911" s="64">
        <f>IF($A1911="","",IFERROR(INDEX(부서매핑!$C$5:$C$504,MATCH($G1911&amp;"",부서매핑!$A$5:$A$504,0)),"미매핑"))</f>
        <v/>
      </c>
      <c r="O1911" s="9">
        <f>IF($A1911="","",N1911&amp;"|"&amp;$F1911)</f>
        <v/>
      </c>
      <c r="P1911" s="94">
        <f>IF($A1911="",0,$H1911*설정!$C$23)</f>
        <v/>
      </c>
      <c r="Q1911" s="64">
        <f>IF($A1911="","",IF(O1911&lt;&gt;원인분석!$C$9,"",IF(AND(M1911&gt;=원인분석!$C$10,M1911&lt;=원인분석!$C$11),"당기",IF(AND(M1911&gt;=원인분석!$C$12,M1911&lt;=원인분석!$C$13),"비교",""))))</f>
        <v/>
      </c>
      <c r="R1911" s="9">
        <f>IF(Q1911="","",$K1911&amp;"")</f>
        <v/>
      </c>
      <c r="S1911" s="9">
        <f>IF(Q1911="","",IF(MATCH(R1911,$R$5:$R$100000,0)=ROW()-4,ROW(),""))</f>
        <v/>
      </c>
      <c r="T1911" s="9">
        <f>IF(Q1911="당기",ABS(P1911)+ROW()/1000000000,"")</f>
        <v/>
      </c>
      <c r="U1911" s="9">
        <f>IF(Q1911="비교",ABS(P1911)+ROW()/1000000000,"")</f>
        <v/>
      </c>
      <c r="V1911" s="64">
        <f>IF($A1911="","",IF(COUNTIF(변동분석!$E$7:$E$506,O1911)&gt;0,"Y","N"))</f>
        <v/>
      </c>
      <c r="W1911" s="64">
        <f>IF($A1911="","",IFERROR(INDEX(계정매핑!$D$5:$D$504,MATCH($F1911&amp;"",계정매핑!$A$5:$A$504,0)),"미매핑"))</f>
        <v/>
      </c>
      <c r="X1911" s="9">
        <f>IF($A1911="","",$F1911&amp;"")</f>
        <v/>
      </c>
      <c r="Y1911" s="94">
        <f>IF($A1911="",0,IF(AE1911="직접",IF(AF1911="비귀속",$P1911,0),$P1911*(1-AG1911)*IFERROR(INDEX(계정대체기준!$F$20:$F$49,MATCH($N1911,계정대체기준!$A$20:$A$49,0)),1)))</f>
        <v/>
      </c>
      <c r="Z1911" s="94">
        <f>IF($A1911="",0,IF(AE1911="직접",IF(AF1911="신계약비",$P1911,0),$P1911*(1-AG1911)*IFERROR(INDEX(계정대체기준!$C$20:$C$49,MATCH($N1911,계정대체기준!$A$20:$A$49,0)),0)))</f>
        <v/>
      </c>
      <c r="AA1911" s="94">
        <f>IF($A1911="",0,IF(AE1911="직접",IF(OR(AF1911="유지비",AF1911="손해조사비"),$P1911,0),$P1911*(1-AG1911)*IFERROR(INDEX(계정대체기준!$D$20:$D$49,MATCH($N1911,계정대체기준!$A$20:$A$49,0)),0)))</f>
        <v/>
      </c>
      <c r="AB1911" s="94">
        <f>IF($A1911="",0,IF(AE1911="직접",IF(AF1911="수금비",$P1911,0),$P1911*(1-AG1911)*IFERROR(INDEX(계정대체기준!$E$20:$E$49,MATCH($N1911,계정대체기준!$A$20:$A$49,0)),0)))</f>
        <v/>
      </c>
      <c r="AC1911" s="9">
        <f>IF(AND($A1911&lt;&gt;"",M1911=설정!$C$20,Z1911&gt;0),Z1911+ROW()/1000000000,"")</f>
        <v/>
      </c>
      <c r="AD1911" s="94">
        <f>IF($A1911="",0,$P1911*AG1911)</f>
        <v/>
      </c>
      <c r="AE1911" s="64">
        <f>IF($A1911="","",IFERROR(INDEX(계정매핑!$E$5:$E$504,MATCH($F1911&amp;"",계정매핑!$A$5:$A$504,0))&amp;"","공통비"))</f>
        <v/>
      </c>
      <c r="AF1911" s="64">
        <f>IF($A1911="","",IF(AE1911="직접",IFERROR(INDEX(계정매핑!$F$5:$F$504,MATCH($F1911&amp;"",계정매핑!$A$5:$A$504,0))&amp;"","비귀속"),""))</f>
        <v/>
      </c>
      <c r="AG1911" s="96">
        <f>IF($A1911="",0,IF(AND(AE1911&lt;&gt;"직접",IFERROR(INDEX(계정매핑!$G$5:$G$504,MATCH($F1911&amp;"",계정매핑!$A$5:$A$504,0))&amp;"","")="유지비",COUNTIF(계정대체기준!$A$6:$A$15,$N1911)&gt;0),IFERROR(INDEX(계정대체기준!$E$6:$E$15,MATCH(VALUE($A1911&amp;""),계정대체기준!$D$6:$D$15,0)),0),0))</f>
        <v/>
      </c>
      <c r="AH1911" s="64">
        <f>IF($A1911="","",IF(AD1911=0,"",IF(OR(COUNTIF(계정대체기준!$A$77:$A$86,$N1911)&gt;0,ISNUMBER(MATCH($X1911,계정대체기준!$D$77:$D$86,0)),ISNUMBER(MATCH($F1911,계정대체기준!$D$77:$D$86,0))),"Y","N")))</f>
        <v/>
      </c>
    </row>
    <row r="1912">
      <c r="A1912" s="92" t="n">
        <v>2025</v>
      </c>
      <c r="B1912" s="92" t="n">
        <v>9</v>
      </c>
      <c r="C1912" s="92" t="inlineStr">
        <is>
          <t>5100001908</t>
        </is>
      </c>
      <c r="D1912" s="95" t="n">
        <v>45912</v>
      </c>
      <c r="E1912" s="92" t="inlineStr">
        <is>
          <t>KR</t>
        </is>
      </c>
      <c r="F1912" s="92" t="n">
        <v>62501000</v>
      </c>
      <c r="G1912" s="92" t="n">
        <v>1801</v>
      </c>
      <c r="H1912" s="93" t="n">
        <v>240000</v>
      </c>
      <c r="I1912" s="92" t="inlineStr">
        <is>
          <t>9월 회의 다과 - (법인카드)</t>
        </is>
      </c>
      <c r="J1912" s="92" t="inlineStr">
        <is>
          <t>V10010</t>
        </is>
      </c>
      <c r="K1912" s="92" t="inlineStr">
        <is>
          <t>(법인카드)</t>
        </is>
      </c>
      <c r="M1912" s="9">
        <f>IF($A1912="","",VALUE($A1912&amp;"")*12+VALUE($B1912&amp;""))</f>
        <v/>
      </c>
      <c r="N1912" s="64">
        <f>IF($A1912="","",IFERROR(INDEX(부서매핑!$C$5:$C$504,MATCH($G1912&amp;"",부서매핑!$A$5:$A$504,0)),"미매핑"))</f>
        <v/>
      </c>
      <c r="O1912" s="9">
        <f>IF($A1912="","",N1912&amp;"|"&amp;$F1912)</f>
        <v/>
      </c>
      <c r="P1912" s="94">
        <f>IF($A1912="",0,$H1912*설정!$C$23)</f>
        <v/>
      </c>
      <c r="Q1912" s="64">
        <f>IF($A1912="","",IF(O1912&lt;&gt;원인분석!$C$9,"",IF(AND(M1912&gt;=원인분석!$C$10,M1912&lt;=원인분석!$C$11),"당기",IF(AND(M1912&gt;=원인분석!$C$12,M1912&lt;=원인분석!$C$13),"비교",""))))</f>
        <v/>
      </c>
      <c r="R1912" s="9">
        <f>IF(Q1912="","",$K1912&amp;"")</f>
        <v/>
      </c>
      <c r="S1912" s="9">
        <f>IF(Q1912="","",IF(MATCH(R1912,$R$5:$R$100000,0)=ROW()-4,ROW(),""))</f>
        <v/>
      </c>
      <c r="T1912" s="9">
        <f>IF(Q1912="당기",ABS(P1912)+ROW()/1000000000,"")</f>
        <v/>
      </c>
      <c r="U1912" s="9">
        <f>IF(Q1912="비교",ABS(P1912)+ROW()/1000000000,"")</f>
        <v/>
      </c>
      <c r="V1912" s="64">
        <f>IF($A1912="","",IF(COUNTIF(변동분석!$E$7:$E$506,O1912)&gt;0,"Y","N"))</f>
        <v/>
      </c>
      <c r="W1912" s="64">
        <f>IF($A1912="","",IFERROR(INDEX(계정매핑!$D$5:$D$504,MATCH($F1912&amp;"",계정매핑!$A$5:$A$504,0)),"미매핑"))</f>
        <v/>
      </c>
      <c r="X1912" s="9">
        <f>IF($A1912="","",$F1912&amp;"")</f>
        <v/>
      </c>
      <c r="Y1912" s="94">
        <f>IF($A1912="",0,IF(AE1912="직접",IF(AF1912="비귀속",$P1912,0),$P1912*(1-AG1912)*IFERROR(INDEX(계정대체기준!$F$20:$F$49,MATCH($N1912,계정대체기준!$A$20:$A$49,0)),1)))</f>
        <v/>
      </c>
      <c r="Z1912" s="94">
        <f>IF($A1912="",0,IF(AE1912="직접",IF(AF1912="신계약비",$P1912,0),$P1912*(1-AG1912)*IFERROR(INDEX(계정대체기준!$C$20:$C$49,MATCH($N1912,계정대체기준!$A$20:$A$49,0)),0)))</f>
        <v/>
      </c>
      <c r="AA1912" s="94">
        <f>IF($A1912="",0,IF(AE1912="직접",IF(OR(AF1912="유지비",AF1912="손해조사비"),$P1912,0),$P1912*(1-AG1912)*IFERROR(INDEX(계정대체기준!$D$20:$D$49,MATCH($N1912,계정대체기준!$A$20:$A$49,0)),0)))</f>
        <v/>
      </c>
      <c r="AB1912" s="94">
        <f>IF($A1912="",0,IF(AE1912="직접",IF(AF1912="수금비",$P1912,0),$P1912*(1-AG1912)*IFERROR(INDEX(계정대체기준!$E$20:$E$49,MATCH($N1912,계정대체기준!$A$20:$A$49,0)),0)))</f>
        <v/>
      </c>
      <c r="AC1912" s="9">
        <f>IF(AND($A1912&lt;&gt;"",M1912=설정!$C$20,Z1912&gt;0),Z1912+ROW()/1000000000,"")</f>
        <v/>
      </c>
      <c r="AD1912" s="94">
        <f>IF($A1912="",0,$P1912*AG1912)</f>
        <v/>
      </c>
      <c r="AE1912" s="64">
        <f>IF($A1912="","",IFERROR(INDEX(계정매핑!$E$5:$E$504,MATCH($F1912&amp;"",계정매핑!$A$5:$A$504,0))&amp;"","공통비"))</f>
        <v/>
      </c>
      <c r="AF1912" s="64">
        <f>IF($A1912="","",IF(AE1912="직접",IFERROR(INDEX(계정매핑!$F$5:$F$504,MATCH($F1912&amp;"",계정매핑!$A$5:$A$504,0))&amp;"","비귀속"),""))</f>
        <v/>
      </c>
      <c r="AG1912" s="96">
        <f>IF($A1912="",0,IF(AND(AE1912&lt;&gt;"직접",IFERROR(INDEX(계정매핑!$G$5:$G$504,MATCH($F1912&amp;"",계정매핑!$A$5:$A$504,0))&amp;"","")="유지비",COUNTIF(계정대체기준!$A$6:$A$15,$N1912)&gt;0),IFERROR(INDEX(계정대체기준!$E$6:$E$15,MATCH(VALUE($A1912&amp;""),계정대체기준!$D$6:$D$15,0)),0),0))</f>
        <v/>
      </c>
      <c r="AH1912" s="64">
        <f>IF($A1912="","",IF(AD1912=0,"",IF(OR(COUNTIF(계정대체기준!$A$77:$A$86,$N1912)&gt;0,ISNUMBER(MATCH($X1912,계정대체기준!$D$77:$D$86,0)),ISNUMBER(MATCH($F1912,계정대체기준!$D$77:$D$86,0))),"Y","N")))</f>
        <v/>
      </c>
    </row>
    <row r="1913">
      <c r="A1913" s="92" t="n">
        <v>2025</v>
      </c>
      <c r="B1913" s="92" t="n">
        <v>9</v>
      </c>
      <c r="C1913" s="92" t="inlineStr">
        <is>
          <t>5100001909</t>
        </is>
      </c>
      <c r="D1913" s="95" t="n">
        <v>45912</v>
      </c>
      <c r="E1913" s="92" t="inlineStr">
        <is>
          <t>KR</t>
        </is>
      </c>
      <c r="F1913" s="92" t="n">
        <v>62601000</v>
      </c>
      <c r="G1913" s="92" t="n">
        <v>1501</v>
      </c>
      <c r="H1913" s="93" t="n">
        <v>2878000</v>
      </c>
      <c r="I1913" s="92" t="inlineStr">
        <is>
          <t>9월 업무추진 - (법인카드)</t>
        </is>
      </c>
      <c r="J1913" s="92" t="inlineStr">
        <is>
          <t>V10010</t>
        </is>
      </c>
      <c r="K1913" s="92" t="inlineStr">
        <is>
          <t>(법인카드)</t>
        </is>
      </c>
      <c r="M1913" s="9">
        <f>IF($A1913="","",VALUE($A1913&amp;"")*12+VALUE($B1913&amp;""))</f>
        <v/>
      </c>
      <c r="N1913" s="64">
        <f>IF($A1913="","",IFERROR(INDEX(부서매핑!$C$5:$C$504,MATCH($G1913&amp;"",부서매핑!$A$5:$A$504,0)),"미매핑"))</f>
        <v/>
      </c>
      <c r="O1913" s="9">
        <f>IF($A1913="","",N1913&amp;"|"&amp;$F1913)</f>
        <v/>
      </c>
      <c r="P1913" s="94">
        <f>IF($A1913="",0,$H1913*설정!$C$23)</f>
        <v/>
      </c>
      <c r="Q1913" s="64">
        <f>IF($A1913="","",IF(O1913&lt;&gt;원인분석!$C$9,"",IF(AND(M1913&gt;=원인분석!$C$10,M1913&lt;=원인분석!$C$11),"당기",IF(AND(M1913&gt;=원인분석!$C$12,M1913&lt;=원인분석!$C$13),"비교",""))))</f>
        <v/>
      </c>
      <c r="R1913" s="9">
        <f>IF(Q1913="","",$K1913&amp;"")</f>
        <v/>
      </c>
      <c r="S1913" s="9">
        <f>IF(Q1913="","",IF(MATCH(R1913,$R$5:$R$100000,0)=ROW()-4,ROW(),""))</f>
        <v/>
      </c>
      <c r="T1913" s="9">
        <f>IF(Q1913="당기",ABS(P1913)+ROW()/1000000000,"")</f>
        <v/>
      </c>
      <c r="U1913" s="9">
        <f>IF(Q1913="비교",ABS(P1913)+ROW()/1000000000,"")</f>
        <v/>
      </c>
      <c r="V1913" s="64">
        <f>IF($A1913="","",IF(COUNTIF(변동분석!$E$7:$E$506,O1913)&gt;0,"Y","N"))</f>
        <v/>
      </c>
      <c r="W1913" s="64">
        <f>IF($A1913="","",IFERROR(INDEX(계정매핑!$D$5:$D$504,MATCH($F1913&amp;"",계정매핑!$A$5:$A$504,0)),"미매핑"))</f>
        <v/>
      </c>
      <c r="X1913" s="9">
        <f>IF($A1913="","",$F1913&amp;"")</f>
        <v/>
      </c>
      <c r="Y1913" s="94">
        <f>IF($A1913="",0,IF(AE1913="직접",IF(AF1913="비귀속",$P1913,0),$P1913*(1-AG1913)*IFERROR(INDEX(계정대체기준!$F$20:$F$49,MATCH($N1913,계정대체기준!$A$20:$A$49,0)),1)))</f>
        <v/>
      </c>
      <c r="Z1913" s="94">
        <f>IF($A1913="",0,IF(AE1913="직접",IF(AF1913="신계약비",$P1913,0),$P1913*(1-AG1913)*IFERROR(INDEX(계정대체기준!$C$20:$C$49,MATCH($N1913,계정대체기준!$A$20:$A$49,0)),0)))</f>
        <v/>
      </c>
      <c r="AA1913" s="94">
        <f>IF($A1913="",0,IF(AE1913="직접",IF(OR(AF1913="유지비",AF1913="손해조사비"),$P1913,0),$P1913*(1-AG1913)*IFERROR(INDEX(계정대체기준!$D$20:$D$49,MATCH($N1913,계정대체기준!$A$20:$A$49,0)),0)))</f>
        <v/>
      </c>
      <c r="AB1913" s="94">
        <f>IF($A1913="",0,IF(AE1913="직접",IF(AF1913="수금비",$P1913,0),$P1913*(1-AG1913)*IFERROR(INDEX(계정대체기준!$E$20:$E$49,MATCH($N1913,계정대체기준!$A$20:$A$49,0)),0)))</f>
        <v/>
      </c>
      <c r="AC1913" s="9">
        <f>IF(AND($A1913&lt;&gt;"",M1913=설정!$C$20,Z1913&gt;0),Z1913+ROW()/1000000000,"")</f>
        <v/>
      </c>
      <c r="AD1913" s="94">
        <f>IF($A1913="",0,$P1913*AG1913)</f>
        <v/>
      </c>
      <c r="AE1913" s="64">
        <f>IF($A1913="","",IFERROR(INDEX(계정매핑!$E$5:$E$504,MATCH($F1913&amp;"",계정매핑!$A$5:$A$504,0))&amp;"","공통비"))</f>
        <v/>
      </c>
      <c r="AF1913" s="64">
        <f>IF($A1913="","",IF(AE1913="직접",IFERROR(INDEX(계정매핑!$F$5:$F$504,MATCH($F1913&amp;"",계정매핑!$A$5:$A$504,0))&amp;"","비귀속"),""))</f>
        <v/>
      </c>
      <c r="AG1913" s="96">
        <f>IF($A1913="",0,IF(AND(AE1913&lt;&gt;"직접",IFERROR(INDEX(계정매핑!$G$5:$G$504,MATCH($F1913&amp;"",계정매핑!$A$5:$A$504,0))&amp;"","")="유지비",COUNTIF(계정대체기준!$A$6:$A$15,$N1913)&gt;0),IFERROR(INDEX(계정대체기준!$E$6:$E$15,MATCH(VALUE($A1913&amp;""),계정대체기준!$D$6:$D$15,0)),0),0))</f>
        <v/>
      </c>
      <c r="AH1913" s="64">
        <f>IF($A1913="","",IF(AD1913=0,"",IF(OR(COUNTIF(계정대체기준!$A$77:$A$86,$N1913)&gt;0,ISNUMBER(MATCH($X1913,계정대체기준!$D$77:$D$86,0)),ISNUMBER(MATCH($F1913,계정대체기준!$D$77:$D$86,0))),"Y","N")))</f>
        <v/>
      </c>
    </row>
    <row r="1914">
      <c r="A1914" s="92" t="n">
        <v>2025</v>
      </c>
      <c r="B1914" s="92" t="n">
        <v>9</v>
      </c>
      <c r="C1914" s="92" t="inlineStr">
        <is>
          <t>5100001910</t>
        </is>
      </c>
      <c r="D1914" s="95" t="n">
        <v>45912</v>
      </c>
      <c r="E1914" s="92" t="inlineStr">
        <is>
          <t>KR</t>
        </is>
      </c>
      <c r="F1914" s="92" t="n">
        <v>62901000</v>
      </c>
      <c r="G1914" s="92" t="n">
        <v>1201</v>
      </c>
      <c r="H1914" s="93" t="n">
        <v>5383000</v>
      </c>
      <c r="I1914" s="92" t="inlineStr">
        <is>
          <t>9월 자문 수수료 - K회계법인</t>
        </is>
      </c>
      <c r="J1914" s="92" t="inlineStr">
        <is>
          <t>V10011</t>
        </is>
      </c>
      <c r="K1914" s="92" t="inlineStr">
        <is>
          <t>K회계법인</t>
        </is>
      </c>
      <c r="M1914" s="9">
        <f>IF($A1914="","",VALUE($A1914&amp;"")*12+VALUE($B1914&amp;""))</f>
        <v/>
      </c>
      <c r="N1914" s="64">
        <f>IF($A1914="","",IFERROR(INDEX(부서매핑!$C$5:$C$504,MATCH($G1914&amp;"",부서매핑!$A$5:$A$504,0)),"미매핑"))</f>
        <v/>
      </c>
      <c r="O1914" s="9">
        <f>IF($A1914="","",N1914&amp;"|"&amp;$F1914)</f>
        <v/>
      </c>
      <c r="P1914" s="94">
        <f>IF($A1914="",0,$H1914*설정!$C$23)</f>
        <v/>
      </c>
      <c r="Q1914" s="64">
        <f>IF($A1914="","",IF(O1914&lt;&gt;원인분석!$C$9,"",IF(AND(M1914&gt;=원인분석!$C$10,M1914&lt;=원인분석!$C$11),"당기",IF(AND(M1914&gt;=원인분석!$C$12,M1914&lt;=원인분석!$C$13),"비교",""))))</f>
        <v/>
      </c>
      <c r="R1914" s="9">
        <f>IF(Q1914="","",$K1914&amp;"")</f>
        <v/>
      </c>
      <c r="S1914" s="9">
        <f>IF(Q1914="","",IF(MATCH(R1914,$R$5:$R$100000,0)=ROW()-4,ROW(),""))</f>
        <v/>
      </c>
      <c r="T1914" s="9">
        <f>IF(Q1914="당기",ABS(P1914)+ROW()/1000000000,"")</f>
        <v/>
      </c>
      <c r="U1914" s="9">
        <f>IF(Q1914="비교",ABS(P1914)+ROW()/1000000000,"")</f>
        <v/>
      </c>
      <c r="V1914" s="64">
        <f>IF($A1914="","",IF(COUNTIF(변동분석!$E$7:$E$506,O1914)&gt;0,"Y","N"))</f>
        <v/>
      </c>
      <c r="W1914" s="64">
        <f>IF($A1914="","",IFERROR(INDEX(계정매핑!$D$5:$D$504,MATCH($F1914&amp;"",계정매핑!$A$5:$A$504,0)),"미매핑"))</f>
        <v/>
      </c>
      <c r="X1914" s="9">
        <f>IF($A1914="","",$F1914&amp;"")</f>
        <v/>
      </c>
      <c r="Y1914" s="94">
        <f>IF($A1914="",0,IF(AE1914="직접",IF(AF1914="비귀속",$P1914,0),$P1914*(1-AG1914)*IFERROR(INDEX(계정대체기준!$F$20:$F$49,MATCH($N1914,계정대체기준!$A$20:$A$49,0)),1)))</f>
        <v/>
      </c>
      <c r="Z1914" s="94">
        <f>IF($A1914="",0,IF(AE1914="직접",IF(AF1914="신계약비",$P1914,0),$P1914*(1-AG1914)*IFERROR(INDEX(계정대체기준!$C$20:$C$49,MATCH($N1914,계정대체기준!$A$20:$A$49,0)),0)))</f>
        <v/>
      </c>
      <c r="AA1914" s="94">
        <f>IF($A1914="",0,IF(AE1914="직접",IF(OR(AF1914="유지비",AF1914="손해조사비"),$P1914,0),$P1914*(1-AG1914)*IFERROR(INDEX(계정대체기준!$D$20:$D$49,MATCH($N1914,계정대체기준!$A$20:$A$49,0)),0)))</f>
        <v/>
      </c>
      <c r="AB1914" s="94">
        <f>IF($A1914="",0,IF(AE1914="직접",IF(AF1914="수금비",$P1914,0),$P1914*(1-AG1914)*IFERROR(INDEX(계정대체기준!$E$20:$E$49,MATCH($N1914,계정대체기준!$A$20:$A$49,0)),0)))</f>
        <v/>
      </c>
      <c r="AC1914" s="9">
        <f>IF(AND($A1914&lt;&gt;"",M1914=설정!$C$20,Z1914&gt;0),Z1914+ROW()/1000000000,"")</f>
        <v/>
      </c>
      <c r="AD1914" s="94">
        <f>IF($A1914="",0,$P1914*AG1914)</f>
        <v/>
      </c>
      <c r="AE1914" s="64">
        <f>IF($A1914="","",IFERROR(INDEX(계정매핑!$E$5:$E$504,MATCH($F1914&amp;"",계정매핑!$A$5:$A$504,0))&amp;"","공통비"))</f>
        <v/>
      </c>
      <c r="AF1914" s="64">
        <f>IF($A1914="","",IF(AE1914="직접",IFERROR(INDEX(계정매핑!$F$5:$F$504,MATCH($F1914&amp;"",계정매핑!$A$5:$A$504,0))&amp;"","비귀속"),""))</f>
        <v/>
      </c>
      <c r="AG1914" s="96">
        <f>IF($A1914="",0,IF(AND(AE1914&lt;&gt;"직접",IFERROR(INDEX(계정매핑!$G$5:$G$504,MATCH($F1914&amp;"",계정매핑!$A$5:$A$504,0))&amp;"","")="유지비",COUNTIF(계정대체기준!$A$6:$A$15,$N1914)&gt;0),IFERROR(INDEX(계정대체기준!$E$6:$E$15,MATCH(VALUE($A1914&amp;""),계정대체기준!$D$6:$D$15,0)),0),0))</f>
        <v/>
      </c>
      <c r="AH1914" s="64">
        <f>IF($A1914="","",IF(AD1914=0,"",IF(OR(COUNTIF(계정대체기준!$A$77:$A$86,$N1914)&gt;0,ISNUMBER(MATCH($X1914,계정대체기준!$D$77:$D$86,0)),ISNUMBER(MATCH($F1914,계정대체기준!$D$77:$D$86,0))),"Y","N")))</f>
        <v/>
      </c>
    </row>
    <row r="1915">
      <c r="A1915" s="92" t="n">
        <v>2025</v>
      </c>
      <c r="B1915" s="92" t="n">
        <v>9</v>
      </c>
      <c r="C1915" s="92" t="inlineStr">
        <is>
          <t>5100001911</t>
        </is>
      </c>
      <c r="D1915" s="95" t="n">
        <v>45912</v>
      </c>
      <c r="E1915" s="92" t="inlineStr">
        <is>
          <t>KR</t>
        </is>
      </c>
      <c r="F1915" s="92" t="n">
        <v>62902000</v>
      </c>
      <c r="G1915" s="92" t="n">
        <v>1801</v>
      </c>
      <c r="H1915" s="93" t="n">
        <v>1786000</v>
      </c>
      <c r="I1915" s="92" t="inlineStr">
        <is>
          <t>9월 콜 위탁 수수료(건별)</t>
        </is>
      </c>
      <c r="J1915" s="92" t="inlineStr">
        <is>
          <t>V10016</t>
        </is>
      </c>
      <c r="K1915" s="92" t="inlineStr">
        <is>
          <t>J콜센터</t>
        </is>
      </c>
      <c r="M1915" s="9">
        <f>IF($A1915="","",VALUE($A1915&amp;"")*12+VALUE($B1915&amp;""))</f>
        <v/>
      </c>
      <c r="N1915" s="64">
        <f>IF($A1915="","",IFERROR(INDEX(부서매핑!$C$5:$C$504,MATCH($G1915&amp;"",부서매핑!$A$5:$A$504,0)),"미매핑"))</f>
        <v/>
      </c>
      <c r="O1915" s="9">
        <f>IF($A1915="","",N1915&amp;"|"&amp;$F1915)</f>
        <v/>
      </c>
      <c r="P1915" s="94">
        <f>IF($A1915="",0,$H1915*설정!$C$23)</f>
        <v/>
      </c>
      <c r="Q1915" s="64">
        <f>IF($A1915="","",IF(O1915&lt;&gt;원인분석!$C$9,"",IF(AND(M1915&gt;=원인분석!$C$10,M1915&lt;=원인분석!$C$11),"당기",IF(AND(M1915&gt;=원인분석!$C$12,M1915&lt;=원인분석!$C$13),"비교",""))))</f>
        <v/>
      </c>
      <c r="R1915" s="9">
        <f>IF(Q1915="","",$K1915&amp;"")</f>
        <v/>
      </c>
      <c r="S1915" s="9">
        <f>IF(Q1915="","",IF(MATCH(R1915,$R$5:$R$100000,0)=ROW()-4,ROW(),""))</f>
        <v/>
      </c>
      <c r="T1915" s="9">
        <f>IF(Q1915="당기",ABS(P1915)+ROW()/1000000000,"")</f>
        <v/>
      </c>
      <c r="U1915" s="9">
        <f>IF(Q1915="비교",ABS(P1915)+ROW()/1000000000,"")</f>
        <v/>
      </c>
      <c r="V1915" s="64">
        <f>IF($A1915="","",IF(COUNTIF(변동분석!$E$7:$E$506,O1915)&gt;0,"Y","N"))</f>
        <v/>
      </c>
      <c r="W1915" s="64">
        <f>IF($A1915="","",IFERROR(INDEX(계정매핑!$D$5:$D$504,MATCH($F1915&amp;"",계정매핑!$A$5:$A$504,0)),"미매핑"))</f>
        <v/>
      </c>
      <c r="X1915" s="9">
        <f>IF($A1915="","",$F1915&amp;"")</f>
        <v/>
      </c>
      <c r="Y1915" s="94">
        <f>IF($A1915="",0,IF(AE1915="직접",IF(AF1915="비귀속",$P1915,0),$P1915*(1-AG1915)*IFERROR(INDEX(계정대체기준!$F$20:$F$49,MATCH($N1915,계정대체기준!$A$20:$A$49,0)),1)))</f>
        <v/>
      </c>
      <c r="Z1915" s="94">
        <f>IF($A1915="",0,IF(AE1915="직접",IF(AF1915="신계약비",$P1915,0),$P1915*(1-AG1915)*IFERROR(INDEX(계정대체기준!$C$20:$C$49,MATCH($N1915,계정대체기준!$A$20:$A$49,0)),0)))</f>
        <v/>
      </c>
      <c r="AA1915" s="94">
        <f>IF($A1915="",0,IF(AE1915="직접",IF(OR(AF1915="유지비",AF1915="손해조사비"),$P1915,0),$P1915*(1-AG1915)*IFERROR(INDEX(계정대체기준!$D$20:$D$49,MATCH($N1915,계정대체기준!$A$20:$A$49,0)),0)))</f>
        <v/>
      </c>
      <c r="AB1915" s="94">
        <f>IF($A1915="",0,IF(AE1915="직접",IF(AF1915="수금비",$P1915,0),$P1915*(1-AG1915)*IFERROR(INDEX(계정대체기준!$E$20:$E$49,MATCH($N1915,계정대체기준!$A$20:$A$49,0)),0)))</f>
        <v/>
      </c>
      <c r="AC1915" s="9">
        <f>IF(AND($A1915&lt;&gt;"",M1915=설정!$C$20,Z1915&gt;0),Z1915+ROW()/1000000000,"")</f>
        <v/>
      </c>
      <c r="AD1915" s="94">
        <f>IF($A1915="",0,$P1915*AG1915)</f>
        <v/>
      </c>
      <c r="AE1915" s="64">
        <f>IF($A1915="","",IFERROR(INDEX(계정매핑!$E$5:$E$504,MATCH($F1915&amp;"",계정매핑!$A$5:$A$504,0))&amp;"","공통비"))</f>
        <v/>
      </c>
      <c r="AF1915" s="64">
        <f>IF($A1915="","",IF(AE1915="직접",IFERROR(INDEX(계정매핑!$F$5:$F$504,MATCH($F1915&amp;"",계정매핑!$A$5:$A$504,0))&amp;"","비귀속"),""))</f>
        <v/>
      </c>
      <c r="AG1915" s="96">
        <f>IF($A1915="",0,IF(AND(AE1915&lt;&gt;"직접",IFERROR(INDEX(계정매핑!$G$5:$G$504,MATCH($F1915&amp;"",계정매핑!$A$5:$A$504,0))&amp;"","")="유지비",COUNTIF(계정대체기준!$A$6:$A$15,$N1915)&gt;0),IFERROR(INDEX(계정대체기준!$E$6:$E$15,MATCH(VALUE($A1915&amp;""),계정대체기준!$D$6:$D$15,0)),0),0))</f>
        <v/>
      </c>
      <c r="AH1915" s="64">
        <f>IF($A1915="","",IF(AD1915=0,"",IF(OR(COUNTIF(계정대체기준!$A$77:$A$86,$N1915)&gt;0,ISNUMBER(MATCH($X1915,계정대체기준!$D$77:$D$86,0)),ISNUMBER(MATCH($F1915,계정대체기준!$D$77:$D$86,0))),"Y","N")))</f>
        <v/>
      </c>
    </row>
    <row r="1916">
      <c r="A1916" s="92" t="n">
        <v>2025</v>
      </c>
      <c r="B1916" s="92" t="n">
        <v>9</v>
      </c>
      <c r="C1916" s="92" t="inlineStr">
        <is>
          <t>5100001912</t>
        </is>
      </c>
      <c r="D1916" s="95" t="n">
        <v>45912</v>
      </c>
      <c r="E1916" s="92" t="inlineStr">
        <is>
          <t>KR</t>
        </is>
      </c>
      <c r="F1916" s="92" t="n">
        <v>62902000</v>
      </c>
      <c r="G1916" s="92" t="n">
        <v>1801</v>
      </c>
      <c r="H1916" s="93" t="n">
        <v>1765000</v>
      </c>
      <c r="I1916" s="92" t="inlineStr">
        <is>
          <t>9월 콜 위탁 수수료(건별)</t>
        </is>
      </c>
      <c r="J1916" s="92" t="inlineStr">
        <is>
          <t>V10016</t>
        </is>
      </c>
      <c r="K1916" s="92" t="inlineStr">
        <is>
          <t>J콜센터</t>
        </is>
      </c>
      <c r="M1916" s="9">
        <f>IF($A1916="","",VALUE($A1916&amp;"")*12+VALUE($B1916&amp;""))</f>
        <v/>
      </c>
      <c r="N1916" s="64">
        <f>IF($A1916="","",IFERROR(INDEX(부서매핑!$C$5:$C$504,MATCH($G1916&amp;"",부서매핑!$A$5:$A$504,0)),"미매핑"))</f>
        <v/>
      </c>
      <c r="O1916" s="9">
        <f>IF($A1916="","",N1916&amp;"|"&amp;$F1916)</f>
        <v/>
      </c>
      <c r="P1916" s="94">
        <f>IF($A1916="",0,$H1916*설정!$C$23)</f>
        <v/>
      </c>
      <c r="Q1916" s="64">
        <f>IF($A1916="","",IF(O1916&lt;&gt;원인분석!$C$9,"",IF(AND(M1916&gt;=원인분석!$C$10,M1916&lt;=원인분석!$C$11),"당기",IF(AND(M1916&gt;=원인분석!$C$12,M1916&lt;=원인분석!$C$13),"비교",""))))</f>
        <v/>
      </c>
      <c r="R1916" s="9">
        <f>IF(Q1916="","",$K1916&amp;"")</f>
        <v/>
      </c>
      <c r="S1916" s="9">
        <f>IF(Q1916="","",IF(MATCH(R1916,$R$5:$R$100000,0)=ROW()-4,ROW(),""))</f>
        <v/>
      </c>
      <c r="T1916" s="9">
        <f>IF(Q1916="당기",ABS(P1916)+ROW()/1000000000,"")</f>
        <v/>
      </c>
      <c r="U1916" s="9">
        <f>IF(Q1916="비교",ABS(P1916)+ROW()/1000000000,"")</f>
        <v/>
      </c>
      <c r="V1916" s="64">
        <f>IF($A1916="","",IF(COUNTIF(변동분석!$E$7:$E$506,O1916)&gt;0,"Y","N"))</f>
        <v/>
      </c>
      <c r="W1916" s="64">
        <f>IF($A1916="","",IFERROR(INDEX(계정매핑!$D$5:$D$504,MATCH($F1916&amp;"",계정매핑!$A$5:$A$504,0)),"미매핑"))</f>
        <v/>
      </c>
      <c r="X1916" s="9">
        <f>IF($A1916="","",$F1916&amp;"")</f>
        <v/>
      </c>
      <c r="Y1916" s="94">
        <f>IF($A1916="",0,IF(AE1916="직접",IF(AF1916="비귀속",$P1916,0),$P1916*(1-AG1916)*IFERROR(INDEX(계정대체기준!$F$20:$F$49,MATCH($N1916,계정대체기준!$A$20:$A$49,0)),1)))</f>
        <v/>
      </c>
      <c r="Z1916" s="94">
        <f>IF($A1916="",0,IF(AE1916="직접",IF(AF1916="신계약비",$P1916,0),$P1916*(1-AG1916)*IFERROR(INDEX(계정대체기준!$C$20:$C$49,MATCH($N1916,계정대체기준!$A$20:$A$49,0)),0)))</f>
        <v/>
      </c>
      <c r="AA1916" s="94">
        <f>IF($A1916="",0,IF(AE1916="직접",IF(OR(AF1916="유지비",AF1916="손해조사비"),$P1916,0),$P1916*(1-AG1916)*IFERROR(INDEX(계정대체기준!$D$20:$D$49,MATCH($N1916,계정대체기준!$A$20:$A$49,0)),0)))</f>
        <v/>
      </c>
      <c r="AB1916" s="94">
        <f>IF($A1916="",0,IF(AE1916="직접",IF(AF1916="수금비",$P1916,0),$P1916*(1-AG1916)*IFERROR(INDEX(계정대체기준!$E$20:$E$49,MATCH($N1916,계정대체기준!$A$20:$A$49,0)),0)))</f>
        <v/>
      </c>
      <c r="AC1916" s="9">
        <f>IF(AND($A1916&lt;&gt;"",M1916=설정!$C$20,Z1916&gt;0),Z1916+ROW()/1000000000,"")</f>
        <v/>
      </c>
      <c r="AD1916" s="94">
        <f>IF($A1916="",0,$P1916*AG1916)</f>
        <v/>
      </c>
      <c r="AE1916" s="64">
        <f>IF($A1916="","",IFERROR(INDEX(계정매핑!$E$5:$E$504,MATCH($F1916&amp;"",계정매핑!$A$5:$A$504,0))&amp;"","공통비"))</f>
        <v/>
      </c>
      <c r="AF1916" s="64">
        <f>IF($A1916="","",IF(AE1916="직접",IFERROR(INDEX(계정매핑!$F$5:$F$504,MATCH($F1916&amp;"",계정매핑!$A$5:$A$504,0))&amp;"","비귀속"),""))</f>
        <v/>
      </c>
      <c r="AG1916" s="96">
        <f>IF($A1916="",0,IF(AND(AE1916&lt;&gt;"직접",IFERROR(INDEX(계정매핑!$G$5:$G$504,MATCH($F1916&amp;"",계정매핑!$A$5:$A$504,0))&amp;"","")="유지비",COUNTIF(계정대체기준!$A$6:$A$15,$N1916)&gt;0),IFERROR(INDEX(계정대체기준!$E$6:$E$15,MATCH(VALUE($A1916&amp;""),계정대체기준!$D$6:$D$15,0)),0),0))</f>
        <v/>
      </c>
      <c r="AH1916" s="64">
        <f>IF($A1916="","",IF(AD1916=0,"",IF(OR(COUNTIF(계정대체기준!$A$77:$A$86,$N1916)&gt;0,ISNUMBER(MATCH($X1916,계정대체기준!$D$77:$D$86,0)),ISNUMBER(MATCH($F1916,계정대체기준!$D$77:$D$86,0))),"Y","N")))</f>
        <v/>
      </c>
    </row>
    <row r="1917">
      <c r="A1917" s="92" t="n">
        <v>2025</v>
      </c>
      <c r="B1917" s="92" t="n">
        <v>9</v>
      </c>
      <c r="C1917" s="92" t="inlineStr">
        <is>
          <t>5100001913</t>
        </is>
      </c>
      <c r="D1917" s="95" t="n">
        <v>45913</v>
      </c>
      <c r="E1917" s="92" t="inlineStr">
        <is>
          <t>KR</t>
        </is>
      </c>
      <c r="F1917" s="92" t="n">
        <v>62101000</v>
      </c>
      <c r="G1917" s="92" t="n">
        <v>1501</v>
      </c>
      <c r="H1917" s="93" t="n">
        <v>564000</v>
      </c>
      <c r="I1917" s="92" t="inlineStr">
        <is>
          <t>9월 국내출장 - M항공</t>
        </is>
      </c>
      <c r="J1917" s="92" t="inlineStr">
        <is>
          <t>V10001</t>
        </is>
      </c>
      <c r="K1917" s="92" t="inlineStr">
        <is>
          <t>M항공</t>
        </is>
      </c>
      <c r="M1917" s="9">
        <f>IF($A1917="","",VALUE($A1917&amp;"")*12+VALUE($B1917&amp;""))</f>
        <v/>
      </c>
      <c r="N1917" s="64">
        <f>IF($A1917="","",IFERROR(INDEX(부서매핑!$C$5:$C$504,MATCH($G1917&amp;"",부서매핑!$A$5:$A$504,0)),"미매핑"))</f>
        <v/>
      </c>
      <c r="O1917" s="9">
        <f>IF($A1917="","",N1917&amp;"|"&amp;$F1917)</f>
        <v/>
      </c>
      <c r="P1917" s="94">
        <f>IF($A1917="",0,$H1917*설정!$C$23)</f>
        <v/>
      </c>
      <c r="Q1917" s="64">
        <f>IF($A1917="","",IF(O1917&lt;&gt;원인분석!$C$9,"",IF(AND(M1917&gt;=원인분석!$C$10,M1917&lt;=원인분석!$C$11),"당기",IF(AND(M1917&gt;=원인분석!$C$12,M1917&lt;=원인분석!$C$13),"비교",""))))</f>
        <v/>
      </c>
      <c r="R1917" s="9">
        <f>IF(Q1917="","",$K1917&amp;"")</f>
        <v/>
      </c>
      <c r="S1917" s="9">
        <f>IF(Q1917="","",IF(MATCH(R1917,$R$5:$R$100000,0)=ROW()-4,ROW(),""))</f>
        <v/>
      </c>
      <c r="T1917" s="9">
        <f>IF(Q1917="당기",ABS(P1917)+ROW()/1000000000,"")</f>
        <v/>
      </c>
      <c r="U1917" s="9">
        <f>IF(Q1917="비교",ABS(P1917)+ROW()/1000000000,"")</f>
        <v/>
      </c>
      <c r="V1917" s="64">
        <f>IF($A1917="","",IF(COUNTIF(변동분석!$E$7:$E$506,O1917)&gt;0,"Y","N"))</f>
        <v/>
      </c>
      <c r="W1917" s="64">
        <f>IF($A1917="","",IFERROR(INDEX(계정매핑!$D$5:$D$504,MATCH($F1917&amp;"",계정매핑!$A$5:$A$504,0)),"미매핑"))</f>
        <v/>
      </c>
      <c r="X1917" s="9">
        <f>IF($A1917="","",$F1917&amp;"")</f>
        <v/>
      </c>
      <c r="Y1917" s="94">
        <f>IF($A1917="",0,IF(AE1917="직접",IF(AF1917="비귀속",$P1917,0),$P1917*(1-AG1917)*IFERROR(INDEX(계정대체기준!$F$20:$F$49,MATCH($N1917,계정대체기준!$A$20:$A$49,0)),1)))</f>
        <v/>
      </c>
      <c r="Z1917" s="94">
        <f>IF($A1917="",0,IF(AE1917="직접",IF(AF1917="신계약비",$P1917,0),$P1917*(1-AG1917)*IFERROR(INDEX(계정대체기준!$C$20:$C$49,MATCH($N1917,계정대체기준!$A$20:$A$49,0)),0)))</f>
        <v/>
      </c>
      <c r="AA1917" s="94">
        <f>IF($A1917="",0,IF(AE1917="직접",IF(OR(AF1917="유지비",AF1917="손해조사비"),$P1917,0),$P1917*(1-AG1917)*IFERROR(INDEX(계정대체기준!$D$20:$D$49,MATCH($N1917,계정대체기준!$A$20:$A$49,0)),0)))</f>
        <v/>
      </c>
      <c r="AB1917" s="94">
        <f>IF($A1917="",0,IF(AE1917="직접",IF(AF1917="수금비",$P1917,0),$P1917*(1-AG1917)*IFERROR(INDEX(계정대체기준!$E$20:$E$49,MATCH($N1917,계정대체기준!$A$20:$A$49,0)),0)))</f>
        <v/>
      </c>
      <c r="AC1917" s="9">
        <f>IF(AND($A1917&lt;&gt;"",M1917=설정!$C$20,Z1917&gt;0),Z1917+ROW()/1000000000,"")</f>
        <v/>
      </c>
      <c r="AD1917" s="94">
        <f>IF($A1917="",0,$P1917*AG1917)</f>
        <v/>
      </c>
      <c r="AE1917" s="64">
        <f>IF($A1917="","",IFERROR(INDEX(계정매핑!$E$5:$E$504,MATCH($F1917&amp;"",계정매핑!$A$5:$A$504,0))&amp;"","공통비"))</f>
        <v/>
      </c>
      <c r="AF1917" s="64">
        <f>IF($A1917="","",IF(AE1917="직접",IFERROR(INDEX(계정매핑!$F$5:$F$504,MATCH($F1917&amp;"",계정매핑!$A$5:$A$504,0))&amp;"","비귀속"),""))</f>
        <v/>
      </c>
      <c r="AG1917" s="96">
        <f>IF($A1917="",0,IF(AND(AE1917&lt;&gt;"직접",IFERROR(INDEX(계정매핑!$G$5:$G$504,MATCH($F1917&amp;"",계정매핑!$A$5:$A$504,0))&amp;"","")="유지비",COUNTIF(계정대체기준!$A$6:$A$15,$N1917)&gt;0),IFERROR(INDEX(계정대체기준!$E$6:$E$15,MATCH(VALUE($A1917&amp;""),계정대체기준!$D$6:$D$15,0)),0),0))</f>
        <v/>
      </c>
      <c r="AH1917" s="64">
        <f>IF($A1917="","",IF(AD1917=0,"",IF(OR(COUNTIF(계정대체기준!$A$77:$A$86,$N1917)&gt;0,ISNUMBER(MATCH($X1917,계정대체기준!$D$77:$D$86,0)),ISNUMBER(MATCH($F1917,계정대체기준!$D$77:$D$86,0))),"Y","N")))</f>
        <v/>
      </c>
    </row>
    <row r="1918">
      <c r="A1918" s="92" t="n">
        <v>2025</v>
      </c>
      <c r="B1918" s="92" t="n">
        <v>9</v>
      </c>
      <c r="C1918" s="92" t="inlineStr">
        <is>
          <t>5100001914</t>
        </is>
      </c>
      <c r="D1918" s="95" t="n">
        <v>45913</v>
      </c>
      <c r="E1918" s="92" t="inlineStr">
        <is>
          <t>KR</t>
        </is>
      </c>
      <c r="F1918" s="92" t="n">
        <v>62101000</v>
      </c>
      <c r="G1918" s="92" t="n">
        <v>1502</v>
      </c>
      <c r="H1918" s="93" t="n">
        <v>634000</v>
      </c>
      <c r="I1918" s="92" t="inlineStr">
        <is>
          <t>9월 국내출장 - M항공</t>
        </is>
      </c>
      <c r="J1918" s="92" t="inlineStr">
        <is>
          <t>V10001</t>
        </is>
      </c>
      <c r="K1918" s="92" t="inlineStr">
        <is>
          <t>M항공</t>
        </is>
      </c>
      <c r="M1918" s="9">
        <f>IF($A1918="","",VALUE($A1918&amp;"")*12+VALUE($B1918&amp;""))</f>
        <v/>
      </c>
      <c r="N1918" s="64">
        <f>IF($A1918="","",IFERROR(INDEX(부서매핑!$C$5:$C$504,MATCH($G1918&amp;"",부서매핑!$A$5:$A$504,0)),"미매핑"))</f>
        <v/>
      </c>
      <c r="O1918" s="9">
        <f>IF($A1918="","",N1918&amp;"|"&amp;$F1918)</f>
        <v/>
      </c>
      <c r="P1918" s="94">
        <f>IF($A1918="",0,$H1918*설정!$C$23)</f>
        <v/>
      </c>
      <c r="Q1918" s="64">
        <f>IF($A1918="","",IF(O1918&lt;&gt;원인분석!$C$9,"",IF(AND(M1918&gt;=원인분석!$C$10,M1918&lt;=원인분석!$C$11),"당기",IF(AND(M1918&gt;=원인분석!$C$12,M1918&lt;=원인분석!$C$13),"비교",""))))</f>
        <v/>
      </c>
      <c r="R1918" s="9">
        <f>IF(Q1918="","",$K1918&amp;"")</f>
        <v/>
      </c>
      <c r="S1918" s="9">
        <f>IF(Q1918="","",IF(MATCH(R1918,$R$5:$R$100000,0)=ROW()-4,ROW(),""))</f>
        <v/>
      </c>
      <c r="T1918" s="9">
        <f>IF(Q1918="당기",ABS(P1918)+ROW()/1000000000,"")</f>
        <v/>
      </c>
      <c r="U1918" s="9">
        <f>IF(Q1918="비교",ABS(P1918)+ROW()/1000000000,"")</f>
        <v/>
      </c>
      <c r="V1918" s="64">
        <f>IF($A1918="","",IF(COUNTIF(변동분석!$E$7:$E$506,O1918)&gt;0,"Y","N"))</f>
        <v/>
      </c>
      <c r="W1918" s="64">
        <f>IF($A1918="","",IFERROR(INDEX(계정매핑!$D$5:$D$504,MATCH($F1918&amp;"",계정매핑!$A$5:$A$504,0)),"미매핑"))</f>
        <v/>
      </c>
      <c r="X1918" s="9">
        <f>IF($A1918="","",$F1918&amp;"")</f>
        <v/>
      </c>
      <c r="Y1918" s="94">
        <f>IF($A1918="",0,IF(AE1918="직접",IF(AF1918="비귀속",$P1918,0),$P1918*(1-AG1918)*IFERROR(INDEX(계정대체기준!$F$20:$F$49,MATCH($N1918,계정대체기준!$A$20:$A$49,0)),1)))</f>
        <v/>
      </c>
      <c r="Z1918" s="94">
        <f>IF($A1918="",0,IF(AE1918="직접",IF(AF1918="신계약비",$P1918,0),$P1918*(1-AG1918)*IFERROR(INDEX(계정대체기준!$C$20:$C$49,MATCH($N1918,계정대체기준!$A$20:$A$49,0)),0)))</f>
        <v/>
      </c>
      <c r="AA1918" s="94">
        <f>IF($A1918="",0,IF(AE1918="직접",IF(OR(AF1918="유지비",AF1918="손해조사비"),$P1918,0),$P1918*(1-AG1918)*IFERROR(INDEX(계정대체기준!$D$20:$D$49,MATCH($N1918,계정대체기준!$A$20:$A$49,0)),0)))</f>
        <v/>
      </c>
      <c r="AB1918" s="94">
        <f>IF($A1918="",0,IF(AE1918="직접",IF(AF1918="수금비",$P1918,0),$P1918*(1-AG1918)*IFERROR(INDEX(계정대체기준!$E$20:$E$49,MATCH($N1918,계정대체기준!$A$20:$A$49,0)),0)))</f>
        <v/>
      </c>
      <c r="AC1918" s="9">
        <f>IF(AND($A1918&lt;&gt;"",M1918=설정!$C$20,Z1918&gt;0),Z1918+ROW()/1000000000,"")</f>
        <v/>
      </c>
      <c r="AD1918" s="94">
        <f>IF($A1918="",0,$P1918*AG1918)</f>
        <v/>
      </c>
      <c r="AE1918" s="64">
        <f>IF($A1918="","",IFERROR(INDEX(계정매핑!$E$5:$E$504,MATCH($F1918&amp;"",계정매핑!$A$5:$A$504,0))&amp;"","공통비"))</f>
        <v/>
      </c>
      <c r="AF1918" s="64">
        <f>IF($A1918="","",IF(AE1918="직접",IFERROR(INDEX(계정매핑!$F$5:$F$504,MATCH($F1918&amp;"",계정매핑!$A$5:$A$504,0))&amp;"","비귀속"),""))</f>
        <v/>
      </c>
      <c r="AG1918" s="96">
        <f>IF($A1918="",0,IF(AND(AE1918&lt;&gt;"직접",IFERROR(INDEX(계정매핑!$G$5:$G$504,MATCH($F1918&amp;"",계정매핑!$A$5:$A$504,0))&amp;"","")="유지비",COUNTIF(계정대체기준!$A$6:$A$15,$N1918)&gt;0),IFERROR(INDEX(계정대체기준!$E$6:$E$15,MATCH(VALUE($A1918&amp;""),계정대체기준!$D$6:$D$15,0)),0),0))</f>
        <v/>
      </c>
      <c r="AH1918" s="64">
        <f>IF($A1918="","",IF(AD1918=0,"",IF(OR(COUNTIF(계정대체기준!$A$77:$A$86,$N1918)&gt;0,ISNUMBER(MATCH($X1918,계정대체기준!$D$77:$D$86,0)),ISNUMBER(MATCH($F1918,계정대체기준!$D$77:$D$86,0))),"Y","N")))</f>
        <v/>
      </c>
    </row>
    <row r="1919">
      <c r="A1919" s="92" t="n">
        <v>2025</v>
      </c>
      <c r="B1919" s="92" t="n">
        <v>9</v>
      </c>
      <c r="C1919" s="92" t="inlineStr">
        <is>
          <t>5100001915</t>
        </is>
      </c>
      <c r="D1919" s="95" t="n">
        <v>45913</v>
      </c>
      <c r="E1919" s="92" t="inlineStr">
        <is>
          <t>KR</t>
        </is>
      </c>
      <c r="F1919" s="92" t="n">
        <v>62101000</v>
      </c>
      <c r="G1919" s="92" t="n">
        <v>1601</v>
      </c>
      <c r="H1919" s="93" t="n">
        <v>651000</v>
      </c>
      <c r="I1919" s="92" t="inlineStr">
        <is>
          <t>9월 국내출장 - M항공</t>
        </is>
      </c>
      <c r="J1919" s="92" t="inlineStr">
        <is>
          <t>V10001</t>
        </is>
      </c>
      <c r="K1919" s="92" t="inlineStr">
        <is>
          <t>M항공</t>
        </is>
      </c>
      <c r="M1919" s="9">
        <f>IF($A1919="","",VALUE($A1919&amp;"")*12+VALUE($B1919&amp;""))</f>
        <v/>
      </c>
      <c r="N1919" s="64">
        <f>IF($A1919="","",IFERROR(INDEX(부서매핑!$C$5:$C$504,MATCH($G1919&amp;"",부서매핑!$A$5:$A$504,0)),"미매핑"))</f>
        <v/>
      </c>
      <c r="O1919" s="9">
        <f>IF($A1919="","",N1919&amp;"|"&amp;$F1919)</f>
        <v/>
      </c>
      <c r="P1919" s="94">
        <f>IF($A1919="",0,$H1919*설정!$C$23)</f>
        <v/>
      </c>
      <c r="Q1919" s="64">
        <f>IF($A1919="","",IF(O1919&lt;&gt;원인분석!$C$9,"",IF(AND(M1919&gt;=원인분석!$C$10,M1919&lt;=원인분석!$C$11),"당기",IF(AND(M1919&gt;=원인분석!$C$12,M1919&lt;=원인분석!$C$13),"비교",""))))</f>
        <v/>
      </c>
      <c r="R1919" s="9">
        <f>IF(Q1919="","",$K1919&amp;"")</f>
        <v/>
      </c>
      <c r="S1919" s="9">
        <f>IF(Q1919="","",IF(MATCH(R1919,$R$5:$R$100000,0)=ROW()-4,ROW(),""))</f>
        <v/>
      </c>
      <c r="T1919" s="9">
        <f>IF(Q1919="당기",ABS(P1919)+ROW()/1000000000,"")</f>
        <v/>
      </c>
      <c r="U1919" s="9">
        <f>IF(Q1919="비교",ABS(P1919)+ROW()/1000000000,"")</f>
        <v/>
      </c>
      <c r="V1919" s="64">
        <f>IF($A1919="","",IF(COUNTIF(변동분석!$E$7:$E$506,O1919)&gt;0,"Y","N"))</f>
        <v/>
      </c>
      <c r="W1919" s="64">
        <f>IF($A1919="","",IFERROR(INDEX(계정매핑!$D$5:$D$504,MATCH($F1919&amp;"",계정매핑!$A$5:$A$504,0)),"미매핑"))</f>
        <v/>
      </c>
      <c r="X1919" s="9">
        <f>IF($A1919="","",$F1919&amp;"")</f>
        <v/>
      </c>
      <c r="Y1919" s="94">
        <f>IF($A1919="",0,IF(AE1919="직접",IF(AF1919="비귀속",$P1919,0),$P1919*(1-AG1919)*IFERROR(INDEX(계정대체기준!$F$20:$F$49,MATCH($N1919,계정대체기준!$A$20:$A$49,0)),1)))</f>
        <v/>
      </c>
      <c r="Z1919" s="94">
        <f>IF($A1919="",0,IF(AE1919="직접",IF(AF1919="신계약비",$P1919,0),$P1919*(1-AG1919)*IFERROR(INDEX(계정대체기준!$C$20:$C$49,MATCH($N1919,계정대체기준!$A$20:$A$49,0)),0)))</f>
        <v/>
      </c>
      <c r="AA1919" s="94">
        <f>IF($A1919="",0,IF(AE1919="직접",IF(OR(AF1919="유지비",AF1919="손해조사비"),$P1919,0),$P1919*(1-AG1919)*IFERROR(INDEX(계정대체기준!$D$20:$D$49,MATCH($N1919,계정대체기준!$A$20:$A$49,0)),0)))</f>
        <v/>
      </c>
      <c r="AB1919" s="94">
        <f>IF($A1919="",0,IF(AE1919="직접",IF(AF1919="수금비",$P1919,0),$P1919*(1-AG1919)*IFERROR(INDEX(계정대체기준!$E$20:$E$49,MATCH($N1919,계정대체기준!$A$20:$A$49,0)),0)))</f>
        <v/>
      </c>
      <c r="AC1919" s="9">
        <f>IF(AND($A1919&lt;&gt;"",M1919=설정!$C$20,Z1919&gt;0),Z1919+ROW()/1000000000,"")</f>
        <v/>
      </c>
      <c r="AD1919" s="94">
        <f>IF($A1919="",0,$P1919*AG1919)</f>
        <v/>
      </c>
      <c r="AE1919" s="64">
        <f>IF($A1919="","",IFERROR(INDEX(계정매핑!$E$5:$E$504,MATCH($F1919&amp;"",계정매핑!$A$5:$A$504,0))&amp;"","공통비"))</f>
        <v/>
      </c>
      <c r="AF1919" s="64">
        <f>IF($A1919="","",IF(AE1919="직접",IFERROR(INDEX(계정매핑!$F$5:$F$504,MATCH($F1919&amp;"",계정매핑!$A$5:$A$504,0))&amp;"","비귀속"),""))</f>
        <v/>
      </c>
      <c r="AG1919" s="96">
        <f>IF($A1919="",0,IF(AND(AE1919&lt;&gt;"직접",IFERROR(INDEX(계정매핑!$G$5:$G$504,MATCH($F1919&amp;"",계정매핑!$A$5:$A$504,0))&amp;"","")="유지비",COUNTIF(계정대체기준!$A$6:$A$15,$N1919)&gt;0),IFERROR(INDEX(계정대체기준!$E$6:$E$15,MATCH(VALUE($A1919&amp;""),계정대체기준!$D$6:$D$15,0)),0),0))</f>
        <v/>
      </c>
      <c r="AH1919" s="64">
        <f>IF($A1919="","",IF(AD1919=0,"",IF(OR(COUNTIF(계정대체기준!$A$77:$A$86,$N1919)&gt;0,ISNUMBER(MATCH($X1919,계정대체기준!$D$77:$D$86,0)),ISNUMBER(MATCH($F1919,계정대체기준!$D$77:$D$86,0))),"Y","N")))</f>
        <v/>
      </c>
    </row>
    <row r="1920">
      <c r="A1920" s="92" t="n">
        <v>2025</v>
      </c>
      <c r="B1920" s="92" t="n">
        <v>9</v>
      </c>
      <c r="C1920" s="92" t="inlineStr">
        <is>
          <t>5100001916</t>
        </is>
      </c>
      <c r="D1920" s="95" t="n">
        <v>45913</v>
      </c>
      <c r="E1920" s="92" t="inlineStr">
        <is>
          <t>KR</t>
        </is>
      </c>
      <c r="F1920" s="92" t="n">
        <v>62101000</v>
      </c>
      <c r="G1920" s="92" t="n">
        <v>1601</v>
      </c>
      <c r="H1920" s="93" t="n">
        <v>1191000</v>
      </c>
      <c r="I1920" s="92" t="inlineStr">
        <is>
          <t>9월 국내출장 - (법인카드)</t>
        </is>
      </c>
      <c r="J1920" s="92" t="inlineStr">
        <is>
          <t>V10010</t>
        </is>
      </c>
      <c r="K1920" s="92" t="inlineStr">
        <is>
          <t>(법인카드)</t>
        </is>
      </c>
      <c r="M1920" s="9">
        <f>IF($A1920="","",VALUE($A1920&amp;"")*12+VALUE($B1920&amp;""))</f>
        <v/>
      </c>
      <c r="N1920" s="64">
        <f>IF($A1920="","",IFERROR(INDEX(부서매핑!$C$5:$C$504,MATCH($G1920&amp;"",부서매핑!$A$5:$A$504,0)),"미매핑"))</f>
        <v/>
      </c>
      <c r="O1920" s="9">
        <f>IF($A1920="","",N1920&amp;"|"&amp;$F1920)</f>
        <v/>
      </c>
      <c r="P1920" s="94">
        <f>IF($A1920="",0,$H1920*설정!$C$23)</f>
        <v/>
      </c>
      <c r="Q1920" s="64">
        <f>IF($A1920="","",IF(O1920&lt;&gt;원인분석!$C$9,"",IF(AND(M1920&gt;=원인분석!$C$10,M1920&lt;=원인분석!$C$11),"당기",IF(AND(M1920&gt;=원인분석!$C$12,M1920&lt;=원인분석!$C$13),"비교",""))))</f>
        <v/>
      </c>
      <c r="R1920" s="9">
        <f>IF(Q1920="","",$K1920&amp;"")</f>
        <v/>
      </c>
      <c r="S1920" s="9">
        <f>IF(Q1920="","",IF(MATCH(R1920,$R$5:$R$100000,0)=ROW()-4,ROW(),""))</f>
        <v/>
      </c>
      <c r="T1920" s="9">
        <f>IF(Q1920="당기",ABS(P1920)+ROW()/1000000000,"")</f>
        <v/>
      </c>
      <c r="U1920" s="9">
        <f>IF(Q1920="비교",ABS(P1920)+ROW()/1000000000,"")</f>
        <v/>
      </c>
      <c r="V1920" s="64">
        <f>IF($A1920="","",IF(COUNTIF(변동분석!$E$7:$E$506,O1920)&gt;0,"Y","N"))</f>
        <v/>
      </c>
      <c r="W1920" s="64">
        <f>IF($A1920="","",IFERROR(INDEX(계정매핑!$D$5:$D$504,MATCH($F1920&amp;"",계정매핑!$A$5:$A$504,0)),"미매핑"))</f>
        <v/>
      </c>
      <c r="X1920" s="9">
        <f>IF($A1920="","",$F1920&amp;"")</f>
        <v/>
      </c>
      <c r="Y1920" s="94">
        <f>IF($A1920="",0,IF(AE1920="직접",IF(AF1920="비귀속",$P1920,0),$P1920*(1-AG1920)*IFERROR(INDEX(계정대체기준!$F$20:$F$49,MATCH($N1920,계정대체기준!$A$20:$A$49,0)),1)))</f>
        <v/>
      </c>
      <c r="Z1920" s="94">
        <f>IF($A1920="",0,IF(AE1920="직접",IF(AF1920="신계약비",$P1920,0),$P1920*(1-AG1920)*IFERROR(INDEX(계정대체기준!$C$20:$C$49,MATCH($N1920,계정대체기준!$A$20:$A$49,0)),0)))</f>
        <v/>
      </c>
      <c r="AA1920" s="94">
        <f>IF($A1920="",0,IF(AE1920="직접",IF(OR(AF1920="유지비",AF1920="손해조사비"),$P1920,0),$P1920*(1-AG1920)*IFERROR(INDEX(계정대체기준!$D$20:$D$49,MATCH($N1920,계정대체기준!$A$20:$A$49,0)),0)))</f>
        <v/>
      </c>
      <c r="AB1920" s="94">
        <f>IF($A1920="",0,IF(AE1920="직접",IF(AF1920="수금비",$P1920,0),$P1920*(1-AG1920)*IFERROR(INDEX(계정대체기준!$E$20:$E$49,MATCH($N1920,계정대체기준!$A$20:$A$49,0)),0)))</f>
        <v/>
      </c>
      <c r="AC1920" s="9">
        <f>IF(AND($A1920&lt;&gt;"",M1920=설정!$C$20,Z1920&gt;0),Z1920+ROW()/1000000000,"")</f>
        <v/>
      </c>
      <c r="AD1920" s="94">
        <f>IF($A1920="",0,$P1920*AG1920)</f>
        <v/>
      </c>
      <c r="AE1920" s="64">
        <f>IF($A1920="","",IFERROR(INDEX(계정매핑!$E$5:$E$504,MATCH($F1920&amp;"",계정매핑!$A$5:$A$504,0))&amp;"","공통비"))</f>
        <v/>
      </c>
      <c r="AF1920" s="64">
        <f>IF($A1920="","",IF(AE1920="직접",IFERROR(INDEX(계정매핑!$F$5:$F$504,MATCH($F1920&amp;"",계정매핑!$A$5:$A$504,0))&amp;"","비귀속"),""))</f>
        <v/>
      </c>
      <c r="AG1920" s="96">
        <f>IF($A1920="",0,IF(AND(AE1920&lt;&gt;"직접",IFERROR(INDEX(계정매핑!$G$5:$G$504,MATCH($F1920&amp;"",계정매핑!$A$5:$A$504,0))&amp;"","")="유지비",COUNTIF(계정대체기준!$A$6:$A$15,$N1920)&gt;0),IFERROR(INDEX(계정대체기준!$E$6:$E$15,MATCH(VALUE($A1920&amp;""),계정대체기준!$D$6:$D$15,0)),0),0))</f>
        <v/>
      </c>
      <c r="AH1920" s="64">
        <f>IF($A1920="","",IF(AD1920=0,"",IF(OR(COUNTIF(계정대체기준!$A$77:$A$86,$N1920)&gt;0,ISNUMBER(MATCH($X1920,계정대체기준!$D$77:$D$86,0)),ISNUMBER(MATCH($F1920,계정대체기준!$D$77:$D$86,0))),"Y","N")))</f>
        <v/>
      </c>
    </row>
    <row r="1921">
      <c r="A1921" s="92" t="n">
        <v>2025</v>
      </c>
      <c r="B1921" s="92" t="n">
        <v>9</v>
      </c>
      <c r="C1921" s="92" t="inlineStr">
        <is>
          <t>5100001917</t>
        </is>
      </c>
      <c r="D1921" s="95" t="n">
        <v>45913</v>
      </c>
      <c r="E1921" s="92" t="inlineStr">
        <is>
          <t>KR</t>
        </is>
      </c>
      <c r="F1921" s="92" t="n">
        <v>62101000</v>
      </c>
      <c r="G1921" s="92" t="n">
        <v>1951</v>
      </c>
      <c r="H1921" s="93" t="n">
        <v>345000</v>
      </c>
      <c r="I1921" s="92" t="inlineStr">
        <is>
          <t>9월 국내출장 - M항공</t>
        </is>
      </c>
      <c r="J1921" s="92" t="inlineStr">
        <is>
          <t>V10001</t>
        </is>
      </c>
      <c r="K1921" s="92" t="inlineStr">
        <is>
          <t>M항공</t>
        </is>
      </c>
      <c r="M1921" s="9">
        <f>IF($A1921="","",VALUE($A1921&amp;"")*12+VALUE($B1921&amp;""))</f>
        <v/>
      </c>
      <c r="N1921" s="64">
        <f>IF($A1921="","",IFERROR(INDEX(부서매핑!$C$5:$C$504,MATCH($G1921&amp;"",부서매핑!$A$5:$A$504,0)),"미매핑"))</f>
        <v/>
      </c>
      <c r="O1921" s="9">
        <f>IF($A1921="","",N1921&amp;"|"&amp;$F1921)</f>
        <v/>
      </c>
      <c r="P1921" s="94">
        <f>IF($A1921="",0,$H1921*설정!$C$23)</f>
        <v/>
      </c>
      <c r="Q1921" s="64">
        <f>IF($A1921="","",IF(O1921&lt;&gt;원인분석!$C$9,"",IF(AND(M1921&gt;=원인분석!$C$10,M1921&lt;=원인분석!$C$11),"당기",IF(AND(M1921&gt;=원인분석!$C$12,M1921&lt;=원인분석!$C$13),"비교",""))))</f>
        <v/>
      </c>
      <c r="R1921" s="9">
        <f>IF(Q1921="","",$K1921&amp;"")</f>
        <v/>
      </c>
      <c r="S1921" s="9">
        <f>IF(Q1921="","",IF(MATCH(R1921,$R$5:$R$100000,0)=ROW()-4,ROW(),""))</f>
        <v/>
      </c>
      <c r="T1921" s="9">
        <f>IF(Q1921="당기",ABS(P1921)+ROW()/1000000000,"")</f>
        <v/>
      </c>
      <c r="U1921" s="9">
        <f>IF(Q1921="비교",ABS(P1921)+ROW()/1000000000,"")</f>
        <v/>
      </c>
      <c r="V1921" s="64">
        <f>IF($A1921="","",IF(COUNTIF(변동분석!$E$7:$E$506,O1921)&gt;0,"Y","N"))</f>
        <v/>
      </c>
      <c r="W1921" s="64">
        <f>IF($A1921="","",IFERROR(INDEX(계정매핑!$D$5:$D$504,MATCH($F1921&amp;"",계정매핑!$A$5:$A$504,0)),"미매핑"))</f>
        <v/>
      </c>
      <c r="X1921" s="9">
        <f>IF($A1921="","",$F1921&amp;"")</f>
        <v/>
      </c>
      <c r="Y1921" s="94">
        <f>IF($A1921="",0,IF(AE1921="직접",IF(AF1921="비귀속",$P1921,0),$P1921*(1-AG1921)*IFERROR(INDEX(계정대체기준!$F$20:$F$49,MATCH($N1921,계정대체기준!$A$20:$A$49,0)),1)))</f>
        <v/>
      </c>
      <c r="Z1921" s="94">
        <f>IF($A1921="",0,IF(AE1921="직접",IF(AF1921="신계약비",$P1921,0),$P1921*(1-AG1921)*IFERROR(INDEX(계정대체기준!$C$20:$C$49,MATCH($N1921,계정대체기준!$A$20:$A$49,0)),0)))</f>
        <v/>
      </c>
      <c r="AA1921" s="94">
        <f>IF($A1921="",0,IF(AE1921="직접",IF(OR(AF1921="유지비",AF1921="손해조사비"),$P1921,0),$P1921*(1-AG1921)*IFERROR(INDEX(계정대체기준!$D$20:$D$49,MATCH($N1921,계정대체기준!$A$20:$A$49,0)),0)))</f>
        <v/>
      </c>
      <c r="AB1921" s="94">
        <f>IF($A1921="",0,IF(AE1921="직접",IF(AF1921="수금비",$P1921,0),$P1921*(1-AG1921)*IFERROR(INDEX(계정대체기준!$E$20:$E$49,MATCH($N1921,계정대체기준!$A$20:$A$49,0)),0)))</f>
        <v/>
      </c>
      <c r="AC1921" s="9">
        <f>IF(AND($A1921&lt;&gt;"",M1921=설정!$C$20,Z1921&gt;0),Z1921+ROW()/1000000000,"")</f>
        <v/>
      </c>
      <c r="AD1921" s="94">
        <f>IF($A1921="",0,$P1921*AG1921)</f>
        <v/>
      </c>
      <c r="AE1921" s="64">
        <f>IF($A1921="","",IFERROR(INDEX(계정매핑!$E$5:$E$504,MATCH($F1921&amp;"",계정매핑!$A$5:$A$504,0))&amp;"","공통비"))</f>
        <v/>
      </c>
      <c r="AF1921" s="64">
        <f>IF($A1921="","",IF(AE1921="직접",IFERROR(INDEX(계정매핑!$F$5:$F$504,MATCH($F1921&amp;"",계정매핑!$A$5:$A$504,0))&amp;"","비귀속"),""))</f>
        <v/>
      </c>
      <c r="AG1921" s="96">
        <f>IF($A1921="",0,IF(AND(AE1921&lt;&gt;"직접",IFERROR(INDEX(계정매핑!$G$5:$G$504,MATCH($F1921&amp;"",계정매핑!$A$5:$A$504,0))&amp;"","")="유지비",COUNTIF(계정대체기준!$A$6:$A$15,$N1921)&gt;0),IFERROR(INDEX(계정대체기준!$E$6:$E$15,MATCH(VALUE($A1921&amp;""),계정대체기준!$D$6:$D$15,0)),0),0))</f>
        <v/>
      </c>
      <c r="AH1921" s="64">
        <f>IF($A1921="","",IF(AD1921=0,"",IF(OR(COUNTIF(계정대체기준!$A$77:$A$86,$N1921)&gt;0,ISNUMBER(MATCH($X1921,계정대체기준!$D$77:$D$86,0)),ISNUMBER(MATCH($F1921,계정대체기준!$D$77:$D$86,0))),"Y","N")))</f>
        <v/>
      </c>
    </row>
    <row r="1922">
      <c r="A1922" s="92" t="n">
        <v>2025</v>
      </c>
      <c r="B1922" s="92" t="n">
        <v>9</v>
      </c>
      <c r="C1922" s="92" t="inlineStr">
        <is>
          <t>5100001918</t>
        </is>
      </c>
      <c r="D1922" s="95" t="n">
        <v>45913</v>
      </c>
      <c r="E1922" s="92" t="inlineStr">
        <is>
          <t>KR</t>
        </is>
      </c>
      <c r="F1922" s="92" t="n">
        <v>62102000</v>
      </c>
      <c r="G1922" s="92" t="n">
        <v>1801</v>
      </c>
      <c r="H1922" s="93" t="n">
        <v>58000</v>
      </c>
      <c r="I1922" s="92" t="inlineStr">
        <is>
          <t>9월 해외출장 - M항공</t>
        </is>
      </c>
      <c r="J1922" s="92" t="inlineStr">
        <is>
          <t>V10001</t>
        </is>
      </c>
      <c r="K1922" s="92" t="inlineStr">
        <is>
          <t>M항공</t>
        </is>
      </c>
      <c r="M1922" s="9">
        <f>IF($A1922="","",VALUE($A1922&amp;"")*12+VALUE($B1922&amp;""))</f>
        <v/>
      </c>
      <c r="N1922" s="64">
        <f>IF($A1922="","",IFERROR(INDEX(부서매핑!$C$5:$C$504,MATCH($G1922&amp;"",부서매핑!$A$5:$A$504,0)),"미매핑"))</f>
        <v/>
      </c>
      <c r="O1922" s="9">
        <f>IF($A1922="","",N1922&amp;"|"&amp;$F1922)</f>
        <v/>
      </c>
      <c r="P1922" s="94">
        <f>IF($A1922="",0,$H1922*설정!$C$23)</f>
        <v/>
      </c>
      <c r="Q1922" s="64">
        <f>IF($A1922="","",IF(O1922&lt;&gt;원인분석!$C$9,"",IF(AND(M1922&gt;=원인분석!$C$10,M1922&lt;=원인분석!$C$11),"당기",IF(AND(M1922&gt;=원인분석!$C$12,M1922&lt;=원인분석!$C$13),"비교",""))))</f>
        <v/>
      </c>
      <c r="R1922" s="9">
        <f>IF(Q1922="","",$K1922&amp;"")</f>
        <v/>
      </c>
      <c r="S1922" s="9">
        <f>IF(Q1922="","",IF(MATCH(R1922,$R$5:$R$100000,0)=ROW()-4,ROW(),""))</f>
        <v/>
      </c>
      <c r="T1922" s="9">
        <f>IF(Q1922="당기",ABS(P1922)+ROW()/1000000000,"")</f>
        <v/>
      </c>
      <c r="U1922" s="9">
        <f>IF(Q1922="비교",ABS(P1922)+ROW()/1000000000,"")</f>
        <v/>
      </c>
      <c r="V1922" s="64">
        <f>IF($A1922="","",IF(COUNTIF(변동분석!$E$7:$E$506,O1922)&gt;0,"Y","N"))</f>
        <v/>
      </c>
      <c r="W1922" s="64">
        <f>IF($A1922="","",IFERROR(INDEX(계정매핑!$D$5:$D$504,MATCH($F1922&amp;"",계정매핑!$A$5:$A$504,0)),"미매핑"))</f>
        <v/>
      </c>
      <c r="X1922" s="9">
        <f>IF($A1922="","",$F1922&amp;"")</f>
        <v/>
      </c>
      <c r="Y1922" s="94">
        <f>IF($A1922="",0,IF(AE1922="직접",IF(AF1922="비귀속",$P1922,0),$P1922*(1-AG1922)*IFERROR(INDEX(계정대체기준!$F$20:$F$49,MATCH($N1922,계정대체기준!$A$20:$A$49,0)),1)))</f>
        <v/>
      </c>
      <c r="Z1922" s="94">
        <f>IF($A1922="",0,IF(AE1922="직접",IF(AF1922="신계약비",$P1922,0),$P1922*(1-AG1922)*IFERROR(INDEX(계정대체기준!$C$20:$C$49,MATCH($N1922,계정대체기준!$A$20:$A$49,0)),0)))</f>
        <v/>
      </c>
      <c r="AA1922" s="94">
        <f>IF($A1922="",0,IF(AE1922="직접",IF(OR(AF1922="유지비",AF1922="손해조사비"),$P1922,0),$P1922*(1-AG1922)*IFERROR(INDEX(계정대체기준!$D$20:$D$49,MATCH($N1922,계정대체기준!$A$20:$A$49,0)),0)))</f>
        <v/>
      </c>
      <c r="AB1922" s="94">
        <f>IF($A1922="",0,IF(AE1922="직접",IF(AF1922="수금비",$P1922,0),$P1922*(1-AG1922)*IFERROR(INDEX(계정대체기준!$E$20:$E$49,MATCH($N1922,계정대체기준!$A$20:$A$49,0)),0)))</f>
        <v/>
      </c>
      <c r="AC1922" s="9">
        <f>IF(AND($A1922&lt;&gt;"",M1922=설정!$C$20,Z1922&gt;0),Z1922+ROW()/1000000000,"")</f>
        <v/>
      </c>
      <c r="AD1922" s="94">
        <f>IF($A1922="",0,$P1922*AG1922)</f>
        <v/>
      </c>
      <c r="AE1922" s="64">
        <f>IF($A1922="","",IFERROR(INDEX(계정매핑!$E$5:$E$504,MATCH($F1922&amp;"",계정매핑!$A$5:$A$504,0))&amp;"","공통비"))</f>
        <v/>
      </c>
      <c r="AF1922" s="64">
        <f>IF($A1922="","",IF(AE1922="직접",IFERROR(INDEX(계정매핑!$F$5:$F$504,MATCH($F1922&amp;"",계정매핑!$A$5:$A$504,0))&amp;"","비귀속"),""))</f>
        <v/>
      </c>
      <c r="AG1922" s="96">
        <f>IF($A1922="",0,IF(AND(AE1922&lt;&gt;"직접",IFERROR(INDEX(계정매핑!$G$5:$G$504,MATCH($F1922&amp;"",계정매핑!$A$5:$A$504,0))&amp;"","")="유지비",COUNTIF(계정대체기준!$A$6:$A$15,$N1922)&gt;0),IFERROR(INDEX(계정대체기준!$E$6:$E$15,MATCH(VALUE($A1922&amp;""),계정대체기준!$D$6:$D$15,0)),0),0))</f>
        <v/>
      </c>
      <c r="AH1922" s="64">
        <f>IF($A1922="","",IF(AD1922=0,"",IF(OR(COUNTIF(계정대체기준!$A$77:$A$86,$N1922)&gt;0,ISNUMBER(MATCH($X1922,계정대체기준!$D$77:$D$86,0)),ISNUMBER(MATCH($F1922,계정대체기준!$D$77:$D$86,0))),"Y","N")))</f>
        <v/>
      </c>
    </row>
    <row r="1923">
      <c r="A1923" s="92" t="n">
        <v>2025</v>
      </c>
      <c r="B1923" s="92" t="n">
        <v>9</v>
      </c>
      <c r="C1923" s="92" t="inlineStr">
        <is>
          <t>5100001919</t>
        </is>
      </c>
      <c r="D1923" s="95" t="n">
        <v>45913</v>
      </c>
      <c r="E1923" s="92" t="inlineStr">
        <is>
          <t>KR</t>
        </is>
      </c>
      <c r="F1923" s="92" t="n">
        <v>62601000</v>
      </c>
      <c r="G1923" s="92" t="n">
        <v>1301</v>
      </c>
      <c r="H1923" s="93" t="n">
        <v>1708000</v>
      </c>
      <c r="I1923" s="92" t="inlineStr">
        <is>
          <t>9월 업무추진 - (법인카드)</t>
        </is>
      </c>
      <c r="J1923" s="92" t="inlineStr">
        <is>
          <t>V10010</t>
        </is>
      </c>
      <c r="K1923" s="92" t="inlineStr">
        <is>
          <t>(법인카드)</t>
        </is>
      </c>
      <c r="M1923" s="9">
        <f>IF($A1923="","",VALUE($A1923&amp;"")*12+VALUE($B1923&amp;""))</f>
        <v/>
      </c>
      <c r="N1923" s="64">
        <f>IF($A1923="","",IFERROR(INDEX(부서매핑!$C$5:$C$504,MATCH($G1923&amp;"",부서매핑!$A$5:$A$504,0)),"미매핑"))</f>
        <v/>
      </c>
      <c r="O1923" s="9">
        <f>IF($A1923="","",N1923&amp;"|"&amp;$F1923)</f>
        <v/>
      </c>
      <c r="P1923" s="94">
        <f>IF($A1923="",0,$H1923*설정!$C$23)</f>
        <v/>
      </c>
      <c r="Q1923" s="64">
        <f>IF($A1923="","",IF(O1923&lt;&gt;원인분석!$C$9,"",IF(AND(M1923&gt;=원인분석!$C$10,M1923&lt;=원인분석!$C$11),"당기",IF(AND(M1923&gt;=원인분석!$C$12,M1923&lt;=원인분석!$C$13),"비교",""))))</f>
        <v/>
      </c>
      <c r="R1923" s="9">
        <f>IF(Q1923="","",$K1923&amp;"")</f>
        <v/>
      </c>
      <c r="S1923" s="9">
        <f>IF(Q1923="","",IF(MATCH(R1923,$R$5:$R$100000,0)=ROW()-4,ROW(),""))</f>
        <v/>
      </c>
      <c r="T1923" s="9">
        <f>IF(Q1923="당기",ABS(P1923)+ROW()/1000000000,"")</f>
        <v/>
      </c>
      <c r="U1923" s="9">
        <f>IF(Q1923="비교",ABS(P1923)+ROW()/1000000000,"")</f>
        <v/>
      </c>
      <c r="V1923" s="64">
        <f>IF($A1923="","",IF(COUNTIF(변동분석!$E$7:$E$506,O1923)&gt;0,"Y","N"))</f>
        <v/>
      </c>
      <c r="W1923" s="64">
        <f>IF($A1923="","",IFERROR(INDEX(계정매핑!$D$5:$D$504,MATCH($F1923&amp;"",계정매핑!$A$5:$A$504,0)),"미매핑"))</f>
        <v/>
      </c>
      <c r="X1923" s="9">
        <f>IF($A1923="","",$F1923&amp;"")</f>
        <v/>
      </c>
      <c r="Y1923" s="94">
        <f>IF($A1923="",0,IF(AE1923="직접",IF(AF1923="비귀속",$P1923,0),$P1923*(1-AG1923)*IFERROR(INDEX(계정대체기준!$F$20:$F$49,MATCH($N1923,계정대체기준!$A$20:$A$49,0)),1)))</f>
        <v/>
      </c>
      <c r="Z1923" s="94">
        <f>IF($A1923="",0,IF(AE1923="직접",IF(AF1923="신계약비",$P1923,0),$P1923*(1-AG1923)*IFERROR(INDEX(계정대체기준!$C$20:$C$49,MATCH($N1923,계정대체기준!$A$20:$A$49,0)),0)))</f>
        <v/>
      </c>
      <c r="AA1923" s="94">
        <f>IF($A1923="",0,IF(AE1923="직접",IF(OR(AF1923="유지비",AF1923="손해조사비"),$P1923,0),$P1923*(1-AG1923)*IFERROR(INDEX(계정대체기준!$D$20:$D$49,MATCH($N1923,계정대체기준!$A$20:$A$49,0)),0)))</f>
        <v/>
      </c>
      <c r="AB1923" s="94">
        <f>IF($A1923="",0,IF(AE1923="직접",IF(AF1923="수금비",$P1923,0),$P1923*(1-AG1923)*IFERROR(INDEX(계정대체기준!$E$20:$E$49,MATCH($N1923,계정대체기준!$A$20:$A$49,0)),0)))</f>
        <v/>
      </c>
      <c r="AC1923" s="9">
        <f>IF(AND($A1923&lt;&gt;"",M1923=설정!$C$20,Z1923&gt;0),Z1923+ROW()/1000000000,"")</f>
        <v/>
      </c>
      <c r="AD1923" s="94">
        <f>IF($A1923="",0,$P1923*AG1923)</f>
        <v/>
      </c>
      <c r="AE1923" s="64">
        <f>IF($A1923="","",IFERROR(INDEX(계정매핑!$E$5:$E$504,MATCH($F1923&amp;"",계정매핑!$A$5:$A$504,0))&amp;"","공통비"))</f>
        <v/>
      </c>
      <c r="AF1923" s="64">
        <f>IF($A1923="","",IF(AE1923="직접",IFERROR(INDEX(계정매핑!$F$5:$F$504,MATCH($F1923&amp;"",계정매핑!$A$5:$A$504,0))&amp;"","비귀속"),""))</f>
        <v/>
      </c>
      <c r="AG1923" s="96">
        <f>IF($A1923="",0,IF(AND(AE1923&lt;&gt;"직접",IFERROR(INDEX(계정매핑!$G$5:$G$504,MATCH($F1923&amp;"",계정매핑!$A$5:$A$504,0))&amp;"","")="유지비",COUNTIF(계정대체기준!$A$6:$A$15,$N1923)&gt;0),IFERROR(INDEX(계정대체기준!$E$6:$E$15,MATCH(VALUE($A1923&amp;""),계정대체기준!$D$6:$D$15,0)),0),0))</f>
        <v/>
      </c>
      <c r="AH1923" s="64">
        <f>IF($A1923="","",IF(AD1923=0,"",IF(OR(COUNTIF(계정대체기준!$A$77:$A$86,$N1923)&gt;0,ISNUMBER(MATCH($X1923,계정대체기준!$D$77:$D$86,0)),ISNUMBER(MATCH($F1923,계정대체기준!$D$77:$D$86,0))),"Y","N")))</f>
        <v/>
      </c>
    </row>
    <row r="1924">
      <c r="A1924" s="92" t="n">
        <v>2025</v>
      </c>
      <c r="B1924" s="92" t="n">
        <v>9</v>
      </c>
      <c r="C1924" s="92" t="inlineStr">
        <is>
          <t>5100001920</t>
        </is>
      </c>
      <c r="D1924" s="95" t="n">
        <v>45913</v>
      </c>
      <c r="E1924" s="92" t="inlineStr">
        <is>
          <t>KR</t>
        </is>
      </c>
      <c r="F1924" s="92" t="n">
        <v>62902000</v>
      </c>
      <c r="G1924" s="92" t="n">
        <v>1801</v>
      </c>
      <c r="H1924" s="93" t="n">
        <v>1795000</v>
      </c>
      <c r="I1924" s="92" t="inlineStr">
        <is>
          <t>9월 콜 위탁 수수료(건별)</t>
        </is>
      </c>
      <c r="J1924" s="92" t="inlineStr">
        <is>
          <t>V10016</t>
        </is>
      </c>
      <c r="K1924" s="92" t="inlineStr">
        <is>
          <t>J콜센터</t>
        </is>
      </c>
      <c r="M1924" s="9">
        <f>IF($A1924="","",VALUE($A1924&amp;"")*12+VALUE($B1924&amp;""))</f>
        <v/>
      </c>
      <c r="N1924" s="64">
        <f>IF($A1924="","",IFERROR(INDEX(부서매핑!$C$5:$C$504,MATCH($G1924&amp;"",부서매핑!$A$5:$A$504,0)),"미매핑"))</f>
        <v/>
      </c>
      <c r="O1924" s="9">
        <f>IF($A1924="","",N1924&amp;"|"&amp;$F1924)</f>
        <v/>
      </c>
      <c r="P1924" s="94">
        <f>IF($A1924="",0,$H1924*설정!$C$23)</f>
        <v/>
      </c>
      <c r="Q1924" s="64">
        <f>IF($A1924="","",IF(O1924&lt;&gt;원인분석!$C$9,"",IF(AND(M1924&gt;=원인분석!$C$10,M1924&lt;=원인분석!$C$11),"당기",IF(AND(M1924&gt;=원인분석!$C$12,M1924&lt;=원인분석!$C$13),"비교",""))))</f>
        <v/>
      </c>
      <c r="R1924" s="9">
        <f>IF(Q1924="","",$K1924&amp;"")</f>
        <v/>
      </c>
      <c r="S1924" s="9">
        <f>IF(Q1924="","",IF(MATCH(R1924,$R$5:$R$100000,0)=ROW()-4,ROW(),""))</f>
        <v/>
      </c>
      <c r="T1924" s="9">
        <f>IF(Q1924="당기",ABS(P1924)+ROW()/1000000000,"")</f>
        <v/>
      </c>
      <c r="U1924" s="9">
        <f>IF(Q1924="비교",ABS(P1924)+ROW()/1000000000,"")</f>
        <v/>
      </c>
      <c r="V1924" s="64">
        <f>IF($A1924="","",IF(COUNTIF(변동분석!$E$7:$E$506,O1924)&gt;0,"Y","N"))</f>
        <v/>
      </c>
      <c r="W1924" s="64">
        <f>IF($A1924="","",IFERROR(INDEX(계정매핑!$D$5:$D$504,MATCH($F1924&amp;"",계정매핑!$A$5:$A$504,0)),"미매핑"))</f>
        <v/>
      </c>
      <c r="X1924" s="9">
        <f>IF($A1924="","",$F1924&amp;"")</f>
        <v/>
      </c>
      <c r="Y1924" s="94">
        <f>IF($A1924="",0,IF(AE1924="직접",IF(AF1924="비귀속",$P1924,0),$P1924*(1-AG1924)*IFERROR(INDEX(계정대체기준!$F$20:$F$49,MATCH($N1924,계정대체기준!$A$20:$A$49,0)),1)))</f>
        <v/>
      </c>
      <c r="Z1924" s="94">
        <f>IF($A1924="",0,IF(AE1924="직접",IF(AF1924="신계약비",$P1924,0),$P1924*(1-AG1924)*IFERROR(INDEX(계정대체기준!$C$20:$C$49,MATCH($N1924,계정대체기준!$A$20:$A$49,0)),0)))</f>
        <v/>
      </c>
      <c r="AA1924" s="94">
        <f>IF($A1924="",0,IF(AE1924="직접",IF(OR(AF1924="유지비",AF1924="손해조사비"),$P1924,0),$P1924*(1-AG1924)*IFERROR(INDEX(계정대체기준!$D$20:$D$49,MATCH($N1924,계정대체기준!$A$20:$A$49,0)),0)))</f>
        <v/>
      </c>
      <c r="AB1924" s="94">
        <f>IF($A1924="",0,IF(AE1924="직접",IF(AF1924="수금비",$P1924,0),$P1924*(1-AG1924)*IFERROR(INDEX(계정대체기준!$E$20:$E$49,MATCH($N1924,계정대체기준!$A$20:$A$49,0)),0)))</f>
        <v/>
      </c>
      <c r="AC1924" s="9">
        <f>IF(AND($A1924&lt;&gt;"",M1924=설정!$C$20,Z1924&gt;0),Z1924+ROW()/1000000000,"")</f>
        <v/>
      </c>
      <c r="AD1924" s="94">
        <f>IF($A1924="",0,$P1924*AG1924)</f>
        <v/>
      </c>
      <c r="AE1924" s="64">
        <f>IF($A1924="","",IFERROR(INDEX(계정매핑!$E$5:$E$504,MATCH($F1924&amp;"",계정매핑!$A$5:$A$504,0))&amp;"","공통비"))</f>
        <v/>
      </c>
      <c r="AF1924" s="64">
        <f>IF($A1924="","",IF(AE1924="직접",IFERROR(INDEX(계정매핑!$F$5:$F$504,MATCH($F1924&amp;"",계정매핑!$A$5:$A$504,0))&amp;"","비귀속"),""))</f>
        <v/>
      </c>
      <c r="AG1924" s="96">
        <f>IF($A1924="",0,IF(AND(AE1924&lt;&gt;"직접",IFERROR(INDEX(계정매핑!$G$5:$G$504,MATCH($F1924&amp;"",계정매핑!$A$5:$A$504,0))&amp;"","")="유지비",COUNTIF(계정대체기준!$A$6:$A$15,$N1924)&gt;0),IFERROR(INDEX(계정대체기준!$E$6:$E$15,MATCH(VALUE($A1924&amp;""),계정대체기준!$D$6:$D$15,0)),0),0))</f>
        <v/>
      </c>
      <c r="AH1924" s="64">
        <f>IF($A1924="","",IF(AD1924=0,"",IF(OR(COUNTIF(계정대체기준!$A$77:$A$86,$N1924)&gt;0,ISNUMBER(MATCH($X1924,계정대체기준!$D$77:$D$86,0)),ISNUMBER(MATCH($F1924,계정대체기준!$D$77:$D$86,0))),"Y","N")))</f>
        <v/>
      </c>
    </row>
    <row r="1925">
      <c r="A1925" s="92" t="n">
        <v>2025</v>
      </c>
      <c r="B1925" s="92" t="n">
        <v>9</v>
      </c>
      <c r="C1925" s="92" t="inlineStr">
        <is>
          <t>5100001921</t>
        </is>
      </c>
      <c r="D1925" s="95" t="n">
        <v>45913</v>
      </c>
      <c r="E1925" s="92" t="inlineStr">
        <is>
          <t>KR</t>
        </is>
      </c>
      <c r="F1925" s="92" t="n">
        <v>63001000</v>
      </c>
      <c r="G1925" s="92" t="n">
        <v>1951</v>
      </c>
      <c r="H1925" s="93" t="n">
        <v>4494000</v>
      </c>
      <c r="I1925" s="92" t="inlineStr">
        <is>
          <t>9월 SW 유지보수 - Z시스템</t>
        </is>
      </c>
      <c r="J1925" s="92" t="inlineStr">
        <is>
          <t>V10012</t>
        </is>
      </c>
      <c r="K1925" s="92" t="inlineStr">
        <is>
          <t>Z시스템</t>
        </is>
      </c>
      <c r="M1925" s="9">
        <f>IF($A1925="","",VALUE($A1925&amp;"")*12+VALUE($B1925&amp;""))</f>
        <v/>
      </c>
      <c r="N1925" s="64">
        <f>IF($A1925="","",IFERROR(INDEX(부서매핑!$C$5:$C$504,MATCH($G1925&amp;"",부서매핑!$A$5:$A$504,0)),"미매핑"))</f>
        <v/>
      </c>
      <c r="O1925" s="9">
        <f>IF($A1925="","",N1925&amp;"|"&amp;$F1925)</f>
        <v/>
      </c>
      <c r="P1925" s="94">
        <f>IF($A1925="",0,$H1925*설정!$C$23)</f>
        <v/>
      </c>
      <c r="Q1925" s="64">
        <f>IF($A1925="","",IF(O1925&lt;&gt;원인분석!$C$9,"",IF(AND(M1925&gt;=원인분석!$C$10,M1925&lt;=원인분석!$C$11),"당기",IF(AND(M1925&gt;=원인분석!$C$12,M1925&lt;=원인분석!$C$13),"비교",""))))</f>
        <v/>
      </c>
      <c r="R1925" s="9">
        <f>IF(Q1925="","",$K1925&amp;"")</f>
        <v/>
      </c>
      <c r="S1925" s="9">
        <f>IF(Q1925="","",IF(MATCH(R1925,$R$5:$R$100000,0)=ROW()-4,ROW(),""))</f>
        <v/>
      </c>
      <c r="T1925" s="9">
        <f>IF(Q1925="당기",ABS(P1925)+ROW()/1000000000,"")</f>
        <v/>
      </c>
      <c r="U1925" s="9">
        <f>IF(Q1925="비교",ABS(P1925)+ROW()/1000000000,"")</f>
        <v/>
      </c>
      <c r="V1925" s="64">
        <f>IF($A1925="","",IF(COUNTIF(변동분석!$E$7:$E$506,O1925)&gt;0,"Y","N"))</f>
        <v/>
      </c>
      <c r="W1925" s="64">
        <f>IF($A1925="","",IFERROR(INDEX(계정매핑!$D$5:$D$504,MATCH($F1925&amp;"",계정매핑!$A$5:$A$504,0)),"미매핑"))</f>
        <v/>
      </c>
      <c r="X1925" s="9">
        <f>IF($A1925="","",$F1925&amp;"")</f>
        <v/>
      </c>
      <c r="Y1925" s="94">
        <f>IF($A1925="",0,IF(AE1925="직접",IF(AF1925="비귀속",$P1925,0),$P1925*(1-AG1925)*IFERROR(INDEX(계정대체기준!$F$20:$F$49,MATCH($N1925,계정대체기준!$A$20:$A$49,0)),1)))</f>
        <v/>
      </c>
      <c r="Z1925" s="94">
        <f>IF($A1925="",0,IF(AE1925="직접",IF(AF1925="신계약비",$P1925,0),$P1925*(1-AG1925)*IFERROR(INDEX(계정대체기준!$C$20:$C$49,MATCH($N1925,계정대체기준!$A$20:$A$49,0)),0)))</f>
        <v/>
      </c>
      <c r="AA1925" s="94">
        <f>IF($A1925="",0,IF(AE1925="직접",IF(OR(AF1925="유지비",AF1925="손해조사비"),$P1925,0),$P1925*(1-AG1925)*IFERROR(INDEX(계정대체기준!$D$20:$D$49,MATCH($N1925,계정대체기준!$A$20:$A$49,0)),0)))</f>
        <v/>
      </c>
      <c r="AB1925" s="94">
        <f>IF($A1925="",0,IF(AE1925="직접",IF(AF1925="수금비",$P1925,0),$P1925*(1-AG1925)*IFERROR(INDEX(계정대체기준!$E$20:$E$49,MATCH($N1925,계정대체기준!$A$20:$A$49,0)),0)))</f>
        <v/>
      </c>
      <c r="AC1925" s="9">
        <f>IF(AND($A1925&lt;&gt;"",M1925=설정!$C$20,Z1925&gt;0),Z1925+ROW()/1000000000,"")</f>
        <v/>
      </c>
      <c r="AD1925" s="94">
        <f>IF($A1925="",0,$P1925*AG1925)</f>
        <v/>
      </c>
      <c r="AE1925" s="64">
        <f>IF($A1925="","",IFERROR(INDEX(계정매핑!$E$5:$E$504,MATCH($F1925&amp;"",계정매핑!$A$5:$A$504,0))&amp;"","공통비"))</f>
        <v/>
      </c>
      <c r="AF1925" s="64">
        <f>IF($A1925="","",IF(AE1925="직접",IFERROR(INDEX(계정매핑!$F$5:$F$504,MATCH($F1925&amp;"",계정매핑!$A$5:$A$504,0))&amp;"","비귀속"),""))</f>
        <v/>
      </c>
      <c r="AG1925" s="96">
        <f>IF($A1925="",0,IF(AND(AE1925&lt;&gt;"직접",IFERROR(INDEX(계정매핑!$G$5:$G$504,MATCH($F1925&amp;"",계정매핑!$A$5:$A$504,0))&amp;"","")="유지비",COUNTIF(계정대체기준!$A$6:$A$15,$N1925)&gt;0),IFERROR(INDEX(계정대체기준!$E$6:$E$15,MATCH(VALUE($A1925&amp;""),계정대체기준!$D$6:$D$15,0)),0),0))</f>
        <v/>
      </c>
      <c r="AH1925" s="64">
        <f>IF($A1925="","",IF(AD1925=0,"",IF(OR(COUNTIF(계정대체기준!$A$77:$A$86,$N1925)&gt;0,ISNUMBER(MATCH($X1925,계정대체기준!$D$77:$D$86,0)),ISNUMBER(MATCH($F1925,계정대체기준!$D$77:$D$86,0))),"Y","N")))</f>
        <v/>
      </c>
    </row>
    <row r="1926">
      <c r="A1926" s="92" t="n">
        <v>2025</v>
      </c>
      <c r="B1926" s="92" t="n">
        <v>9</v>
      </c>
      <c r="C1926" s="92" t="inlineStr">
        <is>
          <t>5100001922</t>
        </is>
      </c>
      <c r="D1926" s="95" t="n">
        <v>45914</v>
      </c>
      <c r="E1926" s="92" t="inlineStr">
        <is>
          <t>KR</t>
        </is>
      </c>
      <c r="F1926" s="92" t="n">
        <v>62102000</v>
      </c>
      <c r="G1926" s="92" t="n">
        <v>1401</v>
      </c>
      <c r="H1926" s="93" t="n">
        <v>97000</v>
      </c>
      <c r="I1926" s="92" t="inlineStr">
        <is>
          <t>9월 해외출장 - N호텔</t>
        </is>
      </c>
      <c r="J1926" s="92" t="inlineStr">
        <is>
          <t>V10009</t>
        </is>
      </c>
      <c r="K1926" s="92" t="inlineStr">
        <is>
          <t>N호텔</t>
        </is>
      </c>
      <c r="M1926" s="9">
        <f>IF($A1926="","",VALUE($A1926&amp;"")*12+VALUE($B1926&amp;""))</f>
        <v/>
      </c>
      <c r="N1926" s="64">
        <f>IF($A1926="","",IFERROR(INDEX(부서매핑!$C$5:$C$504,MATCH($G1926&amp;"",부서매핑!$A$5:$A$504,0)),"미매핑"))</f>
        <v/>
      </c>
      <c r="O1926" s="9">
        <f>IF($A1926="","",N1926&amp;"|"&amp;$F1926)</f>
        <v/>
      </c>
      <c r="P1926" s="94">
        <f>IF($A1926="",0,$H1926*설정!$C$23)</f>
        <v/>
      </c>
      <c r="Q1926" s="64">
        <f>IF($A1926="","",IF(O1926&lt;&gt;원인분석!$C$9,"",IF(AND(M1926&gt;=원인분석!$C$10,M1926&lt;=원인분석!$C$11),"당기",IF(AND(M1926&gt;=원인분석!$C$12,M1926&lt;=원인분석!$C$13),"비교",""))))</f>
        <v/>
      </c>
      <c r="R1926" s="9">
        <f>IF(Q1926="","",$K1926&amp;"")</f>
        <v/>
      </c>
      <c r="S1926" s="9">
        <f>IF(Q1926="","",IF(MATCH(R1926,$R$5:$R$100000,0)=ROW()-4,ROW(),""))</f>
        <v/>
      </c>
      <c r="T1926" s="9">
        <f>IF(Q1926="당기",ABS(P1926)+ROW()/1000000000,"")</f>
        <v/>
      </c>
      <c r="U1926" s="9">
        <f>IF(Q1926="비교",ABS(P1926)+ROW()/1000000000,"")</f>
        <v/>
      </c>
      <c r="V1926" s="64">
        <f>IF($A1926="","",IF(COUNTIF(변동분석!$E$7:$E$506,O1926)&gt;0,"Y","N"))</f>
        <v/>
      </c>
      <c r="W1926" s="64">
        <f>IF($A1926="","",IFERROR(INDEX(계정매핑!$D$5:$D$504,MATCH($F1926&amp;"",계정매핑!$A$5:$A$504,0)),"미매핑"))</f>
        <v/>
      </c>
      <c r="X1926" s="9">
        <f>IF($A1926="","",$F1926&amp;"")</f>
        <v/>
      </c>
      <c r="Y1926" s="94">
        <f>IF($A1926="",0,IF(AE1926="직접",IF(AF1926="비귀속",$P1926,0),$P1926*(1-AG1926)*IFERROR(INDEX(계정대체기준!$F$20:$F$49,MATCH($N1926,계정대체기준!$A$20:$A$49,0)),1)))</f>
        <v/>
      </c>
      <c r="Z1926" s="94">
        <f>IF($A1926="",0,IF(AE1926="직접",IF(AF1926="신계약비",$P1926,0),$P1926*(1-AG1926)*IFERROR(INDEX(계정대체기준!$C$20:$C$49,MATCH($N1926,계정대체기준!$A$20:$A$49,0)),0)))</f>
        <v/>
      </c>
      <c r="AA1926" s="94">
        <f>IF($A1926="",0,IF(AE1926="직접",IF(OR(AF1926="유지비",AF1926="손해조사비"),$P1926,0),$P1926*(1-AG1926)*IFERROR(INDEX(계정대체기준!$D$20:$D$49,MATCH($N1926,계정대체기준!$A$20:$A$49,0)),0)))</f>
        <v/>
      </c>
      <c r="AB1926" s="94">
        <f>IF($A1926="",0,IF(AE1926="직접",IF(AF1926="수금비",$P1926,0),$P1926*(1-AG1926)*IFERROR(INDEX(계정대체기준!$E$20:$E$49,MATCH($N1926,계정대체기준!$A$20:$A$49,0)),0)))</f>
        <v/>
      </c>
      <c r="AC1926" s="9">
        <f>IF(AND($A1926&lt;&gt;"",M1926=설정!$C$20,Z1926&gt;0),Z1926+ROW()/1000000000,"")</f>
        <v/>
      </c>
      <c r="AD1926" s="94">
        <f>IF($A1926="",0,$P1926*AG1926)</f>
        <v/>
      </c>
      <c r="AE1926" s="64">
        <f>IF($A1926="","",IFERROR(INDEX(계정매핑!$E$5:$E$504,MATCH($F1926&amp;"",계정매핑!$A$5:$A$504,0))&amp;"","공통비"))</f>
        <v/>
      </c>
      <c r="AF1926" s="64">
        <f>IF($A1926="","",IF(AE1926="직접",IFERROR(INDEX(계정매핑!$F$5:$F$504,MATCH($F1926&amp;"",계정매핑!$A$5:$A$504,0))&amp;"","비귀속"),""))</f>
        <v/>
      </c>
      <c r="AG1926" s="96">
        <f>IF($A1926="",0,IF(AND(AE1926&lt;&gt;"직접",IFERROR(INDEX(계정매핑!$G$5:$G$504,MATCH($F1926&amp;"",계정매핑!$A$5:$A$504,0))&amp;"","")="유지비",COUNTIF(계정대체기준!$A$6:$A$15,$N1926)&gt;0),IFERROR(INDEX(계정대체기준!$E$6:$E$15,MATCH(VALUE($A1926&amp;""),계정대체기준!$D$6:$D$15,0)),0),0))</f>
        <v/>
      </c>
      <c r="AH1926" s="64">
        <f>IF($A1926="","",IF(AD1926=0,"",IF(OR(COUNTIF(계정대체기준!$A$77:$A$86,$N1926)&gt;0,ISNUMBER(MATCH($X1926,계정대체기준!$D$77:$D$86,0)),ISNUMBER(MATCH($F1926,계정대체기준!$D$77:$D$86,0))),"Y","N")))</f>
        <v/>
      </c>
    </row>
    <row r="1927">
      <c r="A1927" s="92" t="n">
        <v>2025</v>
      </c>
      <c r="B1927" s="92" t="n">
        <v>9</v>
      </c>
      <c r="C1927" s="92" t="inlineStr">
        <is>
          <t>5100001923</t>
        </is>
      </c>
      <c r="D1927" s="95" t="n">
        <v>45914</v>
      </c>
      <c r="E1927" s="92" t="inlineStr">
        <is>
          <t>KR</t>
        </is>
      </c>
      <c r="F1927" s="92" t="n">
        <v>62301000</v>
      </c>
      <c r="G1927" s="92" t="n">
        <v>1101</v>
      </c>
      <c r="H1927" s="93" t="n">
        <v>141000</v>
      </c>
      <c r="I1927" s="92" t="inlineStr">
        <is>
          <t>9월 소모품 구입 - Q오피스</t>
        </is>
      </c>
      <c r="J1927" s="92" t="inlineStr">
        <is>
          <t>V10003</t>
        </is>
      </c>
      <c r="K1927" s="92" t="inlineStr">
        <is>
          <t>Q오피스</t>
        </is>
      </c>
      <c r="M1927" s="9">
        <f>IF($A1927="","",VALUE($A1927&amp;"")*12+VALUE($B1927&amp;""))</f>
        <v/>
      </c>
      <c r="N1927" s="64">
        <f>IF($A1927="","",IFERROR(INDEX(부서매핑!$C$5:$C$504,MATCH($G1927&amp;"",부서매핑!$A$5:$A$504,0)),"미매핑"))</f>
        <v/>
      </c>
      <c r="O1927" s="9">
        <f>IF($A1927="","",N1927&amp;"|"&amp;$F1927)</f>
        <v/>
      </c>
      <c r="P1927" s="94">
        <f>IF($A1927="",0,$H1927*설정!$C$23)</f>
        <v/>
      </c>
      <c r="Q1927" s="64">
        <f>IF($A1927="","",IF(O1927&lt;&gt;원인분석!$C$9,"",IF(AND(M1927&gt;=원인분석!$C$10,M1927&lt;=원인분석!$C$11),"당기",IF(AND(M1927&gt;=원인분석!$C$12,M1927&lt;=원인분석!$C$13),"비교",""))))</f>
        <v/>
      </c>
      <c r="R1927" s="9">
        <f>IF(Q1927="","",$K1927&amp;"")</f>
        <v/>
      </c>
      <c r="S1927" s="9">
        <f>IF(Q1927="","",IF(MATCH(R1927,$R$5:$R$100000,0)=ROW()-4,ROW(),""))</f>
        <v/>
      </c>
      <c r="T1927" s="9">
        <f>IF(Q1927="당기",ABS(P1927)+ROW()/1000000000,"")</f>
        <v/>
      </c>
      <c r="U1927" s="9">
        <f>IF(Q1927="비교",ABS(P1927)+ROW()/1000000000,"")</f>
        <v/>
      </c>
      <c r="V1927" s="64">
        <f>IF($A1927="","",IF(COUNTIF(변동분석!$E$7:$E$506,O1927)&gt;0,"Y","N"))</f>
        <v/>
      </c>
      <c r="W1927" s="64">
        <f>IF($A1927="","",IFERROR(INDEX(계정매핑!$D$5:$D$504,MATCH($F1927&amp;"",계정매핑!$A$5:$A$504,0)),"미매핑"))</f>
        <v/>
      </c>
      <c r="X1927" s="9">
        <f>IF($A1927="","",$F1927&amp;"")</f>
        <v/>
      </c>
      <c r="Y1927" s="94">
        <f>IF($A1927="",0,IF(AE1927="직접",IF(AF1927="비귀속",$P1927,0),$P1927*(1-AG1927)*IFERROR(INDEX(계정대체기준!$F$20:$F$49,MATCH($N1927,계정대체기준!$A$20:$A$49,0)),1)))</f>
        <v/>
      </c>
      <c r="Z1927" s="94">
        <f>IF($A1927="",0,IF(AE1927="직접",IF(AF1927="신계약비",$P1927,0),$P1927*(1-AG1927)*IFERROR(INDEX(계정대체기준!$C$20:$C$49,MATCH($N1927,계정대체기준!$A$20:$A$49,0)),0)))</f>
        <v/>
      </c>
      <c r="AA1927" s="94">
        <f>IF($A1927="",0,IF(AE1927="직접",IF(OR(AF1927="유지비",AF1927="손해조사비"),$P1927,0),$P1927*(1-AG1927)*IFERROR(INDEX(계정대체기준!$D$20:$D$49,MATCH($N1927,계정대체기준!$A$20:$A$49,0)),0)))</f>
        <v/>
      </c>
      <c r="AB1927" s="94">
        <f>IF($A1927="",0,IF(AE1927="직접",IF(AF1927="수금비",$P1927,0),$P1927*(1-AG1927)*IFERROR(INDEX(계정대체기준!$E$20:$E$49,MATCH($N1927,계정대체기준!$A$20:$A$49,0)),0)))</f>
        <v/>
      </c>
      <c r="AC1927" s="9">
        <f>IF(AND($A1927&lt;&gt;"",M1927=설정!$C$20,Z1927&gt;0),Z1927+ROW()/1000000000,"")</f>
        <v/>
      </c>
      <c r="AD1927" s="94">
        <f>IF($A1927="",0,$P1927*AG1927)</f>
        <v/>
      </c>
      <c r="AE1927" s="64">
        <f>IF($A1927="","",IFERROR(INDEX(계정매핑!$E$5:$E$504,MATCH($F1927&amp;"",계정매핑!$A$5:$A$504,0))&amp;"","공통비"))</f>
        <v/>
      </c>
      <c r="AF1927" s="64">
        <f>IF($A1927="","",IF(AE1927="직접",IFERROR(INDEX(계정매핑!$F$5:$F$504,MATCH($F1927&amp;"",계정매핑!$A$5:$A$504,0))&amp;"","비귀속"),""))</f>
        <v/>
      </c>
      <c r="AG1927" s="96">
        <f>IF($A1927="",0,IF(AND(AE1927&lt;&gt;"직접",IFERROR(INDEX(계정매핑!$G$5:$G$504,MATCH($F1927&amp;"",계정매핑!$A$5:$A$504,0))&amp;"","")="유지비",COUNTIF(계정대체기준!$A$6:$A$15,$N1927)&gt;0),IFERROR(INDEX(계정대체기준!$E$6:$E$15,MATCH(VALUE($A1927&amp;""),계정대체기준!$D$6:$D$15,0)),0),0))</f>
        <v/>
      </c>
      <c r="AH1927" s="64">
        <f>IF($A1927="","",IF(AD1927=0,"",IF(OR(COUNTIF(계정대체기준!$A$77:$A$86,$N1927)&gt;0,ISNUMBER(MATCH($X1927,계정대체기준!$D$77:$D$86,0)),ISNUMBER(MATCH($F1927,계정대체기준!$D$77:$D$86,0))),"Y","N")))</f>
        <v/>
      </c>
    </row>
    <row r="1928">
      <c r="A1928" s="92" t="n">
        <v>2025</v>
      </c>
      <c r="B1928" s="92" t="n">
        <v>9</v>
      </c>
      <c r="C1928" s="92" t="inlineStr">
        <is>
          <t>5100001924</t>
        </is>
      </c>
      <c r="D1928" s="95" t="n">
        <v>45914</v>
      </c>
      <c r="E1928" s="92" t="inlineStr">
        <is>
          <t>KR</t>
        </is>
      </c>
      <c r="F1928" s="92" t="n">
        <v>62401000</v>
      </c>
      <c r="G1928" s="92" t="n">
        <v>1501</v>
      </c>
      <c r="H1928" s="93" t="n">
        <v>1920000</v>
      </c>
      <c r="I1928" s="92" t="inlineStr">
        <is>
          <t>9월 인쇄물 제작 - S출판</t>
        </is>
      </c>
      <c r="J1928" s="92" t="inlineStr">
        <is>
          <t>V10015</t>
        </is>
      </c>
      <c r="K1928" s="92" t="inlineStr">
        <is>
          <t>S출판</t>
        </is>
      </c>
      <c r="M1928" s="9">
        <f>IF($A1928="","",VALUE($A1928&amp;"")*12+VALUE($B1928&amp;""))</f>
        <v/>
      </c>
      <c r="N1928" s="64">
        <f>IF($A1928="","",IFERROR(INDEX(부서매핑!$C$5:$C$504,MATCH($G1928&amp;"",부서매핑!$A$5:$A$504,0)),"미매핑"))</f>
        <v/>
      </c>
      <c r="O1928" s="9">
        <f>IF($A1928="","",N1928&amp;"|"&amp;$F1928)</f>
        <v/>
      </c>
      <c r="P1928" s="94">
        <f>IF($A1928="",0,$H1928*설정!$C$23)</f>
        <v/>
      </c>
      <c r="Q1928" s="64">
        <f>IF($A1928="","",IF(O1928&lt;&gt;원인분석!$C$9,"",IF(AND(M1928&gt;=원인분석!$C$10,M1928&lt;=원인분석!$C$11),"당기",IF(AND(M1928&gt;=원인분석!$C$12,M1928&lt;=원인분석!$C$13),"비교",""))))</f>
        <v/>
      </c>
      <c r="R1928" s="9">
        <f>IF(Q1928="","",$K1928&amp;"")</f>
        <v/>
      </c>
      <c r="S1928" s="9">
        <f>IF(Q1928="","",IF(MATCH(R1928,$R$5:$R$100000,0)=ROW()-4,ROW(),""))</f>
        <v/>
      </c>
      <c r="T1928" s="9">
        <f>IF(Q1928="당기",ABS(P1928)+ROW()/1000000000,"")</f>
        <v/>
      </c>
      <c r="U1928" s="9">
        <f>IF(Q1928="비교",ABS(P1928)+ROW()/1000000000,"")</f>
        <v/>
      </c>
      <c r="V1928" s="64">
        <f>IF($A1928="","",IF(COUNTIF(변동분석!$E$7:$E$506,O1928)&gt;0,"Y","N"))</f>
        <v/>
      </c>
      <c r="W1928" s="64">
        <f>IF($A1928="","",IFERROR(INDEX(계정매핑!$D$5:$D$504,MATCH($F1928&amp;"",계정매핑!$A$5:$A$504,0)),"미매핑"))</f>
        <v/>
      </c>
      <c r="X1928" s="9">
        <f>IF($A1928="","",$F1928&amp;"")</f>
        <v/>
      </c>
      <c r="Y1928" s="94">
        <f>IF($A1928="",0,IF(AE1928="직접",IF(AF1928="비귀속",$P1928,0),$P1928*(1-AG1928)*IFERROR(INDEX(계정대체기준!$F$20:$F$49,MATCH($N1928,계정대체기준!$A$20:$A$49,0)),1)))</f>
        <v/>
      </c>
      <c r="Z1928" s="94">
        <f>IF($A1928="",0,IF(AE1928="직접",IF(AF1928="신계약비",$P1928,0),$P1928*(1-AG1928)*IFERROR(INDEX(계정대체기준!$C$20:$C$49,MATCH($N1928,계정대체기준!$A$20:$A$49,0)),0)))</f>
        <v/>
      </c>
      <c r="AA1928" s="94">
        <f>IF($A1928="",0,IF(AE1928="직접",IF(OR(AF1928="유지비",AF1928="손해조사비"),$P1928,0),$P1928*(1-AG1928)*IFERROR(INDEX(계정대체기준!$D$20:$D$49,MATCH($N1928,계정대체기준!$A$20:$A$49,0)),0)))</f>
        <v/>
      </c>
      <c r="AB1928" s="94">
        <f>IF($A1928="",0,IF(AE1928="직접",IF(AF1928="수금비",$P1928,0),$P1928*(1-AG1928)*IFERROR(INDEX(계정대체기준!$E$20:$E$49,MATCH($N1928,계정대체기준!$A$20:$A$49,0)),0)))</f>
        <v/>
      </c>
      <c r="AC1928" s="9">
        <f>IF(AND($A1928&lt;&gt;"",M1928=설정!$C$20,Z1928&gt;0),Z1928+ROW()/1000000000,"")</f>
        <v/>
      </c>
      <c r="AD1928" s="94">
        <f>IF($A1928="",0,$P1928*AG1928)</f>
        <v/>
      </c>
      <c r="AE1928" s="64">
        <f>IF($A1928="","",IFERROR(INDEX(계정매핑!$E$5:$E$504,MATCH($F1928&amp;"",계정매핑!$A$5:$A$504,0))&amp;"","공통비"))</f>
        <v/>
      </c>
      <c r="AF1928" s="64">
        <f>IF($A1928="","",IF(AE1928="직접",IFERROR(INDEX(계정매핑!$F$5:$F$504,MATCH($F1928&amp;"",계정매핑!$A$5:$A$504,0))&amp;"","비귀속"),""))</f>
        <v/>
      </c>
      <c r="AG1928" s="96">
        <f>IF($A1928="",0,IF(AND(AE1928&lt;&gt;"직접",IFERROR(INDEX(계정매핑!$G$5:$G$504,MATCH($F1928&amp;"",계정매핑!$A$5:$A$504,0))&amp;"","")="유지비",COUNTIF(계정대체기준!$A$6:$A$15,$N1928)&gt;0),IFERROR(INDEX(계정대체기준!$E$6:$E$15,MATCH(VALUE($A1928&amp;""),계정대체기준!$D$6:$D$15,0)),0),0))</f>
        <v/>
      </c>
      <c r="AH1928" s="64">
        <f>IF($A1928="","",IF(AD1928=0,"",IF(OR(COUNTIF(계정대체기준!$A$77:$A$86,$N1928)&gt;0,ISNUMBER(MATCH($X1928,계정대체기준!$D$77:$D$86,0)),ISNUMBER(MATCH($F1928,계정대체기준!$D$77:$D$86,0))),"Y","N")))</f>
        <v/>
      </c>
    </row>
    <row r="1929">
      <c r="A1929" s="92" t="n">
        <v>2025</v>
      </c>
      <c r="B1929" s="92" t="n">
        <v>9</v>
      </c>
      <c r="C1929" s="92" t="inlineStr">
        <is>
          <t>5100001925</t>
        </is>
      </c>
      <c r="D1929" s="95" t="n">
        <v>45914</v>
      </c>
      <c r="E1929" s="92" t="inlineStr">
        <is>
          <t>KR</t>
        </is>
      </c>
      <c r="F1929" s="92" t="n">
        <v>62902000</v>
      </c>
      <c r="G1929" s="92" t="n">
        <v>1801</v>
      </c>
      <c r="H1929" s="93" t="n">
        <v>1807000</v>
      </c>
      <c r="I1929" s="92" t="inlineStr">
        <is>
          <t>9월 콜 위탁 수수료(건별)</t>
        </is>
      </c>
      <c r="J1929" s="92" t="inlineStr">
        <is>
          <t>V10016</t>
        </is>
      </c>
      <c r="K1929" s="92" t="inlineStr">
        <is>
          <t>J콜센터</t>
        </is>
      </c>
      <c r="M1929" s="9">
        <f>IF($A1929="","",VALUE($A1929&amp;"")*12+VALUE($B1929&amp;""))</f>
        <v/>
      </c>
      <c r="N1929" s="64">
        <f>IF($A1929="","",IFERROR(INDEX(부서매핑!$C$5:$C$504,MATCH($G1929&amp;"",부서매핑!$A$5:$A$504,0)),"미매핑"))</f>
        <v/>
      </c>
      <c r="O1929" s="9">
        <f>IF($A1929="","",N1929&amp;"|"&amp;$F1929)</f>
        <v/>
      </c>
      <c r="P1929" s="94">
        <f>IF($A1929="",0,$H1929*설정!$C$23)</f>
        <v/>
      </c>
      <c r="Q1929" s="64">
        <f>IF($A1929="","",IF(O1929&lt;&gt;원인분석!$C$9,"",IF(AND(M1929&gt;=원인분석!$C$10,M1929&lt;=원인분석!$C$11),"당기",IF(AND(M1929&gt;=원인분석!$C$12,M1929&lt;=원인분석!$C$13),"비교",""))))</f>
        <v/>
      </c>
      <c r="R1929" s="9">
        <f>IF(Q1929="","",$K1929&amp;"")</f>
        <v/>
      </c>
      <c r="S1929" s="9">
        <f>IF(Q1929="","",IF(MATCH(R1929,$R$5:$R$100000,0)=ROW()-4,ROW(),""))</f>
        <v/>
      </c>
      <c r="T1929" s="9">
        <f>IF(Q1929="당기",ABS(P1929)+ROW()/1000000000,"")</f>
        <v/>
      </c>
      <c r="U1929" s="9">
        <f>IF(Q1929="비교",ABS(P1929)+ROW()/1000000000,"")</f>
        <v/>
      </c>
      <c r="V1929" s="64">
        <f>IF($A1929="","",IF(COUNTIF(변동분석!$E$7:$E$506,O1929)&gt;0,"Y","N"))</f>
        <v/>
      </c>
      <c r="W1929" s="64">
        <f>IF($A1929="","",IFERROR(INDEX(계정매핑!$D$5:$D$504,MATCH($F1929&amp;"",계정매핑!$A$5:$A$504,0)),"미매핑"))</f>
        <v/>
      </c>
      <c r="X1929" s="9">
        <f>IF($A1929="","",$F1929&amp;"")</f>
        <v/>
      </c>
      <c r="Y1929" s="94">
        <f>IF($A1929="",0,IF(AE1929="직접",IF(AF1929="비귀속",$P1929,0),$P1929*(1-AG1929)*IFERROR(INDEX(계정대체기준!$F$20:$F$49,MATCH($N1929,계정대체기준!$A$20:$A$49,0)),1)))</f>
        <v/>
      </c>
      <c r="Z1929" s="94">
        <f>IF($A1929="",0,IF(AE1929="직접",IF(AF1929="신계약비",$P1929,0),$P1929*(1-AG1929)*IFERROR(INDEX(계정대체기준!$C$20:$C$49,MATCH($N1929,계정대체기준!$A$20:$A$49,0)),0)))</f>
        <v/>
      </c>
      <c r="AA1929" s="94">
        <f>IF($A1929="",0,IF(AE1929="직접",IF(OR(AF1929="유지비",AF1929="손해조사비"),$P1929,0),$P1929*(1-AG1929)*IFERROR(INDEX(계정대체기준!$D$20:$D$49,MATCH($N1929,계정대체기준!$A$20:$A$49,0)),0)))</f>
        <v/>
      </c>
      <c r="AB1929" s="94">
        <f>IF($A1929="",0,IF(AE1929="직접",IF(AF1929="수금비",$P1929,0),$P1929*(1-AG1929)*IFERROR(INDEX(계정대체기준!$E$20:$E$49,MATCH($N1929,계정대체기준!$A$20:$A$49,0)),0)))</f>
        <v/>
      </c>
      <c r="AC1929" s="9">
        <f>IF(AND($A1929&lt;&gt;"",M1929=설정!$C$20,Z1929&gt;0),Z1929+ROW()/1000000000,"")</f>
        <v/>
      </c>
      <c r="AD1929" s="94">
        <f>IF($A1929="",0,$P1929*AG1929)</f>
        <v/>
      </c>
      <c r="AE1929" s="64">
        <f>IF($A1929="","",IFERROR(INDEX(계정매핑!$E$5:$E$504,MATCH($F1929&amp;"",계정매핑!$A$5:$A$504,0))&amp;"","공통비"))</f>
        <v/>
      </c>
      <c r="AF1929" s="64">
        <f>IF($A1929="","",IF(AE1929="직접",IFERROR(INDEX(계정매핑!$F$5:$F$504,MATCH($F1929&amp;"",계정매핑!$A$5:$A$504,0))&amp;"","비귀속"),""))</f>
        <v/>
      </c>
      <c r="AG1929" s="96">
        <f>IF($A1929="",0,IF(AND(AE1929&lt;&gt;"직접",IFERROR(INDEX(계정매핑!$G$5:$G$504,MATCH($F1929&amp;"",계정매핑!$A$5:$A$504,0))&amp;"","")="유지비",COUNTIF(계정대체기준!$A$6:$A$15,$N1929)&gt;0),IFERROR(INDEX(계정대체기준!$E$6:$E$15,MATCH(VALUE($A1929&amp;""),계정대체기준!$D$6:$D$15,0)),0),0))</f>
        <v/>
      </c>
      <c r="AH1929" s="64">
        <f>IF($A1929="","",IF(AD1929=0,"",IF(OR(COUNTIF(계정대체기준!$A$77:$A$86,$N1929)&gt;0,ISNUMBER(MATCH($X1929,계정대체기준!$D$77:$D$86,0)),ISNUMBER(MATCH($F1929,계정대체기준!$D$77:$D$86,0))),"Y","N")))</f>
        <v/>
      </c>
    </row>
    <row r="1930">
      <c r="A1930" s="92" t="n">
        <v>2025</v>
      </c>
      <c r="B1930" s="92" t="n">
        <v>9</v>
      </c>
      <c r="C1930" s="92" t="inlineStr">
        <is>
          <t>5100001926</t>
        </is>
      </c>
      <c r="D1930" s="95" t="n">
        <v>45914</v>
      </c>
      <c r="E1930" s="92" t="inlineStr">
        <is>
          <t>KR</t>
        </is>
      </c>
      <c r="F1930" s="92" t="n">
        <v>63101000</v>
      </c>
      <c r="G1930" s="92" t="n">
        <v>1602</v>
      </c>
      <c r="H1930" s="93" t="n">
        <v>5173000</v>
      </c>
      <c r="I1930" s="92" t="inlineStr">
        <is>
          <t>9월 사무실 임차료 - BB부동산</t>
        </is>
      </c>
      <c r="J1930" s="92" t="inlineStr">
        <is>
          <t>V10028</t>
        </is>
      </c>
      <c r="K1930" s="92" t="inlineStr">
        <is>
          <t>BB부동산</t>
        </is>
      </c>
      <c r="M1930" s="9">
        <f>IF($A1930="","",VALUE($A1930&amp;"")*12+VALUE($B1930&amp;""))</f>
        <v/>
      </c>
      <c r="N1930" s="64">
        <f>IF($A1930="","",IFERROR(INDEX(부서매핑!$C$5:$C$504,MATCH($G1930&amp;"",부서매핑!$A$5:$A$504,0)),"미매핑"))</f>
        <v/>
      </c>
      <c r="O1930" s="9">
        <f>IF($A1930="","",N1930&amp;"|"&amp;$F1930)</f>
        <v/>
      </c>
      <c r="P1930" s="94">
        <f>IF($A1930="",0,$H1930*설정!$C$23)</f>
        <v/>
      </c>
      <c r="Q1930" s="64">
        <f>IF($A1930="","",IF(O1930&lt;&gt;원인분석!$C$9,"",IF(AND(M1930&gt;=원인분석!$C$10,M1930&lt;=원인분석!$C$11),"당기",IF(AND(M1930&gt;=원인분석!$C$12,M1930&lt;=원인분석!$C$13),"비교",""))))</f>
        <v/>
      </c>
      <c r="R1930" s="9">
        <f>IF(Q1930="","",$K1930&amp;"")</f>
        <v/>
      </c>
      <c r="S1930" s="9">
        <f>IF(Q1930="","",IF(MATCH(R1930,$R$5:$R$100000,0)=ROW()-4,ROW(),""))</f>
        <v/>
      </c>
      <c r="T1930" s="9">
        <f>IF(Q1930="당기",ABS(P1930)+ROW()/1000000000,"")</f>
        <v/>
      </c>
      <c r="U1930" s="9">
        <f>IF(Q1930="비교",ABS(P1930)+ROW()/1000000000,"")</f>
        <v/>
      </c>
      <c r="V1930" s="64">
        <f>IF($A1930="","",IF(COUNTIF(변동분석!$E$7:$E$506,O1930)&gt;0,"Y","N"))</f>
        <v/>
      </c>
      <c r="W1930" s="64">
        <f>IF($A1930="","",IFERROR(INDEX(계정매핑!$D$5:$D$504,MATCH($F1930&amp;"",계정매핑!$A$5:$A$504,0)),"미매핑"))</f>
        <v/>
      </c>
      <c r="X1930" s="9">
        <f>IF($A1930="","",$F1930&amp;"")</f>
        <v/>
      </c>
      <c r="Y1930" s="94">
        <f>IF($A1930="",0,IF(AE1930="직접",IF(AF1930="비귀속",$P1930,0),$P1930*(1-AG1930)*IFERROR(INDEX(계정대체기준!$F$20:$F$49,MATCH($N1930,계정대체기준!$A$20:$A$49,0)),1)))</f>
        <v/>
      </c>
      <c r="Z1930" s="94">
        <f>IF($A1930="",0,IF(AE1930="직접",IF(AF1930="신계약비",$P1930,0),$P1930*(1-AG1930)*IFERROR(INDEX(계정대체기준!$C$20:$C$49,MATCH($N1930,계정대체기준!$A$20:$A$49,0)),0)))</f>
        <v/>
      </c>
      <c r="AA1930" s="94">
        <f>IF($A1930="",0,IF(AE1930="직접",IF(OR(AF1930="유지비",AF1930="손해조사비"),$P1930,0),$P1930*(1-AG1930)*IFERROR(INDEX(계정대체기준!$D$20:$D$49,MATCH($N1930,계정대체기준!$A$20:$A$49,0)),0)))</f>
        <v/>
      </c>
      <c r="AB1930" s="94">
        <f>IF($A1930="",0,IF(AE1930="직접",IF(AF1930="수금비",$P1930,0),$P1930*(1-AG1930)*IFERROR(INDEX(계정대체기준!$E$20:$E$49,MATCH($N1930,계정대체기준!$A$20:$A$49,0)),0)))</f>
        <v/>
      </c>
      <c r="AC1930" s="9">
        <f>IF(AND($A1930&lt;&gt;"",M1930=설정!$C$20,Z1930&gt;0),Z1930+ROW()/1000000000,"")</f>
        <v/>
      </c>
      <c r="AD1930" s="94">
        <f>IF($A1930="",0,$P1930*AG1930)</f>
        <v/>
      </c>
      <c r="AE1930" s="64">
        <f>IF($A1930="","",IFERROR(INDEX(계정매핑!$E$5:$E$504,MATCH($F1930&amp;"",계정매핑!$A$5:$A$504,0))&amp;"","공통비"))</f>
        <v/>
      </c>
      <c r="AF1930" s="64">
        <f>IF($A1930="","",IF(AE1930="직접",IFERROR(INDEX(계정매핑!$F$5:$F$504,MATCH($F1930&amp;"",계정매핑!$A$5:$A$504,0))&amp;"","비귀속"),""))</f>
        <v/>
      </c>
      <c r="AG1930" s="96">
        <f>IF($A1930="",0,IF(AND(AE1930&lt;&gt;"직접",IFERROR(INDEX(계정매핑!$G$5:$G$504,MATCH($F1930&amp;"",계정매핑!$A$5:$A$504,0))&amp;"","")="유지비",COUNTIF(계정대체기준!$A$6:$A$15,$N1930)&gt;0),IFERROR(INDEX(계정대체기준!$E$6:$E$15,MATCH(VALUE($A1930&amp;""),계정대체기준!$D$6:$D$15,0)),0),0))</f>
        <v/>
      </c>
      <c r="AH1930" s="64">
        <f>IF($A1930="","",IF(AD1930=0,"",IF(OR(COUNTIF(계정대체기준!$A$77:$A$86,$N1930)&gt;0,ISNUMBER(MATCH($X1930,계정대체기준!$D$77:$D$86,0)),ISNUMBER(MATCH($F1930,계정대체기준!$D$77:$D$86,0))),"Y","N")))</f>
        <v/>
      </c>
    </row>
    <row r="1931">
      <c r="A1931" s="92" t="n">
        <v>2025</v>
      </c>
      <c r="B1931" s="92" t="n">
        <v>9</v>
      </c>
      <c r="C1931" s="92" t="inlineStr">
        <is>
          <t>5100001927</t>
        </is>
      </c>
      <c r="D1931" s="95" t="n">
        <v>45914</v>
      </c>
      <c r="E1931" s="92" t="inlineStr">
        <is>
          <t>KR</t>
        </is>
      </c>
      <c r="F1931" s="92" t="n">
        <v>63601000</v>
      </c>
      <c r="G1931" s="92" t="n">
        <v>1801</v>
      </c>
      <c r="H1931" s="93" t="n">
        <v>8061000</v>
      </c>
      <c r="I1931" s="92" t="inlineStr">
        <is>
          <t>9월 손해사정 수수료 - DD손해사정</t>
        </is>
      </c>
      <c r="J1931" s="92" t="inlineStr">
        <is>
          <t>V10032</t>
        </is>
      </c>
      <c r="K1931" s="92" t="inlineStr">
        <is>
          <t>DD손해사정</t>
        </is>
      </c>
      <c r="M1931" s="9">
        <f>IF($A1931="","",VALUE($A1931&amp;"")*12+VALUE($B1931&amp;""))</f>
        <v/>
      </c>
      <c r="N1931" s="64">
        <f>IF($A1931="","",IFERROR(INDEX(부서매핑!$C$5:$C$504,MATCH($G1931&amp;"",부서매핑!$A$5:$A$504,0)),"미매핑"))</f>
        <v/>
      </c>
      <c r="O1931" s="9">
        <f>IF($A1931="","",N1931&amp;"|"&amp;$F1931)</f>
        <v/>
      </c>
      <c r="P1931" s="94">
        <f>IF($A1931="",0,$H1931*설정!$C$23)</f>
        <v/>
      </c>
      <c r="Q1931" s="64">
        <f>IF($A1931="","",IF(O1931&lt;&gt;원인분석!$C$9,"",IF(AND(M1931&gt;=원인분석!$C$10,M1931&lt;=원인분석!$C$11),"당기",IF(AND(M1931&gt;=원인분석!$C$12,M1931&lt;=원인분석!$C$13),"비교",""))))</f>
        <v/>
      </c>
      <c r="R1931" s="9">
        <f>IF(Q1931="","",$K1931&amp;"")</f>
        <v/>
      </c>
      <c r="S1931" s="9">
        <f>IF(Q1931="","",IF(MATCH(R1931,$R$5:$R$100000,0)=ROW()-4,ROW(),""))</f>
        <v/>
      </c>
      <c r="T1931" s="9">
        <f>IF(Q1931="당기",ABS(P1931)+ROW()/1000000000,"")</f>
        <v/>
      </c>
      <c r="U1931" s="9">
        <f>IF(Q1931="비교",ABS(P1931)+ROW()/1000000000,"")</f>
        <v/>
      </c>
      <c r="V1931" s="64">
        <f>IF($A1931="","",IF(COUNTIF(변동분석!$E$7:$E$506,O1931)&gt;0,"Y","N"))</f>
        <v/>
      </c>
      <c r="W1931" s="64">
        <f>IF($A1931="","",IFERROR(INDEX(계정매핑!$D$5:$D$504,MATCH($F1931&amp;"",계정매핑!$A$5:$A$504,0)),"미매핑"))</f>
        <v/>
      </c>
      <c r="X1931" s="9">
        <f>IF($A1931="","",$F1931&amp;"")</f>
        <v/>
      </c>
      <c r="Y1931" s="94">
        <f>IF($A1931="",0,IF(AE1931="직접",IF(AF1931="비귀속",$P1931,0),$P1931*(1-AG1931)*IFERROR(INDEX(계정대체기준!$F$20:$F$49,MATCH($N1931,계정대체기준!$A$20:$A$49,0)),1)))</f>
        <v/>
      </c>
      <c r="Z1931" s="94">
        <f>IF($A1931="",0,IF(AE1931="직접",IF(AF1931="신계약비",$P1931,0),$P1931*(1-AG1931)*IFERROR(INDEX(계정대체기준!$C$20:$C$49,MATCH($N1931,계정대체기준!$A$20:$A$49,0)),0)))</f>
        <v/>
      </c>
      <c r="AA1931" s="94">
        <f>IF($A1931="",0,IF(AE1931="직접",IF(OR(AF1931="유지비",AF1931="손해조사비"),$P1931,0),$P1931*(1-AG1931)*IFERROR(INDEX(계정대체기준!$D$20:$D$49,MATCH($N1931,계정대체기준!$A$20:$A$49,0)),0)))</f>
        <v/>
      </c>
      <c r="AB1931" s="94">
        <f>IF($A1931="",0,IF(AE1931="직접",IF(AF1931="수금비",$P1931,0),$P1931*(1-AG1931)*IFERROR(INDEX(계정대체기준!$E$20:$E$49,MATCH($N1931,계정대체기준!$A$20:$A$49,0)),0)))</f>
        <v/>
      </c>
      <c r="AC1931" s="9">
        <f>IF(AND($A1931&lt;&gt;"",M1931=설정!$C$20,Z1931&gt;0),Z1931+ROW()/1000000000,"")</f>
        <v/>
      </c>
      <c r="AD1931" s="94">
        <f>IF($A1931="",0,$P1931*AG1931)</f>
        <v/>
      </c>
      <c r="AE1931" s="64">
        <f>IF($A1931="","",IFERROR(INDEX(계정매핑!$E$5:$E$504,MATCH($F1931&amp;"",계정매핑!$A$5:$A$504,0))&amp;"","공통비"))</f>
        <v/>
      </c>
      <c r="AF1931" s="64">
        <f>IF($A1931="","",IF(AE1931="직접",IFERROR(INDEX(계정매핑!$F$5:$F$504,MATCH($F1931&amp;"",계정매핑!$A$5:$A$504,0))&amp;"","비귀속"),""))</f>
        <v/>
      </c>
      <c r="AG1931" s="96">
        <f>IF($A1931="",0,IF(AND(AE1931&lt;&gt;"직접",IFERROR(INDEX(계정매핑!$G$5:$G$504,MATCH($F1931&amp;"",계정매핑!$A$5:$A$504,0))&amp;"","")="유지비",COUNTIF(계정대체기준!$A$6:$A$15,$N1931)&gt;0),IFERROR(INDEX(계정대체기준!$E$6:$E$15,MATCH(VALUE($A1931&amp;""),계정대체기준!$D$6:$D$15,0)),0),0))</f>
        <v/>
      </c>
      <c r="AH1931" s="64">
        <f>IF($A1931="","",IF(AD1931=0,"",IF(OR(COUNTIF(계정대체기준!$A$77:$A$86,$N1931)&gt;0,ISNUMBER(MATCH($X1931,계정대체기준!$D$77:$D$86,0)),ISNUMBER(MATCH($F1931,계정대체기준!$D$77:$D$86,0))),"Y","N")))</f>
        <v/>
      </c>
    </row>
    <row r="1932">
      <c r="A1932" s="92" t="n">
        <v>2025</v>
      </c>
      <c r="B1932" s="92" t="n">
        <v>9</v>
      </c>
      <c r="C1932" s="92" t="inlineStr">
        <is>
          <t>5100001928</t>
        </is>
      </c>
      <c r="D1932" s="95" t="n">
        <v>45915</v>
      </c>
      <c r="E1932" s="92" t="inlineStr">
        <is>
          <t>KR</t>
        </is>
      </c>
      <c r="F1932" s="92" t="n">
        <v>62101000</v>
      </c>
      <c r="G1932" s="92" t="n">
        <v>1502</v>
      </c>
      <c r="H1932" s="93" t="n">
        <v>657000</v>
      </c>
      <c r="I1932" s="92" t="inlineStr">
        <is>
          <t>9월 국내출장 - (법인카드)</t>
        </is>
      </c>
      <c r="J1932" s="92" t="inlineStr">
        <is>
          <t>V10010</t>
        </is>
      </c>
      <c r="K1932" s="92" t="inlineStr">
        <is>
          <t>(법인카드)</t>
        </is>
      </c>
      <c r="M1932" s="9">
        <f>IF($A1932="","",VALUE($A1932&amp;"")*12+VALUE($B1932&amp;""))</f>
        <v/>
      </c>
      <c r="N1932" s="64">
        <f>IF($A1932="","",IFERROR(INDEX(부서매핑!$C$5:$C$504,MATCH($G1932&amp;"",부서매핑!$A$5:$A$504,0)),"미매핑"))</f>
        <v/>
      </c>
      <c r="O1932" s="9">
        <f>IF($A1932="","",N1932&amp;"|"&amp;$F1932)</f>
        <v/>
      </c>
      <c r="P1932" s="94">
        <f>IF($A1932="",0,$H1932*설정!$C$23)</f>
        <v/>
      </c>
      <c r="Q1932" s="64">
        <f>IF($A1932="","",IF(O1932&lt;&gt;원인분석!$C$9,"",IF(AND(M1932&gt;=원인분석!$C$10,M1932&lt;=원인분석!$C$11),"당기",IF(AND(M1932&gt;=원인분석!$C$12,M1932&lt;=원인분석!$C$13),"비교",""))))</f>
        <v/>
      </c>
      <c r="R1932" s="9">
        <f>IF(Q1932="","",$K1932&amp;"")</f>
        <v/>
      </c>
      <c r="S1932" s="9">
        <f>IF(Q1932="","",IF(MATCH(R1932,$R$5:$R$100000,0)=ROW()-4,ROW(),""))</f>
        <v/>
      </c>
      <c r="T1932" s="9">
        <f>IF(Q1932="당기",ABS(P1932)+ROW()/1000000000,"")</f>
        <v/>
      </c>
      <c r="U1932" s="9">
        <f>IF(Q1932="비교",ABS(P1932)+ROW()/1000000000,"")</f>
        <v/>
      </c>
      <c r="V1932" s="64">
        <f>IF($A1932="","",IF(COUNTIF(변동분석!$E$7:$E$506,O1932)&gt;0,"Y","N"))</f>
        <v/>
      </c>
      <c r="W1932" s="64">
        <f>IF($A1932="","",IFERROR(INDEX(계정매핑!$D$5:$D$504,MATCH($F1932&amp;"",계정매핑!$A$5:$A$504,0)),"미매핑"))</f>
        <v/>
      </c>
      <c r="X1932" s="9">
        <f>IF($A1932="","",$F1932&amp;"")</f>
        <v/>
      </c>
      <c r="Y1932" s="94">
        <f>IF($A1932="",0,IF(AE1932="직접",IF(AF1932="비귀속",$P1932,0),$P1932*(1-AG1932)*IFERROR(INDEX(계정대체기준!$F$20:$F$49,MATCH($N1932,계정대체기준!$A$20:$A$49,0)),1)))</f>
        <v/>
      </c>
      <c r="Z1932" s="94">
        <f>IF($A1932="",0,IF(AE1932="직접",IF(AF1932="신계약비",$P1932,0),$P1932*(1-AG1932)*IFERROR(INDEX(계정대체기준!$C$20:$C$49,MATCH($N1932,계정대체기준!$A$20:$A$49,0)),0)))</f>
        <v/>
      </c>
      <c r="AA1932" s="94">
        <f>IF($A1932="",0,IF(AE1932="직접",IF(OR(AF1932="유지비",AF1932="손해조사비"),$P1932,0),$P1932*(1-AG1932)*IFERROR(INDEX(계정대체기준!$D$20:$D$49,MATCH($N1932,계정대체기준!$A$20:$A$49,0)),0)))</f>
        <v/>
      </c>
      <c r="AB1932" s="94">
        <f>IF($A1932="",0,IF(AE1932="직접",IF(AF1932="수금비",$P1932,0),$P1932*(1-AG1932)*IFERROR(INDEX(계정대체기준!$E$20:$E$49,MATCH($N1932,계정대체기준!$A$20:$A$49,0)),0)))</f>
        <v/>
      </c>
      <c r="AC1932" s="9">
        <f>IF(AND($A1932&lt;&gt;"",M1932=설정!$C$20,Z1932&gt;0),Z1932+ROW()/1000000000,"")</f>
        <v/>
      </c>
      <c r="AD1932" s="94">
        <f>IF($A1932="",0,$P1932*AG1932)</f>
        <v/>
      </c>
      <c r="AE1932" s="64">
        <f>IF($A1932="","",IFERROR(INDEX(계정매핑!$E$5:$E$504,MATCH($F1932&amp;"",계정매핑!$A$5:$A$504,0))&amp;"","공통비"))</f>
        <v/>
      </c>
      <c r="AF1932" s="64">
        <f>IF($A1932="","",IF(AE1932="직접",IFERROR(INDEX(계정매핑!$F$5:$F$504,MATCH($F1932&amp;"",계정매핑!$A$5:$A$504,0))&amp;"","비귀속"),""))</f>
        <v/>
      </c>
      <c r="AG1932" s="96">
        <f>IF($A1932="",0,IF(AND(AE1932&lt;&gt;"직접",IFERROR(INDEX(계정매핑!$G$5:$G$504,MATCH($F1932&amp;"",계정매핑!$A$5:$A$504,0))&amp;"","")="유지비",COUNTIF(계정대체기준!$A$6:$A$15,$N1932)&gt;0),IFERROR(INDEX(계정대체기준!$E$6:$E$15,MATCH(VALUE($A1932&amp;""),계정대체기준!$D$6:$D$15,0)),0),0))</f>
        <v/>
      </c>
      <c r="AH1932" s="64">
        <f>IF($A1932="","",IF(AD1932=0,"",IF(OR(COUNTIF(계정대체기준!$A$77:$A$86,$N1932)&gt;0,ISNUMBER(MATCH($X1932,계정대체기준!$D$77:$D$86,0)),ISNUMBER(MATCH($F1932,계정대체기준!$D$77:$D$86,0))),"Y","N")))</f>
        <v/>
      </c>
    </row>
    <row r="1933">
      <c r="A1933" s="92" t="n">
        <v>2025</v>
      </c>
      <c r="B1933" s="92" t="n">
        <v>9</v>
      </c>
      <c r="C1933" s="92" t="inlineStr">
        <is>
          <t>5100001929</t>
        </is>
      </c>
      <c r="D1933" s="95" t="n">
        <v>45915</v>
      </c>
      <c r="E1933" s="92" t="inlineStr">
        <is>
          <t>KR</t>
        </is>
      </c>
      <c r="F1933" s="92" t="n">
        <v>62102000</v>
      </c>
      <c r="G1933" s="92" t="n">
        <v>1701</v>
      </c>
      <c r="H1933" s="93" t="n">
        <v>68000</v>
      </c>
      <c r="I1933" s="92" t="inlineStr">
        <is>
          <t>9월 해외출장 - N호텔</t>
        </is>
      </c>
      <c r="J1933" s="92" t="inlineStr">
        <is>
          <t>V10009</t>
        </is>
      </c>
      <c r="K1933" s="92" t="inlineStr">
        <is>
          <t>N호텔</t>
        </is>
      </c>
      <c r="M1933" s="9">
        <f>IF($A1933="","",VALUE($A1933&amp;"")*12+VALUE($B1933&amp;""))</f>
        <v/>
      </c>
      <c r="N1933" s="64">
        <f>IF($A1933="","",IFERROR(INDEX(부서매핑!$C$5:$C$504,MATCH($G1933&amp;"",부서매핑!$A$5:$A$504,0)),"미매핑"))</f>
        <v/>
      </c>
      <c r="O1933" s="9">
        <f>IF($A1933="","",N1933&amp;"|"&amp;$F1933)</f>
        <v/>
      </c>
      <c r="P1933" s="94">
        <f>IF($A1933="",0,$H1933*설정!$C$23)</f>
        <v/>
      </c>
      <c r="Q1933" s="64">
        <f>IF($A1933="","",IF(O1933&lt;&gt;원인분석!$C$9,"",IF(AND(M1933&gt;=원인분석!$C$10,M1933&lt;=원인분석!$C$11),"당기",IF(AND(M1933&gt;=원인분석!$C$12,M1933&lt;=원인분석!$C$13),"비교",""))))</f>
        <v/>
      </c>
      <c r="R1933" s="9">
        <f>IF(Q1933="","",$K1933&amp;"")</f>
        <v/>
      </c>
      <c r="S1933" s="9">
        <f>IF(Q1933="","",IF(MATCH(R1933,$R$5:$R$100000,0)=ROW()-4,ROW(),""))</f>
        <v/>
      </c>
      <c r="T1933" s="9">
        <f>IF(Q1933="당기",ABS(P1933)+ROW()/1000000000,"")</f>
        <v/>
      </c>
      <c r="U1933" s="9">
        <f>IF(Q1933="비교",ABS(P1933)+ROW()/1000000000,"")</f>
        <v/>
      </c>
      <c r="V1933" s="64">
        <f>IF($A1933="","",IF(COUNTIF(변동분석!$E$7:$E$506,O1933)&gt;0,"Y","N"))</f>
        <v/>
      </c>
      <c r="W1933" s="64">
        <f>IF($A1933="","",IFERROR(INDEX(계정매핑!$D$5:$D$504,MATCH($F1933&amp;"",계정매핑!$A$5:$A$504,0)),"미매핑"))</f>
        <v/>
      </c>
      <c r="X1933" s="9">
        <f>IF($A1933="","",$F1933&amp;"")</f>
        <v/>
      </c>
      <c r="Y1933" s="94">
        <f>IF($A1933="",0,IF(AE1933="직접",IF(AF1933="비귀속",$P1933,0),$P1933*(1-AG1933)*IFERROR(INDEX(계정대체기준!$F$20:$F$49,MATCH($N1933,계정대체기준!$A$20:$A$49,0)),1)))</f>
        <v/>
      </c>
      <c r="Z1933" s="94">
        <f>IF($A1933="",0,IF(AE1933="직접",IF(AF1933="신계약비",$P1933,0),$P1933*(1-AG1933)*IFERROR(INDEX(계정대체기준!$C$20:$C$49,MATCH($N1933,계정대체기준!$A$20:$A$49,0)),0)))</f>
        <v/>
      </c>
      <c r="AA1933" s="94">
        <f>IF($A1933="",0,IF(AE1933="직접",IF(OR(AF1933="유지비",AF1933="손해조사비"),$P1933,0),$P1933*(1-AG1933)*IFERROR(INDEX(계정대체기준!$D$20:$D$49,MATCH($N1933,계정대체기준!$A$20:$A$49,0)),0)))</f>
        <v/>
      </c>
      <c r="AB1933" s="94">
        <f>IF($A1933="",0,IF(AE1933="직접",IF(AF1933="수금비",$P1933,0),$P1933*(1-AG1933)*IFERROR(INDEX(계정대체기준!$E$20:$E$49,MATCH($N1933,계정대체기준!$A$20:$A$49,0)),0)))</f>
        <v/>
      </c>
      <c r="AC1933" s="9">
        <f>IF(AND($A1933&lt;&gt;"",M1933=설정!$C$20,Z1933&gt;0),Z1933+ROW()/1000000000,"")</f>
        <v/>
      </c>
      <c r="AD1933" s="94">
        <f>IF($A1933="",0,$P1933*AG1933)</f>
        <v/>
      </c>
      <c r="AE1933" s="64">
        <f>IF($A1933="","",IFERROR(INDEX(계정매핑!$E$5:$E$504,MATCH($F1933&amp;"",계정매핑!$A$5:$A$504,0))&amp;"","공통비"))</f>
        <v/>
      </c>
      <c r="AF1933" s="64">
        <f>IF($A1933="","",IF(AE1933="직접",IFERROR(INDEX(계정매핑!$F$5:$F$504,MATCH($F1933&amp;"",계정매핑!$A$5:$A$504,0))&amp;"","비귀속"),""))</f>
        <v/>
      </c>
      <c r="AG1933" s="96">
        <f>IF($A1933="",0,IF(AND(AE1933&lt;&gt;"직접",IFERROR(INDEX(계정매핑!$G$5:$G$504,MATCH($F1933&amp;"",계정매핑!$A$5:$A$504,0))&amp;"","")="유지비",COUNTIF(계정대체기준!$A$6:$A$15,$N1933)&gt;0),IFERROR(INDEX(계정대체기준!$E$6:$E$15,MATCH(VALUE($A1933&amp;""),계정대체기준!$D$6:$D$15,0)),0),0))</f>
        <v/>
      </c>
      <c r="AH1933" s="64">
        <f>IF($A1933="","",IF(AD1933=0,"",IF(OR(COUNTIF(계정대체기준!$A$77:$A$86,$N1933)&gt;0,ISNUMBER(MATCH($X1933,계정대체기준!$D$77:$D$86,0)),ISNUMBER(MATCH($F1933,계정대체기준!$D$77:$D$86,0))),"Y","N")))</f>
        <v/>
      </c>
    </row>
    <row r="1934">
      <c r="A1934" s="92" t="n">
        <v>2025</v>
      </c>
      <c r="B1934" s="92" t="n">
        <v>9</v>
      </c>
      <c r="C1934" s="92" t="inlineStr">
        <is>
          <t>5100001930</t>
        </is>
      </c>
      <c r="D1934" s="95" t="n">
        <v>45915</v>
      </c>
      <c r="E1934" s="92" t="inlineStr">
        <is>
          <t>KR</t>
        </is>
      </c>
      <c r="F1934" s="92" t="n">
        <v>62102000</v>
      </c>
      <c r="G1934" s="92" t="n">
        <v>1951</v>
      </c>
      <c r="H1934" s="93" t="n">
        <v>73000</v>
      </c>
      <c r="I1934" s="92" t="inlineStr">
        <is>
          <t>9월 해외출장 - M항공</t>
        </is>
      </c>
      <c r="J1934" s="92" t="inlineStr">
        <is>
          <t>V10001</t>
        </is>
      </c>
      <c r="K1934" s="92" t="inlineStr">
        <is>
          <t>M항공</t>
        </is>
      </c>
      <c r="M1934" s="9">
        <f>IF($A1934="","",VALUE($A1934&amp;"")*12+VALUE($B1934&amp;""))</f>
        <v/>
      </c>
      <c r="N1934" s="64">
        <f>IF($A1934="","",IFERROR(INDEX(부서매핑!$C$5:$C$504,MATCH($G1934&amp;"",부서매핑!$A$5:$A$504,0)),"미매핑"))</f>
        <v/>
      </c>
      <c r="O1934" s="9">
        <f>IF($A1934="","",N1934&amp;"|"&amp;$F1934)</f>
        <v/>
      </c>
      <c r="P1934" s="94">
        <f>IF($A1934="",0,$H1934*설정!$C$23)</f>
        <v/>
      </c>
      <c r="Q1934" s="64">
        <f>IF($A1934="","",IF(O1934&lt;&gt;원인분석!$C$9,"",IF(AND(M1934&gt;=원인분석!$C$10,M1934&lt;=원인분석!$C$11),"당기",IF(AND(M1934&gt;=원인분석!$C$12,M1934&lt;=원인분석!$C$13),"비교",""))))</f>
        <v/>
      </c>
      <c r="R1934" s="9">
        <f>IF(Q1934="","",$K1934&amp;"")</f>
        <v/>
      </c>
      <c r="S1934" s="9">
        <f>IF(Q1934="","",IF(MATCH(R1934,$R$5:$R$100000,0)=ROW()-4,ROW(),""))</f>
        <v/>
      </c>
      <c r="T1934" s="9">
        <f>IF(Q1934="당기",ABS(P1934)+ROW()/1000000000,"")</f>
        <v/>
      </c>
      <c r="U1934" s="9">
        <f>IF(Q1934="비교",ABS(P1934)+ROW()/1000000000,"")</f>
        <v/>
      </c>
      <c r="V1934" s="64">
        <f>IF($A1934="","",IF(COUNTIF(변동분석!$E$7:$E$506,O1934)&gt;0,"Y","N"))</f>
        <v/>
      </c>
      <c r="W1934" s="64">
        <f>IF($A1934="","",IFERROR(INDEX(계정매핑!$D$5:$D$504,MATCH($F1934&amp;"",계정매핑!$A$5:$A$504,0)),"미매핑"))</f>
        <v/>
      </c>
      <c r="X1934" s="9">
        <f>IF($A1934="","",$F1934&amp;"")</f>
        <v/>
      </c>
      <c r="Y1934" s="94">
        <f>IF($A1934="",0,IF(AE1934="직접",IF(AF1934="비귀속",$P1934,0),$P1934*(1-AG1934)*IFERROR(INDEX(계정대체기준!$F$20:$F$49,MATCH($N1934,계정대체기준!$A$20:$A$49,0)),1)))</f>
        <v/>
      </c>
      <c r="Z1934" s="94">
        <f>IF($A1934="",0,IF(AE1934="직접",IF(AF1934="신계약비",$P1934,0),$P1934*(1-AG1934)*IFERROR(INDEX(계정대체기준!$C$20:$C$49,MATCH($N1934,계정대체기준!$A$20:$A$49,0)),0)))</f>
        <v/>
      </c>
      <c r="AA1934" s="94">
        <f>IF($A1934="",0,IF(AE1934="직접",IF(OR(AF1934="유지비",AF1934="손해조사비"),$P1934,0),$P1934*(1-AG1934)*IFERROR(INDEX(계정대체기준!$D$20:$D$49,MATCH($N1934,계정대체기준!$A$20:$A$49,0)),0)))</f>
        <v/>
      </c>
      <c r="AB1934" s="94">
        <f>IF($A1934="",0,IF(AE1934="직접",IF(AF1934="수금비",$P1934,0),$P1934*(1-AG1934)*IFERROR(INDEX(계정대체기준!$E$20:$E$49,MATCH($N1934,계정대체기준!$A$20:$A$49,0)),0)))</f>
        <v/>
      </c>
      <c r="AC1934" s="9">
        <f>IF(AND($A1934&lt;&gt;"",M1934=설정!$C$20,Z1934&gt;0),Z1934+ROW()/1000000000,"")</f>
        <v/>
      </c>
      <c r="AD1934" s="94">
        <f>IF($A1934="",0,$P1934*AG1934)</f>
        <v/>
      </c>
      <c r="AE1934" s="64">
        <f>IF($A1934="","",IFERROR(INDEX(계정매핑!$E$5:$E$504,MATCH($F1934&amp;"",계정매핑!$A$5:$A$504,0))&amp;"","공통비"))</f>
        <v/>
      </c>
      <c r="AF1934" s="64">
        <f>IF($A1934="","",IF(AE1934="직접",IFERROR(INDEX(계정매핑!$F$5:$F$504,MATCH($F1934&amp;"",계정매핑!$A$5:$A$504,0))&amp;"","비귀속"),""))</f>
        <v/>
      </c>
      <c r="AG1934" s="96">
        <f>IF($A1934="",0,IF(AND(AE1934&lt;&gt;"직접",IFERROR(INDEX(계정매핑!$G$5:$G$504,MATCH($F1934&amp;"",계정매핑!$A$5:$A$504,0))&amp;"","")="유지비",COUNTIF(계정대체기준!$A$6:$A$15,$N1934)&gt;0),IFERROR(INDEX(계정대체기준!$E$6:$E$15,MATCH(VALUE($A1934&amp;""),계정대체기준!$D$6:$D$15,0)),0),0))</f>
        <v/>
      </c>
      <c r="AH1934" s="64">
        <f>IF($A1934="","",IF(AD1934=0,"",IF(OR(COUNTIF(계정대체기준!$A$77:$A$86,$N1934)&gt;0,ISNUMBER(MATCH($X1934,계정대체기준!$D$77:$D$86,0)),ISNUMBER(MATCH($F1934,계정대체기준!$D$77:$D$86,0))),"Y","N")))</f>
        <v/>
      </c>
    </row>
    <row r="1935">
      <c r="A1935" s="92" t="n">
        <v>2025</v>
      </c>
      <c r="B1935" s="92" t="n">
        <v>9</v>
      </c>
      <c r="C1935" s="92" t="inlineStr">
        <is>
          <t>5100001931</t>
        </is>
      </c>
      <c r="D1935" s="95" t="n">
        <v>45915</v>
      </c>
      <c r="E1935" s="92" t="inlineStr">
        <is>
          <t>KR</t>
        </is>
      </c>
      <c r="F1935" s="92" t="n">
        <v>62301000</v>
      </c>
      <c r="G1935" s="92" t="n">
        <v>1701</v>
      </c>
      <c r="H1935" s="93" t="n">
        <v>303000</v>
      </c>
      <c r="I1935" s="92" t="inlineStr">
        <is>
          <t>9월 소모품 구입 - R문구</t>
        </is>
      </c>
      <c r="J1935" s="92" t="inlineStr">
        <is>
          <t>V10022</t>
        </is>
      </c>
      <c r="K1935" s="92" t="inlineStr">
        <is>
          <t>R문구</t>
        </is>
      </c>
      <c r="M1935" s="9">
        <f>IF($A1935="","",VALUE($A1935&amp;"")*12+VALUE($B1935&amp;""))</f>
        <v/>
      </c>
      <c r="N1935" s="64">
        <f>IF($A1935="","",IFERROR(INDEX(부서매핑!$C$5:$C$504,MATCH($G1935&amp;"",부서매핑!$A$5:$A$504,0)),"미매핑"))</f>
        <v/>
      </c>
      <c r="O1935" s="9">
        <f>IF($A1935="","",N1935&amp;"|"&amp;$F1935)</f>
        <v/>
      </c>
      <c r="P1935" s="94">
        <f>IF($A1935="",0,$H1935*설정!$C$23)</f>
        <v/>
      </c>
      <c r="Q1935" s="64">
        <f>IF($A1935="","",IF(O1935&lt;&gt;원인분석!$C$9,"",IF(AND(M1935&gt;=원인분석!$C$10,M1935&lt;=원인분석!$C$11),"당기",IF(AND(M1935&gt;=원인분석!$C$12,M1935&lt;=원인분석!$C$13),"비교",""))))</f>
        <v/>
      </c>
      <c r="R1935" s="9">
        <f>IF(Q1935="","",$K1935&amp;"")</f>
        <v/>
      </c>
      <c r="S1935" s="9">
        <f>IF(Q1935="","",IF(MATCH(R1935,$R$5:$R$100000,0)=ROW()-4,ROW(),""))</f>
        <v/>
      </c>
      <c r="T1935" s="9">
        <f>IF(Q1935="당기",ABS(P1935)+ROW()/1000000000,"")</f>
        <v/>
      </c>
      <c r="U1935" s="9">
        <f>IF(Q1935="비교",ABS(P1935)+ROW()/1000000000,"")</f>
        <v/>
      </c>
      <c r="V1935" s="64">
        <f>IF($A1935="","",IF(COUNTIF(변동분석!$E$7:$E$506,O1935)&gt;0,"Y","N"))</f>
        <v/>
      </c>
      <c r="W1935" s="64">
        <f>IF($A1935="","",IFERROR(INDEX(계정매핑!$D$5:$D$504,MATCH($F1935&amp;"",계정매핑!$A$5:$A$504,0)),"미매핑"))</f>
        <v/>
      </c>
      <c r="X1935" s="9">
        <f>IF($A1935="","",$F1935&amp;"")</f>
        <v/>
      </c>
      <c r="Y1935" s="94">
        <f>IF($A1935="",0,IF(AE1935="직접",IF(AF1935="비귀속",$P1935,0),$P1935*(1-AG1935)*IFERROR(INDEX(계정대체기준!$F$20:$F$49,MATCH($N1935,계정대체기준!$A$20:$A$49,0)),1)))</f>
        <v/>
      </c>
      <c r="Z1935" s="94">
        <f>IF($A1935="",0,IF(AE1935="직접",IF(AF1935="신계약비",$P1935,0),$P1935*(1-AG1935)*IFERROR(INDEX(계정대체기준!$C$20:$C$49,MATCH($N1935,계정대체기준!$A$20:$A$49,0)),0)))</f>
        <v/>
      </c>
      <c r="AA1935" s="94">
        <f>IF($A1935="",0,IF(AE1935="직접",IF(OR(AF1935="유지비",AF1935="손해조사비"),$P1935,0),$P1935*(1-AG1935)*IFERROR(INDEX(계정대체기준!$D$20:$D$49,MATCH($N1935,계정대체기준!$A$20:$A$49,0)),0)))</f>
        <v/>
      </c>
      <c r="AB1935" s="94">
        <f>IF($A1935="",0,IF(AE1935="직접",IF(AF1935="수금비",$P1935,0),$P1935*(1-AG1935)*IFERROR(INDEX(계정대체기준!$E$20:$E$49,MATCH($N1935,계정대체기준!$A$20:$A$49,0)),0)))</f>
        <v/>
      </c>
      <c r="AC1935" s="9">
        <f>IF(AND($A1935&lt;&gt;"",M1935=설정!$C$20,Z1935&gt;0),Z1935+ROW()/1000000000,"")</f>
        <v/>
      </c>
      <c r="AD1935" s="94">
        <f>IF($A1935="",0,$P1935*AG1935)</f>
        <v/>
      </c>
      <c r="AE1935" s="64">
        <f>IF($A1935="","",IFERROR(INDEX(계정매핑!$E$5:$E$504,MATCH($F1935&amp;"",계정매핑!$A$5:$A$504,0))&amp;"","공통비"))</f>
        <v/>
      </c>
      <c r="AF1935" s="64">
        <f>IF($A1935="","",IF(AE1935="직접",IFERROR(INDEX(계정매핑!$F$5:$F$504,MATCH($F1935&amp;"",계정매핑!$A$5:$A$504,0))&amp;"","비귀속"),""))</f>
        <v/>
      </c>
      <c r="AG1935" s="96">
        <f>IF($A1935="",0,IF(AND(AE1935&lt;&gt;"직접",IFERROR(INDEX(계정매핑!$G$5:$G$504,MATCH($F1935&amp;"",계정매핑!$A$5:$A$504,0))&amp;"","")="유지비",COUNTIF(계정대체기준!$A$6:$A$15,$N1935)&gt;0),IFERROR(INDEX(계정대체기준!$E$6:$E$15,MATCH(VALUE($A1935&amp;""),계정대체기준!$D$6:$D$15,0)),0),0))</f>
        <v/>
      </c>
      <c r="AH1935" s="64">
        <f>IF($A1935="","",IF(AD1935=0,"",IF(OR(COUNTIF(계정대체기준!$A$77:$A$86,$N1935)&gt;0,ISNUMBER(MATCH($X1935,계정대체기준!$D$77:$D$86,0)),ISNUMBER(MATCH($F1935,계정대체기준!$D$77:$D$86,0))),"Y","N")))</f>
        <v/>
      </c>
    </row>
    <row r="1936">
      <c r="A1936" s="92" t="n">
        <v>2025</v>
      </c>
      <c r="B1936" s="92" t="n">
        <v>9</v>
      </c>
      <c r="C1936" s="92" t="inlineStr">
        <is>
          <t>5100001932</t>
        </is>
      </c>
      <c r="D1936" s="95" t="n">
        <v>45915</v>
      </c>
      <c r="E1936" s="92" t="inlineStr">
        <is>
          <t>KR</t>
        </is>
      </c>
      <c r="F1936" s="92" t="n">
        <v>62401000</v>
      </c>
      <c r="G1936" s="92" t="n">
        <v>1501</v>
      </c>
      <c r="H1936" s="93" t="n">
        <v>1184000</v>
      </c>
      <c r="I1936" s="92" t="inlineStr">
        <is>
          <t>9월 인쇄물 제작 - G인쇄</t>
        </is>
      </c>
      <c r="J1936" s="92" t="inlineStr">
        <is>
          <t>V10004</t>
        </is>
      </c>
      <c r="K1936" s="92" t="inlineStr">
        <is>
          <t>G인쇄</t>
        </is>
      </c>
      <c r="M1936" s="9">
        <f>IF($A1936="","",VALUE($A1936&amp;"")*12+VALUE($B1936&amp;""))</f>
        <v/>
      </c>
      <c r="N1936" s="64">
        <f>IF($A1936="","",IFERROR(INDEX(부서매핑!$C$5:$C$504,MATCH($G1936&amp;"",부서매핑!$A$5:$A$504,0)),"미매핑"))</f>
        <v/>
      </c>
      <c r="O1936" s="9">
        <f>IF($A1936="","",N1936&amp;"|"&amp;$F1936)</f>
        <v/>
      </c>
      <c r="P1936" s="94">
        <f>IF($A1936="",0,$H1936*설정!$C$23)</f>
        <v/>
      </c>
      <c r="Q1936" s="64">
        <f>IF($A1936="","",IF(O1936&lt;&gt;원인분석!$C$9,"",IF(AND(M1936&gt;=원인분석!$C$10,M1936&lt;=원인분석!$C$11),"당기",IF(AND(M1936&gt;=원인분석!$C$12,M1936&lt;=원인분석!$C$13),"비교",""))))</f>
        <v/>
      </c>
      <c r="R1936" s="9">
        <f>IF(Q1936="","",$K1936&amp;"")</f>
        <v/>
      </c>
      <c r="S1936" s="9">
        <f>IF(Q1936="","",IF(MATCH(R1936,$R$5:$R$100000,0)=ROW()-4,ROW(),""))</f>
        <v/>
      </c>
      <c r="T1936" s="9">
        <f>IF(Q1936="당기",ABS(P1936)+ROW()/1000000000,"")</f>
        <v/>
      </c>
      <c r="U1936" s="9">
        <f>IF(Q1936="비교",ABS(P1936)+ROW()/1000000000,"")</f>
        <v/>
      </c>
      <c r="V1936" s="64">
        <f>IF($A1936="","",IF(COUNTIF(변동분석!$E$7:$E$506,O1936)&gt;0,"Y","N"))</f>
        <v/>
      </c>
      <c r="W1936" s="64">
        <f>IF($A1936="","",IFERROR(INDEX(계정매핑!$D$5:$D$504,MATCH($F1936&amp;"",계정매핑!$A$5:$A$504,0)),"미매핑"))</f>
        <v/>
      </c>
      <c r="X1936" s="9">
        <f>IF($A1936="","",$F1936&amp;"")</f>
        <v/>
      </c>
      <c r="Y1936" s="94">
        <f>IF($A1936="",0,IF(AE1936="직접",IF(AF1936="비귀속",$P1936,0),$P1936*(1-AG1936)*IFERROR(INDEX(계정대체기준!$F$20:$F$49,MATCH($N1936,계정대체기준!$A$20:$A$49,0)),1)))</f>
        <v/>
      </c>
      <c r="Z1936" s="94">
        <f>IF($A1936="",0,IF(AE1936="직접",IF(AF1936="신계약비",$P1936,0),$P1936*(1-AG1936)*IFERROR(INDEX(계정대체기준!$C$20:$C$49,MATCH($N1936,계정대체기준!$A$20:$A$49,0)),0)))</f>
        <v/>
      </c>
      <c r="AA1936" s="94">
        <f>IF($A1936="",0,IF(AE1936="직접",IF(OR(AF1936="유지비",AF1936="손해조사비"),$P1936,0),$P1936*(1-AG1936)*IFERROR(INDEX(계정대체기준!$D$20:$D$49,MATCH($N1936,계정대체기준!$A$20:$A$49,0)),0)))</f>
        <v/>
      </c>
      <c r="AB1936" s="94">
        <f>IF($A1936="",0,IF(AE1936="직접",IF(AF1936="수금비",$P1936,0),$P1936*(1-AG1936)*IFERROR(INDEX(계정대체기준!$E$20:$E$49,MATCH($N1936,계정대체기준!$A$20:$A$49,0)),0)))</f>
        <v/>
      </c>
      <c r="AC1936" s="9">
        <f>IF(AND($A1936&lt;&gt;"",M1936=설정!$C$20,Z1936&gt;0),Z1936+ROW()/1000000000,"")</f>
        <v/>
      </c>
      <c r="AD1936" s="94">
        <f>IF($A1936="",0,$P1936*AG1936)</f>
        <v/>
      </c>
      <c r="AE1936" s="64">
        <f>IF($A1936="","",IFERROR(INDEX(계정매핑!$E$5:$E$504,MATCH($F1936&amp;"",계정매핑!$A$5:$A$504,0))&amp;"","공통비"))</f>
        <v/>
      </c>
      <c r="AF1936" s="64">
        <f>IF($A1936="","",IF(AE1936="직접",IFERROR(INDEX(계정매핑!$F$5:$F$504,MATCH($F1936&amp;"",계정매핑!$A$5:$A$504,0))&amp;"","비귀속"),""))</f>
        <v/>
      </c>
      <c r="AG1936" s="96">
        <f>IF($A1936="",0,IF(AND(AE1936&lt;&gt;"직접",IFERROR(INDEX(계정매핑!$G$5:$G$504,MATCH($F1936&amp;"",계정매핑!$A$5:$A$504,0))&amp;"","")="유지비",COUNTIF(계정대체기준!$A$6:$A$15,$N1936)&gt;0),IFERROR(INDEX(계정대체기준!$E$6:$E$15,MATCH(VALUE($A1936&amp;""),계정대체기준!$D$6:$D$15,0)),0),0))</f>
        <v/>
      </c>
      <c r="AH1936" s="64">
        <f>IF($A1936="","",IF(AD1936=0,"",IF(OR(COUNTIF(계정대체기준!$A$77:$A$86,$N1936)&gt;0,ISNUMBER(MATCH($X1936,계정대체기준!$D$77:$D$86,0)),ISNUMBER(MATCH($F1936,계정대체기준!$D$77:$D$86,0))),"Y","N")))</f>
        <v/>
      </c>
    </row>
    <row r="1937">
      <c r="A1937" s="92" t="n">
        <v>2025</v>
      </c>
      <c r="B1937" s="92" t="n">
        <v>9</v>
      </c>
      <c r="C1937" s="92" t="inlineStr">
        <is>
          <t>5100001933</t>
        </is>
      </c>
      <c r="D1937" s="95" t="n">
        <v>45915</v>
      </c>
      <c r="E1937" s="92" t="inlineStr">
        <is>
          <t>KR</t>
        </is>
      </c>
      <c r="F1937" s="92" t="n">
        <v>62701000</v>
      </c>
      <c r="G1937" s="92" t="n">
        <v>1502</v>
      </c>
      <c r="H1937" s="93" t="n">
        <v>83506000</v>
      </c>
      <c r="I1937" s="92" t="inlineStr">
        <is>
          <t>9월 광고 집행 - F애드</t>
        </is>
      </c>
      <c r="J1937" s="92" t="inlineStr">
        <is>
          <t>V10023</t>
        </is>
      </c>
      <c r="K1937" s="92" t="inlineStr">
        <is>
          <t>F애드</t>
        </is>
      </c>
      <c r="M1937" s="9">
        <f>IF($A1937="","",VALUE($A1937&amp;"")*12+VALUE($B1937&amp;""))</f>
        <v/>
      </c>
      <c r="N1937" s="64">
        <f>IF($A1937="","",IFERROR(INDEX(부서매핑!$C$5:$C$504,MATCH($G1937&amp;"",부서매핑!$A$5:$A$504,0)),"미매핑"))</f>
        <v/>
      </c>
      <c r="O1937" s="9">
        <f>IF($A1937="","",N1937&amp;"|"&amp;$F1937)</f>
        <v/>
      </c>
      <c r="P1937" s="94">
        <f>IF($A1937="",0,$H1937*설정!$C$23)</f>
        <v/>
      </c>
      <c r="Q1937" s="64">
        <f>IF($A1937="","",IF(O1937&lt;&gt;원인분석!$C$9,"",IF(AND(M1937&gt;=원인분석!$C$10,M1937&lt;=원인분석!$C$11),"당기",IF(AND(M1937&gt;=원인분석!$C$12,M1937&lt;=원인분석!$C$13),"비교",""))))</f>
        <v/>
      </c>
      <c r="R1937" s="9">
        <f>IF(Q1937="","",$K1937&amp;"")</f>
        <v/>
      </c>
      <c r="S1937" s="9">
        <f>IF(Q1937="","",IF(MATCH(R1937,$R$5:$R$100000,0)=ROW()-4,ROW(),""))</f>
        <v/>
      </c>
      <c r="T1937" s="9">
        <f>IF(Q1937="당기",ABS(P1937)+ROW()/1000000000,"")</f>
        <v/>
      </c>
      <c r="U1937" s="9">
        <f>IF(Q1937="비교",ABS(P1937)+ROW()/1000000000,"")</f>
        <v/>
      </c>
      <c r="V1937" s="64">
        <f>IF($A1937="","",IF(COUNTIF(변동분석!$E$7:$E$506,O1937)&gt;0,"Y","N"))</f>
        <v/>
      </c>
      <c r="W1937" s="64">
        <f>IF($A1937="","",IFERROR(INDEX(계정매핑!$D$5:$D$504,MATCH($F1937&amp;"",계정매핑!$A$5:$A$504,0)),"미매핑"))</f>
        <v/>
      </c>
      <c r="X1937" s="9">
        <f>IF($A1937="","",$F1937&amp;"")</f>
        <v/>
      </c>
      <c r="Y1937" s="94">
        <f>IF($A1937="",0,IF(AE1937="직접",IF(AF1937="비귀속",$P1937,0),$P1937*(1-AG1937)*IFERROR(INDEX(계정대체기준!$F$20:$F$49,MATCH($N1937,계정대체기준!$A$20:$A$49,0)),1)))</f>
        <v/>
      </c>
      <c r="Z1937" s="94">
        <f>IF($A1937="",0,IF(AE1937="직접",IF(AF1937="신계약비",$P1937,0),$P1937*(1-AG1937)*IFERROR(INDEX(계정대체기준!$C$20:$C$49,MATCH($N1937,계정대체기준!$A$20:$A$49,0)),0)))</f>
        <v/>
      </c>
      <c r="AA1937" s="94">
        <f>IF($A1937="",0,IF(AE1937="직접",IF(OR(AF1937="유지비",AF1937="손해조사비"),$P1937,0),$P1937*(1-AG1937)*IFERROR(INDEX(계정대체기준!$D$20:$D$49,MATCH($N1937,계정대체기준!$A$20:$A$49,0)),0)))</f>
        <v/>
      </c>
      <c r="AB1937" s="94">
        <f>IF($A1937="",0,IF(AE1937="직접",IF(AF1937="수금비",$P1937,0),$P1937*(1-AG1937)*IFERROR(INDEX(계정대체기준!$E$20:$E$49,MATCH($N1937,계정대체기준!$A$20:$A$49,0)),0)))</f>
        <v/>
      </c>
      <c r="AC1937" s="9">
        <f>IF(AND($A1937&lt;&gt;"",M1937=설정!$C$20,Z1937&gt;0),Z1937+ROW()/1000000000,"")</f>
        <v/>
      </c>
      <c r="AD1937" s="94">
        <f>IF($A1937="",0,$P1937*AG1937)</f>
        <v/>
      </c>
      <c r="AE1937" s="64">
        <f>IF($A1937="","",IFERROR(INDEX(계정매핑!$E$5:$E$504,MATCH($F1937&amp;"",계정매핑!$A$5:$A$504,0))&amp;"","공통비"))</f>
        <v/>
      </c>
      <c r="AF1937" s="64">
        <f>IF($A1937="","",IF(AE1937="직접",IFERROR(INDEX(계정매핑!$F$5:$F$504,MATCH($F1937&amp;"",계정매핑!$A$5:$A$504,0))&amp;"","비귀속"),""))</f>
        <v/>
      </c>
      <c r="AG1937" s="96">
        <f>IF($A1937="",0,IF(AND(AE1937&lt;&gt;"직접",IFERROR(INDEX(계정매핑!$G$5:$G$504,MATCH($F1937&amp;"",계정매핑!$A$5:$A$504,0))&amp;"","")="유지비",COUNTIF(계정대체기준!$A$6:$A$15,$N1937)&gt;0),IFERROR(INDEX(계정대체기준!$E$6:$E$15,MATCH(VALUE($A1937&amp;""),계정대체기준!$D$6:$D$15,0)),0),0))</f>
        <v/>
      </c>
      <c r="AH1937" s="64">
        <f>IF($A1937="","",IF(AD1937=0,"",IF(OR(COUNTIF(계정대체기준!$A$77:$A$86,$N1937)&gt;0,ISNUMBER(MATCH($X1937,계정대체기준!$D$77:$D$86,0)),ISNUMBER(MATCH($F1937,계정대체기준!$D$77:$D$86,0))),"Y","N")))</f>
        <v/>
      </c>
    </row>
    <row r="1938">
      <c r="A1938" s="92" t="n">
        <v>2025</v>
      </c>
      <c r="B1938" s="92" t="n">
        <v>9</v>
      </c>
      <c r="C1938" s="92" t="inlineStr">
        <is>
          <t>5100001934</t>
        </is>
      </c>
      <c r="D1938" s="95" t="n">
        <v>45915</v>
      </c>
      <c r="E1938" s="92" t="inlineStr">
        <is>
          <t>KR</t>
        </is>
      </c>
      <c r="F1938" s="92" t="n">
        <v>62801000</v>
      </c>
      <c r="G1938" s="92" t="n">
        <v>1301</v>
      </c>
      <c r="H1938" s="93" t="n">
        <v>5111000</v>
      </c>
      <c r="I1938" s="92" t="inlineStr">
        <is>
          <t>9월 사내교육 - U에듀</t>
        </is>
      </c>
      <c r="J1938" s="92" t="inlineStr">
        <is>
          <t>V10031</t>
        </is>
      </c>
      <c r="K1938" s="92" t="inlineStr">
        <is>
          <t>U에듀</t>
        </is>
      </c>
      <c r="M1938" s="9">
        <f>IF($A1938="","",VALUE($A1938&amp;"")*12+VALUE($B1938&amp;""))</f>
        <v/>
      </c>
      <c r="N1938" s="64">
        <f>IF($A1938="","",IFERROR(INDEX(부서매핑!$C$5:$C$504,MATCH($G1938&amp;"",부서매핑!$A$5:$A$504,0)),"미매핑"))</f>
        <v/>
      </c>
      <c r="O1938" s="9">
        <f>IF($A1938="","",N1938&amp;"|"&amp;$F1938)</f>
        <v/>
      </c>
      <c r="P1938" s="94">
        <f>IF($A1938="",0,$H1938*설정!$C$23)</f>
        <v/>
      </c>
      <c r="Q1938" s="64">
        <f>IF($A1938="","",IF(O1938&lt;&gt;원인분석!$C$9,"",IF(AND(M1938&gt;=원인분석!$C$10,M1938&lt;=원인분석!$C$11),"당기",IF(AND(M1938&gt;=원인분석!$C$12,M1938&lt;=원인분석!$C$13),"비교",""))))</f>
        <v/>
      </c>
      <c r="R1938" s="9">
        <f>IF(Q1938="","",$K1938&amp;"")</f>
        <v/>
      </c>
      <c r="S1938" s="9">
        <f>IF(Q1938="","",IF(MATCH(R1938,$R$5:$R$100000,0)=ROW()-4,ROW(),""))</f>
        <v/>
      </c>
      <c r="T1938" s="9">
        <f>IF(Q1938="당기",ABS(P1938)+ROW()/1000000000,"")</f>
        <v/>
      </c>
      <c r="U1938" s="9">
        <f>IF(Q1938="비교",ABS(P1938)+ROW()/1000000000,"")</f>
        <v/>
      </c>
      <c r="V1938" s="64">
        <f>IF($A1938="","",IF(COUNTIF(변동분석!$E$7:$E$506,O1938)&gt;0,"Y","N"))</f>
        <v/>
      </c>
      <c r="W1938" s="64">
        <f>IF($A1938="","",IFERROR(INDEX(계정매핑!$D$5:$D$504,MATCH($F1938&amp;"",계정매핑!$A$5:$A$504,0)),"미매핑"))</f>
        <v/>
      </c>
      <c r="X1938" s="9">
        <f>IF($A1938="","",$F1938&amp;"")</f>
        <v/>
      </c>
      <c r="Y1938" s="94">
        <f>IF($A1938="",0,IF(AE1938="직접",IF(AF1938="비귀속",$P1938,0),$P1938*(1-AG1938)*IFERROR(INDEX(계정대체기준!$F$20:$F$49,MATCH($N1938,계정대체기준!$A$20:$A$49,0)),1)))</f>
        <v/>
      </c>
      <c r="Z1938" s="94">
        <f>IF($A1938="",0,IF(AE1938="직접",IF(AF1938="신계약비",$P1938,0),$P1938*(1-AG1938)*IFERROR(INDEX(계정대체기준!$C$20:$C$49,MATCH($N1938,계정대체기준!$A$20:$A$49,0)),0)))</f>
        <v/>
      </c>
      <c r="AA1938" s="94">
        <f>IF($A1938="",0,IF(AE1938="직접",IF(OR(AF1938="유지비",AF1938="손해조사비"),$P1938,0),$P1938*(1-AG1938)*IFERROR(INDEX(계정대체기준!$D$20:$D$49,MATCH($N1938,계정대체기준!$A$20:$A$49,0)),0)))</f>
        <v/>
      </c>
      <c r="AB1938" s="94">
        <f>IF($A1938="",0,IF(AE1938="직접",IF(AF1938="수금비",$P1938,0),$P1938*(1-AG1938)*IFERROR(INDEX(계정대체기준!$E$20:$E$49,MATCH($N1938,계정대체기준!$A$20:$A$49,0)),0)))</f>
        <v/>
      </c>
      <c r="AC1938" s="9">
        <f>IF(AND($A1938&lt;&gt;"",M1938=설정!$C$20,Z1938&gt;0),Z1938+ROW()/1000000000,"")</f>
        <v/>
      </c>
      <c r="AD1938" s="94">
        <f>IF($A1938="",0,$P1938*AG1938)</f>
        <v/>
      </c>
      <c r="AE1938" s="64">
        <f>IF($A1938="","",IFERROR(INDEX(계정매핑!$E$5:$E$504,MATCH($F1938&amp;"",계정매핑!$A$5:$A$504,0))&amp;"","공통비"))</f>
        <v/>
      </c>
      <c r="AF1938" s="64">
        <f>IF($A1938="","",IF(AE1938="직접",IFERROR(INDEX(계정매핑!$F$5:$F$504,MATCH($F1938&amp;"",계정매핑!$A$5:$A$504,0))&amp;"","비귀속"),""))</f>
        <v/>
      </c>
      <c r="AG1938" s="96">
        <f>IF($A1938="",0,IF(AND(AE1938&lt;&gt;"직접",IFERROR(INDEX(계정매핑!$G$5:$G$504,MATCH($F1938&amp;"",계정매핑!$A$5:$A$504,0))&amp;"","")="유지비",COUNTIF(계정대체기준!$A$6:$A$15,$N1938)&gt;0),IFERROR(INDEX(계정대체기준!$E$6:$E$15,MATCH(VALUE($A1938&amp;""),계정대체기준!$D$6:$D$15,0)),0),0))</f>
        <v/>
      </c>
      <c r="AH1938" s="64">
        <f>IF($A1938="","",IF(AD1938=0,"",IF(OR(COUNTIF(계정대체기준!$A$77:$A$86,$N1938)&gt;0,ISNUMBER(MATCH($X1938,계정대체기준!$D$77:$D$86,0)),ISNUMBER(MATCH($F1938,계정대체기준!$D$77:$D$86,0))),"Y","N")))</f>
        <v/>
      </c>
    </row>
    <row r="1939">
      <c r="A1939" s="92" t="n">
        <v>2025</v>
      </c>
      <c r="B1939" s="92" t="n">
        <v>9</v>
      </c>
      <c r="C1939" s="92" t="inlineStr">
        <is>
          <t>5100001935</t>
        </is>
      </c>
      <c r="D1939" s="95" t="n">
        <v>45915</v>
      </c>
      <c r="E1939" s="92" t="inlineStr">
        <is>
          <t>KR</t>
        </is>
      </c>
      <c r="F1939" s="92" t="n">
        <v>62901000</v>
      </c>
      <c r="G1939" s="92" t="n">
        <v>1801</v>
      </c>
      <c r="H1939" s="93" t="n">
        <v>6768000</v>
      </c>
      <c r="I1939" s="92" t="inlineStr">
        <is>
          <t>9월 자문 수수료 - K회계법인</t>
        </is>
      </c>
      <c r="J1939" s="92" t="inlineStr">
        <is>
          <t>V10011</t>
        </is>
      </c>
      <c r="K1939" s="92" t="inlineStr">
        <is>
          <t>K회계법인</t>
        </is>
      </c>
      <c r="M1939" s="9">
        <f>IF($A1939="","",VALUE($A1939&amp;"")*12+VALUE($B1939&amp;""))</f>
        <v/>
      </c>
      <c r="N1939" s="64">
        <f>IF($A1939="","",IFERROR(INDEX(부서매핑!$C$5:$C$504,MATCH($G1939&amp;"",부서매핑!$A$5:$A$504,0)),"미매핑"))</f>
        <v/>
      </c>
      <c r="O1939" s="9">
        <f>IF($A1939="","",N1939&amp;"|"&amp;$F1939)</f>
        <v/>
      </c>
      <c r="P1939" s="94">
        <f>IF($A1939="",0,$H1939*설정!$C$23)</f>
        <v/>
      </c>
      <c r="Q1939" s="64">
        <f>IF($A1939="","",IF(O1939&lt;&gt;원인분석!$C$9,"",IF(AND(M1939&gt;=원인분석!$C$10,M1939&lt;=원인분석!$C$11),"당기",IF(AND(M1939&gt;=원인분석!$C$12,M1939&lt;=원인분석!$C$13),"비교",""))))</f>
        <v/>
      </c>
      <c r="R1939" s="9">
        <f>IF(Q1939="","",$K1939&amp;"")</f>
        <v/>
      </c>
      <c r="S1939" s="9">
        <f>IF(Q1939="","",IF(MATCH(R1939,$R$5:$R$100000,0)=ROW()-4,ROW(),""))</f>
        <v/>
      </c>
      <c r="T1939" s="9">
        <f>IF(Q1939="당기",ABS(P1939)+ROW()/1000000000,"")</f>
        <v/>
      </c>
      <c r="U1939" s="9">
        <f>IF(Q1939="비교",ABS(P1939)+ROW()/1000000000,"")</f>
        <v/>
      </c>
      <c r="V1939" s="64">
        <f>IF($A1939="","",IF(COUNTIF(변동분석!$E$7:$E$506,O1939)&gt;0,"Y","N"))</f>
        <v/>
      </c>
      <c r="W1939" s="64">
        <f>IF($A1939="","",IFERROR(INDEX(계정매핑!$D$5:$D$504,MATCH($F1939&amp;"",계정매핑!$A$5:$A$504,0)),"미매핑"))</f>
        <v/>
      </c>
      <c r="X1939" s="9">
        <f>IF($A1939="","",$F1939&amp;"")</f>
        <v/>
      </c>
      <c r="Y1939" s="94">
        <f>IF($A1939="",0,IF(AE1939="직접",IF(AF1939="비귀속",$P1939,0),$P1939*(1-AG1939)*IFERROR(INDEX(계정대체기준!$F$20:$F$49,MATCH($N1939,계정대체기준!$A$20:$A$49,0)),1)))</f>
        <v/>
      </c>
      <c r="Z1939" s="94">
        <f>IF($A1939="",0,IF(AE1939="직접",IF(AF1939="신계약비",$P1939,0),$P1939*(1-AG1939)*IFERROR(INDEX(계정대체기준!$C$20:$C$49,MATCH($N1939,계정대체기준!$A$20:$A$49,0)),0)))</f>
        <v/>
      </c>
      <c r="AA1939" s="94">
        <f>IF($A1939="",0,IF(AE1939="직접",IF(OR(AF1939="유지비",AF1939="손해조사비"),$P1939,0),$P1939*(1-AG1939)*IFERROR(INDEX(계정대체기준!$D$20:$D$49,MATCH($N1939,계정대체기준!$A$20:$A$49,0)),0)))</f>
        <v/>
      </c>
      <c r="AB1939" s="94">
        <f>IF($A1939="",0,IF(AE1939="직접",IF(AF1939="수금비",$P1939,0),$P1939*(1-AG1939)*IFERROR(INDEX(계정대체기준!$E$20:$E$49,MATCH($N1939,계정대체기준!$A$20:$A$49,0)),0)))</f>
        <v/>
      </c>
      <c r="AC1939" s="9">
        <f>IF(AND($A1939&lt;&gt;"",M1939=설정!$C$20,Z1939&gt;0),Z1939+ROW()/1000000000,"")</f>
        <v/>
      </c>
      <c r="AD1939" s="94">
        <f>IF($A1939="",0,$P1939*AG1939)</f>
        <v/>
      </c>
      <c r="AE1939" s="64">
        <f>IF($A1939="","",IFERROR(INDEX(계정매핑!$E$5:$E$504,MATCH($F1939&amp;"",계정매핑!$A$5:$A$504,0))&amp;"","공통비"))</f>
        <v/>
      </c>
      <c r="AF1939" s="64">
        <f>IF($A1939="","",IF(AE1939="직접",IFERROR(INDEX(계정매핑!$F$5:$F$504,MATCH($F1939&amp;"",계정매핑!$A$5:$A$504,0))&amp;"","비귀속"),""))</f>
        <v/>
      </c>
      <c r="AG1939" s="96">
        <f>IF($A1939="",0,IF(AND(AE1939&lt;&gt;"직접",IFERROR(INDEX(계정매핑!$G$5:$G$504,MATCH($F1939&amp;"",계정매핑!$A$5:$A$504,0))&amp;"","")="유지비",COUNTIF(계정대체기준!$A$6:$A$15,$N1939)&gt;0),IFERROR(INDEX(계정대체기준!$E$6:$E$15,MATCH(VALUE($A1939&amp;""),계정대체기준!$D$6:$D$15,0)),0),0))</f>
        <v/>
      </c>
      <c r="AH1939" s="64">
        <f>IF($A1939="","",IF(AD1939=0,"",IF(OR(COUNTIF(계정대체기준!$A$77:$A$86,$N1939)&gt;0,ISNUMBER(MATCH($X1939,계정대체기준!$D$77:$D$86,0)),ISNUMBER(MATCH($F1939,계정대체기준!$D$77:$D$86,0))),"Y","N")))</f>
        <v/>
      </c>
    </row>
    <row r="1940">
      <c r="A1940" s="92" t="n">
        <v>2025</v>
      </c>
      <c r="B1940" s="92" t="n">
        <v>9</v>
      </c>
      <c r="C1940" s="92" t="inlineStr">
        <is>
          <t>5100001936</t>
        </is>
      </c>
      <c r="D1940" s="95" t="n">
        <v>45915</v>
      </c>
      <c r="E1940" s="92" t="inlineStr">
        <is>
          <t>KR</t>
        </is>
      </c>
      <c r="F1940" s="92" t="n">
        <v>62902000</v>
      </c>
      <c r="G1940" s="92" t="n">
        <v>1201</v>
      </c>
      <c r="H1940" s="93" t="n">
        <v>2592000</v>
      </c>
      <c r="I1940" s="92" t="inlineStr">
        <is>
          <t>9월 업무 위탁 수수료 - X서비스</t>
        </is>
      </c>
      <c r="J1940" s="92" t="inlineStr">
        <is>
          <t>V10020</t>
        </is>
      </c>
      <c r="K1940" s="92" t="inlineStr">
        <is>
          <t>X서비스</t>
        </is>
      </c>
      <c r="M1940" s="9">
        <f>IF($A1940="","",VALUE($A1940&amp;"")*12+VALUE($B1940&amp;""))</f>
        <v/>
      </c>
      <c r="N1940" s="64">
        <f>IF($A1940="","",IFERROR(INDEX(부서매핑!$C$5:$C$504,MATCH($G1940&amp;"",부서매핑!$A$5:$A$504,0)),"미매핑"))</f>
        <v/>
      </c>
      <c r="O1940" s="9">
        <f>IF($A1940="","",N1940&amp;"|"&amp;$F1940)</f>
        <v/>
      </c>
      <c r="P1940" s="94">
        <f>IF($A1940="",0,$H1940*설정!$C$23)</f>
        <v/>
      </c>
      <c r="Q1940" s="64">
        <f>IF($A1940="","",IF(O1940&lt;&gt;원인분석!$C$9,"",IF(AND(M1940&gt;=원인분석!$C$10,M1940&lt;=원인분석!$C$11),"당기",IF(AND(M1940&gt;=원인분석!$C$12,M1940&lt;=원인분석!$C$13),"비교",""))))</f>
        <v/>
      </c>
      <c r="R1940" s="9">
        <f>IF(Q1940="","",$K1940&amp;"")</f>
        <v/>
      </c>
      <c r="S1940" s="9">
        <f>IF(Q1940="","",IF(MATCH(R1940,$R$5:$R$100000,0)=ROW()-4,ROW(),""))</f>
        <v/>
      </c>
      <c r="T1940" s="9">
        <f>IF(Q1940="당기",ABS(P1940)+ROW()/1000000000,"")</f>
        <v/>
      </c>
      <c r="U1940" s="9">
        <f>IF(Q1940="비교",ABS(P1940)+ROW()/1000000000,"")</f>
        <v/>
      </c>
      <c r="V1940" s="64">
        <f>IF($A1940="","",IF(COUNTIF(변동분석!$E$7:$E$506,O1940)&gt;0,"Y","N"))</f>
        <v/>
      </c>
      <c r="W1940" s="64">
        <f>IF($A1940="","",IFERROR(INDEX(계정매핑!$D$5:$D$504,MATCH($F1940&amp;"",계정매핑!$A$5:$A$504,0)),"미매핑"))</f>
        <v/>
      </c>
      <c r="X1940" s="9">
        <f>IF($A1940="","",$F1940&amp;"")</f>
        <v/>
      </c>
      <c r="Y1940" s="94">
        <f>IF($A1940="",0,IF(AE1940="직접",IF(AF1940="비귀속",$P1940,0),$P1940*(1-AG1940)*IFERROR(INDEX(계정대체기준!$F$20:$F$49,MATCH($N1940,계정대체기준!$A$20:$A$49,0)),1)))</f>
        <v/>
      </c>
      <c r="Z1940" s="94">
        <f>IF($A1940="",0,IF(AE1940="직접",IF(AF1940="신계약비",$P1940,0),$P1940*(1-AG1940)*IFERROR(INDEX(계정대체기준!$C$20:$C$49,MATCH($N1940,계정대체기준!$A$20:$A$49,0)),0)))</f>
        <v/>
      </c>
      <c r="AA1940" s="94">
        <f>IF($A1940="",0,IF(AE1940="직접",IF(OR(AF1940="유지비",AF1940="손해조사비"),$P1940,0),$P1940*(1-AG1940)*IFERROR(INDEX(계정대체기준!$D$20:$D$49,MATCH($N1940,계정대체기준!$A$20:$A$49,0)),0)))</f>
        <v/>
      </c>
      <c r="AB1940" s="94">
        <f>IF($A1940="",0,IF(AE1940="직접",IF(AF1940="수금비",$P1940,0),$P1940*(1-AG1940)*IFERROR(INDEX(계정대체기준!$E$20:$E$49,MATCH($N1940,계정대체기준!$A$20:$A$49,0)),0)))</f>
        <v/>
      </c>
      <c r="AC1940" s="9">
        <f>IF(AND($A1940&lt;&gt;"",M1940=설정!$C$20,Z1940&gt;0),Z1940+ROW()/1000000000,"")</f>
        <v/>
      </c>
      <c r="AD1940" s="94">
        <f>IF($A1940="",0,$P1940*AG1940)</f>
        <v/>
      </c>
      <c r="AE1940" s="64">
        <f>IF($A1940="","",IFERROR(INDEX(계정매핑!$E$5:$E$504,MATCH($F1940&amp;"",계정매핑!$A$5:$A$504,0))&amp;"","공통비"))</f>
        <v/>
      </c>
      <c r="AF1940" s="64">
        <f>IF($A1940="","",IF(AE1940="직접",IFERROR(INDEX(계정매핑!$F$5:$F$504,MATCH($F1940&amp;"",계정매핑!$A$5:$A$504,0))&amp;"","비귀속"),""))</f>
        <v/>
      </c>
      <c r="AG1940" s="96">
        <f>IF($A1940="",0,IF(AND(AE1940&lt;&gt;"직접",IFERROR(INDEX(계정매핑!$G$5:$G$504,MATCH($F1940&amp;"",계정매핑!$A$5:$A$504,0))&amp;"","")="유지비",COUNTIF(계정대체기준!$A$6:$A$15,$N1940)&gt;0),IFERROR(INDEX(계정대체기준!$E$6:$E$15,MATCH(VALUE($A1940&amp;""),계정대체기준!$D$6:$D$15,0)),0),0))</f>
        <v/>
      </c>
      <c r="AH1940" s="64">
        <f>IF($A1940="","",IF(AD1940=0,"",IF(OR(COUNTIF(계정대체기준!$A$77:$A$86,$N1940)&gt;0,ISNUMBER(MATCH($X1940,계정대체기준!$D$77:$D$86,0)),ISNUMBER(MATCH($F1940,계정대체기준!$D$77:$D$86,0))),"Y","N")))</f>
        <v/>
      </c>
    </row>
    <row r="1941">
      <c r="A1941" s="92" t="n">
        <v>2025</v>
      </c>
      <c r="B1941" s="92" t="n">
        <v>9</v>
      </c>
      <c r="C1941" s="92" t="inlineStr">
        <is>
          <t>5100001937</t>
        </is>
      </c>
      <c r="D1941" s="95" t="n">
        <v>45915</v>
      </c>
      <c r="E1941" s="92" t="inlineStr">
        <is>
          <t>KR</t>
        </is>
      </c>
      <c r="F1941" s="92" t="n">
        <v>62902000</v>
      </c>
      <c r="G1941" s="92" t="n">
        <v>1401</v>
      </c>
      <c r="H1941" s="93" t="n">
        <v>2090000</v>
      </c>
      <c r="I1941" s="92" t="inlineStr">
        <is>
          <t>9월 업무 위탁 수수료 - X서비스</t>
        </is>
      </c>
      <c r="J1941" s="92" t="inlineStr">
        <is>
          <t>V10020</t>
        </is>
      </c>
      <c r="K1941" s="92" t="inlineStr">
        <is>
          <t>X서비스</t>
        </is>
      </c>
      <c r="M1941" s="9">
        <f>IF($A1941="","",VALUE($A1941&amp;"")*12+VALUE($B1941&amp;""))</f>
        <v/>
      </c>
      <c r="N1941" s="64">
        <f>IF($A1941="","",IFERROR(INDEX(부서매핑!$C$5:$C$504,MATCH($G1941&amp;"",부서매핑!$A$5:$A$504,0)),"미매핑"))</f>
        <v/>
      </c>
      <c r="O1941" s="9">
        <f>IF($A1941="","",N1941&amp;"|"&amp;$F1941)</f>
        <v/>
      </c>
      <c r="P1941" s="94">
        <f>IF($A1941="",0,$H1941*설정!$C$23)</f>
        <v/>
      </c>
      <c r="Q1941" s="64">
        <f>IF($A1941="","",IF(O1941&lt;&gt;원인분석!$C$9,"",IF(AND(M1941&gt;=원인분석!$C$10,M1941&lt;=원인분석!$C$11),"당기",IF(AND(M1941&gt;=원인분석!$C$12,M1941&lt;=원인분석!$C$13),"비교",""))))</f>
        <v/>
      </c>
      <c r="R1941" s="9">
        <f>IF(Q1941="","",$K1941&amp;"")</f>
        <v/>
      </c>
      <c r="S1941" s="9">
        <f>IF(Q1941="","",IF(MATCH(R1941,$R$5:$R$100000,0)=ROW()-4,ROW(),""))</f>
        <v/>
      </c>
      <c r="T1941" s="9">
        <f>IF(Q1941="당기",ABS(P1941)+ROW()/1000000000,"")</f>
        <v/>
      </c>
      <c r="U1941" s="9">
        <f>IF(Q1941="비교",ABS(P1941)+ROW()/1000000000,"")</f>
        <v/>
      </c>
      <c r="V1941" s="64">
        <f>IF($A1941="","",IF(COUNTIF(변동분석!$E$7:$E$506,O1941)&gt;0,"Y","N"))</f>
        <v/>
      </c>
      <c r="W1941" s="64">
        <f>IF($A1941="","",IFERROR(INDEX(계정매핑!$D$5:$D$504,MATCH($F1941&amp;"",계정매핑!$A$5:$A$504,0)),"미매핑"))</f>
        <v/>
      </c>
      <c r="X1941" s="9">
        <f>IF($A1941="","",$F1941&amp;"")</f>
        <v/>
      </c>
      <c r="Y1941" s="94">
        <f>IF($A1941="",0,IF(AE1941="직접",IF(AF1941="비귀속",$P1941,0),$P1941*(1-AG1941)*IFERROR(INDEX(계정대체기준!$F$20:$F$49,MATCH($N1941,계정대체기준!$A$20:$A$49,0)),1)))</f>
        <v/>
      </c>
      <c r="Z1941" s="94">
        <f>IF($A1941="",0,IF(AE1941="직접",IF(AF1941="신계약비",$P1941,0),$P1941*(1-AG1941)*IFERROR(INDEX(계정대체기준!$C$20:$C$49,MATCH($N1941,계정대체기준!$A$20:$A$49,0)),0)))</f>
        <v/>
      </c>
      <c r="AA1941" s="94">
        <f>IF($A1941="",0,IF(AE1941="직접",IF(OR(AF1941="유지비",AF1941="손해조사비"),$P1941,0),$P1941*(1-AG1941)*IFERROR(INDEX(계정대체기준!$D$20:$D$49,MATCH($N1941,계정대체기준!$A$20:$A$49,0)),0)))</f>
        <v/>
      </c>
      <c r="AB1941" s="94">
        <f>IF($A1941="",0,IF(AE1941="직접",IF(AF1941="수금비",$P1941,0),$P1941*(1-AG1941)*IFERROR(INDEX(계정대체기준!$E$20:$E$49,MATCH($N1941,계정대체기준!$A$20:$A$49,0)),0)))</f>
        <v/>
      </c>
      <c r="AC1941" s="9">
        <f>IF(AND($A1941&lt;&gt;"",M1941=설정!$C$20,Z1941&gt;0),Z1941+ROW()/1000000000,"")</f>
        <v/>
      </c>
      <c r="AD1941" s="94">
        <f>IF($A1941="",0,$P1941*AG1941)</f>
        <v/>
      </c>
      <c r="AE1941" s="64">
        <f>IF($A1941="","",IFERROR(INDEX(계정매핑!$E$5:$E$504,MATCH($F1941&amp;"",계정매핑!$A$5:$A$504,0))&amp;"","공통비"))</f>
        <v/>
      </c>
      <c r="AF1941" s="64">
        <f>IF($A1941="","",IF(AE1941="직접",IFERROR(INDEX(계정매핑!$F$5:$F$504,MATCH($F1941&amp;"",계정매핑!$A$5:$A$504,0))&amp;"","비귀속"),""))</f>
        <v/>
      </c>
      <c r="AG1941" s="96">
        <f>IF($A1941="",0,IF(AND(AE1941&lt;&gt;"직접",IFERROR(INDEX(계정매핑!$G$5:$G$504,MATCH($F1941&amp;"",계정매핑!$A$5:$A$504,0))&amp;"","")="유지비",COUNTIF(계정대체기준!$A$6:$A$15,$N1941)&gt;0),IFERROR(INDEX(계정대체기준!$E$6:$E$15,MATCH(VALUE($A1941&amp;""),계정대체기준!$D$6:$D$15,0)),0),0))</f>
        <v/>
      </c>
      <c r="AH1941" s="64">
        <f>IF($A1941="","",IF(AD1941=0,"",IF(OR(COUNTIF(계정대체기준!$A$77:$A$86,$N1941)&gt;0,ISNUMBER(MATCH($X1941,계정대체기준!$D$77:$D$86,0)),ISNUMBER(MATCH($F1941,계정대체기준!$D$77:$D$86,0))),"Y","N")))</f>
        <v/>
      </c>
    </row>
    <row r="1942">
      <c r="A1942" s="92" t="n">
        <v>2025</v>
      </c>
      <c r="B1942" s="92" t="n">
        <v>9</v>
      </c>
      <c r="C1942" s="92" t="inlineStr">
        <is>
          <t>5100001938</t>
        </is>
      </c>
      <c r="D1942" s="95" t="n">
        <v>45916</v>
      </c>
      <c r="E1942" s="92" t="inlineStr">
        <is>
          <t>KR</t>
        </is>
      </c>
      <c r="F1942" s="92" t="n">
        <v>62102000</v>
      </c>
      <c r="G1942" s="92" t="n">
        <v>1301</v>
      </c>
      <c r="H1942" s="93" t="n">
        <v>98000</v>
      </c>
      <c r="I1942" s="92" t="inlineStr">
        <is>
          <t>9월 해외출장 - N호텔</t>
        </is>
      </c>
      <c r="J1942" s="92" t="inlineStr">
        <is>
          <t>V10009</t>
        </is>
      </c>
      <c r="K1942" s="92" t="inlineStr">
        <is>
          <t>N호텔</t>
        </is>
      </c>
      <c r="M1942" s="9">
        <f>IF($A1942="","",VALUE($A1942&amp;"")*12+VALUE($B1942&amp;""))</f>
        <v/>
      </c>
      <c r="N1942" s="64">
        <f>IF($A1942="","",IFERROR(INDEX(부서매핑!$C$5:$C$504,MATCH($G1942&amp;"",부서매핑!$A$5:$A$504,0)),"미매핑"))</f>
        <v/>
      </c>
      <c r="O1942" s="9">
        <f>IF($A1942="","",N1942&amp;"|"&amp;$F1942)</f>
        <v/>
      </c>
      <c r="P1942" s="94">
        <f>IF($A1942="",0,$H1942*설정!$C$23)</f>
        <v/>
      </c>
      <c r="Q1942" s="64">
        <f>IF($A1942="","",IF(O1942&lt;&gt;원인분석!$C$9,"",IF(AND(M1942&gt;=원인분석!$C$10,M1942&lt;=원인분석!$C$11),"당기",IF(AND(M1942&gt;=원인분석!$C$12,M1942&lt;=원인분석!$C$13),"비교",""))))</f>
        <v/>
      </c>
      <c r="R1942" s="9">
        <f>IF(Q1942="","",$K1942&amp;"")</f>
        <v/>
      </c>
      <c r="S1942" s="9">
        <f>IF(Q1942="","",IF(MATCH(R1942,$R$5:$R$100000,0)=ROW()-4,ROW(),""))</f>
        <v/>
      </c>
      <c r="T1942" s="9">
        <f>IF(Q1942="당기",ABS(P1942)+ROW()/1000000000,"")</f>
        <v/>
      </c>
      <c r="U1942" s="9">
        <f>IF(Q1942="비교",ABS(P1942)+ROW()/1000000000,"")</f>
        <v/>
      </c>
      <c r="V1942" s="64">
        <f>IF($A1942="","",IF(COUNTIF(변동분석!$E$7:$E$506,O1942)&gt;0,"Y","N"))</f>
        <v/>
      </c>
      <c r="W1942" s="64">
        <f>IF($A1942="","",IFERROR(INDEX(계정매핑!$D$5:$D$504,MATCH($F1942&amp;"",계정매핑!$A$5:$A$504,0)),"미매핑"))</f>
        <v/>
      </c>
      <c r="X1942" s="9">
        <f>IF($A1942="","",$F1942&amp;"")</f>
        <v/>
      </c>
      <c r="Y1942" s="94">
        <f>IF($A1942="",0,IF(AE1942="직접",IF(AF1942="비귀속",$P1942,0),$P1942*(1-AG1942)*IFERROR(INDEX(계정대체기준!$F$20:$F$49,MATCH($N1942,계정대체기준!$A$20:$A$49,0)),1)))</f>
        <v/>
      </c>
      <c r="Z1942" s="94">
        <f>IF($A1942="",0,IF(AE1942="직접",IF(AF1942="신계약비",$P1942,0),$P1942*(1-AG1942)*IFERROR(INDEX(계정대체기준!$C$20:$C$49,MATCH($N1942,계정대체기준!$A$20:$A$49,0)),0)))</f>
        <v/>
      </c>
      <c r="AA1942" s="94">
        <f>IF($A1942="",0,IF(AE1942="직접",IF(OR(AF1942="유지비",AF1942="손해조사비"),$P1942,0),$P1942*(1-AG1942)*IFERROR(INDEX(계정대체기준!$D$20:$D$49,MATCH($N1942,계정대체기준!$A$20:$A$49,0)),0)))</f>
        <v/>
      </c>
      <c r="AB1942" s="94">
        <f>IF($A1942="",0,IF(AE1942="직접",IF(AF1942="수금비",$P1942,0),$P1942*(1-AG1942)*IFERROR(INDEX(계정대체기준!$E$20:$E$49,MATCH($N1942,계정대체기준!$A$20:$A$49,0)),0)))</f>
        <v/>
      </c>
      <c r="AC1942" s="9">
        <f>IF(AND($A1942&lt;&gt;"",M1942=설정!$C$20,Z1942&gt;0),Z1942+ROW()/1000000000,"")</f>
        <v/>
      </c>
      <c r="AD1942" s="94">
        <f>IF($A1942="",0,$P1942*AG1942)</f>
        <v/>
      </c>
      <c r="AE1942" s="64">
        <f>IF($A1942="","",IFERROR(INDEX(계정매핑!$E$5:$E$504,MATCH($F1942&amp;"",계정매핑!$A$5:$A$504,0))&amp;"","공통비"))</f>
        <v/>
      </c>
      <c r="AF1942" s="64">
        <f>IF($A1942="","",IF(AE1942="직접",IFERROR(INDEX(계정매핑!$F$5:$F$504,MATCH($F1942&amp;"",계정매핑!$A$5:$A$504,0))&amp;"","비귀속"),""))</f>
        <v/>
      </c>
      <c r="AG1942" s="96">
        <f>IF($A1942="",0,IF(AND(AE1942&lt;&gt;"직접",IFERROR(INDEX(계정매핑!$G$5:$G$504,MATCH($F1942&amp;"",계정매핑!$A$5:$A$504,0))&amp;"","")="유지비",COUNTIF(계정대체기준!$A$6:$A$15,$N1942)&gt;0),IFERROR(INDEX(계정대체기준!$E$6:$E$15,MATCH(VALUE($A1942&amp;""),계정대체기준!$D$6:$D$15,0)),0),0))</f>
        <v/>
      </c>
      <c r="AH1942" s="64">
        <f>IF($A1942="","",IF(AD1942=0,"",IF(OR(COUNTIF(계정대체기준!$A$77:$A$86,$N1942)&gt;0,ISNUMBER(MATCH($X1942,계정대체기준!$D$77:$D$86,0)),ISNUMBER(MATCH($F1942,계정대체기준!$D$77:$D$86,0))),"Y","N")))</f>
        <v/>
      </c>
    </row>
    <row r="1943">
      <c r="A1943" s="92" t="n">
        <v>2025</v>
      </c>
      <c r="B1943" s="92" t="n">
        <v>9</v>
      </c>
      <c r="C1943" s="92" t="inlineStr">
        <is>
          <t>5100001939</t>
        </is>
      </c>
      <c r="D1943" s="95" t="n">
        <v>45916</v>
      </c>
      <c r="E1943" s="92" t="inlineStr">
        <is>
          <t>KR</t>
        </is>
      </c>
      <c r="F1943" s="92" t="n">
        <v>62102000</v>
      </c>
      <c r="G1943" s="92" t="n">
        <v>1502</v>
      </c>
      <c r="H1943" s="93" t="n">
        <v>151000</v>
      </c>
      <c r="I1943" s="92" t="inlineStr">
        <is>
          <t>9월 해외출장 - N호텔</t>
        </is>
      </c>
      <c r="J1943" s="92" t="inlineStr">
        <is>
          <t>V10009</t>
        </is>
      </c>
      <c r="K1943" s="92" t="inlineStr">
        <is>
          <t>N호텔</t>
        </is>
      </c>
      <c r="M1943" s="9">
        <f>IF($A1943="","",VALUE($A1943&amp;"")*12+VALUE($B1943&amp;""))</f>
        <v/>
      </c>
      <c r="N1943" s="64">
        <f>IF($A1943="","",IFERROR(INDEX(부서매핑!$C$5:$C$504,MATCH($G1943&amp;"",부서매핑!$A$5:$A$504,0)),"미매핑"))</f>
        <v/>
      </c>
      <c r="O1943" s="9">
        <f>IF($A1943="","",N1943&amp;"|"&amp;$F1943)</f>
        <v/>
      </c>
      <c r="P1943" s="94">
        <f>IF($A1943="",0,$H1943*설정!$C$23)</f>
        <v/>
      </c>
      <c r="Q1943" s="64">
        <f>IF($A1943="","",IF(O1943&lt;&gt;원인분석!$C$9,"",IF(AND(M1943&gt;=원인분석!$C$10,M1943&lt;=원인분석!$C$11),"당기",IF(AND(M1943&gt;=원인분석!$C$12,M1943&lt;=원인분석!$C$13),"비교",""))))</f>
        <v/>
      </c>
      <c r="R1943" s="9">
        <f>IF(Q1943="","",$K1943&amp;"")</f>
        <v/>
      </c>
      <c r="S1943" s="9">
        <f>IF(Q1943="","",IF(MATCH(R1943,$R$5:$R$100000,0)=ROW()-4,ROW(),""))</f>
        <v/>
      </c>
      <c r="T1943" s="9">
        <f>IF(Q1943="당기",ABS(P1943)+ROW()/1000000000,"")</f>
        <v/>
      </c>
      <c r="U1943" s="9">
        <f>IF(Q1943="비교",ABS(P1943)+ROW()/1000000000,"")</f>
        <v/>
      </c>
      <c r="V1943" s="64">
        <f>IF($A1943="","",IF(COUNTIF(변동분석!$E$7:$E$506,O1943)&gt;0,"Y","N"))</f>
        <v/>
      </c>
      <c r="W1943" s="64">
        <f>IF($A1943="","",IFERROR(INDEX(계정매핑!$D$5:$D$504,MATCH($F1943&amp;"",계정매핑!$A$5:$A$504,0)),"미매핑"))</f>
        <v/>
      </c>
      <c r="X1943" s="9">
        <f>IF($A1943="","",$F1943&amp;"")</f>
        <v/>
      </c>
      <c r="Y1943" s="94">
        <f>IF($A1943="",0,IF(AE1943="직접",IF(AF1943="비귀속",$P1943,0),$P1943*(1-AG1943)*IFERROR(INDEX(계정대체기준!$F$20:$F$49,MATCH($N1943,계정대체기준!$A$20:$A$49,0)),1)))</f>
        <v/>
      </c>
      <c r="Z1943" s="94">
        <f>IF($A1943="",0,IF(AE1943="직접",IF(AF1943="신계약비",$P1943,0),$P1943*(1-AG1943)*IFERROR(INDEX(계정대체기준!$C$20:$C$49,MATCH($N1943,계정대체기준!$A$20:$A$49,0)),0)))</f>
        <v/>
      </c>
      <c r="AA1943" s="94">
        <f>IF($A1943="",0,IF(AE1943="직접",IF(OR(AF1943="유지비",AF1943="손해조사비"),$P1943,0),$P1943*(1-AG1943)*IFERROR(INDEX(계정대체기준!$D$20:$D$49,MATCH($N1943,계정대체기준!$A$20:$A$49,0)),0)))</f>
        <v/>
      </c>
      <c r="AB1943" s="94">
        <f>IF($A1943="",0,IF(AE1943="직접",IF(AF1943="수금비",$P1943,0),$P1943*(1-AG1943)*IFERROR(INDEX(계정대체기준!$E$20:$E$49,MATCH($N1943,계정대체기준!$A$20:$A$49,0)),0)))</f>
        <v/>
      </c>
      <c r="AC1943" s="9">
        <f>IF(AND($A1943&lt;&gt;"",M1943=설정!$C$20,Z1943&gt;0),Z1943+ROW()/1000000000,"")</f>
        <v/>
      </c>
      <c r="AD1943" s="94">
        <f>IF($A1943="",0,$P1943*AG1943)</f>
        <v/>
      </c>
      <c r="AE1943" s="64">
        <f>IF($A1943="","",IFERROR(INDEX(계정매핑!$E$5:$E$504,MATCH($F1943&amp;"",계정매핑!$A$5:$A$504,0))&amp;"","공통비"))</f>
        <v/>
      </c>
      <c r="AF1943" s="64">
        <f>IF($A1943="","",IF(AE1943="직접",IFERROR(INDEX(계정매핑!$F$5:$F$504,MATCH($F1943&amp;"",계정매핑!$A$5:$A$504,0))&amp;"","비귀속"),""))</f>
        <v/>
      </c>
      <c r="AG1943" s="96">
        <f>IF($A1943="",0,IF(AND(AE1943&lt;&gt;"직접",IFERROR(INDEX(계정매핑!$G$5:$G$504,MATCH($F1943&amp;"",계정매핑!$A$5:$A$504,0))&amp;"","")="유지비",COUNTIF(계정대체기준!$A$6:$A$15,$N1943)&gt;0),IFERROR(INDEX(계정대체기준!$E$6:$E$15,MATCH(VALUE($A1943&amp;""),계정대체기준!$D$6:$D$15,0)),0),0))</f>
        <v/>
      </c>
      <c r="AH1943" s="64">
        <f>IF($A1943="","",IF(AD1943=0,"",IF(OR(COUNTIF(계정대체기준!$A$77:$A$86,$N1943)&gt;0,ISNUMBER(MATCH($X1943,계정대체기준!$D$77:$D$86,0)),ISNUMBER(MATCH($F1943,계정대체기준!$D$77:$D$86,0))),"Y","N")))</f>
        <v/>
      </c>
    </row>
    <row r="1944">
      <c r="A1944" s="92" t="n">
        <v>2025</v>
      </c>
      <c r="B1944" s="92" t="n">
        <v>9</v>
      </c>
      <c r="C1944" s="92" t="inlineStr">
        <is>
          <t>5100001940</t>
        </is>
      </c>
      <c r="D1944" s="95" t="n">
        <v>45916</v>
      </c>
      <c r="E1944" s="92" t="inlineStr">
        <is>
          <t>KR</t>
        </is>
      </c>
      <c r="F1944" s="92" t="n">
        <v>62201000</v>
      </c>
      <c r="G1944" s="92" t="n">
        <v>1601</v>
      </c>
      <c r="H1944" s="93" t="n">
        <v>364000</v>
      </c>
      <c r="I1944" s="92" t="inlineStr">
        <is>
          <t>9월 통신요금 - O텔레콤</t>
        </is>
      </c>
      <c r="J1944" s="92" t="inlineStr">
        <is>
          <t>V10002</t>
        </is>
      </c>
      <c r="K1944" s="92" t="inlineStr">
        <is>
          <t>O텔레콤</t>
        </is>
      </c>
      <c r="M1944" s="9">
        <f>IF($A1944="","",VALUE($A1944&amp;"")*12+VALUE($B1944&amp;""))</f>
        <v/>
      </c>
      <c r="N1944" s="64">
        <f>IF($A1944="","",IFERROR(INDEX(부서매핑!$C$5:$C$504,MATCH($G1944&amp;"",부서매핑!$A$5:$A$504,0)),"미매핑"))</f>
        <v/>
      </c>
      <c r="O1944" s="9">
        <f>IF($A1944="","",N1944&amp;"|"&amp;$F1944)</f>
        <v/>
      </c>
      <c r="P1944" s="94">
        <f>IF($A1944="",0,$H1944*설정!$C$23)</f>
        <v/>
      </c>
      <c r="Q1944" s="64">
        <f>IF($A1944="","",IF(O1944&lt;&gt;원인분석!$C$9,"",IF(AND(M1944&gt;=원인분석!$C$10,M1944&lt;=원인분석!$C$11),"당기",IF(AND(M1944&gt;=원인분석!$C$12,M1944&lt;=원인분석!$C$13),"비교",""))))</f>
        <v/>
      </c>
      <c r="R1944" s="9">
        <f>IF(Q1944="","",$K1944&amp;"")</f>
        <v/>
      </c>
      <c r="S1944" s="9">
        <f>IF(Q1944="","",IF(MATCH(R1944,$R$5:$R$100000,0)=ROW()-4,ROW(),""))</f>
        <v/>
      </c>
      <c r="T1944" s="9">
        <f>IF(Q1944="당기",ABS(P1944)+ROW()/1000000000,"")</f>
        <v/>
      </c>
      <c r="U1944" s="9">
        <f>IF(Q1944="비교",ABS(P1944)+ROW()/1000000000,"")</f>
        <v/>
      </c>
      <c r="V1944" s="64">
        <f>IF($A1944="","",IF(COUNTIF(변동분석!$E$7:$E$506,O1944)&gt;0,"Y","N"))</f>
        <v/>
      </c>
      <c r="W1944" s="64">
        <f>IF($A1944="","",IFERROR(INDEX(계정매핑!$D$5:$D$504,MATCH($F1944&amp;"",계정매핑!$A$5:$A$504,0)),"미매핑"))</f>
        <v/>
      </c>
      <c r="X1944" s="9">
        <f>IF($A1944="","",$F1944&amp;"")</f>
        <v/>
      </c>
      <c r="Y1944" s="94">
        <f>IF($A1944="",0,IF(AE1944="직접",IF(AF1944="비귀속",$P1944,0),$P1944*(1-AG1944)*IFERROR(INDEX(계정대체기준!$F$20:$F$49,MATCH($N1944,계정대체기준!$A$20:$A$49,0)),1)))</f>
        <v/>
      </c>
      <c r="Z1944" s="94">
        <f>IF($A1944="",0,IF(AE1944="직접",IF(AF1944="신계약비",$P1944,0),$P1944*(1-AG1944)*IFERROR(INDEX(계정대체기준!$C$20:$C$49,MATCH($N1944,계정대체기준!$A$20:$A$49,0)),0)))</f>
        <v/>
      </c>
      <c r="AA1944" s="94">
        <f>IF($A1944="",0,IF(AE1944="직접",IF(OR(AF1944="유지비",AF1944="손해조사비"),$P1944,0),$P1944*(1-AG1944)*IFERROR(INDEX(계정대체기준!$D$20:$D$49,MATCH($N1944,계정대체기준!$A$20:$A$49,0)),0)))</f>
        <v/>
      </c>
      <c r="AB1944" s="94">
        <f>IF($A1944="",0,IF(AE1944="직접",IF(AF1944="수금비",$P1944,0),$P1944*(1-AG1944)*IFERROR(INDEX(계정대체기준!$E$20:$E$49,MATCH($N1944,계정대체기준!$A$20:$A$49,0)),0)))</f>
        <v/>
      </c>
      <c r="AC1944" s="9">
        <f>IF(AND($A1944&lt;&gt;"",M1944=설정!$C$20,Z1944&gt;0),Z1944+ROW()/1000000000,"")</f>
        <v/>
      </c>
      <c r="AD1944" s="94">
        <f>IF($A1944="",0,$P1944*AG1944)</f>
        <v/>
      </c>
      <c r="AE1944" s="64">
        <f>IF($A1944="","",IFERROR(INDEX(계정매핑!$E$5:$E$504,MATCH($F1944&amp;"",계정매핑!$A$5:$A$504,0))&amp;"","공통비"))</f>
        <v/>
      </c>
      <c r="AF1944" s="64">
        <f>IF($A1944="","",IF(AE1944="직접",IFERROR(INDEX(계정매핑!$F$5:$F$504,MATCH($F1944&amp;"",계정매핑!$A$5:$A$504,0))&amp;"","비귀속"),""))</f>
        <v/>
      </c>
      <c r="AG1944" s="96">
        <f>IF($A1944="",0,IF(AND(AE1944&lt;&gt;"직접",IFERROR(INDEX(계정매핑!$G$5:$G$504,MATCH($F1944&amp;"",계정매핑!$A$5:$A$504,0))&amp;"","")="유지비",COUNTIF(계정대체기준!$A$6:$A$15,$N1944)&gt;0),IFERROR(INDEX(계정대체기준!$E$6:$E$15,MATCH(VALUE($A1944&amp;""),계정대체기준!$D$6:$D$15,0)),0),0))</f>
        <v/>
      </c>
      <c r="AH1944" s="64">
        <f>IF($A1944="","",IF(AD1944=0,"",IF(OR(COUNTIF(계정대체기준!$A$77:$A$86,$N1944)&gt;0,ISNUMBER(MATCH($X1944,계정대체기준!$D$77:$D$86,0)),ISNUMBER(MATCH($F1944,계정대체기준!$D$77:$D$86,0))),"Y","N")))</f>
        <v/>
      </c>
    </row>
    <row r="1945">
      <c r="A1945" s="92" t="n">
        <v>2025</v>
      </c>
      <c r="B1945" s="92" t="n">
        <v>9</v>
      </c>
      <c r="C1945" s="92" t="inlineStr">
        <is>
          <t>5100001941</t>
        </is>
      </c>
      <c r="D1945" s="95" t="n">
        <v>45916</v>
      </c>
      <c r="E1945" s="92" t="inlineStr">
        <is>
          <t>KR</t>
        </is>
      </c>
      <c r="F1945" s="92" t="n">
        <v>62201000</v>
      </c>
      <c r="G1945" s="92" t="n">
        <v>1951</v>
      </c>
      <c r="H1945" s="93" t="n">
        <v>179000</v>
      </c>
      <c r="I1945" s="92" t="inlineStr">
        <is>
          <t>9월 통신요금 - O텔레콤</t>
        </is>
      </c>
      <c r="J1945" s="92" t="inlineStr">
        <is>
          <t>V10002</t>
        </is>
      </c>
      <c r="K1945" s="92" t="inlineStr">
        <is>
          <t>O텔레콤</t>
        </is>
      </c>
      <c r="M1945" s="9">
        <f>IF($A1945="","",VALUE($A1945&amp;"")*12+VALUE($B1945&amp;""))</f>
        <v/>
      </c>
      <c r="N1945" s="64">
        <f>IF($A1945="","",IFERROR(INDEX(부서매핑!$C$5:$C$504,MATCH($G1945&amp;"",부서매핑!$A$5:$A$504,0)),"미매핑"))</f>
        <v/>
      </c>
      <c r="O1945" s="9">
        <f>IF($A1945="","",N1945&amp;"|"&amp;$F1945)</f>
        <v/>
      </c>
      <c r="P1945" s="94">
        <f>IF($A1945="",0,$H1945*설정!$C$23)</f>
        <v/>
      </c>
      <c r="Q1945" s="64">
        <f>IF($A1945="","",IF(O1945&lt;&gt;원인분석!$C$9,"",IF(AND(M1945&gt;=원인분석!$C$10,M1945&lt;=원인분석!$C$11),"당기",IF(AND(M1945&gt;=원인분석!$C$12,M1945&lt;=원인분석!$C$13),"비교",""))))</f>
        <v/>
      </c>
      <c r="R1945" s="9">
        <f>IF(Q1945="","",$K1945&amp;"")</f>
        <v/>
      </c>
      <c r="S1945" s="9">
        <f>IF(Q1945="","",IF(MATCH(R1945,$R$5:$R$100000,0)=ROW()-4,ROW(),""))</f>
        <v/>
      </c>
      <c r="T1945" s="9">
        <f>IF(Q1945="당기",ABS(P1945)+ROW()/1000000000,"")</f>
        <v/>
      </c>
      <c r="U1945" s="9">
        <f>IF(Q1945="비교",ABS(P1945)+ROW()/1000000000,"")</f>
        <v/>
      </c>
      <c r="V1945" s="64">
        <f>IF($A1945="","",IF(COUNTIF(변동분석!$E$7:$E$506,O1945)&gt;0,"Y","N"))</f>
        <v/>
      </c>
      <c r="W1945" s="64">
        <f>IF($A1945="","",IFERROR(INDEX(계정매핑!$D$5:$D$504,MATCH($F1945&amp;"",계정매핑!$A$5:$A$504,0)),"미매핑"))</f>
        <v/>
      </c>
      <c r="X1945" s="9">
        <f>IF($A1945="","",$F1945&amp;"")</f>
        <v/>
      </c>
      <c r="Y1945" s="94">
        <f>IF($A1945="",0,IF(AE1945="직접",IF(AF1945="비귀속",$P1945,0),$P1945*(1-AG1945)*IFERROR(INDEX(계정대체기준!$F$20:$F$49,MATCH($N1945,계정대체기준!$A$20:$A$49,0)),1)))</f>
        <v/>
      </c>
      <c r="Z1945" s="94">
        <f>IF($A1945="",0,IF(AE1945="직접",IF(AF1945="신계약비",$P1945,0),$P1945*(1-AG1945)*IFERROR(INDEX(계정대체기준!$C$20:$C$49,MATCH($N1945,계정대체기준!$A$20:$A$49,0)),0)))</f>
        <v/>
      </c>
      <c r="AA1945" s="94">
        <f>IF($A1945="",0,IF(AE1945="직접",IF(OR(AF1945="유지비",AF1945="손해조사비"),$P1945,0),$P1945*(1-AG1945)*IFERROR(INDEX(계정대체기준!$D$20:$D$49,MATCH($N1945,계정대체기준!$A$20:$A$49,0)),0)))</f>
        <v/>
      </c>
      <c r="AB1945" s="94">
        <f>IF($A1945="",0,IF(AE1945="직접",IF(AF1945="수금비",$P1945,0),$P1945*(1-AG1945)*IFERROR(INDEX(계정대체기준!$E$20:$E$49,MATCH($N1945,계정대체기준!$A$20:$A$49,0)),0)))</f>
        <v/>
      </c>
      <c r="AC1945" s="9">
        <f>IF(AND($A1945&lt;&gt;"",M1945=설정!$C$20,Z1945&gt;0),Z1945+ROW()/1000000000,"")</f>
        <v/>
      </c>
      <c r="AD1945" s="94">
        <f>IF($A1945="",0,$P1945*AG1945)</f>
        <v/>
      </c>
      <c r="AE1945" s="64">
        <f>IF($A1945="","",IFERROR(INDEX(계정매핑!$E$5:$E$504,MATCH($F1945&amp;"",계정매핑!$A$5:$A$504,0))&amp;"","공통비"))</f>
        <v/>
      </c>
      <c r="AF1945" s="64">
        <f>IF($A1945="","",IF(AE1945="직접",IFERROR(INDEX(계정매핑!$F$5:$F$504,MATCH($F1945&amp;"",계정매핑!$A$5:$A$504,0))&amp;"","비귀속"),""))</f>
        <v/>
      </c>
      <c r="AG1945" s="96">
        <f>IF($A1945="",0,IF(AND(AE1945&lt;&gt;"직접",IFERROR(INDEX(계정매핑!$G$5:$G$504,MATCH($F1945&amp;"",계정매핑!$A$5:$A$504,0))&amp;"","")="유지비",COUNTIF(계정대체기준!$A$6:$A$15,$N1945)&gt;0),IFERROR(INDEX(계정대체기준!$E$6:$E$15,MATCH(VALUE($A1945&amp;""),계정대체기준!$D$6:$D$15,0)),0),0))</f>
        <v/>
      </c>
      <c r="AH1945" s="64">
        <f>IF($A1945="","",IF(AD1945=0,"",IF(OR(COUNTIF(계정대체기준!$A$77:$A$86,$N1945)&gt;0,ISNUMBER(MATCH($X1945,계정대체기준!$D$77:$D$86,0)),ISNUMBER(MATCH($F1945,계정대체기준!$D$77:$D$86,0))),"Y","N")))</f>
        <v/>
      </c>
    </row>
    <row r="1946">
      <c r="A1946" s="92" t="n">
        <v>2025</v>
      </c>
      <c r="B1946" s="92" t="n">
        <v>9</v>
      </c>
      <c r="C1946" s="92" t="inlineStr">
        <is>
          <t>5100001942</t>
        </is>
      </c>
      <c r="D1946" s="95" t="n">
        <v>45916</v>
      </c>
      <c r="E1946" s="92" t="inlineStr">
        <is>
          <t>KR</t>
        </is>
      </c>
      <c r="F1946" s="92" t="n">
        <v>62201000</v>
      </c>
      <c r="G1946" s="92" t="n">
        <v>1951</v>
      </c>
      <c r="H1946" s="93" t="n">
        <v>171000</v>
      </c>
      <c r="I1946" s="92" t="inlineStr">
        <is>
          <t>9월 통신요금 - O텔레콤</t>
        </is>
      </c>
      <c r="J1946" s="92" t="inlineStr">
        <is>
          <t>V10002</t>
        </is>
      </c>
      <c r="K1946" s="92" t="inlineStr">
        <is>
          <t>O텔레콤</t>
        </is>
      </c>
      <c r="M1946" s="9">
        <f>IF($A1946="","",VALUE($A1946&amp;"")*12+VALUE($B1946&amp;""))</f>
        <v/>
      </c>
      <c r="N1946" s="64">
        <f>IF($A1946="","",IFERROR(INDEX(부서매핑!$C$5:$C$504,MATCH($G1946&amp;"",부서매핑!$A$5:$A$504,0)),"미매핑"))</f>
        <v/>
      </c>
      <c r="O1946" s="9">
        <f>IF($A1946="","",N1946&amp;"|"&amp;$F1946)</f>
        <v/>
      </c>
      <c r="P1946" s="94">
        <f>IF($A1946="",0,$H1946*설정!$C$23)</f>
        <v/>
      </c>
      <c r="Q1946" s="64">
        <f>IF($A1946="","",IF(O1946&lt;&gt;원인분석!$C$9,"",IF(AND(M1946&gt;=원인분석!$C$10,M1946&lt;=원인분석!$C$11),"당기",IF(AND(M1946&gt;=원인분석!$C$12,M1946&lt;=원인분석!$C$13),"비교",""))))</f>
        <v/>
      </c>
      <c r="R1946" s="9">
        <f>IF(Q1946="","",$K1946&amp;"")</f>
        <v/>
      </c>
      <c r="S1946" s="9">
        <f>IF(Q1946="","",IF(MATCH(R1946,$R$5:$R$100000,0)=ROW()-4,ROW(),""))</f>
        <v/>
      </c>
      <c r="T1946" s="9">
        <f>IF(Q1946="당기",ABS(P1946)+ROW()/1000000000,"")</f>
        <v/>
      </c>
      <c r="U1946" s="9">
        <f>IF(Q1946="비교",ABS(P1946)+ROW()/1000000000,"")</f>
        <v/>
      </c>
      <c r="V1946" s="64">
        <f>IF($A1946="","",IF(COUNTIF(변동분석!$E$7:$E$506,O1946)&gt;0,"Y","N"))</f>
        <v/>
      </c>
      <c r="W1946" s="64">
        <f>IF($A1946="","",IFERROR(INDEX(계정매핑!$D$5:$D$504,MATCH($F1946&amp;"",계정매핑!$A$5:$A$504,0)),"미매핑"))</f>
        <v/>
      </c>
      <c r="X1946" s="9">
        <f>IF($A1946="","",$F1946&amp;"")</f>
        <v/>
      </c>
      <c r="Y1946" s="94">
        <f>IF($A1946="",0,IF(AE1946="직접",IF(AF1946="비귀속",$P1946,0),$P1946*(1-AG1946)*IFERROR(INDEX(계정대체기준!$F$20:$F$49,MATCH($N1946,계정대체기준!$A$20:$A$49,0)),1)))</f>
        <v/>
      </c>
      <c r="Z1946" s="94">
        <f>IF($A1946="",0,IF(AE1946="직접",IF(AF1946="신계약비",$P1946,0),$P1946*(1-AG1946)*IFERROR(INDEX(계정대체기준!$C$20:$C$49,MATCH($N1946,계정대체기준!$A$20:$A$49,0)),0)))</f>
        <v/>
      </c>
      <c r="AA1946" s="94">
        <f>IF($A1946="",0,IF(AE1946="직접",IF(OR(AF1946="유지비",AF1946="손해조사비"),$P1946,0),$P1946*(1-AG1946)*IFERROR(INDEX(계정대체기준!$D$20:$D$49,MATCH($N1946,계정대체기준!$A$20:$A$49,0)),0)))</f>
        <v/>
      </c>
      <c r="AB1946" s="94">
        <f>IF($A1946="",0,IF(AE1946="직접",IF(AF1946="수금비",$P1946,0),$P1946*(1-AG1946)*IFERROR(INDEX(계정대체기준!$E$20:$E$49,MATCH($N1946,계정대체기준!$A$20:$A$49,0)),0)))</f>
        <v/>
      </c>
      <c r="AC1946" s="9">
        <f>IF(AND($A1946&lt;&gt;"",M1946=설정!$C$20,Z1946&gt;0),Z1946+ROW()/1000000000,"")</f>
        <v/>
      </c>
      <c r="AD1946" s="94">
        <f>IF($A1946="",0,$P1946*AG1946)</f>
        <v/>
      </c>
      <c r="AE1946" s="64">
        <f>IF($A1946="","",IFERROR(INDEX(계정매핑!$E$5:$E$504,MATCH($F1946&amp;"",계정매핑!$A$5:$A$504,0))&amp;"","공통비"))</f>
        <v/>
      </c>
      <c r="AF1946" s="64">
        <f>IF($A1946="","",IF(AE1946="직접",IFERROR(INDEX(계정매핑!$F$5:$F$504,MATCH($F1946&amp;"",계정매핑!$A$5:$A$504,0))&amp;"","비귀속"),""))</f>
        <v/>
      </c>
      <c r="AG1946" s="96">
        <f>IF($A1946="",0,IF(AND(AE1946&lt;&gt;"직접",IFERROR(INDEX(계정매핑!$G$5:$G$504,MATCH($F1946&amp;"",계정매핑!$A$5:$A$504,0))&amp;"","")="유지비",COUNTIF(계정대체기준!$A$6:$A$15,$N1946)&gt;0),IFERROR(INDEX(계정대체기준!$E$6:$E$15,MATCH(VALUE($A1946&amp;""),계정대체기준!$D$6:$D$15,0)),0),0))</f>
        <v/>
      </c>
      <c r="AH1946" s="64">
        <f>IF($A1946="","",IF(AD1946=0,"",IF(OR(COUNTIF(계정대체기준!$A$77:$A$86,$N1946)&gt;0,ISNUMBER(MATCH($X1946,계정대체기준!$D$77:$D$86,0)),ISNUMBER(MATCH($F1946,계정대체기준!$D$77:$D$86,0))),"Y","N")))</f>
        <v/>
      </c>
    </row>
    <row r="1947">
      <c r="A1947" s="92" t="n">
        <v>2025</v>
      </c>
      <c r="B1947" s="92" t="n">
        <v>9</v>
      </c>
      <c r="C1947" s="92" t="inlineStr">
        <is>
          <t>5100001943</t>
        </is>
      </c>
      <c r="D1947" s="95" t="n">
        <v>45916</v>
      </c>
      <c r="E1947" s="92" t="inlineStr">
        <is>
          <t>KR</t>
        </is>
      </c>
      <c r="F1947" s="92" t="n">
        <v>62901000</v>
      </c>
      <c r="G1947" s="92" t="n">
        <v>1101</v>
      </c>
      <c r="H1947" s="93" t="n">
        <v>2881000</v>
      </c>
      <c r="I1947" s="92" t="inlineStr">
        <is>
          <t>9월 자문 수수료 - W컨설팅</t>
        </is>
      </c>
      <c r="J1947" s="92" t="inlineStr">
        <is>
          <t>V10006</t>
        </is>
      </c>
      <c r="K1947" s="92" t="inlineStr">
        <is>
          <t>W컨설팅</t>
        </is>
      </c>
      <c r="M1947" s="9">
        <f>IF($A1947="","",VALUE($A1947&amp;"")*12+VALUE($B1947&amp;""))</f>
        <v/>
      </c>
      <c r="N1947" s="64">
        <f>IF($A1947="","",IFERROR(INDEX(부서매핑!$C$5:$C$504,MATCH($G1947&amp;"",부서매핑!$A$5:$A$504,0)),"미매핑"))</f>
        <v/>
      </c>
      <c r="O1947" s="9">
        <f>IF($A1947="","",N1947&amp;"|"&amp;$F1947)</f>
        <v/>
      </c>
      <c r="P1947" s="94">
        <f>IF($A1947="",0,$H1947*설정!$C$23)</f>
        <v/>
      </c>
      <c r="Q1947" s="64">
        <f>IF($A1947="","",IF(O1947&lt;&gt;원인분석!$C$9,"",IF(AND(M1947&gt;=원인분석!$C$10,M1947&lt;=원인분석!$C$11),"당기",IF(AND(M1947&gt;=원인분석!$C$12,M1947&lt;=원인분석!$C$13),"비교",""))))</f>
        <v/>
      </c>
      <c r="R1947" s="9">
        <f>IF(Q1947="","",$K1947&amp;"")</f>
        <v/>
      </c>
      <c r="S1947" s="9">
        <f>IF(Q1947="","",IF(MATCH(R1947,$R$5:$R$100000,0)=ROW()-4,ROW(),""))</f>
        <v/>
      </c>
      <c r="T1947" s="9">
        <f>IF(Q1947="당기",ABS(P1947)+ROW()/1000000000,"")</f>
        <v/>
      </c>
      <c r="U1947" s="9">
        <f>IF(Q1947="비교",ABS(P1947)+ROW()/1000000000,"")</f>
        <v/>
      </c>
      <c r="V1947" s="64">
        <f>IF($A1947="","",IF(COUNTIF(변동분석!$E$7:$E$506,O1947)&gt;0,"Y","N"))</f>
        <v/>
      </c>
      <c r="W1947" s="64">
        <f>IF($A1947="","",IFERROR(INDEX(계정매핑!$D$5:$D$504,MATCH($F1947&amp;"",계정매핑!$A$5:$A$504,0)),"미매핑"))</f>
        <v/>
      </c>
      <c r="X1947" s="9">
        <f>IF($A1947="","",$F1947&amp;"")</f>
        <v/>
      </c>
      <c r="Y1947" s="94">
        <f>IF($A1947="",0,IF(AE1947="직접",IF(AF1947="비귀속",$P1947,0),$P1947*(1-AG1947)*IFERROR(INDEX(계정대체기준!$F$20:$F$49,MATCH($N1947,계정대체기준!$A$20:$A$49,0)),1)))</f>
        <v/>
      </c>
      <c r="Z1947" s="94">
        <f>IF($A1947="",0,IF(AE1947="직접",IF(AF1947="신계약비",$P1947,0),$P1947*(1-AG1947)*IFERROR(INDEX(계정대체기준!$C$20:$C$49,MATCH($N1947,계정대체기준!$A$20:$A$49,0)),0)))</f>
        <v/>
      </c>
      <c r="AA1947" s="94">
        <f>IF($A1947="",0,IF(AE1947="직접",IF(OR(AF1947="유지비",AF1947="손해조사비"),$P1947,0),$P1947*(1-AG1947)*IFERROR(INDEX(계정대체기준!$D$20:$D$49,MATCH($N1947,계정대체기준!$A$20:$A$49,0)),0)))</f>
        <v/>
      </c>
      <c r="AB1947" s="94">
        <f>IF($A1947="",0,IF(AE1947="직접",IF(AF1947="수금비",$P1947,0),$P1947*(1-AG1947)*IFERROR(INDEX(계정대체기준!$E$20:$E$49,MATCH($N1947,계정대체기준!$A$20:$A$49,0)),0)))</f>
        <v/>
      </c>
      <c r="AC1947" s="9">
        <f>IF(AND($A1947&lt;&gt;"",M1947=설정!$C$20,Z1947&gt;0),Z1947+ROW()/1000000000,"")</f>
        <v/>
      </c>
      <c r="AD1947" s="94">
        <f>IF($A1947="",0,$P1947*AG1947)</f>
        <v/>
      </c>
      <c r="AE1947" s="64">
        <f>IF($A1947="","",IFERROR(INDEX(계정매핑!$E$5:$E$504,MATCH($F1947&amp;"",계정매핑!$A$5:$A$504,0))&amp;"","공통비"))</f>
        <v/>
      </c>
      <c r="AF1947" s="64">
        <f>IF($A1947="","",IF(AE1947="직접",IFERROR(INDEX(계정매핑!$F$5:$F$504,MATCH($F1947&amp;"",계정매핑!$A$5:$A$504,0))&amp;"","비귀속"),""))</f>
        <v/>
      </c>
      <c r="AG1947" s="96">
        <f>IF($A1947="",0,IF(AND(AE1947&lt;&gt;"직접",IFERROR(INDEX(계정매핑!$G$5:$G$504,MATCH($F1947&amp;"",계정매핑!$A$5:$A$504,0))&amp;"","")="유지비",COUNTIF(계정대체기준!$A$6:$A$15,$N1947)&gt;0),IFERROR(INDEX(계정대체기준!$E$6:$E$15,MATCH(VALUE($A1947&amp;""),계정대체기준!$D$6:$D$15,0)),0),0))</f>
        <v/>
      </c>
      <c r="AH1947" s="64">
        <f>IF($A1947="","",IF(AD1947=0,"",IF(OR(COUNTIF(계정대체기준!$A$77:$A$86,$N1947)&gt;0,ISNUMBER(MATCH($X1947,계정대체기준!$D$77:$D$86,0)),ISNUMBER(MATCH($F1947,계정대체기준!$D$77:$D$86,0))),"Y","N")))</f>
        <v/>
      </c>
    </row>
    <row r="1948">
      <c r="A1948" s="92" t="n">
        <v>2025</v>
      </c>
      <c r="B1948" s="92" t="n">
        <v>9</v>
      </c>
      <c r="C1948" s="92" t="inlineStr">
        <is>
          <t>5100001944</t>
        </is>
      </c>
      <c r="D1948" s="95" t="n">
        <v>45916</v>
      </c>
      <c r="E1948" s="92" t="inlineStr">
        <is>
          <t>KR</t>
        </is>
      </c>
      <c r="F1948" s="92" t="n">
        <v>62901000</v>
      </c>
      <c r="G1948" s="92" t="n">
        <v>1401</v>
      </c>
      <c r="H1948" s="93" t="n">
        <v>6277000</v>
      </c>
      <c r="I1948" s="92" t="inlineStr">
        <is>
          <t>9월 자문 수수료 - W컨설팅</t>
        </is>
      </c>
      <c r="J1948" s="92" t="inlineStr">
        <is>
          <t>V10006</t>
        </is>
      </c>
      <c r="K1948" s="92" t="inlineStr">
        <is>
          <t>W컨설팅</t>
        </is>
      </c>
      <c r="M1948" s="9">
        <f>IF($A1948="","",VALUE($A1948&amp;"")*12+VALUE($B1948&amp;""))</f>
        <v/>
      </c>
      <c r="N1948" s="64">
        <f>IF($A1948="","",IFERROR(INDEX(부서매핑!$C$5:$C$504,MATCH($G1948&amp;"",부서매핑!$A$5:$A$504,0)),"미매핑"))</f>
        <v/>
      </c>
      <c r="O1948" s="9">
        <f>IF($A1948="","",N1948&amp;"|"&amp;$F1948)</f>
        <v/>
      </c>
      <c r="P1948" s="94">
        <f>IF($A1948="",0,$H1948*설정!$C$23)</f>
        <v/>
      </c>
      <c r="Q1948" s="64">
        <f>IF($A1948="","",IF(O1948&lt;&gt;원인분석!$C$9,"",IF(AND(M1948&gt;=원인분석!$C$10,M1948&lt;=원인분석!$C$11),"당기",IF(AND(M1948&gt;=원인분석!$C$12,M1948&lt;=원인분석!$C$13),"비교",""))))</f>
        <v/>
      </c>
      <c r="R1948" s="9">
        <f>IF(Q1948="","",$K1948&amp;"")</f>
        <v/>
      </c>
      <c r="S1948" s="9">
        <f>IF(Q1948="","",IF(MATCH(R1948,$R$5:$R$100000,0)=ROW()-4,ROW(),""))</f>
        <v/>
      </c>
      <c r="T1948" s="9">
        <f>IF(Q1948="당기",ABS(P1948)+ROW()/1000000000,"")</f>
        <v/>
      </c>
      <c r="U1948" s="9">
        <f>IF(Q1948="비교",ABS(P1948)+ROW()/1000000000,"")</f>
        <v/>
      </c>
      <c r="V1948" s="64">
        <f>IF($A1948="","",IF(COUNTIF(변동분석!$E$7:$E$506,O1948)&gt;0,"Y","N"))</f>
        <v/>
      </c>
      <c r="W1948" s="64">
        <f>IF($A1948="","",IFERROR(INDEX(계정매핑!$D$5:$D$504,MATCH($F1948&amp;"",계정매핑!$A$5:$A$504,0)),"미매핑"))</f>
        <v/>
      </c>
      <c r="X1948" s="9">
        <f>IF($A1948="","",$F1948&amp;"")</f>
        <v/>
      </c>
      <c r="Y1948" s="94">
        <f>IF($A1948="",0,IF(AE1948="직접",IF(AF1948="비귀속",$P1948,0),$P1948*(1-AG1948)*IFERROR(INDEX(계정대체기준!$F$20:$F$49,MATCH($N1948,계정대체기준!$A$20:$A$49,0)),1)))</f>
        <v/>
      </c>
      <c r="Z1948" s="94">
        <f>IF($A1948="",0,IF(AE1948="직접",IF(AF1948="신계약비",$P1948,0),$P1948*(1-AG1948)*IFERROR(INDEX(계정대체기준!$C$20:$C$49,MATCH($N1948,계정대체기준!$A$20:$A$49,0)),0)))</f>
        <v/>
      </c>
      <c r="AA1948" s="94">
        <f>IF($A1948="",0,IF(AE1948="직접",IF(OR(AF1948="유지비",AF1948="손해조사비"),$P1948,0),$P1948*(1-AG1948)*IFERROR(INDEX(계정대체기준!$D$20:$D$49,MATCH($N1948,계정대체기준!$A$20:$A$49,0)),0)))</f>
        <v/>
      </c>
      <c r="AB1948" s="94">
        <f>IF($A1948="",0,IF(AE1948="직접",IF(AF1948="수금비",$P1948,0),$P1948*(1-AG1948)*IFERROR(INDEX(계정대체기준!$E$20:$E$49,MATCH($N1948,계정대체기준!$A$20:$A$49,0)),0)))</f>
        <v/>
      </c>
      <c r="AC1948" s="9">
        <f>IF(AND($A1948&lt;&gt;"",M1948=설정!$C$20,Z1948&gt;0),Z1948+ROW()/1000000000,"")</f>
        <v/>
      </c>
      <c r="AD1948" s="94">
        <f>IF($A1948="",0,$P1948*AG1948)</f>
        <v/>
      </c>
      <c r="AE1948" s="64">
        <f>IF($A1948="","",IFERROR(INDEX(계정매핑!$E$5:$E$504,MATCH($F1948&amp;"",계정매핑!$A$5:$A$504,0))&amp;"","공통비"))</f>
        <v/>
      </c>
      <c r="AF1948" s="64">
        <f>IF($A1948="","",IF(AE1948="직접",IFERROR(INDEX(계정매핑!$F$5:$F$504,MATCH($F1948&amp;"",계정매핑!$A$5:$A$504,0))&amp;"","비귀속"),""))</f>
        <v/>
      </c>
      <c r="AG1948" s="96">
        <f>IF($A1948="",0,IF(AND(AE1948&lt;&gt;"직접",IFERROR(INDEX(계정매핑!$G$5:$G$504,MATCH($F1948&amp;"",계정매핑!$A$5:$A$504,0))&amp;"","")="유지비",COUNTIF(계정대체기준!$A$6:$A$15,$N1948)&gt;0),IFERROR(INDEX(계정대체기준!$E$6:$E$15,MATCH(VALUE($A1948&amp;""),계정대체기준!$D$6:$D$15,0)),0),0))</f>
        <v/>
      </c>
      <c r="AH1948" s="64">
        <f>IF($A1948="","",IF(AD1948=0,"",IF(OR(COUNTIF(계정대체기준!$A$77:$A$86,$N1948)&gt;0,ISNUMBER(MATCH($X1948,계정대체기준!$D$77:$D$86,0)),ISNUMBER(MATCH($F1948,계정대체기준!$D$77:$D$86,0))),"Y","N")))</f>
        <v/>
      </c>
    </row>
    <row r="1949">
      <c r="A1949" s="92" t="n">
        <v>2025</v>
      </c>
      <c r="B1949" s="92" t="n">
        <v>9</v>
      </c>
      <c r="C1949" s="92" t="inlineStr">
        <is>
          <t>5100001945</t>
        </is>
      </c>
      <c r="D1949" s="95" t="n">
        <v>45916</v>
      </c>
      <c r="E1949" s="92" t="inlineStr">
        <is>
          <t>KR</t>
        </is>
      </c>
      <c r="F1949" s="92" t="n">
        <v>63201000</v>
      </c>
      <c r="G1949" s="92" t="n">
        <v>1602</v>
      </c>
      <c r="H1949" s="93" t="n">
        <v>5389000</v>
      </c>
      <c r="I1949" s="92" t="inlineStr">
        <is>
          <t>9월 차량 유지 - D정비</t>
        </is>
      </c>
      <c r="J1949" s="92" t="inlineStr">
        <is>
          <t>V10025</t>
        </is>
      </c>
      <c r="K1949" s="92" t="inlineStr">
        <is>
          <t>D정비</t>
        </is>
      </c>
      <c r="M1949" s="9">
        <f>IF($A1949="","",VALUE($A1949&amp;"")*12+VALUE($B1949&amp;""))</f>
        <v/>
      </c>
      <c r="N1949" s="64">
        <f>IF($A1949="","",IFERROR(INDEX(부서매핑!$C$5:$C$504,MATCH($G1949&amp;"",부서매핑!$A$5:$A$504,0)),"미매핑"))</f>
        <v/>
      </c>
      <c r="O1949" s="9">
        <f>IF($A1949="","",N1949&amp;"|"&amp;$F1949)</f>
        <v/>
      </c>
      <c r="P1949" s="94">
        <f>IF($A1949="",0,$H1949*설정!$C$23)</f>
        <v/>
      </c>
      <c r="Q1949" s="64">
        <f>IF($A1949="","",IF(O1949&lt;&gt;원인분석!$C$9,"",IF(AND(M1949&gt;=원인분석!$C$10,M1949&lt;=원인분석!$C$11),"당기",IF(AND(M1949&gt;=원인분석!$C$12,M1949&lt;=원인분석!$C$13),"비교",""))))</f>
        <v/>
      </c>
      <c r="R1949" s="9">
        <f>IF(Q1949="","",$K1949&amp;"")</f>
        <v/>
      </c>
      <c r="S1949" s="9">
        <f>IF(Q1949="","",IF(MATCH(R1949,$R$5:$R$100000,0)=ROW()-4,ROW(),""))</f>
        <v/>
      </c>
      <c r="T1949" s="9">
        <f>IF(Q1949="당기",ABS(P1949)+ROW()/1000000000,"")</f>
        <v/>
      </c>
      <c r="U1949" s="9">
        <f>IF(Q1949="비교",ABS(P1949)+ROW()/1000000000,"")</f>
        <v/>
      </c>
      <c r="V1949" s="64">
        <f>IF($A1949="","",IF(COUNTIF(변동분석!$E$7:$E$506,O1949)&gt;0,"Y","N"))</f>
        <v/>
      </c>
      <c r="W1949" s="64">
        <f>IF($A1949="","",IFERROR(INDEX(계정매핑!$D$5:$D$504,MATCH($F1949&amp;"",계정매핑!$A$5:$A$504,0)),"미매핑"))</f>
        <v/>
      </c>
      <c r="X1949" s="9">
        <f>IF($A1949="","",$F1949&amp;"")</f>
        <v/>
      </c>
      <c r="Y1949" s="94">
        <f>IF($A1949="",0,IF(AE1949="직접",IF(AF1949="비귀속",$P1949,0),$P1949*(1-AG1949)*IFERROR(INDEX(계정대체기준!$F$20:$F$49,MATCH($N1949,계정대체기준!$A$20:$A$49,0)),1)))</f>
        <v/>
      </c>
      <c r="Z1949" s="94">
        <f>IF($A1949="",0,IF(AE1949="직접",IF(AF1949="신계약비",$P1949,0),$P1949*(1-AG1949)*IFERROR(INDEX(계정대체기준!$C$20:$C$49,MATCH($N1949,계정대체기준!$A$20:$A$49,0)),0)))</f>
        <v/>
      </c>
      <c r="AA1949" s="94">
        <f>IF($A1949="",0,IF(AE1949="직접",IF(OR(AF1949="유지비",AF1949="손해조사비"),$P1949,0),$P1949*(1-AG1949)*IFERROR(INDEX(계정대체기준!$D$20:$D$49,MATCH($N1949,계정대체기준!$A$20:$A$49,0)),0)))</f>
        <v/>
      </c>
      <c r="AB1949" s="94">
        <f>IF($A1949="",0,IF(AE1949="직접",IF(AF1949="수금비",$P1949,0),$P1949*(1-AG1949)*IFERROR(INDEX(계정대체기준!$E$20:$E$49,MATCH($N1949,계정대체기준!$A$20:$A$49,0)),0)))</f>
        <v/>
      </c>
      <c r="AC1949" s="9">
        <f>IF(AND($A1949&lt;&gt;"",M1949=설정!$C$20,Z1949&gt;0),Z1949+ROW()/1000000000,"")</f>
        <v/>
      </c>
      <c r="AD1949" s="94">
        <f>IF($A1949="",0,$P1949*AG1949)</f>
        <v/>
      </c>
      <c r="AE1949" s="64">
        <f>IF($A1949="","",IFERROR(INDEX(계정매핑!$E$5:$E$504,MATCH($F1949&amp;"",계정매핑!$A$5:$A$504,0))&amp;"","공통비"))</f>
        <v/>
      </c>
      <c r="AF1949" s="64">
        <f>IF($A1949="","",IF(AE1949="직접",IFERROR(INDEX(계정매핑!$F$5:$F$504,MATCH($F1949&amp;"",계정매핑!$A$5:$A$504,0))&amp;"","비귀속"),""))</f>
        <v/>
      </c>
      <c r="AG1949" s="96">
        <f>IF($A1949="",0,IF(AND(AE1949&lt;&gt;"직접",IFERROR(INDEX(계정매핑!$G$5:$G$504,MATCH($F1949&amp;"",계정매핑!$A$5:$A$504,0))&amp;"","")="유지비",COUNTIF(계정대체기준!$A$6:$A$15,$N1949)&gt;0),IFERROR(INDEX(계정대체기준!$E$6:$E$15,MATCH(VALUE($A1949&amp;""),계정대체기준!$D$6:$D$15,0)),0),0))</f>
        <v/>
      </c>
      <c r="AH1949" s="64">
        <f>IF($A1949="","",IF(AD1949=0,"",IF(OR(COUNTIF(계정대체기준!$A$77:$A$86,$N1949)&gt;0,ISNUMBER(MATCH($X1949,계정대체기준!$D$77:$D$86,0)),ISNUMBER(MATCH($F1949,계정대체기준!$D$77:$D$86,0))),"Y","N")))</f>
        <v/>
      </c>
    </row>
    <row r="1950">
      <c r="A1950" s="92" t="n">
        <v>2025</v>
      </c>
      <c r="B1950" s="92" t="n">
        <v>9</v>
      </c>
      <c r="C1950" s="92" t="inlineStr">
        <is>
          <t>5100001946</t>
        </is>
      </c>
      <c r="D1950" s="95" t="n">
        <v>45916</v>
      </c>
      <c r="E1950" s="92" t="inlineStr">
        <is>
          <t>KR</t>
        </is>
      </c>
      <c r="F1950" s="92" t="n">
        <v>63502000</v>
      </c>
      <c r="G1950" s="92" t="n">
        <v>1901</v>
      </c>
      <c r="H1950" s="93" t="n">
        <v>96308000</v>
      </c>
      <c r="I1950" s="92" t="inlineStr">
        <is>
          <t>9월 유지수수료 - (전속설계사)</t>
        </is>
      </c>
      <c r="J1950" s="92" t="inlineStr">
        <is>
          <t>V10021</t>
        </is>
      </c>
      <c r="K1950" s="92" t="inlineStr">
        <is>
          <t>(전속설계사)</t>
        </is>
      </c>
      <c r="M1950" s="9">
        <f>IF($A1950="","",VALUE($A1950&amp;"")*12+VALUE($B1950&amp;""))</f>
        <v/>
      </c>
      <c r="N1950" s="64">
        <f>IF($A1950="","",IFERROR(INDEX(부서매핑!$C$5:$C$504,MATCH($G1950&amp;"",부서매핑!$A$5:$A$504,0)),"미매핑"))</f>
        <v/>
      </c>
      <c r="O1950" s="9">
        <f>IF($A1950="","",N1950&amp;"|"&amp;$F1950)</f>
        <v/>
      </c>
      <c r="P1950" s="94">
        <f>IF($A1950="",0,$H1950*설정!$C$23)</f>
        <v/>
      </c>
      <c r="Q1950" s="64">
        <f>IF($A1950="","",IF(O1950&lt;&gt;원인분석!$C$9,"",IF(AND(M1950&gt;=원인분석!$C$10,M1950&lt;=원인분석!$C$11),"당기",IF(AND(M1950&gt;=원인분석!$C$12,M1950&lt;=원인분석!$C$13),"비교",""))))</f>
        <v/>
      </c>
      <c r="R1950" s="9">
        <f>IF(Q1950="","",$K1950&amp;"")</f>
        <v/>
      </c>
      <c r="S1950" s="9">
        <f>IF(Q1950="","",IF(MATCH(R1950,$R$5:$R$100000,0)=ROW()-4,ROW(),""))</f>
        <v/>
      </c>
      <c r="T1950" s="9">
        <f>IF(Q1950="당기",ABS(P1950)+ROW()/1000000000,"")</f>
        <v/>
      </c>
      <c r="U1950" s="9">
        <f>IF(Q1950="비교",ABS(P1950)+ROW()/1000000000,"")</f>
        <v/>
      </c>
      <c r="V1950" s="64">
        <f>IF($A1950="","",IF(COUNTIF(변동분석!$E$7:$E$506,O1950)&gt;0,"Y","N"))</f>
        <v/>
      </c>
      <c r="W1950" s="64">
        <f>IF($A1950="","",IFERROR(INDEX(계정매핑!$D$5:$D$504,MATCH($F1950&amp;"",계정매핑!$A$5:$A$504,0)),"미매핑"))</f>
        <v/>
      </c>
      <c r="X1950" s="9">
        <f>IF($A1950="","",$F1950&amp;"")</f>
        <v/>
      </c>
      <c r="Y1950" s="94">
        <f>IF($A1950="",0,IF(AE1950="직접",IF(AF1950="비귀속",$P1950,0),$P1950*(1-AG1950)*IFERROR(INDEX(계정대체기준!$F$20:$F$49,MATCH($N1950,계정대체기준!$A$20:$A$49,0)),1)))</f>
        <v/>
      </c>
      <c r="Z1950" s="94">
        <f>IF($A1950="",0,IF(AE1950="직접",IF(AF1950="신계약비",$P1950,0),$P1950*(1-AG1950)*IFERROR(INDEX(계정대체기준!$C$20:$C$49,MATCH($N1950,계정대체기준!$A$20:$A$49,0)),0)))</f>
        <v/>
      </c>
      <c r="AA1950" s="94">
        <f>IF($A1950="",0,IF(AE1950="직접",IF(OR(AF1950="유지비",AF1950="손해조사비"),$P1950,0),$P1950*(1-AG1950)*IFERROR(INDEX(계정대체기준!$D$20:$D$49,MATCH($N1950,계정대체기준!$A$20:$A$49,0)),0)))</f>
        <v/>
      </c>
      <c r="AB1950" s="94">
        <f>IF($A1950="",0,IF(AE1950="직접",IF(AF1950="수금비",$P1950,0),$P1950*(1-AG1950)*IFERROR(INDEX(계정대체기준!$E$20:$E$49,MATCH($N1950,계정대체기준!$A$20:$A$49,0)),0)))</f>
        <v/>
      </c>
      <c r="AC1950" s="9">
        <f>IF(AND($A1950&lt;&gt;"",M1950=설정!$C$20,Z1950&gt;0),Z1950+ROW()/1000000000,"")</f>
        <v/>
      </c>
      <c r="AD1950" s="94">
        <f>IF($A1950="",0,$P1950*AG1950)</f>
        <v/>
      </c>
      <c r="AE1950" s="64">
        <f>IF($A1950="","",IFERROR(INDEX(계정매핑!$E$5:$E$504,MATCH($F1950&amp;"",계정매핑!$A$5:$A$504,0))&amp;"","공통비"))</f>
        <v/>
      </c>
      <c r="AF1950" s="64">
        <f>IF($A1950="","",IF(AE1950="직접",IFERROR(INDEX(계정매핑!$F$5:$F$504,MATCH($F1950&amp;"",계정매핑!$A$5:$A$504,0))&amp;"","비귀속"),""))</f>
        <v/>
      </c>
      <c r="AG1950" s="96">
        <f>IF($A1950="",0,IF(AND(AE1950&lt;&gt;"직접",IFERROR(INDEX(계정매핑!$G$5:$G$504,MATCH($F1950&amp;"",계정매핑!$A$5:$A$504,0))&amp;"","")="유지비",COUNTIF(계정대체기준!$A$6:$A$15,$N1950)&gt;0),IFERROR(INDEX(계정대체기준!$E$6:$E$15,MATCH(VALUE($A1950&amp;""),계정대체기준!$D$6:$D$15,0)),0),0))</f>
        <v/>
      </c>
      <c r="AH1950" s="64">
        <f>IF($A1950="","",IF(AD1950=0,"",IF(OR(COUNTIF(계정대체기준!$A$77:$A$86,$N1950)&gt;0,ISNUMBER(MATCH($X1950,계정대체기준!$D$77:$D$86,0)),ISNUMBER(MATCH($F1950,계정대체기준!$D$77:$D$86,0))),"Y","N")))</f>
        <v/>
      </c>
    </row>
    <row r="1951">
      <c r="A1951" s="92" t="n">
        <v>2025</v>
      </c>
      <c r="B1951" s="92" t="n">
        <v>9</v>
      </c>
      <c r="C1951" s="92" t="inlineStr">
        <is>
          <t>5100001947</t>
        </is>
      </c>
      <c r="D1951" s="95" t="n">
        <v>45917</v>
      </c>
      <c r="E1951" s="92" t="inlineStr">
        <is>
          <t>KR</t>
        </is>
      </c>
      <c r="F1951" s="92" t="n">
        <v>62101000</v>
      </c>
      <c r="G1951" s="92" t="n">
        <v>1301</v>
      </c>
      <c r="H1951" s="93" t="n">
        <v>522000</v>
      </c>
      <c r="I1951" s="92" t="inlineStr">
        <is>
          <t>9월 국내출장 - (법인카드)</t>
        </is>
      </c>
      <c r="J1951" s="92" t="inlineStr">
        <is>
          <t>V10010</t>
        </is>
      </c>
      <c r="K1951" s="92" t="inlineStr">
        <is>
          <t>(법인카드)</t>
        </is>
      </c>
      <c r="M1951" s="9">
        <f>IF($A1951="","",VALUE($A1951&amp;"")*12+VALUE($B1951&amp;""))</f>
        <v/>
      </c>
      <c r="N1951" s="64">
        <f>IF($A1951="","",IFERROR(INDEX(부서매핑!$C$5:$C$504,MATCH($G1951&amp;"",부서매핑!$A$5:$A$504,0)),"미매핑"))</f>
        <v/>
      </c>
      <c r="O1951" s="9">
        <f>IF($A1951="","",N1951&amp;"|"&amp;$F1951)</f>
        <v/>
      </c>
      <c r="P1951" s="94">
        <f>IF($A1951="",0,$H1951*설정!$C$23)</f>
        <v/>
      </c>
      <c r="Q1951" s="64">
        <f>IF($A1951="","",IF(O1951&lt;&gt;원인분석!$C$9,"",IF(AND(M1951&gt;=원인분석!$C$10,M1951&lt;=원인분석!$C$11),"당기",IF(AND(M1951&gt;=원인분석!$C$12,M1951&lt;=원인분석!$C$13),"비교",""))))</f>
        <v/>
      </c>
      <c r="R1951" s="9">
        <f>IF(Q1951="","",$K1951&amp;"")</f>
        <v/>
      </c>
      <c r="S1951" s="9">
        <f>IF(Q1951="","",IF(MATCH(R1951,$R$5:$R$100000,0)=ROW()-4,ROW(),""))</f>
        <v/>
      </c>
      <c r="T1951" s="9">
        <f>IF(Q1951="당기",ABS(P1951)+ROW()/1000000000,"")</f>
        <v/>
      </c>
      <c r="U1951" s="9">
        <f>IF(Q1951="비교",ABS(P1951)+ROW()/1000000000,"")</f>
        <v/>
      </c>
      <c r="V1951" s="64">
        <f>IF($A1951="","",IF(COUNTIF(변동분석!$E$7:$E$506,O1951)&gt;0,"Y","N"))</f>
        <v/>
      </c>
      <c r="W1951" s="64">
        <f>IF($A1951="","",IFERROR(INDEX(계정매핑!$D$5:$D$504,MATCH($F1951&amp;"",계정매핑!$A$5:$A$504,0)),"미매핑"))</f>
        <v/>
      </c>
      <c r="X1951" s="9">
        <f>IF($A1951="","",$F1951&amp;"")</f>
        <v/>
      </c>
      <c r="Y1951" s="94">
        <f>IF($A1951="",0,IF(AE1951="직접",IF(AF1951="비귀속",$P1951,0),$P1951*(1-AG1951)*IFERROR(INDEX(계정대체기준!$F$20:$F$49,MATCH($N1951,계정대체기준!$A$20:$A$49,0)),1)))</f>
        <v/>
      </c>
      <c r="Z1951" s="94">
        <f>IF($A1951="",0,IF(AE1951="직접",IF(AF1951="신계약비",$P1951,0),$P1951*(1-AG1951)*IFERROR(INDEX(계정대체기준!$C$20:$C$49,MATCH($N1951,계정대체기준!$A$20:$A$49,0)),0)))</f>
        <v/>
      </c>
      <c r="AA1951" s="94">
        <f>IF($A1951="",0,IF(AE1951="직접",IF(OR(AF1951="유지비",AF1951="손해조사비"),$P1951,0),$P1951*(1-AG1951)*IFERROR(INDEX(계정대체기준!$D$20:$D$49,MATCH($N1951,계정대체기준!$A$20:$A$49,0)),0)))</f>
        <v/>
      </c>
      <c r="AB1951" s="94">
        <f>IF($A1951="",0,IF(AE1951="직접",IF(AF1951="수금비",$P1951,0),$P1951*(1-AG1951)*IFERROR(INDEX(계정대체기준!$E$20:$E$49,MATCH($N1951,계정대체기준!$A$20:$A$49,0)),0)))</f>
        <v/>
      </c>
      <c r="AC1951" s="9">
        <f>IF(AND($A1951&lt;&gt;"",M1951=설정!$C$20,Z1951&gt;0),Z1951+ROW()/1000000000,"")</f>
        <v/>
      </c>
      <c r="AD1951" s="94">
        <f>IF($A1951="",0,$P1951*AG1951)</f>
        <v/>
      </c>
      <c r="AE1951" s="64">
        <f>IF($A1951="","",IFERROR(INDEX(계정매핑!$E$5:$E$504,MATCH($F1951&amp;"",계정매핑!$A$5:$A$504,0))&amp;"","공통비"))</f>
        <v/>
      </c>
      <c r="AF1951" s="64">
        <f>IF($A1951="","",IF(AE1951="직접",IFERROR(INDEX(계정매핑!$F$5:$F$504,MATCH($F1951&amp;"",계정매핑!$A$5:$A$504,0))&amp;"","비귀속"),""))</f>
        <v/>
      </c>
      <c r="AG1951" s="96">
        <f>IF($A1951="",0,IF(AND(AE1951&lt;&gt;"직접",IFERROR(INDEX(계정매핑!$G$5:$G$504,MATCH($F1951&amp;"",계정매핑!$A$5:$A$504,0))&amp;"","")="유지비",COUNTIF(계정대체기준!$A$6:$A$15,$N1951)&gt;0),IFERROR(INDEX(계정대체기준!$E$6:$E$15,MATCH(VALUE($A1951&amp;""),계정대체기준!$D$6:$D$15,0)),0),0))</f>
        <v/>
      </c>
      <c r="AH1951" s="64">
        <f>IF($A1951="","",IF(AD1951=0,"",IF(OR(COUNTIF(계정대체기준!$A$77:$A$86,$N1951)&gt;0,ISNUMBER(MATCH($X1951,계정대체기준!$D$77:$D$86,0)),ISNUMBER(MATCH($F1951,계정대체기준!$D$77:$D$86,0))),"Y","N")))</f>
        <v/>
      </c>
    </row>
    <row r="1952">
      <c r="A1952" s="92" t="n">
        <v>2025</v>
      </c>
      <c r="B1952" s="92" t="n">
        <v>9</v>
      </c>
      <c r="C1952" s="92" t="inlineStr">
        <is>
          <t>5100001948</t>
        </is>
      </c>
      <c r="D1952" s="95" t="n">
        <v>45917</v>
      </c>
      <c r="E1952" s="92" t="inlineStr">
        <is>
          <t>KR</t>
        </is>
      </c>
      <c r="F1952" s="92" t="n">
        <v>62101000</v>
      </c>
      <c r="G1952" s="92" t="n">
        <v>1401</v>
      </c>
      <c r="H1952" s="93" t="n">
        <v>386000</v>
      </c>
      <c r="I1952" s="92" t="inlineStr">
        <is>
          <t>9월 국내출장 - (법인카드)</t>
        </is>
      </c>
      <c r="J1952" s="92" t="inlineStr">
        <is>
          <t>V10010</t>
        </is>
      </c>
      <c r="K1952" s="92" t="inlineStr">
        <is>
          <t>(법인카드)</t>
        </is>
      </c>
      <c r="M1952" s="9">
        <f>IF($A1952="","",VALUE($A1952&amp;"")*12+VALUE($B1952&amp;""))</f>
        <v/>
      </c>
      <c r="N1952" s="64">
        <f>IF($A1952="","",IFERROR(INDEX(부서매핑!$C$5:$C$504,MATCH($G1952&amp;"",부서매핑!$A$5:$A$504,0)),"미매핑"))</f>
        <v/>
      </c>
      <c r="O1952" s="9">
        <f>IF($A1952="","",N1952&amp;"|"&amp;$F1952)</f>
        <v/>
      </c>
      <c r="P1952" s="94">
        <f>IF($A1952="",0,$H1952*설정!$C$23)</f>
        <v/>
      </c>
      <c r="Q1952" s="64">
        <f>IF($A1952="","",IF(O1952&lt;&gt;원인분석!$C$9,"",IF(AND(M1952&gt;=원인분석!$C$10,M1952&lt;=원인분석!$C$11),"당기",IF(AND(M1952&gt;=원인분석!$C$12,M1952&lt;=원인분석!$C$13),"비교",""))))</f>
        <v/>
      </c>
      <c r="R1952" s="9">
        <f>IF(Q1952="","",$K1952&amp;"")</f>
        <v/>
      </c>
      <c r="S1952" s="9">
        <f>IF(Q1952="","",IF(MATCH(R1952,$R$5:$R$100000,0)=ROW()-4,ROW(),""))</f>
        <v/>
      </c>
      <c r="T1952" s="9">
        <f>IF(Q1952="당기",ABS(P1952)+ROW()/1000000000,"")</f>
        <v/>
      </c>
      <c r="U1952" s="9">
        <f>IF(Q1952="비교",ABS(P1952)+ROW()/1000000000,"")</f>
        <v/>
      </c>
      <c r="V1952" s="64">
        <f>IF($A1952="","",IF(COUNTIF(변동분석!$E$7:$E$506,O1952)&gt;0,"Y","N"))</f>
        <v/>
      </c>
      <c r="W1952" s="64">
        <f>IF($A1952="","",IFERROR(INDEX(계정매핑!$D$5:$D$504,MATCH($F1952&amp;"",계정매핑!$A$5:$A$504,0)),"미매핑"))</f>
        <v/>
      </c>
      <c r="X1952" s="9">
        <f>IF($A1952="","",$F1952&amp;"")</f>
        <v/>
      </c>
      <c r="Y1952" s="94">
        <f>IF($A1952="",0,IF(AE1952="직접",IF(AF1952="비귀속",$P1952,0),$P1952*(1-AG1952)*IFERROR(INDEX(계정대체기준!$F$20:$F$49,MATCH($N1952,계정대체기준!$A$20:$A$49,0)),1)))</f>
        <v/>
      </c>
      <c r="Z1952" s="94">
        <f>IF($A1952="",0,IF(AE1952="직접",IF(AF1952="신계약비",$P1952,0),$P1952*(1-AG1952)*IFERROR(INDEX(계정대체기준!$C$20:$C$49,MATCH($N1952,계정대체기준!$A$20:$A$49,0)),0)))</f>
        <v/>
      </c>
      <c r="AA1952" s="94">
        <f>IF($A1952="",0,IF(AE1952="직접",IF(OR(AF1952="유지비",AF1952="손해조사비"),$P1952,0),$P1952*(1-AG1952)*IFERROR(INDEX(계정대체기준!$D$20:$D$49,MATCH($N1952,계정대체기준!$A$20:$A$49,0)),0)))</f>
        <v/>
      </c>
      <c r="AB1952" s="94">
        <f>IF($A1952="",0,IF(AE1952="직접",IF(AF1952="수금비",$P1952,0),$P1952*(1-AG1952)*IFERROR(INDEX(계정대체기준!$E$20:$E$49,MATCH($N1952,계정대체기준!$A$20:$A$49,0)),0)))</f>
        <v/>
      </c>
      <c r="AC1952" s="9">
        <f>IF(AND($A1952&lt;&gt;"",M1952=설정!$C$20,Z1952&gt;0),Z1952+ROW()/1000000000,"")</f>
        <v/>
      </c>
      <c r="AD1952" s="94">
        <f>IF($A1952="",0,$P1952*AG1952)</f>
        <v/>
      </c>
      <c r="AE1952" s="64">
        <f>IF($A1952="","",IFERROR(INDEX(계정매핑!$E$5:$E$504,MATCH($F1952&amp;"",계정매핑!$A$5:$A$504,0))&amp;"","공통비"))</f>
        <v/>
      </c>
      <c r="AF1952" s="64">
        <f>IF($A1952="","",IF(AE1952="직접",IFERROR(INDEX(계정매핑!$F$5:$F$504,MATCH($F1952&amp;"",계정매핑!$A$5:$A$504,0))&amp;"","비귀속"),""))</f>
        <v/>
      </c>
      <c r="AG1952" s="96">
        <f>IF($A1952="",0,IF(AND(AE1952&lt;&gt;"직접",IFERROR(INDEX(계정매핑!$G$5:$G$504,MATCH($F1952&amp;"",계정매핑!$A$5:$A$504,0))&amp;"","")="유지비",COUNTIF(계정대체기준!$A$6:$A$15,$N1952)&gt;0),IFERROR(INDEX(계정대체기준!$E$6:$E$15,MATCH(VALUE($A1952&amp;""),계정대체기준!$D$6:$D$15,0)),0),0))</f>
        <v/>
      </c>
      <c r="AH1952" s="64">
        <f>IF($A1952="","",IF(AD1952=0,"",IF(OR(COUNTIF(계정대체기준!$A$77:$A$86,$N1952)&gt;0,ISNUMBER(MATCH($X1952,계정대체기준!$D$77:$D$86,0)),ISNUMBER(MATCH($F1952,계정대체기준!$D$77:$D$86,0))),"Y","N")))</f>
        <v/>
      </c>
    </row>
    <row r="1953">
      <c r="A1953" s="92" t="n">
        <v>2025</v>
      </c>
      <c r="B1953" s="92" t="n">
        <v>9</v>
      </c>
      <c r="C1953" s="92" t="inlineStr">
        <is>
          <t>5100001949</t>
        </is>
      </c>
      <c r="D1953" s="95" t="n">
        <v>45917</v>
      </c>
      <c r="E1953" s="92" t="inlineStr">
        <is>
          <t>KR</t>
        </is>
      </c>
      <c r="F1953" s="92" t="n">
        <v>62101000</v>
      </c>
      <c r="G1953" s="92" t="n">
        <v>1601</v>
      </c>
      <c r="H1953" s="93" t="n">
        <v>1310000</v>
      </c>
      <c r="I1953" s="92" t="inlineStr">
        <is>
          <t>9월 국내출장 - (법인카드)</t>
        </is>
      </c>
      <c r="J1953" s="92" t="inlineStr">
        <is>
          <t>V10010</t>
        </is>
      </c>
      <c r="K1953" s="92" t="inlineStr">
        <is>
          <t>(법인카드)</t>
        </is>
      </c>
      <c r="M1953" s="9">
        <f>IF($A1953="","",VALUE($A1953&amp;"")*12+VALUE($B1953&amp;""))</f>
        <v/>
      </c>
      <c r="N1953" s="64">
        <f>IF($A1953="","",IFERROR(INDEX(부서매핑!$C$5:$C$504,MATCH($G1953&amp;"",부서매핑!$A$5:$A$504,0)),"미매핑"))</f>
        <v/>
      </c>
      <c r="O1953" s="9">
        <f>IF($A1953="","",N1953&amp;"|"&amp;$F1953)</f>
        <v/>
      </c>
      <c r="P1953" s="94">
        <f>IF($A1953="",0,$H1953*설정!$C$23)</f>
        <v/>
      </c>
      <c r="Q1953" s="64">
        <f>IF($A1953="","",IF(O1953&lt;&gt;원인분석!$C$9,"",IF(AND(M1953&gt;=원인분석!$C$10,M1953&lt;=원인분석!$C$11),"당기",IF(AND(M1953&gt;=원인분석!$C$12,M1953&lt;=원인분석!$C$13),"비교",""))))</f>
        <v/>
      </c>
      <c r="R1953" s="9">
        <f>IF(Q1953="","",$K1953&amp;"")</f>
        <v/>
      </c>
      <c r="S1953" s="9">
        <f>IF(Q1953="","",IF(MATCH(R1953,$R$5:$R$100000,0)=ROW()-4,ROW(),""))</f>
        <v/>
      </c>
      <c r="T1953" s="9">
        <f>IF(Q1953="당기",ABS(P1953)+ROW()/1000000000,"")</f>
        <v/>
      </c>
      <c r="U1953" s="9">
        <f>IF(Q1953="비교",ABS(P1953)+ROW()/1000000000,"")</f>
        <v/>
      </c>
      <c r="V1953" s="64">
        <f>IF($A1953="","",IF(COUNTIF(변동분석!$E$7:$E$506,O1953)&gt;0,"Y","N"))</f>
        <v/>
      </c>
      <c r="W1953" s="64">
        <f>IF($A1953="","",IFERROR(INDEX(계정매핑!$D$5:$D$504,MATCH($F1953&amp;"",계정매핑!$A$5:$A$504,0)),"미매핑"))</f>
        <v/>
      </c>
      <c r="X1953" s="9">
        <f>IF($A1953="","",$F1953&amp;"")</f>
        <v/>
      </c>
      <c r="Y1953" s="94">
        <f>IF($A1953="",0,IF(AE1953="직접",IF(AF1953="비귀속",$P1953,0),$P1953*(1-AG1953)*IFERROR(INDEX(계정대체기준!$F$20:$F$49,MATCH($N1953,계정대체기준!$A$20:$A$49,0)),1)))</f>
        <v/>
      </c>
      <c r="Z1953" s="94">
        <f>IF($A1953="",0,IF(AE1953="직접",IF(AF1953="신계약비",$P1953,0),$P1953*(1-AG1953)*IFERROR(INDEX(계정대체기준!$C$20:$C$49,MATCH($N1953,계정대체기준!$A$20:$A$49,0)),0)))</f>
        <v/>
      </c>
      <c r="AA1953" s="94">
        <f>IF($A1953="",0,IF(AE1953="직접",IF(OR(AF1953="유지비",AF1953="손해조사비"),$P1953,0),$P1953*(1-AG1953)*IFERROR(INDEX(계정대체기준!$D$20:$D$49,MATCH($N1953,계정대체기준!$A$20:$A$49,0)),0)))</f>
        <v/>
      </c>
      <c r="AB1953" s="94">
        <f>IF($A1953="",0,IF(AE1953="직접",IF(AF1953="수금비",$P1953,0),$P1953*(1-AG1953)*IFERROR(INDEX(계정대체기준!$E$20:$E$49,MATCH($N1953,계정대체기준!$A$20:$A$49,0)),0)))</f>
        <v/>
      </c>
      <c r="AC1953" s="9">
        <f>IF(AND($A1953&lt;&gt;"",M1953=설정!$C$20,Z1953&gt;0),Z1953+ROW()/1000000000,"")</f>
        <v/>
      </c>
      <c r="AD1953" s="94">
        <f>IF($A1953="",0,$P1953*AG1953)</f>
        <v/>
      </c>
      <c r="AE1953" s="64">
        <f>IF($A1953="","",IFERROR(INDEX(계정매핑!$E$5:$E$504,MATCH($F1953&amp;"",계정매핑!$A$5:$A$504,0))&amp;"","공통비"))</f>
        <v/>
      </c>
      <c r="AF1953" s="64">
        <f>IF($A1953="","",IF(AE1953="직접",IFERROR(INDEX(계정매핑!$F$5:$F$504,MATCH($F1953&amp;"",계정매핑!$A$5:$A$504,0))&amp;"","비귀속"),""))</f>
        <v/>
      </c>
      <c r="AG1953" s="96">
        <f>IF($A1953="",0,IF(AND(AE1953&lt;&gt;"직접",IFERROR(INDEX(계정매핑!$G$5:$G$504,MATCH($F1953&amp;"",계정매핑!$A$5:$A$504,0))&amp;"","")="유지비",COUNTIF(계정대체기준!$A$6:$A$15,$N1953)&gt;0),IFERROR(INDEX(계정대체기준!$E$6:$E$15,MATCH(VALUE($A1953&amp;""),계정대체기준!$D$6:$D$15,0)),0),0))</f>
        <v/>
      </c>
      <c r="AH1953" s="64">
        <f>IF($A1953="","",IF(AD1953=0,"",IF(OR(COUNTIF(계정대체기준!$A$77:$A$86,$N1953)&gt;0,ISNUMBER(MATCH($X1953,계정대체기준!$D$77:$D$86,0)),ISNUMBER(MATCH($F1953,계정대체기준!$D$77:$D$86,0))),"Y","N")))</f>
        <v/>
      </c>
    </row>
    <row r="1954">
      <c r="A1954" s="92" t="n">
        <v>2025</v>
      </c>
      <c r="B1954" s="92" t="n">
        <v>9</v>
      </c>
      <c r="C1954" s="92" t="inlineStr">
        <is>
          <t>5100001950</t>
        </is>
      </c>
      <c r="D1954" s="95" t="n">
        <v>45917</v>
      </c>
      <c r="E1954" s="92" t="inlineStr">
        <is>
          <t>KR</t>
        </is>
      </c>
      <c r="F1954" s="92" t="n">
        <v>62102000</v>
      </c>
      <c r="G1954" s="92" t="n">
        <v>1201</v>
      </c>
      <c r="H1954" s="93" t="n">
        <v>81000</v>
      </c>
      <c r="I1954" s="92" t="inlineStr">
        <is>
          <t>9월 해외출장 - M항공</t>
        </is>
      </c>
      <c r="J1954" s="92" t="inlineStr">
        <is>
          <t>V10001</t>
        </is>
      </c>
      <c r="K1954" s="92" t="inlineStr">
        <is>
          <t>M항공</t>
        </is>
      </c>
      <c r="M1954" s="9">
        <f>IF($A1954="","",VALUE($A1954&amp;"")*12+VALUE($B1954&amp;""))</f>
        <v/>
      </c>
      <c r="N1954" s="64">
        <f>IF($A1954="","",IFERROR(INDEX(부서매핑!$C$5:$C$504,MATCH($G1954&amp;"",부서매핑!$A$5:$A$504,0)),"미매핑"))</f>
        <v/>
      </c>
      <c r="O1954" s="9">
        <f>IF($A1954="","",N1954&amp;"|"&amp;$F1954)</f>
        <v/>
      </c>
      <c r="P1954" s="94">
        <f>IF($A1954="",0,$H1954*설정!$C$23)</f>
        <v/>
      </c>
      <c r="Q1954" s="64">
        <f>IF($A1954="","",IF(O1954&lt;&gt;원인분석!$C$9,"",IF(AND(M1954&gt;=원인분석!$C$10,M1954&lt;=원인분석!$C$11),"당기",IF(AND(M1954&gt;=원인분석!$C$12,M1954&lt;=원인분석!$C$13),"비교",""))))</f>
        <v/>
      </c>
      <c r="R1954" s="9">
        <f>IF(Q1954="","",$K1954&amp;"")</f>
        <v/>
      </c>
      <c r="S1954" s="9">
        <f>IF(Q1954="","",IF(MATCH(R1954,$R$5:$R$100000,0)=ROW()-4,ROW(),""))</f>
        <v/>
      </c>
      <c r="T1954" s="9">
        <f>IF(Q1954="당기",ABS(P1954)+ROW()/1000000000,"")</f>
        <v/>
      </c>
      <c r="U1954" s="9">
        <f>IF(Q1954="비교",ABS(P1954)+ROW()/1000000000,"")</f>
        <v/>
      </c>
      <c r="V1954" s="64">
        <f>IF($A1954="","",IF(COUNTIF(변동분석!$E$7:$E$506,O1954)&gt;0,"Y","N"))</f>
        <v/>
      </c>
      <c r="W1954" s="64">
        <f>IF($A1954="","",IFERROR(INDEX(계정매핑!$D$5:$D$504,MATCH($F1954&amp;"",계정매핑!$A$5:$A$504,0)),"미매핑"))</f>
        <v/>
      </c>
      <c r="X1954" s="9">
        <f>IF($A1954="","",$F1954&amp;"")</f>
        <v/>
      </c>
      <c r="Y1954" s="94">
        <f>IF($A1954="",0,IF(AE1954="직접",IF(AF1954="비귀속",$P1954,0),$P1954*(1-AG1954)*IFERROR(INDEX(계정대체기준!$F$20:$F$49,MATCH($N1954,계정대체기준!$A$20:$A$49,0)),1)))</f>
        <v/>
      </c>
      <c r="Z1954" s="94">
        <f>IF($A1954="",0,IF(AE1954="직접",IF(AF1954="신계약비",$P1954,0),$P1954*(1-AG1954)*IFERROR(INDEX(계정대체기준!$C$20:$C$49,MATCH($N1954,계정대체기준!$A$20:$A$49,0)),0)))</f>
        <v/>
      </c>
      <c r="AA1954" s="94">
        <f>IF($A1954="",0,IF(AE1954="직접",IF(OR(AF1954="유지비",AF1954="손해조사비"),$P1954,0),$P1954*(1-AG1954)*IFERROR(INDEX(계정대체기준!$D$20:$D$49,MATCH($N1954,계정대체기준!$A$20:$A$49,0)),0)))</f>
        <v/>
      </c>
      <c r="AB1954" s="94">
        <f>IF($A1954="",0,IF(AE1954="직접",IF(AF1954="수금비",$P1954,0),$P1954*(1-AG1954)*IFERROR(INDEX(계정대체기준!$E$20:$E$49,MATCH($N1954,계정대체기준!$A$20:$A$49,0)),0)))</f>
        <v/>
      </c>
      <c r="AC1954" s="9">
        <f>IF(AND($A1954&lt;&gt;"",M1954=설정!$C$20,Z1954&gt;0),Z1954+ROW()/1000000000,"")</f>
        <v/>
      </c>
      <c r="AD1954" s="94">
        <f>IF($A1954="",0,$P1954*AG1954)</f>
        <v/>
      </c>
      <c r="AE1954" s="64">
        <f>IF($A1954="","",IFERROR(INDEX(계정매핑!$E$5:$E$504,MATCH($F1954&amp;"",계정매핑!$A$5:$A$504,0))&amp;"","공통비"))</f>
        <v/>
      </c>
      <c r="AF1954" s="64">
        <f>IF($A1954="","",IF(AE1954="직접",IFERROR(INDEX(계정매핑!$F$5:$F$504,MATCH($F1954&amp;"",계정매핑!$A$5:$A$504,0))&amp;"","비귀속"),""))</f>
        <v/>
      </c>
      <c r="AG1954" s="96">
        <f>IF($A1954="",0,IF(AND(AE1954&lt;&gt;"직접",IFERROR(INDEX(계정매핑!$G$5:$G$504,MATCH($F1954&amp;"",계정매핑!$A$5:$A$504,0))&amp;"","")="유지비",COUNTIF(계정대체기준!$A$6:$A$15,$N1954)&gt;0),IFERROR(INDEX(계정대체기준!$E$6:$E$15,MATCH(VALUE($A1954&amp;""),계정대체기준!$D$6:$D$15,0)),0),0))</f>
        <v/>
      </c>
      <c r="AH1954" s="64">
        <f>IF($A1954="","",IF(AD1954=0,"",IF(OR(COUNTIF(계정대체기준!$A$77:$A$86,$N1954)&gt;0,ISNUMBER(MATCH($X1954,계정대체기준!$D$77:$D$86,0)),ISNUMBER(MATCH($F1954,계정대체기준!$D$77:$D$86,0))),"Y","N")))</f>
        <v/>
      </c>
    </row>
    <row r="1955">
      <c r="A1955" s="92" t="n">
        <v>2025</v>
      </c>
      <c r="B1955" s="92" t="n">
        <v>9</v>
      </c>
      <c r="C1955" s="92" t="inlineStr">
        <is>
          <t>5100001951</t>
        </is>
      </c>
      <c r="D1955" s="95" t="n">
        <v>45917</v>
      </c>
      <c r="E1955" s="92" t="inlineStr">
        <is>
          <t>KR</t>
        </is>
      </c>
      <c r="F1955" s="92" t="n">
        <v>62102000</v>
      </c>
      <c r="G1955" s="92" t="n">
        <v>1601</v>
      </c>
      <c r="H1955" s="93" t="n">
        <v>281000</v>
      </c>
      <c r="I1955" s="92" t="inlineStr">
        <is>
          <t>9월 해외출장 - N호텔</t>
        </is>
      </c>
      <c r="J1955" s="92" t="inlineStr">
        <is>
          <t>V10009</t>
        </is>
      </c>
      <c r="K1955" s="92" t="inlineStr">
        <is>
          <t>N호텔</t>
        </is>
      </c>
      <c r="M1955" s="9">
        <f>IF($A1955="","",VALUE($A1955&amp;"")*12+VALUE($B1955&amp;""))</f>
        <v/>
      </c>
      <c r="N1955" s="64">
        <f>IF($A1955="","",IFERROR(INDEX(부서매핑!$C$5:$C$504,MATCH($G1955&amp;"",부서매핑!$A$5:$A$504,0)),"미매핑"))</f>
        <v/>
      </c>
      <c r="O1955" s="9">
        <f>IF($A1955="","",N1955&amp;"|"&amp;$F1955)</f>
        <v/>
      </c>
      <c r="P1955" s="94">
        <f>IF($A1955="",0,$H1955*설정!$C$23)</f>
        <v/>
      </c>
      <c r="Q1955" s="64">
        <f>IF($A1955="","",IF(O1955&lt;&gt;원인분석!$C$9,"",IF(AND(M1955&gt;=원인분석!$C$10,M1955&lt;=원인분석!$C$11),"당기",IF(AND(M1955&gt;=원인분석!$C$12,M1955&lt;=원인분석!$C$13),"비교",""))))</f>
        <v/>
      </c>
      <c r="R1955" s="9">
        <f>IF(Q1955="","",$K1955&amp;"")</f>
        <v/>
      </c>
      <c r="S1955" s="9">
        <f>IF(Q1955="","",IF(MATCH(R1955,$R$5:$R$100000,0)=ROW()-4,ROW(),""))</f>
        <v/>
      </c>
      <c r="T1955" s="9">
        <f>IF(Q1955="당기",ABS(P1955)+ROW()/1000000000,"")</f>
        <v/>
      </c>
      <c r="U1955" s="9">
        <f>IF(Q1955="비교",ABS(P1955)+ROW()/1000000000,"")</f>
        <v/>
      </c>
      <c r="V1955" s="64">
        <f>IF($A1955="","",IF(COUNTIF(변동분석!$E$7:$E$506,O1955)&gt;0,"Y","N"))</f>
        <v/>
      </c>
      <c r="W1955" s="64">
        <f>IF($A1955="","",IFERROR(INDEX(계정매핑!$D$5:$D$504,MATCH($F1955&amp;"",계정매핑!$A$5:$A$504,0)),"미매핑"))</f>
        <v/>
      </c>
      <c r="X1955" s="9">
        <f>IF($A1955="","",$F1955&amp;"")</f>
        <v/>
      </c>
      <c r="Y1955" s="94">
        <f>IF($A1955="",0,IF(AE1955="직접",IF(AF1955="비귀속",$P1955,0),$P1955*(1-AG1955)*IFERROR(INDEX(계정대체기준!$F$20:$F$49,MATCH($N1955,계정대체기준!$A$20:$A$49,0)),1)))</f>
        <v/>
      </c>
      <c r="Z1955" s="94">
        <f>IF($A1955="",0,IF(AE1955="직접",IF(AF1955="신계약비",$P1955,0),$P1955*(1-AG1955)*IFERROR(INDEX(계정대체기준!$C$20:$C$49,MATCH($N1955,계정대체기준!$A$20:$A$49,0)),0)))</f>
        <v/>
      </c>
      <c r="AA1955" s="94">
        <f>IF($A1955="",0,IF(AE1955="직접",IF(OR(AF1955="유지비",AF1955="손해조사비"),$P1955,0),$P1955*(1-AG1955)*IFERROR(INDEX(계정대체기준!$D$20:$D$49,MATCH($N1955,계정대체기준!$A$20:$A$49,0)),0)))</f>
        <v/>
      </c>
      <c r="AB1955" s="94">
        <f>IF($A1955="",0,IF(AE1955="직접",IF(AF1955="수금비",$P1955,0),$P1955*(1-AG1955)*IFERROR(INDEX(계정대체기준!$E$20:$E$49,MATCH($N1955,계정대체기준!$A$20:$A$49,0)),0)))</f>
        <v/>
      </c>
      <c r="AC1955" s="9">
        <f>IF(AND($A1955&lt;&gt;"",M1955=설정!$C$20,Z1955&gt;0),Z1955+ROW()/1000000000,"")</f>
        <v/>
      </c>
      <c r="AD1955" s="94">
        <f>IF($A1955="",0,$P1955*AG1955)</f>
        <v/>
      </c>
      <c r="AE1955" s="64">
        <f>IF($A1955="","",IFERROR(INDEX(계정매핑!$E$5:$E$504,MATCH($F1955&amp;"",계정매핑!$A$5:$A$504,0))&amp;"","공통비"))</f>
        <v/>
      </c>
      <c r="AF1955" s="64">
        <f>IF($A1955="","",IF(AE1955="직접",IFERROR(INDEX(계정매핑!$F$5:$F$504,MATCH($F1955&amp;"",계정매핑!$A$5:$A$504,0))&amp;"","비귀속"),""))</f>
        <v/>
      </c>
      <c r="AG1955" s="96">
        <f>IF($A1955="",0,IF(AND(AE1955&lt;&gt;"직접",IFERROR(INDEX(계정매핑!$G$5:$G$504,MATCH($F1955&amp;"",계정매핑!$A$5:$A$504,0))&amp;"","")="유지비",COUNTIF(계정대체기준!$A$6:$A$15,$N1955)&gt;0),IFERROR(INDEX(계정대체기준!$E$6:$E$15,MATCH(VALUE($A1955&amp;""),계정대체기준!$D$6:$D$15,0)),0),0))</f>
        <v/>
      </c>
      <c r="AH1955" s="64">
        <f>IF($A1955="","",IF(AD1955=0,"",IF(OR(COUNTIF(계정대체기준!$A$77:$A$86,$N1955)&gt;0,ISNUMBER(MATCH($X1955,계정대체기준!$D$77:$D$86,0)),ISNUMBER(MATCH($F1955,계정대체기준!$D$77:$D$86,0))),"Y","N")))</f>
        <v/>
      </c>
    </row>
    <row r="1956">
      <c r="A1956" s="92" t="n">
        <v>2025</v>
      </c>
      <c r="B1956" s="92" t="n">
        <v>9</v>
      </c>
      <c r="C1956" s="92" t="inlineStr">
        <is>
          <t>5100001952</t>
        </is>
      </c>
      <c r="D1956" s="95" t="n">
        <v>45917</v>
      </c>
      <c r="E1956" s="92" t="inlineStr">
        <is>
          <t>KR</t>
        </is>
      </c>
      <c r="F1956" s="92" t="n">
        <v>62201000</v>
      </c>
      <c r="G1956" s="92" t="n">
        <v>1502</v>
      </c>
      <c r="H1956" s="93" t="n">
        <v>628000</v>
      </c>
      <c r="I1956" s="92" t="inlineStr">
        <is>
          <t>9월 통신요금 - P통신</t>
        </is>
      </c>
      <c r="J1956" s="92" t="inlineStr">
        <is>
          <t>V10014</t>
        </is>
      </c>
      <c r="K1956" s="92" t="inlineStr">
        <is>
          <t>P통신</t>
        </is>
      </c>
      <c r="M1956" s="9">
        <f>IF($A1956="","",VALUE($A1956&amp;"")*12+VALUE($B1956&amp;""))</f>
        <v/>
      </c>
      <c r="N1956" s="64">
        <f>IF($A1956="","",IFERROR(INDEX(부서매핑!$C$5:$C$504,MATCH($G1956&amp;"",부서매핑!$A$5:$A$504,0)),"미매핑"))</f>
        <v/>
      </c>
      <c r="O1956" s="9">
        <f>IF($A1956="","",N1956&amp;"|"&amp;$F1956)</f>
        <v/>
      </c>
      <c r="P1956" s="94">
        <f>IF($A1956="",0,$H1956*설정!$C$23)</f>
        <v/>
      </c>
      <c r="Q1956" s="64">
        <f>IF($A1956="","",IF(O1956&lt;&gt;원인분석!$C$9,"",IF(AND(M1956&gt;=원인분석!$C$10,M1956&lt;=원인분석!$C$11),"당기",IF(AND(M1956&gt;=원인분석!$C$12,M1956&lt;=원인분석!$C$13),"비교",""))))</f>
        <v/>
      </c>
      <c r="R1956" s="9">
        <f>IF(Q1956="","",$K1956&amp;"")</f>
        <v/>
      </c>
      <c r="S1956" s="9">
        <f>IF(Q1956="","",IF(MATCH(R1956,$R$5:$R$100000,0)=ROW()-4,ROW(),""))</f>
        <v/>
      </c>
      <c r="T1956" s="9">
        <f>IF(Q1956="당기",ABS(P1956)+ROW()/1000000000,"")</f>
        <v/>
      </c>
      <c r="U1956" s="9">
        <f>IF(Q1956="비교",ABS(P1956)+ROW()/1000000000,"")</f>
        <v/>
      </c>
      <c r="V1956" s="64">
        <f>IF($A1956="","",IF(COUNTIF(변동분석!$E$7:$E$506,O1956)&gt;0,"Y","N"))</f>
        <v/>
      </c>
      <c r="W1956" s="64">
        <f>IF($A1956="","",IFERROR(INDEX(계정매핑!$D$5:$D$504,MATCH($F1956&amp;"",계정매핑!$A$5:$A$504,0)),"미매핑"))</f>
        <v/>
      </c>
      <c r="X1956" s="9">
        <f>IF($A1956="","",$F1956&amp;"")</f>
        <v/>
      </c>
      <c r="Y1956" s="94">
        <f>IF($A1956="",0,IF(AE1956="직접",IF(AF1956="비귀속",$P1956,0),$P1956*(1-AG1956)*IFERROR(INDEX(계정대체기준!$F$20:$F$49,MATCH($N1956,계정대체기준!$A$20:$A$49,0)),1)))</f>
        <v/>
      </c>
      <c r="Z1956" s="94">
        <f>IF($A1956="",0,IF(AE1956="직접",IF(AF1956="신계약비",$P1956,0),$P1956*(1-AG1956)*IFERROR(INDEX(계정대체기준!$C$20:$C$49,MATCH($N1956,계정대체기준!$A$20:$A$49,0)),0)))</f>
        <v/>
      </c>
      <c r="AA1956" s="94">
        <f>IF($A1956="",0,IF(AE1956="직접",IF(OR(AF1956="유지비",AF1956="손해조사비"),$P1956,0),$P1956*(1-AG1956)*IFERROR(INDEX(계정대체기준!$D$20:$D$49,MATCH($N1956,계정대체기준!$A$20:$A$49,0)),0)))</f>
        <v/>
      </c>
      <c r="AB1956" s="94">
        <f>IF($A1956="",0,IF(AE1956="직접",IF(AF1956="수금비",$P1956,0),$P1956*(1-AG1956)*IFERROR(INDEX(계정대체기준!$E$20:$E$49,MATCH($N1956,계정대체기준!$A$20:$A$49,0)),0)))</f>
        <v/>
      </c>
      <c r="AC1956" s="9">
        <f>IF(AND($A1956&lt;&gt;"",M1956=설정!$C$20,Z1956&gt;0),Z1956+ROW()/1000000000,"")</f>
        <v/>
      </c>
      <c r="AD1956" s="94">
        <f>IF($A1956="",0,$P1956*AG1956)</f>
        <v/>
      </c>
      <c r="AE1956" s="64">
        <f>IF($A1956="","",IFERROR(INDEX(계정매핑!$E$5:$E$504,MATCH($F1956&amp;"",계정매핑!$A$5:$A$504,0))&amp;"","공통비"))</f>
        <v/>
      </c>
      <c r="AF1956" s="64">
        <f>IF($A1956="","",IF(AE1956="직접",IFERROR(INDEX(계정매핑!$F$5:$F$504,MATCH($F1956&amp;"",계정매핑!$A$5:$A$504,0))&amp;"","비귀속"),""))</f>
        <v/>
      </c>
      <c r="AG1956" s="96">
        <f>IF($A1956="",0,IF(AND(AE1956&lt;&gt;"직접",IFERROR(INDEX(계정매핑!$G$5:$G$504,MATCH($F1956&amp;"",계정매핑!$A$5:$A$504,0))&amp;"","")="유지비",COUNTIF(계정대체기준!$A$6:$A$15,$N1956)&gt;0),IFERROR(INDEX(계정대체기준!$E$6:$E$15,MATCH(VALUE($A1956&amp;""),계정대체기준!$D$6:$D$15,0)),0),0))</f>
        <v/>
      </c>
      <c r="AH1956" s="64">
        <f>IF($A1956="","",IF(AD1956=0,"",IF(OR(COUNTIF(계정대체기준!$A$77:$A$86,$N1956)&gt;0,ISNUMBER(MATCH($X1956,계정대체기준!$D$77:$D$86,0)),ISNUMBER(MATCH($F1956,계정대체기준!$D$77:$D$86,0))),"Y","N")))</f>
        <v/>
      </c>
    </row>
    <row r="1957">
      <c r="A1957" s="92" t="n">
        <v>2025</v>
      </c>
      <c r="B1957" s="92" t="n">
        <v>9</v>
      </c>
      <c r="C1957" s="92" t="inlineStr">
        <is>
          <t>5100001953</t>
        </is>
      </c>
      <c r="D1957" s="95" t="n">
        <v>45917</v>
      </c>
      <c r="E1957" s="92" t="inlineStr">
        <is>
          <t>KR</t>
        </is>
      </c>
      <c r="F1957" s="92" t="n">
        <v>62201000</v>
      </c>
      <c r="G1957" s="92" t="n">
        <v>1801</v>
      </c>
      <c r="H1957" s="93" t="n">
        <v>5959000</v>
      </c>
      <c r="I1957" s="92" t="inlineStr">
        <is>
          <t>9월 통신요금 - O텔레콤</t>
        </is>
      </c>
      <c r="J1957" s="92" t="inlineStr">
        <is>
          <t>V10002</t>
        </is>
      </c>
      <c r="K1957" s="92" t="inlineStr">
        <is>
          <t>O텔레콤</t>
        </is>
      </c>
      <c r="M1957" s="9">
        <f>IF($A1957="","",VALUE($A1957&amp;"")*12+VALUE($B1957&amp;""))</f>
        <v/>
      </c>
      <c r="N1957" s="64">
        <f>IF($A1957="","",IFERROR(INDEX(부서매핑!$C$5:$C$504,MATCH($G1957&amp;"",부서매핑!$A$5:$A$504,0)),"미매핑"))</f>
        <v/>
      </c>
      <c r="O1957" s="9">
        <f>IF($A1957="","",N1957&amp;"|"&amp;$F1957)</f>
        <v/>
      </c>
      <c r="P1957" s="94">
        <f>IF($A1957="",0,$H1957*설정!$C$23)</f>
        <v/>
      </c>
      <c r="Q1957" s="64">
        <f>IF($A1957="","",IF(O1957&lt;&gt;원인분석!$C$9,"",IF(AND(M1957&gt;=원인분석!$C$10,M1957&lt;=원인분석!$C$11),"당기",IF(AND(M1957&gt;=원인분석!$C$12,M1957&lt;=원인분석!$C$13),"비교",""))))</f>
        <v/>
      </c>
      <c r="R1957" s="9">
        <f>IF(Q1957="","",$K1957&amp;"")</f>
        <v/>
      </c>
      <c r="S1957" s="9">
        <f>IF(Q1957="","",IF(MATCH(R1957,$R$5:$R$100000,0)=ROW()-4,ROW(),""))</f>
        <v/>
      </c>
      <c r="T1957" s="9">
        <f>IF(Q1957="당기",ABS(P1957)+ROW()/1000000000,"")</f>
        <v/>
      </c>
      <c r="U1957" s="9">
        <f>IF(Q1957="비교",ABS(P1957)+ROW()/1000000000,"")</f>
        <v/>
      </c>
      <c r="V1957" s="64">
        <f>IF($A1957="","",IF(COUNTIF(변동분석!$E$7:$E$506,O1957)&gt;0,"Y","N"))</f>
        <v/>
      </c>
      <c r="W1957" s="64">
        <f>IF($A1957="","",IFERROR(INDEX(계정매핑!$D$5:$D$504,MATCH($F1957&amp;"",계정매핑!$A$5:$A$504,0)),"미매핑"))</f>
        <v/>
      </c>
      <c r="X1957" s="9">
        <f>IF($A1957="","",$F1957&amp;"")</f>
        <v/>
      </c>
      <c r="Y1957" s="94">
        <f>IF($A1957="",0,IF(AE1957="직접",IF(AF1957="비귀속",$P1957,0),$P1957*(1-AG1957)*IFERROR(INDEX(계정대체기준!$F$20:$F$49,MATCH($N1957,계정대체기준!$A$20:$A$49,0)),1)))</f>
        <v/>
      </c>
      <c r="Z1957" s="94">
        <f>IF($A1957="",0,IF(AE1957="직접",IF(AF1957="신계약비",$P1957,0),$P1957*(1-AG1957)*IFERROR(INDEX(계정대체기준!$C$20:$C$49,MATCH($N1957,계정대체기준!$A$20:$A$49,0)),0)))</f>
        <v/>
      </c>
      <c r="AA1957" s="94">
        <f>IF($A1957="",0,IF(AE1957="직접",IF(OR(AF1957="유지비",AF1957="손해조사비"),$P1957,0),$P1957*(1-AG1957)*IFERROR(INDEX(계정대체기준!$D$20:$D$49,MATCH($N1957,계정대체기준!$A$20:$A$49,0)),0)))</f>
        <v/>
      </c>
      <c r="AB1957" s="94">
        <f>IF($A1957="",0,IF(AE1957="직접",IF(AF1957="수금비",$P1957,0),$P1957*(1-AG1957)*IFERROR(INDEX(계정대체기준!$E$20:$E$49,MATCH($N1957,계정대체기준!$A$20:$A$49,0)),0)))</f>
        <v/>
      </c>
      <c r="AC1957" s="9">
        <f>IF(AND($A1957&lt;&gt;"",M1957=설정!$C$20,Z1957&gt;0),Z1957+ROW()/1000000000,"")</f>
        <v/>
      </c>
      <c r="AD1957" s="94">
        <f>IF($A1957="",0,$P1957*AG1957)</f>
        <v/>
      </c>
      <c r="AE1957" s="64">
        <f>IF($A1957="","",IFERROR(INDEX(계정매핑!$E$5:$E$504,MATCH($F1957&amp;"",계정매핑!$A$5:$A$504,0))&amp;"","공통비"))</f>
        <v/>
      </c>
      <c r="AF1957" s="64">
        <f>IF($A1957="","",IF(AE1957="직접",IFERROR(INDEX(계정매핑!$F$5:$F$504,MATCH($F1957&amp;"",계정매핑!$A$5:$A$504,0))&amp;"","비귀속"),""))</f>
        <v/>
      </c>
      <c r="AG1957" s="96">
        <f>IF($A1957="",0,IF(AND(AE1957&lt;&gt;"직접",IFERROR(INDEX(계정매핑!$G$5:$G$504,MATCH($F1957&amp;"",계정매핑!$A$5:$A$504,0))&amp;"","")="유지비",COUNTIF(계정대체기준!$A$6:$A$15,$N1957)&gt;0),IFERROR(INDEX(계정대체기준!$E$6:$E$15,MATCH(VALUE($A1957&amp;""),계정대체기준!$D$6:$D$15,0)),0),0))</f>
        <v/>
      </c>
      <c r="AH1957" s="64">
        <f>IF($A1957="","",IF(AD1957=0,"",IF(OR(COUNTIF(계정대체기준!$A$77:$A$86,$N1957)&gt;0,ISNUMBER(MATCH($X1957,계정대체기준!$D$77:$D$86,0)),ISNUMBER(MATCH($F1957,계정대체기준!$D$77:$D$86,0))),"Y","N")))</f>
        <v/>
      </c>
    </row>
    <row r="1958">
      <c r="A1958" s="92" t="n">
        <v>2025</v>
      </c>
      <c r="B1958" s="92" t="n">
        <v>9</v>
      </c>
      <c r="C1958" s="92" t="inlineStr">
        <is>
          <t>5100001954</t>
        </is>
      </c>
      <c r="D1958" s="95" t="n">
        <v>45917</v>
      </c>
      <c r="E1958" s="92" t="inlineStr">
        <is>
          <t>KR</t>
        </is>
      </c>
      <c r="F1958" s="92" t="n">
        <v>62301000</v>
      </c>
      <c r="G1958" s="92" t="n">
        <v>1801</v>
      </c>
      <c r="H1958" s="93" t="n">
        <v>362000</v>
      </c>
      <c r="I1958" s="92" t="inlineStr">
        <is>
          <t>9월 소모품 구입 - R문구</t>
        </is>
      </c>
      <c r="J1958" s="92" t="inlineStr">
        <is>
          <t>V10022</t>
        </is>
      </c>
      <c r="K1958" s="92" t="inlineStr">
        <is>
          <t>R문구</t>
        </is>
      </c>
      <c r="M1958" s="9">
        <f>IF($A1958="","",VALUE($A1958&amp;"")*12+VALUE($B1958&amp;""))</f>
        <v/>
      </c>
      <c r="N1958" s="64">
        <f>IF($A1958="","",IFERROR(INDEX(부서매핑!$C$5:$C$504,MATCH($G1958&amp;"",부서매핑!$A$5:$A$504,0)),"미매핑"))</f>
        <v/>
      </c>
      <c r="O1958" s="9">
        <f>IF($A1958="","",N1958&amp;"|"&amp;$F1958)</f>
        <v/>
      </c>
      <c r="P1958" s="94">
        <f>IF($A1958="",0,$H1958*설정!$C$23)</f>
        <v/>
      </c>
      <c r="Q1958" s="64">
        <f>IF($A1958="","",IF(O1958&lt;&gt;원인분석!$C$9,"",IF(AND(M1958&gt;=원인분석!$C$10,M1958&lt;=원인분석!$C$11),"당기",IF(AND(M1958&gt;=원인분석!$C$12,M1958&lt;=원인분석!$C$13),"비교",""))))</f>
        <v/>
      </c>
      <c r="R1958" s="9">
        <f>IF(Q1958="","",$K1958&amp;"")</f>
        <v/>
      </c>
      <c r="S1958" s="9">
        <f>IF(Q1958="","",IF(MATCH(R1958,$R$5:$R$100000,0)=ROW()-4,ROW(),""))</f>
        <v/>
      </c>
      <c r="T1958" s="9">
        <f>IF(Q1958="당기",ABS(P1958)+ROW()/1000000000,"")</f>
        <v/>
      </c>
      <c r="U1958" s="9">
        <f>IF(Q1958="비교",ABS(P1958)+ROW()/1000000000,"")</f>
        <v/>
      </c>
      <c r="V1958" s="64">
        <f>IF($A1958="","",IF(COUNTIF(변동분석!$E$7:$E$506,O1958)&gt;0,"Y","N"))</f>
        <v/>
      </c>
      <c r="W1958" s="64">
        <f>IF($A1958="","",IFERROR(INDEX(계정매핑!$D$5:$D$504,MATCH($F1958&amp;"",계정매핑!$A$5:$A$504,0)),"미매핑"))</f>
        <v/>
      </c>
      <c r="X1958" s="9">
        <f>IF($A1958="","",$F1958&amp;"")</f>
        <v/>
      </c>
      <c r="Y1958" s="94">
        <f>IF($A1958="",0,IF(AE1958="직접",IF(AF1958="비귀속",$P1958,0),$P1958*(1-AG1958)*IFERROR(INDEX(계정대체기준!$F$20:$F$49,MATCH($N1958,계정대체기준!$A$20:$A$49,0)),1)))</f>
        <v/>
      </c>
      <c r="Z1958" s="94">
        <f>IF($A1958="",0,IF(AE1958="직접",IF(AF1958="신계약비",$P1958,0),$P1958*(1-AG1958)*IFERROR(INDEX(계정대체기준!$C$20:$C$49,MATCH($N1958,계정대체기준!$A$20:$A$49,0)),0)))</f>
        <v/>
      </c>
      <c r="AA1958" s="94">
        <f>IF($A1958="",0,IF(AE1958="직접",IF(OR(AF1958="유지비",AF1958="손해조사비"),$P1958,0),$P1958*(1-AG1958)*IFERROR(INDEX(계정대체기준!$D$20:$D$49,MATCH($N1958,계정대체기준!$A$20:$A$49,0)),0)))</f>
        <v/>
      </c>
      <c r="AB1958" s="94">
        <f>IF($A1958="",0,IF(AE1958="직접",IF(AF1958="수금비",$P1958,0),$P1958*(1-AG1958)*IFERROR(INDEX(계정대체기준!$E$20:$E$49,MATCH($N1958,계정대체기준!$A$20:$A$49,0)),0)))</f>
        <v/>
      </c>
      <c r="AC1958" s="9">
        <f>IF(AND($A1958&lt;&gt;"",M1958=설정!$C$20,Z1958&gt;0),Z1958+ROW()/1000000000,"")</f>
        <v/>
      </c>
      <c r="AD1958" s="94">
        <f>IF($A1958="",0,$P1958*AG1958)</f>
        <v/>
      </c>
      <c r="AE1958" s="64">
        <f>IF($A1958="","",IFERROR(INDEX(계정매핑!$E$5:$E$504,MATCH($F1958&amp;"",계정매핑!$A$5:$A$504,0))&amp;"","공통비"))</f>
        <v/>
      </c>
      <c r="AF1958" s="64">
        <f>IF($A1958="","",IF(AE1958="직접",IFERROR(INDEX(계정매핑!$F$5:$F$504,MATCH($F1958&amp;"",계정매핑!$A$5:$A$504,0))&amp;"","비귀속"),""))</f>
        <v/>
      </c>
      <c r="AG1958" s="96">
        <f>IF($A1958="",0,IF(AND(AE1958&lt;&gt;"직접",IFERROR(INDEX(계정매핑!$G$5:$G$504,MATCH($F1958&amp;"",계정매핑!$A$5:$A$504,0))&amp;"","")="유지비",COUNTIF(계정대체기준!$A$6:$A$15,$N1958)&gt;0),IFERROR(INDEX(계정대체기준!$E$6:$E$15,MATCH(VALUE($A1958&amp;""),계정대체기준!$D$6:$D$15,0)),0),0))</f>
        <v/>
      </c>
      <c r="AH1958" s="64">
        <f>IF($A1958="","",IF(AD1958=0,"",IF(OR(COUNTIF(계정대체기준!$A$77:$A$86,$N1958)&gt;0,ISNUMBER(MATCH($X1958,계정대체기준!$D$77:$D$86,0)),ISNUMBER(MATCH($F1958,계정대체기준!$D$77:$D$86,0))),"Y","N")))</f>
        <v/>
      </c>
    </row>
    <row r="1959">
      <c r="A1959" s="92" t="n">
        <v>2025</v>
      </c>
      <c r="B1959" s="92" t="n">
        <v>9</v>
      </c>
      <c r="C1959" s="92" t="inlineStr">
        <is>
          <t>5100001955</t>
        </is>
      </c>
      <c r="D1959" s="95" t="n">
        <v>45917</v>
      </c>
      <c r="E1959" s="92" t="inlineStr">
        <is>
          <t>KR</t>
        </is>
      </c>
      <c r="F1959" s="92" t="n">
        <v>62401000</v>
      </c>
      <c r="G1959" s="92" t="n">
        <v>1401</v>
      </c>
      <c r="H1959" s="93" t="n">
        <v>459000</v>
      </c>
      <c r="I1959" s="92" t="inlineStr">
        <is>
          <t>9월 인쇄물 제작 - G인쇄</t>
        </is>
      </c>
      <c r="J1959" s="92" t="inlineStr">
        <is>
          <t>V10004</t>
        </is>
      </c>
      <c r="K1959" s="92" t="inlineStr">
        <is>
          <t>G인쇄</t>
        </is>
      </c>
      <c r="M1959" s="9">
        <f>IF($A1959="","",VALUE($A1959&amp;"")*12+VALUE($B1959&amp;""))</f>
        <v/>
      </c>
      <c r="N1959" s="64">
        <f>IF($A1959="","",IFERROR(INDEX(부서매핑!$C$5:$C$504,MATCH($G1959&amp;"",부서매핑!$A$5:$A$504,0)),"미매핑"))</f>
        <v/>
      </c>
      <c r="O1959" s="9">
        <f>IF($A1959="","",N1959&amp;"|"&amp;$F1959)</f>
        <v/>
      </c>
      <c r="P1959" s="94">
        <f>IF($A1959="",0,$H1959*설정!$C$23)</f>
        <v/>
      </c>
      <c r="Q1959" s="64">
        <f>IF($A1959="","",IF(O1959&lt;&gt;원인분석!$C$9,"",IF(AND(M1959&gt;=원인분석!$C$10,M1959&lt;=원인분석!$C$11),"당기",IF(AND(M1959&gt;=원인분석!$C$12,M1959&lt;=원인분석!$C$13),"비교",""))))</f>
        <v/>
      </c>
      <c r="R1959" s="9">
        <f>IF(Q1959="","",$K1959&amp;"")</f>
        <v/>
      </c>
      <c r="S1959" s="9">
        <f>IF(Q1959="","",IF(MATCH(R1959,$R$5:$R$100000,0)=ROW()-4,ROW(),""))</f>
        <v/>
      </c>
      <c r="T1959" s="9">
        <f>IF(Q1959="당기",ABS(P1959)+ROW()/1000000000,"")</f>
        <v/>
      </c>
      <c r="U1959" s="9">
        <f>IF(Q1959="비교",ABS(P1959)+ROW()/1000000000,"")</f>
        <v/>
      </c>
      <c r="V1959" s="64">
        <f>IF($A1959="","",IF(COUNTIF(변동분석!$E$7:$E$506,O1959)&gt;0,"Y","N"))</f>
        <v/>
      </c>
      <c r="W1959" s="64">
        <f>IF($A1959="","",IFERROR(INDEX(계정매핑!$D$5:$D$504,MATCH($F1959&amp;"",계정매핑!$A$5:$A$504,0)),"미매핑"))</f>
        <v/>
      </c>
      <c r="X1959" s="9">
        <f>IF($A1959="","",$F1959&amp;"")</f>
        <v/>
      </c>
      <c r="Y1959" s="94">
        <f>IF($A1959="",0,IF(AE1959="직접",IF(AF1959="비귀속",$P1959,0),$P1959*(1-AG1959)*IFERROR(INDEX(계정대체기준!$F$20:$F$49,MATCH($N1959,계정대체기준!$A$20:$A$49,0)),1)))</f>
        <v/>
      </c>
      <c r="Z1959" s="94">
        <f>IF($A1959="",0,IF(AE1959="직접",IF(AF1959="신계약비",$P1959,0),$P1959*(1-AG1959)*IFERROR(INDEX(계정대체기준!$C$20:$C$49,MATCH($N1959,계정대체기준!$A$20:$A$49,0)),0)))</f>
        <v/>
      </c>
      <c r="AA1959" s="94">
        <f>IF($A1959="",0,IF(AE1959="직접",IF(OR(AF1959="유지비",AF1959="손해조사비"),$P1959,0),$P1959*(1-AG1959)*IFERROR(INDEX(계정대체기준!$D$20:$D$49,MATCH($N1959,계정대체기준!$A$20:$A$49,0)),0)))</f>
        <v/>
      </c>
      <c r="AB1959" s="94">
        <f>IF($A1959="",0,IF(AE1959="직접",IF(AF1959="수금비",$P1959,0),$P1959*(1-AG1959)*IFERROR(INDEX(계정대체기준!$E$20:$E$49,MATCH($N1959,계정대체기준!$A$20:$A$49,0)),0)))</f>
        <v/>
      </c>
      <c r="AC1959" s="9">
        <f>IF(AND($A1959&lt;&gt;"",M1959=설정!$C$20,Z1959&gt;0),Z1959+ROW()/1000000000,"")</f>
        <v/>
      </c>
      <c r="AD1959" s="94">
        <f>IF($A1959="",0,$P1959*AG1959)</f>
        <v/>
      </c>
      <c r="AE1959" s="64">
        <f>IF($A1959="","",IFERROR(INDEX(계정매핑!$E$5:$E$504,MATCH($F1959&amp;"",계정매핑!$A$5:$A$504,0))&amp;"","공통비"))</f>
        <v/>
      </c>
      <c r="AF1959" s="64">
        <f>IF($A1959="","",IF(AE1959="직접",IFERROR(INDEX(계정매핑!$F$5:$F$504,MATCH($F1959&amp;"",계정매핑!$A$5:$A$504,0))&amp;"","비귀속"),""))</f>
        <v/>
      </c>
      <c r="AG1959" s="96">
        <f>IF($A1959="",0,IF(AND(AE1959&lt;&gt;"직접",IFERROR(INDEX(계정매핑!$G$5:$G$504,MATCH($F1959&amp;"",계정매핑!$A$5:$A$504,0))&amp;"","")="유지비",COUNTIF(계정대체기준!$A$6:$A$15,$N1959)&gt;0),IFERROR(INDEX(계정대체기준!$E$6:$E$15,MATCH(VALUE($A1959&amp;""),계정대체기준!$D$6:$D$15,0)),0),0))</f>
        <v/>
      </c>
      <c r="AH1959" s="64">
        <f>IF($A1959="","",IF(AD1959=0,"",IF(OR(COUNTIF(계정대체기준!$A$77:$A$86,$N1959)&gt;0,ISNUMBER(MATCH($X1959,계정대체기준!$D$77:$D$86,0)),ISNUMBER(MATCH($F1959,계정대체기준!$D$77:$D$86,0))),"Y","N")))</f>
        <v/>
      </c>
    </row>
    <row r="1960">
      <c r="A1960" s="92" t="n">
        <v>2025</v>
      </c>
      <c r="B1960" s="92" t="n">
        <v>9</v>
      </c>
      <c r="C1960" s="92" t="inlineStr">
        <is>
          <t>5100001956</t>
        </is>
      </c>
      <c r="D1960" s="95" t="n">
        <v>45917</v>
      </c>
      <c r="E1960" s="92" t="inlineStr">
        <is>
          <t>KR</t>
        </is>
      </c>
      <c r="F1960" s="92" t="n">
        <v>62902000</v>
      </c>
      <c r="G1960" s="92" t="n">
        <v>1801</v>
      </c>
      <c r="H1960" s="93" t="n">
        <v>1780000</v>
      </c>
      <c r="I1960" s="92" t="inlineStr">
        <is>
          <t>9월 콜 위탁 수수료(건별)</t>
        </is>
      </c>
      <c r="J1960" s="92" t="inlineStr">
        <is>
          <t>V10016</t>
        </is>
      </c>
      <c r="K1960" s="92" t="inlineStr">
        <is>
          <t>J콜센터</t>
        </is>
      </c>
      <c r="M1960" s="9">
        <f>IF($A1960="","",VALUE($A1960&amp;"")*12+VALUE($B1960&amp;""))</f>
        <v/>
      </c>
      <c r="N1960" s="64">
        <f>IF($A1960="","",IFERROR(INDEX(부서매핑!$C$5:$C$504,MATCH($G1960&amp;"",부서매핑!$A$5:$A$504,0)),"미매핑"))</f>
        <v/>
      </c>
      <c r="O1960" s="9">
        <f>IF($A1960="","",N1960&amp;"|"&amp;$F1960)</f>
        <v/>
      </c>
      <c r="P1960" s="94">
        <f>IF($A1960="",0,$H1960*설정!$C$23)</f>
        <v/>
      </c>
      <c r="Q1960" s="64">
        <f>IF($A1960="","",IF(O1960&lt;&gt;원인분석!$C$9,"",IF(AND(M1960&gt;=원인분석!$C$10,M1960&lt;=원인분석!$C$11),"당기",IF(AND(M1960&gt;=원인분석!$C$12,M1960&lt;=원인분석!$C$13),"비교",""))))</f>
        <v/>
      </c>
      <c r="R1960" s="9">
        <f>IF(Q1960="","",$K1960&amp;"")</f>
        <v/>
      </c>
      <c r="S1960" s="9">
        <f>IF(Q1960="","",IF(MATCH(R1960,$R$5:$R$100000,0)=ROW()-4,ROW(),""))</f>
        <v/>
      </c>
      <c r="T1960" s="9">
        <f>IF(Q1960="당기",ABS(P1960)+ROW()/1000000000,"")</f>
        <v/>
      </c>
      <c r="U1960" s="9">
        <f>IF(Q1960="비교",ABS(P1960)+ROW()/1000000000,"")</f>
        <v/>
      </c>
      <c r="V1960" s="64">
        <f>IF($A1960="","",IF(COUNTIF(변동분석!$E$7:$E$506,O1960)&gt;0,"Y","N"))</f>
        <v/>
      </c>
      <c r="W1960" s="64">
        <f>IF($A1960="","",IFERROR(INDEX(계정매핑!$D$5:$D$504,MATCH($F1960&amp;"",계정매핑!$A$5:$A$504,0)),"미매핑"))</f>
        <v/>
      </c>
      <c r="X1960" s="9">
        <f>IF($A1960="","",$F1960&amp;"")</f>
        <v/>
      </c>
      <c r="Y1960" s="94">
        <f>IF($A1960="",0,IF(AE1960="직접",IF(AF1960="비귀속",$P1960,0),$P1960*(1-AG1960)*IFERROR(INDEX(계정대체기준!$F$20:$F$49,MATCH($N1960,계정대체기준!$A$20:$A$49,0)),1)))</f>
        <v/>
      </c>
      <c r="Z1960" s="94">
        <f>IF($A1960="",0,IF(AE1960="직접",IF(AF1960="신계약비",$P1960,0),$P1960*(1-AG1960)*IFERROR(INDEX(계정대체기준!$C$20:$C$49,MATCH($N1960,계정대체기준!$A$20:$A$49,0)),0)))</f>
        <v/>
      </c>
      <c r="AA1960" s="94">
        <f>IF($A1960="",0,IF(AE1960="직접",IF(OR(AF1960="유지비",AF1960="손해조사비"),$P1960,0),$P1960*(1-AG1960)*IFERROR(INDEX(계정대체기준!$D$20:$D$49,MATCH($N1960,계정대체기준!$A$20:$A$49,0)),0)))</f>
        <v/>
      </c>
      <c r="AB1960" s="94">
        <f>IF($A1960="",0,IF(AE1960="직접",IF(AF1960="수금비",$P1960,0),$P1960*(1-AG1960)*IFERROR(INDEX(계정대체기준!$E$20:$E$49,MATCH($N1960,계정대체기준!$A$20:$A$49,0)),0)))</f>
        <v/>
      </c>
      <c r="AC1960" s="9">
        <f>IF(AND($A1960&lt;&gt;"",M1960=설정!$C$20,Z1960&gt;0),Z1960+ROW()/1000000000,"")</f>
        <v/>
      </c>
      <c r="AD1960" s="94">
        <f>IF($A1960="",0,$P1960*AG1960)</f>
        <v/>
      </c>
      <c r="AE1960" s="64">
        <f>IF($A1960="","",IFERROR(INDEX(계정매핑!$E$5:$E$504,MATCH($F1960&amp;"",계정매핑!$A$5:$A$504,0))&amp;"","공통비"))</f>
        <v/>
      </c>
      <c r="AF1960" s="64">
        <f>IF($A1960="","",IF(AE1960="직접",IFERROR(INDEX(계정매핑!$F$5:$F$504,MATCH($F1960&amp;"",계정매핑!$A$5:$A$504,0))&amp;"","비귀속"),""))</f>
        <v/>
      </c>
      <c r="AG1960" s="96">
        <f>IF($A1960="",0,IF(AND(AE1960&lt;&gt;"직접",IFERROR(INDEX(계정매핑!$G$5:$G$504,MATCH($F1960&amp;"",계정매핑!$A$5:$A$504,0))&amp;"","")="유지비",COUNTIF(계정대체기준!$A$6:$A$15,$N1960)&gt;0),IFERROR(INDEX(계정대체기준!$E$6:$E$15,MATCH(VALUE($A1960&amp;""),계정대체기준!$D$6:$D$15,0)),0),0))</f>
        <v/>
      </c>
      <c r="AH1960" s="64">
        <f>IF($A1960="","",IF(AD1960=0,"",IF(OR(COUNTIF(계정대체기준!$A$77:$A$86,$N1960)&gt;0,ISNUMBER(MATCH($X1960,계정대체기준!$D$77:$D$86,0)),ISNUMBER(MATCH($F1960,계정대체기준!$D$77:$D$86,0))),"Y","N")))</f>
        <v/>
      </c>
    </row>
    <row r="1961">
      <c r="A1961" s="92" t="n">
        <v>2025</v>
      </c>
      <c r="B1961" s="92" t="n">
        <v>9</v>
      </c>
      <c r="C1961" s="92" t="inlineStr">
        <is>
          <t>5100001957</t>
        </is>
      </c>
      <c r="D1961" s="95" t="n">
        <v>45917</v>
      </c>
      <c r="E1961" s="92" t="inlineStr">
        <is>
          <t>KR</t>
        </is>
      </c>
      <c r="F1961" s="92" t="n">
        <v>62902000</v>
      </c>
      <c r="G1961" s="92" t="n">
        <v>1801</v>
      </c>
      <c r="H1961" s="93" t="n">
        <v>1845000</v>
      </c>
      <c r="I1961" s="92" t="inlineStr">
        <is>
          <t>9월 콜 위탁 수수료(건별)</t>
        </is>
      </c>
      <c r="J1961" s="92" t="inlineStr">
        <is>
          <t>V10016</t>
        </is>
      </c>
      <c r="K1961" s="92" t="inlineStr">
        <is>
          <t>J콜센터</t>
        </is>
      </c>
      <c r="M1961" s="9">
        <f>IF($A1961="","",VALUE($A1961&amp;"")*12+VALUE($B1961&amp;""))</f>
        <v/>
      </c>
      <c r="N1961" s="64">
        <f>IF($A1961="","",IFERROR(INDEX(부서매핑!$C$5:$C$504,MATCH($G1961&amp;"",부서매핑!$A$5:$A$504,0)),"미매핑"))</f>
        <v/>
      </c>
      <c r="O1961" s="9">
        <f>IF($A1961="","",N1961&amp;"|"&amp;$F1961)</f>
        <v/>
      </c>
      <c r="P1961" s="94">
        <f>IF($A1961="",0,$H1961*설정!$C$23)</f>
        <v/>
      </c>
      <c r="Q1961" s="64">
        <f>IF($A1961="","",IF(O1961&lt;&gt;원인분석!$C$9,"",IF(AND(M1961&gt;=원인분석!$C$10,M1961&lt;=원인분석!$C$11),"당기",IF(AND(M1961&gt;=원인분석!$C$12,M1961&lt;=원인분석!$C$13),"비교",""))))</f>
        <v/>
      </c>
      <c r="R1961" s="9">
        <f>IF(Q1961="","",$K1961&amp;"")</f>
        <v/>
      </c>
      <c r="S1961" s="9">
        <f>IF(Q1961="","",IF(MATCH(R1961,$R$5:$R$100000,0)=ROW()-4,ROW(),""))</f>
        <v/>
      </c>
      <c r="T1961" s="9">
        <f>IF(Q1961="당기",ABS(P1961)+ROW()/1000000000,"")</f>
        <v/>
      </c>
      <c r="U1961" s="9">
        <f>IF(Q1961="비교",ABS(P1961)+ROW()/1000000000,"")</f>
        <v/>
      </c>
      <c r="V1961" s="64">
        <f>IF($A1961="","",IF(COUNTIF(변동분석!$E$7:$E$506,O1961)&gt;0,"Y","N"))</f>
        <v/>
      </c>
      <c r="W1961" s="64">
        <f>IF($A1961="","",IFERROR(INDEX(계정매핑!$D$5:$D$504,MATCH($F1961&amp;"",계정매핑!$A$5:$A$504,0)),"미매핑"))</f>
        <v/>
      </c>
      <c r="X1961" s="9">
        <f>IF($A1961="","",$F1961&amp;"")</f>
        <v/>
      </c>
      <c r="Y1961" s="94">
        <f>IF($A1961="",0,IF(AE1961="직접",IF(AF1961="비귀속",$P1961,0),$P1961*(1-AG1961)*IFERROR(INDEX(계정대체기준!$F$20:$F$49,MATCH($N1961,계정대체기준!$A$20:$A$49,0)),1)))</f>
        <v/>
      </c>
      <c r="Z1961" s="94">
        <f>IF($A1961="",0,IF(AE1961="직접",IF(AF1961="신계약비",$P1961,0),$P1961*(1-AG1961)*IFERROR(INDEX(계정대체기준!$C$20:$C$49,MATCH($N1961,계정대체기준!$A$20:$A$49,0)),0)))</f>
        <v/>
      </c>
      <c r="AA1961" s="94">
        <f>IF($A1961="",0,IF(AE1961="직접",IF(OR(AF1961="유지비",AF1961="손해조사비"),$P1961,0),$P1961*(1-AG1961)*IFERROR(INDEX(계정대체기준!$D$20:$D$49,MATCH($N1961,계정대체기준!$A$20:$A$49,0)),0)))</f>
        <v/>
      </c>
      <c r="AB1961" s="94">
        <f>IF($A1961="",0,IF(AE1961="직접",IF(AF1961="수금비",$P1961,0),$P1961*(1-AG1961)*IFERROR(INDEX(계정대체기준!$E$20:$E$49,MATCH($N1961,계정대체기준!$A$20:$A$49,0)),0)))</f>
        <v/>
      </c>
      <c r="AC1961" s="9">
        <f>IF(AND($A1961&lt;&gt;"",M1961=설정!$C$20,Z1961&gt;0),Z1961+ROW()/1000000000,"")</f>
        <v/>
      </c>
      <c r="AD1961" s="94">
        <f>IF($A1961="",0,$P1961*AG1961)</f>
        <v/>
      </c>
      <c r="AE1961" s="64">
        <f>IF($A1961="","",IFERROR(INDEX(계정매핑!$E$5:$E$504,MATCH($F1961&amp;"",계정매핑!$A$5:$A$504,0))&amp;"","공통비"))</f>
        <v/>
      </c>
      <c r="AF1961" s="64">
        <f>IF($A1961="","",IF(AE1961="직접",IFERROR(INDEX(계정매핑!$F$5:$F$504,MATCH($F1961&amp;"",계정매핑!$A$5:$A$504,0))&amp;"","비귀속"),""))</f>
        <v/>
      </c>
      <c r="AG1961" s="96">
        <f>IF($A1961="",0,IF(AND(AE1961&lt;&gt;"직접",IFERROR(INDEX(계정매핑!$G$5:$G$504,MATCH($F1961&amp;"",계정매핑!$A$5:$A$504,0))&amp;"","")="유지비",COUNTIF(계정대체기준!$A$6:$A$15,$N1961)&gt;0),IFERROR(INDEX(계정대체기준!$E$6:$E$15,MATCH(VALUE($A1961&amp;""),계정대체기준!$D$6:$D$15,0)),0),0))</f>
        <v/>
      </c>
      <c r="AH1961" s="64">
        <f>IF($A1961="","",IF(AD1961=0,"",IF(OR(COUNTIF(계정대체기준!$A$77:$A$86,$N1961)&gt;0,ISNUMBER(MATCH($X1961,계정대체기준!$D$77:$D$86,0)),ISNUMBER(MATCH($F1961,계정대체기준!$D$77:$D$86,0))),"Y","N")))</f>
        <v/>
      </c>
    </row>
    <row r="1962">
      <c r="A1962" s="92" t="n">
        <v>2025</v>
      </c>
      <c r="B1962" s="92" t="n">
        <v>9</v>
      </c>
      <c r="C1962" s="92" t="inlineStr">
        <is>
          <t>5100001958</t>
        </is>
      </c>
      <c r="D1962" s="95" t="n">
        <v>45917</v>
      </c>
      <c r="E1962" s="92" t="inlineStr">
        <is>
          <t>KR</t>
        </is>
      </c>
      <c r="F1962" s="92" t="n">
        <v>63502000</v>
      </c>
      <c r="G1962" s="92" t="n">
        <v>1901</v>
      </c>
      <c r="H1962" s="93" t="n">
        <v>112738000</v>
      </c>
      <c r="I1962" s="92" t="inlineStr">
        <is>
          <t>9월 유지수수료 - CC금융서비스</t>
        </is>
      </c>
      <c r="J1962" s="92" t="inlineStr">
        <is>
          <t>V10029</t>
        </is>
      </c>
      <c r="K1962" s="92" t="inlineStr">
        <is>
          <t>CC금융서비스</t>
        </is>
      </c>
      <c r="M1962" s="9">
        <f>IF($A1962="","",VALUE($A1962&amp;"")*12+VALUE($B1962&amp;""))</f>
        <v/>
      </c>
      <c r="N1962" s="64">
        <f>IF($A1962="","",IFERROR(INDEX(부서매핑!$C$5:$C$504,MATCH($G1962&amp;"",부서매핑!$A$5:$A$504,0)),"미매핑"))</f>
        <v/>
      </c>
      <c r="O1962" s="9">
        <f>IF($A1962="","",N1962&amp;"|"&amp;$F1962)</f>
        <v/>
      </c>
      <c r="P1962" s="94">
        <f>IF($A1962="",0,$H1962*설정!$C$23)</f>
        <v/>
      </c>
      <c r="Q1962" s="64">
        <f>IF($A1962="","",IF(O1962&lt;&gt;원인분석!$C$9,"",IF(AND(M1962&gt;=원인분석!$C$10,M1962&lt;=원인분석!$C$11),"당기",IF(AND(M1962&gt;=원인분석!$C$12,M1962&lt;=원인분석!$C$13),"비교",""))))</f>
        <v/>
      </c>
      <c r="R1962" s="9">
        <f>IF(Q1962="","",$K1962&amp;"")</f>
        <v/>
      </c>
      <c r="S1962" s="9">
        <f>IF(Q1962="","",IF(MATCH(R1962,$R$5:$R$100000,0)=ROW()-4,ROW(),""))</f>
        <v/>
      </c>
      <c r="T1962" s="9">
        <f>IF(Q1962="당기",ABS(P1962)+ROW()/1000000000,"")</f>
        <v/>
      </c>
      <c r="U1962" s="9">
        <f>IF(Q1962="비교",ABS(P1962)+ROW()/1000000000,"")</f>
        <v/>
      </c>
      <c r="V1962" s="64">
        <f>IF($A1962="","",IF(COUNTIF(변동분석!$E$7:$E$506,O1962)&gt;0,"Y","N"))</f>
        <v/>
      </c>
      <c r="W1962" s="64">
        <f>IF($A1962="","",IFERROR(INDEX(계정매핑!$D$5:$D$504,MATCH($F1962&amp;"",계정매핑!$A$5:$A$504,0)),"미매핑"))</f>
        <v/>
      </c>
      <c r="X1962" s="9">
        <f>IF($A1962="","",$F1962&amp;"")</f>
        <v/>
      </c>
      <c r="Y1962" s="94">
        <f>IF($A1962="",0,IF(AE1962="직접",IF(AF1962="비귀속",$P1962,0),$P1962*(1-AG1962)*IFERROR(INDEX(계정대체기준!$F$20:$F$49,MATCH($N1962,계정대체기준!$A$20:$A$49,0)),1)))</f>
        <v/>
      </c>
      <c r="Z1962" s="94">
        <f>IF($A1962="",0,IF(AE1962="직접",IF(AF1962="신계약비",$P1962,0),$P1962*(1-AG1962)*IFERROR(INDEX(계정대체기준!$C$20:$C$49,MATCH($N1962,계정대체기준!$A$20:$A$49,0)),0)))</f>
        <v/>
      </c>
      <c r="AA1962" s="94">
        <f>IF($A1962="",0,IF(AE1962="직접",IF(OR(AF1962="유지비",AF1962="손해조사비"),$P1962,0),$P1962*(1-AG1962)*IFERROR(INDEX(계정대체기준!$D$20:$D$49,MATCH($N1962,계정대체기준!$A$20:$A$49,0)),0)))</f>
        <v/>
      </c>
      <c r="AB1962" s="94">
        <f>IF($A1962="",0,IF(AE1962="직접",IF(AF1962="수금비",$P1962,0),$P1962*(1-AG1962)*IFERROR(INDEX(계정대체기준!$E$20:$E$49,MATCH($N1962,계정대체기준!$A$20:$A$49,0)),0)))</f>
        <v/>
      </c>
      <c r="AC1962" s="9">
        <f>IF(AND($A1962&lt;&gt;"",M1962=설정!$C$20,Z1962&gt;0),Z1962+ROW()/1000000000,"")</f>
        <v/>
      </c>
      <c r="AD1962" s="94">
        <f>IF($A1962="",0,$P1962*AG1962)</f>
        <v/>
      </c>
      <c r="AE1962" s="64">
        <f>IF($A1962="","",IFERROR(INDEX(계정매핑!$E$5:$E$504,MATCH($F1962&amp;"",계정매핑!$A$5:$A$504,0))&amp;"","공통비"))</f>
        <v/>
      </c>
      <c r="AF1962" s="64">
        <f>IF($A1962="","",IF(AE1962="직접",IFERROR(INDEX(계정매핑!$F$5:$F$504,MATCH($F1962&amp;"",계정매핑!$A$5:$A$504,0))&amp;"","비귀속"),""))</f>
        <v/>
      </c>
      <c r="AG1962" s="96">
        <f>IF($A1962="",0,IF(AND(AE1962&lt;&gt;"직접",IFERROR(INDEX(계정매핑!$G$5:$G$504,MATCH($F1962&amp;"",계정매핑!$A$5:$A$504,0))&amp;"","")="유지비",COUNTIF(계정대체기준!$A$6:$A$15,$N1962)&gt;0),IFERROR(INDEX(계정대체기준!$E$6:$E$15,MATCH(VALUE($A1962&amp;""),계정대체기준!$D$6:$D$15,0)),0),0))</f>
        <v/>
      </c>
      <c r="AH1962" s="64">
        <f>IF($A1962="","",IF(AD1962=0,"",IF(OR(COUNTIF(계정대체기준!$A$77:$A$86,$N1962)&gt;0,ISNUMBER(MATCH($X1962,계정대체기준!$D$77:$D$86,0)),ISNUMBER(MATCH($F1962,계정대체기준!$D$77:$D$86,0))),"Y","N")))</f>
        <v/>
      </c>
    </row>
    <row r="1963">
      <c r="A1963" s="92" t="n">
        <v>2025</v>
      </c>
      <c r="B1963" s="92" t="n">
        <v>9</v>
      </c>
      <c r="C1963" s="92" t="inlineStr">
        <is>
          <t>5100001959</t>
        </is>
      </c>
      <c r="D1963" s="95" t="n">
        <v>45918</v>
      </c>
      <c r="E1963" s="92" t="inlineStr">
        <is>
          <t>KR</t>
        </is>
      </c>
      <c r="F1963" s="92" t="n">
        <v>62101000</v>
      </c>
      <c r="G1963" s="92" t="n">
        <v>1101</v>
      </c>
      <c r="H1963" s="93" t="n">
        <v>565000</v>
      </c>
      <c r="I1963" s="92" t="inlineStr">
        <is>
          <t>9월 국내출장 - M항공</t>
        </is>
      </c>
      <c r="J1963" s="92" t="inlineStr">
        <is>
          <t>V10001</t>
        </is>
      </c>
      <c r="K1963" s="92" t="inlineStr">
        <is>
          <t>M항공</t>
        </is>
      </c>
      <c r="M1963" s="9">
        <f>IF($A1963="","",VALUE($A1963&amp;"")*12+VALUE($B1963&amp;""))</f>
        <v/>
      </c>
      <c r="N1963" s="64">
        <f>IF($A1963="","",IFERROR(INDEX(부서매핑!$C$5:$C$504,MATCH($G1963&amp;"",부서매핑!$A$5:$A$504,0)),"미매핑"))</f>
        <v/>
      </c>
      <c r="O1963" s="9">
        <f>IF($A1963="","",N1963&amp;"|"&amp;$F1963)</f>
        <v/>
      </c>
      <c r="P1963" s="94">
        <f>IF($A1963="",0,$H1963*설정!$C$23)</f>
        <v/>
      </c>
      <c r="Q1963" s="64">
        <f>IF($A1963="","",IF(O1963&lt;&gt;원인분석!$C$9,"",IF(AND(M1963&gt;=원인분석!$C$10,M1963&lt;=원인분석!$C$11),"당기",IF(AND(M1963&gt;=원인분석!$C$12,M1963&lt;=원인분석!$C$13),"비교",""))))</f>
        <v/>
      </c>
      <c r="R1963" s="9">
        <f>IF(Q1963="","",$K1963&amp;"")</f>
        <v/>
      </c>
      <c r="S1963" s="9">
        <f>IF(Q1963="","",IF(MATCH(R1963,$R$5:$R$100000,0)=ROW()-4,ROW(),""))</f>
        <v/>
      </c>
      <c r="T1963" s="9">
        <f>IF(Q1963="당기",ABS(P1963)+ROW()/1000000000,"")</f>
        <v/>
      </c>
      <c r="U1963" s="9">
        <f>IF(Q1963="비교",ABS(P1963)+ROW()/1000000000,"")</f>
        <v/>
      </c>
      <c r="V1963" s="64">
        <f>IF($A1963="","",IF(COUNTIF(변동분석!$E$7:$E$506,O1963)&gt;0,"Y","N"))</f>
        <v/>
      </c>
      <c r="W1963" s="64">
        <f>IF($A1963="","",IFERROR(INDEX(계정매핑!$D$5:$D$504,MATCH($F1963&amp;"",계정매핑!$A$5:$A$504,0)),"미매핑"))</f>
        <v/>
      </c>
      <c r="X1963" s="9">
        <f>IF($A1963="","",$F1963&amp;"")</f>
        <v/>
      </c>
      <c r="Y1963" s="94">
        <f>IF($A1963="",0,IF(AE1963="직접",IF(AF1963="비귀속",$P1963,0),$P1963*(1-AG1963)*IFERROR(INDEX(계정대체기준!$F$20:$F$49,MATCH($N1963,계정대체기준!$A$20:$A$49,0)),1)))</f>
        <v/>
      </c>
      <c r="Z1963" s="94">
        <f>IF($A1963="",0,IF(AE1963="직접",IF(AF1963="신계약비",$P1963,0),$P1963*(1-AG1963)*IFERROR(INDEX(계정대체기준!$C$20:$C$49,MATCH($N1963,계정대체기준!$A$20:$A$49,0)),0)))</f>
        <v/>
      </c>
      <c r="AA1963" s="94">
        <f>IF($A1963="",0,IF(AE1963="직접",IF(OR(AF1963="유지비",AF1963="손해조사비"),$P1963,0),$P1963*(1-AG1963)*IFERROR(INDEX(계정대체기준!$D$20:$D$49,MATCH($N1963,계정대체기준!$A$20:$A$49,0)),0)))</f>
        <v/>
      </c>
      <c r="AB1963" s="94">
        <f>IF($A1963="",0,IF(AE1963="직접",IF(AF1963="수금비",$P1963,0),$P1963*(1-AG1963)*IFERROR(INDEX(계정대체기준!$E$20:$E$49,MATCH($N1963,계정대체기준!$A$20:$A$49,0)),0)))</f>
        <v/>
      </c>
      <c r="AC1963" s="9">
        <f>IF(AND($A1963&lt;&gt;"",M1963=설정!$C$20,Z1963&gt;0),Z1963+ROW()/1000000000,"")</f>
        <v/>
      </c>
      <c r="AD1963" s="94">
        <f>IF($A1963="",0,$P1963*AG1963)</f>
        <v/>
      </c>
      <c r="AE1963" s="64">
        <f>IF($A1963="","",IFERROR(INDEX(계정매핑!$E$5:$E$504,MATCH($F1963&amp;"",계정매핑!$A$5:$A$504,0))&amp;"","공통비"))</f>
        <v/>
      </c>
      <c r="AF1963" s="64">
        <f>IF($A1963="","",IF(AE1963="직접",IFERROR(INDEX(계정매핑!$F$5:$F$504,MATCH($F1963&amp;"",계정매핑!$A$5:$A$504,0))&amp;"","비귀속"),""))</f>
        <v/>
      </c>
      <c r="AG1963" s="96">
        <f>IF($A1963="",0,IF(AND(AE1963&lt;&gt;"직접",IFERROR(INDEX(계정매핑!$G$5:$G$504,MATCH($F1963&amp;"",계정매핑!$A$5:$A$504,0))&amp;"","")="유지비",COUNTIF(계정대체기준!$A$6:$A$15,$N1963)&gt;0),IFERROR(INDEX(계정대체기준!$E$6:$E$15,MATCH(VALUE($A1963&amp;""),계정대체기준!$D$6:$D$15,0)),0),0))</f>
        <v/>
      </c>
      <c r="AH1963" s="64">
        <f>IF($A1963="","",IF(AD1963=0,"",IF(OR(COUNTIF(계정대체기준!$A$77:$A$86,$N1963)&gt;0,ISNUMBER(MATCH($X1963,계정대체기준!$D$77:$D$86,0)),ISNUMBER(MATCH($F1963,계정대체기준!$D$77:$D$86,0))),"Y","N")))</f>
        <v/>
      </c>
    </row>
    <row r="1964">
      <c r="A1964" s="92" t="n">
        <v>2025</v>
      </c>
      <c r="B1964" s="92" t="n">
        <v>9</v>
      </c>
      <c r="C1964" s="92" t="inlineStr">
        <is>
          <t>5100001960</t>
        </is>
      </c>
      <c r="D1964" s="95" t="n">
        <v>45918</v>
      </c>
      <c r="E1964" s="92" t="inlineStr">
        <is>
          <t>KR</t>
        </is>
      </c>
      <c r="F1964" s="92" t="n">
        <v>62101000</v>
      </c>
      <c r="G1964" s="92" t="n">
        <v>1401</v>
      </c>
      <c r="H1964" s="93" t="n">
        <v>377000</v>
      </c>
      <c r="I1964" s="92" t="inlineStr">
        <is>
          <t>9월 국내출장 - (법인카드)</t>
        </is>
      </c>
      <c r="J1964" s="92" t="inlineStr">
        <is>
          <t>V10010</t>
        </is>
      </c>
      <c r="K1964" s="92" t="inlineStr">
        <is>
          <t>(법인카드)</t>
        </is>
      </c>
      <c r="M1964" s="9">
        <f>IF($A1964="","",VALUE($A1964&amp;"")*12+VALUE($B1964&amp;""))</f>
        <v/>
      </c>
      <c r="N1964" s="64">
        <f>IF($A1964="","",IFERROR(INDEX(부서매핑!$C$5:$C$504,MATCH($G1964&amp;"",부서매핑!$A$5:$A$504,0)),"미매핑"))</f>
        <v/>
      </c>
      <c r="O1964" s="9">
        <f>IF($A1964="","",N1964&amp;"|"&amp;$F1964)</f>
        <v/>
      </c>
      <c r="P1964" s="94">
        <f>IF($A1964="",0,$H1964*설정!$C$23)</f>
        <v/>
      </c>
      <c r="Q1964" s="64">
        <f>IF($A1964="","",IF(O1964&lt;&gt;원인분석!$C$9,"",IF(AND(M1964&gt;=원인분석!$C$10,M1964&lt;=원인분석!$C$11),"당기",IF(AND(M1964&gt;=원인분석!$C$12,M1964&lt;=원인분석!$C$13),"비교",""))))</f>
        <v/>
      </c>
      <c r="R1964" s="9">
        <f>IF(Q1964="","",$K1964&amp;"")</f>
        <v/>
      </c>
      <c r="S1964" s="9">
        <f>IF(Q1964="","",IF(MATCH(R1964,$R$5:$R$100000,0)=ROW()-4,ROW(),""))</f>
        <v/>
      </c>
      <c r="T1964" s="9">
        <f>IF(Q1964="당기",ABS(P1964)+ROW()/1000000000,"")</f>
        <v/>
      </c>
      <c r="U1964" s="9">
        <f>IF(Q1964="비교",ABS(P1964)+ROW()/1000000000,"")</f>
        <v/>
      </c>
      <c r="V1964" s="64">
        <f>IF($A1964="","",IF(COUNTIF(변동분석!$E$7:$E$506,O1964)&gt;0,"Y","N"))</f>
        <v/>
      </c>
      <c r="W1964" s="64">
        <f>IF($A1964="","",IFERROR(INDEX(계정매핑!$D$5:$D$504,MATCH($F1964&amp;"",계정매핑!$A$5:$A$504,0)),"미매핑"))</f>
        <v/>
      </c>
      <c r="X1964" s="9">
        <f>IF($A1964="","",$F1964&amp;"")</f>
        <v/>
      </c>
      <c r="Y1964" s="94">
        <f>IF($A1964="",0,IF(AE1964="직접",IF(AF1964="비귀속",$P1964,0),$P1964*(1-AG1964)*IFERROR(INDEX(계정대체기준!$F$20:$F$49,MATCH($N1964,계정대체기준!$A$20:$A$49,0)),1)))</f>
        <v/>
      </c>
      <c r="Z1964" s="94">
        <f>IF($A1964="",0,IF(AE1964="직접",IF(AF1964="신계약비",$P1964,0),$P1964*(1-AG1964)*IFERROR(INDEX(계정대체기준!$C$20:$C$49,MATCH($N1964,계정대체기준!$A$20:$A$49,0)),0)))</f>
        <v/>
      </c>
      <c r="AA1964" s="94">
        <f>IF($A1964="",0,IF(AE1964="직접",IF(OR(AF1964="유지비",AF1964="손해조사비"),$P1964,0),$P1964*(1-AG1964)*IFERROR(INDEX(계정대체기준!$D$20:$D$49,MATCH($N1964,계정대체기준!$A$20:$A$49,0)),0)))</f>
        <v/>
      </c>
      <c r="AB1964" s="94">
        <f>IF($A1964="",0,IF(AE1964="직접",IF(AF1964="수금비",$P1964,0),$P1964*(1-AG1964)*IFERROR(INDEX(계정대체기준!$E$20:$E$49,MATCH($N1964,계정대체기준!$A$20:$A$49,0)),0)))</f>
        <v/>
      </c>
      <c r="AC1964" s="9">
        <f>IF(AND($A1964&lt;&gt;"",M1964=설정!$C$20,Z1964&gt;0),Z1964+ROW()/1000000000,"")</f>
        <v/>
      </c>
      <c r="AD1964" s="94">
        <f>IF($A1964="",0,$P1964*AG1964)</f>
        <v/>
      </c>
      <c r="AE1964" s="64">
        <f>IF($A1964="","",IFERROR(INDEX(계정매핑!$E$5:$E$504,MATCH($F1964&amp;"",계정매핑!$A$5:$A$504,0))&amp;"","공통비"))</f>
        <v/>
      </c>
      <c r="AF1964" s="64">
        <f>IF($A1964="","",IF(AE1964="직접",IFERROR(INDEX(계정매핑!$F$5:$F$504,MATCH($F1964&amp;"",계정매핑!$A$5:$A$504,0))&amp;"","비귀속"),""))</f>
        <v/>
      </c>
      <c r="AG1964" s="96">
        <f>IF($A1964="",0,IF(AND(AE1964&lt;&gt;"직접",IFERROR(INDEX(계정매핑!$G$5:$G$504,MATCH($F1964&amp;"",계정매핑!$A$5:$A$504,0))&amp;"","")="유지비",COUNTIF(계정대체기준!$A$6:$A$15,$N1964)&gt;0),IFERROR(INDEX(계정대체기준!$E$6:$E$15,MATCH(VALUE($A1964&amp;""),계정대체기준!$D$6:$D$15,0)),0),0))</f>
        <v/>
      </c>
      <c r="AH1964" s="64">
        <f>IF($A1964="","",IF(AD1964=0,"",IF(OR(COUNTIF(계정대체기준!$A$77:$A$86,$N1964)&gt;0,ISNUMBER(MATCH($X1964,계정대체기준!$D$77:$D$86,0)),ISNUMBER(MATCH($F1964,계정대체기준!$D$77:$D$86,0))),"Y","N")))</f>
        <v/>
      </c>
    </row>
    <row r="1965">
      <c r="A1965" s="92" t="n">
        <v>2025</v>
      </c>
      <c r="B1965" s="92" t="n">
        <v>9</v>
      </c>
      <c r="C1965" s="92" t="inlineStr">
        <is>
          <t>5100001961</t>
        </is>
      </c>
      <c r="D1965" s="95" t="n">
        <v>45918</v>
      </c>
      <c r="E1965" s="92" t="inlineStr">
        <is>
          <t>KR</t>
        </is>
      </c>
      <c r="F1965" s="92" t="n">
        <v>62101000</v>
      </c>
      <c r="G1965" s="92" t="n">
        <v>1701</v>
      </c>
      <c r="H1965" s="93" t="n">
        <v>163000</v>
      </c>
      <c r="I1965" s="92" t="inlineStr">
        <is>
          <t>9월 국내출장 - M항공</t>
        </is>
      </c>
      <c r="J1965" s="92" t="inlineStr">
        <is>
          <t>V10001</t>
        </is>
      </c>
      <c r="K1965" s="92" t="inlineStr">
        <is>
          <t>M항공</t>
        </is>
      </c>
      <c r="M1965" s="9">
        <f>IF($A1965="","",VALUE($A1965&amp;"")*12+VALUE($B1965&amp;""))</f>
        <v/>
      </c>
      <c r="N1965" s="64">
        <f>IF($A1965="","",IFERROR(INDEX(부서매핑!$C$5:$C$504,MATCH($G1965&amp;"",부서매핑!$A$5:$A$504,0)),"미매핑"))</f>
        <v/>
      </c>
      <c r="O1965" s="9">
        <f>IF($A1965="","",N1965&amp;"|"&amp;$F1965)</f>
        <v/>
      </c>
      <c r="P1965" s="94">
        <f>IF($A1965="",0,$H1965*설정!$C$23)</f>
        <v/>
      </c>
      <c r="Q1965" s="64">
        <f>IF($A1965="","",IF(O1965&lt;&gt;원인분석!$C$9,"",IF(AND(M1965&gt;=원인분석!$C$10,M1965&lt;=원인분석!$C$11),"당기",IF(AND(M1965&gt;=원인분석!$C$12,M1965&lt;=원인분석!$C$13),"비교",""))))</f>
        <v/>
      </c>
      <c r="R1965" s="9">
        <f>IF(Q1965="","",$K1965&amp;"")</f>
        <v/>
      </c>
      <c r="S1965" s="9">
        <f>IF(Q1965="","",IF(MATCH(R1965,$R$5:$R$100000,0)=ROW()-4,ROW(),""))</f>
        <v/>
      </c>
      <c r="T1965" s="9">
        <f>IF(Q1965="당기",ABS(P1965)+ROW()/1000000000,"")</f>
        <v/>
      </c>
      <c r="U1965" s="9">
        <f>IF(Q1965="비교",ABS(P1965)+ROW()/1000000000,"")</f>
        <v/>
      </c>
      <c r="V1965" s="64">
        <f>IF($A1965="","",IF(COUNTIF(변동분석!$E$7:$E$506,O1965)&gt;0,"Y","N"))</f>
        <v/>
      </c>
      <c r="W1965" s="64">
        <f>IF($A1965="","",IFERROR(INDEX(계정매핑!$D$5:$D$504,MATCH($F1965&amp;"",계정매핑!$A$5:$A$504,0)),"미매핑"))</f>
        <v/>
      </c>
      <c r="X1965" s="9">
        <f>IF($A1965="","",$F1965&amp;"")</f>
        <v/>
      </c>
      <c r="Y1965" s="94">
        <f>IF($A1965="",0,IF(AE1965="직접",IF(AF1965="비귀속",$P1965,0),$P1965*(1-AG1965)*IFERROR(INDEX(계정대체기준!$F$20:$F$49,MATCH($N1965,계정대체기준!$A$20:$A$49,0)),1)))</f>
        <v/>
      </c>
      <c r="Z1965" s="94">
        <f>IF($A1965="",0,IF(AE1965="직접",IF(AF1965="신계약비",$P1965,0),$P1965*(1-AG1965)*IFERROR(INDEX(계정대체기준!$C$20:$C$49,MATCH($N1965,계정대체기준!$A$20:$A$49,0)),0)))</f>
        <v/>
      </c>
      <c r="AA1965" s="94">
        <f>IF($A1965="",0,IF(AE1965="직접",IF(OR(AF1965="유지비",AF1965="손해조사비"),$P1965,0),$P1965*(1-AG1965)*IFERROR(INDEX(계정대체기준!$D$20:$D$49,MATCH($N1965,계정대체기준!$A$20:$A$49,0)),0)))</f>
        <v/>
      </c>
      <c r="AB1965" s="94">
        <f>IF($A1965="",0,IF(AE1965="직접",IF(AF1965="수금비",$P1965,0),$P1965*(1-AG1965)*IFERROR(INDEX(계정대체기준!$E$20:$E$49,MATCH($N1965,계정대체기준!$A$20:$A$49,0)),0)))</f>
        <v/>
      </c>
      <c r="AC1965" s="9">
        <f>IF(AND($A1965&lt;&gt;"",M1965=설정!$C$20,Z1965&gt;0),Z1965+ROW()/1000000000,"")</f>
        <v/>
      </c>
      <c r="AD1965" s="94">
        <f>IF($A1965="",0,$P1965*AG1965)</f>
        <v/>
      </c>
      <c r="AE1965" s="64">
        <f>IF($A1965="","",IFERROR(INDEX(계정매핑!$E$5:$E$504,MATCH($F1965&amp;"",계정매핑!$A$5:$A$504,0))&amp;"","공통비"))</f>
        <v/>
      </c>
      <c r="AF1965" s="64">
        <f>IF($A1965="","",IF(AE1965="직접",IFERROR(INDEX(계정매핑!$F$5:$F$504,MATCH($F1965&amp;"",계정매핑!$A$5:$A$504,0))&amp;"","비귀속"),""))</f>
        <v/>
      </c>
      <c r="AG1965" s="96">
        <f>IF($A1965="",0,IF(AND(AE1965&lt;&gt;"직접",IFERROR(INDEX(계정매핑!$G$5:$G$504,MATCH($F1965&amp;"",계정매핑!$A$5:$A$504,0))&amp;"","")="유지비",COUNTIF(계정대체기준!$A$6:$A$15,$N1965)&gt;0),IFERROR(INDEX(계정대체기준!$E$6:$E$15,MATCH(VALUE($A1965&amp;""),계정대체기준!$D$6:$D$15,0)),0),0))</f>
        <v/>
      </c>
      <c r="AH1965" s="64">
        <f>IF($A1965="","",IF(AD1965=0,"",IF(OR(COUNTIF(계정대체기준!$A$77:$A$86,$N1965)&gt;0,ISNUMBER(MATCH($X1965,계정대체기준!$D$77:$D$86,0)),ISNUMBER(MATCH($F1965,계정대체기준!$D$77:$D$86,0))),"Y","N")))</f>
        <v/>
      </c>
    </row>
    <row r="1966">
      <c r="A1966" s="92" t="n">
        <v>2025</v>
      </c>
      <c r="B1966" s="92" t="n">
        <v>9</v>
      </c>
      <c r="C1966" s="92" t="inlineStr">
        <is>
          <t>5100001962</t>
        </is>
      </c>
      <c r="D1966" s="95" t="n">
        <v>45918</v>
      </c>
      <c r="E1966" s="92" t="inlineStr">
        <is>
          <t>KR</t>
        </is>
      </c>
      <c r="F1966" s="92" t="n">
        <v>62102000</v>
      </c>
      <c r="G1966" s="92" t="n">
        <v>1502</v>
      </c>
      <c r="H1966" s="93" t="n">
        <v>143000</v>
      </c>
      <c r="I1966" s="92" t="inlineStr">
        <is>
          <t>9월 해외출장 - N호텔</t>
        </is>
      </c>
      <c r="J1966" s="92" t="inlineStr">
        <is>
          <t>V10009</t>
        </is>
      </c>
      <c r="K1966" s="92" t="inlineStr">
        <is>
          <t>N호텔</t>
        </is>
      </c>
      <c r="M1966" s="9">
        <f>IF($A1966="","",VALUE($A1966&amp;"")*12+VALUE($B1966&amp;""))</f>
        <v/>
      </c>
      <c r="N1966" s="64">
        <f>IF($A1966="","",IFERROR(INDEX(부서매핑!$C$5:$C$504,MATCH($G1966&amp;"",부서매핑!$A$5:$A$504,0)),"미매핑"))</f>
        <v/>
      </c>
      <c r="O1966" s="9">
        <f>IF($A1966="","",N1966&amp;"|"&amp;$F1966)</f>
        <v/>
      </c>
      <c r="P1966" s="94">
        <f>IF($A1966="",0,$H1966*설정!$C$23)</f>
        <v/>
      </c>
      <c r="Q1966" s="64">
        <f>IF($A1966="","",IF(O1966&lt;&gt;원인분석!$C$9,"",IF(AND(M1966&gt;=원인분석!$C$10,M1966&lt;=원인분석!$C$11),"당기",IF(AND(M1966&gt;=원인분석!$C$12,M1966&lt;=원인분석!$C$13),"비교",""))))</f>
        <v/>
      </c>
      <c r="R1966" s="9">
        <f>IF(Q1966="","",$K1966&amp;"")</f>
        <v/>
      </c>
      <c r="S1966" s="9">
        <f>IF(Q1966="","",IF(MATCH(R1966,$R$5:$R$100000,0)=ROW()-4,ROW(),""))</f>
        <v/>
      </c>
      <c r="T1966" s="9">
        <f>IF(Q1966="당기",ABS(P1966)+ROW()/1000000000,"")</f>
        <v/>
      </c>
      <c r="U1966" s="9">
        <f>IF(Q1966="비교",ABS(P1966)+ROW()/1000000000,"")</f>
        <v/>
      </c>
      <c r="V1966" s="64">
        <f>IF($A1966="","",IF(COUNTIF(변동분석!$E$7:$E$506,O1966)&gt;0,"Y","N"))</f>
        <v/>
      </c>
      <c r="W1966" s="64">
        <f>IF($A1966="","",IFERROR(INDEX(계정매핑!$D$5:$D$504,MATCH($F1966&amp;"",계정매핑!$A$5:$A$504,0)),"미매핑"))</f>
        <v/>
      </c>
      <c r="X1966" s="9">
        <f>IF($A1966="","",$F1966&amp;"")</f>
        <v/>
      </c>
      <c r="Y1966" s="94">
        <f>IF($A1966="",0,IF(AE1966="직접",IF(AF1966="비귀속",$P1966,0),$P1966*(1-AG1966)*IFERROR(INDEX(계정대체기준!$F$20:$F$49,MATCH($N1966,계정대체기준!$A$20:$A$49,0)),1)))</f>
        <v/>
      </c>
      <c r="Z1966" s="94">
        <f>IF($A1966="",0,IF(AE1966="직접",IF(AF1966="신계약비",$P1966,0),$P1966*(1-AG1966)*IFERROR(INDEX(계정대체기준!$C$20:$C$49,MATCH($N1966,계정대체기준!$A$20:$A$49,0)),0)))</f>
        <v/>
      </c>
      <c r="AA1966" s="94">
        <f>IF($A1966="",0,IF(AE1966="직접",IF(OR(AF1966="유지비",AF1966="손해조사비"),$P1966,0),$P1966*(1-AG1966)*IFERROR(INDEX(계정대체기준!$D$20:$D$49,MATCH($N1966,계정대체기준!$A$20:$A$49,0)),0)))</f>
        <v/>
      </c>
      <c r="AB1966" s="94">
        <f>IF($A1966="",0,IF(AE1966="직접",IF(AF1966="수금비",$P1966,0),$P1966*(1-AG1966)*IFERROR(INDEX(계정대체기준!$E$20:$E$49,MATCH($N1966,계정대체기준!$A$20:$A$49,0)),0)))</f>
        <v/>
      </c>
      <c r="AC1966" s="9">
        <f>IF(AND($A1966&lt;&gt;"",M1966=설정!$C$20,Z1966&gt;0),Z1966+ROW()/1000000000,"")</f>
        <v/>
      </c>
      <c r="AD1966" s="94">
        <f>IF($A1966="",0,$P1966*AG1966)</f>
        <v/>
      </c>
      <c r="AE1966" s="64">
        <f>IF($A1966="","",IFERROR(INDEX(계정매핑!$E$5:$E$504,MATCH($F1966&amp;"",계정매핑!$A$5:$A$504,0))&amp;"","공통비"))</f>
        <v/>
      </c>
      <c r="AF1966" s="64">
        <f>IF($A1966="","",IF(AE1966="직접",IFERROR(INDEX(계정매핑!$F$5:$F$504,MATCH($F1966&amp;"",계정매핑!$A$5:$A$504,0))&amp;"","비귀속"),""))</f>
        <v/>
      </c>
      <c r="AG1966" s="96">
        <f>IF($A1966="",0,IF(AND(AE1966&lt;&gt;"직접",IFERROR(INDEX(계정매핑!$G$5:$G$504,MATCH($F1966&amp;"",계정매핑!$A$5:$A$504,0))&amp;"","")="유지비",COUNTIF(계정대체기준!$A$6:$A$15,$N1966)&gt;0),IFERROR(INDEX(계정대체기준!$E$6:$E$15,MATCH(VALUE($A1966&amp;""),계정대체기준!$D$6:$D$15,0)),0),0))</f>
        <v/>
      </c>
      <c r="AH1966" s="64">
        <f>IF($A1966="","",IF(AD1966=0,"",IF(OR(COUNTIF(계정대체기준!$A$77:$A$86,$N1966)&gt;0,ISNUMBER(MATCH($X1966,계정대체기준!$D$77:$D$86,0)),ISNUMBER(MATCH($F1966,계정대체기준!$D$77:$D$86,0))),"Y","N")))</f>
        <v/>
      </c>
    </row>
    <row r="1967">
      <c r="A1967" s="92" t="n">
        <v>2025</v>
      </c>
      <c r="B1967" s="92" t="n">
        <v>9</v>
      </c>
      <c r="C1967" s="92" t="inlineStr">
        <is>
          <t>5100001963</t>
        </is>
      </c>
      <c r="D1967" s="95" t="n">
        <v>45918</v>
      </c>
      <c r="E1967" s="92" t="inlineStr">
        <is>
          <t>KR</t>
        </is>
      </c>
      <c r="F1967" s="92" t="n">
        <v>62301000</v>
      </c>
      <c r="G1967" s="92" t="n">
        <v>1801</v>
      </c>
      <c r="H1967" s="93" t="n">
        <v>403000</v>
      </c>
      <c r="I1967" s="92" t="inlineStr">
        <is>
          <t>9월 소모품 구입 - Q오피스</t>
        </is>
      </c>
      <c r="J1967" s="92" t="inlineStr">
        <is>
          <t>V10003</t>
        </is>
      </c>
      <c r="K1967" s="92" t="inlineStr">
        <is>
          <t>Q오피스</t>
        </is>
      </c>
      <c r="M1967" s="9">
        <f>IF($A1967="","",VALUE($A1967&amp;"")*12+VALUE($B1967&amp;""))</f>
        <v/>
      </c>
      <c r="N1967" s="64">
        <f>IF($A1967="","",IFERROR(INDEX(부서매핑!$C$5:$C$504,MATCH($G1967&amp;"",부서매핑!$A$5:$A$504,0)),"미매핑"))</f>
        <v/>
      </c>
      <c r="O1967" s="9">
        <f>IF($A1967="","",N1967&amp;"|"&amp;$F1967)</f>
        <v/>
      </c>
      <c r="P1967" s="94">
        <f>IF($A1967="",0,$H1967*설정!$C$23)</f>
        <v/>
      </c>
      <c r="Q1967" s="64">
        <f>IF($A1967="","",IF(O1967&lt;&gt;원인분석!$C$9,"",IF(AND(M1967&gt;=원인분석!$C$10,M1967&lt;=원인분석!$C$11),"당기",IF(AND(M1967&gt;=원인분석!$C$12,M1967&lt;=원인분석!$C$13),"비교",""))))</f>
        <v/>
      </c>
      <c r="R1967" s="9">
        <f>IF(Q1967="","",$K1967&amp;"")</f>
        <v/>
      </c>
      <c r="S1967" s="9">
        <f>IF(Q1967="","",IF(MATCH(R1967,$R$5:$R$100000,0)=ROW()-4,ROW(),""))</f>
        <v/>
      </c>
      <c r="T1967" s="9">
        <f>IF(Q1967="당기",ABS(P1967)+ROW()/1000000000,"")</f>
        <v/>
      </c>
      <c r="U1967" s="9">
        <f>IF(Q1967="비교",ABS(P1967)+ROW()/1000000000,"")</f>
        <v/>
      </c>
      <c r="V1967" s="64">
        <f>IF($A1967="","",IF(COUNTIF(변동분석!$E$7:$E$506,O1967)&gt;0,"Y","N"))</f>
        <v/>
      </c>
      <c r="W1967" s="64">
        <f>IF($A1967="","",IFERROR(INDEX(계정매핑!$D$5:$D$504,MATCH($F1967&amp;"",계정매핑!$A$5:$A$504,0)),"미매핑"))</f>
        <v/>
      </c>
      <c r="X1967" s="9">
        <f>IF($A1967="","",$F1967&amp;"")</f>
        <v/>
      </c>
      <c r="Y1967" s="94">
        <f>IF($A1967="",0,IF(AE1967="직접",IF(AF1967="비귀속",$P1967,0),$P1967*(1-AG1967)*IFERROR(INDEX(계정대체기준!$F$20:$F$49,MATCH($N1967,계정대체기준!$A$20:$A$49,0)),1)))</f>
        <v/>
      </c>
      <c r="Z1967" s="94">
        <f>IF($A1967="",0,IF(AE1967="직접",IF(AF1967="신계약비",$P1967,0),$P1967*(1-AG1967)*IFERROR(INDEX(계정대체기준!$C$20:$C$49,MATCH($N1967,계정대체기준!$A$20:$A$49,0)),0)))</f>
        <v/>
      </c>
      <c r="AA1967" s="94">
        <f>IF($A1967="",0,IF(AE1967="직접",IF(OR(AF1967="유지비",AF1967="손해조사비"),$P1967,0),$P1967*(1-AG1967)*IFERROR(INDEX(계정대체기준!$D$20:$D$49,MATCH($N1967,계정대체기준!$A$20:$A$49,0)),0)))</f>
        <v/>
      </c>
      <c r="AB1967" s="94">
        <f>IF($A1967="",0,IF(AE1967="직접",IF(AF1967="수금비",$P1967,0),$P1967*(1-AG1967)*IFERROR(INDEX(계정대체기준!$E$20:$E$49,MATCH($N1967,계정대체기준!$A$20:$A$49,0)),0)))</f>
        <v/>
      </c>
      <c r="AC1967" s="9">
        <f>IF(AND($A1967&lt;&gt;"",M1967=설정!$C$20,Z1967&gt;0),Z1967+ROW()/1000000000,"")</f>
        <v/>
      </c>
      <c r="AD1967" s="94">
        <f>IF($A1967="",0,$P1967*AG1967)</f>
        <v/>
      </c>
      <c r="AE1967" s="64">
        <f>IF($A1967="","",IFERROR(INDEX(계정매핑!$E$5:$E$504,MATCH($F1967&amp;"",계정매핑!$A$5:$A$504,0))&amp;"","공통비"))</f>
        <v/>
      </c>
      <c r="AF1967" s="64">
        <f>IF($A1967="","",IF(AE1967="직접",IFERROR(INDEX(계정매핑!$F$5:$F$504,MATCH($F1967&amp;"",계정매핑!$A$5:$A$504,0))&amp;"","비귀속"),""))</f>
        <v/>
      </c>
      <c r="AG1967" s="96">
        <f>IF($A1967="",0,IF(AND(AE1967&lt;&gt;"직접",IFERROR(INDEX(계정매핑!$G$5:$G$504,MATCH($F1967&amp;"",계정매핑!$A$5:$A$504,0))&amp;"","")="유지비",COUNTIF(계정대체기준!$A$6:$A$15,$N1967)&gt;0),IFERROR(INDEX(계정대체기준!$E$6:$E$15,MATCH(VALUE($A1967&amp;""),계정대체기준!$D$6:$D$15,0)),0),0))</f>
        <v/>
      </c>
      <c r="AH1967" s="64">
        <f>IF($A1967="","",IF(AD1967=0,"",IF(OR(COUNTIF(계정대체기준!$A$77:$A$86,$N1967)&gt;0,ISNUMBER(MATCH($X1967,계정대체기준!$D$77:$D$86,0)),ISNUMBER(MATCH($F1967,계정대체기준!$D$77:$D$86,0))),"Y","N")))</f>
        <v/>
      </c>
    </row>
    <row r="1968">
      <c r="A1968" s="92" t="n">
        <v>2025</v>
      </c>
      <c r="B1968" s="92" t="n">
        <v>9</v>
      </c>
      <c r="C1968" s="92" t="inlineStr">
        <is>
          <t>5100001964</t>
        </is>
      </c>
      <c r="D1968" s="95" t="n">
        <v>45918</v>
      </c>
      <c r="E1968" s="92" t="inlineStr">
        <is>
          <t>KR</t>
        </is>
      </c>
      <c r="F1968" s="92" t="n">
        <v>62501000</v>
      </c>
      <c r="G1968" s="92" t="n">
        <v>1602</v>
      </c>
      <c r="H1968" s="93" t="n">
        <v>176000</v>
      </c>
      <c r="I1968" s="92" t="inlineStr">
        <is>
          <t>9월 회의 다과 - T케이터링</t>
        </is>
      </c>
      <c r="J1968" s="92" t="inlineStr">
        <is>
          <t>V10005</t>
        </is>
      </c>
      <c r="K1968" s="92" t="inlineStr">
        <is>
          <t>T케이터링</t>
        </is>
      </c>
      <c r="M1968" s="9">
        <f>IF($A1968="","",VALUE($A1968&amp;"")*12+VALUE($B1968&amp;""))</f>
        <v/>
      </c>
      <c r="N1968" s="64">
        <f>IF($A1968="","",IFERROR(INDEX(부서매핑!$C$5:$C$504,MATCH($G1968&amp;"",부서매핑!$A$5:$A$504,0)),"미매핑"))</f>
        <v/>
      </c>
      <c r="O1968" s="9">
        <f>IF($A1968="","",N1968&amp;"|"&amp;$F1968)</f>
        <v/>
      </c>
      <c r="P1968" s="94">
        <f>IF($A1968="",0,$H1968*설정!$C$23)</f>
        <v/>
      </c>
      <c r="Q1968" s="64">
        <f>IF($A1968="","",IF(O1968&lt;&gt;원인분석!$C$9,"",IF(AND(M1968&gt;=원인분석!$C$10,M1968&lt;=원인분석!$C$11),"당기",IF(AND(M1968&gt;=원인분석!$C$12,M1968&lt;=원인분석!$C$13),"비교",""))))</f>
        <v/>
      </c>
      <c r="R1968" s="9">
        <f>IF(Q1968="","",$K1968&amp;"")</f>
        <v/>
      </c>
      <c r="S1968" s="9">
        <f>IF(Q1968="","",IF(MATCH(R1968,$R$5:$R$100000,0)=ROW()-4,ROW(),""))</f>
        <v/>
      </c>
      <c r="T1968" s="9">
        <f>IF(Q1968="당기",ABS(P1968)+ROW()/1000000000,"")</f>
        <v/>
      </c>
      <c r="U1968" s="9">
        <f>IF(Q1968="비교",ABS(P1968)+ROW()/1000000000,"")</f>
        <v/>
      </c>
      <c r="V1968" s="64">
        <f>IF($A1968="","",IF(COUNTIF(변동분석!$E$7:$E$506,O1968)&gt;0,"Y","N"))</f>
        <v/>
      </c>
      <c r="W1968" s="64">
        <f>IF($A1968="","",IFERROR(INDEX(계정매핑!$D$5:$D$504,MATCH($F1968&amp;"",계정매핑!$A$5:$A$504,0)),"미매핑"))</f>
        <v/>
      </c>
      <c r="X1968" s="9">
        <f>IF($A1968="","",$F1968&amp;"")</f>
        <v/>
      </c>
      <c r="Y1968" s="94">
        <f>IF($A1968="",0,IF(AE1968="직접",IF(AF1968="비귀속",$P1968,0),$P1968*(1-AG1968)*IFERROR(INDEX(계정대체기준!$F$20:$F$49,MATCH($N1968,계정대체기준!$A$20:$A$49,0)),1)))</f>
        <v/>
      </c>
      <c r="Z1968" s="94">
        <f>IF($A1968="",0,IF(AE1968="직접",IF(AF1968="신계약비",$P1968,0),$P1968*(1-AG1968)*IFERROR(INDEX(계정대체기준!$C$20:$C$49,MATCH($N1968,계정대체기준!$A$20:$A$49,0)),0)))</f>
        <v/>
      </c>
      <c r="AA1968" s="94">
        <f>IF($A1968="",0,IF(AE1968="직접",IF(OR(AF1968="유지비",AF1968="손해조사비"),$P1968,0),$P1968*(1-AG1968)*IFERROR(INDEX(계정대체기준!$D$20:$D$49,MATCH($N1968,계정대체기준!$A$20:$A$49,0)),0)))</f>
        <v/>
      </c>
      <c r="AB1968" s="94">
        <f>IF($A1968="",0,IF(AE1968="직접",IF(AF1968="수금비",$P1968,0),$P1968*(1-AG1968)*IFERROR(INDEX(계정대체기준!$E$20:$E$49,MATCH($N1968,계정대체기준!$A$20:$A$49,0)),0)))</f>
        <v/>
      </c>
      <c r="AC1968" s="9">
        <f>IF(AND($A1968&lt;&gt;"",M1968=설정!$C$20,Z1968&gt;0),Z1968+ROW()/1000000000,"")</f>
        <v/>
      </c>
      <c r="AD1968" s="94">
        <f>IF($A1968="",0,$P1968*AG1968)</f>
        <v/>
      </c>
      <c r="AE1968" s="64">
        <f>IF($A1968="","",IFERROR(INDEX(계정매핑!$E$5:$E$504,MATCH($F1968&amp;"",계정매핑!$A$5:$A$504,0))&amp;"","공통비"))</f>
        <v/>
      </c>
      <c r="AF1968" s="64">
        <f>IF($A1968="","",IF(AE1968="직접",IFERROR(INDEX(계정매핑!$F$5:$F$504,MATCH($F1968&amp;"",계정매핑!$A$5:$A$504,0))&amp;"","비귀속"),""))</f>
        <v/>
      </c>
      <c r="AG1968" s="96">
        <f>IF($A1968="",0,IF(AND(AE1968&lt;&gt;"직접",IFERROR(INDEX(계정매핑!$G$5:$G$504,MATCH($F1968&amp;"",계정매핑!$A$5:$A$504,0))&amp;"","")="유지비",COUNTIF(계정대체기준!$A$6:$A$15,$N1968)&gt;0),IFERROR(INDEX(계정대체기준!$E$6:$E$15,MATCH(VALUE($A1968&amp;""),계정대체기준!$D$6:$D$15,0)),0),0))</f>
        <v/>
      </c>
      <c r="AH1968" s="64">
        <f>IF($A1968="","",IF(AD1968=0,"",IF(OR(COUNTIF(계정대체기준!$A$77:$A$86,$N1968)&gt;0,ISNUMBER(MATCH($X1968,계정대체기준!$D$77:$D$86,0)),ISNUMBER(MATCH($F1968,계정대체기준!$D$77:$D$86,0))),"Y","N")))</f>
        <v/>
      </c>
    </row>
    <row r="1969">
      <c r="A1969" s="92" t="n">
        <v>2025</v>
      </c>
      <c r="B1969" s="92" t="n">
        <v>9</v>
      </c>
      <c r="C1969" s="92" t="inlineStr">
        <is>
          <t>5100001965</t>
        </is>
      </c>
      <c r="D1969" s="95" t="n">
        <v>45918</v>
      </c>
      <c r="E1969" s="92" t="inlineStr">
        <is>
          <t>KR</t>
        </is>
      </c>
      <c r="F1969" s="92" t="n">
        <v>62901000</v>
      </c>
      <c r="G1969" s="92" t="n">
        <v>1951</v>
      </c>
      <c r="H1969" s="93" t="n">
        <v>4800000</v>
      </c>
      <c r="I1969" s="92" t="inlineStr">
        <is>
          <t>9월 자문 수수료 - K회계법인</t>
        </is>
      </c>
      <c r="J1969" s="92" t="inlineStr">
        <is>
          <t>V10011</t>
        </is>
      </c>
      <c r="K1969" s="92" t="inlineStr">
        <is>
          <t>K회계법인</t>
        </is>
      </c>
      <c r="M1969" s="9">
        <f>IF($A1969="","",VALUE($A1969&amp;"")*12+VALUE($B1969&amp;""))</f>
        <v/>
      </c>
      <c r="N1969" s="64">
        <f>IF($A1969="","",IFERROR(INDEX(부서매핑!$C$5:$C$504,MATCH($G1969&amp;"",부서매핑!$A$5:$A$504,0)),"미매핑"))</f>
        <v/>
      </c>
      <c r="O1969" s="9">
        <f>IF($A1969="","",N1969&amp;"|"&amp;$F1969)</f>
        <v/>
      </c>
      <c r="P1969" s="94">
        <f>IF($A1969="",0,$H1969*설정!$C$23)</f>
        <v/>
      </c>
      <c r="Q1969" s="64">
        <f>IF($A1969="","",IF(O1969&lt;&gt;원인분석!$C$9,"",IF(AND(M1969&gt;=원인분석!$C$10,M1969&lt;=원인분석!$C$11),"당기",IF(AND(M1969&gt;=원인분석!$C$12,M1969&lt;=원인분석!$C$13),"비교",""))))</f>
        <v/>
      </c>
      <c r="R1969" s="9">
        <f>IF(Q1969="","",$K1969&amp;"")</f>
        <v/>
      </c>
      <c r="S1969" s="9">
        <f>IF(Q1969="","",IF(MATCH(R1969,$R$5:$R$100000,0)=ROW()-4,ROW(),""))</f>
        <v/>
      </c>
      <c r="T1969" s="9">
        <f>IF(Q1969="당기",ABS(P1969)+ROW()/1000000000,"")</f>
        <v/>
      </c>
      <c r="U1969" s="9">
        <f>IF(Q1969="비교",ABS(P1969)+ROW()/1000000000,"")</f>
        <v/>
      </c>
      <c r="V1969" s="64">
        <f>IF($A1969="","",IF(COUNTIF(변동분석!$E$7:$E$506,O1969)&gt;0,"Y","N"))</f>
        <v/>
      </c>
      <c r="W1969" s="64">
        <f>IF($A1969="","",IFERROR(INDEX(계정매핑!$D$5:$D$504,MATCH($F1969&amp;"",계정매핑!$A$5:$A$504,0)),"미매핑"))</f>
        <v/>
      </c>
      <c r="X1969" s="9">
        <f>IF($A1969="","",$F1969&amp;"")</f>
        <v/>
      </c>
      <c r="Y1969" s="94">
        <f>IF($A1969="",0,IF(AE1969="직접",IF(AF1969="비귀속",$P1969,0),$P1969*(1-AG1969)*IFERROR(INDEX(계정대체기준!$F$20:$F$49,MATCH($N1969,계정대체기준!$A$20:$A$49,0)),1)))</f>
        <v/>
      </c>
      <c r="Z1969" s="94">
        <f>IF($A1969="",0,IF(AE1969="직접",IF(AF1969="신계약비",$P1969,0),$P1969*(1-AG1969)*IFERROR(INDEX(계정대체기준!$C$20:$C$49,MATCH($N1969,계정대체기준!$A$20:$A$49,0)),0)))</f>
        <v/>
      </c>
      <c r="AA1969" s="94">
        <f>IF($A1969="",0,IF(AE1969="직접",IF(OR(AF1969="유지비",AF1969="손해조사비"),$P1969,0),$P1969*(1-AG1969)*IFERROR(INDEX(계정대체기준!$D$20:$D$49,MATCH($N1969,계정대체기준!$A$20:$A$49,0)),0)))</f>
        <v/>
      </c>
      <c r="AB1969" s="94">
        <f>IF($A1969="",0,IF(AE1969="직접",IF(AF1969="수금비",$P1969,0),$P1969*(1-AG1969)*IFERROR(INDEX(계정대체기준!$E$20:$E$49,MATCH($N1969,계정대체기준!$A$20:$A$49,0)),0)))</f>
        <v/>
      </c>
      <c r="AC1969" s="9">
        <f>IF(AND($A1969&lt;&gt;"",M1969=설정!$C$20,Z1969&gt;0),Z1969+ROW()/1000000000,"")</f>
        <v/>
      </c>
      <c r="AD1969" s="94">
        <f>IF($A1969="",0,$P1969*AG1969)</f>
        <v/>
      </c>
      <c r="AE1969" s="64">
        <f>IF($A1969="","",IFERROR(INDEX(계정매핑!$E$5:$E$504,MATCH($F1969&amp;"",계정매핑!$A$5:$A$504,0))&amp;"","공통비"))</f>
        <v/>
      </c>
      <c r="AF1969" s="64">
        <f>IF($A1969="","",IF(AE1969="직접",IFERROR(INDEX(계정매핑!$F$5:$F$504,MATCH($F1969&amp;"",계정매핑!$A$5:$A$504,0))&amp;"","비귀속"),""))</f>
        <v/>
      </c>
      <c r="AG1969" s="96">
        <f>IF($A1969="",0,IF(AND(AE1969&lt;&gt;"직접",IFERROR(INDEX(계정매핑!$G$5:$G$504,MATCH($F1969&amp;"",계정매핑!$A$5:$A$504,0))&amp;"","")="유지비",COUNTIF(계정대체기준!$A$6:$A$15,$N1969)&gt;0),IFERROR(INDEX(계정대체기준!$E$6:$E$15,MATCH(VALUE($A1969&amp;""),계정대체기준!$D$6:$D$15,0)),0),0))</f>
        <v/>
      </c>
      <c r="AH1969" s="64">
        <f>IF($A1969="","",IF(AD1969=0,"",IF(OR(COUNTIF(계정대체기준!$A$77:$A$86,$N1969)&gt;0,ISNUMBER(MATCH($X1969,계정대체기준!$D$77:$D$86,0)),ISNUMBER(MATCH($F1969,계정대체기준!$D$77:$D$86,0))),"Y","N")))</f>
        <v/>
      </c>
    </row>
    <row r="1970">
      <c r="A1970" s="92" t="n">
        <v>2025</v>
      </c>
      <c r="B1970" s="92" t="n">
        <v>9</v>
      </c>
      <c r="C1970" s="92" t="inlineStr">
        <is>
          <t>5100001966</t>
        </is>
      </c>
      <c r="D1970" s="95" t="n">
        <v>45918</v>
      </c>
      <c r="E1970" s="92" t="inlineStr">
        <is>
          <t>KR</t>
        </is>
      </c>
      <c r="F1970" s="92" t="n">
        <v>63501000</v>
      </c>
      <c r="G1970" s="92" t="n">
        <v>1902</v>
      </c>
      <c r="H1970" s="93" t="n">
        <v>391037000</v>
      </c>
      <c r="I1970" s="92" t="inlineStr">
        <is>
          <t>9월 모집수수료 - AA보험대리점</t>
        </is>
      </c>
      <c r="J1970" s="92" t="inlineStr">
        <is>
          <t>V10034</t>
        </is>
      </c>
      <c r="K1970" s="92" t="inlineStr">
        <is>
          <t>AA보험대리점</t>
        </is>
      </c>
      <c r="M1970" s="9">
        <f>IF($A1970="","",VALUE($A1970&amp;"")*12+VALUE($B1970&amp;""))</f>
        <v/>
      </c>
      <c r="N1970" s="64">
        <f>IF($A1970="","",IFERROR(INDEX(부서매핑!$C$5:$C$504,MATCH($G1970&amp;"",부서매핑!$A$5:$A$504,0)),"미매핑"))</f>
        <v/>
      </c>
      <c r="O1970" s="9">
        <f>IF($A1970="","",N1970&amp;"|"&amp;$F1970)</f>
        <v/>
      </c>
      <c r="P1970" s="94">
        <f>IF($A1970="",0,$H1970*설정!$C$23)</f>
        <v/>
      </c>
      <c r="Q1970" s="64">
        <f>IF($A1970="","",IF(O1970&lt;&gt;원인분석!$C$9,"",IF(AND(M1970&gt;=원인분석!$C$10,M1970&lt;=원인분석!$C$11),"당기",IF(AND(M1970&gt;=원인분석!$C$12,M1970&lt;=원인분석!$C$13),"비교",""))))</f>
        <v/>
      </c>
      <c r="R1970" s="9">
        <f>IF(Q1970="","",$K1970&amp;"")</f>
        <v/>
      </c>
      <c r="S1970" s="9">
        <f>IF(Q1970="","",IF(MATCH(R1970,$R$5:$R$100000,0)=ROW()-4,ROW(),""))</f>
        <v/>
      </c>
      <c r="T1970" s="9">
        <f>IF(Q1970="당기",ABS(P1970)+ROW()/1000000000,"")</f>
        <v/>
      </c>
      <c r="U1970" s="9">
        <f>IF(Q1970="비교",ABS(P1970)+ROW()/1000000000,"")</f>
        <v/>
      </c>
      <c r="V1970" s="64">
        <f>IF($A1970="","",IF(COUNTIF(변동분석!$E$7:$E$506,O1970)&gt;0,"Y","N"))</f>
        <v/>
      </c>
      <c r="W1970" s="64">
        <f>IF($A1970="","",IFERROR(INDEX(계정매핑!$D$5:$D$504,MATCH($F1970&amp;"",계정매핑!$A$5:$A$504,0)),"미매핑"))</f>
        <v/>
      </c>
      <c r="X1970" s="9">
        <f>IF($A1970="","",$F1970&amp;"")</f>
        <v/>
      </c>
      <c r="Y1970" s="94">
        <f>IF($A1970="",0,IF(AE1970="직접",IF(AF1970="비귀속",$P1970,0),$P1970*(1-AG1970)*IFERROR(INDEX(계정대체기준!$F$20:$F$49,MATCH($N1970,계정대체기준!$A$20:$A$49,0)),1)))</f>
        <v/>
      </c>
      <c r="Z1970" s="94">
        <f>IF($A1970="",0,IF(AE1970="직접",IF(AF1970="신계약비",$P1970,0),$P1970*(1-AG1970)*IFERROR(INDEX(계정대체기준!$C$20:$C$49,MATCH($N1970,계정대체기준!$A$20:$A$49,0)),0)))</f>
        <v/>
      </c>
      <c r="AA1970" s="94">
        <f>IF($A1970="",0,IF(AE1970="직접",IF(OR(AF1970="유지비",AF1970="손해조사비"),$P1970,0),$P1970*(1-AG1970)*IFERROR(INDEX(계정대체기준!$D$20:$D$49,MATCH($N1970,계정대체기준!$A$20:$A$49,0)),0)))</f>
        <v/>
      </c>
      <c r="AB1970" s="94">
        <f>IF($A1970="",0,IF(AE1970="직접",IF(AF1970="수금비",$P1970,0),$P1970*(1-AG1970)*IFERROR(INDEX(계정대체기준!$E$20:$E$49,MATCH($N1970,계정대체기준!$A$20:$A$49,0)),0)))</f>
        <v/>
      </c>
      <c r="AC1970" s="9">
        <f>IF(AND($A1970&lt;&gt;"",M1970=설정!$C$20,Z1970&gt;0),Z1970+ROW()/1000000000,"")</f>
        <v/>
      </c>
      <c r="AD1970" s="94">
        <f>IF($A1970="",0,$P1970*AG1970)</f>
        <v/>
      </c>
      <c r="AE1970" s="64">
        <f>IF($A1970="","",IFERROR(INDEX(계정매핑!$E$5:$E$504,MATCH($F1970&amp;"",계정매핑!$A$5:$A$504,0))&amp;"","공통비"))</f>
        <v/>
      </c>
      <c r="AF1970" s="64">
        <f>IF($A1970="","",IF(AE1970="직접",IFERROR(INDEX(계정매핑!$F$5:$F$504,MATCH($F1970&amp;"",계정매핑!$A$5:$A$504,0))&amp;"","비귀속"),""))</f>
        <v/>
      </c>
      <c r="AG1970" s="96">
        <f>IF($A1970="",0,IF(AND(AE1970&lt;&gt;"직접",IFERROR(INDEX(계정매핑!$G$5:$G$504,MATCH($F1970&amp;"",계정매핑!$A$5:$A$504,0))&amp;"","")="유지비",COUNTIF(계정대체기준!$A$6:$A$15,$N1970)&gt;0),IFERROR(INDEX(계정대체기준!$E$6:$E$15,MATCH(VALUE($A1970&amp;""),계정대체기준!$D$6:$D$15,0)),0),0))</f>
        <v/>
      </c>
      <c r="AH1970" s="64">
        <f>IF($A1970="","",IF(AD1970=0,"",IF(OR(COUNTIF(계정대체기준!$A$77:$A$86,$N1970)&gt;0,ISNUMBER(MATCH($X1970,계정대체기준!$D$77:$D$86,0)),ISNUMBER(MATCH($F1970,계정대체기준!$D$77:$D$86,0))),"Y","N")))</f>
        <v/>
      </c>
    </row>
    <row r="1971">
      <c r="A1971" s="92" t="n">
        <v>2025</v>
      </c>
      <c r="B1971" s="92" t="n">
        <v>9</v>
      </c>
      <c r="C1971" s="92" t="inlineStr">
        <is>
          <t>5100001967</t>
        </is>
      </c>
      <c r="D1971" s="95" t="n">
        <v>45918</v>
      </c>
      <c r="E1971" s="92" t="inlineStr">
        <is>
          <t>KR</t>
        </is>
      </c>
      <c r="F1971" s="92" t="n">
        <v>63502000</v>
      </c>
      <c r="G1971" s="92" t="n">
        <v>1902</v>
      </c>
      <c r="H1971" s="93" t="n">
        <v>101306000</v>
      </c>
      <c r="I1971" s="92" t="inlineStr">
        <is>
          <t>9월 유지수수료 - CC금융서비스</t>
        </is>
      </c>
      <c r="J1971" s="92" t="inlineStr">
        <is>
          <t>V10029</t>
        </is>
      </c>
      <c r="K1971" s="92" t="inlineStr">
        <is>
          <t>CC금융서비스</t>
        </is>
      </c>
      <c r="M1971" s="9">
        <f>IF($A1971="","",VALUE($A1971&amp;"")*12+VALUE($B1971&amp;""))</f>
        <v/>
      </c>
      <c r="N1971" s="64">
        <f>IF($A1971="","",IFERROR(INDEX(부서매핑!$C$5:$C$504,MATCH($G1971&amp;"",부서매핑!$A$5:$A$504,0)),"미매핑"))</f>
        <v/>
      </c>
      <c r="O1971" s="9">
        <f>IF($A1971="","",N1971&amp;"|"&amp;$F1971)</f>
        <v/>
      </c>
      <c r="P1971" s="94">
        <f>IF($A1971="",0,$H1971*설정!$C$23)</f>
        <v/>
      </c>
      <c r="Q1971" s="64">
        <f>IF($A1971="","",IF(O1971&lt;&gt;원인분석!$C$9,"",IF(AND(M1971&gt;=원인분석!$C$10,M1971&lt;=원인분석!$C$11),"당기",IF(AND(M1971&gt;=원인분석!$C$12,M1971&lt;=원인분석!$C$13),"비교",""))))</f>
        <v/>
      </c>
      <c r="R1971" s="9">
        <f>IF(Q1971="","",$K1971&amp;"")</f>
        <v/>
      </c>
      <c r="S1971" s="9">
        <f>IF(Q1971="","",IF(MATCH(R1971,$R$5:$R$100000,0)=ROW()-4,ROW(),""))</f>
        <v/>
      </c>
      <c r="T1971" s="9">
        <f>IF(Q1971="당기",ABS(P1971)+ROW()/1000000000,"")</f>
        <v/>
      </c>
      <c r="U1971" s="9">
        <f>IF(Q1971="비교",ABS(P1971)+ROW()/1000000000,"")</f>
        <v/>
      </c>
      <c r="V1971" s="64">
        <f>IF($A1971="","",IF(COUNTIF(변동분석!$E$7:$E$506,O1971)&gt;0,"Y","N"))</f>
        <v/>
      </c>
      <c r="W1971" s="64">
        <f>IF($A1971="","",IFERROR(INDEX(계정매핑!$D$5:$D$504,MATCH($F1971&amp;"",계정매핑!$A$5:$A$504,0)),"미매핑"))</f>
        <v/>
      </c>
      <c r="X1971" s="9">
        <f>IF($A1971="","",$F1971&amp;"")</f>
        <v/>
      </c>
      <c r="Y1971" s="94">
        <f>IF($A1971="",0,IF(AE1971="직접",IF(AF1971="비귀속",$P1971,0),$P1971*(1-AG1971)*IFERROR(INDEX(계정대체기준!$F$20:$F$49,MATCH($N1971,계정대체기준!$A$20:$A$49,0)),1)))</f>
        <v/>
      </c>
      <c r="Z1971" s="94">
        <f>IF($A1971="",0,IF(AE1971="직접",IF(AF1971="신계약비",$P1971,0),$P1971*(1-AG1971)*IFERROR(INDEX(계정대체기준!$C$20:$C$49,MATCH($N1971,계정대체기준!$A$20:$A$49,0)),0)))</f>
        <v/>
      </c>
      <c r="AA1971" s="94">
        <f>IF($A1971="",0,IF(AE1971="직접",IF(OR(AF1971="유지비",AF1971="손해조사비"),$P1971,0),$P1971*(1-AG1971)*IFERROR(INDEX(계정대체기준!$D$20:$D$49,MATCH($N1971,계정대체기준!$A$20:$A$49,0)),0)))</f>
        <v/>
      </c>
      <c r="AB1971" s="94">
        <f>IF($A1971="",0,IF(AE1971="직접",IF(AF1971="수금비",$P1971,0),$P1971*(1-AG1971)*IFERROR(INDEX(계정대체기준!$E$20:$E$49,MATCH($N1971,계정대체기준!$A$20:$A$49,0)),0)))</f>
        <v/>
      </c>
      <c r="AC1971" s="9">
        <f>IF(AND($A1971&lt;&gt;"",M1971=설정!$C$20,Z1971&gt;0),Z1971+ROW()/1000000000,"")</f>
        <v/>
      </c>
      <c r="AD1971" s="94">
        <f>IF($A1971="",0,$P1971*AG1971)</f>
        <v/>
      </c>
      <c r="AE1971" s="64">
        <f>IF($A1971="","",IFERROR(INDEX(계정매핑!$E$5:$E$504,MATCH($F1971&amp;"",계정매핑!$A$5:$A$504,0))&amp;"","공통비"))</f>
        <v/>
      </c>
      <c r="AF1971" s="64">
        <f>IF($A1971="","",IF(AE1971="직접",IFERROR(INDEX(계정매핑!$F$5:$F$504,MATCH($F1971&amp;"",계정매핑!$A$5:$A$504,0))&amp;"","비귀속"),""))</f>
        <v/>
      </c>
      <c r="AG1971" s="96">
        <f>IF($A1971="",0,IF(AND(AE1971&lt;&gt;"직접",IFERROR(INDEX(계정매핑!$G$5:$G$504,MATCH($F1971&amp;"",계정매핑!$A$5:$A$504,0))&amp;"","")="유지비",COUNTIF(계정대체기준!$A$6:$A$15,$N1971)&gt;0),IFERROR(INDEX(계정대체기준!$E$6:$E$15,MATCH(VALUE($A1971&amp;""),계정대체기준!$D$6:$D$15,0)),0),0))</f>
        <v/>
      </c>
      <c r="AH1971" s="64">
        <f>IF($A1971="","",IF(AD1971=0,"",IF(OR(COUNTIF(계정대체기준!$A$77:$A$86,$N1971)&gt;0,ISNUMBER(MATCH($X1971,계정대체기준!$D$77:$D$86,0)),ISNUMBER(MATCH($F1971,계정대체기준!$D$77:$D$86,0))),"Y","N")))</f>
        <v/>
      </c>
    </row>
    <row r="1972">
      <c r="A1972" s="92" t="n">
        <v>2025</v>
      </c>
      <c r="B1972" s="92" t="n">
        <v>9</v>
      </c>
      <c r="C1972" s="92" t="inlineStr">
        <is>
          <t>5100001968</t>
        </is>
      </c>
      <c r="D1972" s="95" t="n">
        <v>45919</v>
      </c>
      <c r="E1972" s="92" t="inlineStr">
        <is>
          <t>KR</t>
        </is>
      </c>
      <c r="F1972" s="92" t="n">
        <v>62201000</v>
      </c>
      <c r="G1972" s="92" t="n">
        <v>1301</v>
      </c>
      <c r="H1972" s="93" t="n">
        <v>149000</v>
      </c>
      <c r="I1972" s="92" t="inlineStr">
        <is>
          <t>9월 통신요금 - P통신</t>
        </is>
      </c>
      <c r="J1972" s="92" t="inlineStr">
        <is>
          <t>V10014</t>
        </is>
      </c>
      <c r="K1972" s="92" t="inlineStr">
        <is>
          <t>P통신</t>
        </is>
      </c>
      <c r="M1972" s="9">
        <f>IF($A1972="","",VALUE($A1972&amp;"")*12+VALUE($B1972&amp;""))</f>
        <v/>
      </c>
      <c r="N1972" s="64">
        <f>IF($A1972="","",IFERROR(INDEX(부서매핑!$C$5:$C$504,MATCH($G1972&amp;"",부서매핑!$A$5:$A$504,0)),"미매핑"))</f>
        <v/>
      </c>
      <c r="O1972" s="9">
        <f>IF($A1972="","",N1972&amp;"|"&amp;$F1972)</f>
        <v/>
      </c>
      <c r="P1972" s="94">
        <f>IF($A1972="",0,$H1972*설정!$C$23)</f>
        <v/>
      </c>
      <c r="Q1972" s="64">
        <f>IF($A1972="","",IF(O1972&lt;&gt;원인분석!$C$9,"",IF(AND(M1972&gt;=원인분석!$C$10,M1972&lt;=원인분석!$C$11),"당기",IF(AND(M1972&gt;=원인분석!$C$12,M1972&lt;=원인분석!$C$13),"비교",""))))</f>
        <v/>
      </c>
      <c r="R1972" s="9">
        <f>IF(Q1972="","",$K1972&amp;"")</f>
        <v/>
      </c>
      <c r="S1972" s="9">
        <f>IF(Q1972="","",IF(MATCH(R1972,$R$5:$R$100000,0)=ROW()-4,ROW(),""))</f>
        <v/>
      </c>
      <c r="T1972" s="9">
        <f>IF(Q1972="당기",ABS(P1972)+ROW()/1000000000,"")</f>
        <v/>
      </c>
      <c r="U1972" s="9">
        <f>IF(Q1972="비교",ABS(P1972)+ROW()/1000000000,"")</f>
        <v/>
      </c>
      <c r="V1972" s="64">
        <f>IF($A1972="","",IF(COUNTIF(변동분석!$E$7:$E$506,O1972)&gt;0,"Y","N"))</f>
        <v/>
      </c>
      <c r="W1972" s="64">
        <f>IF($A1972="","",IFERROR(INDEX(계정매핑!$D$5:$D$504,MATCH($F1972&amp;"",계정매핑!$A$5:$A$504,0)),"미매핑"))</f>
        <v/>
      </c>
      <c r="X1972" s="9">
        <f>IF($A1972="","",$F1972&amp;"")</f>
        <v/>
      </c>
      <c r="Y1972" s="94">
        <f>IF($A1972="",0,IF(AE1972="직접",IF(AF1972="비귀속",$P1972,0),$P1972*(1-AG1972)*IFERROR(INDEX(계정대체기준!$F$20:$F$49,MATCH($N1972,계정대체기준!$A$20:$A$49,0)),1)))</f>
        <v/>
      </c>
      <c r="Z1972" s="94">
        <f>IF($A1972="",0,IF(AE1972="직접",IF(AF1972="신계약비",$P1972,0),$P1972*(1-AG1972)*IFERROR(INDEX(계정대체기준!$C$20:$C$49,MATCH($N1972,계정대체기준!$A$20:$A$49,0)),0)))</f>
        <v/>
      </c>
      <c r="AA1972" s="94">
        <f>IF($A1972="",0,IF(AE1972="직접",IF(OR(AF1972="유지비",AF1972="손해조사비"),$P1972,0),$P1972*(1-AG1972)*IFERROR(INDEX(계정대체기준!$D$20:$D$49,MATCH($N1972,계정대체기준!$A$20:$A$49,0)),0)))</f>
        <v/>
      </c>
      <c r="AB1972" s="94">
        <f>IF($A1972="",0,IF(AE1972="직접",IF(AF1972="수금비",$P1972,0),$P1972*(1-AG1972)*IFERROR(INDEX(계정대체기준!$E$20:$E$49,MATCH($N1972,계정대체기준!$A$20:$A$49,0)),0)))</f>
        <v/>
      </c>
      <c r="AC1972" s="9">
        <f>IF(AND($A1972&lt;&gt;"",M1972=설정!$C$20,Z1972&gt;0),Z1972+ROW()/1000000000,"")</f>
        <v/>
      </c>
      <c r="AD1972" s="94">
        <f>IF($A1972="",0,$P1972*AG1972)</f>
        <v/>
      </c>
      <c r="AE1972" s="64">
        <f>IF($A1972="","",IFERROR(INDEX(계정매핑!$E$5:$E$504,MATCH($F1972&amp;"",계정매핑!$A$5:$A$504,0))&amp;"","공통비"))</f>
        <v/>
      </c>
      <c r="AF1972" s="64">
        <f>IF($A1972="","",IF(AE1972="직접",IFERROR(INDEX(계정매핑!$F$5:$F$504,MATCH($F1972&amp;"",계정매핑!$A$5:$A$504,0))&amp;"","비귀속"),""))</f>
        <v/>
      </c>
      <c r="AG1972" s="96">
        <f>IF($A1972="",0,IF(AND(AE1972&lt;&gt;"직접",IFERROR(INDEX(계정매핑!$G$5:$G$504,MATCH($F1972&amp;"",계정매핑!$A$5:$A$504,0))&amp;"","")="유지비",COUNTIF(계정대체기준!$A$6:$A$15,$N1972)&gt;0),IFERROR(INDEX(계정대체기준!$E$6:$E$15,MATCH(VALUE($A1972&amp;""),계정대체기준!$D$6:$D$15,0)),0),0))</f>
        <v/>
      </c>
      <c r="AH1972" s="64">
        <f>IF($A1972="","",IF(AD1972=0,"",IF(OR(COUNTIF(계정대체기준!$A$77:$A$86,$N1972)&gt;0,ISNUMBER(MATCH($X1972,계정대체기준!$D$77:$D$86,0)),ISNUMBER(MATCH($F1972,계정대체기준!$D$77:$D$86,0))),"Y","N")))</f>
        <v/>
      </c>
    </row>
    <row r="1973">
      <c r="A1973" s="92" t="n">
        <v>2025</v>
      </c>
      <c r="B1973" s="92" t="n">
        <v>9</v>
      </c>
      <c r="C1973" s="92" t="inlineStr">
        <is>
          <t>5100001969</t>
        </is>
      </c>
      <c r="D1973" s="95" t="n">
        <v>45920</v>
      </c>
      <c r="E1973" s="92" t="inlineStr">
        <is>
          <t>KR</t>
        </is>
      </c>
      <c r="F1973" s="92" t="n">
        <v>62101000</v>
      </c>
      <c r="G1973" s="92" t="n">
        <v>1601</v>
      </c>
      <c r="H1973" s="93" t="n">
        <v>1310000</v>
      </c>
      <c r="I1973" s="92" t="inlineStr">
        <is>
          <t>9월 국내출장 - L여행사</t>
        </is>
      </c>
      <c r="J1973" s="92" t="inlineStr">
        <is>
          <t>V10018</t>
        </is>
      </c>
      <c r="K1973" s="92" t="inlineStr">
        <is>
          <t>L여행사</t>
        </is>
      </c>
      <c r="M1973" s="9">
        <f>IF($A1973="","",VALUE($A1973&amp;"")*12+VALUE($B1973&amp;""))</f>
        <v/>
      </c>
      <c r="N1973" s="64">
        <f>IF($A1973="","",IFERROR(INDEX(부서매핑!$C$5:$C$504,MATCH($G1973&amp;"",부서매핑!$A$5:$A$504,0)),"미매핑"))</f>
        <v/>
      </c>
      <c r="O1973" s="9">
        <f>IF($A1973="","",N1973&amp;"|"&amp;$F1973)</f>
        <v/>
      </c>
      <c r="P1973" s="94">
        <f>IF($A1973="",0,$H1973*설정!$C$23)</f>
        <v/>
      </c>
      <c r="Q1973" s="64">
        <f>IF($A1973="","",IF(O1973&lt;&gt;원인분석!$C$9,"",IF(AND(M1973&gt;=원인분석!$C$10,M1973&lt;=원인분석!$C$11),"당기",IF(AND(M1973&gt;=원인분석!$C$12,M1973&lt;=원인분석!$C$13),"비교",""))))</f>
        <v/>
      </c>
      <c r="R1973" s="9">
        <f>IF(Q1973="","",$K1973&amp;"")</f>
        <v/>
      </c>
      <c r="S1973" s="9">
        <f>IF(Q1973="","",IF(MATCH(R1973,$R$5:$R$100000,0)=ROW()-4,ROW(),""))</f>
        <v/>
      </c>
      <c r="T1973" s="9">
        <f>IF(Q1973="당기",ABS(P1973)+ROW()/1000000000,"")</f>
        <v/>
      </c>
      <c r="U1973" s="9">
        <f>IF(Q1973="비교",ABS(P1973)+ROW()/1000000000,"")</f>
        <v/>
      </c>
      <c r="V1973" s="64">
        <f>IF($A1973="","",IF(COUNTIF(변동분석!$E$7:$E$506,O1973)&gt;0,"Y","N"))</f>
        <v/>
      </c>
      <c r="W1973" s="64">
        <f>IF($A1973="","",IFERROR(INDEX(계정매핑!$D$5:$D$504,MATCH($F1973&amp;"",계정매핑!$A$5:$A$504,0)),"미매핑"))</f>
        <v/>
      </c>
      <c r="X1973" s="9">
        <f>IF($A1973="","",$F1973&amp;"")</f>
        <v/>
      </c>
      <c r="Y1973" s="94">
        <f>IF($A1973="",0,IF(AE1973="직접",IF(AF1973="비귀속",$P1973,0),$P1973*(1-AG1973)*IFERROR(INDEX(계정대체기준!$F$20:$F$49,MATCH($N1973,계정대체기준!$A$20:$A$49,0)),1)))</f>
        <v/>
      </c>
      <c r="Z1973" s="94">
        <f>IF($A1973="",0,IF(AE1973="직접",IF(AF1973="신계약비",$P1973,0),$P1973*(1-AG1973)*IFERROR(INDEX(계정대체기준!$C$20:$C$49,MATCH($N1973,계정대체기준!$A$20:$A$49,0)),0)))</f>
        <v/>
      </c>
      <c r="AA1973" s="94">
        <f>IF($A1973="",0,IF(AE1973="직접",IF(OR(AF1973="유지비",AF1973="손해조사비"),$P1973,0),$P1973*(1-AG1973)*IFERROR(INDEX(계정대체기준!$D$20:$D$49,MATCH($N1973,계정대체기준!$A$20:$A$49,0)),0)))</f>
        <v/>
      </c>
      <c r="AB1973" s="94">
        <f>IF($A1973="",0,IF(AE1973="직접",IF(AF1973="수금비",$P1973,0),$P1973*(1-AG1973)*IFERROR(INDEX(계정대체기준!$E$20:$E$49,MATCH($N1973,계정대체기준!$A$20:$A$49,0)),0)))</f>
        <v/>
      </c>
      <c r="AC1973" s="9">
        <f>IF(AND($A1973&lt;&gt;"",M1973=설정!$C$20,Z1973&gt;0),Z1973+ROW()/1000000000,"")</f>
        <v/>
      </c>
      <c r="AD1973" s="94">
        <f>IF($A1973="",0,$P1973*AG1973)</f>
        <v/>
      </c>
      <c r="AE1973" s="64">
        <f>IF($A1973="","",IFERROR(INDEX(계정매핑!$E$5:$E$504,MATCH($F1973&amp;"",계정매핑!$A$5:$A$504,0))&amp;"","공통비"))</f>
        <v/>
      </c>
      <c r="AF1973" s="64">
        <f>IF($A1973="","",IF(AE1973="직접",IFERROR(INDEX(계정매핑!$F$5:$F$504,MATCH($F1973&amp;"",계정매핑!$A$5:$A$504,0))&amp;"","비귀속"),""))</f>
        <v/>
      </c>
      <c r="AG1973" s="96">
        <f>IF($A1973="",0,IF(AND(AE1973&lt;&gt;"직접",IFERROR(INDEX(계정매핑!$G$5:$G$504,MATCH($F1973&amp;"",계정매핑!$A$5:$A$504,0))&amp;"","")="유지비",COUNTIF(계정대체기준!$A$6:$A$15,$N1973)&gt;0),IFERROR(INDEX(계정대체기준!$E$6:$E$15,MATCH(VALUE($A1973&amp;""),계정대체기준!$D$6:$D$15,0)),0),0))</f>
        <v/>
      </c>
      <c r="AH1973" s="64">
        <f>IF($A1973="","",IF(AD1973=0,"",IF(OR(COUNTIF(계정대체기준!$A$77:$A$86,$N1973)&gt;0,ISNUMBER(MATCH($X1973,계정대체기준!$D$77:$D$86,0)),ISNUMBER(MATCH($F1973,계정대체기준!$D$77:$D$86,0))),"Y","N")))</f>
        <v/>
      </c>
    </row>
    <row r="1974">
      <c r="A1974" s="92" t="n">
        <v>2025</v>
      </c>
      <c r="B1974" s="92" t="n">
        <v>9</v>
      </c>
      <c r="C1974" s="92" t="inlineStr">
        <is>
          <t>5100001970</t>
        </is>
      </c>
      <c r="D1974" s="95" t="n">
        <v>45920</v>
      </c>
      <c r="E1974" s="92" t="inlineStr">
        <is>
          <t>KR</t>
        </is>
      </c>
      <c r="F1974" s="92" t="n">
        <v>62101000</v>
      </c>
      <c r="G1974" s="92" t="n">
        <v>1701</v>
      </c>
      <c r="H1974" s="93" t="n">
        <v>179000</v>
      </c>
      <c r="I1974" s="92" t="inlineStr">
        <is>
          <t>9월 국내출장 - (법인카드)</t>
        </is>
      </c>
      <c r="J1974" s="92" t="inlineStr">
        <is>
          <t>V10010</t>
        </is>
      </c>
      <c r="K1974" s="92" t="inlineStr">
        <is>
          <t>(법인카드)</t>
        </is>
      </c>
      <c r="M1974" s="9">
        <f>IF($A1974="","",VALUE($A1974&amp;"")*12+VALUE($B1974&amp;""))</f>
        <v/>
      </c>
      <c r="N1974" s="64">
        <f>IF($A1974="","",IFERROR(INDEX(부서매핑!$C$5:$C$504,MATCH($G1974&amp;"",부서매핑!$A$5:$A$504,0)),"미매핑"))</f>
        <v/>
      </c>
      <c r="O1974" s="9">
        <f>IF($A1974="","",N1974&amp;"|"&amp;$F1974)</f>
        <v/>
      </c>
      <c r="P1974" s="94">
        <f>IF($A1974="",0,$H1974*설정!$C$23)</f>
        <v/>
      </c>
      <c r="Q1974" s="64">
        <f>IF($A1974="","",IF(O1974&lt;&gt;원인분석!$C$9,"",IF(AND(M1974&gt;=원인분석!$C$10,M1974&lt;=원인분석!$C$11),"당기",IF(AND(M1974&gt;=원인분석!$C$12,M1974&lt;=원인분석!$C$13),"비교",""))))</f>
        <v/>
      </c>
      <c r="R1974" s="9">
        <f>IF(Q1974="","",$K1974&amp;"")</f>
        <v/>
      </c>
      <c r="S1974" s="9">
        <f>IF(Q1974="","",IF(MATCH(R1974,$R$5:$R$100000,0)=ROW()-4,ROW(),""))</f>
        <v/>
      </c>
      <c r="T1974" s="9">
        <f>IF(Q1974="당기",ABS(P1974)+ROW()/1000000000,"")</f>
        <v/>
      </c>
      <c r="U1974" s="9">
        <f>IF(Q1974="비교",ABS(P1974)+ROW()/1000000000,"")</f>
        <v/>
      </c>
      <c r="V1974" s="64">
        <f>IF($A1974="","",IF(COUNTIF(변동분석!$E$7:$E$506,O1974)&gt;0,"Y","N"))</f>
        <v/>
      </c>
      <c r="W1974" s="64">
        <f>IF($A1974="","",IFERROR(INDEX(계정매핑!$D$5:$D$504,MATCH($F1974&amp;"",계정매핑!$A$5:$A$504,0)),"미매핑"))</f>
        <v/>
      </c>
      <c r="X1974" s="9">
        <f>IF($A1974="","",$F1974&amp;"")</f>
        <v/>
      </c>
      <c r="Y1974" s="94">
        <f>IF($A1974="",0,IF(AE1974="직접",IF(AF1974="비귀속",$P1974,0),$P1974*(1-AG1974)*IFERROR(INDEX(계정대체기준!$F$20:$F$49,MATCH($N1974,계정대체기준!$A$20:$A$49,0)),1)))</f>
        <v/>
      </c>
      <c r="Z1974" s="94">
        <f>IF($A1974="",0,IF(AE1974="직접",IF(AF1974="신계약비",$P1974,0),$P1974*(1-AG1974)*IFERROR(INDEX(계정대체기준!$C$20:$C$49,MATCH($N1974,계정대체기준!$A$20:$A$49,0)),0)))</f>
        <v/>
      </c>
      <c r="AA1974" s="94">
        <f>IF($A1974="",0,IF(AE1974="직접",IF(OR(AF1974="유지비",AF1974="손해조사비"),$P1974,0),$P1974*(1-AG1974)*IFERROR(INDEX(계정대체기준!$D$20:$D$49,MATCH($N1974,계정대체기준!$A$20:$A$49,0)),0)))</f>
        <v/>
      </c>
      <c r="AB1974" s="94">
        <f>IF($A1974="",0,IF(AE1974="직접",IF(AF1974="수금비",$P1974,0),$P1974*(1-AG1974)*IFERROR(INDEX(계정대체기준!$E$20:$E$49,MATCH($N1974,계정대체기준!$A$20:$A$49,0)),0)))</f>
        <v/>
      </c>
      <c r="AC1974" s="9">
        <f>IF(AND($A1974&lt;&gt;"",M1974=설정!$C$20,Z1974&gt;0),Z1974+ROW()/1000000000,"")</f>
        <v/>
      </c>
      <c r="AD1974" s="94">
        <f>IF($A1974="",0,$P1974*AG1974)</f>
        <v/>
      </c>
      <c r="AE1974" s="64">
        <f>IF($A1974="","",IFERROR(INDEX(계정매핑!$E$5:$E$504,MATCH($F1974&amp;"",계정매핑!$A$5:$A$504,0))&amp;"","공통비"))</f>
        <v/>
      </c>
      <c r="AF1974" s="64">
        <f>IF($A1974="","",IF(AE1974="직접",IFERROR(INDEX(계정매핑!$F$5:$F$504,MATCH($F1974&amp;"",계정매핑!$A$5:$A$504,0))&amp;"","비귀속"),""))</f>
        <v/>
      </c>
      <c r="AG1974" s="96">
        <f>IF($A1974="",0,IF(AND(AE1974&lt;&gt;"직접",IFERROR(INDEX(계정매핑!$G$5:$G$504,MATCH($F1974&amp;"",계정매핑!$A$5:$A$504,0))&amp;"","")="유지비",COUNTIF(계정대체기준!$A$6:$A$15,$N1974)&gt;0),IFERROR(INDEX(계정대체기준!$E$6:$E$15,MATCH(VALUE($A1974&amp;""),계정대체기준!$D$6:$D$15,0)),0),0))</f>
        <v/>
      </c>
      <c r="AH1974" s="64">
        <f>IF($A1974="","",IF(AD1974=0,"",IF(OR(COUNTIF(계정대체기준!$A$77:$A$86,$N1974)&gt;0,ISNUMBER(MATCH($X1974,계정대체기준!$D$77:$D$86,0)),ISNUMBER(MATCH($F1974,계정대체기준!$D$77:$D$86,0))),"Y","N")))</f>
        <v/>
      </c>
    </row>
    <row r="1975">
      <c r="A1975" s="92" t="n">
        <v>2025</v>
      </c>
      <c r="B1975" s="92" t="n">
        <v>9</v>
      </c>
      <c r="C1975" s="92" t="inlineStr">
        <is>
          <t>5100001971</t>
        </is>
      </c>
      <c r="D1975" s="95" t="n">
        <v>45920</v>
      </c>
      <c r="E1975" s="92" t="inlineStr">
        <is>
          <t>KR</t>
        </is>
      </c>
      <c r="F1975" s="92" t="n">
        <v>62201000</v>
      </c>
      <c r="G1975" s="92" t="n">
        <v>1301</v>
      </c>
      <c r="H1975" s="93" t="n">
        <v>222000</v>
      </c>
      <c r="I1975" s="92" t="inlineStr">
        <is>
          <t>9월 통신요금 - O텔레콤</t>
        </is>
      </c>
      <c r="J1975" s="92" t="inlineStr">
        <is>
          <t>V10002</t>
        </is>
      </c>
      <c r="K1975" s="92" t="inlineStr">
        <is>
          <t>O텔레콤</t>
        </is>
      </c>
      <c r="M1975" s="9">
        <f>IF($A1975="","",VALUE($A1975&amp;"")*12+VALUE($B1975&amp;""))</f>
        <v/>
      </c>
      <c r="N1975" s="64">
        <f>IF($A1975="","",IFERROR(INDEX(부서매핑!$C$5:$C$504,MATCH($G1975&amp;"",부서매핑!$A$5:$A$504,0)),"미매핑"))</f>
        <v/>
      </c>
      <c r="O1975" s="9">
        <f>IF($A1975="","",N1975&amp;"|"&amp;$F1975)</f>
        <v/>
      </c>
      <c r="P1975" s="94">
        <f>IF($A1975="",0,$H1975*설정!$C$23)</f>
        <v/>
      </c>
      <c r="Q1975" s="64">
        <f>IF($A1975="","",IF(O1975&lt;&gt;원인분석!$C$9,"",IF(AND(M1975&gt;=원인분석!$C$10,M1975&lt;=원인분석!$C$11),"당기",IF(AND(M1975&gt;=원인분석!$C$12,M1975&lt;=원인분석!$C$13),"비교",""))))</f>
        <v/>
      </c>
      <c r="R1975" s="9">
        <f>IF(Q1975="","",$K1975&amp;"")</f>
        <v/>
      </c>
      <c r="S1975" s="9">
        <f>IF(Q1975="","",IF(MATCH(R1975,$R$5:$R$100000,0)=ROW()-4,ROW(),""))</f>
        <v/>
      </c>
      <c r="T1975" s="9">
        <f>IF(Q1975="당기",ABS(P1975)+ROW()/1000000000,"")</f>
        <v/>
      </c>
      <c r="U1975" s="9">
        <f>IF(Q1975="비교",ABS(P1975)+ROW()/1000000000,"")</f>
        <v/>
      </c>
      <c r="V1975" s="64">
        <f>IF($A1975="","",IF(COUNTIF(변동분석!$E$7:$E$506,O1975)&gt;0,"Y","N"))</f>
        <v/>
      </c>
      <c r="W1975" s="64">
        <f>IF($A1975="","",IFERROR(INDEX(계정매핑!$D$5:$D$504,MATCH($F1975&amp;"",계정매핑!$A$5:$A$504,0)),"미매핑"))</f>
        <v/>
      </c>
      <c r="X1975" s="9">
        <f>IF($A1975="","",$F1975&amp;"")</f>
        <v/>
      </c>
      <c r="Y1975" s="94">
        <f>IF($A1975="",0,IF(AE1975="직접",IF(AF1975="비귀속",$P1975,0),$P1975*(1-AG1975)*IFERROR(INDEX(계정대체기준!$F$20:$F$49,MATCH($N1975,계정대체기준!$A$20:$A$49,0)),1)))</f>
        <v/>
      </c>
      <c r="Z1975" s="94">
        <f>IF($A1975="",0,IF(AE1975="직접",IF(AF1975="신계약비",$P1975,0),$P1975*(1-AG1975)*IFERROR(INDEX(계정대체기준!$C$20:$C$49,MATCH($N1975,계정대체기준!$A$20:$A$49,0)),0)))</f>
        <v/>
      </c>
      <c r="AA1975" s="94">
        <f>IF($A1975="",0,IF(AE1975="직접",IF(OR(AF1975="유지비",AF1975="손해조사비"),$P1975,0),$P1975*(1-AG1975)*IFERROR(INDEX(계정대체기준!$D$20:$D$49,MATCH($N1975,계정대체기준!$A$20:$A$49,0)),0)))</f>
        <v/>
      </c>
      <c r="AB1975" s="94">
        <f>IF($A1975="",0,IF(AE1975="직접",IF(AF1975="수금비",$P1975,0),$P1975*(1-AG1975)*IFERROR(INDEX(계정대체기준!$E$20:$E$49,MATCH($N1975,계정대체기준!$A$20:$A$49,0)),0)))</f>
        <v/>
      </c>
      <c r="AC1975" s="9">
        <f>IF(AND($A1975&lt;&gt;"",M1975=설정!$C$20,Z1975&gt;0),Z1975+ROW()/1000000000,"")</f>
        <v/>
      </c>
      <c r="AD1975" s="94">
        <f>IF($A1975="",0,$P1975*AG1975)</f>
        <v/>
      </c>
      <c r="AE1975" s="64">
        <f>IF($A1975="","",IFERROR(INDEX(계정매핑!$E$5:$E$504,MATCH($F1975&amp;"",계정매핑!$A$5:$A$504,0))&amp;"","공통비"))</f>
        <v/>
      </c>
      <c r="AF1975" s="64">
        <f>IF($A1975="","",IF(AE1975="직접",IFERROR(INDEX(계정매핑!$F$5:$F$504,MATCH($F1975&amp;"",계정매핑!$A$5:$A$504,0))&amp;"","비귀속"),""))</f>
        <v/>
      </c>
      <c r="AG1975" s="96">
        <f>IF($A1975="",0,IF(AND(AE1975&lt;&gt;"직접",IFERROR(INDEX(계정매핑!$G$5:$G$504,MATCH($F1975&amp;"",계정매핑!$A$5:$A$504,0))&amp;"","")="유지비",COUNTIF(계정대체기준!$A$6:$A$15,$N1975)&gt;0),IFERROR(INDEX(계정대체기준!$E$6:$E$15,MATCH(VALUE($A1975&amp;""),계정대체기준!$D$6:$D$15,0)),0),0))</f>
        <v/>
      </c>
      <c r="AH1975" s="64">
        <f>IF($A1975="","",IF(AD1975=0,"",IF(OR(COUNTIF(계정대체기준!$A$77:$A$86,$N1975)&gt;0,ISNUMBER(MATCH($X1975,계정대체기준!$D$77:$D$86,0)),ISNUMBER(MATCH($F1975,계정대체기준!$D$77:$D$86,0))),"Y","N")))</f>
        <v/>
      </c>
    </row>
    <row r="1976">
      <c r="A1976" s="92" t="n">
        <v>2025</v>
      </c>
      <c r="B1976" s="92" t="n">
        <v>9</v>
      </c>
      <c r="C1976" s="92" t="inlineStr">
        <is>
          <t>5100001972</t>
        </is>
      </c>
      <c r="D1976" s="95" t="n">
        <v>45920</v>
      </c>
      <c r="E1976" s="92" t="inlineStr">
        <is>
          <t>KR</t>
        </is>
      </c>
      <c r="F1976" s="92" t="n">
        <v>62501000</v>
      </c>
      <c r="G1976" s="92" t="n">
        <v>1602</v>
      </c>
      <c r="H1976" s="93" t="n">
        <v>372000</v>
      </c>
      <c r="I1976" s="92" t="inlineStr">
        <is>
          <t>9월 회의 다과 - (법인카드)</t>
        </is>
      </c>
      <c r="J1976" s="92" t="inlineStr">
        <is>
          <t>V10010</t>
        </is>
      </c>
      <c r="K1976" s="92" t="inlineStr">
        <is>
          <t>(법인카드)</t>
        </is>
      </c>
      <c r="M1976" s="9">
        <f>IF($A1976="","",VALUE($A1976&amp;"")*12+VALUE($B1976&amp;""))</f>
        <v/>
      </c>
      <c r="N1976" s="64">
        <f>IF($A1976="","",IFERROR(INDEX(부서매핑!$C$5:$C$504,MATCH($G1976&amp;"",부서매핑!$A$5:$A$504,0)),"미매핑"))</f>
        <v/>
      </c>
      <c r="O1976" s="9">
        <f>IF($A1976="","",N1976&amp;"|"&amp;$F1976)</f>
        <v/>
      </c>
      <c r="P1976" s="94">
        <f>IF($A1976="",0,$H1976*설정!$C$23)</f>
        <v/>
      </c>
      <c r="Q1976" s="64">
        <f>IF($A1976="","",IF(O1976&lt;&gt;원인분석!$C$9,"",IF(AND(M1976&gt;=원인분석!$C$10,M1976&lt;=원인분석!$C$11),"당기",IF(AND(M1976&gt;=원인분석!$C$12,M1976&lt;=원인분석!$C$13),"비교",""))))</f>
        <v/>
      </c>
      <c r="R1976" s="9">
        <f>IF(Q1976="","",$K1976&amp;"")</f>
        <v/>
      </c>
      <c r="S1976" s="9">
        <f>IF(Q1976="","",IF(MATCH(R1976,$R$5:$R$100000,0)=ROW()-4,ROW(),""))</f>
        <v/>
      </c>
      <c r="T1976" s="9">
        <f>IF(Q1976="당기",ABS(P1976)+ROW()/1000000000,"")</f>
        <v/>
      </c>
      <c r="U1976" s="9">
        <f>IF(Q1976="비교",ABS(P1976)+ROW()/1000000000,"")</f>
        <v/>
      </c>
      <c r="V1976" s="64">
        <f>IF($A1976="","",IF(COUNTIF(변동분석!$E$7:$E$506,O1976)&gt;0,"Y","N"))</f>
        <v/>
      </c>
      <c r="W1976" s="64">
        <f>IF($A1976="","",IFERROR(INDEX(계정매핑!$D$5:$D$504,MATCH($F1976&amp;"",계정매핑!$A$5:$A$504,0)),"미매핑"))</f>
        <v/>
      </c>
      <c r="X1976" s="9">
        <f>IF($A1976="","",$F1976&amp;"")</f>
        <v/>
      </c>
      <c r="Y1976" s="94">
        <f>IF($A1976="",0,IF(AE1976="직접",IF(AF1976="비귀속",$P1976,0),$P1976*(1-AG1976)*IFERROR(INDEX(계정대체기준!$F$20:$F$49,MATCH($N1976,계정대체기준!$A$20:$A$49,0)),1)))</f>
        <v/>
      </c>
      <c r="Z1976" s="94">
        <f>IF($A1976="",0,IF(AE1976="직접",IF(AF1976="신계약비",$P1976,0),$P1976*(1-AG1976)*IFERROR(INDEX(계정대체기준!$C$20:$C$49,MATCH($N1976,계정대체기준!$A$20:$A$49,0)),0)))</f>
        <v/>
      </c>
      <c r="AA1976" s="94">
        <f>IF($A1976="",0,IF(AE1976="직접",IF(OR(AF1976="유지비",AF1976="손해조사비"),$P1976,0),$P1976*(1-AG1976)*IFERROR(INDEX(계정대체기준!$D$20:$D$49,MATCH($N1976,계정대체기준!$A$20:$A$49,0)),0)))</f>
        <v/>
      </c>
      <c r="AB1976" s="94">
        <f>IF($A1976="",0,IF(AE1976="직접",IF(AF1976="수금비",$P1976,0),$P1976*(1-AG1976)*IFERROR(INDEX(계정대체기준!$E$20:$E$49,MATCH($N1976,계정대체기준!$A$20:$A$49,0)),0)))</f>
        <v/>
      </c>
      <c r="AC1976" s="9">
        <f>IF(AND($A1976&lt;&gt;"",M1976=설정!$C$20,Z1976&gt;0),Z1976+ROW()/1000000000,"")</f>
        <v/>
      </c>
      <c r="AD1976" s="94">
        <f>IF($A1976="",0,$P1976*AG1976)</f>
        <v/>
      </c>
      <c r="AE1976" s="64">
        <f>IF($A1976="","",IFERROR(INDEX(계정매핑!$E$5:$E$504,MATCH($F1976&amp;"",계정매핑!$A$5:$A$504,0))&amp;"","공통비"))</f>
        <v/>
      </c>
      <c r="AF1976" s="64">
        <f>IF($A1976="","",IF(AE1976="직접",IFERROR(INDEX(계정매핑!$F$5:$F$504,MATCH($F1976&amp;"",계정매핑!$A$5:$A$504,0))&amp;"","비귀속"),""))</f>
        <v/>
      </c>
      <c r="AG1976" s="96">
        <f>IF($A1976="",0,IF(AND(AE1976&lt;&gt;"직접",IFERROR(INDEX(계정매핑!$G$5:$G$504,MATCH($F1976&amp;"",계정매핑!$A$5:$A$504,0))&amp;"","")="유지비",COUNTIF(계정대체기준!$A$6:$A$15,$N1976)&gt;0),IFERROR(INDEX(계정대체기준!$E$6:$E$15,MATCH(VALUE($A1976&amp;""),계정대체기준!$D$6:$D$15,0)),0),0))</f>
        <v/>
      </c>
      <c r="AH1976" s="64">
        <f>IF($A1976="","",IF(AD1976=0,"",IF(OR(COUNTIF(계정대체기준!$A$77:$A$86,$N1976)&gt;0,ISNUMBER(MATCH($X1976,계정대체기준!$D$77:$D$86,0)),ISNUMBER(MATCH($F1976,계정대체기준!$D$77:$D$86,0))),"Y","N")))</f>
        <v/>
      </c>
    </row>
    <row r="1977">
      <c r="A1977" s="92" t="n">
        <v>2025</v>
      </c>
      <c r="B1977" s="92" t="n">
        <v>9</v>
      </c>
      <c r="C1977" s="92" t="inlineStr">
        <is>
          <t>5100001973</t>
        </is>
      </c>
      <c r="D1977" s="95" t="n">
        <v>45920</v>
      </c>
      <c r="E1977" s="92" t="inlineStr">
        <is>
          <t>KR</t>
        </is>
      </c>
      <c r="F1977" s="92" t="n">
        <v>62901000</v>
      </c>
      <c r="G1977" s="92" t="n">
        <v>1401</v>
      </c>
      <c r="H1977" s="93" t="n">
        <v>3712000</v>
      </c>
      <c r="I1977" s="92" t="inlineStr">
        <is>
          <t>9월 자문 수수료 - K회계법인</t>
        </is>
      </c>
      <c r="J1977" s="92" t="inlineStr">
        <is>
          <t>V10011</t>
        </is>
      </c>
      <c r="K1977" s="92" t="inlineStr">
        <is>
          <t>K회계법인</t>
        </is>
      </c>
      <c r="M1977" s="9">
        <f>IF($A1977="","",VALUE($A1977&amp;"")*12+VALUE($B1977&amp;""))</f>
        <v/>
      </c>
      <c r="N1977" s="64">
        <f>IF($A1977="","",IFERROR(INDEX(부서매핑!$C$5:$C$504,MATCH($G1977&amp;"",부서매핑!$A$5:$A$504,0)),"미매핑"))</f>
        <v/>
      </c>
      <c r="O1977" s="9">
        <f>IF($A1977="","",N1977&amp;"|"&amp;$F1977)</f>
        <v/>
      </c>
      <c r="P1977" s="94">
        <f>IF($A1977="",0,$H1977*설정!$C$23)</f>
        <v/>
      </c>
      <c r="Q1977" s="64">
        <f>IF($A1977="","",IF(O1977&lt;&gt;원인분석!$C$9,"",IF(AND(M1977&gt;=원인분석!$C$10,M1977&lt;=원인분석!$C$11),"당기",IF(AND(M1977&gt;=원인분석!$C$12,M1977&lt;=원인분석!$C$13),"비교",""))))</f>
        <v/>
      </c>
      <c r="R1977" s="9">
        <f>IF(Q1977="","",$K1977&amp;"")</f>
        <v/>
      </c>
      <c r="S1977" s="9">
        <f>IF(Q1977="","",IF(MATCH(R1977,$R$5:$R$100000,0)=ROW()-4,ROW(),""))</f>
        <v/>
      </c>
      <c r="T1977" s="9">
        <f>IF(Q1977="당기",ABS(P1977)+ROW()/1000000000,"")</f>
        <v/>
      </c>
      <c r="U1977" s="9">
        <f>IF(Q1977="비교",ABS(P1977)+ROW()/1000000000,"")</f>
        <v/>
      </c>
      <c r="V1977" s="64">
        <f>IF($A1977="","",IF(COUNTIF(변동분석!$E$7:$E$506,O1977)&gt;0,"Y","N"))</f>
        <v/>
      </c>
      <c r="W1977" s="64">
        <f>IF($A1977="","",IFERROR(INDEX(계정매핑!$D$5:$D$504,MATCH($F1977&amp;"",계정매핑!$A$5:$A$504,0)),"미매핑"))</f>
        <v/>
      </c>
      <c r="X1977" s="9">
        <f>IF($A1977="","",$F1977&amp;"")</f>
        <v/>
      </c>
      <c r="Y1977" s="94">
        <f>IF($A1977="",0,IF(AE1977="직접",IF(AF1977="비귀속",$P1977,0),$P1977*(1-AG1977)*IFERROR(INDEX(계정대체기준!$F$20:$F$49,MATCH($N1977,계정대체기준!$A$20:$A$49,0)),1)))</f>
        <v/>
      </c>
      <c r="Z1977" s="94">
        <f>IF($A1977="",0,IF(AE1977="직접",IF(AF1977="신계약비",$P1977,0),$P1977*(1-AG1977)*IFERROR(INDEX(계정대체기준!$C$20:$C$49,MATCH($N1977,계정대체기준!$A$20:$A$49,0)),0)))</f>
        <v/>
      </c>
      <c r="AA1977" s="94">
        <f>IF($A1977="",0,IF(AE1977="직접",IF(OR(AF1977="유지비",AF1977="손해조사비"),$P1977,0),$P1977*(1-AG1977)*IFERROR(INDEX(계정대체기준!$D$20:$D$49,MATCH($N1977,계정대체기준!$A$20:$A$49,0)),0)))</f>
        <v/>
      </c>
      <c r="AB1977" s="94">
        <f>IF($A1977="",0,IF(AE1977="직접",IF(AF1977="수금비",$P1977,0),$P1977*(1-AG1977)*IFERROR(INDEX(계정대체기준!$E$20:$E$49,MATCH($N1977,계정대체기준!$A$20:$A$49,0)),0)))</f>
        <v/>
      </c>
      <c r="AC1977" s="9">
        <f>IF(AND($A1977&lt;&gt;"",M1977=설정!$C$20,Z1977&gt;0),Z1977+ROW()/1000000000,"")</f>
        <v/>
      </c>
      <c r="AD1977" s="94">
        <f>IF($A1977="",0,$P1977*AG1977)</f>
        <v/>
      </c>
      <c r="AE1977" s="64">
        <f>IF($A1977="","",IFERROR(INDEX(계정매핑!$E$5:$E$504,MATCH($F1977&amp;"",계정매핑!$A$5:$A$504,0))&amp;"","공통비"))</f>
        <v/>
      </c>
      <c r="AF1977" s="64">
        <f>IF($A1977="","",IF(AE1977="직접",IFERROR(INDEX(계정매핑!$F$5:$F$504,MATCH($F1977&amp;"",계정매핑!$A$5:$A$504,0))&amp;"","비귀속"),""))</f>
        <v/>
      </c>
      <c r="AG1977" s="96">
        <f>IF($A1977="",0,IF(AND(AE1977&lt;&gt;"직접",IFERROR(INDEX(계정매핑!$G$5:$G$504,MATCH($F1977&amp;"",계정매핑!$A$5:$A$504,0))&amp;"","")="유지비",COUNTIF(계정대체기준!$A$6:$A$15,$N1977)&gt;0),IFERROR(INDEX(계정대체기준!$E$6:$E$15,MATCH(VALUE($A1977&amp;""),계정대체기준!$D$6:$D$15,0)),0),0))</f>
        <v/>
      </c>
      <c r="AH1977" s="64">
        <f>IF($A1977="","",IF(AD1977=0,"",IF(OR(COUNTIF(계정대체기준!$A$77:$A$86,$N1977)&gt;0,ISNUMBER(MATCH($X1977,계정대체기준!$D$77:$D$86,0)),ISNUMBER(MATCH($F1977,계정대체기준!$D$77:$D$86,0))),"Y","N")))</f>
        <v/>
      </c>
    </row>
    <row r="1978">
      <c r="A1978" s="92" t="n">
        <v>2025</v>
      </c>
      <c r="B1978" s="92" t="n">
        <v>9</v>
      </c>
      <c r="C1978" s="92" t="inlineStr">
        <is>
          <t>5100001974</t>
        </is>
      </c>
      <c r="D1978" s="95" t="n">
        <v>45921</v>
      </c>
      <c r="E1978" s="92" t="inlineStr">
        <is>
          <t>KR</t>
        </is>
      </c>
      <c r="F1978" s="92" t="n">
        <v>62101000</v>
      </c>
      <c r="G1978" s="92" t="n">
        <v>1101</v>
      </c>
      <c r="H1978" s="93" t="n">
        <v>384000</v>
      </c>
      <c r="I1978" s="92" t="inlineStr">
        <is>
          <t>9월 국내출장 - L여행사</t>
        </is>
      </c>
      <c r="J1978" s="92" t="inlineStr">
        <is>
          <t>V10018</t>
        </is>
      </c>
      <c r="K1978" s="92" t="inlineStr">
        <is>
          <t>L여행사</t>
        </is>
      </c>
      <c r="M1978" s="9">
        <f>IF($A1978="","",VALUE($A1978&amp;"")*12+VALUE($B1978&amp;""))</f>
        <v/>
      </c>
      <c r="N1978" s="64">
        <f>IF($A1978="","",IFERROR(INDEX(부서매핑!$C$5:$C$504,MATCH($G1978&amp;"",부서매핑!$A$5:$A$504,0)),"미매핑"))</f>
        <v/>
      </c>
      <c r="O1978" s="9">
        <f>IF($A1978="","",N1978&amp;"|"&amp;$F1978)</f>
        <v/>
      </c>
      <c r="P1978" s="94">
        <f>IF($A1978="",0,$H1978*설정!$C$23)</f>
        <v/>
      </c>
      <c r="Q1978" s="64">
        <f>IF($A1978="","",IF(O1978&lt;&gt;원인분석!$C$9,"",IF(AND(M1978&gt;=원인분석!$C$10,M1978&lt;=원인분석!$C$11),"당기",IF(AND(M1978&gt;=원인분석!$C$12,M1978&lt;=원인분석!$C$13),"비교",""))))</f>
        <v/>
      </c>
      <c r="R1978" s="9">
        <f>IF(Q1978="","",$K1978&amp;"")</f>
        <v/>
      </c>
      <c r="S1978" s="9">
        <f>IF(Q1978="","",IF(MATCH(R1978,$R$5:$R$100000,0)=ROW()-4,ROW(),""))</f>
        <v/>
      </c>
      <c r="T1978" s="9">
        <f>IF(Q1978="당기",ABS(P1978)+ROW()/1000000000,"")</f>
        <v/>
      </c>
      <c r="U1978" s="9">
        <f>IF(Q1978="비교",ABS(P1978)+ROW()/1000000000,"")</f>
        <v/>
      </c>
      <c r="V1978" s="64">
        <f>IF($A1978="","",IF(COUNTIF(변동분석!$E$7:$E$506,O1978)&gt;0,"Y","N"))</f>
        <v/>
      </c>
      <c r="W1978" s="64">
        <f>IF($A1978="","",IFERROR(INDEX(계정매핑!$D$5:$D$504,MATCH($F1978&amp;"",계정매핑!$A$5:$A$504,0)),"미매핑"))</f>
        <v/>
      </c>
      <c r="X1978" s="9">
        <f>IF($A1978="","",$F1978&amp;"")</f>
        <v/>
      </c>
      <c r="Y1978" s="94">
        <f>IF($A1978="",0,IF(AE1978="직접",IF(AF1978="비귀속",$P1978,0),$P1978*(1-AG1978)*IFERROR(INDEX(계정대체기준!$F$20:$F$49,MATCH($N1978,계정대체기준!$A$20:$A$49,0)),1)))</f>
        <v/>
      </c>
      <c r="Z1978" s="94">
        <f>IF($A1978="",0,IF(AE1978="직접",IF(AF1978="신계약비",$P1978,0),$P1978*(1-AG1978)*IFERROR(INDEX(계정대체기준!$C$20:$C$49,MATCH($N1978,계정대체기준!$A$20:$A$49,0)),0)))</f>
        <v/>
      </c>
      <c r="AA1978" s="94">
        <f>IF($A1978="",0,IF(AE1978="직접",IF(OR(AF1978="유지비",AF1978="손해조사비"),$P1978,0),$P1978*(1-AG1978)*IFERROR(INDEX(계정대체기준!$D$20:$D$49,MATCH($N1978,계정대체기준!$A$20:$A$49,0)),0)))</f>
        <v/>
      </c>
      <c r="AB1978" s="94">
        <f>IF($A1978="",0,IF(AE1978="직접",IF(AF1978="수금비",$P1978,0),$P1978*(1-AG1978)*IFERROR(INDEX(계정대체기준!$E$20:$E$49,MATCH($N1978,계정대체기준!$A$20:$A$49,0)),0)))</f>
        <v/>
      </c>
      <c r="AC1978" s="9">
        <f>IF(AND($A1978&lt;&gt;"",M1978=설정!$C$20,Z1978&gt;0),Z1978+ROW()/1000000000,"")</f>
        <v/>
      </c>
      <c r="AD1978" s="94">
        <f>IF($A1978="",0,$P1978*AG1978)</f>
        <v/>
      </c>
      <c r="AE1978" s="64">
        <f>IF($A1978="","",IFERROR(INDEX(계정매핑!$E$5:$E$504,MATCH($F1978&amp;"",계정매핑!$A$5:$A$504,0))&amp;"","공통비"))</f>
        <v/>
      </c>
      <c r="AF1978" s="64">
        <f>IF($A1978="","",IF(AE1978="직접",IFERROR(INDEX(계정매핑!$F$5:$F$504,MATCH($F1978&amp;"",계정매핑!$A$5:$A$504,0))&amp;"","비귀속"),""))</f>
        <v/>
      </c>
      <c r="AG1978" s="96">
        <f>IF($A1978="",0,IF(AND(AE1978&lt;&gt;"직접",IFERROR(INDEX(계정매핑!$G$5:$G$504,MATCH($F1978&amp;"",계정매핑!$A$5:$A$504,0))&amp;"","")="유지비",COUNTIF(계정대체기준!$A$6:$A$15,$N1978)&gt;0),IFERROR(INDEX(계정대체기준!$E$6:$E$15,MATCH(VALUE($A1978&amp;""),계정대체기준!$D$6:$D$15,0)),0),0))</f>
        <v/>
      </c>
      <c r="AH1978" s="64">
        <f>IF($A1978="","",IF(AD1978=0,"",IF(OR(COUNTIF(계정대체기준!$A$77:$A$86,$N1978)&gt;0,ISNUMBER(MATCH($X1978,계정대체기준!$D$77:$D$86,0)),ISNUMBER(MATCH($F1978,계정대체기준!$D$77:$D$86,0))),"Y","N")))</f>
        <v/>
      </c>
    </row>
    <row r="1979">
      <c r="A1979" s="92" t="n">
        <v>2025</v>
      </c>
      <c r="B1979" s="92" t="n">
        <v>9</v>
      </c>
      <c r="C1979" s="92" t="inlineStr">
        <is>
          <t>5100001975</t>
        </is>
      </c>
      <c r="D1979" s="95" t="n">
        <v>45921</v>
      </c>
      <c r="E1979" s="92" t="inlineStr">
        <is>
          <t>KR</t>
        </is>
      </c>
      <c r="F1979" s="92" t="n">
        <v>62301000</v>
      </c>
      <c r="G1979" s="92" t="n">
        <v>1401</v>
      </c>
      <c r="H1979" s="93" t="n">
        <v>93000</v>
      </c>
      <c r="I1979" s="92" t="inlineStr">
        <is>
          <t>9월 소모품 구입 - R문구</t>
        </is>
      </c>
      <c r="J1979" s="92" t="inlineStr">
        <is>
          <t>V10022</t>
        </is>
      </c>
      <c r="K1979" s="92" t="inlineStr">
        <is>
          <t>R문구</t>
        </is>
      </c>
      <c r="M1979" s="9">
        <f>IF($A1979="","",VALUE($A1979&amp;"")*12+VALUE($B1979&amp;""))</f>
        <v/>
      </c>
      <c r="N1979" s="64">
        <f>IF($A1979="","",IFERROR(INDEX(부서매핑!$C$5:$C$504,MATCH($G1979&amp;"",부서매핑!$A$5:$A$504,0)),"미매핑"))</f>
        <v/>
      </c>
      <c r="O1979" s="9">
        <f>IF($A1979="","",N1979&amp;"|"&amp;$F1979)</f>
        <v/>
      </c>
      <c r="P1979" s="94">
        <f>IF($A1979="",0,$H1979*설정!$C$23)</f>
        <v/>
      </c>
      <c r="Q1979" s="64">
        <f>IF($A1979="","",IF(O1979&lt;&gt;원인분석!$C$9,"",IF(AND(M1979&gt;=원인분석!$C$10,M1979&lt;=원인분석!$C$11),"당기",IF(AND(M1979&gt;=원인분석!$C$12,M1979&lt;=원인분석!$C$13),"비교",""))))</f>
        <v/>
      </c>
      <c r="R1979" s="9">
        <f>IF(Q1979="","",$K1979&amp;"")</f>
        <v/>
      </c>
      <c r="S1979" s="9">
        <f>IF(Q1979="","",IF(MATCH(R1979,$R$5:$R$100000,0)=ROW()-4,ROW(),""))</f>
        <v/>
      </c>
      <c r="T1979" s="9">
        <f>IF(Q1979="당기",ABS(P1979)+ROW()/1000000000,"")</f>
        <v/>
      </c>
      <c r="U1979" s="9">
        <f>IF(Q1979="비교",ABS(P1979)+ROW()/1000000000,"")</f>
        <v/>
      </c>
      <c r="V1979" s="64">
        <f>IF($A1979="","",IF(COUNTIF(변동분석!$E$7:$E$506,O1979)&gt;0,"Y","N"))</f>
        <v/>
      </c>
      <c r="W1979" s="64">
        <f>IF($A1979="","",IFERROR(INDEX(계정매핑!$D$5:$D$504,MATCH($F1979&amp;"",계정매핑!$A$5:$A$504,0)),"미매핑"))</f>
        <v/>
      </c>
      <c r="X1979" s="9">
        <f>IF($A1979="","",$F1979&amp;"")</f>
        <v/>
      </c>
      <c r="Y1979" s="94">
        <f>IF($A1979="",0,IF(AE1979="직접",IF(AF1979="비귀속",$P1979,0),$P1979*(1-AG1979)*IFERROR(INDEX(계정대체기준!$F$20:$F$49,MATCH($N1979,계정대체기준!$A$20:$A$49,0)),1)))</f>
        <v/>
      </c>
      <c r="Z1979" s="94">
        <f>IF($A1979="",0,IF(AE1979="직접",IF(AF1979="신계약비",$P1979,0),$P1979*(1-AG1979)*IFERROR(INDEX(계정대체기준!$C$20:$C$49,MATCH($N1979,계정대체기준!$A$20:$A$49,0)),0)))</f>
        <v/>
      </c>
      <c r="AA1979" s="94">
        <f>IF($A1979="",0,IF(AE1979="직접",IF(OR(AF1979="유지비",AF1979="손해조사비"),$P1979,0),$P1979*(1-AG1979)*IFERROR(INDEX(계정대체기준!$D$20:$D$49,MATCH($N1979,계정대체기준!$A$20:$A$49,0)),0)))</f>
        <v/>
      </c>
      <c r="AB1979" s="94">
        <f>IF($A1979="",0,IF(AE1979="직접",IF(AF1979="수금비",$P1979,0),$P1979*(1-AG1979)*IFERROR(INDEX(계정대체기준!$E$20:$E$49,MATCH($N1979,계정대체기준!$A$20:$A$49,0)),0)))</f>
        <v/>
      </c>
      <c r="AC1979" s="9">
        <f>IF(AND($A1979&lt;&gt;"",M1979=설정!$C$20,Z1979&gt;0),Z1979+ROW()/1000000000,"")</f>
        <v/>
      </c>
      <c r="AD1979" s="94">
        <f>IF($A1979="",0,$P1979*AG1979)</f>
        <v/>
      </c>
      <c r="AE1979" s="64">
        <f>IF($A1979="","",IFERROR(INDEX(계정매핑!$E$5:$E$504,MATCH($F1979&amp;"",계정매핑!$A$5:$A$504,0))&amp;"","공통비"))</f>
        <v/>
      </c>
      <c r="AF1979" s="64">
        <f>IF($A1979="","",IF(AE1979="직접",IFERROR(INDEX(계정매핑!$F$5:$F$504,MATCH($F1979&amp;"",계정매핑!$A$5:$A$504,0))&amp;"","비귀속"),""))</f>
        <v/>
      </c>
      <c r="AG1979" s="96">
        <f>IF($A1979="",0,IF(AND(AE1979&lt;&gt;"직접",IFERROR(INDEX(계정매핑!$G$5:$G$504,MATCH($F1979&amp;"",계정매핑!$A$5:$A$504,0))&amp;"","")="유지비",COUNTIF(계정대체기준!$A$6:$A$15,$N1979)&gt;0),IFERROR(INDEX(계정대체기준!$E$6:$E$15,MATCH(VALUE($A1979&amp;""),계정대체기준!$D$6:$D$15,0)),0),0))</f>
        <v/>
      </c>
      <c r="AH1979" s="64">
        <f>IF($A1979="","",IF(AD1979=0,"",IF(OR(COUNTIF(계정대체기준!$A$77:$A$86,$N1979)&gt;0,ISNUMBER(MATCH($X1979,계정대체기준!$D$77:$D$86,0)),ISNUMBER(MATCH($F1979,계정대체기준!$D$77:$D$86,0))),"Y","N")))</f>
        <v/>
      </c>
    </row>
    <row r="1980">
      <c r="A1980" s="92" t="n">
        <v>2025</v>
      </c>
      <c r="B1980" s="92" t="n">
        <v>9</v>
      </c>
      <c r="C1980" s="92" t="inlineStr">
        <is>
          <t>5100001976</t>
        </is>
      </c>
      <c r="D1980" s="95" t="n">
        <v>45921</v>
      </c>
      <c r="E1980" s="92" t="inlineStr">
        <is>
          <t>KR</t>
        </is>
      </c>
      <c r="F1980" s="92" t="n">
        <v>62301000</v>
      </c>
      <c r="G1980" s="92" t="n">
        <v>1501</v>
      </c>
      <c r="H1980" s="93" t="n">
        <v>197000</v>
      </c>
      <c r="I1980" s="92" t="inlineStr">
        <is>
          <t>9월 소모품 구입 - Q오피스</t>
        </is>
      </c>
      <c r="J1980" s="92" t="inlineStr">
        <is>
          <t>V10003</t>
        </is>
      </c>
      <c r="K1980" s="92" t="inlineStr">
        <is>
          <t>Q오피스</t>
        </is>
      </c>
      <c r="M1980" s="9">
        <f>IF($A1980="","",VALUE($A1980&amp;"")*12+VALUE($B1980&amp;""))</f>
        <v/>
      </c>
      <c r="N1980" s="64">
        <f>IF($A1980="","",IFERROR(INDEX(부서매핑!$C$5:$C$504,MATCH($G1980&amp;"",부서매핑!$A$5:$A$504,0)),"미매핑"))</f>
        <v/>
      </c>
      <c r="O1980" s="9">
        <f>IF($A1980="","",N1980&amp;"|"&amp;$F1980)</f>
        <v/>
      </c>
      <c r="P1980" s="94">
        <f>IF($A1980="",0,$H1980*설정!$C$23)</f>
        <v/>
      </c>
      <c r="Q1980" s="64">
        <f>IF($A1980="","",IF(O1980&lt;&gt;원인분석!$C$9,"",IF(AND(M1980&gt;=원인분석!$C$10,M1980&lt;=원인분석!$C$11),"당기",IF(AND(M1980&gt;=원인분석!$C$12,M1980&lt;=원인분석!$C$13),"비교",""))))</f>
        <v/>
      </c>
      <c r="R1980" s="9">
        <f>IF(Q1980="","",$K1980&amp;"")</f>
        <v/>
      </c>
      <c r="S1980" s="9">
        <f>IF(Q1980="","",IF(MATCH(R1980,$R$5:$R$100000,0)=ROW()-4,ROW(),""))</f>
        <v/>
      </c>
      <c r="T1980" s="9">
        <f>IF(Q1980="당기",ABS(P1980)+ROW()/1000000000,"")</f>
        <v/>
      </c>
      <c r="U1980" s="9">
        <f>IF(Q1980="비교",ABS(P1980)+ROW()/1000000000,"")</f>
        <v/>
      </c>
      <c r="V1980" s="64">
        <f>IF($A1980="","",IF(COUNTIF(변동분석!$E$7:$E$506,O1980)&gt;0,"Y","N"))</f>
        <v/>
      </c>
      <c r="W1980" s="64">
        <f>IF($A1980="","",IFERROR(INDEX(계정매핑!$D$5:$D$504,MATCH($F1980&amp;"",계정매핑!$A$5:$A$504,0)),"미매핑"))</f>
        <v/>
      </c>
      <c r="X1980" s="9">
        <f>IF($A1980="","",$F1980&amp;"")</f>
        <v/>
      </c>
      <c r="Y1980" s="94">
        <f>IF($A1980="",0,IF(AE1980="직접",IF(AF1980="비귀속",$P1980,0),$P1980*(1-AG1980)*IFERROR(INDEX(계정대체기준!$F$20:$F$49,MATCH($N1980,계정대체기준!$A$20:$A$49,0)),1)))</f>
        <v/>
      </c>
      <c r="Z1980" s="94">
        <f>IF($A1980="",0,IF(AE1980="직접",IF(AF1980="신계약비",$P1980,0),$P1980*(1-AG1980)*IFERROR(INDEX(계정대체기준!$C$20:$C$49,MATCH($N1980,계정대체기준!$A$20:$A$49,0)),0)))</f>
        <v/>
      </c>
      <c r="AA1980" s="94">
        <f>IF($A1980="",0,IF(AE1980="직접",IF(OR(AF1980="유지비",AF1980="손해조사비"),$P1980,0),$P1980*(1-AG1980)*IFERROR(INDEX(계정대체기준!$D$20:$D$49,MATCH($N1980,계정대체기준!$A$20:$A$49,0)),0)))</f>
        <v/>
      </c>
      <c r="AB1980" s="94">
        <f>IF($A1980="",0,IF(AE1980="직접",IF(AF1980="수금비",$P1980,0),$P1980*(1-AG1980)*IFERROR(INDEX(계정대체기준!$E$20:$E$49,MATCH($N1980,계정대체기준!$A$20:$A$49,0)),0)))</f>
        <v/>
      </c>
      <c r="AC1980" s="9">
        <f>IF(AND($A1980&lt;&gt;"",M1980=설정!$C$20,Z1980&gt;0),Z1980+ROW()/1000000000,"")</f>
        <v/>
      </c>
      <c r="AD1980" s="94">
        <f>IF($A1980="",0,$P1980*AG1980)</f>
        <v/>
      </c>
      <c r="AE1980" s="64">
        <f>IF($A1980="","",IFERROR(INDEX(계정매핑!$E$5:$E$504,MATCH($F1980&amp;"",계정매핑!$A$5:$A$504,0))&amp;"","공통비"))</f>
        <v/>
      </c>
      <c r="AF1980" s="64">
        <f>IF($A1980="","",IF(AE1980="직접",IFERROR(INDEX(계정매핑!$F$5:$F$504,MATCH($F1980&amp;"",계정매핑!$A$5:$A$504,0))&amp;"","비귀속"),""))</f>
        <v/>
      </c>
      <c r="AG1980" s="96">
        <f>IF($A1980="",0,IF(AND(AE1980&lt;&gt;"직접",IFERROR(INDEX(계정매핑!$G$5:$G$504,MATCH($F1980&amp;"",계정매핑!$A$5:$A$504,0))&amp;"","")="유지비",COUNTIF(계정대체기준!$A$6:$A$15,$N1980)&gt;0),IFERROR(INDEX(계정대체기준!$E$6:$E$15,MATCH(VALUE($A1980&amp;""),계정대체기준!$D$6:$D$15,0)),0),0))</f>
        <v/>
      </c>
      <c r="AH1980" s="64">
        <f>IF($A1980="","",IF(AD1980=0,"",IF(OR(COUNTIF(계정대체기준!$A$77:$A$86,$N1980)&gt;0,ISNUMBER(MATCH($X1980,계정대체기준!$D$77:$D$86,0)),ISNUMBER(MATCH($F1980,계정대체기준!$D$77:$D$86,0))),"Y","N")))</f>
        <v/>
      </c>
    </row>
    <row r="1981">
      <c r="A1981" s="92" t="n">
        <v>2025</v>
      </c>
      <c r="B1981" s="92" t="n">
        <v>9</v>
      </c>
      <c r="C1981" s="92" t="inlineStr">
        <is>
          <t>5100001977</t>
        </is>
      </c>
      <c r="D1981" s="95" t="n">
        <v>45921</v>
      </c>
      <c r="E1981" s="92" t="inlineStr">
        <is>
          <t>KR</t>
        </is>
      </c>
      <c r="F1981" s="92" t="n">
        <v>62501000</v>
      </c>
      <c r="G1981" s="92" t="n">
        <v>1201</v>
      </c>
      <c r="H1981" s="93" t="n">
        <v>144000</v>
      </c>
      <c r="I1981" s="92" t="inlineStr">
        <is>
          <t>9월 회의 다과 - (법인카드)</t>
        </is>
      </c>
      <c r="J1981" s="92" t="inlineStr">
        <is>
          <t>V10010</t>
        </is>
      </c>
      <c r="K1981" s="92" t="inlineStr">
        <is>
          <t>(법인카드)</t>
        </is>
      </c>
      <c r="M1981" s="9">
        <f>IF($A1981="","",VALUE($A1981&amp;"")*12+VALUE($B1981&amp;""))</f>
        <v/>
      </c>
      <c r="N1981" s="64">
        <f>IF($A1981="","",IFERROR(INDEX(부서매핑!$C$5:$C$504,MATCH($G1981&amp;"",부서매핑!$A$5:$A$504,0)),"미매핑"))</f>
        <v/>
      </c>
      <c r="O1981" s="9">
        <f>IF($A1981="","",N1981&amp;"|"&amp;$F1981)</f>
        <v/>
      </c>
      <c r="P1981" s="94">
        <f>IF($A1981="",0,$H1981*설정!$C$23)</f>
        <v/>
      </c>
      <c r="Q1981" s="64">
        <f>IF($A1981="","",IF(O1981&lt;&gt;원인분석!$C$9,"",IF(AND(M1981&gt;=원인분석!$C$10,M1981&lt;=원인분석!$C$11),"당기",IF(AND(M1981&gt;=원인분석!$C$12,M1981&lt;=원인분석!$C$13),"비교",""))))</f>
        <v/>
      </c>
      <c r="R1981" s="9">
        <f>IF(Q1981="","",$K1981&amp;"")</f>
        <v/>
      </c>
      <c r="S1981" s="9">
        <f>IF(Q1981="","",IF(MATCH(R1981,$R$5:$R$100000,0)=ROW()-4,ROW(),""))</f>
        <v/>
      </c>
      <c r="T1981" s="9">
        <f>IF(Q1981="당기",ABS(P1981)+ROW()/1000000000,"")</f>
        <v/>
      </c>
      <c r="U1981" s="9">
        <f>IF(Q1981="비교",ABS(P1981)+ROW()/1000000000,"")</f>
        <v/>
      </c>
      <c r="V1981" s="64">
        <f>IF($A1981="","",IF(COUNTIF(변동분석!$E$7:$E$506,O1981)&gt;0,"Y","N"))</f>
        <v/>
      </c>
      <c r="W1981" s="64">
        <f>IF($A1981="","",IFERROR(INDEX(계정매핑!$D$5:$D$504,MATCH($F1981&amp;"",계정매핑!$A$5:$A$504,0)),"미매핑"))</f>
        <v/>
      </c>
      <c r="X1981" s="9">
        <f>IF($A1981="","",$F1981&amp;"")</f>
        <v/>
      </c>
      <c r="Y1981" s="94">
        <f>IF($A1981="",0,IF(AE1981="직접",IF(AF1981="비귀속",$P1981,0),$P1981*(1-AG1981)*IFERROR(INDEX(계정대체기준!$F$20:$F$49,MATCH($N1981,계정대체기준!$A$20:$A$49,0)),1)))</f>
        <v/>
      </c>
      <c r="Z1981" s="94">
        <f>IF($A1981="",0,IF(AE1981="직접",IF(AF1981="신계약비",$P1981,0),$P1981*(1-AG1981)*IFERROR(INDEX(계정대체기준!$C$20:$C$49,MATCH($N1981,계정대체기준!$A$20:$A$49,0)),0)))</f>
        <v/>
      </c>
      <c r="AA1981" s="94">
        <f>IF($A1981="",0,IF(AE1981="직접",IF(OR(AF1981="유지비",AF1981="손해조사비"),$P1981,0),$P1981*(1-AG1981)*IFERROR(INDEX(계정대체기준!$D$20:$D$49,MATCH($N1981,계정대체기준!$A$20:$A$49,0)),0)))</f>
        <v/>
      </c>
      <c r="AB1981" s="94">
        <f>IF($A1981="",0,IF(AE1981="직접",IF(AF1981="수금비",$P1981,0),$P1981*(1-AG1981)*IFERROR(INDEX(계정대체기준!$E$20:$E$49,MATCH($N1981,계정대체기준!$A$20:$A$49,0)),0)))</f>
        <v/>
      </c>
      <c r="AC1981" s="9">
        <f>IF(AND($A1981&lt;&gt;"",M1981=설정!$C$20,Z1981&gt;0),Z1981+ROW()/1000000000,"")</f>
        <v/>
      </c>
      <c r="AD1981" s="94">
        <f>IF($A1981="",0,$P1981*AG1981)</f>
        <v/>
      </c>
      <c r="AE1981" s="64">
        <f>IF($A1981="","",IFERROR(INDEX(계정매핑!$E$5:$E$504,MATCH($F1981&amp;"",계정매핑!$A$5:$A$504,0))&amp;"","공통비"))</f>
        <v/>
      </c>
      <c r="AF1981" s="64">
        <f>IF($A1981="","",IF(AE1981="직접",IFERROR(INDEX(계정매핑!$F$5:$F$504,MATCH($F1981&amp;"",계정매핑!$A$5:$A$504,0))&amp;"","비귀속"),""))</f>
        <v/>
      </c>
      <c r="AG1981" s="96">
        <f>IF($A1981="",0,IF(AND(AE1981&lt;&gt;"직접",IFERROR(INDEX(계정매핑!$G$5:$G$504,MATCH($F1981&amp;"",계정매핑!$A$5:$A$504,0))&amp;"","")="유지비",COUNTIF(계정대체기준!$A$6:$A$15,$N1981)&gt;0),IFERROR(INDEX(계정대체기준!$E$6:$E$15,MATCH(VALUE($A1981&amp;""),계정대체기준!$D$6:$D$15,0)),0),0))</f>
        <v/>
      </c>
      <c r="AH1981" s="64">
        <f>IF($A1981="","",IF(AD1981=0,"",IF(OR(COUNTIF(계정대체기준!$A$77:$A$86,$N1981)&gt;0,ISNUMBER(MATCH($X1981,계정대체기준!$D$77:$D$86,0)),ISNUMBER(MATCH($F1981,계정대체기준!$D$77:$D$86,0))),"Y","N")))</f>
        <v/>
      </c>
    </row>
    <row r="1982">
      <c r="A1982" s="92" t="n">
        <v>2025</v>
      </c>
      <c r="B1982" s="92" t="n">
        <v>9</v>
      </c>
      <c r="C1982" s="92" t="inlineStr">
        <is>
          <t>5100001978</t>
        </is>
      </c>
      <c r="D1982" s="95" t="n">
        <v>45921</v>
      </c>
      <c r="E1982" s="92" t="inlineStr">
        <is>
          <t>KR</t>
        </is>
      </c>
      <c r="F1982" s="92" t="n">
        <v>62802000</v>
      </c>
      <c r="G1982" s="92" t="n">
        <v>1301</v>
      </c>
      <c r="H1982" s="93" t="n">
        <v>5819000</v>
      </c>
      <c r="I1982" s="92" t="inlineStr">
        <is>
          <t>9월 위탁교육 - V아카데미</t>
        </is>
      </c>
      <c r="J1982" s="92" t="inlineStr">
        <is>
          <t>V10027</t>
        </is>
      </c>
      <c r="K1982" s="92" t="inlineStr">
        <is>
          <t>V아카데미</t>
        </is>
      </c>
      <c r="M1982" s="9">
        <f>IF($A1982="","",VALUE($A1982&amp;"")*12+VALUE($B1982&amp;""))</f>
        <v/>
      </c>
      <c r="N1982" s="64">
        <f>IF($A1982="","",IFERROR(INDEX(부서매핑!$C$5:$C$504,MATCH($G1982&amp;"",부서매핑!$A$5:$A$504,0)),"미매핑"))</f>
        <v/>
      </c>
      <c r="O1982" s="9">
        <f>IF($A1982="","",N1982&amp;"|"&amp;$F1982)</f>
        <v/>
      </c>
      <c r="P1982" s="94">
        <f>IF($A1982="",0,$H1982*설정!$C$23)</f>
        <v/>
      </c>
      <c r="Q1982" s="64">
        <f>IF($A1982="","",IF(O1982&lt;&gt;원인분석!$C$9,"",IF(AND(M1982&gt;=원인분석!$C$10,M1982&lt;=원인분석!$C$11),"당기",IF(AND(M1982&gt;=원인분석!$C$12,M1982&lt;=원인분석!$C$13),"비교",""))))</f>
        <v/>
      </c>
      <c r="R1982" s="9">
        <f>IF(Q1982="","",$K1982&amp;"")</f>
        <v/>
      </c>
      <c r="S1982" s="9">
        <f>IF(Q1982="","",IF(MATCH(R1982,$R$5:$R$100000,0)=ROW()-4,ROW(),""))</f>
        <v/>
      </c>
      <c r="T1982" s="9">
        <f>IF(Q1982="당기",ABS(P1982)+ROW()/1000000000,"")</f>
        <v/>
      </c>
      <c r="U1982" s="9">
        <f>IF(Q1982="비교",ABS(P1982)+ROW()/1000000000,"")</f>
        <v/>
      </c>
      <c r="V1982" s="64">
        <f>IF($A1982="","",IF(COUNTIF(변동분석!$E$7:$E$506,O1982)&gt;0,"Y","N"))</f>
        <v/>
      </c>
      <c r="W1982" s="64">
        <f>IF($A1982="","",IFERROR(INDEX(계정매핑!$D$5:$D$504,MATCH($F1982&amp;"",계정매핑!$A$5:$A$504,0)),"미매핑"))</f>
        <v/>
      </c>
      <c r="X1982" s="9">
        <f>IF($A1982="","",$F1982&amp;"")</f>
        <v/>
      </c>
      <c r="Y1982" s="94">
        <f>IF($A1982="",0,IF(AE1982="직접",IF(AF1982="비귀속",$P1982,0),$P1982*(1-AG1982)*IFERROR(INDEX(계정대체기준!$F$20:$F$49,MATCH($N1982,계정대체기준!$A$20:$A$49,0)),1)))</f>
        <v/>
      </c>
      <c r="Z1982" s="94">
        <f>IF($A1982="",0,IF(AE1982="직접",IF(AF1982="신계약비",$P1982,0),$P1982*(1-AG1982)*IFERROR(INDEX(계정대체기준!$C$20:$C$49,MATCH($N1982,계정대체기준!$A$20:$A$49,0)),0)))</f>
        <v/>
      </c>
      <c r="AA1982" s="94">
        <f>IF($A1982="",0,IF(AE1982="직접",IF(OR(AF1982="유지비",AF1982="손해조사비"),$P1982,0),$P1982*(1-AG1982)*IFERROR(INDEX(계정대체기준!$D$20:$D$49,MATCH($N1982,계정대체기준!$A$20:$A$49,0)),0)))</f>
        <v/>
      </c>
      <c r="AB1982" s="94">
        <f>IF($A1982="",0,IF(AE1982="직접",IF(AF1982="수금비",$P1982,0),$P1982*(1-AG1982)*IFERROR(INDEX(계정대체기준!$E$20:$E$49,MATCH($N1982,계정대체기준!$A$20:$A$49,0)),0)))</f>
        <v/>
      </c>
      <c r="AC1982" s="9">
        <f>IF(AND($A1982&lt;&gt;"",M1982=설정!$C$20,Z1982&gt;0),Z1982+ROW()/1000000000,"")</f>
        <v/>
      </c>
      <c r="AD1982" s="94">
        <f>IF($A1982="",0,$P1982*AG1982)</f>
        <v/>
      </c>
      <c r="AE1982" s="64">
        <f>IF($A1982="","",IFERROR(INDEX(계정매핑!$E$5:$E$504,MATCH($F1982&amp;"",계정매핑!$A$5:$A$504,0))&amp;"","공통비"))</f>
        <v/>
      </c>
      <c r="AF1982" s="64">
        <f>IF($A1982="","",IF(AE1982="직접",IFERROR(INDEX(계정매핑!$F$5:$F$504,MATCH($F1982&amp;"",계정매핑!$A$5:$A$504,0))&amp;"","비귀속"),""))</f>
        <v/>
      </c>
      <c r="AG1982" s="96">
        <f>IF($A1982="",0,IF(AND(AE1982&lt;&gt;"직접",IFERROR(INDEX(계정매핑!$G$5:$G$504,MATCH($F1982&amp;"",계정매핑!$A$5:$A$504,0))&amp;"","")="유지비",COUNTIF(계정대체기준!$A$6:$A$15,$N1982)&gt;0),IFERROR(INDEX(계정대체기준!$E$6:$E$15,MATCH(VALUE($A1982&amp;""),계정대체기준!$D$6:$D$15,0)),0),0))</f>
        <v/>
      </c>
      <c r="AH1982" s="64">
        <f>IF($A1982="","",IF(AD1982=0,"",IF(OR(COUNTIF(계정대체기준!$A$77:$A$86,$N1982)&gt;0,ISNUMBER(MATCH($X1982,계정대체기준!$D$77:$D$86,0)),ISNUMBER(MATCH($F1982,계정대체기준!$D$77:$D$86,0))),"Y","N")))</f>
        <v/>
      </c>
    </row>
    <row r="1983">
      <c r="A1983" s="92" t="n">
        <v>2025</v>
      </c>
      <c r="B1983" s="92" t="n">
        <v>9</v>
      </c>
      <c r="C1983" s="92" t="inlineStr">
        <is>
          <t>5100001979</t>
        </is>
      </c>
      <c r="D1983" s="95" t="n">
        <v>45921</v>
      </c>
      <c r="E1983" s="92" t="inlineStr">
        <is>
          <t>KR</t>
        </is>
      </c>
      <c r="F1983" s="92" t="n">
        <v>62901000</v>
      </c>
      <c r="G1983" s="92" t="n">
        <v>1801</v>
      </c>
      <c r="H1983" s="93" t="n">
        <v>5808000</v>
      </c>
      <c r="I1983" s="92" t="inlineStr">
        <is>
          <t>9월 자문 수수료 - K회계법인</t>
        </is>
      </c>
      <c r="J1983" s="92" t="inlineStr">
        <is>
          <t>V10011</t>
        </is>
      </c>
      <c r="K1983" s="92" t="inlineStr">
        <is>
          <t>K회계법인</t>
        </is>
      </c>
      <c r="M1983" s="9">
        <f>IF($A1983="","",VALUE($A1983&amp;"")*12+VALUE($B1983&amp;""))</f>
        <v/>
      </c>
      <c r="N1983" s="64">
        <f>IF($A1983="","",IFERROR(INDEX(부서매핑!$C$5:$C$504,MATCH($G1983&amp;"",부서매핑!$A$5:$A$504,0)),"미매핑"))</f>
        <v/>
      </c>
      <c r="O1983" s="9">
        <f>IF($A1983="","",N1983&amp;"|"&amp;$F1983)</f>
        <v/>
      </c>
      <c r="P1983" s="94">
        <f>IF($A1983="",0,$H1983*설정!$C$23)</f>
        <v/>
      </c>
      <c r="Q1983" s="64">
        <f>IF($A1983="","",IF(O1983&lt;&gt;원인분석!$C$9,"",IF(AND(M1983&gt;=원인분석!$C$10,M1983&lt;=원인분석!$C$11),"당기",IF(AND(M1983&gt;=원인분석!$C$12,M1983&lt;=원인분석!$C$13),"비교",""))))</f>
        <v/>
      </c>
      <c r="R1983" s="9">
        <f>IF(Q1983="","",$K1983&amp;"")</f>
        <v/>
      </c>
      <c r="S1983" s="9">
        <f>IF(Q1983="","",IF(MATCH(R1983,$R$5:$R$100000,0)=ROW()-4,ROW(),""))</f>
        <v/>
      </c>
      <c r="T1983" s="9">
        <f>IF(Q1983="당기",ABS(P1983)+ROW()/1000000000,"")</f>
        <v/>
      </c>
      <c r="U1983" s="9">
        <f>IF(Q1983="비교",ABS(P1983)+ROW()/1000000000,"")</f>
        <v/>
      </c>
      <c r="V1983" s="64">
        <f>IF($A1983="","",IF(COUNTIF(변동분석!$E$7:$E$506,O1983)&gt;0,"Y","N"))</f>
        <v/>
      </c>
      <c r="W1983" s="64">
        <f>IF($A1983="","",IFERROR(INDEX(계정매핑!$D$5:$D$504,MATCH($F1983&amp;"",계정매핑!$A$5:$A$504,0)),"미매핑"))</f>
        <v/>
      </c>
      <c r="X1983" s="9">
        <f>IF($A1983="","",$F1983&amp;"")</f>
        <v/>
      </c>
      <c r="Y1983" s="94">
        <f>IF($A1983="",0,IF(AE1983="직접",IF(AF1983="비귀속",$P1983,0),$P1983*(1-AG1983)*IFERROR(INDEX(계정대체기준!$F$20:$F$49,MATCH($N1983,계정대체기준!$A$20:$A$49,0)),1)))</f>
        <v/>
      </c>
      <c r="Z1983" s="94">
        <f>IF($A1983="",0,IF(AE1983="직접",IF(AF1983="신계약비",$P1983,0),$P1983*(1-AG1983)*IFERROR(INDEX(계정대체기준!$C$20:$C$49,MATCH($N1983,계정대체기준!$A$20:$A$49,0)),0)))</f>
        <v/>
      </c>
      <c r="AA1983" s="94">
        <f>IF($A1983="",0,IF(AE1983="직접",IF(OR(AF1983="유지비",AF1983="손해조사비"),$P1983,0),$P1983*(1-AG1983)*IFERROR(INDEX(계정대체기준!$D$20:$D$49,MATCH($N1983,계정대체기준!$A$20:$A$49,0)),0)))</f>
        <v/>
      </c>
      <c r="AB1983" s="94">
        <f>IF($A1983="",0,IF(AE1983="직접",IF(AF1983="수금비",$P1983,0),$P1983*(1-AG1983)*IFERROR(INDEX(계정대체기준!$E$20:$E$49,MATCH($N1983,계정대체기준!$A$20:$A$49,0)),0)))</f>
        <v/>
      </c>
      <c r="AC1983" s="9">
        <f>IF(AND($A1983&lt;&gt;"",M1983=설정!$C$20,Z1983&gt;0),Z1983+ROW()/1000000000,"")</f>
        <v/>
      </c>
      <c r="AD1983" s="94">
        <f>IF($A1983="",0,$P1983*AG1983)</f>
        <v/>
      </c>
      <c r="AE1983" s="64">
        <f>IF($A1983="","",IFERROR(INDEX(계정매핑!$E$5:$E$504,MATCH($F1983&amp;"",계정매핑!$A$5:$A$504,0))&amp;"","공통비"))</f>
        <v/>
      </c>
      <c r="AF1983" s="64">
        <f>IF($A1983="","",IF(AE1983="직접",IFERROR(INDEX(계정매핑!$F$5:$F$504,MATCH($F1983&amp;"",계정매핑!$A$5:$A$504,0))&amp;"","비귀속"),""))</f>
        <v/>
      </c>
      <c r="AG1983" s="96">
        <f>IF($A1983="",0,IF(AND(AE1983&lt;&gt;"직접",IFERROR(INDEX(계정매핑!$G$5:$G$504,MATCH($F1983&amp;"",계정매핑!$A$5:$A$504,0))&amp;"","")="유지비",COUNTIF(계정대체기준!$A$6:$A$15,$N1983)&gt;0),IFERROR(INDEX(계정대체기준!$E$6:$E$15,MATCH(VALUE($A1983&amp;""),계정대체기준!$D$6:$D$15,0)),0),0))</f>
        <v/>
      </c>
      <c r="AH1983" s="64">
        <f>IF($A1983="","",IF(AD1983=0,"",IF(OR(COUNTIF(계정대체기준!$A$77:$A$86,$N1983)&gt;0,ISNUMBER(MATCH($X1983,계정대체기준!$D$77:$D$86,0)),ISNUMBER(MATCH($F1983,계정대체기준!$D$77:$D$86,0))),"Y","N")))</f>
        <v/>
      </c>
    </row>
    <row r="1984">
      <c r="A1984" s="92" t="n">
        <v>2025</v>
      </c>
      <c r="B1984" s="92" t="n">
        <v>9</v>
      </c>
      <c r="C1984" s="92" t="inlineStr">
        <is>
          <t>5100001980</t>
        </is>
      </c>
      <c r="D1984" s="95" t="n">
        <v>45921</v>
      </c>
      <c r="E1984" s="92" t="inlineStr">
        <is>
          <t>KR</t>
        </is>
      </c>
      <c r="F1984" s="92" t="n">
        <v>62902000</v>
      </c>
      <c r="G1984" s="92" t="n">
        <v>1801</v>
      </c>
      <c r="H1984" s="93" t="n">
        <v>1768000</v>
      </c>
      <c r="I1984" s="92" t="inlineStr">
        <is>
          <t>9월 콜 위탁 수수료(건별)</t>
        </is>
      </c>
      <c r="J1984" s="92" t="inlineStr">
        <is>
          <t>V10016</t>
        </is>
      </c>
      <c r="K1984" s="92" t="inlineStr">
        <is>
          <t>J콜센터</t>
        </is>
      </c>
      <c r="M1984" s="9">
        <f>IF($A1984="","",VALUE($A1984&amp;"")*12+VALUE($B1984&amp;""))</f>
        <v/>
      </c>
      <c r="N1984" s="64">
        <f>IF($A1984="","",IFERROR(INDEX(부서매핑!$C$5:$C$504,MATCH($G1984&amp;"",부서매핑!$A$5:$A$504,0)),"미매핑"))</f>
        <v/>
      </c>
      <c r="O1984" s="9">
        <f>IF($A1984="","",N1984&amp;"|"&amp;$F1984)</f>
        <v/>
      </c>
      <c r="P1984" s="94">
        <f>IF($A1984="",0,$H1984*설정!$C$23)</f>
        <v/>
      </c>
      <c r="Q1984" s="64">
        <f>IF($A1984="","",IF(O1984&lt;&gt;원인분석!$C$9,"",IF(AND(M1984&gt;=원인분석!$C$10,M1984&lt;=원인분석!$C$11),"당기",IF(AND(M1984&gt;=원인분석!$C$12,M1984&lt;=원인분석!$C$13),"비교",""))))</f>
        <v/>
      </c>
      <c r="R1984" s="9">
        <f>IF(Q1984="","",$K1984&amp;"")</f>
        <v/>
      </c>
      <c r="S1984" s="9">
        <f>IF(Q1984="","",IF(MATCH(R1984,$R$5:$R$100000,0)=ROW()-4,ROW(),""))</f>
        <v/>
      </c>
      <c r="T1984" s="9">
        <f>IF(Q1984="당기",ABS(P1984)+ROW()/1000000000,"")</f>
        <v/>
      </c>
      <c r="U1984" s="9">
        <f>IF(Q1984="비교",ABS(P1984)+ROW()/1000000000,"")</f>
        <v/>
      </c>
      <c r="V1984" s="64">
        <f>IF($A1984="","",IF(COUNTIF(변동분석!$E$7:$E$506,O1984)&gt;0,"Y","N"))</f>
        <v/>
      </c>
      <c r="W1984" s="64">
        <f>IF($A1984="","",IFERROR(INDEX(계정매핑!$D$5:$D$504,MATCH($F1984&amp;"",계정매핑!$A$5:$A$504,0)),"미매핑"))</f>
        <v/>
      </c>
      <c r="X1984" s="9">
        <f>IF($A1984="","",$F1984&amp;"")</f>
        <v/>
      </c>
      <c r="Y1984" s="94">
        <f>IF($A1984="",0,IF(AE1984="직접",IF(AF1984="비귀속",$P1984,0),$P1984*(1-AG1984)*IFERROR(INDEX(계정대체기준!$F$20:$F$49,MATCH($N1984,계정대체기준!$A$20:$A$49,0)),1)))</f>
        <v/>
      </c>
      <c r="Z1984" s="94">
        <f>IF($A1984="",0,IF(AE1984="직접",IF(AF1984="신계약비",$P1984,0),$P1984*(1-AG1984)*IFERROR(INDEX(계정대체기준!$C$20:$C$49,MATCH($N1984,계정대체기준!$A$20:$A$49,0)),0)))</f>
        <v/>
      </c>
      <c r="AA1984" s="94">
        <f>IF($A1984="",0,IF(AE1984="직접",IF(OR(AF1984="유지비",AF1984="손해조사비"),$P1984,0),$P1984*(1-AG1984)*IFERROR(INDEX(계정대체기준!$D$20:$D$49,MATCH($N1984,계정대체기준!$A$20:$A$49,0)),0)))</f>
        <v/>
      </c>
      <c r="AB1984" s="94">
        <f>IF($A1984="",0,IF(AE1984="직접",IF(AF1984="수금비",$P1984,0),$P1984*(1-AG1984)*IFERROR(INDEX(계정대체기준!$E$20:$E$49,MATCH($N1984,계정대체기준!$A$20:$A$49,0)),0)))</f>
        <v/>
      </c>
      <c r="AC1984" s="9">
        <f>IF(AND($A1984&lt;&gt;"",M1984=설정!$C$20,Z1984&gt;0),Z1984+ROW()/1000000000,"")</f>
        <v/>
      </c>
      <c r="AD1984" s="94">
        <f>IF($A1984="",0,$P1984*AG1984)</f>
        <v/>
      </c>
      <c r="AE1984" s="64">
        <f>IF($A1984="","",IFERROR(INDEX(계정매핑!$E$5:$E$504,MATCH($F1984&amp;"",계정매핑!$A$5:$A$504,0))&amp;"","공통비"))</f>
        <v/>
      </c>
      <c r="AF1984" s="64">
        <f>IF($A1984="","",IF(AE1984="직접",IFERROR(INDEX(계정매핑!$F$5:$F$504,MATCH($F1984&amp;"",계정매핑!$A$5:$A$504,0))&amp;"","비귀속"),""))</f>
        <v/>
      </c>
      <c r="AG1984" s="96">
        <f>IF($A1984="",0,IF(AND(AE1984&lt;&gt;"직접",IFERROR(INDEX(계정매핑!$G$5:$G$504,MATCH($F1984&amp;"",계정매핑!$A$5:$A$504,0))&amp;"","")="유지비",COUNTIF(계정대체기준!$A$6:$A$15,$N1984)&gt;0),IFERROR(INDEX(계정대체기준!$E$6:$E$15,MATCH(VALUE($A1984&amp;""),계정대체기준!$D$6:$D$15,0)),0),0))</f>
        <v/>
      </c>
      <c r="AH1984" s="64">
        <f>IF($A1984="","",IF(AD1984=0,"",IF(OR(COUNTIF(계정대체기준!$A$77:$A$86,$N1984)&gt;0,ISNUMBER(MATCH($X1984,계정대체기준!$D$77:$D$86,0)),ISNUMBER(MATCH($F1984,계정대체기준!$D$77:$D$86,0))),"Y","N")))</f>
        <v/>
      </c>
    </row>
    <row r="1985">
      <c r="A1985" s="92" t="n">
        <v>2025</v>
      </c>
      <c r="B1985" s="92" t="n">
        <v>9</v>
      </c>
      <c r="C1985" s="92" t="inlineStr">
        <is>
          <t>5100001981</t>
        </is>
      </c>
      <c r="D1985" s="95" t="n">
        <v>45922</v>
      </c>
      <c r="E1985" s="92" t="inlineStr">
        <is>
          <t>KR</t>
        </is>
      </c>
      <c r="F1985" s="92" t="n">
        <v>62101000</v>
      </c>
      <c r="G1985" s="92" t="n">
        <v>1601</v>
      </c>
      <c r="H1985" s="93" t="n">
        <v>629000</v>
      </c>
      <c r="I1985" s="92" t="inlineStr">
        <is>
          <t>9월 국내출장 - M항공</t>
        </is>
      </c>
      <c r="J1985" s="92" t="inlineStr">
        <is>
          <t>V10001</t>
        </is>
      </c>
      <c r="K1985" s="92" t="inlineStr">
        <is>
          <t>M항공</t>
        </is>
      </c>
      <c r="M1985" s="9">
        <f>IF($A1985="","",VALUE($A1985&amp;"")*12+VALUE($B1985&amp;""))</f>
        <v/>
      </c>
      <c r="N1985" s="64">
        <f>IF($A1985="","",IFERROR(INDEX(부서매핑!$C$5:$C$504,MATCH($G1985&amp;"",부서매핑!$A$5:$A$504,0)),"미매핑"))</f>
        <v/>
      </c>
      <c r="O1985" s="9">
        <f>IF($A1985="","",N1985&amp;"|"&amp;$F1985)</f>
        <v/>
      </c>
      <c r="P1985" s="94">
        <f>IF($A1985="",0,$H1985*설정!$C$23)</f>
        <v/>
      </c>
      <c r="Q1985" s="64">
        <f>IF($A1985="","",IF(O1985&lt;&gt;원인분석!$C$9,"",IF(AND(M1985&gt;=원인분석!$C$10,M1985&lt;=원인분석!$C$11),"당기",IF(AND(M1985&gt;=원인분석!$C$12,M1985&lt;=원인분석!$C$13),"비교",""))))</f>
        <v/>
      </c>
      <c r="R1985" s="9">
        <f>IF(Q1985="","",$K1985&amp;"")</f>
        <v/>
      </c>
      <c r="S1985" s="9">
        <f>IF(Q1985="","",IF(MATCH(R1985,$R$5:$R$100000,0)=ROW()-4,ROW(),""))</f>
        <v/>
      </c>
      <c r="T1985" s="9">
        <f>IF(Q1985="당기",ABS(P1985)+ROW()/1000000000,"")</f>
        <v/>
      </c>
      <c r="U1985" s="9">
        <f>IF(Q1985="비교",ABS(P1985)+ROW()/1000000000,"")</f>
        <v/>
      </c>
      <c r="V1985" s="64">
        <f>IF($A1985="","",IF(COUNTIF(변동분석!$E$7:$E$506,O1985)&gt;0,"Y","N"))</f>
        <v/>
      </c>
      <c r="W1985" s="64">
        <f>IF($A1985="","",IFERROR(INDEX(계정매핑!$D$5:$D$504,MATCH($F1985&amp;"",계정매핑!$A$5:$A$504,0)),"미매핑"))</f>
        <v/>
      </c>
      <c r="X1985" s="9">
        <f>IF($A1985="","",$F1985&amp;"")</f>
        <v/>
      </c>
      <c r="Y1985" s="94">
        <f>IF($A1985="",0,IF(AE1985="직접",IF(AF1985="비귀속",$P1985,0),$P1985*(1-AG1985)*IFERROR(INDEX(계정대체기준!$F$20:$F$49,MATCH($N1985,계정대체기준!$A$20:$A$49,0)),1)))</f>
        <v/>
      </c>
      <c r="Z1985" s="94">
        <f>IF($A1985="",0,IF(AE1985="직접",IF(AF1985="신계약비",$P1985,0),$P1985*(1-AG1985)*IFERROR(INDEX(계정대체기준!$C$20:$C$49,MATCH($N1985,계정대체기준!$A$20:$A$49,0)),0)))</f>
        <v/>
      </c>
      <c r="AA1985" s="94">
        <f>IF($A1985="",0,IF(AE1985="직접",IF(OR(AF1985="유지비",AF1985="손해조사비"),$P1985,0),$P1985*(1-AG1985)*IFERROR(INDEX(계정대체기준!$D$20:$D$49,MATCH($N1985,계정대체기준!$A$20:$A$49,0)),0)))</f>
        <v/>
      </c>
      <c r="AB1985" s="94">
        <f>IF($A1985="",0,IF(AE1985="직접",IF(AF1985="수금비",$P1985,0),$P1985*(1-AG1985)*IFERROR(INDEX(계정대체기준!$E$20:$E$49,MATCH($N1985,계정대체기준!$A$20:$A$49,0)),0)))</f>
        <v/>
      </c>
      <c r="AC1985" s="9">
        <f>IF(AND($A1985&lt;&gt;"",M1985=설정!$C$20,Z1985&gt;0),Z1985+ROW()/1000000000,"")</f>
        <v/>
      </c>
      <c r="AD1985" s="94">
        <f>IF($A1985="",0,$P1985*AG1985)</f>
        <v/>
      </c>
      <c r="AE1985" s="64">
        <f>IF($A1985="","",IFERROR(INDEX(계정매핑!$E$5:$E$504,MATCH($F1985&amp;"",계정매핑!$A$5:$A$504,0))&amp;"","공통비"))</f>
        <v/>
      </c>
      <c r="AF1985" s="64">
        <f>IF($A1985="","",IF(AE1985="직접",IFERROR(INDEX(계정매핑!$F$5:$F$504,MATCH($F1985&amp;"",계정매핑!$A$5:$A$504,0))&amp;"","비귀속"),""))</f>
        <v/>
      </c>
      <c r="AG1985" s="96">
        <f>IF($A1985="",0,IF(AND(AE1985&lt;&gt;"직접",IFERROR(INDEX(계정매핑!$G$5:$G$504,MATCH($F1985&amp;"",계정매핑!$A$5:$A$504,0))&amp;"","")="유지비",COUNTIF(계정대체기준!$A$6:$A$15,$N1985)&gt;0),IFERROR(INDEX(계정대체기준!$E$6:$E$15,MATCH(VALUE($A1985&amp;""),계정대체기준!$D$6:$D$15,0)),0),0))</f>
        <v/>
      </c>
      <c r="AH1985" s="64">
        <f>IF($A1985="","",IF(AD1985=0,"",IF(OR(COUNTIF(계정대체기준!$A$77:$A$86,$N1985)&gt;0,ISNUMBER(MATCH($X1985,계정대체기준!$D$77:$D$86,0)),ISNUMBER(MATCH($F1985,계정대체기준!$D$77:$D$86,0))),"Y","N")))</f>
        <v/>
      </c>
    </row>
    <row r="1986">
      <c r="A1986" s="92" t="n">
        <v>2025</v>
      </c>
      <c r="B1986" s="92" t="n">
        <v>9</v>
      </c>
      <c r="C1986" s="92" t="inlineStr">
        <is>
          <t>5100001982</t>
        </is>
      </c>
      <c r="D1986" s="95" t="n">
        <v>45922</v>
      </c>
      <c r="E1986" s="92" t="inlineStr">
        <is>
          <t>KR</t>
        </is>
      </c>
      <c r="F1986" s="92" t="n">
        <v>62101000</v>
      </c>
      <c r="G1986" s="92" t="n">
        <v>1801</v>
      </c>
      <c r="H1986" s="93" t="n">
        <v>176000</v>
      </c>
      <c r="I1986" s="92" t="inlineStr">
        <is>
          <t>9월 국내출장 - L여행사</t>
        </is>
      </c>
      <c r="J1986" s="92" t="inlineStr">
        <is>
          <t>V10018</t>
        </is>
      </c>
      <c r="K1986" s="92" t="inlineStr">
        <is>
          <t>L여행사</t>
        </is>
      </c>
      <c r="M1986" s="9">
        <f>IF($A1986="","",VALUE($A1986&amp;"")*12+VALUE($B1986&amp;""))</f>
        <v/>
      </c>
      <c r="N1986" s="64">
        <f>IF($A1986="","",IFERROR(INDEX(부서매핑!$C$5:$C$504,MATCH($G1986&amp;"",부서매핑!$A$5:$A$504,0)),"미매핑"))</f>
        <v/>
      </c>
      <c r="O1986" s="9">
        <f>IF($A1986="","",N1986&amp;"|"&amp;$F1986)</f>
        <v/>
      </c>
      <c r="P1986" s="94">
        <f>IF($A1986="",0,$H1986*설정!$C$23)</f>
        <v/>
      </c>
      <c r="Q1986" s="64">
        <f>IF($A1986="","",IF(O1986&lt;&gt;원인분석!$C$9,"",IF(AND(M1986&gt;=원인분석!$C$10,M1986&lt;=원인분석!$C$11),"당기",IF(AND(M1986&gt;=원인분석!$C$12,M1986&lt;=원인분석!$C$13),"비교",""))))</f>
        <v/>
      </c>
      <c r="R1986" s="9">
        <f>IF(Q1986="","",$K1986&amp;"")</f>
        <v/>
      </c>
      <c r="S1986" s="9">
        <f>IF(Q1986="","",IF(MATCH(R1986,$R$5:$R$100000,0)=ROW()-4,ROW(),""))</f>
        <v/>
      </c>
      <c r="T1986" s="9">
        <f>IF(Q1986="당기",ABS(P1986)+ROW()/1000000000,"")</f>
        <v/>
      </c>
      <c r="U1986" s="9">
        <f>IF(Q1986="비교",ABS(P1986)+ROW()/1000000000,"")</f>
        <v/>
      </c>
      <c r="V1986" s="64">
        <f>IF($A1986="","",IF(COUNTIF(변동분석!$E$7:$E$506,O1986)&gt;0,"Y","N"))</f>
        <v/>
      </c>
      <c r="W1986" s="64">
        <f>IF($A1986="","",IFERROR(INDEX(계정매핑!$D$5:$D$504,MATCH($F1986&amp;"",계정매핑!$A$5:$A$504,0)),"미매핑"))</f>
        <v/>
      </c>
      <c r="X1986" s="9">
        <f>IF($A1986="","",$F1986&amp;"")</f>
        <v/>
      </c>
      <c r="Y1986" s="94">
        <f>IF($A1986="",0,IF(AE1986="직접",IF(AF1986="비귀속",$P1986,0),$P1986*(1-AG1986)*IFERROR(INDEX(계정대체기준!$F$20:$F$49,MATCH($N1986,계정대체기준!$A$20:$A$49,0)),1)))</f>
        <v/>
      </c>
      <c r="Z1986" s="94">
        <f>IF($A1986="",0,IF(AE1986="직접",IF(AF1986="신계약비",$P1986,0),$P1986*(1-AG1986)*IFERROR(INDEX(계정대체기준!$C$20:$C$49,MATCH($N1986,계정대체기준!$A$20:$A$49,0)),0)))</f>
        <v/>
      </c>
      <c r="AA1986" s="94">
        <f>IF($A1986="",0,IF(AE1986="직접",IF(OR(AF1986="유지비",AF1986="손해조사비"),$P1986,0),$P1986*(1-AG1986)*IFERROR(INDEX(계정대체기준!$D$20:$D$49,MATCH($N1986,계정대체기준!$A$20:$A$49,0)),0)))</f>
        <v/>
      </c>
      <c r="AB1986" s="94">
        <f>IF($A1986="",0,IF(AE1986="직접",IF(AF1986="수금비",$P1986,0),$P1986*(1-AG1986)*IFERROR(INDEX(계정대체기준!$E$20:$E$49,MATCH($N1986,계정대체기준!$A$20:$A$49,0)),0)))</f>
        <v/>
      </c>
      <c r="AC1986" s="9">
        <f>IF(AND($A1986&lt;&gt;"",M1986=설정!$C$20,Z1986&gt;0),Z1986+ROW()/1000000000,"")</f>
        <v/>
      </c>
      <c r="AD1986" s="94">
        <f>IF($A1986="",0,$P1986*AG1986)</f>
        <v/>
      </c>
      <c r="AE1986" s="64">
        <f>IF($A1986="","",IFERROR(INDEX(계정매핑!$E$5:$E$504,MATCH($F1986&amp;"",계정매핑!$A$5:$A$504,0))&amp;"","공통비"))</f>
        <v/>
      </c>
      <c r="AF1986" s="64">
        <f>IF($A1986="","",IF(AE1986="직접",IFERROR(INDEX(계정매핑!$F$5:$F$504,MATCH($F1986&amp;"",계정매핑!$A$5:$A$504,0))&amp;"","비귀속"),""))</f>
        <v/>
      </c>
      <c r="AG1986" s="96">
        <f>IF($A1986="",0,IF(AND(AE1986&lt;&gt;"직접",IFERROR(INDEX(계정매핑!$G$5:$G$504,MATCH($F1986&amp;"",계정매핑!$A$5:$A$504,0))&amp;"","")="유지비",COUNTIF(계정대체기준!$A$6:$A$15,$N1986)&gt;0),IFERROR(INDEX(계정대체기준!$E$6:$E$15,MATCH(VALUE($A1986&amp;""),계정대체기준!$D$6:$D$15,0)),0),0))</f>
        <v/>
      </c>
      <c r="AH1986" s="64">
        <f>IF($A1986="","",IF(AD1986=0,"",IF(OR(COUNTIF(계정대체기준!$A$77:$A$86,$N1986)&gt;0,ISNUMBER(MATCH($X1986,계정대체기준!$D$77:$D$86,0)),ISNUMBER(MATCH($F1986,계정대체기준!$D$77:$D$86,0))),"Y","N")))</f>
        <v/>
      </c>
    </row>
    <row r="1987">
      <c r="A1987" s="92" t="n">
        <v>2025</v>
      </c>
      <c r="B1987" s="92" t="n">
        <v>9</v>
      </c>
      <c r="C1987" s="92" t="inlineStr">
        <is>
          <t>5100001983</t>
        </is>
      </c>
      <c r="D1987" s="95" t="n">
        <v>45922</v>
      </c>
      <c r="E1987" s="92" t="inlineStr">
        <is>
          <t>KR</t>
        </is>
      </c>
      <c r="F1987" s="92" t="n">
        <v>62201000</v>
      </c>
      <c r="G1987" s="92" t="n">
        <v>1801</v>
      </c>
      <c r="H1987" s="93" t="n">
        <v>4559000</v>
      </c>
      <c r="I1987" s="92" t="inlineStr">
        <is>
          <t>9월 통신요금 - P통신</t>
        </is>
      </c>
      <c r="J1987" s="92" t="inlineStr">
        <is>
          <t>V10014</t>
        </is>
      </c>
      <c r="K1987" s="92" t="inlineStr">
        <is>
          <t>P통신</t>
        </is>
      </c>
      <c r="M1987" s="9">
        <f>IF($A1987="","",VALUE($A1987&amp;"")*12+VALUE($B1987&amp;""))</f>
        <v/>
      </c>
      <c r="N1987" s="64">
        <f>IF($A1987="","",IFERROR(INDEX(부서매핑!$C$5:$C$504,MATCH($G1987&amp;"",부서매핑!$A$5:$A$504,0)),"미매핑"))</f>
        <v/>
      </c>
      <c r="O1987" s="9">
        <f>IF($A1987="","",N1987&amp;"|"&amp;$F1987)</f>
        <v/>
      </c>
      <c r="P1987" s="94">
        <f>IF($A1987="",0,$H1987*설정!$C$23)</f>
        <v/>
      </c>
      <c r="Q1987" s="64">
        <f>IF($A1987="","",IF(O1987&lt;&gt;원인분석!$C$9,"",IF(AND(M1987&gt;=원인분석!$C$10,M1987&lt;=원인분석!$C$11),"당기",IF(AND(M1987&gt;=원인분석!$C$12,M1987&lt;=원인분석!$C$13),"비교",""))))</f>
        <v/>
      </c>
      <c r="R1987" s="9">
        <f>IF(Q1987="","",$K1987&amp;"")</f>
        <v/>
      </c>
      <c r="S1987" s="9">
        <f>IF(Q1987="","",IF(MATCH(R1987,$R$5:$R$100000,0)=ROW()-4,ROW(),""))</f>
        <v/>
      </c>
      <c r="T1987" s="9">
        <f>IF(Q1987="당기",ABS(P1987)+ROW()/1000000000,"")</f>
        <v/>
      </c>
      <c r="U1987" s="9">
        <f>IF(Q1987="비교",ABS(P1987)+ROW()/1000000000,"")</f>
        <v/>
      </c>
      <c r="V1987" s="64">
        <f>IF($A1987="","",IF(COUNTIF(변동분석!$E$7:$E$506,O1987)&gt;0,"Y","N"))</f>
        <v/>
      </c>
      <c r="W1987" s="64">
        <f>IF($A1987="","",IFERROR(INDEX(계정매핑!$D$5:$D$504,MATCH($F1987&amp;"",계정매핑!$A$5:$A$504,0)),"미매핑"))</f>
        <v/>
      </c>
      <c r="X1987" s="9">
        <f>IF($A1987="","",$F1987&amp;"")</f>
        <v/>
      </c>
      <c r="Y1987" s="94">
        <f>IF($A1987="",0,IF(AE1987="직접",IF(AF1987="비귀속",$P1987,0),$P1987*(1-AG1987)*IFERROR(INDEX(계정대체기준!$F$20:$F$49,MATCH($N1987,계정대체기준!$A$20:$A$49,0)),1)))</f>
        <v/>
      </c>
      <c r="Z1987" s="94">
        <f>IF($A1987="",0,IF(AE1987="직접",IF(AF1987="신계약비",$P1987,0),$P1987*(1-AG1987)*IFERROR(INDEX(계정대체기준!$C$20:$C$49,MATCH($N1987,계정대체기준!$A$20:$A$49,0)),0)))</f>
        <v/>
      </c>
      <c r="AA1987" s="94">
        <f>IF($A1987="",0,IF(AE1987="직접",IF(OR(AF1987="유지비",AF1987="손해조사비"),$P1987,0),$P1987*(1-AG1987)*IFERROR(INDEX(계정대체기준!$D$20:$D$49,MATCH($N1987,계정대체기준!$A$20:$A$49,0)),0)))</f>
        <v/>
      </c>
      <c r="AB1987" s="94">
        <f>IF($A1987="",0,IF(AE1987="직접",IF(AF1987="수금비",$P1987,0),$P1987*(1-AG1987)*IFERROR(INDEX(계정대체기준!$E$20:$E$49,MATCH($N1987,계정대체기준!$A$20:$A$49,0)),0)))</f>
        <v/>
      </c>
      <c r="AC1987" s="9">
        <f>IF(AND($A1987&lt;&gt;"",M1987=설정!$C$20,Z1987&gt;0),Z1987+ROW()/1000000000,"")</f>
        <v/>
      </c>
      <c r="AD1987" s="94">
        <f>IF($A1987="",0,$P1987*AG1987)</f>
        <v/>
      </c>
      <c r="AE1987" s="64">
        <f>IF($A1987="","",IFERROR(INDEX(계정매핑!$E$5:$E$504,MATCH($F1987&amp;"",계정매핑!$A$5:$A$504,0))&amp;"","공통비"))</f>
        <v/>
      </c>
      <c r="AF1987" s="64">
        <f>IF($A1987="","",IF(AE1987="직접",IFERROR(INDEX(계정매핑!$F$5:$F$504,MATCH($F1987&amp;"",계정매핑!$A$5:$A$504,0))&amp;"","비귀속"),""))</f>
        <v/>
      </c>
      <c r="AG1987" s="96">
        <f>IF($A1987="",0,IF(AND(AE1987&lt;&gt;"직접",IFERROR(INDEX(계정매핑!$G$5:$G$504,MATCH($F1987&amp;"",계정매핑!$A$5:$A$504,0))&amp;"","")="유지비",COUNTIF(계정대체기준!$A$6:$A$15,$N1987)&gt;0),IFERROR(INDEX(계정대체기준!$E$6:$E$15,MATCH(VALUE($A1987&amp;""),계정대체기준!$D$6:$D$15,0)),0),0))</f>
        <v/>
      </c>
      <c r="AH1987" s="64">
        <f>IF($A1987="","",IF(AD1987=0,"",IF(OR(COUNTIF(계정대체기준!$A$77:$A$86,$N1987)&gt;0,ISNUMBER(MATCH($X1987,계정대체기준!$D$77:$D$86,0)),ISNUMBER(MATCH($F1987,계정대체기준!$D$77:$D$86,0))),"Y","N")))</f>
        <v/>
      </c>
    </row>
    <row r="1988">
      <c r="A1988" s="92" t="n">
        <v>2025</v>
      </c>
      <c r="B1988" s="92" t="n">
        <v>9</v>
      </c>
      <c r="C1988" s="92" t="inlineStr">
        <is>
          <t>5100001984</t>
        </is>
      </c>
      <c r="D1988" s="95" t="n">
        <v>45922</v>
      </c>
      <c r="E1988" s="92" t="inlineStr">
        <is>
          <t>KR</t>
        </is>
      </c>
      <c r="F1988" s="92" t="n">
        <v>62301000</v>
      </c>
      <c r="G1988" s="92" t="n">
        <v>1801</v>
      </c>
      <c r="H1988" s="93" t="n">
        <v>331000</v>
      </c>
      <c r="I1988" s="92" t="inlineStr">
        <is>
          <t>9월 소모품 구입 - Q오피스</t>
        </is>
      </c>
      <c r="J1988" s="92" t="inlineStr">
        <is>
          <t>V10003</t>
        </is>
      </c>
      <c r="K1988" s="92" t="inlineStr">
        <is>
          <t>Q오피스</t>
        </is>
      </c>
      <c r="M1988" s="9">
        <f>IF($A1988="","",VALUE($A1988&amp;"")*12+VALUE($B1988&amp;""))</f>
        <v/>
      </c>
      <c r="N1988" s="64">
        <f>IF($A1988="","",IFERROR(INDEX(부서매핑!$C$5:$C$504,MATCH($G1988&amp;"",부서매핑!$A$5:$A$504,0)),"미매핑"))</f>
        <v/>
      </c>
      <c r="O1988" s="9">
        <f>IF($A1988="","",N1988&amp;"|"&amp;$F1988)</f>
        <v/>
      </c>
      <c r="P1988" s="94">
        <f>IF($A1988="",0,$H1988*설정!$C$23)</f>
        <v/>
      </c>
      <c r="Q1988" s="64">
        <f>IF($A1988="","",IF(O1988&lt;&gt;원인분석!$C$9,"",IF(AND(M1988&gt;=원인분석!$C$10,M1988&lt;=원인분석!$C$11),"당기",IF(AND(M1988&gt;=원인분석!$C$12,M1988&lt;=원인분석!$C$13),"비교",""))))</f>
        <v/>
      </c>
      <c r="R1988" s="9">
        <f>IF(Q1988="","",$K1988&amp;"")</f>
        <v/>
      </c>
      <c r="S1988" s="9">
        <f>IF(Q1988="","",IF(MATCH(R1988,$R$5:$R$100000,0)=ROW()-4,ROW(),""))</f>
        <v/>
      </c>
      <c r="T1988" s="9">
        <f>IF(Q1988="당기",ABS(P1988)+ROW()/1000000000,"")</f>
        <v/>
      </c>
      <c r="U1988" s="9">
        <f>IF(Q1988="비교",ABS(P1988)+ROW()/1000000000,"")</f>
        <v/>
      </c>
      <c r="V1988" s="64">
        <f>IF($A1988="","",IF(COUNTIF(변동분석!$E$7:$E$506,O1988)&gt;0,"Y","N"))</f>
        <v/>
      </c>
      <c r="W1988" s="64">
        <f>IF($A1988="","",IFERROR(INDEX(계정매핑!$D$5:$D$504,MATCH($F1988&amp;"",계정매핑!$A$5:$A$504,0)),"미매핑"))</f>
        <v/>
      </c>
      <c r="X1988" s="9">
        <f>IF($A1988="","",$F1988&amp;"")</f>
        <v/>
      </c>
      <c r="Y1988" s="94">
        <f>IF($A1988="",0,IF(AE1988="직접",IF(AF1988="비귀속",$P1988,0),$P1988*(1-AG1988)*IFERROR(INDEX(계정대체기준!$F$20:$F$49,MATCH($N1988,계정대체기준!$A$20:$A$49,0)),1)))</f>
        <v/>
      </c>
      <c r="Z1988" s="94">
        <f>IF($A1988="",0,IF(AE1988="직접",IF(AF1988="신계약비",$P1988,0),$P1988*(1-AG1988)*IFERROR(INDEX(계정대체기준!$C$20:$C$49,MATCH($N1988,계정대체기준!$A$20:$A$49,0)),0)))</f>
        <v/>
      </c>
      <c r="AA1988" s="94">
        <f>IF($A1988="",0,IF(AE1988="직접",IF(OR(AF1988="유지비",AF1988="손해조사비"),$P1988,0),$P1988*(1-AG1988)*IFERROR(INDEX(계정대체기준!$D$20:$D$49,MATCH($N1988,계정대체기준!$A$20:$A$49,0)),0)))</f>
        <v/>
      </c>
      <c r="AB1988" s="94">
        <f>IF($A1988="",0,IF(AE1988="직접",IF(AF1988="수금비",$P1988,0),$P1988*(1-AG1988)*IFERROR(INDEX(계정대체기준!$E$20:$E$49,MATCH($N1988,계정대체기준!$A$20:$A$49,0)),0)))</f>
        <v/>
      </c>
      <c r="AC1988" s="9">
        <f>IF(AND($A1988&lt;&gt;"",M1988=설정!$C$20,Z1988&gt;0),Z1988+ROW()/1000000000,"")</f>
        <v/>
      </c>
      <c r="AD1988" s="94">
        <f>IF($A1988="",0,$P1988*AG1988)</f>
        <v/>
      </c>
      <c r="AE1988" s="64">
        <f>IF($A1988="","",IFERROR(INDEX(계정매핑!$E$5:$E$504,MATCH($F1988&amp;"",계정매핑!$A$5:$A$504,0))&amp;"","공통비"))</f>
        <v/>
      </c>
      <c r="AF1988" s="64">
        <f>IF($A1988="","",IF(AE1988="직접",IFERROR(INDEX(계정매핑!$F$5:$F$504,MATCH($F1988&amp;"",계정매핑!$A$5:$A$504,0))&amp;"","비귀속"),""))</f>
        <v/>
      </c>
      <c r="AG1988" s="96">
        <f>IF($A1988="",0,IF(AND(AE1988&lt;&gt;"직접",IFERROR(INDEX(계정매핑!$G$5:$G$504,MATCH($F1988&amp;"",계정매핑!$A$5:$A$504,0))&amp;"","")="유지비",COUNTIF(계정대체기준!$A$6:$A$15,$N1988)&gt;0),IFERROR(INDEX(계정대체기준!$E$6:$E$15,MATCH(VALUE($A1988&amp;""),계정대체기준!$D$6:$D$15,0)),0),0))</f>
        <v/>
      </c>
      <c r="AH1988" s="64">
        <f>IF($A1988="","",IF(AD1988=0,"",IF(OR(COUNTIF(계정대체기준!$A$77:$A$86,$N1988)&gt;0,ISNUMBER(MATCH($X1988,계정대체기준!$D$77:$D$86,0)),ISNUMBER(MATCH($F1988,계정대체기준!$D$77:$D$86,0))),"Y","N")))</f>
        <v/>
      </c>
    </row>
    <row r="1989">
      <c r="A1989" s="92" t="n">
        <v>2025</v>
      </c>
      <c r="B1989" s="92" t="n">
        <v>9</v>
      </c>
      <c r="C1989" s="92" t="inlineStr">
        <is>
          <t>5100001985</t>
        </is>
      </c>
      <c r="D1989" s="95" t="n">
        <v>45922</v>
      </c>
      <c r="E1989" s="92" t="inlineStr">
        <is>
          <t>KR</t>
        </is>
      </c>
      <c r="F1989" s="92" t="n">
        <v>62401000</v>
      </c>
      <c r="G1989" s="92" t="n">
        <v>1501</v>
      </c>
      <c r="H1989" s="93" t="n">
        <v>1122000</v>
      </c>
      <c r="I1989" s="92" t="inlineStr">
        <is>
          <t>9월 인쇄물 제작 - S출판</t>
        </is>
      </c>
      <c r="J1989" s="92" t="inlineStr">
        <is>
          <t>V10015</t>
        </is>
      </c>
      <c r="K1989" s="92" t="inlineStr">
        <is>
          <t>S출판</t>
        </is>
      </c>
      <c r="M1989" s="9">
        <f>IF($A1989="","",VALUE($A1989&amp;"")*12+VALUE($B1989&amp;""))</f>
        <v/>
      </c>
      <c r="N1989" s="64">
        <f>IF($A1989="","",IFERROR(INDEX(부서매핑!$C$5:$C$504,MATCH($G1989&amp;"",부서매핑!$A$5:$A$504,0)),"미매핑"))</f>
        <v/>
      </c>
      <c r="O1989" s="9">
        <f>IF($A1989="","",N1989&amp;"|"&amp;$F1989)</f>
        <v/>
      </c>
      <c r="P1989" s="94">
        <f>IF($A1989="",0,$H1989*설정!$C$23)</f>
        <v/>
      </c>
      <c r="Q1989" s="64">
        <f>IF($A1989="","",IF(O1989&lt;&gt;원인분석!$C$9,"",IF(AND(M1989&gt;=원인분석!$C$10,M1989&lt;=원인분석!$C$11),"당기",IF(AND(M1989&gt;=원인분석!$C$12,M1989&lt;=원인분석!$C$13),"비교",""))))</f>
        <v/>
      </c>
      <c r="R1989" s="9">
        <f>IF(Q1989="","",$K1989&amp;"")</f>
        <v/>
      </c>
      <c r="S1989" s="9">
        <f>IF(Q1989="","",IF(MATCH(R1989,$R$5:$R$100000,0)=ROW()-4,ROW(),""))</f>
        <v/>
      </c>
      <c r="T1989" s="9">
        <f>IF(Q1989="당기",ABS(P1989)+ROW()/1000000000,"")</f>
        <v/>
      </c>
      <c r="U1989" s="9">
        <f>IF(Q1989="비교",ABS(P1989)+ROW()/1000000000,"")</f>
        <v/>
      </c>
      <c r="V1989" s="64">
        <f>IF($A1989="","",IF(COUNTIF(변동분석!$E$7:$E$506,O1989)&gt;0,"Y","N"))</f>
        <v/>
      </c>
      <c r="W1989" s="64">
        <f>IF($A1989="","",IFERROR(INDEX(계정매핑!$D$5:$D$504,MATCH($F1989&amp;"",계정매핑!$A$5:$A$504,0)),"미매핑"))</f>
        <v/>
      </c>
      <c r="X1989" s="9">
        <f>IF($A1989="","",$F1989&amp;"")</f>
        <v/>
      </c>
      <c r="Y1989" s="94">
        <f>IF($A1989="",0,IF(AE1989="직접",IF(AF1989="비귀속",$P1989,0),$P1989*(1-AG1989)*IFERROR(INDEX(계정대체기준!$F$20:$F$49,MATCH($N1989,계정대체기준!$A$20:$A$49,0)),1)))</f>
        <v/>
      </c>
      <c r="Z1989" s="94">
        <f>IF($A1989="",0,IF(AE1989="직접",IF(AF1989="신계약비",$P1989,0),$P1989*(1-AG1989)*IFERROR(INDEX(계정대체기준!$C$20:$C$49,MATCH($N1989,계정대체기준!$A$20:$A$49,0)),0)))</f>
        <v/>
      </c>
      <c r="AA1989" s="94">
        <f>IF($A1989="",0,IF(AE1989="직접",IF(OR(AF1989="유지비",AF1989="손해조사비"),$P1989,0),$P1989*(1-AG1989)*IFERROR(INDEX(계정대체기준!$D$20:$D$49,MATCH($N1989,계정대체기준!$A$20:$A$49,0)),0)))</f>
        <v/>
      </c>
      <c r="AB1989" s="94">
        <f>IF($A1989="",0,IF(AE1989="직접",IF(AF1989="수금비",$P1989,0),$P1989*(1-AG1989)*IFERROR(INDEX(계정대체기준!$E$20:$E$49,MATCH($N1989,계정대체기준!$A$20:$A$49,0)),0)))</f>
        <v/>
      </c>
      <c r="AC1989" s="9">
        <f>IF(AND($A1989&lt;&gt;"",M1989=설정!$C$20,Z1989&gt;0),Z1989+ROW()/1000000000,"")</f>
        <v/>
      </c>
      <c r="AD1989" s="94">
        <f>IF($A1989="",0,$P1989*AG1989)</f>
        <v/>
      </c>
      <c r="AE1989" s="64">
        <f>IF($A1989="","",IFERROR(INDEX(계정매핑!$E$5:$E$504,MATCH($F1989&amp;"",계정매핑!$A$5:$A$504,0))&amp;"","공통비"))</f>
        <v/>
      </c>
      <c r="AF1989" s="64">
        <f>IF($A1989="","",IF(AE1989="직접",IFERROR(INDEX(계정매핑!$F$5:$F$504,MATCH($F1989&amp;"",계정매핑!$A$5:$A$504,0))&amp;"","비귀속"),""))</f>
        <v/>
      </c>
      <c r="AG1989" s="96">
        <f>IF($A1989="",0,IF(AND(AE1989&lt;&gt;"직접",IFERROR(INDEX(계정매핑!$G$5:$G$504,MATCH($F1989&amp;"",계정매핑!$A$5:$A$504,0))&amp;"","")="유지비",COUNTIF(계정대체기준!$A$6:$A$15,$N1989)&gt;0),IFERROR(INDEX(계정대체기준!$E$6:$E$15,MATCH(VALUE($A1989&amp;""),계정대체기준!$D$6:$D$15,0)),0),0))</f>
        <v/>
      </c>
      <c r="AH1989" s="64">
        <f>IF($A1989="","",IF(AD1989=0,"",IF(OR(COUNTIF(계정대체기준!$A$77:$A$86,$N1989)&gt;0,ISNUMBER(MATCH($X1989,계정대체기준!$D$77:$D$86,0)),ISNUMBER(MATCH($F1989,계정대체기준!$D$77:$D$86,0))),"Y","N")))</f>
        <v/>
      </c>
    </row>
    <row r="1990">
      <c r="A1990" s="92" t="n">
        <v>2025</v>
      </c>
      <c r="B1990" s="92" t="n">
        <v>9</v>
      </c>
      <c r="C1990" s="92" t="inlineStr">
        <is>
          <t>5100001986</t>
        </is>
      </c>
      <c r="D1990" s="95" t="n">
        <v>45922</v>
      </c>
      <c r="E1990" s="92" t="inlineStr">
        <is>
          <t>KR</t>
        </is>
      </c>
      <c r="F1990" s="92" t="n">
        <v>62501000</v>
      </c>
      <c r="G1990" s="92" t="n">
        <v>1301</v>
      </c>
      <c r="H1990" s="93" t="n">
        <v>105000</v>
      </c>
      <c r="I1990" s="92" t="inlineStr">
        <is>
          <t>9월 회의 다과 - (법인카드)</t>
        </is>
      </c>
      <c r="J1990" s="92" t="inlineStr">
        <is>
          <t>V10010</t>
        </is>
      </c>
      <c r="K1990" s="92" t="inlineStr">
        <is>
          <t>(법인카드)</t>
        </is>
      </c>
      <c r="M1990" s="9">
        <f>IF($A1990="","",VALUE($A1990&amp;"")*12+VALUE($B1990&amp;""))</f>
        <v/>
      </c>
      <c r="N1990" s="64">
        <f>IF($A1990="","",IFERROR(INDEX(부서매핑!$C$5:$C$504,MATCH($G1990&amp;"",부서매핑!$A$5:$A$504,0)),"미매핑"))</f>
        <v/>
      </c>
      <c r="O1990" s="9">
        <f>IF($A1990="","",N1990&amp;"|"&amp;$F1990)</f>
        <v/>
      </c>
      <c r="P1990" s="94">
        <f>IF($A1990="",0,$H1990*설정!$C$23)</f>
        <v/>
      </c>
      <c r="Q1990" s="64">
        <f>IF($A1990="","",IF(O1990&lt;&gt;원인분석!$C$9,"",IF(AND(M1990&gt;=원인분석!$C$10,M1990&lt;=원인분석!$C$11),"당기",IF(AND(M1990&gt;=원인분석!$C$12,M1990&lt;=원인분석!$C$13),"비교",""))))</f>
        <v/>
      </c>
      <c r="R1990" s="9">
        <f>IF(Q1990="","",$K1990&amp;"")</f>
        <v/>
      </c>
      <c r="S1990" s="9">
        <f>IF(Q1990="","",IF(MATCH(R1990,$R$5:$R$100000,0)=ROW()-4,ROW(),""))</f>
        <v/>
      </c>
      <c r="T1990" s="9">
        <f>IF(Q1990="당기",ABS(P1990)+ROW()/1000000000,"")</f>
        <v/>
      </c>
      <c r="U1990" s="9">
        <f>IF(Q1990="비교",ABS(P1990)+ROW()/1000000000,"")</f>
        <v/>
      </c>
      <c r="V1990" s="64">
        <f>IF($A1990="","",IF(COUNTIF(변동분석!$E$7:$E$506,O1990)&gt;0,"Y","N"))</f>
        <v/>
      </c>
      <c r="W1990" s="64">
        <f>IF($A1990="","",IFERROR(INDEX(계정매핑!$D$5:$D$504,MATCH($F1990&amp;"",계정매핑!$A$5:$A$504,0)),"미매핑"))</f>
        <v/>
      </c>
      <c r="X1990" s="9">
        <f>IF($A1990="","",$F1990&amp;"")</f>
        <v/>
      </c>
      <c r="Y1990" s="94">
        <f>IF($A1990="",0,IF(AE1990="직접",IF(AF1990="비귀속",$P1990,0),$P1990*(1-AG1990)*IFERROR(INDEX(계정대체기준!$F$20:$F$49,MATCH($N1990,계정대체기준!$A$20:$A$49,0)),1)))</f>
        <v/>
      </c>
      <c r="Z1990" s="94">
        <f>IF($A1990="",0,IF(AE1990="직접",IF(AF1990="신계약비",$P1990,0),$P1990*(1-AG1990)*IFERROR(INDEX(계정대체기준!$C$20:$C$49,MATCH($N1990,계정대체기준!$A$20:$A$49,0)),0)))</f>
        <v/>
      </c>
      <c r="AA1990" s="94">
        <f>IF($A1990="",0,IF(AE1990="직접",IF(OR(AF1990="유지비",AF1990="손해조사비"),$P1990,0),$P1990*(1-AG1990)*IFERROR(INDEX(계정대체기준!$D$20:$D$49,MATCH($N1990,계정대체기준!$A$20:$A$49,0)),0)))</f>
        <v/>
      </c>
      <c r="AB1990" s="94">
        <f>IF($A1990="",0,IF(AE1990="직접",IF(AF1990="수금비",$P1990,0),$P1990*(1-AG1990)*IFERROR(INDEX(계정대체기준!$E$20:$E$49,MATCH($N1990,계정대체기준!$A$20:$A$49,0)),0)))</f>
        <v/>
      </c>
      <c r="AC1990" s="9">
        <f>IF(AND($A1990&lt;&gt;"",M1990=설정!$C$20,Z1990&gt;0),Z1990+ROW()/1000000000,"")</f>
        <v/>
      </c>
      <c r="AD1990" s="94">
        <f>IF($A1990="",0,$P1990*AG1990)</f>
        <v/>
      </c>
      <c r="AE1990" s="64">
        <f>IF($A1990="","",IFERROR(INDEX(계정매핑!$E$5:$E$504,MATCH($F1990&amp;"",계정매핑!$A$5:$A$504,0))&amp;"","공통비"))</f>
        <v/>
      </c>
      <c r="AF1990" s="64">
        <f>IF($A1990="","",IF(AE1990="직접",IFERROR(INDEX(계정매핑!$F$5:$F$504,MATCH($F1990&amp;"",계정매핑!$A$5:$A$504,0))&amp;"","비귀속"),""))</f>
        <v/>
      </c>
      <c r="AG1990" s="96">
        <f>IF($A1990="",0,IF(AND(AE1990&lt;&gt;"직접",IFERROR(INDEX(계정매핑!$G$5:$G$504,MATCH($F1990&amp;"",계정매핑!$A$5:$A$504,0))&amp;"","")="유지비",COUNTIF(계정대체기준!$A$6:$A$15,$N1990)&gt;0),IFERROR(INDEX(계정대체기준!$E$6:$E$15,MATCH(VALUE($A1990&amp;""),계정대체기준!$D$6:$D$15,0)),0),0))</f>
        <v/>
      </c>
      <c r="AH1990" s="64">
        <f>IF($A1990="","",IF(AD1990=0,"",IF(OR(COUNTIF(계정대체기준!$A$77:$A$86,$N1990)&gt;0,ISNUMBER(MATCH($X1990,계정대체기준!$D$77:$D$86,0)),ISNUMBER(MATCH($F1990,계정대체기준!$D$77:$D$86,0))),"Y","N")))</f>
        <v/>
      </c>
    </row>
    <row r="1991">
      <c r="A1991" s="92" t="n">
        <v>2025</v>
      </c>
      <c r="B1991" s="92" t="n">
        <v>9</v>
      </c>
      <c r="C1991" s="92" t="inlineStr">
        <is>
          <t>5100001987</t>
        </is>
      </c>
      <c r="D1991" s="95" t="n">
        <v>45922</v>
      </c>
      <c r="E1991" s="92" t="inlineStr">
        <is>
          <t>KR</t>
        </is>
      </c>
      <c r="F1991" s="92" t="n">
        <v>62501000</v>
      </c>
      <c r="G1991" s="92" t="n">
        <v>1301</v>
      </c>
      <c r="H1991" s="93" t="n">
        <v>208000</v>
      </c>
      <c r="I1991" s="92" t="inlineStr">
        <is>
          <t>9월 회의 다과 - T케이터링</t>
        </is>
      </c>
      <c r="J1991" s="92" t="inlineStr">
        <is>
          <t>V10005</t>
        </is>
      </c>
      <c r="K1991" s="92" t="inlineStr">
        <is>
          <t>T케이터링</t>
        </is>
      </c>
      <c r="M1991" s="9">
        <f>IF($A1991="","",VALUE($A1991&amp;"")*12+VALUE($B1991&amp;""))</f>
        <v/>
      </c>
      <c r="N1991" s="64">
        <f>IF($A1991="","",IFERROR(INDEX(부서매핑!$C$5:$C$504,MATCH($G1991&amp;"",부서매핑!$A$5:$A$504,0)),"미매핑"))</f>
        <v/>
      </c>
      <c r="O1991" s="9">
        <f>IF($A1991="","",N1991&amp;"|"&amp;$F1991)</f>
        <v/>
      </c>
      <c r="P1991" s="94">
        <f>IF($A1991="",0,$H1991*설정!$C$23)</f>
        <v/>
      </c>
      <c r="Q1991" s="64">
        <f>IF($A1991="","",IF(O1991&lt;&gt;원인분석!$C$9,"",IF(AND(M1991&gt;=원인분석!$C$10,M1991&lt;=원인분석!$C$11),"당기",IF(AND(M1991&gt;=원인분석!$C$12,M1991&lt;=원인분석!$C$13),"비교",""))))</f>
        <v/>
      </c>
      <c r="R1991" s="9">
        <f>IF(Q1991="","",$K1991&amp;"")</f>
        <v/>
      </c>
      <c r="S1991" s="9">
        <f>IF(Q1991="","",IF(MATCH(R1991,$R$5:$R$100000,0)=ROW()-4,ROW(),""))</f>
        <v/>
      </c>
      <c r="T1991" s="9">
        <f>IF(Q1991="당기",ABS(P1991)+ROW()/1000000000,"")</f>
        <v/>
      </c>
      <c r="U1991" s="9">
        <f>IF(Q1991="비교",ABS(P1991)+ROW()/1000000000,"")</f>
        <v/>
      </c>
      <c r="V1991" s="64">
        <f>IF($A1991="","",IF(COUNTIF(변동분석!$E$7:$E$506,O1991)&gt;0,"Y","N"))</f>
        <v/>
      </c>
      <c r="W1991" s="64">
        <f>IF($A1991="","",IFERROR(INDEX(계정매핑!$D$5:$D$504,MATCH($F1991&amp;"",계정매핑!$A$5:$A$504,0)),"미매핑"))</f>
        <v/>
      </c>
      <c r="X1991" s="9">
        <f>IF($A1991="","",$F1991&amp;"")</f>
        <v/>
      </c>
      <c r="Y1991" s="94">
        <f>IF($A1991="",0,IF(AE1991="직접",IF(AF1991="비귀속",$P1991,0),$P1991*(1-AG1991)*IFERROR(INDEX(계정대체기준!$F$20:$F$49,MATCH($N1991,계정대체기준!$A$20:$A$49,0)),1)))</f>
        <v/>
      </c>
      <c r="Z1991" s="94">
        <f>IF($A1991="",0,IF(AE1991="직접",IF(AF1991="신계약비",$P1991,0),$P1991*(1-AG1991)*IFERROR(INDEX(계정대체기준!$C$20:$C$49,MATCH($N1991,계정대체기준!$A$20:$A$49,0)),0)))</f>
        <v/>
      </c>
      <c r="AA1991" s="94">
        <f>IF($A1991="",0,IF(AE1991="직접",IF(OR(AF1991="유지비",AF1991="손해조사비"),$P1991,0),$P1991*(1-AG1991)*IFERROR(INDEX(계정대체기준!$D$20:$D$49,MATCH($N1991,계정대체기준!$A$20:$A$49,0)),0)))</f>
        <v/>
      </c>
      <c r="AB1991" s="94">
        <f>IF($A1991="",0,IF(AE1991="직접",IF(AF1991="수금비",$P1991,0),$P1991*(1-AG1991)*IFERROR(INDEX(계정대체기준!$E$20:$E$49,MATCH($N1991,계정대체기준!$A$20:$A$49,0)),0)))</f>
        <v/>
      </c>
      <c r="AC1991" s="9">
        <f>IF(AND($A1991&lt;&gt;"",M1991=설정!$C$20,Z1991&gt;0),Z1991+ROW()/1000000000,"")</f>
        <v/>
      </c>
      <c r="AD1991" s="94">
        <f>IF($A1991="",0,$P1991*AG1991)</f>
        <v/>
      </c>
      <c r="AE1991" s="64">
        <f>IF($A1991="","",IFERROR(INDEX(계정매핑!$E$5:$E$504,MATCH($F1991&amp;"",계정매핑!$A$5:$A$504,0))&amp;"","공통비"))</f>
        <v/>
      </c>
      <c r="AF1991" s="64">
        <f>IF($A1991="","",IF(AE1991="직접",IFERROR(INDEX(계정매핑!$F$5:$F$504,MATCH($F1991&amp;"",계정매핑!$A$5:$A$504,0))&amp;"","비귀속"),""))</f>
        <v/>
      </c>
      <c r="AG1991" s="96">
        <f>IF($A1991="",0,IF(AND(AE1991&lt;&gt;"직접",IFERROR(INDEX(계정매핑!$G$5:$G$504,MATCH($F1991&amp;"",계정매핑!$A$5:$A$504,0))&amp;"","")="유지비",COUNTIF(계정대체기준!$A$6:$A$15,$N1991)&gt;0),IFERROR(INDEX(계정대체기준!$E$6:$E$15,MATCH(VALUE($A1991&amp;""),계정대체기준!$D$6:$D$15,0)),0),0))</f>
        <v/>
      </c>
      <c r="AH1991" s="64">
        <f>IF($A1991="","",IF(AD1991=0,"",IF(OR(COUNTIF(계정대체기준!$A$77:$A$86,$N1991)&gt;0,ISNUMBER(MATCH($X1991,계정대체기준!$D$77:$D$86,0)),ISNUMBER(MATCH($F1991,계정대체기준!$D$77:$D$86,0))),"Y","N")))</f>
        <v/>
      </c>
    </row>
    <row r="1992">
      <c r="A1992" s="92" t="n">
        <v>2025</v>
      </c>
      <c r="B1992" s="92" t="n">
        <v>9</v>
      </c>
      <c r="C1992" s="92" t="inlineStr">
        <is>
          <t>5100001988</t>
        </is>
      </c>
      <c r="D1992" s="95" t="n">
        <v>45922</v>
      </c>
      <c r="E1992" s="92" t="inlineStr">
        <is>
          <t>KR</t>
        </is>
      </c>
      <c r="F1992" s="92" t="n">
        <v>62901000</v>
      </c>
      <c r="G1992" s="92" t="n">
        <v>1801</v>
      </c>
      <c r="H1992" s="93" t="n">
        <v>7087000</v>
      </c>
      <c r="I1992" s="92" t="inlineStr">
        <is>
          <t>9월 자문 수수료 - W컨설팅</t>
        </is>
      </c>
      <c r="J1992" s="92" t="inlineStr">
        <is>
          <t>V10006</t>
        </is>
      </c>
      <c r="K1992" s="92" t="inlineStr">
        <is>
          <t>W컨설팅</t>
        </is>
      </c>
      <c r="M1992" s="9">
        <f>IF($A1992="","",VALUE($A1992&amp;"")*12+VALUE($B1992&amp;""))</f>
        <v/>
      </c>
      <c r="N1992" s="64">
        <f>IF($A1992="","",IFERROR(INDEX(부서매핑!$C$5:$C$504,MATCH($G1992&amp;"",부서매핑!$A$5:$A$504,0)),"미매핑"))</f>
        <v/>
      </c>
      <c r="O1992" s="9">
        <f>IF($A1992="","",N1992&amp;"|"&amp;$F1992)</f>
        <v/>
      </c>
      <c r="P1992" s="94">
        <f>IF($A1992="",0,$H1992*설정!$C$23)</f>
        <v/>
      </c>
      <c r="Q1992" s="64">
        <f>IF($A1992="","",IF(O1992&lt;&gt;원인분석!$C$9,"",IF(AND(M1992&gt;=원인분석!$C$10,M1992&lt;=원인분석!$C$11),"당기",IF(AND(M1992&gt;=원인분석!$C$12,M1992&lt;=원인분석!$C$13),"비교",""))))</f>
        <v/>
      </c>
      <c r="R1992" s="9">
        <f>IF(Q1992="","",$K1992&amp;"")</f>
        <v/>
      </c>
      <c r="S1992" s="9">
        <f>IF(Q1992="","",IF(MATCH(R1992,$R$5:$R$100000,0)=ROW()-4,ROW(),""))</f>
        <v/>
      </c>
      <c r="T1992" s="9">
        <f>IF(Q1992="당기",ABS(P1992)+ROW()/1000000000,"")</f>
        <v/>
      </c>
      <c r="U1992" s="9">
        <f>IF(Q1992="비교",ABS(P1992)+ROW()/1000000000,"")</f>
        <v/>
      </c>
      <c r="V1992" s="64">
        <f>IF($A1992="","",IF(COUNTIF(변동분석!$E$7:$E$506,O1992)&gt;0,"Y","N"))</f>
        <v/>
      </c>
      <c r="W1992" s="64">
        <f>IF($A1992="","",IFERROR(INDEX(계정매핑!$D$5:$D$504,MATCH($F1992&amp;"",계정매핑!$A$5:$A$504,0)),"미매핑"))</f>
        <v/>
      </c>
      <c r="X1992" s="9">
        <f>IF($A1992="","",$F1992&amp;"")</f>
        <v/>
      </c>
      <c r="Y1992" s="94">
        <f>IF($A1992="",0,IF(AE1992="직접",IF(AF1992="비귀속",$P1992,0),$P1992*(1-AG1992)*IFERROR(INDEX(계정대체기준!$F$20:$F$49,MATCH($N1992,계정대체기준!$A$20:$A$49,0)),1)))</f>
        <v/>
      </c>
      <c r="Z1992" s="94">
        <f>IF($A1992="",0,IF(AE1992="직접",IF(AF1992="신계약비",$P1992,0),$P1992*(1-AG1992)*IFERROR(INDEX(계정대체기준!$C$20:$C$49,MATCH($N1992,계정대체기준!$A$20:$A$49,0)),0)))</f>
        <v/>
      </c>
      <c r="AA1992" s="94">
        <f>IF($A1992="",0,IF(AE1992="직접",IF(OR(AF1992="유지비",AF1992="손해조사비"),$P1992,0),$P1992*(1-AG1992)*IFERROR(INDEX(계정대체기준!$D$20:$D$49,MATCH($N1992,계정대체기준!$A$20:$A$49,0)),0)))</f>
        <v/>
      </c>
      <c r="AB1992" s="94">
        <f>IF($A1992="",0,IF(AE1992="직접",IF(AF1992="수금비",$P1992,0),$P1992*(1-AG1992)*IFERROR(INDEX(계정대체기준!$E$20:$E$49,MATCH($N1992,계정대체기준!$A$20:$A$49,0)),0)))</f>
        <v/>
      </c>
      <c r="AC1992" s="9">
        <f>IF(AND($A1992&lt;&gt;"",M1992=설정!$C$20,Z1992&gt;0),Z1992+ROW()/1000000000,"")</f>
        <v/>
      </c>
      <c r="AD1992" s="94">
        <f>IF($A1992="",0,$P1992*AG1992)</f>
        <v/>
      </c>
      <c r="AE1992" s="64">
        <f>IF($A1992="","",IFERROR(INDEX(계정매핑!$E$5:$E$504,MATCH($F1992&amp;"",계정매핑!$A$5:$A$504,0))&amp;"","공통비"))</f>
        <v/>
      </c>
      <c r="AF1992" s="64">
        <f>IF($A1992="","",IF(AE1992="직접",IFERROR(INDEX(계정매핑!$F$5:$F$504,MATCH($F1992&amp;"",계정매핑!$A$5:$A$504,0))&amp;"","비귀속"),""))</f>
        <v/>
      </c>
      <c r="AG1992" s="96">
        <f>IF($A1992="",0,IF(AND(AE1992&lt;&gt;"직접",IFERROR(INDEX(계정매핑!$G$5:$G$504,MATCH($F1992&amp;"",계정매핑!$A$5:$A$504,0))&amp;"","")="유지비",COUNTIF(계정대체기준!$A$6:$A$15,$N1992)&gt;0),IFERROR(INDEX(계정대체기준!$E$6:$E$15,MATCH(VALUE($A1992&amp;""),계정대체기준!$D$6:$D$15,0)),0),0))</f>
        <v/>
      </c>
      <c r="AH1992" s="64">
        <f>IF($A1992="","",IF(AD1992=0,"",IF(OR(COUNTIF(계정대체기준!$A$77:$A$86,$N1992)&gt;0,ISNUMBER(MATCH($X1992,계정대체기준!$D$77:$D$86,0)),ISNUMBER(MATCH($F1992,계정대체기준!$D$77:$D$86,0))),"Y","N")))</f>
        <v/>
      </c>
    </row>
    <row r="1993">
      <c r="A1993" s="92" t="n">
        <v>2025</v>
      </c>
      <c r="B1993" s="92" t="n">
        <v>9</v>
      </c>
      <c r="C1993" s="92" t="inlineStr">
        <is>
          <t>5100001989</t>
        </is>
      </c>
      <c r="D1993" s="95" t="n">
        <v>45923</v>
      </c>
      <c r="E1993" s="92" t="inlineStr">
        <is>
          <t>KR</t>
        </is>
      </c>
      <c r="F1993" s="92" t="n">
        <v>62201000</v>
      </c>
      <c r="G1993" s="92" t="n">
        <v>1101</v>
      </c>
      <c r="H1993" s="93" t="n">
        <v>395000</v>
      </c>
      <c r="I1993" s="92" t="inlineStr">
        <is>
          <t>9월 통신요금 - P통신</t>
        </is>
      </c>
      <c r="J1993" s="92" t="inlineStr">
        <is>
          <t>V10014</t>
        </is>
      </c>
      <c r="K1993" s="92" t="inlineStr">
        <is>
          <t>P통신</t>
        </is>
      </c>
      <c r="M1993" s="9">
        <f>IF($A1993="","",VALUE($A1993&amp;"")*12+VALUE($B1993&amp;""))</f>
        <v/>
      </c>
      <c r="N1993" s="64">
        <f>IF($A1993="","",IFERROR(INDEX(부서매핑!$C$5:$C$504,MATCH($G1993&amp;"",부서매핑!$A$5:$A$504,0)),"미매핑"))</f>
        <v/>
      </c>
      <c r="O1993" s="9">
        <f>IF($A1993="","",N1993&amp;"|"&amp;$F1993)</f>
        <v/>
      </c>
      <c r="P1993" s="94">
        <f>IF($A1993="",0,$H1993*설정!$C$23)</f>
        <v/>
      </c>
      <c r="Q1993" s="64">
        <f>IF($A1993="","",IF(O1993&lt;&gt;원인분석!$C$9,"",IF(AND(M1993&gt;=원인분석!$C$10,M1993&lt;=원인분석!$C$11),"당기",IF(AND(M1993&gt;=원인분석!$C$12,M1993&lt;=원인분석!$C$13),"비교",""))))</f>
        <v/>
      </c>
      <c r="R1993" s="9">
        <f>IF(Q1993="","",$K1993&amp;"")</f>
        <v/>
      </c>
      <c r="S1993" s="9">
        <f>IF(Q1993="","",IF(MATCH(R1993,$R$5:$R$100000,0)=ROW()-4,ROW(),""))</f>
        <v/>
      </c>
      <c r="T1993" s="9">
        <f>IF(Q1993="당기",ABS(P1993)+ROW()/1000000000,"")</f>
        <v/>
      </c>
      <c r="U1993" s="9">
        <f>IF(Q1993="비교",ABS(P1993)+ROW()/1000000000,"")</f>
        <v/>
      </c>
      <c r="V1993" s="64">
        <f>IF($A1993="","",IF(COUNTIF(변동분석!$E$7:$E$506,O1993)&gt;0,"Y","N"))</f>
        <v/>
      </c>
      <c r="W1993" s="64">
        <f>IF($A1993="","",IFERROR(INDEX(계정매핑!$D$5:$D$504,MATCH($F1993&amp;"",계정매핑!$A$5:$A$504,0)),"미매핑"))</f>
        <v/>
      </c>
      <c r="X1993" s="9">
        <f>IF($A1993="","",$F1993&amp;"")</f>
        <v/>
      </c>
      <c r="Y1993" s="94">
        <f>IF($A1993="",0,IF(AE1993="직접",IF(AF1993="비귀속",$P1993,0),$P1993*(1-AG1993)*IFERROR(INDEX(계정대체기준!$F$20:$F$49,MATCH($N1993,계정대체기준!$A$20:$A$49,0)),1)))</f>
        <v/>
      </c>
      <c r="Z1993" s="94">
        <f>IF($A1993="",0,IF(AE1993="직접",IF(AF1993="신계약비",$P1993,0),$P1993*(1-AG1993)*IFERROR(INDEX(계정대체기준!$C$20:$C$49,MATCH($N1993,계정대체기준!$A$20:$A$49,0)),0)))</f>
        <v/>
      </c>
      <c r="AA1993" s="94">
        <f>IF($A1993="",0,IF(AE1993="직접",IF(OR(AF1993="유지비",AF1993="손해조사비"),$P1993,0),$P1993*(1-AG1993)*IFERROR(INDEX(계정대체기준!$D$20:$D$49,MATCH($N1993,계정대체기준!$A$20:$A$49,0)),0)))</f>
        <v/>
      </c>
      <c r="AB1993" s="94">
        <f>IF($A1993="",0,IF(AE1993="직접",IF(AF1993="수금비",$P1993,0),$P1993*(1-AG1993)*IFERROR(INDEX(계정대체기준!$E$20:$E$49,MATCH($N1993,계정대체기준!$A$20:$A$49,0)),0)))</f>
        <v/>
      </c>
      <c r="AC1993" s="9">
        <f>IF(AND($A1993&lt;&gt;"",M1993=설정!$C$20,Z1993&gt;0),Z1993+ROW()/1000000000,"")</f>
        <v/>
      </c>
      <c r="AD1993" s="94">
        <f>IF($A1993="",0,$P1993*AG1993)</f>
        <v/>
      </c>
      <c r="AE1993" s="64">
        <f>IF($A1993="","",IFERROR(INDEX(계정매핑!$E$5:$E$504,MATCH($F1993&amp;"",계정매핑!$A$5:$A$504,0))&amp;"","공통비"))</f>
        <v/>
      </c>
      <c r="AF1993" s="64">
        <f>IF($A1993="","",IF(AE1993="직접",IFERROR(INDEX(계정매핑!$F$5:$F$504,MATCH($F1993&amp;"",계정매핑!$A$5:$A$504,0))&amp;"","비귀속"),""))</f>
        <v/>
      </c>
      <c r="AG1993" s="96">
        <f>IF($A1993="",0,IF(AND(AE1993&lt;&gt;"직접",IFERROR(INDEX(계정매핑!$G$5:$G$504,MATCH($F1993&amp;"",계정매핑!$A$5:$A$504,0))&amp;"","")="유지비",COUNTIF(계정대체기준!$A$6:$A$15,$N1993)&gt;0),IFERROR(INDEX(계정대체기준!$E$6:$E$15,MATCH(VALUE($A1993&amp;""),계정대체기준!$D$6:$D$15,0)),0),0))</f>
        <v/>
      </c>
      <c r="AH1993" s="64">
        <f>IF($A1993="","",IF(AD1993=0,"",IF(OR(COUNTIF(계정대체기준!$A$77:$A$86,$N1993)&gt;0,ISNUMBER(MATCH($X1993,계정대체기준!$D$77:$D$86,0)),ISNUMBER(MATCH($F1993,계정대체기준!$D$77:$D$86,0))),"Y","N")))</f>
        <v/>
      </c>
    </row>
    <row r="1994">
      <c r="A1994" s="92" t="n">
        <v>2025</v>
      </c>
      <c r="B1994" s="92" t="n">
        <v>9</v>
      </c>
      <c r="C1994" s="92" t="inlineStr">
        <is>
          <t>5100001990</t>
        </is>
      </c>
      <c r="D1994" s="95" t="n">
        <v>45923</v>
      </c>
      <c r="E1994" s="92" t="inlineStr">
        <is>
          <t>KR</t>
        </is>
      </c>
      <c r="F1994" s="92" t="n">
        <v>62201000</v>
      </c>
      <c r="G1994" s="92" t="n">
        <v>1951</v>
      </c>
      <c r="H1994" s="93" t="n">
        <v>246000</v>
      </c>
      <c r="I1994" s="92" t="inlineStr">
        <is>
          <t>9월 통신요금 - P통신</t>
        </is>
      </c>
      <c r="J1994" s="92" t="inlineStr">
        <is>
          <t>V10014</t>
        </is>
      </c>
      <c r="K1994" s="92" t="inlineStr">
        <is>
          <t>P통신</t>
        </is>
      </c>
      <c r="M1994" s="9">
        <f>IF($A1994="","",VALUE($A1994&amp;"")*12+VALUE($B1994&amp;""))</f>
        <v/>
      </c>
      <c r="N1994" s="64">
        <f>IF($A1994="","",IFERROR(INDEX(부서매핑!$C$5:$C$504,MATCH($G1994&amp;"",부서매핑!$A$5:$A$504,0)),"미매핑"))</f>
        <v/>
      </c>
      <c r="O1994" s="9">
        <f>IF($A1994="","",N1994&amp;"|"&amp;$F1994)</f>
        <v/>
      </c>
      <c r="P1994" s="94">
        <f>IF($A1994="",0,$H1994*설정!$C$23)</f>
        <v/>
      </c>
      <c r="Q1994" s="64">
        <f>IF($A1994="","",IF(O1994&lt;&gt;원인분석!$C$9,"",IF(AND(M1994&gt;=원인분석!$C$10,M1994&lt;=원인분석!$C$11),"당기",IF(AND(M1994&gt;=원인분석!$C$12,M1994&lt;=원인분석!$C$13),"비교",""))))</f>
        <v/>
      </c>
      <c r="R1994" s="9">
        <f>IF(Q1994="","",$K1994&amp;"")</f>
        <v/>
      </c>
      <c r="S1994" s="9">
        <f>IF(Q1994="","",IF(MATCH(R1994,$R$5:$R$100000,0)=ROW()-4,ROW(),""))</f>
        <v/>
      </c>
      <c r="T1994" s="9">
        <f>IF(Q1994="당기",ABS(P1994)+ROW()/1000000000,"")</f>
        <v/>
      </c>
      <c r="U1994" s="9">
        <f>IF(Q1994="비교",ABS(P1994)+ROW()/1000000000,"")</f>
        <v/>
      </c>
      <c r="V1994" s="64">
        <f>IF($A1994="","",IF(COUNTIF(변동분석!$E$7:$E$506,O1994)&gt;0,"Y","N"))</f>
        <v/>
      </c>
      <c r="W1994" s="64">
        <f>IF($A1994="","",IFERROR(INDEX(계정매핑!$D$5:$D$504,MATCH($F1994&amp;"",계정매핑!$A$5:$A$504,0)),"미매핑"))</f>
        <v/>
      </c>
      <c r="X1994" s="9">
        <f>IF($A1994="","",$F1994&amp;"")</f>
        <v/>
      </c>
      <c r="Y1994" s="94">
        <f>IF($A1994="",0,IF(AE1994="직접",IF(AF1994="비귀속",$P1994,0),$P1994*(1-AG1994)*IFERROR(INDEX(계정대체기준!$F$20:$F$49,MATCH($N1994,계정대체기준!$A$20:$A$49,0)),1)))</f>
        <v/>
      </c>
      <c r="Z1994" s="94">
        <f>IF($A1994="",0,IF(AE1994="직접",IF(AF1994="신계약비",$P1994,0),$P1994*(1-AG1994)*IFERROR(INDEX(계정대체기준!$C$20:$C$49,MATCH($N1994,계정대체기준!$A$20:$A$49,0)),0)))</f>
        <v/>
      </c>
      <c r="AA1994" s="94">
        <f>IF($A1994="",0,IF(AE1994="직접",IF(OR(AF1994="유지비",AF1994="손해조사비"),$P1994,0),$P1994*(1-AG1994)*IFERROR(INDEX(계정대체기준!$D$20:$D$49,MATCH($N1994,계정대체기준!$A$20:$A$49,0)),0)))</f>
        <v/>
      </c>
      <c r="AB1994" s="94">
        <f>IF($A1994="",0,IF(AE1994="직접",IF(AF1994="수금비",$P1994,0),$P1994*(1-AG1994)*IFERROR(INDEX(계정대체기준!$E$20:$E$49,MATCH($N1994,계정대체기준!$A$20:$A$49,0)),0)))</f>
        <v/>
      </c>
      <c r="AC1994" s="9">
        <f>IF(AND($A1994&lt;&gt;"",M1994=설정!$C$20,Z1994&gt;0),Z1994+ROW()/1000000000,"")</f>
        <v/>
      </c>
      <c r="AD1994" s="94">
        <f>IF($A1994="",0,$P1994*AG1994)</f>
        <v/>
      </c>
      <c r="AE1994" s="64">
        <f>IF($A1994="","",IFERROR(INDEX(계정매핑!$E$5:$E$504,MATCH($F1994&amp;"",계정매핑!$A$5:$A$504,0))&amp;"","공통비"))</f>
        <v/>
      </c>
      <c r="AF1994" s="64">
        <f>IF($A1994="","",IF(AE1994="직접",IFERROR(INDEX(계정매핑!$F$5:$F$504,MATCH($F1994&amp;"",계정매핑!$A$5:$A$504,0))&amp;"","비귀속"),""))</f>
        <v/>
      </c>
      <c r="AG1994" s="96">
        <f>IF($A1994="",0,IF(AND(AE1994&lt;&gt;"직접",IFERROR(INDEX(계정매핑!$G$5:$G$504,MATCH($F1994&amp;"",계정매핑!$A$5:$A$504,0))&amp;"","")="유지비",COUNTIF(계정대체기준!$A$6:$A$15,$N1994)&gt;0),IFERROR(INDEX(계정대체기준!$E$6:$E$15,MATCH(VALUE($A1994&amp;""),계정대체기준!$D$6:$D$15,0)),0),0))</f>
        <v/>
      </c>
      <c r="AH1994" s="64">
        <f>IF($A1994="","",IF(AD1994=0,"",IF(OR(COUNTIF(계정대체기준!$A$77:$A$86,$N1994)&gt;0,ISNUMBER(MATCH($X1994,계정대체기준!$D$77:$D$86,0)),ISNUMBER(MATCH($F1994,계정대체기준!$D$77:$D$86,0))),"Y","N")))</f>
        <v/>
      </c>
    </row>
    <row r="1995">
      <c r="A1995" s="92" t="n">
        <v>2025</v>
      </c>
      <c r="B1995" s="92" t="n">
        <v>9</v>
      </c>
      <c r="C1995" s="92" t="inlineStr">
        <is>
          <t>5100001991</t>
        </is>
      </c>
      <c r="D1995" s="95" t="n">
        <v>45923</v>
      </c>
      <c r="E1995" s="92" t="inlineStr">
        <is>
          <t>KR</t>
        </is>
      </c>
      <c r="F1995" s="92" t="n">
        <v>62301000</v>
      </c>
      <c r="G1995" s="92" t="n">
        <v>1701</v>
      </c>
      <c r="H1995" s="93" t="n">
        <v>301000</v>
      </c>
      <c r="I1995" s="92" t="inlineStr">
        <is>
          <t>9월 소모품 구입 - Q오피스</t>
        </is>
      </c>
      <c r="J1995" s="92" t="inlineStr">
        <is>
          <t>V10003</t>
        </is>
      </c>
      <c r="K1995" s="92" t="inlineStr">
        <is>
          <t>Q오피스</t>
        </is>
      </c>
      <c r="M1995" s="9">
        <f>IF($A1995="","",VALUE($A1995&amp;"")*12+VALUE($B1995&amp;""))</f>
        <v/>
      </c>
      <c r="N1995" s="64">
        <f>IF($A1995="","",IFERROR(INDEX(부서매핑!$C$5:$C$504,MATCH($G1995&amp;"",부서매핑!$A$5:$A$504,0)),"미매핑"))</f>
        <v/>
      </c>
      <c r="O1995" s="9">
        <f>IF($A1995="","",N1995&amp;"|"&amp;$F1995)</f>
        <v/>
      </c>
      <c r="P1995" s="94">
        <f>IF($A1995="",0,$H1995*설정!$C$23)</f>
        <v/>
      </c>
      <c r="Q1995" s="64">
        <f>IF($A1995="","",IF(O1995&lt;&gt;원인분석!$C$9,"",IF(AND(M1995&gt;=원인분석!$C$10,M1995&lt;=원인분석!$C$11),"당기",IF(AND(M1995&gt;=원인분석!$C$12,M1995&lt;=원인분석!$C$13),"비교",""))))</f>
        <v/>
      </c>
      <c r="R1995" s="9">
        <f>IF(Q1995="","",$K1995&amp;"")</f>
        <v/>
      </c>
      <c r="S1995" s="9">
        <f>IF(Q1995="","",IF(MATCH(R1995,$R$5:$R$100000,0)=ROW()-4,ROW(),""))</f>
        <v/>
      </c>
      <c r="T1995" s="9">
        <f>IF(Q1995="당기",ABS(P1995)+ROW()/1000000000,"")</f>
        <v/>
      </c>
      <c r="U1995" s="9">
        <f>IF(Q1995="비교",ABS(P1995)+ROW()/1000000000,"")</f>
        <v/>
      </c>
      <c r="V1995" s="64">
        <f>IF($A1995="","",IF(COUNTIF(변동분석!$E$7:$E$506,O1995)&gt;0,"Y","N"))</f>
        <v/>
      </c>
      <c r="W1995" s="64">
        <f>IF($A1995="","",IFERROR(INDEX(계정매핑!$D$5:$D$504,MATCH($F1995&amp;"",계정매핑!$A$5:$A$504,0)),"미매핑"))</f>
        <v/>
      </c>
      <c r="X1995" s="9">
        <f>IF($A1995="","",$F1995&amp;"")</f>
        <v/>
      </c>
      <c r="Y1995" s="94">
        <f>IF($A1995="",0,IF(AE1995="직접",IF(AF1995="비귀속",$P1995,0),$P1995*(1-AG1995)*IFERROR(INDEX(계정대체기준!$F$20:$F$49,MATCH($N1995,계정대체기준!$A$20:$A$49,0)),1)))</f>
        <v/>
      </c>
      <c r="Z1995" s="94">
        <f>IF($A1995="",0,IF(AE1995="직접",IF(AF1995="신계약비",$P1995,0),$P1995*(1-AG1995)*IFERROR(INDEX(계정대체기준!$C$20:$C$49,MATCH($N1995,계정대체기준!$A$20:$A$49,0)),0)))</f>
        <v/>
      </c>
      <c r="AA1995" s="94">
        <f>IF($A1995="",0,IF(AE1995="직접",IF(OR(AF1995="유지비",AF1995="손해조사비"),$P1995,0),$P1995*(1-AG1995)*IFERROR(INDEX(계정대체기준!$D$20:$D$49,MATCH($N1995,계정대체기준!$A$20:$A$49,0)),0)))</f>
        <v/>
      </c>
      <c r="AB1995" s="94">
        <f>IF($A1995="",0,IF(AE1995="직접",IF(AF1995="수금비",$P1995,0),$P1995*(1-AG1995)*IFERROR(INDEX(계정대체기준!$E$20:$E$49,MATCH($N1995,계정대체기준!$A$20:$A$49,0)),0)))</f>
        <v/>
      </c>
      <c r="AC1995" s="9">
        <f>IF(AND($A1995&lt;&gt;"",M1995=설정!$C$20,Z1995&gt;0),Z1995+ROW()/1000000000,"")</f>
        <v/>
      </c>
      <c r="AD1995" s="94">
        <f>IF($A1995="",0,$P1995*AG1995)</f>
        <v/>
      </c>
      <c r="AE1995" s="64">
        <f>IF($A1995="","",IFERROR(INDEX(계정매핑!$E$5:$E$504,MATCH($F1995&amp;"",계정매핑!$A$5:$A$504,0))&amp;"","공통비"))</f>
        <v/>
      </c>
      <c r="AF1995" s="64">
        <f>IF($A1995="","",IF(AE1995="직접",IFERROR(INDEX(계정매핑!$F$5:$F$504,MATCH($F1995&amp;"",계정매핑!$A$5:$A$504,0))&amp;"","비귀속"),""))</f>
        <v/>
      </c>
      <c r="AG1995" s="96">
        <f>IF($A1995="",0,IF(AND(AE1995&lt;&gt;"직접",IFERROR(INDEX(계정매핑!$G$5:$G$504,MATCH($F1995&amp;"",계정매핑!$A$5:$A$504,0))&amp;"","")="유지비",COUNTIF(계정대체기준!$A$6:$A$15,$N1995)&gt;0),IFERROR(INDEX(계정대체기준!$E$6:$E$15,MATCH(VALUE($A1995&amp;""),계정대체기준!$D$6:$D$15,0)),0),0))</f>
        <v/>
      </c>
      <c r="AH1995" s="64">
        <f>IF($A1995="","",IF(AD1995=0,"",IF(OR(COUNTIF(계정대체기준!$A$77:$A$86,$N1995)&gt;0,ISNUMBER(MATCH($X1995,계정대체기준!$D$77:$D$86,0)),ISNUMBER(MATCH($F1995,계정대체기준!$D$77:$D$86,0))),"Y","N")))</f>
        <v/>
      </c>
    </row>
    <row r="1996">
      <c r="A1996" s="92" t="n">
        <v>2025</v>
      </c>
      <c r="B1996" s="92" t="n">
        <v>9</v>
      </c>
      <c r="C1996" s="92" t="inlineStr">
        <is>
          <t>5100001992</t>
        </is>
      </c>
      <c r="D1996" s="95" t="n">
        <v>45923</v>
      </c>
      <c r="E1996" s="92" t="inlineStr">
        <is>
          <t>KR</t>
        </is>
      </c>
      <c r="F1996" s="92" t="n">
        <v>62501000</v>
      </c>
      <c r="G1996" s="92" t="n">
        <v>1401</v>
      </c>
      <c r="H1996" s="93" t="n">
        <v>134000</v>
      </c>
      <c r="I1996" s="92" t="inlineStr">
        <is>
          <t>9월 회의 다과 - T케이터링</t>
        </is>
      </c>
      <c r="J1996" s="92" t="inlineStr">
        <is>
          <t>V10005</t>
        </is>
      </c>
      <c r="K1996" s="92" t="inlineStr">
        <is>
          <t>T케이터링</t>
        </is>
      </c>
      <c r="M1996" s="9">
        <f>IF($A1996="","",VALUE($A1996&amp;"")*12+VALUE($B1996&amp;""))</f>
        <v/>
      </c>
      <c r="N1996" s="64">
        <f>IF($A1996="","",IFERROR(INDEX(부서매핑!$C$5:$C$504,MATCH($G1996&amp;"",부서매핑!$A$5:$A$504,0)),"미매핑"))</f>
        <v/>
      </c>
      <c r="O1996" s="9">
        <f>IF($A1996="","",N1996&amp;"|"&amp;$F1996)</f>
        <v/>
      </c>
      <c r="P1996" s="94">
        <f>IF($A1996="",0,$H1996*설정!$C$23)</f>
        <v/>
      </c>
      <c r="Q1996" s="64">
        <f>IF($A1996="","",IF(O1996&lt;&gt;원인분석!$C$9,"",IF(AND(M1996&gt;=원인분석!$C$10,M1996&lt;=원인분석!$C$11),"당기",IF(AND(M1996&gt;=원인분석!$C$12,M1996&lt;=원인분석!$C$13),"비교",""))))</f>
        <v/>
      </c>
      <c r="R1996" s="9">
        <f>IF(Q1996="","",$K1996&amp;"")</f>
        <v/>
      </c>
      <c r="S1996" s="9">
        <f>IF(Q1996="","",IF(MATCH(R1996,$R$5:$R$100000,0)=ROW()-4,ROW(),""))</f>
        <v/>
      </c>
      <c r="T1996" s="9">
        <f>IF(Q1996="당기",ABS(P1996)+ROW()/1000000000,"")</f>
        <v/>
      </c>
      <c r="U1996" s="9">
        <f>IF(Q1996="비교",ABS(P1996)+ROW()/1000000000,"")</f>
        <v/>
      </c>
      <c r="V1996" s="64">
        <f>IF($A1996="","",IF(COUNTIF(변동분석!$E$7:$E$506,O1996)&gt;0,"Y","N"))</f>
        <v/>
      </c>
      <c r="W1996" s="64">
        <f>IF($A1996="","",IFERROR(INDEX(계정매핑!$D$5:$D$504,MATCH($F1996&amp;"",계정매핑!$A$5:$A$504,0)),"미매핑"))</f>
        <v/>
      </c>
      <c r="X1996" s="9">
        <f>IF($A1996="","",$F1996&amp;"")</f>
        <v/>
      </c>
      <c r="Y1996" s="94">
        <f>IF($A1996="",0,IF(AE1996="직접",IF(AF1996="비귀속",$P1996,0),$P1996*(1-AG1996)*IFERROR(INDEX(계정대체기준!$F$20:$F$49,MATCH($N1996,계정대체기준!$A$20:$A$49,0)),1)))</f>
        <v/>
      </c>
      <c r="Z1996" s="94">
        <f>IF($A1996="",0,IF(AE1996="직접",IF(AF1996="신계약비",$P1996,0),$P1996*(1-AG1996)*IFERROR(INDEX(계정대체기준!$C$20:$C$49,MATCH($N1996,계정대체기준!$A$20:$A$49,0)),0)))</f>
        <v/>
      </c>
      <c r="AA1996" s="94">
        <f>IF($A1996="",0,IF(AE1996="직접",IF(OR(AF1996="유지비",AF1996="손해조사비"),$P1996,0),$P1996*(1-AG1996)*IFERROR(INDEX(계정대체기준!$D$20:$D$49,MATCH($N1996,계정대체기준!$A$20:$A$49,0)),0)))</f>
        <v/>
      </c>
      <c r="AB1996" s="94">
        <f>IF($A1996="",0,IF(AE1996="직접",IF(AF1996="수금비",$P1996,0),$P1996*(1-AG1996)*IFERROR(INDEX(계정대체기준!$E$20:$E$49,MATCH($N1996,계정대체기준!$A$20:$A$49,0)),0)))</f>
        <v/>
      </c>
      <c r="AC1996" s="9">
        <f>IF(AND($A1996&lt;&gt;"",M1996=설정!$C$20,Z1996&gt;0),Z1996+ROW()/1000000000,"")</f>
        <v/>
      </c>
      <c r="AD1996" s="94">
        <f>IF($A1996="",0,$P1996*AG1996)</f>
        <v/>
      </c>
      <c r="AE1996" s="64">
        <f>IF($A1996="","",IFERROR(INDEX(계정매핑!$E$5:$E$504,MATCH($F1996&amp;"",계정매핑!$A$5:$A$504,0))&amp;"","공통비"))</f>
        <v/>
      </c>
      <c r="AF1996" s="64">
        <f>IF($A1996="","",IF(AE1996="직접",IFERROR(INDEX(계정매핑!$F$5:$F$504,MATCH($F1996&amp;"",계정매핑!$A$5:$A$504,0))&amp;"","비귀속"),""))</f>
        <v/>
      </c>
      <c r="AG1996" s="96">
        <f>IF($A1996="",0,IF(AND(AE1996&lt;&gt;"직접",IFERROR(INDEX(계정매핑!$G$5:$G$504,MATCH($F1996&amp;"",계정매핑!$A$5:$A$504,0))&amp;"","")="유지비",COUNTIF(계정대체기준!$A$6:$A$15,$N1996)&gt;0),IFERROR(INDEX(계정대체기준!$E$6:$E$15,MATCH(VALUE($A1996&amp;""),계정대체기준!$D$6:$D$15,0)),0),0))</f>
        <v/>
      </c>
      <c r="AH1996" s="64">
        <f>IF($A1996="","",IF(AD1996=0,"",IF(OR(COUNTIF(계정대체기준!$A$77:$A$86,$N1996)&gt;0,ISNUMBER(MATCH($X1996,계정대체기준!$D$77:$D$86,0)),ISNUMBER(MATCH($F1996,계정대체기준!$D$77:$D$86,0))),"Y","N")))</f>
        <v/>
      </c>
    </row>
    <row r="1997">
      <c r="A1997" s="92" t="n">
        <v>2025</v>
      </c>
      <c r="B1997" s="92" t="n">
        <v>9</v>
      </c>
      <c r="C1997" s="92" t="inlineStr">
        <is>
          <t>5100001993</t>
        </is>
      </c>
      <c r="D1997" s="95" t="n">
        <v>45923</v>
      </c>
      <c r="E1997" s="92" t="inlineStr">
        <is>
          <t>KR</t>
        </is>
      </c>
      <c r="F1997" s="92" t="n">
        <v>62901000</v>
      </c>
      <c r="G1997" s="92" t="n">
        <v>1101</v>
      </c>
      <c r="H1997" s="93" t="n">
        <v>3152000</v>
      </c>
      <c r="I1997" s="92" t="inlineStr">
        <is>
          <t>9월 자문 수수료 - W컨설팅</t>
        </is>
      </c>
      <c r="J1997" s="92" t="inlineStr">
        <is>
          <t>V10006</t>
        </is>
      </c>
      <c r="K1997" s="92" t="inlineStr">
        <is>
          <t>W컨설팅</t>
        </is>
      </c>
      <c r="M1997" s="9">
        <f>IF($A1997="","",VALUE($A1997&amp;"")*12+VALUE($B1997&amp;""))</f>
        <v/>
      </c>
      <c r="N1997" s="64">
        <f>IF($A1997="","",IFERROR(INDEX(부서매핑!$C$5:$C$504,MATCH($G1997&amp;"",부서매핑!$A$5:$A$504,0)),"미매핑"))</f>
        <v/>
      </c>
      <c r="O1997" s="9">
        <f>IF($A1997="","",N1997&amp;"|"&amp;$F1997)</f>
        <v/>
      </c>
      <c r="P1997" s="94">
        <f>IF($A1997="",0,$H1997*설정!$C$23)</f>
        <v/>
      </c>
      <c r="Q1997" s="64">
        <f>IF($A1997="","",IF(O1997&lt;&gt;원인분석!$C$9,"",IF(AND(M1997&gt;=원인분석!$C$10,M1997&lt;=원인분석!$C$11),"당기",IF(AND(M1997&gt;=원인분석!$C$12,M1997&lt;=원인분석!$C$13),"비교",""))))</f>
        <v/>
      </c>
      <c r="R1997" s="9">
        <f>IF(Q1997="","",$K1997&amp;"")</f>
        <v/>
      </c>
      <c r="S1997" s="9">
        <f>IF(Q1997="","",IF(MATCH(R1997,$R$5:$R$100000,0)=ROW()-4,ROW(),""))</f>
        <v/>
      </c>
      <c r="T1997" s="9">
        <f>IF(Q1997="당기",ABS(P1997)+ROW()/1000000000,"")</f>
        <v/>
      </c>
      <c r="U1997" s="9">
        <f>IF(Q1997="비교",ABS(P1997)+ROW()/1000000000,"")</f>
        <v/>
      </c>
      <c r="V1997" s="64">
        <f>IF($A1997="","",IF(COUNTIF(변동분석!$E$7:$E$506,O1997)&gt;0,"Y","N"))</f>
        <v/>
      </c>
      <c r="W1997" s="64">
        <f>IF($A1997="","",IFERROR(INDEX(계정매핑!$D$5:$D$504,MATCH($F1997&amp;"",계정매핑!$A$5:$A$504,0)),"미매핑"))</f>
        <v/>
      </c>
      <c r="X1997" s="9">
        <f>IF($A1997="","",$F1997&amp;"")</f>
        <v/>
      </c>
      <c r="Y1997" s="94">
        <f>IF($A1997="",0,IF(AE1997="직접",IF(AF1997="비귀속",$P1997,0),$P1997*(1-AG1997)*IFERROR(INDEX(계정대체기준!$F$20:$F$49,MATCH($N1997,계정대체기준!$A$20:$A$49,0)),1)))</f>
        <v/>
      </c>
      <c r="Z1997" s="94">
        <f>IF($A1997="",0,IF(AE1997="직접",IF(AF1997="신계약비",$P1997,0),$P1997*(1-AG1997)*IFERROR(INDEX(계정대체기준!$C$20:$C$49,MATCH($N1997,계정대체기준!$A$20:$A$49,0)),0)))</f>
        <v/>
      </c>
      <c r="AA1997" s="94">
        <f>IF($A1997="",0,IF(AE1997="직접",IF(OR(AF1997="유지비",AF1997="손해조사비"),$P1997,0),$P1997*(1-AG1997)*IFERROR(INDEX(계정대체기준!$D$20:$D$49,MATCH($N1997,계정대체기준!$A$20:$A$49,0)),0)))</f>
        <v/>
      </c>
      <c r="AB1997" s="94">
        <f>IF($A1997="",0,IF(AE1997="직접",IF(AF1997="수금비",$P1997,0),$P1997*(1-AG1997)*IFERROR(INDEX(계정대체기준!$E$20:$E$49,MATCH($N1997,계정대체기준!$A$20:$A$49,0)),0)))</f>
        <v/>
      </c>
      <c r="AC1997" s="9">
        <f>IF(AND($A1997&lt;&gt;"",M1997=설정!$C$20,Z1997&gt;0),Z1997+ROW()/1000000000,"")</f>
        <v/>
      </c>
      <c r="AD1997" s="94">
        <f>IF($A1997="",0,$P1997*AG1997)</f>
        <v/>
      </c>
      <c r="AE1997" s="64">
        <f>IF($A1997="","",IFERROR(INDEX(계정매핑!$E$5:$E$504,MATCH($F1997&amp;"",계정매핑!$A$5:$A$504,0))&amp;"","공통비"))</f>
        <v/>
      </c>
      <c r="AF1997" s="64">
        <f>IF($A1997="","",IF(AE1997="직접",IFERROR(INDEX(계정매핑!$F$5:$F$504,MATCH($F1997&amp;"",계정매핑!$A$5:$A$504,0))&amp;"","비귀속"),""))</f>
        <v/>
      </c>
      <c r="AG1997" s="96">
        <f>IF($A1997="",0,IF(AND(AE1997&lt;&gt;"직접",IFERROR(INDEX(계정매핑!$G$5:$G$504,MATCH($F1997&amp;"",계정매핑!$A$5:$A$504,0))&amp;"","")="유지비",COUNTIF(계정대체기준!$A$6:$A$15,$N1997)&gt;0),IFERROR(INDEX(계정대체기준!$E$6:$E$15,MATCH(VALUE($A1997&amp;""),계정대체기준!$D$6:$D$15,0)),0),0))</f>
        <v/>
      </c>
      <c r="AH1997" s="64">
        <f>IF($A1997="","",IF(AD1997=0,"",IF(OR(COUNTIF(계정대체기준!$A$77:$A$86,$N1997)&gt;0,ISNUMBER(MATCH($X1997,계정대체기준!$D$77:$D$86,0)),ISNUMBER(MATCH($F1997,계정대체기준!$D$77:$D$86,0))),"Y","N")))</f>
        <v/>
      </c>
    </row>
    <row r="1998">
      <c r="A1998" s="92" t="n">
        <v>2025</v>
      </c>
      <c r="B1998" s="92" t="n">
        <v>9</v>
      </c>
      <c r="C1998" s="92" t="inlineStr">
        <is>
          <t>5100001994</t>
        </is>
      </c>
      <c r="D1998" s="95" t="n">
        <v>45923</v>
      </c>
      <c r="E1998" s="92" t="inlineStr">
        <is>
          <t>KR</t>
        </is>
      </c>
      <c r="F1998" s="92" t="n">
        <v>62902000</v>
      </c>
      <c r="G1998" s="92" t="n">
        <v>1801</v>
      </c>
      <c r="H1998" s="93" t="n">
        <v>1819000</v>
      </c>
      <c r="I1998" s="92" t="inlineStr">
        <is>
          <t>9월 콜 위탁 수수료(건별)</t>
        </is>
      </c>
      <c r="J1998" s="92" t="inlineStr">
        <is>
          <t>V10016</t>
        </is>
      </c>
      <c r="K1998" s="92" t="inlineStr">
        <is>
          <t>J콜센터</t>
        </is>
      </c>
      <c r="M1998" s="9">
        <f>IF($A1998="","",VALUE($A1998&amp;"")*12+VALUE($B1998&amp;""))</f>
        <v/>
      </c>
      <c r="N1998" s="64">
        <f>IF($A1998="","",IFERROR(INDEX(부서매핑!$C$5:$C$504,MATCH($G1998&amp;"",부서매핑!$A$5:$A$504,0)),"미매핑"))</f>
        <v/>
      </c>
      <c r="O1998" s="9">
        <f>IF($A1998="","",N1998&amp;"|"&amp;$F1998)</f>
        <v/>
      </c>
      <c r="P1998" s="94">
        <f>IF($A1998="",0,$H1998*설정!$C$23)</f>
        <v/>
      </c>
      <c r="Q1998" s="64">
        <f>IF($A1998="","",IF(O1998&lt;&gt;원인분석!$C$9,"",IF(AND(M1998&gt;=원인분석!$C$10,M1998&lt;=원인분석!$C$11),"당기",IF(AND(M1998&gt;=원인분석!$C$12,M1998&lt;=원인분석!$C$13),"비교",""))))</f>
        <v/>
      </c>
      <c r="R1998" s="9">
        <f>IF(Q1998="","",$K1998&amp;"")</f>
        <v/>
      </c>
      <c r="S1998" s="9">
        <f>IF(Q1998="","",IF(MATCH(R1998,$R$5:$R$100000,0)=ROW()-4,ROW(),""))</f>
        <v/>
      </c>
      <c r="T1998" s="9">
        <f>IF(Q1998="당기",ABS(P1998)+ROW()/1000000000,"")</f>
        <v/>
      </c>
      <c r="U1998" s="9">
        <f>IF(Q1998="비교",ABS(P1998)+ROW()/1000000000,"")</f>
        <v/>
      </c>
      <c r="V1998" s="64">
        <f>IF($A1998="","",IF(COUNTIF(변동분석!$E$7:$E$506,O1998)&gt;0,"Y","N"))</f>
        <v/>
      </c>
      <c r="W1998" s="64">
        <f>IF($A1998="","",IFERROR(INDEX(계정매핑!$D$5:$D$504,MATCH($F1998&amp;"",계정매핑!$A$5:$A$504,0)),"미매핑"))</f>
        <v/>
      </c>
      <c r="X1998" s="9">
        <f>IF($A1998="","",$F1998&amp;"")</f>
        <v/>
      </c>
      <c r="Y1998" s="94">
        <f>IF($A1998="",0,IF(AE1998="직접",IF(AF1998="비귀속",$P1998,0),$P1998*(1-AG1998)*IFERROR(INDEX(계정대체기준!$F$20:$F$49,MATCH($N1998,계정대체기준!$A$20:$A$49,0)),1)))</f>
        <v/>
      </c>
      <c r="Z1998" s="94">
        <f>IF($A1998="",0,IF(AE1998="직접",IF(AF1998="신계약비",$P1998,0),$P1998*(1-AG1998)*IFERROR(INDEX(계정대체기준!$C$20:$C$49,MATCH($N1998,계정대체기준!$A$20:$A$49,0)),0)))</f>
        <v/>
      </c>
      <c r="AA1998" s="94">
        <f>IF($A1998="",0,IF(AE1998="직접",IF(OR(AF1998="유지비",AF1998="손해조사비"),$P1998,0),$P1998*(1-AG1998)*IFERROR(INDEX(계정대체기준!$D$20:$D$49,MATCH($N1998,계정대체기준!$A$20:$A$49,0)),0)))</f>
        <v/>
      </c>
      <c r="AB1998" s="94">
        <f>IF($A1998="",0,IF(AE1998="직접",IF(AF1998="수금비",$P1998,0),$P1998*(1-AG1998)*IFERROR(INDEX(계정대체기준!$E$20:$E$49,MATCH($N1998,계정대체기준!$A$20:$A$49,0)),0)))</f>
        <v/>
      </c>
      <c r="AC1998" s="9">
        <f>IF(AND($A1998&lt;&gt;"",M1998=설정!$C$20,Z1998&gt;0),Z1998+ROW()/1000000000,"")</f>
        <v/>
      </c>
      <c r="AD1998" s="94">
        <f>IF($A1998="",0,$P1998*AG1998)</f>
        <v/>
      </c>
      <c r="AE1998" s="64">
        <f>IF($A1998="","",IFERROR(INDEX(계정매핑!$E$5:$E$504,MATCH($F1998&amp;"",계정매핑!$A$5:$A$504,0))&amp;"","공통비"))</f>
        <v/>
      </c>
      <c r="AF1998" s="64">
        <f>IF($A1998="","",IF(AE1998="직접",IFERROR(INDEX(계정매핑!$F$5:$F$504,MATCH($F1998&amp;"",계정매핑!$A$5:$A$504,0))&amp;"","비귀속"),""))</f>
        <v/>
      </c>
      <c r="AG1998" s="96">
        <f>IF($A1998="",0,IF(AND(AE1998&lt;&gt;"직접",IFERROR(INDEX(계정매핑!$G$5:$G$504,MATCH($F1998&amp;"",계정매핑!$A$5:$A$504,0))&amp;"","")="유지비",COUNTIF(계정대체기준!$A$6:$A$15,$N1998)&gt;0),IFERROR(INDEX(계정대체기준!$E$6:$E$15,MATCH(VALUE($A1998&amp;""),계정대체기준!$D$6:$D$15,0)),0),0))</f>
        <v/>
      </c>
      <c r="AH1998" s="64">
        <f>IF($A1998="","",IF(AD1998=0,"",IF(OR(COUNTIF(계정대체기준!$A$77:$A$86,$N1998)&gt;0,ISNUMBER(MATCH($X1998,계정대체기준!$D$77:$D$86,0)),ISNUMBER(MATCH($F1998,계정대체기준!$D$77:$D$86,0))),"Y","N")))</f>
        <v/>
      </c>
    </row>
    <row r="1999">
      <c r="A1999" s="92" t="n">
        <v>2025</v>
      </c>
      <c r="B1999" s="92" t="n">
        <v>9</v>
      </c>
      <c r="C1999" s="92" t="inlineStr">
        <is>
          <t>5100001995</t>
        </is>
      </c>
      <c r="D1999" s="95" t="n">
        <v>45923</v>
      </c>
      <c r="E1999" s="92" t="inlineStr">
        <is>
          <t>KR</t>
        </is>
      </c>
      <c r="F1999" s="92" t="n">
        <v>63001000</v>
      </c>
      <c r="G1999" s="92" t="n">
        <v>1701</v>
      </c>
      <c r="H1999" s="93" t="n">
        <v>46057000</v>
      </c>
      <c r="I1999" s="92" t="inlineStr">
        <is>
          <t>9월 SW 유지보수 - Y소프트</t>
        </is>
      </c>
      <c r="J1999" s="92" t="inlineStr">
        <is>
          <t>V10017</t>
        </is>
      </c>
      <c r="K1999" s="92" t="inlineStr">
        <is>
          <t>Y소프트</t>
        </is>
      </c>
      <c r="M1999" s="9">
        <f>IF($A1999="","",VALUE($A1999&amp;"")*12+VALUE($B1999&amp;""))</f>
        <v/>
      </c>
      <c r="N1999" s="64">
        <f>IF($A1999="","",IFERROR(INDEX(부서매핑!$C$5:$C$504,MATCH($G1999&amp;"",부서매핑!$A$5:$A$504,0)),"미매핑"))</f>
        <v/>
      </c>
      <c r="O1999" s="9">
        <f>IF($A1999="","",N1999&amp;"|"&amp;$F1999)</f>
        <v/>
      </c>
      <c r="P1999" s="94">
        <f>IF($A1999="",0,$H1999*설정!$C$23)</f>
        <v/>
      </c>
      <c r="Q1999" s="64">
        <f>IF($A1999="","",IF(O1999&lt;&gt;원인분석!$C$9,"",IF(AND(M1999&gt;=원인분석!$C$10,M1999&lt;=원인분석!$C$11),"당기",IF(AND(M1999&gt;=원인분석!$C$12,M1999&lt;=원인분석!$C$13),"비교",""))))</f>
        <v/>
      </c>
      <c r="R1999" s="9">
        <f>IF(Q1999="","",$K1999&amp;"")</f>
        <v/>
      </c>
      <c r="S1999" s="9">
        <f>IF(Q1999="","",IF(MATCH(R1999,$R$5:$R$100000,0)=ROW()-4,ROW(),""))</f>
        <v/>
      </c>
      <c r="T1999" s="9">
        <f>IF(Q1999="당기",ABS(P1999)+ROW()/1000000000,"")</f>
        <v/>
      </c>
      <c r="U1999" s="9">
        <f>IF(Q1999="비교",ABS(P1999)+ROW()/1000000000,"")</f>
        <v/>
      </c>
      <c r="V1999" s="64">
        <f>IF($A1999="","",IF(COUNTIF(변동분석!$E$7:$E$506,O1999)&gt;0,"Y","N"))</f>
        <v/>
      </c>
      <c r="W1999" s="64">
        <f>IF($A1999="","",IFERROR(INDEX(계정매핑!$D$5:$D$504,MATCH($F1999&amp;"",계정매핑!$A$5:$A$504,0)),"미매핑"))</f>
        <v/>
      </c>
      <c r="X1999" s="9">
        <f>IF($A1999="","",$F1999&amp;"")</f>
        <v/>
      </c>
      <c r="Y1999" s="94">
        <f>IF($A1999="",0,IF(AE1999="직접",IF(AF1999="비귀속",$P1999,0),$P1999*(1-AG1999)*IFERROR(INDEX(계정대체기준!$F$20:$F$49,MATCH($N1999,계정대체기준!$A$20:$A$49,0)),1)))</f>
        <v/>
      </c>
      <c r="Z1999" s="94">
        <f>IF($A1999="",0,IF(AE1999="직접",IF(AF1999="신계약비",$P1999,0),$P1999*(1-AG1999)*IFERROR(INDEX(계정대체기준!$C$20:$C$49,MATCH($N1999,계정대체기준!$A$20:$A$49,0)),0)))</f>
        <v/>
      </c>
      <c r="AA1999" s="94">
        <f>IF($A1999="",0,IF(AE1999="직접",IF(OR(AF1999="유지비",AF1999="손해조사비"),$P1999,0),$P1999*(1-AG1999)*IFERROR(INDEX(계정대체기준!$D$20:$D$49,MATCH($N1999,계정대체기준!$A$20:$A$49,0)),0)))</f>
        <v/>
      </c>
      <c r="AB1999" s="94">
        <f>IF($A1999="",0,IF(AE1999="직접",IF(AF1999="수금비",$P1999,0),$P1999*(1-AG1999)*IFERROR(INDEX(계정대체기준!$E$20:$E$49,MATCH($N1999,계정대체기준!$A$20:$A$49,0)),0)))</f>
        <v/>
      </c>
      <c r="AC1999" s="9">
        <f>IF(AND($A1999&lt;&gt;"",M1999=설정!$C$20,Z1999&gt;0),Z1999+ROW()/1000000000,"")</f>
        <v/>
      </c>
      <c r="AD1999" s="94">
        <f>IF($A1999="",0,$P1999*AG1999)</f>
        <v/>
      </c>
      <c r="AE1999" s="64">
        <f>IF($A1999="","",IFERROR(INDEX(계정매핑!$E$5:$E$504,MATCH($F1999&amp;"",계정매핑!$A$5:$A$504,0))&amp;"","공통비"))</f>
        <v/>
      </c>
      <c r="AF1999" s="64">
        <f>IF($A1999="","",IF(AE1999="직접",IFERROR(INDEX(계정매핑!$F$5:$F$504,MATCH($F1999&amp;"",계정매핑!$A$5:$A$504,0))&amp;"","비귀속"),""))</f>
        <v/>
      </c>
      <c r="AG1999" s="96">
        <f>IF($A1999="",0,IF(AND(AE1999&lt;&gt;"직접",IFERROR(INDEX(계정매핑!$G$5:$G$504,MATCH($F1999&amp;"",계정매핑!$A$5:$A$504,0))&amp;"","")="유지비",COUNTIF(계정대체기준!$A$6:$A$15,$N1999)&gt;0),IFERROR(INDEX(계정대체기준!$E$6:$E$15,MATCH(VALUE($A1999&amp;""),계정대체기준!$D$6:$D$15,0)),0),0))</f>
        <v/>
      </c>
      <c r="AH1999" s="64">
        <f>IF($A1999="","",IF(AD1999=0,"",IF(OR(COUNTIF(계정대체기준!$A$77:$A$86,$N1999)&gt;0,ISNUMBER(MATCH($X1999,계정대체기준!$D$77:$D$86,0)),ISNUMBER(MATCH($F1999,계정대체기준!$D$77:$D$86,0))),"Y","N")))</f>
        <v/>
      </c>
    </row>
    <row r="2000">
      <c r="A2000" s="92" t="n">
        <v>2025</v>
      </c>
      <c r="B2000" s="92" t="n">
        <v>9</v>
      </c>
      <c r="C2000" s="92" t="inlineStr">
        <is>
          <t>5100001996</t>
        </is>
      </c>
      <c r="D2000" s="95" t="n">
        <v>45923</v>
      </c>
      <c r="E2000" s="92" t="inlineStr">
        <is>
          <t>KR</t>
        </is>
      </c>
      <c r="F2000" s="92" t="n">
        <v>63001000</v>
      </c>
      <c r="G2000" s="92" t="n">
        <v>1951</v>
      </c>
      <c r="H2000" s="93" t="n">
        <v>5014000</v>
      </c>
      <c r="I2000" s="92" t="inlineStr">
        <is>
          <t>9월 SW 유지보수 - Y소프트</t>
        </is>
      </c>
      <c r="J2000" s="92" t="inlineStr">
        <is>
          <t>V10017</t>
        </is>
      </c>
      <c r="K2000" s="92" t="inlineStr">
        <is>
          <t>Y소프트</t>
        </is>
      </c>
      <c r="M2000" s="9">
        <f>IF($A2000="","",VALUE($A2000&amp;"")*12+VALUE($B2000&amp;""))</f>
        <v/>
      </c>
      <c r="N2000" s="64">
        <f>IF($A2000="","",IFERROR(INDEX(부서매핑!$C$5:$C$504,MATCH($G2000&amp;"",부서매핑!$A$5:$A$504,0)),"미매핑"))</f>
        <v/>
      </c>
      <c r="O2000" s="9">
        <f>IF($A2000="","",N2000&amp;"|"&amp;$F2000)</f>
        <v/>
      </c>
      <c r="P2000" s="94">
        <f>IF($A2000="",0,$H2000*설정!$C$23)</f>
        <v/>
      </c>
      <c r="Q2000" s="64">
        <f>IF($A2000="","",IF(O2000&lt;&gt;원인분석!$C$9,"",IF(AND(M2000&gt;=원인분석!$C$10,M2000&lt;=원인분석!$C$11),"당기",IF(AND(M2000&gt;=원인분석!$C$12,M2000&lt;=원인분석!$C$13),"비교",""))))</f>
        <v/>
      </c>
      <c r="R2000" s="9">
        <f>IF(Q2000="","",$K2000&amp;"")</f>
        <v/>
      </c>
      <c r="S2000" s="9">
        <f>IF(Q2000="","",IF(MATCH(R2000,$R$5:$R$100000,0)=ROW()-4,ROW(),""))</f>
        <v/>
      </c>
      <c r="T2000" s="9">
        <f>IF(Q2000="당기",ABS(P2000)+ROW()/1000000000,"")</f>
        <v/>
      </c>
      <c r="U2000" s="9">
        <f>IF(Q2000="비교",ABS(P2000)+ROW()/1000000000,"")</f>
        <v/>
      </c>
      <c r="V2000" s="64">
        <f>IF($A2000="","",IF(COUNTIF(변동분석!$E$7:$E$506,O2000)&gt;0,"Y","N"))</f>
        <v/>
      </c>
      <c r="W2000" s="64">
        <f>IF($A2000="","",IFERROR(INDEX(계정매핑!$D$5:$D$504,MATCH($F2000&amp;"",계정매핑!$A$5:$A$504,0)),"미매핑"))</f>
        <v/>
      </c>
      <c r="X2000" s="9">
        <f>IF($A2000="","",$F2000&amp;"")</f>
        <v/>
      </c>
      <c r="Y2000" s="94">
        <f>IF($A2000="",0,IF(AE2000="직접",IF(AF2000="비귀속",$P2000,0),$P2000*(1-AG2000)*IFERROR(INDEX(계정대체기준!$F$20:$F$49,MATCH($N2000,계정대체기준!$A$20:$A$49,0)),1)))</f>
        <v/>
      </c>
      <c r="Z2000" s="94">
        <f>IF($A2000="",0,IF(AE2000="직접",IF(AF2000="신계약비",$P2000,0),$P2000*(1-AG2000)*IFERROR(INDEX(계정대체기준!$C$20:$C$49,MATCH($N2000,계정대체기준!$A$20:$A$49,0)),0)))</f>
        <v/>
      </c>
      <c r="AA2000" s="94">
        <f>IF($A2000="",0,IF(AE2000="직접",IF(OR(AF2000="유지비",AF2000="손해조사비"),$P2000,0),$P2000*(1-AG2000)*IFERROR(INDEX(계정대체기준!$D$20:$D$49,MATCH($N2000,계정대체기준!$A$20:$A$49,0)),0)))</f>
        <v/>
      </c>
      <c r="AB2000" s="94">
        <f>IF($A2000="",0,IF(AE2000="직접",IF(AF2000="수금비",$P2000,0),$P2000*(1-AG2000)*IFERROR(INDEX(계정대체기준!$E$20:$E$49,MATCH($N2000,계정대체기준!$A$20:$A$49,0)),0)))</f>
        <v/>
      </c>
      <c r="AC2000" s="9">
        <f>IF(AND($A2000&lt;&gt;"",M2000=설정!$C$20,Z2000&gt;0),Z2000+ROW()/1000000000,"")</f>
        <v/>
      </c>
      <c r="AD2000" s="94">
        <f>IF($A2000="",0,$P2000*AG2000)</f>
        <v/>
      </c>
      <c r="AE2000" s="64">
        <f>IF($A2000="","",IFERROR(INDEX(계정매핑!$E$5:$E$504,MATCH($F2000&amp;"",계정매핑!$A$5:$A$504,0))&amp;"","공통비"))</f>
        <v/>
      </c>
      <c r="AF2000" s="64">
        <f>IF($A2000="","",IF(AE2000="직접",IFERROR(INDEX(계정매핑!$F$5:$F$504,MATCH($F2000&amp;"",계정매핑!$A$5:$A$504,0))&amp;"","비귀속"),""))</f>
        <v/>
      </c>
      <c r="AG2000" s="96">
        <f>IF($A2000="",0,IF(AND(AE2000&lt;&gt;"직접",IFERROR(INDEX(계정매핑!$G$5:$G$504,MATCH($F2000&amp;"",계정매핑!$A$5:$A$504,0))&amp;"","")="유지비",COUNTIF(계정대체기준!$A$6:$A$15,$N2000)&gt;0),IFERROR(INDEX(계정대체기준!$E$6:$E$15,MATCH(VALUE($A2000&amp;""),계정대체기준!$D$6:$D$15,0)),0),0))</f>
        <v/>
      </c>
      <c r="AH2000" s="64">
        <f>IF($A2000="","",IF(AD2000=0,"",IF(OR(COUNTIF(계정대체기준!$A$77:$A$86,$N2000)&gt;0,ISNUMBER(MATCH($X2000,계정대체기준!$D$77:$D$86,0)),ISNUMBER(MATCH($F2000,계정대체기준!$D$77:$D$86,0))),"Y","N")))</f>
        <v/>
      </c>
    </row>
    <row r="2001">
      <c r="A2001" s="92" t="n">
        <v>2025</v>
      </c>
      <c r="B2001" s="92" t="n">
        <v>9</v>
      </c>
      <c r="C2001" s="92" t="inlineStr">
        <is>
          <t>5100001997</t>
        </is>
      </c>
      <c r="D2001" s="95" t="n">
        <v>45923</v>
      </c>
      <c r="E2001" s="92" t="inlineStr">
        <is>
          <t>KR</t>
        </is>
      </c>
      <c r="F2001" s="92" t="n">
        <v>63601000</v>
      </c>
      <c r="G2001" s="92" t="n">
        <v>1801</v>
      </c>
      <c r="H2001" s="93" t="n">
        <v>7678000</v>
      </c>
      <c r="I2001" s="92" t="inlineStr">
        <is>
          <t>9월 손해사정 수수료 - EE손해사정</t>
        </is>
      </c>
      <c r="J2001" s="92" t="inlineStr">
        <is>
          <t>V10008</t>
        </is>
      </c>
      <c r="K2001" s="92" t="inlineStr">
        <is>
          <t>EE손해사정</t>
        </is>
      </c>
      <c r="M2001" s="9">
        <f>IF($A2001="","",VALUE($A2001&amp;"")*12+VALUE($B2001&amp;""))</f>
        <v/>
      </c>
      <c r="N2001" s="64">
        <f>IF($A2001="","",IFERROR(INDEX(부서매핑!$C$5:$C$504,MATCH($G2001&amp;"",부서매핑!$A$5:$A$504,0)),"미매핑"))</f>
        <v/>
      </c>
      <c r="O2001" s="9">
        <f>IF($A2001="","",N2001&amp;"|"&amp;$F2001)</f>
        <v/>
      </c>
      <c r="P2001" s="94">
        <f>IF($A2001="",0,$H2001*설정!$C$23)</f>
        <v/>
      </c>
      <c r="Q2001" s="64">
        <f>IF($A2001="","",IF(O2001&lt;&gt;원인분석!$C$9,"",IF(AND(M2001&gt;=원인분석!$C$10,M2001&lt;=원인분석!$C$11),"당기",IF(AND(M2001&gt;=원인분석!$C$12,M2001&lt;=원인분석!$C$13),"비교",""))))</f>
        <v/>
      </c>
      <c r="R2001" s="9">
        <f>IF(Q2001="","",$K2001&amp;"")</f>
        <v/>
      </c>
      <c r="S2001" s="9">
        <f>IF(Q2001="","",IF(MATCH(R2001,$R$5:$R$100000,0)=ROW()-4,ROW(),""))</f>
        <v/>
      </c>
      <c r="T2001" s="9">
        <f>IF(Q2001="당기",ABS(P2001)+ROW()/1000000000,"")</f>
        <v/>
      </c>
      <c r="U2001" s="9">
        <f>IF(Q2001="비교",ABS(P2001)+ROW()/1000000000,"")</f>
        <v/>
      </c>
      <c r="V2001" s="64">
        <f>IF($A2001="","",IF(COUNTIF(변동분석!$E$7:$E$506,O2001)&gt;0,"Y","N"))</f>
        <v/>
      </c>
      <c r="W2001" s="64">
        <f>IF($A2001="","",IFERROR(INDEX(계정매핑!$D$5:$D$504,MATCH($F2001&amp;"",계정매핑!$A$5:$A$504,0)),"미매핑"))</f>
        <v/>
      </c>
      <c r="X2001" s="9">
        <f>IF($A2001="","",$F2001&amp;"")</f>
        <v/>
      </c>
      <c r="Y2001" s="94">
        <f>IF($A2001="",0,IF(AE2001="직접",IF(AF2001="비귀속",$P2001,0),$P2001*(1-AG2001)*IFERROR(INDEX(계정대체기준!$F$20:$F$49,MATCH($N2001,계정대체기준!$A$20:$A$49,0)),1)))</f>
        <v/>
      </c>
      <c r="Z2001" s="94">
        <f>IF($A2001="",0,IF(AE2001="직접",IF(AF2001="신계약비",$P2001,0),$P2001*(1-AG2001)*IFERROR(INDEX(계정대체기준!$C$20:$C$49,MATCH($N2001,계정대체기준!$A$20:$A$49,0)),0)))</f>
        <v/>
      </c>
      <c r="AA2001" s="94">
        <f>IF($A2001="",0,IF(AE2001="직접",IF(OR(AF2001="유지비",AF2001="손해조사비"),$P2001,0),$P2001*(1-AG2001)*IFERROR(INDEX(계정대체기준!$D$20:$D$49,MATCH($N2001,계정대체기준!$A$20:$A$49,0)),0)))</f>
        <v/>
      </c>
      <c r="AB2001" s="94">
        <f>IF($A2001="",0,IF(AE2001="직접",IF(AF2001="수금비",$P2001,0),$P2001*(1-AG2001)*IFERROR(INDEX(계정대체기준!$E$20:$E$49,MATCH($N2001,계정대체기준!$A$20:$A$49,0)),0)))</f>
        <v/>
      </c>
      <c r="AC2001" s="9">
        <f>IF(AND($A2001&lt;&gt;"",M2001=설정!$C$20,Z2001&gt;0),Z2001+ROW()/1000000000,"")</f>
        <v/>
      </c>
      <c r="AD2001" s="94">
        <f>IF($A2001="",0,$P2001*AG2001)</f>
        <v/>
      </c>
      <c r="AE2001" s="64">
        <f>IF($A2001="","",IFERROR(INDEX(계정매핑!$E$5:$E$504,MATCH($F2001&amp;"",계정매핑!$A$5:$A$504,0))&amp;"","공통비"))</f>
        <v/>
      </c>
      <c r="AF2001" s="64">
        <f>IF($A2001="","",IF(AE2001="직접",IFERROR(INDEX(계정매핑!$F$5:$F$504,MATCH($F2001&amp;"",계정매핑!$A$5:$A$504,0))&amp;"","비귀속"),""))</f>
        <v/>
      </c>
      <c r="AG2001" s="96">
        <f>IF($A2001="",0,IF(AND(AE2001&lt;&gt;"직접",IFERROR(INDEX(계정매핑!$G$5:$G$504,MATCH($F2001&amp;"",계정매핑!$A$5:$A$504,0))&amp;"","")="유지비",COUNTIF(계정대체기준!$A$6:$A$15,$N2001)&gt;0),IFERROR(INDEX(계정대체기준!$E$6:$E$15,MATCH(VALUE($A2001&amp;""),계정대체기준!$D$6:$D$15,0)),0),0))</f>
        <v/>
      </c>
      <c r="AH2001" s="64">
        <f>IF($A2001="","",IF(AD2001=0,"",IF(OR(COUNTIF(계정대체기준!$A$77:$A$86,$N2001)&gt;0,ISNUMBER(MATCH($X2001,계정대체기준!$D$77:$D$86,0)),ISNUMBER(MATCH($F2001,계정대체기준!$D$77:$D$86,0))),"Y","N")))</f>
        <v/>
      </c>
    </row>
    <row r="2002">
      <c r="A2002" s="92" t="n">
        <v>2025</v>
      </c>
      <c r="B2002" s="92" t="n">
        <v>9</v>
      </c>
      <c r="C2002" s="92" t="inlineStr">
        <is>
          <t>5100001998</t>
        </is>
      </c>
      <c r="D2002" s="95" t="n">
        <v>45924</v>
      </c>
      <c r="E2002" s="92" t="inlineStr">
        <is>
          <t>KR</t>
        </is>
      </c>
      <c r="F2002" s="92" t="n">
        <v>62101000</v>
      </c>
      <c r="G2002" s="92" t="n">
        <v>1401</v>
      </c>
      <c r="H2002" s="93" t="n">
        <v>361000</v>
      </c>
      <c r="I2002" s="92" t="inlineStr">
        <is>
          <t>9월 국내출장 - M항공</t>
        </is>
      </c>
      <c r="J2002" s="92" t="inlineStr">
        <is>
          <t>V10001</t>
        </is>
      </c>
      <c r="K2002" s="92" t="inlineStr">
        <is>
          <t>M항공</t>
        </is>
      </c>
      <c r="M2002" s="9">
        <f>IF($A2002="","",VALUE($A2002&amp;"")*12+VALUE($B2002&amp;""))</f>
        <v/>
      </c>
      <c r="N2002" s="64">
        <f>IF($A2002="","",IFERROR(INDEX(부서매핑!$C$5:$C$504,MATCH($G2002&amp;"",부서매핑!$A$5:$A$504,0)),"미매핑"))</f>
        <v/>
      </c>
      <c r="O2002" s="9">
        <f>IF($A2002="","",N2002&amp;"|"&amp;$F2002)</f>
        <v/>
      </c>
      <c r="P2002" s="94">
        <f>IF($A2002="",0,$H2002*설정!$C$23)</f>
        <v/>
      </c>
      <c r="Q2002" s="64">
        <f>IF($A2002="","",IF(O2002&lt;&gt;원인분석!$C$9,"",IF(AND(M2002&gt;=원인분석!$C$10,M2002&lt;=원인분석!$C$11),"당기",IF(AND(M2002&gt;=원인분석!$C$12,M2002&lt;=원인분석!$C$13),"비교",""))))</f>
        <v/>
      </c>
      <c r="R2002" s="9">
        <f>IF(Q2002="","",$K2002&amp;"")</f>
        <v/>
      </c>
      <c r="S2002" s="9">
        <f>IF(Q2002="","",IF(MATCH(R2002,$R$5:$R$100000,0)=ROW()-4,ROW(),""))</f>
        <v/>
      </c>
      <c r="T2002" s="9">
        <f>IF(Q2002="당기",ABS(P2002)+ROW()/1000000000,"")</f>
        <v/>
      </c>
      <c r="U2002" s="9">
        <f>IF(Q2002="비교",ABS(P2002)+ROW()/1000000000,"")</f>
        <v/>
      </c>
      <c r="V2002" s="64">
        <f>IF($A2002="","",IF(COUNTIF(변동분석!$E$7:$E$506,O2002)&gt;0,"Y","N"))</f>
        <v/>
      </c>
      <c r="W2002" s="64">
        <f>IF($A2002="","",IFERROR(INDEX(계정매핑!$D$5:$D$504,MATCH($F2002&amp;"",계정매핑!$A$5:$A$504,0)),"미매핑"))</f>
        <v/>
      </c>
      <c r="X2002" s="9">
        <f>IF($A2002="","",$F2002&amp;"")</f>
        <v/>
      </c>
      <c r="Y2002" s="94">
        <f>IF($A2002="",0,IF(AE2002="직접",IF(AF2002="비귀속",$P2002,0),$P2002*(1-AG2002)*IFERROR(INDEX(계정대체기준!$F$20:$F$49,MATCH($N2002,계정대체기준!$A$20:$A$49,0)),1)))</f>
        <v/>
      </c>
      <c r="Z2002" s="94">
        <f>IF($A2002="",0,IF(AE2002="직접",IF(AF2002="신계약비",$P2002,0),$P2002*(1-AG2002)*IFERROR(INDEX(계정대체기준!$C$20:$C$49,MATCH($N2002,계정대체기준!$A$20:$A$49,0)),0)))</f>
        <v/>
      </c>
      <c r="AA2002" s="94">
        <f>IF($A2002="",0,IF(AE2002="직접",IF(OR(AF2002="유지비",AF2002="손해조사비"),$P2002,0),$P2002*(1-AG2002)*IFERROR(INDEX(계정대체기준!$D$20:$D$49,MATCH($N2002,계정대체기준!$A$20:$A$49,0)),0)))</f>
        <v/>
      </c>
      <c r="AB2002" s="94">
        <f>IF($A2002="",0,IF(AE2002="직접",IF(AF2002="수금비",$P2002,0),$P2002*(1-AG2002)*IFERROR(INDEX(계정대체기준!$E$20:$E$49,MATCH($N2002,계정대체기준!$A$20:$A$49,0)),0)))</f>
        <v/>
      </c>
      <c r="AC2002" s="9">
        <f>IF(AND($A2002&lt;&gt;"",M2002=설정!$C$20,Z2002&gt;0),Z2002+ROW()/1000000000,"")</f>
        <v/>
      </c>
      <c r="AD2002" s="94">
        <f>IF($A2002="",0,$P2002*AG2002)</f>
        <v/>
      </c>
      <c r="AE2002" s="64">
        <f>IF($A2002="","",IFERROR(INDEX(계정매핑!$E$5:$E$504,MATCH($F2002&amp;"",계정매핑!$A$5:$A$504,0))&amp;"","공통비"))</f>
        <v/>
      </c>
      <c r="AF2002" s="64">
        <f>IF($A2002="","",IF(AE2002="직접",IFERROR(INDEX(계정매핑!$F$5:$F$504,MATCH($F2002&amp;"",계정매핑!$A$5:$A$504,0))&amp;"","비귀속"),""))</f>
        <v/>
      </c>
      <c r="AG2002" s="96">
        <f>IF($A2002="",0,IF(AND(AE2002&lt;&gt;"직접",IFERROR(INDEX(계정매핑!$G$5:$G$504,MATCH($F2002&amp;"",계정매핑!$A$5:$A$504,0))&amp;"","")="유지비",COUNTIF(계정대체기준!$A$6:$A$15,$N2002)&gt;0),IFERROR(INDEX(계정대체기준!$E$6:$E$15,MATCH(VALUE($A2002&amp;""),계정대체기준!$D$6:$D$15,0)),0),0))</f>
        <v/>
      </c>
      <c r="AH2002" s="64">
        <f>IF($A2002="","",IF(AD2002=0,"",IF(OR(COUNTIF(계정대체기준!$A$77:$A$86,$N2002)&gt;0,ISNUMBER(MATCH($X2002,계정대체기준!$D$77:$D$86,0)),ISNUMBER(MATCH($F2002,계정대체기준!$D$77:$D$86,0))),"Y","N")))</f>
        <v/>
      </c>
    </row>
    <row r="2003">
      <c r="A2003" s="92" t="n">
        <v>2025</v>
      </c>
      <c r="B2003" s="92" t="n">
        <v>9</v>
      </c>
      <c r="C2003" s="92" t="inlineStr">
        <is>
          <t>5100001999</t>
        </is>
      </c>
      <c r="D2003" s="95" t="n">
        <v>45924</v>
      </c>
      <c r="E2003" s="92" t="inlineStr">
        <is>
          <t>KR</t>
        </is>
      </c>
      <c r="F2003" s="92" t="n">
        <v>62101000</v>
      </c>
      <c r="G2003" s="92" t="n">
        <v>1701</v>
      </c>
      <c r="H2003" s="93" t="n">
        <v>314000</v>
      </c>
      <c r="I2003" s="92" t="inlineStr">
        <is>
          <t>9월 국내출장 - (법인카드)</t>
        </is>
      </c>
      <c r="J2003" s="92" t="inlineStr">
        <is>
          <t>V10010</t>
        </is>
      </c>
      <c r="K2003" s="92" t="inlineStr">
        <is>
          <t>(법인카드)</t>
        </is>
      </c>
      <c r="M2003" s="9">
        <f>IF($A2003="","",VALUE($A2003&amp;"")*12+VALUE($B2003&amp;""))</f>
        <v/>
      </c>
      <c r="N2003" s="64">
        <f>IF($A2003="","",IFERROR(INDEX(부서매핑!$C$5:$C$504,MATCH($G2003&amp;"",부서매핑!$A$5:$A$504,0)),"미매핑"))</f>
        <v/>
      </c>
      <c r="O2003" s="9">
        <f>IF($A2003="","",N2003&amp;"|"&amp;$F2003)</f>
        <v/>
      </c>
      <c r="P2003" s="94">
        <f>IF($A2003="",0,$H2003*설정!$C$23)</f>
        <v/>
      </c>
      <c r="Q2003" s="64">
        <f>IF($A2003="","",IF(O2003&lt;&gt;원인분석!$C$9,"",IF(AND(M2003&gt;=원인분석!$C$10,M2003&lt;=원인분석!$C$11),"당기",IF(AND(M2003&gt;=원인분석!$C$12,M2003&lt;=원인분석!$C$13),"비교",""))))</f>
        <v/>
      </c>
      <c r="R2003" s="9">
        <f>IF(Q2003="","",$K2003&amp;"")</f>
        <v/>
      </c>
      <c r="S2003" s="9">
        <f>IF(Q2003="","",IF(MATCH(R2003,$R$5:$R$100000,0)=ROW()-4,ROW(),""))</f>
        <v/>
      </c>
      <c r="T2003" s="9">
        <f>IF(Q2003="당기",ABS(P2003)+ROW()/1000000000,"")</f>
        <v/>
      </c>
      <c r="U2003" s="9">
        <f>IF(Q2003="비교",ABS(P2003)+ROW()/1000000000,"")</f>
        <v/>
      </c>
      <c r="V2003" s="64">
        <f>IF($A2003="","",IF(COUNTIF(변동분석!$E$7:$E$506,O2003)&gt;0,"Y","N"))</f>
        <v/>
      </c>
      <c r="W2003" s="64">
        <f>IF($A2003="","",IFERROR(INDEX(계정매핑!$D$5:$D$504,MATCH($F2003&amp;"",계정매핑!$A$5:$A$504,0)),"미매핑"))</f>
        <v/>
      </c>
      <c r="X2003" s="9">
        <f>IF($A2003="","",$F2003&amp;"")</f>
        <v/>
      </c>
      <c r="Y2003" s="94">
        <f>IF($A2003="",0,IF(AE2003="직접",IF(AF2003="비귀속",$P2003,0),$P2003*(1-AG2003)*IFERROR(INDEX(계정대체기준!$F$20:$F$49,MATCH($N2003,계정대체기준!$A$20:$A$49,0)),1)))</f>
        <v/>
      </c>
      <c r="Z2003" s="94">
        <f>IF($A2003="",0,IF(AE2003="직접",IF(AF2003="신계약비",$P2003,0),$P2003*(1-AG2003)*IFERROR(INDEX(계정대체기준!$C$20:$C$49,MATCH($N2003,계정대체기준!$A$20:$A$49,0)),0)))</f>
        <v/>
      </c>
      <c r="AA2003" s="94">
        <f>IF($A2003="",0,IF(AE2003="직접",IF(OR(AF2003="유지비",AF2003="손해조사비"),$P2003,0),$P2003*(1-AG2003)*IFERROR(INDEX(계정대체기준!$D$20:$D$49,MATCH($N2003,계정대체기준!$A$20:$A$49,0)),0)))</f>
        <v/>
      </c>
      <c r="AB2003" s="94">
        <f>IF($A2003="",0,IF(AE2003="직접",IF(AF2003="수금비",$P2003,0),$P2003*(1-AG2003)*IFERROR(INDEX(계정대체기준!$E$20:$E$49,MATCH($N2003,계정대체기준!$A$20:$A$49,0)),0)))</f>
        <v/>
      </c>
      <c r="AC2003" s="9">
        <f>IF(AND($A2003&lt;&gt;"",M2003=설정!$C$20,Z2003&gt;0),Z2003+ROW()/1000000000,"")</f>
        <v/>
      </c>
      <c r="AD2003" s="94">
        <f>IF($A2003="",0,$P2003*AG2003)</f>
        <v/>
      </c>
      <c r="AE2003" s="64">
        <f>IF($A2003="","",IFERROR(INDEX(계정매핑!$E$5:$E$504,MATCH($F2003&amp;"",계정매핑!$A$5:$A$504,0))&amp;"","공통비"))</f>
        <v/>
      </c>
      <c r="AF2003" s="64">
        <f>IF($A2003="","",IF(AE2003="직접",IFERROR(INDEX(계정매핑!$F$5:$F$504,MATCH($F2003&amp;"",계정매핑!$A$5:$A$504,0))&amp;"","비귀속"),""))</f>
        <v/>
      </c>
      <c r="AG2003" s="96">
        <f>IF($A2003="",0,IF(AND(AE2003&lt;&gt;"직접",IFERROR(INDEX(계정매핑!$G$5:$G$504,MATCH($F2003&amp;"",계정매핑!$A$5:$A$504,0))&amp;"","")="유지비",COUNTIF(계정대체기준!$A$6:$A$15,$N2003)&gt;0),IFERROR(INDEX(계정대체기준!$E$6:$E$15,MATCH(VALUE($A2003&amp;""),계정대체기준!$D$6:$D$15,0)),0),0))</f>
        <v/>
      </c>
      <c r="AH2003" s="64">
        <f>IF($A2003="","",IF(AD2003=0,"",IF(OR(COUNTIF(계정대체기준!$A$77:$A$86,$N2003)&gt;0,ISNUMBER(MATCH($X2003,계정대체기준!$D$77:$D$86,0)),ISNUMBER(MATCH($F2003,계정대체기준!$D$77:$D$86,0))),"Y","N")))</f>
        <v/>
      </c>
    </row>
    <row r="2004">
      <c r="A2004" s="92" t="n">
        <v>2025</v>
      </c>
      <c r="B2004" s="92" t="n">
        <v>9</v>
      </c>
      <c r="C2004" s="92" t="inlineStr">
        <is>
          <t>5100002000</t>
        </is>
      </c>
      <c r="D2004" s="95" t="n">
        <v>45924</v>
      </c>
      <c r="E2004" s="92" t="inlineStr">
        <is>
          <t>KR</t>
        </is>
      </c>
      <c r="F2004" s="92" t="n">
        <v>62101000</v>
      </c>
      <c r="G2004" s="92" t="n">
        <v>1801</v>
      </c>
      <c r="H2004" s="93" t="n">
        <v>92000</v>
      </c>
      <c r="I2004" s="92" t="inlineStr">
        <is>
          <t>9월 국내출장 - (법인카드)</t>
        </is>
      </c>
      <c r="J2004" s="92" t="inlineStr">
        <is>
          <t>V10010</t>
        </is>
      </c>
      <c r="K2004" s="92" t="inlineStr">
        <is>
          <t>(법인카드)</t>
        </is>
      </c>
      <c r="M2004" s="9">
        <f>IF($A2004="","",VALUE($A2004&amp;"")*12+VALUE($B2004&amp;""))</f>
        <v/>
      </c>
      <c r="N2004" s="64">
        <f>IF($A2004="","",IFERROR(INDEX(부서매핑!$C$5:$C$504,MATCH($G2004&amp;"",부서매핑!$A$5:$A$504,0)),"미매핑"))</f>
        <v/>
      </c>
      <c r="O2004" s="9">
        <f>IF($A2004="","",N2004&amp;"|"&amp;$F2004)</f>
        <v/>
      </c>
      <c r="P2004" s="94">
        <f>IF($A2004="",0,$H2004*설정!$C$23)</f>
        <v/>
      </c>
      <c r="Q2004" s="64">
        <f>IF($A2004="","",IF(O2004&lt;&gt;원인분석!$C$9,"",IF(AND(M2004&gt;=원인분석!$C$10,M2004&lt;=원인분석!$C$11),"당기",IF(AND(M2004&gt;=원인분석!$C$12,M2004&lt;=원인분석!$C$13),"비교",""))))</f>
        <v/>
      </c>
      <c r="R2004" s="9">
        <f>IF(Q2004="","",$K2004&amp;"")</f>
        <v/>
      </c>
      <c r="S2004" s="9">
        <f>IF(Q2004="","",IF(MATCH(R2004,$R$5:$R$100000,0)=ROW()-4,ROW(),""))</f>
        <v/>
      </c>
      <c r="T2004" s="9">
        <f>IF(Q2004="당기",ABS(P2004)+ROW()/1000000000,"")</f>
        <v/>
      </c>
      <c r="U2004" s="9">
        <f>IF(Q2004="비교",ABS(P2004)+ROW()/1000000000,"")</f>
        <v/>
      </c>
      <c r="V2004" s="64">
        <f>IF($A2004="","",IF(COUNTIF(변동분석!$E$7:$E$506,O2004)&gt;0,"Y","N"))</f>
        <v/>
      </c>
      <c r="W2004" s="64">
        <f>IF($A2004="","",IFERROR(INDEX(계정매핑!$D$5:$D$504,MATCH($F2004&amp;"",계정매핑!$A$5:$A$504,0)),"미매핑"))</f>
        <v/>
      </c>
      <c r="X2004" s="9">
        <f>IF($A2004="","",$F2004&amp;"")</f>
        <v/>
      </c>
      <c r="Y2004" s="94">
        <f>IF($A2004="",0,IF(AE2004="직접",IF(AF2004="비귀속",$P2004,0),$P2004*(1-AG2004)*IFERROR(INDEX(계정대체기준!$F$20:$F$49,MATCH($N2004,계정대체기준!$A$20:$A$49,0)),1)))</f>
        <v/>
      </c>
      <c r="Z2004" s="94">
        <f>IF($A2004="",0,IF(AE2004="직접",IF(AF2004="신계약비",$P2004,0),$P2004*(1-AG2004)*IFERROR(INDEX(계정대체기준!$C$20:$C$49,MATCH($N2004,계정대체기준!$A$20:$A$49,0)),0)))</f>
        <v/>
      </c>
      <c r="AA2004" s="94">
        <f>IF($A2004="",0,IF(AE2004="직접",IF(OR(AF2004="유지비",AF2004="손해조사비"),$P2004,0),$P2004*(1-AG2004)*IFERROR(INDEX(계정대체기준!$D$20:$D$49,MATCH($N2004,계정대체기준!$A$20:$A$49,0)),0)))</f>
        <v/>
      </c>
      <c r="AB2004" s="94">
        <f>IF($A2004="",0,IF(AE2004="직접",IF(AF2004="수금비",$P2004,0),$P2004*(1-AG2004)*IFERROR(INDEX(계정대체기준!$E$20:$E$49,MATCH($N2004,계정대체기준!$A$20:$A$49,0)),0)))</f>
        <v/>
      </c>
      <c r="AC2004" s="9">
        <f>IF(AND($A2004&lt;&gt;"",M2004=설정!$C$20,Z2004&gt;0),Z2004+ROW()/1000000000,"")</f>
        <v/>
      </c>
      <c r="AD2004" s="94">
        <f>IF($A2004="",0,$P2004*AG2004)</f>
        <v/>
      </c>
      <c r="AE2004" s="64">
        <f>IF($A2004="","",IFERROR(INDEX(계정매핑!$E$5:$E$504,MATCH($F2004&amp;"",계정매핑!$A$5:$A$504,0))&amp;"","공통비"))</f>
        <v/>
      </c>
      <c r="AF2004" s="64">
        <f>IF($A2004="","",IF(AE2004="직접",IFERROR(INDEX(계정매핑!$F$5:$F$504,MATCH($F2004&amp;"",계정매핑!$A$5:$A$504,0))&amp;"","비귀속"),""))</f>
        <v/>
      </c>
      <c r="AG2004" s="96">
        <f>IF($A2004="",0,IF(AND(AE2004&lt;&gt;"직접",IFERROR(INDEX(계정매핑!$G$5:$G$504,MATCH($F2004&amp;"",계정매핑!$A$5:$A$504,0))&amp;"","")="유지비",COUNTIF(계정대체기준!$A$6:$A$15,$N2004)&gt;0),IFERROR(INDEX(계정대체기준!$E$6:$E$15,MATCH(VALUE($A2004&amp;""),계정대체기준!$D$6:$D$15,0)),0),0))</f>
        <v/>
      </c>
      <c r="AH2004" s="64">
        <f>IF($A2004="","",IF(AD2004=0,"",IF(OR(COUNTIF(계정대체기준!$A$77:$A$86,$N2004)&gt;0,ISNUMBER(MATCH($X2004,계정대체기준!$D$77:$D$86,0)),ISNUMBER(MATCH($F2004,계정대체기준!$D$77:$D$86,0))),"Y","N")))</f>
        <v/>
      </c>
    </row>
    <row r="2005">
      <c r="A2005" s="92" t="n">
        <v>2025</v>
      </c>
      <c r="B2005" s="92" t="n">
        <v>9</v>
      </c>
      <c r="C2005" s="92" t="inlineStr">
        <is>
          <t>5100002001</t>
        </is>
      </c>
      <c r="D2005" s="95" t="n">
        <v>45924</v>
      </c>
      <c r="E2005" s="92" t="inlineStr">
        <is>
          <t>KR</t>
        </is>
      </c>
      <c r="F2005" s="92" t="n">
        <v>62102000</v>
      </c>
      <c r="G2005" s="92" t="n">
        <v>1951</v>
      </c>
      <c r="H2005" s="93" t="n">
        <v>98000</v>
      </c>
      <c r="I2005" s="92" t="inlineStr">
        <is>
          <t>9월 해외출장 - N호텔</t>
        </is>
      </c>
      <c r="J2005" s="92" t="inlineStr">
        <is>
          <t>V10009</t>
        </is>
      </c>
      <c r="K2005" s="92" t="inlineStr">
        <is>
          <t>N호텔</t>
        </is>
      </c>
      <c r="M2005" s="9">
        <f>IF($A2005="","",VALUE($A2005&amp;"")*12+VALUE($B2005&amp;""))</f>
        <v/>
      </c>
      <c r="N2005" s="64">
        <f>IF($A2005="","",IFERROR(INDEX(부서매핑!$C$5:$C$504,MATCH($G2005&amp;"",부서매핑!$A$5:$A$504,0)),"미매핑"))</f>
        <v/>
      </c>
      <c r="O2005" s="9">
        <f>IF($A2005="","",N2005&amp;"|"&amp;$F2005)</f>
        <v/>
      </c>
      <c r="P2005" s="94">
        <f>IF($A2005="",0,$H2005*설정!$C$23)</f>
        <v/>
      </c>
      <c r="Q2005" s="64">
        <f>IF($A2005="","",IF(O2005&lt;&gt;원인분석!$C$9,"",IF(AND(M2005&gt;=원인분석!$C$10,M2005&lt;=원인분석!$C$11),"당기",IF(AND(M2005&gt;=원인분석!$C$12,M2005&lt;=원인분석!$C$13),"비교",""))))</f>
        <v/>
      </c>
      <c r="R2005" s="9">
        <f>IF(Q2005="","",$K2005&amp;"")</f>
        <v/>
      </c>
      <c r="S2005" s="9">
        <f>IF(Q2005="","",IF(MATCH(R2005,$R$5:$R$100000,0)=ROW()-4,ROW(),""))</f>
        <v/>
      </c>
      <c r="T2005" s="9">
        <f>IF(Q2005="당기",ABS(P2005)+ROW()/1000000000,"")</f>
        <v/>
      </c>
      <c r="U2005" s="9">
        <f>IF(Q2005="비교",ABS(P2005)+ROW()/1000000000,"")</f>
        <v/>
      </c>
      <c r="V2005" s="64">
        <f>IF($A2005="","",IF(COUNTIF(변동분석!$E$7:$E$506,O2005)&gt;0,"Y","N"))</f>
        <v/>
      </c>
      <c r="W2005" s="64">
        <f>IF($A2005="","",IFERROR(INDEX(계정매핑!$D$5:$D$504,MATCH($F2005&amp;"",계정매핑!$A$5:$A$504,0)),"미매핑"))</f>
        <v/>
      </c>
      <c r="X2005" s="9">
        <f>IF($A2005="","",$F2005&amp;"")</f>
        <v/>
      </c>
      <c r="Y2005" s="94">
        <f>IF($A2005="",0,IF(AE2005="직접",IF(AF2005="비귀속",$P2005,0),$P2005*(1-AG2005)*IFERROR(INDEX(계정대체기준!$F$20:$F$49,MATCH($N2005,계정대체기준!$A$20:$A$49,0)),1)))</f>
        <v/>
      </c>
      <c r="Z2005" s="94">
        <f>IF($A2005="",0,IF(AE2005="직접",IF(AF2005="신계약비",$P2005,0),$P2005*(1-AG2005)*IFERROR(INDEX(계정대체기준!$C$20:$C$49,MATCH($N2005,계정대체기준!$A$20:$A$49,0)),0)))</f>
        <v/>
      </c>
      <c r="AA2005" s="94">
        <f>IF($A2005="",0,IF(AE2005="직접",IF(OR(AF2005="유지비",AF2005="손해조사비"),$P2005,0),$P2005*(1-AG2005)*IFERROR(INDEX(계정대체기준!$D$20:$D$49,MATCH($N2005,계정대체기준!$A$20:$A$49,0)),0)))</f>
        <v/>
      </c>
      <c r="AB2005" s="94">
        <f>IF($A2005="",0,IF(AE2005="직접",IF(AF2005="수금비",$P2005,0),$P2005*(1-AG2005)*IFERROR(INDEX(계정대체기준!$E$20:$E$49,MATCH($N2005,계정대체기준!$A$20:$A$49,0)),0)))</f>
        <v/>
      </c>
      <c r="AC2005" s="9">
        <f>IF(AND($A2005&lt;&gt;"",M2005=설정!$C$20,Z2005&gt;0),Z2005+ROW()/1000000000,"")</f>
        <v/>
      </c>
      <c r="AD2005" s="94">
        <f>IF($A2005="",0,$P2005*AG2005)</f>
        <v/>
      </c>
      <c r="AE2005" s="64">
        <f>IF($A2005="","",IFERROR(INDEX(계정매핑!$E$5:$E$504,MATCH($F2005&amp;"",계정매핑!$A$5:$A$504,0))&amp;"","공통비"))</f>
        <v/>
      </c>
      <c r="AF2005" s="64">
        <f>IF($A2005="","",IF(AE2005="직접",IFERROR(INDEX(계정매핑!$F$5:$F$504,MATCH($F2005&amp;"",계정매핑!$A$5:$A$504,0))&amp;"","비귀속"),""))</f>
        <v/>
      </c>
      <c r="AG2005" s="96">
        <f>IF($A2005="",0,IF(AND(AE2005&lt;&gt;"직접",IFERROR(INDEX(계정매핑!$G$5:$G$504,MATCH($F2005&amp;"",계정매핑!$A$5:$A$504,0))&amp;"","")="유지비",COUNTIF(계정대체기준!$A$6:$A$15,$N2005)&gt;0),IFERROR(INDEX(계정대체기준!$E$6:$E$15,MATCH(VALUE($A2005&amp;""),계정대체기준!$D$6:$D$15,0)),0),0))</f>
        <v/>
      </c>
      <c r="AH2005" s="64">
        <f>IF($A2005="","",IF(AD2005=0,"",IF(OR(COUNTIF(계정대체기준!$A$77:$A$86,$N2005)&gt;0,ISNUMBER(MATCH($X2005,계정대체기준!$D$77:$D$86,0)),ISNUMBER(MATCH($F2005,계정대체기준!$D$77:$D$86,0))),"Y","N")))</f>
        <v/>
      </c>
    </row>
    <row r="2006">
      <c r="A2006" s="92" t="n">
        <v>2025</v>
      </c>
      <c r="B2006" s="92" t="n">
        <v>9</v>
      </c>
      <c r="C2006" s="92" t="inlineStr">
        <is>
          <t>5100002002</t>
        </is>
      </c>
      <c r="D2006" s="95" t="n">
        <v>45924</v>
      </c>
      <c r="E2006" s="92" t="inlineStr">
        <is>
          <t>KR</t>
        </is>
      </c>
      <c r="F2006" s="92" t="n">
        <v>62301000</v>
      </c>
      <c r="G2006" s="92" t="n">
        <v>1201</v>
      </c>
      <c r="H2006" s="93" t="n">
        <v>185000</v>
      </c>
      <c r="I2006" s="92" t="inlineStr">
        <is>
          <t>9월 소모품 구입 - R문구</t>
        </is>
      </c>
      <c r="J2006" s="92" t="inlineStr">
        <is>
          <t>V10022</t>
        </is>
      </c>
      <c r="K2006" s="92" t="inlineStr">
        <is>
          <t>R문구</t>
        </is>
      </c>
      <c r="M2006" s="9">
        <f>IF($A2006="","",VALUE($A2006&amp;"")*12+VALUE($B2006&amp;""))</f>
        <v/>
      </c>
      <c r="N2006" s="64">
        <f>IF($A2006="","",IFERROR(INDEX(부서매핑!$C$5:$C$504,MATCH($G2006&amp;"",부서매핑!$A$5:$A$504,0)),"미매핑"))</f>
        <v/>
      </c>
      <c r="O2006" s="9">
        <f>IF($A2006="","",N2006&amp;"|"&amp;$F2006)</f>
        <v/>
      </c>
      <c r="P2006" s="94">
        <f>IF($A2006="",0,$H2006*설정!$C$23)</f>
        <v/>
      </c>
      <c r="Q2006" s="64">
        <f>IF($A2006="","",IF(O2006&lt;&gt;원인분석!$C$9,"",IF(AND(M2006&gt;=원인분석!$C$10,M2006&lt;=원인분석!$C$11),"당기",IF(AND(M2006&gt;=원인분석!$C$12,M2006&lt;=원인분석!$C$13),"비교",""))))</f>
        <v/>
      </c>
      <c r="R2006" s="9">
        <f>IF(Q2006="","",$K2006&amp;"")</f>
        <v/>
      </c>
      <c r="S2006" s="9">
        <f>IF(Q2006="","",IF(MATCH(R2006,$R$5:$R$100000,0)=ROW()-4,ROW(),""))</f>
        <v/>
      </c>
      <c r="T2006" s="9">
        <f>IF(Q2006="당기",ABS(P2006)+ROW()/1000000000,"")</f>
        <v/>
      </c>
      <c r="U2006" s="9">
        <f>IF(Q2006="비교",ABS(P2006)+ROW()/1000000000,"")</f>
        <v/>
      </c>
      <c r="V2006" s="64">
        <f>IF($A2006="","",IF(COUNTIF(변동분석!$E$7:$E$506,O2006)&gt;0,"Y","N"))</f>
        <v/>
      </c>
      <c r="W2006" s="64">
        <f>IF($A2006="","",IFERROR(INDEX(계정매핑!$D$5:$D$504,MATCH($F2006&amp;"",계정매핑!$A$5:$A$504,0)),"미매핑"))</f>
        <v/>
      </c>
      <c r="X2006" s="9">
        <f>IF($A2006="","",$F2006&amp;"")</f>
        <v/>
      </c>
      <c r="Y2006" s="94">
        <f>IF($A2006="",0,IF(AE2006="직접",IF(AF2006="비귀속",$P2006,0),$P2006*(1-AG2006)*IFERROR(INDEX(계정대체기준!$F$20:$F$49,MATCH($N2006,계정대체기준!$A$20:$A$49,0)),1)))</f>
        <v/>
      </c>
      <c r="Z2006" s="94">
        <f>IF($A2006="",0,IF(AE2006="직접",IF(AF2006="신계약비",$P2006,0),$P2006*(1-AG2006)*IFERROR(INDEX(계정대체기준!$C$20:$C$49,MATCH($N2006,계정대체기준!$A$20:$A$49,0)),0)))</f>
        <v/>
      </c>
      <c r="AA2006" s="94">
        <f>IF($A2006="",0,IF(AE2006="직접",IF(OR(AF2006="유지비",AF2006="손해조사비"),$P2006,0),$P2006*(1-AG2006)*IFERROR(INDEX(계정대체기준!$D$20:$D$49,MATCH($N2006,계정대체기준!$A$20:$A$49,0)),0)))</f>
        <v/>
      </c>
      <c r="AB2006" s="94">
        <f>IF($A2006="",0,IF(AE2006="직접",IF(AF2006="수금비",$P2006,0),$P2006*(1-AG2006)*IFERROR(INDEX(계정대체기준!$E$20:$E$49,MATCH($N2006,계정대체기준!$A$20:$A$49,0)),0)))</f>
        <v/>
      </c>
      <c r="AC2006" s="9">
        <f>IF(AND($A2006&lt;&gt;"",M2006=설정!$C$20,Z2006&gt;0),Z2006+ROW()/1000000000,"")</f>
        <v/>
      </c>
      <c r="AD2006" s="94">
        <f>IF($A2006="",0,$P2006*AG2006)</f>
        <v/>
      </c>
      <c r="AE2006" s="64">
        <f>IF($A2006="","",IFERROR(INDEX(계정매핑!$E$5:$E$504,MATCH($F2006&amp;"",계정매핑!$A$5:$A$504,0))&amp;"","공통비"))</f>
        <v/>
      </c>
      <c r="AF2006" s="64">
        <f>IF($A2006="","",IF(AE2006="직접",IFERROR(INDEX(계정매핑!$F$5:$F$504,MATCH($F2006&amp;"",계정매핑!$A$5:$A$504,0))&amp;"","비귀속"),""))</f>
        <v/>
      </c>
      <c r="AG2006" s="96">
        <f>IF($A2006="",0,IF(AND(AE2006&lt;&gt;"직접",IFERROR(INDEX(계정매핑!$G$5:$G$504,MATCH($F2006&amp;"",계정매핑!$A$5:$A$504,0))&amp;"","")="유지비",COUNTIF(계정대체기준!$A$6:$A$15,$N2006)&gt;0),IFERROR(INDEX(계정대체기준!$E$6:$E$15,MATCH(VALUE($A2006&amp;""),계정대체기준!$D$6:$D$15,0)),0),0))</f>
        <v/>
      </c>
      <c r="AH2006" s="64">
        <f>IF($A2006="","",IF(AD2006=0,"",IF(OR(COUNTIF(계정대체기준!$A$77:$A$86,$N2006)&gt;0,ISNUMBER(MATCH($X2006,계정대체기준!$D$77:$D$86,0)),ISNUMBER(MATCH($F2006,계정대체기준!$D$77:$D$86,0))),"Y","N")))</f>
        <v/>
      </c>
    </row>
    <row r="2007">
      <c r="A2007" s="92" t="n">
        <v>2025</v>
      </c>
      <c r="B2007" s="92" t="n">
        <v>9</v>
      </c>
      <c r="C2007" s="92" t="inlineStr">
        <is>
          <t>5100002003</t>
        </is>
      </c>
      <c r="D2007" s="95" t="n">
        <v>45924</v>
      </c>
      <c r="E2007" s="92" t="inlineStr">
        <is>
          <t>KR</t>
        </is>
      </c>
      <c r="F2007" s="92" t="n">
        <v>62701000</v>
      </c>
      <c r="G2007" s="92" t="n">
        <v>1501</v>
      </c>
      <c r="H2007" s="93" t="n">
        <v>96494000</v>
      </c>
      <c r="I2007" s="92" t="inlineStr">
        <is>
          <t>9월 광고 집행 - E미디어</t>
        </is>
      </c>
      <c r="J2007" s="92" t="inlineStr">
        <is>
          <t>V10033</t>
        </is>
      </c>
      <c r="K2007" s="92" t="inlineStr">
        <is>
          <t>E미디어</t>
        </is>
      </c>
      <c r="M2007" s="9">
        <f>IF($A2007="","",VALUE($A2007&amp;"")*12+VALUE($B2007&amp;""))</f>
        <v/>
      </c>
      <c r="N2007" s="64">
        <f>IF($A2007="","",IFERROR(INDEX(부서매핑!$C$5:$C$504,MATCH($G2007&amp;"",부서매핑!$A$5:$A$504,0)),"미매핑"))</f>
        <v/>
      </c>
      <c r="O2007" s="9">
        <f>IF($A2007="","",N2007&amp;"|"&amp;$F2007)</f>
        <v/>
      </c>
      <c r="P2007" s="94">
        <f>IF($A2007="",0,$H2007*설정!$C$23)</f>
        <v/>
      </c>
      <c r="Q2007" s="64">
        <f>IF($A2007="","",IF(O2007&lt;&gt;원인분석!$C$9,"",IF(AND(M2007&gt;=원인분석!$C$10,M2007&lt;=원인분석!$C$11),"당기",IF(AND(M2007&gt;=원인분석!$C$12,M2007&lt;=원인분석!$C$13),"비교",""))))</f>
        <v/>
      </c>
      <c r="R2007" s="9">
        <f>IF(Q2007="","",$K2007&amp;"")</f>
        <v/>
      </c>
      <c r="S2007" s="9">
        <f>IF(Q2007="","",IF(MATCH(R2007,$R$5:$R$100000,0)=ROW()-4,ROW(),""))</f>
        <v/>
      </c>
      <c r="T2007" s="9">
        <f>IF(Q2007="당기",ABS(P2007)+ROW()/1000000000,"")</f>
        <v/>
      </c>
      <c r="U2007" s="9">
        <f>IF(Q2007="비교",ABS(P2007)+ROW()/1000000000,"")</f>
        <v/>
      </c>
      <c r="V2007" s="64">
        <f>IF($A2007="","",IF(COUNTIF(변동분석!$E$7:$E$506,O2007)&gt;0,"Y","N"))</f>
        <v/>
      </c>
      <c r="W2007" s="64">
        <f>IF($A2007="","",IFERROR(INDEX(계정매핑!$D$5:$D$504,MATCH($F2007&amp;"",계정매핑!$A$5:$A$504,0)),"미매핑"))</f>
        <v/>
      </c>
      <c r="X2007" s="9">
        <f>IF($A2007="","",$F2007&amp;"")</f>
        <v/>
      </c>
      <c r="Y2007" s="94">
        <f>IF($A2007="",0,IF(AE2007="직접",IF(AF2007="비귀속",$P2007,0),$P2007*(1-AG2007)*IFERROR(INDEX(계정대체기준!$F$20:$F$49,MATCH($N2007,계정대체기준!$A$20:$A$49,0)),1)))</f>
        <v/>
      </c>
      <c r="Z2007" s="94">
        <f>IF($A2007="",0,IF(AE2007="직접",IF(AF2007="신계약비",$P2007,0),$P2007*(1-AG2007)*IFERROR(INDEX(계정대체기준!$C$20:$C$49,MATCH($N2007,계정대체기준!$A$20:$A$49,0)),0)))</f>
        <v/>
      </c>
      <c r="AA2007" s="94">
        <f>IF($A2007="",0,IF(AE2007="직접",IF(OR(AF2007="유지비",AF2007="손해조사비"),$P2007,0),$P2007*(1-AG2007)*IFERROR(INDEX(계정대체기준!$D$20:$D$49,MATCH($N2007,계정대체기준!$A$20:$A$49,0)),0)))</f>
        <v/>
      </c>
      <c r="AB2007" s="94">
        <f>IF($A2007="",0,IF(AE2007="직접",IF(AF2007="수금비",$P2007,0),$P2007*(1-AG2007)*IFERROR(INDEX(계정대체기준!$E$20:$E$49,MATCH($N2007,계정대체기준!$A$20:$A$49,0)),0)))</f>
        <v/>
      </c>
      <c r="AC2007" s="9">
        <f>IF(AND($A2007&lt;&gt;"",M2007=설정!$C$20,Z2007&gt;0),Z2007+ROW()/1000000000,"")</f>
        <v/>
      </c>
      <c r="AD2007" s="94">
        <f>IF($A2007="",0,$P2007*AG2007)</f>
        <v/>
      </c>
      <c r="AE2007" s="64">
        <f>IF($A2007="","",IFERROR(INDEX(계정매핑!$E$5:$E$504,MATCH($F2007&amp;"",계정매핑!$A$5:$A$504,0))&amp;"","공통비"))</f>
        <v/>
      </c>
      <c r="AF2007" s="64">
        <f>IF($A2007="","",IF(AE2007="직접",IFERROR(INDEX(계정매핑!$F$5:$F$504,MATCH($F2007&amp;"",계정매핑!$A$5:$A$504,0))&amp;"","비귀속"),""))</f>
        <v/>
      </c>
      <c r="AG2007" s="96">
        <f>IF($A2007="",0,IF(AND(AE2007&lt;&gt;"직접",IFERROR(INDEX(계정매핑!$G$5:$G$504,MATCH($F2007&amp;"",계정매핑!$A$5:$A$504,0))&amp;"","")="유지비",COUNTIF(계정대체기준!$A$6:$A$15,$N2007)&gt;0),IFERROR(INDEX(계정대체기준!$E$6:$E$15,MATCH(VALUE($A2007&amp;""),계정대체기준!$D$6:$D$15,0)),0),0))</f>
        <v/>
      </c>
      <c r="AH2007" s="64">
        <f>IF($A2007="","",IF(AD2007=0,"",IF(OR(COUNTIF(계정대체기준!$A$77:$A$86,$N2007)&gt;0,ISNUMBER(MATCH($X2007,계정대체기준!$D$77:$D$86,0)),ISNUMBER(MATCH($F2007,계정대체기준!$D$77:$D$86,0))),"Y","N")))</f>
        <v/>
      </c>
    </row>
    <row r="2008">
      <c r="A2008" s="92" t="n">
        <v>2025</v>
      </c>
      <c r="B2008" s="92" t="n">
        <v>9</v>
      </c>
      <c r="C2008" s="92" t="inlineStr">
        <is>
          <t>5100002004</t>
        </is>
      </c>
      <c r="D2008" s="95" t="n">
        <v>45924</v>
      </c>
      <c r="E2008" s="92" t="inlineStr">
        <is>
          <t>KR</t>
        </is>
      </c>
      <c r="F2008" s="92" t="n">
        <v>62901000</v>
      </c>
      <c r="G2008" s="92" t="n">
        <v>1101</v>
      </c>
      <c r="H2008" s="93" t="n">
        <v>3229000</v>
      </c>
      <c r="I2008" s="92" t="inlineStr">
        <is>
          <t>9월 자문 수수료 - K회계법인</t>
        </is>
      </c>
      <c r="J2008" s="92" t="inlineStr">
        <is>
          <t>V10011</t>
        </is>
      </c>
      <c r="K2008" s="92" t="inlineStr">
        <is>
          <t>K회계법인</t>
        </is>
      </c>
      <c r="M2008" s="9">
        <f>IF($A2008="","",VALUE($A2008&amp;"")*12+VALUE($B2008&amp;""))</f>
        <v/>
      </c>
      <c r="N2008" s="64">
        <f>IF($A2008="","",IFERROR(INDEX(부서매핑!$C$5:$C$504,MATCH($G2008&amp;"",부서매핑!$A$5:$A$504,0)),"미매핑"))</f>
        <v/>
      </c>
      <c r="O2008" s="9">
        <f>IF($A2008="","",N2008&amp;"|"&amp;$F2008)</f>
        <v/>
      </c>
      <c r="P2008" s="94">
        <f>IF($A2008="",0,$H2008*설정!$C$23)</f>
        <v/>
      </c>
      <c r="Q2008" s="64">
        <f>IF($A2008="","",IF(O2008&lt;&gt;원인분석!$C$9,"",IF(AND(M2008&gt;=원인분석!$C$10,M2008&lt;=원인분석!$C$11),"당기",IF(AND(M2008&gt;=원인분석!$C$12,M2008&lt;=원인분석!$C$13),"비교",""))))</f>
        <v/>
      </c>
      <c r="R2008" s="9">
        <f>IF(Q2008="","",$K2008&amp;"")</f>
        <v/>
      </c>
      <c r="S2008" s="9">
        <f>IF(Q2008="","",IF(MATCH(R2008,$R$5:$R$100000,0)=ROW()-4,ROW(),""))</f>
        <v/>
      </c>
      <c r="T2008" s="9">
        <f>IF(Q2008="당기",ABS(P2008)+ROW()/1000000000,"")</f>
        <v/>
      </c>
      <c r="U2008" s="9">
        <f>IF(Q2008="비교",ABS(P2008)+ROW()/1000000000,"")</f>
        <v/>
      </c>
      <c r="V2008" s="64">
        <f>IF($A2008="","",IF(COUNTIF(변동분석!$E$7:$E$506,O2008)&gt;0,"Y","N"))</f>
        <v/>
      </c>
      <c r="W2008" s="64">
        <f>IF($A2008="","",IFERROR(INDEX(계정매핑!$D$5:$D$504,MATCH($F2008&amp;"",계정매핑!$A$5:$A$504,0)),"미매핑"))</f>
        <v/>
      </c>
      <c r="X2008" s="9">
        <f>IF($A2008="","",$F2008&amp;"")</f>
        <v/>
      </c>
      <c r="Y2008" s="94">
        <f>IF($A2008="",0,IF(AE2008="직접",IF(AF2008="비귀속",$P2008,0),$P2008*(1-AG2008)*IFERROR(INDEX(계정대체기준!$F$20:$F$49,MATCH($N2008,계정대체기준!$A$20:$A$49,0)),1)))</f>
        <v/>
      </c>
      <c r="Z2008" s="94">
        <f>IF($A2008="",0,IF(AE2008="직접",IF(AF2008="신계약비",$P2008,0),$P2008*(1-AG2008)*IFERROR(INDEX(계정대체기준!$C$20:$C$49,MATCH($N2008,계정대체기준!$A$20:$A$49,0)),0)))</f>
        <v/>
      </c>
      <c r="AA2008" s="94">
        <f>IF($A2008="",0,IF(AE2008="직접",IF(OR(AF2008="유지비",AF2008="손해조사비"),$P2008,0),$P2008*(1-AG2008)*IFERROR(INDEX(계정대체기준!$D$20:$D$49,MATCH($N2008,계정대체기준!$A$20:$A$49,0)),0)))</f>
        <v/>
      </c>
      <c r="AB2008" s="94">
        <f>IF($A2008="",0,IF(AE2008="직접",IF(AF2008="수금비",$P2008,0),$P2008*(1-AG2008)*IFERROR(INDEX(계정대체기준!$E$20:$E$49,MATCH($N2008,계정대체기준!$A$20:$A$49,0)),0)))</f>
        <v/>
      </c>
      <c r="AC2008" s="9">
        <f>IF(AND($A2008&lt;&gt;"",M2008=설정!$C$20,Z2008&gt;0),Z2008+ROW()/1000000000,"")</f>
        <v/>
      </c>
      <c r="AD2008" s="94">
        <f>IF($A2008="",0,$P2008*AG2008)</f>
        <v/>
      </c>
      <c r="AE2008" s="64">
        <f>IF($A2008="","",IFERROR(INDEX(계정매핑!$E$5:$E$504,MATCH($F2008&amp;"",계정매핑!$A$5:$A$504,0))&amp;"","공통비"))</f>
        <v/>
      </c>
      <c r="AF2008" s="64">
        <f>IF($A2008="","",IF(AE2008="직접",IFERROR(INDEX(계정매핑!$F$5:$F$504,MATCH($F2008&amp;"",계정매핑!$A$5:$A$504,0))&amp;"","비귀속"),""))</f>
        <v/>
      </c>
      <c r="AG2008" s="96">
        <f>IF($A2008="",0,IF(AND(AE2008&lt;&gt;"직접",IFERROR(INDEX(계정매핑!$G$5:$G$504,MATCH($F2008&amp;"",계정매핑!$A$5:$A$504,0))&amp;"","")="유지비",COUNTIF(계정대체기준!$A$6:$A$15,$N2008)&gt;0),IFERROR(INDEX(계정대체기준!$E$6:$E$15,MATCH(VALUE($A2008&amp;""),계정대체기준!$D$6:$D$15,0)),0),0))</f>
        <v/>
      </c>
      <c r="AH2008" s="64">
        <f>IF($A2008="","",IF(AD2008=0,"",IF(OR(COUNTIF(계정대체기준!$A$77:$A$86,$N2008)&gt;0,ISNUMBER(MATCH($X2008,계정대체기준!$D$77:$D$86,0)),ISNUMBER(MATCH($F2008,계정대체기준!$D$77:$D$86,0))),"Y","N")))</f>
        <v/>
      </c>
    </row>
    <row r="2009">
      <c r="A2009" s="92" t="n">
        <v>2025</v>
      </c>
      <c r="B2009" s="92" t="n">
        <v>9</v>
      </c>
      <c r="C2009" s="92" t="inlineStr">
        <is>
          <t>5100002005</t>
        </is>
      </c>
      <c r="D2009" s="95" t="n">
        <v>45924</v>
      </c>
      <c r="E2009" s="92" t="inlineStr">
        <is>
          <t>KR</t>
        </is>
      </c>
      <c r="F2009" s="92" t="n">
        <v>62901000</v>
      </c>
      <c r="G2009" s="92" t="n">
        <v>1801</v>
      </c>
      <c r="H2009" s="93" t="n">
        <v>8286000</v>
      </c>
      <c r="I2009" s="92" t="inlineStr">
        <is>
          <t>9월 자문 수수료 - W컨설팅</t>
        </is>
      </c>
      <c r="J2009" s="92" t="inlineStr">
        <is>
          <t>V10006</t>
        </is>
      </c>
      <c r="K2009" s="92" t="inlineStr">
        <is>
          <t>W컨설팅</t>
        </is>
      </c>
      <c r="M2009" s="9">
        <f>IF($A2009="","",VALUE($A2009&amp;"")*12+VALUE($B2009&amp;""))</f>
        <v/>
      </c>
      <c r="N2009" s="64">
        <f>IF($A2009="","",IFERROR(INDEX(부서매핑!$C$5:$C$504,MATCH($G2009&amp;"",부서매핑!$A$5:$A$504,0)),"미매핑"))</f>
        <v/>
      </c>
      <c r="O2009" s="9">
        <f>IF($A2009="","",N2009&amp;"|"&amp;$F2009)</f>
        <v/>
      </c>
      <c r="P2009" s="94">
        <f>IF($A2009="",0,$H2009*설정!$C$23)</f>
        <v/>
      </c>
      <c r="Q2009" s="64">
        <f>IF($A2009="","",IF(O2009&lt;&gt;원인분석!$C$9,"",IF(AND(M2009&gt;=원인분석!$C$10,M2009&lt;=원인분석!$C$11),"당기",IF(AND(M2009&gt;=원인분석!$C$12,M2009&lt;=원인분석!$C$13),"비교",""))))</f>
        <v/>
      </c>
      <c r="R2009" s="9">
        <f>IF(Q2009="","",$K2009&amp;"")</f>
        <v/>
      </c>
      <c r="S2009" s="9">
        <f>IF(Q2009="","",IF(MATCH(R2009,$R$5:$R$100000,0)=ROW()-4,ROW(),""))</f>
        <v/>
      </c>
      <c r="T2009" s="9">
        <f>IF(Q2009="당기",ABS(P2009)+ROW()/1000000000,"")</f>
        <v/>
      </c>
      <c r="U2009" s="9">
        <f>IF(Q2009="비교",ABS(P2009)+ROW()/1000000000,"")</f>
        <v/>
      </c>
      <c r="V2009" s="64">
        <f>IF($A2009="","",IF(COUNTIF(변동분석!$E$7:$E$506,O2009)&gt;0,"Y","N"))</f>
        <v/>
      </c>
      <c r="W2009" s="64">
        <f>IF($A2009="","",IFERROR(INDEX(계정매핑!$D$5:$D$504,MATCH($F2009&amp;"",계정매핑!$A$5:$A$504,0)),"미매핑"))</f>
        <v/>
      </c>
      <c r="X2009" s="9">
        <f>IF($A2009="","",$F2009&amp;"")</f>
        <v/>
      </c>
      <c r="Y2009" s="94">
        <f>IF($A2009="",0,IF(AE2009="직접",IF(AF2009="비귀속",$P2009,0),$P2009*(1-AG2009)*IFERROR(INDEX(계정대체기준!$F$20:$F$49,MATCH($N2009,계정대체기준!$A$20:$A$49,0)),1)))</f>
        <v/>
      </c>
      <c r="Z2009" s="94">
        <f>IF($A2009="",0,IF(AE2009="직접",IF(AF2009="신계약비",$P2009,0),$P2009*(1-AG2009)*IFERROR(INDEX(계정대체기준!$C$20:$C$49,MATCH($N2009,계정대체기준!$A$20:$A$49,0)),0)))</f>
        <v/>
      </c>
      <c r="AA2009" s="94">
        <f>IF($A2009="",0,IF(AE2009="직접",IF(OR(AF2009="유지비",AF2009="손해조사비"),$P2009,0),$P2009*(1-AG2009)*IFERROR(INDEX(계정대체기준!$D$20:$D$49,MATCH($N2009,계정대체기준!$A$20:$A$49,0)),0)))</f>
        <v/>
      </c>
      <c r="AB2009" s="94">
        <f>IF($A2009="",0,IF(AE2009="직접",IF(AF2009="수금비",$P2009,0),$P2009*(1-AG2009)*IFERROR(INDEX(계정대체기준!$E$20:$E$49,MATCH($N2009,계정대체기준!$A$20:$A$49,0)),0)))</f>
        <v/>
      </c>
      <c r="AC2009" s="9">
        <f>IF(AND($A2009&lt;&gt;"",M2009=설정!$C$20,Z2009&gt;0),Z2009+ROW()/1000000000,"")</f>
        <v/>
      </c>
      <c r="AD2009" s="94">
        <f>IF($A2009="",0,$P2009*AG2009)</f>
        <v/>
      </c>
      <c r="AE2009" s="64">
        <f>IF($A2009="","",IFERROR(INDEX(계정매핑!$E$5:$E$504,MATCH($F2009&amp;"",계정매핑!$A$5:$A$504,0))&amp;"","공통비"))</f>
        <v/>
      </c>
      <c r="AF2009" s="64">
        <f>IF($A2009="","",IF(AE2009="직접",IFERROR(INDEX(계정매핑!$F$5:$F$504,MATCH($F2009&amp;"",계정매핑!$A$5:$A$504,0))&amp;"","비귀속"),""))</f>
        <v/>
      </c>
      <c r="AG2009" s="96">
        <f>IF($A2009="",0,IF(AND(AE2009&lt;&gt;"직접",IFERROR(INDEX(계정매핑!$G$5:$G$504,MATCH($F2009&amp;"",계정매핑!$A$5:$A$504,0))&amp;"","")="유지비",COUNTIF(계정대체기준!$A$6:$A$15,$N2009)&gt;0),IFERROR(INDEX(계정대체기준!$E$6:$E$15,MATCH(VALUE($A2009&amp;""),계정대체기준!$D$6:$D$15,0)),0),0))</f>
        <v/>
      </c>
      <c r="AH2009" s="64">
        <f>IF($A2009="","",IF(AD2009=0,"",IF(OR(COUNTIF(계정대체기준!$A$77:$A$86,$N2009)&gt;0,ISNUMBER(MATCH($X2009,계정대체기준!$D$77:$D$86,0)),ISNUMBER(MATCH($F2009,계정대체기준!$D$77:$D$86,0))),"Y","N")))</f>
        <v/>
      </c>
    </row>
    <row r="2010">
      <c r="A2010" s="92" t="n">
        <v>2025</v>
      </c>
      <c r="B2010" s="92" t="n">
        <v>9</v>
      </c>
      <c r="C2010" s="92" t="inlineStr">
        <is>
          <t>5100002006</t>
        </is>
      </c>
      <c r="D2010" s="95" t="n">
        <v>45924</v>
      </c>
      <c r="E2010" s="92" t="inlineStr">
        <is>
          <t>KR</t>
        </is>
      </c>
      <c r="F2010" s="92" t="n">
        <v>62902000</v>
      </c>
      <c r="G2010" s="92" t="n">
        <v>1201</v>
      </c>
      <c r="H2010" s="93" t="n">
        <v>2476000</v>
      </c>
      <c r="I2010" s="92" t="inlineStr">
        <is>
          <t>9월 업무 위탁 수수료 - J콜센터</t>
        </is>
      </c>
      <c r="J2010" s="92" t="inlineStr">
        <is>
          <t>V10016</t>
        </is>
      </c>
      <c r="K2010" s="92" t="inlineStr">
        <is>
          <t>J콜센터</t>
        </is>
      </c>
      <c r="M2010" s="9">
        <f>IF($A2010="","",VALUE($A2010&amp;"")*12+VALUE($B2010&amp;""))</f>
        <v/>
      </c>
      <c r="N2010" s="64">
        <f>IF($A2010="","",IFERROR(INDEX(부서매핑!$C$5:$C$504,MATCH($G2010&amp;"",부서매핑!$A$5:$A$504,0)),"미매핑"))</f>
        <v/>
      </c>
      <c r="O2010" s="9">
        <f>IF($A2010="","",N2010&amp;"|"&amp;$F2010)</f>
        <v/>
      </c>
      <c r="P2010" s="94">
        <f>IF($A2010="",0,$H2010*설정!$C$23)</f>
        <v/>
      </c>
      <c r="Q2010" s="64">
        <f>IF($A2010="","",IF(O2010&lt;&gt;원인분석!$C$9,"",IF(AND(M2010&gt;=원인분석!$C$10,M2010&lt;=원인분석!$C$11),"당기",IF(AND(M2010&gt;=원인분석!$C$12,M2010&lt;=원인분석!$C$13),"비교",""))))</f>
        <v/>
      </c>
      <c r="R2010" s="9">
        <f>IF(Q2010="","",$K2010&amp;"")</f>
        <v/>
      </c>
      <c r="S2010" s="9">
        <f>IF(Q2010="","",IF(MATCH(R2010,$R$5:$R$100000,0)=ROW()-4,ROW(),""))</f>
        <v/>
      </c>
      <c r="T2010" s="9">
        <f>IF(Q2010="당기",ABS(P2010)+ROW()/1000000000,"")</f>
        <v/>
      </c>
      <c r="U2010" s="9">
        <f>IF(Q2010="비교",ABS(P2010)+ROW()/1000000000,"")</f>
        <v/>
      </c>
      <c r="V2010" s="64">
        <f>IF($A2010="","",IF(COUNTIF(변동분석!$E$7:$E$506,O2010)&gt;0,"Y","N"))</f>
        <v/>
      </c>
      <c r="W2010" s="64">
        <f>IF($A2010="","",IFERROR(INDEX(계정매핑!$D$5:$D$504,MATCH($F2010&amp;"",계정매핑!$A$5:$A$504,0)),"미매핑"))</f>
        <v/>
      </c>
      <c r="X2010" s="9">
        <f>IF($A2010="","",$F2010&amp;"")</f>
        <v/>
      </c>
      <c r="Y2010" s="94">
        <f>IF($A2010="",0,IF(AE2010="직접",IF(AF2010="비귀속",$P2010,0),$P2010*(1-AG2010)*IFERROR(INDEX(계정대체기준!$F$20:$F$49,MATCH($N2010,계정대체기준!$A$20:$A$49,0)),1)))</f>
        <v/>
      </c>
      <c r="Z2010" s="94">
        <f>IF($A2010="",0,IF(AE2010="직접",IF(AF2010="신계약비",$P2010,0),$P2010*(1-AG2010)*IFERROR(INDEX(계정대체기준!$C$20:$C$49,MATCH($N2010,계정대체기준!$A$20:$A$49,0)),0)))</f>
        <v/>
      </c>
      <c r="AA2010" s="94">
        <f>IF($A2010="",0,IF(AE2010="직접",IF(OR(AF2010="유지비",AF2010="손해조사비"),$P2010,0),$P2010*(1-AG2010)*IFERROR(INDEX(계정대체기준!$D$20:$D$49,MATCH($N2010,계정대체기준!$A$20:$A$49,0)),0)))</f>
        <v/>
      </c>
      <c r="AB2010" s="94">
        <f>IF($A2010="",0,IF(AE2010="직접",IF(AF2010="수금비",$P2010,0),$P2010*(1-AG2010)*IFERROR(INDEX(계정대체기준!$E$20:$E$49,MATCH($N2010,계정대체기준!$A$20:$A$49,0)),0)))</f>
        <v/>
      </c>
      <c r="AC2010" s="9">
        <f>IF(AND($A2010&lt;&gt;"",M2010=설정!$C$20,Z2010&gt;0),Z2010+ROW()/1000000000,"")</f>
        <v/>
      </c>
      <c r="AD2010" s="94">
        <f>IF($A2010="",0,$P2010*AG2010)</f>
        <v/>
      </c>
      <c r="AE2010" s="64">
        <f>IF($A2010="","",IFERROR(INDEX(계정매핑!$E$5:$E$504,MATCH($F2010&amp;"",계정매핑!$A$5:$A$504,0))&amp;"","공통비"))</f>
        <v/>
      </c>
      <c r="AF2010" s="64">
        <f>IF($A2010="","",IF(AE2010="직접",IFERROR(INDEX(계정매핑!$F$5:$F$504,MATCH($F2010&amp;"",계정매핑!$A$5:$A$504,0))&amp;"","비귀속"),""))</f>
        <v/>
      </c>
      <c r="AG2010" s="96">
        <f>IF($A2010="",0,IF(AND(AE2010&lt;&gt;"직접",IFERROR(INDEX(계정매핑!$G$5:$G$504,MATCH($F2010&amp;"",계정매핑!$A$5:$A$504,0))&amp;"","")="유지비",COUNTIF(계정대체기준!$A$6:$A$15,$N2010)&gt;0),IFERROR(INDEX(계정대체기준!$E$6:$E$15,MATCH(VALUE($A2010&amp;""),계정대체기준!$D$6:$D$15,0)),0),0))</f>
        <v/>
      </c>
      <c r="AH2010" s="64">
        <f>IF($A2010="","",IF(AD2010=0,"",IF(OR(COUNTIF(계정대체기준!$A$77:$A$86,$N2010)&gt;0,ISNUMBER(MATCH($X2010,계정대체기준!$D$77:$D$86,0)),ISNUMBER(MATCH($F2010,계정대체기준!$D$77:$D$86,0))),"Y","N")))</f>
        <v/>
      </c>
    </row>
    <row r="2011">
      <c r="A2011" s="92" t="n">
        <v>2025</v>
      </c>
      <c r="B2011" s="92" t="n">
        <v>9</v>
      </c>
      <c r="C2011" s="92" t="inlineStr">
        <is>
          <t>5100002007</t>
        </is>
      </c>
      <c r="D2011" s="95" t="n">
        <v>45925</v>
      </c>
      <c r="E2011" s="92" t="inlineStr">
        <is>
          <t>KR</t>
        </is>
      </c>
      <c r="F2011" s="92" t="n">
        <v>62101000</v>
      </c>
      <c r="G2011" s="92" t="n">
        <v>1101</v>
      </c>
      <c r="H2011" s="93" t="n">
        <v>391000</v>
      </c>
      <c r="I2011" s="92" t="inlineStr">
        <is>
          <t>9월 국내출장 - (법인카드)</t>
        </is>
      </c>
      <c r="J2011" s="92" t="inlineStr">
        <is>
          <t>V10010</t>
        </is>
      </c>
      <c r="K2011" s="92" t="inlineStr">
        <is>
          <t>(법인카드)</t>
        </is>
      </c>
      <c r="M2011" s="9">
        <f>IF($A2011="","",VALUE($A2011&amp;"")*12+VALUE($B2011&amp;""))</f>
        <v/>
      </c>
      <c r="N2011" s="64">
        <f>IF($A2011="","",IFERROR(INDEX(부서매핑!$C$5:$C$504,MATCH($G2011&amp;"",부서매핑!$A$5:$A$504,0)),"미매핑"))</f>
        <v/>
      </c>
      <c r="O2011" s="9">
        <f>IF($A2011="","",N2011&amp;"|"&amp;$F2011)</f>
        <v/>
      </c>
      <c r="P2011" s="94">
        <f>IF($A2011="",0,$H2011*설정!$C$23)</f>
        <v/>
      </c>
      <c r="Q2011" s="64">
        <f>IF($A2011="","",IF(O2011&lt;&gt;원인분석!$C$9,"",IF(AND(M2011&gt;=원인분석!$C$10,M2011&lt;=원인분석!$C$11),"당기",IF(AND(M2011&gt;=원인분석!$C$12,M2011&lt;=원인분석!$C$13),"비교",""))))</f>
        <v/>
      </c>
      <c r="R2011" s="9">
        <f>IF(Q2011="","",$K2011&amp;"")</f>
        <v/>
      </c>
      <c r="S2011" s="9">
        <f>IF(Q2011="","",IF(MATCH(R2011,$R$5:$R$100000,0)=ROW()-4,ROW(),""))</f>
        <v/>
      </c>
      <c r="T2011" s="9">
        <f>IF(Q2011="당기",ABS(P2011)+ROW()/1000000000,"")</f>
        <v/>
      </c>
      <c r="U2011" s="9">
        <f>IF(Q2011="비교",ABS(P2011)+ROW()/1000000000,"")</f>
        <v/>
      </c>
      <c r="V2011" s="64">
        <f>IF($A2011="","",IF(COUNTIF(변동분석!$E$7:$E$506,O2011)&gt;0,"Y","N"))</f>
        <v/>
      </c>
      <c r="W2011" s="64">
        <f>IF($A2011="","",IFERROR(INDEX(계정매핑!$D$5:$D$504,MATCH($F2011&amp;"",계정매핑!$A$5:$A$504,0)),"미매핑"))</f>
        <v/>
      </c>
      <c r="X2011" s="9">
        <f>IF($A2011="","",$F2011&amp;"")</f>
        <v/>
      </c>
      <c r="Y2011" s="94">
        <f>IF($A2011="",0,IF(AE2011="직접",IF(AF2011="비귀속",$P2011,0),$P2011*(1-AG2011)*IFERROR(INDEX(계정대체기준!$F$20:$F$49,MATCH($N2011,계정대체기준!$A$20:$A$49,0)),1)))</f>
        <v/>
      </c>
      <c r="Z2011" s="94">
        <f>IF($A2011="",0,IF(AE2011="직접",IF(AF2011="신계약비",$P2011,0),$P2011*(1-AG2011)*IFERROR(INDEX(계정대체기준!$C$20:$C$49,MATCH($N2011,계정대체기준!$A$20:$A$49,0)),0)))</f>
        <v/>
      </c>
      <c r="AA2011" s="94">
        <f>IF($A2011="",0,IF(AE2011="직접",IF(OR(AF2011="유지비",AF2011="손해조사비"),$P2011,0),$P2011*(1-AG2011)*IFERROR(INDEX(계정대체기준!$D$20:$D$49,MATCH($N2011,계정대체기준!$A$20:$A$49,0)),0)))</f>
        <v/>
      </c>
      <c r="AB2011" s="94">
        <f>IF($A2011="",0,IF(AE2011="직접",IF(AF2011="수금비",$P2011,0),$P2011*(1-AG2011)*IFERROR(INDEX(계정대체기준!$E$20:$E$49,MATCH($N2011,계정대체기준!$A$20:$A$49,0)),0)))</f>
        <v/>
      </c>
      <c r="AC2011" s="9">
        <f>IF(AND($A2011&lt;&gt;"",M2011=설정!$C$20,Z2011&gt;0),Z2011+ROW()/1000000000,"")</f>
        <v/>
      </c>
      <c r="AD2011" s="94">
        <f>IF($A2011="",0,$P2011*AG2011)</f>
        <v/>
      </c>
      <c r="AE2011" s="64">
        <f>IF($A2011="","",IFERROR(INDEX(계정매핑!$E$5:$E$504,MATCH($F2011&amp;"",계정매핑!$A$5:$A$504,0))&amp;"","공통비"))</f>
        <v/>
      </c>
      <c r="AF2011" s="64">
        <f>IF($A2011="","",IF(AE2011="직접",IFERROR(INDEX(계정매핑!$F$5:$F$504,MATCH($F2011&amp;"",계정매핑!$A$5:$A$504,0))&amp;"","비귀속"),""))</f>
        <v/>
      </c>
      <c r="AG2011" s="96">
        <f>IF($A2011="",0,IF(AND(AE2011&lt;&gt;"직접",IFERROR(INDEX(계정매핑!$G$5:$G$504,MATCH($F2011&amp;"",계정매핑!$A$5:$A$504,0))&amp;"","")="유지비",COUNTIF(계정대체기준!$A$6:$A$15,$N2011)&gt;0),IFERROR(INDEX(계정대체기준!$E$6:$E$15,MATCH(VALUE($A2011&amp;""),계정대체기준!$D$6:$D$15,0)),0),0))</f>
        <v/>
      </c>
      <c r="AH2011" s="64">
        <f>IF($A2011="","",IF(AD2011=0,"",IF(OR(COUNTIF(계정대체기준!$A$77:$A$86,$N2011)&gt;0,ISNUMBER(MATCH($X2011,계정대체기준!$D$77:$D$86,0)),ISNUMBER(MATCH($F2011,계정대체기준!$D$77:$D$86,0))),"Y","N")))</f>
        <v/>
      </c>
    </row>
    <row r="2012">
      <c r="A2012" s="92" t="n">
        <v>2025</v>
      </c>
      <c r="B2012" s="92" t="n">
        <v>9</v>
      </c>
      <c r="C2012" s="92" t="inlineStr">
        <is>
          <t>5100002008</t>
        </is>
      </c>
      <c r="D2012" s="95" t="n">
        <v>45925</v>
      </c>
      <c r="E2012" s="92" t="inlineStr">
        <is>
          <t>KR</t>
        </is>
      </c>
      <c r="F2012" s="92" t="n">
        <v>62102000</v>
      </c>
      <c r="G2012" s="92" t="n">
        <v>1101</v>
      </c>
      <c r="H2012" s="93" t="n">
        <v>171000</v>
      </c>
      <c r="I2012" s="92" t="inlineStr">
        <is>
          <t>9월 해외출장 - N호텔</t>
        </is>
      </c>
      <c r="J2012" s="92" t="inlineStr">
        <is>
          <t>V10009</t>
        </is>
      </c>
      <c r="K2012" s="92" t="inlineStr">
        <is>
          <t>N호텔</t>
        </is>
      </c>
      <c r="M2012" s="9">
        <f>IF($A2012="","",VALUE($A2012&amp;"")*12+VALUE($B2012&amp;""))</f>
        <v/>
      </c>
      <c r="N2012" s="64">
        <f>IF($A2012="","",IFERROR(INDEX(부서매핑!$C$5:$C$504,MATCH($G2012&amp;"",부서매핑!$A$5:$A$504,0)),"미매핑"))</f>
        <v/>
      </c>
      <c r="O2012" s="9">
        <f>IF($A2012="","",N2012&amp;"|"&amp;$F2012)</f>
        <v/>
      </c>
      <c r="P2012" s="94">
        <f>IF($A2012="",0,$H2012*설정!$C$23)</f>
        <v/>
      </c>
      <c r="Q2012" s="64">
        <f>IF($A2012="","",IF(O2012&lt;&gt;원인분석!$C$9,"",IF(AND(M2012&gt;=원인분석!$C$10,M2012&lt;=원인분석!$C$11),"당기",IF(AND(M2012&gt;=원인분석!$C$12,M2012&lt;=원인분석!$C$13),"비교",""))))</f>
        <v/>
      </c>
      <c r="R2012" s="9">
        <f>IF(Q2012="","",$K2012&amp;"")</f>
        <v/>
      </c>
      <c r="S2012" s="9">
        <f>IF(Q2012="","",IF(MATCH(R2012,$R$5:$R$100000,0)=ROW()-4,ROW(),""))</f>
        <v/>
      </c>
      <c r="T2012" s="9">
        <f>IF(Q2012="당기",ABS(P2012)+ROW()/1000000000,"")</f>
        <v/>
      </c>
      <c r="U2012" s="9">
        <f>IF(Q2012="비교",ABS(P2012)+ROW()/1000000000,"")</f>
        <v/>
      </c>
      <c r="V2012" s="64">
        <f>IF($A2012="","",IF(COUNTIF(변동분석!$E$7:$E$506,O2012)&gt;0,"Y","N"))</f>
        <v/>
      </c>
      <c r="W2012" s="64">
        <f>IF($A2012="","",IFERROR(INDEX(계정매핑!$D$5:$D$504,MATCH($F2012&amp;"",계정매핑!$A$5:$A$504,0)),"미매핑"))</f>
        <v/>
      </c>
      <c r="X2012" s="9">
        <f>IF($A2012="","",$F2012&amp;"")</f>
        <v/>
      </c>
      <c r="Y2012" s="94">
        <f>IF($A2012="",0,IF(AE2012="직접",IF(AF2012="비귀속",$P2012,0),$P2012*(1-AG2012)*IFERROR(INDEX(계정대체기준!$F$20:$F$49,MATCH($N2012,계정대체기준!$A$20:$A$49,0)),1)))</f>
        <v/>
      </c>
      <c r="Z2012" s="94">
        <f>IF($A2012="",0,IF(AE2012="직접",IF(AF2012="신계약비",$P2012,0),$P2012*(1-AG2012)*IFERROR(INDEX(계정대체기준!$C$20:$C$49,MATCH($N2012,계정대체기준!$A$20:$A$49,0)),0)))</f>
        <v/>
      </c>
      <c r="AA2012" s="94">
        <f>IF($A2012="",0,IF(AE2012="직접",IF(OR(AF2012="유지비",AF2012="손해조사비"),$P2012,0),$P2012*(1-AG2012)*IFERROR(INDEX(계정대체기준!$D$20:$D$49,MATCH($N2012,계정대체기준!$A$20:$A$49,0)),0)))</f>
        <v/>
      </c>
      <c r="AB2012" s="94">
        <f>IF($A2012="",0,IF(AE2012="직접",IF(AF2012="수금비",$P2012,0),$P2012*(1-AG2012)*IFERROR(INDEX(계정대체기준!$E$20:$E$49,MATCH($N2012,계정대체기준!$A$20:$A$49,0)),0)))</f>
        <v/>
      </c>
      <c r="AC2012" s="9">
        <f>IF(AND($A2012&lt;&gt;"",M2012=설정!$C$20,Z2012&gt;0),Z2012+ROW()/1000000000,"")</f>
        <v/>
      </c>
      <c r="AD2012" s="94">
        <f>IF($A2012="",0,$P2012*AG2012)</f>
        <v/>
      </c>
      <c r="AE2012" s="64">
        <f>IF($A2012="","",IFERROR(INDEX(계정매핑!$E$5:$E$504,MATCH($F2012&amp;"",계정매핑!$A$5:$A$504,0))&amp;"","공통비"))</f>
        <v/>
      </c>
      <c r="AF2012" s="64">
        <f>IF($A2012="","",IF(AE2012="직접",IFERROR(INDEX(계정매핑!$F$5:$F$504,MATCH($F2012&amp;"",계정매핑!$A$5:$A$504,0))&amp;"","비귀속"),""))</f>
        <v/>
      </c>
      <c r="AG2012" s="96">
        <f>IF($A2012="",0,IF(AND(AE2012&lt;&gt;"직접",IFERROR(INDEX(계정매핑!$G$5:$G$504,MATCH($F2012&amp;"",계정매핑!$A$5:$A$504,0))&amp;"","")="유지비",COUNTIF(계정대체기준!$A$6:$A$15,$N2012)&gt;0),IFERROR(INDEX(계정대체기준!$E$6:$E$15,MATCH(VALUE($A2012&amp;""),계정대체기준!$D$6:$D$15,0)),0),0))</f>
        <v/>
      </c>
      <c r="AH2012" s="64">
        <f>IF($A2012="","",IF(AD2012=0,"",IF(OR(COUNTIF(계정대체기준!$A$77:$A$86,$N2012)&gt;0,ISNUMBER(MATCH($X2012,계정대체기준!$D$77:$D$86,0)),ISNUMBER(MATCH($F2012,계정대체기준!$D$77:$D$86,0))),"Y","N")))</f>
        <v/>
      </c>
    </row>
    <row r="2013">
      <c r="A2013" s="92" t="n">
        <v>2025</v>
      </c>
      <c r="B2013" s="92" t="n">
        <v>9</v>
      </c>
      <c r="C2013" s="92" t="inlineStr">
        <is>
          <t>5100002009</t>
        </is>
      </c>
      <c r="D2013" s="95" t="n">
        <v>45925</v>
      </c>
      <c r="E2013" s="92" t="inlineStr">
        <is>
          <t>KR</t>
        </is>
      </c>
      <c r="F2013" s="92" t="n">
        <v>62102000</v>
      </c>
      <c r="G2013" s="92" t="n">
        <v>1951</v>
      </c>
      <c r="H2013" s="93" t="n">
        <v>83000</v>
      </c>
      <c r="I2013" s="92" t="inlineStr">
        <is>
          <t>9월 해외출장 - M항공</t>
        </is>
      </c>
      <c r="J2013" s="92" t="inlineStr">
        <is>
          <t>V10001</t>
        </is>
      </c>
      <c r="K2013" s="92" t="inlineStr">
        <is>
          <t>M항공</t>
        </is>
      </c>
      <c r="M2013" s="9">
        <f>IF($A2013="","",VALUE($A2013&amp;"")*12+VALUE($B2013&amp;""))</f>
        <v/>
      </c>
      <c r="N2013" s="64">
        <f>IF($A2013="","",IFERROR(INDEX(부서매핑!$C$5:$C$504,MATCH($G2013&amp;"",부서매핑!$A$5:$A$504,0)),"미매핑"))</f>
        <v/>
      </c>
      <c r="O2013" s="9">
        <f>IF($A2013="","",N2013&amp;"|"&amp;$F2013)</f>
        <v/>
      </c>
      <c r="P2013" s="94">
        <f>IF($A2013="",0,$H2013*설정!$C$23)</f>
        <v/>
      </c>
      <c r="Q2013" s="64">
        <f>IF($A2013="","",IF(O2013&lt;&gt;원인분석!$C$9,"",IF(AND(M2013&gt;=원인분석!$C$10,M2013&lt;=원인분석!$C$11),"당기",IF(AND(M2013&gt;=원인분석!$C$12,M2013&lt;=원인분석!$C$13),"비교",""))))</f>
        <v/>
      </c>
      <c r="R2013" s="9">
        <f>IF(Q2013="","",$K2013&amp;"")</f>
        <v/>
      </c>
      <c r="S2013" s="9">
        <f>IF(Q2013="","",IF(MATCH(R2013,$R$5:$R$100000,0)=ROW()-4,ROW(),""))</f>
        <v/>
      </c>
      <c r="T2013" s="9">
        <f>IF(Q2013="당기",ABS(P2013)+ROW()/1000000000,"")</f>
        <v/>
      </c>
      <c r="U2013" s="9">
        <f>IF(Q2013="비교",ABS(P2013)+ROW()/1000000000,"")</f>
        <v/>
      </c>
      <c r="V2013" s="64">
        <f>IF($A2013="","",IF(COUNTIF(변동분석!$E$7:$E$506,O2013)&gt;0,"Y","N"))</f>
        <v/>
      </c>
      <c r="W2013" s="64">
        <f>IF($A2013="","",IFERROR(INDEX(계정매핑!$D$5:$D$504,MATCH($F2013&amp;"",계정매핑!$A$5:$A$504,0)),"미매핑"))</f>
        <v/>
      </c>
      <c r="X2013" s="9">
        <f>IF($A2013="","",$F2013&amp;"")</f>
        <v/>
      </c>
      <c r="Y2013" s="94">
        <f>IF($A2013="",0,IF(AE2013="직접",IF(AF2013="비귀속",$P2013,0),$P2013*(1-AG2013)*IFERROR(INDEX(계정대체기준!$F$20:$F$49,MATCH($N2013,계정대체기준!$A$20:$A$49,0)),1)))</f>
        <v/>
      </c>
      <c r="Z2013" s="94">
        <f>IF($A2013="",0,IF(AE2013="직접",IF(AF2013="신계약비",$P2013,0),$P2013*(1-AG2013)*IFERROR(INDEX(계정대체기준!$C$20:$C$49,MATCH($N2013,계정대체기준!$A$20:$A$49,0)),0)))</f>
        <v/>
      </c>
      <c r="AA2013" s="94">
        <f>IF($A2013="",0,IF(AE2013="직접",IF(OR(AF2013="유지비",AF2013="손해조사비"),$P2013,0),$P2013*(1-AG2013)*IFERROR(INDEX(계정대체기준!$D$20:$D$49,MATCH($N2013,계정대체기준!$A$20:$A$49,0)),0)))</f>
        <v/>
      </c>
      <c r="AB2013" s="94">
        <f>IF($A2013="",0,IF(AE2013="직접",IF(AF2013="수금비",$P2013,0),$P2013*(1-AG2013)*IFERROR(INDEX(계정대체기준!$E$20:$E$49,MATCH($N2013,계정대체기준!$A$20:$A$49,0)),0)))</f>
        <v/>
      </c>
      <c r="AC2013" s="9">
        <f>IF(AND($A2013&lt;&gt;"",M2013=설정!$C$20,Z2013&gt;0),Z2013+ROW()/1000000000,"")</f>
        <v/>
      </c>
      <c r="AD2013" s="94">
        <f>IF($A2013="",0,$P2013*AG2013)</f>
        <v/>
      </c>
      <c r="AE2013" s="64">
        <f>IF($A2013="","",IFERROR(INDEX(계정매핑!$E$5:$E$504,MATCH($F2013&amp;"",계정매핑!$A$5:$A$504,0))&amp;"","공통비"))</f>
        <v/>
      </c>
      <c r="AF2013" s="64">
        <f>IF($A2013="","",IF(AE2013="직접",IFERROR(INDEX(계정매핑!$F$5:$F$504,MATCH($F2013&amp;"",계정매핑!$A$5:$A$504,0))&amp;"","비귀속"),""))</f>
        <v/>
      </c>
      <c r="AG2013" s="96">
        <f>IF($A2013="",0,IF(AND(AE2013&lt;&gt;"직접",IFERROR(INDEX(계정매핑!$G$5:$G$504,MATCH($F2013&amp;"",계정매핑!$A$5:$A$504,0))&amp;"","")="유지비",COUNTIF(계정대체기준!$A$6:$A$15,$N2013)&gt;0),IFERROR(INDEX(계정대체기준!$E$6:$E$15,MATCH(VALUE($A2013&amp;""),계정대체기준!$D$6:$D$15,0)),0),0))</f>
        <v/>
      </c>
      <c r="AH2013" s="64">
        <f>IF($A2013="","",IF(AD2013=0,"",IF(OR(COUNTIF(계정대체기준!$A$77:$A$86,$N2013)&gt;0,ISNUMBER(MATCH($X2013,계정대체기준!$D$77:$D$86,0)),ISNUMBER(MATCH($F2013,계정대체기준!$D$77:$D$86,0))),"Y","N")))</f>
        <v/>
      </c>
    </row>
    <row r="2014">
      <c r="A2014" s="92" t="n">
        <v>2025</v>
      </c>
      <c r="B2014" s="92" t="n">
        <v>9</v>
      </c>
      <c r="C2014" s="92" t="inlineStr">
        <is>
          <t>5100002010</t>
        </is>
      </c>
      <c r="D2014" s="95" t="n">
        <v>45925</v>
      </c>
      <c r="E2014" s="92" t="inlineStr">
        <is>
          <t>KR</t>
        </is>
      </c>
      <c r="F2014" s="92" t="n">
        <v>62301000</v>
      </c>
      <c r="G2014" s="92" t="n">
        <v>1101</v>
      </c>
      <c r="H2014" s="93" t="n">
        <v>183000</v>
      </c>
      <c r="I2014" s="92" t="inlineStr">
        <is>
          <t>9월 소모품 구입 - Q오피스</t>
        </is>
      </c>
      <c r="J2014" s="92" t="inlineStr">
        <is>
          <t>V10003</t>
        </is>
      </c>
      <c r="K2014" s="92" t="inlineStr">
        <is>
          <t>Q오피스</t>
        </is>
      </c>
      <c r="M2014" s="9">
        <f>IF($A2014="","",VALUE($A2014&amp;"")*12+VALUE($B2014&amp;""))</f>
        <v/>
      </c>
      <c r="N2014" s="64">
        <f>IF($A2014="","",IFERROR(INDEX(부서매핑!$C$5:$C$504,MATCH($G2014&amp;"",부서매핑!$A$5:$A$504,0)),"미매핑"))</f>
        <v/>
      </c>
      <c r="O2014" s="9">
        <f>IF($A2014="","",N2014&amp;"|"&amp;$F2014)</f>
        <v/>
      </c>
      <c r="P2014" s="94">
        <f>IF($A2014="",0,$H2014*설정!$C$23)</f>
        <v/>
      </c>
      <c r="Q2014" s="64">
        <f>IF($A2014="","",IF(O2014&lt;&gt;원인분석!$C$9,"",IF(AND(M2014&gt;=원인분석!$C$10,M2014&lt;=원인분석!$C$11),"당기",IF(AND(M2014&gt;=원인분석!$C$12,M2014&lt;=원인분석!$C$13),"비교",""))))</f>
        <v/>
      </c>
      <c r="R2014" s="9">
        <f>IF(Q2014="","",$K2014&amp;"")</f>
        <v/>
      </c>
      <c r="S2014" s="9">
        <f>IF(Q2014="","",IF(MATCH(R2014,$R$5:$R$100000,0)=ROW()-4,ROW(),""))</f>
        <v/>
      </c>
      <c r="T2014" s="9">
        <f>IF(Q2014="당기",ABS(P2014)+ROW()/1000000000,"")</f>
        <v/>
      </c>
      <c r="U2014" s="9">
        <f>IF(Q2014="비교",ABS(P2014)+ROW()/1000000000,"")</f>
        <v/>
      </c>
      <c r="V2014" s="64">
        <f>IF($A2014="","",IF(COUNTIF(변동분석!$E$7:$E$506,O2014)&gt;0,"Y","N"))</f>
        <v/>
      </c>
      <c r="W2014" s="64">
        <f>IF($A2014="","",IFERROR(INDEX(계정매핑!$D$5:$D$504,MATCH($F2014&amp;"",계정매핑!$A$5:$A$504,0)),"미매핑"))</f>
        <v/>
      </c>
      <c r="X2014" s="9">
        <f>IF($A2014="","",$F2014&amp;"")</f>
        <v/>
      </c>
      <c r="Y2014" s="94">
        <f>IF($A2014="",0,IF(AE2014="직접",IF(AF2014="비귀속",$P2014,0),$P2014*(1-AG2014)*IFERROR(INDEX(계정대체기준!$F$20:$F$49,MATCH($N2014,계정대체기준!$A$20:$A$49,0)),1)))</f>
        <v/>
      </c>
      <c r="Z2014" s="94">
        <f>IF($A2014="",0,IF(AE2014="직접",IF(AF2014="신계약비",$P2014,0),$P2014*(1-AG2014)*IFERROR(INDEX(계정대체기준!$C$20:$C$49,MATCH($N2014,계정대체기준!$A$20:$A$49,0)),0)))</f>
        <v/>
      </c>
      <c r="AA2014" s="94">
        <f>IF($A2014="",0,IF(AE2014="직접",IF(OR(AF2014="유지비",AF2014="손해조사비"),$P2014,0),$P2014*(1-AG2014)*IFERROR(INDEX(계정대체기준!$D$20:$D$49,MATCH($N2014,계정대체기준!$A$20:$A$49,0)),0)))</f>
        <v/>
      </c>
      <c r="AB2014" s="94">
        <f>IF($A2014="",0,IF(AE2014="직접",IF(AF2014="수금비",$P2014,0),$P2014*(1-AG2014)*IFERROR(INDEX(계정대체기준!$E$20:$E$49,MATCH($N2014,계정대체기준!$A$20:$A$49,0)),0)))</f>
        <v/>
      </c>
      <c r="AC2014" s="9">
        <f>IF(AND($A2014&lt;&gt;"",M2014=설정!$C$20,Z2014&gt;0),Z2014+ROW()/1000000000,"")</f>
        <v/>
      </c>
      <c r="AD2014" s="94">
        <f>IF($A2014="",0,$P2014*AG2014)</f>
        <v/>
      </c>
      <c r="AE2014" s="64">
        <f>IF($A2014="","",IFERROR(INDEX(계정매핑!$E$5:$E$504,MATCH($F2014&amp;"",계정매핑!$A$5:$A$504,0))&amp;"","공통비"))</f>
        <v/>
      </c>
      <c r="AF2014" s="64">
        <f>IF($A2014="","",IF(AE2014="직접",IFERROR(INDEX(계정매핑!$F$5:$F$504,MATCH($F2014&amp;"",계정매핑!$A$5:$A$504,0))&amp;"","비귀속"),""))</f>
        <v/>
      </c>
      <c r="AG2014" s="96">
        <f>IF($A2014="",0,IF(AND(AE2014&lt;&gt;"직접",IFERROR(INDEX(계정매핑!$G$5:$G$504,MATCH($F2014&amp;"",계정매핑!$A$5:$A$504,0))&amp;"","")="유지비",COUNTIF(계정대체기준!$A$6:$A$15,$N2014)&gt;0),IFERROR(INDEX(계정대체기준!$E$6:$E$15,MATCH(VALUE($A2014&amp;""),계정대체기준!$D$6:$D$15,0)),0),0))</f>
        <v/>
      </c>
      <c r="AH2014" s="64">
        <f>IF($A2014="","",IF(AD2014=0,"",IF(OR(COUNTIF(계정대체기준!$A$77:$A$86,$N2014)&gt;0,ISNUMBER(MATCH($X2014,계정대체기준!$D$77:$D$86,0)),ISNUMBER(MATCH($F2014,계정대체기준!$D$77:$D$86,0))),"Y","N")))</f>
        <v/>
      </c>
    </row>
    <row r="2015">
      <c r="A2015" s="92" t="n">
        <v>2025</v>
      </c>
      <c r="B2015" s="92" t="n">
        <v>9</v>
      </c>
      <c r="C2015" s="92" t="inlineStr">
        <is>
          <t>5100002011</t>
        </is>
      </c>
      <c r="D2015" s="95" t="n">
        <v>45925</v>
      </c>
      <c r="E2015" s="92" t="inlineStr">
        <is>
          <t>KR</t>
        </is>
      </c>
      <c r="F2015" s="92" t="n">
        <v>62301000</v>
      </c>
      <c r="G2015" s="92" t="n">
        <v>1401</v>
      </c>
      <c r="H2015" s="93" t="n">
        <v>119000</v>
      </c>
      <c r="I2015" s="92" t="inlineStr">
        <is>
          <t>9월 소모품 구입 - Q오피스</t>
        </is>
      </c>
      <c r="J2015" s="92" t="inlineStr">
        <is>
          <t>V10003</t>
        </is>
      </c>
      <c r="K2015" s="92" t="inlineStr">
        <is>
          <t>Q오피스</t>
        </is>
      </c>
      <c r="M2015" s="9">
        <f>IF($A2015="","",VALUE($A2015&amp;"")*12+VALUE($B2015&amp;""))</f>
        <v/>
      </c>
      <c r="N2015" s="64">
        <f>IF($A2015="","",IFERROR(INDEX(부서매핑!$C$5:$C$504,MATCH($G2015&amp;"",부서매핑!$A$5:$A$504,0)),"미매핑"))</f>
        <v/>
      </c>
      <c r="O2015" s="9">
        <f>IF($A2015="","",N2015&amp;"|"&amp;$F2015)</f>
        <v/>
      </c>
      <c r="P2015" s="94">
        <f>IF($A2015="",0,$H2015*설정!$C$23)</f>
        <v/>
      </c>
      <c r="Q2015" s="64">
        <f>IF($A2015="","",IF(O2015&lt;&gt;원인분석!$C$9,"",IF(AND(M2015&gt;=원인분석!$C$10,M2015&lt;=원인분석!$C$11),"당기",IF(AND(M2015&gt;=원인분석!$C$12,M2015&lt;=원인분석!$C$13),"비교",""))))</f>
        <v/>
      </c>
      <c r="R2015" s="9">
        <f>IF(Q2015="","",$K2015&amp;"")</f>
        <v/>
      </c>
      <c r="S2015" s="9">
        <f>IF(Q2015="","",IF(MATCH(R2015,$R$5:$R$100000,0)=ROW()-4,ROW(),""))</f>
        <v/>
      </c>
      <c r="T2015" s="9">
        <f>IF(Q2015="당기",ABS(P2015)+ROW()/1000000000,"")</f>
        <v/>
      </c>
      <c r="U2015" s="9">
        <f>IF(Q2015="비교",ABS(P2015)+ROW()/1000000000,"")</f>
        <v/>
      </c>
      <c r="V2015" s="64">
        <f>IF($A2015="","",IF(COUNTIF(변동분석!$E$7:$E$506,O2015)&gt;0,"Y","N"))</f>
        <v/>
      </c>
      <c r="W2015" s="64">
        <f>IF($A2015="","",IFERROR(INDEX(계정매핑!$D$5:$D$504,MATCH($F2015&amp;"",계정매핑!$A$5:$A$504,0)),"미매핑"))</f>
        <v/>
      </c>
      <c r="X2015" s="9">
        <f>IF($A2015="","",$F2015&amp;"")</f>
        <v/>
      </c>
      <c r="Y2015" s="94">
        <f>IF($A2015="",0,IF(AE2015="직접",IF(AF2015="비귀속",$P2015,0),$P2015*(1-AG2015)*IFERROR(INDEX(계정대체기준!$F$20:$F$49,MATCH($N2015,계정대체기준!$A$20:$A$49,0)),1)))</f>
        <v/>
      </c>
      <c r="Z2015" s="94">
        <f>IF($A2015="",0,IF(AE2015="직접",IF(AF2015="신계약비",$P2015,0),$P2015*(1-AG2015)*IFERROR(INDEX(계정대체기준!$C$20:$C$49,MATCH($N2015,계정대체기준!$A$20:$A$49,0)),0)))</f>
        <v/>
      </c>
      <c r="AA2015" s="94">
        <f>IF($A2015="",0,IF(AE2015="직접",IF(OR(AF2015="유지비",AF2015="손해조사비"),$P2015,0),$P2015*(1-AG2015)*IFERROR(INDEX(계정대체기준!$D$20:$D$49,MATCH($N2015,계정대체기준!$A$20:$A$49,0)),0)))</f>
        <v/>
      </c>
      <c r="AB2015" s="94">
        <f>IF($A2015="",0,IF(AE2015="직접",IF(AF2015="수금비",$P2015,0),$P2015*(1-AG2015)*IFERROR(INDEX(계정대체기준!$E$20:$E$49,MATCH($N2015,계정대체기준!$A$20:$A$49,0)),0)))</f>
        <v/>
      </c>
      <c r="AC2015" s="9">
        <f>IF(AND($A2015&lt;&gt;"",M2015=설정!$C$20,Z2015&gt;0),Z2015+ROW()/1000000000,"")</f>
        <v/>
      </c>
      <c r="AD2015" s="94">
        <f>IF($A2015="",0,$P2015*AG2015)</f>
        <v/>
      </c>
      <c r="AE2015" s="64">
        <f>IF($A2015="","",IFERROR(INDEX(계정매핑!$E$5:$E$504,MATCH($F2015&amp;"",계정매핑!$A$5:$A$504,0))&amp;"","공통비"))</f>
        <v/>
      </c>
      <c r="AF2015" s="64">
        <f>IF($A2015="","",IF(AE2015="직접",IFERROR(INDEX(계정매핑!$F$5:$F$504,MATCH($F2015&amp;"",계정매핑!$A$5:$A$504,0))&amp;"","비귀속"),""))</f>
        <v/>
      </c>
      <c r="AG2015" s="96">
        <f>IF($A2015="",0,IF(AND(AE2015&lt;&gt;"직접",IFERROR(INDEX(계정매핑!$G$5:$G$504,MATCH($F2015&amp;"",계정매핑!$A$5:$A$504,0))&amp;"","")="유지비",COUNTIF(계정대체기준!$A$6:$A$15,$N2015)&gt;0),IFERROR(INDEX(계정대체기준!$E$6:$E$15,MATCH(VALUE($A2015&amp;""),계정대체기준!$D$6:$D$15,0)),0),0))</f>
        <v/>
      </c>
      <c r="AH2015" s="64">
        <f>IF($A2015="","",IF(AD2015=0,"",IF(OR(COUNTIF(계정대체기준!$A$77:$A$86,$N2015)&gt;0,ISNUMBER(MATCH($X2015,계정대체기준!$D$77:$D$86,0)),ISNUMBER(MATCH($F2015,계정대체기준!$D$77:$D$86,0))),"Y","N")))</f>
        <v/>
      </c>
    </row>
    <row r="2016">
      <c r="A2016" s="92" t="n">
        <v>2025</v>
      </c>
      <c r="B2016" s="92" t="n">
        <v>9</v>
      </c>
      <c r="C2016" s="92" t="inlineStr">
        <is>
          <t>5100002012</t>
        </is>
      </c>
      <c r="D2016" s="95" t="n">
        <v>45925</v>
      </c>
      <c r="E2016" s="92" t="inlineStr">
        <is>
          <t>KR</t>
        </is>
      </c>
      <c r="F2016" s="92" t="n">
        <v>62301000</v>
      </c>
      <c r="G2016" s="92" t="n">
        <v>1401</v>
      </c>
      <c r="H2016" s="93" t="n">
        <v>144000</v>
      </c>
      <c r="I2016" s="92" t="inlineStr">
        <is>
          <t>9월 소모품 구입 - R문구</t>
        </is>
      </c>
      <c r="J2016" s="92" t="inlineStr">
        <is>
          <t>V10022</t>
        </is>
      </c>
      <c r="K2016" s="92" t="inlineStr">
        <is>
          <t>R문구</t>
        </is>
      </c>
      <c r="M2016" s="9">
        <f>IF($A2016="","",VALUE($A2016&amp;"")*12+VALUE($B2016&amp;""))</f>
        <v/>
      </c>
      <c r="N2016" s="64">
        <f>IF($A2016="","",IFERROR(INDEX(부서매핑!$C$5:$C$504,MATCH($G2016&amp;"",부서매핑!$A$5:$A$504,0)),"미매핑"))</f>
        <v/>
      </c>
      <c r="O2016" s="9">
        <f>IF($A2016="","",N2016&amp;"|"&amp;$F2016)</f>
        <v/>
      </c>
      <c r="P2016" s="94">
        <f>IF($A2016="",0,$H2016*설정!$C$23)</f>
        <v/>
      </c>
      <c r="Q2016" s="64">
        <f>IF($A2016="","",IF(O2016&lt;&gt;원인분석!$C$9,"",IF(AND(M2016&gt;=원인분석!$C$10,M2016&lt;=원인분석!$C$11),"당기",IF(AND(M2016&gt;=원인분석!$C$12,M2016&lt;=원인분석!$C$13),"비교",""))))</f>
        <v/>
      </c>
      <c r="R2016" s="9">
        <f>IF(Q2016="","",$K2016&amp;"")</f>
        <v/>
      </c>
      <c r="S2016" s="9">
        <f>IF(Q2016="","",IF(MATCH(R2016,$R$5:$R$100000,0)=ROW()-4,ROW(),""))</f>
        <v/>
      </c>
      <c r="T2016" s="9">
        <f>IF(Q2016="당기",ABS(P2016)+ROW()/1000000000,"")</f>
        <v/>
      </c>
      <c r="U2016" s="9">
        <f>IF(Q2016="비교",ABS(P2016)+ROW()/1000000000,"")</f>
        <v/>
      </c>
      <c r="V2016" s="64">
        <f>IF($A2016="","",IF(COUNTIF(변동분석!$E$7:$E$506,O2016)&gt;0,"Y","N"))</f>
        <v/>
      </c>
      <c r="W2016" s="64">
        <f>IF($A2016="","",IFERROR(INDEX(계정매핑!$D$5:$D$504,MATCH($F2016&amp;"",계정매핑!$A$5:$A$504,0)),"미매핑"))</f>
        <v/>
      </c>
      <c r="X2016" s="9">
        <f>IF($A2016="","",$F2016&amp;"")</f>
        <v/>
      </c>
      <c r="Y2016" s="94">
        <f>IF($A2016="",0,IF(AE2016="직접",IF(AF2016="비귀속",$P2016,0),$P2016*(1-AG2016)*IFERROR(INDEX(계정대체기준!$F$20:$F$49,MATCH($N2016,계정대체기준!$A$20:$A$49,0)),1)))</f>
        <v/>
      </c>
      <c r="Z2016" s="94">
        <f>IF($A2016="",0,IF(AE2016="직접",IF(AF2016="신계약비",$P2016,0),$P2016*(1-AG2016)*IFERROR(INDEX(계정대체기준!$C$20:$C$49,MATCH($N2016,계정대체기준!$A$20:$A$49,0)),0)))</f>
        <v/>
      </c>
      <c r="AA2016" s="94">
        <f>IF($A2016="",0,IF(AE2016="직접",IF(OR(AF2016="유지비",AF2016="손해조사비"),$P2016,0),$P2016*(1-AG2016)*IFERROR(INDEX(계정대체기준!$D$20:$D$49,MATCH($N2016,계정대체기준!$A$20:$A$49,0)),0)))</f>
        <v/>
      </c>
      <c r="AB2016" s="94">
        <f>IF($A2016="",0,IF(AE2016="직접",IF(AF2016="수금비",$P2016,0),$P2016*(1-AG2016)*IFERROR(INDEX(계정대체기준!$E$20:$E$49,MATCH($N2016,계정대체기준!$A$20:$A$49,0)),0)))</f>
        <v/>
      </c>
      <c r="AC2016" s="9">
        <f>IF(AND($A2016&lt;&gt;"",M2016=설정!$C$20,Z2016&gt;0),Z2016+ROW()/1000000000,"")</f>
        <v/>
      </c>
      <c r="AD2016" s="94">
        <f>IF($A2016="",0,$P2016*AG2016)</f>
        <v/>
      </c>
      <c r="AE2016" s="64">
        <f>IF($A2016="","",IFERROR(INDEX(계정매핑!$E$5:$E$504,MATCH($F2016&amp;"",계정매핑!$A$5:$A$504,0))&amp;"","공통비"))</f>
        <v/>
      </c>
      <c r="AF2016" s="64">
        <f>IF($A2016="","",IF(AE2016="직접",IFERROR(INDEX(계정매핑!$F$5:$F$504,MATCH($F2016&amp;"",계정매핑!$A$5:$A$504,0))&amp;"","비귀속"),""))</f>
        <v/>
      </c>
      <c r="AG2016" s="96">
        <f>IF($A2016="",0,IF(AND(AE2016&lt;&gt;"직접",IFERROR(INDEX(계정매핑!$G$5:$G$504,MATCH($F2016&amp;"",계정매핑!$A$5:$A$504,0))&amp;"","")="유지비",COUNTIF(계정대체기준!$A$6:$A$15,$N2016)&gt;0),IFERROR(INDEX(계정대체기준!$E$6:$E$15,MATCH(VALUE($A2016&amp;""),계정대체기준!$D$6:$D$15,0)),0),0))</f>
        <v/>
      </c>
      <c r="AH2016" s="64">
        <f>IF($A2016="","",IF(AD2016=0,"",IF(OR(COUNTIF(계정대체기준!$A$77:$A$86,$N2016)&gt;0,ISNUMBER(MATCH($X2016,계정대체기준!$D$77:$D$86,0)),ISNUMBER(MATCH($F2016,계정대체기준!$D$77:$D$86,0))),"Y","N")))</f>
        <v/>
      </c>
    </row>
    <row r="2017">
      <c r="A2017" s="92" t="n">
        <v>2025</v>
      </c>
      <c r="B2017" s="92" t="n">
        <v>9</v>
      </c>
      <c r="C2017" s="92" t="inlineStr">
        <is>
          <t>5100002013</t>
        </is>
      </c>
      <c r="D2017" s="95" t="n">
        <v>45925</v>
      </c>
      <c r="E2017" s="92" t="inlineStr">
        <is>
          <t>KR</t>
        </is>
      </c>
      <c r="F2017" s="92" t="n">
        <v>62401000</v>
      </c>
      <c r="G2017" s="92" t="n">
        <v>1801</v>
      </c>
      <c r="H2017" s="93" t="n">
        <v>2567000</v>
      </c>
      <c r="I2017" s="92" t="inlineStr">
        <is>
          <t>9월 인쇄물 제작 - S출판</t>
        </is>
      </c>
      <c r="J2017" s="92" t="inlineStr">
        <is>
          <t>V10015</t>
        </is>
      </c>
      <c r="K2017" s="92" t="inlineStr">
        <is>
          <t>S출판</t>
        </is>
      </c>
      <c r="M2017" s="9">
        <f>IF($A2017="","",VALUE($A2017&amp;"")*12+VALUE($B2017&amp;""))</f>
        <v/>
      </c>
      <c r="N2017" s="64">
        <f>IF($A2017="","",IFERROR(INDEX(부서매핑!$C$5:$C$504,MATCH($G2017&amp;"",부서매핑!$A$5:$A$504,0)),"미매핑"))</f>
        <v/>
      </c>
      <c r="O2017" s="9">
        <f>IF($A2017="","",N2017&amp;"|"&amp;$F2017)</f>
        <v/>
      </c>
      <c r="P2017" s="94">
        <f>IF($A2017="",0,$H2017*설정!$C$23)</f>
        <v/>
      </c>
      <c r="Q2017" s="64">
        <f>IF($A2017="","",IF(O2017&lt;&gt;원인분석!$C$9,"",IF(AND(M2017&gt;=원인분석!$C$10,M2017&lt;=원인분석!$C$11),"당기",IF(AND(M2017&gt;=원인분석!$C$12,M2017&lt;=원인분석!$C$13),"비교",""))))</f>
        <v/>
      </c>
      <c r="R2017" s="9">
        <f>IF(Q2017="","",$K2017&amp;"")</f>
        <v/>
      </c>
      <c r="S2017" s="9">
        <f>IF(Q2017="","",IF(MATCH(R2017,$R$5:$R$100000,0)=ROW()-4,ROW(),""))</f>
        <v/>
      </c>
      <c r="T2017" s="9">
        <f>IF(Q2017="당기",ABS(P2017)+ROW()/1000000000,"")</f>
        <v/>
      </c>
      <c r="U2017" s="9">
        <f>IF(Q2017="비교",ABS(P2017)+ROW()/1000000000,"")</f>
        <v/>
      </c>
      <c r="V2017" s="64">
        <f>IF($A2017="","",IF(COUNTIF(변동분석!$E$7:$E$506,O2017)&gt;0,"Y","N"))</f>
        <v/>
      </c>
      <c r="W2017" s="64">
        <f>IF($A2017="","",IFERROR(INDEX(계정매핑!$D$5:$D$504,MATCH($F2017&amp;"",계정매핑!$A$5:$A$504,0)),"미매핑"))</f>
        <v/>
      </c>
      <c r="X2017" s="9">
        <f>IF($A2017="","",$F2017&amp;"")</f>
        <v/>
      </c>
      <c r="Y2017" s="94">
        <f>IF($A2017="",0,IF(AE2017="직접",IF(AF2017="비귀속",$P2017,0),$P2017*(1-AG2017)*IFERROR(INDEX(계정대체기준!$F$20:$F$49,MATCH($N2017,계정대체기준!$A$20:$A$49,0)),1)))</f>
        <v/>
      </c>
      <c r="Z2017" s="94">
        <f>IF($A2017="",0,IF(AE2017="직접",IF(AF2017="신계약비",$P2017,0),$P2017*(1-AG2017)*IFERROR(INDEX(계정대체기준!$C$20:$C$49,MATCH($N2017,계정대체기준!$A$20:$A$49,0)),0)))</f>
        <v/>
      </c>
      <c r="AA2017" s="94">
        <f>IF($A2017="",0,IF(AE2017="직접",IF(OR(AF2017="유지비",AF2017="손해조사비"),$P2017,0),$P2017*(1-AG2017)*IFERROR(INDEX(계정대체기준!$D$20:$D$49,MATCH($N2017,계정대체기준!$A$20:$A$49,0)),0)))</f>
        <v/>
      </c>
      <c r="AB2017" s="94">
        <f>IF($A2017="",0,IF(AE2017="직접",IF(AF2017="수금비",$P2017,0),$P2017*(1-AG2017)*IFERROR(INDEX(계정대체기준!$E$20:$E$49,MATCH($N2017,계정대체기준!$A$20:$A$49,0)),0)))</f>
        <v/>
      </c>
      <c r="AC2017" s="9">
        <f>IF(AND($A2017&lt;&gt;"",M2017=설정!$C$20,Z2017&gt;0),Z2017+ROW()/1000000000,"")</f>
        <v/>
      </c>
      <c r="AD2017" s="94">
        <f>IF($A2017="",0,$P2017*AG2017)</f>
        <v/>
      </c>
      <c r="AE2017" s="64">
        <f>IF($A2017="","",IFERROR(INDEX(계정매핑!$E$5:$E$504,MATCH($F2017&amp;"",계정매핑!$A$5:$A$504,0))&amp;"","공통비"))</f>
        <v/>
      </c>
      <c r="AF2017" s="64">
        <f>IF($A2017="","",IF(AE2017="직접",IFERROR(INDEX(계정매핑!$F$5:$F$504,MATCH($F2017&amp;"",계정매핑!$A$5:$A$504,0))&amp;"","비귀속"),""))</f>
        <v/>
      </c>
      <c r="AG2017" s="96">
        <f>IF($A2017="",0,IF(AND(AE2017&lt;&gt;"직접",IFERROR(INDEX(계정매핑!$G$5:$G$504,MATCH($F2017&amp;"",계정매핑!$A$5:$A$504,0))&amp;"","")="유지비",COUNTIF(계정대체기준!$A$6:$A$15,$N2017)&gt;0),IFERROR(INDEX(계정대체기준!$E$6:$E$15,MATCH(VALUE($A2017&amp;""),계정대체기준!$D$6:$D$15,0)),0),0))</f>
        <v/>
      </c>
      <c r="AH2017" s="64">
        <f>IF($A2017="","",IF(AD2017=0,"",IF(OR(COUNTIF(계정대체기준!$A$77:$A$86,$N2017)&gt;0,ISNUMBER(MATCH($X2017,계정대체기준!$D$77:$D$86,0)),ISNUMBER(MATCH($F2017,계정대체기준!$D$77:$D$86,0))),"Y","N")))</f>
        <v/>
      </c>
    </row>
    <row r="2018">
      <c r="A2018" s="92" t="n">
        <v>2025</v>
      </c>
      <c r="B2018" s="92" t="n">
        <v>9</v>
      </c>
      <c r="C2018" s="92" t="inlineStr">
        <is>
          <t>5100002014</t>
        </is>
      </c>
      <c r="D2018" s="95" t="n">
        <v>45925</v>
      </c>
      <c r="E2018" s="92" t="inlineStr">
        <is>
          <t>KR</t>
        </is>
      </c>
      <c r="F2018" s="92" t="n">
        <v>62501000</v>
      </c>
      <c r="G2018" s="92" t="n">
        <v>1401</v>
      </c>
      <c r="H2018" s="93" t="n">
        <v>253000</v>
      </c>
      <c r="I2018" s="92" t="inlineStr">
        <is>
          <t>9월 회의 다과 - T케이터링</t>
        </is>
      </c>
      <c r="J2018" s="92" t="inlineStr">
        <is>
          <t>V10005</t>
        </is>
      </c>
      <c r="K2018" s="92" t="inlineStr">
        <is>
          <t>T케이터링</t>
        </is>
      </c>
      <c r="M2018" s="9">
        <f>IF($A2018="","",VALUE($A2018&amp;"")*12+VALUE($B2018&amp;""))</f>
        <v/>
      </c>
      <c r="N2018" s="64">
        <f>IF($A2018="","",IFERROR(INDEX(부서매핑!$C$5:$C$504,MATCH($G2018&amp;"",부서매핑!$A$5:$A$504,0)),"미매핑"))</f>
        <v/>
      </c>
      <c r="O2018" s="9">
        <f>IF($A2018="","",N2018&amp;"|"&amp;$F2018)</f>
        <v/>
      </c>
      <c r="P2018" s="94">
        <f>IF($A2018="",0,$H2018*설정!$C$23)</f>
        <v/>
      </c>
      <c r="Q2018" s="64">
        <f>IF($A2018="","",IF(O2018&lt;&gt;원인분석!$C$9,"",IF(AND(M2018&gt;=원인분석!$C$10,M2018&lt;=원인분석!$C$11),"당기",IF(AND(M2018&gt;=원인분석!$C$12,M2018&lt;=원인분석!$C$13),"비교",""))))</f>
        <v/>
      </c>
      <c r="R2018" s="9">
        <f>IF(Q2018="","",$K2018&amp;"")</f>
        <v/>
      </c>
      <c r="S2018" s="9">
        <f>IF(Q2018="","",IF(MATCH(R2018,$R$5:$R$100000,0)=ROW()-4,ROW(),""))</f>
        <v/>
      </c>
      <c r="T2018" s="9">
        <f>IF(Q2018="당기",ABS(P2018)+ROW()/1000000000,"")</f>
        <v/>
      </c>
      <c r="U2018" s="9">
        <f>IF(Q2018="비교",ABS(P2018)+ROW()/1000000000,"")</f>
        <v/>
      </c>
      <c r="V2018" s="64">
        <f>IF($A2018="","",IF(COUNTIF(변동분석!$E$7:$E$506,O2018)&gt;0,"Y","N"))</f>
        <v/>
      </c>
      <c r="W2018" s="64">
        <f>IF($A2018="","",IFERROR(INDEX(계정매핑!$D$5:$D$504,MATCH($F2018&amp;"",계정매핑!$A$5:$A$504,0)),"미매핑"))</f>
        <v/>
      </c>
      <c r="X2018" s="9">
        <f>IF($A2018="","",$F2018&amp;"")</f>
        <v/>
      </c>
      <c r="Y2018" s="94">
        <f>IF($A2018="",0,IF(AE2018="직접",IF(AF2018="비귀속",$P2018,0),$P2018*(1-AG2018)*IFERROR(INDEX(계정대체기준!$F$20:$F$49,MATCH($N2018,계정대체기준!$A$20:$A$49,0)),1)))</f>
        <v/>
      </c>
      <c r="Z2018" s="94">
        <f>IF($A2018="",0,IF(AE2018="직접",IF(AF2018="신계약비",$P2018,0),$P2018*(1-AG2018)*IFERROR(INDEX(계정대체기준!$C$20:$C$49,MATCH($N2018,계정대체기준!$A$20:$A$49,0)),0)))</f>
        <v/>
      </c>
      <c r="AA2018" s="94">
        <f>IF($A2018="",0,IF(AE2018="직접",IF(OR(AF2018="유지비",AF2018="손해조사비"),$P2018,0),$P2018*(1-AG2018)*IFERROR(INDEX(계정대체기준!$D$20:$D$49,MATCH($N2018,계정대체기준!$A$20:$A$49,0)),0)))</f>
        <v/>
      </c>
      <c r="AB2018" s="94">
        <f>IF($A2018="",0,IF(AE2018="직접",IF(AF2018="수금비",$P2018,0),$P2018*(1-AG2018)*IFERROR(INDEX(계정대체기준!$E$20:$E$49,MATCH($N2018,계정대체기준!$A$20:$A$49,0)),0)))</f>
        <v/>
      </c>
      <c r="AC2018" s="9">
        <f>IF(AND($A2018&lt;&gt;"",M2018=설정!$C$20,Z2018&gt;0),Z2018+ROW()/1000000000,"")</f>
        <v/>
      </c>
      <c r="AD2018" s="94">
        <f>IF($A2018="",0,$P2018*AG2018)</f>
        <v/>
      </c>
      <c r="AE2018" s="64">
        <f>IF($A2018="","",IFERROR(INDEX(계정매핑!$E$5:$E$504,MATCH($F2018&amp;"",계정매핑!$A$5:$A$504,0))&amp;"","공통비"))</f>
        <v/>
      </c>
      <c r="AF2018" s="64">
        <f>IF($A2018="","",IF(AE2018="직접",IFERROR(INDEX(계정매핑!$F$5:$F$504,MATCH($F2018&amp;"",계정매핑!$A$5:$A$504,0))&amp;"","비귀속"),""))</f>
        <v/>
      </c>
      <c r="AG2018" s="96">
        <f>IF($A2018="",0,IF(AND(AE2018&lt;&gt;"직접",IFERROR(INDEX(계정매핑!$G$5:$G$504,MATCH($F2018&amp;"",계정매핑!$A$5:$A$504,0))&amp;"","")="유지비",COUNTIF(계정대체기준!$A$6:$A$15,$N2018)&gt;0),IFERROR(INDEX(계정대체기준!$E$6:$E$15,MATCH(VALUE($A2018&amp;""),계정대체기준!$D$6:$D$15,0)),0),0))</f>
        <v/>
      </c>
      <c r="AH2018" s="64">
        <f>IF($A2018="","",IF(AD2018=0,"",IF(OR(COUNTIF(계정대체기준!$A$77:$A$86,$N2018)&gt;0,ISNUMBER(MATCH($X2018,계정대체기준!$D$77:$D$86,0)),ISNUMBER(MATCH($F2018,계정대체기준!$D$77:$D$86,0))),"Y","N")))</f>
        <v/>
      </c>
    </row>
    <row r="2019">
      <c r="A2019" s="92" t="n">
        <v>2025</v>
      </c>
      <c r="B2019" s="92" t="n">
        <v>9</v>
      </c>
      <c r="C2019" s="92" t="inlineStr">
        <is>
          <t>5100002015</t>
        </is>
      </c>
      <c r="D2019" s="95" t="n">
        <v>45925</v>
      </c>
      <c r="E2019" s="92" t="inlineStr">
        <is>
          <t>KR</t>
        </is>
      </c>
      <c r="F2019" s="92" t="n">
        <v>62901000</v>
      </c>
      <c r="G2019" s="92" t="n">
        <v>1201</v>
      </c>
      <c r="H2019" s="93" t="n">
        <v>5651000</v>
      </c>
      <c r="I2019" s="92" t="inlineStr">
        <is>
          <t>9월 자문 수수료 - W컨설팅</t>
        </is>
      </c>
      <c r="J2019" s="92" t="inlineStr">
        <is>
          <t>V10006</t>
        </is>
      </c>
      <c r="K2019" s="92" t="inlineStr">
        <is>
          <t>W컨설팅</t>
        </is>
      </c>
      <c r="M2019" s="9">
        <f>IF($A2019="","",VALUE($A2019&amp;"")*12+VALUE($B2019&amp;""))</f>
        <v/>
      </c>
      <c r="N2019" s="64">
        <f>IF($A2019="","",IFERROR(INDEX(부서매핑!$C$5:$C$504,MATCH($G2019&amp;"",부서매핑!$A$5:$A$504,0)),"미매핑"))</f>
        <v/>
      </c>
      <c r="O2019" s="9">
        <f>IF($A2019="","",N2019&amp;"|"&amp;$F2019)</f>
        <v/>
      </c>
      <c r="P2019" s="94">
        <f>IF($A2019="",0,$H2019*설정!$C$23)</f>
        <v/>
      </c>
      <c r="Q2019" s="64">
        <f>IF($A2019="","",IF(O2019&lt;&gt;원인분석!$C$9,"",IF(AND(M2019&gt;=원인분석!$C$10,M2019&lt;=원인분석!$C$11),"당기",IF(AND(M2019&gt;=원인분석!$C$12,M2019&lt;=원인분석!$C$13),"비교",""))))</f>
        <v/>
      </c>
      <c r="R2019" s="9">
        <f>IF(Q2019="","",$K2019&amp;"")</f>
        <v/>
      </c>
      <c r="S2019" s="9">
        <f>IF(Q2019="","",IF(MATCH(R2019,$R$5:$R$100000,0)=ROW()-4,ROW(),""))</f>
        <v/>
      </c>
      <c r="T2019" s="9">
        <f>IF(Q2019="당기",ABS(P2019)+ROW()/1000000000,"")</f>
        <v/>
      </c>
      <c r="U2019" s="9">
        <f>IF(Q2019="비교",ABS(P2019)+ROW()/1000000000,"")</f>
        <v/>
      </c>
      <c r="V2019" s="64">
        <f>IF($A2019="","",IF(COUNTIF(변동분석!$E$7:$E$506,O2019)&gt;0,"Y","N"))</f>
        <v/>
      </c>
      <c r="W2019" s="64">
        <f>IF($A2019="","",IFERROR(INDEX(계정매핑!$D$5:$D$504,MATCH($F2019&amp;"",계정매핑!$A$5:$A$504,0)),"미매핑"))</f>
        <v/>
      </c>
      <c r="X2019" s="9">
        <f>IF($A2019="","",$F2019&amp;"")</f>
        <v/>
      </c>
      <c r="Y2019" s="94">
        <f>IF($A2019="",0,IF(AE2019="직접",IF(AF2019="비귀속",$P2019,0),$P2019*(1-AG2019)*IFERROR(INDEX(계정대체기준!$F$20:$F$49,MATCH($N2019,계정대체기준!$A$20:$A$49,0)),1)))</f>
        <v/>
      </c>
      <c r="Z2019" s="94">
        <f>IF($A2019="",0,IF(AE2019="직접",IF(AF2019="신계약비",$P2019,0),$P2019*(1-AG2019)*IFERROR(INDEX(계정대체기준!$C$20:$C$49,MATCH($N2019,계정대체기준!$A$20:$A$49,0)),0)))</f>
        <v/>
      </c>
      <c r="AA2019" s="94">
        <f>IF($A2019="",0,IF(AE2019="직접",IF(OR(AF2019="유지비",AF2019="손해조사비"),$P2019,0),$P2019*(1-AG2019)*IFERROR(INDEX(계정대체기준!$D$20:$D$49,MATCH($N2019,계정대체기준!$A$20:$A$49,0)),0)))</f>
        <v/>
      </c>
      <c r="AB2019" s="94">
        <f>IF($A2019="",0,IF(AE2019="직접",IF(AF2019="수금비",$P2019,0),$P2019*(1-AG2019)*IFERROR(INDEX(계정대체기준!$E$20:$E$49,MATCH($N2019,계정대체기준!$A$20:$A$49,0)),0)))</f>
        <v/>
      </c>
      <c r="AC2019" s="9">
        <f>IF(AND($A2019&lt;&gt;"",M2019=설정!$C$20,Z2019&gt;0),Z2019+ROW()/1000000000,"")</f>
        <v/>
      </c>
      <c r="AD2019" s="94">
        <f>IF($A2019="",0,$P2019*AG2019)</f>
        <v/>
      </c>
      <c r="AE2019" s="64">
        <f>IF($A2019="","",IFERROR(INDEX(계정매핑!$E$5:$E$504,MATCH($F2019&amp;"",계정매핑!$A$5:$A$504,0))&amp;"","공통비"))</f>
        <v/>
      </c>
      <c r="AF2019" s="64">
        <f>IF($A2019="","",IF(AE2019="직접",IFERROR(INDEX(계정매핑!$F$5:$F$504,MATCH($F2019&amp;"",계정매핑!$A$5:$A$504,0))&amp;"","비귀속"),""))</f>
        <v/>
      </c>
      <c r="AG2019" s="96">
        <f>IF($A2019="",0,IF(AND(AE2019&lt;&gt;"직접",IFERROR(INDEX(계정매핑!$G$5:$G$504,MATCH($F2019&amp;"",계정매핑!$A$5:$A$504,0))&amp;"","")="유지비",COUNTIF(계정대체기준!$A$6:$A$15,$N2019)&gt;0),IFERROR(INDEX(계정대체기준!$E$6:$E$15,MATCH(VALUE($A2019&amp;""),계정대체기준!$D$6:$D$15,0)),0),0))</f>
        <v/>
      </c>
      <c r="AH2019" s="64">
        <f>IF($A2019="","",IF(AD2019=0,"",IF(OR(COUNTIF(계정대체기준!$A$77:$A$86,$N2019)&gt;0,ISNUMBER(MATCH($X2019,계정대체기준!$D$77:$D$86,0)),ISNUMBER(MATCH($F2019,계정대체기준!$D$77:$D$86,0))),"Y","N")))</f>
        <v/>
      </c>
    </row>
    <row r="2020">
      <c r="A2020" s="92" t="n">
        <v>2025</v>
      </c>
      <c r="B2020" s="92" t="n">
        <v>9</v>
      </c>
      <c r="C2020" s="92" t="inlineStr">
        <is>
          <t>5100002016</t>
        </is>
      </c>
      <c r="D2020" s="95" t="n">
        <v>45925</v>
      </c>
      <c r="E2020" s="92" t="inlineStr">
        <is>
          <t>KR</t>
        </is>
      </c>
      <c r="F2020" s="92" t="n">
        <v>63002000</v>
      </c>
      <c r="G2020" s="92" t="n">
        <v>1701</v>
      </c>
      <c r="H2020" s="93" t="n">
        <v>70000000</v>
      </c>
      <c r="I2020" s="92" t="inlineStr">
        <is>
          <t>9월 클라우드 사용료 - C클라우드</t>
        </is>
      </c>
      <c r="J2020" s="92" t="inlineStr">
        <is>
          <t>V10026</t>
        </is>
      </c>
      <c r="K2020" s="92" t="inlineStr">
        <is>
          <t>C클라우드</t>
        </is>
      </c>
      <c r="M2020" s="9">
        <f>IF($A2020="","",VALUE($A2020&amp;"")*12+VALUE($B2020&amp;""))</f>
        <v/>
      </c>
      <c r="N2020" s="64">
        <f>IF($A2020="","",IFERROR(INDEX(부서매핑!$C$5:$C$504,MATCH($G2020&amp;"",부서매핑!$A$5:$A$504,0)),"미매핑"))</f>
        <v/>
      </c>
      <c r="O2020" s="9">
        <f>IF($A2020="","",N2020&amp;"|"&amp;$F2020)</f>
        <v/>
      </c>
      <c r="P2020" s="94">
        <f>IF($A2020="",0,$H2020*설정!$C$23)</f>
        <v/>
      </c>
      <c r="Q2020" s="64">
        <f>IF($A2020="","",IF(O2020&lt;&gt;원인분석!$C$9,"",IF(AND(M2020&gt;=원인분석!$C$10,M2020&lt;=원인분석!$C$11),"당기",IF(AND(M2020&gt;=원인분석!$C$12,M2020&lt;=원인분석!$C$13),"비교",""))))</f>
        <v/>
      </c>
      <c r="R2020" s="9">
        <f>IF(Q2020="","",$K2020&amp;"")</f>
        <v/>
      </c>
      <c r="S2020" s="9">
        <f>IF(Q2020="","",IF(MATCH(R2020,$R$5:$R$100000,0)=ROW()-4,ROW(),""))</f>
        <v/>
      </c>
      <c r="T2020" s="9">
        <f>IF(Q2020="당기",ABS(P2020)+ROW()/1000000000,"")</f>
        <v/>
      </c>
      <c r="U2020" s="9">
        <f>IF(Q2020="비교",ABS(P2020)+ROW()/1000000000,"")</f>
        <v/>
      </c>
      <c r="V2020" s="64">
        <f>IF($A2020="","",IF(COUNTIF(변동분석!$E$7:$E$506,O2020)&gt;0,"Y","N"))</f>
        <v/>
      </c>
      <c r="W2020" s="64">
        <f>IF($A2020="","",IFERROR(INDEX(계정매핑!$D$5:$D$504,MATCH($F2020&amp;"",계정매핑!$A$5:$A$504,0)),"미매핑"))</f>
        <v/>
      </c>
      <c r="X2020" s="9">
        <f>IF($A2020="","",$F2020&amp;"")</f>
        <v/>
      </c>
      <c r="Y2020" s="94">
        <f>IF($A2020="",0,IF(AE2020="직접",IF(AF2020="비귀속",$P2020,0),$P2020*(1-AG2020)*IFERROR(INDEX(계정대체기준!$F$20:$F$49,MATCH($N2020,계정대체기준!$A$20:$A$49,0)),1)))</f>
        <v/>
      </c>
      <c r="Z2020" s="94">
        <f>IF($A2020="",0,IF(AE2020="직접",IF(AF2020="신계약비",$P2020,0),$P2020*(1-AG2020)*IFERROR(INDEX(계정대체기준!$C$20:$C$49,MATCH($N2020,계정대체기준!$A$20:$A$49,0)),0)))</f>
        <v/>
      </c>
      <c r="AA2020" s="94">
        <f>IF($A2020="",0,IF(AE2020="직접",IF(OR(AF2020="유지비",AF2020="손해조사비"),$P2020,0),$P2020*(1-AG2020)*IFERROR(INDEX(계정대체기준!$D$20:$D$49,MATCH($N2020,계정대체기준!$A$20:$A$49,0)),0)))</f>
        <v/>
      </c>
      <c r="AB2020" s="94">
        <f>IF($A2020="",0,IF(AE2020="직접",IF(AF2020="수금비",$P2020,0),$P2020*(1-AG2020)*IFERROR(INDEX(계정대체기준!$E$20:$E$49,MATCH($N2020,계정대체기준!$A$20:$A$49,0)),0)))</f>
        <v/>
      </c>
      <c r="AC2020" s="9">
        <f>IF(AND($A2020&lt;&gt;"",M2020=설정!$C$20,Z2020&gt;0),Z2020+ROW()/1000000000,"")</f>
        <v/>
      </c>
      <c r="AD2020" s="94">
        <f>IF($A2020="",0,$P2020*AG2020)</f>
        <v/>
      </c>
      <c r="AE2020" s="64">
        <f>IF($A2020="","",IFERROR(INDEX(계정매핑!$E$5:$E$504,MATCH($F2020&amp;"",계정매핑!$A$5:$A$504,0))&amp;"","공통비"))</f>
        <v/>
      </c>
      <c r="AF2020" s="64">
        <f>IF($A2020="","",IF(AE2020="직접",IFERROR(INDEX(계정매핑!$F$5:$F$504,MATCH($F2020&amp;"",계정매핑!$A$5:$A$504,0))&amp;"","비귀속"),""))</f>
        <v/>
      </c>
      <c r="AG2020" s="96">
        <f>IF($A2020="",0,IF(AND(AE2020&lt;&gt;"직접",IFERROR(INDEX(계정매핑!$G$5:$G$504,MATCH($F2020&amp;"",계정매핑!$A$5:$A$504,0))&amp;"","")="유지비",COUNTIF(계정대체기준!$A$6:$A$15,$N2020)&gt;0),IFERROR(INDEX(계정대체기준!$E$6:$E$15,MATCH(VALUE($A2020&amp;""),계정대체기준!$D$6:$D$15,0)),0),0))</f>
        <v/>
      </c>
      <c r="AH2020" s="64">
        <f>IF($A2020="","",IF(AD2020=0,"",IF(OR(COUNTIF(계정대체기준!$A$77:$A$86,$N2020)&gt;0,ISNUMBER(MATCH($X2020,계정대체기준!$D$77:$D$86,0)),ISNUMBER(MATCH($F2020,계정대체기준!$D$77:$D$86,0))),"Y","N")))</f>
        <v/>
      </c>
    </row>
    <row r="2021">
      <c r="A2021" s="92" t="n">
        <v>2025</v>
      </c>
      <c r="B2021" s="92" t="n">
        <v>9</v>
      </c>
      <c r="C2021" s="92" t="inlineStr">
        <is>
          <t>5100002017</t>
        </is>
      </c>
      <c r="D2021" s="95" t="n">
        <v>45925</v>
      </c>
      <c r="E2021" s="92" t="inlineStr">
        <is>
          <t>KR</t>
        </is>
      </c>
      <c r="F2021" s="92" t="n">
        <v>63101000</v>
      </c>
      <c r="G2021" s="92" t="n">
        <v>1602</v>
      </c>
      <c r="H2021" s="93" t="n">
        <v>6471000</v>
      </c>
      <c r="I2021" s="92" t="inlineStr">
        <is>
          <t>9월 사무실 임차료 - AA빌딩</t>
        </is>
      </c>
      <c r="J2021" s="92" t="inlineStr">
        <is>
          <t>V10007</t>
        </is>
      </c>
      <c r="K2021" s="92" t="inlineStr">
        <is>
          <t>AA빌딩</t>
        </is>
      </c>
      <c r="M2021" s="9">
        <f>IF($A2021="","",VALUE($A2021&amp;"")*12+VALUE($B2021&amp;""))</f>
        <v/>
      </c>
      <c r="N2021" s="64">
        <f>IF($A2021="","",IFERROR(INDEX(부서매핑!$C$5:$C$504,MATCH($G2021&amp;"",부서매핑!$A$5:$A$504,0)),"미매핑"))</f>
        <v/>
      </c>
      <c r="O2021" s="9">
        <f>IF($A2021="","",N2021&amp;"|"&amp;$F2021)</f>
        <v/>
      </c>
      <c r="P2021" s="94">
        <f>IF($A2021="",0,$H2021*설정!$C$23)</f>
        <v/>
      </c>
      <c r="Q2021" s="64">
        <f>IF($A2021="","",IF(O2021&lt;&gt;원인분석!$C$9,"",IF(AND(M2021&gt;=원인분석!$C$10,M2021&lt;=원인분석!$C$11),"당기",IF(AND(M2021&gt;=원인분석!$C$12,M2021&lt;=원인분석!$C$13),"비교",""))))</f>
        <v/>
      </c>
      <c r="R2021" s="9">
        <f>IF(Q2021="","",$K2021&amp;"")</f>
        <v/>
      </c>
      <c r="S2021" s="9">
        <f>IF(Q2021="","",IF(MATCH(R2021,$R$5:$R$100000,0)=ROW()-4,ROW(),""))</f>
        <v/>
      </c>
      <c r="T2021" s="9">
        <f>IF(Q2021="당기",ABS(P2021)+ROW()/1000000000,"")</f>
        <v/>
      </c>
      <c r="U2021" s="9">
        <f>IF(Q2021="비교",ABS(P2021)+ROW()/1000000000,"")</f>
        <v/>
      </c>
      <c r="V2021" s="64">
        <f>IF($A2021="","",IF(COUNTIF(변동분석!$E$7:$E$506,O2021)&gt;0,"Y","N"))</f>
        <v/>
      </c>
      <c r="W2021" s="64">
        <f>IF($A2021="","",IFERROR(INDEX(계정매핑!$D$5:$D$504,MATCH($F2021&amp;"",계정매핑!$A$5:$A$504,0)),"미매핑"))</f>
        <v/>
      </c>
      <c r="X2021" s="9">
        <f>IF($A2021="","",$F2021&amp;"")</f>
        <v/>
      </c>
      <c r="Y2021" s="94">
        <f>IF($A2021="",0,IF(AE2021="직접",IF(AF2021="비귀속",$P2021,0),$P2021*(1-AG2021)*IFERROR(INDEX(계정대체기준!$F$20:$F$49,MATCH($N2021,계정대체기준!$A$20:$A$49,0)),1)))</f>
        <v/>
      </c>
      <c r="Z2021" s="94">
        <f>IF($A2021="",0,IF(AE2021="직접",IF(AF2021="신계약비",$P2021,0),$P2021*(1-AG2021)*IFERROR(INDEX(계정대체기준!$C$20:$C$49,MATCH($N2021,계정대체기준!$A$20:$A$49,0)),0)))</f>
        <v/>
      </c>
      <c r="AA2021" s="94">
        <f>IF($A2021="",0,IF(AE2021="직접",IF(OR(AF2021="유지비",AF2021="손해조사비"),$P2021,0),$P2021*(1-AG2021)*IFERROR(INDEX(계정대체기준!$D$20:$D$49,MATCH($N2021,계정대체기준!$A$20:$A$49,0)),0)))</f>
        <v/>
      </c>
      <c r="AB2021" s="94">
        <f>IF($A2021="",0,IF(AE2021="직접",IF(AF2021="수금비",$P2021,0),$P2021*(1-AG2021)*IFERROR(INDEX(계정대체기준!$E$20:$E$49,MATCH($N2021,계정대체기준!$A$20:$A$49,0)),0)))</f>
        <v/>
      </c>
      <c r="AC2021" s="9">
        <f>IF(AND($A2021&lt;&gt;"",M2021=설정!$C$20,Z2021&gt;0),Z2021+ROW()/1000000000,"")</f>
        <v/>
      </c>
      <c r="AD2021" s="94">
        <f>IF($A2021="",0,$P2021*AG2021)</f>
        <v/>
      </c>
      <c r="AE2021" s="64">
        <f>IF($A2021="","",IFERROR(INDEX(계정매핑!$E$5:$E$504,MATCH($F2021&amp;"",계정매핑!$A$5:$A$504,0))&amp;"","공통비"))</f>
        <v/>
      </c>
      <c r="AF2021" s="64">
        <f>IF($A2021="","",IF(AE2021="직접",IFERROR(INDEX(계정매핑!$F$5:$F$504,MATCH($F2021&amp;"",계정매핑!$A$5:$A$504,0))&amp;"","비귀속"),""))</f>
        <v/>
      </c>
      <c r="AG2021" s="96">
        <f>IF($A2021="",0,IF(AND(AE2021&lt;&gt;"직접",IFERROR(INDEX(계정매핑!$G$5:$G$504,MATCH($F2021&amp;"",계정매핑!$A$5:$A$504,0))&amp;"","")="유지비",COUNTIF(계정대체기준!$A$6:$A$15,$N2021)&gt;0),IFERROR(INDEX(계정대체기준!$E$6:$E$15,MATCH(VALUE($A2021&amp;""),계정대체기준!$D$6:$D$15,0)),0),0))</f>
        <v/>
      </c>
      <c r="AH2021" s="64">
        <f>IF($A2021="","",IF(AD2021=0,"",IF(OR(COUNTIF(계정대체기준!$A$77:$A$86,$N2021)&gt;0,ISNUMBER(MATCH($X2021,계정대체기준!$D$77:$D$86,0)),ISNUMBER(MATCH($F2021,계정대체기준!$D$77:$D$86,0))),"Y","N")))</f>
        <v/>
      </c>
    </row>
    <row r="2022">
      <c r="A2022" s="92" t="n">
        <v>2025</v>
      </c>
      <c r="B2022" s="92" t="n">
        <v>9</v>
      </c>
      <c r="C2022" s="92" t="inlineStr">
        <is>
          <t>5100002018</t>
        </is>
      </c>
      <c r="D2022" s="95" t="n">
        <v>45925</v>
      </c>
      <c r="E2022" s="92" t="inlineStr">
        <is>
          <t>KR</t>
        </is>
      </c>
      <c r="F2022" s="92" t="n">
        <v>63501000</v>
      </c>
      <c r="G2022" s="92" t="n">
        <v>1901</v>
      </c>
      <c r="H2022" s="93" t="n">
        <v>473492000</v>
      </c>
      <c r="I2022" s="92" t="inlineStr">
        <is>
          <t>9월 모집수수료 - BB에셋</t>
        </is>
      </c>
      <c r="J2022" s="92" t="inlineStr">
        <is>
          <t>V10013</t>
        </is>
      </c>
      <c r="K2022" s="92" t="inlineStr">
        <is>
          <t>BB에셋</t>
        </is>
      </c>
      <c r="M2022" s="9">
        <f>IF($A2022="","",VALUE($A2022&amp;"")*12+VALUE($B2022&amp;""))</f>
        <v/>
      </c>
      <c r="N2022" s="64">
        <f>IF($A2022="","",IFERROR(INDEX(부서매핑!$C$5:$C$504,MATCH($G2022&amp;"",부서매핑!$A$5:$A$504,0)),"미매핑"))</f>
        <v/>
      </c>
      <c r="O2022" s="9">
        <f>IF($A2022="","",N2022&amp;"|"&amp;$F2022)</f>
        <v/>
      </c>
      <c r="P2022" s="94">
        <f>IF($A2022="",0,$H2022*설정!$C$23)</f>
        <v/>
      </c>
      <c r="Q2022" s="64">
        <f>IF($A2022="","",IF(O2022&lt;&gt;원인분석!$C$9,"",IF(AND(M2022&gt;=원인분석!$C$10,M2022&lt;=원인분석!$C$11),"당기",IF(AND(M2022&gt;=원인분석!$C$12,M2022&lt;=원인분석!$C$13),"비교",""))))</f>
        <v/>
      </c>
      <c r="R2022" s="9">
        <f>IF(Q2022="","",$K2022&amp;"")</f>
        <v/>
      </c>
      <c r="S2022" s="9">
        <f>IF(Q2022="","",IF(MATCH(R2022,$R$5:$R$100000,0)=ROW()-4,ROW(),""))</f>
        <v/>
      </c>
      <c r="T2022" s="9">
        <f>IF(Q2022="당기",ABS(P2022)+ROW()/1000000000,"")</f>
        <v/>
      </c>
      <c r="U2022" s="9">
        <f>IF(Q2022="비교",ABS(P2022)+ROW()/1000000000,"")</f>
        <v/>
      </c>
      <c r="V2022" s="64">
        <f>IF($A2022="","",IF(COUNTIF(변동분석!$E$7:$E$506,O2022)&gt;0,"Y","N"))</f>
        <v/>
      </c>
      <c r="W2022" s="64">
        <f>IF($A2022="","",IFERROR(INDEX(계정매핑!$D$5:$D$504,MATCH($F2022&amp;"",계정매핑!$A$5:$A$504,0)),"미매핑"))</f>
        <v/>
      </c>
      <c r="X2022" s="9">
        <f>IF($A2022="","",$F2022&amp;"")</f>
        <v/>
      </c>
      <c r="Y2022" s="94">
        <f>IF($A2022="",0,IF(AE2022="직접",IF(AF2022="비귀속",$P2022,0),$P2022*(1-AG2022)*IFERROR(INDEX(계정대체기준!$F$20:$F$49,MATCH($N2022,계정대체기준!$A$20:$A$49,0)),1)))</f>
        <v/>
      </c>
      <c r="Z2022" s="94">
        <f>IF($A2022="",0,IF(AE2022="직접",IF(AF2022="신계약비",$P2022,0),$P2022*(1-AG2022)*IFERROR(INDEX(계정대체기준!$C$20:$C$49,MATCH($N2022,계정대체기준!$A$20:$A$49,0)),0)))</f>
        <v/>
      </c>
      <c r="AA2022" s="94">
        <f>IF($A2022="",0,IF(AE2022="직접",IF(OR(AF2022="유지비",AF2022="손해조사비"),$P2022,0),$P2022*(1-AG2022)*IFERROR(INDEX(계정대체기준!$D$20:$D$49,MATCH($N2022,계정대체기준!$A$20:$A$49,0)),0)))</f>
        <v/>
      </c>
      <c r="AB2022" s="94">
        <f>IF($A2022="",0,IF(AE2022="직접",IF(AF2022="수금비",$P2022,0),$P2022*(1-AG2022)*IFERROR(INDEX(계정대체기준!$E$20:$E$49,MATCH($N2022,계정대체기준!$A$20:$A$49,0)),0)))</f>
        <v/>
      </c>
      <c r="AC2022" s="9">
        <f>IF(AND($A2022&lt;&gt;"",M2022=설정!$C$20,Z2022&gt;0),Z2022+ROW()/1000000000,"")</f>
        <v/>
      </c>
      <c r="AD2022" s="94">
        <f>IF($A2022="",0,$P2022*AG2022)</f>
        <v/>
      </c>
      <c r="AE2022" s="64">
        <f>IF($A2022="","",IFERROR(INDEX(계정매핑!$E$5:$E$504,MATCH($F2022&amp;"",계정매핑!$A$5:$A$504,0))&amp;"","공통비"))</f>
        <v/>
      </c>
      <c r="AF2022" s="64">
        <f>IF($A2022="","",IF(AE2022="직접",IFERROR(INDEX(계정매핑!$F$5:$F$504,MATCH($F2022&amp;"",계정매핑!$A$5:$A$504,0))&amp;"","비귀속"),""))</f>
        <v/>
      </c>
      <c r="AG2022" s="96">
        <f>IF($A2022="",0,IF(AND(AE2022&lt;&gt;"직접",IFERROR(INDEX(계정매핑!$G$5:$G$504,MATCH($F2022&amp;"",계정매핑!$A$5:$A$504,0))&amp;"","")="유지비",COUNTIF(계정대체기준!$A$6:$A$15,$N2022)&gt;0),IFERROR(INDEX(계정대체기준!$E$6:$E$15,MATCH(VALUE($A2022&amp;""),계정대체기준!$D$6:$D$15,0)),0),0))</f>
        <v/>
      </c>
      <c r="AH2022" s="64">
        <f>IF($A2022="","",IF(AD2022=0,"",IF(OR(COUNTIF(계정대체기준!$A$77:$A$86,$N2022)&gt;0,ISNUMBER(MATCH($X2022,계정대체기준!$D$77:$D$86,0)),ISNUMBER(MATCH($F2022,계정대체기준!$D$77:$D$86,0))),"Y","N")))</f>
        <v/>
      </c>
    </row>
    <row r="2023">
      <c r="A2023" s="92" t="n">
        <v>2025</v>
      </c>
      <c r="B2023" s="92" t="n">
        <v>9</v>
      </c>
      <c r="C2023" s="92" t="inlineStr">
        <is>
          <t>5100002019</t>
        </is>
      </c>
      <c r="D2023" s="95" t="n">
        <v>45925</v>
      </c>
      <c r="E2023" s="92" t="inlineStr">
        <is>
          <t>KR</t>
        </is>
      </c>
      <c r="F2023" s="92" t="n">
        <v>63502000</v>
      </c>
      <c r="G2023" s="92" t="n">
        <v>1901</v>
      </c>
      <c r="H2023" s="93" t="n">
        <v>125509000</v>
      </c>
      <c r="I2023" s="92" t="inlineStr">
        <is>
          <t>9월 유지수수료 - (전속설계사)</t>
        </is>
      </c>
      <c r="J2023" s="92" t="inlineStr">
        <is>
          <t>V10021</t>
        </is>
      </c>
      <c r="K2023" s="92" t="inlineStr">
        <is>
          <t>(전속설계사)</t>
        </is>
      </c>
      <c r="M2023" s="9">
        <f>IF($A2023="","",VALUE($A2023&amp;"")*12+VALUE($B2023&amp;""))</f>
        <v/>
      </c>
      <c r="N2023" s="64">
        <f>IF($A2023="","",IFERROR(INDEX(부서매핑!$C$5:$C$504,MATCH($G2023&amp;"",부서매핑!$A$5:$A$504,0)),"미매핑"))</f>
        <v/>
      </c>
      <c r="O2023" s="9">
        <f>IF($A2023="","",N2023&amp;"|"&amp;$F2023)</f>
        <v/>
      </c>
      <c r="P2023" s="94">
        <f>IF($A2023="",0,$H2023*설정!$C$23)</f>
        <v/>
      </c>
      <c r="Q2023" s="64">
        <f>IF($A2023="","",IF(O2023&lt;&gt;원인분석!$C$9,"",IF(AND(M2023&gt;=원인분석!$C$10,M2023&lt;=원인분석!$C$11),"당기",IF(AND(M2023&gt;=원인분석!$C$12,M2023&lt;=원인분석!$C$13),"비교",""))))</f>
        <v/>
      </c>
      <c r="R2023" s="9">
        <f>IF(Q2023="","",$K2023&amp;"")</f>
        <v/>
      </c>
      <c r="S2023" s="9">
        <f>IF(Q2023="","",IF(MATCH(R2023,$R$5:$R$100000,0)=ROW()-4,ROW(),""))</f>
        <v/>
      </c>
      <c r="T2023" s="9">
        <f>IF(Q2023="당기",ABS(P2023)+ROW()/1000000000,"")</f>
        <v/>
      </c>
      <c r="U2023" s="9">
        <f>IF(Q2023="비교",ABS(P2023)+ROW()/1000000000,"")</f>
        <v/>
      </c>
      <c r="V2023" s="64">
        <f>IF($A2023="","",IF(COUNTIF(변동분석!$E$7:$E$506,O2023)&gt;0,"Y","N"))</f>
        <v/>
      </c>
      <c r="W2023" s="64">
        <f>IF($A2023="","",IFERROR(INDEX(계정매핑!$D$5:$D$504,MATCH($F2023&amp;"",계정매핑!$A$5:$A$504,0)),"미매핑"))</f>
        <v/>
      </c>
      <c r="X2023" s="9">
        <f>IF($A2023="","",$F2023&amp;"")</f>
        <v/>
      </c>
      <c r="Y2023" s="94">
        <f>IF($A2023="",0,IF(AE2023="직접",IF(AF2023="비귀속",$P2023,0),$P2023*(1-AG2023)*IFERROR(INDEX(계정대체기준!$F$20:$F$49,MATCH($N2023,계정대체기준!$A$20:$A$49,0)),1)))</f>
        <v/>
      </c>
      <c r="Z2023" s="94">
        <f>IF($A2023="",0,IF(AE2023="직접",IF(AF2023="신계약비",$P2023,0),$P2023*(1-AG2023)*IFERROR(INDEX(계정대체기준!$C$20:$C$49,MATCH($N2023,계정대체기준!$A$20:$A$49,0)),0)))</f>
        <v/>
      </c>
      <c r="AA2023" s="94">
        <f>IF($A2023="",0,IF(AE2023="직접",IF(OR(AF2023="유지비",AF2023="손해조사비"),$P2023,0),$P2023*(1-AG2023)*IFERROR(INDEX(계정대체기준!$D$20:$D$49,MATCH($N2023,계정대체기준!$A$20:$A$49,0)),0)))</f>
        <v/>
      </c>
      <c r="AB2023" s="94">
        <f>IF($A2023="",0,IF(AE2023="직접",IF(AF2023="수금비",$P2023,0),$P2023*(1-AG2023)*IFERROR(INDEX(계정대체기준!$E$20:$E$49,MATCH($N2023,계정대체기준!$A$20:$A$49,0)),0)))</f>
        <v/>
      </c>
      <c r="AC2023" s="9">
        <f>IF(AND($A2023&lt;&gt;"",M2023=설정!$C$20,Z2023&gt;0),Z2023+ROW()/1000000000,"")</f>
        <v/>
      </c>
      <c r="AD2023" s="94">
        <f>IF($A2023="",0,$P2023*AG2023)</f>
        <v/>
      </c>
      <c r="AE2023" s="64">
        <f>IF($A2023="","",IFERROR(INDEX(계정매핑!$E$5:$E$504,MATCH($F2023&amp;"",계정매핑!$A$5:$A$504,0))&amp;"","공통비"))</f>
        <v/>
      </c>
      <c r="AF2023" s="64">
        <f>IF($A2023="","",IF(AE2023="직접",IFERROR(INDEX(계정매핑!$F$5:$F$504,MATCH($F2023&amp;"",계정매핑!$A$5:$A$504,0))&amp;"","비귀속"),""))</f>
        <v/>
      </c>
      <c r="AG2023" s="96">
        <f>IF($A2023="",0,IF(AND(AE2023&lt;&gt;"직접",IFERROR(INDEX(계정매핑!$G$5:$G$504,MATCH($F2023&amp;"",계정매핑!$A$5:$A$504,0))&amp;"","")="유지비",COUNTIF(계정대체기준!$A$6:$A$15,$N2023)&gt;0),IFERROR(INDEX(계정대체기준!$E$6:$E$15,MATCH(VALUE($A2023&amp;""),계정대체기준!$D$6:$D$15,0)),0),0))</f>
        <v/>
      </c>
      <c r="AH2023" s="64">
        <f>IF($A2023="","",IF(AD2023=0,"",IF(OR(COUNTIF(계정대체기준!$A$77:$A$86,$N2023)&gt;0,ISNUMBER(MATCH($X2023,계정대체기준!$D$77:$D$86,0)),ISNUMBER(MATCH($F2023,계정대체기준!$D$77:$D$86,0))),"Y","N")))</f>
        <v/>
      </c>
    </row>
    <row r="2024">
      <c r="A2024" s="92" t="n">
        <v>2025</v>
      </c>
      <c r="B2024" s="92" t="n">
        <v>9</v>
      </c>
      <c r="C2024" s="92" t="inlineStr">
        <is>
          <t>5100002020</t>
        </is>
      </c>
      <c r="D2024" s="95" t="n">
        <v>45926</v>
      </c>
      <c r="E2024" s="92" t="inlineStr">
        <is>
          <t>KR</t>
        </is>
      </c>
      <c r="F2024" s="92" t="n">
        <v>62101000</v>
      </c>
      <c r="G2024" s="92" t="n">
        <v>1201</v>
      </c>
      <c r="H2024" s="93" t="n">
        <v>256000</v>
      </c>
      <c r="I2024" s="92" t="inlineStr">
        <is>
          <t>9월 국내출장 - (법인카드)</t>
        </is>
      </c>
      <c r="J2024" s="92" t="inlineStr">
        <is>
          <t>V10010</t>
        </is>
      </c>
      <c r="K2024" s="92" t="inlineStr">
        <is>
          <t>(법인카드)</t>
        </is>
      </c>
      <c r="M2024" s="9">
        <f>IF($A2024="","",VALUE($A2024&amp;"")*12+VALUE($B2024&amp;""))</f>
        <v/>
      </c>
      <c r="N2024" s="64">
        <f>IF($A2024="","",IFERROR(INDEX(부서매핑!$C$5:$C$504,MATCH($G2024&amp;"",부서매핑!$A$5:$A$504,0)),"미매핑"))</f>
        <v/>
      </c>
      <c r="O2024" s="9">
        <f>IF($A2024="","",N2024&amp;"|"&amp;$F2024)</f>
        <v/>
      </c>
      <c r="P2024" s="94">
        <f>IF($A2024="",0,$H2024*설정!$C$23)</f>
        <v/>
      </c>
      <c r="Q2024" s="64">
        <f>IF($A2024="","",IF(O2024&lt;&gt;원인분석!$C$9,"",IF(AND(M2024&gt;=원인분석!$C$10,M2024&lt;=원인분석!$C$11),"당기",IF(AND(M2024&gt;=원인분석!$C$12,M2024&lt;=원인분석!$C$13),"비교",""))))</f>
        <v/>
      </c>
      <c r="R2024" s="9">
        <f>IF(Q2024="","",$K2024&amp;"")</f>
        <v/>
      </c>
      <c r="S2024" s="9">
        <f>IF(Q2024="","",IF(MATCH(R2024,$R$5:$R$100000,0)=ROW()-4,ROW(),""))</f>
        <v/>
      </c>
      <c r="T2024" s="9">
        <f>IF(Q2024="당기",ABS(P2024)+ROW()/1000000000,"")</f>
        <v/>
      </c>
      <c r="U2024" s="9">
        <f>IF(Q2024="비교",ABS(P2024)+ROW()/1000000000,"")</f>
        <v/>
      </c>
      <c r="V2024" s="64">
        <f>IF($A2024="","",IF(COUNTIF(변동분석!$E$7:$E$506,O2024)&gt;0,"Y","N"))</f>
        <v/>
      </c>
      <c r="W2024" s="64">
        <f>IF($A2024="","",IFERROR(INDEX(계정매핑!$D$5:$D$504,MATCH($F2024&amp;"",계정매핑!$A$5:$A$504,0)),"미매핑"))</f>
        <v/>
      </c>
      <c r="X2024" s="9">
        <f>IF($A2024="","",$F2024&amp;"")</f>
        <v/>
      </c>
      <c r="Y2024" s="94">
        <f>IF($A2024="",0,IF(AE2024="직접",IF(AF2024="비귀속",$P2024,0),$P2024*(1-AG2024)*IFERROR(INDEX(계정대체기준!$F$20:$F$49,MATCH($N2024,계정대체기준!$A$20:$A$49,0)),1)))</f>
        <v/>
      </c>
      <c r="Z2024" s="94">
        <f>IF($A2024="",0,IF(AE2024="직접",IF(AF2024="신계약비",$P2024,0),$P2024*(1-AG2024)*IFERROR(INDEX(계정대체기준!$C$20:$C$49,MATCH($N2024,계정대체기준!$A$20:$A$49,0)),0)))</f>
        <v/>
      </c>
      <c r="AA2024" s="94">
        <f>IF($A2024="",0,IF(AE2024="직접",IF(OR(AF2024="유지비",AF2024="손해조사비"),$P2024,0),$P2024*(1-AG2024)*IFERROR(INDEX(계정대체기준!$D$20:$D$49,MATCH($N2024,계정대체기준!$A$20:$A$49,0)),0)))</f>
        <v/>
      </c>
      <c r="AB2024" s="94">
        <f>IF($A2024="",0,IF(AE2024="직접",IF(AF2024="수금비",$P2024,0),$P2024*(1-AG2024)*IFERROR(INDEX(계정대체기준!$E$20:$E$49,MATCH($N2024,계정대체기준!$A$20:$A$49,0)),0)))</f>
        <v/>
      </c>
      <c r="AC2024" s="9">
        <f>IF(AND($A2024&lt;&gt;"",M2024=설정!$C$20,Z2024&gt;0),Z2024+ROW()/1000000000,"")</f>
        <v/>
      </c>
      <c r="AD2024" s="94">
        <f>IF($A2024="",0,$P2024*AG2024)</f>
        <v/>
      </c>
      <c r="AE2024" s="64">
        <f>IF($A2024="","",IFERROR(INDEX(계정매핑!$E$5:$E$504,MATCH($F2024&amp;"",계정매핑!$A$5:$A$504,0))&amp;"","공통비"))</f>
        <v/>
      </c>
      <c r="AF2024" s="64">
        <f>IF($A2024="","",IF(AE2024="직접",IFERROR(INDEX(계정매핑!$F$5:$F$504,MATCH($F2024&amp;"",계정매핑!$A$5:$A$504,0))&amp;"","비귀속"),""))</f>
        <v/>
      </c>
      <c r="AG2024" s="96">
        <f>IF($A2024="",0,IF(AND(AE2024&lt;&gt;"직접",IFERROR(INDEX(계정매핑!$G$5:$G$504,MATCH($F2024&amp;"",계정매핑!$A$5:$A$504,0))&amp;"","")="유지비",COUNTIF(계정대체기준!$A$6:$A$15,$N2024)&gt;0),IFERROR(INDEX(계정대체기준!$E$6:$E$15,MATCH(VALUE($A2024&amp;""),계정대체기준!$D$6:$D$15,0)),0),0))</f>
        <v/>
      </c>
      <c r="AH2024" s="64">
        <f>IF($A2024="","",IF(AD2024=0,"",IF(OR(COUNTIF(계정대체기준!$A$77:$A$86,$N2024)&gt;0,ISNUMBER(MATCH($X2024,계정대체기준!$D$77:$D$86,0)),ISNUMBER(MATCH($F2024,계정대체기준!$D$77:$D$86,0))),"Y","N")))</f>
        <v/>
      </c>
    </row>
    <row r="2025">
      <c r="A2025" s="92" t="n">
        <v>2025</v>
      </c>
      <c r="B2025" s="92" t="n">
        <v>9</v>
      </c>
      <c r="C2025" s="92" t="inlineStr">
        <is>
          <t>5100002021</t>
        </is>
      </c>
      <c r="D2025" s="95" t="n">
        <v>45926</v>
      </c>
      <c r="E2025" s="92" t="inlineStr">
        <is>
          <t>KR</t>
        </is>
      </c>
      <c r="F2025" s="92" t="n">
        <v>62102000</v>
      </c>
      <c r="G2025" s="92" t="n">
        <v>1502</v>
      </c>
      <c r="H2025" s="93" t="n">
        <v>215000</v>
      </c>
      <c r="I2025" s="92" t="inlineStr">
        <is>
          <t>9월 해외출장 - M항공</t>
        </is>
      </c>
      <c r="J2025" s="92" t="inlineStr">
        <is>
          <t>V10001</t>
        </is>
      </c>
      <c r="K2025" s="92" t="inlineStr">
        <is>
          <t>M항공</t>
        </is>
      </c>
      <c r="M2025" s="9">
        <f>IF($A2025="","",VALUE($A2025&amp;"")*12+VALUE($B2025&amp;""))</f>
        <v/>
      </c>
      <c r="N2025" s="64">
        <f>IF($A2025="","",IFERROR(INDEX(부서매핑!$C$5:$C$504,MATCH($G2025&amp;"",부서매핑!$A$5:$A$504,0)),"미매핑"))</f>
        <v/>
      </c>
      <c r="O2025" s="9">
        <f>IF($A2025="","",N2025&amp;"|"&amp;$F2025)</f>
        <v/>
      </c>
      <c r="P2025" s="94">
        <f>IF($A2025="",0,$H2025*설정!$C$23)</f>
        <v/>
      </c>
      <c r="Q2025" s="64">
        <f>IF($A2025="","",IF(O2025&lt;&gt;원인분석!$C$9,"",IF(AND(M2025&gt;=원인분석!$C$10,M2025&lt;=원인분석!$C$11),"당기",IF(AND(M2025&gt;=원인분석!$C$12,M2025&lt;=원인분석!$C$13),"비교",""))))</f>
        <v/>
      </c>
      <c r="R2025" s="9">
        <f>IF(Q2025="","",$K2025&amp;"")</f>
        <v/>
      </c>
      <c r="S2025" s="9">
        <f>IF(Q2025="","",IF(MATCH(R2025,$R$5:$R$100000,0)=ROW()-4,ROW(),""))</f>
        <v/>
      </c>
      <c r="T2025" s="9">
        <f>IF(Q2025="당기",ABS(P2025)+ROW()/1000000000,"")</f>
        <v/>
      </c>
      <c r="U2025" s="9">
        <f>IF(Q2025="비교",ABS(P2025)+ROW()/1000000000,"")</f>
        <v/>
      </c>
      <c r="V2025" s="64">
        <f>IF($A2025="","",IF(COUNTIF(변동분석!$E$7:$E$506,O2025)&gt;0,"Y","N"))</f>
        <v/>
      </c>
      <c r="W2025" s="64">
        <f>IF($A2025="","",IFERROR(INDEX(계정매핑!$D$5:$D$504,MATCH($F2025&amp;"",계정매핑!$A$5:$A$504,0)),"미매핑"))</f>
        <v/>
      </c>
      <c r="X2025" s="9">
        <f>IF($A2025="","",$F2025&amp;"")</f>
        <v/>
      </c>
      <c r="Y2025" s="94">
        <f>IF($A2025="",0,IF(AE2025="직접",IF(AF2025="비귀속",$P2025,0),$P2025*(1-AG2025)*IFERROR(INDEX(계정대체기준!$F$20:$F$49,MATCH($N2025,계정대체기준!$A$20:$A$49,0)),1)))</f>
        <v/>
      </c>
      <c r="Z2025" s="94">
        <f>IF($A2025="",0,IF(AE2025="직접",IF(AF2025="신계약비",$P2025,0),$P2025*(1-AG2025)*IFERROR(INDEX(계정대체기준!$C$20:$C$49,MATCH($N2025,계정대체기준!$A$20:$A$49,0)),0)))</f>
        <v/>
      </c>
      <c r="AA2025" s="94">
        <f>IF($A2025="",0,IF(AE2025="직접",IF(OR(AF2025="유지비",AF2025="손해조사비"),$P2025,0),$P2025*(1-AG2025)*IFERROR(INDEX(계정대체기준!$D$20:$D$49,MATCH($N2025,계정대체기준!$A$20:$A$49,0)),0)))</f>
        <v/>
      </c>
      <c r="AB2025" s="94">
        <f>IF($A2025="",0,IF(AE2025="직접",IF(AF2025="수금비",$P2025,0),$P2025*(1-AG2025)*IFERROR(INDEX(계정대체기준!$E$20:$E$49,MATCH($N2025,계정대체기준!$A$20:$A$49,0)),0)))</f>
        <v/>
      </c>
      <c r="AC2025" s="9">
        <f>IF(AND($A2025&lt;&gt;"",M2025=설정!$C$20,Z2025&gt;0),Z2025+ROW()/1000000000,"")</f>
        <v/>
      </c>
      <c r="AD2025" s="94">
        <f>IF($A2025="",0,$P2025*AG2025)</f>
        <v/>
      </c>
      <c r="AE2025" s="64">
        <f>IF($A2025="","",IFERROR(INDEX(계정매핑!$E$5:$E$504,MATCH($F2025&amp;"",계정매핑!$A$5:$A$504,0))&amp;"","공통비"))</f>
        <v/>
      </c>
      <c r="AF2025" s="64">
        <f>IF($A2025="","",IF(AE2025="직접",IFERROR(INDEX(계정매핑!$F$5:$F$504,MATCH($F2025&amp;"",계정매핑!$A$5:$A$504,0))&amp;"","비귀속"),""))</f>
        <v/>
      </c>
      <c r="AG2025" s="96">
        <f>IF($A2025="",0,IF(AND(AE2025&lt;&gt;"직접",IFERROR(INDEX(계정매핑!$G$5:$G$504,MATCH($F2025&amp;"",계정매핑!$A$5:$A$504,0))&amp;"","")="유지비",COUNTIF(계정대체기준!$A$6:$A$15,$N2025)&gt;0),IFERROR(INDEX(계정대체기준!$E$6:$E$15,MATCH(VALUE($A2025&amp;""),계정대체기준!$D$6:$D$15,0)),0),0))</f>
        <v/>
      </c>
      <c r="AH2025" s="64">
        <f>IF($A2025="","",IF(AD2025=0,"",IF(OR(COUNTIF(계정대체기준!$A$77:$A$86,$N2025)&gt;0,ISNUMBER(MATCH($X2025,계정대체기준!$D$77:$D$86,0)),ISNUMBER(MATCH($F2025,계정대체기준!$D$77:$D$86,0))),"Y","N")))</f>
        <v/>
      </c>
    </row>
    <row r="2026">
      <c r="A2026" s="92" t="n">
        <v>2025</v>
      </c>
      <c r="B2026" s="92" t="n">
        <v>9</v>
      </c>
      <c r="C2026" s="92" t="inlineStr">
        <is>
          <t>5100002022</t>
        </is>
      </c>
      <c r="D2026" s="95" t="n">
        <v>45926</v>
      </c>
      <c r="E2026" s="92" t="inlineStr">
        <is>
          <t>KR</t>
        </is>
      </c>
      <c r="F2026" s="92" t="n">
        <v>62201000</v>
      </c>
      <c r="G2026" s="92" t="n">
        <v>1301</v>
      </c>
      <c r="H2026" s="93" t="n">
        <v>229000</v>
      </c>
      <c r="I2026" s="92" t="inlineStr">
        <is>
          <t>9월 통신요금 - P통신</t>
        </is>
      </c>
      <c r="J2026" s="92" t="inlineStr">
        <is>
          <t>V10014</t>
        </is>
      </c>
      <c r="K2026" s="92" t="inlineStr">
        <is>
          <t>P통신</t>
        </is>
      </c>
      <c r="M2026" s="9">
        <f>IF($A2026="","",VALUE($A2026&amp;"")*12+VALUE($B2026&amp;""))</f>
        <v/>
      </c>
      <c r="N2026" s="64">
        <f>IF($A2026="","",IFERROR(INDEX(부서매핑!$C$5:$C$504,MATCH($G2026&amp;"",부서매핑!$A$5:$A$504,0)),"미매핑"))</f>
        <v/>
      </c>
      <c r="O2026" s="9">
        <f>IF($A2026="","",N2026&amp;"|"&amp;$F2026)</f>
        <v/>
      </c>
      <c r="P2026" s="94">
        <f>IF($A2026="",0,$H2026*설정!$C$23)</f>
        <v/>
      </c>
      <c r="Q2026" s="64">
        <f>IF($A2026="","",IF(O2026&lt;&gt;원인분석!$C$9,"",IF(AND(M2026&gt;=원인분석!$C$10,M2026&lt;=원인분석!$C$11),"당기",IF(AND(M2026&gt;=원인분석!$C$12,M2026&lt;=원인분석!$C$13),"비교",""))))</f>
        <v/>
      </c>
      <c r="R2026" s="9">
        <f>IF(Q2026="","",$K2026&amp;"")</f>
        <v/>
      </c>
      <c r="S2026" s="9">
        <f>IF(Q2026="","",IF(MATCH(R2026,$R$5:$R$100000,0)=ROW()-4,ROW(),""))</f>
        <v/>
      </c>
      <c r="T2026" s="9">
        <f>IF(Q2026="당기",ABS(P2026)+ROW()/1000000000,"")</f>
        <v/>
      </c>
      <c r="U2026" s="9">
        <f>IF(Q2026="비교",ABS(P2026)+ROW()/1000000000,"")</f>
        <v/>
      </c>
      <c r="V2026" s="64">
        <f>IF($A2026="","",IF(COUNTIF(변동분석!$E$7:$E$506,O2026)&gt;0,"Y","N"))</f>
        <v/>
      </c>
      <c r="W2026" s="64">
        <f>IF($A2026="","",IFERROR(INDEX(계정매핑!$D$5:$D$504,MATCH($F2026&amp;"",계정매핑!$A$5:$A$504,0)),"미매핑"))</f>
        <v/>
      </c>
      <c r="X2026" s="9">
        <f>IF($A2026="","",$F2026&amp;"")</f>
        <v/>
      </c>
      <c r="Y2026" s="94">
        <f>IF($A2026="",0,IF(AE2026="직접",IF(AF2026="비귀속",$P2026,0),$P2026*(1-AG2026)*IFERROR(INDEX(계정대체기준!$F$20:$F$49,MATCH($N2026,계정대체기준!$A$20:$A$49,0)),1)))</f>
        <v/>
      </c>
      <c r="Z2026" s="94">
        <f>IF($A2026="",0,IF(AE2026="직접",IF(AF2026="신계약비",$P2026,0),$P2026*(1-AG2026)*IFERROR(INDEX(계정대체기준!$C$20:$C$49,MATCH($N2026,계정대체기준!$A$20:$A$49,0)),0)))</f>
        <v/>
      </c>
      <c r="AA2026" s="94">
        <f>IF($A2026="",0,IF(AE2026="직접",IF(OR(AF2026="유지비",AF2026="손해조사비"),$P2026,0),$P2026*(1-AG2026)*IFERROR(INDEX(계정대체기준!$D$20:$D$49,MATCH($N2026,계정대체기준!$A$20:$A$49,0)),0)))</f>
        <v/>
      </c>
      <c r="AB2026" s="94">
        <f>IF($A2026="",0,IF(AE2026="직접",IF(AF2026="수금비",$P2026,0),$P2026*(1-AG2026)*IFERROR(INDEX(계정대체기준!$E$20:$E$49,MATCH($N2026,계정대체기준!$A$20:$A$49,0)),0)))</f>
        <v/>
      </c>
      <c r="AC2026" s="9">
        <f>IF(AND($A2026&lt;&gt;"",M2026=설정!$C$20,Z2026&gt;0),Z2026+ROW()/1000000000,"")</f>
        <v/>
      </c>
      <c r="AD2026" s="94">
        <f>IF($A2026="",0,$P2026*AG2026)</f>
        <v/>
      </c>
      <c r="AE2026" s="64">
        <f>IF($A2026="","",IFERROR(INDEX(계정매핑!$E$5:$E$504,MATCH($F2026&amp;"",계정매핑!$A$5:$A$504,0))&amp;"","공통비"))</f>
        <v/>
      </c>
      <c r="AF2026" s="64">
        <f>IF($A2026="","",IF(AE2026="직접",IFERROR(INDEX(계정매핑!$F$5:$F$504,MATCH($F2026&amp;"",계정매핑!$A$5:$A$504,0))&amp;"","비귀속"),""))</f>
        <v/>
      </c>
      <c r="AG2026" s="96">
        <f>IF($A2026="",0,IF(AND(AE2026&lt;&gt;"직접",IFERROR(INDEX(계정매핑!$G$5:$G$504,MATCH($F2026&amp;"",계정매핑!$A$5:$A$504,0))&amp;"","")="유지비",COUNTIF(계정대체기준!$A$6:$A$15,$N2026)&gt;0),IFERROR(INDEX(계정대체기준!$E$6:$E$15,MATCH(VALUE($A2026&amp;""),계정대체기준!$D$6:$D$15,0)),0),0))</f>
        <v/>
      </c>
      <c r="AH2026" s="64">
        <f>IF($A2026="","",IF(AD2026=0,"",IF(OR(COUNTIF(계정대체기준!$A$77:$A$86,$N2026)&gt;0,ISNUMBER(MATCH($X2026,계정대체기준!$D$77:$D$86,0)),ISNUMBER(MATCH($F2026,계정대체기준!$D$77:$D$86,0))),"Y","N")))</f>
        <v/>
      </c>
    </row>
    <row r="2027">
      <c r="A2027" s="92" t="n">
        <v>2025</v>
      </c>
      <c r="B2027" s="92" t="n">
        <v>9</v>
      </c>
      <c r="C2027" s="92" t="inlineStr">
        <is>
          <t>5100002023</t>
        </is>
      </c>
      <c r="D2027" s="95" t="n">
        <v>45926</v>
      </c>
      <c r="E2027" s="92" t="inlineStr">
        <is>
          <t>KR</t>
        </is>
      </c>
      <c r="F2027" s="92" t="n">
        <v>62201000</v>
      </c>
      <c r="G2027" s="92" t="n">
        <v>1401</v>
      </c>
      <c r="H2027" s="93" t="n">
        <v>153000</v>
      </c>
      <c r="I2027" s="92" t="inlineStr">
        <is>
          <t>9월 통신요금 - O텔레콤</t>
        </is>
      </c>
      <c r="J2027" s="92" t="inlineStr">
        <is>
          <t>V10002</t>
        </is>
      </c>
      <c r="K2027" s="92" t="inlineStr">
        <is>
          <t>O텔레콤</t>
        </is>
      </c>
      <c r="M2027" s="9">
        <f>IF($A2027="","",VALUE($A2027&amp;"")*12+VALUE($B2027&amp;""))</f>
        <v/>
      </c>
      <c r="N2027" s="64">
        <f>IF($A2027="","",IFERROR(INDEX(부서매핑!$C$5:$C$504,MATCH($G2027&amp;"",부서매핑!$A$5:$A$504,0)),"미매핑"))</f>
        <v/>
      </c>
      <c r="O2027" s="9">
        <f>IF($A2027="","",N2027&amp;"|"&amp;$F2027)</f>
        <v/>
      </c>
      <c r="P2027" s="94">
        <f>IF($A2027="",0,$H2027*설정!$C$23)</f>
        <v/>
      </c>
      <c r="Q2027" s="64">
        <f>IF($A2027="","",IF(O2027&lt;&gt;원인분석!$C$9,"",IF(AND(M2027&gt;=원인분석!$C$10,M2027&lt;=원인분석!$C$11),"당기",IF(AND(M2027&gt;=원인분석!$C$12,M2027&lt;=원인분석!$C$13),"비교",""))))</f>
        <v/>
      </c>
      <c r="R2027" s="9">
        <f>IF(Q2027="","",$K2027&amp;"")</f>
        <v/>
      </c>
      <c r="S2027" s="9">
        <f>IF(Q2027="","",IF(MATCH(R2027,$R$5:$R$100000,0)=ROW()-4,ROW(),""))</f>
        <v/>
      </c>
      <c r="T2027" s="9">
        <f>IF(Q2027="당기",ABS(P2027)+ROW()/1000000000,"")</f>
        <v/>
      </c>
      <c r="U2027" s="9">
        <f>IF(Q2027="비교",ABS(P2027)+ROW()/1000000000,"")</f>
        <v/>
      </c>
      <c r="V2027" s="64">
        <f>IF($A2027="","",IF(COUNTIF(변동분석!$E$7:$E$506,O2027)&gt;0,"Y","N"))</f>
        <v/>
      </c>
      <c r="W2027" s="64">
        <f>IF($A2027="","",IFERROR(INDEX(계정매핑!$D$5:$D$504,MATCH($F2027&amp;"",계정매핑!$A$5:$A$504,0)),"미매핑"))</f>
        <v/>
      </c>
      <c r="X2027" s="9">
        <f>IF($A2027="","",$F2027&amp;"")</f>
        <v/>
      </c>
      <c r="Y2027" s="94">
        <f>IF($A2027="",0,IF(AE2027="직접",IF(AF2027="비귀속",$P2027,0),$P2027*(1-AG2027)*IFERROR(INDEX(계정대체기준!$F$20:$F$49,MATCH($N2027,계정대체기준!$A$20:$A$49,0)),1)))</f>
        <v/>
      </c>
      <c r="Z2027" s="94">
        <f>IF($A2027="",0,IF(AE2027="직접",IF(AF2027="신계약비",$P2027,0),$P2027*(1-AG2027)*IFERROR(INDEX(계정대체기준!$C$20:$C$49,MATCH($N2027,계정대체기준!$A$20:$A$49,0)),0)))</f>
        <v/>
      </c>
      <c r="AA2027" s="94">
        <f>IF($A2027="",0,IF(AE2027="직접",IF(OR(AF2027="유지비",AF2027="손해조사비"),$P2027,0),$P2027*(1-AG2027)*IFERROR(INDEX(계정대체기준!$D$20:$D$49,MATCH($N2027,계정대체기준!$A$20:$A$49,0)),0)))</f>
        <v/>
      </c>
      <c r="AB2027" s="94">
        <f>IF($A2027="",0,IF(AE2027="직접",IF(AF2027="수금비",$P2027,0),$P2027*(1-AG2027)*IFERROR(INDEX(계정대체기준!$E$20:$E$49,MATCH($N2027,계정대체기준!$A$20:$A$49,0)),0)))</f>
        <v/>
      </c>
      <c r="AC2027" s="9">
        <f>IF(AND($A2027&lt;&gt;"",M2027=설정!$C$20,Z2027&gt;0),Z2027+ROW()/1000000000,"")</f>
        <v/>
      </c>
      <c r="AD2027" s="94">
        <f>IF($A2027="",0,$P2027*AG2027)</f>
        <v/>
      </c>
      <c r="AE2027" s="64">
        <f>IF($A2027="","",IFERROR(INDEX(계정매핑!$E$5:$E$504,MATCH($F2027&amp;"",계정매핑!$A$5:$A$504,0))&amp;"","공통비"))</f>
        <v/>
      </c>
      <c r="AF2027" s="64">
        <f>IF($A2027="","",IF(AE2027="직접",IFERROR(INDEX(계정매핑!$F$5:$F$504,MATCH($F2027&amp;"",계정매핑!$A$5:$A$504,0))&amp;"","비귀속"),""))</f>
        <v/>
      </c>
      <c r="AG2027" s="96">
        <f>IF($A2027="",0,IF(AND(AE2027&lt;&gt;"직접",IFERROR(INDEX(계정매핑!$G$5:$G$504,MATCH($F2027&amp;"",계정매핑!$A$5:$A$504,0))&amp;"","")="유지비",COUNTIF(계정대체기준!$A$6:$A$15,$N2027)&gt;0),IFERROR(INDEX(계정대체기준!$E$6:$E$15,MATCH(VALUE($A2027&amp;""),계정대체기준!$D$6:$D$15,0)),0),0))</f>
        <v/>
      </c>
      <c r="AH2027" s="64">
        <f>IF($A2027="","",IF(AD2027=0,"",IF(OR(COUNTIF(계정대체기준!$A$77:$A$86,$N2027)&gt;0,ISNUMBER(MATCH($X2027,계정대체기준!$D$77:$D$86,0)),ISNUMBER(MATCH($F2027,계정대체기준!$D$77:$D$86,0))),"Y","N")))</f>
        <v/>
      </c>
    </row>
    <row r="2028">
      <c r="A2028" s="92" t="n">
        <v>2025</v>
      </c>
      <c r="B2028" s="92" t="n">
        <v>9</v>
      </c>
      <c r="C2028" s="92" t="inlineStr">
        <is>
          <t>5100002024</t>
        </is>
      </c>
      <c r="D2028" s="95" t="n">
        <v>45926</v>
      </c>
      <c r="E2028" s="92" t="inlineStr">
        <is>
          <t>KR</t>
        </is>
      </c>
      <c r="F2028" s="92" t="n">
        <v>62201000</v>
      </c>
      <c r="G2028" s="92" t="n">
        <v>1501</v>
      </c>
      <c r="H2028" s="93" t="n">
        <v>307000</v>
      </c>
      <c r="I2028" s="92" t="inlineStr">
        <is>
          <t>9월 통신요금 - O텔레콤</t>
        </is>
      </c>
      <c r="J2028" s="92" t="inlineStr">
        <is>
          <t>V10002</t>
        </is>
      </c>
      <c r="K2028" s="92" t="inlineStr">
        <is>
          <t>O텔레콤</t>
        </is>
      </c>
      <c r="M2028" s="9">
        <f>IF($A2028="","",VALUE($A2028&amp;"")*12+VALUE($B2028&amp;""))</f>
        <v/>
      </c>
      <c r="N2028" s="64">
        <f>IF($A2028="","",IFERROR(INDEX(부서매핑!$C$5:$C$504,MATCH($G2028&amp;"",부서매핑!$A$5:$A$504,0)),"미매핑"))</f>
        <v/>
      </c>
      <c r="O2028" s="9">
        <f>IF($A2028="","",N2028&amp;"|"&amp;$F2028)</f>
        <v/>
      </c>
      <c r="P2028" s="94">
        <f>IF($A2028="",0,$H2028*설정!$C$23)</f>
        <v/>
      </c>
      <c r="Q2028" s="64">
        <f>IF($A2028="","",IF(O2028&lt;&gt;원인분석!$C$9,"",IF(AND(M2028&gt;=원인분석!$C$10,M2028&lt;=원인분석!$C$11),"당기",IF(AND(M2028&gt;=원인분석!$C$12,M2028&lt;=원인분석!$C$13),"비교",""))))</f>
        <v/>
      </c>
      <c r="R2028" s="9">
        <f>IF(Q2028="","",$K2028&amp;"")</f>
        <v/>
      </c>
      <c r="S2028" s="9">
        <f>IF(Q2028="","",IF(MATCH(R2028,$R$5:$R$100000,0)=ROW()-4,ROW(),""))</f>
        <v/>
      </c>
      <c r="T2028" s="9">
        <f>IF(Q2028="당기",ABS(P2028)+ROW()/1000000000,"")</f>
        <v/>
      </c>
      <c r="U2028" s="9">
        <f>IF(Q2028="비교",ABS(P2028)+ROW()/1000000000,"")</f>
        <v/>
      </c>
      <c r="V2028" s="64">
        <f>IF($A2028="","",IF(COUNTIF(변동분석!$E$7:$E$506,O2028)&gt;0,"Y","N"))</f>
        <v/>
      </c>
      <c r="W2028" s="64">
        <f>IF($A2028="","",IFERROR(INDEX(계정매핑!$D$5:$D$504,MATCH($F2028&amp;"",계정매핑!$A$5:$A$504,0)),"미매핑"))</f>
        <v/>
      </c>
      <c r="X2028" s="9">
        <f>IF($A2028="","",$F2028&amp;"")</f>
        <v/>
      </c>
      <c r="Y2028" s="94">
        <f>IF($A2028="",0,IF(AE2028="직접",IF(AF2028="비귀속",$P2028,0),$P2028*(1-AG2028)*IFERROR(INDEX(계정대체기준!$F$20:$F$49,MATCH($N2028,계정대체기준!$A$20:$A$49,0)),1)))</f>
        <v/>
      </c>
      <c r="Z2028" s="94">
        <f>IF($A2028="",0,IF(AE2028="직접",IF(AF2028="신계약비",$P2028,0),$P2028*(1-AG2028)*IFERROR(INDEX(계정대체기준!$C$20:$C$49,MATCH($N2028,계정대체기준!$A$20:$A$49,0)),0)))</f>
        <v/>
      </c>
      <c r="AA2028" s="94">
        <f>IF($A2028="",0,IF(AE2028="직접",IF(OR(AF2028="유지비",AF2028="손해조사비"),$P2028,0),$P2028*(1-AG2028)*IFERROR(INDEX(계정대체기준!$D$20:$D$49,MATCH($N2028,계정대체기준!$A$20:$A$49,0)),0)))</f>
        <v/>
      </c>
      <c r="AB2028" s="94">
        <f>IF($A2028="",0,IF(AE2028="직접",IF(AF2028="수금비",$P2028,0),$P2028*(1-AG2028)*IFERROR(INDEX(계정대체기준!$E$20:$E$49,MATCH($N2028,계정대체기준!$A$20:$A$49,0)),0)))</f>
        <v/>
      </c>
      <c r="AC2028" s="9">
        <f>IF(AND($A2028&lt;&gt;"",M2028=설정!$C$20,Z2028&gt;0),Z2028+ROW()/1000000000,"")</f>
        <v/>
      </c>
      <c r="AD2028" s="94">
        <f>IF($A2028="",0,$P2028*AG2028)</f>
        <v/>
      </c>
      <c r="AE2028" s="64">
        <f>IF($A2028="","",IFERROR(INDEX(계정매핑!$E$5:$E$504,MATCH($F2028&amp;"",계정매핑!$A$5:$A$504,0))&amp;"","공통비"))</f>
        <v/>
      </c>
      <c r="AF2028" s="64">
        <f>IF($A2028="","",IF(AE2028="직접",IFERROR(INDEX(계정매핑!$F$5:$F$504,MATCH($F2028&amp;"",계정매핑!$A$5:$A$504,0))&amp;"","비귀속"),""))</f>
        <v/>
      </c>
      <c r="AG2028" s="96">
        <f>IF($A2028="",0,IF(AND(AE2028&lt;&gt;"직접",IFERROR(INDEX(계정매핑!$G$5:$G$504,MATCH($F2028&amp;"",계정매핑!$A$5:$A$504,0))&amp;"","")="유지비",COUNTIF(계정대체기준!$A$6:$A$15,$N2028)&gt;0),IFERROR(INDEX(계정대체기준!$E$6:$E$15,MATCH(VALUE($A2028&amp;""),계정대체기준!$D$6:$D$15,0)),0),0))</f>
        <v/>
      </c>
      <c r="AH2028" s="64">
        <f>IF($A2028="","",IF(AD2028=0,"",IF(OR(COUNTIF(계정대체기준!$A$77:$A$86,$N2028)&gt;0,ISNUMBER(MATCH($X2028,계정대체기준!$D$77:$D$86,0)),ISNUMBER(MATCH($F2028,계정대체기준!$D$77:$D$86,0))),"Y","N")))</f>
        <v/>
      </c>
    </row>
    <row r="2029">
      <c r="A2029" s="92" t="n">
        <v>2025</v>
      </c>
      <c r="B2029" s="92" t="n">
        <v>9</v>
      </c>
      <c r="C2029" s="92" t="inlineStr">
        <is>
          <t>5100002025</t>
        </is>
      </c>
      <c r="D2029" s="95" t="n">
        <v>45926</v>
      </c>
      <c r="E2029" s="92" t="inlineStr">
        <is>
          <t>KR</t>
        </is>
      </c>
      <c r="F2029" s="92" t="n">
        <v>62301000</v>
      </c>
      <c r="G2029" s="92" t="n">
        <v>1501</v>
      </c>
      <c r="H2029" s="93" t="n">
        <v>302000</v>
      </c>
      <c r="I2029" s="92" t="inlineStr">
        <is>
          <t>9월 소모품 구입 - R문구</t>
        </is>
      </c>
      <c r="J2029" s="92" t="inlineStr">
        <is>
          <t>V10022</t>
        </is>
      </c>
      <c r="K2029" s="92" t="inlineStr">
        <is>
          <t>R문구</t>
        </is>
      </c>
      <c r="M2029" s="9">
        <f>IF($A2029="","",VALUE($A2029&amp;"")*12+VALUE($B2029&amp;""))</f>
        <v/>
      </c>
      <c r="N2029" s="64">
        <f>IF($A2029="","",IFERROR(INDEX(부서매핑!$C$5:$C$504,MATCH($G2029&amp;"",부서매핑!$A$5:$A$504,0)),"미매핑"))</f>
        <v/>
      </c>
      <c r="O2029" s="9">
        <f>IF($A2029="","",N2029&amp;"|"&amp;$F2029)</f>
        <v/>
      </c>
      <c r="P2029" s="94">
        <f>IF($A2029="",0,$H2029*설정!$C$23)</f>
        <v/>
      </c>
      <c r="Q2029" s="64">
        <f>IF($A2029="","",IF(O2029&lt;&gt;원인분석!$C$9,"",IF(AND(M2029&gt;=원인분석!$C$10,M2029&lt;=원인분석!$C$11),"당기",IF(AND(M2029&gt;=원인분석!$C$12,M2029&lt;=원인분석!$C$13),"비교",""))))</f>
        <v/>
      </c>
      <c r="R2029" s="9">
        <f>IF(Q2029="","",$K2029&amp;"")</f>
        <v/>
      </c>
      <c r="S2029" s="9">
        <f>IF(Q2029="","",IF(MATCH(R2029,$R$5:$R$100000,0)=ROW()-4,ROW(),""))</f>
        <v/>
      </c>
      <c r="T2029" s="9">
        <f>IF(Q2029="당기",ABS(P2029)+ROW()/1000000000,"")</f>
        <v/>
      </c>
      <c r="U2029" s="9">
        <f>IF(Q2029="비교",ABS(P2029)+ROW()/1000000000,"")</f>
        <v/>
      </c>
      <c r="V2029" s="64">
        <f>IF($A2029="","",IF(COUNTIF(변동분석!$E$7:$E$506,O2029)&gt;0,"Y","N"))</f>
        <v/>
      </c>
      <c r="W2029" s="64">
        <f>IF($A2029="","",IFERROR(INDEX(계정매핑!$D$5:$D$504,MATCH($F2029&amp;"",계정매핑!$A$5:$A$504,0)),"미매핑"))</f>
        <v/>
      </c>
      <c r="X2029" s="9">
        <f>IF($A2029="","",$F2029&amp;"")</f>
        <v/>
      </c>
      <c r="Y2029" s="94">
        <f>IF($A2029="",0,IF(AE2029="직접",IF(AF2029="비귀속",$P2029,0),$P2029*(1-AG2029)*IFERROR(INDEX(계정대체기준!$F$20:$F$49,MATCH($N2029,계정대체기준!$A$20:$A$49,0)),1)))</f>
        <v/>
      </c>
      <c r="Z2029" s="94">
        <f>IF($A2029="",0,IF(AE2029="직접",IF(AF2029="신계약비",$P2029,0),$P2029*(1-AG2029)*IFERROR(INDEX(계정대체기준!$C$20:$C$49,MATCH($N2029,계정대체기준!$A$20:$A$49,0)),0)))</f>
        <v/>
      </c>
      <c r="AA2029" s="94">
        <f>IF($A2029="",0,IF(AE2029="직접",IF(OR(AF2029="유지비",AF2029="손해조사비"),$P2029,0),$P2029*(1-AG2029)*IFERROR(INDEX(계정대체기준!$D$20:$D$49,MATCH($N2029,계정대체기준!$A$20:$A$49,0)),0)))</f>
        <v/>
      </c>
      <c r="AB2029" s="94">
        <f>IF($A2029="",0,IF(AE2029="직접",IF(AF2029="수금비",$P2029,0),$P2029*(1-AG2029)*IFERROR(INDEX(계정대체기준!$E$20:$E$49,MATCH($N2029,계정대체기준!$A$20:$A$49,0)),0)))</f>
        <v/>
      </c>
      <c r="AC2029" s="9">
        <f>IF(AND($A2029&lt;&gt;"",M2029=설정!$C$20,Z2029&gt;0),Z2029+ROW()/1000000000,"")</f>
        <v/>
      </c>
      <c r="AD2029" s="94">
        <f>IF($A2029="",0,$P2029*AG2029)</f>
        <v/>
      </c>
      <c r="AE2029" s="64">
        <f>IF($A2029="","",IFERROR(INDEX(계정매핑!$E$5:$E$504,MATCH($F2029&amp;"",계정매핑!$A$5:$A$504,0))&amp;"","공통비"))</f>
        <v/>
      </c>
      <c r="AF2029" s="64">
        <f>IF($A2029="","",IF(AE2029="직접",IFERROR(INDEX(계정매핑!$F$5:$F$504,MATCH($F2029&amp;"",계정매핑!$A$5:$A$504,0))&amp;"","비귀속"),""))</f>
        <v/>
      </c>
      <c r="AG2029" s="96">
        <f>IF($A2029="",0,IF(AND(AE2029&lt;&gt;"직접",IFERROR(INDEX(계정매핑!$G$5:$G$504,MATCH($F2029&amp;"",계정매핑!$A$5:$A$504,0))&amp;"","")="유지비",COUNTIF(계정대체기준!$A$6:$A$15,$N2029)&gt;0),IFERROR(INDEX(계정대체기준!$E$6:$E$15,MATCH(VALUE($A2029&amp;""),계정대체기준!$D$6:$D$15,0)),0),0))</f>
        <v/>
      </c>
      <c r="AH2029" s="64">
        <f>IF($A2029="","",IF(AD2029=0,"",IF(OR(COUNTIF(계정대체기준!$A$77:$A$86,$N2029)&gt;0,ISNUMBER(MATCH($X2029,계정대체기준!$D$77:$D$86,0)),ISNUMBER(MATCH($F2029,계정대체기준!$D$77:$D$86,0))),"Y","N")))</f>
        <v/>
      </c>
    </row>
    <row r="2030">
      <c r="A2030" s="92" t="n">
        <v>2025</v>
      </c>
      <c r="B2030" s="92" t="n">
        <v>9</v>
      </c>
      <c r="C2030" s="92" t="inlineStr">
        <is>
          <t>5100002026</t>
        </is>
      </c>
      <c r="D2030" s="95" t="n">
        <v>45926</v>
      </c>
      <c r="E2030" s="92" t="inlineStr">
        <is>
          <t>KR</t>
        </is>
      </c>
      <c r="F2030" s="92" t="n">
        <v>62301000</v>
      </c>
      <c r="G2030" s="92" t="n">
        <v>1701</v>
      </c>
      <c r="H2030" s="93" t="n">
        <v>300000</v>
      </c>
      <c r="I2030" s="92" t="inlineStr">
        <is>
          <t>9월 소모품 구입 - R문구</t>
        </is>
      </c>
      <c r="J2030" s="92" t="inlineStr">
        <is>
          <t>V10022</t>
        </is>
      </c>
      <c r="K2030" s="92" t="inlineStr">
        <is>
          <t>R문구</t>
        </is>
      </c>
      <c r="M2030" s="9">
        <f>IF($A2030="","",VALUE($A2030&amp;"")*12+VALUE($B2030&amp;""))</f>
        <v/>
      </c>
      <c r="N2030" s="64">
        <f>IF($A2030="","",IFERROR(INDEX(부서매핑!$C$5:$C$504,MATCH($G2030&amp;"",부서매핑!$A$5:$A$504,0)),"미매핑"))</f>
        <v/>
      </c>
      <c r="O2030" s="9">
        <f>IF($A2030="","",N2030&amp;"|"&amp;$F2030)</f>
        <v/>
      </c>
      <c r="P2030" s="94">
        <f>IF($A2030="",0,$H2030*설정!$C$23)</f>
        <v/>
      </c>
      <c r="Q2030" s="64">
        <f>IF($A2030="","",IF(O2030&lt;&gt;원인분석!$C$9,"",IF(AND(M2030&gt;=원인분석!$C$10,M2030&lt;=원인분석!$C$11),"당기",IF(AND(M2030&gt;=원인분석!$C$12,M2030&lt;=원인분석!$C$13),"비교",""))))</f>
        <v/>
      </c>
      <c r="R2030" s="9">
        <f>IF(Q2030="","",$K2030&amp;"")</f>
        <v/>
      </c>
      <c r="S2030" s="9">
        <f>IF(Q2030="","",IF(MATCH(R2030,$R$5:$R$100000,0)=ROW()-4,ROW(),""))</f>
        <v/>
      </c>
      <c r="T2030" s="9">
        <f>IF(Q2030="당기",ABS(P2030)+ROW()/1000000000,"")</f>
        <v/>
      </c>
      <c r="U2030" s="9">
        <f>IF(Q2030="비교",ABS(P2030)+ROW()/1000000000,"")</f>
        <v/>
      </c>
      <c r="V2030" s="64">
        <f>IF($A2030="","",IF(COUNTIF(변동분석!$E$7:$E$506,O2030)&gt;0,"Y","N"))</f>
        <v/>
      </c>
      <c r="W2030" s="64">
        <f>IF($A2030="","",IFERROR(INDEX(계정매핑!$D$5:$D$504,MATCH($F2030&amp;"",계정매핑!$A$5:$A$504,0)),"미매핑"))</f>
        <v/>
      </c>
      <c r="X2030" s="9">
        <f>IF($A2030="","",$F2030&amp;"")</f>
        <v/>
      </c>
      <c r="Y2030" s="94">
        <f>IF($A2030="",0,IF(AE2030="직접",IF(AF2030="비귀속",$P2030,0),$P2030*(1-AG2030)*IFERROR(INDEX(계정대체기준!$F$20:$F$49,MATCH($N2030,계정대체기준!$A$20:$A$49,0)),1)))</f>
        <v/>
      </c>
      <c r="Z2030" s="94">
        <f>IF($A2030="",0,IF(AE2030="직접",IF(AF2030="신계약비",$P2030,0),$P2030*(1-AG2030)*IFERROR(INDEX(계정대체기준!$C$20:$C$49,MATCH($N2030,계정대체기준!$A$20:$A$49,0)),0)))</f>
        <v/>
      </c>
      <c r="AA2030" s="94">
        <f>IF($A2030="",0,IF(AE2030="직접",IF(OR(AF2030="유지비",AF2030="손해조사비"),$P2030,0),$P2030*(1-AG2030)*IFERROR(INDEX(계정대체기준!$D$20:$D$49,MATCH($N2030,계정대체기준!$A$20:$A$49,0)),0)))</f>
        <v/>
      </c>
      <c r="AB2030" s="94">
        <f>IF($A2030="",0,IF(AE2030="직접",IF(AF2030="수금비",$P2030,0),$P2030*(1-AG2030)*IFERROR(INDEX(계정대체기준!$E$20:$E$49,MATCH($N2030,계정대체기준!$A$20:$A$49,0)),0)))</f>
        <v/>
      </c>
      <c r="AC2030" s="9">
        <f>IF(AND($A2030&lt;&gt;"",M2030=설정!$C$20,Z2030&gt;0),Z2030+ROW()/1000000000,"")</f>
        <v/>
      </c>
      <c r="AD2030" s="94">
        <f>IF($A2030="",0,$P2030*AG2030)</f>
        <v/>
      </c>
      <c r="AE2030" s="64">
        <f>IF($A2030="","",IFERROR(INDEX(계정매핑!$E$5:$E$504,MATCH($F2030&amp;"",계정매핑!$A$5:$A$504,0))&amp;"","공통비"))</f>
        <v/>
      </c>
      <c r="AF2030" s="64">
        <f>IF($A2030="","",IF(AE2030="직접",IFERROR(INDEX(계정매핑!$F$5:$F$504,MATCH($F2030&amp;"",계정매핑!$A$5:$A$504,0))&amp;"","비귀속"),""))</f>
        <v/>
      </c>
      <c r="AG2030" s="96">
        <f>IF($A2030="",0,IF(AND(AE2030&lt;&gt;"직접",IFERROR(INDEX(계정매핑!$G$5:$G$504,MATCH($F2030&amp;"",계정매핑!$A$5:$A$504,0))&amp;"","")="유지비",COUNTIF(계정대체기준!$A$6:$A$15,$N2030)&gt;0),IFERROR(INDEX(계정대체기준!$E$6:$E$15,MATCH(VALUE($A2030&amp;""),계정대체기준!$D$6:$D$15,0)),0),0))</f>
        <v/>
      </c>
      <c r="AH2030" s="64">
        <f>IF($A2030="","",IF(AD2030=0,"",IF(OR(COUNTIF(계정대체기준!$A$77:$A$86,$N2030)&gt;0,ISNUMBER(MATCH($X2030,계정대체기준!$D$77:$D$86,0)),ISNUMBER(MATCH($F2030,계정대체기준!$D$77:$D$86,0))),"Y","N")))</f>
        <v/>
      </c>
    </row>
    <row r="2031">
      <c r="A2031" s="92" t="n">
        <v>2025</v>
      </c>
      <c r="B2031" s="92" t="n">
        <v>9</v>
      </c>
      <c r="C2031" s="92" t="inlineStr">
        <is>
          <t>5100002027</t>
        </is>
      </c>
      <c r="D2031" s="95" t="n">
        <v>45926</v>
      </c>
      <c r="E2031" s="92" t="inlineStr">
        <is>
          <t>KR</t>
        </is>
      </c>
      <c r="F2031" s="92" t="n">
        <v>62401000</v>
      </c>
      <c r="G2031" s="92" t="n">
        <v>1501</v>
      </c>
      <c r="H2031" s="93" t="n">
        <v>1388000</v>
      </c>
      <c r="I2031" s="92" t="inlineStr">
        <is>
          <t>9월 인쇄물 제작 - G인쇄</t>
        </is>
      </c>
      <c r="J2031" s="92" t="inlineStr">
        <is>
          <t>V10004</t>
        </is>
      </c>
      <c r="K2031" s="92" t="inlineStr">
        <is>
          <t>G인쇄</t>
        </is>
      </c>
      <c r="M2031" s="9">
        <f>IF($A2031="","",VALUE($A2031&amp;"")*12+VALUE($B2031&amp;""))</f>
        <v/>
      </c>
      <c r="N2031" s="64">
        <f>IF($A2031="","",IFERROR(INDEX(부서매핑!$C$5:$C$504,MATCH($G2031&amp;"",부서매핑!$A$5:$A$504,0)),"미매핑"))</f>
        <v/>
      </c>
      <c r="O2031" s="9">
        <f>IF($A2031="","",N2031&amp;"|"&amp;$F2031)</f>
        <v/>
      </c>
      <c r="P2031" s="94">
        <f>IF($A2031="",0,$H2031*설정!$C$23)</f>
        <v/>
      </c>
      <c r="Q2031" s="64">
        <f>IF($A2031="","",IF(O2031&lt;&gt;원인분석!$C$9,"",IF(AND(M2031&gt;=원인분석!$C$10,M2031&lt;=원인분석!$C$11),"당기",IF(AND(M2031&gt;=원인분석!$C$12,M2031&lt;=원인분석!$C$13),"비교",""))))</f>
        <v/>
      </c>
      <c r="R2031" s="9">
        <f>IF(Q2031="","",$K2031&amp;"")</f>
        <v/>
      </c>
      <c r="S2031" s="9">
        <f>IF(Q2031="","",IF(MATCH(R2031,$R$5:$R$100000,0)=ROW()-4,ROW(),""))</f>
        <v/>
      </c>
      <c r="T2031" s="9">
        <f>IF(Q2031="당기",ABS(P2031)+ROW()/1000000000,"")</f>
        <v/>
      </c>
      <c r="U2031" s="9">
        <f>IF(Q2031="비교",ABS(P2031)+ROW()/1000000000,"")</f>
        <v/>
      </c>
      <c r="V2031" s="64">
        <f>IF($A2031="","",IF(COUNTIF(변동분석!$E$7:$E$506,O2031)&gt;0,"Y","N"))</f>
        <v/>
      </c>
      <c r="W2031" s="64">
        <f>IF($A2031="","",IFERROR(INDEX(계정매핑!$D$5:$D$504,MATCH($F2031&amp;"",계정매핑!$A$5:$A$504,0)),"미매핑"))</f>
        <v/>
      </c>
      <c r="X2031" s="9">
        <f>IF($A2031="","",$F2031&amp;"")</f>
        <v/>
      </c>
      <c r="Y2031" s="94">
        <f>IF($A2031="",0,IF(AE2031="직접",IF(AF2031="비귀속",$P2031,0),$P2031*(1-AG2031)*IFERROR(INDEX(계정대체기준!$F$20:$F$49,MATCH($N2031,계정대체기준!$A$20:$A$49,0)),1)))</f>
        <v/>
      </c>
      <c r="Z2031" s="94">
        <f>IF($A2031="",0,IF(AE2031="직접",IF(AF2031="신계약비",$P2031,0),$P2031*(1-AG2031)*IFERROR(INDEX(계정대체기준!$C$20:$C$49,MATCH($N2031,계정대체기준!$A$20:$A$49,0)),0)))</f>
        <v/>
      </c>
      <c r="AA2031" s="94">
        <f>IF($A2031="",0,IF(AE2031="직접",IF(OR(AF2031="유지비",AF2031="손해조사비"),$P2031,0),$P2031*(1-AG2031)*IFERROR(INDEX(계정대체기준!$D$20:$D$49,MATCH($N2031,계정대체기준!$A$20:$A$49,0)),0)))</f>
        <v/>
      </c>
      <c r="AB2031" s="94">
        <f>IF($A2031="",0,IF(AE2031="직접",IF(AF2031="수금비",$P2031,0),$P2031*(1-AG2031)*IFERROR(INDEX(계정대체기준!$E$20:$E$49,MATCH($N2031,계정대체기준!$A$20:$A$49,0)),0)))</f>
        <v/>
      </c>
      <c r="AC2031" s="9">
        <f>IF(AND($A2031&lt;&gt;"",M2031=설정!$C$20,Z2031&gt;0),Z2031+ROW()/1000000000,"")</f>
        <v/>
      </c>
      <c r="AD2031" s="94">
        <f>IF($A2031="",0,$P2031*AG2031)</f>
        <v/>
      </c>
      <c r="AE2031" s="64">
        <f>IF($A2031="","",IFERROR(INDEX(계정매핑!$E$5:$E$504,MATCH($F2031&amp;"",계정매핑!$A$5:$A$504,0))&amp;"","공통비"))</f>
        <v/>
      </c>
      <c r="AF2031" s="64">
        <f>IF($A2031="","",IF(AE2031="직접",IFERROR(INDEX(계정매핑!$F$5:$F$504,MATCH($F2031&amp;"",계정매핑!$A$5:$A$504,0))&amp;"","비귀속"),""))</f>
        <v/>
      </c>
      <c r="AG2031" s="96">
        <f>IF($A2031="",0,IF(AND(AE2031&lt;&gt;"직접",IFERROR(INDEX(계정매핑!$G$5:$G$504,MATCH($F2031&amp;"",계정매핑!$A$5:$A$504,0))&amp;"","")="유지비",COUNTIF(계정대체기준!$A$6:$A$15,$N2031)&gt;0),IFERROR(INDEX(계정대체기준!$E$6:$E$15,MATCH(VALUE($A2031&amp;""),계정대체기준!$D$6:$D$15,0)),0),0))</f>
        <v/>
      </c>
      <c r="AH2031" s="64">
        <f>IF($A2031="","",IF(AD2031=0,"",IF(OR(COUNTIF(계정대체기준!$A$77:$A$86,$N2031)&gt;0,ISNUMBER(MATCH($X2031,계정대체기준!$D$77:$D$86,0)),ISNUMBER(MATCH($F2031,계정대체기준!$D$77:$D$86,0))),"Y","N")))</f>
        <v/>
      </c>
    </row>
    <row r="2032">
      <c r="A2032" s="92" t="n">
        <v>2025</v>
      </c>
      <c r="B2032" s="92" t="n">
        <v>9</v>
      </c>
      <c r="C2032" s="92" t="inlineStr">
        <is>
          <t>5100002028</t>
        </is>
      </c>
      <c r="D2032" s="95" t="n">
        <v>45926</v>
      </c>
      <c r="E2032" s="92" t="inlineStr">
        <is>
          <t>KR</t>
        </is>
      </c>
      <c r="F2032" s="92" t="n">
        <v>62801000</v>
      </c>
      <c r="G2032" s="92" t="n">
        <v>1301</v>
      </c>
      <c r="H2032" s="93" t="n">
        <v>5123000</v>
      </c>
      <c r="I2032" s="92" t="inlineStr">
        <is>
          <t>9월 사내교육 - (사내강사료)</t>
        </is>
      </c>
      <c r="J2032" s="92" t="inlineStr">
        <is>
          <t>V10024</t>
        </is>
      </c>
      <c r="K2032" s="92" t="inlineStr">
        <is>
          <t>(사내강사료)</t>
        </is>
      </c>
      <c r="M2032" s="9">
        <f>IF($A2032="","",VALUE($A2032&amp;"")*12+VALUE($B2032&amp;""))</f>
        <v/>
      </c>
      <c r="N2032" s="64">
        <f>IF($A2032="","",IFERROR(INDEX(부서매핑!$C$5:$C$504,MATCH($G2032&amp;"",부서매핑!$A$5:$A$504,0)),"미매핑"))</f>
        <v/>
      </c>
      <c r="O2032" s="9">
        <f>IF($A2032="","",N2032&amp;"|"&amp;$F2032)</f>
        <v/>
      </c>
      <c r="P2032" s="94">
        <f>IF($A2032="",0,$H2032*설정!$C$23)</f>
        <v/>
      </c>
      <c r="Q2032" s="64">
        <f>IF($A2032="","",IF(O2032&lt;&gt;원인분석!$C$9,"",IF(AND(M2032&gt;=원인분석!$C$10,M2032&lt;=원인분석!$C$11),"당기",IF(AND(M2032&gt;=원인분석!$C$12,M2032&lt;=원인분석!$C$13),"비교",""))))</f>
        <v/>
      </c>
      <c r="R2032" s="9">
        <f>IF(Q2032="","",$K2032&amp;"")</f>
        <v/>
      </c>
      <c r="S2032" s="9">
        <f>IF(Q2032="","",IF(MATCH(R2032,$R$5:$R$100000,0)=ROW()-4,ROW(),""))</f>
        <v/>
      </c>
      <c r="T2032" s="9">
        <f>IF(Q2032="당기",ABS(P2032)+ROW()/1000000000,"")</f>
        <v/>
      </c>
      <c r="U2032" s="9">
        <f>IF(Q2032="비교",ABS(P2032)+ROW()/1000000000,"")</f>
        <v/>
      </c>
      <c r="V2032" s="64">
        <f>IF($A2032="","",IF(COUNTIF(변동분석!$E$7:$E$506,O2032)&gt;0,"Y","N"))</f>
        <v/>
      </c>
      <c r="W2032" s="64">
        <f>IF($A2032="","",IFERROR(INDEX(계정매핑!$D$5:$D$504,MATCH($F2032&amp;"",계정매핑!$A$5:$A$504,0)),"미매핑"))</f>
        <v/>
      </c>
      <c r="X2032" s="9">
        <f>IF($A2032="","",$F2032&amp;"")</f>
        <v/>
      </c>
      <c r="Y2032" s="94">
        <f>IF($A2032="",0,IF(AE2032="직접",IF(AF2032="비귀속",$P2032,0),$P2032*(1-AG2032)*IFERROR(INDEX(계정대체기준!$F$20:$F$49,MATCH($N2032,계정대체기준!$A$20:$A$49,0)),1)))</f>
        <v/>
      </c>
      <c r="Z2032" s="94">
        <f>IF($A2032="",0,IF(AE2032="직접",IF(AF2032="신계약비",$P2032,0),$P2032*(1-AG2032)*IFERROR(INDEX(계정대체기준!$C$20:$C$49,MATCH($N2032,계정대체기준!$A$20:$A$49,0)),0)))</f>
        <v/>
      </c>
      <c r="AA2032" s="94">
        <f>IF($A2032="",0,IF(AE2032="직접",IF(OR(AF2032="유지비",AF2032="손해조사비"),$P2032,0),$P2032*(1-AG2032)*IFERROR(INDEX(계정대체기준!$D$20:$D$49,MATCH($N2032,계정대체기준!$A$20:$A$49,0)),0)))</f>
        <v/>
      </c>
      <c r="AB2032" s="94">
        <f>IF($A2032="",0,IF(AE2032="직접",IF(AF2032="수금비",$P2032,0),$P2032*(1-AG2032)*IFERROR(INDEX(계정대체기준!$E$20:$E$49,MATCH($N2032,계정대체기준!$A$20:$A$49,0)),0)))</f>
        <v/>
      </c>
      <c r="AC2032" s="9">
        <f>IF(AND($A2032&lt;&gt;"",M2032=설정!$C$20,Z2032&gt;0),Z2032+ROW()/1000000000,"")</f>
        <v/>
      </c>
      <c r="AD2032" s="94">
        <f>IF($A2032="",0,$P2032*AG2032)</f>
        <v/>
      </c>
      <c r="AE2032" s="64">
        <f>IF($A2032="","",IFERROR(INDEX(계정매핑!$E$5:$E$504,MATCH($F2032&amp;"",계정매핑!$A$5:$A$504,0))&amp;"","공통비"))</f>
        <v/>
      </c>
      <c r="AF2032" s="64">
        <f>IF($A2032="","",IF(AE2032="직접",IFERROR(INDEX(계정매핑!$F$5:$F$504,MATCH($F2032&amp;"",계정매핑!$A$5:$A$504,0))&amp;"","비귀속"),""))</f>
        <v/>
      </c>
      <c r="AG2032" s="96">
        <f>IF($A2032="",0,IF(AND(AE2032&lt;&gt;"직접",IFERROR(INDEX(계정매핑!$G$5:$G$504,MATCH($F2032&amp;"",계정매핑!$A$5:$A$504,0))&amp;"","")="유지비",COUNTIF(계정대체기준!$A$6:$A$15,$N2032)&gt;0),IFERROR(INDEX(계정대체기준!$E$6:$E$15,MATCH(VALUE($A2032&amp;""),계정대체기준!$D$6:$D$15,0)),0),0))</f>
        <v/>
      </c>
      <c r="AH2032" s="64">
        <f>IF($A2032="","",IF(AD2032=0,"",IF(OR(COUNTIF(계정대체기준!$A$77:$A$86,$N2032)&gt;0,ISNUMBER(MATCH($X2032,계정대체기준!$D$77:$D$86,0)),ISNUMBER(MATCH($F2032,계정대체기준!$D$77:$D$86,0))),"Y","N")))</f>
        <v/>
      </c>
    </row>
    <row r="2033">
      <c r="A2033" s="92" t="n">
        <v>2025</v>
      </c>
      <c r="B2033" s="92" t="n">
        <v>9</v>
      </c>
      <c r="C2033" s="92" t="inlineStr">
        <is>
          <t>5100002029</t>
        </is>
      </c>
      <c r="D2033" s="95" t="n">
        <v>45926</v>
      </c>
      <c r="E2033" s="92" t="inlineStr">
        <is>
          <t>KR</t>
        </is>
      </c>
      <c r="F2033" s="92" t="n">
        <v>62901000</v>
      </c>
      <c r="G2033" s="92" t="n">
        <v>1951</v>
      </c>
      <c r="H2033" s="93" t="n">
        <v>7514000</v>
      </c>
      <c r="I2033" s="92" t="inlineStr">
        <is>
          <t>9월 자문 수수료 - W컨설팅</t>
        </is>
      </c>
      <c r="J2033" s="92" t="inlineStr">
        <is>
          <t>V10006</t>
        </is>
      </c>
      <c r="K2033" s="92" t="inlineStr">
        <is>
          <t>W컨설팅</t>
        </is>
      </c>
      <c r="M2033" s="9">
        <f>IF($A2033="","",VALUE($A2033&amp;"")*12+VALUE($B2033&amp;""))</f>
        <v/>
      </c>
      <c r="N2033" s="64">
        <f>IF($A2033="","",IFERROR(INDEX(부서매핑!$C$5:$C$504,MATCH($G2033&amp;"",부서매핑!$A$5:$A$504,0)),"미매핑"))</f>
        <v/>
      </c>
      <c r="O2033" s="9">
        <f>IF($A2033="","",N2033&amp;"|"&amp;$F2033)</f>
        <v/>
      </c>
      <c r="P2033" s="94">
        <f>IF($A2033="",0,$H2033*설정!$C$23)</f>
        <v/>
      </c>
      <c r="Q2033" s="64">
        <f>IF($A2033="","",IF(O2033&lt;&gt;원인분석!$C$9,"",IF(AND(M2033&gt;=원인분석!$C$10,M2033&lt;=원인분석!$C$11),"당기",IF(AND(M2033&gt;=원인분석!$C$12,M2033&lt;=원인분석!$C$13),"비교",""))))</f>
        <v/>
      </c>
      <c r="R2033" s="9">
        <f>IF(Q2033="","",$K2033&amp;"")</f>
        <v/>
      </c>
      <c r="S2033" s="9">
        <f>IF(Q2033="","",IF(MATCH(R2033,$R$5:$R$100000,0)=ROW()-4,ROW(),""))</f>
        <v/>
      </c>
      <c r="T2033" s="9">
        <f>IF(Q2033="당기",ABS(P2033)+ROW()/1000000000,"")</f>
        <v/>
      </c>
      <c r="U2033" s="9">
        <f>IF(Q2033="비교",ABS(P2033)+ROW()/1000000000,"")</f>
        <v/>
      </c>
      <c r="V2033" s="64">
        <f>IF($A2033="","",IF(COUNTIF(변동분석!$E$7:$E$506,O2033)&gt;0,"Y","N"))</f>
        <v/>
      </c>
      <c r="W2033" s="64">
        <f>IF($A2033="","",IFERROR(INDEX(계정매핑!$D$5:$D$504,MATCH($F2033&amp;"",계정매핑!$A$5:$A$504,0)),"미매핑"))</f>
        <v/>
      </c>
      <c r="X2033" s="9">
        <f>IF($A2033="","",$F2033&amp;"")</f>
        <v/>
      </c>
      <c r="Y2033" s="94">
        <f>IF($A2033="",0,IF(AE2033="직접",IF(AF2033="비귀속",$P2033,0),$P2033*(1-AG2033)*IFERROR(INDEX(계정대체기준!$F$20:$F$49,MATCH($N2033,계정대체기준!$A$20:$A$49,0)),1)))</f>
        <v/>
      </c>
      <c r="Z2033" s="94">
        <f>IF($A2033="",0,IF(AE2033="직접",IF(AF2033="신계약비",$P2033,0),$P2033*(1-AG2033)*IFERROR(INDEX(계정대체기준!$C$20:$C$49,MATCH($N2033,계정대체기준!$A$20:$A$49,0)),0)))</f>
        <v/>
      </c>
      <c r="AA2033" s="94">
        <f>IF($A2033="",0,IF(AE2033="직접",IF(OR(AF2033="유지비",AF2033="손해조사비"),$P2033,0),$P2033*(1-AG2033)*IFERROR(INDEX(계정대체기준!$D$20:$D$49,MATCH($N2033,계정대체기준!$A$20:$A$49,0)),0)))</f>
        <v/>
      </c>
      <c r="AB2033" s="94">
        <f>IF($A2033="",0,IF(AE2033="직접",IF(AF2033="수금비",$P2033,0),$P2033*(1-AG2033)*IFERROR(INDEX(계정대체기준!$E$20:$E$49,MATCH($N2033,계정대체기준!$A$20:$A$49,0)),0)))</f>
        <v/>
      </c>
      <c r="AC2033" s="9">
        <f>IF(AND($A2033&lt;&gt;"",M2033=설정!$C$20,Z2033&gt;0),Z2033+ROW()/1000000000,"")</f>
        <v/>
      </c>
      <c r="AD2033" s="94">
        <f>IF($A2033="",0,$P2033*AG2033)</f>
        <v/>
      </c>
      <c r="AE2033" s="64">
        <f>IF($A2033="","",IFERROR(INDEX(계정매핑!$E$5:$E$504,MATCH($F2033&amp;"",계정매핑!$A$5:$A$504,0))&amp;"","공통비"))</f>
        <v/>
      </c>
      <c r="AF2033" s="64">
        <f>IF($A2033="","",IF(AE2033="직접",IFERROR(INDEX(계정매핑!$F$5:$F$504,MATCH($F2033&amp;"",계정매핑!$A$5:$A$504,0))&amp;"","비귀속"),""))</f>
        <v/>
      </c>
      <c r="AG2033" s="96">
        <f>IF($A2033="",0,IF(AND(AE2033&lt;&gt;"직접",IFERROR(INDEX(계정매핑!$G$5:$G$504,MATCH($F2033&amp;"",계정매핑!$A$5:$A$504,0))&amp;"","")="유지비",COUNTIF(계정대체기준!$A$6:$A$15,$N2033)&gt;0),IFERROR(INDEX(계정대체기준!$E$6:$E$15,MATCH(VALUE($A2033&amp;""),계정대체기준!$D$6:$D$15,0)),0),0))</f>
        <v/>
      </c>
      <c r="AH2033" s="64">
        <f>IF($A2033="","",IF(AD2033=0,"",IF(OR(COUNTIF(계정대체기준!$A$77:$A$86,$N2033)&gt;0,ISNUMBER(MATCH($X2033,계정대체기준!$D$77:$D$86,0)),ISNUMBER(MATCH($F2033,계정대체기준!$D$77:$D$86,0))),"Y","N")))</f>
        <v/>
      </c>
    </row>
    <row r="2034">
      <c r="A2034" s="92" t="n">
        <v>2025</v>
      </c>
      <c r="B2034" s="92" t="n">
        <v>9</v>
      </c>
      <c r="C2034" s="92" t="inlineStr">
        <is>
          <t>5100002030</t>
        </is>
      </c>
      <c r="D2034" s="95" t="n">
        <v>45926</v>
      </c>
      <c r="E2034" s="92" t="inlineStr">
        <is>
          <t>KR</t>
        </is>
      </c>
      <c r="F2034" s="92" t="n">
        <v>63201000</v>
      </c>
      <c r="G2034" s="92" t="n">
        <v>1602</v>
      </c>
      <c r="H2034" s="93" t="n">
        <v>1783000</v>
      </c>
      <c r="I2034" s="92" t="inlineStr">
        <is>
          <t>9월 차량 유지 - H에너지</t>
        </is>
      </c>
      <c r="J2034" s="92" t="inlineStr">
        <is>
          <t>V10030</t>
        </is>
      </c>
      <c r="K2034" s="92" t="inlineStr">
        <is>
          <t>H에너지</t>
        </is>
      </c>
      <c r="M2034" s="9">
        <f>IF($A2034="","",VALUE($A2034&amp;"")*12+VALUE($B2034&amp;""))</f>
        <v/>
      </c>
      <c r="N2034" s="64">
        <f>IF($A2034="","",IFERROR(INDEX(부서매핑!$C$5:$C$504,MATCH($G2034&amp;"",부서매핑!$A$5:$A$504,0)),"미매핑"))</f>
        <v/>
      </c>
      <c r="O2034" s="9">
        <f>IF($A2034="","",N2034&amp;"|"&amp;$F2034)</f>
        <v/>
      </c>
      <c r="P2034" s="94">
        <f>IF($A2034="",0,$H2034*설정!$C$23)</f>
        <v/>
      </c>
      <c r="Q2034" s="64">
        <f>IF($A2034="","",IF(O2034&lt;&gt;원인분석!$C$9,"",IF(AND(M2034&gt;=원인분석!$C$10,M2034&lt;=원인분석!$C$11),"당기",IF(AND(M2034&gt;=원인분석!$C$12,M2034&lt;=원인분석!$C$13),"비교",""))))</f>
        <v/>
      </c>
      <c r="R2034" s="9">
        <f>IF(Q2034="","",$K2034&amp;"")</f>
        <v/>
      </c>
      <c r="S2034" s="9">
        <f>IF(Q2034="","",IF(MATCH(R2034,$R$5:$R$100000,0)=ROW()-4,ROW(),""))</f>
        <v/>
      </c>
      <c r="T2034" s="9">
        <f>IF(Q2034="당기",ABS(P2034)+ROW()/1000000000,"")</f>
        <v/>
      </c>
      <c r="U2034" s="9">
        <f>IF(Q2034="비교",ABS(P2034)+ROW()/1000000000,"")</f>
        <v/>
      </c>
      <c r="V2034" s="64">
        <f>IF($A2034="","",IF(COUNTIF(변동분석!$E$7:$E$506,O2034)&gt;0,"Y","N"))</f>
        <v/>
      </c>
      <c r="W2034" s="64">
        <f>IF($A2034="","",IFERROR(INDEX(계정매핑!$D$5:$D$504,MATCH($F2034&amp;"",계정매핑!$A$5:$A$504,0)),"미매핑"))</f>
        <v/>
      </c>
      <c r="X2034" s="9">
        <f>IF($A2034="","",$F2034&amp;"")</f>
        <v/>
      </c>
      <c r="Y2034" s="94">
        <f>IF($A2034="",0,IF(AE2034="직접",IF(AF2034="비귀속",$P2034,0),$P2034*(1-AG2034)*IFERROR(INDEX(계정대체기준!$F$20:$F$49,MATCH($N2034,계정대체기준!$A$20:$A$49,0)),1)))</f>
        <v/>
      </c>
      <c r="Z2034" s="94">
        <f>IF($A2034="",0,IF(AE2034="직접",IF(AF2034="신계약비",$P2034,0),$P2034*(1-AG2034)*IFERROR(INDEX(계정대체기준!$C$20:$C$49,MATCH($N2034,계정대체기준!$A$20:$A$49,0)),0)))</f>
        <v/>
      </c>
      <c r="AA2034" s="94">
        <f>IF($A2034="",0,IF(AE2034="직접",IF(OR(AF2034="유지비",AF2034="손해조사비"),$P2034,0),$P2034*(1-AG2034)*IFERROR(INDEX(계정대체기준!$D$20:$D$49,MATCH($N2034,계정대체기준!$A$20:$A$49,0)),0)))</f>
        <v/>
      </c>
      <c r="AB2034" s="94">
        <f>IF($A2034="",0,IF(AE2034="직접",IF(AF2034="수금비",$P2034,0),$P2034*(1-AG2034)*IFERROR(INDEX(계정대체기준!$E$20:$E$49,MATCH($N2034,계정대체기준!$A$20:$A$49,0)),0)))</f>
        <v/>
      </c>
      <c r="AC2034" s="9">
        <f>IF(AND($A2034&lt;&gt;"",M2034=설정!$C$20,Z2034&gt;0),Z2034+ROW()/1000000000,"")</f>
        <v/>
      </c>
      <c r="AD2034" s="94">
        <f>IF($A2034="",0,$P2034*AG2034)</f>
        <v/>
      </c>
      <c r="AE2034" s="64">
        <f>IF($A2034="","",IFERROR(INDEX(계정매핑!$E$5:$E$504,MATCH($F2034&amp;"",계정매핑!$A$5:$A$504,0))&amp;"","공통비"))</f>
        <v/>
      </c>
      <c r="AF2034" s="64">
        <f>IF($A2034="","",IF(AE2034="직접",IFERROR(INDEX(계정매핑!$F$5:$F$504,MATCH($F2034&amp;"",계정매핑!$A$5:$A$504,0))&amp;"","비귀속"),""))</f>
        <v/>
      </c>
      <c r="AG2034" s="96">
        <f>IF($A2034="",0,IF(AND(AE2034&lt;&gt;"직접",IFERROR(INDEX(계정매핑!$G$5:$G$504,MATCH($F2034&amp;"",계정매핑!$A$5:$A$504,0))&amp;"","")="유지비",COUNTIF(계정대체기준!$A$6:$A$15,$N2034)&gt;0),IFERROR(INDEX(계정대체기준!$E$6:$E$15,MATCH(VALUE($A2034&amp;""),계정대체기준!$D$6:$D$15,0)),0),0))</f>
        <v/>
      </c>
      <c r="AH2034" s="64">
        <f>IF($A2034="","",IF(AD2034=0,"",IF(OR(COUNTIF(계정대체기준!$A$77:$A$86,$N2034)&gt;0,ISNUMBER(MATCH($X2034,계정대체기준!$D$77:$D$86,0)),ISNUMBER(MATCH($F2034,계정대체기준!$D$77:$D$86,0))),"Y","N")))</f>
        <v/>
      </c>
    </row>
    <row r="2035">
      <c r="A2035" s="92" t="n">
        <v>2025</v>
      </c>
      <c r="B2035" s="92" t="n">
        <v>9</v>
      </c>
      <c r="C2035" s="92" t="inlineStr">
        <is>
          <t>5100002031</t>
        </is>
      </c>
      <c r="D2035" s="95" t="n">
        <v>45927</v>
      </c>
      <c r="E2035" s="92" t="inlineStr">
        <is>
          <t>KR</t>
        </is>
      </c>
      <c r="F2035" s="92" t="n">
        <v>62101000</v>
      </c>
      <c r="G2035" s="92" t="n">
        <v>1201</v>
      </c>
      <c r="H2035" s="93" t="n">
        <v>135000</v>
      </c>
      <c r="I2035" s="92" t="inlineStr">
        <is>
          <t>9월 국내출장 - M항공</t>
        </is>
      </c>
      <c r="J2035" s="92" t="inlineStr">
        <is>
          <t>V10001</t>
        </is>
      </c>
      <c r="K2035" s="92" t="inlineStr">
        <is>
          <t>M항공</t>
        </is>
      </c>
      <c r="M2035" s="9">
        <f>IF($A2035="","",VALUE($A2035&amp;"")*12+VALUE($B2035&amp;""))</f>
        <v/>
      </c>
      <c r="N2035" s="64">
        <f>IF($A2035="","",IFERROR(INDEX(부서매핑!$C$5:$C$504,MATCH($G2035&amp;"",부서매핑!$A$5:$A$504,0)),"미매핑"))</f>
        <v/>
      </c>
      <c r="O2035" s="9">
        <f>IF($A2035="","",N2035&amp;"|"&amp;$F2035)</f>
        <v/>
      </c>
      <c r="P2035" s="94">
        <f>IF($A2035="",0,$H2035*설정!$C$23)</f>
        <v/>
      </c>
      <c r="Q2035" s="64">
        <f>IF($A2035="","",IF(O2035&lt;&gt;원인분석!$C$9,"",IF(AND(M2035&gt;=원인분석!$C$10,M2035&lt;=원인분석!$C$11),"당기",IF(AND(M2035&gt;=원인분석!$C$12,M2035&lt;=원인분석!$C$13),"비교",""))))</f>
        <v/>
      </c>
      <c r="R2035" s="9">
        <f>IF(Q2035="","",$K2035&amp;"")</f>
        <v/>
      </c>
      <c r="S2035" s="9">
        <f>IF(Q2035="","",IF(MATCH(R2035,$R$5:$R$100000,0)=ROW()-4,ROW(),""))</f>
        <v/>
      </c>
      <c r="T2035" s="9">
        <f>IF(Q2035="당기",ABS(P2035)+ROW()/1000000000,"")</f>
        <v/>
      </c>
      <c r="U2035" s="9">
        <f>IF(Q2035="비교",ABS(P2035)+ROW()/1000000000,"")</f>
        <v/>
      </c>
      <c r="V2035" s="64">
        <f>IF($A2035="","",IF(COUNTIF(변동분석!$E$7:$E$506,O2035)&gt;0,"Y","N"))</f>
        <v/>
      </c>
      <c r="W2035" s="64">
        <f>IF($A2035="","",IFERROR(INDEX(계정매핑!$D$5:$D$504,MATCH($F2035&amp;"",계정매핑!$A$5:$A$504,0)),"미매핑"))</f>
        <v/>
      </c>
      <c r="X2035" s="9">
        <f>IF($A2035="","",$F2035&amp;"")</f>
        <v/>
      </c>
      <c r="Y2035" s="94">
        <f>IF($A2035="",0,IF(AE2035="직접",IF(AF2035="비귀속",$P2035,0),$P2035*(1-AG2035)*IFERROR(INDEX(계정대체기준!$F$20:$F$49,MATCH($N2035,계정대체기준!$A$20:$A$49,0)),1)))</f>
        <v/>
      </c>
      <c r="Z2035" s="94">
        <f>IF($A2035="",0,IF(AE2035="직접",IF(AF2035="신계약비",$P2035,0),$P2035*(1-AG2035)*IFERROR(INDEX(계정대체기준!$C$20:$C$49,MATCH($N2035,계정대체기준!$A$20:$A$49,0)),0)))</f>
        <v/>
      </c>
      <c r="AA2035" s="94">
        <f>IF($A2035="",0,IF(AE2035="직접",IF(OR(AF2035="유지비",AF2035="손해조사비"),$P2035,0),$P2035*(1-AG2035)*IFERROR(INDEX(계정대체기준!$D$20:$D$49,MATCH($N2035,계정대체기준!$A$20:$A$49,0)),0)))</f>
        <v/>
      </c>
      <c r="AB2035" s="94">
        <f>IF($A2035="",0,IF(AE2035="직접",IF(AF2035="수금비",$P2035,0),$P2035*(1-AG2035)*IFERROR(INDEX(계정대체기준!$E$20:$E$49,MATCH($N2035,계정대체기준!$A$20:$A$49,0)),0)))</f>
        <v/>
      </c>
      <c r="AC2035" s="9">
        <f>IF(AND($A2035&lt;&gt;"",M2035=설정!$C$20,Z2035&gt;0),Z2035+ROW()/1000000000,"")</f>
        <v/>
      </c>
      <c r="AD2035" s="94">
        <f>IF($A2035="",0,$P2035*AG2035)</f>
        <v/>
      </c>
      <c r="AE2035" s="64">
        <f>IF($A2035="","",IFERROR(INDEX(계정매핑!$E$5:$E$504,MATCH($F2035&amp;"",계정매핑!$A$5:$A$504,0))&amp;"","공통비"))</f>
        <v/>
      </c>
      <c r="AF2035" s="64">
        <f>IF($A2035="","",IF(AE2035="직접",IFERROR(INDEX(계정매핑!$F$5:$F$504,MATCH($F2035&amp;"",계정매핑!$A$5:$A$504,0))&amp;"","비귀속"),""))</f>
        <v/>
      </c>
      <c r="AG2035" s="96">
        <f>IF($A2035="",0,IF(AND(AE2035&lt;&gt;"직접",IFERROR(INDEX(계정매핑!$G$5:$G$504,MATCH($F2035&amp;"",계정매핑!$A$5:$A$504,0))&amp;"","")="유지비",COUNTIF(계정대체기준!$A$6:$A$15,$N2035)&gt;0),IFERROR(INDEX(계정대체기준!$E$6:$E$15,MATCH(VALUE($A2035&amp;""),계정대체기준!$D$6:$D$15,0)),0),0))</f>
        <v/>
      </c>
      <c r="AH2035" s="64">
        <f>IF($A2035="","",IF(AD2035=0,"",IF(OR(COUNTIF(계정대체기준!$A$77:$A$86,$N2035)&gt;0,ISNUMBER(MATCH($X2035,계정대체기준!$D$77:$D$86,0)),ISNUMBER(MATCH($F2035,계정대체기준!$D$77:$D$86,0))),"Y","N")))</f>
        <v/>
      </c>
    </row>
    <row r="2036">
      <c r="A2036" s="92" t="n">
        <v>2025</v>
      </c>
      <c r="B2036" s="92" t="n">
        <v>9</v>
      </c>
      <c r="C2036" s="92" t="inlineStr">
        <is>
          <t>5100002032</t>
        </is>
      </c>
      <c r="D2036" s="95" t="n">
        <v>45927</v>
      </c>
      <c r="E2036" s="92" t="inlineStr">
        <is>
          <t>KR</t>
        </is>
      </c>
      <c r="F2036" s="92" t="n">
        <v>62101000</v>
      </c>
      <c r="G2036" s="92" t="n">
        <v>1801</v>
      </c>
      <c r="H2036" s="93" t="n">
        <v>118000</v>
      </c>
      <c r="I2036" s="92" t="inlineStr">
        <is>
          <t>9월 국내출장 - (법인카드)</t>
        </is>
      </c>
      <c r="J2036" s="92" t="inlineStr">
        <is>
          <t>V10010</t>
        </is>
      </c>
      <c r="K2036" s="92" t="inlineStr">
        <is>
          <t>(법인카드)</t>
        </is>
      </c>
      <c r="M2036" s="9">
        <f>IF($A2036="","",VALUE($A2036&amp;"")*12+VALUE($B2036&amp;""))</f>
        <v/>
      </c>
      <c r="N2036" s="64">
        <f>IF($A2036="","",IFERROR(INDEX(부서매핑!$C$5:$C$504,MATCH($G2036&amp;"",부서매핑!$A$5:$A$504,0)),"미매핑"))</f>
        <v/>
      </c>
      <c r="O2036" s="9">
        <f>IF($A2036="","",N2036&amp;"|"&amp;$F2036)</f>
        <v/>
      </c>
      <c r="P2036" s="94">
        <f>IF($A2036="",0,$H2036*설정!$C$23)</f>
        <v/>
      </c>
      <c r="Q2036" s="64">
        <f>IF($A2036="","",IF(O2036&lt;&gt;원인분석!$C$9,"",IF(AND(M2036&gt;=원인분석!$C$10,M2036&lt;=원인분석!$C$11),"당기",IF(AND(M2036&gt;=원인분석!$C$12,M2036&lt;=원인분석!$C$13),"비교",""))))</f>
        <v/>
      </c>
      <c r="R2036" s="9">
        <f>IF(Q2036="","",$K2036&amp;"")</f>
        <v/>
      </c>
      <c r="S2036" s="9">
        <f>IF(Q2036="","",IF(MATCH(R2036,$R$5:$R$100000,0)=ROW()-4,ROW(),""))</f>
        <v/>
      </c>
      <c r="T2036" s="9">
        <f>IF(Q2036="당기",ABS(P2036)+ROW()/1000000000,"")</f>
        <v/>
      </c>
      <c r="U2036" s="9">
        <f>IF(Q2036="비교",ABS(P2036)+ROW()/1000000000,"")</f>
        <v/>
      </c>
      <c r="V2036" s="64">
        <f>IF($A2036="","",IF(COUNTIF(변동분석!$E$7:$E$506,O2036)&gt;0,"Y","N"))</f>
        <v/>
      </c>
      <c r="W2036" s="64">
        <f>IF($A2036="","",IFERROR(INDEX(계정매핑!$D$5:$D$504,MATCH($F2036&amp;"",계정매핑!$A$5:$A$504,0)),"미매핑"))</f>
        <v/>
      </c>
      <c r="X2036" s="9">
        <f>IF($A2036="","",$F2036&amp;"")</f>
        <v/>
      </c>
      <c r="Y2036" s="94">
        <f>IF($A2036="",0,IF(AE2036="직접",IF(AF2036="비귀속",$P2036,0),$P2036*(1-AG2036)*IFERROR(INDEX(계정대체기준!$F$20:$F$49,MATCH($N2036,계정대체기준!$A$20:$A$49,0)),1)))</f>
        <v/>
      </c>
      <c r="Z2036" s="94">
        <f>IF($A2036="",0,IF(AE2036="직접",IF(AF2036="신계약비",$P2036,0),$P2036*(1-AG2036)*IFERROR(INDEX(계정대체기준!$C$20:$C$49,MATCH($N2036,계정대체기준!$A$20:$A$49,0)),0)))</f>
        <v/>
      </c>
      <c r="AA2036" s="94">
        <f>IF($A2036="",0,IF(AE2036="직접",IF(OR(AF2036="유지비",AF2036="손해조사비"),$P2036,0),$P2036*(1-AG2036)*IFERROR(INDEX(계정대체기준!$D$20:$D$49,MATCH($N2036,계정대체기준!$A$20:$A$49,0)),0)))</f>
        <v/>
      </c>
      <c r="AB2036" s="94">
        <f>IF($A2036="",0,IF(AE2036="직접",IF(AF2036="수금비",$P2036,0),$P2036*(1-AG2036)*IFERROR(INDEX(계정대체기준!$E$20:$E$49,MATCH($N2036,계정대체기준!$A$20:$A$49,0)),0)))</f>
        <v/>
      </c>
      <c r="AC2036" s="9">
        <f>IF(AND($A2036&lt;&gt;"",M2036=설정!$C$20,Z2036&gt;0),Z2036+ROW()/1000000000,"")</f>
        <v/>
      </c>
      <c r="AD2036" s="94">
        <f>IF($A2036="",0,$P2036*AG2036)</f>
        <v/>
      </c>
      <c r="AE2036" s="64">
        <f>IF($A2036="","",IFERROR(INDEX(계정매핑!$E$5:$E$504,MATCH($F2036&amp;"",계정매핑!$A$5:$A$504,0))&amp;"","공통비"))</f>
        <v/>
      </c>
      <c r="AF2036" s="64">
        <f>IF($A2036="","",IF(AE2036="직접",IFERROR(INDEX(계정매핑!$F$5:$F$504,MATCH($F2036&amp;"",계정매핑!$A$5:$A$504,0))&amp;"","비귀속"),""))</f>
        <v/>
      </c>
      <c r="AG2036" s="96">
        <f>IF($A2036="",0,IF(AND(AE2036&lt;&gt;"직접",IFERROR(INDEX(계정매핑!$G$5:$G$504,MATCH($F2036&amp;"",계정매핑!$A$5:$A$504,0))&amp;"","")="유지비",COUNTIF(계정대체기준!$A$6:$A$15,$N2036)&gt;0),IFERROR(INDEX(계정대체기준!$E$6:$E$15,MATCH(VALUE($A2036&amp;""),계정대체기준!$D$6:$D$15,0)),0),0))</f>
        <v/>
      </c>
      <c r="AH2036" s="64">
        <f>IF($A2036="","",IF(AD2036=0,"",IF(OR(COUNTIF(계정대체기준!$A$77:$A$86,$N2036)&gt;0,ISNUMBER(MATCH($X2036,계정대체기준!$D$77:$D$86,0)),ISNUMBER(MATCH($F2036,계정대체기준!$D$77:$D$86,0))),"Y","N")))</f>
        <v/>
      </c>
    </row>
    <row r="2037">
      <c r="A2037" s="92" t="n">
        <v>2025</v>
      </c>
      <c r="B2037" s="92" t="n">
        <v>9</v>
      </c>
      <c r="C2037" s="92" t="inlineStr">
        <is>
          <t>5100002033</t>
        </is>
      </c>
      <c r="D2037" s="95" t="n">
        <v>45927</v>
      </c>
      <c r="E2037" s="92" t="inlineStr">
        <is>
          <t>KR</t>
        </is>
      </c>
      <c r="F2037" s="92" t="n">
        <v>62301000</v>
      </c>
      <c r="G2037" s="92" t="n">
        <v>1201</v>
      </c>
      <c r="H2037" s="93" t="n">
        <v>147000</v>
      </c>
      <c r="I2037" s="92" t="inlineStr">
        <is>
          <t>9월 소모품 구입 - Q오피스</t>
        </is>
      </c>
      <c r="J2037" s="92" t="inlineStr">
        <is>
          <t>V10003</t>
        </is>
      </c>
      <c r="K2037" s="92" t="inlineStr">
        <is>
          <t>Q오피스</t>
        </is>
      </c>
      <c r="M2037" s="9">
        <f>IF($A2037="","",VALUE($A2037&amp;"")*12+VALUE($B2037&amp;""))</f>
        <v/>
      </c>
      <c r="N2037" s="64">
        <f>IF($A2037="","",IFERROR(INDEX(부서매핑!$C$5:$C$504,MATCH($G2037&amp;"",부서매핑!$A$5:$A$504,0)),"미매핑"))</f>
        <v/>
      </c>
      <c r="O2037" s="9">
        <f>IF($A2037="","",N2037&amp;"|"&amp;$F2037)</f>
        <v/>
      </c>
      <c r="P2037" s="94">
        <f>IF($A2037="",0,$H2037*설정!$C$23)</f>
        <v/>
      </c>
      <c r="Q2037" s="64">
        <f>IF($A2037="","",IF(O2037&lt;&gt;원인분석!$C$9,"",IF(AND(M2037&gt;=원인분석!$C$10,M2037&lt;=원인분석!$C$11),"당기",IF(AND(M2037&gt;=원인분석!$C$12,M2037&lt;=원인분석!$C$13),"비교",""))))</f>
        <v/>
      </c>
      <c r="R2037" s="9">
        <f>IF(Q2037="","",$K2037&amp;"")</f>
        <v/>
      </c>
      <c r="S2037" s="9">
        <f>IF(Q2037="","",IF(MATCH(R2037,$R$5:$R$100000,0)=ROW()-4,ROW(),""))</f>
        <v/>
      </c>
      <c r="T2037" s="9">
        <f>IF(Q2037="당기",ABS(P2037)+ROW()/1000000000,"")</f>
        <v/>
      </c>
      <c r="U2037" s="9">
        <f>IF(Q2037="비교",ABS(P2037)+ROW()/1000000000,"")</f>
        <v/>
      </c>
      <c r="V2037" s="64">
        <f>IF($A2037="","",IF(COUNTIF(변동분석!$E$7:$E$506,O2037)&gt;0,"Y","N"))</f>
        <v/>
      </c>
      <c r="W2037" s="64">
        <f>IF($A2037="","",IFERROR(INDEX(계정매핑!$D$5:$D$504,MATCH($F2037&amp;"",계정매핑!$A$5:$A$504,0)),"미매핑"))</f>
        <v/>
      </c>
      <c r="X2037" s="9">
        <f>IF($A2037="","",$F2037&amp;"")</f>
        <v/>
      </c>
      <c r="Y2037" s="94">
        <f>IF($A2037="",0,IF(AE2037="직접",IF(AF2037="비귀속",$P2037,0),$P2037*(1-AG2037)*IFERROR(INDEX(계정대체기준!$F$20:$F$49,MATCH($N2037,계정대체기준!$A$20:$A$49,0)),1)))</f>
        <v/>
      </c>
      <c r="Z2037" s="94">
        <f>IF($A2037="",0,IF(AE2037="직접",IF(AF2037="신계약비",$P2037,0),$P2037*(1-AG2037)*IFERROR(INDEX(계정대체기준!$C$20:$C$49,MATCH($N2037,계정대체기준!$A$20:$A$49,0)),0)))</f>
        <v/>
      </c>
      <c r="AA2037" s="94">
        <f>IF($A2037="",0,IF(AE2037="직접",IF(OR(AF2037="유지비",AF2037="손해조사비"),$P2037,0),$P2037*(1-AG2037)*IFERROR(INDEX(계정대체기준!$D$20:$D$49,MATCH($N2037,계정대체기준!$A$20:$A$49,0)),0)))</f>
        <v/>
      </c>
      <c r="AB2037" s="94">
        <f>IF($A2037="",0,IF(AE2037="직접",IF(AF2037="수금비",$P2037,0),$P2037*(1-AG2037)*IFERROR(INDEX(계정대체기준!$E$20:$E$49,MATCH($N2037,계정대체기준!$A$20:$A$49,0)),0)))</f>
        <v/>
      </c>
      <c r="AC2037" s="9">
        <f>IF(AND($A2037&lt;&gt;"",M2037=설정!$C$20,Z2037&gt;0),Z2037+ROW()/1000000000,"")</f>
        <v/>
      </c>
      <c r="AD2037" s="94">
        <f>IF($A2037="",0,$P2037*AG2037)</f>
        <v/>
      </c>
      <c r="AE2037" s="64">
        <f>IF($A2037="","",IFERROR(INDEX(계정매핑!$E$5:$E$504,MATCH($F2037&amp;"",계정매핑!$A$5:$A$504,0))&amp;"","공통비"))</f>
        <v/>
      </c>
      <c r="AF2037" s="64">
        <f>IF($A2037="","",IF(AE2037="직접",IFERROR(INDEX(계정매핑!$F$5:$F$504,MATCH($F2037&amp;"",계정매핑!$A$5:$A$504,0))&amp;"","비귀속"),""))</f>
        <v/>
      </c>
      <c r="AG2037" s="96">
        <f>IF($A2037="",0,IF(AND(AE2037&lt;&gt;"직접",IFERROR(INDEX(계정매핑!$G$5:$G$504,MATCH($F2037&amp;"",계정매핑!$A$5:$A$504,0))&amp;"","")="유지비",COUNTIF(계정대체기준!$A$6:$A$15,$N2037)&gt;0),IFERROR(INDEX(계정대체기준!$E$6:$E$15,MATCH(VALUE($A2037&amp;""),계정대체기준!$D$6:$D$15,0)),0),0))</f>
        <v/>
      </c>
      <c r="AH2037" s="64">
        <f>IF($A2037="","",IF(AD2037=0,"",IF(OR(COUNTIF(계정대체기준!$A$77:$A$86,$N2037)&gt;0,ISNUMBER(MATCH($X2037,계정대체기준!$D$77:$D$86,0)),ISNUMBER(MATCH($F2037,계정대체기준!$D$77:$D$86,0))),"Y","N")))</f>
        <v/>
      </c>
    </row>
    <row r="2038">
      <c r="A2038" s="92" t="n">
        <v>2025</v>
      </c>
      <c r="B2038" s="92" t="n">
        <v>9</v>
      </c>
      <c r="C2038" s="92" t="inlineStr">
        <is>
          <t>5100002034</t>
        </is>
      </c>
      <c r="D2038" s="95" t="n">
        <v>45927</v>
      </c>
      <c r="E2038" s="92" t="inlineStr">
        <is>
          <t>KR</t>
        </is>
      </c>
      <c r="F2038" s="92" t="n">
        <v>62301000</v>
      </c>
      <c r="G2038" s="92" t="n">
        <v>1301</v>
      </c>
      <c r="H2038" s="93" t="n">
        <v>179000</v>
      </c>
      <c r="I2038" s="92" t="inlineStr">
        <is>
          <t>9월 소모품 구입 - R문구</t>
        </is>
      </c>
      <c r="J2038" s="92" t="inlineStr">
        <is>
          <t>V10022</t>
        </is>
      </c>
      <c r="K2038" s="92" t="inlineStr">
        <is>
          <t>R문구</t>
        </is>
      </c>
      <c r="M2038" s="9">
        <f>IF($A2038="","",VALUE($A2038&amp;"")*12+VALUE($B2038&amp;""))</f>
        <v/>
      </c>
      <c r="N2038" s="64">
        <f>IF($A2038="","",IFERROR(INDEX(부서매핑!$C$5:$C$504,MATCH($G2038&amp;"",부서매핑!$A$5:$A$504,0)),"미매핑"))</f>
        <v/>
      </c>
      <c r="O2038" s="9">
        <f>IF($A2038="","",N2038&amp;"|"&amp;$F2038)</f>
        <v/>
      </c>
      <c r="P2038" s="94">
        <f>IF($A2038="",0,$H2038*설정!$C$23)</f>
        <v/>
      </c>
      <c r="Q2038" s="64">
        <f>IF($A2038="","",IF(O2038&lt;&gt;원인분석!$C$9,"",IF(AND(M2038&gt;=원인분석!$C$10,M2038&lt;=원인분석!$C$11),"당기",IF(AND(M2038&gt;=원인분석!$C$12,M2038&lt;=원인분석!$C$13),"비교",""))))</f>
        <v/>
      </c>
      <c r="R2038" s="9">
        <f>IF(Q2038="","",$K2038&amp;"")</f>
        <v/>
      </c>
      <c r="S2038" s="9">
        <f>IF(Q2038="","",IF(MATCH(R2038,$R$5:$R$100000,0)=ROW()-4,ROW(),""))</f>
        <v/>
      </c>
      <c r="T2038" s="9">
        <f>IF(Q2038="당기",ABS(P2038)+ROW()/1000000000,"")</f>
        <v/>
      </c>
      <c r="U2038" s="9">
        <f>IF(Q2038="비교",ABS(P2038)+ROW()/1000000000,"")</f>
        <v/>
      </c>
      <c r="V2038" s="64">
        <f>IF($A2038="","",IF(COUNTIF(변동분석!$E$7:$E$506,O2038)&gt;0,"Y","N"))</f>
        <v/>
      </c>
      <c r="W2038" s="64">
        <f>IF($A2038="","",IFERROR(INDEX(계정매핑!$D$5:$D$504,MATCH($F2038&amp;"",계정매핑!$A$5:$A$504,0)),"미매핑"))</f>
        <v/>
      </c>
      <c r="X2038" s="9">
        <f>IF($A2038="","",$F2038&amp;"")</f>
        <v/>
      </c>
      <c r="Y2038" s="94">
        <f>IF($A2038="",0,IF(AE2038="직접",IF(AF2038="비귀속",$P2038,0),$P2038*(1-AG2038)*IFERROR(INDEX(계정대체기준!$F$20:$F$49,MATCH($N2038,계정대체기준!$A$20:$A$49,0)),1)))</f>
        <v/>
      </c>
      <c r="Z2038" s="94">
        <f>IF($A2038="",0,IF(AE2038="직접",IF(AF2038="신계약비",$P2038,0),$P2038*(1-AG2038)*IFERROR(INDEX(계정대체기준!$C$20:$C$49,MATCH($N2038,계정대체기준!$A$20:$A$49,0)),0)))</f>
        <v/>
      </c>
      <c r="AA2038" s="94">
        <f>IF($A2038="",0,IF(AE2038="직접",IF(OR(AF2038="유지비",AF2038="손해조사비"),$P2038,0),$P2038*(1-AG2038)*IFERROR(INDEX(계정대체기준!$D$20:$D$49,MATCH($N2038,계정대체기준!$A$20:$A$49,0)),0)))</f>
        <v/>
      </c>
      <c r="AB2038" s="94">
        <f>IF($A2038="",0,IF(AE2038="직접",IF(AF2038="수금비",$P2038,0),$P2038*(1-AG2038)*IFERROR(INDEX(계정대체기준!$E$20:$E$49,MATCH($N2038,계정대체기준!$A$20:$A$49,0)),0)))</f>
        <v/>
      </c>
      <c r="AC2038" s="9">
        <f>IF(AND($A2038&lt;&gt;"",M2038=설정!$C$20,Z2038&gt;0),Z2038+ROW()/1000000000,"")</f>
        <v/>
      </c>
      <c r="AD2038" s="94">
        <f>IF($A2038="",0,$P2038*AG2038)</f>
        <v/>
      </c>
      <c r="AE2038" s="64">
        <f>IF($A2038="","",IFERROR(INDEX(계정매핑!$E$5:$E$504,MATCH($F2038&amp;"",계정매핑!$A$5:$A$504,0))&amp;"","공통비"))</f>
        <v/>
      </c>
      <c r="AF2038" s="64">
        <f>IF($A2038="","",IF(AE2038="직접",IFERROR(INDEX(계정매핑!$F$5:$F$504,MATCH($F2038&amp;"",계정매핑!$A$5:$A$504,0))&amp;"","비귀속"),""))</f>
        <v/>
      </c>
      <c r="AG2038" s="96">
        <f>IF($A2038="",0,IF(AND(AE2038&lt;&gt;"직접",IFERROR(INDEX(계정매핑!$G$5:$G$504,MATCH($F2038&amp;"",계정매핑!$A$5:$A$504,0))&amp;"","")="유지비",COUNTIF(계정대체기준!$A$6:$A$15,$N2038)&gt;0),IFERROR(INDEX(계정대체기준!$E$6:$E$15,MATCH(VALUE($A2038&amp;""),계정대체기준!$D$6:$D$15,0)),0),0))</f>
        <v/>
      </c>
      <c r="AH2038" s="64">
        <f>IF($A2038="","",IF(AD2038=0,"",IF(OR(COUNTIF(계정대체기준!$A$77:$A$86,$N2038)&gt;0,ISNUMBER(MATCH($X2038,계정대체기준!$D$77:$D$86,0)),ISNUMBER(MATCH($F2038,계정대체기준!$D$77:$D$86,0))),"Y","N")))</f>
        <v/>
      </c>
    </row>
    <row r="2039">
      <c r="A2039" s="92" t="n">
        <v>2025</v>
      </c>
      <c r="B2039" s="92" t="n">
        <v>9</v>
      </c>
      <c r="C2039" s="92" t="inlineStr">
        <is>
          <t>5100002035</t>
        </is>
      </c>
      <c r="D2039" s="95" t="n">
        <v>45927</v>
      </c>
      <c r="E2039" s="92" t="inlineStr">
        <is>
          <t>KR</t>
        </is>
      </c>
      <c r="F2039" s="92" t="n">
        <v>62901000</v>
      </c>
      <c r="G2039" s="92" t="n">
        <v>1401</v>
      </c>
      <c r="H2039" s="93" t="n">
        <v>5139000</v>
      </c>
      <c r="I2039" s="92" t="inlineStr">
        <is>
          <t>9월 자문 수수료 - W컨설팅</t>
        </is>
      </c>
      <c r="J2039" s="92" t="inlineStr">
        <is>
          <t>V10006</t>
        </is>
      </c>
      <c r="K2039" s="92" t="inlineStr">
        <is>
          <t>W컨설팅</t>
        </is>
      </c>
      <c r="M2039" s="9">
        <f>IF($A2039="","",VALUE($A2039&amp;"")*12+VALUE($B2039&amp;""))</f>
        <v/>
      </c>
      <c r="N2039" s="64">
        <f>IF($A2039="","",IFERROR(INDEX(부서매핑!$C$5:$C$504,MATCH($G2039&amp;"",부서매핑!$A$5:$A$504,0)),"미매핑"))</f>
        <v/>
      </c>
      <c r="O2039" s="9">
        <f>IF($A2039="","",N2039&amp;"|"&amp;$F2039)</f>
        <v/>
      </c>
      <c r="P2039" s="94">
        <f>IF($A2039="",0,$H2039*설정!$C$23)</f>
        <v/>
      </c>
      <c r="Q2039" s="64">
        <f>IF($A2039="","",IF(O2039&lt;&gt;원인분석!$C$9,"",IF(AND(M2039&gt;=원인분석!$C$10,M2039&lt;=원인분석!$C$11),"당기",IF(AND(M2039&gt;=원인분석!$C$12,M2039&lt;=원인분석!$C$13),"비교",""))))</f>
        <v/>
      </c>
      <c r="R2039" s="9">
        <f>IF(Q2039="","",$K2039&amp;"")</f>
        <v/>
      </c>
      <c r="S2039" s="9">
        <f>IF(Q2039="","",IF(MATCH(R2039,$R$5:$R$100000,0)=ROW()-4,ROW(),""))</f>
        <v/>
      </c>
      <c r="T2039" s="9">
        <f>IF(Q2039="당기",ABS(P2039)+ROW()/1000000000,"")</f>
        <v/>
      </c>
      <c r="U2039" s="9">
        <f>IF(Q2039="비교",ABS(P2039)+ROW()/1000000000,"")</f>
        <v/>
      </c>
      <c r="V2039" s="64">
        <f>IF($A2039="","",IF(COUNTIF(변동분석!$E$7:$E$506,O2039)&gt;0,"Y","N"))</f>
        <v/>
      </c>
      <c r="W2039" s="64">
        <f>IF($A2039="","",IFERROR(INDEX(계정매핑!$D$5:$D$504,MATCH($F2039&amp;"",계정매핑!$A$5:$A$504,0)),"미매핑"))</f>
        <v/>
      </c>
      <c r="X2039" s="9">
        <f>IF($A2039="","",$F2039&amp;"")</f>
        <v/>
      </c>
      <c r="Y2039" s="94">
        <f>IF($A2039="",0,IF(AE2039="직접",IF(AF2039="비귀속",$P2039,0),$P2039*(1-AG2039)*IFERROR(INDEX(계정대체기준!$F$20:$F$49,MATCH($N2039,계정대체기준!$A$20:$A$49,0)),1)))</f>
        <v/>
      </c>
      <c r="Z2039" s="94">
        <f>IF($A2039="",0,IF(AE2039="직접",IF(AF2039="신계약비",$P2039,0),$P2039*(1-AG2039)*IFERROR(INDEX(계정대체기준!$C$20:$C$49,MATCH($N2039,계정대체기준!$A$20:$A$49,0)),0)))</f>
        <v/>
      </c>
      <c r="AA2039" s="94">
        <f>IF($A2039="",0,IF(AE2039="직접",IF(OR(AF2039="유지비",AF2039="손해조사비"),$P2039,0),$P2039*(1-AG2039)*IFERROR(INDEX(계정대체기준!$D$20:$D$49,MATCH($N2039,계정대체기준!$A$20:$A$49,0)),0)))</f>
        <v/>
      </c>
      <c r="AB2039" s="94">
        <f>IF($A2039="",0,IF(AE2039="직접",IF(AF2039="수금비",$P2039,0),$P2039*(1-AG2039)*IFERROR(INDEX(계정대체기준!$E$20:$E$49,MATCH($N2039,계정대체기준!$A$20:$A$49,0)),0)))</f>
        <v/>
      </c>
      <c r="AC2039" s="9">
        <f>IF(AND($A2039&lt;&gt;"",M2039=설정!$C$20,Z2039&gt;0),Z2039+ROW()/1000000000,"")</f>
        <v/>
      </c>
      <c r="AD2039" s="94">
        <f>IF($A2039="",0,$P2039*AG2039)</f>
        <v/>
      </c>
      <c r="AE2039" s="64">
        <f>IF($A2039="","",IFERROR(INDEX(계정매핑!$E$5:$E$504,MATCH($F2039&amp;"",계정매핑!$A$5:$A$504,0))&amp;"","공통비"))</f>
        <v/>
      </c>
      <c r="AF2039" s="64">
        <f>IF($A2039="","",IF(AE2039="직접",IFERROR(INDEX(계정매핑!$F$5:$F$504,MATCH($F2039&amp;"",계정매핑!$A$5:$A$504,0))&amp;"","비귀속"),""))</f>
        <v/>
      </c>
      <c r="AG2039" s="96">
        <f>IF($A2039="",0,IF(AND(AE2039&lt;&gt;"직접",IFERROR(INDEX(계정매핑!$G$5:$G$504,MATCH($F2039&amp;"",계정매핑!$A$5:$A$504,0))&amp;"","")="유지비",COUNTIF(계정대체기준!$A$6:$A$15,$N2039)&gt;0),IFERROR(INDEX(계정대체기준!$E$6:$E$15,MATCH(VALUE($A2039&amp;""),계정대체기준!$D$6:$D$15,0)),0),0))</f>
        <v/>
      </c>
      <c r="AH2039" s="64">
        <f>IF($A2039="","",IF(AD2039=0,"",IF(OR(COUNTIF(계정대체기준!$A$77:$A$86,$N2039)&gt;0,ISNUMBER(MATCH($X2039,계정대체기준!$D$77:$D$86,0)),ISNUMBER(MATCH($F2039,계정대체기준!$D$77:$D$86,0))),"Y","N")))</f>
        <v/>
      </c>
    </row>
    <row r="2040">
      <c r="A2040" s="92" t="n">
        <v>2025</v>
      </c>
      <c r="B2040" s="92" t="n">
        <v>10</v>
      </c>
      <c r="C2040" s="92" t="inlineStr">
        <is>
          <t>5100002036</t>
        </is>
      </c>
      <c r="D2040" s="95" t="n">
        <v>45932</v>
      </c>
      <c r="E2040" s="92" t="inlineStr">
        <is>
          <t>KR</t>
        </is>
      </c>
      <c r="F2040" s="92" t="n">
        <v>62101000</v>
      </c>
      <c r="G2040" s="92" t="n">
        <v>1951</v>
      </c>
      <c r="H2040" s="93" t="n">
        <v>374000</v>
      </c>
      <c r="I2040" s="92" t="inlineStr">
        <is>
          <t>10월 국내출장 - L여행사</t>
        </is>
      </c>
      <c r="J2040" s="92" t="inlineStr">
        <is>
          <t>V10018</t>
        </is>
      </c>
      <c r="K2040" s="92" t="inlineStr">
        <is>
          <t>L여행사</t>
        </is>
      </c>
      <c r="M2040" s="9">
        <f>IF($A2040="","",VALUE($A2040&amp;"")*12+VALUE($B2040&amp;""))</f>
        <v/>
      </c>
      <c r="N2040" s="64">
        <f>IF($A2040="","",IFERROR(INDEX(부서매핑!$C$5:$C$504,MATCH($G2040&amp;"",부서매핑!$A$5:$A$504,0)),"미매핑"))</f>
        <v/>
      </c>
      <c r="O2040" s="9">
        <f>IF($A2040="","",N2040&amp;"|"&amp;$F2040)</f>
        <v/>
      </c>
      <c r="P2040" s="94">
        <f>IF($A2040="",0,$H2040*설정!$C$23)</f>
        <v/>
      </c>
      <c r="Q2040" s="64">
        <f>IF($A2040="","",IF(O2040&lt;&gt;원인분석!$C$9,"",IF(AND(M2040&gt;=원인분석!$C$10,M2040&lt;=원인분석!$C$11),"당기",IF(AND(M2040&gt;=원인분석!$C$12,M2040&lt;=원인분석!$C$13),"비교",""))))</f>
        <v/>
      </c>
      <c r="R2040" s="9">
        <f>IF(Q2040="","",$K2040&amp;"")</f>
        <v/>
      </c>
      <c r="S2040" s="9">
        <f>IF(Q2040="","",IF(MATCH(R2040,$R$5:$R$100000,0)=ROW()-4,ROW(),""))</f>
        <v/>
      </c>
      <c r="T2040" s="9">
        <f>IF(Q2040="당기",ABS(P2040)+ROW()/1000000000,"")</f>
        <v/>
      </c>
      <c r="U2040" s="9">
        <f>IF(Q2040="비교",ABS(P2040)+ROW()/1000000000,"")</f>
        <v/>
      </c>
      <c r="V2040" s="64">
        <f>IF($A2040="","",IF(COUNTIF(변동분석!$E$7:$E$506,O2040)&gt;0,"Y","N"))</f>
        <v/>
      </c>
      <c r="W2040" s="64">
        <f>IF($A2040="","",IFERROR(INDEX(계정매핑!$D$5:$D$504,MATCH($F2040&amp;"",계정매핑!$A$5:$A$504,0)),"미매핑"))</f>
        <v/>
      </c>
      <c r="X2040" s="9">
        <f>IF($A2040="","",$F2040&amp;"")</f>
        <v/>
      </c>
      <c r="Y2040" s="94">
        <f>IF($A2040="",0,IF(AE2040="직접",IF(AF2040="비귀속",$P2040,0),$P2040*(1-AG2040)*IFERROR(INDEX(계정대체기준!$F$20:$F$49,MATCH($N2040,계정대체기준!$A$20:$A$49,0)),1)))</f>
        <v/>
      </c>
      <c r="Z2040" s="94">
        <f>IF($A2040="",0,IF(AE2040="직접",IF(AF2040="신계약비",$P2040,0),$P2040*(1-AG2040)*IFERROR(INDEX(계정대체기준!$C$20:$C$49,MATCH($N2040,계정대체기준!$A$20:$A$49,0)),0)))</f>
        <v/>
      </c>
      <c r="AA2040" s="94">
        <f>IF($A2040="",0,IF(AE2040="직접",IF(OR(AF2040="유지비",AF2040="손해조사비"),$P2040,0),$P2040*(1-AG2040)*IFERROR(INDEX(계정대체기준!$D$20:$D$49,MATCH($N2040,계정대체기준!$A$20:$A$49,0)),0)))</f>
        <v/>
      </c>
      <c r="AB2040" s="94">
        <f>IF($A2040="",0,IF(AE2040="직접",IF(AF2040="수금비",$P2040,0),$P2040*(1-AG2040)*IFERROR(INDEX(계정대체기준!$E$20:$E$49,MATCH($N2040,계정대체기준!$A$20:$A$49,0)),0)))</f>
        <v/>
      </c>
      <c r="AC2040" s="9">
        <f>IF(AND($A2040&lt;&gt;"",M2040=설정!$C$20,Z2040&gt;0),Z2040+ROW()/1000000000,"")</f>
        <v/>
      </c>
      <c r="AD2040" s="94">
        <f>IF($A2040="",0,$P2040*AG2040)</f>
        <v/>
      </c>
      <c r="AE2040" s="64">
        <f>IF($A2040="","",IFERROR(INDEX(계정매핑!$E$5:$E$504,MATCH($F2040&amp;"",계정매핑!$A$5:$A$504,0))&amp;"","공통비"))</f>
        <v/>
      </c>
      <c r="AF2040" s="64">
        <f>IF($A2040="","",IF(AE2040="직접",IFERROR(INDEX(계정매핑!$F$5:$F$504,MATCH($F2040&amp;"",계정매핑!$A$5:$A$504,0))&amp;"","비귀속"),""))</f>
        <v/>
      </c>
      <c r="AG2040" s="96">
        <f>IF($A2040="",0,IF(AND(AE2040&lt;&gt;"직접",IFERROR(INDEX(계정매핑!$G$5:$G$504,MATCH($F2040&amp;"",계정매핑!$A$5:$A$504,0))&amp;"","")="유지비",COUNTIF(계정대체기준!$A$6:$A$15,$N2040)&gt;0),IFERROR(INDEX(계정대체기준!$E$6:$E$15,MATCH(VALUE($A2040&amp;""),계정대체기준!$D$6:$D$15,0)),0),0))</f>
        <v/>
      </c>
      <c r="AH2040" s="64">
        <f>IF($A2040="","",IF(AD2040=0,"",IF(OR(COUNTIF(계정대체기준!$A$77:$A$86,$N2040)&gt;0,ISNUMBER(MATCH($X2040,계정대체기준!$D$77:$D$86,0)),ISNUMBER(MATCH($F2040,계정대체기준!$D$77:$D$86,0))),"Y","N")))</f>
        <v/>
      </c>
    </row>
    <row r="2041">
      <c r="A2041" s="92" t="n">
        <v>2025</v>
      </c>
      <c r="B2041" s="92" t="n">
        <v>10</v>
      </c>
      <c r="C2041" s="92" t="inlineStr">
        <is>
          <t>5100002037</t>
        </is>
      </c>
      <c r="D2041" s="95" t="n">
        <v>45932</v>
      </c>
      <c r="E2041" s="92" t="inlineStr">
        <is>
          <t>KR</t>
        </is>
      </c>
      <c r="F2041" s="92" t="n">
        <v>62102000</v>
      </c>
      <c r="G2041" s="92" t="n">
        <v>1801</v>
      </c>
      <c r="H2041" s="93" t="n">
        <v>59000</v>
      </c>
      <c r="I2041" s="92" t="inlineStr">
        <is>
          <t>10월 해외출장 - N호텔</t>
        </is>
      </c>
      <c r="J2041" s="92" t="inlineStr">
        <is>
          <t>V10009</t>
        </is>
      </c>
      <c r="K2041" s="92" t="inlineStr">
        <is>
          <t>N호텔</t>
        </is>
      </c>
      <c r="M2041" s="9">
        <f>IF($A2041="","",VALUE($A2041&amp;"")*12+VALUE($B2041&amp;""))</f>
        <v/>
      </c>
      <c r="N2041" s="64">
        <f>IF($A2041="","",IFERROR(INDEX(부서매핑!$C$5:$C$504,MATCH($G2041&amp;"",부서매핑!$A$5:$A$504,0)),"미매핑"))</f>
        <v/>
      </c>
      <c r="O2041" s="9">
        <f>IF($A2041="","",N2041&amp;"|"&amp;$F2041)</f>
        <v/>
      </c>
      <c r="P2041" s="94">
        <f>IF($A2041="",0,$H2041*설정!$C$23)</f>
        <v/>
      </c>
      <c r="Q2041" s="64">
        <f>IF($A2041="","",IF(O2041&lt;&gt;원인분석!$C$9,"",IF(AND(M2041&gt;=원인분석!$C$10,M2041&lt;=원인분석!$C$11),"당기",IF(AND(M2041&gt;=원인분석!$C$12,M2041&lt;=원인분석!$C$13),"비교",""))))</f>
        <v/>
      </c>
      <c r="R2041" s="9">
        <f>IF(Q2041="","",$K2041&amp;"")</f>
        <v/>
      </c>
      <c r="S2041" s="9">
        <f>IF(Q2041="","",IF(MATCH(R2041,$R$5:$R$100000,0)=ROW()-4,ROW(),""))</f>
        <v/>
      </c>
      <c r="T2041" s="9">
        <f>IF(Q2041="당기",ABS(P2041)+ROW()/1000000000,"")</f>
        <v/>
      </c>
      <c r="U2041" s="9">
        <f>IF(Q2041="비교",ABS(P2041)+ROW()/1000000000,"")</f>
        <v/>
      </c>
      <c r="V2041" s="64">
        <f>IF($A2041="","",IF(COUNTIF(변동분석!$E$7:$E$506,O2041)&gt;0,"Y","N"))</f>
        <v/>
      </c>
      <c r="W2041" s="64">
        <f>IF($A2041="","",IFERROR(INDEX(계정매핑!$D$5:$D$504,MATCH($F2041&amp;"",계정매핑!$A$5:$A$504,0)),"미매핑"))</f>
        <v/>
      </c>
      <c r="X2041" s="9">
        <f>IF($A2041="","",$F2041&amp;"")</f>
        <v/>
      </c>
      <c r="Y2041" s="94">
        <f>IF($A2041="",0,IF(AE2041="직접",IF(AF2041="비귀속",$P2041,0),$P2041*(1-AG2041)*IFERROR(INDEX(계정대체기준!$F$20:$F$49,MATCH($N2041,계정대체기준!$A$20:$A$49,0)),1)))</f>
        <v/>
      </c>
      <c r="Z2041" s="94">
        <f>IF($A2041="",0,IF(AE2041="직접",IF(AF2041="신계약비",$P2041,0),$P2041*(1-AG2041)*IFERROR(INDEX(계정대체기준!$C$20:$C$49,MATCH($N2041,계정대체기준!$A$20:$A$49,0)),0)))</f>
        <v/>
      </c>
      <c r="AA2041" s="94">
        <f>IF($A2041="",0,IF(AE2041="직접",IF(OR(AF2041="유지비",AF2041="손해조사비"),$P2041,0),$P2041*(1-AG2041)*IFERROR(INDEX(계정대체기준!$D$20:$D$49,MATCH($N2041,계정대체기준!$A$20:$A$49,0)),0)))</f>
        <v/>
      </c>
      <c r="AB2041" s="94">
        <f>IF($A2041="",0,IF(AE2041="직접",IF(AF2041="수금비",$P2041,0),$P2041*(1-AG2041)*IFERROR(INDEX(계정대체기준!$E$20:$E$49,MATCH($N2041,계정대체기준!$A$20:$A$49,0)),0)))</f>
        <v/>
      </c>
      <c r="AC2041" s="9">
        <f>IF(AND($A2041&lt;&gt;"",M2041=설정!$C$20,Z2041&gt;0),Z2041+ROW()/1000000000,"")</f>
        <v/>
      </c>
      <c r="AD2041" s="94">
        <f>IF($A2041="",0,$P2041*AG2041)</f>
        <v/>
      </c>
      <c r="AE2041" s="64">
        <f>IF($A2041="","",IFERROR(INDEX(계정매핑!$E$5:$E$504,MATCH($F2041&amp;"",계정매핑!$A$5:$A$504,0))&amp;"","공통비"))</f>
        <v/>
      </c>
      <c r="AF2041" s="64">
        <f>IF($A2041="","",IF(AE2041="직접",IFERROR(INDEX(계정매핑!$F$5:$F$504,MATCH($F2041&amp;"",계정매핑!$A$5:$A$504,0))&amp;"","비귀속"),""))</f>
        <v/>
      </c>
      <c r="AG2041" s="96">
        <f>IF($A2041="",0,IF(AND(AE2041&lt;&gt;"직접",IFERROR(INDEX(계정매핑!$G$5:$G$504,MATCH($F2041&amp;"",계정매핑!$A$5:$A$504,0))&amp;"","")="유지비",COUNTIF(계정대체기준!$A$6:$A$15,$N2041)&gt;0),IFERROR(INDEX(계정대체기준!$E$6:$E$15,MATCH(VALUE($A2041&amp;""),계정대체기준!$D$6:$D$15,0)),0),0))</f>
        <v/>
      </c>
      <c r="AH2041" s="64">
        <f>IF($A2041="","",IF(AD2041=0,"",IF(OR(COUNTIF(계정대체기준!$A$77:$A$86,$N2041)&gt;0,ISNUMBER(MATCH($X2041,계정대체기준!$D$77:$D$86,0)),ISNUMBER(MATCH($F2041,계정대체기준!$D$77:$D$86,0))),"Y","N")))</f>
        <v/>
      </c>
    </row>
    <row r="2042">
      <c r="A2042" s="92" t="n">
        <v>2025</v>
      </c>
      <c r="B2042" s="92" t="n">
        <v>10</v>
      </c>
      <c r="C2042" s="92" t="inlineStr">
        <is>
          <t>5100002038</t>
        </is>
      </c>
      <c r="D2042" s="95" t="n">
        <v>45932</v>
      </c>
      <c r="E2042" s="92" t="inlineStr">
        <is>
          <t>KR</t>
        </is>
      </c>
      <c r="F2042" s="92" t="n">
        <v>62201000</v>
      </c>
      <c r="G2042" s="92" t="n">
        <v>1301</v>
      </c>
      <c r="H2042" s="93" t="n">
        <v>124000</v>
      </c>
      <c r="I2042" s="92" t="inlineStr">
        <is>
          <t>10월 통신요금 - P통신</t>
        </is>
      </c>
      <c r="J2042" s="92" t="inlineStr">
        <is>
          <t>V10014</t>
        </is>
      </c>
      <c r="K2042" s="92" t="inlineStr">
        <is>
          <t>P통신</t>
        </is>
      </c>
      <c r="M2042" s="9">
        <f>IF($A2042="","",VALUE($A2042&amp;"")*12+VALUE($B2042&amp;""))</f>
        <v/>
      </c>
      <c r="N2042" s="64">
        <f>IF($A2042="","",IFERROR(INDEX(부서매핑!$C$5:$C$504,MATCH($G2042&amp;"",부서매핑!$A$5:$A$504,0)),"미매핑"))</f>
        <v/>
      </c>
      <c r="O2042" s="9">
        <f>IF($A2042="","",N2042&amp;"|"&amp;$F2042)</f>
        <v/>
      </c>
      <c r="P2042" s="94">
        <f>IF($A2042="",0,$H2042*설정!$C$23)</f>
        <v/>
      </c>
      <c r="Q2042" s="64">
        <f>IF($A2042="","",IF(O2042&lt;&gt;원인분석!$C$9,"",IF(AND(M2042&gt;=원인분석!$C$10,M2042&lt;=원인분석!$C$11),"당기",IF(AND(M2042&gt;=원인분석!$C$12,M2042&lt;=원인분석!$C$13),"비교",""))))</f>
        <v/>
      </c>
      <c r="R2042" s="9">
        <f>IF(Q2042="","",$K2042&amp;"")</f>
        <v/>
      </c>
      <c r="S2042" s="9">
        <f>IF(Q2042="","",IF(MATCH(R2042,$R$5:$R$100000,0)=ROW()-4,ROW(),""))</f>
        <v/>
      </c>
      <c r="T2042" s="9">
        <f>IF(Q2042="당기",ABS(P2042)+ROW()/1000000000,"")</f>
        <v/>
      </c>
      <c r="U2042" s="9">
        <f>IF(Q2042="비교",ABS(P2042)+ROW()/1000000000,"")</f>
        <v/>
      </c>
      <c r="V2042" s="64">
        <f>IF($A2042="","",IF(COUNTIF(변동분석!$E$7:$E$506,O2042)&gt;0,"Y","N"))</f>
        <v/>
      </c>
      <c r="W2042" s="64">
        <f>IF($A2042="","",IFERROR(INDEX(계정매핑!$D$5:$D$504,MATCH($F2042&amp;"",계정매핑!$A$5:$A$504,0)),"미매핑"))</f>
        <v/>
      </c>
      <c r="X2042" s="9">
        <f>IF($A2042="","",$F2042&amp;"")</f>
        <v/>
      </c>
      <c r="Y2042" s="94">
        <f>IF($A2042="",0,IF(AE2042="직접",IF(AF2042="비귀속",$P2042,0),$P2042*(1-AG2042)*IFERROR(INDEX(계정대체기준!$F$20:$F$49,MATCH($N2042,계정대체기준!$A$20:$A$49,0)),1)))</f>
        <v/>
      </c>
      <c r="Z2042" s="94">
        <f>IF($A2042="",0,IF(AE2042="직접",IF(AF2042="신계약비",$P2042,0),$P2042*(1-AG2042)*IFERROR(INDEX(계정대체기준!$C$20:$C$49,MATCH($N2042,계정대체기준!$A$20:$A$49,0)),0)))</f>
        <v/>
      </c>
      <c r="AA2042" s="94">
        <f>IF($A2042="",0,IF(AE2042="직접",IF(OR(AF2042="유지비",AF2042="손해조사비"),$P2042,0),$P2042*(1-AG2042)*IFERROR(INDEX(계정대체기준!$D$20:$D$49,MATCH($N2042,계정대체기준!$A$20:$A$49,0)),0)))</f>
        <v/>
      </c>
      <c r="AB2042" s="94">
        <f>IF($A2042="",0,IF(AE2042="직접",IF(AF2042="수금비",$P2042,0),$P2042*(1-AG2042)*IFERROR(INDEX(계정대체기준!$E$20:$E$49,MATCH($N2042,계정대체기준!$A$20:$A$49,0)),0)))</f>
        <v/>
      </c>
      <c r="AC2042" s="9">
        <f>IF(AND($A2042&lt;&gt;"",M2042=설정!$C$20,Z2042&gt;0),Z2042+ROW()/1000000000,"")</f>
        <v/>
      </c>
      <c r="AD2042" s="94">
        <f>IF($A2042="",0,$P2042*AG2042)</f>
        <v/>
      </c>
      <c r="AE2042" s="64">
        <f>IF($A2042="","",IFERROR(INDEX(계정매핑!$E$5:$E$504,MATCH($F2042&amp;"",계정매핑!$A$5:$A$504,0))&amp;"","공통비"))</f>
        <v/>
      </c>
      <c r="AF2042" s="64">
        <f>IF($A2042="","",IF(AE2042="직접",IFERROR(INDEX(계정매핑!$F$5:$F$504,MATCH($F2042&amp;"",계정매핑!$A$5:$A$504,0))&amp;"","비귀속"),""))</f>
        <v/>
      </c>
      <c r="AG2042" s="96">
        <f>IF($A2042="",0,IF(AND(AE2042&lt;&gt;"직접",IFERROR(INDEX(계정매핑!$G$5:$G$504,MATCH($F2042&amp;"",계정매핑!$A$5:$A$504,0))&amp;"","")="유지비",COUNTIF(계정대체기준!$A$6:$A$15,$N2042)&gt;0),IFERROR(INDEX(계정대체기준!$E$6:$E$15,MATCH(VALUE($A2042&amp;""),계정대체기준!$D$6:$D$15,0)),0),0))</f>
        <v/>
      </c>
      <c r="AH2042" s="64">
        <f>IF($A2042="","",IF(AD2042=0,"",IF(OR(COUNTIF(계정대체기준!$A$77:$A$86,$N2042)&gt;0,ISNUMBER(MATCH($X2042,계정대체기준!$D$77:$D$86,0)),ISNUMBER(MATCH($F2042,계정대체기준!$D$77:$D$86,0))),"Y","N")))</f>
        <v/>
      </c>
    </row>
    <row r="2043">
      <c r="A2043" s="92" t="n">
        <v>2025</v>
      </c>
      <c r="B2043" s="92" t="n">
        <v>10</v>
      </c>
      <c r="C2043" s="92" t="inlineStr">
        <is>
          <t>5100002039</t>
        </is>
      </c>
      <c r="D2043" s="95" t="n">
        <v>45932</v>
      </c>
      <c r="E2043" s="92" t="inlineStr">
        <is>
          <t>KR</t>
        </is>
      </c>
      <c r="F2043" s="92" t="n">
        <v>62501000</v>
      </c>
      <c r="G2043" s="92" t="n">
        <v>1201</v>
      </c>
      <c r="H2043" s="93" t="n">
        <v>111000</v>
      </c>
      <c r="I2043" s="92" t="inlineStr">
        <is>
          <t>10월 회의 다과 - (법인카드)</t>
        </is>
      </c>
      <c r="J2043" s="92" t="inlineStr">
        <is>
          <t>V10010</t>
        </is>
      </c>
      <c r="K2043" s="92" t="inlineStr">
        <is>
          <t>(법인카드)</t>
        </is>
      </c>
      <c r="M2043" s="9">
        <f>IF($A2043="","",VALUE($A2043&amp;"")*12+VALUE($B2043&amp;""))</f>
        <v/>
      </c>
      <c r="N2043" s="64">
        <f>IF($A2043="","",IFERROR(INDEX(부서매핑!$C$5:$C$504,MATCH($G2043&amp;"",부서매핑!$A$5:$A$504,0)),"미매핑"))</f>
        <v/>
      </c>
      <c r="O2043" s="9">
        <f>IF($A2043="","",N2043&amp;"|"&amp;$F2043)</f>
        <v/>
      </c>
      <c r="P2043" s="94">
        <f>IF($A2043="",0,$H2043*설정!$C$23)</f>
        <v/>
      </c>
      <c r="Q2043" s="64">
        <f>IF($A2043="","",IF(O2043&lt;&gt;원인분석!$C$9,"",IF(AND(M2043&gt;=원인분석!$C$10,M2043&lt;=원인분석!$C$11),"당기",IF(AND(M2043&gt;=원인분석!$C$12,M2043&lt;=원인분석!$C$13),"비교",""))))</f>
        <v/>
      </c>
      <c r="R2043" s="9">
        <f>IF(Q2043="","",$K2043&amp;"")</f>
        <v/>
      </c>
      <c r="S2043" s="9">
        <f>IF(Q2043="","",IF(MATCH(R2043,$R$5:$R$100000,0)=ROW()-4,ROW(),""))</f>
        <v/>
      </c>
      <c r="T2043" s="9">
        <f>IF(Q2043="당기",ABS(P2043)+ROW()/1000000000,"")</f>
        <v/>
      </c>
      <c r="U2043" s="9">
        <f>IF(Q2043="비교",ABS(P2043)+ROW()/1000000000,"")</f>
        <v/>
      </c>
      <c r="V2043" s="64">
        <f>IF($A2043="","",IF(COUNTIF(변동분석!$E$7:$E$506,O2043)&gt;0,"Y","N"))</f>
        <v/>
      </c>
      <c r="W2043" s="64">
        <f>IF($A2043="","",IFERROR(INDEX(계정매핑!$D$5:$D$504,MATCH($F2043&amp;"",계정매핑!$A$5:$A$504,0)),"미매핑"))</f>
        <v/>
      </c>
      <c r="X2043" s="9">
        <f>IF($A2043="","",$F2043&amp;"")</f>
        <v/>
      </c>
      <c r="Y2043" s="94">
        <f>IF($A2043="",0,IF(AE2043="직접",IF(AF2043="비귀속",$P2043,0),$P2043*(1-AG2043)*IFERROR(INDEX(계정대체기준!$F$20:$F$49,MATCH($N2043,계정대체기준!$A$20:$A$49,0)),1)))</f>
        <v/>
      </c>
      <c r="Z2043" s="94">
        <f>IF($A2043="",0,IF(AE2043="직접",IF(AF2043="신계약비",$P2043,0),$P2043*(1-AG2043)*IFERROR(INDEX(계정대체기준!$C$20:$C$49,MATCH($N2043,계정대체기준!$A$20:$A$49,0)),0)))</f>
        <v/>
      </c>
      <c r="AA2043" s="94">
        <f>IF($A2043="",0,IF(AE2043="직접",IF(OR(AF2043="유지비",AF2043="손해조사비"),$P2043,0),$P2043*(1-AG2043)*IFERROR(INDEX(계정대체기준!$D$20:$D$49,MATCH($N2043,계정대체기준!$A$20:$A$49,0)),0)))</f>
        <v/>
      </c>
      <c r="AB2043" s="94">
        <f>IF($A2043="",0,IF(AE2043="직접",IF(AF2043="수금비",$P2043,0),$P2043*(1-AG2043)*IFERROR(INDEX(계정대체기준!$E$20:$E$49,MATCH($N2043,계정대체기준!$A$20:$A$49,0)),0)))</f>
        <v/>
      </c>
      <c r="AC2043" s="9">
        <f>IF(AND($A2043&lt;&gt;"",M2043=설정!$C$20,Z2043&gt;0),Z2043+ROW()/1000000000,"")</f>
        <v/>
      </c>
      <c r="AD2043" s="94">
        <f>IF($A2043="",0,$P2043*AG2043)</f>
        <v/>
      </c>
      <c r="AE2043" s="64">
        <f>IF($A2043="","",IFERROR(INDEX(계정매핑!$E$5:$E$504,MATCH($F2043&amp;"",계정매핑!$A$5:$A$504,0))&amp;"","공통비"))</f>
        <v/>
      </c>
      <c r="AF2043" s="64">
        <f>IF($A2043="","",IF(AE2043="직접",IFERROR(INDEX(계정매핑!$F$5:$F$504,MATCH($F2043&amp;"",계정매핑!$A$5:$A$504,0))&amp;"","비귀속"),""))</f>
        <v/>
      </c>
      <c r="AG2043" s="96">
        <f>IF($A2043="",0,IF(AND(AE2043&lt;&gt;"직접",IFERROR(INDEX(계정매핑!$G$5:$G$504,MATCH($F2043&amp;"",계정매핑!$A$5:$A$504,0))&amp;"","")="유지비",COUNTIF(계정대체기준!$A$6:$A$15,$N2043)&gt;0),IFERROR(INDEX(계정대체기준!$E$6:$E$15,MATCH(VALUE($A2043&amp;""),계정대체기준!$D$6:$D$15,0)),0),0))</f>
        <v/>
      </c>
      <c r="AH2043" s="64">
        <f>IF($A2043="","",IF(AD2043=0,"",IF(OR(COUNTIF(계정대체기준!$A$77:$A$86,$N2043)&gt;0,ISNUMBER(MATCH($X2043,계정대체기준!$D$77:$D$86,0)),ISNUMBER(MATCH($F2043,계정대체기준!$D$77:$D$86,0))),"Y","N")))</f>
        <v/>
      </c>
    </row>
    <row r="2044">
      <c r="A2044" s="92" t="n">
        <v>2025</v>
      </c>
      <c r="B2044" s="92" t="n">
        <v>10</v>
      </c>
      <c r="C2044" s="92" t="inlineStr">
        <is>
          <t>5100002040</t>
        </is>
      </c>
      <c r="D2044" s="95" t="n">
        <v>45932</v>
      </c>
      <c r="E2044" s="92" t="inlineStr">
        <is>
          <t>KR</t>
        </is>
      </c>
      <c r="F2044" s="92" t="n">
        <v>62901000</v>
      </c>
      <c r="G2044" s="92" t="n">
        <v>1401</v>
      </c>
      <c r="H2044" s="93" t="n">
        <v>4866000</v>
      </c>
      <c r="I2044" s="92" t="inlineStr">
        <is>
          <t>10월 자문 수수료 - K회계법인</t>
        </is>
      </c>
      <c r="J2044" s="92" t="inlineStr">
        <is>
          <t>V10011</t>
        </is>
      </c>
      <c r="K2044" s="92" t="inlineStr">
        <is>
          <t>K회계법인</t>
        </is>
      </c>
      <c r="M2044" s="9">
        <f>IF($A2044="","",VALUE($A2044&amp;"")*12+VALUE($B2044&amp;""))</f>
        <v/>
      </c>
      <c r="N2044" s="64">
        <f>IF($A2044="","",IFERROR(INDEX(부서매핑!$C$5:$C$504,MATCH($G2044&amp;"",부서매핑!$A$5:$A$504,0)),"미매핑"))</f>
        <v/>
      </c>
      <c r="O2044" s="9">
        <f>IF($A2044="","",N2044&amp;"|"&amp;$F2044)</f>
        <v/>
      </c>
      <c r="P2044" s="94">
        <f>IF($A2044="",0,$H2044*설정!$C$23)</f>
        <v/>
      </c>
      <c r="Q2044" s="64">
        <f>IF($A2044="","",IF(O2044&lt;&gt;원인분석!$C$9,"",IF(AND(M2044&gt;=원인분석!$C$10,M2044&lt;=원인분석!$C$11),"당기",IF(AND(M2044&gt;=원인분석!$C$12,M2044&lt;=원인분석!$C$13),"비교",""))))</f>
        <v/>
      </c>
      <c r="R2044" s="9">
        <f>IF(Q2044="","",$K2044&amp;"")</f>
        <v/>
      </c>
      <c r="S2044" s="9">
        <f>IF(Q2044="","",IF(MATCH(R2044,$R$5:$R$100000,0)=ROW()-4,ROW(),""))</f>
        <v/>
      </c>
      <c r="T2044" s="9">
        <f>IF(Q2044="당기",ABS(P2044)+ROW()/1000000000,"")</f>
        <v/>
      </c>
      <c r="U2044" s="9">
        <f>IF(Q2044="비교",ABS(P2044)+ROW()/1000000000,"")</f>
        <v/>
      </c>
      <c r="V2044" s="64">
        <f>IF($A2044="","",IF(COUNTIF(변동분석!$E$7:$E$506,O2044)&gt;0,"Y","N"))</f>
        <v/>
      </c>
      <c r="W2044" s="64">
        <f>IF($A2044="","",IFERROR(INDEX(계정매핑!$D$5:$D$504,MATCH($F2044&amp;"",계정매핑!$A$5:$A$504,0)),"미매핑"))</f>
        <v/>
      </c>
      <c r="X2044" s="9">
        <f>IF($A2044="","",$F2044&amp;"")</f>
        <v/>
      </c>
      <c r="Y2044" s="94">
        <f>IF($A2044="",0,IF(AE2044="직접",IF(AF2044="비귀속",$P2044,0),$P2044*(1-AG2044)*IFERROR(INDEX(계정대체기준!$F$20:$F$49,MATCH($N2044,계정대체기준!$A$20:$A$49,0)),1)))</f>
        <v/>
      </c>
      <c r="Z2044" s="94">
        <f>IF($A2044="",0,IF(AE2044="직접",IF(AF2044="신계약비",$P2044,0),$P2044*(1-AG2044)*IFERROR(INDEX(계정대체기준!$C$20:$C$49,MATCH($N2044,계정대체기준!$A$20:$A$49,0)),0)))</f>
        <v/>
      </c>
      <c r="AA2044" s="94">
        <f>IF($A2044="",0,IF(AE2044="직접",IF(OR(AF2044="유지비",AF2044="손해조사비"),$P2044,0),$P2044*(1-AG2044)*IFERROR(INDEX(계정대체기준!$D$20:$D$49,MATCH($N2044,계정대체기준!$A$20:$A$49,0)),0)))</f>
        <v/>
      </c>
      <c r="AB2044" s="94">
        <f>IF($A2044="",0,IF(AE2044="직접",IF(AF2044="수금비",$P2044,0),$P2044*(1-AG2044)*IFERROR(INDEX(계정대체기준!$E$20:$E$49,MATCH($N2044,계정대체기준!$A$20:$A$49,0)),0)))</f>
        <v/>
      </c>
      <c r="AC2044" s="9">
        <f>IF(AND($A2044&lt;&gt;"",M2044=설정!$C$20,Z2044&gt;0),Z2044+ROW()/1000000000,"")</f>
        <v/>
      </c>
      <c r="AD2044" s="94">
        <f>IF($A2044="",0,$P2044*AG2044)</f>
        <v/>
      </c>
      <c r="AE2044" s="64">
        <f>IF($A2044="","",IFERROR(INDEX(계정매핑!$E$5:$E$504,MATCH($F2044&amp;"",계정매핑!$A$5:$A$504,0))&amp;"","공통비"))</f>
        <v/>
      </c>
      <c r="AF2044" s="64">
        <f>IF($A2044="","",IF(AE2044="직접",IFERROR(INDEX(계정매핑!$F$5:$F$504,MATCH($F2044&amp;"",계정매핑!$A$5:$A$504,0))&amp;"","비귀속"),""))</f>
        <v/>
      </c>
      <c r="AG2044" s="96">
        <f>IF($A2044="",0,IF(AND(AE2044&lt;&gt;"직접",IFERROR(INDEX(계정매핑!$G$5:$G$504,MATCH($F2044&amp;"",계정매핑!$A$5:$A$504,0))&amp;"","")="유지비",COUNTIF(계정대체기준!$A$6:$A$15,$N2044)&gt;0),IFERROR(INDEX(계정대체기준!$E$6:$E$15,MATCH(VALUE($A2044&amp;""),계정대체기준!$D$6:$D$15,0)),0),0))</f>
        <v/>
      </c>
      <c r="AH2044" s="64">
        <f>IF($A2044="","",IF(AD2044=0,"",IF(OR(COUNTIF(계정대체기준!$A$77:$A$86,$N2044)&gt;0,ISNUMBER(MATCH($X2044,계정대체기준!$D$77:$D$86,0)),ISNUMBER(MATCH($F2044,계정대체기준!$D$77:$D$86,0))),"Y","N")))</f>
        <v/>
      </c>
    </row>
    <row r="2045">
      <c r="A2045" s="92" t="n">
        <v>2025</v>
      </c>
      <c r="B2045" s="92" t="n">
        <v>10</v>
      </c>
      <c r="C2045" s="92" t="inlineStr">
        <is>
          <t>5100002041</t>
        </is>
      </c>
      <c r="D2045" s="95" t="n">
        <v>45932</v>
      </c>
      <c r="E2045" s="92" t="inlineStr">
        <is>
          <t>KR</t>
        </is>
      </c>
      <c r="F2045" s="92" t="n">
        <v>62901000</v>
      </c>
      <c r="G2045" s="92" t="n">
        <v>1951</v>
      </c>
      <c r="H2045" s="93" t="n">
        <v>6113000</v>
      </c>
      <c r="I2045" s="92" t="inlineStr">
        <is>
          <t>10월 자문 수수료 - W컨설팅</t>
        </is>
      </c>
      <c r="J2045" s="92" t="inlineStr">
        <is>
          <t>V10006</t>
        </is>
      </c>
      <c r="K2045" s="92" t="inlineStr">
        <is>
          <t>W컨설팅</t>
        </is>
      </c>
      <c r="M2045" s="9">
        <f>IF($A2045="","",VALUE($A2045&amp;"")*12+VALUE($B2045&amp;""))</f>
        <v/>
      </c>
      <c r="N2045" s="64">
        <f>IF($A2045="","",IFERROR(INDEX(부서매핑!$C$5:$C$504,MATCH($G2045&amp;"",부서매핑!$A$5:$A$504,0)),"미매핑"))</f>
        <v/>
      </c>
      <c r="O2045" s="9">
        <f>IF($A2045="","",N2045&amp;"|"&amp;$F2045)</f>
        <v/>
      </c>
      <c r="P2045" s="94">
        <f>IF($A2045="",0,$H2045*설정!$C$23)</f>
        <v/>
      </c>
      <c r="Q2045" s="64">
        <f>IF($A2045="","",IF(O2045&lt;&gt;원인분석!$C$9,"",IF(AND(M2045&gt;=원인분석!$C$10,M2045&lt;=원인분석!$C$11),"당기",IF(AND(M2045&gt;=원인분석!$C$12,M2045&lt;=원인분석!$C$13),"비교",""))))</f>
        <v/>
      </c>
      <c r="R2045" s="9">
        <f>IF(Q2045="","",$K2045&amp;"")</f>
        <v/>
      </c>
      <c r="S2045" s="9">
        <f>IF(Q2045="","",IF(MATCH(R2045,$R$5:$R$100000,0)=ROW()-4,ROW(),""))</f>
        <v/>
      </c>
      <c r="T2045" s="9">
        <f>IF(Q2045="당기",ABS(P2045)+ROW()/1000000000,"")</f>
        <v/>
      </c>
      <c r="U2045" s="9">
        <f>IF(Q2045="비교",ABS(P2045)+ROW()/1000000000,"")</f>
        <v/>
      </c>
      <c r="V2045" s="64">
        <f>IF($A2045="","",IF(COUNTIF(변동분석!$E$7:$E$506,O2045)&gt;0,"Y","N"))</f>
        <v/>
      </c>
      <c r="W2045" s="64">
        <f>IF($A2045="","",IFERROR(INDEX(계정매핑!$D$5:$D$504,MATCH($F2045&amp;"",계정매핑!$A$5:$A$504,0)),"미매핑"))</f>
        <v/>
      </c>
      <c r="X2045" s="9">
        <f>IF($A2045="","",$F2045&amp;"")</f>
        <v/>
      </c>
      <c r="Y2045" s="94">
        <f>IF($A2045="",0,IF(AE2045="직접",IF(AF2045="비귀속",$P2045,0),$P2045*(1-AG2045)*IFERROR(INDEX(계정대체기준!$F$20:$F$49,MATCH($N2045,계정대체기준!$A$20:$A$49,0)),1)))</f>
        <v/>
      </c>
      <c r="Z2045" s="94">
        <f>IF($A2045="",0,IF(AE2045="직접",IF(AF2045="신계약비",$P2045,0),$P2045*(1-AG2045)*IFERROR(INDEX(계정대체기준!$C$20:$C$49,MATCH($N2045,계정대체기준!$A$20:$A$49,0)),0)))</f>
        <v/>
      </c>
      <c r="AA2045" s="94">
        <f>IF($A2045="",0,IF(AE2045="직접",IF(OR(AF2045="유지비",AF2045="손해조사비"),$P2045,0),$P2045*(1-AG2045)*IFERROR(INDEX(계정대체기준!$D$20:$D$49,MATCH($N2045,계정대체기준!$A$20:$A$49,0)),0)))</f>
        <v/>
      </c>
      <c r="AB2045" s="94">
        <f>IF($A2045="",0,IF(AE2045="직접",IF(AF2045="수금비",$P2045,0),$P2045*(1-AG2045)*IFERROR(INDEX(계정대체기준!$E$20:$E$49,MATCH($N2045,계정대체기준!$A$20:$A$49,0)),0)))</f>
        <v/>
      </c>
      <c r="AC2045" s="9">
        <f>IF(AND($A2045&lt;&gt;"",M2045=설정!$C$20,Z2045&gt;0),Z2045+ROW()/1000000000,"")</f>
        <v/>
      </c>
      <c r="AD2045" s="94">
        <f>IF($A2045="",0,$P2045*AG2045)</f>
        <v/>
      </c>
      <c r="AE2045" s="64">
        <f>IF($A2045="","",IFERROR(INDEX(계정매핑!$E$5:$E$504,MATCH($F2045&amp;"",계정매핑!$A$5:$A$504,0))&amp;"","공통비"))</f>
        <v/>
      </c>
      <c r="AF2045" s="64">
        <f>IF($A2045="","",IF(AE2045="직접",IFERROR(INDEX(계정매핑!$F$5:$F$504,MATCH($F2045&amp;"",계정매핑!$A$5:$A$504,0))&amp;"","비귀속"),""))</f>
        <v/>
      </c>
      <c r="AG2045" s="96">
        <f>IF($A2045="",0,IF(AND(AE2045&lt;&gt;"직접",IFERROR(INDEX(계정매핑!$G$5:$G$504,MATCH($F2045&amp;"",계정매핑!$A$5:$A$504,0))&amp;"","")="유지비",COUNTIF(계정대체기준!$A$6:$A$15,$N2045)&gt;0),IFERROR(INDEX(계정대체기준!$E$6:$E$15,MATCH(VALUE($A2045&amp;""),계정대체기준!$D$6:$D$15,0)),0),0))</f>
        <v/>
      </c>
      <c r="AH2045" s="64">
        <f>IF($A2045="","",IF(AD2045=0,"",IF(OR(COUNTIF(계정대체기준!$A$77:$A$86,$N2045)&gt;0,ISNUMBER(MATCH($X2045,계정대체기준!$D$77:$D$86,0)),ISNUMBER(MATCH($F2045,계정대체기준!$D$77:$D$86,0))),"Y","N")))</f>
        <v/>
      </c>
    </row>
    <row r="2046">
      <c r="A2046" s="92" t="n">
        <v>2025</v>
      </c>
      <c r="B2046" s="92" t="n">
        <v>10</v>
      </c>
      <c r="C2046" s="92" t="inlineStr">
        <is>
          <t>5100002042</t>
        </is>
      </c>
      <c r="D2046" s="95" t="n">
        <v>45933</v>
      </c>
      <c r="E2046" s="92" t="inlineStr">
        <is>
          <t>KR</t>
        </is>
      </c>
      <c r="F2046" s="92" t="n">
        <v>62101000</v>
      </c>
      <c r="G2046" s="92" t="n">
        <v>1101</v>
      </c>
      <c r="H2046" s="93" t="n">
        <v>481000</v>
      </c>
      <c r="I2046" s="92" t="inlineStr">
        <is>
          <t>10월 국내출장 - M항공</t>
        </is>
      </c>
      <c r="J2046" s="92" t="inlineStr">
        <is>
          <t>V10001</t>
        </is>
      </c>
      <c r="K2046" s="92" t="inlineStr">
        <is>
          <t>M항공</t>
        </is>
      </c>
      <c r="M2046" s="9">
        <f>IF($A2046="","",VALUE($A2046&amp;"")*12+VALUE($B2046&amp;""))</f>
        <v/>
      </c>
      <c r="N2046" s="64">
        <f>IF($A2046="","",IFERROR(INDEX(부서매핑!$C$5:$C$504,MATCH($G2046&amp;"",부서매핑!$A$5:$A$504,0)),"미매핑"))</f>
        <v/>
      </c>
      <c r="O2046" s="9">
        <f>IF($A2046="","",N2046&amp;"|"&amp;$F2046)</f>
        <v/>
      </c>
      <c r="P2046" s="94">
        <f>IF($A2046="",0,$H2046*설정!$C$23)</f>
        <v/>
      </c>
      <c r="Q2046" s="64">
        <f>IF($A2046="","",IF(O2046&lt;&gt;원인분석!$C$9,"",IF(AND(M2046&gt;=원인분석!$C$10,M2046&lt;=원인분석!$C$11),"당기",IF(AND(M2046&gt;=원인분석!$C$12,M2046&lt;=원인분석!$C$13),"비교",""))))</f>
        <v/>
      </c>
      <c r="R2046" s="9">
        <f>IF(Q2046="","",$K2046&amp;"")</f>
        <v/>
      </c>
      <c r="S2046" s="9">
        <f>IF(Q2046="","",IF(MATCH(R2046,$R$5:$R$100000,0)=ROW()-4,ROW(),""))</f>
        <v/>
      </c>
      <c r="T2046" s="9">
        <f>IF(Q2046="당기",ABS(P2046)+ROW()/1000000000,"")</f>
        <v/>
      </c>
      <c r="U2046" s="9">
        <f>IF(Q2046="비교",ABS(P2046)+ROW()/1000000000,"")</f>
        <v/>
      </c>
      <c r="V2046" s="64">
        <f>IF($A2046="","",IF(COUNTIF(변동분석!$E$7:$E$506,O2046)&gt;0,"Y","N"))</f>
        <v/>
      </c>
      <c r="W2046" s="64">
        <f>IF($A2046="","",IFERROR(INDEX(계정매핑!$D$5:$D$504,MATCH($F2046&amp;"",계정매핑!$A$5:$A$504,0)),"미매핑"))</f>
        <v/>
      </c>
      <c r="X2046" s="9">
        <f>IF($A2046="","",$F2046&amp;"")</f>
        <v/>
      </c>
      <c r="Y2046" s="94">
        <f>IF($A2046="",0,IF(AE2046="직접",IF(AF2046="비귀속",$P2046,0),$P2046*(1-AG2046)*IFERROR(INDEX(계정대체기준!$F$20:$F$49,MATCH($N2046,계정대체기준!$A$20:$A$49,0)),1)))</f>
        <v/>
      </c>
      <c r="Z2046" s="94">
        <f>IF($A2046="",0,IF(AE2046="직접",IF(AF2046="신계약비",$P2046,0),$P2046*(1-AG2046)*IFERROR(INDEX(계정대체기준!$C$20:$C$49,MATCH($N2046,계정대체기준!$A$20:$A$49,0)),0)))</f>
        <v/>
      </c>
      <c r="AA2046" s="94">
        <f>IF($A2046="",0,IF(AE2046="직접",IF(OR(AF2046="유지비",AF2046="손해조사비"),$P2046,0),$P2046*(1-AG2046)*IFERROR(INDEX(계정대체기준!$D$20:$D$49,MATCH($N2046,계정대체기준!$A$20:$A$49,0)),0)))</f>
        <v/>
      </c>
      <c r="AB2046" s="94">
        <f>IF($A2046="",0,IF(AE2046="직접",IF(AF2046="수금비",$P2046,0),$P2046*(1-AG2046)*IFERROR(INDEX(계정대체기준!$E$20:$E$49,MATCH($N2046,계정대체기준!$A$20:$A$49,0)),0)))</f>
        <v/>
      </c>
      <c r="AC2046" s="9">
        <f>IF(AND($A2046&lt;&gt;"",M2046=설정!$C$20,Z2046&gt;0),Z2046+ROW()/1000000000,"")</f>
        <v/>
      </c>
      <c r="AD2046" s="94">
        <f>IF($A2046="",0,$P2046*AG2046)</f>
        <v/>
      </c>
      <c r="AE2046" s="64">
        <f>IF($A2046="","",IFERROR(INDEX(계정매핑!$E$5:$E$504,MATCH($F2046&amp;"",계정매핑!$A$5:$A$504,0))&amp;"","공통비"))</f>
        <v/>
      </c>
      <c r="AF2046" s="64">
        <f>IF($A2046="","",IF(AE2046="직접",IFERROR(INDEX(계정매핑!$F$5:$F$504,MATCH($F2046&amp;"",계정매핑!$A$5:$A$504,0))&amp;"","비귀속"),""))</f>
        <v/>
      </c>
      <c r="AG2046" s="96">
        <f>IF($A2046="",0,IF(AND(AE2046&lt;&gt;"직접",IFERROR(INDEX(계정매핑!$G$5:$G$504,MATCH($F2046&amp;"",계정매핑!$A$5:$A$504,0))&amp;"","")="유지비",COUNTIF(계정대체기준!$A$6:$A$15,$N2046)&gt;0),IFERROR(INDEX(계정대체기준!$E$6:$E$15,MATCH(VALUE($A2046&amp;""),계정대체기준!$D$6:$D$15,0)),0),0))</f>
        <v/>
      </c>
      <c r="AH2046" s="64">
        <f>IF($A2046="","",IF(AD2046=0,"",IF(OR(COUNTIF(계정대체기준!$A$77:$A$86,$N2046)&gt;0,ISNUMBER(MATCH($X2046,계정대체기준!$D$77:$D$86,0)),ISNUMBER(MATCH($F2046,계정대체기준!$D$77:$D$86,0))),"Y","N")))</f>
        <v/>
      </c>
    </row>
    <row r="2047">
      <c r="A2047" s="92" t="n">
        <v>2025</v>
      </c>
      <c r="B2047" s="92" t="n">
        <v>10</v>
      </c>
      <c r="C2047" s="92" t="inlineStr">
        <is>
          <t>5100002043</t>
        </is>
      </c>
      <c r="D2047" s="95" t="n">
        <v>45933</v>
      </c>
      <c r="E2047" s="92" t="inlineStr">
        <is>
          <t>KR</t>
        </is>
      </c>
      <c r="F2047" s="92" t="n">
        <v>62102000</v>
      </c>
      <c r="G2047" s="92" t="n">
        <v>1401</v>
      </c>
      <c r="H2047" s="93" t="n">
        <v>86000</v>
      </c>
      <c r="I2047" s="92" t="inlineStr">
        <is>
          <t>10월 해외출장 - M항공</t>
        </is>
      </c>
      <c r="J2047" s="92" t="inlineStr">
        <is>
          <t>V10001</t>
        </is>
      </c>
      <c r="K2047" s="92" t="inlineStr">
        <is>
          <t>M항공</t>
        </is>
      </c>
      <c r="M2047" s="9">
        <f>IF($A2047="","",VALUE($A2047&amp;"")*12+VALUE($B2047&amp;""))</f>
        <v/>
      </c>
      <c r="N2047" s="64">
        <f>IF($A2047="","",IFERROR(INDEX(부서매핑!$C$5:$C$504,MATCH($G2047&amp;"",부서매핑!$A$5:$A$504,0)),"미매핑"))</f>
        <v/>
      </c>
      <c r="O2047" s="9">
        <f>IF($A2047="","",N2047&amp;"|"&amp;$F2047)</f>
        <v/>
      </c>
      <c r="P2047" s="94">
        <f>IF($A2047="",0,$H2047*설정!$C$23)</f>
        <v/>
      </c>
      <c r="Q2047" s="64">
        <f>IF($A2047="","",IF(O2047&lt;&gt;원인분석!$C$9,"",IF(AND(M2047&gt;=원인분석!$C$10,M2047&lt;=원인분석!$C$11),"당기",IF(AND(M2047&gt;=원인분석!$C$12,M2047&lt;=원인분석!$C$13),"비교",""))))</f>
        <v/>
      </c>
      <c r="R2047" s="9">
        <f>IF(Q2047="","",$K2047&amp;"")</f>
        <v/>
      </c>
      <c r="S2047" s="9">
        <f>IF(Q2047="","",IF(MATCH(R2047,$R$5:$R$100000,0)=ROW()-4,ROW(),""))</f>
        <v/>
      </c>
      <c r="T2047" s="9">
        <f>IF(Q2047="당기",ABS(P2047)+ROW()/1000000000,"")</f>
        <v/>
      </c>
      <c r="U2047" s="9">
        <f>IF(Q2047="비교",ABS(P2047)+ROW()/1000000000,"")</f>
        <v/>
      </c>
      <c r="V2047" s="64">
        <f>IF($A2047="","",IF(COUNTIF(변동분석!$E$7:$E$506,O2047)&gt;0,"Y","N"))</f>
        <v/>
      </c>
      <c r="W2047" s="64">
        <f>IF($A2047="","",IFERROR(INDEX(계정매핑!$D$5:$D$504,MATCH($F2047&amp;"",계정매핑!$A$5:$A$504,0)),"미매핑"))</f>
        <v/>
      </c>
      <c r="X2047" s="9">
        <f>IF($A2047="","",$F2047&amp;"")</f>
        <v/>
      </c>
      <c r="Y2047" s="94">
        <f>IF($A2047="",0,IF(AE2047="직접",IF(AF2047="비귀속",$P2047,0),$P2047*(1-AG2047)*IFERROR(INDEX(계정대체기준!$F$20:$F$49,MATCH($N2047,계정대체기준!$A$20:$A$49,0)),1)))</f>
        <v/>
      </c>
      <c r="Z2047" s="94">
        <f>IF($A2047="",0,IF(AE2047="직접",IF(AF2047="신계약비",$P2047,0),$P2047*(1-AG2047)*IFERROR(INDEX(계정대체기준!$C$20:$C$49,MATCH($N2047,계정대체기준!$A$20:$A$49,0)),0)))</f>
        <v/>
      </c>
      <c r="AA2047" s="94">
        <f>IF($A2047="",0,IF(AE2047="직접",IF(OR(AF2047="유지비",AF2047="손해조사비"),$P2047,0),$P2047*(1-AG2047)*IFERROR(INDEX(계정대체기준!$D$20:$D$49,MATCH($N2047,계정대체기준!$A$20:$A$49,0)),0)))</f>
        <v/>
      </c>
      <c r="AB2047" s="94">
        <f>IF($A2047="",0,IF(AE2047="직접",IF(AF2047="수금비",$P2047,0),$P2047*(1-AG2047)*IFERROR(INDEX(계정대체기준!$E$20:$E$49,MATCH($N2047,계정대체기준!$A$20:$A$49,0)),0)))</f>
        <v/>
      </c>
      <c r="AC2047" s="9">
        <f>IF(AND($A2047&lt;&gt;"",M2047=설정!$C$20,Z2047&gt;0),Z2047+ROW()/1000000000,"")</f>
        <v/>
      </c>
      <c r="AD2047" s="94">
        <f>IF($A2047="",0,$P2047*AG2047)</f>
        <v/>
      </c>
      <c r="AE2047" s="64">
        <f>IF($A2047="","",IFERROR(INDEX(계정매핑!$E$5:$E$504,MATCH($F2047&amp;"",계정매핑!$A$5:$A$504,0))&amp;"","공통비"))</f>
        <v/>
      </c>
      <c r="AF2047" s="64">
        <f>IF($A2047="","",IF(AE2047="직접",IFERROR(INDEX(계정매핑!$F$5:$F$504,MATCH($F2047&amp;"",계정매핑!$A$5:$A$504,0))&amp;"","비귀속"),""))</f>
        <v/>
      </c>
      <c r="AG2047" s="96">
        <f>IF($A2047="",0,IF(AND(AE2047&lt;&gt;"직접",IFERROR(INDEX(계정매핑!$G$5:$G$504,MATCH($F2047&amp;"",계정매핑!$A$5:$A$504,0))&amp;"","")="유지비",COUNTIF(계정대체기준!$A$6:$A$15,$N2047)&gt;0),IFERROR(INDEX(계정대체기준!$E$6:$E$15,MATCH(VALUE($A2047&amp;""),계정대체기준!$D$6:$D$15,0)),0),0))</f>
        <v/>
      </c>
      <c r="AH2047" s="64">
        <f>IF($A2047="","",IF(AD2047=0,"",IF(OR(COUNTIF(계정대체기준!$A$77:$A$86,$N2047)&gt;0,ISNUMBER(MATCH($X2047,계정대체기준!$D$77:$D$86,0)),ISNUMBER(MATCH($F2047,계정대체기준!$D$77:$D$86,0))),"Y","N")))</f>
        <v/>
      </c>
    </row>
    <row r="2048">
      <c r="A2048" s="92" t="n">
        <v>2025</v>
      </c>
      <c r="B2048" s="92" t="n">
        <v>10</v>
      </c>
      <c r="C2048" s="92" t="inlineStr">
        <is>
          <t>5100002044</t>
        </is>
      </c>
      <c r="D2048" s="95" t="n">
        <v>45933</v>
      </c>
      <c r="E2048" s="92" t="inlineStr">
        <is>
          <t>KR</t>
        </is>
      </c>
      <c r="F2048" s="92" t="n">
        <v>62301000</v>
      </c>
      <c r="G2048" s="92" t="n">
        <v>1201</v>
      </c>
      <c r="H2048" s="93" t="n">
        <v>152000</v>
      </c>
      <c r="I2048" s="92" t="inlineStr">
        <is>
          <t>10월 소모품 구입 - R문구</t>
        </is>
      </c>
      <c r="J2048" s="92" t="inlineStr">
        <is>
          <t>V10022</t>
        </is>
      </c>
      <c r="K2048" s="92" t="inlineStr">
        <is>
          <t>R문구</t>
        </is>
      </c>
      <c r="M2048" s="9">
        <f>IF($A2048="","",VALUE($A2048&amp;"")*12+VALUE($B2048&amp;""))</f>
        <v/>
      </c>
      <c r="N2048" s="64">
        <f>IF($A2048="","",IFERROR(INDEX(부서매핑!$C$5:$C$504,MATCH($G2048&amp;"",부서매핑!$A$5:$A$504,0)),"미매핑"))</f>
        <v/>
      </c>
      <c r="O2048" s="9">
        <f>IF($A2048="","",N2048&amp;"|"&amp;$F2048)</f>
        <v/>
      </c>
      <c r="P2048" s="94">
        <f>IF($A2048="",0,$H2048*설정!$C$23)</f>
        <v/>
      </c>
      <c r="Q2048" s="64">
        <f>IF($A2048="","",IF(O2048&lt;&gt;원인분석!$C$9,"",IF(AND(M2048&gt;=원인분석!$C$10,M2048&lt;=원인분석!$C$11),"당기",IF(AND(M2048&gt;=원인분석!$C$12,M2048&lt;=원인분석!$C$13),"비교",""))))</f>
        <v/>
      </c>
      <c r="R2048" s="9">
        <f>IF(Q2048="","",$K2048&amp;"")</f>
        <v/>
      </c>
      <c r="S2048" s="9">
        <f>IF(Q2048="","",IF(MATCH(R2048,$R$5:$R$100000,0)=ROW()-4,ROW(),""))</f>
        <v/>
      </c>
      <c r="T2048" s="9">
        <f>IF(Q2048="당기",ABS(P2048)+ROW()/1000000000,"")</f>
        <v/>
      </c>
      <c r="U2048" s="9">
        <f>IF(Q2048="비교",ABS(P2048)+ROW()/1000000000,"")</f>
        <v/>
      </c>
      <c r="V2048" s="64">
        <f>IF($A2048="","",IF(COUNTIF(변동분석!$E$7:$E$506,O2048)&gt;0,"Y","N"))</f>
        <v/>
      </c>
      <c r="W2048" s="64">
        <f>IF($A2048="","",IFERROR(INDEX(계정매핑!$D$5:$D$504,MATCH($F2048&amp;"",계정매핑!$A$5:$A$504,0)),"미매핑"))</f>
        <v/>
      </c>
      <c r="X2048" s="9">
        <f>IF($A2048="","",$F2048&amp;"")</f>
        <v/>
      </c>
      <c r="Y2048" s="94">
        <f>IF($A2048="",0,IF(AE2048="직접",IF(AF2048="비귀속",$P2048,0),$P2048*(1-AG2048)*IFERROR(INDEX(계정대체기준!$F$20:$F$49,MATCH($N2048,계정대체기준!$A$20:$A$49,0)),1)))</f>
        <v/>
      </c>
      <c r="Z2048" s="94">
        <f>IF($A2048="",0,IF(AE2048="직접",IF(AF2048="신계약비",$P2048,0),$P2048*(1-AG2048)*IFERROR(INDEX(계정대체기준!$C$20:$C$49,MATCH($N2048,계정대체기준!$A$20:$A$49,0)),0)))</f>
        <v/>
      </c>
      <c r="AA2048" s="94">
        <f>IF($A2048="",0,IF(AE2048="직접",IF(OR(AF2048="유지비",AF2048="손해조사비"),$P2048,0),$P2048*(1-AG2048)*IFERROR(INDEX(계정대체기준!$D$20:$D$49,MATCH($N2048,계정대체기준!$A$20:$A$49,0)),0)))</f>
        <v/>
      </c>
      <c r="AB2048" s="94">
        <f>IF($A2048="",0,IF(AE2048="직접",IF(AF2048="수금비",$P2048,0),$P2048*(1-AG2048)*IFERROR(INDEX(계정대체기준!$E$20:$E$49,MATCH($N2048,계정대체기준!$A$20:$A$49,0)),0)))</f>
        <v/>
      </c>
      <c r="AC2048" s="9">
        <f>IF(AND($A2048&lt;&gt;"",M2048=설정!$C$20,Z2048&gt;0),Z2048+ROW()/1000000000,"")</f>
        <v/>
      </c>
      <c r="AD2048" s="94">
        <f>IF($A2048="",0,$P2048*AG2048)</f>
        <v/>
      </c>
      <c r="AE2048" s="64">
        <f>IF($A2048="","",IFERROR(INDEX(계정매핑!$E$5:$E$504,MATCH($F2048&amp;"",계정매핑!$A$5:$A$504,0))&amp;"","공통비"))</f>
        <v/>
      </c>
      <c r="AF2048" s="64">
        <f>IF($A2048="","",IF(AE2048="직접",IFERROR(INDEX(계정매핑!$F$5:$F$504,MATCH($F2048&amp;"",계정매핑!$A$5:$A$504,0))&amp;"","비귀속"),""))</f>
        <v/>
      </c>
      <c r="AG2048" s="96">
        <f>IF($A2048="",0,IF(AND(AE2048&lt;&gt;"직접",IFERROR(INDEX(계정매핑!$G$5:$G$504,MATCH($F2048&amp;"",계정매핑!$A$5:$A$504,0))&amp;"","")="유지비",COUNTIF(계정대체기준!$A$6:$A$15,$N2048)&gt;0),IFERROR(INDEX(계정대체기준!$E$6:$E$15,MATCH(VALUE($A2048&amp;""),계정대체기준!$D$6:$D$15,0)),0),0))</f>
        <v/>
      </c>
      <c r="AH2048" s="64">
        <f>IF($A2048="","",IF(AD2048=0,"",IF(OR(COUNTIF(계정대체기준!$A$77:$A$86,$N2048)&gt;0,ISNUMBER(MATCH($X2048,계정대체기준!$D$77:$D$86,0)),ISNUMBER(MATCH($F2048,계정대체기준!$D$77:$D$86,0))),"Y","N")))</f>
        <v/>
      </c>
    </row>
    <row r="2049">
      <c r="A2049" s="92" t="n">
        <v>2025</v>
      </c>
      <c r="B2049" s="92" t="n">
        <v>10</v>
      </c>
      <c r="C2049" s="92" t="inlineStr">
        <is>
          <t>5100002045</t>
        </is>
      </c>
      <c r="D2049" s="95" t="n">
        <v>45933</v>
      </c>
      <c r="E2049" s="92" t="inlineStr">
        <is>
          <t>KR</t>
        </is>
      </c>
      <c r="F2049" s="92" t="n">
        <v>62301000</v>
      </c>
      <c r="G2049" s="92" t="n">
        <v>1201</v>
      </c>
      <c r="H2049" s="93" t="n">
        <v>135000</v>
      </c>
      <c r="I2049" s="92" t="inlineStr">
        <is>
          <t>10월 소모품 구입 - R문구</t>
        </is>
      </c>
      <c r="J2049" s="92" t="inlineStr">
        <is>
          <t>V10022</t>
        </is>
      </c>
      <c r="K2049" s="92" t="inlineStr">
        <is>
          <t>R문구</t>
        </is>
      </c>
      <c r="M2049" s="9">
        <f>IF($A2049="","",VALUE($A2049&amp;"")*12+VALUE($B2049&amp;""))</f>
        <v/>
      </c>
      <c r="N2049" s="64">
        <f>IF($A2049="","",IFERROR(INDEX(부서매핑!$C$5:$C$504,MATCH($G2049&amp;"",부서매핑!$A$5:$A$504,0)),"미매핑"))</f>
        <v/>
      </c>
      <c r="O2049" s="9">
        <f>IF($A2049="","",N2049&amp;"|"&amp;$F2049)</f>
        <v/>
      </c>
      <c r="P2049" s="94">
        <f>IF($A2049="",0,$H2049*설정!$C$23)</f>
        <v/>
      </c>
      <c r="Q2049" s="64">
        <f>IF($A2049="","",IF(O2049&lt;&gt;원인분석!$C$9,"",IF(AND(M2049&gt;=원인분석!$C$10,M2049&lt;=원인분석!$C$11),"당기",IF(AND(M2049&gt;=원인분석!$C$12,M2049&lt;=원인분석!$C$13),"비교",""))))</f>
        <v/>
      </c>
      <c r="R2049" s="9">
        <f>IF(Q2049="","",$K2049&amp;"")</f>
        <v/>
      </c>
      <c r="S2049" s="9">
        <f>IF(Q2049="","",IF(MATCH(R2049,$R$5:$R$100000,0)=ROW()-4,ROW(),""))</f>
        <v/>
      </c>
      <c r="T2049" s="9">
        <f>IF(Q2049="당기",ABS(P2049)+ROW()/1000000000,"")</f>
        <v/>
      </c>
      <c r="U2049" s="9">
        <f>IF(Q2049="비교",ABS(P2049)+ROW()/1000000000,"")</f>
        <v/>
      </c>
      <c r="V2049" s="64">
        <f>IF($A2049="","",IF(COUNTIF(변동분석!$E$7:$E$506,O2049)&gt;0,"Y","N"))</f>
        <v/>
      </c>
      <c r="W2049" s="64">
        <f>IF($A2049="","",IFERROR(INDEX(계정매핑!$D$5:$D$504,MATCH($F2049&amp;"",계정매핑!$A$5:$A$504,0)),"미매핑"))</f>
        <v/>
      </c>
      <c r="X2049" s="9">
        <f>IF($A2049="","",$F2049&amp;"")</f>
        <v/>
      </c>
      <c r="Y2049" s="94">
        <f>IF($A2049="",0,IF(AE2049="직접",IF(AF2049="비귀속",$P2049,0),$P2049*(1-AG2049)*IFERROR(INDEX(계정대체기준!$F$20:$F$49,MATCH($N2049,계정대체기준!$A$20:$A$49,0)),1)))</f>
        <v/>
      </c>
      <c r="Z2049" s="94">
        <f>IF($A2049="",0,IF(AE2049="직접",IF(AF2049="신계약비",$P2049,0),$P2049*(1-AG2049)*IFERROR(INDEX(계정대체기준!$C$20:$C$49,MATCH($N2049,계정대체기준!$A$20:$A$49,0)),0)))</f>
        <v/>
      </c>
      <c r="AA2049" s="94">
        <f>IF($A2049="",0,IF(AE2049="직접",IF(OR(AF2049="유지비",AF2049="손해조사비"),$P2049,0),$P2049*(1-AG2049)*IFERROR(INDEX(계정대체기준!$D$20:$D$49,MATCH($N2049,계정대체기준!$A$20:$A$49,0)),0)))</f>
        <v/>
      </c>
      <c r="AB2049" s="94">
        <f>IF($A2049="",0,IF(AE2049="직접",IF(AF2049="수금비",$P2049,0),$P2049*(1-AG2049)*IFERROR(INDEX(계정대체기준!$E$20:$E$49,MATCH($N2049,계정대체기준!$A$20:$A$49,0)),0)))</f>
        <v/>
      </c>
      <c r="AC2049" s="9">
        <f>IF(AND($A2049&lt;&gt;"",M2049=설정!$C$20,Z2049&gt;0),Z2049+ROW()/1000000000,"")</f>
        <v/>
      </c>
      <c r="AD2049" s="94">
        <f>IF($A2049="",0,$P2049*AG2049)</f>
        <v/>
      </c>
      <c r="AE2049" s="64">
        <f>IF($A2049="","",IFERROR(INDEX(계정매핑!$E$5:$E$504,MATCH($F2049&amp;"",계정매핑!$A$5:$A$504,0))&amp;"","공통비"))</f>
        <v/>
      </c>
      <c r="AF2049" s="64">
        <f>IF($A2049="","",IF(AE2049="직접",IFERROR(INDEX(계정매핑!$F$5:$F$504,MATCH($F2049&amp;"",계정매핑!$A$5:$A$504,0))&amp;"","비귀속"),""))</f>
        <v/>
      </c>
      <c r="AG2049" s="96">
        <f>IF($A2049="",0,IF(AND(AE2049&lt;&gt;"직접",IFERROR(INDEX(계정매핑!$G$5:$G$504,MATCH($F2049&amp;"",계정매핑!$A$5:$A$504,0))&amp;"","")="유지비",COUNTIF(계정대체기준!$A$6:$A$15,$N2049)&gt;0),IFERROR(INDEX(계정대체기준!$E$6:$E$15,MATCH(VALUE($A2049&amp;""),계정대체기준!$D$6:$D$15,0)),0),0))</f>
        <v/>
      </c>
      <c r="AH2049" s="64">
        <f>IF($A2049="","",IF(AD2049=0,"",IF(OR(COUNTIF(계정대체기준!$A$77:$A$86,$N2049)&gt;0,ISNUMBER(MATCH($X2049,계정대체기준!$D$77:$D$86,0)),ISNUMBER(MATCH($F2049,계정대체기준!$D$77:$D$86,0))),"Y","N")))</f>
        <v/>
      </c>
    </row>
    <row r="2050">
      <c r="A2050" s="92" t="n">
        <v>2025</v>
      </c>
      <c r="B2050" s="92" t="n">
        <v>10</v>
      </c>
      <c r="C2050" s="92" t="inlineStr">
        <is>
          <t>5100002046</t>
        </is>
      </c>
      <c r="D2050" s="95" t="n">
        <v>45933</v>
      </c>
      <c r="E2050" s="92" t="inlineStr">
        <is>
          <t>KR</t>
        </is>
      </c>
      <c r="F2050" s="92" t="n">
        <v>62401000</v>
      </c>
      <c r="G2050" s="92" t="n">
        <v>1801</v>
      </c>
      <c r="H2050" s="93" t="n">
        <v>3260000</v>
      </c>
      <c r="I2050" s="92" t="inlineStr">
        <is>
          <t>10월 인쇄물 제작 - G인쇄</t>
        </is>
      </c>
      <c r="J2050" s="92" t="inlineStr">
        <is>
          <t>V10004</t>
        </is>
      </c>
      <c r="K2050" s="92" t="inlineStr">
        <is>
          <t>G인쇄</t>
        </is>
      </c>
      <c r="M2050" s="9">
        <f>IF($A2050="","",VALUE($A2050&amp;"")*12+VALUE($B2050&amp;""))</f>
        <v/>
      </c>
      <c r="N2050" s="64">
        <f>IF($A2050="","",IFERROR(INDEX(부서매핑!$C$5:$C$504,MATCH($G2050&amp;"",부서매핑!$A$5:$A$504,0)),"미매핑"))</f>
        <v/>
      </c>
      <c r="O2050" s="9">
        <f>IF($A2050="","",N2050&amp;"|"&amp;$F2050)</f>
        <v/>
      </c>
      <c r="P2050" s="94">
        <f>IF($A2050="",0,$H2050*설정!$C$23)</f>
        <v/>
      </c>
      <c r="Q2050" s="64">
        <f>IF($A2050="","",IF(O2050&lt;&gt;원인분석!$C$9,"",IF(AND(M2050&gt;=원인분석!$C$10,M2050&lt;=원인분석!$C$11),"당기",IF(AND(M2050&gt;=원인분석!$C$12,M2050&lt;=원인분석!$C$13),"비교",""))))</f>
        <v/>
      </c>
      <c r="R2050" s="9">
        <f>IF(Q2050="","",$K2050&amp;"")</f>
        <v/>
      </c>
      <c r="S2050" s="9">
        <f>IF(Q2050="","",IF(MATCH(R2050,$R$5:$R$100000,0)=ROW()-4,ROW(),""))</f>
        <v/>
      </c>
      <c r="T2050" s="9">
        <f>IF(Q2050="당기",ABS(P2050)+ROW()/1000000000,"")</f>
        <v/>
      </c>
      <c r="U2050" s="9">
        <f>IF(Q2050="비교",ABS(P2050)+ROW()/1000000000,"")</f>
        <v/>
      </c>
      <c r="V2050" s="64">
        <f>IF($A2050="","",IF(COUNTIF(변동분석!$E$7:$E$506,O2050)&gt;0,"Y","N"))</f>
        <v/>
      </c>
      <c r="W2050" s="64">
        <f>IF($A2050="","",IFERROR(INDEX(계정매핑!$D$5:$D$504,MATCH($F2050&amp;"",계정매핑!$A$5:$A$504,0)),"미매핑"))</f>
        <v/>
      </c>
      <c r="X2050" s="9">
        <f>IF($A2050="","",$F2050&amp;"")</f>
        <v/>
      </c>
      <c r="Y2050" s="94">
        <f>IF($A2050="",0,IF(AE2050="직접",IF(AF2050="비귀속",$P2050,0),$P2050*(1-AG2050)*IFERROR(INDEX(계정대체기준!$F$20:$F$49,MATCH($N2050,계정대체기준!$A$20:$A$49,0)),1)))</f>
        <v/>
      </c>
      <c r="Z2050" s="94">
        <f>IF($A2050="",0,IF(AE2050="직접",IF(AF2050="신계약비",$P2050,0),$P2050*(1-AG2050)*IFERROR(INDEX(계정대체기준!$C$20:$C$49,MATCH($N2050,계정대체기준!$A$20:$A$49,0)),0)))</f>
        <v/>
      </c>
      <c r="AA2050" s="94">
        <f>IF($A2050="",0,IF(AE2050="직접",IF(OR(AF2050="유지비",AF2050="손해조사비"),$P2050,0),$P2050*(1-AG2050)*IFERROR(INDEX(계정대체기준!$D$20:$D$49,MATCH($N2050,계정대체기준!$A$20:$A$49,0)),0)))</f>
        <v/>
      </c>
      <c r="AB2050" s="94">
        <f>IF($A2050="",0,IF(AE2050="직접",IF(AF2050="수금비",$P2050,0),$P2050*(1-AG2050)*IFERROR(INDEX(계정대체기준!$E$20:$E$49,MATCH($N2050,계정대체기준!$A$20:$A$49,0)),0)))</f>
        <v/>
      </c>
      <c r="AC2050" s="9">
        <f>IF(AND($A2050&lt;&gt;"",M2050=설정!$C$20,Z2050&gt;0),Z2050+ROW()/1000000000,"")</f>
        <v/>
      </c>
      <c r="AD2050" s="94">
        <f>IF($A2050="",0,$P2050*AG2050)</f>
        <v/>
      </c>
      <c r="AE2050" s="64">
        <f>IF($A2050="","",IFERROR(INDEX(계정매핑!$E$5:$E$504,MATCH($F2050&amp;"",계정매핑!$A$5:$A$504,0))&amp;"","공통비"))</f>
        <v/>
      </c>
      <c r="AF2050" s="64">
        <f>IF($A2050="","",IF(AE2050="직접",IFERROR(INDEX(계정매핑!$F$5:$F$504,MATCH($F2050&amp;"",계정매핑!$A$5:$A$504,0))&amp;"","비귀속"),""))</f>
        <v/>
      </c>
      <c r="AG2050" s="96">
        <f>IF($A2050="",0,IF(AND(AE2050&lt;&gt;"직접",IFERROR(INDEX(계정매핑!$G$5:$G$504,MATCH($F2050&amp;"",계정매핑!$A$5:$A$504,0))&amp;"","")="유지비",COUNTIF(계정대체기준!$A$6:$A$15,$N2050)&gt;0),IFERROR(INDEX(계정대체기준!$E$6:$E$15,MATCH(VALUE($A2050&amp;""),계정대체기준!$D$6:$D$15,0)),0),0))</f>
        <v/>
      </c>
      <c r="AH2050" s="64">
        <f>IF($A2050="","",IF(AD2050=0,"",IF(OR(COUNTIF(계정대체기준!$A$77:$A$86,$N2050)&gt;0,ISNUMBER(MATCH($X2050,계정대체기준!$D$77:$D$86,0)),ISNUMBER(MATCH($F2050,계정대체기준!$D$77:$D$86,0))),"Y","N")))</f>
        <v/>
      </c>
    </row>
    <row r="2051">
      <c r="A2051" s="92" t="n">
        <v>2025</v>
      </c>
      <c r="B2051" s="92" t="n">
        <v>10</v>
      </c>
      <c r="C2051" s="92" t="inlineStr">
        <is>
          <t>5100002047</t>
        </is>
      </c>
      <c r="D2051" s="95" t="n">
        <v>45933</v>
      </c>
      <c r="E2051" s="92" t="inlineStr">
        <is>
          <t>KR</t>
        </is>
      </c>
      <c r="F2051" s="92" t="n">
        <v>63201000</v>
      </c>
      <c r="G2051" s="92" t="n">
        <v>1602</v>
      </c>
      <c r="H2051" s="93" t="n">
        <v>1794000</v>
      </c>
      <c r="I2051" s="92" t="inlineStr">
        <is>
          <t>10월 차량 유지 - H에너지</t>
        </is>
      </c>
      <c r="J2051" s="92" t="inlineStr">
        <is>
          <t>V10030</t>
        </is>
      </c>
      <c r="K2051" s="92" t="inlineStr">
        <is>
          <t>H에너지</t>
        </is>
      </c>
      <c r="M2051" s="9">
        <f>IF($A2051="","",VALUE($A2051&amp;"")*12+VALUE($B2051&amp;""))</f>
        <v/>
      </c>
      <c r="N2051" s="64">
        <f>IF($A2051="","",IFERROR(INDEX(부서매핑!$C$5:$C$504,MATCH($G2051&amp;"",부서매핑!$A$5:$A$504,0)),"미매핑"))</f>
        <v/>
      </c>
      <c r="O2051" s="9">
        <f>IF($A2051="","",N2051&amp;"|"&amp;$F2051)</f>
        <v/>
      </c>
      <c r="P2051" s="94">
        <f>IF($A2051="",0,$H2051*설정!$C$23)</f>
        <v/>
      </c>
      <c r="Q2051" s="64">
        <f>IF($A2051="","",IF(O2051&lt;&gt;원인분석!$C$9,"",IF(AND(M2051&gt;=원인분석!$C$10,M2051&lt;=원인분석!$C$11),"당기",IF(AND(M2051&gt;=원인분석!$C$12,M2051&lt;=원인분석!$C$13),"비교",""))))</f>
        <v/>
      </c>
      <c r="R2051" s="9">
        <f>IF(Q2051="","",$K2051&amp;"")</f>
        <v/>
      </c>
      <c r="S2051" s="9">
        <f>IF(Q2051="","",IF(MATCH(R2051,$R$5:$R$100000,0)=ROW()-4,ROW(),""))</f>
        <v/>
      </c>
      <c r="T2051" s="9">
        <f>IF(Q2051="당기",ABS(P2051)+ROW()/1000000000,"")</f>
        <v/>
      </c>
      <c r="U2051" s="9">
        <f>IF(Q2051="비교",ABS(P2051)+ROW()/1000000000,"")</f>
        <v/>
      </c>
      <c r="V2051" s="64">
        <f>IF($A2051="","",IF(COUNTIF(변동분석!$E$7:$E$506,O2051)&gt;0,"Y","N"))</f>
        <v/>
      </c>
      <c r="W2051" s="64">
        <f>IF($A2051="","",IFERROR(INDEX(계정매핑!$D$5:$D$504,MATCH($F2051&amp;"",계정매핑!$A$5:$A$504,0)),"미매핑"))</f>
        <v/>
      </c>
      <c r="X2051" s="9">
        <f>IF($A2051="","",$F2051&amp;"")</f>
        <v/>
      </c>
      <c r="Y2051" s="94">
        <f>IF($A2051="",0,IF(AE2051="직접",IF(AF2051="비귀속",$P2051,0),$P2051*(1-AG2051)*IFERROR(INDEX(계정대체기준!$F$20:$F$49,MATCH($N2051,계정대체기준!$A$20:$A$49,0)),1)))</f>
        <v/>
      </c>
      <c r="Z2051" s="94">
        <f>IF($A2051="",0,IF(AE2051="직접",IF(AF2051="신계약비",$P2051,0),$P2051*(1-AG2051)*IFERROR(INDEX(계정대체기준!$C$20:$C$49,MATCH($N2051,계정대체기준!$A$20:$A$49,0)),0)))</f>
        <v/>
      </c>
      <c r="AA2051" s="94">
        <f>IF($A2051="",0,IF(AE2051="직접",IF(OR(AF2051="유지비",AF2051="손해조사비"),$P2051,0),$P2051*(1-AG2051)*IFERROR(INDEX(계정대체기준!$D$20:$D$49,MATCH($N2051,계정대체기준!$A$20:$A$49,0)),0)))</f>
        <v/>
      </c>
      <c r="AB2051" s="94">
        <f>IF($A2051="",0,IF(AE2051="직접",IF(AF2051="수금비",$P2051,0),$P2051*(1-AG2051)*IFERROR(INDEX(계정대체기준!$E$20:$E$49,MATCH($N2051,계정대체기준!$A$20:$A$49,0)),0)))</f>
        <v/>
      </c>
      <c r="AC2051" s="9">
        <f>IF(AND($A2051&lt;&gt;"",M2051=설정!$C$20,Z2051&gt;0),Z2051+ROW()/1000000000,"")</f>
        <v/>
      </c>
      <c r="AD2051" s="94">
        <f>IF($A2051="",0,$P2051*AG2051)</f>
        <v/>
      </c>
      <c r="AE2051" s="64">
        <f>IF($A2051="","",IFERROR(INDEX(계정매핑!$E$5:$E$504,MATCH($F2051&amp;"",계정매핑!$A$5:$A$504,0))&amp;"","공통비"))</f>
        <v/>
      </c>
      <c r="AF2051" s="64">
        <f>IF($A2051="","",IF(AE2051="직접",IFERROR(INDEX(계정매핑!$F$5:$F$504,MATCH($F2051&amp;"",계정매핑!$A$5:$A$504,0))&amp;"","비귀속"),""))</f>
        <v/>
      </c>
      <c r="AG2051" s="96">
        <f>IF($A2051="",0,IF(AND(AE2051&lt;&gt;"직접",IFERROR(INDEX(계정매핑!$G$5:$G$504,MATCH($F2051&amp;"",계정매핑!$A$5:$A$504,0))&amp;"","")="유지비",COUNTIF(계정대체기준!$A$6:$A$15,$N2051)&gt;0),IFERROR(INDEX(계정대체기준!$E$6:$E$15,MATCH(VALUE($A2051&amp;""),계정대체기준!$D$6:$D$15,0)),0),0))</f>
        <v/>
      </c>
      <c r="AH2051" s="64">
        <f>IF($A2051="","",IF(AD2051=0,"",IF(OR(COUNTIF(계정대체기준!$A$77:$A$86,$N2051)&gt;0,ISNUMBER(MATCH($X2051,계정대체기준!$D$77:$D$86,0)),ISNUMBER(MATCH($F2051,계정대체기준!$D$77:$D$86,0))),"Y","N")))</f>
        <v/>
      </c>
    </row>
    <row r="2052">
      <c r="A2052" s="92" t="n">
        <v>2025</v>
      </c>
      <c r="B2052" s="92" t="n">
        <v>10</v>
      </c>
      <c r="C2052" s="92" t="inlineStr">
        <is>
          <t>5100002048</t>
        </is>
      </c>
      <c r="D2052" s="95" t="n">
        <v>45933</v>
      </c>
      <c r="E2052" s="92" t="inlineStr">
        <is>
          <t>KR</t>
        </is>
      </c>
      <c r="F2052" s="92" t="n">
        <v>63601000</v>
      </c>
      <c r="G2052" s="92" t="n">
        <v>1801</v>
      </c>
      <c r="H2052" s="93" t="n">
        <v>7795000</v>
      </c>
      <c r="I2052" s="92" t="inlineStr">
        <is>
          <t>10월 손해사정 수수료 - DD손해사정</t>
        </is>
      </c>
      <c r="J2052" s="92" t="inlineStr">
        <is>
          <t>V10032</t>
        </is>
      </c>
      <c r="K2052" s="92" t="inlineStr">
        <is>
          <t>DD손해사정</t>
        </is>
      </c>
      <c r="M2052" s="9">
        <f>IF($A2052="","",VALUE($A2052&amp;"")*12+VALUE($B2052&amp;""))</f>
        <v/>
      </c>
      <c r="N2052" s="64">
        <f>IF($A2052="","",IFERROR(INDEX(부서매핑!$C$5:$C$504,MATCH($G2052&amp;"",부서매핑!$A$5:$A$504,0)),"미매핑"))</f>
        <v/>
      </c>
      <c r="O2052" s="9">
        <f>IF($A2052="","",N2052&amp;"|"&amp;$F2052)</f>
        <v/>
      </c>
      <c r="P2052" s="94">
        <f>IF($A2052="",0,$H2052*설정!$C$23)</f>
        <v/>
      </c>
      <c r="Q2052" s="64">
        <f>IF($A2052="","",IF(O2052&lt;&gt;원인분석!$C$9,"",IF(AND(M2052&gt;=원인분석!$C$10,M2052&lt;=원인분석!$C$11),"당기",IF(AND(M2052&gt;=원인분석!$C$12,M2052&lt;=원인분석!$C$13),"비교",""))))</f>
        <v/>
      </c>
      <c r="R2052" s="9">
        <f>IF(Q2052="","",$K2052&amp;"")</f>
        <v/>
      </c>
      <c r="S2052" s="9">
        <f>IF(Q2052="","",IF(MATCH(R2052,$R$5:$R$100000,0)=ROW()-4,ROW(),""))</f>
        <v/>
      </c>
      <c r="T2052" s="9">
        <f>IF(Q2052="당기",ABS(P2052)+ROW()/1000000000,"")</f>
        <v/>
      </c>
      <c r="U2052" s="9">
        <f>IF(Q2052="비교",ABS(P2052)+ROW()/1000000000,"")</f>
        <v/>
      </c>
      <c r="V2052" s="64">
        <f>IF($A2052="","",IF(COUNTIF(변동분석!$E$7:$E$506,O2052)&gt;0,"Y","N"))</f>
        <v/>
      </c>
      <c r="W2052" s="64">
        <f>IF($A2052="","",IFERROR(INDEX(계정매핑!$D$5:$D$504,MATCH($F2052&amp;"",계정매핑!$A$5:$A$504,0)),"미매핑"))</f>
        <v/>
      </c>
      <c r="X2052" s="9">
        <f>IF($A2052="","",$F2052&amp;"")</f>
        <v/>
      </c>
      <c r="Y2052" s="94">
        <f>IF($A2052="",0,IF(AE2052="직접",IF(AF2052="비귀속",$P2052,0),$P2052*(1-AG2052)*IFERROR(INDEX(계정대체기준!$F$20:$F$49,MATCH($N2052,계정대체기준!$A$20:$A$49,0)),1)))</f>
        <v/>
      </c>
      <c r="Z2052" s="94">
        <f>IF($A2052="",0,IF(AE2052="직접",IF(AF2052="신계약비",$P2052,0),$P2052*(1-AG2052)*IFERROR(INDEX(계정대체기준!$C$20:$C$49,MATCH($N2052,계정대체기준!$A$20:$A$49,0)),0)))</f>
        <v/>
      </c>
      <c r="AA2052" s="94">
        <f>IF($A2052="",0,IF(AE2052="직접",IF(OR(AF2052="유지비",AF2052="손해조사비"),$P2052,0),$P2052*(1-AG2052)*IFERROR(INDEX(계정대체기준!$D$20:$D$49,MATCH($N2052,계정대체기준!$A$20:$A$49,0)),0)))</f>
        <v/>
      </c>
      <c r="AB2052" s="94">
        <f>IF($A2052="",0,IF(AE2052="직접",IF(AF2052="수금비",$P2052,0),$P2052*(1-AG2052)*IFERROR(INDEX(계정대체기준!$E$20:$E$49,MATCH($N2052,계정대체기준!$A$20:$A$49,0)),0)))</f>
        <v/>
      </c>
      <c r="AC2052" s="9">
        <f>IF(AND($A2052&lt;&gt;"",M2052=설정!$C$20,Z2052&gt;0),Z2052+ROW()/1000000000,"")</f>
        <v/>
      </c>
      <c r="AD2052" s="94">
        <f>IF($A2052="",0,$P2052*AG2052)</f>
        <v/>
      </c>
      <c r="AE2052" s="64">
        <f>IF($A2052="","",IFERROR(INDEX(계정매핑!$E$5:$E$504,MATCH($F2052&amp;"",계정매핑!$A$5:$A$504,0))&amp;"","공통비"))</f>
        <v/>
      </c>
      <c r="AF2052" s="64">
        <f>IF($A2052="","",IF(AE2052="직접",IFERROR(INDEX(계정매핑!$F$5:$F$504,MATCH($F2052&amp;"",계정매핑!$A$5:$A$504,0))&amp;"","비귀속"),""))</f>
        <v/>
      </c>
      <c r="AG2052" s="96">
        <f>IF($A2052="",0,IF(AND(AE2052&lt;&gt;"직접",IFERROR(INDEX(계정매핑!$G$5:$G$504,MATCH($F2052&amp;"",계정매핑!$A$5:$A$504,0))&amp;"","")="유지비",COUNTIF(계정대체기준!$A$6:$A$15,$N2052)&gt;0),IFERROR(INDEX(계정대체기준!$E$6:$E$15,MATCH(VALUE($A2052&amp;""),계정대체기준!$D$6:$D$15,0)),0),0))</f>
        <v/>
      </c>
      <c r="AH2052" s="64">
        <f>IF($A2052="","",IF(AD2052=0,"",IF(OR(COUNTIF(계정대체기준!$A$77:$A$86,$N2052)&gt;0,ISNUMBER(MATCH($X2052,계정대체기준!$D$77:$D$86,0)),ISNUMBER(MATCH($F2052,계정대체기준!$D$77:$D$86,0))),"Y","N")))</f>
        <v/>
      </c>
    </row>
    <row r="2053">
      <c r="A2053" s="92" t="n">
        <v>2025</v>
      </c>
      <c r="B2053" s="92" t="n">
        <v>10</v>
      </c>
      <c r="C2053" s="92" t="inlineStr">
        <is>
          <t>5100002049</t>
        </is>
      </c>
      <c r="D2053" s="95" t="n">
        <v>45933</v>
      </c>
      <c r="E2053" s="92" t="inlineStr">
        <is>
          <t>KR</t>
        </is>
      </c>
      <c r="F2053" s="92" t="n">
        <v>63601000</v>
      </c>
      <c r="G2053" s="92" t="n">
        <v>1801</v>
      </c>
      <c r="H2053" s="93" t="n">
        <v>6657000</v>
      </c>
      <c r="I2053" s="92" t="inlineStr">
        <is>
          <t>10월 손해사정 수수료 - EE손해사정</t>
        </is>
      </c>
      <c r="J2053" s="92" t="inlineStr">
        <is>
          <t>V10008</t>
        </is>
      </c>
      <c r="K2053" s="92" t="inlineStr">
        <is>
          <t>EE손해사정</t>
        </is>
      </c>
      <c r="M2053" s="9">
        <f>IF($A2053="","",VALUE($A2053&amp;"")*12+VALUE($B2053&amp;""))</f>
        <v/>
      </c>
      <c r="N2053" s="64">
        <f>IF($A2053="","",IFERROR(INDEX(부서매핑!$C$5:$C$504,MATCH($G2053&amp;"",부서매핑!$A$5:$A$504,0)),"미매핑"))</f>
        <v/>
      </c>
      <c r="O2053" s="9">
        <f>IF($A2053="","",N2053&amp;"|"&amp;$F2053)</f>
        <v/>
      </c>
      <c r="P2053" s="94">
        <f>IF($A2053="",0,$H2053*설정!$C$23)</f>
        <v/>
      </c>
      <c r="Q2053" s="64">
        <f>IF($A2053="","",IF(O2053&lt;&gt;원인분석!$C$9,"",IF(AND(M2053&gt;=원인분석!$C$10,M2053&lt;=원인분석!$C$11),"당기",IF(AND(M2053&gt;=원인분석!$C$12,M2053&lt;=원인분석!$C$13),"비교",""))))</f>
        <v/>
      </c>
      <c r="R2053" s="9">
        <f>IF(Q2053="","",$K2053&amp;"")</f>
        <v/>
      </c>
      <c r="S2053" s="9">
        <f>IF(Q2053="","",IF(MATCH(R2053,$R$5:$R$100000,0)=ROW()-4,ROW(),""))</f>
        <v/>
      </c>
      <c r="T2053" s="9">
        <f>IF(Q2053="당기",ABS(P2053)+ROW()/1000000000,"")</f>
        <v/>
      </c>
      <c r="U2053" s="9">
        <f>IF(Q2053="비교",ABS(P2053)+ROW()/1000000000,"")</f>
        <v/>
      </c>
      <c r="V2053" s="64">
        <f>IF($A2053="","",IF(COUNTIF(변동분석!$E$7:$E$506,O2053)&gt;0,"Y","N"))</f>
        <v/>
      </c>
      <c r="W2053" s="64">
        <f>IF($A2053="","",IFERROR(INDEX(계정매핑!$D$5:$D$504,MATCH($F2053&amp;"",계정매핑!$A$5:$A$504,0)),"미매핑"))</f>
        <v/>
      </c>
      <c r="X2053" s="9">
        <f>IF($A2053="","",$F2053&amp;"")</f>
        <v/>
      </c>
      <c r="Y2053" s="94">
        <f>IF($A2053="",0,IF(AE2053="직접",IF(AF2053="비귀속",$P2053,0),$P2053*(1-AG2053)*IFERROR(INDEX(계정대체기준!$F$20:$F$49,MATCH($N2053,계정대체기준!$A$20:$A$49,0)),1)))</f>
        <v/>
      </c>
      <c r="Z2053" s="94">
        <f>IF($A2053="",0,IF(AE2053="직접",IF(AF2053="신계약비",$P2053,0),$P2053*(1-AG2053)*IFERROR(INDEX(계정대체기준!$C$20:$C$49,MATCH($N2053,계정대체기준!$A$20:$A$49,0)),0)))</f>
        <v/>
      </c>
      <c r="AA2053" s="94">
        <f>IF($A2053="",0,IF(AE2053="직접",IF(OR(AF2053="유지비",AF2053="손해조사비"),$P2053,0),$P2053*(1-AG2053)*IFERROR(INDEX(계정대체기준!$D$20:$D$49,MATCH($N2053,계정대체기준!$A$20:$A$49,0)),0)))</f>
        <v/>
      </c>
      <c r="AB2053" s="94">
        <f>IF($A2053="",0,IF(AE2053="직접",IF(AF2053="수금비",$P2053,0),$P2053*(1-AG2053)*IFERROR(INDEX(계정대체기준!$E$20:$E$49,MATCH($N2053,계정대체기준!$A$20:$A$49,0)),0)))</f>
        <v/>
      </c>
      <c r="AC2053" s="9">
        <f>IF(AND($A2053&lt;&gt;"",M2053=설정!$C$20,Z2053&gt;0),Z2053+ROW()/1000000000,"")</f>
        <v/>
      </c>
      <c r="AD2053" s="94">
        <f>IF($A2053="",0,$P2053*AG2053)</f>
        <v/>
      </c>
      <c r="AE2053" s="64">
        <f>IF($A2053="","",IFERROR(INDEX(계정매핑!$E$5:$E$504,MATCH($F2053&amp;"",계정매핑!$A$5:$A$504,0))&amp;"","공통비"))</f>
        <v/>
      </c>
      <c r="AF2053" s="64">
        <f>IF($A2053="","",IF(AE2053="직접",IFERROR(INDEX(계정매핑!$F$5:$F$504,MATCH($F2053&amp;"",계정매핑!$A$5:$A$504,0))&amp;"","비귀속"),""))</f>
        <v/>
      </c>
      <c r="AG2053" s="96">
        <f>IF($A2053="",0,IF(AND(AE2053&lt;&gt;"직접",IFERROR(INDEX(계정매핑!$G$5:$G$504,MATCH($F2053&amp;"",계정매핑!$A$5:$A$504,0))&amp;"","")="유지비",COUNTIF(계정대체기준!$A$6:$A$15,$N2053)&gt;0),IFERROR(INDEX(계정대체기준!$E$6:$E$15,MATCH(VALUE($A2053&amp;""),계정대체기준!$D$6:$D$15,0)),0),0))</f>
        <v/>
      </c>
      <c r="AH2053" s="64">
        <f>IF($A2053="","",IF(AD2053=0,"",IF(OR(COUNTIF(계정대체기준!$A$77:$A$86,$N2053)&gt;0,ISNUMBER(MATCH($X2053,계정대체기준!$D$77:$D$86,0)),ISNUMBER(MATCH($F2053,계정대체기준!$D$77:$D$86,0))),"Y","N")))</f>
        <v/>
      </c>
    </row>
    <row r="2054">
      <c r="A2054" s="92" t="n">
        <v>2025</v>
      </c>
      <c r="B2054" s="92" t="n">
        <v>10</v>
      </c>
      <c r="C2054" s="92" t="inlineStr">
        <is>
          <t>5100002050</t>
        </is>
      </c>
      <c r="D2054" s="95" t="n">
        <v>45934</v>
      </c>
      <c r="E2054" s="92" t="inlineStr">
        <is>
          <t>KR</t>
        </is>
      </c>
      <c r="F2054" s="92" t="n">
        <v>62101000</v>
      </c>
      <c r="G2054" s="92" t="n">
        <v>1201</v>
      </c>
      <c r="H2054" s="93" t="n">
        <v>283000</v>
      </c>
      <c r="I2054" s="92" t="inlineStr">
        <is>
          <t>10월 국내출장 - (법인카드)</t>
        </is>
      </c>
      <c r="J2054" s="92" t="inlineStr">
        <is>
          <t>V10010</t>
        </is>
      </c>
      <c r="K2054" s="92" t="inlineStr">
        <is>
          <t>(법인카드)</t>
        </is>
      </c>
      <c r="M2054" s="9">
        <f>IF($A2054="","",VALUE($A2054&amp;"")*12+VALUE($B2054&amp;""))</f>
        <v/>
      </c>
      <c r="N2054" s="64">
        <f>IF($A2054="","",IFERROR(INDEX(부서매핑!$C$5:$C$504,MATCH($G2054&amp;"",부서매핑!$A$5:$A$504,0)),"미매핑"))</f>
        <v/>
      </c>
      <c r="O2054" s="9">
        <f>IF($A2054="","",N2054&amp;"|"&amp;$F2054)</f>
        <v/>
      </c>
      <c r="P2054" s="94">
        <f>IF($A2054="",0,$H2054*설정!$C$23)</f>
        <v/>
      </c>
      <c r="Q2054" s="64">
        <f>IF($A2054="","",IF(O2054&lt;&gt;원인분석!$C$9,"",IF(AND(M2054&gt;=원인분석!$C$10,M2054&lt;=원인분석!$C$11),"당기",IF(AND(M2054&gt;=원인분석!$C$12,M2054&lt;=원인분석!$C$13),"비교",""))))</f>
        <v/>
      </c>
      <c r="R2054" s="9">
        <f>IF(Q2054="","",$K2054&amp;"")</f>
        <v/>
      </c>
      <c r="S2054" s="9">
        <f>IF(Q2054="","",IF(MATCH(R2054,$R$5:$R$100000,0)=ROW()-4,ROW(),""))</f>
        <v/>
      </c>
      <c r="T2054" s="9">
        <f>IF(Q2054="당기",ABS(P2054)+ROW()/1000000000,"")</f>
        <v/>
      </c>
      <c r="U2054" s="9">
        <f>IF(Q2054="비교",ABS(P2054)+ROW()/1000000000,"")</f>
        <v/>
      </c>
      <c r="V2054" s="64">
        <f>IF($A2054="","",IF(COUNTIF(변동분석!$E$7:$E$506,O2054)&gt;0,"Y","N"))</f>
        <v/>
      </c>
      <c r="W2054" s="64">
        <f>IF($A2054="","",IFERROR(INDEX(계정매핑!$D$5:$D$504,MATCH($F2054&amp;"",계정매핑!$A$5:$A$504,0)),"미매핑"))</f>
        <v/>
      </c>
      <c r="X2054" s="9">
        <f>IF($A2054="","",$F2054&amp;"")</f>
        <v/>
      </c>
      <c r="Y2054" s="94">
        <f>IF($A2054="",0,IF(AE2054="직접",IF(AF2054="비귀속",$P2054,0),$P2054*(1-AG2054)*IFERROR(INDEX(계정대체기준!$F$20:$F$49,MATCH($N2054,계정대체기준!$A$20:$A$49,0)),1)))</f>
        <v/>
      </c>
      <c r="Z2054" s="94">
        <f>IF($A2054="",0,IF(AE2054="직접",IF(AF2054="신계약비",$P2054,0),$P2054*(1-AG2054)*IFERROR(INDEX(계정대체기준!$C$20:$C$49,MATCH($N2054,계정대체기준!$A$20:$A$49,0)),0)))</f>
        <v/>
      </c>
      <c r="AA2054" s="94">
        <f>IF($A2054="",0,IF(AE2054="직접",IF(OR(AF2054="유지비",AF2054="손해조사비"),$P2054,0),$P2054*(1-AG2054)*IFERROR(INDEX(계정대체기준!$D$20:$D$49,MATCH($N2054,계정대체기준!$A$20:$A$49,0)),0)))</f>
        <v/>
      </c>
      <c r="AB2054" s="94">
        <f>IF($A2054="",0,IF(AE2054="직접",IF(AF2054="수금비",$P2054,0),$P2054*(1-AG2054)*IFERROR(INDEX(계정대체기준!$E$20:$E$49,MATCH($N2054,계정대체기준!$A$20:$A$49,0)),0)))</f>
        <v/>
      </c>
      <c r="AC2054" s="9">
        <f>IF(AND($A2054&lt;&gt;"",M2054=설정!$C$20,Z2054&gt;0),Z2054+ROW()/1000000000,"")</f>
        <v/>
      </c>
      <c r="AD2054" s="94">
        <f>IF($A2054="",0,$P2054*AG2054)</f>
        <v/>
      </c>
      <c r="AE2054" s="64">
        <f>IF($A2054="","",IFERROR(INDEX(계정매핑!$E$5:$E$504,MATCH($F2054&amp;"",계정매핑!$A$5:$A$504,0))&amp;"","공통비"))</f>
        <v/>
      </c>
      <c r="AF2054" s="64">
        <f>IF($A2054="","",IF(AE2054="직접",IFERROR(INDEX(계정매핑!$F$5:$F$504,MATCH($F2054&amp;"",계정매핑!$A$5:$A$504,0))&amp;"","비귀속"),""))</f>
        <v/>
      </c>
      <c r="AG2054" s="96">
        <f>IF($A2054="",0,IF(AND(AE2054&lt;&gt;"직접",IFERROR(INDEX(계정매핑!$G$5:$G$504,MATCH($F2054&amp;"",계정매핑!$A$5:$A$504,0))&amp;"","")="유지비",COUNTIF(계정대체기준!$A$6:$A$15,$N2054)&gt;0),IFERROR(INDEX(계정대체기준!$E$6:$E$15,MATCH(VALUE($A2054&amp;""),계정대체기준!$D$6:$D$15,0)),0),0))</f>
        <v/>
      </c>
      <c r="AH2054" s="64">
        <f>IF($A2054="","",IF(AD2054=0,"",IF(OR(COUNTIF(계정대체기준!$A$77:$A$86,$N2054)&gt;0,ISNUMBER(MATCH($X2054,계정대체기준!$D$77:$D$86,0)),ISNUMBER(MATCH($F2054,계정대체기준!$D$77:$D$86,0))),"Y","N")))</f>
        <v/>
      </c>
    </row>
    <row r="2055">
      <c r="A2055" s="92" t="n">
        <v>2025</v>
      </c>
      <c r="B2055" s="92" t="n">
        <v>10</v>
      </c>
      <c r="C2055" s="92" t="inlineStr">
        <is>
          <t>5100002051</t>
        </is>
      </c>
      <c r="D2055" s="95" t="n">
        <v>45934</v>
      </c>
      <c r="E2055" s="92" t="inlineStr">
        <is>
          <t>KR</t>
        </is>
      </c>
      <c r="F2055" s="92" t="n">
        <v>62101000</v>
      </c>
      <c r="G2055" s="92" t="n">
        <v>1601</v>
      </c>
      <c r="H2055" s="93" t="n">
        <v>1373000</v>
      </c>
      <c r="I2055" s="92" t="inlineStr">
        <is>
          <t>10월 국내출장 - (법인카드)</t>
        </is>
      </c>
      <c r="J2055" s="92" t="inlineStr">
        <is>
          <t>V10010</t>
        </is>
      </c>
      <c r="K2055" s="92" t="inlineStr">
        <is>
          <t>(법인카드)</t>
        </is>
      </c>
      <c r="M2055" s="9">
        <f>IF($A2055="","",VALUE($A2055&amp;"")*12+VALUE($B2055&amp;""))</f>
        <v/>
      </c>
      <c r="N2055" s="64">
        <f>IF($A2055="","",IFERROR(INDEX(부서매핑!$C$5:$C$504,MATCH($G2055&amp;"",부서매핑!$A$5:$A$504,0)),"미매핑"))</f>
        <v/>
      </c>
      <c r="O2055" s="9">
        <f>IF($A2055="","",N2055&amp;"|"&amp;$F2055)</f>
        <v/>
      </c>
      <c r="P2055" s="94">
        <f>IF($A2055="",0,$H2055*설정!$C$23)</f>
        <v/>
      </c>
      <c r="Q2055" s="64">
        <f>IF($A2055="","",IF(O2055&lt;&gt;원인분석!$C$9,"",IF(AND(M2055&gt;=원인분석!$C$10,M2055&lt;=원인분석!$C$11),"당기",IF(AND(M2055&gt;=원인분석!$C$12,M2055&lt;=원인분석!$C$13),"비교",""))))</f>
        <v/>
      </c>
      <c r="R2055" s="9">
        <f>IF(Q2055="","",$K2055&amp;"")</f>
        <v/>
      </c>
      <c r="S2055" s="9">
        <f>IF(Q2055="","",IF(MATCH(R2055,$R$5:$R$100000,0)=ROW()-4,ROW(),""))</f>
        <v/>
      </c>
      <c r="T2055" s="9">
        <f>IF(Q2055="당기",ABS(P2055)+ROW()/1000000000,"")</f>
        <v/>
      </c>
      <c r="U2055" s="9">
        <f>IF(Q2055="비교",ABS(P2055)+ROW()/1000000000,"")</f>
        <v/>
      </c>
      <c r="V2055" s="64">
        <f>IF($A2055="","",IF(COUNTIF(변동분석!$E$7:$E$506,O2055)&gt;0,"Y","N"))</f>
        <v/>
      </c>
      <c r="W2055" s="64">
        <f>IF($A2055="","",IFERROR(INDEX(계정매핑!$D$5:$D$504,MATCH($F2055&amp;"",계정매핑!$A$5:$A$504,0)),"미매핑"))</f>
        <v/>
      </c>
      <c r="X2055" s="9">
        <f>IF($A2055="","",$F2055&amp;"")</f>
        <v/>
      </c>
      <c r="Y2055" s="94">
        <f>IF($A2055="",0,IF(AE2055="직접",IF(AF2055="비귀속",$P2055,0),$P2055*(1-AG2055)*IFERROR(INDEX(계정대체기준!$F$20:$F$49,MATCH($N2055,계정대체기준!$A$20:$A$49,0)),1)))</f>
        <v/>
      </c>
      <c r="Z2055" s="94">
        <f>IF($A2055="",0,IF(AE2055="직접",IF(AF2055="신계약비",$P2055,0),$P2055*(1-AG2055)*IFERROR(INDEX(계정대체기준!$C$20:$C$49,MATCH($N2055,계정대체기준!$A$20:$A$49,0)),0)))</f>
        <v/>
      </c>
      <c r="AA2055" s="94">
        <f>IF($A2055="",0,IF(AE2055="직접",IF(OR(AF2055="유지비",AF2055="손해조사비"),$P2055,0),$P2055*(1-AG2055)*IFERROR(INDEX(계정대체기준!$D$20:$D$49,MATCH($N2055,계정대체기준!$A$20:$A$49,0)),0)))</f>
        <v/>
      </c>
      <c r="AB2055" s="94">
        <f>IF($A2055="",0,IF(AE2055="직접",IF(AF2055="수금비",$P2055,0),$P2055*(1-AG2055)*IFERROR(INDEX(계정대체기준!$E$20:$E$49,MATCH($N2055,계정대체기준!$A$20:$A$49,0)),0)))</f>
        <v/>
      </c>
      <c r="AC2055" s="9">
        <f>IF(AND($A2055&lt;&gt;"",M2055=설정!$C$20,Z2055&gt;0),Z2055+ROW()/1000000000,"")</f>
        <v/>
      </c>
      <c r="AD2055" s="94">
        <f>IF($A2055="",0,$P2055*AG2055)</f>
        <v/>
      </c>
      <c r="AE2055" s="64">
        <f>IF($A2055="","",IFERROR(INDEX(계정매핑!$E$5:$E$504,MATCH($F2055&amp;"",계정매핑!$A$5:$A$504,0))&amp;"","공통비"))</f>
        <v/>
      </c>
      <c r="AF2055" s="64">
        <f>IF($A2055="","",IF(AE2055="직접",IFERROR(INDEX(계정매핑!$F$5:$F$504,MATCH($F2055&amp;"",계정매핑!$A$5:$A$504,0))&amp;"","비귀속"),""))</f>
        <v/>
      </c>
      <c r="AG2055" s="96">
        <f>IF($A2055="",0,IF(AND(AE2055&lt;&gt;"직접",IFERROR(INDEX(계정매핑!$G$5:$G$504,MATCH($F2055&amp;"",계정매핑!$A$5:$A$504,0))&amp;"","")="유지비",COUNTIF(계정대체기준!$A$6:$A$15,$N2055)&gt;0),IFERROR(INDEX(계정대체기준!$E$6:$E$15,MATCH(VALUE($A2055&amp;""),계정대체기준!$D$6:$D$15,0)),0),0))</f>
        <v/>
      </c>
      <c r="AH2055" s="64">
        <f>IF($A2055="","",IF(AD2055=0,"",IF(OR(COUNTIF(계정대체기준!$A$77:$A$86,$N2055)&gt;0,ISNUMBER(MATCH($X2055,계정대체기준!$D$77:$D$86,0)),ISNUMBER(MATCH($F2055,계정대체기준!$D$77:$D$86,0))),"Y","N")))</f>
        <v/>
      </c>
    </row>
    <row r="2056">
      <c r="A2056" s="92" t="n">
        <v>2025</v>
      </c>
      <c r="B2056" s="92" t="n">
        <v>10</v>
      </c>
      <c r="C2056" s="92" t="inlineStr">
        <is>
          <t>5100002052</t>
        </is>
      </c>
      <c r="D2056" s="95" t="n">
        <v>45934</v>
      </c>
      <c r="E2056" s="92" t="inlineStr">
        <is>
          <t>KR</t>
        </is>
      </c>
      <c r="F2056" s="92" t="n">
        <v>62101000</v>
      </c>
      <c r="G2056" s="92" t="n">
        <v>1801</v>
      </c>
      <c r="H2056" s="93" t="n">
        <v>148000</v>
      </c>
      <c r="I2056" s="92" t="inlineStr">
        <is>
          <t>10월 국내출장 - (법인카드)</t>
        </is>
      </c>
      <c r="J2056" s="92" t="inlineStr">
        <is>
          <t>V10010</t>
        </is>
      </c>
      <c r="K2056" s="92" t="inlineStr">
        <is>
          <t>(법인카드)</t>
        </is>
      </c>
      <c r="M2056" s="9">
        <f>IF($A2056="","",VALUE($A2056&amp;"")*12+VALUE($B2056&amp;""))</f>
        <v/>
      </c>
      <c r="N2056" s="64">
        <f>IF($A2056="","",IFERROR(INDEX(부서매핑!$C$5:$C$504,MATCH($G2056&amp;"",부서매핑!$A$5:$A$504,0)),"미매핑"))</f>
        <v/>
      </c>
      <c r="O2056" s="9">
        <f>IF($A2056="","",N2056&amp;"|"&amp;$F2056)</f>
        <v/>
      </c>
      <c r="P2056" s="94">
        <f>IF($A2056="",0,$H2056*설정!$C$23)</f>
        <v/>
      </c>
      <c r="Q2056" s="64">
        <f>IF($A2056="","",IF(O2056&lt;&gt;원인분석!$C$9,"",IF(AND(M2056&gt;=원인분석!$C$10,M2056&lt;=원인분석!$C$11),"당기",IF(AND(M2056&gt;=원인분석!$C$12,M2056&lt;=원인분석!$C$13),"비교",""))))</f>
        <v/>
      </c>
      <c r="R2056" s="9">
        <f>IF(Q2056="","",$K2056&amp;"")</f>
        <v/>
      </c>
      <c r="S2056" s="9">
        <f>IF(Q2056="","",IF(MATCH(R2056,$R$5:$R$100000,0)=ROW()-4,ROW(),""))</f>
        <v/>
      </c>
      <c r="T2056" s="9">
        <f>IF(Q2056="당기",ABS(P2056)+ROW()/1000000000,"")</f>
        <v/>
      </c>
      <c r="U2056" s="9">
        <f>IF(Q2056="비교",ABS(P2056)+ROW()/1000000000,"")</f>
        <v/>
      </c>
      <c r="V2056" s="64">
        <f>IF($A2056="","",IF(COUNTIF(변동분석!$E$7:$E$506,O2056)&gt;0,"Y","N"))</f>
        <v/>
      </c>
      <c r="W2056" s="64">
        <f>IF($A2056="","",IFERROR(INDEX(계정매핑!$D$5:$D$504,MATCH($F2056&amp;"",계정매핑!$A$5:$A$504,0)),"미매핑"))</f>
        <v/>
      </c>
      <c r="X2056" s="9">
        <f>IF($A2056="","",$F2056&amp;"")</f>
        <v/>
      </c>
      <c r="Y2056" s="94">
        <f>IF($A2056="",0,IF(AE2056="직접",IF(AF2056="비귀속",$P2056,0),$P2056*(1-AG2056)*IFERROR(INDEX(계정대체기준!$F$20:$F$49,MATCH($N2056,계정대체기준!$A$20:$A$49,0)),1)))</f>
        <v/>
      </c>
      <c r="Z2056" s="94">
        <f>IF($A2056="",0,IF(AE2056="직접",IF(AF2056="신계약비",$P2056,0),$P2056*(1-AG2056)*IFERROR(INDEX(계정대체기준!$C$20:$C$49,MATCH($N2056,계정대체기준!$A$20:$A$49,0)),0)))</f>
        <v/>
      </c>
      <c r="AA2056" s="94">
        <f>IF($A2056="",0,IF(AE2056="직접",IF(OR(AF2056="유지비",AF2056="손해조사비"),$P2056,0),$P2056*(1-AG2056)*IFERROR(INDEX(계정대체기준!$D$20:$D$49,MATCH($N2056,계정대체기준!$A$20:$A$49,0)),0)))</f>
        <v/>
      </c>
      <c r="AB2056" s="94">
        <f>IF($A2056="",0,IF(AE2056="직접",IF(AF2056="수금비",$P2056,0),$P2056*(1-AG2056)*IFERROR(INDEX(계정대체기준!$E$20:$E$49,MATCH($N2056,계정대체기준!$A$20:$A$49,0)),0)))</f>
        <v/>
      </c>
      <c r="AC2056" s="9">
        <f>IF(AND($A2056&lt;&gt;"",M2056=설정!$C$20,Z2056&gt;0),Z2056+ROW()/1000000000,"")</f>
        <v/>
      </c>
      <c r="AD2056" s="94">
        <f>IF($A2056="",0,$P2056*AG2056)</f>
        <v/>
      </c>
      <c r="AE2056" s="64">
        <f>IF($A2056="","",IFERROR(INDEX(계정매핑!$E$5:$E$504,MATCH($F2056&amp;"",계정매핑!$A$5:$A$504,0))&amp;"","공통비"))</f>
        <v/>
      </c>
      <c r="AF2056" s="64">
        <f>IF($A2056="","",IF(AE2056="직접",IFERROR(INDEX(계정매핑!$F$5:$F$504,MATCH($F2056&amp;"",계정매핑!$A$5:$A$504,0))&amp;"","비귀속"),""))</f>
        <v/>
      </c>
      <c r="AG2056" s="96">
        <f>IF($A2056="",0,IF(AND(AE2056&lt;&gt;"직접",IFERROR(INDEX(계정매핑!$G$5:$G$504,MATCH($F2056&amp;"",계정매핑!$A$5:$A$504,0))&amp;"","")="유지비",COUNTIF(계정대체기준!$A$6:$A$15,$N2056)&gt;0),IFERROR(INDEX(계정대체기준!$E$6:$E$15,MATCH(VALUE($A2056&amp;""),계정대체기준!$D$6:$D$15,0)),0),0))</f>
        <v/>
      </c>
      <c r="AH2056" s="64">
        <f>IF($A2056="","",IF(AD2056=0,"",IF(OR(COUNTIF(계정대체기준!$A$77:$A$86,$N2056)&gt;0,ISNUMBER(MATCH($X2056,계정대체기준!$D$77:$D$86,0)),ISNUMBER(MATCH($F2056,계정대체기준!$D$77:$D$86,0))),"Y","N")))</f>
        <v/>
      </c>
    </row>
    <row r="2057">
      <c r="A2057" s="92" t="n">
        <v>2025</v>
      </c>
      <c r="B2057" s="92" t="n">
        <v>10</v>
      </c>
      <c r="C2057" s="92" t="inlineStr">
        <is>
          <t>5100002053</t>
        </is>
      </c>
      <c r="D2057" s="95" t="n">
        <v>45934</v>
      </c>
      <c r="E2057" s="92" t="inlineStr">
        <is>
          <t>KR</t>
        </is>
      </c>
      <c r="F2057" s="92" t="n">
        <v>62201000</v>
      </c>
      <c r="G2057" s="92" t="n">
        <v>1101</v>
      </c>
      <c r="H2057" s="93" t="n">
        <v>167000</v>
      </c>
      <c r="I2057" s="92" t="inlineStr">
        <is>
          <t>10월 통신요금 - O텔레콤</t>
        </is>
      </c>
      <c r="J2057" s="92" t="inlineStr">
        <is>
          <t>V10002</t>
        </is>
      </c>
      <c r="K2057" s="92" t="inlineStr">
        <is>
          <t>O텔레콤</t>
        </is>
      </c>
      <c r="M2057" s="9">
        <f>IF($A2057="","",VALUE($A2057&amp;"")*12+VALUE($B2057&amp;""))</f>
        <v/>
      </c>
      <c r="N2057" s="64">
        <f>IF($A2057="","",IFERROR(INDEX(부서매핑!$C$5:$C$504,MATCH($G2057&amp;"",부서매핑!$A$5:$A$504,0)),"미매핑"))</f>
        <v/>
      </c>
      <c r="O2057" s="9">
        <f>IF($A2057="","",N2057&amp;"|"&amp;$F2057)</f>
        <v/>
      </c>
      <c r="P2057" s="94">
        <f>IF($A2057="",0,$H2057*설정!$C$23)</f>
        <v/>
      </c>
      <c r="Q2057" s="64">
        <f>IF($A2057="","",IF(O2057&lt;&gt;원인분석!$C$9,"",IF(AND(M2057&gt;=원인분석!$C$10,M2057&lt;=원인분석!$C$11),"당기",IF(AND(M2057&gt;=원인분석!$C$12,M2057&lt;=원인분석!$C$13),"비교",""))))</f>
        <v/>
      </c>
      <c r="R2057" s="9">
        <f>IF(Q2057="","",$K2057&amp;"")</f>
        <v/>
      </c>
      <c r="S2057" s="9">
        <f>IF(Q2057="","",IF(MATCH(R2057,$R$5:$R$100000,0)=ROW()-4,ROW(),""))</f>
        <v/>
      </c>
      <c r="T2057" s="9">
        <f>IF(Q2057="당기",ABS(P2057)+ROW()/1000000000,"")</f>
        <v/>
      </c>
      <c r="U2057" s="9">
        <f>IF(Q2057="비교",ABS(P2057)+ROW()/1000000000,"")</f>
        <v/>
      </c>
      <c r="V2057" s="64">
        <f>IF($A2057="","",IF(COUNTIF(변동분석!$E$7:$E$506,O2057)&gt;0,"Y","N"))</f>
        <v/>
      </c>
      <c r="W2057" s="64">
        <f>IF($A2057="","",IFERROR(INDEX(계정매핑!$D$5:$D$504,MATCH($F2057&amp;"",계정매핑!$A$5:$A$504,0)),"미매핑"))</f>
        <v/>
      </c>
      <c r="X2057" s="9">
        <f>IF($A2057="","",$F2057&amp;"")</f>
        <v/>
      </c>
      <c r="Y2057" s="94">
        <f>IF($A2057="",0,IF(AE2057="직접",IF(AF2057="비귀속",$P2057,0),$P2057*(1-AG2057)*IFERROR(INDEX(계정대체기준!$F$20:$F$49,MATCH($N2057,계정대체기준!$A$20:$A$49,0)),1)))</f>
        <v/>
      </c>
      <c r="Z2057" s="94">
        <f>IF($A2057="",0,IF(AE2057="직접",IF(AF2057="신계약비",$P2057,0),$P2057*(1-AG2057)*IFERROR(INDEX(계정대체기준!$C$20:$C$49,MATCH($N2057,계정대체기준!$A$20:$A$49,0)),0)))</f>
        <v/>
      </c>
      <c r="AA2057" s="94">
        <f>IF($A2057="",0,IF(AE2057="직접",IF(OR(AF2057="유지비",AF2057="손해조사비"),$P2057,0),$P2057*(1-AG2057)*IFERROR(INDEX(계정대체기준!$D$20:$D$49,MATCH($N2057,계정대체기준!$A$20:$A$49,0)),0)))</f>
        <v/>
      </c>
      <c r="AB2057" s="94">
        <f>IF($A2057="",0,IF(AE2057="직접",IF(AF2057="수금비",$P2057,0),$P2057*(1-AG2057)*IFERROR(INDEX(계정대체기준!$E$20:$E$49,MATCH($N2057,계정대체기준!$A$20:$A$49,0)),0)))</f>
        <v/>
      </c>
      <c r="AC2057" s="9">
        <f>IF(AND($A2057&lt;&gt;"",M2057=설정!$C$20,Z2057&gt;0),Z2057+ROW()/1000000000,"")</f>
        <v/>
      </c>
      <c r="AD2057" s="94">
        <f>IF($A2057="",0,$P2057*AG2057)</f>
        <v/>
      </c>
      <c r="AE2057" s="64">
        <f>IF($A2057="","",IFERROR(INDEX(계정매핑!$E$5:$E$504,MATCH($F2057&amp;"",계정매핑!$A$5:$A$504,0))&amp;"","공통비"))</f>
        <v/>
      </c>
      <c r="AF2057" s="64">
        <f>IF($A2057="","",IF(AE2057="직접",IFERROR(INDEX(계정매핑!$F$5:$F$504,MATCH($F2057&amp;"",계정매핑!$A$5:$A$504,0))&amp;"","비귀속"),""))</f>
        <v/>
      </c>
      <c r="AG2057" s="96">
        <f>IF($A2057="",0,IF(AND(AE2057&lt;&gt;"직접",IFERROR(INDEX(계정매핑!$G$5:$G$504,MATCH($F2057&amp;"",계정매핑!$A$5:$A$504,0))&amp;"","")="유지비",COUNTIF(계정대체기준!$A$6:$A$15,$N2057)&gt;0),IFERROR(INDEX(계정대체기준!$E$6:$E$15,MATCH(VALUE($A2057&amp;""),계정대체기준!$D$6:$D$15,0)),0),0))</f>
        <v/>
      </c>
      <c r="AH2057" s="64">
        <f>IF($A2057="","",IF(AD2057=0,"",IF(OR(COUNTIF(계정대체기준!$A$77:$A$86,$N2057)&gt;0,ISNUMBER(MATCH($X2057,계정대체기준!$D$77:$D$86,0)),ISNUMBER(MATCH($F2057,계정대체기준!$D$77:$D$86,0))),"Y","N")))</f>
        <v/>
      </c>
    </row>
    <row r="2058">
      <c r="A2058" s="92" t="n">
        <v>2025</v>
      </c>
      <c r="B2058" s="92" t="n">
        <v>10</v>
      </c>
      <c r="C2058" s="92" t="inlineStr">
        <is>
          <t>5100002054</t>
        </is>
      </c>
      <c r="D2058" s="95" t="n">
        <v>45934</v>
      </c>
      <c r="E2058" s="92" t="inlineStr">
        <is>
          <t>KR</t>
        </is>
      </c>
      <c r="F2058" s="92" t="n">
        <v>62301000</v>
      </c>
      <c r="G2058" s="92" t="n">
        <v>1801</v>
      </c>
      <c r="H2058" s="93" t="n">
        <v>544000</v>
      </c>
      <c r="I2058" s="92" t="inlineStr">
        <is>
          <t>10월 소모품 구입 - Q오피스</t>
        </is>
      </c>
      <c r="J2058" s="92" t="inlineStr">
        <is>
          <t>V10003</t>
        </is>
      </c>
      <c r="K2058" s="92" t="inlineStr">
        <is>
          <t>Q오피스</t>
        </is>
      </c>
      <c r="M2058" s="9">
        <f>IF($A2058="","",VALUE($A2058&amp;"")*12+VALUE($B2058&amp;""))</f>
        <v/>
      </c>
      <c r="N2058" s="64">
        <f>IF($A2058="","",IFERROR(INDEX(부서매핑!$C$5:$C$504,MATCH($G2058&amp;"",부서매핑!$A$5:$A$504,0)),"미매핑"))</f>
        <v/>
      </c>
      <c r="O2058" s="9">
        <f>IF($A2058="","",N2058&amp;"|"&amp;$F2058)</f>
        <v/>
      </c>
      <c r="P2058" s="94">
        <f>IF($A2058="",0,$H2058*설정!$C$23)</f>
        <v/>
      </c>
      <c r="Q2058" s="64">
        <f>IF($A2058="","",IF(O2058&lt;&gt;원인분석!$C$9,"",IF(AND(M2058&gt;=원인분석!$C$10,M2058&lt;=원인분석!$C$11),"당기",IF(AND(M2058&gt;=원인분석!$C$12,M2058&lt;=원인분석!$C$13),"비교",""))))</f>
        <v/>
      </c>
      <c r="R2058" s="9">
        <f>IF(Q2058="","",$K2058&amp;"")</f>
        <v/>
      </c>
      <c r="S2058" s="9">
        <f>IF(Q2058="","",IF(MATCH(R2058,$R$5:$R$100000,0)=ROW()-4,ROW(),""))</f>
        <v/>
      </c>
      <c r="T2058" s="9">
        <f>IF(Q2058="당기",ABS(P2058)+ROW()/1000000000,"")</f>
        <v/>
      </c>
      <c r="U2058" s="9">
        <f>IF(Q2058="비교",ABS(P2058)+ROW()/1000000000,"")</f>
        <v/>
      </c>
      <c r="V2058" s="64">
        <f>IF($A2058="","",IF(COUNTIF(변동분석!$E$7:$E$506,O2058)&gt;0,"Y","N"))</f>
        <v/>
      </c>
      <c r="W2058" s="64">
        <f>IF($A2058="","",IFERROR(INDEX(계정매핑!$D$5:$D$504,MATCH($F2058&amp;"",계정매핑!$A$5:$A$504,0)),"미매핑"))</f>
        <v/>
      </c>
      <c r="X2058" s="9">
        <f>IF($A2058="","",$F2058&amp;"")</f>
        <v/>
      </c>
      <c r="Y2058" s="94">
        <f>IF($A2058="",0,IF(AE2058="직접",IF(AF2058="비귀속",$P2058,0),$P2058*(1-AG2058)*IFERROR(INDEX(계정대체기준!$F$20:$F$49,MATCH($N2058,계정대체기준!$A$20:$A$49,0)),1)))</f>
        <v/>
      </c>
      <c r="Z2058" s="94">
        <f>IF($A2058="",0,IF(AE2058="직접",IF(AF2058="신계약비",$P2058,0),$P2058*(1-AG2058)*IFERROR(INDEX(계정대체기준!$C$20:$C$49,MATCH($N2058,계정대체기준!$A$20:$A$49,0)),0)))</f>
        <v/>
      </c>
      <c r="AA2058" s="94">
        <f>IF($A2058="",0,IF(AE2058="직접",IF(OR(AF2058="유지비",AF2058="손해조사비"),$P2058,0),$P2058*(1-AG2058)*IFERROR(INDEX(계정대체기준!$D$20:$D$49,MATCH($N2058,계정대체기준!$A$20:$A$49,0)),0)))</f>
        <v/>
      </c>
      <c r="AB2058" s="94">
        <f>IF($A2058="",0,IF(AE2058="직접",IF(AF2058="수금비",$P2058,0),$P2058*(1-AG2058)*IFERROR(INDEX(계정대체기준!$E$20:$E$49,MATCH($N2058,계정대체기준!$A$20:$A$49,0)),0)))</f>
        <v/>
      </c>
      <c r="AC2058" s="9">
        <f>IF(AND($A2058&lt;&gt;"",M2058=설정!$C$20,Z2058&gt;0),Z2058+ROW()/1000000000,"")</f>
        <v/>
      </c>
      <c r="AD2058" s="94">
        <f>IF($A2058="",0,$P2058*AG2058)</f>
        <v/>
      </c>
      <c r="AE2058" s="64">
        <f>IF($A2058="","",IFERROR(INDEX(계정매핑!$E$5:$E$504,MATCH($F2058&amp;"",계정매핑!$A$5:$A$504,0))&amp;"","공통비"))</f>
        <v/>
      </c>
      <c r="AF2058" s="64">
        <f>IF($A2058="","",IF(AE2058="직접",IFERROR(INDEX(계정매핑!$F$5:$F$504,MATCH($F2058&amp;"",계정매핑!$A$5:$A$504,0))&amp;"","비귀속"),""))</f>
        <v/>
      </c>
      <c r="AG2058" s="96">
        <f>IF($A2058="",0,IF(AND(AE2058&lt;&gt;"직접",IFERROR(INDEX(계정매핑!$G$5:$G$504,MATCH($F2058&amp;"",계정매핑!$A$5:$A$504,0))&amp;"","")="유지비",COUNTIF(계정대체기준!$A$6:$A$15,$N2058)&gt;0),IFERROR(INDEX(계정대체기준!$E$6:$E$15,MATCH(VALUE($A2058&amp;""),계정대체기준!$D$6:$D$15,0)),0),0))</f>
        <v/>
      </c>
      <c r="AH2058" s="64">
        <f>IF($A2058="","",IF(AD2058=0,"",IF(OR(COUNTIF(계정대체기준!$A$77:$A$86,$N2058)&gt;0,ISNUMBER(MATCH($X2058,계정대체기준!$D$77:$D$86,0)),ISNUMBER(MATCH($F2058,계정대체기준!$D$77:$D$86,0))),"Y","N")))</f>
        <v/>
      </c>
    </row>
    <row r="2059">
      <c r="A2059" s="92" t="n">
        <v>2025</v>
      </c>
      <c r="B2059" s="92" t="n">
        <v>10</v>
      </c>
      <c r="C2059" s="92" t="inlineStr">
        <is>
          <t>5100002055</t>
        </is>
      </c>
      <c r="D2059" s="95" t="n">
        <v>45934</v>
      </c>
      <c r="E2059" s="92" t="inlineStr">
        <is>
          <t>KR</t>
        </is>
      </c>
      <c r="F2059" s="92" t="n">
        <v>62501000</v>
      </c>
      <c r="G2059" s="92" t="n">
        <v>1401</v>
      </c>
      <c r="H2059" s="93" t="n">
        <v>260000</v>
      </c>
      <c r="I2059" s="92" t="inlineStr">
        <is>
          <t>10월 회의 다과 - (법인카드)</t>
        </is>
      </c>
      <c r="J2059" s="92" t="inlineStr">
        <is>
          <t>V10010</t>
        </is>
      </c>
      <c r="K2059" s="92" t="inlineStr">
        <is>
          <t>(법인카드)</t>
        </is>
      </c>
      <c r="M2059" s="9">
        <f>IF($A2059="","",VALUE($A2059&amp;"")*12+VALUE($B2059&amp;""))</f>
        <v/>
      </c>
      <c r="N2059" s="64">
        <f>IF($A2059="","",IFERROR(INDEX(부서매핑!$C$5:$C$504,MATCH($G2059&amp;"",부서매핑!$A$5:$A$504,0)),"미매핑"))</f>
        <v/>
      </c>
      <c r="O2059" s="9">
        <f>IF($A2059="","",N2059&amp;"|"&amp;$F2059)</f>
        <v/>
      </c>
      <c r="P2059" s="94">
        <f>IF($A2059="",0,$H2059*설정!$C$23)</f>
        <v/>
      </c>
      <c r="Q2059" s="64">
        <f>IF($A2059="","",IF(O2059&lt;&gt;원인분석!$C$9,"",IF(AND(M2059&gt;=원인분석!$C$10,M2059&lt;=원인분석!$C$11),"당기",IF(AND(M2059&gt;=원인분석!$C$12,M2059&lt;=원인분석!$C$13),"비교",""))))</f>
        <v/>
      </c>
      <c r="R2059" s="9">
        <f>IF(Q2059="","",$K2059&amp;"")</f>
        <v/>
      </c>
      <c r="S2059" s="9">
        <f>IF(Q2059="","",IF(MATCH(R2059,$R$5:$R$100000,0)=ROW()-4,ROW(),""))</f>
        <v/>
      </c>
      <c r="T2059" s="9">
        <f>IF(Q2059="당기",ABS(P2059)+ROW()/1000000000,"")</f>
        <v/>
      </c>
      <c r="U2059" s="9">
        <f>IF(Q2059="비교",ABS(P2059)+ROW()/1000000000,"")</f>
        <v/>
      </c>
      <c r="V2059" s="64">
        <f>IF($A2059="","",IF(COUNTIF(변동분석!$E$7:$E$506,O2059)&gt;0,"Y","N"))</f>
        <v/>
      </c>
      <c r="W2059" s="64">
        <f>IF($A2059="","",IFERROR(INDEX(계정매핑!$D$5:$D$504,MATCH($F2059&amp;"",계정매핑!$A$5:$A$504,0)),"미매핑"))</f>
        <v/>
      </c>
      <c r="X2059" s="9">
        <f>IF($A2059="","",$F2059&amp;"")</f>
        <v/>
      </c>
      <c r="Y2059" s="94">
        <f>IF($A2059="",0,IF(AE2059="직접",IF(AF2059="비귀속",$P2059,0),$P2059*(1-AG2059)*IFERROR(INDEX(계정대체기준!$F$20:$F$49,MATCH($N2059,계정대체기준!$A$20:$A$49,0)),1)))</f>
        <v/>
      </c>
      <c r="Z2059" s="94">
        <f>IF($A2059="",0,IF(AE2059="직접",IF(AF2059="신계약비",$P2059,0),$P2059*(1-AG2059)*IFERROR(INDEX(계정대체기준!$C$20:$C$49,MATCH($N2059,계정대체기준!$A$20:$A$49,0)),0)))</f>
        <v/>
      </c>
      <c r="AA2059" s="94">
        <f>IF($A2059="",0,IF(AE2059="직접",IF(OR(AF2059="유지비",AF2059="손해조사비"),$P2059,0),$P2059*(1-AG2059)*IFERROR(INDEX(계정대체기준!$D$20:$D$49,MATCH($N2059,계정대체기준!$A$20:$A$49,0)),0)))</f>
        <v/>
      </c>
      <c r="AB2059" s="94">
        <f>IF($A2059="",0,IF(AE2059="직접",IF(AF2059="수금비",$P2059,0),$P2059*(1-AG2059)*IFERROR(INDEX(계정대체기준!$E$20:$E$49,MATCH($N2059,계정대체기준!$A$20:$A$49,0)),0)))</f>
        <v/>
      </c>
      <c r="AC2059" s="9">
        <f>IF(AND($A2059&lt;&gt;"",M2059=설정!$C$20,Z2059&gt;0),Z2059+ROW()/1000000000,"")</f>
        <v/>
      </c>
      <c r="AD2059" s="94">
        <f>IF($A2059="",0,$P2059*AG2059)</f>
        <v/>
      </c>
      <c r="AE2059" s="64">
        <f>IF($A2059="","",IFERROR(INDEX(계정매핑!$E$5:$E$504,MATCH($F2059&amp;"",계정매핑!$A$5:$A$504,0))&amp;"","공통비"))</f>
        <v/>
      </c>
      <c r="AF2059" s="64">
        <f>IF($A2059="","",IF(AE2059="직접",IFERROR(INDEX(계정매핑!$F$5:$F$504,MATCH($F2059&amp;"",계정매핑!$A$5:$A$504,0))&amp;"","비귀속"),""))</f>
        <v/>
      </c>
      <c r="AG2059" s="96">
        <f>IF($A2059="",0,IF(AND(AE2059&lt;&gt;"직접",IFERROR(INDEX(계정매핑!$G$5:$G$504,MATCH($F2059&amp;"",계정매핑!$A$5:$A$504,0))&amp;"","")="유지비",COUNTIF(계정대체기준!$A$6:$A$15,$N2059)&gt;0),IFERROR(INDEX(계정대체기준!$E$6:$E$15,MATCH(VALUE($A2059&amp;""),계정대체기준!$D$6:$D$15,0)),0),0))</f>
        <v/>
      </c>
      <c r="AH2059" s="64">
        <f>IF($A2059="","",IF(AD2059=0,"",IF(OR(COUNTIF(계정대체기준!$A$77:$A$86,$N2059)&gt;0,ISNUMBER(MATCH($X2059,계정대체기준!$D$77:$D$86,0)),ISNUMBER(MATCH($F2059,계정대체기준!$D$77:$D$86,0))),"Y","N")))</f>
        <v/>
      </c>
    </row>
    <row r="2060">
      <c r="A2060" s="92" t="n">
        <v>2025</v>
      </c>
      <c r="B2060" s="92" t="n">
        <v>10</v>
      </c>
      <c r="C2060" s="92" t="inlineStr">
        <is>
          <t>5100002056</t>
        </is>
      </c>
      <c r="D2060" s="95" t="n">
        <v>45934</v>
      </c>
      <c r="E2060" s="92" t="inlineStr">
        <is>
          <t>KR</t>
        </is>
      </c>
      <c r="F2060" s="92" t="n">
        <v>62501000</v>
      </c>
      <c r="G2060" s="92" t="n">
        <v>1801</v>
      </c>
      <c r="H2060" s="93" t="n">
        <v>79000</v>
      </c>
      <c r="I2060" s="92" t="inlineStr">
        <is>
          <t>10월 회의 다과 - T케이터링</t>
        </is>
      </c>
      <c r="J2060" s="92" t="inlineStr">
        <is>
          <t>V10005</t>
        </is>
      </c>
      <c r="K2060" s="92" t="inlineStr">
        <is>
          <t>T케이터링</t>
        </is>
      </c>
      <c r="M2060" s="9">
        <f>IF($A2060="","",VALUE($A2060&amp;"")*12+VALUE($B2060&amp;""))</f>
        <v/>
      </c>
      <c r="N2060" s="64">
        <f>IF($A2060="","",IFERROR(INDEX(부서매핑!$C$5:$C$504,MATCH($G2060&amp;"",부서매핑!$A$5:$A$504,0)),"미매핑"))</f>
        <v/>
      </c>
      <c r="O2060" s="9">
        <f>IF($A2060="","",N2060&amp;"|"&amp;$F2060)</f>
        <v/>
      </c>
      <c r="P2060" s="94">
        <f>IF($A2060="",0,$H2060*설정!$C$23)</f>
        <v/>
      </c>
      <c r="Q2060" s="64">
        <f>IF($A2060="","",IF(O2060&lt;&gt;원인분석!$C$9,"",IF(AND(M2060&gt;=원인분석!$C$10,M2060&lt;=원인분석!$C$11),"당기",IF(AND(M2060&gt;=원인분석!$C$12,M2060&lt;=원인분석!$C$13),"비교",""))))</f>
        <v/>
      </c>
      <c r="R2060" s="9">
        <f>IF(Q2060="","",$K2060&amp;"")</f>
        <v/>
      </c>
      <c r="S2060" s="9">
        <f>IF(Q2060="","",IF(MATCH(R2060,$R$5:$R$100000,0)=ROW()-4,ROW(),""))</f>
        <v/>
      </c>
      <c r="T2060" s="9">
        <f>IF(Q2060="당기",ABS(P2060)+ROW()/1000000000,"")</f>
        <v/>
      </c>
      <c r="U2060" s="9">
        <f>IF(Q2060="비교",ABS(P2060)+ROW()/1000000000,"")</f>
        <v/>
      </c>
      <c r="V2060" s="64">
        <f>IF($A2060="","",IF(COUNTIF(변동분석!$E$7:$E$506,O2060)&gt;0,"Y","N"))</f>
        <v/>
      </c>
      <c r="W2060" s="64">
        <f>IF($A2060="","",IFERROR(INDEX(계정매핑!$D$5:$D$504,MATCH($F2060&amp;"",계정매핑!$A$5:$A$504,0)),"미매핑"))</f>
        <v/>
      </c>
      <c r="X2060" s="9">
        <f>IF($A2060="","",$F2060&amp;"")</f>
        <v/>
      </c>
      <c r="Y2060" s="94">
        <f>IF($A2060="",0,IF(AE2060="직접",IF(AF2060="비귀속",$P2060,0),$P2060*(1-AG2060)*IFERROR(INDEX(계정대체기준!$F$20:$F$49,MATCH($N2060,계정대체기준!$A$20:$A$49,0)),1)))</f>
        <v/>
      </c>
      <c r="Z2060" s="94">
        <f>IF($A2060="",0,IF(AE2060="직접",IF(AF2060="신계약비",$P2060,0),$P2060*(1-AG2060)*IFERROR(INDEX(계정대체기준!$C$20:$C$49,MATCH($N2060,계정대체기준!$A$20:$A$49,0)),0)))</f>
        <v/>
      </c>
      <c r="AA2060" s="94">
        <f>IF($A2060="",0,IF(AE2060="직접",IF(OR(AF2060="유지비",AF2060="손해조사비"),$P2060,0),$P2060*(1-AG2060)*IFERROR(INDEX(계정대체기준!$D$20:$D$49,MATCH($N2060,계정대체기준!$A$20:$A$49,0)),0)))</f>
        <v/>
      </c>
      <c r="AB2060" s="94">
        <f>IF($A2060="",0,IF(AE2060="직접",IF(AF2060="수금비",$P2060,0),$P2060*(1-AG2060)*IFERROR(INDEX(계정대체기준!$E$20:$E$49,MATCH($N2060,계정대체기준!$A$20:$A$49,0)),0)))</f>
        <v/>
      </c>
      <c r="AC2060" s="9">
        <f>IF(AND($A2060&lt;&gt;"",M2060=설정!$C$20,Z2060&gt;0),Z2060+ROW()/1000000000,"")</f>
        <v/>
      </c>
      <c r="AD2060" s="94">
        <f>IF($A2060="",0,$P2060*AG2060)</f>
        <v/>
      </c>
      <c r="AE2060" s="64">
        <f>IF($A2060="","",IFERROR(INDEX(계정매핑!$E$5:$E$504,MATCH($F2060&amp;"",계정매핑!$A$5:$A$504,0))&amp;"","공통비"))</f>
        <v/>
      </c>
      <c r="AF2060" s="64">
        <f>IF($A2060="","",IF(AE2060="직접",IFERROR(INDEX(계정매핑!$F$5:$F$504,MATCH($F2060&amp;"",계정매핑!$A$5:$A$504,0))&amp;"","비귀속"),""))</f>
        <v/>
      </c>
      <c r="AG2060" s="96">
        <f>IF($A2060="",0,IF(AND(AE2060&lt;&gt;"직접",IFERROR(INDEX(계정매핑!$G$5:$G$504,MATCH($F2060&amp;"",계정매핑!$A$5:$A$504,0))&amp;"","")="유지비",COUNTIF(계정대체기준!$A$6:$A$15,$N2060)&gt;0),IFERROR(INDEX(계정대체기준!$E$6:$E$15,MATCH(VALUE($A2060&amp;""),계정대체기준!$D$6:$D$15,0)),0),0))</f>
        <v/>
      </c>
      <c r="AH2060" s="64">
        <f>IF($A2060="","",IF(AD2060=0,"",IF(OR(COUNTIF(계정대체기준!$A$77:$A$86,$N2060)&gt;0,ISNUMBER(MATCH($X2060,계정대체기준!$D$77:$D$86,0)),ISNUMBER(MATCH($F2060,계정대체기준!$D$77:$D$86,0))),"Y","N")))</f>
        <v/>
      </c>
    </row>
    <row r="2061">
      <c r="A2061" s="92" t="n">
        <v>2025</v>
      </c>
      <c r="B2061" s="92" t="n">
        <v>10</v>
      </c>
      <c r="C2061" s="92" t="inlineStr">
        <is>
          <t>5100002057</t>
        </is>
      </c>
      <c r="D2061" s="95" t="n">
        <v>45934</v>
      </c>
      <c r="E2061" s="92" t="inlineStr">
        <is>
          <t>KR</t>
        </is>
      </c>
      <c r="F2061" s="92" t="n">
        <v>62801000</v>
      </c>
      <c r="G2061" s="92" t="n">
        <v>1301</v>
      </c>
      <c r="H2061" s="93" t="n">
        <v>6459000</v>
      </c>
      <c r="I2061" s="92" t="inlineStr">
        <is>
          <t>10월 사내교육 - U에듀</t>
        </is>
      </c>
      <c r="J2061" s="92" t="inlineStr">
        <is>
          <t>V10031</t>
        </is>
      </c>
      <c r="K2061" s="92" t="inlineStr">
        <is>
          <t>U에듀</t>
        </is>
      </c>
      <c r="M2061" s="9">
        <f>IF($A2061="","",VALUE($A2061&amp;"")*12+VALUE($B2061&amp;""))</f>
        <v/>
      </c>
      <c r="N2061" s="64">
        <f>IF($A2061="","",IFERROR(INDEX(부서매핑!$C$5:$C$504,MATCH($G2061&amp;"",부서매핑!$A$5:$A$504,0)),"미매핑"))</f>
        <v/>
      </c>
      <c r="O2061" s="9">
        <f>IF($A2061="","",N2061&amp;"|"&amp;$F2061)</f>
        <v/>
      </c>
      <c r="P2061" s="94">
        <f>IF($A2061="",0,$H2061*설정!$C$23)</f>
        <v/>
      </c>
      <c r="Q2061" s="64">
        <f>IF($A2061="","",IF(O2061&lt;&gt;원인분석!$C$9,"",IF(AND(M2061&gt;=원인분석!$C$10,M2061&lt;=원인분석!$C$11),"당기",IF(AND(M2061&gt;=원인분석!$C$12,M2061&lt;=원인분석!$C$13),"비교",""))))</f>
        <v/>
      </c>
      <c r="R2061" s="9">
        <f>IF(Q2061="","",$K2061&amp;"")</f>
        <v/>
      </c>
      <c r="S2061" s="9">
        <f>IF(Q2061="","",IF(MATCH(R2061,$R$5:$R$100000,0)=ROW()-4,ROW(),""))</f>
        <v/>
      </c>
      <c r="T2061" s="9">
        <f>IF(Q2061="당기",ABS(P2061)+ROW()/1000000000,"")</f>
        <v/>
      </c>
      <c r="U2061" s="9">
        <f>IF(Q2061="비교",ABS(P2061)+ROW()/1000000000,"")</f>
        <v/>
      </c>
      <c r="V2061" s="64">
        <f>IF($A2061="","",IF(COUNTIF(변동분석!$E$7:$E$506,O2061)&gt;0,"Y","N"))</f>
        <v/>
      </c>
      <c r="W2061" s="64">
        <f>IF($A2061="","",IFERROR(INDEX(계정매핑!$D$5:$D$504,MATCH($F2061&amp;"",계정매핑!$A$5:$A$504,0)),"미매핑"))</f>
        <v/>
      </c>
      <c r="X2061" s="9">
        <f>IF($A2061="","",$F2061&amp;"")</f>
        <v/>
      </c>
      <c r="Y2061" s="94">
        <f>IF($A2061="",0,IF(AE2061="직접",IF(AF2061="비귀속",$P2061,0),$P2061*(1-AG2061)*IFERROR(INDEX(계정대체기준!$F$20:$F$49,MATCH($N2061,계정대체기준!$A$20:$A$49,0)),1)))</f>
        <v/>
      </c>
      <c r="Z2061" s="94">
        <f>IF($A2061="",0,IF(AE2061="직접",IF(AF2061="신계약비",$P2061,0),$P2061*(1-AG2061)*IFERROR(INDEX(계정대체기준!$C$20:$C$49,MATCH($N2061,계정대체기준!$A$20:$A$49,0)),0)))</f>
        <v/>
      </c>
      <c r="AA2061" s="94">
        <f>IF($A2061="",0,IF(AE2061="직접",IF(OR(AF2061="유지비",AF2061="손해조사비"),$P2061,0),$P2061*(1-AG2061)*IFERROR(INDEX(계정대체기준!$D$20:$D$49,MATCH($N2061,계정대체기준!$A$20:$A$49,0)),0)))</f>
        <v/>
      </c>
      <c r="AB2061" s="94">
        <f>IF($A2061="",0,IF(AE2061="직접",IF(AF2061="수금비",$P2061,0),$P2061*(1-AG2061)*IFERROR(INDEX(계정대체기준!$E$20:$E$49,MATCH($N2061,계정대체기준!$A$20:$A$49,0)),0)))</f>
        <v/>
      </c>
      <c r="AC2061" s="9">
        <f>IF(AND($A2061&lt;&gt;"",M2061=설정!$C$20,Z2061&gt;0),Z2061+ROW()/1000000000,"")</f>
        <v/>
      </c>
      <c r="AD2061" s="94">
        <f>IF($A2061="",0,$P2061*AG2061)</f>
        <v/>
      </c>
      <c r="AE2061" s="64">
        <f>IF($A2061="","",IFERROR(INDEX(계정매핑!$E$5:$E$504,MATCH($F2061&amp;"",계정매핑!$A$5:$A$504,0))&amp;"","공통비"))</f>
        <v/>
      </c>
      <c r="AF2061" s="64">
        <f>IF($A2061="","",IF(AE2061="직접",IFERROR(INDEX(계정매핑!$F$5:$F$504,MATCH($F2061&amp;"",계정매핑!$A$5:$A$504,0))&amp;"","비귀속"),""))</f>
        <v/>
      </c>
      <c r="AG2061" s="96">
        <f>IF($A2061="",0,IF(AND(AE2061&lt;&gt;"직접",IFERROR(INDEX(계정매핑!$G$5:$G$504,MATCH($F2061&amp;"",계정매핑!$A$5:$A$504,0))&amp;"","")="유지비",COUNTIF(계정대체기준!$A$6:$A$15,$N2061)&gt;0),IFERROR(INDEX(계정대체기준!$E$6:$E$15,MATCH(VALUE($A2061&amp;""),계정대체기준!$D$6:$D$15,0)),0),0))</f>
        <v/>
      </c>
      <c r="AH2061" s="64">
        <f>IF($A2061="","",IF(AD2061=0,"",IF(OR(COUNTIF(계정대체기준!$A$77:$A$86,$N2061)&gt;0,ISNUMBER(MATCH($X2061,계정대체기준!$D$77:$D$86,0)),ISNUMBER(MATCH($F2061,계정대체기준!$D$77:$D$86,0))),"Y","N")))</f>
        <v/>
      </c>
    </row>
    <row r="2062">
      <c r="A2062" s="92" t="n">
        <v>2025</v>
      </c>
      <c r="B2062" s="92" t="n">
        <v>10</v>
      </c>
      <c r="C2062" s="92" t="inlineStr">
        <is>
          <t>5100002058</t>
        </is>
      </c>
      <c r="D2062" s="95" t="n">
        <v>45934</v>
      </c>
      <c r="E2062" s="92" t="inlineStr">
        <is>
          <t>KR</t>
        </is>
      </c>
      <c r="F2062" s="92" t="n">
        <v>62901000</v>
      </c>
      <c r="G2062" s="92" t="n">
        <v>1401</v>
      </c>
      <c r="H2062" s="93" t="n">
        <v>7157000</v>
      </c>
      <c r="I2062" s="92" t="inlineStr">
        <is>
          <t>10월 자문 수수료 - W컨설팅</t>
        </is>
      </c>
      <c r="J2062" s="92" t="inlineStr">
        <is>
          <t>V10006</t>
        </is>
      </c>
      <c r="K2062" s="92" t="inlineStr">
        <is>
          <t>W컨설팅</t>
        </is>
      </c>
      <c r="M2062" s="9">
        <f>IF($A2062="","",VALUE($A2062&amp;"")*12+VALUE($B2062&amp;""))</f>
        <v/>
      </c>
      <c r="N2062" s="64">
        <f>IF($A2062="","",IFERROR(INDEX(부서매핑!$C$5:$C$504,MATCH($G2062&amp;"",부서매핑!$A$5:$A$504,0)),"미매핑"))</f>
        <v/>
      </c>
      <c r="O2062" s="9">
        <f>IF($A2062="","",N2062&amp;"|"&amp;$F2062)</f>
        <v/>
      </c>
      <c r="P2062" s="94">
        <f>IF($A2062="",0,$H2062*설정!$C$23)</f>
        <v/>
      </c>
      <c r="Q2062" s="64">
        <f>IF($A2062="","",IF(O2062&lt;&gt;원인분석!$C$9,"",IF(AND(M2062&gt;=원인분석!$C$10,M2062&lt;=원인분석!$C$11),"당기",IF(AND(M2062&gt;=원인분석!$C$12,M2062&lt;=원인분석!$C$13),"비교",""))))</f>
        <v/>
      </c>
      <c r="R2062" s="9">
        <f>IF(Q2062="","",$K2062&amp;"")</f>
        <v/>
      </c>
      <c r="S2062" s="9">
        <f>IF(Q2062="","",IF(MATCH(R2062,$R$5:$R$100000,0)=ROW()-4,ROW(),""))</f>
        <v/>
      </c>
      <c r="T2062" s="9">
        <f>IF(Q2062="당기",ABS(P2062)+ROW()/1000000000,"")</f>
        <v/>
      </c>
      <c r="U2062" s="9">
        <f>IF(Q2062="비교",ABS(P2062)+ROW()/1000000000,"")</f>
        <v/>
      </c>
      <c r="V2062" s="64">
        <f>IF($A2062="","",IF(COUNTIF(변동분석!$E$7:$E$506,O2062)&gt;0,"Y","N"))</f>
        <v/>
      </c>
      <c r="W2062" s="64">
        <f>IF($A2062="","",IFERROR(INDEX(계정매핑!$D$5:$D$504,MATCH($F2062&amp;"",계정매핑!$A$5:$A$504,0)),"미매핑"))</f>
        <v/>
      </c>
      <c r="X2062" s="9">
        <f>IF($A2062="","",$F2062&amp;"")</f>
        <v/>
      </c>
      <c r="Y2062" s="94">
        <f>IF($A2062="",0,IF(AE2062="직접",IF(AF2062="비귀속",$P2062,0),$P2062*(1-AG2062)*IFERROR(INDEX(계정대체기준!$F$20:$F$49,MATCH($N2062,계정대체기준!$A$20:$A$49,0)),1)))</f>
        <v/>
      </c>
      <c r="Z2062" s="94">
        <f>IF($A2062="",0,IF(AE2062="직접",IF(AF2062="신계약비",$P2062,0),$P2062*(1-AG2062)*IFERROR(INDEX(계정대체기준!$C$20:$C$49,MATCH($N2062,계정대체기준!$A$20:$A$49,0)),0)))</f>
        <v/>
      </c>
      <c r="AA2062" s="94">
        <f>IF($A2062="",0,IF(AE2062="직접",IF(OR(AF2062="유지비",AF2062="손해조사비"),$P2062,0),$P2062*(1-AG2062)*IFERROR(INDEX(계정대체기준!$D$20:$D$49,MATCH($N2062,계정대체기준!$A$20:$A$49,0)),0)))</f>
        <v/>
      </c>
      <c r="AB2062" s="94">
        <f>IF($A2062="",0,IF(AE2062="직접",IF(AF2062="수금비",$P2062,0),$P2062*(1-AG2062)*IFERROR(INDEX(계정대체기준!$E$20:$E$49,MATCH($N2062,계정대체기준!$A$20:$A$49,0)),0)))</f>
        <v/>
      </c>
      <c r="AC2062" s="9">
        <f>IF(AND($A2062&lt;&gt;"",M2062=설정!$C$20,Z2062&gt;0),Z2062+ROW()/1000000000,"")</f>
        <v/>
      </c>
      <c r="AD2062" s="94">
        <f>IF($A2062="",0,$P2062*AG2062)</f>
        <v/>
      </c>
      <c r="AE2062" s="64">
        <f>IF($A2062="","",IFERROR(INDEX(계정매핑!$E$5:$E$504,MATCH($F2062&amp;"",계정매핑!$A$5:$A$504,0))&amp;"","공통비"))</f>
        <v/>
      </c>
      <c r="AF2062" s="64">
        <f>IF($A2062="","",IF(AE2062="직접",IFERROR(INDEX(계정매핑!$F$5:$F$504,MATCH($F2062&amp;"",계정매핑!$A$5:$A$504,0))&amp;"","비귀속"),""))</f>
        <v/>
      </c>
      <c r="AG2062" s="96">
        <f>IF($A2062="",0,IF(AND(AE2062&lt;&gt;"직접",IFERROR(INDEX(계정매핑!$G$5:$G$504,MATCH($F2062&amp;"",계정매핑!$A$5:$A$504,0))&amp;"","")="유지비",COUNTIF(계정대체기준!$A$6:$A$15,$N2062)&gt;0),IFERROR(INDEX(계정대체기준!$E$6:$E$15,MATCH(VALUE($A2062&amp;""),계정대체기준!$D$6:$D$15,0)),0),0))</f>
        <v/>
      </c>
      <c r="AH2062" s="64">
        <f>IF($A2062="","",IF(AD2062=0,"",IF(OR(COUNTIF(계정대체기준!$A$77:$A$86,$N2062)&gt;0,ISNUMBER(MATCH($X2062,계정대체기준!$D$77:$D$86,0)),ISNUMBER(MATCH($F2062,계정대체기준!$D$77:$D$86,0))),"Y","N")))</f>
        <v/>
      </c>
    </row>
    <row r="2063">
      <c r="A2063" s="92" t="n">
        <v>2025</v>
      </c>
      <c r="B2063" s="92" t="n">
        <v>10</v>
      </c>
      <c r="C2063" s="92" t="inlineStr">
        <is>
          <t>5100002059</t>
        </is>
      </c>
      <c r="D2063" s="95" t="n">
        <v>45934</v>
      </c>
      <c r="E2063" s="92" t="inlineStr">
        <is>
          <t>KR</t>
        </is>
      </c>
      <c r="F2063" s="92" t="n">
        <v>62901000</v>
      </c>
      <c r="G2063" s="92" t="n">
        <v>1401</v>
      </c>
      <c r="H2063" s="93" t="n">
        <v>6888000</v>
      </c>
      <c r="I2063" s="92" t="inlineStr">
        <is>
          <t>10월 자문 수수료 - W컨설팅</t>
        </is>
      </c>
      <c r="J2063" s="92" t="inlineStr">
        <is>
          <t>V10006</t>
        </is>
      </c>
      <c r="K2063" s="92" t="inlineStr">
        <is>
          <t>W컨설팅</t>
        </is>
      </c>
      <c r="M2063" s="9">
        <f>IF($A2063="","",VALUE($A2063&amp;"")*12+VALUE($B2063&amp;""))</f>
        <v/>
      </c>
      <c r="N2063" s="64">
        <f>IF($A2063="","",IFERROR(INDEX(부서매핑!$C$5:$C$504,MATCH($G2063&amp;"",부서매핑!$A$5:$A$504,0)),"미매핑"))</f>
        <v/>
      </c>
      <c r="O2063" s="9">
        <f>IF($A2063="","",N2063&amp;"|"&amp;$F2063)</f>
        <v/>
      </c>
      <c r="P2063" s="94">
        <f>IF($A2063="",0,$H2063*설정!$C$23)</f>
        <v/>
      </c>
      <c r="Q2063" s="64">
        <f>IF($A2063="","",IF(O2063&lt;&gt;원인분석!$C$9,"",IF(AND(M2063&gt;=원인분석!$C$10,M2063&lt;=원인분석!$C$11),"당기",IF(AND(M2063&gt;=원인분석!$C$12,M2063&lt;=원인분석!$C$13),"비교",""))))</f>
        <v/>
      </c>
      <c r="R2063" s="9">
        <f>IF(Q2063="","",$K2063&amp;"")</f>
        <v/>
      </c>
      <c r="S2063" s="9">
        <f>IF(Q2063="","",IF(MATCH(R2063,$R$5:$R$100000,0)=ROW()-4,ROW(),""))</f>
        <v/>
      </c>
      <c r="T2063" s="9">
        <f>IF(Q2063="당기",ABS(P2063)+ROW()/1000000000,"")</f>
        <v/>
      </c>
      <c r="U2063" s="9">
        <f>IF(Q2063="비교",ABS(P2063)+ROW()/1000000000,"")</f>
        <v/>
      </c>
      <c r="V2063" s="64">
        <f>IF($A2063="","",IF(COUNTIF(변동분석!$E$7:$E$506,O2063)&gt;0,"Y","N"))</f>
        <v/>
      </c>
      <c r="W2063" s="64">
        <f>IF($A2063="","",IFERROR(INDEX(계정매핑!$D$5:$D$504,MATCH($F2063&amp;"",계정매핑!$A$5:$A$504,0)),"미매핑"))</f>
        <v/>
      </c>
      <c r="X2063" s="9">
        <f>IF($A2063="","",$F2063&amp;"")</f>
        <v/>
      </c>
      <c r="Y2063" s="94">
        <f>IF($A2063="",0,IF(AE2063="직접",IF(AF2063="비귀속",$P2063,0),$P2063*(1-AG2063)*IFERROR(INDEX(계정대체기준!$F$20:$F$49,MATCH($N2063,계정대체기준!$A$20:$A$49,0)),1)))</f>
        <v/>
      </c>
      <c r="Z2063" s="94">
        <f>IF($A2063="",0,IF(AE2063="직접",IF(AF2063="신계약비",$P2063,0),$P2063*(1-AG2063)*IFERROR(INDEX(계정대체기준!$C$20:$C$49,MATCH($N2063,계정대체기준!$A$20:$A$49,0)),0)))</f>
        <v/>
      </c>
      <c r="AA2063" s="94">
        <f>IF($A2063="",0,IF(AE2063="직접",IF(OR(AF2063="유지비",AF2063="손해조사비"),$P2063,0),$P2063*(1-AG2063)*IFERROR(INDEX(계정대체기준!$D$20:$D$49,MATCH($N2063,계정대체기준!$A$20:$A$49,0)),0)))</f>
        <v/>
      </c>
      <c r="AB2063" s="94">
        <f>IF($A2063="",0,IF(AE2063="직접",IF(AF2063="수금비",$P2063,0),$P2063*(1-AG2063)*IFERROR(INDEX(계정대체기준!$E$20:$E$49,MATCH($N2063,계정대체기준!$A$20:$A$49,0)),0)))</f>
        <v/>
      </c>
      <c r="AC2063" s="9">
        <f>IF(AND($A2063&lt;&gt;"",M2063=설정!$C$20,Z2063&gt;0),Z2063+ROW()/1000000000,"")</f>
        <v/>
      </c>
      <c r="AD2063" s="94">
        <f>IF($A2063="",0,$P2063*AG2063)</f>
        <v/>
      </c>
      <c r="AE2063" s="64">
        <f>IF($A2063="","",IFERROR(INDEX(계정매핑!$E$5:$E$504,MATCH($F2063&amp;"",계정매핑!$A$5:$A$504,0))&amp;"","공통비"))</f>
        <v/>
      </c>
      <c r="AF2063" s="64">
        <f>IF($A2063="","",IF(AE2063="직접",IFERROR(INDEX(계정매핑!$F$5:$F$504,MATCH($F2063&amp;"",계정매핑!$A$5:$A$504,0))&amp;"","비귀속"),""))</f>
        <v/>
      </c>
      <c r="AG2063" s="96">
        <f>IF($A2063="",0,IF(AND(AE2063&lt;&gt;"직접",IFERROR(INDEX(계정매핑!$G$5:$G$504,MATCH($F2063&amp;"",계정매핑!$A$5:$A$504,0))&amp;"","")="유지비",COUNTIF(계정대체기준!$A$6:$A$15,$N2063)&gt;0),IFERROR(INDEX(계정대체기준!$E$6:$E$15,MATCH(VALUE($A2063&amp;""),계정대체기준!$D$6:$D$15,0)),0),0))</f>
        <v/>
      </c>
      <c r="AH2063" s="64">
        <f>IF($A2063="","",IF(AD2063=0,"",IF(OR(COUNTIF(계정대체기준!$A$77:$A$86,$N2063)&gt;0,ISNUMBER(MATCH($X2063,계정대체기준!$D$77:$D$86,0)),ISNUMBER(MATCH($F2063,계정대체기준!$D$77:$D$86,0))),"Y","N")))</f>
        <v/>
      </c>
    </row>
    <row r="2064">
      <c r="A2064" s="92" t="n">
        <v>2025</v>
      </c>
      <c r="B2064" s="92" t="n">
        <v>10</v>
      </c>
      <c r="C2064" s="92" t="inlineStr">
        <is>
          <t>5100002060</t>
        </is>
      </c>
      <c r="D2064" s="95" t="n">
        <v>45934</v>
      </c>
      <c r="E2064" s="92" t="inlineStr">
        <is>
          <t>KR</t>
        </is>
      </c>
      <c r="F2064" s="92" t="n">
        <v>62902000</v>
      </c>
      <c r="G2064" s="92" t="n">
        <v>1801</v>
      </c>
      <c r="H2064" s="93" t="n">
        <v>1755000</v>
      </c>
      <c r="I2064" s="92" t="inlineStr">
        <is>
          <t>10월 콜 위탁 수수료(건별)</t>
        </is>
      </c>
      <c r="J2064" s="92" t="inlineStr">
        <is>
          <t>V10016</t>
        </is>
      </c>
      <c r="K2064" s="92" t="inlineStr">
        <is>
          <t>J콜센터</t>
        </is>
      </c>
      <c r="M2064" s="9">
        <f>IF($A2064="","",VALUE($A2064&amp;"")*12+VALUE($B2064&amp;""))</f>
        <v/>
      </c>
      <c r="N2064" s="64">
        <f>IF($A2064="","",IFERROR(INDEX(부서매핑!$C$5:$C$504,MATCH($G2064&amp;"",부서매핑!$A$5:$A$504,0)),"미매핑"))</f>
        <v/>
      </c>
      <c r="O2064" s="9">
        <f>IF($A2064="","",N2064&amp;"|"&amp;$F2064)</f>
        <v/>
      </c>
      <c r="P2064" s="94">
        <f>IF($A2064="",0,$H2064*설정!$C$23)</f>
        <v/>
      </c>
      <c r="Q2064" s="64">
        <f>IF($A2064="","",IF(O2064&lt;&gt;원인분석!$C$9,"",IF(AND(M2064&gt;=원인분석!$C$10,M2064&lt;=원인분석!$C$11),"당기",IF(AND(M2064&gt;=원인분석!$C$12,M2064&lt;=원인분석!$C$13),"비교",""))))</f>
        <v/>
      </c>
      <c r="R2064" s="9">
        <f>IF(Q2064="","",$K2064&amp;"")</f>
        <v/>
      </c>
      <c r="S2064" s="9">
        <f>IF(Q2064="","",IF(MATCH(R2064,$R$5:$R$100000,0)=ROW()-4,ROW(),""))</f>
        <v/>
      </c>
      <c r="T2064" s="9">
        <f>IF(Q2064="당기",ABS(P2064)+ROW()/1000000000,"")</f>
        <v/>
      </c>
      <c r="U2064" s="9">
        <f>IF(Q2064="비교",ABS(P2064)+ROW()/1000000000,"")</f>
        <v/>
      </c>
      <c r="V2064" s="64">
        <f>IF($A2064="","",IF(COUNTIF(변동분석!$E$7:$E$506,O2064)&gt;0,"Y","N"))</f>
        <v/>
      </c>
      <c r="W2064" s="64">
        <f>IF($A2064="","",IFERROR(INDEX(계정매핑!$D$5:$D$504,MATCH($F2064&amp;"",계정매핑!$A$5:$A$504,0)),"미매핑"))</f>
        <v/>
      </c>
      <c r="X2064" s="9">
        <f>IF($A2064="","",$F2064&amp;"")</f>
        <v/>
      </c>
      <c r="Y2064" s="94">
        <f>IF($A2064="",0,IF(AE2064="직접",IF(AF2064="비귀속",$P2064,0),$P2064*(1-AG2064)*IFERROR(INDEX(계정대체기준!$F$20:$F$49,MATCH($N2064,계정대체기준!$A$20:$A$49,0)),1)))</f>
        <v/>
      </c>
      <c r="Z2064" s="94">
        <f>IF($A2064="",0,IF(AE2064="직접",IF(AF2064="신계약비",$P2064,0),$P2064*(1-AG2064)*IFERROR(INDEX(계정대체기준!$C$20:$C$49,MATCH($N2064,계정대체기준!$A$20:$A$49,0)),0)))</f>
        <v/>
      </c>
      <c r="AA2064" s="94">
        <f>IF($A2064="",0,IF(AE2064="직접",IF(OR(AF2064="유지비",AF2064="손해조사비"),$P2064,0),$P2064*(1-AG2064)*IFERROR(INDEX(계정대체기준!$D$20:$D$49,MATCH($N2064,계정대체기준!$A$20:$A$49,0)),0)))</f>
        <v/>
      </c>
      <c r="AB2064" s="94">
        <f>IF($A2064="",0,IF(AE2064="직접",IF(AF2064="수금비",$P2064,0),$P2064*(1-AG2064)*IFERROR(INDEX(계정대체기준!$E$20:$E$49,MATCH($N2064,계정대체기준!$A$20:$A$49,0)),0)))</f>
        <v/>
      </c>
      <c r="AC2064" s="9">
        <f>IF(AND($A2064&lt;&gt;"",M2064=설정!$C$20,Z2064&gt;0),Z2064+ROW()/1000000000,"")</f>
        <v/>
      </c>
      <c r="AD2064" s="94">
        <f>IF($A2064="",0,$P2064*AG2064)</f>
        <v/>
      </c>
      <c r="AE2064" s="64">
        <f>IF($A2064="","",IFERROR(INDEX(계정매핑!$E$5:$E$504,MATCH($F2064&amp;"",계정매핑!$A$5:$A$504,0))&amp;"","공통비"))</f>
        <v/>
      </c>
      <c r="AF2064" s="64">
        <f>IF($A2064="","",IF(AE2064="직접",IFERROR(INDEX(계정매핑!$F$5:$F$504,MATCH($F2064&amp;"",계정매핑!$A$5:$A$504,0))&amp;"","비귀속"),""))</f>
        <v/>
      </c>
      <c r="AG2064" s="96">
        <f>IF($A2064="",0,IF(AND(AE2064&lt;&gt;"직접",IFERROR(INDEX(계정매핑!$G$5:$G$504,MATCH($F2064&amp;"",계정매핑!$A$5:$A$504,0))&amp;"","")="유지비",COUNTIF(계정대체기준!$A$6:$A$15,$N2064)&gt;0),IFERROR(INDEX(계정대체기준!$E$6:$E$15,MATCH(VALUE($A2064&amp;""),계정대체기준!$D$6:$D$15,0)),0),0))</f>
        <v/>
      </c>
      <c r="AH2064" s="64">
        <f>IF($A2064="","",IF(AD2064=0,"",IF(OR(COUNTIF(계정대체기준!$A$77:$A$86,$N2064)&gt;0,ISNUMBER(MATCH($X2064,계정대체기준!$D$77:$D$86,0)),ISNUMBER(MATCH($F2064,계정대체기준!$D$77:$D$86,0))),"Y","N")))</f>
        <v/>
      </c>
    </row>
    <row r="2065">
      <c r="A2065" s="92" t="n">
        <v>2025</v>
      </c>
      <c r="B2065" s="92" t="n">
        <v>10</v>
      </c>
      <c r="C2065" s="92" t="inlineStr">
        <is>
          <t>5100002061</t>
        </is>
      </c>
      <c r="D2065" s="95" t="n">
        <v>45934</v>
      </c>
      <c r="E2065" s="92" t="inlineStr">
        <is>
          <t>KR</t>
        </is>
      </c>
      <c r="F2065" s="92" t="n">
        <v>62902000</v>
      </c>
      <c r="G2065" s="92" t="n">
        <v>1801</v>
      </c>
      <c r="H2065" s="93" t="n">
        <v>1763000</v>
      </c>
      <c r="I2065" s="92" t="inlineStr">
        <is>
          <t>10월 콜 위탁 수수료(건별)</t>
        </is>
      </c>
      <c r="J2065" s="92" t="inlineStr">
        <is>
          <t>V10016</t>
        </is>
      </c>
      <c r="K2065" s="92" t="inlineStr">
        <is>
          <t>J콜센터</t>
        </is>
      </c>
      <c r="M2065" s="9">
        <f>IF($A2065="","",VALUE($A2065&amp;"")*12+VALUE($B2065&amp;""))</f>
        <v/>
      </c>
      <c r="N2065" s="64">
        <f>IF($A2065="","",IFERROR(INDEX(부서매핑!$C$5:$C$504,MATCH($G2065&amp;"",부서매핑!$A$5:$A$504,0)),"미매핑"))</f>
        <v/>
      </c>
      <c r="O2065" s="9">
        <f>IF($A2065="","",N2065&amp;"|"&amp;$F2065)</f>
        <v/>
      </c>
      <c r="P2065" s="94">
        <f>IF($A2065="",0,$H2065*설정!$C$23)</f>
        <v/>
      </c>
      <c r="Q2065" s="64">
        <f>IF($A2065="","",IF(O2065&lt;&gt;원인분석!$C$9,"",IF(AND(M2065&gt;=원인분석!$C$10,M2065&lt;=원인분석!$C$11),"당기",IF(AND(M2065&gt;=원인분석!$C$12,M2065&lt;=원인분석!$C$13),"비교",""))))</f>
        <v/>
      </c>
      <c r="R2065" s="9">
        <f>IF(Q2065="","",$K2065&amp;"")</f>
        <v/>
      </c>
      <c r="S2065" s="9">
        <f>IF(Q2065="","",IF(MATCH(R2065,$R$5:$R$100000,0)=ROW()-4,ROW(),""))</f>
        <v/>
      </c>
      <c r="T2065" s="9">
        <f>IF(Q2065="당기",ABS(P2065)+ROW()/1000000000,"")</f>
        <v/>
      </c>
      <c r="U2065" s="9">
        <f>IF(Q2065="비교",ABS(P2065)+ROW()/1000000000,"")</f>
        <v/>
      </c>
      <c r="V2065" s="64">
        <f>IF($A2065="","",IF(COUNTIF(변동분석!$E$7:$E$506,O2065)&gt;0,"Y","N"))</f>
        <v/>
      </c>
      <c r="W2065" s="64">
        <f>IF($A2065="","",IFERROR(INDEX(계정매핑!$D$5:$D$504,MATCH($F2065&amp;"",계정매핑!$A$5:$A$504,0)),"미매핑"))</f>
        <v/>
      </c>
      <c r="X2065" s="9">
        <f>IF($A2065="","",$F2065&amp;"")</f>
        <v/>
      </c>
      <c r="Y2065" s="94">
        <f>IF($A2065="",0,IF(AE2065="직접",IF(AF2065="비귀속",$P2065,0),$P2065*(1-AG2065)*IFERROR(INDEX(계정대체기준!$F$20:$F$49,MATCH($N2065,계정대체기준!$A$20:$A$49,0)),1)))</f>
        <v/>
      </c>
      <c r="Z2065" s="94">
        <f>IF($A2065="",0,IF(AE2065="직접",IF(AF2065="신계약비",$P2065,0),$P2065*(1-AG2065)*IFERROR(INDEX(계정대체기준!$C$20:$C$49,MATCH($N2065,계정대체기준!$A$20:$A$49,0)),0)))</f>
        <v/>
      </c>
      <c r="AA2065" s="94">
        <f>IF($A2065="",0,IF(AE2065="직접",IF(OR(AF2065="유지비",AF2065="손해조사비"),$P2065,0),$P2065*(1-AG2065)*IFERROR(INDEX(계정대체기준!$D$20:$D$49,MATCH($N2065,계정대체기준!$A$20:$A$49,0)),0)))</f>
        <v/>
      </c>
      <c r="AB2065" s="94">
        <f>IF($A2065="",0,IF(AE2065="직접",IF(AF2065="수금비",$P2065,0),$P2065*(1-AG2065)*IFERROR(INDEX(계정대체기준!$E$20:$E$49,MATCH($N2065,계정대체기준!$A$20:$A$49,0)),0)))</f>
        <v/>
      </c>
      <c r="AC2065" s="9">
        <f>IF(AND($A2065&lt;&gt;"",M2065=설정!$C$20,Z2065&gt;0),Z2065+ROW()/1000000000,"")</f>
        <v/>
      </c>
      <c r="AD2065" s="94">
        <f>IF($A2065="",0,$P2065*AG2065)</f>
        <v/>
      </c>
      <c r="AE2065" s="64">
        <f>IF($A2065="","",IFERROR(INDEX(계정매핑!$E$5:$E$504,MATCH($F2065&amp;"",계정매핑!$A$5:$A$504,0))&amp;"","공통비"))</f>
        <v/>
      </c>
      <c r="AF2065" s="64">
        <f>IF($A2065="","",IF(AE2065="직접",IFERROR(INDEX(계정매핑!$F$5:$F$504,MATCH($F2065&amp;"",계정매핑!$A$5:$A$504,0))&amp;"","비귀속"),""))</f>
        <v/>
      </c>
      <c r="AG2065" s="96">
        <f>IF($A2065="",0,IF(AND(AE2065&lt;&gt;"직접",IFERROR(INDEX(계정매핑!$G$5:$G$504,MATCH($F2065&amp;"",계정매핑!$A$5:$A$504,0))&amp;"","")="유지비",COUNTIF(계정대체기준!$A$6:$A$15,$N2065)&gt;0),IFERROR(INDEX(계정대체기준!$E$6:$E$15,MATCH(VALUE($A2065&amp;""),계정대체기준!$D$6:$D$15,0)),0),0))</f>
        <v/>
      </c>
      <c r="AH2065" s="64">
        <f>IF($A2065="","",IF(AD2065=0,"",IF(OR(COUNTIF(계정대체기준!$A$77:$A$86,$N2065)&gt;0,ISNUMBER(MATCH($X2065,계정대체기준!$D$77:$D$86,0)),ISNUMBER(MATCH($F2065,계정대체기준!$D$77:$D$86,0))),"Y","N")))</f>
        <v/>
      </c>
    </row>
    <row r="2066">
      <c r="A2066" s="92" t="n">
        <v>2025</v>
      </c>
      <c r="B2066" s="92" t="n">
        <v>10</v>
      </c>
      <c r="C2066" s="92" t="inlineStr">
        <is>
          <t>5100002062</t>
        </is>
      </c>
      <c r="D2066" s="95" t="n">
        <v>45934</v>
      </c>
      <c r="E2066" s="92" t="inlineStr">
        <is>
          <t>KR</t>
        </is>
      </c>
      <c r="F2066" s="92" t="n">
        <v>62902000</v>
      </c>
      <c r="G2066" s="92" t="n">
        <v>1801</v>
      </c>
      <c r="H2066" s="93" t="n">
        <v>3000000</v>
      </c>
      <c r="I2066" s="92" t="inlineStr">
        <is>
          <t>10월 업무 위탁 수수료 - X서비스</t>
        </is>
      </c>
      <c r="J2066" s="92" t="inlineStr">
        <is>
          <t>V10020</t>
        </is>
      </c>
      <c r="K2066" s="92" t="inlineStr">
        <is>
          <t>X서비스</t>
        </is>
      </c>
      <c r="M2066" s="9">
        <f>IF($A2066="","",VALUE($A2066&amp;"")*12+VALUE($B2066&amp;""))</f>
        <v/>
      </c>
      <c r="N2066" s="64">
        <f>IF($A2066="","",IFERROR(INDEX(부서매핑!$C$5:$C$504,MATCH($G2066&amp;"",부서매핑!$A$5:$A$504,0)),"미매핑"))</f>
        <v/>
      </c>
      <c r="O2066" s="9">
        <f>IF($A2066="","",N2066&amp;"|"&amp;$F2066)</f>
        <v/>
      </c>
      <c r="P2066" s="94">
        <f>IF($A2066="",0,$H2066*설정!$C$23)</f>
        <v/>
      </c>
      <c r="Q2066" s="64">
        <f>IF($A2066="","",IF(O2066&lt;&gt;원인분석!$C$9,"",IF(AND(M2066&gt;=원인분석!$C$10,M2066&lt;=원인분석!$C$11),"당기",IF(AND(M2066&gt;=원인분석!$C$12,M2066&lt;=원인분석!$C$13),"비교",""))))</f>
        <v/>
      </c>
      <c r="R2066" s="9">
        <f>IF(Q2066="","",$K2066&amp;"")</f>
        <v/>
      </c>
      <c r="S2066" s="9">
        <f>IF(Q2066="","",IF(MATCH(R2066,$R$5:$R$100000,0)=ROW()-4,ROW(),""))</f>
        <v/>
      </c>
      <c r="T2066" s="9">
        <f>IF(Q2066="당기",ABS(P2066)+ROW()/1000000000,"")</f>
        <v/>
      </c>
      <c r="U2066" s="9">
        <f>IF(Q2066="비교",ABS(P2066)+ROW()/1000000000,"")</f>
        <v/>
      </c>
      <c r="V2066" s="64">
        <f>IF($A2066="","",IF(COUNTIF(변동분석!$E$7:$E$506,O2066)&gt;0,"Y","N"))</f>
        <v/>
      </c>
      <c r="W2066" s="64">
        <f>IF($A2066="","",IFERROR(INDEX(계정매핑!$D$5:$D$504,MATCH($F2066&amp;"",계정매핑!$A$5:$A$504,0)),"미매핑"))</f>
        <v/>
      </c>
      <c r="X2066" s="9">
        <f>IF($A2066="","",$F2066&amp;"")</f>
        <v/>
      </c>
      <c r="Y2066" s="94">
        <f>IF($A2066="",0,IF(AE2066="직접",IF(AF2066="비귀속",$P2066,0),$P2066*(1-AG2066)*IFERROR(INDEX(계정대체기준!$F$20:$F$49,MATCH($N2066,계정대체기준!$A$20:$A$49,0)),1)))</f>
        <v/>
      </c>
      <c r="Z2066" s="94">
        <f>IF($A2066="",0,IF(AE2066="직접",IF(AF2066="신계약비",$P2066,0),$P2066*(1-AG2066)*IFERROR(INDEX(계정대체기준!$C$20:$C$49,MATCH($N2066,계정대체기준!$A$20:$A$49,0)),0)))</f>
        <v/>
      </c>
      <c r="AA2066" s="94">
        <f>IF($A2066="",0,IF(AE2066="직접",IF(OR(AF2066="유지비",AF2066="손해조사비"),$P2066,0),$P2066*(1-AG2066)*IFERROR(INDEX(계정대체기준!$D$20:$D$49,MATCH($N2066,계정대체기준!$A$20:$A$49,0)),0)))</f>
        <v/>
      </c>
      <c r="AB2066" s="94">
        <f>IF($A2066="",0,IF(AE2066="직접",IF(AF2066="수금비",$P2066,0),$P2066*(1-AG2066)*IFERROR(INDEX(계정대체기준!$E$20:$E$49,MATCH($N2066,계정대체기준!$A$20:$A$49,0)),0)))</f>
        <v/>
      </c>
      <c r="AC2066" s="9">
        <f>IF(AND($A2066&lt;&gt;"",M2066=설정!$C$20,Z2066&gt;0),Z2066+ROW()/1000000000,"")</f>
        <v/>
      </c>
      <c r="AD2066" s="94">
        <f>IF($A2066="",0,$P2066*AG2066)</f>
        <v/>
      </c>
      <c r="AE2066" s="64">
        <f>IF($A2066="","",IFERROR(INDEX(계정매핑!$E$5:$E$504,MATCH($F2066&amp;"",계정매핑!$A$5:$A$504,0))&amp;"","공통비"))</f>
        <v/>
      </c>
      <c r="AF2066" s="64">
        <f>IF($A2066="","",IF(AE2066="직접",IFERROR(INDEX(계정매핑!$F$5:$F$504,MATCH($F2066&amp;"",계정매핑!$A$5:$A$504,0))&amp;"","비귀속"),""))</f>
        <v/>
      </c>
      <c r="AG2066" s="96">
        <f>IF($A2066="",0,IF(AND(AE2066&lt;&gt;"직접",IFERROR(INDEX(계정매핑!$G$5:$G$504,MATCH($F2066&amp;"",계정매핑!$A$5:$A$504,0))&amp;"","")="유지비",COUNTIF(계정대체기준!$A$6:$A$15,$N2066)&gt;0),IFERROR(INDEX(계정대체기준!$E$6:$E$15,MATCH(VALUE($A2066&amp;""),계정대체기준!$D$6:$D$15,0)),0),0))</f>
        <v/>
      </c>
      <c r="AH2066" s="64">
        <f>IF($A2066="","",IF(AD2066=0,"",IF(OR(COUNTIF(계정대체기준!$A$77:$A$86,$N2066)&gt;0,ISNUMBER(MATCH($X2066,계정대체기준!$D$77:$D$86,0)),ISNUMBER(MATCH($F2066,계정대체기준!$D$77:$D$86,0))),"Y","N")))</f>
        <v/>
      </c>
    </row>
    <row r="2067">
      <c r="A2067" s="92" t="n">
        <v>2025</v>
      </c>
      <c r="B2067" s="92" t="n">
        <v>10</v>
      </c>
      <c r="C2067" s="92" t="inlineStr">
        <is>
          <t>5100002063</t>
        </is>
      </c>
      <c r="D2067" s="95" t="n">
        <v>45934</v>
      </c>
      <c r="E2067" s="92" t="inlineStr">
        <is>
          <t>KR</t>
        </is>
      </c>
      <c r="F2067" s="92" t="n">
        <v>63001000</v>
      </c>
      <c r="G2067" s="92" t="n">
        <v>1951</v>
      </c>
      <c r="H2067" s="93" t="n">
        <v>4180000</v>
      </c>
      <c r="I2067" s="92" t="inlineStr">
        <is>
          <t>10월 SW 유지보수 - Z시스템</t>
        </is>
      </c>
      <c r="J2067" s="92" t="inlineStr">
        <is>
          <t>V10012</t>
        </is>
      </c>
      <c r="K2067" s="92" t="inlineStr">
        <is>
          <t>Z시스템</t>
        </is>
      </c>
      <c r="M2067" s="9">
        <f>IF($A2067="","",VALUE($A2067&amp;"")*12+VALUE($B2067&amp;""))</f>
        <v/>
      </c>
      <c r="N2067" s="64">
        <f>IF($A2067="","",IFERROR(INDEX(부서매핑!$C$5:$C$504,MATCH($G2067&amp;"",부서매핑!$A$5:$A$504,0)),"미매핑"))</f>
        <v/>
      </c>
      <c r="O2067" s="9">
        <f>IF($A2067="","",N2067&amp;"|"&amp;$F2067)</f>
        <v/>
      </c>
      <c r="P2067" s="94">
        <f>IF($A2067="",0,$H2067*설정!$C$23)</f>
        <v/>
      </c>
      <c r="Q2067" s="64">
        <f>IF($A2067="","",IF(O2067&lt;&gt;원인분석!$C$9,"",IF(AND(M2067&gt;=원인분석!$C$10,M2067&lt;=원인분석!$C$11),"당기",IF(AND(M2067&gt;=원인분석!$C$12,M2067&lt;=원인분석!$C$13),"비교",""))))</f>
        <v/>
      </c>
      <c r="R2067" s="9">
        <f>IF(Q2067="","",$K2067&amp;"")</f>
        <v/>
      </c>
      <c r="S2067" s="9">
        <f>IF(Q2067="","",IF(MATCH(R2067,$R$5:$R$100000,0)=ROW()-4,ROW(),""))</f>
        <v/>
      </c>
      <c r="T2067" s="9">
        <f>IF(Q2067="당기",ABS(P2067)+ROW()/1000000000,"")</f>
        <v/>
      </c>
      <c r="U2067" s="9">
        <f>IF(Q2067="비교",ABS(P2067)+ROW()/1000000000,"")</f>
        <v/>
      </c>
      <c r="V2067" s="64">
        <f>IF($A2067="","",IF(COUNTIF(변동분석!$E$7:$E$506,O2067)&gt;0,"Y","N"))</f>
        <v/>
      </c>
      <c r="W2067" s="64">
        <f>IF($A2067="","",IFERROR(INDEX(계정매핑!$D$5:$D$504,MATCH($F2067&amp;"",계정매핑!$A$5:$A$504,0)),"미매핑"))</f>
        <v/>
      </c>
      <c r="X2067" s="9">
        <f>IF($A2067="","",$F2067&amp;"")</f>
        <v/>
      </c>
      <c r="Y2067" s="94">
        <f>IF($A2067="",0,IF(AE2067="직접",IF(AF2067="비귀속",$P2067,0),$P2067*(1-AG2067)*IFERROR(INDEX(계정대체기준!$F$20:$F$49,MATCH($N2067,계정대체기준!$A$20:$A$49,0)),1)))</f>
        <v/>
      </c>
      <c r="Z2067" s="94">
        <f>IF($A2067="",0,IF(AE2067="직접",IF(AF2067="신계약비",$P2067,0),$P2067*(1-AG2067)*IFERROR(INDEX(계정대체기준!$C$20:$C$49,MATCH($N2067,계정대체기준!$A$20:$A$49,0)),0)))</f>
        <v/>
      </c>
      <c r="AA2067" s="94">
        <f>IF($A2067="",0,IF(AE2067="직접",IF(OR(AF2067="유지비",AF2067="손해조사비"),$P2067,0),$P2067*(1-AG2067)*IFERROR(INDEX(계정대체기준!$D$20:$D$49,MATCH($N2067,계정대체기준!$A$20:$A$49,0)),0)))</f>
        <v/>
      </c>
      <c r="AB2067" s="94">
        <f>IF($A2067="",0,IF(AE2067="직접",IF(AF2067="수금비",$P2067,0),$P2067*(1-AG2067)*IFERROR(INDEX(계정대체기준!$E$20:$E$49,MATCH($N2067,계정대체기준!$A$20:$A$49,0)),0)))</f>
        <v/>
      </c>
      <c r="AC2067" s="9">
        <f>IF(AND($A2067&lt;&gt;"",M2067=설정!$C$20,Z2067&gt;0),Z2067+ROW()/1000000000,"")</f>
        <v/>
      </c>
      <c r="AD2067" s="94">
        <f>IF($A2067="",0,$P2067*AG2067)</f>
        <v/>
      </c>
      <c r="AE2067" s="64">
        <f>IF($A2067="","",IFERROR(INDEX(계정매핑!$E$5:$E$504,MATCH($F2067&amp;"",계정매핑!$A$5:$A$504,0))&amp;"","공통비"))</f>
        <v/>
      </c>
      <c r="AF2067" s="64">
        <f>IF($A2067="","",IF(AE2067="직접",IFERROR(INDEX(계정매핑!$F$5:$F$504,MATCH($F2067&amp;"",계정매핑!$A$5:$A$504,0))&amp;"","비귀속"),""))</f>
        <v/>
      </c>
      <c r="AG2067" s="96">
        <f>IF($A2067="",0,IF(AND(AE2067&lt;&gt;"직접",IFERROR(INDEX(계정매핑!$G$5:$G$504,MATCH($F2067&amp;"",계정매핑!$A$5:$A$504,0))&amp;"","")="유지비",COUNTIF(계정대체기준!$A$6:$A$15,$N2067)&gt;0),IFERROR(INDEX(계정대체기준!$E$6:$E$15,MATCH(VALUE($A2067&amp;""),계정대체기준!$D$6:$D$15,0)),0),0))</f>
        <v/>
      </c>
      <c r="AH2067" s="64">
        <f>IF($A2067="","",IF(AD2067=0,"",IF(OR(COUNTIF(계정대체기준!$A$77:$A$86,$N2067)&gt;0,ISNUMBER(MATCH($X2067,계정대체기준!$D$77:$D$86,0)),ISNUMBER(MATCH($F2067,계정대체기준!$D$77:$D$86,0))),"Y","N")))</f>
        <v/>
      </c>
    </row>
    <row r="2068">
      <c r="A2068" s="92" t="n">
        <v>2025</v>
      </c>
      <c r="B2068" s="92" t="n">
        <v>10</v>
      </c>
      <c r="C2068" s="92" t="inlineStr">
        <is>
          <t>5100002064</t>
        </is>
      </c>
      <c r="D2068" s="95" t="n">
        <v>45935</v>
      </c>
      <c r="E2068" s="92" t="inlineStr">
        <is>
          <t>KR</t>
        </is>
      </c>
      <c r="F2068" s="92" t="n">
        <v>62102000</v>
      </c>
      <c r="G2068" s="92" t="n">
        <v>1101</v>
      </c>
      <c r="H2068" s="93" t="n">
        <v>160000</v>
      </c>
      <c r="I2068" s="92" t="inlineStr">
        <is>
          <t>10월 해외출장 - N호텔</t>
        </is>
      </c>
      <c r="J2068" s="92" t="inlineStr">
        <is>
          <t>V10009</t>
        </is>
      </c>
      <c r="K2068" s="92" t="inlineStr">
        <is>
          <t>N호텔</t>
        </is>
      </c>
      <c r="M2068" s="9">
        <f>IF($A2068="","",VALUE($A2068&amp;"")*12+VALUE($B2068&amp;""))</f>
        <v/>
      </c>
      <c r="N2068" s="64">
        <f>IF($A2068="","",IFERROR(INDEX(부서매핑!$C$5:$C$504,MATCH($G2068&amp;"",부서매핑!$A$5:$A$504,0)),"미매핑"))</f>
        <v/>
      </c>
      <c r="O2068" s="9">
        <f>IF($A2068="","",N2068&amp;"|"&amp;$F2068)</f>
        <v/>
      </c>
      <c r="P2068" s="94">
        <f>IF($A2068="",0,$H2068*설정!$C$23)</f>
        <v/>
      </c>
      <c r="Q2068" s="64">
        <f>IF($A2068="","",IF(O2068&lt;&gt;원인분석!$C$9,"",IF(AND(M2068&gt;=원인분석!$C$10,M2068&lt;=원인분석!$C$11),"당기",IF(AND(M2068&gt;=원인분석!$C$12,M2068&lt;=원인분석!$C$13),"비교",""))))</f>
        <v/>
      </c>
      <c r="R2068" s="9">
        <f>IF(Q2068="","",$K2068&amp;"")</f>
        <v/>
      </c>
      <c r="S2068" s="9">
        <f>IF(Q2068="","",IF(MATCH(R2068,$R$5:$R$100000,0)=ROW()-4,ROW(),""))</f>
        <v/>
      </c>
      <c r="T2068" s="9">
        <f>IF(Q2068="당기",ABS(P2068)+ROW()/1000000000,"")</f>
        <v/>
      </c>
      <c r="U2068" s="9">
        <f>IF(Q2068="비교",ABS(P2068)+ROW()/1000000000,"")</f>
        <v/>
      </c>
      <c r="V2068" s="64">
        <f>IF($A2068="","",IF(COUNTIF(변동분석!$E$7:$E$506,O2068)&gt;0,"Y","N"))</f>
        <v/>
      </c>
      <c r="W2068" s="64">
        <f>IF($A2068="","",IFERROR(INDEX(계정매핑!$D$5:$D$504,MATCH($F2068&amp;"",계정매핑!$A$5:$A$504,0)),"미매핑"))</f>
        <v/>
      </c>
      <c r="X2068" s="9">
        <f>IF($A2068="","",$F2068&amp;"")</f>
        <v/>
      </c>
      <c r="Y2068" s="94">
        <f>IF($A2068="",0,IF(AE2068="직접",IF(AF2068="비귀속",$P2068,0),$P2068*(1-AG2068)*IFERROR(INDEX(계정대체기준!$F$20:$F$49,MATCH($N2068,계정대체기준!$A$20:$A$49,0)),1)))</f>
        <v/>
      </c>
      <c r="Z2068" s="94">
        <f>IF($A2068="",0,IF(AE2068="직접",IF(AF2068="신계약비",$P2068,0),$P2068*(1-AG2068)*IFERROR(INDEX(계정대체기준!$C$20:$C$49,MATCH($N2068,계정대체기준!$A$20:$A$49,0)),0)))</f>
        <v/>
      </c>
      <c r="AA2068" s="94">
        <f>IF($A2068="",0,IF(AE2068="직접",IF(OR(AF2068="유지비",AF2068="손해조사비"),$P2068,0),$P2068*(1-AG2068)*IFERROR(INDEX(계정대체기준!$D$20:$D$49,MATCH($N2068,계정대체기준!$A$20:$A$49,0)),0)))</f>
        <v/>
      </c>
      <c r="AB2068" s="94">
        <f>IF($A2068="",0,IF(AE2068="직접",IF(AF2068="수금비",$P2068,0),$P2068*(1-AG2068)*IFERROR(INDEX(계정대체기준!$E$20:$E$49,MATCH($N2068,계정대체기준!$A$20:$A$49,0)),0)))</f>
        <v/>
      </c>
      <c r="AC2068" s="9">
        <f>IF(AND($A2068&lt;&gt;"",M2068=설정!$C$20,Z2068&gt;0),Z2068+ROW()/1000000000,"")</f>
        <v/>
      </c>
      <c r="AD2068" s="94">
        <f>IF($A2068="",0,$P2068*AG2068)</f>
        <v/>
      </c>
      <c r="AE2068" s="64">
        <f>IF($A2068="","",IFERROR(INDEX(계정매핑!$E$5:$E$504,MATCH($F2068&amp;"",계정매핑!$A$5:$A$504,0))&amp;"","공통비"))</f>
        <v/>
      </c>
      <c r="AF2068" s="64">
        <f>IF($A2068="","",IF(AE2068="직접",IFERROR(INDEX(계정매핑!$F$5:$F$504,MATCH($F2068&amp;"",계정매핑!$A$5:$A$504,0))&amp;"","비귀속"),""))</f>
        <v/>
      </c>
      <c r="AG2068" s="96">
        <f>IF($A2068="",0,IF(AND(AE2068&lt;&gt;"직접",IFERROR(INDEX(계정매핑!$G$5:$G$504,MATCH($F2068&amp;"",계정매핑!$A$5:$A$504,0))&amp;"","")="유지비",COUNTIF(계정대체기준!$A$6:$A$15,$N2068)&gt;0),IFERROR(INDEX(계정대체기준!$E$6:$E$15,MATCH(VALUE($A2068&amp;""),계정대체기준!$D$6:$D$15,0)),0),0))</f>
        <v/>
      </c>
      <c r="AH2068" s="64">
        <f>IF($A2068="","",IF(AD2068=0,"",IF(OR(COUNTIF(계정대체기준!$A$77:$A$86,$N2068)&gt;0,ISNUMBER(MATCH($X2068,계정대체기준!$D$77:$D$86,0)),ISNUMBER(MATCH($F2068,계정대체기준!$D$77:$D$86,0))),"Y","N")))</f>
        <v/>
      </c>
    </row>
    <row r="2069">
      <c r="A2069" s="92" t="n">
        <v>2025</v>
      </c>
      <c r="B2069" s="92" t="n">
        <v>10</v>
      </c>
      <c r="C2069" s="92" t="inlineStr">
        <is>
          <t>5100002065</t>
        </is>
      </c>
      <c r="D2069" s="95" t="n">
        <v>45935</v>
      </c>
      <c r="E2069" s="92" t="inlineStr">
        <is>
          <t>KR</t>
        </is>
      </c>
      <c r="F2069" s="92" t="n">
        <v>62102000</v>
      </c>
      <c r="G2069" s="92" t="n">
        <v>1301</v>
      </c>
      <c r="H2069" s="93" t="n">
        <v>73000</v>
      </c>
      <c r="I2069" s="92" t="inlineStr">
        <is>
          <t>10월 해외출장 - N호텔</t>
        </is>
      </c>
      <c r="J2069" s="92" t="inlineStr">
        <is>
          <t>V10009</t>
        </is>
      </c>
      <c r="K2069" s="92" t="inlineStr">
        <is>
          <t>N호텔</t>
        </is>
      </c>
      <c r="M2069" s="9">
        <f>IF($A2069="","",VALUE($A2069&amp;"")*12+VALUE($B2069&amp;""))</f>
        <v/>
      </c>
      <c r="N2069" s="64">
        <f>IF($A2069="","",IFERROR(INDEX(부서매핑!$C$5:$C$504,MATCH($G2069&amp;"",부서매핑!$A$5:$A$504,0)),"미매핑"))</f>
        <v/>
      </c>
      <c r="O2069" s="9">
        <f>IF($A2069="","",N2069&amp;"|"&amp;$F2069)</f>
        <v/>
      </c>
      <c r="P2069" s="94">
        <f>IF($A2069="",0,$H2069*설정!$C$23)</f>
        <v/>
      </c>
      <c r="Q2069" s="64">
        <f>IF($A2069="","",IF(O2069&lt;&gt;원인분석!$C$9,"",IF(AND(M2069&gt;=원인분석!$C$10,M2069&lt;=원인분석!$C$11),"당기",IF(AND(M2069&gt;=원인분석!$C$12,M2069&lt;=원인분석!$C$13),"비교",""))))</f>
        <v/>
      </c>
      <c r="R2069" s="9">
        <f>IF(Q2069="","",$K2069&amp;"")</f>
        <v/>
      </c>
      <c r="S2069" s="9">
        <f>IF(Q2069="","",IF(MATCH(R2069,$R$5:$R$100000,0)=ROW()-4,ROW(),""))</f>
        <v/>
      </c>
      <c r="T2069" s="9">
        <f>IF(Q2069="당기",ABS(P2069)+ROW()/1000000000,"")</f>
        <v/>
      </c>
      <c r="U2069" s="9">
        <f>IF(Q2069="비교",ABS(P2069)+ROW()/1000000000,"")</f>
        <v/>
      </c>
      <c r="V2069" s="64">
        <f>IF($A2069="","",IF(COUNTIF(변동분석!$E$7:$E$506,O2069)&gt;0,"Y","N"))</f>
        <v/>
      </c>
      <c r="W2069" s="64">
        <f>IF($A2069="","",IFERROR(INDEX(계정매핑!$D$5:$D$504,MATCH($F2069&amp;"",계정매핑!$A$5:$A$504,0)),"미매핑"))</f>
        <v/>
      </c>
      <c r="X2069" s="9">
        <f>IF($A2069="","",$F2069&amp;"")</f>
        <v/>
      </c>
      <c r="Y2069" s="94">
        <f>IF($A2069="",0,IF(AE2069="직접",IF(AF2069="비귀속",$P2069,0),$P2069*(1-AG2069)*IFERROR(INDEX(계정대체기준!$F$20:$F$49,MATCH($N2069,계정대체기준!$A$20:$A$49,0)),1)))</f>
        <v/>
      </c>
      <c r="Z2069" s="94">
        <f>IF($A2069="",0,IF(AE2069="직접",IF(AF2069="신계약비",$P2069,0),$P2069*(1-AG2069)*IFERROR(INDEX(계정대체기준!$C$20:$C$49,MATCH($N2069,계정대체기준!$A$20:$A$49,0)),0)))</f>
        <v/>
      </c>
      <c r="AA2069" s="94">
        <f>IF($A2069="",0,IF(AE2069="직접",IF(OR(AF2069="유지비",AF2069="손해조사비"),$P2069,0),$P2069*(1-AG2069)*IFERROR(INDEX(계정대체기준!$D$20:$D$49,MATCH($N2069,계정대체기준!$A$20:$A$49,0)),0)))</f>
        <v/>
      </c>
      <c r="AB2069" s="94">
        <f>IF($A2069="",0,IF(AE2069="직접",IF(AF2069="수금비",$P2069,0),$P2069*(1-AG2069)*IFERROR(INDEX(계정대체기준!$E$20:$E$49,MATCH($N2069,계정대체기준!$A$20:$A$49,0)),0)))</f>
        <v/>
      </c>
      <c r="AC2069" s="9">
        <f>IF(AND($A2069&lt;&gt;"",M2069=설정!$C$20,Z2069&gt;0),Z2069+ROW()/1000000000,"")</f>
        <v/>
      </c>
      <c r="AD2069" s="94">
        <f>IF($A2069="",0,$P2069*AG2069)</f>
        <v/>
      </c>
      <c r="AE2069" s="64">
        <f>IF($A2069="","",IFERROR(INDEX(계정매핑!$E$5:$E$504,MATCH($F2069&amp;"",계정매핑!$A$5:$A$504,0))&amp;"","공통비"))</f>
        <v/>
      </c>
      <c r="AF2069" s="64">
        <f>IF($A2069="","",IF(AE2069="직접",IFERROR(INDEX(계정매핑!$F$5:$F$504,MATCH($F2069&amp;"",계정매핑!$A$5:$A$504,0))&amp;"","비귀속"),""))</f>
        <v/>
      </c>
      <c r="AG2069" s="96">
        <f>IF($A2069="",0,IF(AND(AE2069&lt;&gt;"직접",IFERROR(INDEX(계정매핑!$G$5:$G$504,MATCH($F2069&amp;"",계정매핑!$A$5:$A$504,0))&amp;"","")="유지비",COUNTIF(계정대체기준!$A$6:$A$15,$N2069)&gt;0),IFERROR(INDEX(계정대체기준!$E$6:$E$15,MATCH(VALUE($A2069&amp;""),계정대체기준!$D$6:$D$15,0)),0),0))</f>
        <v/>
      </c>
      <c r="AH2069" s="64">
        <f>IF($A2069="","",IF(AD2069=0,"",IF(OR(COUNTIF(계정대체기준!$A$77:$A$86,$N2069)&gt;0,ISNUMBER(MATCH($X2069,계정대체기준!$D$77:$D$86,0)),ISNUMBER(MATCH($F2069,계정대체기준!$D$77:$D$86,0))),"Y","N")))</f>
        <v/>
      </c>
    </row>
    <row r="2070">
      <c r="A2070" s="92" t="n">
        <v>2025</v>
      </c>
      <c r="B2070" s="92" t="n">
        <v>10</v>
      </c>
      <c r="C2070" s="92" t="inlineStr">
        <is>
          <t>5100002066</t>
        </is>
      </c>
      <c r="D2070" s="95" t="n">
        <v>45935</v>
      </c>
      <c r="E2070" s="92" t="inlineStr">
        <is>
          <t>KR</t>
        </is>
      </c>
      <c r="F2070" s="92" t="n">
        <v>62102000</v>
      </c>
      <c r="G2070" s="92" t="n">
        <v>1951</v>
      </c>
      <c r="H2070" s="93" t="n">
        <v>88000</v>
      </c>
      <c r="I2070" s="92" t="inlineStr">
        <is>
          <t>10월 해외출장 - N호텔</t>
        </is>
      </c>
      <c r="J2070" s="92" t="inlineStr">
        <is>
          <t>V10009</t>
        </is>
      </c>
      <c r="K2070" s="92" t="inlineStr">
        <is>
          <t>N호텔</t>
        </is>
      </c>
      <c r="M2070" s="9">
        <f>IF($A2070="","",VALUE($A2070&amp;"")*12+VALUE($B2070&amp;""))</f>
        <v/>
      </c>
      <c r="N2070" s="64">
        <f>IF($A2070="","",IFERROR(INDEX(부서매핑!$C$5:$C$504,MATCH($G2070&amp;"",부서매핑!$A$5:$A$504,0)),"미매핑"))</f>
        <v/>
      </c>
      <c r="O2070" s="9">
        <f>IF($A2070="","",N2070&amp;"|"&amp;$F2070)</f>
        <v/>
      </c>
      <c r="P2070" s="94">
        <f>IF($A2070="",0,$H2070*설정!$C$23)</f>
        <v/>
      </c>
      <c r="Q2070" s="64">
        <f>IF($A2070="","",IF(O2070&lt;&gt;원인분석!$C$9,"",IF(AND(M2070&gt;=원인분석!$C$10,M2070&lt;=원인분석!$C$11),"당기",IF(AND(M2070&gt;=원인분석!$C$12,M2070&lt;=원인분석!$C$13),"비교",""))))</f>
        <v/>
      </c>
      <c r="R2070" s="9">
        <f>IF(Q2070="","",$K2070&amp;"")</f>
        <v/>
      </c>
      <c r="S2070" s="9">
        <f>IF(Q2070="","",IF(MATCH(R2070,$R$5:$R$100000,0)=ROW()-4,ROW(),""))</f>
        <v/>
      </c>
      <c r="T2070" s="9">
        <f>IF(Q2070="당기",ABS(P2070)+ROW()/1000000000,"")</f>
        <v/>
      </c>
      <c r="U2070" s="9">
        <f>IF(Q2070="비교",ABS(P2070)+ROW()/1000000000,"")</f>
        <v/>
      </c>
      <c r="V2070" s="64">
        <f>IF($A2070="","",IF(COUNTIF(변동분석!$E$7:$E$506,O2070)&gt;0,"Y","N"))</f>
        <v/>
      </c>
      <c r="W2070" s="64">
        <f>IF($A2070="","",IFERROR(INDEX(계정매핑!$D$5:$D$504,MATCH($F2070&amp;"",계정매핑!$A$5:$A$504,0)),"미매핑"))</f>
        <v/>
      </c>
      <c r="X2070" s="9">
        <f>IF($A2070="","",$F2070&amp;"")</f>
        <v/>
      </c>
      <c r="Y2070" s="94">
        <f>IF($A2070="",0,IF(AE2070="직접",IF(AF2070="비귀속",$P2070,0),$P2070*(1-AG2070)*IFERROR(INDEX(계정대체기준!$F$20:$F$49,MATCH($N2070,계정대체기준!$A$20:$A$49,0)),1)))</f>
        <v/>
      </c>
      <c r="Z2070" s="94">
        <f>IF($A2070="",0,IF(AE2070="직접",IF(AF2070="신계약비",$P2070,0),$P2070*(1-AG2070)*IFERROR(INDEX(계정대체기준!$C$20:$C$49,MATCH($N2070,계정대체기준!$A$20:$A$49,0)),0)))</f>
        <v/>
      </c>
      <c r="AA2070" s="94">
        <f>IF($A2070="",0,IF(AE2070="직접",IF(OR(AF2070="유지비",AF2070="손해조사비"),$P2070,0),$P2070*(1-AG2070)*IFERROR(INDEX(계정대체기준!$D$20:$D$49,MATCH($N2070,계정대체기준!$A$20:$A$49,0)),0)))</f>
        <v/>
      </c>
      <c r="AB2070" s="94">
        <f>IF($A2070="",0,IF(AE2070="직접",IF(AF2070="수금비",$P2070,0),$P2070*(1-AG2070)*IFERROR(INDEX(계정대체기준!$E$20:$E$49,MATCH($N2070,계정대체기준!$A$20:$A$49,0)),0)))</f>
        <v/>
      </c>
      <c r="AC2070" s="9">
        <f>IF(AND($A2070&lt;&gt;"",M2070=설정!$C$20,Z2070&gt;0),Z2070+ROW()/1000000000,"")</f>
        <v/>
      </c>
      <c r="AD2070" s="94">
        <f>IF($A2070="",0,$P2070*AG2070)</f>
        <v/>
      </c>
      <c r="AE2070" s="64">
        <f>IF($A2070="","",IFERROR(INDEX(계정매핑!$E$5:$E$504,MATCH($F2070&amp;"",계정매핑!$A$5:$A$504,0))&amp;"","공통비"))</f>
        <v/>
      </c>
      <c r="AF2070" s="64">
        <f>IF($A2070="","",IF(AE2070="직접",IFERROR(INDEX(계정매핑!$F$5:$F$504,MATCH($F2070&amp;"",계정매핑!$A$5:$A$504,0))&amp;"","비귀속"),""))</f>
        <v/>
      </c>
      <c r="AG2070" s="96">
        <f>IF($A2070="",0,IF(AND(AE2070&lt;&gt;"직접",IFERROR(INDEX(계정매핑!$G$5:$G$504,MATCH($F2070&amp;"",계정매핑!$A$5:$A$504,0))&amp;"","")="유지비",COUNTIF(계정대체기준!$A$6:$A$15,$N2070)&gt;0),IFERROR(INDEX(계정대체기준!$E$6:$E$15,MATCH(VALUE($A2070&amp;""),계정대체기준!$D$6:$D$15,0)),0),0))</f>
        <v/>
      </c>
      <c r="AH2070" s="64">
        <f>IF($A2070="","",IF(AD2070=0,"",IF(OR(COUNTIF(계정대체기준!$A$77:$A$86,$N2070)&gt;0,ISNUMBER(MATCH($X2070,계정대체기준!$D$77:$D$86,0)),ISNUMBER(MATCH($F2070,계정대체기준!$D$77:$D$86,0))),"Y","N")))</f>
        <v/>
      </c>
    </row>
    <row r="2071">
      <c r="A2071" s="92" t="n">
        <v>2025</v>
      </c>
      <c r="B2071" s="92" t="n">
        <v>10</v>
      </c>
      <c r="C2071" s="92" t="inlineStr">
        <is>
          <t>5100002067</t>
        </is>
      </c>
      <c r="D2071" s="95" t="n">
        <v>45935</v>
      </c>
      <c r="E2071" s="92" t="inlineStr">
        <is>
          <t>KR</t>
        </is>
      </c>
      <c r="F2071" s="92" t="n">
        <v>62301000</v>
      </c>
      <c r="G2071" s="92" t="n">
        <v>1602</v>
      </c>
      <c r="H2071" s="93" t="n">
        <v>317000</v>
      </c>
      <c r="I2071" s="92" t="inlineStr">
        <is>
          <t>10월 소모품 구입 - R문구</t>
        </is>
      </c>
      <c r="J2071" s="92" t="inlineStr">
        <is>
          <t>V10022</t>
        </is>
      </c>
      <c r="K2071" s="92" t="inlineStr">
        <is>
          <t>R문구</t>
        </is>
      </c>
      <c r="M2071" s="9">
        <f>IF($A2071="","",VALUE($A2071&amp;"")*12+VALUE($B2071&amp;""))</f>
        <v/>
      </c>
      <c r="N2071" s="64">
        <f>IF($A2071="","",IFERROR(INDEX(부서매핑!$C$5:$C$504,MATCH($G2071&amp;"",부서매핑!$A$5:$A$504,0)),"미매핑"))</f>
        <v/>
      </c>
      <c r="O2071" s="9">
        <f>IF($A2071="","",N2071&amp;"|"&amp;$F2071)</f>
        <v/>
      </c>
      <c r="P2071" s="94">
        <f>IF($A2071="",0,$H2071*설정!$C$23)</f>
        <v/>
      </c>
      <c r="Q2071" s="64">
        <f>IF($A2071="","",IF(O2071&lt;&gt;원인분석!$C$9,"",IF(AND(M2071&gt;=원인분석!$C$10,M2071&lt;=원인분석!$C$11),"당기",IF(AND(M2071&gt;=원인분석!$C$12,M2071&lt;=원인분석!$C$13),"비교",""))))</f>
        <v/>
      </c>
      <c r="R2071" s="9">
        <f>IF(Q2071="","",$K2071&amp;"")</f>
        <v/>
      </c>
      <c r="S2071" s="9">
        <f>IF(Q2071="","",IF(MATCH(R2071,$R$5:$R$100000,0)=ROW()-4,ROW(),""))</f>
        <v/>
      </c>
      <c r="T2071" s="9">
        <f>IF(Q2071="당기",ABS(P2071)+ROW()/1000000000,"")</f>
        <v/>
      </c>
      <c r="U2071" s="9">
        <f>IF(Q2071="비교",ABS(P2071)+ROW()/1000000000,"")</f>
        <v/>
      </c>
      <c r="V2071" s="64">
        <f>IF($A2071="","",IF(COUNTIF(변동분석!$E$7:$E$506,O2071)&gt;0,"Y","N"))</f>
        <v/>
      </c>
      <c r="W2071" s="64">
        <f>IF($A2071="","",IFERROR(INDEX(계정매핑!$D$5:$D$504,MATCH($F2071&amp;"",계정매핑!$A$5:$A$504,0)),"미매핑"))</f>
        <v/>
      </c>
      <c r="X2071" s="9">
        <f>IF($A2071="","",$F2071&amp;"")</f>
        <v/>
      </c>
      <c r="Y2071" s="94">
        <f>IF($A2071="",0,IF(AE2071="직접",IF(AF2071="비귀속",$P2071,0),$P2071*(1-AG2071)*IFERROR(INDEX(계정대체기준!$F$20:$F$49,MATCH($N2071,계정대체기준!$A$20:$A$49,0)),1)))</f>
        <v/>
      </c>
      <c r="Z2071" s="94">
        <f>IF($A2071="",0,IF(AE2071="직접",IF(AF2071="신계약비",$P2071,0),$P2071*(1-AG2071)*IFERROR(INDEX(계정대체기준!$C$20:$C$49,MATCH($N2071,계정대체기준!$A$20:$A$49,0)),0)))</f>
        <v/>
      </c>
      <c r="AA2071" s="94">
        <f>IF($A2071="",0,IF(AE2071="직접",IF(OR(AF2071="유지비",AF2071="손해조사비"),$P2071,0),$P2071*(1-AG2071)*IFERROR(INDEX(계정대체기준!$D$20:$D$49,MATCH($N2071,계정대체기준!$A$20:$A$49,0)),0)))</f>
        <v/>
      </c>
      <c r="AB2071" s="94">
        <f>IF($A2071="",0,IF(AE2071="직접",IF(AF2071="수금비",$P2071,0),$P2071*(1-AG2071)*IFERROR(INDEX(계정대체기준!$E$20:$E$49,MATCH($N2071,계정대체기준!$A$20:$A$49,0)),0)))</f>
        <v/>
      </c>
      <c r="AC2071" s="9">
        <f>IF(AND($A2071&lt;&gt;"",M2071=설정!$C$20,Z2071&gt;0),Z2071+ROW()/1000000000,"")</f>
        <v/>
      </c>
      <c r="AD2071" s="94">
        <f>IF($A2071="",0,$P2071*AG2071)</f>
        <v/>
      </c>
      <c r="AE2071" s="64">
        <f>IF($A2071="","",IFERROR(INDEX(계정매핑!$E$5:$E$504,MATCH($F2071&amp;"",계정매핑!$A$5:$A$504,0))&amp;"","공통비"))</f>
        <v/>
      </c>
      <c r="AF2071" s="64">
        <f>IF($A2071="","",IF(AE2071="직접",IFERROR(INDEX(계정매핑!$F$5:$F$504,MATCH($F2071&amp;"",계정매핑!$A$5:$A$504,0))&amp;"","비귀속"),""))</f>
        <v/>
      </c>
      <c r="AG2071" s="96">
        <f>IF($A2071="",0,IF(AND(AE2071&lt;&gt;"직접",IFERROR(INDEX(계정매핑!$G$5:$G$504,MATCH($F2071&amp;"",계정매핑!$A$5:$A$504,0))&amp;"","")="유지비",COUNTIF(계정대체기준!$A$6:$A$15,$N2071)&gt;0),IFERROR(INDEX(계정대체기준!$E$6:$E$15,MATCH(VALUE($A2071&amp;""),계정대체기준!$D$6:$D$15,0)),0),0))</f>
        <v/>
      </c>
      <c r="AH2071" s="64">
        <f>IF($A2071="","",IF(AD2071=0,"",IF(OR(COUNTIF(계정대체기준!$A$77:$A$86,$N2071)&gt;0,ISNUMBER(MATCH($X2071,계정대체기준!$D$77:$D$86,0)),ISNUMBER(MATCH($F2071,계정대체기준!$D$77:$D$86,0))),"Y","N")))</f>
        <v/>
      </c>
    </row>
    <row r="2072">
      <c r="A2072" s="92" t="n">
        <v>2025</v>
      </c>
      <c r="B2072" s="92" t="n">
        <v>10</v>
      </c>
      <c r="C2072" s="92" t="inlineStr">
        <is>
          <t>5100002068</t>
        </is>
      </c>
      <c r="D2072" s="95" t="n">
        <v>45935</v>
      </c>
      <c r="E2072" s="92" t="inlineStr">
        <is>
          <t>KR</t>
        </is>
      </c>
      <c r="F2072" s="92" t="n">
        <v>62501000</v>
      </c>
      <c r="G2072" s="92" t="n">
        <v>1601</v>
      </c>
      <c r="H2072" s="93" t="n">
        <v>476000</v>
      </c>
      <c r="I2072" s="92" t="inlineStr">
        <is>
          <t>10월 회의 다과 - T케이터링</t>
        </is>
      </c>
      <c r="J2072" s="92" t="inlineStr">
        <is>
          <t>V10005</t>
        </is>
      </c>
      <c r="K2072" s="92" t="inlineStr">
        <is>
          <t>T케이터링</t>
        </is>
      </c>
      <c r="M2072" s="9">
        <f>IF($A2072="","",VALUE($A2072&amp;"")*12+VALUE($B2072&amp;""))</f>
        <v/>
      </c>
      <c r="N2072" s="64">
        <f>IF($A2072="","",IFERROR(INDEX(부서매핑!$C$5:$C$504,MATCH($G2072&amp;"",부서매핑!$A$5:$A$504,0)),"미매핑"))</f>
        <v/>
      </c>
      <c r="O2072" s="9">
        <f>IF($A2072="","",N2072&amp;"|"&amp;$F2072)</f>
        <v/>
      </c>
      <c r="P2072" s="94">
        <f>IF($A2072="",0,$H2072*설정!$C$23)</f>
        <v/>
      </c>
      <c r="Q2072" s="64">
        <f>IF($A2072="","",IF(O2072&lt;&gt;원인분석!$C$9,"",IF(AND(M2072&gt;=원인분석!$C$10,M2072&lt;=원인분석!$C$11),"당기",IF(AND(M2072&gt;=원인분석!$C$12,M2072&lt;=원인분석!$C$13),"비교",""))))</f>
        <v/>
      </c>
      <c r="R2072" s="9">
        <f>IF(Q2072="","",$K2072&amp;"")</f>
        <v/>
      </c>
      <c r="S2072" s="9">
        <f>IF(Q2072="","",IF(MATCH(R2072,$R$5:$R$100000,0)=ROW()-4,ROW(),""))</f>
        <v/>
      </c>
      <c r="T2072" s="9">
        <f>IF(Q2072="당기",ABS(P2072)+ROW()/1000000000,"")</f>
        <v/>
      </c>
      <c r="U2072" s="9">
        <f>IF(Q2072="비교",ABS(P2072)+ROW()/1000000000,"")</f>
        <v/>
      </c>
      <c r="V2072" s="64">
        <f>IF($A2072="","",IF(COUNTIF(변동분석!$E$7:$E$506,O2072)&gt;0,"Y","N"))</f>
        <v/>
      </c>
      <c r="W2072" s="64">
        <f>IF($A2072="","",IFERROR(INDEX(계정매핑!$D$5:$D$504,MATCH($F2072&amp;"",계정매핑!$A$5:$A$504,0)),"미매핑"))</f>
        <v/>
      </c>
      <c r="X2072" s="9">
        <f>IF($A2072="","",$F2072&amp;"")</f>
        <v/>
      </c>
      <c r="Y2072" s="94">
        <f>IF($A2072="",0,IF(AE2072="직접",IF(AF2072="비귀속",$P2072,0),$P2072*(1-AG2072)*IFERROR(INDEX(계정대체기준!$F$20:$F$49,MATCH($N2072,계정대체기준!$A$20:$A$49,0)),1)))</f>
        <v/>
      </c>
      <c r="Z2072" s="94">
        <f>IF($A2072="",0,IF(AE2072="직접",IF(AF2072="신계약비",$P2072,0),$P2072*(1-AG2072)*IFERROR(INDEX(계정대체기준!$C$20:$C$49,MATCH($N2072,계정대체기준!$A$20:$A$49,0)),0)))</f>
        <v/>
      </c>
      <c r="AA2072" s="94">
        <f>IF($A2072="",0,IF(AE2072="직접",IF(OR(AF2072="유지비",AF2072="손해조사비"),$P2072,0),$P2072*(1-AG2072)*IFERROR(INDEX(계정대체기준!$D$20:$D$49,MATCH($N2072,계정대체기준!$A$20:$A$49,0)),0)))</f>
        <v/>
      </c>
      <c r="AB2072" s="94">
        <f>IF($A2072="",0,IF(AE2072="직접",IF(AF2072="수금비",$P2072,0),$P2072*(1-AG2072)*IFERROR(INDEX(계정대체기준!$E$20:$E$49,MATCH($N2072,계정대체기준!$A$20:$A$49,0)),0)))</f>
        <v/>
      </c>
      <c r="AC2072" s="9">
        <f>IF(AND($A2072&lt;&gt;"",M2072=설정!$C$20,Z2072&gt;0),Z2072+ROW()/1000000000,"")</f>
        <v/>
      </c>
      <c r="AD2072" s="94">
        <f>IF($A2072="",0,$P2072*AG2072)</f>
        <v/>
      </c>
      <c r="AE2072" s="64">
        <f>IF($A2072="","",IFERROR(INDEX(계정매핑!$E$5:$E$504,MATCH($F2072&amp;"",계정매핑!$A$5:$A$504,0))&amp;"","공통비"))</f>
        <v/>
      </c>
      <c r="AF2072" s="64">
        <f>IF($A2072="","",IF(AE2072="직접",IFERROR(INDEX(계정매핑!$F$5:$F$504,MATCH($F2072&amp;"",계정매핑!$A$5:$A$504,0))&amp;"","비귀속"),""))</f>
        <v/>
      </c>
      <c r="AG2072" s="96">
        <f>IF($A2072="",0,IF(AND(AE2072&lt;&gt;"직접",IFERROR(INDEX(계정매핑!$G$5:$G$504,MATCH($F2072&amp;"",계정매핑!$A$5:$A$504,0))&amp;"","")="유지비",COUNTIF(계정대체기준!$A$6:$A$15,$N2072)&gt;0),IFERROR(INDEX(계정대체기준!$E$6:$E$15,MATCH(VALUE($A2072&amp;""),계정대체기준!$D$6:$D$15,0)),0),0))</f>
        <v/>
      </c>
      <c r="AH2072" s="64">
        <f>IF($A2072="","",IF(AD2072=0,"",IF(OR(COUNTIF(계정대체기준!$A$77:$A$86,$N2072)&gt;0,ISNUMBER(MATCH($X2072,계정대체기준!$D$77:$D$86,0)),ISNUMBER(MATCH($F2072,계정대체기준!$D$77:$D$86,0))),"Y","N")))</f>
        <v/>
      </c>
    </row>
    <row r="2073">
      <c r="A2073" s="92" t="n">
        <v>2025</v>
      </c>
      <c r="B2073" s="92" t="n">
        <v>10</v>
      </c>
      <c r="C2073" s="92" t="inlineStr">
        <is>
          <t>5100002069</t>
        </is>
      </c>
      <c r="D2073" s="95" t="n">
        <v>45935</v>
      </c>
      <c r="E2073" s="92" t="inlineStr">
        <is>
          <t>KR</t>
        </is>
      </c>
      <c r="F2073" s="92" t="n">
        <v>62601000</v>
      </c>
      <c r="G2073" s="92" t="n">
        <v>1601</v>
      </c>
      <c r="H2073" s="93" t="n">
        <v>1244000</v>
      </c>
      <c r="I2073" s="92" t="inlineStr">
        <is>
          <t>10월 업무추진 - (법인카드)</t>
        </is>
      </c>
      <c r="J2073" s="92" t="inlineStr">
        <is>
          <t>V10010</t>
        </is>
      </c>
      <c r="K2073" s="92" t="inlineStr">
        <is>
          <t>(법인카드)</t>
        </is>
      </c>
      <c r="M2073" s="9">
        <f>IF($A2073="","",VALUE($A2073&amp;"")*12+VALUE($B2073&amp;""))</f>
        <v/>
      </c>
      <c r="N2073" s="64">
        <f>IF($A2073="","",IFERROR(INDEX(부서매핑!$C$5:$C$504,MATCH($G2073&amp;"",부서매핑!$A$5:$A$504,0)),"미매핑"))</f>
        <v/>
      </c>
      <c r="O2073" s="9">
        <f>IF($A2073="","",N2073&amp;"|"&amp;$F2073)</f>
        <v/>
      </c>
      <c r="P2073" s="94">
        <f>IF($A2073="",0,$H2073*설정!$C$23)</f>
        <v/>
      </c>
      <c r="Q2073" s="64">
        <f>IF($A2073="","",IF(O2073&lt;&gt;원인분석!$C$9,"",IF(AND(M2073&gt;=원인분석!$C$10,M2073&lt;=원인분석!$C$11),"당기",IF(AND(M2073&gt;=원인분석!$C$12,M2073&lt;=원인분석!$C$13),"비교",""))))</f>
        <v/>
      </c>
      <c r="R2073" s="9">
        <f>IF(Q2073="","",$K2073&amp;"")</f>
        <v/>
      </c>
      <c r="S2073" s="9">
        <f>IF(Q2073="","",IF(MATCH(R2073,$R$5:$R$100000,0)=ROW()-4,ROW(),""))</f>
        <v/>
      </c>
      <c r="T2073" s="9">
        <f>IF(Q2073="당기",ABS(P2073)+ROW()/1000000000,"")</f>
        <v/>
      </c>
      <c r="U2073" s="9">
        <f>IF(Q2073="비교",ABS(P2073)+ROW()/1000000000,"")</f>
        <v/>
      </c>
      <c r="V2073" s="64">
        <f>IF($A2073="","",IF(COUNTIF(변동분석!$E$7:$E$506,O2073)&gt;0,"Y","N"))</f>
        <v/>
      </c>
      <c r="W2073" s="64">
        <f>IF($A2073="","",IFERROR(INDEX(계정매핑!$D$5:$D$504,MATCH($F2073&amp;"",계정매핑!$A$5:$A$504,0)),"미매핑"))</f>
        <v/>
      </c>
      <c r="X2073" s="9">
        <f>IF($A2073="","",$F2073&amp;"")</f>
        <v/>
      </c>
      <c r="Y2073" s="94">
        <f>IF($A2073="",0,IF(AE2073="직접",IF(AF2073="비귀속",$P2073,0),$P2073*(1-AG2073)*IFERROR(INDEX(계정대체기준!$F$20:$F$49,MATCH($N2073,계정대체기준!$A$20:$A$49,0)),1)))</f>
        <v/>
      </c>
      <c r="Z2073" s="94">
        <f>IF($A2073="",0,IF(AE2073="직접",IF(AF2073="신계약비",$P2073,0),$P2073*(1-AG2073)*IFERROR(INDEX(계정대체기준!$C$20:$C$49,MATCH($N2073,계정대체기준!$A$20:$A$49,0)),0)))</f>
        <v/>
      </c>
      <c r="AA2073" s="94">
        <f>IF($A2073="",0,IF(AE2073="직접",IF(OR(AF2073="유지비",AF2073="손해조사비"),$P2073,0),$P2073*(1-AG2073)*IFERROR(INDEX(계정대체기준!$D$20:$D$49,MATCH($N2073,계정대체기준!$A$20:$A$49,0)),0)))</f>
        <v/>
      </c>
      <c r="AB2073" s="94">
        <f>IF($A2073="",0,IF(AE2073="직접",IF(AF2073="수금비",$P2073,0),$P2073*(1-AG2073)*IFERROR(INDEX(계정대체기준!$E$20:$E$49,MATCH($N2073,계정대체기준!$A$20:$A$49,0)),0)))</f>
        <v/>
      </c>
      <c r="AC2073" s="9">
        <f>IF(AND($A2073&lt;&gt;"",M2073=설정!$C$20,Z2073&gt;0),Z2073+ROW()/1000000000,"")</f>
        <v/>
      </c>
      <c r="AD2073" s="94">
        <f>IF($A2073="",0,$P2073*AG2073)</f>
        <v/>
      </c>
      <c r="AE2073" s="64">
        <f>IF($A2073="","",IFERROR(INDEX(계정매핑!$E$5:$E$504,MATCH($F2073&amp;"",계정매핑!$A$5:$A$504,0))&amp;"","공통비"))</f>
        <v/>
      </c>
      <c r="AF2073" s="64">
        <f>IF($A2073="","",IF(AE2073="직접",IFERROR(INDEX(계정매핑!$F$5:$F$504,MATCH($F2073&amp;"",계정매핑!$A$5:$A$504,0))&amp;"","비귀속"),""))</f>
        <v/>
      </c>
      <c r="AG2073" s="96">
        <f>IF($A2073="",0,IF(AND(AE2073&lt;&gt;"직접",IFERROR(INDEX(계정매핑!$G$5:$G$504,MATCH($F2073&amp;"",계정매핑!$A$5:$A$504,0))&amp;"","")="유지비",COUNTIF(계정대체기준!$A$6:$A$15,$N2073)&gt;0),IFERROR(INDEX(계정대체기준!$E$6:$E$15,MATCH(VALUE($A2073&amp;""),계정대체기준!$D$6:$D$15,0)),0),0))</f>
        <v/>
      </c>
      <c r="AH2073" s="64">
        <f>IF($A2073="","",IF(AD2073=0,"",IF(OR(COUNTIF(계정대체기준!$A$77:$A$86,$N2073)&gt;0,ISNUMBER(MATCH($X2073,계정대체기준!$D$77:$D$86,0)),ISNUMBER(MATCH($F2073,계정대체기준!$D$77:$D$86,0))),"Y","N")))</f>
        <v/>
      </c>
    </row>
    <row r="2074">
      <c r="A2074" s="92" t="n">
        <v>2025</v>
      </c>
      <c r="B2074" s="92" t="n">
        <v>10</v>
      </c>
      <c r="C2074" s="92" t="inlineStr">
        <is>
          <t>5100002070</t>
        </is>
      </c>
      <c r="D2074" s="95" t="n">
        <v>45935</v>
      </c>
      <c r="E2074" s="92" t="inlineStr">
        <is>
          <t>KR</t>
        </is>
      </c>
      <c r="F2074" s="92" t="n">
        <v>62902000</v>
      </c>
      <c r="G2074" s="92" t="n">
        <v>1101</v>
      </c>
      <c r="H2074" s="93" t="n">
        <v>909000</v>
      </c>
      <c r="I2074" s="92" t="inlineStr">
        <is>
          <t>10월 업무 위탁 수수료 - J콜센터</t>
        </is>
      </c>
      <c r="J2074" s="92" t="inlineStr">
        <is>
          <t>V10016</t>
        </is>
      </c>
      <c r="K2074" s="92" t="inlineStr">
        <is>
          <t>J콜센터</t>
        </is>
      </c>
      <c r="M2074" s="9">
        <f>IF($A2074="","",VALUE($A2074&amp;"")*12+VALUE($B2074&amp;""))</f>
        <v/>
      </c>
      <c r="N2074" s="64">
        <f>IF($A2074="","",IFERROR(INDEX(부서매핑!$C$5:$C$504,MATCH($G2074&amp;"",부서매핑!$A$5:$A$504,0)),"미매핑"))</f>
        <v/>
      </c>
      <c r="O2074" s="9">
        <f>IF($A2074="","",N2074&amp;"|"&amp;$F2074)</f>
        <v/>
      </c>
      <c r="P2074" s="94">
        <f>IF($A2074="",0,$H2074*설정!$C$23)</f>
        <v/>
      </c>
      <c r="Q2074" s="64">
        <f>IF($A2074="","",IF(O2074&lt;&gt;원인분석!$C$9,"",IF(AND(M2074&gt;=원인분석!$C$10,M2074&lt;=원인분석!$C$11),"당기",IF(AND(M2074&gt;=원인분석!$C$12,M2074&lt;=원인분석!$C$13),"비교",""))))</f>
        <v/>
      </c>
      <c r="R2074" s="9">
        <f>IF(Q2074="","",$K2074&amp;"")</f>
        <v/>
      </c>
      <c r="S2074" s="9">
        <f>IF(Q2074="","",IF(MATCH(R2074,$R$5:$R$100000,0)=ROW()-4,ROW(),""))</f>
        <v/>
      </c>
      <c r="T2074" s="9">
        <f>IF(Q2074="당기",ABS(P2074)+ROW()/1000000000,"")</f>
        <v/>
      </c>
      <c r="U2074" s="9">
        <f>IF(Q2074="비교",ABS(P2074)+ROW()/1000000000,"")</f>
        <v/>
      </c>
      <c r="V2074" s="64">
        <f>IF($A2074="","",IF(COUNTIF(변동분석!$E$7:$E$506,O2074)&gt;0,"Y","N"))</f>
        <v/>
      </c>
      <c r="W2074" s="64">
        <f>IF($A2074="","",IFERROR(INDEX(계정매핑!$D$5:$D$504,MATCH($F2074&amp;"",계정매핑!$A$5:$A$504,0)),"미매핑"))</f>
        <v/>
      </c>
      <c r="X2074" s="9">
        <f>IF($A2074="","",$F2074&amp;"")</f>
        <v/>
      </c>
      <c r="Y2074" s="94">
        <f>IF($A2074="",0,IF(AE2074="직접",IF(AF2074="비귀속",$P2074,0),$P2074*(1-AG2074)*IFERROR(INDEX(계정대체기준!$F$20:$F$49,MATCH($N2074,계정대체기준!$A$20:$A$49,0)),1)))</f>
        <v/>
      </c>
      <c r="Z2074" s="94">
        <f>IF($A2074="",0,IF(AE2074="직접",IF(AF2074="신계약비",$P2074,0),$P2074*(1-AG2074)*IFERROR(INDEX(계정대체기준!$C$20:$C$49,MATCH($N2074,계정대체기준!$A$20:$A$49,0)),0)))</f>
        <v/>
      </c>
      <c r="AA2074" s="94">
        <f>IF($A2074="",0,IF(AE2074="직접",IF(OR(AF2074="유지비",AF2074="손해조사비"),$P2074,0),$P2074*(1-AG2074)*IFERROR(INDEX(계정대체기준!$D$20:$D$49,MATCH($N2074,계정대체기준!$A$20:$A$49,0)),0)))</f>
        <v/>
      </c>
      <c r="AB2074" s="94">
        <f>IF($A2074="",0,IF(AE2074="직접",IF(AF2074="수금비",$P2074,0),$P2074*(1-AG2074)*IFERROR(INDEX(계정대체기준!$E$20:$E$49,MATCH($N2074,계정대체기준!$A$20:$A$49,0)),0)))</f>
        <v/>
      </c>
      <c r="AC2074" s="9">
        <f>IF(AND($A2074&lt;&gt;"",M2074=설정!$C$20,Z2074&gt;0),Z2074+ROW()/1000000000,"")</f>
        <v/>
      </c>
      <c r="AD2074" s="94">
        <f>IF($A2074="",0,$P2074*AG2074)</f>
        <v/>
      </c>
      <c r="AE2074" s="64">
        <f>IF($A2074="","",IFERROR(INDEX(계정매핑!$E$5:$E$504,MATCH($F2074&amp;"",계정매핑!$A$5:$A$504,0))&amp;"","공통비"))</f>
        <v/>
      </c>
      <c r="AF2074" s="64">
        <f>IF($A2074="","",IF(AE2074="직접",IFERROR(INDEX(계정매핑!$F$5:$F$504,MATCH($F2074&amp;"",계정매핑!$A$5:$A$504,0))&amp;"","비귀속"),""))</f>
        <v/>
      </c>
      <c r="AG2074" s="96">
        <f>IF($A2074="",0,IF(AND(AE2074&lt;&gt;"직접",IFERROR(INDEX(계정매핑!$G$5:$G$504,MATCH($F2074&amp;"",계정매핑!$A$5:$A$504,0))&amp;"","")="유지비",COUNTIF(계정대체기준!$A$6:$A$15,$N2074)&gt;0),IFERROR(INDEX(계정대체기준!$E$6:$E$15,MATCH(VALUE($A2074&amp;""),계정대체기준!$D$6:$D$15,0)),0),0))</f>
        <v/>
      </c>
      <c r="AH2074" s="64">
        <f>IF($A2074="","",IF(AD2074=0,"",IF(OR(COUNTIF(계정대체기준!$A$77:$A$86,$N2074)&gt;0,ISNUMBER(MATCH($X2074,계정대체기준!$D$77:$D$86,0)),ISNUMBER(MATCH($F2074,계정대체기준!$D$77:$D$86,0))),"Y","N")))</f>
        <v/>
      </c>
    </row>
    <row r="2075">
      <c r="A2075" s="92" t="n">
        <v>2025</v>
      </c>
      <c r="B2075" s="92" t="n">
        <v>10</v>
      </c>
      <c r="C2075" s="92" t="inlineStr">
        <is>
          <t>5100002071</t>
        </is>
      </c>
      <c r="D2075" s="95" t="n">
        <v>45936</v>
      </c>
      <c r="E2075" s="92" t="inlineStr">
        <is>
          <t>KR</t>
        </is>
      </c>
      <c r="F2075" s="92" t="n">
        <v>62101000</v>
      </c>
      <c r="G2075" s="92" t="n">
        <v>1101</v>
      </c>
      <c r="H2075" s="93" t="n">
        <v>513000</v>
      </c>
      <c r="I2075" s="92" t="inlineStr">
        <is>
          <t>10월 국내출장 - (법인카드)</t>
        </is>
      </c>
      <c r="J2075" s="92" t="inlineStr">
        <is>
          <t>V10010</t>
        </is>
      </c>
      <c r="K2075" s="92" t="inlineStr">
        <is>
          <t>(법인카드)</t>
        </is>
      </c>
      <c r="M2075" s="9">
        <f>IF($A2075="","",VALUE($A2075&amp;"")*12+VALUE($B2075&amp;""))</f>
        <v/>
      </c>
      <c r="N2075" s="64">
        <f>IF($A2075="","",IFERROR(INDEX(부서매핑!$C$5:$C$504,MATCH($G2075&amp;"",부서매핑!$A$5:$A$504,0)),"미매핑"))</f>
        <v/>
      </c>
      <c r="O2075" s="9">
        <f>IF($A2075="","",N2075&amp;"|"&amp;$F2075)</f>
        <v/>
      </c>
      <c r="P2075" s="94">
        <f>IF($A2075="",0,$H2075*설정!$C$23)</f>
        <v/>
      </c>
      <c r="Q2075" s="64">
        <f>IF($A2075="","",IF(O2075&lt;&gt;원인분석!$C$9,"",IF(AND(M2075&gt;=원인분석!$C$10,M2075&lt;=원인분석!$C$11),"당기",IF(AND(M2075&gt;=원인분석!$C$12,M2075&lt;=원인분석!$C$13),"비교",""))))</f>
        <v/>
      </c>
      <c r="R2075" s="9">
        <f>IF(Q2075="","",$K2075&amp;"")</f>
        <v/>
      </c>
      <c r="S2075" s="9">
        <f>IF(Q2075="","",IF(MATCH(R2075,$R$5:$R$100000,0)=ROW()-4,ROW(),""))</f>
        <v/>
      </c>
      <c r="T2075" s="9">
        <f>IF(Q2075="당기",ABS(P2075)+ROW()/1000000000,"")</f>
        <v/>
      </c>
      <c r="U2075" s="9">
        <f>IF(Q2075="비교",ABS(P2075)+ROW()/1000000000,"")</f>
        <v/>
      </c>
      <c r="V2075" s="64">
        <f>IF($A2075="","",IF(COUNTIF(변동분석!$E$7:$E$506,O2075)&gt;0,"Y","N"))</f>
        <v/>
      </c>
      <c r="W2075" s="64">
        <f>IF($A2075="","",IFERROR(INDEX(계정매핑!$D$5:$D$504,MATCH($F2075&amp;"",계정매핑!$A$5:$A$504,0)),"미매핑"))</f>
        <v/>
      </c>
      <c r="X2075" s="9">
        <f>IF($A2075="","",$F2075&amp;"")</f>
        <v/>
      </c>
      <c r="Y2075" s="94">
        <f>IF($A2075="",0,IF(AE2075="직접",IF(AF2075="비귀속",$P2075,0),$P2075*(1-AG2075)*IFERROR(INDEX(계정대체기준!$F$20:$F$49,MATCH($N2075,계정대체기준!$A$20:$A$49,0)),1)))</f>
        <v/>
      </c>
      <c r="Z2075" s="94">
        <f>IF($A2075="",0,IF(AE2075="직접",IF(AF2075="신계약비",$P2075,0),$P2075*(1-AG2075)*IFERROR(INDEX(계정대체기준!$C$20:$C$49,MATCH($N2075,계정대체기준!$A$20:$A$49,0)),0)))</f>
        <v/>
      </c>
      <c r="AA2075" s="94">
        <f>IF($A2075="",0,IF(AE2075="직접",IF(OR(AF2075="유지비",AF2075="손해조사비"),$P2075,0),$P2075*(1-AG2075)*IFERROR(INDEX(계정대체기준!$D$20:$D$49,MATCH($N2075,계정대체기준!$A$20:$A$49,0)),0)))</f>
        <v/>
      </c>
      <c r="AB2075" s="94">
        <f>IF($A2075="",0,IF(AE2075="직접",IF(AF2075="수금비",$P2075,0),$P2075*(1-AG2075)*IFERROR(INDEX(계정대체기준!$E$20:$E$49,MATCH($N2075,계정대체기준!$A$20:$A$49,0)),0)))</f>
        <v/>
      </c>
      <c r="AC2075" s="9">
        <f>IF(AND($A2075&lt;&gt;"",M2075=설정!$C$20,Z2075&gt;0),Z2075+ROW()/1000000000,"")</f>
        <v/>
      </c>
      <c r="AD2075" s="94">
        <f>IF($A2075="",0,$P2075*AG2075)</f>
        <v/>
      </c>
      <c r="AE2075" s="64">
        <f>IF($A2075="","",IFERROR(INDEX(계정매핑!$E$5:$E$504,MATCH($F2075&amp;"",계정매핑!$A$5:$A$504,0))&amp;"","공통비"))</f>
        <v/>
      </c>
      <c r="AF2075" s="64">
        <f>IF($A2075="","",IF(AE2075="직접",IFERROR(INDEX(계정매핑!$F$5:$F$504,MATCH($F2075&amp;"",계정매핑!$A$5:$A$504,0))&amp;"","비귀속"),""))</f>
        <v/>
      </c>
      <c r="AG2075" s="96">
        <f>IF($A2075="",0,IF(AND(AE2075&lt;&gt;"직접",IFERROR(INDEX(계정매핑!$G$5:$G$504,MATCH($F2075&amp;"",계정매핑!$A$5:$A$504,0))&amp;"","")="유지비",COUNTIF(계정대체기준!$A$6:$A$15,$N2075)&gt;0),IFERROR(INDEX(계정대체기준!$E$6:$E$15,MATCH(VALUE($A2075&amp;""),계정대체기준!$D$6:$D$15,0)),0),0))</f>
        <v/>
      </c>
      <c r="AH2075" s="64">
        <f>IF($A2075="","",IF(AD2075=0,"",IF(OR(COUNTIF(계정대체기준!$A$77:$A$86,$N2075)&gt;0,ISNUMBER(MATCH($X2075,계정대체기준!$D$77:$D$86,0)),ISNUMBER(MATCH($F2075,계정대체기준!$D$77:$D$86,0))),"Y","N")))</f>
        <v/>
      </c>
    </row>
    <row r="2076">
      <c r="A2076" s="92" t="n">
        <v>2025</v>
      </c>
      <c r="B2076" s="92" t="n">
        <v>10</v>
      </c>
      <c r="C2076" s="92" t="inlineStr">
        <is>
          <t>5100002072</t>
        </is>
      </c>
      <c r="D2076" s="95" t="n">
        <v>45936</v>
      </c>
      <c r="E2076" s="92" t="inlineStr">
        <is>
          <t>KR</t>
        </is>
      </c>
      <c r="F2076" s="92" t="n">
        <v>62101000</v>
      </c>
      <c r="G2076" s="92" t="n">
        <v>1401</v>
      </c>
      <c r="H2076" s="93" t="n">
        <v>353000</v>
      </c>
      <c r="I2076" s="92" t="inlineStr">
        <is>
          <t>10월 국내출장 - (법인카드)</t>
        </is>
      </c>
      <c r="J2076" s="92" t="inlineStr">
        <is>
          <t>V10010</t>
        </is>
      </c>
      <c r="K2076" s="92" t="inlineStr">
        <is>
          <t>(법인카드)</t>
        </is>
      </c>
      <c r="M2076" s="9">
        <f>IF($A2076="","",VALUE($A2076&amp;"")*12+VALUE($B2076&amp;""))</f>
        <v/>
      </c>
      <c r="N2076" s="64">
        <f>IF($A2076="","",IFERROR(INDEX(부서매핑!$C$5:$C$504,MATCH($G2076&amp;"",부서매핑!$A$5:$A$504,0)),"미매핑"))</f>
        <v/>
      </c>
      <c r="O2076" s="9">
        <f>IF($A2076="","",N2076&amp;"|"&amp;$F2076)</f>
        <v/>
      </c>
      <c r="P2076" s="94">
        <f>IF($A2076="",0,$H2076*설정!$C$23)</f>
        <v/>
      </c>
      <c r="Q2076" s="64">
        <f>IF($A2076="","",IF(O2076&lt;&gt;원인분석!$C$9,"",IF(AND(M2076&gt;=원인분석!$C$10,M2076&lt;=원인분석!$C$11),"당기",IF(AND(M2076&gt;=원인분석!$C$12,M2076&lt;=원인분석!$C$13),"비교",""))))</f>
        <v/>
      </c>
      <c r="R2076" s="9">
        <f>IF(Q2076="","",$K2076&amp;"")</f>
        <v/>
      </c>
      <c r="S2076" s="9">
        <f>IF(Q2076="","",IF(MATCH(R2076,$R$5:$R$100000,0)=ROW()-4,ROW(),""))</f>
        <v/>
      </c>
      <c r="T2076" s="9">
        <f>IF(Q2076="당기",ABS(P2076)+ROW()/1000000000,"")</f>
        <v/>
      </c>
      <c r="U2076" s="9">
        <f>IF(Q2076="비교",ABS(P2076)+ROW()/1000000000,"")</f>
        <v/>
      </c>
      <c r="V2076" s="64">
        <f>IF($A2076="","",IF(COUNTIF(변동분석!$E$7:$E$506,O2076)&gt;0,"Y","N"))</f>
        <v/>
      </c>
      <c r="W2076" s="64">
        <f>IF($A2076="","",IFERROR(INDEX(계정매핑!$D$5:$D$504,MATCH($F2076&amp;"",계정매핑!$A$5:$A$504,0)),"미매핑"))</f>
        <v/>
      </c>
      <c r="X2076" s="9">
        <f>IF($A2076="","",$F2076&amp;"")</f>
        <v/>
      </c>
      <c r="Y2076" s="94">
        <f>IF($A2076="",0,IF(AE2076="직접",IF(AF2076="비귀속",$P2076,0),$P2076*(1-AG2076)*IFERROR(INDEX(계정대체기준!$F$20:$F$49,MATCH($N2076,계정대체기준!$A$20:$A$49,0)),1)))</f>
        <v/>
      </c>
      <c r="Z2076" s="94">
        <f>IF($A2076="",0,IF(AE2076="직접",IF(AF2076="신계약비",$P2076,0),$P2076*(1-AG2076)*IFERROR(INDEX(계정대체기준!$C$20:$C$49,MATCH($N2076,계정대체기준!$A$20:$A$49,0)),0)))</f>
        <v/>
      </c>
      <c r="AA2076" s="94">
        <f>IF($A2076="",0,IF(AE2076="직접",IF(OR(AF2076="유지비",AF2076="손해조사비"),$P2076,0),$P2076*(1-AG2076)*IFERROR(INDEX(계정대체기준!$D$20:$D$49,MATCH($N2076,계정대체기준!$A$20:$A$49,0)),0)))</f>
        <v/>
      </c>
      <c r="AB2076" s="94">
        <f>IF($A2076="",0,IF(AE2076="직접",IF(AF2076="수금비",$P2076,0),$P2076*(1-AG2076)*IFERROR(INDEX(계정대체기준!$E$20:$E$49,MATCH($N2076,계정대체기준!$A$20:$A$49,0)),0)))</f>
        <v/>
      </c>
      <c r="AC2076" s="9">
        <f>IF(AND($A2076&lt;&gt;"",M2076=설정!$C$20,Z2076&gt;0),Z2076+ROW()/1000000000,"")</f>
        <v/>
      </c>
      <c r="AD2076" s="94">
        <f>IF($A2076="",0,$P2076*AG2076)</f>
        <v/>
      </c>
      <c r="AE2076" s="64">
        <f>IF($A2076="","",IFERROR(INDEX(계정매핑!$E$5:$E$504,MATCH($F2076&amp;"",계정매핑!$A$5:$A$504,0))&amp;"","공통비"))</f>
        <v/>
      </c>
      <c r="AF2076" s="64">
        <f>IF($A2076="","",IF(AE2076="직접",IFERROR(INDEX(계정매핑!$F$5:$F$504,MATCH($F2076&amp;"",계정매핑!$A$5:$A$504,0))&amp;"","비귀속"),""))</f>
        <v/>
      </c>
      <c r="AG2076" s="96">
        <f>IF($A2076="",0,IF(AND(AE2076&lt;&gt;"직접",IFERROR(INDEX(계정매핑!$G$5:$G$504,MATCH($F2076&amp;"",계정매핑!$A$5:$A$504,0))&amp;"","")="유지비",COUNTIF(계정대체기준!$A$6:$A$15,$N2076)&gt;0),IFERROR(INDEX(계정대체기준!$E$6:$E$15,MATCH(VALUE($A2076&amp;""),계정대체기준!$D$6:$D$15,0)),0),0))</f>
        <v/>
      </c>
      <c r="AH2076" s="64">
        <f>IF($A2076="","",IF(AD2076=0,"",IF(OR(COUNTIF(계정대체기준!$A$77:$A$86,$N2076)&gt;0,ISNUMBER(MATCH($X2076,계정대체기준!$D$77:$D$86,0)),ISNUMBER(MATCH($F2076,계정대체기준!$D$77:$D$86,0))),"Y","N")))</f>
        <v/>
      </c>
    </row>
    <row r="2077">
      <c r="A2077" s="92" t="n">
        <v>2025</v>
      </c>
      <c r="B2077" s="92" t="n">
        <v>10</v>
      </c>
      <c r="C2077" s="92" t="inlineStr">
        <is>
          <t>5100002073</t>
        </is>
      </c>
      <c r="D2077" s="95" t="n">
        <v>45936</v>
      </c>
      <c r="E2077" s="92" t="inlineStr">
        <is>
          <t>KR</t>
        </is>
      </c>
      <c r="F2077" s="92" t="n">
        <v>62101000</v>
      </c>
      <c r="G2077" s="92" t="n">
        <v>1801</v>
      </c>
      <c r="H2077" s="93" t="n">
        <v>134000</v>
      </c>
      <c r="I2077" s="92" t="inlineStr">
        <is>
          <t>10월 국내출장 - M항공</t>
        </is>
      </c>
      <c r="J2077" s="92" t="inlineStr">
        <is>
          <t>V10001</t>
        </is>
      </c>
      <c r="K2077" s="92" t="inlineStr">
        <is>
          <t>M항공</t>
        </is>
      </c>
      <c r="M2077" s="9">
        <f>IF($A2077="","",VALUE($A2077&amp;"")*12+VALUE($B2077&amp;""))</f>
        <v/>
      </c>
      <c r="N2077" s="64">
        <f>IF($A2077="","",IFERROR(INDEX(부서매핑!$C$5:$C$504,MATCH($G2077&amp;"",부서매핑!$A$5:$A$504,0)),"미매핑"))</f>
        <v/>
      </c>
      <c r="O2077" s="9">
        <f>IF($A2077="","",N2077&amp;"|"&amp;$F2077)</f>
        <v/>
      </c>
      <c r="P2077" s="94">
        <f>IF($A2077="",0,$H2077*설정!$C$23)</f>
        <v/>
      </c>
      <c r="Q2077" s="64">
        <f>IF($A2077="","",IF(O2077&lt;&gt;원인분석!$C$9,"",IF(AND(M2077&gt;=원인분석!$C$10,M2077&lt;=원인분석!$C$11),"당기",IF(AND(M2077&gt;=원인분석!$C$12,M2077&lt;=원인분석!$C$13),"비교",""))))</f>
        <v/>
      </c>
      <c r="R2077" s="9">
        <f>IF(Q2077="","",$K2077&amp;"")</f>
        <v/>
      </c>
      <c r="S2077" s="9">
        <f>IF(Q2077="","",IF(MATCH(R2077,$R$5:$R$100000,0)=ROW()-4,ROW(),""))</f>
        <v/>
      </c>
      <c r="T2077" s="9">
        <f>IF(Q2077="당기",ABS(P2077)+ROW()/1000000000,"")</f>
        <v/>
      </c>
      <c r="U2077" s="9">
        <f>IF(Q2077="비교",ABS(P2077)+ROW()/1000000000,"")</f>
        <v/>
      </c>
      <c r="V2077" s="64">
        <f>IF($A2077="","",IF(COUNTIF(변동분석!$E$7:$E$506,O2077)&gt;0,"Y","N"))</f>
        <v/>
      </c>
      <c r="W2077" s="64">
        <f>IF($A2077="","",IFERROR(INDEX(계정매핑!$D$5:$D$504,MATCH($F2077&amp;"",계정매핑!$A$5:$A$504,0)),"미매핑"))</f>
        <v/>
      </c>
      <c r="X2077" s="9">
        <f>IF($A2077="","",$F2077&amp;"")</f>
        <v/>
      </c>
      <c r="Y2077" s="94">
        <f>IF($A2077="",0,IF(AE2077="직접",IF(AF2077="비귀속",$P2077,0),$P2077*(1-AG2077)*IFERROR(INDEX(계정대체기준!$F$20:$F$49,MATCH($N2077,계정대체기준!$A$20:$A$49,0)),1)))</f>
        <v/>
      </c>
      <c r="Z2077" s="94">
        <f>IF($A2077="",0,IF(AE2077="직접",IF(AF2077="신계약비",$P2077,0),$P2077*(1-AG2077)*IFERROR(INDEX(계정대체기준!$C$20:$C$49,MATCH($N2077,계정대체기준!$A$20:$A$49,0)),0)))</f>
        <v/>
      </c>
      <c r="AA2077" s="94">
        <f>IF($A2077="",0,IF(AE2077="직접",IF(OR(AF2077="유지비",AF2077="손해조사비"),$P2077,0),$P2077*(1-AG2077)*IFERROR(INDEX(계정대체기준!$D$20:$D$49,MATCH($N2077,계정대체기준!$A$20:$A$49,0)),0)))</f>
        <v/>
      </c>
      <c r="AB2077" s="94">
        <f>IF($A2077="",0,IF(AE2077="직접",IF(AF2077="수금비",$P2077,0),$P2077*(1-AG2077)*IFERROR(INDEX(계정대체기준!$E$20:$E$49,MATCH($N2077,계정대체기준!$A$20:$A$49,0)),0)))</f>
        <v/>
      </c>
      <c r="AC2077" s="9">
        <f>IF(AND($A2077&lt;&gt;"",M2077=설정!$C$20,Z2077&gt;0),Z2077+ROW()/1000000000,"")</f>
        <v/>
      </c>
      <c r="AD2077" s="94">
        <f>IF($A2077="",0,$P2077*AG2077)</f>
        <v/>
      </c>
      <c r="AE2077" s="64">
        <f>IF($A2077="","",IFERROR(INDEX(계정매핑!$E$5:$E$504,MATCH($F2077&amp;"",계정매핑!$A$5:$A$504,0))&amp;"","공통비"))</f>
        <v/>
      </c>
      <c r="AF2077" s="64">
        <f>IF($A2077="","",IF(AE2077="직접",IFERROR(INDEX(계정매핑!$F$5:$F$504,MATCH($F2077&amp;"",계정매핑!$A$5:$A$504,0))&amp;"","비귀속"),""))</f>
        <v/>
      </c>
      <c r="AG2077" s="96">
        <f>IF($A2077="",0,IF(AND(AE2077&lt;&gt;"직접",IFERROR(INDEX(계정매핑!$G$5:$G$504,MATCH($F2077&amp;"",계정매핑!$A$5:$A$504,0))&amp;"","")="유지비",COUNTIF(계정대체기준!$A$6:$A$15,$N2077)&gt;0),IFERROR(INDEX(계정대체기준!$E$6:$E$15,MATCH(VALUE($A2077&amp;""),계정대체기준!$D$6:$D$15,0)),0),0))</f>
        <v/>
      </c>
      <c r="AH2077" s="64">
        <f>IF($A2077="","",IF(AD2077=0,"",IF(OR(COUNTIF(계정대체기준!$A$77:$A$86,$N2077)&gt;0,ISNUMBER(MATCH($X2077,계정대체기준!$D$77:$D$86,0)),ISNUMBER(MATCH($F2077,계정대체기준!$D$77:$D$86,0))),"Y","N")))</f>
        <v/>
      </c>
    </row>
    <row r="2078">
      <c r="A2078" s="92" t="n">
        <v>2025</v>
      </c>
      <c r="B2078" s="92" t="n">
        <v>10</v>
      </c>
      <c r="C2078" s="92" t="inlineStr">
        <is>
          <t>5100002074</t>
        </is>
      </c>
      <c r="D2078" s="95" t="n">
        <v>45936</v>
      </c>
      <c r="E2078" s="92" t="inlineStr">
        <is>
          <t>KR</t>
        </is>
      </c>
      <c r="F2078" s="92" t="n">
        <v>62102000</v>
      </c>
      <c r="G2078" s="92" t="n">
        <v>1601</v>
      </c>
      <c r="H2078" s="93" t="n">
        <v>200000</v>
      </c>
      <c r="I2078" s="92" t="inlineStr">
        <is>
          <t>10월 해외출장 - N호텔</t>
        </is>
      </c>
      <c r="J2078" s="92" t="inlineStr">
        <is>
          <t>V10009</t>
        </is>
      </c>
      <c r="K2078" s="92" t="inlineStr">
        <is>
          <t>N호텔</t>
        </is>
      </c>
      <c r="M2078" s="9">
        <f>IF($A2078="","",VALUE($A2078&amp;"")*12+VALUE($B2078&amp;""))</f>
        <v/>
      </c>
      <c r="N2078" s="64">
        <f>IF($A2078="","",IFERROR(INDEX(부서매핑!$C$5:$C$504,MATCH($G2078&amp;"",부서매핑!$A$5:$A$504,0)),"미매핑"))</f>
        <v/>
      </c>
      <c r="O2078" s="9">
        <f>IF($A2078="","",N2078&amp;"|"&amp;$F2078)</f>
        <v/>
      </c>
      <c r="P2078" s="94">
        <f>IF($A2078="",0,$H2078*설정!$C$23)</f>
        <v/>
      </c>
      <c r="Q2078" s="64">
        <f>IF($A2078="","",IF(O2078&lt;&gt;원인분석!$C$9,"",IF(AND(M2078&gt;=원인분석!$C$10,M2078&lt;=원인분석!$C$11),"당기",IF(AND(M2078&gt;=원인분석!$C$12,M2078&lt;=원인분석!$C$13),"비교",""))))</f>
        <v/>
      </c>
      <c r="R2078" s="9">
        <f>IF(Q2078="","",$K2078&amp;"")</f>
        <v/>
      </c>
      <c r="S2078" s="9">
        <f>IF(Q2078="","",IF(MATCH(R2078,$R$5:$R$100000,0)=ROW()-4,ROW(),""))</f>
        <v/>
      </c>
      <c r="T2078" s="9">
        <f>IF(Q2078="당기",ABS(P2078)+ROW()/1000000000,"")</f>
        <v/>
      </c>
      <c r="U2078" s="9">
        <f>IF(Q2078="비교",ABS(P2078)+ROW()/1000000000,"")</f>
        <v/>
      </c>
      <c r="V2078" s="64">
        <f>IF($A2078="","",IF(COUNTIF(변동분석!$E$7:$E$506,O2078)&gt;0,"Y","N"))</f>
        <v/>
      </c>
      <c r="W2078" s="64">
        <f>IF($A2078="","",IFERROR(INDEX(계정매핑!$D$5:$D$504,MATCH($F2078&amp;"",계정매핑!$A$5:$A$504,0)),"미매핑"))</f>
        <v/>
      </c>
      <c r="X2078" s="9">
        <f>IF($A2078="","",$F2078&amp;"")</f>
        <v/>
      </c>
      <c r="Y2078" s="94">
        <f>IF($A2078="",0,IF(AE2078="직접",IF(AF2078="비귀속",$P2078,0),$P2078*(1-AG2078)*IFERROR(INDEX(계정대체기준!$F$20:$F$49,MATCH($N2078,계정대체기준!$A$20:$A$49,0)),1)))</f>
        <v/>
      </c>
      <c r="Z2078" s="94">
        <f>IF($A2078="",0,IF(AE2078="직접",IF(AF2078="신계약비",$P2078,0),$P2078*(1-AG2078)*IFERROR(INDEX(계정대체기준!$C$20:$C$49,MATCH($N2078,계정대체기준!$A$20:$A$49,0)),0)))</f>
        <v/>
      </c>
      <c r="AA2078" s="94">
        <f>IF($A2078="",0,IF(AE2078="직접",IF(OR(AF2078="유지비",AF2078="손해조사비"),$P2078,0),$P2078*(1-AG2078)*IFERROR(INDEX(계정대체기준!$D$20:$D$49,MATCH($N2078,계정대체기준!$A$20:$A$49,0)),0)))</f>
        <v/>
      </c>
      <c r="AB2078" s="94">
        <f>IF($A2078="",0,IF(AE2078="직접",IF(AF2078="수금비",$P2078,0),$P2078*(1-AG2078)*IFERROR(INDEX(계정대체기준!$E$20:$E$49,MATCH($N2078,계정대체기준!$A$20:$A$49,0)),0)))</f>
        <v/>
      </c>
      <c r="AC2078" s="9">
        <f>IF(AND($A2078&lt;&gt;"",M2078=설정!$C$20,Z2078&gt;0),Z2078+ROW()/1000000000,"")</f>
        <v/>
      </c>
      <c r="AD2078" s="94">
        <f>IF($A2078="",0,$P2078*AG2078)</f>
        <v/>
      </c>
      <c r="AE2078" s="64">
        <f>IF($A2078="","",IFERROR(INDEX(계정매핑!$E$5:$E$504,MATCH($F2078&amp;"",계정매핑!$A$5:$A$504,0))&amp;"","공통비"))</f>
        <v/>
      </c>
      <c r="AF2078" s="64">
        <f>IF($A2078="","",IF(AE2078="직접",IFERROR(INDEX(계정매핑!$F$5:$F$504,MATCH($F2078&amp;"",계정매핑!$A$5:$A$504,0))&amp;"","비귀속"),""))</f>
        <v/>
      </c>
      <c r="AG2078" s="96">
        <f>IF($A2078="",0,IF(AND(AE2078&lt;&gt;"직접",IFERROR(INDEX(계정매핑!$G$5:$G$504,MATCH($F2078&amp;"",계정매핑!$A$5:$A$504,0))&amp;"","")="유지비",COUNTIF(계정대체기준!$A$6:$A$15,$N2078)&gt;0),IFERROR(INDEX(계정대체기준!$E$6:$E$15,MATCH(VALUE($A2078&amp;""),계정대체기준!$D$6:$D$15,0)),0),0))</f>
        <v/>
      </c>
      <c r="AH2078" s="64">
        <f>IF($A2078="","",IF(AD2078=0,"",IF(OR(COUNTIF(계정대체기준!$A$77:$A$86,$N2078)&gt;0,ISNUMBER(MATCH($X2078,계정대체기준!$D$77:$D$86,0)),ISNUMBER(MATCH($F2078,계정대체기준!$D$77:$D$86,0))),"Y","N")))</f>
        <v/>
      </c>
    </row>
    <row r="2079">
      <c r="A2079" s="92" t="n">
        <v>2025</v>
      </c>
      <c r="B2079" s="92" t="n">
        <v>10</v>
      </c>
      <c r="C2079" s="92" t="inlineStr">
        <is>
          <t>5100002075</t>
        </is>
      </c>
      <c r="D2079" s="95" t="n">
        <v>45936</v>
      </c>
      <c r="E2079" s="92" t="inlineStr">
        <is>
          <t>KR</t>
        </is>
      </c>
      <c r="F2079" s="92" t="n">
        <v>62201000</v>
      </c>
      <c r="G2079" s="92" t="n">
        <v>1201</v>
      </c>
      <c r="H2079" s="93" t="n">
        <v>368000</v>
      </c>
      <c r="I2079" s="92" t="inlineStr">
        <is>
          <t>10월 통신요금 - P통신</t>
        </is>
      </c>
      <c r="J2079" s="92" t="inlineStr">
        <is>
          <t>V10014</t>
        </is>
      </c>
      <c r="K2079" s="92" t="inlineStr">
        <is>
          <t>P통신</t>
        </is>
      </c>
      <c r="M2079" s="9">
        <f>IF($A2079="","",VALUE($A2079&amp;"")*12+VALUE($B2079&amp;""))</f>
        <v/>
      </c>
      <c r="N2079" s="64">
        <f>IF($A2079="","",IFERROR(INDEX(부서매핑!$C$5:$C$504,MATCH($G2079&amp;"",부서매핑!$A$5:$A$504,0)),"미매핑"))</f>
        <v/>
      </c>
      <c r="O2079" s="9">
        <f>IF($A2079="","",N2079&amp;"|"&amp;$F2079)</f>
        <v/>
      </c>
      <c r="P2079" s="94">
        <f>IF($A2079="",0,$H2079*설정!$C$23)</f>
        <v/>
      </c>
      <c r="Q2079" s="64">
        <f>IF($A2079="","",IF(O2079&lt;&gt;원인분석!$C$9,"",IF(AND(M2079&gt;=원인분석!$C$10,M2079&lt;=원인분석!$C$11),"당기",IF(AND(M2079&gt;=원인분석!$C$12,M2079&lt;=원인분석!$C$13),"비교",""))))</f>
        <v/>
      </c>
      <c r="R2079" s="9">
        <f>IF(Q2079="","",$K2079&amp;"")</f>
        <v/>
      </c>
      <c r="S2079" s="9">
        <f>IF(Q2079="","",IF(MATCH(R2079,$R$5:$R$100000,0)=ROW()-4,ROW(),""))</f>
        <v/>
      </c>
      <c r="T2079" s="9">
        <f>IF(Q2079="당기",ABS(P2079)+ROW()/1000000000,"")</f>
        <v/>
      </c>
      <c r="U2079" s="9">
        <f>IF(Q2079="비교",ABS(P2079)+ROW()/1000000000,"")</f>
        <v/>
      </c>
      <c r="V2079" s="64">
        <f>IF($A2079="","",IF(COUNTIF(변동분석!$E$7:$E$506,O2079)&gt;0,"Y","N"))</f>
        <v/>
      </c>
      <c r="W2079" s="64">
        <f>IF($A2079="","",IFERROR(INDEX(계정매핑!$D$5:$D$504,MATCH($F2079&amp;"",계정매핑!$A$5:$A$504,0)),"미매핑"))</f>
        <v/>
      </c>
      <c r="X2079" s="9">
        <f>IF($A2079="","",$F2079&amp;"")</f>
        <v/>
      </c>
      <c r="Y2079" s="94">
        <f>IF($A2079="",0,IF(AE2079="직접",IF(AF2079="비귀속",$P2079,0),$P2079*(1-AG2079)*IFERROR(INDEX(계정대체기준!$F$20:$F$49,MATCH($N2079,계정대체기준!$A$20:$A$49,0)),1)))</f>
        <v/>
      </c>
      <c r="Z2079" s="94">
        <f>IF($A2079="",0,IF(AE2079="직접",IF(AF2079="신계약비",$P2079,0),$P2079*(1-AG2079)*IFERROR(INDEX(계정대체기준!$C$20:$C$49,MATCH($N2079,계정대체기준!$A$20:$A$49,0)),0)))</f>
        <v/>
      </c>
      <c r="AA2079" s="94">
        <f>IF($A2079="",0,IF(AE2079="직접",IF(OR(AF2079="유지비",AF2079="손해조사비"),$P2079,0),$P2079*(1-AG2079)*IFERROR(INDEX(계정대체기준!$D$20:$D$49,MATCH($N2079,계정대체기준!$A$20:$A$49,0)),0)))</f>
        <v/>
      </c>
      <c r="AB2079" s="94">
        <f>IF($A2079="",0,IF(AE2079="직접",IF(AF2079="수금비",$P2079,0),$P2079*(1-AG2079)*IFERROR(INDEX(계정대체기준!$E$20:$E$49,MATCH($N2079,계정대체기준!$A$20:$A$49,0)),0)))</f>
        <v/>
      </c>
      <c r="AC2079" s="9">
        <f>IF(AND($A2079&lt;&gt;"",M2079=설정!$C$20,Z2079&gt;0),Z2079+ROW()/1000000000,"")</f>
        <v/>
      </c>
      <c r="AD2079" s="94">
        <f>IF($A2079="",0,$P2079*AG2079)</f>
        <v/>
      </c>
      <c r="AE2079" s="64">
        <f>IF($A2079="","",IFERROR(INDEX(계정매핑!$E$5:$E$504,MATCH($F2079&amp;"",계정매핑!$A$5:$A$504,0))&amp;"","공통비"))</f>
        <v/>
      </c>
      <c r="AF2079" s="64">
        <f>IF($A2079="","",IF(AE2079="직접",IFERROR(INDEX(계정매핑!$F$5:$F$504,MATCH($F2079&amp;"",계정매핑!$A$5:$A$504,0))&amp;"","비귀속"),""))</f>
        <v/>
      </c>
      <c r="AG2079" s="96">
        <f>IF($A2079="",0,IF(AND(AE2079&lt;&gt;"직접",IFERROR(INDEX(계정매핑!$G$5:$G$504,MATCH($F2079&amp;"",계정매핑!$A$5:$A$504,0))&amp;"","")="유지비",COUNTIF(계정대체기준!$A$6:$A$15,$N2079)&gt;0),IFERROR(INDEX(계정대체기준!$E$6:$E$15,MATCH(VALUE($A2079&amp;""),계정대체기준!$D$6:$D$15,0)),0),0))</f>
        <v/>
      </c>
      <c r="AH2079" s="64">
        <f>IF($A2079="","",IF(AD2079=0,"",IF(OR(COUNTIF(계정대체기준!$A$77:$A$86,$N2079)&gt;0,ISNUMBER(MATCH($X2079,계정대체기준!$D$77:$D$86,0)),ISNUMBER(MATCH($F2079,계정대체기준!$D$77:$D$86,0))),"Y","N")))</f>
        <v/>
      </c>
    </row>
    <row r="2080">
      <c r="A2080" s="92" t="n">
        <v>2025</v>
      </c>
      <c r="B2080" s="92" t="n">
        <v>10</v>
      </c>
      <c r="C2080" s="92" t="inlineStr">
        <is>
          <t>5100002076</t>
        </is>
      </c>
      <c r="D2080" s="95" t="n">
        <v>45936</v>
      </c>
      <c r="E2080" s="92" t="inlineStr">
        <is>
          <t>KR</t>
        </is>
      </c>
      <c r="F2080" s="92" t="n">
        <v>62201000</v>
      </c>
      <c r="G2080" s="92" t="n">
        <v>1801</v>
      </c>
      <c r="H2080" s="93" t="n">
        <v>9570000</v>
      </c>
      <c r="I2080" s="92" t="inlineStr">
        <is>
          <t>10월 통신요금 - P통신</t>
        </is>
      </c>
      <c r="J2080" s="92" t="inlineStr">
        <is>
          <t>V10014</t>
        </is>
      </c>
      <c r="K2080" s="92" t="inlineStr">
        <is>
          <t>P통신</t>
        </is>
      </c>
      <c r="M2080" s="9">
        <f>IF($A2080="","",VALUE($A2080&amp;"")*12+VALUE($B2080&amp;""))</f>
        <v/>
      </c>
      <c r="N2080" s="64">
        <f>IF($A2080="","",IFERROR(INDEX(부서매핑!$C$5:$C$504,MATCH($G2080&amp;"",부서매핑!$A$5:$A$504,0)),"미매핑"))</f>
        <v/>
      </c>
      <c r="O2080" s="9">
        <f>IF($A2080="","",N2080&amp;"|"&amp;$F2080)</f>
        <v/>
      </c>
      <c r="P2080" s="94">
        <f>IF($A2080="",0,$H2080*설정!$C$23)</f>
        <v/>
      </c>
      <c r="Q2080" s="64">
        <f>IF($A2080="","",IF(O2080&lt;&gt;원인분석!$C$9,"",IF(AND(M2080&gt;=원인분석!$C$10,M2080&lt;=원인분석!$C$11),"당기",IF(AND(M2080&gt;=원인분석!$C$12,M2080&lt;=원인분석!$C$13),"비교",""))))</f>
        <v/>
      </c>
      <c r="R2080" s="9">
        <f>IF(Q2080="","",$K2080&amp;"")</f>
        <v/>
      </c>
      <c r="S2080" s="9">
        <f>IF(Q2080="","",IF(MATCH(R2080,$R$5:$R$100000,0)=ROW()-4,ROW(),""))</f>
        <v/>
      </c>
      <c r="T2080" s="9">
        <f>IF(Q2080="당기",ABS(P2080)+ROW()/1000000000,"")</f>
        <v/>
      </c>
      <c r="U2080" s="9">
        <f>IF(Q2080="비교",ABS(P2080)+ROW()/1000000000,"")</f>
        <v/>
      </c>
      <c r="V2080" s="64">
        <f>IF($A2080="","",IF(COUNTIF(변동분석!$E$7:$E$506,O2080)&gt;0,"Y","N"))</f>
        <v/>
      </c>
      <c r="W2080" s="64">
        <f>IF($A2080="","",IFERROR(INDEX(계정매핑!$D$5:$D$504,MATCH($F2080&amp;"",계정매핑!$A$5:$A$504,0)),"미매핑"))</f>
        <v/>
      </c>
      <c r="X2080" s="9">
        <f>IF($A2080="","",$F2080&amp;"")</f>
        <v/>
      </c>
      <c r="Y2080" s="94">
        <f>IF($A2080="",0,IF(AE2080="직접",IF(AF2080="비귀속",$P2080,0),$P2080*(1-AG2080)*IFERROR(INDEX(계정대체기준!$F$20:$F$49,MATCH($N2080,계정대체기준!$A$20:$A$49,0)),1)))</f>
        <v/>
      </c>
      <c r="Z2080" s="94">
        <f>IF($A2080="",0,IF(AE2080="직접",IF(AF2080="신계약비",$P2080,0),$P2080*(1-AG2080)*IFERROR(INDEX(계정대체기준!$C$20:$C$49,MATCH($N2080,계정대체기준!$A$20:$A$49,0)),0)))</f>
        <v/>
      </c>
      <c r="AA2080" s="94">
        <f>IF($A2080="",0,IF(AE2080="직접",IF(OR(AF2080="유지비",AF2080="손해조사비"),$P2080,0),$P2080*(1-AG2080)*IFERROR(INDEX(계정대체기준!$D$20:$D$49,MATCH($N2080,계정대체기준!$A$20:$A$49,0)),0)))</f>
        <v/>
      </c>
      <c r="AB2080" s="94">
        <f>IF($A2080="",0,IF(AE2080="직접",IF(AF2080="수금비",$P2080,0),$P2080*(1-AG2080)*IFERROR(INDEX(계정대체기준!$E$20:$E$49,MATCH($N2080,계정대체기준!$A$20:$A$49,0)),0)))</f>
        <v/>
      </c>
      <c r="AC2080" s="9">
        <f>IF(AND($A2080&lt;&gt;"",M2080=설정!$C$20,Z2080&gt;0),Z2080+ROW()/1000000000,"")</f>
        <v/>
      </c>
      <c r="AD2080" s="94">
        <f>IF($A2080="",0,$P2080*AG2080)</f>
        <v/>
      </c>
      <c r="AE2080" s="64">
        <f>IF($A2080="","",IFERROR(INDEX(계정매핑!$E$5:$E$504,MATCH($F2080&amp;"",계정매핑!$A$5:$A$504,0))&amp;"","공통비"))</f>
        <v/>
      </c>
      <c r="AF2080" s="64">
        <f>IF($A2080="","",IF(AE2080="직접",IFERROR(INDEX(계정매핑!$F$5:$F$504,MATCH($F2080&amp;"",계정매핑!$A$5:$A$504,0))&amp;"","비귀속"),""))</f>
        <v/>
      </c>
      <c r="AG2080" s="96">
        <f>IF($A2080="",0,IF(AND(AE2080&lt;&gt;"직접",IFERROR(INDEX(계정매핑!$G$5:$G$504,MATCH($F2080&amp;"",계정매핑!$A$5:$A$504,0))&amp;"","")="유지비",COUNTIF(계정대체기준!$A$6:$A$15,$N2080)&gt;0),IFERROR(INDEX(계정대체기준!$E$6:$E$15,MATCH(VALUE($A2080&amp;""),계정대체기준!$D$6:$D$15,0)),0),0))</f>
        <v/>
      </c>
      <c r="AH2080" s="64">
        <f>IF($A2080="","",IF(AD2080=0,"",IF(OR(COUNTIF(계정대체기준!$A$77:$A$86,$N2080)&gt;0,ISNUMBER(MATCH($X2080,계정대체기준!$D$77:$D$86,0)),ISNUMBER(MATCH($F2080,계정대체기준!$D$77:$D$86,0))),"Y","N")))</f>
        <v/>
      </c>
    </row>
    <row r="2081">
      <c r="A2081" s="92" t="n">
        <v>2025</v>
      </c>
      <c r="B2081" s="92" t="n">
        <v>10</v>
      </c>
      <c r="C2081" s="92" t="inlineStr">
        <is>
          <t>5100002077</t>
        </is>
      </c>
      <c r="D2081" s="95" t="n">
        <v>45936</v>
      </c>
      <c r="E2081" s="92" t="inlineStr">
        <is>
          <t>KR</t>
        </is>
      </c>
      <c r="F2081" s="92" t="n">
        <v>62501000</v>
      </c>
      <c r="G2081" s="92" t="n">
        <v>1601</v>
      </c>
      <c r="H2081" s="93" t="n">
        <v>308000</v>
      </c>
      <c r="I2081" s="92" t="inlineStr">
        <is>
          <t>10월 회의 다과 - T케이터링</t>
        </is>
      </c>
      <c r="J2081" s="92" t="inlineStr">
        <is>
          <t>V10005</t>
        </is>
      </c>
      <c r="K2081" s="92" t="inlineStr">
        <is>
          <t>T케이터링</t>
        </is>
      </c>
      <c r="M2081" s="9">
        <f>IF($A2081="","",VALUE($A2081&amp;"")*12+VALUE($B2081&amp;""))</f>
        <v/>
      </c>
      <c r="N2081" s="64">
        <f>IF($A2081="","",IFERROR(INDEX(부서매핑!$C$5:$C$504,MATCH($G2081&amp;"",부서매핑!$A$5:$A$504,0)),"미매핑"))</f>
        <v/>
      </c>
      <c r="O2081" s="9">
        <f>IF($A2081="","",N2081&amp;"|"&amp;$F2081)</f>
        <v/>
      </c>
      <c r="P2081" s="94">
        <f>IF($A2081="",0,$H2081*설정!$C$23)</f>
        <v/>
      </c>
      <c r="Q2081" s="64">
        <f>IF($A2081="","",IF(O2081&lt;&gt;원인분석!$C$9,"",IF(AND(M2081&gt;=원인분석!$C$10,M2081&lt;=원인분석!$C$11),"당기",IF(AND(M2081&gt;=원인분석!$C$12,M2081&lt;=원인분석!$C$13),"비교",""))))</f>
        <v/>
      </c>
      <c r="R2081" s="9">
        <f>IF(Q2081="","",$K2081&amp;"")</f>
        <v/>
      </c>
      <c r="S2081" s="9">
        <f>IF(Q2081="","",IF(MATCH(R2081,$R$5:$R$100000,0)=ROW()-4,ROW(),""))</f>
        <v/>
      </c>
      <c r="T2081" s="9">
        <f>IF(Q2081="당기",ABS(P2081)+ROW()/1000000000,"")</f>
        <v/>
      </c>
      <c r="U2081" s="9">
        <f>IF(Q2081="비교",ABS(P2081)+ROW()/1000000000,"")</f>
        <v/>
      </c>
      <c r="V2081" s="64">
        <f>IF($A2081="","",IF(COUNTIF(변동분석!$E$7:$E$506,O2081)&gt;0,"Y","N"))</f>
        <v/>
      </c>
      <c r="W2081" s="64">
        <f>IF($A2081="","",IFERROR(INDEX(계정매핑!$D$5:$D$504,MATCH($F2081&amp;"",계정매핑!$A$5:$A$504,0)),"미매핑"))</f>
        <v/>
      </c>
      <c r="X2081" s="9">
        <f>IF($A2081="","",$F2081&amp;"")</f>
        <v/>
      </c>
      <c r="Y2081" s="94">
        <f>IF($A2081="",0,IF(AE2081="직접",IF(AF2081="비귀속",$P2081,0),$P2081*(1-AG2081)*IFERROR(INDEX(계정대체기준!$F$20:$F$49,MATCH($N2081,계정대체기준!$A$20:$A$49,0)),1)))</f>
        <v/>
      </c>
      <c r="Z2081" s="94">
        <f>IF($A2081="",0,IF(AE2081="직접",IF(AF2081="신계약비",$P2081,0),$P2081*(1-AG2081)*IFERROR(INDEX(계정대체기준!$C$20:$C$49,MATCH($N2081,계정대체기준!$A$20:$A$49,0)),0)))</f>
        <v/>
      </c>
      <c r="AA2081" s="94">
        <f>IF($A2081="",0,IF(AE2081="직접",IF(OR(AF2081="유지비",AF2081="손해조사비"),$P2081,0),$P2081*(1-AG2081)*IFERROR(INDEX(계정대체기준!$D$20:$D$49,MATCH($N2081,계정대체기준!$A$20:$A$49,0)),0)))</f>
        <v/>
      </c>
      <c r="AB2081" s="94">
        <f>IF($A2081="",0,IF(AE2081="직접",IF(AF2081="수금비",$P2081,0),$P2081*(1-AG2081)*IFERROR(INDEX(계정대체기준!$E$20:$E$49,MATCH($N2081,계정대체기준!$A$20:$A$49,0)),0)))</f>
        <v/>
      </c>
      <c r="AC2081" s="9">
        <f>IF(AND($A2081&lt;&gt;"",M2081=설정!$C$20,Z2081&gt;0),Z2081+ROW()/1000000000,"")</f>
        <v/>
      </c>
      <c r="AD2081" s="94">
        <f>IF($A2081="",0,$P2081*AG2081)</f>
        <v/>
      </c>
      <c r="AE2081" s="64">
        <f>IF($A2081="","",IFERROR(INDEX(계정매핑!$E$5:$E$504,MATCH($F2081&amp;"",계정매핑!$A$5:$A$504,0))&amp;"","공통비"))</f>
        <v/>
      </c>
      <c r="AF2081" s="64">
        <f>IF($A2081="","",IF(AE2081="직접",IFERROR(INDEX(계정매핑!$F$5:$F$504,MATCH($F2081&amp;"",계정매핑!$A$5:$A$504,0))&amp;"","비귀속"),""))</f>
        <v/>
      </c>
      <c r="AG2081" s="96">
        <f>IF($A2081="",0,IF(AND(AE2081&lt;&gt;"직접",IFERROR(INDEX(계정매핑!$G$5:$G$504,MATCH($F2081&amp;"",계정매핑!$A$5:$A$504,0))&amp;"","")="유지비",COUNTIF(계정대체기준!$A$6:$A$15,$N2081)&gt;0),IFERROR(INDEX(계정대체기준!$E$6:$E$15,MATCH(VALUE($A2081&amp;""),계정대체기준!$D$6:$D$15,0)),0),0))</f>
        <v/>
      </c>
      <c r="AH2081" s="64">
        <f>IF($A2081="","",IF(AD2081=0,"",IF(OR(COUNTIF(계정대체기준!$A$77:$A$86,$N2081)&gt;0,ISNUMBER(MATCH($X2081,계정대체기준!$D$77:$D$86,0)),ISNUMBER(MATCH($F2081,계정대체기준!$D$77:$D$86,0))),"Y","N")))</f>
        <v/>
      </c>
    </row>
    <row r="2082">
      <c r="A2082" s="92" t="n">
        <v>2025</v>
      </c>
      <c r="B2082" s="92" t="n">
        <v>10</v>
      </c>
      <c r="C2082" s="92" t="inlineStr">
        <is>
          <t>5100002078</t>
        </is>
      </c>
      <c r="D2082" s="95" t="n">
        <v>45936</v>
      </c>
      <c r="E2082" s="92" t="inlineStr">
        <is>
          <t>KR</t>
        </is>
      </c>
      <c r="F2082" s="92" t="n">
        <v>62802000</v>
      </c>
      <c r="G2082" s="92" t="n">
        <v>1301</v>
      </c>
      <c r="H2082" s="93" t="n">
        <v>4542000</v>
      </c>
      <c r="I2082" s="92" t="inlineStr">
        <is>
          <t>10월 위탁교육 - V아카데미</t>
        </is>
      </c>
      <c r="J2082" s="92" t="inlineStr">
        <is>
          <t>V10027</t>
        </is>
      </c>
      <c r="K2082" s="92" t="inlineStr">
        <is>
          <t>V아카데미</t>
        </is>
      </c>
      <c r="M2082" s="9">
        <f>IF($A2082="","",VALUE($A2082&amp;"")*12+VALUE($B2082&amp;""))</f>
        <v/>
      </c>
      <c r="N2082" s="64">
        <f>IF($A2082="","",IFERROR(INDEX(부서매핑!$C$5:$C$504,MATCH($G2082&amp;"",부서매핑!$A$5:$A$504,0)),"미매핑"))</f>
        <v/>
      </c>
      <c r="O2082" s="9">
        <f>IF($A2082="","",N2082&amp;"|"&amp;$F2082)</f>
        <v/>
      </c>
      <c r="P2082" s="94">
        <f>IF($A2082="",0,$H2082*설정!$C$23)</f>
        <v/>
      </c>
      <c r="Q2082" s="64">
        <f>IF($A2082="","",IF(O2082&lt;&gt;원인분석!$C$9,"",IF(AND(M2082&gt;=원인분석!$C$10,M2082&lt;=원인분석!$C$11),"당기",IF(AND(M2082&gt;=원인분석!$C$12,M2082&lt;=원인분석!$C$13),"비교",""))))</f>
        <v/>
      </c>
      <c r="R2082" s="9">
        <f>IF(Q2082="","",$K2082&amp;"")</f>
        <v/>
      </c>
      <c r="S2082" s="9">
        <f>IF(Q2082="","",IF(MATCH(R2082,$R$5:$R$100000,0)=ROW()-4,ROW(),""))</f>
        <v/>
      </c>
      <c r="T2082" s="9">
        <f>IF(Q2082="당기",ABS(P2082)+ROW()/1000000000,"")</f>
        <v/>
      </c>
      <c r="U2082" s="9">
        <f>IF(Q2082="비교",ABS(P2082)+ROW()/1000000000,"")</f>
        <v/>
      </c>
      <c r="V2082" s="64">
        <f>IF($A2082="","",IF(COUNTIF(변동분석!$E$7:$E$506,O2082)&gt;0,"Y","N"))</f>
        <v/>
      </c>
      <c r="W2082" s="64">
        <f>IF($A2082="","",IFERROR(INDEX(계정매핑!$D$5:$D$504,MATCH($F2082&amp;"",계정매핑!$A$5:$A$504,0)),"미매핑"))</f>
        <v/>
      </c>
      <c r="X2082" s="9">
        <f>IF($A2082="","",$F2082&amp;"")</f>
        <v/>
      </c>
      <c r="Y2082" s="94">
        <f>IF($A2082="",0,IF(AE2082="직접",IF(AF2082="비귀속",$P2082,0),$P2082*(1-AG2082)*IFERROR(INDEX(계정대체기준!$F$20:$F$49,MATCH($N2082,계정대체기준!$A$20:$A$49,0)),1)))</f>
        <v/>
      </c>
      <c r="Z2082" s="94">
        <f>IF($A2082="",0,IF(AE2082="직접",IF(AF2082="신계약비",$P2082,0),$P2082*(1-AG2082)*IFERROR(INDEX(계정대체기준!$C$20:$C$49,MATCH($N2082,계정대체기준!$A$20:$A$49,0)),0)))</f>
        <v/>
      </c>
      <c r="AA2082" s="94">
        <f>IF($A2082="",0,IF(AE2082="직접",IF(OR(AF2082="유지비",AF2082="손해조사비"),$P2082,0),$P2082*(1-AG2082)*IFERROR(INDEX(계정대체기준!$D$20:$D$49,MATCH($N2082,계정대체기준!$A$20:$A$49,0)),0)))</f>
        <v/>
      </c>
      <c r="AB2082" s="94">
        <f>IF($A2082="",0,IF(AE2082="직접",IF(AF2082="수금비",$P2082,0),$P2082*(1-AG2082)*IFERROR(INDEX(계정대체기준!$E$20:$E$49,MATCH($N2082,계정대체기준!$A$20:$A$49,0)),0)))</f>
        <v/>
      </c>
      <c r="AC2082" s="9">
        <f>IF(AND($A2082&lt;&gt;"",M2082=설정!$C$20,Z2082&gt;0),Z2082+ROW()/1000000000,"")</f>
        <v/>
      </c>
      <c r="AD2082" s="94">
        <f>IF($A2082="",0,$P2082*AG2082)</f>
        <v/>
      </c>
      <c r="AE2082" s="64">
        <f>IF($A2082="","",IFERROR(INDEX(계정매핑!$E$5:$E$504,MATCH($F2082&amp;"",계정매핑!$A$5:$A$504,0))&amp;"","공통비"))</f>
        <v/>
      </c>
      <c r="AF2082" s="64">
        <f>IF($A2082="","",IF(AE2082="직접",IFERROR(INDEX(계정매핑!$F$5:$F$504,MATCH($F2082&amp;"",계정매핑!$A$5:$A$504,0))&amp;"","비귀속"),""))</f>
        <v/>
      </c>
      <c r="AG2082" s="96">
        <f>IF($A2082="",0,IF(AND(AE2082&lt;&gt;"직접",IFERROR(INDEX(계정매핑!$G$5:$G$504,MATCH($F2082&amp;"",계정매핑!$A$5:$A$504,0))&amp;"","")="유지비",COUNTIF(계정대체기준!$A$6:$A$15,$N2082)&gt;0),IFERROR(INDEX(계정대체기준!$E$6:$E$15,MATCH(VALUE($A2082&amp;""),계정대체기준!$D$6:$D$15,0)),0),0))</f>
        <v/>
      </c>
      <c r="AH2082" s="64">
        <f>IF($A2082="","",IF(AD2082=0,"",IF(OR(COUNTIF(계정대체기준!$A$77:$A$86,$N2082)&gt;0,ISNUMBER(MATCH($X2082,계정대체기준!$D$77:$D$86,0)),ISNUMBER(MATCH($F2082,계정대체기준!$D$77:$D$86,0))),"Y","N")))</f>
        <v/>
      </c>
    </row>
    <row r="2083">
      <c r="A2083" s="92" t="n">
        <v>2025</v>
      </c>
      <c r="B2083" s="92" t="n">
        <v>10</v>
      </c>
      <c r="C2083" s="92" t="inlineStr">
        <is>
          <t>5100002079</t>
        </is>
      </c>
      <c r="D2083" s="95" t="n">
        <v>45936</v>
      </c>
      <c r="E2083" s="92" t="inlineStr">
        <is>
          <t>KR</t>
        </is>
      </c>
      <c r="F2083" s="92" t="n">
        <v>62901000</v>
      </c>
      <c r="G2083" s="92" t="n">
        <v>1201</v>
      </c>
      <c r="H2083" s="93" t="n">
        <v>4165000</v>
      </c>
      <c r="I2083" s="92" t="inlineStr">
        <is>
          <t>10월 자문 수수료 - K회계법인</t>
        </is>
      </c>
      <c r="J2083" s="92" t="inlineStr">
        <is>
          <t>V10011</t>
        </is>
      </c>
      <c r="K2083" s="92" t="inlineStr">
        <is>
          <t>K회계법인</t>
        </is>
      </c>
      <c r="M2083" s="9">
        <f>IF($A2083="","",VALUE($A2083&amp;"")*12+VALUE($B2083&amp;""))</f>
        <v/>
      </c>
      <c r="N2083" s="64">
        <f>IF($A2083="","",IFERROR(INDEX(부서매핑!$C$5:$C$504,MATCH($G2083&amp;"",부서매핑!$A$5:$A$504,0)),"미매핑"))</f>
        <v/>
      </c>
      <c r="O2083" s="9">
        <f>IF($A2083="","",N2083&amp;"|"&amp;$F2083)</f>
        <v/>
      </c>
      <c r="P2083" s="94">
        <f>IF($A2083="",0,$H2083*설정!$C$23)</f>
        <v/>
      </c>
      <c r="Q2083" s="64">
        <f>IF($A2083="","",IF(O2083&lt;&gt;원인분석!$C$9,"",IF(AND(M2083&gt;=원인분석!$C$10,M2083&lt;=원인분석!$C$11),"당기",IF(AND(M2083&gt;=원인분석!$C$12,M2083&lt;=원인분석!$C$13),"비교",""))))</f>
        <v/>
      </c>
      <c r="R2083" s="9">
        <f>IF(Q2083="","",$K2083&amp;"")</f>
        <v/>
      </c>
      <c r="S2083" s="9">
        <f>IF(Q2083="","",IF(MATCH(R2083,$R$5:$R$100000,0)=ROW()-4,ROW(),""))</f>
        <v/>
      </c>
      <c r="T2083" s="9">
        <f>IF(Q2083="당기",ABS(P2083)+ROW()/1000000000,"")</f>
        <v/>
      </c>
      <c r="U2083" s="9">
        <f>IF(Q2083="비교",ABS(P2083)+ROW()/1000000000,"")</f>
        <v/>
      </c>
      <c r="V2083" s="64">
        <f>IF($A2083="","",IF(COUNTIF(변동분석!$E$7:$E$506,O2083)&gt;0,"Y","N"))</f>
        <v/>
      </c>
      <c r="W2083" s="64">
        <f>IF($A2083="","",IFERROR(INDEX(계정매핑!$D$5:$D$504,MATCH($F2083&amp;"",계정매핑!$A$5:$A$504,0)),"미매핑"))</f>
        <v/>
      </c>
      <c r="X2083" s="9">
        <f>IF($A2083="","",$F2083&amp;"")</f>
        <v/>
      </c>
      <c r="Y2083" s="94">
        <f>IF($A2083="",0,IF(AE2083="직접",IF(AF2083="비귀속",$P2083,0),$P2083*(1-AG2083)*IFERROR(INDEX(계정대체기준!$F$20:$F$49,MATCH($N2083,계정대체기준!$A$20:$A$49,0)),1)))</f>
        <v/>
      </c>
      <c r="Z2083" s="94">
        <f>IF($A2083="",0,IF(AE2083="직접",IF(AF2083="신계약비",$P2083,0),$P2083*(1-AG2083)*IFERROR(INDEX(계정대체기준!$C$20:$C$49,MATCH($N2083,계정대체기준!$A$20:$A$49,0)),0)))</f>
        <v/>
      </c>
      <c r="AA2083" s="94">
        <f>IF($A2083="",0,IF(AE2083="직접",IF(OR(AF2083="유지비",AF2083="손해조사비"),$P2083,0),$P2083*(1-AG2083)*IFERROR(INDEX(계정대체기준!$D$20:$D$49,MATCH($N2083,계정대체기준!$A$20:$A$49,0)),0)))</f>
        <v/>
      </c>
      <c r="AB2083" s="94">
        <f>IF($A2083="",0,IF(AE2083="직접",IF(AF2083="수금비",$P2083,0),$P2083*(1-AG2083)*IFERROR(INDEX(계정대체기준!$E$20:$E$49,MATCH($N2083,계정대체기준!$A$20:$A$49,0)),0)))</f>
        <v/>
      </c>
      <c r="AC2083" s="9">
        <f>IF(AND($A2083&lt;&gt;"",M2083=설정!$C$20,Z2083&gt;0),Z2083+ROW()/1000000000,"")</f>
        <v/>
      </c>
      <c r="AD2083" s="94">
        <f>IF($A2083="",0,$P2083*AG2083)</f>
        <v/>
      </c>
      <c r="AE2083" s="64">
        <f>IF($A2083="","",IFERROR(INDEX(계정매핑!$E$5:$E$504,MATCH($F2083&amp;"",계정매핑!$A$5:$A$504,0))&amp;"","공통비"))</f>
        <v/>
      </c>
      <c r="AF2083" s="64">
        <f>IF($A2083="","",IF(AE2083="직접",IFERROR(INDEX(계정매핑!$F$5:$F$504,MATCH($F2083&amp;"",계정매핑!$A$5:$A$504,0))&amp;"","비귀속"),""))</f>
        <v/>
      </c>
      <c r="AG2083" s="96">
        <f>IF($A2083="",0,IF(AND(AE2083&lt;&gt;"직접",IFERROR(INDEX(계정매핑!$G$5:$G$504,MATCH($F2083&amp;"",계정매핑!$A$5:$A$504,0))&amp;"","")="유지비",COUNTIF(계정대체기준!$A$6:$A$15,$N2083)&gt;0),IFERROR(INDEX(계정대체기준!$E$6:$E$15,MATCH(VALUE($A2083&amp;""),계정대체기준!$D$6:$D$15,0)),0),0))</f>
        <v/>
      </c>
      <c r="AH2083" s="64">
        <f>IF($A2083="","",IF(AD2083=0,"",IF(OR(COUNTIF(계정대체기준!$A$77:$A$86,$N2083)&gt;0,ISNUMBER(MATCH($X2083,계정대체기준!$D$77:$D$86,0)),ISNUMBER(MATCH($F2083,계정대체기준!$D$77:$D$86,0))),"Y","N")))</f>
        <v/>
      </c>
    </row>
    <row r="2084">
      <c r="A2084" s="92" t="n">
        <v>2025</v>
      </c>
      <c r="B2084" s="92" t="n">
        <v>10</v>
      </c>
      <c r="C2084" s="92" t="inlineStr">
        <is>
          <t>5100002080</t>
        </is>
      </c>
      <c r="D2084" s="95" t="n">
        <v>45936</v>
      </c>
      <c r="E2084" s="92" t="inlineStr">
        <is>
          <t>KR</t>
        </is>
      </c>
      <c r="F2084" s="92" t="n">
        <v>62902000</v>
      </c>
      <c r="G2084" s="92" t="n">
        <v>1801</v>
      </c>
      <c r="H2084" s="93" t="n">
        <v>1753000</v>
      </c>
      <c r="I2084" s="92" t="inlineStr">
        <is>
          <t>10월 콜 위탁 수수료(건별)</t>
        </is>
      </c>
      <c r="J2084" s="92" t="inlineStr">
        <is>
          <t>V10016</t>
        </is>
      </c>
      <c r="K2084" s="92" t="inlineStr">
        <is>
          <t>J콜센터</t>
        </is>
      </c>
      <c r="M2084" s="9">
        <f>IF($A2084="","",VALUE($A2084&amp;"")*12+VALUE($B2084&amp;""))</f>
        <v/>
      </c>
      <c r="N2084" s="64">
        <f>IF($A2084="","",IFERROR(INDEX(부서매핑!$C$5:$C$504,MATCH($G2084&amp;"",부서매핑!$A$5:$A$504,0)),"미매핑"))</f>
        <v/>
      </c>
      <c r="O2084" s="9">
        <f>IF($A2084="","",N2084&amp;"|"&amp;$F2084)</f>
        <v/>
      </c>
      <c r="P2084" s="94">
        <f>IF($A2084="",0,$H2084*설정!$C$23)</f>
        <v/>
      </c>
      <c r="Q2084" s="64">
        <f>IF($A2084="","",IF(O2084&lt;&gt;원인분석!$C$9,"",IF(AND(M2084&gt;=원인분석!$C$10,M2084&lt;=원인분석!$C$11),"당기",IF(AND(M2084&gt;=원인분석!$C$12,M2084&lt;=원인분석!$C$13),"비교",""))))</f>
        <v/>
      </c>
      <c r="R2084" s="9">
        <f>IF(Q2084="","",$K2084&amp;"")</f>
        <v/>
      </c>
      <c r="S2084" s="9">
        <f>IF(Q2084="","",IF(MATCH(R2084,$R$5:$R$100000,0)=ROW()-4,ROW(),""))</f>
        <v/>
      </c>
      <c r="T2084" s="9">
        <f>IF(Q2084="당기",ABS(P2084)+ROW()/1000000000,"")</f>
        <v/>
      </c>
      <c r="U2084" s="9">
        <f>IF(Q2084="비교",ABS(P2084)+ROW()/1000000000,"")</f>
        <v/>
      </c>
      <c r="V2084" s="64">
        <f>IF($A2084="","",IF(COUNTIF(변동분석!$E$7:$E$506,O2084)&gt;0,"Y","N"))</f>
        <v/>
      </c>
      <c r="W2084" s="64">
        <f>IF($A2084="","",IFERROR(INDEX(계정매핑!$D$5:$D$504,MATCH($F2084&amp;"",계정매핑!$A$5:$A$504,0)),"미매핑"))</f>
        <v/>
      </c>
      <c r="X2084" s="9">
        <f>IF($A2084="","",$F2084&amp;"")</f>
        <v/>
      </c>
      <c r="Y2084" s="94">
        <f>IF($A2084="",0,IF(AE2084="직접",IF(AF2084="비귀속",$P2084,0),$P2084*(1-AG2084)*IFERROR(INDEX(계정대체기준!$F$20:$F$49,MATCH($N2084,계정대체기준!$A$20:$A$49,0)),1)))</f>
        <v/>
      </c>
      <c r="Z2084" s="94">
        <f>IF($A2084="",0,IF(AE2084="직접",IF(AF2084="신계약비",$P2084,0),$P2084*(1-AG2084)*IFERROR(INDEX(계정대체기준!$C$20:$C$49,MATCH($N2084,계정대체기준!$A$20:$A$49,0)),0)))</f>
        <v/>
      </c>
      <c r="AA2084" s="94">
        <f>IF($A2084="",0,IF(AE2084="직접",IF(OR(AF2084="유지비",AF2084="손해조사비"),$P2084,0),$P2084*(1-AG2084)*IFERROR(INDEX(계정대체기준!$D$20:$D$49,MATCH($N2084,계정대체기준!$A$20:$A$49,0)),0)))</f>
        <v/>
      </c>
      <c r="AB2084" s="94">
        <f>IF($A2084="",0,IF(AE2084="직접",IF(AF2084="수금비",$P2084,0),$P2084*(1-AG2084)*IFERROR(INDEX(계정대체기준!$E$20:$E$49,MATCH($N2084,계정대체기준!$A$20:$A$49,0)),0)))</f>
        <v/>
      </c>
      <c r="AC2084" s="9">
        <f>IF(AND($A2084&lt;&gt;"",M2084=설정!$C$20,Z2084&gt;0),Z2084+ROW()/1000000000,"")</f>
        <v/>
      </c>
      <c r="AD2084" s="94">
        <f>IF($A2084="",0,$P2084*AG2084)</f>
        <v/>
      </c>
      <c r="AE2084" s="64">
        <f>IF($A2084="","",IFERROR(INDEX(계정매핑!$E$5:$E$504,MATCH($F2084&amp;"",계정매핑!$A$5:$A$504,0))&amp;"","공통비"))</f>
        <v/>
      </c>
      <c r="AF2084" s="64">
        <f>IF($A2084="","",IF(AE2084="직접",IFERROR(INDEX(계정매핑!$F$5:$F$504,MATCH($F2084&amp;"",계정매핑!$A$5:$A$504,0))&amp;"","비귀속"),""))</f>
        <v/>
      </c>
      <c r="AG2084" s="96">
        <f>IF($A2084="",0,IF(AND(AE2084&lt;&gt;"직접",IFERROR(INDEX(계정매핑!$G$5:$G$504,MATCH($F2084&amp;"",계정매핑!$A$5:$A$504,0))&amp;"","")="유지비",COUNTIF(계정대체기준!$A$6:$A$15,$N2084)&gt;0),IFERROR(INDEX(계정대체기준!$E$6:$E$15,MATCH(VALUE($A2084&amp;""),계정대체기준!$D$6:$D$15,0)),0),0))</f>
        <v/>
      </c>
      <c r="AH2084" s="64">
        <f>IF($A2084="","",IF(AD2084=0,"",IF(OR(COUNTIF(계정대체기준!$A$77:$A$86,$N2084)&gt;0,ISNUMBER(MATCH($X2084,계정대체기준!$D$77:$D$86,0)),ISNUMBER(MATCH($F2084,계정대체기준!$D$77:$D$86,0))),"Y","N")))</f>
        <v/>
      </c>
    </row>
    <row r="2085">
      <c r="A2085" s="92" t="n">
        <v>2025</v>
      </c>
      <c r="B2085" s="92" t="n">
        <v>10</v>
      </c>
      <c r="C2085" s="92" t="inlineStr">
        <is>
          <t>5100002081</t>
        </is>
      </c>
      <c r="D2085" s="95" t="n">
        <v>45936</v>
      </c>
      <c r="E2085" s="92" t="inlineStr">
        <is>
          <t>KR</t>
        </is>
      </c>
      <c r="F2085" s="92" t="n">
        <v>62902000</v>
      </c>
      <c r="G2085" s="92" t="n">
        <v>1951</v>
      </c>
      <c r="H2085" s="93" t="n">
        <v>1743000</v>
      </c>
      <c r="I2085" s="92" t="inlineStr">
        <is>
          <t>10월 업무 위탁 수수료 - X서비스</t>
        </is>
      </c>
      <c r="J2085" s="92" t="inlineStr">
        <is>
          <t>V10020</t>
        </is>
      </c>
      <c r="K2085" s="92" t="inlineStr">
        <is>
          <t>X서비스</t>
        </is>
      </c>
      <c r="M2085" s="9">
        <f>IF($A2085="","",VALUE($A2085&amp;"")*12+VALUE($B2085&amp;""))</f>
        <v/>
      </c>
      <c r="N2085" s="64">
        <f>IF($A2085="","",IFERROR(INDEX(부서매핑!$C$5:$C$504,MATCH($G2085&amp;"",부서매핑!$A$5:$A$504,0)),"미매핑"))</f>
        <v/>
      </c>
      <c r="O2085" s="9">
        <f>IF($A2085="","",N2085&amp;"|"&amp;$F2085)</f>
        <v/>
      </c>
      <c r="P2085" s="94">
        <f>IF($A2085="",0,$H2085*설정!$C$23)</f>
        <v/>
      </c>
      <c r="Q2085" s="64">
        <f>IF($A2085="","",IF(O2085&lt;&gt;원인분석!$C$9,"",IF(AND(M2085&gt;=원인분석!$C$10,M2085&lt;=원인분석!$C$11),"당기",IF(AND(M2085&gt;=원인분석!$C$12,M2085&lt;=원인분석!$C$13),"비교",""))))</f>
        <v/>
      </c>
      <c r="R2085" s="9">
        <f>IF(Q2085="","",$K2085&amp;"")</f>
        <v/>
      </c>
      <c r="S2085" s="9">
        <f>IF(Q2085="","",IF(MATCH(R2085,$R$5:$R$100000,0)=ROW()-4,ROW(),""))</f>
        <v/>
      </c>
      <c r="T2085" s="9">
        <f>IF(Q2085="당기",ABS(P2085)+ROW()/1000000000,"")</f>
        <v/>
      </c>
      <c r="U2085" s="9">
        <f>IF(Q2085="비교",ABS(P2085)+ROW()/1000000000,"")</f>
        <v/>
      </c>
      <c r="V2085" s="64">
        <f>IF($A2085="","",IF(COUNTIF(변동분석!$E$7:$E$506,O2085)&gt;0,"Y","N"))</f>
        <v/>
      </c>
      <c r="W2085" s="64">
        <f>IF($A2085="","",IFERROR(INDEX(계정매핑!$D$5:$D$504,MATCH($F2085&amp;"",계정매핑!$A$5:$A$504,0)),"미매핑"))</f>
        <v/>
      </c>
      <c r="X2085" s="9">
        <f>IF($A2085="","",$F2085&amp;"")</f>
        <v/>
      </c>
      <c r="Y2085" s="94">
        <f>IF($A2085="",0,IF(AE2085="직접",IF(AF2085="비귀속",$P2085,0),$P2085*(1-AG2085)*IFERROR(INDEX(계정대체기준!$F$20:$F$49,MATCH($N2085,계정대체기준!$A$20:$A$49,0)),1)))</f>
        <v/>
      </c>
      <c r="Z2085" s="94">
        <f>IF($A2085="",0,IF(AE2085="직접",IF(AF2085="신계약비",$P2085,0),$P2085*(1-AG2085)*IFERROR(INDEX(계정대체기준!$C$20:$C$49,MATCH($N2085,계정대체기준!$A$20:$A$49,0)),0)))</f>
        <v/>
      </c>
      <c r="AA2085" s="94">
        <f>IF($A2085="",0,IF(AE2085="직접",IF(OR(AF2085="유지비",AF2085="손해조사비"),$P2085,0),$P2085*(1-AG2085)*IFERROR(INDEX(계정대체기준!$D$20:$D$49,MATCH($N2085,계정대체기준!$A$20:$A$49,0)),0)))</f>
        <v/>
      </c>
      <c r="AB2085" s="94">
        <f>IF($A2085="",0,IF(AE2085="직접",IF(AF2085="수금비",$P2085,0),$P2085*(1-AG2085)*IFERROR(INDEX(계정대체기준!$E$20:$E$49,MATCH($N2085,계정대체기준!$A$20:$A$49,0)),0)))</f>
        <v/>
      </c>
      <c r="AC2085" s="9">
        <f>IF(AND($A2085&lt;&gt;"",M2085=설정!$C$20,Z2085&gt;0),Z2085+ROW()/1000000000,"")</f>
        <v/>
      </c>
      <c r="AD2085" s="94">
        <f>IF($A2085="",0,$P2085*AG2085)</f>
        <v/>
      </c>
      <c r="AE2085" s="64">
        <f>IF($A2085="","",IFERROR(INDEX(계정매핑!$E$5:$E$504,MATCH($F2085&amp;"",계정매핑!$A$5:$A$504,0))&amp;"","공통비"))</f>
        <v/>
      </c>
      <c r="AF2085" s="64">
        <f>IF($A2085="","",IF(AE2085="직접",IFERROR(INDEX(계정매핑!$F$5:$F$504,MATCH($F2085&amp;"",계정매핑!$A$5:$A$504,0))&amp;"","비귀속"),""))</f>
        <v/>
      </c>
      <c r="AG2085" s="96">
        <f>IF($A2085="",0,IF(AND(AE2085&lt;&gt;"직접",IFERROR(INDEX(계정매핑!$G$5:$G$504,MATCH($F2085&amp;"",계정매핑!$A$5:$A$504,0))&amp;"","")="유지비",COUNTIF(계정대체기준!$A$6:$A$15,$N2085)&gt;0),IFERROR(INDEX(계정대체기준!$E$6:$E$15,MATCH(VALUE($A2085&amp;""),계정대체기준!$D$6:$D$15,0)),0),0))</f>
        <v/>
      </c>
      <c r="AH2085" s="64">
        <f>IF($A2085="","",IF(AD2085=0,"",IF(OR(COUNTIF(계정대체기준!$A$77:$A$86,$N2085)&gt;0,ISNUMBER(MATCH($X2085,계정대체기준!$D$77:$D$86,0)),ISNUMBER(MATCH($F2085,계정대체기준!$D$77:$D$86,0))),"Y","N")))</f>
        <v/>
      </c>
    </row>
    <row r="2086">
      <c r="A2086" s="92" t="n">
        <v>2025</v>
      </c>
      <c r="B2086" s="92" t="n">
        <v>10</v>
      </c>
      <c r="C2086" s="92" t="inlineStr">
        <is>
          <t>5100002082</t>
        </is>
      </c>
      <c r="D2086" s="95" t="n">
        <v>45937</v>
      </c>
      <c r="E2086" s="92" t="inlineStr">
        <is>
          <t>KR</t>
        </is>
      </c>
      <c r="F2086" s="92" t="n">
        <v>62101000</v>
      </c>
      <c r="G2086" s="92" t="n">
        <v>1602</v>
      </c>
      <c r="H2086" s="93" t="n">
        <v>654000</v>
      </c>
      <c r="I2086" s="92" t="inlineStr">
        <is>
          <t>10월 국내출장 - (법인카드)</t>
        </is>
      </c>
      <c r="J2086" s="92" t="inlineStr">
        <is>
          <t>V10010</t>
        </is>
      </c>
      <c r="K2086" s="92" t="inlineStr">
        <is>
          <t>(법인카드)</t>
        </is>
      </c>
      <c r="M2086" s="9">
        <f>IF($A2086="","",VALUE($A2086&amp;"")*12+VALUE($B2086&amp;""))</f>
        <v/>
      </c>
      <c r="N2086" s="64">
        <f>IF($A2086="","",IFERROR(INDEX(부서매핑!$C$5:$C$504,MATCH($G2086&amp;"",부서매핑!$A$5:$A$504,0)),"미매핑"))</f>
        <v/>
      </c>
      <c r="O2086" s="9">
        <f>IF($A2086="","",N2086&amp;"|"&amp;$F2086)</f>
        <v/>
      </c>
      <c r="P2086" s="94">
        <f>IF($A2086="",0,$H2086*설정!$C$23)</f>
        <v/>
      </c>
      <c r="Q2086" s="64">
        <f>IF($A2086="","",IF(O2086&lt;&gt;원인분석!$C$9,"",IF(AND(M2086&gt;=원인분석!$C$10,M2086&lt;=원인분석!$C$11),"당기",IF(AND(M2086&gt;=원인분석!$C$12,M2086&lt;=원인분석!$C$13),"비교",""))))</f>
        <v/>
      </c>
      <c r="R2086" s="9">
        <f>IF(Q2086="","",$K2086&amp;"")</f>
        <v/>
      </c>
      <c r="S2086" s="9">
        <f>IF(Q2086="","",IF(MATCH(R2086,$R$5:$R$100000,0)=ROW()-4,ROW(),""))</f>
        <v/>
      </c>
      <c r="T2086" s="9">
        <f>IF(Q2086="당기",ABS(P2086)+ROW()/1000000000,"")</f>
        <v/>
      </c>
      <c r="U2086" s="9">
        <f>IF(Q2086="비교",ABS(P2086)+ROW()/1000000000,"")</f>
        <v/>
      </c>
      <c r="V2086" s="64">
        <f>IF($A2086="","",IF(COUNTIF(변동분석!$E$7:$E$506,O2086)&gt;0,"Y","N"))</f>
        <v/>
      </c>
      <c r="W2086" s="64">
        <f>IF($A2086="","",IFERROR(INDEX(계정매핑!$D$5:$D$504,MATCH($F2086&amp;"",계정매핑!$A$5:$A$504,0)),"미매핑"))</f>
        <v/>
      </c>
      <c r="X2086" s="9">
        <f>IF($A2086="","",$F2086&amp;"")</f>
        <v/>
      </c>
      <c r="Y2086" s="94">
        <f>IF($A2086="",0,IF(AE2086="직접",IF(AF2086="비귀속",$P2086,0),$P2086*(1-AG2086)*IFERROR(INDEX(계정대체기준!$F$20:$F$49,MATCH($N2086,계정대체기준!$A$20:$A$49,0)),1)))</f>
        <v/>
      </c>
      <c r="Z2086" s="94">
        <f>IF($A2086="",0,IF(AE2086="직접",IF(AF2086="신계약비",$P2086,0),$P2086*(1-AG2086)*IFERROR(INDEX(계정대체기준!$C$20:$C$49,MATCH($N2086,계정대체기준!$A$20:$A$49,0)),0)))</f>
        <v/>
      </c>
      <c r="AA2086" s="94">
        <f>IF($A2086="",0,IF(AE2086="직접",IF(OR(AF2086="유지비",AF2086="손해조사비"),$P2086,0),$P2086*(1-AG2086)*IFERROR(INDEX(계정대체기준!$D$20:$D$49,MATCH($N2086,계정대체기준!$A$20:$A$49,0)),0)))</f>
        <v/>
      </c>
      <c r="AB2086" s="94">
        <f>IF($A2086="",0,IF(AE2086="직접",IF(AF2086="수금비",$P2086,0),$P2086*(1-AG2086)*IFERROR(INDEX(계정대체기준!$E$20:$E$49,MATCH($N2086,계정대체기준!$A$20:$A$49,0)),0)))</f>
        <v/>
      </c>
      <c r="AC2086" s="9">
        <f>IF(AND($A2086&lt;&gt;"",M2086=설정!$C$20,Z2086&gt;0),Z2086+ROW()/1000000000,"")</f>
        <v/>
      </c>
      <c r="AD2086" s="94">
        <f>IF($A2086="",0,$P2086*AG2086)</f>
        <v/>
      </c>
      <c r="AE2086" s="64">
        <f>IF($A2086="","",IFERROR(INDEX(계정매핑!$E$5:$E$504,MATCH($F2086&amp;"",계정매핑!$A$5:$A$504,0))&amp;"","공통비"))</f>
        <v/>
      </c>
      <c r="AF2086" s="64">
        <f>IF($A2086="","",IF(AE2086="직접",IFERROR(INDEX(계정매핑!$F$5:$F$504,MATCH($F2086&amp;"",계정매핑!$A$5:$A$504,0))&amp;"","비귀속"),""))</f>
        <v/>
      </c>
      <c r="AG2086" s="96">
        <f>IF($A2086="",0,IF(AND(AE2086&lt;&gt;"직접",IFERROR(INDEX(계정매핑!$G$5:$G$504,MATCH($F2086&amp;"",계정매핑!$A$5:$A$504,0))&amp;"","")="유지비",COUNTIF(계정대체기준!$A$6:$A$15,$N2086)&gt;0),IFERROR(INDEX(계정대체기준!$E$6:$E$15,MATCH(VALUE($A2086&amp;""),계정대체기준!$D$6:$D$15,0)),0),0))</f>
        <v/>
      </c>
      <c r="AH2086" s="64">
        <f>IF($A2086="","",IF(AD2086=0,"",IF(OR(COUNTIF(계정대체기준!$A$77:$A$86,$N2086)&gt;0,ISNUMBER(MATCH($X2086,계정대체기준!$D$77:$D$86,0)),ISNUMBER(MATCH($F2086,계정대체기준!$D$77:$D$86,0))),"Y","N")))</f>
        <v/>
      </c>
    </row>
    <row r="2087">
      <c r="A2087" s="92" t="n">
        <v>2025</v>
      </c>
      <c r="B2087" s="92" t="n">
        <v>10</v>
      </c>
      <c r="C2087" s="92" t="inlineStr">
        <is>
          <t>5100002083</t>
        </is>
      </c>
      <c r="D2087" s="95" t="n">
        <v>45937</v>
      </c>
      <c r="E2087" s="92" t="inlineStr">
        <is>
          <t>KR</t>
        </is>
      </c>
      <c r="F2087" s="92" t="n">
        <v>62101000</v>
      </c>
      <c r="G2087" s="92" t="n">
        <v>1951</v>
      </c>
      <c r="H2087" s="93" t="n">
        <v>259000</v>
      </c>
      <c r="I2087" s="92" t="inlineStr">
        <is>
          <t>10월 국내출장 - M항공</t>
        </is>
      </c>
      <c r="J2087" s="92" t="inlineStr">
        <is>
          <t>V10001</t>
        </is>
      </c>
      <c r="K2087" s="92" t="inlineStr">
        <is>
          <t>M항공</t>
        </is>
      </c>
      <c r="M2087" s="9">
        <f>IF($A2087="","",VALUE($A2087&amp;"")*12+VALUE($B2087&amp;""))</f>
        <v/>
      </c>
      <c r="N2087" s="64">
        <f>IF($A2087="","",IFERROR(INDEX(부서매핑!$C$5:$C$504,MATCH($G2087&amp;"",부서매핑!$A$5:$A$504,0)),"미매핑"))</f>
        <v/>
      </c>
      <c r="O2087" s="9">
        <f>IF($A2087="","",N2087&amp;"|"&amp;$F2087)</f>
        <v/>
      </c>
      <c r="P2087" s="94">
        <f>IF($A2087="",0,$H2087*설정!$C$23)</f>
        <v/>
      </c>
      <c r="Q2087" s="64">
        <f>IF($A2087="","",IF(O2087&lt;&gt;원인분석!$C$9,"",IF(AND(M2087&gt;=원인분석!$C$10,M2087&lt;=원인분석!$C$11),"당기",IF(AND(M2087&gt;=원인분석!$C$12,M2087&lt;=원인분석!$C$13),"비교",""))))</f>
        <v/>
      </c>
      <c r="R2087" s="9">
        <f>IF(Q2087="","",$K2087&amp;"")</f>
        <v/>
      </c>
      <c r="S2087" s="9">
        <f>IF(Q2087="","",IF(MATCH(R2087,$R$5:$R$100000,0)=ROW()-4,ROW(),""))</f>
        <v/>
      </c>
      <c r="T2087" s="9">
        <f>IF(Q2087="당기",ABS(P2087)+ROW()/1000000000,"")</f>
        <v/>
      </c>
      <c r="U2087" s="9">
        <f>IF(Q2087="비교",ABS(P2087)+ROW()/1000000000,"")</f>
        <v/>
      </c>
      <c r="V2087" s="64">
        <f>IF($A2087="","",IF(COUNTIF(변동분석!$E$7:$E$506,O2087)&gt;0,"Y","N"))</f>
        <v/>
      </c>
      <c r="W2087" s="64">
        <f>IF($A2087="","",IFERROR(INDEX(계정매핑!$D$5:$D$504,MATCH($F2087&amp;"",계정매핑!$A$5:$A$504,0)),"미매핑"))</f>
        <v/>
      </c>
      <c r="X2087" s="9">
        <f>IF($A2087="","",$F2087&amp;"")</f>
        <v/>
      </c>
      <c r="Y2087" s="94">
        <f>IF($A2087="",0,IF(AE2087="직접",IF(AF2087="비귀속",$P2087,0),$P2087*(1-AG2087)*IFERROR(INDEX(계정대체기준!$F$20:$F$49,MATCH($N2087,계정대체기준!$A$20:$A$49,0)),1)))</f>
        <v/>
      </c>
      <c r="Z2087" s="94">
        <f>IF($A2087="",0,IF(AE2087="직접",IF(AF2087="신계약비",$P2087,0),$P2087*(1-AG2087)*IFERROR(INDEX(계정대체기준!$C$20:$C$49,MATCH($N2087,계정대체기준!$A$20:$A$49,0)),0)))</f>
        <v/>
      </c>
      <c r="AA2087" s="94">
        <f>IF($A2087="",0,IF(AE2087="직접",IF(OR(AF2087="유지비",AF2087="손해조사비"),$P2087,0),$P2087*(1-AG2087)*IFERROR(INDEX(계정대체기준!$D$20:$D$49,MATCH($N2087,계정대체기준!$A$20:$A$49,0)),0)))</f>
        <v/>
      </c>
      <c r="AB2087" s="94">
        <f>IF($A2087="",0,IF(AE2087="직접",IF(AF2087="수금비",$P2087,0),$P2087*(1-AG2087)*IFERROR(INDEX(계정대체기준!$E$20:$E$49,MATCH($N2087,계정대체기준!$A$20:$A$49,0)),0)))</f>
        <v/>
      </c>
      <c r="AC2087" s="9">
        <f>IF(AND($A2087&lt;&gt;"",M2087=설정!$C$20,Z2087&gt;0),Z2087+ROW()/1000000000,"")</f>
        <v/>
      </c>
      <c r="AD2087" s="94">
        <f>IF($A2087="",0,$P2087*AG2087)</f>
        <v/>
      </c>
      <c r="AE2087" s="64">
        <f>IF($A2087="","",IFERROR(INDEX(계정매핑!$E$5:$E$504,MATCH($F2087&amp;"",계정매핑!$A$5:$A$504,0))&amp;"","공통비"))</f>
        <v/>
      </c>
      <c r="AF2087" s="64">
        <f>IF($A2087="","",IF(AE2087="직접",IFERROR(INDEX(계정매핑!$F$5:$F$504,MATCH($F2087&amp;"",계정매핑!$A$5:$A$504,0))&amp;"","비귀속"),""))</f>
        <v/>
      </c>
      <c r="AG2087" s="96">
        <f>IF($A2087="",0,IF(AND(AE2087&lt;&gt;"직접",IFERROR(INDEX(계정매핑!$G$5:$G$504,MATCH($F2087&amp;"",계정매핑!$A$5:$A$504,0))&amp;"","")="유지비",COUNTIF(계정대체기준!$A$6:$A$15,$N2087)&gt;0),IFERROR(INDEX(계정대체기준!$E$6:$E$15,MATCH(VALUE($A2087&amp;""),계정대체기준!$D$6:$D$15,0)),0),0))</f>
        <v/>
      </c>
      <c r="AH2087" s="64">
        <f>IF($A2087="","",IF(AD2087=0,"",IF(OR(COUNTIF(계정대체기준!$A$77:$A$86,$N2087)&gt;0,ISNUMBER(MATCH($X2087,계정대체기준!$D$77:$D$86,0)),ISNUMBER(MATCH($F2087,계정대체기준!$D$77:$D$86,0))),"Y","N")))</f>
        <v/>
      </c>
    </row>
    <row r="2088">
      <c r="A2088" s="92" t="n">
        <v>2025</v>
      </c>
      <c r="B2088" s="92" t="n">
        <v>10</v>
      </c>
      <c r="C2088" s="92" t="inlineStr">
        <is>
          <t>5100002084</t>
        </is>
      </c>
      <c r="D2088" s="95" t="n">
        <v>45937</v>
      </c>
      <c r="E2088" s="92" t="inlineStr">
        <is>
          <t>KR</t>
        </is>
      </c>
      <c r="F2088" s="92" t="n">
        <v>62102000</v>
      </c>
      <c r="G2088" s="92" t="n">
        <v>1401</v>
      </c>
      <c r="H2088" s="93" t="n">
        <v>61000</v>
      </c>
      <c r="I2088" s="92" t="inlineStr">
        <is>
          <t>10월 해외출장 - M항공</t>
        </is>
      </c>
      <c r="J2088" s="92" t="inlineStr">
        <is>
          <t>V10001</t>
        </is>
      </c>
      <c r="K2088" s="92" t="inlineStr">
        <is>
          <t>M항공</t>
        </is>
      </c>
      <c r="M2088" s="9">
        <f>IF($A2088="","",VALUE($A2088&amp;"")*12+VALUE($B2088&amp;""))</f>
        <v/>
      </c>
      <c r="N2088" s="64">
        <f>IF($A2088="","",IFERROR(INDEX(부서매핑!$C$5:$C$504,MATCH($G2088&amp;"",부서매핑!$A$5:$A$504,0)),"미매핑"))</f>
        <v/>
      </c>
      <c r="O2088" s="9">
        <f>IF($A2088="","",N2088&amp;"|"&amp;$F2088)</f>
        <v/>
      </c>
      <c r="P2088" s="94">
        <f>IF($A2088="",0,$H2088*설정!$C$23)</f>
        <v/>
      </c>
      <c r="Q2088" s="64">
        <f>IF($A2088="","",IF(O2088&lt;&gt;원인분석!$C$9,"",IF(AND(M2088&gt;=원인분석!$C$10,M2088&lt;=원인분석!$C$11),"당기",IF(AND(M2088&gt;=원인분석!$C$12,M2088&lt;=원인분석!$C$13),"비교",""))))</f>
        <v/>
      </c>
      <c r="R2088" s="9">
        <f>IF(Q2088="","",$K2088&amp;"")</f>
        <v/>
      </c>
      <c r="S2088" s="9">
        <f>IF(Q2088="","",IF(MATCH(R2088,$R$5:$R$100000,0)=ROW()-4,ROW(),""))</f>
        <v/>
      </c>
      <c r="T2088" s="9">
        <f>IF(Q2088="당기",ABS(P2088)+ROW()/1000000000,"")</f>
        <v/>
      </c>
      <c r="U2088" s="9">
        <f>IF(Q2088="비교",ABS(P2088)+ROW()/1000000000,"")</f>
        <v/>
      </c>
      <c r="V2088" s="64">
        <f>IF($A2088="","",IF(COUNTIF(변동분석!$E$7:$E$506,O2088)&gt;0,"Y","N"))</f>
        <v/>
      </c>
      <c r="W2088" s="64">
        <f>IF($A2088="","",IFERROR(INDEX(계정매핑!$D$5:$D$504,MATCH($F2088&amp;"",계정매핑!$A$5:$A$504,0)),"미매핑"))</f>
        <v/>
      </c>
      <c r="X2088" s="9">
        <f>IF($A2088="","",$F2088&amp;"")</f>
        <v/>
      </c>
      <c r="Y2088" s="94">
        <f>IF($A2088="",0,IF(AE2088="직접",IF(AF2088="비귀속",$P2088,0),$P2088*(1-AG2088)*IFERROR(INDEX(계정대체기준!$F$20:$F$49,MATCH($N2088,계정대체기준!$A$20:$A$49,0)),1)))</f>
        <v/>
      </c>
      <c r="Z2088" s="94">
        <f>IF($A2088="",0,IF(AE2088="직접",IF(AF2088="신계약비",$P2088,0),$P2088*(1-AG2088)*IFERROR(INDEX(계정대체기준!$C$20:$C$49,MATCH($N2088,계정대체기준!$A$20:$A$49,0)),0)))</f>
        <v/>
      </c>
      <c r="AA2088" s="94">
        <f>IF($A2088="",0,IF(AE2088="직접",IF(OR(AF2088="유지비",AF2088="손해조사비"),$P2088,0),$P2088*(1-AG2088)*IFERROR(INDEX(계정대체기준!$D$20:$D$49,MATCH($N2088,계정대체기준!$A$20:$A$49,0)),0)))</f>
        <v/>
      </c>
      <c r="AB2088" s="94">
        <f>IF($A2088="",0,IF(AE2088="직접",IF(AF2088="수금비",$P2088,0),$P2088*(1-AG2088)*IFERROR(INDEX(계정대체기준!$E$20:$E$49,MATCH($N2088,계정대체기준!$A$20:$A$49,0)),0)))</f>
        <v/>
      </c>
      <c r="AC2088" s="9">
        <f>IF(AND($A2088&lt;&gt;"",M2088=설정!$C$20,Z2088&gt;0),Z2088+ROW()/1000000000,"")</f>
        <v/>
      </c>
      <c r="AD2088" s="94">
        <f>IF($A2088="",0,$P2088*AG2088)</f>
        <v/>
      </c>
      <c r="AE2088" s="64">
        <f>IF($A2088="","",IFERROR(INDEX(계정매핑!$E$5:$E$504,MATCH($F2088&amp;"",계정매핑!$A$5:$A$504,0))&amp;"","공통비"))</f>
        <v/>
      </c>
      <c r="AF2088" s="64">
        <f>IF($A2088="","",IF(AE2088="직접",IFERROR(INDEX(계정매핑!$F$5:$F$504,MATCH($F2088&amp;"",계정매핑!$A$5:$A$504,0))&amp;"","비귀속"),""))</f>
        <v/>
      </c>
      <c r="AG2088" s="96">
        <f>IF($A2088="",0,IF(AND(AE2088&lt;&gt;"직접",IFERROR(INDEX(계정매핑!$G$5:$G$504,MATCH($F2088&amp;"",계정매핑!$A$5:$A$504,0))&amp;"","")="유지비",COUNTIF(계정대체기준!$A$6:$A$15,$N2088)&gt;0),IFERROR(INDEX(계정대체기준!$E$6:$E$15,MATCH(VALUE($A2088&amp;""),계정대체기준!$D$6:$D$15,0)),0),0))</f>
        <v/>
      </c>
      <c r="AH2088" s="64">
        <f>IF($A2088="","",IF(AD2088=0,"",IF(OR(COUNTIF(계정대체기준!$A$77:$A$86,$N2088)&gt;0,ISNUMBER(MATCH($X2088,계정대체기준!$D$77:$D$86,0)),ISNUMBER(MATCH($F2088,계정대체기준!$D$77:$D$86,0))),"Y","N")))</f>
        <v/>
      </c>
    </row>
    <row r="2089">
      <c r="A2089" s="92" t="n">
        <v>2025</v>
      </c>
      <c r="B2089" s="92" t="n">
        <v>10</v>
      </c>
      <c r="C2089" s="92" t="inlineStr">
        <is>
          <t>5100002085</t>
        </is>
      </c>
      <c r="D2089" s="95" t="n">
        <v>45937</v>
      </c>
      <c r="E2089" s="92" t="inlineStr">
        <is>
          <t>KR</t>
        </is>
      </c>
      <c r="F2089" s="92" t="n">
        <v>62102000</v>
      </c>
      <c r="G2089" s="92" t="n">
        <v>1701</v>
      </c>
      <c r="H2089" s="93" t="n">
        <v>47000</v>
      </c>
      <c r="I2089" s="92" t="inlineStr">
        <is>
          <t>10월 해외출장 - N호텔</t>
        </is>
      </c>
      <c r="J2089" s="92" t="inlineStr">
        <is>
          <t>V10009</t>
        </is>
      </c>
      <c r="K2089" s="92" t="inlineStr">
        <is>
          <t>N호텔</t>
        </is>
      </c>
      <c r="M2089" s="9">
        <f>IF($A2089="","",VALUE($A2089&amp;"")*12+VALUE($B2089&amp;""))</f>
        <v/>
      </c>
      <c r="N2089" s="64">
        <f>IF($A2089="","",IFERROR(INDEX(부서매핑!$C$5:$C$504,MATCH($G2089&amp;"",부서매핑!$A$5:$A$504,0)),"미매핑"))</f>
        <v/>
      </c>
      <c r="O2089" s="9">
        <f>IF($A2089="","",N2089&amp;"|"&amp;$F2089)</f>
        <v/>
      </c>
      <c r="P2089" s="94">
        <f>IF($A2089="",0,$H2089*설정!$C$23)</f>
        <v/>
      </c>
      <c r="Q2089" s="64">
        <f>IF($A2089="","",IF(O2089&lt;&gt;원인분석!$C$9,"",IF(AND(M2089&gt;=원인분석!$C$10,M2089&lt;=원인분석!$C$11),"당기",IF(AND(M2089&gt;=원인분석!$C$12,M2089&lt;=원인분석!$C$13),"비교",""))))</f>
        <v/>
      </c>
      <c r="R2089" s="9">
        <f>IF(Q2089="","",$K2089&amp;"")</f>
        <v/>
      </c>
      <c r="S2089" s="9">
        <f>IF(Q2089="","",IF(MATCH(R2089,$R$5:$R$100000,0)=ROW()-4,ROW(),""))</f>
        <v/>
      </c>
      <c r="T2089" s="9">
        <f>IF(Q2089="당기",ABS(P2089)+ROW()/1000000000,"")</f>
        <v/>
      </c>
      <c r="U2089" s="9">
        <f>IF(Q2089="비교",ABS(P2089)+ROW()/1000000000,"")</f>
        <v/>
      </c>
      <c r="V2089" s="64">
        <f>IF($A2089="","",IF(COUNTIF(변동분석!$E$7:$E$506,O2089)&gt;0,"Y","N"))</f>
        <v/>
      </c>
      <c r="W2089" s="64">
        <f>IF($A2089="","",IFERROR(INDEX(계정매핑!$D$5:$D$504,MATCH($F2089&amp;"",계정매핑!$A$5:$A$504,0)),"미매핑"))</f>
        <v/>
      </c>
      <c r="X2089" s="9">
        <f>IF($A2089="","",$F2089&amp;"")</f>
        <v/>
      </c>
      <c r="Y2089" s="94">
        <f>IF($A2089="",0,IF(AE2089="직접",IF(AF2089="비귀속",$P2089,0),$P2089*(1-AG2089)*IFERROR(INDEX(계정대체기준!$F$20:$F$49,MATCH($N2089,계정대체기준!$A$20:$A$49,0)),1)))</f>
        <v/>
      </c>
      <c r="Z2089" s="94">
        <f>IF($A2089="",0,IF(AE2089="직접",IF(AF2089="신계약비",$P2089,0),$P2089*(1-AG2089)*IFERROR(INDEX(계정대체기준!$C$20:$C$49,MATCH($N2089,계정대체기준!$A$20:$A$49,0)),0)))</f>
        <v/>
      </c>
      <c r="AA2089" s="94">
        <f>IF($A2089="",0,IF(AE2089="직접",IF(OR(AF2089="유지비",AF2089="손해조사비"),$P2089,0),$P2089*(1-AG2089)*IFERROR(INDEX(계정대체기준!$D$20:$D$49,MATCH($N2089,계정대체기준!$A$20:$A$49,0)),0)))</f>
        <v/>
      </c>
      <c r="AB2089" s="94">
        <f>IF($A2089="",0,IF(AE2089="직접",IF(AF2089="수금비",$P2089,0),$P2089*(1-AG2089)*IFERROR(INDEX(계정대체기준!$E$20:$E$49,MATCH($N2089,계정대체기준!$A$20:$A$49,0)),0)))</f>
        <v/>
      </c>
      <c r="AC2089" s="9">
        <f>IF(AND($A2089&lt;&gt;"",M2089=설정!$C$20,Z2089&gt;0),Z2089+ROW()/1000000000,"")</f>
        <v/>
      </c>
      <c r="AD2089" s="94">
        <f>IF($A2089="",0,$P2089*AG2089)</f>
        <v/>
      </c>
      <c r="AE2089" s="64">
        <f>IF($A2089="","",IFERROR(INDEX(계정매핑!$E$5:$E$504,MATCH($F2089&amp;"",계정매핑!$A$5:$A$504,0))&amp;"","공통비"))</f>
        <v/>
      </c>
      <c r="AF2089" s="64">
        <f>IF($A2089="","",IF(AE2089="직접",IFERROR(INDEX(계정매핑!$F$5:$F$504,MATCH($F2089&amp;"",계정매핑!$A$5:$A$504,0))&amp;"","비귀속"),""))</f>
        <v/>
      </c>
      <c r="AG2089" s="96">
        <f>IF($A2089="",0,IF(AND(AE2089&lt;&gt;"직접",IFERROR(INDEX(계정매핑!$G$5:$G$504,MATCH($F2089&amp;"",계정매핑!$A$5:$A$504,0))&amp;"","")="유지비",COUNTIF(계정대체기준!$A$6:$A$15,$N2089)&gt;0),IFERROR(INDEX(계정대체기준!$E$6:$E$15,MATCH(VALUE($A2089&amp;""),계정대체기준!$D$6:$D$15,0)),0),0))</f>
        <v/>
      </c>
      <c r="AH2089" s="64">
        <f>IF($A2089="","",IF(AD2089=0,"",IF(OR(COUNTIF(계정대체기준!$A$77:$A$86,$N2089)&gt;0,ISNUMBER(MATCH($X2089,계정대체기준!$D$77:$D$86,0)),ISNUMBER(MATCH($F2089,계정대체기준!$D$77:$D$86,0))),"Y","N")))</f>
        <v/>
      </c>
    </row>
    <row r="2090">
      <c r="A2090" s="92" t="n">
        <v>2025</v>
      </c>
      <c r="B2090" s="92" t="n">
        <v>10</v>
      </c>
      <c r="C2090" s="92" t="inlineStr">
        <is>
          <t>5100002086</t>
        </is>
      </c>
      <c r="D2090" s="95" t="n">
        <v>45937</v>
      </c>
      <c r="E2090" s="92" t="inlineStr">
        <is>
          <t>KR</t>
        </is>
      </c>
      <c r="F2090" s="92" t="n">
        <v>62301000</v>
      </c>
      <c r="G2090" s="92" t="n">
        <v>1301</v>
      </c>
      <c r="H2090" s="93" t="n">
        <v>249000</v>
      </c>
      <c r="I2090" s="92" t="inlineStr">
        <is>
          <t>10월 소모품 구입 - Q오피스</t>
        </is>
      </c>
      <c r="J2090" s="92" t="inlineStr">
        <is>
          <t>V10003</t>
        </is>
      </c>
      <c r="K2090" s="92" t="inlineStr">
        <is>
          <t>Q오피스</t>
        </is>
      </c>
      <c r="M2090" s="9">
        <f>IF($A2090="","",VALUE($A2090&amp;"")*12+VALUE($B2090&amp;""))</f>
        <v/>
      </c>
      <c r="N2090" s="64">
        <f>IF($A2090="","",IFERROR(INDEX(부서매핑!$C$5:$C$504,MATCH($G2090&amp;"",부서매핑!$A$5:$A$504,0)),"미매핑"))</f>
        <v/>
      </c>
      <c r="O2090" s="9">
        <f>IF($A2090="","",N2090&amp;"|"&amp;$F2090)</f>
        <v/>
      </c>
      <c r="P2090" s="94">
        <f>IF($A2090="",0,$H2090*설정!$C$23)</f>
        <v/>
      </c>
      <c r="Q2090" s="64">
        <f>IF($A2090="","",IF(O2090&lt;&gt;원인분석!$C$9,"",IF(AND(M2090&gt;=원인분석!$C$10,M2090&lt;=원인분석!$C$11),"당기",IF(AND(M2090&gt;=원인분석!$C$12,M2090&lt;=원인분석!$C$13),"비교",""))))</f>
        <v/>
      </c>
      <c r="R2090" s="9">
        <f>IF(Q2090="","",$K2090&amp;"")</f>
        <v/>
      </c>
      <c r="S2090" s="9">
        <f>IF(Q2090="","",IF(MATCH(R2090,$R$5:$R$100000,0)=ROW()-4,ROW(),""))</f>
        <v/>
      </c>
      <c r="T2090" s="9">
        <f>IF(Q2090="당기",ABS(P2090)+ROW()/1000000000,"")</f>
        <v/>
      </c>
      <c r="U2090" s="9">
        <f>IF(Q2090="비교",ABS(P2090)+ROW()/1000000000,"")</f>
        <v/>
      </c>
      <c r="V2090" s="64">
        <f>IF($A2090="","",IF(COUNTIF(변동분석!$E$7:$E$506,O2090)&gt;0,"Y","N"))</f>
        <v/>
      </c>
      <c r="W2090" s="64">
        <f>IF($A2090="","",IFERROR(INDEX(계정매핑!$D$5:$D$504,MATCH($F2090&amp;"",계정매핑!$A$5:$A$504,0)),"미매핑"))</f>
        <v/>
      </c>
      <c r="X2090" s="9">
        <f>IF($A2090="","",$F2090&amp;"")</f>
        <v/>
      </c>
      <c r="Y2090" s="94">
        <f>IF($A2090="",0,IF(AE2090="직접",IF(AF2090="비귀속",$P2090,0),$P2090*(1-AG2090)*IFERROR(INDEX(계정대체기준!$F$20:$F$49,MATCH($N2090,계정대체기준!$A$20:$A$49,0)),1)))</f>
        <v/>
      </c>
      <c r="Z2090" s="94">
        <f>IF($A2090="",0,IF(AE2090="직접",IF(AF2090="신계약비",$P2090,0),$P2090*(1-AG2090)*IFERROR(INDEX(계정대체기준!$C$20:$C$49,MATCH($N2090,계정대체기준!$A$20:$A$49,0)),0)))</f>
        <v/>
      </c>
      <c r="AA2090" s="94">
        <f>IF($A2090="",0,IF(AE2090="직접",IF(OR(AF2090="유지비",AF2090="손해조사비"),$P2090,0),$P2090*(1-AG2090)*IFERROR(INDEX(계정대체기준!$D$20:$D$49,MATCH($N2090,계정대체기준!$A$20:$A$49,0)),0)))</f>
        <v/>
      </c>
      <c r="AB2090" s="94">
        <f>IF($A2090="",0,IF(AE2090="직접",IF(AF2090="수금비",$P2090,0),$P2090*(1-AG2090)*IFERROR(INDEX(계정대체기준!$E$20:$E$49,MATCH($N2090,계정대체기준!$A$20:$A$49,0)),0)))</f>
        <v/>
      </c>
      <c r="AC2090" s="9">
        <f>IF(AND($A2090&lt;&gt;"",M2090=설정!$C$20,Z2090&gt;0),Z2090+ROW()/1000000000,"")</f>
        <v/>
      </c>
      <c r="AD2090" s="94">
        <f>IF($A2090="",0,$P2090*AG2090)</f>
        <v/>
      </c>
      <c r="AE2090" s="64">
        <f>IF($A2090="","",IFERROR(INDEX(계정매핑!$E$5:$E$504,MATCH($F2090&amp;"",계정매핑!$A$5:$A$504,0))&amp;"","공통비"))</f>
        <v/>
      </c>
      <c r="AF2090" s="64">
        <f>IF($A2090="","",IF(AE2090="직접",IFERROR(INDEX(계정매핑!$F$5:$F$504,MATCH($F2090&amp;"",계정매핑!$A$5:$A$504,0))&amp;"","비귀속"),""))</f>
        <v/>
      </c>
      <c r="AG2090" s="96">
        <f>IF($A2090="",0,IF(AND(AE2090&lt;&gt;"직접",IFERROR(INDEX(계정매핑!$G$5:$G$504,MATCH($F2090&amp;"",계정매핑!$A$5:$A$504,0))&amp;"","")="유지비",COUNTIF(계정대체기준!$A$6:$A$15,$N2090)&gt;0),IFERROR(INDEX(계정대체기준!$E$6:$E$15,MATCH(VALUE($A2090&amp;""),계정대체기준!$D$6:$D$15,0)),0),0))</f>
        <v/>
      </c>
      <c r="AH2090" s="64">
        <f>IF($A2090="","",IF(AD2090=0,"",IF(OR(COUNTIF(계정대체기준!$A$77:$A$86,$N2090)&gt;0,ISNUMBER(MATCH($X2090,계정대체기준!$D$77:$D$86,0)),ISNUMBER(MATCH($F2090,계정대체기준!$D$77:$D$86,0))),"Y","N")))</f>
        <v/>
      </c>
    </row>
    <row r="2091">
      <c r="A2091" s="92" t="n">
        <v>2025</v>
      </c>
      <c r="B2091" s="92" t="n">
        <v>10</v>
      </c>
      <c r="C2091" s="92" t="inlineStr">
        <is>
          <t>5100002087</t>
        </is>
      </c>
      <c r="D2091" s="95" t="n">
        <v>45937</v>
      </c>
      <c r="E2091" s="92" t="inlineStr">
        <is>
          <t>KR</t>
        </is>
      </c>
      <c r="F2091" s="92" t="n">
        <v>62301000</v>
      </c>
      <c r="G2091" s="92" t="n">
        <v>1301</v>
      </c>
      <c r="H2091" s="93" t="n">
        <v>175000</v>
      </c>
      <c r="I2091" s="92" t="inlineStr">
        <is>
          <t>10월 소모품 구입 - Q오피스</t>
        </is>
      </c>
      <c r="J2091" s="92" t="inlineStr">
        <is>
          <t>V10003</t>
        </is>
      </c>
      <c r="K2091" s="92" t="inlineStr">
        <is>
          <t>Q오피스</t>
        </is>
      </c>
      <c r="M2091" s="9">
        <f>IF($A2091="","",VALUE($A2091&amp;"")*12+VALUE($B2091&amp;""))</f>
        <v/>
      </c>
      <c r="N2091" s="64">
        <f>IF($A2091="","",IFERROR(INDEX(부서매핑!$C$5:$C$504,MATCH($G2091&amp;"",부서매핑!$A$5:$A$504,0)),"미매핑"))</f>
        <v/>
      </c>
      <c r="O2091" s="9">
        <f>IF($A2091="","",N2091&amp;"|"&amp;$F2091)</f>
        <v/>
      </c>
      <c r="P2091" s="94">
        <f>IF($A2091="",0,$H2091*설정!$C$23)</f>
        <v/>
      </c>
      <c r="Q2091" s="64">
        <f>IF($A2091="","",IF(O2091&lt;&gt;원인분석!$C$9,"",IF(AND(M2091&gt;=원인분석!$C$10,M2091&lt;=원인분석!$C$11),"당기",IF(AND(M2091&gt;=원인분석!$C$12,M2091&lt;=원인분석!$C$13),"비교",""))))</f>
        <v/>
      </c>
      <c r="R2091" s="9">
        <f>IF(Q2091="","",$K2091&amp;"")</f>
        <v/>
      </c>
      <c r="S2091" s="9">
        <f>IF(Q2091="","",IF(MATCH(R2091,$R$5:$R$100000,0)=ROW()-4,ROW(),""))</f>
        <v/>
      </c>
      <c r="T2091" s="9">
        <f>IF(Q2091="당기",ABS(P2091)+ROW()/1000000000,"")</f>
        <v/>
      </c>
      <c r="U2091" s="9">
        <f>IF(Q2091="비교",ABS(P2091)+ROW()/1000000000,"")</f>
        <v/>
      </c>
      <c r="V2091" s="64">
        <f>IF($A2091="","",IF(COUNTIF(변동분석!$E$7:$E$506,O2091)&gt;0,"Y","N"))</f>
        <v/>
      </c>
      <c r="W2091" s="64">
        <f>IF($A2091="","",IFERROR(INDEX(계정매핑!$D$5:$D$504,MATCH($F2091&amp;"",계정매핑!$A$5:$A$504,0)),"미매핑"))</f>
        <v/>
      </c>
      <c r="X2091" s="9">
        <f>IF($A2091="","",$F2091&amp;"")</f>
        <v/>
      </c>
      <c r="Y2091" s="94">
        <f>IF($A2091="",0,IF(AE2091="직접",IF(AF2091="비귀속",$P2091,0),$P2091*(1-AG2091)*IFERROR(INDEX(계정대체기준!$F$20:$F$49,MATCH($N2091,계정대체기준!$A$20:$A$49,0)),1)))</f>
        <v/>
      </c>
      <c r="Z2091" s="94">
        <f>IF($A2091="",0,IF(AE2091="직접",IF(AF2091="신계약비",$P2091,0),$P2091*(1-AG2091)*IFERROR(INDEX(계정대체기준!$C$20:$C$49,MATCH($N2091,계정대체기준!$A$20:$A$49,0)),0)))</f>
        <v/>
      </c>
      <c r="AA2091" s="94">
        <f>IF($A2091="",0,IF(AE2091="직접",IF(OR(AF2091="유지비",AF2091="손해조사비"),$P2091,0),$P2091*(1-AG2091)*IFERROR(INDEX(계정대체기준!$D$20:$D$49,MATCH($N2091,계정대체기준!$A$20:$A$49,0)),0)))</f>
        <v/>
      </c>
      <c r="AB2091" s="94">
        <f>IF($A2091="",0,IF(AE2091="직접",IF(AF2091="수금비",$P2091,0),$P2091*(1-AG2091)*IFERROR(INDEX(계정대체기준!$E$20:$E$49,MATCH($N2091,계정대체기준!$A$20:$A$49,0)),0)))</f>
        <v/>
      </c>
      <c r="AC2091" s="9">
        <f>IF(AND($A2091&lt;&gt;"",M2091=설정!$C$20,Z2091&gt;0),Z2091+ROW()/1000000000,"")</f>
        <v/>
      </c>
      <c r="AD2091" s="94">
        <f>IF($A2091="",0,$P2091*AG2091)</f>
        <v/>
      </c>
      <c r="AE2091" s="64">
        <f>IF($A2091="","",IFERROR(INDEX(계정매핑!$E$5:$E$504,MATCH($F2091&amp;"",계정매핑!$A$5:$A$504,0))&amp;"","공통비"))</f>
        <v/>
      </c>
      <c r="AF2091" s="64">
        <f>IF($A2091="","",IF(AE2091="직접",IFERROR(INDEX(계정매핑!$F$5:$F$504,MATCH($F2091&amp;"",계정매핑!$A$5:$A$504,0))&amp;"","비귀속"),""))</f>
        <v/>
      </c>
      <c r="AG2091" s="96">
        <f>IF($A2091="",0,IF(AND(AE2091&lt;&gt;"직접",IFERROR(INDEX(계정매핑!$G$5:$G$504,MATCH($F2091&amp;"",계정매핑!$A$5:$A$504,0))&amp;"","")="유지비",COUNTIF(계정대체기준!$A$6:$A$15,$N2091)&gt;0),IFERROR(INDEX(계정대체기준!$E$6:$E$15,MATCH(VALUE($A2091&amp;""),계정대체기준!$D$6:$D$15,0)),0),0))</f>
        <v/>
      </c>
      <c r="AH2091" s="64">
        <f>IF($A2091="","",IF(AD2091=0,"",IF(OR(COUNTIF(계정대체기준!$A$77:$A$86,$N2091)&gt;0,ISNUMBER(MATCH($X2091,계정대체기준!$D$77:$D$86,0)),ISNUMBER(MATCH($F2091,계정대체기준!$D$77:$D$86,0))),"Y","N")))</f>
        <v/>
      </c>
    </row>
    <row r="2092">
      <c r="A2092" s="92" t="n">
        <v>2025</v>
      </c>
      <c r="B2092" s="92" t="n">
        <v>10</v>
      </c>
      <c r="C2092" s="92" t="inlineStr">
        <is>
          <t>5100002088</t>
        </is>
      </c>
      <c r="D2092" s="95" t="n">
        <v>45937</v>
      </c>
      <c r="E2092" s="92" t="inlineStr">
        <is>
          <t>KR</t>
        </is>
      </c>
      <c r="F2092" s="92" t="n">
        <v>62401000</v>
      </c>
      <c r="G2092" s="92" t="n">
        <v>1401</v>
      </c>
      <c r="H2092" s="93" t="n">
        <v>274000</v>
      </c>
      <c r="I2092" s="92" t="inlineStr">
        <is>
          <t>10월 인쇄물 제작 - S출판</t>
        </is>
      </c>
      <c r="J2092" s="92" t="inlineStr">
        <is>
          <t>V10015</t>
        </is>
      </c>
      <c r="K2092" s="92" t="inlineStr">
        <is>
          <t>S출판</t>
        </is>
      </c>
      <c r="M2092" s="9">
        <f>IF($A2092="","",VALUE($A2092&amp;"")*12+VALUE($B2092&amp;""))</f>
        <v/>
      </c>
      <c r="N2092" s="64">
        <f>IF($A2092="","",IFERROR(INDEX(부서매핑!$C$5:$C$504,MATCH($G2092&amp;"",부서매핑!$A$5:$A$504,0)),"미매핑"))</f>
        <v/>
      </c>
      <c r="O2092" s="9">
        <f>IF($A2092="","",N2092&amp;"|"&amp;$F2092)</f>
        <v/>
      </c>
      <c r="P2092" s="94">
        <f>IF($A2092="",0,$H2092*설정!$C$23)</f>
        <v/>
      </c>
      <c r="Q2092" s="64">
        <f>IF($A2092="","",IF(O2092&lt;&gt;원인분석!$C$9,"",IF(AND(M2092&gt;=원인분석!$C$10,M2092&lt;=원인분석!$C$11),"당기",IF(AND(M2092&gt;=원인분석!$C$12,M2092&lt;=원인분석!$C$13),"비교",""))))</f>
        <v/>
      </c>
      <c r="R2092" s="9">
        <f>IF(Q2092="","",$K2092&amp;"")</f>
        <v/>
      </c>
      <c r="S2092" s="9">
        <f>IF(Q2092="","",IF(MATCH(R2092,$R$5:$R$100000,0)=ROW()-4,ROW(),""))</f>
        <v/>
      </c>
      <c r="T2092" s="9">
        <f>IF(Q2092="당기",ABS(P2092)+ROW()/1000000000,"")</f>
        <v/>
      </c>
      <c r="U2092" s="9">
        <f>IF(Q2092="비교",ABS(P2092)+ROW()/1000000000,"")</f>
        <v/>
      </c>
      <c r="V2092" s="64">
        <f>IF($A2092="","",IF(COUNTIF(변동분석!$E$7:$E$506,O2092)&gt;0,"Y","N"))</f>
        <v/>
      </c>
      <c r="W2092" s="64">
        <f>IF($A2092="","",IFERROR(INDEX(계정매핑!$D$5:$D$504,MATCH($F2092&amp;"",계정매핑!$A$5:$A$504,0)),"미매핑"))</f>
        <v/>
      </c>
      <c r="X2092" s="9">
        <f>IF($A2092="","",$F2092&amp;"")</f>
        <v/>
      </c>
      <c r="Y2092" s="94">
        <f>IF($A2092="",0,IF(AE2092="직접",IF(AF2092="비귀속",$P2092,0),$P2092*(1-AG2092)*IFERROR(INDEX(계정대체기준!$F$20:$F$49,MATCH($N2092,계정대체기준!$A$20:$A$49,0)),1)))</f>
        <v/>
      </c>
      <c r="Z2092" s="94">
        <f>IF($A2092="",0,IF(AE2092="직접",IF(AF2092="신계약비",$P2092,0),$P2092*(1-AG2092)*IFERROR(INDEX(계정대체기준!$C$20:$C$49,MATCH($N2092,계정대체기준!$A$20:$A$49,0)),0)))</f>
        <v/>
      </c>
      <c r="AA2092" s="94">
        <f>IF($A2092="",0,IF(AE2092="직접",IF(OR(AF2092="유지비",AF2092="손해조사비"),$P2092,0),$P2092*(1-AG2092)*IFERROR(INDEX(계정대체기준!$D$20:$D$49,MATCH($N2092,계정대체기준!$A$20:$A$49,0)),0)))</f>
        <v/>
      </c>
      <c r="AB2092" s="94">
        <f>IF($A2092="",0,IF(AE2092="직접",IF(AF2092="수금비",$P2092,0),$P2092*(1-AG2092)*IFERROR(INDEX(계정대체기준!$E$20:$E$49,MATCH($N2092,계정대체기준!$A$20:$A$49,0)),0)))</f>
        <v/>
      </c>
      <c r="AC2092" s="9">
        <f>IF(AND($A2092&lt;&gt;"",M2092=설정!$C$20,Z2092&gt;0),Z2092+ROW()/1000000000,"")</f>
        <v/>
      </c>
      <c r="AD2092" s="94">
        <f>IF($A2092="",0,$P2092*AG2092)</f>
        <v/>
      </c>
      <c r="AE2092" s="64">
        <f>IF($A2092="","",IFERROR(INDEX(계정매핑!$E$5:$E$504,MATCH($F2092&amp;"",계정매핑!$A$5:$A$504,0))&amp;"","공통비"))</f>
        <v/>
      </c>
      <c r="AF2092" s="64">
        <f>IF($A2092="","",IF(AE2092="직접",IFERROR(INDEX(계정매핑!$F$5:$F$504,MATCH($F2092&amp;"",계정매핑!$A$5:$A$504,0))&amp;"","비귀속"),""))</f>
        <v/>
      </c>
      <c r="AG2092" s="96">
        <f>IF($A2092="",0,IF(AND(AE2092&lt;&gt;"직접",IFERROR(INDEX(계정매핑!$G$5:$G$504,MATCH($F2092&amp;"",계정매핑!$A$5:$A$504,0))&amp;"","")="유지비",COUNTIF(계정대체기준!$A$6:$A$15,$N2092)&gt;0),IFERROR(INDEX(계정대체기준!$E$6:$E$15,MATCH(VALUE($A2092&amp;""),계정대체기준!$D$6:$D$15,0)),0),0))</f>
        <v/>
      </c>
      <c r="AH2092" s="64">
        <f>IF($A2092="","",IF(AD2092=0,"",IF(OR(COUNTIF(계정대체기준!$A$77:$A$86,$N2092)&gt;0,ISNUMBER(MATCH($X2092,계정대체기준!$D$77:$D$86,0)),ISNUMBER(MATCH($F2092,계정대체기준!$D$77:$D$86,0))),"Y","N")))</f>
        <v/>
      </c>
    </row>
    <row r="2093">
      <c r="A2093" s="92" t="n">
        <v>2025</v>
      </c>
      <c r="B2093" s="92" t="n">
        <v>10</v>
      </c>
      <c r="C2093" s="92" t="inlineStr">
        <is>
          <t>5100002089</t>
        </is>
      </c>
      <c r="D2093" s="95" t="n">
        <v>45937</v>
      </c>
      <c r="E2093" s="92" t="inlineStr">
        <is>
          <t>KR</t>
        </is>
      </c>
      <c r="F2093" s="92" t="n">
        <v>62401000</v>
      </c>
      <c r="G2093" s="92" t="n">
        <v>1502</v>
      </c>
      <c r="H2093" s="93" t="n">
        <v>2060000</v>
      </c>
      <c r="I2093" s="92" t="inlineStr">
        <is>
          <t>10월 인쇄물 제작 - G인쇄</t>
        </is>
      </c>
      <c r="J2093" s="92" t="inlineStr">
        <is>
          <t>V10004</t>
        </is>
      </c>
      <c r="K2093" s="92" t="inlineStr">
        <is>
          <t>G인쇄</t>
        </is>
      </c>
      <c r="M2093" s="9">
        <f>IF($A2093="","",VALUE($A2093&amp;"")*12+VALUE($B2093&amp;""))</f>
        <v/>
      </c>
      <c r="N2093" s="64">
        <f>IF($A2093="","",IFERROR(INDEX(부서매핑!$C$5:$C$504,MATCH($G2093&amp;"",부서매핑!$A$5:$A$504,0)),"미매핑"))</f>
        <v/>
      </c>
      <c r="O2093" s="9">
        <f>IF($A2093="","",N2093&amp;"|"&amp;$F2093)</f>
        <v/>
      </c>
      <c r="P2093" s="94">
        <f>IF($A2093="",0,$H2093*설정!$C$23)</f>
        <v/>
      </c>
      <c r="Q2093" s="64">
        <f>IF($A2093="","",IF(O2093&lt;&gt;원인분석!$C$9,"",IF(AND(M2093&gt;=원인분석!$C$10,M2093&lt;=원인분석!$C$11),"당기",IF(AND(M2093&gt;=원인분석!$C$12,M2093&lt;=원인분석!$C$13),"비교",""))))</f>
        <v/>
      </c>
      <c r="R2093" s="9">
        <f>IF(Q2093="","",$K2093&amp;"")</f>
        <v/>
      </c>
      <c r="S2093" s="9">
        <f>IF(Q2093="","",IF(MATCH(R2093,$R$5:$R$100000,0)=ROW()-4,ROW(),""))</f>
        <v/>
      </c>
      <c r="T2093" s="9">
        <f>IF(Q2093="당기",ABS(P2093)+ROW()/1000000000,"")</f>
        <v/>
      </c>
      <c r="U2093" s="9">
        <f>IF(Q2093="비교",ABS(P2093)+ROW()/1000000000,"")</f>
        <v/>
      </c>
      <c r="V2093" s="64">
        <f>IF($A2093="","",IF(COUNTIF(변동분석!$E$7:$E$506,O2093)&gt;0,"Y","N"))</f>
        <v/>
      </c>
      <c r="W2093" s="64">
        <f>IF($A2093="","",IFERROR(INDEX(계정매핑!$D$5:$D$504,MATCH($F2093&amp;"",계정매핑!$A$5:$A$504,0)),"미매핑"))</f>
        <v/>
      </c>
      <c r="X2093" s="9">
        <f>IF($A2093="","",$F2093&amp;"")</f>
        <v/>
      </c>
      <c r="Y2093" s="94">
        <f>IF($A2093="",0,IF(AE2093="직접",IF(AF2093="비귀속",$P2093,0),$P2093*(1-AG2093)*IFERROR(INDEX(계정대체기준!$F$20:$F$49,MATCH($N2093,계정대체기준!$A$20:$A$49,0)),1)))</f>
        <v/>
      </c>
      <c r="Z2093" s="94">
        <f>IF($A2093="",0,IF(AE2093="직접",IF(AF2093="신계약비",$P2093,0),$P2093*(1-AG2093)*IFERROR(INDEX(계정대체기준!$C$20:$C$49,MATCH($N2093,계정대체기준!$A$20:$A$49,0)),0)))</f>
        <v/>
      </c>
      <c r="AA2093" s="94">
        <f>IF($A2093="",0,IF(AE2093="직접",IF(OR(AF2093="유지비",AF2093="손해조사비"),$P2093,0),$P2093*(1-AG2093)*IFERROR(INDEX(계정대체기준!$D$20:$D$49,MATCH($N2093,계정대체기준!$A$20:$A$49,0)),0)))</f>
        <v/>
      </c>
      <c r="AB2093" s="94">
        <f>IF($A2093="",0,IF(AE2093="직접",IF(AF2093="수금비",$P2093,0),$P2093*(1-AG2093)*IFERROR(INDEX(계정대체기준!$E$20:$E$49,MATCH($N2093,계정대체기준!$A$20:$A$49,0)),0)))</f>
        <v/>
      </c>
      <c r="AC2093" s="9">
        <f>IF(AND($A2093&lt;&gt;"",M2093=설정!$C$20,Z2093&gt;0),Z2093+ROW()/1000000000,"")</f>
        <v/>
      </c>
      <c r="AD2093" s="94">
        <f>IF($A2093="",0,$P2093*AG2093)</f>
        <v/>
      </c>
      <c r="AE2093" s="64">
        <f>IF($A2093="","",IFERROR(INDEX(계정매핑!$E$5:$E$504,MATCH($F2093&amp;"",계정매핑!$A$5:$A$504,0))&amp;"","공통비"))</f>
        <v/>
      </c>
      <c r="AF2093" s="64">
        <f>IF($A2093="","",IF(AE2093="직접",IFERROR(INDEX(계정매핑!$F$5:$F$504,MATCH($F2093&amp;"",계정매핑!$A$5:$A$504,0))&amp;"","비귀속"),""))</f>
        <v/>
      </c>
      <c r="AG2093" s="96">
        <f>IF($A2093="",0,IF(AND(AE2093&lt;&gt;"직접",IFERROR(INDEX(계정매핑!$G$5:$G$504,MATCH($F2093&amp;"",계정매핑!$A$5:$A$504,0))&amp;"","")="유지비",COUNTIF(계정대체기준!$A$6:$A$15,$N2093)&gt;0),IFERROR(INDEX(계정대체기준!$E$6:$E$15,MATCH(VALUE($A2093&amp;""),계정대체기준!$D$6:$D$15,0)),0),0))</f>
        <v/>
      </c>
      <c r="AH2093" s="64">
        <f>IF($A2093="","",IF(AD2093=0,"",IF(OR(COUNTIF(계정대체기준!$A$77:$A$86,$N2093)&gt;0,ISNUMBER(MATCH($X2093,계정대체기준!$D$77:$D$86,0)),ISNUMBER(MATCH($F2093,계정대체기준!$D$77:$D$86,0))),"Y","N")))</f>
        <v/>
      </c>
    </row>
    <row r="2094">
      <c r="A2094" s="92" t="n">
        <v>2025</v>
      </c>
      <c r="B2094" s="92" t="n">
        <v>10</v>
      </c>
      <c r="C2094" s="92" t="inlineStr">
        <is>
          <t>5100002090</t>
        </is>
      </c>
      <c r="D2094" s="95" t="n">
        <v>45937</v>
      </c>
      <c r="E2094" s="92" t="inlineStr">
        <is>
          <t>KR</t>
        </is>
      </c>
      <c r="F2094" s="92" t="n">
        <v>62501000</v>
      </c>
      <c r="G2094" s="92" t="n">
        <v>1101</v>
      </c>
      <c r="H2094" s="93" t="n">
        <v>123000</v>
      </c>
      <c r="I2094" s="92" t="inlineStr">
        <is>
          <t>10월 회의 다과 - (법인카드)</t>
        </is>
      </c>
      <c r="J2094" s="92" t="inlineStr">
        <is>
          <t>V10010</t>
        </is>
      </c>
      <c r="K2094" s="92" t="inlineStr">
        <is>
          <t>(법인카드)</t>
        </is>
      </c>
      <c r="M2094" s="9">
        <f>IF($A2094="","",VALUE($A2094&amp;"")*12+VALUE($B2094&amp;""))</f>
        <v/>
      </c>
      <c r="N2094" s="64">
        <f>IF($A2094="","",IFERROR(INDEX(부서매핑!$C$5:$C$504,MATCH($G2094&amp;"",부서매핑!$A$5:$A$504,0)),"미매핑"))</f>
        <v/>
      </c>
      <c r="O2094" s="9">
        <f>IF($A2094="","",N2094&amp;"|"&amp;$F2094)</f>
        <v/>
      </c>
      <c r="P2094" s="94">
        <f>IF($A2094="",0,$H2094*설정!$C$23)</f>
        <v/>
      </c>
      <c r="Q2094" s="64">
        <f>IF($A2094="","",IF(O2094&lt;&gt;원인분석!$C$9,"",IF(AND(M2094&gt;=원인분석!$C$10,M2094&lt;=원인분석!$C$11),"당기",IF(AND(M2094&gt;=원인분석!$C$12,M2094&lt;=원인분석!$C$13),"비교",""))))</f>
        <v/>
      </c>
      <c r="R2094" s="9">
        <f>IF(Q2094="","",$K2094&amp;"")</f>
        <v/>
      </c>
      <c r="S2094" s="9">
        <f>IF(Q2094="","",IF(MATCH(R2094,$R$5:$R$100000,0)=ROW()-4,ROW(),""))</f>
        <v/>
      </c>
      <c r="T2094" s="9">
        <f>IF(Q2094="당기",ABS(P2094)+ROW()/1000000000,"")</f>
        <v/>
      </c>
      <c r="U2094" s="9">
        <f>IF(Q2094="비교",ABS(P2094)+ROW()/1000000000,"")</f>
        <v/>
      </c>
      <c r="V2094" s="64">
        <f>IF($A2094="","",IF(COUNTIF(변동분석!$E$7:$E$506,O2094)&gt;0,"Y","N"))</f>
        <v/>
      </c>
      <c r="W2094" s="64">
        <f>IF($A2094="","",IFERROR(INDEX(계정매핑!$D$5:$D$504,MATCH($F2094&amp;"",계정매핑!$A$5:$A$504,0)),"미매핑"))</f>
        <v/>
      </c>
      <c r="X2094" s="9">
        <f>IF($A2094="","",$F2094&amp;"")</f>
        <v/>
      </c>
      <c r="Y2094" s="94">
        <f>IF($A2094="",0,IF(AE2094="직접",IF(AF2094="비귀속",$P2094,0),$P2094*(1-AG2094)*IFERROR(INDEX(계정대체기준!$F$20:$F$49,MATCH($N2094,계정대체기준!$A$20:$A$49,0)),1)))</f>
        <v/>
      </c>
      <c r="Z2094" s="94">
        <f>IF($A2094="",0,IF(AE2094="직접",IF(AF2094="신계약비",$P2094,0),$P2094*(1-AG2094)*IFERROR(INDEX(계정대체기준!$C$20:$C$49,MATCH($N2094,계정대체기준!$A$20:$A$49,0)),0)))</f>
        <v/>
      </c>
      <c r="AA2094" s="94">
        <f>IF($A2094="",0,IF(AE2094="직접",IF(OR(AF2094="유지비",AF2094="손해조사비"),$P2094,0),$P2094*(1-AG2094)*IFERROR(INDEX(계정대체기준!$D$20:$D$49,MATCH($N2094,계정대체기준!$A$20:$A$49,0)),0)))</f>
        <v/>
      </c>
      <c r="AB2094" s="94">
        <f>IF($A2094="",0,IF(AE2094="직접",IF(AF2094="수금비",$P2094,0),$P2094*(1-AG2094)*IFERROR(INDEX(계정대체기준!$E$20:$E$49,MATCH($N2094,계정대체기준!$A$20:$A$49,0)),0)))</f>
        <v/>
      </c>
      <c r="AC2094" s="9">
        <f>IF(AND($A2094&lt;&gt;"",M2094=설정!$C$20,Z2094&gt;0),Z2094+ROW()/1000000000,"")</f>
        <v/>
      </c>
      <c r="AD2094" s="94">
        <f>IF($A2094="",0,$P2094*AG2094)</f>
        <v/>
      </c>
      <c r="AE2094" s="64">
        <f>IF($A2094="","",IFERROR(INDEX(계정매핑!$E$5:$E$504,MATCH($F2094&amp;"",계정매핑!$A$5:$A$504,0))&amp;"","공통비"))</f>
        <v/>
      </c>
      <c r="AF2094" s="64">
        <f>IF($A2094="","",IF(AE2094="직접",IFERROR(INDEX(계정매핑!$F$5:$F$504,MATCH($F2094&amp;"",계정매핑!$A$5:$A$504,0))&amp;"","비귀속"),""))</f>
        <v/>
      </c>
      <c r="AG2094" s="96">
        <f>IF($A2094="",0,IF(AND(AE2094&lt;&gt;"직접",IFERROR(INDEX(계정매핑!$G$5:$G$504,MATCH($F2094&amp;"",계정매핑!$A$5:$A$504,0))&amp;"","")="유지비",COUNTIF(계정대체기준!$A$6:$A$15,$N2094)&gt;0),IFERROR(INDEX(계정대체기준!$E$6:$E$15,MATCH(VALUE($A2094&amp;""),계정대체기준!$D$6:$D$15,0)),0),0))</f>
        <v/>
      </c>
      <c r="AH2094" s="64">
        <f>IF($A2094="","",IF(AD2094=0,"",IF(OR(COUNTIF(계정대체기준!$A$77:$A$86,$N2094)&gt;0,ISNUMBER(MATCH($X2094,계정대체기준!$D$77:$D$86,0)),ISNUMBER(MATCH($F2094,계정대체기준!$D$77:$D$86,0))),"Y","N")))</f>
        <v/>
      </c>
    </row>
    <row r="2095">
      <c r="A2095" s="92" t="n">
        <v>2025</v>
      </c>
      <c r="B2095" s="92" t="n">
        <v>10</v>
      </c>
      <c r="C2095" s="92" t="inlineStr">
        <is>
          <t>5100002091</t>
        </is>
      </c>
      <c r="D2095" s="95" t="n">
        <v>45937</v>
      </c>
      <c r="E2095" s="92" t="inlineStr">
        <is>
          <t>KR</t>
        </is>
      </c>
      <c r="F2095" s="92" t="n">
        <v>62601000</v>
      </c>
      <c r="G2095" s="92" t="n">
        <v>1602</v>
      </c>
      <c r="H2095" s="93" t="n">
        <v>1799000</v>
      </c>
      <c r="I2095" s="92" t="inlineStr">
        <is>
          <t>10월 업무추진 - (법인카드)</t>
        </is>
      </c>
      <c r="J2095" s="92" t="inlineStr">
        <is>
          <t>V10010</t>
        </is>
      </c>
      <c r="K2095" s="92" t="inlineStr">
        <is>
          <t>(법인카드)</t>
        </is>
      </c>
      <c r="M2095" s="9">
        <f>IF($A2095="","",VALUE($A2095&amp;"")*12+VALUE($B2095&amp;""))</f>
        <v/>
      </c>
      <c r="N2095" s="64">
        <f>IF($A2095="","",IFERROR(INDEX(부서매핑!$C$5:$C$504,MATCH($G2095&amp;"",부서매핑!$A$5:$A$504,0)),"미매핑"))</f>
        <v/>
      </c>
      <c r="O2095" s="9">
        <f>IF($A2095="","",N2095&amp;"|"&amp;$F2095)</f>
        <v/>
      </c>
      <c r="P2095" s="94">
        <f>IF($A2095="",0,$H2095*설정!$C$23)</f>
        <v/>
      </c>
      <c r="Q2095" s="64">
        <f>IF($A2095="","",IF(O2095&lt;&gt;원인분석!$C$9,"",IF(AND(M2095&gt;=원인분석!$C$10,M2095&lt;=원인분석!$C$11),"당기",IF(AND(M2095&gt;=원인분석!$C$12,M2095&lt;=원인분석!$C$13),"비교",""))))</f>
        <v/>
      </c>
      <c r="R2095" s="9">
        <f>IF(Q2095="","",$K2095&amp;"")</f>
        <v/>
      </c>
      <c r="S2095" s="9">
        <f>IF(Q2095="","",IF(MATCH(R2095,$R$5:$R$100000,0)=ROW()-4,ROW(),""))</f>
        <v/>
      </c>
      <c r="T2095" s="9">
        <f>IF(Q2095="당기",ABS(P2095)+ROW()/1000000000,"")</f>
        <v/>
      </c>
      <c r="U2095" s="9">
        <f>IF(Q2095="비교",ABS(P2095)+ROW()/1000000000,"")</f>
        <v/>
      </c>
      <c r="V2095" s="64">
        <f>IF($A2095="","",IF(COUNTIF(변동분석!$E$7:$E$506,O2095)&gt;0,"Y","N"))</f>
        <v/>
      </c>
      <c r="W2095" s="64">
        <f>IF($A2095="","",IFERROR(INDEX(계정매핑!$D$5:$D$504,MATCH($F2095&amp;"",계정매핑!$A$5:$A$504,0)),"미매핑"))</f>
        <v/>
      </c>
      <c r="X2095" s="9">
        <f>IF($A2095="","",$F2095&amp;"")</f>
        <v/>
      </c>
      <c r="Y2095" s="94">
        <f>IF($A2095="",0,IF(AE2095="직접",IF(AF2095="비귀속",$P2095,0),$P2095*(1-AG2095)*IFERROR(INDEX(계정대체기준!$F$20:$F$49,MATCH($N2095,계정대체기준!$A$20:$A$49,0)),1)))</f>
        <v/>
      </c>
      <c r="Z2095" s="94">
        <f>IF($A2095="",0,IF(AE2095="직접",IF(AF2095="신계약비",$P2095,0),$P2095*(1-AG2095)*IFERROR(INDEX(계정대체기준!$C$20:$C$49,MATCH($N2095,계정대체기준!$A$20:$A$49,0)),0)))</f>
        <v/>
      </c>
      <c r="AA2095" s="94">
        <f>IF($A2095="",0,IF(AE2095="직접",IF(OR(AF2095="유지비",AF2095="손해조사비"),$P2095,0),$P2095*(1-AG2095)*IFERROR(INDEX(계정대체기준!$D$20:$D$49,MATCH($N2095,계정대체기준!$A$20:$A$49,0)),0)))</f>
        <v/>
      </c>
      <c r="AB2095" s="94">
        <f>IF($A2095="",0,IF(AE2095="직접",IF(AF2095="수금비",$P2095,0),$P2095*(1-AG2095)*IFERROR(INDEX(계정대체기준!$E$20:$E$49,MATCH($N2095,계정대체기준!$A$20:$A$49,0)),0)))</f>
        <v/>
      </c>
      <c r="AC2095" s="9">
        <f>IF(AND($A2095&lt;&gt;"",M2095=설정!$C$20,Z2095&gt;0),Z2095+ROW()/1000000000,"")</f>
        <v/>
      </c>
      <c r="AD2095" s="94">
        <f>IF($A2095="",0,$P2095*AG2095)</f>
        <v/>
      </c>
      <c r="AE2095" s="64">
        <f>IF($A2095="","",IFERROR(INDEX(계정매핑!$E$5:$E$504,MATCH($F2095&amp;"",계정매핑!$A$5:$A$504,0))&amp;"","공통비"))</f>
        <v/>
      </c>
      <c r="AF2095" s="64">
        <f>IF($A2095="","",IF(AE2095="직접",IFERROR(INDEX(계정매핑!$F$5:$F$504,MATCH($F2095&amp;"",계정매핑!$A$5:$A$504,0))&amp;"","비귀속"),""))</f>
        <v/>
      </c>
      <c r="AG2095" s="96">
        <f>IF($A2095="",0,IF(AND(AE2095&lt;&gt;"직접",IFERROR(INDEX(계정매핑!$G$5:$G$504,MATCH($F2095&amp;"",계정매핑!$A$5:$A$504,0))&amp;"","")="유지비",COUNTIF(계정대체기준!$A$6:$A$15,$N2095)&gt;0),IFERROR(INDEX(계정대체기준!$E$6:$E$15,MATCH(VALUE($A2095&amp;""),계정대체기준!$D$6:$D$15,0)),0),0))</f>
        <v/>
      </c>
      <c r="AH2095" s="64">
        <f>IF($A2095="","",IF(AD2095=0,"",IF(OR(COUNTIF(계정대체기준!$A$77:$A$86,$N2095)&gt;0,ISNUMBER(MATCH($X2095,계정대체기준!$D$77:$D$86,0)),ISNUMBER(MATCH($F2095,계정대체기준!$D$77:$D$86,0))),"Y","N")))</f>
        <v/>
      </c>
    </row>
    <row r="2096">
      <c r="A2096" s="92" t="n">
        <v>2025</v>
      </c>
      <c r="B2096" s="92" t="n">
        <v>10</v>
      </c>
      <c r="C2096" s="92" t="inlineStr">
        <is>
          <t>5100002092</t>
        </is>
      </c>
      <c r="D2096" s="95" t="n">
        <v>45937</v>
      </c>
      <c r="E2096" s="92" t="inlineStr">
        <is>
          <t>KR</t>
        </is>
      </c>
      <c r="F2096" s="92" t="n">
        <v>62901000</v>
      </c>
      <c r="G2096" s="92" t="n">
        <v>1101</v>
      </c>
      <c r="H2096" s="93" t="n">
        <v>3597000</v>
      </c>
      <c r="I2096" s="92" t="inlineStr">
        <is>
          <t>10월 자문 수수료 - W컨설팅</t>
        </is>
      </c>
      <c r="J2096" s="92" t="inlineStr">
        <is>
          <t>V10006</t>
        </is>
      </c>
      <c r="K2096" s="92" t="inlineStr">
        <is>
          <t>W컨설팅</t>
        </is>
      </c>
      <c r="M2096" s="9">
        <f>IF($A2096="","",VALUE($A2096&amp;"")*12+VALUE($B2096&amp;""))</f>
        <v/>
      </c>
      <c r="N2096" s="64">
        <f>IF($A2096="","",IFERROR(INDEX(부서매핑!$C$5:$C$504,MATCH($G2096&amp;"",부서매핑!$A$5:$A$504,0)),"미매핑"))</f>
        <v/>
      </c>
      <c r="O2096" s="9">
        <f>IF($A2096="","",N2096&amp;"|"&amp;$F2096)</f>
        <v/>
      </c>
      <c r="P2096" s="94">
        <f>IF($A2096="",0,$H2096*설정!$C$23)</f>
        <v/>
      </c>
      <c r="Q2096" s="64">
        <f>IF($A2096="","",IF(O2096&lt;&gt;원인분석!$C$9,"",IF(AND(M2096&gt;=원인분석!$C$10,M2096&lt;=원인분석!$C$11),"당기",IF(AND(M2096&gt;=원인분석!$C$12,M2096&lt;=원인분석!$C$13),"비교",""))))</f>
        <v/>
      </c>
      <c r="R2096" s="9">
        <f>IF(Q2096="","",$K2096&amp;"")</f>
        <v/>
      </c>
      <c r="S2096" s="9">
        <f>IF(Q2096="","",IF(MATCH(R2096,$R$5:$R$100000,0)=ROW()-4,ROW(),""))</f>
        <v/>
      </c>
      <c r="T2096" s="9">
        <f>IF(Q2096="당기",ABS(P2096)+ROW()/1000000000,"")</f>
        <v/>
      </c>
      <c r="U2096" s="9">
        <f>IF(Q2096="비교",ABS(P2096)+ROW()/1000000000,"")</f>
        <v/>
      </c>
      <c r="V2096" s="64">
        <f>IF($A2096="","",IF(COUNTIF(변동분석!$E$7:$E$506,O2096)&gt;0,"Y","N"))</f>
        <v/>
      </c>
      <c r="W2096" s="64">
        <f>IF($A2096="","",IFERROR(INDEX(계정매핑!$D$5:$D$504,MATCH($F2096&amp;"",계정매핑!$A$5:$A$504,0)),"미매핑"))</f>
        <v/>
      </c>
      <c r="X2096" s="9">
        <f>IF($A2096="","",$F2096&amp;"")</f>
        <v/>
      </c>
      <c r="Y2096" s="94">
        <f>IF($A2096="",0,IF(AE2096="직접",IF(AF2096="비귀속",$P2096,0),$P2096*(1-AG2096)*IFERROR(INDEX(계정대체기준!$F$20:$F$49,MATCH($N2096,계정대체기준!$A$20:$A$49,0)),1)))</f>
        <v/>
      </c>
      <c r="Z2096" s="94">
        <f>IF($A2096="",0,IF(AE2096="직접",IF(AF2096="신계약비",$P2096,0),$P2096*(1-AG2096)*IFERROR(INDEX(계정대체기준!$C$20:$C$49,MATCH($N2096,계정대체기준!$A$20:$A$49,0)),0)))</f>
        <v/>
      </c>
      <c r="AA2096" s="94">
        <f>IF($A2096="",0,IF(AE2096="직접",IF(OR(AF2096="유지비",AF2096="손해조사비"),$P2096,0),$P2096*(1-AG2096)*IFERROR(INDEX(계정대체기준!$D$20:$D$49,MATCH($N2096,계정대체기준!$A$20:$A$49,0)),0)))</f>
        <v/>
      </c>
      <c r="AB2096" s="94">
        <f>IF($A2096="",0,IF(AE2096="직접",IF(AF2096="수금비",$P2096,0),$P2096*(1-AG2096)*IFERROR(INDEX(계정대체기준!$E$20:$E$49,MATCH($N2096,계정대체기준!$A$20:$A$49,0)),0)))</f>
        <v/>
      </c>
      <c r="AC2096" s="9">
        <f>IF(AND($A2096&lt;&gt;"",M2096=설정!$C$20,Z2096&gt;0),Z2096+ROW()/1000000000,"")</f>
        <v/>
      </c>
      <c r="AD2096" s="94">
        <f>IF($A2096="",0,$P2096*AG2096)</f>
        <v/>
      </c>
      <c r="AE2096" s="64">
        <f>IF($A2096="","",IFERROR(INDEX(계정매핑!$E$5:$E$504,MATCH($F2096&amp;"",계정매핑!$A$5:$A$504,0))&amp;"","공통비"))</f>
        <v/>
      </c>
      <c r="AF2096" s="64">
        <f>IF($A2096="","",IF(AE2096="직접",IFERROR(INDEX(계정매핑!$F$5:$F$504,MATCH($F2096&amp;"",계정매핑!$A$5:$A$504,0))&amp;"","비귀속"),""))</f>
        <v/>
      </c>
      <c r="AG2096" s="96">
        <f>IF($A2096="",0,IF(AND(AE2096&lt;&gt;"직접",IFERROR(INDEX(계정매핑!$G$5:$G$504,MATCH($F2096&amp;"",계정매핑!$A$5:$A$504,0))&amp;"","")="유지비",COUNTIF(계정대체기준!$A$6:$A$15,$N2096)&gt;0),IFERROR(INDEX(계정대체기준!$E$6:$E$15,MATCH(VALUE($A2096&amp;""),계정대체기준!$D$6:$D$15,0)),0),0))</f>
        <v/>
      </c>
      <c r="AH2096" s="64">
        <f>IF($A2096="","",IF(AD2096=0,"",IF(OR(COUNTIF(계정대체기준!$A$77:$A$86,$N2096)&gt;0,ISNUMBER(MATCH($X2096,계정대체기준!$D$77:$D$86,0)),ISNUMBER(MATCH($F2096,계정대체기준!$D$77:$D$86,0))),"Y","N")))</f>
        <v/>
      </c>
    </row>
    <row r="2097">
      <c r="A2097" s="92" t="n">
        <v>2025</v>
      </c>
      <c r="B2097" s="92" t="n">
        <v>10</v>
      </c>
      <c r="C2097" s="92" t="inlineStr">
        <is>
          <t>5100002093</t>
        </is>
      </c>
      <c r="D2097" s="95" t="n">
        <v>45937</v>
      </c>
      <c r="E2097" s="92" t="inlineStr">
        <is>
          <t>KR</t>
        </is>
      </c>
      <c r="F2097" s="92" t="n">
        <v>62902000</v>
      </c>
      <c r="G2097" s="92" t="n">
        <v>1801</v>
      </c>
      <c r="H2097" s="93" t="n">
        <v>1824000</v>
      </c>
      <c r="I2097" s="92" t="inlineStr">
        <is>
          <t>10월 콜 위탁 수수료(건별)</t>
        </is>
      </c>
      <c r="J2097" s="92" t="inlineStr">
        <is>
          <t>V10016</t>
        </is>
      </c>
      <c r="K2097" s="92" t="inlineStr">
        <is>
          <t>J콜센터</t>
        </is>
      </c>
      <c r="M2097" s="9">
        <f>IF($A2097="","",VALUE($A2097&amp;"")*12+VALUE($B2097&amp;""))</f>
        <v/>
      </c>
      <c r="N2097" s="64">
        <f>IF($A2097="","",IFERROR(INDEX(부서매핑!$C$5:$C$504,MATCH($G2097&amp;"",부서매핑!$A$5:$A$504,0)),"미매핑"))</f>
        <v/>
      </c>
      <c r="O2097" s="9">
        <f>IF($A2097="","",N2097&amp;"|"&amp;$F2097)</f>
        <v/>
      </c>
      <c r="P2097" s="94">
        <f>IF($A2097="",0,$H2097*설정!$C$23)</f>
        <v/>
      </c>
      <c r="Q2097" s="64">
        <f>IF($A2097="","",IF(O2097&lt;&gt;원인분석!$C$9,"",IF(AND(M2097&gt;=원인분석!$C$10,M2097&lt;=원인분석!$C$11),"당기",IF(AND(M2097&gt;=원인분석!$C$12,M2097&lt;=원인분석!$C$13),"비교",""))))</f>
        <v/>
      </c>
      <c r="R2097" s="9">
        <f>IF(Q2097="","",$K2097&amp;"")</f>
        <v/>
      </c>
      <c r="S2097" s="9">
        <f>IF(Q2097="","",IF(MATCH(R2097,$R$5:$R$100000,0)=ROW()-4,ROW(),""))</f>
        <v/>
      </c>
      <c r="T2097" s="9">
        <f>IF(Q2097="당기",ABS(P2097)+ROW()/1000000000,"")</f>
        <v/>
      </c>
      <c r="U2097" s="9">
        <f>IF(Q2097="비교",ABS(P2097)+ROW()/1000000000,"")</f>
        <v/>
      </c>
      <c r="V2097" s="64">
        <f>IF($A2097="","",IF(COUNTIF(변동분석!$E$7:$E$506,O2097)&gt;0,"Y","N"))</f>
        <v/>
      </c>
      <c r="W2097" s="64">
        <f>IF($A2097="","",IFERROR(INDEX(계정매핑!$D$5:$D$504,MATCH($F2097&amp;"",계정매핑!$A$5:$A$504,0)),"미매핑"))</f>
        <v/>
      </c>
      <c r="X2097" s="9">
        <f>IF($A2097="","",$F2097&amp;"")</f>
        <v/>
      </c>
      <c r="Y2097" s="94">
        <f>IF($A2097="",0,IF(AE2097="직접",IF(AF2097="비귀속",$P2097,0),$P2097*(1-AG2097)*IFERROR(INDEX(계정대체기준!$F$20:$F$49,MATCH($N2097,계정대체기준!$A$20:$A$49,0)),1)))</f>
        <v/>
      </c>
      <c r="Z2097" s="94">
        <f>IF($A2097="",0,IF(AE2097="직접",IF(AF2097="신계약비",$P2097,0),$P2097*(1-AG2097)*IFERROR(INDEX(계정대체기준!$C$20:$C$49,MATCH($N2097,계정대체기준!$A$20:$A$49,0)),0)))</f>
        <v/>
      </c>
      <c r="AA2097" s="94">
        <f>IF($A2097="",0,IF(AE2097="직접",IF(OR(AF2097="유지비",AF2097="손해조사비"),$P2097,0),$P2097*(1-AG2097)*IFERROR(INDEX(계정대체기준!$D$20:$D$49,MATCH($N2097,계정대체기준!$A$20:$A$49,0)),0)))</f>
        <v/>
      </c>
      <c r="AB2097" s="94">
        <f>IF($A2097="",0,IF(AE2097="직접",IF(AF2097="수금비",$P2097,0),$P2097*(1-AG2097)*IFERROR(INDEX(계정대체기준!$E$20:$E$49,MATCH($N2097,계정대체기준!$A$20:$A$49,0)),0)))</f>
        <v/>
      </c>
      <c r="AC2097" s="9">
        <f>IF(AND($A2097&lt;&gt;"",M2097=설정!$C$20,Z2097&gt;0),Z2097+ROW()/1000000000,"")</f>
        <v/>
      </c>
      <c r="AD2097" s="94">
        <f>IF($A2097="",0,$P2097*AG2097)</f>
        <v/>
      </c>
      <c r="AE2097" s="64">
        <f>IF($A2097="","",IFERROR(INDEX(계정매핑!$E$5:$E$504,MATCH($F2097&amp;"",계정매핑!$A$5:$A$504,0))&amp;"","공통비"))</f>
        <v/>
      </c>
      <c r="AF2097" s="64">
        <f>IF($A2097="","",IF(AE2097="직접",IFERROR(INDEX(계정매핑!$F$5:$F$504,MATCH($F2097&amp;"",계정매핑!$A$5:$A$504,0))&amp;"","비귀속"),""))</f>
        <v/>
      </c>
      <c r="AG2097" s="96">
        <f>IF($A2097="",0,IF(AND(AE2097&lt;&gt;"직접",IFERROR(INDEX(계정매핑!$G$5:$G$504,MATCH($F2097&amp;"",계정매핑!$A$5:$A$504,0))&amp;"","")="유지비",COUNTIF(계정대체기준!$A$6:$A$15,$N2097)&gt;0),IFERROR(INDEX(계정대체기준!$E$6:$E$15,MATCH(VALUE($A2097&amp;""),계정대체기준!$D$6:$D$15,0)),0),0))</f>
        <v/>
      </c>
      <c r="AH2097" s="64">
        <f>IF($A2097="","",IF(AD2097=0,"",IF(OR(COUNTIF(계정대체기준!$A$77:$A$86,$N2097)&gt;0,ISNUMBER(MATCH($X2097,계정대체기준!$D$77:$D$86,0)),ISNUMBER(MATCH($F2097,계정대체기준!$D$77:$D$86,0))),"Y","N")))</f>
        <v/>
      </c>
    </row>
    <row r="2098">
      <c r="A2098" s="92" t="n">
        <v>2025</v>
      </c>
      <c r="B2098" s="92" t="n">
        <v>10</v>
      </c>
      <c r="C2098" s="92" t="inlineStr">
        <is>
          <t>5100002094</t>
        </is>
      </c>
      <c r="D2098" s="95" t="n">
        <v>45937</v>
      </c>
      <c r="E2098" s="92" t="inlineStr">
        <is>
          <t>KR</t>
        </is>
      </c>
      <c r="F2098" s="92" t="n">
        <v>63601000</v>
      </c>
      <c r="G2098" s="92" t="n">
        <v>1801</v>
      </c>
      <c r="H2098" s="93" t="n">
        <v>6719000</v>
      </c>
      <c r="I2098" s="92" t="inlineStr">
        <is>
          <t>10월 손해사정 수수료 - DD손해사정</t>
        </is>
      </c>
      <c r="J2098" s="92" t="inlineStr">
        <is>
          <t>V10032</t>
        </is>
      </c>
      <c r="K2098" s="92" t="inlineStr">
        <is>
          <t>DD손해사정</t>
        </is>
      </c>
      <c r="M2098" s="9">
        <f>IF($A2098="","",VALUE($A2098&amp;"")*12+VALUE($B2098&amp;""))</f>
        <v/>
      </c>
      <c r="N2098" s="64">
        <f>IF($A2098="","",IFERROR(INDEX(부서매핑!$C$5:$C$504,MATCH($G2098&amp;"",부서매핑!$A$5:$A$504,0)),"미매핑"))</f>
        <v/>
      </c>
      <c r="O2098" s="9">
        <f>IF($A2098="","",N2098&amp;"|"&amp;$F2098)</f>
        <v/>
      </c>
      <c r="P2098" s="94">
        <f>IF($A2098="",0,$H2098*설정!$C$23)</f>
        <v/>
      </c>
      <c r="Q2098" s="64">
        <f>IF($A2098="","",IF(O2098&lt;&gt;원인분석!$C$9,"",IF(AND(M2098&gt;=원인분석!$C$10,M2098&lt;=원인분석!$C$11),"당기",IF(AND(M2098&gt;=원인분석!$C$12,M2098&lt;=원인분석!$C$13),"비교",""))))</f>
        <v/>
      </c>
      <c r="R2098" s="9">
        <f>IF(Q2098="","",$K2098&amp;"")</f>
        <v/>
      </c>
      <c r="S2098" s="9">
        <f>IF(Q2098="","",IF(MATCH(R2098,$R$5:$R$100000,0)=ROW()-4,ROW(),""))</f>
        <v/>
      </c>
      <c r="T2098" s="9">
        <f>IF(Q2098="당기",ABS(P2098)+ROW()/1000000000,"")</f>
        <v/>
      </c>
      <c r="U2098" s="9">
        <f>IF(Q2098="비교",ABS(P2098)+ROW()/1000000000,"")</f>
        <v/>
      </c>
      <c r="V2098" s="64">
        <f>IF($A2098="","",IF(COUNTIF(변동분석!$E$7:$E$506,O2098)&gt;0,"Y","N"))</f>
        <v/>
      </c>
      <c r="W2098" s="64">
        <f>IF($A2098="","",IFERROR(INDEX(계정매핑!$D$5:$D$504,MATCH($F2098&amp;"",계정매핑!$A$5:$A$504,0)),"미매핑"))</f>
        <v/>
      </c>
      <c r="X2098" s="9">
        <f>IF($A2098="","",$F2098&amp;"")</f>
        <v/>
      </c>
      <c r="Y2098" s="94">
        <f>IF($A2098="",0,IF(AE2098="직접",IF(AF2098="비귀속",$P2098,0),$P2098*(1-AG2098)*IFERROR(INDEX(계정대체기준!$F$20:$F$49,MATCH($N2098,계정대체기준!$A$20:$A$49,0)),1)))</f>
        <v/>
      </c>
      <c r="Z2098" s="94">
        <f>IF($A2098="",0,IF(AE2098="직접",IF(AF2098="신계약비",$P2098,0),$P2098*(1-AG2098)*IFERROR(INDEX(계정대체기준!$C$20:$C$49,MATCH($N2098,계정대체기준!$A$20:$A$49,0)),0)))</f>
        <v/>
      </c>
      <c r="AA2098" s="94">
        <f>IF($A2098="",0,IF(AE2098="직접",IF(OR(AF2098="유지비",AF2098="손해조사비"),$P2098,0),$P2098*(1-AG2098)*IFERROR(INDEX(계정대체기준!$D$20:$D$49,MATCH($N2098,계정대체기준!$A$20:$A$49,0)),0)))</f>
        <v/>
      </c>
      <c r="AB2098" s="94">
        <f>IF($A2098="",0,IF(AE2098="직접",IF(AF2098="수금비",$P2098,0),$P2098*(1-AG2098)*IFERROR(INDEX(계정대체기준!$E$20:$E$49,MATCH($N2098,계정대체기준!$A$20:$A$49,0)),0)))</f>
        <v/>
      </c>
      <c r="AC2098" s="9">
        <f>IF(AND($A2098&lt;&gt;"",M2098=설정!$C$20,Z2098&gt;0),Z2098+ROW()/1000000000,"")</f>
        <v/>
      </c>
      <c r="AD2098" s="94">
        <f>IF($A2098="",0,$P2098*AG2098)</f>
        <v/>
      </c>
      <c r="AE2098" s="64">
        <f>IF($A2098="","",IFERROR(INDEX(계정매핑!$E$5:$E$504,MATCH($F2098&amp;"",계정매핑!$A$5:$A$504,0))&amp;"","공통비"))</f>
        <v/>
      </c>
      <c r="AF2098" s="64">
        <f>IF($A2098="","",IF(AE2098="직접",IFERROR(INDEX(계정매핑!$F$5:$F$504,MATCH($F2098&amp;"",계정매핑!$A$5:$A$504,0))&amp;"","비귀속"),""))</f>
        <v/>
      </c>
      <c r="AG2098" s="96">
        <f>IF($A2098="",0,IF(AND(AE2098&lt;&gt;"직접",IFERROR(INDEX(계정매핑!$G$5:$G$504,MATCH($F2098&amp;"",계정매핑!$A$5:$A$504,0))&amp;"","")="유지비",COUNTIF(계정대체기준!$A$6:$A$15,$N2098)&gt;0),IFERROR(INDEX(계정대체기준!$E$6:$E$15,MATCH(VALUE($A2098&amp;""),계정대체기준!$D$6:$D$15,0)),0),0))</f>
        <v/>
      </c>
      <c r="AH2098" s="64">
        <f>IF($A2098="","",IF(AD2098=0,"",IF(OR(COUNTIF(계정대체기준!$A$77:$A$86,$N2098)&gt;0,ISNUMBER(MATCH($X2098,계정대체기준!$D$77:$D$86,0)),ISNUMBER(MATCH($F2098,계정대체기준!$D$77:$D$86,0))),"Y","N")))</f>
        <v/>
      </c>
    </row>
    <row r="2099">
      <c r="A2099" s="92" t="n">
        <v>2025</v>
      </c>
      <c r="B2099" s="92" t="n">
        <v>10</v>
      </c>
      <c r="C2099" s="92" t="inlineStr">
        <is>
          <t>5100002095</t>
        </is>
      </c>
      <c r="D2099" s="95" t="n">
        <v>45938</v>
      </c>
      <c r="E2099" s="92" t="inlineStr">
        <is>
          <t>KR</t>
        </is>
      </c>
      <c r="F2099" s="92" t="n">
        <v>62102000</v>
      </c>
      <c r="G2099" s="92" t="n">
        <v>1801</v>
      </c>
      <c r="H2099" s="93" t="n">
        <v>69000</v>
      </c>
      <c r="I2099" s="92" t="inlineStr">
        <is>
          <t>10월 해외출장 - M항공</t>
        </is>
      </c>
      <c r="J2099" s="92" t="inlineStr">
        <is>
          <t>V10001</t>
        </is>
      </c>
      <c r="K2099" s="92" t="inlineStr">
        <is>
          <t>M항공</t>
        </is>
      </c>
      <c r="M2099" s="9">
        <f>IF($A2099="","",VALUE($A2099&amp;"")*12+VALUE($B2099&amp;""))</f>
        <v/>
      </c>
      <c r="N2099" s="64">
        <f>IF($A2099="","",IFERROR(INDEX(부서매핑!$C$5:$C$504,MATCH($G2099&amp;"",부서매핑!$A$5:$A$504,0)),"미매핑"))</f>
        <v/>
      </c>
      <c r="O2099" s="9">
        <f>IF($A2099="","",N2099&amp;"|"&amp;$F2099)</f>
        <v/>
      </c>
      <c r="P2099" s="94">
        <f>IF($A2099="",0,$H2099*설정!$C$23)</f>
        <v/>
      </c>
      <c r="Q2099" s="64">
        <f>IF($A2099="","",IF(O2099&lt;&gt;원인분석!$C$9,"",IF(AND(M2099&gt;=원인분석!$C$10,M2099&lt;=원인분석!$C$11),"당기",IF(AND(M2099&gt;=원인분석!$C$12,M2099&lt;=원인분석!$C$13),"비교",""))))</f>
        <v/>
      </c>
      <c r="R2099" s="9">
        <f>IF(Q2099="","",$K2099&amp;"")</f>
        <v/>
      </c>
      <c r="S2099" s="9">
        <f>IF(Q2099="","",IF(MATCH(R2099,$R$5:$R$100000,0)=ROW()-4,ROW(),""))</f>
        <v/>
      </c>
      <c r="T2099" s="9">
        <f>IF(Q2099="당기",ABS(P2099)+ROW()/1000000000,"")</f>
        <v/>
      </c>
      <c r="U2099" s="9">
        <f>IF(Q2099="비교",ABS(P2099)+ROW()/1000000000,"")</f>
        <v/>
      </c>
      <c r="V2099" s="64">
        <f>IF($A2099="","",IF(COUNTIF(변동분석!$E$7:$E$506,O2099)&gt;0,"Y","N"))</f>
        <v/>
      </c>
      <c r="W2099" s="64">
        <f>IF($A2099="","",IFERROR(INDEX(계정매핑!$D$5:$D$504,MATCH($F2099&amp;"",계정매핑!$A$5:$A$504,0)),"미매핑"))</f>
        <v/>
      </c>
      <c r="X2099" s="9">
        <f>IF($A2099="","",$F2099&amp;"")</f>
        <v/>
      </c>
      <c r="Y2099" s="94">
        <f>IF($A2099="",0,IF(AE2099="직접",IF(AF2099="비귀속",$P2099,0),$P2099*(1-AG2099)*IFERROR(INDEX(계정대체기준!$F$20:$F$49,MATCH($N2099,계정대체기준!$A$20:$A$49,0)),1)))</f>
        <v/>
      </c>
      <c r="Z2099" s="94">
        <f>IF($A2099="",0,IF(AE2099="직접",IF(AF2099="신계약비",$P2099,0),$P2099*(1-AG2099)*IFERROR(INDEX(계정대체기준!$C$20:$C$49,MATCH($N2099,계정대체기준!$A$20:$A$49,0)),0)))</f>
        <v/>
      </c>
      <c r="AA2099" s="94">
        <f>IF($A2099="",0,IF(AE2099="직접",IF(OR(AF2099="유지비",AF2099="손해조사비"),$P2099,0),$P2099*(1-AG2099)*IFERROR(INDEX(계정대체기준!$D$20:$D$49,MATCH($N2099,계정대체기준!$A$20:$A$49,0)),0)))</f>
        <v/>
      </c>
      <c r="AB2099" s="94">
        <f>IF($A2099="",0,IF(AE2099="직접",IF(AF2099="수금비",$P2099,0),$P2099*(1-AG2099)*IFERROR(INDEX(계정대체기준!$E$20:$E$49,MATCH($N2099,계정대체기준!$A$20:$A$49,0)),0)))</f>
        <v/>
      </c>
      <c r="AC2099" s="9">
        <f>IF(AND($A2099&lt;&gt;"",M2099=설정!$C$20,Z2099&gt;0),Z2099+ROW()/1000000000,"")</f>
        <v/>
      </c>
      <c r="AD2099" s="94">
        <f>IF($A2099="",0,$P2099*AG2099)</f>
        <v/>
      </c>
      <c r="AE2099" s="64">
        <f>IF($A2099="","",IFERROR(INDEX(계정매핑!$E$5:$E$504,MATCH($F2099&amp;"",계정매핑!$A$5:$A$504,0))&amp;"","공통비"))</f>
        <v/>
      </c>
      <c r="AF2099" s="64">
        <f>IF($A2099="","",IF(AE2099="직접",IFERROR(INDEX(계정매핑!$F$5:$F$504,MATCH($F2099&amp;"",계정매핑!$A$5:$A$504,0))&amp;"","비귀속"),""))</f>
        <v/>
      </c>
      <c r="AG2099" s="96">
        <f>IF($A2099="",0,IF(AND(AE2099&lt;&gt;"직접",IFERROR(INDEX(계정매핑!$G$5:$G$504,MATCH($F2099&amp;"",계정매핑!$A$5:$A$504,0))&amp;"","")="유지비",COUNTIF(계정대체기준!$A$6:$A$15,$N2099)&gt;0),IFERROR(INDEX(계정대체기준!$E$6:$E$15,MATCH(VALUE($A2099&amp;""),계정대체기준!$D$6:$D$15,0)),0),0))</f>
        <v/>
      </c>
      <c r="AH2099" s="64">
        <f>IF($A2099="","",IF(AD2099=0,"",IF(OR(COUNTIF(계정대체기준!$A$77:$A$86,$N2099)&gt;0,ISNUMBER(MATCH($X2099,계정대체기준!$D$77:$D$86,0)),ISNUMBER(MATCH($F2099,계정대체기준!$D$77:$D$86,0))),"Y","N")))</f>
        <v/>
      </c>
    </row>
    <row r="2100">
      <c r="A2100" s="92" t="n">
        <v>2025</v>
      </c>
      <c r="B2100" s="92" t="n">
        <v>10</v>
      </c>
      <c r="C2100" s="92" t="inlineStr">
        <is>
          <t>5100002096</t>
        </is>
      </c>
      <c r="D2100" s="95" t="n">
        <v>45938</v>
      </c>
      <c r="E2100" s="92" t="inlineStr">
        <is>
          <t>KR</t>
        </is>
      </c>
      <c r="F2100" s="92" t="n">
        <v>62102000</v>
      </c>
      <c r="G2100" s="92" t="n">
        <v>1951</v>
      </c>
      <c r="H2100" s="93" t="n">
        <v>104000</v>
      </c>
      <c r="I2100" s="92" t="inlineStr">
        <is>
          <t>10월 해외출장 - M항공</t>
        </is>
      </c>
      <c r="J2100" s="92" t="inlineStr">
        <is>
          <t>V10001</t>
        </is>
      </c>
      <c r="K2100" s="92" t="inlineStr">
        <is>
          <t>M항공</t>
        </is>
      </c>
      <c r="M2100" s="9">
        <f>IF($A2100="","",VALUE($A2100&amp;"")*12+VALUE($B2100&amp;""))</f>
        <v/>
      </c>
      <c r="N2100" s="64">
        <f>IF($A2100="","",IFERROR(INDEX(부서매핑!$C$5:$C$504,MATCH($G2100&amp;"",부서매핑!$A$5:$A$504,0)),"미매핑"))</f>
        <v/>
      </c>
      <c r="O2100" s="9">
        <f>IF($A2100="","",N2100&amp;"|"&amp;$F2100)</f>
        <v/>
      </c>
      <c r="P2100" s="94">
        <f>IF($A2100="",0,$H2100*설정!$C$23)</f>
        <v/>
      </c>
      <c r="Q2100" s="64">
        <f>IF($A2100="","",IF(O2100&lt;&gt;원인분석!$C$9,"",IF(AND(M2100&gt;=원인분석!$C$10,M2100&lt;=원인분석!$C$11),"당기",IF(AND(M2100&gt;=원인분석!$C$12,M2100&lt;=원인분석!$C$13),"비교",""))))</f>
        <v/>
      </c>
      <c r="R2100" s="9">
        <f>IF(Q2100="","",$K2100&amp;"")</f>
        <v/>
      </c>
      <c r="S2100" s="9">
        <f>IF(Q2100="","",IF(MATCH(R2100,$R$5:$R$100000,0)=ROW()-4,ROW(),""))</f>
        <v/>
      </c>
      <c r="T2100" s="9">
        <f>IF(Q2100="당기",ABS(P2100)+ROW()/1000000000,"")</f>
        <v/>
      </c>
      <c r="U2100" s="9">
        <f>IF(Q2100="비교",ABS(P2100)+ROW()/1000000000,"")</f>
        <v/>
      </c>
      <c r="V2100" s="64">
        <f>IF($A2100="","",IF(COUNTIF(변동분석!$E$7:$E$506,O2100)&gt;0,"Y","N"))</f>
        <v/>
      </c>
      <c r="W2100" s="64">
        <f>IF($A2100="","",IFERROR(INDEX(계정매핑!$D$5:$D$504,MATCH($F2100&amp;"",계정매핑!$A$5:$A$504,0)),"미매핑"))</f>
        <v/>
      </c>
      <c r="X2100" s="9">
        <f>IF($A2100="","",$F2100&amp;"")</f>
        <v/>
      </c>
      <c r="Y2100" s="94">
        <f>IF($A2100="",0,IF(AE2100="직접",IF(AF2100="비귀속",$P2100,0),$P2100*(1-AG2100)*IFERROR(INDEX(계정대체기준!$F$20:$F$49,MATCH($N2100,계정대체기준!$A$20:$A$49,0)),1)))</f>
        <v/>
      </c>
      <c r="Z2100" s="94">
        <f>IF($A2100="",0,IF(AE2100="직접",IF(AF2100="신계약비",$P2100,0),$P2100*(1-AG2100)*IFERROR(INDEX(계정대체기준!$C$20:$C$49,MATCH($N2100,계정대체기준!$A$20:$A$49,0)),0)))</f>
        <v/>
      </c>
      <c r="AA2100" s="94">
        <f>IF($A2100="",0,IF(AE2100="직접",IF(OR(AF2100="유지비",AF2100="손해조사비"),$P2100,0),$P2100*(1-AG2100)*IFERROR(INDEX(계정대체기준!$D$20:$D$49,MATCH($N2100,계정대체기준!$A$20:$A$49,0)),0)))</f>
        <v/>
      </c>
      <c r="AB2100" s="94">
        <f>IF($A2100="",0,IF(AE2100="직접",IF(AF2100="수금비",$P2100,0),$P2100*(1-AG2100)*IFERROR(INDEX(계정대체기준!$E$20:$E$49,MATCH($N2100,계정대체기준!$A$20:$A$49,0)),0)))</f>
        <v/>
      </c>
      <c r="AC2100" s="9">
        <f>IF(AND($A2100&lt;&gt;"",M2100=설정!$C$20,Z2100&gt;0),Z2100+ROW()/1000000000,"")</f>
        <v/>
      </c>
      <c r="AD2100" s="94">
        <f>IF($A2100="",0,$P2100*AG2100)</f>
        <v/>
      </c>
      <c r="AE2100" s="64">
        <f>IF($A2100="","",IFERROR(INDEX(계정매핑!$E$5:$E$504,MATCH($F2100&amp;"",계정매핑!$A$5:$A$504,0))&amp;"","공통비"))</f>
        <v/>
      </c>
      <c r="AF2100" s="64">
        <f>IF($A2100="","",IF(AE2100="직접",IFERROR(INDEX(계정매핑!$F$5:$F$504,MATCH($F2100&amp;"",계정매핑!$A$5:$A$504,0))&amp;"","비귀속"),""))</f>
        <v/>
      </c>
      <c r="AG2100" s="96">
        <f>IF($A2100="",0,IF(AND(AE2100&lt;&gt;"직접",IFERROR(INDEX(계정매핑!$G$5:$G$504,MATCH($F2100&amp;"",계정매핑!$A$5:$A$504,0))&amp;"","")="유지비",COUNTIF(계정대체기준!$A$6:$A$15,$N2100)&gt;0),IFERROR(INDEX(계정대체기준!$E$6:$E$15,MATCH(VALUE($A2100&amp;""),계정대체기준!$D$6:$D$15,0)),0),0))</f>
        <v/>
      </c>
      <c r="AH2100" s="64">
        <f>IF($A2100="","",IF(AD2100=0,"",IF(OR(COUNTIF(계정대체기준!$A$77:$A$86,$N2100)&gt;0,ISNUMBER(MATCH($X2100,계정대체기준!$D$77:$D$86,0)),ISNUMBER(MATCH($F2100,계정대체기준!$D$77:$D$86,0))),"Y","N")))</f>
        <v/>
      </c>
    </row>
    <row r="2101">
      <c r="A2101" s="92" t="n">
        <v>2025</v>
      </c>
      <c r="B2101" s="92" t="n">
        <v>10</v>
      </c>
      <c r="C2101" s="92" t="inlineStr">
        <is>
          <t>5100002097</t>
        </is>
      </c>
      <c r="D2101" s="95" t="n">
        <v>45938</v>
      </c>
      <c r="E2101" s="92" t="inlineStr">
        <is>
          <t>KR</t>
        </is>
      </c>
      <c r="F2101" s="92" t="n">
        <v>62201000</v>
      </c>
      <c r="G2101" s="92" t="n">
        <v>1951</v>
      </c>
      <c r="H2101" s="93" t="n">
        <v>397000</v>
      </c>
      <c r="I2101" s="92" t="inlineStr">
        <is>
          <t>10월 통신요금 - O텔레콤</t>
        </is>
      </c>
      <c r="J2101" s="92" t="inlineStr">
        <is>
          <t>V10002</t>
        </is>
      </c>
      <c r="K2101" s="92" t="inlineStr">
        <is>
          <t>O텔레콤</t>
        </is>
      </c>
      <c r="M2101" s="9">
        <f>IF($A2101="","",VALUE($A2101&amp;"")*12+VALUE($B2101&amp;""))</f>
        <v/>
      </c>
      <c r="N2101" s="64">
        <f>IF($A2101="","",IFERROR(INDEX(부서매핑!$C$5:$C$504,MATCH($G2101&amp;"",부서매핑!$A$5:$A$504,0)),"미매핑"))</f>
        <v/>
      </c>
      <c r="O2101" s="9">
        <f>IF($A2101="","",N2101&amp;"|"&amp;$F2101)</f>
        <v/>
      </c>
      <c r="P2101" s="94">
        <f>IF($A2101="",0,$H2101*설정!$C$23)</f>
        <v/>
      </c>
      <c r="Q2101" s="64">
        <f>IF($A2101="","",IF(O2101&lt;&gt;원인분석!$C$9,"",IF(AND(M2101&gt;=원인분석!$C$10,M2101&lt;=원인분석!$C$11),"당기",IF(AND(M2101&gt;=원인분석!$C$12,M2101&lt;=원인분석!$C$13),"비교",""))))</f>
        <v/>
      </c>
      <c r="R2101" s="9">
        <f>IF(Q2101="","",$K2101&amp;"")</f>
        <v/>
      </c>
      <c r="S2101" s="9">
        <f>IF(Q2101="","",IF(MATCH(R2101,$R$5:$R$100000,0)=ROW()-4,ROW(),""))</f>
        <v/>
      </c>
      <c r="T2101" s="9">
        <f>IF(Q2101="당기",ABS(P2101)+ROW()/1000000000,"")</f>
        <v/>
      </c>
      <c r="U2101" s="9">
        <f>IF(Q2101="비교",ABS(P2101)+ROW()/1000000000,"")</f>
        <v/>
      </c>
      <c r="V2101" s="64">
        <f>IF($A2101="","",IF(COUNTIF(변동분석!$E$7:$E$506,O2101)&gt;0,"Y","N"))</f>
        <v/>
      </c>
      <c r="W2101" s="64">
        <f>IF($A2101="","",IFERROR(INDEX(계정매핑!$D$5:$D$504,MATCH($F2101&amp;"",계정매핑!$A$5:$A$504,0)),"미매핑"))</f>
        <v/>
      </c>
      <c r="X2101" s="9">
        <f>IF($A2101="","",$F2101&amp;"")</f>
        <v/>
      </c>
      <c r="Y2101" s="94">
        <f>IF($A2101="",0,IF(AE2101="직접",IF(AF2101="비귀속",$P2101,0),$P2101*(1-AG2101)*IFERROR(INDEX(계정대체기준!$F$20:$F$49,MATCH($N2101,계정대체기준!$A$20:$A$49,0)),1)))</f>
        <v/>
      </c>
      <c r="Z2101" s="94">
        <f>IF($A2101="",0,IF(AE2101="직접",IF(AF2101="신계약비",$P2101,0),$P2101*(1-AG2101)*IFERROR(INDEX(계정대체기준!$C$20:$C$49,MATCH($N2101,계정대체기준!$A$20:$A$49,0)),0)))</f>
        <v/>
      </c>
      <c r="AA2101" s="94">
        <f>IF($A2101="",0,IF(AE2101="직접",IF(OR(AF2101="유지비",AF2101="손해조사비"),$P2101,0),$P2101*(1-AG2101)*IFERROR(INDEX(계정대체기준!$D$20:$D$49,MATCH($N2101,계정대체기준!$A$20:$A$49,0)),0)))</f>
        <v/>
      </c>
      <c r="AB2101" s="94">
        <f>IF($A2101="",0,IF(AE2101="직접",IF(AF2101="수금비",$P2101,0),$P2101*(1-AG2101)*IFERROR(INDEX(계정대체기준!$E$20:$E$49,MATCH($N2101,계정대체기준!$A$20:$A$49,0)),0)))</f>
        <v/>
      </c>
      <c r="AC2101" s="9">
        <f>IF(AND($A2101&lt;&gt;"",M2101=설정!$C$20,Z2101&gt;0),Z2101+ROW()/1000000000,"")</f>
        <v/>
      </c>
      <c r="AD2101" s="94">
        <f>IF($A2101="",0,$P2101*AG2101)</f>
        <v/>
      </c>
      <c r="AE2101" s="64">
        <f>IF($A2101="","",IFERROR(INDEX(계정매핑!$E$5:$E$504,MATCH($F2101&amp;"",계정매핑!$A$5:$A$504,0))&amp;"","공통비"))</f>
        <v/>
      </c>
      <c r="AF2101" s="64">
        <f>IF($A2101="","",IF(AE2101="직접",IFERROR(INDEX(계정매핑!$F$5:$F$504,MATCH($F2101&amp;"",계정매핑!$A$5:$A$504,0))&amp;"","비귀속"),""))</f>
        <v/>
      </c>
      <c r="AG2101" s="96">
        <f>IF($A2101="",0,IF(AND(AE2101&lt;&gt;"직접",IFERROR(INDEX(계정매핑!$G$5:$G$504,MATCH($F2101&amp;"",계정매핑!$A$5:$A$504,0))&amp;"","")="유지비",COUNTIF(계정대체기준!$A$6:$A$15,$N2101)&gt;0),IFERROR(INDEX(계정대체기준!$E$6:$E$15,MATCH(VALUE($A2101&amp;""),계정대체기준!$D$6:$D$15,0)),0),0))</f>
        <v/>
      </c>
      <c r="AH2101" s="64">
        <f>IF($A2101="","",IF(AD2101=0,"",IF(OR(COUNTIF(계정대체기준!$A$77:$A$86,$N2101)&gt;0,ISNUMBER(MATCH($X2101,계정대체기준!$D$77:$D$86,0)),ISNUMBER(MATCH($F2101,계정대체기준!$D$77:$D$86,0))),"Y","N")))</f>
        <v/>
      </c>
    </row>
    <row r="2102">
      <c r="A2102" s="92" t="n">
        <v>2025</v>
      </c>
      <c r="B2102" s="92" t="n">
        <v>10</v>
      </c>
      <c r="C2102" s="92" t="inlineStr">
        <is>
          <t>5100002098</t>
        </is>
      </c>
      <c r="D2102" s="95" t="n">
        <v>45938</v>
      </c>
      <c r="E2102" s="92" t="inlineStr">
        <is>
          <t>KR</t>
        </is>
      </c>
      <c r="F2102" s="92" t="n">
        <v>62902000</v>
      </c>
      <c r="G2102" s="92" t="n">
        <v>1801</v>
      </c>
      <c r="H2102" s="93" t="n">
        <v>1760000</v>
      </c>
      <c r="I2102" s="92" t="inlineStr">
        <is>
          <t>10월 콜 위탁 수수료(건별)</t>
        </is>
      </c>
      <c r="J2102" s="92" t="inlineStr">
        <is>
          <t>V10016</t>
        </is>
      </c>
      <c r="K2102" s="92" t="inlineStr">
        <is>
          <t>J콜센터</t>
        </is>
      </c>
      <c r="M2102" s="9">
        <f>IF($A2102="","",VALUE($A2102&amp;"")*12+VALUE($B2102&amp;""))</f>
        <v/>
      </c>
      <c r="N2102" s="64">
        <f>IF($A2102="","",IFERROR(INDEX(부서매핑!$C$5:$C$504,MATCH($G2102&amp;"",부서매핑!$A$5:$A$504,0)),"미매핑"))</f>
        <v/>
      </c>
      <c r="O2102" s="9">
        <f>IF($A2102="","",N2102&amp;"|"&amp;$F2102)</f>
        <v/>
      </c>
      <c r="P2102" s="94">
        <f>IF($A2102="",0,$H2102*설정!$C$23)</f>
        <v/>
      </c>
      <c r="Q2102" s="64">
        <f>IF($A2102="","",IF(O2102&lt;&gt;원인분석!$C$9,"",IF(AND(M2102&gt;=원인분석!$C$10,M2102&lt;=원인분석!$C$11),"당기",IF(AND(M2102&gt;=원인분석!$C$12,M2102&lt;=원인분석!$C$13),"비교",""))))</f>
        <v/>
      </c>
      <c r="R2102" s="9">
        <f>IF(Q2102="","",$K2102&amp;"")</f>
        <v/>
      </c>
      <c r="S2102" s="9">
        <f>IF(Q2102="","",IF(MATCH(R2102,$R$5:$R$100000,0)=ROW()-4,ROW(),""))</f>
        <v/>
      </c>
      <c r="T2102" s="9">
        <f>IF(Q2102="당기",ABS(P2102)+ROW()/1000000000,"")</f>
        <v/>
      </c>
      <c r="U2102" s="9">
        <f>IF(Q2102="비교",ABS(P2102)+ROW()/1000000000,"")</f>
        <v/>
      </c>
      <c r="V2102" s="64">
        <f>IF($A2102="","",IF(COUNTIF(변동분석!$E$7:$E$506,O2102)&gt;0,"Y","N"))</f>
        <v/>
      </c>
      <c r="W2102" s="64">
        <f>IF($A2102="","",IFERROR(INDEX(계정매핑!$D$5:$D$504,MATCH($F2102&amp;"",계정매핑!$A$5:$A$504,0)),"미매핑"))</f>
        <v/>
      </c>
      <c r="X2102" s="9">
        <f>IF($A2102="","",$F2102&amp;"")</f>
        <v/>
      </c>
      <c r="Y2102" s="94">
        <f>IF($A2102="",0,IF(AE2102="직접",IF(AF2102="비귀속",$P2102,0),$P2102*(1-AG2102)*IFERROR(INDEX(계정대체기준!$F$20:$F$49,MATCH($N2102,계정대체기준!$A$20:$A$49,0)),1)))</f>
        <v/>
      </c>
      <c r="Z2102" s="94">
        <f>IF($A2102="",0,IF(AE2102="직접",IF(AF2102="신계약비",$P2102,0),$P2102*(1-AG2102)*IFERROR(INDEX(계정대체기준!$C$20:$C$49,MATCH($N2102,계정대체기준!$A$20:$A$49,0)),0)))</f>
        <v/>
      </c>
      <c r="AA2102" s="94">
        <f>IF($A2102="",0,IF(AE2102="직접",IF(OR(AF2102="유지비",AF2102="손해조사비"),$P2102,0),$P2102*(1-AG2102)*IFERROR(INDEX(계정대체기준!$D$20:$D$49,MATCH($N2102,계정대체기준!$A$20:$A$49,0)),0)))</f>
        <v/>
      </c>
      <c r="AB2102" s="94">
        <f>IF($A2102="",0,IF(AE2102="직접",IF(AF2102="수금비",$P2102,0),$P2102*(1-AG2102)*IFERROR(INDEX(계정대체기준!$E$20:$E$49,MATCH($N2102,계정대체기준!$A$20:$A$49,0)),0)))</f>
        <v/>
      </c>
      <c r="AC2102" s="9">
        <f>IF(AND($A2102&lt;&gt;"",M2102=설정!$C$20,Z2102&gt;0),Z2102+ROW()/1000000000,"")</f>
        <v/>
      </c>
      <c r="AD2102" s="94">
        <f>IF($A2102="",0,$P2102*AG2102)</f>
        <v/>
      </c>
      <c r="AE2102" s="64">
        <f>IF($A2102="","",IFERROR(INDEX(계정매핑!$E$5:$E$504,MATCH($F2102&amp;"",계정매핑!$A$5:$A$504,0))&amp;"","공통비"))</f>
        <v/>
      </c>
      <c r="AF2102" s="64">
        <f>IF($A2102="","",IF(AE2102="직접",IFERROR(INDEX(계정매핑!$F$5:$F$504,MATCH($F2102&amp;"",계정매핑!$A$5:$A$504,0))&amp;"","비귀속"),""))</f>
        <v/>
      </c>
      <c r="AG2102" s="96">
        <f>IF($A2102="",0,IF(AND(AE2102&lt;&gt;"직접",IFERROR(INDEX(계정매핑!$G$5:$G$504,MATCH($F2102&amp;"",계정매핑!$A$5:$A$504,0))&amp;"","")="유지비",COUNTIF(계정대체기준!$A$6:$A$15,$N2102)&gt;0),IFERROR(INDEX(계정대체기준!$E$6:$E$15,MATCH(VALUE($A2102&amp;""),계정대체기준!$D$6:$D$15,0)),0),0))</f>
        <v/>
      </c>
      <c r="AH2102" s="64">
        <f>IF($A2102="","",IF(AD2102=0,"",IF(OR(COUNTIF(계정대체기준!$A$77:$A$86,$N2102)&gt;0,ISNUMBER(MATCH($X2102,계정대체기준!$D$77:$D$86,0)),ISNUMBER(MATCH($F2102,계정대체기준!$D$77:$D$86,0))),"Y","N")))</f>
        <v/>
      </c>
    </row>
    <row r="2103">
      <c r="A2103" s="92" t="n">
        <v>2025</v>
      </c>
      <c r="B2103" s="92" t="n">
        <v>10</v>
      </c>
      <c r="C2103" s="92" t="inlineStr">
        <is>
          <t>5100002099</t>
        </is>
      </c>
      <c r="D2103" s="95" t="n">
        <v>45938</v>
      </c>
      <c r="E2103" s="92" t="inlineStr">
        <is>
          <t>KR</t>
        </is>
      </c>
      <c r="F2103" s="92" t="n">
        <v>63601000</v>
      </c>
      <c r="G2103" s="92" t="n">
        <v>1801</v>
      </c>
      <c r="H2103" s="93" t="n">
        <v>8991000</v>
      </c>
      <c r="I2103" s="92" t="inlineStr">
        <is>
          <t>10월 손해사정 수수료 - EE손해사정</t>
        </is>
      </c>
      <c r="J2103" s="92" t="inlineStr">
        <is>
          <t>V10008</t>
        </is>
      </c>
      <c r="K2103" s="92" t="inlineStr">
        <is>
          <t>EE손해사정</t>
        </is>
      </c>
      <c r="M2103" s="9">
        <f>IF($A2103="","",VALUE($A2103&amp;"")*12+VALUE($B2103&amp;""))</f>
        <v/>
      </c>
      <c r="N2103" s="64">
        <f>IF($A2103="","",IFERROR(INDEX(부서매핑!$C$5:$C$504,MATCH($G2103&amp;"",부서매핑!$A$5:$A$504,0)),"미매핑"))</f>
        <v/>
      </c>
      <c r="O2103" s="9">
        <f>IF($A2103="","",N2103&amp;"|"&amp;$F2103)</f>
        <v/>
      </c>
      <c r="P2103" s="94">
        <f>IF($A2103="",0,$H2103*설정!$C$23)</f>
        <v/>
      </c>
      <c r="Q2103" s="64">
        <f>IF($A2103="","",IF(O2103&lt;&gt;원인분석!$C$9,"",IF(AND(M2103&gt;=원인분석!$C$10,M2103&lt;=원인분석!$C$11),"당기",IF(AND(M2103&gt;=원인분석!$C$12,M2103&lt;=원인분석!$C$13),"비교",""))))</f>
        <v/>
      </c>
      <c r="R2103" s="9">
        <f>IF(Q2103="","",$K2103&amp;"")</f>
        <v/>
      </c>
      <c r="S2103" s="9">
        <f>IF(Q2103="","",IF(MATCH(R2103,$R$5:$R$100000,0)=ROW()-4,ROW(),""))</f>
        <v/>
      </c>
      <c r="T2103" s="9">
        <f>IF(Q2103="당기",ABS(P2103)+ROW()/1000000000,"")</f>
        <v/>
      </c>
      <c r="U2103" s="9">
        <f>IF(Q2103="비교",ABS(P2103)+ROW()/1000000000,"")</f>
        <v/>
      </c>
      <c r="V2103" s="64">
        <f>IF($A2103="","",IF(COUNTIF(변동분석!$E$7:$E$506,O2103)&gt;0,"Y","N"))</f>
        <v/>
      </c>
      <c r="W2103" s="64">
        <f>IF($A2103="","",IFERROR(INDEX(계정매핑!$D$5:$D$504,MATCH($F2103&amp;"",계정매핑!$A$5:$A$504,0)),"미매핑"))</f>
        <v/>
      </c>
      <c r="X2103" s="9">
        <f>IF($A2103="","",$F2103&amp;"")</f>
        <v/>
      </c>
      <c r="Y2103" s="94">
        <f>IF($A2103="",0,IF(AE2103="직접",IF(AF2103="비귀속",$P2103,0),$P2103*(1-AG2103)*IFERROR(INDEX(계정대체기준!$F$20:$F$49,MATCH($N2103,계정대체기준!$A$20:$A$49,0)),1)))</f>
        <v/>
      </c>
      <c r="Z2103" s="94">
        <f>IF($A2103="",0,IF(AE2103="직접",IF(AF2103="신계약비",$P2103,0),$P2103*(1-AG2103)*IFERROR(INDEX(계정대체기준!$C$20:$C$49,MATCH($N2103,계정대체기준!$A$20:$A$49,0)),0)))</f>
        <v/>
      </c>
      <c r="AA2103" s="94">
        <f>IF($A2103="",0,IF(AE2103="직접",IF(OR(AF2103="유지비",AF2103="손해조사비"),$P2103,0),$P2103*(1-AG2103)*IFERROR(INDEX(계정대체기준!$D$20:$D$49,MATCH($N2103,계정대체기준!$A$20:$A$49,0)),0)))</f>
        <v/>
      </c>
      <c r="AB2103" s="94">
        <f>IF($A2103="",0,IF(AE2103="직접",IF(AF2103="수금비",$P2103,0),$P2103*(1-AG2103)*IFERROR(INDEX(계정대체기준!$E$20:$E$49,MATCH($N2103,계정대체기준!$A$20:$A$49,0)),0)))</f>
        <v/>
      </c>
      <c r="AC2103" s="9">
        <f>IF(AND($A2103&lt;&gt;"",M2103=설정!$C$20,Z2103&gt;0),Z2103+ROW()/1000000000,"")</f>
        <v/>
      </c>
      <c r="AD2103" s="94">
        <f>IF($A2103="",0,$P2103*AG2103)</f>
        <v/>
      </c>
      <c r="AE2103" s="64">
        <f>IF($A2103="","",IFERROR(INDEX(계정매핑!$E$5:$E$504,MATCH($F2103&amp;"",계정매핑!$A$5:$A$504,0))&amp;"","공통비"))</f>
        <v/>
      </c>
      <c r="AF2103" s="64">
        <f>IF($A2103="","",IF(AE2103="직접",IFERROR(INDEX(계정매핑!$F$5:$F$504,MATCH($F2103&amp;"",계정매핑!$A$5:$A$504,0))&amp;"","비귀속"),""))</f>
        <v/>
      </c>
      <c r="AG2103" s="96">
        <f>IF($A2103="",0,IF(AND(AE2103&lt;&gt;"직접",IFERROR(INDEX(계정매핑!$G$5:$G$504,MATCH($F2103&amp;"",계정매핑!$A$5:$A$504,0))&amp;"","")="유지비",COUNTIF(계정대체기준!$A$6:$A$15,$N2103)&gt;0),IFERROR(INDEX(계정대체기준!$E$6:$E$15,MATCH(VALUE($A2103&amp;""),계정대체기준!$D$6:$D$15,0)),0),0))</f>
        <v/>
      </c>
      <c r="AH2103" s="64">
        <f>IF($A2103="","",IF(AD2103=0,"",IF(OR(COUNTIF(계정대체기준!$A$77:$A$86,$N2103)&gt;0,ISNUMBER(MATCH($X2103,계정대체기준!$D$77:$D$86,0)),ISNUMBER(MATCH($F2103,계정대체기준!$D$77:$D$86,0))),"Y","N")))</f>
        <v/>
      </c>
    </row>
    <row r="2104">
      <c r="A2104" s="92" t="n">
        <v>2025</v>
      </c>
      <c r="B2104" s="92" t="n">
        <v>10</v>
      </c>
      <c r="C2104" s="92" t="inlineStr">
        <is>
          <t>5100002100</t>
        </is>
      </c>
      <c r="D2104" s="95" t="n">
        <v>45939</v>
      </c>
      <c r="E2104" s="92" t="inlineStr">
        <is>
          <t>KR</t>
        </is>
      </c>
      <c r="F2104" s="92" t="n">
        <v>62102000</v>
      </c>
      <c r="G2104" s="92" t="n">
        <v>1101</v>
      </c>
      <c r="H2104" s="93" t="n">
        <v>92000</v>
      </c>
      <c r="I2104" s="92" t="inlineStr">
        <is>
          <t>10월 해외출장 - N호텔</t>
        </is>
      </c>
      <c r="J2104" s="92" t="inlineStr">
        <is>
          <t>V10009</t>
        </is>
      </c>
      <c r="K2104" s="92" t="inlineStr">
        <is>
          <t>N호텔</t>
        </is>
      </c>
      <c r="M2104" s="9">
        <f>IF($A2104="","",VALUE($A2104&amp;"")*12+VALUE($B2104&amp;""))</f>
        <v/>
      </c>
      <c r="N2104" s="64">
        <f>IF($A2104="","",IFERROR(INDEX(부서매핑!$C$5:$C$504,MATCH($G2104&amp;"",부서매핑!$A$5:$A$504,0)),"미매핑"))</f>
        <v/>
      </c>
      <c r="O2104" s="9">
        <f>IF($A2104="","",N2104&amp;"|"&amp;$F2104)</f>
        <v/>
      </c>
      <c r="P2104" s="94">
        <f>IF($A2104="",0,$H2104*설정!$C$23)</f>
        <v/>
      </c>
      <c r="Q2104" s="64">
        <f>IF($A2104="","",IF(O2104&lt;&gt;원인분석!$C$9,"",IF(AND(M2104&gt;=원인분석!$C$10,M2104&lt;=원인분석!$C$11),"당기",IF(AND(M2104&gt;=원인분석!$C$12,M2104&lt;=원인분석!$C$13),"비교",""))))</f>
        <v/>
      </c>
      <c r="R2104" s="9">
        <f>IF(Q2104="","",$K2104&amp;"")</f>
        <v/>
      </c>
      <c r="S2104" s="9">
        <f>IF(Q2104="","",IF(MATCH(R2104,$R$5:$R$100000,0)=ROW()-4,ROW(),""))</f>
        <v/>
      </c>
      <c r="T2104" s="9">
        <f>IF(Q2104="당기",ABS(P2104)+ROW()/1000000000,"")</f>
        <v/>
      </c>
      <c r="U2104" s="9">
        <f>IF(Q2104="비교",ABS(P2104)+ROW()/1000000000,"")</f>
        <v/>
      </c>
      <c r="V2104" s="64">
        <f>IF($A2104="","",IF(COUNTIF(변동분석!$E$7:$E$506,O2104)&gt;0,"Y","N"))</f>
        <v/>
      </c>
      <c r="W2104" s="64">
        <f>IF($A2104="","",IFERROR(INDEX(계정매핑!$D$5:$D$504,MATCH($F2104&amp;"",계정매핑!$A$5:$A$504,0)),"미매핑"))</f>
        <v/>
      </c>
      <c r="X2104" s="9">
        <f>IF($A2104="","",$F2104&amp;"")</f>
        <v/>
      </c>
      <c r="Y2104" s="94">
        <f>IF($A2104="",0,IF(AE2104="직접",IF(AF2104="비귀속",$P2104,0),$P2104*(1-AG2104)*IFERROR(INDEX(계정대체기준!$F$20:$F$49,MATCH($N2104,계정대체기준!$A$20:$A$49,0)),1)))</f>
        <v/>
      </c>
      <c r="Z2104" s="94">
        <f>IF($A2104="",0,IF(AE2104="직접",IF(AF2104="신계약비",$P2104,0),$P2104*(1-AG2104)*IFERROR(INDEX(계정대체기준!$C$20:$C$49,MATCH($N2104,계정대체기준!$A$20:$A$49,0)),0)))</f>
        <v/>
      </c>
      <c r="AA2104" s="94">
        <f>IF($A2104="",0,IF(AE2104="직접",IF(OR(AF2104="유지비",AF2104="손해조사비"),$P2104,0),$P2104*(1-AG2104)*IFERROR(INDEX(계정대체기준!$D$20:$D$49,MATCH($N2104,계정대체기준!$A$20:$A$49,0)),0)))</f>
        <v/>
      </c>
      <c r="AB2104" s="94">
        <f>IF($A2104="",0,IF(AE2104="직접",IF(AF2104="수금비",$P2104,0),$P2104*(1-AG2104)*IFERROR(INDEX(계정대체기준!$E$20:$E$49,MATCH($N2104,계정대체기준!$A$20:$A$49,0)),0)))</f>
        <v/>
      </c>
      <c r="AC2104" s="9">
        <f>IF(AND($A2104&lt;&gt;"",M2104=설정!$C$20,Z2104&gt;0),Z2104+ROW()/1000000000,"")</f>
        <v/>
      </c>
      <c r="AD2104" s="94">
        <f>IF($A2104="",0,$P2104*AG2104)</f>
        <v/>
      </c>
      <c r="AE2104" s="64">
        <f>IF($A2104="","",IFERROR(INDEX(계정매핑!$E$5:$E$504,MATCH($F2104&amp;"",계정매핑!$A$5:$A$504,0))&amp;"","공통비"))</f>
        <v/>
      </c>
      <c r="AF2104" s="64">
        <f>IF($A2104="","",IF(AE2104="직접",IFERROR(INDEX(계정매핑!$F$5:$F$504,MATCH($F2104&amp;"",계정매핑!$A$5:$A$504,0))&amp;"","비귀속"),""))</f>
        <v/>
      </c>
      <c r="AG2104" s="96">
        <f>IF($A2104="",0,IF(AND(AE2104&lt;&gt;"직접",IFERROR(INDEX(계정매핑!$G$5:$G$504,MATCH($F2104&amp;"",계정매핑!$A$5:$A$504,0))&amp;"","")="유지비",COUNTIF(계정대체기준!$A$6:$A$15,$N2104)&gt;0),IFERROR(INDEX(계정대체기준!$E$6:$E$15,MATCH(VALUE($A2104&amp;""),계정대체기준!$D$6:$D$15,0)),0),0))</f>
        <v/>
      </c>
      <c r="AH2104" s="64">
        <f>IF($A2104="","",IF(AD2104=0,"",IF(OR(COUNTIF(계정대체기준!$A$77:$A$86,$N2104)&gt;0,ISNUMBER(MATCH($X2104,계정대체기준!$D$77:$D$86,0)),ISNUMBER(MATCH($F2104,계정대체기준!$D$77:$D$86,0))),"Y","N")))</f>
        <v/>
      </c>
    </row>
    <row r="2105">
      <c r="A2105" s="92" t="n">
        <v>2025</v>
      </c>
      <c r="B2105" s="92" t="n">
        <v>10</v>
      </c>
      <c r="C2105" s="92" t="inlineStr">
        <is>
          <t>5100002101</t>
        </is>
      </c>
      <c r="D2105" s="95" t="n">
        <v>45939</v>
      </c>
      <c r="E2105" s="92" t="inlineStr">
        <is>
          <t>KR</t>
        </is>
      </c>
      <c r="F2105" s="92" t="n">
        <v>62102000</v>
      </c>
      <c r="G2105" s="92" t="n">
        <v>1201</v>
      </c>
      <c r="H2105" s="93" t="n">
        <v>82000</v>
      </c>
      <c r="I2105" s="92" t="inlineStr">
        <is>
          <t>10월 해외출장 - M항공</t>
        </is>
      </c>
      <c r="J2105" s="92" t="inlineStr">
        <is>
          <t>V10001</t>
        </is>
      </c>
      <c r="K2105" s="92" t="inlineStr">
        <is>
          <t>M항공</t>
        </is>
      </c>
      <c r="M2105" s="9">
        <f>IF($A2105="","",VALUE($A2105&amp;"")*12+VALUE($B2105&amp;""))</f>
        <v/>
      </c>
      <c r="N2105" s="64">
        <f>IF($A2105="","",IFERROR(INDEX(부서매핑!$C$5:$C$504,MATCH($G2105&amp;"",부서매핑!$A$5:$A$504,0)),"미매핑"))</f>
        <v/>
      </c>
      <c r="O2105" s="9">
        <f>IF($A2105="","",N2105&amp;"|"&amp;$F2105)</f>
        <v/>
      </c>
      <c r="P2105" s="94">
        <f>IF($A2105="",0,$H2105*설정!$C$23)</f>
        <v/>
      </c>
      <c r="Q2105" s="64">
        <f>IF($A2105="","",IF(O2105&lt;&gt;원인분석!$C$9,"",IF(AND(M2105&gt;=원인분석!$C$10,M2105&lt;=원인분석!$C$11),"당기",IF(AND(M2105&gt;=원인분석!$C$12,M2105&lt;=원인분석!$C$13),"비교",""))))</f>
        <v/>
      </c>
      <c r="R2105" s="9">
        <f>IF(Q2105="","",$K2105&amp;"")</f>
        <v/>
      </c>
      <c r="S2105" s="9">
        <f>IF(Q2105="","",IF(MATCH(R2105,$R$5:$R$100000,0)=ROW()-4,ROW(),""))</f>
        <v/>
      </c>
      <c r="T2105" s="9">
        <f>IF(Q2105="당기",ABS(P2105)+ROW()/1000000000,"")</f>
        <v/>
      </c>
      <c r="U2105" s="9">
        <f>IF(Q2105="비교",ABS(P2105)+ROW()/1000000000,"")</f>
        <v/>
      </c>
      <c r="V2105" s="64">
        <f>IF($A2105="","",IF(COUNTIF(변동분석!$E$7:$E$506,O2105)&gt;0,"Y","N"))</f>
        <v/>
      </c>
      <c r="W2105" s="64">
        <f>IF($A2105="","",IFERROR(INDEX(계정매핑!$D$5:$D$504,MATCH($F2105&amp;"",계정매핑!$A$5:$A$504,0)),"미매핑"))</f>
        <v/>
      </c>
      <c r="X2105" s="9">
        <f>IF($A2105="","",$F2105&amp;"")</f>
        <v/>
      </c>
      <c r="Y2105" s="94">
        <f>IF($A2105="",0,IF(AE2105="직접",IF(AF2105="비귀속",$P2105,0),$P2105*(1-AG2105)*IFERROR(INDEX(계정대체기준!$F$20:$F$49,MATCH($N2105,계정대체기준!$A$20:$A$49,0)),1)))</f>
        <v/>
      </c>
      <c r="Z2105" s="94">
        <f>IF($A2105="",0,IF(AE2105="직접",IF(AF2105="신계약비",$P2105,0),$P2105*(1-AG2105)*IFERROR(INDEX(계정대체기준!$C$20:$C$49,MATCH($N2105,계정대체기준!$A$20:$A$49,0)),0)))</f>
        <v/>
      </c>
      <c r="AA2105" s="94">
        <f>IF($A2105="",0,IF(AE2105="직접",IF(OR(AF2105="유지비",AF2105="손해조사비"),$P2105,0),$P2105*(1-AG2105)*IFERROR(INDEX(계정대체기준!$D$20:$D$49,MATCH($N2105,계정대체기준!$A$20:$A$49,0)),0)))</f>
        <v/>
      </c>
      <c r="AB2105" s="94">
        <f>IF($A2105="",0,IF(AE2105="직접",IF(AF2105="수금비",$P2105,0),$P2105*(1-AG2105)*IFERROR(INDEX(계정대체기준!$E$20:$E$49,MATCH($N2105,계정대체기준!$A$20:$A$49,0)),0)))</f>
        <v/>
      </c>
      <c r="AC2105" s="9">
        <f>IF(AND($A2105&lt;&gt;"",M2105=설정!$C$20,Z2105&gt;0),Z2105+ROW()/1000000000,"")</f>
        <v/>
      </c>
      <c r="AD2105" s="94">
        <f>IF($A2105="",0,$P2105*AG2105)</f>
        <v/>
      </c>
      <c r="AE2105" s="64">
        <f>IF($A2105="","",IFERROR(INDEX(계정매핑!$E$5:$E$504,MATCH($F2105&amp;"",계정매핑!$A$5:$A$504,0))&amp;"","공통비"))</f>
        <v/>
      </c>
      <c r="AF2105" s="64">
        <f>IF($A2105="","",IF(AE2105="직접",IFERROR(INDEX(계정매핑!$F$5:$F$504,MATCH($F2105&amp;"",계정매핑!$A$5:$A$504,0))&amp;"","비귀속"),""))</f>
        <v/>
      </c>
      <c r="AG2105" s="96">
        <f>IF($A2105="",0,IF(AND(AE2105&lt;&gt;"직접",IFERROR(INDEX(계정매핑!$G$5:$G$504,MATCH($F2105&amp;"",계정매핑!$A$5:$A$504,0))&amp;"","")="유지비",COUNTIF(계정대체기준!$A$6:$A$15,$N2105)&gt;0),IFERROR(INDEX(계정대체기준!$E$6:$E$15,MATCH(VALUE($A2105&amp;""),계정대체기준!$D$6:$D$15,0)),0),0))</f>
        <v/>
      </c>
      <c r="AH2105" s="64">
        <f>IF($A2105="","",IF(AD2105=0,"",IF(OR(COUNTIF(계정대체기준!$A$77:$A$86,$N2105)&gt;0,ISNUMBER(MATCH($X2105,계정대체기준!$D$77:$D$86,0)),ISNUMBER(MATCH($F2105,계정대체기준!$D$77:$D$86,0))),"Y","N")))</f>
        <v/>
      </c>
    </row>
    <row r="2106">
      <c r="A2106" s="92" t="n">
        <v>2025</v>
      </c>
      <c r="B2106" s="92" t="n">
        <v>10</v>
      </c>
      <c r="C2106" s="92" t="inlineStr">
        <is>
          <t>5100002102</t>
        </is>
      </c>
      <c r="D2106" s="95" t="n">
        <v>45939</v>
      </c>
      <c r="E2106" s="92" t="inlineStr">
        <is>
          <t>KR</t>
        </is>
      </c>
      <c r="F2106" s="92" t="n">
        <v>62102000</v>
      </c>
      <c r="G2106" s="92" t="n">
        <v>1601</v>
      </c>
      <c r="H2106" s="93" t="n">
        <v>217000</v>
      </c>
      <c r="I2106" s="92" t="inlineStr">
        <is>
          <t>10월 해외출장 - M항공</t>
        </is>
      </c>
      <c r="J2106" s="92" t="inlineStr">
        <is>
          <t>V10001</t>
        </is>
      </c>
      <c r="K2106" s="92" t="inlineStr">
        <is>
          <t>M항공</t>
        </is>
      </c>
      <c r="M2106" s="9">
        <f>IF($A2106="","",VALUE($A2106&amp;"")*12+VALUE($B2106&amp;""))</f>
        <v/>
      </c>
      <c r="N2106" s="64">
        <f>IF($A2106="","",IFERROR(INDEX(부서매핑!$C$5:$C$504,MATCH($G2106&amp;"",부서매핑!$A$5:$A$504,0)),"미매핑"))</f>
        <v/>
      </c>
      <c r="O2106" s="9">
        <f>IF($A2106="","",N2106&amp;"|"&amp;$F2106)</f>
        <v/>
      </c>
      <c r="P2106" s="94">
        <f>IF($A2106="",0,$H2106*설정!$C$23)</f>
        <v/>
      </c>
      <c r="Q2106" s="64">
        <f>IF($A2106="","",IF(O2106&lt;&gt;원인분석!$C$9,"",IF(AND(M2106&gt;=원인분석!$C$10,M2106&lt;=원인분석!$C$11),"당기",IF(AND(M2106&gt;=원인분석!$C$12,M2106&lt;=원인분석!$C$13),"비교",""))))</f>
        <v/>
      </c>
      <c r="R2106" s="9">
        <f>IF(Q2106="","",$K2106&amp;"")</f>
        <v/>
      </c>
      <c r="S2106" s="9">
        <f>IF(Q2106="","",IF(MATCH(R2106,$R$5:$R$100000,0)=ROW()-4,ROW(),""))</f>
        <v/>
      </c>
      <c r="T2106" s="9">
        <f>IF(Q2106="당기",ABS(P2106)+ROW()/1000000000,"")</f>
        <v/>
      </c>
      <c r="U2106" s="9">
        <f>IF(Q2106="비교",ABS(P2106)+ROW()/1000000000,"")</f>
        <v/>
      </c>
      <c r="V2106" s="64">
        <f>IF($A2106="","",IF(COUNTIF(변동분석!$E$7:$E$506,O2106)&gt;0,"Y","N"))</f>
        <v/>
      </c>
      <c r="W2106" s="64">
        <f>IF($A2106="","",IFERROR(INDEX(계정매핑!$D$5:$D$504,MATCH($F2106&amp;"",계정매핑!$A$5:$A$504,0)),"미매핑"))</f>
        <v/>
      </c>
      <c r="X2106" s="9">
        <f>IF($A2106="","",$F2106&amp;"")</f>
        <v/>
      </c>
      <c r="Y2106" s="94">
        <f>IF($A2106="",0,IF(AE2106="직접",IF(AF2106="비귀속",$P2106,0),$P2106*(1-AG2106)*IFERROR(INDEX(계정대체기준!$F$20:$F$49,MATCH($N2106,계정대체기준!$A$20:$A$49,0)),1)))</f>
        <v/>
      </c>
      <c r="Z2106" s="94">
        <f>IF($A2106="",0,IF(AE2106="직접",IF(AF2106="신계약비",$P2106,0),$P2106*(1-AG2106)*IFERROR(INDEX(계정대체기준!$C$20:$C$49,MATCH($N2106,계정대체기준!$A$20:$A$49,0)),0)))</f>
        <v/>
      </c>
      <c r="AA2106" s="94">
        <f>IF($A2106="",0,IF(AE2106="직접",IF(OR(AF2106="유지비",AF2106="손해조사비"),$P2106,0),$P2106*(1-AG2106)*IFERROR(INDEX(계정대체기준!$D$20:$D$49,MATCH($N2106,계정대체기준!$A$20:$A$49,0)),0)))</f>
        <v/>
      </c>
      <c r="AB2106" s="94">
        <f>IF($A2106="",0,IF(AE2106="직접",IF(AF2106="수금비",$P2106,0),$P2106*(1-AG2106)*IFERROR(INDEX(계정대체기준!$E$20:$E$49,MATCH($N2106,계정대체기준!$A$20:$A$49,0)),0)))</f>
        <v/>
      </c>
      <c r="AC2106" s="9">
        <f>IF(AND($A2106&lt;&gt;"",M2106=설정!$C$20,Z2106&gt;0),Z2106+ROW()/1000000000,"")</f>
        <v/>
      </c>
      <c r="AD2106" s="94">
        <f>IF($A2106="",0,$P2106*AG2106)</f>
        <v/>
      </c>
      <c r="AE2106" s="64">
        <f>IF($A2106="","",IFERROR(INDEX(계정매핑!$E$5:$E$504,MATCH($F2106&amp;"",계정매핑!$A$5:$A$504,0))&amp;"","공통비"))</f>
        <v/>
      </c>
      <c r="AF2106" s="64">
        <f>IF($A2106="","",IF(AE2106="직접",IFERROR(INDEX(계정매핑!$F$5:$F$504,MATCH($F2106&amp;"",계정매핑!$A$5:$A$504,0))&amp;"","비귀속"),""))</f>
        <v/>
      </c>
      <c r="AG2106" s="96">
        <f>IF($A2106="",0,IF(AND(AE2106&lt;&gt;"직접",IFERROR(INDEX(계정매핑!$G$5:$G$504,MATCH($F2106&amp;"",계정매핑!$A$5:$A$504,0))&amp;"","")="유지비",COUNTIF(계정대체기준!$A$6:$A$15,$N2106)&gt;0),IFERROR(INDEX(계정대체기준!$E$6:$E$15,MATCH(VALUE($A2106&amp;""),계정대체기준!$D$6:$D$15,0)),0),0))</f>
        <v/>
      </c>
      <c r="AH2106" s="64">
        <f>IF($A2106="","",IF(AD2106=0,"",IF(OR(COUNTIF(계정대체기준!$A$77:$A$86,$N2106)&gt;0,ISNUMBER(MATCH($X2106,계정대체기준!$D$77:$D$86,0)),ISNUMBER(MATCH($F2106,계정대체기준!$D$77:$D$86,0))),"Y","N")))</f>
        <v/>
      </c>
    </row>
    <row r="2107">
      <c r="A2107" s="92" t="n">
        <v>2025</v>
      </c>
      <c r="B2107" s="92" t="n">
        <v>10</v>
      </c>
      <c r="C2107" s="92" t="inlineStr">
        <is>
          <t>5100002103</t>
        </is>
      </c>
      <c r="D2107" s="95" t="n">
        <v>45939</v>
      </c>
      <c r="E2107" s="92" t="inlineStr">
        <is>
          <t>KR</t>
        </is>
      </c>
      <c r="F2107" s="92" t="n">
        <v>62102000</v>
      </c>
      <c r="G2107" s="92" t="n">
        <v>1701</v>
      </c>
      <c r="H2107" s="93" t="n">
        <v>39000</v>
      </c>
      <c r="I2107" s="92" t="inlineStr">
        <is>
          <t>10월 해외출장 - N호텔</t>
        </is>
      </c>
      <c r="J2107" s="92" t="inlineStr">
        <is>
          <t>V10009</t>
        </is>
      </c>
      <c r="K2107" s="92" t="inlineStr">
        <is>
          <t>N호텔</t>
        </is>
      </c>
      <c r="M2107" s="9">
        <f>IF($A2107="","",VALUE($A2107&amp;"")*12+VALUE($B2107&amp;""))</f>
        <v/>
      </c>
      <c r="N2107" s="64">
        <f>IF($A2107="","",IFERROR(INDEX(부서매핑!$C$5:$C$504,MATCH($G2107&amp;"",부서매핑!$A$5:$A$504,0)),"미매핑"))</f>
        <v/>
      </c>
      <c r="O2107" s="9">
        <f>IF($A2107="","",N2107&amp;"|"&amp;$F2107)</f>
        <v/>
      </c>
      <c r="P2107" s="94">
        <f>IF($A2107="",0,$H2107*설정!$C$23)</f>
        <v/>
      </c>
      <c r="Q2107" s="64">
        <f>IF($A2107="","",IF(O2107&lt;&gt;원인분석!$C$9,"",IF(AND(M2107&gt;=원인분석!$C$10,M2107&lt;=원인분석!$C$11),"당기",IF(AND(M2107&gt;=원인분석!$C$12,M2107&lt;=원인분석!$C$13),"비교",""))))</f>
        <v/>
      </c>
      <c r="R2107" s="9">
        <f>IF(Q2107="","",$K2107&amp;"")</f>
        <v/>
      </c>
      <c r="S2107" s="9">
        <f>IF(Q2107="","",IF(MATCH(R2107,$R$5:$R$100000,0)=ROW()-4,ROW(),""))</f>
        <v/>
      </c>
      <c r="T2107" s="9">
        <f>IF(Q2107="당기",ABS(P2107)+ROW()/1000000000,"")</f>
        <v/>
      </c>
      <c r="U2107" s="9">
        <f>IF(Q2107="비교",ABS(P2107)+ROW()/1000000000,"")</f>
        <v/>
      </c>
      <c r="V2107" s="64">
        <f>IF($A2107="","",IF(COUNTIF(변동분석!$E$7:$E$506,O2107)&gt;0,"Y","N"))</f>
        <v/>
      </c>
      <c r="W2107" s="64">
        <f>IF($A2107="","",IFERROR(INDEX(계정매핑!$D$5:$D$504,MATCH($F2107&amp;"",계정매핑!$A$5:$A$504,0)),"미매핑"))</f>
        <v/>
      </c>
      <c r="X2107" s="9">
        <f>IF($A2107="","",$F2107&amp;"")</f>
        <v/>
      </c>
      <c r="Y2107" s="94">
        <f>IF($A2107="",0,IF(AE2107="직접",IF(AF2107="비귀속",$P2107,0),$P2107*(1-AG2107)*IFERROR(INDEX(계정대체기준!$F$20:$F$49,MATCH($N2107,계정대체기준!$A$20:$A$49,0)),1)))</f>
        <v/>
      </c>
      <c r="Z2107" s="94">
        <f>IF($A2107="",0,IF(AE2107="직접",IF(AF2107="신계약비",$P2107,0),$P2107*(1-AG2107)*IFERROR(INDEX(계정대체기준!$C$20:$C$49,MATCH($N2107,계정대체기준!$A$20:$A$49,0)),0)))</f>
        <v/>
      </c>
      <c r="AA2107" s="94">
        <f>IF($A2107="",0,IF(AE2107="직접",IF(OR(AF2107="유지비",AF2107="손해조사비"),$P2107,0),$P2107*(1-AG2107)*IFERROR(INDEX(계정대체기준!$D$20:$D$49,MATCH($N2107,계정대체기준!$A$20:$A$49,0)),0)))</f>
        <v/>
      </c>
      <c r="AB2107" s="94">
        <f>IF($A2107="",0,IF(AE2107="직접",IF(AF2107="수금비",$P2107,0),$P2107*(1-AG2107)*IFERROR(INDEX(계정대체기준!$E$20:$E$49,MATCH($N2107,계정대체기준!$A$20:$A$49,0)),0)))</f>
        <v/>
      </c>
      <c r="AC2107" s="9">
        <f>IF(AND($A2107&lt;&gt;"",M2107=설정!$C$20,Z2107&gt;0),Z2107+ROW()/1000000000,"")</f>
        <v/>
      </c>
      <c r="AD2107" s="94">
        <f>IF($A2107="",0,$P2107*AG2107)</f>
        <v/>
      </c>
      <c r="AE2107" s="64">
        <f>IF($A2107="","",IFERROR(INDEX(계정매핑!$E$5:$E$504,MATCH($F2107&amp;"",계정매핑!$A$5:$A$504,0))&amp;"","공통비"))</f>
        <v/>
      </c>
      <c r="AF2107" s="64">
        <f>IF($A2107="","",IF(AE2107="직접",IFERROR(INDEX(계정매핑!$F$5:$F$504,MATCH($F2107&amp;"",계정매핑!$A$5:$A$504,0))&amp;"","비귀속"),""))</f>
        <v/>
      </c>
      <c r="AG2107" s="96">
        <f>IF($A2107="",0,IF(AND(AE2107&lt;&gt;"직접",IFERROR(INDEX(계정매핑!$G$5:$G$504,MATCH($F2107&amp;"",계정매핑!$A$5:$A$504,0))&amp;"","")="유지비",COUNTIF(계정대체기준!$A$6:$A$15,$N2107)&gt;0),IFERROR(INDEX(계정대체기준!$E$6:$E$15,MATCH(VALUE($A2107&amp;""),계정대체기준!$D$6:$D$15,0)),0),0))</f>
        <v/>
      </c>
      <c r="AH2107" s="64">
        <f>IF($A2107="","",IF(AD2107=0,"",IF(OR(COUNTIF(계정대체기준!$A$77:$A$86,$N2107)&gt;0,ISNUMBER(MATCH($X2107,계정대체기준!$D$77:$D$86,0)),ISNUMBER(MATCH($F2107,계정대체기준!$D$77:$D$86,0))),"Y","N")))</f>
        <v/>
      </c>
    </row>
    <row r="2108">
      <c r="A2108" s="92" t="n">
        <v>2025</v>
      </c>
      <c r="B2108" s="92" t="n">
        <v>10</v>
      </c>
      <c r="C2108" s="92" t="inlineStr">
        <is>
          <t>5100002104</t>
        </is>
      </c>
      <c r="D2108" s="95" t="n">
        <v>45939</v>
      </c>
      <c r="E2108" s="92" t="inlineStr">
        <is>
          <t>KR</t>
        </is>
      </c>
      <c r="F2108" s="92" t="n">
        <v>62201000</v>
      </c>
      <c r="G2108" s="92" t="n">
        <v>1501</v>
      </c>
      <c r="H2108" s="93" t="n">
        <v>261000</v>
      </c>
      <c r="I2108" s="92" t="inlineStr">
        <is>
          <t>10월 통신요금 - P통신</t>
        </is>
      </c>
      <c r="J2108" s="92" t="inlineStr">
        <is>
          <t>V10014</t>
        </is>
      </c>
      <c r="K2108" s="92" t="inlineStr">
        <is>
          <t>P통신</t>
        </is>
      </c>
      <c r="M2108" s="9">
        <f>IF($A2108="","",VALUE($A2108&amp;"")*12+VALUE($B2108&amp;""))</f>
        <v/>
      </c>
      <c r="N2108" s="64">
        <f>IF($A2108="","",IFERROR(INDEX(부서매핑!$C$5:$C$504,MATCH($G2108&amp;"",부서매핑!$A$5:$A$504,0)),"미매핑"))</f>
        <v/>
      </c>
      <c r="O2108" s="9">
        <f>IF($A2108="","",N2108&amp;"|"&amp;$F2108)</f>
        <v/>
      </c>
      <c r="P2108" s="94">
        <f>IF($A2108="",0,$H2108*설정!$C$23)</f>
        <v/>
      </c>
      <c r="Q2108" s="64">
        <f>IF($A2108="","",IF(O2108&lt;&gt;원인분석!$C$9,"",IF(AND(M2108&gt;=원인분석!$C$10,M2108&lt;=원인분석!$C$11),"당기",IF(AND(M2108&gt;=원인분석!$C$12,M2108&lt;=원인분석!$C$13),"비교",""))))</f>
        <v/>
      </c>
      <c r="R2108" s="9">
        <f>IF(Q2108="","",$K2108&amp;"")</f>
        <v/>
      </c>
      <c r="S2108" s="9">
        <f>IF(Q2108="","",IF(MATCH(R2108,$R$5:$R$100000,0)=ROW()-4,ROW(),""))</f>
        <v/>
      </c>
      <c r="T2108" s="9">
        <f>IF(Q2108="당기",ABS(P2108)+ROW()/1000000000,"")</f>
        <v/>
      </c>
      <c r="U2108" s="9">
        <f>IF(Q2108="비교",ABS(P2108)+ROW()/1000000000,"")</f>
        <v/>
      </c>
      <c r="V2108" s="64">
        <f>IF($A2108="","",IF(COUNTIF(변동분석!$E$7:$E$506,O2108)&gt;0,"Y","N"))</f>
        <v/>
      </c>
      <c r="W2108" s="64">
        <f>IF($A2108="","",IFERROR(INDEX(계정매핑!$D$5:$D$504,MATCH($F2108&amp;"",계정매핑!$A$5:$A$504,0)),"미매핑"))</f>
        <v/>
      </c>
      <c r="X2108" s="9">
        <f>IF($A2108="","",$F2108&amp;"")</f>
        <v/>
      </c>
      <c r="Y2108" s="94">
        <f>IF($A2108="",0,IF(AE2108="직접",IF(AF2108="비귀속",$P2108,0),$P2108*(1-AG2108)*IFERROR(INDEX(계정대체기준!$F$20:$F$49,MATCH($N2108,계정대체기준!$A$20:$A$49,0)),1)))</f>
        <v/>
      </c>
      <c r="Z2108" s="94">
        <f>IF($A2108="",0,IF(AE2108="직접",IF(AF2108="신계약비",$P2108,0),$P2108*(1-AG2108)*IFERROR(INDEX(계정대체기준!$C$20:$C$49,MATCH($N2108,계정대체기준!$A$20:$A$49,0)),0)))</f>
        <v/>
      </c>
      <c r="AA2108" s="94">
        <f>IF($A2108="",0,IF(AE2108="직접",IF(OR(AF2108="유지비",AF2108="손해조사비"),$P2108,0),$P2108*(1-AG2108)*IFERROR(INDEX(계정대체기준!$D$20:$D$49,MATCH($N2108,계정대체기준!$A$20:$A$49,0)),0)))</f>
        <v/>
      </c>
      <c r="AB2108" s="94">
        <f>IF($A2108="",0,IF(AE2108="직접",IF(AF2108="수금비",$P2108,0),$P2108*(1-AG2108)*IFERROR(INDEX(계정대체기준!$E$20:$E$49,MATCH($N2108,계정대체기준!$A$20:$A$49,0)),0)))</f>
        <v/>
      </c>
      <c r="AC2108" s="9">
        <f>IF(AND($A2108&lt;&gt;"",M2108=설정!$C$20,Z2108&gt;0),Z2108+ROW()/1000000000,"")</f>
        <v/>
      </c>
      <c r="AD2108" s="94">
        <f>IF($A2108="",0,$P2108*AG2108)</f>
        <v/>
      </c>
      <c r="AE2108" s="64">
        <f>IF($A2108="","",IFERROR(INDEX(계정매핑!$E$5:$E$504,MATCH($F2108&amp;"",계정매핑!$A$5:$A$504,0))&amp;"","공통비"))</f>
        <v/>
      </c>
      <c r="AF2108" s="64">
        <f>IF($A2108="","",IF(AE2108="직접",IFERROR(INDEX(계정매핑!$F$5:$F$504,MATCH($F2108&amp;"",계정매핑!$A$5:$A$504,0))&amp;"","비귀속"),""))</f>
        <v/>
      </c>
      <c r="AG2108" s="96">
        <f>IF($A2108="",0,IF(AND(AE2108&lt;&gt;"직접",IFERROR(INDEX(계정매핑!$G$5:$G$504,MATCH($F2108&amp;"",계정매핑!$A$5:$A$504,0))&amp;"","")="유지비",COUNTIF(계정대체기준!$A$6:$A$15,$N2108)&gt;0),IFERROR(INDEX(계정대체기준!$E$6:$E$15,MATCH(VALUE($A2108&amp;""),계정대체기준!$D$6:$D$15,0)),0),0))</f>
        <v/>
      </c>
      <c r="AH2108" s="64">
        <f>IF($A2108="","",IF(AD2108=0,"",IF(OR(COUNTIF(계정대체기준!$A$77:$A$86,$N2108)&gt;0,ISNUMBER(MATCH($X2108,계정대체기준!$D$77:$D$86,0)),ISNUMBER(MATCH($F2108,계정대체기준!$D$77:$D$86,0))),"Y","N")))</f>
        <v/>
      </c>
    </row>
    <row r="2109">
      <c r="A2109" s="92" t="n">
        <v>2025</v>
      </c>
      <c r="B2109" s="92" t="n">
        <v>10</v>
      </c>
      <c r="C2109" s="92" t="inlineStr">
        <is>
          <t>5100002105</t>
        </is>
      </c>
      <c r="D2109" s="95" t="n">
        <v>45939</v>
      </c>
      <c r="E2109" s="92" t="inlineStr">
        <is>
          <t>KR</t>
        </is>
      </c>
      <c r="F2109" s="92" t="n">
        <v>62301000</v>
      </c>
      <c r="G2109" s="92" t="n">
        <v>1201</v>
      </c>
      <c r="H2109" s="93" t="n">
        <v>104000</v>
      </c>
      <c r="I2109" s="92" t="inlineStr">
        <is>
          <t>10월 소모품 구입 - Q오피스</t>
        </is>
      </c>
      <c r="J2109" s="92" t="inlineStr">
        <is>
          <t>V10003</t>
        </is>
      </c>
      <c r="K2109" s="92" t="inlineStr">
        <is>
          <t>Q오피스</t>
        </is>
      </c>
      <c r="M2109" s="9">
        <f>IF($A2109="","",VALUE($A2109&amp;"")*12+VALUE($B2109&amp;""))</f>
        <v/>
      </c>
      <c r="N2109" s="64">
        <f>IF($A2109="","",IFERROR(INDEX(부서매핑!$C$5:$C$504,MATCH($G2109&amp;"",부서매핑!$A$5:$A$504,0)),"미매핑"))</f>
        <v/>
      </c>
      <c r="O2109" s="9">
        <f>IF($A2109="","",N2109&amp;"|"&amp;$F2109)</f>
        <v/>
      </c>
      <c r="P2109" s="94">
        <f>IF($A2109="",0,$H2109*설정!$C$23)</f>
        <v/>
      </c>
      <c r="Q2109" s="64">
        <f>IF($A2109="","",IF(O2109&lt;&gt;원인분석!$C$9,"",IF(AND(M2109&gt;=원인분석!$C$10,M2109&lt;=원인분석!$C$11),"당기",IF(AND(M2109&gt;=원인분석!$C$12,M2109&lt;=원인분석!$C$13),"비교",""))))</f>
        <v/>
      </c>
      <c r="R2109" s="9">
        <f>IF(Q2109="","",$K2109&amp;"")</f>
        <v/>
      </c>
      <c r="S2109" s="9">
        <f>IF(Q2109="","",IF(MATCH(R2109,$R$5:$R$100000,0)=ROW()-4,ROW(),""))</f>
        <v/>
      </c>
      <c r="T2109" s="9">
        <f>IF(Q2109="당기",ABS(P2109)+ROW()/1000000000,"")</f>
        <v/>
      </c>
      <c r="U2109" s="9">
        <f>IF(Q2109="비교",ABS(P2109)+ROW()/1000000000,"")</f>
        <v/>
      </c>
      <c r="V2109" s="64">
        <f>IF($A2109="","",IF(COUNTIF(변동분석!$E$7:$E$506,O2109)&gt;0,"Y","N"))</f>
        <v/>
      </c>
      <c r="W2109" s="64">
        <f>IF($A2109="","",IFERROR(INDEX(계정매핑!$D$5:$D$504,MATCH($F2109&amp;"",계정매핑!$A$5:$A$504,0)),"미매핑"))</f>
        <v/>
      </c>
      <c r="X2109" s="9">
        <f>IF($A2109="","",$F2109&amp;"")</f>
        <v/>
      </c>
      <c r="Y2109" s="94">
        <f>IF($A2109="",0,IF(AE2109="직접",IF(AF2109="비귀속",$P2109,0),$P2109*(1-AG2109)*IFERROR(INDEX(계정대체기준!$F$20:$F$49,MATCH($N2109,계정대체기준!$A$20:$A$49,0)),1)))</f>
        <v/>
      </c>
      <c r="Z2109" s="94">
        <f>IF($A2109="",0,IF(AE2109="직접",IF(AF2109="신계약비",$P2109,0),$P2109*(1-AG2109)*IFERROR(INDEX(계정대체기준!$C$20:$C$49,MATCH($N2109,계정대체기준!$A$20:$A$49,0)),0)))</f>
        <v/>
      </c>
      <c r="AA2109" s="94">
        <f>IF($A2109="",0,IF(AE2109="직접",IF(OR(AF2109="유지비",AF2109="손해조사비"),$P2109,0),$P2109*(1-AG2109)*IFERROR(INDEX(계정대체기준!$D$20:$D$49,MATCH($N2109,계정대체기준!$A$20:$A$49,0)),0)))</f>
        <v/>
      </c>
      <c r="AB2109" s="94">
        <f>IF($A2109="",0,IF(AE2109="직접",IF(AF2109="수금비",$P2109,0),$P2109*(1-AG2109)*IFERROR(INDEX(계정대체기준!$E$20:$E$49,MATCH($N2109,계정대체기준!$A$20:$A$49,0)),0)))</f>
        <v/>
      </c>
      <c r="AC2109" s="9">
        <f>IF(AND($A2109&lt;&gt;"",M2109=설정!$C$20,Z2109&gt;0),Z2109+ROW()/1000000000,"")</f>
        <v/>
      </c>
      <c r="AD2109" s="94">
        <f>IF($A2109="",0,$P2109*AG2109)</f>
        <v/>
      </c>
      <c r="AE2109" s="64">
        <f>IF($A2109="","",IFERROR(INDEX(계정매핑!$E$5:$E$504,MATCH($F2109&amp;"",계정매핑!$A$5:$A$504,0))&amp;"","공통비"))</f>
        <v/>
      </c>
      <c r="AF2109" s="64">
        <f>IF($A2109="","",IF(AE2109="직접",IFERROR(INDEX(계정매핑!$F$5:$F$504,MATCH($F2109&amp;"",계정매핑!$A$5:$A$504,0))&amp;"","비귀속"),""))</f>
        <v/>
      </c>
      <c r="AG2109" s="96">
        <f>IF($A2109="",0,IF(AND(AE2109&lt;&gt;"직접",IFERROR(INDEX(계정매핑!$G$5:$G$504,MATCH($F2109&amp;"",계정매핑!$A$5:$A$504,0))&amp;"","")="유지비",COUNTIF(계정대체기준!$A$6:$A$15,$N2109)&gt;0),IFERROR(INDEX(계정대체기준!$E$6:$E$15,MATCH(VALUE($A2109&amp;""),계정대체기준!$D$6:$D$15,0)),0),0))</f>
        <v/>
      </c>
      <c r="AH2109" s="64">
        <f>IF($A2109="","",IF(AD2109=0,"",IF(OR(COUNTIF(계정대체기준!$A$77:$A$86,$N2109)&gt;0,ISNUMBER(MATCH($X2109,계정대체기준!$D$77:$D$86,0)),ISNUMBER(MATCH($F2109,계정대체기준!$D$77:$D$86,0))),"Y","N")))</f>
        <v/>
      </c>
    </row>
    <row r="2110">
      <c r="A2110" s="92" t="n">
        <v>2025</v>
      </c>
      <c r="B2110" s="92" t="n">
        <v>10</v>
      </c>
      <c r="C2110" s="92" t="inlineStr">
        <is>
          <t>5100002106</t>
        </is>
      </c>
      <c r="D2110" s="95" t="n">
        <v>45939</v>
      </c>
      <c r="E2110" s="92" t="inlineStr">
        <is>
          <t>KR</t>
        </is>
      </c>
      <c r="F2110" s="92" t="n">
        <v>62501000</v>
      </c>
      <c r="G2110" s="92" t="n">
        <v>1301</v>
      </c>
      <c r="H2110" s="93" t="n">
        <v>204000</v>
      </c>
      <c r="I2110" s="92" t="inlineStr">
        <is>
          <t>10월 회의 다과 - T케이터링</t>
        </is>
      </c>
      <c r="J2110" s="92" t="inlineStr">
        <is>
          <t>V10005</t>
        </is>
      </c>
      <c r="K2110" s="92" t="inlineStr">
        <is>
          <t>T케이터링</t>
        </is>
      </c>
      <c r="M2110" s="9">
        <f>IF($A2110="","",VALUE($A2110&amp;"")*12+VALUE($B2110&amp;""))</f>
        <v/>
      </c>
      <c r="N2110" s="64">
        <f>IF($A2110="","",IFERROR(INDEX(부서매핑!$C$5:$C$504,MATCH($G2110&amp;"",부서매핑!$A$5:$A$504,0)),"미매핑"))</f>
        <v/>
      </c>
      <c r="O2110" s="9">
        <f>IF($A2110="","",N2110&amp;"|"&amp;$F2110)</f>
        <v/>
      </c>
      <c r="P2110" s="94">
        <f>IF($A2110="",0,$H2110*설정!$C$23)</f>
        <v/>
      </c>
      <c r="Q2110" s="64">
        <f>IF($A2110="","",IF(O2110&lt;&gt;원인분석!$C$9,"",IF(AND(M2110&gt;=원인분석!$C$10,M2110&lt;=원인분석!$C$11),"당기",IF(AND(M2110&gt;=원인분석!$C$12,M2110&lt;=원인분석!$C$13),"비교",""))))</f>
        <v/>
      </c>
      <c r="R2110" s="9">
        <f>IF(Q2110="","",$K2110&amp;"")</f>
        <v/>
      </c>
      <c r="S2110" s="9">
        <f>IF(Q2110="","",IF(MATCH(R2110,$R$5:$R$100000,0)=ROW()-4,ROW(),""))</f>
        <v/>
      </c>
      <c r="T2110" s="9">
        <f>IF(Q2110="당기",ABS(P2110)+ROW()/1000000000,"")</f>
        <v/>
      </c>
      <c r="U2110" s="9">
        <f>IF(Q2110="비교",ABS(P2110)+ROW()/1000000000,"")</f>
        <v/>
      </c>
      <c r="V2110" s="64">
        <f>IF($A2110="","",IF(COUNTIF(변동분석!$E$7:$E$506,O2110)&gt;0,"Y","N"))</f>
        <v/>
      </c>
      <c r="W2110" s="64">
        <f>IF($A2110="","",IFERROR(INDEX(계정매핑!$D$5:$D$504,MATCH($F2110&amp;"",계정매핑!$A$5:$A$504,0)),"미매핑"))</f>
        <v/>
      </c>
      <c r="X2110" s="9">
        <f>IF($A2110="","",$F2110&amp;"")</f>
        <v/>
      </c>
      <c r="Y2110" s="94">
        <f>IF($A2110="",0,IF(AE2110="직접",IF(AF2110="비귀속",$P2110,0),$P2110*(1-AG2110)*IFERROR(INDEX(계정대체기준!$F$20:$F$49,MATCH($N2110,계정대체기준!$A$20:$A$49,0)),1)))</f>
        <v/>
      </c>
      <c r="Z2110" s="94">
        <f>IF($A2110="",0,IF(AE2110="직접",IF(AF2110="신계약비",$P2110,0),$P2110*(1-AG2110)*IFERROR(INDEX(계정대체기준!$C$20:$C$49,MATCH($N2110,계정대체기준!$A$20:$A$49,0)),0)))</f>
        <v/>
      </c>
      <c r="AA2110" s="94">
        <f>IF($A2110="",0,IF(AE2110="직접",IF(OR(AF2110="유지비",AF2110="손해조사비"),$P2110,0),$P2110*(1-AG2110)*IFERROR(INDEX(계정대체기준!$D$20:$D$49,MATCH($N2110,계정대체기준!$A$20:$A$49,0)),0)))</f>
        <v/>
      </c>
      <c r="AB2110" s="94">
        <f>IF($A2110="",0,IF(AE2110="직접",IF(AF2110="수금비",$P2110,0),$P2110*(1-AG2110)*IFERROR(INDEX(계정대체기준!$E$20:$E$49,MATCH($N2110,계정대체기준!$A$20:$A$49,0)),0)))</f>
        <v/>
      </c>
      <c r="AC2110" s="9">
        <f>IF(AND($A2110&lt;&gt;"",M2110=설정!$C$20,Z2110&gt;0),Z2110+ROW()/1000000000,"")</f>
        <v/>
      </c>
      <c r="AD2110" s="94">
        <f>IF($A2110="",0,$P2110*AG2110)</f>
        <v/>
      </c>
      <c r="AE2110" s="64">
        <f>IF($A2110="","",IFERROR(INDEX(계정매핑!$E$5:$E$504,MATCH($F2110&amp;"",계정매핑!$A$5:$A$504,0))&amp;"","공통비"))</f>
        <v/>
      </c>
      <c r="AF2110" s="64">
        <f>IF($A2110="","",IF(AE2110="직접",IFERROR(INDEX(계정매핑!$F$5:$F$504,MATCH($F2110&amp;"",계정매핑!$A$5:$A$504,0))&amp;"","비귀속"),""))</f>
        <v/>
      </c>
      <c r="AG2110" s="96">
        <f>IF($A2110="",0,IF(AND(AE2110&lt;&gt;"직접",IFERROR(INDEX(계정매핑!$G$5:$G$504,MATCH($F2110&amp;"",계정매핑!$A$5:$A$504,0))&amp;"","")="유지비",COUNTIF(계정대체기준!$A$6:$A$15,$N2110)&gt;0),IFERROR(INDEX(계정대체기준!$E$6:$E$15,MATCH(VALUE($A2110&amp;""),계정대체기준!$D$6:$D$15,0)),0),0))</f>
        <v/>
      </c>
      <c r="AH2110" s="64">
        <f>IF($A2110="","",IF(AD2110=0,"",IF(OR(COUNTIF(계정대체기준!$A$77:$A$86,$N2110)&gt;0,ISNUMBER(MATCH($X2110,계정대체기준!$D$77:$D$86,0)),ISNUMBER(MATCH($F2110,계정대체기준!$D$77:$D$86,0))),"Y","N")))</f>
        <v/>
      </c>
    </row>
    <row r="2111">
      <c r="A2111" s="92" t="n">
        <v>2025</v>
      </c>
      <c r="B2111" s="92" t="n">
        <v>10</v>
      </c>
      <c r="C2111" s="92" t="inlineStr">
        <is>
          <t>5100002107</t>
        </is>
      </c>
      <c r="D2111" s="95" t="n">
        <v>45939</v>
      </c>
      <c r="E2111" s="92" t="inlineStr">
        <is>
          <t>KR</t>
        </is>
      </c>
      <c r="F2111" s="92" t="n">
        <v>62601000</v>
      </c>
      <c r="G2111" s="92" t="n">
        <v>1301</v>
      </c>
      <c r="H2111" s="93" t="n">
        <v>1799000</v>
      </c>
      <c r="I2111" s="92" t="inlineStr">
        <is>
          <t>10월 업무추진 - (법인카드)</t>
        </is>
      </c>
      <c r="J2111" s="92" t="inlineStr">
        <is>
          <t>V10010</t>
        </is>
      </c>
      <c r="K2111" s="92" t="inlineStr">
        <is>
          <t>(법인카드)</t>
        </is>
      </c>
      <c r="M2111" s="9">
        <f>IF($A2111="","",VALUE($A2111&amp;"")*12+VALUE($B2111&amp;""))</f>
        <v/>
      </c>
      <c r="N2111" s="64">
        <f>IF($A2111="","",IFERROR(INDEX(부서매핑!$C$5:$C$504,MATCH($G2111&amp;"",부서매핑!$A$5:$A$504,0)),"미매핑"))</f>
        <v/>
      </c>
      <c r="O2111" s="9">
        <f>IF($A2111="","",N2111&amp;"|"&amp;$F2111)</f>
        <v/>
      </c>
      <c r="P2111" s="94">
        <f>IF($A2111="",0,$H2111*설정!$C$23)</f>
        <v/>
      </c>
      <c r="Q2111" s="64">
        <f>IF($A2111="","",IF(O2111&lt;&gt;원인분석!$C$9,"",IF(AND(M2111&gt;=원인분석!$C$10,M2111&lt;=원인분석!$C$11),"당기",IF(AND(M2111&gt;=원인분석!$C$12,M2111&lt;=원인분석!$C$13),"비교",""))))</f>
        <v/>
      </c>
      <c r="R2111" s="9">
        <f>IF(Q2111="","",$K2111&amp;"")</f>
        <v/>
      </c>
      <c r="S2111" s="9">
        <f>IF(Q2111="","",IF(MATCH(R2111,$R$5:$R$100000,0)=ROW()-4,ROW(),""))</f>
        <v/>
      </c>
      <c r="T2111" s="9">
        <f>IF(Q2111="당기",ABS(P2111)+ROW()/1000000000,"")</f>
        <v/>
      </c>
      <c r="U2111" s="9">
        <f>IF(Q2111="비교",ABS(P2111)+ROW()/1000000000,"")</f>
        <v/>
      </c>
      <c r="V2111" s="64">
        <f>IF($A2111="","",IF(COUNTIF(변동분석!$E$7:$E$506,O2111)&gt;0,"Y","N"))</f>
        <v/>
      </c>
      <c r="W2111" s="64">
        <f>IF($A2111="","",IFERROR(INDEX(계정매핑!$D$5:$D$504,MATCH($F2111&amp;"",계정매핑!$A$5:$A$504,0)),"미매핑"))</f>
        <v/>
      </c>
      <c r="X2111" s="9">
        <f>IF($A2111="","",$F2111&amp;"")</f>
        <v/>
      </c>
      <c r="Y2111" s="94">
        <f>IF($A2111="",0,IF(AE2111="직접",IF(AF2111="비귀속",$P2111,0),$P2111*(1-AG2111)*IFERROR(INDEX(계정대체기준!$F$20:$F$49,MATCH($N2111,계정대체기준!$A$20:$A$49,0)),1)))</f>
        <v/>
      </c>
      <c r="Z2111" s="94">
        <f>IF($A2111="",0,IF(AE2111="직접",IF(AF2111="신계약비",$P2111,0),$P2111*(1-AG2111)*IFERROR(INDEX(계정대체기준!$C$20:$C$49,MATCH($N2111,계정대체기준!$A$20:$A$49,0)),0)))</f>
        <v/>
      </c>
      <c r="AA2111" s="94">
        <f>IF($A2111="",0,IF(AE2111="직접",IF(OR(AF2111="유지비",AF2111="손해조사비"),$P2111,0),$P2111*(1-AG2111)*IFERROR(INDEX(계정대체기준!$D$20:$D$49,MATCH($N2111,계정대체기준!$A$20:$A$49,0)),0)))</f>
        <v/>
      </c>
      <c r="AB2111" s="94">
        <f>IF($A2111="",0,IF(AE2111="직접",IF(AF2111="수금비",$P2111,0),$P2111*(1-AG2111)*IFERROR(INDEX(계정대체기준!$E$20:$E$49,MATCH($N2111,계정대체기준!$A$20:$A$49,0)),0)))</f>
        <v/>
      </c>
      <c r="AC2111" s="9">
        <f>IF(AND($A2111&lt;&gt;"",M2111=설정!$C$20,Z2111&gt;0),Z2111+ROW()/1000000000,"")</f>
        <v/>
      </c>
      <c r="AD2111" s="94">
        <f>IF($A2111="",0,$P2111*AG2111)</f>
        <v/>
      </c>
      <c r="AE2111" s="64">
        <f>IF($A2111="","",IFERROR(INDEX(계정매핑!$E$5:$E$504,MATCH($F2111&amp;"",계정매핑!$A$5:$A$504,0))&amp;"","공통비"))</f>
        <v/>
      </c>
      <c r="AF2111" s="64">
        <f>IF($A2111="","",IF(AE2111="직접",IFERROR(INDEX(계정매핑!$F$5:$F$504,MATCH($F2111&amp;"",계정매핑!$A$5:$A$504,0))&amp;"","비귀속"),""))</f>
        <v/>
      </c>
      <c r="AG2111" s="96">
        <f>IF($A2111="",0,IF(AND(AE2111&lt;&gt;"직접",IFERROR(INDEX(계정매핑!$G$5:$G$504,MATCH($F2111&amp;"",계정매핑!$A$5:$A$504,0))&amp;"","")="유지비",COUNTIF(계정대체기준!$A$6:$A$15,$N2111)&gt;0),IFERROR(INDEX(계정대체기준!$E$6:$E$15,MATCH(VALUE($A2111&amp;""),계정대체기준!$D$6:$D$15,0)),0),0))</f>
        <v/>
      </c>
      <c r="AH2111" s="64">
        <f>IF($A2111="","",IF(AD2111=0,"",IF(OR(COUNTIF(계정대체기준!$A$77:$A$86,$N2111)&gt;0,ISNUMBER(MATCH($X2111,계정대체기준!$D$77:$D$86,0)),ISNUMBER(MATCH($F2111,계정대체기준!$D$77:$D$86,0))),"Y","N")))</f>
        <v/>
      </c>
    </row>
    <row r="2112">
      <c r="A2112" s="92" t="n">
        <v>2025</v>
      </c>
      <c r="B2112" s="92" t="n">
        <v>10</v>
      </c>
      <c r="C2112" s="92" t="inlineStr">
        <is>
          <t>5100002108</t>
        </is>
      </c>
      <c r="D2112" s="95" t="n">
        <v>45939</v>
      </c>
      <c r="E2112" s="92" t="inlineStr">
        <is>
          <t>KR</t>
        </is>
      </c>
      <c r="F2112" s="92" t="n">
        <v>62901000</v>
      </c>
      <c r="G2112" s="92" t="n">
        <v>1951</v>
      </c>
      <c r="H2112" s="93" t="n">
        <v>6499000</v>
      </c>
      <c r="I2112" s="92" t="inlineStr">
        <is>
          <t>10월 자문 수수료 - K회계법인</t>
        </is>
      </c>
      <c r="J2112" s="92" t="inlineStr">
        <is>
          <t>V10011</t>
        </is>
      </c>
      <c r="K2112" s="92" t="inlineStr">
        <is>
          <t>K회계법인</t>
        </is>
      </c>
      <c r="M2112" s="9">
        <f>IF($A2112="","",VALUE($A2112&amp;"")*12+VALUE($B2112&amp;""))</f>
        <v/>
      </c>
      <c r="N2112" s="64">
        <f>IF($A2112="","",IFERROR(INDEX(부서매핑!$C$5:$C$504,MATCH($G2112&amp;"",부서매핑!$A$5:$A$504,0)),"미매핑"))</f>
        <v/>
      </c>
      <c r="O2112" s="9">
        <f>IF($A2112="","",N2112&amp;"|"&amp;$F2112)</f>
        <v/>
      </c>
      <c r="P2112" s="94">
        <f>IF($A2112="",0,$H2112*설정!$C$23)</f>
        <v/>
      </c>
      <c r="Q2112" s="64">
        <f>IF($A2112="","",IF(O2112&lt;&gt;원인분석!$C$9,"",IF(AND(M2112&gt;=원인분석!$C$10,M2112&lt;=원인분석!$C$11),"당기",IF(AND(M2112&gt;=원인분석!$C$12,M2112&lt;=원인분석!$C$13),"비교",""))))</f>
        <v/>
      </c>
      <c r="R2112" s="9">
        <f>IF(Q2112="","",$K2112&amp;"")</f>
        <v/>
      </c>
      <c r="S2112" s="9">
        <f>IF(Q2112="","",IF(MATCH(R2112,$R$5:$R$100000,0)=ROW()-4,ROW(),""))</f>
        <v/>
      </c>
      <c r="T2112" s="9">
        <f>IF(Q2112="당기",ABS(P2112)+ROW()/1000000000,"")</f>
        <v/>
      </c>
      <c r="U2112" s="9">
        <f>IF(Q2112="비교",ABS(P2112)+ROW()/1000000000,"")</f>
        <v/>
      </c>
      <c r="V2112" s="64">
        <f>IF($A2112="","",IF(COUNTIF(변동분석!$E$7:$E$506,O2112)&gt;0,"Y","N"))</f>
        <v/>
      </c>
      <c r="W2112" s="64">
        <f>IF($A2112="","",IFERROR(INDEX(계정매핑!$D$5:$D$504,MATCH($F2112&amp;"",계정매핑!$A$5:$A$504,0)),"미매핑"))</f>
        <v/>
      </c>
      <c r="X2112" s="9">
        <f>IF($A2112="","",$F2112&amp;"")</f>
        <v/>
      </c>
      <c r="Y2112" s="94">
        <f>IF($A2112="",0,IF(AE2112="직접",IF(AF2112="비귀속",$P2112,0),$P2112*(1-AG2112)*IFERROR(INDEX(계정대체기준!$F$20:$F$49,MATCH($N2112,계정대체기준!$A$20:$A$49,0)),1)))</f>
        <v/>
      </c>
      <c r="Z2112" s="94">
        <f>IF($A2112="",0,IF(AE2112="직접",IF(AF2112="신계약비",$P2112,0),$P2112*(1-AG2112)*IFERROR(INDEX(계정대체기준!$C$20:$C$49,MATCH($N2112,계정대체기준!$A$20:$A$49,0)),0)))</f>
        <v/>
      </c>
      <c r="AA2112" s="94">
        <f>IF($A2112="",0,IF(AE2112="직접",IF(OR(AF2112="유지비",AF2112="손해조사비"),$P2112,0),$P2112*(1-AG2112)*IFERROR(INDEX(계정대체기준!$D$20:$D$49,MATCH($N2112,계정대체기준!$A$20:$A$49,0)),0)))</f>
        <v/>
      </c>
      <c r="AB2112" s="94">
        <f>IF($A2112="",0,IF(AE2112="직접",IF(AF2112="수금비",$P2112,0),$P2112*(1-AG2112)*IFERROR(INDEX(계정대체기준!$E$20:$E$49,MATCH($N2112,계정대체기준!$A$20:$A$49,0)),0)))</f>
        <v/>
      </c>
      <c r="AC2112" s="9">
        <f>IF(AND($A2112&lt;&gt;"",M2112=설정!$C$20,Z2112&gt;0),Z2112+ROW()/1000000000,"")</f>
        <v/>
      </c>
      <c r="AD2112" s="94">
        <f>IF($A2112="",0,$P2112*AG2112)</f>
        <v/>
      </c>
      <c r="AE2112" s="64">
        <f>IF($A2112="","",IFERROR(INDEX(계정매핑!$E$5:$E$504,MATCH($F2112&amp;"",계정매핑!$A$5:$A$504,0))&amp;"","공통비"))</f>
        <v/>
      </c>
      <c r="AF2112" s="64">
        <f>IF($A2112="","",IF(AE2112="직접",IFERROR(INDEX(계정매핑!$F$5:$F$504,MATCH($F2112&amp;"",계정매핑!$A$5:$A$504,0))&amp;"","비귀속"),""))</f>
        <v/>
      </c>
      <c r="AG2112" s="96">
        <f>IF($A2112="",0,IF(AND(AE2112&lt;&gt;"직접",IFERROR(INDEX(계정매핑!$G$5:$G$504,MATCH($F2112&amp;"",계정매핑!$A$5:$A$504,0))&amp;"","")="유지비",COUNTIF(계정대체기준!$A$6:$A$15,$N2112)&gt;0),IFERROR(INDEX(계정대체기준!$E$6:$E$15,MATCH(VALUE($A2112&amp;""),계정대체기준!$D$6:$D$15,0)),0),0))</f>
        <v/>
      </c>
      <c r="AH2112" s="64">
        <f>IF($A2112="","",IF(AD2112=0,"",IF(OR(COUNTIF(계정대체기준!$A$77:$A$86,$N2112)&gt;0,ISNUMBER(MATCH($X2112,계정대체기준!$D$77:$D$86,0)),ISNUMBER(MATCH($F2112,계정대체기준!$D$77:$D$86,0))),"Y","N")))</f>
        <v/>
      </c>
    </row>
    <row r="2113">
      <c r="A2113" s="92" t="n">
        <v>2025</v>
      </c>
      <c r="B2113" s="92" t="n">
        <v>10</v>
      </c>
      <c r="C2113" s="92" t="inlineStr">
        <is>
          <t>5100002109</t>
        </is>
      </c>
      <c r="D2113" s="95" t="n">
        <v>45939</v>
      </c>
      <c r="E2113" s="92" t="inlineStr">
        <is>
          <t>KR</t>
        </is>
      </c>
      <c r="F2113" s="92" t="n">
        <v>62902000</v>
      </c>
      <c r="G2113" s="92" t="n">
        <v>1101</v>
      </c>
      <c r="H2113" s="93" t="n">
        <v>1473000</v>
      </c>
      <c r="I2113" s="92" t="inlineStr">
        <is>
          <t>10월 업무 위탁 수수료 - X서비스</t>
        </is>
      </c>
      <c r="J2113" s="92" t="inlineStr">
        <is>
          <t>V10020</t>
        </is>
      </c>
      <c r="K2113" s="92" t="inlineStr">
        <is>
          <t>X서비스</t>
        </is>
      </c>
      <c r="M2113" s="9">
        <f>IF($A2113="","",VALUE($A2113&amp;"")*12+VALUE($B2113&amp;""))</f>
        <v/>
      </c>
      <c r="N2113" s="64">
        <f>IF($A2113="","",IFERROR(INDEX(부서매핑!$C$5:$C$504,MATCH($G2113&amp;"",부서매핑!$A$5:$A$504,0)),"미매핑"))</f>
        <v/>
      </c>
      <c r="O2113" s="9">
        <f>IF($A2113="","",N2113&amp;"|"&amp;$F2113)</f>
        <v/>
      </c>
      <c r="P2113" s="94">
        <f>IF($A2113="",0,$H2113*설정!$C$23)</f>
        <v/>
      </c>
      <c r="Q2113" s="64">
        <f>IF($A2113="","",IF(O2113&lt;&gt;원인분석!$C$9,"",IF(AND(M2113&gt;=원인분석!$C$10,M2113&lt;=원인분석!$C$11),"당기",IF(AND(M2113&gt;=원인분석!$C$12,M2113&lt;=원인분석!$C$13),"비교",""))))</f>
        <v/>
      </c>
      <c r="R2113" s="9">
        <f>IF(Q2113="","",$K2113&amp;"")</f>
        <v/>
      </c>
      <c r="S2113" s="9">
        <f>IF(Q2113="","",IF(MATCH(R2113,$R$5:$R$100000,0)=ROW()-4,ROW(),""))</f>
        <v/>
      </c>
      <c r="T2113" s="9">
        <f>IF(Q2113="당기",ABS(P2113)+ROW()/1000000000,"")</f>
        <v/>
      </c>
      <c r="U2113" s="9">
        <f>IF(Q2113="비교",ABS(P2113)+ROW()/1000000000,"")</f>
        <v/>
      </c>
      <c r="V2113" s="64">
        <f>IF($A2113="","",IF(COUNTIF(변동분석!$E$7:$E$506,O2113)&gt;0,"Y","N"))</f>
        <v/>
      </c>
      <c r="W2113" s="64">
        <f>IF($A2113="","",IFERROR(INDEX(계정매핑!$D$5:$D$504,MATCH($F2113&amp;"",계정매핑!$A$5:$A$504,0)),"미매핑"))</f>
        <v/>
      </c>
      <c r="X2113" s="9">
        <f>IF($A2113="","",$F2113&amp;"")</f>
        <v/>
      </c>
      <c r="Y2113" s="94">
        <f>IF($A2113="",0,IF(AE2113="직접",IF(AF2113="비귀속",$P2113,0),$P2113*(1-AG2113)*IFERROR(INDEX(계정대체기준!$F$20:$F$49,MATCH($N2113,계정대체기준!$A$20:$A$49,0)),1)))</f>
        <v/>
      </c>
      <c r="Z2113" s="94">
        <f>IF($A2113="",0,IF(AE2113="직접",IF(AF2113="신계약비",$P2113,0),$P2113*(1-AG2113)*IFERROR(INDEX(계정대체기준!$C$20:$C$49,MATCH($N2113,계정대체기준!$A$20:$A$49,0)),0)))</f>
        <v/>
      </c>
      <c r="AA2113" s="94">
        <f>IF($A2113="",0,IF(AE2113="직접",IF(OR(AF2113="유지비",AF2113="손해조사비"),$P2113,0),$P2113*(1-AG2113)*IFERROR(INDEX(계정대체기준!$D$20:$D$49,MATCH($N2113,계정대체기준!$A$20:$A$49,0)),0)))</f>
        <v/>
      </c>
      <c r="AB2113" s="94">
        <f>IF($A2113="",0,IF(AE2113="직접",IF(AF2113="수금비",$P2113,0),$P2113*(1-AG2113)*IFERROR(INDEX(계정대체기준!$E$20:$E$49,MATCH($N2113,계정대체기준!$A$20:$A$49,0)),0)))</f>
        <v/>
      </c>
      <c r="AC2113" s="9">
        <f>IF(AND($A2113&lt;&gt;"",M2113=설정!$C$20,Z2113&gt;0),Z2113+ROW()/1000000000,"")</f>
        <v/>
      </c>
      <c r="AD2113" s="94">
        <f>IF($A2113="",0,$P2113*AG2113)</f>
        <v/>
      </c>
      <c r="AE2113" s="64">
        <f>IF($A2113="","",IFERROR(INDEX(계정매핑!$E$5:$E$504,MATCH($F2113&amp;"",계정매핑!$A$5:$A$504,0))&amp;"","공통비"))</f>
        <v/>
      </c>
      <c r="AF2113" s="64">
        <f>IF($A2113="","",IF(AE2113="직접",IFERROR(INDEX(계정매핑!$F$5:$F$504,MATCH($F2113&amp;"",계정매핑!$A$5:$A$504,0))&amp;"","비귀속"),""))</f>
        <v/>
      </c>
      <c r="AG2113" s="96">
        <f>IF($A2113="",0,IF(AND(AE2113&lt;&gt;"직접",IFERROR(INDEX(계정매핑!$G$5:$G$504,MATCH($F2113&amp;"",계정매핑!$A$5:$A$504,0))&amp;"","")="유지비",COUNTIF(계정대체기준!$A$6:$A$15,$N2113)&gt;0),IFERROR(INDEX(계정대체기준!$E$6:$E$15,MATCH(VALUE($A2113&amp;""),계정대체기준!$D$6:$D$15,0)),0),0))</f>
        <v/>
      </c>
      <c r="AH2113" s="64">
        <f>IF($A2113="","",IF(AD2113=0,"",IF(OR(COUNTIF(계정대체기준!$A$77:$A$86,$N2113)&gt;0,ISNUMBER(MATCH($X2113,계정대체기준!$D$77:$D$86,0)),ISNUMBER(MATCH($F2113,계정대체기준!$D$77:$D$86,0))),"Y","N")))</f>
        <v/>
      </c>
    </row>
    <row r="2114">
      <c r="A2114" s="92" t="n">
        <v>2025</v>
      </c>
      <c r="B2114" s="92" t="n">
        <v>10</v>
      </c>
      <c r="C2114" s="92" t="inlineStr">
        <is>
          <t>5100002110</t>
        </is>
      </c>
      <c r="D2114" s="95" t="n">
        <v>45939</v>
      </c>
      <c r="E2114" s="92" t="inlineStr">
        <is>
          <t>KR</t>
        </is>
      </c>
      <c r="F2114" s="92" t="n">
        <v>63201000</v>
      </c>
      <c r="G2114" s="92" t="n">
        <v>1601</v>
      </c>
      <c r="H2114" s="93" t="n">
        <v>5694000</v>
      </c>
      <c r="I2114" s="92" t="inlineStr">
        <is>
          <t>10월 차량 유지 - D정비</t>
        </is>
      </c>
      <c r="J2114" s="92" t="inlineStr">
        <is>
          <t>V10025</t>
        </is>
      </c>
      <c r="K2114" s="92" t="inlineStr">
        <is>
          <t>D정비</t>
        </is>
      </c>
      <c r="M2114" s="9">
        <f>IF($A2114="","",VALUE($A2114&amp;"")*12+VALUE($B2114&amp;""))</f>
        <v/>
      </c>
      <c r="N2114" s="64">
        <f>IF($A2114="","",IFERROR(INDEX(부서매핑!$C$5:$C$504,MATCH($G2114&amp;"",부서매핑!$A$5:$A$504,0)),"미매핑"))</f>
        <v/>
      </c>
      <c r="O2114" s="9">
        <f>IF($A2114="","",N2114&amp;"|"&amp;$F2114)</f>
        <v/>
      </c>
      <c r="P2114" s="94">
        <f>IF($A2114="",0,$H2114*설정!$C$23)</f>
        <v/>
      </c>
      <c r="Q2114" s="64">
        <f>IF($A2114="","",IF(O2114&lt;&gt;원인분석!$C$9,"",IF(AND(M2114&gt;=원인분석!$C$10,M2114&lt;=원인분석!$C$11),"당기",IF(AND(M2114&gt;=원인분석!$C$12,M2114&lt;=원인분석!$C$13),"비교",""))))</f>
        <v/>
      </c>
      <c r="R2114" s="9">
        <f>IF(Q2114="","",$K2114&amp;"")</f>
        <v/>
      </c>
      <c r="S2114" s="9">
        <f>IF(Q2114="","",IF(MATCH(R2114,$R$5:$R$100000,0)=ROW()-4,ROW(),""))</f>
        <v/>
      </c>
      <c r="T2114" s="9">
        <f>IF(Q2114="당기",ABS(P2114)+ROW()/1000000000,"")</f>
        <v/>
      </c>
      <c r="U2114" s="9">
        <f>IF(Q2114="비교",ABS(P2114)+ROW()/1000000000,"")</f>
        <v/>
      </c>
      <c r="V2114" s="64">
        <f>IF($A2114="","",IF(COUNTIF(변동분석!$E$7:$E$506,O2114)&gt;0,"Y","N"))</f>
        <v/>
      </c>
      <c r="W2114" s="64">
        <f>IF($A2114="","",IFERROR(INDEX(계정매핑!$D$5:$D$504,MATCH($F2114&amp;"",계정매핑!$A$5:$A$504,0)),"미매핑"))</f>
        <v/>
      </c>
      <c r="X2114" s="9">
        <f>IF($A2114="","",$F2114&amp;"")</f>
        <v/>
      </c>
      <c r="Y2114" s="94">
        <f>IF($A2114="",0,IF(AE2114="직접",IF(AF2114="비귀속",$P2114,0),$P2114*(1-AG2114)*IFERROR(INDEX(계정대체기준!$F$20:$F$49,MATCH($N2114,계정대체기준!$A$20:$A$49,0)),1)))</f>
        <v/>
      </c>
      <c r="Z2114" s="94">
        <f>IF($A2114="",0,IF(AE2114="직접",IF(AF2114="신계약비",$P2114,0),$P2114*(1-AG2114)*IFERROR(INDEX(계정대체기준!$C$20:$C$49,MATCH($N2114,계정대체기준!$A$20:$A$49,0)),0)))</f>
        <v/>
      </c>
      <c r="AA2114" s="94">
        <f>IF($A2114="",0,IF(AE2114="직접",IF(OR(AF2114="유지비",AF2114="손해조사비"),$P2114,0),$P2114*(1-AG2114)*IFERROR(INDEX(계정대체기준!$D$20:$D$49,MATCH($N2114,계정대체기준!$A$20:$A$49,0)),0)))</f>
        <v/>
      </c>
      <c r="AB2114" s="94">
        <f>IF($A2114="",0,IF(AE2114="직접",IF(AF2114="수금비",$P2114,0),$P2114*(1-AG2114)*IFERROR(INDEX(계정대체기준!$E$20:$E$49,MATCH($N2114,계정대체기준!$A$20:$A$49,0)),0)))</f>
        <v/>
      </c>
      <c r="AC2114" s="9">
        <f>IF(AND($A2114&lt;&gt;"",M2114=설정!$C$20,Z2114&gt;0),Z2114+ROW()/1000000000,"")</f>
        <v/>
      </c>
      <c r="AD2114" s="94">
        <f>IF($A2114="",0,$P2114*AG2114)</f>
        <v/>
      </c>
      <c r="AE2114" s="64">
        <f>IF($A2114="","",IFERROR(INDEX(계정매핑!$E$5:$E$504,MATCH($F2114&amp;"",계정매핑!$A$5:$A$504,0))&amp;"","공통비"))</f>
        <v/>
      </c>
      <c r="AF2114" s="64">
        <f>IF($A2114="","",IF(AE2114="직접",IFERROR(INDEX(계정매핑!$F$5:$F$504,MATCH($F2114&amp;"",계정매핑!$A$5:$A$504,0))&amp;"","비귀속"),""))</f>
        <v/>
      </c>
      <c r="AG2114" s="96">
        <f>IF($A2114="",0,IF(AND(AE2114&lt;&gt;"직접",IFERROR(INDEX(계정매핑!$G$5:$G$504,MATCH($F2114&amp;"",계정매핑!$A$5:$A$504,0))&amp;"","")="유지비",COUNTIF(계정대체기준!$A$6:$A$15,$N2114)&gt;0),IFERROR(INDEX(계정대체기준!$E$6:$E$15,MATCH(VALUE($A2114&amp;""),계정대체기준!$D$6:$D$15,0)),0),0))</f>
        <v/>
      </c>
      <c r="AH2114" s="64">
        <f>IF($A2114="","",IF(AD2114=0,"",IF(OR(COUNTIF(계정대체기준!$A$77:$A$86,$N2114)&gt;0,ISNUMBER(MATCH($X2114,계정대체기준!$D$77:$D$86,0)),ISNUMBER(MATCH($F2114,계정대체기준!$D$77:$D$86,0))),"Y","N")))</f>
        <v/>
      </c>
    </row>
    <row r="2115">
      <c r="A2115" s="92" t="n">
        <v>2025</v>
      </c>
      <c r="B2115" s="92" t="n">
        <v>10</v>
      </c>
      <c r="C2115" s="92" t="inlineStr">
        <is>
          <t>5100002111</t>
        </is>
      </c>
      <c r="D2115" s="95" t="n">
        <v>45940</v>
      </c>
      <c r="E2115" s="92" t="inlineStr">
        <is>
          <t>KR</t>
        </is>
      </c>
      <c r="F2115" s="92" t="n">
        <v>62102000</v>
      </c>
      <c r="G2115" s="92" t="n">
        <v>1401</v>
      </c>
      <c r="H2115" s="93" t="n">
        <v>97000</v>
      </c>
      <c r="I2115" s="92" t="inlineStr">
        <is>
          <t>10월 해외출장 - N호텔</t>
        </is>
      </c>
      <c r="J2115" s="92" t="inlineStr">
        <is>
          <t>V10009</t>
        </is>
      </c>
      <c r="K2115" s="92" t="inlineStr">
        <is>
          <t>N호텔</t>
        </is>
      </c>
      <c r="M2115" s="9">
        <f>IF($A2115="","",VALUE($A2115&amp;"")*12+VALUE($B2115&amp;""))</f>
        <v/>
      </c>
      <c r="N2115" s="64">
        <f>IF($A2115="","",IFERROR(INDEX(부서매핑!$C$5:$C$504,MATCH($G2115&amp;"",부서매핑!$A$5:$A$504,0)),"미매핑"))</f>
        <v/>
      </c>
      <c r="O2115" s="9">
        <f>IF($A2115="","",N2115&amp;"|"&amp;$F2115)</f>
        <v/>
      </c>
      <c r="P2115" s="94">
        <f>IF($A2115="",0,$H2115*설정!$C$23)</f>
        <v/>
      </c>
      <c r="Q2115" s="64">
        <f>IF($A2115="","",IF(O2115&lt;&gt;원인분석!$C$9,"",IF(AND(M2115&gt;=원인분석!$C$10,M2115&lt;=원인분석!$C$11),"당기",IF(AND(M2115&gt;=원인분석!$C$12,M2115&lt;=원인분석!$C$13),"비교",""))))</f>
        <v/>
      </c>
      <c r="R2115" s="9">
        <f>IF(Q2115="","",$K2115&amp;"")</f>
        <v/>
      </c>
      <c r="S2115" s="9">
        <f>IF(Q2115="","",IF(MATCH(R2115,$R$5:$R$100000,0)=ROW()-4,ROW(),""))</f>
        <v/>
      </c>
      <c r="T2115" s="9">
        <f>IF(Q2115="당기",ABS(P2115)+ROW()/1000000000,"")</f>
        <v/>
      </c>
      <c r="U2115" s="9">
        <f>IF(Q2115="비교",ABS(P2115)+ROW()/1000000000,"")</f>
        <v/>
      </c>
      <c r="V2115" s="64">
        <f>IF($A2115="","",IF(COUNTIF(변동분석!$E$7:$E$506,O2115)&gt;0,"Y","N"))</f>
        <v/>
      </c>
      <c r="W2115" s="64">
        <f>IF($A2115="","",IFERROR(INDEX(계정매핑!$D$5:$D$504,MATCH($F2115&amp;"",계정매핑!$A$5:$A$504,0)),"미매핑"))</f>
        <v/>
      </c>
      <c r="X2115" s="9">
        <f>IF($A2115="","",$F2115&amp;"")</f>
        <v/>
      </c>
      <c r="Y2115" s="94">
        <f>IF($A2115="",0,IF(AE2115="직접",IF(AF2115="비귀속",$P2115,0),$P2115*(1-AG2115)*IFERROR(INDEX(계정대체기준!$F$20:$F$49,MATCH($N2115,계정대체기준!$A$20:$A$49,0)),1)))</f>
        <v/>
      </c>
      <c r="Z2115" s="94">
        <f>IF($A2115="",0,IF(AE2115="직접",IF(AF2115="신계약비",$P2115,0),$P2115*(1-AG2115)*IFERROR(INDEX(계정대체기준!$C$20:$C$49,MATCH($N2115,계정대체기준!$A$20:$A$49,0)),0)))</f>
        <v/>
      </c>
      <c r="AA2115" s="94">
        <f>IF($A2115="",0,IF(AE2115="직접",IF(OR(AF2115="유지비",AF2115="손해조사비"),$P2115,0),$P2115*(1-AG2115)*IFERROR(INDEX(계정대체기준!$D$20:$D$49,MATCH($N2115,계정대체기준!$A$20:$A$49,0)),0)))</f>
        <v/>
      </c>
      <c r="AB2115" s="94">
        <f>IF($A2115="",0,IF(AE2115="직접",IF(AF2115="수금비",$P2115,0),$P2115*(1-AG2115)*IFERROR(INDEX(계정대체기준!$E$20:$E$49,MATCH($N2115,계정대체기준!$A$20:$A$49,0)),0)))</f>
        <v/>
      </c>
      <c r="AC2115" s="9">
        <f>IF(AND($A2115&lt;&gt;"",M2115=설정!$C$20,Z2115&gt;0),Z2115+ROW()/1000000000,"")</f>
        <v/>
      </c>
      <c r="AD2115" s="94">
        <f>IF($A2115="",0,$P2115*AG2115)</f>
        <v/>
      </c>
      <c r="AE2115" s="64">
        <f>IF($A2115="","",IFERROR(INDEX(계정매핑!$E$5:$E$504,MATCH($F2115&amp;"",계정매핑!$A$5:$A$504,0))&amp;"","공통비"))</f>
        <v/>
      </c>
      <c r="AF2115" s="64">
        <f>IF($A2115="","",IF(AE2115="직접",IFERROR(INDEX(계정매핑!$F$5:$F$504,MATCH($F2115&amp;"",계정매핑!$A$5:$A$504,0))&amp;"","비귀속"),""))</f>
        <v/>
      </c>
      <c r="AG2115" s="96">
        <f>IF($A2115="",0,IF(AND(AE2115&lt;&gt;"직접",IFERROR(INDEX(계정매핑!$G$5:$G$504,MATCH($F2115&amp;"",계정매핑!$A$5:$A$504,0))&amp;"","")="유지비",COUNTIF(계정대체기준!$A$6:$A$15,$N2115)&gt;0),IFERROR(INDEX(계정대체기준!$E$6:$E$15,MATCH(VALUE($A2115&amp;""),계정대체기준!$D$6:$D$15,0)),0),0))</f>
        <v/>
      </c>
      <c r="AH2115" s="64">
        <f>IF($A2115="","",IF(AD2115=0,"",IF(OR(COUNTIF(계정대체기준!$A$77:$A$86,$N2115)&gt;0,ISNUMBER(MATCH($X2115,계정대체기준!$D$77:$D$86,0)),ISNUMBER(MATCH($F2115,계정대체기준!$D$77:$D$86,0))),"Y","N")))</f>
        <v/>
      </c>
    </row>
    <row r="2116">
      <c r="A2116" s="92" t="n">
        <v>2025</v>
      </c>
      <c r="B2116" s="92" t="n">
        <v>10</v>
      </c>
      <c r="C2116" s="92" t="inlineStr">
        <is>
          <t>5100002112</t>
        </is>
      </c>
      <c r="D2116" s="95" t="n">
        <v>45940</v>
      </c>
      <c r="E2116" s="92" t="inlineStr">
        <is>
          <t>KR</t>
        </is>
      </c>
      <c r="F2116" s="92" t="n">
        <v>62201000</v>
      </c>
      <c r="G2116" s="92" t="n">
        <v>1301</v>
      </c>
      <c r="H2116" s="93" t="n">
        <v>184000</v>
      </c>
      <c r="I2116" s="92" t="inlineStr">
        <is>
          <t>10월 통신요금 - O텔레콤</t>
        </is>
      </c>
      <c r="J2116" s="92" t="inlineStr">
        <is>
          <t>V10002</t>
        </is>
      </c>
      <c r="K2116" s="92" t="inlineStr">
        <is>
          <t>O텔레콤</t>
        </is>
      </c>
      <c r="M2116" s="9">
        <f>IF($A2116="","",VALUE($A2116&amp;"")*12+VALUE($B2116&amp;""))</f>
        <v/>
      </c>
      <c r="N2116" s="64">
        <f>IF($A2116="","",IFERROR(INDEX(부서매핑!$C$5:$C$504,MATCH($G2116&amp;"",부서매핑!$A$5:$A$504,0)),"미매핑"))</f>
        <v/>
      </c>
      <c r="O2116" s="9">
        <f>IF($A2116="","",N2116&amp;"|"&amp;$F2116)</f>
        <v/>
      </c>
      <c r="P2116" s="94">
        <f>IF($A2116="",0,$H2116*설정!$C$23)</f>
        <v/>
      </c>
      <c r="Q2116" s="64">
        <f>IF($A2116="","",IF(O2116&lt;&gt;원인분석!$C$9,"",IF(AND(M2116&gt;=원인분석!$C$10,M2116&lt;=원인분석!$C$11),"당기",IF(AND(M2116&gt;=원인분석!$C$12,M2116&lt;=원인분석!$C$13),"비교",""))))</f>
        <v/>
      </c>
      <c r="R2116" s="9">
        <f>IF(Q2116="","",$K2116&amp;"")</f>
        <v/>
      </c>
      <c r="S2116" s="9">
        <f>IF(Q2116="","",IF(MATCH(R2116,$R$5:$R$100000,0)=ROW()-4,ROW(),""))</f>
        <v/>
      </c>
      <c r="T2116" s="9">
        <f>IF(Q2116="당기",ABS(P2116)+ROW()/1000000000,"")</f>
        <v/>
      </c>
      <c r="U2116" s="9">
        <f>IF(Q2116="비교",ABS(P2116)+ROW()/1000000000,"")</f>
        <v/>
      </c>
      <c r="V2116" s="64">
        <f>IF($A2116="","",IF(COUNTIF(변동분석!$E$7:$E$506,O2116)&gt;0,"Y","N"))</f>
        <v/>
      </c>
      <c r="W2116" s="64">
        <f>IF($A2116="","",IFERROR(INDEX(계정매핑!$D$5:$D$504,MATCH($F2116&amp;"",계정매핑!$A$5:$A$504,0)),"미매핑"))</f>
        <v/>
      </c>
      <c r="X2116" s="9">
        <f>IF($A2116="","",$F2116&amp;"")</f>
        <v/>
      </c>
      <c r="Y2116" s="94">
        <f>IF($A2116="",0,IF(AE2116="직접",IF(AF2116="비귀속",$P2116,0),$P2116*(1-AG2116)*IFERROR(INDEX(계정대체기준!$F$20:$F$49,MATCH($N2116,계정대체기준!$A$20:$A$49,0)),1)))</f>
        <v/>
      </c>
      <c r="Z2116" s="94">
        <f>IF($A2116="",0,IF(AE2116="직접",IF(AF2116="신계약비",$P2116,0),$P2116*(1-AG2116)*IFERROR(INDEX(계정대체기준!$C$20:$C$49,MATCH($N2116,계정대체기준!$A$20:$A$49,0)),0)))</f>
        <v/>
      </c>
      <c r="AA2116" s="94">
        <f>IF($A2116="",0,IF(AE2116="직접",IF(OR(AF2116="유지비",AF2116="손해조사비"),$P2116,0),$P2116*(1-AG2116)*IFERROR(INDEX(계정대체기준!$D$20:$D$49,MATCH($N2116,계정대체기준!$A$20:$A$49,0)),0)))</f>
        <v/>
      </c>
      <c r="AB2116" s="94">
        <f>IF($A2116="",0,IF(AE2116="직접",IF(AF2116="수금비",$P2116,0),$P2116*(1-AG2116)*IFERROR(INDEX(계정대체기준!$E$20:$E$49,MATCH($N2116,계정대체기준!$A$20:$A$49,0)),0)))</f>
        <v/>
      </c>
      <c r="AC2116" s="9">
        <f>IF(AND($A2116&lt;&gt;"",M2116=설정!$C$20,Z2116&gt;0),Z2116+ROW()/1000000000,"")</f>
        <v/>
      </c>
      <c r="AD2116" s="94">
        <f>IF($A2116="",0,$P2116*AG2116)</f>
        <v/>
      </c>
      <c r="AE2116" s="64">
        <f>IF($A2116="","",IFERROR(INDEX(계정매핑!$E$5:$E$504,MATCH($F2116&amp;"",계정매핑!$A$5:$A$504,0))&amp;"","공통비"))</f>
        <v/>
      </c>
      <c r="AF2116" s="64">
        <f>IF($A2116="","",IF(AE2116="직접",IFERROR(INDEX(계정매핑!$F$5:$F$504,MATCH($F2116&amp;"",계정매핑!$A$5:$A$504,0))&amp;"","비귀속"),""))</f>
        <v/>
      </c>
      <c r="AG2116" s="96">
        <f>IF($A2116="",0,IF(AND(AE2116&lt;&gt;"직접",IFERROR(INDEX(계정매핑!$G$5:$G$504,MATCH($F2116&amp;"",계정매핑!$A$5:$A$504,0))&amp;"","")="유지비",COUNTIF(계정대체기준!$A$6:$A$15,$N2116)&gt;0),IFERROR(INDEX(계정대체기준!$E$6:$E$15,MATCH(VALUE($A2116&amp;""),계정대체기준!$D$6:$D$15,0)),0),0))</f>
        <v/>
      </c>
      <c r="AH2116" s="64">
        <f>IF($A2116="","",IF(AD2116=0,"",IF(OR(COUNTIF(계정대체기준!$A$77:$A$86,$N2116)&gt;0,ISNUMBER(MATCH($X2116,계정대체기준!$D$77:$D$86,0)),ISNUMBER(MATCH($F2116,계정대체기준!$D$77:$D$86,0))),"Y","N")))</f>
        <v/>
      </c>
    </row>
    <row r="2117">
      <c r="A2117" s="92" t="n">
        <v>2025</v>
      </c>
      <c r="B2117" s="92" t="n">
        <v>10</v>
      </c>
      <c r="C2117" s="92" t="inlineStr">
        <is>
          <t>5100002113</t>
        </is>
      </c>
      <c r="D2117" s="95" t="n">
        <v>45940</v>
      </c>
      <c r="E2117" s="92" t="inlineStr">
        <is>
          <t>KR</t>
        </is>
      </c>
      <c r="F2117" s="92" t="n">
        <v>62201000</v>
      </c>
      <c r="G2117" s="92" t="n">
        <v>1951</v>
      </c>
      <c r="H2117" s="93" t="n">
        <v>217000</v>
      </c>
      <c r="I2117" s="92" t="inlineStr">
        <is>
          <t>10월 통신요금 - P통신</t>
        </is>
      </c>
      <c r="J2117" s="92" t="inlineStr">
        <is>
          <t>V10014</t>
        </is>
      </c>
      <c r="K2117" s="92" t="inlineStr">
        <is>
          <t>P통신</t>
        </is>
      </c>
      <c r="M2117" s="9">
        <f>IF($A2117="","",VALUE($A2117&amp;"")*12+VALUE($B2117&amp;""))</f>
        <v/>
      </c>
      <c r="N2117" s="64">
        <f>IF($A2117="","",IFERROR(INDEX(부서매핑!$C$5:$C$504,MATCH($G2117&amp;"",부서매핑!$A$5:$A$504,0)),"미매핑"))</f>
        <v/>
      </c>
      <c r="O2117" s="9">
        <f>IF($A2117="","",N2117&amp;"|"&amp;$F2117)</f>
        <v/>
      </c>
      <c r="P2117" s="94">
        <f>IF($A2117="",0,$H2117*설정!$C$23)</f>
        <v/>
      </c>
      <c r="Q2117" s="64">
        <f>IF($A2117="","",IF(O2117&lt;&gt;원인분석!$C$9,"",IF(AND(M2117&gt;=원인분석!$C$10,M2117&lt;=원인분석!$C$11),"당기",IF(AND(M2117&gt;=원인분석!$C$12,M2117&lt;=원인분석!$C$13),"비교",""))))</f>
        <v/>
      </c>
      <c r="R2117" s="9">
        <f>IF(Q2117="","",$K2117&amp;"")</f>
        <v/>
      </c>
      <c r="S2117" s="9">
        <f>IF(Q2117="","",IF(MATCH(R2117,$R$5:$R$100000,0)=ROW()-4,ROW(),""))</f>
        <v/>
      </c>
      <c r="T2117" s="9">
        <f>IF(Q2117="당기",ABS(P2117)+ROW()/1000000000,"")</f>
        <v/>
      </c>
      <c r="U2117" s="9">
        <f>IF(Q2117="비교",ABS(P2117)+ROW()/1000000000,"")</f>
        <v/>
      </c>
      <c r="V2117" s="64">
        <f>IF($A2117="","",IF(COUNTIF(변동분석!$E$7:$E$506,O2117)&gt;0,"Y","N"))</f>
        <v/>
      </c>
      <c r="W2117" s="64">
        <f>IF($A2117="","",IFERROR(INDEX(계정매핑!$D$5:$D$504,MATCH($F2117&amp;"",계정매핑!$A$5:$A$504,0)),"미매핑"))</f>
        <v/>
      </c>
      <c r="X2117" s="9">
        <f>IF($A2117="","",$F2117&amp;"")</f>
        <v/>
      </c>
      <c r="Y2117" s="94">
        <f>IF($A2117="",0,IF(AE2117="직접",IF(AF2117="비귀속",$P2117,0),$P2117*(1-AG2117)*IFERROR(INDEX(계정대체기준!$F$20:$F$49,MATCH($N2117,계정대체기준!$A$20:$A$49,0)),1)))</f>
        <v/>
      </c>
      <c r="Z2117" s="94">
        <f>IF($A2117="",0,IF(AE2117="직접",IF(AF2117="신계약비",$P2117,0),$P2117*(1-AG2117)*IFERROR(INDEX(계정대체기준!$C$20:$C$49,MATCH($N2117,계정대체기준!$A$20:$A$49,0)),0)))</f>
        <v/>
      </c>
      <c r="AA2117" s="94">
        <f>IF($A2117="",0,IF(AE2117="직접",IF(OR(AF2117="유지비",AF2117="손해조사비"),$P2117,0),$P2117*(1-AG2117)*IFERROR(INDEX(계정대체기준!$D$20:$D$49,MATCH($N2117,계정대체기준!$A$20:$A$49,0)),0)))</f>
        <v/>
      </c>
      <c r="AB2117" s="94">
        <f>IF($A2117="",0,IF(AE2117="직접",IF(AF2117="수금비",$P2117,0),$P2117*(1-AG2117)*IFERROR(INDEX(계정대체기준!$E$20:$E$49,MATCH($N2117,계정대체기준!$A$20:$A$49,0)),0)))</f>
        <v/>
      </c>
      <c r="AC2117" s="9">
        <f>IF(AND($A2117&lt;&gt;"",M2117=설정!$C$20,Z2117&gt;0),Z2117+ROW()/1000000000,"")</f>
        <v/>
      </c>
      <c r="AD2117" s="94">
        <f>IF($A2117="",0,$P2117*AG2117)</f>
        <v/>
      </c>
      <c r="AE2117" s="64">
        <f>IF($A2117="","",IFERROR(INDEX(계정매핑!$E$5:$E$504,MATCH($F2117&amp;"",계정매핑!$A$5:$A$504,0))&amp;"","공통비"))</f>
        <v/>
      </c>
      <c r="AF2117" s="64">
        <f>IF($A2117="","",IF(AE2117="직접",IFERROR(INDEX(계정매핑!$F$5:$F$504,MATCH($F2117&amp;"",계정매핑!$A$5:$A$504,0))&amp;"","비귀속"),""))</f>
        <v/>
      </c>
      <c r="AG2117" s="96">
        <f>IF($A2117="",0,IF(AND(AE2117&lt;&gt;"직접",IFERROR(INDEX(계정매핑!$G$5:$G$504,MATCH($F2117&amp;"",계정매핑!$A$5:$A$504,0))&amp;"","")="유지비",COUNTIF(계정대체기준!$A$6:$A$15,$N2117)&gt;0),IFERROR(INDEX(계정대체기준!$E$6:$E$15,MATCH(VALUE($A2117&amp;""),계정대체기준!$D$6:$D$15,0)),0),0))</f>
        <v/>
      </c>
      <c r="AH2117" s="64">
        <f>IF($A2117="","",IF(AD2117=0,"",IF(OR(COUNTIF(계정대체기준!$A$77:$A$86,$N2117)&gt;0,ISNUMBER(MATCH($X2117,계정대체기준!$D$77:$D$86,0)),ISNUMBER(MATCH($F2117,계정대체기준!$D$77:$D$86,0))),"Y","N")))</f>
        <v/>
      </c>
    </row>
    <row r="2118">
      <c r="A2118" s="92" t="n">
        <v>2025</v>
      </c>
      <c r="B2118" s="92" t="n">
        <v>10</v>
      </c>
      <c r="C2118" s="92" t="inlineStr">
        <is>
          <t>5100002114</t>
        </is>
      </c>
      <c r="D2118" s="95" t="n">
        <v>45940</v>
      </c>
      <c r="E2118" s="92" t="inlineStr">
        <is>
          <t>KR</t>
        </is>
      </c>
      <c r="F2118" s="92" t="n">
        <v>62301000</v>
      </c>
      <c r="G2118" s="92" t="n">
        <v>1401</v>
      </c>
      <c r="H2118" s="93" t="n">
        <v>97000</v>
      </c>
      <c r="I2118" s="92" t="inlineStr">
        <is>
          <t>10월 소모품 구입 - Q오피스</t>
        </is>
      </c>
      <c r="J2118" s="92" t="inlineStr">
        <is>
          <t>V10003</t>
        </is>
      </c>
      <c r="K2118" s="92" t="inlineStr">
        <is>
          <t>Q오피스</t>
        </is>
      </c>
      <c r="M2118" s="9">
        <f>IF($A2118="","",VALUE($A2118&amp;"")*12+VALUE($B2118&amp;""))</f>
        <v/>
      </c>
      <c r="N2118" s="64">
        <f>IF($A2118="","",IFERROR(INDEX(부서매핑!$C$5:$C$504,MATCH($G2118&amp;"",부서매핑!$A$5:$A$504,0)),"미매핑"))</f>
        <v/>
      </c>
      <c r="O2118" s="9">
        <f>IF($A2118="","",N2118&amp;"|"&amp;$F2118)</f>
        <v/>
      </c>
      <c r="P2118" s="94">
        <f>IF($A2118="",0,$H2118*설정!$C$23)</f>
        <v/>
      </c>
      <c r="Q2118" s="64">
        <f>IF($A2118="","",IF(O2118&lt;&gt;원인분석!$C$9,"",IF(AND(M2118&gt;=원인분석!$C$10,M2118&lt;=원인분석!$C$11),"당기",IF(AND(M2118&gt;=원인분석!$C$12,M2118&lt;=원인분석!$C$13),"비교",""))))</f>
        <v/>
      </c>
      <c r="R2118" s="9">
        <f>IF(Q2118="","",$K2118&amp;"")</f>
        <v/>
      </c>
      <c r="S2118" s="9">
        <f>IF(Q2118="","",IF(MATCH(R2118,$R$5:$R$100000,0)=ROW()-4,ROW(),""))</f>
        <v/>
      </c>
      <c r="T2118" s="9">
        <f>IF(Q2118="당기",ABS(P2118)+ROW()/1000000000,"")</f>
        <v/>
      </c>
      <c r="U2118" s="9">
        <f>IF(Q2118="비교",ABS(P2118)+ROW()/1000000000,"")</f>
        <v/>
      </c>
      <c r="V2118" s="64">
        <f>IF($A2118="","",IF(COUNTIF(변동분석!$E$7:$E$506,O2118)&gt;0,"Y","N"))</f>
        <v/>
      </c>
      <c r="W2118" s="64">
        <f>IF($A2118="","",IFERROR(INDEX(계정매핑!$D$5:$D$504,MATCH($F2118&amp;"",계정매핑!$A$5:$A$504,0)),"미매핑"))</f>
        <v/>
      </c>
      <c r="X2118" s="9">
        <f>IF($A2118="","",$F2118&amp;"")</f>
        <v/>
      </c>
      <c r="Y2118" s="94">
        <f>IF($A2118="",0,IF(AE2118="직접",IF(AF2118="비귀속",$P2118,0),$P2118*(1-AG2118)*IFERROR(INDEX(계정대체기준!$F$20:$F$49,MATCH($N2118,계정대체기준!$A$20:$A$49,0)),1)))</f>
        <v/>
      </c>
      <c r="Z2118" s="94">
        <f>IF($A2118="",0,IF(AE2118="직접",IF(AF2118="신계약비",$P2118,0),$P2118*(1-AG2118)*IFERROR(INDEX(계정대체기준!$C$20:$C$49,MATCH($N2118,계정대체기준!$A$20:$A$49,0)),0)))</f>
        <v/>
      </c>
      <c r="AA2118" s="94">
        <f>IF($A2118="",0,IF(AE2118="직접",IF(OR(AF2118="유지비",AF2118="손해조사비"),$P2118,0),$P2118*(1-AG2118)*IFERROR(INDEX(계정대체기준!$D$20:$D$49,MATCH($N2118,계정대체기준!$A$20:$A$49,0)),0)))</f>
        <v/>
      </c>
      <c r="AB2118" s="94">
        <f>IF($A2118="",0,IF(AE2118="직접",IF(AF2118="수금비",$P2118,0),$P2118*(1-AG2118)*IFERROR(INDEX(계정대체기준!$E$20:$E$49,MATCH($N2118,계정대체기준!$A$20:$A$49,0)),0)))</f>
        <v/>
      </c>
      <c r="AC2118" s="9">
        <f>IF(AND($A2118&lt;&gt;"",M2118=설정!$C$20,Z2118&gt;0),Z2118+ROW()/1000000000,"")</f>
        <v/>
      </c>
      <c r="AD2118" s="94">
        <f>IF($A2118="",0,$P2118*AG2118)</f>
        <v/>
      </c>
      <c r="AE2118" s="64">
        <f>IF($A2118="","",IFERROR(INDEX(계정매핑!$E$5:$E$504,MATCH($F2118&amp;"",계정매핑!$A$5:$A$504,0))&amp;"","공통비"))</f>
        <v/>
      </c>
      <c r="AF2118" s="64">
        <f>IF($A2118="","",IF(AE2118="직접",IFERROR(INDEX(계정매핑!$F$5:$F$504,MATCH($F2118&amp;"",계정매핑!$A$5:$A$504,0))&amp;"","비귀속"),""))</f>
        <v/>
      </c>
      <c r="AG2118" s="96">
        <f>IF($A2118="",0,IF(AND(AE2118&lt;&gt;"직접",IFERROR(INDEX(계정매핑!$G$5:$G$504,MATCH($F2118&amp;"",계정매핑!$A$5:$A$504,0))&amp;"","")="유지비",COUNTIF(계정대체기준!$A$6:$A$15,$N2118)&gt;0),IFERROR(INDEX(계정대체기준!$E$6:$E$15,MATCH(VALUE($A2118&amp;""),계정대체기준!$D$6:$D$15,0)),0),0))</f>
        <v/>
      </c>
      <c r="AH2118" s="64">
        <f>IF($A2118="","",IF(AD2118=0,"",IF(OR(COUNTIF(계정대체기준!$A$77:$A$86,$N2118)&gt;0,ISNUMBER(MATCH($X2118,계정대체기준!$D$77:$D$86,0)),ISNUMBER(MATCH($F2118,계정대체기준!$D$77:$D$86,0))),"Y","N")))</f>
        <v/>
      </c>
    </row>
    <row r="2119">
      <c r="A2119" s="92" t="n">
        <v>2025</v>
      </c>
      <c r="B2119" s="92" t="n">
        <v>10</v>
      </c>
      <c r="C2119" s="92" t="inlineStr">
        <is>
          <t>5100002115</t>
        </is>
      </c>
      <c r="D2119" s="95" t="n">
        <v>45940</v>
      </c>
      <c r="E2119" s="92" t="inlineStr">
        <is>
          <t>KR</t>
        </is>
      </c>
      <c r="F2119" s="92" t="n">
        <v>62701000</v>
      </c>
      <c r="G2119" s="92" t="n">
        <v>1501</v>
      </c>
      <c r="H2119" s="93" t="n">
        <v>117416000</v>
      </c>
      <c r="I2119" s="92" t="inlineStr">
        <is>
          <t>10월 광고 집행 - F애드</t>
        </is>
      </c>
      <c r="J2119" s="92" t="inlineStr">
        <is>
          <t>V10023</t>
        </is>
      </c>
      <c r="K2119" s="92" t="inlineStr">
        <is>
          <t>F애드</t>
        </is>
      </c>
      <c r="M2119" s="9">
        <f>IF($A2119="","",VALUE($A2119&amp;"")*12+VALUE($B2119&amp;""))</f>
        <v/>
      </c>
      <c r="N2119" s="64">
        <f>IF($A2119="","",IFERROR(INDEX(부서매핑!$C$5:$C$504,MATCH($G2119&amp;"",부서매핑!$A$5:$A$504,0)),"미매핑"))</f>
        <v/>
      </c>
      <c r="O2119" s="9">
        <f>IF($A2119="","",N2119&amp;"|"&amp;$F2119)</f>
        <v/>
      </c>
      <c r="P2119" s="94">
        <f>IF($A2119="",0,$H2119*설정!$C$23)</f>
        <v/>
      </c>
      <c r="Q2119" s="64">
        <f>IF($A2119="","",IF(O2119&lt;&gt;원인분석!$C$9,"",IF(AND(M2119&gt;=원인분석!$C$10,M2119&lt;=원인분석!$C$11),"당기",IF(AND(M2119&gt;=원인분석!$C$12,M2119&lt;=원인분석!$C$13),"비교",""))))</f>
        <v/>
      </c>
      <c r="R2119" s="9">
        <f>IF(Q2119="","",$K2119&amp;"")</f>
        <v/>
      </c>
      <c r="S2119" s="9">
        <f>IF(Q2119="","",IF(MATCH(R2119,$R$5:$R$100000,0)=ROW()-4,ROW(),""))</f>
        <v/>
      </c>
      <c r="T2119" s="9">
        <f>IF(Q2119="당기",ABS(P2119)+ROW()/1000000000,"")</f>
        <v/>
      </c>
      <c r="U2119" s="9">
        <f>IF(Q2119="비교",ABS(P2119)+ROW()/1000000000,"")</f>
        <v/>
      </c>
      <c r="V2119" s="64">
        <f>IF($A2119="","",IF(COUNTIF(변동분석!$E$7:$E$506,O2119)&gt;0,"Y","N"))</f>
        <v/>
      </c>
      <c r="W2119" s="64">
        <f>IF($A2119="","",IFERROR(INDEX(계정매핑!$D$5:$D$504,MATCH($F2119&amp;"",계정매핑!$A$5:$A$504,0)),"미매핑"))</f>
        <v/>
      </c>
      <c r="X2119" s="9">
        <f>IF($A2119="","",$F2119&amp;"")</f>
        <v/>
      </c>
      <c r="Y2119" s="94">
        <f>IF($A2119="",0,IF(AE2119="직접",IF(AF2119="비귀속",$P2119,0),$P2119*(1-AG2119)*IFERROR(INDEX(계정대체기준!$F$20:$F$49,MATCH($N2119,계정대체기준!$A$20:$A$49,0)),1)))</f>
        <v/>
      </c>
      <c r="Z2119" s="94">
        <f>IF($A2119="",0,IF(AE2119="직접",IF(AF2119="신계약비",$P2119,0),$P2119*(1-AG2119)*IFERROR(INDEX(계정대체기준!$C$20:$C$49,MATCH($N2119,계정대체기준!$A$20:$A$49,0)),0)))</f>
        <v/>
      </c>
      <c r="AA2119" s="94">
        <f>IF($A2119="",0,IF(AE2119="직접",IF(OR(AF2119="유지비",AF2119="손해조사비"),$P2119,0),$P2119*(1-AG2119)*IFERROR(INDEX(계정대체기준!$D$20:$D$49,MATCH($N2119,계정대체기준!$A$20:$A$49,0)),0)))</f>
        <v/>
      </c>
      <c r="AB2119" s="94">
        <f>IF($A2119="",0,IF(AE2119="직접",IF(AF2119="수금비",$P2119,0),$P2119*(1-AG2119)*IFERROR(INDEX(계정대체기준!$E$20:$E$49,MATCH($N2119,계정대체기준!$A$20:$A$49,0)),0)))</f>
        <v/>
      </c>
      <c r="AC2119" s="9">
        <f>IF(AND($A2119&lt;&gt;"",M2119=설정!$C$20,Z2119&gt;0),Z2119+ROW()/1000000000,"")</f>
        <v/>
      </c>
      <c r="AD2119" s="94">
        <f>IF($A2119="",0,$P2119*AG2119)</f>
        <v/>
      </c>
      <c r="AE2119" s="64">
        <f>IF($A2119="","",IFERROR(INDEX(계정매핑!$E$5:$E$504,MATCH($F2119&amp;"",계정매핑!$A$5:$A$504,0))&amp;"","공통비"))</f>
        <v/>
      </c>
      <c r="AF2119" s="64">
        <f>IF($A2119="","",IF(AE2119="직접",IFERROR(INDEX(계정매핑!$F$5:$F$504,MATCH($F2119&amp;"",계정매핑!$A$5:$A$504,0))&amp;"","비귀속"),""))</f>
        <v/>
      </c>
      <c r="AG2119" s="96">
        <f>IF($A2119="",0,IF(AND(AE2119&lt;&gt;"직접",IFERROR(INDEX(계정매핑!$G$5:$G$504,MATCH($F2119&amp;"",계정매핑!$A$5:$A$504,0))&amp;"","")="유지비",COUNTIF(계정대체기준!$A$6:$A$15,$N2119)&gt;0),IFERROR(INDEX(계정대체기준!$E$6:$E$15,MATCH(VALUE($A2119&amp;""),계정대체기준!$D$6:$D$15,0)),0),0))</f>
        <v/>
      </c>
      <c r="AH2119" s="64">
        <f>IF($A2119="","",IF(AD2119=0,"",IF(OR(COUNTIF(계정대체기준!$A$77:$A$86,$N2119)&gt;0,ISNUMBER(MATCH($X2119,계정대체기준!$D$77:$D$86,0)),ISNUMBER(MATCH($F2119,계정대체기준!$D$77:$D$86,0))),"Y","N")))</f>
        <v/>
      </c>
    </row>
    <row r="2120">
      <c r="A2120" s="92" t="n">
        <v>2025</v>
      </c>
      <c r="B2120" s="92" t="n">
        <v>10</v>
      </c>
      <c r="C2120" s="92" t="inlineStr">
        <is>
          <t>5100002116</t>
        </is>
      </c>
      <c r="D2120" s="95" t="n">
        <v>45940</v>
      </c>
      <c r="E2120" s="92" t="inlineStr">
        <is>
          <t>KR</t>
        </is>
      </c>
      <c r="F2120" s="92" t="n">
        <v>62902000</v>
      </c>
      <c r="G2120" s="92" t="n">
        <v>1801</v>
      </c>
      <c r="H2120" s="93" t="n">
        <v>1842000</v>
      </c>
      <c r="I2120" s="92" t="inlineStr">
        <is>
          <t>10월 콜 위탁 수수료(건별)</t>
        </is>
      </c>
      <c r="J2120" s="92" t="inlineStr">
        <is>
          <t>V10016</t>
        </is>
      </c>
      <c r="K2120" s="92" t="inlineStr">
        <is>
          <t>J콜센터</t>
        </is>
      </c>
      <c r="M2120" s="9">
        <f>IF($A2120="","",VALUE($A2120&amp;"")*12+VALUE($B2120&amp;""))</f>
        <v/>
      </c>
      <c r="N2120" s="64">
        <f>IF($A2120="","",IFERROR(INDEX(부서매핑!$C$5:$C$504,MATCH($G2120&amp;"",부서매핑!$A$5:$A$504,0)),"미매핑"))</f>
        <v/>
      </c>
      <c r="O2120" s="9">
        <f>IF($A2120="","",N2120&amp;"|"&amp;$F2120)</f>
        <v/>
      </c>
      <c r="P2120" s="94">
        <f>IF($A2120="",0,$H2120*설정!$C$23)</f>
        <v/>
      </c>
      <c r="Q2120" s="64">
        <f>IF($A2120="","",IF(O2120&lt;&gt;원인분석!$C$9,"",IF(AND(M2120&gt;=원인분석!$C$10,M2120&lt;=원인분석!$C$11),"당기",IF(AND(M2120&gt;=원인분석!$C$12,M2120&lt;=원인분석!$C$13),"비교",""))))</f>
        <v/>
      </c>
      <c r="R2120" s="9">
        <f>IF(Q2120="","",$K2120&amp;"")</f>
        <v/>
      </c>
      <c r="S2120" s="9">
        <f>IF(Q2120="","",IF(MATCH(R2120,$R$5:$R$100000,0)=ROW()-4,ROW(),""))</f>
        <v/>
      </c>
      <c r="T2120" s="9">
        <f>IF(Q2120="당기",ABS(P2120)+ROW()/1000000000,"")</f>
        <v/>
      </c>
      <c r="U2120" s="9">
        <f>IF(Q2120="비교",ABS(P2120)+ROW()/1000000000,"")</f>
        <v/>
      </c>
      <c r="V2120" s="64">
        <f>IF($A2120="","",IF(COUNTIF(변동분석!$E$7:$E$506,O2120)&gt;0,"Y","N"))</f>
        <v/>
      </c>
      <c r="W2120" s="64">
        <f>IF($A2120="","",IFERROR(INDEX(계정매핑!$D$5:$D$504,MATCH($F2120&amp;"",계정매핑!$A$5:$A$504,0)),"미매핑"))</f>
        <v/>
      </c>
      <c r="X2120" s="9">
        <f>IF($A2120="","",$F2120&amp;"")</f>
        <v/>
      </c>
      <c r="Y2120" s="94">
        <f>IF($A2120="",0,IF(AE2120="직접",IF(AF2120="비귀속",$P2120,0),$P2120*(1-AG2120)*IFERROR(INDEX(계정대체기준!$F$20:$F$49,MATCH($N2120,계정대체기준!$A$20:$A$49,0)),1)))</f>
        <v/>
      </c>
      <c r="Z2120" s="94">
        <f>IF($A2120="",0,IF(AE2120="직접",IF(AF2120="신계약비",$P2120,0),$P2120*(1-AG2120)*IFERROR(INDEX(계정대체기준!$C$20:$C$49,MATCH($N2120,계정대체기준!$A$20:$A$49,0)),0)))</f>
        <v/>
      </c>
      <c r="AA2120" s="94">
        <f>IF($A2120="",0,IF(AE2120="직접",IF(OR(AF2120="유지비",AF2120="손해조사비"),$P2120,0),$P2120*(1-AG2120)*IFERROR(INDEX(계정대체기준!$D$20:$D$49,MATCH($N2120,계정대체기준!$A$20:$A$49,0)),0)))</f>
        <v/>
      </c>
      <c r="AB2120" s="94">
        <f>IF($A2120="",0,IF(AE2120="직접",IF(AF2120="수금비",$P2120,0),$P2120*(1-AG2120)*IFERROR(INDEX(계정대체기준!$E$20:$E$49,MATCH($N2120,계정대체기준!$A$20:$A$49,0)),0)))</f>
        <v/>
      </c>
      <c r="AC2120" s="9">
        <f>IF(AND($A2120&lt;&gt;"",M2120=설정!$C$20,Z2120&gt;0),Z2120+ROW()/1000000000,"")</f>
        <v/>
      </c>
      <c r="AD2120" s="94">
        <f>IF($A2120="",0,$P2120*AG2120)</f>
        <v/>
      </c>
      <c r="AE2120" s="64">
        <f>IF($A2120="","",IFERROR(INDEX(계정매핑!$E$5:$E$504,MATCH($F2120&amp;"",계정매핑!$A$5:$A$504,0))&amp;"","공통비"))</f>
        <v/>
      </c>
      <c r="AF2120" s="64">
        <f>IF($A2120="","",IF(AE2120="직접",IFERROR(INDEX(계정매핑!$F$5:$F$504,MATCH($F2120&amp;"",계정매핑!$A$5:$A$504,0))&amp;"","비귀속"),""))</f>
        <v/>
      </c>
      <c r="AG2120" s="96">
        <f>IF($A2120="",0,IF(AND(AE2120&lt;&gt;"직접",IFERROR(INDEX(계정매핑!$G$5:$G$504,MATCH($F2120&amp;"",계정매핑!$A$5:$A$504,0))&amp;"","")="유지비",COUNTIF(계정대체기준!$A$6:$A$15,$N2120)&gt;0),IFERROR(INDEX(계정대체기준!$E$6:$E$15,MATCH(VALUE($A2120&amp;""),계정대체기준!$D$6:$D$15,0)),0),0))</f>
        <v/>
      </c>
      <c r="AH2120" s="64">
        <f>IF($A2120="","",IF(AD2120=0,"",IF(OR(COUNTIF(계정대체기준!$A$77:$A$86,$N2120)&gt;0,ISNUMBER(MATCH($X2120,계정대체기준!$D$77:$D$86,0)),ISNUMBER(MATCH($F2120,계정대체기준!$D$77:$D$86,0))),"Y","N")))</f>
        <v/>
      </c>
    </row>
    <row r="2121">
      <c r="A2121" s="92" t="n">
        <v>2025</v>
      </c>
      <c r="B2121" s="92" t="n">
        <v>10</v>
      </c>
      <c r="C2121" s="92" t="inlineStr">
        <is>
          <t>5100002117</t>
        </is>
      </c>
      <c r="D2121" s="95" t="n">
        <v>45941</v>
      </c>
      <c r="E2121" s="92" t="inlineStr">
        <is>
          <t>KR</t>
        </is>
      </c>
      <c r="F2121" s="92" t="n">
        <v>62101000</v>
      </c>
      <c r="G2121" s="92" t="n">
        <v>1502</v>
      </c>
      <c r="H2121" s="93" t="n">
        <v>630000</v>
      </c>
      <c r="I2121" s="92" t="inlineStr">
        <is>
          <t>10월 국내출장 - L여행사</t>
        </is>
      </c>
      <c r="J2121" s="92" t="inlineStr">
        <is>
          <t>V10018</t>
        </is>
      </c>
      <c r="K2121" s="92" t="inlineStr">
        <is>
          <t>L여행사</t>
        </is>
      </c>
      <c r="M2121" s="9">
        <f>IF($A2121="","",VALUE($A2121&amp;"")*12+VALUE($B2121&amp;""))</f>
        <v/>
      </c>
      <c r="N2121" s="64">
        <f>IF($A2121="","",IFERROR(INDEX(부서매핑!$C$5:$C$504,MATCH($G2121&amp;"",부서매핑!$A$5:$A$504,0)),"미매핑"))</f>
        <v/>
      </c>
      <c r="O2121" s="9">
        <f>IF($A2121="","",N2121&amp;"|"&amp;$F2121)</f>
        <v/>
      </c>
      <c r="P2121" s="94">
        <f>IF($A2121="",0,$H2121*설정!$C$23)</f>
        <v/>
      </c>
      <c r="Q2121" s="64">
        <f>IF($A2121="","",IF(O2121&lt;&gt;원인분석!$C$9,"",IF(AND(M2121&gt;=원인분석!$C$10,M2121&lt;=원인분석!$C$11),"당기",IF(AND(M2121&gt;=원인분석!$C$12,M2121&lt;=원인분석!$C$13),"비교",""))))</f>
        <v/>
      </c>
      <c r="R2121" s="9">
        <f>IF(Q2121="","",$K2121&amp;"")</f>
        <v/>
      </c>
      <c r="S2121" s="9">
        <f>IF(Q2121="","",IF(MATCH(R2121,$R$5:$R$100000,0)=ROW()-4,ROW(),""))</f>
        <v/>
      </c>
      <c r="T2121" s="9">
        <f>IF(Q2121="당기",ABS(P2121)+ROW()/1000000000,"")</f>
        <v/>
      </c>
      <c r="U2121" s="9">
        <f>IF(Q2121="비교",ABS(P2121)+ROW()/1000000000,"")</f>
        <v/>
      </c>
      <c r="V2121" s="64">
        <f>IF($A2121="","",IF(COUNTIF(변동분석!$E$7:$E$506,O2121)&gt;0,"Y","N"))</f>
        <v/>
      </c>
      <c r="W2121" s="64">
        <f>IF($A2121="","",IFERROR(INDEX(계정매핑!$D$5:$D$504,MATCH($F2121&amp;"",계정매핑!$A$5:$A$504,0)),"미매핑"))</f>
        <v/>
      </c>
      <c r="X2121" s="9">
        <f>IF($A2121="","",$F2121&amp;"")</f>
        <v/>
      </c>
      <c r="Y2121" s="94">
        <f>IF($A2121="",0,IF(AE2121="직접",IF(AF2121="비귀속",$P2121,0),$P2121*(1-AG2121)*IFERROR(INDEX(계정대체기준!$F$20:$F$49,MATCH($N2121,계정대체기준!$A$20:$A$49,0)),1)))</f>
        <v/>
      </c>
      <c r="Z2121" s="94">
        <f>IF($A2121="",0,IF(AE2121="직접",IF(AF2121="신계약비",$P2121,0),$P2121*(1-AG2121)*IFERROR(INDEX(계정대체기준!$C$20:$C$49,MATCH($N2121,계정대체기준!$A$20:$A$49,0)),0)))</f>
        <v/>
      </c>
      <c r="AA2121" s="94">
        <f>IF($A2121="",0,IF(AE2121="직접",IF(OR(AF2121="유지비",AF2121="손해조사비"),$P2121,0),$P2121*(1-AG2121)*IFERROR(INDEX(계정대체기준!$D$20:$D$49,MATCH($N2121,계정대체기준!$A$20:$A$49,0)),0)))</f>
        <v/>
      </c>
      <c r="AB2121" s="94">
        <f>IF($A2121="",0,IF(AE2121="직접",IF(AF2121="수금비",$P2121,0),$P2121*(1-AG2121)*IFERROR(INDEX(계정대체기준!$E$20:$E$49,MATCH($N2121,계정대체기준!$A$20:$A$49,0)),0)))</f>
        <v/>
      </c>
      <c r="AC2121" s="9">
        <f>IF(AND($A2121&lt;&gt;"",M2121=설정!$C$20,Z2121&gt;0),Z2121+ROW()/1000000000,"")</f>
        <v/>
      </c>
      <c r="AD2121" s="94">
        <f>IF($A2121="",0,$P2121*AG2121)</f>
        <v/>
      </c>
      <c r="AE2121" s="64">
        <f>IF($A2121="","",IFERROR(INDEX(계정매핑!$E$5:$E$504,MATCH($F2121&amp;"",계정매핑!$A$5:$A$504,0))&amp;"","공통비"))</f>
        <v/>
      </c>
      <c r="AF2121" s="64">
        <f>IF($A2121="","",IF(AE2121="직접",IFERROR(INDEX(계정매핑!$F$5:$F$504,MATCH($F2121&amp;"",계정매핑!$A$5:$A$504,0))&amp;"","비귀속"),""))</f>
        <v/>
      </c>
      <c r="AG2121" s="96">
        <f>IF($A2121="",0,IF(AND(AE2121&lt;&gt;"직접",IFERROR(INDEX(계정매핑!$G$5:$G$504,MATCH($F2121&amp;"",계정매핑!$A$5:$A$504,0))&amp;"","")="유지비",COUNTIF(계정대체기준!$A$6:$A$15,$N2121)&gt;0),IFERROR(INDEX(계정대체기준!$E$6:$E$15,MATCH(VALUE($A2121&amp;""),계정대체기준!$D$6:$D$15,0)),0),0))</f>
        <v/>
      </c>
      <c r="AH2121" s="64">
        <f>IF($A2121="","",IF(AD2121=0,"",IF(OR(COUNTIF(계정대체기준!$A$77:$A$86,$N2121)&gt;0,ISNUMBER(MATCH($X2121,계정대체기준!$D$77:$D$86,0)),ISNUMBER(MATCH($F2121,계정대체기준!$D$77:$D$86,0))),"Y","N")))</f>
        <v/>
      </c>
    </row>
    <row r="2122">
      <c r="A2122" s="92" t="n">
        <v>2025</v>
      </c>
      <c r="B2122" s="92" t="n">
        <v>10</v>
      </c>
      <c r="C2122" s="92" t="inlineStr">
        <is>
          <t>5100002118</t>
        </is>
      </c>
      <c r="D2122" s="95" t="n">
        <v>45941</v>
      </c>
      <c r="E2122" s="92" t="inlineStr">
        <is>
          <t>KR</t>
        </is>
      </c>
      <c r="F2122" s="92" t="n">
        <v>62102000</v>
      </c>
      <c r="G2122" s="92" t="n">
        <v>1301</v>
      </c>
      <c r="H2122" s="93" t="n">
        <v>96000</v>
      </c>
      <c r="I2122" s="92" t="inlineStr">
        <is>
          <t>10월 해외출장 - M항공</t>
        </is>
      </c>
      <c r="J2122" s="92" t="inlineStr">
        <is>
          <t>V10001</t>
        </is>
      </c>
      <c r="K2122" s="92" t="inlineStr">
        <is>
          <t>M항공</t>
        </is>
      </c>
      <c r="M2122" s="9">
        <f>IF($A2122="","",VALUE($A2122&amp;"")*12+VALUE($B2122&amp;""))</f>
        <v/>
      </c>
      <c r="N2122" s="64">
        <f>IF($A2122="","",IFERROR(INDEX(부서매핑!$C$5:$C$504,MATCH($G2122&amp;"",부서매핑!$A$5:$A$504,0)),"미매핑"))</f>
        <v/>
      </c>
      <c r="O2122" s="9">
        <f>IF($A2122="","",N2122&amp;"|"&amp;$F2122)</f>
        <v/>
      </c>
      <c r="P2122" s="94">
        <f>IF($A2122="",0,$H2122*설정!$C$23)</f>
        <v/>
      </c>
      <c r="Q2122" s="64">
        <f>IF($A2122="","",IF(O2122&lt;&gt;원인분석!$C$9,"",IF(AND(M2122&gt;=원인분석!$C$10,M2122&lt;=원인분석!$C$11),"당기",IF(AND(M2122&gt;=원인분석!$C$12,M2122&lt;=원인분석!$C$13),"비교",""))))</f>
        <v/>
      </c>
      <c r="R2122" s="9">
        <f>IF(Q2122="","",$K2122&amp;"")</f>
        <v/>
      </c>
      <c r="S2122" s="9">
        <f>IF(Q2122="","",IF(MATCH(R2122,$R$5:$R$100000,0)=ROW()-4,ROW(),""))</f>
        <v/>
      </c>
      <c r="T2122" s="9">
        <f>IF(Q2122="당기",ABS(P2122)+ROW()/1000000000,"")</f>
        <v/>
      </c>
      <c r="U2122" s="9">
        <f>IF(Q2122="비교",ABS(P2122)+ROW()/1000000000,"")</f>
        <v/>
      </c>
      <c r="V2122" s="64">
        <f>IF($A2122="","",IF(COUNTIF(변동분석!$E$7:$E$506,O2122)&gt;0,"Y","N"))</f>
        <v/>
      </c>
      <c r="W2122" s="64">
        <f>IF($A2122="","",IFERROR(INDEX(계정매핑!$D$5:$D$504,MATCH($F2122&amp;"",계정매핑!$A$5:$A$504,0)),"미매핑"))</f>
        <v/>
      </c>
      <c r="X2122" s="9">
        <f>IF($A2122="","",$F2122&amp;"")</f>
        <v/>
      </c>
      <c r="Y2122" s="94">
        <f>IF($A2122="",0,IF(AE2122="직접",IF(AF2122="비귀속",$P2122,0),$P2122*(1-AG2122)*IFERROR(INDEX(계정대체기준!$F$20:$F$49,MATCH($N2122,계정대체기준!$A$20:$A$49,0)),1)))</f>
        <v/>
      </c>
      <c r="Z2122" s="94">
        <f>IF($A2122="",0,IF(AE2122="직접",IF(AF2122="신계약비",$P2122,0),$P2122*(1-AG2122)*IFERROR(INDEX(계정대체기준!$C$20:$C$49,MATCH($N2122,계정대체기준!$A$20:$A$49,0)),0)))</f>
        <v/>
      </c>
      <c r="AA2122" s="94">
        <f>IF($A2122="",0,IF(AE2122="직접",IF(OR(AF2122="유지비",AF2122="손해조사비"),$P2122,0),$P2122*(1-AG2122)*IFERROR(INDEX(계정대체기준!$D$20:$D$49,MATCH($N2122,계정대체기준!$A$20:$A$49,0)),0)))</f>
        <v/>
      </c>
      <c r="AB2122" s="94">
        <f>IF($A2122="",0,IF(AE2122="직접",IF(AF2122="수금비",$P2122,0),$P2122*(1-AG2122)*IFERROR(INDEX(계정대체기준!$E$20:$E$49,MATCH($N2122,계정대체기준!$A$20:$A$49,0)),0)))</f>
        <v/>
      </c>
      <c r="AC2122" s="9">
        <f>IF(AND($A2122&lt;&gt;"",M2122=설정!$C$20,Z2122&gt;0),Z2122+ROW()/1000000000,"")</f>
        <v/>
      </c>
      <c r="AD2122" s="94">
        <f>IF($A2122="",0,$P2122*AG2122)</f>
        <v/>
      </c>
      <c r="AE2122" s="64">
        <f>IF($A2122="","",IFERROR(INDEX(계정매핑!$E$5:$E$504,MATCH($F2122&amp;"",계정매핑!$A$5:$A$504,0))&amp;"","공통비"))</f>
        <v/>
      </c>
      <c r="AF2122" s="64">
        <f>IF($A2122="","",IF(AE2122="직접",IFERROR(INDEX(계정매핑!$F$5:$F$504,MATCH($F2122&amp;"",계정매핑!$A$5:$A$504,0))&amp;"","비귀속"),""))</f>
        <v/>
      </c>
      <c r="AG2122" s="96">
        <f>IF($A2122="",0,IF(AND(AE2122&lt;&gt;"직접",IFERROR(INDEX(계정매핑!$G$5:$G$504,MATCH($F2122&amp;"",계정매핑!$A$5:$A$504,0))&amp;"","")="유지비",COUNTIF(계정대체기준!$A$6:$A$15,$N2122)&gt;0),IFERROR(INDEX(계정대체기준!$E$6:$E$15,MATCH(VALUE($A2122&amp;""),계정대체기준!$D$6:$D$15,0)),0),0))</f>
        <v/>
      </c>
      <c r="AH2122" s="64">
        <f>IF($A2122="","",IF(AD2122=0,"",IF(OR(COUNTIF(계정대체기준!$A$77:$A$86,$N2122)&gt;0,ISNUMBER(MATCH($X2122,계정대체기준!$D$77:$D$86,0)),ISNUMBER(MATCH($F2122,계정대체기준!$D$77:$D$86,0))),"Y","N")))</f>
        <v/>
      </c>
    </row>
    <row r="2123">
      <c r="A2123" s="92" t="n">
        <v>2025</v>
      </c>
      <c r="B2123" s="92" t="n">
        <v>10</v>
      </c>
      <c r="C2123" s="92" t="inlineStr">
        <is>
          <t>5100002119</t>
        </is>
      </c>
      <c r="D2123" s="95" t="n">
        <v>45941</v>
      </c>
      <c r="E2123" s="92" t="inlineStr">
        <is>
          <t>KR</t>
        </is>
      </c>
      <c r="F2123" s="92" t="n">
        <v>62301000</v>
      </c>
      <c r="G2123" s="92" t="n">
        <v>1201</v>
      </c>
      <c r="H2123" s="93" t="n">
        <v>115000</v>
      </c>
      <c r="I2123" s="92" t="inlineStr">
        <is>
          <t>10월 소모품 구입 - Q오피스</t>
        </is>
      </c>
      <c r="J2123" s="92" t="inlineStr">
        <is>
          <t>V10003</t>
        </is>
      </c>
      <c r="K2123" s="92" t="inlineStr">
        <is>
          <t>Q오피스</t>
        </is>
      </c>
      <c r="M2123" s="9">
        <f>IF($A2123="","",VALUE($A2123&amp;"")*12+VALUE($B2123&amp;""))</f>
        <v/>
      </c>
      <c r="N2123" s="64">
        <f>IF($A2123="","",IFERROR(INDEX(부서매핑!$C$5:$C$504,MATCH($G2123&amp;"",부서매핑!$A$5:$A$504,0)),"미매핑"))</f>
        <v/>
      </c>
      <c r="O2123" s="9">
        <f>IF($A2123="","",N2123&amp;"|"&amp;$F2123)</f>
        <v/>
      </c>
      <c r="P2123" s="94">
        <f>IF($A2123="",0,$H2123*설정!$C$23)</f>
        <v/>
      </c>
      <c r="Q2123" s="64">
        <f>IF($A2123="","",IF(O2123&lt;&gt;원인분석!$C$9,"",IF(AND(M2123&gt;=원인분석!$C$10,M2123&lt;=원인분석!$C$11),"당기",IF(AND(M2123&gt;=원인분석!$C$12,M2123&lt;=원인분석!$C$13),"비교",""))))</f>
        <v/>
      </c>
      <c r="R2123" s="9">
        <f>IF(Q2123="","",$K2123&amp;"")</f>
        <v/>
      </c>
      <c r="S2123" s="9">
        <f>IF(Q2123="","",IF(MATCH(R2123,$R$5:$R$100000,0)=ROW()-4,ROW(),""))</f>
        <v/>
      </c>
      <c r="T2123" s="9">
        <f>IF(Q2123="당기",ABS(P2123)+ROW()/1000000000,"")</f>
        <v/>
      </c>
      <c r="U2123" s="9">
        <f>IF(Q2123="비교",ABS(P2123)+ROW()/1000000000,"")</f>
        <v/>
      </c>
      <c r="V2123" s="64">
        <f>IF($A2123="","",IF(COUNTIF(변동분석!$E$7:$E$506,O2123)&gt;0,"Y","N"))</f>
        <v/>
      </c>
      <c r="W2123" s="64">
        <f>IF($A2123="","",IFERROR(INDEX(계정매핑!$D$5:$D$504,MATCH($F2123&amp;"",계정매핑!$A$5:$A$504,0)),"미매핑"))</f>
        <v/>
      </c>
      <c r="X2123" s="9">
        <f>IF($A2123="","",$F2123&amp;"")</f>
        <v/>
      </c>
      <c r="Y2123" s="94">
        <f>IF($A2123="",0,IF(AE2123="직접",IF(AF2123="비귀속",$P2123,0),$P2123*(1-AG2123)*IFERROR(INDEX(계정대체기준!$F$20:$F$49,MATCH($N2123,계정대체기준!$A$20:$A$49,0)),1)))</f>
        <v/>
      </c>
      <c r="Z2123" s="94">
        <f>IF($A2123="",0,IF(AE2123="직접",IF(AF2123="신계약비",$P2123,0),$P2123*(1-AG2123)*IFERROR(INDEX(계정대체기준!$C$20:$C$49,MATCH($N2123,계정대체기준!$A$20:$A$49,0)),0)))</f>
        <v/>
      </c>
      <c r="AA2123" s="94">
        <f>IF($A2123="",0,IF(AE2123="직접",IF(OR(AF2123="유지비",AF2123="손해조사비"),$P2123,0),$P2123*(1-AG2123)*IFERROR(INDEX(계정대체기준!$D$20:$D$49,MATCH($N2123,계정대체기준!$A$20:$A$49,0)),0)))</f>
        <v/>
      </c>
      <c r="AB2123" s="94">
        <f>IF($A2123="",0,IF(AE2123="직접",IF(AF2123="수금비",$P2123,0),$P2123*(1-AG2123)*IFERROR(INDEX(계정대체기준!$E$20:$E$49,MATCH($N2123,계정대체기준!$A$20:$A$49,0)),0)))</f>
        <v/>
      </c>
      <c r="AC2123" s="9">
        <f>IF(AND($A2123&lt;&gt;"",M2123=설정!$C$20,Z2123&gt;0),Z2123+ROW()/1000000000,"")</f>
        <v/>
      </c>
      <c r="AD2123" s="94">
        <f>IF($A2123="",0,$P2123*AG2123)</f>
        <v/>
      </c>
      <c r="AE2123" s="64">
        <f>IF($A2123="","",IFERROR(INDEX(계정매핑!$E$5:$E$504,MATCH($F2123&amp;"",계정매핑!$A$5:$A$504,0))&amp;"","공통비"))</f>
        <v/>
      </c>
      <c r="AF2123" s="64">
        <f>IF($A2123="","",IF(AE2123="직접",IFERROR(INDEX(계정매핑!$F$5:$F$504,MATCH($F2123&amp;"",계정매핑!$A$5:$A$504,0))&amp;"","비귀속"),""))</f>
        <v/>
      </c>
      <c r="AG2123" s="96">
        <f>IF($A2123="",0,IF(AND(AE2123&lt;&gt;"직접",IFERROR(INDEX(계정매핑!$G$5:$G$504,MATCH($F2123&amp;"",계정매핑!$A$5:$A$504,0))&amp;"","")="유지비",COUNTIF(계정대체기준!$A$6:$A$15,$N2123)&gt;0),IFERROR(INDEX(계정대체기준!$E$6:$E$15,MATCH(VALUE($A2123&amp;""),계정대체기준!$D$6:$D$15,0)),0),0))</f>
        <v/>
      </c>
      <c r="AH2123" s="64">
        <f>IF($A2123="","",IF(AD2123=0,"",IF(OR(COUNTIF(계정대체기준!$A$77:$A$86,$N2123)&gt;0,ISNUMBER(MATCH($X2123,계정대체기준!$D$77:$D$86,0)),ISNUMBER(MATCH($F2123,계정대체기준!$D$77:$D$86,0))),"Y","N")))</f>
        <v/>
      </c>
    </row>
    <row r="2124">
      <c r="A2124" s="92" t="n">
        <v>2025</v>
      </c>
      <c r="B2124" s="92" t="n">
        <v>10</v>
      </c>
      <c r="C2124" s="92" t="inlineStr">
        <is>
          <t>5100002120</t>
        </is>
      </c>
      <c r="D2124" s="95" t="n">
        <v>45941</v>
      </c>
      <c r="E2124" s="92" t="inlineStr">
        <is>
          <t>KR</t>
        </is>
      </c>
      <c r="F2124" s="92" t="n">
        <v>62301000</v>
      </c>
      <c r="G2124" s="92" t="n">
        <v>1602</v>
      </c>
      <c r="H2124" s="93" t="n">
        <v>345000</v>
      </c>
      <c r="I2124" s="92" t="inlineStr">
        <is>
          <t>10월 소모품 구입 - Q오피스</t>
        </is>
      </c>
      <c r="J2124" s="92" t="inlineStr">
        <is>
          <t>V10003</t>
        </is>
      </c>
      <c r="K2124" s="92" t="inlineStr">
        <is>
          <t>Q오피스</t>
        </is>
      </c>
      <c r="M2124" s="9">
        <f>IF($A2124="","",VALUE($A2124&amp;"")*12+VALUE($B2124&amp;""))</f>
        <v/>
      </c>
      <c r="N2124" s="64">
        <f>IF($A2124="","",IFERROR(INDEX(부서매핑!$C$5:$C$504,MATCH($G2124&amp;"",부서매핑!$A$5:$A$504,0)),"미매핑"))</f>
        <v/>
      </c>
      <c r="O2124" s="9">
        <f>IF($A2124="","",N2124&amp;"|"&amp;$F2124)</f>
        <v/>
      </c>
      <c r="P2124" s="94">
        <f>IF($A2124="",0,$H2124*설정!$C$23)</f>
        <v/>
      </c>
      <c r="Q2124" s="64">
        <f>IF($A2124="","",IF(O2124&lt;&gt;원인분석!$C$9,"",IF(AND(M2124&gt;=원인분석!$C$10,M2124&lt;=원인분석!$C$11),"당기",IF(AND(M2124&gt;=원인분석!$C$12,M2124&lt;=원인분석!$C$13),"비교",""))))</f>
        <v/>
      </c>
      <c r="R2124" s="9">
        <f>IF(Q2124="","",$K2124&amp;"")</f>
        <v/>
      </c>
      <c r="S2124" s="9">
        <f>IF(Q2124="","",IF(MATCH(R2124,$R$5:$R$100000,0)=ROW()-4,ROW(),""))</f>
        <v/>
      </c>
      <c r="T2124" s="9">
        <f>IF(Q2124="당기",ABS(P2124)+ROW()/1000000000,"")</f>
        <v/>
      </c>
      <c r="U2124" s="9">
        <f>IF(Q2124="비교",ABS(P2124)+ROW()/1000000000,"")</f>
        <v/>
      </c>
      <c r="V2124" s="64">
        <f>IF($A2124="","",IF(COUNTIF(변동분석!$E$7:$E$506,O2124)&gt;0,"Y","N"))</f>
        <v/>
      </c>
      <c r="W2124" s="64">
        <f>IF($A2124="","",IFERROR(INDEX(계정매핑!$D$5:$D$504,MATCH($F2124&amp;"",계정매핑!$A$5:$A$504,0)),"미매핑"))</f>
        <v/>
      </c>
      <c r="X2124" s="9">
        <f>IF($A2124="","",$F2124&amp;"")</f>
        <v/>
      </c>
      <c r="Y2124" s="94">
        <f>IF($A2124="",0,IF(AE2124="직접",IF(AF2124="비귀속",$P2124,0),$P2124*(1-AG2124)*IFERROR(INDEX(계정대체기준!$F$20:$F$49,MATCH($N2124,계정대체기준!$A$20:$A$49,0)),1)))</f>
        <v/>
      </c>
      <c r="Z2124" s="94">
        <f>IF($A2124="",0,IF(AE2124="직접",IF(AF2124="신계약비",$P2124,0),$P2124*(1-AG2124)*IFERROR(INDEX(계정대체기준!$C$20:$C$49,MATCH($N2124,계정대체기준!$A$20:$A$49,0)),0)))</f>
        <v/>
      </c>
      <c r="AA2124" s="94">
        <f>IF($A2124="",0,IF(AE2124="직접",IF(OR(AF2124="유지비",AF2124="손해조사비"),$P2124,0),$P2124*(1-AG2124)*IFERROR(INDEX(계정대체기준!$D$20:$D$49,MATCH($N2124,계정대체기준!$A$20:$A$49,0)),0)))</f>
        <v/>
      </c>
      <c r="AB2124" s="94">
        <f>IF($A2124="",0,IF(AE2124="직접",IF(AF2124="수금비",$P2124,0),$P2124*(1-AG2124)*IFERROR(INDEX(계정대체기준!$E$20:$E$49,MATCH($N2124,계정대체기준!$A$20:$A$49,0)),0)))</f>
        <v/>
      </c>
      <c r="AC2124" s="9">
        <f>IF(AND($A2124&lt;&gt;"",M2124=설정!$C$20,Z2124&gt;0),Z2124+ROW()/1000000000,"")</f>
        <v/>
      </c>
      <c r="AD2124" s="94">
        <f>IF($A2124="",0,$P2124*AG2124)</f>
        <v/>
      </c>
      <c r="AE2124" s="64">
        <f>IF($A2124="","",IFERROR(INDEX(계정매핑!$E$5:$E$504,MATCH($F2124&amp;"",계정매핑!$A$5:$A$504,0))&amp;"","공통비"))</f>
        <v/>
      </c>
      <c r="AF2124" s="64">
        <f>IF($A2124="","",IF(AE2124="직접",IFERROR(INDEX(계정매핑!$F$5:$F$504,MATCH($F2124&amp;"",계정매핑!$A$5:$A$504,0))&amp;"","비귀속"),""))</f>
        <v/>
      </c>
      <c r="AG2124" s="96">
        <f>IF($A2124="",0,IF(AND(AE2124&lt;&gt;"직접",IFERROR(INDEX(계정매핑!$G$5:$G$504,MATCH($F2124&amp;"",계정매핑!$A$5:$A$504,0))&amp;"","")="유지비",COUNTIF(계정대체기준!$A$6:$A$15,$N2124)&gt;0),IFERROR(INDEX(계정대체기준!$E$6:$E$15,MATCH(VALUE($A2124&amp;""),계정대체기준!$D$6:$D$15,0)),0),0))</f>
        <v/>
      </c>
      <c r="AH2124" s="64">
        <f>IF($A2124="","",IF(AD2124=0,"",IF(OR(COUNTIF(계정대체기준!$A$77:$A$86,$N2124)&gt;0,ISNUMBER(MATCH($X2124,계정대체기준!$D$77:$D$86,0)),ISNUMBER(MATCH($F2124,계정대체기준!$D$77:$D$86,0))),"Y","N")))</f>
        <v/>
      </c>
    </row>
    <row r="2125">
      <c r="A2125" s="92" t="n">
        <v>2025</v>
      </c>
      <c r="B2125" s="92" t="n">
        <v>10</v>
      </c>
      <c r="C2125" s="92" t="inlineStr">
        <is>
          <t>5100002121</t>
        </is>
      </c>
      <c r="D2125" s="95" t="n">
        <v>45941</v>
      </c>
      <c r="E2125" s="92" t="inlineStr">
        <is>
          <t>KR</t>
        </is>
      </c>
      <c r="F2125" s="92" t="n">
        <v>62501000</v>
      </c>
      <c r="G2125" s="92" t="n">
        <v>1101</v>
      </c>
      <c r="H2125" s="93" t="n">
        <v>202000</v>
      </c>
      <c r="I2125" s="92" t="inlineStr">
        <is>
          <t>10월 회의 다과 - T케이터링</t>
        </is>
      </c>
      <c r="J2125" s="92" t="inlineStr">
        <is>
          <t>V10005</t>
        </is>
      </c>
      <c r="K2125" s="92" t="inlineStr">
        <is>
          <t>T케이터링</t>
        </is>
      </c>
      <c r="M2125" s="9">
        <f>IF($A2125="","",VALUE($A2125&amp;"")*12+VALUE($B2125&amp;""))</f>
        <v/>
      </c>
      <c r="N2125" s="64">
        <f>IF($A2125="","",IFERROR(INDEX(부서매핑!$C$5:$C$504,MATCH($G2125&amp;"",부서매핑!$A$5:$A$504,0)),"미매핑"))</f>
        <v/>
      </c>
      <c r="O2125" s="9">
        <f>IF($A2125="","",N2125&amp;"|"&amp;$F2125)</f>
        <v/>
      </c>
      <c r="P2125" s="94">
        <f>IF($A2125="",0,$H2125*설정!$C$23)</f>
        <v/>
      </c>
      <c r="Q2125" s="64">
        <f>IF($A2125="","",IF(O2125&lt;&gt;원인분석!$C$9,"",IF(AND(M2125&gt;=원인분석!$C$10,M2125&lt;=원인분석!$C$11),"당기",IF(AND(M2125&gt;=원인분석!$C$12,M2125&lt;=원인분석!$C$13),"비교",""))))</f>
        <v/>
      </c>
      <c r="R2125" s="9">
        <f>IF(Q2125="","",$K2125&amp;"")</f>
        <v/>
      </c>
      <c r="S2125" s="9">
        <f>IF(Q2125="","",IF(MATCH(R2125,$R$5:$R$100000,0)=ROW()-4,ROW(),""))</f>
        <v/>
      </c>
      <c r="T2125" s="9">
        <f>IF(Q2125="당기",ABS(P2125)+ROW()/1000000000,"")</f>
        <v/>
      </c>
      <c r="U2125" s="9">
        <f>IF(Q2125="비교",ABS(P2125)+ROW()/1000000000,"")</f>
        <v/>
      </c>
      <c r="V2125" s="64">
        <f>IF($A2125="","",IF(COUNTIF(변동분석!$E$7:$E$506,O2125)&gt;0,"Y","N"))</f>
        <v/>
      </c>
      <c r="W2125" s="64">
        <f>IF($A2125="","",IFERROR(INDEX(계정매핑!$D$5:$D$504,MATCH($F2125&amp;"",계정매핑!$A$5:$A$504,0)),"미매핑"))</f>
        <v/>
      </c>
      <c r="X2125" s="9">
        <f>IF($A2125="","",$F2125&amp;"")</f>
        <v/>
      </c>
      <c r="Y2125" s="94">
        <f>IF($A2125="",0,IF(AE2125="직접",IF(AF2125="비귀속",$P2125,0),$P2125*(1-AG2125)*IFERROR(INDEX(계정대체기준!$F$20:$F$49,MATCH($N2125,계정대체기준!$A$20:$A$49,0)),1)))</f>
        <v/>
      </c>
      <c r="Z2125" s="94">
        <f>IF($A2125="",0,IF(AE2125="직접",IF(AF2125="신계약비",$P2125,0),$P2125*(1-AG2125)*IFERROR(INDEX(계정대체기준!$C$20:$C$49,MATCH($N2125,계정대체기준!$A$20:$A$49,0)),0)))</f>
        <v/>
      </c>
      <c r="AA2125" s="94">
        <f>IF($A2125="",0,IF(AE2125="직접",IF(OR(AF2125="유지비",AF2125="손해조사비"),$P2125,0),$P2125*(1-AG2125)*IFERROR(INDEX(계정대체기준!$D$20:$D$49,MATCH($N2125,계정대체기준!$A$20:$A$49,0)),0)))</f>
        <v/>
      </c>
      <c r="AB2125" s="94">
        <f>IF($A2125="",0,IF(AE2125="직접",IF(AF2125="수금비",$P2125,0),$P2125*(1-AG2125)*IFERROR(INDEX(계정대체기준!$E$20:$E$49,MATCH($N2125,계정대체기준!$A$20:$A$49,0)),0)))</f>
        <v/>
      </c>
      <c r="AC2125" s="9">
        <f>IF(AND($A2125&lt;&gt;"",M2125=설정!$C$20,Z2125&gt;0),Z2125+ROW()/1000000000,"")</f>
        <v/>
      </c>
      <c r="AD2125" s="94">
        <f>IF($A2125="",0,$P2125*AG2125)</f>
        <v/>
      </c>
      <c r="AE2125" s="64">
        <f>IF($A2125="","",IFERROR(INDEX(계정매핑!$E$5:$E$504,MATCH($F2125&amp;"",계정매핑!$A$5:$A$504,0))&amp;"","공통비"))</f>
        <v/>
      </c>
      <c r="AF2125" s="64">
        <f>IF($A2125="","",IF(AE2125="직접",IFERROR(INDEX(계정매핑!$F$5:$F$504,MATCH($F2125&amp;"",계정매핑!$A$5:$A$504,0))&amp;"","비귀속"),""))</f>
        <v/>
      </c>
      <c r="AG2125" s="96">
        <f>IF($A2125="",0,IF(AND(AE2125&lt;&gt;"직접",IFERROR(INDEX(계정매핑!$G$5:$G$504,MATCH($F2125&amp;"",계정매핑!$A$5:$A$504,0))&amp;"","")="유지비",COUNTIF(계정대체기준!$A$6:$A$15,$N2125)&gt;0),IFERROR(INDEX(계정대체기준!$E$6:$E$15,MATCH(VALUE($A2125&amp;""),계정대체기준!$D$6:$D$15,0)),0),0))</f>
        <v/>
      </c>
      <c r="AH2125" s="64">
        <f>IF($A2125="","",IF(AD2125=0,"",IF(OR(COUNTIF(계정대체기준!$A$77:$A$86,$N2125)&gt;0,ISNUMBER(MATCH($X2125,계정대체기준!$D$77:$D$86,0)),ISNUMBER(MATCH($F2125,계정대체기준!$D$77:$D$86,0))),"Y","N")))</f>
        <v/>
      </c>
    </row>
    <row r="2126">
      <c r="A2126" s="92" t="n">
        <v>2025</v>
      </c>
      <c r="B2126" s="92" t="n">
        <v>10</v>
      </c>
      <c r="C2126" s="92" t="inlineStr">
        <is>
          <t>5100002122</t>
        </is>
      </c>
      <c r="D2126" s="95" t="n">
        <v>45941</v>
      </c>
      <c r="E2126" s="92" t="inlineStr">
        <is>
          <t>KR</t>
        </is>
      </c>
      <c r="F2126" s="92" t="n">
        <v>62501000</v>
      </c>
      <c r="G2126" s="92" t="n">
        <v>1502</v>
      </c>
      <c r="H2126" s="93" t="n">
        <v>299000</v>
      </c>
      <c r="I2126" s="92" t="inlineStr">
        <is>
          <t>10월 회의 다과 - (법인카드)</t>
        </is>
      </c>
      <c r="J2126" s="92" t="inlineStr">
        <is>
          <t>V10010</t>
        </is>
      </c>
      <c r="K2126" s="92" t="inlineStr">
        <is>
          <t>(법인카드)</t>
        </is>
      </c>
      <c r="M2126" s="9">
        <f>IF($A2126="","",VALUE($A2126&amp;"")*12+VALUE($B2126&amp;""))</f>
        <v/>
      </c>
      <c r="N2126" s="64">
        <f>IF($A2126="","",IFERROR(INDEX(부서매핑!$C$5:$C$504,MATCH($G2126&amp;"",부서매핑!$A$5:$A$504,0)),"미매핑"))</f>
        <v/>
      </c>
      <c r="O2126" s="9">
        <f>IF($A2126="","",N2126&amp;"|"&amp;$F2126)</f>
        <v/>
      </c>
      <c r="P2126" s="94">
        <f>IF($A2126="",0,$H2126*설정!$C$23)</f>
        <v/>
      </c>
      <c r="Q2126" s="64">
        <f>IF($A2126="","",IF(O2126&lt;&gt;원인분석!$C$9,"",IF(AND(M2126&gt;=원인분석!$C$10,M2126&lt;=원인분석!$C$11),"당기",IF(AND(M2126&gt;=원인분석!$C$12,M2126&lt;=원인분석!$C$13),"비교",""))))</f>
        <v/>
      </c>
      <c r="R2126" s="9">
        <f>IF(Q2126="","",$K2126&amp;"")</f>
        <v/>
      </c>
      <c r="S2126" s="9">
        <f>IF(Q2126="","",IF(MATCH(R2126,$R$5:$R$100000,0)=ROW()-4,ROW(),""))</f>
        <v/>
      </c>
      <c r="T2126" s="9">
        <f>IF(Q2126="당기",ABS(P2126)+ROW()/1000000000,"")</f>
        <v/>
      </c>
      <c r="U2126" s="9">
        <f>IF(Q2126="비교",ABS(P2126)+ROW()/1000000000,"")</f>
        <v/>
      </c>
      <c r="V2126" s="64">
        <f>IF($A2126="","",IF(COUNTIF(변동분석!$E$7:$E$506,O2126)&gt;0,"Y","N"))</f>
        <v/>
      </c>
      <c r="W2126" s="64">
        <f>IF($A2126="","",IFERROR(INDEX(계정매핑!$D$5:$D$504,MATCH($F2126&amp;"",계정매핑!$A$5:$A$504,0)),"미매핑"))</f>
        <v/>
      </c>
      <c r="X2126" s="9">
        <f>IF($A2126="","",$F2126&amp;"")</f>
        <v/>
      </c>
      <c r="Y2126" s="94">
        <f>IF($A2126="",0,IF(AE2126="직접",IF(AF2126="비귀속",$P2126,0),$P2126*(1-AG2126)*IFERROR(INDEX(계정대체기준!$F$20:$F$49,MATCH($N2126,계정대체기준!$A$20:$A$49,0)),1)))</f>
        <v/>
      </c>
      <c r="Z2126" s="94">
        <f>IF($A2126="",0,IF(AE2126="직접",IF(AF2126="신계약비",$P2126,0),$P2126*(1-AG2126)*IFERROR(INDEX(계정대체기준!$C$20:$C$49,MATCH($N2126,계정대체기준!$A$20:$A$49,0)),0)))</f>
        <v/>
      </c>
      <c r="AA2126" s="94">
        <f>IF($A2126="",0,IF(AE2126="직접",IF(OR(AF2126="유지비",AF2126="손해조사비"),$P2126,0),$P2126*(1-AG2126)*IFERROR(INDEX(계정대체기준!$D$20:$D$49,MATCH($N2126,계정대체기준!$A$20:$A$49,0)),0)))</f>
        <v/>
      </c>
      <c r="AB2126" s="94">
        <f>IF($A2126="",0,IF(AE2126="직접",IF(AF2126="수금비",$P2126,0),$P2126*(1-AG2126)*IFERROR(INDEX(계정대체기준!$E$20:$E$49,MATCH($N2126,계정대체기준!$A$20:$A$49,0)),0)))</f>
        <v/>
      </c>
      <c r="AC2126" s="9">
        <f>IF(AND($A2126&lt;&gt;"",M2126=설정!$C$20,Z2126&gt;0),Z2126+ROW()/1000000000,"")</f>
        <v/>
      </c>
      <c r="AD2126" s="94">
        <f>IF($A2126="",0,$P2126*AG2126)</f>
        <v/>
      </c>
      <c r="AE2126" s="64">
        <f>IF($A2126="","",IFERROR(INDEX(계정매핑!$E$5:$E$504,MATCH($F2126&amp;"",계정매핑!$A$5:$A$504,0))&amp;"","공통비"))</f>
        <v/>
      </c>
      <c r="AF2126" s="64">
        <f>IF($A2126="","",IF(AE2126="직접",IFERROR(INDEX(계정매핑!$F$5:$F$504,MATCH($F2126&amp;"",계정매핑!$A$5:$A$504,0))&amp;"","비귀속"),""))</f>
        <v/>
      </c>
      <c r="AG2126" s="96">
        <f>IF($A2126="",0,IF(AND(AE2126&lt;&gt;"직접",IFERROR(INDEX(계정매핑!$G$5:$G$504,MATCH($F2126&amp;"",계정매핑!$A$5:$A$504,0))&amp;"","")="유지비",COUNTIF(계정대체기준!$A$6:$A$15,$N2126)&gt;0),IFERROR(INDEX(계정대체기준!$E$6:$E$15,MATCH(VALUE($A2126&amp;""),계정대체기준!$D$6:$D$15,0)),0),0))</f>
        <v/>
      </c>
      <c r="AH2126" s="64">
        <f>IF($A2126="","",IF(AD2126=0,"",IF(OR(COUNTIF(계정대체기준!$A$77:$A$86,$N2126)&gt;0,ISNUMBER(MATCH($X2126,계정대체기준!$D$77:$D$86,0)),ISNUMBER(MATCH($F2126,계정대체기준!$D$77:$D$86,0))),"Y","N")))</f>
        <v/>
      </c>
    </row>
    <row r="2127">
      <c r="A2127" s="92" t="n">
        <v>2025</v>
      </c>
      <c r="B2127" s="92" t="n">
        <v>10</v>
      </c>
      <c r="C2127" s="92" t="inlineStr">
        <is>
          <t>5100002123</t>
        </is>
      </c>
      <c r="D2127" s="95" t="n">
        <v>45941</v>
      </c>
      <c r="E2127" s="92" t="inlineStr">
        <is>
          <t>KR</t>
        </is>
      </c>
      <c r="F2127" s="92" t="n">
        <v>62501000</v>
      </c>
      <c r="G2127" s="92" t="n">
        <v>1801</v>
      </c>
      <c r="H2127" s="93" t="n">
        <v>85000</v>
      </c>
      <c r="I2127" s="92" t="inlineStr">
        <is>
          <t>10월 회의 다과 - T케이터링</t>
        </is>
      </c>
      <c r="J2127" s="92" t="inlineStr">
        <is>
          <t>V10005</t>
        </is>
      </c>
      <c r="K2127" s="92" t="inlineStr">
        <is>
          <t>T케이터링</t>
        </is>
      </c>
      <c r="M2127" s="9">
        <f>IF($A2127="","",VALUE($A2127&amp;"")*12+VALUE($B2127&amp;""))</f>
        <v/>
      </c>
      <c r="N2127" s="64">
        <f>IF($A2127="","",IFERROR(INDEX(부서매핑!$C$5:$C$504,MATCH($G2127&amp;"",부서매핑!$A$5:$A$504,0)),"미매핑"))</f>
        <v/>
      </c>
      <c r="O2127" s="9">
        <f>IF($A2127="","",N2127&amp;"|"&amp;$F2127)</f>
        <v/>
      </c>
      <c r="P2127" s="94">
        <f>IF($A2127="",0,$H2127*설정!$C$23)</f>
        <v/>
      </c>
      <c r="Q2127" s="64">
        <f>IF($A2127="","",IF(O2127&lt;&gt;원인분석!$C$9,"",IF(AND(M2127&gt;=원인분석!$C$10,M2127&lt;=원인분석!$C$11),"당기",IF(AND(M2127&gt;=원인분석!$C$12,M2127&lt;=원인분석!$C$13),"비교",""))))</f>
        <v/>
      </c>
      <c r="R2127" s="9">
        <f>IF(Q2127="","",$K2127&amp;"")</f>
        <v/>
      </c>
      <c r="S2127" s="9">
        <f>IF(Q2127="","",IF(MATCH(R2127,$R$5:$R$100000,0)=ROW()-4,ROW(),""))</f>
        <v/>
      </c>
      <c r="T2127" s="9">
        <f>IF(Q2127="당기",ABS(P2127)+ROW()/1000000000,"")</f>
        <v/>
      </c>
      <c r="U2127" s="9">
        <f>IF(Q2127="비교",ABS(P2127)+ROW()/1000000000,"")</f>
        <v/>
      </c>
      <c r="V2127" s="64">
        <f>IF($A2127="","",IF(COUNTIF(변동분석!$E$7:$E$506,O2127)&gt;0,"Y","N"))</f>
        <v/>
      </c>
      <c r="W2127" s="64">
        <f>IF($A2127="","",IFERROR(INDEX(계정매핑!$D$5:$D$504,MATCH($F2127&amp;"",계정매핑!$A$5:$A$504,0)),"미매핑"))</f>
        <v/>
      </c>
      <c r="X2127" s="9">
        <f>IF($A2127="","",$F2127&amp;"")</f>
        <v/>
      </c>
      <c r="Y2127" s="94">
        <f>IF($A2127="",0,IF(AE2127="직접",IF(AF2127="비귀속",$P2127,0),$P2127*(1-AG2127)*IFERROR(INDEX(계정대체기준!$F$20:$F$49,MATCH($N2127,계정대체기준!$A$20:$A$49,0)),1)))</f>
        <v/>
      </c>
      <c r="Z2127" s="94">
        <f>IF($A2127="",0,IF(AE2127="직접",IF(AF2127="신계약비",$P2127,0),$P2127*(1-AG2127)*IFERROR(INDEX(계정대체기준!$C$20:$C$49,MATCH($N2127,계정대체기준!$A$20:$A$49,0)),0)))</f>
        <v/>
      </c>
      <c r="AA2127" s="94">
        <f>IF($A2127="",0,IF(AE2127="직접",IF(OR(AF2127="유지비",AF2127="손해조사비"),$P2127,0),$P2127*(1-AG2127)*IFERROR(INDEX(계정대체기준!$D$20:$D$49,MATCH($N2127,계정대체기준!$A$20:$A$49,0)),0)))</f>
        <v/>
      </c>
      <c r="AB2127" s="94">
        <f>IF($A2127="",0,IF(AE2127="직접",IF(AF2127="수금비",$P2127,0),$P2127*(1-AG2127)*IFERROR(INDEX(계정대체기준!$E$20:$E$49,MATCH($N2127,계정대체기준!$A$20:$A$49,0)),0)))</f>
        <v/>
      </c>
      <c r="AC2127" s="9">
        <f>IF(AND($A2127&lt;&gt;"",M2127=설정!$C$20,Z2127&gt;0),Z2127+ROW()/1000000000,"")</f>
        <v/>
      </c>
      <c r="AD2127" s="94">
        <f>IF($A2127="",0,$P2127*AG2127)</f>
        <v/>
      </c>
      <c r="AE2127" s="64">
        <f>IF($A2127="","",IFERROR(INDEX(계정매핑!$E$5:$E$504,MATCH($F2127&amp;"",계정매핑!$A$5:$A$504,0))&amp;"","공통비"))</f>
        <v/>
      </c>
      <c r="AF2127" s="64">
        <f>IF($A2127="","",IF(AE2127="직접",IFERROR(INDEX(계정매핑!$F$5:$F$504,MATCH($F2127&amp;"",계정매핑!$A$5:$A$504,0))&amp;"","비귀속"),""))</f>
        <v/>
      </c>
      <c r="AG2127" s="96">
        <f>IF($A2127="",0,IF(AND(AE2127&lt;&gt;"직접",IFERROR(INDEX(계정매핑!$G$5:$G$504,MATCH($F2127&amp;"",계정매핑!$A$5:$A$504,0))&amp;"","")="유지비",COUNTIF(계정대체기준!$A$6:$A$15,$N2127)&gt;0),IFERROR(INDEX(계정대체기준!$E$6:$E$15,MATCH(VALUE($A2127&amp;""),계정대체기준!$D$6:$D$15,0)),0),0))</f>
        <v/>
      </c>
      <c r="AH2127" s="64">
        <f>IF($A2127="","",IF(AD2127=0,"",IF(OR(COUNTIF(계정대체기준!$A$77:$A$86,$N2127)&gt;0,ISNUMBER(MATCH($X2127,계정대체기준!$D$77:$D$86,0)),ISNUMBER(MATCH($F2127,계정대체기준!$D$77:$D$86,0))),"Y","N")))</f>
        <v/>
      </c>
    </row>
    <row r="2128">
      <c r="A2128" s="92" t="n">
        <v>2025</v>
      </c>
      <c r="B2128" s="92" t="n">
        <v>10</v>
      </c>
      <c r="C2128" s="92" t="inlineStr">
        <is>
          <t>5100002124</t>
        </is>
      </c>
      <c r="D2128" s="95" t="n">
        <v>45941</v>
      </c>
      <c r="E2128" s="92" t="inlineStr">
        <is>
          <t>KR</t>
        </is>
      </c>
      <c r="F2128" s="92" t="n">
        <v>63101000</v>
      </c>
      <c r="G2128" s="92" t="n">
        <v>1601</v>
      </c>
      <c r="H2128" s="93" t="n">
        <v>9212000</v>
      </c>
      <c r="I2128" s="92" t="inlineStr">
        <is>
          <t>10월 사무실 임차료 - BB부동산</t>
        </is>
      </c>
      <c r="J2128" s="92" t="inlineStr">
        <is>
          <t>V10028</t>
        </is>
      </c>
      <c r="K2128" s="92" t="inlineStr">
        <is>
          <t>BB부동산</t>
        </is>
      </c>
      <c r="M2128" s="9">
        <f>IF($A2128="","",VALUE($A2128&amp;"")*12+VALUE($B2128&amp;""))</f>
        <v/>
      </c>
      <c r="N2128" s="64">
        <f>IF($A2128="","",IFERROR(INDEX(부서매핑!$C$5:$C$504,MATCH($G2128&amp;"",부서매핑!$A$5:$A$504,0)),"미매핑"))</f>
        <v/>
      </c>
      <c r="O2128" s="9">
        <f>IF($A2128="","",N2128&amp;"|"&amp;$F2128)</f>
        <v/>
      </c>
      <c r="P2128" s="94">
        <f>IF($A2128="",0,$H2128*설정!$C$23)</f>
        <v/>
      </c>
      <c r="Q2128" s="64">
        <f>IF($A2128="","",IF(O2128&lt;&gt;원인분석!$C$9,"",IF(AND(M2128&gt;=원인분석!$C$10,M2128&lt;=원인분석!$C$11),"당기",IF(AND(M2128&gt;=원인분석!$C$12,M2128&lt;=원인분석!$C$13),"비교",""))))</f>
        <v/>
      </c>
      <c r="R2128" s="9">
        <f>IF(Q2128="","",$K2128&amp;"")</f>
        <v/>
      </c>
      <c r="S2128" s="9">
        <f>IF(Q2128="","",IF(MATCH(R2128,$R$5:$R$100000,0)=ROW()-4,ROW(),""))</f>
        <v/>
      </c>
      <c r="T2128" s="9">
        <f>IF(Q2128="당기",ABS(P2128)+ROW()/1000000000,"")</f>
        <v/>
      </c>
      <c r="U2128" s="9">
        <f>IF(Q2128="비교",ABS(P2128)+ROW()/1000000000,"")</f>
        <v/>
      </c>
      <c r="V2128" s="64">
        <f>IF($A2128="","",IF(COUNTIF(변동분석!$E$7:$E$506,O2128)&gt;0,"Y","N"))</f>
        <v/>
      </c>
      <c r="W2128" s="64">
        <f>IF($A2128="","",IFERROR(INDEX(계정매핑!$D$5:$D$504,MATCH($F2128&amp;"",계정매핑!$A$5:$A$504,0)),"미매핑"))</f>
        <v/>
      </c>
      <c r="X2128" s="9">
        <f>IF($A2128="","",$F2128&amp;"")</f>
        <v/>
      </c>
      <c r="Y2128" s="94">
        <f>IF($A2128="",0,IF(AE2128="직접",IF(AF2128="비귀속",$P2128,0),$P2128*(1-AG2128)*IFERROR(INDEX(계정대체기준!$F$20:$F$49,MATCH($N2128,계정대체기준!$A$20:$A$49,0)),1)))</f>
        <v/>
      </c>
      <c r="Z2128" s="94">
        <f>IF($A2128="",0,IF(AE2128="직접",IF(AF2128="신계약비",$P2128,0),$P2128*(1-AG2128)*IFERROR(INDEX(계정대체기준!$C$20:$C$49,MATCH($N2128,계정대체기준!$A$20:$A$49,0)),0)))</f>
        <v/>
      </c>
      <c r="AA2128" s="94">
        <f>IF($A2128="",0,IF(AE2128="직접",IF(OR(AF2128="유지비",AF2128="손해조사비"),$P2128,0),$P2128*(1-AG2128)*IFERROR(INDEX(계정대체기준!$D$20:$D$49,MATCH($N2128,계정대체기준!$A$20:$A$49,0)),0)))</f>
        <v/>
      </c>
      <c r="AB2128" s="94">
        <f>IF($A2128="",0,IF(AE2128="직접",IF(AF2128="수금비",$P2128,0),$P2128*(1-AG2128)*IFERROR(INDEX(계정대체기준!$E$20:$E$49,MATCH($N2128,계정대체기준!$A$20:$A$49,0)),0)))</f>
        <v/>
      </c>
      <c r="AC2128" s="9">
        <f>IF(AND($A2128&lt;&gt;"",M2128=설정!$C$20,Z2128&gt;0),Z2128+ROW()/1000000000,"")</f>
        <v/>
      </c>
      <c r="AD2128" s="94">
        <f>IF($A2128="",0,$P2128*AG2128)</f>
        <v/>
      </c>
      <c r="AE2128" s="64">
        <f>IF($A2128="","",IFERROR(INDEX(계정매핑!$E$5:$E$504,MATCH($F2128&amp;"",계정매핑!$A$5:$A$504,0))&amp;"","공통비"))</f>
        <v/>
      </c>
      <c r="AF2128" s="64">
        <f>IF($A2128="","",IF(AE2128="직접",IFERROR(INDEX(계정매핑!$F$5:$F$504,MATCH($F2128&amp;"",계정매핑!$A$5:$A$504,0))&amp;"","비귀속"),""))</f>
        <v/>
      </c>
      <c r="AG2128" s="96">
        <f>IF($A2128="",0,IF(AND(AE2128&lt;&gt;"직접",IFERROR(INDEX(계정매핑!$G$5:$G$504,MATCH($F2128&amp;"",계정매핑!$A$5:$A$504,0))&amp;"","")="유지비",COUNTIF(계정대체기준!$A$6:$A$15,$N2128)&gt;0),IFERROR(INDEX(계정대체기준!$E$6:$E$15,MATCH(VALUE($A2128&amp;""),계정대체기준!$D$6:$D$15,0)),0),0))</f>
        <v/>
      </c>
      <c r="AH2128" s="64">
        <f>IF($A2128="","",IF(AD2128=0,"",IF(OR(COUNTIF(계정대체기준!$A$77:$A$86,$N2128)&gt;0,ISNUMBER(MATCH($X2128,계정대체기준!$D$77:$D$86,0)),ISNUMBER(MATCH($F2128,계정대체기준!$D$77:$D$86,0))),"Y","N")))</f>
        <v/>
      </c>
    </row>
    <row r="2129">
      <c r="A2129" s="92" t="n">
        <v>2025</v>
      </c>
      <c r="B2129" s="92" t="n">
        <v>10</v>
      </c>
      <c r="C2129" s="92" t="inlineStr">
        <is>
          <t>5100002125</t>
        </is>
      </c>
      <c r="D2129" s="95" t="n">
        <v>45941</v>
      </c>
      <c r="E2129" s="92" t="inlineStr">
        <is>
          <t>KR</t>
        </is>
      </c>
      <c r="F2129" s="92" t="n">
        <v>63501000</v>
      </c>
      <c r="G2129" s="92" t="n">
        <v>1901</v>
      </c>
      <c r="H2129" s="93" t="n">
        <v>743997000</v>
      </c>
      <c r="I2129" s="92" t="inlineStr">
        <is>
          <t>10월 모집수수료 - AA보험대리점</t>
        </is>
      </c>
      <c r="J2129" s="92" t="inlineStr">
        <is>
          <t>V10034</t>
        </is>
      </c>
      <c r="K2129" s="92" t="inlineStr">
        <is>
          <t>AA보험대리점</t>
        </is>
      </c>
      <c r="M2129" s="9">
        <f>IF($A2129="","",VALUE($A2129&amp;"")*12+VALUE($B2129&amp;""))</f>
        <v/>
      </c>
      <c r="N2129" s="64">
        <f>IF($A2129="","",IFERROR(INDEX(부서매핑!$C$5:$C$504,MATCH($G2129&amp;"",부서매핑!$A$5:$A$504,0)),"미매핑"))</f>
        <v/>
      </c>
      <c r="O2129" s="9">
        <f>IF($A2129="","",N2129&amp;"|"&amp;$F2129)</f>
        <v/>
      </c>
      <c r="P2129" s="94">
        <f>IF($A2129="",0,$H2129*설정!$C$23)</f>
        <v/>
      </c>
      <c r="Q2129" s="64">
        <f>IF($A2129="","",IF(O2129&lt;&gt;원인분석!$C$9,"",IF(AND(M2129&gt;=원인분석!$C$10,M2129&lt;=원인분석!$C$11),"당기",IF(AND(M2129&gt;=원인분석!$C$12,M2129&lt;=원인분석!$C$13),"비교",""))))</f>
        <v/>
      </c>
      <c r="R2129" s="9">
        <f>IF(Q2129="","",$K2129&amp;"")</f>
        <v/>
      </c>
      <c r="S2129" s="9">
        <f>IF(Q2129="","",IF(MATCH(R2129,$R$5:$R$100000,0)=ROW()-4,ROW(),""))</f>
        <v/>
      </c>
      <c r="T2129" s="9">
        <f>IF(Q2129="당기",ABS(P2129)+ROW()/1000000000,"")</f>
        <v/>
      </c>
      <c r="U2129" s="9">
        <f>IF(Q2129="비교",ABS(P2129)+ROW()/1000000000,"")</f>
        <v/>
      </c>
      <c r="V2129" s="64">
        <f>IF($A2129="","",IF(COUNTIF(변동분석!$E$7:$E$506,O2129)&gt;0,"Y","N"))</f>
        <v/>
      </c>
      <c r="W2129" s="64">
        <f>IF($A2129="","",IFERROR(INDEX(계정매핑!$D$5:$D$504,MATCH($F2129&amp;"",계정매핑!$A$5:$A$504,0)),"미매핑"))</f>
        <v/>
      </c>
      <c r="X2129" s="9">
        <f>IF($A2129="","",$F2129&amp;"")</f>
        <v/>
      </c>
      <c r="Y2129" s="94">
        <f>IF($A2129="",0,IF(AE2129="직접",IF(AF2129="비귀속",$P2129,0),$P2129*(1-AG2129)*IFERROR(INDEX(계정대체기준!$F$20:$F$49,MATCH($N2129,계정대체기준!$A$20:$A$49,0)),1)))</f>
        <v/>
      </c>
      <c r="Z2129" s="94">
        <f>IF($A2129="",0,IF(AE2129="직접",IF(AF2129="신계약비",$P2129,0),$P2129*(1-AG2129)*IFERROR(INDEX(계정대체기준!$C$20:$C$49,MATCH($N2129,계정대체기준!$A$20:$A$49,0)),0)))</f>
        <v/>
      </c>
      <c r="AA2129" s="94">
        <f>IF($A2129="",0,IF(AE2129="직접",IF(OR(AF2129="유지비",AF2129="손해조사비"),$P2129,0),$P2129*(1-AG2129)*IFERROR(INDEX(계정대체기준!$D$20:$D$49,MATCH($N2129,계정대체기준!$A$20:$A$49,0)),0)))</f>
        <v/>
      </c>
      <c r="AB2129" s="94">
        <f>IF($A2129="",0,IF(AE2129="직접",IF(AF2129="수금비",$P2129,0),$P2129*(1-AG2129)*IFERROR(INDEX(계정대체기준!$E$20:$E$49,MATCH($N2129,계정대체기준!$A$20:$A$49,0)),0)))</f>
        <v/>
      </c>
      <c r="AC2129" s="9">
        <f>IF(AND($A2129&lt;&gt;"",M2129=설정!$C$20,Z2129&gt;0),Z2129+ROW()/1000000000,"")</f>
        <v/>
      </c>
      <c r="AD2129" s="94">
        <f>IF($A2129="",0,$P2129*AG2129)</f>
        <v/>
      </c>
      <c r="AE2129" s="64">
        <f>IF($A2129="","",IFERROR(INDEX(계정매핑!$E$5:$E$504,MATCH($F2129&amp;"",계정매핑!$A$5:$A$504,0))&amp;"","공통비"))</f>
        <v/>
      </c>
      <c r="AF2129" s="64">
        <f>IF($A2129="","",IF(AE2129="직접",IFERROR(INDEX(계정매핑!$F$5:$F$504,MATCH($F2129&amp;"",계정매핑!$A$5:$A$504,0))&amp;"","비귀속"),""))</f>
        <v/>
      </c>
      <c r="AG2129" s="96">
        <f>IF($A2129="",0,IF(AND(AE2129&lt;&gt;"직접",IFERROR(INDEX(계정매핑!$G$5:$G$504,MATCH($F2129&amp;"",계정매핑!$A$5:$A$504,0))&amp;"","")="유지비",COUNTIF(계정대체기준!$A$6:$A$15,$N2129)&gt;0),IFERROR(INDEX(계정대체기준!$E$6:$E$15,MATCH(VALUE($A2129&amp;""),계정대체기준!$D$6:$D$15,0)),0),0))</f>
        <v/>
      </c>
      <c r="AH2129" s="64">
        <f>IF($A2129="","",IF(AD2129=0,"",IF(OR(COUNTIF(계정대체기준!$A$77:$A$86,$N2129)&gt;0,ISNUMBER(MATCH($X2129,계정대체기준!$D$77:$D$86,0)),ISNUMBER(MATCH($F2129,계정대체기준!$D$77:$D$86,0))),"Y","N")))</f>
        <v/>
      </c>
    </row>
    <row r="2130">
      <c r="A2130" s="92" t="n">
        <v>2025</v>
      </c>
      <c r="B2130" s="92" t="n">
        <v>10</v>
      </c>
      <c r="C2130" s="92" t="inlineStr">
        <is>
          <t>5100002126</t>
        </is>
      </c>
      <c r="D2130" s="95" t="n">
        <v>45941</v>
      </c>
      <c r="E2130" s="92" t="inlineStr">
        <is>
          <t>KR</t>
        </is>
      </c>
      <c r="F2130" s="92" t="n">
        <v>63502000</v>
      </c>
      <c r="G2130" s="92" t="n">
        <v>1902</v>
      </c>
      <c r="H2130" s="93" t="n">
        <v>72946000</v>
      </c>
      <c r="I2130" s="92" t="inlineStr">
        <is>
          <t>10월 유지수수료 - CC금융서비스</t>
        </is>
      </c>
      <c r="J2130" s="92" t="inlineStr">
        <is>
          <t>V10029</t>
        </is>
      </c>
      <c r="K2130" s="92" t="inlineStr">
        <is>
          <t>CC금융서비스</t>
        </is>
      </c>
      <c r="M2130" s="9">
        <f>IF($A2130="","",VALUE($A2130&amp;"")*12+VALUE($B2130&amp;""))</f>
        <v/>
      </c>
      <c r="N2130" s="64">
        <f>IF($A2130="","",IFERROR(INDEX(부서매핑!$C$5:$C$504,MATCH($G2130&amp;"",부서매핑!$A$5:$A$504,0)),"미매핑"))</f>
        <v/>
      </c>
      <c r="O2130" s="9">
        <f>IF($A2130="","",N2130&amp;"|"&amp;$F2130)</f>
        <v/>
      </c>
      <c r="P2130" s="94">
        <f>IF($A2130="",0,$H2130*설정!$C$23)</f>
        <v/>
      </c>
      <c r="Q2130" s="64">
        <f>IF($A2130="","",IF(O2130&lt;&gt;원인분석!$C$9,"",IF(AND(M2130&gt;=원인분석!$C$10,M2130&lt;=원인분석!$C$11),"당기",IF(AND(M2130&gt;=원인분석!$C$12,M2130&lt;=원인분석!$C$13),"비교",""))))</f>
        <v/>
      </c>
      <c r="R2130" s="9">
        <f>IF(Q2130="","",$K2130&amp;"")</f>
        <v/>
      </c>
      <c r="S2130" s="9">
        <f>IF(Q2130="","",IF(MATCH(R2130,$R$5:$R$100000,0)=ROW()-4,ROW(),""))</f>
        <v/>
      </c>
      <c r="T2130" s="9">
        <f>IF(Q2130="당기",ABS(P2130)+ROW()/1000000000,"")</f>
        <v/>
      </c>
      <c r="U2130" s="9">
        <f>IF(Q2130="비교",ABS(P2130)+ROW()/1000000000,"")</f>
        <v/>
      </c>
      <c r="V2130" s="64">
        <f>IF($A2130="","",IF(COUNTIF(변동분석!$E$7:$E$506,O2130)&gt;0,"Y","N"))</f>
        <v/>
      </c>
      <c r="W2130" s="64">
        <f>IF($A2130="","",IFERROR(INDEX(계정매핑!$D$5:$D$504,MATCH($F2130&amp;"",계정매핑!$A$5:$A$504,0)),"미매핑"))</f>
        <v/>
      </c>
      <c r="X2130" s="9">
        <f>IF($A2130="","",$F2130&amp;"")</f>
        <v/>
      </c>
      <c r="Y2130" s="94">
        <f>IF($A2130="",0,IF(AE2130="직접",IF(AF2130="비귀속",$P2130,0),$P2130*(1-AG2130)*IFERROR(INDEX(계정대체기준!$F$20:$F$49,MATCH($N2130,계정대체기준!$A$20:$A$49,0)),1)))</f>
        <v/>
      </c>
      <c r="Z2130" s="94">
        <f>IF($A2130="",0,IF(AE2130="직접",IF(AF2130="신계약비",$P2130,0),$P2130*(1-AG2130)*IFERROR(INDEX(계정대체기준!$C$20:$C$49,MATCH($N2130,계정대체기준!$A$20:$A$49,0)),0)))</f>
        <v/>
      </c>
      <c r="AA2130" s="94">
        <f>IF($A2130="",0,IF(AE2130="직접",IF(OR(AF2130="유지비",AF2130="손해조사비"),$P2130,0),$P2130*(1-AG2130)*IFERROR(INDEX(계정대체기준!$D$20:$D$49,MATCH($N2130,계정대체기준!$A$20:$A$49,0)),0)))</f>
        <v/>
      </c>
      <c r="AB2130" s="94">
        <f>IF($A2130="",0,IF(AE2130="직접",IF(AF2130="수금비",$P2130,0),$P2130*(1-AG2130)*IFERROR(INDEX(계정대체기준!$E$20:$E$49,MATCH($N2130,계정대체기준!$A$20:$A$49,0)),0)))</f>
        <v/>
      </c>
      <c r="AC2130" s="9">
        <f>IF(AND($A2130&lt;&gt;"",M2130=설정!$C$20,Z2130&gt;0),Z2130+ROW()/1000000000,"")</f>
        <v/>
      </c>
      <c r="AD2130" s="94">
        <f>IF($A2130="",0,$P2130*AG2130)</f>
        <v/>
      </c>
      <c r="AE2130" s="64">
        <f>IF($A2130="","",IFERROR(INDEX(계정매핑!$E$5:$E$504,MATCH($F2130&amp;"",계정매핑!$A$5:$A$504,0))&amp;"","공통비"))</f>
        <v/>
      </c>
      <c r="AF2130" s="64">
        <f>IF($A2130="","",IF(AE2130="직접",IFERROR(INDEX(계정매핑!$F$5:$F$504,MATCH($F2130&amp;"",계정매핑!$A$5:$A$504,0))&amp;"","비귀속"),""))</f>
        <v/>
      </c>
      <c r="AG2130" s="96">
        <f>IF($A2130="",0,IF(AND(AE2130&lt;&gt;"직접",IFERROR(INDEX(계정매핑!$G$5:$G$504,MATCH($F2130&amp;"",계정매핑!$A$5:$A$504,0))&amp;"","")="유지비",COUNTIF(계정대체기준!$A$6:$A$15,$N2130)&gt;0),IFERROR(INDEX(계정대체기준!$E$6:$E$15,MATCH(VALUE($A2130&amp;""),계정대체기준!$D$6:$D$15,0)),0),0))</f>
        <v/>
      </c>
      <c r="AH2130" s="64">
        <f>IF($A2130="","",IF(AD2130=0,"",IF(OR(COUNTIF(계정대체기준!$A$77:$A$86,$N2130)&gt;0,ISNUMBER(MATCH($X2130,계정대체기준!$D$77:$D$86,0)),ISNUMBER(MATCH($F2130,계정대체기준!$D$77:$D$86,0))),"Y","N")))</f>
        <v/>
      </c>
    </row>
    <row r="2131">
      <c r="A2131" s="92" t="n">
        <v>2025</v>
      </c>
      <c r="B2131" s="92" t="n">
        <v>10</v>
      </c>
      <c r="C2131" s="92" t="inlineStr">
        <is>
          <t>5100002127</t>
        </is>
      </c>
      <c r="D2131" s="95" t="n">
        <v>45942</v>
      </c>
      <c r="E2131" s="92" t="inlineStr">
        <is>
          <t>KR</t>
        </is>
      </c>
      <c r="F2131" s="92" t="n">
        <v>62101000</v>
      </c>
      <c r="G2131" s="92" t="n">
        <v>1201</v>
      </c>
      <c r="H2131" s="93" t="n">
        <v>317000</v>
      </c>
      <c r="I2131" s="92" t="inlineStr">
        <is>
          <t>10월 국내출장 - (법인카드)</t>
        </is>
      </c>
      <c r="J2131" s="92" t="inlineStr">
        <is>
          <t>V10010</t>
        </is>
      </c>
      <c r="K2131" s="92" t="inlineStr">
        <is>
          <t>(법인카드)</t>
        </is>
      </c>
      <c r="M2131" s="9">
        <f>IF($A2131="","",VALUE($A2131&amp;"")*12+VALUE($B2131&amp;""))</f>
        <v/>
      </c>
      <c r="N2131" s="64">
        <f>IF($A2131="","",IFERROR(INDEX(부서매핑!$C$5:$C$504,MATCH($G2131&amp;"",부서매핑!$A$5:$A$504,0)),"미매핑"))</f>
        <v/>
      </c>
      <c r="O2131" s="9">
        <f>IF($A2131="","",N2131&amp;"|"&amp;$F2131)</f>
        <v/>
      </c>
      <c r="P2131" s="94">
        <f>IF($A2131="",0,$H2131*설정!$C$23)</f>
        <v/>
      </c>
      <c r="Q2131" s="64">
        <f>IF($A2131="","",IF(O2131&lt;&gt;원인분석!$C$9,"",IF(AND(M2131&gt;=원인분석!$C$10,M2131&lt;=원인분석!$C$11),"당기",IF(AND(M2131&gt;=원인분석!$C$12,M2131&lt;=원인분석!$C$13),"비교",""))))</f>
        <v/>
      </c>
      <c r="R2131" s="9">
        <f>IF(Q2131="","",$K2131&amp;"")</f>
        <v/>
      </c>
      <c r="S2131" s="9">
        <f>IF(Q2131="","",IF(MATCH(R2131,$R$5:$R$100000,0)=ROW()-4,ROW(),""))</f>
        <v/>
      </c>
      <c r="T2131" s="9">
        <f>IF(Q2131="당기",ABS(P2131)+ROW()/1000000000,"")</f>
        <v/>
      </c>
      <c r="U2131" s="9">
        <f>IF(Q2131="비교",ABS(P2131)+ROW()/1000000000,"")</f>
        <v/>
      </c>
      <c r="V2131" s="64">
        <f>IF($A2131="","",IF(COUNTIF(변동분석!$E$7:$E$506,O2131)&gt;0,"Y","N"))</f>
        <v/>
      </c>
      <c r="W2131" s="64">
        <f>IF($A2131="","",IFERROR(INDEX(계정매핑!$D$5:$D$504,MATCH($F2131&amp;"",계정매핑!$A$5:$A$504,0)),"미매핑"))</f>
        <v/>
      </c>
      <c r="X2131" s="9">
        <f>IF($A2131="","",$F2131&amp;"")</f>
        <v/>
      </c>
      <c r="Y2131" s="94">
        <f>IF($A2131="",0,IF(AE2131="직접",IF(AF2131="비귀속",$P2131,0),$P2131*(1-AG2131)*IFERROR(INDEX(계정대체기준!$F$20:$F$49,MATCH($N2131,계정대체기준!$A$20:$A$49,0)),1)))</f>
        <v/>
      </c>
      <c r="Z2131" s="94">
        <f>IF($A2131="",0,IF(AE2131="직접",IF(AF2131="신계약비",$P2131,0),$P2131*(1-AG2131)*IFERROR(INDEX(계정대체기준!$C$20:$C$49,MATCH($N2131,계정대체기준!$A$20:$A$49,0)),0)))</f>
        <v/>
      </c>
      <c r="AA2131" s="94">
        <f>IF($A2131="",0,IF(AE2131="직접",IF(OR(AF2131="유지비",AF2131="손해조사비"),$P2131,0),$P2131*(1-AG2131)*IFERROR(INDEX(계정대체기준!$D$20:$D$49,MATCH($N2131,계정대체기준!$A$20:$A$49,0)),0)))</f>
        <v/>
      </c>
      <c r="AB2131" s="94">
        <f>IF($A2131="",0,IF(AE2131="직접",IF(AF2131="수금비",$P2131,0),$P2131*(1-AG2131)*IFERROR(INDEX(계정대체기준!$E$20:$E$49,MATCH($N2131,계정대체기준!$A$20:$A$49,0)),0)))</f>
        <v/>
      </c>
      <c r="AC2131" s="9">
        <f>IF(AND($A2131&lt;&gt;"",M2131=설정!$C$20,Z2131&gt;0),Z2131+ROW()/1000000000,"")</f>
        <v/>
      </c>
      <c r="AD2131" s="94">
        <f>IF($A2131="",0,$P2131*AG2131)</f>
        <v/>
      </c>
      <c r="AE2131" s="64">
        <f>IF($A2131="","",IFERROR(INDEX(계정매핑!$E$5:$E$504,MATCH($F2131&amp;"",계정매핑!$A$5:$A$504,0))&amp;"","공통비"))</f>
        <v/>
      </c>
      <c r="AF2131" s="64">
        <f>IF($A2131="","",IF(AE2131="직접",IFERROR(INDEX(계정매핑!$F$5:$F$504,MATCH($F2131&amp;"",계정매핑!$A$5:$A$504,0))&amp;"","비귀속"),""))</f>
        <v/>
      </c>
      <c r="AG2131" s="96">
        <f>IF($A2131="",0,IF(AND(AE2131&lt;&gt;"직접",IFERROR(INDEX(계정매핑!$G$5:$G$504,MATCH($F2131&amp;"",계정매핑!$A$5:$A$504,0))&amp;"","")="유지비",COUNTIF(계정대체기준!$A$6:$A$15,$N2131)&gt;0),IFERROR(INDEX(계정대체기준!$E$6:$E$15,MATCH(VALUE($A2131&amp;""),계정대체기준!$D$6:$D$15,0)),0),0))</f>
        <v/>
      </c>
      <c r="AH2131" s="64">
        <f>IF($A2131="","",IF(AD2131=0,"",IF(OR(COUNTIF(계정대체기준!$A$77:$A$86,$N2131)&gt;0,ISNUMBER(MATCH($X2131,계정대체기준!$D$77:$D$86,0)),ISNUMBER(MATCH($F2131,계정대체기준!$D$77:$D$86,0))),"Y","N")))</f>
        <v/>
      </c>
    </row>
    <row r="2132">
      <c r="A2132" s="92" t="n">
        <v>2025</v>
      </c>
      <c r="B2132" s="92" t="n">
        <v>10</v>
      </c>
      <c r="C2132" s="92" t="inlineStr">
        <is>
          <t>5100002128</t>
        </is>
      </c>
      <c r="D2132" s="95" t="n">
        <v>45942</v>
      </c>
      <c r="E2132" s="92" t="inlineStr">
        <is>
          <t>KR</t>
        </is>
      </c>
      <c r="F2132" s="92" t="n">
        <v>62101000</v>
      </c>
      <c r="G2132" s="92" t="n">
        <v>1701</v>
      </c>
      <c r="H2132" s="93" t="n">
        <v>192000</v>
      </c>
      <c r="I2132" s="92" t="inlineStr">
        <is>
          <t>10월 국내출장 - L여행사</t>
        </is>
      </c>
      <c r="J2132" s="92" t="inlineStr">
        <is>
          <t>V10018</t>
        </is>
      </c>
      <c r="K2132" s="92" t="inlineStr">
        <is>
          <t>L여행사</t>
        </is>
      </c>
      <c r="M2132" s="9">
        <f>IF($A2132="","",VALUE($A2132&amp;"")*12+VALUE($B2132&amp;""))</f>
        <v/>
      </c>
      <c r="N2132" s="64">
        <f>IF($A2132="","",IFERROR(INDEX(부서매핑!$C$5:$C$504,MATCH($G2132&amp;"",부서매핑!$A$5:$A$504,0)),"미매핑"))</f>
        <v/>
      </c>
      <c r="O2132" s="9">
        <f>IF($A2132="","",N2132&amp;"|"&amp;$F2132)</f>
        <v/>
      </c>
      <c r="P2132" s="94">
        <f>IF($A2132="",0,$H2132*설정!$C$23)</f>
        <v/>
      </c>
      <c r="Q2132" s="64">
        <f>IF($A2132="","",IF(O2132&lt;&gt;원인분석!$C$9,"",IF(AND(M2132&gt;=원인분석!$C$10,M2132&lt;=원인분석!$C$11),"당기",IF(AND(M2132&gt;=원인분석!$C$12,M2132&lt;=원인분석!$C$13),"비교",""))))</f>
        <v/>
      </c>
      <c r="R2132" s="9">
        <f>IF(Q2132="","",$K2132&amp;"")</f>
        <v/>
      </c>
      <c r="S2132" s="9">
        <f>IF(Q2132="","",IF(MATCH(R2132,$R$5:$R$100000,0)=ROW()-4,ROW(),""))</f>
        <v/>
      </c>
      <c r="T2132" s="9">
        <f>IF(Q2132="당기",ABS(P2132)+ROW()/1000000000,"")</f>
        <v/>
      </c>
      <c r="U2132" s="9">
        <f>IF(Q2132="비교",ABS(P2132)+ROW()/1000000000,"")</f>
        <v/>
      </c>
      <c r="V2132" s="64">
        <f>IF($A2132="","",IF(COUNTIF(변동분석!$E$7:$E$506,O2132)&gt;0,"Y","N"))</f>
        <v/>
      </c>
      <c r="W2132" s="64">
        <f>IF($A2132="","",IFERROR(INDEX(계정매핑!$D$5:$D$504,MATCH($F2132&amp;"",계정매핑!$A$5:$A$504,0)),"미매핑"))</f>
        <v/>
      </c>
      <c r="X2132" s="9">
        <f>IF($A2132="","",$F2132&amp;"")</f>
        <v/>
      </c>
      <c r="Y2132" s="94">
        <f>IF($A2132="",0,IF(AE2132="직접",IF(AF2132="비귀속",$P2132,0),$P2132*(1-AG2132)*IFERROR(INDEX(계정대체기준!$F$20:$F$49,MATCH($N2132,계정대체기준!$A$20:$A$49,0)),1)))</f>
        <v/>
      </c>
      <c r="Z2132" s="94">
        <f>IF($A2132="",0,IF(AE2132="직접",IF(AF2132="신계약비",$P2132,0),$P2132*(1-AG2132)*IFERROR(INDEX(계정대체기준!$C$20:$C$49,MATCH($N2132,계정대체기준!$A$20:$A$49,0)),0)))</f>
        <v/>
      </c>
      <c r="AA2132" s="94">
        <f>IF($A2132="",0,IF(AE2132="직접",IF(OR(AF2132="유지비",AF2132="손해조사비"),$P2132,0),$P2132*(1-AG2132)*IFERROR(INDEX(계정대체기준!$D$20:$D$49,MATCH($N2132,계정대체기준!$A$20:$A$49,0)),0)))</f>
        <v/>
      </c>
      <c r="AB2132" s="94">
        <f>IF($A2132="",0,IF(AE2132="직접",IF(AF2132="수금비",$P2132,0),$P2132*(1-AG2132)*IFERROR(INDEX(계정대체기준!$E$20:$E$49,MATCH($N2132,계정대체기준!$A$20:$A$49,0)),0)))</f>
        <v/>
      </c>
      <c r="AC2132" s="9">
        <f>IF(AND($A2132&lt;&gt;"",M2132=설정!$C$20,Z2132&gt;0),Z2132+ROW()/1000000000,"")</f>
        <v/>
      </c>
      <c r="AD2132" s="94">
        <f>IF($A2132="",0,$P2132*AG2132)</f>
        <v/>
      </c>
      <c r="AE2132" s="64">
        <f>IF($A2132="","",IFERROR(INDEX(계정매핑!$E$5:$E$504,MATCH($F2132&amp;"",계정매핑!$A$5:$A$504,0))&amp;"","공통비"))</f>
        <v/>
      </c>
      <c r="AF2132" s="64">
        <f>IF($A2132="","",IF(AE2132="직접",IFERROR(INDEX(계정매핑!$F$5:$F$504,MATCH($F2132&amp;"",계정매핑!$A$5:$A$504,0))&amp;"","비귀속"),""))</f>
        <v/>
      </c>
      <c r="AG2132" s="96">
        <f>IF($A2132="",0,IF(AND(AE2132&lt;&gt;"직접",IFERROR(INDEX(계정매핑!$G$5:$G$504,MATCH($F2132&amp;"",계정매핑!$A$5:$A$504,0))&amp;"","")="유지비",COUNTIF(계정대체기준!$A$6:$A$15,$N2132)&gt;0),IFERROR(INDEX(계정대체기준!$E$6:$E$15,MATCH(VALUE($A2132&amp;""),계정대체기준!$D$6:$D$15,0)),0),0))</f>
        <v/>
      </c>
      <c r="AH2132" s="64">
        <f>IF($A2132="","",IF(AD2132=0,"",IF(OR(COUNTIF(계정대체기준!$A$77:$A$86,$N2132)&gt;0,ISNUMBER(MATCH($X2132,계정대체기준!$D$77:$D$86,0)),ISNUMBER(MATCH($F2132,계정대체기준!$D$77:$D$86,0))),"Y","N")))</f>
        <v/>
      </c>
    </row>
    <row r="2133">
      <c r="A2133" s="92" t="n">
        <v>2025</v>
      </c>
      <c r="B2133" s="92" t="n">
        <v>10</v>
      </c>
      <c r="C2133" s="92" t="inlineStr">
        <is>
          <t>5100002129</t>
        </is>
      </c>
      <c r="D2133" s="95" t="n">
        <v>45942</v>
      </c>
      <c r="E2133" s="92" t="inlineStr">
        <is>
          <t>KR</t>
        </is>
      </c>
      <c r="F2133" s="92" t="n">
        <v>62201000</v>
      </c>
      <c r="G2133" s="92" t="n">
        <v>1401</v>
      </c>
      <c r="H2133" s="93" t="n">
        <v>196000</v>
      </c>
      <c r="I2133" s="92" t="inlineStr">
        <is>
          <t>10월 통신요금 - O텔레콤</t>
        </is>
      </c>
      <c r="J2133" s="92" t="inlineStr">
        <is>
          <t>V10002</t>
        </is>
      </c>
      <c r="K2133" s="92" t="inlineStr">
        <is>
          <t>O텔레콤</t>
        </is>
      </c>
      <c r="M2133" s="9">
        <f>IF($A2133="","",VALUE($A2133&amp;"")*12+VALUE($B2133&amp;""))</f>
        <v/>
      </c>
      <c r="N2133" s="64">
        <f>IF($A2133="","",IFERROR(INDEX(부서매핑!$C$5:$C$504,MATCH($G2133&amp;"",부서매핑!$A$5:$A$504,0)),"미매핑"))</f>
        <v/>
      </c>
      <c r="O2133" s="9">
        <f>IF($A2133="","",N2133&amp;"|"&amp;$F2133)</f>
        <v/>
      </c>
      <c r="P2133" s="94">
        <f>IF($A2133="",0,$H2133*설정!$C$23)</f>
        <v/>
      </c>
      <c r="Q2133" s="64">
        <f>IF($A2133="","",IF(O2133&lt;&gt;원인분석!$C$9,"",IF(AND(M2133&gt;=원인분석!$C$10,M2133&lt;=원인분석!$C$11),"당기",IF(AND(M2133&gt;=원인분석!$C$12,M2133&lt;=원인분석!$C$13),"비교",""))))</f>
        <v/>
      </c>
      <c r="R2133" s="9">
        <f>IF(Q2133="","",$K2133&amp;"")</f>
        <v/>
      </c>
      <c r="S2133" s="9">
        <f>IF(Q2133="","",IF(MATCH(R2133,$R$5:$R$100000,0)=ROW()-4,ROW(),""))</f>
        <v/>
      </c>
      <c r="T2133" s="9">
        <f>IF(Q2133="당기",ABS(P2133)+ROW()/1000000000,"")</f>
        <v/>
      </c>
      <c r="U2133" s="9">
        <f>IF(Q2133="비교",ABS(P2133)+ROW()/1000000000,"")</f>
        <v/>
      </c>
      <c r="V2133" s="64">
        <f>IF($A2133="","",IF(COUNTIF(변동분석!$E$7:$E$506,O2133)&gt;0,"Y","N"))</f>
        <v/>
      </c>
      <c r="W2133" s="64">
        <f>IF($A2133="","",IFERROR(INDEX(계정매핑!$D$5:$D$504,MATCH($F2133&amp;"",계정매핑!$A$5:$A$504,0)),"미매핑"))</f>
        <v/>
      </c>
      <c r="X2133" s="9">
        <f>IF($A2133="","",$F2133&amp;"")</f>
        <v/>
      </c>
      <c r="Y2133" s="94">
        <f>IF($A2133="",0,IF(AE2133="직접",IF(AF2133="비귀속",$P2133,0),$P2133*(1-AG2133)*IFERROR(INDEX(계정대체기준!$F$20:$F$49,MATCH($N2133,계정대체기준!$A$20:$A$49,0)),1)))</f>
        <v/>
      </c>
      <c r="Z2133" s="94">
        <f>IF($A2133="",0,IF(AE2133="직접",IF(AF2133="신계약비",$P2133,0),$P2133*(1-AG2133)*IFERROR(INDEX(계정대체기준!$C$20:$C$49,MATCH($N2133,계정대체기준!$A$20:$A$49,0)),0)))</f>
        <v/>
      </c>
      <c r="AA2133" s="94">
        <f>IF($A2133="",0,IF(AE2133="직접",IF(OR(AF2133="유지비",AF2133="손해조사비"),$P2133,0),$P2133*(1-AG2133)*IFERROR(INDEX(계정대체기준!$D$20:$D$49,MATCH($N2133,계정대체기준!$A$20:$A$49,0)),0)))</f>
        <v/>
      </c>
      <c r="AB2133" s="94">
        <f>IF($A2133="",0,IF(AE2133="직접",IF(AF2133="수금비",$P2133,0),$P2133*(1-AG2133)*IFERROR(INDEX(계정대체기준!$E$20:$E$49,MATCH($N2133,계정대체기준!$A$20:$A$49,0)),0)))</f>
        <v/>
      </c>
      <c r="AC2133" s="9">
        <f>IF(AND($A2133&lt;&gt;"",M2133=설정!$C$20,Z2133&gt;0),Z2133+ROW()/1000000000,"")</f>
        <v/>
      </c>
      <c r="AD2133" s="94">
        <f>IF($A2133="",0,$P2133*AG2133)</f>
        <v/>
      </c>
      <c r="AE2133" s="64">
        <f>IF($A2133="","",IFERROR(INDEX(계정매핑!$E$5:$E$504,MATCH($F2133&amp;"",계정매핑!$A$5:$A$504,0))&amp;"","공통비"))</f>
        <v/>
      </c>
      <c r="AF2133" s="64">
        <f>IF($A2133="","",IF(AE2133="직접",IFERROR(INDEX(계정매핑!$F$5:$F$504,MATCH($F2133&amp;"",계정매핑!$A$5:$A$504,0))&amp;"","비귀속"),""))</f>
        <v/>
      </c>
      <c r="AG2133" s="96">
        <f>IF($A2133="",0,IF(AND(AE2133&lt;&gt;"직접",IFERROR(INDEX(계정매핑!$G$5:$G$504,MATCH($F2133&amp;"",계정매핑!$A$5:$A$504,0))&amp;"","")="유지비",COUNTIF(계정대체기준!$A$6:$A$15,$N2133)&gt;0),IFERROR(INDEX(계정대체기준!$E$6:$E$15,MATCH(VALUE($A2133&amp;""),계정대체기준!$D$6:$D$15,0)),0),0))</f>
        <v/>
      </c>
      <c r="AH2133" s="64">
        <f>IF($A2133="","",IF(AD2133=0,"",IF(OR(COUNTIF(계정대체기준!$A$77:$A$86,$N2133)&gt;0,ISNUMBER(MATCH($X2133,계정대체기준!$D$77:$D$86,0)),ISNUMBER(MATCH($F2133,계정대체기준!$D$77:$D$86,0))),"Y","N")))</f>
        <v/>
      </c>
    </row>
    <row r="2134">
      <c r="A2134" s="92" t="n">
        <v>2025</v>
      </c>
      <c r="B2134" s="92" t="n">
        <v>10</v>
      </c>
      <c r="C2134" s="92" t="inlineStr">
        <is>
          <t>5100002130</t>
        </is>
      </c>
      <c r="D2134" s="95" t="n">
        <v>45942</v>
      </c>
      <c r="E2134" s="92" t="inlineStr">
        <is>
          <t>KR</t>
        </is>
      </c>
      <c r="F2134" s="92" t="n">
        <v>62301000</v>
      </c>
      <c r="G2134" s="92" t="n">
        <v>1502</v>
      </c>
      <c r="H2134" s="93" t="n">
        <v>290000</v>
      </c>
      <c r="I2134" s="92" t="inlineStr">
        <is>
          <t>10월 소모품 구입 - R문구</t>
        </is>
      </c>
      <c r="J2134" s="92" t="inlineStr">
        <is>
          <t>V10022</t>
        </is>
      </c>
      <c r="K2134" s="92" t="inlineStr">
        <is>
          <t>R문구</t>
        </is>
      </c>
      <c r="M2134" s="9">
        <f>IF($A2134="","",VALUE($A2134&amp;"")*12+VALUE($B2134&amp;""))</f>
        <v/>
      </c>
      <c r="N2134" s="64">
        <f>IF($A2134="","",IFERROR(INDEX(부서매핑!$C$5:$C$504,MATCH($G2134&amp;"",부서매핑!$A$5:$A$504,0)),"미매핑"))</f>
        <v/>
      </c>
      <c r="O2134" s="9">
        <f>IF($A2134="","",N2134&amp;"|"&amp;$F2134)</f>
        <v/>
      </c>
      <c r="P2134" s="94">
        <f>IF($A2134="",0,$H2134*설정!$C$23)</f>
        <v/>
      </c>
      <c r="Q2134" s="64">
        <f>IF($A2134="","",IF(O2134&lt;&gt;원인분석!$C$9,"",IF(AND(M2134&gt;=원인분석!$C$10,M2134&lt;=원인분석!$C$11),"당기",IF(AND(M2134&gt;=원인분석!$C$12,M2134&lt;=원인분석!$C$13),"비교",""))))</f>
        <v/>
      </c>
      <c r="R2134" s="9">
        <f>IF(Q2134="","",$K2134&amp;"")</f>
        <v/>
      </c>
      <c r="S2134" s="9">
        <f>IF(Q2134="","",IF(MATCH(R2134,$R$5:$R$100000,0)=ROW()-4,ROW(),""))</f>
        <v/>
      </c>
      <c r="T2134" s="9">
        <f>IF(Q2134="당기",ABS(P2134)+ROW()/1000000000,"")</f>
        <v/>
      </c>
      <c r="U2134" s="9">
        <f>IF(Q2134="비교",ABS(P2134)+ROW()/1000000000,"")</f>
        <v/>
      </c>
      <c r="V2134" s="64">
        <f>IF($A2134="","",IF(COUNTIF(변동분석!$E$7:$E$506,O2134)&gt;0,"Y","N"))</f>
        <v/>
      </c>
      <c r="W2134" s="64">
        <f>IF($A2134="","",IFERROR(INDEX(계정매핑!$D$5:$D$504,MATCH($F2134&amp;"",계정매핑!$A$5:$A$504,0)),"미매핑"))</f>
        <v/>
      </c>
      <c r="X2134" s="9">
        <f>IF($A2134="","",$F2134&amp;"")</f>
        <v/>
      </c>
      <c r="Y2134" s="94">
        <f>IF($A2134="",0,IF(AE2134="직접",IF(AF2134="비귀속",$P2134,0),$P2134*(1-AG2134)*IFERROR(INDEX(계정대체기준!$F$20:$F$49,MATCH($N2134,계정대체기준!$A$20:$A$49,0)),1)))</f>
        <v/>
      </c>
      <c r="Z2134" s="94">
        <f>IF($A2134="",0,IF(AE2134="직접",IF(AF2134="신계약비",$P2134,0),$P2134*(1-AG2134)*IFERROR(INDEX(계정대체기준!$C$20:$C$49,MATCH($N2134,계정대체기준!$A$20:$A$49,0)),0)))</f>
        <v/>
      </c>
      <c r="AA2134" s="94">
        <f>IF($A2134="",0,IF(AE2134="직접",IF(OR(AF2134="유지비",AF2134="손해조사비"),$P2134,0),$P2134*(1-AG2134)*IFERROR(INDEX(계정대체기준!$D$20:$D$49,MATCH($N2134,계정대체기준!$A$20:$A$49,0)),0)))</f>
        <v/>
      </c>
      <c r="AB2134" s="94">
        <f>IF($A2134="",0,IF(AE2134="직접",IF(AF2134="수금비",$P2134,0),$P2134*(1-AG2134)*IFERROR(INDEX(계정대체기준!$E$20:$E$49,MATCH($N2134,계정대체기준!$A$20:$A$49,0)),0)))</f>
        <v/>
      </c>
      <c r="AC2134" s="9">
        <f>IF(AND($A2134&lt;&gt;"",M2134=설정!$C$20,Z2134&gt;0),Z2134+ROW()/1000000000,"")</f>
        <v/>
      </c>
      <c r="AD2134" s="94">
        <f>IF($A2134="",0,$P2134*AG2134)</f>
        <v/>
      </c>
      <c r="AE2134" s="64">
        <f>IF($A2134="","",IFERROR(INDEX(계정매핑!$E$5:$E$504,MATCH($F2134&amp;"",계정매핑!$A$5:$A$504,0))&amp;"","공통비"))</f>
        <v/>
      </c>
      <c r="AF2134" s="64">
        <f>IF($A2134="","",IF(AE2134="직접",IFERROR(INDEX(계정매핑!$F$5:$F$504,MATCH($F2134&amp;"",계정매핑!$A$5:$A$504,0))&amp;"","비귀속"),""))</f>
        <v/>
      </c>
      <c r="AG2134" s="96">
        <f>IF($A2134="",0,IF(AND(AE2134&lt;&gt;"직접",IFERROR(INDEX(계정매핑!$G$5:$G$504,MATCH($F2134&amp;"",계정매핑!$A$5:$A$504,0))&amp;"","")="유지비",COUNTIF(계정대체기준!$A$6:$A$15,$N2134)&gt;0),IFERROR(INDEX(계정대체기준!$E$6:$E$15,MATCH(VALUE($A2134&amp;""),계정대체기준!$D$6:$D$15,0)),0),0))</f>
        <v/>
      </c>
      <c r="AH2134" s="64">
        <f>IF($A2134="","",IF(AD2134=0,"",IF(OR(COUNTIF(계정대체기준!$A$77:$A$86,$N2134)&gt;0,ISNUMBER(MATCH($X2134,계정대체기준!$D$77:$D$86,0)),ISNUMBER(MATCH($F2134,계정대체기준!$D$77:$D$86,0))),"Y","N")))</f>
        <v/>
      </c>
    </row>
    <row r="2135">
      <c r="A2135" s="92" t="n">
        <v>2025</v>
      </c>
      <c r="B2135" s="92" t="n">
        <v>10</v>
      </c>
      <c r="C2135" s="92" t="inlineStr">
        <is>
          <t>5100002131</t>
        </is>
      </c>
      <c r="D2135" s="95" t="n">
        <v>45942</v>
      </c>
      <c r="E2135" s="92" t="inlineStr">
        <is>
          <t>KR</t>
        </is>
      </c>
      <c r="F2135" s="92" t="n">
        <v>62401000</v>
      </c>
      <c r="G2135" s="92" t="n">
        <v>1801</v>
      </c>
      <c r="H2135" s="93" t="n">
        <v>4209000</v>
      </c>
      <c r="I2135" s="92" t="inlineStr">
        <is>
          <t>10월 인쇄물 제작 - S출판</t>
        </is>
      </c>
      <c r="J2135" s="92" t="inlineStr">
        <is>
          <t>V10015</t>
        </is>
      </c>
      <c r="K2135" s="92" t="inlineStr">
        <is>
          <t>S출판</t>
        </is>
      </c>
      <c r="M2135" s="9">
        <f>IF($A2135="","",VALUE($A2135&amp;"")*12+VALUE($B2135&amp;""))</f>
        <v/>
      </c>
      <c r="N2135" s="64">
        <f>IF($A2135="","",IFERROR(INDEX(부서매핑!$C$5:$C$504,MATCH($G2135&amp;"",부서매핑!$A$5:$A$504,0)),"미매핑"))</f>
        <v/>
      </c>
      <c r="O2135" s="9">
        <f>IF($A2135="","",N2135&amp;"|"&amp;$F2135)</f>
        <v/>
      </c>
      <c r="P2135" s="94">
        <f>IF($A2135="",0,$H2135*설정!$C$23)</f>
        <v/>
      </c>
      <c r="Q2135" s="64">
        <f>IF($A2135="","",IF(O2135&lt;&gt;원인분석!$C$9,"",IF(AND(M2135&gt;=원인분석!$C$10,M2135&lt;=원인분석!$C$11),"당기",IF(AND(M2135&gt;=원인분석!$C$12,M2135&lt;=원인분석!$C$13),"비교",""))))</f>
        <v/>
      </c>
      <c r="R2135" s="9">
        <f>IF(Q2135="","",$K2135&amp;"")</f>
        <v/>
      </c>
      <c r="S2135" s="9">
        <f>IF(Q2135="","",IF(MATCH(R2135,$R$5:$R$100000,0)=ROW()-4,ROW(),""))</f>
        <v/>
      </c>
      <c r="T2135" s="9">
        <f>IF(Q2135="당기",ABS(P2135)+ROW()/1000000000,"")</f>
        <v/>
      </c>
      <c r="U2135" s="9">
        <f>IF(Q2135="비교",ABS(P2135)+ROW()/1000000000,"")</f>
        <v/>
      </c>
      <c r="V2135" s="64">
        <f>IF($A2135="","",IF(COUNTIF(변동분석!$E$7:$E$506,O2135)&gt;0,"Y","N"))</f>
        <v/>
      </c>
      <c r="W2135" s="64">
        <f>IF($A2135="","",IFERROR(INDEX(계정매핑!$D$5:$D$504,MATCH($F2135&amp;"",계정매핑!$A$5:$A$504,0)),"미매핑"))</f>
        <v/>
      </c>
      <c r="X2135" s="9">
        <f>IF($A2135="","",$F2135&amp;"")</f>
        <v/>
      </c>
      <c r="Y2135" s="94">
        <f>IF($A2135="",0,IF(AE2135="직접",IF(AF2135="비귀속",$P2135,0),$P2135*(1-AG2135)*IFERROR(INDEX(계정대체기준!$F$20:$F$49,MATCH($N2135,계정대체기준!$A$20:$A$49,0)),1)))</f>
        <v/>
      </c>
      <c r="Z2135" s="94">
        <f>IF($A2135="",0,IF(AE2135="직접",IF(AF2135="신계약비",$P2135,0),$P2135*(1-AG2135)*IFERROR(INDEX(계정대체기준!$C$20:$C$49,MATCH($N2135,계정대체기준!$A$20:$A$49,0)),0)))</f>
        <v/>
      </c>
      <c r="AA2135" s="94">
        <f>IF($A2135="",0,IF(AE2135="직접",IF(OR(AF2135="유지비",AF2135="손해조사비"),$P2135,0),$P2135*(1-AG2135)*IFERROR(INDEX(계정대체기준!$D$20:$D$49,MATCH($N2135,계정대체기준!$A$20:$A$49,0)),0)))</f>
        <v/>
      </c>
      <c r="AB2135" s="94">
        <f>IF($A2135="",0,IF(AE2135="직접",IF(AF2135="수금비",$P2135,0),$P2135*(1-AG2135)*IFERROR(INDEX(계정대체기준!$E$20:$E$49,MATCH($N2135,계정대체기준!$A$20:$A$49,0)),0)))</f>
        <v/>
      </c>
      <c r="AC2135" s="9">
        <f>IF(AND($A2135&lt;&gt;"",M2135=설정!$C$20,Z2135&gt;0),Z2135+ROW()/1000000000,"")</f>
        <v/>
      </c>
      <c r="AD2135" s="94">
        <f>IF($A2135="",0,$P2135*AG2135)</f>
        <v/>
      </c>
      <c r="AE2135" s="64">
        <f>IF($A2135="","",IFERROR(INDEX(계정매핑!$E$5:$E$504,MATCH($F2135&amp;"",계정매핑!$A$5:$A$504,0))&amp;"","공통비"))</f>
        <v/>
      </c>
      <c r="AF2135" s="64">
        <f>IF($A2135="","",IF(AE2135="직접",IFERROR(INDEX(계정매핑!$F$5:$F$504,MATCH($F2135&amp;"",계정매핑!$A$5:$A$504,0))&amp;"","비귀속"),""))</f>
        <v/>
      </c>
      <c r="AG2135" s="96">
        <f>IF($A2135="",0,IF(AND(AE2135&lt;&gt;"직접",IFERROR(INDEX(계정매핑!$G$5:$G$504,MATCH($F2135&amp;"",계정매핑!$A$5:$A$504,0))&amp;"","")="유지비",COUNTIF(계정대체기준!$A$6:$A$15,$N2135)&gt;0),IFERROR(INDEX(계정대체기준!$E$6:$E$15,MATCH(VALUE($A2135&amp;""),계정대체기준!$D$6:$D$15,0)),0),0))</f>
        <v/>
      </c>
      <c r="AH2135" s="64">
        <f>IF($A2135="","",IF(AD2135=0,"",IF(OR(COUNTIF(계정대체기준!$A$77:$A$86,$N2135)&gt;0,ISNUMBER(MATCH($X2135,계정대체기준!$D$77:$D$86,0)),ISNUMBER(MATCH($F2135,계정대체기준!$D$77:$D$86,0))),"Y","N")))</f>
        <v/>
      </c>
    </row>
    <row r="2136">
      <c r="A2136" s="92" t="n">
        <v>2025</v>
      </c>
      <c r="B2136" s="92" t="n">
        <v>10</v>
      </c>
      <c r="C2136" s="92" t="inlineStr">
        <is>
          <t>5100002132</t>
        </is>
      </c>
      <c r="D2136" s="95" t="n">
        <v>45942</v>
      </c>
      <c r="E2136" s="92" t="inlineStr">
        <is>
          <t>KR</t>
        </is>
      </c>
      <c r="F2136" s="92" t="n">
        <v>62501000</v>
      </c>
      <c r="G2136" s="92" t="n">
        <v>1201</v>
      </c>
      <c r="H2136" s="93" t="n">
        <v>127000</v>
      </c>
      <c r="I2136" s="92" t="inlineStr">
        <is>
          <t>10월 회의 다과 - T케이터링</t>
        </is>
      </c>
      <c r="J2136" s="92" t="inlineStr">
        <is>
          <t>V10005</t>
        </is>
      </c>
      <c r="K2136" s="92" t="inlineStr">
        <is>
          <t>T케이터링</t>
        </is>
      </c>
      <c r="M2136" s="9">
        <f>IF($A2136="","",VALUE($A2136&amp;"")*12+VALUE($B2136&amp;""))</f>
        <v/>
      </c>
      <c r="N2136" s="64">
        <f>IF($A2136="","",IFERROR(INDEX(부서매핑!$C$5:$C$504,MATCH($G2136&amp;"",부서매핑!$A$5:$A$504,0)),"미매핑"))</f>
        <v/>
      </c>
      <c r="O2136" s="9">
        <f>IF($A2136="","",N2136&amp;"|"&amp;$F2136)</f>
        <v/>
      </c>
      <c r="P2136" s="94">
        <f>IF($A2136="",0,$H2136*설정!$C$23)</f>
        <v/>
      </c>
      <c r="Q2136" s="64">
        <f>IF($A2136="","",IF(O2136&lt;&gt;원인분석!$C$9,"",IF(AND(M2136&gt;=원인분석!$C$10,M2136&lt;=원인분석!$C$11),"당기",IF(AND(M2136&gt;=원인분석!$C$12,M2136&lt;=원인분석!$C$13),"비교",""))))</f>
        <v/>
      </c>
      <c r="R2136" s="9">
        <f>IF(Q2136="","",$K2136&amp;"")</f>
        <v/>
      </c>
      <c r="S2136" s="9">
        <f>IF(Q2136="","",IF(MATCH(R2136,$R$5:$R$100000,0)=ROW()-4,ROW(),""))</f>
        <v/>
      </c>
      <c r="T2136" s="9">
        <f>IF(Q2136="당기",ABS(P2136)+ROW()/1000000000,"")</f>
        <v/>
      </c>
      <c r="U2136" s="9">
        <f>IF(Q2136="비교",ABS(P2136)+ROW()/1000000000,"")</f>
        <v/>
      </c>
      <c r="V2136" s="64">
        <f>IF($A2136="","",IF(COUNTIF(변동분석!$E$7:$E$506,O2136)&gt;0,"Y","N"))</f>
        <v/>
      </c>
      <c r="W2136" s="64">
        <f>IF($A2136="","",IFERROR(INDEX(계정매핑!$D$5:$D$504,MATCH($F2136&amp;"",계정매핑!$A$5:$A$504,0)),"미매핑"))</f>
        <v/>
      </c>
      <c r="X2136" s="9">
        <f>IF($A2136="","",$F2136&amp;"")</f>
        <v/>
      </c>
      <c r="Y2136" s="94">
        <f>IF($A2136="",0,IF(AE2136="직접",IF(AF2136="비귀속",$P2136,0),$P2136*(1-AG2136)*IFERROR(INDEX(계정대체기준!$F$20:$F$49,MATCH($N2136,계정대체기준!$A$20:$A$49,0)),1)))</f>
        <v/>
      </c>
      <c r="Z2136" s="94">
        <f>IF($A2136="",0,IF(AE2136="직접",IF(AF2136="신계약비",$P2136,0),$P2136*(1-AG2136)*IFERROR(INDEX(계정대체기준!$C$20:$C$49,MATCH($N2136,계정대체기준!$A$20:$A$49,0)),0)))</f>
        <v/>
      </c>
      <c r="AA2136" s="94">
        <f>IF($A2136="",0,IF(AE2136="직접",IF(OR(AF2136="유지비",AF2136="손해조사비"),$P2136,0),$P2136*(1-AG2136)*IFERROR(INDEX(계정대체기준!$D$20:$D$49,MATCH($N2136,계정대체기준!$A$20:$A$49,0)),0)))</f>
        <v/>
      </c>
      <c r="AB2136" s="94">
        <f>IF($A2136="",0,IF(AE2136="직접",IF(AF2136="수금비",$P2136,0),$P2136*(1-AG2136)*IFERROR(INDEX(계정대체기준!$E$20:$E$49,MATCH($N2136,계정대체기준!$A$20:$A$49,0)),0)))</f>
        <v/>
      </c>
      <c r="AC2136" s="9">
        <f>IF(AND($A2136&lt;&gt;"",M2136=설정!$C$20,Z2136&gt;0),Z2136+ROW()/1000000000,"")</f>
        <v/>
      </c>
      <c r="AD2136" s="94">
        <f>IF($A2136="",0,$P2136*AG2136)</f>
        <v/>
      </c>
      <c r="AE2136" s="64">
        <f>IF($A2136="","",IFERROR(INDEX(계정매핑!$E$5:$E$504,MATCH($F2136&amp;"",계정매핑!$A$5:$A$504,0))&amp;"","공통비"))</f>
        <v/>
      </c>
      <c r="AF2136" s="64">
        <f>IF($A2136="","",IF(AE2136="직접",IFERROR(INDEX(계정매핑!$F$5:$F$504,MATCH($F2136&amp;"",계정매핑!$A$5:$A$504,0))&amp;"","비귀속"),""))</f>
        <v/>
      </c>
      <c r="AG2136" s="96">
        <f>IF($A2136="",0,IF(AND(AE2136&lt;&gt;"직접",IFERROR(INDEX(계정매핑!$G$5:$G$504,MATCH($F2136&amp;"",계정매핑!$A$5:$A$504,0))&amp;"","")="유지비",COUNTIF(계정대체기준!$A$6:$A$15,$N2136)&gt;0),IFERROR(INDEX(계정대체기준!$E$6:$E$15,MATCH(VALUE($A2136&amp;""),계정대체기준!$D$6:$D$15,0)),0),0))</f>
        <v/>
      </c>
      <c r="AH2136" s="64">
        <f>IF($A2136="","",IF(AD2136=0,"",IF(OR(COUNTIF(계정대체기준!$A$77:$A$86,$N2136)&gt;0,ISNUMBER(MATCH($X2136,계정대체기준!$D$77:$D$86,0)),ISNUMBER(MATCH($F2136,계정대체기준!$D$77:$D$86,0))),"Y","N")))</f>
        <v/>
      </c>
    </row>
    <row r="2137">
      <c r="A2137" s="92" t="n">
        <v>2025</v>
      </c>
      <c r="B2137" s="92" t="n">
        <v>10</v>
      </c>
      <c r="C2137" s="92" t="inlineStr">
        <is>
          <t>5100002133</t>
        </is>
      </c>
      <c r="D2137" s="95" t="n">
        <v>45942</v>
      </c>
      <c r="E2137" s="92" t="inlineStr">
        <is>
          <t>KR</t>
        </is>
      </c>
      <c r="F2137" s="92" t="n">
        <v>62902000</v>
      </c>
      <c r="G2137" s="92" t="n">
        <v>1201</v>
      </c>
      <c r="H2137" s="93" t="n">
        <v>3810000</v>
      </c>
      <c r="I2137" s="92" t="inlineStr">
        <is>
          <t>10월 업무 위탁 수수료 - J콜센터</t>
        </is>
      </c>
      <c r="J2137" s="92" t="inlineStr">
        <is>
          <t>V10016</t>
        </is>
      </c>
      <c r="K2137" s="92" t="inlineStr">
        <is>
          <t>J콜센터</t>
        </is>
      </c>
      <c r="M2137" s="9">
        <f>IF($A2137="","",VALUE($A2137&amp;"")*12+VALUE($B2137&amp;""))</f>
        <v/>
      </c>
      <c r="N2137" s="64">
        <f>IF($A2137="","",IFERROR(INDEX(부서매핑!$C$5:$C$504,MATCH($G2137&amp;"",부서매핑!$A$5:$A$504,0)),"미매핑"))</f>
        <v/>
      </c>
      <c r="O2137" s="9">
        <f>IF($A2137="","",N2137&amp;"|"&amp;$F2137)</f>
        <v/>
      </c>
      <c r="P2137" s="94">
        <f>IF($A2137="",0,$H2137*설정!$C$23)</f>
        <v/>
      </c>
      <c r="Q2137" s="64">
        <f>IF($A2137="","",IF(O2137&lt;&gt;원인분석!$C$9,"",IF(AND(M2137&gt;=원인분석!$C$10,M2137&lt;=원인분석!$C$11),"당기",IF(AND(M2137&gt;=원인분석!$C$12,M2137&lt;=원인분석!$C$13),"비교",""))))</f>
        <v/>
      </c>
      <c r="R2137" s="9">
        <f>IF(Q2137="","",$K2137&amp;"")</f>
        <v/>
      </c>
      <c r="S2137" s="9">
        <f>IF(Q2137="","",IF(MATCH(R2137,$R$5:$R$100000,0)=ROW()-4,ROW(),""))</f>
        <v/>
      </c>
      <c r="T2137" s="9">
        <f>IF(Q2137="당기",ABS(P2137)+ROW()/1000000000,"")</f>
        <v/>
      </c>
      <c r="U2137" s="9">
        <f>IF(Q2137="비교",ABS(P2137)+ROW()/1000000000,"")</f>
        <v/>
      </c>
      <c r="V2137" s="64">
        <f>IF($A2137="","",IF(COUNTIF(변동분석!$E$7:$E$506,O2137)&gt;0,"Y","N"))</f>
        <v/>
      </c>
      <c r="W2137" s="64">
        <f>IF($A2137="","",IFERROR(INDEX(계정매핑!$D$5:$D$504,MATCH($F2137&amp;"",계정매핑!$A$5:$A$504,0)),"미매핑"))</f>
        <v/>
      </c>
      <c r="X2137" s="9">
        <f>IF($A2137="","",$F2137&amp;"")</f>
        <v/>
      </c>
      <c r="Y2137" s="94">
        <f>IF($A2137="",0,IF(AE2137="직접",IF(AF2137="비귀속",$P2137,0),$P2137*(1-AG2137)*IFERROR(INDEX(계정대체기준!$F$20:$F$49,MATCH($N2137,계정대체기준!$A$20:$A$49,0)),1)))</f>
        <v/>
      </c>
      <c r="Z2137" s="94">
        <f>IF($A2137="",0,IF(AE2137="직접",IF(AF2137="신계약비",$P2137,0),$P2137*(1-AG2137)*IFERROR(INDEX(계정대체기준!$C$20:$C$49,MATCH($N2137,계정대체기준!$A$20:$A$49,0)),0)))</f>
        <v/>
      </c>
      <c r="AA2137" s="94">
        <f>IF($A2137="",0,IF(AE2137="직접",IF(OR(AF2137="유지비",AF2137="손해조사비"),$P2137,0),$P2137*(1-AG2137)*IFERROR(INDEX(계정대체기준!$D$20:$D$49,MATCH($N2137,계정대체기준!$A$20:$A$49,0)),0)))</f>
        <v/>
      </c>
      <c r="AB2137" s="94">
        <f>IF($A2137="",0,IF(AE2137="직접",IF(AF2137="수금비",$P2137,0),$P2137*(1-AG2137)*IFERROR(INDEX(계정대체기준!$E$20:$E$49,MATCH($N2137,계정대체기준!$A$20:$A$49,0)),0)))</f>
        <v/>
      </c>
      <c r="AC2137" s="9">
        <f>IF(AND($A2137&lt;&gt;"",M2137=설정!$C$20,Z2137&gt;0),Z2137+ROW()/1000000000,"")</f>
        <v/>
      </c>
      <c r="AD2137" s="94">
        <f>IF($A2137="",0,$P2137*AG2137)</f>
        <v/>
      </c>
      <c r="AE2137" s="64">
        <f>IF($A2137="","",IFERROR(INDEX(계정매핑!$E$5:$E$504,MATCH($F2137&amp;"",계정매핑!$A$5:$A$504,0))&amp;"","공통비"))</f>
        <v/>
      </c>
      <c r="AF2137" s="64">
        <f>IF($A2137="","",IF(AE2137="직접",IFERROR(INDEX(계정매핑!$F$5:$F$504,MATCH($F2137&amp;"",계정매핑!$A$5:$A$504,0))&amp;"","비귀속"),""))</f>
        <v/>
      </c>
      <c r="AG2137" s="96">
        <f>IF($A2137="",0,IF(AND(AE2137&lt;&gt;"직접",IFERROR(INDEX(계정매핑!$G$5:$G$504,MATCH($F2137&amp;"",계정매핑!$A$5:$A$504,0))&amp;"","")="유지비",COUNTIF(계정대체기준!$A$6:$A$15,$N2137)&gt;0),IFERROR(INDEX(계정대체기준!$E$6:$E$15,MATCH(VALUE($A2137&amp;""),계정대체기준!$D$6:$D$15,0)),0),0))</f>
        <v/>
      </c>
      <c r="AH2137" s="64">
        <f>IF($A2137="","",IF(AD2137=0,"",IF(OR(COUNTIF(계정대체기준!$A$77:$A$86,$N2137)&gt;0,ISNUMBER(MATCH($X2137,계정대체기준!$D$77:$D$86,0)),ISNUMBER(MATCH($F2137,계정대체기준!$D$77:$D$86,0))),"Y","N")))</f>
        <v/>
      </c>
    </row>
    <row r="2138">
      <c r="A2138" s="92" t="n">
        <v>2025</v>
      </c>
      <c r="B2138" s="92" t="n">
        <v>10</v>
      </c>
      <c r="C2138" s="92" t="inlineStr">
        <is>
          <t>5100002134</t>
        </is>
      </c>
      <c r="D2138" s="95" t="n">
        <v>45943</v>
      </c>
      <c r="E2138" s="92" t="inlineStr">
        <is>
          <t>KR</t>
        </is>
      </c>
      <c r="F2138" s="92" t="n">
        <v>62101000</v>
      </c>
      <c r="G2138" s="92" t="n">
        <v>1101</v>
      </c>
      <c r="H2138" s="93" t="n">
        <v>386000</v>
      </c>
      <c r="I2138" s="92" t="inlineStr">
        <is>
          <t>10월 국내출장 - M항공</t>
        </is>
      </c>
      <c r="J2138" s="92" t="inlineStr">
        <is>
          <t>V10001</t>
        </is>
      </c>
      <c r="K2138" s="92" t="inlineStr">
        <is>
          <t>M항공</t>
        </is>
      </c>
      <c r="M2138" s="9">
        <f>IF($A2138="","",VALUE($A2138&amp;"")*12+VALUE($B2138&amp;""))</f>
        <v/>
      </c>
      <c r="N2138" s="64">
        <f>IF($A2138="","",IFERROR(INDEX(부서매핑!$C$5:$C$504,MATCH($G2138&amp;"",부서매핑!$A$5:$A$504,0)),"미매핑"))</f>
        <v/>
      </c>
      <c r="O2138" s="9">
        <f>IF($A2138="","",N2138&amp;"|"&amp;$F2138)</f>
        <v/>
      </c>
      <c r="P2138" s="94">
        <f>IF($A2138="",0,$H2138*설정!$C$23)</f>
        <v/>
      </c>
      <c r="Q2138" s="64">
        <f>IF($A2138="","",IF(O2138&lt;&gt;원인분석!$C$9,"",IF(AND(M2138&gt;=원인분석!$C$10,M2138&lt;=원인분석!$C$11),"당기",IF(AND(M2138&gt;=원인분석!$C$12,M2138&lt;=원인분석!$C$13),"비교",""))))</f>
        <v/>
      </c>
      <c r="R2138" s="9">
        <f>IF(Q2138="","",$K2138&amp;"")</f>
        <v/>
      </c>
      <c r="S2138" s="9">
        <f>IF(Q2138="","",IF(MATCH(R2138,$R$5:$R$100000,0)=ROW()-4,ROW(),""))</f>
        <v/>
      </c>
      <c r="T2138" s="9">
        <f>IF(Q2138="당기",ABS(P2138)+ROW()/1000000000,"")</f>
        <v/>
      </c>
      <c r="U2138" s="9">
        <f>IF(Q2138="비교",ABS(P2138)+ROW()/1000000000,"")</f>
        <v/>
      </c>
      <c r="V2138" s="64">
        <f>IF($A2138="","",IF(COUNTIF(변동분석!$E$7:$E$506,O2138)&gt;0,"Y","N"))</f>
        <v/>
      </c>
      <c r="W2138" s="64">
        <f>IF($A2138="","",IFERROR(INDEX(계정매핑!$D$5:$D$504,MATCH($F2138&amp;"",계정매핑!$A$5:$A$504,0)),"미매핑"))</f>
        <v/>
      </c>
      <c r="X2138" s="9">
        <f>IF($A2138="","",$F2138&amp;"")</f>
        <v/>
      </c>
      <c r="Y2138" s="94">
        <f>IF($A2138="",0,IF(AE2138="직접",IF(AF2138="비귀속",$P2138,0),$P2138*(1-AG2138)*IFERROR(INDEX(계정대체기준!$F$20:$F$49,MATCH($N2138,계정대체기준!$A$20:$A$49,0)),1)))</f>
        <v/>
      </c>
      <c r="Z2138" s="94">
        <f>IF($A2138="",0,IF(AE2138="직접",IF(AF2138="신계약비",$P2138,0),$P2138*(1-AG2138)*IFERROR(INDEX(계정대체기준!$C$20:$C$49,MATCH($N2138,계정대체기준!$A$20:$A$49,0)),0)))</f>
        <v/>
      </c>
      <c r="AA2138" s="94">
        <f>IF($A2138="",0,IF(AE2138="직접",IF(OR(AF2138="유지비",AF2138="손해조사비"),$P2138,0),$P2138*(1-AG2138)*IFERROR(INDEX(계정대체기준!$D$20:$D$49,MATCH($N2138,계정대체기준!$A$20:$A$49,0)),0)))</f>
        <v/>
      </c>
      <c r="AB2138" s="94">
        <f>IF($A2138="",0,IF(AE2138="직접",IF(AF2138="수금비",$P2138,0),$P2138*(1-AG2138)*IFERROR(INDEX(계정대체기준!$E$20:$E$49,MATCH($N2138,계정대체기준!$A$20:$A$49,0)),0)))</f>
        <v/>
      </c>
      <c r="AC2138" s="9">
        <f>IF(AND($A2138&lt;&gt;"",M2138=설정!$C$20,Z2138&gt;0),Z2138+ROW()/1000000000,"")</f>
        <v/>
      </c>
      <c r="AD2138" s="94">
        <f>IF($A2138="",0,$P2138*AG2138)</f>
        <v/>
      </c>
      <c r="AE2138" s="64">
        <f>IF($A2138="","",IFERROR(INDEX(계정매핑!$E$5:$E$504,MATCH($F2138&amp;"",계정매핑!$A$5:$A$504,0))&amp;"","공통비"))</f>
        <v/>
      </c>
      <c r="AF2138" s="64">
        <f>IF($A2138="","",IF(AE2138="직접",IFERROR(INDEX(계정매핑!$F$5:$F$504,MATCH($F2138&amp;"",계정매핑!$A$5:$A$504,0))&amp;"","비귀속"),""))</f>
        <v/>
      </c>
      <c r="AG2138" s="96">
        <f>IF($A2138="",0,IF(AND(AE2138&lt;&gt;"직접",IFERROR(INDEX(계정매핑!$G$5:$G$504,MATCH($F2138&amp;"",계정매핑!$A$5:$A$504,0))&amp;"","")="유지비",COUNTIF(계정대체기준!$A$6:$A$15,$N2138)&gt;0),IFERROR(INDEX(계정대체기준!$E$6:$E$15,MATCH(VALUE($A2138&amp;""),계정대체기준!$D$6:$D$15,0)),0),0))</f>
        <v/>
      </c>
      <c r="AH2138" s="64">
        <f>IF($A2138="","",IF(AD2138=0,"",IF(OR(COUNTIF(계정대체기준!$A$77:$A$86,$N2138)&gt;0,ISNUMBER(MATCH($X2138,계정대체기준!$D$77:$D$86,0)),ISNUMBER(MATCH($F2138,계정대체기준!$D$77:$D$86,0))),"Y","N")))</f>
        <v/>
      </c>
    </row>
    <row r="2139">
      <c r="A2139" s="92" t="n">
        <v>2025</v>
      </c>
      <c r="B2139" s="92" t="n">
        <v>10</v>
      </c>
      <c r="C2139" s="92" t="inlineStr">
        <is>
          <t>5100002135</t>
        </is>
      </c>
      <c r="D2139" s="95" t="n">
        <v>45943</v>
      </c>
      <c r="E2139" s="92" t="inlineStr">
        <is>
          <t>KR</t>
        </is>
      </c>
      <c r="F2139" s="92" t="n">
        <v>62101000</v>
      </c>
      <c r="G2139" s="92" t="n">
        <v>1301</v>
      </c>
      <c r="H2139" s="93" t="n">
        <v>439000</v>
      </c>
      <c r="I2139" s="92" t="inlineStr">
        <is>
          <t>10월 국내출장 - L여행사</t>
        </is>
      </c>
      <c r="J2139" s="92" t="inlineStr">
        <is>
          <t>V10018</t>
        </is>
      </c>
      <c r="K2139" s="92" t="inlineStr">
        <is>
          <t>L여행사</t>
        </is>
      </c>
      <c r="M2139" s="9">
        <f>IF($A2139="","",VALUE($A2139&amp;"")*12+VALUE($B2139&amp;""))</f>
        <v/>
      </c>
      <c r="N2139" s="64">
        <f>IF($A2139="","",IFERROR(INDEX(부서매핑!$C$5:$C$504,MATCH($G2139&amp;"",부서매핑!$A$5:$A$504,0)),"미매핑"))</f>
        <v/>
      </c>
      <c r="O2139" s="9">
        <f>IF($A2139="","",N2139&amp;"|"&amp;$F2139)</f>
        <v/>
      </c>
      <c r="P2139" s="94">
        <f>IF($A2139="",0,$H2139*설정!$C$23)</f>
        <v/>
      </c>
      <c r="Q2139" s="64">
        <f>IF($A2139="","",IF(O2139&lt;&gt;원인분석!$C$9,"",IF(AND(M2139&gt;=원인분석!$C$10,M2139&lt;=원인분석!$C$11),"당기",IF(AND(M2139&gt;=원인분석!$C$12,M2139&lt;=원인분석!$C$13),"비교",""))))</f>
        <v/>
      </c>
      <c r="R2139" s="9">
        <f>IF(Q2139="","",$K2139&amp;"")</f>
        <v/>
      </c>
      <c r="S2139" s="9">
        <f>IF(Q2139="","",IF(MATCH(R2139,$R$5:$R$100000,0)=ROW()-4,ROW(),""))</f>
        <v/>
      </c>
      <c r="T2139" s="9">
        <f>IF(Q2139="당기",ABS(P2139)+ROW()/1000000000,"")</f>
        <v/>
      </c>
      <c r="U2139" s="9">
        <f>IF(Q2139="비교",ABS(P2139)+ROW()/1000000000,"")</f>
        <v/>
      </c>
      <c r="V2139" s="64">
        <f>IF($A2139="","",IF(COUNTIF(변동분석!$E$7:$E$506,O2139)&gt;0,"Y","N"))</f>
        <v/>
      </c>
      <c r="W2139" s="64">
        <f>IF($A2139="","",IFERROR(INDEX(계정매핑!$D$5:$D$504,MATCH($F2139&amp;"",계정매핑!$A$5:$A$504,0)),"미매핑"))</f>
        <v/>
      </c>
      <c r="X2139" s="9">
        <f>IF($A2139="","",$F2139&amp;"")</f>
        <v/>
      </c>
      <c r="Y2139" s="94">
        <f>IF($A2139="",0,IF(AE2139="직접",IF(AF2139="비귀속",$P2139,0),$P2139*(1-AG2139)*IFERROR(INDEX(계정대체기준!$F$20:$F$49,MATCH($N2139,계정대체기준!$A$20:$A$49,0)),1)))</f>
        <v/>
      </c>
      <c r="Z2139" s="94">
        <f>IF($A2139="",0,IF(AE2139="직접",IF(AF2139="신계약비",$P2139,0),$P2139*(1-AG2139)*IFERROR(INDEX(계정대체기준!$C$20:$C$49,MATCH($N2139,계정대체기준!$A$20:$A$49,0)),0)))</f>
        <v/>
      </c>
      <c r="AA2139" s="94">
        <f>IF($A2139="",0,IF(AE2139="직접",IF(OR(AF2139="유지비",AF2139="손해조사비"),$P2139,0),$P2139*(1-AG2139)*IFERROR(INDEX(계정대체기준!$D$20:$D$49,MATCH($N2139,계정대체기준!$A$20:$A$49,0)),0)))</f>
        <v/>
      </c>
      <c r="AB2139" s="94">
        <f>IF($A2139="",0,IF(AE2139="직접",IF(AF2139="수금비",$P2139,0),$P2139*(1-AG2139)*IFERROR(INDEX(계정대체기준!$E$20:$E$49,MATCH($N2139,계정대체기준!$A$20:$A$49,0)),0)))</f>
        <v/>
      </c>
      <c r="AC2139" s="9">
        <f>IF(AND($A2139&lt;&gt;"",M2139=설정!$C$20,Z2139&gt;0),Z2139+ROW()/1000000000,"")</f>
        <v/>
      </c>
      <c r="AD2139" s="94">
        <f>IF($A2139="",0,$P2139*AG2139)</f>
        <v/>
      </c>
      <c r="AE2139" s="64">
        <f>IF($A2139="","",IFERROR(INDEX(계정매핑!$E$5:$E$504,MATCH($F2139&amp;"",계정매핑!$A$5:$A$504,0))&amp;"","공통비"))</f>
        <v/>
      </c>
      <c r="AF2139" s="64">
        <f>IF($A2139="","",IF(AE2139="직접",IFERROR(INDEX(계정매핑!$F$5:$F$504,MATCH($F2139&amp;"",계정매핑!$A$5:$A$504,0))&amp;"","비귀속"),""))</f>
        <v/>
      </c>
      <c r="AG2139" s="96">
        <f>IF($A2139="",0,IF(AND(AE2139&lt;&gt;"직접",IFERROR(INDEX(계정매핑!$G$5:$G$504,MATCH($F2139&amp;"",계정매핑!$A$5:$A$504,0))&amp;"","")="유지비",COUNTIF(계정대체기준!$A$6:$A$15,$N2139)&gt;0),IFERROR(INDEX(계정대체기준!$E$6:$E$15,MATCH(VALUE($A2139&amp;""),계정대체기준!$D$6:$D$15,0)),0),0))</f>
        <v/>
      </c>
      <c r="AH2139" s="64">
        <f>IF($A2139="","",IF(AD2139=0,"",IF(OR(COUNTIF(계정대체기준!$A$77:$A$86,$N2139)&gt;0,ISNUMBER(MATCH($X2139,계정대체기준!$D$77:$D$86,0)),ISNUMBER(MATCH($F2139,계정대체기준!$D$77:$D$86,0))),"Y","N")))</f>
        <v/>
      </c>
    </row>
    <row r="2140">
      <c r="A2140" s="92" t="n">
        <v>2025</v>
      </c>
      <c r="B2140" s="92" t="n">
        <v>10</v>
      </c>
      <c r="C2140" s="92" t="inlineStr">
        <is>
          <t>5100002136</t>
        </is>
      </c>
      <c r="D2140" s="95" t="n">
        <v>45943</v>
      </c>
      <c r="E2140" s="92" t="inlineStr">
        <is>
          <t>KR</t>
        </is>
      </c>
      <c r="F2140" s="92" t="n">
        <v>62101000</v>
      </c>
      <c r="G2140" s="92" t="n">
        <v>1301</v>
      </c>
      <c r="H2140" s="93" t="n">
        <v>265000</v>
      </c>
      <c r="I2140" s="92" t="inlineStr">
        <is>
          <t>10월 국내출장 - L여행사</t>
        </is>
      </c>
      <c r="J2140" s="92" t="inlineStr">
        <is>
          <t>V10018</t>
        </is>
      </c>
      <c r="K2140" s="92" t="inlineStr">
        <is>
          <t>L여행사</t>
        </is>
      </c>
      <c r="M2140" s="9">
        <f>IF($A2140="","",VALUE($A2140&amp;"")*12+VALUE($B2140&amp;""))</f>
        <v/>
      </c>
      <c r="N2140" s="64">
        <f>IF($A2140="","",IFERROR(INDEX(부서매핑!$C$5:$C$504,MATCH($G2140&amp;"",부서매핑!$A$5:$A$504,0)),"미매핑"))</f>
        <v/>
      </c>
      <c r="O2140" s="9">
        <f>IF($A2140="","",N2140&amp;"|"&amp;$F2140)</f>
        <v/>
      </c>
      <c r="P2140" s="94">
        <f>IF($A2140="",0,$H2140*설정!$C$23)</f>
        <v/>
      </c>
      <c r="Q2140" s="64">
        <f>IF($A2140="","",IF(O2140&lt;&gt;원인분석!$C$9,"",IF(AND(M2140&gt;=원인분석!$C$10,M2140&lt;=원인분석!$C$11),"당기",IF(AND(M2140&gt;=원인분석!$C$12,M2140&lt;=원인분석!$C$13),"비교",""))))</f>
        <v/>
      </c>
      <c r="R2140" s="9">
        <f>IF(Q2140="","",$K2140&amp;"")</f>
        <v/>
      </c>
      <c r="S2140" s="9">
        <f>IF(Q2140="","",IF(MATCH(R2140,$R$5:$R$100000,0)=ROW()-4,ROW(),""))</f>
        <v/>
      </c>
      <c r="T2140" s="9">
        <f>IF(Q2140="당기",ABS(P2140)+ROW()/1000000000,"")</f>
        <v/>
      </c>
      <c r="U2140" s="9">
        <f>IF(Q2140="비교",ABS(P2140)+ROW()/1000000000,"")</f>
        <v/>
      </c>
      <c r="V2140" s="64">
        <f>IF($A2140="","",IF(COUNTIF(변동분석!$E$7:$E$506,O2140)&gt;0,"Y","N"))</f>
        <v/>
      </c>
      <c r="W2140" s="64">
        <f>IF($A2140="","",IFERROR(INDEX(계정매핑!$D$5:$D$504,MATCH($F2140&amp;"",계정매핑!$A$5:$A$504,0)),"미매핑"))</f>
        <v/>
      </c>
      <c r="X2140" s="9">
        <f>IF($A2140="","",$F2140&amp;"")</f>
        <v/>
      </c>
      <c r="Y2140" s="94">
        <f>IF($A2140="",0,IF(AE2140="직접",IF(AF2140="비귀속",$P2140,0),$P2140*(1-AG2140)*IFERROR(INDEX(계정대체기준!$F$20:$F$49,MATCH($N2140,계정대체기준!$A$20:$A$49,0)),1)))</f>
        <v/>
      </c>
      <c r="Z2140" s="94">
        <f>IF($A2140="",0,IF(AE2140="직접",IF(AF2140="신계약비",$P2140,0),$P2140*(1-AG2140)*IFERROR(INDEX(계정대체기준!$C$20:$C$49,MATCH($N2140,계정대체기준!$A$20:$A$49,0)),0)))</f>
        <v/>
      </c>
      <c r="AA2140" s="94">
        <f>IF($A2140="",0,IF(AE2140="직접",IF(OR(AF2140="유지비",AF2140="손해조사비"),$P2140,0),$P2140*(1-AG2140)*IFERROR(INDEX(계정대체기준!$D$20:$D$49,MATCH($N2140,계정대체기준!$A$20:$A$49,0)),0)))</f>
        <v/>
      </c>
      <c r="AB2140" s="94">
        <f>IF($A2140="",0,IF(AE2140="직접",IF(AF2140="수금비",$P2140,0),$P2140*(1-AG2140)*IFERROR(INDEX(계정대체기준!$E$20:$E$49,MATCH($N2140,계정대체기준!$A$20:$A$49,0)),0)))</f>
        <v/>
      </c>
      <c r="AC2140" s="9">
        <f>IF(AND($A2140&lt;&gt;"",M2140=설정!$C$20,Z2140&gt;0),Z2140+ROW()/1000000000,"")</f>
        <v/>
      </c>
      <c r="AD2140" s="94">
        <f>IF($A2140="",0,$P2140*AG2140)</f>
        <v/>
      </c>
      <c r="AE2140" s="64">
        <f>IF($A2140="","",IFERROR(INDEX(계정매핑!$E$5:$E$504,MATCH($F2140&amp;"",계정매핑!$A$5:$A$504,0))&amp;"","공통비"))</f>
        <v/>
      </c>
      <c r="AF2140" s="64">
        <f>IF($A2140="","",IF(AE2140="직접",IFERROR(INDEX(계정매핑!$F$5:$F$504,MATCH($F2140&amp;"",계정매핑!$A$5:$A$504,0))&amp;"","비귀속"),""))</f>
        <v/>
      </c>
      <c r="AG2140" s="96">
        <f>IF($A2140="",0,IF(AND(AE2140&lt;&gt;"직접",IFERROR(INDEX(계정매핑!$G$5:$G$504,MATCH($F2140&amp;"",계정매핑!$A$5:$A$504,0))&amp;"","")="유지비",COUNTIF(계정대체기준!$A$6:$A$15,$N2140)&gt;0),IFERROR(INDEX(계정대체기준!$E$6:$E$15,MATCH(VALUE($A2140&amp;""),계정대체기준!$D$6:$D$15,0)),0),0))</f>
        <v/>
      </c>
      <c r="AH2140" s="64">
        <f>IF($A2140="","",IF(AD2140=0,"",IF(OR(COUNTIF(계정대체기준!$A$77:$A$86,$N2140)&gt;0,ISNUMBER(MATCH($X2140,계정대체기준!$D$77:$D$86,0)),ISNUMBER(MATCH($F2140,계정대체기준!$D$77:$D$86,0))),"Y","N")))</f>
        <v/>
      </c>
    </row>
    <row r="2141">
      <c r="A2141" s="92" t="n">
        <v>2025</v>
      </c>
      <c r="B2141" s="92" t="n">
        <v>10</v>
      </c>
      <c r="C2141" s="92" t="inlineStr">
        <is>
          <t>5100002137</t>
        </is>
      </c>
      <c r="D2141" s="95" t="n">
        <v>45943</v>
      </c>
      <c r="E2141" s="92" t="inlineStr">
        <is>
          <t>KR</t>
        </is>
      </c>
      <c r="F2141" s="92" t="n">
        <v>62101000</v>
      </c>
      <c r="G2141" s="92" t="n">
        <v>1301</v>
      </c>
      <c r="H2141" s="93" t="n">
        <v>207000</v>
      </c>
      <c r="I2141" s="92" t="inlineStr">
        <is>
          <t>10월 국내출장 - (법인카드)</t>
        </is>
      </c>
      <c r="J2141" s="92" t="inlineStr">
        <is>
          <t>V10010</t>
        </is>
      </c>
      <c r="K2141" s="92" t="inlineStr">
        <is>
          <t>(법인카드)</t>
        </is>
      </c>
      <c r="M2141" s="9">
        <f>IF($A2141="","",VALUE($A2141&amp;"")*12+VALUE($B2141&amp;""))</f>
        <v/>
      </c>
      <c r="N2141" s="64">
        <f>IF($A2141="","",IFERROR(INDEX(부서매핑!$C$5:$C$504,MATCH($G2141&amp;"",부서매핑!$A$5:$A$504,0)),"미매핑"))</f>
        <v/>
      </c>
      <c r="O2141" s="9">
        <f>IF($A2141="","",N2141&amp;"|"&amp;$F2141)</f>
        <v/>
      </c>
      <c r="P2141" s="94">
        <f>IF($A2141="",0,$H2141*설정!$C$23)</f>
        <v/>
      </c>
      <c r="Q2141" s="64">
        <f>IF($A2141="","",IF(O2141&lt;&gt;원인분석!$C$9,"",IF(AND(M2141&gt;=원인분석!$C$10,M2141&lt;=원인분석!$C$11),"당기",IF(AND(M2141&gt;=원인분석!$C$12,M2141&lt;=원인분석!$C$13),"비교",""))))</f>
        <v/>
      </c>
      <c r="R2141" s="9">
        <f>IF(Q2141="","",$K2141&amp;"")</f>
        <v/>
      </c>
      <c r="S2141" s="9">
        <f>IF(Q2141="","",IF(MATCH(R2141,$R$5:$R$100000,0)=ROW()-4,ROW(),""))</f>
        <v/>
      </c>
      <c r="T2141" s="9">
        <f>IF(Q2141="당기",ABS(P2141)+ROW()/1000000000,"")</f>
        <v/>
      </c>
      <c r="U2141" s="9">
        <f>IF(Q2141="비교",ABS(P2141)+ROW()/1000000000,"")</f>
        <v/>
      </c>
      <c r="V2141" s="64">
        <f>IF($A2141="","",IF(COUNTIF(변동분석!$E$7:$E$506,O2141)&gt;0,"Y","N"))</f>
        <v/>
      </c>
      <c r="W2141" s="64">
        <f>IF($A2141="","",IFERROR(INDEX(계정매핑!$D$5:$D$504,MATCH($F2141&amp;"",계정매핑!$A$5:$A$504,0)),"미매핑"))</f>
        <v/>
      </c>
      <c r="X2141" s="9">
        <f>IF($A2141="","",$F2141&amp;"")</f>
        <v/>
      </c>
      <c r="Y2141" s="94">
        <f>IF($A2141="",0,IF(AE2141="직접",IF(AF2141="비귀속",$P2141,0),$P2141*(1-AG2141)*IFERROR(INDEX(계정대체기준!$F$20:$F$49,MATCH($N2141,계정대체기준!$A$20:$A$49,0)),1)))</f>
        <v/>
      </c>
      <c r="Z2141" s="94">
        <f>IF($A2141="",0,IF(AE2141="직접",IF(AF2141="신계약비",$P2141,0),$P2141*(1-AG2141)*IFERROR(INDEX(계정대체기준!$C$20:$C$49,MATCH($N2141,계정대체기준!$A$20:$A$49,0)),0)))</f>
        <v/>
      </c>
      <c r="AA2141" s="94">
        <f>IF($A2141="",0,IF(AE2141="직접",IF(OR(AF2141="유지비",AF2141="손해조사비"),$P2141,0),$P2141*(1-AG2141)*IFERROR(INDEX(계정대체기준!$D$20:$D$49,MATCH($N2141,계정대체기준!$A$20:$A$49,0)),0)))</f>
        <v/>
      </c>
      <c r="AB2141" s="94">
        <f>IF($A2141="",0,IF(AE2141="직접",IF(AF2141="수금비",$P2141,0),$P2141*(1-AG2141)*IFERROR(INDEX(계정대체기준!$E$20:$E$49,MATCH($N2141,계정대체기준!$A$20:$A$49,0)),0)))</f>
        <v/>
      </c>
      <c r="AC2141" s="9">
        <f>IF(AND($A2141&lt;&gt;"",M2141=설정!$C$20,Z2141&gt;0),Z2141+ROW()/1000000000,"")</f>
        <v/>
      </c>
      <c r="AD2141" s="94">
        <f>IF($A2141="",0,$P2141*AG2141)</f>
        <v/>
      </c>
      <c r="AE2141" s="64">
        <f>IF($A2141="","",IFERROR(INDEX(계정매핑!$E$5:$E$504,MATCH($F2141&amp;"",계정매핑!$A$5:$A$504,0))&amp;"","공통비"))</f>
        <v/>
      </c>
      <c r="AF2141" s="64">
        <f>IF($A2141="","",IF(AE2141="직접",IFERROR(INDEX(계정매핑!$F$5:$F$504,MATCH($F2141&amp;"",계정매핑!$A$5:$A$504,0))&amp;"","비귀속"),""))</f>
        <v/>
      </c>
      <c r="AG2141" s="96">
        <f>IF($A2141="",0,IF(AND(AE2141&lt;&gt;"직접",IFERROR(INDEX(계정매핑!$G$5:$G$504,MATCH($F2141&amp;"",계정매핑!$A$5:$A$504,0))&amp;"","")="유지비",COUNTIF(계정대체기준!$A$6:$A$15,$N2141)&gt;0),IFERROR(INDEX(계정대체기준!$E$6:$E$15,MATCH(VALUE($A2141&amp;""),계정대체기준!$D$6:$D$15,0)),0),0))</f>
        <v/>
      </c>
      <c r="AH2141" s="64">
        <f>IF($A2141="","",IF(AD2141=0,"",IF(OR(COUNTIF(계정대체기준!$A$77:$A$86,$N2141)&gt;0,ISNUMBER(MATCH($X2141,계정대체기준!$D$77:$D$86,0)),ISNUMBER(MATCH($F2141,계정대체기준!$D$77:$D$86,0))),"Y","N")))</f>
        <v/>
      </c>
    </row>
    <row r="2142">
      <c r="A2142" s="92" t="n">
        <v>2025</v>
      </c>
      <c r="B2142" s="92" t="n">
        <v>10</v>
      </c>
      <c r="C2142" s="92" t="inlineStr">
        <is>
          <t>5100002138</t>
        </is>
      </c>
      <c r="D2142" s="95" t="n">
        <v>45943</v>
      </c>
      <c r="E2142" s="92" t="inlineStr">
        <is>
          <t>KR</t>
        </is>
      </c>
      <c r="F2142" s="92" t="n">
        <v>62101000</v>
      </c>
      <c r="G2142" s="92" t="n">
        <v>1701</v>
      </c>
      <c r="H2142" s="93" t="n">
        <v>199000</v>
      </c>
      <c r="I2142" s="92" t="inlineStr">
        <is>
          <t>10월 국내출장 - M항공</t>
        </is>
      </c>
      <c r="J2142" s="92" t="inlineStr">
        <is>
          <t>V10001</t>
        </is>
      </c>
      <c r="K2142" s="92" t="inlineStr">
        <is>
          <t>M항공</t>
        </is>
      </c>
      <c r="M2142" s="9">
        <f>IF($A2142="","",VALUE($A2142&amp;"")*12+VALUE($B2142&amp;""))</f>
        <v/>
      </c>
      <c r="N2142" s="64">
        <f>IF($A2142="","",IFERROR(INDEX(부서매핑!$C$5:$C$504,MATCH($G2142&amp;"",부서매핑!$A$5:$A$504,0)),"미매핑"))</f>
        <v/>
      </c>
      <c r="O2142" s="9">
        <f>IF($A2142="","",N2142&amp;"|"&amp;$F2142)</f>
        <v/>
      </c>
      <c r="P2142" s="94">
        <f>IF($A2142="",0,$H2142*설정!$C$23)</f>
        <v/>
      </c>
      <c r="Q2142" s="64">
        <f>IF($A2142="","",IF(O2142&lt;&gt;원인분석!$C$9,"",IF(AND(M2142&gt;=원인분석!$C$10,M2142&lt;=원인분석!$C$11),"당기",IF(AND(M2142&gt;=원인분석!$C$12,M2142&lt;=원인분석!$C$13),"비교",""))))</f>
        <v/>
      </c>
      <c r="R2142" s="9">
        <f>IF(Q2142="","",$K2142&amp;"")</f>
        <v/>
      </c>
      <c r="S2142" s="9">
        <f>IF(Q2142="","",IF(MATCH(R2142,$R$5:$R$100000,0)=ROW()-4,ROW(),""))</f>
        <v/>
      </c>
      <c r="T2142" s="9">
        <f>IF(Q2142="당기",ABS(P2142)+ROW()/1000000000,"")</f>
        <v/>
      </c>
      <c r="U2142" s="9">
        <f>IF(Q2142="비교",ABS(P2142)+ROW()/1000000000,"")</f>
        <v/>
      </c>
      <c r="V2142" s="64">
        <f>IF($A2142="","",IF(COUNTIF(변동분석!$E$7:$E$506,O2142)&gt;0,"Y","N"))</f>
        <v/>
      </c>
      <c r="W2142" s="64">
        <f>IF($A2142="","",IFERROR(INDEX(계정매핑!$D$5:$D$504,MATCH($F2142&amp;"",계정매핑!$A$5:$A$504,0)),"미매핑"))</f>
        <v/>
      </c>
      <c r="X2142" s="9">
        <f>IF($A2142="","",$F2142&amp;"")</f>
        <v/>
      </c>
      <c r="Y2142" s="94">
        <f>IF($A2142="",0,IF(AE2142="직접",IF(AF2142="비귀속",$P2142,0),$P2142*(1-AG2142)*IFERROR(INDEX(계정대체기준!$F$20:$F$49,MATCH($N2142,계정대체기준!$A$20:$A$49,0)),1)))</f>
        <v/>
      </c>
      <c r="Z2142" s="94">
        <f>IF($A2142="",0,IF(AE2142="직접",IF(AF2142="신계약비",$P2142,0),$P2142*(1-AG2142)*IFERROR(INDEX(계정대체기준!$C$20:$C$49,MATCH($N2142,계정대체기준!$A$20:$A$49,0)),0)))</f>
        <v/>
      </c>
      <c r="AA2142" s="94">
        <f>IF($A2142="",0,IF(AE2142="직접",IF(OR(AF2142="유지비",AF2142="손해조사비"),$P2142,0),$P2142*(1-AG2142)*IFERROR(INDEX(계정대체기준!$D$20:$D$49,MATCH($N2142,계정대체기준!$A$20:$A$49,0)),0)))</f>
        <v/>
      </c>
      <c r="AB2142" s="94">
        <f>IF($A2142="",0,IF(AE2142="직접",IF(AF2142="수금비",$P2142,0),$P2142*(1-AG2142)*IFERROR(INDEX(계정대체기준!$E$20:$E$49,MATCH($N2142,계정대체기준!$A$20:$A$49,0)),0)))</f>
        <v/>
      </c>
      <c r="AC2142" s="9">
        <f>IF(AND($A2142&lt;&gt;"",M2142=설정!$C$20,Z2142&gt;0),Z2142+ROW()/1000000000,"")</f>
        <v/>
      </c>
      <c r="AD2142" s="94">
        <f>IF($A2142="",0,$P2142*AG2142)</f>
        <v/>
      </c>
      <c r="AE2142" s="64">
        <f>IF($A2142="","",IFERROR(INDEX(계정매핑!$E$5:$E$504,MATCH($F2142&amp;"",계정매핑!$A$5:$A$504,0))&amp;"","공통비"))</f>
        <v/>
      </c>
      <c r="AF2142" s="64">
        <f>IF($A2142="","",IF(AE2142="직접",IFERROR(INDEX(계정매핑!$F$5:$F$504,MATCH($F2142&amp;"",계정매핑!$A$5:$A$504,0))&amp;"","비귀속"),""))</f>
        <v/>
      </c>
      <c r="AG2142" s="96">
        <f>IF($A2142="",0,IF(AND(AE2142&lt;&gt;"직접",IFERROR(INDEX(계정매핑!$G$5:$G$504,MATCH($F2142&amp;"",계정매핑!$A$5:$A$504,0))&amp;"","")="유지비",COUNTIF(계정대체기준!$A$6:$A$15,$N2142)&gt;0),IFERROR(INDEX(계정대체기준!$E$6:$E$15,MATCH(VALUE($A2142&amp;""),계정대체기준!$D$6:$D$15,0)),0),0))</f>
        <v/>
      </c>
      <c r="AH2142" s="64">
        <f>IF($A2142="","",IF(AD2142=0,"",IF(OR(COUNTIF(계정대체기준!$A$77:$A$86,$N2142)&gt;0,ISNUMBER(MATCH($X2142,계정대체기준!$D$77:$D$86,0)),ISNUMBER(MATCH($F2142,계정대체기준!$D$77:$D$86,0))),"Y","N")))</f>
        <v/>
      </c>
    </row>
    <row r="2143">
      <c r="A2143" s="92" t="n">
        <v>2025</v>
      </c>
      <c r="B2143" s="92" t="n">
        <v>10</v>
      </c>
      <c r="C2143" s="92" t="inlineStr">
        <is>
          <t>5100002139</t>
        </is>
      </c>
      <c r="D2143" s="95" t="n">
        <v>45943</v>
      </c>
      <c r="E2143" s="92" t="inlineStr">
        <is>
          <t>KR</t>
        </is>
      </c>
      <c r="F2143" s="92" t="n">
        <v>62101000</v>
      </c>
      <c r="G2143" s="92" t="n">
        <v>1801</v>
      </c>
      <c r="H2143" s="93" t="n">
        <v>145000</v>
      </c>
      <c r="I2143" s="92" t="inlineStr">
        <is>
          <t>10월 국내출장 - L여행사</t>
        </is>
      </c>
      <c r="J2143" s="92" t="inlineStr">
        <is>
          <t>V10018</t>
        </is>
      </c>
      <c r="K2143" s="92" t="inlineStr">
        <is>
          <t>L여행사</t>
        </is>
      </c>
      <c r="M2143" s="9">
        <f>IF($A2143="","",VALUE($A2143&amp;"")*12+VALUE($B2143&amp;""))</f>
        <v/>
      </c>
      <c r="N2143" s="64">
        <f>IF($A2143="","",IFERROR(INDEX(부서매핑!$C$5:$C$504,MATCH($G2143&amp;"",부서매핑!$A$5:$A$504,0)),"미매핑"))</f>
        <v/>
      </c>
      <c r="O2143" s="9">
        <f>IF($A2143="","",N2143&amp;"|"&amp;$F2143)</f>
        <v/>
      </c>
      <c r="P2143" s="94">
        <f>IF($A2143="",0,$H2143*설정!$C$23)</f>
        <v/>
      </c>
      <c r="Q2143" s="64">
        <f>IF($A2143="","",IF(O2143&lt;&gt;원인분석!$C$9,"",IF(AND(M2143&gt;=원인분석!$C$10,M2143&lt;=원인분석!$C$11),"당기",IF(AND(M2143&gt;=원인분석!$C$12,M2143&lt;=원인분석!$C$13),"비교",""))))</f>
        <v/>
      </c>
      <c r="R2143" s="9">
        <f>IF(Q2143="","",$K2143&amp;"")</f>
        <v/>
      </c>
      <c r="S2143" s="9">
        <f>IF(Q2143="","",IF(MATCH(R2143,$R$5:$R$100000,0)=ROW()-4,ROW(),""))</f>
        <v/>
      </c>
      <c r="T2143" s="9">
        <f>IF(Q2143="당기",ABS(P2143)+ROW()/1000000000,"")</f>
        <v/>
      </c>
      <c r="U2143" s="9">
        <f>IF(Q2143="비교",ABS(P2143)+ROW()/1000000000,"")</f>
        <v/>
      </c>
      <c r="V2143" s="64">
        <f>IF($A2143="","",IF(COUNTIF(변동분석!$E$7:$E$506,O2143)&gt;0,"Y","N"))</f>
        <v/>
      </c>
      <c r="W2143" s="64">
        <f>IF($A2143="","",IFERROR(INDEX(계정매핑!$D$5:$D$504,MATCH($F2143&amp;"",계정매핑!$A$5:$A$504,0)),"미매핑"))</f>
        <v/>
      </c>
      <c r="X2143" s="9">
        <f>IF($A2143="","",$F2143&amp;"")</f>
        <v/>
      </c>
      <c r="Y2143" s="94">
        <f>IF($A2143="",0,IF(AE2143="직접",IF(AF2143="비귀속",$P2143,0),$P2143*(1-AG2143)*IFERROR(INDEX(계정대체기준!$F$20:$F$49,MATCH($N2143,계정대체기준!$A$20:$A$49,0)),1)))</f>
        <v/>
      </c>
      <c r="Z2143" s="94">
        <f>IF($A2143="",0,IF(AE2143="직접",IF(AF2143="신계약비",$P2143,0),$P2143*(1-AG2143)*IFERROR(INDEX(계정대체기준!$C$20:$C$49,MATCH($N2143,계정대체기준!$A$20:$A$49,0)),0)))</f>
        <v/>
      </c>
      <c r="AA2143" s="94">
        <f>IF($A2143="",0,IF(AE2143="직접",IF(OR(AF2143="유지비",AF2143="손해조사비"),$P2143,0),$P2143*(1-AG2143)*IFERROR(INDEX(계정대체기준!$D$20:$D$49,MATCH($N2143,계정대체기준!$A$20:$A$49,0)),0)))</f>
        <v/>
      </c>
      <c r="AB2143" s="94">
        <f>IF($A2143="",0,IF(AE2143="직접",IF(AF2143="수금비",$P2143,0),$P2143*(1-AG2143)*IFERROR(INDEX(계정대체기준!$E$20:$E$49,MATCH($N2143,계정대체기준!$A$20:$A$49,0)),0)))</f>
        <v/>
      </c>
      <c r="AC2143" s="9">
        <f>IF(AND($A2143&lt;&gt;"",M2143=설정!$C$20,Z2143&gt;0),Z2143+ROW()/1000000000,"")</f>
        <v/>
      </c>
      <c r="AD2143" s="94">
        <f>IF($A2143="",0,$P2143*AG2143)</f>
        <v/>
      </c>
      <c r="AE2143" s="64">
        <f>IF($A2143="","",IFERROR(INDEX(계정매핑!$E$5:$E$504,MATCH($F2143&amp;"",계정매핑!$A$5:$A$504,0))&amp;"","공통비"))</f>
        <v/>
      </c>
      <c r="AF2143" s="64">
        <f>IF($A2143="","",IF(AE2143="직접",IFERROR(INDEX(계정매핑!$F$5:$F$504,MATCH($F2143&amp;"",계정매핑!$A$5:$A$504,0))&amp;"","비귀속"),""))</f>
        <v/>
      </c>
      <c r="AG2143" s="96">
        <f>IF($A2143="",0,IF(AND(AE2143&lt;&gt;"직접",IFERROR(INDEX(계정매핑!$G$5:$G$504,MATCH($F2143&amp;"",계정매핑!$A$5:$A$504,0))&amp;"","")="유지비",COUNTIF(계정대체기준!$A$6:$A$15,$N2143)&gt;0),IFERROR(INDEX(계정대체기준!$E$6:$E$15,MATCH(VALUE($A2143&amp;""),계정대체기준!$D$6:$D$15,0)),0),0))</f>
        <v/>
      </c>
      <c r="AH2143" s="64">
        <f>IF($A2143="","",IF(AD2143=0,"",IF(OR(COUNTIF(계정대체기준!$A$77:$A$86,$N2143)&gt;0,ISNUMBER(MATCH($X2143,계정대체기준!$D$77:$D$86,0)),ISNUMBER(MATCH($F2143,계정대체기준!$D$77:$D$86,0))),"Y","N")))</f>
        <v/>
      </c>
    </row>
    <row r="2144">
      <c r="A2144" s="92" t="n">
        <v>2025</v>
      </c>
      <c r="B2144" s="92" t="n">
        <v>10</v>
      </c>
      <c r="C2144" s="92" t="inlineStr">
        <is>
          <t>5100002140</t>
        </is>
      </c>
      <c r="D2144" s="95" t="n">
        <v>45943</v>
      </c>
      <c r="E2144" s="92" t="inlineStr">
        <is>
          <t>KR</t>
        </is>
      </c>
      <c r="F2144" s="92" t="n">
        <v>62102000</v>
      </c>
      <c r="G2144" s="92" t="n">
        <v>1301</v>
      </c>
      <c r="H2144" s="93" t="n">
        <v>110000</v>
      </c>
      <c r="I2144" s="92" t="inlineStr">
        <is>
          <t>10월 해외출장 - M항공</t>
        </is>
      </c>
      <c r="J2144" s="92" t="inlineStr">
        <is>
          <t>V10001</t>
        </is>
      </c>
      <c r="K2144" s="92" t="inlineStr">
        <is>
          <t>M항공</t>
        </is>
      </c>
      <c r="M2144" s="9">
        <f>IF($A2144="","",VALUE($A2144&amp;"")*12+VALUE($B2144&amp;""))</f>
        <v/>
      </c>
      <c r="N2144" s="64">
        <f>IF($A2144="","",IFERROR(INDEX(부서매핑!$C$5:$C$504,MATCH($G2144&amp;"",부서매핑!$A$5:$A$504,0)),"미매핑"))</f>
        <v/>
      </c>
      <c r="O2144" s="9">
        <f>IF($A2144="","",N2144&amp;"|"&amp;$F2144)</f>
        <v/>
      </c>
      <c r="P2144" s="94">
        <f>IF($A2144="",0,$H2144*설정!$C$23)</f>
        <v/>
      </c>
      <c r="Q2144" s="64">
        <f>IF($A2144="","",IF(O2144&lt;&gt;원인분석!$C$9,"",IF(AND(M2144&gt;=원인분석!$C$10,M2144&lt;=원인분석!$C$11),"당기",IF(AND(M2144&gt;=원인분석!$C$12,M2144&lt;=원인분석!$C$13),"비교",""))))</f>
        <v/>
      </c>
      <c r="R2144" s="9">
        <f>IF(Q2144="","",$K2144&amp;"")</f>
        <v/>
      </c>
      <c r="S2144" s="9">
        <f>IF(Q2144="","",IF(MATCH(R2144,$R$5:$R$100000,0)=ROW()-4,ROW(),""))</f>
        <v/>
      </c>
      <c r="T2144" s="9">
        <f>IF(Q2144="당기",ABS(P2144)+ROW()/1000000000,"")</f>
        <v/>
      </c>
      <c r="U2144" s="9">
        <f>IF(Q2144="비교",ABS(P2144)+ROW()/1000000000,"")</f>
        <v/>
      </c>
      <c r="V2144" s="64">
        <f>IF($A2144="","",IF(COUNTIF(변동분석!$E$7:$E$506,O2144)&gt;0,"Y","N"))</f>
        <v/>
      </c>
      <c r="W2144" s="64">
        <f>IF($A2144="","",IFERROR(INDEX(계정매핑!$D$5:$D$504,MATCH($F2144&amp;"",계정매핑!$A$5:$A$504,0)),"미매핑"))</f>
        <v/>
      </c>
      <c r="X2144" s="9">
        <f>IF($A2144="","",$F2144&amp;"")</f>
        <v/>
      </c>
      <c r="Y2144" s="94">
        <f>IF($A2144="",0,IF(AE2144="직접",IF(AF2144="비귀속",$P2144,0),$P2144*(1-AG2144)*IFERROR(INDEX(계정대체기준!$F$20:$F$49,MATCH($N2144,계정대체기준!$A$20:$A$49,0)),1)))</f>
        <v/>
      </c>
      <c r="Z2144" s="94">
        <f>IF($A2144="",0,IF(AE2144="직접",IF(AF2144="신계약비",$P2144,0),$P2144*(1-AG2144)*IFERROR(INDEX(계정대체기준!$C$20:$C$49,MATCH($N2144,계정대체기준!$A$20:$A$49,0)),0)))</f>
        <v/>
      </c>
      <c r="AA2144" s="94">
        <f>IF($A2144="",0,IF(AE2144="직접",IF(OR(AF2144="유지비",AF2144="손해조사비"),$P2144,0),$P2144*(1-AG2144)*IFERROR(INDEX(계정대체기준!$D$20:$D$49,MATCH($N2144,계정대체기준!$A$20:$A$49,0)),0)))</f>
        <v/>
      </c>
      <c r="AB2144" s="94">
        <f>IF($A2144="",0,IF(AE2144="직접",IF(AF2144="수금비",$P2144,0),$P2144*(1-AG2144)*IFERROR(INDEX(계정대체기준!$E$20:$E$49,MATCH($N2144,계정대체기준!$A$20:$A$49,0)),0)))</f>
        <v/>
      </c>
      <c r="AC2144" s="9">
        <f>IF(AND($A2144&lt;&gt;"",M2144=설정!$C$20,Z2144&gt;0),Z2144+ROW()/1000000000,"")</f>
        <v/>
      </c>
      <c r="AD2144" s="94">
        <f>IF($A2144="",0,$P2144*AG2144)</f>
        <v/>
      </c>
      <c r="AE2144" s="64">
        <f>IF($A2144="","",IFERROR(INDEX(계정매핑!$E$5:$E$504,MATCH($F2144&amp;"",계정매핑!$A$5:$A$504,0))&amp;"","공통비"))</f>
        <v/>
      </c>
      <c r="AF2144" s="64">
        <f>IF($A2144="","",IF(AE2144="직접",IFERROR(INDEX(계정매핑!$F$5:$F$504,MATCH($F2144&amp;"",계정매핑!$A$5:$A$504,0))&amp;"","비귀속"),""))</f>
        <v/>
      </c>
      <c r="AG2144" s="96">
        <f>IF($A2144="",0,IF(AND(AE2144&lt;&gt;"직접",IFERROR(INDEX(계정매핑!$G$5:$G$504,MATCH($F2144&amp;"",계정매핑!$A$5:$A$504,0))&amp;"","")="유지비",COUNTIF(계정대체기준!$A$6:$A$15,$N2144)&gt;0),IFERROR(INDEX(계정대체기준!$E$6:$E$15,MATCH(VALUE($A2144&amp;""),계정대체기준!$D$6:$D$15,0)),0),0))</f>
        <v/>
      </c>
      <c r="AH2144" s="64">
        <f>IF($A2144="","",IF(AD2144=0,"",IF(OR(COUNTIF(계정대체기준!$A$77:$A$86,$N2144)&gt;0,ISNUMBER(MATCH($X2144,계정대체기준!$D$77:$D$86,0)),ISNUMBER(MATCH($F2144,계정대체기준!$D$77:$D$86,0))),"Y","N")))</f>
        <v/>
      </c>
    </row>
    <row r="2145">
      <c r="A2145" s="92" t="n">
        <v>2025</v>
      </c>
      <c r="B2145" s="92" t="n">
        <v>10</v>
      </c>
      <c r="C2145" s="92" t="inlineStr">
        <is>
          <t>5100002141</t>
        </is>
      </c>
      <c r="D2145" s="95" t="n">
        <v>45943</v>
      </c>
      <c r="E2145" s="92" t="inlineStr">
        <is>
          <t>KR</t>
        </is>
      </c>
      <c r="F2145" s="92" t="n">
        <v>62102000</v>
      </c>
      <c r="G2145" s="92" t="n">
        <v>1501</v>
      </c>
      <c r="H2145" s="93" t="n">
        <v>122000</v>
      </c>
      <c r="I2145" s="92" t="inlineStr">
        <is>
          <t>10월 해외출장 - M항공</t>
        </is>
      </c>
      <c r="J2145" s="92" t="inlineStr">
        <is>
          <t>V10001</t>
        </is>
      </c>
      <c r="K2145" s="92" t="inlineStr">
        <is>
          <t>M항공</t>
        </is>
      </c>
      <c r="M2145" s="9">
        <f>IF($A2145="","",VALUE($A2145&amp;"")*12+VALUE($B2145&amp;""))</f>
        <v/>
      </c>
      <c r="N2145" s="64">
        <f>IF($A2145="","",IFERROR(INDEX(부서매핑!$C$5:$C$504,MATCH($G2145&amp;"",부서매핑!$A$5:$A$504,0)),"미매핑"))</f>
        <v/>
      </c>
      <c r="O2145" s="9">
        <f>IF($A2145="","",N2145&amp;"|"&amp;$F2145)</f>
        <v/>
      </c>
      <c r="P2145" s="94">
        <f>IF($A2145="",0,$H2145*설정!$C$23)</f>
        <v/>
      </c>
      <c r="Q2145" s="64">
        <f>IF($A2145="","",IF(O2145&lt;&gt;원인분석!$C$9,"",IF(AND(M2145&gt;=원인분석!$C$10,M2145&lt;=원인분석!$C$11),"당기",IF(AND(M2145&gt;=원인분석!$C$12,M2145&lt;=원인분석!$C$13),"비교",""))))</f>
        <v/>
      </c>
      <c r="R2145" s="9">
        <f>IF(Q2145="","",$K2145&amp;"")</f>
        <v/>
      </c>
      <c r="S2145" s="9">
        <f>IF(Q2145="","",IF(MATCH(R2145,$R$5:$R$100000,0)=ROW()-4,ROW(),""))</f>
        <v/>
      </c>
      <c r="T2145" s="9">
        <f>IF(Q2145="당기",ABS(P2145)+ROW()/1000000000,"")</f>
        <v/>
      </c>
      <c r="U2145" s="9">
        <f>IF(Q2145="비교",ABS(P2145)+ROW()/1000000000,"")</f>
        <v/>
      </c>
      <c r="V2145" s="64">
        <f>IF($A2145="","",IF(COUNTIF(변동분석!$E$7:$E$506,O2145)&gt;0,"Y","N"))</f>
        <v/>
      </c>
      <c r="W2145" s="64">
        <f>IF($A2145="","",IFERROR(INDEX(계정매핑!$D$5:$D$504,MATCH($F2145&amp;"",계정매핑!$A$5:$A$504,0)),"미매핑"))</f>
        <v/>
      </c>
      <c r="X2145" s="9">
        <f>IF($A2145="","",$F2145&amp;"")</f>
        <v/>
      </c>
      <c r="Y2145" s="94">
        <f>IF($A2145="",0,IF(AE2145="직접",IF(AF2145="비귀속",$P2145,0),$P2145*(1-AG2145)*IFERROR(INDEX(계정대체기준!$F$20:$F$49,MATCH($N2145,계정대체기준!$A$20:$A$49,0)),1)))</f>
        <v/>
      </c>
      <c r="Z2145" s="94">
        <f>IF($A2145="",0,IF(AE2145="직접",IF(AF2145="신계약비",$P2145,0),$P2145*(1-AG2145)*IFERROR(INDEX(계정대체기준!$C$20:$C$49,MATCH($N2145,계정대체기준!$A$20:$A$49,0)),0)))</f>
        <v/>
      </c>
      <c r="AA2145" s="94">
        <f>IF($A2145="",0,IF(AE2145="직접",IF(OR(AF2145="유지비",AF2145="손해조사비"),$P2145,0),$P2145*(1-AG2145)*IFERROR(INDEX(계정대체기준!$D$20:$D$49,MATCH($N2145,계정대체기준!$A$20:$A$49,0)),0)))</f>
        <v/>
      </c>
      <c r="AB2145" s="94">
        <f>IF($A2145="",0,IF(AE2145="직접",IF(AF2145="수금비",$P2145,0),$P2145*(1-AG2145)*IFERROR(INDEX(계정대체기준!$E$20:$E$49,MATCH($N2145,계정대체기준!$A$20:$A$49,0)),0)))</f>
        <v/>
      </c>
      <c r="AC2145" s="9">
        <f>IF(AND($A2145&lt;&gt;"",M2145=설정!$C$20,Z2145&gt;0),Z2145+ROW()/1000000000,"")</f>
        <v/>
      </c>
      <c r="AD2145" s="94">
        <f>IF($A2145="",0,$P2145*AG2145)</f>
        <v/>
      </c>
      <c r="AE2145" s="64">
        <f>IF($A2145="","",IFERROR(INDEX(계정매핑!$E$5:$E$504,MATCH($F2145&amp;"",계정매핑!$A$5:$A$504,0))&amp;"","공통비"))</f>
        <v/>
      </c>
      <c r="AF2145" s="64">
        <f>IF($A2145="","",IF(AE2145="직접",IFERROR(INDEX(계정매핑!$F$5:$F$504,MATCH($F2145&amp;"",계정매핑!$A$5:$A$504,0))&amp;"","비귀속"),""))</f>
        <v/>
      </c>
      <c r="AG2145" s="96">
        <f>IF($A2145="",0,IF(AND(AE2145&lt;&gt;"직접",IFERROR(INDEX(계정매핑!$G$5:$G$504,MATCH($F2145&amp;"",계정매핑!$A$5:$A$504,0))&amp;"","")="유지비",COUNTIF(계정대체기준!$A$6:$A$15,$N2145)&gt;0),IFERROR(INDEX(계정대체기준!$E$6:$E$15,MATCH(VALUE($A2145&amp;""),계정대체기준!$D$6:$D$15,0)),0),0))</f>
        <v/>
      </c>
      <c r="AH2145" s="64">
        <f>IF($A2145="","",IF(AD2145=0,"",IF(OR(COUNTIF(계정대체기준!$A$77:$A$86,$N2145)&gt;0,ISNUMBER(MATCH($X2145,계정대체기준!$D$77:$D$86,0)),ISNUMBER(MATCH($F2145,계정대체기준!$D$77:$D$86,0))),"Y","N")))</f>
        <v/>
      </c>
    </row>
    <row r="2146">
      <c r="A2146" s="92" t="n">
        <v>2025</v>
      </c>
      <c r="B2146" s="92" t="n">
        <v>10</v>
      </c>
      <c r="C2146" s="92" t="inlineStr">
        <is>
          <t>5100002142</t>
        </is>
      </c>
      <c r="D2146" s="95" t="n">
        <v>45943</v>
      </c>
      <c r="E2146" s="92" t="inlineStr">
        <is>
          <t>KR</t>
        </is>
      </c>
      <c r="F2146" s="92" t="n">
        <v>62501000</v>
      </c>
      <c r="G2146" s="92" t="n">
        <v>1501</v>
      </c>
      <c r="H2146" s="93" t="n">
        <v>428000</v>
      </c>
      <c r="I2146" s="92" t="inlineStr">
        <is>
          <t>10월 회의 다과 - (법인카드)</t>
        </is>
      </c>
      <c r="J2146" s="92" t="inlineStr">
        <is>
          <t>V10010</t>
        </is>
      </c>
      <c r="K2146" s="92" t="inlineStr">
        <is>
          <t>(법인카드)</t>
        </is>
      </c>
      <c r="M2146" s="9">
        <f>IF($A2146="","",VALUE($A2146&amp;"")*12+VALUE($B2146&amp;""))</f>
        <v/>
      </c>
      <c r="N2146" s="64">
        <f>IF($A2146="","",IFERROR(INDEX(부서매핑!$C$5:$C$504,MATCH($G2146&amp;"",부서매핑!$A$5:$A$504,0)),"미매핑"))</f>
        <v/>
      </c>
      <c r="O2146" s="9">
        <f>IF($A2146="","",N2146&amp;"|"&amp;$F2146)</f>
        <v/>
      </c>
      <c r="P2146" s="94">
        <f>IF($A2146="",0,$H2146*설정!$C$23)</f>
        <v/>
      </c>
      <c r="Q2146" s="64">
        <f>IF($A2146="","",IF(O2146&lt;&gt;원인분석!$C$9,"",IF(AND(M2146&gt;=원인분석!$C$10,M2146&lt;=원인분석!$C$11),"당기",IF(AND(M2146&gt;=원인분석!$C$12,M2146&lt;=원인분석!$C$13),"비교",""))))</f>
        <v/>
      </c>
      <c r="R2146" s="9">
        <f>IF(Q2146="","",$K2146&amp;"")</f>
        <v/>
      </c>
      <c r="S2146" s="9">
        <f>IF(Q2146="","",IF(MATCH(R2146,$R$5:$R$100000,0)=ROW()-4,ROW(),""))</f>
        <v/>
      </c>
      <c r="T2146" s="9">
        <f>IF(Q2146="당기",ABS(P2146)+ROW()/1000000000,"")</f>
        <v/>
      </c>
      <c r="U2146" s="9">
        <f>IF(Q2146="비교",ABS(P2146)+ROW()/1000000000,"")</f>
        <v/>
      </c>
      <c r="V2146" s="64">
        <f>IF($A2146="","",IF(COUNTIF(변동분석!$E$7:$E$506,O2146)&gt;0,"Y","N"))</f>
        <v/>
      </c>
      <c r="W2146" s="64">
        <f>IF($A2146="","",IFERROR(INDEX(계정매핑!$D$5:$D$504,MATCH($F2146&amp;"",계정매핑!$A$5:$A$504,0)),"미매핑"))</f>
        <v/>
      </c>
      <c r="X2146" s="9">
        <f>IF($A2146="","",$F2146&amp;"")</f>
        <v/>
      </c>
      <c r="Y2146" s="94">
        <f>IF($A2146="",0,IF(AE2146="직접",IF(AF2146="비귀속",$P2146,0),$P2146*(1-AG2146)*IFERROR(INDEX(계정대체기준!$F$20:$F$49,MATCH($N2146,계정대체기준!$A$20:$A$49,0)),1)))</f>
        <v/>
      </c>
      <c r="Z2146" s="94">
        <f>IF($A2146="",0,IF(AE2146="직접",IF(AF2146="신계약비",$P2146,0),$P2146*(1-AG2146)*IFERROR(INDEX(계정대체기준!$C$20:$C$49,MATCH($N2146,계정대체기준!$A$20:$A$49,0)),0)))</f>
        <v/>
      </c>
      <c r="AA2146" s="94">
        <f>IF($A2146="",0,IF(AE2146="직접",IF(OR(AF2146="유지비",AF2146="손해조사비"),$P2146,0),$P2146*(1-AG2146)*IFERROR(INDEX(계정대체기준!$D$20:$D$49,MATCH($N2146,계정대체기준!$A$20:$A$49,0)),0)))</f>
        <v/>
      </c>
      <c r="AB2146" s="94">
        <f>IF($A2146="",0,IF(AE2146="직접",IF(AF2146="수금비",$P2146,0),$P2146*(1-AG2146)*IFERROR(INDEX(계정대체기준!$E$20:$E$49,MATCH($N2146,계정대체기준!$A$20:$A$49,0)),0)))</f>
        <v/>
      </c>
      <c r="AC2146" s="9">
        <f>IF(AND($A2146&lt;&gt;"",M2146=설정!$C$20,Z2146&gt;0),Z2146+ROW()/1000000000,"")</f>
        <v/>
      </c>
      <c r="AD2146" s="94">
        <f>IF($A2146="",0,$P2146*AG2146)</f>
        <v/>
      </c>
      <c r="AE2146" s="64">
        <f>IF($A2146="","",IFERROR(INDEX(계정매핑!$E$5:$E$504,MATCH($F2146&amp;"",계정매핑!$A$5:$A$504,0))&amp;"","공통비"))</f>
        <v/>
      </c>
      <c r="AF2146" s="64">
        <f>IF($A2146="","",IF(AE2146="직접",IFERROR(INDEX(계정매핑!$F$5:$F$504,MATCH($F2146&amp;"",계정매핑!$A$5:$A$504,0))&amp;"","비귀속"),""))</f>
        <v/>
      </c>
      <c r="AG2146" s="96">
        <f>IF($A2146="",0,IF(AND(AE2146&lt;&gt;"직접",IFERROR(INDEX(계정매핑!$G$5:$G$504,MATCH($F2146&amp;"",계정매핑!$A$5:$A$504,0))&amp;"","")="유지비",COUNTIF(계정대체기준!$A$6:$A$15,$N2146)&gt;0),IFERROR(INDEX(계정대체기준!$E$6:$E$15,MATCH(VALUE($A2146&amp;""),계정대체기준!$D$6:$D$15,0)),0),0))</f>
        <v/>
      </c>
      <c r="AH2146" s="64">
        <f>IF($A2146="","",IF(AD2146=0,"",IF(OR(COUNTIF(계정대체기준!$A$77:$A$86,$N2146)&gt;0,ISNUMBER(MATCH($X2146,계정대체기준!$D$77:$D$86,0)),ISNUMBER(MATCH($F2146,계정대체기준!$D$77:$D$86,0))),"Y","N")))</f>
        <v/>
      </c>
    </row>
    <row r="2147">
      <c r="A2147" s="92" t="n">
        <v>2025</v>
      </c>
      <c r="B2147" s="92" t="n">
        <v>10</v>
      </c>
      <c r="C2147" s="92" t="inlineStr">
        <is>
          <t>5100002143</t>
        </is>
      </c>
      <c r="D2147" s="95" t="n">
        <v>45943</v>
      </c>
      <c r="E2147" s="92" t="inlineStr">
        <is>
          <t>KR</t>
        </is>
      </c>
      <c r="F2147" s="92" t="n">
        <v>62501000</v>
      </c>
      <c r="G2147" s="92" t="n">
        <v>1501</v>
      </c>
      <c r="H2147" s="93" t="n">
        <v>235000</v>
      </c>
      <c r="I2147" s="92" t="inlineStr">
        <is>
          <t>10월 회의 다과 - T케이터링</t>
        </is>
      </c>
      <c r="J2147" s="92" t="inlineStr">
        <is>
          <t>V10005</t>
        </is>
      </c>
      <c r="K2147" s="92" t="inlineStr">
        <is>
          <t>T케이터링</t>
        </is>
      </c>
      <c r="M2147" s="9">
        <f>IF($A2147="","",VALUE($A2147&amp;"")*12+VALUE($B2147&amp;""))</f>
        <v/>
      </c>
      <c r="N2147" s="64">
        <f>IF($A2147="","",IFERROR(INDEX(부서매핑!$C$5:$C$504,MATCH($G2147&amp;"",부서매핑!$A$5:$A$504,0)),"미매핑"))</f>
        <v/>
      </c>
      <c r="O2147" s="9">
        <f>IF($A2147="","",N2147&amp;"|"&amp;$F2147)</f>
        <v/>
      </c>
      <c r="P2147" s="94">
        <f>IF($A2147="",0,$H2147*설정!$C$23)</f>
        <v/>
      </c>
      <c r="Q2147" s="64">
        <f>IF($A2147="","",IF(O2147&lt;&gt;원인분석!$C$9,"",IF(AND(M2147&gt;=원인분석!$C$10,M2147&lt;=원인분석!$C$11),"당기",IF(AND(M2147&gt;=원인분석!$C$12,M2147&lt;=원인분석!$C$13),"비교",""))))</f>
        <v/>
      </c>
      <c r="R2147" s="9">
        <f>IF(Q2147="","",$K2147&amp;"")</f>
        <v/>
      </c>
      <c r="S2147" s="9">
        <f>IF(Q2147="","",IF(MATCH(R2147,$R$5:$R$100000,0)=ROW()-4,ROW(),""))</f>
        <v/>
      </c>
      <c r="T2147" s="9">
        <f>IF(Q2147="당기",ABS(P2147)+ROW()/1000000000,"")</f>
        <v/>
      </c>
      <c r="U2147" s="9">
        <f>IF(Q2147="비교",ABS(P2147)+ROW()/1000000000,"")</f>
        <v/>
      </c>
      <c r="V2147" s="64">
        <f>IF($A2147="","",IF(COUNTIF(변동분석!$E$7:$E$506,O2147)&gt;0,"Y","N"))</f>
        <v/>
      </c>
      <c r="W2147" s="64">
        <f>IF($A2147="","",IFERROR(INDEX(계정매핑!$D$5:$D$504,MATCH($F2147&amp;"",계정매핑!$A$5:$A$504,0)),"미매핑"))</f>
        <v/>
      </c>
      <c r="X2147" s="9">
        <f>IF($A2147="","",$F2147&amp;"")</f>
        <v/>
      </c>
      <c r="Y2147" s="94">
        <f>IF($A2147="",0,IF(AE2147="직접",IF(AF2147="비귀속",$P2147,0),$P2147*(1-AG2147)*IFERROR(INDEX(계정대체기준!$F$20:$F$49,MATCH($N2147,계정대체기준!$A$20:$A$49,0)),1)))</f>
        <v/>
      </c>
      <c r="Z2147" s="94">
        <f>IF($A2147="",0,IF(AE2147="직접",IF(AF2147="신계약비",$P2147,0),$P2147*(1-AG2147)*IFERROR(INDEX(계정대체기준!$C$20:$C$49,MATCH($N2147,계정대체기준!$A$20:$A$49,0)),0)))</f>
        <v/>
      </c>
      <c r="AA2147" s="94">
        <f>IF($A2147="",0,IF(AE2147="직접",IF(OR(AF2147="유지비",AF2147="손해조사비"),$P2147,0),$P2147*(1-AG2147)*IFERROR(INDEX(계정대체기준!$D$20:$D$49,MATCH($N2147,계정대체기준!$A$20:$A$49,0)),0)))</f>
        <v/>
      </c>
      <c r="AB2147" s="94">
        <f>IF($A2147="",0,IF(AE2147="직접",IF(AF2147="수금비",$P2147,0),$P2147*(1-AG2147)*IFERROR(INDEX(계정대체기준!$E$20:$E$49,MATCH($N2147,계정대체기준!$A$20:$A$49,0)),0)))</f>
        <v/>
      </c>
      <c r="AC2147" s="9">
        <f>IF(AND($A2147&lt;&gt;"",M2147=설정!$C$20,Z2147&gt;0),Z2147+ROW()/1000000000,"")</f>
        <v/>
      </c>
      <c r="AD2147" s="94">
        <f>IF($A2147="",0,$P2147*AG2147)</f>
        <v/>
      </c>
      <c r="AE2147" s="64">
        <f>IF($A2147="","",IFERROR(INDEX(계정매핑!$E$5:$E$504,MATCH($F2147&amp;"",계정매핑!$A$5:$A$504,0))&amp;"","공통비"))</f>
        <v/>
      </c>
      <c r="AF2147" s="64">
        <f>IF($A2147="","",IF(AE2147="직접",IFERROR(INDEX(계정매핑!$F$5:$F$504,MATCH($F2147&amp;"",계정매핑!$A$5:$A$504,0))&amp;"","비귀속"),""))</f>
        <v/>
      </c>
      <c r="AG2147" s="96">
        <f>IF($A2147="",0,IF(AND(AE2147&lt;&gt;"직접",IFERROR(INDEX(계정매핑!$G$5:$G$504,MATCH($F2147&amp;"",계정매핑!$A$5:$A$504,0))&amp;"","")="유지비",COUNTIF(계정대체기준!$A$6:$A$15,$N2147)&gt;0),IFERROR(INDEX(계정대체기준!$E$6:$E$15,MATCH(VALUE($A2147&amp;""),계정대체기준!$D$6:$D$15,0)),0),0))</f>
        <v/>
      </c>
      <c r="AH2147" s="64">
        <f>IF($A2147="","",IF(AD2147=0,"",IF(OR(COUNTIF(계정대체기준!$A$77:$A$86,$N2147)&gt;0,ISNUMBER(MATCH($X2147,계정대체기준!$D$77:$D$86,0)),ISNUMBER(MATCH($F2147,계정대체기준!$D$77:$D$86,0))),"Y","N")))</f>
        <v/>
      </c>
    </row>
    <row r="2148">
      <c r="A2148" s="92" t="n">
        <v>2025</v>
      </c>
      <c r="B2148" s="92" t="n">
        <v>10</v>
      </c>
      <c r="C2148" s="92" t="inlineStr">
        <is>
          <t>5100002144</t>
        </is>
      </c>
      <c r="D2148" s="95" t="n">
        <v>45943</v>
      </c>
      <c r="E2148" s="92" t="inlineStr">
        <is>
          <t>KR</t>
        </is>
      </c>
      <c r="F2148" s="92" t="n">
        <v>62601000</v>
      </c>
      <c r="G2148" s="92" t="n">
        <v>1101</v>
      </c>
      <c r="H2148" s="93" t="n">
        <v>3061000</v>
      </c>
      <c r="I2148" s="92" t="inlineStr">
        <is>
          <t>10월 업무추진 - (법인카드)</t>
        </is>
      </c>
      <c r="J2148" s="92" t="inlineStr">
        <is>
          <t>V10010</t>
        </is>
      </c>
      <c r="K2148" s="92" t="inlineStr">
        <is>
          <t>(법인카드)</t>
        </is>
      </c>
      <c r="M2148" s="9">
        <f>IF($A2148="","",VALUE($A2148&amp;"")*12+VALUE($B2148&amp;""))</f>
        <v/>
      </c>
      <c r="N2148" s="64">
        <f>IF($A2148="","",IFERROR(INDEX(부서매핑!$C$5:$C$504,MATCH($G2148&amp;"",부서매핑!$A$5:$A$504,0)),"미매핑"))</f>
        <v/>
      </c>
      <c r="O2148" s="9">
        <f>IF($A2148="","",N2148&amp;"|"&amp;$F2148)</f>
        <v/>
      </c>
      <c r="P2148" s="94">
        <f>IF($A2148="",0,$H2148*설정!$C$23)</f>
        <v/>
      </c>
      <c r="Q2148" s="64">
        <f>IF($A2148="","",IF(O2148&lt;&gt;원인분석!$C$9,"",IF(AND(M2148&gt;=원인분석!$C$10,M2148&lt;=원인분석!$C$11),"당기",IF(AND(M2148&gt;=원인분석!$C$12,M2148&lt;=원인분석!$C$13),"비교",""))))</f>
        <v/>
      </c>
      <c r="R2148" s="9">
        <f>IF(Q2148="","",$K2148&amp;"")</f>
        <v/>
      </c>
      <c r="S2148" s="9">
        <f>IF(Q2148="","",IF(MATCH(R2148,$R$5:$R$100000,0)=ROW()-4,ROW(),""))</f>
        <v/>
      </c>
      <c r="T2148" s="9">
        <f>IF(Q2148="당기",ABS(P2148)+ROW()/1000000000,"")</f>
        <v/>
      </c>
      <c r="U2148" s="9">
        <f>IF(Q2148="비교",ABS(P2148)+ROW()/1000000000,"")</f>
        <v/>
      </c>
      <c r="V2148" s="64">
        <f>IF($A2148="","",IF(COUNTIF(변동분석!$E$7:$E$506,O2148)&gt;0,"Y","N"))</f>
        <v/>
      </c>
      <c r="W2148" s="64">
        <f>IF($A2148="","",IFERROR(INDEX(계정매핑!$D$5:$D$504,MATCH($F2148&amp;"",계정매핑!$A$5:$A$504,0)),"미매핑"))</f>
        <v/>
      </c>
      <c r="X2148" s="9">
        <f>IF($A2148="","",$F2148&amp;"")</f>
        <v/>
      </c>
      <c r="Y2148" s="94">
        <f>IF($A2148="",0,IF(AE2148="직접",IF(AF2148="비귀속",$P2148,0),$P2148*(1-AG2148)*IFERROR(INDEX(계정대체기준!$F$20:$F$49,MATCH($N2148,계정대체기준!$A$20:$A$49,0)),1)))</f>
        <v/>
      </c>
      <c r="Z2148" s="94">
        <f>IF($A2148="",0,IF(AE2148="직접",IF(AF2148="신계약비",$P2148,0),$P2148*(1-AG2148)*IFERROR(INDEX(계정대체기준!$C$20:$C$49,MATCH($N2148,계정대체기준!$A$20:$A$49,0)),0)))</f>
        <v/>
      </c>
      <c r="AA2148" s="94">
        <f>IF($A2148="",0,IF(AE2148="직접",IF(OR(AF2148="유지비",AF2148="손해조사비"),$P2148,0),$P2148*(1-AG2148)*IFERROR(INDEX(계정대체기준!$D$20:$D$49,MATCH($N2148,계정대체기준!$A$20:$A$49,0)),0)))</f>
        <v/>
      </c>
      <c r="AB2148" s="94">
        <f>IF($A2148="",0,IF(AE2148="직접",IF(AF2148="수금비",$P2148,0),$P2148*(1-AG2148)*IFERROR(INDEX(계정대체기준!$E$20:$E$49,MATCH($N2148,계정대체기준!$A$20:$A$49,0)),0)))</f>
        <v/>
      </c>
      <c r="AC2148" s="9">
        <f>IF(AND($A2148&lt;&gt;"",M2148=설정!$C$20,Z2148&gt;0),Z2148+ROW()/1000000000,"")</f>
        <v/>
      </c>
      <c r="AD2148" s="94">
        <f>IF($A2148="",0,$P2148*AG2148)</f>
        <v/>
      </c>
      <c r="AE2148" s="64">
        <f>IF($A2148="","",IFERROR(INDEX(계정매핑!$E$5:$E$504,MATCH($F2148&amp;"",계정매핑!$A$5:$A$504,0))&amp;"","공통비"))</f>
        <v/>
      </c>
      <c r="AF2148" s="64">
        <f>IF($A2148="","",IF(AE2148="직접",IFERROR(INDEX(계정매핑!$F$5:$F$504,MATCH($F2148&amp;"",계정매핑!$A$5:$A$504,0))&amp;"","비귀속"),""))</f>
        <v/>
      </c>
      <c r="AG2148" s="96">
        <f>IF($A2148="",0,IF(AND(AE2148&lt;&gt;"직접",IFERROR(INDEX(계정매핑!$G$5:$G$504,MATCH($F2148&amp;"",계정매핑!$A$5:$A$504,0))&amp;"","")="유지비",COUNTIF(계정대체기준!$A$6:$A$15,$N2148)&gt;0),IFERROR(INDEX(계정대체기준!$E$6:$E$15,MATCH(VALUE($A2148&amp;""),계정대체기준!$D$6:$D$15,0)),0),0))</f>
        <v/>
      </c>
      <c r="AH2148" s="64">
        <f>IF($A2148="","",IF(AD2148=0,"",IF(OR(COUNTIF(계정대체기준!$A$77:$A$86,$N2148)&gt;0,ISNUMBER(MATCH($X2148,계정대체기준!$D$77:$D$86,0)),ISNUMBER(MATCH($F2148,계정대체기준!$D$77:$D$86,0))),"Y","N")))</f>
        <v/>
      </c>
    </row>
    <row r="2149">
      <c r="A2149" s="92" t="n">
        <v>2025</v>
      </c>
      <c r="B2149" s="92" t="n">
        <v>10</v>
      </c>
      <c r="C2149" s="92" t="inlineStr">
        <is>
          <t>5100002145</t>
        </is>
      </c>
      <c r="D2149" s="95" t="n">
        <v>45943</v>
      </c>
      <c r="E2149" s="92" t="inlineStr">
        <is>
          <t>KR</t>
        </is>
      </c>
      <c r="F2149" s="92" t="n">
        <v>62901000</v>
      </c>
      <c r="G2149" s="92" t="n">
        <v>1201</v>
      </c>
      <c r="H2149" s="93" t="n">
        <v>5252000</v>
      </c>
      <c r="I2149" s="92" t="inlineStr">
        <is>
          <t>10월 자문 수수료 - K회계법인</t>
        </is>
      </c>
      <c r="J2149" s="92" t="inlineStr">
        <is>
          <t>V10011</t>
        </is>
      </c>
      <c r="K2149" s="92" t="inlineStr">
        <is>
          <t>K회계법인</t>
        </is>
      </c>
      <c r="M2149" s="9">
        <f>IF($A2149="","",VALUE($A2149&amp;"")*12+VALUE($B2149&amp;""))</f>
        <v/>
      </c>
      <c r="N2149" s="64">
        <f>IF($A2149="","",IFERROR(INDEX(부서매핑!$C$5:$C$504,MATCH($G2149&amp;"",부서매핑!$A$5:$A$504,0)),"미매핑"))</f>
        <v/>
      </c>
      <c r="O2149" s="9">
        <f>IF($A2149="","",N2149&amp;"|"&amp;$F2149)</f>
        <v/>
      </c>
      <c r="P2149" s="94">
        <f>IF($A2149="",0,$H2149*설정!$C$23)</f>
        <v/>
      </c>
      <c r="Q2149" s="64">
        <f>IF($A2149="","",IF(O2149&lt;&gt;원인분석!$C$9,"",IF(AND(M2149&gt;=원인분석!$C$10,M2149&lt;=원인분석!$C$11),"당기",IF(AND(M2149&gt;=원인분석!$C$12,M2149&lt;=원인분석!$C$13),"비교",""))))</f>
        <v/>
      </c>
      <c r="R2149" s="9">
        <f>IF(Q2149="","",$K2149&amp;"")</f>
        <v/>
      </c>
      <c r="S2149" s="9">
        <f>IF(Q2149="","",IF(MATCH(R2149,$R$5:$R$100000,0)=ROW()-4,ROW(),""))</f>
        <v/>
      </c>
      <c r="T2149" s="9">
        <f>IF(Q2149="당기",ABS(P2149)+ROW()/1000000000,"")</f>
        <v/>
      </c>
      <c r="U2149" s="9">
        <f>IF(Q2149="비교",ABS(P2149)+ROW()/1000000000,"")</f>
        <v/>
      </c>
      <c r="V2149" s="64">
        <f>IF($A2149="","",IF(COUNTIF(변동분석!$E$7:$E$506,O2149)&gt;0,"Y","N"))</f>
        <v/>
      </c>
      <c r="W2149" s="64">
        <f>IF($A2149="","",IFERROR(INDEX(계정매핑!$D$5:$D$504,MATCH($F2149&amp;"",계정매핑!$A$5:$A$504,0)),"미매핑"))</f>
        <v/>
      </c>
      <c r="X2149" s="9">
        <f>IF($A2149="","",$F2149&amp;"")</f>
        <v/>
      </c>
      <c r="Y2149" s="94">
        <f>IF($A2149="",0,IF(AE2149="직접",IF(AF2149="비귀속",$P2149,0),$P2149*(1-AG2149)*IFERROR(INDEX(계정대체기준!$F$20:$F$49,MATCH($N2149,계정대체기준!$A$20:$A$49,0)),1)))</f>
        <v/>
      </c>
      <c r="Z2149" s="94">
        <f>IF($A2149="",0,IF(AE2149="직접",IF(AF2149="신계약비",$P2149,0),$P2149*(1-AG2149)*IFERROR(INDEX(계정대체기준!$C$20:$C$49,MATCH($N2149,계정대체기준!$A$20:$A$49,0)),0)))</f>
        <v/>
      </c>
      <c r="AA2149" s="94">
        <f>IF($A2149="",0,IF(AE2149="직접",IF(OR(AF2149="유지비",AF2149="손해조사비"),$P2149,0),$P2149*(1-AG2149)*IFERROR(INDEX(계정대체기준!$D$20:$D$49,MATCH($N2149,계정대체기준!$A$20:$A$49,0)),0)))</f>
        <v/>
      </c>
      <c r="AB2149" s="94">
        <f>IF($A2149="",0,IF(AE2149="직접",IF(AF2149="수금비",$P2149,0),$P2149*(1-AG2149)*IFERROR(INDEX(계정대체기준!$E$20:$E$49,MATCH($N2149,계정대체기준!$A$20:$A$49,0)),0)))</f>
        <v/>
      </c>
      <c r="AC2149" s="9">
        <f>IF(AND($A2149&lt;&gt;"",M2149=설정!$C$20,Z2149&gt;0),Z2149+ROW()/1000000000,"")</f>
        <v/>
      </c>
      <c r="AD2149" s="94">
        <f>IF($A2149="",0,$P2149*AG2149)</f>
        <v/>
      </c>
      <c r="AE2149" s="64">
        <f>IF($A2149="","",IFERROR(INDEX(계정매핑!$E$5:$E$504,MATCH($F2149&amp;"",계정매핑!$A$5:$A$504,0))&amp;"","공통비"))</f>
        <v/>
      </c>
      <c r="AF2149" s="64">
        <f>IF($A2149="","",IF(AE2149="직접",IFERROR(INDEX(계정매핑!$F$5:$F$504,MATCH($F2149&amp;"",계정매핑!$A$5:$A$504,0))&amp;"","비귀속"),""))</f>
        <v/>
      </c>
      <c r="AG2149" s="96">
        <f>IF($A2149="",0,IF(AND(AE2149&lt;&gt;"직접",IFERROR(INDEX(계정매핑!$G$5:$G$504,MATCH($F2149&amp;"",계정매핑!$A$5:$A$504,0))&amp;"","")="유지비",COUNTIF(계정대체기준!$A$6:$A$15,$N2149)&gt;0),IFERROR(INDEX(계정대체기준!$E$6:$E$15,MATCH(VALUE($A2149&amp;""),계정대체기준!$D$6:$D$15,0)),0),0))</f>
        <v/>
      </c>
      <c r="AH2149" s="64">
        <f>IF($A2149="","",IF(AD2149=0,"",IF(OR(COUNTIF(계정대체기준!$A$77:$A$86,$N2149)&gt;0,ISNUMBER(MATCH($X2149,계정대체기준!$D$77:$D$86,0)),ISNUMBER(MATCH($F2149,계정대체기준!$D$77:$D$86,0))),"Y","N")))</f>
        <v/>
      </c>
    </row>
    <row r="2150">
      <c r="A2150" s="92" t="n">
        <v>2025</v>
      </c>
      <c r="B2150" s="92" t="n">
        <v>10</v>
      </c>
      <c r="C2150" s="92" t="inlineStr">
        <is>
          <t>5100002146</t>
        </is>
      </c>
      <c r="D2150" s="95" t="n">
        <v>45943</v>
      </c>
      <c r="E2150" s="92" t="inlineStr">
        <is>
          <t>KR</t>
        </is>
      </c>
      <c r="F2150" s="92" t="n">
        <v>62902000</v>
      </c>
      <c r="G2150" s="92" t="n">
        <v>1801</v>
      </c>
      <c r="H2150" s="93" t="n">
        <v>1753000</v>
      </c>
      <c r="I2150" s="92" t="inlineStr">
        <is>
          <t>10월 콜 위탁 수수료(건별)</t>
        </is>
      </c>
      <c r="J2150" s="92" t="inlineStr">
        <is>
          <t>V10016</t>
        </is>
      </c>
      <c r="K2150" s="92" t="inlineStr">
        <is>
          <t>J콜센터</t>
        </is>
      </c>
      <c r="M2150" s="9">
        <f>IF($A2150="","",VALUE($A2150&amp;"")*12+VALUE($B2150&amp;""))</f>
        <v/>
      </c>
      <c r="N2150" s="64">
        <f>IF($A2150="","",IFERROR(INDEX(부서매핑!$C$5:$C$504,MATCH($G2150&amp;"",부서매핑!$A$5:$A$504,0)),"미매핑"))</f>
        <v/>
      </c>
      <c r="O2150" s="9">
        <f>IF($A2150="","",N2150&amp;"|"&amp;$F2150)</f>
        <v/>
      </c>
      <c r="P2150" s="94">
        <f>IF($A2150="",0,$H2150*설정!$C$23)</f>
        <v/>
      </c>
      <c r="Q2150" s="64">
        <f>IF($A2150="","",IF(O2150&lt;&gt;원인분석!$C$9,"",IF(AND(M2150&gt;=원인분석!$C$10,M2150&lt;=원인분석!$C$11),"당기",IF(AND(M2150&gt;=원인분석!$C$12,M2150&lt;=원인분석!$C$13),"비교",""))))</f>
        <v/>
      </c>
      <c r="R2150" s="9">
        <f>IF(Q2150="","",$K2150&amp;"")</f>
        <v/>
      </c>
      <c r="S2150" s="9">
        <f>IF(Q2150="","",IF(MATCH(R2150,$R$5:$R$100000,0)=ROW()-4,ROW(),""))</f>
        <v/>
      </c>
      <c r="T2150" s="9">
        <f>IF(Q2150="당기",ABS(P2150)+ROW()/1000000000,"")</f>
        <v/>
      </c>
      <c r="U2150" s="9">
        <f>IF(Q2150="비교",ABS(P2150)+ROW()/1000000000,"")</f>
        <v/>
      </c>
      <c r="V2150" s="64">
        <f>IF($A2150="","",IF(COUNTIF(변동분석!$E$7:$E$506,O2150)&gt;0,"Y","N"))</f>
        <v/>
      </c>
      <c r="W2150" s="64">
        <f>IF($A2150="","",IFERROR(INDEX(계정매핑!$D$5:$D$504,MATCH($F2150&amp;"",계정매핑!$A$5:$A$504,0)),"미매핑"))</f>
        <v/>
      </c>
      <c r="X2150" s="9">
        <f>IF($A2150="","",$F2150&amp;"")</f>
        <v/>
      </c>
      <c r="Y2150" s="94">
        <f>IF($A2150="",0,IF(AE2150="직접",IF(AF2150="비귀속",$P2150,0),$P2150*(1-AG2150)*IFERROR(INDEX(계정대체기준!$F$20:$F$49,MATCH($N2150,계정대체기준!$A$20:$A$49,0)),1)))</f>
        <v/>
      </c>
      <c r="Z2150" s="94">
        <f>IF($A2150="",0,IF(AE2150="직접",IF(AF2150="신계약비",$P2150,0),$P2150*(1-AG2150)*IFERROR(INDEX(계정대체기준!$C$20:$C$49,MATCH($N2150,계정대체기준!$A$20:$A$49,0)),0)))</f>
        <v/>
      </c>
      <c r="AA2150" s="94">
        <f>IF($A2150="",0,IF(AE2150="직접",IF(OR(AF2150="유지비",AF2150="손해조사비"),$P2150,0),$P2150*(1-AG2150)*IFERROR(INDEX(계정대체기준!$D$20:$D$49,MATCH($N2150,계정대체기준!$A$20:$A$49,0)),0)))</f>
        <v/>
      </c>
      <c r="AB2150" s="94">
        <f>IF($A2150="",0,IF(AE2150="직접",IF(AF2150="수금비",$P2150,0),$P2150*(1-AG2150)*IFERROR(INDEX(계정대체기준!$E$20:$E$49,MATCH($N2150,계정대체기준!$A$20:$A$49,0)),0)))</f>
        <v/>
      </c>
      <c r="AC2150" s="9">
        <f>IF(AND($A2150&lt;&gt;"",M2150=설정!$C$20,Z2150&gt;0),Z2150+ROW()/1000000000,"")</f>
        <v/>
      </c>
      <c r="AD2150" s="94">
        <f>IF($A2150="",0,$P2150*AG2150)</f>
        <v/>
      </c>
      <c r="AE2150" s="64">
        <f>IF($A2150="","",IFERROR(INDEX(계정매핑!$E$5:$E$504,MATCH($F2150&amp;"",계정매핑!$A$5:$A$504,0))&amp;"","공통비"))</f>
        <v/>
      </c>
      <c r="AF2150" s="64">
        <f>IF($A2150="","",IF(AE2150="직접",IFERROR(INDEX(계정매핑!$F$5:$F$504,MATCH($F2150&amp;"",계정매핑!$A$5:$A$504,0))&amp;"","비귀속"),""))</f>
        <v/>
      </c>
      <c r="AG2150" s="96">
        <f>IF($A2150="",0,IF(AND(AE2150&lt;&gt;"직접",IFERROR(INDEX(계정매핑!$G$5:$G$504,MATCH($F2150&amp;"",계정매핑!$A$5:$A$504,0))&amp;"","")="유지비",COUNTIF(계정대체기준!$A$6:$A$15,$N2150)&gt;0),IFERROR(INDEX(계정대체기준!$E$6:$E$15,MATCH(VALUE($A2150&amp;""),계정대체기준!$D$6:$D$15,0)),0),0))</f>
        <v/>
      </c>
      <c r="AH2150" s="64">
        <f>IF($A2150="","",IF(AD2150=0,"",IF(OR(COUNTIF(계정대체기준!$A$77:$A$86,$N2150)&gt;0,ISNUMBER(MATCH($X2150,계정대체기준!$D$77:$D$86,0)),ISNUMBER(MATCH($F2150,계정대체기준!$D$77:$D$86,0))),"Y","N")))</f>
        <v/>
      </c>
    </row>
    <row r="2151">
      <c r="A2151" s="92" t="n">
        <v>2025</v>
      </c>
      <c r="B2151" s="92" t="n">
        <v>10</v>
      </c>
      <c r="C2151" s="92" t="inlineStr">
        <is>
          <t>5100002147</t>
        </is>
      </c>
      <c r="D2151" s="95" t="n">
        <v>45944</v>
      </c>
      <c r="E2151" s="92" t="inlineStr">
        <is>
          <t>KR</t>
        </is>
      </c>
      <c r="F2151" s="92" t="n">
        <v>62101000</v>
      </c>
      <c r="G2151" s="92" t="n">
        <v>1501</v>
      </c>
      <c r="H2151" s="93" t="n">
        <v>501000</v>
      </c>
      <c r="I2151" s="92" t="inlineStr">
        <is>
          <t>10월 국내출장 - M항공</t>
        </is>
      </c>
      <c r="J2151" s="92" t="inlineStr">
        <is>
          <t>V10001</t>
        </is>
      </c>
      <c r="K2151" s="92" t="inlineStr">
        <is>
          <t>M항공</t>
        </is>
      </c>
      <c r="M2151" s="9">
        <f>IF($A2151="","",VALUE($A2151&amp;"")*12+VALUE($B2151&amp;""))</f>
        <v/>
      </c>
      <c r="N2151" s="64">
        <f>IF($A2151="","",IFERROR(INDEX(부서매핑!$C$5:$C$504,MATCH($G2151&amp;"",부서매핑!$A$5:$A$504,0)),"미매핑"))</f>
        <v/>
      </c>
      <c r="O2151" s="9">
        <f>IF($A2151="","",N2151&amp;"|"&amp;$F2151)</f>
        <v/>
      </c>
      <c r="P2151" s="94">
        <f>IF($A2151="",0,$H2151*설정!$C$23)</f>
        <v/>
      </c>
      <c r="Q2151" s="64">
        <f>IF($A2151="","",IF(O2151&lt;&gt;원인분석!$C$9,"",IF(AND(M2151&gt;=원인분석!$C$10,M2151&lt;=원인분석!$C$11),"당기",IF(AND(M2151&gt;=원인분석!$C$12,M2151&lt;=원인분석!$C$13),"비교",""))))</f>
        <v/>
      </c>
      <c r="R2151" s="9">
        <f>IF(Q2151="","",$K2151&amp;"")</f>
        <v/>
      </c>
      <c r="S2151" s="9">
        <f>IF(Q2151="","",IF(MATCH(R2151,$R$5:$R$100000,0)=ROW()-4,ROW(),""))</f>
        <v/>
      </c>
      <c r="T2151" s="9">
        <f>IF(Q2151="당기",ABS(P2151)+ROW()/1000000000,"")</f>
        <v/>
      </c>
      <c r="U2151" s="9">
        <f>IF(Q2151="비교",ABS(P2151)+ROW()/1000000000,"")</f>
        <v/>
      </c>
      <c r="V2151" s="64">
        <f>IF($A2151="","",IF(COUNTIF(변동분석!$E$7:$E$506,O2151)&gt;0,"Y","N"))</f>
        <v/>
      </c>
      <c r="W2151" s="64">
        <f>IF($A2151="","",IFERROR(INDEX(계정매핑!$D$5:$D$504,MATCH($F2151&amp;"",계정매핑!$A$5:$A$504,0)),"미매핑"))</f>
        <v/>
      </c>
      <c r="X2151" s="9">
        <f>IF($A2151="","",$F2151&amp;"")</f>
        <v/>
      </c>
      <c r="Y2151" s="94">
        <f>IF($A2151="",0,IF(AE2151="직접",IF(AF2151="비귀속",$P2151,0),$P2151*(1-AG2151)*IFERROR(INDEX(계정대체기준!$F$20:$F$49,MATCH($N2151,계정대체기준!$A$20:$A$49,0)),1)))</f>
        <v/>
      </c>
      <c r="Z2151" s="94">
        <f>IF($A2151="",0,IF(AE2151="직접",IF(AF2151="신계약비",$P2151,0),$P2151*(1-AG2151)*IFERROR(INDEX(계정대체기준!$C$20:$C$49,MATCH($N2151,계정대체기준!$A$20:$A$49,0)),0)))</f>
        <v/>
      </c>
      <c r="AA2151" s="94">
        <f>IF($A2151="",0,IF(AE2151="직접",IF(OR(AF2151="유지비",AF2151="손해조사비"),$P2151,0),$P2151*(1-AG2151)*IFERROR(INDEX(계정대체기준!$D$20:$D$49,MATCH($N2151,계정대체기준!$A$20:$A$49,0)),0)))</f>
        <v/>
      </c>
      <c r="AB2151" s="94">
        <f>IF($A2151="",0,IF(AE2151="직접",IF(AF2151="수금비",$P2151,0),$P2151*(1-AG2151)*IFERROR(INDEX(계정대체기준!$E$20:$E$49,MATCH($N2151,계정대체기준!$A$20:$A$49,0)),0)))</f>
        <v/>
      </c>
      <c r="AC2151" s="9">
        <f>IF(AND($A2151&lt;&gt;"",M2151=설정!$C$20,Z2151&gt;0),Z2151+ROW()/1000000000,"")</f>
        <v/>
      </c>
      <c r="AD2151" s="94">
        <f>IF($A2151="",0,$P2151*AG2151)</f>
        <v/>
      </c>
      <c r="AE2151" s="64">
        <f>IF($A2151="","",IFERROR(INDEX(계정매핑!$E$5:$E$504,MATCH($F2151&amp;"",계정매핑!$A$5:$A$504,0))&amp;"","공통비"))</f>
        <v/>
      </c>
      <c r="AF2151" s="64">
        <f>IF($A2151="","",IF(AE2151="직접",IFERROR(INDEX(계정매핑!$F$5:$F$504,MATCH($F2151&amp;"",계정매핑!$A$5:$A$504,0))&amp;"","비귀속"),""))</f>
        <v/>
      </c>
      <c r="AG2151" s="96">
        <f>IF($A2151="",0,IF(AND(AE2151&lt;&gt;"직접",IFERROR(INDEX(계정매핑!$G$5:$G$504,MATCH($F2151&amp;"",계정매핑!$A$5:$A$504,0))&amp;"","")="유지비",COUNTIF(계정대체기준!$A$6:$A$15,$N2151)&gt;0),IFERROR(INDEX(계정대체기준!$E$6:$E$15,MATCH(VALUE($A2151&amp;""),계정대체기준!$D$6:$D$15,0)),0),0))</f>
        <v/>
      </c>
      <c r="AH2151" s="64">
        <f>IF($A2151="","",IF(AD2151=0,"",IF(OR(COUNTIF(계정대체기준!$A$77:$A$86,$N2151)&gt;0,ISNUMBER(MATCH($X2151,계정대체기준!$D$77:$D$86,0)),ISNUMBER(MATCH($F2151,계정대체기준!$D$77:$D$86,0))),"Y","N")))</f>
        <v/>
      </c>
    </row>
    <row r="2152">
      <c r="A2152" s="92" t="n">
        <v>2025</v>
      </c>
      <c r="B2152" s="92" t="n">
        <v>10</v>
      </c>
      <c r="C2152" s="92" t="inlineStr">
        <is>
          <t>5100002148</t>
        </is>
      </c>
      <c r="D2152" s="95" t="n">
        <v>45944</v>
      </c>
      <c r="E2152" s="92" t="inlineStr">
        <is>
          <t>KR</t>
        </is>
      </c>
      <c r="F2152" s="92" t="n">
        <v>62101000</v>
      </c>
      <c r="G2152" s="92" t="n">
        <v>1701</v>
      </c>
      <c r="H2152" s="93" t="n">
        <v>177000</v>
      </c>
      <c r="I2152" s="92" t="inlineStr">
        <is>
          <t>10월 국내출장 - (법인카드)</t>
        </is>
      </c>
      <c r="J2152" s="92" t="inlineStr">
        <is>
          <t>V10010</t>
        </is>
      </c>
      <c r="K2152" s="92" t="inlineStr">
        <is>
          <t>(법인카드)</t>
        </is>
      </c>
      <c r="M2152" s="9">
        <f>IF($A2152="","",VALUE($A2152&amp;"")*12+VALUE($B2152&amp;""))</f>
        <v/>
      </c>
      <c r="N2152" s="64">
        <f>IF($A2152="","",IFERROR(INDEX(부서매핑!$C$5:$C$504,MATCH($G2152&amp;"",부서매핑!$A$5:$A$504,0)),"미매핑"))</f>
        <v/>
      </c>
      <c r="O2152" s="9">
        <f>IF($A2152="","",N2152&amp;"|"&amp;$F2152)</f>
        <v/>
      </c>
      <c r="P2152" s="94">
        <f>IF($A2152="",0,$H2152*설정!$C$23)</f>
        <v/>
      </c>
      <c r="Q2152" s="64">
        <f>IF($A2152="","",IF(O2152&lt;&gt;원인분석!$C$9,"",IF(AND(M2152&gt;=원인분석!$C$10,M2152&lt;=원인분석!$C$11),"당기",IF(AND(M2152&gt;=원인분석!$C$12,M2152&lt;=원인분석!$C$13),"비교",""))))</f>
        <v/>
      </c>
      <c r="R2152" s="9">
        <f>IF(Q2152="","",$K2152&amp;"")</f>
        <v/>
      </c>
      <c r="S2152" s="9">
        <f>IF(Q2152="","",IF(MATCH(R2152,$R$5:$R$100000,0)=ROW()-4,ROW(),""))</f>
        <v/>
      </c>
      <c r="T2152" s="9">
        <f>IF(Q2152="당기",ABS(P2152)+ROW()/1000000000,"")</f>
        <v/>
      </c>
      <c r="U2152" s="9">
        <f>IF(Q2152="비교",ABS(P2152)+ROW()/1000000000,"")</f>
        <v/>
      </c>
      <c r="V2152" s="64">
        <f>IF($A2152="","",IF(COUNTIF(변동분석!$E$7:$E$506,O2152)&gt;0,"Y","N"))</f>
        <v/>
      </c>
      <c r="W2152" s="64">
        <f>IF($A2152="","",IFERROR(INDEX(계정매핑!$D$5:$D$504,MATCH($F2152&amp;"",계정매핑!$A$5:$A$504,0)),"미매핑"))</f>
        <v/>
      </c>
      <c r="X2152" s="9">
        <f>IF($A2152="","",$F2152&amp;"")</f>
        <v/>
      </c>
      <c r="Y2152" s="94">
        <f>IF($A2152="",0,IF(AE2152="직접",IF(AF2152="비귀속",$P2152,0),$P2152*(1-AG2152)*IFERROR(INDEX(계정대체기준!$F$20:$F$49,MATCH($N2152,계정대체기준!$A$20:$A$49,0)),1)))</f>
        <v/>
      </c>
      <c r="Z2152" s="94">
        <f>IF($A2152="",0,IF(AE2152="직접",IF(AF2152="신계약비",$P2152,0),$P2152*(1-AG2152)*IFERROR(INDEX(계정대체기준!$C$20:$C$49,MATCH($N2152,계정대체기준!$A$20:$A$49,0)),0)))</f>
        <v/>
      </c>
      <c r="AA2152" s="94">
        <f>IF($A2152="",0,IF(AE2152="직접",IF(OR(AF2152="유지비",AF2152="손해조사비"),$P2152,0),$P2152*(1-AG2152)*IFERROR(INDEX(계정대체기준!$D$20:$D$49,MATCH($N2152,계정대체기준!$A$20:$A$49,0)),0)))</f>
        <v/>
      </c>
      <c r="AB2152" s="94">
        <f>IF($A2152="",0,IF(AE2152="직접",IF(AF2152="수금비",$P2152,0),$P2152*(1-AG2152)*IFERROR(INDEX(계정대체기준!$E$20:$E$49,MATCH($N2152,계정대체기준!$A$20:$A$49,0)),0)))</f>
        <v/>
      </c>
      <c r="AC2152" s="9">
        <f>IF(AND($A2152&lt;&gt;"",M2152=설정!$C$20,Z2152&gt;0),Z2152+ROW()/1000000000,"")</f>
        <v/>
      </c>
      <c r="AD2152" s="94">
        <f>IF($A2152="",0,$P2152*AG2152)</f>
        <v/>
      </c>
      <c r="AE2152" s="64">
        <f>IF($A2152="","",IFERROR(INDEX(계정매핑!$E$5:$E$504,MATCH($F2152&amp;"",계정매핑!$A$5:$A$504,0))&amp;"","공통비"))</f>
        <v/>
      </c>
      <c r="AF2152" s="64">
        <f>IF($A2152="","",IF(AE2152="직접",IFERROR(INDEX(계정매핑!$F$5:$F$504,MATCH($F2152&amp;"",계정매핑!$A$5:$A$504,0))&amp;"","비귀속"),""))</f>
        <v/>
      </c>
      <c r="AG2152" s="96">
        <f>IF($A2152="",0,IF(AND(AE2152&lt;&gt;"직접",IFERROR(INDEX(계정매핑!$G$5:$G$504,MATCH($F2152&amp;"",계정매핑!$A$5:$A$504,0))&amp;"","")="유지비",COUNTIF(계정대체기준!$A$6:$A$15,$N2152)&gt;0),IFERROR(INDEX(계정대체기준!$E$6:$E$15,MATCH(VALUE($A2152&amp;""),계정대체기준!$D$6:$D$15,0)),0),0))</f>
        <v/>
      </c>
      <c r="AH2152" s="64">
        <f>IF($A2152="","",IF(AD2152=0,"",IF(OR(COUNTIF(계정대체기준!$A$77:$A$86,$N2152)&gt;0,ISNUMBER(MATCH($X2152,계정대체기준!$D$77:$D$86,0)),ISNUMBER(MATCH($F2152,계정대체기준!$D$77:$D$86,0))),"Y","N")))</f>
        <v/>
      </c>
    </row>
    <row r="2153">
      <c r="A2153" s="92" t="n">
        <v>2025</v>
      </c>
      <c r="B2153" s="92" t="n">
        <v>10</v>
      </c>
      <c r="C2153" s="92" t="inlineStr">
        <is>
          <t>5100002149</t>
        </is>
      </c>
      <c r="D2153" s="95" t="n">
        <v>45944</v>
      </c>
      <c r="E2153" s="92" t="inlineStr">
        <is>
          <t>KR</t>
        </is>
      </c>
      <c r="F2153" s="92" t="n">
        <v>62301000</v>
      </c>
      <c r="G2153" s="92" t="n">
        <v>1401</v>
      </c>
      <c r="H2153" s="93" t="n">
        <v>82000</v>
      </c>
      <c r="I2153" s="92" t="inlineStr">
        <is>
          <t>10월 소모품 구입 - R문구</t>
        </is>
      </c>
      <c r="J2153" s="92" t="inlineStr">
        <is>
          <t>V10022</t>
        </is>
      </c>
      <c r="K2153" s="92" t="inlineStr">
        <is>
          <t>R문구</t>
        </is>
      </c>
      <c r="M2153" s="9">
        <f>IF($A2153="","",VALUE($A2153&amp;"")*12+VALUE($B2153&amp;""))</f>
        <v/>
      </c>
      <c r="N2153" s="64">
        <f>IF($A2153="","",IFERROR(INDEX(부서매핑!$C$5:$C$504,MATCH($G2153&amp;"",부서매핑!$A$5:$A$504,0)),"미매핑"))</f>
        <v/>
      </c>
      <c r="O2153" s="9">
        <f>IF($A2153="","",N2153&amp;"|"&amp;$F2153)</f>
        <v/>
      </c>
      <c r="P2153" s="94">
        <f>IF($A2153="",0,$H2153*설정!$C$23)</f>
        <v/>
      </c>
      <c r="Q2153" s="64">
        <f>IF($A2153="","",IF(O2153&lt;&gt;원인분석!$C$9,"",IF(AND(M2153&gt;=원인분석!$C$10,M2153&lt;=원인분석!$C$11),"당기",IF(AND(M2153&gt;=원인분석!$C$12,M2153&lt;=원인분석!$C$13),"비교",""))))</f>
        <v/>
      </c>
      <c r="R2153" s="9">
        <f>IF(Q2153="","",$K2153&amp;"")</f>
        <v/>
      </c>
      <c r="S2153" s="9">
        <f>IF(Q2153="","",IF(MATCH(R2153,$R$5:$R$100000,0)=ROW()-4,ROW(),""))</f>
        <v/>
      </c>
      <c r="T2153" s="9">
        <f>IF(Q2153="당기",ABS(P2153)+ROW()/1000000000,"")</f>
        <v/>
      </c>
      <c r="U2153" s="9">
        <f>IF(Q2153="비교",ABS(P2153)+ROW()/1000000000,"")</f>
        <v/>
      </c>
      <c r="V2153" s="64">
        <f>IF($A2153="","",IF(COUNTIF(변동분석!$E$7:$E$506,O2153)&gt;0,"Y","N"))</f>
        <v/>
      </c>
      <c r="W2153" s="64">
        <f>IF($A2153="","",IFERROR(INDEX(계정매핑!$D$5:$D$504,MATCH($F2153&amp;"",계정매핑!$A$5:$A$504,0)),"미매핑"))</f>
        <v/>
      </c>
      <c r="X2153" s="9">
        <f>IF($A2153="","",$F2153&amp;"")</f>
        <v/>
      </c>
      <c r="Y2153" s="94">
        <f>IF($A2153="",0,IF(AE2153="직접",IF(AF2153="비귀속",$P2153,0),$P2153*(1-AG2153)*IFERROR(INDEX(계정대체기준!$F$20:$F$49,MATCH($N2153,계정대체기준!$A$20:$A$49,0)),1)))</f>
        <v/>
      </c>
      <c r="Z2153" s="94">
        <f>IF($A2153="",0,IF(AE2153="직접",IF(AF2153="신계약비",$P2153,0),$P2153*(1-AG2153)*IFERROR(INDEX(계정대체기준!$C$20:$C$49,MATCH($N2153,계정대체기준!$A$20:$A$49,0)),0)))</f>
        <v/>
      </c>
      <c r="AA2153" s="94">
        <f>IF($A2153="",0,IF(AE2153="직접",IF(OR(AF2153="유지비",AF2153="손해조사비"),$P2153,0),$P2153*(1-AG2153)*IFERROR(INDEX(계정대체기준!$D$20:$D$49,MATCH($N2153,계정대체기준!$A$20:$A$49,0)),0)))</f>
        <v/>
      </c>
      <c r="AB2153" s="94">
        <f>IF($A2153="",0,IF(AE2153="직접",IF(AF2153="수금비",$P2153,0),$P2153*(1-AG2153)*IFERROR(INDEX(계정대체기준!$E$20:$E$49,MATCH($N2153,계정대체기준!$A$20:$A$49,0)),0)))</f>
        <v/>
      </c>
      <c r="AC2153" s="9">
        <f>IF(AND($A2153&lt;&gt;"",M2153=설정!$C$20,Z2153&gt;0),Z2153+ROW()/1000000000,"")</f>
        <v/>
      </c>
      <c r="AD2153" s="94">
        <f>IF($A2153="",0,$P2153*AG2153)</f>
        <v/>
      </c>
      <c r="AE2153" s="64">
        <f>IF($A2153="","",IFERROR(INDEX(계정매핑!$E$5:$E$504,MATCH($F2153&amp;"",계정매핑!$A$5:$A$504,0))&amp;"","공통비"))</f>
        <v/>
      </c>
      <c r="AF2153" s="64">
        <f>IF($A2153="","",IF(AE2153="직접",IFERROR(INDEX(계정매핑!$F$5:$F$504,MATCH($F2153&amp;"",계정매핑!$A$5:$A$504,0))&amp;"","비귀속"),""))</f>
        <v/>
      </c>
      <c r="AG2153" s="96">
        <f>IF($A2153="",0,IF(AND(AE2153&lt;&gt;"직접",IFERROR(INDEX(계정매핑!$G$5:$G$504,MATCH($F2153&amp;"",계정매핑!$A$5:$A$504,0))&amp;"","")="유지비",COUNTIF(계정대체기준!$A$6:$A$15,$N2153)&gt;0),IFERROR(INDEX(계정대체기준!$E$6:$E$15,MATCH(VALUE($A2153&amp;""),계정대체기준!$D$6:$D$15,0)),0),0))</f>
        <v/>
      </c>
      <c r="AH2153" s="64">
        <f>IF($A2153="","",IF(AD2153=0,"",IF(OR(COUNTIF(계정대체기준!$A$77:$A$86,$N2153)&gt;0,ISNUMBER(MATCH($X2153,계정대체기준!$D$77:$D$86,0)),ISNUMBER(MATCH($F2153,계정대체기준!$D$77:$D$86,0))),"Y","N")))</f>
        <v/>
      </c>
    </row>
    <row r="2154">
      <c r="A2154" s="92" t="n">
        <v>2025</v>
      </c>
      <c r="B2154" s="92" t="n">
        <v>10</v>
      </c>
      <c r="C2154" s="92" t="inlineStr">
        <is>
          <t>5100002150</t>
        </is>
      </c>
      <c r="D2154" s="95" t="n">
        <v>45944</v>
      </c>
      <c r="E2154" s="92" t="inlineStr">
        <is>
          <t>KR</t>
        </is>
      </c>
      <c r="F2154" s="92" t="n">
        <v>62301000</v>
      </c>
      <c r="G2154" s="92" t="n">
        <v>1701</v>
      </c>
      <c r="H2154" s="93" t="n">
        <v>285000</v>
      </c>
      <c r="I2154" s="92" t="inlineStr">
        <is>
          <t>10월 소모품 구입 - Q오피스</t>
        </is>
      </c>
      <c r="J2154" s="92" t="inlineStr">
        <is>
          <t>V10003</t>
        </is>
      </c>
      <c r="K2154" s="92" t="inlineStr">
        <is>
          <t>Q오피스</t>
        </is>
      </c>
      <c r="M2154" s="9">
        <f>IF($A2154="","",VALUE($A2154&amp;"")*12+VALUE($B2154&amp;""))</f>
        <v/>
      </c>
      <c r="N2154" s="64">
        <f>IF($A2154="","",IFERROR(INDEX(부서매핑!$C$5:$C$504,MATCH($G2154&amp;"",부서매핑!$A$5:$A$504,0)),"미매핑"))</f>
        <v/>
      </c>
      <c r="O2154" s="9">
        <f>IF($A2154="","",N2154&amp;"|"&amp;$F2154)</f>
        <v/>
      </c>
      <c r="P2154" s="94">
        <f>IF($A2154="",0,$H2154*설정!$C$23)</f>
        <v/>
      </c>
      <c r="Q2154" s="64">
        <f>IF($A2154="","",IF(O2154&lt;&gt;원인분석!$C$9,"",IF(AND(M2154&gt;=원인분석!$C$10,M2154&lt;=원인분석!$C$11),"당기",IF(AND(M2154&gt;=원인분석!$C$12,M2154&lt;=원인분석!$C$13),"비교",""))))</f>
        <v/>
      </c>
      <c r="R2154" s="9">
        <f>IF(Q2154="","",$K2154&amp;"")</f>
        <v/>
      </c>
      <c r="S2154" s="9">
        <f>IF(Q2154="","",IF(MATCH(R2154,$R$5:$R$100000,0)=ROW()-4,ROW(),""))</f>
        <v/>
      </c>
      <c r="T2154" s="9">
        <f>IF(Q2154="당기",ABS(P2154)+ROW()/1000000000,"")</f>
        <v/>
      </c>
      <c r="U2154" s="9">
        <f>IF(Q2154="비교",ABS(P2154)+ROW()/1000000000,"")</f>
        <v/>
      </c>
      <c r="V2154" s="64">
        <f>IF($A2154="","",IF(COUNTIF(변동분석!$E$7:$E$506,O2154)&gt;0,"Y","N"))</f>
        <v/>
      </c>
      <c r="W2154" s="64">
        <f>IF($A2154="","",IFERROR(INDEX(계정매핑!$D$5:$D$504,MATCH($F2154&amp;"",계정매핑!$A$5:$A$504,0)),"미매핑"))</f>
        <v/>
      </c>
      <c r="X2154" s="9">
        <f>IF($A2154="","",$F2154&amp;"")</f>
        <v/>
      </c>
      <c r="Y2154" s="94">
        <f>IF($A2154="",0,IF(AE2154="직접",IF(AF2154="비귀속",$P2154,0),$P2154*(1-AG2154)*IFERROR(INDEX(계정대체기준!$F$20:$F$49,MATCH($N2154,계정대체기준!$A$20:$A$49,0)),1)))</f>
        <v/>
      </c>
      <c r="Z2154" s="94">
        <f>IF($A2154="",0,IF(AE2154="직접",IF(AF2154="신계약비",$P2154,0),$P2154*(1-AG2154)*IFERROR(INDEX(계정대체기준!$C$20:$C$49,MATCH($N2154,계정대체기준!$A$20:$A$49,0)),0)))</f>
        <v/>
      </c>
      <c r="AA2154" s="94">
        <f>IF($A2154="",0,IF(AE2154="직접",IF(OR(AF2154="유지비",AF2154="손해조사비"),$P2154,0),$P2154*(1-AG2154)*IFERROR(INDEX(계정대체기준!$D$20:$D$49,MATCH($N2154,계정대체기준!$A$20:$A$49,0)),0)))</f>
        <v/>
      </c>
      <c r="AB2154" s="94">
        <f>IF($A2154="",0,IF(AE2154="직접",IF(AF2154="수금비",$P2154,0),$P2154*(1-AG2154)*IFERROR(INDEX(계정대체기준!$E$20:$E$49,MATCH($N2154,계정대체기준!$A$20:$A$49,0)),0)))</f>
        <v/>
      </c>
      <c r="AC2154" s="9">
        <f>IF(AND($A2154&lt;&gt;"",M2154=설정!$C$20,Z2154&gt;0),Z2154+ROW()/1000000000,"")</f>
        <v/>
      </c>
      <c r="AD2154" s="94">
        <f>IF($A2154="",0,$P2154*AG2154)</f>
        <v/>
      </c>
      <c r="AE2154" s="64">
        <f>IF($A2154="","",IFERROR(INDEX(계정매핑!$E$5:$E$504,MATCH($F2154&amp;"",계정매핑!$A$5:$A$504,0))&amp;"","공통비"))</f>
        <v/>
      </c>
      <c r="AF2154" s="64">
        <f>IF($A2154="","",IF(AE2154="직접",IFERROR(INDEX(계정매핑!$F$5:$F$504,MATCH($F2154&amp;"",계정매핑!$A$5:$A$504,0))&amp;"","비귀속"),""))</f>
        <v/>
      </c>
      <c r="AG2154" s="96">
        <f>IF($A2154="",0,IF(AND(AE2154&lt;&gt;"직접",IFERROR(INDEX(계정매핑!$G$5:$G$504,MATCH($F2154&amp;"",계정매핑!$A$5:$A$504,0))&amp;"","")="유지비",COUNTIF(계정대체기준!$A$6:$A$15,$N2154)&gt;0),IFERROR(INDEX(계정대체기준!$E$6:$E$15,MATCH(VALUE($A2154&amp;""),계정대체기준!$D$6:$D$15,0)),0),0))</f>
        <v/>
      </c>
      <c r="AH2154" s="64">
        <f>IF($A2154="","",IF(AD2154=0,"",IF(OR(COUNTIF(계정대체기준!$A$77:$A$86,$N2154)&gt;0,ISNUMBER(MATCH($X2154,계정대체기준!$D$77:$D$86,0)),ISNUMBER(MATCH($F2154,계정대체기준!$D$77:$D$86,0))),"Y","N")))</f>
        <v/>
      </c>
    </row>
    <row r="2155">
      <c r="A2155" s="92" t="n">
        <v>2025</v>
      </c>
      <c r="B2155" s="92" t="n">
        <v>10</v>
      </c>
      <c r="C2155" s="92" t="inlineStr">
        <is>
          <t>5100002151</t>
        </is>
      </c>
      <c r="D2155" s="95" t="n">
        <v>45944</v>
      </c>
      <c r="E2155" s="92" t="inlineStr">
        <is>
          <t>KR</t>
        </is>
      </c>
      <c r="F2155" s="92" t="n">
        <v>62901000</v>
      </c>
      <c r="G2155" s="92" t="n">
        <v>1101</v>
      </c>
      <c r="H2155" s="93" t="n">
        <v>1869000</v>
      </c>
      <c r="I2155" s="92" t="inlineStr">
        <is>
          <t>10월 자문 수수료 - K회계법인</t>
        </is>
      </c>
      <c r="J2155" s="92" t="inlineStr">
        <is>
          <t>V10011</t>
        </is>
      </c>
      <c r="K2155" s="92" t="inlineStr">
        <is>
          <t>K회계법인</t>
        </is>
      </c>
      <c r="M2155" s="9">
        <f>IF($A2155="","",VALUE($A2155&amp;"")*12+VALUE($B2155&amp;""))</f>
        <v/>
      </c>
      <c r="N2155" s="64">
        <f>IF($A2155="","",IFERROR(INDEX(부서매핑!$C$5:$C$504,MATCH($G2155&amp;"",부서매핑!$A$5:$A$504,0)),"미매핑"))</f>
        <v/>
      </c>
      <c r="O2155" s="9">
        <f>IF($A2155="","",N2155&amp;"|"&amp;$F2155)</f>
        <v/>
      </c>
      <c r="P2155" s="94">
        <f>IF($A2155="",0,$H2155*설정!$C$23)</f>
        <v/>
      </c>
      <c r="Q2155" s="64">
        <f>IF($A2155="","",IF(O2155&lt;&gt;원인분석!$C$9,"",IF(AND(M2155&gt;=원인분석!$C$10,M2155&lt;=원인분석!$C$11),"당기",IF(AND(M2155&gt;=원인분석!$C$12,M2155&lt;=원인분석!$C$13),"비교",""))))</f>
        <v/>
      </c>
      <c r="R2155" s="9">
        <f>IF(Q2155="","",$K2155&amp;"")</f>
        <v/>
      </c>
      <c r="S2155" s="9">
        <f>IF(Q2155="","",IF(MATCH(R2155,$R$5:$R$100000,0)=ROW()-4,ROW(),""))</f>
        <v/>
      </c>
      <c r="T2155" s="9">
        <f>IF(Q2155="당기",ABS(P2155)+ROW()/1000000000,"")</f>
        <v/>
      </c>
      <c r="U2155" s="9">
        <f>IF(Q2155="비교",ABS(P2155)+ROW()/1000000000,"")</f>
        <v/>
      </c>
      <c r="V2155" s="64">
        <f>IF($A2155="","",IF(COUNTIF(변동분석!$E$7:$E$506,O2155)&gt;0,"Y","N"))</f>
        <v/>
      </c>
      <c r="W2155" s="64">
        <f>IF($A2155="","",IFERROR(INDEX(계정매핑!$D$5:$D$504,MATCH($F2155&amp;"",계정매핑!$A$5:$A$504,0)),"미매핑"))</f>
        <v/>
      </c>
      <c r="X2155" s="9">
        <f>IF($A2155="","",$F2155&amp;"")</f>
        <v/>
      </c>
      <c r="Y2155" s="94">
        <f>IF($A2155="",0,IF(AE2155="직접",IF(AF2155="비귀속",$P2155,0),$P2155*(1-AG2155)*IFERROR(INDEX(계정대체기준!$F$20:$F$49,MATCH($N2155,계정대체기준!$A$20:$A$49,0)),1)))</f>
        <v/>
      </c>
      <c r="Z2155" s="94">
        <f>IF($A2155="",0,IF(AE2155="직접",IF(AF2155="신계약비",$P2155,0),$P2155*(1-AG2155)*IFERROR(INDEX(계정대체기준!$C$20:$C$49,MATCH($N2155,계정대체기준!$A$20:$A$49,0)),0)))</f>
        <v/>
      </c>
      <c r="AA2155" s="94">
        <f>IF($A2155="",0,IF(AE2155="직접",IF(OR(AF2155="유지비",AF2155="손해조사비"),$P2155,0),$P2155*(1-AG2155)*IFERROR(INDEX(계정대체기준!$D$20:$D$49,MATCH($N2155,계정대체기준!$A$20:$A$49,0)),0)))</f>
        <v/>
      </c>
      <c r="AB2155" s="94">
        <f>IF($A2155="",0,IF(AE2155="직접",IF(AF2155="수금비",$P2155,0),$P2155*(1-AG2155)*IFERROR(INDEX(계정대체기준!$E$20:$E$49,MATCH($N2155,계정대체기준!$A$20:$A$49,0)),0)))</f>
        <v/>
      </c>
      <c r="AC2155" s="9">
        <f>IF(AND($A2155&lt;&gt;"",M2155=설정!$C$20,Z2155&gt;0),Z2155+ROW()/1000000000,"")</f>
        <v/>
      </c>
      <c r="AD2155" s="94">
        <f>IF($A2155="",0,$P2155*AG2155)</f>
        <v/>
      </c>
      <c r="AE2155" s="64">
        <f>IF($A2155="","",IFERROR(INDEX(계정매핑!$E$5:$E$504,MATCH($F2155&amp;"",계정매핑!$A$5:$A$504,0))&amp;"","공통비"))</f>
        <v/>
      </c>
      <c r="AF2155" s="64">
        <f>IF($A2155="","",IF(AE2155="직접",IFERROR(INDEX(계정매핑!$F$5:$F$504,MATCH($F2155&amp;"",계정매핑!$A$5:$A$504,0))&amp;"","비귀속"),""))</f>
        <v/>
      </c>
      <c r="AG2155" s="96">
        <f>IF($A2155="",0,IF(AND(AE2155&lt;&gt;"직접",IFERROR(INDEX(계정매핑!$G$5:$G$504,MATCH($F2155&amp;"",계정매핑!$A$5:$A$504,0))&amp;"","")="유지비",COUNTIF(계정대체기준!$A$6:$A$15,$N2155)&gt;0),IFERROR(INDEX(계정대체기준!$E$6:$E$15,MATCH(VALUE($A2155&amp;""),계정대체기준!$D$6:$D$15,0)),0),0))</f>
        <v/>
      </c>
      <c r="AH2155" s="64">
        <f>IF($A2155="","",IF(AD2155=0,"",IF(OR(COUNTIF(계정대체기준!$A$77:$A$86,$N2155)&gt;0,ISNUMBER(MATCH($X2155,계정대체기준!$D$77:$D$86,0)),ISNUMBER(MATCH($F2155,계정대체기준!$D$77:$D$86,0))),"Y","N")))</f>
        <v/>
      </c>
    </row>
    <row r="2156">
      <c r="A2156" s="92" t="n">
        <v>2025</v>
      </c>
      <c r="B2156" s="92" t="n">
        <v>10</v>
      </c>
      <c r="C2156" s="92" t="inlineStr">
        <is>
          <t>5100002152</t>
        </is>
      </c>
      <c r="D2156" s="95" t="n">
        <v>45944</v>
      </c>
      <c r="E2156" s="92" t="inlineStr">
        <is>
          <t>KR</t>
        </is>
      </c>
      <c r="F2156" s="92" t="n">
        <v>63502000</v>
      </c>
      <c r="G2156" s="92" t="n">
        <v>1901</v>
      </c>
      <c r="H2156" s="93" t="n">
        <v>92898000</v>
      </c>
      <c r="I2156" s="92" t="inlineStr">
        <is>
          <t>10월 유지수수료 - CC금융서비스</t>
        </is>
      </c>
      <c r="J2156" s="92" t="inlineStr">
        <is>
          <t>V10029</t>
        </is>
      </c>
      <c r="K2156" s="92" t="inlineStr">
        <is>
          <t>CC금융서비스</t>
        </is>
      </c>
      <c r="M2156" s="9">
        <f>IF($A2156="","",VALUE($A2156&amp;"")*12+VALUE($B2156&amp;""))</f>
        <v/>
      </c>
      <c r="N2156" s="64">
        <f>IF($A2156="","",IFERROR(INDEX(부서매핑!$C$5:$C$504,MATCH($G2156&amp;"",부서매핑!$A$5:$A$504,0)),"미매핑"))</f>
        <v/>
      </c>
      <c r="O2156" s="9">
        <f>IF($A2156="","",N2156&amp;"|"&amp;$F2156)</f>
        <v/>
      </c>
      <c r="P2156" s="94">
        <f>IF($A2156="",0,$H2156*설정!$C$23)</f>
        <v/>
      </c>
      <c r="Q2156" s="64">
        <f>IF($A2156="","",IF(O2156&lt;&gt;원인분석!$C$9,"",IF(AND(M2156&gt;=원인분석!$C$10,M2156&lt;=원인분석!$C$11),"당기",IF(AND(M2156&gt;=원인분석!$C$12,M2156&lt;=원인분석!$C$13),"비교",""))))</f>
        <v/>
      </c>
      <c r="R2156" s="9">
        <f>IF(Q2156="","",$K2156&amp;"")</f>
        <v/>
      </c>
      <c r="S2156" s="9">
        <f>IF(Q2156="","",IF(MATCH(R2156,$R$5:$R$100000,0)=ROW()-4,ROW(),""))</f>
        <v/>
      </c>
      <c r="T2156" s="9">
        <f>IF(Q2156="당기",ABS(P2156)+ROW()/1000000000,"")</f>
        <v/>
      </c>
      <c r="U2156" s="9">
        <f>IF(Q2156="비교",ABS(P2156)+ROW()/1000000000,"")</f>
        <v/>
      </c>
      <c r="V2156" s="64">
        <f>IF($A2156="","",IF(COUNTIF(변동분석!$E$7:$E$506,O2156)&gt;0,"Y","N"))</f>
        <v/>
      </c>
      <c r="W2156" s="64">
        <f>IF($A2156="","",IFERROR(INDEX(계정매핑!$D$5:$D$504,MATCH($F2156&amp;"",계정매핑!$A$5:$A$504,0)),"미매핑"))</f>
        <v/>
      </c>
      <c r="X2156" s="9">
        <f>IF($A2156="","",$F2156&amp;"")</f>
        <v/>
      </c>
      <c r="Y2156" s="94">
        <f>IF($A2156="",0,IF(AE2156="직접",IF(AF2156="비귀속",$P2156,0),$P2156*(1-AG2156)*IFERROR(INDEX(계정대체기준!$F$20:$F$49,MATCH($N2156,계정대체기준!$A$20:$A$49,0)),1)))</f>
        <v/>
      </c>
      <c r="Z2156" s="94">
        <f>IF($A2156="",0,IF(AE2156="직접",IF(AF2156="신계약비",$P2156,0),$P2156*(1-AG2156)*IFERROR(INDEX(계정대체기준!$C$20:$C$49,MATCH($N2156,계정대체기준!$A$20:$A$49,0)),0)))</f>
        <v/>
      </c>
      <c r="AA2156" s="94">
        <f>IF($A2156="",0,IF(AE2156="직접",IF(OR(AF2156="유지비",AF2156="손해조사비"),$P2156,0),$P2156*(1-AG2156)*IFERROR(INDEX(계정대체기준!$D$20:$D$49,MATCH($N2156,계정대체기준!$A$20:$A$49,0)),0)))</f>
        <v/>
      </c>
      <c r="AB2156" s="94">
        <f>IF($A2156="",0,IF(AE2156="직접",IF(AF2156="수금비",$P2156,0),$P2156*(1-AG2156)*IFERROR(INDEX(계정대체기준!$E$20:$E$49,MATCH($N2156,계정대체기준!$A$20:$A$49,0)),0)))</f>
        <v/>
      </c>
      <c r="AC2156" s="9">
        <f>IF(AND($A2156&lt;&gt;"",M2156=설정!$C$20,Z2156&gt;0),Z2156+ROW()/1000000000,"")</f>
        <v/>
      </c>
      <c r="AD2156" s="94">
        <f>IF($A2156="",0,$P2156*AG2156)</f>
        <v/>
      </c>
      <c r="AE2156" s="64">
        <f>IF($A2156="","",IFERROR(INDEX(계정매핑!$E$5:$E$504,MATCH($F2156&amp;"",계정매핑!$A$5:$A$504,0))&amp;"","공통비"))</f>
        <v/>
      </c>
      <c r="AF2156" s="64">
        <f>IF($A2156="","",IF(AE2156="직접",IFERROR(INDEX(계정매핑!$F$5:$F$504,MATCH($F2156&amp;"",계정매핑!$A$5:$A$504,0))&amp;"","비귀속"),""))</f>
        <v/>
      </c>
      <c r="AG2156" s="96">
        <f>IF($A2156="",0,IF(AND(AE2156&lt;&gt;"직접",IFERROR(INDEX(계정매핑!$G$5:$G$504,MATCH($F2156&amp;"",계정매핑!$A$5:$A$504,0))&amp;"","")="유지비",COUNTIF(계정대체기준!$A$6:$A$15,$N2156)&gt;0),IFERROR(INDEX(계정대체기준!$E$6:$E$15,MATCH(VALUE($A2156&amp;""),계정대체기준!$D$6:$D$15,0)),0),0))</f>
        <v/>
      </c>
      <c r="AH2156" s="64">
        <f>IF($A2156="","",IF(AD2156=0,"",IF(OR(COUNTIF(계정대체기준!$A$77:$A$86,$N2156)&gt;0,ISNUMBER(MATCH($X2156,계정대체기준!$D$77:$D$86,0)),ISNUMBER(MATCH($F2156,계정대체기준!$D$77:$D$86,0))),"Y","N")))</f>
        <v/>
      </c>
    </row>
    <row r="2157">
      <c r="A2157" s="92" t="n">
        <v>2025</v>
      </c>
      <c r="B2157" s="92" t="n">
        <v>10</v>
      </c>
      <c r="C2157" s="92" t="inlineStr">
        <is>
          <t>5100002153</t>
        </is>
      </c>
      <c r="D2157" s="95" t="n">
        <v>45944</v>
      </c>
      <c r="E2157" s="92" t="inlineStr">
        <is>
          <t>KR</t>
        </is>
      </c>
      <c r="F2157" s="92" t="n">
        <v>63502000</v>
      </c>
      <c r="G2157" s="92" t="n">
        <v>1902</v>
      </c>
      <c r="H2157" s="93" t="n">
        <v>142378000</v>
      </c>
      <c r="I2157" s="92" t="inlineStr">
        <is>
          <t>10월 유지수수료 - (전속설계사)</t>
        </is>
      </c>
      <c r="J2157" s="92" t="inlineStr">
        <is>
          <t>V10021</t>
        </is>
      </c>
      <c r="K2157" s="92" t="inlineStr">
        <is>
          <t>(전속설계사)</t>
        </is>
      </c>
      <c r="M2157" s="9">
        <f>IF($A2157="","",VALUE($A2157&amp;"")*12+VALUE($B2157&amp;""))</f>
        <v/>
      </c>
      <c r="N2157" s="64">
        <f>IF($A2157="","",IFERROR(INDEX(부서매핑!$C$5:$C$504,MATCH($G2157&amp;"",부서매핑!$A$5:$A$504,0)),"미매핑"))</f>
        <v/>
      </c>
      <c r="O2157" s="9">
        <f>IF($A2157="","",N2157&amp;"|"&amp;$F2157)</f>
        <v/>
      </c>
      <c r="P2157" s="94">
        <f>IF($A2157="",0,$H2157*설정!$C$23)</f>
        <v/>
      </c>
      <c r="Q2157" s="64">
        <f>IF($A2157="","",IF(O2157&lt;&gt;원인분석!$C$9,"",IF(AND(M2157&gt;=원인분석!$C$10,M2157&lt;=원인분석!$C$11),"당기",IF(AND(M2157&gt;=원인분석!$C$12,M2157&lt;=원인분석!$C$13),"비교",""))))</f>
        <v/>
      </c>
      <c r="R2157" s="9">
        <f>IF(Q2157="","",$K2157&amp;"")</f>
        <v/>
      </c>
      <c r="S2157" s="9">
        <f>IF(Q2157="","",IF(MATCH(R2157,$R$5:$R$100000,0)=ROW()-4,ROW(),""))</f>
        <v/>
      </c>
      <c r="T2157" s="9">
        <f>IF(Q2157="당기",ABS(P2157)+ROW()/1000000000,"")</f>
        <v/>
      </c>
      <c r="U2157" s="9">
        <f>IF(Q2157="비교",ABS(P2157)+ROW()/1000000000,"")</f>
        <v/>
      </c>
      <c r="V2157" s="64">
        <f>IF($A2157="","",IF(COUNTIF(변동분석!$E$7:$E$506,O2157)&gt;0,"Y","N"))</f>
        <v/>
      </c>
      <c r="W2157" s="64">
        <f>IF($A2157="","",IFERROR(INDEX(계정매핑!$D$5:$D$504,MATCH($F2157&amp;"",계정매핑!$A$5:$A$504,0)),"미매핑"))</f>
        <v/>
      </c>
      <c r="X2157" s="9">
        <f>IF($A2157="","",$F2157&amp;"")</f>
        <v/>
      </c>
      <c r="Y2157" s="94">
        <f>IF($A2157="",0,IF(AE2157="직접",IF(AF2157="비귀속",$P2157,0),$P2157*(1-AG2157)*IFERROR(INDEX(계정대체기준!$F$20:$F$49,MATCH($N2157,계정대체기준!$A$20:$A$49,0)),1)))</f>
        <v/>
      </c>
      <c r="Z2157" s="94">
        <f>IF($A2157="",0,IF(AE2157="직접",IF(AF2157="신계약비",$P2157,0),$P2157*(1-AG2157)*IFERROR(INDEX(계정대체기준!$C$20:$C$49,MATCH($N2157,계정대체기준!$A$20:$A$49,0)),0)))</f>
        <v/>
      </c>
      <c r="AA2157" s="94">
        <f>IF($A2157="",0,IF(AE2157="직접",IF(OR(AF2157="유지비",AF2157="손해조사비"),$P2157,0),$P2157*(1-AG2157)*IFERROR(INDEX(계정대체기준!$D$20:$D$49,MATCH($N2157,계정대체기준!$A$20:$A$49,0)),0)))</f>
        <v/>
      </c>
      <c r="AB2157" s="94">
        <f>IF($A2157="",0,IF(AE2157="직접",IF(AF2157="수금비",$P2157,0),$P2157*(1-AG2157)*IFERROR(INDEX(계정대체기준!$E$20:$E$49,MATCH($N2157,계정대체기준!$A$20:$A$49,0)),0)))</f>
        <v/>
      </c>
      <c r="AC2157" s="9">
        <f>IF(AND($A2157&lt;&gt;"",M2157=설정!$C$20,Z2157&gt;0),Z2157+ROW()/1000000000,"")</f>
        <v/>
      </c>
      <c r="AD2157" s="94">
        <f>IF($A2157="",0,$P2157*AG2157)</f>
        <v/>
      </c>
      <c r="AE2157" s="64">
        <f>IF($A2157="","",IFERROR(INDEX(계정매핑!$E$5:$E$504,MATCH($F2157&amp;"",계정매핑!$A$5:$A$504,0))&amp;"","공통비"))</f>
        <v/>
      </c>
      <c r="AF2157" s="64">
        <f>IF($A2157="","",IF(AE2157="직접",IFERROR(INDEX(계정매핑!$F$5:$F$504,MATCH($F2157&amp;"",계정매핑!$A$5:$A$504,0))&amp;"","비귀속"),""))</f>
        <v/>
      </c>
      <c r="AG2157" s="96">
        <f>IF($A2157="",0,IF(AND(AE2157&lt;&gt;"직접",IFERROR(INDEX(계정매핑!$G$5:$G$504,MATCH($F2157&amp;"",계정매핑!$A$5:$A$504,0))&amp;"","")="유지비",COUNTIF(계정대체기준!$A$6:$A$15,$N2157)&gt;0),IFERROR(INDEX(계정대체기준!$E$6:$E$15,MATCH(VALUE($A2157&amp;""),계정대체기준!$D$6:$D$15,0)),0),0))</f>
        <v/>
      </c>
      <c r="AH2157" s="64">
        <f>IF($A2157="","",IF(AD2157=0,"",IF(OR(COUNTIF(계정대체기준!$A$77:$A$86,$N2157)&gt;0,ISNUMBER(MATCH($X2157,계정대체기준!$D$77:$D$86,0)),ISNUMBER(MATCH($F2157,계정대체기준!$D$77:$D$86,0))),"Y","N")))</f>
        <v/>
      </c>
    </row>
    <row r="2158">
      <c r="A2158" s="92" t="n">
        <v>2025</v>
      </c>
      <c r="B2158" s="92" t="n">
        <v>10</v>
      </c>
      <c r="C2158" s="92" t="inlineStr">
        <is>
          <t>5100002154</t>
        </is>
      </c>
      <c r="D2158" s="95" t="n">
        <v>45945</v>
      </c>
      <c r="E2158" s="92" t="inlineStr">
        <is>
          <t>KR</t>
        </is>
      </c>
      <c r="F2158" s="92" t="n">
        <v>62101000</v>
      </c>
      <c r="G2158" s="92" t="n">
        <v>1301</v>
      </c>
      <c r="H2158" s="93" t="n">
        <v>253000</v>
      </c>
      <c r="I2158" s="92" t="inlineStr">
        <is>
          <t>10월 국내출장 - M항공</t>
        </is>
      </c>
      <c r="J2158" s="92" t="inlineStr">
        <is>
          <t>V10001</t>
        </is>
      </c>
      <c r="K2158" s="92" t="inlineStr">
        <is>
          <t>M항공</t>
        </is>
      </c>
      <c r="M2158" s="9">
        <f>IF($A2158="","",VALUE($A2158&amp;"")*12+VALUE($B2158&amp;""))</f>
        <v/>
      </c>
      <c r="N2158" s="64">
        <f>IF($A2158="","",IFERROR(INDEX(부서매핑!$C$5:$C$504,MATCH($G2158&amp;"",부서매핑!$A$5:$A$504,0)),"미매핑"))</f>
        <v/>
      </c>
      <c r="O2158" s="9">
        <f>IF($A2158="","",N2158&amp;"|"&amp;$F2158)</f>
        <v/>
      </c>
      <c r="P2158" s="94">
        <f>IF($A2158="",0,$H2158*설정!$C$23)</f>
        <v/>
      </c>
      <c r="Q2158" s="64">
        <f>IF($A2158="","",IF(O2158&lt;&gt;원인분석!$C$9,"",IF(AND(M2158&gt;=원인분석!$C$10,M2158&lt;=원인분석!$C$11),"당기",IF(AND(M2158&gt;=원인분석!$C$12,M2158&lt;=원인분석!$C$13),"비교",""))))</f>
        <v/>
      </c>
      <c r="R2158" s="9">
        <f>IF(Q2158="","",$K2158&amp;"")</f>
        <v/>
      </c>
      <c r="S2158" s="9">
        <f>IF(Q2158="","",IF(MATCH(R2158,$R$5:$R$100000,0)=ROW()-4,ROW(),""))</f>
        <v/>
      </c>
      <c r="T2158" s="9">
        <f>IF(Q2158="당기",ABS(P2158)+ROW()/1000000000,"")</f>
        <v/>
      </c>
      <c r="U2158" s="9">
        <f>IF(Q2158="비교",ABS(P2158)+ROW()/1000000000,"")</f>
        <v/>
      </c>
      <c r="V2158" s="64">
        <f>IF($A2158="","",IF(COUNTIF(변동분석!$E$7:$E$506,O2158)&gt;0,"Y","N"))</f>
        <v/>
      </c>
      <c r="W2158" s="64">
        <f>IF($A2158="","",IFERROR(INDEX(계정매핑!$D$5:$D$504,MATCH($F2158&amp;"",계정매핑!$A$5:$A$504,0)),"미매핑"))</f>
        <v/>
      </c>
      <c r="X2158" s="9">
        <f>IF($A2158="","",$F2158&amp;"")</f>
        <v/>
      </c>
      <c r="Y2158" s="94">
        <f>IF($A2158="",0,IF(AE2158="직접",IF(AF2158="비귀속",$P2158,0),$P2158*(1-AG2158)*IFERROR(INDEX(계정대체기준!$F$20:$F$49,MATCH($N2158,계정대체기준!$A$20:$A$49,0)),1)))</f>
        <v/>
      </c>
      <c r="Z2158" s="94">
        <f>IF($A2158="",0,IF(AE2158="직접",IF(AF2158="신계약비",$P2158,0),$P2158*(1-AG2158)*IFERROR(INDEX(계정대체기준!$C$20:$C$49,MATCH($N2158,계정대체기준!$A$20:$A$49,0)),0)))</f>
        <v/>
      </c>
      <c r="AA2158" s="94">
        <f>IF($A2158="",0,IF(AE2158="직접",IF(OR(AF2158="유지비",AF2158="손해조사비"),$P2158,0),$P2158*(1-AG2158)*IFERROR(INDEX(계정대체기준!$D$20:$D$49,MATCH($N2158,계정대체기준!$A$20:$A$49,0)),0)))</f>
        <v/>
      </c>
      <c r="AB2158" s="94">
        <f>IF($A2158="",0,IF(AE2158="직접",IF(AF2158="수금비",$P2158,0),$P2158*(1-AG2158)*IFERROR(INDEX(계정대체기준!$E$20:$E$49,MATCH($N2158,계정대체기준!$A$20:$A$49,0)),0)))</f>
        <v/>
      </c>
      <c r="AC2158" s="9">
        <f>IF(AND($A2158&lt;&gt;"",M2158=설정!$C$20,Z2158&gt;0),Z2158+ROW()/1000000000,"")</f>
        <v/>
      </c>
      <c r="AD2158" s="94">
        <f>IF($A2158="",0,$P2158*AG2158)</f>
        <v/>
      </c>
      <c r="AE2158" s="64">
        <f>IF($A2158="","",IFERROR(INDEX(계정매핑!$E$5:$E$504,MATCH($F2158&amp;"",계정매핑!$A$5:$A$504,0))&amp;"","공통비"))</f>
        <v/>
      </c>
      <c r="AF2158" s="64">
        <f>IF($A2158="","",IF(AE2158="직접",IFERROR(INDEX(계정매핑!$F$5:$F$504,MATCH($F2158&amp;"",계정매핑!$A$5:$A$504,0))&amp;"","비귀속"),""))</f>
        <v/>
      </c>
      <c r="AG2158" s="96">
        <f>IF($A2158="",0,IF(AND(AE2158&lt;&gt;"직접",IFERROR(INDEX(계정매핑!$G$5:$G$504,MATCH($F2158&amp;"",계정매핑!$A$5:$A$504,0))&amp;"","")="유지비",COUNTIF(계정대체기준!$A$6:$A$15,$N2158)&gt;0),IFERROR(INDEX(계정대체기준!$E$6:$E$15,MATCH(VALUE($A2158&amp;""),계정대체기준!$D$6:$D$15,0)),0),0))</f>
        <v/>
      </c>
      <c r="AH2158" s="64">
        <f>IF($A2158="","",IF(AD2158=0,"",IF(OR(COUNTIF(계정대체기준!$A$77:$A$86,$N2158)&gt;0,ISNUMBER(MATCH($X2158,계정대체기준!$D$77:$D$86,0)),ISNUMBER(MATCH($F2158,계정대체기준!$D$77:$D$86,0))),"Y","N")))</f>
        <v/>
      </c>
    </row>
    <row r="2159">
      <c r="A2159" s="92" t="n">
        <v>2025</v>
      </c>
      <c r="B2159" s="92" t="n">
        <v>10</v>
      </c>
      <c r="C2159" s="92" t="inlineStr">
        <is>
          <t>5100002155</t>
        </is>
      </c>
      <c r="D2159" s="95" t="n">
        <v>45945</v>
      </c>
      <c r="E2159" s="92" t="inlineStr">
        <is>
          <t>KR</t>
        </is>
      </c>
      <c r="F2159" s="92" t="n">
        <v>62102000</v>
      </c>
      <c r="G2159" s="92" t="n">
        <v>1602</v>
      </c>
      <c r="H2159" s="93" t="n">
        <v>364000</v>
      </c>
      <c r="I2159" s="92" t="inlineStr">
        <is>
          <t>10월 해외출장 - N호텔</t>
        </is>
      </c>
      <c r="J2159" s="92" t="inlineStr">
        <is>
          <t>V10009</t>
        </is>
      </c>
      <c r="K2159" s="92" t="inlineStr">
        <is>
          <t>N호텔</t>
        </is>
      </c>
      <c r="M2159" s="9">
        <f>IF($A2159="","",VALUE($A2159&amp;"")*12+VALUE($B2159&amp;""))</f>
        <v/>
      </c>
      <c r="N2159" s="64">
        <f>IF($A2159="","",IFERROR(INDEX(부서매핑!$C$5:$C$504,MATCH($G2159&amp;"",부서매핑!$A$5:$A$504,0)),"미매핑"))</f>
        <v/>
      </c>
      <c r="O2159" s="9">
        <f>IF($A2159="","",N2159&amp;"|"&amp;$F2159)</f>
        <v/>
      </c>
      <c r="P2159" s="94">
        <f>IF($A2159="",0,$H2159*설정!$C$23)</f>
        <v/>
      </c>
      <c r="Q2159" s="64">
        <f>IF($A2159="","",IF(O2159&lt;&gt;원인분석!$C$9,"",IF(AND(M2159&gt;=원인분석!$C$10,M2159&lt;=원인분석!$C$11),"당기",IF(AND(M2159&gt;=원인분석!$C$12,M2159&lt;=원인분석!$C$13),"비교",""))))</f>
        <v/>
      </c>
      <c r="R2159" s="9">
        <f>IF(Q2159="","",$K2159&amp;"")</f>
        <v/>
      </c>
      <c r="S2159" s="9">
        <f>IF(Q2159="","",IF(MATCH(R2159,$R$5:$R$100000,0)=ROW()-4,ROW(),""))</f>
        <v/>
      </c>
      <c r="T2159" s="9">
        <f>IF(Q2159="당기",ABS(P2159)+ROW()/1000000000,"")</f>
        <v/>
      </c>
      <c r="U2159" s="9">
        <f>IF(Q2159="비교",ABS(P2159)+ROW()/1000000000,"")</f>
        <v/>
      </c>
      <c r="V2159" s="64">
        <f>IF($A2159="","",IF(COUNTIF(변동분석!$E$7:$E$506,O2159)&gt;0,"Y","N"))</f>
        <v/>
      </c>
      <c r="W2159" s="64">
        <f>IF($A2159="","",IFERROR(INDEX(계정매핑!$D$5:$D$504,MATCH($F2159&amp;"",계정매핑!$A$5:$A$504,0)),"미매핑"))</f>
        <v/>
      </c>
      <c r="X2159" s="9">
        <f>IF($A2159="","",$F2159&amp;"")</f>
        <v/>
      </c>
      <c r="Y2159" s="94">
        <f>IF($A2159="",0,IF(AE2159="직접",IF(AF2159="비귀속",$P2159,0),$P2159*(1-AG2159)*IFERROR(INDEX(계정대체기준!$F$20:$F$49,MATCH($N2159,계정대체기준!$A$20:$A$49,0)),1)))</f>
        <v/>
      </c>
      <c r="Z2159" s="94">
        <f>IF($A2159="",0,IF(AE2159="직접",IF(AF2159="신계약비",$P2159,0),$P2159*(1-AG2159)*IFERROR(INDEX(계정대체기준!$C$20:$C$49,MATCH($N2159,계정대체기준!$A$20:$A$49,0)),0)))</f>
        <v/>
      </c>
      <c r="AA2159" s="94">
        <f>IF($A2159="",0,IF(AE2159="직접",IF(OR(AF2159="유지비",AF2159="손해조사비"),$P2159,0),$P2159*(1-AG2159)*IFERROR(INDEX(계정대체기준!$D$20:$D$49,MATCH($N2159,계정대체기준!$A$20:$A$49,0)),0)))</f>
        <v/>
      </c>
      <c r="AB2159" s="94">
        <f>IF($A2159="",0,IF(AE2159="직접",IF(AF2159="수금비",$P2159,0),$P2159*(1-AG2159)*IFERROR(INDEX(계정대체기준!$E$20:$E$49,MATCH($N2159,계정대체기준!$A$20:$A$49,0)),0)))</f>
        <v/>
      </c>
      <c r="AC2159" s="9">
        <f>IF(AND($A2159&lt;&gt;"",M2159=설정!$C$20,Z2159&gt;0),Z2159+ROW()/1000000000,"")</f>
        <v/>
      </c>
      <c r="AD2159" s="94">
        <f>IF($A2159="",0,$P2159*AG2159)</f>
        <v/>
      </c>
      <c r="AE2159" s="64">
        <f>IF($A2159="","",IFERROR(INDEX(계정매핑!$E$5:$E$504,MATCH($F2159&amp;"",계정매핑!$A$5:$A$504,0))&amp;"","공통비"))</f>
        <v/>
      </c>
      <c r="AF2159" s="64">
        <f>IF($A2159="","",IF(AE2159="직접",IFERROR(INDEX(계정매핑!$F$5:$F$504,MATCH($F2159&amp;"",계정매핑!$A$5:$A$504,0))&amp;"","비귀속"),""))</f>
        <v/>
      </c>
      <c r="AG2159" s="96">
        <f>IF($A2159="",0,IF(AND(AE2159&lt;&gt;"직접",IFERROR(INDEX(계정매핑!$G$5:$G$504,MATCH($F2159&amp;"",계정매핑!$A$5:$A$504,0))&amp;"","")="유지비",COUNTIF(계정대체기준!$A$6:$A$15,$N2159)&gt;0),IFERROR(INDEX(계정대체기준!$E$6:$E$15,MATCH(VALUE($A2159&amp;""),계정대체기준!$D$6:$D$15,0)),0),0))</f>
        <v/>
      </c>
      <c r="AH2159" s="64">
        <f>IF($A2159="","",IF(AD2159=0,"",IF(OR(COUNTIF(계정대체기준!$A$77:$A$86,$N2159)&gt;0,ISNUMBER(MATCH($X2159,계정대체기준!$D$77:$D$86,0)),ISNUMBER(MATCH($F2159,계정대체기준!$D$77:$D$86,0))),"Y","N")))</f>
        <v/>
      </c>
    </row>
    <row r="2160">
      <c r="A2160" s="92" t="n">
        <v>2025</v>
      </c>
      <c r="B2160" s="92" t="n">
        <v>10</v>
      </c>
      <c r="C2160" s="92" t="inlineStr">
        <is>
          <t>5100002156</t>
        </is>
      </c>
      <c r="D2160" s="95" t="n">
        <v>45945</v>
      </c>
      <c r="E2160" s="92" t="inlineStr">
        <is>
          <t>KR</t>
        </is>
      </c>
      <c r="F2160" s="92" t="n">
        <v>62201000</v>
      </c>
      <c r="G2160" s="92" t="n">
        <v>1301</v>
      </c>
      <c r="H2160" s="93" t="n">
        <v>133000</v>
      </c>
      <c r="I2160" s="92" t="inlineStr">
        <is>
          <t>10월 통신요금 - P통신</t>
        </is>
      </c>
      <c r="J2160" s="92" t="inlineStr">
        <is>
          <t>V10014</t>
        </is>
      </c>
      <c r="K2160" s="92" t="inlineStr">
        <is>
          <t>P통신</t>
        </is>
      </c>
      <c r="M2160" s="9">
        <f>IF($A2160="","",VALUE($A2160&amp;"")*12+VALUE($B2160&amp;""))</f>
        <v/>
      </c>
      <c r="N2160" s="64">
        <f>IF($A2160="","",IFERROR(INDEX(부서매핑!$C$5:$C$504,MATCH($G2160&amp;"",부서매핑!$A$5:$A$504,0)),"미매핑"))</f>
        <v/>
      </c>
      <c r="O2160" s="9">
        <f>IF($A2160="","",N2160&amp;"|"&amp;$F2160)</f>
        <v/>
      </c>
      <c r="P2160" s="94">
        <f>IF($A2160="",0,$H2160*설정!$C$23)</f>
        <v/>
      </c>
      <c r="Q2160" s="64">
        <f>IF($A2160="","",IF(O2160&lt;&gt;원인분석!$C$9,"",IF(AND(M2160&gt;=원인분석!$C$10,M2160&lt;=원인분석!$C$11),"당기",IF(AND(M2160&gt;=원인분석!$C$12,M2160&lt;=원인분석!$C$13),"비교",""))))</f>
        <v/>
      </c>
      <c r="R2160" s="9">
        <f>IF(Q2160="","",$K2160&amp;"")</f>
        <v/>
      </c>
      <c r="S2160" s="9">
        <f>IF(Q2160="","",IF(MATCH(R2160,$R$5:$R$100000,0)=ROW()-4,ROW(),""))</f>
        <v/>
      </c>
      <c r="T2160" s="9">
        <f>IF(Q2160="당기",ABS(P2160)+ROW()/1000000000,"")</f>
        <v/>
      </c>
      <c r="U2160" s="9">
        <f>IF(Q2160="비교",ABS(P2160)+ROW()/1000000000,"")</f>
        <v/>
      </c>
      <c r="V2160" s="64">
        <f>IF($A2160="","",IF(COUNTIF(변동분석!$E$7:$E$506,O2160)&gt;0,"Y","N"))</f>
        <v/>
      </c>
      <c r="W2160" s="64">
        <f>IF($A2160="","",IFERROR(INDEX(계정매핑!$D$5:$D$504,MATCH($F2160&amp;"",계정매핑!$A$5:$A$504,0)),"미매핑"))</f>
        <v/>
      </c>
      <c r="X2160" s="9">
        <f>IF($A2160="","",$F2160&amp;"")</f>
        <v/>
      </c>
      <c r="Y2160" s="94">
        <f>IF($A2160="",0,IF(AE2160="직접",IF(AF2160="비귀속",$P2160,0),$P2160*(1-AG2160)*IFERROR(INDEX(계정대체기준!$F$20:$F$49,MATCH($N2160,계정대체기준!$A$20:$A$49,0)),1)))</f>
        <v/>
      </c>
      <c r="Z2160" s="94">
        <f>IF($A2160="",0,IF(AE2160="직접",IF(AF2160="신계약비",$P2160,0),$P2160*(1-AG2160)*IFERROR(INDEX(계정대체기준!$C$20:$C$49,MATCH($N2160,계정대체기준!$A$20:$A$49,0)),0)))</f>
        <v/>
      </c>
      <c r="AA2160" s="94">
        <f>IF($A2160="",0,IF(AE2160="직접",IF(OR(AF2160="유지비",AF2160="손해조사비"),$P2160,0),$P2160*(1-AG2160)*IFERROR(INDEX(계정대체기준!$D$20:$D$49,MATCH($N2160,계정대체기준!$A$20:$A$49,0)),0)))</f>
        <v/>
      </c>
      <c r="AB2160" s="94">
        <f>IF($A2160="",0,IF(AE2160="직접",IF(AF2160="수금비",$P2160,0),$P2160*(1-AG2160)*IFERROR(INDEX(계정대체기준!$E$20:$E$49,MATCH($N2160,계정대체기준!$A$20:$A$49,0)),0)))</f>
        <v/>
      </c>
      <c r="AC2160" s="9">
        <f>IF(AND($A2160&lt;&gt;"",M2160=설정!$C$20,Z2160&gt;0),Z2160+ROW()/1000000000,"")</f>
        <v/>
      </c>
      <c r="AD2160" s="94">
        <f>IF($A2160="",0,$P2160*AG2160)</f>
        <v/>
      </c>
      <c r="AE2160" s="64">
        <f>IF($A2160="","",IFERROR(INDEX(계정매핑!$E$5:$E$504,MATCH($F2160&amp;"",계정매핑!$A$5:$A$504,0))&amp;"","공통비"))</f>
        <v/>
      </c>
      <c r="AF2160" s="64">
        <f>IF($A2160="","",IF(AE2160="직접",IFERROR(INDEX(계정매핑!$F$5:$F$504,MATCH($F2160&amp;"",계정매핑!$A$5:$A$504,0))&amp;"","비귀속"),""))</f>
        <v/>
      </c>
      <c r="AG2160" s="96">
        <f>IF($A2160="",0,IF(AND(AE2160&lt;&gt;"직접",IFERROR(INDEX(계정매핑!$G$5:$G$504,MATCH($F2160&amp;"",계정매핑!$A$5:$A$504,0))&amp;"","")="유지비",COUNTIF(계정대체기준!$A$6:$A$15,$N2160)&gt;0),IFERROR(INDEX(계정대체기준!$E$6:$E$15,MATCH(VALUE($A2160&amp;""),계정대체기준!$D$6:$D$15,0)),0),0))</f>
        <v/>
      </c>
      <c r="AH2160" s="64">
        <f>IF($A2160="","",IF(AD2160=0,"",IF(OR(COUNTIF(계정대체기준!$A$77:$A$86,$N2160)&gt;0,ISNUMBER(MATCH($X2160,계정대체기준!$D$77:$D$86,0)),ISNUMBER(MATCH($F2160,계정대체기준!$D$77:$D$86,0))),"Y","N")))</f>
        <v/>
      </c>
    </row>
    <row r="2161">
      <c r="A2161" s="92" t="n">
        <v>2025</v>
      </c>
      <c r="B2161" s="92" t="n">
        <v>10</v>
      </c>
      <c r="C2161" s="92" t="inlineStr">
        <is>
          <t>5100002157</t>
        </is>
      </c>
      <c r="D2161" s="95" t="n">
        <v>45945</v>
      </c>
      <c r="E2161" s="92" t="inlineStr">
        <is>
          <t>KR</t>
        </is>
      </c>
      <c r="F2161" s="92" t="n">
        <v>62201000</v>
      </c>
      <c r="G2161" s="92" t="n">
        <v>1502</v>
      </c>
      <c r="H2161" s="93" t="n">
        <v>309000</v>
      </c>
      <c r="I2161" s="92" t="inlineStr">
        <is>
          <t>10월 통신요금 - P통신</t>
        </is>
      </c>
      <c r="J2161" s="92" t="inlineStr">
        <is>
          <t>V10014</t>
        </is>
      </c>
      <c r="K2161" s="92" t="inlineStr">
        <is>
          <t>P통신</t>
        </is>
      </c>
      <c r="M2161" s="9">
        <f>IF($A2161="","",VALUE($A2161&amp;"")*12+VALUE($B2161&amp;""))</f>
        <v/>
      </c>
      <c r="N2161" s="64">
        <f>IF($A2161="","",IFERROR(INDEX(부서매핑!$C$5:$C$504,MATCH($G2161&amp;"",부서매핑!$A$5:$A$504,0)),"미매핑"))</f>
        <v/>
      </c>
      <c r="O2161" s="9">
        <f>IF($A2161="","",N2161&amp;"|"&amp;$F2161)</f>
        <v/>
      </c>
      <c r="P2161" s="94">
        <f>IF($A2161="",0,$H2161*설정!$C$23)</f>
        <v/>
      </c>
      <c r="Q2161" s="64">
        <f>IF($A2161="","",IF(O2161&lt;&gt;원인분석!$C$9,"",IF(AND(M2161&gt;=원인분석!$C$10,M2161&lt;=원인분석!$C$11),"당기",IF(AND(M2161&gt;=원인분석!$C$12,M2161&lt;=원인분석!$C$13),"비교",""))))</f>
        <v/>
      </c>
      <c r="R2161" s="9">
        <f>IF(Q2161="","",$K2161&amp;"")</f>
        <v/>
      </c>
      <c r="S2161" s="9">
        <f>IF(Q2161="","",IF(MATCH(R2161,$R$5:$R$100000,0)=ROW()-4,ROW(),""))</f>
        <v/>
      </c>
      <c r="T2161" s="9">
        <f>IF(Q2161="당기",ABS(P2161)+ROW()/1000000000,"")</f>
        <v/>
      </c>
      <c r="U2161" s="9">
        <f>IF(Q2161="비교",ABS(P2161)+ROW()/1000000000,"")</f>
        <v/>
      </c>
      <c r="V2161" s="64">
        <f>IF($A2161="","",IF(COUNTIF(변동분석!$E$7:$E$506,O2161)&gt;0,"Y","N"))</f>
        <v/>
      </c>
      <c r="W2161" s="64">
        <f>IF($A2161="","",IFERROR(INDEX(계정매핑!$D$5:$D$504,MATCH($F2161&amp;"",계정매핑!$A$5:$A$504,0)),"미매핑"))</f>
        <v/>
      </c>
      <c r="X2161" s="9">
        <f>IF($A2161="","",$F2161&amp;"")</f>
        <v/>
      </c>
      <c r="Y2161" s="94">
        <f>IF($A2161="",0,IF(AE2161="직접",IF(AF2161="비귀속",$P2161,0),$P2161*(1-AG2161)*IFERROR(INDEX(계정대체기준!$F$20:$F$49,MATCH($N2161,계정대체기준!$A$20:$A$49,0)),1)))</f>
        <v/>
      </c>
      <c r="Z2161" s="94">
        <f>IF($A2161="",0,IF(AE2161="직접",IF(AF2161="신계약비",$P2161,0),$P2161*(1-AG2161)*IFERROR(INDEX(계정대체기준!$C$20:$C$49,MATCH($N2161,계정대체기준!$A$20:$A$49,0)),0)))</f>
        <v/>
      </c>
      <c r="AA2161" s="94">
        <f>IF($A2161="",0,IF(AE2161="직접",IF(OR(AF2161="유지비",AF2161="손해조사비"),$P2161,0),$P2161*(1-AG2161)*IFERROR(INDEX(계정대체기준!$D$20:$D$49,MATCH($N2161,계정대체기준!$A$20:$A$49,0)),0)))</f>
        <v/>
      </c>
      <c r="AB2161" s="94">
        <f>IF($A2161="",0,IF(AE2161="직접",IF(AF2161="수금비",$P2161,0),$P2161*(1-AG2161)*IFERROR(INDEX(계정대체기준!$E$20:$E$49,MATCH($N2161,계정대체기준!$A$20:$A$49,0)),0)))</f>
        <v/>
      </c>
      <c r="AC2161" s="9">
        <f>IF(AND($A2161&lt;&gt;"",M2161=설정!$C$20,Z2161&gt;0),Z2161+ROW()/1000000000,"")</f>
        <v/>
      </c>
      <c r="AD2161" s="94">
        <f>IF($A2161="",0,$P2161*AG2161)</f>
        <v/>
      </c>
      <c r="AE2161" s="64">
        <f>IF($A2161="","",IFERROR(INDEX(계정매핑!$E$5:$E$504,MATCH($F2161&amp;"",계정매핑!$A$5:$A$504,0))&amp;"","공통비"))</f>
        <v/>
      </c>
      <c r="AF2161" s="64">
        <f>IF($A2161="","",IF(AE2161="직접",IFERROR(INDEX(계정매핑!$F$5:$F$504,MATCH($F2161&amp;"",계정매핑!$A$5:$A$504,0))&amp;"","비귀속"),""))</f>
        <v/>
      </c>
      <c r="AG2161" s="96">
        <f>IF($A2161="",0,IF(AND(AE2161&lt;&gt;"직접",IFERROR(INDEX(계정매핑!$G$5:$G$504,MATCH($F2161&amp;"",계정매핑!$A$5:$A$504,0))&amp;"","")="유지비",COUNTIF(계정대체기준!$A$6:$A$15,$N2161)&gt;0),IFERROR(INDEX(계정대체기준!$E$6:$E$15,MATCH(VALUE($A2161&amp;""),계정대체기준!$D$6:$D$15,0)),0),0))</f>
        <v/>
      </c>
      <c r="AH2161" s="64">
        <f>IF($A2161="","",IF(AD2161=0,"",IF(OR(COUNTIF(계정대체기준!$A$77:$A$86,$N2161)&gt;0,ISNUMBER(MATCH($X2161,계정대체기준!$D$77:$D$86,0)),ISNUMBER(MATCH($F2161,계정대체기준!$D$77:$D$86,0))),"Y","N")))</f>
        <v/>
      </c>
    </row>
    <row r="2162">
      <c r="A2162" s="92" t="n">
        <v>2025</v>
      </c>
      <c r="B2162" s="92" t="n">
        <v>10</v>
      </c>
      <c r="C2162" s="92" t="inlineStr">
        <is>
          <t>5100002158</t>
        </is>
      </c>
      <c r="D2162" s="95" t="n">
        <v>45945</v>
      </c>
      <c r="E2162" s="92" t="inlineStr">
        <is>
          <t>KR</t>
        </is>
      </c>
      <c r="F2162" s="92" t="n">
        <v>62801000</v>
      </c>
      <c r="G2162" s="92" t="n">
        <v>1301</v>
      </c>
      <c r="H2162" s="93" t="n">
        <v>5454000</v>
      </c>
      <c r="I2162" s="92" t="inlineStr">
        <is>
          <t>10월 사내교육 - (사내강사료)</t>
        </is>
      </c>
      <c r="J2162" s="92" t="inlineStr">
        <is>
          <t>V10024</t>
        </is>
      </c>
      <c r="K2162" s="92" t="inlineStr">
        <is>
          <t>(사내강사료)</t>
        </is>
      </c>
      <c r="M2162" s="9">
        <f>IF($A2162="","",VALUE($A2162&amp;"")*12+VALUE($B2162&amp;""))</f>
        <v/>
      </c>
      <c r="N2162" s="64">
        <f>IF($A2162="","",IFERROR(INDEX(부서매핑!$C$5:$C$504,MATCH($G2162&amp;"",부서매핑!$A$5:$A$504,0)),"미매핑"))</f>
        <v/>
      </c>
      <c r="O2162" s="9">
        <f>IF($A2162="","",N2162&amp;"|"&amp;$F2162)</f>
        <v/>
      </c>
      <c r="P2162" s="94">
        <f>IF($A2162="",0,$H2162*설정!$C$23)</f>
        <v/>
      </c>
      <c r="Q2162" s="64">
        <f>IF($A2162="","",IF(O2162&lt;&gt;원인분석!$C$9,"",IF(AND(M2162&gt;=원인분석!$C$10,M2162&lt;=원인분석!$C$11),"당기",IF(AND(M2162&gt;=원인분석!$C$12,M2162&lt;=원인분석!$C$13),"비교",""))))</f>
        <v/>
      </c>
      <c r="R2162" s="9">
        <f>IF(Q2162="","",$K2162&amp;"")</f>
        <v/>
      </c>
      <c r="S2162" s="9">
        <f>IF(Q2162="","",IF(MATCH(R2162,$R$5:$R$100000,0)=ROW()-4,ROW(),""))</f>
        <v/>
      </c>
      <c r="T2162" s="9">
        <f>IF(Q2162="당기",ABS(P2162)+ROW()/1000000000,"")</f>
        <v/>
      </c>
      <c r="U2162" s="9">
        <f>IF(Q2162="비교",ABS(P2162)+ROW()/1000000000,"")</f>
        <v/>
      </c>
      <c r="V2162" s="64">
        <f>IF($A2162="","",IF(COUNTIF(변동분석!$E$7:$E$506,O2162)&gt;0,"Y","N"))</f>
        <v/>
      </c>
      <c r="W2162" s="64">
        <f>IF($A2162="","",IFERROR(INDEX(계정매핑!$D$5:$D$504,MATCH($F2162&amp;"",계정매핑!$A$5:$A$504,0)),"미매핑"))</f>
        <v/>
      </c>
      <c r="X2162" s="9">
        <f>IF($A2162="","",$F2162&amp;"")</f>
        <v/>
      </c>
      <c r="Y2162" s="94">
        <f>IF($A2162="",0,IF(AE2162="직접",IF(AF2162="비귀속",$P2162,0),$P2162*(1-AG2162)*IFERROR(INDEX(계정대체기준!$F$20:$F$49,MATCH($N2162,계정대체기준!$A$20:$A$49,0)),1)))</f>
        <v/>
      </c>
      <c r="Z2162" s="94">
        <f>IF($A2162="",0,IF(AE2162="직접",IF(AF2162="신계약비",$P2162,0),$P2162*(1-AG2162)*IFERROR(INDEX(계정대체기준!$C$20:$C$49,MATCH($N2162,계정대체기준!$A$20:$A$49,0)),0)))</f>
        <v/>
      </c>
      <c r="AA2162" s="94">
        <f>IF($A2162="",0,IF(AE2162="직접",IF(OR(AF2162="유지비",AF2162="손해조사비"),$P2162,0),$P2162*(1-AG2162)*IFERROR(INDEX(계정대체기준!$D$20:$D$49,MATCH($N2162,계정대체기준!$A$20:$A$49,0)),0)))</f>
        <v/>
      </c>
      <c r="AB2162" s="94">
        <f>IF($A2162="",0,IF(AE2162="직접",IF(AF2162="수금비",$P2162,0),$P2162*(1-AG2162)*IFERROR(INDEX(계정대체기준!$E$20:$E$49,MATCH($N2162,계정대체기준!$A$20:$A$49,0)),0)))</f>
        <v/>
      </c>
      <c r="AC2162" s="9">
        <f>IF(AND($A2162&lt;&gt;"",M2162=설정!$C$20,Z2162&gt;0),Z2162+ROW()/1000000000,"")</f>
        <v/>
      </c>
      <c r="AD2162" s="94">
        <f>IF($A2162="",0,$P2162*AG2162)</f>
        <v/>
      </c>
      <c r="AE2162" s="64">
        <f>IF($A2162="","",IFERROR(INDEX(계정매핑!$E$5:$E$504,MATCH($F2162&amp;"",계정매핑!$A$5:$A$504,0))&amp;"","공통비"))</f>
        <v/>
      </c>
      <c r="AF2162" s="64">
        <f>IF($A2162="","",IF(AE2162="직접",IFERROR(INDEX(계정매핑!$F$5:$F$504,MATCH($F2162&amp;"",계정매핑!$A$5:$A$504,0))&amp;"","비귀속"),""))</f>
        <v/>
      </c>
      <c r="AG2162" s="96">
        <f>IF($A2162="",0,IF(AND(AE2162&lt;&gt;"직접",IFERROR(INDEX(계정매핑!$G$5:$G$504,MATCH($F2162&amp;"",계정매핑!$A$5:$A$504,0))&amp;"","")="유지비",COUNTIF(계정대체기준!$A$6:$A$15,$N2162)&gt;0),IFERROR(INDEX(계정대체기준!$E$6:$E$15,MATCH(VALUE($A2162&amp;""),계정대체기준!$D$6:$D$15,0)),0),0))</f>
        <v/>
      </c>
      <c r="AH2162" s="64">
        <f>IF($A2162="","",IF(AD2162=0,"",IF(OR(COUNTIF(계정대체기준!$A$77:$A$86,$N2162)&gt;0,ISNUMBER(MATCH($X2162,계정대체기준!$D$77:$D$86,0)),ISNUMBER(MATCH($F2162,계정대체기준!$D$77:$D$86,0))),"Y","N")))</f>
        <v/>
      </c>
    </row>
    <row r="2163">
      <c r="A2163" s="92" t="n">
        <v>2025</v>
      </c>
      <c r="B2163" s="92" t="n">
        <v>10</v>
      </c>
      <c r="C2163" s="92" t="inlineStr">
        <is>
          <t>5100002159</t>
        </is>
      </c>
      <c r="D2163" s="95" t="n">
        <v>45945</v>
      </c>
      <c r="E2163" s="92" t="inlineStr">
        <is>
          <t>KR</t>
        </is>
      </c>
      <c r="F2163" s="92" t="n">
        <v>62902000</v>
      </c>
      <c r="G2163" s="92" t="n">
        <v>1951</v>
      </c>
      <c r="H2163" s="93" t="n">
        <v>2514000</v>
      </c>
      <c r="I2163" s="92" t="inlineStr">
        <is>
          <t>10월 업무 위탁 수수료 - J콜센터</t>
        </is>
      </c>
      <c r="J2163" s="92" t="inlineStr">
        <is>
          <t>V10016</t>
        </is>
      </c>
      <c r="K2163" s="92" t="inlineStr">
        <is>
          <t>J콜센터</t>
        </is>
      </c>
      <c r="M2163" s="9">
        <f>IF($A2163="","",VALUE($A2163&amp;"")*12+VALUE($B2163&amp;""))</f>
        <v/>
      </c>
      <c r="N2163" s="64">
        <f>IF($A2163="","",IFERROR(INDEX(부서매핑!$C$5:$C$504,MATCH($G2163&amp;"",부서매핑!$A$5:$A$504,0)),"미매핑"))</f>
        <v/>
      </c>
      <c r="O2163" s="9">
        <f>IF($A2163="","",N2163&amp;"|"&amp;$F2163)</f>
        <v/>
      </c>
      <c r="P2163" s="94">
        <f>IF($A2163="",0,$H2163*설정!$C$23)</f>
        <v/>
      </c>
      <c r="Q2163" s="64">
        <f>IF($A2163="","",IF(O2163&lt;&gt;원인분석!$C$9,"",IF(AND(M2163&gt;=원인분석!$C$10,M2163&lt;=원인분석!$C$11),"당기",IF(AND(M2163&gt;=원인분석!$C$12,M2163&lt;=원인분석!$C$13),"비교",""))))</f>
        <v/>
      </c>
      <c r="R2163" s="9">
        <f>IF(Q2163="","",$K2163&amp;"")</f>
        <v/>
      </c>
      <c r="S2163" s="9">
        <f>IF(Q2163="","",IF(MATCH(R2163,$R$5:$R$100000,0)=ROW()-4,ROW(),""))</f>
        <v/>
      </c>
      <c r="T2163" s="9">
        <f>IF(Q2163="당기",ABS(P2163)+ROW()/1000000000,"")</f>
        <v/>
      </c>
      <c r="U2163" s="9">
        <f>IF(Q2163="비교",ABS(P2163)+ROW()/1000000000,"")</f>
        <v/>
      </c>
      <c r="V2163" s="64">
        <f>IF($A2163="","",IF(COUNTIF(변동분석!$E$7:$E$506,O2163)&gt;0,"Y","N"))</f>
        <v/>
      </c>
      <c r="W2163" s="64">
        <f>IF($A2163="","",IFERROR(INDEX(계정매핑!$D$5:$D$504,MATCH($F2163&amp;"",계정매핑!$A$5:$A$504,0)),"미매핑"))</f>
        <v/>
      </c>
      <c r="X2163" s="9">
        <f>IF($A2163="","",$F2163&amp;"")</f>
        <v/>
      </c>
      <c r="Y2163" s="94">
        <f>IF($A2163="",0,IF(AE2163="직접",IF(AF2163="비귀속",$P2163,0),$P2163*(1-AG2163)*IFERROR(INDEX(계정대체기준!$F$20:$F$49,MATCH($N2163,계정대체기준!$A$20:$A$49,0)),1)))</f>
        <v/>
      </c>
      <c r="Z2163" s="94">
        <f>IF($A2163="",0,IF(AE2163="직접",IF(AF2163="신계약비",$P2163,0),$P2163*(1-AG2163)*IFERROR(INDEX(계정대체기준!$C$20:$C$49,MATCH($N2163,계정대체기준!$A$20:$A$49,0)),0)))</f>
        <v/>
      </c>
      <c r="AA2163" s="94">
        <f>IF($A2163="",0,IF(AE2163="직접",IF(OR(AF2163="유지비",AF2163="손해조사비"),$P2163,0),$P2163*(1-AG2163)*IFERROR(INDEX(계정대체기준!$D$20:$D$49,MATCH($N2163,계정대체기준!$A$20:$A$49,0)),0)))</f>
        <v/>
      </c>
      <c r="AB2163" s="94">
        <f>IF($A2163="",0,IF(AE2163="직접",IF(AF2163="수금비",$P2163,0),$P2163*(1-AG2163)*IFERROR(INDEX(계정대체기준!$E$20:$E$49,MATCH($N2163,계정대체기준!$A$20:$A$49,0)),0)))</f>
        <v/>
      </c>
      <c r="AC2163" s="9">
        <f>IF(AND($A2163&lt;&gt;"",M2163=설정!$C$20,Z2163&gt;0),Z2163+ROW()/1000000000,"")</f>
        <v/>
      </c>
      <c r="AD2163" s="94">
        <f>IF($A2163="",0,$P2163*AG2163)</f>
        <v/>
      </c>
      <c r="AE2163" s="64">
        <f>IF($A2163="","",IFERROR(INDEX(계정매핑!$E$5:$E$504,MATCH($F2163&amp;"",계정매핑!$A$5:$A$504,0))&amp;"","공통비"))</f>
        <v/>
      </c>
      <c r="AF2163" s="64">
        <f>IF($A2163="","",IF(AE2163="직접",IFERROR(INDEX(계정매핑!$F$5:$F$504,MATCH($F2163&amp;"",계정매핑!$A$5:$A$504,0))&amp;"","비귀속"),""))</f>
        <v/>
      </c>
      <c r="AG2163" s="96">
        <f>IF($A2163="",0,IF(AND(AE2163&lt;&gt;"직접",IFERROR(INDEX(계정매핑!$G$5:$G$504,MATCH($F2163&amp;"",계정매핑!$A$5:$A$504,0))&amp;"","")="유지비",COUNTIF(계정대체기준!$A$6:$A$15,$N2163)&gt;0),IFERROR(INDEX(계정대체기준!$E$6:$E$15,MATCH(VALUE($A2163&amp;""),계정대체기준!$D$6:$D$15,0)),0),0))</f>
        <v/>
      </c>
      <c r="AH2163" s="64">
        <f>IF($A2163="","",IF(AD2163=0,"",IF(OR(COUNTIF(계정대체기준!$A$77:$A$86,$N2163)&gt;0,ISNUMBER(MATCH($X2163,계정대체기준!$D$77:$D$86,0)),ISNUMBER(MATCH($F2163,계정대체기준!$D$77:$D$86,0))),"Y","N")))</f>
        <v/>
      </c>
    </row>
    <row r="2164">
      <c r="A2164" s="92" t="n">
        <v>2025</v>
      </c>
      <c r="B2164" s="92" t="n">
        <v>10</v>
      </c>
      <c r="C2164" s="92" t="inlineStr">
        <is>
          <t>5100002160</t>
        </is>
      </c>
      <c r="D2164" s="95" t="n">
        <v>45946</v>
      </c>
      <c r="E2164" s="92" t="inlineStr">
        <is>
          <t>KR</t>
        </is>
      </c>
      <c r="F2164" s="92" t="n">
        <v>62101000</v>
      </c>
      <c r="G2164" s="92" t="n">
        <v>1101</v>
      </c>
      <c r="H2164" s="93" t="n">
        <v>840000</v>
      </c>
      <c r="I2164" s="92" t="inlineStr">
        <is>
          <t>10월 국내출장 - L여행사</t>
        </is>
      </c>
      <c r="J2164" s="92" t="inlineStr">
        <is>
          <t>V10018</t>
        </is>
      </c>
      <c r="K2164" s="92" t="inlineStr">
        <is>
          <t>L여행사</t>
        </is>
      </c>
      <c r="M2164" s="9">
        <f>IF($A2164="","",VALUE($A2164&amp;"")*12+VALUE($B2164&amp;""))</f>
        <v/>
      </c>
      <c r="N2164" s="64">
        <f>IF($A2164="","",IFERROR(INDEX(부서매핑!$C$5:$C$504,MATCH($G2164&amp;"",부서매핑!$A$5:$A$504,0)),"미매핑"))</f>
        <v/>
      </c>
      <c r="O2164" s="9">
        <f>IF($A2164="","",N2164&amp;"|"&amp;$F2164)</f>
        <v/>
      </c>
      <c r="P2164" s="94">
        <f>IF($A2164="",0,$H2164*설정!$C$23)</f>
        <v/>
      </c>
      <c r="Q2164" s="64">
        <f>IF($A2164="","",IF(O2164&lt;&gt;원인분석!$C$9,"",IF(AND(M2164&gt;=원인분석!$C$10,M2164&lt;=원인분석!$C$11),"당기",IF(AND(M2164&gt;=원인분석!$C$12,M2164&lt;=원인분석!$C$13),"비교",""))))</f>
        <v/>
      </c>
      <c r="R2164" s="9">
        <f>IF(Q2164="","",$K2164&amp;"")</f>
        <v/>
      </c>
      <c r="S2164" s="9">
        <f>IF(Q2164="","",IF(MATCH(R2164,$R$5:$R$100000,0)=ROW()-4,ROW(),""))</f>
        <v/>
      </c>
      <c r="T2164" s="9">
        <f>IF(Q2164="당기",ABS(P2164)+ROW()/1000000000,"")</f>
        <v/>
      </c>
      <c r="U2164" s="9">
        <f>IF(Q2164="비교",ABS(P2164)+ROW()/1000000000,"")</f>
        <v/>
      </c>
      <c r="V2164" s="64">
        <f>IF($A2164="","",IF(COUNTIF(변동분석!$E$7:$E$506,O2164)&gt;0,"Y","N"))</f>
        <v/>
      </c>
      <c r="W2164" s="64">
        <f>IF($A2164="","",IFERROR(INDEX(계정매핑!$D$5:$D$504,MATCH($F2164&amp;"",계정매핑!$A$5:$A$504,0)),"미매핑"))</f>
        <v/>
      </c>
      <c r="X2164" s="9">
        <f>IF($A2164="","",$F2164&amp;"")</f>
        <v/>
      </c>
      <c r="Y2164" s="94">
        <f>IF($A2164="",0,IF(AE2164="직접",IF(AF2164="비귀속",$P2164,0),$P2164*(1-AG2164)*IFERROR(INDEX(계정대체기준!$F$20:$F$49,MATCH($N2164,계정대체기준!$A$20:$A$49,0)),1)))</f>
        <v/>
      </c>
      <c r="Z2164" s="94">
        <f>IF($A2164="",0,IF(AE2164="직접",IF(AF2164="신계약비",$P2164,0),$P2164*(1-AG2164)*IFERROR(INDEX(계정대체기준!$C$20:$C$49,MATCH($N2164,계정대체기준!$A$20:$A$49,0)),0)))</f>
        <v/>
      </c>
      <c r="AA2164" s="94">
        <f>IF($A2164="",0,IF(AE2164="직접",IF(OR(AF2164="유지비",AF2164="손해조사비"),$P2164,0),$P2164*(1-AG2164)*IFERROR(INDEX(계정대체기준!$D$20:$D$49,MATCH($N2164,계정대체기준!$A$20:$A$49,0)),0)))</f>
        <v/>
      </c>
      <c r="AB2164" s="94">
        <f>IF($A2164="",0,IF(AE2164="직접",IF(AF2164="수금비",$P2164,0),$P2164*(1-AG2164)*IFERROR(INDEX(계정대체기준!$E$20:$E$49,MATCH($N2164,계정대체기준!$A$20:$A$49,0)),0)))</f>
        <v/>
      </c>
      <c r="AC2164" s="9">
        <f>IF(AND($A2164&lt;&gt;"",M2164=설정!$C$20,Z2164&gt;0),Z2164+ROW()/1000000000,"")</f>
        <v/>
      </c>
      <c r="AD2164" s="94">
        <f>IF($A2164="",0,$P2164*AG2164)</f>
        <v/>
      </c>
      <c r="AE2164" s="64">
        <f>IF($A2164="","",IFERROR(INDEX(계정매핑!$E$5:$E$504,MATCH($F2164&amp;"",계정매핑!$A$5:$A$504,0))&amp;"","공통비"))</f>
        <v/>
      </c>
      <c r="AF2164" s="64">
        <f>IF($A2164="","",IF(AE2164="직접",IFERROR(INDEX(계정매핑!$F$5:$F$504,MATCH($F2164&amp;"",계정매핑!$A$5:$A$504,0))&amp;"","비귀속"),""))</f>
        <v/>
      </c>
      <c r="AG2164" s="96">
        <f>IF($A2164="",0,IF(AND(AE2164&lt;&gt;"직접",IFERROR(INDEX(계정매핑!$G$5:$G$504,MATCH($F2164&amp;"",계정매핑!$A$5:$A$504,0))&amp;"","")="유지비",COUNTIF(계정대체기준!$A$6:$A$15,$N2164)&gt;0),IFERROR(INDEX(계정대체기준!$E$6:$E$15,MATCH(VALUE($A2164&amp;""),계정대체기준!$D$6:$D$15,0)),0),0))</f>
        <v/>
      </c>
      <c r="AH2164" s="64">
        <f>IF($A2164="","",IF(AD2164=0,"",IF(OR(COUNTIF(계정대체기준!$A$77:$A$86,$N2164)&gt;0,ISNUMBER(MATCH($X2164,계정대체기준!$D$77:$D$86,0)),ISNUMBER(MATCH($F2164,계정대체기준!$D$77:$D$86,0))),"Y","N")))</f>
        <v/>
      </c>
    </row>
    <row r="2165">
      <c r="A2165" s="92" t="n">
        <v>2025</v>
      </c>
      <c r="B2165" s="92" t="n">
        <v>10</v>
      </c>
      <c r="C2165" s="92" t="inlineStr">
        <is>
          <t>5100002161</t>
        </is>
      </c>
      <c r="D2165" s="95" t="n">
        <v>45946</v>
      </c>
      <c r="E2165" s="92" t="inlineStr">
        <is>
          <t>KR</t>
        </is>
      </c>
      <c r="F2165" s="92" t="n">
        <v>62101000</v>
      </c>
      <c r="G2165" s="92" t="n">
        <v>1501</v>
      </c>
      <c r="H2165" s="93" t="n">
        <v>387000</v>
      </c>
      <c r="I2165" s="92" t="inlineStr">
        <is>
          <t>10월 국내출장 - M항공</t>
        </is>
      </c>
      <c r="J2165" s="92" t="inlineStr">
        <is>
          <t>V10001</t>
        </is>
      </c>
      <c r="K2165" s="92" t="inlineStr">
        <is>
          <t>M항공</t>
        </is>
      </c>
      <c r="M2165" s="9">
        <f>IF($A2165="","",VALUE($A2165&amp;"")*12+VALUE($B2165&amp;""))</f>
        <v/>
      </c>
      <c r="N2165" s="64">
        <f>IF($A2165="","",IFERROR(INDEX(부서매핑!$C$5:$C$504,MATCH($G2165&amp;"",부서매핑!$A$5:$A$504,0)),"미매핑"))</f>
        <v/>
      </c>
      <c r="O2165" s="9">
        <f>IF($A2165="","",N2165&amp;"|"&amp;$F2165)</f>
        <v/>
      </c>
      <c r="P2165" s="94">
        <f>IF($A2165="",0,$H2165*설정!$C$23)</f>
        <v/>
      </c>
      <c r="Q2165" s="64">
        <f>IF($A2165="","",IF(O2165&lt;&gt;원인분석!$C$9,"",IF(AND(M2165&gt;=원인분석!$C$10,M2165&lt;=원인분석!$C$11),"당기",IF(AND(M2165&gt;=원인분석!$C$12,M2165&lt;=원인분석!$C$13),"비교",""))))</f>
        <v/>
      </c>
      <c r="R2165" s="9">
        <f>IF(Q2165="","",$K2165&amp;"")</f>
        <v/>
      </c>
      <c r="S2165" s="9">
        <f>IF(Q2165="","",IF(MATCH(R2165,$R$5:$R$100000,0)=ROW()-4,ROW(),""))</f>
        <v/>
      </c>
      <c r="T2165" s="9">
        <f>IF(Q2165="당기",ABS(P2165)+ROW()/1000000000,"")</f>
        <v/>
      </c>
      <c r="U2165" s="9">
        <f>IF(Q2165="비교",ABS(P2165)+ROW()/1000000000,"")</f>
        <v/>
      </c>
      <c r="V2165" s="64">
        <f>IF($A2165="","",IF(COUNTIF(변동분석!$E$7:$E$506,O2165)&gt;0,"Y","N"))</f>
        <v/>
      </c>
      <c r="W2165" s="64">
        <f>IF($A2165="","",IFERROR(INDEX(계정매핑!$D$5:$D$504,MATCH($F2165&amp;"",계정매핑!$A$5:$A$504,0)),"미매핑"))</f>
        <v/>
      </c>
      <c r="X2165" s="9">
        <f>IF($A2165="","",$F2165&amp;"")</f>
        <v/>
      </c>
      <c r="Y2165" s="94">
        <f>IF($A2165="",0,IF(AE2165="직접",IF(AF2165="비귀속",$P2165,0),$P2165*(1-AG2165)*IFERROR(INDEX(계정대체기준!$F$20:$F$49,MATCH($N2165,계정대체기준!$A$20:$A$49,0)),1)))</f>
        <v/>
      </c>
      <c r="Z2165" s="94">
        <f>IF($A2165="",0,IF(AE2165="직접",IF(AF2165="신계약비",$P2165,0),$P2165*(1-AG2165)*IFERROR(INDEX(계정대체기준!$C$20:$C$49,MATCH($N2165,계정대체기준!$A$20:$A$49,0)),0)))</f>
        <v/>
      </c>
      <c r="AA2165" s="94">
        <f>IF($A2165="",0,IF(AE2165="직접",IF(OR(AF2165="유지비",AF2165="손해조사비"),$P2165,0),$P2165*(1-AG2165)*IFERROR(INDEX(계정대체기준!$D$20:$D$49,MATCH($N2165,계정대체기준!$A$20:$A$49,0)),0)))</f>
        <v/>
      </c>
      <c r="AB2165" s="94">
        <f>IF($A2165="",0,IF(AE2165="직접",IF(AF2165="수금비",$P2165,0),$P2165*(1-AG2165)*IFERROR(INDEX(계정대체기준!$E$20:$E$49,MATCH($N2165,계정대체기준!$A$20:$A$49,0)),0)))</f>
        <v/>
      </c>
      <c r="AC2165" s="9">
        <f>IF(AND($A2165&lt;&gt;"",M2165=설정!$C$20,Z2165&gt;0),Z2165+ROW()/1000000000,"")</f>
        <v/>
      </c>
      <c r="AD2165" s="94">
        <f>IF($A2165="",0,$P2165*AG2165)</f>
        <v/>
      </c>
      <c r="AE2165" s="64">
        <f>IF($A2165="","",IFERROR(INDEX(계정매핑!$E$5:$E$504,MATCH($F2165&amp;"",계정매핑!$A$5:$A$504,0))&amp;"","공통비"))</f>
        <v/>
      </c>
      <c r="AF2165" s="64">
        <f>IF($A2165="","",IF(AE2165="직접",IFERROR(INDEX(계정매핑!$F$5:$F$504,MATCH($F2165&amp;"",계정매핑!$A$5:$A$504,0))&amp;"","비귀속"),""))</f>
        <v/>
      </c>
      <c r="AG2165" s="96">
        <f>IF($A2165="",0,IF(AND(AE2165&lt;&gt;"직접",IFERROR(INDEX(계정매핑!$G$5:$G$504,MATCH($F2165&amp;"",계정매핑!$A$5:$A$504,0))&amp;"","")="유지비",COUNTIF(계정대체기준!$A$6:$A$15,$N2165)&gt;0),IFERROR(INDEX(계정대체기준!$E$6:$E$15,MATCH(VALUE($A2165&amp;""),계정대체기준!$D$6:$D$15,0)),0),0))</f>
        <v/>
      </c>
      <c r="AH2165" s="64">
        <f>IF($A2165="","",IF(AD2165=0,"",IF(OR(COUNTIF(계정대체기준!$A$77:$A$86,$N2165)&gt;0,ISNUMBER(MATCH($X2165,계정대체기준!$D$77:$D$86,0)),ISNUMBER(MATCH($F2165,계정대체기준!$D$77:$D$86,0))),"Y","N")))</f>
        <v/>
      </c>
    </row>
    <row r="2166">
      <c r="A2166" s="92" t="n">
        <v>2025</v>
      </c>
      <c r="B2166" s="92" t="n">
        <v>10</v>
      </c>
      <c r="C2166" s="92" t="inlineStr">
        <is>
          <t>5100002162</t>
        </is>
      </c>
      <c r="D2166" s="95" t="n">
        <v>45946</v>
      </c>
      <c r="E2166" s="92" t="inlineStr">
        <is>
          <t>KR</t>
        </is>
      </c>
      <c r="F2166" s="92" t="n">
        <v>62101000</v>
      </c>
      <c r="G2166" s="92" t="n">
        <v>1701</v>
      </c>
      <c r="H2166" s="93" t="n">
        <v>142000</v>
      </c>
      <c r="I2166" s="92" t="inlineStr">
        <is>
          <t>10월 국내출장 - (법인카드)</t>
        </is>
      </c>
      <c r="J2166" s="92" t="inlineStr">
        <is>
          <t>V10010</t>
        </is>
      </c>
      <c r="K2166" s="92" t="inlineStr">
        <is>
          <t>(법인카드)</t>
        </is>
      </c>
      <c r="M2166" s="9">
        <f>IF($A2166="","",VALUE($A2166&amp;"")*12+VALUE($B2166&amp;""))</f>
        <v/>
      </c>
      <c r="N2166" s="64">
        <f>IF($A2166="","",IFERROR(INDEX(부서매핑!$C$5:$C$504,MATCH($G2166&amp;"",부서매핑!$A$5:$A$504,0)),"미매핑"))</f>
        <v/>
      </c>
      <c r="O2166" s="9">
        <f>IF($A2166="","",N2166&amp;"|"&amp;$F2166)</f>
        <v/>
      </c>
      <c r="P2166" s="94">
        <f>IF($A2166="",0,$H2166*설정!$C$23)</f>
        <v/>
      </c>
      <c r="Q2166" s="64">
        <f>IF($A2166="","",IF(O2166&lt;&gt;원인분석!$C$9,"",IF(AND(M2166&gt;=원인분석!$C$10,M2166&lt;=원인분석!$C$11),"당기",IF(AND(M2166&gt;=원인분석!$C$12,M2166&lt;=원인분석!$C$13),"비교",""))))</f>
        <v/>
      </c>
      <c r="R2166" s="9">
        <f>IF(Q2166="","",$K2166&amp;"")</f>
        <v/>
      </c>
      <c r="S2166" s="9">
        <f>IF(Q2166="","",IF(MATCH(R2166,$R$5:$R$100000,0)=ROW()-4,ROW(),""))</f>
        <v/>
      </c>
      <c r="T2166" s="9">
        <f>IF(Q2166="당기",ABS(P2166)+ROW()/1000000000,"")</f>
        <v/>
      </c>
      <c r="U2166" s="9">
        <f>IF(Q2166="비교",ABS(P2166)+ROW()/1000000000,"")</f>
        <v/>
      </c>
      <c r="V2166" s="64">
        <f>IF($A2166="","",IF(COUNTIF(변동분석!$E$7:$E$506,O2166)&gt;0,"Y","N"))</f>
        <v/>
      </c>
      <c r="W2166" s="64">
        <f>IF($A2166="","",IFERROR(INDEX(계정매핑!$D$5:$D$504,MATCH($F2166&amp;"",계정매핑!$A$5:$A$504,0)),"미매핑"))</f>
        <v/>
      </c>
      <c r="X2166" s="9">
        <f>IF($A2166="","",$F2166&amp;"")</f>
        <v/>
      </c>
      <c r="Y2166" s="94">
        <f>IF($A2166="",0,IF(AE2166="직접",IF(AF2166="비귀속",$P2166,0),$P2166*(1-AG2166)*IFERROR(INDEX(계정대체기준!$F$20:$F$49,MATCH($N2166,계정대체기준!$A$20:$A$49,0)),1)))</f>
        <v/>
      </c>
      <c r="Z2166" s="94">
        <f>IF($A2166="",0,IF(AE2166="직접",IF(AF2166="신계약비",$P2166,0),$P2166*(1-AG2166)*IFERROR(INDEX(계정대체기준!$C$20:$C$49,MATCH($N2166,계정대체기준!$A$20:$A$49,0)),0)))</f>
        <v/>
      </c>
      <c r="AA2166" s="94">
        <f>IF($A2166="",0,IF(AE2166="직접",IF(OR(AF2166="유지비",AF2166="손해조사비"),$P2166,0),$P2166*(1-AG2166)*IFERROR(INDEX(계정대체기준!$D$20:$D$49,MATCH($N2166,계정대체기준!$A$20:$A$49,0)),0)))</f>
        <v/>
      </c>
      <c r="AB2166" s="94">
        <f>IF($A2166="",0,IF(AE2166="직접",IF(AF2166="수금비",$P2166,0),$P2166*(1-AG2166)*IFERROR(INDEX(계정대체기준!$E$20:$E$49,MATCH($N2166,계정대체기준!$A$20:$A$49,0)),0)))</f>
        <v/>
      </c>
      <c r="AC2166" s="9">
        <f>IF(AND($A2166&lt;&gt;"",M2166=설정!$C$20,Z2166&gt;0),Z2166+ROW()/1000000000,"")</f>
        <v/>
      </c>
      <c r="AD2166" s="94">
        <f>IF($A2166="",0,$P2166*AG2166)</f>
        <v/>
      </c>
      <c r="AE2166" s="64">
        <f>IF($A2166="","",IFERROR(INDEX(계정매핑!$E$5:$E$504,MATCH($F2166&amp;"",계정매핑!$A$5:$A$504,0))&amp;"","공통비"))</f>
        <v/>
      </c>
      <c r="AF2166" s="64">
        <f>IF($A2166="","",IF(AE2166="직접",IFERROR(INDEX(계정매핑!$F$5:$F$504,MATCH($F2166&amp;"",계정매핑!$A$5:$A$504,0))&amp;"","비귀속"),""))</f>
        <v/>
      </c>
      <c r="AG2166" s="96">
        <f>IF($A2166="",0,IF(AND(AE2166&lt;&gt;"직접",IFERROR(INDEX(계정매핑!$G$5:$G$504,MATCH($F2166&amp;"",계정매핑!$A$5:$A$504,0))&amp;"","")="유지비",COUNTIF(계정대체기준!$A$6:$A$15,$N2166)&gt;0),IFERROR(INDEX(계정대체기준!$E$6:$E$15,MATCH(VALUE($A2166&amp;""),계정대체기준!$D$6:$D$15,0)),0),0))</f>
        <v/>
      </c>
      <c r="AH2166" s="64">
        <f>IF($A2166="","",IF(AD2166=0,"",IF(OR(COUNTIF(계정대체기준!$A$77:$A$86,$N2166)&gt;0,ISNUMBER(MATCH($X2166,계정대체기준!$D$77:$D$86,0)),ISNUMBER(MATCH($F2166,계정대체기준!$D$77:$D$86,0))),"Y","N")))</f>
        <v/>
      </c>
    </row>
    <row r="2167">
      <c r="A2167" s="92" t="n">
        <v>2025</v>
      </c>
      <c r="B2167" s="92" t="n">
        <v>10</v>
      </c>
      <c r="C2167" s="92" t="inlineStr">
        <is>
          <t>5100002163</t>
        </is>
      </c>
      <c r="D2167" s="95" t="n">
        <v>45946</v>
      </c>
      <c r="E2167" s="92" t="inlineStr">
        <is>
          <t>KR</t>
        </is>
      </c>
      <c r="F2167" s="92" t="n">
        <v>62101000</v>
      </c>
      <c r="G2167" s="92" t="n">
        <v>1801</v>
      </c>
      <c r="H2167" s="93" t="n">
        <v>138000</v>
      </c>
      <c r="I2167" s="92" t="inlineStr">
        <is>
          <t>10월 국내출장 - (법인카드)</t>
        </is>
      </c>
      <c r="J2167" s="92" t="inlineStr">
        <is>
          <t>V10010</t>
        </is>
      </c>
      <c r="K2167" s="92" t="inlineStr">
        <is>
          <t>(법인카드)</t>
        </is>
      </c>
      <c r="M2167" s="9">
        <f>IF($A2167="","",VALUE($A2167&amp;"")*12+VALUE($B2167&amp;""))</f>
        <v/>
      </c>
      <c r="N2167" s="64">
        <f>IF($A2167="","",IFERROR(INDEX(부서매핑!$C$5:$C$504,MATCH($G2167&amp;"",부서매핑!$A$5:$A$504,0)),"미매핑"))</f>
        <v/>
      </c>
      <c r="O2167" s="9">
        <f>IF($A2167="","",N2167&amp;"|"&amp;$F2167)</f>
        <v/>
      </c>
      <c r="P2167" s="94">
        <f>IF($A2167="",0,$H2167*설정!$C$23)</f>
        <v/>
      </c>
      <c r="Q2167" s="64">
        <f>IF($A2167="","",IF(O2167&lt;&gt;원인분석!$C$9,"",IF(AND(M2167&gt;=원인분석!$C$10,M2167&lt;=원인분석!$C$11),"당기",IF(AND(M2167&gt;=원인분석!$C$12,M2167&lt;=원인분석!$C$13),"비교",""))))</f>
        <v/>
      </c>
      <c r="R2167" s="9">
        <f>IF(Q2167="","",$K2167&amp;"")</f>
        <v/>
      </c>
      <c r="S2167" s="9">
        <f>IF(Q2167="","",IF(MATCH(R2167,$R$5:$R$100000,0)=ROW()-4,ROW(),""))</f>
        <v/>
      </c>
      <c r="T2167" s="9">
        <f>IF(Q2167="당기",ABS(P2167)+ROW()/1000000000,"")</f>
        <v/>
      </c>
      <c r="U2167" s="9">
        <f>IF(Q2167="비교",ABS(P2167)+ROW()/1000000000,"")</f>
        <v/>
      </c>
      <c r="V2167" s="64">
        <f>IF($A2167="","",IF(COUNTIF(변동분석!$E$7:$E$506,O2167)&gt;0,"Y","N"))</f>
        <v/>
      </c>
      <c r="W2167" s="64">
        <f>IF($A2167="","",IFERROR(INDEX(계정매핑!$D$5:$D$504,MATCH($F2167&amp;"",계정매핑!$A$5:$A$504,0)),"미매핑"))</f>
        <v/>
      </c>
      <c r="X2167" s="9">
        <f>IF($A2167="","",$F2167&amp;"")</f>
        <v/>
      </c>
      <c r="Y2167" s="94">
        <f>IF($A2167="",0,IF(AE2167="직접",IF(AF2167="비귀속",$P2167,0),$P2167*(1-AG2167)*IFERROR(INDEX(계정대체기준!$F$20:$F$49,MATCH($N2167,계정대체기준!$A$20:$A$49,0)),1)))</f>
        <v/>
      </c>
      <c r="Z2167" s="94">
        <f>IF($A2167="",0,IF(AE2167="직접",IF(AF2167="신계약비",$P2167,0),$P2167*(1-AG2167)*IFERROR(INDEX(계정대체기준!$C$20:$C$49,MATCH($N2167,계정대체기준!$A$20:$A$49,0)),0)))</f>
        <v/>
      </c>
      <c r="AA2167" s="94">
        <f>IF($A2167="",0,IF(AE2167="직접",IF(OR(AF2167="유지비",AF2167="손해조사비"),$P2167,0),$P2167*(1-AG2167)*IFERROR(INDEX(계정대체기준!$D$20:$D$49,MATCH($N2167,계정대체기준!$A$20:$A$49,0)),0)))</f>
        <v/>
      </c>
      <c r="AB2167" s="94">
        <f>IF($A2167="",0,IF(AE2167="직접",IF(AF2167="수금비",$P2167,0),$P2167*(1-AG2167)*IFERROR(INDEX(계정대체기준!$E$20:$E$49,MATCH($N2167,계정대체기준!$A$20:$A$49,0)),0)))</f>
        <v/>
      </c>
      <c r="AC2167" s="9">
        <f>IF(AND($A2167&lt;&gt;"",M2167=설정!$C$20,Z2167&gt;0),Z2167+ROW()/1000000000,"")</f>
        <v/>
      </c>
      <c r="AD2167" s="94">
        <f>IF($A2167="",0,$P2167*AG2167)</f>
        <v/>
      </c>
      <c r="AE2167" s="64">
        <f>IF($A2167="","",IFERROR(INDEX(계정매핑!$E$5:$E$504,MATCH($F2167&amp;"",계정매핑!$A$5:$A$504,0))&amp;"","공통비"))</f>
        <v/>
      </c>
      <c r="AF2167" s="64">
        <f>IF($A2167="","",IF(AE2167="직접",IFERROR(INDEX(계정매핑!$F$5:$F$504,MATCH($F2167&amp;"",계정매핑!$A$5:$A$504,0))&amp;"","비귀속"),""))</f>
        <v/>
      </c>
      <c r="AG2167" s="96">
        <f>IF($A2167="",0,IF(AND(AE2167&lt;&gt;"직접",IFERROR(INDEX(계정매핑!$G$5:$G$504,MATCH($F2167&amp;"",계정매핑!$A$5:$A$504,0))&amp;"","")="유지비",COUNTIF(계정대체기준!$A$6:$A$15,$N2167)&gt;0),IFERROR(INDEX(계정대체기준!$E$6:$E$15,MATCH(VALUE($A2167&amp;""),계정대체기준!$D$6:$D$15,0)),0),0))</f>
        <v/>
      </c>
      <c r="AH2167" s="64">
        <f>IF($A2167="","",IF(AD2167=0,"",IF(OR(COUNTIF(계정대체기준!$A$77:$A$86,$N2167)&gt;0,ISNUMBER(MATCH($X2167,계정대체기준!$D$77:$D$86,0)),ISNUMBER(MATCH($F2167,계정대체기준!$D$77:$D$86,0))),"Y","N")))</f>
        <v/>
      </c>
    </row>
    <row r="2168">
      <c r="A2168" s="92" t="n">
        <v>2025</v>
      </c>
      <c r="B2168" s="92" t="n">
        <v>10</v>
      </c>
      <c r="C2168" s="92" t="inlineStr">
        <is>
          <t>5100002164</t>
        </is>
      </c>
      <c r="D2168" s="95" t="n">
        <v>45946</v>
      </c>
      <c r="E2168" s="92" t="inlineStr">
        <is>
          <t>KR</t>
        </is>
      </c>
      <c r="F2168" s="92" t="n">
        <v>62201000</v>
      </c>
      <c r="G2168" s="92" t="n">
        <v>1101</v>
      </c>
      <c r="H2168" s="93" t="n">
        <v>131000</v>
      </c>
      <c r="I2168" s="92" t="inlineStr">
        <is>
          <t>10월 통신요금 - O텔레콤</t>
        </is>
      </c>
      <c r="J2168" s="92" t="inlineStr">
        <is>
          <t>V10002</t>
        </is>
      </c>
      <c r="K2168" s="92" t="inlineStr">
        <is>
          <t>O텔레콤</t>
        </is>
      </c>
      <c r="M2168" s="9">
        <f>IF($A2168="","",VALUE($A2168&amp;"")*12+VALUE($B2168&amp;""))</f>
        <v/>
      </c>
      <c r="N2168" s="64">
        <f>IF($A2168="","",IFERROR(INDEX(부서매핑!$C$5:$C$504,MATCH($G2168&amp;"",부서매핑!$A$5:$A$504,0)),"미매핑"))</f>
        <v/>
      </c>
      <c r="O2168" s="9">
        <f>IF($A2168="","",N2168&amp;"|"&amp;$F2168)</f>
        <v/>
      </c>
      <c r="P2168" s="94">
        <f>IF($A2168="",0,$H2168*설정!$C$23)</f>
        <v/>
      </c>
      <c r="Q2168" s="64">
        <f>IF($A2168="","",IF(O2168&lt;&gt;원인분석!$C$9,"",IF(AND(M2168&gt;=원인분석!$C$10,M2168&lt;=원인분석!$C$11),"당기",IF(AND(M2168&gt;=원인분석!$C$12,M2168&lt;=원인분석!$C$13),"비교",""))))</f>
        <v/>
      </c>
      <c r="R2168" s="9">
        <f>IF(Q2168="","",$K2168&amp;"")</f>
        <v/>
      </c>
      <c r="S2168" s="9">
        <f>IF(Q2168="","",IF(MATCH(R2168,$R$5:$R$100000,0)=ROW()-4,ROW(),""))</f>
        <v/>
      </c>
      <c r="T2168" s="9">
        <f>IF(Q2168="당기",ABS(P2168)+ROW()/1000000000,"")</f>
        <v/>
      </c>
      <c r="U2168" s="9">
        <f>IF(Q2168="비교",ABS(P2168)+ROW()/1000000000,"")</f>
        <v/>
      </c>
      <c r="V2168" s="64">
        <f>IF($A2168="","",IF(COUNTIF(변동분석!$E$7:$E$506,O2168)&gt;0,"Y","N"))</f>
        <v/>
      </c>
      <c r="W2168" s="64">
        <f>IF($A2168="","",IFERROR(INDEX(계정매핑!$D$5:$D$504,MATCH($F2168&amp;"",계정매핑!$A$5:$A$504,0)),"미매핑"))</f>
        <v/>
      </c>
      <c r="X2168" s="9">
        <f>IF($A2168="","",$F2168&amp;"")</f>
        <v/>
      </c>
      <c r="Y2168" s="94">
        <f>IF($A2168="",0,IF(AE2168="직접",IF(AF2168="비귀속",$P2168,0),$P2168*(1-AG2168)*IFERROR(INDEX(계정대체기준!$F$20:$F$49,MATCH($N2168,계정대체기준!$A$20:$A$49,0)),1)))</f>
        <v/>
      </c>
      <c r="Z2168" s="94">
        <f>IF($A2168="",0,IF(AE2168="직접",IF(AF2168="신계약비",$P2168,0),$P2168*(1-AG2168)*IFERROR(INDEX(계정대체기준!$C$20:$C$49,MATCH($N2168,계정대체기준!$A$20:$A$49,0)),0)))</f>
        <v/>
      </c>
      <c r="AA2168" s="94">
        <f>IF($A2168="",0,IF(AE2168="직접",IF(OR(AF2168="유지비",AF2168="손해조사비"),$P2168,0),$P2168*(1-AG2168)*IFERROR(INDEX(계정대체기준!$D$20:$D$49,MATCH($N2168,계정대체기준!$A$20:$A$49,0)),0)))</f>
        <v/>
      </c>
      <c r="AB2168" s="94">
        <f>IF($A2168="",0,IF(AE2168="직접",IF(AF2168="수금비",$P2168,0),$P2168*(1-AG2168)*IFERROR(INDEX(계정대체기준!$E$20:$E$49,MATCH($N2168,계정대체기준!$A$20:$A$49,0)),0)))</f>
        <v/>
      </c>
      <c r="AC2168" s="9">
        <f>IF(AND($A2168&lt;&gt;"",M2168=설정!$C$20,Z2168&gt;0),Z2168+ROW()/1000000000,"")</f>
        <v/>
      </c>
      <c r="AD2168" s="94">
        <f>IF($A2168="",0,$P2168*AG2168)</f>
        <v/>
      </c>
      <c r="AE2168" s="64">
        <f>IF($A2168="","",IFERROR(INDEX(계정매핑!$E$5:$E$504,MATCH($F2168&amp;"",계정매핑!$A$5:$A$504,0))&amp;"","공통비"))</f>
        <v/>
      </c>
      <c r="AF2168" s="64">
        <f>IF($A2168="","",IF(AE2168="직접",IFERROR(INDEX(계정매핑!$F$5:$F$504,MATCH($F2168&amp;"",계정매핑!$A$5:$A$504,0))&amp;"","비귀속"),""))</f>
        <v/>
      </c>
      <c r="AG2168" s="96">
        <f>IF($A2168="",0,IF(AND(AE2168&lt;&gt;"직접",IFERROR(INDEX(계정매핑!$G$5:$G$504,MATCH($F2168&amp;"",계정매핑!$A$5:$A$504,0))&amp;"","")="유지비",COUNTIF(계정대체기준!$A$6:$A$15,$N2168)&gt;0),IFERROR(INDEX(계정대체기준!$E$6:$E$15,MATCH(VALUE($A2168&amp;""),계정대체기준!$D$6:$D$15,0)),0),0))</f>
        <v/>
      </c>
      <c r="AH2168" s="64">
        <f>IF($A2168="","",IF(AD2168=0,"",IF(OR(COUNTIF(계정대체기준!$A$77:$A$86,$N2168)&gt;0,ISNUMBER(MATCH($X2168,계정대체기준!$D$77:$D$86,0)),ISNUMBER(MATCH($F2168,계정대체기준!$D$77:$D$86,0))),"Y","N")))</f>
        <v/>
      </c>
    </row>
    <row r="2169">
      <c r="A2169" s="92" t="n">
        <v>2025</v>
      </c>
      <c r="B2169" s="92" t="n">
        <v>10</v>
      </c>
      <c r="C2169" s="92" t="inlineStr">
        <is>
          <t>5100002165</t>
        </is>
      </c>
      <c r="D2169" s="95" t="n">
        <v>45946</v>
      </c>
      <c r="E2169" s="92" t="inlineStr">
        <is>
          <t>KR</t>
        </is>
      </c>
      <c r="F2169" s="92" t="n">
        <v>62501000</v>
      </c>
      <c r="G2169" s="92" t="n">
        <v>1101</v>
      </c>
      <c r="H2169" s="93" t="n">
        <v>204000</v>
      </c>
      <c r="I2169" s="92" t="inlineStr">
        <is>
          <t>10월 회의 다과 - (법인카드)</t>
        </is>
      </c>
      <c r="J2169" s="92" t="inlineStr">
        <is>
          <t>V10010</t>
        </is>
      </c>
      <c r="K2169" s="92" t="inlineStr">
        <is>
          <t>(법인카드)</t>
        </is>
      </c>
      <c r="M2169" s="9">
        <f>IF($A2169="","",VALUE($A2169&amp;"")*12+VALUE($B2169&amp;""))</f>
        <v/>
      </c>
      <c r="N2169" s="64">
        <f>IF($A2169="","",IFERROR(INDEX(부서매핑!$C$5:$C$504,MATCH($G2169&amp;"",부서매핑!$A$5:$A$504,0)),"미매핑"))</f>
        <v/>
      </c>
      <c r="O2169" s="9">
        <f>IF($A2169="","",N2169&amp;"|"&amp;$F2169)</f>
        <v/>
      </c>
      <c r="P2169" s="94">
        <f>IF($A2169="",0,$H2169*설정!$C$23)</f>
        <v/>
      </c>
      <c r="Q2169" s="64">
        <f>IF($A2169="","",IF(O2169&lt;&gt;원인분석!$C$9,"",IF(AND(M2169&gt;=원인분석!$C$10,M2169&lt;=원인분석!$C$11),"당기",IF(AND(M2169&gt;=원인분석!$C$12,M2169&lt;=원인분석!$C$13),"비교",""))))</f>
        <v/>
      </c>
      <c r="R2169" s="9">
        <f>IF(Q2169="","",$K2169&amp;"")</f>
        <v/>
      </c>
      <c r="S2169" s="9">
        <f>IF(Q2169="","",IF(MATCH(R2169,$R$5:$R$100000,0)=ROW()-4,ROW(),""))</f>
        <v/>
      </c>
      <c r="T2169" s="9">
        <f>IF(Q2169="당기",ABS(P2169)+ROW()/1000000000,"")</f>
        <v/>
      </c>
      <c r="U2169" s="9">
        <f>IF(Q2169="비교",ABS(P2169)+ROW()/1000000000,"")</f>
        <v/>
      </c>
      <c r="V2169" s="64">
        <f>IF($A2169="","",IF(COUNTIF(변동분석!$E$7:$E$506,O2169)&gt;0,"Y","N"))</f>
        <v/>
      </c>
      <c r="W2169" s="64">
        <f>IF($A2169="","",IFERROR(INDEX(계정매핑!$D$5:$D$504,MATCH($F2169&amp;"",계정매핑!$A$5:$A$504,0)),"미매핑"))</f>
        <v/>
      </c>
      <c r="X2169" s="9">
        <f>IF($A2169="","",$F2169&amp;"")</f>
        <v/>
      </c>
      <c r="Y2169" s="94">
        <f>IF($A2169="",0,IF(AE2169="직접",IF(AF2169="비귀속",$P2169,0),$P2169*(1-AG2169)*IFERROR(INDEX(계정대체기준!$F$20:$F$49,MATCH($N2169,계정대체기준!$A$20:$A$49,0)),1)))</f>
        <v/>
      </c>
      <c r="Z2169" s="94">
        <f>IF($A2169="",0,IF(AE2169="직접",IF(AF2169="신계약비",$P2169,0),$P2169*(1-AG2169)*IFERROR(INDEX(계정대체기준!$C$20:$C$49,MATCH($N2169,계정대체기준!$A$20:$A$49,0)),0)))</f>
        <v/>
      </c>
      <c r="AA2169" s="94">
        <f>IF($A2169="",0,IF(AE2169="직접",IF(OR(AF2169="유지비",AF2169="손해조사비"),$P2169,0),$P2169*(1-AG2169)*IFERROR(INDEX(계정대체기준!$D$20:$D$49,MATCH($N2169,계정대체기준!$A$20:$A$49,0)),0)))</f>
        <v/>
      </c>
      <c r="AB2169" s="94">
        <f>IF($A2169="",0,IF(AE2169="직접",IF(AF2169="수금비",$P2169,0),$P2169*(1-AG2169)*IFERROR(INDEX(계정대체기준!$E$20:$E$49,MATCH($N2169,계정대체기준!$A$20:$A$49,0)),0)))</f>
        <v/>
      </c>
      <c r="AC2169" s="9">
        <f>IF(AND($A2169&lt;&gt;"",M2169=설정!$C$20,Z2169&gt;0),Z2169+ROW()/1000000000,"")</f>
        <v/>
      </c>
      <c r="AD2169" s="94">
        <f>IF($A2169="",0,$P2169*AG2169)</f>
        <v/>
      </c>
      <c r="AE2169" s="64">
        <f>IF($A2169="","",IFERROR(INDEX(계정매핑!$E$5:$E$504,MATCH($F2169&amp;"",계정매핑!$A$5:$A$504,0))&amp;"","공통비"))</f>
        <v/>
      </c>
      <c r="AF2169" s="64">
        <f>IF($A2169="","",IF(AE2169="직접",IFERROR(INDEX(계정매핑!$F$5:$F$504,MATCH($F2169&amp;"",계정매핑!$A$5:$A$504,0))&amp;"","비귀속"),""))</f>
        <v/>
      </c>
      <c r="AG2169" s="96">
        <f>IF($A2169="",0,IF(AND(AE2169&lt;&gt;"직접",IFERROR(INDEX(계정매핑!$G$5:$G$504,MATCH($F2169&amp;"",계정매핑!$A$5:$A$504,0))&amp;"","")="유지비",COUNTIF(계정대체기준!$A$6:$A$15,$N2169)&gt;0),IFERROR(INDEX(계정대체기준!$E$6:$E$15,MATCH(VALUE($A2169&amp;""),계정대체기준!$D$6:$D$15,0)),0),0))</f>
        <v/>
      </c>
      <c r="AH2169" s="64">
        <f>IF($A2169="","",IF(AD2169=0,"",IF(OR(COUNTIF(계정대체기준!$A$77:$A$86,$N2169)&gt;0,ISNUMBER(MATCH($X2169,계정대체기준!$D$77:$D$86,0)),ISNUMBER(MATCH($F2169,계정대체기준!$D$77:$D$86,0))),"Y","N")))</f>
        <v/>
      </c>
    </row>
    <row r="2170">
      <c r="A2170" s="92" t="n">
        <v>2025</v>
      </c>
      <c r="B2170" s="92" t="n">
        <v>10</v>
      </c>
      <c r="C2170" s="92" t="inlineStr">
        <is>
          <t>5100002166</t>
        </is>
      </c>
      <c r="D2170" s="95" t="n">
        <v>45946</v>
      </c>
      <c r="E2170" s="92" t="inlineStr">
        <is>
          <t>KR</t>
        </is>
      </c>
      <c r="F2170" s="92" t="n">
        <v>62601000</v>
      </c>
      <c r="G2170" s="92" t="n">
        <v>1502</v>
      </c>
      <c r="H2170" s="93" t="n">
        <v>2818000</v>
      </c>
      <c r="I2170" s="92" t="inlineStr">
        <is>
          <t>10월 업무추진 - (법인카드)</t>
        </is>
      </c>
      <c r="J2170" s="92" t="inlineStr">
        <is>
          <t>V10010</t>
        </is>
      </c>
      <c r="K2170" s="92" t="inlineStr">
        <is>
          <t>(법인카드)</t>
        </is>
      </c>
      <c r="M2170" s="9">
        <f>IF($A2170="","",VALUE($A2170&amp;"")*12+VALUE($B2170&amp;""))</f>
        <v/>
      </c>
      <c r="N2170" s="64">
        <f>IF($A2170="","",IFERROR(INDEX(부서매핑!$C$5:$C$504,MATCH($G2170&amp;"",부서매핑!$A$5:$A$504,0)),"미매핑"))</f>
        <v/>
      </c>
      <c r="O2170" s="9">
        <f>IF($A2170="","",N2170&amp;"|"&amp;$F2170)</f>
        <v/>
      </c>
      <c r="P2170" s="94">
        <f>IF($A2170="",0,$H2170*설정!$C$23)</f>
        <v/>
      </c>
      <c r="Q2170" s="64">
        <f>IF($A2170="","",IF(O2170&lt;&gt;원인분석!$C$9,"",IF(AND(M2170&gt;=원인분석!$C$10,M2170&lt;=원인분석!$C$11),"당기",IF(AND(M2170&gt;=원인분석!$C$12,M2170&lt;=원인분석!$C$13),"비교",""))))</f>
        <v/>
      </c>
      <c r="R2170" s="9">
        <f>IF(Q2170="","",$K2170&amp;"")</f>
        <v/>
      </c>
      <c r="S2170" s="9">
        <f>IF(Q2170="","",IF(MATCH(R2170,$R$5:$R$100000,0)=ROW()-4,ROW(),""))</f>
        <v/>
      </c>
      <c r="T2170" s="9">
        <f>IF(Q2170="당기",ABS(P2170)+ROW()/1000000000,"")</f>
        <v/>
      </c>
      <c r="U2170" s="9">
        <f>IF(Q2170="비교",ABS(P2170)+ROW()/1000000000,"")</f>
        <v/>
      </c>
      <c r="V2170" s="64">
        <f>IF($A2170="","",IF(COUNTIF(변동분석!$E$7:$E$506,O2170)&gt;0,"Y","N"))</f>
        <v/>
      </c>
      <c r="W2170" s="64">
        <f>IF($A2170="","",IFERROR(INDEX(계정매핑!$D$5:$D$504,MATCH($F2170&amp;"",계정매핑!$A$5:$A$504,0)),"미매핑"))</f>
        <v/>
      </c>
      <c r="X2170" s="9">
        <f>IF($A2170="","",$F2170&amp;"")</f>
        <v/>
      </c>
      <c r="Y2170" s="94">
        <f>IF($A2170="",0,IF(AE2170="직접",IF(AF2170="비귀속",$P2170,0),$P2170*(1-AG2170)*IFERROR(INDEX(계정대체기준!$F$20:$F$49,MATCH($N2170,계정대체기준!$A$20:$A$49,0)),1)))</f>
        <v/>
      </c>
      <c r="Z2170" s="94">
        <f>IF($A2170="",0,IF(AE2170="직접",IF(AF2170="신계약비",$P2170,0),$P2170*(1-AG2170)*IFERROR(INDEX(계정대체기준!$C$20:$C$49,MATCH($N2170,계정대체기준!$A$20:$A$49,0)),0)))</f>
        <v/>
      </c>
      <c r="AA2170" s="94">
        <f>IF($A2170="",0,IF(AE2170="직접",IF(OR(AF2170="유지비",AF2170="손해조사비"),$P2170,0),$P2170*(1-AG2170)*IFERROR(INDEX(계정대체기준!$D$20:$D$49,MATCH($N2170,계정대체기준!$A$20:$A$49,0)),0)))</f>
        <v/>
      </c>
      <c r="AB2170" s="94">
        <f>IF($A2170="",0,IF(AE2170="직접",IF(AF2170="수금비",$P2170,0),$P2170*(1-AG2170)*IFERROR(INDEX(계정대체기준!$E$20:$E$49,MATCH($N2170,계정대체기준!$A$20:$A$49,0)),0)))</f>
        <v/>
      </c>
      <c r="AC2170" s="9">
        <f>IF(AND($A2170&lt;&gt;"",M2170=설정!$C$20,Z2170&gt;0),Z2170+ROW()/1000000000,"")</f>
        <v/>
      </c>
      <c r="AD2170" s="94">
        <f>IF($A2170="",0,$P2170*AG2170)</f>
        <v/>
      </c>
      <c r="AE2170" s="64">
        <f>IF($A2170="","",IFERROR(INDEX(계정매핑!$E$5:$E$504,MATCH($F2170&amp;"",계정매핑!$A$5:$A$504,0))&amp;"","공통비"))</f>
        <v/>
      </c>
      <c r="AF2170" s="64">
        <f>IF($A2170="","",IF(AE2170="직접",IFERROR(INDEX(계정매핑!$F$5:$F$504,MATCH($F2170&amp;"",계정매핑!$A$5:$A$504,0))&amp;"","비귀속"),""))</f>
        <v/>
      </c>
      <c r="AG2170" s="96">
        <f>IF($A2170="",0,IF(AND(AE2170&lt;&gt;"직접",IFERROR(INDEX(계정매핑!$G$5:$G$504,MATCH($F2170&amp;"",계정매핑!$A$5:$A$504,0))&amp;"","")="유지비",COUNTIF(계정대체기준!$A$6:$A$15,$N2170)&gt;0),IFERROR(INDEX(계정대체기준!$E$6:$E$15,MATCH(VALUE($A2170&amp;""),계정대체기준!$D$6:$D$15,0)),0),0))</f>
        <v/>
      </c>
      <c r="AH2170" s="64">
        <f>IF($A2170="","",IF(AD2170=0,"",IF(OR(COUNTIF(계정대체기준!$A$77:$A$86,$N2170)&gt;0,ISNUMBER(MATCH($X2170,계정대체기준!$D$77:$D$86,0)),ISNUMBER(MATCH($F2170,계정대체기준!$D$77:$D$86,0))),"Y","N")))</f>
        <v/>
      </c>
    </row>
    <row r="2171">
      <c r="A2171" s="92" t="n">
        <v>2025</v>
      </c>
      <c r="B2171" s="92" t="n">
        <v>10</v>
      </c>
      <c r="C2171" s="92" t="inlineStr">
        <is>
          <t>5100002167</t>
        </is>
      </c>
      <c r="D2171" s="95" t="n">
        <v>45946</v>
      </c>
      <c r="E2171" s="92" t="inlineStr">
        <is>
          <t>KR</t>
        </is>
      </c>
      <c r="F2171" s="92" t="n">
        <v>63101000</v>
      </c>
      <c r="G2171" s="92" t="n">
        <v>1602</v>
      </c>
      <c r="H2171" s="93" t="n">
        <v>6585000</v>
      </c>
      <c r="I2171" s="92" t="inlineStr">
        <is>
          <t>10월 사무실 임차료 - AA빌딩</t>
        </is>
      </c>
      <c r="J2171" s="92" t="inlineStr">
        <is>
          <t>V10007</t>
        </is>
      </c>
      <c r="K2171" s="92" t="inlineStr">
        <is>
          <t>AA빌딩</t>
        </is>
      </c>
      <c r="M2171" s="9">
        <f>IF($A2171="","",VALUE($A2171&amp;"")*12+VALUE($B2171&amp;""))</f>
        <v/>
      </c>
      <c r="N2171" s="64">
        <f>IF($A2171="","",IFERROR(INDEX(부서매핑!$C$5:$C$504,MATCH($G2171&amp;"",부서매핑!$A$5:$A$504,0)),"미매핑"))</f>
        <v/>
      </c>
      <c r="O2171" s="9">
        <f>IF($A2171="","",N2171&amp;"|"&amp;$F2171)</f>
        <v/>
      </c>
      <c r="P2171" s="94">
        <f>IF($A2171="",0,$H2171*설정!$C$23)</f>
        <v/>
      </c>
      <c r="Q2171" s="64">
        <f>IF($A2171="","",IF(O2171&lt;&gt;원인분석!$C$9,"",IF(AND(M2171&gt;=원인분석!$C$10,M2171&lt;=원인분석!$C$11),"당기",IF(AND(M2171&gt;=원인분석!$C$12,M2171&lt;=원인분석!$C$13),"비교",""))))</f>
        <v/>
      </c>
      <c r="R2171" s="9">
        <f>IF(Q2171="","",$K2171&amp;"")</f>
        <v/>
      </c>
      <c r="S2171" s="9">
        <f>IF(Q2171="","",IF(MATCH(R2171,$R$5:$R$100000,0)=ROW()-4,ROW(),""))</f>
        <v/>
      </c>
      <c r="T2171" s="9">
        <f>IF(Q2171="당기",ABS(P2171)+ROW()/1000000000,"")</f>
        <v/>
      </c>
      <c r="U2171" s="9">
        <f>IF(Q2171="비교",ABS(P2171)+ROW()/1000000000,"")</f>
        <v/>
      </c>
      <c r="V2171" s="64">
        <f>IF($A2171="","",IF(COUNTIF(변동분석!$E$7:$E$506,O2171)&gt;0,"Y","N"))</f>
        <v/>
      </c>
      <c r="W2171" s="64">
        <f>IF($A2171="","",IFERROR(INDEX(계정매핑!$D$5:$D$504,MATCH($F2171&amp;"",계정매핑!$A$5:$A$504,0)),"미매핑"))</f>
        <v/>
      </c>
      <c r="X2171" s="9">
        <f>IF($A2171="","",$F2171&amp;"")</f>
        <v/>
      </c>
      <c r="Y2171" s="94">
        <f>IF($A2171="",0,IF(AE2171="직접",IF(AF2171="비귀속",$P2171,0),$P2171*(1-AG2171)*IFERROR(INDEX(계정대체기준!$F$20:$F$49,MATCH($N2171,계정대체기준!$A$20:$A$49,0)),1)))</f>
        <v/>
      </c>
      <c r="Z2171" s="94">
        <f>IF($A2171="",0,IF(AE2171="직접",IF(AF2171="신계약비",$P2171,0),$P2171*(1-AG2171)*IFERROR(INDEX(계정대체기준!$C$20:$C$49,MATCH($N2171,계정대체기준!$A$20:$A$49,0)),0)))</f>
        <v/>
      </c>
      <c r="AA2171" s="94">
        <f>IF($A2171="",0,IF(AE2171="직접",IF(OR(AF2171="유지비",AF2171="손해조사비"),$P2171,0),$P2171*(1-AG2171)*IFERROR(INDEX(계정대체기준!$D$20:$D$49,MATCH($N2171,계정대체기준!$A$20:$A$49,0)),0)))</f>
        <v/>
      </c>
      <c r="AB2171" s="94">
        <f>IF($A2171="",0,IF(AE2171="직접",IF(AF2171="수금비",$P2171,0),$P2171*(1-AG2171)*IFERROR(INDEX(계정대체기준!$E$20:$E$49,MATCH($N2171,계정대체기준!$A$20:$A$49,0)),0)))</f>
        <v/>
      </c>
      <c r="AC2171" s="9">
        <f>IF(AND($A2171&lt;&gt;"",M2171=설정!$C$20,Z2171&gt;0),Z2171+ROW()/1000000000,"")</f>
        <v/>
      </c>
      <c r="AD2171" s="94">
        <f>IF($A2171="",0,$P2171*AG2171)</f>
        <v/>
      </c>
      <c r="AE2171" s="64">
        <f>IF($A2171="","",IFERROR(INDEX(계정매핑!$E$5:$E$504,MATCH($F2171&amp;"",계정매핑!$A$5:$A$504,0))&amp;"","공통비"))</f>
        <v/>
      </c>
      <c r="AF2171" s="64">
        <f>IF($A2171="","",IF(AE2171="직접",IFERROR(INDEX(계정매핑!$F$5:$F$504,MATCH($F2171&amp;"",계정매핑!$A$5:$A$504,0))&amp;"","비귀속"),""))</f>
        <v/>
      </c>
      <c r="AG2171" s="96">
        <f>IF($A2171="",0,IF(AND(AE2171&lt;&gt;"직접",IFERROR(INDEX(계정매핑!$G$5:$G$504,MATCH($F2171&amp;"",계정매핑!$A$5:$A$504,0))&amp;"","")="유지비",COUNTIF(계정대체기준!$A$6:$A$15,$N2171)&gt;0),IFERROR(INDEX(계정대체기준!$E$6:$E$15,MATCH(VALUE($A2171&amp;""),계정대체기준!$D$6:$D$15,0)),0),0))</f>
        <v/>
      </c>
      <c r="AH2171" s="64">
        <f>IF($A2171="","",IF(AD2171=0,"",IF(OR(COUNTIF(계정대체기준!$A$77:$A$86,$N2171)&gt;0,ISNUMBER(MATCH($X2171,계정대체기준!$D$77:$D$86,0)),ISNUMBER(MATCH($F2171,계정대체기준!$D$77:$D$86,0))),"Y","N")))</f>
        <v/>
      </c>
    </row>
    <row r="2172">
      <c r="A2172" s="92" t="n">
        <v>2025</v>
      </c>
      <c r="B2172" s="92" t="n">
        <v>10</v>
      </c>
      <c r="C2172" s="92" t="inlineStr">
        <is>
          <t>5100002168</t>
        </is>
      </c>
      <c r="D2172" s="95" t="n">
        <v>45947</v>
      </c>
      <c r="E2172" s="92" t="inlineStr">
        <is>
          <t>KR</t>
        </is>
      </c>
      <c r="F2172" s="92" t="n">
        <v>62102000</v>
      </c>
      <c r="G2172" s="92" t="n">
        <v>1501</v>
      </c>
      <c r="H2172" s="93" t="n">
        <v>174000</v>
      </c>
      <c r="I2172" s="92" t="inlineStr">
        <is>
          <t>10월 해외출장 - M항공</t>
        </is>
      </c>
      <c r="J2172" s="92" t="inlineStr">
        <is>
          <t>V10001</t>
        </is>
      </c>
      <c r="K2172" s="92" t="inlineStr">
        <is>
          <t>M항공</t>
        </is>
      </c>
      <c r="M2172" s="9">
        <f>IF($A2172="","",VALUE($A2172&amp;"")*12+VALUE($B2172&amp;""))</f>
        <v/>
      </c>
      <c r="N2172" s="64">
        <f>IF($A2172="","",IFERROR(INDEX(부서매핑!$C$5:$C$504,MATCH($G2172&amp;"",부서매핑!$A$5:$A$504,0)),"미매핑"))</f>
        <v/>
      </c>
      <c r="O2172" s="9">
        <f>IF($A2172="","",N2172&amp;"|"&amp;$F2172)</f>
        <v/>
      </c>
      <c r="P2172" s="94">
        <f>IF($A2172="",0,$H2172*설정!$C$23)</f>
        <v/>
      </c>
      <c r="Q2172" s="64">
        <f>IF($A2172="","",IF(O2172&lt;&gt;원인분석!$C$9,"",IF(AND(M2172&gt;=원인분석!$C$10,M2172&lt;=원인분석!$C$11),"당기",IF(AND(M2172&gt;=원인분석!$C$12,M2172&lt;=원인분석!$C$13),"비교",""))))</f>
        <v/>
      </c>
      <c r="R2172" s="9">
        <f>IF(Q2172="","",$K2172&amp;"")</f>
        <v/>
      </c>
      <c r="S2172" s="9">
        <f>IF(Q2172="","",IF(MATCH(R2172,$R$5:$R$100000,0)=ROW()-4,ROW(),""))</f>
        <v/>
      </c>
      <c r="T2172" s="9">
        <f>IF(Q2172="당기",ABS(P2172)+ROW()/1000000000,"")</f>
        <v/>
      </c>
      <c r="U2172" s="9">
        <f>IF(Q2172="비교",ABS(P2172)+ROW()/1000000000,"")</f>
        <v/>
      </c>
      <c r="V2172" s="64">
        <f>IF($A2172="","",IF(COUNTIF(변동분석!$E$7:$E$506,O2172)&gt;0,"Y","N"))</f>
        <v/>
      </c>
      <c r="W2172" s="64">
        <f>IF($A2172="","",IFERROR(INDEX(계정매핑!$D$5:$D$504,MATCH($F2172&amp;"",계정매핑!$A$5:$A$504,0)),"미매핑"))</f>
        <v/>
      </c>
      <c r="X2172" s="9">
        <f>IF($A2172="","",$F2172&amp;"")</f>
        <v/>
      </c>
      <c r="Y2172" s="94">
        <f>IF($A2172="",0,IF(AE2172="직접",IF(AF2172="비귀속",$P2172,0),$P2172*(1-AG2172)*IFERROR(INDEX(계정대체기준!$F$20:$F$49,MATCH($N2172,계정대체기준!$A$20:$A$49,0)),1)))</f>
        <v/>
      </c>
      <c r="Z2172" s="94">
        <f>IF($A2172="",0,IF(AE2172="직접",IF(AF2172="신계약비",$P2172,0),$P2172*(1-AG2172)*IFERROR(INDEX(계정대체기준!$C$20:$C$49,MATCH($N2172,계정대체기준!$A$20:$A$49,0)),0)))</f>
        <v/>
      </c>
      <c r="AA2172" s="94">
        <f>IF($A2172="",0,IF(AE2172="직접",IF(OR(AF2172="유지비",AF2172="손해조사비"),$P2172,0),$P2172*(1-AG2172)*IFERROR(INDEX(계정대체기준!$D$20:$D$49,MATCH($N2172,계정대체기준!$A$20:$A$49,0)),0)))</f>
        <v/>
      </c>
      <c r="AB2172" s="94">
        <f>IF($A2172="",0,IF(AE2172="직접",IF(AF2172="수금비",$P2172,0),$P2172*(1-AG2172)*IFERROR(INDEX(계정대체기준!$E$20:$E$49,MATCH($N2172,계정대체기준!$A$20:$A$49,0)),0)))</f>
        <v/>
      </c>
      <c r="AC2172" s="9">
        <f>IF(AND($A2172&lt;&gt;"",M2172=설정!$C$20,Z2172&gt;0),Z2172+ROW()/1000000000,"")</f>
        <v/>
      </c>
      <c r="AD2172" s="94">
        <f>IF($A2172="",0,$P2172*AG2172)</f>
        <v/>
      </c>
      <c r="AE2172" s="64">
        <f>IF($A2172="","",IFERROR(INDEX(계정매핑!$E$5:$E$504,MATCH($F2172&amp;"",계정매핑!$A$5:$A$504,0))&amp;"","공통비"))</f>
        <v/>
      </c>
      <c r="AF2172" s="64">
        <f>IF($A2172="","",IF(AE2172="직접",IFERROR(INDEX(계정매핑!$F$5:$F$504,MATCH($F2172&amp;"",계정매핑!$A$5:$A$504,0))&amp;"","비귀속"),""))</f>
        <v/>
      </c>
      <c r="AG2172" s="96">
        <f>IF($A2172="",0,IF(AND(AE2172&lt;&gt;"직접",IFERROR(INDEX(계정매핑!$G$5:$G$504,MATCH($F2172&amp;"",계정매핑!$A$5:$A$504,0))&amp;"","")="유지비",COUNTIF(계정대체기준!$A$6:$A$15,$N2172)&gt;0),IFERROR(INDEX(계정대체기준!$E$6:$E$15,MATCH(VALUE($A2172&amp;""),계정대체기준!$D$6:$D$15,0)),0),0))</f>
        <v/>
      </c>
      <c r="AH2172" s="64">
        <f>IF($A2172="","",IF(AD2172=0,"",IF(OR(COUNTIF(계정대체기준!$A$77:$A$86,$N2172)&gt;0,ISNUMBER(MATCH($X2172,계정대체기준!$D$77:$D$86,0)),ISNUMBER(MATCH($F2172,계정대체기준!$D$77:$D$86,0))),"Y","N")))</f>
        <v/>
      </c>
    </row>
    <row r="2173">
      <c r="A2173" s="92" t="n">
        <v>2025</v>
      </c>
      <c r="B2173" s="92" t="n">
        <v>10</v>
      </c>
      <c r="C2173" s="92" t="inlineStr">
        <is>
          <t>5100002169</t>
        </is>
      </c>
      <c r="D2173" s="95" t="n">
        <v>45947</v>
      </c>
      <c r="E2173" s="92" t="inlineStr">
        <is>
          <t>KR</t>
        </is>
      </c>
      <c r="F2173" s="92" t="n">
        <v>62201000</v>
      </c>
      <c r="G2173" s="92" t="n">
        <v>1951</v>
      </c>
      <c r="H2173" s="93" t="n">
        <v>219000</v>
      </c>
      <c r="I2173" s="92" t="inlineStr">
        <is>
          <t>10월 통신요금 - P통신</t>
        </is>
      </c>
      <c r="J2173" s="92" t="inlineStr">
        <is>
          <t>V10014</t>
        </is>
      </c>
      <c r="K2173" s="92" t="inlineStr">
        <is>
          <t>P통신</t>
        </is>
      </c>
      <c r="M2173" s="9">
        <f>IF($A2173="","",VALUE($A2173&amp;"")*12+VALUE($B2173&amp;""))</f>
        <v/>
      </c>
      <c r="N2173" s="64">
        <f>IF($A2173="","",IFERROR(INDEX(부서매핑!$C$5:$C$504,MATCH($G2173&amp;"",부서매핑!$A$5:$A$504,0)),"미매핑"))</f>
        <v/>
      </c>
      <c r="O2173" s="9">
        <f>IF($A2173="","",N2173&amp;"|"&amp;$F2173)</f>
        <v/>
      </c>
      <c r="P2173" s="94">
        <f>IF($A2173="",0,$H2173*설정!$C$23)</f>
        <v/>
      </c>
      <c r="Q2173" s="64">
        <f>IF($A2173="","",IF(O2173&lt;&gt;원인분석!$C$9,"",IF(AND(M2173&gt;=원인분석!$C$10,M2173&lt;=원인분석!$C$11),"당기",IF(AND(M2173&gt;=원인분석!$C$12,M2173&lt;=원인분석!$C$13),"비교",""))))</f>
        <v/>
      </c>
      <c r="R2173" s="9">
        <f>IF(Q2173="","",$K2173&amp;"")</f>
        <v/>
      </c>
      <c r="S2173" s="9">
        <f>IF(Q2173="","",IF(MATCH(R2173,$R$5:$R$100000,0)=ROW()-4,ROW(),""))</f>
        <v/>
      </c>
      <c r="T2173" s="9">
        <f>IF(Q2173="당기",ABS(P2173)+ROW()/1000000000,"")</f>
        <v/>
      </c>
      <c r="U2173" s="9">
        <f>IF(Q2173="비교",ABS(P2173)+ROW()/1000000000,"")</f>
        <v/>
      </c>
      <c r="V2173" s="64">
        <f>IF($A2173="","",IF(COUNTIF(변동분석!$E$7:$E$506,O2173)&gt;0,"Y","N"))</f>
        <v/>
      </c>
      <c r="W2173" s="64">
        <f>IF($A2173="","",IFERROR(INDEX(계정매핑!$D$5:$D$504,MATCH($F2173&amp;"",계정매핑!$A$5:$A$504,0)),"미매핑"))</f>
        <v/>
      </c>
      <c r="X2173" s="9">
        <f>IF($A2173="","",$F2173&amp;"")</f>
        <v/>
      </c>
      <c r="Y2173" s="94">
        <f>IF($A2173="",0,IF(AE2173="직접",IF(AF2173="비귀속",$P2173,0),$P2173*(1-AG2173)*IFERROR(INDEX(계정대체기준!$F$20:$F$49,MATCH($N2173,계정대체기준!$A$20:$A$49,0)),1)))</f>
        <v/>
      </c>
      <c r="Z2173" s="94">
        <f>IF($A2173="",0,IF(AE2173="직접",IF(AF2173="신계약비",$P2173,0),$P2173*(1-AG2173)*IFERROR(INDEX(계정대체기준!$C$20:$C$49,MATCH($N2173,계정대체기준!$A$20:$A$49,0)),0)))</f>
        <v/>
      </c>
      <c r="AA2173" s="94">
        <f>IF($A2173="",0,IF(AE2173="직접",IF(OR(AF2173="유지비",AF2173="손해조사비"),$P2173,0),$P2173*(1-AG2173)*IFERROR(INDEX(계정대체기준!$D$20:$D$49,MATCH($N2173,계정대체기준!$A$20:$A$49,0)),0)))</f>
        <v/>
      </c>
      <c r="AB2173" s="94">
        <f>IF($A2173="",0,IF(AE2173="직접",IF(AF2173="수금비",$P2173,0),$P2173*(1-AG2173)*IFERROR(INDEX(계정대체기준!$E$20:$E$49,MATCH($N2173,계정대체기준!$A$20:$A$49,0)),0)))</f>
        <v/>
      </c>
      <c r="AC2173" s="9">
        <f>IF(AND($A2173&lt;&gt;"",M2173=설정!$C$20,Z2173&gt;0),Z2173+ROW()/1000000000,"")</f>
        <v/>
      </c>
      <c r="AD2173" s="94">
        <f>IF($A2173="",0,$P2173*AG2173)</f>
        <v/>
      </c>
      <c r="AE2173" s="64">
        <f>IF($A2173="","",IFERROR(INDEX(계정매핑!$E$5:$E$504,MATCH($F2173&amp;"",계정매핑!$A$5:$A$504,0))&amp;"","공통비"))</f>
        <v/>
      </c>
      <c r="AF2173" s="64">
        <f>IF($A2173="","",IF(AE2173="직접",IFERROR(INDEX(계정매핑!$F$5:$F$504,MATCH($F2173&amp;"",계정매핑!$A$5:$A$504,0))&amp;"","비귀속"),""))</f>
        <v/>
      </c>
      <c r="AG2173" s="96">
        <f>IF($A2173="",0,IF(AND(AE2173&lt;&gt;"직접",IFERROR(INDEX(계정매핑!$G$5:$G$504,MATCH($F2173&amp;"",계정매핑!$A$5:$A$504,0))&amp;"","")="유지비",COUNTIF(계정대체기준!$A$6:$A$15,$N2173)&gt;0),IFERROR(INDEX(계정대체기준!$E$6:$E$15,MATCH(VALUE($A2173&amp;""),계정대체기준!$D$6:$D$15,0)),0),0))</f>
        <v/>
      </c>
      <c r="AH2173" s="64">
        <f>IF($A2173="","",IF(AD2173=0,"",IF(OR(COUNTIF(계정대체기준!$A$77:$A$86,$N2173)&gt;0,ISNUMBER(MATCH($X2173,계정대체기준!$D$77:$D$86,0)),ISNUMBER(MATCH($F2173,계정대체기준!$D$77:$D$86,0))),"Y","N")))</f>
        <v/>
      </c>
    </row>
    <row r="2174">
      <c r="A2174" s="92" t="n">
        <v>2025</v>
      </c>
      <c r="B2174" s="92" t="n">
        <v>10</v>
      </c>
      <c r="C2174" s="92" t="inlineStr">
        <is>
          <t>5100002170</t>
        </is>
      </c>
      <c r="D2174" s="95" t="n">
        <v>45947</v>
      </c>
      <c r="E2174" s="92" t="inlineStr">
        <is>
          <t>KR</t>
        </is>
      </c>
      <c r="F2174" s="92" t="n">
        <v>62301000</v>
      </c>
      <c r="G2174" s="92" t="n">
        <v>1301</v>
      </c>
      <c r="H2174" s="93" t="n">
        <v>328000</v>
      </c>
      <c r="I2174" s="92" t="inlineStr">
        <is>
          <t>10월 소모품 구입 - R문구</t>
        </is>
      </c>
      <c r="J2174" s="92" t="inlineStr">
        <is>
          <t>V10022</t>
        </is>
      </c>
      <c r="K2174" s="92" t="inlineStr">
        <is>
          <t>R문구</t>
        </is>
      </c>
      <c r="M2174" s="9">
        <f>IF($A2174="","",VALUE($A2174&amp;"")*12+VALUE($B2174&amp;""))</f>
        <v/>
      </c>
      <c r="N2174" s="64">
        <f>IF($A2174="","",IFERROR(INDEX(부서매핑!$C$5:$C$504,MATCH($G2174&amp;"",부서매핑!$A$5:$A$504,0)),"미매핑"))</f>
        <v/>
      </c>
      <c r="O2174" s="9">
        <f>IF($A2174="","",N2174&amp;"|"&amp;$F2174)</f>
        <v/>
      </c>
      <c r="P2174" s="94">
        <f>IF($A2174="",0,$H2174*설정!$C$23)</f>
        <v/>
      </c>
      <c r="Q2174" s="64">
        <f>IF($A2174="","",IF(O2174&lt;&gt;원인분석!$C$9,"",IF(AND(M2174&gt;=원인분석!$C$10,M2174&lt;=원인분석!$C$11),"당기",IF(AND(M2174&gt;=원인분석!$C$12,M2174&lt;=원인분석!$C$13),"비교",""))))</f>
        <v/>
      </c>
      <c r="R2174" s="9">
        <f>IF(Q2174="","",$K2174&amp;"")</f>
        <v/>
      </c>
      <c r="S2174" s="9">
        <f>IF(Q2174="","",IF(MATCH(R2174,$R$5:$R$100000,0)=ROW()-4,ROW(),""))</f>
        <v/>
      </c>
      <c r="T2174" s="9">
        <f>IF(Q2174="당기",ABS(P2174)+ROW()/1000000000,"")</f>
        <v/>
      </c>
      <c r="U2174" s="9">
        <f>IF(Q2174="비교",ABS(P2174)+ROW()/1000000000,"")</f>
        <v/>
      </c>
      <c r="V2174" s="64">
        <f>IF($A2174="","",IF(COUNTIF(변동분석!$E$7:$E$506,O2174)&gt;0,"Y","N"))</f>
        <v/>
      </c>
      <c r="W2174" s="64">
        <f>IF($A2174="","",IFERROR(INDEX(계정매핑!$D$5:$D$504,MATCH($F2174&amp;"",계정매핑!$A$5:$A$504,0)),"미매핑"))</f>
        <v/>
      </c>
      <c r="X2174" s="9">
        <f>IF($A2174="","",$F2174&amp;"")</f>
        <v/>
      </c>
      <c r="Y2174" s="94">
        <f>IF($A2174="",0,IF(AE2174="직접",IF(AF2174="비귀속",$P2174,0),$P2174*(1-AG2174)*IFERROR(INDEX(계정대체기준!$F$20:$F$49,MATCH($N2174,계정대체기준!$A$20:$A$49,0)),1)))</f>
        <v/>
      </c>
      <c r="Z2174" s="94">
        <f>IF($A2174="",0,IF(AE2174="직접",IF(AF2174="신계약비",$P2174,0),$P2174*(1-AG2174)*IFERROR(INDEX(계정대체기준!$C$20:$C$49,MATCH($N2174,계정대체기준!$A$20:$A$49,0)),0)))</f>
        <v/>
      </c>
      <c r="AA2174" s="94">
        <f>IF($A2174="",0,IF(AE2174="직접",IF(OR(AF2174="유지비",AF2174="손해조사비"),$P2174,0),$P2174*(1-AG2174)*IFERROR(INDEX(계정대체기준!$D$20:$D$49,MATCH($N2174,계정대체기준!$A$20:$A$49,0)),0)))</f>
        <v/>
      </c>
      <c r="AB2174" s="94">
        <f>IF($A2174="",0,IF(AE2174="직접",IF(AF2174="수금비",$P2174,0),$P2174*(1-AG2174)*IFERROR(INDEX(계정대체기준!$E$20:$E$49,MATCH($N2174,계정대체기준!$A$20:$A$49,0)),0)))</f>
        <v/>
      </c>
      <c r="AC2174" s="9">
        <f>IF(AND($A2174&lt;&gt;"",M2174=설정!$C$20,Z2174&gt;0),Z2174+ROW()/1000000000,"")</f>
        <v/>
      </c>
      <c r="AD2174" s="94">
        <f>IF($A2174="",0,$P2174*AG2174)</f>
        <v/>
      </c>
      <c r="AE2174" s="64">
        <f>IF($A2174="","",IFERROR(INDEX(계정매핑!$E$5:$E$504,MATCH($F2174&amp;"",계정매핑!$A$5:$A$504,0))&amp;"","공통비"))</f>
        <v/>
      </c>
      <c r="AF2174" s="64">
        <f>IF($A2174="","",IF(AE2174="직접",IFERROR(INDEX(계정매핑!$F$5:$F$504,MATCH($F2174&amp;"",계정매핑!$A$5:$A$504,0))&amp;"","비귀속"),""))</f>
        <v/>
      </c>
      <c r="AG2174" s="96">
        <f>IF($A2174="",0,IF(AND(AE2174&lt;&gt;"직접",IFERROR(INDEX(계정매핑!$G$5:$G$504,MATCH($F2174&amp;"",계정매핑!$A$5:$A$504,0))&amp;"","")="유지비",COUNTIF(계정대체기준!$A$6:$A$15,$N2174)&gt;0),IFERROR(INDEX(계정대체기준!$E$6:$E$15,MATCH(VALUE($A2174&amp;""),계정대체기준!$D$6:$D$15,0)),0),0))</f>
        <v/>
      </c>
      <c r="AH2174" s="64">
        <f>IF($A2174="","",IF(AD2174=0,"",IF(OR(COUNTIF(계정대체기준!$A$77:$A$86,$N2174)&gt;0,ISNUMBER(MATCH($X2174,계정대체기준!$D$77:$D$86,0)),ISNUMBER(MATCH($F2174,계정대체기준!$D$77:$D$86,0))),"Y","N")))</f>
        <v/>
      </c>
    </row>
    <row r="2175">
      <c r="A2175" s="92" t="n">
        <v>2025</v>
      </c>
      <c r="B2175" s="92" t="n">
        <v>10</v>
      </c>
      <c r="C2175" s="92" t="inlineStr">
        <is>
          <t>5100002171</t>
        </is>
      </c>
      <c r="D2175" s="95" t="n">
        <v>45947</v>
      </c>
      <c r="E2175" s="92" t="inlineStr">
        <is>
          <t>KR</t>
        </is>
      </c>
      <c r="F2175" s="92" t="n">
        <v>62401000</v>
      </c>
      <c r="G2175" s="92" t="n">
        <v>1401</v>
      </c>
      <c r="H2175" s="93" t="n">
        <v>201000</v>
      </c>
      <c r="I2175" s="92" t="inlineStr">
        <is>
          <t>10월 인쇄물 제작 - G인쇄</t>
        </is>
      </c>
      <c r="J2175" s="92" t="inlineStr">
        <is>
          <t>V10004</t>
        </is>
      </c>
      <c r="K2175" s="92" t="inlineStr">
        <is>
          <t>G인쇄</t>
        </is>
      </c>
      <c r="M2175" s="9">
        <f>IF($A2175="","",VALUE($A2175&amp;"")*12+VALUE($B2175&amp;""))</f>
        <v/>
      </c>
      <c r="N2175" s="64">
        <f>IF($A2175="","",IFERROR(INDEX(부서매핑!$C$5:$C$504,MATCH($G2175&amp;"",부서매핑!$A$5:$A$504,0)),"미매핑"))</f>
        <v/>
      </c>
      <c r="O2175" s="9">
        <f>IF($A2175="","",N2175&amp;"|"&amp;$F2175)</f>
        <v/>
      </c>
      <c r="P2175" s="94">
        <f>IF($A2175="",0,$H2175*설정!$C$23)</f>
        <v/>
      </c>
      <c r="Q2175" s="64">
        <f>IF($A2175="","",IF(O2175&lt;&gt;원인분석!$C$9,"",IF(AND(M2175&gt;=원인분석!$C$10,M2175&lt;=원인분석!$C$11),"당기",IF(AND(M2175&gt;=원인분석!$C$12,M2175&lt;=원인분석!$C$13),"비교",""))))</f>
        <v/>
      </c>
      <c r="R2175" s="9">
        <f>IF(Q2175="","",$K2175&amp;"")</f>
        <v/>
      </c>
      <c r="S2175" s="9">
        <f>IF(Q2175="","",IF(MATCH(R2175,$R$5:$R$100000,0)=ROW()-4,ROW(),""))</f>
        <v/>
      </c>
      <c r="T2175" s="9">
        <f>IF(Q2175="당기",ABS(P2175)+ROW()/1000000000,"")</f>
        <v/>
      </c>
      <c r="U2175" s="9">
        <f>IF(Q2175="비교",ABS(P2175)+ROW()/1000000000,"")</f>
        <v/>
      </c>
      <c r="V2175" s="64">
        <f>IF($A2175="","",IF(COUNTIF(변동분석!$E$7:$E$506,O2175)&gt;0,"Y","N"))</f>
        <v/>
      </c>
      <c r="W2175" s="64">
        <f>IF($A2175="","",IFERROR(INDEX(계정매핑!$D$5:$D$504,MATCH($F2175&amp;"",계정매핑!$A$5:$A$504,0)),"미매핑"))</f>
        <v/>
      </c>
      <c r="X2175" s="9">
        <f>IF($A2175="","",$F2175&amp;"")</f>
        <v/>
      </c>
      <c r="Y2175" s="94">
        <f>IF($A2175="",0,IF(AE2175="직접",IF(AF2175="비귀속",$P2175,0),$P2175*(1-AG2175)*IFERROR(INDEX(계정대체기준!$F$20:$F$49,MATCH($N2175,계정대체기준!$A$20:$A$49,0)),1)))</f>
        <v/>
      </c>
      <c r="Z2175" s="94">
        <f>IF($A2175="",0,IF(AE2175="직접",IF(AF2175="신계약비",$P2175,0),$P2175*(1-AG2175)*IFERROR(INDEX(계정대체기준!$C$20:$C$49,MATCH($N2175,계정대체기준!$A$20:$A$49,0)),0)))</f>
        <v/>
      </c>
      <c r="AA2175" s="94">
        <f>IF($A2175="",0,IF(AE2175="직접",IF(OR(AF2175="유지비",AF2175="손해조사비"),$P2175,0),$P2175*(1-AG2175)*IFERROR(INDEX(계정대체기준!$D$20:$D$49,MATCH($N2175,계정대체기준!$A$20:$A$49,0)),0)))</f>
        <v/>
      </c>
      <c r="AB2175" s="94">
        <f>IF($A2175="",0,IF(AE2175="직접",IF(AF2175="수금비",$P2175,0),$P2175*(1-AG2175)*IFERROR(INDEX(계정대체기준!$E$20:$E$49,MATCH($N2175,계정대체기준!$A$20:$A$49,0)),0)))</f>
        <v/>
      </c>
      <c r="AC2175" s="9">
        <f>IF(AND($A2175&lt;&gt;"",M2175=설정!$C$20,Z2175&gt;0),Z2175+ROW()/1000000000,"")</f>
        <v/>
      </c>
      <c r="AD2175" s="94">
        <f>IF($A2175="",0,$P2175*AG2175)</f>
        <v/>
      </c>
      <c r="AE2175" s="64">
        <f>IF($A2175="","",IFERROR(INDEX(계정매핑!$E$5:$E$504,MATCH($F2175&amp;"",계정매핑!$A$5:$A$504,0))&amp;"","공통비"))</f>
        <v/>
      </c>
      <c r="AF2175" s="64">
        <f>IF($A2175="","",IF(AE2175="직접",IFERROR(INDEX(계정매핑!$F$5:$F$504,MATCH($F2175&amp;"",계정매핑!$A$5:$A$504,0))&amp;"","비귀속"),""))</f>
        <v/>
      </c>
      <c r="AG2175" s="96">
        <f>IF($A2175="",0,IF(AND(AE2175&lt;&gt;"직접",IFERROR(INDEX(계정매핑!$G$5:$G$504,MATCH($F2175&amp;"",계정매핑!$A$5:$A$504,0))&amp;"","")="유지비",COUNTIF(계정대체기준!$A$6:$A$15,$N2175)&gt;0),IFERROR(INDEX(계정대체기준!$E$6:$E$15,MATCH(VALUE($A2175&amp;""),계정대체기준!$D$6:$D$15,0)),0),0))</f>
        <v/>
      </c>
      <c r="AH2175" s="64">
        <f>IF($A2175="","",IF(AD2175=0,"",IF(OR(COUNTIF(계정대체기준!$A$77:$A$86,$N2175)&gt;0,ISNUMBER(MATCH($X2175,계정대체기준!$D$77:$D$86,0)),ISNUMBER(MATCH($F2175,계정대체기준!$D$77:$D$86,0))),"Y","N")))</f>
        <v/>
      </c>
    </row>
    <row r="2176">
      <c r="A2176" s="92" t="n">
        <v>2025</v>
      </c>
      <c r="B2176" s="92" t="n">
        <v>10</v>
      </c>
      <c r="C2176" s="92" t="inlineStr">
        <is>
          <t>5100002172</t>
        </is>
      </c>
      <c r="D2176" s="95" t="n">
        <v>45947</v>
      </c>
      <c r="E2176" s="92" t="inlineStr">
        <is>
          <t>KR</t>
        </is>
      </c>
      <c r="F2176" s="92" t="n">
        <v>62501000</v>
      </c>
      <c r="G2176" s="92" t="n">
        <v>1801</v>
      </c>
      <c r="H2176" s="93" t="n">
        <v>77000</v>
      </c>
      <c r="I2176" s="92" t="inlineStr">
        <is>
          <t>10월 회의 다과 - (법인카드)</t>
        </is>
      </c>
      <c r="J2176" s="92" t="inlineStr">
        <is>
          <t>V10010</t>
        </is>
      </c>
      <c r="K2176" s="92" t="inlineStr">
        <is>
          <t>(법인카드)</t>
        </is>
      </c>
      <c r="M2176" s="9">
        <f>IF($A2176="","",VALUE($A2176&amp;"")*12+VALUE($B2176&amp;""))</f>
        <v/>
      </c>
      <c r="N2176" s="64">
        <f>IF($A2176="","",IFERROR(INDEX(부서매핑!$C$5:$C$504,MATCH($G2176&amp;"",부서매핑!$A$5:$A$504,0)),"미매핑"))</f>
        <v/>
      </c>
      <c r="O2176" s="9">
        <f>IF($A2176="","",N2176&amp;"|"&amp;$F2176)</f>
        <v/>
      </c>
      <c r="P2176" s="94">
        <f>IF($A2176="",0,$H2176*설정!$C$23)</f>
        <v/>
      </c>
      <c r="Q2176" s="64">
        <f>IF($A2176="","",IF(O2176&lt;&gt;원인분석!$C$9,"",IF(AND(M2176&gt;=원인분석!$C$10,M2176&lt;=원인분석!$C$11),"당기",IF(AND(M2176&gt;=원인분석!$C$12,M2176&lt;=원인분석!$C$13),"비교",""))))</f>
        <v/>
      </c>
      <c r="R2176" s="9">
        <f>IF(Q2176="","",$K2176&amp;"")</f>
        <v/>
      </c>
      <c r="S2176" s="9">
        <f>IF(Q2176="","",IF(MATCH(R2176,$R$5:$R$100000,0)=ROW()-4,ROW(),""))</f>
        <v/>
      </c>
      <c r="T2176" s="9">
        <f>IF(Q2176="당기",ABS(P2176)+ROW()/1000000000,"")</f>
        <v/>
      </c>
      <c r="U2176" s="9">
        <f>IF(Q2176="비교",ABS(P2176)+ROW()/1000000000,"")</f>
        <v/>
      </c>
      <c r="V2176" s="64">
        <f>IF($A2176="","",IF(COUNTIF(변동분석!$E$7:$E$506,O2176)&gt;0,"Y","N"))</f>
        <v/>
      </c>
      <c r="W2176" s="64">
        <f>IF($A2176="","",IFERROR(INDEX(계정매핑!$D$5:$D$504,MATCH($F2176&amp;"",계정매핑!$A$5:$A$504,0)),"미매핑"))</f>
        <v/>
      </c>
      <c r="X2176" s="9">
        <f>IF($A2176="","",$F2176&amp;"")</f>
        <v/>
      </c>
      <c r="Y2176" s="94">
        <f>IF($A2176="",0,IF(AE2176="직접",IF(AF2176="비귀속",$P2176,0),$P2176*(1-AG2176)*IFERROR(INDEX(계정대체기준!$F$20:$F$49,MATCH($N2176,계정대체기준!$A$20:$A$49,0)),1)))</f>
        <v/>
      </c>
      <c r="Z2176" s="94">
        <f>IF($A2176="",0,IF(AE2176="직접",IF(AF2176="신계약비",$P2176,0),$P2176*(1-AG2176)*IFERROR(INDEX(계정대체기준!$C$20:$C$49,MATCH($N2176,계정대체기준!$A$20:$A$49,0)),0)))</f>
        <v/>
      </c>
      <c r="AA2176" s="94">
        <f>IF($A2176="",0,IF(AE2176="직접",IF(OR(AF2176="유지비",AF2176="손해조사비"),$P2176,0),$P2176*(1-AG2176)*IFERROR(INDEX(계정대체기준!$D$20:$D$49,MATCH($N2176,계정대체기준!$A$20:$A$49,0)),0)))</f>
        <v/>
      </c>
      <c r="AB2176" s="94">
        <f>IF($A2176="",0,IF(AE2176="직접",IF(AF2176="수금비",$P2176,0),$P2176*(1-AG2176)*IFERROR(INDEX(계정대체기준!$E$20:$E$49,MATCH($N2176,계정대체기준!$A$20:$A$49,0)),0)))</f>
        <v/>
      </c>
      <c r="AC2176" s="9">
        <f>IF(AND($A2176&lt;&gt;"",M2176=설정!$C$20,Z2176&gt;0),Z2176+ROW()/1000000000,"")</f>
        <v/>
      </c>
      <c r="AD2176" s="94">
        <f>IF($A2176="",0,$P2176*AG2176)</f>
        <v/>
      </c>
      <c r="AE2176" s="64">
        <f>IF($A2176="","",IFERROR(INDEX(계정매핑!$E$5:$E$504,MATCH($F2176&amp;"",계정매핑!$A$5:$A$504,0))&amp;"","공통비"))</f>
        <v/>
      </c>
      <c r="AF2176" s="64">
        <f>IF($A2176="","",IF(AE2176="직접",IFERROR(INDEX(계정매핑!$F$5:$F$504,MATCH($F2176&amp;"",계정매핑!$A$5:$A$504,0))&amp;"","비귀속"),""))</f>
        <v/>
      </c>
      <c r="AG2176" s="96">
        <f>IF($A2176="",0,IF(AND(AE2176&lt;&gt;"직접",IFERROR(INDEX(계정매핑!$G$5:$G$504,MATCH($F2176&amp;"",계정매핑!$A$5:$A$504,0))&amp;"","")="유지비",COUNTIF(계정대체기준!$A$6:$A$15,$N2176)&gt;0),IFERROR(INDEX(계정대체기준!$E$6:$E$15,MATCH(VALUE($A2176&amp;""),계정대체기준!$D$6:$D$15,0)),0),0))</f>
        <v/>
      </c>
      <c r="AH2176" s="64">
        <f>IF($A2176="","",IF(AD2176=0,"",IF(OR(COUNTIF(계정대체기준!$A$77:$A$86,$N2176)&gt;0,ISNUMBER(MATCH($X2176,계정대체기준!$D$77:$D$86,0)),ISNUMBER(MATCH($F2176,계정대체기준!$D$77:$D$86,0))),"Y","N")))</f>
        <v/>
      </c>
    </row>
    <row r="2177">
      <c r="A2177" s="92" t="n">
        <v>2025</v>
      </c>
      <c r="B2177" s="92" t="n">
        <v>10</v>
      </c>
      <c r="C2177" s="92" t="inlineStr">
        <is>
          <t>5100002173</t>
        </is>
      </c>
      <c r="D2177" s="95" t="n">
        <v>45947</v>
      </c>
      <c r="E2177" s="92" t="inlineStr">
        <is>
          <t>KR</t>
        </is>
      </c>
      <c r="F2177" s="92" t="n">
        <v>62902000</v>
      </c>
      <c r="G2177" s="92" t="n">
        <v>1401</v>
      </c>
      <c r="H2177" s="93" t="n">
        <v>3196000</v>
      </c>
      <c r="I2177" s="92" t="inlineStr">
        <is>
          <t>10월 업무 위탁 수수료 - J콜센터</t>
        </is>
      </c>
      <c r="J2177" s="92" t="inlineStr">
        <is>
          <t>V10016</t>
        </is>
      </c>
      <c r="K2177" s="92" t="inlineStr">
        <is>
          <t>J콜센터</t>
        </is>
      </c>
      <c r="M2177" s="9">
        <f>IF($A2177="","",VALUE($A2177&amp;"")*12+VALUE($B2177&amp;""))</f>
        <v/>
      </c>
      <c r="N2177" s="64">
        <f>IF($A2177="","",IFERROR(INDEX(부서매핑!$C$5:$C$504,MATCH($G2177&amp;"",부서매핑!$A$5:$A$504,0)),"미매핑"))</f>
        <v/>
      </c>
      <c r="O2177" s="9">
        <f>IF($A2177="","",N2177&amp;"|"&amp;$F2177)</f>
        <v/>
      </c>
      <c r="P2177" s="94">
        <f>IF($A2177="",0,$H2177*설정!$C$23)</f>
        <v/>
      </c>
      <c r="Q2177" s="64">
        <f>IF($A2177="","",IF(O2177&lt;&gt;원인분석!$C$9,"",IF(AND(M2177&gt;=원인분석!$C$10,M2177&lt;=원인분석!$C$11),"당기",IF(AND(M2177&gt;=원인분석!$C$12,M2177&lt;=원인분석!$C$13),"비교",""))))</f>
        <v/>
      </c>
      <c r="R2177" s="9">
        <f>IF(Q2177="","",$K2177&amp;"")</f>
        <v/>
      </c>
      <c r="S2177" s="9">
        <f>IF(Q2177="","",IF(MATCH(R2177,$R$5:$R$100000,0)=ROW()-4,ROW(),""))</f>
        <v/>
      </c>
      <c r="T2177" s="9">
        <f>IF(Q2177="당기",ABS(P2177)+ROW()/1000000000,"")</f>
        <v/>
      </c>
      <c r="U2177" s="9">
        <f>IF(Q2177="비교",ABS(P2177)+ROW()/1000000000,"")</f>
        <v/>
      </c>
      <c r="V2177" s="64">
        <f>IF($A2177="","",IF(COUNTIF(변동분석!$E$7:$E$506,O2177)&gt;0,"Y","N"))</f>
        <v/>
      </c>
      <c r="W2177" s="64">
        <f>IF($A2177="","",IFERROR(INDEX(계정매핑!$D$5:$D$504,MATCH($F2177&amp;"",계정매핑!$A$5:$A$504,0)),"미매핑"))</f>
        <v/>
      </c>
      <c r="X2177" s="9">
        <f>IF($A2177="","",$F2177&amp;"")</f>
        <v/>
      </c>
      <c r="Y2177" s="94">
        <f>IF($A2177="",0,IF(AE2177="직접",IF(AF2177="비귀속",$P2177,0),$P2177*(1-AG2177)*IFERROR(INDEX(계정대체기준!$F$20:$F$49,MATCH($N2177,계정대체기준!$A$20:$A$49,0)),1)))</f>
        <v/>
      </c>
      <c r="Z2177" s="94">
        <f>IF($A2177="",0,IF(AE2177="직접",IF(AF2177="신계약비",$P2177,0),$P2177*(1-AG2177)*IFERROR(INDEX(계정대체기준!$C$20:$C$49,MATCH($N2177,계정대체기준!$A$20:$A$49,0)),0)))</f>
        <v/>
      </c>
      <c r="AA2177" s="94">
        <f>IF($A2177="",0,IF(AE2177="직접",IF(OR(AF2177="유지비",AF2177="손해조사비"),$P2177,0),$P2177*(1-AG2177)*IFERROR(INDEX(계정대체기준!$D$20:$D$49,MATCH($N2177,계정대체기준!$A$20:$A$49,0)),0)))</f>
        <v/>
      </c>
      <c r="AB2177" s="94">
        <f>IF($A2177="",0,IF(AE2177="직접",IF(AF2177="수금비",$P2177,0),$P2177*(1-AG2177)*IFERROR(INDEX(계정대체기준!$E$20:$E$49,MATCH($N2177,계정대체기준!$A$20:$A$49,0)),0)))</f>
        <v/>
      </c>
      <c r="AC2177" s="9">
        <f>IF(AND($A2177&lt;&gt;"",M2177=설정!$C$20,Z2177&gt;0),Z2177+ROW()/1000000000,"")</f>
        <v/>
      </c>
      <c r="AD2177" s="94">
        <f>IF($A2177="",0,$P2177*AG2177)</f>
        <v/>
      </c>
      <c r="AE2177" s="64">
        <f>IF($A2177="","",IFERROR(INDEX(계정매핑!$E$5:$E$504,MATCH($F2177&amp;"",계정매핑!$A$5:$A$504,0))&amp;"","공통비"))</f>
        <v/>
      </c>
      <c r="AF2177" s="64">
        <f>IF($A2177="","",IF(AE2177="직접",IFERROR(INDEX(계정매핑!$F$5:$F$504,MATCH($F2177&amp;"",계정매핑!$A$5:$A$504,0))&amp;"","비귀속"),""))</f>
        <v/>
      </c>
      <c r="AG2177" s="96">
        <f>IF($A2177="",0,IF(AND(AE2177&lt;&gt;"직접",IFERROR(INDEX(계정매핑!$G$5:$G$504,MATCH($F2177&amp;"",계정매핑!$A$5:$A$504,0))&amp;"","")="유지비",COUNTIF(계정대체기준!$A$6:$A$15,$N2177)&gt;0),IFERROR(INDEX(계정대체기준!$E$6:$E$15,MATCH(VALUE($A2177&amp;""),계정대체기준!$D$6:$D$15,0)),0),0))</f>
        <v/>
      </c>
      <c r="AH2177" s="64">
        <f>IF($A2177="","",IF(AD2177=0,"",IF(OR(COUNTIF(계정대체기준!$A$77:$A$86,$N2177)&gt;0,ISNUMBER(MATCH($X2177,계정대체기준!$D$77:$D$86,0)),ISNUMBER(MATCH($F2177,계정대체기준!$D$77:$D$86,0))),"Y","N")))</f>
        <v/>
      </c>
    </row>
    <row r="2178">
      <c r="A2178" s="92" t="n">
        <v>2025</v>
      </c>
      <c r="B2178" s="92" t="n">
        <v>10</v>
      </c>
      <c r="C2178" s="92" t="inlineStr">
        <is>
          <t>5100002174</t>
        </is>
      </c>
      <c r="D2178" s="95" t="n">
        <v>45947</v>
      </c>
      <c r="E2178" s="92" t="inlineStr">
        <is>
          <t>KR</t>
        </is>
      </c>
      <c r="F2178" s="92" t="n">
        <v>63001000</v>
      </c>
      <c r="G2178" s="92" t="n">
        <v>1701</v>
      </c>
      <c r="H2178" s="93" t="n">
        <v>46452000</v>
      </c>
      <c r="I2178" s="92" t="inlineStr">
        <is>
          <t>10월 SW 유지보수 - Z시스템</t>
        </is>
      </c>
      <c r="J2178" s="92" t="inlineStr">
        <is>
          <t>V10012</t>
        </is>
      </c>
      <c r="K2178" s="92" t="inlineStr">
        <is>
          <t>Z시스템</t>
        </is>
      </c>
      <c r="M2178" s="9">
        <f>IF($A2178="","",VALUE($A2178&amp;"")*12+VALUE($B2178&amp;""))</f>
        <v/>
      </c>
      <c r="N2178" s="64">
        <f>IF($A2178="","",IFERROR(INDEX(부서매핑!$C$5:$C$504,MATCH($G2178&amp;"",부서매핑!$A$5:$A$504,0)),"미매핑"))</f>
        <v/>
      </c>
      <c r="O2178" s="9">
        <f>IF($A2178="","",N2178&amp;"|"&amp;$F2178)</f>
        <v/>
      </c>
      <c r="P2178" s="94">
        <f>IF($A2178="",0,$H2178*설정!$C$23)</f>
        <v/>
      </c>
      <c r="Q2178" s="64">
        <f>IF($A2178="","",IF(O2178&lt;&gt;원인분석!$C$9,"",IF(AND(M2178&gt;=원인분석!$C$10,M2178&lt;=원인분석!$C$11),"당기",IF(AND(M2178&gt;=원인분석!$C$12,M2178&lt;=원인분석!$C$13),"비교",""))))</f>
        <v/>
      </c>
      <c r="R2178" s="9">
        <f>IF(Q2178="","",$K2178&amp;"")</f>
        <v/>
      </c>
      <c r="S2178" s="9">
        <f>IF(Q2178="","",IF(MATCH(R2178,$R$5:$R$100000,0)=ROW()-4,ROW(),""))</f>
        <v/>
      </c>
      <c r="T2178" s="9">
        <f>IF(Q2178="당기",ABS(P2178)+ROW()/1000000000,"")</f>
        <v/>
      </c>
      <c r="U2178" s="9">
        <f>IF(Q2178="비교",ABS(P2178)+ROW()/1000000000,"")</f>
        <v/>
      </c>
      <c r="V2178" s="64">
        <f>IF($A2178="","",IF(COUNTIF(변동분석!$E$7:$E$506,O2178)&gt;0,"Y","N"))</f>
        <v/>
      </c>
      <c r="W2178" s="64">
        <f>IF($A2178="","",IFERROR(INDEX(계정매핑!$D$5:$D$504,MATCH($F2178&amp;"",계정매핑!$A$5:$A$504,0)),"미매핑"))</f>
        <v/>
      </c>
      <c r="X2178" s="9">
        <f>IF($A2178="","",$F2178&amp;"")</f>
        <v/>
      </c>
      <c r="Y2178" s="94">
        <f>IF($A2178="",0,IF(AE2178="직접",IF(AF2178="비귀속",$P2178,0),$P2178*(1-AG2178)*IFERROR(INDEX(계정대체기준!$F$20:$F$49,MATCH($N2178,계정대체기준!$A$20:$A$49,0)),1)))</f>
        <v/>
      </c>
      <c r="Z2178" s="94">
        <f>IF($A2178="",0,IF(AE2178="직접",IF(AF2178="신계약비",$P2178,0),$P2178*(1-AG2178)*IFERROR(INDEX(계정대체기준!$C$20:$C$49,MATCH($N2178,계정대체기준!$A$20:$A$49,0)),0)))</f>
        <v/>
      </c>
      <c r="AA2178" s="94">
        <f>IF($A2178="",0,IF(AE2178="직접",IF(OR(AF2178="유지비",AF2178="손해조사비"),$P2178,0),$P2178*(1-AG2178)*IFERROR(INDEX(계정대체기준!$D$20:$D$49,MATCH($N2178,계정대체기준!$A$20:$A$49,0)),0)))</f>
        <v/>
      </c>
      <c r="AB2178" s="94">
        <f>IF($A2178="",0,IF(AE2178="직접",IF(AF2178="수금비",$P2178,0),$P2178*(1-AG2178)*IFERROR(INDEX(계정대체기준!$E$20:$E$49,MATCH($N2178,계정대체기준!$A$20:$A$49,0)),0)))</f>
        <v/>
      </c>
      <c r="AC2178" s="9">
        <f>IF(AND($A2178&lt;&gt;"",M2178=설정!$C$20,Z2178&gt;0),Z2178+ROW()/1000000000,"")</f>
        <v/>
      </c>
      <c r="AD2178" s="94">
        <f>IF($A2178="",0,$P2178*AG2178)</f>
        <v/>
      </c>
      <c r="AE2178" s="64">
        <f>IF($A2178="","",IFERROR(INDEX(계정매핑!$E$5:$E$504,MATCH($F2178&amp;"",계정매핑!$A$5:$A$504,0))&amp;"","공통비"))</f>
        <v/>
      </c>
      <c r="AF2178" s="64">
        <f>IF($A2178="","",IF(AE2178="직접",IFERROR(INDEX(계정매핑!$F$5:$F$504,MATCH($F2178&amp;"",계정매핑!$A$5:$A$504,0))&amp;"","비귀속"),""))</f>
        <v/>
      </c>
      <c r="AG2178" s="96">
        <f>IF($A2178="",0,IF(AND(AE2178&lt;&gt;"직접",IFERROR(INDEX(계정매핑!$G$5:$G$504,MATCH($F2178&amp;"",계정매핑!$A$5:$A$504,0))&amp;"","")="유지비",COUNTIF(계정대체기준!$A$6:$A$15,$N2178)&gt;0),IFERROR(INDEX(계정대체기준!$E$6:$E$15,MATCH(VALUE($A2178&amp;""),계정대체기준!$D$6:$D$15,0)),0),0))</f>
        <v/>
      </c>
      <c r="AH2178" s="64">
        <f>IF($A2178="","",IF(AD2178=0,"",IF(OR(COUNTIF(계정대체기준!$A$77:$A$86,$N2178)&gt;0,ISNUMBER(MATCH($X2178,계정대체기준!$D$77:$D$86,0)),ISNUMBER(MATCH($F2178,계정대체기준!$D$77:$D$86,0))),"Y","N")))</f>
        <v/>
      </c>
    </row>
    <row r="2179">
      <c r="A2179" s="92" t="n">
        <v>2025</v>
      </c>
      <c r="B2179" s="92" t="n">
        <v>10</v>
      </c>
      <c r="C2179" s="92" t="inlineStr">
        <is>
          <t>5100002175</t>
        </is>
      </c>
      <c r="D2179" s="95" t="n">
        <v>45948</v>
      </c>
      <c r="E2179" s="92" t="inlineStr">
        <is>
          <t>KR</t>
        </is>
      </c>
      <c r="F2179" s="92" t="n">
        <v>62101000</v>
      </c>
      <c r="G2179" s="92" t="n">
        <v>1502</v>
      </c>
      <c r="H2179" s="93" t="n">
        <v>644000</v>
      </c>
      <c r="I2179" s="92" t="inlineStr">
        <is>
          <t>10월 국내출장 - L여행사</t>
        </is>
      </c>
      <c r="J2179" s="92" t="inlineStr">
        <is>
          <t>V10018</t>
        </is>
      </c>
      <c r="K2179" s="92" t="inlineStr">
        <is>
          <t>L여행사</t>
        </is>
      </c>
      <c r="M2179" s="9">
        <f>IF($A2179="","",VALUE($A2179&amp;"")*12+VALUE($B2179&amp;""))</f>
        <v/>
      </c>
      <c r="N2179" s="64">
        <f>IF($A2179="","",IFERROR(INDEX(부서매핑!$C$5:$C$504,MATCH($G2179&amp;"",부서매핑!$A$5:$A$504,0)),"미매핑"))</f>
        <v/>
      </c>
      <c r="O2179" s="9">
        <f>IF($A2179="","",N2179&amp;"|"&amp;$F2179)</f>
        <v/>
      </c>
      <c r="P2179" s="94">
        <f>IF($A2179="",0,$H2179*설정!$C$23)</f>
        <v/>
      </c>
      <c r="Q2179" s="64">
        <f>IF($A2179="","",IF(O2179&lt;&gt;원인분석!$C$9,"",IF(AND(M2179&gt;=원인분석!$C$10,M2179&lt;=원인분석!$C$11),"당기",IF(AND(M2179&gt;=원인분석!$C$12,M2179&lt;=원인분석!$C$13),"비교",""))))</f>
        <v/>
      </c>
      <c r="R2179" s="9">
        <f>IF(Q2179="","",$K2179&amp;"")</f>
        <v/>
      </c>
      <c r="S2179" s="9">
        <f>IF(Q2179="","",IF(MATCH(R2179,$R$5:$R$100000,0)=ROW()-4,ROW(),""))</f>
        <v/>
      </c>
      <c r="T2179" s="9">
        <f>IF(Q2179="당기",ABS(P2179)+ROW()/1000000000,"")</f>
        <v/>
      </c>
      <c r="U2179" s="9">
        <f>IF(Q2179="비교",ABS(P2179)+ROW()/1000000000,"")</f>
        <v/>
      </c>
      <c r="V2179" s="64">
        <f>IF($A2179="","",IF(COUNTIF(변동분석!$E$7:$E$506,O2179)&gt;0,"Y","N"))</f>
        <v/>
      </c>
      <c r="W2179" s="64">
        <f>IF($A2179="","",IFERROR(INDEX(계정매핑!$D$5:$D$504,MATCH($F2179&amp;"",계정매핑!$A$5:$A$504,0)),"미매핑"))</f>
        <v/>
      </c>
      <c r="X2179" s="9">
        <f>IF($A2179="","",$F2179&amp;"")</f>
        <v/>
      </c>
      <c r="Y2179" s="94">
        <f>IF($A2179="",0,IF(AE2179="직접",IF(AF2179="비귀속",$P2179,0),$P2179*(1-AG2179)*IFERROR(INDEX(계정대체기준!$F$20:$F$49,MATCH($N2179,계정대체기준!$A$20:$A$49,0)),1)))</f>
        <v/>
      </c>
      <c r="Z2179" s="94">
        <f>IF($A2179="",0,IF(AE2179="직접",IF(AF2179="신계약비",$P2179,0),$P2179*(1-AG2179)*IFERROR(INDEX(계정대체기준!$C$20:$C$49,MATCH($N2179,계정대체기준!$A$20:$A$49,0)),0)))</f>
        <v/>
      </c>
      <c r="AA2179" s="94">
        <f>IF($A2179="",0,IF(AE2179="직접",IF(OR(AF2179="유지비",AF2179="손해조사비"),$P2179,0),$P2179*(1-AG2179)*IFERROR(INDEX(계정대체기준!$D$20:$D$49,MATCH($N2179,계정대체기준!$A$20:$A$49,0)),0)))</f>
        <v/>
      </c>
      <c r="AB2179" s="94">
        <f>IF($A2179="",0,IF(AE2179="직접",IF(AF2179="수금비",$P2179,0),$P2179*(1-AG2179)*IFERROR(INDEX(계정대체기준!$E$20:$E$49,MATCH($N2179,계정대체기준!$A$20:$A$49,0)),0)))</f>
        <v/>
      </c>
      <c r="AC2179" s="9">
        <f>IF(AND($A2179&lt;&gt;"",M2179=설정!$C$20,Z2179&gt;0),Z2179+ROW()/1000000000,"")</f>
        <v/>
      </c>
      <c r="AD2179" s="94">
        <f>IF($A2179="",0,$P2179*AG2179)</f>
        <v/>
      </c>
      <c r="AE2179" s="64">
        <f>IF($A2179="","",IFERROR(INDEX(계정매핑!$E$5:$E$504,MATCH($F2179&amp;"",계정매핑!$A$5:$A$504,0))&amp;"","공통비"))</f>
        <v/>
      </c>
      <c r="AF2179" s="64">
        <f>IF($A2179="","",IF(AE2179="직접",IFERROR(INDEX(계정매핑!$F$5:$F$504,MATCH($F2179&amp;"",계정매핑!$A$5:$A$504,0))&amp;"","비귀속"),""))</f>
        <v/>
      </c>
      <c r="AG2179" s="96">
        <f>IF($A2179="",0,IF(AND(AE2179&lt;&gt;"직접",IFERROR(INDEX(계정매핑!$G$5:$G$504,MATCH($F2179&amp;"",계정매핑!$A$5:$A$504,0))&amp;"","")="유지비",COUNTIF(계정대체기준!$A$6:$A$15,$N2179)&gt;0),IFERROR(INDEX(계정대체기준!$E$6:$E$15,MATCH(VALUE($A2179&amp;""),계정대체기준!$D$6:$D$15,0)),0),0))</f>
        <v/>
      </c>
      <c r="AH2179" s="64">
        <f>IF($A2179="","",IF(AD2179=0,"",IF(OR(COUNTIF(계정대체기준!$A$77:$A$86,$N2179)&gt;0,ISNUMBER(MATCH($X2179,계정대체기준!$D$77:$D$86,0)),ISNUMBER(MATCH($F2179,계정대체기준!$D$77:$D$86,0))),"Y","N")))</f>
        <v/>
      </c>
    </row>
    <row r="2180">
      <c r="A2180" s="92" t="n">
        <v>2025</v>
      </c>
      <c r="B2180" s="92" t="n">
        <v>10</v>
      </c>
      <c r="C2180" s="92" t="inlineStr">
        <is>
          <t>5100002176</t>
        </is>
      </c>
      <c r="D2180" s="95" t="n">
        <v>45948</v>
      </c>
      <c r="E2180" s="92" t="inlineStr">
        <is>
          <t>KR</t>
        </is>
      </c>
      <c r="F2180" s="92" t="n">
        <v>62201000</v>
      </c>
      <c r="G2180" s="92" t="n">
        <v>1502</v>
      </c>
      <c r="H2180" s="93" t="n">
        <v>257000</v>
      </c>
      <c r="I2180" s="92" t="inlineStr">
        <is>
          <t>10월 통신요금 - O텔레콤</t>
        </is>
      </c>
      <c r="J2180" s="92" t="inlineStr">
        <is>
          <t>V10002</t>
        </is>
      </c>
      <c r="K2180" s="92" t="inlineStr">
        <is>
          <t>O텔레콤</t>
        </is>
      </c>
      <c r="M2180" s="9">
        <f>IF($A2180="","",VALUE($A2180&amp;"")*12+VALUE($B2180&amp;""))</f>
        <v/>
      </c>
      <c r="N2180" s="64">
        <f>IF($A2180="","",IFERROR(INDEX(부서매핑!$C$5:$C$504,MATCH($G2180&amp;"",부서매핑!$A$5:$A$504,0)),"미매핑"))</f>
        <v/>
      </c>
      <c r="O2180" s="9">
        <f>IF($A2180="","",N2180&amp;"|"&amp;$F2180)</f>
        <v/>
      </c>
      <c r="P2180" s="94">
        <f>IF($A2180="",0,$H2180*설정!$C$23)</f>
        <v/>
      </c>
      <c r="Q2180" s="64">
        <f>IF($A2180="","",IF(O2180&lt;&gt;원인분석!$C$9,"",IF(AND(M2180&gt;=원인분석!$C$10,M2180&lt;=원인분석!$C$11),"당기",IF(AND(M2180&gt;=원인분석!$C$12,M2180&lt;=원인분석!$C$13),"비교",""))))</f>
        <v/>
      </c>
      <c r="R2180" s="9">
        <f>IF(Q2180="","",$K2180&amp;"")</f>
        <v/>
      </c>
      <c r="S2180" s="9">
        <f>IF(Q2180="","",IF(MATCH(R2180,$R$5:$R$100000,0)=ROW()-4,ROW(),""))</f>
        <v/>
      </c>
      <c r="T2180" s="9">
        <f>IF(Q2180="당기",ABS(P2180)+ROW()/1000000000,"")</f>
        <v/>
      </c>
      <c r="U2180" s="9">
        <f>IF(Q2180="비교",ABS(P2180)+ROW()/1000000000,"")</f>
        <v/>
      </c>
      <c r="V2180" s="64">
        <f>IF($A2180="","",IF(COUNTIF(변동분석!$E$7:$E$506,O2180)&gt;0,"Y","N"))</f>
        <v/>
      </c>
      <c r="W2180" s="64">
        <f>IF($A2180="","",IFERROR(INDEX(계정매핑!$D$5:$D$504,MATCH($F2180&amp;"",계정매핑!$A$5:$A$504,0)),"미매핑"))</f>
        <v/>
      </c>
      <c r="X2180" s="9">
        <f>IF($A2180="","",$F2180&amp;"")</f>
        <v/>
      </c>
      <c r="Y2180" s="94">
        <f>IF($A2180="",0,IF(AE2180="직접",IF(AF2180="비귀속",$P2180,0),$P2180*(1-AG2180)*IFERROR(INDEX(계정대체기준!$F$20:$F$49,MATCH($N2180,계정대체기준!$A$20:$A$49,0)),1)))</f>
        <v/>
      </c>
      <c r="Z2180" s="94">
        <f>IF($A2180="",0,IF(AE2180="직접",IF(AF2180="신계약비",$P2180,0),$P2180*(1-AG2180)*IFERROR(INDEX(계정대체기준!$C$20:$C$49,MATCH($N2180,계정대체기준!$A$20:$A$49,0)),0)))</f>
        <v/>
      </c>
      <c r="AA2180" s="94">
        <f>IF($A2180="",0,IF(AE2180="직접",IF(OR(AF2180="유지비",AF2180="손해조사비"),$P2180,0),$P2180*(1-AG2180)*IFERROR(INDEX(계정대체기준!$D$20:$D$49,MATCH($N2180,계정대체기준!$A$20:$A$49,0)),0)))</f>
        <v/>
      </c>
      <c r="AB2180" s="94">
        <f>IF($A2180="",0,IF(AE2180="직접",IF(AF2180="수금비",$P2180,0),$P2180*(1-AG2180)*IFERROR(INDEX(계정대체기준!$E$20:$E$49,MATCH($N2180,계정대체기준!$A$20:$A$49,0)),0)))</f>
        <v/>
      </c>
      <c r="AC2180" s="9">
        <f>IF(AND($A2180&lt;&gt;"",M2180=설정!$C$20,Z2180&gt;0),Z2180+ROW()/1000000000,"")</f>
        <v/>
      </c>
      <c r="AD2180" s="94">
        <f>IF($A2180="",0,$P2180*AG2180)</f>
        <v/>
      </c>
      <c r="AE2180" s="64">
        <f>IF($A2180="","",IFERROR(INDEX(계정매핑!$E$5:$E$504,MATCH($F2180&amp;"",계정매핑!$A$5:$A$504,0))&amp;"","공통비"))</f>
        <v/>
      </c>
      <c r="AF2180" s="64">
        <f>IF($A2180="","",IF(AE2180="직접",IFERROR(INDEX(계정매핑!$F$5:$F$504,MATCH($F2180&amp;"",계정매핑!$A$5:$A$504,0))&amp;"","비귀속"),""))</f>
        <v/>
      </c>
      <c r="AG2180" s="96">
        <f>IF($A2180="",0,IF(AND(AE2180&lt;&gt;"직접",IFERROR(INDEX(계정매핑!$G$5:$G$504,MATCH($F2180&amp;"",계정매핑!$A$5:$A$504,0))&amp;"","")="유지비",COUNTIF(계정대체기준!$A$6:$A$15,$N2180)&gt;0),IFERROR(INDEX(계정대체기준!$E$6:$E$15,MATCH(VALUE($A2180&amp;""),계정대체기준!$D$6:$D$15,0)),0),0))</f>
        <v/>
      </c>
      <c r="AH2180" s="64">
        <f>IF($A2180="","",IF(AD2180=0,"",IF(OR(COUNTIF(계정대체기준!$A$77:$A$86,$N2180)&gt;0,ISNUMBER(MATCH($X2180,계정대체기준!$D$77:$D$86,0)),ISNUMBER(MATCH($F2180,계정대체기준!$D$77:$D$86,0))),"Y","N")))</f>
        <v/>
      </c>
    </row>
    <row r="2181">
      <c r="A2181" s="92" t="n">
        <v>2025</v>
      </c>
      <c r="B2181" s="92" t="n">
        <v>10</v>
      </c>
      <c r="C2181" s="92" t="inlineStr">
        <is>
          <t>5100002177</t>
        </is>
      </c>
      <c r="D2181" s="95" t="n">
        <v>45948</v>
      </c>
      <c r="E2181" s="92" t="inlineStr">
        <is>
          <t>KR</t>
        </is>
      </c>
      <c r="F2181" s="92" t="n">
        <v>62201000</v>
      </c>
      <c r="G2181" s="92" t="n">
        <v>1601</v>
      </c>
      <c r="H2181" s="93" t="n">
        <v>751000</v>
      </c>
      <c r="I2181" s="92" t="inlineStr">
        <is>
          <t>10월 통신요금 - O텔레콤</t>
        </is>
      </c>
      <c r="J2181" s="92" t="inlineStr">
        <is>
          <t>V10002</t>
        </is>
      </c>
      <c r="K2181" s="92" t="inlineStr">
        <is>
          <t>O텔레콤</t>
        </is>
      </c>
      <c r="M2181" s="9">
        <f>IF($A2181="","",VALUE($A2181&amp;"")*12+VALUE($B2181&amp;""))</f>
        <v/>
      </c>
      <c r="N2181" s="64">
        <f>IF($A2181="","",IFERROR(INDEX(부서매핑!$C$5:$C$504,MATCH($G2181&amp;"",부서매핑!$A$5:$A$504,0)),"미매핑"))</f>
        <v/>
      </c>
      <c r="O2181" s="9">
        <f>IF($A2181="","",N2181&amp;"|"&amp;$F2181)</f>
        <v/>
      </c>
      <c r="P2181" s="94">
        <f>IF($A2181="",0,$H2181*설정!$C$23)</f>
        <v/>
      </c>
      <c r="Q2181" s="64">
        <f>IF($A2181="","",IF(O2181&lt;&gt;원인분석!$C$9,"",IF(AND(M2181&gt;=원인분석!$C$10,M2181&lt;=원인분석!$C$11),"당기",IF(AND(M2181&gt;=원인분석!$C$12,M2181&lt;=원인분석!$C$13),"비교",""))))</f>
        <v/>
      </c>
      <c r="R2181" s="9">
        <f>IF(Q2181="","",$K2181&amp;"")</f>
        <v/>
      </c>
      <c r="S2181" s="9">
        <f>IF(Q2181="","",IF(MATCH(R2181,$R$5:$R$100000,0)=ROW()-4,ROW(),""))</f>
        <v/>
      </c>
      <c r="T2181" s="9">
        <f>IF(Q2181="당기",ABS(P2181)+ROW()/1000000000,"")</f>
        <v/>
      </c>
      <c r="U2181" s="9">
        <f>IF(Q2181="비교",ABS(P2181)+ROW()/1000000000,"")</f>
        <v/>
      </c>
      <c r="V2181" s="64">
        <f>IF($A2181="","",IF(COUNTIF(변동분석!$E$7:$E$506,O2181)&gt;0,"Y","N"))</f>
        <v/>
      </c>
      <c r="W2181" s="64">
        <f>IF($A2181="","",IFERROR(INDEX(계정매핑!$D$5:$D$504,MATCH($F2181&amp;"",계정매핑!$A$5:$A$504,0)),"미매핑"))</f>
        <v/>
      </c>
      <c r="X2181" s="9">
        <f>IF($A2181="","",$F2181&amp;"")</f>
        <v/>
      </c>
      <c r="Y2181" s="94">
        <f>IF($A2181="",0,IF(AE2181="직접",IF(AF2181="비귀속",$P2181,0),$P2181*(1-AG2181)*IFERROR(INDEX(계정대체기준!$F$20:$F$49,MATCH($N2181,계정대체기준!$A$20:$A$49,0)),1)))</f>
        <v/>
      </c>
      <c r="Z2181" s="94">
        <f>IF($A2181="",0,IF(AE2181="직접",IF(AF2181="신계약비",$P2181,0),$P2181*(1-AG2181)*IFERROR(INDEX(계정대체기준!$C$20:$C$49,MATCH($N2181,계정대체기준!$A$20:$A$49,0)),0)))</f>
        <v/>
      </c>
      <c r="AA2181" s="94">
        <f>IF($A2181="",0,IF(AE2181="직접",IF(OR(AF2181="유지비",AF2181="손해조사비"),$P2181,0),$P2181*(1-AG2181)*IFERROR(INDEX(계정대체기준!$D$20:$D$49,MATCH($N2181,계정대체기준!$A$20:$A$49,0)),0)))</f>
        <v/>
      </c>
      <c r="AB2181" s="94">
        <f>IF($A2181="",0,IF(AE2181="직접",IF(AF2181="수금비",$P2181,0),$P2181*(1-AG2181)*IFERROR(INDEX(계정대체기준!$E$20:$E$49,MATCH($N2181,계정대체기준!$A$20:$A$49,0)),0)))</f>
        <v/>
      </c>
      <c r="AC2181" s="9">
        <f>IF(AND($A2181&lt;&gt;"",M2181=설정!$C$20,Z2181&gt;0),Z2181+ROW()/1000000000,"")</f>
        <v/>
      </c>
      <c r="AD2181" s="94">
        <f>IF($A2181="",0,$P2181*AG2181)</f>
        <v/>
      </c>
      <c r="AE2181" s="64">
        <f>IF($A2181="","",IFERROR(INDEX(계정매핑!$E$5:$E$504,MATCH($F2181&amp;"",계정매핑!$A$5:$A$504,0))&amp;"","공통비"))</f>
        <v/>
      </c>
      <c r="AF2181" s="64">
        <f>IF($A2181="","",IF(AE2181="직접",IFERROR(INDEX(계정매핑!$F$5:$F$504,MATCH($F2181&amp;"",계정매핑!$A$5:$A$504,0))&amp;"","비귀속"),""))</f>
        <v/>
      </c>
      <c r="AG2181" s="96">
        <f>IF($A2181="",0,IF(AND(AE2181&lt;&gt;"직접",IFERROR(INDEX(계정매핑!$G$5:$G$504,MATCH($F2181&amp;"",계정매핑!$A$5:$A$504,0))&amp;"","")="유지비",COUNTIF(계정대체기준!$A$6:$A$15,$N2181)&gt;0),IFERROR(INDEX(계정대체기준!$E$6:$E$15,MATCH(VALUE($A2181&amp;""),계정대체기준!$D$6:$D$15,0)),0),0))</f>
        <v/>
      </c>
      <c r="AH2181" s="64">
        <f>IF($A2181="","",IF(AD2181=0,"",IF(OR(COUNTIF(계정대체기준!$A$77:$A$86,$N2181)&gt;0,ISNUMBER(MATCH($X2181,계정대체기준!$D$77:$D$86,0)),ISNUMBER(MATCH($F2181,계정대체기준!$D$77:$D$86,0))),"Y","N")))</f>
        <v/>
      </c>
    </row>
    <row r="2182">
      <c r="A2182" s="92" t="n">
        <v>2025</v>
      </c>
      <c r="B2182" s="92" t="n">
        <v>10</v>
      </c>
      <c r="C2182" s="92" t="inlineStr">
        <is>
          <t>5100002178</t>
        </is>
      </c>
      <c r="D2182" s="95" t="n">
        <v>45948</v>
      </c>
      <c r="E2182" s="92" t="inlineStr">
        <is>
          <t>KR</t>
        </is>
      </c>
      <c r="F2182" s="92" t="n">
        <v>62301000</v>
      </c>
      <c r="G2182" s="92" t="n">
        <v>1801</v>
      </c>
      <c r="H2182" s="93" t="n">
        <v>439000</v>
      </c>
      <c r="I2182" s="92" t="inlineStr">
        <is>
          <t>10월 소모품 구입 - Q오피스</t>
        </is>
      </c>
      <c r="J2182" s="92" t="inlineStr">
        <is>
          <t>V10003</t>
        </is>
      </c>
      <c r="K2182" s="92" t="inlineStr">
        <is>
          <t>Q오피스</t>
        </is>
      </c>
      <c r="M2182" s="9">
        <f>IF($A2182="","",VALUE($A2182&amp;"")*12+VALUE($B2182&amp;""))</f>
        <v/>
      </c>
      <c r="N2182" s="64">
        <f>IF($A2182="","",IFERROR(INDEX(부서매핑!$C$5:$C$504,MATCH($G2182&amp;"",부서매핑!$A$5:$A$504,0)),"미매핑"))</f>
        <v/>
      </c>
      <c r="O2182" s="9">
        <f>IF($A2182="","",N2182&amp;"|"&amp;$F2182)</f>
        <v/>
      </c>
      <c r="P2182" s="94">
        <f>IF($A2182="",0,$H2182*설정!$C$23)</f>
        <v/>
      </c>
      <c r="Q2182" s="64">
        <f>IF($A2182="","",IF(O2182&lt;&gt;원인분석!$C$9,"",IF(AND(M2182&gt;=원인분석!$C$10,M2182&lt;=원인분석!$C$11),"당기",IF(AND(M2182&gt;=원인분석!$C$12,M2182&lt;=원인분석!$C$13),"비교",""))))</f>
        <v/>
      </c>
      <c r="R2182" s="9">
        <f>IF(Q2182="","",$K2182&amp;"")</f>
        <v/>
      </c>
      <c r="S2182" s="9">
        <f>IF(Q2182="","",IF(MATCH(R2182,$R$5:$R$100000,0)=ROW()-4,ROW(),""))</f>
        <v/>
      </c>
      <c r="T2182" s="9">
        <f>IF(Q2182="당기",ABS(P2182)+ROW()/1000000000,"")</f>
        <v/>
      </c>
      <c r="U2182" s="9">
        <f>IF(Q2182="비교",ABS(P2182)+ROW()/1000000000,"")</f>
        <v/>
      </c>
      <c r="V2182" s="64">
        <f>IF($A2182="","",IF(COUNTIF(변동분석!$E$7:$E$506,O2182)&gt;0,"Y","N"))</f>
        <v/>
      </c>
      <c r="W2182" s="64">
        <f>IF($A2182="","",IFERROR(INDEX(계정매핑!$D$5:$D$504,MATCH($F2182&amp;"",계정매핑!$A$5:$A$504,0)),"미매핑"))</f>
        <v/>
      </c>
      <c r="X2182" s="9">
        <f>IF($A2182="","",$F2182&amp;"")</f>
        <v/>
      </c>
      <c r="Y2182" s="94">
        <f>IF($A2182="",0,IF(AE2182="직접",IF(AF2182="비귀속",$P2182,0),$P2182*(1-AG2182)*IFERROR(INDEX(계정대체기준!$F$20:$F$49,MATCH($N2182,계정대체기준!$A$20:$A$49,0)),1)))</f>
        <v/>
      </c>
      <c r="Z2182" s="94">
        <f>IF($A2182="",0,IF(AE2182="직접",IF(AF2182="신계약비",$P2182,0),$P2182*(1-AG2182)*IFERROR(INDEX(계정대체기준!$C$20:$C$49,MATCH($N2182,계정대체기준!$A$20:$A$49,0)),0)))</f>
        <v/>
      </c>
      <c r="AA2182" s="94">
        <f>IF($A2182="",0,IF(AE2182="직접",IF(OR(AF2182="유지비",AF2182="손해조사비"),$P2182,0),$P2182*(1-AG2182)*IFERROR(INDEX(계정대체기준!$D$20:$D$49,MATCH($N2182,계정대체기준!$A$20:$A$49,0)),0)))</f>
        <v/>
      </c>
      <c r="AB2182" s="94">
        <f>IF($A2182="",0,IF(AE2182="직접",IF(AF2182="수금비",$P2182,0),$P2182*(1-AG2182)*IFERROR(INDEX(계정대체기준!$E$20:$E$49,MATCH($N2182,계정대체기준!$A$20:$A$49,0)),0)))</f>
        <v/>
      </c>
      <c r="AC2182" s="9">
        <f>IF(AND($A2182&lt;&gt;"",M2182=설정!$C$20,Z2182&gt;0),Z2182+ROW()/1000000000,"")</f>
        <v/>
      </c>
      <c r="AD2182" s="94">
        <f>IF($A2182="",0,$P2182*AG2182)</f>
        <v/>
      </c>
      <c r="AE2182" s="64">
        <f>IF($A2182="","",IFERROR(INDEX(계정매핑!$E$5:$E$504,MATCH($F2182&amp;"",계정매핑!$A$5:$A$504,0))&amp;"","공통비"))</f>
        <v/>
      </c>
      <c r="AF2182" s="64">
        <f>IF($A2182="","",IF(AE2182="직접",IFERROR(INDEX(계정매핑!$F$5:$F$504,MATCH($F2182&amp;"",계정매핑!$A$5:$A$504,0))&amp;"","비귀속"),""))</f>
        <v/>
      </c>
      <c r="AG2182" s="96">
        <f>IF($A2182="",0,IF(AND(AE2182&lt;&gt;"직접",IFERROR(INDEX(계정매핑!$G$5:$G$504,MATCH($F2182&amp;"",계정매핑!$A$5:$A$504,0))&amp;"","")="유지비",COUNTIF(계정대체기준!$A$6:$A$15,$N2182)&gt;0),IFERROR(INDEX(계정대체기준!$E$6:$E$15,MATCH(VALUE($A2182&amp;""),계정대체기준!$D$6:$D$15,0)),0),0))</f>
        <v/>
      </c>
      <c r="AH2182" s="64">
        <f>IF($A2182="","",IF(AD2182=0,"",IF(OR(COUNTIF(계정대체기준!$A$77:$A$86,$N2182)&gt;0,ISNUMBER(MATCH($X2182,계정대체기준!$D$77:$D$86,0)),ISNUMBER(MATCH($F2182,계정대체기준!$D$77:$D$86,0))),"Y","N")))</f>
        <v/>
      </c>
    </row>
    <row r="2183">
      <c r="A2183" s="92" t="n">
        <v>2025</v>
      </c>
      <c r="B2183" s="92" t="n">
        <v>10</v>
      </c>
      <c r="C2183" s="92" t="inlineStr">
        <is>
          <t>5100002179</t>
        </is>
      </c>
      <c r="D2183" s="95" t="n">
        <v>45948</v>
      </c>
      <c r="E2183" s="92" t="inlineStr">
        <is>
          <t>KR</t>
        </is>
      </c>
      <c r="F2183" s="92" t="n">
        <v>62902000</v>
      </c>
      <c r="G2183" s="92" t="n">
        <v>1801</v>
      </c>
      <c r="H2183" s="93" t="n">
        <v>1811000</v>
      </c>
      <c r="I2183" s="92" t="inlineStr">
        <is>
          <t>10월 콜 위탁 수수료(건별)</t>
        </is>
      </c>
      <c r="J2183" s="92" t="inlineStr">
        <is>
          <t>V10016</t>
        </is>
      </c>
      <c r="K2183" s="92" t="inlineStr">
        <is>
          <t>J콜센터</t>
        </is>
      </c>
      <c r="M2183" s="9">
        <f>IF($A2183="","",VALUE($A2183&amp;"")*12+VALUE($B2183&amp;""))</f>
        <v/>
      </c>
      <c r="N2183" s="64">
        <f>IF($A2183="","",IFERROR(INDEX(부서매핑!$C$5:$C$504,MATCH($G2183&amp;"",부서매핑!$A$5:$A$504,0)),"미매핑"))</f>
        <v/>
      </c>
      <c r="O2183" s="9">
        <f>IF($A2183="","",N2183&amp;"|"&amp;$F2183)</f>
        <v/>
      </c>
      <c r="P2183" s="94">
        <f>IF($A2183="",0,$H2183*설정!$C$23)</f>
        <v/>
      </c>
      <c r="Q2183" s="64">
        <f>IF($A2183="","",IF(O2183&lt;&gt;원인분석!$C$9,"",IF(AND(M2183&gt;=원인분석!$C$10,M2183&lt;=원인분석!$C$11),"당기",IF(AND(M2183&gt;=원인분석!$C$12,M2183&lt;=원인분석!$C$13),"비교",""))))</f>
        <v/>
      </c>
      <c r="R2183" s="9">
        <f>IF(Q2183="","",$K2183&amp;"")</f>
        <v/>
      </c>
      <c r="S2183" s="9">
        <f>IF(Q2183="","",IF(MATCH(R2183,$R$5:$R$100000,0)=ROW()-4,ROW(),""))</f>
        <v/>
      </c>
      <c r="T2183" s="9">
        <f>IF(Q2183="당기",ABS(P2183)+ROW()/1000000000,"")</f>
        <v/>
      </c>
      <c r="U2183" s="9">
        <f>IF(Q2183="비교",ABS(P2183)+ROW()/1000000000,"")</f>
        <v/>
      </c>
      <c r="V2183" s="64">
        <f>IF($A2183="","",IF(COUNTIF(변동분석!$E$7:$E$506,O2183)&gt;0,"Y","N"))</f>
        <v/>
      </c>
      <c r="W2183" s="64">
        <f>IF($A2183="","",IFERROR(INDEX(계정매핑!$D$5:$D$504,MATCH($F2183&amp;"",계정매핑!$A$5:$A$504,0)),"미매핑"))</f>
        <v/>
      </c>
      <c r="X2183" s="9">
        <f>IF($A2183="","",$F2183&amp;"")</f>
        <v/>
      </c>
      <c r="Y2183" s="94">
        <f>IF($A2183="",0,IF(AE2183="직접",IF(AF2183="비귀속",$P2183,0),$P2183*(1-AG2183)*IFERROR(INDEX(계정대체기준!$F$20:$F$49,MATCH($N2183,계정대체기준!$A$20:$A$49,0)),1)))</f>
        <v/>
      </c>
      <c r="Z2183" s="94">
        <f>IF($A2183="",0,IF(AE2183="직접",IF(AF2183="신계약비",$P2183,0),$P2183*(1-AG2183)*IFERROR(INDEX(계정대체기준!$C$20:$C$49,MATCH($N2183,계정대체기준!$A$20:$A$49,0)),0)))</f>
        <v/>
      </c>
      <c r="AA2183" s="94">
        <f>IF($A2183="",0,IF(AE2183="직접",IF(OR(AF2183="유지비",AF2183="손해조사비"),$P2183,0),$P2183*(1-AG2183)*IFERROR(INDEX(계정대체기준!$D$20:$D$49,MATCH($N2183,계정대체기준!$A$20:$A$49,0)),0)))</f>
        <v/>
      </c>
      <c r="AB2183" s="94">
        <f>IF($A2183="",0,IF(AE2183="직접",IF(AF2183="수금비",$P2183,0),$P2183*(1-AG2183)*IFERROR(INDEX(계정대체기준!$E$20:$E$49,MATCH($N2183,계정대체기준!$A$20:$A$49,0)),0)))</f>
        <v/>
      </c>
      <c r="AC2183" s="9">
        <f>IF(AND($A2183&lt;&gt;"",M2183=설정!$C$20,Z2183&gt;0),Z2183+ROW()/1000000000,"")</f>
        <v/>
      </c>
      <c r="AD2183" s="94">
        <f>IF($A2183="",0,$P2183*AG2183)</f>
        <v/>
      </c>
      <c r="AE2183" s="64">
        <f>IF($A2183="","",IFERROR(INDEX(계정매핑!$E$5:$E$504,MATCH($F2183&amp;"",계정매핑!$A$5:$A$504,0))&amp;"","공통비"))</f>
        <v/>
      </c>
      <c r="AF2183" s="64">
        <f>IF($A2183="","",IF(AE2183="직접",IFERROR(INDEX(계정매핑!$F$5:$F$504,MATCH($F2183&amp;"",계정매핑!$A$5:$A$504,0))&amp;"","비귀속"),""))</f>
        <v/>
      </c>
      <c r="AG2183" s="96">
        <f>IF($A2183="",0,IF(AND(AE2183&lt;&gt;"직접",IFERROR(INDEX(계정매핑!$G$5:$G$504,MATCH($F2183&amp;"",계정매핑!$A$5:$A$504,0))&amp;"","")="유지비",COUNTIF(계정대체기준!$A$6:$A$15,$N2183)&gt;0),IFERROR(INDEX(계정대체기준!$E$6:$E$15,MATCH(VALUE($A2183&amp;""),계정대체기준!$D$6:$D$15,0)),0),0))</f>
        <v/>
      </c>
      <c r="AH2183" s="64">
        <f>IF($A2183="","",IF(AD2183=0,"",IF(OR(COUNTIF(계정대체기준!$A$77:$A$86,$N2183)&gt;0,ISNUMBER(MATCH($X2183,계정대체기준!$D$77:$D$86,0)),ISNUMBER(MATCH($F2183,계정대체기준!$D$77:$D$86,0))),"Y","N")))</f>
        <v/>
      </c>
    </row>
    <row r="2184">
      <c r="A2184" s="92" t="n">
        <v>2025</v>
      </c>
      <c r="B2184" s="92" t="n">
        <v>10</v>
      </c>
      <c r="C2184" s="92" t="inlineStr">
        <is>
          <t>5100002180</t>
        </is>
      </c>
      <c r="D2184" s="95" t="n">
        <v>45949</v>
      </c>
      <c r="E2184" s="92" t="inlineStr">
        <is>
          <t>KR</t>
        </is>
      </c>
      <c r="F2184" s="92" t="n">
        <v>62101000</v>
      </c>
      <c r="G2184" s="92" t="n">
        <v>1701</v>
      </c>
      <c r="H2184" s="93" t="n">
        <v>164000</v>
      </c>
      <c r="I2184" s="92" t="inlineStr">
        <is>
          <t>10월 국내출장 - M항공</t>
        </is>
      </c>
      <c r="J2184" s="92" t="inlineStr">
        <is>
          <t>V10001</t>
        </is>
      </c>
      <c r="K2184" s="92" t="inlineStr">
        <is>
          <t>M항공</t>
        </is>
      </c>
      <c r="M2184" s="9">
        <f>IF($A2184="","",VALUE($A2184&amp;"")*12+VALUE($B2184&amp;""))</f>
        <v/>
      </c>
      <c r="N2184" s="64">
        <f>IF($A2184="","",IFERROR(INDEX(부서매핑!$C$5:$C$504,MATCH($G2184&amp;"",부서매핑!$A$5:$A$504,0)),"미매핑"))</f>
        <v/>
      </c>
      <c r="O2184" s="9">
        <f>IF($A2184="","",N2184&amp;"|"&amp;$F2184)</f>
        <v/>
      </c>
      <c r="P2184" s="94">
        <f>IF($A2184="",0,$H2184*설정!$C$23)</f>
        <v/>
      </c>
      <c r="Q2184" s="64">
        <f>IF($A2184="","",IF(O2184&lt;&gt;원인분석!$C$9,"",IF(AND(M2184&gt;=원인분석!$C$10,M2184&lt;=원인분석!$C$11),"당기",IF(AND(M2184&gt;=원인분석!$C$12,M2184&lt;=원인분석!$C$13),"비교",""))))</f>
        <v/>
      </c>
      <c r="R2184" s="9">
        <f>IF(Q2184="","",$K2184&amp;"")</f>
        <v/>
      </c>
      <c r="S2184" s="9">
        <f>IF(Q2184="","",IF(MATCH(R2184,$R$5:$R$100000,0)=ROW()-4,ROW(),""))</f>
        <v/>
      </c>
      <c r="T2184" s="9">
        <f>IF(Q2184="당기",ABS(P2184)+ROW()/1000000000,"")</f>
        <v/>
      </c>
      <c r="U2184" s="9">
        <f>IF(Q2184="비교",ABS(P2184)+ROW()/1000000000,"")</f>
        <v/>
      </c>
      <c r="V2184" s="64">
        <f>IF($A2184="","",IF(COUNTIF(변동분석!$E$7:$E$506,O2184)&gt;0,"Y","N"))</f>
        <v/>
      </c>
      <c r="W2184" s="64">
        <f>IF($A2184="","",IFERROR(INDEX(계정매핑!$D$5:$D$504,MATCH($F2184&amp;"",계정매핑!$A$5:$A$504,0)),"미매핑"))</f>
        <v/>
      </c>
      <c r="X2184" s="9">
        <f>IF($A2184="","",$F2184&amp;"")</f>
        <v/>
      </c>
      <c r="Y2184" s="94">
        <f>IF($A2184="",0,IF(AE2184="직접",IF(AF2184="비귀속",$P2184,0),$P2184*(1-AG2184)*IFERROR(INDEX(계정대체기준!$F$20:$F$49,MATCH($N2184,계정대체기준!$A$20:$A$49,0)),1)))</f>
        <v/>
      </c>
      <c r="Z2184" s="94">
        <f>IF($A2184="",0,IF(AE2184="직접",IF(AF2184="신계약비",$P2184,0),$P2184*(1-AG2184)*IFERROR(INDEX(계정대체기준!$C$20:$C$49,MATCH($N2184,계정대체기준!$A$20:$A$49,0)),0)))</f>
        <v/>
      </c>
      <c r="AA2184" s="94">
        <f>IF($A2184="",0,IF(AE2184="직접",IF(OR(AF2184="유지비",AF2184="손해조사비"),$P2184,0),$P2184*(1-AG2184)*IFERROR(INDEX(계정대체기준!$D$20:$D$49,MATCH($N2184,계정대체기준!$A$20:$A$49,0)),0)))</f>
        <v/>
      </c>
      <c r="AB2184" s="94">
        <f>IF($A2184="",0,IF(AE2184="직접",IF(AF2184="수금비",$P2184,0),$P2184*(1-AG2184)*IFERROR(INDEX(계정대체기준!$E$20:$E$49,MATCH($N2184,계정대체기준!$A$20:$A$49,0)),0)))</f>
        <v/>
      </c>
      <c r="AC2184" s="9">
        <f>IF(AND($A2184&lt;&gt;"",M2184=설정!$C$20,Z2184&gt;0),Z2184+ROW()/1000000000,"")</f>
        <v/>
      </c>
      <c r="AD2184" s="94">
        <f>IF($A2184="",0,$P2184*AG2184)</f>
        <v/>
      </c>
      <c r="AE2184" s="64">
        <f>IF($A2184="","",IFERROR(INDEX(계정매핑!$E$5:$E$504,MATCH($F2184&amp;"",계정매핑!$A$5:$A$504,0))&amp;"","공통비"))</f>
        <v/>
      </c>
      <c r="AF2184" s="64">
        <f>IF($A2184="","",IF(AE2184="직접",IFERROR(INDEX(계정매핑!$F$5:$F$504,MATCH($F2184&amp;"",계정매핑!$A$5:$A$504,0))&amp;"","비귀속"),""))</f>
        <v/>
      </c>
      <c r="AG2184" s="96">
        <f>IF($A2184="",0,IF(AND(AE2184&lt;&gt;"직접",IFERROR(INDEX(계정매핑!$G$5:$G$504,MATCH($F2184&amp;"",계정매핑!$A$5:$A$504,0))&amp;"","")="유지비",COUNTIF(계정대체기준!$A$6:$A$15,$N2184)&gt;0),IFERROR(INDEX(계정대체기준!$E$6:$E$15,MATCH(VALUE($A2184&amp;""),계정대체기준!$D$6:$D$15,0)),0),0))</f>
        <v/>
      </c>
      <c r="AH2184" s="64">
        <f>IF($A2184="","",IF(AD2184=0,"",IF(OR(COUNTIF(계정대체기준!$A$77:$A$86,$N2184)&gt;0,ISNUMBER(MATCH($X2184,계정대체기준!$D$77:$D$86,0)),ISNUMBER(MATCH($F2184,계정대체기준!$D$77:$D$86,0))),"Y","N")))</f>
        <v/>
      </c>
    </row>
    <row r="2185">
      <c r="A2185" s="92" t="n">
        <v>2025</v>
      </c>
      <c r="B2185" s="92" t="n">
        <v>10</v>
      </c>
      <c r="C2185" s="92" t="inlineStr">
        <is>
          <t>5100002181</t>
        </is>
      </c>
      <c r="D2185" s="95" t="n">
        <v>45949</v>
      </c>
      <c r="E2185" s="92" t="inlineStr">
        <is>
          <t>KR</t>
        </is>
      </c>
      <c r="F2185" s="92" t="n">
        <v>62101000</v>
      </c>
      <c r="G2185" s="92" t="n">
        <v>1951</v>
      </c>
      <c r="H2185" s="93" t="n">
        <v>338000</v>
      </c>
      <c r="I2185" s="92" t="inlineStr">
        <is>
          <t>10월 국내출장 - (법인카드)</t>
        </is>
      </c>
      <c r="J2185" s="92" t="inlineStr">
        <is>
          <t>V10010</t>
        </is>
      </c>
      <c r="K2185" s="92" t="inlineStr">
        <is>
          <t>(법인카드)</t>
        </is>
      </c>
      <c r="M2185" s="9">
        <f>IF($A2185="","",VALUE($A2185&amp;"")*12+VALUE($B2185&amp;""))</f>
        <v/>
      </c>
      <c r="N2185" s="64">
        <f>IF($A2185="","",IFERROR(INDEX(부서매핑!$C$5:$C$504,MATCH($G2185&amp;"",부서매핑!$A$5:$A$504,0)),"미매핑"))</f>
        <v/>
      </c>
      <c r="O2185" s="9">
        <f>IF($A2185="","",N2185&amp;"|"&amp;$F2185)</f>
        <v/>
      </c>
      <c r="P2185" s="94">
        <f>IF($A2185="",0,$H2185*설정!$C$23)</f>
        <v/>
      </c>
      <c r="Q2185" s="64">
        <f>IF($A2185="","",IF(O2185&lt;&gt;원인분석!$C$9,"",IF(AND(M2185&gt;=원인분석!$C$10,M2185&lt;=원인분석!$C$11),"당기",IF(AND(M2185&gt;=원인분석!$C$12,M2185&lt;=원인분석!$C$13),"비교",""))))</f>
        <v/>
      </c>
      <c r="R2185" s="9">
        <f>IF(Q2185="","",$K2185&amp;"")</f>
        <v/>
      </c>
      <c r="S2185" s="9">
        <f>IF(Q2185="","",IF(MATCH(R2185,$R$5:$R$100000,0)=ROW()-4,ROW(),""))</f>
        <v/>
      </c>
      <c r="T2185" s="9">
        <f>IF(Q2185="당기",ABS(P2185)+ROW()/1000000000,"")</f>
        <v/>
      </c>
      <c r="U2185" s="9">
        <f>IF(Q2185="비교",ABS(P2185)+ROW()/1000000000,"")</f>
        <v/>
      </c>
      <c r="V2185" s="64">
        <f>IF($A2185="","",IF(COUNTIF(변동분석!$E$7:$E$506,O2185)&gt;0,"Y","N"))</f>
        <v/>
      </c>
      <c r="W2185" s="64">
        <f>IF($A2185="","",IFERROR(INDEX(계정매핑!$D$5:$D$504,MATCH($F2185&amp;"",계정매핑!$A$5:$A$504,0)),"미매핑"))</f>
        <v/>
      </c>
      <c r="X2185" s="9">
        <f>IF($A2185="","",$F2185&amp;"")</f>
        <v/>
      </c>
      <c r="Y2185" s="94">
        <f>IF($A2185="",0,IF(AE2185="직접",IF(AF2185="비귀속",$P2185,0),$P2185*(1-AG2185)*IFERROR(INDEX(계정대체기준!$F$20:$F$49,MATCH($N2185,계정대체기준!$A$20:$A$49,0)),1)))</f>
        <v/>
      </c>
      <c r="Z2185" s="94">
        <f>IF($A2185="",0,IF(AE2185="직접",IF(AF2185="신계약비",$P2185,0),$P2185*(1-AG2185)*IFERROR(INDEX(계정대체기준!$C$20:$C$49,MATCH($N2185,계정대체기준!$A$20:$A$49,0)),0)))</f>
        <v/>
      </c>
      <c r="AA2185" s="94">
        <f>IF($A2185="",0,IF(AE2185="직접",IF(OR(AF2185="유지비",AF2185="손해조사비"),$P2185,0),$P2185*(1-AG2185)*IFERROR(INDEX(계정대체기준!$D$20:$D$49,MATCH($N2185,계정대체기준!$A$20:$A$49,0)),0)))</f>
        <v/>
      </c>
      <c r="AB2185" s="94">
        <f>IF($A2185="",0,IF(AE2185="직접",IF(AF2185="수금비",$P2185,0),$P2185*(1-AG2185)*IFERROR(INDEX(계정대체기준!$E$20:$E$49,MATCH($N2185,계정대체기준!$A$20:$A$49,0)),0)))</f>
        <v/>
      </c>
      <c r="AC2185" s="9">
        <f>IF(AND($A2185&lt;&gt;"",M2185=설정!$C$20,Z2185&gt;0),Z2185+ROW()/1000000000,"")</f>
        <v/>
      </c>
      <c r="AD2185" s="94">
        <f>IF($A2185="",0,$P2185*AG2185)</f>
        <v/>
      </c>
      <c r="AE2185" s="64">
        <f>IF($A2185="","",IFERROR(INDEX(계정매핑!$E$5:$E$504,MATCH($F2185&amp;"",계정매핑!$A$5:$A$504,0))&amp;"","공통비"))</f>
        <v/>
      </c>
      <c r="AF2185" s="64">
        <f>IF($A2185="","",IF(AE2185="직접",IFERROR(INDEX(계정매핑!$F$5:$F$504,MATCH($F2185&amp;"",계정매핑!$A$5:$A$504,0))&amp;"","비귀속"),""))</f>
        <v/>
      </c>
      <c r="AG2185" s="96">
        <f>IF($A2185="",0,IF(AND(AE2185&lt;&gt;"직접",IFERROR(INDEX(계정매핑!$G$5:$G$504,MATCH($F2185&amp;"",계정매핑!$A$5:$A$504,0))&amp;"","")="유지비",COUNTIF(계정대체기준!$A$6:$A$15,$N2185)&gt;0),IFERROR(INDEX(계정대체기준!$E$6:$E$15,MATCH(VALUE($A2185&amp;""),계정대체기준!$D$6:$D$15,0)),0),0))</f>
        <v/>
      </c>
      <c r="AH2185" s="64">
        <f>IF($A2185="","",IF(AD2185=0,"",IF(OR(COUNTIF(계정대체기준!$A$77:$A$86,$N2185)&gt;0,ISNUMBER(MATCH($X2185,계정대체기준!$D$77:$D$86,0)),ISNUMBER(MATCH($F2185,계정대체기준!$D$77:$D$86,0))),"Y","N")))</f>
        <v/>
      </c>
    </row>
    <row r="2186">
      <c r="A2186" s="92" t="n">
        <v>2025</v>
      </c>
      <c r="B2186" s="92" t="n">
        <v>10</v>
      </c>
      <c r="C2186" s="92" t="inlineStr">
        <is>
          <t>5100002182</t>
        </is>
      </c>
      <c r="D2186" s="95" t="n">
        <v>45949</v>
      </c>
      <c r="E2186" s="92" t="inlineStr">
        <is>
          <t>KR</t>
        </is>
      </c>
      <c r="F2186" s="92" t="n">
        <v>62201000</v>
      </c>
      <c r="G2186" s="92" t="n">
        <v>1301</v>
      </c>
      <c r="H2186" s="93" t="n">
        <v>163000</v>
      </c>
      <c r="I2186" s="92" t="inlineStr">
        <is>
          <t>10월 통신요금 - O텔레콤</t>
        </is>
      </c>
      <c r="J2186" s="92" t="inlineStr">
        <is>
          <t>V10002</t>
        </is>
      </c>
      <c r="K2186" s="92" t="inlineStr">
        <is>
          <t>O텔레콤</t>
        </is>
      </c>
      <c r="M2186" s="9">
        <f>IF($A2186="","",VALUE($A2186&amp;"")*12+VALUE($B2186&amp;""))</f>
        <v/>
      </c>
      <c r="N2186" s="64">
        <f>IF($A2186="","",IFERROR(INDEX(부서매핑!$C$5:$C$504,MATCH($G2186&amp;"",부서매핑!$A$5:$A$504,0)),"미매핑"))</f>
        <v/>
      </c>
      <c r="O2186" s="9">
        <f>IF($A2186="","",N2186&amp;"|"&amp;$F2186)</f>
        <v/>
      </c>
      <c r="P2186" s="94">
        <f>IF($A2186="",0,$H2186*설정!$C$23)</f>
        <v/>
      </c>
      <c r="Q2186" s="64">
        <f>IF($A2186="","",IF(O2186&lt;&gt;원인분석!$C$9,"",IF(AND(M2186&gt;=원인분석!$C$10,M2186&lt;=원인분석!$C$11),"당기",IF(AND(M2186&gt;=원인분석!$C$12,M2186&lt;=원인분석!$C$13),"비교",""))))</f>
        <v/>
      </c>
      <c r="R2186" s="9">
        <f>IF(Q2186="","",$K2186&amp;"")</f>
        <v/>
      </c>
      <c r="S2186" s="9">
        <f>IF(Q2186="","",IF(MATCH(R2186,$R$5:$R$100000,0)=ROW()-4,ROW(),""))</f>
        <v/>
      </c>
      <c r="T2186" s="9">
        <f>IF(Q2186="당기",ABS(P2186)+ROW()/1000000000,"")</f>
        <v/>
      </c>
      <c r="U2186" s="9">
        <f>IF(Q2186="비교",ABS(P2186)+ROW()/1000000000,"")</f>
        <v/>
      </c>
      <c r="V2186" s="64">
        <f>IF($A2186="","",IF(COUNTIF(변동분석!$E$7:$E$506,O2186)&gt;0,"Y","N"))</f>
        <v/>
      </c>
      <c r="W2186" s="64">
        <f>IF($A2186="","",IFERROR(INDEX(계정매핑!$D$5:$D$504,MATCH($F2186&amp;"",계정매핑!$A$5:$A$504,0)),"미매핑"))</f>
        <v/>
      </c>
      <c r="X2186" s="9">
        <f>IF($A2186="","",$F2186&amp;"")</f>
        <v/>
      </c>
      <c r="Y2186" s="94">
        <f>IF($A2186="",0,IF(AE2186="직접",IF(AF2186="비귀속",$P2186,0),$P2186*(1-AG2186)*IFERROR(INDEX(계정대체기준!$F$20:$F$49,MATCH($N2186,계정대체기준!$A$20:$A$49,0)),1)))</f>
        <v/>
      </c>
      <c r="Z2186" s="94">
        <f>IF($A2186="",0,IF(AE2186="직접",IF(AF2186="신계약비",$P2186,0),$P2186*(1-AG2186)*IFERROR(INDEX(계정대체기준!$C$20:$C$49,MATCH($N2186,계정대체기준!$A$20:$A$49,0)),0)))</f>
        <v/>
      </c>
      <c r="AA2186" s="94">
        <f>IF($A2186="",0,IF(AE2186="직접",IF(OR(AF2186="유지비",AF2186="손해조사비"),$P2186,0),$P2186*(1-AG2186)*IFERROR(INDEX(계정대체기준!$D$20:$D$49,MATCH($N2186,계정대체기준!$A$20:$A$49,0)),0)))</f>
        <v/>
      </c>
      <c r="AB2186" s="94">
        <f>IF($A2186="",0,IF(AE2186="직접",IF(AF2186="수금비",$P2186,0),$P2186*(1-AG2186)*IFERROR(INDEX(계정대체기준!$E$20:$E$49,MATCH($N2186,계정대체기준!$A$20:$A$49,0)),0)))</f>
        <v/>
      </c>
      <c r="AC2186" s="9">
        <f>IF(AND($A2186&lt;&gt;"",M2186=설정!$C$20,Z2186&gt;0),Z2186+ROW()/1000000000,"")</f>
        <v/>
      </c>
      <c r="AD2186" s="94">
        <f>IF($A2186="",0,$P2186*AG2186)</f>
        <v/>
      </c>
      <c r="AE2186" s="64">
        <f>IF($A2186="","",IFERROR(INDEX(계정매핑!$E$5:$E$504,MATCH($F2186&amp;"",계정매핑!$A$5:$A$504,0))&amp;"","공통비"))</f>
        <v/>
      </c>
      <c r="AF2186" s="64">
        <f>IF($A2186="","",IF(AE2186="직접",IFERROR(INDEX(계정매핑!$F$5:$F$504,MATCH($F2186&amp;"",계정매핑!$A$5:$A$504,0))&amp;"","비귀속"),""))</f>
        <v/>
      </c>
      <c r="AG2186" s="96">
        <f>IF($A2186="",0,IF(AND(AE2186&lt;&gt;"직접",IFERROR(INDEX(계정매핑!$G$5:$G$504,MATCH($F2186&amp;"",계정매핑!$A$5:$A$504,0))&amp;"","")="유지비",COUNTIF(계정대체기준!$A$6:$A$15,$N2186)&gt;0),IFERROR(INDEX(계정대체기준!$E$6:$E$15,MATCH(VALUE($A2186&amp;""),계정대체기준!$D$6:$D$15,0)),0),0))</f>
        <v/>
      </c>
      <c r="AH2186" s="64">
        <f>IF($A2186="","",IF(AD2186=0,"",IF(OR(COUNTIF(계정대체기준!$A$77:$A$86,$N2186)&gt;0,ISNUMBER(MATCH($X2186,계정대체기준!$D$77:$D$86,0)),ISNUMBER(MATCH($F2186,계정대체기준!$D$77:$D$86,0))),"Y","N")))</f>
        <v/>
      </c>
    </row>
    <row r="2187">
      <c r="A2187" s="92" t="n">
        <v>2025</v>
      </c>
      <c r="B2187" s="92" t="n">
        <v>10</v>
      </c>
      <c r="C2187" s="92" t="inlineStr">
        <is>
          <t>5100002183</t>
        </is>
      </c>
      <c r="D2187" s="95" t="n">
        <v>45949</v>
      </c>
      <c r="E2187" s="92" t="inlineStr">
        <is>
          <t>KR</t>
        </is>
      </c>
      <c r="F2187" s="92" t="n">
        <v>62201000</v>
      </c>
      <c r="G2187" s="92" t="n">
        <v>1701</v>
      </c>
      <c r="H2187" s="93" t="n">
        <v>5781000</v>
      </c>
      <c r="I2187" s="92" t="inlineStr">
        <is>
          <t>10월 통신요금 - P통신</t>
        </is>
      </c>
      <c r="J2187" s="92" t="inlineStr">
        <is>
          <t>V10014</t>
        </is>
      </c>
      <c r="K2187" s="92" t="inlineStr">
        <is>
          <t>P통신</t>
        </is>
      </c>
      <c r="M2187" s="9">
        <f>IF($A2187="","",VALUE($A2187&amp;"")*12+VALUE($B2187&amp;""))</f>
        <v/>
      </c>
      <c r="N2187" s="64">
        <f>IF($A2187="","",IFERROR(INDEX(부서매핑!$C$5:$C$504,MATCH($G2187&amp;"",부서매핑!$A$5:$A$504,0)),"미매핑"))</f>
        <v/>
      </c>
      <c r="O2187" s="9">
        <f>IF($A2187="","",N2187&amp;"|"&amp;$F2187)</f>
        <v/>
      </c>
      <c r="P2187" s="94">
        <f>IF($A2187="",0,$H2187*설정!$C$23)</f>
        <v/>
      </c>
      <c r="Q2187" s="64">
        <f>IF($A2187="","",IF(O2187&lt;&gt;원인분석!$C$9,"",IF(AND(M2187&gt;=원인분석!$C$10,M2187&lt;=원인분석!$C$11),"당기",IF(AND(M2187&gt;=원인분석!$C$12,M2187&lt;=원인분석!$C$13),"비교",""))))</f>
        <v/>
      </c>
      <c r="R2187" s="9">
        <f>IF(Q2187="","",$K2187&amp;"")</f>
        <v/>
      </c>
      <c r="S2187" s="9">
        <f>IF(Q2187="","",IF(MATCH(R2187,$R$5:$R$100000,0)=ROW()-4,ROW(),""))</f>
        <v/>
      </c>
      <c r="T2187" s="9">
        <f>IF(Q2187="당기",ABS(P2187)+ROW()/1000000000,"")</f>
        <v/>
      </c>
      <c r="U2187" s="9">
        <f>IF(Q2187="비교",ABS(P2187)+ROW()/1000000000,"")</f>
        <v/>
      </c>
      <c r="V2187" s="64">
        <f>IF($A2187="","",IF(COUNTIF(변동분석!$E$7:$E$506,O2187)&gt;0,"Y","N"))</f>
        <v/>
      </c>
      <c r="W2187" s="64">
        <f>IF($A2187="","",IFERROR(INDEX(계정매핑!$D$5:$D$504,MATCH($F2187&amp;"",계정매핑!$A$5:$A$504,0)),"미매핑"))</f>
        <v/>
      </c>
      <c r="X2187" s="9">
        <f>IF($A2187="","",$F2187&amp;"")</f>
        <v/>
      </c>
      <c r="Y2187" s="94">
        <f>IF($A2187="",0,IF(AE2187="직접",IF(AF2187="비귀속",$P2187,0),$P2187*(1-AG2187)*IFERROR(INDEX(계정대체기준!$F$20:$F$49,MATCH($N2187,계정대체기준!$A$20:$A$49,0)),1)))</f>
        <v/>
      </c>
      <c r="Z2187" s="94">
        <f>IF($A2187="",0,IF(AE2187="직접",IF(AF2187="신계약비",$P2187,0),$P2187*(1-AG2187)*IFERROR(INDEX(계정대체기준!$C$20:$C$49,MATCH($N2187,계정대체기준!$A$20:$A$49,0)),0)))</f>
        <v/>
      </c>
      <c r="AA2187" s="94">
        <f>IF($A2187="",0,IF(AE2187="직접",IF(OR(AF2187="유지비",AF2187="손해조사비"),$P2187,0),$P2187*(1-AG2187)*IFERROR(INDEX(계정대체기준!$D$20:$D$49,MATCH($N2187,계정대체기준!$A$20:$A$49,0)),0)))</f>
        <v/>
      </c>
      <c r="AB2187" s="94">
        <f>IF($A2187="",0,IF(AE2187="직접",IF(AF2187="수금비",$P2187,0),$P2187*(1-AG2187)*IFERROR(INDEX(계정대체기준!$E$20:$E$49,MATCH($N2187,계정대체기준!$A$20:$A$49,0)),0)))</f>
        <v/>
      </c>
      <c r="AC2187" s="9">
        <f>IF(AND($A2187&lt;&gt;"",M2187=설정!$C$20,Z2187&gt;0),Z2187+ROW()/1000000000,"")</f>
        <v/>
      </c>
      <c r="AD2187" s="94">
        <f>IF($A2187="",0,$P2187*AG2187)</f>
        <v/>
      </c>
      <c r="AE2187" s="64">
        <f>IF($A2187="","",IFERROR(INDEX(계정매핑!$E$5:$E$504,MATCH($F2187&amp;"",계정매핑!$A$5:$A$504,0))&amp;"","공통비"))</f>
        <v/>
      </c>
      <c r="AF2187" s="64">
        <f>IF($A2187="","",IF(AE2187="직접",IFERROR(INDEX(계정매핑!$F$5:$F$504,MATCH($F2187&amp;"",계정매핑!$A$5:$A$504,0))&amp;"","비귀속"),""))</f>
        <v/>
      </c>
      <c r="AG2187" s="96">
        <f>IF($A2187="",0,IF(AND(AE2187&lt;&gt;"직접",IFERROR(INDEX(계정매핑!$G$5:$G$504,MATCH($F2187&amp;"",계정매핑!$A$5:$A$504,0))&amp;"","")="유지비",COUNTIF(계정대체기준!$A$6:$A$15,$N2187)&gt;0),IFERROR(INDEX(계정대체기준!$E$6:$E$15,MATCH(VALUE($A2187&amp;""),계정대체기준!$D$6:$D$15,0)),0),0))</f>
        <v/>
      </c>
      <c r="AH2187" s="64">
        <f>IF($A2187="","",IF(AD2187=0,"",IF(OR(COUNTIF(계정대체기준!$A$77:$A$86,$N2187)&gt;0,ISNUMBER(MATCH($X2187,계정대체기준!$D$77:$D$86,0)),ISNUMBER(MATCH($F2187,계정대체기준!$D$77:$D$86,0))),"Y","N")))</f>
        <v/>
      </c>
    </row>
    <row r="2188">
      <c r="A2188" s="92" t="n">
        <v>2025</v>
      </c>
      <c r="B2188" s="92" t="n">
        <v>10</v>
      </c>
      <c r="C2188" s="92" t="inlineStr">
        <is>
          <t>5100002184</t>
        </is>
      </c>
      <c r="D2188" s="95" t="n">
        <v>45949</v>
      </c>
      <c r="E2188" s="92" t="inlineStr">
        <is>
          <t>KR</t>
        </is>
      </c>
      <c r="F2188" s="92" t="n">
        <v>62301000</v>
      </c>
      <c r="G2188" s="92" t="n">
        <v>1101</v>
      </c>
      <c r="H2188" s="93" t="n">
        <v>71000</v>
      </c>
      <c r="I2188" s="92" t="inlineStr">
        <is>
          <t>10월 소모품 구입 - R문구</t>
        </is>
      </c>
      <c r="J2188" s="92" t="inlineStr">
        <is>
          <t>V10022</t>
        </is>
      </c>
      <c r="K2188" s="92" t="inlineStr">
        <is>
          <t>R문구</t>
        </is>
      </c>
      <c r="M2188" s="9">
        <f>IF($A2188="","",VALUE($A2188&amp;"")*12+VALUE($B2188&amp;""))</f>
        <v/>
      </c>
      <c r="N2188" s="64">
        <f>IF($A2188="","",IFERROR(INDEX(부서매핑!$C$5:$C$504,MATCH($G2188&amp;"",부서매핑!$A$5:$A$504,0)),"미매핑"))</f>
        <v/>
      </c>
      <c r="O2188" s="9">
        <f>IF($A2188="","",N2188&amp;"|"&amp;$F2188)</f>
        <v/>
      </c>
      <c r="P2188" s="94">
        <f>IF($A2188="",0,$H2188*설정!$C$23)</f>
        <v/>
      </c>
      <c r="Q2188" s="64">
        <f>IF($A2188="","",IF(O2188&lt;&gt;원인분석!$C$9,"",IF(AND(M2188&gt;=원인분석!$C$10,M2188&lt;=원인분석!$C$11),"당기",IF(AND(M2188&gt;=원인분석!$C$12,M2188&lt;=원인분석!$C$13),"비교",""))))</f>
        <v/>
      </c>
      <c r="R2188" s="9">
        <f>IF(Q2188="","",$K2188&amp;"")</f>
        <v/>
      </c>
      <c r="S2188" s="9">
        <f>IF(Q2188="","",IF(MATCH(R2188,$R$5:$R$100000,0)=ROW()-4,ROW(),""))</f>
        <v/>
      </c>
      <c r="T2188" s="9">
        <f>IF(Q2188="당기",ABS(P2188)+ROW()/1000000000,"")</f>
        <v/>
      </c>
      <c r="U2188" s="9">
        <f>IF(Q2188="비교",ABS(P2188)+ROW()/1000000000,"")</f>
        <v/>
      </c>
      <c r="V2188" s="64">
        <f>IF($A2188="","",IF(COUNTIF(변동분석!$E$7:$E$506,O2188)&gt;0,"Y","N"))</f>
        <v/>
      </c>
      <c r="W2188" s="64">
        <f>IF($A2188="","",IFERROR(INDEX(계정매핑!$D$5:$D$504,MATCH($F2188&amp;"",계정매핑!$A$5:$A$504,0)),"미매핑"))</f>
        <v/>
      </c>
      <c r="X2188" s="9">
        <f>IF($A2188="","",$F2188&amp;"")</f>
        <v/>
      </c>
      <c r="Y2188" s="94">
        <f>IF($A2188="",0,IF(AE2188="직접",IF(AF2188="비귀속",$P2188,0),$P2188*(1-AG2188)*IFERROR(INDEX(계정대체기준!$F$20:$F$49,MATCH($N2188,계정대체기준!$A$20:$A$49,0)),1)))</f>
        <v/>
      </c>
      <c r="Z2188" s="94">
        <f>IF($A2188="",0,IF(AE2188="직접",IF(AF2188="신계약비",$P2188,0),$P2188*(1-AG2188)*IFERROR(INDEX(계정대체기준!$C$20:$C$49,MATCH($N2188,계정대체기준!$A$20:$A$49,0)),0)))</f>
        <v/>
      </c>
      <c r="AA2188" s="94">
        <f>IF($A2188="",0,IF(AE2188="직접",IF(OR(AF2188="유지비",AF2188="손해조사비"),$P2188,0),$P2188*(1-AG2188)*IFERROR(INDEX(계정대체기준!$D$20:$D$49,MATCH($N2188,계정대체기준!$A$20:$A$49,0)),0)))</f>
        <v/>
      </c>
      <c r="AB2188" s="94">
        <f>IF($A2188="",0,IF(AE2188="직접",IF(AF2188="수금비",$P2188,0),$P2188*(1-AG2188)*IFERROR(INDEX(계정대체기준!$E$20:$E$49,MATCH($N2188,계정대체기준!$A$20:$A$49,0)),0)))</f>
        <v/>
      </c>
      <c r="AC2188" s="9">
        <f>IF(AND($A2188&lt;&gt;"",M2188=설정!$C$20,Z2188&gt;0),Z2188+ROW()/1000000000,"")</f>
        <v/>
      </c>
      <c r="AD2188" s="94">
        <f>IF($A2188="",0,$P2188*AG2188)</f>
        <v/>
      </c>
      <c r="AE2188" s="64">
        <f>IF($A2188="","",IFERROR(INDEX(계정매핑!$E$5:$E$504,MATCH($F2188&amp;"",계정매핑!$A$5:$A$504,0))&amp;"","공통비"))</f>
        <v/>
      </c>
      <c r="AF2188" s="64">
        <f>IF($A2188="","",IF(AE2188="직접",IFERROR(INDEX(계정매핑!$F$5:$F$504,MATCH($F2188&amp;"",계정매핑!$A$5:$A$504,0))&amp;"","비귀속"),""))</f>
        <v/>
      </c>
      <c r="AG2188" s="96">
        <f>IF($A2188="",0,IF(AND(AE2188&lt;&gt;"직접",IFERROR(INDEX(계정매핑!$G$5:$G$504,MATCH($F2188&amp;"",계정매핑!$A$5:$A$504,0))&amp;"","")="유지비",COUNTIF(계정대체기준!$A$6:$A$15,$N2188)&gt;0),IFERROR(INDEX(계정대체기준!$E$6:$E$15,MATCH(VALUE($A2188&amp;""),계정대체기준!$D$6:$D$15,0)),0),0))</f>
        <v/>
      </c>
      <c r="AH2188" s="64">
        <f>IF($A2188="","",IF(AD2188=0,"",IF(OR(COUNTIF(계정대체기준!$A$77:$A$86,$N2188)&gt;0,ISNUMBER(MATCH($X2188,계정대체기준!$D$77:$D$86,0)),ISNUMBER(MATCH($F2188,계정대체기준!$D$77:$D$86,0))),"Y","N")))</f>
        <v/>
      </c>
    </row>
    <row r="2189">
      <c r="A2189" s="92" t="n">
        <v>2025</v>
      </c>
      <c r="B2189" s="92" t="n">
        <v>10</v>
      </c>
      <c r="C2189" s="92" t="inlineStr">
        <is>
          <t>5100002185</t>
        </is>
      </c>
      <c r="D2189" s="95" t="n">
        <v>45949</v>
      </c>
      <c r="E2189" s="92" t="inlineStr">
        <is>
          <t>KR</t>
        </is>
      </c>
      <c r="F2189" s="92" t="n">
        <v>62301000</v>
      </c>
      <c r="G2189" s="92" t="n">
        <v>1501</v>
      </c>
      <c r="H2189" s="93" t="n">
        <v>380000</v>
      </c>
      <c r="I2189" s="92" t="inlineStr">
        <is>
          <t>10월 소모품 구입 - Q오피스</t>
        </is>
      </c>
      <c r="J2189" s="92" t="inlineStr">
        <is>
          <t>V10003</t>
        </is>
      </c>
      <c r="K2189" s="92" t="inlineStr">
        <is>
          <t>Q오피스</t>
        </is>
      </c>
      <c r="M2189" s="9">
        <f>IF($A2189="","",VALUE($A2189&amp;"")*12+VALUE($B2189&amp;""))</f>
        <v/>
      </c>
      <c r="N2189" s="64">
        <f>IF($A2189="","",IFERROR(INDEX(부서매핑!$C$5:$C$504,MATCH($G2189&amp;"",부서매핑!$A$5:$A$504,0)),"미매핑"))</f>
        <v/>
      </c>
      <c r="O2189" s="9">
        <f>IF($A2189="","",N2189&amp;"|"&amp;$F2189)</f>
        <v/>
      </c>
      <c r="P2189" s="94">
        <f>IF($A2189="",0,$H2189*설정!$C$23)</f>
        <v/>
      </c>
      <c r="Q2189" s="64">
        <f>IF($A2189="","",IF(O2189&lt;&gt;원인분석!$C$9,"",IF(AND(M2189&gt;=원인분석!$C$10,M2189&lt;=원인분석!$C$11),"당기",IF(AND(M2189&gt;=원인분석!$C$12,M2189&lt;=원인분석!$C$13),"비교",""))))</f>
        <v/>
      </c>
      <c r="R2189" s="9">
        <f>IF(Q2189="","",$K2189&amp;"")</f>
        <v/>
      </c>
      <c r="S2189" s="9">
        <f>IF(Q2189="","",IF(MATCH(R2189,$R$5:$R$100000,0)=ROW()-4,ROW(),""))</f>
        <v/>
      </c>
      <c r="T2189" s="9">
        <f>IF(Q2189="당기",ABS(P2189)+ROW()/1000000000,"")</f>
        <v/>
      </c>
      <c r="U2189" s="9">
        <f>IF(Q2189="비교",ABS(P2189)+ROW()/1000000000,"")</f>
        <v/>
      </c>
      <c r="V2189" s="64">
        <f>IF($A2189="","",IF(COUNTIF(변동분석!$E$7:$E$506,O2189)&gt;0,"Y","N"))</f>
        <v/>
      </c>
      <c r="W2189" s="64">
        <f>IF($A2189="","",IFERROR(INDEX(계정매핑!$D$5:$D$504,MATCH($F2189&amp;"",계정매핑!$A$5:$A$504,0)),"미매핑"))</f>
        <v/>
      </c>
      <c r="X2189" s="9">
        <f>IF($A2189="","",$F2189&amp;"")</f>
        <v/>
      </c>
      <c r="Y2189" s="94">
        <f>IF($A2189="",0,IF(AE2189="직접",IF(AF2189="비귀속",$P2189,0),$P2189*(1-AG2189)*IFERROR(INDEX(계정대체기준!$F$20:$F$49,MATCH($N2189,계정대체기준!$A$20:$A$49,0)),1)))</f>
        <v/>
      </c>
      <c r="Z2189" s="94">
        <f>IF($A2189="",0,IF(AE2189="직접",IF(AF2189="신계약비",$P2189,0),$P2189*(1-AG2189)*IFERROR(INDEX(계정대체기준!$C$20:$C$49,MATCH($N2189,계정대체기준!$A$20:$A$49,0)),0)))</f>
        <v/>
      </c>
      <c r="AA2189" s="94">
        <f>IF($A2189="",0,IF(AE2189="직접",IF(OR(AF2189="유지비",AF2189="손해조사비"),$P2189,0),$P2189*(1-AG2189)*IFERROR(INDEX(계정대체기준!$D$20:$D$49,MATCH($N2189,계정대체기준!$A$20:$A$49,0)),0)))</f>
        <v/>
      </c>
      <c r="AB2189" s="94">
        <f>IF($A2189="",0,IF(AE2189="직접",IF(AF2189="수금비",$P2189,0),$P2189*(1-AG2189)*IFERROR(INDEX(계정대체기준!$E$20:$E$49,MATCH($N2189,계정대체기준!$A$20:$A$49,0)),0)))</f>
        <v/>
      </c>
      <c r="AC2189" s="9">
        <f>IF(AND($A2189&lt;&gt;"",M2189=설정!$C$20,Z2189&gt;0),Z2189+ROW()/1000000000,"")</f>
        <v/>
      </c>
      <c r="AD2189" s="94">
        <f>IF($A2189="",0,$P2189*AG2189)</f>
        <v/>
      </c>
      <c r="AE2189" s="64">
        <f>IF($A2189="","",IFERROR(INDEX(계정매핑!$E$5:$E$504,MATCH($F2189&amp;"",계정매핑!$A$5:$A$504,0))&amp;"","공통비"))</f>
        <v/>
      </c>
      <c r="AF2189" s="64">
        <f>IF($A2189="","",IF(AE2189="직접",IFERROR(INDEX(계정매핑!$F$5:$F$504,MATCH($F2189&amp;"",계정매핑!$A$5:$A$504,0))&amp;"","비귀속"),""))</f>
        <v/>
      </c>
      <c r="AG2189" s="96">
        <f>IF($A2189="",0,IF(AND(AE2189&lt;&gt;"직접",IFERROR(INDEX(계정매핑!$G$5:$G$504,MATCH($F2189&amp;"",계정매핑!$A$5:$A$504,0))&amp;"","")="유지비",COUNTIF(계정대체기준!$A$6:$A$15,$N2189)&gt;0),IFERROR(INDEX(계정대체기준!$E$6:$E$15,MATCH(VALUE($A2189&amp;""),계정대체기준!$D$6:$D$15,0)),0),0))</f>
        <v/>
      </c>
      <c r="AH2189" s="64">
        <f>IF($A2189="","",IF(AD2189=0,"",IF(OR(COUNTIF(계정대체기준!$A$77:$A$86,$N2189)&gt;0,ISNUMBER(MATCH($X2189,계정대체기준!$D$77:$D$86,0)),ISNUMBER(MATCH($F2189,계정대체기준!$D$77:$D$86,0))),"Y","N")))</f>
        <v/>
      </c>
    </row>
    <row r="2190">
      <c r="A2190" s="92" t="n">
        <v>2025</v>
      </c>
      <c r="B2190" s="92" t="n">
        <v>10</v>
      </c>
      <c r="C2190" s="92" t="inlineStr">
        <is>
          <t>5100002186</t>
        </is>
      </c>
      <c r="D2190" s="95" t="n">
        <v>45949</v>
      </c>
      <c r="E2190" s="92" t="inlineStr">
        <is>
          <t>KR</t>
        </is>
      </c>
      <c r="F2190" s="92" t="n">
        <v>62501000</v>
      </c>
      <c r="G2190" s="92" t="n">
        <v>1301</v>
      </c>
      <c r="H2190" s="93" t="n">
        <v>376000</v>
      </c>
      <c r="I2190" s="92" t="inlineStr">
        <is>
          <t>10월 회의 다과 - (법인카드)</t>
        </is>
      </c>
      <c r="J2190" s="92" t="inlineStr">
        <is>
          <t>V10010</t>
        </is>
      </c>
      <c r="K2190" s="92" t="inlineStr">
        <is>
          <t>(법인카드)</t>
        </is>
      </c>
      <c r="M2190" s="9">
        <f>IF($A2190="","",VALUE($A2190&amp;"")*12+VALUE($B2190&amp;""))</f>
        <v/>
      </c>
      <c r="N2190" s="64">
        <f>IF($A2190="","",IFERROR(INDEX(부서매핑!$C$5:$C$504,MATCH($G2190&amp;"",부서매핑!$A$5:$A$504,0)),"미매핑"))</f>
        <v/>
      </c>
      <c r="O2190" s="9">
        <f>IF($A2190="","",N2190&amp;"|"&amp;$F2190)</f>
        <v/>
      </c>
      <c r="P2190" s="94">
        <f>IF($A2190="",0,$H2190*설정!$C$23)</f>
        <v/>
      </c>
      <c r="Q2190" s="64">
        <f>IF($A2190="","",IF(O2190&lt;&gt;원인분석!$C$9,"",IF(AND(M2190&gt;=원인분석!$C$10,M2190&lt;=원인분석!$C$11),"당기",IF(AND(M2190&gt;=원인분석!$C$12,M2190&lt;=원인분석!$C$13),"비교",""))))</f>
        <v/>
      </c>
      <c r="R2190" s="9">
        <f>IF(Q2190="","",$K2190&amp;"")</f>
        <v/>
      </c>
      <c r="S2190" s="9">
        <f>IF(Q2190="","",IF(MATCH(R2190,$R$5:$R$100000,0)=ROW()-4,ROW(),""))</f>
        <v/>
      </c>
      <c r="T2190" s="9">
        <f>IF(Q2190="당기",ABS(P2190)+ROW()/1000000000,"")</f>
        <v/>
      </c>
      <c r="U2190" s="9">
        <f>IF(Q2190="비교",ABS(P2190)+ROW()/1000000000,"")</f>
        <v/>
      </c>
      <c r="V2190" s="64">
        <f>IF($A2190="","",IF(COUNTIF(변동분석!$E$7:$E$506,O2190)&gt;0,"Y","N"))</f>
        <v/>
      </c>
      <c r="W2190" s="64">
        <f>IF($A2190="","",IFERROR(INDEX(계정매핑!$D$5:$D$504,MATCH($F2190&amp;"",계정매핑!$A$5:$A$504,0)),"미매핑"))</f>
        <v/>
      </c>
      <c r="X2190" s="9">
        <f>IF($A2190="","",$F2190&amp;"")</f>
        <v/>
      </c>
      <c r="Y2190" s="94">
        <f>IF($A2190="",0,IF(AE2190="직접",IF(AF2190="비귀속",$P2190,0),$P2190*(1-AG2190)*IFERROR(INDEX(계정대체기준!$F$20:$F$49,MATCH($N2190,계정대체기준!$A$20:$A$49,0)),1)))</f>
        <v/>
      </c>
      <c r="Z2190" s="94">
        <f>IF($A2190="",0,IF(AE2190="직접",IF(AF2190="신계약비",$P2190,0),$P2190*(1-AG2190)*IFERROR(INDEX(계정대체기준!$C$20:$C$49,MATCH($N2190,계정대체기준!$A$20:$A$49,0)),0)))</f>
        <v/>
      </c>
      <c r="AA2190" s="94">
        <f>IF($A2190="",0,IF(AE2190="직접",IF(OR(AF2190="유지비",AF2190="손해조사비"),$P2190,0),$P2190*(1-AG2190)*IFERROR(INDEX(계정대체기준!$D$20:$D$49,MATCH($N2190,계정대체기준!$A$20:$A$49,0)),0)))</f>
        <v/>
      </c>
      <c r="AB2190" s="94">
        <f>IF($A2190="",0,IF(AE2190="직접",IF(AF2190="수금비",$P2190,0),$P2190*(1-AG2190)*IFERROR(INDEX(계정대체기준!$E$20:$E$49,MATCH($N2190,계정대체기준!$A$20:$A$49,0)),0)))</f>
        <v/>
      </c>
      <c r="AC2190" s="9">
        <f>IF(AND($A2190&lt;&gt;"",M2190=설정!$C$20,Z2190&gt;0),Z2190+ROW()/1000000000,"")</f>
        <v/>
      </c>
      <c r="AD2190" s="94">
        <f>IF($A2190="",0,$P2190*AG2190)</f>
        <v/>
      </c>
      <c r="AE2190" s="64">
        <f>IF($A2190="","",IFERROR(INDEX(계정매핑!$E$5:$E$504,MATCH($F2190&amp;"",계정매핑!$A$5:$A$504,0))&amp;"","공통비"))</f>
        <v/>
      </c>
      <c r="AF2190" s="64">
        <f>IF($A2190="","",IF(AE2190="직접",IFERROR(INDEX(계정매핑!$F$5:$F$504,MATCH($F2190&amp;"",계정매핑!$A$5:$A$504,0))&amp;"","비귀속"),""))</f>
        <v/>
      </c>
      <c r="AG2190" s="96">
        <f>IF($A2190="",0,IF(AND(AE2190&lt;&gt;"직접",IFERROR(INDEX(계정매핑!$G$5:$G$504,MATCH($F2190&amp;"",계정매핑!$A$5:$A$504,0))&amp;"","")="유지비",COUNTIF(계정대체기준!$A$6:$A$15,$N2190)&gt;0),IFERROR(INDEX(계정대체기준!$E$6:$E$15,MATCH(VALUE($A2190&amp;""),계정대체기준!$D$6:$D$15,0)),0),0))</f>
        <v/>
      </c>
      <c r="AH2190" s="64">
        <f>IF($A2190="","",IF(AD2190=0,"",IF(OR(COUNTIF(계정대체기준!$A$77:$A$86,$N2190)&gt;0,ISNUMBER(MATCH($X2190,계정대체기준!$D$77:$D$86,0)),ISNUMBER(MATCH($F2190,계정대체기준!$D$77:$D$86,0))),"Y","N")))</f>
        <v/>
      </c>
    </row>
    <row r="2191">
      <c r="A2191" s="92" t="n">
        <v>2025</v>
      </c>
      <c r="B2191" s="92" t="n">
        <v>10</v>
      </c>
      <c r="C2191" s="92" t="inlineStr">
        <is>
          <t>5100002187</t>
        </is>
      </c>
      <c r="D2191" s="95" t="n">
        <v>45949</v>
      </c>
      <c r="E2191" s="92" t="inlineStr">
        <is>
          <t>KR</t>
        </is>
      </c>
      <c r="F2191" s="92" t="n">
        <v>62501000</v>
      </c>
      <c r="G2191" s="92" t="n">
        <v>1401</v>
      </c>
      <c r="H2191" s="93" t="n">
        <v>294000</v>
      </c>
      <c r="I2191" s="92" t="inlineStr">
        <is>
          <t>10월 회의 다과 - T케이터링</t>
        </is>
      </c>
      <c r="J2191" s="92" t="inlineStr">
        <is>
          <t>V10005</t>
        </is>
      </c>
      <c r="K2191" s="92" t="inlineStr">
        <is>
          <t>T케이터링</t>
        </is>
      </c>
      <c r="M2191" s="9">
        <f>IF($A2191="","",VALUE($A2191&amp;"")*12+VALUE($B2191&amp;""))</f>
        <v/>
      </c>
      <c r="N2191" s="64">
        <f>IF($A2191="","",IFERROR(INDEX(부서매핑!$C$5:$C$504,MATCH($G2191&amp;"",부서매핑!$A$5:$A$504,0)),"미매핑"))</f>
        <v/>
      </c>
      <c r="O2191" s="9">
        <f>IF($A2191="","",N2191&amp;"|"&amp;$F2191)</f>
        <v/>
      </c>
      <c r="P2191" s="94">
        <f>IF($A2191="",0,$H2191*설정!$C$23)</f>
        <v/>
      </c>
      <c r="Q2191" s="64">
        <f>IF($A2191="","",IF(O2191&lt;&gt;원인분석!$C$9,"",IF(AND(M2191&gt;=원인분석!$C$10,M2191&lt;=원인분석!$C$11),"당기",IF(AND(M2191&gt;=원인분석!$C$12,M2191&lt;=원인분석!$C$13),"비교",""))))</f>
        <v/>
      </c>
      <c r="R2191" s="9">
        <f>IF(Q2191="","",$K2191&amp;"")</f>
        <v/>
      </c>
      <c r="S2191" s="9">
        <f>IF(Q2191="","",IF(MATCH(R2191,$R$5:$R$100000,0)=ROW()-4,ROW(),""))</f>
        <v/>
      </c>
      <c r="T2191" s="9">
        <f>IF(Q2191="당기",ABS(P2191)+ROW()/1000000000,"")</f>
        <v/>
      </c>
      <c r="U2191" s="9">
        <f>IF(Q2191="비교",ABS(P2191)+ROW()/1000000000,"")</f>
        <v/>
      </c>
      <c r="V2191" s="64">
        <f>IF($A2191="","",IF(COUNTIF(변동분석!$E$7:$E$506,O2191)&gt;0,"Y","N"))</f>
        <v/>
      </c>
      <c r="W2191" s="64">
        <f>IF($A2191="","",IFERROR(INDEX(계정매핑!$D$5:$D$504,MATCH($F2191&amp;"",계정매핑!$A$5:$A$504,0)),"미매핑"))</f>
        <v/>
      </c>
      <c r="X2191" s="9">
        <f>IF($A2191="","",$F2191&amp;"")</f>
        <v/>
      </c>
      <c r="Y2191" s="94">
        <f>IF($A2191="",0,IF(AE2191="직접",IF(AF2191="비귀속",$P2191,0),$P2191*(1-AG2191)*IFERROR(INDEX(계정대체기준!$F$20:$F$49,MATCH($N2191,계정대체기준!$A$20:$A$49,0)),1)))</f>
        <v/>
      </c>
      <c r="Z2191" s="94">
        <f>IF($A2191="",0,IF(AE2191="직접",IF(AF2191="신계약비",$P2191,0),$P2191*(1-AG2191)*IFERROR(INDEX(계정대체기준!$C$20:$C$49,MATCH($N2191,계정대체기준!$A$20:$A$49,0)),0)))</f>
        <v/>
      </c>
      <c r="AA2191" s="94">
        <f>IF($A2191="",0,IF(AE2191="직접",IF(OR(AF2191="유지비",AF2191="손해조사비"),$P2191,0),$P2191*(1-AG2191)*IFERROR(INDEX(계정대체기준!$D$20:$D$49,MATCH($N2191,계정대체기준!$A$20:$A$49,0)),0)))</f>
        <v/>
      </c>
      <c r="AB2191" s="94">
        <f>IF($A2191="",0,IF(AE2191="직접",IF(AF2191="수금비",$P2191,0),$P2191*(1-AG2191)*IFERROR(INDEX(계정대체기준!$E$20:$E$49,MATCH($N2191,계정대체기준!$A$20:$A$49,0)),0)))</f>
        <v/>
      </c>
      <c r="AC2191" s="9">
        <f>IF(AND($A2191&lt;&gt;"",M2191=설정!$C$20,Z2191&gt;0),Z2191+ROW()/1000000000,"")</f>
        <v/>
      </c>
      <c r="AD2191" s="94">
        <f>IF($A2191="",0,$P2191*AG2191)</f>
        <v/>
      </c>
      <c r="AE2191" s="64">
        <f>IF($A2191="","",IFERROR(INDEX(계정매핑!$E$5:$E$504,MATCH($F2191&amp;"",계정매핑!$A$5:$A$504,0))&amp;"","공통비"))</f>
        <v/>
      </c>
      <c r="AF2191" s="64">
        <f>IF($A2191="","",IF(AE2191="직접",IFERROR(INDEX(계정매핑!$F$5:$F$504,MATCH($F2191&amp;"",계정매핑!$A$5:$A$504,0))&amp;"","비귀속"),""))</f>
        <v/>
      </c>
      <c r="AG2191" s="96">
        <f>IF($A2191="",0,IF(AND(AE2191&lt;&gt;"직접",IFERROR(INDEX(계정매핑!$G$5:$G$504,MATCH($F2191&amp;"",계정매핑!$A$5:$A$504,0))&amp;"","")="유지비",COUNTIF(계정대체기준!$A$6:$A$15,$N2191)&gt;0),IFERROR(INDEX(계정대체기준!$E$6:$E$15,MATCH(VALUE($A2191&amp;""),계정대체기준!$D$6:$D$15,0)),0),0))</f>
        <v/>
      </c>
      <c r="AH2191" s="64">
        <f>IF($A2191="","",IF(AD2191=0,"",IF(OR(COUNTIF(계정대체기준!$A$77:$A$86,$N2191)&gt;0,ISNUMBER(MATCH($X2191,계정대체기준!$D$77:$D$86,0)),ISNUMBER(MATCH($F2191,계정대체기준!$D$77:$D$86,0))),"Y","N")))</f>
        <v/>
      </c>
    </row>
    <row r="2192">
      <c r="A2192" s="92" t="n">
        <v>2025</v>
      </c>
      <c r="B2192" s="92" t="n">
        <v>10</v>
      </c>
      <c r="C2192" s="92" t="inlineStr">
        <is>
          <t>5100002188</t>
        </is>
      </c>
      <c r="D2192" s="95" t="n">
        <v>45949</v>
      </c>
      <c r="E2192" s="92" t="inlineStr">
        <is>
          <t>KR</t>
        </is>
      </c>
      <c r="F2192" s="92" t="n">
        <v>62902000</v>
      </c>
      <c r="G2192" s="92" t="n">
        <v>1801</v>
      </c>
      <c r="H2192" s="93" t="n">
        <v>1807000</v>
      </c>
      <c r="I2192" s="92" t="inlineStr">
        <is>
          <t>10월 콜 위탁 수수료(건별)</t>
        </is>
      </c>
      <c r="J2192" s="92" t="inlineStr">
        <is>
          <t>V10016</t>
        </is>
      </c>
      <c r="K2192" s="92" t="inlineStr">
        <is>
          <t>J콜센터</t>
        </is>
      </c>
      <c r="M2192" s="9">
        <f>IF($A2192="","",VALUE($A2192&amp;"")*12+VALUE($B2192&amp;""))</f>
        <v/>
      </c>
      <c r="N2192" s="64">
        <f>IF($A2192="","",IFERROR(INDEX(부서매핑!$C$5:$C$504,MATCH($G2192&amp;"",부서매핑!$A$5:$A$504,0)),"미매핑"))</f>
        <v/>
      </c>
      <c r="O2192" s="9">
        <f>IF($A2192="","",N2192&amp;"|"&amp;$F2192)</f>
        <v/>
      </c>
      <c r="P2192" s="94">
        <f>IF($A2192="",0,$H2192*설정!$C$23)</f>
        <v/>
      </c>
      <c r="Q2192" s="64">
        <f>IF($A2192="","",IF(O2192&lt;&gt;원인분석!$C$9,"",IF(AND(M2192&gt;=원인분석!$C$10,M2192&lt;=원인분석!$C$11),"당기",IF(AND(M2192&gt;=원인분석!$C$12,M2192&lt;=원인분석!$C$13),"비교",""))))</f>
        <v/>
      </c>
      <c r="R2192" s="9">
        <f>IF(Q2192="","",$K2192&amp;"")</f>
        <v/>
      </c>
      <c r="S2192" s="9">
        <f>IF(Q2192="","",IF(MATCH(R2192,$R$5:$R$100000,0)=ROW()-4,ROW(),""))</f>
        <v/>
      </c>
      <c r="T2192" s="9">
        <f>IF(Q2192="당기",ABS(P2192)+ROW()/1000000000,"")</f>
        <v/>
      </c>
      <c r="U2192" s="9">
        <f>IF(Q2192="비교",ABS(P2192)+ROW()/1000000000,"")</f>
        <v/>
      </c>
      <c r="V2192" s="64">
        <f>IF($A2192="","",IF(COUNTIF(변동분석!$E$7:$E$506,O2192)&gt;0,"Y","N"))</f>
        <v/>
      </c>
      <c r="W2192" s="64">
        <f>IF($A2192="","",IFERROR(INDEX(계정매핑!$D$5:$D$504,MATCH($F2192&amp;"",계정매핑!$A$5:$A$504,0)),"미매핑"))</f>
        <v/>
      </c>
      <c r="X2192" s="9">
        <f>IF($A2192="","",$F2192&amp;"")</f>
        <v/>
      </c>
      <c r="Y2192" s="94">
        <f>IF($A2192="",0,IF(AE2192="직접",IF(AF2192="비귀속",$P2192,0),$P2192*(1-AG2192)*IFERROR(INDEX(계정대체기준!$F$20:$F$49,MATCH($N2192,계정대체기준!$A$20:$A$49,0)),1)))</f>
        <v/>
      </c>
      <c r="Z2192" s="94">
        <f>IF($A2192="",0,IF(AE2192="직접",IF(AF2192="신계약비",$P2192,0),$P2192*(1-AG2192)*IFERROR(INDEX(계정대체기준!$C$20:$C$49,MATCH($N2192,계정대체기준!$A$20:$A$49,0)),0)))</f>
        <v/>
      </c>
      <c r="AA2192" s="94">
        <f>IF($A2192="",0,IF(AE2192="직접",IF(OR(AF2192="유지비",AF2192="손해조사비"),$P2192,0),$P2192*(1-AG2192)*IFERROR(INDEX(계정대체기준!$D$20:$D$49,MATCH($N2192,계정대체기준!$A$20:$A$49,0)),0)))</f>
        <v/>
      </c>
      <c r="AB2192" s="94">
        <f>IF($A2192="",0,IF(AE2192="직접",IF(AF2192="수금비",$P2192,0),$P2192*(1-AG2192)*IFERROR(INDEX(계정대체기준!$E$20:$E$49,MATCH($N2192,계정대체기준!$A$20:$A$49,0)),0)))</f>
        <v/>
      </c>
      <c r="AC2192" s="9">
        <f>IF(AND($A2192&lt;&gt;"",M2192=설정!$C$20,Z2192&gt;0),Z2192+ROW()/1000000000,"")</f>
        <v/>
      </c>
      <c r="AD2192" s="94">
        <f>IF($A2192="",0,$P2192*AG2192)</f>
        <v/>
      </c>
      <c r="AE2192" s="64">
        <f>IF($A2192="","",IFERROR(INDEX(계정매핑!$E$5:$E$504,MATCH($F2192&amp;"",계정매핑!$A$5:$A$504,0))&amp;"","공통비"))</f>
        <v/>
      </c>
      <c r="AF2192" s="64">
        <f>IF($A2192="","",IF(AE2192="직접",IFERROR(INDEX(계정매핑!$F$5:$F$504,MATCH($F2192&amp;"",계정매핑!$A$5:$A$504,0))&amp;"","비귀속"),""))</f>
        <v/>
      </c>
      <c r="AG2192" s="96">
        <f>IF($A2192="",0,IF(AND(AE2192&lt;&gt;"직접",IFERROR(INDEX(계정매핑!$G$5:$G$504,MATCH($F2192&amp;"",계정매핑!$A$5:$A$504,0))&amp;"","")="유지비",COUNTIF(계정대체기준!$A$6:$A$15,$N2192)&gt;0),IFERROR(INDEX(계정대체기준!$E$6:$E$15,MATCH(VALUE($A2192&amp;""),계정대체기준!$D$6:$D$15,0)),0),0))</f>
        <v/>
      </c>
      <c r="AH2192" s="64">
        <f>IF($A2192="","",IF(AD2192=0,"",IF(OR(COUNTIF(계정대체기준!$A$77:$A$86,$N2192)&gt;0,ISNUMBER(MATCH($X2192,계정대체기준!$D$77:$D$86,0)),ISNUMBER(MATCH($F2192,계정대체기준!$D$77:$D$86,0))),"Y","N")))</f>
        <v/>
      </c>
    </row>
    <row r="2193">
      <c r="A2193" s="92" t="n">
        <v>2025</v>
      </c>
      <c r="B2193" s="92" t="n">
        <v>10</v>
      </c>
      <c r="C2193" s="92" t="inlineStr">
        <is>
          <t>5100002189</t>
        </is>
      </c>
      <c r="D2193" s="95" t="n">
        <v>45950</v>
      </c>
      <c r="E2193" s="92" t="inlineStr">
        <is>
          <t>KR</t>
        </is>
      </c>
      <c r="F2193" s="92" t="n">
        <v>62101000</v>
      </c>
      <c r="G2193" s="92" t="n">
        <v>1201</v>
      </c>
      <c r="H2193" s="93" t="n">
        <v>262000</v>
      </c>
      <c r="I2193" s="92" t="inlineStr">
        <is>
          <t>10월 국내출장 - L여행사</t>
        </is>
      </c>
      <c r="J2193" s="92" t="inlineStr">
        <is>
          <t>V10018</t>
        </is>
      </c>
      <c r="K2193" s="92" t="inlineStr">
        <is>
          <t>L여행사</t>
        </is>
      </c>
      <c r="M2193" s="9">
        <f>IF($A2193="","",VALUE($A2193&amp;"")*12+VALUE($B2193&amp;""))</f>
        <v/>
      </c>
      <c r="N2193" s="64">
        <f>IF($A2193="","",IFERROR(INDEX(부서매핑!$C$5:$C$504,MATCH($G2193&amp;"",부서매핑!$A$5:$A$504,0)),"미매핑"))</f>
        <v/>
      </c>
      <c r="O2193" s="9">
        <f>IF($A2193="","",N2193&amp;"|"&amp;$F2193)</f>
        <v/>
      </c>
      <c r="P2193" s="94">
        <f>IF($A2193="",0,$H2193*설정!$C$23)</f>
        <v/>
      </c>
      <c r="Q2193" s="64">
        <f>IF($A2193="","",IF(O2193&lt;&gt;원인분석!$C$9,"",IF(AND(M2193&gt;=원인분석!$C$10,M2193&lt;=원인분석!$C$11),"당기",IF(AND(M2193&gt;=원인분석!$C$12,M2193&lt;=원인분석!$C$13),"비교",""))))</f>
        <v/>
      </c>
      <c r="R2193" s="9">
        <f>IF(Q2193="","",$K2193&amp;"")</f>
        <v/>
      </c>
      <c r="S2193" s="9">
        <f>IF(Q2193="","",IF(MATCH(R2193,$R$5:$R$100000,0)=ROW()-4,ROW(),""))</f>
        <v/>
      </c>
      <c r="T2193" s="9">
        <f>IF(Q2193="당기",ABS(P2193)+ROW()/1000000000,"")</f>
        <v/>
      </c>
      <c r="U2193" s="9">
        <f>IF(Q2193="비교",ABS(P2193)+ROW()/1000000000,"")</f>
        <v/>
      </c>
      <c r="V2193" s="64">
        <f>IF($A2193="","",IF(COUNTIF(변동분석!$E$7:$E$506,O2193)&gt;0,"Y","N"))</f>
        <v/>
      </c>
      <c r="W2193" s="64">
        <f>IF($A2193="","",IFERROR(INDEX(계정매핑!$D$5:$D$504,MATCH($F2193&amp;"",계정매핑!$A$5:$A$504,0)),"미매핑"))</f>
        <v/>
      </c>
      <c r="X2193" s="9">
        <f>IF($A2193="","",$F2193&amp;"")</f>
        <v/>
      </c>
      <c r="Y2193" s="94">
        <f>IF($A2193="",0,IF(AE2193="직접",IF(AF2193="비귀속",$P2193,0),$P2193*(1-AG2193)*IFERROR(INDEX(계정대체기준!$F$20:$F$49,MATCH($N2193,계정대체기준!$A$20:$A$49,0)),1)))</f>
        <v/>
      </c>
      <c r="Z2193" s="94">
        <f>IF($A2193="",0,IF(AE2193="직접",IF(AF2193="신계약비",$P2193,0),$P2193*(1-AG2193)*IFERROR(INDEX(계정대체기준!$C$20:$C$49,MATCH($N2193,계정대체기준!$A$20:$A$49,0)),0)))</f>
        <v/>
      </c>
      <c r="AA2193" s="94">
        <f>IF($A2193="",0,IF(AE2193="직접",IF(OR(AF2193="유지비",AF2193="손해조사비"),$P2193,0),$P2193*(1-AG2193)*IFERROR(INDEX(계정대체기준!$D$20:$D$49,MATCH($N2193,계정대체기준!$A$20:$A$49,0)),0)))</f>
        <v/>
      </c>
      <c r="AB2193" s="94">
        <f>IF($A2193="",0,IF(AE2193="직접",IF(AF2193="수금비",$P2193,0),$P2193*(1-AG2193)*IFERROR(INDEX(계정대체기준!$E$20:$E$49,MATCH($N2193,계정대체기준!$A$20:$A$49,0)),0)))</f>
        <v/>
      </c>
      <c r="AC2193" s="9">
        <f>IF(AND($A2193&lt;&gt;"",M2193=설정!$C$20,Z2193&gt;0),Z2193+ROW()/1000000000,"")</f>
        <v/>
      </c>
      <c r="AD2193" s="94">
        <f>IF($A2193="",0,$P2193*AG2193)</f>
        <v/>
      </c>
      <c r="AE2193" s="64">
        <f>IF($A2193="","",IFERROR(INDEX(계정매핑!$E$5:$E$504,MATCH($F2193&amp;"",계정매핑!$A$5:$A$504,0))&amp;"","공통비"))</f>
        <v/>
      </c>
      <c r="AF2193" s="64">
        <f>IF($A2193="","",IF(AE2193="직접",IFERROR(INDEX(계정매핑!$F$5:$F$504,MATCH($F2193&amp;"",계정매핑!$A$5:$A$504,0))&amp;"","비귀속"),""))</f>
        <v/>
      </c>
      <c r="AG2193" s="96">
        <f>IF($A2193="",0,IF(AND(AE2193&lt;&gt;"직접",IFERROR(INDEX(계정매핑!$G$5:$G$504,MATCH($F2193&amp;"",계정매핑!$A$5:$A$504,0))&amp;"","")="유지비",COUNTIF(계정대체기준!$A$6:$A$15,$N2193)&gt;0),IFERROR(INDEX(계정대체기준!$E$6:$E$15,MATCH(VALUE($A2193&amp;""),계정대체기준!$D$6:$D$15,0)),0),0))</f>
        <v/>
      </c>
      <c r="AH2193" s="64">
        <f>IF($A2193="","",IF(AD2193=0,"",IF(OR(COUNTIF(계정대체기준!$A$77:$A$86,$N2193)&gt;0,ISNUMBER(MATCH($X2193,계정대체기준!$D$77:$D$86,0)),ISNUMBER(MATCH($F2193,계정대체기준!$D$77:$D$86,0))),"Y","N")))</f>
        <v/>
      </c>
    </row>
    <row r="2194">
      <c r="A2194" s="92" t="n">
        <v>2025</v>
      </c>
      <c r="B2194" s="92" t="n">
        <v>10</v>
      </c>
      <c r="C2194" s="92" t="inlineStr">
        <is>
          <t>5100002190</t>
        </is>
      </c>
      <c r="D2194" s="95" t="n">
        <v>45950</v>
      </c>
      <c r="E2194" s="92" t="inlineStr">
        <is>
          <t>KR</t>
        </is>
      </c>
      <c r="F2194" s="92" t="n">
        <v>62102000</v>
      </c>
      <c r="G2194" s="92" t="n">
        <v>1701</v>
      </c>
      <c r="H2194" s="93" t="n">
        <v>29000</v>
      </c>
      <c r="I2194" s="92" t="inlineStr">
        <is>
          <t>10월 해외출장 - M항공</t>
        </is>
      </c>
      <c r="J2194" s="92" t="inlineStr">
        <is>
          <t>V10001</t>
        </is>
      </c>
      <c r="K2194" s="92" t="inlineStr">
        <is>
          <t>M항공</t>
        </is>
      </c>
      <c r="M2194" s="9">
        <f>IF($A2194="","",VALUE($A2194&amp;"")*12+VALUE($B2194&amp;""))</f>
        <v/>
      </c>
      <c r="N2194" s="64">
        <f>IF($A2194="","",IFERROR(INDEX(부서매핑!$C$5:$C$504,MATCH($G2194&amp;"",부서매핑!$A$5:$A$504,0)),"미매핑"))</f>
        <v/>
      </c>
      <c r="O2194" s="9">
        <f>IF($A2194="","",N2194&amp;"|"&amp;$F2194)</f>
        <v/>
      </c>
      <c r="P2194" s="94">
        <f>IF($A2194="",0,$H2194*설정!$C$23)</f>
        <v/>
      </c>
      <c r="Q2194" s="64">
        <f>IF($A2194="","",IF(O2194&lt;&gt;원인분석!$C$9,"",IF(AND(M2194&gt;=원인분석!$C$10,M2194&lt;=원인분석!$C$11),"당기",IF(AND(M2194&gt;=원인분석!$C$12,M2194&lt;=원인분석!$C$13),"비교",""))))</f>
        <v/>
      </c>
      <c r="R2194" s="9">
        <f>IF(Q2194="","",$K2194&amp;"")</f>
        <v/>
      </c>
      <c r="S2194" s="9">
        <f>IF(Q2194="","",IF(MATCH(R2194,$R$5:$R$100000,0)=ROW()-4,ROW(),""))</f>
        <v/>
      </c>
      <c r="T2194" s="9">
        <f>IF(Q2194="당기",ABS(P2194)+ROW()/1000000000,"")</f>
        <v/>
      </c>
      <c r="U2194" s="9">
        <f>IF(Q2194="비교",ABS(P2194)+ROW()/1000000000,"")</f>
        <v/>
      </c>
      <c r="V2194" s="64">
        <f>IF($A2194="","",IF(COUNTIF(변동분석!$E$7:$E$506,O2194)&gt;0,"Y","N"))</f>
        <v/>
      </c>
      <c r="W2194" s="64">
        <f>IF($A2194="","",IFERROR(INDEX(계정매핑!$D$5:$D$504,MATCH($F2194&amp;"",계정매핑!$A$5:$A$504,0)),"미매핑"))</f>
        <v/>
      </c>
      <c r="X2194" s="9">
        <f>IF($A2194="","",$F2194&amp;"")</f>
        <v/>
      </c>
      <c r="Y2194" s="94">
        <f>IF($A2194="",0,IF(AE2194="직접",IF(AF2194="비귀속",$P2194,0),$P2194*(1-AG2194)*IFERROR(INDEX(계정대체기준!$F$20:$F$49,MATCH($N2194,계정대체기준!$A$20:$A$49,0)),1)))</f>
        <v/>
      </c>
      <c r="Z2194" s="94">
        <f>IF($A2194="",0,IF(AE2194="직접",IF(AF2194="신계약비",$P2194,0),$P2194*(1-AG2194)*IFERROR(INDEX(계정대체기준!$C$20:$C$49,MATCH($N2194,계정대체기준!$A$20:$A$49,0)),0)))</f>
        <v/>
      </c>
      <c r="AA2194" s="94">
        <f>IF($A2194="",0,IF(AE2194="직접",IF(OR(AF2194="유지비",AF2194="손해조사비"),$P2194,0),$P2194*(1-AG2194)*IFERROR(INDEX(계정대체기준!$D$20:$D$49,MATCH($N2194,계정대체기준!$A$20:$A$49,0)),0)))</f>
        <v/>
      </c>
      <c r="AB2194" s="94">
        <f>IF($A2194="",0,IF(AE2194="직접",IF(AF2194="수금비",$P2194,0),$P2194*(1-AG2194)*IFERROR(INDEX(계정대체기준!$E$20:$E$49,MATCH($N2194,계정대체기준!$A$20:$A$49,0)),0)))</f>
        <v/>
      </c>
      <c r="AC2194" s="9">
        <f>IF(AND($A2194&lt;&gt;"",M2194=설정!$C$20,Z2194&gt;0),Z2194+ROW()/1000000000,"")</f>
        <v/>
      </c>
      <c r="AD2194" s="94">
        <f>IF($A2194="",0,$P2194*AG2194)</f>
        <v/>
      </c>
      <c r="AE2194" s="64">
        <f>IF($A2194="","",IFERROR(INDEX(계정매핑!$E$5:$E$504,MATCH($F2194&amp;"",계정매핑!$A$5:$A$504,0))&amp;"","공통비"))</f>
        <v/>
      </c>
      <c r="AF2194" s="64">
        <f>IF($A2194="","",IF(AE2194="직접",IFERROR(INDEX(계정매핑!$F$5:$F$504,MATCH($F2194&amp;"",계정매핑!$A$5:$A$504,0))&amp;"","비귀속"),""))</f>
        <v/>
      </c>
      <c r="AG2194" s="96">
        <f>IF($A2194="",0,IF(AND(AE2194&lt;&gt;"직접",IFERROR(INDEX(계정매핑!$G$5:$G$504,MATCH($F2194&amp;"",계정매핑!$A$5:$A$504,0))&amp;"","")="유지비",COUNTIF(계정대체기준!$A$6:$A$15,$N2194)&gt;0),IFERROR(INDEX(계정대체기준!$E$6:$E$15,MATCH(VALUE($A2194&amp;""),계정대체기준!$D$6:$D$15,0)),0),0))</f>
        <v/>
      </c>
      <c r="AH2194" s="64">
        <f>IF($A2194="","",IF(AD2194=0,"",IF(OR(COUNTIF(계정대체기준!$A$77:$A$86,$N2194)&gt;0,ISNUMBER(MATCH($X2194,계정대체기준!$D$77:$D$86,0)),ISNUMBER(MATCH($F2194,계정대체기준!$D$77:$D$86,0))),"Y","N")))</f>
        <v/>
      </c>
    </row>
    <row r="2195">
      <c r="A2195" s="92" t="n">
        <v>2025</v>
      </c>
      <c r="B2195" s="92" t="n">
        <v>10</v>
      </c>
      <c r="C2195" s="92" t="inlineStr">
        <is>
          <t>5100002191</t>
        </is>
      </c>
      <c r="D2195" s="95" t="n">
        <v>45950</v>
      </c>
      <c r="E2195" s="92" t="inlineStr">
        <is>
          <t>KR</t>
        </is>
      </c>
      <c r="F2195" s="92" t="n">
        <v>62201000</v>
      </c>
      <c r="G2195" s="92" t="n">
        <v>1401</v>
      </c>
      <c r="H2195" s="93" t="n">
        <v>251000</v>
      </c>
      <c r="I2195" s="92" t="inlineStr">
        <is>
          <t>10월 통신요금 - O텔레콤</t>
        </is>
      </c>
      <c r="J2195" s="92" t="inlineStr">
        <is>
          <t>V10002</t>
        </is>
      </c>
      <c r="K2195" s="92" t="inlineStr">
        <is>
          <t>O텔레콤</t>
        </is>
      </c>
      <c r="M2195" s="9">
        <f>IF($A2195="","",VALUE($A2195&amp;"")*12+VALUE($B2195&amp;""))</f>
        <v/>
      </c>
      <c r="N2195" s="64">
        <f>IF($A2195="","",IFERROR(INDEX(부서매핑!$C$5:$C$504,MATCH($G2195&amp;"",부서매핑!$A$5:$A$504,0)),"미매핑"))</f>
        <v/>
      </c>
      <c r="O2195" s="9">
        <f>IF($A2195="","",N2195&amp;"|"&amp;$F2195)</f>
        <v/>
      </c>
      <c r="P2195" s="94">
        <f>IF($A2195="",0,$H2195*설정!$C$23)</f>
        <v/>
      </c>
      <c r="Q2195" s="64">
        <f>IF($A2195="","",IF(O2195&lt;&gt;원인분석!$C$9,"",IF(AND(M2195&gt;=원인분석!$C$10,M2195&lt;=원인분석!$C$11),"당기",IF(AND(M2195&gt;=원인분석!$C$12,M2195&lt;=원인분석!$C$13),"비교",""))))</f>
        <v/>
      </c>
      <c r="R2195" s="9">
        <f>IF(Q2195="","",$K2195&amp;"")</f>
        <v/>
      </c>
      <c r="S2195" s="9">
        <f>IF(Q2195="","",IF(MATCH(R2195,$R$5:$R$100000,0)=ROW()-4,ROW(),""))</f>
        <v/>
      </c>
      <c r="T2195" s="9">
        <f>IF(Q2195="당기",ABS(P2195)+ROW()/1000000000,"")</f>
        <v/>
      </c>
      <c r="U2195" s="9">
        <f>IF(Q2195="비교",ABS(P2195)+ROW()/1000000000,"")</f>
        <v/>
      </c>
      <c r="V2195" s="64">
        <f>IF($A2195="","",IF(COUNTIF(변동분석!$E$7:$E$506,O2195)&gt;0,"Y","N"))</f>
        <v/>
      </c>
      <c r="W2195" s="64">
        <f>IF($A2195="","",IFERROR(INDEX(계정매핑!$D$5:$D$504,MATCH($F2195&amp;"",계정매핑!$A$5:$A$504,0)),"미매핑"))</f>
        <v/>
      </c>
      <c r="X2195" s="9">
        <f>IF($A2195="","",$F2195&amp;"")</f>
        <v/>
      </c>
      <c r="Y2195" s="94">
        <f>IF($A2195="",0,IF(AE2195="직접",IF(AF2195="비귀속",$P2195,0),$P2195*(1-AG2195)*IFERROR(INDEX(계정대체기준!$F$20:$F$49,MATCH($N2195,계정대체기준!$A$20:$A$49,0)),1)))</f>
        <v/>
      </c>
      <c r="Z2195" s="94">
        <f>IF($A2195="",0,IF(AE2195="직접",IF(AF2195="신계약비",$P2195,0),$P2195*(1-AG2195)*IFERROR(INDEX(계정대체기준!$C$20:$C$49,MATCH($N2195,계정대체기준!$A$20:$A$49,0)),0)))</f>
        <v/>
      </c>
      <c r="AA2195" s="94">
        <f>IF($A2195="",0,IF(AE2195="직접",IF(OR(AF2195="유지비",AF2195="손해조사비"),$P2195,0),$P2195*(1-AG2195)*IFERROR(INDEX(계정대체기준!$D$20:$D$49,MATCH($N2195,계정대체기준!$A$20:$A$49,0)),0)))</f>
        <v/>
      </c>
      <c r="AB2195" s="94">
        <f>IF($A2195="",0,IF(AE2195="직접",IF(AF2195="수금비",$P2195,0),$P2195*(1-AG2195)*IFERROR(INDEX(계정대체기준!$E$20:$E$49,MATCH($N2195,계정대체기준!$A$20:$A$49,0)),0)))</f>
        <v/>
      </c>
      <c r="AC2195" s="9">
        <f>IF(AND($A2195&lt;&gt;"",M2195=설정!$C$20,Z2195&gt;0),Z2195+ROW()/1000000000,"")</f>
        <v/>
      </c>
      <c r="AD2195" s="94">
        <f>IF($A2195="",0,$P2195*AG2195)</f>
        <v/>
      </c>
      <c r="AE2195" s="64">
        <f>IF($A2195="","",IFERROR(INDEX(계정매핑!$E$5:$E$504,MATCH($F2195&amp;"",계정매핑!$A$5:$A$504,0))&amp;"","공통비"))</f>
        <v/>
      </c>
      <c r="AF2195" s="64">
        <f>IF($A2195="","",IF(AE2195="직접",IFERROR(INDEX(계정매핑!$F$5:$F$504,MATCH($F2195&amp;"",계정매핑!$A$5:$A$504,0))&amp;"","비귀속"),""))</f>
        <v/>
      </c>
      <c r="AG2195" s="96">
        <f>IF($A2195="",0,IF(AND(AE2195&lt;&gt;"직접",IFERROR(INDEX(계정매핑!$G$5:$G$504,MATCH($F2195&amp;"",계정매핑!$A$5:$A$504,0))&amp;"","")="유지비",COUNTIF(계정대체기준!$A$6:$A$15,$N2195)&gt;0),IFERROR(INDEX(계정대체기준!$E$6:$E$15,MATCH(VALUE($A2195&amp;""),계정대체기준!$D$6:$D$15,0)),0),0))</f>
        <v/>
      </c>
      <c r="AH2195" s="64">
        <f>IF($A2195="","",IF(AD2195=0,"",IF(OR(COUNTIF(계정대체기준!$A$77:$A$86,$N2195)&gt;0,ISNUMBER(MATCH($X2195,계정대체기준!$D$77:$D$86,0)),ISNUMBER(MATCH($F2195,계정대체기준!$D$77:$D$86,0))),"Y","N")))</f>
        <v/>
      </c>
    </row>
    <row r="2196">
      <c r="A2196" s="92" t="n">
        <v>2025</v>
      </c>
      <c r="B2196" s="92" t="n">
        <v>10</v>
      </c>
      <c r="C2196" s="92" t="inlineStr">
        <is>
          <t>5100002192</t>
        </is>
      </c>
      <c r="D2196" s="95" t="n">
        <v>45950</v>
      </c>
      <c r="E2196" s="92" t="inlineStr">
        <is>
          <t>KR</t>
        </is>
      </c>
      <c r="F2196" s="92" t="n">
        <v>62201000</v>
      </c>
      <c r="G2196" s="92" t="n">
        <v>1602</v>
      </c>
      <c r="H2196" s="93" t="n">
        <v>367000</v>
      </c>
      <c r="I2196" s="92" t="inlineStr">
        <is>
          <t>10월 통신요금 - P통신</t>
        </is>
      </c>
      <c r="J2196" s="92" t="inlineStr">
        <is>
          <t>V10014</t>
        </is>
      </c>
      <c r="K2196" s="92" t="inlineStr">
        <is>
          <t>P통신</t>
        </is>
      </c>
      <c r="M2196" s="9">
        <f>IF($A2196="","",VALUE($A2196&amp;"")*12+VALUE($B2196&amp;""))</f>
        <v/>
      </c>
      <c r="N2196" s="64">
        <f>IF($A2196="","",IFERROR(INDEX(부서매핑!$C$5:$C$504,MATCH($G2196&amp;"",부서매핑!$A$5:$A$504,0)),"미매핑"))</f>
        <v/>
      </c>
      <c r="O2196" s="9">
        <f>IF($A2196="","",N2196&amp;"|"&amp;$F2196)</f>
        <v/>
      </c>
      <c r="P2196" s="94">
        <f>IF($A2196="",0,$H2196*설정!$C$23)</f>
        <v/>
      </c>
      <c r="Q2196" s="64">
        <f>IF($A2196="","",IF(O2196&lt;&gt;원인분석!$C$9,"",IF(AND(M2196&gt;=원인분석!$C$10,M2196&lt;=원인분석!$C$11),"당기",IF(AND(M2196&gt;=원인분석!$C$12,M2196&lt;=원인분석!$C$13),"비교",""))))</f>
        <v/>
      </c>
      <c r="R2196" s="9">
        <f>IF(Q2196="","",$K2196&amp;"")</f>
        <v/>
      </c>
      <c r="S2196" s="9">
        <f>IF(Q2196="","",IF(MATCH(R2196,$R$5:$R$100000,0)=ROW()-4,ROW(),""))</f>
        <v/>
      </c>
      <c r="T2196" s="9">
        <f>IF(Q2196="당기",ABS(P2196)+ROW()/1000000000,"")</f>
        <v/>
      </c>
      <c r="U2196" s="9">
        <f>IF(Q2196="비교",ABS(P2196)+ROW()/1000000000,"")</f>
        <v/>
      </c>
      <c r="V2196" s="64">
        <f>IF($A2196="","",IF(COUNTIF(변동분석!$E$7:$E$506,O2196)&gt;0,"Y","N"))</f>
        <v/>
      </c>
      <c r="W2196" s="64">
        <f>IF($A2196="","",IFERROR(INDEX(계정매핑!$D$5:$D$504,MATCH($F2196&amp;"",계정매핑!$A$5:$A$504,0)),"미매핑"))</f>
        <v/>
      </c>
      <c r="X2196" s="9">
        <f>IF($A2196="","",$F2196&amp;"")</f>
        <v/>
      </c>
      <c r="Y2196" s="94">
        <f>IF($A2196="",0,IF(AE2196="직접",IF(AF2196="비귀속",$P2196,0),$P2196*(1-AG2196)*IFERROR(INDEX(계정대체기준!$F$20:$F$49,MATCH($N2196,계정대체기준!$A$20:$A$49,0)),1)))</f>
        <v/>
      </c>
      <c r="Z2196" s="94">
        <f>IF($A2196="",0,IF(AE2196="직접",IF(AF2196="신계약비",$P2196,0),$P2196*(1-AG2196)*IFERROR(INDEX(계정대체기준!$C$20:$C$49,MATCH($N2196,계정대체기준!$A$20:$A$49,0)),0)))</f>
        <v/>
      </c>
      <c r="AA2196" s="94">
        <f>IF($A2196="",0,IF(AE2196="직접",IF(OR(AF2196="유지비",AF2196="손해조사비"),$P2196,0),$P2196*(1-AG2196)*IFERROR(INDEX(계정대체기준!$D$20:$D$49,MATCH($N2196,계정대체기준!$A$20:$A$49,0)),0)))</f>
        <v/>
      </c>
      <c r="AB2196" s="94">
        <f>IF($A2196="",0,IF(AE2196="직접",IF(AF2196="수금비",$P2196,0),$P2196*(1-AG2196)*IFERROR(INDEX(계정대체기준!$E$20:$E$49,MATCH($N2196,계정대체기준!$A$20:$A$49,0)),0)))</f>
        <v/>
      </c>
      <c r="AC2196" s="9">
        <f>IF(AND($A2196&lt;&gt;"",M2196=설정!$C$20,Z2196&gt;0),Z2196+ROW()/1000000000,"")</f>
        <v/>
      </c>
      <c r="AD2196" s="94">
        <f>IF($A2196="",0,$P2196*AG2196)</f>
        <v/>
      </c>
      <c r="AE2196" s="64">
        <f>IF($A2196="","",IFERROR(INDEX(계정매핑!$E$5:$E$504,MATCH($F2196&amp;"",계정매핑!$A$5:$A$504,0))&amp;"","공통비"))</f>
        <v/>
      </c>
      <c r="AF2196" s="64">
        <f>IF($A2196="","",IF(AE2196="직접",IFERROR(INDEX(계정매핑!$F$5:$F$504,MATCH($F2196&amp;"",계정매핑!$A$5:$A$504,0))&amp;"","비귀속"),""))</f>
        <v/>
      </c>
      <c r="AG2196" s="96">
        <f>IF($A2196="",0,IF(AND(AE2196&lt;&gt;"직접",IFERROR(INDEX(계정매핑!$G$5:$G$504,MATCH($F2196&amp;"",계정매핑!$A$5:$A$504,0))&amp;"","")="유지비",COUNTIF(계정대체기준!$A$6:$A$15,$N2196)&gt;0),IFERROR(INDEX(계정대체기준!$E$6:$E$15,MATCH(VALUE($A2196&amp;""),계정대체기준!$D$6:$D$15,0)),0),0))</f>
        <v/>
      </c>
      <c r="AH2196" s="64">
        <f>IF($A2196="","",IF(AD2196=0,"",IF(OR(COUNTIF(계정대체기준!$A$77:$A$86,$N2196)&gt;0,ISNUMBER(MATCH($X2196,계정대체기준!$D$77:$D$86,0)),ISNUMBER(MATCH($F2196,계정대체기준!$D$77:$D$86,0))),"Y","N")))</f>
        <v/>
      </c>
    </row>
    <row r="2197">
      <c r="A2197" s="92" t="n">
        <v>2025</v>
      </c>
      <c r="B2197" s="92" t="n">
        <v>10</v>
      </c>
      <c r="C2197" s="92" t="inlineStr">
        <is>
          <t>5100002193</t>
        </is>
      </c>
      <c r="D2197" s="95" t="n">
        <v>45950</v>
      </c>
      <c r="E2197" s="92" t="inlineStr">
        <is>
          <t>KR</t>
        </is>
      </c>
      <c r="F2197" s="92" t="n">
        <v>62301000</v>
      </c>
      <c r="G2197" s="92" t="n">
        <v>1401</v>
      </c>
      <c r="H2197" s="93" t="n">
        <v>78000</v>
      </c>
      <c r="I2197" s="92" t="inlineStr">
        <is>
          <t>10월 소모품 구입 - R문구</t>
        </is>
      </c>
      <c r="J2197" s="92" t="inlineStr">
        <is>
          <t>V10022</t>
        </is>
      </c>
      <c r="K2197" s="92" t="inlineStr">
        <is>
          <t>R문구</t>
        </is>
      </c>
      <c r="M2197" s="9">
        <f>IF($A2197="","",VALUE($A2197&amp;"")*12+VALUE($B2197&amp;""))</f>
        <v/>
      </c>
      <c r="N2197" s="64">
        <f>IF($A2197="","",IFERROR(INDEX(부서매핑!$C$5:$C$504,MATCH($G2197&amp;"",부서매핑!$A$5:$A$504,0)),"미매핑"))</f>
        <v/>
      </c>
      <c r="O2197" s="9">
        <f>IF($A2197="","",N2197&amp;"|"&amp;$F2197)</f>
        <v/>
      </c>
      <c r="P2197" s="94">
        <f>IF($A2197="",0,$H2197*설정!$C$23)</f>
        <v/>
      </c>
      <c r="Q2197" s="64">
        <f>IF($A2197="","",IF(O2197&lt;&gt;원인분석!$C$9,"",IF(AND(M2197&gt;=원인분석!$C$10,M2197&lt;=원인분석!$C$11),"당기",IF(AND(M2197&gt;=원인분석!$C$12,M2197&lt;=원인분석!$C$13),"비교",""))))</f>
        <v/>
      </c>
      <c r="R2197" s="9">
        <f>IF(Q2197="","",$K2197&amp;"")</f>
        <v/>
      </c>
      <c r="S2197" s="9">
        <f>IF(Q2197="","",IF(MATCH(R2197,$R$5:$R$100000,0)=ROW()-4,ROW(),""))</f>
        <v/>
      </c>
      <c r="T2197" s="9">
        <f>IF(Q2197="당기",ABS(P2197)+ROW()/1000000000,"")</f>
        <v/>
      </c>
      <c r="U2197" s="9">
        <f>IF(Q2197="비교",ABS(P2197)+ROW()/1000000000,"")</f>
        <v/>
      </c>
      <c r="V2197" s="64">
        <f>IF($A2197="","",IF(COUNTIF(변동분석!$E$7:$E$506,O2197)&gt;0,"Y","N"))</f>
        <v/>
      </c>
      <c r="W2197" s="64">
        <f>IF($A2197="","",IFERROR(INDEX(계정매핑!$D$5:$D$504,MATCH($F2197&amp;"",계정매핑!$A$5:$A$504,0)),"미매핑"))</f>
        <v/>
      </c>
      <c r="X2197" s="9">
        <f>IF($A2197="","",$F2197&amp;"")</f>
        <v/>
      </c>
      <c r="Y2197" s="94">
        <f>IF($A2197="",0,IF(AE2197="직접",IF(AF2197="비귀속",$P2197,0),$P2197*(1-AG2197)*IFERROR(INDEX(계정대체기준!$F$20:$F$49,MATCH($N2197,계정대체기준!$A$20:$A$49,0)),1)))</f>
        <v/>
      </c>
      <c r="Z2197" s="94">
        <f>IF($A2197="",0,IF(AE2197="직접",IF(AF2197="신계약비",$P2197,0),$P2197*(1-AG2197)*IFERROR(INDEX(계정대체기준!$C$20:$C$49,MATCH($N2197,계정대체기준!$A$20:$A$49,0)),0)))</f>
        <v/>
      </c>
      <c r="AA2197" s="94">
        <f>IF($A2197="",0,IF(AE2197="직접",IF(OR(AF2197="유지비",AF2197="손해조사비"),$P2197,0),$P2197*(1-AG2197)*IFERROR(INDEX(계정대체기준!$D$20:$D$49,MATCH($N2197,계정대체기준!$A$20:$A$49,0)),0)))</f>
        <v/>
      </c>
      <c r="AB2197" s="94">
        <f>IF($A2197="",0,IF(AE2197="직접",IF(AF2197="수금비",$P2197,0),$P2197*(1-AG2197)*IFERROR(INDEX(계정대체기준!$E$20:$E$49,MATCH($N2197,계정대체기준!$A$20:$A$49,0)),0)))</f>
        <v/>
      </c>
      <c r="AC2197" s="9">
        <f>IF(AND($A2197&lt;&gt;"",M2197=설정!$C$20,Z2197&gt;0),Z2197+ROW()/1000000000,"")</f>
        <v/>
      </c>
      <c r="AD2197" s="94">
        <f>IF($A2197="",0,$P2197*AG2197)</f>
        <v/>
      </c>
      <c r="AE2197" s="64">
        <f>IF($A2197="","",IFERROR(INDEX(계정매핑!$E$5:$E$504,MATCH($F2197&amp;"",계정매핑!$A$5:$A$504,0))&amp;"","공통비"))</f>
        <v/>
      </c>
      <c r="AF2197" s="64">
        <f>IF($A2197="","",IF(AE2197="직접",IFERROR(INDEX(계정매핑!$F$5:$F$504,MATCH($F2197&amp;"",계정매핑!$A$5:$A$504,0))&amp;"","비귀속"),""))</f>
        <v/>
      </c>
      <c r="AG2197" s="96">
        <f>IF($A2197="",0,IF(AND(AE2197&lt;&gt;"직접",IFERROR(INDEX(계정매핑!$G$5:$G$504,MATCH($F2197&amp;"",계정매핑!$A$5:$A$504,0))&amp;"","")="유지비",COUNTIF(계정대체기준!$A$6:$A$15,$N2197)&gt;0),IFERROR(INDEX(계정대체기준!$E$6:$E$15,MATCH(VALUE($A2197&amp;""),계정대체기준!$D$6:$D$15,0)),0),0))</f>
        <v/>
      </c>
      <c r="AH2197" s="64">
        <f>IF($A2197="","",IF(AD2197=0,"",IF(OR(COUNTIF(계정대체기준!$A$77:$A$86,$N2197)&gt;0,ISNUMBER(MATCH($X2197,계정대체기준!$D$77:$D$86,0)),ISNUMBER(MATCH($F2197,계정대체기준!$D$77:$D$86,0))),"Y","N")))</f>
        <v/>
      </c>
    </row>
    <row r="2198">
      <c r="A2198" s="92" t="n">
        <v>2025</v>
      </c>
      <c r="B2198" s="92" t="n">
        <v>10</v>
      </c>
      <c r="C2198" s="92" t="inlineStr">
        <is>
          <t>5100002194</t>
        </is>
      </c>
      <c r="D2198" s="95" t="n">
        <v>45950</v>
      </c>
      <c r="E2198" s="92" t="inlineStr">
        <is>
          <t>KR</t>
        </is>
      </c>
      <c r="F2198" s="92" t="n">
        <v>62301000</v>
      </c>
      <c r="G2198" s="92" t="n">
        <v>1701</v>
      </c>
      <c r="H2198" s="93" t="n">
        <v>200000</v>
      </c>
      <c r="I2198" s="92" t="inlineStr">
        <is>
          <t>10월 소모품 구입 - R문구</t>
        </is>
      </c>
      <c r="J2198" s="92" t="inlineStr">
        <is>
          <t>V10022</t>
        </is>
      </c>
      <c r="K2198" s="92" t="inlineStr">
        <is>
          <t>R문구</t>
        </is>
      </c>
      <c r="M2198" s="9">
        <f>IF($A2198="","",VALUE($A2198&amp;"")*12+VALUE($B2198&amp;""))</f>
        <v/>
      </c>
      <c r="N2198" s="64">
        <f>IF($A2198="","",IFERROR(INDEX(부서매핑!$C$5:$C$504,MATCH($G2198&amp;"",부서매핑!$A$5:$A$504,0)),"미매핑"))</f>
        <v/>
      </c>
      <c r="O2198" s="9">
        <f>IF($A2198="","",N2198&amp;"|"&amp;$F2198)</f>
        <v/>
      </c>
      <c r="P2198" s="94">
        <f>IF($A2198="",0,$H2198*설정!$C$23)</f>
        <v/>
      </c>
      <c r="Q2198" s="64">
        <f>IF($A2198="","",IF(O2198&lt;&gt;원인분석!$C$9,"",IF(AND(M2198&gt;=원인분석!$C$10,M2198&lt;=원인분석!$C$11),"당기",IF(AND(M2198&gt;=원인분석!$C$12,M2198&lt;=원인분석!$C$13),"비교",""))))</f>
        <v/>
      </c>
      <c r="R2198" s="9">
        <f>IF(Q2198="","",$K2198&amp;"")</f>
        <v/>
      </c>
      <c r="S2198" s="9">
        <f>IF(Q2198="","",IF(MATCH(R2198,$R$5:$R$100000,0)=ROW()-4,ROW(),""))</f>
        <v/>
      </c>
      <c r="T2198" s="9">
        <f>IF(Q2198="당기",ABS(P2198)+ROW()/1000000000,"")</f>
        <v/>
      </c>
      <c r="U2198" s="9">
        <f>IF(Q2198="비교",ABS(P2198)+ROW()/1000000000,"")</f>
        <v/>
      </c>
      <c r="V2198" s="64">
        <f>IF($A2198="","",IF(COUNTIF(변동분석!$E$7:$E$506,O2198)&gt;0,"Y","N"))</f>
        <v/>
      </c>
      <c r="W2198" s="64">
        <f>IF($A2198="","",IFERROR(INDEX(계정매핑!$D$5:$D$504,MATCH($F2198&amp;"",계정매핑!$A$5:$A$504,0)),"미매핑"))</f>
        <v/>
      </c>
      <c r="X2198" s="9">
        <f>IF($A2198="","",$F2198&amp;"")</f>
        <v/>
      </c>
      <c r="Y2198" s="94">
        <f>IF($A2198="",0,IF(AE2198="직접",IF(AF2198="비귀속",$P2198,0),$P2198*(1-AG2198)*IFERROR(INDEX(계정대체기준!$F$20:$F$49,MATCH($N2198,계정대체기준!$A$20:$A$49,0)),1)))</f>
        <v/>
      </c>
      <c r="Z2198" s="94">
        <f>IF($A2198="",0,IF(AE2198="직접",IF(AF2198="신계약비",$P2198,0),$P2198*(1-AG2198)*IFERROR(INDEX(계정대체기준!$C$20:$C$49,MATCH($N2198,계정대체기준!$A$20:$A$49,0)),0)))</f>
        <v/>
      </c>
      <c r="AA2198" s="94">
        <f>IF($A2198="",0,IF(AE2198="직접",IF(OR(AF2198="유지비",AF2198="손해조사비"),$P2198,0),$P2198*(1-AG2198)*IFERROR(INDEX(계정대체기준!$D$20:$D$49,MATCH($N2198,계정대체기준!$A$20:$A$49,0)),0)))</f>
        <v/>
      </c>
      <c r="AB2198" s="94">
        <f>IF($A2198="",0,IF(AE2198="직접",IF(AF2198="수금비",$P2198,0),$P2198*(1-AG2198)*IFERROR(INDEX(계정대체기준!$E$20:$E$49,MATCH($N2198,계정대체기준!$A$20:$A$49,0)),0)))</f>
        <v/>
      </c>
      <c r="AC2198" s="9">
        <f>IF(AND($A2198&lt;&gt;"",M2198=설정!$C$20,Z2198&gt;0),Z2198+ROW()/1000000000,"")</f>
        <v/>
      </c>
      <c r="AD2198" s="94">
        <f>IF($A2198="",0,$P2198*AG2198)</f>
        <v/>
      </c>
      <c r="AE2198" s="64">
        <f>IF($A2198="","",IFERROR(INDEX(계정매핑!$E$5:$E$504,MATCH($F2198&amp;"",계정매핑!$A$5:$A$504,0))&amp;"","공통비"))</f>
        <v/>
      </c>
      <c r="AF2198" s="64">
        <f>IF($A2198="","",IF(AE2198="직접",IFERROR(INDEX(계정매핑!$F$5:$F$504,MATCH($F2198&amp;"",계정매핑!$A$5:$A$504,0))&amp;"","비귀속"),""))</f>
        <v/>
      </c>
      <c r="AG2198" s="96">
        <f>IF($A2198="",0,IF(AND(AE2198&lt;&gt;"직접",IFERROR(INDEX(계정매핑!$G$5:$G$504,MATCH($F2198&amp;"",계정매핑!$A$5:$A$504,0))&amp;"","")="유지비",COUNTIF(계정대체기준!$A$6:$A$15,$N2198)&gt;0),IFERROR(INDEX(계정대체기준!$E$6:$E$15,MATCH(VALUE($A2198&amp;""),계정대체기준!$D$6:$D$15,0)),0),0))</f>
        <v/>
      </c>
      <c r="AH2198" s="64">
        <f>IF($A2198="","",IF(AD2198=0,"",IF(OR(COUNTIF(계정대체기준!$A$77:$A$86,$N2198)&gt;0,ISNUMBER(MATCH($X2198,계정대체기준!$D$77:$D$86,0)),ISNUMBER(MATCH($F2198,계정대체기준!$D$77:$D$86,0))),"Y","N")))</f>
        <v/>
      </c>
    </row>
    <row r="2199">
      <c r="A2199" s="92" t="n">
        <v>2025</v>
      </c>
      <c r="B2199" s="92" t="n">
        <v>10</v>
      </c>
      <c r="C2199" s="92" t="inlineStr">
        <is>
          <t>5100002195</t>
        </is>
      </c>
      <c r="D2199" s="95" t="n">
        <v>45950</v>
      </c>
      <c r="E2199" s="92" t="inlineStr">
        <is>
          <t>KR</t>
        </is>
      </c>
      <c r="F2199" s="92" t="n">
        <v>62901000</v>
      </c>
      <c r="G2199" s="92" t="n">
        <v>1201</v>
      </c>
      <c r="H2199" s="93" t="n">
        <v>4560000</v>
      </c>
      <c r="I2199" s="92" t="inlineStr">
        <is>
          <t>10월 자문 수수료 - W컨설팅</t>
        </is>
      </c>
      <c r="J2199" s="92" t="inlineStr">
        <is>
          <t>V10006</t>
        </is>
      </c>
      <c r="K2199" s="92" t="inlineStr">
        <is>
          <t>W컨설팅</t>
        </is>
      </c>
      <c r="M2199" s="9">
        <f>IF($A2199="","",VALUE($A2199&amp;"")*12+VALUE($B2199&amp;""))</f>
        <v/>
      </c>
      <c r="N2199" s="64">
        <f>IF($A2199="","",IFERROR(INDEX(부서매핑!$C$5:$C$504,MATCH($G2199&amp;"",부서매핑!$A$5:$A$504,0)),"미매핑"))</f>
        <v/>
      </c>
      <c r="O2199" s="9">
        <f>IF($A2199="","",N2199&amp;"|"&amp;$F2199)</f>
        <v/>
      </c>
      <c r="P2199" s="94">
        <f>IF($A2199="",0,$H2199*설정!$C$23)</f>
        <v/>
      </c>
      <c r="Q2199" s="64">
        <f>IF($A2199="","",IF(O2199&lt;&gt;원인분석!$C$9,"",IF(AND(M2199&gt;=원인분석!$C$10,M2199&lt;=원인분석!$C$11),"당기",IF(AND(M2199&gt;=원인분석!$C$12,M2199&lt;=원인분석!$C$13),"비교",""))))</f>
        <v/>
      </c>
      <c r="R2199" s="9">
        <f>IF(Q2199="","",$K2199&amp;"")</f>
        <v/>
      </c>
      <c r="S2199" s="9">
        <f>IF(Q2199="","",IF(MATCH(R2199,$R$5:$R$100000,0)=ROW()-4,ROW(),""))</f>
        <v/>
      </c>
      <c r="T2199" s="9">
        <f>IF(Q2199="당기",ABS(P2199)+ROW()/1000000000,"")</f>
        <v/>
      </c>
      <c r="U2199" s="9">
        <f>IF(Q2199="비교",ABS(P2199)+ROW()/1000000000,"")</f>
        <v/>
      </c>
      <c r="V2199" s="64">
        <f>IF($A2199="","",IF(COUNTIF(변동분석!$E$7:$E$506,O2199)&gt;0,"Y","N"))</f>
        <v/>
      </c>
      <c r="W2199" s="64">
        <f>IF($A2199="","",IFERROR(INDEX(계정매핑!$D$5:$D$504,MATCH($F2199&amp;"",계정매핑!$A$5:$A$504,0)),"미매핑"))</f>
        <v/>
      </c>
      <c r="X2199" s="9">
        <f>IF($A2199="","",$F2199&amp;"")</f>
        <v/>
      </c>
      <c r="Y2199" s="94">
        <f>IF($A2199="",0,IF(AE2199="직접",IF(AF2199="비귀속",$P2199,0),$P2199*(1-AG2199)*IFERROR(INDEX(계정대체기준!$F$20:$F$49,MATCH($N2199,계정대체기준!$A$20:$A$49,0)),1)))</f>
        <v/>
      </c>
      <c r="Z2199" s="94">
        <f>IF($A2199="",0,IF(AE2199="직접",IF(AF2199="신계약비",$P2199,0),$P2199*(1-AG2199)*IFERROR(INDEX(계정대체기준!$C$20:$C$49,MATCH($N2199,계정대체기준!$A$20:$A$49,0)),0)))</f>
        <v/>
      </c>
      <c r="AA2199" s="94">
        <f>IF($A2199="",0,IF(AE2199="직접",IF(OR(AF2199="유지비",AF2199="손해조사비"),$P2199,0),$P2199*(1-AG2199)*IFERROR(INDEX(계정대체기준!$D$20:$D$49,MATCH($N2199,계정대체기준!$A$20:$A$49,0)),0)))</f>
        <v/>
      </c>
      <c r="AB2199" s="94">
        <f>IF($A2199="",0,IF(AE2199="직접",IF(AF2199="수금비",$P2199,0),$P2199*(1-AG2199)*IFERROR(INDEX(계정대체기준!$E$20:$E$49,MATCH($N2199,계정대체기준!$A$20:$A$49,0)),0)))</f>
        <v/>
      </c>
      <c r="AC2199" s="9">
        <f>IF(AND($A2199&lt;&gt;"",M2199=설정!$C$20,Z2199&gt;0),Z2199+ROW()/1000000000,"")</f>
        <v/>
      </c>
      <c r="AD2199" s="94">
        <f>IF($A2199="",0,$P2199*AG2199)</f>
        <v/>
      </c>
      <c r="AE2199" s="64">
        <f>IF($A2199="","",IFERROR(INDEX(계정매핑!$E$5:$E$504,MATCH($F2199&amp;"",계정매핑!$A$5:$A$504,0))&amp;"","공통비"))</f>
        <v/>
      </c>
      <c r="AF2199" s="64">
        <f>IF($A2199="","",IF(AE2199="직접",IFERROR(INDEX(계정매핑!$F$5:$F$504,MATCH($F2199&amp;"",계정매핑!$A$5:$A$504,0))&amp;"","비귀속"),""))</f>
        <v/>
      </c>
      <c r="AG2199" s="96">
        <f>IF($A2199="",0,IF(AND(AE2199&lt;&gt;"직접",IFERROR(INDEX(계정매핑!$G$5:$G$504,MATCH($F2199&amp;"",계정매핑!$A$5:$A$504,0))&amp;"","")="유지비",COUNTIF(계정대체기준!$A$6:$A$15,$N2199)&gt;0),IFERROR(INDEX(계정대체기준!$E$6:$E$15,MATCH(VALUE($A2199&amp;""),계정대체기준!$D$6:$D$15,0)),0),0))</f>
        <v/>
      </c>
      <c r="AH2199" s="64">
        <f>IF($A2199="","",IF(AD2199=0,"",IF(OR(COUNTIF(계정대체기준!$A$77:$A$86,$N2199)&gt;0,ISNUMBER(MATCH($X2199,계정대체기준!$D$77:$D$86,0)),ISNUMBER(MATCH($F2199,계정대체기준!$D$77:$D$86,0))),"Y","N")))</f>
        <v/>
      </c>
    </row>
    <row r="2200">
      <c r="A2200" s="92" t="n">
        <v>2025</v>
      </c>
      <c r="B2200" s="92" t="n">
        <v>10</v>
      </c>
      <c r="C2200" s="92" t="inlineStr">
        <is>
          <t>5100002196</t>
        </is>
      </c>
      <c r="D2200" s="95" t="n">
        <v>45950</v>
      </c>
      <c r="E2200" s="92" t="inlineStr">
        <is>
          <t>KR</t>
        </is>
      </c>
      <c r="F2200" s="92" t="n">
        <v>62902000</v>
      </c>
      <c r="G2200" s="92" t="n">
        <v>1201</v>
      </c>
      <c r="H2200" s="93" t="n">
        <v>5979000</v>
      </c>
      <c r="I2200" s="92" t="inlineStr">
        <is>
          <t>10월 업무 위탁 수수료 - X서비스</t>
        </is>
      </c>
      <c r="J2200" s="92" t="inlineStr">
        <is>
          <t>V10020</t>
        </is>
      </c>
      <c r="K2200" s="92" t="inlineStr">
        <is>
          <t>X서비스</t>
        </is>
      </c>
      <c r="M2200" s="9">
        <f>IF($A2200="","",VALUE($A2200&amp;"")*12+VALUE($B2200&amp;""))</f>
        <v/>
      </c>
      <c r="N2200" s="64">
        <f>IF($A2200="","",IFERROR(INDEX(부서매핑!$C$5:$C$504,MATCH($G2200&amp;"",부서매핑!$A$5:$A$504,0)),"미매핑"))</f>
        <v/>
      </c>
      <c r="O2200" s="9">
        <f>IF($A2200="","",N2200&amp;"|"&amp;$F2200)</f>
        <v/>
      </c>
      <c r="P2200" s="94">
        <f>IF($A2200="",0,$H2200*설정!$C$23)</f>
        <v/>
      </c>
      <c r="Q2200" s="64">
        <f>IF($A2200="","",IF(O2200&lt;&gt;원인분석!$C$9,"",IF(AND(M2200&gt;=원인분석!$C$10,M2200&lt;=원인분석!$C$11),"당기",IF(AND(M2200&gt;=원인분석!$C$12,M2200&lt;=원인분석!$C$13),"비교",""))))</f>
        <v/>
      </c>
      <c r="R2200" s="9">
        <f>IF(Q2200="","",$K2200&amp;"")</f>
        <v/>
      </c>
      <c r="S2200" s="9">
        <f>IF(Q2200="","",IF(MATCH(R2200,$R$5:$R$100000,0)=ROW()-4,ROW(),""))</f>
        <v/>
      </c>
      <c r="T2200" s="9">
        <f>IF(Q2200="당기",ABS(P2200)+ROW()/1000000000,"")</f>
        <v/>
      </c>
      <c r="U2200" s="9">
        <f>IF(Q2200="비교",ABS(P2200)+ROW()/1000000000,"")</f>
        <v/>
      </c>
      <c r="V2200" s="64">
        <f>IF($A2200="","",IF(COUNTIF(변동분석!$E$7:$E$506,O2200)&gt;0,"Y","N"))</f>
        <v/>
      </c>
      <c r="W2200" s="64">
        <f>IF($A2200="","",IFERROR(INDEX(계정매핑!$D$5:$D$504,MATCH($F2200&amp;"",계정매핑!$A$5:$A$504,0)),"미매핑"))</f>
        <v/>
      </c>
      <c r="X2200" s="9">
        <f>IF($A2200="","",$F2200&amp;"")</f>
        <v/>
      </c>
      <c r="Y2200" s="94">
        <f>IF($A2200="",0,IF(AE2200="직접",IF(AF2200="비귀속",$P2200,0),$P2200*(1-AG2200)*IFERROR(INDEX(계정대체기준!$F$20:$F$49,MATCH($N2200,계정대체기준!$A$20:$A$49,0)),1)))</f>
        <v/>
      </c>
      <c r="Z2200" s="94">
        <f>IF($A2200="",0,IF(AE2200="직접",IF(AF2200="신계약비",$P2200,0),$P2200*(1-AG2200)*IFERROR(INDEX(계정대체기준!$C$20:$C$49,MATCH($N2200,계정대체기준!$A$20:$A$49,0)),0)))</f>
        <v/>
      </c>
      <c r="AA2200" s="94">
        <f>IF($A2200="",0,IF(AE2200="직접",IF(OR(AF2200="유지비",AF2200="손해조사비"),$P2200,0),$P2200*(1-AG2200)*IFERROR(INDEX(계정대체기준!$D$20:$D$49,MATCH($N2200,계정대체기준!$A$20:$A$49,0)),0)))</f>
        <v/>
      </c>
      <c r="AB2200" s="94">
        <f>IF($A2200="",0,IF(AE2200="직접",IF(AF2200="수금비",$P2200,0),$P2200*(1-AG2200)*IFERROR(INDEX(계정대체기준!$E$20:$E$49,MATCH($N2200,계정대체기준!$A$20:$A$49,0)),0)))</f>
        <v/>
      </c>
      <c r="AC2200" s="9">
        <f>IF(AND($A2200&lt;&gt;"",M2200=설정!$C$20,Z2200&gt;0),Z2200+ROW()/1000000000,"")</f>
        <v/>
      </c>
      <c r="AD2200" s="94">
        <f>IF($A2200="",0,$P2200*AG2200)</f>
        <v/>
      </c>
      <c r="AE2200" s="64">
        <f>IF($A2200="","",IFERROR(INDEX(계정매핑!$E$5:$E$504,MATCH($F2200&amp;"",계정매핑!$A$5:$A$504,0))&amp;"","공통비"))</f>
        <v/>
      </c>
      <c r="AF2200" s="64">
        <f>IF($A2200="","",IF(AE2200="직접",IFERROR(INDEX(계정매핑!$F$5:$F$504,MATCH($F2200&amp;"",계정매핑!$A$5:$A$504,0))&amp;"","비귀속"),""))</f>
        <v/>
      </c>
      <c r="AG2200" s="96">
        <f>IF($A2200="",0,IF(AND(AE2200&lt;&gt;"직접",IFERROR(INDEX(계정매핑!$G$5:$G$504,MATCH($F2200&amp;"",계정매핑!$A$5:$A$504,0))&amp;"","")="유지비",COUNTIF(계정대체기준!$A$6:$A$15,$N2200)&gt;0),IFERROR(INDEX(계정대체기준!$E$6:$E$15,MATCH(VALUE($A2200&amp;""),계정대체기준!$D$6:$D$15,0)),0),0))</f>
        <v/>
      </c>
      <c r="AH2200" s="64">
        <f>IF($A2200="","",IF(AD2200=0,"",IF(OR(COUNTIF(계정대체기준!$A$77:$A$86,$N2200)&gt;0,ISNUMBER(MATCH($X2200,계정대체기준!$D$77:$D$86,0)),ISNUMBER(MATCH($F2200,계정대체기준!$D$77:$D$86,0))),"Y","N")))</f>
        <v/>
      </c>
    </row>
    <row r="2201">
      <c r="A2201" s="92" t="n">
        <v>2025</v>
      </c>
      <c r="B2201" s="92" t="n">
        <v>10</v>
      </c>
      <c r="C2201" s="92" t="inlineStr">
        <is>
          <t>5100002197</t>
        </is>
      </c>
      <c r="D2201" s="95" t="n">
        <v>45950</v>
      </c>
      <c r="E2201" s="92" t="inlineStr">
        <is>
          <t>KR</t>
        </is>
      </c>
      <c r="F2201" s="92" t="n">
        <v>63501000</v>
      </c>
      <c r="G2201" s="92" t="n">
        <v>1901</v>
      </c>
      <c r="H2201" s="93" t="n">
        <v>499555000</v>
      </c>
      <c r="I2201" s="92" t="inlineStr">
        <is>
          <t>10월 모집수수료 - (전속설계사)</t>
        </is>
      </c>
      <c r="J2201" s="92" t="inlineStr">
        <is>
          <t>V10021</t>
        </is>
      </c>
      <c r="K2201" s="92" t="inlineStr">
        <is>
          <t>(전속설계사)</t>
        </is>
      </c>
      <c r="M2201" s="9">
        <f>IF($A2201="","",VALUE($A2201&amp;"")*12+VALUE($B2201&amp;""))</f>
        <v/>
      </c>
      <c r="N2201" s="64">
        <f>IF($A2201="","",IFERROR(INDEX(부서매핑!$C$5:$C$504,MATCH($G2201&amp;"",부서매핑!$A$5:$A$504,0)),"미매핑"))</f>
        <v/>
      </c>
      <c r="O2201" s="9">
        <f>IF($A2201="","",N2201&amp;"|"&amp;$F2201)</f>
        <v/>
      </c>
      <c r="P2201" s="94">
        <f>IF($A2201="",0,$H2201*설정!$C$23)</f>
        <v/>
      </c>
      <c r="Q2201" s="64">
        <f>IF($A2201="","",IF(O2201&lt;&gt;원인분석!$C$9,"",IF(AND(M2201&gt;=원인분석!$C$10,M2201&lt;=원인분석!$C$11),"당기",IF(AND(M2201&gt;=원인분석!$C$12,M2201&lt;=원인분석!$C$13),"비교",""))))</f>
        <v/>
      </c>
      <c r="R2201" s="9">
        <f>IF(Q2201="","",$K2201&amp;"")</f>
        <v/>
      </c>
      <c r="S2201" s="9">
        <f>IF(Q2201="","",IF(MATCH(R2201,$R$5:$R$100000,0)=ROW()-4,ROW(),""))</f>
        <v/>
      </c>
      <c r="T2201" s="9">
        <f>IF(Q2201="당기",ABS(P2201)+ROW()/1000000000,"")</f>
        <v/>
      </c>
      <c r="U2201" s="9">
        <f>IF(Q2201="비교",ABS(P2201)+ROW()/1000000000,"")</f>
        <v/>
      </c>
      <c r="V2201" s="64">
        <f>IF($A2201="","",IF(COUNTIF(변동분석!$E$7:$E$506,O2201)&gt;0,"Y","N"))</f>
        <v/>
      </c>
      <c r="W2201" s="64">
        <f>IF($A2201="","",IFERROR(INDEX(계정매핑!$D$5:$D$504,MATCH($F2201&amp;"",계정매핑!$A$5:$A$504,0)),"미매핑"))</f>
        <v/>
      </c>
      <c r="X2201" s="9">
        <f>IF($A2201="","",$F2201&amp;"")</f>
        <v/>
      </c>
      <c r="Y2201" s="94">
        <f>IF($A2201="",0,IF(AE2201="직접",IF(AF2201="비귀속",$P2201,0),$P2201*(1-AG2201)*IFERROR(INDEX(계정대체기준!$F$20:$F$49,MATCH($N2201,계정대체기준!$A$20:$A$49,0)),1)))</f>
        <v/>
      </c>
      <c r="Z2201" s="94">
        <f>IF($A2201="",0,IF(AE2201="직접",IF(AF2201="신계약비",$P2201,0),$P2201*(1-AG2201)*IFERROR(INDEX(계정대체기준!$C$20:$C$49,MATCH($N2201,계정대체기준!$A$20:$A$49,0)),0)))</f>
        <v/>
      </c>
      <c r="AA2201" s="94">
        <f>IF($A2201="",0,IF(AE2201="직접",IF(OR(AF2201="유지비",AF2201="손해조사비"),$P2201,0),$P2201*(1-AG2201)*IFERROR(INDEX(계정대체기준!$D$20:$D$49,MATCH($N2201,계정대체기준!$A$20:$A$49,0)),0)))</f>
        <v/>
      </c>
      <c r="AB2201" s="94">
        <f>IF($A2201="",0,IF(AE2201="직접",IF(AF2201="수금비",$P2201,0),$P2201*(1-AG2201)*IFERROR(INDEX(계정대체기준!$E$20:$E$49,MATCH($N2201,계정대체기준!$A$20:$A$49,0)),0)))</f>
        <v/>
      </c>
      <c r="AC2201" s="9">
        <f>IF(AND($A2201&lt;&gt;"",M2201=설정!$C$20,Z2201&gt;0),Z2201+ROW()/1000000000,"")</f>
        <v/>
      </c>
      <c r="AD2201" s="94">
        <f>IF($A2201="",0,$P2201*AG2201)</f>
        <v/>
      </c>
      <c r="AE2201" s="64">
        <f>IF($A2201="","",IFERROR(INDEX(계정매핑!$E$5:$E$504,MATCH($F2201&amp;"",계정매핑!$A$5:$A$504,0))&amp;"","공통비"))</f>
        <v/>
      </c>
      <c r="AF2201" s="64">
        <f>IF($A2201="","",IF(AE2201="직접",IFERROR(INDEX(계정매핑!$F$5:$F$504,MATCH($F2201&amp;"",계정매핑!$A$5:$A$504,0))&amp;"","비귀속"),""))</f>
        <v/>
      </c>
      <c r="AG2201" s="96">
        <f>IF($A2201="",0,IF(AND(AE2201&lt;&gt;"직접",IFERROR(INDEX(계정매핑!$G$5:$G$504,MATCH($F2201&amp;"",계정매핑!$A$5:$A$504,0))&amp;"","")="유지비",COUNTIF(계정대체기준!$A$6:$A$15,$N2201)&gt;0),IFERROR(INDEX(계정대체기준!$E$6:$E$15,MATCH(VALUE($A2201&amp;""),계정대체기준!$D$6:$D$15,0)),0),0))</f>
        <v/>
      </c>
      <c r="AH2201" s="64">
        <f>IF($A2201="","",IF(AD2201=0,"",IF(OR(COUNTIF(계정대체기준!$A$77:$A$86,$N2201)&gt;0,ISNUMBER(MATCH($X2201,계정대체기준!$D$77:$D$86,0)),ISNUMBER(MATCH($F2201,계정대체기준!$D$77:$D$86,0))),"Y","N")))</f>
        <v/>
      </c>
    </row>
    <row r="2202">
      <c r="A2202" s="92" t="n">
        <v>2025</v>
      </c>
      <c r="B2202" s="92" t="n">
        <v>10</v>
      </c>
      <c r="C2202" s="92" t="inlineStr">
        <is>
          <t>5100002198</t>
        </is>
      </c>
      <c r="D2202" s="95" t="n">
        <v>45951</v>
      </c>
      <c r="E2202" s="92" t="inlineStr">
        <is>
          <t>KR</t>
        </is>
      </c>
      <c r="F2202" s="92" t="n">
        <v>62101000</v>
      </c>
      <c r="G2202" s="92" t="n">
        <v>1401</v>
      </c>
      <c r="H2202" s="93" t="n">
        <v>639000</v>
      </c>
      <c r="I2202" s="92" t="inlineStr">
        <is>
          <t>10월 국내출장 - M항공</t>
        </is>
      </c>
      <c r="J2202" s="92" t="inlineStr">
        <is>
          <t>V10001</t>
        </is>
      </c>
      <c r="K2202" s="92" t="inlineStr">
        <is>
          <t>M항공</t>
        </is>
      </c>
      <c r="M2202" s="9">
        <f>IF($A2202="","",VALUE($A2202&amp;"")*12+VALUE($B2202&amp;""))</f>
        <v/>
      </c>
      <c r="N2202" s="64">
        <f>IF($A2202="","",IFERROR(INDEX(부서매핑!$C$5:$C$504,MATCH($G2202&amp;"",부서매핑!$A$5:$A$504,0)),"미매핑"))</f>
        <v/>
      </c>
      <c r="O2202" s="9">
        <f>IF($A2202="","",N2202&amp;"|"&amp;$F2202)</f>
        <v/>
      </c>
      <c r="P2202" s="94">
        <f>IF($A2202="",0,$H2202*설정!$C$23)</f>
        <v/>
      </c>
      <c r="Q2202" s="64">
        <f>IF($A2202="","",IF(O2202&lt;&gt;원인분석!$C$9,"",IF(AND(M2202&gt;=원인분석!$C$10,M2202&lt;=원인분석!$C$11),"당기",IF(AND(M2202&gt;=원인분석!$C$12,M2202&lt;=원인분석!$C$13),"비교",""))))</f>
        <v/>
      </c>
      <c r="R2202" s="9">
        <f>IF(Q2202="","",$K2202&amp;"")</f>
        <v/>
      </c>
      <c r="S2202" s="9">
        <f>IF(Q2202="","",IF(MATCH(R2202,$R$5:$R$100000,0)=ROW()-4,ROW(),""))</f>
        <v/>
      </c>
      <c r="T2202" s="9">
        <f>IF(Q2202="당기",ABS(P2202)+ROW()/1000000000,"")</f>
        <v/>
      </c>
      <c r="U2202" s="9">
        <f>IF(Q2202="비교",ABS(P2202)+ROW()/1000000000,"")</f>
        <v/>
      </c>
      <c r="V2202" s="64">
        <f>IF($A2202="","",IF(COUNTIF(변동분석!$E$7:$E$506,O2202)&gt;0,"Y","N"))</f>
        <v/>
      </c>
      <c r="W2202" s="64">
        <f>IF($A2202="","",IFERROR(INDEX(계정매핑!$D$5:$D$504,MATCH($F2202&amp;"",계정매핑!$A$5:$A$504,0)),"미매핑"))</f>
        <v/>
      </c>
      <c r="X2202" s="9">
        <f>IF($A2202="","",$F2202&amp;"")</f>
        <v/>
      </c>
      <c r="Y2202" s="94">
        <f>IF($A2202="",0,IF(AE2202="직접",IF(AF2202="비귀속",$P2202,0),$P2202*(1-AG2202)*IFERROR(INDEX(계정대체기준!$F$20:$F$49,MATCH($N2202,계정대체기준!$A$20:$A$49,0)),1)))</f>
        <v/>
      </c>
      <c r="Z2202" s="94">
        <f>IF($A2202="",0,IF(AE2202="직접",IF(AF2202="신계약비",$P2202,0),$P2202*(1-AG2202)*IFERROR(INDEX(계정대체기준!$C$20:$C$49,MATCH($N2202,계정대체기준!$A$20:$A$49,0)),0)))</f>
        <v/>
      </c>
      <c r="AA2202" s="94">
        <f>IF($A2202="",0,IF(AE2202="직접",IF(OR(AF2202="유지비",AF2202="손해조사비"),$P2202,0),$P2202*(1-AG2202)*IFERROR(INDEX(계정대체기준!$D$20:$D$49,MATCH($N2202,계정대체기준!$A$20:$A$49,0)),0)))</f>
        <v/>
      </c>
      <c r="AB2202" s="94">
        <f>IF($A2202="",0,IF(AE2202="직접",IF(AF2202="수금비",$P2202,0),$P2202*(1-AG2202)*IFERROR(INDEX(계정대체기준!$E$20:$E$49,MATCH($N2202,계정대체기준!$A$20:$A$49,0)),0)))</f>
        <v/>
      </c>
      <c r="AC2202" s="9">
        <f>IF(AND($A2202&lt;&gt;"",M2202=설정!$C$20,Z2202&gt;0),Z2202+ROW()/1000000000,"")</f>
        <v/>
      </c>
      <c r="AD2202" s="94">
        <f>IF($A2202="",0,$P2202*AG2202)</f>
        <v/>
      </c>
      <c r="AE2202" s="64">
        <f>IF($A2202="","",IFERROR(INDEX(계정매핑!$E$5:$E$504,MATCH($F2202&amp;"",계정매핑!$A$5:$A$504,0))&amp;"","공통비"))</f>
        <v/>
      </c>
      <c r="AF2202" s="64">
        <f>IF($A2202="","",IF(AE2202="직접",IFERROR(INDEX(계정매핑!$F$5:$F$504,MATCH($F2202&amp;"",계정매핑!$A$5:$A$504,0))&amp;"","비귀속"),""))</f>
        <v/>
      </c>
      <c r="AG2202" s="96">
        <f>IF($A2202="",0,IF(AND(AE2202&lt;&gt;"직접",IFERROR(INDEX(계정매핑!$G$5:$G$504,MATCH($F2202&amp;"",계정매핑!$A$5:$A$504,0))&amp;"","")="유지비",COUNTIF(계정대체기준!$A$6:$A$15,$N2202)&gt;0),IFERROR(INDEX(계정대체기준!$E$6:$E$15,MATCH(VALUE($A2202&amp;""),계정대체기준!$D$6:$D$15,0)),0),0))</f>
        <v/>
      </c>
      <c r="AH2202" s="64">
        <f>IF($A2202="","",IF(AD2202=0,"",IF(OR(COUNTIF(계정대체기준!$A$77:$A$86,$N2202)&gt;0,ISNUMBER(MATCH($X2202,계정대체기준!$D$77:$D$86,0)),ISNUMBER(MATCH($F2202,계정대체기준!$D$77:$D$86,0))),"Y","N")))</f>
        <v/>
      </c>
    </row>
    <row r="2203">
      <c r="A2203" s="92" t="n">
        <v>2025</v>
      </c>
      <c r="B2203" s="92" t="n">
        <v>10</v>
      </c>
      <c r="C2203" s="92" t="inlineStr">
        <is>
          <t>5100002199</t>
        </is>
      </c>
      <c r="D2203" s="95" t="n">
        <v>45951</v>
      </c>
      <c r="E2203" s="92" t="inlineStr">
        <is>
          <t>KR</t>
        </is>
      </c>
      <c r="F2203" s="92" t="n">
        <v>62101000</v>
      </c>
      <c r="G2203" s="92" t="n">
        <v>1601</v>
      </c>
      <c r="H2203" s="93" t="n">
        <v>1150000</v>
      </c>
      <c r="I2203" s="92" t="inlineStr">
        <is>
          <t>10월 국내출장 - L여행사</t>
        </is>
      </c>
      <c r="J2203" s="92" t="inlineStr">
        <is>
          <t>V10018</t>
        </is>
      </c>
      <c r="K2203" s="92" t="inlineStr">
        <is>
          <t>L여행사</t>
        </is>
      </c>
      <c r="M2203" s="9">
        <f>IF($A2203="","",VALUE($A2203&amp;"")*12+VALUE($B2203&amp;""))</f>
        <v/>
      </c>
      <c r="N2203" s="64">
        <f>IF($A2203="","",IFERROR(INDEX(부서매핑!$C$5:$C$504,MATCH($G2203&amp;"",부서매핑!$A$5:$A$504,0)),"미매핑"))</f>
        <v/>
      </c>
      <c r="O2203" s="9">
        <f>IF($A2203="","",N2203&amp;"|"&amp;$F2203)</f>
        <v/>
      </c>
      <c r="P2203" s="94">
        <f>IF($A2203="",0,$H2203*설정!$C$23)</f>
        <v/>
      </c>
      <c r="Q2203" s="64">
        <f>IF($A2203="","",IF(O2203&lt;&gt;원인분석!$C$9,"",IF(AND(M2203&gt;=원인분석!$C$10,M2203&lt;=원인분석!$C$11),"당기",IF(AND(M2203&gt;=원인분석!$C$12,M2203&lt;=원인분석!$C$13),"비교",""))))</f>
        <v/>
      </c>
      <c r="R2203" s="9">
        <f>IF(Q2203="","",$K2203&amp;"")</f>
        <v/>
      </c>
      <c r="S2203" s="9">
        <f>IF(Q2203="","",IF(MATCH(R2203,$R$5:$R$100000,0)=ROW()-4,ROW(),""))</f>
        <v/>
      </c>
      <c r="T2203" s="9">
        <f>IF(Q2203="당기",ABS(P2203)+ROW()/1000000000,"")</f>
        <v/>
      </c>
      <c r="U2203" s="9">
        <f>IF(Q2203="비교",ABS(P2203)+ROW()/1000000000,"")</f>
        <v/>
      </c>
      <c r="V2203" s="64">
        <f>IF($A2203="","",IF(COUNTIF(변동분석!$E$7:$E$506,O2203)&gt;0,"Y","N"))</f>
        <v/>
      </c>
      <c r="W2203" s="64">
        <f>IF($A2203="","",IFERROR(INDEX(계정매핑!$D$5:$D$504,MATCH($F2203&amp;"",계정매핑!$A$5:$A$504,0)),"미매핑"))</f>
        <v/>
      </c>
      <c r="X2203" s="9">
        <f>IF($A2203="","",$F2203&amp;"")</f>
        <v/>
      </c>
      <c r="Y2203" s="94">
        <f>IF($A2203="",0,IF(AE2203="직접",IF(AF2203="비귀속",$P2203,0),$P2203*(1-AG2203)*IFERROR(INDEX(계정대체기준!$F$20:$F$49,MATCH($N2203,계정대체기준!$A$20:$A$49,0)),1)))</f>
        <v/>
      </c>
      <c r="Z2203" s="94">
        <f>IF($A2203="",0,IF(AE2203="직접",IF(AF2203="신계약비",$P2203,0),$P2203*(1-AG2203)*IFERROR(INDEX(계정대체기준!$C$20:$C$49,MATCH($N2203,계정대체기준!$A$20:$A$49,0)),0)))</f>
        <v/>
      </c>
      <c r="AA2203" s="94">
        <f>IF($A2203="",0,IF(AE2203="직접",IF(OR(AF2203="유지비",AF2203="손해조사비"),$P2203,0),$P2203*(1-AG2203)*IFERROR(INDEX(계정대체기준!$D$20:$D$49,MATCH($N2203,계정대체기준!$A$20:$A$49,0)),0)))</f>
        <v/>
      </c>
      <c r="AB2203" s="94">
        <f>IF($A2203="",0,IF(AE2203="직접",IF(AF2203="수금비",$P2203,0),$P2203*(1-AG2203)*IFERROR(INDEX(계정대체기준!$E$20:$E$49,MATCH($N2203,계정대체기준!$A$20:$A$49,0)),0)))</f>
        <v/>
      </c>
      <c r="AC2203" s="9">
        <f>IF(AND($A2203&lt;&gt;"",M2203=설정!$C$20,Z2203&gt;0),Z2203+ROW()/1000000000,"")</f>
        <v/>
      </c>
      <c r="AD2203" s="94">
        <f>IF($A2203="",0,$P2203*AG2203)</f>
        <v/>
      </c>
      <c r="AE2203" s="64">
        <f>IF($A2203="","",IFERROR(INDEX(계정매핑!$E$5:$E$504,MATCH($F2203&amp;"",계정매핑!$A$5:$A$504,0))&amp;"","공통비"))</f>
        <v/>
      </c>
      <c r="AF2203" s="64">
        <f>IF($A2203="","",IF(AE2203="직접",IFERROR(INDEX(계정매핑!$F$5:$F$504,MATCH($F2203&amp;"",계정매핑!$A$5:$A$504,0))&amp;"","비귀속"),""))</f>
        <v/>
      </c>
      <c r="AG2203" s="96">
        <f>IF($A2203="",0,IF(AND(AE2203&lt;&gt;"직접",IFERROR(INDEX(계정매핑!$G$5:$G$504,MATCH($F2203&amp;"",계정매핑!$A$5:$A$504,0))&amp;"","")="유지비",COUNTIF(계정대체기준!$A$6:$A$15,$N2203)&gt;0),IFERROR(INDEX(계정대체기준!$E$6:$E$15,MATCH(VALUE($A2203&amp;""),계정대체기준!$D$6:$D$15,0)),0),0))</f>
        <v/>
      </c>
      <c r="AH2203" s="64">
        <f>IF($A2203="","",IF(AD2203=0,"",IF(OR(COUNTIF(계정대체기준!$A$77:$A$86,$N2203)&gt;0,ISNUMBER(MATCH($X2203,계정대체기준!$D$77:$D$86,0)),ISNUMBER(MATCH($F2203,계정대체기준!$D$77:$D$86,0))),"Y","N")))</f>
        <v/>
      </c>
    </row>
    <row r="2204">
      <c r="A2204" s="92" t="n">
        <v>2025</v>
      </c>
      <c r="B2204" s="92" t="n">
        <v>10</v>
      </c>
      <c r="C2204" s="92" t="inlineStr">
        <is>
          <t>5100002200</t>
        </is>
      </c>
      <c r="D2204" s="95" t="n">
        <v>45951</v>
      </c>
      <c r="E2204" s="92" t="inlineStr">
        <is>
          <t>KR</t>
        </is>
      </c>
      <c r="F2204" s="92" t="n">
        <v>62201000</v>
      </c>
      <c r="G2204" s="92" t="n">
        <v>1101</v>
      </c>
      <c r="H2204" s="93" t="n">
        <v>149000</v>
      </c>
      <c r="I2204" s="92" t="inlineStr">
        <is>
          <t>10월 통신요금 - P통신</t>
        </is>
      </c>
      <c r="J2204" s="92" t="inlineStr">
        <is>
          <t>V10014</t>
        </is>
      </c>
      <c r="K2204" s="92" t="inlineStr">
        <is>
          <t>P통신</t>
        </is>
      </c>
      <c r="M2204" s="9">
        <f>IF($A2204="","",VALUE($A2204&amp;"")*12+VALUE($B2204&amp;""))</f>
        <v/>
      </c>
      <c r="N2204" s="64">
        <f>IF($A2204="","",IFERROR(INDEX(부서매핑!$C$5:$C$504,MATCH($G2204&amp;"",부서매핑!$A$5:$A$504,0)),"미매핑"))</f>
        <v/>
      </c>
      <c r="O2204" s="9">
        <f>IF($A2204="","",N2204&amp;"|"&amp;$F2204)</f>
        <v/>
      </c>
      <c r="P2204" s="94">
        <f>IF($A2204="",0,$H2204*설정!$C$23)</f>
        <v/>
      </c>
      <c r="Q2204" s="64">
        <f>IF($A2204="","",IF(O2204&lt;&gt;원인분석!$C$9,"",IF(AND(M2204&gt;=원인분석!$C$10,M2204&lt;=원인분석!$C$11),"당기",IF(AND(M2204&gt;=원인분석!$C$12,M2204&lt;=원인분석!$C$13),"비교",""))))</f>
        <v/>
      </c>
      <c r="R2204" s="9">
        <f>IF(Q2204="","",$K2204&amp;"")</f>
        <v/>
      </c>
      <c r="S2204" s="9">
        <f>IF(Q2204="","",IF(MATCH(R2204,$R$5:$R$100000,0)=ROW()-4,ROW(),""))</f>
        <v/>
      </c>
      <c r="T2204" s="9">
        <f>IF(Q2204="당기",ABS(P2204)+ROW()/1000000000,"")</f>
        <v/>
      </c>
      <c r="U2204" s="9">
        <f>IF(Q2204="비교",ABS(P2204)+ROW()/1000000000,"")</f>
        <v/>
      </c>
      <c r="V2204" s="64">
        <f>IF($A2204="","",IF(COUNTIF(변동분석!$E$7:$E$506,O2204)&gt;0,"Y","N"))</f>
        <v/>
      </c>
      <c r="W2204" s="64">
        <f>IF($A2204="","",IFERROR(INDEX(계정매핑!$D$5:$D$504,MATCH($F2204&amp;"",계정매핑!$A$5:$A$504,0)),"미매핑"))</f>
        <v/>
      </c>
      <c r="X2204" s="9">
        <f>IF($A2204="","",$F2204&amp;"")</f>
        <v/>
      </c>
      <c r="Y2204" s="94">
        <f>IF($A2204="",0,IF(AE2204="직접",IF(AF2204="비귀속",$P2204,0),$P2204*(1-AG2204)*IFERROR(INDEX(계정대체기준!$F$20:$F$49,MATCH($N2204,계정대체기준!$A$20:$A$49,0)),1)))</f>
        <v/>
      </c>
      <c r="Z2204" s="94">
        <f>IF($A2204="",0,IF(AE2204="직접",IF(AF2204="신계약비",$P2204,0),$P2204*(1-AG2204)*IFERROR(INDEX(계정대체기준!$C$20:$C$49,MATCH($N2204,계정대체기준!$A$20:$A$49,0)),0)))</f>
        <v/>
      </c>
      <c r="AA2204" s="94">
        <f>IF($A2204="",0,IF(AE2204="직접",IF(OR(AF2204="유지비",AF2204="손해조사비"),$P2204,0),$P2204*(1-AG2204)*IFERROR(INDEX(계정대체기준!$D$20:$D$49,MATCH($N2204,계정대체기준!$A$20:$A$49,0)),0)))</f>
        <v/>
      </c>
      <c r="AB2204" s="94">
        <f>IF($A2204="",0,IF(AE2204="직접",IF(AF2204="수금비",$P2204,0),$P2204*(1-AG2204)*IFERROR(INDEX(계정대체기준!$E$20:$E$49,MATCH($N2204,계정대체기준!$A$20:$A$49,0)),0)))</f>
        <v/>
      </c>
      <c r="AC2204" s="9">
        <f>IF(AND($A2204&lt;&gt;"",M2204=설정!$C$20,Z2204&gt;0),Z2204+ROW()/1000000000,"")</f>
        <v/>
      </c>
      <c r="AD2204" s="94">
        <f>IF($A2204="",0,$P2204*AG2204)</f>
        <v/>
      </c>
      <c r="AE2204" s="64">
        <f>IF($A2204="","",IFERROR(INDEX(계정매핑!$E$5:$E$504,MATCH($F2204&amp;"",계정매핑!$A$5:$A$504,0))&amp;"","공통비"))</f>
        <v/>
      </c>
      <c r="AF2204" s="64">
        <f>IF($A2204="","",IF(AE2204="직접",IFERROR(INDEX(계정매핑!$F$5:$F$504,MATCH($F2204&amp;"",계정매핑!$A$5:$A$504,0))&amp;"","비귀속"),""))</f>
        <v/>
      </c>
      <c r="AG2204" s="96">
        <f>IF($A2204="",0,IF(AND(AE2204&lt;&gt;"직접",IFERROR(INDEX(계정매핑!$G$5:$G$504,MATCH($F2204&amp;"",계정매핑!$A$5:$A$504,0))&amp;"","")="유지비",COUNTIF(계정대체기준!$A$6:$A$15,$N2204)&gt;0),IFERROR(INDEX(계정대체기준!$E$6:$E$15,MATCH(VALUE($A2204&amp;""),계정대체기준!$D$6:$D$15,0)),0),0))</f>
        <v/>
      </c>
      <c r="AH2204" s="64">
        <f>IF($A2204="","",IF(AD2204=0,"",IF(OR(COUNTIF(계정대체기준!$A$77:$A$86,$N2204)&gt;0,ISNUMBER(MATCH($X2204,계정대체기준!$D$77:$D$86,0)),ISNUMBER(MATCH($F2204,계정대체기준!$D$77:$D$86,0))),"Y","N")))</f>
        <v/>
      </c>
    </row>
    <row r="2205">
      <c r="A2205" s="92" t="n">
        <v>2025</v>
      </c>
      <c r="B2205" s="92" t="n">
        <v>10</v>
      </c>
      <c r="C2205" s="92" t="inlineStr">
        <is>
          <t>5100002201</t>
        </is>
      </c>
      <c r="D2205" s="95" t="n">
        <v>45951</v>
      </c>
      <c r="E2205" s="92" t="inlineStr">
        <is>
          <t>KR</t>
        </is>
      </c>
      <c r="F2205" s="92" t="n">
        <v>62201000</v>
      </c>
      <c r="G2205" s="92" t="n">
        <v>1201</v>
      </c>
      <c r="H2205" s="93" t="n">
        <v>228000</v>
      </c>
      <c r="I2205" s="92" t="inlineStr">
        <is>
          <t>10월 통신요금 - O텔레콤</t>
        </is>
      </c>
      <c r="J2205" s="92" t="inlineStr">
        <is>
          <t>V10002</t>
        </is>
      </c>
      <c r="K2205" s="92" t="inlineStr">
        <is>
          <t>O텔레콤</t>
        </is>
      </c>
      <c r="M2205" s="9">
        <f>IF($A2205="","",VALUE($A2205&amp;"")*12+VALUE($B2205&amp;""))</f>
        <v/>
      </c>
      <c r="N2205" s="64">
        <f>IF($A2205="","",IFERROR(INDEX(부서매핑!$C$5:$C$504,MATCH($G2205&amp;"",부서매핑!$A$5:$A$504,0)),"미매핑"))</f>
        <v/>
      </c>
      <c r="O2205" s="9">
        <f>IF($A2205="","",N2205&amp;"|"&amp;$F2205)</f>
        <v/>
      </c>
      <c r="P2205" s="94">
        <f>IF($A2205="",0,$H2205*설정!$C$23)</f>
        <v/>
      </c>
      <c r="Q2205" s="64">
        <f>IF($A2205="","",IF(O2205&lt;&gt;원인분석!$C$9,"",IF(AND(M2205&gt;=원인분석!$C$10,M2205&lt;=원인분석!$C$11),"당기",IF(AND(M2205&gt;=원인분석!$C$12,M2205&lt;=원인분석!$C$13),"비교",""))))</f>
        <v/>
      </c>
      <c r="R2205" s="9">
        <f>IF(Q2205="","",$K2205&amp;"")</f>
        <v/>
      </c>
      <c r="S2205" s="9">
        <f>IF(Q2205="","",IF(MATCH(R2205,$R$5:$R$100000,0)=ROW()-4,ROW(),""))</f>
        <v/>
      </c>
      <c r="T2205" s="9">
        <f>IF(Q2205="당기",ABS(P2205)+ROW()/1000000000,"")</f>
        <v/>
      </c>
      <c r="U2205" s="9">
        <f>IF(Q2205="비교",ABS(P2205)+ROW()/1000000000,"")</f>
        <v/>
      </c>
      <c r="V2205" s="64">
        <f>IF($A2205="","",IF(COUNTIF(변동분석!$E$7:$E$506,O2205)&gt;0,"Y","N"))</f>
        <v/>
      </c>
      <c r="W2205" s="64">
        <f>IF($A2205="","",IFERROR(INDEX(계정매핑!$D$5:$D$504,MATCH($F2205&amp;"",계정매핑!$A$5:$A$504,0)),"미매핑"))</f>
        <v/>
      </c>
      <c r="X2205" s="9">
        <f>IF($A2205="","",$F2205&amp;"")</f>
        <v/>
      </c>
      <c r="Y2205" s="94">
        <f>IF($A2205="",0,IF(AE2205="직접",IF(AF2205="비귀속",$P2205,0),$P2205*(1-AG2205)*IFERROR(INDEX(계정대체기준!$F$20:$F$49,MATCH($N2205,계정대체기준!$A$20:$A$49,0)),1)))</f>
        <v/>
      </c>
      <c r="Z2205" s="94">
        <f>IF($A2205="",0,IF(AE2205="직접",IF(AF2205="신계약비",$P2205,0),$P2205*(1-AG2205)*IFERROR(INDEX(계정대체기준!$C$20:$C$49,MATCH($N2205,계정대체기준!$A$20:$A$49,0)),0)))</f>
        <v/>
      </c>
      <c r="AA2205" s="94">
        <f>IF($A2205="",0,IF(AE2205="직접",IF(OR(AF2205="유지비",AF2205="손해조사비"),$P2205,0),$P2205*(1-AG2205)*IFERROR(INDEX(계정대체기준!$D$20:$D$49,MATCH($N2205,계정대체기준!$A$20:$A$49,0)),0)))</f>
        <v/>
      </c>
      <c r="AB2205" s="94">
        <f>IF($A2205="",0,IF(AE2205="직접",IF(AF2205="수금비",$P2205,0),$P2205*(1-AG2205)*IFERROR(INDEX(계정대체기준!$E$20:$E$49,MATCH($N2205,계정대체기준!$A$20:$A$49,0)),0)))</f>
        <v/>
      </c>
      <c r="AC2205" s="9">
        <f>IF(AND($A2205&lt;&gt;"",M2205=설정!$C$20,Z2205&gt;0),Z2205+ROW()/1000000000,"")</f>
        <v/>
      </c>
      <c r="AD2205" s="94">
        <f>IF($A2205="",0,$P2205*AG2205)</f>
        <v/>
      </c>
      <c r="AE2205" s="64">
        <f>IF($A2205="","",IFERROR(INDEX(계정매핑!$E$5:$E$504,MATCH($F2205&amp;"",계정매핑!$A$5:$A$504,0))&amp;"","공통비"))</f>
        <v/>
      </c>
      <c r="AF2205" s="64">
        <f>IF($A2205="","",IF(AE2205="직접",IFERROR(INDEX(계정매핑!$F$5:$F$504,MATCH($F2205&amp;"",계정매핑!$A$5:$A$504,0))&amp;"","비귀속"),""))</f>
        <v/>
      </c>
      <c r="AG2205" s="96">
        <f>IF($A2205="",0,IF(AND(AE2205&lt;&gt;"직접",IFERROR(INDEX(계정매핑!$G$5:$G$504,MATCH($F2205&amp;"",계정매핑!$A$5:$A$504,0))&amp;"","")="유지비",COUNTIF(계정대체기준!$A$6:$A$15,$N2205)&gt;0),IFERROR(INDEX(계정대체기준!$E$6:$E$15,MATCH(VALUE($A2205&amp;""),계정대체기준!$D$6:$D$15,0)),0),0))</f>
        <v/>
      </c>
      <c r="AH2205" s="64">
        <f>IF($A2205="","",IF(AD2205=0,"",IF(OR(COUNTIF(계정대체기준!$A$77:$A$86,$N2205)&gt;0,ISNUMBER(MATCH($X2205,계정대체기준!$D$77:$D$86,0)),ISNUMBER(MATCH($F2205,계정대체기준!$D$77:$D$86,0))),"Y","N")))</f>
        <v/>
      </c>
    </row>
    <row r="2206">
      <c r="A2206" s="92" t="n">
        <v>2025</v>
      </c>
      <c r="B2206" s="92" t="n">
        <v>10</v>
      </c>
      <c r="C2206" s="92" t="inlineStr">
        <is>
          <t>5100002202</t>
        </is>
      </c>
      <c r="D2206" s="95" t="n">
        <v>45951</v>
      </c>
      <c r="E2206" s="92" t="inlineStr">
        <is>
          <t>KR</t>
        </is>
      </c>
      <c r="F2206" s="92" t="n">
        <v>62201000</v>
      </c>
      <c r="G2206" s="92" t="n">
        <v>1701</v>
      </c>
      <c r="H2206" s="93" t="n">
        <v>3312000</v>
      </c>
      <c r="I2206" s="92" t="inlineStr">
        <is>
          <t>10월 통신요금 - O텔레콤</t>
        </is>
      </c>
      <c r="J2206" s="92" t="inlineStr">
        <is>
          <t>V10002</t>
        </is>
      </c>
      <c r="K2206" s="92" t="inlineStr">
        <is>
          <t>O텔레콤</t>
        </is>
      </c>
      <c r="M2206" s="9">
        <f>IF($A2206="","",VALUE($A2206&amp;"")*12+VALUE($B2206&amp;""))</f>
        <v/>
      </c>
      <c r="N2206" s="64">
        <f>IF($A2206="","",IFERROR(INDEX(부서매핑!$C$5:$C$504,MATCH($G2206&amp;"",부서매핑!$A$5:$A$504,0)),"미매핑"))</f>
        <v/>
      </c>
      <c r="O2206" s="9">
        <f>IF($A2206="","",N2206&amp;"|"&amp;$F2206)</f>
        <v/>
      </c>
      <c r="P2206" s="94">
        <f>IF($A2206="",0,$H2206*설정!$C$23)</f>
        <v/>
      </c>
      <c r="Q2206" s="64">
        <f>IF($A2206="","",IF(O2206&lt;&gt;원인분석!$C$9,"",IF(AND(M2206&gt;=원인분석!$C$10,M2206&lt;=원인분석!$C$11),"당기",IF(AND(M2206&gt;=원인분석!$C$12,M2206&lt;=원인분석!$C$13),"비교",""))))</f>
        <v/>
      </c>
      <c r="R2206" s="9">
        <f>IF(Q2206="","",$K2206&amp;"")</f>
        <v/>
      </c>
      <c r="S2206" s="9">
        <f>IF(Q2206="","",IF(MATCH(R2206,$R$5:$R$100000,0)=ROW()-4,ROW(),""))</f>
        <v/>
      </c>
      <c r="T2206" s="9">
        <f>IF(Q2206="당기",ABS(P2206)+ROW()/1000000000,"")</f>
        <v/>
      </c>
      <c r="U2206" s="9">
        <f>IF(Q2206="비교",ABS(P2206)+ROW()/1000000000,"")</f>
        <v/>
      </c>
      <c r="V2206" s="64">
        <f>IF($A2206="","",IF(COUNTIF(변동분석!$E$7:$E$506,O2206)&gt;0,"Y","N"))</f>
        <v/>
      </c>
      <c r="W2206" s="64">
        <f>IF($A2206="","",IFERROR(INDEX(계정매핑!$D$5:$D$504,MATCH($F2206&amp;"",계정매핑!$A$5:$A$504,0)),"미매핑"))</f>
        <v/>
      </c>
      <c r="X2206" s="9">
        <f>IF($A2206="","",$F2206&amp;"")</f>
        <v/>
      </c>
      <c r="Y2206" s="94">
        <f>IF($A2206="",0,IF(AE2206="직접",IF(AF2206="비귀속",$P2206,0),$P2206*(1-AG2206)*IFERROR(INDEX(계정대체기준!$F$20:$F$49,MATCH($N2206,계정대체기준!$A$20:$A$49,0)),1)))</f>
        <v/>
      </c>
      <c r="Z2206" s="94">
        <f>IF($A2206="",0,IF(AE2206="직접",IF(AF2206="신계약비",$P2206,0),$P2206*(1-AG2206)*IFERROR(INDEX(계정대체기준!$C$20:$C$49,MATCH($N2206,계정대체기준!$A$20:$A$49,0)),0)))</f>
        <v/>
      </c>
      <c r="AA2206" s="94">
        <f>IF($A2206="",0,IF(AE2206="직접",IF(OR(AF2206="유지비",AF2206="손해조사비"),$P2206,0),$P2206*(1-AG2206)*IFERROR(INDEX(계정대체기준!$D$20:$D$49,MATCH($N2206,계정대체기준!$A$20:$A$49,0)),0)))</f>
        <v/>
      </c>
      <c r="AB2206" s="94">
        <f>IF($A2206="",0,IF(AE2206="직접",IF(AF2206="수금비",$P2206,0),$P2206*(1-AG2206)*IFERROR(INDEX(계정대체기준!$E$20:$E$49,MATCH($N2206,계정대체기준!$A$20:$A$49,0)),0)))</f>
        <v/>
      </c>
      <c r="AC2206" s="9">
        <f>IF(AND($A2206&lt;&gt;"",M2206=설정!$C$20,Z2206&gt;0),Z2206+ROW()/1000000000,"")</f>
        <v/>
      </c>
      <c r="AD2206" s="94">
        <f>IF($A2206="",0,$P2206*AG2206)</f>
        <v/>
      </c>
      <c r="AE2206" s="64">
        <f>IF($A2206="","",IFERROR(INDEX(계정매핑!$E$5:$E$504,MATCH($F2206&amp;"",계정매핑!$A$5:$A$504,0))&amp;"","공통비"))</f>
        <v/>
      </c>
      <c r="AF2206" s="64">
        <f>IF($A2206="","",IF(AE2206="직접",IFERROR(INDEX(계정매핑!$F$5:$F$504,MATCH($F2206&amp;"",계정매핑!$A$5:$A$504,0))&amp;"","비귀속"),""))</f>
        <v/>
      </c>
      <c r="AG2206" s="96">
        <f>IF($A2206="",0,IF(AND(AE2206&lt;&gt;"직접",IFERROR(INDEX(계정매핑!$G$5:$G$504,MATCH($F2206&amp;"",계정매핑!$A$5:$A$504,0))&amp;"","")="유지비",COUNTIF(계정대체기준!$A$6:$A$15,$N2206)&gt;0),IFERROR(INDEX(계정대체기준!$E$6:$E$15,MATCH(VALUE($A2206&amp;""),계정대체기준!$D$6:$D$15,0)),0),0))</f>
        <v/>
      </c>
      <c r="AH2206" s="64">
        <f>IF($A2206="","",IF(AD2206=0,"",IF(OR(COUNTIF(계정대체기준!$A$77:$A$86,$N2206)&gt;0,ISNUMBER(MATCH($X2206,계정대체기준!$D$77:$D$86,0)),ISNUMBER(MATCH($F2206,계정대체기준!$D$77:$D$86,0))),"Y","N")))</f>
        <v/>
      </c>
    </row>
    <row r="2207">
      <c r="A2207" s="92" t="n">
        <v>2025</v>
      </c>
      <c r="B2207" s="92" t="n">
        <v>10</v>
      </c>
      <c r="C2207" s="92" t="inlineStr">
        <is>
          <t>5100002203</t>
        </is>
      </c>
      <c r="D2207" s="95" t="n">
        <v>45951</v>
      </c>
      <c r="E2207" s="92" t="inlineStr">
        <is>
          <t>KR</t>
        </is>
      </c>
      <c r="F2207" s="92" t="n">
        <v>62201000</v>
      </c>
      <c r="G2207" s="92" t="n">
        <v>1801</v>
      </c>
      <c r="H2207" s="93" t="n">
        <v>9123000</v>
      </c>
      <c r="I2207" s="92" t="inlineStr">
        <is>
          <t>10월 통신요금 - O텔레콤</t>
        </is>
      </c>
      <c r="J2207" s="92" t="inlineStr">
        <is>
          <t>V10002</t>
        </is>
      </c>
      <c r="K2207" s="92" t="inlineStr">
        <is>
          <t>O텔레콤</t>
        </is>
      </c>
      <c r="M2207" s="9">
        <f>IF($A2207="","",VALUE($A2207&amp;"")*12+VALUE($B2207&amp;""))</f>
        <v/>
      </c>
      <c r="N2207" s="64">
        <f>IF($A2207="","",IFERROR(INDEX(부서매핑!$C$5:$C$504,MATCH($G2207&amp;"",부서매핑!$A$5:$A$504,0)),"미매핑"))</f>
        <v/>
      </c>
      <c r="O2207" s="9">
        <f>IF($A2207="","",N2207&amp;"|"&amp;$F2207)</f>
        <v/>
      </c>
      <c r="P2207" s="94">
        <f>IF($A2207="",0,$H2207*설정!$C$23)</f>
        <v/>
      </c>
      <c r="Q2207" s="64">
        <f>IF($A2207="","",IF(O2207&lt;&gt;원인분석!$C$9,"",IF(AND(M2207&gt;=원인분석!$C$10,M2207&lt;=원인분석!$C$11),"당기",IF(AND(M2207&gt;=원인분석!$C$12,M2207&lt;=원인분석!$C$13),"비교",""))))</f>
        <v/>
      </c>
      <c r="R2207" s="9">
        <f>IF(Q2207="","",$K2207&amp;"")</f>
        <v/>
      </c>
      <c r="S2207" s="9">
        <f>IF(Q2207="","",IF(MATCH(R2207,$R$5:$R$100000,0)=ROW()-4,ROW(),""))</f>
        <v/>
      </c>
      <c r="T2207" s="9">
        <f>IF(Q2207="당기",ABS(P2207)+ROW()/1000000000,"")</f>
        <v/>
      </c>
      <c r="U2207" s="9">
        <f>IF(Q2207="비교",ABS(P2207)+ROW()/1000000000,"")</f>
        <v/>
      </c>
      <c r="V2207" s="64">
        <f>IF($A2207="","",IF(COUNTIF(변동분석!$E$7:$E$506,O2207)&gt;0,"Y","N"))</f>
        <v/>
      </c>
      <c r="W2207" s="64">
        <f>IF($A2207="","",IFERROR(INDEX(계정매핑!$D$5:$D$504,MATCH($F2207&amp;"",계정매핑!$A$5:$A$504,0)),"미매핑"))</f>
        <v/>
      </c>
      <c r="X2207" s="9">
        <f>IF($A2207="","",$F2207&amp;"")</f>
        <v/>
      </c>
      <c r="Y2207" s="94">
        <f>IF($A2207="",0,IF(AE2207="직접",IF(AF2207="비귀속",$P2207,0),$P2207*(1-AG2207)*IFERROR(INDEX(계정대체기준!$F$20:$F$49,MATCH($N2207,계정대체기준!$A$20:$A$49,0)),1)))</f>
        <v/>
      </c>
      <c r="Z2207" s="94">
        <f>IF($A2207="",0,IF(AE2207="직접",IF(AF2207="신계약비",$P2207,0),$P2207*(1-AG2207)*IFERROR(INDEX(계정대체기준!$C$20:$C$49,MATCH($N2207,계정대체기준!$A$20:$A$49,0)),0)))</f>
        <v/>
      </c>
      <c r="AA2207" s="94">
        <f>IF($A2207="",0,IF(AE2207="직접",IF(OR(AF2207="유지비",AF2207="손해조사비"),$P2207,0),$P2207*(1-AG2207)*IFERROR(INDEX(계정대체기준!$D$20:$D$49,MATCH($N2207,계정대체기준!$A$20:$A$49,0)),0)))</f>
        <v/>
      </c>
      <c r="AB2207" s="94">
        <f>IF($A2207="",0,IF(AE2207="직접",IF(AF2207="수금비",$P2207,0),$P2207*(1-AG2207)*IFERROR(INDEX(계정대체기준!$E$20:$E$49,MATCH($N2207,계정대체기준!$A$20:$A$49,0)),0)))</f>
        <v/>
      </c>
      <c r="AC2207" s="9">
        <f>IF(AND($A2207&lt;&gt;"",M2207=설정!$C$20,Z2207&gt;0),Z2207+ROW()/1000000000,"")</f>
        <v/>
      </c>
      <c r="AD2207" s="94">
        <f>IF($A2207="",0,$P2207*AG2207)</f>
        <v/>
      </c>
      <c r="AE2207" s="64">
        <f>IF($A2207="","",IFERROR(INDEX(계정매핑!$E$5:$E$504,MATCH($F2207&amp;"",계정매핑!$A$5:$A$504,0))&amp;"","공통비"))</f>
        <v/>
      </c>
      <c r="AF2207" s="64">
        <f>IF($A2207="","",IF(AE2207="직접",IFERROR(INDEX(계정매핑!$F$5:$F$504,MATCH($F2207&amp;"",계정매핑!$A$5:$A$504,0))&amp;"","비귀속"),""))</f>
        <v/>
      </c>
      <c r="AG2207" s="96">
        <f>IF($A2207="",0,IF(AND(AE2207&lt;&gt;"직접",IFERROR(INDEX(계정매핑!$G$5:$G$504,MATCH($F2207&amp;"",계정매핑!$A$5:$A$504,0))&amp;"","")="유지비",COUNTIF(계정대체기준!$A$6:$A$15,$N2207)&gt;0),IFERROR(INDEX(계정대체기준!$E$6:$E$15,MATCH(VALUE($A2207&amp;""),계정대체기준!$D$6:$D$15,0)),0),0))</f>
        <v/>
      </c>
      <c r="AH2207" s="64">
        <f>IF($A2207="","",IF(AD2207=0,"",IF(OR(COUNTIF(계정대체기준!$A$77:$A$86,$N2207)&gt;0,ISNUMBER(MATCH($X2207,계정대체기준!$D$77:$D$86,0)),ISNUMBER(MATCH($F2207,계정대체기준!$D$77:$D$86,0))),"Y","N")))</f>
        <v/>
      </c>
    </row>
    <row r="2208">
      <c r="A2208" s="92" t="n">
        <v>2025</v>
      </c>
      <c r="B2208" s="92" t="n">
        <v>10</v>
      </c>
      <c r="C2208" s="92" t="inlineStr">
        <is>
          <t>5100002204</t>
        </is>
      </c>
      <c r="D2208" s="95" t="n">
        <v>45951</v>
      </c>
      <c r="E2208" s="92" t="inlineStr">
        <is>
          <t>KR</t>
        </is>
      </c>
      <c r="F2208" s="92" t="n">
        <v>62301000</v>
      </c>
      <c r="G2208" s="92" t="n">
        <v>1101</v>
      </c>
      <c r="H2208" s="93" t="n">
        <v>123000</v>
      </c>
      <c r="I2208" s="92" t="inlineStr">
        <is>
          <t>10월 소모품 구입 - Q오피스</t>
        </is>
      </c>
      <c r="J2208" s="92" t="inlineStr">
        <is>
          <t>V10003</t>
        </is>
      </c>
      <c r="K2208" s="92" t="inlineStr">
        <is>
          <t>Q오피스</t>
        </is>
      </c>
      <c r="M2208" s="9">
        <f>IF($A2208="","",VALUE($A2208&amp;"")*12+VALUE($B2208&amp;""))</f>
        <v/>
      </c>
      <c r="N2208" s="64">
        <f>IF($A2208="","",IFERROR(INDEX(부서매핑!$C$5:$C$504,MATCH($G2208&amp;"",부서매핑!$A$5:$A$504,0)),"미매핑"))</f>
        <v/>
      </c>
      <c r="O2208" s="9">
        <f>IF($A2208="","",N2208&amp;"|"&amp;$F2208)</f>
        <v/>
      </c>
      <c r="P2208" s="94">
        <f>IF($A2208="",0,$H2208*설정!$C$23)</f>
        <v/>
      </c>
      <c r="Q2208" s="64">
        <f>IF($A2208="","",IF(O2208&lt;&gt;원인분석!$C$9,"",IF(AND(M2208&gt;=원인분석!$C$10,M2208&lt;=원인분석!$C$11),"당기",IF(AND(M2208&gt;=원인분석!$C$12,M2208&lt;=원인분석!$C$13),"비교",""))))</f>
        <v/>
      </c>
      <c r="R2208" s="9">
        <f>IF(Q2208="","",$K2208&amp;"")</f>
        <v/>
      </c>
      <c r="S2208" s="9">
        <f>IF(Q2208="","",IF(MATCH(R2208,$R$5:$R$100000,0)=ROW()-4,ROW(),""))</f>
        <v/>
      </c>
      <c r="T2208" s="9">
        <f>IF(Q2208="당기",ABS(P2208)+ROW()/1000000000,"")</f>
        <v/>
      </c>
      <c r="U2208" s="9">
        <f>IF(Q2208="비교",ABS(P2208)+ROW()/1000000000,"")</f>
        <v/>
      </c>
      <c r="V2208" s="64">
        <f>IF($A2208="","",IF(COUNTIF(변동분석!$E$7:$E$506,O2208)&gt;0,"Y","N"))</f>
        <v/>
      </c>
      <c r="W2208" s="64">
        <f>IF($A2208="","",IFERROR(INDEX(계정매핑!$D$5:$D$504,MATCH($F2208&amp;"",계정매핑!$A$5:$A$504,0)),"미매핑"))</f>
        <v/>
      </c>
      <c r="X2208" s="9">
        <f>IF($A2208="","",$F2208&amp;"")</f>
        <v/>
      </c>
      <c r="Y2208" s="94">
        <f>IF($A2208="",0,IF(AE2208="직접",IF(AF2208="비귀속",$P2208,0),$P2208*(1-AG2208)*IFERROR(INDEX(계정대체기준!$F$20:$F$49,MATCH($N2208,계정대체기준!$A$20:$A$49,0)),1)))</f>
        <v/>
      </c>
      <c r="Z2208" s="94">
        <f>IF($A2208="",0,IF(AE2208="직접",IF(AF2208="신계약비",$P2208,0),$P2208*(1-AG2208)*IFERROR(INDEX(계정대체기준!$C$20:$C$49,MATCH($N2208,계정대체기준!$A$20:$A$49,0)),0)))</f>
        <v/>
      </c>
      <c r="AA2208" s="94">
        <f>IF($A2208="",0,IF(AE2208="직접",IF(OR(AF2208="유지비",AF2208="손해조사비"),$P2208,0),$P2208*(1-AG2208)*IFERROR(INDEX(계정대체기준!$D$20:$D$49,MATCH($N2208,계정대체기준!$A$20:$A$49,0)),0)))</f>
        <v/>
      </c>
      <c r="AB2208" s="94">
        <f>IF($A2208="",0,IF(AE2208="직접",IF(AF2208="수금비",$P2208,0),$P2208*(1-AG2208)*IFERROR(INDEX(계정대체기준!$E$20:$E$49,MATCH($N2208,계정대체기준!$A$20:$A$49,0)),0)))</f>
        <v/>
      </c>
      <c r="AC2208" s="9">
        <f>IF(AND($A2208&lt;&gt;"",M2208=설정!$C$20,Z2208&gt;0),Z2208+ROW()/1000000000,"")</f>
        <v/>
      </c>
      <c r="AD2208" s="94">
        <f>IF($A2208="",0,$P2208*AG2208)</f>
        <v/>
      </c>
      <c r="AE2208" s="64">
        <f>IF($A2208="","",IFERROR(INDEX(계정매핑!$E$5:$E$504,MATCH($F2208&amp;"",계정매핑!$A$5:$A$504,0))&amp;"","공통비"))</f>
        <v/>
      </c>
      <c r="AF2208" s="64">
        <f>IF($A2208="","",IF(AE2208="직접",IFERROR(INDEX(계정매핑!$F$5:$F$504,MATCH($F2208&amp;"",계정매핑!$A$5:$A$504,0))&amp;"","비귀속"),""))</f>
        <v/>
      </c>
      <c r="AG2208" s="96">
        <f>IF($A2208="",0,IF(AND(AE2208&lt;&gt;"직접",IFERROR(INDEX(계정매핑!$G$5:$G$504,MATCH($F2208&amp;"",계정매핑!$A$5:$A$504,0))&amp;"","")="유지비",COUNTIF(계정대체기준!$A$6:$A$15,$N2208)&gt;0),IFERROR(INDEX(계정대체기준!$E$6:$E$15,MATCH(VALUE($A2208&amp;""),계정대체기준!$D$6:$D$15,0)),0),0))</f>
        <v/>
      </c>
      <c r="AH2208" s="64">
        <f>IF($A2208="","",IF(AD2208=0,"",IF(OR(COUNTIF(계정대체기준!$A$77:$A$86,$N2208)&gt;0,ISNUMBER(MATCH($X2208,계정대체기준!$D$77:$D$86,0)),ISNUMBER(MATCH($F2208,계정대체기준!$D$77:$D$86,0))),"Y","N")))</f>
        <v/>
      </c>
    </row>
    <row r="2209">
      <c r="A2209" s="92" t="n">
        <v>2025</v>
      </c>
      <c r="B2209" s="92" t="n">
        <v>10</v>
      </c>
      <c r="C2209" s="92" t="inlineStr">
        <is>
          <t>5100002205</t>
        </is>
      </c>
      <c r="D2209" s="95" t="n">
        <v>45951</v>
      </c>
      <c r="E2209" s="92" t="inlineStr">
        <is>
          <t>KR</t>
        </is>
      </c>
      <c r="F2209" s="92" t="n">
        <v>62501000</v>
      </c>
      <c r="G2209" s="92" t="n">
        <v>1601</v>
      </c>
      <c r="H2209" s="93" t="n">
        <v>399000</v>
      </c>
      <c r="I2209" s="92" t="inlineStr">
        <is>
          <t>10월 회의 다과 - (법인카드)</t>
        </is>
      </c>
      <c r="J2209" s="92" t="inlineStr">
        <is>
          <t>V10010</t>
        </is>
      </c>
      <c r="K2209" s="92" t="inlineStr">
        <is>
          <t>(법인카드)</t>
        </is>
      </c>
      <c r="M2209" s="9">
        <f>IF($A2209="","",VALUE($A2209&amp;"")*12+VALUE($B2209&amp;""))</f>
        <v/>
      </c>
      <c r="N2209" s="64">
        <f>IF($A2209="","",IFERROR(INDEX(부서매핑!$C$5:$C$504,MATCH($G2209&amp;"",부서매핑!$A$5:$A$504,0)),"미매핑"))</f>
        <v/>
      </c>
      <c r="O2209" s="9">
        <f>IF($A2209="","",N2209&amp;"|"&amp;$F2209)</f>
        <v/>
      </c>
      <c r="P2209" s="94">
        <f>IF($A2209="",0,$H2209*설정!$C$23)</f>
        <v/>
      </c>
      <c r="Q2209" s="64">
        <f>IF($A2209="","",IF(O2209&lt;&gt;원인분석!$C$9,"",IF(AND(M2209&gt;=원인분석!$C$10,M2209&lt;=원인분석!$C$11),"당기",IF(AND(M2209&gt;=원인분석!$C$12,M2209&lt;=원인분석!$C$13),"비교",""))))</f>
        <v/>
      </c>
      <c r="R2209" s="9">
        <f>IF(Q2209="","",$K2209&amp;"")</f>
        <v/>
      </c>
      <c r="S2209" s="9">
        <f>IF(Q2209="","",IF(MATCH(R2209,$R$5:$R$100000,0)=ROW()-4,ROW(),""))</f>
        <v/>
      </c>
      <c r="T2209" s="9">
        <f>IF(Q2209="당기",ABS(P2209)+ROW()/1000000000,"")</f>
        <v/>
      </c>
      <c r="U2209" s="9">
        <f>IF(Q2209="비교",ABS(P2209)+ROW()/1000000000,"")</f>
        <v/>
      </c>
      <c r="V2209" s="64">
        <f>IF($A2209="","",IF(COUNTIF(변동분석!$E$7:$E$506,O2209)&gt;0,"Y","N"))</f>
        <v/>
      </c>
      <c r="W2209" s="64">
        <f>IF($A2209="","",IFERROR(INDEX(계정매핑!$D$5:$D$504,MATCH($F2209&amp;"",계정매핑!$A$5:$A$504,0)),"미매핑"))</f>
        <v/>
      </c>
      <c r="X2209" s="9">
        <f>IF($A2209="","",$F2209&amp;"")</f>
        <v/>
      </c>
      <c r="Y2209" s="94">
        <f>IF($A2209="",0,IF(AE2209="직접",IF(AF2209="비귀속",$P2209,0),$P2209*(1-AG2209)*IFERROR(INDEX(계정대체기준!$F$20:$F$49,MATCH($N2209,계정대체기준!$A$20:$A$49,0)),1)))</f>
        <v/>
      </c>
      <c r="Z2209" s="94">
        <f>IF($A2209="",0,IF(AE2209="직접",IF(AF2209="신계약비",$P2209,0),$P2209*(1-AG2209)*IFERROR(INDEX(계정대체기준!$C$20:$C$49,MATCH($N2209,계정대체기준!$A$20:$A$49,0)),0)))</f>
        <v/>
      </c>
      <c r="AA2209" s="94">
        <f>IF($A2209="",0,IF(AE2209="직접",IF(OR(AF2209="유지비",AF2209="손해조사비"),$P2209,0),$P2209*(1-AG2209)*IFERROR(INDEX(계정대체기준!$D$20:$D$49,MATCH($N2209,계정대체기준!$A$20:$A$49,0)),0)))</f>
        <v/>
      </c>
      <c r="AB2209" s="94">
        <f>IF($A2209="",0,IF(AE2209="직접",IF(AF2209="수금비",$P2209,0),$P2209*(1-AG2209)*IFERROR(INDEX(계정대체기준!$E$20:$E$49,MATCH($N2209,계정대체기준!$A$20:$A$49,0)),0)))</f>
        <v/>
      </c>
      <c r="AC2209" s="9">
        <f>IF(AND($A2209&lt;&gt;"",M2209=설정!$C$20,Z2209&gt;0),Z2209+ROW()/1000000000,"")</f>
        <v/>
      </c>
      <c r="AD2209" s="94">
        <f>IF($A2209="",0,$P2209*AG2209)</f>
        <v/>
      </c>
      <c r="AE2209" s="64">
        <f>IF($A2209="","",IFERROR(INDEX(계정매핑!$E$5:$E$504,MATCH($F2209&amp;"",계정매핑!$A$5:$A$504,0))&amp;"","공통비"))</f>
        <v/>
      </c>
      <c r="AF2209" s="64">
        <f>IF($A2209="","",IF(AE2209="직접",IFERROR(INDEX(계정매핑!$F$5:$F$504,MATCH($F2209&amp;"",계정매핑!$A$5:$A$504,0))&amp;"","비귀속"),""))</f>
        <v/>
      </c>
      <c r="AG2209" s="96">
        <f>IF($A2209="",0,IF(AND(AE2209&lt;&gt;"직접",IFERROR(INDEX(계정매핑!$G$5:$G$504,MATCH($F2209&amp;"",계정매핑!$A$5:$A$504,0))&amp;"","")="유지비",COUNTIF(계정대체기준!$A$6:$A$15,$N2209)&gt;0),IFERROR(INDEX(계정대체기준!$E$6:$E$15,MATCH(VALUE($A2209&amp;""),계정대체기준!$D$6:$D$15,0)),0),0))</f>
        <v/>
      </c>
      <c r="AH2209" s="64">
        <f>IF($A2209="","",IF(AD2209=0,"",IF(OR(COUNTIF(계정대체기준!$A$77:$A$86,$N2209)&gt;0,ISNUMBER(MATCH($X2209,계정대체기준!$D$77:$D$86,0)),ISNUMBER(MATCH($F2209,계정대체기준!$D$77:$D$86,0))),"Y","N")))</f>
        <v/>
      </c>
    </row>
    <row r="2210">
      <c r="A2210" s="92" t="n">
        <v>2025</v>
      </c>
      <c r="B2210" s="92" t="n">
        <v>10</v>
      </c>
      <c r="C2210" s="92" t="inlineStr">
        <is>
          <t>5100002206</t>
        </is>
      </c>
      <c r="D2210" s="95" t="n">
        <v>45951</v>
      </c>
      <c r="E2210" s="92" t="inlineStr">
        <is>
          <t>KR</t>
        </is>
      </c>
      <c r="F2210" s="92" t="n">
        <v>62501000</v>
      </c>
      <c r="G2210" s="92" t="n">
        <v>1801</v>
      </c>
      <c r="H2210" s="93" t="n">
        <v>137000</v>
      </c>
      <c r="I2210" s="92" t="inlineStr">
        <is>
          <t>10월 회의 다과 - (법인카드)</t>
        </is>
      </c>
      <c r="J2210" s="92" t="inlineStr">
        <is>
          <t>V10010</t>
        </is>
      </c>
      <c r="K2210" s="92" t="inlineStr">
        <is>
          <t>(법인카드)</t>
        </is>
      </c>
      <c r="M2210" s="9">
        <f>IF($A2210="","",VALUE($A2210&amp;"")*12+VALUE($B2210&amp;""))</f>
        <v/>
      </c>
      <c r="N2210" s="64">
        <f>IF($A2210="","",IFERROR(INDEX(부서매핑!$C$5:$C$504,MATCH($G2210&amp;"",부서매핑!$A$5:$A$504,0)),"미매핑"))</f>
        <v/>
      </c>
      <c r="O2210" s="9">
        <f>IF($A2210="","",N2210&amp;"|"&amp;$F2210)</f>
        <v/>
      </c>
      <c r="P2210" s="94">
        <f>IF($A2210="",0,$H2210*설정!$C$23)</f>
        <v/>
      </c>
      <c r="Q2210" s="64">
        <f>IF($A2210="","",IF(O2210&lt;&gt;원인분석!$C$9,"",IF(AND(M2210&gt;=원인분석!$C$10,M2210&lt;=원인분석!$C$11),"당기",IF(AND(M2210&gt;=원인분석!$C$12,M2210&lt;=원인분석!$C$13),"비교",""))))</f>
        <v/>
      </c>
      <c r="R2210" s="9">
        <f>IF(Q2210="","",$K2210&amp;"")</f>
        <v/>
      </c>
      <c r="S2210" s="9">
        <f>IF(Q2210="","",IF(MATCH(R2210,$R$5:$R$100000,0)=ROW()-4,ROW(),""))</f>
        <v/>
      </c>
      <c r="T2210" s="9">
        <f>IF(Q2210="당기",ABS(P2210)+ROW()/1000000000,"")</f>
        <v/>
      </c>
      <c r="U2210" s="9">
        <f>IF(Q2210="비교",ABS(P2210)+ROW()/1000000000,"")</f>
        <v/>
      </c>
      <c r="V2210" s="64">
        <f>IF($A2210="","",IF(COUNTIF(변동분석!$E$7:$E$506,O2210)&gt;0,"Y","N"))</f>
        <v/>
      </c>
      <c r="W2210" s="64">
        <f>IF($A2210="","",IFERROR(INDEX(계정매핑!$D$5:$D$504,MATCH($F2210&amp;"",계정매핑!$A$5:$A$504,0)),"미매핑"))</f>
        <v/>
      </c>
      <c r="X2210" s="9">
        <f>IF($A2210="","",$F2210&amp;"")</f>
        <v/>
      </c>
      <c r="Y2210" s="94">
        <f>IF($A2210="",0,IF(AE2210="직접",IF(AF2210="비귀속",$P2210,0),$P2210*(1-AG2210)*IFERROR(INDEX(계정대체기준!$F$20:$F$49,MATCH($N2210,계정대체기준!$A$20:$A$49,0)),1)))</f>
        <v/>
      </c>
      <c r="Z2210" s="94">
        <f>IF($A2210="",0,IF(AE2210="직접",IF(AF2210="신계약비",$P2210,0),$P2210*(1-AG2210)*IFERROR(INDEX(계정대체기준!$C$20:$C$49,MATCH($N2210,계정대체기준!$A$20:$A$49,0)),0)))</f>
        <v/>
      </c>
      <c r="AA2210" s="94">
        <f>IF($A2210="",0,IF(AE2210="직접",IF(OR(AF2210="유지비",AF2210="손해조사비"),$P2210,0),$P2210*(1-AG2210)*IFERROR(INDEX(계정대체기준!$D$20:$D$49,MATCH($N2210,계정대체기준!$A$20:$A$49,0)),0)))</f>
        <v/>
      </c>
      <c r="AB2210" s="94">
        <f>IF($A2210="",0,IF(AE2210="직접",IF(AF2210="수금비",$P2210,0),$P2210*(1-AG2210)*IFERROR(INDEX(계정대체기준!$E$20:$E$49,MATCH($N2210,계정대체기준!$A$20:$A$49,0)),0)))</f>
        <v/>
      </c>
      <c r="AC2210" s="9">
        <f>IF(AND($A2210&lt;&gt;"",M2210=설정!$C$20,Z2210&gt;0),Z2210+ROW()/1000000000,"")</f>
        <v/>
      </c>
      <c r="AD2210" s="94">
        <f>IF($A2210="",0,$P2210*AG2210)</f>
        <v/>
      </c>
      <c r="AE2210" s="64">
        <f>IF($A2210="","",IFERROR(INDEX(계정매핑!$E$5:$E$504,MATCH($F2210&amp;"",계정매핑!$A$5:$A$504,0))&amp;"","공통비"))</f>
        <v/>
      </c>
      <c r="AF2210" s="64">
        <f>IF($A2210="","",IF(AE2210="직접",IFERROR(INDEX(계정매핑!$F$5:$F$504,MATCH($F2210&amp;"",계정매핑!$A$5:$A$504,0))&amp;"","비귀속"),""))</f>
        <v/>
      </c>
      <c r="AG2210" s="96">
        <f>IF($A2210="",0,IF(AND(AE2210&lt;&gt;"직접",IFERROR(INDEX(계정매핑!$G$5:$G$504,MATCH($F2210&amp;"",계정매핑!$A$5:$A$504,0))&amp;"","")="유지비",COUNTIF(계정대체기준!$A$6:$A$15,$N2210)&gt;0),IFERROR(INDEX(계정대체기준!$E$6:$E$15,MATCH(VALUE($A2210&amp;""),계정대체기준!$D$6:$D$15,0)),0),0))</f>
        <v/>
      </c>
      <c r="AH2210" s="64">
        <f>IF($A2210="","",IF(AD2210=0,"",IF(OR(COUNTIF(계정대체기준!$A$77:$A$86,$N2210)&gt;0,ISNUMBER(MATCH($X2210,계정대체기준!$D$77:$D$86,0)),ISNUMBER(MATCH($F2210,계정대체기준!$D$77:$D$86,0))),"Y","N")))</f>
        <v/>
      </c>
    </row>
    <row r="2211">
      <c r="A2211" s="92" t="n">
        <v>2025</v>
      </c>
      <c r="B2211" s="92" t="n">
        <v>10</v>
      </c>
      <c r="C2211" s="92" t="inlineStr">
        <is>
          <t>5100002207</t>
        </is>
      </c>
      <c r="D2211" s="95" t="n">
        <v>45951</v>
      </c>
      <c r="E2211" s="92" t="inlineStr">
        <is>
          <t>KR</t>
        </is>
      </c>
      <c r="F2211" s="92" t="n">
        <v>62802000</v>
      </c>
      <c r="G2211" s="92" t="n">
        <v>1301</v>
      </c>
      <c r="H2211" s="93" t="n">
        <v>5900000</v>
      </c>
      <c r="I2211" s="92" t="inlineStr">
        <is>
          <t>10월 위탁교육 - I교육원</t>
        </is>
      </c>
      <c r="J2211" s="92" t="inlineStr">
        <is>
          <t>V10019</t>
        </is>
      </c>
      <c r="K2211" s="92" t="inlineStr">
        <is>
          <t>I교육원</t>
        </is>
      </c>
      <c r="M2211" s="9">
        <f>IF($A2211="","",VALUE($A2211&amp;"")*12+VALUE($B2211&amp;""))</f>
        <v/>
      </c>
      <c r="N2211" s="64">
        <f>IF($A2211="","",IFERROR(INDEX(부서매핑!$C$5:$C$504,MATCH($G2211&amp;"",부서매핑!$A$5:$A$504,0)),"미매핑"))</f>
        <v/>
      </c>
      <c r="O2211" s="9">
        <f>IF($A2211="","",N2211&amp;"|"&amp;$F2211)</f>
        <v/>
      </c>
      <c r="P2211" s="94">
        <f>IF($A2211="",0,$H2211*설정!$C$23)</f>
        <v/>
      </c>
      <c r="Q2211" s="64">
        <f>IF($A2211="","",IF(O2211&lt;&gt;원인분석!$C$9,"",IF(AND(M2211&gt;=원인분석!$C$10,M2211&lt;=원인분석!$C$11),"당기",IF(AND(M2211&gt;=원인분석!$C$12,M2211&lt;=원인분석!$C$13),"비교",""))))</f>
        <v/>
      </c>
      <c r="R2211" s="9">
        <f>IF(Q2211="","",$K2211&amp;"")</f>
        <v/>
      </c>
      <c r="S2211" s="9">
        <f>IF(Q2211="","",IF(MATCH(R2211,$R$5:$R$100000,0)=ROW()-4,ROW(),""))</f>
        <v/>
      </c>
      <c r="T2211" s="9">
        <f>IF(Q2211="당기",ABS(P2211)+ROW()/1000000000,"")</f>
        <v/>
      </c>
      <c r="U2211" s="9">
        <f>IF(Q2211="비교",ABS(P2211)+ROW()/1000000000,"")</f>
        <v/>
      </c>
      <c r="V2211" s="64">
        <f>IF($A2211="","",IF(COUNTIF(변동분석!$E$7:$E$506,O2211)&gt;0,"Y","N"))</f>
        <v/>
      </c>
      <c r="W2211" s="64">
        <f>IF($A2211="","",IFERROR(INDEX(계정매핑!$D$5:$D$504,MATCH($F2211&amp;"",계정매핑!$A$5:$A$504,0)),"미매핑"))</f>
        <v/>
      </c>
      <c r="X2211" s="9">
        <f>IF($A2211="","",$F2211&amp;"")</f>
        <v/>
      </c>
      <c r="Y2211" s="94">
        <f>IF($A2211="",0,IF(AE2211="직접",IF(AF2211="비귀속",$P2211,0),$P2211*(1-AG2211)*IFERROR(INDEX(계정대체기준!$F$20:$F$49,MATCH($N2211,계정대체기준!$A$20:$A$49,0)),1)))</f>
        <v/>
      </c>
      <c r="Z2211" s="94">
        <f>IF($A2211="",0,IF(AE2211="직접",IF(AF2211="신계약비",$P2211,0),$P2211*(1-AG2211)*IFERROR(INDEX(계정대체기준!$C$20:$C$49,MATCH($N2211,계정대체기준!$A$20:$A$49,0)),0)))</f>
        <v/>
      </c>
      <c r="AA2211" s="94">
        <f>IF($A2211="",0,IF(AE2211="직접",IF(OR(AF2211="유지비",AF2211="손해조사비"),$P2211,0),$P2211*(1-AG2211)*IFERROR(INDEX(계정대체기준!$D$20:$D$49,MATCH($N2211,계정대체기준!$A$20:$A$49,0)),0)))</f>
        <v/>
      </c>
      <c r="AB2211" s="94">
        <f>IF($A2211="",0,IF(AE2211="직접",IF(AF2211="수금비",$P2211,0),$P2211*(1-AG2211)*IFERROR(INDEX(계정대체기준!$E$20:$E$49,MATCH($N2211,계정대체기준!$A$20:$A$49,0)),0)))</f>
        <v/>
      </c>
      <c r="AC2211" s="9">
        <f>IF(AND($A2211&lt;&gt;"",M2211=설정!$C$20,Z2211&gt;0),Z2211+ROW()/1000000000,"")</f>
        <v/>
      </c>
      <c r="AD2211" s="94">
        <f>IF($A2211="",0,$P2211*AG2211)</f>
        <v/>
      </c>
      <c r="AE2211" s="64">
        <f>IF($A2211="","",IFERROR(INDEX(계정매핑!$E$5:$E$504,MATCH($F2211&amp;"",계정매핑!$A$5:$A$504,0))&amp;"","공통비"))</f>
        <v/>
      </c>
      <c r="AF2211" s="64">
        <f>IF($A2211="","",IF(AE2211="직접",IFERROR(INDEX(계정매핑!$F$5:$F$504,MATCH($F2211&amp;"",계정매핑!$A$5:$A$504,0))&amp;"","비귀속"),""))</f>
        <v/>
      </c>
      <c r="AG2211" s="96">
        <f>IF($A2211="",0,IF(AND(AE2211&lt;&gt;"직접",IFERROR(INDEX(계정매핑!$G$5:$G$504,MATCH($F2211&amp;"",계정매핑!$A$5:$A$504,0))&amp;"","")="유지비",COUNTIF(계정대체기준!$A$6:$A$15,$N2211)&gt;0),IFERROR(INDEX(계정대체기준!$E$6:$E$15,MATCH(VALUE($A2211&amp;""),계정대체기준!$D$6:$D$15,0)),0),0))</f>
        <v/>
      </c>
      <c r="AH2211" s="64">
        <f>IF($A2211="","",IF(AD2211=0,"",IF(OR(COUNTIF(계정대체기준!$A$77:$A$86,$N2211)&gt;0,ISNUMBER(MATCH($X2211,계정대체기준!$D$77:$D$86,0)),ISNUMBER(MATCH($F2211,계정대체기준!$D$77:$D$86,0))),"Y","N")))</f>
        <v/>
      </c>
    </row>
    <row r="2212">
      <c r="A2212" s="92" t="n">
        <v>2025</v>
      </c>
      <c r="B2212" s="92" t="n">
        <v>10</v>
      </c>
      <c r="C2212" s="92" t="inlineStr">
        <is>
          <t>5100002208</t>
        </is>
      </c>
      <c r="D2212" s="95" t="n">
        <v>45952</v>
      </c>
      <c r="E2212" s="92" t="inlineStr">
        <is>
          <t>KR</t>
        </is>
      </c>
      <c r="F2212" s="92" t="n">
        <v>62101000</v>
      </c>
      <c r="G2212" s="92" t="n">
        <v>1401</v>
      </c>
      <c r="H2212" s="93" t="n">
        <v>518000</v>
      </c>
      <c r="I2212" s="92" t="inlineStr">
        <is>
          <t>10월 국내출장 - L여행사</t>
        </is>
      </c>
      <c r="J2212" s="92" t="inlineStr">
        <is>
          <t>V10018</t>
        </is>
      </c>
      <c r="K2212" s="92" t="inlineStr">
        <is>
          <t>L여행사</t>
        </is>
      </c>
      <c r="M2212" s="9">
        <f>IF($A2212="","",VALUE($A2212&amp;"")*12+VALUE($B2212&amp;""))</f>
        <v/>
      </c>
      <c r="N2212" s="64">
        <f>IF($A2212="","",IFERROR(INDEX(부서매핑!$C$5:$C$504,MATCH($G2212&amp;"",부서매핑!$A$5:$A$504,0)),"미매핑"))</f>
        <v/>
      </c>
      <c r="O2212" s="9">
        <f>IF($A2212="","",N2212&amp;"|"&amp;$F2212)</f>
        <v/>
      </c>
      <c r="P2212" s="94">
        <f>IF($A2212="",0,$H2212*설정!$C$23)</f>
        <v/>
      </c>
      <c r="Q2212" s="64">
        <f>IF($A2212="","",IF(O2212&lt;&gt;원인분석!$C$9,"",IF(AND(M2212&gt;=원인분석!$C$10,M2212&lt;=원인분석!$C$11),"당기",IF(AND(M2212&gt;=원인분석!$C$12,M2212&lt;=원인분석!$C$13),"비교",""))))</f>
        <v/>
      </c>
      <c r="R2212" s="9">
        <f>IF(Q2212="","",$K2212&amp;"")</f>
        <v/>
      </c>
      <c r="S2212" s="9">
        <f>IF(Q2212="","",IF(MATCH(R2212,$R$5:$R$100000,0)=ROW()-4,ROW(),""))</f>
        <v/>
      </c>
      <c r="T2212" s="9">
        <f>IF(Q2212="당기",ABS(P2212)+ROW()/1000000000,"")</f>
        <v/>
      </c>
      <c r="U2212" s="9">
        <f>IF(Q2212="비교",ABS(P2212)+ROW()/1000000000,"")</f>
        <v/>
      </c>
      <c r="V2212" s="64">
        <f>IF($A2212="","",IF(COUNTIF(변동분석!$E$7:$E$506,O2212)&gt;0,"Y","N"))</f>
        <v/>
      </c>
      <c r="W2212" s="64">
        <f>IF($A2212="","",IFERROR(INDEX(계정매핑!$D$5:$D$504,MATCH($F2212&amp;"",계정매핑!$A$5:$A$504,0)),"미매핑"))</f>
        <v/>
      </c>
      <c r="X2212" s="9">
        <f>IF($A2212="","",$F2212&amp;"")</f>
        <v/>
      </c>
      <c r="Y2212" s="94">
        <f>IF($A2212="",0,IF(AE2212="직접",IF(AF2212="비귀속",$P2212,0),$P2212*(1-AG2212)*IFERROR(INDEX(계정대체기준!$F$20:$F$49,MATCH($N2212,계정대체기준!$A$20:$A$49,0)),1)))</f>
        <v/>
      </c>
      <c r="Z2212" s="94">
        <f>IF($A2212="",0,IF(AE2212="직접",IF(AF2212="신계약비",$P2212,0),$P2212*(1-AG2212)*IFERROR(INDEX(계정대체기준!$C$20:$C$49,MATCH($N2212,계정대체기준!$A$20:$A$49,0)),0)))</f>
        <v/>
      </c>
      <c r="AA2212" s="94">
        <f>IF($A2212="",0,IF(AE2212="직접",IF(OR(AF2212="유지비",AF2212="손해조사비"),$P2212,0),$P2212*(1-AG2212)*IFERROR(INDEX(계정대체기준!$D$20:$D$49,MATCH($N2212,계정대체기준!$A$20:$A$49,0)),0)))</f>
        <v/>
      </c>
      <c r="AB2212" s="94">
        <f>IF($A2212="",0,IF(AE2212="직접",IF(AF2212="수금비",$P2212,0),$P2212*(1-AG2212)*IFERROR(INDEX(계정대체기준!$E$20:$E$49,MATCH($N2212,계정대체기준!$A$20:$A$49,0)),0)))</f>
        <v/>
      </c>
      <c r="AC2212" s="9">
        <f>IF(AND($A2212&lt;&gt;"",M2212=설정!$C$20,Z2212&gt;0),Z2212+ROW()/1000000000,"")</f>
        <v/>
      </c>
      <c r="AD2212" s="94">
        <f>IF($A2212="",0,$P2212*AG2212)</f>
        <v/>
      </c>
      <c r="AE2212" s="64">
        <f>IF($A2212="","",IFERROR(INDEX(계정매핑!$E$5:$E$504,MATCH($F2212&amp;"",계정매핑!$A$5:$A$504,0))&amp;"","공통비"))</f>
        <v/>
      </c>
      <c r="AF2212" s="64">
        <f>IF($A2212="","",IF(AE2212="직접",IFERROR(INDEX(계정매핑!$F$5:$F$504,MATCH($F2212&amp;"",계정매핑!$A$5:$A$504,0))&amp;"","비귀속"),""))</f>
        <v/>
      </c>
      <c r="AG2212" s="96">
        <f>IF($A2212="",0,IF(AND(AE2212&lt;&gt;"직접",IFERROR(INDEX(계정매핑!$G$5:$G$504,MATCH($F2212&amp;"",계정매핑!$A$5:$A$504,0))&amp;"","")="유지비",COUNTIF(계정대체기준!$A$6:$A$15,$N2212)&gt;0),IFERROR(INDEX(계정대체기준!$E$6:$E$15,MATCH(VALUE($A2212&amp;""),계정대체기준!$D$6:$D$15,0)),0),0))</f>
        <v/>
      </c>
      <c r="AH2212" s="64">
        <f>IF($A2212="","",IF(AD2212=0,"",IF(OR(COUNTIF(계정대체기준!$A$77:$A$86,$N2212)&gt;0,ISNUMBER(MATCH($X2212,계정대체기준!$D$77:$D$86,0)),ISNUMBER(MATCH($F2212,계정대체기준!$D$77:$D$86,0))),"Y","N")))</f>
        <v/>
      </c>
    </row>
    <row r="2213">
      <c r="A2213" s="92" t="n">
        <v>2025</v>
      </c>
      <c r="B2213" s="92" t="n">
        <v>10</v>
      </c>
      <c r="C2213" s="92" t="inlineStr">
        <is>
          <t>5100002209</t>
        </is>
      </c>
      <c r="D2213" s="95" t="n">
        <v>45952</v>
      </c>
      <c r="E2213" s="92" t="inlineStr">
        <is>
          <t>KR</t>
        </is>
      </c>
      <c r="F2213" s="92" t="n">
        <v>62101000</v>
      </c>
      <c r="G2213" s="92" t="n">
        <v>1951</v>
      </c>
      <c r="H2213" s="93" t="n">
        <v>522000</v>
      </c>
      <c r="I2213" s="92" t="inlineStr">
        <is>
          <t>10월 국내출장 - (법인카드)</t>
        </is>
      </c>
      <c r="J2213" s="92" t="inlineStr">
        <is>
          <t>V10010</t>
        </is>
      </c>
      <c r="K2213" s="92" t="inlineStr">
        <is>
          <t>(법인카드)</t>
        </is>
      </c>
      <c r="M2213" s="9">
        <f>IF($A2213="","",VALUE($A2213&amp;"")*12+VALUE($B2213&amp;""))</f>
        <v/>
      </c>
      <c r="N2213" s="64">
        <f>IF($A2213="","",IFERROR(INDEX(부서매핑!$C$5:$C$504,MATCH($G2213&amp;"",부서매핑!$A$5:$A$504,0)),"미매핑"))</f>
        <v/>
      </c>
      <c r="O2213" s="9">
        <f>IF($A2213="","",N2213&amp;"|"&amp;$F2213)</f>
        <v/>
      </c>
      <c r="P2213" s="94">
        <f>IF($A2213="",0,$H2213*설정!$C$23)</f>
        <v/>
      </c>
      <c r="Q2213" s="64">
        <f>IF($A2213="","",IF(O2213&lt;&gt;원인분석!$C$9,"",IF(AND(M2213&gt;=원인분석!$C$10,M2213&lt;=원인분석!$C$11),"당기",IF(AND(M2213&gt;=원인분석!$C$12,M2213&lt;=원인분석!$C$13),"비교",""))))</f>
        <v/>
      </c>
      <c r="R2213" s="9">
        <f>IF(Q2213="","",$K2213&amp;"")</f>
        <v/>
      </c>
      <c r="S2213" s="9">
        <f>IF(Q2213="","",IF(MATCH(R2213,$R$5:$R$100000,0)=ROW()-4,ROW(),""))</f>
        <v/>
      </c>
      <c r="T2213" s="9">
        <f>IF(Q2213="당기",ABS(P2213)+ROW()/1000000000,"")</f>
        <v/>
      </c>
      <c r="U2213" s="9">
        <f>IF(Q2213="비교",ABS(P2213)+ROW()/1000000000,"")</f>
        <v/>
      </c>
      <c r="V2213" s="64">
        <f>IF($A2213="","",IF(COUNTIF(변동분석!$E$7:$E$506,O2213)&gt;0,"Y","N"))</f>
        <v/>
      </c>
      <c r="W2213" s="64">
        <f>IF($A2213="","",IFERROR(INDEX(계정매핑!$D$5:$D$504,MATCH($F2213&amp;"",계정매핑!$A$5:$A$504,0)),"미매핑"))</f>
        <v/>
      </c>
      <c r="X2213" s="9">
        <f>IF($A2213="","",$F2213&amp;"")</f>
        <v/>
      </c>
      <c r="Y2213" s="94">
        <f>IF($A2213="",0,IF(AE2213="직접",IF(AF2213="비귀속",$P2213,0),$P2213*(1-AG2213)*IFERROR(INDEX(계정대체기준!$F$20:$F$49,MATCH($N2213,계정대체기준!$A$20:$A$49,0)),1)))</f>
        <v/>
      </c>
      <c r="Z2213" s="94">
        <f>IF($A2213="",0,IF(AE2213="직접",IF(AF2213="신계약비",$P2213,0),$P2213*(1-AG2213)*IFERROR(INDEX(계정대체기준!$C$20:$C$49,MATCH($N2213,계정대체기준!$A$20:$A$49,0)),0)))</f>
        <v/>
      </c>
      <c r="AA2213" s="94">
        <f>IF($A2213="",0,IF(AE2213="직접",IF(OR(AF2213="유지비",AF2213="손해조사비"),$P2213,0),$P2213*(1-AG2213)*IFERROR(INDEX(계정대체기준!$D$20:$D$49,MATCH($N2213,계정대체기준!$A$20:$A$49,0)),0)))</f>
        <v/>
      </c>
      <c r="AB2213" s="94">
        <f>IF($A2213="",0,IF(AE2213="직접",IF(AF2213="수금비",$P2213,0),$P2213*(1-AG2213)*IFERROR(INDEX(계정대체기준!$E$20:$E$49,MATCH($N2213,계정대체기준!$A$20:$A$49,0)),0)))</f>
        <v/>
      </c>
      <c r="AC2213" s="9">
        <f>IF(AND($A2213&lt;&gt;"",M2213=설정!$C$20,Z2213&gt;0),Z2213+ROW()/1000000000,"")</f>
        <v/>
      </c>
      <c r="AD2213" s="94">
        <f>IF($A2213="",0,$P2213*AG2213)</f>
        <v/>
      </c>
      <c r="AE2213" s="64">
        <f>IF($A2213="","",IFERROR(INDEX(계정매핑!$E$5:$E$504,MATCH($F2213&amp;"",계정매핑!$A$5:$A$504,0))&amp;"","공통비"))</f>
        <v/>
      </c>
      <c r="AF2213" s="64">
        <f>IF($A2213="","",IF(AE2213="직접",IFERROR(INDEX(계정매핑!$F$5:$F$504,MATCH($F2213&amp;"",계정매핑!$A$5:$A$504,0))&amp;"","비귀속"),""))</f>
        <v/>
      </c>
      <c r="AG2213" s="96">
        <f>IF($A2213="",0,IF(AND(AE2213&lt;&gt;"직접",IFERROR(INDEX(계정매핑!$G$5:$G$504,MATCH($F2213&amp;"",계정매핑!$A$5:$A$504,0))&amp;"","")="유지비",COUNTIF(계정대체기준!$A$6:$A$15,$N2213)&gt;0),IFERROR(INDEX(계정대체기준!$E$6:$E$15,MATCH(VALUE($A2213&amp;""),계정대체기준!$D$6:$D$15,0)),0),0))</f>
        <v/>
      </c>
      <c r="AH2213" s="64">
        <f>IF($A2213="","",IF(AD2213=0,"",IF(OR(COUNTIF(계정대체기준!$A$77:$A$86,$N2213)&gt;0,ISNUMBER(MATCH($X2213,계정대체기준!$D$77:$D$86,0)),ISNUMBER(MATCH($F2213,계정대체기준!$D$77:$D$86,0))),"Y","N")))</f>
        <v/>
      </c>
    </row>
    <row r="2214">
      <c r="A2214" s="92" t="n">
        <v>2025</v>
      </c>
      <c r="B2214" s="92" t="n">
        <v>10</v>
      </c>
      <c r="C2214" s="92" t="inlineStr">
        <is>
          <t>5100002210</t>
        </is>
      </c>
      <c r="D2214" s="95" t="n">
        <v>45952</v>
      </c>
      <c r="E2214" s="92" t="inlineStr">
        <is>
          <t>KR</t>
        </is>
      </c>
      <c r="F2214" s="92" t="n">
        <v>62102000</v>
      </c>
      <c r="G2214" s="92" t="n">
        <v>1602</v>
      </c>
      <c r="H2214" s="93" t="n">
        <v>196000</v>
      </c>
      <c r="I2214" s="92" t="inlineStr">
        <is>
          <t>10월 해외출장 - M항공</t>
        </is>
      </c>
      <c r="J2214" s="92" t="inlineStr">
        <is>
          <t>V10001</t>
        </is>
      </c>
      <c r="K2214" s="92" t="inlineStr">
        <is>
          <t>M항공</t>
        </is>
      </c>
      <c r="M2214" s="9">
        <f>IF($A2214="","",VALUE($A2214&amp;"")*12+VALUE($B2214&amp;""))</f>
        <v/>
      </c>
      <c r="N2214" s="64">
        <f>IF($A2214="","",IFERROR(INDEX(부서매핑!$C$5:$C$504,MATCH($G2214&amp;"",부서매핑!$A$5:$A$504,0)),"미매핑"))</f>
        <v/>
      </c>
      <c r="O2214" s="9">
        <f>IF($A2214="","",N2214&amp;"|"&amp;$F2214)</f>
        <v/>
      </c>
      <c r="P2214" s="94">
        <f>IF($A2214="",0,$H2214*설정!$C$23)</f>
        <v/>
      </c>
      <c r="Q2214" s="64">
        <f>IF($A2214="","",IF(O2214&lt;&gt;원인분석!$C$9,"",IF(AND(M2214&gt;=원인분석!$C$10,M2214&lt;=원인분석!$C$11),"당기",IF(AND(M2214&gt;=원인분석!$C$12,M2214&lt;=원인분석!$C$13),"비교",""))))</f>
        <v/>
      </c>
      <c r="R2214" s="9">
        <f>IF(Q2214="","",$K2214&amp;"")</f>
        <v/>
      </c>
      <c r="S2214" s="9">
        <f>IF(Q2214="","",IF(MATCH(R2214,$R$5:$R$100000,0)=ROW()-4,ROW(),""))</f>
        <v/>
      </c>
      <c r="T2214" s="9">
        <f>IF(Q2214="당기",ABS(P2214)+ROW()/1000000000,"")</f>
        <v/>
      </c>
      <c r="U2214" s="9">
        <f>IF(Q2214="비교",ABS(P2214)+ROW()/1000000000,"")</f>
        <v/>
      </c>
      <c r="V2214" s="64">
        <f>IF($A2214="","",IF(COUNTIF(변동분석!$E$7:$E$506,O2214)&gt;0,"Y","N"))</f>
        <v/>
      </c>
      <c r="W2214" s="64">
        <f>IF($A2214="","",IFERROR(INDEX(계정매핑!$D$5:$D$504,MATCH($F2214&amp;"",계정매핑!$A$5:$A$504,0)),"미매핑"))</f>
        <v/>
      </c>
      <c r="X2214" s="9">
        <f>IF($A2214="","",$F2214&amp;"")</f>
        <v/>
      </c>
      <c r="Y2214" s="94">
        <f>IF($A2214="",0,IF(AE2214="직접",IF(AF2214="비귀속",$P2214,0),$P2214*(1-AG2214)*IFERROR(INDEX(계정대체기준!$F$20:$F$49,MATCH($N2214,계정대체기준!$A$20:$A$49,0)),1)))</f>
        <v/>
      </c>
      <c r="Z2214" s="94">
        <f>IF($A2214="",0,IF(AE2214="직접",IF(AF2214="신계약비",$P2214,0),$P2214*(1-AG2214)*IFERROR(INDEX(계정대체기준!$C$20:$C$49,MATCH($N2214,계정대체기준!$A$20:$A$49,0)),0)))</f>
        <v/>
      </c>
      <c r="AA2214" s="94">
        <f>IF($A2214="",0,IF(AE2214="직접",IF(OR(AF2214="유지비",AF2214="손해조사비"),$P2214,0),$P2214*(1-AG2214)*IFERROR(INDEX(계정대체기준!$D$20:$D$49,MATCH($N2214,계정대체기준!$A$20:$A$49,0)),0)))</f>
        <v/>
      </c>
      <c r="AB2214" s="94">
        <f>IF($A2214="",0,IF(AE2214="직접",IF(AF2214="수금비",$P2214,0),$P2214*(1-AG2214)*IFERROR(INDEX(계정대체기준!$E$20:$E$49,MATCH($N2214,계정대체기준!$A$20:$A$49,0)),0)))</f>
        <v/>
      </c>
      <c r="AC2214" s="9">
        <f>IF(AND($A2214&lt;&gt;"",M2214=설정!$C$20,Z2214&gt;0),Z2214+ROW()/1000000000,"")</f>
        <v/>
      </c>
      <c r="AD2214" s="94">
        <f>IF($A2214="",0,$P2214*AG2214)</f>
        <v/>
      </c>
      <c r="AE2214" s="64">
        <f>IF($A2214="","",IFERROR(INDEX(계정매핑!$E$5:$E$504,MATCH($F2214&amp;"",계정매핑!$A$5:$A$504,0))&amp;"","공통비"))</f>
        <v/>
      </c>
      <c r="AF2214" s="64">
        <f>IF($A2214="","",IF(AE2214="직접",IFERROR(INDEX(계정매핑!$F$5:$F$504,MATCH($F2214&amp;"",계정매핑!$A$5:$A$504,0))&amp;"","비귀속"),""))</f>
        <v/>
      </c>
      <c r="AG2214" s="96">
        <f>IF($A2214="",0,IF(AND(AE2214&lt;&gt;"직접",IFERROR(INDEX(계정매핑!$G$5:$G$504,MATCH($F2214&amp;"",계정매핑!$A$5:$A$504,0))&amp;"","")="유지비",COUNTIF(계정대체기준!$A$6:$A$15,$N2214)&gt;0),IFERROR(INDEX(계정대체기준!$E$6:$E$15,MATCH(VALUE($A2214&amp;""),계정대체기준!$D$6:$D$15,0)),0),0))</f>
        <v/>
      </c>
      <c r="AH2214" s="64">
        <f>IF($A2214="","",IF(AD2214=0,"",IF(OR(COUNTIF(계정대체기준!$A$77:$A$86,$N2214)&gt;0,ISNUMBER(MATCH($X2214,계정대체기준!$D$77:$D$86,0)),ISNUMBER(MATCH($F2214,계정대체기준!$D$77:$D$86,0))),"Y","N")))</f>
        <v/>
      </c>
    </row>
    <row r="2215">
      <c r="A2215" s="92" t="n">
        <v>2025</v>
      </c>
      <c r="B2215" s="92" t="n">
        <v>10</v>
      </c>
      <c r="C2215" s="92" t="inlineStr">
        <is>
          <t>5100002211</t>
        </is>
      </c>
      <c r="D2215" s="95" t="n">
        <v>45952</v>
      </c>
      <c r="E2215" s="92" t="inlineStr">
        <is>
          <t>KR</t>
        </is>
      </c>
      <c r="F2215" s="92" t="n">
        <v>62301000</v>
      </c>
      <c r="G2215" s="92" t="n">
        <v>1101</v>
      </c>
      <c r="H2215" s="93" t="n">
        <v>113000</v>
      </c>
      <c r="I2215" s="92" t="inlineStr">
        <is>
          <t>10월 소모품 구입 - R문구</t>
        </is>
      </c>
      <c r="J2215" s="92" t="inlineStr">
        <is>
          <t>V10022</t>
        </is>
      </c>
      <c r="K2215" s="92" t="inlineStr">
        <is>
          <t>R문구</t>
        </is>
      </c>
      <c r="M2215" s="9">
        <f>IF($A2215="","",VALUE($A2215&amp;"")*12+VALUE($B2215&amp;""))</f>
        <v/>
      </c>
      <c r="N2215" s="64">
        <f>IF($A2215="","",IFERROR(INDEX(부서매핑!$C$5:$C$504,MATCH($G2215&amp;"",부서매핑!$A$5:$A$504,0)),"미매핑"))</f>
        <v/>
      </c>
      <c r="O2215" s="9">
        <f>IF($A2215="","",N2215&amp;"|"&amp;$F2215)</f>
        <v/>
      </c>
      <c r="P2215" s="94">
        <f>IF($A2215="",0,$H2215*설정!$C$23)</f>
        <v/>
      </c>
      <c r="Q2215" s="64">
        <f>IF($A2215="","",IF(O2215&lt;&gt;원인분석!$C$9,"",IF(AND(M2215&gt;=원인분석!$C$10,M2215&lt;=원인분석!$C$11),"당기",IF(AND(M2215&gt;=원인분석!$C$12,M2215&lt;=원인분석!$C$13),"비교",""))))</f>
        <v/>
      </c>
      <c r="R2215" s="9">
        <f>IF(Q2215="","",$K2215&amp;"")</f>
        <v/>
      </c>
      <c r="S2215" s="9">
        <f>IF(Q2215="","",IF(MATCH(R2215,$R$5:$R$100000,0)=ROW()-4,ROW(),""))</f>
        <v/>
      </c>
      <c r="T2215" s="9">
        <f>IF(Q2215="당기",ABS(P2215)+ROW()/1000000000,"")</f>
        <v/>
      </c>
      <c r="U2215" s="9">
        <f>IF(Q2215="비교",ABS(P2215)+ROW()/1000000000,"")</f>
        <v/>
      </c>
      <c r="V2215" s="64">
        <f>IF($A2215="","",IF(COUNTIF(변동분석!$E$7:$E$506,O2215)&gt;0,"Y","N"))</f>
        <v/>
      </c>
      <c r="W2215" s="64">
        <f>IF($A2215="","",IFERROR(INDEX(계정매핑!$D$5:$D$504,MATCH($F2215&amp;"",계정매핑!$A$5:$A$504,0)),"미매핑"))</f>
        <v/>
      </c>
      <c r="X2215" s="9">
        <f>IF($A2215="","",$F2215&amp;"")</f>
        <v/>
      </c>
      <c r="Y2215" s="94">
        <f>IF($A2215="",0,IF(AE2215="직접",IF(AF2215="비귀속",$P2215,0),$P2215*(1-AG2215)*IFERROR(INDEX(계정대체기준!$F$20:$F$49,MATCH($N2215,계정대체기준!$A$20:$A$49,0)),1)))</f>
        <v/>
      </c>
      <c r="Z2215" s="94">
        <f>IF($A2215="",0,IF(AE2215="직접",IF(AF2215="신계약비",$P2215,0),$P2215*(1-AG2215)*IFERROR(INDEX(계정대체기준!$C$20:$C$49,MATCH($N2215,계정대체기준!$A$20:$A$49,0)),0)))</f>
        <v/>
      </c>
      <c r="AA2215" s="94">
        <f>IF($A2215="",0,IF(AE2215="직접",IF(OR(AF2215="유지비",AF2215="손해조사비"),$P2215,0),$P2215*(1-AG2215)*IFERROR(INDEX(계정대체기준!$D$20:$D$49,MATCH($N2215,계정대체기준!$A$20:$A$49,0)),0)))</f>
        <v/>
      </c>
      <c r="AB2215" s="94">
        <f>IF($A2215="",0,IF(AE2215="직접",IF(AF2215="수금비",$P2215,0),$P2215*(1-AG2215)*IFERROR(INDEX(계정대체기준!$E$20:$E$49,MATCH($N2215,계정대체기준!$A$20:$A$49,0)),0)))</f>
        <v/>
      </c>
      <c r="AC2215" s="9">
        <f>IF(AND($A2215&lt;&gt;"",M2215=설정!$C$20,Z2215&gt;0),Z2215+ROW()/1000000000,"")</f>
        <v/>
      </c>
      <c r="AD2215" s="94">
        <f>IF($A2215="",0,$P2215*AG2215)</f>
        <v/>
      </c>
      <c r="AE2215" s="64">
        <f>IF($A2215="","",IFERROR(INDEX(계정매핑!$E$5:$E$504,MATCH($F2215&amp;"",계정매핑!$A$5:$A$504,0))&amp;"","공통비"))</f>
        <v/>
      </c>
      <c r="AF2215" s="64">
        <f>IF($A2215="","",IF(AE2215="직접",IFERROR(INDEX(계정매핑!$F$5:$F$504,MATCH($F2215&amp;"",계정매핑!$A$5:$A$504,0))&amp;"","비귀속"),""))</f>
        <v/>
      </c>
      <c r="AG2215" s="96">
        <f>IF($A2215="",0,IF(AND(AE2215&lt;&gt;"직접",IFERROR(INDEX(계정매핑!$G$5:$G$504,MATCH($F2215&amp;"",계정매핑!$A$5:$A$504,0))&amp;"","")="유지비",COUNTIF(계정대체기준!$A$6:$A$15,$N2215)&gt;0),IFERROR(INDEX(계정대체기준!$E$6:$E$15,MATCH(VALUE($A2215&amp;""),계정대체기준!$D$6:$D$15,0)),0),0))</f>
        <v/>
      </c>
      <c r="AH2215" s="64">
        <f>IF($A2215="","",IF(AD2215=0,"",IF(OR(COUNTIF(계정대체기준!$A$77:$A$86,$N2215)&gt;0,ISNUMBER(MATCH($X2215,계정대체기준!$D$77:$D$86,0)),ISNUMBER(MATCH($F2215,계정대체기준!$D$77:$D$86,0))),"Y","N")))</f>
        <v/>
      </c>
    </row>
    <row r="2216">
      <c r="A2216" s="92" t="n">
        <v>2025</v>
      </c>
      <c r="B2216" s="92" t="n">
        <v>10</v>
      </c>
      <c r="C2216" s="92" t="inlineStr">
        <is>
          <t>5100002212</t>
        </is>
      </c>
      <c r="D2216" s="95" t="n">
        <v>45952</v>
      </c>
      <c r="E2216" s="92" t="inlineStr">
        <is>
          <t>KR</t>
        </is>
      </c>
      <c r="F2216" s="92" t="n">
        <v>62401000</v>
      </c>
      <c r="G2216" s="92" t="n">
        <v>1501</v>
      </c>
      <c r="H2216" s="93" t="n">
        <v>2000000</v>
      </c>
      <c r="I2216" s="92" t="inlineStr">
        <is>
          <t>10월 인쇄물 제작 - S출판</t>
        </is>
      </c>
      <c r="J2216" s="92" t="inlineStr">
        <is>
          <t>V10015</t>
        </is>
      </c>
      <c r="K2216" s="92" t="inlineStr">
        <is>
          <t>S출판</t>
        </is>
      </c>
      <c r="M2216" s="9">
        <f>IF($A2216="","",VALUE($A2216&amp;"")*12+VALUE($B2216&amp;""))</f>
        <v/>
      </c>
      <c r="N2216" s="64">
        <f>IF($A2216="","",IFERROR(INDEX(부서매핑!$C$5:$C$504,MATCH($G2216&amp;"",부서매핑!$A$5:$A$504,0)),"미매핑"))</f>
        <v/>
      </c>
      <c r="O2216" s="9">
        <f>IF($A2216="","",N2216&amp;"|"&amp;$F2216)</f>
        <v/>
      </c>
      <c r="P2216" s="94">
        <f>IF($A2216="",0,$H2216*설정!$C$23)</f>
        <v/>
      </c>
      <c r="Q2216" s="64">
        <f>IF($A2216="","",IF(O2216&lt;&gt;원인분석!$C$9,"",IF(AND(M2216&gt;=원인분석!$C$10,M2216&lt;=원인분석!$C$11),"당기",IF(AND(M2216&gt;=원인분석!$C$12,M2216&lt;=원인분석!$C$13),"비교",""))))</f>
        <v/>
      </c>
      <c r="R2216" s="9">
        <f>IF(Q2216="","",$K2216&amp;"")</f>
        <v/>
      </c>
      <c r="S2216" s="9">
        <f>IF(Q2216="","",IF(MATCH(R2216,$R$5:$R$100000,0)=ROW()-4,ROW(),""))</f>
        <v/>
      </c>
      <c r="T2216" s="9">
        <f>IF(Q2216="당기",ABS(P2216)+ROW()/1000000000,"")</f>
        <v/>
      </c>
      <c r="U2216" s="9">
        <f>IF(Q2216="비교",ABS(P2216)+ROW()/1000000000,"")</f>
        <v/>
      </c>
      <c r="V2216" s="64">
        <f>IF($A2216="","",IF(COUNTIF(변동분석!$E$7:$E$506,O2216)&gt;0,"Y","N"))</f>
        <v/>
      </c>
      <c r="W2216" s="64">
        <f>IF($A2216="","",IFERROR(INDEX(계정매핑!$D$5:$D$504,MATCH($F2216&amp;"",계정매핑!$A$5:$A$504,0)),"미매핑"))</f>
        <v/>
      </c>
      <c r="X2216" s="9">
        <f>IF($A2216="","",$F2216&amp;"")</f>
        <v/>
      </c>
      <c r="Y2216" s="94">
        <f>IF($A2216="",0,IF(AE2216="직접",IF(AF2216="비귀속",$P2216,0),$P2216*(1-AG2216)*IFERROR(INDEX(계정대체기준!$F$20:$F$49,MATCH($N2216,계정대체기준!$A$20:$A$49,0)),1)))</f>
        <v/>
      </c>
      <c r="Z2216" s="94">
        <f>IF($A2216="",0,IF(AE2216="직접",IF(AF2216="신계약비",$P2216,0),$P2216*(1-AG2216)*IFERROR(INDEX(계정대체기준!$C$20:$C$49,MATCH($N2216,계정대체기준!$A$20:$A$49,0)),0)))</f>
        <v/>
      </c>
      <c r="AA2216" s="94">
        <f>IF($A2216="",0,IF(AE2216="직접",IF(OR(AF2216="유지비",AF2216="손해조사비"),$P2216,0),$P2216*(1-AG2216)*IFERROR(INDEX(계정대체기준!$D$20:$D$49,MATCH($N2216,계정대체기준!$A$20:$A$49,0)),0)))</f>
        <v/>
      </c>
      <c r="AB2216" s="94">
        <f>IF($A2216="",0,IF(AE2216="직접",IF(AF2216="수금비",$P2216,0),$P2216*(1-AG2216)*IFERROR(INDEX(계정대체기준!$E$20:$E$49,MATCH($N2216,계정대체기준!$A$20:$A$49,0)),0)))</f>
        <v/>
      </c>
      <c r="AC2216" s="9">
        <f>IF(AND($A2216&lt;&gt;"",M2216=설정!$C$20,Z2216&gt;0),Z2216+ROW()/1000000000,"")</f>
        <v/>
      </c>
      <c r="AD2216" s="94">
        <f>IF($A2216="",0,$P2216*AG2216)</f>
        <v/>
      </c>
      <c r="AE2216" s="64">
        <f>IF($A2216="","",IFERROR(INDEX(계정매핑!$E$5:$E$504,MATCH($F2216&amp;"",계정매핑!$A$5:$A$504,0))&amp;"","공통비"))</f>
        <v/>
      </c>
      <c r="AF2216" s="64">
        <f>IF($A2216="","",IF(AE2216="직접",IFERROR(INDEX(계정매핑!$F$5:$F$504,MATCH($F2216&amp;"",계정매핑!$A$5:$A$504,0))&amp;"","비귀속"),""))</f>
        <v/>
      </c>
      <c r="AG2216" s="96">
        <f>IF($A2216="",0,IF(AND(AE2216&lt;&gt;"직접",IFERROR(INDEX(계정매핑!$G$5:$G$504,MATCH($F2216&amp;"",계정매핑!$A$5:$A$504,0))&amp;"","")="유지비",COUNTIF(계정대체기준!$A$6:$A$15,$N2216)&gt;0),IFERROR(INDEX(계정대체기준!$E$6:$E$15,MATCH(VALUE($A2216&amp;""),계정대체기준!$D$6:$D$15,0)),0),0))</f>
        <v/>
      </c>
      <c r="AH2216" s="64">
        <f>IF($A2216="","",IF(AD2216=0,"",IF(OR(COUNTIF(계정대체기준!$A$77:$A$86,$N2216)&gt;0,ISNUMBER(MATCH($X2216,계정대체기준!$D$77:$D$86,0)),ISNUMBER(MATCH($F2216,계정대체기준!$D$77:$D$86,0))),"Y","N")))</f>
        <v/>
      </c>
    </row>
    <row r="2217">
      <c r="A2217" s="92" t="n">
        <v>2025</v>
      </c>
      <c r="B2217" s="92" t="n">
        <v>10</v>
      </c>
      <c r="C2217" s="92" t="inlineStr">
        <is>
          <t>5100002213</t>
        </is>
      </c>
      <c r="D2217" s="95" t="n">
        <v>45952</v>
      </c>
      <c r="E2217" s="92" t="inlineStr">
        <is>
          <t>KR</t>
        </is>
      </c>
      <c r="F2217" s="92" t="n">
        <v>62501000</v>
      </c>
      <c r="G2217" s="92" t="n">
        <v>1301</v>
      </c>
      <c r="H2217" s="93" t="n">
        <v>206000</v>
      </c>
      <c r="I2217" s="92" t="inlineStr">
        <is>
          <t>10월 회의 다과 - (법인카드)</t>
        </is>
      </c>
      <c r="J2217" s="92" t="inlineStr">
        <is>
          <t>V10010</t>
        </is>
      </c>
      <c r="K2217" s="92" t="inlineStr">
        <is>
          <t>(법인카드)</t>
        </is>
      </c>
      <c r="M2217" s="9">
        <f>IF($A2217="","",VALUE($A2217&amp;"")*12+VALUE($B2217&amp;""))</f>
        <v/>
      </c>
      <c r="N2217" s="64">
        <f>IF($A2217="","",IFERROR(INDEX(부서매핑!$C$5:$C$504,MATCH($G2217&amp;"",부서매핑!$A$5:$A$504,0)),"미매핑"))</f>
        <v/>
      </c>
      <c r="O2217" s="9">
        <f>IF($A2217="","",N2217&amp;"|"&amp;$F2217)</f>
        <v/>
      </c>
      <c r="P2217" s="94">
        <f>IF($A2217="",0,$H2217*설정!$C$23)</f>
        <v/>
      </c>
      <c r="Q2217" s="64">
        <f>IF($A2217="","",IF(O2217&lt;&gt;원인분석!$C$9,"",IF(AND(M2217&gt;=원인분석!$C$10,M2217&lt;=원인분석!$C$11),"당기",IF(AND(M2217&gt;=원인분석!$C$12,M2217&lt;=원인분석!$C$13),"비교",""))))</f>
        <v/>
      </c>
      <c r="R2217" s="9">
        <f>IF(Q2217="","",$K2217&amp;"")</f>
        <v/>
      </c>
      <c r="S2217" s="9">
        <f>IF(Q2217="","",IF(MATCH(R2217,$R$5:$R$100000,0)=ROW()-4,ROW(),""))</f>
        <v/>
      </c>
      <c r="T2217" s="9">
        <f>IF(Q2217="당기",ABS(P2217)+ROW()/1000000000,"")</f>
        <v/>
      </c>
      <c r="U2217" s="9">
        <f>IF(Q2217="비교",ABS(P2217)+ROW()/1000000000,"")</f>
        <v/>
      </c>
      <c r="V2217" s="64">
        <f>IF($A2217="","",IF(COUNTIF(변동분석!$E$7:$E$506,O2217)&gt;0,"Y","N"))</f>
        <v/>
      </c>
      <c r="W2217" s="64">
        <f>IF($A2217="","",IFERROR(INDEX(계정매핑!$D$5:$D$504,MATCH($F2217&amp;"",계정매핑!$A$5:$A$504,0)),"미매핑"))</f>
        <v/>
      </c>
      <c r="X2217" s="9">
        <f>IF($A2217="","",$F2217&amp;"")</f>
        <v/>
      </c>
      <c r="Y2217" s="94">
        <f>IF($A2217="",0,IF(AE2217="직접",IF(AF2217="비귀속",$P2217,0),$P2217*(1-AG2217)*IFERROR(INDEX(계정대체기준!$F$20:$F$49,MATCH($N2217,계정대체기준!$A$20:$A$49,0)),1)))</f>
        <v/>
      </c>
      <c r="Z2217" s="94">
        <f>IF($A2217="",0,IF(AE2217="직접",IF(AF2217="신계약비",$P2217,0),$P2217*(1-AG2217)*IFERROR(INDEX(계정대체기준!$C$20:$C$49,MATCH($N2217,계정대체기준!$A$20:$A$49,0)),0)))</f>
        <v/>
      </c>
      <c r="AA2217" s="94">
        <f>IF($A2217="",0,IF(AE2217="직접",IF(OR(AF2217="유지비",AF2217="손해조사비"),$P2217,0),$P2217*(1-AG2217)*IFERROR(INDEX(계정대체기준!$D$20:$D$49,MATCH($N2217,계정대체기준!$A$20:$A$49,0)),0)))</f>
        <v/>
      </c>
      <c r="AB2217" s="94">
        <f>IF($A2217="",0,IF(AE2217="직접",IF(AF2217="수금비",$P2217,0),$P2217*(1-AG2217)*IFERROR(INDEX(계정대체기준!$E$20:$E$49,MATCH($N2217,계정대체기준!$A$20:$A$49,0)),0)))</f>
        <v/>
      </c>
      <c r="AC2217" s="9">
        <f>IF(AND($A2217&lt;&gt;"",M2217=설정!$C$20,Z2217&gt;0),Z2217+ROW()/1000000000,"")</f>
        <v/>
      </c>
      <c r="AD2217" s="94">
        <f>IF($A2217="",0,$P2217*AG2217)</f>
        <v/>
      </c>
      <c r="AE2217" s="64">
        <f>IF($A2217="","",IFERROR(INDEX(계정매핑!$E$5:$E$504,MATCH($F2217&amp;"",계정매핑!$A$5:$A$504,0))&amp;"","공통비"))</f>
        <v/>
      </c>
      <c r="AF2217" s="64">
        <f>IF($A2217="","",IF(AE2217="직접",IFERROR(INDEX(계정매핑!$F$5:$F$504,MATCH($F2217&amp;"",계정매핑!$A$5:$A$504,0))&amp;"","비귀속"),""))</f>
        <v/>
      </c>
      <c r="AG2217" s="96">
        <f>IF($A2217="",0,IF(AND(AE2217&lt;&gt;"직접",IFERROR(INDEX(계정매핑!$G$5:$G$504,MATCH($F2217&amp;"",계정매핑!$A$5:$A$504,0))&amp;"","")="유지비",COUNTIF(계정대체기준!$A$6:$A$15,$N2217)&gt;0),IFERROR(INDEX(계정대체기준!$E$6:$E$15,MATCH(VALUE($A2217&amp;""),계정대체기준!$D$6:$D$15,0)),0),0))</f>
        <v/>
      </c>
      <c r="AH2217" s="64">
        <f>IF($A2217="","",IF(AD2217=0,"",IF(OR(COUNTIF(계정대체기준!$A$77:$A$86,$N2217)&gt;0,ISNUMBER(MATCH($X2217,계정대체기준!$D$77:$D$86,0)),ISNUMBER(MATCH($F2217,계정대체기준!$D$77:$D$86,0))),"Y","N")))</f>
        <v/>
      </c>
    </row>
    <row r="2218">
      <c r="A2218" s="92" t="n">
        <v>2025</v>
      </c>
      <c r="B2218" s="92" t="n">
        <v>10</v>
      </c>
      <c r="C2218" s="92" t="inlineStr">
        <is>
          <t>5100002214</t>
        </is>
      </c>
      <c r="D2218" s="95" t="n">
        <v>45952</v>
      </c>
      <c r="E2218" s="92" t="inlineStr">
        <is>
          <t>KR</t>
        </is>
      </c>
      <c r="F2218" s="92" t="n">
        <v>62802000</v>
      </c>
      <c r="G2218" s="92" t="n">
        <v>1301</v>
      </c>
      <c r="H2218" s="93" t="n">
        <v>3868000</v>
      </c>
      <c r="I2218" s="92" t="inlineStr">
        <is>
          <t>10월 위탁교육 - I교육원</t>
        </is>
      </c>
      <c r="J2218" s="92" t="inlineStr">
        <is>
          <t>V10019</t>
        </is>
      </c>
      <c r="K2218" s="92" t="inlineStr">
        <is>
          <t>I교육원</t>
        </is>
      </c>
      <c r="M2218" s="9">
        <f>IF($A2218="","",VALUE($A2218&amp;"")*12+VALUE($B2218&amp;""))</f>
        <v/>
      </c>
      <c r="N2218" s="64">
        <f>IF($A2218="","",IFERROR(INDEX(부서매핑!$C$5:$C$504,MATCH($G2218&amp;"",부서매핑!$A$5:$A$504,0)),"미매핑"))</f>
        <v/>
      </c>
      <c r="O2218" s="9">
        <f>IF($A2218="","",N2218&amp;"|"&amp;$F2218)</f>
        <v/>
      </c>
      <c r="P2218" s="94">
        <f>IF($A2218="",0,$H2218*설정!$C$23)</f>
        <v/>
      </c>
      <c r="Q2218" s="64">
        <f>IF($A2218="","",IF(O2218&lt;&gt;원인분석!$C$9,"",IF(AND(M2218&gt;=원인분석!$C$10,M2218&lt;=원인분석!$C$11),"당기",IF(AND(M2218&gt;=원인분석!$C$12,M2218&lt;=원인분석!$C$13),"비교",""))))</f>
        <v/>
      </c>
      <c r="R2218" s="9">
        <f>IF(Q2218="","",$K2218&amp;"")</f>
        <v/>
      </c>
      <c r="S2218" s="9">
        <f>IF(Q2218="","",IF(MATCH(R2218,$R$5:$R$100000,0)=ROW()-4,ROW(),""))</f>
        <v/>
      </c>
      <c r="T2218" s="9">
        <f>IF(Q2218="당기",ABS(P2218)+ROW()/1000000000,"")</f>
        <v/>
      </c>
      <c r="U2218" s="9">
        <f>IF(Q2218="비교",ABS(P2218)+ROW()/1000000000,"")</f>
        <v/>
      </c>
      <c r="V2218" s="64">
        <f>IF($A2218="","",IF(COUNTIF(변동분석!$E$7:$E$506,O2218)&gt;0,"Y","N"))</f>
        <v/>
      </c>
      <c r="W2218" s="64">
        <f>IF($A2218="","",IFERROR(INDEX(계정매핑!$D$5:$D$504,MATCH($F2218&amp;"",계정매핑!$A$5:$A$504,0)),"미매핑"))</f>
        <v/>
      </c>
      <c r="X2218" s="9">
        <f>IF($A2218="","",$F2218&amp;"")</f>
        <v/>
      </c>
      <c r="Y2218" s="94">
        <f>IF($A2218="",0,IF(AE2218="직접",IF(AF2218="비귀속",$P2218,0),$P2218*(1-AG2218)*IFERROR(INDEX(계정대체기준!$F$20:$F$49,MATCH($N2218,계정대체기준!$A$20:$A$49,0)),1)))</f>
        <v/>
      </c>
      <c r="Z2218" s="94">
        <f>IF($A2218="",0,IF(AE2218="직접",IF(AF2218="신계약비",$P2218,0),$P2218*(1-AG2218)*IFERROR(INDEX(계정대체기준!$C$20:$C$49,MATCH($N2218,계정대체기준!$A$20:$A$49,0)),0)))</f>
        <v/>
      </c>
      <c r="AA2218" s="94">
        <f>IF($A2218="",0,IF(AE2218="직접",IF(OR(AF2218="유지비",AF2218="손해조사비"),$P2218,0),$P2218*(1-AG2218)*IFERROR(INDEX(계정대체기준!$D$20:$D$49,MATCH($N2218,계정대체기준!$A$20:$A$49,0)),0)))</f>
        <v/>
      </c>
      <c r="AB2218" s="94">
        <f>IF($A2218="",0,IF(AE2218="직접",IF(AF2218="수금비",$P2218,0),$P2218*(1-AG2218)*IFERROR(INDEX(계정대체기준!$E$20:$E$49,MATCH($N2218,계정대체기준!$A$20:$A$49,0)),0)))</f>
        <v/>
      </c>
      <c r="AC2218" s="9">
        <f>IF(AND($A2218&lt;&gt;"",M2218=설정!$C$20,Z2218&gt;0),Z2218+ROW()/1000000000,"")</f>
        <v/>
      </c>
      <c r="AD2218" s="94">
        <f>IF($A2218="",0,$P2218*AG2218)</f>
        <v/>
      </c>
      <c r="AE2218" s="64">
        <f>IF($A2218="","",IFERROR(INDEX(계정매핑!$E$5:$E$504,MATCH($F2218&amp;"",계정매핑!$A$5:$A$504,0))&amp;"","공통비"))</f>
        <v/>
      </c>
      <c r="AF2218" s="64">
        <f>IF($A2218="","",IF(AE2218="직접",IFERROR(INDEX(계정매핑!$F$5:$F$504,MATCH($F2218&amp;"",계정매핑!$A$5:$A$504,0))&amp;"","비귀속"),""))</f>
        <v/>
      </c>
      <c r="AG2218" s="96">
        <f>IF($A2218="",0,IF(AND(AE2218&lt;&gt;"직접",IFERROR(INDEX(계정매핑!$G$5:$G$504,MATCH($F2218&amp;"",계정매핑!$A$5:$A$504,0))&amp;"","")="유지비",COUNTIF(계정대체기준!$A$6:$A$15,$N2218)&gt;0),IFERROR(INDEX(계정대체기준!$E$6:$E$15,MATCH(VALUE($A2218&amp;""),계정대체기준!$D$6:$D$15,0)),0),0))</f>
        <v/>
      </c>
      <c r="AH2218" s="64">
        <f>IF($A2218="","",IF(AD2218=0,"",IF(OR(COUNTIF(계정대체기준!$A$77:$A$86,$N2218)&gt;0,ISNUMBER(MATCH($X2218,계정대체기준!$D$77:$D$86,0)),ISNUMBER(MATCH($F2218,계정대체기준!$D$77:$D$86,0))),"Y","N")))</f>
        <v/>
      </c>
    </row>
    <row r="2219">
      <c r="A2219" s="92" t="n">
        <v>2025</v>
      </c>
      <c r="B2219" s="92" t="n">
        <v>10</v>
      </c>
      <c r="C2219" s="92" t="inlineStr">
        <is>
          <t>5100002215</t>
        </is>
      </c>
      <c r="D2219" s="95" t="n">
        <v>45952</v>
      </c>
      <c r="E2219" s="92" t="inlineStr">
        <is>
          <t>KR</t>
        </is>
      </c>
      <c r="F2219" s="92" t="n">
        <v>62901000</v>
      </c>
      <c r="G2219" s="92" t="n">
        <v>1101</v>
      </c>
      <c r="H2219" s="93" t="n">
        <v>2335000</v>
      </c>
      <c r="I2219" s="92" t="inlineStr">
        <is>
          <t>10월 자문 수수료 - K회계법인</t>
        </is>
      </c>
      <c r="J2219" s="92" t="inlineStr">
        <is>
          <t>V10011</t>
        </is>
      </c>
      <c r="K2219" s="92" t="inlineStr">
        <is>
          <t>K회계법인</t>
        </is>
      </c>
      <c r="M2219" s="9">
        <f>IF($A2219="","",VALUE($A2219&amp;"")*12+VALUE($B2219&amp;""))</f>
        <v/>
      </c>
      <c r="N2219" s="64">
        <f>IF($A2219="","",IFERROR(INDEX(부서매핑!$C$5:$C$504,MATCH($G2219&amp;"",부서매핑!$A$5:$A$504,0)),"미매핑"))</f>
        <v/>
      </c>
      <c r="O2219" s="9">
        <f>IF($A2219="","",N2219&amp;"|"&amp;$F2219)</f>
        <v/>
      </c>
      <c r="P2219" s="94">
        <f>IF($A2219="",0,$H2219*설정!$C$23)</f>
        <v/>
      </c>
      <c r="Q2219" s="64">
        <f>IF($A2219="","",IF(O2219&lt;&gt;원인분석!$C$9,"",IF(AND(M2219&gt;=원인분석!$C$10,M2219&lt;=원인분석!$C$11),"당기",IF(AND(M2219&gt;=원인분석!$C$12,M2219&lt;=원인분석!$C$13),"비교",""))))</f>
        <v/>
      </c>
      <c r="R2219" s="9">
        <f>IF(Q2219="","",$K2219&amp;"")</f>
        <v/>
      </c>
      <c r="S2219" s="9">
        <f>IF(Q2219="","",IF(MATCH(R2219,$R$5:$R$100000,0)=ROW()-4,ROW(),""))</f>
        <v/>
      </c>
      <c r="T2219" s="9">
        <f>IF(Q2219="당기",ABS(P2219)+ROW()/1000000000,"")</f>
        <v/>
      </c>
      <c r="U2219" s="9">
        <f>IF(Q2219="비교",ABS(P2219)+ROW()/1000000000,"")</f>
        <v/>
      </c>
      <c r="V2219" s="64">
        <f>IF($A2219="","",IF(COUNTIF(변동분석!$E$7:$E$506,O2219)&gt;0,"Y","N"))</f>
        <v/>
      </c>
      <c r="W2219" s="64">
        <f>IF($A2219="","",IFERROR(INDEX(계정매핑!$D$5:$D$504,MATCH($F2219&amp;"",계정매핑!$A$5:$A$504,0)),"미매핑"))</f>
        <v/>
      </c>
      <c r="X2219" s="9">
        <f>IF($A2219="","",$F2219&amp;"")</f>
        <v/>
      </c>
      <c r="Y2219" s="94">
        <f>IF($A2219="",0,IF(AE2219="직접",IF(AF2219="비귀속",$P2219,0),$P2219*(1-AG2219)*IFERROR(INDEX(계정대체기준!$F$20:$F$49,MATCH($N2219,계정대체기준!$A$20:$A$49,0)),1)))</f>
        <v/>
      </c>
      <c r="Z2219" s="94">
        <f>IF($A2219="",0,IF(AE2219="직접",IF(AF2219="신계약비",$P2219,0),$P2219*(1-AG2219)*IFERROR(INDEX(계정대체기준!$C$20:$C$49,MATCH($N2219,계정대체기준!$A$20:$A$49,0)),0)))</f>
        <v/>
      </c>
      <c r="AA2219" s="94">
        <f>IF($A2219="",0,IF(AE2219="직접",IF(OR(AF2219="유지비",AF2219="손해조사비"),$P2219,0),$P2219*(1-AG2219)*IFERROR(INDEX(계정대체기준!$D$20:$D$49,MATCH($N2219,계정대체기준!$A$20:$A$49,0)),0)))</f>
        <v/>
      </c>
      <c r="AB2219" s="94">
        <f>IF($A2219="",0,IF(AE2219="직접",IF(AF2219="수금비",$P2219,0),$P2219*(1-AG2219)*IFERROR(INDEX(계정대체기준!$E$20:$E$49,MATCH($N2219,계정대체기준!$A$20:$A$49,0)),0)))</f>
        <v/>
      </c>
      <c r="AC2219" s="9">
        <f>IF(AND($A2219&lt;&gt;"",M2219=설정!$C$20,Z2219&gt;0),Z2219+ROW()/1000000000,"")</f>
        <v/>
      </c>
      <c r="AD2219" s="94">
        <f>IF($A2219="",0,$P2219*AG2219)</f>
        <v/>
      </c>
      <c r="AE2219" s="64">
        <f>IF($A2219="","",IFERROR(INDEX(계정매핑!$E$5:$E$504,MATCH($F2219&amp;"",계정매핑!$A$5:$A$504,0))&amp;"","공통비"))</f>
        <v/>
      </c>
      <c r="AF2219" s="64">
        <f>IF($A2219="","",IF(AE2219="직접",IFERROR(INDEX(계정매핑!$F$5:$F$504,MATCH($F2219&amp;"",계정매핑!$A$5:$A$504,0))&amp;"","비귀속"),""))</f>
        <v/>
      </c>
      <c r="AG2219" s="96">
        <f>IF($A2219="",0,IF(AND(AE2219&lt;&gt;"직접",IFERROR(INDEX(계정매핑!$G$5:$G$504,MATCH($F2219&amp;"",계정매핑!$A$5:$A$504,0))&amp;"","")="유지비",COUNTIF(계정대체기준!$A$6:$A$15,$N2219)&gt;0),IFERROR(INDEX(계정대체기준!$E$6:$E$15,MATCH(VALUE($A2219&amp;""),계정대체기준!$D$6:$D$15,0)),0),0))</f>
        <v/>
      </c>
      <c r="AH2219" s="64">
        <f>IF($A2219="","",IF(AD2219=0,"",IF(OR(COUNTIF(계정대체기준!$A$77:$A$86,$N2219)&gt;0,ISNUMBER(MATCH($X2219,계정대체기준!$D$77:$D$86,0)),ISNUMBER(MATCH($F2219,계정대체기준!$D$77:$D$86,0))),"Y","N")))</f>
        <v/>
      </c>
    </row>
    <row r="2220">
      <c r="A2220" s="92" t="n">
        <v>2025</v>
      </c>
      <c r="B2220" s="92" t="n">
        <v>10</v>
      </c>
      <c r="C2220" s="92" t="inlineStr">
        <is>
          <t>5100002216</t>
        </is>
      </c>
      <c r="D2220" s="95" t="n">
        <v>45952</v>
      </c>
      <c r="E2220" s="92" t="inlineStr">
        <is>
          <t>KR</t>
        </is>
      </c>
      <c r="F2220" s="92" t="n">
        <v>62901000</v>
      </c>
      <c r="G2220" s="92" t="n">
        <v>1801</v>
      </c>
      <c r="H2220" s="93" t="n">
        <v>14980000</v>
      </c>
      <c r="I2220" s="92" t="inlineStr">
        <is>
          <t>10월 자문 수수료 - W컨설팅</t>
        </is>
      </c>
      <c r="J2220" s="92" t="inlineStr">
        <is>
          <t>V10006</t>
        </is>
      </c>
      <c r="K2220" s="92" t="inlineStr">
        <is>
          <t>W컨설팅</t>
        </is>
      </c>
      <c r="M2220" s="9">
        <f>IF($A2220="","",VALUE($A2220&amp;"")*12+VALUE($B2220&amp;""))</f>
        <v/>
      </c>
      <c r="N2220" s="64">
        <f>IF($A2220="","",IFERROR(INDEX(부서매핑!$C$5:$C$504,MATCH($G2220&amp;"",부서매핑!$A$5:$A$504,0)),"미매핑"))</f>
        <v/>
      </c>
      <c r="O2220" s="9">
        <f>IF($A2220="","",N2220&amp;"|"&amp;$F2220)</f>
        <v/>
      </c>
      <c r="P2220" s="94">
        <f>IF($A2220="",0,$H2220*설정!$C$23)</f>
        <v/>
      </c>
      <c r="Q2220" s="64">
        <f>IF($A2220="","",IF(O2220&lt;&gt;원인분석!$C$9,"",IF(AND(M2220&gt;=원인분석!$C$10,M2220&lt;=원인분석!$C$11),"당기",IF(AND(M2220&gt;=원인분석!$C$12,M2220&lt;=원인분석!$C$13),"비교",""))))</f>
        <v/>
      </c>
      <c r="R2220" s="9">
        <f>IF(Q2220="","",$K2220&amp;"")</f>
        <v/>
      </c>
      <c r="S2220" s="9">
        <f>IF(Q2220="","",IF(MATCH(R2220,$R$5:$R$100000,0)=ROW()-4,ROW(),""))</f>
        <v/>
      </c>
      <c r="T2220" s="9">
        <f>IF(Q2220="당기",ABS(P2220)+ROW()/1000000000,"")</f>
        <v/>
      </c>
      <c r="U2220" s="9">
        <f>IF(Q2220="비교",ABS(P2220)+ROW()/1000000000,"")</f>
        <v/>
      </c>
      <c r="V2220" s="64">
        <f>IF($A2220="","",IF(COUNTIF(변동분석!$E$7:$E$506,O2220)&gt;0,"Y","N"))</f>
        <v/>
      </c>
      <c r="W2220" s="64">
        <f>IF($A2220="","",IFERROR(INDEX(계정매핑!$D$5:$D$504,MATCH($F2220&amp;"",계정매핑!$A$5:$A$504,0)),"미매핑"))</f>
        <v/>
      </c>
      <c r="X2220" s="9">
        <f>IF($A2220="","",$F2220&amp;"")</f>
        <v/>
      </c>
      <c r="Y2220" s="94">
        <f>IF($A2220="",0,IF(AE2220="직접",IF(AF2220="비귀속",$P2220,0),$P2220*(1-AG2220)*IFERROR(INDEX(계정대체기준!$F$20:$F$49,MATCH($N2220,계정대체기준!$A$20:$A$49,0)),1)))</f>
        <v/>
      </c>
      <c r="Z2220" s="94">
        <f>IF($A2220="",0,IF(AE2220="직접",IF(AF2220="신계약비",$P2220,0),$P2220*(1-AG2220)*IFERROR(INDEX(계정대체기준!$C$20:$C$49,MATCH($N2220,계정대체기준!$A$20:$A$49,0)),0)))</f>
        <v/>
      </c>
      <c r="AA2220" s="94">
        <f>IF($A2220="",0,IF(AE2220="직접",IF(OR(AF2220="유지비",AF2220="손해조사비"),$P2220,0),$P2220*(1-AG2220)*IFERROR(INDEX(계정대체기준!$D$20:$D$49,MATCH($N2220,계정대체기준!$A$20:$A$49,0)),0)))</f>
        <v/>
      </c>
      <c r="AB2220" s="94">
        <f>IF($A2220="",0,IF(AE2220="직접",IF(AF2220="수금비",$P2220,0),$P2220*(1-AG2220)*IFERROR(INDEX(계정대체기준!$E$20:$E$49,MATCH($N2220,계정대체기준!$A$20:$A$49,0)),0)))</f>
        <v/>
      </c>
      <c r="AC2220" s="9">
        <f>IF(AND($A2220&lt;&gt;"",M2220=설정!$C$20,Z2220&gt;0),Z2220+ROW()/1000000000,"")</f>
        <v/>
      </c>
      <c r="AD2220" s="94">
        <f>IF($A2220="",0,$P2220*AG2220)</f>
        <v/>
      </c>
      <c r="AE2220" s="64">
        <f>IF($A2220="","",IFERROR(INDEX(계정매핑!$E$5:$E$504,MATCH($F2220&amp;"",계정매핑!$A$5:$A$504,0))&amp;"","공통비"))</f>
        <v/>
      </c>
      <c r="AF2220" s="64">
        <f>IF($A2220="","",IF(AE2220="직접",IFERROR(INDEX(계정매핑!$F$5:$F$504,MATCH($F2220&amp;"",계정매핑!$A$5:$A$504,0))&amp;"","비귀속"),""))</f>
        <v/>
      </c>
      <c r="AG2220" s="96">
        <f>IF($A2220="",0,IF(AND(AE2220&lt;&gt;"직접",IFERROR(INDEX(계정매핑!$G$5:$G$504,MATCH($F2220&amp;"",계정매핑!$A$5:$A$504,0))&amp;"","")="유지비",COUNTIF(계정대체기준!$A$6:$A$15,$N2220)&gt;0),IFERROR(INDEX(계정대체기준!$E$6:$E$15,MATCH(VALUE($A2220&amp;""),계정대체기준!$D$6:$D$15,0)),0),0))</f>
        <v/>
      </c>
      <c r="AH2220" s="64">
        <f>IF($A2220="","",IF(AD2220=0,"",IF(OR(COUNTIF(계정대체기준!$A$77:$A$86,$N2220)&gt;0,ISNUMBER(MATCH($X2220,계정대체기준!$D$77:$D$86,0)),ISNUMBER(MATCH($F2220,계정대체기준!$D$77:$D$86,0))),"Y","N")))</f>
        <v/>
      </c>
    </row>
    <row r="2221">
      <c r="A2221" s="92" t="n">
        <v>2025</v>
      </c>
      <c r="B2221" s="92" t="n">
        <v>10</v>
      </c>
      <c r="C2221" s="92" t="inlineStr">
        <is>
          <t>5100002217</t>
        </is>
      </c>
      <c r="D2221" s="95" t="n">
        <v>45952</v>
      </c>
      <c r="E2221" s="92" t="inlineStr">
        <is>
          <t>KR</t>
        </is>
      </c>
      <c r="F2221" s="92" t="n">
        <v>62902000</v>
      </c>
      <c r="G2221" s="92" t="n">
        <v>1101</v>
      </c>
      <c r="H2221" s="93" t="n">
        <v>1138000</v>
      </c>
      <c r="I2221" s="92" t="inlineStr">
        <is>
          <t>10월 업무 위탁 수수료 - J콜센터</t>
        </is>
      </c>
      <c r="J2221" s="92" t="inlineStr">
        <is>
          <t>V10016</t>
        </is>
      </c>
      <c r="K2221" s="92" t="inlineStr">
        <is>
          <t>J콜센터</t>
        </is>
      </c>
      <c r="M2221" s="9">
        <f>IF($A2221="","",VALUE($A2221&amp;"")*12+VALUE($B2221&amp;""))</f>
        <v/>
      </c>
      <c r="N2221" s="64">
        <f>IF($A2221="","",IFERROR(INDEX(부서매핑!$C$5:$C$504,MATCH($G2221&amp;"",부서매핑!$A$5:$A$504,0)),"미매핑"))</f>
        <v/>
      </c>
      <c r="O2221" s="9">
        <f>IF($A2221="","",N2221&amp;"|"&amp;$F2221)</f>
        <v/>
      </c>
      <c r="P2221" s="94">
        <f>IF($A2221="",0,$H2221*설정!$C$23)</f>
        <v/>
      </c>
      <c r="Q2221" s="64">
        <f>IF($A2221="","",IF(O2221&lt;&gt;원인분석!$C$9,"",IF(AND(M2221&gt;=원인분석!$C$10,M2221&lt;=원인분석!$C$11),"당기",IF(AND(M2221&gt;=원인분석!$C$12,M2221&lt;=원인분석!$C$13),"비교",""))))</f>
        <v/>
      </c>
      <c r="R2221" s="9">
        <f>IF(Q2221="","",$K2221&amp;"")</f>
        <v/>
      </c>
      <c r="S2221" s="9">
        <f>IF(Q2221="","",IF(MATCH(R2221,$R$5:$R$100000,0)=ROW()-4,ROW(),""))</f>
        <v/>
      </c>
      <c r="T2221" s="9">
        <f>IF(Q2221="당기",ABS(P2221)+ROW()/1000000000,"")</f>
        <v/>
      </c>
      <c r="U2221" s="9">
        <f>IF(Q2221="비교",ABS(P2221)+ROW()/1000000000,"")</f>
        <v/>
      </c>
      <c r="V2221" s="64">
        <f>IF($A2221="","",IF(COUNTIF(변동분석!$E$7:$E$506,O2221)&gt;0,"Y","N"))</f>
        <v/>
      </c>
      <c r="W2221" s="64">
        <f>IF($A2221="","",IFERROR(INDEX(계정매핑!$D$5:$D$504,MATCH($F2221&amp;"",계정매핑!$A$5:$A$504,0)),"미매핑"))</f>
        <v/>
      </c>
      <c r="X2221" s="9">
        <f>IF($A2221="","",$F2221&amp;"")</f>
        <v/>
      </c>
      <c r="Y2221" s="94">
        <f>IF($A2221="",0,IF(AE2221="직접",IF(AF2221="비귀속",$P2221,0),$P2221*(1-AG2221)*IFERROR(INDEX(계정대체기준!$F$20:$F$49,MATCH($N2221,계정대체기준!$A$20:$A$49,0)),1)))</f>
        <v/>
      </c>
      <c r="Z2221" s="94">
        <f>IF($A2221="",0,IF(AE2221="직접",IF(AF2221="신계약비",$P2221,0),$P2221*(1-AG2221)*IFERROR(INDEX(계정대체기준!$C$20:$C$49,MATCH($N2221,계정대체기준!$A$20:$A$49,0)),0)))</f>
        <v/>
      </c>
      <c r="AA2221" s="94">
        <f>IF($A2221="",0,IF(AE2221="직접",IF(OR(AF2221="유지비",AF2221="손해조사비"),$P2221,0),$P2221*(1-AG2221)*IFERROR(INDEX(계정대체기준!$D$20:$D$49,MATCH($N2221,계정대체기준!$A$20:$A$49,0)),0)))</f>
        <v/>
      </c>
      <c r="AB2221" s="94">
        <f>IF($A2221="",0,IF(AE2221="직접",IF(AF2221="수금비",$P2221,0),$P2221*(1-AG2221)*IFERROR(INDEX(계정대체기준!$E$20:$E$49,MATCH($N2221,계정대체기준!$A$20:$A$49,0)),0)))</f>
        <v/>
      </c>
      <c r="AC2221" s="9">
        <f>IF(AND($A2221&lt;&gt;"",M2221=설정!$C$20,Z2221&gt;0),Z2221+ROW()/1000000000,"")</f>
        <v/>
      </c>
      <c r="AD2221" s="94">
        <f>IF($A2221="",0,$P2221*AG2221)</f>
        <v/>
      </c>
      <c r="AE2221" s="64">
        <f>IF($A2221="","",IFERROR(INDEX(계정매핑!$E$5:$E$504,MATCH($F2221&amp;"",계정매핑!$A$5:$A$504,0))&amp;"","공통비"))</f>
        <v/>
      </c>
      <c r="AF2221" s="64">
        <f>IF($A2221="","",IF(AE2221="직접",IFERROR(INDEX(계정매핑!$F$5:$F$504,MATCH($F2221&amp;"",계정매핑!$A$5:$A$504,0))&amp;"","비귀속"),""))</f>
        <v/>
      </c>
      <c r="AG2221" s="96">
        <f>IF($A2221="",0,IF(AND(AE2221&lt;&gt;"직접",IFERROR(INDEX(계정매핑!$G$5:$G$504,MATCH($F2221&amp;"",계정매핑!$A$5:$A$504,0))&amp;"","")="유지비",COUNTIF(계정대체기준!$A$6:$A$15,$N2221)&gt;0),IFERROR(INDEX(계정대체기준!$E$6:$E$15,MATCH(VALUE($A2221&amp;""),계정대체기준!$D$6:$D$15,0)),0),0))</f>
        <v/>
      </c>
      <c r="AH2221" s="64">
        <f>IF($A2221="","",IF(AD2221=0,"",IF(OR(COUNTIF(계정대체기준!$A$77:$A$86,$N2221)&gt;0,ISNUMBER(MATCH($X2221,계정대체기준!$D$77:$D$86,0)),ISNUMBER(MATCH($F2221,계정대체기준!$D$77:$D$86,0))),"Y","N")))</f>
        <v/>
      </c>
    </row>
    <row r="2222">
      <c r="A2222" s="92" t="n">
        <v>2025</v>
      </c>
      <c r="B2222" s="92" t="n">
        <v>10</v>
      </c>
      <c r="C2222" s="92" t="inlineStr">
        <is>
          <t>5100002218</t>
        </is>
      </c>
      <c r="D2222" s="95" t="n">
        <v>45952</v>
      </c>
      <c r="E2222" s="92" t="inlineStr">
        <is>
          <t>KR</t>
        </is>
      </c>
      <c r="F2222" s="92" t="n">
        <v>62902000</v>
      </c>
      <c r="G2222" s="92" t="n">
        <v>1401</v>
      </c>
      <c r="H2222" s="93" t="n">
        <v>4266000</v>
      </c>
      <c r="I2222" s="92" t="inlineStr">
        <is>
          <t>10월 업무 위탁 수수료 - X서비스</t>
        </is>
      </c>
      <c r="J2222" s="92" t="inlineStr">
        <is>
          <t>V10020</t>
        </is>
      </c>
      <c r="K2222" s="92" t="inlineStr">
        <is>
          <t>X서비스</t>
        </is>
      </c>
      <c r="M2222" s="9">
        <f>IF($A2222="","",VALUE($A2222&amp;"")*12+VALUE($B2222&amp;""))</f>
        <v/>
      </c>
      <c r="N2222" s="64">
        <f>IF($A2222="","",IFERROR(INDEX(부서매핑!$C$5:$C$504,MATCH($G2222&amp;"",부서매핑!$A$5:$A$504,0)),"미매핑"))</f>
        <v/>
      </c>
      <c r="O2222" s="9">
        <f>IF($A2222="","",N2222&amp;"|"&amp;$F2222)</f>
        <v/>
      </c>
      <c r="P2222" s="94">
        <f>IF($A2222="",0,$H2222*설정!$C$23)</f>
        <v/>
      </c>
      <c r="Q2222" s="64">
        <f>IF($A2222="","",IF(O2222&lt;&gt;원인분석!$C$9,"",IF(AND(M2222&gt;=원인분석!$C$10,M2222&lt;=원인분석!$C$11),"당기",IF(AND(M2222&gt;=원인분석!$C$12,M2222&lt;=원인분석!$C$13),"비교",""))))</f>
        <v/>
      </c>
      <c r="R2222" s="9">
        <f>IF(Q2222="","",$K2222&amp;"")</f>
        <v/>
      </c>
      <c r="S2222" s="9">
        <f>IF(Q2222="","",IF(MATCH(R2222,$R$5:$R$100000,0)=ROW()-4,ROW(),""))</f>
        <v/>
      </c>
      <c r="T2222" s="9">
        <f>IF(Q2222="당기",ABS(P2222)+ROW()/1000000000,"")</f>
        <v/>
      </c>
      <c r="U2222" s="9">
        <f>IF(Q2222="비교",ABS(P2222)+ROW()/1000000000,"")</f>
        <v/>
      </c>
      <c r="V2222" s="64">
        <f>IF($A2222="","",IF(COUNTIF(변동분석!$E$7:$E$506,O2222)&gt;0,"Y","N"))</f>
        <v/>
      </c>
      <c r="W2222" s="64">
        <f>IF($A2222="","",IFERROR(INDEX(계정매핑!$D$5:$D$504,MATCH($F2222&amp;"",계정매핑!$A$5:$A$504,0)),"미매핑"))</f>
        <v/>
      </c>
      <c r="X2222" s="9">
        <f>IF($A2222="","",$F2222&amp;"")</f>
        <v/>
      </c>
      <c r="Y2222" s="94">
        <f>IF($A2222="",0,IF(AE2222="직접",IF(AF2222="비귀속",$P2222,0),$P2222*(1-AG2222)*IFERROR(INDEX(계정대체기준!$F$20:$F$49,MATCH($N2222,계정대체기준!$A$20:$A$49,0)),1)))</f>
        <v/>
      </c>
      <c r="Z2222" s="94">
        <f>IF($A2222="",0,IF(AE2222="직접",IF(AF2222="신계약비",$P2222,0),$P2222*(1-AG2222)*IFERROR(INDEX(계정대체기준!$C$20:$C$49,MATCH($N2222,계정대체기준!$A$20:$A$49,0)),0)))</f>
        <v/>
      </c>
      <c r="AA2222" s="94">
        <f>IF($A2222="",0,IF(AE2222="직접",IF(OR(AF2222="유지비",AF2222="손해조사비"),$P2222,0),$P2222*(1-AG2222)*IFERROR(INDEX(계정대체기준!$D$20:$D$49,MATCH($N2222,계정대체기준!$A$20:$A$49,0)),0)))</f>
        <v/>
      </c>
      <c r="AB2222" s="94">
        <f>IF($A2222="",0,IF(AE2222="직접",IF(AF2222="수금비",$P2222,0),$P2222*(1-AG2222)*IFERROR(INDEX(계정대체기준!$E$20:$E$49,MATCH($N2222,계정대체기준!$A$20:$A$49,0)),0)))</f>
        <v/>
      </c>
      <c r="AC2222" s="9">
        <f>IF(AND($A2222&lt;&gt;"",M2222=설정!$C$20,Z2222&gt;0),Z2222+ROW()/1000000000,"")</f>
        <v/>
      </c>
      <c r="AD2222" s="94">
        <f>IF($A2222="",0,$P2222*AG2222)</f>
        <v/>
      </c>
      <c r="AE2222" s="64">
        <f>IF($A2222="","",IFERROR(INDEX(계정매핑!$E$5:$E$504,MATCH($F2222&amp;"",계정매핑!$A$5:$A$504,0))&amp;"","공통비"))</f>
        <v/>
      </c>
      <c r="AF2222" s="64">
        <f>IF($A2222="","",IF(AE2222="직접",IFERROR(INDEX(계정매핑!$F$5:$F$504,MATCH($F2222&amp;"",계정매핑!$A$5:$A$504,0))&amp;"","비귀속"),""))</f>
        <v/>
      </c>
      <c r="AG2222" s="96">
        <f>IF($A2222="",0,IF(AND(AE2222&lt;&gt;"직접",IFERROR(INDEX(계정매핑!$G$5:$G$504,MATCH($F2222&amp;"",계정매핑!$A$5:$A$504,0))&amp;"","")="유지비",COUNTIF(계정대체기준!$A$6:$A$15,$N2222)&gt;0),IFERROR(INDEX(계정대체기준!$E$6:$E$15,MATCH(VALUE($A2222&amp;""),계정대체기준!$D$6:$D$15,0)),0),0))</f>
        <v/>
      </c>
      <c r="AH2222" s="64">
        <f>IF($A2222="","",IF(AD2222=0,"",IF(OR(COUNTIF(계정대체기준!$A$77:$A$86,$N2222)&gt;0,ISNUMBER(MATCH($X2222,계정대체기준!$D$77:$D$86,0)),ISNUMBER(MATCH($F2222,계정대체기준!$D$77:$D$86,0))),"Y","N")))</f>
        <v/>
      </c>
    </row>
    <row r="2223">
      <c r="A2223" s="92" t="n">
        <v>2025</v>
      </c>
      <c r="B2223" s="92" t="n">
        <v>10</v>
      </c>
      <c r="C2223" s="92" t="inlineStr">
        <is>
          <t>5100002219</t>
        </is>
      </c>
      <c r="D2223" s="95" t="n">
        <v>45952</v>
      </c>
      <c r="E2223" s="92" t="inlineStr">
        <is>
          <t>KR</t>
        </is>
      </c>
      <c r="F2223" s="92" t="n">
        <v>62902000</v>
      </c>
      <c r="G2223" s="92" t="n">
        <v>1951</v>
      </c>
      <c r="H2223" s="93" t="n">
        <v>1477000</v>
      </c>
      <c r="I2223" s="92" t="inlineStr">
        <is>
          <t>10월 업무 위탁 수수료 - J콜센터</t>
        </is>
      </c>
      <c r="J2223" s="92" t="inlineStr">
        <is>
          <t>V10016</t>
        </is>
      </c>
      <c r="K2223" s="92" t="inlineStr">
        <is>
          <t>J콜센터</t>
        </is>
      </c>
      <c r="M2223" s="9">
        <f>IF($A2223="","",VALUE($A2223&amp;"")*12+VALUE($B2223&amp;""))</f>
        <v/>
      </c>
      <c r="N2223" s="64">
        <f>IF($A2223="","",IFERROR(INDEX(부서매핑!$C$5:$C$504,MATCH($G2223&amp;"",부서매핑!$A$5:$A$504,0)),"미매핑"))</f>
        <v/>
      </c>
      <c r="O2223" s="9">
        <f>IF($A2223="","",N2223&amp;"|"&amp;$F2223)</f>
        <v/>
      </c>
      <c r="P2223" s="94">
        <f>IF($A2223="",0,$H2223*설정!$C$23)</f>
        <v/>
      </c>
      <c r="Q2223" s="64">
        <f>IF($A2223="","",IF(O2223&lt;&gt;원인분석!$C$9,"",IF(AND(M2223&gt;=원인분석!$C$10,M2223&lt;=원인분석!$C$11),"당기",IF(AND(M2223&gt;=원인분석!$C$12,M2223&lt;=원인분석!$C$13),"비교",""))))</f>
        <v/>
      </c>
      <c r="R2223" s="9">
        <f>IF(Q2223="","",$K2223&amp;"")</f>
        <v/>
      </c>
      <c r="S2223" s="9">
        <f>IF(Q2223="","",IF(MATCH(R2223,$R$5:$R$100000,0)=ROW()-4,ROW(),""))</f>
        <v/>
      </c>
      <c r="T2223" s="9">
        <f>IF(Q2223="당기",ABS(P2223)+ROW()/1000000000,"")</f>
        <v/>
      </c>
      <c r="U2223" s="9">
        <f>IF(Q2223="비교",ABS(P2223)+ROW()/1000000000,"")</f>
        <v/>
      </c>
      <c r="V2223" s="64">
        <f>IF($A2223="","",IF(COUNTIF(변동분석!$E$7:$E$506,O2223)&gt;0,"Y","N"))</f>
        <v/>
      </c>
      <c r="W2223" s="64">
        <f>IF($A2223="","",IFERROR(INDEX(계정매핑!$D$5:$D$504,MATCH($F2223&amp;"",계정매핑!$A$5:$A$504,0)),"미매핑"))</f>
        <v/>
      </c>
      <c r="X2223" s="9">
        <f>IF($A2223="","",$F2223&amp;"")</f>
        <v/>
      </c>
      <c r="Y2223" s="94">
        <f>IF($A2223="",0,IF(AE2223="직접",IF(AF2223="비귀속",$P2223,0),$P2223*(1-AG2223)*IFERROR(INDEX(계정대체기준!$F$20:$F$49,MATCH($N2223,계정대체기준!$A$20:$A$49,0)),1)))</f>
        <v/>
      </c>
      <c r="Z2223" s="94">
        <f>IF($A2223="",0,IF(AE2223="직접",IF(AF2223="신계약비",$P2223,0),$P2223*(1-AG2223)*IFERROR(INDEX(계정대체기준!$C$20:$C$49,MATCH($N2223,계정대체기준!$A$20:$A$49,0)),0)))</f>
        <v/>
      </c>
      <c r="AA2223" s="94">
        <f>IF($A2223="",0,IF(AE2223="직접",IF(OR(AF2223="유지비",AF2223="손해조사비"),$P2223,0),$P2223*(1-AG2223)*IFERROR(INDEX(계정대체기준!$D$20:$D$49,MATCH($N2223,계정대체기준!$A$20:$A$49,0)),0)))</f>
        <v/>
      </c>
      <c r="AB2223" s="94">
        <f>IF($A2223="",0,IF(AE2223="직접",IF(AF2223="수금비",$P2223,0),$P2223*(1-AG2223)*IFERROR(INDEX(계정대체기준!$E$20:$E$49,MATCH($N2223,계정대체기준!$A$20:$A$49,0)),0)))</f>
        <v/>
      </c>
      <c r="AC2223" s="9">
        <f>IF(AND($A2223&lt;&gt;"",M2223=설정!$C$20,Z2223&gt;0),Z2223+ROW()/1000000000,"")</f>
        <v/>
      </c>
      <c r="AD2223" s="94">
        <f>IF($A2223="",0,$P2223*AG2223)</f>
        <v/>
      </c>
      <c r="AE2223" s="64">
        <f>IF($A2223="","",IFERROR(INDEX(계정매핑!$E$5:$E$504,MATCH($F2223&amp;"",계정매핑!$A$5:$A$504,0))&amp;"","공통비"))</f>
        <v/>
      </c>
      <c r="AF2223" s="64">
        <f>IF($A2223="","",IF(AE2223="직접",IFERROR(INDEX(계정매핑!$F$5:$F$504,MATCH($F2223&amp;"",계정매핑!$A$5:$A$504,0))&amp;"","비귀속"),""))</f>
        <v/>
      </c>
      <c r="AG2223" s="96">
        <f>IF($A2223="",0,IF(AND(AE2223&lt;&gt;"직접",IFERROR(INDEX(계정매핑!$G$5:$G$504,MATCH($F2223&amp;"",계정매핑!$A$5:$A$504,0))&amp;"","")="유지비",COUNTIF(계정대체기준!$A$6:$A$15,$N2223)&gt;0),IFERROR(INDEX(계정대체기준!$E$6:$E$15,MATCH(VALUE($A2223&amp;""),계정대체기준!$D$6:$D$15,0)),0),0))</f>
        <v/>
      </c>
      <c r="AH2223" s="64">
        <f>IF($A2223="","",IF(AD2223=0,"",IF(OR(COUNTIF(계정대체기준!$A$77:$A$86,$N2223)&gt;0,ISNUMBER(MATCH($X2223,계정대체기준!$D$77:$D$86,0)),ISNUMBER(MATCH($F2223,계정대체기준!$D$77:$D$86,0))),"Y","N")))</f>
        <v/>
      </c>
    </row>
    <row r="2224">
      <c r="A2224" s="92" t="n">
        <v>2025</v>
      </c>
      <c r="B2224" s="92" t="n">
        <v>10</v>
      </c>
      <c r="C2224" s="92" t="inlineStr">
        <is>
          <t>5100002220</t>
        </is>
      </c>
      <c r="D2224" s="95" t="n">
        <v>45953</v>
      </c>
      <c r="E2224" s="92" t="inlineStr">
        <is>
          <t>KR</t>
        </is>
      </c>
      <c r="F2224" s="92" t="n">
        <v>62101000</v>
      </c>
      <c r="G2224" s="92" t="n">
        <v>1301</v>
      </c>
      <c r="H2224" s="93" t="n">
        <v>393000</v>
      </c>
      <c r="I2224" s="92" t="inlineStr">
        <is>
          <t>10월 국내출장 - (법인카드)</t>
        </is>
      </c>
      <c r="J2224" s="92" t="inlineStr">
        <is>
          <t>V10010</t>
        </is>
      </c>
      <c r="K2224" s="92" t="inlineStr">
        <is>
          <t>(법인카드)</t>
        </is>
      </c>
      <c r="M2224" s="9">
        <f>IF($A2224="","",VALUE($A2224&amp;"")*12+VALUE($B2224&amp;""))</f>
        <v/>
      </c>
      <c r="N2224" s="64">
        <f>IF($A2224="","",IFERROR(INDEX(부서매핑!$C$5:$C$504,MATCH($G2224&amp;"",부서매핑!$A$5:$A$504,0)),"미매핑"))</f>
        <v/>
      </c>
      <c r="O2224" s="9">
        <f>IF($A2224="","",N2224&amp;"|"&amp;$F2224)</f>
        <v/>
      </c>
      <c r="P2224" s="94">
        <f>IF($A2224="",0,$H2224*설정!$C$23)</f>
        <v/>
      </c>
      <c r="Q2224" s="64">
        <f>IF($A2224="","",IF(O2224&lt;&gt;원인분석!$C$9,"",IF(AND(M2224&gt;=원인분석!$C$10,M2224&lt;=원인분석!$C$11),"당기",IF(AND(M2224&gt;=원인분석!$C$12,M2224&lt;=원인분석!$C$13),"비교",""))))</f>
        <v/>
      </c>
      <c r="R2224" s="9">
        <f>IF(Q2224="","",$K2224&amp;"")</f>
        <v/>
      </c>
      <c r="S2224" s="9">
        <f>IF(Q2224="","",IF(MATCH(R2224,$R$5:$R$100000,0)=ROW()-4,ROW(),""))</f>
        <v/>
      </c>
      <c r="T2224" s="9">
        <f>IF(Q2224="당기",ABS(P2224)+ROW()/1000000000,"")</f>
        <v/>
      </c>
      <c r="U2224" s="9">
        <f>IF(Q2224="비교",ABS(P2224)+ROW()/1000000000,"")</f>
        <v/>
      </c>
      <c r="V2224" s="64">
        <f>IF($A2224="","",IF(COUNTIF(변동분석!$E$7:$E$506,O2224)&gt;0,"Y","N"))</f>
        <v/>
      </c>
      <c r="W2224" s="64">
        <f>IF($A2224="","",IFERROR(INDEX(계정매핑!$D$5:$D$504,MATCH($F2224&amp;"",계정매핑!$A$5:$A$504,0)),"미매핑"))</f>
        <v/>
      </c>
      <c r="X2224" s="9">
        <f>IF($A2224="","",$F2224&amp;"")</f>
        <v/>
      </c>
      <c r="Y2224" s="94">
        <f>IF($A2224="",0,IF(AE2224="직접",IF(AF2224="비귀속",$P2224,0),$P2224*(1-AG2224)*IFERROR(INDEX(계정대체기준!$F$20:$F$49,MATCH($N2224,계정대체기준!$A$20:$A$49,0)),1)))</f>
        <v/>
      </c>
      <c r="Z2224" s="94">
        <f>IF($A2224="",0,IF(AE2224="직접",IF(AF2224="신계약비",$P2224,0),$P2224*(1-AG2224)*IFERROR(INDEX(계정대체기준!$C$20:$C$49,MATCH($N2224,계정대체기준!$A$20:$A$49,0)),0)))</f>
        <v/>
      </c>
      <c r="AA2224" s="94">
        <f>IF($A2224="",0,IF(AE2224="직접",IF(OR(AF2224="유지비",AF2224="손해조사비"),$P2224,0),$P2224*(1-AG2224)*IFERROR(INDEX(계정대체기준!$D$20:$D$49,MATCH($N2224,계정대체기준!$A$20:$A$49,0)),0)))</f>
        <v/>
      </c>
      <c r="AB2224" s="94">
        <f>IF($A2224="",0,IF(AE2224="직접",IF(AF2224="수금비",$P2224,0),$P2224*(1-AG2224)*IFERROR(INDEX(계정대체기준!$E$20:$E$49,MATCH($N2224,계정대체기준!$A$20:$A$49,0)),0)))</f>
        <v/>
      </c>
      <c r="AC2224" s="9">
        <f>IF(AND($A2224&lt;&gt;"",M2224=설정!$C$20,Z2224&gt;0),Z2224+ROW()/1000000000,"")</f>
        <v/>
      </c>
      <c r="AD2224" s="94">
        <f>IF($A2224="",0,$P2224*AG2224)</f>
        <v/>
      </c>
      <c r="AE2224" s="64">
        <f>IF($A2224="","",IFERROR(INDEX(계정매핑!$E$5:$E$504,MATCH($F2224&amp;"",계정매핑!$A$5:$A$504,0))&amp;"","공통비"))</f>
        <v/>
      </c>
      <c r="AF2224" s="64">
        <f>IF($A2224="","",IF(AE2224="직접",IFERROR(INDEX(계정매핑!$F$5:$F$504,MATCH($F2224&amp;"",계정매핑!$A$5:$A$504,0))&amp;"","비귀속"),""))</f>
        <v/>
      </c>
      <c r="AG2224" s="96">
        <f>IF($A2224="",0,IF(AND(AE2224&lt;&gt;"직접",IFERROR(INDEX(계정매핑!$G$5:$G$504,MATCH($F2224&amp;"",계정매핑!$A$5:$A$504,0))&amp;"","")="유지비",COUNTIF(계정대체기준!$A$6:$A$15,$N2224)&gt;0),IFERROR(INDEX(계정대체기준!$E$6:$E$15,MATCH(VALUE($A2224&amp;""),계정대체기준!$D$6:$D$15,0)),0),0))</f>
        <v/>
      </c>
      <c r="AH2224" s="64">
        <f>IF($A2224="","",IF(AD2224=0,"",IF(OR(COUNTIF(계정대체기준!$A$77:$A$86,$N2224)&gt;0,ISNUMBER(MATCH($X2224,계정대체기준!$D$77:$D$86,0)),ISNUMBER(MATCH($F2224,계정대체기준!$D$77:$D$86,0))),"Y","N")))</f>
        <v/>
      </c>
    </row>
    <row r="2225">
      <c r="A2225" s="92" t="n">
        <v>2025</v>
      </c>
      <c r="B2225" s="92" t="n">
        <v>10</v>
      </c>
      <c r="C2225" s="92" t="inlineStr">
        <is>
          <t>5100002221</t>
        </is>
      </c>
      <c r="D2225" s="95" t="n">
        <v>45953</v>
      </c>
      <c r="E2225" s="92" t="inlineStr">
        <is>
          <t>KR</t>
        </is>
      </c>
      <c r="F2225" s="92" t="n">
        <v>62102000</v>
      </c>
      <c r="G2225" s="92" t="n">
        <v>1701</v>
      </c>
      <c r="H2225" s="93" t="n">
        <v>30000</v>
      </c>
      <c r="I2225" s="92" t="inlineStr">
        <is>
          <t>10월 해외출장 - M항공</t>
        </is>
      </c>
      <c r="J2225" s="92" t="inlineStr">
        <is>
          <t>V10001</t>
        </is>
      </c>
      <c r="K2225" s="92" t="inlineStr">
        <is>
          <t>M항공</t>
        </is>
      </c>
      <c r="M2225" s="9">
        <f>IF($A2225="","",VALUE($A2225&amp;"")*12+VALUE($B2225&amp;""))</f>
        <v/>
      </c>
      <c r="N2225" s="64">
        <f>IF($A2225="","",IFERROR(INDEX(부서매핑!$C$5:$C$504,MATCH($G2225&amp;"",부서매핑!$A$5:$A$504,0)),"미매핑"))</f>
        <v/>
      </c>
      <c r="O2225" s="9">
        <f>IF($A2225="","",N2225&amp;"|"&amp;$F2225)</f>
        <v/>
      </c>
      <c r="P2225" s="94">
        <f>IF($A2225="",0,$H2225*설정!$C$23)</f>
        <v/>
      </c>
      <c r="Q2225" s="64">
        <f>IF($A2225="","",IF(O2225&lt;&gt;원인분석!$C$9,"",IF(AND(M2225&gt;=원인분석!$C$10,M2225&lt;=원인분석!$C$11),"당기",IF(AND(M2225&gt;=원인분석!$C$12,M2225&lt;=원인분석!$C$13),"비교",""))))</f>
        <v/>
      </c>
      <c r="R2225" s="9">
        <f>IF(Q2225="","",$K2225&amp;"")</f>
        <v/>
      </c>
      <c r="S2225" s="9">
        <f>IF(Q2225="","",IF(MATCH(R2225,$R$5:$R$100000,0)=ROW()-4,ROW(),""))</f>
        <v/>
      </c>
      <c r="T2225" s="9">
        <f>IF(Q2225="당기",ABS(P2225)+ROW()/1000000000,"")</f>
        <v/>
      </c>
      <c r="U2225" s="9">
        <f>IF(Q2225="비교",ABS(P2225)+ROW()/1000000000,"")</f>
        <v/>
      </c>
      <c r="V2225" s="64">
        <f>IF($A2225="","",IF(COUNTIF(변동분석!$E$7:$E$506,O2225)&gt;0,"Y","N"))</f>
        <v/>
      </c>
      <c r="W2225" s="64">
        <f>IF($A2225="","",IFERROR(INDEX(계정매핑!$D$5:$D$504,MATCH($F2225&amp;"",계정매핑!$A$5:$A$504,0)),"미매핑"))</f>
        <v/>
      </c>
      <c r="X2225" s="9">
        <f>IF($A2225="","",$F2225&amp;"")</f>
        <v/>
      </c>
      <c r="Y2225" s="94">
        <f>IF($A2225="",0,IF(AE2225="직접",IF(AF2225="비귀속",$P2225,0),$P2225*(1-AG2225)*IFERROR(INDEX(계정대체기준!$F$20:$F$49,MATCH($N2225,계정대체기준!$A$20:$A$49,0)),1)))</f>
        <v/>
      </c>
      <c r="Z2225" s="94">
        <f>IF($A2225="",0,IF(AE2225="직접",IF(AF2225="신계약비",$P2225,0),$P2225*(1-AG2225)*IFERROR(INDEX(계정대체기준!$C$20:$C$49,MATCH($N2225,계정대체기준!$A$20:$A$49,0)),0)))</f>
        <v/>
      </c>
      <c r="AA2225" s="94">
        <f>IF($A2225="",0,IF(AE2225="직접",IF(OR(AF2225="유지비",AF2225="손해조사비"),$P2225,0),$P2225*(1-AG2225)*IFERROR(INDEX(계정대체기준!$D$20:$D$49,MATCH($N2225,계정대체기준!$A$20:$A$49,0)),0)))</f>
        <v/>
      </c>
      <c r="AB2225" s="94">
        <f>IF($A2225="",0,IF(AE2225="직접",IF(AF2225="수금비",$P2225,0),$P2225*(1-AG2225)*IFERROR(INDEX(계정대체기준!$E$20:$E$49,MATCH($N2225,계정대체기준!$A$20:$A$49,0)),0)))</f>
        <v/>
      </c>
      <c r="AC2225" s="9">
        <f>IF(AND($A2225&lt;&gt;"",M2225=설정!$C$20,Z2225&gt;0),Z2225+ROW()/1000000000,"")</f>
        <v/>
      </c>
      <c r="AD2225" s="94">
        <f>IF($A2225="",0,$P2225*AG2225)</f>
        <v/>
      </c>
      <c r="AE2225" s="64">
        <f>IF($A2225="","",IFERROR(INDEX(계정매핑!$E$5:$E$504,MATCH($F2225&amp;"",계정매핑!$A$5:$A$504,0))&amp;"","공통비"))</f>
        <v/>
      </c>
      <c r="AF2225" s="64">
        <f>IF($A2225="","",IF(AE2225="직접",IFERROR(INDEX(계정매핑!$F$5:$F$504,MATCH($F2225&amp;"",계정매핑!$A$5:$A$504,0))&amp;"","비귀속"),""))</f>
        <v/>
      </c>
      <c r="AG2225" s="96">
        <f>IF($A2225="",0,IF(AND(AE2225&lt;&gt;"직접",IFERROR(INDEX(계정매핑!$G$5:$G$504,MATCH($F2225&amp;"",계정매핑!$A$5:$A$504,0))&amp;"","")="유지비",COUNTIF(계정대체기준!$A$6:$A$15,$N2225)&gt;0),IFERROR(INDEX(계정대체기준!$E$6:$E$15,MATCH(VALUE($A2225&amp;""),계정대체기준!$D$6:$D$15,0)),0),0))</f>
        <v/>
      </c>
      <c r="AH2225" s="64">
        <f>IF($A2225="","",IF(AD2225=0,"",IF(OR(COUNTIF(계정대체기준!$A$77:$A$86,$N2225)&gt;0,ISNUMBER(MATCH($X2225,계정대체기준!$D$77:$D$86,0)),ISNUMBER(MATCH($F2225,계정대체기준!$D$77:$D$86,0))),"Y","N")))</f>
        <v/>
      </c>
    </row>
    <row r="2226">
      <c r="A2226" s="92" t="n">
        <v>2025</v>
      </c>
      <c r="B2226" s="92" t="n">
        <v>10</v>
      </c>
      <c r="C2226" s="92" t="inlineStr">
        <is>
          <t>5100002222</t>
        </is>
      </c>
      <c r="D2226" s="95" t="n">
        <v>45953</v>
      </c>
      <c r="E2226" s="92" t="inlineStr">
        <is>
          <t>KR</t>
        </is>
      </c>
      <c r="F2226" s="92" t="n">
        <v>62501000</v>
      </c>
      <c r="G2226" s="92" t="n">
        <v>1701</v>
      </c>
      <c r="H2226" s="93" t="n">
        <v>114000</v>
      </c>
      <c r="I2226" s="92" t="inlineStr">
        <is>
          <t>10월 회의 다과 - (법인카드)</t>
        </is>
      </c>
      <c r="J2226" s="92" t="inlineStr">
        <is>
          <t>V10010</t>
        </is>
      </c>
      <c r="K2226" s="92" t="inlineStr">
        <is>
          <t>(법인카드)</t>
        </is>
      </c>
      <c r="M2226" s="9">
        <f>IF($A2226="","",VALUE($A2226&amp;"")*12+VALUE($B2226&amp;""))</f>
        <v/>
      </c>
      <c r="N2226" s="64">
        <f>IF($A2226="","",IFERROR(INDEX(부서매핑!$C$5:$C$504,MATCH($G2226&amp;"",부서매핑!$A$5:$A$504,0)),"미매핑"))</f>
        <v/>
      </c>
      <c r="O2226" s="9">
        <f>IF($A2226="","",N2226&amp;"|"&amp;$F2226)</f>
        <v/>
      </c>
      <c r="P2226" s="94">
        <f>IF($A2226="",0,$H2226*설정!$C$23)</f>
        <v/>
      </c>
      <c r="Q2226" s="64">
        <f>IF($A2226="","",IF(O2226&lt;&gt;원인분석!$C$9,"",IF(AND(M2226&gt;=원인분석!$C$10,M2226&lt;=원인분석!$C$11),"당기",IF(AND(M2226&gt;=원인분석!$C$12,M2226&lt;=원인분석!$C$13),"비교",""))))</f>
        <v/>
      </c>
      <c r="R2226" s="9">
        <f>IF(Q2226="","",$K2226&amp;"")</f>
        <v/>
      </c>
      <c r="S2226" s="9">
        <f>IF(Q2226="","",IF(MATCH(R2226,$R$5:$R$100000,0)=ROW()-4,ROW(),""))</f>
        <v/>
      </c>
      <c r="T2226" s="9">
        <f>IF(Q2226="당기",ABS(P2226)+ROW()/1000000000,"")</f>
        <v/>
      </c>
      <c r="U2226" s="9">
        <f>IF(Q2226="비교",ABS(P2226)+ROW()/1000000000,"")</f>
        <v/>
      </c>
      <c r="V2226" s="64">
        <f>IF($A2226="","",IF(COUNTIF(변동분석!$E$7:$E$506,O2226)&gt;0,"Y","N"))</f>
        <v/>
      </c>
      <c r="W2226" s="64">
        <f>IF($A2226="","",IFERROR(INDEX(계정매핑!$D$5:$D$504,MATCH($F2226&amp;"",계정매핑!$A$5:$A$504,0)),"미매핑"))</f>
        <v/>
      </c>
      <c r="X2226" s="9">
        <f>IF($A2226="","",$F2226&amp;"")</f>
        <v/>
      </c>
      <c r="Y2226" s="94">
        <f>IF($A2226="",0,IF(AE2226="직접",IF(AF2226="비귀속",$P2226,0),$P2226*(1-AG2226)*IFERROR(INDEX(계정대체기준!$F$20:$F$49,MATCH($N2226,계정대체기준!$A$20:$A$49,0)),1)))</f>
        <v/>
      </c>
      <c r="Z2226" s="94">
        <f>IF($A2226="",0,IF(AE2226="직접",IF(AF2226="신계약비",$P2226,0),$P2226*(1-AG2226)*IFERROR(INDEX(계정대체기준!$C$20:$C$49,MATCH($N2226,계정대체기준!$A$20:$A$49,0)),0)))</f>
        <v/>
      </c>
      <c r="AA2226" s="94">
        <f>IF($A2226="",0,IF(AE2226="직접",IF(OR(AF2226="유지비",AF2226="손해조사비"),$P2226,0),$P2226*(1-AG2226)*IFERROR(INDEX(계정대체기준!$D$20:$D$49,MATCH($N2226,계정대체기준!$A$20:$A$49,0)),0)))</f>
        <v/>
      </c>
      <c r="AB2226" s="94">
        <f>IF($A2226="",0,IF(AE2226="직접",IF(AF2226="수금비",$P2226,0),$P2226*(1-AG2226)*IFERROR(INDEX(계정대체기준!$E$20:$E$49,MATCH($N2226,계정대체기준!$A$20:$A$49,0)),0)))</f>
        <v/>
      </c>
      <c r="AC2226" s="9">
        <f>IF(AND($A2226&lt;&gt;"",M2226=설정!$C$20,Z2226&gt;0),Z2226+ROW()/1000000000,"")</f>
        <v/>
      </c>
      <c r="AD2226" s="94">
        <f>IF($A2226="",0,$P2226*AG2226)</f>
        <v/>
      </c>
      <c r="AE2226" s="64">
        <f>IF($A2226="","",IFERROR(INDEX(계정매핑!$E$5:$E$504,MATCH($F2226&amp;"",계정매핑!$A$5:$A$504,0))&amp;"","공통비"))</f>
        <v/>
      </c>
      <c r="AF2226" s="64">
        <f>IF($A2226="","",IF(AE2226="직접",IFERROR(INDEX(계정매핑!$F$5:$F$504,MATCH($F2226&amp;"",계정매핑!$A$5:$A$504,0))&amp;"","비귀속"),""))</f>
        <v/>
      </c>
      <c r="AG2226" s="96">
        <f>IF($A2226="",0,IF(AND(AE2226&lt;&gt;"직접",IFERROR(INDEX(계정매핑!$G$5:$G$504,MATCH($F2226&amp;"",계정매핑!$A$5:$A$504,0))&amp;"","")="유지비",COUNTIF(계정대체기준!$A$6:$A$15,$N2226)&gt;0),IFERROR(INDEX(계정대체기준!$E$6:$E$15,MATCH(VALUE($A2226&amp;""),계정대체기준!$D$6:$D$15,0)),0),0))</f>
        <v/>
      </c>
      <c r="AH2226" s="64">
        <f>IF($A2226="","",IF(AD2226=0,"",IF(OR(COUNTIF(계정대체기준!$A$77:$A$86,$N2226)&gt;0,ISNUMBER(MATCH($X2226,계정대체기준!$D$77:$D$86,0)),ISNUMBER(MATCH($F2226,계정대체기준!$D$77:$D$86,0))),"Y","N")))</f>
        <v/>
      </c>
    </row>
    <row r="2227">
      <c r="A2227" s="92" t="n">
        <v>2025</v>
      </c>
      <c r="B2227" s="92" t="n">
        <v>10</v>
      </c>
      <c r="C2227" s="92" t="inlineStr">
        <is>
          <t>5100002223</t>
        </is>
      </c>
      <c r="D2227" s="95" t="n">
        <v>45953</v>
      </c>
      <c r="E2227" s="92" t="inlineStr">
        <is>
          <t>KR</t>
        </is>
      </c>
      <c r="F2227" s="92" t="n">
        <v>62501000</v>
      </c>
      <c r="G2227" s="92" t="n">
        <v>1701</v>
      </c>
      <c r="H2227" s="93" t="n">
        <v>96000</v>
      </c>
      <c r="I2227" s="92" t="inlineStr">
        <is>
          <t>10월 회의 다과 - T케이터링</t>
        </is>
      </c>
      <c r="J2227" s="92" t="inlineStr">
        <is>
          <t>V10005</t>
        </is>
      </c>
      <c r="K2227" s="92" t="inlineStr">
        <is>
          <t>T케이터링</t>
        </is>
      </c>
      <c r="M2227" s="9">
        <f>IF($A2227="","",VALUE($A2227&amp;"")*12+VALUE($B2227&amp;""))</f>
        <v/>
      </c>
      <c r="N2227" s="64">
        <f>IF($A2227="","",IFERROR(INDEX(부서매핑!$C$5:$C$504,MATCH($G2227&amp;"",부서매핑!$A$5:$A$504,0)),"미매핑"))</f>
        <v/>
      </c>
      <c r="O2227" s="9">
        <f>IF($A2227="","",N2227&amp;"|"&amp;$F2227)</f>
        <v/>
      </c>
      <c r="P2227" s="94">
        <f>IF($A2227="",0,$H2227*설정!$C$23)</f>
        <v/>
      </c>
      <c r="Q2227" s="64">
        <f>IF($A2227="","",IF(O2227&lt;&gt;원인분석!$C$9,"",IF(AND(M2227&gt;=원인분석!$C$10,M2227&lt;=원인분석!$C$11),"당기",IF(AND(M2227&gt;=원인분석!$C$12,M2227&lt;=원인분석!$C$13),"비교",""))))</f>
        <v/>
      </c>
      <c r="R2227" s="9">
        <f>IF(Q2227="","",$K2227&amp;"")</f>
        <v/>
      </c>
      <c r="S2227" s="9">
        <f>IF(Q2227="","",IF(MATCH(R2227,$R$5:$R$100000,0)=ROW()-4,ROW(),""))</f>
        <v/>
      </c>
      <c r="T2227" s="9">
        <f>IF(Q2227="당기",ABS(P2227)+ROW()/1000000000,"")</f>
        <v/>
      </c>
      <c r="U2227" s="9">
        <f>IF(Q2227="비교",ABS(P2227)+ROW()/1000000000,"")</f>
        <v/>
      </c>
      <c r="V2227" s="64">
        <f>IF($A2227="","",IF(COUNTIF(변동분석!$E$7:$E$506,O2227)&gt;0,"Y","N"))</f>
        <v/>
      </c>
      <c r="W2227" s="64">
        <f>IF($A2227="","",IFERROR(INDEX(계정매핑!$D$5:$D$504,MATCH($F2227&amp;"",계정매핑!$A$5:$A$504,0)),"미매핑"))</f>
        <v/>
      </c>
      <c r="X2227" s="9">
        <f>IF($A2227="","",$F2227&amp;"")</f>
        <v/>
      </c>
      <c r="Y2227" s="94">
        <f>IF($A2227="",0,IF(AE2227="직접",IF(AF2227="비귀속",$P2227,0),$P2227*(1-AG2227)*IFERROR(INDEX(계정대체기준!$F$20:$F$49,MATCH($N2227,계정대체기준!$A$20:$A$49,0)),1)))</f>
        <v/>
      </c>
      <c r="Z2227" s="94">
        <f>IF($A2227="",0,IF(AE2227="직접",IF(AF2227="신계약비",$P2227,0),$P2227*(1-AG2227)*IFERROR(INDEX(계정대체기준!$C$20:$C$49,MATCH($N2227,계정대체기준!$A$20:$A$49,0)),0)))</f>
        <v/>
      </c>
      <c r="AA2227" s="94">
        <f>IF($A2227="",0,IF(AE2227="직접",IF(OR(AF2227="유지비",AF2227="손해조사비"),$P2227,0),$P2227*(1-AG2227)*IFERROR(INDEX(계정대체기준!$D$20:$D$49,MATCH($N2227,계정대체기준!$A$20:$A$49,0)),0)))</f>
        <v/>
      </c>
      <c r="AB2227" s="94">
        <f>IF($A2227="",0,IF(AE2227="직접",IF(AF2227="수금비",$P2227,0),$P2227*(1-AG2227)*IFERROR(INDEX(계정대체기준!$E$20:$E$49,MATCH($N2227,계정대체기준!$A$20:$A$49,0)),0)))</f>
        <v/>
      </c>
      <c r="AC2227" s="9">
        <f>IF(AND($A2227&lt;&gt;"",M2227=설정!$C$20,Z2227&gt;0),Z2227+ROW()/1000000000,"")</f>
        <v/>
      </c>
      <c r="AD2227" s="94">
        <f>IF($A2227="",0,$P2227*AG2227)</f>
        <v/>
      </c>
      <c r="AE2227" s="64">
        <f>IF($A2227="","",IFERROR(INDEX(계정매핑!$E$5:$E$504,MATCH($F2227&amp;"",계정매핑!$A$5:$A$504,0))&amp;"","공통비"))</f>
        <v/>
      </c>
      <c r="AF2227" s="64">
        <f>IF($A2227="","",IF(AE2227="직접",IFERROR(INDEX(계정매핑!$F$5:$F$504,MATCH($F2227&amp;"",계정매핑!$A$5:$A$504,0))&amp;"","비귀속"),""))</f>
        <v/>
      </c>
      <c r="AG2227" s="96">
        <f>IF($A2227="",0,IF(AND(AE2227&lt;&gt;"직접",IFERROR(INDEX(계정매핑!$G$5:$G$504,MATCH($F2227&amp;"",계정매핑!$A$5:$A$504,0))&amp;"","")="유지비",COUNTIF(계정대체기준!$A$6:$A$15,$N2227)&gt;0),IFERROR(INDEX(계정대체기준!$E$6:$E$15,MATCH(VALUE($A2227&amp;""),계정대체기준!$D$6:$D$15,0)),0),0))</f>
        <v/>
      </c>
      <c r="AH2227" s="64">
        <f>IF($A2227="","",IF(AD2227=0,"",IF(OR(COUNTIF(계정대체기준!$A$77:$A$86,$N2227)&gt;0,ISNUMBER(MATCH($X2227,계정대체기준!$D$77:$D$86,0)),ISNUMBER(MATCH($F2227,계정대체기준!$D$77:$D$86,0))),"Y","N")))</f>
        <v/>
      </c>
    </row>
    <row r="2228">
      <c r="A2228" s="92" t="n">
        <v>2025</v>
      </c>
      <c r="B2228" s="92" t="n">
        <v>10</v>
      </c>
      <c r="C2228" s="92" t="inlineStr">
        <is>
          <t>5100002224</t>
        </is>
      </c>
      <c r="D2228" s="95" t="n">
        <v>45954</v>
      </c>
      <c r="E2228" s="92" t="inlineStr">
        <is>
          <t>KR</t>
        </is>
      </c>
      <c r="F2228" s="92" t="n">
        <v>62101000</v>
      </c>
      <c r="G2228" s="92" t="n">
        <v>1501</v>
      </c>
      <c r="H2228" s="93" t="n">
        <v>644000</v>
      </c>
      <c r="I2228" s="92" t="inlineStr">
        <is>
          <t>10월 국내출장 - (법인카드)</t>
        </is>
      </c>
      <c r="J2228" s="92" t="inlineStr">
        <is>
          <t>V10010</t>
        </is>
      </c>
      <c r="K2228" s="92" t="inlineStr">
        <is>
          <t>(법인카드)</t>
        </is>
      </c>
      <c r="M2228" s="9">
        <f>IF($A2228="","",VALUE($A2228&amp;"")*12+VALUE($B2228&amp;""))</f>
        <v/>
      </c>
      <c r="N2228" s="64">
        <f>IF($A2228="","",IFERROR(INDEX(부서매핑!$C$5:$C$504,MATCH($G2228&amp;"",부서매핑!$A$5:$A$504,0)),"미매핑"))</f>
        <v/>
      </c>
      <c r="O2228" s="9">
        <f>IF($A2228="","",N2228&amp;"|"&amp;$F2228)</f>
        <v/>
      </c>
      <c r="P2228" s="94">
        <f>IF($A2228="",0,$H2228*설정!$C$23)</f>
        <v/>
      </c>
      <c r="Q2228" s="64">
        <f>IF($A2228="","",IF(O2228&lt;&gt;원인분석!$C$9,"",IF(AND(M2228&gt;=원인분석!$C$10,M2228&lt;=원인분석!$C$11),"당기",IF(AND(M2228&gt;=원인분석!$C$12,M2228&lt;=원인분석!$C$13),"비교",""))))</f>
        <v/>
      </c>
      <c r="R2228" s="9">
        <f>IF(Q2228="","",$K2228&amp;"")</f>
        <v/>
      </c>
      <c r="S2228" s="9">
        <f>IF(Q2228="","",IF(MATCH(R2228,$R$5:$R$100000,0)=ROW()-4,ROW(),""))</f>
        <v/>
      </c>
      <c r="T2228" s="9">
        <f>IF(Q2228="당기",ABS(P2228)+ROW()/1000000000,"")</f>
        <v/>
      </c>
      <c r="U2228" s="9">
        <f>IF(Q2228="비교",ABS(P2228)+ROW()/1000000000,"")</f>
        <v/>
      </c>
      <c r="V2228" s="64">
        <f>IF($A2228="","",IF(COUNTIF(변동분석!$E$7:$E$506,O2228)&gt;0,"Y","N"))</f>
        <v/>
      </c>
      <c r="W2228" s="64">
        <f>IF($A2228="","",IFERROR(INDEX(계정매핑!$D$5:$D$504,MATCH($F2228&amp;"",계정매핑!$A$5:$A$504,0)),"미매핑"))</f>
        <v/>
      </c>
      <c r="X2228" s="9">
        <f>IF($A2228="","",$F2228&amp;"")</f>
        <v/>
      </c>
      <c r="Y2228" s="94">
        <f>IF($A2228="",0,IF(AE2228="직접",IF(AF2228="비귀속",$P2228,0),$P2228*(1-AG2228)*IFERROR(INDEX(계정대체기준!$F$20:$F$49,MATCH($N2228,계정대체기준!$A$20:$A$49,0)),1)))</f>
        <v/>
      </c>
      <c r="Z2228" s="94">
        <f>IF($A2228="",0,IF(AE2228="직접",IF(AF2228="신계약비",$P2228,0),$P2228*(1-AG2228)*IFERROR(INDEX(계정대체기준!$C$20:$C$49,MATCH($N2228,계정대체기준!$A$20:$A$49,0)),0)))</f>
        <v/>
      </c>
      <c r="AA2228" s="94">
        <f>IF($A2228="",0,IF(AE2228="직접",IF(OR(AF2228="유지비",AF2228="손해조사비"),$P2228,0),$P2228*(1-AG2228)*IFERROR(INDEX(계정대체기준!$D$20:$D$49,MATCH($N2228,계정대체기준!$A$20:$A$49,0)),0)))</f>
        <v/>
      </c>
      <c r="AB2228" s="94">
        <f>IF($A2228="",0,IF(AE2228="직접",IF(AF2228="수금비",$P2228,0),$P2228*(1-AG2228)*IFERROR(INDEX(계정대체기준!$E$20:$E$49,MATCH($N2228,계정대체기준!$A$20:$A$49,0)),0)))</f>
        <v/>
      </c>
      <c r="AC2228" s="9">
        <f>IF(AND($A2228&lt;&gt;"",M2228=설정!$C$20,Z2228&gt;0),Z2228+ROW()/1000000000,"")</f>
        <v/>
      </c>
      <c r="AD2228" s="94">
        <f>IF($A2228="",0,$P2228*AG2228)</f>
        <v/>
      </c>
      <c r="AE2228" s="64">
        <f>IF($A2228="","",IFERROR(INDEX(계정매핑!$E$5:$E$504,MATCH($F2228&amp;"",계정매핑!$A$5:$A$504,0))&amp;"","공통비"))</f>
        <v/>
      </c>
      <c r="AF2228" s="64">
        <f>IF($A2228="","",IF(AE2228="직접",IFERROR(INDEX(계정매핑!$F$5:$F$504,MATCH($F2228&amp;"",계정매핑!$A$5:$A$504,0))&amp;"","비귀속"),""))</f>
        <v/>
      </c>
      <c r="AG2228" s="96">
        <f>IF($A2228="",0,IF(AND(AE2228&lt;&gt;"직접",IFERROR(INDEX(계정매핑!$G$5:$G$504,MATCH($F2228&amp;"",계정매핑!$A$5:$A$504,0))&amp;"","")="유지비",COUNTIF(계정대체기준!$A$6:$A$15,$N2228)&gt;0),IFERROR(INDEX(계정대체기준!$E$6:$E$15,MATCH(VALUE($A2228&amp;""),계정대체기준!$D$6:$D$15,0)),0),0))</f>
        <v/>
      </c>
      <c r="AH2228" s="64">
        <f>IF($A2228="","",IF(AD2228=0,"",IF(OR(COUNTIF(계정대체기준!$A$77:$A$86,$N2228)&gt;0,ISNUMBER(MATCH($X2228,계정대체기준!$D$77:$D$86,0)),ISNUMBER(MATCH($F2228,계정대체기준!$D$77:$D$86,0))),"Y","N")))</f>
        <v/>
      </c>
    </row>
    <row r="2229">
      <c r="A2229" s="92" t="n">
        <v>2025</v>
      </c>
      <c r="B2229" s="92" t="n">
        <v>10</v>
      </c>
      <c r="C2229" s="92" t="inlineStr">
        <is>
          <t>5100002225</t>
        </is>
      </c>
      <c r="D2229" s="95" t="n">
        <v>45954</v>
      </c>
      <c r="E2229" s="92" t="inlineStr">
        <is>
          <t>KR</t>
        </is>
      </c>
      <c r="F2229" s="92" t="n">
        <v>62101000</v>
      </c>
      <c r="G2229" s="92" t="n">
        <v>1602</v>
      </c>
      <c r="H2229" s="93" t="n">
        <v>1190000</v>
      </c>
      <c r="I2229" s="92" t="inlineStr">
        <is>
          <t>10월 국내출장 - M항공</t>
        </is>
      </c>
      <c r="J2229" s="92" t="inlineStr">
        <is>
          <t>V10001</t>
        </is>
      </c>
      <c r="K2229" s="92" t="inlineStr">
        <is>
          <t>M항공</t>
        </is>
      </c>
      <c r="M2229" s="9">
        <f>IF($A2229="","",VALUE($A2229&amp;"")*12+VALUE($B2229&amp;""))</f>
        <v/>
      </c>
      <c r="N2229" s="64">
        <f>IF($A2229="","",IFERROR(INDEX(부서매핑!$C$5:$C$504,MATCH($G2229&amp;"",부서매핑!$A$5:$A$504,0)),"미매핑"))</f>
        <v/>
      </c>
      <c r="O2229" s="9">
        <f>IF($A2229="","",N2229&amp;"|"&amp;$F2229)</f>
        <v/>
      </c>
      <c r="P2229" s="94">
        <f>IF($A2229="",0,$H2229*설정!$C$23)</f>
        <v/>
      </c>
      <c r="Q2229" s="64">
        <f>IF($A2229="","",IF(O2229&lt;&gt;원인분석!$C$9,"",IF(AND(M2229&gt;=원인분석!$C$10,M2229&lt;=원인분석!$C$11),"당기",IF(AND(M2229&gt;=원인분석!$C$12,M2229&lt;=원인분석!$C$13),"비교",""))))</f>
        <v/>
      </c>
      <c r="R2229" s="9">
        <f>IF(Q2229="","",$K2229&amp;"")</f>
        <v/>
      </c>
      <c r="S2229" s="9">
        <f>IF(Q2229="","",IF(MATCH(R2229,$R$5:$R$100000,0)=ROW()-4,ROW(),""))</f>
        <v/>
      </c>
      <c r="T2229" s="9">
        <f>IF(Q2229="당기",ABS(P2229)+ROW()/1000000000,"")</f>
        <v/>
      </c>
      <c r="U2229" s="9">
        <f>IF(Q2229="비교",ABS(P2229)+ROW()/1000000000,"")</f>
        <v/>
      </c>
      <c r="V2229" s="64">
        <f>IF($A2229="","",IF(COUNTIF(변동분석!$E$7:$E$506,O2229)&gt;0,"Y","N"))</f>
        <v/>
      </c>
      <c r="W2229" s="64">
        <f>IF($A2229="","",IFERROR(INDEX(계정매핑!$D$5:$D$504,MATCH($F2229&amp;"",계정매핑!$A$5:$A$504,0)),"미매핑"))</f>
        <v/>
      </c>
      <c r="X2229" s="9">
        <f>IF($A2229="","",$F2229&amp;"")</f>
        <v/>
      </c>
      <c r="Y2229" s="94">
        <f>IF($A2229="",0,IF(AE2229="직접",IF(AF2229="비귀속",$P2229,0),$P2229*(1-AG2229)*IFERROR(INDEX(계정대체기준!$F$20:$F$49,MATCH($N2229,계정대체기준!$A$20:$A$49,0)),1)))</f>
        <v/>
      </c>
      <c r="Z2229" s="94">
        <f>IF($A2229="",0,IF(AE2229="직접",IF(AF2229="신계약비",$P2229,0),$P2229*(1-AG2229)*IFERROR(INDEX(계정대체기준!$C$20:$C$49,MATCH($N2229,계정대체기준!$A$20:$A$49,0)),0)))</f>
        <v/>
      </c>
      <c r="AA2229" s="94">
        <f>IF($A2229="",0,IF(AE2229="직접",IF(OR(AF2229="유지비",AF2229="손해조사비"),$P2229,0),$P2229*(1-AG2229)*IFERROR(INDEX(계정대체기준!$D$20:$D$49,MATCH($N2229,계정대체기준!$A$20:$A$49,0)),0)))</f>
        <v/>
      </c>
      <c r="AB2229" s="94">
        <f>IF($A2229="",0,IF(AE2229="직접",IF(AF2229="수금비",$P2229,0),$P2229*(1-AG2229)*IFERROR(INDEX(계정대체기준!$E$20:$E$49,MATCH($N2229,계정대체기준!$A$20:$A$49,0)),0)))</f>
        <v/>
      </c>
      <c r="AC2229" s="9">
        <f>IF(AND($A2229&lt;&gt;"",M2229=설정!$C$20,Z2229&gt;0),Z2229+ROW()/1000000000,"")</f>
        <v/>
      </c>
      <c r="AD2229" s="94">
        <f>IF($A2229="",0,$P2229*AG2229)</f>
        <v/>
      </c>
      <c r="AE2229" s="64">
        <f>IF($A2229="","",IFERROR(INDEX(계정매핑!$E$5:$E$504,MATCH($F2229&amp;"",계정매핑!$A$5:$A$504,0))&amp;"","공통비"))</f>
        <v/>
      </c>
      <c r="AF2229" s="64">
        <f>IF($A2229="","",IF(AE2229="직접",IFERROR(INDEX(계정매핑!$F$5:$F$504,MATCH($F2229&amp;"",계정매핑!$A$5:$A$504,0))&amp;"","비귀속"),""))</f>
        <v/>
      </c>
      <c r="AG2229" s="96">
        <f>IF($A2229="",0,IF(AND(AE2229&lt;&gt;"직접",IFERROR(INDEX(계정매핑!$G$5:$G$504,MATCH($F2229&amp;"",계정매핑!$A$5:$A$504,0))&amp;"","")="유지비",COUNTIF(계정대체기준!$A$6:$A$15,$N2229)&gt;0),IFERROR(INDEX(계정대체기준!$E$6:$E$15,MATCH(VALUE($A2229&amp;""),계정대체기준!$D$6:$D$15,0)),0),0))</f>
        <v/>
      </c>
      <c r="AH2229" s="64">
        <f>IF($A2229="","",IF(AD2229=0,"",IF(OR(COUNTIF(계정대체기준!$A$77:$A$86,$N2229)&gt;0,ISNUMBER(MATCH($X2229,계정대체기준!$D$77:$D$86,0)),ISNUMBER(MATCH($F2229,계정대체기준!$D$77:$D$86,0))),"Y","N")))</f>
        <v/>
      </c>
    </row>
    <row r="2230">
      <c r="A2230" s="92" t="n">
        <v>2025</v>
      </c>
      <c r="B2230" s="92" t="n">
        <v>10</v>
      </c>
      <c r="C2230" s="92" t="inlineStr">
        <is>
          <t>5100002226</t>
        </is>
      </c>
      <c r="D2230" s="95" t="n">
        <v>45954</v>
      </c>
      <c r="E2230" s="92" t="inlineStr">
        <is>
          <t>KR</t>
        </is>
      </c>
      <c r="F2230" s="92" t="n">
        <v>62102000</v>
      </c>
      <c r="G2230" s="92" t="n">
        <v>1501</v>
      </c>
      <c r="H2230" s="93" t="n">
        <v>117000</v>
      </c>
      <c r="I2230" s="92" t="inlineStr">
        <is>
          <t>10월 해외출장 - N호텔</t>
        </is>
      </c>
      <c r="J2230" s="92" t="inlineStr">
        <is>
          <t>V10009</t>
        </is>
      </c>
      <c r="K2230" s="92" t="inlineStr">
        <is>
          <t>N호텔</t>
        </is>
      </c>
      <c r="M2230" s="9">
        <f>IF($A2230="","",VALUE($A2230&amp;"")*12+VALUE($B2230&amp;""))</f>
        <v/>
      </c>
      <c r="N2230" s="64">
        <f>IF($A2230="","",IFERROR(INDEX(부서매핑!$C$5:$C$504,MATCH($G2230&amp;"",부서매핑!$A$5:$A$504,0)),"미매핑"))</f>
        <v/>
      </c>
      <c r="O2230" s="9">
        <f>IF($A2230="","",N2230&amp;"|"&amp;$F2230)</f>
        <v/>
      </c>
      <c r="P2230" s="94">
        <f>IF($A2230="",0,$H2230*설정!$C$23)</f>
        <v/>
      </c>
      <c r="Q2230" s="64">
        <f>IF($A2230="","",IF(O2230&lt;&gt;원인분석!$C$9,"",IF(AND(M2230&gt;=원인분석!$C$10,M2230&lt;=원인분석!$C$11),"당기",IF(AND(M2230&gt;=원인분석!$C$12,M2230&lt;=원인분석!$C$13),"비교",""))))</f>
        <v/>
      </c>
      <c r="R2230" s="9">
        <f>IF(Q2230="","",$K2230&amp;"")</f>
        <v/>
      </c>
      <c r="S2230" s="9">
        <f>IF(Q2230="","",IF(MATCH(R2230,$R$5:$R$100000,0)=ROW()-4,ROW(),""))</f>
        <v/>
      </c>
      <c r="T2230" s="9">
        <f>IF(Q2230="당기",ABS(P2230)+ROW()/1000000000,"")</f>
        <v/>
      </c>
      <c r="U2230" s="9">
        <f>IF(Q2230="비교",ABS(P2230)+ROW()/1000000000,"")</f>
        <v/>
      </c>
      <c r="V2230" s="64">
        <f>IF($A2230="","",IF(COUNTIF(변동분석!$E$7:$E$506,O2230)&gt;0,"Y","N"))</f>
        <v/>
      </c>
      <c r="W2230" s="64">
        <f>IF($A2230="","",IFERROR(INDEX(계정매핑!$D$5:$D$504,MATCH($F2230&amp;"",계정매핑!$A$5:$A$504,0)),"미매핑"))</f>
        <v/>
      </c>
      <c r="X2230" s="9">
        <f>IF($A2230="","",$F2230&amp;"")</f>
        <v/>
      </c>
      <c r="Y2230" s="94">
        <f>IF($A2230="",0,IF(AE2230="직접",IF(AF2230="비귀속",$P2230,0),$P2230*(1-AG2230)*IFERROR(INDEX(계정대체기준!$F$20:$F$49,MATCH($N2230,계정대체기준!$A$20:$A$49,0)),1)))</f>
        <v/>
      </c>
      <c r="Z2230" s="94">
        <f>IF($A2230="",0,IF(AE2230="직접",IF(AF2230="신계약비",$P2230,0),$P2230*(1-AG2230)*IFERROR(INDEX(계정대체기준!$C$20:$C$49,MATCH($N2230,계정대체기준!$A$20:$A$49,0)),0)))</f>
        <v/>
      </c>
      <c r="AA2230" s="94">
        <f>IF($A2230="",0,IF(AE2230="직접",IF(OR(AF2230="유지비",AF2230="손해조사비"),$P2230,0),$P2230*(1-AG2230)*IFERROR(INDEX(계정대체기준!$D$20:$D$49,MATCH($N2230,계정대체기준!$A$20:$A$49,0)),0)))</f>
        <v/>
      </c>
      <c r="AB2230" s="94">
        <f>IF($A2230="",0,IF(AE2230="직접",IF(AF2230="수금비",$P2230,0),$P2230*(1-AG2230)*IFERROR(INDEX(계정대체기준!$E$20:$E$49,MATCH($N2230,계정대체기준!$A$20:$A$49,0)),0)))</f>
        <v/>
      </c>
      <c r="AC2230" s="9">
        <f>IF(AND($A2230&lt;&gt;"",M2230=설정!$C$20,Z2230&gt;0),Z2230+ROW()/1000000000,"")</f>
        <v/>
      </c>
      <c r="AD2230" s="94">
        <f>IF($A2230="",0,$P2230*AG2230)</f>
        <v/>
      </c>
      <c r="AE2230" s="64">
        <f>IF($A2230="","",IFERROR(INDEX(계정매핑!$E$5:$E$504,MATCH($F2230&amp;"",계정매핑!$A$5:$A$504,0))&amp;"","공통비"))</f>
        <v/>
      </c>
      <c r="AF2230" s="64">
        <f>IF($A2230="","",IF(AE2230="직접",IFERROR(INDEX(계정매핑!$F$5:$F$504,MATCH($F2230&amp;"",계정매핑!$A$5:$A$504,0))&amp;"","비귀속"),""))</f>
        <v/>
      </c>
      <c r="AG2230" s="96">
        <f>IF($A2230="",0,IF(AND(AE2230&lt;&gt;"직접",IFERROR(INDEX(계정매핑!$G$5:$G$504,MATCH($F2230&amp;"",계정매핑!$A$5:$A$504,0))&amp;"","")="유지비",COUNTIF(계정대체기준!$A$6:$A$15,$N2230)&gt;0),IFERROR(INDEX(계정대체기준!$E$6:$E$15,MATCH(VALUE($A2230&amp;""),계정대체기준!$D$6:$D$15,0)),0),0))</f>
        <v/>
      </c>
      <c r="AH2230" s="64">
        <f>IF($A2230="","",IF(AD2230=0,"",IF(OR(COUNTIF(계정대체기준!$A$77:$A$86,$N2230)&gt;0,ISNUMBER(MATCH($X2230,계정대체기준!$D$77:$D$86,0)),ISNUMBER(MATCH($F2230,계정대체기준!$D$77:$D$86,0))),"Y","N")))</f>
        <v/>
      </c>
    </row>
    <row r="2231">
      <c r="A2231" s="92" t="n">
        <v>2025</v>
      </c>
      <c r="B2231" s="92" t="n">
        <v>10</v>
      </c>
      <c r="C2231" s="92" t="inlineStr">
        <is>
          <t>5100002227</t>
        </is>
      </c>
      <c r="D2231" s="95" t="n">
        <v>45954</v>
      </c>
      <c r="E2231" s="92" t="inlineStr">
        <is>
          <t>KR</t>
        </is>
      </c>
      <c r="F2231" s="92" t="n">
        <v>62301000</v>
      </c>
      <c r="G2231" s="92" t="n">
        <v>1601</v>
      </c>
      <c r="H2231" s="93" t="n">
        <v>361000</v>
      </c>
      <c r="I2231" s="92" t="inlineStr">
        <is>
          <t>10월 소모품 구입 - Q오피스</t>
        </is>
      </c>
      <c r="J2231" s="92" t="inlineStr">
        <is>
          <t>V10003</t>
        </is>
      </c>
      <c r="K2231" s="92" t="inlineStr">
        <is>
          <t>Q오피스</t>
        </is>
      </c>
      <c r="M2231" s="9">
        <f>IF($A2231="","",VALUE($A2231&amp;"")*12+VALUE($B2231&amp;""))</f>
        <v/>
      </c>
      <c r="N2231" s="64">
        <f>IF($A2231="","",IFERROR(INDEX(부서매핑!$C$5:$C$504,MATCH($G2231&amp;"",부서매핑!$A$5:$A$504,0)),"미매핑"))</f>
        <v/>
      </c>
      <c r="O2231" s="9">
        <f>IF($A2231="","",N2231&amp;"|"&amp;$F2231)</f>
        <v/>
      </c>
      <c r="P2231" s="94">
        <f>IF($A2231="",0,$H2231*설정!$C$23)</f>
        <v/>
      </c>
      <c r="Q2231" s="64">
        <f>IF($A2231="","",IF(O2231&lt;&gt;원인분석!$C$9,"",IF(AND(M2231&gt;=원인분석!$C$10,M2231&lt;=원인분석!$C$11),"당기",IF(AND(M2231&gt;=원인분석!$C$12,M2231&lt;=원인분석!$C$13),"비교",""))))</f>
        <v/>
      </c>
      <c r="R2231" s="9">
        <f>IF(Q2231="","",$K2231&amp;"")</f>
        <v/>
      </c>
      <c r="S2231" s="9">
        <f>IF(Q2231="","",IF(MATCH(R2231,$R$5:$R$100000,0)=ROW()-4,ROW(),""))</f>
        <v/>
      </c>
      <c r="T2231" s="9">
        <f>IF(Q2231="당기",ABS(P2231)+ROW()/1000000000,"")</f>
        <v/>
      </c>
      <c r="U2231" s="9">
        <f>IF(Q2231="비교",ABS(P2231)+ROW()/1000000000,"")</f>
        <v/>
      </c>
      <c r="V2231" s="64">
        <f>IF($A2231="","",IF(COUNTIF(변동분석!$E$7:$E$506,O2231)&gt;0,"Y","N"))</f>
        <v/>
      </c>
      <c r="W2231" s="64">
        <f>IF($A2231="","",IFERROR(INDEX(계정매핑!$D$5:$D$504,MATCH($F2231&amp;"",계정매핑!$A$5:$A$504,0)),"미매핑"))</f>
        <v/>
      </c>
      <c r="X2231" s="9">
        <f>IF($A2231="","",$F2231&amp;"")</f>
        <v/>
      </c>
      <c r="Y2231" s="94">
        <f>IF($A2231="",0,IF(AE2231="직접",IF(AF2231="비귀속",$P2231,0),$P2231*(1-AG2231)*IFERROR(INDEX(계정대체기준!$F$20:$F$49,MATCH($N2231,계정대체기준!$A$20:$A$49,0)),1)))</f>
        <v/>
      </c>
      <c r="Z2231" s="94">
        <f>IF($A2231="",0,IF(AE2231="직접",IF(AF2231="신계약비",$P2231,0),$P2231*(1-AG2231)*IFERROR(INDEX(계정대체기준!$C$20:$C$49,MATCH($N2231,계정대체기준!$A$20:$A$49,0)),0)))</f>
        <v/>
      </c>
      <c r="AA2231" s="94">
        <f>IF($A2231="",0,IF(AE2231="직접",IF(OR(AF2231="유지비",AF2231="손해조사비"),$P2231,0),$P2231*(1-AG2231)*IFERROR(INDEX(계정대체기준!$D$20:$D$49,MATCH($N2231,계정대체기준!$A$20:$A$49,0)),0)))</f>
        <v/>
      </c>
      <c r="AB2231" s="94">
        <f>IF($A2231="",0,IF(AE2231="직접",IF(AF2231="수금비",$P2231,0),$P2231*(1-AG2231)*IFERROR(INDEX(계정대체기준!$E$20:$E$49,MATCH($N2231,계정대체기준!$A$20:$A$49,0)),0)))</f>
        <v/>
      </c>
      <c r="AC2231" s="9">
        <f>IF(AND($A2231&lt;&gt;"",M2231=설정!$C$20,Z2231&gt;0),Z2231+ROW()/1000000000,"")</f>
        <v/>
      </c>
      <c r="AD2231" s="94">
        <f>IF($A2231="",0,$P2231*AG2231)</f>
        <v/>
      </c>
      <c r="AE2231" s="64">
        <f>IF($A2231="","",IFERROR(INDEX(계정매핑!$E$5:$E$504,MATCH($F2231&amp;"",계정매핑!$A$5:$A$504,0))&amp;"","공통비"))</f>
        <v/>
      </c>
      <c r="AF2231" s="64">
        <f>IF($A2231="","",IF(AE2231="직접",IFERROR(INDEX(계정매핑!$F$5:$F$504,MATCH($F2231&amp;"",계정매핑!$A$5:$A$504,0))&amp;"","비귀속"),""))</f>
        <v/>
      </c>
      <c r="AG2231" s="96">
        <f>IF($A2231="",0,IF(AND(AE2231&lt;&gt;"직접",IFERROR(INDEX(계정매핑!$G$5:$G$504,MATCH($F2231&amp;"",계정매핑!$A$5:$A$504,0))&amp;"","")="유지비",COUNTIF(계정대체기준!$A$6:$A$15,$N2231)&gt;0),IFERROR(INDEX(계정대체기준!$E$6:$E$15,MATCH(VALUE($A2231&amp;""),계정대체기준!$D$6:$D$15,0)),0),0))</f>
        <v/>
      </c>
      <c r="AH2231" s="64">
        <f>IF($A2231="","",IF(AD2231=0,"",IF(OR(COUNTIF(계정대체기준!$A$77:$A$86,$N2231)&gt;0,ISNUMBER(MATCH($X2231,계정대체기준!$D$77:$D$86,0)),ISNUMBER(MATCH($F2231,계정대체기준!$D$77:$D$86,0))),"Y","N")))</f>
        <v/>
      </c>
    </row>
    <row r="2232">
      <c r="A2232" s="92" t="n">
        <v>2025</v>
      </c>
      <c r="B2232" s="92" t="n">
        <v>10</v>
      </c>
      <c r="C2232" s="92" t="inlineStr">
        <is>
          <t>5100002228</t>
        </is>
      </c>
      <c r="D2232" s="95" t="n">
        <v>45954</v>
      </c>
      <c r="E2232" s="92" t="inlineStr">
        <is>
          <t>KR</t>
        </is>
      </c>
      <c r="F2232" s="92" t="n">
        <v>62301000</v>
      </c>
      <c r="G2232" s="92" t="n">
        <v>1701</v>
      </c>
      <c r="H2232" s="93" t="n">
        <v>177000</v>
      </c>
      <c r="I2232" s="92" t="inlineStr">
        <is>
          <t>10월 소모품 구입 - R문구</t>
        </is>
      </c>
      <c r="J2232" s="92" t="inlineStr">
        <is>
          <t>V10022</t>
        </is>
      </c>
      <c r="K2232" s="92" t="inlineStr">
        <is>
          <t>R문구</t>
        </is>
      </c>
      <c r="M2232" s="9">
        <f>IF($A2232="","",VALUE($A2232&amp;"")*12+VALUE($B2232&amp;""))</f>
        <v/>
      </c>
      <c r="N2232" s="64">
        <f>IF($A2232="","",IFERROR(INDEX(부서매핑!$C$5:$C$504,MATCH($G2232&amp;"",부서매핑!$A$5:$A$504,0)),"미매핑"))</f>
        <v/>
      </c>
      <c r="O2232" s="9">
        <f>IF($A2232="","",N2232&amp;"|"&amp;$F2232)</f>
        <v/>
      </c>
      <c r="P2232" s="94">
        <f>IF($A2232="",0,$H2232*설정!$C$23)</f>
        <v/>
      </c>
      <c r="Q2232" s="64">
        <f>IF($A2232="","",IF(O2232&lt;&gt;원인분석!$C$9,"",IF(AND(M2232&gt;=원인분석!$C$10,M2232&lt;=원인분석!$C$11),"당기",IF(AND(M2232&gt;=원인분석!$C$12,M2232&lt;=원인분석!$C$13),"비교",""))))</f>
        <v/>
      </c>
      <c r="R2232" s="9">
        <f>IF(Q2232="","",$K2232&amp;"")</f>
        <v/>
      </c>
      <c r="S2232" s="9">
        <f>IF(Q2232="","",IF(MATCH(R2232,$R$5:$R$100000,0)=ROW()-4,ROW(),""))</f>
        <v/>
      </c>
      <c r="T2232" s="9">
        <f>IF(Q2232="당기",ABS(P2232)+ROW()/1000000000,"")</f>
        <v/>
      </c>
      <c r="U2232" s="9">
        <f>IF(Q2232="비교",ABS(P2232)+ROW()/1000000000,"")</f>
        <v/>
      </c>
      <c r="V2232" s="64">
        <f>IF($A2232="","",IF(COUNTIF(변동분석!$E$7:$E$506,O2232)&gt;0,"Y","N"))</f>
        <v/>
      </c>
      <c r="W2232" s="64">
        <f>IF($A2232="","",IFERROR(INDEX(계정매핑!$D$5:$D$504,MATCH($F2232&amp;"",계정매핑!$A$5:$A$504,0)),"미매핑"))</f>
        <v/>
      </c>
      <c r="X2232" s="9">
        <f>IF($A2232="","",$F2232&amp;"")</f>
        <v/>
      </c>
      <c r="Y2232" s="94">
        <f>IF($A2232="",0,IF(AE2232="직접",IF(AF2232="비귀속",$P2232,0),$P2232*(1-AG2232)*IFERROR(INDEX(계정대체기준!$F$20:$F$49,MATCH($N2232,계정대체기준!$A$20:$A$49,0)),1)))</f>
        <v/>
      </c>
      <c r="Z2232" s="94">
        <f>IF($A2232="",0,IF(AE2232="직접",IF(AF2232="신계약비",$P2232,0),$P2232*(1-AG2232)*IFERROR(INDEX(계정대체기준!$C$20:$C$49,MATCH($N2232,계정대체기준!$A$20:$A$49,0)),0)))</f>
        <v/>
      </c>
      <c r="AA2232" s="94">
        <f>IF($A2232="",0,IF(AE2232="직접",IF(OR(AF2232="유지비",AF2232="손해조사비"),$P2232,0),$P2232*(1-AG2232)*IFERROR(INDEX(계정대체기준!$D$20:$D$49,MATCH($N2232,계정대체기준!$A$20:$A$49,0)),0)))</f>
        <v/>
      </c>
      <c r="AB2232" s="94">
        <f>IF($A2232="",0,IF(AE2232="직접",IF(AF2232="수금비",$P2232,0),$P2232*(1-AG2232)*IFERROR(INDEX(계정대체기준!$E$20:$E$49,MATCH($N2232,계정대체기준!$A$20:$A$49,0)),0)))</f>
        <v/>
      </c>
      <c r="AC2232" s="9">
        <f>IF(AND($A2232&lt;&gt;"",M2232=설정!$C$20,Z2232&gt;0),Z2232+ROW()/1000000000,"")</f>
        <v/>
      </c>
      <c r="AD2232" s="94">
        <f>IF($A2232="",0,$P2232*AG2232)</f>
        <v/>
      </c>
      <c r="AE2232" s="64">
        <f>IF($A2232="","",IFERROR(INDEX(계정매핑!$E$5:$E$504,MATCH($F2232&amp;"",계정매핑!$A$5:$A$504,0))&amp;"","공통비"))</f>
        <v/>
      </c>
      <c r="AF2232" s="64">
        <f>IF($A2232="","",IF(AE2232="직접",IFERROR(INDEX(계정매핑!$F$5:$F$504,MATCH($F2232&amp;"",계정매핑!$A$5:$A$504,0))&amp;"","비귀속"),""))</f>
        <v/>
      </c>
      <c r="AG2232" s="96">
        <f>IF($A2232="",0,IF(AND(AE2232&lt;&gt;"직접",IFERROR(INDEX(계정매핑!$G$5:$G$504,MATCH($F2232&amp;"",계정매핑!$A$5:$A$504,0))&amp;"","")="유지비",COUNTIF(계정대체기준!$A$6:$A$15,$N2232)&gt;0),IFERROR(INDEX(계정대체기준!$E$6:$E$15,MATCH(VALUE($A2232&amp;""),계정대체기준!$D$6:$D$15,0)),0),0))</f>
        <v/>
      </c>
      <c r="AH2232" s="64">
        <f>IF($A2232="","",IF(AD2232=0,"",IF(OR(COUNTIF(계정대체기준!$A$77:$A$86,$N2232)&gt;0,ISNUMBER(MATCH($X2232,계정대체기준!$D$77:$D$86,0)),ISNUMBER(MATCH($F2232,계정대체기준!$D$77:$D$86,0))),"Y","N")))</f>
        <v/>
      </c>
    </row>
    <row r="2233">
      <c r="A2233" s="92" t="n">
        <v>2025</v>
      </c>
      <c r="B2233" s="92" t="n">
        <v>10</v>
      </c>
      <c r="C2233" s="92" t="inlineStr">
        <is>
          <t>5100002229</t>
        </is>
      </c>
      <c r="D2233" s="95" t="n">
        <v>45954</v>
      </c>
      <c r="E2233" s="92" t="inlineStr">
        <is>
          <t>KR</t>
        </is>
      </c>
      <c r="F2233" s="92" t="n">
        <v>62501000</v>
      </c>
      <c r="G2233" s="92" t="n">
        <v>1101</v>
      </c>
      <c r="H2233" s="93" t="n">
        <v>235000</v>
      </c>
      <c r="I2233" s="92" t="inlineStr">
        <is>
          <t>10월 회의 다과 - T케이터링</t>
        </is>
      </c>
      <c r="J2233" s="92" t="inlineStr">
        <is>
          <t>V10005</t>
        </is>
      </c>
      <c r="K2233" s="92" t="inlineStr">
        <is>
          <t>T케이터링</t>
        </is>
      </c>
      <c r="M2233" s="9">
        <f>IF($A2233="","",VALUE($A2233&amp;"")*12+VALUE($B2233&amp;""))</f>
        <v/>
      </c>
      <c r="N2233" s="64">
        <f>IF($A2233="","",IFERROR(INDEX(부서매핑!$C$5:$C$504,MATCH($G2233&amp;"",부서매핑!$A$5:$A$504,0)),"미매핑"))</f>
        <v/>
      </c>
      <c r="O2233" s="9">
        <f>IF($A2233="","",N2233&amp;"|"&amp;$F2233)</f>
        <v/>
      </c>
      <c r="P2233" s="94">
        <f>IF($A2233="",0,$H2233*설정!$C$23)</f>
        <v/>
      </c>
      <c r="Q2233" s="64">
        <f>IF($A2233="","",IF(O2233&lt;&gt;원인분석!$C$9,"",IF(AND(M2233&gt;=원인분석!$C$10,M2233&lt;=원인분석!$C$11),"당기",IF(AND(M2233&gt;=원인분석!$C$12,M2233&lt;=원인분석!$C$13),"비교",""))))</f>
        <v/>
      </c>
      <c r="R2233" s="9">
        <f>IF(Q2233="","",$K2233&amp;"")</f>
        <v/>
      </c>
      <c r="S2233" s="9">
        <f>IF(Q2233="","",IF(MATCH(R2233,$R$5:$R$100000,0)=ROW()-4,ROW(),""))</f>
        <v/>
      </c>
      <c r="T2233" s="9">
        <f>IF(Q2233="당기",ABS(P2233)+ROW()/1000000000,"")</f>
        <v/>
      </c>
      <c r="U2233" s="9">
        <f>IF(Q2233="비교",ABS(P2233)+ROW()/1000000000,"")</f>
        <v/>
      </c>
      <c r="V2233" s="64">
        <f>IF($A2233="","",IF(COUNTIF(변동분석!$E$7:$E$506,O2233)&gt;0,"Y","N"))</f>
        <v/>
      </c>
      <c r="W2233" s="64">
        <f>IF($A2233="","",IFERROR(INDEX(계정매핑!$D$5:$D$504,MATCH($F2233&amp;"",계정매핑!$A$5:$A$504,0)),"미매핑"))</f>
        <v/>
      </c>
      <c r="X2233" s="9">
        <f>IF($A2233="","",$F2233&amp;"")</f>
        <v/>
      </c>
      <c r="Y2233" s="94">
        <f>IF($A2233="",0,IF(AE2233="직접",IF(AF2233="비귀속",$P2233,0),$P2233*(1-AG2233)*IFERROR(INDEX(계정대체기준!$F$20:$F$49,MATCH($N2233,계정대체기준!$A$20:$A$49,0)),1)))</f>
        <v/>
      </c>
      <c r="Z2233" s="94">
        <f>IF($A2233="",0,IF(AE2233="직접",IF(AF2233="신계약비",$P2233,0),$P2233*(1-AG2233)*IFERROR(INDEX(계정대체기준!$C$20:$C$49,MATCH($N2233,계정대체기준!$A$20:$A$49,0)),0)))</f>
        <v/>
      </c>
      <c r="AA2233" s="94">
        <f>IF($A2233="",0,IF(AE2233="직접",IF(OR(AF2233="유지비",AF2233="손해조사비"),$P2233,0),$P2233*(1-AG2233)*IFERROR(INDEX(계정대체기준!$D$20:$D$49,MATCH($N2233,계정대체기준!$A$20:$A$49,0)),0)))</f>
        <v/>
      </c>
      <c r="AB2233" s="94">
        <f>IF($A2233="",0,IF(AE2233="직접",IF(AF2233="수금비",$P2233,0),$P2233*(1-AG2233)*IFERROR(INDEX(계정대체기준!$E$20:$E$49,MATCH($N2233,계정대체기준!$A$20:$A$49,0)),0)))</f>
        <v/>
      </c>
      <c r="AC2233" s="9">
        <f>IF(AND($A2233&lt;&gt;"",M2233=설정!$C$20,Z2233&gt;0),Z2233+ROW()/1000000000,"")</f>
        <v/>
      </c>
      <c r="AD2233" s="94">
        <f>IF($A2233="",0,$P2233*AG2233)</f>
        <v/>
      </c>
      <c r="AE2233" s="64">
        <f>IF($A2233="","",IFERROR(INDEX(계정매핑!$E$5:$E$504,MATCH($F2233&amp;"",계정매핑!$A$5:$A$504,0))&amp;"","공통비"))</f>
        <v/>
      </c>
      <c r="AF2233" s="64">
        <f>IF($A2233="","",IF(AE2233="직접",IFERROR(INDEX(계정매핑!$F$5:$F$504,MATCH($F2233&amp;"",계정매핑!$A$5:$A$504,0))&amp;"","비귀속"),""))</f>
        <v/>
      </c>
      <c r="AG2233" s="96">
        <f>IF($A2233="",0,IF(AND(AE2233&lt;&gt;"직접",IFERROR(INDEX(계정매핑!$G$5:$G$504,MATCH($F2233&amp;"",계정매핑!$A$5:$A$504,0))&amp;"","")="유지비",COUNTIF(계정대체기준!$A$6:$A$15,$N2233)&gt;0),IFERROR(INDEX(계정대체기준!$E$6:$E$15,MATCH(VALUE($A2233&amp;""),계정대체기준!$D$6:$D$15,0)),0),0))</f>
        <v/>
      </c>
      <c r="AH2233" s="64">
        <f>IF($A2233="","",IF(AD2233=0,"",IF(OR(COUNTIF(계정대체기준!$A$77:$A$86,$N2233)&gt;0,ISNUMBER(MATCH($X2233,계정대체기준!$D$77:$D$86,0)),ISNUMBER(MATCH($F2233,계정대체기준!$D$77:$D$86,0))),"Y","N")))</f>
        <v/>
      </c>
    </row>
    <row r="2234">
      <c r="A2234" s="92" t="n">
        <v>2025</v>
      </c>
      <c r="B2234" s="92" t="n">
        <v>10</v>
      </c>
      <c r="C2234" s="92" t="inlineStr">
        <is>
          <t>5100002230</t>
        </is>
      </c>
      <c r="D2234" s="95" t="n">
        <v>45954</v>
      </c>
      <c r="E2234" s="92" t="inlineStr">
        <is>
          <t>KR</t>
        </is>
      </c>
      <c r="F2234" s="92" t="n">
        <v>62501000</v>
      </c>
      <c r="G2234" s="92" t="n">
        <v>1201</v>
      </c>
      <c r="H2234" s="93" t="n">
        <v>153000</v>
      </c>
      <c r="I2234" s="92" t="inlineStr">
        <is>
          <t>10월 회의 다과 - T케이터링</t>
        </is>
      </c>
      <c r="J2234" s="92" t="inlineStr">
        <is>
          <t>V10005</t>
        </is>
      </c>
      <c r="K2234" s="92" t="inlineStr">
        <is>
          <t>T케이터링</t>
        </is>
      </c>
      <c r="M2234" s="9">
        <f>IF($A2234="","",VALUE($A2234&amp;"")*12+VALUE($B2234&amp;""))</f>
        <v/>
      </c>
      <c r="N2234" s="64">
        <f>IF($A2234="","",IFERROR(INDEX(부서매핑!$C$5:$C$504,MATCH($G2234&amp;"",부서매핑!$A$5:$A$504,0)),"미매핑"))</f>
        <v/>
      </c>
      <c r="O2234" s="9">
        <f>IF($A2234="","",N2234&amp;"|"&amp;$F2234)</f>
        <v/>
      </c>
      <c r="P2234" s="94">
        <f>IF($A2234="",0,$H2234*설정!$C$23)</f>
        <v/>
      </c>
      <c r="Q2234" s="64">
        <f>IF($A2234="","",IF(O2234&lt;&gt;원인분석!$C$9,"",IF(AND(M2234&gt;=원인분석!$C$10,M2234&lt;=원인분석!$C$11),"당기",IF(AND(M2234&gt;=원인분석!$C$12,M2234&lt;=원인분석!$C$13),"비교",""))))</f>
        <v/>
      </c>
      <c r="R2234" s="9">
        <f>IF(Q2234="","",$K2234&amp;"")</f>
        <v/>
      </c>
      <c r="S2234" s="9">
        <f>IF(Q2234="","",IF(MATCH(R2234,$R$5:$R$100000,0)=ROW()-4,ROW(),""))</f>
        <v/>
      </c>
      <c r="T2234" s="9">
        <f>IF(Q2234="당기",ABS(P2234)+ROW()/1000000000,"")</f>
        <v/>
      </c>
      <c r="U2234" s="9">
        <f>IF(Q2234="비교",ABS(P2234)+ROW()/1000000000,"")</f>
        <v/>
      </c>
      <c r="V2234" s="64">
        <f>IF($A2234="","",IF(COUNTIF(변동분석!$E$7:$E$506,O2234)&gt;0,"Y","N"))</f>
        <v/>
      </c>
      <c r="W2234" s="64">
        <f>IF($A2234="","",IFERROR(INDEX(계정매핑!$D$5:$D$504,MATCH($F2234&amp;"",계정매핑!$A$5:$A$504,0)),"미매핑"))</f>
        <v/>
      </c>
      <c r="X2234" s="9">
        <f>IF($A2234="","",$F2234&amp;"")</f>
        <v/>
      </c>
      <c r="Y2234" s="94">
        <f>IF($A2234="",0,IF(AE2234="직접",IF(AF2234="비귀속",$P2234,0),$P2234*(1-AG2234)*IFERROR(INDEX(계정대체기준!$F$20:$F$49,MATCH($N2234,계정대체기준!$A$20:$A$49,0)),1)))</f>
        <v/>
      </c>
      <c r="Z2234" s="94">
        <f>IF($A2234="",0,IF(AE2234="직접",IF(AF2234="신계약비",$P2234,0),$P2234*(1-AG2234)*IFERROR(INDEX(계정대체기준!$C$20:$C$49,MATCH($N2234,계정대체기준!$A$20:$A$49,0)),0)))</f>
        <v/>
      </c>
      <c r="AA2234" s="94">
        <f>IF($A2234="",0,IF(AE2234="직접",IF(OR(AF2234="유지비",AF2234="손해조사비"),$P2234,0),$P2234*(1-AG2234)*IFERROR(INDEX(계정대체기준!$D$20:$D$49,MATCH($N2234,계정대체기준!$A$20:$A$49,0)),0)))</f>
        <v/>
      </c>
      <c r="AB2234" s="94">
        <f>IF($A2234="",0,IF(AE2234="직접",IF(AF2234="수금비",$P2234,0),$P2234*(1-AG2234)*IFERROR(INDEX(계정대체기준!$E$20:$E$49,MATCH($N2234,계정대체기준!$A$20:$A$49,0)),0)))</f>
        <v/>
      </c>
      <c r="AC2234" s="9">
        <f>IF(AND($A2234&lt;&gt;"",M2234=설정!$C$20,Z2234&gt;0),Z2234+ROW()/1000000000,"")</f>
        <v/>
      </c>
      <c r="AD2234" s="94">
        <f>IF($A2234="",0,$P2234*AG2234)</f>
        <v/>
      </c>
      <c r="AE2234" s="64">
        <f>IF($A2234="","",IFERROR(INDEX(계정매핑!$E$5:$E$504,MATCH($F2234&amp;"",계정매핑!$A$5:$A$504,0))&amp;"","공통비"))</f>
        <v/>
      </c>
      <c r="AF2234" s="64">
        <f>IF($A2234="","",IF(AE2234="직접",IFERROR(INDEX(계정매핑!$F$5:$F$504,MATCH($F2234&amp;"",계정매핑!$A$5:$A$504,0))&amp;"","비귀속"),""))</f>
        <v/>
      </c>
      <c r="AG2234" s="96">
        <f>IF($A2234="",0,IF(AND(AE2234&lt;&gt;"직접",IFERROR(INDEX(계정매핑!$G$5:$G$504,MATCH($F2234&amp;"",계정매핑!$A$5:$A$504,0))&amp;"","")="유지비",COUNTIF(계정대체기준!$A$6:$A$15,$N2234)&gt;0),IFERROR(INDEX(계정대체기준!$E$6:$E$15,MATCH(VALUE($A2234&amp;""),계정대체기준!$D$6:$D$15,0)),0),0))</f>
        <v/>
      </c>
      <c r="AH2234" s="64">
        <f>IF($A2234="","",IF(AD2234=0,"",IF(OR(COUNTIF(계정대체기준!$A$77:$A$86,$N2234)&gt;0,ISNUMBER(MATCH($X2234,계정대체기준!$D$77:$D$86,0)),ISNUMBER(MATCH($F2234,계정대체기준!$D$77:$D$86,0))),"Y","N")))</f>
        <v/>
      </c>
    </row>
    <row r="2235">
      <c r="A2235" s="92" t="n">
        <v>2025</v>
      </c>
      <c r="B2235" s="92" t="n">
        <v>10</v>
      </c>
      <c r="C2235" s="92" t="inlineStr">
        <is>
          <t>5100002231</t>
        </is>
      </c>
      <c r="D2235" s="95" t="n">
        <v>45954</v>
      </c>
      <c r="E2235" s="92" t="inlineStr">
        <is>
          <t>KR</t>
        </is>
      </c>
      <c r="F2235" s="92" t="n">
        <v>62701000</v>
      </c>
      <c r="G2235" s="92" t="n">
        <v>1502</v>
      </c>
      <c r="H2235" s="93" t="n">
        <v>72584000</v>
      </c>
      <c r="I2235" s="92" t="inlineStr">
        <is>
          <t>10월 광고 집행 - E미디어</t>
        </is>
      </c>
      <c r="J2235" s="92" t="inlineStr">
        <is>
          <t>V10033</t>
        </is>
      </c>
      <c r="K2235" s="92" t="inlineStr">
        <is>
          <t>E미디어</t>
        </is>
      </c>
      <c r="M2235" s="9">
        <f>IF($A2235="","",VALUE($A2235&amp;"")*12+VALUE($B2235&amp;""))</f>
        <v/>
      </c>
      <c r="N2235" s="64">
        <f>IF($A2235="","",IFERROR(INDEX(부서매핑!$C$5:$C$504,MATCH($G2235&amp;"",부서매핑!$A$5:$A$504,0)),"미매핑"))</f>
        <v/>
      </c>
      <c r="O2235" s="9">
        <f>IF($A2235="","",N2235&amp;"|"&amp;$F2235)</f>
        <v/>
      </c>
      <c r="P2235" s="94">
        <f>IF($A2235="",0,$H2235*설정!$C$23)</f>
        <v/>
      </c>
      <c r="Q2235" s="64">
        <f>IF($A2235="","",IF(O2235&lt;&gt;원인분석!$C$9,"",IF(AND(M2235&gt;=원인분석!$C$10,M2235&lt;=원인분석!$C$11),"당기",IF(AND(M2235&gt;=원인분석!$C$12,M2235&lt;=원인분석!$C$13),"비교",""))))</f>
        <v/>
      </c>
      <c r="R2235" s="9">
        <f>IF(Q2235="","",$K2235&amp;"")</f>
        <v/>
      </c>
      <c r="S2235" s="9">
        <f>IF(Q2235="","",IF(MATCH(R2235,$R$5:$R$100000,0)=ROW()-4,ROW(),""))</f>
        <v/>
      </c>
      <c r="T2235" s="9">
        <f>IF(Q2235="당기",ABS(P2235)+ROW()/1000000000,"")</f>
        <v/>
      </c>
      <c r="U2235" s="9">
        <f>IF(Q2235="비교",ABS(P2235)+ROW()/1000000000,"")</f>
        <v/>
      </c>
      <c r="V2235" s="64">
        <f>IF($A2235="","",IF(COUNTIF(변동분석!$E$7:$E$506,O2235)&gt;0,"Y","N"))</f>
        <v/>
      </c>
      <c r="W2235" s="64">
        <f>IF($A2235="","",IFERROR(INDEX(계정매핑!$D$5:$D$504,MATCH($F2235&amp;"",계정매핑!$A$5:$A$504,0)),"미매핑"))</f>
        <v/>
      </c>
      <c r="X2235" s="9">
        <f>IF($A2235="","",$F2235&amp;"")</f>
        <v/>
      </c>
      <c r="Y2235" s="94">
        <f>IF($A2235="",0,IF(AE2235="직접",IF(AF2235="비귀속",$P2235,0),$P2235*(1-AG2235)*IFERROR(INDEX(계정대체기준!$F$20:$F$49,MATCH($N2235,계정대체기준!$A$20:$A$49,0)),1)))</f>
        <v/>
      </c>
      <c r="Z2235" s="94">
        <f>IF($A2235="",0,IF(AE2235="직접",IF(AF2235="신계약비",$P2235,0),$P2235*(1-AG2235)*IFERROR(INDEX(계정대체기준!$C$20:$C$49,MATCH($N2235,계정대체기준!$A$20:$A$49,0)),0)))</f>
        <v/>
      </c>
      <c r="AA2235" s="94">
        <f>IF($A2235="",0,IF(AE2235="직접",IF(OR(AF2235="유지비",AF2235="손해조사비"),$P2235,0),$P2235*(1-AG2235)*IFERROR(INDEX(계정대체기준!$D$20:$D$49,MATCH($N2235,계정대체기준!$A$20:$A$49,0)),0)))</f>
        <v/>
      </c>
      <c r="AB2235" s="94">
        <f>IF($A2235="",0,IF(AE2235="직접",IF(AF2235="수금비",$P2235,0),$P2235*(1-AG2235)*IFERROR(INDEX(계정대체기준!$E$20:$E$49,MATCH($N2235,계정대체기준!$A$20:$A$49,0)),0)))</f>
        <v/>
      </c>
      <c r="AC2235" s="9">
        <f>IF(AND($A2235&lt;&gt;"",M2235=설정!$C$20,Z2235&gt;0),Z2235+ROW()/1000000000,"")</f>
        <v/>
      </c>
      <c r="AD2235" s="94">
        <f>IF($A2235="",0,$P2235*AG2235)</f>
        <v/>
      </c>
      <c r="AE2235" s="64">
        <f>IF($A2235="","",IFERROR(INDEX(계정매핑!$E$5:$E$504,MATCH($F2235&amp;"",계정매핑!$A$5:$A$504,0))&amp;"","공통비"))</f>
        <v/>
      </c>
      <c r="AF2235" s="64">
        <f>IF($A2235="","",IF(AE2235="직접",IFERROR(INDEX(계정매핑!$F$5:$F$504,MATCH($F2235&amp;"",계정매핑!$A$5:$A$504,0))&amp;"","비귀속"),""))</f>
        <v/>
      </c>
      <c r="AG2235" s="96">
        <f>IF($A2235="",0,IF(AND(AE2235&lt;&gt;"직접",IFERROR(INDEX(계정매핑!$G$5:$G$504,MATCH($F2235&amp;"",계정매핑!$A$5:$A$504,0))&amp;"","")="유지비",COUNTIF(계정대체기준!$A$6:$A$15,$N2235)&gt;0),IFERROR(INDEX(계정대체기준!$E$6:$E$15,MATCH(VALUE($A2235&amp;""),계정대체기준!$D$6:$D$15,0)),0),0))</f>
        <v/>
      </c>
      <c r="AH2235" s="64">
        <f>IF($A2235="","",IF(AD2235=0,"",IF(OR(COUNTIF(계정대체기준!$A$77:$A$86,$N2235)&gt;0,ISNUMBER(MATCH($X2235,계정대체기준!$D$77:$D$86,0)),ISNUMBER(MATCH($F2235,계정대체기준!$D$77:$D$86,0))),"Y","N")))</f>
        <v/>
      </c>
    </row>
    <row r="2236">
      <c r="A2236" s="92" t="n">
        <v>2025</v>
      </c>
      <c r="B2236" s="92" t="n">
        <v>10</v>
      </c>
      <c r="C2236" s="92" t="inlineStr">
        <is>
          <t>5100002232</t>
        </is>
      </c>
      <c r="D2236" s="95" t="n">
        <v>45954</v>
      </c>
      <c r="E2236" s="92" t="inlineStr">
        <is>
          <t>KR</t>
        </is>
      </c>
      <c r="F2236" s="92" t="n">
        <v>62901000</v>
      </c>
      <c r="G2236" s="92" t="n">
        <v>1101</v>
      </c>
      <c r="H2236" s="93" t="n">
        <v>2925000</v>
      </c>
      <c r="I2236" s="92" t="inlineStr">
        <is>
          <t>10월 자문 수수료 - W컨설팅</t>
        </is>
      </c>
      <c r="J2236" s="92" t="inlineStr">
        <is>
          <t>V10006</t>
        </is>
      </c>
      <c r="K2236" s="92" t="inlineStr">
        <is>
          <t>W컨설팅</t>
        </is>
      </c>
      <c r="M2236" s="9">
        <f>IF($A2236="","",VALUE($A2236&amp;"")*12+VALUE($B2236&amp;""))</f>
        <v/>
      </c>
      <c r="N2236" s="64">
        <f>IF($A2236="","",IFERROR(INDEX(부서매핑!$C$5:$C$504,MATCH($G2236&amp;"",부서매핑!$A$5:$A$504,0)),"미매핑"))</f>
        <v/>
      </c>
      <c r="O2236" s="9">
        <f>IF($A2236="","",N2236&amp;"|"&amp;$F2236)</f>
        <v/>
      </c>
      <c r="P2236" s="94">
        <f>IF($A2236="",0,$H2236*설정!$C$23)</f>
        <v/>
      </c>
      <c r="Q2236" s="64">
        <f>IF($A2236="","",IF(O2236&lt;&gt;원인분석!$C$9,"",IF(AND(M2236&gt;=원인분석!$C$10,M2236&lt;=원인분석!$C$11),"당기",IF(AND(M2236&gt;=원인분석!$C$12,M2236&lt;=원인분석!$C$13),"비교",""))))</f>
        <v/>
      </c>
      <c r="R2236" s="9">
        <f>IF(Q2236="","",$K2236&amp;"")</f>
        <v/>
      </c>
      <c r="S2236" s="9">
        <f>IF(Q2236="","",IF(MATCH(R2236,$R$5:$R$100000,0)=ROW()-4,ROW(),""))</f>
        <v/>
      </c>
      <c r="T2236" s="9">
        <f>IF(Q2236="당기",ABS(P2236)+ROW()/1000000000,"")</f>
        <v/>
      </c>
      <c r="U2236" s="9">
        <f>IF(Q2236="비교",ABS(P2236)+ROW()/1000000000,"")</f>
        <v/>
      </c>
      <c r="V2236" s="64">
        <f>IF($A2236="","",IF(COUNTIF(변동분석!$E$7:$E$506,O2236)&gt;0,"Y","N"))</f>
        <v/>
      </c>
      <c r="W2236" s="64">
        <f>IF($A2236="","",IFERROR(INDEX(계정매핑!$D$5:$D$504,MATCH($F2236&amp;"",계정매핑!$A$5:$A$504,0)),"미매핑"))</f>
        <v/>
      </c>
      <c r="X2236" s="9">
        <f>IF($A2236="","",$F2236&amp;"")</f>
        <v/>
      </c>
      <c r="Y2236" s="94">
        <f>IF($A2236="",0,IF(AE2236="직접",IF(AF2236="비귀속",$P2236,0),$P2236*(1-AG2236)*IFERROR(INDEX(계정대체기준!$F$20:$F$49,MATCH($N2236,계정대체기준!$A$20:$A$49,0)),1)))</f>
        <v/>
      </c>
      <c r="Z2236" s="94">
        <f>IF($A2236="",0,IF(AE2236="직접",IF(AF2236="신계약비",$P2236,0),$P2236*(1-AG2236)*IFERROR(INDEX(계정대체기준!$C$20:$C$49,MATCH($N2236,계정대체기준!$A$20:$A$49,0)),0)))</f>
        <v/>
      </c>
      <c r="AA2236" s="94">
        <f>IF($A2236="",0,IF(AE2236="직접",IF(OR(AF2236="유지비",AF2236="손해조사비"),$P2236,0),$P2236*(1-AG2236)*IFERROR(INDEX(계정대체기준!$D$20:$D$49,MATCH($N2236,계정대체기준!$A$20:$A$49,0)),0)))</f>
        <v/>
      </c>
      <c r="AB2236" s="94">
        <f>IF($A2236="",0,IF(AE2236="직접",IF(AF2236="수금비",$P2236,0),$P2236*(1-AG2236)*IFERROR(INDEX(계정대체기준!$E$20:$E$49,MATCH($N2236,계정대체기준!$A$20:$A$49,0)),0)))</f>
        <v/>
      </c>
      <c r="AC2236" s="9">
        <f>IF(AND($A2236&lt;&gt;"",M2236=설정!$C$20,Z2236&gt;0),Z2236+ROW()/1000000000,"")</f>
        <v/>
      </c>
      <c r="AD2236" s="94">
        <f>IF($A2236="",0,$P2236*AG2236)</f>
        <v/>
      </c>
      <c r="AE2236" s="64">
        <f>IF($A2236="","",IFERROR(INDEX(계정매핑!$E$5:$E$504,MATCH($F2236&amp;"",계정매핑!$A$5:$A$504,0))&amp;"","공통비"))</f>
        <v/>
      </c>
      <c r="AF2236" s="64">
        <f>IF($A2236="","",IF(AE2236="직접",IFERROR(INDEX(계정매핑!$F$5:$F$504,MATCH($F2236&amp;"",계정매핑!$A$5:$A$504,0))&amp;"","비귀속"),""))</f>
        <v/>
      </c>
      <c r="AG2236" s="96">
        <f>IF($A2236="",0,IF(AND(AE2236&lt;&gt;"직접",IFERROR(INDEX(계정매핑!$G$5:$G$504,MATCH($F2236&amp;"",계정매핑!$A$5:$A$504,0))&amp;"","")="유지비",COUNTIF(계정대체기준!$A$6:$A$15,$N2236)&gt;0),IFERROR(INDEX(계정대체기준!$E$6:$E$15,MATCH(VALUE($A2236&amp;""),계정대체기준!$D$6:$D$15,0)),0),0))</f>
        <v/>
      </c>
      <c r="AH2236" s="64">
        <f>IF($A2236="","",IF(AD2236=0,"",IF(OR(COUNTIF(계정대체기준!$A$77:$A$86,$N2236)&gt;0,ISNUMBER(MATCH($X2236,계정대체기준!$D$77:$D$86,0)),ISNUMBER(MATCH($F2236,계정대체기준!$D$77:$D$86,0))),"Y","N")))</f>
        <v/>
      </c>
    </row>
    <row r="2237">
      <c r="A2237" s="92" t="n">
        <v>2025</v>
      </c>
      <c r="B2237" s="92" t="n">
        <v>10</v>
      </c>
      <c r="C2237" s="92" t="inlineStr">
        <is>
          <t>5100002233</t>
        </is>
      </c>
      <c r="D2237" s="95" t="n">
        <v>45954</v>
      </c>
      <c r="E2237" s="92" t="inlineStr">
        <is>
          <t>KR</t>
        </is>
      </c>
      <c r="F2237" s="92" t="n">
        <v>63501000</v>
      </c>
      <c r="G2237" s="92" t="n">
        <v>1901</v>
      </c>
      <c r="H2237" s="93" t="n">
        <v>480563000</v>
      </c>
      <c r="I2237" s="92" t="inlineStr">
        <is>
          <t>10월 모집수수료 - BB에셋</t>
        </is>
      </c>
      <c r="J2237" s="92" t="inlineStr">
        <is>
          <t>V10013</t>
        </is>
      </c>
      <c r="K2237" s="92" t="inlineStr">
        <is>
          <t>BB에셋</t>
        </is>
      </c>
      <c r="M2237" s="9">
        <f>IF($A2237="","",VALUE($A2237&amp;"")*12+VALUE($B2237&amp;""))</f>
        <v/>
      </c>
      <c r="N2237" s="64">
        <f>IF($A2237="","",IFERROR(INDEX(부서매핑!$C$5:$C$504,MATCH($G2237&amp;"",부서매핑!$A$5:$A$504,0)),"미매핑"))</f>
        <v/>
      </c>
      <c r="O2237" s="9">
        <f>IF($A2237="","",N2237&amp;"|"&amp;$F2237)</f>
        <v/>
      </c>
      <c r="P2237" s="94">
        <f>IF($A2237="",0,$H2237*설정!$C$23)</f>
        <v/>
      </c>
      <c r="Q2237" s="64">
        <f>IF($A2237="","",IF(O2237&lt;&gt;원인분석!$C$9,"",IF(AND(M2237&gt;=원인분석!$C$10,M2237&lt;=원인분석!$C$11),"당기",IF(AND(M2237&gt;=원인분석!$C$12,M2237&lt;=원인분석!$C$13),"비교",""))))</f>
        <v/>
      </c>
      <c r="R2237" s="9">
        <f>IF(Q2237="","",$K2237&amp;"")</f>
        <v/>
      </c>
      <c r="S2237" s="9">
        <f>IF(Q2237="","",IF(MATCH(R2237,$R$5:$R$100000,0)=ROW()-4,ROW(),""))</f>
        <v/>
      </c>
      <c r="T2237" s="9">
        <f>IF(Q2237="당기",ABS(P2237)+ROW()/1000000000,"")</f>
        <v/>
      </c>
      <c r="U2237" s="9">
        <f>IF(Q2237="비교",ABS(P2237)+ROW()/1000000000,"")</f>
        <v/>
      </c>
      <c r="V2237" s="64">
        <f>IF($A2237="","",IF(COUNTIF(변동분석!$E$7:$E$506,O2237)&gt;0,"Y","N"))</f>
        <v/>
      </c>
      <c r="W2237" s="64">
        <f>IF($A2237="","",IFERROR(INDEX(계정매핑!$D$5:$D$504,MATCH($F2237&amp;"",계정매핑!$A$5:$A$504,0)),"미매핑"))</f>
        <v/>
      </c>
      <c r="X2237" s="9">
        <f>IF($A2237="","",$F2237&amp;"")</f>
        <v/>
      </c>
      <c r="Y2237" s="94">
        <f>IF($A2237="",0,IF(AE2237="직접",IF(AF2237="비귀속",$P2237,0),$P2237*(1-AG2237)*IFERROR(INDEX(계정대체기준!$F$20:$F$49,MATCH($N2237,계정대체기준!$A$20:$A$49,0)),1)))</f>
        <v/>
      </c>
      <c r="Z2237" s="94">
        <f>IF($A2237="",0,IF(AE2237="직접",IF(AF2237="신계약비",$P2237,0),$P2237*(1-AG2237)*IFERROR(INDEX(계정대체기준!$C$20:$C$49,MATCH($N2237,계정대체기준!$A$20:$A$49,0)),0)))</f>
        <v/>
      </c>
      <c r="AA2237" s="94">
        <f>IF($A2237="",0,IF(AE2237="직접",IF(OR(AF2237="유지비",AF2237="손해조사비"),$P2237,0),$P2237*(1-AG2237)*IFERROR(INDEX(계정대체기준!$D$20:$D$49,MATCH($N2237,계정대체기준!$A$20:$A$49,0)),0)))</f>
        <v/>
      </c>
      <c r="AB2237" s="94">
        <f>IF($A2237="",0,IF(AE2237="직접",IF(AF2237="수금비",$P2237,0),$P2237*(1-AG2237)*IFERROR(INDEX(계정대체기준!$E$20:$E$49,MATCH($N2237,계정대체기준!$A$20:$A$49,0)),0)))</f>
        <v/>
      </c>
      <c r="AC2237" s="9">
        <f>IF(AND($A2237&lt;&gt;"",M2237=설정!$C$20,Z2237&gt;0),Z2237+ROW()/1000000000,"")</f>
        <v/>
      </c>
      <c r="AD2237" s="94">
        <f>IF($A2237="",0,$P2237*AG2237)</f>
        <v/>
      </c>
      <c r="AE2237" s="64">
        <f>IF($A2237="","",IFERROR(INDEX(계정매핑!$E$5:$E$504,MATCH($F2237&amp;"",계정매핑!$A$5:$A$504,0))&amp;"","공통비"))</f>
        <v/>
      </c>
      <c r="AF2237" s="64">
        <f>IF($A2237="","",IF(AE2237="직접",IFERROR(INDEX(계정매핑!$F$5:$F$504,MATCH($F2237&amp;"",계정매핑!$A$5:$A$504,0))&amp;"","비귀속"),""))</f>
        <v/>
      </c>
      <c r="AG2237" s="96">
        <f>IF($A2237="",0,IF(AND(AE2237&lt;&gt;"직접",IFERROR(INDEX(계정매핑!$G$5:$G$504,MATCH($F2237&amp;"",계정매핑!$A$5:$A$504,0))&amp;"","")="유지비",COUNTIF(계정대체기준!$A$6:$A$15,$N2237)&gt;0),IFERROR(INDEX(계정대체기준!$E$6:$E$15,MATCH(VALUE($A2237&amp;""),계정대체기준!$D$6:$D$15,0)),0),0))</f>
        <v/>
      </c>
      <c r="AH2237" s="64">
        <f>IF($A2237="","",IF(AD2237=0,"",IF(OR(COUNTIF(계정대체기준!$A$77:$A$86,$N2237)&gt;0,ISNUMBER(MATCH($X2237,계정대체기준!$D$77:$D$86,0)),ISNUMBER(MATCH($F2237,계정대체기준!$D$77:$D$86,0))),"Y","N")))</f>
        <v/>
      </c>
    </row>
    <row r="2238">
      <c r="A2238" s="92" t="n">
        <v>2025</v>
      </c>
      <c r="B2238" s="92" t="n">
        <v>10</v>
      </c>
      <c r="C2238" s="92" t="inlineStr">
        <is>
          <t>5100002234</t>
        </is>
      </c>
      <c r="D2238" s="95" t="n">
        <v>45954</v>
      </c>
      <c r="E2238" s="92" t="inlineStr">
        <is>
          <t>KR</t>
        </is>
      </c>
      <c r="F2238" s="92" t="n">
        <v>63502000</v>
      </c>
      <c r="G2238" s="92" t="n">
        <v>1901</v>
      </c>
      <c r="H2238" s="93" t="n">
        <v>121917000</v>
      </c>
      <c r="I2238" s="92" t="inlineStr">
        <is>
          <t>10월 유지수수료 - (전속설계사)</t>
        </is>
      </c>
      <c r="J2238" s="92" t="inlineStr">
        <is>
          <t>V10021</t>
        </is>
      </c>
      <c r="K2238" s="92" t="inlineStr">
        <is>
          <t>(전속설계사)</t>
        </is>
      </c>
      <c r="M2238" s="9">
        <f>IF($A2238="","",VALUE($A2238&amp;"")*12+VALUE($B2238&amp;""))</f>
        <v/>
      </c>
      <c r="N2238" s="64">
        <f>IF($A2238="","",IFERROR(INDEX(부서매핑!$C$5:$C$504,MATCH($G2238&amp;"",부서매핑!$A$5:$A$504,0)),"미매핑"))</f>
        <v/>
      </c>
      <c r="O2238" s="9">
        <f>IF($A2238="","",N2238&amp;"|"&amp;$F2238)</f>
        <v/>
      </c>
      <c r="P2238" s="94">
        <f>IF($A2238="",0,$H2238*설정!$C$23)</f>
        <v/>
      </c>
      <c r="Q2238" s="64">
        <f>IF($A2238="","",IF(O2238&lt;&gt;원인분석!$C$9,"",IF(AND(M2238&gt;=원인분석!$C$10,M2238&lt;=원인분석!$C$11),"당기",IF(AND(M2238&gt;=원인분석!$C$12,M2238&lt;=원인분석!$C$13),"비교",""))))</f>
        <v/>
      </c>
      <c r="R2238" s="9">
        <f>IF(Q2238="","",$K2238&amp;"")</f>
        <v/>
      </c>
      <c r="S2238" s="9">
        <f>IF(Q2238="","",IF(MATCH(R2238,$R$5:$R$100000,0)=ROW()-4,ROW(),""))</f>
        <v/>
      </c>
      <c r="T2238" s="9">
        <f>IF(Q2238="당기",ABS(P2238)+ROW()/1000000000,"")</f>
        <v/>
      </c>
      <c r="U2238" s="9">
        <f>IF(Q2238="비교",ABS(P2238)+ROW()/1000000000,"")</f>
        <v/>
      </c>
      <c r="V2238" s="64">
        <f>IF($A2238="","",IF(COUNTIF(변동분석!$E$7:$E$506,O2238)&gt;0,"Y","N"))</f>
        <v/>
      </c>
      <c r="W2238" s="64">
        <f>IF($A2238="","",IFERROR(INDEX(계정매핑!$D$5:$D$504,MATCH($F2238&amp;"",계정매핑!$A$5:$A$504,0)),"미매핑"))</f>
        <v/>
      </c>
      <c r="X2238" s="9">
        <f>IF($A2238="","",$F2238&amp;"")</f>
        <v/>
      </c>
      <c r="Y2238" s="94">
        <f>IF($A2238="",0,IF(AE2238="직접",IF(AF2238="비귀속",$P2238,0),$P2238*(1-AG2238)*IFERROR(INDEX(계정대체기준!$F$20:$F$49,MATCH($N2238,계정대체기준!$A$20:$A$49,0)),1)))</f>
        <v/>
      </c>
      <c r="Z2238" s="94">
        <f>IF($A2238="",0,IF(AE2238="직접",IF(AF2238="신계약비",$P2238,0),$P2238*(1-AG2238)*IFERROR(INDEX(계정대체기준!$C$20:$C$49,MATCH($N2238,계정대체기준!$A$20:$A$49,0)),0)))</f>
        <v/>
      </c>
      <c r="AA2238" s="94">
        <f>IF($A2238="",0,IF(AE2238="직접",IF(OR(AF2238="유지비",AF2238="손해조사비"),$P2238,0),$P2238*(1-AG2238)*IFERROR(INDEX(계정대체기준!$D$20:$D$49,MATCH($N2238,계정대체기준!$A$20:$A$49,0)),0)))</f>
        <v/>
      </c>
      <c r="AB2238" s="94">
        <f>IF($A2238="",0,IF(AE2238="직접",IF(AF2238="수금비",$P2238,0),$P2238*(1-AG2238)*IFERROR(INDEX(계정대체기준!$E$20:$E$49,MATCH($N2238,계정대체기준!$A$20:$A$49,0)),0)))</f>
        <v/>
      </c>
      <c r="AC2238" s="9">
        <f>IF(AND($A2238&lt;&gt;"",M2238=설정!$C$20,Z2238&gt;0),Z2238+ROW()/1000000000,"")</f>
        <v/>
      </c>
      <c r="AD2238" s="94">
        <f>IF($A2238="",0,$P2238*AG2238)</f>
        <v/>
      </c>
      <c r="AE2238" s="64">
        <f>IF($A2238="","",IFERROR(INDEX(계정매핑!$E$5:$E$504,MATCH($F2238&amp;"",계정매핑!$A$5:$A$504,0))&amp;"","공통비"))</f>
        <v/>
      </c>
      <c r="AF2238" s="64">
        <f>IF($A2238="","",IF(AE2238="직접",IFERROR(INDEX(계정매핑!$F$5:$F$504,MATCH($F2238&amp;"",계정매핑!$A$5:$A$504,0))&amp;"","비귀속"),""))</f>
        <v/>
      </c>
      <c r="AG2238" s="96">
        <f>IF($A2238="",0,IF(AND(AE2238&lt;&gt;"직접",IFERROR(INDEX(계정매핑!$G$5:$G$504,MATCH($F2238&amp;"",계정매핑!$A$5:$A$504,0))&amp;"","")="유지비",COUNTIF(계정대체기준!$A$6:$A$15,$N2238)&gt;0),IFERROR(INDEX(계정대체기준!$E$6:$E$15,MATCH(VALUE($A2238&amp;""),계정대체기준!$D$6:$D$15,0)),0),0))</f>
        <v/>
      </c>
      <c r="AH2238" s="64">
        <f>IF($A2238="","",IF(AD2238=0,"",IF(OR(COUNTIF(계정대체기준!$A$77:$A$86,$N2238)&gt;0,ISNUMBER(MATCH($X2238,계정대체기준!$D$77:$D$86,0)),ISNUMBER(MATCH($F2238,계정대체기준!$D$77:$D$86,0))),"Y","N")))</f>
        <v/>
      </c>
    </row>
    <row r="2239">
      <c r="A2239" s="92" t="n">
        <v>2025</v>
      </c>
      <c r="B2239" s="92" t="n">
        <v>10</v>
      </c>
      <c r="C2239" s="92" t="inlineStr">
        <is>
          <t>5100002235</t>
        </is>
      </c>
      <c r="D2239" s="95" t="n">
        <v>45955</v>
      </c>
      <c r="E2239" s="92" t="inlineStr">
        <is>
          <t>KR</t>
        </is>
      </c>
      <c r="F2239" s="92" t="n">
        <v>62101000</v>
      </c>
      <c r="G2239" s="92" t="n">
        <v>1201</v>
      </c>
      <c r="H2239" s="93" t="n">
        <v>145000</v>
      </c>
      <c r="I2239" s="92" t="inlineStr">
        <is>
          <t>10월 국내출장 - M항공</t>
        </is>
      </c>
      <c r="J2239" s="92" t="inlineStr">
        <is>
          <t>V10001</t>
        </is>
      </c>
      <c r="K2239" s="92" t="inlineStr">
        <is>
          <t>M항공</t>
        </is>
      </c>
      <c r="M2239" s="9">
        <f>IF($A2239="","",VALUE($A2239&amp;"")*12+VALUE($B2239&amp;""))</f>
        <v/>
      </c>
      <c r="N2239" s="64">
        <f>IF($A2239="","",IFERROR(INDEX(부서매핑!$C$5:$C$504,MATCH($G2239&amp;"",부서매핑!$A$5:$A$504,0)),"미매핑"))</f>
        <v/>
      </c>
      <c r="O2239" s="9">
        <f>IF($A2239="","",N2239&amp;"|"&amp;$F2239)</f>
        <v/>
      </c>
      <c r="P2239" s="94">
        <f>IF($A2239="",0,$H2239*설정!$C$23)</f>
        <v/>
      </c>
      <c r="Q2239" s="64">
        <f>IF($A2239="","",IF(O2239&lt;&gt;원인분석!$C$9,"",IF(AND(M2239&gt;=원인분석!$C$10,M2239&lt;=원인분석!$C$11),"당기",IF(AND(M2239&gt;=원인분석!$C$12,M2239&lt;=원인분석!$C$13),"비교",""))))</f>
        <v/>
      </c>
      <c r="R2239" s="9">
        <f>IF(Q2239="","",$K2239&amp;"")</f>
        <v/>
      </c>
      <c r="S2239" s="9">
        <f>IF(Q2239="","",IF(MATCH(R2239,$R$5:$R$100000,0)=ROW()-4,ROW(),""))</f>
        <v/>
      </c>
      <c r="T2239" s="9">
        <f>IF(Q2239="당기",ABS(P2239)+ROW()/1000000000,"")</f>
        <v/>
      </c>
      <c r="U2239" s="9">
        <f>IF(Q2239="비교",ABS(P2239)+ROW()/1000000000,"")</f>
        <v/>
      </c>
      <c r="V2239" s="64">
        <f>IF($A2239="","",IF(COUNTIF(변동분석!$E$7:$E$506,O2239)&gt;0,"Y","N"))</f>
        <v/>
      </c>
      <c r="W2239" s="64">
        <f>IF($A2239="","",IFERROR(INDEX(계정매핑!$D$5:$D$504,MATCH($F2239&amp;"",계정매핑!$A$5:$A$504,0)),"미매핑"))</f>
        <v/>
      </c>
      <c r="X2239" s="9">
        <f>IF($A2239="","",$F2239&amp;"")</f>
        <v/>
      </c>
      <c r="Y2239" s="94">
        <f>IF($A2239="",0,IF(AE2239="직접",IF(AF2239="비귀속",$P2239,0),$P2239*(1-AG2239)*IFERROR(INDEX(계정대체기준!$F$20:$F$49,MATCH($N2239,계정대체기준!$A$20:$A$49,0)),1)))</f>
        <v/>
      </c>
      <c r="Z2239" s="94">
        <f>IF($A2239="",0,IF(AE2239="직접",IF(AF2239="신계약비",$P2239,0),$P2239*(1-AG2239)*IFERROR(INDEX(계정대체기준!$C$20:$C$49,MATCH($N2239,계정대체기준!$A$20:$A$49,0)),0)))</f>
        <v/>
      </c>
      <c r="AA2239" s="94">
        <f>IF($A2239="",0,IF(AE2239="직접",IF(OR(AF2239="유지비",AF2239="손해조사비"),$P2239,0),$P2239*(1-AG2239)*IFERROR(INDEX(계정대체기준!$D$20:$D$49,MATCH($N2239,계정대체기준!$A$20:$A$49,0)),0)))</f>
        <v/>
      </c>
      <c r="AB2239" s="94">
        <f>IF($A2239="",0,IF(AE2239="직접",IF(AF2239="수금비",$P2239,0),$P2239*(1-AG2239)*IFERROR(INDEX(계정대체기준!$E$20:$E$49,MATCH($N2239,계정대체기준!$A$20:$A$49,0)),0)))</f>
        <v/>
      </c>
      <c r="AC2239" s="9">
        <f>IF(AND($A2239&lt;&gt;"",M2239=설정!$C$20,Z2239&gt;0),Z2239+ROW()/1000000000,"")</f>
        <v/>
      </c>
      <c r="AD2239" s="94">
        <f>IF($A2239="",0,$P2239*AG2239)</f>
        <v/>
      </c>
      <c r="AE2239" s="64">
        <f>IF($A2239="","",IFERROR(INDEX(계정매핑!$E$5:$E$504,MATCH($F2239&amp;"",계정매핑!$A$5:$A$504,0))&amp;"","공통비"))</f>
        <v/>
      </c>
      <c r="AF2239" s="64">
        <f>IF($A2239="","",IF(AE2239="직접",IFERROR(INDEX(계정매핑!$F$5:$F$504,MATCH($F2239&amp;"",계정매핑!$A$5:$A$504,0))&amp;"","비귀속"),""))</f>
        <v/>
      </c>
      <c r="AG2239" s="96">
        <f>IF($A2239="",0,IF(AND(AE2239&lt;&gt;"직접",IFERROR(INDEX(계정매핑!$G$5:$G$504,MATCH($F2239&amp;"",계정매핑!$A$5:$A$504,0))&amp;"","")="유지비",COUNTIF(계정대체기준!$A$6:$A$15,$N2239)&gt;0),IFERROR(INDEX(계정대체기준!$E$6:$E$15,MATCH(VALUE($A2239&amp;""),계정대체기준!$D$6:$D$15,0)),0),0))</f>
        <v/>
      </c>
      <c r="AH2239" s="64">
        <f>IF($A2239="","",IF(AD2239=0,"",IF(OR(COUNTIF(계정대체기준!$A$77:$A$86,$N2239)&gt;0,ISNUMBER(MATCH($X2239,계정대체기준!$D$77:$D$86,0)),ISNUMBER(MATCH($F2239,계정대체기준!$D$77:$D$86,0))),"Y","N")))</f>
        <v/>
      </c>
    </row>
    <row r="2240">
      <c r="A2240" s="92" t="n">
        <v>2025</v>
      </c>
      <c r="B2240" s="92" t="n">
        <v>10</v>
      </c>
      <c r="C2240" s="92" t="inlineStr">
        <is>
          <t>5100002236</t>
        </is>
      </c>
      <c r="D2240" s="95" t="n">
        <v>45955</v>
      </c>
      <c r="E2240" s="92" t="inlineStr">
        <is>
          <t>KR</t>
        </is>
      </c>
      <c r="F2240" s="92" t="n">
        <v>62101000</v>
      </c>
      <c r="G2240" s="92" t="n">
        <v>1401</v>
      </c>
      <c r="H2240" s="93" t="n">
        <v>384000</v>
      </c>
      <c r="I2240" s="92" t="inlineStr">
        <is>
          <t>10월 국내출장 - L여행사</t>
        </is>
      </c>
      <c r="J2240" s="92" t="inlineStr">
        <is>
          <t>V10018</t>
        </is>
      </c>
      <c r="K2240" s="92" t="inlineStr">
        <is>
          <t>L여행사</t>
        </is>
      </c>
      <c r="M2240" s="9">
        <f>IF($A2240="","",VALUE($A2240&amp;"")*12+VALUE($B2240&amp;""))</f>
        <v/>
      </c>
      <c r="N2240" s="64">
        <f>IF($A2240="","",IFERROR(INDEX(부서매핑!$C$5:$C$504,MATCH($G2240&amp;"",부서매핑!$A$5:$A$504,0)),"미매핑"))</f>
        <v/>
      </c>
      <c r="O2240" s="9">
        <f>IF($A2240="","",N2240&amp;"|"&amp;$F2240)</f>
        <v/>
      </c>
      <c r="P2240" s="94">
        <f>IF($A2240="",0,$H2240*설정!$C$23)</f>
        <v/>
      </c>
      <c r="Q2240" s="64">
        <f>IF($A2240="","",IF(O2240&lt;&gt;원인분석!$C$9,"",IF(AND(M2240&gt;=원인분석!$C$10,M2240&lt;=원인분석!$C$11),"당기",IF(AND(M2240&gt;=원인분석!$C$12,M2240&lt;=원인분석!$C$13),"비교",""))))</f>
        <v/>
      </c>
      <c r="R2240" s="9">
        <f>IF(Q2240="","",$K2240&amp;"")</f>
        <v/>
      </c>
      <c r="S2240" s="9">
        <f>IF(Q2240="","",IF(MATCH(R2240,$R$5:$R$100000,0)=ROW()-4,ROW(),""))</f>
        <v/>
      </c>
      <c r="T2240" s="9">
        <f>IF(Q2240="당기",ABS(P2240)+ROW()/1000000000,"")</f>
        <v/>
      </c>
      <c r="U2240" s="9">
        <f>IF(Q2240="비교",ABS(P2240)+ROW()/1000000000,"")</f>
        <v/>
      </c>
      <c r="V2240" s="64">
        <f>IF($A2240="","",IF(COUNTIF(변동분석!$E$7:$E$506,O2240)&gt;0,"Y","N"))</f>
        <v/>
      </c>
      <c r="W2240" s="64">
        <f>IF($A2240="","",IFERROR(INDEX(계정매핑!$D$5:$D$504,MATCH($F2240&amp;"",계정매핑!$A$5:$A$504,0)),"미매핑"))</f>
        <v/>
      </c>
      <c r="X2240" s="9">
        <f>IF($A2240="","",$F2240&amp;"")</f>
        <v/>
      </c>
      <c r="Y2240" s="94">
        <f>IF($A2240="",0,IF(AE2240="직접",IF(AF2240="비귀속",$P2240,0),$P2240*(1-AG2240)*IFERROR(INDEX(계정대체기준!$F$20:$F$49,MATCH($N2240,계정대체기준!$A$20:$A$49,0)),1)))</f>
        <v/>
      </c>
      <c r="Z2240" s="94">
        <f>IF($A2240="",0,IF(AE2240="직접",IF(AF2240="신계약비",$P2240,0),$P2240*(1-AG2240)*IFERROR(INDEX(계정대체기준!$C$20:$C$49,MATCH($N2240,계정대체기준!$A$20:$A$49,0)),0)))</f>
        <v/>
      </c>
      <c r="AA2240" s="94">
        <f>IF($A2240="",0,IF(AE2240="직접",IF(OR(AF2240="유지비",AF2240="손해조사비"),$P2240,0),$P2240*(1-AG2240)*IFERROR(INDEX(계정대체기준!$D$20:$D$49,MATCH($N2240,계정대체기준!$A$20:$A$49,0)),0)))</f>
        <v/>
      </c>
      <c r="AB2240" s="94">
        <f>IF($A2240="",0,IF(AE2240="직접",IF(AF2240="수금비",$P2240,0),$P2240*(1-AG2240)*IFERROR(INDEX(계정대체기준!$E$20:$E$49,MATCH($N2240,계정대체기준!$A$20:$A$49,0)),0)))</f>
        <v/>
      </c>
      <c r="AC2240" s="9">
        <f>IF(AND($A2240&lt;&gt;"",M2240=설정!$C$20,Z2240&gt;0),Z2240+ROW()/1000000000,"")</f>
        <v/>
      </c>
      <c r="AD2240" s="94">
        <f>IF($A2240="",0,$P2240*AG2240)</f>
        <v/>
      </c>
      <c r="AE2240" s="64">
        <f>IF($A2240="","",IFERROR(INDEX(계정매핑!$E$5:$E$504,MATCH($F2240&amp;"",계정매핑!$A$5:$A$504,0))&amp;"","공통비"))</f>
        <v/>
      </c>
      <c r="AF2240" s="64">
        <f>IF($A2240="","",IF(AE2240="직접",IFERROR(INDEX(계정매핑!$F$5:$F$504,MATCH($F2240&amp;"",계정매핑!$A$5:$A$504,0))&amp;"","비귀속"),""))</f>
        <v/>
      </c>
      <c r="AG2240" s="96">
        <f>IF($A2240="",0,IF(AND(AE2240&lt;&gt;"직접",IFERROR(INDEX(계정매핑!$G$5:$G$504,MATCH($F2240&amp;"",계정매핑!$A$5:$A$504,0))&amp;"","")="유지비",COUNTIF(계정대체기준!$A$6:$A$15,$N2240)&gt;0),IFERROR(INDEX(계정대체기준!$E$6:$E$15,MATCH(VALUE($A2240&amp;""),계정대체기준!$D$6:$D$15,0)),0),0))</f>
        <v/>
      </c>
      <c r="AH2240" s="64">
        <f>IF($A2240="","",IF(AD2240=0,"",IF(OR(COUNTIF(계정대체기준!$A$77:$A$86,$N2240)&gt;0,ISNUMBER(MATCH($X2240,계정대체기준!$D$77:$D$86,0)),ISNUMBER(MATCH($F2240,계정대체기준!$D$77:$D$86,0))),"Y","N")))</f>
        <v/>
      </c>
    </row>
    <row r="2241">
      <c r="A2241" s="92" t="n">
        <v>2025</v>
      </c>
      <c r="B2241" s="92" t="n">
        <v>10</v>
      </c>
      <c r="C2241" s="92" t="inlineStr">
        <is>
          <t>5100002237</t>
        </is>
      </c>
      <c r="D2241" s="95" t="n">
        <v>45955</v>
      </c>
      <c r="E2241" s="92" t="inlineStr">
        <is>
          <t>KR</t>
        </is>
      </c>
      <c r="F2241" s="92" t="n">
        <v>62101000</v>
      </c>
      <c r="G2241" s="92" t="n">
        <v>1602</v>
      </c>
      <c r="H2241" s="93" t="n">
        <v>1205000</v>
      </c>
      <c r="I2241" s="92" t="inlineStr">
        <is>
          <t>10월 국내출장 - M항공</t>
        </is>
      </c>
      <c r="J2241" s="92" t="inlineStr">
        <is>
          <t>V10001</t>
        </is>
      </c>
      <c r="K2241" s="92" t="inlineStr">
        <is>
          <t>M항공</t>
        </is>
      </c>
      <c r="M2241" s="9">
        <f>IF($A2241="","",VALUE($A2241&amp;"")*12+VALUE($B2241&amp;""))</f>
        <v/>
      </c>
      <c r="N2241" s="64">
        <f>IF($A2241="","",IFERROR(INDEX(부서매핑!$C$5:$C$504,MATCH($G2241&amp;"",부서매핑!$A$5:$A$504,0)),"미매핑"))</f>
        <v/>
      </c>
      <c r="O2241" s="9">
        <f>IF($A2241="","",N2241&amp;"|"&amp;$F2241)</f>
        <v/>
      </c>
      <c r="P2241" s="94">
        <f>IF($A2241="",0,$H2241*설정!$C$23)</f>
        <v/>
      </c>
      <c r="Q2241" s="64">
        <f>IF($A2241="","",IF(O2241&lt;&gt;원인분석!$C$9,"",IF(AND(M2241&gt;=원인분석!$C$10,M2241&lt;=원인분석!$C$11),"당기",IF(AND(M2241&gt;=원인분석!$C$12,M2241&lt;=원인분석!$C$13),"비교",""))))</f>
        <v/>
      </c>
      <c r="R2241" s="9">
        <f>IF(Q2241="","",$K2241&amp;"")</f>
        <v/>
      </c>
      <c r="S2241" s="9">
        <f>IF(Q2241="","",IF(MATCH(R2241,$R$5:$R$100000,0)=ROW()-4,ROW(),""))</f>
        <v/>
      </c>
      <c r="T2241" s="9">
        <f>IF(Q2241="당기",ABS(P2241)+ROW()/1000000000,"")</f>
        <v/>
      </c>
      <c r="U2241" s="9">
        <f>IF(Q2241="비교",ABS(P2241)+ROW()/1000000000,"")</f>
        <v/>
      </c>
      <c r="V2241" s="64">
        <f>IF($A2241="","",IF(COUNTIF(변동분석!$E$7:$E$506,O2241)&gt;0,"Y","N"))</f>
        <v/>
      </c>
      <c r="W2241" s="64">
        <f>IF($A2241="","",IFERROR(INDEX(계정매핑!$D$5:$D$504,MATCH($F2241&amp;"",계정매핑!$A$5:$A$504,0)),"미매핑"))</f>
        <v/>
      </c>
      <c r="X2241" s="9">
        <f>IF($A2241="","",$F2241&amp;"")</f>
        <v/>
      </c>
      <c r="Y2241" s="94">
        <f>IF($A2241="",0,IF(AE2241="직접",IF(AF2241="비귀속",$P2241,0),$P2241*(1-AG2241)*IFERROR(INDEX(계정대체기준!$F$20:$F$49,MATCH($N2241,계정대체기준!$A$20:$A$49,0)),1)))</f>
        <v/>
      </c>
      <c r="Z2241" s="94">
        <f>IF($A2241="",0,IF(AE2241="직접",IF(AF2241="신계약비",$P2241,0),$P2241*(1-AG2241)*IFERROR(INDEX(계정대체기준!$C$20:$C$49,MATCH($N2241,계정대체기준!$A$20:$A$49,0)),0)))</f>
        <v/>
      </c>
      <c r="AA2241" s="94">
        <f>IF($A2241="",0,IF(AE2241="직접",IF(OR(AF2241="유지비",AF2241="손해조사비"),$P2241,0),$P2241*(1-AG2241)*IFERROR(INDEX(계정대체기준!$D$20:$D$49,MATCH($N2241,계정대체기준!$A$20:$A$49,0)),0)))</f>
        <v/>
      </c>
      <c r="AB2241" s="94">
        <f>IF($A2241="",0,IF(AE2241="직접",IF(AF2241="수금비",$P2241,0),$P2241*(1-AG2241)*IFERROR(INDEX(계정대체기준!$E$20:$E$49,MATCH($N2241,계정대체기준!$A$20:$A$49,0)),0)))</f>
        <v/>
      </c>
      <c r="AC2241" s="9">
        <f>IF(AND($A2241&lt;&gt;"",M2241=설정!$C$20,Z2241&gt;0),Z2241+ROW()/1000000000,"")</f>
        <v/>
      </c>
      <c r="AD2241" s="94">
        <f>IF($A2241="",0,$P2241*AG2241)</f>
        <v/>
      </c>
      <c r="AE2241" s="64">
        <f>IF($A2241="","",IFERROR(INDEX(계정매핑!$E$5:$E$504,MATCH($F2241&amp;"",계정매핑!$A$5:$A$504,0))&amp;"","공통비"))</f>
        <v/>
      </c>
      <c r="AF2241" s="64">
        <f>IF($A2241="","",IF(AE2241="직접",IFERROR(INDEX(계정매핑!$F$5:$F$504,MATCH($F2241&amp;"",계정매핑!$A$5:$A$504,0))&amp;"","비귀속"),""))</f>
        <v/>
      </c>
      <c r="AG2241" s="96">
        <f>IF($A2241="",0,IF(AND(AE2241&lt;&gt;"직접",IFERROR(INDEX(계정매핑!$G$5:$G$504,MATCH($F2241&amp;"",계정매핑!$A$5:$A$504,0))&amp;"","")="유지비",COUNTIF(계정대체기준!$A$6:$A$15,$N2241)&gt;0),IFERROR(INDEX(계정대체기준!$E$6:$E$15,MATCH(VALUE($A2241&amp;""),계정대체기준!$D$6:$D$15,0)),0),0))</f>
        <v/>
      </c>
      <c r="AH2241" s="64">
        <f>IF($A2241="","",IF(AD2241=0,"",IF(OR(COUNTIF(계정대체기준!$A$77:$A$86,$N2241)&gt;0,ISNUMBER(MATCH($X2241,계정대체기준!$D$77:$D$86,0)),ISNUMBER(MATCH($F2241,계정대체기준!$D$77:$D$86,0))),"Y","N")))</f>
        <v/>
      </c>
    </row>
    <row r="2242">
      <c r="A2242" s="92" t="n">
        <v>2025</v>
      </c>
      <c r="B2242" s="92" t="n">
        <v>10</v>
      </c>
      <c r="C2242" s="92" t="inlineStr">
        <is>
          <t>5100002238</t>
        </is>
      </c>
      <c r="D2242" s="95" t="n">
        <v>45955</v>
      </c>
      <c r="E2242" s="92" t="inlineStr">
        <is>
          <t>KR</t>
        </is>
      </c>
      <c r="F2242" s="92" t="n">
        <v>62102000</v>
      </c>
      <c r="G2242" s="92" t="n">
        <v>1201</v>
      </c>
      <c r="H2242" s="93" t="n">
        <v>121000</v>
      </c>
      <c r="I2242" s="92" t="inlineStr">
        <is>
          <t>10월 해외출장 - N호텔</t>
        </is>
      </c>
      <c r="J2242" s="92" t="inlineStr">
        <is>
          <t>V10009</t>
        </is>
      </c>
      <c r="K2242" s="92" t="inlineStr">
        <is>
          <t>N호텔</t>
        </is>
      </c>
      <c r="M2242" s="9">
        <f>IF($A2242="","",VALUE($A2242&amp;"")*12+VALUE($B2242&amp;""))</f>
        <v/>
      </c>
      <c r="N2242" s="64">
        <f>IF($A2242="","",IFERROR(INDEX(부서매핑!$C$5:$C$504,MATCH($G2242&amp;"",부서매핑!$A$5:$A$504,0)),"미매핑"))</f>
        <v/>
      </c>
      <c r="O2242" s="9">
        <f>IF($A2242="","",N2242&amp;"|"&amp;$F2242)</f>
        <v/>
      </c>
      <c r="P2242" s="94">
        <f>IF($A2242="",0,$H2242*설정!$C$23)</f>
        <v/>
      </c>
      <c r="Q2242" s="64">
        <f>IF($A2242="","",IF(O2242&lt;&gt;원인분석!$C$9,"",IF(AND(M2242&gt;=원인분석!$C$10,M2242&lt;=원인분석!$C$11),"당기",IF(AND(M2242&gt;=원인분석!$C$12,M2242&lt;=원인분석!$C$13),"비교",""))))</f>
        <v/>
      </c>
      <c r="R2242" s="9">
        <f>IF(Q2242="","",$K2242&amp;"")</f>
        <v/>
      </c>
      <c r="S2242" s="9">
        <f>IF(Q2242="","",IF(MATCH(R2242,$R$5:$R$100000,0)=ROW()-4,ROW(),""))</f>
        <v/>
      </c>
      <c r="T2242" s="9">
        <f>IF(Q2242="당기",ABS(P2242)+ROW()/1000000000,"")</f>
        <v/>
      </c>
      <c r="U2242" s="9">
        <f>IF(Q2242="비교",ABS(P2242)+ROW()/1000000000,"")</f>
        <v/>
      </c>
      <c r="V2242" s="64">
        <f>IF($A2242="","",IF(COUNTIF(변동분석!$E$7:$E$506,O2242)&gt;0,"Y","N"))</f>
        <v/>
      </c>
      <c r="W2242" s="64">
        <f>IF($A2242="","",IFERROR(INDEX(계정매핑!$D$5:$D$504,MATCH($F2242&amp;"",계정매핑!$A$5:$A$504,0)),"미매핑"))</f>
        <v/>
      </c>
      <c r="X2242" s="9">
        <f>IF($A2242="","",$F2242&amp;"")</f>
        <v/>
      </c>
      <c r="Y2242" s="94">
        <f>IF($A2242="",0,IF(AE2242="직접",IF(AF2242="비귀속",$P2242,0),$P2242*(1-AG2242)*IFERROR(INDEX(계정대체기준!$F$20:$F$49,MATCH($N2242,계정대체기준!$A$20:$A$49,0)),1)))</f>
        <v/>
      </c>
      <c r="Z2242" s="94">
        <f>IF($A2242="",0,IF(AE2242="직접",IF(AF2242="신계약비",$P2242,0),$P2242*(1-AG2242)*IFERROR(INDEX(계정대체기준!$C$20:$C$49,MATCH($N2242,계정대체기준!$A$20:$A$49,0)),0)))</f>
        <v/>
      </c>
      <c r="AA2242" s="94">
        <f>IF($A2242="",0,IF(AE2242="직접",IF(OR(AF2242="유지비",AF2242="손해조사비"),$P2242,0),$P2242*(1-AG2242)*IFERROR(INDEX(계정대체기준!$D$20:$D$49,MATCH($N2242,계정대체기준!$A$20:$A$49,0)),0)))</f>
        <v/>
      </c>
      <c r="AB2242" s="94">
        <f>IF($A2242="",0,IF(AE2242="직접",IF(AF2242="수금비",$P2242,0),$P2242*(1-AG2242)*IFERROR(INDEX(계정대체기준!$E$20:$E$49,MATCH($N2242,계정대체기준!$A$20:$A$49,0)),0)))</f>
        <v/>
      </c>
      <c r="AC2242" s="9">
        <f>IF(AND($A2242&lt;&gt;"",M2242=설정!$C$20,Z2242&gt;0),Z2242+ROW()/1000000000,"")</f>
        <v/>
      </c>
      <c r="AD2242" s="94">
        <f>IF($A2242="",0,$P2242*AG2242)</f>
        <v/>
      </c>
      <c r="AE2242" s="64">
        <f>IF($A2242="","",IFERROR(INDEX(계정매핑!$E$5:$E$504,MATCH($F2242&amp;"",계정매핑!$A$5:$A$504,0))&amp;"","공통비"))</f>
        <v/>
      </c>
      <c r="AF2242" s="64">
        <f>IF($A2242="","",IF(AE2242="직접",IFERROR(INDEX(계정매핑!$F$5:$F$504,MATCH($F2242&amp;"",계정매핑!$A$5:$A$504,0))&amp;"","비귀속"),""))</f>
        <v/>
      </c>
      <c r="AG2242" s="96">
        <f>IF($A2242="",0,IF(AND(AE2242&lt;&gt;"직접",IFERROR(INDEX(계정매핑!$G$5:$G$504,MATCH($F2242&amp;"",계정매핑!$A$5:$A$504,0))&amp;"","")="유지비",COUNTIF(계정대체기준!$A$6:$A$15,$N2242)&gt;0),IFERROR(INDEX(계정대체기준!$E$6:$E$15,MATCH(VALUE($A2242&amp;""),계정대체기준!$D$6:$D$15,0)),0),0))</f>
        <v/>
      </c>
      <c r="AH2242" s="64">
        <f>IF($A2242="","",IF(AD2242=0,"",IF(OR(COUNTIF(계정대체기준!$A$77:$A$86,$N2242)&gt;0,ISNUMBER(MATCH($X2242,계정대체기준!$D$77:$D$86,0)),ISNUMBER(MATCH($F2242,계정대체기준!$D$77:$D$86,0))),"Y","N")))</f>
        <v/>
      </c>
    </row>
    <row r="2243">
      <c r="A2243" s="92" t="n">
        <v>2025</v>
      </c>
      <c r="B2243" s="92" t="n">
        <v>10</v>
      </c>
      <c r="C2243" s="92" t="inlineStr">
        <is>
          <t>5100002239</t>
        </is>
      </c>
      <c r="D2243" s="95" t="n">
        <v>45955</v>
      </c>
      <c r="E2243" s="92" t="inlineStr">
        <is>
          <t>KR</t>
        </is>
      </c>
      <c r="F2243" s="92" t="n">
        <v>62102000</v>
      </c>
      <c r="G2243" s="92" t="n">
        <v>1502</v>
      </c>
      <c r="H2243" s="93" t="n">
        <v>114000</v>
      </c>
      <c r="I2243" s="92" t="inlineStr">
        <is>
          <t>10월 해외출장 - N호텔</t>
        </is>
      </c>
      <c r="J2243" s="92" t="inlineStr">
        <is>
          <t>V10009</t>
        </is>
      </c>
      <c r="K2243" s="92" t="inlineStr">
        <is>
          <t>N호텔</t>
        </is>
      </c>
      <c r="M2243" s="9">
        <f>IF($A2243="","",VALUE($A2243&amp;"")*12+VALUE($B2243&amp;""))</f>
        <v/>
      </c>
      <c r="N2243" s="64">
        <f>IF($A2243="","",IFERROR(INDEX(부서매핑!$C$5:$C$504,MATCH($G2243&amp;"",부서매핑!$A$5:$A$504,0)),"미매핑"))</f>
        <v/>
      </c>
      <c r="O2243" s="9">
        <f>IF($A2243="","",N2243&amp;"|"&amp;$F2243)</f>
        <v/>
      </c>
      <c r="P2243" s="94">
        <f>IF($A2243="",0,$H2243*설정!$C$23)</f>
        <v/>
      </c>
      <c r="Q2243" s="64">
        <f>IF($A2243="","",IF(O2243&lt;&gt;원인분석!$C$9,"",IF(AND(M2243&gt;=원인분석!$C$10,M2243&lt;=원인분석!$C$11),"당기",IF(AND(M2243&gt;=원인분석!$C$12,M2243&lt;=원인분석!$C$13),"비교",""))))</f>
        <v/>
      </c>
      <c r="R2243" s="9">
        <f>IF(Q2243="","",$K2243&amp;"")</f>
        <v/>
      </c>
      <c r="S2243" s="9">
        <f>IF(Q2243="","",IF(MATCH(R2243,$R$5:$R$100000,0)=ROW()-4,ROW(),""))</f>
        <v/>
      </c>
      <c r="T2243" s="9">
        <f>IF(Q2243="당기",ABS(P2243)+ROW()/1000000000,"")</f>
        <v/>
      </c>
      <c r="U2243" s="9">
        <f>IF(Q2243="비교",ABS(P2243)+ROW()/1000000000,"")</f>
        <v/>
      </c>
      <c r="V2243" s="64">
        <f>IF($A2243="","",IF(COUNTIF(변동분석!$E$7:$E$506,O2243)&gt;0,"Y","N"))</f>
        <v/>
      </c>
      <c r="W2243" s="64">
        <f>IF($A2243="","",IFERROR(INDEX(계정매핑!$D$5:$D$504,MATCH($F2243&amp;"",계정매핑!$A$5:$A$504,0)),"미매핑"))</f>
        <v/>
      </c>
      <c r="X2243" s="9">
        <f>IF($A2243="","",$F2243&amp;"")</f>
        <v/>
      </c>
      <c r="Y2243" s="94">
        <f>IF($A2243="",0,IF(AE2243="직접",IF(AF2243="비귀속",$P2243,0),$P2243*(1-AG2243)*IFERROR(INDEX(계정대체기준!$F$20:$F$49,MATCH($N2243,계정대체기준!$A$20:$A$49,0)),1)))</f>
        <v/>
      </c>
      <c r="Z2243" s="94">
        <f>IF($A2243="",0,IF(AE2243="직접",IF(AF2243="신계약비",$P2243,0),$P2243*(1-AG2243)*IFERROR(INDEX(계정대체기준!$C$20:$C$49,MATCH($N2243,계정대체기준!$A$20:$A$49,0)),0)))</f>
        <v/>
      </c>
      <c r="AA2243" s="94">
        <f>IF($A2243="",0,IF(AE2243="직접",IF(OR(AF2243="유지비",AF2243="손해조사비"),$P2243,0),$P2243*(1-AG2243)*IFERROR(INDEX(계정대체기준!$D$20:$D$49,MATCH($N2243,계정대체기준!$A$20:$A$49,0)),0)))</f>
        <v/>
      </c>
      <c r="AB2243" s="94">
        <f>IF($A2243="",0,IF(AE2243="직접",IF(AF2243="수금비",$P2243,0),$P2243*(1-AG2243)*IFERROR(INDEX(계정대체기준!$E$20:$E$49,MATCH($N2243,계정대체기준!$A$20:$A$49,0)),0)))</f>
        <v/>
      </c>
      <c r="AC2243" s="9">
        <f>IF(AND($A2243&lt;&gt;"",M2243=설정!$C$20,Z2243&gt;0),Z2243+ROW()/1000000000,"")</f>
        <v/>
      </c>
      <c r="AD2243" s="94">
        <f>IF($A2243="",0,$P2243*AG2243)</f>
        <v/>
      </c>
      <c r="AE2243" s="64">
        <f>IF($A2243="","",IFERROR(INDEX(계정매핑!$E$5:$E$504,MATCH($F2243&amp;"",계정매핑!$A$5:$A$504,0))&amp;"","공통비"))</f>
        <v/>
      </c>
      <c r="AF2243" s="64">
        <f>IF($A2243="","",IF(AE2243="직접",IFERROR(INDEX(계정매핑!$F$5:$F$504,MATCH($F2243&amp;"",계정매핑!$A$5:$A$504,0))&amp;"","비귀속"),""))</f>
        <v/>
      </c>
      <c r="AG2243" s="96">
        <f>IF($A2243="",0,IF(AND(AE2243&lt;&gt;"직접",IFERROR(INDEX(계정매핑!$G$5:$G$504,MATCH($F2243&amp;"",계정매핑!$A$5:$A$504,0))&amp;"","")="유지비",COUNTIF(계정대체기준!$A$6:$A$15,$N2243)&gt;0),IFERROR(INDEX(계정대체기준!$E$6:$E$15,MATCH(VALUE($A2243&amp;""),계정대체기준!$D$6:$D$15,0)),0),0))</f>
        <v/>
      </c>
      <c r="AH2243" s="64">
        <f>IF($A2243="","",IF(AD2243=0,"",IF(OR(COUNTIF(계정대체기준!$A$77:$A$86,$N2243)&gt;0,ISNUMBER(MATCH($X2243,계정대체기준!$D$77:$D$86,0)),ISNUMBER(MATCH($F2243,계정대체기준!$D$77:$D$86,0))),"Y","N")))</f>
        <v/>
      </c>
    </row>
    <row r="2244">
      <c r="A2244" s="92" t="n">
        <v>2025</v>
      </c>
      <c r="B2244" s="92" t="n">
        <v>10</v>
      </c>
      <c r="C2244" s="92" t="inlineStr">
        <is>
          <t>5100002240</t>
        </is>
      </c>
      <c r="D2244" s="95" t="n">
        <v>45955</v>
      </c>
      <c r="E2244" s="92" t="inlineStr">
        <is>
          <t>KR</t>
        </is>
      </c>
      <c r="F2244" s="92" t="n">
        <v>62102000</v>
      </c>
      <c r="G2244" s="92" t="n">
        <v>1951</v>
      </c>
      <c r="H2244" s="93" t="n">
        <v>69000</v>
      </c>
      <c r="I2244" s="92" t="inlineStr">
        <is>
          <t>10월 해외출장 - M항공</t>
        </is>
      </c>
      <c r="J2244" s="92" t="inlineStr">
        <is>
          <t>V10001</t>
        </is>
      </c>
      <c r="K2244" s="92" t="inlineStr">
        <is>
          <t>M항공</t>
        </is>
      </c>
      <c r="M2244" s="9">
        <f>IF($A2244="","",VALUE($A2244&amp;"")*12+VALUE($B2244&amp;""))</f>
        <v/>
      </c>
      <c r="N2244" s="64">
        <f>IF($A2244="","",IFERROR(INDEX(부서매핑!$C$5:$C$504,MATCH($G2244&amp;"",부서매핑!$A$5:$A$504,0)),"미매핑"))</f>
        <v/>
      </c>
      <c r="O2244" s="9">
        <f>IF($A2244="","",N2244&amp;"|"&amp;$F2244)</f>
        <v/>
      </c>
      <c r="P2244" s="94">
        <f>IF($A2244="",0,$H2244*설정!$C$23)</f>
        <v/>
      </c>
      <c r="Q2244" s="64">
        <f>IF($A2244="","",IF(O2244&lt;&gt;원인분석!$C$9,"",IF(AND(M2244&gt;=원인분석!$C$10,M2244&lt;=원인분석!$C$11),"당기",IF(AND(M2244&gt;=원인분석!$C$12,M2244&lt;=원인분석!$C$13),"비교",""))))</f>
        <v/>
      </c>
      <c r="R2244" s="9">
        <f>IF(Q2244="","",$K2244&amp;"")</f>
        <v/>
      </c>
      <c r="S2244" s="9">
        <f>IF(Q2244="","",IF(MATCH(R2244,$R$5:$R$100000,0)=ROW()-4,ROW(),""))</f>
        <v/>
      </c>
      <c r="T2244" s="9">
        <f>IF(Q2244="당기",ABS(P2244)+ROW()/1000000000,"")</f>
        <v/>
      </c>
      <c r="U2244" s="9">
        <f>IF(Q2244="비교",ABS(P2244)+ROW()/1000000000,"")</f>
        <v/>
      </c>
      <c r="V2244" s="64">
        <f>IF($A2244="","",IF(COUNTIF(변동분석!$E$7:$E$506,O2244)&gt;0,"Y","N"))</f>
        <v/>
      </c>
      <c r="W2244" s="64">
        <f>IF($A2244="","",IFERROR(INDEX(계정매핑!$D$5:$D$504,MATCH($F2244&amp;"",계정매핑!$A$5:$A$504,0)),"미매핑"))</f>
        <v/>
      </c>
      <c r="X2244" s="9">
        <f>IF($A2244="","",$F2244&amp;"")</f>
        <v/>
      </c>
      <c r="Y2244" s="94">
        <f>IF($A2244="",0,IF(AE2244="직접",IF(AF2244="비귀속",$P2244,0),$P2244*(1-AG2244)*IFERROR(INDEX(계정대체기준!$F$20:$F$49,MATCH($N2244,계정대체기준!$A$20:$A$49,0)),1)))</f>
        <v/>
      </c>
      <c r="Z2244" s="94">
        <f>IF($A2244="",0,IF(AE2244="직접",IF(AF2244="신계약비",$P2244,0),$P2244*(1-AG2244)*IFERROR(INDEX(계정대체기준!$C$20:$C$49,MATCH($N2244,계정대체기준!$A$20:$A$49,0)),0)))</f>
        <v/>
      </c>
      <c r="AA2244" s="94">
        <f>IF($A2244="",0,IF(AE2244="직접",IF(OR(AF2244="유지비",AF2244="손해조사비"),$P2244,0),$P2244*(1-AG2244)*IFERROR(INDEX(계정대체기준!$D$20:$D$49,MATCH($N2244,계정대체기준!$A$20:$A$49,0)),0)))</f>
        <v/>
      </c>
      <c r="AB2244" s="94">
        <f>IF($A2244="",0,IF(AE2244="직접",IF(AF2244="수금비",$P2244,0),$P2244*(1-AG2244)*IFERROR(INDEX(계정대체기준!$E$20:$E$49,MATCH($N2244,계정대체기준!$A$20:$A$49,0)),0)))</f>
        <v/>
      </c>
      <c r="AC2244" s="9">
        <f>IF(AND($A2244&lt;&gt;"",M2244=설정!$C$20,Z2244&gt;0),Z2244+ROW()/1000000000,"")</f>
        <v/>
      </c>
      <c r="AD2244" s="94">
        <f>IF($A2244="",0,$P2244*AG2244)</f>
        <v/>
      </c>
      <c r="AE2244" s="64">
        <f>IF($A2244="","",IFERROR(INDEX(계정매핑!$E$5:$E$504,MATCH($F2244&amp;"",계정매핑!$A$5:$A$504,0))&amp;"","공통비"))</f>
        <v/>
      </c>
      <c r="AF2244" s="64">
        <f>IF($A2244="","",IF(AE2244="직접",IFERROR(INDEX(계정매핑!$F$5:$F$504,MATCH($F2244&amp;"",계정매핑!$A$5:$A$504,0))&amp;"","비귀속"),""))</f>
        <v/>
      </c>
      <c r="AG2244" s="96">
        <f>IF($A2244="",0,IF(AND(AE2244&lt;&gt;"직접",IFERROR(INDEX(계정매핑!$G$5:$G$504,MATCH($F2244&amp;"",계정매핑!$A$5:$A$504,0))&amp;"","")="유지비",COUNTIF(계정대체기준!$A$6:$A$15,$N2244)&gt;0),IFERROR(INDEX(계정대체기준!$E$6:$E$15,MATCH(VALUE($A2244&amp;""),계정대체기준!$D$6:$D$15,0)),0),0))</f>
        <v/>
      </c>
      <c r="AH2244" s="64">
        <f>IF($A2244="","",IF(AD2244=0,"",IF(OR(COUNTIF(계정대체기준!$A$77:$A$86,$N2244)&gt;0,ISNUMBER(MATCH($X2244,계정대체기준!$D$77:$D$86,0)),ISNUMBER(MATCH($F2244,계정대체기준!$D$77:$D$86,0))),"Y","N")))</f>
        <v/>
      </c>
    </row>
    <row r="2245">
      <c r="A2245" s="92" t="n">
        <v>2025</v>
      </c>
      <c r="B2245" s="92" t="n">
        <v>10</v>
      </c>
      <c r="C2245" s="92" t="inlineStr">
        <is>
          <t>5100002241</t>
        </is>
      </c>
      <c r="D2245" s="95" t="n">
        <v>45955</v>
      </c>
      <c r="E2245" s="92" t="inlineStr">
        <is>
          <t>KR</t>
        </is>
      </c>
      <c r="F2245" s="92" t="n">
        <v>62201000</v>
      </c>
      <c r="G2245" s="92" t="n">
        <v>1602</v>
      </c>
      <c r="H2245" s="93" t="n">
        <v>674000</v>
      </c>
      <c r="I2245" s="92" t="inlineStr">
        <is>
          <t>10월 통신요금 - P통신</t>
        </is>
      </c>
      <c r="J2245" s="92" t="inlineStr">
        <is>
          <t>V10014</t>
        </is>
      </c>
      <c r="K2245" s="92" t="inlineStr">
        <is>
          <t>P통신</t>
        </is>
      </c>
      <c r="M2245" s="9">
        <f>IF($A2245="","",VALUE($A2245&amp;"")*12+VALUE($B2245&amp;""))</f>
        <v/>
      </c>
      <c r="N2245" s="64">
        <f>IF($A2245="","",IFERROR(INDEX(부서매핑!$C$5:$C$504,MATCH($G2245&amp;"",부서매핑!$A$5:$A$504,0)),"미매핑"))</f>
        <v/>
      </c>
      <c r="O2245" s="9">
        <f>IF($A2245="","",N2245&amp;"|"&amp;$F2245)</f>
        <v/>
      </c>
      <c r="P2245" s="94">
        <f>IF($A2245="",0,$H2245*설정!$C$23)</f>
        <v/>
      </c>
      <c r="Q2245" s="64">
        <f>IF($A2245="","",IF(O2245&lt;&gt;원인분석!$C$9,"",IF(AND(M2245&gt;=원인분석!$C$10,M2245&lt;=원인분석!$C$11),"당기",IF(AND(M2245&gt;=원인분석!$C$12,M2245&lt;=원인분석!$C$13),"비교",""))))</f>
        <v/>
      </c>
      <c r="R2245" s="9">
        <f>IF(Q2245="","",$K2245&amp;"")</f>
        <v/>
      </c>
      <c r="S2245" s="9">
        <f>IF(Q2245="","",IF(MATCH(R2245,$R$5:$R$100000,0)=ROW()-4,ROW(),""))</f>
        <v/>
      </c>
      <c r="T2245" s="9">
        <f>IF(Q2245="당기",ABS(P2245)+ROW()/1000000000,"")</f>
        <v/>
      </c>
      <c r="U2245" s="9">
        <f>IF(Q2245="비교",ABS(P2245)+ROW()/1000000000,"")</f>
        <v/>
      </c>
      <c r="V2245" s="64">
        <f>IF($A2245="","",IF(COUNTIF(변동분석!$E$7:$E$506,O2245)&gt;0,"Y","N"))</f>
        <v/>
      </c>
      <c r="W2245" s="64">
        <f>IF($A2245="","",IFERROR(INDEX(계정매핑!$D$5:$D$504,MATCH($F2245&amp;"",계정매핑!$A$5:$A$504,0)),"미매핑"))</f>
        <v/>
      </c>
      <c r="X2245" s="9">
        <f>IF($A2245="","",$F2245&amp;"")</f>
        <v/>
      </c>
      <c r="Y2245" s="94">
        <f>IF($A2245="",0,IF(AE2245="직접",IF(AF2245="비귀속",$P2245,0),$P2245*(1-AG2245)*IFERROR(INDEX(계정대체기준!$F$20:$F$49,MATCH($N2245,계정대체기준!$A$20:$A$49,0)),1)))</f>
        <v/>
      </c>
      <c r="Z2245" s="94">
        <f>IF($A2245="",0,IF(AE2245="직접",IF(AF2245="신계약비",$P2245,0),$P2245*(1-AG2245)*IFERROR(INDEX(계정대체기준!$C$20:$C$49,MATCH($N2245,계정대체기준!$A$20:$A$49,0)),0)))</f>
        <v/>
      </c>
      <c r="AA2245" s="94">
        <f>IF($A2245="",0,IF(AE2245="직접",IF(OR(AF2245="유지비",AF2245="손해조사비"),$P2245,0),$P2245*(1-AG2245)*IFERROR(INDEX(계정대체기준!$D$20:$D$49,MATCH($N2245,계정대체기준!$A$20:$A$49,0)),0)))</f>
        <v/>
      </c>
      <c r="AB2245" s="94">
        <f>IF($A2245="",0,IF(AE2245="직접",IF(AF2245="수금비",$P2245,0),$P2245*(1-AG2245)*IFERROR(INDEX(계정대체기준!$E$20:$E$49,MATCH($N2245,계정대체기준!$A$20:$A$49,0)),0)))</f>
        <v/>
      </c>
      <c r="AC2245" s="9">
        <f>IF(AND($A2245&lt;&gt;"",M2245=설정!$C$20,Z2245&gt;0),Z2245+ROW()/1000000000,"")</f>
        <v/>
      </c>
      <c r="AD2245" s="94">
        <f>IF($A2245="",0,$P2245*AG2245)</f>
        <v/>
      </c>
      <c r="AE2245" s="64">
        <f>IF($A2245="","",IFERROR(INDEX(계정매핑!$E$5:$E$504,MATCH($F2245&amp;"",계정매핑!$A$5:$A$504,0))&amp;"","공통비"))</f>
        <v/>
      </c>
      <c r="AF2245" s="64">
        <f>IF($A2245="","",IF(AE2245="직접",IFERROR(INDEX(계정매핑!$F$5:$F$504,MATCH($F2245&amp;"",계정매핑!$A$5:$A$504,0))&amp;"","비귀속"),""))</f>
        <v/>
      </c>
      <c r="AG2245" s="96">
        <f>IF($A2245="",0,IF(AND(AE2245&lt;&gt;"직접",IFERROR(INDEX(계정매핑!$G$5:$G$504,MATCH($F2245&amp;"",계정매핑!$A$5:$A$504,0))&amp;"","")="유지비",COUNTIF(계정대체기준!$A$6:$A$15,$N2245)&gt;0),IFERROR(INDEX(계정대체기준!$E$6:$E$15,MATCH(VALUE($A2245&amp;""),계정대체기준!$D$6:$D$15,0)),0),0))</f>
        <v/>
      </c>
      <c r="AH2245" s="64">
        <f>IF($A2245="","",IF(AD2245=0,"",IF(OR(COUNTIF(계정대체기준!$A$77:$A$86,$N2245)&gt;0,ISNUMBER(MATCH($X2245,계정대체기준!$D$77:$D$86,0)),ISNUMBER(MATCH($F2245,계정대체기준!$D$77:$D$86,0))),"Y","N")))</f>
        <v/>
      </c>
    </row>
    <row r="2246">
      <c r="A2246" s="92" t="n">
        <v>2025</v>
      </c>
      <c r="B2246" s="92" t="n">
        <v>10</v>
      </c>
      <c r="C2246" s="92" t="inlineStr">
        <is>
          <t>5100002242</t>
        </is>
      </c>
      <c r="D2246" s="95" t="n">
        <v>45955</v>
      </c>
      <c r="E2246" s="92" t="inlineStr">
        <is>
          <t>KR</t>
        </is>
      </c>
      <c r="F2246" s="92" t="n">
        <v>62201000</v>
      </c>
      <c r="G2246" s="92" t="n">
        <v>1701</v>
      </c>
      <c r="H2246" s="93" t="n">
        <v>4936000</v>
      </c>
      <c r="I2246" s="92" t="inlineStr">
        <is>
          <t>10월 통신요금 - P통신</t>
        </is>
      </c>
      <c r="J2246" s="92" t="inlineStr">
        <is>
          <t>V10014</t>
        </is>
      </c>
      <c r="K2246" s="92" t="inlineStr">
        <is>
          <t>P통신</t>
        </is>
      </c>
      <c r="M2246" s="9">
        <f>IF($A2246="","",VALUE($A2246&amp;"")*12+VALUE($B2246&amp;""))</f>
        <v/>
      </c>
      <c r="N2246" s="64">
        <f>IF($A2246="","",IFERROR(INDEX(부서매핑!$C$5:$C$504,MATCH($G2246&amp;"",부서매핑!$A$5:$A$504,0)),"미매핑"))</f>
        <v/>
      </c>
      <c r="O2246" s="9">
        <f>IF($A2246="","",N2246&amp;"|"&amp;$F2246)</f>
        <v/>
      </c>
      <c r="P2246" s="94">
        <f>IF($A2246="",0,$H2246*설정!$C$23)</f>
        <v/>
      </c>
      <c r="Q2246" s="64">
        <f>IF($A2246="","",IF(O2246&lt;&gt;원인분석!$C$9,"",IF(AND(M2246&gt;=원인분석!$C$10,M2246&lt;=원인분석!$C$11),"당기",IF(AND(M2246&gt;=원인분석!$C$12,M2246&lt;=원인분석!$C$13),"비교",""))))</f>
        <v/>
      </c>
      <c r="R2246" s="9">
        <f>IF(Q2246="","",$K2246&amp;"")</f>
        <v/>
      </c>
      <c r="S2246" s="9">
        <f>IF(Q2246="","",IF(MATCH(R2246,$R$5:$R$100000,0)=ROW()-4,ROW(),""))</f>
        <v/>
      </c>
      <c r="T2246" s="9">
        <f>IF(Q2246="당기",ABS(P2246)+ROW()/1000000000,"")</f>
        <v/>
      </c>
      <c r="U2246" s="9">
        <f>IF(Q2246="비교",ABS(P2246)+ROW()/1000000000,"")</f>
        <v/>
      </c>
      <c r="V2246" s="64">
        <f>IF($A2246="","",IF(COUNTIF(변동분석!$E$7:$E$506,O2246)&gt;0,"Y","N"))</f>
        <v/>
      </c>
      <c r="W2246" s="64">
        <f>IF($A2246="","",IFERROR(INDEX(계정매핑!$D$5:$D$504,MATCH($F2246&amp;"",계정매핑!$A$5:$A$504,0)),"미매핑"))</f>
        <v/>
      </c>
      <c r="X2246" s="9">
        <f>IF($A2246="","",$F2246&amp;"")</f>
        <v/>
      </c>
      <c r="Y2246" s="94">
        <f>IF($A2246="",0,IF(AE2246="직접",IF(AF2246="비귀속",$P2246,0),$P2246*(1-AG2246)*IFERROR(INDEX(계정대체기준!$F$20:$F$49,MATCH($N2246,계정대체기준!$A$20:$A$49,0)),1)))</f>
        <v/>
      </c>
      <c r="Z2246" s="94">
        <f>IF($A2246="",0,IF(AE2246="직접",IF(AF2246="신계약비",$P2246,0),$P2246*(1-AG2246)*IFERROR(INDEX(계정대체기준!$C$20:$C$49,MATCH($N2246,계정대체기준!$A$20:$A$49,0)),0)))</f>
        <v/>
      </c>
      <c r="AA2246" s="94">
        <f>IF($A2246="",0,IF(AE2246="직접",IF(OR(AF2246="유지비",AF2246="손해조사비"),$P2246,0),$P2246*(1-AG2246)*IFERROR(INDEX(계정대체기준!$D$20:$D$49,MATCH($N2246,계정대체기준!$A$20:$A$49,0)),0)))</f>
        <v/>
      </c>
      <c r="AB2246" s="94">
        <f>IF($A2246="",0,IF(AE2246="직접",IF(AF2246="수금비",$P2246,0),$P2246*(1-AG2246)*IFERROR(INDEX(계정대체기준!$E$20:$E$49,MATCH($N2246,계정대체기준!$A$20:$A$49,0)),0)))</f>
        <v/>
      </c>
      <c r="AC2246" s="9">
        <f>IF(AND($A2246&lt;&gt;"",M2246=설정!$C$20,Z2246&gt;0),Z2246+ROW()/1000000000,"")</f>
        <v/>
      </c>
      <c r="AD2246" s="94">
        <f>IF($A2246="",0,$P2246*AG2246)</f>
        <v/>
      </c>
      <c r="AE2246" s="64">
        <f>IF($A2246="","",IFERROR(INDEX(계정매핑!$E$5:$E$504,MATCH($F2246&amp;"",계정매핑!$A$5:$A$504,0))&amp;"","공통비"))</f>
        <v/>
      </c>
      <c r="AF2246" s="64">
        <f>IF($A2246="","",IF(AE2246="직접",IFERROR(INDEX(계정매핑!$F$5:$F$504,MATCH($F2246&amp;"",계정매핑!$A$5:$A$504,0))&amp;"","비귀속"),""))</f>
        <v/>
      </c>
      <c r="AG2246" s="96">
        <f>IF($A2246="",0,IF(AND(AE2246&lt;&gt;"직접",IFERROR(INDEX(계정매핑!$G$5:$G$504,MATCH($F2246&amp;"",계정매핑!$A$5:$A$504,0))&amp;"","")="유지비",COUNTIF(계정대체기준!$A$6:$A$15,$N2246)&gt;0),IFERROR(INDEX(계정대체기준!$E$6:$E$15,MATCH(VALUE($A2246&amp;""),계정대체기준!$D$6:$D$15,0)),0),0))</f>
        <v/>
      </c>
      <c r="AH2246" s="64">
        <f>IF($A2246="","",IF(AD2246=0,"",IF(OR(COUNTIF(계정대체기준!$A$77:$A$86,$N2246)&gt;0,ISNUMBER(MATCH($X2246,계정대체기준!$D$77:$D$86,0)),ISNUMBER(MATCH($F2246,계정대체기준!$D$77:$D$86,0))),"Y","N")))</f>
        <v/>
      </c>
    </row>
    <row r="2247">
      <c r="A2247" s="92" t="n">
        <v>2025</v>
      </c>
      <c r="B2247" s="92" t="n">
        <v>10</v>
      </c>
      <c r="C2247" s="92" t="inlineStr">
        <is>
          <t>5100002243</t>
        </is>
      </c>
      <c r="D2247" s="95" t="n">
        <v>45955</v>
      </c>
      <c r="E2247" s="92" t="inlineStr">
        <is>
          <t>KR</t>
        </is>
      </c>
      <c r="F2247" s="92" t="n">
        <v>62401000</v>
      </c>
      <c r="G2247" s="92" t="n">
        <v>1401</v>
      </c>
      <c r="H2247" s="93" t="n">
        <v>390000</v>
      </c>
      <c r="I2247" s="92" t="inlineStr">
        <is>
          <t>10월 인쇄물 제작 - G인쇄</t>
        </is>
      </c>
      <c r="J2247" s="92" t="inlineStr">
        <is>
          <t>V10004</t>
        </is>
      </c>
      <c r="K2247" s="92" t="inlineStr">
        <is>
          <t>G인쇄</t>
        </is>
      </c>
      <c r="M2247" s="9">
        <f>IF($A2247="","",VALUE($A2247&amp;"")*12+VALUE($B2247&amp;""))</f>
        <v/>
      </c>
      <c r="N2247" s="64">
        <f>IF($A2247="","",IFERROR(INDEX(부서매핑!$C$5:$C$504,MATCH($G2247&amp;"",부서매핑!$A$5:$A$504,0)),"미매핑"))</f>
        <v/>
      </c>
      <c r="O2247" s="9">
        <f>IF($A2247="","",N2247&amp;"|"&amp;$F2247)</f>
        <v/>
      </c>
      <c r="P2247" s="94">
        <f>IF($A2247="",0,$H2247*설정!$C$23)</f>
        <v/>
      </c>
      <c r="Q2247" s="64">
        <f>IF($A2247="","",IF(O2247&lt;&gt;원인분석!$C$9,"",IF(AND(M2247&gt;=원인분석!$C$10,M2247&lt;=원인분석!$C$11),"당기",IF(AND(M2247&gt;=원인분석!$C$12,M2247&lt;=원인분석!$C$13),"비교",""))))</f>
        <v/>
      </c>
      <c r="R2247" s="9">
        <f>IF(Q2247="","",$K2247&amp;"")</f>
        <v/>
      </c>
      <c r="S2247" s="9">
        <f>IF(Q2247="","",IF(MATCH(R2247,$R$5:$R$100000,0)=ROW()-4,ROW(),""))</f>
        <v/>
      </c>
      <c r="T2247" s="9">
        <f>IF(Q2247="당기",ABS(P2247)+ROW()/1000000000,"")</f>
        <v/>
      </c>
      <c r="U2247" s="9">
        <f>IF(Q2247="비교",ABS(P2247)+ROW()/1000000000,"")</f>
        <v/>
      </c>
      <c r="V2247" s="64">
        <f>IF($A2247="","",IF(COUNTIF(변동분석!$E$7:$E$506,O2247)&gt;0,"Y","N"))</f>
        <v/>
      </c>
      <c r="W2247" s="64">
        <f>IF($A2247="","",IFERROR(INDEX(계정매핑!$D$5:$D$504,MATCH($F2247&amp;"",계정매핑!$A$5:$A$504,0)),"미매핑"))</f>
        <v/>
      </c>
      <c r="X2247" s="9">
        <f>IF($A2247="","",$F2247&amp;"")</f>
        <v/>
      </c>
      <c r="Y2247" s="94">
        <f>IF($A2247="",0,IF(AE2247="직접",IF(AF2247="비귀속",$P2247,0),$P2247*(1-AG2247)*IFERROR(INDEX(계정대체기준!$F$20:$F$49,MATCH($N2247,계정대체기준!$A$20:$A$49,0)),1)))</f>
        <v/>
      </c>
      <c r="Z2247" s="94">
        <f>IF($A2247="",0,IF(AE2247="직접",IF(AF2247="신계약비",$P2247,0),$P2247*(1-AG2247)*IFERROR(INDEX(계정대체기준!$C$20:$C$49,MATCH($N2247,계정대체기준!$A$20:$A$49,0)),0)))</f>
        <v/>
      </c>
      <c r="AA2247" s="94">
        <f>IF($A2247="",0,IF(AE2247="직접",IF(OR(AF2247="유지비",AF2247="손해조사비"),$P2247,0),$P2247*(1-AG2247)*IFERROR(INDEX(계정대체기준!$D$20:$D$49,MATCH($N2247,계정대체기준!$A$20:$A$49,0)),0)))</f>
        <v/>
      </c>
      <c r="AB2247" s="94">
        <f>IF($A2247="",0,IF(AE2247="직접",IF(AF2247="수금비",$P2247,0),$P2247*(1-AG2247)*IFERROR(INDEX(계정대체기준!$E$20:$E$49,MATCH($N2247,계정대체기준!$A$20:$A$49,0)),0)))</f>
        <v/>
      </c>
      <c r="AC2247" s="9">
        <f>IF(AND($A2247&lt;&gt;"",M2247=설정!$C$20,Z2247&gt;0),Z2247+ROW()/1000000000,"")</f>
        <v/>
      </c>
      <c r="AD2247" s="94">
        <f>IF($A2247="",0,$P2247*AG2247)</f>
        <v/>
      </c>
      <c r="AE2247" s="64">
        <f>IF($A2247="","",IFERROR(INDEX(계정매핑!$E$5:$E$504,MATCH($F2247&amp;"",계정매핑!$A$5:$A$504,0))&amp;"","공통비"))</f>
        <v/>
      </c>
      <c r="AF2247" s="64">
        <f>IF($A2247="","",IF(AE2247="직접",IFERROR(INDEX(계정매핑!$F$5:$F$504,MATCH($F2247&amp;"",계정매핑!$A$5:$A$504,0))&amp;"","비귀속"),""))</f>
        <v/>
      </c>
      <c r="AG2247" s="96">
        <f>IF($A2247="",0,IF(AND(AE2247&lt;&gt;"직접",IFERROR(INDEX(계정매핑!$G$5:$G$504,MATCH($F2247&amp;"",계정매핑!$A$5:$A$504,0))&amp;"","")="유지비",COUNTIF(계정대체기준!$A$6:$A$15,$N2247)&gt;0),IFERROR(INDEX(계정대체기준!$E$6:$E$15,MATCH(VALUE($A2247&amp;""),계정대체기준!$D$6:$D$15,0)),0),0))</f>
        <v/>
      </c>
      <c r="AH2247" s="64">
        <f>IF($A2247="","",IF(AD2247=0,"",IF(OR(COUNTIF(계정대체기준!$A$77:$A$86,$N2247)&gt;0,ISNUMBER(MATCH($X2247,계정대체기준!$D$77:$D$86,0)),ISNUMBER(MATCH($F2247,계정대체기준!$D$77:$D$86,0))),"Y","N")))</f>
        <v/>
      </c>
    </row>
    <row r="2248">
      <c r="A2248" s="92" t="n">
        <v>2025</v>
      </c>
      <c r="B2248" s="92" t="n">
        <v>10</v>
      </c>
      <c r="C2248" s="92" t="inlineStr">
        <is>
          <t>5100002244</t>
        </is>
      </c>
      <c r="D2248" s="95" t="n">
        <v>45955</v>
      </c>
      <c r="E2248" s="92" t="inlineStr">
        <is>
          <t>KR</t>
        </is>
      </c>
      <c r="F2248" s="92" t="n">
        <v>62501000</v>
      </c>
      <c r="G2248" s="92" t="n">
        <v>1701</v>
      </c>
      <c r="H2248" s="93" t="n">
        <v>106000</v>
      </c>
      <c r="I2248" s="92" t="inlineStr">
        <is>
          <t>10월 회의 다과 - T케이터링</t>
        </is>
      </c>
      <c r="J2248" s="92" t="inlineStr">
        <is>
          <t>V10005</t>
        </is>
      </c>
      <c r="K2248" s="92" t="inlineStr">
        <is>
          <t>T케이터링</t>
        </is>
      </c>
      <c r="M2248" s="9">
        <f>IF($A2248="","",VALUE($A2248&amp;"")*12+VALUE($B2248&amp;""))</f>
        <v/>
      </c>
      <c r="N2248" s="64">
        <f>IF($A2248="","",IFERROR(INDEX(부서매핑!$C$5:$C$504,MATCH($G2248&amp;"",부서매핑!$A$5:$A$504,0)),"미매핑"))</f>
        <v/>
      </c>
      <c r="O2248" s="9">
        <f>IF($A2248="","",N2248&amp;"|"&amp;$F2248)</f>
        <v/>
      </c>
      <c r="P2248" s="94">
        <f>IF($A2248="",0,$H2248*설정!$C$23)</f>
        <v/>
      </c>
      <c r="Q2248" s="64">
        <f>IF($A2248="","",IF(O2248&lt;&gt;원인분석!$C$9,"",IF(AND(M2248&gt;=원인분석!$C$10,M2248&lt;=원인분석!$C$11),"당기",IF(AND(M2248&gt;=원인분석!$C$12,M2248&lt;=원인분석!$C$13),"비교",""))))</f>
        <v/>
      </c>
      <c r="R2248" s="9">
        <f>IF(Q2248="","",$K2248&amp;"")</f>
        <v/>
      </c>
      <c r="S2248" s="9">
        <f>IF(Q2248="","",IF(MATCH(R2248,$R$5:$R$100000,0)=ROW()-4,ROW(),""))</f>
        <v/>
      </c>
      <c r="T2248" s="9">
        <f>IF(Q2248="당기",ABS(P2248)+ROW()/1000000000,"")</f>
        <v/>
      </c>
      <c r="U2248" s="9">
        <f>IF(Q2248="비교",ABS(P2248)+ROW()/1000000000,"")</f>
        <v/>
      </c>
      <c r="V2248" s="64">
        <f>IF($A2248="","",IF(COUNTIF(변동분석!$E$7:$E$506,O2248)&gt;0,"Y","N"))</f>
        <v/>
      </c>
      <c r="W2248" s="64">
        <f>IF($A2248="","",IFERROR(INDEX(계정매핑!$D$5:$D$504,MATCH($F2248&amp;"",계정매핑!$A$5:$A$504,0)),"미매핑"))</f>
        <v/>
      </c>
      <c r="X2248" s="9">
        <f>IF($A2248="","",$F2248&amp;"")</f>
        <v/>
      </c>
      <c r="Y2248" s="94">
        <f>IF($A2248="",0,IF(AE2248="직접",IF(AF2248="비귀속",$P2248,0),$P2248*(1-AG2248)*IFERROR(INDEX(계정대체기준!$F$20:$F$49,MATCH($N2248,계정대체기준!$A$20:$A$49,0)),1)))</f>
        <v/>
      </c>
      <c r="Z2248" s="94">
        <f>IF($A2248="",0,IF(AE2248="직접",IF(AF2248="신계약비",$P2248,0),$P2248*(1-AG2248)*IFERROR(INDEX(계정대체기준!$C$20:$C$49,MATCH($N2248,계정대체기준!$A$20:$A$49,0)),0)))</f>
        <v/>
      </c>
      <c r="AA2248" s="94">
        <f>IF($A2248="",0,IF(AE2248="직접",IF(OR(AF2248="유지비",AF2248="손해조사비"),$P2248,0),$P2248*(1-AG2248)*IFERROR(INDEX(계정대체기준!$D$20:$D$49,MATCH($N2248,계정대체기준!$A$20:$A$49,0)),0)))</f>
        <v/>
      </c>
      <c r="AB2248" s="94">
        <f>IF($A2248="",0,IF(AE2248="직접",IF(AF2248="수금비",$P2248,0),$P2248*(1-AG2248)*IFERROR(INDEX(계정대체기준!$E$20:$E$49,MATCH($N2248,계정대체기준!$A$20:$A$49,0)),0)))</f>
        <v/>
      </c>
      <c r="AC2248" s="9">
        <f>IF(AND($A2248&lt;&gt;"",M2248=설정!$C$20,Z2248&gt;0),Z2248+ROW()/1000000000,"")</f>
        <v/>
      </c>
      <c r="AD2248" s="94">
        <f>IF($A2248="",0,$P2248*AG2248)</f>
        <v/>
      </c>
      <c r="AE2248" s="64">
        <f>IF($A2248="","",IFERROR(INDEX(계정매핑!$E$5:$E$504,MATCH($F2248&amp;"",계정매핑!$A$5:$A$504,0))&amp;"","공통비"))</f>
        <v/>
      </c>
      <c r="AF2248" s="64">
        <f>IF($A2248="","",IF(AE2248="직접",IFERROR(INDEX(계정매핑!$F$5:$F$504,MATCH($F2248&amp;"",계정매핑!$A$5:$A$504,0))&amp;"","비귀속"),""))</f>
        <v/>
      </c>
      <c r="AG2248" s="96">
        <f>IF($A2248="",0,IF(AND(AE2248&lt;&gt;"직접",IFERROR(INDEX(계정매핑!$G$5:$G$504,MATCH($F2248&amp;"",계정매핑!$A$5:$A$504,0))&amp;"","")="유지비",COUNTIF(계정대체기준!$A$6:$A$15,$N2248)&gt;0),IFERROR(INDEX(계정대체기준!$E$6:$E$15,MATCH(VALUE($A2248&amp;""),계정대체기준!$D$6:$D$15,0)),0),0))</f>
        <v/>
      </c>
      <c r="AH2248" s="64">
        <f>IF($A2248="","",IF(AD2248=0,"",IF(OR(COUNTIF(계정대체기준!$A$77:$A$86,$N2248)&gt;0,ISNUMBER(MATCH($X2248,계정대체기준!$D$77:$D$86,0)),ISNUMBER(MATCH($F2248,계정대체기준!$D$77:$D$86,0))),"Y","N")))</f>
        <v/>
      </c>
    </row>
    <row r="2249">
      <c r="A2249" s="92" t="n">
        <v>2025</v>
      </c>
      <c r="B2249" s="92" t="n">
        <v>10</v>
      </c>
      <c r="C2249" s="92" t="inlineStr">
        <is>
          <t>5100002245</t>
        </is>
      </c>
      <c r="D2249" s="95" t="n">
        <v>45955</v>
      </c>
      <c r="E2249" s="92" t="inlineStr">
        <is>
          <t>KR</t>
        </is>
      </c>
      <c r="F2249" s="92" t="n">
        <v>62901000</v>
      </c>
      <c r="G2249" s="92" t="n">
        <v>1801</v>
      </c>
      <c r="H2249" s="93" t="n">
        <v>17836000</v>
      </c>
      <c r="I2249" s="92" t="inlineStr">
        <is>
          <t>10월 자문 수수료 - K회계법인</t>
        </is>
      </c>
      <c r="J2249" s="92" t="inlineStr">
        <is>
          <t>V10011</t>
        </is>
      </c>
      <c r="K2249" s="92" t="inlineStr">
        <is>
          <t>K회계법인</t>
        </is>
      </c>
      <c r="M2249" s="9">
        <f>IF($A2249="","",VALUE($A2249&amp;"")*12+VALUE($B2249&amp;""))</f>
        <v/>
      </c>
      <c r="N2249" s="64">
        <f>IF($A2249="","",IFERROR(INDEX(부서매핑!$C$5:$C$504,MATCH($G2249&amp;"",부서매핑!$A$5:$A$504,0)),"미매핑"))</f>
        <v/>
      </c>
      <c r="O2249" s="9">
        <f>IF($A2249="","",N2249&amp;"|"&amp;$F2249)</f>
        <v/>
      </c>
      <c r="P2249" s="94">
        <f>IF($A2249="",0,$H2249*설정!$C$23)</f>
        <v/>
      </c>
      <c r="Q2249" s="64">
        <f>IF($A2249="","",IF(O2249&lt;&gt;원인분석!$C$9,"",IF(AND(M2249&gt;=원인분석!$C$10,M2249&lt;=원인분석!$C$11),"당기",IF(AND(M2249&gt;=원인분석!$C$12,M2249&lt;=원인분석!$C$13),"비교",""))))</f>
        <v/>
      </c>
      <c r="R2249" s="9">
        <f>IF(Q2249="","",$K2249&amp;"")</f>
        <v/>
      </c>
      <c r="S2249" s="9">
        <f>IF(Q2249="","",IF(MATCH(R2249,$R$5:$R$100000,0)=ROW()-4,ROW(),""))</f>
        <v/>
      </c>
      <c r="T2249" s="9">
        <f>IF(Q2249="당기",ABS(P2249)+ROW()/1000000000,"")</f>
        <v/>
      </c>
      <c r="U2249" s="9">
        <f>IF(Q2249="비교",ABS(P2249)+ROW()/1000000000,"")</f>
        <v/>
      </c>
      <c r="V2249" s="64">
        <f>IF($A2249="","",IF(COUNTIF(변동분석!$E$7:$E$506,O2249)&gt;0,"Y","N"))</f>
        <v/>
      </c>
      <c r="W2249" s="64">
        <f>IF($A2249="","",IFERROR(INDEX(계정매핑!$D$5:$D$504,MATCH($F2249&amp;"",계정매핑!$A$5:$A$504,0)),"미매핑"))</f>
        <v/>
      </c>
      <c r="X2249" s="9">
        <f>IF($A2249="","",$F2249&amp;"")</f>
        <v/>
      </c>
      <c r="Y2249" s="94">
        <f>IF($A2249="",0,IF(AE2249="직접",IF(AF2249="비귀속",$P2249,0),$P2249*(1-AG2249)*IFERROR(INDEX(계정대체기준!$F$20:$F$49,MATCH($N2249,계정대체기준!$A$20:$A$49,0)),1)))</f>
        <v/>
      </c>
      <c r="Z2249" s="94">
        <f>IF($A2249="",0,IF(AE2249="직접",IF(AF2249="신계약비",$P2249,0),$P2249*(1-AG2249)*IFERROR(INDEX(계정대체기준!$C$20:$C$49,MATCH($N2249,계정대체기준!$A$20:$A$49,0)),0)))</f>
        <v/>
      </c>
      <c r="AA2249" s="94">
        <f>IF($A2249="",0,IF(AE2249="직접",IF(OR(AF2249="유지비",AF2249="손해조사비"),$P2249,0),$P2249*(1-AG2249)*IFERROR(INDEX(계정대체기준!$D$20:$D$49,MATCH($N2249,계정대체기준!$A$20:$A$49,0)),0)))</f>
        <v/>
      </c>
      <c r="AB2249" s="94">
        <f>IF($A2249="",0,IF(AE2249="직접",IF(AF2249="수금비",$P2249,0),$P2249*(1-AG2249)*IFERROR(INDEX(계정대체기준!$E$20:$E$49,MATCH($N2249,계정대체기준!$A$20:$A$49,0)),0)))</f>
        <v/>
      </c>
      <c r="AC2249" s="9">
        <f>IF(AND($A2249&lt;&gt;"",M2249=설정!$C$20,Z2249&gt;0),Z2249+ROW()/1000000000,"")</f>
        <v/>
      </c>
      <c r="AD2249" s="94">
        <f>IF($A2249="",0,$P2249*AG2249)</f>
        <v/>
      </c>
      <c r="AE2249" s="64">
        <f>IF($A2249="","",IFERROR(INDEX(계정매핑!$E$5:$E$504,MATCH($F2249&amp;"",계정매핑!$A$5:$A$504,0))&amp;"","공통비"))</f>
        <v/>
      </c>
      <c r="AF2249" s="64">
        <f>IF($A2249="","",IF(AE2249="직접",IFERROR(INDEX(계정매핑!$F$5:$F$504,MATCH($F2249&amp;"",계정매핑!$A$5:$A$504,0))&amp;"","비귀속"),""))</f>
        <v/>
      </c>
      <c r="AG2249" s="96">
        <f>IF($A2249="",0,IF(AND(AE2249&lt;&gt;"직접",IFERROR(INDEX(계정매핑!$G$5:$G$504,MATCH($F2249&amp;"",계정매핑!$A$5:$A$504,0))&amp;"","")="유지비",COUNTIF(계정대체기준!$A$6:$A$15,$N2249)&gt;0),IFERROR(INDEX(계정대체기준!$E$6:$E$15,MATCH(VALUE($A2249&amp;""),계정대체기준!$D$6:$D$15,0)),0),0))</f>
        <v/>
      </c>
      <c r="AH2249" s="64">
        <f>IF($A2249="","",IF(AD2249=0,"",IF(OR(COUNTIF(계정대체기준!$A$77:$A$86,$N2249)&gt;0,ISNUMBER(MATCH($X2249,계정대체기준!$D$77:$D$86,0)),ISNUMBER(MATCH($F2249,계정대체기준!$D$77:$D$86,0))),"Y","N")))</f>
        <v/>
      </c>
    </row>
    <row r="2250">
      <c r="A2250" s="92" t="n">
        <v>2025</v>
      </c>
      <c r="B2250" s="92" t="n">
        <v>10</v>
      </c>
      <c r="C2250" s="92" t="inlineStr">
        <is>
          <t>5100002246</t>
        </is>
      </c>
      <c r="D2250" s="95" t="n">
        <v>45955</v>
      </c>
      <c r="E2250" s="92" t="inlineStr">
        <is>
          <t>KR</t>
        </is>
      </c>
      <c r="F2250" s="92" t="n">
        <v>62901000</v>
      </c>
      <c r="G2250" s="92" t="n">
        <v>1951</v>
      </c>
      <c r="H2250" s="93" t="n">
        <v>4517000</v>
      </c>
      <c r="I2250" s="92" t="inlineStr">
        <is>
          <t>10월 자문 수수료 - W컨설팅</t>
        </is>
      </c>
      <c r="J2250" s="92" t="inlineStr">
        <is>
          <t>V10006</t>
        </is>
      </c>
      <c r="K2250" s="92" t="inlineStr">
        <is>
          <t>W컨설팅</t>
        </is>
      </c>
      <c r="M2250" s="9">
        <f>IF($A2250="","",VALUE($A2250&amp;"")*12+VALUE($B2250&amp;""))</f>
        <v/>
      </c>
      <c r="N2250" s="64">
        <f>IF($A2250="","",IFERROR(INDEX(부서매핑!$C$5:$C$504,MATCH($G2250&amp;"",부서매핑!$A$5:$A$504,0)),"미매핑"))</f>
        <v/>
      </c>
      <c r="O2250" s="9">
        <f>IF($A2250="","",N2250&amp;"|"&amp;$F2250)</f>
        <v/>
      </c>
      <c r="P2250" s="94">
        <f>IF($A2250="",0,$H2250*설정!$C$23)</f>
        <v/>
      </c>
      <c r="Q2250" s="64">
        <f>IF($A2250="","",IF(O2250&lt;&gt;원인분석!$C$9,"",IF(AND(M2250&gt;=원인분석!$C$10,M2250&lt;=원인분석!$C$11),"당기",IF(AND(M2250&gt;=원인분석!$C$12,M2250&lt;=원인분석!$C$13),"비교",""))))</f>
        <v/>
      </c>
      <c r="R2250" s="9">
        <f>IF(Q2250="","",$K2250&amp;"")</f>
        <v/>
      </c>
      <c r="S2250" s="9">
        <f>IF(Q2250="","",IF(MATCH(R2250,$R$5:$R$100000,0)=ROW()-4,ROW(),""))</f>
        <v/>
      </c>
      <c r="T2250" s="9">
        <f>IF(Q2250="당기",ABS(P2250)+ROW()/1000000000,"")</f>
        <v/>
      </c>
      <c r="U2250" s="9">
        <f>IF(Q2250="비교",ABS(P2250)+ROW()/1000000000,"")</f>
        <v/>
      </c>
      <c r="V2250" s="64">
        <f>IF($A2250="","",IF(COUNTIF(변동분석!$E$7:$E$506,O2250)&gt;0,"Y","N"))</f>
        <v/>
      </c>
      <c r="W2250" s="64">
        <f>IF($A2250="","",IFERROR(INDEX(계정매핑!$D$5:$D$504,MATCH($F2250&amp;"",계정매핑!$A$5:$A$504,0)),"미매핑"))</f>
        <v/>
      </c>
      <c r="X2250" s="9">
        <f>IF($A2250="","",$F2250&amp;"")</f>
        <v/>
      </c>
      <c r="Y2250" s="94">
        <f>IF($A2250="",0,IF(AE2250="직접",IF(AF2250="비귀속",$P2250,0),$P2250*(1-AG2250)*IFERROR(INDEX(계정대체기준!$F$20:$F$49,MATCH($N2250,계정대체기준!$A$20:$A$49,0)),1)))</f>
        <v/>
      </c>
      <c r="Z2250" s="94">
        <f>IF($A2250="",0,IF(AE2250="직접",IF(AF2250="신계약비",$P2250,0),$P2250*(1-AG2250)*IFERROR(INDEX(계정대체기준!$C$20:$C$49,MATCH($N2250,계정대체기준!$A$20:$A$49,0)),0)))</f>
        <v/>
      </c>
      <c r="AA2250" s="94">
        <f>IF($A2250="",0,IF(AE2250="직접",IF(OR(AF2250="유지비",AF2250="손해조사비"),$P2250,0),$P2250*(1-AG2250)*IFERROR(INDEX(계정대체기준!$D$20:$D$49,MATCH($N2250,계정대체기준!$A$20:$A$49,0)),0)))</f>
        <v/>
      </c>
      <c r="AB2250" s="94">
        <f>IF($A2250="",0,IF(AE2250="직접",IF(AF2250="수금비",$P2250,0),$P2250*(1-AG2250)*IFERROR(INDEX(계정대체기준!$E$20:$E$49,MATCH($N2250,계정대체기준!$A$20:$A$49,0)),0)))</f>
        <v/>
      </c>
      <c r="AC2250" s="9">
        <f>IF(AND($A2250&lt;&gt;"",M2250=설정!$C$20,Z2250&gt;0),Z2250+ROW()/1000000000,"")</f>
        <v/>
      </c>
      <c r="AD2250" s="94">
        <f>IF($A2250="",0,$P2250*AG2250)</f>
        <v/>
      </c>
      <c r="AE2250" s="64">
        <f>IF($A2250="","",IFERROR(INDEX(계정매핑!$E$5:$E$504,MATCH($F2250&amp;"",계정매핑!$A$5:$A$504,0))&amp;"","공통비"))</f>
        <v/>
      </c>
      <c r="AF2250" s="64">
        <f>IF($A2250="","",IF(AE2250="직접",IFERROR(INDEX(계정매핑!$F$5:$F$504,MATCH($F2250&amp;"",계정매핑!$A$5:$A$504,0))&amp;"","비귀속"),""))</f>
        <v/>
      </c>
      <c r="AG2250" s="96">
        <f>IF($A2250="",0,IF(AND(AE2250&lt;&gt;"직접",IFERROR(INDEX(계정매핑!$G$5:$G$504,MATCH($F2250&amp;"",계정매핑!$A$5:$A$504,0))&amp;"","")="유지비",COUNTIF(계정대체기준!$A$6:$A$15,$N2250)&gt;0),IFERROR(INDEX(계정대체기준!$E$6:$E$15,MATCH(VALUE($A2250&amp;""),계정대체기준!$D$6:$D$15,0)),0),0))</f>
        <v/>
      </c>
      <c r="AH2250" s="64">
        <f>IF($A2250="","",IF(AD2250=0,"",IF(OR(COUNTIF(계정대체기준!$A$77:$A$86,$N2250)&gt;0,ISNUMBER(MATCH($X2250,계정대체기준!$D$77:$D$86,0)),ISNUMBER(MATCH($F2250,계정대체기준!$D$77:$D$86,0))),"Y","N")))</f>
        <v/>
      </c>
    </row>
    <row r="2251">
      <c r="A2251" s="92" t="n">
        <v>2025</v>
      </c>
      <c r="B2251" s="92" t="n">
        <v>10</v>
      </c>
      <c r="C2251" s="92" t="inlineStr">
        <is>
          <t>5100002247</t>
        </is>
      </c>
      <c r="D2251" s="95" t="n">
        <v>45955</v>
      </c>
      <c r="E2251" s="92" t="inlineStr">
        <is>
          <t>KR</t>
        </is>
      </c>
      <c r="F2251" s="92" t="n">
        <v>62902000</v>
      </c>
      <c r="G2251" s="92" t="n">
        <v>1951</v>
      </c>
      <c r="H2251" s="93" t="n">
        <v>1801000</v>
      </c>
      <c r="I2251" s="92" t="inlineStr">
        <is>
          <t>10월 업무 위탁 수수료 - X서비스</t>
        </is>
      </c>
      <c r="J2251" s="92" t="inlineStr">
        <is>
          <t>V10020</t>
        </is>
      </c>
      <c r="K2251" s="92" t="inlineStr">
        <is>
          <t>X서비스</t>
        </is>
      </c>
      <c r="M2251" s="9">
        <f>IF($A2251="","",VALUE($A2251&amp;"")*12+VALUE($B2251&amp;""))</f>
        <v/>
      </c>
      <c r="N2251" s="64">
        <f>IF($A2251="","",IFERROR(INDEX(부서매핑!$C$5:$C$504,MATCH($G2251&amp;"",부서매핑!$A$5:$A$504,0)),"미매핑"))</f>
        <v/>
      </c>
      <c r="O2251" s="9">
        <f>IF($A2251="","",N2251&amp;"|"&amp;$F2251)</f>
        <v/>
      </c>
      <c r="P2251" s="94">
        <f>IF($A2251="",0,$H2251*설정!$C$23)</f>
        <v/>
      </c>
      <c r="Q2251" s="64">
        <f>IF($A2251="","",IF(O2251&lt;&gt;원인분석!$C$9,"",IF(AND(M2251&gt;=원인분석!$C$10,M2251&lt;=원인분석!$C$11),"당기",IF(AND(M2251&gt;=원인분석!$C$12,M2251&lt;=원인분석!$C$13),"비교",""))))</f>
        <v/>
      </c>
      <c r="R2251" s="9">
        <f>IF(Q2251="","",$K2251&amp;"")</f>
        <v/>
      </c>
      <c r="S2251" s="9">
        <f>IF(Q2251="","",IF(MATCH(R2251,$R$5:$R$100000,0)=ROW()-4,ROW(),""))</f>
        <v/>
      </c>
      <c r="T2251" s="9">
        <f>IF(Q2251="당기",ABS(P2251)+ROW()/1000000000,"")</f>
        <v/>
      </c>
      <c r="U2251" s="9">
        <f>IF(Q2251="비교",ABS(P2251)+ROW()/1000000000,"")</f>
        <v/>
      </c>
      <c r="V2251" s="64">
        <f>IF($A2251="","",IF(COUNTIF(변동분석!$E$7:$E$506,O2251)&gt;0,"Y","N"))</f>
        <v/>
      </c>
      <c r="W2251" s="64">
        <f>IF($A2251="","",IFERROR(INDEX(계정매핑!$D$5:$D$504,MATCH($F2251&amp;"",계정매핑!$A$5:$A$504,0)),"미매핑"))</f>
        <v/>
      </c>
      <c r="X2251" s="9">
        <f>IF($A2251="","",$F2251&amp;"")</f>
        <v/>
      </c>
      <c r="Y2251" s="94">
        <f>IF($A2251="",0,IF(AE2251="직접",IF(AF2251="비귀속",$P2251,0),$P2251*(1-AG2251)*IFERROR(INDEX(계정대체기준!$F$20:$F$49,MATCH($N2251,계정대체기준!$A$20:$A$49,0)),1)))</f>
        <v/>
      </c>
      <c r="Z2251" s="94">
        <f>IF($A2251="",0,IF(AE2251="직접",IF(AF2251="신계약비",$P2251,0),$P2251*(1-AG2251)*IFERROR(INDEX(계정대체기준!$C$20:$C$49,MATCH($N2251,계정대체기준!$A$20:$A$49,0)),0)))</f>
        <v/>
      </c>
      <c r="AA2251" s="94">
        <f>IF($A2251="",0,IF(AE2251="직접",IF(OR(AF2251="유지비",AF2251="손해조사비"),$P2251,0),$P2251*(1-AG2251)*IFERROR(INDEX(계정대체기준!$D$20:$D$49,MATCH($N2251,계정대체기준!$A$20:$A$49,0)),0)))</f>
        <v/>
      </c>
      <c r="AB2251" s="94">
        <f>IF($A2251="",0,IF(AE2251="직접",IF(AF2251="수금비",$P2251,0),$P2251*(1-AG2251)*IFERROR(INDEX(계정대체기준!$E$20:$E$49,MATCH($N2251,계정대체기준!$A$20:$A$49,0)),0)))</f>
        <v/>
      </c>
      <c r="AC2251" s="9">
        <f>IF(AND($A2251&lt;&gt;"",M2251=설정!$C$20,Z2251&gt;0),Z2251+ROW()/1000000000,"")</f>
        <v/>
      </c>
      <c r="AD2251" s="94">
        <f>IF($A2251="",0,$P2251*AG2251)</f>
        <v/>
      </c>
      <c r="AE2251" s="64">
        <f>IF($A2251="","",IFERROR(INDEX(계정매핑!$E$5:$E$504,MATCH($F2251&amp;"",계정매핑!$A$5:$A$504,0))&amp;"","공통비"))</f>
        <v/>
      </c>
      <c r="AF2251" s="64">
        <f>IF($A2251="","",IF(AE2251="직접",IFERROR(INDEX(계정매핑!$F$5:$F$504,MATCH($F2251&amp;"",계정매핑!$A$5:$A$504,0))&amp;"","비귀속"),""))</f>
        <v/>
      </c>
      <c r="AG2251" s="96">
        <f>IF($A2251="",0,IF(AND(AE2251&lt;&gt;"직접",IFERROR(INDEX(계정매핑!$G$5:$G$504,MATCH($F2251&amp;"",계정매핑!$A$5:$A$504,0))&amp;"","")="유지비",COUNTIF(계정대체기준!$A$6:$A$15,$N2251)&gt;0),IFERROR(INDEX(계정대체기준!$E$6:$E$15,MATCH(VALUE($A2251&amp;""),계정대체기준!$D$6:$D$15,0)),0),0))</f>
        <v/>
      </c>
      <c r="AH2251" s="64">
        <f>IF($A2251="","",IF(AD2251=0,"",IF(OR(COUNTIF(계정대체기준!$A$77:$A$86,$N2251)&gt;0,ISNUMBER(MATCH($X2251,계정대체기준!$D$77:$D$86,0)),ISNUMBER(MATCH($F2251,계정대체기준!$D$77:$D$86,0))),"Y","N")))</f>
        <v/>
      </c>
    </row>
    <row r="2252">
      <c r="A2252" s="92" t="n">
        <v>2025</v>
      </c>
      <c r="B2252" s="92" t="n">
        <v>10</v>
      </c>
      <c r="C2252" s="92" t="inlineStr">
        <is>
          <t>5100002248</t>
        </is>
      </c>
      <c r="D2252" s="95" t="n">
        <v>45955</v>
      </c>
      <c r="E2252" s="92" t="inlineStr">
        <is>
          <t>KR</t>
        </is>
      </c>
      <c r="F2252" s="92" t="n">
        <v>63001000</v>
      </c>
      <c r="G2252" s="92" t="n">
        <v>1701</v>
      </c>
      <c r="H2252" s="93" t="n">
        <v>51312000</v>
      </c>
      <c r="I2252" s="92" t="inlineStr">
        <is>
          <t>10월 SW 유지보수 - Y소프트</t>
        </is>
      </c>
      <c r="J2252" s="92" t="inlineStr">
        <is>
          <t>V10017</t>
        </is>
      </c>
      <c r="K2252" s="92" t="inlineStr">
        <is>
          <t>Y소프트</t>
        </is>
      </c>
      <c r="M2252" s="9">
        <f>IF($A2252="","",VALUE($A2252&amp;"")*12+VALUE($B2252&amp;""))</f>
        <v/>
      </c>
      <c r="N2252" s="64">
        <f>IF($A2252="","",IFERROR(INDEX(부서매핑!$C$5:$C$504,MATCH($G2252&amp;"",부서매핑!$A$5:$A$504,0)),"미매핑"))</f>
        <v/>
      </c>
      <c r="O2252" s="9">
        <f>IF($A2252="","",N2252&amp;"|"&amp;$F2252)</f>
        <v/>
      </c>
      <c r="P2252" s="94">
        <f>IF($A2252="",0,$H2252*설정!$C$23)</f>
        <v/>
      </c>
      <c r="Q2252" s="64">
        <f>IF($A2252="","",IF(O2252&lt;&gt;원인분석!$C$9,"",IF(AND(M2252&gt;=원인분석!$C$10,M2252&lt;=원인분석!$C$11),"당기",IF(AND(M2252&gt;=원인분석!$C$12,M2252&lt;=원인분석!$C$13),"비교",""))))</f>
        <v/>
      </c>
      <c r="R2252" s="9">
        <f>IF(Q2252="","",$K2252&amp;"")</f>
        <v/>
      </c>
      <c r="S2252" s="9">
        <f>IF(Q2252="","",IF(MATCH(R2252,$R$5:$R$100000,0)=ROW()-4,ROW(),""))</f>
        <v/>
      </c>
      <c r="T2252" s="9">
        <f>IF(Q2252="당기",ABS(P2252)+ROW()/1000000000,"")</f>
        <v/>
      </c>
      <c r="U2252" s="9">
        <f>IF(Q2252="비교",ABS(P2252)+ROW()/1000000000,"")</f>
        <v/>
      </c>
      <c r="V2252" s="64">
        <f>IF($A2252="","",IF(COUNTIF(변동분석!$E$7:$E$506,O2252)&gt;0,"Y","N"))</f>
        <v/>
      </c>
      <c r="W2252" s="64">
        <f>IF($A2252="","",IFERROR(INDEX(계정매핑!$D$5:$D$504,MATCH($F2252&amp;"",계정매핑!$A$5:$A$504,0)),"미매핑"))</f>
        <v/>
      </c>
      <c r="X2252" s="9">
        <f>IF($A2252="","",$F2252&amp;"")</f>
        <v/>
      </c>
      <c r="Y2252" s="94">
        <f>IF($A2252="",0,IF(AE2252="직접",IF(AF2252="비귀속",$P2252,0),$P2252*(1-AG2252)*IFERROR(INDEX(계정대체기준!$F$20:$F$49,MATCH($N2252,계정대체기준!$A$20:$A$49,0)),1)))</f>
        <v/>
      </c>
      <c r="Z2252" s="94">
        <f>IF($A2252="",0,IF(AE2252="직접",IF(AF2252="신계약비",$P2252,0),$P2252*(1-AG2252)*IFERROR(INDEX(계정대체기준!$C$20:$C$49,MATCH($N2252,계정대체기준!$A$20:$A$49,0)),0)))</f>
        <v/>
      </c>
      <c r="AA2252" s="94">
        <f>IF($A2252="",0,IF(AE2252="직접",IF(OR(AF2252="유지비",AF2252="손해조사비"),$P2252,0),$P2252*(1-AG2252)*IFERROR(INDEX(계정대체기준!$D$20:$D$49,MATCH($N2252,계정대체기준!$A$20:$A$49,0)),0)))</f>
        <v/>
      </c>
      <c r="AB2252" s="94">
        <f>IF($A2252="",0,IF(AE2252="직접",IF(AF2252="수금비",$P2252,0),$P2252*(1-AG2252)*IFERROR(INDEX(계정대체기준!$E$20:$E$49,MATCH($N2252,계정대체기준!$A$20:$A$49,0)),0)))</f>
        <v/>
      </c>
      <c r="AC2252" s="9">
        <f>IF(AND($A2252&lt;&gt;"",M2252=설정!$C$20,Z2252&gt;0),Z2252+ROW()/1000000000,"")</f>
        <v/>
      </c>
      <c r="AD2252" s="94">
        <f>IF($A2252="",0,$P2252*AG2252)</f>
        <v/>
      </c>
      <c r="AE2252" s="64">
        <f>IF($A2252="","",IFERROR(INDEX(계정매핑!$E$5:$E$504,MATCH($F2252&amp;"",계정매핑!$A$5:$A$504,0))&amp;"","공통비"))</f>
        <v/>
      </c>
      <c r="AF2252" s="64">
        <f>IF($A2252="","",IF(AE2252="직접",IFERROR(INDEX(계정매핑!$F$5:$F$504,MATCH($F2252&amp;"",계정매핑!$A$5:$A$504,0))&amp;"","비귀속"),""))</f>
        <v/>
      </c>
      <c r="AG2252" s="96">
        <f>IF($A2252="",0,IF(AND(AE2252&lt;&gt;"직접",IFERROR(INDEX(계정매핑!$G$5:$G$504,MATCH($F2252&amp;"",계정매핑!$A$5:$A$504,0))&amp;"","")="유지비",COUNTIF(계정대체기준!$A$6:$A$15,$N2252)&gt;0),IFERROR(INDEX(계정대체기준!$E$6:$E$15,MATCH(VALUE($A2252&amp;""),계정대체기준!$D$6:$D$15,0)),0),0))</f>
        <v/>
      </c>
      <c r="AH2252" s="64">
        <f>IF($A2252="","",IF(AD2252=0,"",IF(OR(COUNTIF(계정대체기준!$A$77:$A$86,$N2252)&gt;0,ISNUMBER(MATCH($X2252,계정대체기준!$D$77:$D$86,0)),ISNUMBER(MATCH($F2252,계정대체기준!$D$77:$D$86,0))),"Y","N")))</f>
        <v/>
      </c>
    </row>
    <row r="2253">
      <c r="A2253" s="92" t="n">
        <v>2025</v>
      </c>
      <c r="B2253" s="92" t="n">
        <v>10</v>
      </c>
      <c r="C2253" s="92" t="inlineStr">
        <is>
          <t>5100002249</t>
        </is>
      </c>
      <c r="D2253" s="95" t="n">
        <v>45955</v>
      </c>
      <c r="E2253" s="92" t="inlineStr">
        <is>
          <t>KR</t>
        </is>
      </c>
      <c r="F2253" s="92" t="n">
        <v>63002000</v>
      </c>
      <c r="G2253" s="92" t="n">
        <v>1701</v>
      </c>
      <c r="H2253" s="93" t="n">
        <v>70000000</v>
      </c>
      <c r="I2253" s="92" t="inlineStr">
        <is>
          <t>10월 클라우드 사용료 - C클라우드</t>
        </is>
      </c>
      <c r="J2253" s="92" t="inlineStr">
        <is>
          <t>V10026</t>
        </is>
      </c>
      <c r="K2253" s="92" t="inlineStr">
        <is>
          <t>C클라우드</t>
        </is>
      </c>
      <c r="M2253" s="9">
        <f>IF($A2253="","",VALUE($A2253&amp;"")*12+VALUE($B2253&amp;""))</f>
        <v/>
      </c>
      <c r="N2253" s="64">
        <f>IF($A2253="","",IFERROR(INDEX(부서매핑!$C$5:$C$504,MATCH($G2253&amp;"",부서매핑!$A$5:$A$504,0)),"미매핑"))</f>
        <v/>
      </c>
      <c r="O2253" s="9">
        <f>IF($A2253="","",N2253&amp;"|"&amp;$F2253)</f>
        <v/>
      </c>
      <c r="P2253" s="94">
        <f>IF($A2253="",0,$H2253*설정!$C$23)</f>
        <v/>
      </c>
      <c r="Q2253" s="64">
        <f>IF($A2253="","",IF(O2253&lt;&gt;원인분석!$C$9,"",IF(AND(M2253&gt;=원인분석!$C$10,M2253&lt;=원인분석!$C$11),"당기",IF(AND(M2253&gt;=원인분석!$C$12,M2253&lt;=원인분석!$C$13),"비교",""))))</f>
        <v/>
      </c>
      <c r="R2253" s="9">
        <f>IF(Q2253="","",$K2253&amp;"")</f>
        <v/>
      </c>
      <c r="S2253" s="9">
        <f>IF(Q2253="","",IF(MATCH(R2253,$R$5:$R$100000,0)=ROW()-4,ROW(),""))</f>
        <v/>
      </c>
      <c r="T2253" s="9">
        <f>IF(Q2253="당기",ABS(P2253)+ROW()/1000000000,"")</f>
        <v/>
      </c>
      <c r="U2253" s="9">
        <f>IF(Q2253="비교",ABS(P2253)+ROW()/1000000000,"")</f>
        <v/>
      </c>
      <c r="V2253" s="64">
        <f>IF($A2253="","",IF(COUNTIF(변동분석!$E$7:$E$506,O2253)&gt;0,"Y","N"))</f>
        <v/>
      </c>
      <c r="W2253" s="64">
        <f>IF($A2253="","",IFERROR(INDEX(계정매핑!$D$5:$D$504,MATCH($F2253&amp;"",계정매핑!$A$5:$A$504,0)),"미매핑"))</f>
        <v/>
      </c>
      <c r="X2253" s="9">
        <f>IF($A2253="","",$F2253&amp;"")</f>
        <v/>
      </c>
      <c r="Y2253" s="94">
        <f>IF($A2253="",0,IF(AE2253="직접",IF(AF2253="비귀속",$P2253,0),$P2253*(1-AG2253)*IFERROR(INDEX(계정대체기준!$F$20:$F$49,MATCH($N2253,계정대체기준!$A$20:$A$49,0)),1)))</f>
        <v/>
      </c>
      <c r="Z2253" s="94">
        <f>IF($A2253="",0,IF(AE2253="직접",IF(AF2253="신계약비",$P2253,0),$P2253*(1-AG2253)*IFERROR(INDEX(계정대체기준!$C$20:$C$49,MATCH($N2253,계정대체기준!$A$20:$A$49,0)),0)))</f>
        <v/>
      </c>
      <c r="AA2253" s="94">
        <f>IF($A2253="",0,IF(AE2253="직접",IF(OR(AF2253="유지비",AF2253="손해조사비"),$P2253,0),$P2253*(1-AG2253)*IFERROR(INDEX(계정대체기준!$D$20:$D$49,MATCH($N2253,계정대체기준!$A$20:$A$49,0)),0)))</f>
        <v/>
      </c>
      <c r="AB2253" s="94">
        <f>IF($A2253="",0,IF(AE2253="직접",IF(AF2253="수금비",$P2253,0),$P2253*(1-AG2253)*IFERROR(INDEX(계정대체기준!$E$20:$E$49,MATCH($N2253,계정대체기준!$A$20:$A$49,0)),0)))</f>
        <v/>
      </c>
      <c r="AC2253" s="9">
        <f>IF(AND($A2253&lt;&gt;"",M2253=설정!$C$20,Z2253&gt;0),Z2253+ROW()/1000000000,"")</f>
        <v/>
      </c>
      <c r="AD2253" s="94">
        <f>IF($A2253="",0,$P2253*AG2253)</f>
        <v/>
      </c>
      <c r="AE2253" s="64">
        <f>IF($A2253="","",IFERROR(INDEX(계정매핑!$E$5:$E$504,MATCH($F2253&amp;"",계정매핑!$A$5:$A$504,0))&amp;"","공통비"))</f>
        <v/>
      </c>
      <c r="AF2253" s="64">
        <f>IF($A2253="","",IF(AE2253="직접",IFERROR(INDEX(계정매핑!$F$5:$F$504,MATCH($F2253&amp;"",계정매핑!$A$5:$A$504,0))&amp;"","비귀속"),""))</f>
        <v/>
      </c>
      <c r="AG2253" s="96">
        <f>IF($A2253="",0,IF(AND(AE2253&lt;&gt;"직접",IFERROR(INDEX(계정매핑!$G$5:$G$504,MATCH($F2253&amp;"",계정매핑!$A$5:$A$504,0))&amp;"","")="유지비",COUNTIF(계정대체기준!$A$6:$A$15,$N2253)&gt;0),IFERROR(INDEX(계정대체기준!$E$6:$E$15,MATCH(VALUE($A2253&amp;""),계정대체기준!$D$6:$D$15,0)),0),0))</f>
        <v/>
      </c>
      <c r="AH2253" s="64">
        <f>IF($A2253="","",IF(AD2253=0,"",IF(OR(COUNTIF(계정대체기준!$A$77:$A$86,$N2253)&gt;0,ISNUMBER(MATCH($X2253,계정대체기준!$D$77:$D$86,0)),ISNUMBER(MATCH($F2253,계정대체기준!$D$77:$D$86,0))),"Y","N")))</f>
        <v/>
      </c>
    </row>
    <row r="2254">
      <c r="A2254" s="92" t="n">
        <v>2025</v>
      </c>
      <c r="B2254" s="92" t="n">
        <v>10</v>
      </c>
      <c r="C2254" s="92" t="inlineStr">
        <is>
          <t>5100002250</t>
        </is>
      </c>
      <c r="D2254" s="95" t="n">
        <v>45956</v>
      </c>
      <c r="E2254" s="92" t="inlineStr">
        <is>
          <t>KR</t>
        </is>
      </c>
      <c r="F2254" s="92" t="n">
        <v>62102000</v>
      </c>
      <c r="G2254" s="92" t="n">
        <v>1101</v>
      </c>
      <c r="H2254" s="93" t="n">
        <v>132000</v>
      </c>
      <c r="I2254" s="92" t="inlineStr">
        <is>
          <t>10월 해외출장 - M항공</t>
        </is>
      </c>
      <c r="J2254" s="92" t="inlineStr">
        <is>
          <t>V10001</t>
        </is>
      </c>
      <c r="K2254" s="92" t="inlineStr">
        <is>
          <t>M항공</t>
        </is>
      </c>
      <c r="M2254" s="9">
        <f>IF($A2254="","",VALUE($A2254&amp;"")*12+VALUE($B2254&amp;""))</f>
        <v/>
      </c>
      <c r="N2254" s="64">
        <f>IF($A2254="","",IFERROR(INDEX(부서매핑!$C$5:$C$504,MATCH($G2254&amp;"",부서매핑!$A$5:$A$504,0)),"미매핑"))</f>
        <v/>
      </c>
      <c r="O2254" s="9">
        <f>IF($A2254="","",N2254&amp;"|"&amp;$F2254)</f>
        <v/>
      </c>
      <c r="P2254" s="94">
        <f>IF($A2254="",0,$H2254*설정!$C$23)</f>
        <v/>
      </c>
      <c r="Q2254" s="64">
        <f>IF($A2254="","",IF(O2254&lt;&gt;원인분석!$C$9,"",IF(AND(M2254&gt;=원인분석!$C$10,M2254&lt;=원인분석!$C$11),"당기",IF(AND(M2254&gt;=원인분석!$C$12,M2254&lt;=원인분석!$C$13),"비교",""))))</f>
        <v/>
      </c>
      <c r="R2254" s="9">
        <f>IF(Q2254="","",$K2254&amp;"")</f>
        <v/>
      </c>
      <c r="S2254" s="9">
        <f>IF(Q2254="","",IF(MATCH(R2254,$R$5:$R$100000,0)=ROW()-4,ROW(),""))</f>
        <v/>
      </c>
      <c r="T2254" s="9">
        <f>IF(Q2254="당기",ABS(P2254)+ROW()/1000000000,"")</f>
        <v/>
      </c>
      <c r="U2254" s="9">
        <f>IF(Q2254="비교",ABS(P2254)+ROW()/1000000000,"")</f>
        <v/>
      </c>
      <c r="V2254" s="64">
        <f>IF($A2254="","",IF(COUNTIF(변동분석!$E$7:$E$506,O2254)&gt;0,"Y","N"))</f>
        <v/>
      </c>
      <c r="W2254" s="64">
        <f>IF($A2254="","",IFERROR(INDEX(계정매핑!$D$5:$D$504,MATCH($F2254&amp;"",계정매핑!$A$5:$A$504,0)),"미매핑"))</f>
        <v/>
      </c>
      <c r="X2254" s="9">
        <f>IF($A2254="","",$F2254&amp;"")</f>
        <v/>
      </c>
      <c r="Y2254" s="94">
        <f>IF($A2254="",0,IF(AE2254="직접",IF(AF2254="비귀속",$P2254,0),$P2254*(1-AG2254)*IFERROR(INDEX(계정대체기준!$F$20:$F$49,MATCH($N2254,계정대체기준!$A$20:$A$49,0)),1)))</f>
        <v/>
      </c>
      <c r="Z2254" s="94">
        <f>IF($A2254="",0,IF(AE2254="직접",IF(AF2254="신계약비",$P2254,0),$P2254*(1-AG2254)*IFERROR(INDEX(계정대체기준!$C$20:$C$49,MATCH($N2254,계정대체기준!$A$20:$A$49,0)),0)))</f>
        <v/>
      </c>
      <c r="AA2254" s="94">
        <f>IF($A2254="",0,IF(AE2254="직접",IF(OR(AF2254="유지비",AF2254="손해조사비"),$P2254,0),$P2254*(1-AG2254)*IFERROR(INDEX(계정대체기준!$D$20:$D$49,MATCH($N2254,계정대체기준!$A$20:$A$49,0)),0)))</f>
        <v/>
      </c>
      <c r="AB2254" s="94">
        <f>IF($A2254="",0,IF(AE2254="직접",IF(AF2254="수금비",$P2254,0),$P2254*(1-AG2254)*IFERROR(INDEX(계정대체기준!$E$20:$E$49,MATCH($N2254,계정대체기준!$A$20:$A$49,0)),0)))</f>
        <v/>
      </c>
      <c r="AC2254" s="9">
        <f>IF(AND($A2254&lt;&gt;"",M2254=설정!$C$20,Z2254&gt;0),Z2254+ROW()/1000000000,"")</f>
        <v/>
      </c>
      <c r="AD2254" s="94">
        <f>IF($A2254="",0,$P2254*AG2254)</f>
        <v/>
      </c>
      <c r="AE2254" s="64">
        <f>IF($A2254="","",IFERROR(INDEX(계정매핑!$E$5:$E$504,MATCH($F2254&amp;"",계정매핑!$A$5:$A$504,0))&amp;"","공통비"))</f>
        <v/>
      </c>
      <c r="AF2254" s="64">
        <f>IF($A2254="","",IF(AE2254="직접",IFERROR(INDEX(계정매핑!$F$5:$F$504,MATCH($F2254&amp;"",계정매핑!$A$5:$A$504,0))&amp;"","비귀속"),""))</f>
        <v/>
      </c>
      <c r="AG2254" s="96">
        <f>IF($A2254="",0,IF(AND(AE2254&lt;&gt;"직접",IFERROR(INDEX(계정매핑!$G$5:$G$504,MATCH($F2254&amp;"",계정매핑!$A$5:$A$504,0))&amp;"","")="유지비",COUNTIF(계정대체기준!$A$6:$A$15,$N2254)&gt;0),IFERROR(INDEX(계정대체기준!$E$6:$E$15,MATCH(VALUE($A2254&amp;""),계정대체기준!$D$6:$D$15,0)),0),0))</f>
        <v/>
      </c>
      <c r="AH2254" s="64">
        <f>IF($A2254="","",IF(AD2254=0,"",IF(OR(COUNTIF(계정대체기준!$A$77:$A$86,$N2254)&gt;0,ISNUMBER(MATCH($X2254,계정대체기준!$D$77:$D$86,0)),ISNUMBER(MATCH($F2254,계정대체기준!$D$77:$D$86,0))),"Y","N")))</f>
        <v/>
      </c>
    </row>
    <row r="2255">
      <c r="A2255" s="92" t="n">
        <v>2025</v>
      </c>
      <c r="B2255" s="92" t="n">
        <v>10</v>
      </c>
      <c r="C2255" s="92" t="inlineStr">
        <is>
          <t>5100002251</t>
        </is>
      </c>
      <c r="D2255" s="95" t="n">
        <v>45956</v>
      </c>
      <c r="E2255" s="92" t="inlineStr">
        <is>
          <t>KR</t>
        </is>
      </c>
      <c r="F2255" s="92" t="n">
        <v>62102000</v>
      </c>
      <c r="G2255" s="92" t="n">
        <v>1401</v>
      </c>
      <c r="H2255" s="93" t="n">
        <v>46000</v>
      </c>
      <c r="I2255" s="92" t="inlineStr">
        <is>
          <t>10월 해외출장 - N호텔</t>
        </is>
      </c>
      <c r="J2255" s="92" t="inlineStr">
        <is>
          <t>V10009</t>
        </is>
      </c>
      <c r="K2255" s="92" t="inlineStr">
        <is>
          <t>N호텔</t>
        </is>
      </c>
      <c r="M2255" s="9">
        <f>IF($A2255="","",VALUE($A2255&amp;"")*12+VALUE($B2255&amp;""))</f>
        <v/>
      </c>
      <c r="N2255" s="64">
        <f>IF($A2255="","",IFERROR(INDEX(부서매핑!$C$5:$C$504,MATCH($G2255&amp;"",부서매핑!$A$5:$A$504,0)),"미매핑"))</f>
        <v/>
      </c>
      <c r="O2255" s="9">
        <f>IF($A2255="","",N2255&amp;"|"&amp;$F2255)</f>
        <v/>
      </c>
      <c r="P2255" s="94">
        <f>IF($A2255="",0,$H2255*설정!$C$23)</f>
        <v/>
      </c>
      <c r="Q2255" s="64">
        <f>IF($A2255="","",IF(O2255&lt;&gt;원인분석!$C$9,"",IF(AND(M2255&gt;=원인분석!$C$10,M2255&lt;=원인분석!$C$11),"당기",IF(AND(M2255&gt;=원인분석!$C$12,M2255&lt;=원인분석!$C$13),"비교",""))))</f>
        <v/>
      </c>
      <c r="R2255" s="9">
        <f>IF(Q2255="","",$K2255&amp;"")</f>
        <v/>
      </c>
      <c r="S2255" s="9">
        <f>IF(Q2255="","",IF(MATCH(R2255,$R$5:$R$100000,0)=ROW()-4,ROW(),""))</f>
        <v/>
      </c>
      <c r="T2255" s="9">
        <f>IF(Q2255="당기",ABS(P2255)+ROW()/1000000000,"")</f>
        <v/>
      </c>
      <c r="U2255" s="9">
        <f>IF(Q2255="비교",ABS(P2255)+ROW()/1000000000,"")</f>
        <v/>
      </c>
      <c r="V2255" s="64">
        <f>IF($A2255="","",IF(COUNTIF(변동분석!$E$7:$E$506,O2255)&gt;0,"Y","N"))</f>
        <v/>
      </c>
      <c r="W2255" s="64">
        <f>IF($A2255="","",IFERROR(INDEX(계정매핑!$D$5:$D$504,MATCH($F2255&amp;"",계정매핑!$A$5:$A$504,0)),"미매핑"))</f>
        <v/>
      </c>
      <c r="X2255" s="9">
        <f>IF($A2255="","",$F2255&amp;"")</f>
        <v/>
      </c>
      <c r="Y2255" s="94">
        <f>IF($A2255="",0,IF(AE2255="직접",IF(AF2255="비귀속",$P2255,0),$P2255*(1-AG2255)*IFERROR(INDEX(계정대체기준!$F$20:$F$49,MATCH($N2255,계정대체기준!$A$20:$A$49,0)),1)))</f>
        <v/>
      </c>
      <c r="Z2255" s="94">
        <f>IF($A2255="",0,IF(AE2255="직접",IF(AF2255="신계약비",$P2255,0),$P2255*(1-AG2255)*IFERROR(INDEX(계정대체기준!$C$20:$C$49,MATCH($N2255,계정대체기준!$A$20:$A$49,0)),0)))</f>
        <v/>
      </c>
      <c r="AA2255" s="94">
        <f>IF($A2255="",0,IF(AE2255="직접",IF(OR(AF2255="유지비",AF2255="손해조사비"),$P2255,0),$P2255*(1-AG2255)*IFERROR(INDEX(계정대체기준!$D$20:$D$49,MATCH($N2255,계정대체기준!$A$20:$A$49,0)),0)))</f>
        <v/>
      </c>
      <c r="AB2255" s="94">
        <f>IF($A2255="",0,IF(AE2255="직접",IF(AF2255="수금비",$P2255,0),$P2255*(1-AG2255)*IFERROR(INDEX(계정대체기준!$E$20:$E$49,MATCH($N2255,계정대체기준!$A$20:$A$49,0)),0)))</f>
        <v/>
      </c>
      <c r="AC2255" s="9">
        <f>IF(AND($A2255&lt;&gt;"",M2255=설정!$C$20,Z2255&gt;0),Z2255+ROW()/1000000000,"")</f>
        <v/>
      </c>
      <c r="AD2255" s="94">
        <f>IF($A2255="",0,$P2255*AG2255)</f>
        <v/>
      </c>
      <c r="AE2255" s="64">
        <f>IF($A2255="","",IFERROR(INDEX(계정매핑!$E$5:$E$504,MATCH($F2255&amp;"",계정매핑!$A$5:$A$504,0))&amp;"","공통비"))</f>
        <v/>
      </c>
      <c r="AF2255" s="64">
        <f>IF($A2255="","",IF(AE2255="직접",IFERROR(INDEX(계정매핑!$F$5:$F$504,MATCH($F2255&amp;"",계정매핑!$A$5:$A$504,0))&amp;"","비귀속"),""))</f>
        <v/>
      </c>
      <c r="AG2255" s="96">
        <f>IF($A2255="",0,IF(AND(AE2255&lt;&gt;"직접",IFERROR(INDEX(계정매핑!$G$5:$G$504,MATCH($F2255&amp;"",계정매핑!$A$5:$A$504,0))&amp;"","")="유지비",COUNTIF(계정대체기준!$A$6:$A$15,$N2255)&gt;0),IFERROR(INDEX(계정대체기준!$E$6:$E$15,MATCH(VALUE($A2255&amp;""),계정대체기준!$D$6:$D$15,0)),0),0))</f>
        <v/>
      </c>
      <c r="AH2255" s="64">
        <f>IF($A2255="","",IF(AD2255=0,"",IF(OR(COUNTIF(계정대체기준!$A$77:$A$86,$N2255)&gt;0,ISNUMBER(MATCH($X2255,계정대체기준!$D$77:$D$86,0)),ISNUMBER(MATCH($F2255,계정대체기준!$D$77:$D$86,0))),"Y","N")))</f>
        <v/>
      </c>
    </row>
    <row r="2256">
      <c r="A2256" s="92" t="n">
        <v>2025</v>
      </c>
      <c r="B2256" s="92" t="n">
        <v>10</v>
      </c>
      <c r="C2256" s="92" t="inlineStr">
        <is>
          <t>5100002252</t>
        </is>
      </c>
      <c r="D2256" s="95" t="n">
        <v>45956</v>
      </c>
      <c r="E2256" s="92" t="inlineStr">
        <is>
          <t>KR</t>
        </is>
      </c>
      <c r="F2256" s="92" t="n">
        <v>62201000</v>
      </c>
      <c r="G2256" s="92" t="n">
        <v>1101</v>
      </c>
      <c r="H2256" s="93" t="n">
        <v>204000</v>
      </c>
      <c r="I2256" s="92" t="inlineStr">
        <is>
          <t>10월 통신요금 - P통신</t>
        </is>
      </c>
      <c r="J2256" s="92" t="inlineStr">
        <is>
          <t>V10014</t>
        </is>
      </c>
      <c r="K2256" s="92" t="inlineStr">
        <is>
          <t>P통신</t>
        </is>
      </c>
      <c r="M2256" s="9">
        <f>IF($A2256="","",VALUE($A2256&amp;"")*12+VALUE($B2256&amp;""))</f>
        <v/>
      </c>
      <c r="N2256" s="64">
        <f>IF($A2256="","",IFERROR(INDEX(부서매핑!$C$5:$C$504,MATCH($G2256&amp;"",부서매핑!$A$5:$A$504,0)),"미매핑"))</f>
        <v/>
      </c>
      <c r="O2256" s="9">
        <f>IF($A2256="","",N2256&amp;"|"&amp;$F2256)</f>
        <v/>
      </c>
      <c r="P2256" s="94">
        <f>IF($A2256="",0,$H2256*설정!$C$23)</f>
        <v/>
      </c>
      <c r="Q2256" s="64">
        <f>IF($A2256="","",IF(O2256&lt;&gt;원인분석!$C$9,"",IF(AND(M2256&gt;=원인분석!$C$10,M2256&lt;=원인분석!$C$11),"당기",IF(AND(M2256&gt;=원인분석!$C$12,M2256&lt;=원인분석!$C$13),"비교",""))))</f>
        <v/>
      </c>
      <c r="R2256" s="9">
        <f>IF(Q2256="","",$K2256&amp;"")</f>
        <v/>
      </c>
      <c r="S2256" s="9">
        <f>IF(Q2256="","",IF(MATCH(R2256,$R$5:$R$100000,0)=ROW()-4,ROW(),""))</f>
        <v/>
      </c>
      <c r="T2256" s="9">
        <f>IF(Q2256="당기",ABS(P2256)+ROW()/1000000000,"")</f>
        <v/>
      </c>
      <c r="U2256" s="9">
        <f>IF(Q2256="비교",ABS(P2256)+ROW()/1000000000,"")</f>
        <v/>
      </c>
      <c r="V2256" s="64">
        <f>IF($A2256="","",IF(COUNTIF(변동분석!$E$7:$E$506,O2256)&gt;0,"Y","N"))</f>
        <v/>
      </c>
      <c r="W2256" s="64">
        <f>IF($A2256="","",IFERROR(INDEX(계정매핑!$D$5:$D$504,MATCH($F2256&amp;"",계정매핑!$A$5:$A$504,0)),"미매핑"))</f>
        <v/>
      </c>
      <c r="X2256" s="9">
        <f>IF($A2256="","",$F2256&amp;"")</f>
        <v/>
      </c>
      <c r="Y2256" s="94">
        <f>IF($A2256="",0,IF(AE2256="직접",IF(AF2256="비귀속",$P2256,0),$P2256*(1-AG2256)*IFERROR(INDEX(계정대체기준!$F$20:$F$49,MATCH($N2256,계정대체기준!$A$20:$A$49,0)),1)))</f>
        <v/>
      </c>
      <c r="Z2256" s="94">
        <f>IF($A2256="",0,IF(AE2256="직접",IF(AF2256="신계약비",$P2256,0),$P2256*(1-AG2256)*IFERROR(INDEX(계정대체기준!$C$20:$C$49,MATCH($N2256,계정대체기준!$A$20:$A$49,0)),0)))</f>
        <v/>
      </c>
      <c r="AA2256" s="94">
        <f>IF($A2256="",0,IF(AE2256="직접",IF(OR(AF2256="유지비",AF2256="손해조사비"),$P2256,0),$P2256*(1-AG2256)*IFERROR(INDEX(계정대체기준!$D$20:$D$49,MATCH($N2256,계정대체기준!$A$20:$A$49,0)),0)))</f>
        <v/>
      </c>
      <c r="AB2256" s="94">
        <f>IF($A2256="",0,IF(AE2256="직접",IF(AF2256="수금비",$P2256,0),$P2256*(1-AG2256)*IFERROR(INDEX(계정대체기준!$E$20:$E$49,MATCH($N2256,계정대체기준!$A$20:$A$49,0)),0)))</f>
        <v/>
      </c>
      <c r="AC2256" s="9">
        <f>IF(AND($A2256&lt;&gt;"",M2256=설정!$C$20,Z2256&gt;0),Z2256+ROW()/1000000000,"")</f>
        <v/>
      </c>
      <c r="AD2256" s="94">
        <f>IF($A2256="",0,$P2256*AG2256)</f>
        <v/>
      </c>
      <c r="AE2256" s="64">
        <f>IF($A2256="","",IFERROR(INDEX(계정매핑!$E$5:$E$504,MATCH($F2256&amp;"",계정매핑!$A$5:$A$504,0))&amp;"","공통비"))</f>
        <v/>
      </c>
      <c r="AF2256" s="64">
        <f>IF($A2256="","",IF(AE2256="직접",IFERROR(INDEX(계정매핑!$F$5:$F$504,MATCH($F2256&amp;"",계정매핑!$A$5:$A$504,0))&amp;"","비귀속"),""))</f>
        <v/>
      </c>
      <c r="AG2256" s="96">
        <f>IF($A2256="",0,IF(AND(AE2256&lt;&gt;"직접",IFERROR(INDEX(계정매핑!$G$5:$G$504,MATCH($F2256&amp;"",계정매핑!$A$5:$A$504,0))&amp;"","")="유지비",COUNTIF(계정대체기준!$A$6:$A$15,$N2256)&gt;0),IFERROR(INDEX(계정대체기준!$E$6:$E$15,MATCH(VALUE($A2256&amp;""),계정대체기준!$D$6:$D$15,0)),0),0))</f>
        <v/>
      </c>
      <c r="AH2256" s="64">
        <f>IF($A2256="","",IF(AD2256=0,"",IF(OR(COUNTIF(계정대체기준!$A$77:$A$86,$N2256)&gt;0,ISNUMBER(MATCH($X2256,계정대체기준!$D$77:$D$86,0)),ISNUMBER(MATCH($F2256,계정대체기준!$D$77:$D$86,0))),"Y","N")))</f>
        <v/>
      </c>
    </row>
    <row r="2257">
      <c r="A2257" s="92" t="n">
        <v>2025</v>
      </c>
      <c r="B2257" s="92" t="n">
        <v>10</v>
      </c>
      <c r="C2257" s="92" t="inlineStr">
        <is>
          <t>5100002253</t>
        </is>
      </c>
      <c r="D2257" s="95" t="n">
        <v>45956</v>
      </c>
      <c r="E2257" s="92" t="inlineStr">
        <is>
          <t>KR</t>
        </is>
      </c>
      <c r="F2257" s="92" t="n">
        <v>62201000</v>
      </c>
      <c r="G2257" s="92" t="n">
        <v>1401</v>
      </c>
      <c r="H2257" s="93" t="n">
        <v>148000</v>
      </c>
      <c r="I2257" s="92" t="inlineStr">
        <is>
          <t>10월 통신요금 - P통신</t>
        </is>
      </c>
      <c r="J2257" s="92" t="inlineStr">
        <is>
          <t>V10014</t>
        </is>
      </c>
      <c r="K2257" s="92" t="inlineStr">
        <is>
          <t>P통신</t>
        </is>
      </c>
      <c r="M2257" s="9">
        <f>IF($A2257="","",VALUE($A2257&amp;"")*12+VALUE($B2257&amp;""))</f>
        <v/>
      </c>
      <c r="N2257" s="64">
        <f>IF($A2257="","",IFERROR(INDEX(부서매핑!$C$5:$C$504,MATCH($G2257&amp;"",부서매핑!$A$5:$A$504,0)),"미매핑"))</f>
        <v/>
      </c>
      <c r="O2257" s="9">
        <f>IF($A2257="","",N2257&amp;"|"&amp;$F2257)</f>
        <v/>
      </c>
      <c r="P2257" s="94">
        <f>IF($A2257="",0,$H2257*설정!$C$23)</f>
        <v/>
      </c>
      <c r="Q2257" s="64">
        <f>IF($A2257="","",IF(O2257&lt;&gt;원인분석!$C$9,"",IF(AND(M2257&gt;=원인분석!$C$10,M2257&lt;=원인분석!$C$11),"당기",IF(AND(M2257&gt;=원인분석!$C$12,M2257&lt;=원인분석!$C$13),"비교",""))))</f>
        <v/>
      </c>
      <c r="R2257" s="9">
        <f>IF(Q2257="","",$K2257&amp;"")</f>
        <v/>
      </c>
      <c r="S2257" s="9">
        <f>IF(Q2257="","",IF(MATCH(R2257,$R$5:$R$100000,0)=ROW()-4,ROW(),""))</f>
        <v/>
      </c>
      <c r="T2257" s="9">
        <f>IF(Q2257="당기",ABS(P2257)+ROW()/1000000000,"")</f>
        <v/>
      </c>
      <c r="U2257" s="9">
        <f>IF(Q2257="비교",ABS(P2257)+ROW()/1000000000,"")</f>
        <v/>
      </c>
      <c r="V2257" s="64">
        <f>IF($A2257="","",IF(COUNTIF(변동분석!$E$7:$E$506,O2257)&gt;0,"Y","N"))</f>
        <v/>
      </c>
      <c r="W2257" s="64">
        <f>IF($A2257="","",IFERROR(INDEX(계정매핑!$D$5:$D$504,MATCH($F2257&amp;"",계정매핑!$A$5:$A$504,0)),"미매핑"))</f>
        <v/>
      </c>
      <c r="X2257" s="9">
        <f>IF($A2257="","",$F2257&amp;"")</f>
        <v/>
      </c>
      <c r="Y2257" s="94">
        <f>IF($A2257="",0,IF(AE2257="직접",IF(AF2257="비귀속",$P2257,0),$P2257*(1-AG2257)*IFERROR(INDEX(계정대체기준!$F$20:$F$49,MATCH($N2257,계정대체기준!$A$20:$A$49,0)),1)))</f>
        <v/>
      </c>
      <c r="Z2257" s="94">
        <f>IF($A2257="",0,IF(AE2257="직접",IF(AF2257="신계약비",$P2257,0),$P2257*(1-AG2257)*IFERROR(INDEX(계정대체기준!$C$20:$C$49,MATCH($N2257,계정대체기준!$A$20:$A$49,0)),0)))</f>
        <v/>
      </c>
      <c r="AA2257" s="94">
        <f>IF($A2257="",0,IF(AE2257="직접",IF(OR(AF2257="유지비",AF2257="손해조사비"),$P2257,0),$P2257*(1-AG2257)*IFERROR(INDEX(계정대체기준!$D$20:$D$49,MATCH($N2257,계정대체기준!$A$20:$A$49,0)),0)))</f>
        <v/>
      </c>
      <c r="AB2257" s="94">
        <f>IF($A2257="",0,IF(AE2257="직접",IF(AF2257="수금비",$P2257,0),$P2257*(1-AG2257)*IFERROR(INDEX(계정대체기준!$E$20:$E$49,MATCH($N2257,계정대체기준!$A$20:$A$49,0)),0)))</f>
        <v/>
      </c>
      <c r="AC2257" s="9">
        <f>IF(AND($A2257&lt;&gt;"",M2257=설정!$C$20,Z2257&gt;0),Z2257+ROW()/1000000000,"")</f>
        <v/>
      </c>
      <c r="AD2257" s="94">
        <f>IF($A2257="",0,$P2257*AG2257)</f>
        <v/>
      </c>
      <c r="AE2257" s="64">
        <f>IF($A2257="","",IFERROR(INDEX(계정매핑!$E$5:$E$504,MATCH($F2257&amp;"",계정매핑!$A$5:$A$504,0))&amp;"","공통비"))</f>
        <v/>
      </c>
      <c r="AF2257" s="64">
        <f>IF($A2257="","",IF(AE2257="직접",IFERROR(INDEX(계정매핑!$F$5:$F$504,MATCH($F2257&amp;"",계정매핑!$A$5:$A$504,0))&amp;"","비귀속"),""))</f>
        <v/>
      </c>
      <c r="AG2257" s="96">
        <f>IF($A2257="",0,IF(AND(AE2257&lt;&gt;"직접",IFERROR(INDEX(계정매핑!$G$5:$G$504,MATCH($F2257&amp;"",계정매핑!$A$5:$A$504,0))&amp;"","")="유지비",COUNTIF(계정대체기준!$A$6:$A$15,$N2257)&gt;0),IFERROR(INDEX(계정대체기준!$E$6:$E$15,MATCH(VALUE($A2257&amp;""),계정대체기준!$D$6:$D$15,0)),0),0))</f>
        <v/>
      </c>
      <c r="AH2257" s="64">
        <f>IF($A2257="","",IF(AD2257=0,"",IF(OR(COUNTIF(계정대체기준!$A$77:$A$86,$N2257)&gt;0,ISNUMBER(MATCH($X2257,계정대체기준!$D$77:$D$86,0)),ISNUMBER(MATCH($F2257,계정대체기준!$D$77:$D$86,0))),"Y","N")))</f>
        <v/>
      </c>
    </row>
    <row r="2258">
      <c r="A2258" s="92" t="n">
        <v>2025</v>
      </c>
      <c r="B2258" s="92" t="n">
        <v>10</v>
      </c>
      <c r="C2258" s="92" t="inlineStr">
        <is>
          <t>5100002254</t>
        </is>
      </c>
      <c r="D2258" s="95" t="n">
        <v>45956</v>
      </c>
      <c r="E2258" s="92" t="inlineStr">
        <is>
          <t>KR</t>
        </is>
      </c>
      <c r="F2258" s="92" t="n">
        <v>62301000</v>
      </c>
      <c r="G2258" s="92" t="n">
        <v>1401</v>
      </c>
      <c r="H2258" s="93" t="n">
        <v>97000</v>
      </c>
      <c r="I2258" s="92" t="inlineStr">
        <is>
          <t>10월 소모품 구입 - Q오피스</t>
        </is>
      </c>
      <c r="J2258" s="92" t="inlineStr">
        <is>
          <t>V10003</t>
        </is>
      </c>
      <c r="K2258" s="92" t="inlineStr">
        <is>
          <t>Q오피스</t>
        </is>
      </c>
      <c r="M2258" s="9">
        <f>IF($A2258="","",VALUE($A2258&amp;"")*12+VALUE($B2258&amp;""))</f>
        <v/>
      </c>
      <c r="N2258" s="64">
        <f>IF($A2258="","",IFERROR(INDEX(부서매핑!$C$5:$C$504,MATCH($G2258&amp;"",부서매핑!$A$5:$A$504,0)),"미매핑"))</f>
        <v/>
      </c>
      <c r="O2258" s="9">
        <f>IF($A2258="","",N2258&amp;"|"&amp;$F2258)</f>
        <v/>
      </c>
      <c r="P2258" s="94">
        <f>IF($A2258="",0,$H2258*설정!$C$23)</f>
        <v/>
      </c>
      <c r="Q2258" s="64">
        <f>IF($A2258="","",IF(O2258&lt;&gt;원인분석!$C$9,"",IF(AND(M2258&gt;=원인분석!$C$10,M2258&lt;=원인분석!$C$11),"당기",IF(AND(M2258&gt;=원인분석!$C$12,M2258&lt;=원인분석!$C$13),"비교",""))))</f>
        <v/>
      </c>
      <c r="R2258" s="9">
        <f>IF(Q2258="","",$K2258&amp;"")</f>
        <v/>
      </c>
      <c r="S2258" s="9">
        <f>IF(Q2258="","",IF(MATCH(R2258,$R$5:$R$100000,0)=ROW()-4,ROW(),""))</f>
        <v/>
      </c>
      <c r="T2258" s="9">
        <f>IF(Q2258="당기",ABS(P2258)+ROW()/1000000000,"")</f>
        <v/>
      </c>
      <c r="U2258" s="9">
        <f>IF(Q2258="비교",ABS(P2258)+ROW()/1000000000,"")</f>
        <v/>
      </c>
      <c r="V2258" s="64">
        <f>IF($A2258="","",IF(COUNTIF(변동분석!$E$7:$E$506,O2258)&gt;0,"Y","N"))</f>
        <v/>
      </c>
      <c r="W2258" s="64">
        <f>IF($A2258="","",IFERROR(INDEX(계정매핑!$D$5:$D$504,MATCH($F2258&amp;"",계정매핑!$A$5:$A$504,0)),"미매핑"))</f>
        <v/>
      </c>
      <c r="X2258" s="9">
        <f>IF($A2258="","",$F2258&amp;"")</f>
        <v/>
      </c>
      <c r="Y2258" s="94">
        <f>IF($A2258="",0,IF(AE2258="직접",IF(AF2258="비귀속",$P2258,0),$P2258*(1-AG2258)*IFERROR(INDEX(계정대체기준!$F$20:$F$49,MATCH($N2258,계정대체기준!$A$20:$A$49,0)),1)))</f>
        <v/>
      </c>
      <c r="Z2258" s="94">
        <f>IF($A2258="",0,IF(AE2258="직접",IF(AF2258="신계약비",$P2258,0),$P2258*(1-AG2258)*IFERROR(INDEX(계정대체기준!$C$20:$C$49,MATCH($N2258,계정대체기준!$A$20:$A$49,0)),0)))</f>
        <v/>
      </c>
      <c r="AA2258" s="94">
        <f>IF($A2258="",0,IF(AE2258="직접",IF(OR(AF2258="유지비",AF2258="손해조사비"),$P2258,0),$P2258*(1-AG2258)*IFERROR(INDEX(계정대체기준!$D$20:$D$49,MATCH($N2258,계정대체기준!$A$20:$A$49,0)),0)))</f>
        <v/>
      </c>
      <c r="AB2258" s="94">
        <f>IF($A2258="",0,IF(AE2258="직접",IF(AF2258="수금비",$P2258,0),$P2258*(1-AG2258)*IFERROR(INDEX(계정대체기준!$E$20:$E$49,MATCH($N2258,계정대체기준!$A$20:$A$49,0)),0)))</f>
        <v/>
      </c>
      <c r="AC2258" s="9">
        <f>IF(AND($A2258&lt;&gt;"",M2258=설정!$C$20,Z2258&gt;0),Z2258+ROW()/1000000000,"")</f>
        <v/>
      </c>
      <c r="AD2258" s="94">
        <f>IF($A2258="",0,$P2258*AG2258)</f>
        <v/>
      </c>
      <c r="AE2258" s="64">
        <f>IF($A2258="","",IFERROR(INDEX(계정매핑!$E$5:$E$504,MATCH($F2258&amp;"",계정매핑!$A$5:$A$504,0))&amp;"","공통비"))</f>
        <v/>
      </c>
      <c r="AF2258" s="64">
        <f>IF($A2258="","",IF(AE2258="직접",IFERROR(INDEX(계정매핑!$F$5:$F$504,MATCH($F2258&amp;"",계정매핑!$A$5:$A$504,0))&amp;"","비귀속"),""))</f>
        <v/>
      </c>
      <c r="AG2258" s="96">
        <f>IF($A2258="",0,IF(AND(AE2258&lt;&gt;"직접",IFERROR(INDEX(계정매핑!$G$5:$G$504,MATCH($F2258&amp;"",계정매핑!$A$5:$A$504,0))&amp;"","")="유지비",COUNTIF(계정대체기준!$A$6:$A$15,$N2258)&gt;0),IFERROR(INDEX(계정대체기준!$E$6:$E$15,MATCH(VALUE($A2258&amp;""),계정대체기준!$D$6:$D$15,0)),0),0))</f>
        <v/>
      </c>
      <c r="AH2258" s="64">
        <f>IF($A2258="","",IF(AD2258=0,"",IF(OR(COUNTIF(계정대체기준!$A$77:$A$86,$N2258)&gt;0,ISNUMBER(MATCH($X2258,계정대체기준!$D$77:$D$86,0)),ISNUMBER(MATCH($F2258,계정대체기준!$D$77:$D$86,0))),"Y","N")))</f>
        <v/>
      </c>
    </row>
    <row r="2259">
      <c r="A2259" s="92" t="n">
        <v>2025</v>
      </c>
      <c r="B2259" s="92" t="n">
        <v>10</v>
      </c>
      <c r="C2259" s="92" t="inlineStr">
        <is>
          <t>5100002255</t>
        </is>
      </c>
      <c r="D2259" s="95" t="n">
        <v>45956</v>
      </c>
      <c r="E2259" s="92" t="inlineStr">
        <is>
          <t>KR</t>
        </is>
      </c>
      <c r="F2259" s="92" t="n">
        <v>62301000</v>
      </c>
      <c r="G2259" s="92" t="n">
        <v>1701</v>
      </c>
      <c r="H2259" s="93" t="n">
        <v>270000</v>
      </c>
      <c r="I2259" s="92" t="inlineStr">
        <is>
          <t>10월 소모품 구입 - Q오피스</t>
        </is>
      </c>
      <c r="J2259" s="92" t="inlineStr">
        <is>
          <t>V10003</t>
        </is>
      </c>
      <c r="K2259" s="92" t="inlineStr">
        <is>
          <t>Q오피스</t>
        </is>
      </c>
      <c r="M2259" s="9">
        <f>IF($A2259="","",VALUE($A2259&amp;"")*12+VALUE($B2259&amp;""))</f>
        <v/>
      </c>
      <c r="N2259" s="64">
        <f>IF($A2259="","",IFERROR(INDEX(부서매핑!$C$5:$C$504,MATCH($G2259&amp;"",부서매핑!$A$5:$A$504,0)),"미매핑"))</f>
        <v/>
      </c>
      <c r="O2259" s="9">
        <f>IF($A2259="","",N2259&amp;"|"&amp;$F2259)</f>
        <v/>
      </c>
      <c r="P2259" s="94">
        <f>IF($A2259="",0,$H2259*설정!$C$23)</f>
        <v/>
      </c>
      <c r="Q2259" s="64">
        <f>IF($A2259="","",IF(O2259&lt;&gt;원인분석!$C$9,"",IF(AND(M2259&gt;=원인분석!$C$10,M2259&lt;=원인분석!$C$11),"당기",IF(AND(M2259&gt;=원인분석!$C$12,M2259&lt;=원인분석!$C$13),"비교",""))))</f>
        <v/>
      </c>
      <c r="R2259" s="9">
        <f>IF(Q2259="","",$K2259&amp;"")</f>
        <v/>
      </c>
      <c r="S2259" s="9">
        <f>IF(Q2259="","",IF(MATCH(R2259,$R$5:$R$100000,0)=ROW()-4,ROW(),""))</f>
        <v/>
      </c>
      <c r="T2259" s="9">
        <f>IF(Q2259="당기",ABS(P2259)+ROW()/1000000000,"")</f>
        <v/>
      </c>
      <c r="U2259" s="9">
        <f>IF(Q2259="비교",ABS(P2259)+ROW()/1000000000,"")</f>
        <v/>
      </c>
      <c r="V2259" s="64">
        <f>IF($A2259="","",IF(COUNTIF(변동분석!$E$7:$E$506,O2259)&gt;0,"Y","N"))</f>
        <v/>
      </c>
      <c r="W2259" s="64">
        <f>IF($A2259="","",IFERROR(INDEX(계정매핑!$D$5:$D$504,MATCH($F2259&amp;"",계정매핑!$A$5:$A$504,0)),"미매핑"))</f>
        <v/>
      </c>
      <c r="X2259" s="9">
        <f>IF($A2259="","",$F2259&amp;"")</f>
        <v/>
      </c>
      <c r="Y2259" s="94">
        <f>IF($A2259="",0,IF(AE2259="직접",IF(AF2259="비귀속",$P2259,0),$P2259*(1-AG2259)*IFERROR(INDEX(계정대체기준!$F$20:$F$49,MATCH($N2259,계정대체기준!$A$20:$A$49,0)),1)))</f>
        <v/>
      </c>
      <c r="Z2259" s="94">
        <f>IF($A2259="",0,IF(AE2259="직접",IF(AF2259="신계약비",$P2259,0),$P2259*(1-AG2259)*IFERROR(INDEX(계정대체기준!$C$20:$C$49,MATCH($N2259,계정대체기준!$A$20:$A$49,0)),0)))</f>
        <v/>
      </c>
      <c r="AA2259" s="94">
        <f>IF($A2259="",0,IF(AE2259="직접",IF(OR(AF2259="유지비",AF2259="손해조사비"),$P2259,0),$P2259*(1-AG2259)*IFERROR(INDEX(계정대체기준!$D$20:$D$49,MATCH($N2259,계정대체기준!$A$20:$A$49,0)),0)))</f>
        <v/>
      </c>
      <c r="AB2259" s="94">
        <f>IF($A2259="",0,IF(AE2259="직접",IF(AF2259="수금비",$P2259,0),$P2259*(1-AG2259)*IFERROR(INDEX(계정대체기준!$E$20:$E$49,MATCH($N2259,계정대체기준!$A$20:$A$49,0)),0)))</f>
        <v/>
      </c>
      <c r="AC2259" s="9">
        <f>IF(AND($A2259&lt;&gt;"",M2259=설정!$C$20,Z2259&gt;0),Z2259+ROW()/1000000000,"")</f>
        <v/>
      </c>
      <c r="AD2259" s="94">
        <f>IF($A2259="",0,$P2259*AG2259)</f>
        <v/>
      </c>
      <c r="AE2259" s="64">
        <f>IF($A2259="","",IFERROR(INDEX(계정매핑!$E$5:$E$504,MATCH($F2259&amp;"",계정매핑!$A$5:$A$504,0))&amp;"","공통비"))</f>
        <v/>
      </c>
      <c r="AF2259" s="64">
        <f>IF($A2259="","",IF(AE2259="직접",IFERROR(INDEX(계정매핑!$F$5:$F$504,MATCH($F2259&amp;"",계정매핑!$A$5:$A$504,0))&amp;"","비귀속"),""))</f>
        <v/>
      </c>
      <c r="AG2259" s="96">
        <f>IF($A2259="",0,IF(AND(AE2259&lt;&gt;"직접",IFERROR(INDEX(계정매핑!$G$5:$G$504,MATCH($F2259&amp;"",계정매핑!$A$5:$A$504,0))&amp;"","")="유지비",COUNTIF(계정대체기준!$A$6:$A$15,$N2259)&gt;0),IFERROR(INDEX(계정대체기준!$E$6:$E$15,MATCH(VALUE($A2259&amp;""),계정대체기준!$D$6:$D$15,0)),0),0))</f>
        <v/>
      </c>
      <c r="AH2259" s="64">
        <f>IF($A2259="","",IF(AD2259=0,"",IF(OR(COUNTIF(계정대체기준!$A$77:$A$86,$N2259)&gt;0,ISNUMBER(MATCH($X2259,계정대체기준!$D$77:$D$86,0)),ISNUMBER(MATCH($F2259,계정대체기준!$D$77:$D$86,0))),"Y","N")))</f>
        <v/>
      </c>
    </row>
    <row r="2260">
      <c r="A2260" s="92" t="n">
        <v>2025</v>
      </c>
      <c r="B2260" s="92" t="n">
        <v>10</v>
      </c>
      <c r="C2260" s="92" t="inlineStr">
        <is>
          <t>5100002256</t>
        </is>
      </c>
      <c r="D2260" s="95" t="n">
        <v>45956</v>
      </c>
      <c r="E2260" s="92" t="inlineStr">
        <is>
          <t>KR</t>
        </is>
      </c>
      <c r="F2260" s="92" t="n">
        <v>62901000</v>
      </c>
      <c r="G2260" s="92" t="n">
        <v>1201</v>
      </c>
      <c r="H2260" s="93" t="n">
        <v>3056000</v>
      </c>
      <c r="I2260" s="92" t="inlineStr">
        <is>
          <t>10월 자문 수수료 - W컨설팅</t>
        </is>
      </c>
      <c r="J2260" s="92" t="inlineStr">
        <is>
          <t>V10006</t>
        </is>
      </c>
      <c r="K2260" s="92" t="inlineStr">
        <is>
          <t>W컨설팅</t>
        </is>
      </c>
      <c r="M2260" s="9">
        <f>IF($A2260="","",VALUE($A2260&amp;"")*12+VALUE($B2260&amp;""))</f>
        <v/>
      </c>
      <c r="N2260" s="64">
        <f>IF($A2260="","",IFERROR(INDEX(부서매핑!$C$5:$C$504,MATCH($G2260&amp;"",부서매핑!$A$5:$A$504,0)),"미매핑"))</f>
        <v/>
      </c>
      <c r="O2260" s="9">
        <f>IF($A2260="","",N2260&amp;"|"&amp;$F2260)</f>
        <v/>
      </c>
      <c r="P2260" s="94">
        <f>IF($A2260="",0,$H2260*설정!$C$23)</f>
        <v/>
      </c>
      <c r="Q2260" s="64">
        <f>IF($A2260="","",IF(O2260&lt;&gt;원인분석!$C$9,"",IF(AND(M2260&gt;=원인분석!$C$10,M2260&lt;=원인분석!$C$11),"당기",IF(AND(M2260&gt;=원인분석!$C$12,M2260&lt;=원인분석!$C$13),"비교",""))))</f>
        <v/>
      </c>
      <c r="R2260" s="9">
        <f>IF(Q2260="","",$K2260&amp;"")</f>
        <v/>
      </c>
      <c r="S2260" s="9">
        <f>IF(Q2260="","",IF(MATCH(R2260,$R$5:$R$100000,0)=ROW()-4,ROW(),""))</f>
        <v/>
      </c>
      <c r="T2260" s="9">
        <f>IF(Q2260="당기",ABS(P2260)+ROW()/1000000000,"")</f>
        <v/>
      </c>
      <c r="U2260" s="9">
        <f>IF(Q2260="비교",ABS(P2260)+ROW()/1000000000,"")</f>
        <v/>
      </c>
      <c r="V2260" s="64">
        <f>IF($A2260="","",IF(COUNTIF(변동분석!$E$7:$E$506,O2260)&gt;0,"Y","N"))</f>
        <v/>
      </c>
      <c r="W2260" s="64">
        <f>IF($A2260="","",IFERROR(INDEX(계정매핑!$D$5:$D$504,MATCH($F2260&amp;"",계정매핑!$A$5:$A$504,0)),"미매핑"))</f>
        <v/>
      </c>
      <c r="X2260" s="9">
        <f>IF($A2260="","",$F2260&amp;"")</f>
        <v/>
      </c>
      <c r="Y2260" s="94">
        <f>IF($A2260="",0,IF(AE2260="직접",IF(AF2260="비귀속",$P2260,0),$P2260*(1-AG2260)*IFERROR(INDEX(계정대체기준!$F$20:$F$49,MATCH($N2260,계정대체기준!$A$20:$A$49,0)),1)))</f>
        <v/>
      </c>
      <c r="Z2260" s="94">
        <f>IF($A2260="",0,IF(AE2260="직접",IF(AF2260="신계약비",$P2260,0),$P2260*(1-AG2260)*IFERROR(INDEX(계정대체기준!$C$20:$C$49,MATCH($N2260,계정대체기준!$A$20:$A$49,0)),0)))</f>
        <v/>
      </c>
      <c r="AA2260" s="94">
        <f>IF($A2260="",0,IF(AE2260="직접",IF(OR(AF2260="유지비",AF2260="손해조사비"),$P2260,0),$P2260*(1-AG2260)*IFERROR(INDEX(계정대체기준!$D$20:$D$49,MATCH($N2260,계정대체기준!$A$20:$A$49,0)),0)))</f>
        <v/>
      </c>
      <c r="AB2260" s="94">
        <f>IF($A2260="",0,IF(AE2260="직접",IF(AF2260="수금비",$P2260,0),$P2260*(1-AG2260)*IFERROR(INDEX(계정대체기준!$E$20:$E$49,MATCH($N2260,계정대체기준!$A$20:$A$49,0)),0)))</f>
        <v/>
      </c>
      <c r="AC2260" s="9">
        <f>IF(AND($A2260&lt;&gt;"",M2260=설정!$C$20,Z2260&gt;0),Z2260+ROW()/1000000000,"")</f>
        <v/>
      </c>
      <c r="AD2260" s="94">
        <f>IF($A2260="",0,$P2260*AG2260)</f>
        <v/>
      </c>
      <c r="AE2260" s="64">
        <f>IF($A2260="","",IFERROR(INDEX(계정매핑!$E$5:$E$504,MATCH($F2260&amp;"",계정매핑!$A$5:$A$504,0))&amp;"","공통비"))</f>
        <v/>
      </c>
      <c r="AF2260" s="64">
        <f>IF($A2260="","",IF(AE2260="직접",IFERROR(INDEX(계정매핑!$F$5:$F$504,MATCH($F2260&amp;"",계정매핑!$A$5:$A$504,0))&amp;"","비귀속"),""))</f>
        <v/>
      </c>
      <c r="AG2260" s="96">
        <f>IF($A2260="",0,IF(AND(AE2260&lt;&gt;"직접",IFERROR(INDEX(계정매핑!$G$5:$G$504,MATCH($F2260&amp;"",계정매핑!$A$5:$A$504,0))&amp;"","")="유지비",COUNTIF(계정대체기준!$A$6:$A$15,$N2260)&gt;0),IFERROR(INDEX(계정대체기준!$E$6:$E$15,MATCH(VALUE($A2260&amp;""),계정대체기준!$D$6:$D$15,0)),0),0))</f>
        <v/>
      </c>
      <c r="AH2260" s="64">
        <f>IF($A2260="","",IF(AD2260=0,"",IF(OR(COUNTIF(계정대체기준!$A$77:$A$86,$N2260)&gt;0,ISNUMBER(MATCH($X2260,계정대체기준!$D$77:$D$86,0)),ISNUMBER(MATCH($F2260,계정대체기준!$D$77:$D$86,0))),"Y","N")))</f>
        <v/>
      </c>
    </row>
    <row r="2261">
      <c r="A2261" s="92" t="n">
        <v>2025</v>
      </c>
      <c r="B2261" s="92" t="n">
        <v>10</v>
      </c>
      <c r="C2261" s="92" t="inlineStr">
        <is>
          <t>5100002257</t>
        </is>
      </c>
      <c r="D2261" s="95" t="n">
        <v>45957</v>
      </c>
      <c r="E2261" s="92" t="inlineStr">
        <is>
          <t>KR</t>
        </is>
      </c>
      <c r="F2261" s="92" t="n">
        <v>62101000</v>
      </c>
      <c r="G2261" s="92" t="n">
        <v>1801</v>
      </c>
      <c r="H2261" s="93" t="n">
        <v>99000</v>
      </c>
      <c r="I2261" s="92" t="inlineStr">
        <is>
          <t>10월 국내출장 - L여행사</t>
        </is>
      </c>
      <c r="J2261" s="92" t="inlineStr">
        <is>
          <t>V10018</t>
        </is>
      </c>
      <c r="K2261" s="92" t="inlineStr">
        <is>
          <t>L여행사</t>
        </is>
      </c>
      <c r="M2261" s="9">
        <f>IF($A2261="","",VALUE($A2261&amp;"")*12+VALUE($B2261&amp;""))</f>
        <v/>
      </c>
      <c r="N2261" s="64">
        <f>IF($A2261="","",IFERROR(INDEX(부서매핑!$C$5:$C$504,MATCH($G2261&amp;"",부서매핑!$A$5:$A$504,0)),"미매핑"))</f>
        <v/>
      </c>
      <c r="O2261" s="9">
        <f>IF($A2261="","",N2261&amp;"|"&amp;$F2261)</f>
        <v/>
      </c>
      <c r="P2261" s="94">
        <f>IF($A2261="",0,$H2261*설정!$C$23)</f>
        <v/>
      </c>
      <c r="Q2261" s="64">
        <f>IF($A2261="","",IF(O2261&lt;&gt;원인분석!$C$9,"",IF(AND(M2261&gt;=원인분석!$C$10,M2261&lt;=원인분석!$C$11),"당기",IF(AND(M2261&gt;=원인분석!$C$12,M2261&lt;=원인분석!$C$13),"비교",""))))</f>
        <v/>
      </c>
      <c r="R2261" s="9">
        <f>IF(Q2261="","",$K2261&amp;"")</f>
        <v/>
      </c>
      <c r="S2261" s="9">
        <f>IF(Q2261="","",IF(MATCH(R2261,$R$5:$R$100000,0)=ROW()-4,ROW(),""))</f>
        <v/>
      </c>
      <c r="T2261" s="9">
        <f>IF(Q2261="당기",ABS(P2261)+ROW()/1000000000,"")</f>
        <v/>
      </c>
      <c r="U2261" s="9">
        <f>IF(Q2261="비교",ABS(P2261)+ROW()/1000000000,"")</f>
        <v/>
      </c>
      <c r="V2261" s="64">
        <f>IF($A2261="","",IF(COUNTIF(변동분석!$E$7:$E$506,O2261)&gt;0,"Y","N"))</f>
        <v/>
      </c>
      <c r="W2261" s="64">
        <f>IF($A2261="","",IFERROR(INDEX(계정매핑!$D$5:$D$504,MATCH($F2261&amp;"",계정매핑!$A$5:$A$504,0)),"미매핑"))</f>
        <v/>
      </c>
      <c r="X2261" s="9">
        <f>IF($A2261="","",$F2261&amp;"")</f>
        <v/>
      </c>
      <c r="Y2261" s="94">
        <f>IF($A2261="",0,IF(AE2261="직접",IF(AF2261="비귀속",$P2261,0),$P2261*(1-AG2261)*IFERROR(INDEX(계정대체기준!$F$20:$F$49,MATCH($N2261,계정대체기준!$A$20:$A$49,0)),1)))</f>
        <v/>
      </c>
      <c r="Z2261" s="94">
        <f>IF($A2261="",0,IF(AE2261="직접",IF(AF2261="신계약비",$P2261,0),$P2261*(1-AG2261)*IFERROR(INDEX(계정대체기준!$C$20:$C$49,MATCH($N2261,계정대체기준!$A$20:$A$49,0)),0)))</f>
        <v/>
      </c>
      <c r="AA2261" s="94">
        <f>IF($A2261="",0,IF(AE2261="직접",IF(OR(AF2261="유지비",AF2261="손해조사비"),$P2261,0),$P2261*(1-AG2261)*IFERROR(INDEX(계정대체기준!$D$20:$D$49,MATCH($N2261,계정대체기준!$A$20:$A$49,0)),0)))</f>
        <v/>
      </c>
      <c r="AB2261" s="94">
        <f>IF($A2261="",0,IF(AE2261="직접",IF(AF2261="수금비",$P2261,0),$P2261*(1-AG2261)*IFERROR(INDEX(계정대체기준!$E$20:$E$49,MATCH($N2261,계정대체기준!$A$20:$A$49,0)),0)))</f>
        <v/>
      </c>
      <c r="AC2261" s="9">
        <f>IF(AND($A2261&lt;&gt;"",M2261=설정!$C$20,Z2261&gt;0),Z2261+ROW()/1000000000,"")</f>
        <v/>
      </c>
      <c r="AD2261" s="94">
        <f>IF($A2261="",0,$P2261*AG2261)</f>
        <v/>
      </c>
      <c r="AE2261" s="64">
        <f>IF($A2261="","",IFERROR(INDEX(계정매핑!$E$5:$E$504,MATCH($F2261&amp;"",계정매핑!$A$5:$A$504,0))&amp;"","공통비"))</f>
        <v/>
      </c>
      <c r="AF2261" s="64">
        <f>IF($A2261="","",IF(AE2261="직접",IFERROR(INDEX(계정매핑!$F$5:$F$504,MATCH($F2261&amp;"",계정매핑!$A$5:$A$504,0))&amp;"","비귀속"),""))</f>
        <v/>
      </c>
      <c r="AG2261" s="96">
        <f>IF($A2261="",0,IF(AND(AE2261&lt;&gt;"직접",IFERROR(INDEX(계정매핑!$G$5:$G$504,MATCH($F2261&amp;"",계정매핑!$A$5:$A$504,0))&amp;"","")="유지비",COUNTIF(계정대체기준!$A$6:$A$15,$N2261)&gt;0),IFERROR(INDEX(계정대체기준!$E$6:$E$15,MATCH(VALUE($A2261&amp;""),계정대체기준!$D$6:$D$15,0)),0),0))</f>
        <v/>
      </c>
      <c r="AH2261" s="64">
        <f>IF($A2261="","",IF(AD2261=0,"",IF(OR(COUNTIF(계정대체기준!$A$77:$A$86,$N2261)&gt;0,ISNUMBER(MATCH($X2261,계정대체기준!$D$77:$D$86,0)),ISNUMBER(MATCH($F2261,계정대체기준!$D$77:$D$86,0))),"Y","N")))</f>
        <v/>
      </c>
    </row>
    <row r="2262">
      <c r="A2262" s="92" t="n">
        <v>2025</v>
      </c>
      <c r="B2262" s="92" t="n">
        <v>10</v>
      </c>
      <c r="C2262" s="92" t="inlineStr">
        <is>
          <t>5100002258</t>
        </is>
      </c>
      <c r="D2262" s="95" t="n">
        <v>45957</v>
      </c>
      <c r="E2262" s="92" t="inlineStr">
        <is>
          <t>KR</t>
        </is>
      </c>
      <c r="F2262" s="92" t="n">
        <v>62301000</v>
      </c>
      <c r="G2262" s="92" t="n">
        <v>1101</v>
      </c>
      <c r="H2262" s="93" t="n">
        <v>93000</v>
      </c>
      <c r="I2262" s="92" t="inlineStr">
        <is>
          <t>10월 소모품 구입 - Q오피스</t>
        </is>
      </c>
      <c r="J2262" s="92" t="inlineStr">
        <is>
          <t>V10003</t>
        </is>
      </c>
      <c r="K2262" s="92" t="inlineStr">
        <is>
          <t>Q오피스</t>
        </is>
      </c>
      <c r="M2262" s="9">
        <f>IF($A2262="","",VALUE($A2262&amp;"")*12+VALUE($B2262&amp;""))</f>
        <v/>
      </c>
      <c r="N2262" s="64">
        <f>IF($A2262="","",IFERROR(INDEX(부서매핑!$C$5:$C$504,MATCH($G2262&amp;"",부서매핑!$A$5:$A$504,0)),"미매핑"))</f>
        <v/>
      </c>
      <c r="O2262" s="9">
        <f>IF($A2262="","",N2262&amp;"|"&amp;$F2262)</f>
        <v/>
      </c>
      <c r="P2262" s="94">
        <f>IF($A2262="",0,$H2262*설정!$C$23)</f>
        <v/>
      </c>
      <c r="Q2262" s="64">
        <f>IF($A2262="","",IF(O2262&lt;&gt;원인분석!$C$9,"",IF(AND(M2262&gt;=원인분석!$C$10,M2262&lt;=원인분석!$C$11),"당기",IF(AND(M2262&gt;=원인분석!$C$12,M2262&lt;=원인분석!$C$13),"비교",""))))</f>
        <v/>
      </c>
      <c r="R2262" s="9">
        <f>IF(Q2262="","",$K2262&amp;"")</f>
        <v/>
      </c>
      <c r="S2262" s="9">
        <f>IF(Q2262="","",IF(MATCH(R2262,$R$5:$R$100000,0)=ROW()-4,ROW(),""))</f>
        <v/>
      </c>
      <c r="T2262" s="9">
        <f>IF(Q2262="당기",ABS(P2262)+ROW()/1000000000,"")</f>
        <v/>
      </c>
      <c r="U2262" s="9">
        <f>IF(Q2262="비교",ABS(P2262)+ROW()/1000000000,"")</f>
        <v/>
      </c>
      <c r="V2262" s="64">
        <f>IF($A2262="","",IF(COUNTIF(변동분석!$E$7:$E$506,O2262)&gt;0,"Y","N"))</f>
        <v/>
      </c>
      <c r="W2262" s="64">
        <f>IF($A2262="","",IFERROR(INDEX(계정매핑!$D$5:$D$504,MATCH($F2262&amp;"",계정매핑!$A$5:$A$504,0)),"미매핑"))</f>
        <v/>
      </c>
      <c r="X2262" s="9">
        <f>IF($A2262="","",$F2262&amp;"")</f>
        <v/>
      </c>
      <c r="Y2262" s="94">
        <f>IF($A2262="",0,IF(AE2262="직접",IF(AF2262="비귀속",$P2262,0),$P2262*(1-AG2262)*IFERROR(INDEX(계정대체기준!$F$20:$F$49,MATCH($N2262,계정대체기준!$A$20:$A$49,0)),1)))</f>
        <v/>
      </c>
      <c r="Z2262" s="94">
        <f>IF($A2262="",0,IF(AE2262="직접",IF(AF2262="신계약비",$P2262,0),$P2262*(1-AG2262)*IFERROR(INDEX(계정대체기준!$C$20:$C$49,MATCH($N2262,계정대체기준!$A$20:$A$49,0)),0)))</f>
        <v/>
      </c>
      <c r="AA2262" s="94">
        <f>IF($A2262="",0,IF(AE2262="직접",IF(OR(AF2262="유지비",AF2262="손해조사비"),$P2262,0),$P2262*(1-AG2262)*IFERROR(INDEX(계정대체기준!$D$20:$D$49,MATCH($N2262,계정대체기준!$A$20:$A$49,0)),0)))</f>
        <v/>
      </c>
      <c r="AB2262" s="94">
        <f>IF($A2262="",0,IF(AE2262="직접",IF(AF2262="수금비",$P2262,0),$P2262*(1-AG2262)*IFERROR(INDEX(계정대체기준!$E$20:$E$49,MATCH($N2262,계정대체기준!$A$20:$A$49,0)),0)))</f>
        <v/>
      </c>
      <c r="AC2262" s="9">
        <f>IF(AND($A2262&lt;&gt;"",M2262=설정!$C$20,Z2262&gt;0),Z2262+ROW()/1000000000,"")</f>
        <v/>
      </c>
      <c r="AD2262" s="94">
        <f>IF($A2262="",0,$P2262*AG2262)</f>
        <v/>
      </c>
      <c r="AE2262" s="64">
        <f>IF($A2262="","",IFERROR(INDEX(계정매핑!$E$5:$E$504,MATCH($F2262&amp;"",계정매핑!$A$5:$A$504,0))&amp;"","공통비"))</f>
        <v/>
      </c>
      <c r="AF2262" s="64">
        <f>IF($A2262="","",IF(AE2262="직접",IFERROR(INDEX(계정매핑!$F$5:$F$504,MATCH($F2262&amp;"",계정매핑!$A$5:$A$504,0))&amp;"","비귀속"),""))</f>
        <v/>
      </c>
      <c r="AG2262" s="96">
        <f>IF($A2262="",0,IF(AND(AE2262&lt;&gt;"직접",IFERROR(INDEX(계정매핑!$G$5:$G$504,MATCH($F2262&amp;"",계정매핑!$A$5:$A$504,0))&amp;"","")="유지비",COUNTIF(계정대체기준!$A$6:$A$15,$N2262)&gt;0),IFERROR(INDEX(계정대체기준!$E$6:$E$15,MATCH(VALUE($A2262&amp;""),계정대체기준!$D$6:$D$15,0)),0),0))</f>
        <v/>
      </c>
      <c r="AH2262" s="64">
        <f>IF($A2262="","",IF(AD2262=0,"",IF(OR(COUNTIF(계정대체기준!$A$77:$A$86,$N2262)&gt;0,ISNUMBER(MATCH($X2262,계정대체기준!$D$77:$D$86,0)),ISNUMBER(MATCH($F2262,계정대체기준!$D$77:$D$86,0))),"Y","N")))</f>
        <v/>
      </c>
    </row>
    <row r="2263">
      <c r="A2263" s="92" t="n">
        <v>2025</v>
      </c>
      <c r="B2263" s="92" t="n">
        <v>10</v>
      </c>
      <c r="C2263" s="92" t="inlineStr">
        <is>
          <t>5100002259</t>
        </is>
      </c>
      <c r="D2263" s="95" t="n">
        <v>45957</v>
      </c>
      <c r="E2263" s="92" t="inlineStr">
        <is>
          <t>KR</t>
        </is>
      </c>
      <c r="F2263" s="92" t="n">
        <v>62301000</v>
      </c>
      <c r="G2263" s="92" t="n">
        <v>1801</v>
      </c>
      <c r="H2263" s="93" t="n">
        <v>550000</v>
      </c>
      <c r="I2263" s="92" t="inlineStr">
        <is>
          <t>10월 소모품 구입 - R문구</t>
        </is>
      </c>
      <c r="J2263" s="92" t="inlineStr">
        <is>
          <t>V10022</t>
        </is>
      </c>
      <c r="K2263" s="92" t="inlineStr">
        <is>
          <t>R문구</t>
        </is>
      </c>
      <c r="M2263" s="9">
        <f>IF($A2263="","",VALUE($A2263&amp;"")*12+VALUE($B2263&amp;""))</f>
        <v/>
      </c>
      <c r="N2263" s="64">
        <f>IF($A2263="","",IFERROR(INDEX(부서매핑!$C$5:$C$504,MATCH($G2263&amp;"",부서매핑!$A$5:$A$504,0)),"미매핑"))</f>
        <v/>
      </c>
      <c r="O2263" s="9">
        <f>IF($A2263="","",N2263&amp;"|"&amp;$F2263)</f>
        <v/>
      </c>
      <c r="P2263" s="94">
        <f>IF($A2263="",0,$H2263*설정!$C$23)</f>
        <v/>
      </c>
      <c r="Q2263" s="64">
        <f>IF($A2263="","",IF(O2263&lt;&gt;원인분석!$C$9,"",IF(AND(M2263&gt;=원인분석!$C$10,M2263&lt;=원인분석!$C$11),"당기",IF(AND(M2263&gt;=원인분석!$C$12,M2263&lt;=원인분석!$C$13),"비교",""))))</f>
        <v/>
      </c>
      <c r="R2263" s="9">
        <f>IF(Q2263="","",$K2263&amp;"")</f>
        <v/>
      </c>
      <c r="S2263" s="9">
        <f>IF(Q2263="","",IF(MATCH(R2263,$R$5:$R$100000,0)=ROW()-4,ROW(),""))</f>
        <v/>
      </c>
      <c r="T2263" s="9">
        <f>IF(Q2263="당기",ABS(P2263)+ROW()/1000000000,"")</f>
        <v/>
      </c>
      <c r="U2263" s="9">
        <f>IF(Q2263="비교",ABS(P2263)+ROW()/1000000000,"")</f>
        <v/>
      </c>
      <c r="V2263" s="64">
        <f>IF($A2263="","",IF(COUNTIF(변동분석!$E$7:$E$506,O2263)&gt;0,"Y","N"))</f>
        <v/>
      </c>
      <c r="W2263" s="64">
        <f>IF($A2263="","",IFERROR(INDEX(계정매핑!$D$5:$D$504,MATCH($F2263&amp;"",계정매핑!$A$5:$A$504,0)),"미매핑"))</f>
        <v/>
      </c>
      <c r="X2263" s="9">
        <f>IF($A2263="","",$F2263&amp;"")</f>
        <v/>
      </c>
      <c r="Y2263" s="94">
        <f>IF($A2263="",0,IF(AE2263="직접",IF(AF2263="비귀속",$P2263,0),$P2263*(1-AG2263)*IFERROR(INDEX(계정대체기준!$F$20:$F$49,MATCH($N2263,계정대체기준!$A$20:$A$49,0)),1)))</f>
        <v/>
      </c>
      <c r="Z2263" s="94">
        <f>IF($A2263="",0,IF(AE2263="직접",IF(AF2263="신계약비",$P2263,0),$P2263*(1-AG2263)*IFERROR(INDEX(계정대체기준!$C$20:$C$49,MATCH($N2263,계정대체기준!$A$20:$A$49,0)),0)))</f>
        <v/>
      </c>
      <c r="AA2263" s="94">
        <f>IF($A2263="",0,IF(AE2263="직접",IF(OR(AF2263="유지비",AF2263="손해조사비"),$P2263,0),$P2263*(1-AG2263)*IFERROR(INDEX(계정대체기준!$D$20:$D$49,MATCH($N2263,계정대체기준!$A$20:$A$49,0)),0)))</f>
        <v/>
      </c>
      <c r="AB2263" s="94">
        <f>IF($A2263="",0,IF(AE2263="직접",IF(AF2263="수금비",$P2263,0),$P2263*(1-AG2263)*IFERROR(INDEX(계정대체기준!$E$20:$E$49,MATCH($N2263,계정대체기준!$A$20:$A$49,0)),0)))</f>
        <v/>
      </c>
      <c r="AC2263" s="9">
        <f>IF(AND($A2263&lt;&gt;"",M2263=설정!$C$20,Z2263&gt;0),Z2263+ROW()/1000000000,"")</f>
        <v/>
      </c>
      <c r="AD2263" s="94">
        <f>IF($A2263="",0,$P2263*AG2263)</f>
        <v/>
      </c>
      <c r="AE2263" s="64">
        <f>IF($A2263="","",IFERROR(INDEX(계정매핑!$E$5:$E$504,MATCH($F2263&amp;"",계정매핑!$A$5:$A$504,0))&amp;"","공통비"))</f>
        <v/>
      </c>
      <c r="AF2263" s="64">
        <f>IF($A2263="","",IF(AE2263="직접",IFERROR(INDEX(계정매핑!$F$5:$F$504,MATCH($F2263&amp;"",계정매핑!$A$5:$A$504,0))&amp;"","비귀속"),""))</f>
        <v/>
      </c>
      <c r="AG2263" s="96">
        <f>IF($A2263="",0,IF(AND(AE2263&lt;&gt;"직접",IFERROR(INDEX(계정매핑!$G$5:$G$504,MATCH($F2263&amp;"",계정매핑!$A$5:$A$504,0))&amp;"","")="유지비",COUNTIF(계정대체기준!$A$6:$A$15,$N2263)&gt;0),IFERROR(INDEX(계정대체기준!$E$6:$E$15,MATCH(VALUE($A2263&amp;""),계정대체기준!$D$6:$D$15,0)),0),0))</f>
        <v/>
      </c>
      <c r="AH2263" s="64">
        <f>IF($A2263="","",IF(AD2263=0,"",IF(OR(COUNTIF(계정대체기준!$A$77:$A$86,$N2263)&gt;0,ISNUMBER(MATCH($X2263,계정대체기준!$D$77:$D$86,0)),ISNUMBER(MATCH($F2263,계정대체기준!$D$77:$D$86,0))),"Y","N")))</f>
        <v/>
      </c>
    </row>
    <row r="2264">
      <c r="A2264" s="92" t="n">
        <v>2025</v>
      </c>
      <c r="B2264" s="92" t="n">
        <v>10</v>
      </c>
      <c r="C2264" s="92" t="inlineStr">
        <is>
          <t>5100002260</t>
        </is>
      </c>
      <c r="D2264" s="95" t="n">
        <v>45957</v>
      </c>
      <c r="E2264" s="92" t="inlineStr">
        <is>
          <t>KR</t>
        </is>
      </c>
      <c r="F2264" s="92" t="n">
        <v>62401000</v>
      </c>
      <c r="G2264" s="92" t="n">
        <v>1501</v>
      </c>
      <c r="H2264" s="93" t="n">
        <v>1305000</v>
      </c>
      <c r="I2264" s="92" t="inlineStr">
        <is>
          <t>10월 인쇄물 제작 - S출판</t>
        </is>
      </c>
      <c r="J2264" s="92" t="inlineStr">
        <is>
          <t>V10015</t>
        </is>
      </c>
      <c r="K2264" s="92" t="inlineStr">
        <is>
          <t>S출판</t>
        </is>
      </c>
      <c r="M2264" s="9">
        <f>IF($A2264="","",VALUE($A2264&amp;"")*12+VALUE($B2264&amp;""))</f>
        <v/>
      </c>
      <c r="N2264" s="64">
        <f>IF($A2264="","",IFERROR(INDEX(부서매핑!$C$5:$C$504,MATCH($G2264&amp;"",부서매핑!$A$5:$A$504,0)),"미매핑"))</f>
        <v/>
      </c>
      <c r="O2264" s="9">
        <f>IF($A2264="","",N2264&amp;"|"&amp;$F2264)</f>
        <v/>
      </c>
      <c r="P2264" s="94">
        <f>IF($A2264="",0,$H2264*설정!$C$23)</f>
        <v/>
      </c>
      <c r="Q2264" s="64">
        <f>IF($A2264="","",IF(O2264&lt;&gt;원인분석!$C$9,"",IF(AND(M2264&gt;=원인분석!$C$10,M2264&lt;=원인분석!$C$11),"당기",IF(AND(M2264&gt;=원인분석!$C$12,M2264&lt;=원인분석!$C$13),"비교",""))))</f>
        <v/>
      </c>
      <c r="R2264" s="9">
        <f>IF(Q2264="","",$K2264&amp;"")</f>
        <v/>
      </c>
      <c r="S2264" s="9">
        <f>IF(Q2264="","",IF(MATCH(R2264,$R$5:$R$100000,0)=ROW()-4,ROW(),""))</f>
        <v/>
      </c>
      <c r="T2264" s="9">
        <f>IF(Q2264="당기",ABS(P2264)+ROW()/1000000000,"")</f>
        <v/>
      </c>
      <c r="U2264" s="9">
        <f>IF(Q2264="비교",ABS(P2264)+ROW()/1000000000,"")</f>
        <v/>
      </c>
      <c r="V2264" s="64">
        <f>IF($A2264="","",IF(COUNTIF(변동분석!$E$7:$E$506,O2264)&gt;0,"Y","N"))</f>
        <v/>
      </c>
      <c r="W2264" s="64">
        <f>IF($A2264="","",IFERROR(INDEX(계정매핑!$D$5:$D$504,MATCH($F2264&amp;"",계정매핑!$A$5:$A$504,0)),"미매핑"))</f>
        <v/>
      </c>
      <c r="X2264" s="9">
        <f>IF($A2264="","",$F2264&amp;"")</f>
        <v/>
      </c>
      <c r="Y2264" s="94">
        <f>IF($A2264="",0,IF(AE2264="직접",IF(AF2264="비귀속",$P2264,0),$P2264*(1-AG2264)*IFERROR(INDEX(계정대체기준!$F$20:$F$49,MATCH($N2264,계정대체기준!$A$20:$A$49,0)),1)))</f>
        <v/>
      </c>
      <c r="Z2264" s="94">
        <f>IF($A2264="",0,IF(AE2264="직접",IF(AF2264="신계약비",$P2264,0),$P2264*(1-AG2264)*IFERROR(INDEX(계정대체기준!$C$20:$C$49,MATCH($N2264,계정대체기준!$A$20:$A$49,0)),0)))</f>
        <v/>
      </c>
      <c r="AA2264" s="94">
        <f>IF($A2264="",0,IF(AE2264="직접",IF(OR(AF2264="유지비",AF2264="손해조사비"),$P2264,0),$P2264*(1-AG2264)*IFERROR(INDEX(계정대체기준!$D$20:$D$49,MATCH($N2264,계정대체기준!$A$20:$A$49,0)),0)))</f>
        <v/>
      </c>
      <c r="AB2264" s="94">
        <f>IF($A2264="",0,IF(AE2264="직접",IF(AF2264="수금비",$P2264,0),$P2264*(1-AG2264)*IFERROR(INDEX(계정대체기준!$E$20:$E$49,MATCH($N2264,계정대체기준!$A$20:$A$49,0)),0)))</f>
        <v/>
      </c>
      <c r="AC2264" s="9">
        <f>IF(AND($A2264&lt;&gt;"",M2264=설정!$C$20,Z2264&gt;0),Z2264+ROW()/1000000000,"")</f>
        <v/>
      </c>
      <c r="AD2264" s="94">
        <f>IF($A2264="",0,$P2264*AG2264)</f>
        <v/>
      </c>
      <c r="AE2264" s="64">
        <f>IF($A2264="","",IFERROR(INDEX(계정매핑!$E$5:$E$504,MATCH($F2264&amp;"",계정매핑!$A$5:$A$504,0))&amp;"","공통비"))</f>
        <v/>
      </c>
      <c r="AF2264" s="64">
        <f>IF($A2264="","",IF(AE2264="직접",IFERROR(INDEX(계정매핑!$F$5:$F$504,MATCH($F2264&amp;"",계정매핑!$A$5:$A$504,0))&amp;"","비귀속"),""))</f>
        <v/>
      </c>
      <c r="AG2264" s="96">
        <f>IF($A2264="",0,IF(AND(AE2264&lt;&gt;"직접",IFERROR(INDEX(계정매핑!$G$5:$G$504,MATCH($F2264&amp;"",계정매핑!$A$5:$A$504,0))&amp;"","")="유지비",COUNTIF(계정대체기준!$A$6:$A$15,$N2264)&gt;0),IFERROR(INDEX(계정대체기준!$E$6:$E$15,MATCH(VALUE($A2264&amp;""),계정대체기준!$D$6:$D$15,0)),0),0))</f>
        <v/>
      </c>
      <c r="AH2264" s="64">
        <f>IF($A2264="","",IF(AD2264=0,"",IF(OR(COUNTIF(계정대체기준!$A$77:$A$86,$N2264)&gt;0,ISNUMBER(MATCH($X2264,계정대체기준!$D$77:$D$86,0)),ISNUMBER(MATCH($F2264,계정대체기준!$D$77:$D$86,0))),"Y","N")))</f>
        <v/>
      </c>
    </row>
    <row r="2265">
      <c r="A2265" s="92" t="n">
        <v>2025</v>
      </c>
      <c r="B2265" s="92" t="n">
        <v>10</v>
      </c>
      <c r="C2265" s="92" t="inlineStr">
        <is>
          <t>5100002261</t>
        </is>
      </c>
      <c r="D2265" s="95" t="n">
        <v>45957</v>
      </c>
      <c r="E2265" s="92" t="inlineStr">
        <is>
          <t>KR</t>
        </is>
      </c>
      <c r="F2265" s="92" t="n">
        <v>62902000</v>
      </c>
      <c r="G2265" s="92" t="n">
        <v>1101</v>
      </c>
      <c r="H2265" s="93" t="n">
        <v>1399000</v>
      </c>
      <c r="I2265" s="92" t="inlineStr">
        <is>
          <t>10월 업무 위탁 수수료 - X서비스</t>
        </is>
      </c>
      <c r="J2265" s="92" t="inlineStr">
        <is>
          <t>V10020</t>
        </is>
      </c>
      <c r="K2265" s="92" t="inlineStr">
        <is>
          <t>X서비스</t>
        </is>
      </c>
      <c r="M2265" s="9">
        <f>IF($A2265="","",VALUE($A2265&amp;"")*12+VALUE($B2265&amp;""))</f>
        <v/>
      </c>
      <c r="N2265" s="64">
        <f>IF($A2265="","",IFERROR(INDEX(부서매핑!$C$5:$C$504,MATCH($G2265&amp;"",부서매핑!$A$5:$A$504,0)),"미매핑"))</f>
        <v/>
      </c>
      <c r="O2265" s="9">
        <f>IF($A2265="","",N2265&amp;"|"&amp;$F2265)</f>
        <v/>
      </c>
      <c r="P2265" s="94">
        <f>IF($A2265="",0,$H2265*설정!$C$23)</f>
        <v/>
      </c>
      <c r="Q2265" s="64">
        <f>IF($A2265="","",IF(O2265&lt;&gt;원인분석!$C$9,"",IF(AND(M2265&gt;=원인분석!$C$10,M2265&lt;=원인분석!$C$11),"당기",IF(AND(M2265&gt;=원인분석!$C$12,M2265&lt;=원인분석!$C$13),"비교",""))))</f>
        <v/>
      </c>
      <c r="R2265" s="9">
        <f>IF(Q2265="","",$K2265&amp;"")</f>
        <v/>
      </c>
      <c r="S2265" s="9">
        <f>IF(Q2265="","",IF(MATCH(R2265,$R$5:$R$100000,0)=ROW()-4,ROW(),""))</f>
        <v/>
      </c>
      <c r="T2265" s="9">
        <f>IF(Q2265="당기",ABS(P2265)+ROW()/1000000000,"")</f>
        <v/>
      </c>
      <c r="U2265" s="9">
        <f>IF(Q2265="비교",ABS(P2265)+ROW()/1000000000,"")</f>
        <v/>
      </c>
      <c r="V2265" s="64">
        <f>IF($A2265="","",IF(COUNTIF(변동분석!$E$7:$E$506,O2265)&gt;0,"Y","N"))</f>
        <v/>
      </c>
      <c r="W2265" s="64">
        <f>IF($A2265="","",IFERROR(INDEX(계정매핑!$D$5:$D$504,MATCH($F2265&amp;"",계정매핑!$A$5:$A$504,0)),"미매핑"))</f>
        <v/>
      </c>
      <c r="X2265" s="9">
        <f>IF($A2265="","",$F2265&amp;"")</f>
        <v/>
      </c>
      <c r="Y2265" s="94">
        <f>IF($A2265="",0,IF(AE2265="직접",IF(AF2265="비귀속",$P2265,0),$P2265*(1-AG2265)*IFERROR(INDEX(계정대체기준!$F$20:$F$49,MATCH($N2265,계정대체기준!$A$20:$A$49,0)),1)))</f>
        <v/>
      </c>
      <c r="Z2265" s="94">
        <f>IF($A2265="",0,IF(AE2265="직접",IF(AF2265="신계약비",$P2265,0),$P2265*(1-AG2265)*IFERROR(INDEX(계정대체기준!$C$20:$C$49,MATCH($N2265,계정대체기준!$A$20:$A$49,0)),0)))</f>
        <v/>
      </c>
      <c r="AA2265" s="94">
        <f>IF($A2265="",0,IF(AE2265="직접",IF(OR(AF2265="유지비",AF2265="손해조사비"),$P2265,0),$P2265*(1-AG2265)*IFERROR(INDEX(계정대체기준!$D$20:$D$49,MATCH($N2265,계정대체기준!$A$20:$A$49,0)),0)))</f>
        <v/>
      </c>
      <c r="AB2265" s="94">
        <f>IF($A2265="",0,IF(AE2265="직접",IF(AF2265="수금비",$P2265,0),$P2265*(1-AG2265)*IFERROR(INDEX(계정대체기준!$E$20:$E$49,MATCH($N2265,계정대체기준!$A$20:$A$49,0)),0)))</f>
        <v/>
      </c>
      <c r="AC2265" s="9">
        <f>IF(AND($A2265&lt;&gt;"",M2265=설정!$C$20,Z2265&gt;0),Z2265+ROW()/1000000000,"")</f>
        <v/>
      </c>
      <c r="AD2265" s="94">
        <f>IF($A2265="",0,$P2265*AG2265)</f>
        <v/>
      </c>
      <c r="AE2265" s="64">
        <f>IF($A2265="","",IFERROR(INDEX(계정매핑!$E$5:$E$504,MATCH($F2265&amp;"",계정매핑!$A$5:$A$504,0))&amp;"","공통비"))</f>
        <v/>
      </c>
      <c r="AF2265" s="64">
        <f>IF($A2265="","",IF(AE2265="직접",IFERROR(INDEX(계정매핑!$F$5:$F$504,MATCH($F2265&amp;"",계정매핑!$A$5:$A$504,0))&amp;"","비귀속"),""))</f>
        <v/>
      </c>
      <c r="AG2265" s="96">
        <f>IF($A2265="",0,IF(AND(AE2265&lt;&gt;"직접",IFERROR(INDEX(계정매핑!$G$5:$G$504,MATCH($F2265&amp;"",계정매핑!$A$5:$A$504,0))&amp;"","")="유지비",COUNTIF(계정대체기준!$A$6:$A$15,$N2265)&gt;0),IFERROR(INDEX(계정대체기준!$E$6:$E$15,MATCH(VALUE($A2265&amp;""),계정대체기준!$D$6:$D$15,0)),0),0))</f>
        <v/>
      </c>
      <c r="AH2265" s="64">
        <f>IF($A2265="","",IF(AD2265=0,"",IF(OR(COUNTIF(계정대체기준!$A$77:$A$86,$N2265)&gt;0,ISNUMBER(MATCH($X2265,계정대체기준!$D$77:$D$86,0)),ISNUMBER(MATCH($F2265,계정대체기준!$D$77:$D$86,0))),"Y","N")))</f>
        <v/>
      </c>
    </row>
    <row r="2266">
      <c r="A2266" s="92" t="n">
        <v>2025</v>
      </c>
      <c r="B2266" s="92" t="n">
        <v>10</v>
      </c>
      <c r="C2266" s="92" t="inlineStr">
        <is>
          <t>5100002262</t>
        </is>
      </c>
      <c r="D2266" s="95" t="n">
        <v>45957</v>
      </c>
      <c r="E2266" s="92" t="inlineStr">
        <is>
          <t>KR</t>
        </is>
      </c>
      <c r="F2266" s="92" t="n">
        <v>63001000</v>
      </c>
      <c r="G2266" s="92" t="n">
        <v>1951</v>
      </c>
      <c r="H2266" s="93" t="n">
        <v>5371000</v>
      </c>
      <c r="I2266" s="92" t="inlineStr">
        <is>
          <t>10월 SW 유지보수 - Y소프트</t>
        </is>
      </c>
      <c r="J2266" s="92" t="inlineStr">
        <is>
          <t>V10017</t>
        </is>
      </c>
      <c r="K2266" s="92" t="inlineStr">
        <is>
          <t>Y소프트</t>
        </is>
      </c>
      <c r="M2266" s="9">
        <f>IF($A2266="","",VALUE($A2266&amp;"")*12+VALUE($B2266&amp;""))</f>
        <v/>
      </c>
      <c r="N2266" s="64">
        <f>IF($A2266="","",IFERROR(INDEX(부서매핑!$C$5:$C$504,MATCH($G2266&amp;"",부서매핑!$A$5:$A$504,0)),"미매핑"))</f>
        <v/>
      </c>
      <c r="O2266" s="9">
        <f>IF($A2266="","",N2266&amp;"|"&amp;$F2266)</f>
        <v/>
      </c>
      <c r="P2266" s="94">
        <f>IF($A2266="",0,$H2266*설정!$C$23)</f>
        <v/>
      </c>
      <c r="Q2266" s="64">
        <f>IF($A2266="","",IF(O2266&lt;&gt;원인분석!$C$9,"",IF(AND(M2266&gt;=원인분석!$C$10,M2266&lt;=원인분석!$C$11),"당기",IF(AND(M2266&gt;=원인분석!$C$12,M2266&lt;=원인분석!$C$13),"비교",""))))</f>
        <v/>
      </c>
      <c r="R2266" s="9">
        <f>IF(Q2266="","",$K2266&amp;"")</f>
        <v/>
      </c>
      <c r="S2266" s="9">
        <f>IF(Q2266="","",IF(MATCH(R2266,$R$5:$R$100000,0)=ROW()-4,ROW(),""))</f>
        <v/>
      </c>
      <c r="T2266" s="9">
        <f>IF(Q2266="당기",ABS(P2266)+ROW()/1000000000,"")</f>
        <v/>
      </c>
      <c r="U2266" s="9">
        <f>IF(Q2266="비교",ABS(P2266)+ROW()/1000000000,"")</f>
        <v/>
      </c>
      <c r="V2266" s="64">
        <f>IF($A2266="","",IF(COUNTIF(변동분석!$E$7:$E$506,O2266)&gt;0,"Y","N"))</f>
        <v/>
      </c>
      <c r="W2266" s="64">
        <f>IF($A2266="","",IFERROR(INDEX(계정매핑!$D$5:$D$504,MATCH($F2266&amp;"",계정매핑!$A$5:$A$504,0)),"미매핑"))</f>
        <v/>
      </c>
      <c r="X2266" s="9">
        <f>IF($A2266="","",$F2266&amp;"")</f>
        <v/>
      </c>
      <c r="Y2266" s="94">
        <f>IF($A2266="",0,IF(AE2266="직접",IF(AF2266="비귀속",$P2266,0),$P2266*(1-AG2266)*IFERROR(INDEX(계정대체기준!$F$20:$F$49,MATCH($N2266,계정대체기준!$A$20:$A$49,0)),1)))</f>
        <v/>
      </c>
      <c r="Z2266" s="94">
        <f>IF($A2266="",0,IF(AE2266="직접",IF(AF2266="신계약비",$P2266,0),$P2266*(1-AG2266)*IFERROR(INDEX(계정대체기준!$C$20:$C$49,MATCH($N2266,계정대체기준!$A$20:$A$49,0)),0)))</f>
        <v/>
      </c>
      <c r="AA2266" s="94">
        <f>IF($A2266="",0,IF(AE2266="직접",IF(OR(AF2266="유지비",AF2266="손해조사비"),$P2266,0),$P2266*(1-AG2266)*IFERROR(INDEX(계정대체기준!$D$20:$D$49,MATCH($N2266,계정대체기준!$A$20:$A$49,0)),0)))</f>
        <v/>
      </c>
      <c r="AB2266" s="94">
        <f>IF($A2266="",0,IF(AE2266="직접",IF(AF2266="수금비",$P2266,0),$P2266*(1-AG2266)*IFERROR(INDEX(계정대체기준!$E$20:$E$49,MATCH($N2266,계정대체기준!$A$20:$A$49,0)),0)))</f>
        <v/>
      </c>
      <c r="AC2266" s="9">
        <f>IF(AND($A2266&lt;&gt;"",M2266=설정!$C$20,Z2266&gt;0),Z2266+ROW()/1000000000,"")</f>
        <v/>
      </c>
      <c r="AD2266" s="94">
        <f>IF($A2266="",0,$P2266*AG2266)</f>
        <v/>
      </c>
      <c r="AE2266" s="64">
        <f>IF($A2266="","",IFERROR(INDEX(계정매핑!$E$5:$E$504,MATCH($F2266&amp;"",계정매핑!$A$5:$A$504,0))&amp;"","공통비"))</f>
        <v/>
      </c>
      <c r="AF2266" s="64">
        <f>IF($A2266="","",IF(AE2266="직접",IFERROR(INDEX(계정매핑!$F$5:$F$504,MATCH($F2266&amp;"",계정매핑!$A$5:$A$504,0))&amp;"","비귀속"),""))</f>
        <v/>
      </c>
      <c r="AG2266" s="96">
        <f>IF($A2266="",0,IF(AND(AE2266&lt;&gt;"직접",IFERROR(INDEX(계정매핑!$G$5:$G$504,MATCH($F2266&amp;"",계정매핑!$A$5:$A$504,0))&amp;"","")="유지비",COUNTIF(계정대체기준!$A$6:$A$15,$N2266)&gt;0),IFERROR(INDEX(계정대체기준!$E$6:$E$15,MATCH(VALUE($A2266&amp;""),계정대체기준!$D$6:$D$15,0)),0),0))</f>
        <v/>
      </c>
      <c r="AH2266" s="64">
        <f>IF($A2266="","",IF(AD2266=0,"",IF(OR(COUNTIF(계정대체기준!$A$77:$A$86,$N2266)&gt;0,ISNUMBER(MATCH($X2266,계정대체기준!$D$77:$D$86,0)),ISNUMBER(MATCH($F2266,계정대체기준!$D$77:$D$86,0))),"Y","N")))</f>
        <v/>
      </c>
    </row>
    <row r="2267">
      <c r="A2267" s="92" t="n">
        <v>2025</v>
      </c>
      <c r="B2267" s="92" t="n">
        <v>10</v>
      </c>
      <c r="C2267" s="92" t="inlineStr">
        <is>
          <t>5100002263</t>
        </is>
      </c>
      <c r="D2267" s="95" t="n">
        <v>45957</v>
      </c>
      <c r="E2267" s="92" t="inlineStr">
        <is>
          <t>KR</t>
        </is>
      </c>
      <c r="F2267" s="92" t="n">
        <v>63002000</v>
      </c>
      <c r="G2267" s="92" t="n">
        <v>1951</v>
      </c>
      <c r="H2267" s="93" t="n">
        <v>7299000</v>
      </c>
      <c r="I2267" s="92" t="inlineStr">
        <is>
          <t>10월 클라우드 사용료 - C클라우드</t>
        </is>
      </c>
      <c r="J2267" s="92" t="inlineStr">
        <is>
          <t>V10026</t>
        </is>
      </c>
      <c r="K2267" s="92" t="inlineStr">
        <is>
          <t>C클라우드</t>
        </is>
      </c>
      <c r="M2267" s="9">
        <f>IF($A2267="","",VALUE($A2267&amp;"")*12+VALUE($B2267&amp;""))</f>
        <v/>
      </c>
      <c r="N2267" s="64">
        <f>IF($A2267="","",IFERROR(INDEX(부서매핑!$C$5:$C$504,MATCH($G2267&amp;"",부서매핑!$A$5:$A$504,0)),"미매핑"))</f>
        <v/>
      </c>
      <c r="O2267" s="9">
        <f>IF($A2267="","",N2267&amp;"|"&amp;$F2267)</f>
        <v/>
      </c>
      <c r="P2267" s="94">
        <f>IF($A2267="",0,$H2267*설정!$C$23)</f>
        <v/>
      </c>
      <c r="Q2267" s="64">
        <f>IF($A2267="","",IF(O2267&lt;&gt;원인분석!$C$9,"",IF(AND(M2267&gt;=원인분석!$C$10,M2267&lt;=원인분석!$C$11),"당기",IF(AND(M2267&gt;=원인분석!$C$12,M2267&lt;=원인분석!$C$13),"비교",""))))</f>
        <v/>
      </c>
      <c r="R2267" s="9">
        <f>IF(Q2267="","",$K2267&amp;"")</f>
        <v/>
      </c>
      <c r="S2267" s="9">
        <f>IF(Q2267="","",IF(MATCH(R2267,$R$5:$R$100000,0)=ROW()-4,ROW(),""))</f>
        <v/>
      </c>
      <c r="T2267" s="9">
        <f>IF(Q2267="당기",ABS(P2267)+ROW()/1000000000,"")</f>
        <v/>
      </c>
      <c r="U2267" s="9">
        <f>IF(Q2267="비교",ABS(P2267)+ROW()/1000000000,"")</f>
        <v/>
      </c>
      <c r="V2267" s="64">
        <f>IF($A2267="","",IF(COUNTIF(변동분석!$E$7:$E$506,O2267)&gt;0,"Y","N"))</f>
        <v/>
      </c>
      <c r="W2267" s="64">
        <f>IF($A2267="","",IFERROR(INDEX(계정매핑!$D$5:$D$504,MATCH($F2267&amp;"",계정매핑!$A$5:$A$504,0)),"미매핑"))</f>
        <v/>
      </c>
      <c r="X2267" s="9">
        <f>IF($A2267="","",$F2267&amp;"")</f>
        <v/>
      </c>
      <c r="Y2267" s="94">
        <f>IF($A2267="",0,IF(AE2267="직접",IF(AF2267="비귀속",$P2267,0),$P2267*(1-AG2267)*IFERROR(INDEX(계정대체기준!$F$20:$F$49,MATCH($N2267,계정대체기준!$A$20:$A$49,0)),1)))</f>
        <v/>
      </c>
      <c r="Z2267" s="94">
        <f>IF($A2267="",0,IF(AE2267="직접",IF(AF2267="신계약비",$P2267,0),$P2267*(1-AG2267)*IFERROR(INDEX(계정대체기준!$C$20:$C$49,MATCH($N2267,계정대체기준!$A$20:$A$49,0)),0)))</f>
        <v/>
      </c>
      <c r="AA2267" s="94">
        <f>IF($A2267="",0,IF(AE2267="직접",IF(OR(AF2267="유지비",AF2267="손해조사비"),$P2267,0),$P2267*(1-AG2267)*IFERROR(INDEX(계정대체기준!$D$20:$D$49,MATCH($N2267,계정대체기준!$A$20:$A$49,0)),0)))</f>
        <v/>
      </c>
      <c r="AB2267" s="94">
        <f>IF($A2267="",0,IF(AE2267="직접",IF(AF2267="수금비",$P2267,0),$P2267*(1-AG2267)*IFERROR(INDEX(계정대체기준!$E$20:$E$49,MATCH($N2267,계정대체기준!$A$20:$A$49,0)),0)))</f>
        <v/>
      </c>
      <c r="AC2267" s="9">
        <f>IF(AND($A2267&lt;&gt;"",M2267=설정!$C$20,Z2267&gt;0),Z2267+ROW()/1000000000,"")</f>
        <v/>
      </c>
      <c r="AD2267" s="94">
        <f>IF($A2267="",0,$P2267*AG2267)</f>
        <v/>
      </c>
      <c r="AE2267" s="64">
        <f>IF($A2267="","",IFERROR(INDEX(계정매핑!$E$5:$E$504,MATCH($F2267&amp;"",계정매핑!$A$5:$A$504,0))&amp;"","공통비"))</f>
        <v/>
      </c>
      <c r="AF2267" s="64">
        <f>IF($A2267="","",IF(AE2267="직접",IFERROR(INDEX(계정매핑!$F$5:$F$504,MATCH($F2267&amp;"",계정매핑!$A$5:$A$504,0))&amp;"","비귀속"),""))</f>
        <v/>
      </c>
      <c r="AG2267" s="96">
        <f>IF($A2267="",0,IF(AND(AE2267&lt;&gt;"직접",IFERROR(INDEX(계정매핑!$G$5:$G$504,MATCH($F2267&amp;"",계정매핑!$A$5:$A$504,0))&amp;"","")="유지비",COUNTIF(계정대체기준!$A$6:$A$15,$N2267)&gt;0),IFERROR(INDEX(계정대체기준!$E$6:$E$15,MATCH(VALUE($A2267&amp;""),계정대체기준!$D$6:$D$15,0)),0),0))</f>
        <v/>
      </c>
      <c r="AH2267" s="64">
        <f>IF($A2267="","",IF(AD2267=0,"",IF(OR(COUNTIF(계정대체기준!$A$77:$A$86,$N2267)&gt;0,ISNUMBER(MATCH($X2267,계정대체기준!$D$77:$D$86,0)),ISNUMBER(MATCH($F2267,계정대체기준!$D$77:$D$86,0))),"Y","N")))</f>
        <v/>
      </c>
    </row>
    <row r="2268">
      <c r="A2268" s="92" t="n">
        <v>2025</v>
      </c>
      <c r="B2268" s="92" t="n">
        <v>11</v>
      </c>
      <c r="C2268" s="92" t="inlineStr">
        <is>
          <t>5100002264</t>
        </is>
      </c>
      <c r="D2268" s="95" t="n">
        <v>45963</v>
      </c>
      <c r="E2268" s="92" t="inlineStr">
        <is>
          <t>KR</t>
        </is>
      </c>
      <c r="F2268" s="92" t="n">
        <v>62101000</v>
      </c>
      <c r="G2268" s="92" t="n">
        <v>1401</v>
      </c>
      <c r="H2268" s="93" t="n">
        <v>381000</v>
      </c>
      <c r="I2268" s="92" t="inlineStr">
        <is>
          <t>11월 국내출장 - L여행사</t>
        </is>
      </c>
      <c r="J2268" s="92" t="inlineStr">
        <is>
          <t>V10018</t>
        </is>
      </c>
      <c r="K2268" s="92" t="inlineStr">
        <is>
          <t>L여행사</t>
        </is>
      </c>
      <c r="M2268" s="9">
        <f>IF($A2268="","",VALUE($A2268&amp;"")*12+VALUE($B2268&amp;""))</f>
        <v/>
      </c>
      <c r="N2268" s="64">
        <f>IF($A2268="","",IFERROR(INDEX(부서매핑!$C$5:$C$504,MATCH($G2268&amp;"",부서매핑!$A$5:$A$504,0)),"미매핑"))</f>
        <v/>
      </c>
      <c r="O2268" s="9">
        <f>IF($A2268="","",N2268&amp;"|"&amp;$F2268)</f>
        <v/>
      </c>
      <c r="P2268" s="94">
        <f>IF($A2268="",0,$H2268*설정!$C$23)</f>
        <v/>
      </c>
      <c r="Q2268" s="64">
        <f>IF($A2268="","",IF(O2268&lt;&gt;원인분석!$C$9,"",IF(AND(M2268&gt;=원인분석!$C$10,M2268&lt;=원인분석!$C$11),"당기",IF(AND(M2268&gt;=원인분석!$C$12,M2268&lt;=원인분석!$C$13),"비교",""))))</f>
        <v/>
      </c>
      <c r="R2268" s="9">
        <f>IF(Q2268="","",$K2268&amp;"")</f>
        <v/>
      </c>
      <c r="S2268" s="9">
        <f>IF(Q2268="","",IF(MATCH(R2268,$R$5:$R$100000,0)=ROW()-4,ROW(),""))</f>
        <v/>
      </c>
      <c r="T2268" s="9">
        <f>IF(Q2268="당기",ABS(P2268)+ROW()/1000000000,"")</f>
        <v/>
      </c>
      <c r="U2268" s="9">
        <f>IF(Q2268="비교",ABS(P2268)+ROW()/1000000000,"")</f>
        <v/>
      </c>
      <c r="V2268" s="64">
        <f>IF($A2268="","",IF(COUNTIF(변동분석!$E$7:$E$506,O2268)&gt;0,"Y","N"))</f>
        <v/>
      </c>
      <c r="W2268" s="64">
        <f>IF($A2268="","",IFERROR(INDEX(계정매핑!$D$5:$D$504,MATCH($F2268&amp;"",계정매핑!$A$5:$A$504,0)),"미매핑"))</f>
        <v/>
      </c>
      <c r="X2268" s="9">
        <f>IF($A2268="","",$F2268&amp;"")</f>
        <v/>
      </c>
      <c r="Y2268" s="94">
        <f>IF($A2268="",0,IF(AE2268="직접",IF(AF2268="비귀속",$P2268,0),$P2268*(1-AG2268)*IFERROR(INDEX(계정대체기준!$F$20:$F$49,MATCH($N2268,계정대체기준!$A$20:$A$49,0)),1)))</f>
        <v/>
      </c>
      <c r="Z2268" s="94">
        <f>IF($A2268="",0,IF(AE2268="직접",IF(AF2268="신계약비",$P2268,0),$P2268*(1-AG2268)*IFERROR(INDEX(계정대체기준!$C$20:$C$49,MATCH($N2268,계정대체기준!$A$20:$A$49,0)),0)))</f>
        <v/>
      </c>
      <c r="AA2268" s="94">
        <f>IF($A2268="",0,IF(AE2268="직접",IF(OR(AF2268="유지비",AF2268="손해조사비"),$P2268,0),$P2268*(1-AG2268)*IFERROR(INDEX(계정대체기준!$D$20:$D$49,MATCH($N2268,계정대체기준!$A$20:$A$49,0)),0)))</f>
        <v/>
      </c>
      <c r="AB2268" s="94">
        <f>IF($A2268="",0,IF(AE2268="직접",IF(AF2268="수금비",$P2268,0),$P2268*(1-AG2268)*IFERROR(INDEX(계정대체기준!$E$20:$E$49,MATCH($N2268,계정대체기준!$A$20:$A$49,0)),0)))</f>
        <v/>
      </c>
      <c r="AC2268" s="9">
        <f>IF(AND($A2268&lt;&gt;"",M2268=설정!$C$20,Z2268&gt;0),Z2268+ROW()/1000000000,"")</f>
        <v/>
      </c>
      <c r="AD2268" s="94">
        <f>IF($A2268="",0,$P2268*AG2268)</f>
        <v/>
      </c>
      <c r="AE2268" s="64">
        <f>IF($A2268="","",IFERROR(INDEX(계정매핑!$E$5:$E$504,MATCH($F2268&amp;"",계정매핑!$A$5:$A$504,0))&amp;"","공통비"))</f>
        <v/>
      </c>
      <c r="AF2268" s="64">
        <f>IF($A2268="","",IF(AE2268="직접",IFERROR(INDEX(계정매핑!$F$5:$F$504,MATCH($F2268&amp;"",계정매핑!$A$5:$A$504,0))&amp;"","비귀속"),""))</f>
        <v/>
      </c>
      <c r="AG2268" s="96">
        <f>IF($A2268="",0,IF(AND(AE2268&lt;&gt;"직접",IFERROR(INDEX(계정매핑!$G$5:$G$504,MATCH($F2268&amp;"",계정매핑!$A$5:$A$504,0))&amp;"","")="유지비",COUNTIF(계정대체기준!$A$6:$A$15,$N2268)&gt;0),IFERROR(INDEX(계정대체기준!$E$6:$E$15,MATCH(VALUE($A2268&amp;""),계정대체기준!$D$6:$D$15,0)),0),0))</f>
        <v/>
      </c>
      <c r="AH2268" s="64">
        <f>IF($A2268="","",IF(AD2268=0,"",IF(OR(COUNTIF(계정대체기준!$A$77:$A$86,$N2268)&gt;0,ISNUMBER(MATCH($X2268,계정대체기준!$D$77:$D$86,0)),ISNUMBER(MATCH($F2268,계정대체기준!$D$77:$D$86,0))),"Y","N")))</f>
        <v/>
      </c>
    </row>
    <row r="2269">
      <c r="A2269" s="92" t="n">
        <v>2025</v>
      </c>
      <c r="B2269" s="92" t="n">
        <v>11</v>
      </c>
      <c r="C2269" s="92" t="inlineStr">
        <is>
          <t>5100002265</t>
        </is>
      </c>
      <c r="D2269" s="95" t="n">
        <v>45963</v>
      </c>
      <c r="E2269" s="92" t="inlineStr">
        <is>
          <t>KR</t>
        </is>
      </c>
      <c r="F2269" s="92" t="n">
        <v>62401000</v>
      </c>
      <c r="G2269" s="92" t="n">
        <v>1801</v>
      </c>
      <c r="H2269" s="93" t="n">
        <v>2087000</v>
      </c>
      <c r="I2269" s="92" t="inlineStr">
        <is>
          <t>11월 인쇄물 제작 - S출판</t>
        </is>
      </c>
      <c r="J2269" s="92" t="inlineStr">
        <is>
          <t>V10015</t>
        </is>
      </c>
      <c r="K2269" s="92" t="inlineStr">
        <is>
          <t>S출판</t>
        </is>
      </c>
      <c r="M2269" s="9">
        <f>IF($A2269="","",VALUE($A2269&amp;"")*12+VALUE($B2269&amp;""))</f>
        <v/>
      </c>
      <c r="N2269" s="64">
        <f>IF($A2269="","",IFERROR(INDEX(부서매핑!$C$5:$C$504,MATCH($G2269&amp;"",부서매핑!$A$5:$A$504,0)),"미매핑"))</f>
        <v/>
      </c>
      <c r="O2269" s="9">
        <f>IF($A2269="","",N2269&amp;"|"&amp;$F2269)</f>
        <v/>
      </c>
      <c r="P2269" s="94">
        <f>IF($A2269="",0,$H2269*설정!$C$23)</f>
        <v/>
      </c>
      <c r="Q2269" s="64">
        <f>IF($A2269="","",IF(O2269&lt;&gt;원인분석!$C$9,"",IF(AND(M2269&gt;=원인분석!$C$10,M2269&lt;=원인분석!$C$11),"당기",IF(AND(M2269&gt;=원인분석!$C$12,M2269&lt;=원인분석!$C$13),"비교",""))))</f>
        <v/>
      </c>
      <c r="R2269" s="9">
        <f>IF(Q2269="","",$K2269&amp;"")</f>
        <v/>
      </c>
      <c r="S2269" s="9">
        <f>IF(Q2269="","",IF(MATCH(R2269,$R$5:$R$100000,0)=ROW()-4,ROW(),""))</f>
        <v/>
      </c>
      <c r="T2269" s="9">
        <f>IF(Q2269="당기",ABS(P2269)+ROW()/1000000000,"")</f>
        <v/>
      </c>
      <c r="U2269" s="9">
        <f>IF(Q2269="비교",ABS(P2269)+ROW()/1000000000,"")</f>
        <v/>
      </c>
      <c r="V2269" s="64">
        <f>IF($A2269="","",IF(COUNTIF(변동분석!$E$7:$E$506,O2269)&gt;0,"Y","N"))</f>
        <v/>
      </c>
      <c r="W2269" s="64">
        <f>IF($A2269="","",IFERROR(INDEX(계정매핑!$D$5:$D$504,MATCH($F2269&amp;"",계정매핑!$A$5:$A$504,0)),"미매핑"))</f>
        <v/>
      </c>
      <c r="X2269" s="9">
        <f>IF($A2269="","",$F2269&amp;"")</f>
        <v/>
      </c>
      <c r="Y2269" s="94">
        <f>IF($A2269="",0,IF(AE2269="직접",IF(AF2269="비귀속",$P2269,0),$P2269*(1-AG2269)*IFERROR(INDEX(계정대체기준!$F$20:$F$49,MATCH($N2269,계정대체기준!$A$20:$A$49,0)),1)))</f>
        <v/>
      </c>
      <c r="Z2269" s="94">
        <f>IF($A2269="",0,IF(AE2269="직접",IF(AF2269="신계약비",$P2269,0),$P2269*(1-AG2269)*IFERROR(INDEX(계정대체기준!$C$20:$C$49,MATCH($N2269,계정대체기준!$A$20:$A$49,0)),0)))</f>
        <v/>
      </c>
      <c r="AA2269" s="94">
        <f>IF($A2269="",0,IF(AE2269="직접",IF(OR(AF2269="유지비",AF2269="손해조사비"),$P2269,0),$P2269*(1-AG2269)*IFERROR(INDEX(계정대체기준!$D$20:$D$49,MATCH($N2269,계정대체기준!$A$20:$A$49,0)),0)))</f>
        <v/>
      </c>
      <c r="AB2269" s="94">
        <f>IF($A2269="",0,IF(AE2269="직접",IF(AF2269="수금비",$P2269,0),$P2269*(1-AG2269)*IFERROR(INDEX(계정대체기준!$E$20:$E$49,MATCH($N2269,계정대체기준!$A$20:$A$49,0)),0)))</f>
        <v/>
      </c>
      <c r="AC2269" s="9">
        <f>IF(AND($A2269&lt;&gt;"",M2269=설정!$C$20,Z2269&gt;0),Z2269+ROW()/1000000000,"")</f>
        <v/>
      </c>
      <c r="AD2269" s="94">
        <f>IF($A2269="",0,$P2269*AG2269)</f>
        <v/>
      </c>
      <c r="AE2269" s="64">
        <f>IF($A2269="","",IFERROR(INDEX(계정매핑!$E$5:$E$504,MATCH($F2269&amp;"",계정매핑!$A$5:$A$504,0))&amp;"","공통비"))</f>
        <v/>
      </c>
      <c r="AF2269" s="64">
        <f>IF($A2269="","",IF(AE2269="직접",IFERROR(INDEX(계정매핑!$F$5:$F$504,MATCH($F2269&amp;"",계정매핑!$A$5:$A$504,0))&amp;"","비귀속"),""))</f>
        <v/>
      </c>
      <c r="AG2269" s="96">
        <f>IF($A2269="",0,IF(AND(AE2269&lt;&gt;"직접",IFERROR(INDEX(계정매핑!$G$5:$G$504,MATCH($F2269&amp;"",계정매핑!$A$5:$A$504,0))&amp;"","")="유지비",COUNTIF(계정대체기준!$A$6:$A$15,$N2269)&gt;0),IFERROR(INDEX(계정대체기준!$E$6:$E$15,MATCH(VALUE($A2269&amp;""),계정대체기준!$D$6:$D$15,0)),0),0))</f>
        <v/>
      </c>
      <c r="AH2269" s="64">
        <f>IF($A2269="","",IF(AD2269=0,"",IF(OR(COUNTIF(계정대체기준!$A$77:$A$86,$N2269)&gt;0,ISNUMBER(MATCH($X2269,계정대체기준!$D$77:$D$86,0)),ISNUMBER(MATCH($F2269,계정대체기준!$D$77:$D$86,0))),"Y","N")))</f>
        <v/>
      </c>
    </row>
    <row r="2270">
      <c r="A2270" s="92" t="n">
        <v>2025</v>
      </c>
      <c r="B2270" s="92" t="n">
        <v>11</v>
      </c>
      <c r="C2270" s="92" t="inlineStr">
        <is>
          <t>5100002266</t>
        </is>
      </c>
      <c r="D2270" s="95" t="n">
        <v>45963</v>
      </c>
      <c r="E2270" s="92" t="inlineStr">
        <is>
          <t>KR</t>
        </is>
      </c>
      <c r="F2270" s="92" t="n">
        <v>62902000</v>
      </c>
      <c r="G2270" s="92" t="n">
        <v>1801</v>
      </c>
      <c r="H2270" s="93" t="n">
        <v>1809000</v>
      </c>
      <c r="I2270" s="92" t="inlineStr">
        <is>
          <t>11월 콜 위탁 수수료(건별)</t>
        </is>
      </c>
      <c r="J2270" s="92" t="inlineStr">
        <is>
          <t>V10016</t>
        </is>
      </c>
      <c r="K2270" s="92" t="inlineStr">
        <is>
          <t>J콜센터</t>
        </is>
      </c>
      <c r="M2270" s="9">
        <f>IF($A2270="","",VALUE($A2270&amp;"")*12+VALUE($B2270&amp;""))</f>
        <v/>
      </c>
      <c r="N2270" s="64">
        <f>IF($A2270="","",IFERROR(INDEX(부서매핑!$C$5:$C$504,MATCH($G2270&amp;"",부서매핑!$A$5:$A$504,0)),"미매핑"))</f>
        <v/>
      </c>
      <c r="O2270" s="9">
        <f>IF($A2270="","",N2270&amp;"|"&amp;$F2270)</f>
        <v/>
      </c>
      <c r="P2270" s="94">
        <f>IF($A2270="",0,$H2270*설정!$C$23)</f>
        <v/>
      </c>
      <c r="Q2270" s="64">
        <f>IF($A2270="","",IF(O2270&lt;&gt;원인분석!$C$9,"",IF(AND(M2270&gt;=원인분석!$C$10,M2270&lt;=원인분석!$C$11),"당기",IF(AND(M2270&gt;=원인분석!$C$12,M2270&lt;=원인분석!$C$13),"비교",""))))</f>
        <v/>
      </c>
      <c r="R2270" s="9">
        <f>IF(Q2270="","",$K2270&amp;"")</f>
        <v/>
      </c>
      <c r="S2270" s="9">
        <f>IF(Q2270="","",IF(MATCH(R2270,$R$5:$R$100000,0)=ROW()-4,ROW(),""))</f>
        <v/>
      </c>
      <c r="T2270" s="9">
        <f>IF(Q2270="당기",ABS(P2270)+ROW()/1000000000,"")</f>
        <v/>
      </c>
      <c r="U2270" s="9">
        <f>IF(Q2270="비교",ABS(P2270)+ROW()/1000000000,"")</f>
        <v/>
      </c>
      <c r="V2270" s="64">
        <f>IF($A2270="","",IF(COUNTIF(변동분석!$E$7:$E$506,O2270)&gt;0,"Y","N"))</f>
        <v/>
      </c>
      <c r="W2270" s="64">
        <f>IF($A2270="","",IFERROR(INDEX(계정매핑!$D$5:$D$504,MATCH($F2270&amp;"",계정매핑!$A$5:$A$504,0)),"미매핑"))</f>
        <v/>
      </c>
      <c r="X2270" s="9">
        <f>IF($A2270="","",$F2270&amp;"")</f>
        <v/>
      </c>
      <c r="Y2270" s="94">
        <f>IF($A2270="",0,IF(AE2270="직접",IF(AF2270="비귀속",$P2270,0),$P2270*(1-AG2270)*IFERROR(INDEX(계정대체기준!$F$20:$F$49,MATCH($N2270,계정대체기준!$A$20:$A$49,0)),1)))</f>
        <v/>
      </c>
      <c r="Z2270" s="94">
        <f>IF($A2270="",0,IF(AE2270="직접",IF(AF2270="신계약비",$P2270,0),$P2270*(1-AG2270)*IFERROR(INDEX(계정대체기준!$C$20:$C$49,MATCH($N2270,계정대체기준!$A$20:$A$49,0)),0)))</f>
        <v/>
      </c>
      <c r="AA2270" s="94">
        <f>IF($A2270="",0,IF(AE2270="직접",IF(OR(AF2270="유지비",AF2270="손해조사비"),$P2270,0),$P2270*(1-AG2270)*IFERROR(INDEX(계정대체기준!$D$20:$D$49,MATCH($N2270,계정대체기준!$A$20:$A$49,0)),0)))</f>
        <v/>
      </c>
      <c r="AB2270" s="94">
        <f>IF($A2270="",0,IF(AE2270="직접",IF(AF2270="수금비",$P2270,0),$P2270*(1-AG2270)*IFERROR(INDEX(계정대체기준!$E$20:$E$49,MATCH($N2270,계정대체기준!$A$20:$A$49,0)),0)))</f>
        <v/>
      </c>
      <c r="AC2270" s="9">
        <f>IF(AND($A2270&lt;&gt;"",M2270=설정!$C$20,Z2270&gt;0),Z2270+ROW()/1000000000,"")</f>
        <v/>
      </c>
      <c r="AD2270" s="94">
        <f>IF($A2270="",0,$P2270*AG2270)</f>
        <v/>
      </c>
      <c r="AE2270" s="64">
        <f>IF($A2270="","",IFERROR(INDEX(계정매핑!$E$5:$E$504,MATCH($F2270&amp;"",계정매핑!$A$5:$A$504,0))&amp;"","공통비"))</f>
        <v/>
      </c>
      <c r="AF2270" s="64">
        <f>IF($A2270="","",IF(AE2270="직접",IFERROR(INDEX(계정매핑!$F$5:$F$504,MATCH($F2270&amp;"",계정매핑!$A$5:$A$504,0))&amp;"","비귀속"),""))</f>
        <v/>
      </c>
      <c r="AG2270" s="96">
        <f>IF($A2270="",0,IF(AND(AE2270&lt;&gt;"직접",IFERROR(INDEX(계정매핑!$G$5:$G$504,MATCH($F2270&amp;"",계정매핑!$A$5:$A$504,0))&amp;"","")="유지비",COUNTIF(계정대체기준!$A$6:$A$15,$N2270)&gt;0),IFERROR(INDEX(계정대체기준!$E$6:$E$15,MATCH(VALUE($A2270&amp;""),계정대체기준!$D$6:$D$15,0)),0),0))</f>
        <v/>
      </c>
      <c r="AH2270" s="64">
        <f>IF($A2270="","",IF(AD2270=0,"",IF(OR(COUNTIF(계정대체기준!$A$77:$A$86,$N2270)&gt;0,ISNUMBER(MATCH($X2270,계정대체기준!$D$77:$D$86,0)),ISNUMBER(MATCH($F2270,계정대체기준!$D$77:$D$86,0))),"Y","N")))</f>
        <v/>
      </c>
    </row>
    <row r="2271">
      <c r="A2271" s="92" t="n">
        <v>2025</v>
      </c>
      <c r="B2271" s="92" t="n">
        <v>11</v>
      </c>
      <c r="C2271" s="92" t="inlineStr">
        <is>
          <t>5100002267</t>
        </is>
      </c>
      <c r="D2271" s="95" t="n">
        <v>45963</v>
      </c>
      <c r="E2271" s="92" t="inlineStr">
        <is>
          <t>KR</t>
        </is>
      </c>
      <c r="F2271" s="92" t="n">
        <v>62902000</v>
      </c>
      <c r="G2271" s="92" t="n">
        <v>1951</v>
      </c>
      <c r="H2271" s="93" t="n">
        <v>3045000</v>
      </c>
      <c r="I2271" s="92" t="inlineStr">
        <is>
          <t>11월 업무 위탁 수수료 - X서비스</t>
        </is>
      </c>
      <c r="J2271" s="92" t="inlineStr">
        <is>
          <t>V10020</t>
        </is>
      </c>
      <c r="K2271" s="92" t="inlineStr">
        <is>
          <t>X서비스</t>
        </is>
      </c>
      <c r="M2271" s="9">
        <f>IF($A2271="","",VALUE($A2271&amp;"")*12+VALUE($B2271&amp;""))</f>
        <v/>
      </c>
      <c r="N2271" s="64">
        <f>IF($A2271="","",IFERROR(INDEX(부서매핑!$C$5:$C$504,MATCH($G2271&amp;"",부서매핑!$A$5:$A$504,0)),"미매핑"))</f>
        <v/>
      </c>
      <c r="O2271" s="9">
        <f>IF($A2271="","",N2271&amp;"|"&amp;$F2271)</f>
        <v/>
      </c>
      <c r="P2271" s="94">
        <f>IF($A2271="",0,$H2271*설정!$C$23)</f>
        <v/>
      </c>
      <c r="Q2271" s="64">
        <f>IF($A2271="","",IF(O2271&lt;&gt;원인분석!$C$9,"",IF(AND(M2271&gt;=원인분석!$C$10,M2271&lt;=원인분석!$C$11),"당기",IF(AND(M2271&gt;=원인분석!$C$12,M2271&lt;=원인분석!$C$13),"비교",""))))</f>
        <v/>
      </c>
      <c r="R2271" s="9">
        <f>IF(Q2271="","",$K2271&amp;"")</f>
        <v/>
      </c>
      <c r="S2271" s="9">
        <f>IF(Q2271="","",IF(MATCH(R2271,$R$5:$R$100000,0)=ROW()-4,ROW(),""))</f>
        <v/>
      </c>
      <c r="T2271" s="9">
        <f>IF(Q2271="당기",ABS(P2271)+ROW()/1000000000,"")</f>
        <v/>
      </c>
      <c r="U2271" s="9">
        <f>IF(Q2271="비교",ABS(P2271)+ROW()/1000000000,"")</f>
        <v/>
      </c>
      <c r="V2271" s="64">
        <f>IF($A2271="","",IF(COUNTIF(변동분석!$E$7:$E$506,O2271)&gt;0,"Y","N"))</f>
        <v/>
      </c>
      <c r="W2271" s="64">
        <f>IF($A2271="","",IFERROR(INDEX(계정매핑!$D$5:$D$504,MATCH($F2271&amp;"",계정매핑!$A$5:$A$504,0)),"미매핑"))</f>
        <v/>
      </c>
      <c r="X2271" s="9">
        <f>IF($A2271="","",$F2271&amp;"")</f>
        <v/>
      </c>
      <c r="Y2271" s="94">
        <f>IF($A2271="",0,IF(AE2271="직접",IF(AF2271="비귀속",$P2271,0),$P2271*(1-AG2271)*IFERROR(INDEX(계정대체기준!$F$20:$F$49,MATCH($N2271,계정대체기준!$A$20:$A$49,0)),1)))</f>
        <v/>
      </c>
      <c r="Z2271" s="94">
        <f>IF($A2271="",0,IF(AE2271="직접",IF(AF2271="신계약비",$P2271,0),$P2271*(1-AG2271)*IFERROR(INDEX(계정대체기준!$C$20:$C$49,MATCH($N2271,계정대체기준!$A$20:$A$49,0)),0)))</f>
        <v/>
      </c>
      <c r="AA2271" s="94">
        <f>IF($A2271="",0,IF(AE2271="직접",IF(OR(AF2271="유지비",AF2271="손해조사비"),$P2271,0),$P2271*(1-AG2271)*IFERROR(INDEX(계정대체기준!$D$20:$D$49,MATCH($N2271,계정대체기준!$A$20:$A$49,0)),0)))</f>
        <v/>
      </c>
      <c r="AB2271" s="94">
        <f>IF($A2271="",0,IF(AE2271="직접",IF(AF2271="수금비",$P2271,0),$P2271*(1-AG2271)*IFERROR(INDEX(계정대체기준!$E$20:$E$49,MATCH($N2271,계정대체기준!$A$20:$A$49,0)),0)))</f>
        <v/>
      </c>
      <c r="AC2271" s="9">
        <f>IF(AND($A2271&lt;&gt;"",M2271=설정!$C$20,Z2271&gt;0),Z2271+ROW()/1000000000,"")</f>
        <v/>
      </c>
      <c r="AD2271" s="94">
        <f>IF($A2271="",0,$P2271*AG2271)</f>
        <v/>
      </c>
      <c r="AE2271" s="64">
        <f>IF($A2271="","",IFERROR(INDEX(계정매핑!$E$5:$E$504,MATCH($F2271&amp;"",계정매핑!$A$5:$A$504,0))&amp;"","공통비"))</f>
        <v/>
      </c>
      <c r="AF2271" s="64">
        <f>IF($A2271="","",IF(AE2271="직접",IFERROR(INDEX(계정매핑!$F$5:$F$504,MATCH($F2271&amp;"",계정매핑!$A$5:$A$504,0))&amp;"","비귀속"),""))</f>
        <v/>
      </c>
      <c r="AG2271" s="96">
        <f>IF($A2271="",0,IF(AND(AE2271&lt;&gt;"직접",IFERROR(INDEX(계정매핑!$G$5:$G$504,MATCH($F2271&amp;"",계정매핑!$A$5:$A$504,0))&amp;"","")="유지비",COUNTIF(계정대체기준!$A$6:$A$15,$N2271)&gt;0),IFERROR(INDEX(계정대체기준!$E$6:$E$15,MATCH(VALUE($A2271&amp;""),계정대체기준!$D$6:$D$15,0)),0),0))</f>
        <v/>
      </c>
      <c r="AH2271" s="64">
        <f>IF($A2271="","",IF(AD2271=0,"",IF(OR(COUNTIF(계정대체기준!$A$77:$A$86,$N2271)&gt;0,ISNUMBER(MATCH($X2271,계정대체기준!$D$77:$D$86,0)),ISNUMBER(MATCH($F2271,계정대체기준!$D$77:$D$86,0))),"Y","N")))</f>
        <v/>
      </c>
    </row>
    <row r="2272">
      <c r="A2272" s="92" t="n">
        <v>2025</v>
      </c>
      <c r="B2272" s="92" t="n">
        <v>11</v>
      </c>
      <c r="C2272" s="92" t="inlineStr">
        <is>
          <t>5100002268</t>
        </is>
      </c>
      <c r="D2272" s="95" t="n">
        <v>45964</v>
      </c>
      <c r="E2272" s="92" t="inlineStr">
        <is>
          <t>KR</t>
        </is>
      </c>
      <c r="F2272" s="92" t="n">
        <v>62101000</v>
      </c>
      <c r="G2272" s="92" t="n">
        <v>1101</v>
      </c>
      <c r="H2272" s="93" t="n">
        <v>418000</v>
      </c>
      <c r="I2272" s="92" t="inlineStr">
        <is>
          <t>11월 국내출장 - L여행사</t>
        </is>
      </c>
      <c r="J2272" s="92" t="inlineStr">
        <is>
          <t>V10018</t>
        </is>
      </c>
      <c r="K2272" s="92" t="inlineStr">
        <is>
          <t>L여행사</t>
        </is>
      </c>
      <c r="M2272" s="9">
        <f>IF($A2272="","",VALUE($A2272&amp;"")*12+VALUE($B2272&amp;""))</f>
        <v/>
      </c>
      <c r="N2272" s="64">
        <f>IF($A2272="","",IFERROR(INDEX(부서매핑!$C$5:$C$504,MATCH($G2272&amp;"",부서매핑!$A$5:$A$504,0)),"미매핑"))</f>
        <v/>
      </c>
      <c r="O2272" s="9">
        <f>IF($A2272="","",N2272&amp;"|"&amp;$F2272)</f>
        <v/>
      </c>
      <c r="P2272" s="94">
        <f>IF($A2272="",0,$H2272*설정!$C$23)</f>
        <v/>
      </c>
      <c r="Q2272" s="64">
        <f>IF($A2272="","",IF(O2272&lt;&gt;원인분석!$C$9,"",IF(AND(M2272&gt;=원인분석!$C$10,M2272&lt;=원인분석!$C$11),"당기",IF(AND(M2272&gt;=원인분석!$C$12,M2272&lt;=원인분석!$C$13),"비교",""))))</f>
        <v/>
      </c>
      <c r="R2272" s="9">
        <f>IF(Q2272="","",$K2272&amp;"")</f>
        <v/>
      </c>
      <c r="S2272" s="9">
        <f>IF(Q2272="","",IF(MATCH(R2272,$R$5:$R$100000,0)=ROW()-4,ROW(),""))</f>
        <v/>
      </c>
      <c r="T2272" s="9">
        <f>IF(Q2272="당기",ABS(P2272)+ROW()/1000000000,"")</f>
        <v/>
      </c>
      <c r="U2272" s="9">
        <f>IF(Q2272="비교",ABS(P2272)+ROW()/1000000000,"")</f>
        <v/>
      </c>
      <c r="V2272" s="64">
        <f>IF($A2272="","",IF(COUNTIF(변동분석!$E$7:$E$506,O2272)&gt;0,"Y","N"))</f>
        <v/>
      </c>
      <c r="W2272" s="64">
        <f>IF($A2272="","",IFERROR(INDEX(계정매핑!$D$5:$D$504,MATCH($F2272&amp;"",계정매핑!$A$5:$A$504,0)),"미매핑"))</f>
        <v/>
      </c>
      <c r="X2272" s="9">
        <f>IF($A2272="","",$F2272&amp;"")</f>
        <v/>
      </c>
      <c r="Y2272" s="94">
        <f>IF($A2272="",0,IF(AE2272="직접",IF(AF2272="비귀속",$P2272,0),$P2272*(1-AG2272)*IFERROR(INDEX(계정대체기준!$F$20:$F$49,MATCH($N2272,계정대체기준!$A$20:$A$49,0)),1)))</f>
        <v/>
      </c>
      <c r="Z2272" s="94">
        <f>IF($A2272="",0,IF(AE2272="직접",IF(AF2272="신계약비",$P2272,0),$P2272*(1-AG2272)*IFERROR(INDEX(계정대체기준!$C$20:$C$49,MATCH($N2272,계정대체기준!$A$20:$A$49,0)),0)))</f>
        <v/>
      </c>
      <c r="AA2272" s="94">
        <f>IF($A2272="",0,IF(AE2272="직접",IF(OR(AF2272="유지비",AF2272="손해조사비"),$P2272,0),$P2272*(1-AG2272)*IFERROR(INDEX(계정대체기준!$D$20:$D$49,MATCH($N2272,계정대체기준!$A$20:$A$49,0)),0)))</f>
        <v/>
      </c>
      <c r="AB2272" s="94">
        <f>IF($A2272="",0,IF(AE2272="직접",IF(AF2272="수금비",$P2272,0),$P2272*(1-AG2272)*IFERROR(INDEX(계정대체기준!$E$20:$E$49,MATCH($N2272,계정대체기준!$A$20:$A$49,0)),0)))</f>
        <v/>
      </c>
      <c r="AC2272" s="9">
        <f>IF(AND($A2272&lt;&gt;"",M2272=설정!$C$20,Z2272&gt;0),Z2272+ROW()/1000000000,"")</f>
        <v/>
      </c>
      <c r="AD2272" s="94">
        <f>IF($A2272="",0,$P2272*AG2272)</f>
        <v/>
      </c>
      <c r="AE2272" s="64">
        <f>IF($A2272="","",IFERROR(INDEX(계정매핑!$E$5:$E$504,MATCH($F2272&amp;"",계정매핑!$A$5:$A$504,0))&amp;"","공통비"))</f>
        <v/>
      </c>
      <c r="AF2272" s="64">
        <f>IF($A2272="","",IF(AE2272="직접",IFERROR(INDEX(계정매핑!$F$5:$F$504,MATCH($F2272&amp;"",계정매핑!$A$5:$A$504,0))&amp;"","비귀속"),""))</f>
        <v/>
      </c>
      <c r="AG2272" s="96">
        <f>IF($A2272="",0,IF(AND(AE2272&lt;&gt;"직접",IFERROR(INDEX(계정매핑!$G$5:$G$504,MATCH($F2272&amp;"",계정매핑!$A$5:$A$504,0))&amp;"","")="유지비",COUNTIF(계정대체기준!$A$6:$A$15,$N2272)&gt;0),IFERROR(INDEX(계정대체기준!$E$6:$E$15,MATCH(VALUE($A2272&amp;""),계정대체기준!$D$6:$D$15,0)),0),0))</f>
        <v/>
      </c>
      <c r="AH2272" s="64">
        <f>IF($A2272="","",IF(AD2272=0,"",IF(OR(COUNTIF(계정대체기준!$A$77:$A$86,$N2272)&gt;0,ISNUMBER(MATCH($X2272,계정대체기준!$D$77:$D$86,0)),ISNUMBER(MATCH($F2272,계정대체기준!$D$77:$D$86,0))),"Y","N")))</f>
        <v/>
      </c>
    </row>
    <row r="2273">
      <c r="A2273" s="92" t="n">
        <v>2025</v>
      </c>
      <c r="B2273" s="92" t="n">
        <v>11</v>
      </c>
      <c r="C2273" s="92" t="inlineStr">
        <is>
          <t>5100002269</t>
        </is>
      </c>
      <c r="D2273" s="95" t="n">
        <v>45964</v>
      </c>
      <c r="E2273" s="92" t="inlineStr">
        <is>
          <t>KR</t>
        </is>
      </c>
      <c r="F2273" s="92" t="n">
        <v>62102000</v>
      </c>
      <c r="G2273" s="92" t="n">
        <v>1301</v>
      </c>
      <c r="H2273" s="93" t="n">
        <v>91000</v>
      </c>
      <c r="I2273" s="92" t="inlineStr">
        <is>
          <t>11월 해외출장 - N호텔</t>
        </is>
      </c>
      <c r="J2273" s="92" t="inlineStr">
        <is>
          <t>V10009</t>
        </is>
      </c>
      <c r="K2273" s="92" t="inlineStr">
        <is>
          <t>N호텔</t>
        </is>
      </c>
      <c r="M2273" s="9">
        <f>IF($A2273="","",VALUE($A2273&amp;"")*12+VALUE($B2273&amp;""))</f>
        <v/>
      </c>
      <c r="N2273" s="64">
        <f>IF($A2273="","",IFERROR(INDEX(부서매핑!$C$5:$C$504,MATCH($G2273&amp;"",부서매핑!$A$5:$A$504,0)),"미매핑"))</f>
        <v/>
      </c>
      <c r="O2273" s="9">
        <f>IF($A2273="","",N2273&amp;"|"&amp;$F2273)</f>
        <v/>
      </c>
      <c r="P2273" s="94">
        <f>IF($A2273="",0,$H2273*설정!$C$23)</f>
        <v/>
      </c>
      <c r="Q2273" s="64">
        <f>IF($A2273="","",IF(O2273&lt;&gt;원인분석!$C$9,"",IF(AND(M2273&gt;=원인분석!$C$10,M2273&lt;=원인분석!$C$11),"당기",IF(AND(M2273&gt;=원인분석!$C$12,M2273&lt;=원인분석!$C$13),"비교",""))))</f>
        <v/>
      </c>
      <c r="R2273" s="9">
        <f>IF(Q2273="","",$K2273&amp;"")</f>
        <v/>
      </c>
      <c r="S2273" s="9">
        <f>IF(Q2273="","",IF(MATCH(R2273,$R$5:$R$100000,0)=ROW()-4,ROW(),""))</f>
        <v/>
      </c>
      <c r="T2273" s="9">
        <f>IF(Q2273="당기",ABS(P2273)+ROW()/1000000000,"")</f>
        <v/>
      </c>
      <c r="U2273" s="9">
        <f>IF(Q2273="비교",ABS(P2273)+ROW()/1000000000,"")</f>
        <v/>
      </c>
      <c r="V2273" s="64">
        <f>IF($A2273="","",IF(COUNTIF(변동분석!$E$7:$E$506,O2273)&gt;0,"Y","N"))</f>
        <v/>
      </c>
      <c r="W2273" s="64">
        <f>IF($A2273="","",IFERROR(INDEX(계정매핑!$D$5:$D$504,MATCH($F2273&amp;"",계정매핑!$A$5:$A$504,0)),"미매핑"))</f>
        <v/>
      </c>
      <c r="X2273" s="9">
        <f>IF($A2273="","",$F2273&amp;"")</f>
        <v/>
      </c>
      <c r="Y2273" s="94">
        <f>IF($A2273="",0,IF(AE2273="직접",IF(AF2273="비귀속",$P2273,0),$P2273*(1-AG2273)*IFERROR(INDEX(계정대체기준!$F$20:$F$49,MATCH($N2273,계정대체기준!$A$20:$A$49,0)),1)))</f>
        <v/>
      </c>
      <c r="Z2273" s="94">
        <f>IF($A2273="",0,IF(AE2273="직접",IF(AF2273="신계약비",$P2273,0),$P2273*(1-AG2273)*IFERROR(INDEX(계정대체기준!$C$20:$C$49,MATCH($N2273,계정대체기준!$A$20:$A$49,0)),0)))</f>
        <v/>
      </c>
      <c r="AA2273" s="94">
        <f>IF($A2273="",0,IF(AE2273="직접",IF(OR(AF2273="유지비",AF2273="손해조사비"),$P2273,0),$P2273*(1-AG2273)*IFERROR(INDEX(계정대체기준!$D$20:$D$49,MATCH($N2273,계정대체기준!$A$20:$A$49,0)),0)))</f>
        <v/>
      </c>
      <c r="AB2273" s="94">
        <f>IF($A2273="",0,IF(AE2273="직접",IF(AF2273="수금비",$P2273,0),$P2273*(1-AG2273)*IFERROR(INDEX(계정대체기준!$E$20:$E$49,MATCH($N2273,계정대체기준!$A$20:$A$49,0)),0)))</f>
        <v/>
      </c>
      <c r="AC2273" s="9">
        <f>IF(AND($A2273&lt;&gt;"",M2273=설정!$C$20,Z2273&gt;0),Z2273+ROW()/1000000000,"")</f>
        <v/>
      </c>
      <c r="AD2273" s="94">
        <f>IF($A2273="",0,$P2273*AG2273)</f>
        <v/>
      </c>
      <c r="AE2273" s="64">
        <f>IF($A2273="","",IFERROR(INDEX(계정매핑!$E$5:$E$504,MATCH($F2273&amp;"",계정매핑!$A$5:$A$504,0))&amp;"","공통비"))</f>
        <v/>
      </c>
      <c r="AF2273" s="64">
        <f>IF($A2273="","",IF(AE2273="직접",IFERROR(INDEX(계정매핑!$F$5:$F$504,MATCH($F2273&amp;"",계정매핑!$A$5:$A$504,0))&amp;"","비귀속"),""))</f>
        <v/>
      </c>
      <c r="AG2273" s="96">
        <f>IF($A2273="",0,IF(AND(AE2273&lt;&gt;"직접",IFERROR(INDEX(계정매핑!$G$5:$G$504,MATCH($F2273&amp;"",계정매핑!$A$5:$A$504,0))&amp;"","")="유지비",COUNTIF(계정대체기준!$A$6:$A$15,$N2273)&gt;0),IFERROR(INDEX(계정대체기준!$E$6:$E$15,MATCH(VALUE($A2273&amp;""),계정대체기준!$D$6:$D$15,0)),0),0))</f>
        <v/>
      </c>
      <c r="AH2273" s="64">
        <f>IF($A2273="","",IF(AD2273=0,"",IF(OR(COUNTIF(계정대체기준!$A$77:$A$86,$N2273)&gt;0,ISNUMBER(MATCH($X2273,계정대체기준!$D$77:$D$86,0)),ISNUMBER(MATCH($F2273,계정대체기준!$D$77:$D$86,0))),"Y","N")))</f>
        <v/>
      </c>
    </row>
    <row r="2274">
      <c r="A2274" s="92" t="n">
        <v>2025</v>
      </c>
      <c r="B2274" s="92" t="n">
        <v>11</v>
      </c>
      <c r="C2274" s="92" t="inlineStr">
        <is>
          <t>5100002270</t>
        </is>
      </c>
      <c r="D2274" s="95" t="n">
        <v>45964</v>
      </c>
      <c r="E2274" s="92" t="inlineStr">
        <is>
          <t>KR</t>
        </is>
      </c>
      <c r="F2274" s="92" t="n">
        <v>62401000</v>
      </c>
      <c r="G2274" s="92" t="n">
        <v>1801</v>
      </c>
      <c r="H2274" s="93" t="n">
        <v>1653000</v>
      </c>
      <c r="I2274" s="92" t="inlineStr">
        <is>
          <t>11월 인쇄물 제작 - G인쇄</t>
        </is>
      </c>
      <c r="J2274" s="92" t="inlineStr">
        <is>
          <t>V10004</t>
        </is>
      </c>
      <c r="K2274" s="92" t="inlineStr">
        <is>
          <t>G인쇄</t>
        </is>
      </c>
      <c r="M2274" s="9">
        <f>IF($A2274="","",VALUE($A2274&amp;"")*12+VALUE($B2274&amp;""))</f>
        <v/>
      </c>
      <c r="N2274" s="64">
        <f>IF($A2274="","",IFERROR(INDEX(부서매핑!$C$5:$C$504,MATCH($G2274&amp;"",부서매핑!$A$5:$A$504,0)),"미매핑"))</f>
        <v/>
      </c>
      <c r="O2274" s="9">
        <f>IF($A2274="","",N2274&amp;"|"&amp;$F2274)</f>
        <v/>
      </c>
      <c r="P2274" s="94">
        <f>IF($A2274="",0,$H2274*설정!$C$23)</f>
        <v/>
      </c>
      <c r="Q2274" s="64">
        <f>IF($A2274="","",IF(O2274&lt;&gt;원인분석!$C$9,"",IF(AND(M2274&gt;=원인분석!$C$10,M2274&lt;=원인분석!$C$11),"당기",IF(AND(M2274&gt;=원인분석!$C$12,M2274&lt;=원인분석!$C$13),"비교",""))))</f>
        <v/>
      </c>
      <c r="R2274" s="9">
        <f>IF(Q2274="","",$K2274&amp;"")</f>
        <v/>
      </c>
      <c r="S2274" s="9">
        <f>IF(Q2274="","",IF(MATCH(R2274,$R$5:$R$100000,0)=ROW()-4,ROW(),""))</f>
        <v/>
      </c>
      <c r="T2274" s="9">
        <f>IF(Q2274="당기",ABS(P2274)+ROW()/1000000000,"")</f>
        <v/>
      </c>
      <c r="U2274" s="9">
        <f>IF(Q2274="비교",ABS(P2274)+ROW()/1000000000,"")</f>
        <v/>
      </c>
      <c r="V2274" s="64">
        <f>IF($A2274="","",IF(COUNTIF(변동분석!$E$7:$E$506,O2274)&gt;0,"Y","N"))</f>
        <v/>
      </c>
      <c r="W2274" s="64">
        <f>IF($A2274="","",IFERROR(INDEX(계정매핑!$D$5:$D$504,MATCH($F2274&amp;"",계정매핑!$A$5:$A$504,0)),"미매핑"))</f>
        <v/>
      </c>
      <c r="X2274" s="9">
        <f>IF($A2274="","",$F2274&amp;"")</f>
        <v/>
      </c>
      <c r="Y2274" s="94">
        <f>IF($A2274="",0,IF(AE2274="직접",IF(AF2274="비귀속",$P2274,0),$P2274*(1-AG2274)*IFERROR(INDEX(계정대체기준!$F$20:$F$49,MATCH($N2274,계정대체기준!$A$20:$A$49,0)),1)))</f>
        <v/>
      </c>
      <c r="Z2274" s="94">
        <f>IF($A2274="",0,IF(AE2274="직접",IF(AF2274="신계약비",$P2274,0),$P2274*(1-AG2274)*IFERROR(INDEX(계정대체기준!$C$20:$C$49,MATCH($N2274,계정대체기준!$A$20:$A$49,0)),0)))</f>
        <v/>
      </c>
      <c r="AA2274" s="94">
        <f>IF($A2274="",0,IF(AE2274="직접",IF(OR(AF2274="유지비",AF2274="손해조사비"),$P2274,0),$P2274*(1-AG2274)*IFERROR(INDEX(계정대체기준!$D$20:$D$49,MATCH($N2274,계정대체기준!$A$20:$A$49,0)),0)))</f>
        <v/>
      </c>
      <c r="AB2274" s="94">
        <f>IF($A2274="",0,IF(AE2274="직접",IF(AF2274="수금비",$P2274,0),$P2274*(1-AG2274)*IFERROR(INDEX(계정대체기준!$E$20:$E$49,MATCH($N2274,계정대체기준!$A$20:$A$49,0)),0)))</f>
        <v/>
      </c>
      <c r="AC2274" s="9">
        <f>IF(AND($A2274&lt;&gt;"",M2274=설정!$C$20,Z2274&gt;0),Z2274+ROW()/1000000000,"")</f>
        <v/>
      </c>
      <c r="AD2274" s="94">
        <f>IF($A2274="",0,$P2274*AG2274)</f>
        <v/>
      </c>
      <c r="AE2274" s="64">
        <f>IF($A2274="","",IFERROR(INDEX(계정매핑!$E$5:$E$504,MATCH($F2274&amp;"",계정매핑!$A$5:$A$504,0))&amp;"","공통비"))</f>
        <v/>
      </c>
      <c r="AF2274" s="64">
        <f>IF($A2274="","",IF(AE2274="직접",IFERROR(INDEX(계정매핑!$F$5:$F$504,MATCH($F2274&amp;"",계정매핑!$A$5:$A$504,0))&amp;"","비귀속"),""))</f>
        <v/>
      </c>
      <c r="AG2274" s="96">
        <f>IF($A2274="",0,IF(AND(AE2274&lt;&gt;"직접",IFERROR(INDEX(계정매핑!$G$5:$G$504,MATCH($F2274&amp;"",계정매핑!$A$5:$A$504,0))&amp;"","")="유지비",COUNTIF(계정대체기준!$A$6:$A$15,$N2274)&gt;0),IFERROR(INDEX(계정대체기준!$E$6:$E$15,MATCH(VALUE($A2274&amp;""),계정대체기준!$D$6:$D$15,0)),0),0))</f>
        <v/>
      </c>
      <c r="AH2274" s="64">
        <f>IF($A2274="","",IF(AD2274=0,"",IF(OR(COUNTIF(계정대체기준!$A$77:$A$86,$N2274)&gt;0,ISNUMBER(MATCH($X2274,계정대체기준!$D$77:$D$86,0)),ISNUMBER(MATCH($F2274,계정대체기준!$D$77:$D$86,0))),"Y","N")))</f>
        <v/>
      </c>
    </row>
    <row r="2275">
      <c r="A2275" s="92" t="n">
        <v>2025</v>
      </c>
      <c r="B2275" s="92" t="n">
        <v>11</v>
      </c>
      <c r="C2275" s="92" t="inlineStr">
        <is>
          <t>5100002271</t>
        </is>
      </c>
      <c r="D2275" s="95" t="n">
        <v>45964</v>
      </c>
      <c r="E2275" s="92" t="inlineStr">
        <is>
          <t>KR</t>
        </is>
      </c>
      <c r="F2275" s="92" t="n">
        <v>62701000</v>
      </c>
      <c r="G2275" s="92" t="n">
        <v>1502</v>
      </c>
      <c r="H2275" s="93" t="n">
        <v>76199000</v>
      </c>
      <c r="I2275" s="92" t="inlineStr">
        <is>
          <t>11월 광고 집행 - E미디어</t>
        </is>
      </c>
      <c r="J2275" s="92" t="inlineStr">
        <is>
          <t>V10033</t>
        </is>
      </c>
      <c r="K2275" s="92" t="inlineStr">
        <is>
          <t>E미디어</t>
        </is>
      </c>
      <c r="M2275" s="9">
        <f>IF($A2275="","",VALUE($A2275&amp;"")*12+VALUE($B2275&amp;""))</f>
        <v/>
      </c>
      <c r="N2275" s="64">
        <f>IF($A2275="","",IFERROR(INDEX(부서매핑!$C$5:$C$504,MATCH($G2275&amp;"",부서매핑!$A$5:$A$504,0)),"미매핑"))</f>
        <v/>
      </c>
      <c r="O2275" s="9">
        <f>IF($A2275="","",N2275&amp;"|"&amp;$F2275)</f>
        <v/>
      </c>
      <c r="P2275" s="94">
        <f>IF($A2275="",0,$H2275*설정!$C$23)</f>
        <v/>
      </c>
      <c r="Q2275" s="64">
        <f>IF($A2275="","",IF(O2275&lt;&gt;원인분석!$C$9,"",IF(AND(M2275&gt;=원인분석!$C$10,M2275&lt;=원인분석!$C$11),"당기",IF(AND(M2275&gt;=원인분석!$C$12,M2275&lt;=원인분석!$C$13),"비교",""))))</f>
        <v/>
      </c>
      <c r="R2275" s="9">
        <f>IF(Q2275="","",$K2275&amp;"")</f>
        <v/>
      </c>
      <c r="S2275" s="9">
        <f>IF(Q2275="","",IF(MATCH(R2275,$R$5:$R$100000,0)=ROW()-4,ROW(),""))</f>
        <v/>
      </c>
      <c r="T2275" s="9">
        <f>IF(Q2275="당기",ABS(P2275)+ROW()/1000000000,"")</f>
        <v/>
      </c>
      <c r="U2275" s="9">
        <f>IF(Q2275="비교",ABS(P2275)+ROW()/1000000000,"")</f>
        <v/>
      </c>
      <c r="V2275" s="64">
        <f>IF($A2275="","",IF(COUNTIF(변동분석!$E$7:$E$506,O2275)&gt;0,"Y","N"))</f>
        <v/>
      </c>
      <c r="W2275" s="64">
        <f>IF($A2275="","",IFERROR(INDEX(계정매핑!$D$5:$D$504,MATCH($F2275&amp;"",계정매핑!$A$5:$A$504,0)),"미매핑"))</f>
        <v/>
      </c>
      <c r="X2275" s="9">
        <f>IF($A2275="","",$F2275&amp;"")</f>
        <v/>
      </c>
      <c r="Y2275" s="94">
        <f>IF($A2275="",0,IF(AE2275="직접",IF(AF2275="비귀속",$P2275,0),$P2275*(1-AG2275)*IFERROR(INDEX(계정대체기준!$F$20:$F$49,MATCH($N2275,계정대체기준!$A$20:$A$49,0)),1)))</f>
        <v/>
      </c>
      <c r="Z2275" s="94">
        <f>IF($A2275="",0,IF(AE2275="직접",IF(AF2275="신계약비",$P2275,0),$P2275*(1-AG2275)*IFERROR(INDEX(계정대체기준!$C$20:$C$49,MATCH($N2275,계정대체기준!$A$20:$A$49,0)),0)))</f>
        <v/>
      </c>
      <c r="AA2275" s="94">
        <f>IF($A2275="",0,IF(AE2275="직접",IF(OR(AF2275="유지비",AF2275="손해조사비"),$P2275,0),$P2275*(1-AG2275)*IFERROR(INDEX(계정대체기준!$D$20:$D$49,MATCH($N2275,계정대체기준!$A$20:$A$49,0)),0)))</f>
        <v/>
      </c>
      <c r="AB2275" s="94">
        <f>IF($A2275="",0,IF(AE2275="직접",IF(AF2275="수금비",$P2275,0),$P2275*(1-AG2275)*IFERROR(INDEX(계정대체기준!$E$20:$E$49,MATCH($N2275,계정대체기준!$A$20:$A$49,0)),0)))</f>
        <v/>
      </c>
      <c r="AC2275" s="9">
        <f>IF(AND($A2275&lt;&gt;"",M2275=설정!$C$20,Z2275&gt;0),Z2275+ROW()/1000000000,"")</f>
        <v/>
      </c>
      <c r="AD2275" s="94">
        <f>IF($A2275="",0,$P2275*AG2275)</f>
        <v/>
      </c>
      <c r="AE2275" s="64">
        <f>IF($A2275="","",IFERROR(INDEX(계정매핑!$E$5:$E$504,MATCH($F2275&amp;"",계정매핑!$A$5:$A$504,0))&amp;"","공통비"))</f>
        <v/>
      </c>
      <c r="AF2275" s="64">
        <f>IF($A2275="","",IF(AE2275="직접",IFERROR(INDEX(계정매핑!$F$5:$F$504,MATCH($F2275&amp;"",계정매핑!$A$5:$A$504,0))&amp;"","비귀속"),""))</f>
        <v/>
      </c>
      <c r="AG2275" s="96">
        <f>IF($A2275="",0,IF(AND(AE2275&lt;&gt;"직접",IFERROR(INDEX(계정매핑!$G$5:$G$504,MATCH($F2275&amp;"",계정매핑!$A$5:$A$504,0))&amp;"","")="유지비",COUNTIF(계정대체기준!$A$6:$A$15,$N2275)&gt;0),IFERROR(INDEX(계정대체기준!$E$6:$E$15,MATCH(VALUE($A2275&amp;""),계정대체기준!$D$6:$D$15,0)),0),0))</f>
        <v/>
      </c>
      <c r="AH2275" s="64">
        <f>IF($A2275="","",IF(AD2275=0,"",IF(OR(COUNTIF(계정대체기준!$A$77:$A$86,$N2275)&gt;0,ISNUMBER(MATCH($X2275,계정대체기준!$D$77:$D$86,0)),ISNUMBER(MATCH($F2275,계정대체기준!$D$77:$D$86,0))),"Y","N")))</f>
        <v/>
      </c>
    </row>
    <row r="2276">
      <c r="A2276" s="92" t="n">
        <v>2025</v>
      </c>
      <c r="B2276" s="92" t="n">
        <v>11</v>
      </c>
      <c r="C2276" s="92" t="inlineStr">
        <is>
          <t>5100002272</t>
        </is>
      </c>
      <c r="D2276" s="95" t="n">
        <v>45964</v>
      </c>
      <c r="E2276" s="92" t="inlineStr">
        <is>
          <t>KR</t>
        </is>
      </c>
      <c r="F2276" s="92" t="n">
        <v>62901000</v>
      </c>
      <c r="G2276" s="92" t="n">
        <v>1951</v>
      </c>
      <c r="H2276" s="93" t="n">
        <v>7086000</v>
      </c>
      <c r="I2276" s="92" t="inlineStr">
        <is>
          <t>11월 자문 수수료 - K회계법인</t>
        </is>
      </c>
      <c r="J2276" s="92" t="inlineStr">
        <is>
          <t>V10011</t>
        </is>
      </c>
      <c r="K2276" s="92" t="inlineStr">
        <is>
          <t>K회계법인</t>
        </is>
      </c>
      <c r="M2276" s="9">
        <f>IF($A2276="","",VALUE($A2276&amp;"")*12+VALUE($B2276&amp;""))</f>
        <v/>
      </c>
      <c r="N2276" s="64">
        <f>IF($A2276="","",IFERROR(INDEX(부서매핑!$C$5:$C$504,MATCH($G2276&amp;"",부서매핑!$A$5:$A$504,0)),"미매핑"))</f>
        <v/>
      </c>
      <c r="O2276" s="9">
        <f>IF($A2276="","",N2276&amp;"|"&amp;$F2276)</f>
        <v/>
      </c>
      <c r="P2276" s="94">
        <f>IF($A2276="",0,$H2276*설정!$C$23)</f>
        <v/>
      </c>
      <c r="Q2276" s="64">
        <f>IF($A2276="","",IF(O2276&lt;&gt;원인분석!$C$9,"",IF(AND(M2276&gt;=원인분석!$C$10,M2276&lt;=원인분석!$C$11),"당기",IF(AND(M2276&gt;=원인분석!$C$12,M2276&lt;=원인분석!$C$13),"비교",""))))</f>
        <v/>
      </c>
      <c r="R2276" s="9">
        <f>IF(Q2276="","",$K2276&amp;"")</f>
        <v/>
      </c>
      <c r="S2276" s="9">
        <f>IF(Q2276="","",IF(MATCH(R2276,$R$5:$R$100000,0)=ROW()-4,ROW(),""))</f>
        <v/>
      </c>
      <c r="T2276" s="9">
        <f>IF(Q2276="당기",ABS(P2276)+ROW()/1000000000,"")</f>
        <v/>
      </c>
      <c r="U2276" s="9">
        <f>IF(Q2276="비교",ABS(P2276)+ROW()/1000000000,"")</f>
        <v/>
      </c>
      <c r="V2276" s="64">
        <f>IF($A2276="","",IF(COUNTIF(변동분석!$E$7:$E$506,O2276)&gt;0,"Y","N"))</f>
        <v/>
      </c>
      <c r="W2276" s="64">
        <f>IF($A2276="","",IFERROR(INDEX(계정매핑!$D$5:$D$504,MATCH($F2276&amp;"",계정매핑!$A$5:$A$504,0)),"미매핑"))</f>
        <v/>
      </c>
      <c r="X2276" s="9">
        <f>IF($A2276="","",$F2276&amp;"")</f>
        <v/>
      </c>
      <c r="Y2276" s="94">
        <f>IF($A2276="",0,IF(AE2276="직접",IF(AF2276="비귀속",$P2276,0),$P2276*(1-AG2276)*IFERROR(INDEX(계정대체기준!$F$20:$F$49,MATCH($N2276,계정대체기준!$A$20:$A$49,0)),1)))</f>
        <v/>
      </c>
      <c r="Z2276" s="94">
        <f>IF($A2276="",0,IF(AE2276="직접",IF(AF2276="신계약비",$P2276,0),$P2276*(1-AG2276)*IFERROR(INDEX(계정대체기준!$C$20:$C$49,MATCH($N2276,계정대체기준!$A$20:$A$49,0)),0)))</f>
        <v/>
      </c>
      <c r="AA2276" s="94">
        <f>IF($A2276="",0,IF(AE2276="직접",IF(OR(AF2276="유지비",AF2276="손해조사비"),$P2276,0),$P2276*(1-AG2276)*IFERROR(INDEX(계정대체기준!$D$20:$D$49,MATCH($N2276,계정대체기준!$A$20:$A$49,0)),0)))</f>
        <v/>
      </c>
      <c r="AB2276" s="94">
        <f>IF($A2276="",0,IF(AE2276="직접",IF(AF2276="수금비",$P2276,0),$P2276*(1-AG2276)*IFERROR(INDEX(계정대체기준!$E$20:$E$49,MATCH($N2276,계정대체기준!$A$20:$A$49,0)),0)))</f>
        <v/>
      </c>
      <c r="AC2276" s="9">
        <f>IF(AND($A2276&lt;&gt;"",M2276=설정!$C$20,Z2276&gt;0),Z2276+ROW()/1000000000,"")</f>
        <v/>
      </c>
      <c r="AD2276" s="94">
        <f>IF($A2276="",0,$P2276*AG2276)</f>
        <v/>
      </c>
      <c r="AE2276" s="64">
        <f>IF($A2276="","",IFERROR(INDEX(계정매핑!$E$5:$E$504,MATCH($F2276&amp;"",계정매핑!$A$5:$A$504,0))&amp;"","공통비"))</f>
        <v/>
      </c>
      <c r="AF2276" s="64">
        <f>IF($A2276="","",IF(AE2276="직접",IFERROR(INDEX(계정매핑!$F$5:$F$504,MATCH($F2276&amp;"",계정매핑!$A$5:$A$504,0))&amp;"","비귀속"),""))</f>
        <v/>
      </c>
      <c r="AG2276" s="96">
        <f>IF($A2276="",0,IF(AND(AE2276&lt;&gt;"직접",IFERROR(INDEX(계정매핑!$G$5:$G$504,MATCH($F2276&amp;"",계정매핑!$A$5:$A$504,0))&amp;"","")="유지비",COUNTIF(계정대체기준!$A$6:$A$15,$N2276)&gt;0),IFERROR(INDEX(계정대체기준!$E$6:$E$15,MATCH(VALUE($A2276&amp;""),계정대체기준!$D$6:$D$15,0)),0),0))</f>
        <v/>
      </c>
      <c r="AH2276" s="64">
        <f>IF($A2276="","",IF(AD2276=0,"",IF(OR(COUNTIF(계정대체기준!$A$77:$A$86,$N2276)&gt;0,ISNUMBER(MATCH($X2276,계정대체기준!$D$77:$D$86,0)),ISNUMBER(MATCH($F2276,계정대체기준!$D$77:$D$86,0))),"Y","N")))</f>
        <v/>
      </c>
    </row>
    <row r="2277">
      <c r="A2277" s="92" t="n">
        <v>2025</v>
      </c>
      <c r="B2277" s="92" t="n">
        <v>11</v>
      </c>
      <c r="C2277" s="92" t="inlineStr">
        <is>
          <t>5100002273</t>
        </is>
      </c>
      <c r="D2277" s="95" t="n">
        <v>45964</v>
      </c>
      <c r="E2277" s="92" t="inlineStr">
        <is>
          <t>KR</t>
        </is>
      </c>
      <c r="F2277" s="92" t="n">
        <v>63001000</v>
      </c>
      <c r="G2277" s="92" t="n">
        <v>1951</v>
      </c>
      <c r="H2277" s="93" t="n">
        <v>2531000</v>
      </c>
      <c r="I2277" s="92" t="inlineStr">
        <is>
          <t>11월 SW 유지보수 - Z시스템</t>
        </is>
      </c>
      <c r="J2277" s="92" t="inlineStr">
        <is>
          <t>V10012</t>
        </is>
      </c>
      <c r="K2277" s="92" t="inlineStr">
        <is>
          <t>Z시스템</t>
        </is>
      </c>
      <c r="M2277" s="9">
        <f>IF($A2277="","",VALUE($A2277&amp;"")*12+VALUE($B2277&amp;""))</f>
        <v/>
      </c>
      <c r="N2277" s="64">
        <f>IF($A2277="","",IFERROR(INDEX(부서매핑!$C$5:$C$504,MATCH($G2277&amp;"",부서매핑!$A$5:$A$504,0)),"미매핑"))</f>
        <v/>
      </c>
      <c r="O2277" s="9">
        <f>IF($A2277="","",N2277&amp;"|"&amp;$F2277)</f>
        <v/>
      </c>
      <c r="P2277" s="94">
        <f>IF($A2277="",0,$H2277*설정!$C$23)</f>
        <v/>
      </c>
      <c r="Q2277" s="64">
        <f>IF($A2277="","",IF(O2277&lt;&gt;원인분석!$C$9,"",IF(AND(M2277&gt;=원인분석!$C$10,M2277&lt;=원인분석!$C$11),"당기",IF(AND(M2277&gt;=원인분석!$C$12,M2277&lt;=원인분석!$C$13),"비교",""))))</f>
        <v/>
      </c>
      <c r="R2277" s="9">
        <f>IF(Q2277="","",$K2277&amp;"")</f>
        <v/>
      </c>
      <c r="S2277" s="9">
        <f>IF(Q2277="","",IF(MATCH(R2277,$R$5:$R$100000,0)=ROW()-4,ROW(),""))</f>
        <v/>
      </c>
      <c r="T2277" s="9">
        <f>IF(Q2277="당기",ABS(P2277)+ROW()/1000000000,"")</f>
        <v/>
      </c>
      <c r="U2277" s="9">
        <f>IF(Q2277="비교",ABS(P2277)+ROW()/1000000000,"")</f>
        <v/>
      </c>
      <c r="V2277" s="64">
        <f>IF($A2277="","",IF(COUNTIF(변동분석!$E$7:$E$506,O2277)&gt;0,"Y","N"))</f>
        <v/>
      </c>
      <c r="W2277" s="64">
        <f>IF($A2277="","",IFERROR(INDEX(계정매핑!$D$5:$D$504,MATCH($F2277&amp;"",계정매핑!$A$5:$A$504,0)),"미매핑"))</f>
        <v/>
      </c>
      <c r="X2277" s="9">
        <f>IF($A2277="","",$F2277&amp;"")</f>
        <v/>
      </c>
      <c r="Y2277" s="94">
        <f>IF($A2277="",0,IF(AE2277="직접",IF(AF2277="비귀속",$P2277,0),$P2277*(1-AG2277)*IFERROR(INDEX(계정대체기준!$F$20:$F$49,MATCH($N2277,계정대체기준!$A$20:$A$49,0)),1)))</f>
        <v/>
      </c>
      <c r="Z2277" s="94">
        <f>IF($A2277="",0,IF(AE2277="직접",IF(AF2277="신계약비",$P2277,0),$P2277*(1-AG2277)*IFERROR(INDEX(계정대체기준!$C$20:$C$49,MATCH($N2277,계정대체기준!$A$20:$A$49,0)),0)))</f>
        <v/>
      </c>
      <c r="AA2277" s="94">
        <f>IF($A2277="",0,IF(AE2277="직접",IF(OR(AF2277="유지비",AF2277="손해조사비"),$P2277,0),$P2277*(1-AG2277)*IFERROR(INDEX(계정대체기준!$D$20:$D$49,MATCH($N2277,계정대체기준!$A$20:$A$49,0)),0)))</f>
        <v/>
      </c>
      <c r="AB2277" s="94">
        <f>IF($A2277="",0,IF(AE2277="직접",IF(AF2277="수금비",$P2277,0),$P2277*(1-AG2277)*IFERROR(INDEX(계정대체기준!$E$20:$E$49,MATCH($N2277,계정대체기준!$A$20:$A$49,0)),0)))</f>
        <v/>
      </c>
      <c r="AC2277" s="9">
        <f>IF(AND($A2277&lt;&gt;"",M2277=설정!$C$20,Z2277&gt;0),Z2277+ROW()/1000000000,"")</f>
        <v/>
      </c>
      <c r="AD2277" s="94">
        <f>IF($A2277="",0,$P2277*AG2277)</f>
        <v/>
      </c>
      <c r="AE2277" s="64">
        <f>IF($A2277="","",IFERROR(INDEX(계정매핑!$E$5:$E$504,MATCH($F2277&amp;"",계정매핑!$A$5:$A$504,0))&amp;"","공통비"))</f>
        <v/>
      </c>
      <c r="AF2277" s="64">
        <f>IF($A2277="","",IF(AE2277="직접",IFERROR(INDEX(계정매핑!$F$5:$F$504,MATCH($F2277&amp;"",계정매핑!$A$5:$A$504,0))&amp;"","비귀속"),""))</f>
        <v/>
      </c>
      <c r="AG2277" s="96">
        <f>IF($A2277="",0,IF(AND(AE2277&lt;&gt;"직접",IFERROR(INDEX(계정매핑!$G$5:$G$504,MATCH($F2277&amp;"",계정매핑!$A$5:$A$504,0))&amp;"","")="유지비",COUNTIF(계정대체기준!$A$6:$A$15,$N2277)&gt;0),IFERROR(INDEX(계정대체기준!$E$6:$E$15,MATCH(VALUE($A2277&amp;""),계정대체기준!$D$6:$D$15,0)),0),0))</f>
        <v/>
      </c>
      <c r="AH2277" s="64">
        <f>IF($A2277="","",IF(AD2277=0,"",IF(OR(COUNTIF(계정대체기준!$A$77:$A$86,$N2277)&gt;0,ISNUMBER(MATCH($X2277,계정대체기준!$D$77:$D$86,0)),ISNUMBER(MATCH($F2277,계정대체기준!$D$77:$D$86,0))),"Y","N")))</f>
        <v/>
      </c>
    </row>
    <row r="2278">
      <c r="A2278" s="92" t="n">
        <v>2025</v>
      </c>
      <c r="B2278" s="92" t="n">
        <v>11</v>
      </c>
      <c r="C2278" s="92" t="inlineStr">
        <is>
          <t>5100002274</t>
        </is>
      </c>
      <c r="D2278" s="95" t="n">
        <v>45965</v>
      </c>
      <c r="E2278" s="92" t="inlineStr">
        <is>
          <t>KR</t>
        </is>
      </c>
      <c r="F2278" s="92" t="n">
        <v>62101000</v>
      </c>
      <c r="G2278" s="92" t="n">
        <v>1101</v>
      </c>
      <c r="H2278" s="93" t="n">
        <v>382000</v>
      </c>
      <c r="I2278" s="92" t="inlineStr">
        <is>
          <t>11월 국내출장 - M항공</t>
        </is>
      </c>
      <c r="J2278" s="92" t="inlineStr">
        <is>
          <t>V10001</t>
        </is>
      </c>
      <c r="K2278" s="92" t="inlineStr">
        <is>
          <t>M항공</t>
        </is>
      </c>
      <c r="M2278" s="9">
        <f>IF($A2278="","",VALUE($A2278&amp;"")*12+VALUE($B2278&amp;""))</f>
        <v/>
      </c>
      <c r="N2278" s="64">
        <f>IF($A2278="","",IFERROR(INDEX(부서매핑!$C$5:$C$504,MATCH($G2278&amp;"",부서매핑!$A$5:$A$504,0)),"미매핑"))</f>
        <v/>
      </c>
      <c r="O2278" s="9">
        <f>IF($A2278="","",N2278&amp;"|"&amp;$F2278)</f>
        <v/>
      </c>
      <c r="P2278" s="94">
        <f>IF($A2278="",0,$H2278*설정!$C$23)</f>
        <v/>
      </c>
      <c r="Q2278" s="64">
        <f>IF($A2278="","",IF(O2278&lt;&gt;원인분석!$C$9,"",IF(AND(M2278&gt;=원인분석!$C$10,M2278&lt;=원인분석!$C$11),"당기",IF(AND(M2278&gt;=원인분석!$C$12,M2278&lt;=원인분석!$C$13),"비교",""))))</f>
        <v/>
      </c>
      <c r="R2278" s="9">
        <f>IF(Q2278="","",$K2278&amp;"")</f>
        <v/>
      </c>
      <c r="S2278" s="9">
        <f>IF(Q2278="","",IF(MATCH(R2278,$R$5:$R$100000,0)=ROW()-4,ROW(),""))</f>
        <v/>
      </c>
      <c r="T2278" s="9">
        <f>IF(Q2278="당기",ABS(P2278)+ROW()/1000000000,"")</f>
        <v/>
      </c>
      <c r="U2278" s="9">
        <f>IF(Q2278="비교",ABS(P2278)+ROW()/1000000000,"")</f>
        <v/>
      </c>
      <c r="V2278" s="64">
        <f>IF($A2278="","",IF(COUNTIF(변동분석!$E$7:$E$506,O2278)&gt;0,"Y","N"))</f>
        <v/>
      </c>
      <c r="W2278" s="64">
        <f>IF($A2278="","",IFERROR(INDEX(계정매핑!$D$5:$D$504,MATCH($F2278&amp;"",계정매핑!$A$5:$A$504,0)),"미매핑"))</f>
        <v/>
      </c>
      <c r="X2278" s="9">
        <f>IF($A2278="","",$F2278&amp;"")</f>
        <v/>
      </c>
      <c r="Y2278" s="94">
        <f>IF($A2278="",0,IF(AE2278="직접",IF(AF2278="비귀속",$P2278,0),$P2278*(1-AG2278)*IFERROR(INDEX(계정대체기준!$F$20:$F$49,MATCH($N2278,계정대체기준!$A$20:$A$49,0)),1)))</f>
        <v/>
      </c>
      <c r="Z2278" s="94">
        <f>IF($A2278="",0,IF(AE2278="직접",IF(AF2278="신계약비",$P2278,0),$P2278*(1-AG2278)*IFERROR(INDEX(계정대체기준!$C$20:$C$49,MATCH($N2278,계정대체기준!$A$20:$A$49,0)),0)))</f>
        <v/>
      </c>
      <c r="AA2278" s="94">
        <f>IF($A2278="",0,IF(AE2278="직접",IF(OR(AF2278="유지비",AF2278="손해조사비"),$P2278,0),$P2278*(1-AG2278)*IFERROR(INDEX(계정대체기준!$D$20:$D$49,MATCH($N2278,계정대체기준!$A$20:$A$49,0)),0)))</f>
        <v/>
      </c>
      <c r="AB2278" s="94">
        <f>IF($A2278="",0,IF(AE2278="직접",IF(AF2278="수금비",$P2278,0),$P2278*(1-AG2278)*IFERROR(INDEX(계정대체기준!$E$20:$E$49,MATCH($N2278,계정대체기준!$A$20:$A$49,0)),0)))</f>
        <v/>
      </c>
      <c r="AC2278" s="9">
        <f>IF(AND($A2278&lt;&gt;"",M2278=설정!$C$20,Z2278&gt;0),Z2278+ROW()/1000000000,"")</f>
        <v/>
      </c>
      <c r="AD2278" s="94">
        <f>IF($A2278="",0,$P2278*AG2278)</f>
        <v/>
      </c>
      <c r="AE2278" s="64">
        <f>IF($A2278="","",IFERROR(INDEX(계정매핑!$E$5:$E$504,MATCH($F2278&amp;"",계정매핑!$A$5:$A$504,0))&amp;"","공통비"))</f>
        <v/>
      </c>
      <c r="AF2278" s="64">
        <f>IF($A2278="","",IF(AE2278="직접",IFERROR(INDEX(계정매핑!$F$5:$F$504,MATCH($F2278&amp;"",계정매핑!$A$5:$A$504,0))&amp;"","비귀속"),""))</f>
        <v/>
      </c>
      <c r="AG2278" s="96">
        <f>IF($A2278="",0,IF(AND(AE2278&lt;&gt;"직접",IFERROR(INDEX(계정매핑!$G$5:$G$504,MATCH($F2278&amp;"",계정매핑!$A$5:$A$504,0))&amp;"","")="유지비",COUNTIF(계정대체기준!$A$6:$A$15,$N2278)&gt;0),IFERROR(INDEX(계정대체기준!$E$6:$E$15,MATCH(VALUE($A2278&amp;""),계정대체기준!$D$6:$D$15,0)),0),0))</f>
        <v/>
      </c>
      <c r="AH2278" s="64">
        <f>IF($A2278="","",IF(AD2278=0,"",IF(OR(COUNTIF(계정대체기준!$A$77:$A$86,$N2278)&gt;0,ISNUMBER(MATCH($X2278,계정대체기준!$D$77:$D$86,0)),ISNUMBER(MATCH($F2278,계정대체기준!$D$77:$D$86,0))),"Y","N")))</f>
        <v/>
      </c>
    </row>
    <row r="2279">
      <c r="A2279" s="92" t="n">
        <v>2025</v>
      </c>
      <c r="B2279" s="92" t="n">
        <v>11</v>
      </c>
      <c r="C2279" s="92" t="inlineStr">
        <is>
          <t>5100002275</t>
        </is>
      </c>
      <c r="D2279" s="95" t="n">
        <v>45965</v>
      </c>
      <c r="E2279" s="92" t="inlineStr">
        <is>
          <t>KR</t>
        </is>
      </c>
      <c r="F2279" s="92" t="n">
        <v>62101000</v>
      </c>
      <c r="G2279" s="92" t="n">
        <v>1101</v>
      </c>
      <c r="H2279" s="93" t="n">
        <v>331000</v>
      </c>
      <c r="I2279" s="92" t="inlineStr">
        <is>
          <t>11월 국내출장 - (법인카드)</t>
        </is>
      </c>
      <c r="J2279" s="92" t="inlineStr">
        <is>
          <t>V10010</t>
        </is>
      </c>
      <c r="K2279" s="92" t="inlineStr">
        <is>
          <t>(법인카드)</t>
        </is>
      </c>
      <c r="M2279" s="9">
        <f>IF($A2279="","",VALUE($A2279&amp;"")*12+VALUE($B2279&amp;""))</f>
        <v/>
      </c>
      <c r="N2279" s="64">
        <f>IF($A2279="","",IFERROR(INDEX(부서매핑!$C$5:$C$504,MATCH($G2279&amp;"",부서매핑!$A$5:$A$504,0)),"미매핑"))</f>
        <v/>
      </c>
      <c r="O2279" s="9">
        <f>IF($A2279="","",N2279&amp;"|"&amp;$F2279)</f>
        <v/>
      </c>
      <c r="P2279" s="94">
        <f>IF($A2279="",0,$H2279*설정!$C$23)</f>
        <v/>
      </c>
      <c r="Q2279" s="64">
        <f>IF($A2279="","",IF(O2279&lt;&gt;원인분석!$C$9,"",IF(AND(M2279&gt;=원인분석!$C$10,M2279&lt;=원인분석!$C$11),"당기",IF(AND(M2279&gt;=원인분석!$C$12,M2279&lt;=원인분석!$C$13),"비교",""))))</f>
        <v/>
      </c>
      <c r="R2279" s="9">
        <f>IF(Q2279="","",$K2279&amp;"")</f>
        <v/>
      </c>
      <c r="S2279" s="9">
        <f>IF(Q2279="","",IF(MATCH(R2279,$R$5:$R$100000,0)=ROW()-4,ROW(),""))</f>
        <v/>
      </c>
      <c r="T2279" s="9">
        <f>IF(Q2279="당기",ABS(P2279)+ROW()/1000000000,"")</f>
        <v/>
      </c>
      <c r="U2279" s="9">
        <f>IF(Q2279="비교",ABS(P2279)+ROW()/1000000000,"")</f>
        <v/>
      </c>
      <c r="V2279" s="64">
        <f>IF($A2279="","",IF(COUNTIF(변동분석!$E$7:$E$506,O2279)&gt;0,"Y","N"))</f>
        <v/>
      </c>
      <c r="W2279" s="64">
        <f>IF($A2279="","",IFERROR(INDEX(계정매핑!$D$5:$D$504,MATCH($F2279&amp;"",계정매핑!$A$5:$A$504,0)),"미매핑"))</f>
        <v/>
      </c>
      <c r="X2279" s="9">
        <f>IF($A2279="","",$F2279&amp;"")</f>
        <v/>
      </c>
      <c r="Y2279" s="94">
        <f>IF($A2279="",0,IF(AE2279="직접",IF(AF2279="비귀속",$P2279,0),$P2279*(1-AG2279)*IFERROR(INDEX(계정대체기준!$F$20:$F$49,MATCH($N2279,계정대체기준!$A$20:$A$49,0)),1)))</f>
        <v/>
      </c>
      <c r="Z2279" s="94">
        <f>IF($A2279="",0,IF(AE2279="직접",IF(AF2279="신계약비",$P2279,0),$P2279*(1-AG2279)*IFERROR(INDEX(계정대체기준!$C$20:$C$49,MATCH($N2279,계정대체기준!$A$20:$A$49,0)),0)))</f>
        <v/>
      </c>
      <c r="AA2279" s="94">
        <f>IF($A2279="",0,IF(AE2279="직접",IF(OR(AF2279="유지비",AF2279="손해조사비"),$P2279,0),$P2279*(1-AG2279)*IFERROR(INDEX(계정대체기준!$D$20:$D$49,MATCH($N2279,계정대체기준!$A$20:$A$49,0)),0)))</f>
        <v/>
      </c>
      <c r="AB2279" s="94">
        <f>IF($A2279="",0,IF(AE2279="직접",IF(AF2279="수금비",$P2279,0),$P2279*(1-AG2279)*IFERROR(INDEX(계정대체기준!$E$20:$E$49,MATCH($N2279,계정대체기준!$A$20:$A$49,0)),0)))</f>
        <v/>
      </c>
      <c r="AC2279" s="9">
        <f>IF(AND($A2279&lt;&gt;"",M2279=설정!$C$20,Z2279&gt;0),Z2279+ROW()/1000000000,"")</f>
        <v/>
      </c>
      <c r="AD2279" s="94">
        <f>IF($A2279="",0,$P2279*AG2279)</f>
        <v/>
      </c>
      <c r="AE2279" s="64">
        <f>IF($A2279="","",IFERROR(INDEX(계정매핑!$E$5:$E$504,MATCH($F2279&amp;"",계정매핑!$A$5:$A$504,0))&amp;"","공통비"))</f>
        <v/>
      </c>
      <c r="AF2279" s="64">
        <f>IF($A2279="","",IF(AE2279="직접",IFERROR(INDEX(계정매핑!$F$5:$F$504,MATCH($F2279&amp;"",계정매핑!$A$5:$A$504,0))&amp;"","비귀속"),""))</f>
        <v/>
      </c>
      <c r="AG2279" s="96">
        <f>IF($A2279="",0,IF(AND(AE2279&lt;&gt;"직접",IFERROR(INDEX(계정매핑!$G$5:$G$504,MATCH($F2279&amp;"",계정매핑!$A$5:$A$504,0))&amp;"","")="유지비",COUNTIF(계정대체기준!$A$6:$A$15,$N2279)&gt;0),IFERROR(INDEX(계정대체기준!$E$6:$E$15,MATCH(VALUE($A2279&amp;""),계정대체기준!$D$6:$D$15,0)),0),0))</f>
        <v/>
      </c>
      <c r="AH2279" s="64">
        <f>IF($A2279="","",IF(AD2279=0,"",IF(OR(COUNTIF(계정대체기준!$A$77:$A$86,$N2279)&gt;0,ISNUMBER(MATCH($X2279,계정대체기준!$D$77:$D$86,0)),ISNUMBER(MATCH($F2279,계정대체기준!$D$77:$D$86,0))),"Y","N")))</f>
        <v/>
      </c>
    </row>
    <row r="2280">
      <c r="A2280" s="92" t="n">
        <v>2025</v>
      </c>
      <c r="B2280" s="92" t="n">
        <v>11</v>
      </c>
      <c r="C2280" s="92" t="inlineStr">
        <is>
          <t>5100002276</t>
        </is>
      </c>
      <c r="D2280" s="95" t="n">
        <v>45965</v>
      </c>
      <c r="E2280" s="92" t="inlineStr">
        <is>
          <t>KR</t>
        </is>
      </c>
      <c r="F2280" s="92" t="n">
        <v>62102000</v>
      </c>
      <c r="G2280" s="92" t="n">
        <v>1401</v>
      </c>
      <c r="H2280" s="93" t="n">
        <v>92000</v>
      </c>
      <c r="I2280" s="92" t="inlineStr">
        <is>
          <t>11월 해외출장 - M항공</t>
        </is>
      </c>
      <c r="J2280" s="92" t="inlineStr">
        <is>
          <t>V10001</t>
        </is>
      </c>
      <c r="K2280" s="92" t="inlineStr">
        <is>
          <t>M항공</t>
        </is>
      </c>
      <c r="M2280" s="9">
        <f>IF($A2280="","",VALUE($A2280&amp;"")*12+VALUE($B2280&amp;""))</f>
        <v/>
      </c>
      <c r="N2280" s="64">
        <f>IF($A2280="","",IFERROR(INDEX(부서매핑!$C$5:$C$504,MATCH($G2280&amp;"",부서매핑!$A$5:$A$504,0)),"미매핑"))</f>
        <v/>
      </c>
      <c r="O2280" s="9">
        <f>IF($A2280="","",N2280&amp;"|"&amp;$F2280)</f>
        <v/>
      </c>
      <c r="P2280" s="94">
        <f>IF($A2280="",0,$H2280*설정!$C$23)</f>
        <v/>
      </c>
      <c r="Q2280" s="64">
        <f>IF($A2280="","",IF(O2280&lt;&gt;원인분석!$C$9,"",IF(AND(M2280&gt;=원인분석!$C$10,M2280&lt;=원인분석!$C$11),"당기",IF(AND(M2280&gt;=원인분석!$C$12,M2280&lt;=원인분석!$C$13),"비교",""))))</f>
        <v/>
      </c>
      <c r="R2280" s="9">
        <f>IF(Q2280="","",$K2280&amp;"")</f>
        <v/>
      </c>
      <c r="S2280" s="9">
        <f>IF(Q2280="","",IF(MATCH(R2280,$R$5:$R$100000,0)=ROW()-4,ROW(),""))</f>
        <v/>
      </c>
      <c r="T2280" s="9">
        <f>IF(Q2280="당기",ABS(P2280)+ROW()/1000000000,"")</f>
        <v/>
      </c>
      <c r="U2280" s="9">
        <f>IF(Q2280="비교",ABS(P2280)+ROW()/1000000000,"")</f>
        <v/>
      </c>
      <c r="V2280" s="64">
        <f>IF($A2280="","",IF(COUNTIF(변동분석!$E$7:$E$506,O2280)&gt;0,"Y","N"))</f>
        <v/>
      </c>
      <c r="W2280" s="64">
        <f>IF($A2280="","",IFERROR(INDEX(계정매핑!$D$5:$D$504,MATCH($F2280&amp;"",계정매핑!$A$5:$A$504,0)),"미매핑"))</f>
        <v/>
      </c>
      <c r="X2280" s="9">
        <f>IF($A2280="","",$F2280&amp;"")</f>
        <v/>
      </c>
      <c r="Y2280" s="94">
        <f>IF($A2280="",0,IF(AE2280="직접",IF(AF2280="비귀속",$P2280,0),$P2280*(1-AG2280)*IFERROR(INDEX(계정대체기준!$F$20:$F$49,MATCH($N2280,계정대체기준!$A$20:$A$49,0)),1)))</f>
        <v/>
      </c>
      <c r="Z2280" s="94">
        <f>IF($A2280="",0,IF(AE2280="직접",IF(AF2280="신계약비",$P2280,0),$P2280*(1-AG2280)*IFERROR(INDEX(계정대체기준!$C$20:$C$49,MATCH($N2280,계정대체기준!$A$20:$A$49,0)),0)))</f>
        <v/>
      </c>
      <c r="AA2280" s="94">
        <f>IF($A2280="",0,IF(AE2280="직접",IF(OR(AF2280="유지비",AF2280="손해조사비"),$P2280,0),$P2280*(1-AG2280)*IFERROR(INDEX(계정대체기준!$D$20:$D$49,MATCH($N2280,계정대체기준!$A$20:$A$49,0)),0)))</f>
        <v/>
      </c>
      <c r="AB2280" s="94">
        <f>IF($A2280="",0,IF(AE2280="직접",IF(AF2280="수금비",$P2280,0),$P2280*(1-AG2280)*IFERROR(INDEX(계정대체기준!$E$20:$E$49,MATCH($N2280,계정대체기준!$A$20:$A$49,0)),0)))</f>
        <v/>
      </c>
      <c r="AC2280" s="9">
        <f>IF(AND($A2280&lt;&gt;"",M2280=설정!$C$20,Z2280&gt;0),Z2280+ROW()/1000000000,"")</f>
        <v/>
      </c>
      <c r="AD2280" s="94">
        <f>IF($A2280="",0,$P2280*AG2280)</f>
        <v/>
      </c>
      <c r="AE2280" s="64">
        <f>IF($A2280="","",IFERROR(INDEX(계정매핑!$E$5:$E$504,MATCH($F2280&amp;"",계정매핑!$A$5:$A$504,0))&amp;"","공통비"))</f>
        <v/>
      </c>
      <c r="AF2280" s="64">
        <f>IF($A2280="","",IF(AE2280="직접",IFERROR(INDEX(계정매핑!$F$5:$F$504,MATCH($F2280&amp;"",계정매핑!$A$5:$A$504,0))&amp;"","비귀속"),""))</f>
        <v/>
      </c>
      <c r="AG2280" s="96">
        <f>IF($A2280="",0,IF(AND(AE2280&lt;&gt;"직접",IFERROR(INDEX(계정매핑!$G$5:$G$504,MATCH($F2280&amp;"",계정매핑!$A$5:$A$504,0))&amp;"","")="유지비",COUNTIF(계정대체기준!$A$6:$A$15,$N2280)&gt;0),IFERROR(INDEX(계정대체기준!$E$6:$E$15,MATCH(VALUE($A2280&amp;""),계정대체기준!$D$6:$D$15,0)),0),0))</f>
        <v/>
      </c>
      <c r="AH2280" s="64">
        <f>IF($A2280="","",IF(AD2280=0,"",IF(OR(COUNTIF(계정대체기준!$A$77:$A$86,$N2280)&gt;0,ISNUMBER(MATCH($X2280,계정대체기준!$D$77:$D$86,0)),ISNUMBER(MATCH($F2280,계정대체기준!$D$77:$D$86,0))),"Y","N")))</f>
        <v/>
      </c>
    </row>
    <row r="2281">
      <c r="A2281" s="92" t="n">
        <v>2025</v>
      </c>
      <c r="B2281" s="92" t="n">
        <v>11</v>
      </c>
      <c r="C2281" s="92" t="inlineStr">
        <is>
          <t>5100002277</t>
        </is>
      </c>
      <c r="D2281" s="95" t="n">
        <v>45965</v>
      </c>
      <c r="E2281" s="92" t="inlineStr">
        <is>
          <t>KR</t>
        </is>
      </c>
      <c r="F2281" s="92" t="n">
        <v>62102000</v>
      </c>
      <c r="G2281" s="92" t="n">
        <v>1501</v>
      </c>
      <c r="H2281" s="93" t="n">
        <v>253000</v>
      </c>
      <c r="I2281" s="92" t="inlineStr">
        <is>
          <t>11월 해외출장 - N호텔</t>
        </is>
      </c>
      <c r="J2281" s="92" t="inlineStr">
        <is>
          <t>V10009</t>
        </is>
      </c>
      <c r="K2281" s="92" t="inlineStr">
        <is>
          <t>N호텔</t>
        </is>
      </c>
      <c r="M2281" s="9">
        <f>IF($A2281="","",VALUE($A2281&amp;"")*12+VALUE($B2281&amp;""))</f>
        <v/>
      </c>
      <c r="N2281" s="64">
        <f>IF($A2281="","",IFERROR(INDEX(부서매핑!$C$5:$C$504,MATCH($G2281&amp;"",부서매핑!$A$5:$A$504,0)),"미매핑"))</f>
        <v/>
      </c>
      <c r="O2281" s="9">
        <f>IF($A2281="","",N2281&amp;"|"&amp;$F2281)</f>
        <v/>
      </c>
      <c r="P2281" s="94">
        <f>IF($A2281="",0,$H2281*설정!$C$23)</f>
        <v/>
      </c>
      <c r="Q2281" s="64">
        <f>IF($A2281="","",IF(O2281&lt;&gt;원인분석!$C$9,"",IF(AND(M2281&gt;=원인분석!$C$10,M2281&lt;=원인분석!$C$11),"당기",IF(AND(M2281&gt;=원인분석!$C$12,M2281&lt;=원인분석!$C$13),"비교",""))))</f>
        <v/>
      </c>
      <c r="R2281" s="9">
        <f>IF(Q2281="","",$K2281&amp;"")</f>
        <v/>
      </c>
      <c r="S2281" s="9">
        <f>IF(Q2281="","",IF(MATCH(R2281,$R$5:$R$100000,0)=ROW()-4,ROW(),""))</f>
        <v/>
      </c>
      <c r="T2281" s="9">
        <f>IF(Q2281="당기",ABS(P2281)+ROW()/1000000000,"")</f>
        <v/>
      </c>
      <c r="U2281" s="9">
        <f>IF(Q2281="비교",ABS(P2281)+ROW()/1000000000,"")</f>
        <v/>
      </c>
      <c r="V2281" s="64">
        <f>IF($A2281="","",IF(COUNTIF(변동분석!$E$7:$E$506,O2281)&gt;0,"Y","N"))</f>
        <v/>
      </c>
      <c r="W2281" s="64">
        <f>IF($A2281="","",IFERROR(INDEX(계정매핑!$D$5:$D$504,MATCH($F2281&amp;"",계정매핑!$A$5:$A$504,0)),"미매핑"))</f>
        <v/>
      </c>
      <c r="X2281" s="9">
        <f>IF($A2281="","",$F2281&amp;"")</f>
        <v/>
      </c>
      <c r="Y2281" s="94">
        <f>IF($A2281="",0,IF(AE2281="직접",IF(AF2281="비귀속",$P2281,0),$P2281*(1-AG2281)*IFERROR(INDEX(계정대체기준!$F$20:$F$49,MATCH($N2281,계정대체기준!$A$20:$A$49,0)),1)))</f>
        <v/>
      </c>
      <c r="Z2281" s="94">
        <f>IF($A2281="",0,IF(AE2281="직접",IF(AF2281="신계약비",$P2281,0),$P2281*(1-AG2281)*IFERROR(INDEX(계정대체기준!$C$20:$C$49,MATCH($N2281,계정대체기준!$A$20:$A$49,0)),0)))</f>
        <v/>
      </c>
      <c r="AA2281" s="94">
        <f>IF($A2281="",0,IF(AE2281="직접",IF(OR(AF2281="유지비",AF2281="손해조사비"),$P2281,0),$P2281*(1-AG2281)*IFERROR(INDEX(계정대체기준!$D$20:$D$49,MATCH($N2281,계정대체기준!$A$20:$A$49,0)),0)))</f>
        <v/>
      </c>
      <c r="AB2281" s="94">
        <f>IF($A2281="",0,IF(AE2281="직접",IF(AF2281="수금비",$P2281,0),$P2281*(1-AG2281)*IFERROR(INDEX(계정대체기준!$E$20:$E$49,MATCH($N2281,계정대체기준!$A$20:$A$49,0)),0)))</f>
        <v/>
      </c>
      <c r="AC2281" s="9">
        <f>IF(AND($A2281&lt;&gt;"",M2281=설정!$C$20,Z2281&gt;0),Z2281+ROW()/1000000000,"")</f>
        <v/>
      </c>
      <c r="AD2281" s="94">
        <f>IF($A2281="",0,$P2281*AG2281)</f>
        <v/>
      </c>
      <c r="AE2281" s="64">
        <f>IF($A2281="","",IFERROR(INDEX(계정매핑!$E$5:$E$504,MATCH($F2281&amp;"",계정매핑!$A$5:$A$504,0))&amp;"","공통비"))</f>
        <v/>
      </c>
      <c r="AF2281" s="64">
        <f>IF($A2281="","",IF(AE2281="직접",IFERROR(INDEX(계정매핑!$F$5:$F$504,MATCH($F2281&amp;"",계정매핑!$A$5:$A$504,0))&amp;"","비귀속"),""))</f>
        <v/>
      </c>
      <c r="AG2281" s="96">
        <f>IF($A2281="",0,IF(AND(AE2281&lt;&gt;"직접",IFERROR(INDEX(계정매핑!$G$5:$G$504,MATCH($F2281&amp;"",계정매핑!$A$5:$A$504,0))&amp;"","")="유지비",COUNTIF(계정대체기준!$A$6:$A$15,$N2281)&gt;0),IFERROR(INDEX(계정대체기준!$E$6:$E$15,MATCH(VALUE($A2281&amp;""),계정대체기준!$D$6:$D$15,0)),0),0))</f>
        <v/>
      </c>
      <c r="AH2281" s="64">
        <f>IF($A2281="","",IF(AD2281=0,"",IF(OR(COUNTIF(계정대체기준!$A$77:$A$86,$N2281)&gt;0,ISNUMBER(MATCH($X2281,계정대체기준!$D$77:$D$86,0)),ISNUMBER(MATCH($F2281,계정대체기준!$D$77:$D$86,0))),"Y","N")))</f>
        <v/>
      </c>
    </row>
    <row r="2282">
      <c r="A2282" s="92" t="n">
        <v>2025</v>
      </c>
      <c r="B2282" s="92" t="n">
        <v>11</v>
      </c>
      <c r="C2282" s="92" t="inlineStr">
        <is>
          <t>5100002278</t>
        </is>
      </c>
      <c r="D2282" s="95" t="n">
        <v>45965</v>
      </c>
      <c r="E2282" s="92" t="inlineStr">
        <is>
          <t>KR</t>
        </is>
      </c>
      <c r="F2282" s="92" t="n">
        <v>62102000</v>
      </c>
      <c r="G2282" s="92" t="n">
        <v>1951</v>
      </c>
      <c r="H2282" s="93" t="n">
        <v>82000</v>
      </c>
      <c r="I2282" s="92" t="inlineStr">
        <is>
          <t>11월 해외출장 - M항공</t>
        </is>
      </c>
      <c r="J2282" s="92" t="inlineStr">
        <is>
          <t>V10001</t>
        </is>
      </c>
      <c r="K2282" s="92" t="inlineStr">
        <is>
          <t>M항공</t>
        </is>
      </c>
      <c r="M2282" s="9">
        <f>IF($A2282="","",VALUE($A2282&amp;"")*12+VALUE($B2282&amp;""))</f>
        <v/>
      </c>
      <c r="N2282" s="64">
        <f>IF($A2282="","",IFERROR(INDEX(부서매핑!$C$5:$C$504,MATCH($G2282&amp;"",부서매핑!$A$5:$A$504,0)),"미매핑"))</f>
        <v/>
      </c>
      <c r="O2282" s="9">
        <f>IF($A2282="","",N2282&amp;"|"&amp;$F2282)</f>
        <v/>
      </c>
      <c r="P2282" s="94">
        <f>IF($A2282="",0,$H2282*설정!$C$23)</f>
        <v/>
      </c>
      <c r="Q2282" s="64">
        <f>IF($A2282="","",IF(O2282&lt;&gt;원인분석!$C$9,"",IF(AND(M2282&gt;=원인분석!$C$10,M2282&lt;=원인분석!$C$11),"당기",IF(AND(M2282&gt;=원인분석!$C$12,M2282&lt;=원인분석!$C$13),"비교",""))))</f>
        <v/>
      </c>
      <c r="R2282" s="9">
        <f>IF(Q2282="","",$K2282&amp;"")</f>
        <v/>
      </c>
      <c r="S2282" s="9">
        <f>IF(Q2282="","",IF(MATCH(R2282,$R$5:$R$100000,0)=ROW()-4,ROW(),""))</f>
        <v/>
      </c>
      <c r="T2282" s="9">
        <f>IF(Q2282="당기",ABS(P2282)+ROW()/1000000000,"")</f>
        <v/>
      </c>
      <c r="U2282" s="9">
        <f>IF(Q2282="비교",ABS(P2282)+ROW()/1000000000,"")</f>
        <v/>
      </c>
      <c r="V2282" s="64">
        <f>IF($A2282="","",IF(COUNTIF(변동분석!$E$7:$E$506,O2282)&gt;0,"Y","N"))</f>
        <v/>
      </c>
      <c r="W2282" s="64">
        <f>IF($A2282="","",IFERROR(INDEX(계정매핑!$D$5:$D$504,MATCH($F2282&amp;"",계정매핑!$A$5:$A$504,0)),"미매핑"))</f>
        <v/>
      </c>
      <c r="X2282" s="9">
        <f>IF($A2282="","",$F2282&amp;"")</f>
        <v/>
      </c>
      <c r="Y2282" s="94">
        <f>IF($A2282="",0,IF(AE2282="직접",IF(AF2282="비귀속",$P2282,0),$P2282*(1-AG2282)*IFERROR(INDEX(계정대체기준!$F$20:$F$49,MATCH($N2282,계정대체기준!$A$20:$A$49,0)),1)))</f>
        <v/>
      </c>
      <c r="Z2282" s="94">
        <f>IF($A2282="",0,IF(AE2282="직접",IF(AF2282="신계약비",$P2282,0),$P2282*(1-AG2282)*IFERROR(INDEX(계정대체기준!$C$20:$C$49,MATCH($N2282,계정대체기준!$A$20:$A$49,0)),0)))</f>
        <v/>
      </c>
      <c r="AA2282" s="94">
        <f>IF($A2282="",0,IF(AE2282="직접",IF(OR(AF2282="유지비",AF2282="손해조사비"),$P2282,0),$P2282*(1-AG2282)*IFERROR(INDEX(계정대체기준!$D$20:$D$49,MATCH($N2282,계정대체기준!$A$20:$A$49,0)),0)))</f>
        <v/>
      </c>
      <c r="AB2282" s="94">
        <f>IF($A2282="",0,IF(AE2282="직접",IF(AF2282="수금비",$P2282,0),$P2282*(1-AG2282)*IFERROR(INDEX(계정대체기준!$E$20:$E$49,MATCH($N2282,계정대체기준!$A$20:$A$49,0)),0)))</f>
        <v/>
      </c>
      <c r="AC2282" s="9">
        <f>IF(AND($A2282&lt;&gt;"",M2282=설정!$C$20,Z2282&gt;0),Z2282+ROW()/1000000000,"")</f>
        <v/>
      </c>
      <c r="AD2282" s="94">
        <f>IF($A2282="",0,$P2282*AG2282)</f>
        <v/>
      </c>
      <c r="AE2282" s="64">
        <f>IF($A2282="","",IFERROR(INDEX(계정매핑!$E$5:$E$504,MATCH($F2282&amp;"",계정매핑!$A$5:$A$504,0))&amp;"","공통비"))</f>
        <v/>
      </c>
      <c r="AF2282" s="64">
        <f>IF($A2282="","",IF(AE2282="직접",IFERROR(INDEX(계정매핑!$F$5:$F$504,MATCH($F2282&amp;"",계정매핑!$A$5:$A$504,0))&amp;"","비귀속"),""))</f>
        <v/>
      </c>
      <c r="AG2282" s="96">
        <f>IF($A2282="",0,IF(AND(AE2282&lt;&gt;"직접",IFERROR(INDEX(계정매핑!$G$5:$G$504,MATCH($F2282&amp;"",계정매핑!$A$5:$A$504,0))&amp;"","")="유지비",COUNTIF(계정대체기준!$A$6:$A$15,$N2282)&gt;0),IFERROR(INDEX(계정대체기준!$E$6:$E$15,MATCH(VALUE($A2282&amp;""),계정대체기준!$D$6:$D$15,0)),0),0))</f>
        <v/>
      </c>
      <c r="AH2282" s="64">
        <f>IF($A2282="","",IF(AD2282=0,"",IF(OR(COUNTIF(계정대체기준!$A$77:$A$86,$N2282)&gt;0,ISNUMBER(MATCH($X2282,계정대체기준!$D$77:$D$86,0)),ISNUMBER(MATCH($F2282,계정대체기준!$D$77:$D$86,0))),"Y","N")))</f>
        <v/>
      </c>
    </row>
    <row r="2283">
      <c r="A2283" s="92" t="n">
        <v>2025</v>
      </c>
      <c r="B2283" s="92" t="n">
        <v>11</v>
      </c>
      <c r="C2283" s="92" t="inlineStr">
        <is>
          <t>5100002279</t>
        </is>
      </c>
      <c r="D2283" s="95" t="n">
        <v>45965</v>
      </c>
      <c r="E2283" s="92" t="inlineStr">
        <is>
          <t>KR</t>
        </is>
      </c>
      <c r="F2283" s="92" t="n">
        <v>62201000</v>
      </c>
      <c r="G2283" s="92" t="n">
        <v>1502</v>
      </c>
      <c r="H2283" s="93" t="n">
        <v>228000</v>
      </c>
      <c r="I2283" s="92" t="inlineStr">
        <is>
          <t>11월 통신요금 - O텔레콤</t>
        </is>
      </c>
      <c r="J2283" s="92" t="inlineStr">
        <is>
          <t>V10002</t>
        </is>
      </c>
      <c r="K2283" s="92" t="inlineStr">
        <is>
          <t>O텔레콤</t>
        </is>
      </c>
      <c r="M2283" s="9">
        <f>IF($A2283="","",VALUE($A2283&amp;"")*12+VALUE($B2283&amp;""))</f>
        <v/>
      </c>
      <c r="N2283" s="64">
        <f>IF($A2283="","",IFERROR(INDEX(부서매핑!$C$5:$C$504,MATCH($G2283&amp;"",부서매핑!$A$5:$A$504,0)),"미매핑"))</f>
        <v/>
      </c>
      <c r="O2283" s="9">
        <f>IF($A2283="","",N2283&amp;"|"&amp;$F2283)</f>
        <v/>
      </c>
      <c r="P2283" s="94">
        <f>IF($A2283="",0,$H2283*설정!$C$23)</f>
        <v/>
      </c>
      <c r="Q2283" s="64">
        <f>IF($A2283="","",IF(O2283&lt;&gt;원인분석!$C$9,"",IF(AND(M2283&gt;=원인분석!$C$10,M2283&lt;=원인분석!$C$11),"당기",IF(AND(M2283&gt;=원인분석!$C$12,M2283&lt;=원인분석!$C$13),"비교",""))))</f>
        <v/>
      </c>
      <c r="R2283" s="9">
        <f>IF(Q2283="","",$K2283&amp;"")</f>
        <v/>
      </c>
      <c r="S2283" s="9">
        <f>IF(Q2283="","",IF(MATCH(R2283,$R$5:$R$100000,0)=ROW()-4,ROW(),""))</f>
        <v/>
      </c>
      <c r="T2283" s="9">
        <f>IF(Q2283="당기",ABS(P2283)+ROW()/1000000000,"")</f>
        <v/>
      </c>
      <c r="U2283" s="9">
        <f>IF(Q2283="비교",ABS(P2283)+ROW()/1000000000,"")</f>
        <v/>
      </c>
      <c r="V2283" s="64">
        <f>IF($A2283="","",IF(COUNTIF(변동분석!$E$7:$E$506,O2283)&gt;0,"Y","N"))</f>
        <v/>
      </c>
      <c r="W2283" s="64">
        <f>IF($A2283="","",IFERROR(INDEX(계정매핑!$D$5:$D$504,MATCH($F2283&amp;"",계정매핑!$A$5:$A$504,0)),"미매핑"))</f>
        <v/>
      </c>
      <c r="X2283" s="9">
        <f>IF($A2283="","",$F2283&amp;"")</f>
        <v/>
      </c>
      <c r="Y2283" s="94">
        <f>IF($A2283="",0,IF(AE2283="직접",IF(AF2283="비귀속",$P2283,0),$P2283*(1-AG2283)*IFERROR(INDEX(계정대체기준!$F$20:$F$49,MATCH($N2283,계정대체기준!$A$20:$A$49,0)),1)))</f>
        <v/>
      </c>
      <c r="Z2283" s="94">
        <f>IF($A2283="",0,IF(AE2283="직접",IF(AF2283="신계약비",$P2283,0),$P2283*(1-AG2283)*IFERROR(INDEX(계정대체기준!$C$20:$C$49,MATCH($N2283,계정대체기준!$A$20:$A$49,0)),0)))</f>
        <v/>
      </c>
      <c r="AA2283" s="94">
        <f>IF($A2283="",0,IF(AE2283="직접",IF(OR(AF2283="유지비",AF2283="손해조사비"),$P2283,0),$P2283*(1-AG2283)*IFERROR(INDEX(계정대체기준!$D$20:$D$49,MATCH($N2283,계정대체기준!$A$20:$A$49,0)),0)))</f>
        <v/>
      </c>
      <c r="AB2283" s="94">
        <f>IF($A2283="",0,IF(AE2283="직접",IF(AF2283="수금비",$P2283,0),$P2283*(1-AG2283)*IFERROR(INDEX(계정대체기준!$E$20:$E$49,MATCH($N2283,계정대체기준!$A$20:$A$49,0)),0)))</f>
        <v/>
      </c>
      <c r="AC2283" s="9">
        <f>IF(AND($A2283&lt;&gt;"",M2283=설정!$C$20,Z2283&gt;0),Z2283+ROW()/1000000000,"")</f>
        <v/>
      </c>
      <c r="AD2283" s="94">
        <f>IF($A2283="",0,$P2283*AG2283)</f>
        <v/>
      </c>
      <c r="AE2283" s="64">
        <f>IF($A2283="","",IFERROR(INDEX(계정매핑!$E$5:$E$504,MATCH($F2283&amp;"",계정매핑!$A$5:$A$504,0))&amp;"","공통비"))</f>
        <v/>
      </c>
      <c r="AF2283" s="64">
        <f>IF($A2283="","",IF(AE2283="직접",IFERROR(INDEX(계정매핑!$F$5:$F$504,MATCH($F2283&amp;"",계정매핑!$A$5:$A$504,0))&amp;"","비귀속"),""))</f>
        <v/>
      </c>
      <c r="AG2283" s="96">
        <f>IF($A2283="",0,IF(AND(AE2283&lt;&gt;"직접",IFERROR(INDEX(계정매핑!$G$5:$G$504,MATCH($F2283&amp;"",계정매핑!$A$5:$A$504,0))&amp;"","")="유지비",COUNTIF(계정대체기준!$A$6:$A$15,$N2283)&gt;0),IFERROR(INDEX(계정대체기준!$E$6:$E$15,MATCH(VALUE($A2283&amp;""),계정대체기준!$D$6:$D$15,0)),0),0))</f>
        <v/>
      </c>
      <c r="AH2283" s="64">
        <f>IF($A2283="","",IF(AD2283=0,"",IF(OR(COUNTIF(계정대체기준!$A$77:$A$86,$N2283)&gt;0,ISNUMBER(MATCH($X2283,계정대체기준!$D$77:$D$86,0)),ISNUMBER(MATCH($F2283,계정대체기준!$D$77:$D$86,0))),"Y","N")))</f>
        <v/>
      </c>
    </row>
    <row r="2284">
      <c r="A2284" s="92" t="n">
        <v>2025</v>
      </c>
      <c r="B2284" s="92" t="n">
        <v>11</v>
      </c>
      <c r="C2284" s="92" t="inlineStr">
        <is>
          <t>5100002280</t>
        </is>
      </c>
      <c r="D2284" s="95" t="n">
        <v>45965</v>
      </c>
      <c r="E2284" s="92" t="inlineStr">
        <is>
          <t>KR</t>
        </is>
      </c>
      <c r="F2284" s="92" t="n">
        <v>62301000</v>
      </c>
      <c r="G2284" s="92" t="n">
        <v>1701</v>
      </c>
      <c r="H2284" s="93" t="n">
        <v>197000</v>
      </c>
      <c r="I2284" s="92" t="inlineStr">
        <is>
          <t>11월 소모품 구입 - Q오피스</t>
        </is>
      </c>
      <c r="J2284" s="92" t="inlineStr">
        <is>
          <t>V10003</t>
        </is>
      </c>
      <c r="K2284" s="92" t="inlineStr">
        <is>
          <t>Q오피스</t>
        </is>
      </c>
      <c r="M2284" s="9">
        <f>IF($A2284="","",VALUE($A2284&amp;"")*12+VALUE($B2284&amp;""))</f>
        <v/>
      </c>
      <c r="N2284" s="64">
        <f>IF($A2284="","",IFERROR(INDEX(부서매핑!$C$5:$C$504,MATCH($G2284&amp;"",부서매핑!$A$5:$A$504,0)),"미매핑"))</f>
        <v/>
      </c>
      <c r="O2284" s="9">
        <f>IF($A2284="","",N2284&amp;"|"&amp;$F2284)</f>
        <v/>
      </c>
      <c r="P2284" s="94">
        <f>IF($A2284="",0,$H2284*설정!$C$23)</f>
        <v/>
      </c>
      <c r="Q2284" s="64">
        <f>IF($A2284="","",IF(O2284&lt;&gt;원인분석!$C$9,"",IF(AND(M2284&gt;=원인분석!$C$10,M2284&lt;=원인분석!$C$11),"당기",IF(AND(M2284&gt;=원인분석!$C$12,M2284&lt;=원인분석!$C$13),"비교",""))))</f>
        <v/>
      </c>
      <c r="R2284" s="9">
        <f>IF(Q2284="","",$K2284&amp;"")</f>
        <v/>
      </c>
      <c r="S2284" s="9">
        <f>IF(Q2284="","",IF(MATCH(R2284,$R$5:$R$100000,0)=ROW()-4,ROW(),""))</f>
        <v/>
      </c>
      <c r="T2284" s="9">
        <f>IF(Q2284="당기",ABS(P2284)+ROW()/1000000000,"")</f>
        <v/>
      </c>
      <c r="U2284" s="9">
        <f>IF(Q2284="비교",ABS(P2284)+ROW()/1000000000,"")</f>
        <v/>
      </c>
      <c r="V2284" s="64">
        <f>IF($A2284="","",IF(COUNTIF(변동분석!$E$7:$E$506,O2284)&gt;0,"Y","N"))</f>
        <v/>
      </c>
      <c r="W2284" s="64">
        <f>IF($A2284="","",IFERROR(INDEX(계정매핑!$D$5:$D$504,MATCH($F2284&amp;"",계정매핑!$A$5:$A$504,0)),"미매핑"))</f>
        <v/>
      </c>
      <c r="X2284" s="9">
        <f>IF($A2284="","",$F2284&amp;"")</f>
        <v/>
      </c>
      <c r="Y2284" s="94">
        <f>IF($A2284="",0,IF(AE2284="직접",IF(AF2284="비귀속",$P2284,0),$P2284*(1-AG2284)*IFERROR(INDEX(계정대체기준!$F$20:$F$49,MATCH($N2284,계정대체기준!$A$20:$A$49,0)),1)))</f>
        <v/>
      </c>
      <c r="Z2284" s="94">
        <f>IF($A2284="",0,IF(AE2284="직접",IF(AF2284="신계약비",$P2284,0),$P2284*(1-AG2284)*IFERROR(INDEX(계정대체기준!$C$20:$C$49,MATCH($N2284,계정대체기준!$A$20:$A$49,0)),0)))</f>
        <v/>
      </c>
      <c r="AA2284" s="94">
        <f>IF($A2284="",0,IF(AE2284="직접",IF(OR(AF2284="유지비",AF2284="손해조사비"),$P2284,0),$P2284*(1-AG2284)*IFERROR(INDEX(계정대체기준!$D$20:$D$49,MATCH($N2284,계정대체기준!$A$20:$A$49,0)),0)))</f>
        <v/>
      </c>
      <c r="AB2284" s="94">
        <f>IF($A2284="",0,IF(AE2284="직접",IF(AF2284="수금비",$P2284,0),$P2284*(1-AG2284)*IFERROR(INDEX(계정대체기준!$E$20:$E$49,MATCH($N2284,계정대체기준!$A$20:$A$49,0)),0)))</f>
        <v/>
      </c>
      <c r="AC2284" s="9">
        <f>IF(AND($A2284&lt;&gt;"",M2284=설정!$C$20,Z2284&gt;0),Z2284+ROW()/1000000000,"")</f>
        <v/>
      </c>
      <c r="AD2284" s="94">
        <f>IF($A2284="",0,$P2284*AG2284)</f>
        <v/>
      </c>
      <c r="AE2284" s="64">
        <f>IF($A2284="","",IFERROR(INDEX(계정매핑!$E$5:$E$504,MATCH($F2284&amp;"",계정매핑!$A$5:$A$504,0))&amp;"","공통비"))</f>
        <v/>
      </c>
      <c r="AF2284" s="64">
        <f>IF($A2284="","",IF(AE2284="직접",IFERROR(INDEX(계정매핑!$F$5:$F$504,MATCH($F2284&amp;"",계정매핑!$A$5:$A$504,0))&amp;"","비귀속"),""))</f>
        <v/>
      </c>
      <c r="AG2284" s="96">
        <f>IF($A2284="",0,IF(AND(AE2284&lt;&gt;"직접",IFERROR(INDEX(계정매핑!$G$5:$G$504,MATCH($F2284&amp;"",계정매핑!$A$5:$A$504,0))&amp;"","")="유지비",COUNTIF(계정대체기준!$A$6:$A$15,$N2284)&gt;0),IFERROR(INDEX(계정대체기준!$E$6:$E$15,MATCH(VALUE($A2284&amp;""),계정대체기준!$D$6:$D$15,0)),0),0))</f>
        <v/>
      </c>
      <c r="AH2284" s="64">
        <f>IF($A2284="","",IF(AD2284=0,"",IF(OR(COUNTIF(계정대체기준!$A$77:$A$86,$N2284)&gt;0,ISNUMBER(MATCH($X2284,계정대체기준!$D$77:$D$86,0)),ISNUMBER(MATCH($F2284,계정대체기준!$D$77:$D$86,0))),"Y","N")))</f>
        <v/>
      </c>
    </row>
    <row r="2285">
      <c r="A2285" s="92" t="n">
        <v>2025</v>
      </c>
      <c r="B2285" s="92" t="n">
        <v>11</v>
      </c>
      <c r="C2285" s="92" t="inlineStr">
        <is>
          <t>5100002281</t>
        </is>
      </c>
      <c r="D2285" s="95" t="n">
        <v>45965</v>
      </c>
      <c r="E2285" s="92" t="inlineStr">
        <is>
          <t>KR</t>
        </is>
      </c>
      <c r="F2285" s="92" t="n">
        <v>62501000</v>
      </c>
      <c r="G2285" s="92" t="n">
        <v>1501</v>
      </c>
      <c r="H2285" s="93" t="n">
        <v>297000</v>
      </c>
      <c r="I2285" s="92" t="inlineStr">
        <is>
          <t>11월 회의 다과 - T케이터링</t>
        </is>
      </c>
      <c r="J2285" s="92" t="inlineStr">
        <is>
          <t>V10005</t>
        </is>
      </c>
      <c r="K2285" s="92" t="inlineStr">
        <is>
          <t>T케이터링</t>
        </is>
      </c>
      <c r="M2285" s="9">
        <f>IF($A2285="","",VALUE($A2285&amp;"")*12+VALUE($B2285&amp;""))</f>
        <v/>
      </c>
      <c r="N2285" s="64">
        <f>IF($A2285="","",IFERROR(INDEX(부서매핑!$C$5:$C$504,MATCH($G2285&amp;"",부서매핑!$A$5:$A$504,0)),"미매핑"))</f>
        <v/>
      </c>
      <c r="O2285" s="9">
        <f>IF($A2285="","",N2285&amp;"|"&amp;$F2285)</f>
        <v/>
      </c>
      <c r="P2285" s="94">
        <f>IF($A2285="",0,$H2285*설정!$C$23)</f>
        <v/>
      </c>
      <c r="Q2285" s="64">
        <f>IF($A2285="","",IF(O2285&lt;&gt;원인분석!$C$9,"",IF(AND(M2285&gt;=원인분석!$C$10,M2285&lt;=원인분석!$C$11),"당기",IF(AND(M2285&gt;=원인분석!$C$12,M2285&lt;=원인분석!$C$13),"비교",""))))</f>
        <v/>
      </c>
      <c r="R2285" s="9">
        <f>IF(Q2285="","",$K2285&amp;"")</f>
        <v/>
      </c>
      <c r="S2285" s="9">
        <f>IF(Q2285="","",IF(MATCH(R2285,$R$5:$R$100000,0)=ROW()-4,ROW(),""))</f>
        <v/>
      </c>
      <c r="T2285" s="9">
        <f>IF(Q2285="당기",ABS(P2285)+ROW()/1000000000,"")</f>
        <v/>
      </c>
      <c r="U2285" s="9">
        <f>IF(Q2285="비교",ABS(P2285)+ROW()/1000000000,"")</f>
        <v/>
      </c>
      <c r="V2285" s="64">
        <f>IF($A2285="","",IF(COUNTIF(변동분석!$E$7:$E$506,O2285)&gt;0,"Y","N"))</f>
        <v/>
      </c>
      <c r="W2285" s="64">
        <f>IF($A2285="","",IFERROR(INDEX(계정매핑!$D$5:$D$504,MATCH($F2285&amp;"",계정매핑!$A$5:$A$504,0)),"미매핑"))</f>
        <v/>
      </c>
      <c r="X2285" s="9">
        <f>IF($A2285="","",$F2285&amp;"")</f>
        <v/>
      </c>
      <c r="Y2285" s="94">
        <f>IF($A2285="",0,IF(AE2285="직접",IF(AF2285="비귀속",$P2285,0),$P2285*(1-AG2285)*IFERROR(INDEX(계정대체기준!$F$20:$F$49,MATCH($N2285,계정대체기준!$A$20:$A$49,0)),1)))</f>
        <v/>
      </c>
      <c r="Z2285" s="94">
        <f>IF($A2285="",0,IF(AE2285="직접",IF(AF2285="신계약비",$P2285,0),$P2285*(1-AG2285)*IFERROR(INDEX(계정대체기준!$C$20:$C$49,MATCH($N2285,계정대체기준!$A$20:$A$49,0)),0)))</f>
        <v/>
      </c>
      <c r="AA2285" s="94">
        <f>IF($A2285="",0,IF(AE2285="직접",IF(OR(AF2285="유지비",AF2285="손해조사비"),$P2285,0),$P2285*(1-AG2285)*IFERROR(INDEX(계정대체기준!$D$20:$D$49,MATCH($N2285,계정대체기준!$A$20:$A$49,0)),0)))</f>
        <v/>
      </c>
      <c r="AB2285" s="94">
        <f>IF($A2285="",0,IF(AE2285="직접",IF(AF2285="수금비",$P2285,0),$P2285*(1-AG2285)*IFERROR(INDEX(계정대체기준!$E$20:$E$49,MATCH($N2285,계정대체기준!$A$20:$A$49,0)),0)))</f>
        <v/>
      </c>
      <c r="AC2285" s="9">
        <f>IF(AND($A2285&lt;&gt;"",M2285=설정!$C$20,Z2285&gt;0),Z2285+ROW()/1000000000,"")</f>
        <v/>
      </c>
      <c r="AD2285" s="94">
        <f>IF($A2285="",0,$P2285*AG2285)</f>
        <v/>
      </c>
      <c r="AE2285" s="64">
        <f>IF($A2285="","",IFERROR(INDEX(계정매핑!$E$5:$E$504,MATCH($F2285&amp;"",계정매핑!$A$5:$A$504,0))&amp;"","공통비"))</f>
        <v/>
      </c>
      <c r="AF2285" s="64">
        <f>IF($A2285="","",IF(AE2285="직접",IFERROR(INDEX(계정매핑!$F$5:$F$504,MATCH($F2285&amp;"",계정매핑!$A$5:$A$504,0))&amp;"","비귀속"),""))</f>
        <v/>
      </c>
      <c r="AG2285" s="96">
        <f>IF($A2285="",0,IF(AND(AE2285&lt;&gt;"직접",IFERROR(INDEX(계정매핑!$G$5:$G$504,MATCH($F2285&amp;"",계정매핑!$A$5:$A$504,0))&amp;"","")="유지비",COUNTIF(계정대체기준!$A$6:$A$15,$N2285)&gt;0),IFERROR(INDEX(계정대체기준!$E$6:$E$15,MATCH(VALUE($A2285&amp;""),계정대체기준!$D$6:$D$15,0)),0),0))</f>
        <v/>
      </c>
      <c r="AH2285" s="64">
        <f>IF($A2285="","",IF(AD2285=0,"",IF(OR(COUNTIF(계정대체기준!$A$77:$A$86,$N2285)&gt;0,ISNUMBER(MATCH($X2285,계정대체기준!$D$77:$D$86,0)),ISNUMBER(MATCH($F2285,계정대체기준!$D$77:$D$86,0))),"Y","N")))</f>
        <v/>
      </c>
    </row>
    <row r="2286">
      <c r="A2286" s="92" t="n">
        <v>2025</v>
      </c>
      <c r="B2286" s="92" t="n">
        <v>11</v>
      </c>
      <c r="C2286" s="92" t="inlineStr">
        <is>
          <t>5100002282</t>
        </is>
      </c>
      <c r="D2286" s="95" t="n">
        <v>45965</v>
      </c>
      <c r="E2286" s="92" t="inlineStr">
        <is>
          <t>KR</t>
        </is>
      </c>
      <c r="F2286" s="92" t="n">
        <v>62901000</v>
      </c>
      <c r="G2286" s="92" t="n">
        <v>1201</v>
      </c>
      <c r="H2286" s="93" t="n">
        <v>11252000</v>
      </c>
      <c r="I2286" s="92" t="inlineStr">
        <is>
          <t>11월 자문 수수료 - K회계법인</t>
        </is>
      </c>
      <c r="J2286" s="92" t="inlineStr">
        <is>
          <t>V10011</t>
        </is>
      </c>
      <c r="K2286" s="92" t="inlineStr">
        <is>
          <t>K회계법인</t>
        </is>
      </c>
      <c r="M2286" s="9">
        <f>IF($A2286="","",VALUE($A2286&amp;"")*12+VALUE($B2286&amp;""))</f>
        <v/>
      </c>
      <c r="N2286" s="64">
        <f>IF($A2286="","",IFERROR(INDEX(부서매핑!$C$5:$C$504,MATCH($G2286&amp;"",부서매핑!$A$5:$A$504,0)),"미매핑"))</f>
        <v/>
      </c>
      <c r="O2286" s="9">
        <f>IF($A2286="","",N2286&amp;"|"&amp;$F2286)</f>
        <v/>
      </c>
      <c r="P2286" s="94">
        <f>IF($A2286="",0,$H2286*설정!$C$23)</f>
        <v/>
      </c>
      <c r="Q2286" s="64">
        <f>IF($A2286="","",IF(O2286&lt;&gt;원인분석!$C$9,"",IF(AND(M2286&gt;=원인분석!$C$10,M2286&lt;=원인분석!$C$11),"당기",IF(AND(M2286&gt;=원인분석!$C$12,M2286&lt;=원인분석!$C$13),"비교",""))))</f>
        <v/>
      </c>
      <c r="R2286" s="9">
        <f>IF(Q2286="","",$K2286&amp;"")</f>
        <v/>
      </c>
      <c r="S2286" s="9">
        <f>IF(Q2286="","",IF(MATCH(R2286,$R$5:$R$100000,0)=ROW()-4,ROW(),""))</f>
        <v/>
      </c>
      <c r="T2286" s="9">
        <f>IF(Q2286="당기",ABS(P2286)+ROW()/1000000000,"")</f>
        <v/>
      </c>
      <c r="U2286" s="9">
        <f>IF(Q2286="비교",ABS(P2286)+ROW()/1000000000,"")</f>
        <v/>
      </c>
      <c r="V2286" s="64">
        <f>IF($A2286="","",IF(COUNTIF(변동분석!$E$7:$E$506,O2286)&gt;0,"Y","N"))</f>
        <v/>
      </c>
      <c r="W2286" s="64">
        <f>IF($A2286="","",IFERROR(INDEX(계정매핑!$D$5:$D$504,MATCH($F2286&amp;"",계정매핑!$A$5:$A$504,0)),"미매핑"))</f>
        <v/>
      </c>
      <c r="X2286" s="9">
        <f>IF($A2286="","",$F2286&amp;"")</f>
        <v/>
      </c>
      <c r="Y2286" s="94">
        <f>IF($A2286="",0,IF(AE2286="직접",IF(AF2286="비귀속",$P2286,0),$P2286*(1-AG2286)*IFERROR(INDEX(계정대체기준!$F$20:$F$49,MATCH($N2286,계정대체기준!$A$20:$A$49,0)),1)))</f>
        <v/>
      </c>
      <c r="Z2286" s="94">
        <f>IF($A2286="",0,IF(AE2286="직접",IF(AF2286="신계약비",$P2286,0),$P2286*(1-AG2286)*IFERROR(INDEX(계정대체기준!$C$20:$C$49,MATCH($N2286,계정대체기준!$A$20:$A$49,0)),0)))</f>
        <v/>
      </c>
      <c r="AA2286" s="94">
        <f>IF($A2286="",0,IF(AE2286="직접",IF(OR(AF2286="유지비",AF2286="손해조사비"),$P2286,0),$P2286*(1-AG2286)*IFERROR(INDEX(계정대체기준!$D$20:$D$49,MATCH($N2286,계정대체기준!$A$20:$A$49,0)),0)))</f>
        <v/>
      </c>
      <c r="AB2286" s="94">
        <f>IF($A2286="",0,IF(AE2286="직접",IF(AF2286="수금비",$P2286,0),$P2286*(1-AG2286)*IFERROR(INDEX(계정대체기준!$E$20:$E$49,MATCH($N2286,계정대체기준!$A$20:$A$49,0)),0)))</f>
        <v/>
      </c>
      <c r="AC2286" s="9">
        <f>IF(AND($A2286&lt;&gt;"",M2286=설정!$C$20,Z2286&gt;0),Z2286+ROW()/1000000000,"")</f>
        <v/>
      </c>
      <c r="AD2286" s="94">
        <f>IF($A2286="",0,$P2286*AG2286)</f>
        <v/>
      </c>
      <c r="AE2286" s="64">
        <f>IF($A2286="","",IFERROR(INDEX(계정매핑!$E$5:$E$504,MATCH($F2286&amp;"",계정매핑!$A$5:$A$504,0))&amp;"","공통비"))</f>
        <v/>
      </c>
      <c r="AF2286" s="64">
        <f>IF($A2286="","",IF(AE2286="직접",IFERROR(INDEX(계정매핑!$F$5:$F$504,MATCH($F2286&amp;"",계정매핑!$A$5:$A$504,0))&amp;"","비귀속"),""))</f>
        <v/>
      </c>
      <c r="AG2286" s="96">
        <f>IF($A2286="",0,IF(AND(AE2286&lt;&gt;"직접",IFERROR(INDEX(계정매핑!$G$5:$G$504,MATCH($F2286&amp;"",계정매핑!$A$5:$A$504,0))&amp;"","")="유지비",COUNTIF(계정대체기준!$A$6:$A$15,$N2286)&gt;0),IFERROR(INDEX(계정대체기준!$E$6:$E$15,MATCH(VALUE($A2286&amp;""),계정대체기준!$D$6:$D$15,0)),0),0))</f>
        <v/>
      </c>
      <c r="AH2286" s="64">
        <f>IF($A2286="","",IF(AD2286=0,"",IF(OR(COUNTIF(계정대체기준!$A$77:$A$86,$N2286)&gt;0,ISNUMBER(MATCH($X2286,계정대체기준!$D$77:$D$86,0)),ISNUMBER(MATCH($F2286,계정대체기준!$D$77:$D$86,0))),"Y","N")))</f>
        <v/>
      </c>
    </row>
    <row r="2287">
      <c r="A2287" s="92" t="n">
        <v>2025</v>
      </c>
      <c r="B2287" s="92" t="n">
        <v>11</v>
      </c>
      <c r="C2287" s="92" t="inlineStr">
        <is>
          <t>5100002283</t>
        </is>
      </c>
      <c r="D2287" s="95" t="n">
        <v>45965</v>
      </c>
      <c r="E2287" s="92" t="inlineStr">
        <is>
          <t>KR</t>
        </is>
      </c>
      <c r="F2287" s="92" t="n">
        <v>62902000</v>
      </c>
      <c r="G2287" s="92" t="n">
        <v>1801</v>
      </c>
      <c r="H2287" s="93" t="n">
        <v>1760000</v>
      </c>
      <c r="I2287" s="92" t="inlineStr">
        <is>
          <t>11월 콜 위탁 수수료(건별)</t>
        </is>
      </c>
      <c r="J2287" s="92" t="inlineStr">
        <is>
          <t>V10016</t>
        </is>
      </c>
      <c r="K2287" s="92" t="inlineStr">
        <is>
          <t>J콜센터</t>
        </is>
      </c>
      <c r="M2287" s="9">
        <f>IF($A2287="","",VALUE($A2287&amp;"")*12+VALUE($B2287&amp;""))</f>
        <v/>
      </c>
      <c r="N2287" s="64">
        <f>IF($A2287="","",IFERROR(INDEX(부서매핑!$C$5:$C$504,MATCH($G2287&amp;"",부서매핑!$A$5:$A$504,0)),"미매핑"))</f>
        <v/>
      </c>
      <c r="O2287" s="9">
        <f>IF($A2287="","",N2287&amp;"|"&amp;$F2287)</f>
        <v/>
      </c>
      <c r="P2287" s="94">
        <f>IF($A2287="",0,$H2287*설정!$C$23)</f>
        <v/>
      </c>
      <c r="Q2287" s="64">
        <f>IF($A2287="","",IF(O2287&lt;&gt;원인분석!$C$9,"",IF(AND(M2287&gt;=원인분석!$C$10,M2287&lt;=원인분석!$C$11),"당기",IF(AND(M2287&gt;=원인분석!$C$12,M2287&lt;=원인분석!$C$13),"비교",""))))</f>
        <v/>
      </c>
      <c r="R2287" s="9">
        <f>IF(Q2287="","",$K2287&amp;"")</f>
        <v/>
      </c>
      <c r="S2287" s="9">
        <f>IF(Q2287="","",IF(MATCH(R2287,$R$5:$R$100000,0)=ROW()-4,ROW(),""))</f>
        <v/>
      </c>
      <c r="T2287" s="9">
        <f>IF(Q2287="당기",ABS(P2287)+ROW()/1000000000,"")</f>
        <v/>
      </c>
      <c r="U2287" s="9">
        <f>IF(Q2287="비교",ABS(P2287)+ROW()/1000000000,"")</f>
        <v/>
      </c>
      <c r="V2287" s="64">
        <f>IF($A2287="","",IF(COUNTIF(변동분석!$E$7:$E$506,O2287)&gt;0,"Y","N"))</f>
        <v/>
      </c>
      <c r="W2287" s="64">
        <f>IF($A2287="","",IFERROR(INDEX(계정매핑!$D$5:$D$504,MATCH($F2287&amp;"",계정매핑!$A$5:$A$504,0)),"미매핑"))</f>
        <v/>
      </c>
      <c r="X2287" s="9">
        <f>IF($A2287="","",$F2287&amp;"")</f>
        <v/>
      </c>
      <c r="Y2287" s="94">
        <f>IF($A2287="",0,IF(AE2287="직접",IF(AF2287="비귀속",$P2287,0),$P2287*(1-AG2287)*IFERROR(INDEX(계정대체기준!$F$20:$F$49,MATCH($N2287,계정대체기준!$A$20:$A$49,0)),1)))</f>
        <v/>
      </c>
      <c r="Z2287" s="94">
        <f>IF($A2287="",0,IF(AE2287="직접",IF(AF2287="신계약비",$P2287,0),$P2287*(1-AG2287)*IFERROR(INDEX(계정대체기준!$C$20:$C$49,MATCH($N2287,계정대체기준!$A$20:$A$49,0)),0)))</f>
        <v/>
      </c>
      <c r="AA2287" s="94">
        <f>IF($A2287="",0,IF(AE2287="직접",IF(OR(AF2287="유지비",AF2287="손해조사비"),$P2287,0),$P2287*(1-AG2287)*IFERROR(INDEX(계정대체기준!$D$20:$D$49,MATCH($N2287,계정대체기준!$A$20:$A$49,0)),0)))</f>
        <v/>
      </c>
      <c r="AB2287" s="94">
        <f>IF($A2287="",0,IF(AE2287="직접",IF(AF2287="수금비",$P2287,0),$P2287*(1-AG2287)*IFERROR(INDEX(계정대체기준!$E$20:$E$49,MATCH($N2287,계정대체기준!$A$20:$A$49,0)),0)))</f>
        <v/>
      </c>
      <c r="AC2287" s="9">
        <f>IF(AND($A2287&lt;&gt;"",M2287=설정!$C$20,Z2287&gt;0),Z2287+ROW()/1000000000,"")</f>
        <v/>
      </c>
      <c r="AD2287" s="94">
        <f>IF($A2287="",0,$P2287*AG2287)</f>
        <v/>
      </c>
      <c r="AE2287" s="64">
        <f>IF($A2287="","",IFERROR(INDEX(계정매핑!$E$5:$E$504,MATCH($F2287&amp;"",계정매핑!$A$5:$A$504,0))&amp;"","공통비"))</f>
        <v/>
      </c>
      <c r="AF2287" s="64">
        <f>IF($A2287="","",IF(AE2287="직접",IFERROR(INDEX(계정매핑!$F$5:$F$504,MATCH($F2287&amp;"",계정매핑!$A$5:$A$504,0))&amp;"","비귀속"),""))</f>
        <v/>
      </c>
      <c r="AG2287" s="96">
        <f>IF($A2287="",0,IF(AND(AE2287&lt;&gt;"직접",IFERROR(INDEX(계정매핑!$G$5:$G$504,MATCH($F2287&amp;"",계정매핑!$A$5:$A$504,0))&amp;"","")="유지비",COUNTIF(계정대체기준!$A$6:$A$15,$N2287)&gt;0),IFERROR(INDEX(계정대체기준!$E$6:$E$15,MATCH(VALUE($A2287&amp;""),계정대체기준!$D$6:$D$15,0)),0),0))</f>
        <v/>
      </c>
      <c r="AH2287" s="64">
        <f>IF($A2287="","",IF(AD2287=0,"",IF(OR(COUNTIF(계정대체기준!$A$77:$A$86,$N2287)&gt;0,ISNUMBER(MATCH($X2287,계정대체기준!$D$77:$D$86,0)),ISNUMBER(MATCH($F2287,계정대체기준!$D$77:$D$86,0))),"Y","N")))</f>
        <v/>
      </c>
    </row>
    <row r="2288">
      <c r="A2288" s="92" t="n">
        <v>2025</v>
      </c>
      <c r="B2288" s="92" t="n">
        <v>11</v>
      </c>
      <c r="C2288" s="92" t="inlineStr">
        <is>
          <t>5100002284</t>
        </is>
      </c>
      <c r="D2288" s="95" t="n">
        <v>45965</v>
      </c>
      <c r="E2288" s="92" t="inlineStr">
        <is>
          <t>KR</t>
        </is>
      </c>
      <c r="F2288" s="92" t="n">
        <v>63002000</v>
      </c>
      <c r="G2288" s="92" t="n">
        <v>1951</v>
      </c>
      <c r="H2288" s="93" t="n">
        <v>3452000</v>
      </c>
      <c r="I2288" s="92" t="inlineStr">
        <is>
          <t>11월 클라우드 사용료 - C클라우드</t>
        </is>
      </c>
      <c r="J2288" s="92" t="inlineStr">
        <is>
          <t>V10026</t>
        </is>
      </c>
      <c r="K2288" s="92" t="inlineStr">
        <is>
          <t>C클라우드</t>
        </is>
      </c>
      <c r="M2288" s="9">
        <f>IF($A2288="","",VALUE($A2288&amp;"")*12+VALUE($B2288&amp;""))</f>
        <v/>
      </c>
      <c r="N2288" s="64">
        <f>IF($A2288="","",IFERROR(INDEX(부서매핑!$C$5:$C$504,MATCH($G2288&amp;"",부서매핑!$A$5:$A$504,0)),"미매핑"))</f>
        <v/>
      </c>
      <c r="O2288" s="9">
        <f>IF($A2288="","",N2288&amp;"|"&amp;$F2288)</f>
        <v/>
      </c>
      <c r="P2288" s="94">
        <f>IF($A2288="",0,$H2288*설정!$C$23)</f>
        <v/>
      </c>
      <c r="Q2288" s="64">
        <f>IF($A2288="","",IF(O2288&lt;&gt;원인분석!$C$9,"",IF(AND(M2288&gt;=원인분석!$C$10,M2288&lt;=원인분석!$C$11),"당기",IF(AND(M2288&gt;=원인분석!$C$12,M2288&lt;=원인분석!$C$13),"비교",""))))</f>
        <v/>
      </c>
      <c r="R2288" s="9">
        <f>IF(Q2288="","",$K2288&amp;"")</f>
        <v/>
      </c>
      <c r="S2288" s="9">
        <f>IF(Q2288="","",IF(MATCH(R2288,$R$5:$R$100000,0)=ROW()-4,ROW(),""))</f>
        <v/>
      </c>
      <c r="T2288" s="9">
        <f>IF(Q2288="당기",ABS(P2288)+ROW()/1000000000,"")</f>
        <v/>
      </c>
      <c r="U2288" s="9">
        <f>IF(Q2288="비교",ABS(P2288)+ROW()/1000000000,"")</f>
        <v/>
      </c>
      <c r="V2288" s="64">
        <f>IF($A2288="","",IF(COUNTIF(변동분석!$E$7:$E$506,O2288)&gt;0,"Y","N"))</f>
        <v/>
      </c>
      <c r="W2288" s="64">
        <f>IF($A2288="","",IFERROR(INDEX(계정매핑!$D$5:$D$504,MATCH($F2288&amp;"",계정매핑!$A$5:$A$504,0)),"미매핑"))</f>
        <v/>
      </c>
      <c r="X2288" s="9">
        <f>IF($A2288="","",$F2288&amp;"")</f>
        <v/>
      </c>
      <c r="Y2288" s="94">
        <f>IF($A2288="",0,IF(AE2288="직접",IF(AF2288="비귀속",$P2288,0),$P2288*(1-AG2288)*IFERROR(INDEX(계정대체기준!$F$20:$F$49,MATCH($N2288,계정대체기준!$A$20:$A$49,0)),1)))</f>
        <v/>
      </c>
      <c r="Z2288" s="94">
        <f>IF($A2288="",0,IF(AE2288="직접",IF(AF2288="신계약비",$P2288,0),$P2288*(1-AG2288)*IFERROR(INDEX(계정대체기준!$C$20:$C$49,MATCH($N2288,계정대체기준!$A$20:$A$49,0)),0)))</f>
        <v/>
      </c>
      <c r="AA2288" s="94">
        <f>IF($A2288="",0,IF(AE2288="직접",IF(OR(AF2288="유지비",AF2288="손해조사비"),$P2288,0),$P2288*(1-AG2288)*IFERROR(INDEX(계정대체기준!$D$20:$D$49,MATCH($N2288,계정대체기준!$A$20:$A$49,0)),0)))</f>
        <v/>
      </c>
      <c r="AB2288" s="94">
        <f>IF($A2288="",0,IF(AE2288="직접",IF(AF2288="수금비",$P2288,0),$P2288*(1-AG2288)*IFERROR(INDEX(계정대체기준!$E$20:$E$49,MATCH($N2288,계정대체기준!$A$20:$A$49,0)),0)))</f>
        <v/>
      </c>
      <c r="AC2288" s="9">
        <f>IF(AND($A2288&lt;&gt;"",M2288=설정!$C$20,Z2288&gt;0),Z2288+ROW()/1000000000,"")</f>
        <v/>
      </c>
      <c r="AD2288" s="94">
        <f>IF($A2288="",0,$P2288*AG2288)</f>
        <v/>
      </c>
      <c r="AE2288" s="64">
        <f>IF($A2288="","",IFERROR(INDEX(계정매핑!$E$5:$E$504,MATCH($F2288&amp;"",계정매핑!$A$5:$A$504,0))&amp;"","공통비"))</f>
        <v/>
      </c>
      <c r="AF2288" s="64">
        <f>IF($A2288="","",IF(AE2288="직접",IFERROR(INDEX(계정매핑!$F$5:$F$504,MATCH($F2288&amp;"",계정매핑!$A$5:$A$504,0))&amp;"","비귀속"),""))</f>
        <v/>
      </c>
      <c r="AG2288" s="96">
        <f>IF($A2288="",0,IF(AND(AE2288&lt;&gt;"직접",IFERROR(INDEX(계정매핑!$G$5:$G$504,MATCH($F2288&amp;"",계정매핑!$A$5:$A$504,0))&amp;"","")="유지비",COUNTIF(계정대체기준!$A$6:$A$15,$N2288)&gt;0),IFERROR(INDEX(계정대체기준!$E$6:$E$15,MATCH(VALUE($A2288&amp;""),계정대체기준!$D$6:$D$15,0)),0),0))</f>
        <v/>
      </c>
      <c r="AH2288" s="64">
        <f>IF($A2288="","",IF(AD2288=0,"",IF(OR(COUNTIF(계정대체기준!$A$77:$A$86,$N2288)&gt;0,ISNUMBER(MATCH($X2288,계정대체기준!$D$77:$D$86,0)),ISNUMBER(MATCH($F2288,계정대체기준!$D$77:$D$86,0))),"Y","N")))</f>
        <v/>
      </c>
    </row>
    <row r="2289">
      <c r="A2289" s="92" t="n">
        <v>2025</v>
      </c>
      <c r="B2289" s="92" t="n">
        <v>11</v>
      </c>
      <c r="C2289" s="92" t="inlineStr">
        <is>
          <t>5100002285</t>
        </is>
      </c>
      <c r="D2289" s="95" t="n">
        <v>45966</v>
      </c>
      <c r="E2289" s="92" t="inlineStr">
        <is>
          <t>KR</t>
        </is>
      </c>
      <c r="F2289" s="92" t="n">
        <v>62101000</v>
      </c>
      <c r="G2289" s="92" t="n">
        <v>1201</v>
      </c>
      <c r="H2289" s="93" t="n">
        <v>182000</v>
      </c>
      <c r="I2289" s="92" t="inlineStr">
        <is>
          <t>11월 국내출장 - L여행사</t>
        </is>
      </c>
      <c r="J2289" s="92" t="inlineStr">
        <is>
          <t>V10018</t>
        </is>
      </c>
      <c r="K2289" s="92" t="inlineStr">
        <is>
          <t>L여행사</t>
        </is>
      </c>
      <c r="M2289" s="9">
        <f>IF($A2289="","",VALUE($A2289&amp;"")*12+VALUE($B2289&amp;""))</f>
        <v/>
      </c>
      <c r="N2289" s="64">
        <f>IF($A2289="","",IFERROR(INDEX(부서매핑!$C$5:$C$504,MATCH($G2289&amp;"",부서매핑!$A$5:$A$504,0)),"미매핑"))</f>
        <v/>
      </c>
      <c r="O2289" s="9">
        <f>IF($A2289="","",N2289&amp;"|"&amp;$F2289)</f>
        <v/>
      </c>
      <c r="P2289" s="94">
        <f>IF($A2289="",0,$H2289*설정!$C$23)</f>
        <v/>
      </c>
      <c r="Q2289" s="64">
        <f>IF($A2289="","",IF(O2289&lt;&gt;원인분석!$C$9,"",IF(AND(M2289&gt;=원인분석!$C$10,M2289&lt;=원인분석!$C$11),"당기",IF(AND(M2289&gt;=원인분석!$C$12,M2289&lt;=원인분석!$C$13),"비교",""))))</f>
        <v/>
      </c>
      <c r="R2289" s="9">
        <f>IF(Q2289="","",$K2289&amp;"")</f>
        <v/>
      </c>
      <c r="S2289" s="9">
        <f>IF(Q2289="","",IF(MATCH(R2289,$R$5:$R$100000,0)=ROW()-4,ROW(),""))</f>
        <v/>
      </c>
      <c r="T2289" s="9">
        <f>IF(Q2289="당기",ABS(P2289)+ROW()/1000000000,"")</f>
        <v/>
      </c>
      <c r="U2289" s="9">
        <f>IF(Q2289="비교",ABS(P2289)+ROW()/1000000000,"")</f>
        <v/>
      </c>
      <c r="V2289" s="64">
        <f>IF($A2289="","",IF(COUNTIF(변동분석!$E$7:$E$506,O2289)&gt;0,"Y","N"))</f>
        <v/>
      </c>
      <c r="W2289" s="64">
        <f>IF($A2289="","",IFERROR(INDEX(계정매핑!$D$5:$D$504,MATCH($F2289&amp;"",계정매핑!$A$5:$A$504,0)),"미매핑"))</f>
        <v/>
      </c>
      <c r="X2289" s="9">
        <f>IF($A2289="","",$F2289&amp;"")</f>
        <v/>
      </c>
      <c r="Y2289" s="94">
        <f>IF($A2289="",0,IF(AE2289="직접",IF(AF2289="비귀속",$P2289,0),$P2289*(1-AG2289)*IFERROR(INDEX(계정대체기준!$F$20:$F$49,MATCH($N2289,계정대체기준!$A$20:$A$49,0)),1)))</f>
        <v/>
      </c>
      <c r="Z2289" s="94">
        <f>IF($A2289="",0,IF(AE2289="직접",IF(AF2289="신계약비",$P2289,0),$P2289*(1-AG2289)*IFERROR(INDEX(계정대체기준!$C$20:$C$49,MATCH($N2289,계정대체기준!$A$20:$A$49,0)),0)))</f>
        <v/>
      </c>
      <c r="AA2289" s="94">
        <f>IF($A2289="",0,IF(AE2289="직접",IF(OR(AF2289="유지비",AF2289="손해조사비"),$P2289,0),$P2289*(1-AG2289)*IFERROR(INDEX(계정대체기준!$D$20:$D$49,MATCH($N2289,계정대체기준!$A$20:$A$49,0)),0)))</f>
        <v/>
      </c>
      <c r="AB2289" s="94">
        <f>IF($A2289="",0,IF(AE2289="직접",IF(AF2289="수금비",$P2289,0),$P2289*(1-AG2289)*IFERROR(INDEX(계정대체기준!$E$20:$E$49,MATCH($N2289,계정대체기준!$A$20:$A$49,0)),0)))</f>
        <v/>
      </c>
      <c r="AC2289" s="9">
        <f>IF(AND($A2289&lt;&gt;"",M2289=설정!$C$20,Z2289&gt;0),Z2289+ROW()/1000000000,"")</f>
        <v/>
      </c>
      <c r="AD2289" s="94">
        <f>IF($A2289="",0,$P2289*AG2289)</f>
        <v/>
      </c>
      <c r="AE2289" s="64">
        <f>IF($A2289="","",IFERROR(INDEX(계정매핑!$E$5:$E$504,MATCH($F2289&amp;"",계정매핑!$A$5:$A$504,0))&amp;"","공통비"))</f>
        <v/>
      </c>
      <c r="AF2289" s="64">
        <f>IF($A2289="","",IF(AE2289="직접",IFERROR(INDEX(계정매핑!$F$5:$F$504,MATCH($F2289&amp;"",계정매핑!$A$5:$A$504,0))&amp;"","비귀속"),""))</f>
        <v/>
      </c>
      <c r="AG2289" s="96">
        <f>IF($A2289="",0,IF(AND(AE2289&lt;&gt;"직접",IFERROR(INDEX(계정매핑!$G$5:$G$504,MATCH($F2289&amp;"",계정매핑!$A$5:$A$504,0))&amp;"","")="유지비",COUNTIF(계정대체기준!$A$6:$A$15,$N2289)&gt;0),IFERROR(INDEX(계정대체기준!$E$6:$E$15,MATCH(VALUE($A2289&amp;""),계정대체기준!$D$6:$D$15,0)),0),0))</f>
        <v/>
      </c>
      <c r="AH2289" s="64">
        <f>IF($A2289="","",IF(AD2289=0,"",IF(OR(COUNTIF(계정대체기준!$A$77:$A$86,$N2289)&gt;0,ISNUMBER(MATCH($X2289,계정대체기준!$D$77:$D$86,0)),ISNUMBER(MATCH($F2289,계정대체기준!$D$77:$D$86,0))),"Y","N")))</f>
        <v/>
      </c>
    </row>
    <row r="2290">
      <c r="A2290" s="92" t="n">
        <v>2025</v>
      </c>
      <c r="B2290" s="92" t="n">
        <v>11</v>
      </c>
      <c r="C2290" s="92" t="inlineStr">
        <is>
          <t>5100002286</t>
        </is>
      </c>
      <c r="D2290" s="95" t="n">
        <v>45966</v>
      </c>
      <c r="E2290" s="92" t="inlineStr">
        <is>
          <t>KR</t>
        </is>
      </c>
      <c r="F2290" s="92" t="n">
        <v>62201000</v>
      </c>
      <c r="G2290" s="92" t="n">
        <v>1801</v>
      </c>
      <c r="H2290" s="93" t="n">
        <v>5173000</v>
      </c>
      <c r="I2290" s="92" t="inlineStr">
        <is>
          <t>11월 통신요금 - O텔레콤</t>
        </is>
      </c>
      <c r="J2290" s="92" t="inlineStr">
        <is>
          <t>V10002</t>
        </is>
      </c>
      <c r="K2290" s="92" t="inlineStr">
        <is>
          <t>O텔레콤</t>
        </is>
      </c>
      <c r="M2290" s="9">
        <f>IF($A2290="","",VALUE($A2290&amp;"")*12+VALUE($B2290&amp;""))</f>
        <v/>
      </c>
      <c r="N2290" s="64">
        <f>IF($A2290="","",IFERROR(INDEX(부서매핑!$C$5:$C$504,MATCH($G2290&amp;"",부서매핑!$A$5:$A$504,0)),"미매핑"))</f>
        <v/>
      </c>
      <c r="O2290" s="9">
        <f>IF($A2290="","",N2290&amp;"|"&amp;$F2290)</f>
        <v/>
      </c>
      <c r="P2290" s="94">
        <f>IF($A2290="",0,$H2290*설정!$C$23)</f>
        <v/>
      </c>
      <c r="Q2290" s="64">
        <f>IF($A2290="","",IF(O2290&lt;&gt;원인분석!$C$9,"",IF(AND(M2290&gt;=원인분석!$C$10,M2290&lt;=원인분석!$C$11),"당기",IF(AND(M2290&gt;=원인분석!$C$12,M2290&lt;=원인분석!$C$13),"비교",""))))</f>
        <v/>
      </c>
      <c r="R2290" s="9">
        <f>IF(Q2290="","",$K2290&amp;"")</f>
        <v/>
      </c>
      <c r="S2290" s="9">
        <f>IF(Q2290="","",IF(MATCH(R2290,$R$5:$R$100000,0)=ROW()-4,ROW(),""))</f>
        <v/>
      </c>
      <c r="T2290" s="9">
        <f>IF(Q2290="당기",ABS(P2290)+ROW()/1000000000,"")</f>
        <v/>
      </c>
      <c r="U2290" s="9">
        <f>IF(Q2290="비교",ABS(P2290)+ROW()/1000000000,"")</f>
        <v/>
      </c>
      <c r="V2290" s="64">
        <f>IF($A2290="","",IF(COUNTIF(변동분석!$E$7:$E$506,O2290)&gt;0,"Y","N"))</f>
        <v/>
      </c>
      <c r="W2290" s="64">
        <f>IF($A2290="","",IFERROR(INDEX(계정매핑!$D$5:$D$504,MATCH($F2290&amp;"",계정매핑!$A$5:$A$504,0)),"미매핑"))</f>
        <v/>
      </c>
      <c r="X2290" s="9">
        <f>IF($A2290="","",$F2290&amp;"")</f>
        <v/>
      </c>
      <c r="Y2290" s="94">
        <f>IF($A2290="",0,IF(AE2290="직접",IF(AF2290="비귀속",$P2290,0),$P2290*(1-AG2290)*IFERROR(INDEX(계정대체기준!$F$20:$F$49,MATCH($N2290,계정대체기준!$A$20:$A$49,0)),1)))</f>
        <v/>
      </c>
      <c r="Z2290" s="94">
        <f>IF($A2290="",0,IF(AE2290="직접",IF(AF2290="신계약비",$P2290,0),$P2290*(1-AG2290)*IFERROR(INDEX(계정대체기준!$C$20:$C$49,MATCH($N2290,계정대체기준!$A$20:$A$49,0)),0)))</f>
        <v/>
      </c>
      <c r="AA2290" s="94">
        <f>IF($A2290="",0,IF(AE2290="직접",IF(OR(AF2290="유지비",AF2290="손해조사비"),$P2290,0),$P2290*(1-AG2290)*IFERROR(INDEX(계정대체기준!$D$20:$D$49,MATCH($N2290,계정대체기준!$A$20:$A$49,0)),0)))</f>
        <v/>
      </c>
      <c r="AB2290" s="94">
        <f>IF($A2290="",0,IF(AE2290="직접",IF(AF2290="수금비",$P2290,0),$P2290*(1-AG2290)*IFERROR(INDEX(계정대체기준!$E$20:$E$49,MATCH($N2290,계정대체기준!$A$20:$A$49,0)),0)))</f>
        <v/>
      </c>
      <c r="AC2290" s="9">
        <f>IF(AND($A2290&lt;&gt;"",M2290=설정!$C$20,Z2290&gt;0),Z2290+ROW()/1000000000,"")</f>
        <v/>
      </c>
      <c r="AD2290" s="94">
        <f>IF($A2290="",0,$P2290*AG2290)</f>
        <v/>
      </c>
      <c r="AE2290" s="64">
        <f>IF($A2290="","",IFERROR(INDEX(계정매핑!$E$5:$E$504,MATCH($F2290&amp;"",계정매핑!$A$5:$A$504,0))&amp;"","공통비"))</f>
        <v/>
      </c>
      <c r="AF2290" s="64">
        <f>IF($A2290="","",IF(AE2290="직접",IFERROR(INDEX(계정매핑!$F$5:$F$504,MATCH($F2290&amp;"",계정매핑!$A$5:$A$504,0))&amp;"","비귀속"),""))</f>
        <v/>
      </c>
      <c r="AG2290" s="96">
        <f>IF($A2290="",0,IF(AND(AE2290&lt;&gt;"직접",IFERROR(INDEX(계정매핑!$G$5:$G$504,MATCH($F2290&amp;"",계정매핑!$A$5:$A$504,0))&amp;"","")="유지비",COUNTIF(계정대체기준!$A$6:$A$15,$N2290)&gt;0),IFERROR(INDEX(계정대체기준!$E$6:$E$15,MATCH(VALUE($A2290&amp;""),계정대체기준!$D$6:$D$15,0)),0),0))</f>
        <v/>
      </c>
      <c r="AH2290" s="64">
        <f>IF($A2290="","",IF(AD2290=0,"",IF(OR(COUNTIF(계정대체기준!$A$77:$A$86,$N2290)&gt;0,ISNUMBER(MATCH($X2290,계정대체기준!$D$77:$D$86,0)),ISNUMBER(MATCH($F2290,계정대체기준!$D$77:$D$86,0))),"Y","N")))</f>
        <v/>
      </c>
    </row>
    <row r="2291">
      <c r="A2291" s="92" t="n">
        <v>2025</v>
      </c>
      <c r="B2291" s="92" t="n">
        <v>11</v>
      </c>
      <c r="C2291" s="92" t="inlineStr">
        <is>
          <t>5100002287</t>
        </is>
      </c>
      <c r="D2291" s="95" t="n">
        <v>45966</v>
      </c>
      <c r="E2291" s="92" t="inlineStr">
        <is>
          <t>KR</t>
        </is>
      </c>
      <c r="F2291" s="92" t="n">
        <v>62501000</v>
      </c>
      <c r="G2291" s="92" t="n">
        <v>1101</v>
      </c>
      <c r="H2291" s="93" t="n">
        <v>279000</v>
      </c>
      <c r="I2291" s="92" t="inlineStr">
        <is>
          <t>11월 회의 다과 - (법인카드)</t>
        </is>
      </c>
      <c r="J2291" s="92" t="inlineStr">
        <is>
          <t>V10010</t>
        </is>
      </c>
      <c r="K2291" s="92" t="inlineStr">
        <is>
          <t>(법인카드)</t>
        </is>
      </c>
      <c r="M2291" s="9">
        <f>IF($A2291="","",VALUE($A2291&amp;"")*12+VALUE($B2291&amp;""))</f>
        <v/>
      </c>
      <c r="N2291" s="64">
        <f>IF($A2291="","",IFERROR(INDEX(부서매핑!$C$5:$C$504,MATCH($G2291&amp;"",부서매핑!$A$5:$A$504,0)),"미매핑"))</f>
        <v/>
      </c>
      <c r="O2291" s="9">
        <f>IF($A2291="","",N2291&amp;"|"&amp;$F2291)</f>
        <v/>
      </c>
      <c r="P2291" s="94">
        <f>IF($A2291="",0,$H2291*설정!$C$23)</f>
        <v/>
      </c>
      <c r="Q2291" s="64">
        <f>IF($A2291="","",IF(O2291&lt;&gt;원인분석!$C$9,"",IF(AND(M2291&gt;=원인분석!$C$10,M2291&lt;=원인분석!$C$11),"당기",IF(AND(M2291&gt;=원인분석!$C$12,M2291&lt;=원인분석!$C$13),"비교",""))))</f>
        <v/>
      </c>
      <c r="R2291" s="9">
        <f>IF(Q2291="","",$K2291&amp;"")</f>
        <v/>
      </c>
      <c r="S2291" s="9">
        <f>IF(Q2291="","",IF(MATCH(R2291,$R$5:$R$100000,0)=ROW()-4,ROW(),""))</f>
        <v/>
      </c>
      <c r="T2291" s="9">
        <f>IF(Q2291="당기",ABS(P2291)+ROW()/1000000000,"")</f>
        <v/>
      </c>
      <c r="U2291" s="9">
        <f>IF(Q2291="비교",ABS(P2291)+ROW()/1000000000,"")</f>
        <v/>
      </c>
      <c r="V2291" s="64">
        <f>IF($A2291="","",IF(COUNTIF(변동분석!$E$7:$E$506,O2291)&gt;0,"Y","N"))</f>
        <v/>
      </c>
      <c r="W2291" s="64">
        <f>IF($A2291="","",IFERROR(INDEX(계정매핑!$D$5:$D$504,MATCH($F2291&amp;"",계정매핑!$A$5:$A$504,0)),"미매핑"))</f>
        <v/>
      </c>
      <c r="X2291" s="9">
        <f>IF($A2291="","",$F2291&amp;"")</f>
        <v/>
      </c>
      <c r="Y2291" s="94">
        <f>IF($A2291="",0,IF(AE2291="직접",IF(AF2291="비귀속",$P2291,0),$P2291*(1-AG2291)*IFERROR(INDEX(계정대체기준!$F$20:$F$49,MATCH($N2291,계정대체기준!$A$20:$A$49,0)),1)))</f>
        <v/>
      </c>
      <c r="Z2291" s="94">
        <f>IF($A2291="",0,IF(AE2291="직접",IF(AF2291="신계약비",$P2291,0),$P2291*(1-AG2291)*IFERROR(INDEX(계정대체기준!$C$20:$C$49,MATCH($N2291,계정대체기준!$A$20:$A$49,0)),0)))</f>
        <v/>
      </c>
      <c r="AA2291" s="94">
        <f>IF($A2291="",0,IF(AE2291="직접",IF(OR(AF2291="유지비",AF2291="손해조사비"),$P2291,0),$P2291*(1-AG2291)*IFERROR(INDEX(계정대체기준!$D$20:$D$49,MATCH($N2291,계정대체기준!$A$20:$A$49,0)),0)))</f>
        <v/>
      </c>
      <c r="AB2291" s="94">
        <f>IF($A2291="",0,IF(AE2291="직접",IF(AF2291="수금비",$P2291,0),$P2291*(1-AG2291)*IFERROR(INDEX(계정대체기준!$E$20:$E$49,MATCH($N2291,계정대체기준!$A$20:$A$49,0)),0)))</f>
        <v/>
      </c>
      <c r="AC2291" s="9">
        <f>IF(AND($A2291&lt;&gt;"",M2291=설정!$C$20,Z2291&gt;0),Z2291+ROW()/1000000000,"")</f>
        <v/>
      </c>
      <c r="AD2291" s="94">
        <f>IF($A2291="",0,$P2291*AG2291)</f>
        <v/>
      </c>
      <c r="AE2291" s="64">
        <f>IF($A2291="","",IFERROR(INDEX(계정매핑!$E$5:$E$504,MATCH($F2291&amp;"",계정매핑!$A$5:$A$504,0))&amp;"","공통비"))</f>
        <v/>
      </c>
      <c r="AF2291" s="64">
        <f>IF($A2291="","",IF(AE2291="직접",IFERROR(INDEX(계정매핑!$F$5:$F$504,MATCH($F2291&amp;"",계정매핑!$A$5:$A$504,0))&amp;"","비귀속"),""))</f>
        <v/>
      </c>
      <c r="AG2291" s="96">
        <f>IF($A2291="",0,IF(AND(AE2291&lt;&gt;"직접",IFERROR(INDEX(계정매핑!$G$5:$G$504,MATCH($F2291&amp;"",계정매핑!$A$5:$A$504,0))&amp;"","")="유지비",COUNTIF(계정대체기준!$A$6:$A$15,$N2291)&gt;0),IFERROR(INDEX(계정대체기준!$E$6:$E$15,MATCH(VALUE($A2291&amp;""),계정대체기준!$D$6:$D$15,0)),0),0))</f>
        <v/>
      </c>
      <c r="AH2291" s="64">
        <f>IF($A2291="","",IF(AD2291=0,"",IF(OR(COUNTIF(계정대체기준!$A$77:$A$86,$N2291)&gt;0,ISNUMBER(MATCH($X2291,계정대체기준!$D$77:$D$86,0)),ISNUMBER(MATCH($F2291,계정대체기준!$D$77:$D$86,0))),"Y","N")))</f>
        <v/>
      </c>
    </row>
    <row r="2292">
      <c r="A2292" s="92" t="n">
        <v>2025</v>
      </c>
      <c r="B2292" s="92" t="n">
        <v>11</v>
      </c>
      <c r="C2292" s="92" t="inlineStr">
        <is>
          <t>5100002288</t>
        </is>
      </c>
      <c r="D2292" s="95" t="n">
        <v>45966</v>
      </c>
      <c r="E2292" s="92" t="inlineStr">
        <is>
          <t>KR</t>
        </is>
      </c>
      <c r="F2292" s="92" t="n">
        <v>62501000</v>
      </c>
      <c r="G2292" s="92" t="n">
        <v>1601</v>
      </c>
      <c r="H2292" s="93" t="n">
        <v>354000</v>
      </c>
      <c r="I2292" s="92" t="inlineStr">
        <is>
          <t>11월 회의 다과 - T케이터링</t>
        </is>
      </c>
      <c r="J2292" s="92" t="inlineStr">
        <is>
          <t>V10005</t>
        </is>
      </c>
      <c r="K2292" s="92" t="inlineStr">
        <is>
          <t>T케이터링</t>
        </is>
      </c>
      <c r="M2292" s="9">
        <f>IF($A2292="","",VALUE($A2292&amp;"")*12+VALUE($B2292&amp;""))</f>
        <v/>
      </c>
      <c r="N2292" s="64">
        <f>IF($A2292="","",IFERROR(INDEX(부서매핑!$C$5:$C$504,MATCH($G2292&amp;"",부서매핑!$A$5:$A$504,0)),"미매핑"))</f>
        <v/>
      </c>
      <c r="O2292" s="9">
        <f>IF($A2292="","",N2292&amp;"|"&amp;$F2292)</f>
        <v/>
      </c>
      <c r="P2292" s="94">
        <f>IF($A2292="",0,$H2292*설정!$C$23)</f>
        <v/>
      </c>
      <c r="Q2292" s="64">
        <f>IF($A2292="","",IF(O2292&lt;&gt;원인분석!$C$9,"",IF(AND(M2292&gt;=원인분석!$C$10,M2292&lt;=원인분석!$C$11),"당기",IF(AND(M2292&gt;=원인분석!$C$12,M2292&lt;=원인분석!$C$13),"비교",""))))</f>
        <v/>
      </c>
      <c r="R2292" s="9">
        <f>IF(Q2292="","",$K2292&amp;"")</f>
        <v/>
      </c>
      <c r="S2292" s="9">
        <f>IF(Q2292="","",IF(MATCH(R2292,$R$5:$R$100000,0)=ROW()-4,ROW(),""))</f>
        <v/>
      </c>
      <c r="T2292" s="9">
        <f>IF(Q2292="당기",ABS(P2292)+ROW()/1000000000,"")</f>
        <v/>
      </c>
      <c r="U2292" s="9">
        <f>IF(Q2292="비교",ABS(P2292)+ROW()/1000000000,"")</f>
        <v/>
      </c>
      <c r="V2292" s="64">
        <f>IF($A2292="","",IF(COUNTIF(변동분석!$E$7:$E$506,O2292)&gt;0,"Y","N"))</f>
        <v/>
      </c>
      <c r="W2292" s="64">
        <f>IF($A2292="","",IFERROR(INDEX(계정매핑!$D$5:$D$504,MATCH($F2292&amp;"",계정매핑!$A$5:$A$504,0)),"미매핑"))</f>
        <v/>
      </c>
      <c r="X2292" s="9">
        <f>IF($A2292="","",$F2292&amp;"")</f>
        <v/>
      </c>
      <c r="Y2292" s="94">
        <f>IF($A2292="",0,IF(AE2292="직접",IF(AF2292="비귀속",$P2292,0),$P2292*(1-AG2292)*IFERROR(INDEX(계정대체기준!$F$20:$F$49,MATCH($N2292,계정대체기준!$A$20:$A$49,0)),1)))</f>
        <v/>
      </c>
      <c r="Z2292" s="94">
        <f>IF($A2292="",0,IF(AE2292="직접",IF(AF2292="신계약비",$P2292,0),$P2292*(1-AG2292)*IFERROR(INDEX(계정대체기준!$C$20:$C$49,MATCH($N2292,계정대체기준!$A$20:$A$49,0)),0)))</f>
        <v/>
      </c>
      <c r="AA2292" s="94">
        <f>IF($A2292="",0,IF(AE2292="직접",IF(OR(AF2292="유지비",AF2292="손해조사비"),$P2292,0),$P2292*(1-AG2292)*IFERROR(INDEX(계정대체기준!$D$20:$D$49,MATCH($N2292,계정대체기준!$A$20:$A$49,0)),0)))</f>
        <v/>
      </c>
      <c r="AB2292" s="94">
        <f>IF($A2292="",0,IF(AE2292="직접",IF(AF2292="수금비",$P2292,0),$P2292*(1-AG2292)*IFERROR(INDEX(계정대체기준!$E$20:$E$49,MATCH($N2292,계정대체기준!$A$20:$A$49,0)),0)))</f>
        <v/>
      </c>
      <c r="AC2292" s="9">
        <f>IF(AND($A2292&lt;&gt;"",M2292=설정!$C$20,Z2292&gt;0),Z2292+ROW()/1000000000,"")</f>
        <v/>
      </c>
      <c r="AD2292" s="94">
        <f>IF($A2292="",0,$P2292*AG2292)</f>
        <v/>
      </c>
      <c r="AE2292" s="64">
        <f>IF($A2292="","",IFERROR(INDEX(계정매핑!$E$5:$E$504,MATCH($F2292&amp;"",계정매핑!$A$5:$A$504,0))&amp;"","공통비"))</f>
        <v/>
      </c>
      <c r="AF2292" s="64">
        <f>IF($A2292="","",IF(AE2292="직접",IFERROR(INDEX(계정매핑!$F$5:$F$504,MATCH($F2292&amp;"",계정매핑!$A$5:$A$504,0))&amp;"","비귀속"),""))</f>
        <v/>
      </c>
      <c r="AG2292" s="96">
        <f>IF($A2292="",0,IF(AND(AE2292&lt;&gt;"직접",IFERROR(INDEX(계정매핑!$G$5:$G$504,MATCH($F2292&amp;"",계정매핑!$A$5:$A$504,0))&amp;"","")="유지비",COUNTIF(계정대체기준!$A$6:$A$15,$N2292)&gt;0),IFERROR(INDEX(계정대체기준!$E$6:$E$15,MATCH(VALUE($A2292&amp;""),계정대체기준!$D$6:$D$15,0)),0),0))</f>
        <v/>
      </c>
      <c r="AH2292" s="64">
        <f>IF($A2292="","",IF(AD2292=0,"",IF(OR(COUNTIF(계정대체기준!$A$77:$A$86,$N2292)&gt;0,ISNUMBER(MATCH($X2292,계정대체기준!$D$77:$D$86,0)),ISNUMBER(MATCH($F2292,계정대체기준!$D$77:$D$86,0))),"Y","N")))</f>
        <v/>
      </c>
    </row>
    <row r="2293">
      <c r="A2293" s="92" t="n">
        <v>2025</v>
      </c>
      <c r="B2293" s="92" t="n">
        <v>11</v>
      </c>
      <c r="C2293" s="92" t="inlineStr">
        <is>
          <t>5100002289</t>
        </is>
      </c>
      <c r="D2293" s="95" t="n">
        <v>45966</v>
      </c>
      <c r="E2293" s="92" t="inlineStr">
        <is>
          <t>KR</t>
        </is>
      </c>
      <c r="F2293" s="92" t="n">
        <v>62901000</v>
      </c>
      <c r="G2293" s="92" t="n">
        <v>1401</v>
      </c>
      <c r="H2293" s="93" t="n">
        <v>3985000</v>
      </c>
      <c r="I2293" s="92" t="inlineStr">
        <is>
          <t>11월 자문 수수료 - W컨설팅</t>
        </is>
      </c>
      <c r="J2293" s="92" t="inlineStr">
        <is>
          <t>V10006</t>
        </is>
      </c>
      <c r="K2293" s="92" t="inlineStr">
        <is>
          <t>W컨설팅</t>
        </is>
      </c>
      <c r="M2293" s="9">
        <f>IF($A2293="","",VALUE($A2293&amp;"")*12+VALUE($B2293&amp;""))</f>
        <v/>
      </c>
      <c r="N2293" s="64">
        <f>IF($A2293="","",IFERROR(INDEX(부서매핑!$C$5:$C$504,MATCH($G2293&amp;"",부서매핑!$A$5:$A$504,0)),"미매핑"))</f>
        <v/>
      </c>
      <c r="O2293" s="9">
        <f>IF($A2293="","",N2293&amp;"|"&amp;$F2293)</f>
        <v/>
      </c>
      <c r="P2293" s="94">
        <f>IF($A2293="",0,$H2293*설정!$C$23)</f>
        <v/>
      </c>
      <c r="Q2293" s="64">
        <f>IF($A2293="","",IF(O2293&lt;&gt;원인분석!$C$9,"",IF(AND(M2293&gt;=원인분석!$C$10,M2293&lt;=원인분석!$C$11),"당기",IF(AND(M2293&gt;=원인분석!$C$12,M2293&lt;=원인분석!$C$13),"비교",""))))</f>
        <v/>
      </c>
      <c r="R2293" s="9">
        <f>IF(Q2293="","",$K2293&amp;"")</f>
        <v/>
      </c>
      <c r="S2293" s="9">
        <f>IF(Q2293="","",IF(MATCH(R2293,$R$5:$R$100000,0)=ROW()-4,ROW(),""))</f>
        <v/>
      </c>
      <c r="T2293" s="9">
        <f>IF(Q2293="당기",ABS(P2293)+ROW()/1000000000,"")</f>
        <v/>
      </c>
      <c r="U2293" s="9">
        <f>IF(Q2293="비교",ABS(P2293)+ROW()/1000000000,"")</f>
        <v/>
      </c>
      <c r="V2293" s="64">
        <f>IF($A2293="","",IF(COUNTIF(변동분석!$E$7:$E$506,O2293)&gt;0,"Y","N"))</f>
        <v/>
      </c>
      <c r="W2293" s="64">
        <f>IF($A2293="","",IFERROR(INDEX(계정매핑!$D$5:$D$504,MATCH($F2293&amp;"",계정매핑!$A$5:$A$504,0)),"미매핑"))</f>
        <v/>
      </c>
      <c r="X2293" s="9">
        <f>IF($A2293="","",$F2293&amp;"")</f>
        <v/>
      </c>
      <c r="Y2293" s="94">
        <f>IF($A2293="",0,IF(AE2293="직접",IF(AF2293="비귀속",$P2293,0),$P2293*(1-AG2293)*IFERROR(INDEX(계정대체기준!$F$20:$F$49,MATCH($N2293,계정대체기준!$A$20:$A$49,0)),1)))</f>
        <v/>
      </c>
      <c r="Z2293" s="94">
        <f>IF($A2293="",0,IF(AE2293="직접",IF(AF2293="신계약비",$P2293,0),$P2293*(1-AG2293)*IFERROR(INDEX(계정대체기준!$C$20:$C$49,MATCH($N2293,계정대체기준!$A$20:$A$49,0)),0)))</f>
        <v/>
      </c>
      <c r="AA2293" s="94">
        <f>IF($A2293="",0,IF(AE2293="직접",IF(OR(AF2293="유지비",AF2293="손해조사비"),$P2293,0),$P2293*(1-AG2293)*IFERROR(INDEX(계정대체기준!$D$20:$D$49,MATCH($N2293,계정대체기준!$A$20:$A$49,0)),0)))</f>
        <v/>
      </c>
      <c r="AB2293" s="94">
        <f>IF($A2293="",0,IF(AE2293="직접",IF(AF2293="수금비",$P2293,0),$P2293*(1-AG2293)*IFERROR(INDEX(계정대체기준!$E$20:$E$49,MATCH($N2293,계정대체기준!$A$20:$A$49,0)),0)))</f>
        <v/>
      </c>
      <c r="AC2293" s="9">
        <f>IF(AND($A2293&lt;&gt;"",M2293=설정!$C$20,Z2293&gt;0),Z2293+ROW()/1000000000,"")</f>
        <v/>
      </c>
      <c r="AD2293" s="94">
        <f>IF($A2293="",0,$P2293*AG2293)</f>
        <v/>
      </c>
      <c r="AE2293" s="64">
        <f>IF($A2293="","",IFERROR(INDEX(계정매핑!$E$5:$E$504,MATCH($F2293&amp;"",계정매핑!$A$5:$A$504,0))&amp;"","공통비"))</f>
        <v/>
      </c>
      <c r="AF2293" s="64">
        <f>IF($A2293="","",IF(AE2293="직접",IFERROR(INDEX(계정매핑!$F$5:$F$504,MATCH($F2293&amp;"",계정매핑!$A$5:$A$504,0))&amp;"","비귀속"),""))</f>
        <v/>
      </c>
      <c r="AG2293" s="96">
        <f>IF($A2293="",0,IF(AND(AE2293&lt;&gt;"직접",IFERROR(INDEX(계정매핑!$G$5:$G$504,MATCH($F2293&amp;"",계정매핑!$A$5:$A$504,0))&amp;"","")="유지비",COUNTIF(계정대체기준!$A$6:$A$15,$N2293)&gt;0),IFERROR(INDEX(계정대체기준!$E$6:$E$15,MATCH(VALUE($A2293&amp;""),계정대체기준!$D$6:$D$15,0)),0),0))</f>
        <v/>
      </c>
      <c r="AH2293" s="64">
        <f>IF($A2293="","",IF(AD2293=0,"",IF(OR(COUNTIF(계정대체기준!$A$77:$A$86,$N2293)&gt;0,ISNUMBER(MATCH($X2293,계정대체기준!$D$77:$D$86,0)),ISNUMBER(MATCH($F2293,계정대체기준!$D$77:$D$86,0))),"Y","N")))</f>
        <v/>
      </c>
    </row>
    <row r="2294">
      <c r="A2294" s="92" t="n">
        <v>2025</v>
      </c>
      <c r="B2294" s="92" t="n">
        <v>11</v>
      </c>
      <c r="C2294" s="92" t="inlineStr">
        <is>
          <t>5100002290</t>
        </is>
      </c>
      <c r="D2294" s="95" t="n">
        <v>45966</v>
      </c>
      <c r="E2294" s="92" t="inlineStr">
        <is>
          <t>KR</t>
        </is>
      </c>
      <c r="F2294" s="92" t="n">
        <v>63001000</v>
      </c>
      <c r="G2294" s="92" t="n">
        <v>1951</v>
      </c>
      <c r="H2294" s="93" t="n">
        <v>3019000</v>
      </c>
      <c r="I2294" s="92" t="inlineStr">
        <is>
          <t>11월 SW 유지보수 - Z시스템</t>
        </is>
      </c>
      <c r="J2294" s="92" t="inlineStr">
        <is>
          <t>V10012</t>
        </is>
      </c>
      <c r="K2294" s="92" t="inlineStr">
        <is>
          <t>Z시스템</t>
        </is>
      </c>
      <c r="M2294" s="9">
        <f>IF($A2294="","",VALUE($A2294&amp;"")*12+VALUE($B2294&amp;""))</f>
        <v/>
      </c>
      <c r="N2294" s="64">
        <f>IF($A2294="","",IFERROR(INDEX(부서매핑!$C$5:$C$504,MATCH($G2294&amp;"",부서매핑!$A$5:$A$504,0)),"미매핑"))</f>
        <v/>
      </c>
      <c r="O2294" s="9">
        <f>IF($A2294="","",N2294&amp;"|"&amp;$F2294)</f>
        <v/>
      </c>
      <c r="P2294" s="94">
        <f>IF($A2294="",0,$H2294*설정!$C$23)</f>
        <v/>
      </c>
      <c r="Q2294" s="64">
        <f>IF($A2294="","",IF(O2294&lt;&gt;원인분석!$C$9,"",IF(AND(M2294&gt;=원인분석!$C$10,M2294&lt;=원인분석!$C$11),"당기",IF(AND(M2294&gt;=원인분석!$C$12,M2294&lt;=원인분석!$C$13),"비교",""))))</f>
        <v/>
      </c>
      <c r="R2294" s="9">
        <f>IF(Q2294="","",$K2294&amp;"")</f>
        <v/>
      </c>
      <c r="S2294" s="9">
        <f>IF(Q2294="","",IF(MATCH(R2294,$R$5:$R$100000,0)=ROW()-4,ROW(),""))</f>
        <v/>
      </c>
      <c r="T2294" s="9">
        <f>IF(Q2294="당기",ABS(P2294)+ROW()/1000000000,"")</f>
        <v/>
      </c>
      <c r="U2294" s="9">
        <f>IF(Q2294="비교",ABS(P2294)+ROW()/1000000000,"")</f>
        <v/>
      </c>
      <c r="V2294" s="64">
        <f>IF($A2294="","",IF(COUNTIF(변동분석!$E$7:$E$506,O2294)&gt;0,"Y","N"))</f>
        <v/>
      </c>
      <c r="W2294" s="64">
        <f>IF($A2294="","",IFERROR(INDEX(계정매핑!$D$5:$D$504,MATCH($F2294&amp;"",계정매핑!$A$5:$A$504,0)),"미매핑"))</f>
        <v/>
      </c>
      <c r="X2294" s="9">
        <f>IF($A2294="","",$F2294&amp;"")</f>
        <v/>
      </c>
      <c r="Y2294" s="94">
        <f>IF($A2294="",0,IF(AE2294="직접",IF(AF2294="비귀속",$P2294,0),$P2294*(1-AG2294)*IFERROR(INDEX(계정대체기준!$F$20:$F$49,MATCH($N2294,계정대체기준!$A$20:$A$49,0)),1)))</f>
        <v/>
      </c>
      <c r="Z2294" s="94">
        <f>IF($A2294="",0,IF(AE2294="직접",IF(AF2294="신계약비",$P2294,0),$P2294*(1-AG2294)*IFERROR(INDEX(계정대체기준!$C$20:$C$49,MATCH($N2294,계정대체기준!$A$20:$A$49,0)),0)))</f>
        <v/>
      </c>
      <c r="AA2294" s="94">
        <f>IF($A2294="",0,IF(AE2294="직접",IF(OR(AF2294="유지비",AF2294="손해조사비"),$P2294,0),$P2294*(1-AG2294)*IFERROR(INDEX(계정대체기준!$D$20:$D$49,MATCH($N2294,계정대체기준!$A$20:$A$49,0)),0)))</f>
        <v/>
      </c>
      <c r="AB2294" s="94">
        <f>IF($A2294="",0,IF(AE2294="직접",IF(AF2294="수금비",$P2294,0),$P2294*(1-AG2294)*IFERROR(INDEX(계정대체기준!$E$20:$E$49,MATCH($N2294,계정대체기준!$A$20:$A$49,0)),0)))</f>
        <v/>
      </c>
      <c r="AC2294" s="9">
        <f>IF(AND($A2294&lt;&gt;"",M2294=설정!$C$20,Z2294&gt;0),Z2294+ROW()/1000000000,"")</f>
        <v/>
      </c>
      <c r="AD2294" s="94">
        <f>IF($A2294="",0,$P2294*AG2294)</f>
        <v/>
      </c>
      <c r="AE2294" s="64">
        <f>IF($A2294="","",IFERROR(INDEX(계정매핑!$E$5:$E$504,MATCH($F2294&amp;"",계정매핑!$A$5:$A$504,0))&amp;"","공통비"))</f>
        <v/>
      </c>
      <c r="AF2294" s="64">
        <f>IF($A2294="","",IF(AE2294="직접",IFERROR(INDEX(계정매핑!$F$5:$F$504,MATCH($F2294&amp;"",계정매핑!$A$5:$A$504,0))&amp;"","비귀속"),""))</f>
        <v/>
      </c>
      <c r="AG2294" s="96">
        <f>IF($A2294="",0,IF(AND(AE2294&lt;&gt;"직접",IFERROR(INDEX(계정매핑!$G$5:$G$504,MATCH($F2294&amp;"",계정매핑!$A$5:$A$504,0))&amp;"","")="유지비",COUNTIF(계정대체기준!$A$6:$A$15,$N2294)&gt;0),IFERROR(INDEX(계정대체기준!$E$6:$E$15,MATCH(VALUE($A2294&amp;""),계정대체기준!$D$6:$D$15,0)),0),0))</f>
        <v/>
      </c>
      <c r="AH2294" s="64">
        <f>IF($A2294="","",IF(AD2294=0,"",IF(OR(COUNTIF(계정대체기준!$A$77:$A$86,$N2294)&gt;0,ISNUMBER(MATCH($X2294,계정대체기준!$D$77:$D$86,0)),ISNUMBER(MATCH($F2294,계정대체기준!$D$77:$D$86,0))),"Y","N")))</f>
        <v/>
      </c>
    </row>
    <row r="2295">
      <c r="A2295" s="92" t="n">
        <v>2025</v>
      </c>
      <c r="B2295" s="92" t="n">
        <v>11</v>
      </c>
      <c r="C2295" s="92" t="inlineStr">
        <is>
          <t>5100002291</t>
        </is>
      </c>
      <c r="D2295" s="95" t="n">
        <v>45966</v>
      </c>
      <c r="E2295" s="92" t="inlineStr">
        <is>
          <t>KR</t>
        </is>
      </c>
      <c r="F2295" s="92" t="n">
        <v>63601000</v>
      </c>
      <c r="G2295" s="92" t="n">
        <v>1801</v>
      </c>
      <c r="H2295" s="93" t="n">
        <v>11677000</v>
      </c>
      <c r="I2295" s="92" t="inlineStr">
        <is>
          <t>11월 손해사정 수수료 - EE손해사정</t>
        </is>
      </c>
      <c r="J2295" s="92" t="inlineStr">
        <is>
          <t>V10008</t>
        </is>
      </c>
      <c r="K2295" s="92" t="inlineStr">
        <is>
          <t>EE손해사정</t>
        </is>
      </c>
      <c r="M2295" s="9">
        <f>IF($A2295="","",VALUE($A2295&amp;"")*12+VALUE($B2295&amp;""))</f>
        <v/>
      </c>
      <c r="N2295" s="64">
        <f>IF($A2295="","",IFERROR(INDEX(부서매핑!$C$5:$C$504,MATCH($G2295&amp;"",부서매핑!$A$5:$A$504,0)),"미매핑"))</f>
        <v/>
      </c>
      <c r="O2295" s="9">
        <f>IF($A2295="","",N2295&amp;"|"&amp;$F2295)</f>
        <v/>
      </c>
      <c r="P2295" s="94">
        <f>IF($A2295="",0,$H2295*설정!$C$23)</f>
        <v/>
      </c>
      <c r="Q2295" s="64">
        <f>IF($A2295="","",IF(O2295&lt;&gt;원인분석!$C$9,"",IF(AND(M2295&gt;=원인분석!$C$10,M2295&lt;=원인분석!$C$11),"당기",IF(AND(M2295&gt;=원인분석!$C$12,M2295&lt;=원인분석!$C$13),"비교",""))))</f>
        <v/>
      </c>
      <c r="R2295" s="9">
        <f>IF(Q2295="","",$K2295&amp;"")</f>
        <v/>
      </c>
      <c r="S2295" s="9">
        <f>IF(Q2295="","",IF(MATCH(R2295,$R$5:$R$100000,0)=ROW()-4,ROW(),""))</f>
        <v/>
      </c>
      <c r="T2295" s="9">
        <f>IF(Q2295="당기",ABS(P2295)+ROW()/1000000000,"")</f>
        <v/>
      </c>
      <c r="U2295" s="9">
        <f>IF(Q2295="비교",ABS(P2295)+ROW()/1000000000,"")</f>
        <v/>
      </c>
      <c r="V2295" s="64">
        <f>IF($A2295="","",IF(COUNTIF(변동분석!$E$7:$E$506,O2295)&gt;0,"Y","N"))</f>
        <v/>
      </c>
      <c r="W2295" s="64">
        <f>IF($A2295="","",IFERROR(INDEX(계정매핑!$D$5:$D$504,MATCH($F2295&amp;"",계정매핑!$A$5:$A$504,0)),"미매핑"))</f>
        <v/>
      </c>
      <c r="X2295" s="9">
        <f>IF($A2295="","",$F2295&amp;"")</f>
        <v/>
      </c>
      <c r="Y2295" s="94">
        <f>IF($A2295="",0,IF(AE2295="직접",IF(AF2295="비귀속",$P2295,0),$P2295*(1-AG2295)*IFERROR(INDEX(계정대체기준!$F$20:$F$49,MATCH($N2295,계정대체기준!$A$20:$A$49,0)),1)))</f>
        <v/>
      </c>
      <c r="Z2295" s="94">
        <f>IF($A2295="",0,IF(AE2295="직접",IF(AF2295="신계약비",$P2295,0),$P2295*(1-AG2295)*IFERROR(INDEX(계정대체기준!$C$20:$C$49,MATCH($N2295,계정대체기준!$A$20:$A$49,0)),0)))</f>
        <v/>
      </c>
      <c r="AA2295" s="94">
        <f>IF($A2295="",0,IF(AE2295="직접",IF(OR(AF2295="유지비",AF2295="손해조사비"),$P2295,0),$P2295*(1-AG2295)*IFERROR(INDEX(계정대체기준!$D$20:$D$49,MATCH($N2295,계정대체기준!$A$20:$A$49,0)),0)))</f>
        <v/>
      </c>
      <c r="AB2295" s="94">
        <f>IF($A2295="",0,IF(AE2295="직접",IF(AF2295="수금비",$P2295,0),$P2295*(1-AG2295)*IFERROR(INDEX(계정대체기준!$E$20:$E$49,MATCH($N2295,계정대체기준!$A$20:$A$49,0)),0)))</f>
        <v/>
      </c>
      <c r="AC2295" s="9">
        <f>IF(AND($A2295&lt;&gt;"",M2295=설정!$C$20,Z2295&gt;0),Z2295+ROW()/1000000000,"")</f>
        <v/>
      </c>
      <c r="AD2295" s="94">
        <f>IF($A2295="",0,$P2295*AG2295)</f>
        <v/>
      </c>
      <c r="AE2295" s="64">
        <f>IF($A2295="","",IFERROR(INDEX(계정매핑!$E$5:$E$504,MATCH($F2295&amp;"",계정매핑!$A$5:$A$504,0))&amp;"","공통비"))</f>
        <v/>
      </c>
      <c r="AF2295" s="64">
        <f>IF($A2295="","",IF(AE2295="직접",IFERROR(INDEX(계정매핑!$F$5:$F$504,MATCH($F2295&amp;"",계정매핑!$A$5:$A$504,0))&amp;"","비귀속"),""))</f>
        <v/>
      </c>
      <c r="AG2295" s="96">
        <f>IF($A2295="",0,IF(AND(AE2295&lt;&gt;"직접",IFERROR(INDEX(계정매핑!$G$5:$G$504,MATCH($F2295&amp;"",계정매핑!$A$5:$A$504,0))&amp;"","")="유지비",COUNTIF(계정대체기준!$A$6:$A$15,$N2295)&gt;0),IFERROR(INDEX(계정대체기준!$E$6:$E$15,MATCH(VALUE($A2295&amp;""),계정대체기준!$D$6:$D$15,0)),0),0))</f>
        <v/>
      </c>
      <c r="AH2295" s="64">
        <f>IF($A2295="","",IF(AD2295=0,"",IF(OR(COUNTIF(계정대체기준!$A$77:$A$86,$N2295)&gt;0,ISNUMBER(MATCH($X2295,계정대체기준!$D$77:$D$86,0)),ISNUMBER(MATCH($F2295,계정대체기준!$D$77:$D$86,0))),"Y","N")))</f>
        <v/>
      </c>
    </row>
    <row r="2296">
      <c r="A2296" s="92" t="n">
        <v>2025</v>
      </c>
      <c r="B2296" s="92" t="n">
        <v>11</v>
      </c>
      <c r="C2296" s="92" t="inlineStr">
        <is>
          <t>5100002292</t>
        </is>
      </c>
      <c r="D2296" s="95" t="n">
        <v>45967</v>
      </c>
      <c r="E2296" s="92" t="inlineStr">
        <is>
          <t>KR</t>
        </is>
      </c>
      <c r="F2296" s="92" t="n">
        <v>62101000</v>
      </c>
      <c r="G2296" s="92" t="n">
        <v>1801</v>
      </c>
      <c r="H2296" s="93" t="n">
        <v>104000</v>
      </c>
      <c r="I2296" s="92" t="inlineStr">
        <is>
          <t>11월 국내출장 - (법인카드)</t>
        </is>
      </c>
      <c r="J2296" s="92" t="inlineStr">
        <is>
          <t>V10010</t>
        </is>
      </c>
      <c r="K2296" s="92" t="inlineStr">
        <is>
          <t>(법인카드)</t>
        </is>
      </c>
      <c r="M2296" s="9">
        <f>IF($A2296="","",VALUE($A2296&amp;"")*12+VALUE($B2296&amp;""))</f>
        <v/>
      </c>
      <c r="N2296" s="64">
        <f>IF($A2296="","",IFERROR(INDEX(부서매핑!$C$5:$C$504,MATCH($G2296&amp;"",부서매핑!$A$5:$A$504,0)),"미매핑"))</f>
        <v/>
      </c>
      <c r="O2296" s="9">
        <f>IF($A2296="","",N2296&amp;"|"&amp;$F2296)</f>
        <v/>
      </c>
      <c r="P2296" s="94">
        <f>IF($A2296="",0,$H2296*설정!$C$23)</f>
        <v/>
      </c>
      <c r="Q2296" s="64">
        <f>IF($A2296="","",IF(O2296&lt;&gt;원인분석!$C$9,"",IF(AND(M2296&gt;=원인분석!$C$10,M2296&lt;=원인분석!$C$11),"당기",IF(AND(M2296&gt;=원인분석!$C$12,M2296&lt;=원인분석!$C$13),"비교",""))))</f>
        <v/>
      </c>
      <c r="R2296" s="9">
        <f>IF(Q2296="","",$K2296&amp;"")</f>
        <v/>
      </c>
      <c r="S2296" s="9">
        <f>IF(Q2296="","",IF(MATCH(R2296,$R$5:$R$100000,0)=ROW()-4,ROW(),""))</f>
        <v/>
      </c>
      <c r="T2296" s="9">
        <f>IF(Q2296="당기",ABS(P2296)+ROW()/1000000000,"")</f>
        <v/>
      </c>
      <c r="U2296" s="9">
        <f>IF(Q2296="비교",ABS(P2296)+ROW()/1000000000,"")</f>
        <v/>
      </c>
      <c r="V2296" s="64">
        <f>IF($A2296="","",IF(COUNTIF(변동분석!$E$7:$E$506,O2296)&gt;0,"Y","N"))</f>
        <v/>
      </c>
      <c r="W2296" s="64">
        <f>IF($A2296="","",IFERROR(INDEX(계정매핑!$D$5:$D$504,MATCH($F2296&amp;"",계정매핑!$A$5:$A$504,0)),"미매핑"))</f>
        <v/>
      </c>
      <c r="X2296" s="9">
        <f>IF($A2296="","",$F2296&amp;"")</f>
        <v/>
      </c>
      <c r="Y2296" s="94">
        <f>IF($A2296="",0,IF(AE2296="직접",IF(AF2296="비귀속",$P2296,0),$P2296*(1-AG2296)*IFERROR(INDEX(계정대체기준!$F$20:$F$49,MATCH($N2296,계정대체기준!$A$20:$A$49,0)),1)))</f>
        <v/>
      </c>
      <c r="Z2296" s="94">
        <f>IF($A2296="",0,IF(AE2296="직접",IF(AF2296="신계약비",$P2296,0),$P2296*(1-AG2296)*IFERROR(INDEX(계정대체기준!$C$20:$C$49,MATCH($N2296,계정대체기준!$A$20:$A$49,0)),0)))</f>
        <v/>
      </c>
      <c r="AA2296" s="94">
        <f>IF($A2296="",0,IF(AE2296="직접",IF(OR(AF2296="유지비",AF2296="손해조사비"),$P2296,0),$P2296*(1-AG2296)*IFERROR(INDEX(계정대체기준!$D$20:$D$49,MATCH($N2296,계정대체기준!$A$20:$A$49,0)),0)))</f>
        <v/>
      </c>
      <c r="AB2296" s="94">
        <f>IF($A2296="",0,IF(AE2296="직접",IF(AF2296="수금비",$P2296,0),$P2296*(1-AG2296)*IFERROR(INDEX(계정대체기준!$E$20:$E$49,MATCH($N2296,계정대체기준!$A$20:$A$49,0)),0)))</f>
        <v/>
      </c>
      <c r="AC2296" s="9">
        <f>IF(AND($A2296&lt;&gt;"",M2296=설정!$C$20,Z2296&gt;0),Z2296+ROW()/1000000000,"")</f>
        <v/>
      </c>
      <c r="AD2296" s="94">
        <f>IF($A2296="",0,$P2296*AG2296)</f>
        <v/>
      </c>
      <c r="AE2296" s="64">
        <f>IF($A2296="","",IFERROR(INDEX(계정매핑!$E$5:$E$504,MATCH($F2296&amp;"",계정매핑!$A$5:$A$504,0))&amp;"","공통비"))</f>
        <v/>
      </c>
      <c r="AF2296" s="64">
        <f>IF($A2296="","",IF(AE2296="직접",IFERROR(INDEX(계정매핑!$F$5:$F$504,MATCH($F2296&amp;"",계정매핑!$A$5:$A$504,0))&amp;"","비귀속"),""))</f>
        <v/>
      </c>
      <c r="AG2296" s="96">
        <f>IF($A2296="",0,IF(AND(AE2296&lt;&gt;"직접",IFERROR(INDEX(계정매핑!$G$5:$G$504,MATCH($F2296&amp;"",계정매핑!$A$5:$A$504,0))&amp;"","")="유지비",COUNTIF(계정대체기준!$A$6:$A$15,$N2296)&gt;0),IFERROR(INDEX(계정대체기준!$E$6:$E$15,MATCH(VALUE($A2296&amp;""),계정대체기준!$D$6:$D$15,0)),0),0))</f>
        <v/>
      </c>
      <c r="AH2296" s="64">
        <f>IF($A2296="","",IF(AD2296=0,"",IF(OR(COUNTIF(계정대체기준!$A$77:$A$86,$N2296)&gt;0,ISNUMBER(MATCH($X2296,계정대체기준!$D$77:$D$86,0)),ISNUMBER(MATCH($F2296,계정대체기준!$D$77:$D$86,0))),"Y","N")))</f>
        <v/>
      </c>
    </row>
    <row r="2297">
      <c r="A2297" s="92" t="n">
        <v>2025</v>
      </c>
      <c r="B2297" s="92" t="n">
        <v>11</v>
      </c>
      <c r="C2297" s="92" t="inlineStr">
        <is>
          <t>5100002293</t>
        </is>
      </c>
      <c r="D2297" s="95" t="n">
        <v>45967</v>
      </c>
      <c r="E2297" s="92" t="inlineStr">
        <is>
          <t>KR</t>
        </is>
      </c>
      <c r="F2297" s="92" t="n">
        <v>62101000</v>
      </c>
      <c r="G2297" s="92" t="n">
        <v>1951</v>
      </c>
      <c r="H2297" s="93" t="n">
        <v>355000</v>
      </c>
      <c r="I2297" s="92" t="inlineStr">
        <is>
          <t>11월 국내출장 - (법인카드)</t>
        </is>
      </c>
      <c r="J2297" s="92" t="inlineStr">
        <is>
          <t>V10010</t>
        </is>
      </c>
      <c r="K2297" s="92" t="inlineStr">
        <is>
          <t>(법인카드)</t>
        </is>
      </c>
      <c r="M2297" s="9">
        <f>IF($A2297="","",VALUE($A2297&amp;"")*12+VALUE($B2297&amp;""))</f>
        <v/>
      </c>
      <c r="N2297" s="64">
        <f>IF($A2297="","",IFERROR(INDEX(부서매핑!$C$5:$C$504,MATCH($G2297&amp;"",부서매핑!$A$5:$A$504,0)),"미매핑"))</f>
        <v/>
      </c>
      <c r="O2297" s="9">
        <f>IF($A2297="","",N2297&amp;"|"&amp;$F2297)</f>
        <v/>
      </c>
      <c r="P2297" s="94">
        <f>IF($A2297="",0,$H2297*설정!$C$23)</f>
        <v/>
      </c>
      <c r="Q2297" s="64">
        <f>IF($A2297="","",IF(O2297&lt;&gt;원인분석!$C$9,"",IF(AND(M2297&gt;=원인분석!$C$10,M2297&lt;=원인분석!$C$11),"당기",IF(AND(M2297&gt;=원인분석!$C$12,M2297&lt;=원인분석!$C$13),"비교",""))))</f>
        <v/>
      </c>
      <c r="R2297" s="9">
        <f>IF(Q2297="","",$K2297&amp;"")</f>
        <v/>
      </c>
      <c r="S2297" s="9">
        <f>IF(Q2297="","",IF(MATCH(R2297,$R$5:$R$100000,0)=ROW()-4,ROW(),""))</f>
        <v/>
      </c>
      <c r="T2297" s="9">
        <f>IF(Q2297="당기",ABS(P2297)+ROW()/1000000000,"")</f>
        <v/>
      </c>
      <c r="U2297" s="9">
        <f>IF(Q2297="비교",ABS(P2297)+ROW()/1000000000,"")</f>
        <v/>
      </c>
      <c r="V2297" s="64">
        <f>IF($A2297="","",IF(COUNTIF(변동분석!$E$7:$E$506,O2297)&gt;0,"Y","N"))</f>
        <v/>
      </c>
      <c r="W2297" s="64">
        <f>IF($A2297="","",IFERROR(INDEX(계정매핑!$D$5:$D$504,MATCH($F2297&amp;"",계정매핑!$A$5:$A$504,0)),"미매핑"))</f>
        <v/>
      </c>
      <c r="X2297" s="9">
        <f>IF($A2297="","",$F2297&amp;"")</f>
        <v/>
      </c>
      <c r="Y2297" s="94">
        <f>IF($A2297="",0,IF(AE2297="직접",IF(AF2297="비귀속",$P2297,0),$P2297*(1-AG2297)*IFERROR(INDEX(계정대체기준!$F$20:$F$49,MATCH($N2297,계정대체기준!$A$20:$A$49,0)),1)))</f>
        <v/>
      </c>
      <c r="Z2297" s="94">
        <f>IF($A2297="",0,IF(AE2297="직접",IF(AF2297="신계약비",$P2297,0),$P2297*(1-AG2297)*IFERROR(INDEX(계정대체기준!$C$20:$C$49,MATCH($N2297,계정대체기준!$A$20:$A$49,0)),0)))</f>
        <v/>
      </c>
      <c r="AA2297" s="94">
        <f>IF($A2297="",0,IF(AE2297="직접",IF(OR(AF2297="유지비",AF2297="손해조사비"),$P2297,0),$P2297*(1-AG2297)*IFERROR(INDEX(계정대체기준!$D$20:$D$49,MATCH($N2297,계정대체기준!$A$20:$A$49,0)),0)))</f>
        <v/>
      </c>
      <c r="AB2297" s="94">
        <f>IF($A2297="",0,IF(AE2297="직접",IF(AF2297="수금비",$P2297,0),$P2297*(1-AG2297)*IFERROR(INDEX(계정대체기준!$E$20:$E$49,MATCH($N2297,계정대체기준!$A$20:$A$49,0)),0)))</f>
        <v/>
      </c>
      <c r="AC2297" s="9">
        <f>IF(AND($A2297&lt;&gt;"",M2297=설정!$C$20,Z2297&gt;0),Z2297+ROW()/1000000000,"")</f>
        <v/>
      </c>
      <c r="AD2297" s="94">
        <f>IF($A2297="",0,$P2297*AG2297)</f>
        <v/>
      </c>
      <c r="AE2297" s="64">
        <f>IF($A2297="","",IFERROR(INDEX(계정매핑!$E$5:$E$504,MATCH($F2297&amp;"",계정매핑!$A$5:$A$504,0))&amp;"","공통비"))</f>
        <v/>
      </c>
      <c r="AF2297" s="64">
        <f>IF($A2297="","",IF(AE2297="직접",IFERROR(INDEX(계정매핑!$F$5:$F$504,MATCH($F2297&amp;"",계정매핑!$A$5:$A$504,0))&amp;"","비귀속"),""))</f>
        <v/>
      </c>
      <c r="AG2297" s="96">
        <f>IF($A2297="",0,IF(AND(AE2297&lt;&gt;"직접",IFERROR(INDEX(계정매핑!$G$5:$G$504,MATCH($F2297&amp;"",계정매핑!$A$5:$A$504,0))&amp;"","")="유지비",COUNTIF(계정대체기준!$A$6:$A$15,$N2297)&gt;0),IFERROR(INDEX(계정대체기준!$E$6:$E$15,MATCH(VALUE($A2297&amp;""),계정대체기준!$D$6:$D$15,0)),0),0))</f>
        <v/>
      </c>
      <c r="AH2297" s="64">
        <f>IF($A2297="","",IF(AD2297=0,"",IF(OR(COUNTIF(계정대체기준!$A$77:$A$86,$N2297)&gt;0,ISNUMBER(MATCH($X2297,계정대체기준!$D$77:$D$86,0)),ISNUMBER(MATCH($F2297,계정대체기준!$D$77:$D$86,0))),"Y","N")))</f>
        <v/>
      </c>
    </row>
    <row r="2298">
      <c r="A2298" s="92" t="n">
        <v>2025</v>
      </c>
      <c r="B2298" s="92" t="n">
        <v>11</v>
      </c>
      <c r="C2298" s="92" t="inlineStr">
        <is>
          <t>5100002294</t>
        </is>
      </c>
      <c r="D2298" s="95" t="n">
        <v>45967</v>
      </c>
      <c r="E2298" s="92" t="inlineStr">
        <is>
          <t>KR</t>
        </is>
      </c>
      <c r="F2298" s="92" t="n">
        <v>62301000</v>
      </c>
      <c r="G2298" s="92" t="n">
        <v>1701</v>
      </c>
      <c r="H2298" s="93" t="n">
        <v>335000</v>
      </c>
      <c r="I2298" s="92" t="inlineStr">
        <is>
          <t>11월 소모품 구입 - R문구</t>
        </is>
      </c>
      <c r="J2298" s="92" t="inlineStr">
        <is>
          <t>V10022</t>
        </is>
      </c>
      <c r="K2298" s="92" t="inlineStr">
        <is>
          <t>R문구</t>
        </is>
      </c>
      <c r="M2298" s="9">
        <f>IF($A2298="","",VALUE($A2298&amp;"")*12+VALUE($B2298&amp;""))</f>
        <v/>
      </c>
      <c r="N2298" s="64">
        <f>IF($A2298="","",IFERROR(INDEX(부서매핑!$C$5:$C$504,MATCH($G2298&amp;"",부서매핑!$A$5:$A$504,0)),"미매핑"))</f>
        <v/>
      </c>
      <c r="O2298" s="9">
        <f>IF($A2298="","",N2298&amp;"|"&amp;$F2298)</f>
        <v/>
      </c>
      <c r="P2298" s="94">
        <f>IF($A2298="",0,$H2298*설정!$C$23)</f>
        <v/>
      </c>
      <c r="Q2298" s="64">
        <f>IF($A2298="","",IF(O2298&lt;&gt;원인분석!$C$9,"",IF(AND(M2298&gt;=원인분석!$C$10,M2298&lt;=원인분석!$C$11),"당기",IF(AND(M2298&gt;=원인분석!$C$12,M2298&lt;=원인분석!$C$13),"비교",""))))</f>
        <v/>
      </c>
      <c r="R2298" s="9">
        <f>IF(Q2298="","",$K2298&amp;"")</f>
        <v/>
      </c>
      <c r="S2298" s="9">
        <f>IF(Q2298="","",IF(MATCH(R2298,$R$5:$R$100000,0)=ROW()-4,ROW(),""))</f>
        <v/>
      </c>
      <c r="T2298" s="9">
        <f>IF(Q2298="당기",ABS(P2298)+ROW()/1000000000,"")</f>
        <v/>
      </c>
      <c r="U2298" s="9">
        <f>IF(Q2298="비교",ABS(P2298)+ROW()/1000000000,"")</f>
        <v/>
      </c>
      <c r="V2298" s="64">
        <f>IF($A2298="","",IF(COUNTIF(변동분석!$E$7:$E$506,O2298)&gt;0,"Y","N"))</f>
        <v/>
      </c>
      <c r="W2298" s="64">
        <f>IF($A2298="","",IFERROR(INDEX(계정매핑!$D$5:$D$504,MATCH($F2298&amp;"",계정매핑!$A$5:$A$504,0)),"미매핑"))</f>
        <v/>
      </c>
      <c r="X2298" s="9">
        <f>IF($A2298="","",$F2298&amp;"")</f>
        <v/>
      </c>
      <c r="Y2298" s="94">
        <f>IF($A2298="",0,IF(AE2298="직접",IF(AF2298="비귀속",$P2298,0),$P2298*(1-AG2298)*IFERROR(INDEX(계정대체기준!$F$20:$F$49,MATCH($N2298,계정대체기준!$A$20:$A$49,0)),1)))</f>
        <v/>
      </c>
      <c r="Z2298" s="94">
        <f>IF($A2298="",0,IF(AE2298="직접",IF(AF2298="신계약비",$P2298,0),$P2298*(1-AG2298)*IFERROR(INDEX(계정대체기준!$C$20:$C$49,MATCH($N2298,계정대체기준!$A$20:$A$49,0)),0)))</f>
        <v/>
      </c>
      <c r="AA2298" s="94">
        <f>IF($A2298="",0,IF(AE2298="직접",IF(OR(AF2298="유지비",AF2298="손해조사비"),$P2298,0),$P2298*(1-AG2298)*IFERROR(INDEX(계정대체기준!$D$20:$D$49,MATCH($N2298,계정대체기준!$A$20:$A$49,0)),0)))</f>
        <v/>
      </c>
      <c r="AB2298" s="94">
        <f>IF($A2298="",0,IF(AE2298="직접",IF(AF2298="수금비",$P2298,0),$P2298*(1-AG2298)*IFERROR(INDEX(계정대체기준!$E$20:$E$49,MATCH($N2298,계정대체기준!$A$20:$A$49,0)),0)))</f>
        <v/>
      </c>
      <c r="AC2298" s="9">
        <f>IF(AND($A2298&lt;&gt;"",M2298=설정!$C$20,Z2298&gt;0),Z2298+ROW()/1000000000,"")</f>
        <v/>
      </c>
      <c r="AD2298" s="94">
        <f>IF($A2298="",0,$P2298*AG2298)</f>
        <v/>
      </c>
      <c r="AE2298" s="64">
        <f>IF($A2298="","",IFERROR(INDEX(계정매핑!$E$5:$E$504,MATCH($F2298&amp;"",계정매핑!$A$5:$A$504,0))&amp;"","공통비"))</f>
        <v/>
      </c>
      <c r="AF2298" s="64">
        <f>IF($A2298="","",IF(AE2298="직접",IFERROR(INDEX(계정매핑!$F$5:$F$504,MATCH($F2298&amp;"",계정매핑!$A$5:$A$504,0))&amp;"","비귀속"),""))</f>
        <v/>
      </c>
      <c r="AG2298" s="96">
        <f>IF($A2298="",0,IF(AND(AE2298&lt;&gt;"직접",IFERROR(INDEX(계정매핑!$G$5:$G$504,MATCH($F2298&amp;"",계정매핑!$A$5:$A$504,0))&amp;"","")="유지비",COUNTIF(계정대체기준!$A$6:$A$15,$N2298)&gt;0),IFERROR(INDEX(계정대체기준!$E$6:$E$15,MATCH(VALUE($A2298&amp;""),계정대체기준!$D$6:$D$15,0)),0),0))</f>
        <v/>
      </c>
      <c r="AH2298" s="64">
        <f>IF($A2298="","",IF(AD2298=0,"",IF(OR(COUNTIF(계정대체기준!$A$77:$A$86,$N2298)&gt;0,ISNUMBER(MATCH($X2298,계정대체기준!$D$77:$D$86,0)),ISNUMBER(MATCH($F2298,계정대체기준!$D$77:$D$86,0))),"Y","N")))</f>
        <v/>
      </c>
    </row>
    <row r="2299">
      <c r="A2299" s="92" t="n">
        <v>2025</v>
      </c>
      <c r="B2299" s="92" t="n">
        <v>11</v>
      </c>
      <c r="C2299" s="92" t="inlineStr">
        <is>
          <t>5100002295</t>
        </is>
      </c>
      <c r="D2299" s="95" t="n">
        <v>45967</v>
      </c>
      <c r="E2299" s="92" t="inlineStr">
        <is>
          <t>KR</t>
        </is>
      </c>
      <c r="F2299" s="92" t="n">
        <v>62401000</v>
      </c>
      <c r="G2299" s="92" t="n">
        <v>1401</v>
      </c>
      <c r="H2299" s="93" t="n">
        <v>213000</v>
      </c>
      <c r="I2299" s="92" t="inlineStr">
        <is>
          <t>11월 인쇄물 제작 - G인쇄</t>
        </is>
      </c>
      <c r="J2299" s="92" t="inlineStr">
        <is>
          <t>V10004</t>
        </is>
      </c>
      <c r="K2299" s="92" t="inlineStr">
        <is>
          <t>G인쇄</t>
        </is>
      </c>
      <c r="M2299" s="9">
        <f>IF($A2299="","",VALUE($A2299&amp;"")*12+VALUE($B2299&amp;""))</f>
        <v/>
      </c>
      <c r="N2299" s="64">
        <f>IF($A2299="","",IFERROR(INDEX(부서매핑!$C$5:$C$504,MATCH($G2299&amp;"",부서매핑!$A$5:$A$504,0)),"미매핑"))</f>
        <v/>
      </c>
      <c r="O2299" s="9">
        <f>IF($A2299="","",N2299&amp;"|"&amp;$F2299)</f>
        <v/>
      </c>
      <c r="P2299" s="94">
        <f>IF($A2299="",0,$H2299*설정!$C$23)</f>
        <v/>
      </c>
      <c r="Q2299" s="64">
        <f>IF($A2299="","",IF(O2299&lt;&gt;원인분석!$C$9,"",IF(AND(M2299&gt;=원인분석!$C$10,M2299&lt;=원인분석!$C$11),"당기",IF(AND(M2299&gt;=원인분석!$C$12,M2299&lt;=원인분석!$C$13),"비교",""))))</f>
        <v/>
      </c>
      <c r="R2299" s="9">
        <f>IF(Q2299="","",$K2299&amp;"")</f>
        <v/>
      </c>
      <c r="S2299" s="9">
        <f>IF(Q2299="","",IF(MATCH(R2299,$R$5:$R$100000,0)=ROW()-4,ROW(),""))</f>
        <v/>
      </c>
      <c r="T2299" s="9">
        <f>IF(Q2299="당기",ABS(P2299)+ROW()/1000000000,"")</f>
        <v/>
      </c>
      <c r="U2299" s="9">
        <f>IF(Q2299="비교",ABS(P2299)+ROW()/1000000000,"")</f>
        <v/>
      </c>
      <c r="V2299" s="64">
        <f>IF($A2299="","",IF(COUNTIF(변동분석!$E$7:$E$506,O2299)&gt;0,"Y","N"))</f>
        <v/>
      </c>
      <c r="W2299" s="64">
        <f>IF($A2299="","",IFERROR(INDEX(계정매핑!$D$5:$D$504,MATCH($F2299&amp;"",계정매핑!$A$5:$A$504,0)),"미매핑"))</f>
        <v/>
      </c>
      <c r="X2299" s="9">
        <f>IF($A2299="","",$F2299&amp;"")</f>
        <v/>
      </c>
      <c r="Y2299" s="94">
        <f>IF($A2299="",0,IF(AE2299="직접",IF(AF2299="비귀속",$P2299,0),$P2299*(1-AG2299)*IFERROR(INDEX(계정대체기준!$F$20:$F$49,MATCH($N2299,계정대체기준!$A$20:$A$49,0)),1)))</f>
        <v/>
      </c>
      <c r="Z2299" s="94">
        <f>IF($A2299="",0,IF(AE2299="직접",IF(AF2299="신계약비",$P2299,0),$P2299*(1-AG2299)*IFERROR(INDEX(계정대체기준!$C$20:$C$49,MATCH($N2299,계정대체기준!$A$20:$A$49,0)),0)))</f>
        <v/>
      </c>
      <c r="AA2299" s="94">
        <f>IF($A2299="",0,IF(AE2299="직접",IF(OR(AF2299="유지비",AF2299="손해조사비"),$P2299,0),$P2299*(1-AG2299)*IFERROR(INDEX(계정대체기준!$D$20:$D$49,MATCH($N2299,계정대체기준!$A$20:$A$49,0)),0)))</f>
        <v/>
      </c>
      <c r="AB2299" s="94">
        <f>IF($A2299="",0,IF(AE2299="직접",IF(AF2299="수금비",$P2299,0),$P2299*(1-AG2299)*IFERROR(INDEX(계정대체기준!$E$20:$E$49,MATCH($N2299,계정대체기준!$A$20:$A$49,0)),0)))</f>
        <v/>
      </c>
      <c r="AC2299" s="9">
        <f>IF(AND($A2299&lt;&gt;"",M2299=설정!$C$20,Z2299&gt;0),Z2299+ROW()/1000000000,"")</f>
        <v/>
      </c>
      <c r="AD2299" s="94">
        <f>IF($A2299="",0,$P2299*AG2299)</f>
        <v/>
      </c>
      <c r="AE2299" s="64">
        <f>IF($A2299="","",IFERROR(INDEX(계정매핑!$E$5:$E$504,MATCH($F2299&amp;"",계정매핑!$A$5:$A$504,0))&amp;"","공통비"))</f>
        <v/>
      </c>
      <c r="AF2299" s="64">
        <f>IF($A2299="","",IF(AE2299="직접",IFERROR(INDEX(계정매핑!$F$5:$F$504,MATCH($F2299&amp;"",계정매핑!$A$5:$A$504,0))&amp;"","비귀속"),""))</f>
        <v/>
      </c>
      <c r="AG2299" s="96">
        <f>IF($A2299="",0,IF(AND(AE2299&lt;&gt;"직접",IFERROR(INDEX(계정매핑!$G$5:$G$504,MATCH($F2299&amp;"",계정매핑!$A$5:$A$504,0))&amp;"","")="유지비",COUNTIF(계정대체기준!$A$6:$A$15,$N2299)&gt;0),IFERROR(INDEX(계정대체기준!$E$6:$E$15,MATCH(VALUE($A2299&amp;""),계정대체기준!$D$6:$D$15,0)),0),0))</f>
        <v/>
      </c>
      <c r="AH2299" s="64">
        <f>IF($A2299="","",IF(AD2299=0,"",IF(OR(COUNTIF(계정대체기준!$A$77:$A$86,$N2299)&gt;0,ISNUMBER(MATCH($X2299,계정대체기준!$D$77:$D$86,0)),ISNUMBER(MATCH($F2299,계정대체기준!$D$77:$D$86,0))),"Y","N")))</f>
        <v/>
      </c>
    </row>
    <row r="2300">
      <c r="A2300" s="92" t="n">
        <v>2025</v>
      </c>
      <c r="B2300" s="92" t="n">
        <v>11</v>
      </c>
      <c r="C2300" s="92" t="inlineStr">
        <is>
          <t>5100002296</t>
        </is>
      </c>
      <c r="D2300" s="95" t="n">
        <v>45967</v>
      </c>
      <c r="E2300" s="92" t="inlineStr">
        <is>
          <t>KR</t>
        </is>
      </c>
      <c r="F2300" s="92" t="n">
        <v>62401000</v>
      </c>
      <c r="G2300" s="92" t="n">
        <v>1401</v>
      </c>
      <c r="H2300" s="93" t="n">
        <v>152000</v>
      </c>
      <c r="I2300" s="92" t="inlineStr">
        <is>
          <t>11월 인쇄물 제작 - G인쇄</t>
        </is>
      </c>
      <c r="J2300" s="92" t="inlineStr">
        <is>
          <t>V10004</t>
        </is>
      </c>
      <c r="K2300" s="92" t="inlineStr">
        <is>
          <t>G인쇄</t>
        </is>
      </c>
      <c r="M2300" s="9">
        <f>IF($A2300="","",VALUE($A2300&amp;"")*12+VALUE($B2300&amp;""))</f>
        <v/>
      </c>
      <c r="N2300" s="64">
        <f>IF($A2300="","",IFERROR(INDEX(부서매핑!$C$5:$C$504,MATCH($G2300&amp;"",부서매핑!$A$5:$A$504,0)),"미매핑"))</f>
        <v/>
      </c>
      <c r="O2300" s="9">
        <f>IF($A2300="","",N2300&amp;"|"&amp;$F2300)</f>
        <v/>
      </c>
      <c r="P2300" s="94">
        <f>IF($A2300="",0,$H2300*설정!$C$23)</f>
        <v/>
      </c>
      <c r="Q2300" s="64">
        <f>IF($A2300="","",IF(O2300&lt;&gt;원인분석!$C$9,"",IF(AND(M2300&gt;=원인분석!$C$10,M2300&lt;=원인분석!$C$11),"당기",IF(AND(M2300&gt;=원인분석!$C$12,M2300&lt;=원인분석!$C$13),"비교",""))))</f>
        <v/>
      </c>
      <c r="R2300" s="9">
        <f>IF(Q2300="","",$K2300&amp;"")</f>
        <v/>
      </c>
      <c r="S2300" s="9">
        <f>IF(Q2300="","",IF(MATCH(R2300,$R$5:$R$100000,0)=ROW()-4,ROW(),""))</f>
        <v/>
      </c>
      <c r="T2300" s="9">
        <f>IF(Q2300="당기",ABS(P2300)+ROW()/1000000000,"")</f>
        <v/>
      </c>
      <c r="U2300" s="9">
        <f>IF(Q2300="비교",ABS(P2300)+ROW()/1000000000,"")</f>
        <v/>
      </c>
      <c r="V2300" s="64">
        <f>IF($A2300="","",IF(COUNTIF(변동분석!$E$7:$E$506,O2300)&gt;0,"Y","N"))</f>
        <v/>
      </c>
      <c r="W2300" s="64">
        <f>IF($A2300="","",IFERROR(INDEX(계정매핑!$D$5:$D$504,MATCH($F2300&amp;"",계정매핑!$A$5:$A$504,0)),"미매핑"))</f>
        <v/>
      </c>
      <c r="X2300" s="9">
        <f>IF($A2300="","",$F2300&amp;"")</f>
        <v/>
      </c>
      <c r="Y2300" s="94">
        <f>IF($A2300="",0,IF(AE2300="직접",IF(AF2300="비귀속",$P2300,0),$P2300*(1-AG2300)*IFERROR(INDEX(계정대체기준!$F$20:$F$49,MATCH($N2300,계정대체기준!$A$20:$A$49,0)),1)))</f>
        <v/>
      </c>
      <c r="Z2300" s="94">
        <f>IF($A2300="",0,IF(AE2300="직접",IF(AF2300="신계약비",$P2300,0),$P2300*(1-AG2300)*IFERROR(INDEX(계정대체기준!$C$20:$C$49,MATCH($N2300,계정대체기준!$A$20:$A$49,0)),0)))</f>
        <v/>
      </c>
      <c r="AA2300" s="94">
        <f>IF($A2300="",0,IF(AE2300="직접",IF(OR(AF2300="유지비",AF2300="손해조사비"),$P2300,0),$P2300*(1-AG2300)*IFERROR(INDEX(계정대체기준!$D$20:$D$49,MATCH($N2300,계정대체기준!$A$20:$A$49,0)),0)))</f>
        <v/>
      </c>
      <c r="AB2300" s="94">
        <f>IF($A2300="",0,IF(AE2300="직접",IF(AF2300="수금비",$P2300,0),$P2300*(1-AG2300)*IFERROR(INDEX(계정대체기준!$E$20:$E$49,MATCH($N2300,계정대체기준!$A$20:$A$49,0)),0)))</f>
        <v/>
      </c>
      <c r="AC2300" s="9">
        <f>IF(AND($A2300&lt;&gt;"",M2300=설정!$C$20,Z2300&gt;0),Z2300+ROW()/1000000000,"")</f>
        <v/>
      </c>
      <c r="AD2300" s="94">
        <f>IF($A2300="",0,$P2300*AG2300)</f>
        <v/>
      </c>
      <c r="AE2300" s="64">
        <f>IF($A2300="","",IFERROR(INDEX(계정매핑!$E$5:$E$504,MATCH($F2300&amp;"",계정매핑!$A$5:$A$504,0))&amp;"","공통비"))</f>
        <v/>
      </c>
      <c r="AF2300" s="64">
        <f>IF($A2300="","",IF(AE2300="직접",IFERROR(INDEX(계정매핑!$F$5:$F$504,MATCH($F2300&amp;"",계정매핑!$A$5:$A$504,0))&amp;"","비귀속"),""))</f>
        <v/>
      </c>
      <c r="AG2300" s="96">
        <f>IF($A2300="",0,IF(AND(AE2300&lt;&gt;"직접",IFERROR(INDEX(계정매핑!$G$5:$G$504,MATCH($F2300&amp;"",계정매핑!$A$5:$A$504,0))&amp;"","")="유지비",COUNTIF(계정대체기준!$A$6:$A$15,$N2300)&gt;0),IFERROR(INDEX(계정대체기준!$E$6:$E$15,MATCH(VALUE($A2300&amp;""),계정대체기준!$D$6:$D$15,0)),0),0))</f>
        <v/>
      </c>
      <c r="AH2300" s="64">
        <f>IF($A2300="","",IF(AD2300=0,"",IF(OR(COUNTIF(계정대체기준!$A$77:$A$86,$N2300)&gt;0,ISNUMBER(MATCH($X2300,계정대체기준!$D$77:$D$86,0)),ISNUMBER(MATCH($F2300,계정대체기준!$D$77:$D$86,0))),"Y","N")))</f>
        <v/>
      </c>
    </row>
    <row r="2301">
      <c r="A2301" s="92" t="n">
        <v>2025</v>
      </c>
      <c r="B2301" s="92" t="n">
        <v>11</v>
      </c>
      <c r="C2301" s="92" t="inlineStr">
        <is>
          <t>5100002297</t>
        </is>
      </c>
      <c r="D2301" s="95" t="n">
        <v>45967</v>
      </c>
      <c r="E2301" s="92" t="inlineStr">
        <is>
          <t>KR</t>
        </is>
      </c>
      <c r="F2301" s="92" t="n">
        <v>62501000</v>
      </c>
      <c r="G2301" s="92" t="n">
        <v>1701</v>
      </c>
      <c r="H2301" s="93" t="n">
        <v>161000</v>
      </c>
      <c r="I2301" s="92" t="inlineStr">
        <is>
          <t>11월 회의 다과 - T케이터링</t>
        </is>
      </c>
      <c r="J2301" s="92" t="inlineStr">
        <is>
          <t>V10005</t>
        </is>
      </c>
      <c r="K2301" s="92" t="inlineStr">
        <is>
          <t>T케이터링</t>
        </is>
      </c>
      <c r="M2301" s="9">
        <f>IF($A2301="","",VALUE($A2301&amp;"")*12+VALUE($B2301&amp;""))</f>
        <v/>
      </c>
      <c r="N2301" s="64">
        <f>IF($A2301="","",IFERROR(INDEX(부서매핑!$C$5:$C$504,MATCH($G2301&amp;"",부서매핑!$A$5:$A$504,0)),"미매핑"))</f>
        <v/>
      </c>
      <c r="O2301" s="9">
        <f>IF($A2301="","",N2301&amp;"|"&amp;$F2301)</f>
        <v/>
      </c>
      <c r="P2301" s="94">
        <f>IF($A2301="",0,$H2301*설정!$C$23)</f>
        <v/>
      </c>
      <c r="Q2301" s="64">
        <f>IF($A2301="","",IF(O2301&lt;&gt;원인분석!$C$9,"",IF(AND(M2301&gt;=원인분석!$C$10,M2301&lt;=원인분석!$C$11),"당기",IF(AND(M2301&gt;=원인분석!$C$12,M2301&lt;=원인분석!$C$13),"비교",""))))</f>
        <v/>
      </c>
      <c r="R2301" s="9">
        <f>IF(Q2301="","",$K2301&amp;"")</f>
        <v/>
      </c>
      <c r="S2301" s="9">
        <f>IF(Q2301="","",IF(MATCH(R2301,$R$5:$R$100000,0)=ROW()-4,ROW(),""))</f>
        <v/>
      </c>
      <c r="T2301" s="9">
        <f>IF(Q2301="당기",ABS(P2301)+ROW()/1000000000,"")</f>
        <v/>
      </c>
      <c r="U2301" s="9">
        <f>IF(Q2301="비교",ABS(P2301)+ROW()/1000000000,"")</f>
        <v/>
      </c>
      <c r="V2301" s="64">
        <f>IF($A2301="","",IF(COUNTIF(변동분석!$E$7:$E$506,O2301)&gt;0,"Y","N"))</f>
        <v/>
      </c>
      <c r="W2301" s="64">
        <f>IF($A2301="","",IFERROR(INDEX(계정매핑!$D$5:$D$504,MATCH($F2301&amp;"",계정매핑!$A$5:$A$504,0)),"미매핑"))</f>
        <v/>
      </c>
      <c r="X2301" s="9">
        <f>IF($A2301="","",$F2301&amp;"")</f>
        <v/>
      </c>
      <c r="Y2301" s="94">
        <f>IF($A2301="",0,IF(AE2301="직접",IF(AF2301="비귀속",$P2301,0),$P2301*(1-AG2301)*IFERROR(INDEX(계정대체기준!$F$20:$F$49,MATCH($N2301,계정대체기준!$A$20:$A$49,0)),1)))</f>
        <v/>
      </c>
      <c r="Z2301" s="94">
        <f>IF($A2301="",0,IF(AE2301="직접",IF(AF2301="신계약비",$P2301,0),$P2301*(1-AG2301)*IFERROR(INDEX(계정대체기준!$C$20:$C$49,MATCH($N2301,계정대체기준!$A$20:$A$49,0)),0)))</f>
        <v/>
      </c>
      <c r="AA2301" s="94">
        <f>IF($A2301="",0,IF(AE2301="직접",IF(OR(AF2301="유지비",AF2301="손해조사비"),$P2301,0),$P2301*(1-AG2301)*IFERROR(INDEX(계정대체기준!$D$20:$D$49,MATCH($N2301,계정대체기준!$A$20:$A$49,0)),0)))</f>
        <v/>
      </c>
      <c r="AB2301" s="94">
        <f>IF($A2301="",0,IF(AE2301="직접",IF(AF2301="수금비",$P2301,0),$P2301*(1-AG2301)*IFERROR(INDEX(계정대체기준!$E$20:$E$49,MATCH($N2301,계정대체기준!$A$20:$A$49,0)),0)))</f>
        <v/>
      </c>
      <c r="AC2301" s="9">
        <f>IF(AND($A2301&lt;&gt;"",M2301=설정!$C$20,Z2301&gt;0),Z2301+ROW()/1000000000,"")</f>
        <v/>
      </c>
      <c r="AD2301" s="94">
        <f>IF($A2301="",0,$P2301*AG2301)</f>
        <v/>
      </c>
      <c r="AE2301" s="64">
        <f>IF($A2301="","",IFERROR(INDEX(계정매핑!$E$5:$E$504,MATCH($F2301&amp;"",계정매핑!$A$5:$A$504,0))&amp;"","공통비"))</f>
        <v/>
      </c>
      <c r="AF2301" s="64">
        <f>IF($A2301="","",IF(AE2301="직접",IFERROR(INDEX(계정매핑!$F$5:$F$504,MATCH($F2301&amp;"",계정매핑!$A$5:$A$504,0))&amp;"","비귀속"),""))</f>
        <v/>
      </c>
      <c r="AG2301" s="96">
        <f>IF($A2301="",0,IF(AND(AE2301&lt;&gt;"직접",IFERROR(INDEX(계정매핑!$G$5:$G$504,MATCH($F2301&amp;"",계정매핑!$A$5:$A$504,0))&amp;"","")="유지비",COUNTIF(계정대체기준!$A$6:$A$15,$N2301)&gt;0),IFERROR(INDEX(계정대체기준!$E$6:$E$15,MATCH(VALUE($A2301&amp;""),계정대체기준!$D$6:$D$15,0)),0),0))</f>
        <v/>
      </c>
      <c r="AH2301" s="64">
        <f>IF($A2301="","",IF(AD2301=0,"",IF(OR(COUNTIF(계정대체기준!$A$77:$A$86,$N2301)&gt;0,ISNUMBER(MATCH($X2301,계정대체기준!$D$77:$D$86,0)),ISNUMBER(MATCH($F2301,계정대체기준!$D$77:$D$86,0))),"Y","N")))</f>
        <v/>
      </c>
    </row>
    <row r="2302">
      <c r="A2302" s="92" t="n">
        <v>2025</v>
      </c>
      <c r="B2302" s="92" t="n">
        <v>11</v>
      </c>
      <c r="C2302" s="92" t="inlineStr">
        <is>
          <t>5100002298</t>
        </is>
      </c>
      <c r="D2302" s="95" t="n">
        <v>45967</v>
      </c>
      <c r="E2302" s="92" t="inlineStr">
        <is>
          <t>KR</t>
        </is>
      </c>
      <c r="F2302" s="92" t="n">
        <v>62501000</v>
      </c>
      <c r="G2302" s="92" t="n">
        <v>1801</v>
      </c>
      <c r="H2302" s="93" t="n">
        <v>166000</v>
      </c>
      <c r="I2302" s="92" t="inlineStr">
        <is>
          <t>11월 회의 다과 - (법인카드)</t>
        </is>
      </c>
      <c r="J2302" s="92" t="inlineStr">
        <is>
          <t>V10010</t>
        </is>
      </c>
      <c r="K2302" s="92" t="inlineStr">
        <is>
          <t>(법인카드)</t>
        </is>
      </c>
      <c r="M2302" s="9">
        <f>IF($A2302="","",VALUE($A2302&amp;"")*12+VALUE($B2302&amp;""))</f>
        <v/>
      </c>
      <c r="N2302" s="64">
        <f>IF($A2302="","",IFERROR(INDEX(부서매핑!$C$5:$C$504,MATCH($G2302&amp;"",부서매핑!$A$5:$A$504,0)),"미매핑"))</f>
        <v/>
      </c>
      <c r="O2302" s="9">
        <f>IF($A2302="","",N2302&amp;"|"&amp;$F2302)</f>
        <v/>
      </c>
      <c r="P2302" s="94">
        <f>IF($A2302="",0,$H2302*설정!$C$23)</f>
        <v/>
      </c>
      <c r="Q2302" s="64">
        <f>IF($A2302="","",IF(O2302&lt;&gt;원인분석!$C$9,"",IF(AND(M2302&gt;=원인분석!$C$10,M2302&lt;=원인분석!$C$11),"당기",IF(AND(M2302&gt;=원인분석!$C$12,M2302&lt;=원인분석!$C$13),"비교",""))))</f>
        <v/>
      </c>
      <c r="R2302" s="9">
        <f>IF(Q2302="","",$K2302&amp;"")</f>
        <v/>
      </c>
      <c r="S2302" s="9">
        <f>IF(Q2302="","",IF(MATCH(R2302,$R$5:$R$100000,0)=ROW()-4,ROW(),""))</f>
        <v/>
      </c>
      <c r="T2302" s="9">
        <f>IF(Q2302="당기",ABS(P2302)+ROW()/1000000000,"")</f>
        <v/>
      </c>
      <c r="U2302" s="9">
        <f>IF(Q2302="비교",ABS(P2302)+ROW()/1000000000,"")</f>
        <v/>
      </c>
      <c r="V2302" s="64">
        <f>IF($A2302="","",IF(COUNTIF(변동분석!$E$7:$E$506,O2302)&gt;0,"Y","N"))</f>
        <v/>
      </c>
      <c r="W2302" s="64">
        <f>IF($A2302="","",IFERROR(INDEX(계정매핑!$D$5:$D$504,MATCH($F2302&amp;"",계정매핑!$A$5:$A$504,0)),"미매핑"))</f>
        <v/>
      </c>
      <c r="X2302" s="9">
        <f>IF($A2302="","",$F2302&amp;"")</f>
        <v/>
      </c>
      <c r="Y2302" s="94">
        <f>IF($A2302="",0,IF(AE2302="직접",IF(AF2302="비귀속",$P2302,0),$P2302*(1-AG2302)*IFERROR(INDEX(계정대체기준!$F$20:$F$49,MATCH($N2302,계정대체기준!$A$20:$A$49,0)),1)))</f>
        <v/>
      </c>
      <c r="Z2302" s="94">
        <f>IF($A2302="",0,IF(AE2302="직접",IF(AF2302="신계약비",$P2302,0),$P2302*(1-AG2302)*IFERROR(INDEX(계정대체기준!$C$20:$C$49,MATCH($N2302,계정대체기준!$A$20:$A$49,0)),0)))</f>
        <v/>
      </c>
      <c r="AA2302" s="94">
        <f>IF($A2302="",0,IF(AE2302="직접",IF(OR(AF2302="유지비",AF2302="손해조사비"),$P2302,0),$P2302*(1-AG2302)*IFERROR(INDEX(계정대체기준!$D$20:$D$49,MATCH($N2302,계정대체기준!$A$20:$A$49,0)),0)))</f>
        <v/>
      </c>
      <c r="AB2302" s="94">
        <f>IF($A2302="",0,IF(AE2302="직접",IF(AF2302="수금비",$P2302,0),$P2302*(1-AG2302)*IFERROR(INDEX(계정대체기준!$E$20:$E$49,MATCH($N2302,계정대체기준!$A$20:$A$49,0)),0)))</f>
        <v/>
      </c>
      <c r="AC2302" s="9">
        <f>IF(AND($A2302&lt;&gt;"",M2302=설정!$C$20,Z2302&gt;0),Z2302+ROW()/1000000000,"")</f>
        <v/>
      </c>
      <c r="AD2302" s="94">
        <f>IF($A2302="",0,$P2302*AG2302)</f>
        <v/>
      </c>
      <c r="AE2302" s="64">
        <f>IF($A2302="","",IFERROR(INDEX(계정매핑!$E$5:$E$504,MATCH($F2302&amp;"",계정매핑!$A$5:$A$504,0))&amp;"","공통비"))</f>
        <v/>
      </c>
      <c r="AF2302" s="64">
        <f>IF($A2302="","",IF(AE2302="직접",IFERROR(INDEX(계정매핑!$F$5:$F$504,MATCH($F2302&amp;"",계정매핑!$A$5:$A$504,0))&amp;"","비귀속"),""))</f>
        <v/>
      </c>
      <c r="AG2302" s="96">
        <f>IF($A2302="",0,IF(AND(AE2302&lt;&gt;"직접",IFERROR(INDEX(계정매핑!$G$5:$G$504,MATCH($F2302&amp;"",계정매핑!$A$5:$A$504,0))&amp;"","")="유지비",COUNTIF(계정대체기준!$A$6:$A$15,$N2302)&gt;0),IFERROR(INDEX(계정대체기준!$E$6:$E$15,MATCH(VALUE($A2302&amp;""),계정대체기준!$D$6:$D$15,0)),0),0))</f>
        <v/>
      </c>
      <c r="AH2302" s="64">
        <f>IF($A2302="","",IF(AD2302=0,"",IF(OR(COUNTIF(계정대체기준!$A$77:$A$86,$N2302)&gt;0,ISNUMBER(MATCH($X2302,계정대체기준!$D$77:$D$86,0)),ISNUMBER(MATCH($F2302,계정대체기준!$D$77:$D$86,0))),"Y","N")))</f>
        <v/>
      </c>
    </row>
    <row r="2303">
      <c r="A2303" s="92" t="n">
        <v>2025</v>
      </c>
      <c r="B2303" s="92" t="n">
        <v>11</v>
      </c>
      <c r="C2303" s="92" t="inlineStr">
        <is>
          <t>5100002299</t>
        </is>
      </c>
      <c r="D2303" s="95" t="n">
        <v>45967</v>
      </c>
      <c r="E2303" s="92" t="inlineStr">
        <is>
          <t>KR</t>
        </is>
      </c>
      <c r="F2303" s="92" t="n">
        <v>62901000</v>
      </c>
      <c r="G2303" s="92" t="n">
        <v>1101</v>
      </c>
      <c r="H2303" s="93" t="n">
        <v>2889000</v>
      </c>
      <c r="I2303" s="92" t="inlineStr">
        <is>
          <t>11월 자문 수수료 - W컨설팅</t>
        </is>
      </c>
      <c r="J2303" s="92" t="inlineStr">
        <is>
          <t>V10006</t>
        </is>
      </c>
      <c r="K2303" s="92" t="inlineStr">
        <is>
          <t>W컨설팅</t>
        </is>
      </c>
      <c r="M2303" s="9">
        <f>IF($A2303="","",VALUE($A2303&amp;"")*12+VALUE($B2303&amp;""))</f>
        <v/>
      </c>
      <c r="N2303" s="64">
        <f>IF($A2303="","",IFERROR(INDEX(부서매핑!$C$5:$C$504,MATCH($G2303&amp;"",부서매핑!$A$5:$A$504,0)),"미매핑"))</f>
        <v/>
      </c>
      <c r="O2303" s="9">
        <f>IF($A2303="","",N2303&amp;"|"&amp;$F2303)</f>
        <v/>
      </c>
      <c r="P2303" s="94">
        <f>IF($A2303="",0,$H2303*설정!$C$23)</f>
        <v/>
      </c>
      <c r="Q2303" s="64">
        <f>IF($A2303="","",IF(O2303&lt;&gt;원인분석!$C$9,"",IF(AND(M2303&gt;=원인분석!$C$10,M2303&lt;=원인분석!$C$11),"당기",IF(AND(M2303&gt;=원인분석!$C$12,M2303&lt;=원인분석!$C$13),"비교",""))))</f>
        <v/>
      </c>
      <c r="R2303" s="9">
        <f>IF(Q2303="","",$K2303&amp;"")</f>
        <v/>
      </c>
      <c r="S2303" s="9">
        <f>IF(Q2303="","",IF(MATCH(R2303,$R$5:$R$100000,0)=ROW()-4,ROW(),""))</f>
        <v/>
      </c>
      <c r="T2303" s="9">
        <f>IF(Q2303="당기",ABS(P2303)+ROW()/1000000000,"")</f>
        <v/>
      </c>
      <c r="U2303" s="9">
        <f>IF(Q2303="비교",ABS(P2303)+ROW()/1000000000,"")</f>
        <v/>
      </c>
      <c r="V2303" s="64">
        <f>IF($A2303="","",IF(COUNTIF(변동분석!$E$7:$E$506,O2303)&gt;0,"Y","N"))</f>
        <v/>
      </c>
      <c r="W2303" s="64">
        <f>IF($A2303="","",IFERROR(INDEX(계정매핑!$D$5:$D$504,MATCH($F2303&amp;"",계정매핑!$A$5:$A$504,0)),"미매핑"))</f>
        <v/>
      </c>
      <c r="X2303" s="9">
        <f>IF($A2303="","",$F2303&amp;"")</f>
        <v/>
      </c>
      <c r="Y2303" s="94">
        <f>IF($A2303="",0,IF(AE2303="직접",IF(AF2303="비귀속",$P2303,0),$P2303*(1-AG2303)*IFERROR(INDEX(계정대체기준!$F$20:$F$49,MATCH($N2303,계정대체기준!$A$20:$A$49,0)),1)))</f>
        <v/>
      </c>
      <c r="Z2303" s="94">
        <f>IF($A2303="",0,IF(AE2303="직접",IF(AF2303="신계약비",$P2303,0),$P2303*(1-AG2303)*IFERROR(INDEX(계정대체기준!$C$20:$C$49,MATCH($N2303,계정대체기준!$A$20:$A$49,0)),0)))</f>
        <v/>
      </c>
      <c r="AA2303" s="94">
        <f>IF($A2303="",0,IF(AE2303="직접",IF(OR(AF2303="유지비",AF2303="손해조사비"),$P2303,0),$P2303*(1-AG2303)*IFERROR(INDEX(계정대체기준!$D$20:$D$49,MATCH($N2303,계정대체기준!$A$20:$A$49,0)),0)))</f>
        <v/>
      </c>
      <c r="AB2303" s="94">
        <f>IF($A2303="",0,IF(AE2303="직접",IF(AF2303="수금비",$P2303,0),$P2303*(1-AG2303)*IFERROR(INDEX(계정대체기준!$E$20:$E$49,MATCH($N2303,계정대체기준!$A$20:$A$49,0)),0)))</f>
        <v/>
      </c>
      <c r="AC2303" s="9">
        <f>IF(AND($A2303&lt;&gt;"",M2303=설정!$C$20,Z2303&gt;0),Z2303+ROW()/1000000000,"")</f>
        <v/>
      </c>
      <c r="AD2303" s="94">
        <f>IF($A2303="",0,$P2303*AG2303)</f>
        <v/>
      </c>
      <c r="AE2303" s="64">
        <f>IF($A2303="","",IFERROR(INDEX(계정매핑!$E$5:$E$504,MATCH($F2303&amp;"",계정매핑!$A$5:$A$504,0))&amp;"","공통비"))</f>
        <v/>
      </c>
      <c r="AF2303" s="64">
        <f>IF($A2303="","",IF(AE2303="직접",IFERROR(INDEX(계정매핑!$F$5:$F$504,MATCH($F2303&amp;"",계정매핑!$A$5:$A$504,0))&amp;"","비귀속"),""))</f>
        <v/>
      </c>
      <c r="AG2303" s="96">
        <f>IF($A2303="",0,IF(AND(AE2303&lt;&gt;"직접",IFERROR(INDEX(계정매핑!$G$5:$G$504,MATCH($F2303&amp;"",계정매핑!$A$5:$A$504,0))&amp;"","")="유지비",COUNTIF(계정대체기준!$A$6:$A$15,$N2303)&gt;0),IFERROR(INDEX(계정대체기준!$E$6:$E$15,MATCH(VALUE($A2303&amp;""),계정대체기준!$D$6:$D$15,0)),0),0))</f>
        <v/>
      </c>
      <c r="AH2303" s="64">
        <f>IF($A2303="","",IF(AD2303=0,"",IF(OR(COUNTIF(계정대체기준!$A$77:$A$86,$N2303)&gt;0,ISNUMBER(MATCH($X2303,계정대체기준!$D$77:$D$86,0)),ISNUMBER(MATCH($F2303,계정대체기준!$D$77:$D$86,0))),"Y","N")))</f>
        <v/>
      </c>
    </row>
    <row r="2304">
      <c r="A2304" s="92" t="n">
        <v>2025</v>
      </c>
      <c r="B2304" s="92" t="n">
        <v>11</v>
      </c>
      <c r="C2304" s="92" t="inlineStr">
        <is>
          <t>5100002300</t>
        </is>
      </c>
      <c r="D2304" s="95" t="n">
        <v>45967</v>
      </c>
      <c r="E2304" s="92" t="inlineStr">
        <is>
          <t>KR</t>
        </is>
      </c>
      <c r="F2304" s="92" t="n">
        <v>62902000</v>
      </c>
      <c r="G2304" s="92" t="n">
        <v>1401</v>
      </c>
      <c r="H2304" s="93" t="n">
        <v>2464000</v>
      </c>
      <c r="I2304" s="92" t="inlineStr">
        <is>
          <t>11월 업무 위탁 수수료 - X서비스</t>
        </is>
      </c>
      <c r="J2304" s="92" t="inlineStr">
        <is>
          <t>V10020</t>
        </is>
      </c>
      <c r="K2304" s="92" t="inlineStr">
        <is>
          <t>X서비스</t>
        </is>
      </c>
      <c r="M2304" s="9">
        <f>IF($A2304="","",VALUE($A2304&amp;"")*12+VALUE($B2304&amp;""))</f>
        <v/>
      </c>
      <c r="N2304" s="64">
        <f>IF($A2304="","",IFERROR(INDEX(부서매핑!$C$5:$C$504,MATCH($G2304&amp;"",부서매핑!$A$5:$A$504,0)),"미매핑"))</f>
        <v/>
      </c>
      <c r="O2304" s="9">
        <f>IF($A2304="","",N2304&amp;"|"&amp;$F2304)</f>
        <v/>
      </c>
      <c r="P2304" s="94">
        <f>IF($A2304="",0,$H2304*설정!$C$23)</f>
        <v/>
      </c>
      <c r="Q2304" s="64">
        <f>IF($A2304="","",IF(O2304&lt;&gt;원인분석!$C$9,"",IF(AND(M2304&gt;=원인분석!$C$10,M2304&lt;=원인분석!$C$11),"당기",IF(AND(M2304&gt;=원인분석!$C$12,M2304&lt;=원인분석!$C$13),"비교",""))))</f>
        <v/>
      </c>
      <c r="R2304" s="9">
        <f>IF(Q2304="","",$K2304&amp;"")</f>
        <v/>
      </c>
      <c r="S2304" s="9">
        <f>IF(Q2304="","",IF(MATCH(R2304,$R$5:$R$100000,0)=ROW()-4,ROW(),""))</f>
        <v/>
      </c>
      <c r="T2304" s="9">
        <f>IF(Q2304="당기",ABS(P2304)+ROW()/1000000000,"")</f>
        <v/>
      </c>
      <c r="U2304" s="9">
        <f>IF(Q2304="비교",ABS(P2304)+ROW()/1000000000,"")</f>
        <v/>
      </c>
      <c r="V2304" s="64">
        <f>IF($A2304="","",IF(COUNTIF(변동분석!$E$7:$E$506,O2304)&gt;0,"Y","N"))</f>
        <v/>
      </c>
      <c r="W2304" s="64">
        <f>IF($A2304="","",IFERROR(INDEX(계정매핑!$D$5:$D$504,MATCH($F2304&amp;"",계정매핑!$A$5:$A$504,0)),"미매핑"))</f>
        <v/>
      </c>
      <c r="X2304" s="9">
        <f>IF($A2304="","",$F2304&amp;"")</f>
        <v/>
      </c>
      <c r="Y2304" s="94">
        <f>IF($A2304="",0,IF(AE2304="직접",IF(AF2304="비귀속",$P2304,0),$P2304*(1-AG2304)*IFERROR(INDEX(계정대체기준!$F$20:$F$49,MATCH($N2304,계정대체기준!$A$20:$A$49,0)),1)))</f>
        <v/>
      </c>
      <c r="Z2304" s="94">
        <f>IF($A2304="",0,IF(AE2304="직접",IF(AF2304="신계약비",$P2304,0),$P2304*(1-AG2304)*IFERROR(INDEX(계정대체기준!$C$20:$C$49,MATCH($N2304,계정대체기준!$A$20:$A$49,0)),0)))</f>
        <v/>
      </c>
      <c r="AA2304" s="94">
        <f>IF($A2304="",0,IF(AE2304="직접",IF(OR(AF2304="유지비",AF2304="손해조사비"),$P2304,0),$P2304*(1-AG2304)*IFERROR(INDEX(계정대체기준!$D$20:$D$49,MATCH($N2304,계정대체기준!$A$20:$A$49,0)),0)))</f>
        <v/>
      </c>
      <c r="AB2304" s="94">
        <f>IF($A2304="",0,IF(AE2304="직접",IF(AF2304="수금비",$P2304,0),$P2304*(1-AG2304)*IFERROR(INDEX(계정대체기준!$E$20:$E$49,MATCH($N2304,계정대체기준!$A$20:$A$49,0)),0)))</f>
        <v/>
      </c>
      <c r="AC2304" s="9">
        <f>IF(AND($A2304&lt;&gt;"",M2304=설정!$C$20,Z2304&gt;0),Z2304+ROW()/1000000000,"")</f>
        <v/>
      </c>
      <c r="AD2304" s="94">
        <f>IF($A2304="",0,$P2304*AG2304)</f>
        <v/>
      </c>
      <c r="AE2304" s="64">
        <f>IF($A2304="","",IFERROR(INDEX(계정매핑!$E$5:$E$504,MATCH($F2304&amp;"",계정매핑!$A$5:$A$504,0))&amp;"","공통비"))</f>
        <v/>
      </c>
      <c r="AF2304" s="64">
        <f>IF($A2304="","",IF(AE2304="직접",IFERROR(INDEX(계정매핑!$F$5:$F$504,MATCH($F2304&amp;"",계정매핑!$A$5:$A$504,0))&amp;"","비귀속"),""))</f>
        <v/>
      </c>
      <c r="AG2304" s="96">
        <f>IF($A2304="",0,IF(AND(AE2304&lt;&gt;"직접",IFERROR(INDEX(계정매핑!$G$5:$G$504,MATCH($F2304&amp;"",계정매핑!$A$5:$A$504,0))&amp;"","")="유지비",COUNTIF(계정대체기준!$A$6:$A$15,$N2304)&gt;0),IFERROR(INDEX(계정대체기준!$E$6:$E$15,MATCH(VALUE($A2304&amp;""),계정대체기준!$D$6:$D$15,0)),0),0))</f>
        <v/>
      </c>
      <c r="AH2304" s="64">
        <f>IF($A2304="","",IF(AD2304=0,"",IF(OR(COUNTIF(계정대체기준!$A$77:$A$86,$N2304)&gt;0,ISNUMBER(MATCH($X2304,계정대체기준!$D$77:$D$86,0)),ISNUMBER(MATCH($F2304,계정대체기준!$D$77:$D$86,0))),"Y","N")))</f>
        <v/>
      </c>
    </row>
    <row r="2305">
      <c r="A2305" s="92" t="n">
        <v>2025</v>
      </c>
      <c r="B2305" s="92" t="n">
        <v>11</v>
      </c>
      <c r="C2305" s="92" t="inlineStr">
        <is>
          <t>5100002301</t>
        </is>
      </c>
      <c r="D2305" s="95" t="n">
        <v>45968</v>
      </c>
      <c r="E2305" s="92" t="inlineStr">
        <is>
          <t>KR</t>
        </is>
      </c>
      <c r="F2305" s="92" t="n">
        <v>62101000</v>
      </c>
      <c r="G2305" s="92" t="n">
        <v>1951</v>
      </c>
      <c r="H2305" s="93" t="n">
        <v>228000</v>
      </c>
      <c r="I2305" s="92" t="inlineStr">
        <is>
          <t>11월 국내출장 - L여행사</t>
        </is>
      </c>
      <c r="J2305" s="92" t="inlineStr">
        <is>
          <t>V10018</t>
        </is>
      </c>
      <c r="K2305" s="92" t="inlineStr">
        <is>
          <t>L여행사</t>
        </is>
      </c>
      <c r="M2305" s="9">
        <f>IF($A2305="","",VALUE($A2305&amp;"")*12+VALUE($B2305&amp;""))</f>
        <v/>
      </c>
      <c r="N2305" s="64">
        <f>IF($A2305="","",IFERROR(INDEX(부서매핑!$C$5:$C$504,MATCH($G2305&amp;"",부서매핑!$A$5:$A$504,0)),"미매핑"))</f>
        <v/>
      </c>
      <c r="O2305" s="9">
        <f>IF($A2305="","",N2305&amp;"|"&amp;$F2305)</f>
        <v/>
      </c>
      <c r="P2305" s="94">
        <f>IF($A2305="",0,$H2305*설정!$C$23)</f>
        <v/>
      </c>
      <c r="Q2305" s="64">
        <f>IF($A2305="","",IF(O2305&lt;&gt;원인분석!$C$9,"",IF(AND(M2305&gt;=원인분석!$C$10,M2305&lt;=원인분석!$C$11),"당기",IF(AND(M2305&gt;=원인분석!$C$12,M2305&lt;=원인분석!$C$13),"비교",""))))</f>
        <v/>
      </c>
      <c r="R2305" s="9">
        <f>IF(Q2305="","",$K2305&amp;"")</f>
        <v/>
      </c>
      <c r="S2305" s="9">
        <f>IF(Q2305="","",IF(MATCH(R2305,$R$5:$R$100000,0)=ROW()-4,ROW(),""))</f>
        <v/>
      </c>
      <c r="T2305" s="9">
        <f>IF(Q2305="당기",ABS(P2305)+ROW()/1000000000,"")</f>
        <v/>
      </c>
      <c r="U2305" s="9">
        <f>IF(Q2305="비교",ABS(P2305)+ROW()/1000000000,"")</f>
        <v/>
      </c>
      <c r="V2305" s="64">
        <f>IF($A2305="","",IF(COUNTIF(변동분석!$E$7:$E$506,O2305)&gt;0,"Y","N"))</f>
        <v/>
      </c>
      <c r="W2305" s="64">
        <f>IF($A2305="","",IFERROR(INDEX(계정매핑!$D$5:$D$504,MATCH($F2305&amp;"",계정매핑!$A$5:$A$504,0)),"미매핑"))</f>
        <v/>
      </c>
      <c r="X2305" s="9">
        <f>IF($A2305="","",$F2305&amp;"")</f>
        <v/>
      </c>
      <c r="Y2305" s="94">
        <f>IF($A2305="",0,IF(AE2305="직접",IF(AF2305="비귀속",$P2305,0),$P2305*(1-AG2305)*IFERROR(INDEX(계정대체기준!$F$20:$F$49,MATCH($N2305,계정대체기준!$A$20:$A$49,0)),1)))</f>
        <v/>
      </c>
      <c r="Z2305" s="94">
        <f>IF($A2305="",0,IF(AE2305="직접",IF(AF2305="신계약비",$P2305,0),$P2305*(1-AG2305)*IFERROR(INDEX(계정대체기준!$C$20:$C$49,MATCH($N2305,계정대체기준!$A$20:$A$49,0)),0)))</f>
        <v/>
      </c>
      <c r="AA2305" s="94">
        <f>IF($A2305="",0,IF(AE2305="직접",IF(OR(AF2305="유지비",AF2305="손해조사비"),$P2305,0),$P2305*(1-AG2305)*IFERROR(INDEX(계정대체기준!$D$20:$D$49,MATCH($N2305,계정대체기준!$A$20:$A$49,0)),0)))</f>
        <v/>
      </c>
      <c r="AB2305" s="94">
        <f>IF($A2305="",0,IF(AE2305="직접",IF(AF2305="수금비",$P2305,0),$P2305*(1-AG2305)*IFERROR(INDEX(계정대체기준!$E$20:$E$49,MATCH($N2305,계정대체기준!$A$20:$A$49,0)),0)))</f>
        <v/>
      </c>
      <c r="AC2305" s="9">
        <f>IF(AND($A2305&lt;&gt;"",M2305=설정!$C$20,Z2305&gt;0),Z2305+ROW()/1000000000,"")</f>
        <v/>
      </c>
      <c r="AD2305" s="94">
        <f>IF($A2305="",0,$P2305*AG2305)</f>
        <v/>
      </c>
      <c r="AE2305" s="64">
        <f>IF($A2305="","",IFERROR(INDEX(계정매핑!$E$5:$E$504,MATCH($F2305&amp;"",계정매핑!$A$5:$A$504,0))&amp;"","공통비"))</f>
        <v/>
      </c>
      <c r="AF2305" s="64">
        <f>IF($A2305="","",IF(AE2305="직접",IFERROR(INDEX(계정매핑!$F$5:$F$504,MATCH($F2305&amp;"",계정매핑!$A$5:$A$504,0))&amp;"","비귀속"),""))</f>
        <v/>
      </c>
      <c r="AG2305" s="96">
        <f>IF($A2305="",0,IF(AND(AE2305&lt;&gt;"직접",IFERROR(INDEX(계정매핑!$G$5:$G$504,MATCH($F2305&amp;"",계정매핑!$A$5:$A$504,0))&amp;"","")="유지비",COUNTIF(계정대체기준!$A$6:$A$15,$N2305)&gt;0),IFERROR(INDEX(계정대체기준!$E$6:$E$15,MATCH(VALUE($A2305&amp;""),계정대체기준!$D$6:$D$15,0)),0),0))</f>
        <v/>
      </c>
      <c r="AH2305" s="64">
        <f>IF($A2305="","",IF(AD2305=0,"",IF(OR(COUNTIF(계정대체기준!$A$77:$A$86,$N2305)&gt;0,ISNUMBER(MATCH($X2305,계정대체기준!$D$77:$D$86,0)),ISNUMBER(MATCH($F2305,계정대체기준!$D$77:$D$86,0))),"Y","N")))</f>
        <v/>
      </c>
    </row>
    <row r="2306">
      <c r="A2306" s="92" t="n">
        <v>2025</v>
      </c>
      <c r="B2306" s="92" t="n">
        <v>11</v>
      </c>
      <c r="C2306" s="92" t="inlineStr">
        <is>
          <t>5100002302</t>
        </is>
      </c>
      <c r="D2306" s="95" t="n">
        <v>45968</v>
      </c>
      <c r="E2306" s="92" t="inlineStr">
        <is>
          <t>KR</t>
        </is>
      </c>
      <c r="F2306" s="92" t="n">
        <v>62102000</v>
      </c>
      <c r="G2306" s="92" t="n">
        <v>1201</v>
      </c>
      <c r="H2306" s="93" t="n">
        <v>52000</v>
      </c>
      <c r="I2306" s="92" t="inlineStr">
        <is>
          <t>11월 해외출장 - M항공</t>
        </is>
      </c>
      <c r="J2306" s="92" t="inlineStr">
        <is>
          <t>V10001</t>
        </is>
      </c>
      <c r="K2306" s="92" t="inlineStr">
        <is>
          <t>M항공</t>
        </is>
      </c>
      <c r="M2306" s="9">
        <f>IF($A2306="","",VALUE($A2306&amp;"")*12+VALUE($B2306&amp;""))</f>
        <v/>
      </c>
      <c r="N2306" s="64">
        <f>IF($A2306="","",IFERROR(INDEX(부서매핑!$C$5:$C$504,MATCH($G2306&amp;"",부서매핑!$A$5:$A$504,0)),"미매핑"))</f>
        <v/>
      </c>
      <c r="O2306" s="9">
        <f>IF($A2306="","",N2306&amp;"|"&amp;$F2306)</f>
        <v/>
      </c>
      <c r="P2306" s="94">
        <f>IF($A2306="",0,$H2306*설정!$C$23)</f>
        <v/>
      </c>
      <c r="Q2306" s="64">
        <f>IF($A2306="","",IF(O2306&lt;&gt;원인분석!$C$9,"",IF(AND(M2306&gt;=원인분석!$C$10,M2306&lt;=원인분석!$C$11),"당기",IF(AND(M2306&gt;=원인분석!$C$12,M2306&lt;=원인분석!$C$13),"비교",""))))</f>
        <v/>
      </c>
      <c r="R2306" s="9">
        <f>IF(Q2306="","",$K2306&amp;"")</f>
        <v/>
      </c>
      <c r="S2306" s="9">
        <f>IF(Q2306="","",IF(MATCH(R2306,$R$5:$R$100000,0)=ROW()-4,ROW(),""))</f>
        <v/>
      </c>
      <c r="T2306" s="9">
        <f>IF(Q2306="당기",ABS(P2306)+ROW()/1000000000,"")</f>
        <v/>
      </c>
      <c r="U2306" s="9">
        <f>IF(Q2306="비교",ABS(P2306)+ROW()/1000000000,"")</f>
        <v/>
      </c>
      <c r="V2306" s="64">
        <f>IF($A2306="","",IF(COUNTIF(변동분석!$E$7:$E$506,O2306)&gt;0,"Y","N"))</f>
        <v/>
      </c>
      <c r="W2306" s="64">
        <f>IF($A2306="","",IFERROR(INDEX(계정매핑!$D$5:$D$504,MATCH($F2306&amp;"",계정매핑!$A$5:$A$504,0)),"미매핑"))</f>
        <v/>
      </c>
      <c r="X2306" s="9">
        <f>IF($A2306="","",$F2306&amp;"")</f>
        <v/>
      </c>
      <c r="Y2306" s="94">
        <f>IF($A2306="",0,IF(AE2306="직접",IF(AF2306="비귀속",$P2306,0),$P2306*(1-AG2306)*IFERROR(INDEX(계정대체기준!$F$20:$F$49,MATCH($N2306,계정대체기준!$A$20:$A$49,0)),1)))</f>
        <v/>
      </c>
      <c r="Z2306" s="94">
        <f>IF($A2306="",0,IF(AE2306="직접",IF(AF2306="신계약비",$P2306,0),$P2306*(1-AG2306)*IFERROR(INDEX(계정대체기준!$C$20:$C$49,MATCH($N2306,계정대체기준!$A$20:$A$49,0)),0)))</f>
        <v/>
      </c>
      <c r="AA2306" s="94">
        <f>IF($A2306="",0,IF(AE2306="직접",IF(OR(AF2306="유지비",AF2306="손해조사비"),$P2306,0),$P2306*(1-AG2306)*IFERROR(INDEX(계정대체기준!$D$20:$D$49,MATCH($N2306,계정대체기준!$A$20:$A$49,0)),0)))</f>
        <v/>
      </c>
      <c r="AB2306" s="94">
        <f>IF($A2306="",0,IF(AE2306="직접",IF(AF2306="수금비",$P2306,0),$P2306*(1-AG2306)*IFERROR(INDEX(계정대체기준!$E$20:$E$49,MATCH($N2306,계정대체기준!$A$20:$A$49,0)),0)))</f>
        <v/>
      </c>
      <c r="AC2306" s="9">
        <f>IF(AND($A2306&lt;&gt;"",M2306=설정!$C$20,Z2306&gt;0),Z2306+ROW()/1000000000,"")</f>
        <v/>
      </c>
      <c r="AD2306" s="94">
        <f>IF($A2306="",0,$P2306*AG2306)</f>
        <v/>
      </c>
      <c r="AE2306" s="64">
        <f>IF($A2306="","",IFERROR(INDEX(계정매핑!$E$5:$E$504,MATCH($F2306&amp;"",계정매핑!$A$5:$A$504,0))&amp;"","공통비"))</f>
        <v/>
      </c>
      <c r="AF2306" s="64">
        <f>IF($A2306="","",IF(AE2306="직접",IFERROR(INDEX(계정매핑!$F$5:$F$504,MATCH($F2306&amp;"",계정매핑!$A$5:$A$504,0))&amp;"","비귀속"),""))</f>
        <v/>
      </c>
      <c r="AG2306" s="96">
        <f>IF($A2306="",0,IF(AND(AE2306&lt;&gt;"직접",IFERROR(INDEX(계정매핑!$G$5:$G$504,MATCH($F2306&amp;"",계정매핑!$A$5:$A$504,0))&amp;"","")="유지비",COUNTIF(계정대체기준!$A$6:$A$15,$N2306)&gt;0),IFERROR(INDEX(계정대체기준!$E$6:$E$15,MATCH(VALUE($A2306&amp;""),계정대체기준!$D$6:$D$15,0)),0),0))</f>
        <v/>
      </c>
      <c r="AH2306" s="64">
        <f>IF($A2306="","",IF(AD2306=0,"",IF(OR(COUNTIF(계정대체기준!$A$77:$A$86,$N2306)&gt;0,ISNUMBER(MATCH($X2306,계정대체기준!$D$77:$D$86,0)),ISNUMBER(MATCH($F2306,계정대체기준!$D$77:$D$86,0))),"Y","N")))</f>
        <v/>
      </c>
    </row>
    <row r="2307">
      <c r="A2307" s="92" t="n">
        <v>2025</v>
      </c>
      <c r="B2307" s="92" t="n">
        <v>11</v>
      </c>
      <c r="C2307" s="92" t="inlineStr">
        <is>
          <t>5100002303</t>
        </is>
      </c>
      <c r="D2307" s="95" t="n">
        <v>45968</v>
      </c>
      <c r="E2307" s="92" t="inlineStr">
        <is>
          <t>KR</t>
        </is>
      </c>
      <c r="F2307" s="92" t="n">
        <v>62201000</v>
      </c>
      <c r="G2307" s="92" t="n">
        <v>1101</v>
      </c>
      <c r="H2307" s="93" t="n">
        <v>165000</v>
      </c>
      <c r="I2307" s="92" t="inlineStr">
        <is>
          <t>11월 통신요금 - P통신</t>
        </is>
      </c>
      <c r="J2307" s="92" t="inlineStr">
        <is>
          <t>V10014</t>
        </is>
      </c>
      <c r="K2307" s="92" t="inlineStr">
        <is>
          <t>P통신</t>
        </is>
      </c>
      <c r="M2307" s="9">
        <f>IF($A2307="","",VALUE($A2307&amp;"")*12+VALUE($B2307&amp;""))</f>
        <v/>
      </c>
      <c r="N2307" s="64">
        <f>IF($A2307="","",IFERROR(INDEX(부서매핑!$C$5:$C$504,MATCH($G2307&amp;"",부서매핑!$A$5:$A$504,0)),"미매핑"))</f>
        <v/>
      </c>
      <c r="O2307" s="9">
        <f>IF($A2307="","",N2307&amp;"|"&amp;$F2307)</f>
        <v/>
      </c>
      <c r="P2307" s="94">
        <f>IF($A2307="",0,$H2307*설정!$C$23)</f>
        <v/>
      </c>
      <c r="Q2307" s="64">
        <f>IF($A2307="","",IF(O2307&lt;&gt;원인분석!$C$9,"",IF(AND(M2307&gt;=원인분석!$C$10,M2307&lt;=원인분석!$C$11),"당기",IF(AND(M2307&gt;=원인분석!$C$12,M2307&lt;=원인분석!$C$13),"비교",""))))</f>
        <v/>
      </c>
      <c r="R2307" s="9">
        <f>IF(Q2307="","",$K2307&amp;"")</f>
        <v/>
      </c>
      <c r="S2307" s="9">
        <f>IF(Q2307="","",IF(MATCH(R2307,$R$5:$R$100000,0)=ROW()-4,ROW(),""))</f>
        <v/>
      </c>
      <c r="T2307" s="9">
        <f>IF(Q2307="당기",ABS(P2307)+ROW()/1000000000,"")</f>
        <v/>
      </c>
      <c r="U2307" s="9">
        <f>IF(Q2307="비교",ABS(P2307)+ROW()/1000000000,"")</f>
        <v/>
      </c>
      <c r="V2307" s="64">
        <f>IF($A2307="","",IF(COUNTIF(변동분석!$E$7:$E$506,O2307)&gt;0,"Y","N"))</f>
        <v/>
      </c>
      <c r="W2307" s="64">
        <f>IF($A2307="","",IFERROR(INDEX(계정매핑!$D$5:$D$504,MATCH($F2307&amp;"",계정매핑!$A$5:$A$504,0)),"미매핑"))</f>
        <v/>
      </c>
      <c r="X2307" s="9">
        <f>IF($A2307="","",$F2307&amp;"")</f>
        <v/>
      </c>
      <c r="Y2307" s="94">
        <f>IF($A2307="",0,IF(AE2307="직접",IF(AF2307="비귀속",$P2307,0),$P2307*(1-AG2307)*IFERROR(INDEX(계정대체기준!$F$20:$F$49,MATCH($N2307,계정대체기준!$A$20:$A$49,0)),1)))</f>
        <v/>
      </c>
      <c r="Z2307" s="94">
        <f>IF($A2307="",0,IF(AE2307="직접",IF(AF2307="신계약비",$P2307,0),$P2307*(1-AG2307)*IFERROR(INDEX(계정대체기준!$C$20:$C$49,MATCH($N2307,계정대체기준!$A$20:$A$49,0)),0)))</f>
        <v/>
      </c>
      <c r="AA2307" s="94">
        <f>IF($A2307="",0,IF(AE2307="직접",IF(OR(AF2307="유지비",AF2307="손해조사비"),$P2307,0),$P2307*(1-AG2307)*IFERROR(INDEX(계정대체기준!$D$20:$D$49,MATCH($N2307,계정대체기준!$A$20:$A$49,0)),0)))</f>
        <v/>
      </c>
      <c r="AB2307" s="94">
        <f>IF($A2307="",0,IF(AE2307="직접",IF(AF2307="수금비",$P2307,0),$P2307*(1-AG2307)*IFERROR(INDEX(계정대체기준!$E$20:$E$49,MATCH($N2307,계정대체기준!$A$20:$A$49,0)),0)))</f>
        <v/>
      </c>
      <c r="AC2307" s="9">
        <f>IF(AND($A2307&lt;&gt;"",M2307=설정!$C$20,Z2307&gt;0),Z2307+ROW()/1000000000,"")</f>
        <v/>
      </c>
      <c r="AD2307" s="94">
        <f>IF($A2307="",0,$P2307*AG2307)</f>
        <v/>
      </c>
      <c r="AE2307" s="64">
        <f>IF($A2307="","",IFERROR(INDEX(계정매핑!$E$5:$E$504,MATCH($F2307&amp;"",계정매핑!$A$5:$A$504,0))&amp;"","공통비"))</f>
        <v/>
      </c>
      <c r="AF2307" s="64">
        <f>IF($A2307="","",IF(AE2307="직접",IFERROR(INDEX(계정매핑!$F$5:$F$504,MATCH($F2307&amp;"",계정매핑!$A$5:$A$504,0))&amp;"","비귀속"),""))</f>
        <v/>
      </c>
      <c r="AG2307" s="96">
        <f>IF($A2307="",0,IF(AND(AE2307&lt;&gt;"직접",IFERROR(INDEX(계정매핑!$G$5:$G$504,MATCH($F2307&amp;"",계정매핑!$A$5:$A$504,0))&amp;"","")="유지비",COUNTIF(계정대체기준!$A$6:$A$15,$N2307)&gt;0),IFERROR(INDEX(계정대체기준!$E$6:$E$15,MATCH(VALUE($A2307&amp;""),계정대체기준!$D$6:$D$15,0)),0),0))</f>
        <v/>
      </c>
      <c r="AH2307" s="64">
        <f>IF($A2307="","",IF(AD2307=0,"",IF(OR(COUNTIF(계정대체기준!$A$77:$A$86,$N2307)&gt;0,ISNUMBER(MATCH($X2307,계정대체기준!$D$77:$D$86,0)),ISNUMBER(MATCH($F2307,계정대체기준!$D$77:$D$86,0))),"Y","N")))</f>
        <v/>
      </c>
    </row>
    <row r="2308">
      <c r="A2308" s="92" t="n">
        <v>2025</v>
      </c>
      <c r="B2308" s="92" t="n">
        <v>11</v>
      </c>
      <c r="C2308" s="92" t="inlineStr">
        <is>
          <t>5100002304</t>
        </is>
      </c>
      <c r="D2308" s="95" t="n">
        <v>45968</v>
      </c>
      <c r="E2308" s="92" t="inlineStr">
        <is>
          <t>KR</t>
        </is>
      </c>
      <c r="F2308" s="92" t="n">
        <v>62201000</v>
      </c>
      <c r="G2308" s="92" t="n">
        <v>1401</v>
      </c>
      <c r="H2308" s="93" t="n">
        <v>195000</v>
      </c>
      <c r="I2308" s="92" t="inlineStr">
        <is>
          <t>11월 통신요금 - O텔레콤</t>
        </is>
      </c>
      <c r="J2308" s="92" t="inlineStr">
        <is>
          <t>V10002</t>
        </is>
      </c>
      <c r="K2308" s="92" t="inlineStr">
        <is>
          <t>O텔레콤</t>
        </is>
      </c>
      <c r="M2308" s="9">
        <f>IF($A2308="","",VALUE($A2308&amp;"")*12+VALUE($B2308&amp;""))</f>
        <v/>
      </c>
      <c r="N2308" s="64">
        <f>IF($A2308="","",IFERROR(INDEX(부서매핑!$C$5:$C$504,MATCH($G2308&amp;"",부서매핑!$A$5:$A$504,0)),"미매핑"))</f>
        <v/>
      </c>
      <c r="O2308" s="9">
        <f>IF($A2308="","",N2308&amp;"|"&amp;$F2308)</f>
        <v/>
      </c>
      <c r="P2308" s="94">
        <f>IF($A2308="",0,$H2308*설정!$C$23)</f>
        <v/>
      </c>
      <c r="Q2308" s="64">
        <f>IF($A2308="","",IF(O2308&lt;&gt;원인분석!$C$9,"",IF(AND(M2308&gt;=원인분석!$C$10,M2308&lt;=원인분석!$C$11),"당기",IF(AND(M2308&gt;=원인분석!$C$12,M2308&lt;=원인분석!$C$13),"비교",""))))</f>
        <v/>
      </c>
      <c r="R2308" s="9">
        <f>IF(Q2308="","",$K2308&amp;"")</f>
        <v/>
      </c>
      <c r="S2308" s="9">
        <f>IF(Q2308="","",IF(MATCH(R2308,$R$5:$R$100000,0)=ROW()-4,ROW(),""))</f>
        <v/>
      </c>
      <c r="T2308" s="9">
        <f>IF(Q2308="당기",ABS(P2308)+ROW()/1000000000,"")</f>
        <v/>
      </c>
      <c r="U2308" s="9">
        <f>IF(Q2308="비교",ABS(P2308)+ROW()/1000000000,"")</f>
        <v/>
      </c>
      <c r="V2308" s="64">
        <f>IF($A2308="","",IF(COUNTIF(변동분석!$E$7:$E$506,O2308)&gt;0,"Y","N"))</f>
        <v/>
      </c>
      <c r="W2308" s="64">
        <f>IF($A2308="","",IFERROR(INDEX(계정매핑!$D$5:$D$504,MATCH($F2308&amp;"",계정매핑!$A$5:$A$504,0)),"미매핑"))</f>
        <v/>
      </c>
      <c r="X2308" s="9">
        <f>IF($A2308="","",$F2308&amp;"")</f>
        <v/>
      </c>
      <c r="Y2308" s="94">
        <f>IF($A2308="",0,IF(AE2308="직접",IF(AF2308="비귀속",$P2308,0),$P2308*(1-AG2308)*IFERROR(INDEX(계정대체기준!$F$20:$F$49,MATCH($N2308,계정대체기준!$A$20:$A$49,0)),1)))</f>
        <v/>
      </c>
      <c r="Z2308" s="94">
        <f>IF($A2308="",0,IF(AE2308="직접",IF(AF2308="신계약비",$P2308,0),$P2308*(1-AG2308)*IFERROR(INDEX(계정대체기준!$C$20:$C$49,MATCH($N2308,계정대체기준!$A$20:$A$49,0)),0)))</f>
        <v/>
      </c>
      <c r="AA2308" s="94">
        <f>IF($A2308="",0,IF(AE2308="직접",IF(OR(AF2308="유지비",AF2308="손해조사비"),$P2308,0),$P2308*(1-AG2308)*IFERROR(INDEX(계정대체기준!$D$20:$D$49,MATCH($N2308,계정대체기준!$A$20:$A$49,0)),0)))</f>
        <v/>
      </c>
      <c r="AB2308" s="94">
        <f>IF($A2308="",0,IF(AE2308="직접",IF(AF2308="수금비",$P2308,0),$P2308*(1-AG2308)*IFERROR(INDEX(계정대체기준!$E$20:$E$49,MATCH($N2308,계정대체기준!$A$20:$A$49,0)),0)))</f>
        <v/>
      </c>
      <c r="AC2308" s="9">
        <f>IF(AND($A2308&lt;&gt;"",M2308=설정!$C$20,Z2308&gt;0),Z2308+ROW()/1000000000,"")</f>
        <v/>
      </c>
      <c r="AD2308" s="94">
        <f>IF($A2308="",0,$P2308*AG2308)</f>
        <v/>
      </c>
      <c r="AE2308" s="64">
        <f>IF($A2308="","",IFERROR(INDEX(계정매핑!$E$5:$E$504,MATCH($F2308&amp;"",계정매핑!$A$5:$A$504,0))&amp;"","공통비"))</f>
        <v/>
      </c>
      <c r="AF2308" s="64">
        <f>IF($A2308="","",IF(AE2308="직접",IFERROR(INDEX(계정매핑!$F$5:$F$504,MATCH($F2308&amp;"",계정매핑!$A$5:$A$504,0))&amp;"","비귀속"),""))</f>
        <v/>
      </c>
      <c r="AG2308" s="96">
        <f>IF($A2308="",0,IF(AND(AE2308&lt;&gt;"직접",IFERROR(INDEX(계정매핑!$G$5:$G$504,MATCH($F2308&amp;"",계정매핑!$A$5:$A$504,0))&amp;"","")="유지비",COUNTIF(계정대체기준!$A$6:$A$15,$N2308)&gt;0),IFERROR(INDEX(계정대체기준!$E$6:$E$15,MATCH(VALUE($A2308&amp;""),계정대체기준!$D$6:$D$15,0)),0),0))</f>
        <v/>
      </c>
      <c r="AH2308" s="64">
        <f>IF($A2308="","",IF(AD2308=0,"",IF(OR(COUNTIF(계정대체기준!$A$77:$A$86,$N2308)&gt;0,ISNUMBER(MATCH($X2308,계정대체기준!$D$77:$D$86,0)),ISNUMBER(MATCH($F2308,계정대체기준!$D$77:$D$86,0))),"Y","N")))</f>
        <v/>
      </c>
    </row>
    <row r="2309">
      <c r="A2309" s="92" t="n">
        <v>2025</v>
      </c>
      <c r="B2309" s="92" t="n">
        <v>11</v>
      </c>
      <c r="C2309" s="92" t="inlineStr">
        <is>
          <t>5100002305</t>
        </is>
      </c>
      <c r="D2309" s="95" t="n">
        <v>45968</v>
      </c>
      <c r="E2309" s="92" t="inlineStr">
        <is>
          <t>KR</t>
        </is>
      </c>
      <c r="F2309" s="92" t="n">
        <v>62201000</v>
      </c>
      <c r="G2309" s="92" t="n">
        <v>1602</v>
      </c>
      <c r="H2309" s="93" t="n">
        <v>809000</v>
      </c>
      <c r="I2309" s="92" t="inlineStr">
        <is>
          <t>11월 통신요금 - P통신</t>
        </is>
      </c>
      <c r="J2309" s="92" t="inlineStr">
        <is>
          <t>V10014</t>
        </is>
      </c>
      <c r="K2309" s="92" t="inlineStr">
        <is>
          <t>P통신</t>
        </is>
      </c>
      <c r="M2309" s="9">
        <f>IF($A2309="","",VALUE($A2309&amp;"")*12+VALUE($B2309&amp;""))</f>
        <v/>
      </c>
      <c r="N2309" s="64">
        <f>IF($A2309="","",IFERROR(INDEX(부서매핑!$C$5:$C$504,MATCH($G2309&amp;"",부서매핑!$A$5:$A$504,0)),"미매핑"))</f>
        <v/>
      </c>
      <c r="O2309" s="9">
        <f>IF($A2309="","",N2309&amp;"|"&amp;$F2309)</f>
        <v/>
      </c>
      <c r="P2309" s="94">
        <f>IF($A2309="",0,$H2309*설정!$C$23)</f>
        <v/>
      </c>
      <c r="Q2309" s="64">
        <f>IF($A2309="","",IF(O2309&lt;&gt;원인분석!$C$9,"",IF(AND(M2309&gt;=원인분석!$C$10,M2309&lt;=원인분석!$C$11),"당기",IF(AND(M2309&gt;=원인분석!$C$12,M2309&lt;=원인분석!$C$13),"비교",""))))</f>
        <v/>
      </c>
      <c r="R2309" s="9">
        <f>IF(Q2309="","",$K2309&amp;"")</f>
        <v/>
      </c>
      <c r="S2309" s="9">
        <f>IF(Q2309="","",IF(MATCH(R2309,$R$5:$R$100000,0)=ROW()-4,ROW(),""))</f>
        <v/>
      </c>
      <c r="T2309" s="9">
        <f>IF(Q2309="당기",ABS(P2309)+ROW()/1000000000,"")</f>
        <v/>
      </c>
      <c r="U2309" s="9">
        <f>IF(Q2309="비교",ABS(P2309)+ROW()/1000000000,"")</f>
        <v/>
      </c>
      <c r="V2309" s="64">
        <f>IF($A2309="","",IF(COUNTIF(변동분석!$E$7:$E$506,O2309)&gt;0,"Y","N"))</f>
        <v/>
      </c>
      <c r="W2309" s="64">
        <f>IF($A2309="","",IFERROR(INDEX(계정매핑!$D$5:$D$504,MATCH($F2309&amp;"",계정매핑!$A$5:$A$504,0)),"미매핑"))</f>
        <v/>
      </c>
      <c r="X2309" s="9">
        <f>IF($A2309="","",$F2309&amp;"")</f>
        <v/>
      </c>
      <c r="Y2309" s="94">
        <f>IF($A2309="",0,IF(AE2309="직접",IF(AF2309="비귀속",$P2309,0),$P2309*(1-AG2309)*IFERROR(INDEX(계정대체기준!$F$20:$F$49,MATCH($N2309,계정대체기준!$A$20:$A$49,0)),1)))</f>
        <v/>
      </c>
      <c r="Z2309" s="94">
        <f>IF($A2309="",0,IF(AE2309="직접",IF(AF2309="신계약비",$P2309,0),$P2309*(1-AG2309)*IFERROR(INDEX(계정대체기준!$C$20:$C$49,MATCH($N2309,계정대체기준!$A$20:$A$49,0)),0)))</f>
        <v/>
      </c>
      <c r="AA2309" s="94">
        <f>IF($A2309="",0,IF(AE2309="직접",IF(OR(AF2309="유지비",AF2309="손해조사비"),$P2309,0),$P2309*(1-AG2309)*IFERROR(INDEX(계정대체기준!$D$20:$D$49,MATCH($N2309,계정대체기준!$A$20:$A$49,0)),0)))</f>
        <v/>
      </c>
      <c r="AB2309" s="94">
        <f>IF($A2309="",0,IF(AE2309="직접",IF(AF2309="수금비",$P2309,0),$P2309*(1-AG2309)*IFERROR(INDEX(계정대체기준!$E$20:$E$49,MATCH($N2309,계정대체기준!$A$20:$A$49,0)),0)))</f>
        <v/>
      </c>
      <c r="AC2309" s="9">
        <f>IF(AND($A2309&lt;&gt;"",M2309=설정!$C$20,Z2309&gt;0),Z2309+ROW()/1000000000,"")</f>
        <v/>
      </c>
      <c r="AD2309" s="94">
        <f>IF($A2309="",0,$P2309*AG2309)</f>
        <v/>
      </c>
      <c r="AE2309" s="64">
        <f>IF($A2309="","",IFERROR(INDEX(계정매핑!$E$5:$E$504,MATCH($F2309&amp;"",계정매핑!$A$5:$A$504,0))&amp;"","공통비"))</f>
        <v/>
      </c>
      <c r="AF2309" s="64">
        <f>IF($A2309="","",IF(AE2309="직접",IFERROR(INDEX(계정매핑!$F$5:$F$504,MATCH($F2309&amp;"",계정매핑!$A$5:$A$504,0))&amp;"","비귀속"),""))</f>
        <v/>
      </c>
      <c r="AG2309" s="96">
        <f>IF($A2309="",0,IF(AND(AE2309&lt;&gt;"직접",IFERROR(INDEX(계정매핑!$G$5:$G$504,MATCH($F2309&amp;"",계정매핑!$A$5:$A$504,0))&amp;"","")="유지비",COUNTIF(계정대체기준!$A$6:$A$15,$N2309)&gt;0),IFERROR(INDEX(계정대체기준!$E$6:$E$15,MATCH(VALUE($A2309&amp;""),계정대체기준!$D$6:$D$15,0)),0),0))</f>
        <v/>
      </c>
      <c r="AH2309" s="64">
        <f>IF($A2309="","",IF(AD2309=0,"",IF(OR(COUNTIF(계정대체기준!$A$77:$A$86,$N2309)&gt;0,ISNUMBER(MATCH($X2309,계정대체기준!$D$77:$D$86,0)),ISNUMBER(MATCH($F2309,계정대체기준!$D$77:$D$86,0))),"Y","N")))</f>
        <v/>
      </c>
    </row>
    <row r="2310">
      <c r="A2310" s="92" t="n">
        <v>2025</v>
      </c>
      <c r="B2310" s="92" t="n">
        <v>11</v>
      </c>
      <c r="C2310" s="92" t="inlineStr">
        <is>
          <t>5100002306</t>
        </is>
      </c>
      <c r="D2310" s="95" t="n">
        <v>45968</v>
      </c>
      <c r="E2310" s="92" t="inlineStr">
        <is>
          <t>KR</t>
        </is>
      </c>
      <c r="F2310" s="92" t="n">
        <v>62501000</v>
      </c>
      <c r="G2310" s="92" t="n">
        <v>1101</v>
      </c>
      <c r="H2310" s="93" t="n">
        <v>256000</v>
      </c>
      <c r="I2310" s="92" t="inlineStr">
        <is>
          <t>11월 회의 다과 - T케이터링</t>
        </is>
      </c>
      <c r="J2310" s="92" t="inlineStr">
        <is>
          <t>V10005</t>
        </is>
      </c>
      <c r="K2310" s="92" t="inlineStr">
        <is>
          <t>T케이터링</t>
        </is>
      </c>
      <c r="M2310" s="9">
        <f>IF($A2310="","",VALUE($A2310&amp;"")*12+VALUE($B2310&amp;""))</f>
        <v/>
      </c>
      <c r="N2310" s="64">
        <f>IF($A2310="","",IFERROR(INDEX(부서매핑!$C$5:$C$504,MATCH($G2310&amp;"",부서매핑!$A$5:$A$504,0)),"미매핑"))</f>
        <v/>
      </c>
      <c r="O2310" s="9">
        <f>IF($A2310="","",N2310&amp;"|"&amp;$F2310)</f>
        <v/>
      </c>
      <c r="P2310" s="94">
        <f>IF($A2310="",0,$H2310*설정!$C$23)</f>
        <v/>
      </c>
      <c r="Q2310" s="64">
        <f>IF($A2310="","",IF(O2310&lt;&gt;원인분석!$C$9,"",IF(AND(M2310&gt;=원인분석!$C$10,M2310&lt;=원인분석!$C$11),"당기",IF(AND(M2310&gt;=원인분석!$C$12,M2310&lt;=원인분석!$C$13),"비교",""))))</f>
        <v/>
      </c>
      <c r="R2310" s="9">
        <f>IF(Q2310="","",$K2310&amp;"")</f>
        <v/>
      </c>
      <c r="S2310" s="9">
        <f>IF(Q2310="","",IF(MATCH(R2310,$R$5:$R$100000,0)=ROW()-4,ROW(),""))</f>
        <v/>
      </c>
      <c r="T2310" s="9">
        <f>IF(Q2310="당기",ABS(P2310)+ROW()/1000000000,"")</f>
        <v/>
      </c>
      <c r="U2310" s="9">
        <f>IF(Q2310="비교",ABS(P2310)+ROW()/1000000000,"")</f>
        <v/>
      </c>
      <c r="V2310" s="64">
        <f>IF($A2310="","",IF(COUNTIF(변동분석!$E$7:$E$506,O2310)&gt;0,"Y","N"))</f>
        <v/>
      </c>
      <c r="W2310" s="64">
        <f>IF($A2310="","",IFERROR(INDEX(계정매핑!$D$5:$D$504,MATCH($F2310&amp;"",계정매핑!$A$5:$A$504,0)),"미매핑"))</f>
        <v/>
      </c>
      <c r="X2310" s="9">
        <f>IF($A2310="","",$F2310&amp;"")</f>
        <v/>
      </c>
      <c r="Y2310" s="94">
        <f>IF($A2310="",0,IF(AE2310="직접",IF(AF2310="비귀속",$P2310,0),$P2310*(1-AG2310)*IFERROR(INDEX(계정대체기준!$F$20:$F$49,MATCH($N2310,계정대체기준!$A$20:$A$49,0)),1)))</f>
        <v/>
      </c>
      <c r="Z2310" s="94">
        <f>IF($A2310="",0,IF(AE2310="직접",IF(AF2310="신계약비",$P2310,0),$P2310*(1-AG2310)*IFERROR(INDEX(계정대체기준!$C$20:$C$49,MATCH($N2310,계정대체기준!$A$20:$A$49,0)),0)))</f>
        <v/>
      </c>
      <c r="AA2310" s="94">
        <f>IF($A2310="",0,IF(AE2310="직접",IF(OR(AF2310="유지비",AF2310="손해조사비"),$P2310,0),$P2310*(1-AG2310)*IFERROR(INDEX(계정대체기준!$D$20:$D$49,MATCH($N2310,계정대체기준!$A$20:$A$49,0)),0)))</f>
        <v/>
      </c>
      <c r="AB2310" s="94">
        <f>IF($A2310="",0,IF(AE2310="직접",IF(AF2310="수금비",$P2310,0),$P2310*(1-AG2310)*IFERROR(INDEX(계정대체기준!$E$20:$E$49,MATCH($N2310,계정대체기준!$A$20:$A$49,0)),0)))</f>
        <v/>
      </c>
      <c r="AC2310" s="9">
        <f>IF(AND($A2310&lt;&gt;"",M2310=설정!$C$20,Z2310&gt;0),Z2310+ROW()/1000000000,"")</f>
        <v/>
      </c>
      <c r="AD2310" s="94">
        <f>IF($A2310="",0,$P2310*AG2310)</f>
        <v/>
      </c>
      <c r="AE2310" s="64">
        <f>IF($A2310="","",IFERROR(INDEX(계정매핑!$E$5:$E$504,MATCH($F2310&amp;"",계정매핑!$A$5:$A$504,0))&amp;"","공통비"))</f>
        <v/>
      </c>
      <c r="AF2310" s="64">
        <f>IF($A2310="","",IF(AE2310="직접",IFERROR(INDEX(계정매핑!$F$5:$F$504,MATCH($F2310&amp;"",계정매핑!$A$5:$A$504,0))&amp;"","비귀속"),""))</f>
        <v/>
      </c>
      <c r="AG2310" s="96">
        <f>IF($A2310="",0,IF(AND(AE2310&lt;&gt;"직접",IFERROR(INDEX(계정매핑!$G$5:$G$504,MATCH($F2310&amp;"",계정매핑!$A$5:$A$504,0))&amp;"","")="유지비",COUNTIF(계정대체기준!$A$6:$A$15,$N2310)&gt;0),IFERROR(INDEX(계정대체기준!$E$6:$E$15,MATCH(VALUE($A2310&amp;""),계정대체기준!$D$6:$D$15,0)),0),0))</f>
        <v/>
      </c>
      <c r="AH2310" s="64">
        <f>IF($A2310="","",IF(AD2310=0,"",IF(OR(COUNTIF(계정대체기준!$A$77:$A$86,$N2310)&gt;0,ISNUMBER(MATCH($X2310,계정대체기준!$D$77:$D$86,0)),ISNUMBER(MATCH($F2310,계정대체기준!$D$77:$D$86,0))),"Y","N")))</f>
        <v/>
      </c>
    </row>
    <row r="2311">
      <c r="A2311" s="92" t="n">
        <v>2025</v>
      </c>
      <c r="B2311" s="92" t="n">
        <v>11</v>
      </c>
      <c r="C2311" s="92" t="inlineStr">
        <is>
          <t>5100002307</t>
        </is>
      </c>
      <c r="D2311" s="95" t="n">
        <v>45968</v>
      </c>
      <c r="E2311" s="92" t="inlineStr">
        <is>
          <t>KR</t>
        </is>
      </c>
      <c r="F2311" s="92" t="n">
        <v>62601000</v>
      </c>
      <c r="G2311" s="92" t="n">
        <v>1501</v>
      </c>
      <c r="H2311" s="93" t="n">
        <v>2551000</v>
      </c>
      <c r="I2311" s="92" t="inlineStr">
        <is>
          <t>11월 업무추진 - (법인카드)</t>
        </is>
      </c>
      <c r="J2311" s="92" t="inlineStr">
        <is>
          <t>V10010</t>
        </is>
      </c>
      <c r="K2311" s="92" t="inlineStr">
        <is>
          <t>(법인카드)</t>
        </is>
      </c>
      <c r="M2311" s="9">
        <f>IF($A2311="","",VALUE($A2311&amp;"")*12+VALUE($B2311&amp;""))</f>
        <v/>
      </c>
      <c r="N2311" s="64">
        <f>IF($A2311="","",IFERROR(INDEX(부서매핑!$C$5:$C$504,MATCH($G2311&amp;"",부서매핑!$A$5:$A$504,0)),"미매핑"))</f>
        <v/>
      </c>
      <c r="O2311" s="9">
        <f>IF($A2311="","",N2311&amp;"|"&amp;$F2311)</f>
        <v/>
      </c>
      <c r="P2311" s="94">
        <f>IF($A2311="",0,$H2311*설정!$C$23)</f>
        <v/>
      </c>
      <c r="Q2311" s="64">
        <f>IF($A2311="","",IF(O2311&lt;&gt;원인분석!$C$9,"",IF(AND(M2311&gt;=원인분석!$C$10,M2311&lt;=원인분석!$C$11),"당기",IF(AND(M2311&gt;=원인분석!$C$12,M2311&lt;=원인분석!$C$13),"비교",""))))</f>
        <v/>
      </c>
      <c r="R2311" s="9">
        <f>IF(Q2311="","",$K2311&amp;"")</f>
        <v/>
      </c>
      <c r="S2311" s="9">
        <f>IF(Q2311="","",IF(MATCH(R2311,$R$5:$R$100000,0)=ROW()-4,ROW(),""))</f>
        <v/>
      </c>
      <c r="T2311" s="9">
        <f>IF(Q2311="당기",ABS(P2311)+ROW()/1000000000,"")</f>
        <v/>
      </c>
      <c r="U2311" s="9">
        <f>IF(Q2311="비교",ABS(P2311)+ROW()/1000000000,"")</f>
        <v/>
      </c>
      <c r="V2311" s="64">
        <f>IF($A2311="","",IF(COUNTIF(변동분석!$E$7:$E$506,O2311)&gt;0,"Y","N"))</f>
        <v/>
      </c>
      <c r="W2311" s="64">
        <f>IF($A2311="","",IFERROR(INDEX(계정매핑!$D$5:$D$504,MATCH($F2311&amp;"",계정매핑!$A$5:$A$504,0)),"미매핑"))</f>
        <v/>
      </c>
      <c r="X2311" s="9">
        <f>IF($A2311="","",$F2311&amp;"")</f>
        <v/>
      </c>
      <c r="Y2311" s="94">
        <f>IF($A2311="",0,IF(AE2311="직접",IF(AF2311="비귀속",$P2311,0),$P2311*(1-AG2311)*IFERROR(INDEX(계정대체기준!$F$20:$F$49,MATCH($N2311,계정대체기준!$A$20:$A$49,0)),1)))</f>
        <v/>
      </c>
      <c r="Z2311" s="94">
        <f>IF($A2311="",0,IF(AE2311="직접",IF(AF2311="신계약비",$P2311,0),$P2311*(1-AG2311)*IFERROR(INDEX(계정대체기준!$C$20:$C$49,MATCH($N2311,계정대체기준!$A$20:$A$49,0)),0)))</f>
        <v/>
      </c>
      <c r="AA2311" s="94">
        <f>IF($A2311="",0,IF(AE2311="직접",IF(OR(AF2311="유지비",AF2311="손해조사비"),$P2311,0),$P2311*(1-AG2311)*IFERROR(INDEX(계정대체기준!$D$20:$D$49,MATCH($N2311,계정대체기준!$A$20:$A$49,0)),0)))</f>
        <v/>
      </c>
      <c r="AB2311" s="94">
        <f>IF($A2311="",0,IF(AE2311="직접",IF(AF2311="수금비",$P2311,0),$P2311*(1-AG2311)*IFERROR(INDEX(계정대체기준!$E$20:$E$49,MATCH($N2311,계정대체기준!$A$20:$A$49,0)),0)))</f>
        <v/>
      </c>
      <c r="AC2311" s="9">
        <f>IF(AND($A2311&lt;&gt;"",M2311=설정!$C$20,Z2311&gt;0),Z2311+ROW()/1000000000,"")</f>
        <v/>
      </c>
      <c r="AD2311" s="94">
        <f>IF($A2311="",0,$P2311*AG2311)</f>
        <v/>
      </c>
      <c r="AE2311" s="64">
        <f>IF($A2311="","",IFERROR(INDEX(계정매핑!$E$5:$E$504,MATCH($F2311&amp;"",계정매핑!$A$5:$A$504,0))&amp;"","공통비"))</f>
        <v/>
      </c>
      <c r="AF2311" s="64">
        <f>IF($A2311="","",IF(AE2311="직접",IFERROR(INDEX(계정매핑!$F$5:$F$504,MATCH($F2311&amp;"",계정매핑!$A$5:$A$504,0))&amp;"","비귀속"),""))</f>
        <v/>
      </c>
      <c r="AG2311" s="96">
        <f>IF($A2311="",0,IF(AND(AE2311&lt;&gt;"직접",IFERROR(INDEX(계정매핑!$G$5:$G$504,MATCH($F2311&amp;"",계정매핑!$A$5:$A$504,0))&amp;"","")="유지비",COUNTIF(계정대체기준!$A$6:$A$15,$N2311)&gt;0),IFERROR(INDEX(계정대체기준!$E$6:$E$15,MATCH(VALUE($A2311&amp;""),계정대체기준!$D$6:$D$15,0)),0),0))</f>
        <v/>
      </c>
      <c r="AH2311" s="64">
        <f>IF($A2311="","",IF(AD2311=0,"",IF(OR(COUNTIF(계정대체기준!$A$77:$A$86,$N2311)&gt;0,ISNUMBER(MATCH($X2311,계정대체기준!$D$77:$D$86,0)),ISNUMBER(MATCH($F2311,계정대체기준!$D$77:$D$86,0))),"Y","N")))</f>
        <v/>
      </c>
    </row>
    <row r="2312">
      <c r="A2312" s="92" t="n">
        <v>2025</v>
      </c>
      <c r="B2312" s="92" t="n">
        <v>11</v>
      </c>
      <c r="C2312" s="92" t="inlineStr">
        <is>
          <t>5100002308</t>
        </is>
      </c>
      <c r="D2312" s="95" t="n">
        <v>45968</v>
      </c>
      <c r="E2312" s="92" t="inlineStr">
        <is>
          <t>KR</t>
        </is>
      </c>
      <c r="F2312" s="92" t="n">
        <v>62901000</v>
      </c>
      <c r="G2312" s="92" t="n">
        <v>1801</v>
      </c>
      <c r="H2312" s="93" t="n">
        <v>6766000</v>
      </c>
      <c r="I2312" s="92" t="inlineStr">
        <is>
          <t>11월 자문 수수료 - K회계법인</t>
        </is>
      </c>
      <c r="J2312" s="92" t="inlineStr">
        <is>
          <t>V10011</t>
        </is>
      </c>
      <c r="K2312" s="92" t="inlineStr">
        <is>
          <t>K회계법인</t>
        </is>
      </c>
      <c r="M2312" s="9">
        <f>IF($A2312="","",VALUE($A2312&amp;"")*12+VALUE($B2312&amp;""))</f>
        <v/>
      </c>
      <c r="N2312" s="64">
        <f>IF($A2312="","",IFERROR(INDEX(부서매핑!$C$5:$C$504,MATCH($G2312&amp;"",부서매핑!$A$5:$A$504,0)),"미매핑"))</f>
        <v/>
      </c>
      <c r="O2312" s="9">
        <f>IF($A2312="","",N2312&amp;"|"&amp;$F2312)</f>
        <v/>
      </c>
      <c r="P2312" s="94">
        <f>IF($A2312="",0,$H2312*설정!$C$23)</f>
        <v/>
      </c>
      <c r="Q2312" s="64">
        <f>IF($A2312="","",IF(O2312&lt;&gt;원인분석!$C$9,"",IF(AND(M2312&gt;=원인분석!$C$10,M2312&lt;=원인분석!$C$11),"당기",IF(AND(M2312&gt;=원인분석!$C$12,M2312&lt;=원인분석!$C$13),"비교",""))))</f>
        <v/>
      </c>
      <c r="R2312" s="9">
        <f>IF(Q2312="","",$K2312&amp;"")</f>
        <v/>
      </c>
      <c r="S2312" s="9">
        <f>IF(Q2312="","",IF(MATCH(R2312,$R$5:$R$100000,0)=ROW()-4,ROW(),""))</f>
        <v/>
      </c>
      <c r="T2312" s="9">
        <f>IF(Q2312="당기",ABS(P2312)+ROW()/1000000000,"")</f>
        <v/>
      </c>
      <c r="U2312" s="9">
        <f>IF(Q2312="비교",ABS(P2312)+ROW()/1000000000,"")</f>
        <v/>
      </c>
      <c r="V2312" s="64">
        <f>IF($A2312="","",IF(COUNTIF(변동분석!$E$7:$E$506,O2312)&gt;0,"Y","N"))</f>
        <v/>
      </c>
      <c r="W2312" s="64">
        <f>IF($A2312="","",IFERROR(INDEX(계정매핑!$D$5:$D$504,MATCH($F2312&amp;"",계정매핑!$A$5:$A$504,0)),"미매핑"))</f>
        <v/>
      </c>
      <c r="X2312" s="9">
        <f>IF($A2312="","",$F2312&amp;"")</f>
        <v/>
      </c>
      <c r="Y2312" s="94">
        <f>IF($A2312="",0,IF(AE2312="직접",IF(AF2312="비귀속",$P2312,0),$P2312*(1-AG2312)*IFERROR(INDEX(계정대체기준!$F$20:$F$49,MATCH($N2312,계정대체기준!$A$20:$A$49,0)),1)))</f>
        <v/>
      </c>
      <c r="Z2312" s="94">
        <f>IF($A2312="",0,IF(AE2312="직접",IF(AF2312="신계약비",$P2312,0),$P2312*(1-AG2312)*IFERROR(INDEX(계정대체기준!$C$20:$C$49,MATCH($N2312,계정대체기준!$A$20:$A$49,0)),0)))</f>
        <v/>
      </c>
      <c r="AA2312" s="94">
        <f>IF($A2312="",0,IF(AE2312="직접",IF(OR(AF2312="유지비",AF2312="손해조사비"),$P2312,0),$P2312*(1-AG2312)*IFERROR(INDEX(계정대체기준!$D$20:$D$49,MATCH($N2312,계정대체기준!$A$20:$A$49,0)),0)))</f>
        <v/>
      </c>
      <c r="AB2312" s="94">
        <f>IF($A2312="",0,IF(AE2312="직접",IF(AF2312="수금비",$P2312,0),$P2312*(1-AG2312)*IFERROR(INDEX(계정대체기준!$E$20:$E$49,MATCH($N2312,계정대체기준!$A$20:$A$49,0)),0)))</f>
        <v/>
      </c>
      <c r="AC2312" s="9">
        <f>IF(AND($A2312&lt;&gt;"",M2312=설정!$C$20,Z2312&gt;0),Z2312+ROW()/1000000000,"")</f>
        <v/>
      </c>
      <c r="AD2312" s="94">
        <f>IF($A2312="",0,$P2312*AG2312)</f>
        <v/>
      </c>
      <c r="AE2312" s="64">
        <f>IF($A2312="","",IFERROR(INDEX(계정매핑!$E$5:$E$504,MATCH($F2312&amp;"",계정매핑!$A$5:$A$504,0))&amp;"","공통비"))</f>
        <v/>
      </c>
      <c r="AF2312" s="64">
        <f>IF($A2312="","",IF(AE2312="직접",IFERROR(INDEX(계정매핑!$F$5:$F$504,MATCH($F2312&amp;"",계정매핑!$A$5:$A$504,0))&amp;"","비귀속"),""))</f>
        <v/>
      </c>
      <c r="AG2312" s="96">
        <f>IF($A2312="",0,IF(AND(AE2312&lt;&gt;"직접",IFERROR(INDEX(계정매핑!$G$5:$G$504,MATCH($F2312&amp;"",계정매핑!$A$5:$A$504,0))&amp;"","")="유지비",COUNTIF(계정대체기준!$A$6:$A$15,$N2312)&gt;0),IFERROR(INDEX(계정대체기준!$E$6:$E$15,MATCH(VALUE($A2312&amp;""),계정대체기준!$D$6:$D$15,0)),0),0))</f>
        <v/>
      </c>
      <c r="AH2312" s="64">
        <f>IF($A2312="","",IF(AD2312=0,"",IF(OR(COUNTIF(계정대체기준!$A$77:$A$86,$N2312)&gt;0,ISNUMBER(MATCH($X2312,계정대체기준!$D$77:$D$86,0)),ISNUMBER(MATCH($F2312,계정대체기준!$D$77:$D$86,0))),"Y","N")))</f>
        <v/>
      </c>
    </row>
    <row r="2313">
      <c r="A2313" s="92" t="n">
        <v>2025</v>
      </c>
      <c r="B2313" s="92" t="n">
        <v>11</v>
      </c>
      <c r="C2313" s="92" t="inlineStr">
        <is>
          <t>5100002309</t>
        </is>
      </c>
      <c r="D2313" s="95" t="n">
        <v>45968</v>
      </c>
      <c r="E2313" s="92" t="inlineStr">
        <is>
          <t>KR</t>
        </is>
      </c>
      <c r="F2313" s="92" t="n">
        <v>62902000</v>
      </c>
      <c r="G2313" s="92" t="n">
        <v>1201</v>
      </c>
      <c r="H2313" s="93" t="n">
        <v>2614000</v>
      </c>
      <c r="I2313" s="92" t="inlineStr">
        <is>
          <t>11월 업무 위탁 수수료 - J콜센터</t>
        </is>
      </c>
      <c r="J2313" s="92" t="inlineStr">
        <is>
          <t>V10016</t>
        </is>
      </c>
      <c r="K2313" s="92" t="inlineStr">
        <is>
          <t>J콜센터</t>
        </is>
      </c>
      <c r="M2313" s="9">
        <f>IF($A2313="","",VALUE($A2313&amp;"")*12+VALUE($B2313&amp;""))</f>
        <v/>
      </c>
      <c r="N2313" s="64">
        <f>IF($A2313="","",IFERROR(INDEX(부서매핑!$C$5:$C$504,MATCH($G2313&amp;"",부서매핑!$A$5:$A$504,0)),"미매핑"))</f>
        <v/>
      </c>
      <c r="O2313" s="9">
        <f>IF($A2313="","",N2313&amp;"|"&amp;$F2313)</f>
        <v/>
      </c>
      <c r="P2313" s="94">
        <f>IF($A2313="",0,$H2313*설정!$C$23)</f>
        <v/>
      </c>
      <c r="Q2313" s="64">
        <f>IF($A2313="","",IF(O2313&lt;&gt;원인분석!$C$9,"",IF(AND(M2313&gt;=원인분석!$C$10,M2313&lt;=원인분석!$C$11),"당기",IF(AND(M2313&gt;=원인분석!$C$12,M2313&lt;=원인분석!$C$13),"비교",""))))</f>
        <v/>
      </c>
      <c r="R2313" s="9">
        <f>IF(Q2313="","",$K2313&amp;"")</f>
        <v/>
      </c>
      <c r="S2313" s="9">
        <f>IF(Q2313="","",IF(MATCH(R2313,$R$5:$R$100000,0)=ROW()-4,ROW(),""))</f>
        <v/>
      </c>
      <c r="T2313" s="9">
        <f>IF(Q2313="당기",ABS(P2313)+ROW()/1000000000,"")</f>
        <v/>
      </c>
      <c r="U2313" s="9">
        <f>IF(Q2313="비교",ABS(P2313)+ROW()/1000000000,"")</f>
        <v/>
      </c>
      <c r="V2313" s="64">
        <f>IF($A2313="","",IF(COUNTIF(변동분석!$E$7:$E$506,O2313)&gt;0,"Y","N"))</f>
        <v/>
      </c>
      <c r="W2313" s="64">
        <f>IF($A2313="","",IFERROR(INDEX(계정매핑!$D$5:$D$504,MATCH($F2313&amp;"",계정매핑!$A$5:$A$504,0)),"미매핑"))</f>
        <v/>
      </c>
      <c r="X2313" s="9">
        <f>IF($A2313="","",$F2313&amp;"")</f>
        <v/>
      </c>
      <c r="Y2313" s="94">
        <f>IF($A2313="",0,IF(AE2313="직접",IF(AF2313="비귀속",$P2313,0),$P2313*(1-AG2313)*IFERROR(INDEX(계정대체기준!$F$20:$F$49,MATCH($N2313,계정대체기준!$A$20:$A$49,0)),1)))</f>
        <v/>
      </c>
      <c r="Z2313" s="94">
        <f>IF($A2313="",0,IF(AE2313="직접",IF(AF2313="신계약비",$P2313,0),$P2313*(1-AG2313)*IFERROR(INDEX(계정대체기준!$C$20:$C$49,MATCH($N2313,계정대체기준!$A$20:$A$49,0)),0)))</f>
        <v/>
      </c>
      <c r="AA2313" s="94">
        <f>IF($A2313="",0,IF(AE2313="직접",IF(OR(AF2313="유지비",AF2313="손해조사비"),$P2313,0),$P2313*(1-AG2313)*IFERROR(INDEX(계정대체기준!$D$20:$D$49,MATCH($N2313,계정대체기준!$A$20:$A$49,0)),0)))</f>
        <v/>
      </c>
      <c r="AB2313" s="94">
        <f>IF($A2313="",0,IF(AE2313="직접",IF(AF2313="수금비",$P2313,0),$P2313*(1-AG2313)*IFERROR(INDEX(계정대체기준!$E$20:$E$49,MATCH($N2313,계정대체기준!$A$20:$A$49,0)),0)))</f>
        <v/>
      </c>
      <c r="AC2313" s="9">
        <f>IF(AND($A2313&lt;&gt;"",M2313=설정!$C$20,Z2313&gt;0),Z2313+ROW()/1000000000,"")</f>
        <v/>
      </c>
      <c r="AD2313" s="94">
        <f>IF($A2313="",0,$P2313*AG2313)</f>
        <v/>
      </c>
      <c r="AE2313" s="64">
        <f>IF($A2313="","",IFERROR(INDEX(계정매핑!$E$5:$E$504,MATCH($F2313&amp;"",계정매핑!$A$5:$A$504,0))&amp;"","공통비"))</f>
        <v/>
      </c>
      <c r="AF2313" s="64">
        <f>IF($A2313="","",IF(AE2313="직접",IFERROR(INDEX(계정매핑!$F$5:$F$504,MATCH($F2313&amp;"",계정매핑!$A$5:$A$504,0))&amp;"","비귀속"),""))</f>
        <v/>
      </c>
      <c r="AG2313" s="96">
        <f>IF($A2313="",0,IF(AND(AE2313&lt;&gt;"직접",IFERROR(INDEX(계정매핑!$G$5:$G$504,MATCH($F2313&amp;"",계정매핑!$A$5:$A$504,0))&amp;"","")="유지비",COUNTIF(계정대체기준!$A$6:$A$15,$N2313)&gt;0),IFERROR(INDEX(계정대체기준!$E$6:$E$15,MATCH(VALUE($A2313&amp;""),계정대체기준!$D$6:$D$15,0)),0),0))</f>
        <v/>
      </c>
      <c r="AH2313" s="64">
        <f>IF($A2313="","",IF(AD2313=0,"",IF(OR(COUNTIF(계정대체기준!$A$77:$A$86,$N2313)&gt;0,ISNUMBER(MATCH($X2313,계정대체기준!$D$77:$D$86,0)),ISNUMBER(MATCH($F2313,계정대체기준!$D$77:$D$86,0))),"Y","N")))</f>
        <v/>
      </c>
    </row>
    <row r="2314">
      <c r="A2314" s="92" t="n">
        <v>2025</v>
      </c>
      <c r="B2314" s="92" t="n">
        <v>11</v>
      </c>
      <c r="C2314" s="92" t="inlineStr">
        <is>
          <t>5100002310</t>
        </is>
      </c>
      <c r="D2314" s="95" t="n">
        <v>45968</v>
      </c>
      <c r="E2314" s="92" t="inlineStr">
        <is>
          <t>KR</t>
        </is>
      </c>
      <c r="F2314" s="92" t="n">
        <v>62902000</v>
      </c>
      <c r="G2314" s="92" t="n">
        <v>1801</v>
      </c>
      <c r="H2314" s="93" t="n">
        <v>1763000</v>
      </c>
      <c r="I2314" s="92" t="inlineStr">
        <is>
          <t>11월 콜 위탁 수수료(건별)</t>
        </is>
      </c>
      <c r="J2314" s="92" t="inlineStr">
        <is>
          <t>V10016</t>
        </is>
      </c>
      <c r="K2314" s="92" t="inlineStr">
        <is>
          <t>J콜센터</t>
        </is>
      </c>
      <c r="M2314" s="9">
        <f>IF($A2314="","",VALUE($A2314&amp;"")*12+VALUE($B2314&amp;""))</f>
        <v/>
      </c>
      <c r="N2314" s="64">
        <f>IF($A2314="","",IFERROR(INDEX(부서매핑!$C$5:$C$504,MATCH($G2314&amp;"",부서매핑!$A$5:$A$504,0)),"미매핑"))</f>
        <v/>
      </c>
      <c r="O2314" s="9">
        <f>IF($A2314="","",N2314&amp;"|"&amp;$F2314)</f>
        <v/>
      </c>
      <c r="P2314" s="94">
        <f>IF($A2314="",0,$H2314*설정!$C$23)</f>
        <v/>
      </c>
      <c r="Q2314" s="64">
        <f>IF($A2314="","",IF(O2314&lt;&gt;원인분석!$C$9,"",IF(AND(M2314&gt;=원인분석!$C$10,M2314&lt;=원인분석!$C$11),"당기",IF(AND(M2314&gt;=원인분석!$C$12,M2314&lt;=원인분석!$C$13),"비교",""))))</f>
        <v/>
      </c>
      <c r="R2314" s="9">
        <f>IF(Q2314="","",$K2314&amp;"")</f>
        <v/>
      </c>
      <c r="S2314" s="9">
        <f>IF(Q2314="","",IF(MATCH(R2314,$R$5:$R$100000,0)=ROW()-4,ROW(),""))</f>
        <v/>
      </c>
      <c r="T2314" s="9">
        <f>IF(Q2314="당기",ABS(P2314)+ROW()/1000000000,"")</f>
        <v/>
      </c>
      <c r="U2314" s="9">
        <f>IF(Q2314="비교",ABS(P2314)+ROW()/1000000000,"")</f>
        <v/>
      </c>
      <c r="V2314" s="64">
        <f>IF($A2314="","",IF(COUNTIF(변동분석!$E$7:$E$506,O2314)&gt;0,"Y","N"))</f>
        <v/>
      </c>
      <c r="W2314" s="64">
        <f>IF($A2314="","",IFERROR(INDEX(계정매핑!$D$5:$D$504,MATCH($F2314&amp;"",계정매핑!$A$5:$A$504,0)),"미매핑"))</f>
        <v/>
      </c>
      <c r="X2314" s="9">
        <f>IF($A2314="","",$F2314&amp;"")</f>
        <v/>
      </c>
      <c r="Y2314" s="94">
        <f>IF($A2314="",0,IF(AE2314="직접",IF(AF2314="비귀속",$P2314,0),$P2314*(1-AG2314)*IFERROR(INDEX(계정대체기준!$F$20:$F$49,MATCH($N2314,계정대체기준!$A$20:$A$49,0)),1)))</f>
        <v/>
      </c>
      <c r="Z2314" s="94">
        <f>IF($A2314="",0,IF(AE2314="직접",IF(AF2314="신계약비",$P2314,0),$P2314*(1-AG2314)*IFERROR(INDEX(계정대체기준!$C$20:$C$49,MATCH($N2314,계정대체기준!$A$20:$A$49,0)),0)))</f>
        <v/>
      </c>
      <c r="AA2314" s="94">
        <f>IF($A2314="",0,IF(AE2314="직접",IF(OR(AF2314="유지비",AF2314="손해조사비"),$P2314,0),$P2314*(1-AG2314)*IFERROR(INDEX(계정대체기준!$D$20:$D$49,MATCH($N2314,계정대체기준!$A$20:$A$49,0)),0)))</f>
        <v/>
      </c>
      <c r="AB2314" s="94">
        <f>IF($A2314="",0,IF(AE2314="직접",IF(AF2314="수금비",$P2314,0),$P2314*(1-AG2314)*IFERROR(INDEX(계정대체기준!$E$20:$E$49,MATCH($N2314,계정대체기준!$A$20:$A$49,0)),0)))</f>
        <v/>
      </c>
      <c r="AC2314" s="9">
        <f>IF(AND($A2314&lt;&gt;"",M2314=설정!$C$20,Z2314&gt;0),Z2314+ROW()/1000000000,"")</f>
        <v/>
      </c>
      <c r="AD2314" s="94">
        <f>IF($A2314="",0,$P2314*AG2314)</f>
        <v/>
      </c>
      <c r="AE2314" s="64">
        <f>IF($A2314="","",IFERROR(INDEX(계정매핑!$E$5:$E$504,MATCH($F2314&amp;"",계정매핑!$A$5:$A$504,0))&amp;"","공통비"))</f>
        <v/>
      </c>
      <c r="AF2314" s="64">
        <f>IF($A2314="","",IF(AE2314="직접",IFERROR(INDEX(계정매핑!$F$5:$F$504,MATCH($F2314&amp;"",계정매핑!$A$5:$A$504,0))&amp;"","비귀속"),""))</f>
        <v/>
      </c>
      <c r="AG2314" s="96">
        <f>IF($A2314="",0,IF(AND(AE2314&lt;&gt;"직접",IFERROR(INDEX(계정매핑!$G$5:$G$504,MATCH($F2314&amp;"",계정매핑!$A$5:$A$504,0))&amp;"","")="유지비",COUNTIF(계정대체기준!$A$6:$A$15,$N2314)&gt;0),IFERROR(INDEX(계정대체기준!$E$6:$E$15,MATCH(VALUE($A2314&amp;""),계정대체기준!$D$6:$D$15,0)),0),0))</f>
        <v/>
      </c>
      <c r="AH2314" s="64">
        <f>IF($A2314="","",IF(AD2314=0,"",IF(OR(COUNTIF(계정대체기준!$A$77:$A$86,$N2314)&gt;0,ISNUMBER(MATCH($X2314,계정대체기준!$D$77:$D$86,0)),ISNUMBER(MATCH($F2314,계정대체기준!$D$77:$D$86,0))),"Y","N")))</f>
        <v/>
      </c>
    </row>
    <row r="2315">
      <c r="A2315" s="92" t="n">
        <v>2025</v>
      </c>
      <c r="B2315" s="92" t="n">
        <v>11</v>
      </c>
      <c r="C2315" s="92" t="inlineStr">
        <is>
          <t>5100002311</t>
        </is>
      </c>
      <c r="D2315" s="95" t="n">
        <v>45968</v>
      </c>
      <c r="E2315" s="92" t="inlineStr">
        <is>
          <t>KR</t>
        </is>
      </c>
      <c r="F2315" s="92" t="n">
        <v>63201000</v>
      </c>
      <c r="G2315" s="92" t="n">
        <v>1602</v>
      </c>
      <c r="H2315" s="93" t="n">
        <v>5597000</v>
      </c>
      <c r="I2315" s="92" t="inlineStr">
        <is>
          <t>11월 차량 유지 - D정비</t>
        </is>
      </c>
      <c r="J2315" s="92" t="inlineStr">
        <is>
          <t>V10025</t>
        </is>
      </c>
      <c r="K2315" s="92" t="inlineStr">
        <is>
          <t>D정비</t>
        </is>
      </c>
      <c r="M2315" s="9">
        <f>IF($A2315="","",VALUE($A2315&amp;"")*12+VALUE($B2315&amp;""))</f>
        <v/>
      </c>
      <c r="N2315" s="64">
        <f>IF($A2315="","",IFERROR(INDEX(부서매핑!$C$5:$C$504,MATCH($G2315&amp;"",부서매핑!$A$5:$A$504,0)),"미매핑"))</f>
        <v/>
      </c>
      <c r="O2315" s="9">
        <f>IF($A2315="","",N2315&amp;"|"&amp;$F2315)</f>
        <v/>
      </c>
      <c r="P2315" s="94">
        <f>IF($A2315="",0,$H2315*설정!$C$23)</f>
        <v/>
      </c>
      <c r="Q2315" s="64">
        <f>IF($A2315="","",IF(O2315&lt;&gt;원인분석!$C$9,"",IF(AND(M2315&gt;=원인분석!$C$10,M2315&lt;=원인분석!$C$11),"당기",IF(AND(M2315&gt;=원인분석!$C$12,M2315&lt;=원인분석!$C$13),"비교",""))))</f>
        <v/>
      </c>
      <c r="R2315" s="9">
        <f>IF(Q2315="","",$K2315&amp;"")</f>
        <v/>
      </c>
      <c r="S2315" s="9">
        <f>IF(Q2315="","",IF(MATCH(R2315,$R$5:$R$100000,0)=ROW()-4,ROW(),""))</f>
        <v/>
      </c>
      <c r="T2315" s="9">
        <f>IF(Q2315="당기",ABS(P2315)+ROW()/1000000000,"")</f>
        <v/>
      </c>
      <c r="U2315" s="9">
        <f>IF(Q2315="비교",ABS(P2315)+ROW()/1000000000,"")</f>
        <v/>
      </c>
      <c r="V2315" s="64">
        <f>IF($A2315="","",IF(COUNTIF(변동분석!$E$7:$E$506,O2315)&gt;0,"Y","N"))</f>
        <v/>
      </c>
      <c r="W2315" s="64">
        <f>IF($A2315="","",IFERROR(INDEX(계정매핑!$D$5:$D$504,MATCH($F2315&amp;"",계정매핑!$A$5:$A$504,0)),"미매핑"))</f>
        <v/>
      </c>
      <c r="X2315" s="9">
        <f>IF($A2315="","",$F2315&amp;"")</f>
        <v/>
      </c>
      <c r="Y2315" s="94">
        <f>IF($A2315="",0,IF(AE2315="직접",IF(AF2315="비귀속",$P2315,0),$P2315*(1-AG2315)*IFERROR(INDEX(계정대체기준!$F$20:$F$49,MATCH($N2315,계정대체기준!$A$20:$A$49,0)),1)))</f>
        <v/>
      </c>
      <c r="Z2315" s="94">
        <f>IF($A2315="",0,IF(AE2315="직접",IF(AF2315="신계약비",$P2315,0),$P2315*(1-AG2315)*IFERROR(INDEX(계정대체기준!$C$20:$C$49,MATCH($N2315,계정대체기준!$A$20:$A$49,0)),0)))</f>
        <v/>
      </c>
      <c r="AA2315" s="94">
        <f>IF($A2315="",0,IF(AE2315="직접",IF(OR(AF2315="유지비",AF2315="손해조사비"),$P2315,0),$P2315*(1-AG2315)*IFERROR(INDEX(계정대체기준!$D$20:$D$49,MATCH($N2315,계정대체기준!$A$20:$A$49,0)),0)))</f>
        <v/>
      </c>
      <c r="AB2315" s="94">
        <f>IF($A2315="",0,IF(AE2315="직접",IF(AF2315="수금비",$P2315,0),$P2315*(1-AG2315)*IFERROR(INDEX(계정대체기준!$E$20:$E$49,MATCH($N2315,계정대체기준!$A$20:$A$49,0)),0)))</f>
        <v/>
      </c>
      <c r="AC2315" s="9">
        <f>IF(AND($A2315&lt;&gt;"",M2315=설정!$C$20,Z2315&gt;0),Z2315+ROW()/1000000000,"")</f>
        <v/>
      </c>
      <c r="AD2315" s="94">
        <f>IF($A2315="",0,$P2315*AG2315)</f>
        <v/>
      </c>
      <c r="AE2315" s="64">
        <f>IF($A2315="","",IFERROR(INDEX(계정매핑!$E$5:$E$504,MATCH($F2315&amp;"",계정매핑!$A$5:$A$504,0))&amp;"","공통비"))</f>
        <v/>
      </c>
      <c r="AF2315" s="64">
        <f>IF($A2315="","",IF(AE2315="직접",IFERROR(INDEX(계정매핑!$F$5:$F$504,MATCH($F2315&amp;"",계정매핑!$A$5:$A$504,0))&amp;"","비귀속"),""))</f>
        <v/>
      </c>
      <c r="AG2315" s="96">
        <f>IF($A2315="",0,IF(AND(AE2315&lt;&gt;"직접",IFERROR(INDEX(계정매핑!$G$5:$G$504,MATCH($F2315&amp;"",계정매핑!$A$5:$A$504,0))&amp;"","")="유지비",COUNTIF(계정대체기준!$A$6:$A$15,$N2315)&gt;0),IFERROR(INDEX(계정대체기준!$E$6:$E$15,MATCH(VALUE($A2315&amp;""),계정대체기준!$D$6:$D$15,0)),0),0))</f>
        <v/>
      </c>
      <c r="AH2315" s="64">
        <f>IF($A2315="","",IF(AD2315=0,"",IF(OR(COUNTIF(계정대체기준!$A$77:$A$86,$N2315)&gt;0,ISNUMBER(MATCH($X2315,계정대체기준!$D$77:$D$86,0)),ISNUMBER(MATCH($F2315,계정대체기준!$D$77:$D$86,0))),"Y","N")))</f>
        <v/>
      </c>
    </row>
    <row r="2316">
      <c r="A2316" s="92" t="n">
        <v>2025</v>
      </c>
      <c r="B2316" s="92" t="n">
        <v>11</v>
      </c>
      <c r="C2316" s="92" t="inlineStr">
        <is>
          <t>5100002312</t>
        </is>
      </c>
      <c r="D2316" s="95" t="n">
        <v>45969</v>
      </c>
      <c r="E2316" s="92" t="inlineStr">
        <is>
          <t>KR</t>
        </is>
      </c>
      <c r="F2316" s="92" t="n">
        <v>62101000</v>
      </c>
      <c r="G2316" s="92" t="n">
        <v>1301</v>
      </c>
      <c r="H2316" s="93" t="n">
        <v>214000</v>
      </c>
      <c r="I2316" s="92" t="inlineStr">
        <is>
          <t>11월 국내출장 - (법인카드)</t>
        </is>
      </c>
      <c r="J2316" s="92" t="inlineStr">
        <is>
          <t>V10010</t>
        </is>
      </c>
      <c r="K2316" s="92" t="inlineStr">
        <is>
          <t>(법인카드)</t>
        </is>
      </c>
      <c r="M2316" s="9">
        <f>IF($A2316="","",VALUE($A2316&amp;"")*12+VALUE($B2316&amp;""))</f>
        <v/>
      </c>
      <c r="N2316" s="64">
        <f>IF($A2316="","",IFERROR(INDEX(부서매핑!$C$5:$C$504,MATCH($G2316&amp;"",부서매핑!$A$5:$A$504,0)),"미매핑"))</f>
        <v/>
      </c>
      <c r="O2316" s="9">
        <f>IF($A2316="","",N2316&amp;"|"&amp;$F2316)</f>
        <v/>
      </c>
      <c r="P2316" s="94">
        <f>IF($A2316="",0,$H2316*설정!$C$23)</f>
        <v/>
      </c>
      <c r="Q2316" s="64">
        <f>IF($A2316="","",IF(O2316&lt;&gt;원인분석!$C$9,"",IF(AND(M2316&gt;=원인분석!$C$10,M2316&lt;=원인분석!$C$11),"당기",IF(AND(M2316&gt;=원인분석!$C$12,M2316&lt;=원인분석!$C$13),"비교",""))))</f>
        <v/>
      </c>
      <c r="R2316" s="9">
        <f>IF(Q2316="","",$K2316&amp;"")</f>
        <v/>
      </c>
      <c r="S2316" s="9">
        <f>IF(Q2316="","",IF(MATCH(R2316,$R$5:$R$100000,0)=ROW()-4,ROW(),""))</f>
        <v/>
      </c>
      <c r="T2316" s="9">
        <f>IF(Q2316="당기",ABS(P2316)+ROW()/1000000000,"")</f>
        <v/>
      </c>
      <c r="U2316" s="9">
        <f>IF(Q2316="비교",ABS(P2316)+ROW()/1000000000,"")</f>
        <v/>
      </c>
      <c r="V2316" s="64">
        <f>IF($A2316="","",IF(COUNTIF(변동분석!$E$7:$E$506,O2316)&gt;0,"Y","N"))</f>
        <v/>
      </c>
      <c r="W2316" s="64">
        <f>IF($A2316="","",IFERROR(INDEX(계정매핑!$D$5:$D$504,MATCH($F2316&amp;"",계정매핑!$A$5:$A$504,0)),"미매핑"))</f>
        <v/>
      </c>
      <c r="X2316" s="9">
        <f>IF($A2316="","",$F2316&amp;"")</f>
        <v/>
      </c>
      <c r="Y2316" s="94">
        <f>IF($A2316="",0,IF(AE2316="직접",IF(AF2316="비귀속",$P2316,0),$P2316*(1-AG2316)*IFERROR(INDEX(계정대체기준!$F$20:$F$49,MATCH($N2316,계정대체기준!$A$20:$A$49,0)),1)))</f>
        <v/>
      </c>
      <c r="Z2316" s="94">
        <f>IF($A2316="",0,IF(AE2316="직접",IF(AF2316="신계약비",$P2316,0),$P2316*(1-AG2316)*IFERROR(INDEX(계정대체기준!$C$20:$C$49,MATCH($N2316,계정대체기준!$A$20:$A$49,0)),0)))</f>
        <v/>
      </c>
      <c r="AA2316" s="94">
        <f>IF($A2316="",0,IF(AE2316="직접",IF(OR(AF2316="유지비",AF2316="손해조사비"),$P2316,0),$P2316*(1-AG2316)*IFERROR(INDEX(계정대체기준!$D$20:$D$49,MATCH($N2316,계정대체기준!$A$20:$A$49,0)),0)))</f>
        <v/>
      </c>
      <c r="AB2316" s="94">
        <f>IF($A2316="",0,IF(AE2316="직접",IF(AF2316="수금비",$P2316,0),$P2316*(1-AG2316)*IFERROR(INDEX(계정대체기준!$E$20:$E$49,MATCH($N2316,계정대체기준!$A$20:$A$49,0)),0)))</f>
        <v/>
      </c>
      <c r="AC2316" s="9">
        <f>IF(AND($A2316&lt;&gt;"",M2316=설정!$C$20,Z2316&gt;0),Z2316+ROW()/1000000000,"")</f>
        <v/>
      </c>
      <c r="AD2316" s="94">
        <f>IF($A2316="",0,$P2316*AG2316)</f>
        <v/>
      </c>
      <c r="AE2316" s="64">
        <f>IF($A2316="","",IFERROR(INDEX(계정매핑!$E$5:$E$504,MATCH($F2316&amp;"",계정매핑!$A$5:$A$504,0))&amp;"","공통비"))</f>
        <v/>
      </c>
      <c r="AF2316" s="64">
        <f>IF($A2316="","",IF(AE2316="직접",IFERROR(INDEX(계정매핑!$F$5:$F$504,MATCH($F2316&amp;"",계정매핑!$A$5:$A$504,0))&amp;"","비귀속"),""))</f>
        <v/>
      </c>
      <c r="AG2316" s="96">
        <f>IF($A2316="",0,IF(AND(AE2316&lt;&gt;"직접",IFERROR(INDEX(계정매핑!$G$5:$G$504,MATCH($F2316&amp;"",계정매핑!$A$5:$A$504,0))&amp;"","")="유지비",COUNTIF(계정대체기준!$A$6:$A$15,$N2316)&gt;0),IFERROR(INDEX(계정대체기준!$E$6:$E$15,MATCH(VALUE($A2316&amp;""),계정대체기준!$D$6:$D$15,0)),0),0))</f>
        <v/>
      </c>
      <c r="AH2316" s="64">
        <f>IF($A2316="","",IF(AD2316=0,"",IF(OR(COUNTIF(계정대체기준!$A$77:$A$86,$N2316)&gt;0,ISNUMBER(MATCH($X2316,계정대체기준!$D$77:$D$86,0)),ISNUMBER(MATCH($F2316,계정대체기준!$D$77:$D$86,0))),"Y","N")))</f>
        <v/>
      </c>
    </row>
    <row r="2317">
      <c r="A2317" s="92" t="n">
        <v>2025</v>
      </c>
      <c r="B2317" s="92" t="n">
        <v>11</v>
      </c>
      <c r="C2317" s="92" t="inlineStr">
        <is>
          <t>5100002313</t>
        </is>
      </c>
      <c r="D2317" s="95" t="n">
        <v>45969</v>
      </c>
      <c r="E2317" s="92" t="inlineStr">
        <is>
          <t>KR</t>
        </is>
      </c>
      <c r="F2317" s="92" t="n">
        <v>62101000</v>
      </c>
      <c r="G2317" s="92" t="n">
        <v>1951</v>
      </c>
      <c r="H2317" s="93" t="n">
        <v>359000</v>
      </c>
      <c r="I2317" s="92" t="inlineStr">
        <is>
          <t>11월 국내출장 - (법인카드)</t>
        </is>
      </c>
      <c r="J2317" s="92" t="inlineStr">
        <is>
          <t>V10010</t>
        </is>
      </c>
      <c r="K2317" s="92" t="inlineStr">
        <is>
          <t>(법인카드)</t>
        </is>
      </c>
      <c r="M2317" s="9">
        <f>IF($A2317="","",VALUE($A2317&amp;"")*12+VALUE($B2317&amp;""))</f>
        <v/>
      </c>
      <c r="N2317" s="64">
        <f>IF($A2317="","",IFERROR(INDEX(부서매핑!$C$5:$C$504,MATCH($G2317&amp;"",부서매핑!$A$5:$A$504,0)),"미매핑"))</f>
        <v/>
      </c>
      <c r="O2317" s="9">
        <f>IF($A2317="","",N2317&amp;"|"&amp;$F2317)</f>
        <v/>
      </c>
      <c r="P2317" s="94">
        <f>IF($A2317="",0,$H2317*설정!$C$23)</f>
        <v/>
      </c>
      <c r="Q2317" s="64">
        <f>IF($A2317="","",IF(O2317&lt;&gt;원인분석!$C$9,"",IF(AND(M2317&gt;=원인분석!$C$10,M2317&lt;=원인분석!$C$11),"당기",IF(AND(M2317&gt;=원인분석!$C$12,M2317&lt;=원인분석!$C$13),"비교",""))))</f>
        <v/>
      </c>
      <c r="R2317" s="9">
        <f>IF(Q2317="","",$K2317&amp;"")</f>
        <v/>
      </c>
      <c r="S2317" s="9">
        <f>IF(Q2317="","",IF(MATCH(R2317,$R$5:$R$100000,0)=ROW()-4,ROW(),""))</f>
        <v/>
      </c>
      <c r="T2317" s="9">
        <f>IF(Q2317="당기",ABS(P2317)+ROW()/1000000000,"")</f>
        <v/>
      </c>
      <c r="U2317" s="9">
        <f>IF(Q2317="비교",ABS(P2317)+ROW()/1000000000,"")</f>
        <v/>
      </c>
      <c r="V2317" s="64">
        <f>IF($A2317="","",IF(COUNTIF(변동분석!$E$7:$E$506,O2317)&gt;0,"Y","N"))</f>
        <v/>
      </c>
      <c r="W2317" s="64">
        <f>IF($A2317="","",IFERROR(INDEX(계정매핑!$D$5:$D$504,MATCH($F2317&amp;"",계정매핑!$A$5:$A$504,0)),"미매핑"))</f>
        <v/>
      </c>
      <c r="X2317" s="9">
        <f>IF($A2317="","",$F2317&amp;"")</f>
        <v/>
      </c>
      <c r="Y2317" s="94">
        <f>IF($A2317="",0,IF(AE2317="직접",IF(AF2317="비귀속",$P2317,0),$P2317*(1-AG2317)*IFERROR(INDEX(계정대체기준!$F$20:$F$49,MATCH($N2317,계정대체기준!$A$20:$A$49,0)),1)))</f>
        <v/>
      </c>
      <c r="Z2317" s="94">
        <f>IF($A2317="",0,IF(AE2317="직접",IF(AF2317="신계약비",$P2317,0),$P2317*(1-AG2317)*IFERROR(INDEX(계정대체기준!$C$20:$C$49,MATCH($N2317,계정대체기준!$A$20:$A$49,0)),0)))</f>
        <v/>
      </c>
      <c r="AA2317" s="94">
        <f>IF($A2317="",0,IF(AE2317="직접",IF(OR(AF2317="유지비",AF2317="손해조사비"),$P2317,0),$P2317*(1-AG2317)*IFERROR(INDEX(계정대체기준!$D$20:$D$49,MATCH($N2317,계정대체기준!$A$20:$A$49,0)),0)))</f>
        <v/>
      </c>
      <c r="AB2317" s="94">
        <f>IF($A2317="",0,IF(AE2317="직접",IF(AF2317="수금비",$P2317,0),$P2317*(1-AG2317)*IFERROR(INDEX(계정대체기준!$E$20:$E$49,MATCH($N2317,계정대체기준!$A$20:$A$49,0)),0)))</f>
        <v/>
      </c>
      <c r="AC2317" s="9">
        <f>IF(AND($A2317&lt;&gt;"",M2317=설정!$C$20,Z2317&gt;0),Z2317+ROW()/1000000000,"")</f>
        <v/>
      </c>
      <c r="AD2317" s="94">
        <f>IF($A2317="",0,$P2317*AG2317)</f>
        <v/>
      </c>
      <c r="AE2317" s="64">
        <f>IF($A2317="","",IFERROR(INDEX(계정매핑!$E$5:$E$504,MATCH($F2317&amp;"",계정매핑!$A$5:$A$504,0))&amp;"","공통비"))</f>
        <v/>
      </c>
      <c r="AF2317" s="64">
        <f>IF($A2317="","",IF(AE2317="직접",IFERROR(INDEX(계정매핑!$F$5:$F$504,MATCH($F2317&amp;"",계정매핑!$A$5:$A$504,0))&amp;"","비귀속"),""))</f>
        <v/>
      </c>
      <c r="AG2317" s="96">
        <f>IF($A2317="",0,IF(AND(AE2317&lt;&gt;"직접",IFERROR(INDEX(계정매핑!$G$5:$G$504,MATCH($F2317&amp;"",계정매핑!$A$5:$A$504,0))&amp;"","")="유지비",COUNTIF(계정대체기준!$A$6:$A$15,$N2317)&gt;0),IFERROR(INDEX(계정대체기준!$E$6:$E$15,MATCH(VALUE($A2317&amp;""),계정대체기준!$D$6:$D$15,0)),0),0))</f>
        <v/>
      </c>
      <c r="AH2317" s="64">
        <f>IF($A2317="","",IF(AD2317=0,"",IF(OR(COUNTIF(계정대체기준!$A$77:$A$86,$N2317)&gt;0,ISNUMBER(MATCH($X2317,계정대체기준!$D$77:$D$86,0)),ISNUMBER(MATCH($F2317,계정대체기준!$D$77:$D$86,0))),"Y","N")))</f>
        <v/>
      </c>
    </row>
    <row r="2318">
      <c r="A2318" s="92" t="n">
        <v>2025</v>
      </c>
      <c r="B2318" s="92" t="n">
        <v>11</v>
      </c>
      <c r="C2318" s="92" t="inlineStr">
        <is>
          <t>5100002314</t>
        </is>
      </c>
      <c r="D2318" s="95" t="n">
        <v>45969</v>
      </c>
      <c r="E2318" s="92" t="inlineStr">
        <is>
          <t>KR</t>
        </is>
      </c>
      <c r="F2318" s="92" t="n">
        <v>62201000</v>
      </c>
      <c r="G2318" s="92" t="n">
        <v>1951</v>
      </c>
      <c r="H2318" s="93" t="n">
        <v>268000</v>
      </c>
      <c r="I2318" s="92" t="inlineStr">
        <is>
          <t>11월 통신요금 - O텔레콤</t>
        </is>
      </c>
      <c r="J2318" s="92" t="inlineStr">
        <is>
          <t>V10002</t>
        </is>
      </c>
      <c r="K2318" s="92" t="inlineStr">
        <is>
          <t>O텔레콤</t>
        </is>
      </c>
      <c r="M2318" s="9">
        <f>IF($A2318="","",VALUE($A2318&amp;"")*12+VALUE($B2318&amp;""))</f>
        <v/>
      </c>
      <c r="N2318" s="64">
        <f>IF($A2318="","",IFERROR(INDEX(부서매핑!$C$5:$C$504,MATCH($G2318&amp;"",부서매핑!$A$5:$A$504,0)),"미매핑"))</f>
        <v/>
      </c>
      <c r="O2318" s="9">
        <f>IF($A2318="","",N2318&amp;"|"&amp;$F2318)</f>
        <v/>
      </c>
      <c r="P2318" s="94">
        <f>IF($A2318="",0,$H2318*설정!$C$23)</f>
        <v/>
      </c>
      <c r="Q2318" s="64">
        <f>IF($A2318="","",IF(O2318&lt;&gt;원인분석!$C$9,"",IF(AND(M2318&gt;=원인분석!$C$10,M2318&lt;=원인분석!$C$11),"당기",IF(AND(M2318&gt;=원인분석!$C$12,M2318&lt;=원인분석!$C$13),"비교",""))))</f>
        <v/>
      </c>
      <c r="R2318" s="9">
        <f>IF(Q2318="","",$K2318&amp;"")</f>
        <v/>
      </c>
      <c r="S2318" s="9">
        <f>IF(Q2318="","",IF(MATCH(R2318,$R$5:$R$100000,0)=ROW()-4,ROW(),""))</f>
        <v/>
      </c>
      <c r="T2318" s="9">
        <f>IF(Q2318="당기",ABS(P2318)+ROW()/1000000000,"")</f>
        <v/>
      </c>
      <c r="U2318" s="9">
        <f>IF(Q2318="비교",ABS(P2318)+ROW()/1000000000,"")</f>
        <v/>
      </c>
      <c r="V2318" s="64">
        <f>IF($A2318="","",IF(COUNTIF(변동분석!$E$7:$E$506,O2318)&gt;0,"Y","N"))</f>
        <v/>
      </c>
      <c r="W2318" s="64">
        <f>IF($A2318="","",IFERROR(INDEX(계정매핑!$D$5:$D$504,MATCH($F2318&amp;"",계정매핑!$A$5:$A$504,0)),"미매핑"))</f>
        <v/>
      </c>
      <c r="X2318" s="9">
        <f>IF($A2318="","",$F2318&amp;"")</f>
        <v/>
      </c>
      <c r="Y2318" s="94">
        <f>IF($A2318="",0,IF(AE2318="직접",IF(AF2318="비귀속",$P2318,0),$P2318*(1-AG2318)*IFERROR(INDEX(계정대체기준!$F$20:$F$49,MATCH($N2318,계정대체기준!$A$20:$A$49,0)),1)))</f>
        <v/>
      </c>
      <c r="Z2318" s="94">
        <f>IF($A2318="",0,IF(AE2318="직접",IF(AF2318="신계약비",$P2318,0),$P2318*(1-AG2318)*IFERROR(INDEX(계정대체기준!$C$20:$C$49,MATCH($N2318,계정대체기준!$A$20:$A$49,0)),0)))</f>
        <v/>
      </c>
      <c r="AA2318" s="94">
        <f>IF($A2318="",0,IF(AE2318="직접",IF(OR(AF2318="유지비",AF2318="손해조사비"),$P2318,0),$P2318*(1-AG2318)*IFERROR(INDEX(계정대체기준!$D$20:$D$49,MATCH($N2318,계정대체기준!$A$20:$A$49,0)),0)))</f>
        <v/>
      </c>
      <c r="AB2318" s="94">
        <f>IF($A2318="",0,IF(AE2318="직접",IF(AF2318="수금비",$P2318,0),$P2318*(1-AG2318)*IFERROR(INDEX(계정대체기준!$E$20:$E$49,MATCH($N2318,계정대체기준!$A$20:$A$49,0)),0)))</f>
        <v/>
      </c>
      <c r="AC2318" s="9">
        <f>IF(AND($A2318&lt;&gt;"",M2318=설정!$C$20,Z2318&gt;0),Z2318+ROW()/1000000000,"")</f>
        <v/>
      </c>
      <c r="AD2318" s="94">
        <f>IF($A2318="",0,$P2318*AG2318)</f>
        <v/>
      </c>
      <c r="AE2318" s="64">
        <f>IF($A2318="","",IFERROR(INDEX(계정매핑!$E$5:$E$504,MATCH($F2318&amp;"",계정매핑!$A$5:$A$504,0))&amp;"","공통비"))</f>
        <v/>
      </c>
      <c r="AF2318" s="64">
        <f>IF($A2318="","",IF(AE2318="직접",IFERROR(INDEX(계정매핑!$F$5:$F$504,MATCH($F2318&amp;"",계정매핑!$A$5:$A$504,0))&amp;"","비귀속"),""))</f>
        <v/>
      </c>
      <c r="AG2318" s="96">
        <f>IF($A2318="",0,IF(AND(AE2318&lt;&gt;"직접",IFERROR(INDEX(계정매핑!$G$5:$G$504,MATCH($F2318&amp;"",계정매핑!$A$5:$A$504,0))&amp;"","")="유지비",COUNTIF(계정대체기준!$A$6:$A$15,$N2318)&gt;0),IFERROR(INDEX(계정대체기준!$E$6:$E$15,MATCH(VALUE($A2318&amp;""),계정대체기준!$D$6:$D$15,0)),0),0))</f>
        <v/>
      </c>
      <c r="AH2318" s="64">
        <f>IF($A2318="","",IF(AD2318=0,"",IF(OR(COUNTIF(계정대체기준!$A$77:$A$86,$N2318)&gt;0,ISNUMBER(MATCH($X2318,계정대체기준!$D$77:$D$86,0)),ISNUMBER(MATCH($F2318,계정대체기준!$D$77:$D$86,0))),"Y","N")))</f>
        <v/>
      </c>
    </row>
    <row r="2319">
      <c r="A2319" s="92" t="n">
        <v>2025</v>
      </c>
      <c r="B2319" s="92" t="n">
        <v>11</v>
      </c>
      <c r="C2319" s="92" t="inlineStr">
        <is>
          <t>5100002315</t>
        </is>
      </c>
      <c r="D2319" s="95" t="n">
        <v>45969</v>
      </c>
      <c r="E2319" s="92" t="inlineStr">
        <is>
          <t>KR</t>
        </is>
      </c>
      <c r="F2319" s="92" t="n">
        <v>62301000</v>
      </c>
      <c r="G2319" s="92" t="n">
        <v>1501</v>
      </c>
      <c r="H2319" s="93" t="n">
        <v>243000</v>
      </c>
      <c r="I2319" s="92" t="inlineStr">
        <is>
          <t>11월 소모품 구입 - R문구</t>
        </is>
      </c>
      <c r="J2319" s="92" t="inlineStr">
        <is>
          <t>V10022</t>
        </is>
      </c>
      <c r="K2319" s="92" t="inlineStr">
        <is>
          <t>R문구</t>
        </is>
      </c>
      <c r="M2319" s="9">
        <f>IF($A2319="","",VALUE($A2319&amp;"")*12+VALUE($B2319&amp;""))</f>
        <v/>
      </c>
      <c r="N2319" s="64">
        <f>IF($A2319="","",IFERROR(INDEX(부서매핑!$C$5:$C$504,MATCH($G2319&amp;"",부서매핑!$A$5:$A$504,0)),"미매핑"))</f>
        <v/>
      </c>
      <c r="O2319" s="9">
        <f>IF($A2319="","",N2319&amp;"|"&amp;$F2319)</f>
        <v/>
      </c>
      <c r="P2319" s="94">
        <f>IF($A2319="",0,$H2319*설정!$C$23)</f>
        <v/>
      </c>
      <c r="Q2319" s="64">
        <f>IF($A2319="","",IF(O2319&lt;&gt;원인분석!$C$9,"",IF(AND(M2319&gt;=원인분석!$C$10,M2319&lt;=원인분석!$C$11),"당기",IF(AND(M2319&gt;=원인분석!$C$12,M2319&lt;=원인분석!$C$13),"비교",""))))</f>
        <v/>
      </c>
      <c r="R2319" s="9">
        <f>IF(Q2319="","",$K2319&amp;"")</f>
        <v/>
      </c>
      <c r="S2319" s="9">
        <f>IF(Q2319="","",IF(MATCH(R2319,$R$5:$R$100000,0)=ROW()-4,ROW(),""))</f>
        <v/>
      </c>
      <c r="T2319" s="9">
        <f>IF(Q2319="당기",ABS(P2319)+ROW()/1000000000,"")</f>
        <v/>
      </c>
      <c r="U2319" s="9">
        <f>IF(Q2319="비교",ABS(P2319)+ROW()/1000000000,"")</f>
        <v/>
      </c>
      <c r="V2319" s="64">
        <f>IF($A2319="","",IF(COUNTIF(변동분석!$E$7:$E$506,O2319)&gt;0,"Y","N"))</f>
        <v/>
      </c>
      <c r="W2319" s="64">
        <f>IF($A2319="","",IFERROR(INDEX(계정매핑!$D$5:$D$504,MATCH($F2319&amp;"",계정매핑!$A$5:$A$504,0)),"미매핑"))</f>
        <v/>
      </c>
      <c r="X2319" s="9">
        <f>IF($A2319="","",$F2319&amp;"")</f>
        <v/>
      </c>
      <c r="Y2319" s="94">
        <f>IF($A2319="",0,IF(AE2319="직접",IF(AF2319="비귀속",$P2319,0),$P2319*(1-AG2319)*IFERROR(INDEX(계정대체기준!$F$20:$F$49,MATCH($N2319,계정대체기준!$A$20:$A$49,0)),1)))</f>
        <v/>
      </c>
      <c r="Z2319" s="94">
        <f>IF($A2319="",0,IF(AE2319="직접",IF(AF2319="신계약비",$P2319,0),$P2319*(1-AG2319)*IFERROR(INDEX(계정대체기준!$C$20:$C$49,MATCH($N2319,계정대체기준!$A$20:$A$49,0)),0)))</f>
        <v/>
      </c>
      <c r="AA2319" s="94">
        <f>IF($A2319="",0,IF(AE2319="직접",IF(OR(AF2319="유지비",AF2319="손해조사비"),$P2319,0),$P2319*(1-AG2319)*IFERROR(INDEX(계정대체기준!$D$20:$D$49,MATCH($N2319,계정대체기준!$A$20:$A$49,0)),0)))</f>
        <v/>
      </c>
      <c r="AB2319" s="94">
        <f>IF($A2319="",0,IF(AE2319="직접",IF(AF2319="수금비",$P2319,0),$P2319*(1-AG2319)*IFERROR(INDEX(계정대체기준!$E$20:$E$49,MATCH($N2319,계정대체기준!$A$20:$A$49,0)),0)))</f>
        <v/>
      </c>
      <c r="AC2319" s="9">
        <f>IF(AND($A2319&lt;&gt;"",M2319=설정!$C$20,Z2319&gt;0),Z2319+ROW()/1000000000,"")</f>
        <v/>
      </c>
      <c r="AD2319" s="94">
        <f>IF($A2319="",0,$P2319*AG2319)</f>
        <v/>
      </c>
      <c r="AE2319" s="64">
        <f>IF($A2319="","",IFERROR(INDEX(계정매핑!$E$5:$E$504,MATCH($F2319&amp;"",계정매핑!$A$5:$A$504,0))&amp;"","공통비"))</f>
        <v/>
      </c>
      <c r="AF2319" s="64">
        <f>IF($A2319="","",IF(AE2319="직접",IFERROR(INDEX(계정매핑!$F$5:$F$504,MATCH($F2319&amp;"",계정매핑!$A$5:$A$504,0))&amp;"","비귀속"),""))</f>
        <v/>
      </c>
      <c r="AG2319" s="96">
        <f>IF($A2319="",0,IF(AND(AE2319&lt;&gt;"직접",IFERROR(INDEX(계정매핑!$G$5:$G$504,MATCH($F2319&amp;"",계정매핑!$A$5:$A$504,0))&amp;"","")="유지비",COUNTIF(계정대체기준!$A$6:$A$15,$N2319)&gt;0),IFERROR(INDEX(계정대체기준!$E$6:$E$15,MATCH(VALUE($A2319&amp;""),계정대체기준!$D$6:$D$15,0)),0),0))</f>
        <v/>
      </c>
      <c r="AH2319" s="64">
        <f>IF($A2319="","",IF(AD2319=0,"",IF(OR(COUNTIF(계정대체기준!$A$77:$A$86,$N2319)&gt;0,ISNUMBER(MATCH($X2319,계정대체기준!$D$77:$D$86,0)),ISNUMBER(MATCH($F2319,계정대체기준!$D$77:$D$86,0))),"Y","N")))</f>
        <v/>
      </c>
    </row>
    <row r="2320">
      <c r="A2320" s="92" t="n">
        <v>2025</v>
      </c>
      <c r="B2320" s="92" t="n">
        <v>11</v>
      </c>
      <c r="C2320" s="92" t="inlineStr">
        <is>
          <t>5100002316</t>
        </is>
      </c>
      <c r="D2320" s="95" t="n">
        <v>45969</v>
      </c>
      <c r="E2320" s="92" t="inlineStr">
        <is>
          <t>KR</t>
        </is>
      </c>
      <c r="F2320" s="92" t="n">
        <v>62501000</v>
      </c>
      <c r="G2320" s="92" t="n">
        <v>1301</v>
      </c>
      <c r="H2320" s="93" t="n">
        <v>335000</v>
      </c>
      <c r="I2320" s="92" t="inlineStr">
        <is>
          <t>11월 회의 다과 - (법인카드)</t>
        </is>
      </c>
      <c r="J2320" s="92" t="inlineStr">
        <is>
          <t>V10010</t>
        </is>
      </c>
      <c r="K2320" s="92" t="inlineStr">
        <is>
          <t>(법인카드)</t>
        </is>
      </c>
      <c r="M2320" s="9">
        <f>IF($A2320="","",VALUE($A2320&amp;"")*12+VALUE($B2320&amp;""))</f>
        <v/>
      </c>
      <c r="N2320" s="64">
        <f>IF($A2320="","",IFERROR(INDEX(부서매핑!$C$5:$C$504,MATCH($G2320&amp;"",부서매핑!$A$5:$A$504,0)),"미매핑"))</f>
        <v/>
      </c>
      <c r="O2320" s="9">
        <f>IF($A2320="","",N2320&amp;"|"&amp;$F2320)</f>
        <v/>
      </c>
      <c r="P2320" s="94">
        <f>IF($A2320="",0,$H2320*설정!$C$23)</f>
        <v/>
      </c>
      <c r="Q2320" s="64">
        <f>IF($A2320="","",IF(O2320&lt;&gt;원인분석!$C$9,"",IF(AND(M2320&gt;=원인분석!$C$10,M2320&lt;=원인분석!$C$11),"당기",IF(AND(M2320&gt;=원인분석!$C$12,M2320&lt;=원인분석!$C$13),"비교",""))))</f>
        <v/>
      </c>
      <c r="R2320" s="9">
        <f>IF(Q2320="","",$K2320&amp;"")</f>
        <v/>
      </c>
      <c r="S2320" s="9">
        <f>IF(Q2320="","",IF(MATCH(R2320,$R$5:$R$100000,0)=ROW()-4,ROW(),""))</f>
        <v/>
      </c>
      <c r="T2320" s="9">
        <f>IF(Q2320="당기",ABS(P2320)+ROW()/1000000000,"")</f>
        <v/>
      </c>
      <c r="U2320" s="9">
        <f>IF(Q2320="비교",ABS(P2320)+ROW()/1000000000,"")</f>
        <v/>
      </c>
      <c r="V2320" s="64">
        <f>IF($A2320="","",IF(COUNTIF(변동분석!$E$7:$E$506,O2320)&gt;0,"Y","N"))</f>
        <v/>
      </c>
      <c r="W2320" s="64">
        <f>IF($A2320="","",IFERROR(INDEX(계정매핑!$D$5:$D$504,MATCH($F2320&amp;"",계정매핑!$A$5:$A$504,0)),"미매핑"))</f>
        <v/>
      </c>
      <c r="X2320" s="9">
        <f>IF($A2320="","",$F2320&amp;"")</f>
        <v/>
      </c>
      <c r="Y2320" s="94">
        <f>IF($A2320="",0,IF(AE2320="직접",IF(AF2320="비귀속",$P2320,0),$P2320*(1-AG2320)*IFERROR(INDEX(계정대체기준!$F$20:$F$49,MATCH($N2320,계정대체기준!$A$20:$A$49,0)),1)))</f>
        <v/>
      </c>
      <c r="Z2320" s="94">
        <f>IF($A2320="",0,IF(AE2320="직접",IF(AF2320="신계약비",$P2320,0),$P2320*(1-AG2320)*IFERROR(INDEX(계정대체기준!$C$20:$C$49,MATCH($N2320,계정대체기준!$A$20:$A$49,0)),0)))</f>
        <v/>
      </c>
      <c r="AA2320" s="94">
        <f>IF($A2320="",0,IF(AE2320="직접",IF(OR(AF2320="유지비",AF2320="손해조사비"),$P2320,0),$P2320*(1-AG2320)*IFERROR(INDEX(계정대체기준!$D$20:$D$49,MATCH($N2320,계정대체기준!$A$20:$A$49,0)),0)))</f>
        <v/>
      </c>
      <c r="AB2320" s="94">
        <f>IF($A2320="",0,IF(AE2320="직접",IF(AF2320="수금비",$P2320,0),$P2320*(1-AG2320)*IFERROR(INDEX(계정대체기준!$E$20:$E$49,MATCH($N2320,계정대체기준!$A$20:$A$49,0)),0)))</f>
        <v/>
      </c>
      <c r="AC2320" s="9">
        <f>IF(AND($A2320&lt;&gt;"",M2320=설정!$C$20,Z2320&gt;0),Z2320+ROW()/1000000000,"")</f>
        <v/>
      </c>
      <c r="AD2320" s="94">
        <f>IF($A2320="",0,$P2320*AG2320)</f>
        <v/>
      </c>
      <c r="AE2320" s="64">
        <f>IF($A2320="","",IFERROR(INDEX(계정매핑!$E$5:$E$504,MATCH($F2320&amp;"",계정매핑!$A$5:$A$504,0))&amp;"","공통비"))</f>
        <v/>
      </c>
      <c r="AF2320" s="64">
        <f>IF($A2320="","",IF(AE2320="직접",IFERROR(INDEX(계정매핑!$F$5:$F$504,MATCH($F2320&amp;"",계정매핑!$A$5:$A$504,0))&amp;"","비귀속"),""))</f>
        <v/>
      </c>
      <c r="AG2320" s="96">
        <f>IF($A2320="",0,IF(AND(AE2320&lt;&gt;"직접",IFERROR(INDEX(계정매핑!$G$5:$G$504,MATCH($F2320&amp;"",계정매핑!$A$5:$A$504,0))&amp;"","")="유지비",COUNTIF(계정대체기준!$A$6:$A$15,$N2320)&gt;0),IFERROR(INDEX(계정대체기준!$E$6:$E$15,MATCH(VALUE($A2320&amp;""),계정대체기준!$D$6:$D$15,0)),0),0))</f>
        <v/>
      </c>
      <c r="AH2320" s="64">
        <f>IF($A2320="","",IF(AD2320=0,"",IF(OR(COUNTIF(계정대체기준!$A$77:$A$86,$N2320)&gt;0,ISNUMBER(MATCH($X2320,계정대체기준!$D$77:$D$86,0)),ISNUMBER(MATCH($F2320,계정대체기준!$D$77:$D$86,0))),"Y","N")))</f>
        <v/>
      </c>
    </row>
    <row r="2321">
      <c r="A2321" s="92" t="n">
        <v>2025</v>
      </c>
      <c r="B2321" s="92" t="n">
        <v>11</v>
      </c>
      <c r="C2321" s="92" t="inlineStr">
        <is>
          <t>5100002317</t>
        </is>
      </c>
      <c r="D2321" s="95" t="n">
        <v>45969</v>
      </c>
      <c r="E2321" s="92" t="inlineStr">
        <is>
          <t>KR</t>
        </is>
      </c>
      <c r="F2321" s="92" t="n">
        <v>62501000</v>
      </c>
      <c r="G2321" s="92" t="n">
        <v>1401</v>
      </c>
      <c r="H2321" s="93" t="n">
        <v>113000</v>
      </c>
      <c r="I2321" s="92" t="inlineStr">
        <is>
          <t>11월 회의 다과 - (법인카드)</t>
        </is>
      </c>
      <c r="J2321" s="92" t="inlineStr">
        <is>
          <t>V10010</t>
        </is>
      </c>
      <c r="K2321" s="92" t="inlineStr">
        <is>
          <t>(법인카드)</t>
        </is>
      </c>
      <c r="M2321" s="9">
        <f>IF($A2321="","",VALUE($A2321&amp;"")*12+VALUE($B2321&amp;""))</f>
        <v/>
      </c>
      <c r="N2321" s="64">
        <f>IF($A2321="","",IFERROR(INDEX(부서매핑!$C$5:$C$504,MATCH($G2321&amp;"",부서매핑!$A$5:$A$504,0)),"미매핑"))</f>
        <v/>
      </c>
      <c r="O2321" s="9">
        <f>IF($A2321="","",N2321&amp;"|"&amp;$F2321)</f>
        <v/>
      </c>
      <c r="P2321" s="94">
        <f>IF($A2321="",0,$H2321*설정!$C$23)</f>
        <v/>
      </c>
      <c r="Q2321" s="64">
        <f>IF($A2321="","",IF(O2321&lt;&gt;원인분석!$C$9,"",IF(AND(M2321&gt;=원인분석!$C$10,M2321&lt;=원인분석!$C$11),"당기",IF(AND(M2321&gt;=원인분석!$C$12,M2321&lt;=원인분석!$C$13),"비교",""))))</f>
        <v/>
      </c>
      <c r="R2321" s="9">
        <f>IF(Q2321="","",$K2321&amp;"")</f>
        <v/>
      </c>
      <c r="S2321" s="9">
        <f>IF(Q2321="","",IF(MATCH(R2321,$R$5:$R$100000,0)=ROW()-4,ROW(),""))</f>
        <v/>
      </c>
      <c r="T2321" s="9">
        <f>IF(Q2321="당기",ABS(P2321)+ROW()/1000000000,"")</f>
        <v/>
      </c>
      <c r="U2321" s="9">
        <f>IF(Q2321="비교",ABS(P2321)+ROW()/1000000000,"")</f>
        <v/>
      </c>
      <c r="V2321" s="64">
        <f>IF($A2321="","",IF(COUNTIF(변동분석!$E$7:$E$506,O2321)&gt;0,"Y","N"))</f>
        <v/>
      </c>
      <c r="W2321" s="64">
        <f>IF($A2321="","",IFERROR(INDEX(계정매핑!$D$5:$D$504,MATCH($F2321&amp;"",계정매핑!$A$5:$A$504,0)),"미매핑"))</f>
        <v/>
      </c>
      <c r="X2321" s="9">
        <f>IF($A2321="","",$F2321&amp;"")</f>
        <v/>
      </c>
      <c r="Y2321" s="94">
        <f>IF($A2321="",0,IF(AE2321="직접",IF(AF2321="비귀속",$P2321,0),$P2321*(1-AG2321)*IFERROR(INDEX(계정대체기준!$F$20:$F$49,MATCH($N2321,계정대체기준!$A$20:$A$49,0)),1)))</f>
        <v/>
      </c>
      <c r="Z2321" s="94">
        <f>IF($A2321="",0,IF(AE2321="직접",IF(AF2321="신계약비",$P2321,0),$P2321*(1-AG2321)*IFERROR(INDEX(계정대체기준!$C$20:$C$49,MATCH($N2321,계정대체기준!$A$20:$A$49,0)),0)))</f>
        <v/>
      </c>
      <c r="AA2321" s="94">
        <f>IF($A2321="",0,IF(AE2321="직접",IF(OR(AF2321="유지비",AF2321="손해조사비"),$P2321,0),$P2321*(1-AG2321)*IFERROR(INDEX(계정대체기준!$D$20:$D$49,MATCH($N2321,계정대체기준!$A$20:$A$49,0)),0)))</f>
        <v/>
      </c>
      <c r="AB2321" s="94">
        <f>IF($A2321="",0,IF(AE2321="직접",IF(AF2321="수금비",$P2321,0),$P2321*(1-AG2321)*IFERROR(INDEX(계정대체기준!$E$20:$E$49,MATCH($N2321,계정대체기준!$A$20:$A$49,0)),0)))</f>
        <v/>
      </c>
      <c r="AC2321" s="9">
        <f>IF(AND($A2321&lt;&gt;"",M2321=설정!$C$20,Z2321&gt;0),Z2321+ROW()/1000000000,"")</f>
        <v/>
      </c>
      <c r="AD2321" s="94">
        <f>IF($A2321="",0,$P2321*AG2321)</f>
        <v/>
      </c>
      <c r="AE2321" s="64">
        <f>IF($A2321="","",IFERROR(INDEX(계정매핑!$E$5:$E$504,MATCH($F2321&amp;"",계정매핑!$A$5:$A$504,0))&amp;"","공통비"))</f>
        <v/>
      </c>
      <c r="AF2321" s="64">
        <f>IF($A2321="","",IF(AE2321="직접",IFERROR(INDEX(계정매핑!$F$5:$F$504,MATCH($F2321&amp;"",계정매핑!$A$5:$A$504,0))&amp;"","비귀속"),""))</f>
        <v/>
      </c>
      <c r="AG2321" s="96">
        <f>IF($A2321="",0,IF(AND(AE2321&lt;&gt;"직접",IFERROR(INDEX(계정매핑!$G$5:$G$504,MATCH($F2321&amp;"",계정매핑!$A$5:$A$504,0))&amp;"","")="유지비",COUNTIF(계정대체기준!$A$6:$A$15,$N2321)&gt;0),IFERROR(INDEX(계정대체기준!$E$6:$E$15,MATCH(VALUE($A2321&amp;""),계정대체기준!$D$6:$D$15,0)),0),0))</f>
        <v/>
      </c>
      <c r="AH2321" s="64">
        <f>IF($A2321="","",IF(AD2321=0,"",IF(OR(COUNTIF(계정대체기준!$A$77:$A$86,$N2321)&gt;0,ISNUMBER(MATCH($X2321,계정대체기준!$D$77:$D$86,0)),ISNUMBER(MATCH($F2321,계정대체기준!$D$77:$D$86,0))),"Y","N")))</f>
        <v/>
      </c>
    </row>
    <row r="2322">
      <c r="A2322" s="92" t="n">
        <v>2025</v>
      </c>
      <c r="B2322" s="92" t="n">
        <v>11</v>
      </c>
      <c r="C2322" s="92" t="inlineStr">
        <is>
          <t>5100002318</t>
        </is>
      </c>
      <c r="D2322" s="95" t="n">
        <v>45969</v>
      </c>
      <c r="E2322" s="92" t="inlineStr">
        <is>
          <t>KR</t>
        </is>
      </c>
      <c r="F2322" s="92" t="n">
        <v>62901000</v>
      </c>
      <c r="G2322" s="92" t="n">
        <v>1401</v>
      </c>
      <c r="H2322" s="93" t="n">
        <v>4824000</v>
      </c>
      <c r="I2322" s="92" t="inlineStr">
        <is>
          <t>11월 자문 수수료 - W컨설팅</t>
        </is>
      </c>
      <c r="J2322" s="92" t="inlineStr">
        <is>
          <t>V10006</t>
        </is>
      </c>
      <c r="K2322" s="92" t="inlineStr">
        <is>
          <t>W컨설팅</t>
        </is>
      </c>
      <c r="M2322" s="9">
        <f>IF($A2322="","",VALUE($A2322&amp;"")*12+VALUE($B2322&amp;""))</f>
        <v/>
      </c>
      <c r="N2322" s="64">
        <f>IF($A2322="","",IFERROR(INDEX(부서매핑!$C$5:$C$504,MATCH($G2322&amp;"",부서매핑!$A$5:$A$504,0)),"미매핑"))</f>
        <v/>
      </c>
      <c r="O2322" s="9">
        <f>IF($A2322="","",N2322&amp;"|"&amp;$F2322)</f>
        <v/>
      </c>
      <c r="P2322" s="94">
        <f>IF($A2322="",0,$H2322*설정!$C$23)</f>
        <v/>
      </c>
      <c r="Q2322" s="64">
        <f>IF($A2322="","",IF(O2322&lt;&gt;원인분석!$C$9,"",IF(AND(M2322&gt;=원인분석!$C$10,M2322&lt;=원인분석!$C$11),"당기",IF(AND(M2322&gt;=원인분석!$C$12,M2322&lt;=원인분석!$C$13),"비교",""))))</f>
        <v/>
      </c>
      <c r="R2322" s="9">
        <f>IF(Q2322="","",$K2322&amp;"")</f>
        <v/>
      </c>
      <c r="S2322" s="9">
        <f>IF(Q2322="","",IF(MATCH(R2322,$R$5:$R$100000,0)=ROW()-4,ROW(),""))</f>
        <v/>
      </c>
      <c r="T2322" s="9">
        <f>IF(Q2322="당기",ABS(P2322)+ROW()/1000000000,"")</f>
        <v/>
      </c>
      <c r="U2322" s="9">
        <f>IF(Q2322="비교",ABS(P2322)+ROW()/1000000000,"")</f>
        <v/>
      </c>
      <c r="V2322" s="64">
        <f>IF($A2322="","",IF(COUNTIF(변동분석!$E$7:$E$506,O2322)&gt;0,"Y","N"))</f>
        <v/>
      </c>
      <c r="W2322" s="64">
        <f>IF($A2322="","",IFERROR(INDEX(계정매핑!$D$5:$D$504,MATCH($F2322&amp;"",계정매핑!$A$5:$A$504,0)),"미매핑"))</f>
        <v/>
      </c>
      <c r="X2322" s="9">
        <f>IF($A2322="","",$F2322&amp;"")</f>
        <v/>
      </c>
      <c r="Y2322" s="94">
        <f>IF($A2322="",0,IF(AE2322="직접",IF(AF2322="비귀속",$P2322,0),$P2322*(1-AG2322)*IFERROR(INDEX(계정대체기준!$F$20:$F$49,MATCH($N2322,계정대체기준!$A$20:$A$49,0)),1)))</f>
        <v/>
      </c>
      <c r="Z2322" s="94">
        <f>IF($A2322="",0,IF(AE2322="직접",IF(AF2322="신계약비",$P2322,0),$P2322*(1-AG2322)*IFERROR(INDEX(계정대체기준!$C$20:$C$49,MATCH($N2322,계정대체기준!$A$20:$A$49,0)),0)))</f>
        <v/>
      </c>
      <c r="AA2322" s="94">
        <f>IF($A2322="",0,IF(AE2322="직접",IF(OR(AF2322="유지비",AF2322="손해조사비"),$P2322,0),$P2322*(1-AG2322)*IFERROR(INDEX(계정대체기준!$D$20:$D$49,MATCH($N2322,계정대체기준!$A$20:$A$49,0)),0)))</f>
        <v/>
      </c>
      <c r="AB2322" s="94">
        <f>IF($A2322="",0,IF(AE2322="직접",IF(AF2322="수금비",$P2322,0),$P2322*(1-AG2322)*IFERROR(INDEX(계정대체기준!$E$20:$E$49,MATCH($N2322,계정대체기준!$A$20:$A$49,0)),0)))</f>
        <v/>
      </c>
      <c r="AC2322" s="9">
        <f>IF(AND($A2322&lt;&gt;"",M2322=설정!$C$20,Z2322&gt;0),Z2322+ROW()/1000000000,"")</f>
        <v/>
      </c>
      <c r="AD2322" s="94">
        <f>IF($A2322="",0,$P2322*AG2322)</f>
        <v/>
      </c>
      <c r="AE2322" s="64">
        <f>IF($A2322="","",IFERROR(INDEX(계정매핑!$E$5:$E$504,MATCH($F2322&amp;"",계정매핑!$A$5:$A$504,0))&amp;"","공통비"))</f>
        <v/>
      </c>
      <c r="AF2322" s="64">
        <f>IF($A2322="","",IF(AE2322="직접",IFERROR(INDEX(계정매핑!$F$5:$F$504,MATCH($F2322&amp;"",계정매핑!$A$5:$A$504,0))&amp;"","비귀속"),""))</f>
        <v/>
      </c>
      <c r="AG2322" s="96">
        <f>IF($A2322="",0,IF(AND(AE2322&lt;&gt;"직접",IFERROR(INDEX(계정매핑!$G$5:$G$504,MATCH($F2322&amp;"",계정매핑!$A$5:$A$504,0))&amp;"","")="유지비",COUNTIF(계정대체기준!$A$6:$A$15,$N2322)&gt;0),IFERROR(INDEX(계정대체기준!$E$6:$E$15,MATCH(VALUE($A2322&amp;""),계정대체기준!$D$6:$D$15,0)),0),0))</f>
        <v/>
      </c>
      <c r="AH2322" s="64">
        <f>IF($A2322="","",IF(AD2322=0,"",IF(OR(COUNTIF(계정대체기준!$A$77:$A$86,$N2322)&gt;0,ISNUMBER(MATCH($X2322,계정대체기준!$D$77:$D$86,0)),ISNUMBER(MATCH($F2322,계정대체기준!$D$77:$D$86,0))),"Y","N")))</f>
        <v/>
      </c>
    </row>
    <row r="2323">
      <c r="A2323" s="92" t="n">
        <v>2025</v>
      </c>
      <c r="B2323" s="92" t="n">
        <v>11</v>
      </c>
      <c r="C2323" s="92" t="inlineStr">
        <is>
          <t>5100002319</t>
        </is>
      </c>
      <c r="D2323" s="95" t="n">
        <v>45969</v>
      </c>
      <c r="E2323" s="92" t="inlineStr">
        <is>
          <t>KR</t>
        </is>
      </c>
      <c r="F2323" s="92" t="n">
        <v>63501000</v>
      </c>
      <c r="G2323" s="92" t="n">
        <v>1901</v>
      </c>
      <c r="H2323" s="93" t="n">
        <v>332203000</v>
      </c>
      <c r="I2323" s="92" t="inlineStr">
        <is>
          <t>11월 모집수수료 - (전속설계사)</t>
        </is>
      </c>
      <c r="J2323" s="92" t="inlineStr">
        <is>
          <t>V10021</t>
        </is>
      </c>
      <c r="K2323" s="92" t="inlineStr">
        <is>
          <t>(전속설계사)</t>
        </is>
      </c>
      <c r="M2323" s="9">
        <f>IF($A2323="","",VALUE($A2323&amp;"")*12+VALUE($B2323&amp;""))</f>
        <v/>
      </c>
      <c r="N2323" s="64">
        <f>IF($A2323="","",IFERROR(INDEX(부서매핑!$C$5:$C$504,MATCH($G2323&amp;"",부서매핑!$A$5:$A$504,0)),"미매핑"))</f>
        <v/>
      </c>
      <c r="O2323" s="9">
        <f>IF($A2323="","",N2323&amp;"|"&amp;$F2323)</f>
        <v/>
      </c>
      <c r="P2323" s="94">
        <f>IF($A2323="",0,$H2323*설정!$C$23)</f>
        <v/>
      </c>
      <c r="Q2323" s="64">
        <f>IF($A2323="","",IF(O2323&lt;&gt;원인분석!$C$9,"",IF(AND(M2323&gt;=원인분석!$C$10,M2323&lt;=원인분석!$C$11),"당기",IF(AND(M2323&gt;=원인분석!$C$12,M2323&lt;=원인분석!$C$13),"비교",""))))</f>
        <v/>
      </c>
      <c r="R2323" s="9">
        <f>IF(Q2323="","",$K2323&amp;"")</f>
        <v/>
      </c>
      <c r="S2323" s="9">
        <f>IF(Q2323="","",IF(MATCH(R2323,$R$5:$R$100000,0)=ROW()-4,ROW(),""))</f>
        <v/>
      </c>
      <c r="T2323" s="9">
        <f>IF(Q2323="당기",ABS(P2323)+ROW()/1000000000,"")</f>
        <v/>
      </c>
      <c r="U2323" s="9">
        <f>IF(Q2323="비교",ABS(P2323)+ROW()/1000000000,"")</f>
        <v/>
      </c>
      <c r="V2323" s="64">
        <f>IF($A2323="","",IF(COUNTIF(변동분석!$E$7:$E$506,O2323)&gt;0,"Y","N"))</f>
        <v/>
      </c>
      <c r="W2323" s="64">
        <f>IF($A2323="","",IFERROR(INDEX(계정매핑!$D$5:$D$504,MATCH($F2323&amp;"",계정매핑!$A$5:$A$504,0)),"미매핑"))</f>
        <v/>
      </c>
      <c r="X2323" s="9">
        <f>IF($A2323="","",$F2323&amp;"")</f>
        <v/>
      </c>
      <c r="Y2323" s="94">
        <f>IF($A2323="",0,IF(AE2323="직접",IF(AF2323="비귀속",$P2323,0),$P2323*(1-AG2323)*IFERROR(INDEX(계정대체기준!$F$20:$F$49,MATCH($N2323,계정대체기준!$A$20:$A$49,0)),1)))</f>
        <v/>
      </c>
      <c r="Z2323" s="94">
        <f>IF($A2323="",0,IF(AE2323="직접",IF(AF2323="신계약비",$P2323,0),$P2323*(1-AG2323)*IFERROR(INDEX(계정대체기준!$C$20:$C$49,MATCH($N2323,계정대체기준!$A$20:$A$49,0)),0)))</f>
        <v/>
      </c>
      <c r="AA2323" s="94">
        <f>IF($A2323="",0,IF(AE2323="직접",IF(OR(AF2323="유지비",AF2323="손해조사비"),$P2323,0),$P2323*(1-AG2323)*IFERROR(INDEX(계정대체기준!$D$20:$D$49,MATCH($N2323,계정대체기준!$A$20:$A$49,0)),0)))</f>
        <v/>
      </c>
      <c r="AB2323" s="94">
        <f>IF($A2323="",0,IF(AE2323="직접",IF(AF2323="수금비",$P2323,0),$P2323*(1-AG2323)*IFERROR(INDEX(계정대체기준!$E$20:$E$49,MATCH($N2323,계정대체기준!$A$20:$A$49,0)),0)))</f>
        <v/>
      </c>
      <c r="AC2323" s="9">
        <f>IF(AND($A2323&lt;&gt;"",M2323=설정!$C$20,Z2323&gt;0),Z2323+ROW()/1000000000,"")</f>
        <v/>
      </c>
      <c r="AD2323" s="94">
        <f>IF($A2323="",0,$P2323*AG2323)</f>
        <v/>
      </c>
      <c r="AE2323" s="64">
        <f>IF($A2323="","",IFERROR(INDEX(계정매핑!$E$5:$E$504,MATCH($F2323&amp;"",계정매핑!$A$5:$A$504,0))&amp;"","공통비"))</f>
        <v/>
      </c>
      <c r="AF2323" s="64">
        <f>IF($A2323="","",IF(AE2323="직접",IFERROR(INDEX(계정매핑!$F$5:$F$504,MATCH($F2323&amp;"",계정매핑!$A$5:$A$504,0))&amp;"","비귀속"),""))</f>
        <v/>
      </c>
      <c r="AG2323" s="96">
        <f>IF($A2323="",0,IF(AND(AE2323&lt;&gt;"직접",IFERROR(INDEX(계정매핑!$G$5:$G$504,MATCH($F2323&amp;"",계정매핑!$A$5:$A$504,0))&amp;"","")="유지비",COUNTIF(계정대체기준!$A$6:$A$15,$N2323)&gt;0),IFERROR(INDEX(계정대체기준!$E$6:$E$15,MATCH(VALUE($A2323&amp;""),계정대체기준!$D$6:$D$15,0)),0),0))</f>
        <v/>
      </c>
      <c r="AH2323" s="64">
        <f>IF($A2323="","",IF(AD2323=0,"",IF(OR(COUNTIF(계정대체기준!$A$77:$A$86,$N2323)&gt;0,ISNUMBER(MATCH($X2323,계정대체기준!$D$77:$D$86,0)),ISNUMBER(MATCH($F2323,계정대체기준!$D$77:$D$86,0))),"Y","N")))</f>
        <v/>
      </c>
    </row>
    <row r="2324">
      <c r="A2324" s="92" t="n">
        <v>2025</v>
      </c>
      <c r="B2324" s="92" t="n">
        <v>11</v>
      </c>
      <c r="C2324" s="92" t="inlineStr">
        <is>
          <t>5100002320</t>
        </is>
      </c>
      <c r="D2324" s="95" t="n">
        <v>45970</v>
      </c>
      <c r="E2324" s="92" t="inlineStr">
        <is>
          <t>KR</t>
        </is>
      </c>
      <c r="F2324" s="92" t="n">
        <v>62101000</v>
      </c>
      <c r="G2324" s="92" t="n">
        <v>1701</v>
      </c>
      <c r="H2324" s="93" t="n">
        <v>159000</v>
      </c>
      <c r="I2324" s="92" t="inlineStr">
        <is>
          <t>11월 국내출장 - L여행사</t>
        </is>
      </c>
      <c r="J2324" s="92" t="inlineStr">
        <is>
          <t>V10018</t>
        </is>
      </c>
      <c r="K2324" s="92" t="inlineStr">
        <is>
          <t>L여행사</t>
        </is>
      </c>
      <c r="M2324" s="9">
        <f>IF($A2324="","",VALUE($A2324&amp;"")*12+VALUE($B2324&amp;""))</f>
        <v/>
      </c>
      <c r="N2324" s="64">
        <f>IF($A2324="","",IFERROR(INDEX(부서매핑!$C$5:$C$504,MATCH($G2324&amp;"",부서매핑!$A$5:$A$504,0)),"미매핑"))</f>
        <v/>
      </c>
      <c r="O2324" s="9">
        <f>IF($A2324="","",N2324&amp;"|"&amp;$F2324)</f>
        <v/>
      </c>
      <c r="P2324" s="94">
        <f>IF($A2324="",0,$H2324*설정!$C$23)</f>
        <v/>
      </c>
      <c r="Q2324" s="64">
        <f>IF($A2324="","",IF(O2324&lt;&gt;원인분석!$C$9,"",IF(AND(M2324&gt;=원인분석!$C$10,M2324&lt;=원인분석!$C$11),"당기",IF(AND(M2324&gt;=원인분석!$C$12,M2324&lt;=원인분석!$C$13),"비교",""))))</f>
        <v/>
      </c>
      <c r="R2324" s="9">
        <f>IF(Q2324="","",$K2324&amp;"")</f>
        <v/>
      </c>
      <c r="S2324" s="9">
        <f>IF(Q2324="","",IF(MATCH(R2324,$R$5:$R$100000,0)=ROW()-4,ROW(),""))</f>
        <v/>
      </c>
      <c r="T2324" s="9">
        <f>IF(Q2324="당기",ABS(P2324)+ROW()/1000000000,"")</f>
        <v/>
      </c>
      <c r="U2324" s="9">
        <f>IF(Q2324="비교",ABS(P2324)+ROW()/1000000000,"")</f>
        <v/>
      </c>
      <c r="V2324" s="64">
        <f>IF($A2324="","",IF(COUNTIF(변동분석!$E$7:$E$506,O2324)&gt;0,"Y","N"))</f>
        <v/>
      </c>
      <c r="W2324" s="64">
        <f>IF($A2324="","",IFERROR(INDEX(계정매핑!$D$5:$D$504,MATCH($F2324&amp;"",계정매핑!$A$5:$A$504,0)),"미매핑"))</f>
        <v/>
      </c>
      <c r="X2324" s="9">
        <f>IF($A2324="","",$F2324&amp;"")</f>
        <v/>
      </c>
      <c r="Y2324" s="94">
        <f>IF($A2324="",0,IF(AE2324="직접",IF(AF2324="비귀속",$P2324,0),$P2324*(1-AG2324)*IFERROR(INDEX(계정대체기준!$F$20:$F$49,MATCH($N2324,계정대체기준!$A$20:$A$49,0)),1)))</f>
        <v/>
      </c>
      <c r="Z2324" s="94">
        <f>IF($A2324="",0,IF(AE2324="직접",IF(AF2324="신계약비",$P2324,0),$P2324*(1-AG2324)*IFERROR(INDEX(계정대체기준!$C$20:$C$49,MATCH($N2324,계정대체기준!$A$20:$A$49,0)),0)))</f>
        <v/>
      </c>
      <c r="AA2324" s="94">
        <f>IF($A2324="",0,IF(AE2324="직접",IF(OR(AF2324="유지비",AF2324="손해조사비"),$P2324,0),$P2324*(1-AG2324)*IFERROR(INDEX(계정대체기준!$D$20:$D$49,MATCH($N2324,계정대체기준!$A$20:$A$49,0)),0)))</f>
        <v/>
      </c>
      <c r="AB2324" s="94">
        <f>IF($A2324="",0,IF(AE2324="직접",IF(AF2324="수금비",$P2324,0),$P2324*(1-AG2324)*IFERROR(INDEX(계정대체기준!$E$20:$E$49,MATCH($N2324,계정대체기준!$A$20:$A$49,0)),0)))</f>
        <v/>
      </c>
      <c r="AC2324" s="9">
        <f>IF(AND($A2324&lt;&gt;"",M2324=설정!$C$20,Z2324&gt;0),Z2324+ROW()/1000000000,"")</f>
        <v/>
      </c>
      <c r="AD2324" s="94">
        <f>IF($A2324="",0,$P2324*AG2324)</f>
        <v/>
      </c>
      <c r="AE2324" s="64">
        <f>IF($A2324="","",IFERROR(INDEX(계정매핑!$E$5:$E$504,MATCH($F2324&amp;"",계정매핑!$A$5:$A$504,0))&amp;"","공통비"))</f>
        <v/>
      </c>
      <c r="AF2324" s="64">
        <f>IF($A2324="","",IF(AE2324="직접",IFERROR(INDEX(계정매핑!$F$5:$F$504,MATCH($F2324&amp;"",계정매핑!$A$5:$A$504,0))&amp;"","비귀속"),""))</f>
        <v/>
      </c>
      <c r="AG2324" s="96">
        <f>IF($A2324="",0,IF(AND(AE2324&lt;&gt;"직접",IFERROR(INDEX(계정매핑!$G$5:$G$504,MATCH($F2324&amp;"",계정매핑!$A$5:$A$504,0))&amp;"","")="유지비",COUNTIF(계정대체기준!$A$6:$A$15,$N2324)&gt;0),IFERROR(INDEX(계정대체기준!$E$6:$E$15,MATCH(VALUE($A2324&amp;""),계정대체기준!$D$6:$D$15,0)),0),0))</f>
        <v/>
      </c>
      <c r="AH2324" s="64">
        <f>IF($A2324="","",IF(AD2324=0,"",IF(OR(COUNTIF(계정대체기준!$A$77:$A$86,$N2324)&gt;0,ISNUMBER(MATCH($X2324,계정대체기준!$D$77:$D$86,0)),ISNUMBER(MATCH($F2324,계정대체기준!$D$77:$D$86,0))),"Y","N")))</f>
        <v/>
      </c>
    </row>
    <row r="2325">
      <c r="A2325" s="92" t="n">
        <v>2025</v>
      </c>
      <c r="B2325" s="92" t="n">
        <v>11</v>
      </c>
      <c r="C2325" s="92" t="inlineStr">
        <is>
          <t>5100002321</t>
        </is>
      </c>
      <c r="D2325" s="95" t="n">
        <v>45970</v>
      </c>
      <c r="E2325" s="92" t="inlineStr">
        <is>
          <t>KR</t>
        </is>
      </c>
      <c r="F2325" s="92" t="n">
        <v>62101000</v>
      </c>
      <c r="G2325" s="92" t="n">
        <v>1701</v>
      </c>
      <c r="H2325" s="93" t="n">
        <v>137000</v>
      </c>
      <c r="I2325" s="92" t="inlineStr">
        <is>
          <t>11월 국내출장 - M항공</t>
        </is>
      </c>
      <c r="J2325" s="92" t="inlineStr">
        <is>
          <t>V10001</t>
        </is>
      </c>
      <c r="K2325" s="92" t="inlineStr">
        <is>
          <t>M항공</t>
        </is>
      </c>
      <c r="M2325" s="9">
        <f>IF($A2325="","",VALUE($A2325&amp;"")*12+VALUE($B2325&amp;""))</f>
        <v/>
      </c>
      <c r="N2325" s="64">
        <f>IF($A2325="","",IFERROR(INDEX(부서매핑!$C$5:$C$504,MATCH($G2325&amp;"",부서매핑!$A$5:$A$504,0)),"미매핑"))</f>
        <v/>
      </c>
      <c r="O2325" s="9">
        <f>IF($A2325="","",N2325&amp;"|"&amp;$F2325)</f>
        <v/>
      </c>
      <c r="P2325" s="94">
        <f>IF($A2325="",0,$H2325*설정!$C$23)</f>
        <v/>
      </c>
      <c r="Q2325" s="64">
        <f>IF($A2325="","",IF(O2325&lt;&gt;원인분석!$C$9,"",IF(AND(M2325&gt;=원인분석!$C$10,M2325&lt;=원인분석!$C$11),"당기",IF(AND(M2325&gt;=원인분석!$C$12,M2325&lt;=원인분석!$C$13),"비교",""))))</f>
        <v/>
      </c>
      <c r="R2325" s="9">
        <f>IF(Q2325="","",$K2325&amp;"")</f>
        <v/>
      </c>
      <c r="S2325" s="9">
        <f>IF(Q2325="","",IF(MATCH(R2325,$R$5:$R$100000,0)=ROW()-4,ROW(),""))</f>
        <v/>
      </c>
      <c r="T2325" s="9">
        <f>IF(Q2325="당기",ABS(P2325)+ROW()/1000000000,"")</f>
        <v/>
      </c>
      <c r="U2325" s="9">
        <f>IF(Q2325="비교",ABS(P2325)+ROW()/1000000000,"")</f>
        <v/>
      </c>
      <c r="V2325" s="64">
        <f>IF($A2325="","",IF(COUNTIF(변동분석!$E$7:$E$506,O2325)&gt;0,"Y","N"))</f>
        <v/>
      </c>
      <c r="W2325" s="64">
        <f>IF($A2325="","",IFERROR(INDEX(계정매핑!$D$5:$D$504,MATCH($F2325&amp;"",계정매핑!$A$5:$A$504,0)),"미매핑"))</f>
        <v/>
      </c>
      <c r="X2325" s="9">
        <f>IF($A2325="","",$F2325&amp;"")</f>
        <v/>
      </c>
      <c r="Y2325" s="94">
        <f>IF($A2325="",0,IF(AE2325="직접",IF(AF2325="비귀속",$P2325,0),$P2325*(1-AG2325)*IFERROR(INDEX(계정대체기준!$F$20:$F$49,MATCH($N2325,계정대체기준!$A$20:$A$49,0)),1)))</f>
        <v/>
      </c>
      <c r="Z2325" s="94">
        <f>IF($A2325="",0,IF(AE2325="직접",IF(AF2325="신계약비",$P2325,0),$P2325*(1-AG2325)*IFERROR(INDEX(계정대체기준!$C$20:$C$49,MATCH($N2325,계정대체기준!$A$20:$A$49,0)),0)))</f>
        <v/>
      </c>
      <c r="AA2325" s="94">
        <f>IF($A2325="",0,IF(AE2325="직접",IF(OR(AF2325="유지비",AF2325="손해조사비"),$P2325,0),$P2325*(1-AG2325)*IFERROR(INDEX(계정대체기준!$D$20:$D$49,MATCH($N2325,계정대체기준!$A$20:$A$49,0)),0)))</f>
        <v/>
      </c>
      <c r="AB2325" s="94">
        <f>IF($A2325="",0,IF(AE2325="직접",IF(AF2325="수금비",$P2325,0),$P2325*(1-AG2325)*IFERROR(INDEX(계정대체기준!$E$20:$E$49,MATCH($N2325,계정대체기준!$A$20:$A$49,0)),0)))</f>
        <v/>
      </c>
      <c r="AC2325" s="9">
        <f>IF(AND($A2325&lt;&gt;"",M2325=설정!$C$20,Z2325&gt;0),Z2325+ROW()/1000000000,"")</f>
        <v/>
      </c>
      <c r="AD2325" s="94">
        <f>IF($A2325="",0,$P2325*AG2325)</f>
        <v/>
      </c>
      <c r="AE2325" s="64">
        <f>IF($A2325="","",IFERROR(INDEX(계정매핑!$E$5:$E$504,MATCH($F2325&amp;"",계정매핑!$A$5:$A$504,0))&amp;"","공통비"))</f>
        <v/>
      </c>
      <c r="AF2325" s="64">
        <f>IF($A2325="","",IF(AE2325="직접",IFERROR(INDEX(계정매핑!$F$5:$F$504,MATCH($F2325&amp;"",계정매핑!$A$5:$A$504,0))&amp;"","비귀속"),""))</f>
        <v/>
      </c>
      <c r="AG2325" s="96">
        <f>IF($A2325="",0,IF(AND(AE2325&lt;&gt;"직접",IFERROR(INDEX(계정매핑!$G$5:$G$504,MATCH($F2325&amp;"",계정매핑!$A$5:$A$504,0))&amp;"","")="유지비",COUNTIF(계정대체기준!$A$6:$A$15,$N2325)&gt;0),IFERROR(INDEX(계정대체기준!$E$6:$E$15,MATCH(VALUE($A2325&amp;""),계정대체기준!$D$6:$D$15,0)),0),0))</f>
        <v/>
      </c>
      <c r="AH2325" s="64">
        <f>IF($A2325="","",IF(AD2325=0,"",IF(OR(COUNTIF(계정대체기준!$A$77:$A$86,$N2325)&gt;0,ISNUMBER(MATCH($X2325,계정대체기준!$D$77:$D$86,0)),ISNUMBER(MATCH($F2325,계정대체기준!$D$77:$D$86,0))),"Y","N")))</f>
        <v/>
      </c>
    </row>
    <row r="2326">
      <c r="A2326" s="92" t="n">
        <v>2025</v>
      </c>
      <c r="B2326" s="92" t="n">
        <v>11</v>
      </c>
      <c r="C2326" s="92" t="inlineStr">
        <is>
          <t>5100002322</t>
        </is>
      </c>
      <c r="D2326" s="95" t="n">
        <v>45970</v>
      </c>
      <c r="E2326" s="92" t="inlineStr">
        <is>
          <t>KR</t>
        </is>
      </c>
      <c r="F2326" s="92" t="n">
        <v>62102000</v>
      </c>
      <c r="G2326" s="92" t="n">
        <v>1601</v>
      </c>
      <c r="H2326" s="93" t="n">
        <v>433000</v>
      </c>
      <c r="I2326" s="92" t="inlineStr">
        <is>
          <t>11월 해외출장 - N호텔</t>
        </is>
      </c>
      <c r="J2326" s="92" t="inlineStr">
        <is>
          <t>V10009</t>
        </is>
      </c>
      <c r="K2326" s="92" t="inlineStr">
        <is>
          <t>N호텔</t>
        </is>
      </c>
      <c r="M2326" s="9">
        <f>IF($A2326="","",VALUE($A2326&amp;"")*12+VALUE($B2326&amp;""))</f>
        <v/>
      </c>
      <c r="N2326" s="64">
        <f>IF($A2326="","",IFERROR(INDEX(부서매핑!$C$5:$C$504,MATCH($G2326&amp;"",부서매핑!$A$5:$A$504,0)),"미매핑"))</f>
        <v/>
      </c>
      <c r="O2326" s="9">
        <f>IF($A2326="","",N2326&amp;"|"&amp;$F2326)</f>
        <v/>
      </c>
      <c r="P2326" s="94">
        <f>IF($A2326="",0,$H2326*설정!$C$23)</f>
        <v/>
      </c>
      <c r="Q2326" s="64">
        <f>IF($A2326="","",IF(O2326&lt;&gt;원인분석!$C$9,"",IF(AND(M2326&gt;=원인분석!$C$10,M2326&lt;=원인분석!$C$11),"당기",IF(AND(M2326&gt;=원인분석!$C$12,M2326&lt;=원인분석!$C$13),"비교",""))))</f>
        <v/>
      </c>
      <c r="R2326" s="9">
        <f>IF(Q2326="","",$K2326&amp;"")</f>
        <v/>
      </c>
      <c r="S2326" s="9">
        <f>IF(Q2326="","",IF(MATCH(R2326,$R$5:$R$100000,0)=ROW()-4,ROW(),""))</f>
        <v/>
      </c>
      <c r="T2326" s="9">
        <f>IF(Q2326="당기",ABS(P2326)+ROW()/1000000000,"")</f>
        <v/>
      </c>
      <c r="U2326" s="9">
        <f>IF(Q2326="비교",ABS(P2326)+ROW()/1000000000,"")</f>
        <v/>
      </c>
      <c r="V2326" s="64">
        <f>IF($A2326="","",IF(COUNTIF(변동분석!$E$7:$E$506,O2326)&gt;0,"Y","N"))</f>
        <v/>
      </c>
      <c r="W2326" s="64">
        <f>IF($A2326="","",IFERROR(INDEX(계정매핑!$D$5:$D$504,MATCH($F2326&amp;"",계정매핑!$A$5:$A$504,0)),"미매핑"))</f>
        <v/>
      </c>
      <c r="X2326" s="9">
        <f>IF($A2326="","",$F2326&amp;"")</f>
        <v/>
      </c>
      <c r="Y2326" s="94">
        <f>IF($A2326="",0,IF(AE2326="직접",IF(AF2326="비귀속",$P2326,0),$P2326*(1-AG2326)*IFERROR(INDEX(계정대체기준!$F$20:$F$49,MATCH($N2326,계정대체기준!$A$20:$A$49,0)),1)))</f>
        <v/>
      </c>
      <c r="Z2326" s="94">
        <f>IF($A2326="",0,IF(AE2326="직접",IF(AF2326="신계약비",$P2326,0),$P2326*(1-AG2326)*IFERROR(INDEX(계정대체기준!$C$20:$C$49,MATCH($N2326,계정대체기준!$A$20:$A$49,0)),0)))</f>
        <v/>
      </c>
      <c r="AA2326" s="94">
        <f>IF($A2326="",0,IF(AE2326="직접",IF(OR(AF2326="유지비",AF2326="손해조사비"),$P2326,0),$P2326*(1-AG2326)*IFERROR(INDEX(계정대체기준!$D$20:$D$49,MATCH($N2326,계정대체기준!$A$20:$A$49,0)),0)))</f>
        <v/>
      </c>
      <c r="AB2326" s="94">
        <f>IF($A2326="",0,IF(AE2326="직접",IF(AF2326="수금비",$P2326,0),$P2326*(1-AG2326)*IFERROR(INDEX(계정대체기준!$E$20:$E$49,MATCH($N2326,계정대체기준!$A$20:$A$49,0)),0)))</f>
        <v/>
      </c>
      <c r="AC2326" s="9">
        <f>IF(AND($A2326&lt;&gt;"",M2326=설정!$C$20,Z2326&gt;0),Z2326+ROW()/1000000000,"")</f>
        <v/>
      </c>
      <c r="AD2326" s="94">
        <f>IF($A2326="",0,$P2326*AG2326)</f>
        <v/>
      </c>
      <c r="AE2326" s="64">
        <f>IF($A2326="","",IFERROR(INDEX(계정매핑!$E$5:$E$504,MATCH($F2326&amp;"",계정매핑!$A$5:$A$504,0))&amp;"","공통비"))</f>
        <v/>
      </c>
      <c r="AF2326" s="64">
        <f>IF($A2326="","",IF(AE2326="직접",IFERROR(INDEX(계정매핑!$F$5:$F$504,MATCH($F2326&amp;"",계정매핑!$A$5:$A$504,0))&amp;"","비귀속"),""))</f>
        <v/>
      </c>
      <c r="AG2326" s="96">
        <f>IF($A2326="",0,IF(AND(AE2326&lt;&gt;"직접",IFERROR(INDEX(계정매핑!$G$5:$G$504,MATCH($F2326&amp;"",계정매핑!$A$5:$A$504,0))&amp;"","")="유지비",COUNTIF(계정대체기준!$A$6:$A$15,$N2326)&gt;0),IFERROR(INDEX(계정대체기준!$E$6:$E$15,MATCH(VALUE($A2326&amp;""),계정대체기준!$D$6:$D$15,0)),0),0))</f>
        <v/>
      </c>
      <c r="AH2326" s="64">
        <f>IF($A2326="","",IF(AD2326=0,"",IF(OR(COUNTIF(계정대체기준!$A$77:$A$86,$N2326)&gt;0,ISNUMBER(MATCH($X2326,계정대체기준!$D$77:$D$86,0)),ISNUMBER(MATCH($F2326,계정대체기준!$D$77:$D$86,0))),"Y","N")))</f>
        <v/>
      </c>
    </row>
    <row r="2327">
      <c r="A2327" s="92" t="n">
        <v>2025</v>
      </c>
      <c r="B2327" s="92" t="n">
        <v>11</v>
      </c>
      <c r="C2327" s="92" t="inlineStr">
        <is>
          <t>5100002323</t>
        </is>
      </c>
      <c r="D2327" s="95" t="n">
        <v>45970</v>
      </c>
      <c r="E2327" s="92" t="inlineStr">
        <is>
          <t>KR</t>
        </is>
      </c>
      <c r="F2327" s="92" t="n">
        <v>62201000</v>
      </c>
      <c r="G2327" s="92" t="n">
        <v>1201</v>
      </c>
      <c r="H2327" s="93" t="n">
        <v>211000</v>
      </c>
      <c r="I2327" s="92" t="inlineStr">
        <is>
          <t>11월 통신요금 - P통신</t>
        </is>
      </c>
      <c r="J2327" s="92" t="inlineStr">
        <is>
          <t>V10014</t>
        </is>
      </c>
      <c r="K2327" s="92" t="inlineStr">
        <is>
          <t>P통신</t>
        </is>
      </c>
      <c r="M2327" s="9">
        <f>IF($A2327="","",VALUE($A2327&amp;"")*12+VALUE($B2327&amp;""))</f>
        <v/>
      </c>
      <c r="N2327" s="64">
        <f>IF($A2327="","",IFERROR(INDEX(부서매핑!$C$5:$C$504,MATCH($G2327&amp;"",부서매핑!$A$5:$A$504,0)),"미매핑"))</f>
        <v/>
      </c>
      <c r="O2327" s="9">
        <f>IF($A2327="","",N2327&amp;"|"&amp;$F2327)</f>
        <v/>
      </c>
      <c r="P2327" s="94">
        <f>IF($A2327="",0,$H2327*설정!$C$23)</f>
        <v/>
      </c>
      <c r="Q2327" s="64">
        <f>IF($A2327="","",IF(O2327&lt;&gt;원인분석!$C$9,"",IF(AND(M2327&gt;=원인분석!$C$10,M2327&lt;=원인분석!$C$11),"당기",IF(AND(M2327&gt;=원인분석!$C$12,M2327&lt;=원인분석!$C$13),"비교",""))))</f>
        <v/>
      </c>
      <c r="R2327" s="9">
        <f>IF(Q2327="","",$K2327&amp;"")</f>
        <v/>
      </c>
      <c r="S2327" s="9">
        <f>IF(Q2327="","",IF(MATCH(R2327,$R$5:$R$100000,0)=ROW()-4,ROW(),""))</f>
        <v/>
      </c>
      <c r="T2327" s="9">
        <f>IF(Q2327="당기",ABS(P2327)+ROW()/1000000000,"")</f>
        <v/>
      </c>
      <c r="U2327" s="9">
        <f>IF(Q2327="비교",ABS(P2327)+ROW()/1000000000,"")</f>
        <v/>
      </c>
      <c r="V2327" s="64">
        <f>IF($A2327="","",IF(COUNTIF(변동분석!$E$7:$E$506,O2327)&gt;0,"Y","N"))</f>
        <v/>
      </c>
      <c r="W2327" s="64">
        <f>IF($A2327="","",IFERROR(INDEX(계정매핑!$D$5:$D$504,MATCH($F2327&amp;"",계정매핑!$A$5:$A$504,0)),"미매핑"))</f>
        <v/>
      </c>
      <c r="X2327" s="9">
        <f>IF($A2327="","",$F2327&amp;"")</f>
        <v/>
      </c>
      <c r="Y2327" s="94">
        <f>IF($A2327="",0,IF(AE2327="직접",IF(AF2327="비귀속",$P2327,0),$P2327*(1-AG2327)*IFERROR(INDEX(계정대체기준!$F$20:$F$49,MATCH($N2327,계정대체기준!$A$20:$A$49,0)),1)))</f>
        <v/>
      </c>
      <c r="Z2327" s="94">
        <f>IF($A2327="",0,IF(AE2327="직접",IF(AF2327="신계약비",$P2327,0),$P2327*(1-AG2327)*IFERROR(INDEX(계정대체기준!$C$20:$C$49,MATCH($N2327,계정대체기준!$A$20:$A$49,0)),0)))</f>
        <v/>
      </c>
      <c r="AA2327" s="94">
        <f>IF($A2327="",0,IF(AE2327="직접",IF(OR(AF2327="유지비",AF2327="손해조사비"),$P2327,0),$P2327*(1-AG2327)*IFERROR(INDEX(계정대체기준!$D$20:$D$49,MATCH($N2327,계정대체기준!$A$20:$A$49,0)),0)))</f>
        <v/>
      </c>
      <c r="AB2327" s="94">
        <f>IF($A2327="",0,IF(AE2327="직접",IF(AF2327="수금비",$P2327,0),$P2327*(1-AG2327)*IFERROR(INDEX(계정대체기준!$E$20:$E$49,MATCH($N2327,계정대체기준!$A$20:$A$49,0)),0)))</f>
        <v/>
      </c>
      <c r="AC2327" s="9">
        <f>IF(AND($A2327&lt;&gt;"",M2327=설정!$C$20,Z2327&gt;0),Z2327+ROW()/1000000000,"")</f>
        <v/>
      </c>
      <c r="AD2327" s="94">
        <f>IF($A2327="",0,$P2327*AG2327)</f>
        <v/>
      </c>
      <c r="AE2327" s="64">
        <f>IF($A2327="","",IFERROR(INDEX(계정매핑!$E$5:$E$504,MATCH($F2327&amp;"",계정매핑!$A$5:$A$504,0))&amp;"","공통비"))</f>
        <v/>
      </c>
      <c r="AF2327" s="64">
        <f>IF($A2327="","",IF(AE2327="직접",IFERROR(INDEX(계정매핑!$F$5:$F$504,MATCH($F2327&amp;"",계정매핑!$A$5:$A$504,0))&amp;"","비귀속"),""))</f>
        <v/>
      </c>
      <c r="AG2327" s="96">
        <f>IF($A2327="",0,IF(AND(AE2327&lt;&gt;"직접",IFERROR(INDEX(계정매핑!$G$5:$G$504,MATCH($F2327&amp;"",계정매핑!$A$5:$A$504,0))&amp;"","")="유지비",COUNTIF(계정대체기준!$A$6:$A$15,$N2327)&gt;0),IFERROR(INDEX(계정대체기준!$E$6:$E$15,MATCH(VALUE($A2327&amp;""),계정대체기준!$D$6:$D$15,0)),0),0))</f>
        <v/>
      </c>
      <c r="AH2327" s="64">
        <f>IF($A2327="","",IF(AD2327=0,"",IF(OR(COUNTIF(계정대체기준!$A$77:$A$86,$N2327)&gt;0,ISNUMBER(MATCH($X2327,계정대체기준!$D$77:$D$86,0)),ISNUMBER(MATCH($F2327,계정대체기준!$D$77:$D$86,0))),"Y","N")))</f>
        <v/>
      </c>
    </row>
    <row r="2328">
      <c r="A2328" s="92" t="n">
        <v>2025</v>
      </c>
      <c r="B2328" s="92" t="n">
        <v>11</v>
      </c>
      <c r="C2328" s="92" t="inlineStr">
        <is>
          <t>5100002324</t>
        </is>
      </c>
      <c r="D2328" s="95" t="n">
        <v>45970</v>
      </c>
      <c r="E2328" s="92" t="inlineStr">
        <is>
          <t>KR</t>
        </is>
      </c>
      <c r="F2328" s="92" t="n">
        <v>62201000</v>
      </c>
      <c r="G2328" s="92" t="n">
        <v>1701</v>
      </c>
      <c r="H2328" s="93" t="n">
        <v>7280000</v>
      </c>
      <c r="I2328" s="92" t="inlineStr">
        <is>
          <t>11월 통신요금 - O텔레콤</t>
        </is>
      </c>
      <c r="J2328" s="92" t="inlineStr">
        <is>
          <t>V10002</t>
        </is>
      </c>
      <c r="K2328" s="92" t="inlineStr">
        <is>
          <t>O텔레콤</t>
        </is>
      </c>
      <c r="M2328" s="9">
        <f>IF($A2328="","",VALUE($A2328&amp;"")*12+VALUE($B2328&amp;""))</f>
        <v/>
      </c>
      <c r="N2328" s="64">
        <f>IF($A2328="","",IFERROR(INDEX(부서매핑!$C$5:$C$504,MATCH($G2328&amp;"",부서매핑!$A$5:$A$504,0)),"미매핑"))</f>
        <v/>
      </c>
      <c r="O2328" s="9">
        <f>IF($A2328="","",N2328&amp;"|"&amp;$F2328)</f>
        <v/>
      </c>
      <c r="P2328" s="94">
        <f>IF($A2328="",0,$H2328*설정!$C$23)</f>
        <v/>
      </c>
      <c r="Q2328" s="64">
        <f>IF($A2328="","",IF(O2328&lt;&gt;원인분석!$C$9,"",IF(AND(M2328&gt;=원인분석!$C$10,M2328&lt;=원인분석!$C$11),"당기",IF(AND(M2328&gt;=원인분석!$C$12,M2328&lt;=원인분석!$C$13),"비교",""))))</f>
        <v/>
      </c>
      <c r="R2328" s="9">
        <f>IF(Q2328="","",$K2328&amp;"")</f>
        <v/>
      </c>
      <c r="S2328" s="9">
        <f>IF(Q2328="","",IF(MATCH(R2328,$R$5:$R$100000,0)=ROW()-4,ROW(),""))</f>
        <v/>
      </c>
      <c r="T2328" s="9">
        <f>IF(Q2328="당기",ABS(P2328)+ROW()/1000000000,"")</f>
        <v/>
      </c>
      <c r="U2328" s="9">
        <f>IF(Q2328="비교",ABS(P2328)+ROW()/1000000000,"")</f>
        <v/>
      </c>
      <c r="V2328" s="64">
        <f>IF($A2328="","",IF(COUNTIF(변동분석!$E$7:$E$506,O2328)&gt;0,"Y","N"))</f>
        <v/>
      </c>
      <c r="W2328" s="64">
        <f>IF($A2328="","",IFERROR(INDEX(계정매핑!$D$5:$D$504,MATCH($F2328&amp;"",계정매핑!$A$5:$A$504,0)),"미매핑"))</f>
        <v/>
      </c>
      <c r="X2328" s="9">
        <f>IF($A2328="","",$F2328&amp;"")</f>
        <v/>
      </c>
      <c r="Y2328" s="94">
        <f>IF($A2328="",0,IF(AE2328="직접",IF(AF2328="비귀속",$P2328,0),$P2328*(1-AG2328)*IFERROR(INDEX(계정대체기준!$F$20:$F$49,MATCH($N2328,계정대체기준!$A$20:$A$49,0)),1)))</f>
        <v/>
      </c>
      <c r="Z2328" s="94">
        <f>IF($A2328="",0,IF(AE2328="직접",IF(AF2328="신계약비",$P2328,0),$P2328*(1-AG2328)*IFERROR(INDEX(계정대체기준!$C$20:$C$49,MATCH($N2328,계정대체기준!$A$20:$A$49,0)),0)))</f>
        <v/>
      </c>
      <c r="AA2328" s="94">
        <f>IF($A2328="",0,IF(AE2328="직접",IF(OR(AF2328="유지비",AF2328="손해조사비"),$P2328,0),$P2328*(1-AG2328)*IFERROR(INDEX(계정대체기준!$D$20:$D$49,MATCH($N2328,계정대체기준!$A$20:$A$49,0)),0)))</f>
        <v/>
      </c>
      <c r="AB2328" s="94">
        <f>IF($A2328="",0,IF(AE2328="직접",IF(AF2328="수금비",$P2328,0),$P2328*(1-AG2328)*IFERROR(INDEX(계정대체기준!$E$20:$E$49,MATCH($N2328,계정대체기준!$A$20:$A$49,0)),0)))</f>
        <v/>
      </c>
      <c r="AC2328" s="9">
        <f>IF(AND($A2328&lt;&gt;"",M2328=설정!$C$20,Z2328&gt;0),Z2328+ROW()/1000000000,"")</f>
        <v/>
      </c>
      <c r="AD2328" s="94">
        <f>IF($A2328="",0,$P2328*AG2328)</f>
        <v/>
      </c>
      <c r="AE2328" s="64">
        <f>IF($A2328="","",IFERROR(INDEX(계정매핑!$E$5:$E$504,MATCH($F2328&amp;"",계정매핑!$A$5:$A$504,0))&amp;"","공통비"))</f>
        <v/>
      </c>
      <c r="AF2328" s="64">
        <f>IF($A2328="","",IF(AE2328="직접",IFERROR(INDEX(계정매핑!$F$5:$F$504,MATCH($F2328&amp;"",계정매핑!$A$5:$A$504,0))&amp;"","비귀속"),""))</f>
        <v/>
      </c>
      <c r="AG2328" s="96">
        <f>IF($A2328="",0,IF(AND(AE2328&lt;&gt;"직접",IFERROR(INDEX(계정매핑!$G$5:$G$504,MATCH($F2328&amp;"",계정매핑!$A$5:$A$504,0))&amp;"","")="유지비",COUNTIF(계정대체기준!$A$6:$A$15,$N2328)&gt;0),IFERROR(INDEX(계정대체기준!$E$6:$E$15,MATCH(VALUE($A2328&amp;""),계정대체기준!$D$6:$D$15,0)),0),0))</f>
        <v/>
      </c>
      <c r="AH2328" s="64">
        <f>IF($A2328="","",IF(AD2328=0,"",IF(OR(COUNTIF(계정대체기준!$A$77:$A$86,$N2328)&gt;0,ISNUMBER(MATCH($X2328,계정대체기준!$D$77:$D$86,0)),ISNUMBER(MATCH($F2328,계정대체기준!$D$77:$D$86,0))),"Y","N")))</f>
        <v/>
      </c>
    </row>
    <row r="2329">
      <c r="A2329" s="92" t="n">
        <v>2025</v>
      </c>
      <c r="B2329" s="92" t="n">
        <v>11</v>
      </c>
      <c r="C2329" s="92" t="inlineStr">
        <is>
          <t>5100002325</t>
        </is>
      </c>
      <c r="D2329" s="95" t="n">
        <v>45970</v>
      </c>
      <c r="E2329" s="92" t="inlineStr">
        <is>
          <t>KR</t>
        </is>
      </c>
      <c r="F2329" s="92" t="n">
        <v>62401000</v>
      </c>
      <c r="G2329" s="92" t="n">
        <v>1501</v>
      </c>
      <c r="H2329" s="93" t="n">
        <v>2977000</v>
      </c>
      <c r="I2329" s="92" t="inlineStr">
        <is>
          <t>11월 인쇄물 제작 - G인쇄</t>
        </is>
      </c>
      <c r="J2329" s="92" t="inlineStr">
        <is>
          <t>V10004</t>
        </is>
      </c>
      <c r="K2329" s="92" t="inlineStr">
        <is>
          <t>G인쇄</t>
        </is>
      </c>
      <c r="M2329" s="9">
        <f>IF($A2329="","",VALUE($A2329&amp;"")*12+VALUE($B2329&amp;""))</f>
        <v/>
      </c>
      <c r="N2329" s="64">
        <f>IF($A2329="","",IFERROR(INDEX(부서매핑!$C$5:$C$504,MATCH($G2329&amp;"",부서매핑!$A$5:$A$504,0)),"미매핑"))</f>
        <v/>
      </c>
      <c r="O2329" s="9">
        <f>IF($A2329="","",N2329&amp;"|"&amp;$F2329)</f>
        <v/>
      </c>
      <c r="P2329" s="94">
        <f>IF($A2329="",0,$H2329*설정!$C$23)</f>
        <v/>
      </c>
      <c r="Q2329" s="64">
        <f>IF($A2329="","",IF(O2329&lt;&gt;원인분석!$C$9,"",IF(AND(M2329&gt;=원인분석!$C$10,M2329&lt;=원인분석!$C$11),"당기",IF(AND(M2329&gt;=원인분석!$C$12,M2329&lt;=원인분석!$C$13),"비교",""))))</f>
        <v/>
      </c>
      <c r="R2329" s="9">
        <f>IF(Q2329="","",$K2329&amp;"")</f>
        <v/>
      </c>
      <c r="S2329" s="9">
        <f>IF(Q2329="","",IF(MATCH(R2329,$R$5:$R$100000,0)=ROW()-4,ROW(),""))</f>
        <v/>
      </c>
      <c r="T2329" s="9">
        <f>IF(Q2329="당기",ABS(P2329)+ROW()/1000000000,"")</f>
        <v/>
      </c>
      <c r="U2329" s="9">
        <f>IF(Q2329="비교",ABS(P2329)+ROW()/1000000000,"")</f>
        <v/>
      </c>
      <c r="V2329" s="64">
        <f>IF($A2329="","",IF(COUNTIF(변동분석!$E$7:$E$506,O2329)&gt;0,"Y","N"))</f>
        <v/>
      </c>
      <c r="W2329" s="64">
        <f>IF($A2329="","",IFERROR(INDEX(계정매핑!$D$5:$D$504,MATCH($F2329&amp;"",계정매핑!$A$5:$A$504,0)),"미매핑"))</f>
        <v/>
      </c>
      <c r="X2329" s="9">
        <f>IF($A2329="","",$F2329&amp;"")</f>
        <v/>
      </c>
      <c r="Y2329" s="94">
        <f>IF($A2329="",0,IF(AE2329="직접",IF(AF2329="비귀속",$P2329,0),$P2329*(1-AG2329)*IFERROR(INDEX(계정대체기준!$F$20:$F$49,MATCH($N2329,계정대체기준!$A$20:$A$49,0)),1)))</f>
        <v/>
      </c>
      <c r="Z2329" s="94">
        <f>IF($A2329="",0,IF(AE2329="직접",IF(AF2329="신계약비",$P2329,0),$P2329*(1-AG2329)*IFERROR(INDEX(계정대체기준!$C$20:$C$49,MATCH($N2329,계정대체기준!$A$20:$A$49,0)),0)))</f>
        <v/>
      </c>
      <c r="AA2329" s="94">
        <f>IF($A2329="",0,IF(AE2329="직접",IF(OR(AF2329="유지비",AF2329="손해조사비"),$P2329,0),$P2329*(1-AG2329)*IFERROR(INDEX(계정대체기준!$D$20:$D$49,MATCH($N2329,계정대체기준!$A$20:$A$49,0)),0)))</f>
        <v/>
      </c>
      <c r="AB2329" s="94">
        <f>IF($A2329="",0,IF(AE2329="직접",IF(AF2329="수금비",$P2329,0),$P2329*(1-AG2329)*IFERROR(INDEX(계정대체기준!$E$20:$E$49,MATCH($N2329,계정대체기준!$A$20:$A$49,0)),0)))</f>
        <v/>
      </c>
      <c r="AC2329" s="9">
        <f>IF(AND($A2329&lt;&gt;"",M2329=설정!$C$20,Z2329&gt;0),Z2329+ROW()/1000000000,"")</f>
        <v/>
      </c>
      <c r="AD2329" s="94">
        <f>IF($A2329="",0,$P2329*AG2329)</f>
        <v/>
      </c>
      <c r="AE2329" s="64">
        <f>IF($A2329="","",IFERROR(INDEX(계정매핑!$E$5:$E$504,MATCH($F2329&amp;"",계정매핑!$A$5:$A$504,0))&amp;"","공통비"))</f>
        <v/>
      </c>
      <c r="AF2329" s="64">
        <f>IF($A2329="","",IF(AE2329="직접",IFERROR(INDEX(계정매핑!$F$5:$F$504,MATCH($F2329&amp;"",계정매핑!$A$5:$A$504,0))&amp;"","비귀속"),""))</f>
        <v/>
      </c>
      <c r="AG2329" s="96">
        <f>IF($A2329="",0,IF(AND(AE2329&lt;&gt;"직접",IFERROR(INDEX(계정매핑!$G$5:$G$504,MATCH($F2329&amp;"",계정매핑!$A$5:$A$504,0))&amp;"","")="유지비",COUNTIF(계정대체기준!$A$6:$A$15,$N2329)&gt;0),IFERROR(INDEX(계정대체기준!$E$6:$E$15,MATCH(VALUE($A2329&amp;""),계정대체기준!$D$6:$D$15,0)),0),0))</f>
        <v/>
      </c>
      <c r="AH2329" s="64">
        <f>IF($A2329="","",IF(AD2329=0,"",IF(OR(COUNTIF(계정대체기준!$A$77:$A$86,$N2329)&gt;0,ISNUMBER(MATCH($X2329,계정대체기준!$D$77:$D$86,0)),ISNUMBER(MATCH($F2329,계정대체기준!$D$77:$D$86,0))),"Y","N")))</f>
        <v/>
      </c>
    </row>
    <row r="2330">
      <c r="A2330" s="92" t="n">
        <v>2025</v>
      </c>
      <c r="B2330" s="92" t="n">
        <v>11</v>
      </c>
      <c r="C2330" s="92" t="inlineStr">
        <is>
          <t>5100002326</t>
        </is>
      </c>
      <c r="D2330" s="95" t="n">
        <v>45970</v>
      </c>
      <c r="E2330" s="92" t="inlineStr">
        <is>
          <t>KR</t>
        </is>
      </c>
      <c r="F2330" s="92" t="n">
        <v>62501000</v>
      </c>
      <c r="G2330" s="92" t="n">
        <v>1101</v>
      </c>
      <c r="H2330" s="93" t="n">
        <v>204000</v>
      </c>
      <c r="I2330" s="92" t="inlineStr">
        <is>
          <t>11월 회의 다과 - T케이터링</t>
        </is>
      </c>
      <c r="J2330" s="92" t="inlineStr">
        <is>
          <t>V10005</t>
        </is>
      </c>
      <c r="K2330" s="92" t="inlineStr">
        <is>
          <t>T케이터링</t>
        </is>
      </c>
      <c r="M2330" s="9">
        <f>IF($A2330="","",VALUE($A2330&amp;"")*12+VALUE($B2330&amp;""))</f>
        <v/>
      </c>
      <c r="N2330" s="64">
        <f>IF($A2330="","",IFERROR(INDEX(부서매핑!$C$5:$C$504,MATCH($G2330&amp;"",부서매핑!$A$5:$A$504,0)),"미매핑"))</f>
        <v/>
      </c>
      <c r="O2330" s="9">
        <f>IF($A2330="","",N2330&amp;"|"&amp;$F2330)</f>
        <v/>
      </c>
      <c r="P2330" s="94">
        <f>IF($A2330="",0,$H2330*설정!$C$23)</f>
        <v/>
      </c>
      <c r="Q2330" s="64">
        <f>IF($A2330="","",IF(O2330&lt;&gt;원인분석!$C$9,"",IF(AND(M2330&gt;=원인분석!$C$10,M2330&lt;=원인분석!$C$11),"당기",IF(AND(M2330&gt;=원인분석!$C$12,M2330&lt;=원인분석!$C$13),"비교",""))))</f>
        <v/>
      </c>
      <c r="R2330" s="9">
        <f>IF(Q2330="","",$K2330&amp;"")</f>
        <v/>
      </c>
      <c r="S2330" s="9">
        <f>IF(Q2330="","",IF(MATCH(R2330,$R$5:$R$100000,0)=ROW()-4,ROW(),""))</f>
        <v/>
      </c>
      <c r="T2330" s="9">
        <f>IF(Q2330="당기",ABS(P2330)+ROW()/1000000000,"")</f>
        <v/>
      </c>
      <c r="U2330" s="9">
        <f>IF(Q2330="비교",ABS(P2330)+ROW()/1000000000,"")</f>
        <v/>
      </c>
      <c r="V2330" s="64">
        <f>IF($A2330="","",IF(COUNTIF(변동분석!$E$7:$E$506,O2330)&gt;0,"Y","N"))</f>
        <v/>
      </c>
      <c r="W2330" s="64">
        <f>IF($A2330="","",IFERROR(INDEX(계정매핑!$D$5:$D$504,MATCH($F2330&amp;"",계정매핑!$A$5:$A$504,0)),"미매핑"))</f>
        <v/>
      </c>
      <c r="X2330" s="9">
        <f>IF($A2330="","",$F2330&amp;"")</f>
        <v/>
      </c>
      <c r="Y2330" s="94">
        <f>IF($A2330="",0,IF(AE2330="직접",IF(AF2330="비귀속",$P2330,0),$P2330*(1-AG2330)*IFERROR(INDEX(계정대체기준!$F$20:$F$49,MATCH($N2330,계정대체기준!$A$20:$A$49,0)),1)))</f>
        <v/>
      </c>
      <c r="Z2330" s="94">
        <f>IF($A2330="",0,IF(AE2330="직접",IF(AF2330="신계약비",$P2330,0),$P2330*(1-AG2330)*IFERROR(INDEX(계정대체기준!$C$20:$C$49,MATCH($N2330,계정대체기준!$A$20:$A$49,0)),0)))</f>
        <v/>
      </c>
      <c r="AA2330" s="94">
        <f>IF($A2330="",0,IF(AE2330="직접",IF(OR(AF2330="유지비",AF2330="손해조사비"),$P2330,0),$P2330*(1-AG2330)*IFERROR(INDEX(계정대체기준!$D$20:$D$49,MATCH($N2330,계정대체기준!$A$20:$A$49,0)),0)))</f>
        <v/>
      </c>
      <c r="AB2330" s="94">
        <f>IF($A2330="",0,IF(AE2330="직접",IF(AF2330="수금비",$P2330,0),$P2330*(1-AG2330)*IFERROR(INDEX(계정대체기준!$E$20:$E$49,MATCH($N2330,계정대체기준!$A$20:$A$49,0)),0)))</f>
        <v/>
      </c>
      <c r="AC2330" s="9">
        <f>IF(AND($A2330&lt;&gt;"",M2330=설정!$C$20,Z2330&gt;0),Z2330+ROW()/1000000000,"")</f>
        <v/>
      </c>
      <c r="AD2330" s="94">
        <f>IF($A2330="",0,$P2330*AG2330)</f>
        <v/>
      </c>
      <c r="AE2330" s="64">
        <f>IF($A2330="","",IFERROR(INDEX(계정매핑!$E$5:$E$504,MATCH($F2330&amp;"",계정매핑!$A$5:$A$504,0))&amp;"","공통비"))</f>
        <v/>
      </c>
      <c r="AF2330" s="64">
        <f>IF($A2330="","",IF(AE2330="직접",IFERROR(INDEX(계정매핑!$F$5:$F$504,MATCH($F2330&amp;"",계정매핑!$A$5:$A$504,0))&amp;"","비귀속"),""))</f>
        <v/>
      </c>
      <c r="AG2330" s="96">
        <f>IF($A2330="",0,IF(AND(AE2330&lt;&gt;"직접",IFERROR(INDEX(계정매핑!$G$5:$G$504,MATCH($F2330&amp;"",계정매핑!$A$5:$A$504,0))&amp;"","")="유지비",COUNTIF(계정대체기준!$A$6:$A$15,$N2330)&gt;0),IFERROR(INDEX(계정대체기준!$E$6:$E$15,MATCH(VALUE($A2330&amp;""),계정대체기준!$D$6:$D$15,0)),0),0))</f>
        <v/>
      </c>
      <c r="AH2330" s="64">
        <f>IF($A2330="","",IF(AD2330=0,"",IF(OR(COUNTIF(계정대체기준!$A$77:$A$86,$N2330)&gt;0,ISNUMBER(MATCH($X2330,계정대체기준!$D$77:$D$86,0)),ISNUMBER(MATCH($F2330,계정대체기준!$D$77:$D$86,0))),"Y","N")))</f>
        <v/>
      </c>
    </row>
    <row r="2331">
      <c r="A2331" s="92" t="n">
        <v>2025</v>
      </c>
      <c r="B2331" s="92" t="n">
        <v>11</v>
      </c>
      <c r="C2331" s="92" t="inlineStr">
        <is>
          <t>5100002327</t>
        </is>
      </c>
      <c r="D2331" s="95" t="n">
        <v>45970</v>
      </c>
      <c r="E2331" s="92" t="inlineStr">
        <is>
          <t>KR</t>
        </is>
      </c>
      <c r="F2331" s="92" t="n">
        <v>62501000</v>
      </c>
      <c r="G2331" s="92" t="n">
        <v>1701</v>
      </c>
      <c r="H2331" s="93" t="n">
        <v>171000</v>
      </c>
      <c r="I2331" s="92" t="inlineStr">
        <is>
          <t>11월 회의 다과 - (법인카드)</t>
        </is>
      </c>
      <c r="J2331" s="92" t="inlineStr">
        <is>
          <t>V10010</t>
        </is>
      </c>
      <c r="K2331" s="92" t="inlineStr">
        <is>
          <t>(법인카드)</t>
        </is>
      </c>
      <c r="M2331" s="9">
        <f>IF($A2331="","",VALUE($A2331&amp;"")*12+VALUE($B2331&amp;""))</f>
        <v/>
      </c>
      <c r="N2331" s="64">
        <f>IF($A2331="","",IFERROR(INDEX(부서매핑!$C$5:$C$504,MATCH($G2331&amp;"",부서매핑!$A$5:$A$504,0)),"미매핑"))</f>
        <v/>
      </c>
      <c r="O2331" s="9">
        <f>IF($A2331="","",N2331&amp;"|"&amp;$F2331)</f>
        <v/>
      </c>
      <c r="P2331" s="94">
        <f>IF($A2331="",0,$H2331*설정!$C$23)</f>
        <v/>
      </c>
      <c r="Q2331" s="64">
        <f>IF($A2331="","",IF(O2331&lt;&gt;원인분석!$C$9,"",IF(AND(M2331&gt;=원인분석!$C$10,M2331&lt;=원인분석!$C$11),"당기",IF(AND(M2331&gt;=원인분석!$C$12,M2331&lt;=원인분석!$C$13),"비교",""))))</f>
        <v/>
      </c>
      <c r="R2331" s="9">
        <f>IF(Q2331="","",$K2331&amp;"")</f>
        <v/>
      </c>
      <c r="S2331" s="9">
        <f>IF(Q2331="","",IF(MATCH(R2331,$R$5:$R$100000,0)=ROW()-4,ROW(),""))</f>
        <v/>
      </c>
      <c r="T2331" s="9">
        <f>IF(Q2331="당기",ABS(P2331)+ROW()/1000000000,"")</f>
        <v/>
      </c>
      <c r="U2331" s="9">
        <f>IF(Q2331="비교",ABS(P2331)+ROW()/1000000000,"")</f>
        <v/>
      </c>
      <c r="V2331" s="64">
        <f>IF($A2331="","",IF(COUNTIF(변동분석!$E$7:$E$506,O2331)&gt;0,"Y","N"))</f>
        <v/>
      </c>
      <c r="W2331" s="64">
        <f>IF($A2331="","",IFERROR(INDEX(계정매핑!$D$5:$D$504,MATCH($F2331&amp;"",계정매핑!$A$5:$A$504,0)),"미매핑"))</f>
        <v/>
      </c>
      <c r="X2331" s="9">
        <f>IF($A2331="","",$F2331&amp;"")</f>
        <v/>
      </c>
      <c r="Y2331" s="94">
        <f>IF($A2331="",0,IF(AE2331="직접",IF(AF2331="비귀속",$P2331,0),$P2331*(1-AG2331)*IFERROR(INDEX(계정대체기준!$F$20:$F$49,MATCH($N2331,계정대체기준!$A$20:$A$49,0)),1)))</f>
        <v/>
      </c>
      <c r="Z2331" s="94">
        <f>IF($A2331="",0,IF(AE2331="직접",IF(AF2331="신계약비",$P2331,0),$P2331*(1-AG2331)*IFERROR(INDEX(계정대체기준!$C$20:$C$49,MATCH($N2331,계정대체기준!$A$20:$A$49,0)),0)))</f>
        <v/>
      </c>
      <c r="AA2331" s="94">
        <f>IF($A2331="",0,IF(AE2331="직접",IF(OR(AF2331="유지비",AF2331="손해조사비"),$P2331,0),$P2331*(1-AG2331)*IFERROR(INDEX(계정대체기준!$D$20:$D$49,MATCH($N2331,계정대체기준!$A$20:$A$49,0)),0)))</f>
        <v/>
      </c>
      <c r="AB2331" s="94">
        <f>IF($A2331="",0,IF(AE2331="직접",IF(AF2331="수금비",$P2331,0),$P2331*(1-AG2331)*IFERROR(INDEX(계정대체기준!$E$20:$E$49,MATCH($N2331,계정대체기준!$A$20:$A$49,0)),0)))</f>
        <v/>
      </c>
      <c r="AC2331" s="9">
        <f>IF(AND($A2331&lt;&gt;"",M2331=설정!$C$20,Z2331&gt;0),Z2331+ROW()/1000000000,"")</f>
        <v/>
      </c>
      <c r="AD2331" s="94">
        <f>IF($A2331="",0,$P2331*AG2331)</f>
        <v/>
      </c>
      <c r="AE2331" s="64">
        <f>IF($A2331="","",IFERROR(INDEX(계정매핑!$E$5:$E$504,MATCH($F2331&amp;"",계정매핑!$A$5:$A$504,0))&amp;"","공통비"))</f>
        <v/>
      </c>
      <c r="AF2331" s="64">
        <f>IF($A2331="","",IF(AE2331="직접",IFERROR(INDEX(계정매핑!$F$5:$F$504,MATCH($F2331&amp;"",계정매핑!$A$5:$A$504,0))&amp;"","비귀속"),""))</f>
        <v/>
      </c>
      <c r="AG2331" s="96">
        <f>IF($A2331="",0,IF(AND(AE2331&lt;&gt;"직접",IFERROR(INDEX(계정매핑!$G$5:$G$504,MATCH($F2331&amp;"",계정매핑!$A$5:$A$504,0))&amp;"","")="유지비",COUNTIF(계정대체기준!$A$6:$A$15,$N2331)&gt;0),IFERROR(INDEX(계정대체기준!$E$6:$E$15,MATCH(VALUE($A2331&amp;""),계정대체기준!$D$6:$D$15,0)),0),0))</f>
        <v/>
      </c>
      <c r="AH2331" s="64">
        <f>IF($A2331="","",IF(AD2331=0,"",IF(OR(COUNTIF(계정대체기준!$A$77:$A$86,$N2331)&gt;0,ISNUMBER(MATCH($X2331,계정대체기준!$D$77:$D$86,0)),ISNUMBER(MATCH($F2331,계정대체기준!$D$77:$D$86,0))),"Y","N")))</f>
        <v/>
      </c>
    </row>
    <row r="2332">
      <c r="A2332" s="92" t="n">
        <v>2025</v>
      </c>
      <c r="B2332" s="92" t="n">
        <v>11</v>
      </c>
      <c r="C2332" s="92" t="inlineStr">
        <is>
          <t>5100002328</t>
        </is>
      </c>
      <c r="D2332" s="95" t="n">
        <v>45970</v>
      </c>
      <c r="E2332" s="92" t="inlineStr">
        <is>
          <t>KR</t>
        </is>
      </c>
      <c r="F2332" s="92" t="n">
        <v>62801000</v>
      </c>
      <c r="G2332" s="92" t="n">
        <v>1301</v>
      </c>
      <c r="H2332" s="93" t="n">
        <v>4072000</v>
      </c>
      <c r="I2332" s="92" t="inlineStr">
        <is>
          <t>11월 사내교육 - (사내강사료)</t>
        </is>
      </c>
      <c r="J2332" s="92" t="inlineStr">
        <is>
          <t>V10024</t>
        </is>
      </c>
      <c r="K2332" s="92" t="inlineStr">
        <is>
          <t>(사내강사료)</t>
        </is>
      </c>
      <c r="M2332" s="9">
        <f>IF($A2332="","",VALUE($A2332&amp;"")*12+VALUE($B2332&amp;""))</f>
        <v/>
      </c>
      <c r="N2332" s="64">
        <f>IF($A2332="","",IFERROR(INDEX(부서매핑!$C$5:$C$504,MATCH($G2332&amp;"",부서매핑!$A$5:$A$504,0)),"미매핑"))</f>
        <v/>
      </c>
      <c r="O2332" s="9">
        <f>IF($A2332="","",N2332&amp;"|"&amp;$F2332)</f>
        <v/>
      </c>
      <c r="P2332" s="94">
        <f>IF($A2332="",0,$H2332*설정!$C$23)</f>
        <v/>
      </c>
      <c r="Q2332" s="64">
        <f>IF($A2332="","",IF(O2332&lt;&gt;원인분석!$C$9,"",IF(AND(M2332&gt;=원인분석!$C$10,M2332&lt;=원인분석!$C$11),"당기",IF(AND(M2332&gt;=원인분석!$C$12,M2332&lt;=원인분석!$C$13),"비교",""))))</f>
        <v/>
      </c>
      <c r="R2332" s="9">
        <f>IF(Q2332="","",$K2332&amp;"")</f>
        <v/>
      </c>
      <c r="S2332" s="9">
        <f>IF(Q2332="","",IF(MATCH(R2332,$R$5:$R$100000,0)=ROW()-4,ROW(),""))</f>
        <v/>
      </c>
      <c r="T2332" s="9">
        <f>IF(Q2332="당기",ABS(P2332)+ROW()/1000000000,"")</f>
        <v/>
      </c>
      <c r="U2332" s="9">
        <f>IF(Q2332="비교",ABS(P2332)+ROW()/1000000000,"")</f>
        <v/>
      </c>
      <c r="V2332" s="64">
        <f>IF($A2332="","",IF(COUNTIF(변동분석!$E$7:$E$506,O2332)&gt;0,"Y","N"))</f>
        <v/>
      </c>
      <c r="W2332" s="64">
        <f>IF($A2332="","",IFERROR(INDEX(계정매핑!$D$5:$D$504,MATCH($F2332&amp;"",계정매핑!$A$5:$A$504,0)),"미매핑"))</f>
        <v/>
      </c>
      <c r="X2332" s="9">
        <f>IF($A2332="","",$F2332&amp;"")</f>
        <v/>
      </c>
      <c r="Y2332" s="94">
        <f>IF($A2332="",0,IF(AE2332="직접",IF(AF2332="비귀속",$P2332,0),$P2332*(1-AG2332)*IFERROR(INDEX(계정대체기준!$F$20:$F$49,MATCH($N2332,계정대체기준!$A$20:$A$49,0)),1)))</f>
        <v/>
      </c>
      <c r="Z2332" s="94">
        <f>IF($A2332="",0,IF(AE2332="직접",IF(AF2332="신계약비",$P2332,0),$P2332*(1-AG2332)*IFERROR(INDEX(계정대체기준!$C$20:$C$49,MATCH($N2332,계정대체기준!$A$20:$A$49,0)),0)))</f>
        <v/>
      </c>
      <c r="AA2332" s="94">
        <f>IF($A2332="",0,IF(AE2332="직접",IF(OR(AF2332="유지비",AF2332="손해조사비"),$P2332,0),$P2332*(1-AG2332)*IFERROR(INDEX(계정대체기준!$D$20:$D$49,MATCH($N2332,계정대체기준!$A$20:$A$49,0)),0)))</f>
        <v/>
      </c>
      <c r="AB2332" s="94">
        <f>IF($A2332="",0,IF(AE2332="직접",IF(AF2332="수금비",$P2332,0),$P2332*(1-AG2332)*IFERROR(INDEX(계정대체기준!$E$20:$E$49,MATCH($N2332,계정대체기준!$A$20:$A$49,0)),0)))</f>
        <v/>
      </c>
      <c r="AC2332" s="9">
        <f>IF(AND($A2332&lt;&gt;"",M2332=설정!$C$20,Z2332&gt;0),Z2332+ROW()/1000000000,"")</f>
        <v/>
      </c>
      <c r="AD2332" s="94">
        <f>IF($A2332="",0,$P2332*AG2332)</f>
        <v/>
      </c>
      <c r="AE2332" s="64">
        <f>IF($A2332="","",IFERROR(INDEX(계정매핑!$E$5:$E$504,MATCH($F2332&amp;"",계정매핑!$A$5:$A$504,0))&amp;"","공통비"))</f>
        <v/>
      </c>
      <c r="AF2332" s="64">
        <f>IF($A2332="","",IF(AE2332="직접",IFERROR(INDEX(계정매핑!$F$5:$F$504,MATCH($F2332&amp;"",계정매핑!$A$5:$A$504,0))&amp;"","비귀속"),""))</f>
        <v/>
      </c>
      <c r="AG2332" s="96">
        <f>IF($A2332="",0,IF(AND(AE2332&lt;&gt;"직접",IFERROR(INDEX(계정매핑!$G$5:$G$504,MATCH($F2332&amp;"",계정매핑!$A$5:$A$504,0))&amp;"","")="유지비",COUNTIF(계정대체기준!$A$6:$A$15,$N2332)&gt;0),IFERROR(INDEX(계정대체기준!$E$6:$E$15,MATCH(VALUE($A2332&amp;""),계정대체기준!$D$6:$D$15,0)),0),0))</f>
        <v/>
      </c>
      <c r="AH2332" s="64">
        <f>IF($A2332="","",IF(AD2332=0,"",IF(OR(COUNTIF(계정대체기준!$A$77:$A$86,$N2332)&gt;0,ISNUMBER(MATCH($X2332,계정대체기준!$D$77:$D$86,0)),ISNUMBER(MATCH($F2332,계정대체기준!$D$77:$D$86,0))),"Y","N")))</f>
        <v/>
      </c>
    </row>
    <row r="2333">
      <c r="A2333" s="92" t="n">
        <v>2025</v>
      </c>
      <c r="B2333" s="92" t="n">
        <v>11</v>
      </c>
      <c r="C2333" s="92" t="inlineStr">
        <is>
          <t>5100002329</t>
        </is>
      </c>
      <c r="D2333" s="95" t="n">
        <v>45970</v>
      </c>
      <c r="E2333" s="92" t="inlineStr">
        <is>
          <t>KR</t>
        </is>
      </c>
      <c r="F2333" s="92" t="n">
        <v>62901000</v>
      </c>
      <c r="G2333" s="92" t="n">
        <v>1801</v>
      </c>
      <c r="H2333" s="93" t="n">
        <v>7793000</v>
      </c>
      <c r="I2333" s="92" t="inlineStr">
        <is>
          <t>11월 자문 수수료 - K회계법인</t>
        </is>
      </c>
      <c r="J2333" s="92" t="inlineStr">
        <is>
          <t>V10011</t>
        </is>
      </c>
      <c r="K2333" s="92" t="inlineStr">
        <is>
          <t>K회계법인</t>
        </is>
      </c>
      <c r="M2333" s="9">
        <f>IF($A2333="","",VALUE($A2333&amp;"")*12+VALUE($B2333&amp;""))</f>
        <v/>
      </c>
      <c r="N2333" s="64">
        <f>IF($A2333="","",IFERROR(INDEX(부서매핑!$C$5:$C$504,MATCH($G2333&amp;"",부서매핑!$A$5:$A$504,0)),"미매핑"))</f>
        <v/>
      </c>
      <c r="O2333" s="9">
        <f>IF($A2333="","",N2333&amp;"|"&amp;$F2333)</f>
        <v/>
      </c>
      <c r="P2333" s="94">
        <f>IF($A2333="",0,$H2333*설정!$C$23)</f>
        <v/>
      </c>
      <c r="Q2333" s="64">
        <f>IF($A2333="","",IF(O2333&lt;&gt;원인분석!$C$9,"",IF(AND(M2333&gt;=원인분석!$C$10,M2333&lt;=원인분석!$C$11),"당기",IF(AND(M2333&gt;=원인분석!$C$12,M2333&lt;=원인분석!$C$13),"비교",""))))</f>
        <v/>
      </c>
      <c r="R2333" s="9">
        <f>IF(Q2333="","",$K2333&amp;"")</f>
        <v/>
      </c>
      <c r="S2333" s="9">
        <f>IF(Q2333="","",IF(MATCH(R2333,$R$5:$R$100000,0)=ROW()-4,ROW(),""))</f>
        <v/>
      </c>
      <c r="T2333" s="9">
        <f>IF(Q2333="당기",ABS(P2333)+ROW()/1000000000,"")</f>
        <v/>
      </c>
      <c r="U2333" s="9">
        <f>IF(Q2333="비교",ABS(P2333)+ROW()/1000000000,"")</f>
        <v/>
      </c>
      <c r="V2333" s="64">
        <f>IF($A2333="","",IF(COUNTIF(변동분석!$E$7:$E$506,O2333)&gt;0,"Y","N"))</f>
        <v/>
      </c>
      <c r="W2333" s="64">
        <f>IF($A2333="","",IFERROR(INDEX(계정매핑!$D$5:$D$504,MATCH($F2333&amp;"",계정매핑!$A$5:$A$504,0)),"미매핑"))</f>
        <v/>
      </c>
      <c r="X2333" s="9">
        <f>IF($A2333="","",$F2333&amp;"")</f>
        <v/>
      </c>
      <c r="Y2333" s="94">
        <f>IF($A2333="",0,IF(AE2333="직접",IF(AF2333="비귀속",$P2333,0),$P2333*(1-AG2333)*IFERROR(INDEX(계정대체기준!$F$20:$F$49,MATCH($N2333,계정대체기준!$A$20:$A$49,0)),1)))</f>
        <v/>
      </c>
      <c r="Z2333" s="94">
        <f>IF($A2333="",0,IF(AE2333="직접",IF(AF2333="신계약비",$P2333,0),$P2333*(1-AG2333)*IFERROR(INDEX(계정대체기준!$C$20:$C$49,MATCH($N2333,계정대체기준!$A$20:$A$49,0)),0)))</f>
        <v/>
      </c>
      <c r="AA2333" s="94">
        <f>IF($A2333="",0,IF(AE2333="직접",IF(OR(AF2333="유지비",AF2333="손해조사비"),$P2333,0),$P2333*(1-AG2333)*IFERROR(INDEX(계정대체기준!$D$20:$D$49,MATCH($N2333,계정대체기준!$A$20:$A$49,0)),0)))</f>
        <v/>
      </c>
      <c r="AB2333" s="94">
        <f>IF($A2333="",0,IF(AE2333="직접",IF(AF2333="수금비",$P2333,0),$P2333*(1-AG2333)*IFERROR(INDEX(계정대체기준!$E$20:$E$49,MATCH($N2333,계정대체기준!$A$20:$A$49,0)),0)))</f>
        <v/>
      </c>
      <c r="AC2333" s="9">
        <f>IF(AND($A2333&lt;&gt;"",M2333=설정!$C$20,Z2333&gt;0),Z2333+ROW()/1000000000,"")</f>
        <v/>
      </c>
      <c r="AD2333" s="94">
        <f>IF($A2333="",0,$P2333*AG2333)</f>
        <v/>
      </c>
      <c r="AE2333" s="64">
        <f>IF($A2333="","",IFERROR(INDEX(계정매핑!$E$5:$E$504,MATCH($F2333&amp;"",계정매핑!$A$5:$A$504,0))&amp;"","공통비"))</f>
        <v/>
      </c>
      <c r="AF2333" s="64">
        <f>IF($A2333="","",IF(AE2333="직접",IFERROR(INDEX(계정매핑!$F$5:$F$504,MATCH($F2333&amp;"",계정매핑!$A$5:$A$504,0))&amp;"","비귀속"),""))</f>
        <v/>
      </c>
      <c r="AG2333" s="96">
        <f>IF($A2333="",0,IF(AND(AE2333&lt;&gt;"직접",IFERROR(INDEX(계정매핑!$G$5:$G$504,MATCH($F2333&amp;"",계정매핑!$A$5:$A$504,0))&amp;"","")="유지비",COUNTIF(계정대체기준!$A$6:$A$15,$N2333)&gt;0),IFERROR(INDEX(계정대체기준!$E$6:$E$15,MATCH(VALUE($A2333&amp;""),계정대체기준!$D$6:$D$15,0)),0),0))</f>
        <v/>
      </c>
      <c r="AH2333" s="64">
        <f>IF($A2333="","",IF(AD2333=0,"",IF(OR(COUNTIF(계정대체기준!$A$77:$A$86,$N2333)&gt;0,ISNUMBER(MATCH($X2333,계정대체기준!$D$77:$D$86,0)),ISNUMBER(MATCH($F2333,계정대체기준!$D$77:$D$86,0))),"Y","N")))</f>
        <v/>
      </c>
    </row>
    <row r="2334">
      <c r="A2334" s="92" t="n">
        <v>2025</v>
      </c>
      <c r="B2334" s="92" t="n">
        <v>11</v>
      </c>
      <c r="C2334" s="92" t="inlineStr">
        <is>
          <t>5100002330</t>
        </is>
      </c>
      <c r="D2334" s="95" t="n">
        <v>45970</v>
      </c>
      <c r="E2334" s="92" t="inlineStr">
        <is>
          <t>KR</t>
        </is>
      </c>
      <c r="F2334" s="92" t="n">
        <v>62902000</v>
      </c>
      <c r="G2334" s="92" t="n">
        <v>1401</v>
      </c>
      <c r="H2334" s="93" t="n">
        <v>2166000</v>
      </c>
      <c r="I2334" s="92" t="inlineStr">
        <is>
          <t>11월 업무 위탁 수수료 - X서비스</t>
        </is>
      </c>
      <c r="J2334" s="92" t="inlineStr">
        <is>
          <t>V10020</t>
        </is>
      </c>
      <c r="K2334" s="92" t="inlineStr">
        <is>
          <t>X서비스</t>
        </is>
      </c>
      <c r="M2334" s="9">
        <f>IF($A2334="","",VALUE($A2334&amp;"")*12+VALUE($B2334&amp;""))</f>
        <v/>
      </c>
      <c r="N2334" s="64">
        <f>IF($A2334="","",IFERROR(INDEX(부서매핑!$C$5:$C$504,MATCH($G2334&amp;"",부서매핑!$A$5:$A$504,0)),"미매핑"))</f>
        <v/>
      </c>
      <c r="O2334" s="9">
        <f>IF($A2334="","",N2334&amp;"|"&amp;$F2334)</f>
        <v/>
      </c>
      <c r="P2334" s="94">
        <f>IF($A2334="",0,$H2334*설정!$C$23)</f>
        <v/>
      </c>
      <c r="Q2334" s="64">
        <f>IF($A2334="","",IF(O2334&lt;&gt;원인분석!$C$9,"",IF(AND(M2334&gt;=원인분석!$C$10,M2334&lt;=원인분석!$C$11),"당기",IF(AND(M2334&gt;=원인분석!$C$12,M2334&lt;=원인분석!$C$13),"비교",""))))</f>
        <v/>
      </c>
      <c r="R2334" s="9">
        <f>IF(Q2334="","",$K2334&amp;"")</f>
        <v/>
      </c>
      <c r="S2334" s="9">
        <f>IF(Q2334="","",IF(MATCH(R2334,$R$5:$R$100000,0)=ROW()-4,ROW(),""))</f>
        <v/>
      </c>
      <c r="T2334" s="9">
        <f>IF(Q2334="당기",ABS(P2334)+ROW()/1000000000,"")</f>
        <v/>
      </c>
      <c r="U2334" s="9">
        <f>IF(Q2334="비교",ABS(P2334)+ROW()/1000000000,"")</f>
        <v/>
      </c>
      <c r="V2334" s="64">
        <f>IF($A2334="","",IF(COUNTIF(변동분석!$E$7:$E$506,O2334)&gt;0,"Y","N"))</f>
        <v/>
      </c>
      <c r="W2334" s="64">
        <f>IF($A2334="","",IFERROR(INDEX(계정매핑!$D$5:$D$504,MATCH($F2334&amp;"",계정매핑!$A$5:$A$504,0)),"미매핑"))</f>
        <v/>
      </c>
      <c r="X2334" s="9">
        <f>IF($A2334="","",$F2334&amp;"")</f>
        <v/>
      </c>
      <c r="Y2334" s="94">
        <f>IF($A2334="",0,IF(AE2334="직접",IF(AF2334="비귀속",$P2334,0),$P2334*(1-AG2334)*IFERROR(INDEX(계정대체기준!$F$20:$F$49,MATCH($N2334,계정대체기준!$A$20:$A$49,0)),1)))</f>
        <v/>
      </c>
      <c r="Z2334" s="94">
        <f>IF($A2334="",0,IF(AE2334="직접",IF(AF2334="신계약비",$P2334,0),$P2334*(1-AG2334)*IFERROR(INDEX(계정대체기준!$C$20:$C$49,MATCH($N2334,계정대체기준!$A$20:$A$49,0)),0)))</f>
        <v/>
      </c>
      <c r="AA2334" s="94">
        <f>IF($A2334="",0,IF(AE2334="직접",IF(OR(AF2334="유지비",AF2334="손해조사비"),$P2334,0),$P2334*(1-AG2334)*IFERROR(INDEX(계정대체기준!$D$20:$D$49,MATCH($N2334,계정대체기준!$A$20:$A$49,0)),0)))</f>
        <v/>
      </c>
      <c r="AB2334" s="94">
        <f>IF($A2334="",0,IF(AE2334="직접",IF(AF2334="수금비",$P2334,0),$P2334*(1-AG2334)*IFERROR(INDEX(계정대체기준!$E$20:$E$49,MATCH($N2334,계정대체기준!$A$20:$A$49,0)),0)))</f>
        <v/>
      </c>
      <c r="AC2334" s="9">
        <f>IF(AND($A2334&lt;&gt;"",M2334=설정!$C$20,Z2334&gt;0),Z2334+ROW()/1000000000,"")</f>
        <v/>
      </c>
      <c r="AD2334" s="94">
        <f>IF($A2334="",0,$P2334*AG2334)</f>
        <v/>
      </c>
      <c r="AE2334" s="64">
        <f>IF($A2334="","",IFERROR(INDEX(계정매핑!$E$5:$E$504,MATCH($F2334&amp;"",계정매핑!$A$5:$A$504,0))&amp;"","공통비"))</f>
        <v/>
      </c>
      <c r="AF2334" s="64">
        <f>IF($A2334="","",IF(AE2334="직접",IFERROR(INDEX(계정매핑!$F$5:$F$504,MATCH($F2334&amp;"",계정매핑!$A$5:$A$504,0))&amp;"","비귀속"),""))</f>
        <v/>
      </c>
      <c r="AG2334" s="96">
        <f>IF($A2334="",0,IF(AND(AE2334&lt;&gt;"직접",IFERROR(INDEX(계정매핑!$G$5:$G$504,MATCH($F2334&amp;"",계정매핑!$A$5:$A$504,0))&amp;"","")="유지비",COUNTIF(계정대체기준!$A$6:$A$15,$N2334)&gt;0),IFERROR(INDEX(계정대체기준!$E$6:$E$15,MATCH(VALUE($A2334&amp;""),계정대체기준!$D$6:$D$15,0)),0),0))</f>
        <v/>
      </c>
      <c r="AH2334" s="64">
        <f>IF($A2334="","",IF(AD2334=0,"",IF(OR(COUNTIF(계정대체기준!$A$77:$A$86,$N2334)&gt;0,ISNUMBER(MATCH($X2334,계정대체기준!$D$77:$D$86,0)),ISNUMBER(MATCH($F2334,계정대체기준!$D$77:$D$86,0))),"Y","N")))</f>
        <v/>
      </c>
    </row>
    <row r="2335">
      <c r="A2335" s="92" t="n">
        <v>2025</v>
      </c>
      <c r="B2335" s="92" t="n">
        <v>11</v>
      </c>
      <c r="C2335" s="92" t="inlineStr">
        <is>
          <t>5100002331</t>
        </is>
      </c>
      <c r="D2335" s="95" t="n">
        <v>45970</v>
      </c>
      <c r="E2335" s="92" t="inlineStr">
        <is>
          <t>KR</t>
        </is>
      </c>
      <c r="F2335" s="92" t="n">
        <v>63502000</v>
      </c>
      <c r="G2335" s="92" t="n">
        <v>1901</v>
      </c>
      <c r="H2335" s="93" t="n">
        <v>147812000</v>
      </c>
      <c r="I2335" s="92" t="inlineStr">
        <is>
          <t>11월 유지수수료 - (전속설계사)</t>
        </is>
      </c>
      <c r="J2335" s="92" t="inlineStr">
        <is>
          <t>V10021</t>
        </is>
      </c>
      <c r="K2335" s="92" t="inlineStr">
        <is>
          <t>(전속설계사)</t>
        </is>
      </c>
      <c r="M2335" s="9">
        <f>IF($A2335="","",VALUE($A2335&amp;"")*12+VALUE($B2335&amp;""))</f>
        <v/>
      </c>
      <c r="N2335" s="64">
        <f>IF($A2335="","",IFERROR(INDEX(부서매핑!$C$5:$C$504,MATCH($G2335&amp;"",부서매핑!$A$5:$A$504,0)),"미매핑"))</f>
        <v/>
      </c>
      <c r="O2335" s="9">
        <f>IF($A2335="","",N2335&amp;"|"&amp;$F2335)</f>
        <v/>
      </c>
      <c r="P2335" s="94">
        <f>IF($A2335="",0,$H2335*설정!$C$23)</f>
        <v/>
      </c>
      <c r="Q2335" s="64">
        <f>IF($A2335="","",IF(O2335&lt;&gt;원인분석!$C$9,"",IF(AND(M2335&gt;=원인분석!$C$10,M2335&lt;=원인분석!$C$11),"당기",IF(AND(M2335&gt;=원인분석!$C$12,M2335&lt;=원인분석!$C$13),"비교",""))))</f>
        <v/>
      </c>
      <c r="R2335" s="9">
        <f>IF(Q2335="","",$K2335&amp;"")</f>
        <v/>
      </c>
      <c r="S2335" s="9">
        <f>IF(Q2335="","",IF(MATCH(R2335,$R$5:$R$100000,0)=ROW()-4,ROW(),""))</f>
        <v/>
      </c>
      <c r="T2335" s="9">
        <f>IF(Q2335="당기",ABS(P2335)+ROW()/1000000000,"")</f>
        <v/>
      </c>
      <c r="U2335" s="9">
        <f>IF(Q2335="비교",ABS(P2335)+ROW()/1000000000,"")</f>
        <v/>
      </c>
      <c r="V2335" s="64">
        <f>IF($A2335="","",IF(COUNTIF(변동분석!$E$7:$E$506,O2335)&gt;0,"Y","N"))</f>
        <v/>
      </c>
      <c r="W2335" s="64">
        <f>IF($A2335="","",IFERROR(INDEX(계정매핑!$D$5:$D$504,MATCH($F2335&amp;"",계정매핑!$A$5:$A$504,0)),"미매핑"))</f>
        <v/>
      </c>
      <c r="X2335" s="9">
        <f>IF($A2335="","",$F2335&amp;"")</f>
        <v/>
      </c>
      <c r="Y2335" s="94">
        <f>IF($A2335="",0,IF(AE2335="직접",IF(AF2335="비귀속",$P2335,0),$P2335*(1-AG2335)*IFERROR(INDEX(계정대체기준!$F$20:$F$49,MATCH($N2335,계정대체기준!$A$20:$A$49,0)),1)))</f>
        <v/>
      </c>
      <c r="Z2335" s="94">
        <f>IF($A2335="",0,IF(AE2335="직접",IF(AF2335="신계약비",$P2335,0),$P2335*(1-AG2335)*IFERROR(INDEX(계정대체기준!$C$20:$C$49,MATCH($N2335,계정대체기준!$A$20:$A$49,0)),0)))</f>
        <v/>
      </c>
      <c r="AA2335" s="94">
        <f>IF($A2335="",0,IF(AE2335="직접",IF(OR(AF2335="유지비",AF2335="손해조사비"),$P2335,0),$P2335*(1-AG2335)*IFERROR(INDEX(계정대체기준!$D$20:$D$49,MATCH($N2335,계정대체기준!$A$20:$A$49,0)),0)))</f>
        <v/>
      </c>
      <c r="AB2335" s="94">
        <f>IF($A2335="",0,IF(AE2335="직접",IF(AF2335="수금비",$P2335,0),$P2335*(1-AG2335)*IFERROR(INDEX(계정대체기준!$E$20:$E$49,MATCH($N2335,계정대체기준!$A$20:$A$49,0)),0)))</f>
        <v/>
      </c>
      <c r="AC2335" s="9">
        <f>IF(AND($A2335&lt;&gt;"",M2335=설정!$C$20,Z2335&gt;0),Z2335+ROW()/1000000000,"")</f>
        <v/>
      </c>
      <c r="AD2335" s="94">
        <f>IF($A2335="",0,$P2335*AG2335)</f>
        <v/>
      </c>
      <c r="AE2335" s="64">
        <f>IF($A2335="","",IFERROR(INDEX(계정매핑!$E$5:$E$504,MATCH($F2335&amp;"",계정매핑!$A$5:$A$504,0))&amp;"","공통비"))</f>
        <v/>
      </c>
      <c r="AF2335" s="64">
        <f>IF($A2335="","",IF(AE2335="직접",IFERROR(INDEX(계정매핑!$F$5:$F$504,MATCH($F2335&amp;"",계정매핑!$A$5:$A$504,0))&amp;"","비귀속"),""))</f>
        <v/>
      </c>
      <c r="AG2335" s="96">
        <f>IF($A2335="",0,IF(AND(AE2335&lt;&gt;"직접",IFERROR(INDEX(계정매핑!$G$5:$G$504,MATCH($F2335&amp;"",계정매핑!$A$5:$A$504,0))&amp;"","")="유지비",COUNTIF(계정대체기준!$A$6:$A$15,$N2335)&gt;0),IFERROR(INDEX(계정대체기준!$E$6:$E$15,MATCH(VALUE($A2335&amp;""),계정대체기준!$D$6:$D$15,0)),0),0))</f>
        <v/>
      </c>
      <c r="AH2335" s="64">
        <f>IF($A2335="","",IF(AD2335=0,"",IF(OR(COUNTIF(계정대체기준!$A$77:$A$86,$N2335)&gt;0,ISNUMBER(MATCH($X2335,계정대체기준!$D$77:$D$86,0)),ISNUMBER(MATCH($F2335,계정대체기준!$D$77:$D$86,0))),"Y","N")))</f>
        <v/>
      </c>
    </row>
    <row r="2336">
      <c r="A2336" s="92" t="n">
        <v>2025</v>
      </c>
      <c r="B2336" s="92" t="n">
        <v>11</v>
      </c>
      <c r="C2336" s="92" t="inlineStr">
        <is>
          <t>5100002332</t>
        </is>
      </c>
      <c r="D2336" s="95" t="n">
        <v>45971</v>
      </c>
      <c r="E2336" s="92" t="inlineStr">
        <is>
          <t>KR</t>
        </is>
      </c>
      <c r="F2336" s="92" t="n">
        <v>62102000</v>
      </c>
      <c r="G2336" s="92" t="n">
        <v>1301</v>
      </c>
      <c r="H2336" s="93" t="n">
        <v>73000</v>
      </c>
      <c r="I2336" s="92" t="inlineStr">
        <is>
          <t>11월 해외출장 - M항공</t>
        </is>
      </c>
      <c r="J2336" s="92" t="inlineStr">
        <is>
          <t>V10001</t>
        </is>
      </c>
      <c r="K2336" s="92" t="inlineStr">
        <is>
          <t>M항공</t>
        </is>
      </c>
      <c r="M2336" s="9">
        <f>IF($A2336="","",VALUE($A2336&amp;"")*12+VALUE($B2336&amp;""))</f>
        <v/>
      </c>
      <c r="N2336" s="64">
        <f>IF($A2336="","",IFERROR(INDEX(부서매핑!$C$5:$C$504,MATCH($G2336&amp;"",부서매핑!$A$5:$A$504,0)),"미매핑"))</f>
        <v/>
      </c>
      <c r="O2336" s="9">
        <f>IF($A2336="","",N2336&amp;"|"&amp;$F2336)</f>
        <v/>
      </c>
      <c r="P2336" s="94">
        <f>IF($A2336="",0,$H2336*설정!$C$23)</f>
        <v/>
      </c>
      <c r="Q2336" s="64">
        <f>IF($A2336="","",IF(O2336&lt;&gt;원인분석!$C$9,"",IF(AND(M2336&gt;=원인분석!$C$10,M2336&lt;=원인분석!$C$11),"당기",IF(AND(M2336&gt;=원인분석!$C$12,M2336&lt;=원인분석!$C$13),"비교",""))))</f>
        <v/>
      </c>
      <c r="R2336" s="9">
        <f>IF(Q2336="","",$K2336&amp;"")</f>
        <v/>
      </c>
      <c r="S2336" s="9">
        <f>IF(Q2336="","",IF(MATCH(R2336,$R$5:$R$100000,0)=ROW()-4,ROW(),""))</f>
        <v/>
      </c>
      <c r="T2336" s="9">
        <f>IF(Q2336="당기",ABS(P2336)+ROW()/1000000000,"")</f>
        <v/>
      </c>
      <c r="U2336" s="9">
        <f>IF(Q2336="비교",ABS(P2336)+ROW()/1000000000,"")</f>
        <v/>
      </c>
      <c r="V2336" s="64">
        <f>IF($A2336="","",IF(COUNTIF(변동분석!$E$7:$E$506,O2336)&gt;0,"Y","N"))</f>
        <v/>
      </c>
      <c r="W2336" s="64">
        <f>IF($A2336="","",IFERROR(INDEX(계정매핑!$D$5:$D$504,MATCH($F2336&amp;"",계정매핑!$A$5:$A$504,0)),"미매핑"))</f>
        <v/>
      </c>
      <c r="X2336" s="9">
        <f>IF($A2336="","",$F2336&amp;"")</f>
        <v/>
      </c>
      <c r="Y2336" s="94">
        <f>IF($A2336="",0,IF(AE2336="직접",IF(AF2336="비귀속",$P2336,0),$P2336*(1-AG2336)*IFERROR(INDEX(계정대체기준!$F$20:$F$49,MATCH($N2336,계정대체기준!$A$20:$A$49,0)),1)))</f>
        <v/>
      </c>
      <c r="Z2336" s="94">
        <f>IF($A2336="",0,IF(AE2336="직접",IF(AF2336="신계약비",$P2336,0),$P2336*(1-AG2336)*IFERROR(INDEX(계정대체기준!$C$20:$C$49,MATCH($N2336,계정대체기준!$A$20:$A$49,0)),0)))</f>
        <v/>
      </c>
      <c r="AA2336" s="94">
        <f>IF($A2336="",0,IF(AE2336="직접",IF(OR(AF2336="유지비",AF2336="손해조사비"),$P2336,0),$P2336*(1-AG2336)*IFERROR(INDEX(계정대체기준!$D$20:$D$49,MATCH($N2336,계정대체기준!$A$20:$A$49,0)),0)))</f>
        <v/>
      </c>
      <c r="AB2336" s="94">
        <f>IF($A2336="",0,IF(AE2336="직접",IF(AF2336="수금비",$P2336,0),$P2336*(1-AG2336)*IFERROR(INDEX(계정대체기준!$E$20:$E$49,MATCH($N2336,계정대체기준!$A$20:$A$49,0)),0)))</f>
        <v/>
      </c>
      <c r="AC2336" s="9">
        <f>IF(AND($A2336&lt;&gt;"",M2336=설정!$C$20,Z2336&gt;0),Z2336+ROW()/1000000000,"")</f>
        <v/>
      </c>
      <c r="AD2336" s="94">
        <f>IF($A2336="",0,$P2336*AG2336)</f>
        <v/>
      </c>
      <c r="AE2336" s="64">
        <f>IF($A2336="","",IFERROR(INDEX(계정매핑!$E$5:$E$504,MATCH($F2336&amp;"",계정매핑!$A$5:$A$504,0))&amp;"","공통비"))</f>
        <v/>
      </c>
      <c r="AF2336" s="64">
        <f>IF($A2336="","",IF(AE2336="직접",IFERROR(INDEX(계정매핑!$F$5:$F$504,MATCH($F2336&amp;"",계정매핑!$A$5:$A$504,0))&amp;"","비귀속"),""))</f>
        <v/>
      </c>
      <c r="AG2336" s="96">
        <f>IF($A2336="",0,IF(AND(AE2336&lt;&gt;"직접",IFERROR(INDEX(계정매핑!$G$5:$G$504,MATCH($F2336&amp;"",계정매핑!$A$5:$A$504,0))&amp;"","")="유지비",COUNTIF(계정대체기준!$A$6:$A$15,$N2336)&gt;0),IFERROR(INDEX(계정대체기준!$E$6:$E$15,MATCH(VALUE($A2336&amp;""),계정대체기준!$D$6:$D$15,0)),0),0))</f>
        <v/>
      </c>
      <c r="AH2336" s="64">
        <f>IF($A2336="","",IF(AD2336=0,"",IF(OR(COUNTIF(계정대체기준!$A$77:$A$86,$N2336)&gt;0,ISNUMBER(MATCH($X2336,계정대체기준!$D$77:$D$86,0)),ISNUMBER(MATCH($F2336,계정대체기준!$D$77:$D$86,0))),"Y","N")))</f>
        <v/>
      </c>
    </row>
    <row r="2337">
      <c r="A2337" s="92" t="n">
        <v>2025</v>
      </c>
      <c r="B2337" s="92" t="n">
        <v>11</v>
      </c>
      <c r="C2337" s="92" t="inlineStr">
        <is>
          <t>5100002333</t>
        </is>
      </c>
      <c r="D2337" s="95" t="n">
        <v>45971</v>
      </c>
      <c r="E2337" s="92" t="inlineStr">
        <is>
          <t>KR</t>
        </is>
      </c>
      <c r="F2337" s="92" t="n">
        <v>62301000</v>
      </c>
      <c r="G2337" s="92" t="n">
        <v>1101</v>
      </c>
      <c r="H2337" s="93" t="n">
        <v>139000</v>
      </c>
      <c r="I2337" s="92" t="inlineStr">
        <is>
          <t>11월 소모품 구입 - Q오피스</t>
        </is>
      </c>
      <c r="J2337" s="92" t="inlineStr">
        <is>
          <t>V10003</t>
        </is>
      </c>
      <c r="K2337" s="92" t="inlineStr">
        <is>
          <t>Q오피스</t>
        </is>
      </c>
      <c r="M2337" s="9">
        <f>IF($A2337="","",VALUE($A2337&amp;"")*12+VALUE($B2337&amp;""))</f>
        <v/>
      </c>
      <c r="N2337" s="64">
        <f>IF($A2337="","",IFERROR(INDEX(부서매핑!$C$5:$C$504,MATCH($G2337&amp;"",부서매핑!$A$5:$A$504,0)),"미매핑"))</f>
        <v/>
      </c>
      <c r="O2337" s="9">
        <f>IF($A2337="","",N2337&amp;"|"&amp;$F2337)</f>
        <v/>
      </c>
      <c r="P2337" s="94">
        <f>IF($A2337="",0,$H2337*설정!$C$23)</f>
        <v/>
      </c>
      <c r="Q2337" s="64">
        <f>IF($A2337="","",IF(O2337&lt;&gt;원인분석!$C$9,"",IF(AND(M2337&gt;=원인분석!$C$10,M2337&lt;=원인분석!$C$11),"당기",IF(AND(M2337&gt;=원인분석!$C$12,M2337&lt;=원인분석!$C$13),"비교",""))))</f>
        <v/>
      </c>
      <c r="R2337" s="9">
        <f>IF(Q2337="","",$K2337&amp;"")</f>
        <v/>
      </c>
      <c r="S2337" s="9">
        <f>IF(Q2337="","",IF(MATCH(R2337,$R$5:$R$100000,0)=ROW()-4,ROW(),""))</f>
        <v/>
      </c>
      <c r="T2337" s="9">
        <f>IF(Q2337="당기",ABS(P2337)+ROW()/1000000000,"")</f>
        <v/>
      </c>
      <c r="U2337" s="9">
        <f>IF(Q2337="비교",ABS(P2337)+ROW()/1000000000,"")</f>
        <v/>
      </c>
      <c r="V2337" s="64">
        <f>IF($A2337="","",IF(COUNTIF(변동분석!$E$7:$E$506,O2337)&gt;0,"Y","N"))</f>
        <v/>
      </c>
      <c r="W2337" s="64">
        <f>IF($A2337="","",IFERROR(INDEX(계정매핑!$D$5:$D$504,MATCH($F2337&amp;"",계정매핑!$A$5:$A$504,0)),"미매핑"))</f>
        <v/>
      </c>
      <c r="X2337" s="9">
        <f>IF($A2337="","",$F2337&amp;"")</f>
        <v/>
      </c>
      <c r="Y2337" s="94">
        <f>IF($A2337="",0,IF(AE2337="직접",IF(AF2337="비귀속",$P2337,0),$P2337*(1-AG2337)*IFERROR(INDEX(계정대체기준!$F$20:$F$49,MATCH($N2337,계정대체기준!$A$20:$A$49,0)),1)))</f>
        <v/>
      </c>
      <c r="Z2337" s="94">
        <f>IF($A2337="",0,IF(AE2337="직접",IF(AF2337="신계약비",$P2337,0),$P2337*(1-AG2337)*IFERROR(INDEX(계정대체기준!$C$20:$C$49,MATCH($N2337,계정대체기준!$A$20:$A$49,0)),0)))</f>
        <v/>
      </c>
      <c r="AA2337" s="94">
        <f>IF($A2337="",0,IF(AE2337="직접",IF(OR(AF2337="유지비",AF2337="손해조사비"),$P2337,0),$P2337*(1-AG2337)*IFERROR(INDEX(계정대체기준!$D$20:$D$49,MATCH($N2337,계정대체기준!$A$20:$A$49,0)),0)))</f>
        <v/>
      </c>
      <c r="AB2337" s="94">
        <f>IF($A2337="",0,IF(AE2337="직접",IF(AF2337="수금비",$P2337,0),$P2337*(1-AG2337)*IFERROR(INDEX(계정대체기준!$E$20:$E$49,MATCH($N2337,계정대체기준!$A$20:$A$49,0)),0)))</f>
        <v/>
      </c>
      <c r="AC2337" s="9">
        <f>IF(AND($A2337&lt;&gt;"",M2337=설정!$C$20,Z2337&gt;0),Z2337+ROW()/1000000000,"")</f>
        <v/>
      </c>
      <c r="AD2337" s="94">
        <f>IF($A2337="",0,$P2337*AG2337)</f>
        <v/>
      </c>
      <c r="AE2337" s="64">
        <f>IF($A2337="","",IFERROR(INDEX(계정매핑!$E$5:$E$504,MATCH($F2337&amp;"",계정매핑!$A$5:$A$504,0))&amp;"","공통비"))</f>
        <v/>
      </c>
      <c r="AF2337" s="64">
        <f>IF($A2337="","",IF(AE2337="직접",IFERROR(INDEX(계정매핑!$F$5:$F$504,MATCH($F2337&amp;"",계정매핑!$A$5:$A$504,0))&amp;"","비귀속"),""))</f>
        <v/>
      </c>
      <c r="AG2337" s="96">
        <f>IF($A2337="",0,IF(AND(AE2337&lt;&gt;"직접",IFERROR(INDEX(계정매핑!$G$5:$G$504,MATCH($F2337&amp;"",계정매핑!$A$5:$A$504,0))&amp;"","")="유지비",COUNTIF(계정대체기준!$A$6:$A$15,$N2337)&gt;0),IFERROR(INDEX(계정대체기준!$E$6:$E$15,MATCH(VALUE($A2337&amp;""),계정대체기준!$D$6:$D$15,0)),0),0))</f>
        <v/>
      </c>
      <c r="AH2337" s="64">
        <f>IF($A2337="","",IF(AD2337=0,"",IF(OR(COUNTIF(계정대체기준!$A$77:$A$86,$N2337)&gt;0,ISNUMBER(MATCH($X2337,계정대체기준!$D$77:$D$86,0)),ISNUMBER(MATCH($F2337,계정대체기준!$D$77:$D$86,0))),"Y","N")))</f>
        <v/>
      </c>
    </row>
    <row r="2338">
      <c r="A2338" s="92" t="n">
        <v>2025</v>
      </c>
      <c r="B2338" s="92" t="n">
        <v>11</v>
      </c>
      <c r="C2338" s="92" t="inlineStr">
        <is>
          <t>5100002334</t>
        </is>
      </c>
      <c r="D2338" s="95" t="n">
        <v>45971</v>
      </c>
      <c r="E2338" s="92" t="inlineStr">
        <is>
          <t>KR</t>
        </is>
      </c>
      <c r="F2338" s="92" t="n">
        <v>62301000</v>
      </c>
      <c r="G2338" s="92" t="n">
        <v>1401</v>
      </c>
      <c r="H2338" s="93" t="n">
        <v>133000</v>
      </c>
      <c r="I2338" s="92" t="inlineStr">
        <is>
          <t>11월 소모품 구입 - Q오피스</t>
        </is>
      </c>
      <c r="J2338" s="92" t="inlineStr">
        <is>
          <t>V10003</t>
        </is>
      </c>
      <c r="K2338" s="92" t="inlineStr">
        <is>
          <t>Q오피스</t>
        </is>
      </c>
      <c r="M2338" s="9">
        <f>IF($A2338="","",VALUE($A2338&amp;"")*12+VALUE($B2338&amp;""))</f>
        <v/>
      </c>
      <c r="N2338" s="64">
        <f>IF($A2338="","",IFERROR(INDEX(부서매핑!$C$5:$C$504,MATCH($G2338&amp;"",부서매핑!$A$5:$A$504,0)),"미매핑"))</f>
        <v/>
      </c>
      <c r="O2338" s="9">
        <f>IF($A2338="","",N2338&amp;"|"&amp;$F2338)</f>
        <v/>
      </c>
      <c r="P2338" s="94">
        <f>IF($A2338="",0,$H2338*설정!$C$23)</f>
        <v/>
      </c>
      <c r="Q2338" s="64">
        <f>IF($A2338="","",IF(O2338&lt;&gt;원인분석!$C$9,"",IF(AND(M2338&gt;=원인분석!$C$10,M2338&lt;=원인분석!$C$11),"당기",IF(AND(M2338&gt;=원인분석!$C$12,M2338&lt;=원인분석!$C$13),"비교",""))))</f>
        <v/>
      </c>
      <c r="R2338" s="9">
        <f>IF(Q2338="","",$K2338&amp;"")</f>
        <v/>
      </c>
      <c r="S2338" s="9">
        <f>IF(Q2338="","",IF(MATCH(R2338,$R$5:$R$100000,0)=ROW()-4,ROW(),""))</f>
        <v/>
      </c>
      <c r="T2338" s="9">
        <f>IF(Q2338="당기",ABS(P2338)+ROW()/1000000000,"")</f>
        <v/>
      </c>
      <c r="U2338" s="9">
        <f>IF(Q2338="비교",ABS(P2338)+ROW()/1000000000,"")</f>
        <v/>
      </c>
      <c r="V2338" s="64">
        <f>IF($A2338="","",IF(COUNTIF(변동분석!$E$7:$E$506,O2338)&gt;0,"Y","N"))</f>
        <v/>
      </c>
      <c r="W2338" s="64">
        <f>IF($A2338="","",IFERROR(INDEX(계정매핑!$D$5:$D$504,MATCH($F2338&amp;"",계정매핑!$A$5:$A$504,0)),"미매핑"))</f>
        <v/>
      </c>
      <c r="X2338" s="9">
        <f>IF($A2338="","",$F2338&amp;"")</f>
        <v/>
      </c>
      <c r="Y2338" s="94">
        <f>IF($A2338="",0,IF(AE2338="직접",IF(AF2338="비귀속",$P2338,0),$P2338*(1-AG2338)*IFERROR(INDEX(계정대체기준!$F$20:$F$49,MATCH($N2338,계정대체기준!$A$20:$A$49,0)),1)))</f>
        <v/>
      </c>
      <c r="Z2338" s="94">
        <f>IF($A2338="",0,IF(AE2338="직접",IF(AF2338="신계약비",$P2338,0),$P2338*(1-AG2338)*IFERROR(INDEX(계정대체기준!$C$20:$C$49,MATCH($N2338,계정대체기준!$A$20:$A$49,0)),0)))</f>
        <v/>
      </c>
      <c r="AA2338" s="94">
        <f>IF($A2338="",0,IF(AE2338="직접",IF(OR(AF2338="유지비",AF2338="손해조사비"),$P2338,0),$P2338*(1-AG2338)*IFERROR(INDEX(계정대체기준!$D$20:$D$49,MATCH($N2338,계정대체기준!$A$20:$A$49,0)),0)))</f>
        <v/>
      </c>
      <c r="AB2338" s="94">
        <f>IF($A2338="",0,IF(AE2338="직접",IF(AF2338="수금비",$P2338,0),$P2338*(1-AG2338)*IFERROR(INDEX(계정대체기준!$E$20:$E$49,MATCH($N2338,계정대체기준!$A$20:$A$49,0)),0)))</f>
        <v/>
      </c>
      <c r="AC2338" s="9">
        <f>IF(AND($A2338&lt;&gt;"",M2338=설정!$C$20,Z2338&gt;0),Z2338+ROW()/1000000000,"")</f>
        <v/>
      </c>
      <c r="AD2338" s="94">
        <f>IF($A2338="",0,$P2338*AG2338)</f>
        <v/>
      </c>
      <c r="AE2338" s="64">
        <f>IF($A2338="","",IFERROR(INDEX(계정매핑!$E$5:$E$504,MATCH($F2338&amp;"",계정매핑!$A$5:$A$504,0))&amp;"","공통비"))</f>
        <v/>
      </c>
      <c r="AF2338" s="64">
        <f>IF($A2338="","",IF(AE2338="직접",IFERROR(INDEX(계정매핑!$F$5:$F$504,MATCH($F2338&amp;"",계정매핑!$A$5:$A$504,0))&amp;"","비귀속"),""))</f>
        <v/>
      </c>
      <c r="AG2338" s="96">
        <f>IF($A2338="",0,IF(AND(AE2338&lt;&gt;"직접",IFERROR(INDEX(계정매핑!$G$5:$G$504,MATCH($F2338&amp;"",계정매핑!$A$5:$A$504,0))&amp;"","")="유지비",COUNTIF(계정대체기준!$A$6:$A$15,$N2338)&gt;0),IFERROR(INDEX(계정대체기준!$E$6:$E$15,MATCH(VALUE($A2338&amp;""),계정대체기준!$D$6:$D$15,0)),0),0))</f>
        <v/>
      </c>
      <c r="AH2338" s="64">
        <f>IF($A2338="","",IF(AD2338=0,"",IF(OR(COUNTIF(계정대체기준!$A$77:$A$86,$N2338)&gt;0,ISNUMBER(MATCH($X2338,계정대체기준!$D$77:$D$86,0)),ISNUMBER(MATCH($F2338,계정대체기준!$D$77:$D$86,0))),"Y","N")))</f>
        <v/>
      </c>
    </row>
    <row r="2339">
      <c r="A2339" s="92" t="n">
        <v>2025</v>
      </c>
      <c r="B2339" s="92" t="n">
        <v>11</v>
      </c>
      <c r="C2339" s="92" t="inlineStr">
        <is>
          <t>5100002335</t>
        </is>
      </c>
      <c r="D2339" s="95" t="n">
        <v>45971</v>
      </c>
      <c r="E2339" s="92" t="inlineStr">
        <is>
          <t>KR</t>
        </is>
      </c>
      <c r="F2339" s="92" t="n">
        <v>62901000</v>
      </c>
      <c r="G2339" s="92" t="n">
        <v>1101</v>
      </c>
      <c r="H2339" s="93" t="n">
        <v>4591000</v>
      </c>
      <c r="I2339" s="92" t="inlineStr">
        <is>
          <t>11월 자문 수수료 - K회계법인</t>
        </is>
      </c>
      <c r="J2339" s="92" t="inlineStr">
        <is>
          <t>V10011</t>
        </is>
      </c>
      <c r="K2339" s="92" t="inlineStr">
        <is>
          <t>K회계법인</t>
        </is>
      </c>
      <c r="M2339" s="9">
        <f>IF($A2339="","",VALUE($A2339&amp;"")*12+VALUE($B2339&amp;""))</f>
        <v/>
      </c>
      <c r="N2339" s="64">
        <f>IF($A2339="","",IFERROR(INDEX(부서매핑!$C$5:$C$504,MATCH($G2339&amp;"",부서매핑!$A$5:$A$504,0)),"미매핑"))</f>
        <v/>
      </c>
      <c r="O2339" s="9">
        <f>IF($A2339="","",N2339&amp;"|"&amp;$F2339)</f>
        <v/>
      </c>
      <c r="P2339" s="94">
        <f>IF($A2339="",0,$H2339*설정!$C$23)</f>
        <v/>
      </c>
      <c r="Q2339" s="64">
        <f>IF($A2339="","",IF(O2339&lt;&gt;원인분석!$C$9,"",IF(AND(M2339&gt;=원인분석!$C$10,M2339&lt;=원인분석!$C$11),"당기",IF(AND(M2339&gt;=원인분석!$C$12,M2339&lt;=원인분석!$C$13),"비교",""))))</f>
        <v/>
      </c>
      <c r="R2339" s="9">
        <f>IF(Q2339="","",$K2339&amp;"")</f>
        <v/>
      </c>
      <c r="S2339" s="9">
        <f>IF(Q2339="","",IF(MATCH(R2339,$R$5:$R$100000,0)=ROW()-4,ROW(),""))</f>
        <v/>
      </c>
      <c r="T2339" s="9">
        <f>IF(Q2339="당기",ABS(P2339)+ROW()/1000000000,"")</f>
        <v/>
      </c>
      <c r="U2339" s="9">
        <f>IF(Q2339="비교",ABS(P2339)+ROW()/1000000000,"")</f>
        <v/>
      </c>
      <c r="V2339" s="64">
        <f>IF($A2339="","",IF(COUNTIF(변동분석!$E$7:$E$506,O2339)&gt;0,"Y","N"))</f>
        <v/>
      </c>
      <c r="W2339" s="64">
        <f>IF($A2339="","",IFERROR(INDEX(계정매핑!$D$5:$D$504,MATCH($F2339&amp;"",계정매핑!$A$5:$A$504,0)),"미매핑"))</f>
        <v/>
      </c>
      <c r="X2339" s="9">
        <f>IF($A2339="","",$F2339&amp;"")</f>
        <v/>
      </c>
      <c r="Y2339" s="94">
        <f>IF($A2339="",0,IF(AE2339="직접",IF(AF2339="비귀속",$P2339,0),$P2339*(1-AG2339)*IFERROR(INDEX(계정대체기준!$F$20:$F$49,MATCH($N2339,계정대체기준!$A$20:$A$49,0)),1)))</f>
        <v/>
      </c>
      <c r="Z2339" s="94">
        <f>IF($A2339="",0,IF(AE2339="직접",IF(AF2339="신계약비",$P2339,0),$P2339*(1-AG2339)*IFERROR(INDEX(계정대체기준!$C$20:$C$49,MATCH($N2339,계정대체기준!$A$20:$A$49,0)),0)))</f>
        <v/>
      </c>
      <c r="AA2339" s="94">
        <f>IF($A2339="",0,IF(AE2339="직접",IF(OR(AF2339="유지비",AF2339="손해조사비"),$P2339,0),$P2339*(1-AG2339)*IFERROR(INDEX(계정대체기준!$D$20:$D$49,MATCH($N2339,계정대체기준!$A$20:$A$49,0)),0)))</f>
        <v/>
      </c>
      <c r="AB2339" s="94">
        <f>IF($A2339="",0,IF(AE2339="직접",IF(AF2339="수금비",$P2339,0),$P2339*(1-AG2339)*IFERROR(INDEX(계정대체기준!$E$20:$E$49,MATCH($N2339,계정대체기준!$A$20:$A$49,0)),0)))</f>
        <v/>
      </c>
      <c r="AC2339" s="9">
        <f>IF(AND($A2339&lt;&gt;"",M2339=설정!$C$20,Z2339&gt;0),Z2339+ROW()/1000000000,"")</f>
        <v/>
      </c>
      <c r="AD2339" s="94">
        <f>IF($A2339="",0,$P2339*AG2339)</f>
        <v/>
      </c>
      <c r="AE2339" s="64">
        <f>IF($A2339="","",IFERROR(INDEX(계정매핑!$E$5:$E$504,MATCH($F2339&amp;"",계정매핑!$A$5:$A$504,0))&amp;"","공통비"))</f>
        <v/>
      </c>
      <c r="AF2339" s="64">
        <f>IF($A2339="","",IF(AE2339="직접",IFERROR(INDEX(계정매핑!$F$5:$F$504,MATCH($F2339&amp;"",계정매핑!$A$5:$A$504,0))&amp;"","비귀속"),""))</f>
        <v/>
      </c>
      <c r="AG2339" s="96">
        <f>IF($A2339="",0,IF(AND(AE2339&lt;&gt;"직접",IFERROR(INDEX(계정매핑!$G$5:$G$504,MATCH($F2339&amp;"",계정매핑!$A$5:$A$504,0))&amp;"","")="유지비",COUNTIF(계정대체기준!$A$6:$A$15,$N2339)&gt;0),IFERROR(INDEX(계정대체기준!$E$6:$E$15,MATCH(VALUE($A2339&amp;""),계정대체기준!$D$6:$D$15,0)),0),0))</f>
        <v/>
      </c>
      <c r="AH2339" s="64">
        <f>IF($A2339="","",IF(AD2339=0,"",IF(OR(COUNTIF(계정대체기준!$A$77:$A$86,$N2339)&gt;0,ISNUMBER(MATCH($X2339,계정대체기준!$D$77:$D$86,0)),ISNUMBER(MATCH($F2339,계정대체기준!$D$77:$D$86,0))),"Y","N")))</f>
        <v/>
      </c>
    </row>
    <row r="2340">
      <c r="A2340" s="92" t="n">
        <v>2025</v>
      </c>
      <c r="B2340" s="92" t="n">
        <v>11</v>
      </c>
      <c r="C2340" s="92" t="inlineStr">
        <is>
          <t>5100002336</t>
        </is>
      </c>
      <c r="D2340" s="95" t="n">
        <v>45971</v>
      </c>
      <c r="E2340" s="92" t="inlineStr">
        <is>
          <t>KR</t>
        </is>
      </c>
      <c r="F2340" s="92" t="n">
        <v>62902000</v>
      </c>
      <c r="G2340" s="92" t="n">
        <v>1801</v>
      </c>
      <c r="H2340" s="93" t="n">
        <v>3000000</v>
      </c>
      <c r="I2340" s="92" t="inlineStr">
        <is>
          <t>11월 업무 위탁 수수료 - X서비스</t>
        </is>
      </c>
      <c r="J2340" s="92" t="inlineStr">
        <is>
          <t>V10020</t>
        </is>
      </c>
      <c r="K2340" s="92" t="inlineStr">
        <is>
          <t>X서비스</t>
        </is>
      </c>
      <c r="M2340" s="9">
        <f>IF($A2340="","",VALUE($A2340&amp;"")*12+VALUE($B2340&amp;""))</f>
        <v/>
      </c>
      <c r="N2340" s="64">
        <f>IF($A2340="","",IFERROR(INDEX(부서매핑!$C$5:$C$504,MATCH($G2340&amp;"",부서매핑!$A$5:$A$504,0)),"미매핑"))</f>
        <v/>
      </c>
      <c r="O2340" s="9">
        <f>IF($A2340="","",N2340&amp;"|"&amp;$F2340)</f>
        <v/>
      </c>
      <c r="P2340" s="94">
        <f>IF($A2340="",0,$H2340*설정!$C$23)</f>
        <v/>
      </c>
      <c r="Q2340" s="64">
        <f>IF($A2340="","",IF(O2340&lt;&gt;원인분석!$C$9,"",IF(AND(M2340&gt;=원인분석!$C$10,M2340&lt;=원인분석!$C$11),"당기",IF(AND(M2340&gt;=원인분석!$C$12,M2340&lt;=원인분석!$C$13),"비교",""))))</f>
        <v/>
      </c>
      <c r="R2340" s="9">
        <f>IF(Q2340="","",$K2340&amp;"")</f>
        <v/>
      </c>
      <c r="S2340" s="9">
        <f>IF(Q2340="","",IF(MATCH(R2340,$R$5:$R$100000,0)=ROW()-4,ROW(),""))</f>
        <v/>
      </c>
      <c r="T2340" s="9">
        <f>IF(Q2340="당기",ABS(P2340)+ROW()/1000000000,"")</f>
        <v/>
      </c>
      <c r="U2340" s="9">
        <f>IF(Q2340="비교",ABS(P2340)+ROW()/1000000000,"")</f>
        <v/>
      </c>
      <c r="V2340" s="64">
        <f>IF($A2340="","",IF(COUNTIF(변동분석!$E$7:$E$506,O2340)&gt;0,"Y","N"))</f>
        <v/>
      </c>
      <c r="W2340" s="64">
        <f>IF($A2340="","",IFERROR(INDEX(계정매핑!$D$5:$D$504,MATCH($F2340&amp;"",계정매핑!$A$5:$A$504,0)),"미매핑"))</f>
        <v/>
      </c>
      <c r="X2340" s="9">
        <f>IF($A2340="","",$F2340&amp;"")</f>
        <v/>
      </c>
      <c r="Y2340" s="94">
        <f>IF($A2340="",0,IF(AE2340="직접",IF(AF2340="비귀속",$P2340,0),$P2340*(1-AG2340)*IFERROR(INDEX(계정대체기준!$F$20:$F$49,MATCH($N2340,계정대체기준!$A$20:$A$49,0)),1)))</f>
        <v/>
      </c>
      <c r="Z2340" s="94">
        <f>IF($A2340="",0,IF(AE2340="직접",IF(AF2340="신계약비",$P2340,0),$P2340*(1-AG2340)*IFERROR(INDEX(계정대체기준!$C$20:$C$49,MATCH($N2340,계정대체기준!$A$20:$A$49,0)),0)))</f>
        <v/>
      </c>
      <c r="AA2340" s="94">
        <f>IF($A2340="",0,IF(AE2340="직접",IF(OR(AF2340="유지비",AF2340="손해조사비"),$P2340,0),$P2340*(1-AG2340)*IFERROR(INDEX(계정대체기준!$D$20:$D$49,MATCH($N2340,계정대체기준!$A$20:$A$49,0)),0)))</f>
        <v/>
      </c>
      <c r="AB2340" s="94">
        <f>IF($A2340="",0,IF(AE2340="직접",IF(AF2340="수금비",$P2340,0),$P2340*(1-AG2340)*IFERROR(INDEX(계정대체기준!$E$20:$E$49,MATCH($N2340,계정대체기준!$A$20:$A$49,0)),0)))</f>
        <v/>
      </c>
      <c r="AC2340" s="9">
        <f>IF(AND($A2340&lt;&gt;"",M2340=설정!$C$20,Z2340&gt;0),Z2340+ROW()/1000000000,"")</f>
        <v/>
      </c>
      <c r="AD2340" s="94">
        <f>IF($A2340="",0,$P2340*AG2340)</f>
        <v/>
      </c>
      <c r="AE2340" s="64">
        <f>IF($A2340="","",IFERROR(INDEX(계정매핑!$E$5:$E$504,MATCH($F2340&amp;"",계정매핑!$A$5:$A$504,0))&amp;"","공통비"))</f>
        <v/>
      </c>
      <c r="AF2340" s="64">
        <f>IF($A2340="","",IF(AE2340="직접",IFERROR(INDEX(계정매핑!$F$5:$F$504,MATCH($F2340&amp;"",계정매핑!$A$5:$A$504,0))&amp;"","비귀속"),""))</f>
        <v/>
      </c>
      <c r="AG2340" s="96">
        <f>IF($A2340="",0,IF(AND(AE2340&lt;&gt;"직접",IFERROR(INDEX(계정매핑!$G$5:$G$504,MATCH($F2340&amp;"",계정매핑!$A$5:$A$504,0))&amp;"","")="유지비",COUNTIF(계정대체기준!$A$6:$A$15,$N2340)&gt;0),IFERROR(INDEX(계정대체기준!$E$6:$E$15,MATCH(VALUE($A2340&amp;""),계정대체기준!$D$6:$D$15,0)),0),0))</f>
        <v/>
      </c>
      <c r="AH2340" s="64">
        <f>IF($A2340="","",IF(AD2340=0,"",IF(OR(COUNTIF(계정대체기준!$A$77:$A$86,$N2340)&gt;0,ISNUMBER(MATCH($X2340,계정대체기준!$D$77:$D$86,0)),ISNUMBER(MATCH($F2340,계정대체기준!$D$77:$D$86,0))),"Y","N")))</f>
        <v/>
      </c>
    </row>
    <row r="2341">
      <c r="A2341" s="92" t="n">
        <v>2025</v>
      </c>
      <c r="B2341" s="92" t="n">
        <v>11</v>
      </c>
      <c r="C2341" s="92" t="inlineStr">
        <is>
          <t>5100002337</t>
        </is>
      </c>
      <c r="D2341" s="95" t="n">
        <v>45971</v>
      </c>
      <c r="E2341" s="92" t="inlineStr">
        <is>
          <t>KR</t>
        </is>
      </c>
      <c r="F2341" s="92" t="n">
        <v>62902000</v>
      </c>
      <c r="G2341" s="92" t="n">
        <v>1951</v>
      </c>
      <c r="H2341" s="93" t="n">
        <v>4354000</v>
      </c>
      <c r="I2341" s="92" t="inlineStr">
        <is>
          <t>11월 업무 위탁 수수료 - J콜센터</t>
        </is>
      </c>
      <c r="J2341" s="92" t="inlineStr">
        <is>
          <t>V10016</t>
        </is>
      </c>
      <c r="K2341" s="92" t="inlineStr">
        <is>
          <t>J콜센터</t>
        </is>
      </c>
      <c r="M2341" s="9">
        <f>IF($A2341="","",VALUE($A2341&amp;"")*12+VALUE($B2341&amp;""))</f>
        <v/>
      </c>
      <c r="N2341" s="64">
        <f>IF($A2341="","",IFERROR(INDEX(부서매핑!$C$5:$C$504,MATCH($G2341&amp;"",부서매핑!$A$5:$A$504,0)),"미매핑"))</f>
        <v/>
      </c>
      <c r="O2341" s="9">
        <f>IF($A2341="","",N2341&amp;"|"&amp;$F2341)</f>
        <v/>
      </c>
      <c r="P2341" s="94">
        <f>IF($A2341="",0,$H2341*설정!$C$23)</f>
        <v/>
      </c>
      <c r="Q2341" s="64">
        <f>IF($A2341="","",IF(O2341&lt;&gt;원인분석!$C$9,"",IF(AND(M2341&gt;=원인분석!$C$10,M2341&lt;=원인분석!$C$11),"당기",IF(AND(M2341&gt;=원인분석!$C$12,M2341&lt;=원인분석!$C$13),"비교",""))))</f>
        <v/>
      </c>
      <c r="R2341" s="9">
        <f>IF(Q2341="","",$K2341&amp;"")</f>
        <v/>
      </c>
      <c r="S2341" s="9">
        <f>IF(Q2341="","",IF(MATCH(R2341,$R$5:$R$100000,0)=ROW()-4,ROW(),""))</f>
        <v/>
      </c>
      <c r="T2341" s="9">
        <f>IF(Q2341="당기",ABS(P2341)+ROW()/1000000000,"")</f>
        <v/>
      </c>
      <c r="U2341" s="9">
        <f>IF(Q2341="비교",ABS(P2341)+ROW()/1000000000,"")</f>
        <v/>
      </c>
      <c r="V2341" s="64">
        <f>IF($A2341="","",IF(COUNTIF(변동분석!$E$7:$E$506,O2341)&gt;0,"Y","N"))</f>
        <v/>
      </c>
      <c r="W2341" s="64">
        <f>IF($A2341="","",IFERROR(INDEX(계정매핑!$D$5:$D$504,MATCH($F2341&amp;"",계정매핑!$A$5:$A$504,0)),"미매핑"))</f>
        <v/>
      </c>
      <c r="X2341" s="9">
        <f>IF($A2341="","",$F2341&amp;"")</f>
        <v/>
      </c>
      <c r="Y2341" s="94">
        <f>IF($A2341="",0,IF(AE2341="직접",IF(AF2341="비귀속",$P2341,0),$P2341*(1-AG2341)*IFERROR(INDEX(계정대체기준!$F$20:$F$49,MATCH($N2341,계정대체기준!$A$20:$A$49,0)),1)))</f>
        <v/>
      </c>
      <c r="Z2341" s="94">
        <f>IF($A2341="",0,IF(AE2341="직접",IF(AF2341="신계약비",$P2341,0),$P2341*(1-AG2341)*IFERROR(INDEX(계정대체기준!$C$20:$C$49,MATCH($N2341,계정대체기준!$A$20:$A$49,0)),0)))</f>
        <v/>
      </c>
      <c r="AA2341" s="94">
        <f>IF($A2341="",0,IF(AE2341="직접",IF(OR(AF2341="유지비",AF2341="손해조사비"),$P2341,0),$P2341*(1-AG2341)*IFERROR(INDEX(계정대체기준!$D$20:$D$49,MATCH($N2341,계정대체기준!$A$20:$A$49,0)),0)))</f>
        <v/>
      </c>
      <c r="AB2341" s="94">
        <f>IF($A2341="",0,IF(AE2341="직접",IF(AF2341="수금비",$P2341,0),$P2341*(1-AG2341)*IFERROR(INDEX(계정대체기준!$E$20:$E$49,MATCH($N2341,계정대체기준!$A$20:$A$49,0)),0)))</f>
        <v/>
      </c>
      <c r="AC2341" s="9">
        <f>IF(AND($A2341&lt;&gt;"",M2341=설정!$C$20,Z2341&gt;0),Z2341+ROW()/1000000000,"")</f>
        <v/>
      </c>
      <c r="AD2341" s="94">
        <f>IF($A2341="",0,$P2341*AG2341)</f>
        <v/>
      </c>
      <c r="AE2341" s="64">
        <f>IF($A2341="","",IFERROR(INDEX(계정매핑!$E$5:$E$504,MATCH($F2341&amp;"",계정매핑!$A$5:$A$504,0))&amp;"","공통비"))</f>
        <v/>
      </c>
      <c r="AF2341" s="64">
        <f>IF($A2341="","",IF(AE2341="직접",IFERROR(INDEX(계정매핑!$F$5:$F$504,MATCH($F2341&amp;"",계정매핑!$A$5:$A$504,0))&amp;"","비귀속"),""))</f>
        <v/>
      </c>
      <c r="AG2341" s="96">
        <f>IF($A2341="",0,IF(AND(AE2341&lt;&gt;"직접",IFERROR(INDEX(계정매핑!$G$5:$G$504,MATCH($F2341&amp;"",계정매핑!$A$5:$A$504,0))&amp;"","")="유지비",COUNTIF(계정대체기준!$A$6:$A$15,$N2341)&gt;0),IFERROR(INDEX(계정대체기준!$E$6:$E$15,MATCH(VALUE($A2341&amp;""),계정대체기준!$D$6:$D$15,0)),0),0))</f>
        <v/>
      </c>
      <c r="AH2341" s="64">
        <f>IF($A2341="","",IF(AD2341=0,"",IF(OR(COUNTIF(계정대체기준!$A$77:$A$86,$N2341)&gt;0,ISNUMBER(MATCH($X2341,계정대체기준!$D$77:$D$86,0)),ISNUMBER(MATCH($F2341,계정대체기준!$D$77:$D$86,0))),"Y","N")))</f>
        <v/>
      </c>
    </row>
    <row r="2342">
      <c r="A2342" s="92" t="n">
        <v>2025</v>
      </c>
      <c r="B2342" s="92" t="n">
        <v>11</v>
      </c>
      <c r="C2342" s="92" t="inlineStr">
        <is>
          <t>5100002338</t>
        </is>
      </c>
      <c r="D2342" s="95" t="n">
        <v>45972</v>
      </c>
      <c r="E2342" s="92" t="inlineStr">
        <is>
          <t>KR</t>
        </is>
      </c>
      <c r="F2342" s="92" t="n">
        <v>62101000</v>
      </c>
      <c r="G2342" s="92" t="n">
        <v>1201</v>
      </c>
      <c r="H2342" s="93" t="n">
        <v>188000</v>
      </c>
      <c r="I2342" s="92" t="inlineStr">
        <is>
          <t>11월 국내출장 - (법인카드)</t>
        </is>
      </c>
      <c r="J2342" s="92" t="inlineStr">
        <is>
          <t>V10010</t>
        </is>
      </c>
      <c r="K2342" s="92" t="inlineStr">
        <is>
          <t>(법인카드)</t>
        </is>
      </c>
      <c r="M2342" s="9">
        <f>IF($A2342="","",VALUE($A2342&amp;"")*12+VALUE($B2342&amp;""))</f>
        <v/>
      </c>
      <c r="N2342" s="64">
        <f>IF($A2342="","",IFERROR(INDEX(부서매핑!$C$5:$C$504,MATCH($G2342&amp;"",부서매핑!$A$5:$A$504,0)),"미매핑"))</f>
        <v/>
      </c>
      <c r="O2342" s="9">
        <f>IF($A2342="","",N2342&amp;"|"&amp;$F2342)</f>
        <v/>
      </c>
      <c r="P2342" s="94">
        <f>IF($A2342="",0,$H2342*설정!$C$23)</f>
        <v/>
      </c>
      <c r="Q2342" s="64">
        <f>IF($A2342="","",IF(O2342&lt;&gt;원인분석!$C$9,"",IF(AND(M2342&gt;=원인분석!$C$10,M2342&lt;=원인분석!$C$11),"당기",IF(AND(M2342&gt;=원인분석!$C$12,M2342&lt;=원인분석!$C$13),"비교",""))))</f>
        <v/>
      </c>
      <c r="R2342" s="9">
        <f>IF(Q2342="","",$K2342&amp;"")</f>
        <v/>
      </c>
      <c r="S2342" s="9">
        <f>IF(Q2342="","",IF(MATCH(R2342,$R$5:$R$100000,0)=ROW()-4,ROW(),""))</f>
        <v/>
      </c>
      <c r="T2342" s="9">
        <f>IF(Q2342="당기",ABS(P2342)+ROW()/1000000000,"")</f>
        <v/>
      </c>
      <c r="U2342" s="9">
        <f>IF(Q2342="비교",ABS(P2342)+ROW()/1000000000,"")</f>
        <v/>
      </c>
      <c r="V2342" s="64">
        <f>IF($A2342="","",IF(COUNTIF(변동분석!$E$7:$E$506,O2342)&gt;0,"Y","N"))</f>
        <v/>
      </c>
      <c r="W2342" s="64">
        <f>IF($A2342="","",IFERROR(INDEX(계정매핑!$D$5:$D$504,MATCH($F2342&amp;"",계정매핑!$A$5:$A$504,0)),"미매핑"))</f>
        <v/>
      </c>
      <c r="X2342" s="9">
        <f>IF($A2342="","",$F2342&amp;"")</f>
        <v/>
      </c>
      <c r="Y2342" s="94">
        <f>IF($A2342="",0,IF(AE2342="직접",IF(AF2342="비귀속",$P2342,0),$P2342*(1-AG2342)*IFERROR(INDEX(계정대체기준!$F$20:$F$49,MATCH($N2342,계정대체기준!$A$20:$A$49,0)),1)))</f>
        <v/>
      </c>
      <c r="Z2342" s="94">
        <f>IF($A2342="",0,IF(AE2342="직접",IF(AF2342="신계약비",$P2342,0),$P2342*(1-AG2342)*IFERROR(INDEX(계정대체기준!$C$20:$C$49,MATCH($N2342,계정대체기준!$A$20:$A$49,0)),0)))</f>
        <v/>
      </c>
      <c r="AA2342" s="94">
        <f>IF($A2342="",0,IF(AE2342="직접",IF(OR(AF2342="유지비",AF2342="손해조사비"),$P2342,0),$P2342*(1-AG2342)*IFERROR(INDEX(계정대체기준!$D$20:$D$49,MATCH($N2342,계정대체기준!$A$20:$A$49,0)),0)))</f>
        <v/>
      </c>
      <c r="AB2342" s="94">
        <f>IF($A2342="",0,IF(AE2342="직접",IF(AF2342="수금비",$P2342,0),$P2342*(1-AG2342)*IFERROR(INDEX(계정대체기준!$E$20:$E$49,MATCH($N2342,계정대체기준!$A$20:$A$49,0)),0)))</f>
        <v/>
      </c>
      <c r="AC2342" s="9">
        <f>IF(AND($A2342&lt;&gt;"",M2342=설정!$C$20,Z2342&gt;0),Z2342+ROW()/1000000000,"")</f>
        <v/>
      </c>
      <c r="AD2342" s="94">
        <f>IF($A2342="",0,$P2342*AG2342)</f>
        <v/>
      </c>
      <c r="AE2342" s="64">
        <f>IF($A2342="","",IFERROR(INDEX(계정매핑!$E$5:$E$504,MATCH($F2342&amp;"",계정매핑!$A$5:$A$504,0))&amp;"","공통비"))</f>
        <v/>
      </c>
      <c r="AF2342" s="64">
        <f>IF($A2342="","",IF(AE2342="직접",IFERROR(INDEX(계정매핑!$F$5:$F$504,MATCH($F2342&amp;"",계정매핑!$A$5:$A$504,0))&amp;"","비귀속"),""))</f>
        <v/>
      </c>
      <c r="AG2342" s="96">
        <f>IF($A2342="",0,IF(AND(AE2342&lt;&gt;"직접",IFERROR(INDEX(계정매핑!$G$5:$G$504,MATCH($F2342&amp;"",계정매핑!$A$5:$A$504,0))&amp;"","")="유지비",COUNTIF(계정대체기준!$A$6:$A$15,$N2342)&gt;0),IFERROR(INDEX(계정대체기준!$E$6:$E$15,MATCH(VALUE($A2342&amp;""),계정대체기준!$D$6:$D$15,0)),0),0))</f>
        <v/>
      </c>
      <c r="AH2342" s="64">
        <f>IF($A2342="","",IF(AD2342=0,"",IF(OR(COUNTIF(계정대체기준!$A$77:$A$86,$N2342)&gt;0,ISNUMBER(MATCH($X2342,계정대체기준!$D$77:$D$86,0)),ISNUMBER(MATCH($F2342,계정대체기준!$D$77:$D$86,0))),"Y","N")))</f>
        <v/>
      </c>
    </row>
    <row r="2343">
      <c r="A2343" s="92" t="n">
        <v>2025</v>
      </c>
      <c r="B2343" s="92" t="n">
        <v>11</v>
      </c>
      <c r="C2343" s="92" t="inlineStr">
        <is>
          <t>5100002339</t>
        </is>
      </c>
      <c r="D2343" s="95" t="n">
        <v>45972</v>
      </c>
      <c r="E2343" s="92" t="inlineStr">
        <is>
          <t>KR</t>
        </is>
      </c>
      <c r="F2343" s="92" t="n">
        <v>62102000</v>
      </c>
      <c r="G2343" s="92" t="n">
        <v>1201</v>
      </c>
      <c r="H2343" s="93" t="n">
        <v>32000</v>
      </c>
      <c r="I2343" s="92" t="inlineStr">
        <is>
          <t>11월 해외출장 - N호텔</t>
        </is>
      </c>
      <c r="J2343" s="92" t="inlineStr">
        <is>
          <t>V10009</t>
        </is>
      </c>
      <c r="K2343" s="92" t="inlineStr">
        <is>
          <t>N호텔</t>
        </is>
      </c>
      <c r="M2343" s="9">
        <f>IF($A2343="","",VALUE($A2343&amp;"")*12+VALUE($B2343&amp;""))</f>
        <v/>
      </c>
      <c r="N2343" s="64">
        <f>IF($A2343="","",IFERROR(INDEX(부서매핑!$C$5:$C$504,MATCH($G2343&amp;"",부서매핑!$A$5:$A$504,0)),"미매핑"))</f>
        <v/>
      </c>
      <c r="O2343" s="9">
        <f>IF($A2343="","",N2343&amp;"|"&amp;$F2343)</f>
        <v/>
      </c>
      <c r="P2343" s="94">
        <f>IF($A2343="",0,$H2343*설정!$C$23)</f>
        <v/>
      </c>
      <c r="Q2343" s="64">
        <f>IF($A2343="","",IF(O2343&lt;&gt;원인분석!$C$9,"",IF(AND(M2343&gt;=원인분석!$C$10,M2343&lt;=원인분석!$C$11),"당기",IF(AND(M2343&gt;=원인분석!$C$12,M2343&lt;=원인분석!$C$13),"비교",""))))</f>
        <v/>
      </c>
      <c r="R2343" s="9">
        <f>IF(Q2343="","",$K2343&amp;"")</f>
        <v/>
      </c>
      <c r="S2343" s="9">
        <f>IF(Q2343="","",IF(MATCH(R2343,$R$5:$R$100000,0)=ROW()-4,ROW(),""))</f>
        <v/>
      </c>
      <c r="T2343" s="9">
        <f>IF(Q2343="당기",ABS(P2343)+ROW()/1000000000,"")</f>
        <v/>
      </c>
      <c r="U2343" s="9">
        <f>IF(Q2343="비교",ABS(P2343)+ROW()/1000000000,"")</f>
        <v/>
      </c>
      <c r="V2343" s="64">
        <f>IF($A2343="","",IF(COUNTIF(변동분석!$E$7:$E$506,O2343)&gt;0,"Y","N"))</f>
        <v/>
      </c>
      <c r="W2343" s="64">
        <f>IF($A2343="","",IFERROR(INDEX(계정매핑!$D$5:$D$504,MATCH($F2343&amp;"",계정매핑!$A$5:$A$504,0)),"미매핑"))</f>
        <v/>
      </c>
      <c r="X2343" s="9">
        <f>IF($A2343="","",$F2343&amp;"")</f>
        <v/>
      </c>
      <c r="Y2343" s="94">
        <f>IF($A2343="",0,IF(AE2343="직접",IF(AF2343="비귀속",$P2343,0),$P2343*(1-AG2343)*IFERROR(INDEX(계정대체기준!$F$20:$F$49,MATCH($N2343,계정대체기준!$A$20:$A$49,0)),1)))</f>
        <v/>
      </c>
      <c r="Z2343" s="94">
        <f>IF($A2343="",0,IF(AE2343="직접",IF(AF2343="신계약비",$P2343,0),$P2343*(1-AG2343)*IFERROR(INDEX(계정대체기준!$C$20:$C$49,MATCH($N2343,계정대체기준!$A$20:$A$49,0)),0)))</f>
        <v/>
      </c>
      <c r="AA2343" s="94">
        <f>IF($A2343="",0,IF(AE2343="직접",IF(OR(AF2343="유지비",AF2343="손해조사비"),$P2343,0),$P2343*(1-AG2343)*IFERROR(INDEX(계정대체기준!$D$20:$D$49,MATCH($N2343,계정대체기준!$A$20:$A$49,0)),0)))</f>
        <v/>
      </c>
      <c r="AB2343" s="94">
        <f>IF($A2343="",0,IF(AE2343="직접",IF(AF2343="수금비",$P2343,0),$P2343*(1-AG2343)*IFERROR(INDEX(계정대체기준!$E$20:$E$49,MATCH($N2343,계정대체기준!$A$20:$A$49,0)),0)))</f>
        <v/>
      </c>
      <c r="AC2343" s="9">
        <f>IF(AND($A2343&lt;&gt;"",M2343=설정!$C$20,Z2343&gt;0),Z2343+ROW()/1000000000,"")</f>
        <v/>
      </c>
      <c r="AD2343" s="94">
        <f>IF($A2343="",0,$P2343*AG2343)</f>
        <v/>
      </c>
      <c r="AE2343" s="64">
        <f>IF($A2343="","",IFERROR(INDEX(계정매핑!$E$5:$E$504,MATCH($F2343&amp;"",계정매핑!$A$5:$A$504,0))&amp;"","공통비"))</f>
        <v/>
      </c>
      <c r="AF2343" s="64">
        <f>IF($A2343="","",IF(AE2343="직접",IFERROR(INDEX(계정매핑!$F$5:$F$504,MATCH($F2343&amp;"",계정매핑!$A$5:$A$504,0))&amp;"","비귀속"),""))</f>
        <v/>
      </c>
      <c r="AG2343" s="96">
        <f>IF($A2343="",0,IF(AND(AE2343&lt;&gt;"직접",IFERROR(INDEX(계정매핑!$G$5:$G$504,MATCH($F2343&amp;"",계정매핑!$A$5:$A$504,0))&amp;"","")="유지비",COUNTIF(계정대체기준!$A$6:$A$15,$N2343)&gt;0),IFERROR(INDEX(계정대체기준!$E$6:$E$15,MATCH(VALUE($A2343&amp;""),계정대체기준!$D$6:$D$15,0)),0),0))</f>
        <v/>
      </c>
      <c r="AH2343" s="64">
        <f>IF($A2343="","",IF(AD2343=0,"",IF(OR(COUNTIF(계정대체기준!$A$77:$A$86,$N2343)&gt;0,ISNUMBER(MATCH($X2343,계정대체기준!$D$77:$D$86,0)),ISNUMBER(MATCH($F2343,계정대체기준!$D$77:$D$86,0))),"Y","N")))</f>
        <v/>
      </c>
    </row>
    <row r="2344">
      <c r="A2344" s="92" t="n">
        <v>2025</v>
      </c>
      <c r="B2344" s="92" t="n">
        <v>11</v>
      </c>
      <c r="C2344" s="92" t="inlineStr">
        <is>
          <t>5100002340</t>
        </is>
      </c>
      <c r="D2344" s="95" t="n">
        <v>45972</v>
      </c>
      <c r="E2344" s="92" t="inlineStr">
        <is>
          <t>KR</t>
        </is>
      </c>
      <c r="F2344" s="92" t="n">
        <v>62301000</v>
      </c>
      <c r="G2344" s="92" t="n">
        <v>1701</v>
      </c>
      <c r="H2344" s="93" t="n">
        <v>285000</v>
      </c>
      <c r="I2344" s="92" t="inlineStr">
        <is>
          <t>11월 소모품 구입 - R문구</t>
        </is>
      </c>
      <c r="J2344" s="92" t="inlineStr">
        <is>
          <t>V10022</t>
        </is>
      </c>
      <c r="K2344" s="92" t="inlineStr">
        <is>
          <t>R문구</t>
        </is>
      </c>
      <c r="M2344" s="9">
        <f>IF($A2344="","",VALUE($A2344&amp;"")*12+VALUE($B2344&amp;""))</f>
        <v/>
      </c>
      <c r="N2344" s="64">
        <f>IF($A2344="","",IFERROR(INDEX(부서매핑!$C$5:$C$504,MATCH($G2344&amp;"",부서매핑!$A$5:$A$504,0)),"미매핑"))</f>
        <v/>
      </c>
      <c r="O2344" s="9">
        <f>IF($A2344="","",N2344&amp;"|"&amp;$F2344)</f>
        <v/>
      </c>
      <c r="P2344" s="94">
        <f>IF($A2344="",0,$H2344*설정!$C$23)</f>
        <v/>
      </c>
      <c r="Q2344" s="64">
        <f>IF($A2344="","",IF(O2344&lt;&gt;원인분석!$C$9,"",IF(AND(M2344&gt;=원인분석!$C$10,M2344&lt;=원인분석!$C$11),"당기",IF(AND(M2344&gt;=원인분석!$C$12,M2344&lt;=원인분석!$C$13),"비교",""))))</f>
        <v/>
      </c>
      <c r="R2344" s="9">
        <f>IF(Q2344="","",$K2344&amp;"")</f>
        <v/>
      </c>
      <c r="S2344" s="9">
        <f>IF(Q2344="","",IF(MATCH(R2344,$R$5:$R$100000,0)=ROW()-4,ROW(),""))</f>
        <v/>
      </c>
      <c r="T2344" s="9">
        <f>IF(Q2344="당기",ABS(P2344)+ROW()/1000000000,"")</f>
        <v/>
      </c>
      <c r="U2344" s="9">
        <f>IF(Q2344="비교",ABS(P2344)+ROW()/1000000000,"")</f>
        <v/>
      </c>
      <c r="V2344" s="64">
        <f>IF($A2344="","",IF(COUNTIF(변동분석!$E$7:$E$506,O2344)&gt;0,"Y","N"))</f>
        <v/>
      </c>
      <c r="W2344" s="64">
        <f>IF($A2344="","",IFERROR(INDEX(계정매핑!$D$5:$D$504,MATCH($F2344&amp;"",계정매핑!$A$5:$A$504,0)),"미매핑"))</f>
        <v/>
      </c>
      <c r="X2344" s="9">
        <f>IF($A2344="","",$F2344&amp;"")</f>
        <v/>
      </c>
      <c r="Y2344" s="94">
        <f>IF($A2344="",0,IF(AE2344="직접",IF(AF2344="비귀속",$P2344,0),$P2344*(1-AG2344)*IFERROR(INDEX(계정대체기준!$F$20:$F$49,MATCH($N2344,계정대체기준!$A$20:$A$49,0)),1)))</f>
        <v/>
      </c>
      <c r="Z2344" s="94">
        <f>IF($A2344="",0,IF(AE2344="직접",IF(AF2344="신계약비",$P2344,0),$P2344*(1-AG2344)*IFERROR(INDEX(계정대체기준!$C$20:$C$49,MATCH($N2344,계정대체기준!$A$20:$A$49,0)),0)))</f>
        <v/>
      </c>
      <c r="AA2344" s="94">
        <f>IF($A2344="",0,IF(AE2344="직접",IF(OR(AF2344="유지비",AF2344="손해조사비"),$P2344,0),$P2344*(1-AG2344)*IFERROR(INDEX(계정대체기준!$D$20:$D$49,MATCH($N2344,계정대체기준!$A$20:$A$49,0)),0)))</f>
        <v/>
      </c>
      <c r="AB2344" s="94">
        <f>IF($A2344="",0,IF(AE2344="직접",IF(AF2344="수금비",$P2344,0),$P2344*(1-AG2344)*IFERROR(INDEX(계정대체기준!$E$20:$E$49,MATCH($N2344,계정대체기준!$A$20:$A$49,0)),0)))</f>
        <v/>
      </c>
      <c r="AC2344" s="9">
        <f>IF(AND($A2344&lt;&gt;"",M2344=설정!$C$20,Z2344&gt;0),Z2344+ROW()/1000000000,"")</f>
        <v/>
      </c>
      <c r="AD2344" s="94">
        <f>IF($A2344="",0,$P2344*AG2344)</f>
        <v/>
      </c>
      <c r="AE2344" s="64">
        <f>IF($A2344="","",IFERROR(INDEX(계정매핑!$E$5:$E$504,MATCH($F2344&amp;"",계정매핑!$A$5:$A$504,0))&amp;"","공통비"))</f>
        <v/>
      </c>
      <c r="AF2344" s="64">
        <f>IF($A2344="","",IF(AE2344="직접",IFERROR(INDEX(계정매핑!$F$5:$F$504,MATCH($F2344&amp;"",계정매핑!$A$5:$A$504,0))&amp;"","비귀속"),""))</f>
        <v/>
      </c>
      <c r="AG2344" s="96">
        <f>IF($A2344="",0,IF(AND(AE2344&lt;&gt;"직접",IFERROR(INDEX(계정매핑!$G$5:$G$504,MATCH($F2344&amp;"",계정매핑!$A$5:$A$504,0))&amp;"","")="유지비",COUNTIF(계정대체기준!$A$6:$A$15,$N2344)&gt;0),IFERROR(INDEX(계정대체기준!$E$6:$E$15,MATCH(VALUE($A2344&amp;""),계정대체기준!$D$6:$D$15,0)),0),0))</f>
        <v/>
      </c>
      <c r="AH2344" s="64">
        <f>IF($A2344="","",IF(AD2344=0,"",IF(OR(COUNTIF(계정대체기준!$A$77:$A$86,$N2344)&gt;0,ISNUMBER(MATCH($X2344,계정대체기준!$D$77:$D$86,0)),ISNUMBER(MATCH($F2344,계정대체기준!$D$77:$D$86,0))),"Y","N")))</f>
        <v/>
      </c>
    </row>
    <row r="2345">
      <c r="A2345" s="92" t="n">
        <v>2025</v>
      </c>
      <c r="B2345" s="92" t="n">
        <v>11</v>
      </c>
      <c r="C2345" s="92" t="inlineStr">
        <is>
          <t>5100002341</t>
        </is>
      </c>
      <c r="D2345" s="95" t="n">
        <v>45972</v>
      </c>
      <c r="E2345" s="92" t="inlineStr">
        <is>
          <t>KR</t>
        </is>
      </c>
      <c r="F2345" s="92" t="n">
        <v>62401000</v>
      </c>
      <c r="G2345" s="92" t="n">
        <v>1501</v>
      </c>
      <c r="H2345" s="93" t="n">
        <v>1492000</v>
      </c>
      <c r="I2345" s="92" t="inlineStr">
        <is>
          <t>11월 인쇄물 제작 - G인쇄</t>
        </is>
      </c>
      <c r="J2345" s="92" t="inlineStr">
        <is>
          <t>V10004</t>
        </is>
      </c>
      <c r="K2345" s="92" t="inlineStr">
        <is>
          <t>G인쇄</t>
        </is>
      </c>
      <c r="M2345" s="9">
        <f>IF($A2345="","",VALUE($A2345&amp;"")*12+VALUE($B2345&amp;""))</f>
        <v/>
      </c>
      <c r="N2345" s="64">
        <f>IF($A2345="","",IFERROR(INDEX(부서매핑!$C$5:$C$504,MATCH($G2345&amp;"",부서매핑!$A$5:$A$504,0)),"미매핑"))</f>
        <v/>
      </c>
      <c r="O2345" s="9">
        <f>IF($A2345="","",N2345&amp;"|"&amp;$F2345)</f>
        <v/>
      </c>
      <c r="P2345" s="94">
        <f>IF($A2345="",0,$H2345*설정!$C$23)</f>
        <v/>
      </c>
      <c r="Q2345" s="64">
        <f>IF($A2345="","",IF(O2345&lt;&gt;원인분석!$C$9,"",IF(AND(M2345&gt;=원인분석!$C$10,M2345&lt;=원인분석!$C$11),"당기",IF(AND(M2345&gt;=원인분석!$C$12,M2345&lt;=원인분석!$C$13),"비교",""))))</f>
        <v/>
      </c>
      <c r="R2345" s="9">
        <f>IF(Q2345="","",$K2345&amp;"")</f>
        <v/>
      </c>
      <c r="S2345" s="9">
        <f>IF(Q2345="","",IF(MATCH(R2345,$R$5:$R$100000,0)=ROW()-4,ROW(),""))</f>
        <v/>
      </c>
      <c r="T2345" s="9">
        <f>IF(Q2345="당기",ABS(P2345)+ROW()/1000000000,"")</f>
        <v/>
      </c>
      <c r="U2345" s="9">
        <f>IF(Q2345="비교",ABS(P2345)+ROW()/1000000000,"")</f>
        <v/>
      </c>
      <c r="V2345" s="64">
        <f>IF($A2345="","",IF(COUNTIF(변동분석!$E$7:$E$506,O2345)&gt;0,"Y","N"))</f>
        <v/>
      </c>
      <c r="W2345" s="64">
        <f>IF($A2345="","",IFERROR(INDEX(계정매핑!$D$5:$D$504,MATCH($F2345&amp;"",계정매핑!$A$5:$A$504,0)),"미매핑"))</f>
        <v/>
      </c>
      <c r="X2345" s="9">
        <f>IF($A2345="","",$F2345&amp;"")</f>
        <v/>
      </c>
      <c r="Y2345" s="94">
        <f>IF($A2345="",0,IF(AE2345="직접",IF(AF2345="비귀속",$P2345,0),$P2345*(1-AG2345)*IFERROR(INDEX(계정대체기준!$F$20:$F$49,MATCH($N2345,계정대체기준!$A$20:$A$49,0)),1)))</f>
        <v/>
      </c>
      <c r="Z2345" s="94">
        <f>IF($A2345="",0,IF(AE2345="직접",IF(AF2345="신계약비",$P2345,0),$P2345*(1-AG2345)*IFERROR(INDEX(계정대체기준!$C$20:$C$49,MATCH($N2345,계정대체기준!$A$20:$A$49,0)),0)))</f>
        <v/>
      </c>
      <c r="AA2345" s="94">
        <f>IF($A2345="",0,IF(AE2345="직접",IF(OR(AF2345="유지비",AF2345="손해조사비"),$P2345,0),$P2345*(1-AG2345)*IFERROR(INDEX(계정대체기준!$D$20:$D$49,MATCH($N2345,계정대체기준!$A$20:$A$49,0)),0)))</f>
        <v/>
      </c>
      <c r="AB2345" s="94">
        <f>IF($A2345="",0,IF(AE2345="직접",IF(AF2345="수금비",$P2345,0),$P2345*(1-AG2345)*IFERROR(INDEX(계정대체기준!$E$20:$E$49,MATCH($N2345,계정대체기준!$A$20:$A$49,0)),0)))</f>
        <v/>
      </c>
      <c r="AC2345" s="9">
        <f>IF(AND($A2345&lt;&gt;"",M2345=설정!$C$20,Z2345&gt;0),Z2345+ROW()/1000000000,"")</f>
        <v/>
      </c>
      <c r="AD2345" s="94">
        <f>IF($A2345="",0,$P2345*AG2345)</f>
        <v/>
      </c>
      <c r="AE2345" s="64">
        <f>IF($A2345="","",IFERROR(INDEX(계정매핑!$E$5:$E$504,MATCH($F2345&amp;"",계정매핑!$A$5:$A$504,0))&amp;"","공통비"))</f>
        <v/>
      </c>
      <c r="AF2345" s="64">
        <f>IF($A2345="","",IF(AE2345="직접",IFERROR(INDEX(계정매핑!$F$5:$F$504,MATCH($F2345&amp;"",계정매핑!$A$5:$A$504,0))&amp;"","비귀속"),""))</f>
        <v/>
      </c>
      <c r="AG2345" s="96">
        <f>IF($A2345="",0,IF(AND(AE2345&lt;&gt;"직접",IFERROR(INDEX(계정매핑!$G$5:$G$504,MATCH($F2345&amp;"",계정매핑!$A$5:$A$504,0))&amp;"","")="유지비",COUNTIF(계정대체기준!$A$6:$A$15,$N2345)&gt;0),IFERROR(INDEX(계정대체기준!$E$6:$E$15,MATCH(VALUE($A2345&amp;""),계정대체기준!$D$6:$D$15,0)),0),0))</f>
        <v/>
      </c>
      <c r="AH2345" s="64">
        <f>IF($A2345="","",IF(AD2345=0,"",IF(OR(COUNTIF(계정대체기준!$A$77:$A$86,$N2345)&gt;0,ISNUMBER(MATCH($X2345,계정대체기준!$D$77:$D$86,0)),ISNUMBER(MATCH($F2345,계정대체기준!$D$77:$D$86,0))),"Y","N")))</f>
        <v/>
      </c>
    </row>
    <row r="2346">
      <c r="A2346" s="92" t="n">
        <v>2025</v>
      </c>
      <c r="B2346" s="92" t="n">
        <v>11</v>
      </c>
      <c r="C2346" s="92" t="inlineStr">
        <is>
          <t>5100002342</t>
        </is>
      </c>
      <c r="D2346" s="95" t="n">
        <v>45972</v>
      </c>
      <c r="E2346" s="92" t="inlineStr">
        <is>
          <t>KR</t>
        </is>
      </c>
      <c r="F2346" s="92" t="n">
        <v>62501000</v>
      </c>
      <c r="G2346" s="92" t="n">
        <v>1501</v>
      </c>
      <c r="H2346" s="93" t="n">
        <v>238000</v>
      </c>
      <c r="I2346" s="92" t="inlineStr">
        <is>
          <t>11월 회의 다과 - (법인카드)</t>
        </is>
      </c>
      <c r="J2346" s="92" t="inlineStr">
        <is>
          <t>V10010</t>
        </is>
      </c>
      <c r="K2346" s="92" t="inlineStr">
        <is>
          <t>(법인카드)</t>
        </is>
      </c>
      <c r="M2346" s="9">
        <f>IF($A2346="","",VALUE($A2346&amp;"")*12+VALUE($B2346&amp;""))</f>
        <v/>
      </c>
      <c r="N2346" s="64">
        <f>IF($A2346="","",IFERROR(INDEX(부서매핑!$C$5:$C$504,MATCH($G2346&amp;"",부서매핑!$A$5:$A$504,0)),"미매핑"))</f>
        <v/>
      </c>
      <c r="O2346" s="9">
        <f>IF($A2346="","",N2346&amp;"|"&amp;$F2346)</f>
        <v/>
      </c>
      <c r="P2346" s="94">
        <f>IF($A2346="",0,$H2346*설정!$C$23)</f>
        <v/>
      </c>
      <c r="Q2346" s="64">
        <f>IF($A2346="","",IF(O2346&lt;&gt;원인분석!$C$9,"",IF(AND(M2346&gt;=원인분석!$C$10,M2346&lt;=원인분석!$C$11),"당기",IF(AND(M2346&gt;=원인분석!$C$12,M2346&lt;=원인분석!$C$13),"비교",""))))</f>
        <v/>
      </c>
      <c r="R2346" s="9">
        <f>IF(Q2346="","",$K2346&amp;"")</f>
        <v/>
      </c>
      <c r="S2346" s="9">
        <f>IF(Q2346="","",IF(MATCH(R2346,$R$5:$R$100000,0)=ROW()-4,ROW(),""))</f>
        <v/>
      </c>
      <c r="T2346" s="9">
        <f>IF(Q2346="당기",ABS(P2346)+ROW()/1000000000,"")</f>
        <v/>
      </c>
      <c r="U2346" s="9">
        <f>IF(Q2346="비교",ABS(P2346)+ROW()/1000000000,"")</f>
        <v/>
      </c>
      <c r="V2346" s="64">
        <f>IF($A2346="","",IF(COUNTIF(변동분석!$E$7:$E$506,O2346)&gt;0,"Y","N"))</f>
        <v/>
      </c>
      <c r="W2346" s="64">
        <f>IF($A2346="","",IFERROR(INDEX(계정매핑!$D$5:$D$504,MATCH($F2346&amp;"",계정매핑!$A$5:$A$504,0)),"미매핑"))</f>
        <v/>
      </c>
      <c r="X2346" s="9">
        <f>IF($A2346="","",$F2346&amp;"")</f>
        <v/>
      </c>
      <c r="Y2346" s="94">
        <f>IF($A2346="",0,IF(AE2346="직접",IF(AF2346="비귀속",$P2346,0),$P2346*(1-AG2346)*IFERROR(INDEX(계정대체기준!$F$20:$F$49,MATCH($N2346,계정대체기준!$A$20:$A$49,0)),1)))</f>
        <v/>
      </c>
      <c r="Z2346" s="94">
        <f>IF($A2346="",0,IF(AE2346="직접",IF(AF2346="신계약비",$P2346,0),$P2346*(1-AG2346)*IFERROR(INDEX(계정대체기준!$C$20:$C$49,MATCH($N2346,계정대체기준!$A$20:$A$49,0)),0)))</f>
        <v/>
      </c>
      <c r="AA2346" s="94">
        <f>IF($A2346="",0,IF(AE2346="직접",IF(OR(AF2346="유지비",AF2346="손해조사비"),$P2346,0),$P2346*(1-AG2346)*IFERROR(INDEX(계정대체기준!$D$20:$D$49,MATCH($N2346,계정대체기준!$A$20:$A$49,0)),0)))</f>
        <v/>
      </c>
      <c r="AB2346" s="94">
        <f>IF($A2346="",0,IF(AE2346="직접",IF(AF2346="수금비",$P2346,0),$P2346*(1-AG2346)*IFERROR(INDEX(계정대체기준!$E$20:$E$49,MATCH($N2346,계정대체기준!$A$20:$A$49,0)),0)))</f>
        <v/>
      </c>
      <c r="AC2346" s="9">
        <f>IF(AND($A2346&lt;&gt;"",M2346=설정!$C$20,Z2346&gt;0),Z2346+ROW()/1000000000,"")</f>
        <v/>
      </c>
      <c r="AD2346" s="94">
        <f>IF($A2346="",0,$P2346*AG2346)</f>
        <v/>
      </c>
      <c r="AE2346" s="64">
        <f>IF($A2346="","",IFERROR(INDEX(계정매핑!$E$5:$E$504,MATCH($F2346&amp;"",계정매핑!$A$5:$A$504,0))&amp;"","공통비"))</f>
        <v/>
      </c>
      <c r="AF2346" s="64">
        <f>IF($A2346="","",IF(AE2346="직접",IFERROR(INDEX(계정매핑!$F$5:$F$504,MATCH($F2346&amp;"",계정매핑!$A$5:$A$504,0))&amp;"","비귀속"),""))</f>
        <v/>
      </c>
      <c r="AG2346" s="96">
        <f>IF($A2346="",0,IF(AND(AE2346&lt;&gt;"직접",IFERROR(INDEX(계정매핑!$G$5:$G$504,MATCH($F2346&amp;"",계정매핑!$A$5:$A$504,0))&amp;"","")="유지비",COUNTIF(계정대체기준!$A$6:$A$15,$N2346)&gt;0),IFERROR(INDEX(계정대체기준!$E$6:$E$15,MATCH(VALUE($A2346&amp;""),계정대체기준!$D$6:$D$15,0)),0),0))</f>
        <v/>
      </c>
      <c r="AH2346" s="64">
        <f>IF($A2346="","",IF(AD2346=0,"",IF(OR(COUNTIF(계정대체기준!$A$77:$A$86,$N2346)&gt;0,ISNUMBER(MATCH($X2346,계정대체기준!$D$77:$D$86,0)),ISNUMBER(MATCH($F2346,계정대체기준!$D$77:$D$86,0))),"Y","N")))</f>
        <v/>
      </c>
    </row>
    <row r="2347">
      <c r="A2347" s="92" t="n">
        <v>2025</v>
      </c>
      <c r="B2347" s="92" t="n">
        <v>11</v>
      </c>
      <c r="C2347" s="92" t="inlineStr">
        <is>
          <t>5100002343</t>
        </is>
      </c>
      <c r="D2347" s="95" t="n">
        <v>45972</v>
      </c>
      <c r="E2347" s="92" t="inlineStr">
        <is>
          <t>KR</t>
        </is>
      </c>
      <c r="F2347" s="92" t="n">
        <v>62501000</v>
      </c>
      <c r="G2347" s="92" t="n">
        <v>1502</v>
      </c>
      <c r="H2347" s="93" t="n">
        <v>421000</v>
      </c>
      <c r="I2347" s="92" t="inlineStr">
        <is>
          <t>11월 회의 다과 - T케이터링</t>
        </is>
      </c>
      <c r="J2347" s="92" t="inlineStr">
        <is>
          <t>V10005</t>
        </is>
      </c>
      <c r="K2347" s="92" t="inlineStr">
        <is>
          <t>T케이터링</t>
        </is>
      </c>
      <c r="M2347" s="9">
        <f>IF($A2347="","",VALUE($A2347&amp;"")*12+VALUE($B2347&amp;""))</f>
        <v/>
      </c>
      <c r="N2347" s="64">
        <f>IF($A2347="","",IFERROR(INDEX(부서매핑!$C$5:$C$504,MATCH($G2347&amp;"",부서매핑!$A$5:$A$504,0)),"미매핑"))</f>
        <v/>
      </c>
      <c r="O2347" s="9">
        <f>IF($A2347="","",N2347&amp;"|"&amp;$F2347)</f>
        <v/>
      </c>
      <c r="P2347" s="94">
        <f>IF($A2347="",0,$H2347*설정!$C$23)</f>
        <v/>
      </c>
      <c r="Q2347" s="64">
        <f>IF($A2347="","",IF(O2347&lt;&gt;원인분석!$C$9,"",IF(AND(M2347&gt;=원인분석!$C$10,M2347&lt;=원인분석!$C$11),"당기",IF(AND(M2347&gt;=원인분석!$C$12,M2347&lt;=원인분석!$C$13),"비교",""))))</f>
        <v/>
      </c>
      <c r="R2347" s="9">
        <f>IF(Q2347="","",$K2347&amp;"")</f>
        <v/>
      </c>
      <c r="S2347" s="9">
        <f>IF(Q2347="","",IF(MATCH(R2347,$R$5:$R$100000,0)=ROW()-4,ROW(),""))</f>
        <v/>
      </c>
      <c r="T2347" s="9">
        <f>IF(Q2347="당기",ABS(P2347)+ROW()/1000000000,"")</f>
        <v/>
      </c>
      <c r="U2347" s="9">
        <f>IF(Q2347="비교",ABS(P2347)+ROW()/1000000000,"")</f>
        <v/>
      </c>
      <c r="V2347" s="64">
        <f>IF($A2347="","",IF(COUNTIF(변동분석!$E$7:$E$506,O2347)&gt;0,"Y","N"))</f>
        <v/>
      </c>
      <c r="W2347" s="64">
        <f>IF($A2347="","",IFERROR(INDEX(계정매핑!$D$5:$D$504,MATCH($F2347&amp;"",계정매핑!$A$5:$A$504,0)),"미매핑"))</f>
        <v/>
      </c>
      <c r="X2347" s="9">
        <f>IF($A2347="","",$F2347&amp;"")</f>
        <v/>
      </c>
      <c r="Y2347" s="94">
        <f>IF($A2347="",0,IF(AE2347="직접",IF(AF2347="비귀속",$P2347,0),$P2347*(1-AG2347)*IFERROR(INDEX(계정대체기준!$F$20:$F$49,MATCH($N2347,계정대체기준!$A$20:$A$49,0)),1)))</f>
        <v/>
      </c>
      <c r="Z2347" s="94">
        <f>IF($A2347="",0,IF(AE2347="직접",IF(AF2347="신계약비",$P2347,0),$P2347*(1-AG2347)*IFERROR(INDEX(계정대체기준!$C$20:$C$49,MATCH($N2347,계정대체기준!$A$20:$A$49,0)),0)))</f>
        <v/>
      </c>
      <c r="AA2347" s="94">
        <f>IF($A2347="",0,IF(AE2347="직접",IF(OR(AF2347="유지비",AF2347="손해조사비"),$P2347,0),$P2347*(1-AG2347)*IFERROR(INDEX(계정대체기준!$D$20:$D$49,MATCH($N2347,계정대체기준!$A$20:$A$49,0)),0)))</f>
        <v/>
      </c>
      <c r="AB2347" s="94">
        <f>IF($A2347="",0,IF(AE2347="직접",IF(AF2347="수금비",$P2347,0),$P2347*(1-AG2347)*IFERROR(INDEX(계정대체기준!$E$20:$E$49,MATCH($N2347,계정대체기준!$A$20:$A$49,0)),0)))</f>
        <v/>
      </c>
      <c r="AC2347" s="9">
        <f>IF(AND($A2347&lt;&gt;"",M2347=설정!$C$20,Z2347&gt;0),Z2347+ROW()/1000000000,"")</f>
        <v/>
      </c>
      <c r="AD2347" s="94">
        <f>IF($A2347="",0,$P2347*AG2347)</f>
        <v/>
      </c>
      <c r="AE2347" s="64">
        <f>IF($A2347="","",IFERROR(INDEX(계정매핑!$E$5:$E$504,MATCH($F2347&amp;"",계정매핑!$A$5:$A$504,0))&amp;"","공통비"))</f>
        <v/>
      </c>
      <c r="AF2347" s="64">
        <f>IF($A2347="","",IF(AE2347="직접",IFERROR(INDEX(계정매핑!$F$5:$F$504,MATCH($F2347&amp;"",계정매핑!$A$5:$A$504,0))&amp;"","비귀속"),""))</f>
        <v/>
      </c>
      <c r="AG2347" s="96">
        <f>IF($A2347="",0,IF(AND(AE2347&lt;&gt;"직접",IFERROR(INDEX(계정매핑!$G$5:$G$504,MATCH($F2347&amp;"",계정매핑!$A$5:$A$504,0))&amp;"","")="유지비",COUNTIF(계정대체기준!$A$6:$A$15,$N2347)&gt;0),IFERROR(INDEX(계정대체기준!$E$6:$E$15,MATCH(VALUE($A2347&amp;""),계정대체기준!$D$6:$D$15,0)),0),0))</f>
        <v/>
      </c>
      <c r="AH2347" s="64">
        <f>IF($A2347="","",IF(AD2347=0,"",IF(OR(COUNTIF(계정대체기준!$A$77:$A$86,$N2347)&gt;0,ISNUMBER(MATCH($X2347,계정대체기준!$D$77:$D$86,0)),ISNUMBER(MATCH($F2347,계정대체기준!$D$77:$D$86,0))),"Y","N")))</f>
        <v/>
      </c>
    </row>
    <row r="2348">
      <c r="A2348" s="92" t="n">
        <v>2025</v>
      </c>
      <c r="B2348" s="92" t="n">
        <v>11</v>
      </c>
      <c r="C2348" s="92" t="inlineStr">
        <is>
          <t>5100002344</t>
        </is>
      </c>
      <c r="D2348" s="95" t="n">
        <v>45973</v>
      </c>
      <c r="E2348" s="92" t="inlineStr">
        <is>
          <t>KR</t>
        </is>
      </c>
      <c r="F2348" s="92" t="n">
        <v>62101000</v>
      </c>
      <c r="G2348" s="92" t="n">
        <v>1101</v>
      </c>
      <c r="H2348" s="93" t="n">
        <v>345000</v>
      </c>
      <c r="I2348" s="92" t="inlineStr">
        <is>
          <t>11월 국내출장 - M항공</t>
        </is>
      </c>
      <c r="J2348" s="92" t="inlineStr">
        <is>
          <t>V10001</t>
        </is>
      </c>
      <c r="K2348" s="92" t="inlineStr">
        <is>
          <t>M항공</t>
        </is>
      </c>
      <c r="M2348" s="9">
        <f>IF($A2348="","",VALUE($A2348&amp;"")*12+VALUE($B2348&amp;""))</f>
        <v/>
      </c>
      <c r="N2348" s="64">
        <f>IF($A2348="","",IFERROR(INDEX(부서매핑!$C$5:$C$504,MATCH($G2348&amp;"",부서매핑!$A$5:$A$504,0)),"미매핑"))</f>
        <v/>
      </c>
      <c r="O2348" s="9">
        <f>IF($A2348="","",N2348&amp;"|"&amp;$F2348)</f>
        <v/>
      </c>
      <c r="P2348" s="94">
        <f>IF($A2348="",0,$H2348*설정!$C$23)</f>
        <v/>
      </c>
      <c r="Q2348" s="64">
        <f>IF($A2348="","",IF(O2348&lt;&gt;원인분석!$C$9,"",IF(AND(M2348&gt;=원인분석!$C$10,M2348&lt;=원인분석!$C$11),"당기",IF(AND(M2348&gt;=원인분석!$C$12,M2348&lt;=원인분석!$C$13),"비교",""))))</f>
        <v/>
      </c>
      <c r="R2348" s="9">
        <f>IF(Q2348="","",$K2348&amp;"")</f>
        <v/>
      </c>
      <c r="S2348" s="9">
        <f>IF(Q2348="","",IF(MATCH(R2348,$R$5:$R$100000,0)=ROW()-4,ROW(),""))</f>
        <v/>
      </c>
      <c r="T2348" s="9">
        <f>IF(Q2348="당기",ABS(P2348)+ROW()/1000000000,"")</f>
        <v/>
      </c>
      <c r="U2348" s="9">
        <f>IF(Q2348="비교",ABS(P2348)+ROW()/1000000000,"")</f>
        <v/>
      </c>
      <c r="V2348" s="64">
        <f>IF($A2348="","",IF(COUNTIF(변동분석!$E$7:$E$506,O2348)&gt;0,"Y","N"))</f>
        <v/>
      </c>
      <c r="W2348" s="64">
        <f>IF($A2348="","",IFERROR(INDEX(계정매핑!$D$5:$D$504,MATCH($F2348&amp;"",계정매핑!$A$5:$A$504,0)),"미매핑"))</f>
        <v/>
      </c>
      <c r="X2348" s="9">
        <f>IF($A2348="","",$F2348&amp;"")</f>
        <v/>
      </c>
      <c r="Y2348" s="94">
        <f>IF($A2348="",0,IF(AE2348="직접",IF(AF2348="비귀속",$P2348,0),$P2348*(1-AG2348)*IFERROR(INDEX(계정대체기준!$F$20:$F$49,MATCH($N2348,계정대체기준!$A$20:$A$49,0)),1)))</f>
        <v/>
      </c>
      <c r="Z2348" s="94">
        <f>IF($A2348="",0,IF(AE2348="직접",IF(AF2348="신계약비",$P2348,0),$P2348*(1-AG2348)*IFERROR(INDEX(계정대체기준!$C$20:$C$49,MATCH($N2348,계정대체기준!$A$20:$A$49,0)),0)))</f>
        <v/>
      </c>
      <c r="AA2348" s="94">
        <f>IF($A2348="",0,IF(AE2348="직접",IF(OR(AF2348="유지비",AF2348="손해조사비"),$P2348,0),$P2348*(1-AG2348)*IFERROR(INDEX(계정대체기준!$D$20:$D$49,MATCH($N2348,계정대체기준!$A$20:$A$49,0)),0)))</f>
        <v/>
      </c>
      <c r="AB2348" s="94">
        <f>IF($A2348="",0,IF(AE2348="직접",IF(AF2348="수금비",$P2348,0),$P2348*(1-AG2348)*IFERROR(INDEX(계정대체기준!$E$20:$E$49,MATCH($N2348,계정대체기준!$A$20:$A$49,0)),0)))</f>
        <v/>
      </c>
      <c r="AC2348" s="9">
        <f>IF(AND($A2348&lt;&gt;"",M2348=설정!$C$20,Z2348&gt;0),Z2348+ROW()/1000000000,"")</f>
        <v/>
      </c>
      <c r="AD2348" s="94">
        <f>IF($A2348="",0,$P2348*AG2348)</f>
        <v/>
      </c>
      <c r="AE2348" s="64">
        <f>IF($A2348="","",IFERROR(INDEX(계정매핑!$E$5:$E$504,MATCH($F2348&amp;"",계정매핑!$A$5:$A$504,0))&amp;"","공통비"))</f>
        <v/>
      </c>
      <c r="AF2348" s="64">
        <f>IF($A2348="","",IF(AE2348="직접",IFERROR(INDEX(계정매핑!$F$5:$F$504,MATCH($F2348&amp;"",계정매핑!$A$5:$A$504,0))&amp;"","비귀속"),""))</f>
        <v/>
      </c>
      <c r="AG2348" s="96">
        <f>IF($A2348="",0,IF(AND(AE2348&lt;&gt;"직접",IFERROR(INDEX(계정매핑!$G$5:$G$504,MATCH($F2348&amp;"",계정매핑!$A$5:$A$504,0))&amp;"","")="유지비",COUNTIF(계정대체기준!$A$6:$A$15,$N2348)&gt;0),IFERROR(INDEX(계정대체기준!$E$6:$E$15,MATCH(VALUE($A2348&amp;""),계정대체기준!$D$6:$D$15,0)),0),0))</f>
        <v/>
      </c>
      <c r="AH2348" s="64">
        <f>IF($A2348="","",IF(AD2348=0,"",IF(OR(COUNTIF(계정대체기준!$A$77:$A$86,$N2348)&gt;0,ISNUMBER(MATCH($X2348,계정대체기준!$D$77:$D$86,0)),ISNUMBER(MATCH($F2348,계정대체기준!$D$77:$D$86,0))),"Y","N")))</f>
        <v/>
      </c>
    </row>
    <row r="2349">
      <c r="A2349" s="92" t="n">
        <v>2025</v>
      </c>
      <c r="B2349" s="92" t="n">
        <v>11</v>
      </c>
      <c r="C2349" s="92" t="inlineStr">
        <is>
          <t>5100002345</t>
        </is>
      </c>
      <c r="D2349" s="95" t="n">
        <v>45973</v>
      </c>
      <c r="E2349" s="92" t="inlineStr">
        <is>
          <t>KR</t>
        </is>
      </c>
      <c r="F2349" s="92" t="n">
        <v>62101000</v>
      </c>
      <c r="G2349" s="92" t="n">
        <v>1701</v>
      </c>
      <c r="H2349" s="93" t="n">
        <v>144000</v>
      </c>
      <c r="I2349" s="92" t="inlineStr">
        <is>
          <t>11월 국내출장 - M항공</t>
        </is>
      </c>
      <c r="J2349" s="92" t="inlineStr">
        <is>
          <t>V10001</t>
        </is>
      </c>
      <c r="K2349" s="92" t="inlineStr">
        <is>
          <t>M항공</t>
        </is>
      </c>
      <c r="M2349" s="9">
        <f>IF($A2349="","",VALUE($A2349&amp;"")*12+VALUE($B2349&amp;""))</f>
        <v/>
      </c>
      <c r="N2349" s="64">
        <f>IF($A2349="","",IFERROR(INDEX(부서매핑!$C$5:$C$504,MATCH($G2349&amp;"",부서매핑!$A$5:$A$504,0)),"미매핑"))</f>
        <v/>
      </c>
      <c r="O2349" s="9">
        <f>IF($A2349="","",N2349&amp;"|"&amp;$F2349)</f>
        <v/>
      </c>
      <c r="P2349" s="94">
        <f>IF($A2349="",0,$H2349*설정!$C$23)</f>
        <v/>
      </c>
      <c r="Q2349" s="64">
        <f>IF($A2349="","",IF(O2349&lt;&gt;원인분석!$C$9,"",IF(AND(M2349&gt;=원인분석!$C$10,M2349&lt;=원인분석!$C$11),"당기",IF(AND(M2349&gt;=원인분석!$C$12,M2349&lt;=원인분석!$C$13),"비교",""))))</f>
        <v/>
      </c>
      <c r="R2349" s="9">
        <f>IF(Q2349="","",$K2349&amp;"")</f>
        <v/>
      </c>
      <c r="S2349" s="9">
        <f>IF(Q2349="","",IF(MATCH(R2349,$R$5:$R$100000,0)=ROW()-4,ROW(),""))</f>
        <v/>
      </c>
      <c r="T2349" s="9">
        <f>IF(Q2349="당기",ABS(P2349)+ROW()/1000000000,"")</f>
        <v/>
      </c>
      <c r="U2349" s="9">
        <f>IF(Q2349="비교",ABS(P2349)+ROW()/1000000000,"")</f>
        <v/>
      </c>
      <c r="V2349" s="64">
        <f>IF($A2349="","",IF(COUNTIF(변동분석!$E$7:$E$506,O2349)&gt;0,"Y","N"))</f>
        <v/>
      </c>
      <c r="W2349" s="64">
        <f>IF($A2349="","",IFERROR(INDEX(계정매핑!$D$5:$D$504,MATCH($F2349&amp;"",계정매핑!$A$5:$A$504,0)),"미매핑"))</f>
        <v/>
      </c>
      <c r="X2349" s="9">
        <f>IF($A2349="","",$F2349&amp;"")</f>
        <v/>
      </c>
      <c r="Y2349" s="94">
        <f>IF($A2349="",0,IF(AE2349="직접",IF(AF2349="비귀속",$P2349,0),$P2349*(1-AG2349)*IFERROR(INDEX(계정대체기준!$F$20:$F$49,MATCH($N2349,계정대체기준!$A$20:$A$49,0)),1)))</f>
        <v/>
      </c>
      <c r="Z2349" s="94">
        <f>IF($A2349="",0,IF(AE2349="직접",IF(AF2349="신계약비",$P2349,0),$P2349*(1-AG2349)*IFERROR(INDEX(계정대체기준!$C$20:$C$49,MATCH($N2349,계정대체기준!$A$20:$A$49,0)),0)))</f>
        <v/>
      </c>
      <c r="AA2349" s="94">
        <f>IF($A2349="",0,IF(AE2349="직접",IF(OR(AF2349="유지비",AF2349="손해조사비"),$P2349,0),$P2349*(1-AG2349)*IFERROR(INDEX(계정대체기준!$D$20:$D$49,MATCH($N2349,계정대체기준!$A$20:$A$49,0)),0)))</f>
        <v/>
      </c>
      <c r="AB2349" s="94">
        <f>IF($A2349="",0,IF(AE2349="직접",IF(AF2349="수금비",$P2349,0),$P2349*(1-AG2349)*IFERROR(INDEX(계정대체기준!$E$20:$E$49,MATCH($N2349,계정대체기준!$A$20:$A$49,0)),0)))</f>
        <v/>
      </c>
      <c r="AC2349" s="9">
        <f>IF(AND($A2349&lt;&gt;"",M2349=설정!$C$20,Z2349&gt;0),Z2349+ROW()/1000000000,"")</f>
        <v/>
      </c>
      <c r="AD2349" s="94">
        <f>IF($A2349="",0,$P2349*AG2349)</f>
        <v/>
      </c>
      <c r="AE2349" s="64">
        <f>IF($A2349="","",IFERROR(INDEX(계정매핑!$E$5:$E$504,MATCH($F2349&amp;"",계정매핑!$A$5:$A$504,0))&amp;"","공통비"))</f>
        <v/>
      </c>
      <c r="AF2349" s="64">
        <f>IF($A2349="","",IF(AE2349="직접",IFERROR(INDEX(계정매핑!$F$5:$F$504,MATCH($F2349&amp;"",계정매핑!$A$5:$A$504,0))&amp;"","비귀속"),""))</f>
        <v/>
      </c>
      <c r="AG2349" s="96">
        <f>IF($A2349="",0,IF(AND(AE2349&lt;&gt;"직접",IFERROR(INDEX(계정매핑!$G$5:$G$504,MATCH($F2349&amp;"",계정매핑!$A$5:$A$504,0))&amp;"","")="유지비",COUNTIF(계정대체기준!$A$6:$A$15,$N2349)&gt;0),IFERROR(INDEX(계정대체기준!$E$6:$E$15,MATCH(VALUE($A2349&amp;""),계정대체기준!$D$6:$D$15,0)),0),0))</f>
        <v/>
      </c>
      <c r="AH2349" s="64">
        <f>IF($A2349="","",IF(AD2349=0,"",IF(OR(COUNTIF(계정대체기준!$A$77:$A$86,$N2349)&gt;0,ISNUMBER(MATCH($X2349,계정대체기준!$D$77:$D$86,0)),ISNUMBER(MATCH($F2349,계정대체기준!$D$77:$D$86,0))),"Y","N")))</f>
        <v/>
      </c>
    </row>
    <row r="2350">
      <c r="A2350" s="92" t="n">
        <v>2025</v>
      </c>
      <c r="B2350" s="92" t="n">
        <v>11</v>
      </c>
      <c r="C2350" s="92" t="inlineStr">
        <is>
          <t>5100002346</t>
        </is>
      </c>
      <c r="D2350" s="95" t="n">
        <v>45973</v>
      </c>
      <c r="E2350" s="92" t="inlineStr">
        <is>
          <t>KR</t>
        </is>
      </c>
      <c r="F2350" s="92" t="n">
        <v>62102000</v>
      </c>
      <c r="G2350" s="92" t="n">
        <v>1951</v>
      </c>
      <c r="H2350" s="93" t="n">
        <v>88000</v>
      </c>
      <c r="I2350" s="92" t="inlineStr">
        <is>
          <t>11월 해외출장 - M항공</t>
        </is>
      </c>
      <c r="J2350" s="92" t="inlineStr">
        <is>
          <t>V10001</t>
        </is>
      </c>
      <c r="K2350" s="92" t="inlineStr">
        <is>
          <t>M항공</t>
        </is>
      </c>
      <c r="M2350" s="9">
        <f>IF($A2350="","",VALUE($A2350&amp;"")*12+VALUE($B2350&amp;""))</f>
        <v/>
      </c>
      <c r="N2350" s="64">
        <f>IF($A2350="","",IFERROR(INDEX(부서매핑!$C$5:$C$504,MATCH($G2350&amp;"",부서매핑!$A$5:$A$504,0)),"미매핑"))</f>
        <v/>
      </c>
      <c r="O2350" s="9">
        <f>IF($A2350="","",N2350&amp;"|"&amp;$F2350)</f>
        <v/>
      </c>
      <c r="P2350" s="94">
        <f>IF($A2350="",0,$H2350*설정!$C$23)</f>
        <v/>
      </c>
      <c r="Q2350" s="64">
        <f>IF($A2350="","",IF(O2350&lt;&gt;원인분석!$C$9,"",IF(AND(M2350&gt;=원인분석!$C$10,M2350&lt;=원인분석!$C$11),"당기",IF(AND(M2350&gt;=원인분석!$C$12,M2350&lt;=원인분석!$C$13),"비교",""))))</f>
        <v/>
      </c>
      <c r="R2350" s="9">
        <f>IF(Q2350="","",$K2350&amp;"")</f>
        <v/>
      </c>
      <c r="S2350" s="9">
        <f>IF(Q2350="","",IF(MATCH(R2350,$R$5:$R$100000,0)=ROW()-4,ROW(),""))</f>
        <v/>
      </c>
      <c r="T2350" s="9">
        <f>IF(Q2350="당기",ABS(P2350)+ROW()/1000000000,"")</f>
        <v/>
      </c>
      <c r="U2350" s="9">
        <f>IF(Q2350="비교",ABS(P2350)+ROW()/1000000000,"")</f>
        <v/>
      </c>
      <c r="V2350" s="64">
        <f>IF($A2350="","",IF(COUNTIF(변동분석!$E$7:$E$506,O2350)&gt;0,"Y","N"))</f>
        <v/>
      </c>
      <c r="W2350" s="64">
        <f>IF($A2350="","",IFERROR(INDEX(계정매핑!$D$5:$D$504,MATCH($F2350&amp;"",계정매핑!$A$5:$A$504,0)),"미매핑"))</f>
        <v/>
      </c>
      <c r="X2350" s="9">
        <f>IF($A2350="","",$F2350&amp;"")</f>
        <v/>
      </c>
      <c r="Y2350" s="94">
        <f>IF($A2350="",0,IF(AE2350="직접",IF(AF2350="비귀속",$P2350,0),$P2350*(1-AG2350)*IFERROR(INDEX(계정대체기준!$F$20:$F$49,MATCH($N2350,계정대체기준!$A$20:$A$49,0)),1)))</f>
        <v/>
      </c>
      <c r="Z2350" s="94">
        <f>IF($A2350="",0,IF(AE2350="직접",IF(AF2350="신계약비",$P2350,0),$P2350*(1-AG2350)*IFERROR(INDEX(계정대체기준!$C$20:$C$49,MATCH($N2350,계정대체기준!$A$20:$A$49,0)),0)))</f>
        <v/>
      </c>
      <c r="AA2350" s="94">
        <f>IF($A2350="",0,IF(AE2350="직접",IF(OR(AF2350="유지비",AF2350="손해조사비"),$P2350,0),$P2350*(1-AG2350)*IFERROR(INDEX(계정대체기준!$D$20:$D$49,MATCH($N2350,계정대체기준!$A$20:$A$49,0)),0)))</f>
        <v/>
      </c>
      <c r="AB2350" s="94">
        <f>IF($A2350="",0,IF(AE2350="직접",IF(AF2350="수금비",$P2350,0),$P2350*(1-AG2350)*IFERROR(INDEX(계정대체기준!$E$20:$E$49,MATCH($N2350,계정대체기준!$A$20:$A$49,0)),0)))</f>
        <v/>
      </c>
      <c r="AC2350" s="9">
        <f>IF(AND($A2350&lt;&gt;"",M2350=설정!$C$20,Z2350&gt;0),Z2350+ROW()/1000000000,"")</f>
        <v/>
      </c>
      <c r="AD2350" s="94">
        <f>IF($A2350="",0,$P2350*AG2350)</f>
        <v/>
      </c>
      <c r="AE2350" s="64">
        <f>IF($A2350="","",IFERROR(INDEX(계정매핑!$E$5:$E$504,MATCH($F2350&amp;"",계정매핑!$A$5:$A$504,0))&amp;"","공통비"))</f>
        <v/>
      </c>
      <c r="AF2350" s="64">
        <f>IF($A2350="","",IF(AE2350="직접",IFERROR(INDEX(계정매핑!$F$5:$F$504,MATCH($F2350&amp;"",계정매핑!$A$5:$A$504,0))&amp;"","비귀속"),""))</f>
        <v/>
      </c>
      <c r="AG2350" s="96">
        <f>IF($A2350="",0,IF(AND(AE2350&lt;&gt;"직접",IFERROR(INDEX(계정매핑!$G$5:$G$504,MATCH($F2350&amp;"",계정매핑!$A$5:$A$504,0))&amp;"","")="유지비",COUNTIF(계정대체기준!$A$6:$A$15,$N2350)&gt;0),IFERROR(INDEX(계정대체기준!$E$6:$E$15,MATCH(VALUE($A2350&amp;""),계정대체기준!$D$6:$D$15,0)),0),0))</f>
        <v/>
      </c>
      <c r="AH2350" s="64">
        <f>IF($A2350="","",IF(AD2350=0,"",IF(OR(COUNTIF(계정대체기준!$A$77:$A$86,$N2350)&gt;0,ISNUMBER(MATCH($X2350,계정대체기준!$D$77:$D$86,0)),ISNUMBER(MATCH($F2350,계정대체기준!$D$77:$D$86,0))),"Y","N")))</f>
        <v/>
      </c>
    </row>
    <row r="2351">
      <c r="A2351" s="92" t="n">
        <v>2025</v>
      </c>
      <c r="B2351" s="92" t="n">
        <v>11</v>
      </c>
      <c r="C2351" s="92" t="inlineStr">
        <is>
          <t>5100002347</t>
        </is>
      </c>
      <c r="D2351" s="95" t="n">
        <v>45973</v>
      </c>
      <c r="E2351" s="92" t="inlineStr">
        <is>
          <t>KR</t>
        </is>
      </c>
      <c r="F2351" s="92" t="n">
        <v>62201000</v>
      </c>
      <c r="G2351" s="92" t="n">
        <v>1101</v>
      </c>
      <c r="H2351" s="93" t="n">
        <v>183000</v>
      </c>
      <c r="I2351" s="92" t="inlineStr">
        <is>
          <t>11월 통신요금 - O텔레콤</t>
        </is>
      </c>
      <c r="J2351" s="92" t="inlineStr">
        <is>
          <t>V10002</t>
        </is>
      </c>
      <c r="K2351" s="92" t="inlineStr">
        <is>
          <t>O텔레콤</t>
        </is>
      </c>
      <c r="M2351" s="9">
        <f>IF($A2351="","",VALUE($A2351&amp;"")*12+VALUE($B2351&amp;""))</f>
        <v/>
      </c>
      <c r="N2351" s="64">
        <f>IF($A2351="","",IFERROR(INDEX(부서매핑!$C$5:$C$504,MATCH($G2351&amp;"",부서매핑!$A$5:$A$504,0)),"미매핑"))</f>
        <v/>
      </c>
      <c r="O2351" s="9">
        <f>IF($A2351="","",N2351&amp;"|"&amp;$F2351)</f>
        <v/>
      </c>
      <c r="P2351" s="94">
        <f>IF($A2351="",0,$H2351*설정!$C$23)</f>
        <v/>
      </c>
      <c r="Q2351" s="64">
        <f>IF($A2351="","",IF(O2351&lt;&gt;원인분석!$C$9,"",IF(AND(M2351&gt;=원인분석!$C$10,M2351&lt;=원인분석!$C$11),"당기",IF(AND(M2351&gt;=원인분석!$C$12,M2351&lt;=원인분석!$C$13),"비교",""))))</f>
        <v/>
      </c>
      <c r="R2351" s="9">
        <f>IF(Q2351="","",$K2351&amp;"")</f>
        <v/>
      </c>
      <c r="S2351" s="9">
        <f>IF(Q2351="","",IF(MATCH(R2351,$R$5:$R$100000,0)=ROW()-4,ROW(),""))</f>
        <v/>
      </c>
      <c r="T2351" s="9">
        <f>IF(Q2351="당기",ABS(P2351)+ROW()/1000000000,"")</f>
        <v/>
      </c>
      <c r="U2351" s="9">
        <f>IF(Q2351="비교",ABS(P2351)+ROW()/1000000000,"")</f>
        <v/>
      </c>
      <c r="V2351" s="64">
        <f>IF($A2351="","",IF(COUNTIF(변동분석!$E$7:$E$506,O2351)&gt;0,"Y","N"))</f>
        <v/>
      </c>
      <c r="W2351" s="64">
        <f>IF($A2351="","",IFERROR(INDEX(계정매핑!$D$5:$D$504,MATCH($F2351&amp;"",계정매핑!$A$5:$A$504,0)),"미매핑"))</f>
        <v/>
      </c>
      <c r="X2351" s="9">
        <f>IF($A2351="","",$F2351&amp;"")</f>
        <v/>
      </c>
      <c r="Y2351" s="94">
        <f>IF($A2351="",0,IF(AE2351="직접",IF(AF2351="비귀속",$P2351,0),$P2351*(1-AG2351)*IFERROR(INDEX(계정대체기준!$F$20:$F$49,MATCH($N2351,계정대체기준!$A$20:$A$49,0)),1)))</f>
        <v/>
      </c>
      <c r="Z2351" s="94">
        <f>IF($A2351="",0,IF(AE2351="직접",IF(AF2351="신계약비",$P2351,0),$P2351*(1-AG2351)*IFERROR(INDEX(계정대체기준!$C$20:$C$49,MATCH($N2351,계정대체기준!$A$20:$A$49,0)),0)))</f>
        <v/>
      </c>
      <c r="AA2351" s="94">
        <f>IF($A2351="",0,IF(AE2351="직접",IF(OR(AF2351="유지비",AF2351="손해조사비"),$P2351,0),$P2351*(1-AG2351)*IFERROR(INDEX(계정대체기준!$D$20:$D$49,MATCH($N2351,계정대체기준!$A$20:$A$49,0)),0)))</f>
        <v/>
      </c>
      <c r="AB2351" s="94">
        <f>IF($A2351="",0,IF(AE2351="직접",IF(AF2351="수금비",$P2351,0),$P2351*(1-AG2351)*IFERROR(INDEX(계정대체기준!$E$20:$E$49,MATCH($N2351,계정대체기준!$A$20:$A$49,0)),0)))</f>
        <v/>
      </c>
      <c r="AC2351" s="9">
        <f>IF(AND($A2351&lt;&gt;"",M2351=설정!$C$20,Z2351&gt;0),Z2351+ROW()/1000000000,"")</f>
        <v/>
      </c>
      <c r="AD2351" s="94">
        <f>IF($A2351="",0,$P2351*AG2351)</f>
        <v/>
      </c>
      <c r="AE2351" s="64">
        <f>IF($A2351="","",IFERROR(INDEX(계정매핑!$E$5:$E$504,MATCH($F2351&amp;"",계정매핑!$A$5:$A$504,0))&amp;"","공통비"))</f>
        <v/>
      </c>
      <c r="AF2351" s="64">
        <f>IF($A2351="","",IF(AE2351="직접",IFERROR(INDEX(계정매핑!$F$5:$F$504,MATCH($F2351&amp;"",계정매핑!$A$5:$A$504,0))&amp;"","비귀속"),""))</f>
        <v/>
      </c>
      <c r="AG2351" s="96">
        <f>IF($A2351="",0,IF(AND(AE2351&lt;&gt;"직접",IFERROR(INDEX(계정매핑!$G$5:$G$504,MATCH($F2351&amp;"",계정매핑!$A$5:$A$504,0))&amp;"","")="유지비",COUNTIF(계정대체기준!$A$6:$A$15,$N2351)&gt;0),IFERROR(INDEX(계정대체기준!$E$6:$E$15,MATCH(VALUE($A2351&amp;""),계정대체기준!$D$6:$D$15,0)),0),0))</f>
        <v/>
      </c>
      <c r="AH2351" s="64">
        <f>IF($A2351="","",IF(AD2351=0,"",IF(OR(COUNTIF(계정대체기준!$A$77:$A$86,$N2351)&gt;0,ISNUMBER(MATCH($X2351,계정대체기준!$D$77:$D$86,0)),ISNUMBER(MATCH($F2351,계정대체기준!$D$77:$D$86,0))),"Y","N")))</f>
        <v/>
      </c>
    </row>
    <row r="2352">
      <c r="A2352" s="92" t="n">
        <v>2025</v>
      </c>
      <c r="B2352" s="92" t="n">
        <v>11</v>
      </c>
      <c r="C2352" s="92" t="inlineStr">
        <is>
          <t>5100002348</t>
        </is>
      </c>
      <c r="D2352" s="95" t="n">
        <v>45973</v>
      </c>
      <c r="E2352" s="92" t="inlineStr">
        <is>
          <t>KR</t>
        </is>
      </c>
      <c r="F2352" s="92" t="n">
        <v>62201000</v>
      </c>
      <c r="G2352" s="92" t="n">
        <v>1501</v>
      </c>
      <c r="H2352" s="93" t="n">
        <v>143000</v>
      </c>
      <c r="I2352" s="92" t="inlineStr">
        <is>
          <t>11월 통신요금 - O텔레콤</t>
        </is>
      </c>
      <c r="J2352" s="92" t="inlineStr">
        <is>
          <t>V10002</t>
        </is>
      </c>
      <c r="K2352" s="92" t="inlineStr">
        <is>
          <t>O텔레콤</t>
        </is>
      </c>
      <c r="M2352" s="9">
        <f>IF($A2352="","",VALUE($A2352&amp;"")*12+VALUE($B2352&amp;""))</f>
        <v/>
      </c>
      <c r="N2352" s="64">
        <f>IF($A2352="","",IFERROR(INDEX(부서매핑!$C$5:$C$504,MATCH($G2352&amp;"",부서매핑!$A$5:$A$504,0)),"미매핑"))</f>
        <v/>
      </c>
      <c r="O2352" s="9">
        <f>IF($A2352="","",N2352&amp;"|"&amp;$F2352)</f>
        <v/>
      </c>
      <c r="P2352" s="94">
        <f>IF($A2352="",0,$H2352*설정!$C$23)</f>
        <v/>
      </c>
      <c r="Q2352" s="64">
        <f>IF($A2352="","",IF(O2352&lt;&gt;원인분석!$C$9,"",IF(AND(M2352&gt;=원인분석!$C$10,M2352&lt;=원인분석!$C$11),"당기",IF(AND(M2352&gt;=원인분석!$C$12,M2352&lt;=원인분석!$C$13),"비교",""))))</f>
        <v/>
      </c>
      <c r="R2352" s="9">
        <f>IF(Q2352="","",$K2352&amp;"")</f>
        <v/>
      </c>
      <c r="S2352" s="9">
        <f>IF(Q2352="","",IF(MATCH(R2352,$R$5:$R$100000,0)=ROW()-4,ROW(),""))</f>
        <v/>
      </c>
      <c r="T2352" s="9">
        <f>IF(Q2352="당기",ABS(P2352)+ROW()/1000000000,"")</f>
        <v/>
      </c>
      <c r="U2352" s="9">
        <f>IF(Q2352="비교",ABS(P2352)+ROW()/1000000000,"")</f>
        <v/>
      </c>
      <c r="V2352" s="64">
        <f>IF($A2352="","",IF(COUNTIF(변동분석!$E$7:$E$506,O2352)&gt;0,"Y","N"))</f>
        <v/>
      </c>
      <c r="W2352" s="64">
        <f>IF($A2352="","",IFERROR(INDEX(계정매핑!$D$5:$D$504,MATCH($F2352&amp;"",계정매핑!$A$5:$A$504,0)),"미매핑"))</f>
        <v/>
      </c>
      <c r="X2352" s="9">
        <f>IF($A2352="","",$F2352&amp;"")</f>
        <v/>
      </c>
      <c r="Y2352" s="94">
        <f>IF($A2352="",0,IF(AE2352="직접",IF(AF2352="비귀속",$P2352,0),$P2352*(1-AG2352)*IFERROR(INDEX(계정대체기준!$F$20:$F$49,MATCH($N2352,계정대체기준!$A$20:$A$49,0)),1)))</f>
        <v/>
      </c>
      <c r="Z2352" s="94">
        <f>IF($A2352="",0,IF(AE2352="직접",IF(AF2352="신계약비",$P2352,0),$P2352*(1-AG2352)*IFERROR(INDEX(계정대체기준!$C$20:$C$49,MATCH($N2352,계정대체기준!$A$20:$A$49,0)),0)))</f>
        <v/>
      </c>
      <c r="AA2352" s="94">
        <f>IF($A2352="",0,IF(AE2352="직접",IF(OR(AF2352="유지비",AF2352="손해조사비"),$P2352,0),$P2352*(1-AG2352)*IFERROR(INDEX(계정대체기준!$D$20:$D$49,MATCH($N2352,계정대체기준!$A$20:$A$49,0)),0)))</f>
        <v/>
      </c>
      <c r="AB2352" s="94">
        <f>IF($A2352="",0,IF(AE2352="직접",IF(AF2352="수금비",$P2352,0),$P2352*(1-AG2352)*IFERROR(INDEX(계정대체기준!$E$20:$E$49,MATCH($N2352,계정대체기준!$A$20:$A$49,0)),0)))</f>
        <v/>
      </c>
      <c r="AC2352" s="9">
        <f>IF(AND($A2352&lt;&gt;"",M2352=설정!$C$20,Z2352&gt;0),Z2352+ROW()/1000000000,"")</f>
        <v/>
      </c>
      <c r="AD2352" s="94">
        <f>IF($A2352="",0,$P2352*AG2352)</f>
        <v/>
      </c>
      <c r="AE2352" s="64">
        <f>IF($A2352="","",IFERROR(INDEX(계정매핑!$E$5:$E$504,MATCH($F2352&amp;"",계정매핑!$A$5:$A$504,0))&amp;"","공통비"))</f>
        <v/>
      </c>
      <c r="AF2352" s="64">
        <f>IF($A2352="","",IF(AE2352="직접",IFERROR(INDEX(계정매핑!$F$5:$F$504,MATCH($F2352&amp;"",계정매핑!$A$5:$A$504,0))&amp;"","비귀속"),""))</f>
        <v/>
      </c>
      <c r="AG2352" s="96">
        <f>IF($A2352="",0,IF(AND(AE2352&lt;&gt;"직접",IFERROR(INDEX(계정매핑!$G$5:$G$504,MATCH($F2352&amp;"",계정매핑!$A$5:$A$504,0))&amp;"","")="유지비",COUNTIF(계정대체기준!$A$6:$A$15,$N2352)&gt;0),IFERROR(INDEX(계정대체기준!$E$6:$E$15,MATCH(VALUE($A2352&amp;""),계정대체기준!$D$6:$D$15,0)),0),0))</f>
        <v/>
      </c>
      <c r="AH2352" s="64">
        <f>IF($A2352="","",IF(AD2352=0,"",IF(OR(COUNTIF(계정대체기준!$A$77:$A$86,$N2352)&gt;0,ISNUMBER(MATCH($X2352,계정대체기준!$D$77:$D$86,0)),ISNUMBER(MATCH($F2352,계정대체기준!$D$77:$D$86,0))),"Y","N")))</f>
        <v/>
      </c>
    </row>
    <row r="2353">
      <c r="A2353" s="92" t="n">
        <v>2025</v>
      </c>
      <c r="B2353" s="92" t="n">
        <v>11</v>
      </c>
      <c r="C2353" s="92" t="inlineStr">
        <is>
          <t>5100002349</t>
        </is>
      </c>
      <c r="D2353" s="95" t="n">
        <v>45973</v>
      </c>
      <c r="E2353" s="92" t="inlineStr">
        <is>
          <t>KR</t>
        </is>
      </c>
      <c r="F2353" s="92" t="n">
        <v>62201000</v>
      </c>
      <c r="G2353" s="92" t="n">
        <v>1701</v>
      </c>
      <c r="H2353" s="93" t="n">
        <v>6630000</v>
      </c>
      <c r="I2353" s="92" t="inlineStr">
        <is>
          <t>11월 통신요금 - P통신</t>
        </is>
      </c>
      <c r="J2353" s="92" t="inlineStr">
        <is>
          <t>V10014</t>
        </is>
      </c>
      <c r="K2353" s="92" t="inlineStr">
        <is>
          <t>P통신</t>
        </is>
      </c>
      <c r="M2353" s="9">
        <f>IF($A2353="","",VALUE($A2353&amp;"")*12+VALUE($B2353&amp;""))</f>
        <v/>
      </c>
      <c r="N2353" s="64">
        <f>IF($A2353="","",IFERROR(INDEX(부서매핑!$C$5:$C$504,MATCH($G2353&amp;"",부서매핑!$A$5:$A$504,0)),"미매핑"))</f>
        <v/>
      </c>
      <c r="O2353" s="9">
        <f>IF($A2353="","",N2353&amp;"|"&amp;$F2353)</f>
        <v/>
      </c>
      <c r="P2353" s="94">
        <f>IF($A2353="",0,$H2353*설정!$C$23)</f>
        <v/>
      </c>
      <c r="Q2353" s="64">
        <f>IF($A2353="","",IF(O2353&lt;&gt;원인분석!$C$9,"",IF(AND(M2353&gt;=원인분석!$C$10,M2353&lt;=원인분석!$C$11),"당기",IF(AND(M2353&gt;=원인분석!$C$12,M2353&lt;=원인분석!$C$13),"비교",""))))</f>
        <v/>
      </c>
      <c r="R2353" s="9">
        <f>IF(Q2353="","",$K2353&amp;"")</f>
        <v/>
      </c>
      <c r="S2353" s="9">
        <f>IF(Q2353="","",IF(MATCH(R2353,$R$5:$R$100000,0)=ROW()-4,ROW(),""))</f>
        <v/>
      </c>
      <c r="T2353" s="9">
        <f>IF(Q2353="당기",ABS(P2353)+ROW()/1000000000,"")</f>
        <v/>
      </c>
      <c r="U2353" s="9">
        <f>IF(Q2353="비교",ABS(P2353)+ROW()/1000000000,"")</f>
        <v/>
      </c>
      <c r="V2353" s="64">
        <f>IF($A2353="","",IF(COUNTIF(변동분석!$E$7:$E$506,O2353)&gt;0,"Y","N"))</f>
        <v/>
      </c>
      <c r="W2353" s="64">
        <f>IF($A2353="","",IFERROR(INDEX(계정매핑!$D$5:$D$504,MATCH($F2353&amp;"",계정매핑!$A$5:$A$504,0)),"미매핑"))</f>
        <v/>
      </c>
      <c r="X2353" s="9">
        <f>IF($A2353="","",$F2353&amp;"")</f>
        <v/>
      </c>
      <c r="Y2353" s="94">
        <f>IF($A2353="",0,IF(AE2353="직접",IF(AF2353="비귀속",$P2353,0),$P2353*(1-AG2353)*IFERROR(INDEX(계정대체기준!$F$20:$F$49,MATCH($N2353,계정대체기준!$A$20:$A$49,0)),1)))</f>
        <v/>
      </c>
      <c r="Z2353" s="94">
        <f>IF($A2353="",0,IF(AE2353="직접",IF(AF2353="신계약비",$P2353,0),$P2353*(1-AG2353)*IFERROR(INDEX(계정대체기준!$C$20:$C$49,MATCH($N2353,계정대체기준!$A$20:$A$49,0)),0)))</f>
        <v/>
      </c>
      <c r="AA2353" s="94">
        <f>IF($A2353="",0,IF(AE2353="직접",IF(OR(AF2353="유지비",AF2353="손해조사비"),$P2353,0),$P2353*(1-AG2353)*IFERROR(INDEX(계정대체기준!$D$20:$D$49,MATCH($N2353,계정대체기준!$A$20:$A$49,0)),0)))</f>
        <v/>
      </c>
      <c r="AB2353" s="94">
        <f>IF($A2353="",0,IF(AE2353="직접",IF(AF2353="수금비",$P2353,0),$P2353*(1-AG2353)*IFERROR(INDEX(계정대체기준!$E$20:$E$49,MATCH($N2353,계정대체기준!$A$20:$A$49,0)),0)))</f>
        <v/>
      </c>
      <c r="AC2353" s="9">
        <f>IF(AND($A2353&lt;&gt;"",M2353=설정!$C$20,Z2353&gt;0),Z2353+ROW()/1000000000,"")</f>
        <v/>
      </c>
      <c r="AD2353" s="94">
        <f>IF($A2353="",0,$P2353*AG2353)</f>
        <v/>
      </c>
      <c r="AE2353" s="64">
        <f>IF($A2353="","",IFERROR(INDEX(계정매핑!$E$5:$E$504,MATCH($F2353&amp;"",계정매핑!$A$5:$A$504,0))&amp;"","공통비"))</f>
        <v/>
      </c>
      <c r="AF2353" s="64">
        <f>IF($A2353="","",IF(AE2353="직접",IFERROR(INDEX(계정매핑!$F$5:$F$504,MATCH($F2353&amp;"",계정매핑!$A$5:$A$504,0))&amp;"","비귀속"),""))</f>
        <v/>
      </c>
      <c r="AG2353" s="96">
        <f>IF($A2353="",0,IF(AND(AE2353&lt;&gt;"직접",IFERROR(INDEX(계정매핑!$G$5:$G$504,MATCH($F2353&amp;"",계정매핑!$A$5:$A$504,0))&amp;"","")="유지비",COUNTIF(계정대체기준!$A$6:$A$15,$N2353)&gt;0),IFERROR(INDEX(계정대체기준!$E$6:$E$15,MATCH(VALUE($A2353&amp;""),계정대체기준!$D$6:$D$15,0)),0),0))</f>
        <v/>
      </c>
      <c r="AH2353" s="64">
        <f>IF($A2353="","",IF(AD2353=0,"",IF(OR(COUNTIF(계정대체기준!$A$77:$A$86,$N2353)&gt;0,ISNUMBER(MATCH($X2353,계정대체기준!$D$77:$D$86,0)),ISNUMBER(MATCH($F2353,계정대체기준!$D$77:$D$86,0))),"Y","N")))</f>
        <v/>
      </c>
    </row>
    <row r="2354">
      <c r="A2354" s="92" t="n">
        <v>2025</v>
      </c>
      <c r="B2354" s="92" t="n">
        <v>11</v>
      </c>
      <c r="C2354" s="92" t="inlineStr">
        <is>
          <t>5100002350</t>
        </is>
      </c>
      <c r="D2354" s="95" t="n">
        <v>45973</v>
      </c>
      <c r="E2354" s="92" t="inlineStr">
        <is>
          <t>KR</t>
        </is>
      </c>
      <c r="F2354" s="92" t="n">
        <v>62301000</v>
      </c>
      <c r="G2354" s="92" t="n">
        <v>1101</v>
      </c>
      <c r="H2354" s="93" t="n">
        <v>147000</v>
      </c>
      <c r="I2354" s="92" t="inlineStr">
        <is>
          <t>11월 소모품 구입 - Q오피스</t>
        </is>
      </c>
      <c r="J2354" s="92" t="inlineStr">
        <is>
          <t>V10003</t>
        </is>
      </c>
      <c r="K2354" s="92" t="inlineStr">
        <is>
          <t>Q오피스</t>
        </is>
      </c>
      <c r="M2354" s="9">
        <f>IF($A2354="","",VALUE($A2354&amp;"")*12+VALUE($B2354&amp;""))</f>
        <v/>
      </c>
      <c r="N2354" s="64">
        <f>IF($A2354="","",IFERROR(INDEX(부서매핑!$C$5:$C$504,MATCH($G2354&amp;"",부서매핑!$A$5:$A$504,0)),"미매핑"))</f>
        <v/>
      </c>
      <c r="O2354" s="9">
        <f>IF($A2354="","",N2354&amp;"|"&amp;$F2354)</f>
        <v/>
      </c>
      <c r="P2354" s="94">
        <f>IF($A2354="",0,$H2354*설정!$C$23)</f>
        <v/>
      </c>
      <c r="Q2354" s="64">
        <f>IF($A2354="","",IF(O2354&lt;&gt;원인분석!$C$9,"",IF(AND(M2354&gt;=원인분석!$C$10,M2354&lt;=원인분석!$C$11),"당기",IF(AND(M2354&gt;=원인분석!$C$12,M2354&lt;=원인분석!$C$13),"비교",""))))</f>
        <v/>
      </c>
      <c r="R2354" s="9">
        <f>IF(Q2354="","",$K2354&amp;"")</f>
        <v/>
      </c>
      <c r="S2354" s="9">
        <f>IF(Q2354="","",IF(MATCH(R2354,$R$5:$R$100000,0)=ROW()-4,ROW(),""))</f>
        <v/>
      </c>
      <c r="T2354" s="9">
        <f>IF(Q2354="당기",ABS(P2354)+ROW()/1000000000,"")</f>
        <v/>
      </c>
      <c r="U2354" s="9">
        <f>IF(Q2354="비교",ABS(P2354)+ROW()/1000000000,"")</f>
        <v/>
      </c>
      <c r="V2354" s="64">
        <f>IF($A2354="","",IF(COUNTIF(변동분석!$E$7:$E$506,O2354)&gt;0,"Y","N"))</f>
        <v/>
      </c>
      <c r="W2354" s="64">
        <f>IF($A2354="","",IFERROR(INDEX(계정매핑!$D$5:$D$504,MATCH($F2354&amp;"",계정매핑!$A$5:$A$504,0)),"미매핑"))</f>
        <v/>
      </c>
      <c r="X2354" s="9">
        <f>IF($A2354="","",$F2354&amp;"")</f>
        <v/>
      </c>
      <c r="Y2354" s="94">
        <f>IF($A2354="",0,IF(AE2354="직접",IF(AF2354="비귀속",$P2354,0),$P2354*(1-AG2354)*IFERROR(INDEX(계정대체기준!$F$20:$F$49,MATCH($N2354,계정대체기준!$A$20:$A$49,0)),1)))</f>
        <v/>
      </c>
      <c r="Z2354" s="94">
        <f>IF($A2354="",0,IF(AE2354="직접",IF(AF2354="신계약비",$P2354,0),$P2354*(1-AG2354)*IFERROR(INDEX(계정대체기준!$C$20:$C$49,MATCH($N2354,계정대체기준!$A$20:$A$49,0)),0)))</f>
        <v/>
      </c>
      <c r="AA2354" s="94">
        <f>IF($A2354="",0,IF(AE2354="직접",IF(OR(AF2354="유지비",AF2354="손해조사비"),$P2354,0),$P2354*(1-AG2354)*IFERROR(INDEX(계정대체기준!$D$20:$D$49,MATCH($N2354,계정대체기준!$A$20:$A$49,0)),0)))</f>
        <v/>
      </c>
      <c r="AB2354" s="94">
        <f>IF($A2354="",0,IF(AE2354="직접",IF(AF2354="수금비",$P2354,0),$P2354*(1-AG2354)*IFERROR(INDEX(계정대체기준!$E$20:$E$49,MATCH($N2354,계정대체기준!$A$20:$A$49,0)),0)))</f>
        <v/>
      </c>
      <c r="AC2354" s="9">
        <f>IF(AND($A2354&lt;&gt;"",M2354=설정!$C$20,Z2354&gt;0),Z2354+ROW()/1000000000,"")</f>
        <v/>
      </c>
      <c r="AD2354" s="94">
        <f>IF($A2354="",0,$P2354*AG2354)</f>
        <v/>
      </c>
      <c r="AE2354" s="64">
        <f>IF($A2354="","",IFERROR(INDEX(계정매핑!$E$5:$E$504,MATCH($F2354&amp;"",계정매핑!$A$5:$A$504,0))&amp;"","공통비"))</f>
        <v/>
      </c>
      <c r="AF2354" s="64">
        <f>IF($A2354="","",IF(AE2354="직접",IFERROR(INDEX(계정매핑!$F$5:$F$504,MATCH($F2354&amp;"",계정매핑!$A$5:$A$504,0))&amp;"","비귀속"),""))</f>
        <v/>
      </c>
      <c r="AG2354" s="96">
        <f>IF($A2354="",0,IF(AND(AE2354&lt;&gt;"직접",IFERROR(INDEX(계정매핑!$G$5:$G$504,MATCH($F2354&amp;"",계정매핑!$A$5:$A$504,0))&amp;"","")="유지비",COUNTIF(계정대체기준!$A$6:$A$15,$N2354)&gt;0),IFERROR(INDEX(계정대체기준!$E$6:$E$15,MATCH(VALUE($A2354&amp;""),계정대체기준!$D$6:$D$15,0)),0),0))</f>
        <v/>
      </c>
      <c r="AH2354" s="64">
        <f>IF($A2354="","",IF(AD2354=0,"",IF(OR(COUNTIF(계정대체기준!$A$77:$A$86,$N2354)&gt;0,ISNUMBER(MATCH($X2354,계정대체기준!$D$77:$D$86,0)),ISNUMBER(MATCH($F2354,계정대체기준!$D$77:$D$86,0))),"Y","N")))</f>
        <v/>
      </c>
    </row>
    <row r="2355">
      <c r="A2355" s="92" t="n">
        <v>2025</v>
      </c>
      <c r="B2355" s="92" t="n">
        <v>11</v>
      </c>
      <c r="C2355" s="92" t="inlineStr">
        <is>
          <t>5100002351</t>
        </is>
      </c>
      <c r="D2355" s="95" t="n">
        <v>45973</v>
      </c>
      <c r="E2355" s="92" t="inlineStr">
        <is>
          <t>KR</t>
        </is>
      </c>
      <c r="F2355" s="92" t="n">
        <v>62902000</v>
      </c>
      <c r="G2355" s="92" t="n">
        <v>1101</v>
      </c>
      <c r="H2355" s="93" t="n">
        <v>1925000</v>
      </c>
      <c r="I2355" s="92" t="inlineStr">
        <is>
          <t>11월 업무 위탁 수수료 - X서비스</t>
        </is>
      </c>
      <c r="J2355" s="92" t="inlineStr">
        <is>
          <t>V10020</t>
        </is>
      </c>
      <c r="K2355" s="92" t="inlineStr">
        <is>
          <t>X서비스</t>
        </is>
      </c>
      <c r="M2355" s="9">
        <f>IF($A2355="","",VALUE($A2355&amp;"")*12+VALUE($B2355&amp;""))</f>
        <v/>
      </c>
      <c r="N2355" s="64">
        <f>IF($A2355="","",IFERROR(INDEX(부서매핑!$C$5:$C$504,MATCH($G2355&amp;"",부서매핑!$A$5:$A$504,0)),"미매핑"))</f>
        <v/>
      </c>
      <c r="O2355" s="9">
        <f>IF($A2355="","",N2355&amp;"|"&amp;$F2355)</f>
        <v/>
      </c>
      <c r="P2355" s="94">
        <f>IF($A2355="",0,$H2355*설정!$C$23)</f>
        <v/>
      </c>
      <c r="Q2355" s="64">
        <f>IF($A2355="","",IF(O2355&lt;&gt;원인분석!$C$9,"",IF(AND(M2355&gt;=원인분석!$C$10,M2355&lt;=원인분석!$C$11),"당기",IF(AND(M2355&gt;=원인분석!$C$12,M2355&lt;=원인분석!$C$13),"비교",""))))</f>
        <v/>
      </c>
      <c r="R2355" s="9">
        <f>IF(Q2355="","",$K2355&amp;"")</f>
        <v/>
      </c>
      <c r="S2355" s="9">
        <f>IF(Q2355="","",IF(MATCH(R2355,$R$5:$R$100000,0)=ROW()-4,ROW(),""))</f>
        <v/>
      </c>
      <c r="T2355" s="9">
        <f>IF(Q2355="당기",ABS(P2355)+ROW()/1000000000,"")</f>
        <v/>
      </c>
      <c r="U2355" s="9">
        <f>IF(Q2355="비교",ABS(P2355)+ROW()/1000000000,"")</f>
        <v/>
      </c>
      <c r="V2355" s="64">
        <f>IF($A2355="","",IF(COUNTIF(변동분석!$E$7:$E$506,O2355)&gt;0,"Y","N"))</f>
        <v/>
      </c>
      <c r="W2355" s="64">
        <f>IF($A2355="","",IFERROR(INDEX(계정매핑!$D$5:$D$504,MATCH($F2355&amp;"",계정매핑!$A$5:$A$504,0)),"미매핑"))</f>
        <v/>
      </c>
      <c r="X2355" s="9">
        <f>IF($A2355="","",$F2355&amp;"")</f>
        <v/>
      </c>
      <c r="Y2355" s="94">
        <f>IF($A2355="",0,IF(AE2355="직접",IF(AF2355="비귀속",$P2355,0),$P2355*(1-AG2355)*IFERROR(INDEX(계정대체기준!$F$20:$F$49,MATCH($N2355,계정대체기준!$A$20:$A$49,0)),1)))</f>
        <v/>
      </c>
      <c r="Z2355" s="94">
        <f>IF($A2355="",0,IF(AE2355="직접",IF(AF2355="신계약비",$P2355,0),$P2355*(1-AG2355)*IFERROR(INDEX(계정대체기준!$C$20:$C$49,MATCH($N2355,계정대체기준!$A$20:$A$49,0)),0)))</f>
        <v/>
      </c>
      <c r="AA2355" s="94">
        <f>IF($A2355="",0,IF(AE2355="직접",IF(OR(AF2355="유지비",AF2355="손해조사비"),$P2355,0),$P2355*(1-AG2355)*IFERROR(INDEX(계정대체기준!$D$20:$D$49,MATCH($N2355,계정대체기준!$A$20:$A$49,0)),0)))</f>
        <v/>
      </c>
      <c r="AB2355" s="94">
        <f>IF($A2355="",0,IF(AE2355="직접",IF(AF2355="수금비",$P2355,0),$P2355*(1-AG2355)*IFERROR(INDEX(계정대체기준!$E$20:$E$49,MATCH($N2355,계정대체기준!$A$20:$A$49,0)),0)))</f>
        <v/>
      </c>
      <c r="AC2355" s="9">
        <f>IF(AND($A2355&lt;&gt;"",M2355=설정!$C$20,Z2355&gt;0),Z2355+ROW()/1000000000,"")</f>
        <v/>
      </c>
      <c r="AD2355" s="94">
        <f>IF($A2355="",0,$P2355*AG2355)</f>
        <v/>
      </c>
      <c r="AE2355" s="64">
        <f>IF($A2355="","",IFERROR(INDEX(계정매핑!$E$5:$E$504,MATCH($F2355&amp;"",계정매핑!$A$5:$A$504,0))&amp;"","공통비"))</f>
        <v/>
      </c>
      <c r="AF2355" s="64">
        <f>IF($A2355="","",IF(AE2355="직접",IFERROR(INDEX(계정매핑!$F$5:$F$504,MATCH($F2355&amp;"",계정매핑!$A$5:$A$504,0))&amp;"","비귀속"),""))</f>
        <v/>
      </c>
      <c r="AG2355" s="96">
        <f>IF($A2355="",0,IF(AND(AE2355&lt;&gt;"직접",IFERROR(INDEX(계정매핑!$G$5:$G$504,MATCH($F2355&amp;"",계정매핑!$A$5:$A$504,0))&amp;"","")="유지비",COUNTIF(계정대체기준!$A$6:$A$15,$N2355)&gt;0),IFERROR(INDEX(계정대체기준!$E$6:$E$15,MATCH(VALUE($A2355&amp;""),계정대체기준!$D$6:$D$15,0)),0),0))</f>
        <v/>
      </c>
      <c r="AH2355" s="64">
        <f>IF($A2355="","",IF(AD2355=0,"",IF(OR(COUNTIF(계정대체기준!$A$77:$A$86,$N2355)&gt;0,ISNUMBER(MATCH($X2355,계정대체기준!$D$77:$D$86,0)),ISNUMBER(MATCH($F2355,계정대체기준!$D$77:$D$86,0))),"Y","N")))</f>
        <v/>
      </c>
    </row>
    <row r="2356">
      <c r="A2356" s="92" t="n">
        <v>2025</v>
      </c>
      <c r="B2356" s="92" t="n">
        <v>11</v>
      </c>
      <c r="C2356" s="92" t="inlineStr">
        <is>
          <t>5100002352</t>
        </is>
      </c>
      <c r="D2356" s="95" t="n">
        <v>45974</v>
      </c>
      <c r="E2356" s="92" t="inlineStr">
        <is>
          <t>KR</t>
        </is>
      </c>
      <c r="F2356" s="92" t="n">
        <v>62101000</v>
      </c>
      <c r="G2356" s="92" t="n">
        <v>1201</v>
      </c>
      <c r="H2356" s="93" t="n">
        <v>198000</v>
      </c>
      <c r="I2356" s="92" t="inlineStr">
        <is>
          <t>11월 국내출장 - M항공</t>
        </is>
      </c>
      <c r="J2356" s="92" t="inlineStr">
        <is>
          <t>V10001</t>
        </is>
      </c>
      <c r="K2356" s="92" t="inlineStr">
        <is>
          <t>M항공</t>
        </is>
      </c>
      <c r="M2356" s="9">
        <f>IF($A2356="","",VALUE($A2356&amp;"")*12+VALUE($B2356&amp;""))</f>
        <v/>
      </c>
      <c r="N2356" s="64">
        <f>IF($A2356="","",IFERROR(INDEX(부서매핑!$C$5:$C$504,MATCH($G2356&amp;"",부서매핑!$A$5:$A$504,0)),"미매핑"))</f>
        <v/>
      </c>
      <c r="O2356" s="9">
        <f>IF($A2356="","",N2356&amp;"|"&amp;$F2356)</f>
        <v/>
      </c>
      <c r="P2356" s="94">
        <f>IF($A2356="",0,$H2356*설정!$C$23)</f>
        <v/>
      </c>
      <c r="Q2356" s="64">
        <f>IF($A2356="","",IF(O2356&lt;&gt;원인분석!$C$9,"",IF(AND(M2356&gt;=원인분석!$C$10,M2356&lt;=원인분석!$C$11),"당기",IF(AND(M2356&gt;=원인분석!$C$12,M2356&lt;=원인분석!$C$13),"비교",""))))</f>
        <v/>
      </c>
      <c r="R2356" s="9">
        <f>IF(Q2356="","",$K2356&amp;"")</f>
        <v/>
      </c>
      <c r="S2356" s="9">
        <f>IF(Q2356="","",IF(MATCH(R2356,$R$5:$R$100000,0)=ROW()-4,ROW(),""))</f>
        <v/>
      </c>
      <c r="T2356" s="9">
        <f>IF(Q2356="당기",ABS(P2356)+ROW()/1000000000,"")</f>
        <v/>
      </c>
      <c r="U2356" s="9">
        <f>IF(Q2356="비교",ABS(P2356)+ROW()/1000000000,"")</f>
        <v/>
      </c>
      <c r="V2356" s="64">
        <f>IF($A2356="","",IF(COUNTIF(변동분석!$E$7:$E$506,O2356)&gt;0,"Y","N"))</f>
        <v/>
      </c>
      <c r="W2356" s="64">
        <f>IF($A2356="","",IFERROR(INDEX(계정매핑!$D$5:$D$504,MATCH($F2356&amp;"",계정매핑!$A$5:$A$504,0)),"미매핑"))</f>
        <v/>
      </c>
      <c r="X2356" s="9">
        <f>IF($A2356="","",$F2356&amp;"")</f>
        <v/>
      </c>
      <c r="Y2356" s="94">
        <f>IF($A2356="",0,IF(AE2356="직접",IF(AF2356="비귀속",$P2356,0),$P2356*(1-AG2356)*IFERROR(INDEX(계정대체기준!$F$20:$F$49,MATCH($N2356,계정대체기준!$A$20:$A$49,0)),1)))</f>
        <v/>
      </c>
      <c r="Z2356" s="94">
        <f>IF($A2356="",0,IF(AE2356="직접",IF(AF2356="신계약비",$P2356,0),$P2356*(1-AG2356)*IFERROR(INDEX(계정대체기준!$C$20:$C$49,MATCH($N2356,계정대체기준!$A$20:$A$49,0)),0)))</f>
        <v/>
      </c>
      <c r="AA2356" s="94">
        <f>IF($A2356="",0,IF(AE2356="직접",IF(OR(AF2356="유지비",AF2356="손해조사비"),$P2356,0),$P2356*(1-AG2356)*IFERROR(INDEX(계정대체기준!$D$20:$D$49,MATCH($N2356,계정대체기준!$A$20:$A$49,0)),0)))</f>
        <v/>
      </c>
      <c r="AB2356" s="94">
        <f>IF($A2356="",0,IF(AE2356="직접",IF(AF2356="수금비",$P2356,0),$P2356*(1-AG2356)*IFERROR(INDEX(계정대체기준!$E$20:$E$49,MATCH($N2356,계정대체기준!$A$20:$A$49,0)),0)))</f>
        <v/>
      </c>
      <c r="AC2356" s="9">
        <f>IF(AND($A2356&lt;&gt;"",M2356=설정!$C$20,Z2356&gt;0),Z2356+ROW()/1000000000,"")</f>
        <v/>
      </c>
      <c r="AD2356" s="94">
        <f>IF($A2356="",0,$P2356*AG2356)</f>
        <v/>
      </c>
      <c r="AE2356" s="64">
        <f>IF($A2356="","",IFERROR(INDEX(계정매핑!$E$5:$E$504,MATCH($F2356&amp;"",계정매핑!$A$5:$A$504,0))&amp;"","공통비"))</f>
        <v/>
      </c>
      <c r="AF2356" s="64">
        <f>IF($A2356="","",IF(AE2356="직접",IFERROR(INDEX(계정매핑!$F$5:$F$504,MATCH($F2356&amp;"",계정매핑!$A$5:$A$504,0))&amp;"","비귀속"),""))</f>
        <v/>
      </c>
      <c r="AG2356" s="96">
        <f>IF($A2356="",0,IF(AND(AE2356&lt;&gt;"직접",IFERROR(INDEX(계정매핑!$G$5:$G$504,MATCH($F2356&amp;"",계정매핑!$A$5:$A$504,0))&amp;"","")="유지비",COUNTIF(계정대체기준!$A$6:$A$15,$N2356)&gt;0),IFERROR(INDEX(계정대체기준!$E$6:$E$15,MATCH(VALUE($A2356&amp;""),계정대체기준!$D$6:$D$15,0)),0),0))</f>
        <v/>
      </c>
      <c r="AH2356" s="64">
        <f>IF($A2356="","",IF(AD2356=0,"",IF(OR(COUNTIF(계정대체기준!$A$77:$A$86,$N2356)&gt;0,ISNUMBER(MATCH($X2356,계정대체기준!$D$77:$D$86,0)),ISNUMBER(MATCH($F2356,계정대체기준!$D$77:$D$86,0))),"Y","N")))</f>
        <v/>
      </c>
    </row>
    <row r="2357">
      <c r="A2357" s="92" t="n">
        <v>2025</v>
      </c>
      <c r="B2357" s="92" t="n">
        <v>11</v>
      </c>
      <c r="C2357" s="92" t="inlineStr">
        <is>
          <t>5100002353</t>
        </is>
      </c>
      <c r="D2357" s="95" t="n">
        <v>45974</v>
      </c>
      <c r="E2357" s="92" t="inlineStr">
        <is>
          <t>KR</t>
        </is>
      </c>
      <c r="F2357" s="92" t="n">
        <v>62101000</v>
      </c>
      <c r="G2357" s="92" t="n">
        <v>1701</v>
      </c>
      <c r="H2357" s="93" t="n">
        <v>236000</v>
      </c>
      <c r="I2357" s="92" t="inlineStr">
        <is>
          <t>11월 국내출장 - L여행사</t>
        </is>
      </c>
      <c r="J2357" s="92" t="inlineStr">
        <is>
          <t>V10018</t>
        </is>
      </c>
      <c r="K2357" s="92" t="inlineStr">
        <is>
          <t>L여행사</t>
        </is>
      </c>
      <c r="M2357" s="9">
        <f>IF($A2357="","",VALUE($A2357&amp;"")*12+VALUE($B2357&amp;""))</f>
        <v/>
      </c>
      <c r="N2357" s="64">
        <f>IF($A2357="","",IFERROR(INDEX(부서매핑!$C$5:$C$504,MATCH($G2357&amp;"",부서매핑!$A$5:$A$504,0)),"미매핑"))</f>
        <v/>
      </c>
      <c r="O2357" s="9">
        <f>IF($A2357="","",N2357&amp;"|"&amp;$F2357)</f>
        <v/>
      </c>
      <c r="P2357" s="94">
        <f>IF($A2357="",0,$H2357*설정!$C$23)</f>
        <v/>
      </c>
      <c r="Q2357" s="64">
        <f>IF($A2357="","",IF(O2357&lt;&gt;원인분석!$C$9,"",IF(AND(M2357&gt;=원인분석!$C$10,M2357&lt;=원인분석!$C$11),"당기",IF(AND(M2357&gt;=원인분석!$C$12,M2357&lt;=원인분석!$C$13),"비교",""))))</f>
        <v/>
      </c>
      <c r="R2357" s="9">
        <f>IF(Q2357="","",$K2357&amp;"")</f>
        <v/>
      </c>
      <c r="S2357" s="9">
        <f>IF(Q2357="","",IF(MATCH(R2357,$R$5:$R$100000,0)=ROW()-4,ROW(),""))</f>
        <v/>
      </c>
      <c r="T2357" s="9">
        <f>IF(Q2357="당기",ABS(P2357)+ROW()/1000000000,"")</f>
        <v/>
      </c>
      <c r="U2357" s="9">
        <f>IF(Q2357="비교",ABS(P2357)+ROW()/1000000000,"")</f>
        <v/>
      </c>
      <c r="V2357" s="64">
        <f>IF($A2357="","",IF(COUNTIF(변동분석!$E$7:$E$506,O2357)&gt;0,"Y","N"))</f>
        <v/>
      </c>
      <c r="W2357" s="64">
        <f>IF($A2357="","",IFERROR(INDEX(계정매핑!$D$5:$D$504,MATCH($F2357&amp;"",계정매핑!$A$5:$A$504,0)),"미매핑"))</f>
        <v/>
      </c>
      <c r="X2357" s="9">
        <f>IF($A2357="","",$F2357&amp;"")</f>
        <v/>
      </c>
      <c r="Y2357" s="94">
        <f>IF($A2357="",0,IF(AE2357="직접",IF(AF2357="비귀속",$P2357,0),$P2357*(1-AG2357)*IFERROR(INDEX(계정대체기준!$F$20:$F$49,MATCH($N2357,계정대체기준!$A$20:$A$49,0)),1)))</f>
        <v/>
      </c>
      <c r="Z2357" s="94">
        <f>IF($A2357="",0,IF(AE2357="직접",IF(AF2357="신계약비",$P2357,0),$P2357*(1-AG2357)*IFERROR(INDEX(계정대체기준!$C$20:$C$49,MATCH($N2357,계정대체기준!$A$20:$A$49,0)),0)))</f>
        <v/>
      </c>
      <c r="AA2357" s="94">
        <f>IF($A2357="",0,IF(AE2357="직접",IF(OR(AF2357="유지비",AF2357="손해조사비"),$P2357,0),$P2357*(1-AG2357)*IFERROR(INDEX(계정대체기준!$D$20:$D$49,MATCH($N2357,계정대체기준!$A$20:$A$49,0)),0)))</f>
        <v/>
      </c>
      <c r="AB2357" s="94">
        <f>IF($A2357="",0,IF(AE2357="직접",IF(AF2357="수금비",$P2357,0),$P2357*(1-AG2357)*IFERROR(INDEX(계정대체기준!$E$20:$E$49,MATCH($N2357,계정대체기준!$A$20:$A$49,0)),0)))</f>
        <v/>
      </c>
      <c r="AC2357" s="9">
        <f>IF(AND($A2357&lt;&gt;"",M2357=설정!$C$20,Z2357&gt;0),Z2357+ROW()/1000000000,"")</f>
        <v/>
      </c>
      <c r="AD2357" s="94">
        <f>IF($A2357="",0,$P2357*AG2357)</f>
        <v/>
      </c>
      <c r="AE2357" s="64">
        <f>IF($A2357="","",IFERROR(INDEX(계정매핑!$E$5:$E$504,MATCH($F2357&amp;"",계정매핑!$A$5:$A$504,0))&amp;"","공통비"))</f>
        <v/>
      </c>
      <c r="AF2357" s="64">
        <f>IF($A2357="","",IF(AE2357="직접",IFERROR(INDEX(계정매핑!$F$5:$F$504,MATCH($F2357&amp;"",계정매핑!$A$5:$A$504,0))&amp;"","비귀속"),""))</f>
        <v/>
      </c>
      <c r="AG2357" s="96">
        <f>IF($A2357="",0,IF(AND(AE2357&lt;&gt;"직접",IFERROR(INDEX(계정매핑!$G$5:$G$504,MATCH($F2357&amp;"",계정매핑!$A$5:$A$504,0))&amp;"","")="유지비",COUNTIF(계정대체기준!$A$6:$A$15,$N2357)&gt;0),IFERROR(INDEX(계정대체기준!$E$6:$E$15,MATCH(VALUE($A2357&amp;""),계정대체기준!$D$6:$D$15,0)),0),0))</f>
        <v/>
      </c>
      <c r="AH2357" s="64">
        <f>IF($A2357="","",IF(AD2357=0,"",IF(OR(COUNTIF(계정대체기준!$A$77:$A$86,$N2357)&gt;0,ISNUMBER(MATCH($X2357,계정대체기준!$D$77:$D$86,0)),ISNUMBER(MATCH($F2357,계정대체기준!$D$77:$D$86,0))),"Y","N")))</f>
        <v/>
      </c>
    </row>
    <row r="2358">
      <c r="A2358" s="92" t="n">
        <v>2025</v>
      </c>
      <c r="B2358" s="92" t="n">
        <v>11</v>
      </c>
      <c r="C2358" s="92" t="inlineStr">
        <is>
          <t>5100002354</t>
        </is>
      </c>
      <c r="D2358" s="95" t="n">
        <v>45974</v>
      </c>
      <c r="E2358" s="92" t="inlineStr">
        <is>
          <t>KR</t>
        </is>
      </c>
      <c r="F2358" s="92" t="n">
        <v>62101000</v>
      </c>
      <c r="G2358" s="92" t="n">
        <v>1801</v>
      </c>
      <c r="H2358" s="93" t="n">
        <v>154000</v>
      </c>
      <c r="I2358" s="92" t="inlineStr">
        <is>
          <t>11월 국내출장 - L여행사</t>
        </is>
      </c>
      <c r="J2358" s="92" t="inlineStr">
        <is>
          <t>V10018</t>
        </is>
      </c>
      <c r="K2358" s="92" t="inlineStr">
        <is>
          <t>L여행사</t>
        </is>
      </c>
      <c r="M2358" s="9">
        <f>IF($A2358="","",VALUE($A2358&amp;"")*12+VALUE($B2358&amp;""))</f>
        <v/>
      </c>
      <c r="N2358" s="64">
        <f>IF($A2358="","",IFERROR(INDEX(부서매핑!$C$5:$C$504,MATCH($G2358&amp;"",부서매핑!$A$5:$A$504,0)),"미매핑"))</f>
        <v/>
      </c>
      <c r="O2358" s="9">
        <f>IF($A2358="","",N2358&amp;"|"&amp;$F2358)</f>
        <v/>
      </c>
      <c r="P2358" s="94">
        <f>IF($A2358="",0,$H2358*설정!$C$23)</f>
        <v/>
      </c>
      <c r="Q2358" s="64">
        <f>IF($A2358="","",IF(O2358&lt;&gt;원인분석!$C$9,"",IF(AND(M2358&gt;=원인분석!$C$10,M2358&lt;=원인분석!$C$11),"당기",IF(AND(M2358&gt;=원인분석!$C$12,M2358&lt;=원인분석!$C$13),"비교",""))))</f>
        <v/>
      </c>
      <c r="R2358" s="9">
        <f>IF(Q2358="","",$K2358&amp;"")</f>
        <v/>
      </c>
      <c r="S2358" s="9">
        <f>IF(Q2358="","",IF(MATCH(R2358,$R$5:$R$100000,0)=ROW()-4,ROW(),""))</f>
        <v/>
      </c>
      <c r="T2358" s="9">
        <f>IF(Q2358="당기",ABS(P2358)+ROW()/1000000000,"")</f>
        <v/>
      </c>
      <c r="U2358" s="9">
        <f>IF(Q2358="비교",ABS(P2358)+ROW()/1000000000,"")</f>
        <v/>
      </c>
      <c r="V2358" s="64">
        <f>IF($A2358="","",IF(COUNTIF(변동분석!$E$7:$E$506,O2358)&gt;0,"Y","N"))</f>
        <v/>
      </c>
      <c r="W2358" s="64">
        <f>IF($A2358="","",IFERROR(INDEX(계정매핑!$D$5:$D$504,MATCH($F2358&amp;"",계정매핑!$A$5:$A$504,0)),"미매핑"))</f>
        <v/>
      </c>
      <c r="X2358" s="9">
        <f>IF($A2358="","",$F2358&amp;"")</f>
        <v/>
      </c>
      <c r="Y2358" s="94">
        <f>IF($A2358="",0,IF(AE2358="직접",IF(AF2358="비귀속",$P2358,0),$P2358*(1-AG2358)*IFERROR(INDEX(계정대체기준!$F$20:$F$49,MATCH($N2358,계정대체기준!$A$20:$A$49,0)),1)))</f>
        <v/>
      </c>
      <c r="Z2358" s="94">
        <f>IF($A2358="",0,IF(AE2358="직접",IF(AF2358="신계약비",$P2358,0),$P2358*(1-AG2358)*IFERROR(INDEX(계정대체기준!$C$20:$C$49,MATCH($N2358,계정대체기준!$A$20:$A$49,0)),0)))</f>
        <v/>
      </c>
      <c r="AA2358" s="94">
        <f>IF($A2358="",0,IF(AE2358="직접",IF(OR(AF2358="유지비",AF2358="손해조사비"),$P2358,0),$P2358*(1-AG2358)*IFERROR(INDEX(계정대체기준!$D$20:$D$49,MATCH($N2358,계정대체기준!$A$20:$A$49,0)),0)))</f>
        <v/>
      </c>
      <c r="AB2358" s="94">
        <f>IF($A2358="",0,IF(AE2358="직접",IF(AF2358="수금비",$P2358,0),$P2358*(1-AG2358)*IFERROR(INDEX(계정대체기준!$E$20:$E$49,MATCH($N2358,계정대체기준!$A$20:$A$49,0)),0)))</f>
        <v/>
      </c>
      <c r="AC2358" s="9">
        <f>IF(AND($A2358&lt;&gt;"",M2358=설정!$C$20,Z2358&gt;0),Z2358+ROW()/1000000000,"")</f>
        <v/>
      </c>
      <c r="AD2358" s="94">
        <f>IF($A2358="",0,$P2358*AG2358)</f>
        <v/>
      </c>
      <c r="AE2358" s="64">
        <f>IF($A2358="","",IFERROR(INDEX(계정매핑!$E$5:$E$504,MATCH($F2358&amp;"",계정매핑!$A$5:$A$504,0))&amp;"","공통비"))</f>
        <v/>
      </c>
      <c r="AF2358" s="64">
        <f>IF($A2358="","",IF(AE2358="직접",IFERROR(INDEX(계정매핑!$F$5:$F$504,MATCH($F2358&amp;"",계정매핑!$A$5:$A$504,0))&amp;"","비귀속"),""))</f>
        <v/>
      </c>
      <c r="AG2358" s="96">
        <f>IF($A2358="",0,IF(AND(AE2358&lt;&gt;"직접",IFERROR(INDEX(계정매핑!$G$5:$G$504,MATCH($F2358&amp;"",계정매핑!$A$5:$A$504,0))&amp;"","")="유지비",COUNTIF(계정대체기준!$A$6:$A$15,$N2358)&gt;0),IFERROR(INDEX(계정대체기준!$E$6:$E$15,MATCH(VALUE($A2358&amp;""),계정대체기준!$D$6:$D$15,0)),0),0))</f>
        <v/>
      </c>
      <c r="AH2358" s="64">
        <f>IF($A2358="","",IF(AD2358=0,"",IF(OR(COUNTIF(계정대체기준!$A$77:$A$86,$N2358)&gt;0,ISNUMBER(MATCH($X2358,계정대체기준!$D$77:$D$86,0)),ISNUMBER(MATCH($F2358,계정대체기준!$D$77:$D$86,0))),"Y","N")))</f>
        <v/>
      </c>
    </row>
    <row r="2359">
      <c r="A2359" s="92" t="n">
        <v>2025</v>
      </c>
      <c r="B2359" s="92" t="n">
        <v>11</v>
      </c>
      <c r="C2359" s="92" t="inlineStr">
        <is>
          <t>5100002355</t>
        </is>
      </c>
      <c r="D2359" s="95" t="n">
        <v>45974</v>
      </c>
      <c r="E2359" s="92" t="inlineStr">
        <is>
          <t>KR</t>
        </is>
      </c>
      <c r="F2359" s="92" t="n">
        <v>62101000</v>
      </c>
      <c r="G2359" s="92" t="n">
        <v>1801</v>
      </c>
      <c r="H2359" s="93" t="n">
        <v>117000</v>
      </c>
      <c r="I2359" s="92" t="inlineStr">
        <is>
          <t>11월 국내출장 - M항공</t>
        </is>
      </c>
      <c r="J2359" s="92" t="inlineStr">
        <is>
          <t>V10001</t>
        </is>
      </c>
      <c r="K2359" s="92" t="inlineStr">
        <is>
          <t>M항공</t>
        </is>
      </c>
      <c r="M2359" s="9">
        <f>IF($A2359="","",VALUE($A2359&amp;"")*12+VALUE($B2359&amp;""))</f>
        <v/>
      </c>
      <c r="N2359" s="64">
        <f>IF($A2359="","",IFERROR(INDEX(부서매핑!$C$5:$C$504,MATCH($G2359&amp;"",부서매핑!$A$5:$A$504,0)),"미매핑"))</f>
        <v/>
      </c>
      <c r="O2359" s="9">
        <f>IF($A2359="","",N2359&amp;"|"&amp;$F2359)</f>
        <v/>
      </c>
      <c r="P2359" s="94">
        <f>IF($A2359="",0,$H2359*설정!$C$23)</f>
        <v/>
      </c>
      <c r="Q2359" s="64">
        <f>IF($A2359="","",IF(O2359&lt;&gt;원인분석!$C$9,"",IF(AND(M2359&gt;=원인분석!$C$10,M2359&lt;=원인분석!$C$11),"당기",IF(AND(M2359&gt;=원인분석!$C$12,M2359&lt;=원인분석!$C$13),"비교",""))))</f>
        <v/>
      </c>
      <c r="R2359" s="9">
        <f>IF(Q2359="","",$K2359&amp;"")</f>
        <v/>
      </c>
      <c r="S2359" s="9">
        <f>IF(Q2359="","",IF(MATCH(R2359,$R$5:$R$100000,0)=ROW()-4,ROW(),""))</f>
        <v/>
      </c>
      <c r="T2359" s="9">
        <f>IF(Q2359="당기",ABS(P2359)+ROW()/1000000000,"")</f>
        <v/>
      </c>
      <c r="U2359" s="9">
        <f>IF(Q2359="비교",ABS(P2359)+ROW()/1000000000,"")</f>
        <v/>
      </c>
      <c r="V2359" s="64">
        <f>IF($A2359="","",IF(COUNTIF(변동분석!$E$7:$E$506,O2359)&gt;0,"Y","N"))</f>
        <v/>
      </c>
      <c r="W2359" s="64">
        <f>IF($A2359="","",IFERROR(INDEX(계정매핑!$D$5:$D$504,MATCH($F2359&amp;"",계정매핑!$A$5:$A$504,0)),"미매핑"))</f>
        <v/>
      </c>
      <c r="X2359" s="9">
        <f>IF($A2359="","",$F2359&amp;"")</f>
        <v/>
      </c>
      <c r="Y2359" s="94">
        <f>IF($A2359="",0,IF(AE2359="직접",IF(AF2359="비귀속",$P2359,0),$P2359*(1-AG2359)*IFERROR(INDEX(계정대체기준!$F$20:$F$49,MATCH($N2359,계정대체기준!$A$20:$A$49,0)),1)))</f>
        <v/>
      </c>
      <c r="Z2359" s="94">
        <f>IF($A2359="",0,IF(AE2359="직접",IF(AF2359="신계약비",$P2359,0),$P2359*(1-AG2359)*IFERROR(INDEX(계정대체기준!$C$20:$C$49,MATCH($N2359,계정대체기준!$A$20:$A$49,0)),0)))</f>
        <v/>
      </c>
      <c r="AA2359" s="94">
        <f>IF($A2359="",0,IF(AE2359="직접",IF(OR(AF2359="유지비",AF2359="손해조사비"),$P2359,0),$P2359*(1-AG2359)*IFERROR(INDEX(계정대체기준!$D$20:$D$49,MATCH($N2359,계정대체기준!$A$20:$A$49,0)),0)))</f>
        <v/>
      </c>
      <c r="AB2359" s="94">
        <f>IF($A2359="",0,IF(AE2359="직접",IF(AF2359="수금비",$P2359,0),$P2359*(1-AG2359)*IFERROR(INDEX(계정대체기준!$E$20:$E$49,MATCH($N2359,계정대체기준!$A$20:$A$49,0)),0)))</f>
        <v/>
      </c>
      <c r="AC2359" s="9">
        <f>IF(AND($A2359&lt;&gt;"",M2359=설정!$C$20,Z2359&gt;0),Z2359+ROW()/1000000000,"")</f>
        <v/>
      </c>
      <c r="AD2359" s="94">
        <f>IF($A2359="",0,$P2359*AG2359)</f>
        <v/>
      </c>
      <c r="AE2359" s="64">
        <f>IF($A2359="","",IFERROR(INDEX(계정매핑!$E$5:$E$504,MATCH($F2359&amp;"",계정매핑!$A$5:$A$504,0))&amp;"","공통비"))</f>
        <v/>
      </c>
      <c r="AF2359" s="64">
        <f>IF($A2359="","",IF(AE2359="직접",IFERROR(INDEX(계정매핑!$F$5:$F$504,MATCH($F2359&amp;"",계정매핑!$A$5:$A$504,0))&amp;"","비귀속"),""))</f>
        <v/>
      </c>
      <c r="AG2359" s="96">
        <f>IF($A2359="",0,IF(AND(AE2359&lt;&gt;"직접",IFERROR(INDEX(계정매핑!$G$5:$G$504,MATCH($F2359&amp;"",계정매핑!$A$5:$A$504,0))&amp;"","")="유지비",COUNTIF(계정대체기준!$A$6:$A$15,$N2359)&gt;0),IFERROR(INDEX(계정대체기준!$E$6:$E$15,MATCH(VALUE($A2359&amp;""),계정대체기준!$D$6:$D$15,0)),0),0))</f>
        <v/>
      </c>
      <c r="AH2359" s="64">
        <f>IF($A2359="","",IF(AD2359=0,"",IF(OR(COUNTIF(계정대체기준!$A$77:$A$86,$N2359)&gt;0,ISNUMBER(MATCH($X2359,계정대체기준!$D$77:$D$86,0)),ISNUMBER(MATCH($F2359,계정대체기준!$D$77:$D$86,0))),"Y","N")))</f>
        <v/>
      </c>
    </row>
    <row r="2360">
      <c r="A2360" s="92" t="n">
        <v>2025</v>
      </c>
      <c r="B2360" s="92" t="n">
        <v>11</v>
      </c>
      <c r="C2360" s="92" t="inlineStr">
        <is>
          <t>5100002356</t>
        </is>
      </c>
      <c r="D2360" s="95" t="n">
        <v>45974</v>
      </c>
      <c r="E2360" s="92" t="inlineStr">
        <is>
          <t>KR</t>
        </is>
      </c>
      <c r="F2360" s="92" t="n">
        <v>62201000</v>
      </c>
      <c r="G2360" s="92" t="n">
        <v>1101</v>
      </c>
      <c r="H2360" s="93" t="n">
        <v>204000</v>
      </c>
      <c r="I2360" s="92" t="inlineStr">
        <is>
          <t>11월 통신요금 - P통신</t>
        </is>
      </c>
      <c r="J2360" s="92" t="inlineStr">
        <is>
          <t>V10014</t>
        </is>
      </c>
      <c r="K2360" s="92" t="inlineStr">
        <is>
          <t>P통신</t>
        </is>
      </c>
      <c r="M2360" s="9">
        <f>IF($A2360="","",VALUE($A2360&amp;"")*12+VALUE($B2360&amp;""))</f>
        <v/>
      </c>
      <c r="N2360" s="64">
        <f>IF($A2360="","",IFERROR(INDEX(부서매핑!$C$5:$C$504,MATCH($G2360&amp;"",부서매핑!$A$5:$A$504,0)),"미매핑"))</f>
        <v/>
      </c>
      <c r="O2360" s="9">
        <f>IF($A2360="","",N2360&amp;"|"&amp;$F2360)</f>
        <v/>
      </c>
      <c r="P2360" s="94">
        <f>IF($A2360="",0,$H2360*설정!$C$23)</f>
        <v/>
      </c>
      <c r="Q2360" s="64">
        <f>IF($A2360="","",IF(O2360&lt;&gt;원인분석!$C$9,"",IF(AND(M2360&gt;=원인분석!$C$10,M2360&lt;=원인분석!$C$11),"당기",IF(AND(M2360&gt;=원인분석!$C$12,M2360&lt;=원인분석!$C$13),"비교",""))))</f>
        <v/>
      </c>
      <c r="R2360" s="9">
        <f>IF(Q2360="","",$K2360&amp;"")</f>
        <v/>
      </c>
      <c r="S2360" s="9">
        <f>IF(Q2360="","",IF(MATCH(R2360,$R$5:$R$100000,0)=ROW()-4,ROW(),""))</f>
        <v/>
      </c>
      <c r="T2360" s="9">
        <f>IF(Q2360="당기",ABS(P2360)+ROW()/1000000000,"")</f>
        <v/>
      </c>
      <c r="U2360" s="9">
        <f>IF(Q2360="비교",ABS(P2360)+ROW()/1000000000,"")</f>
        <v/>
      </c>
      <c r="V2360" s="64">
        <f>IF($A2360="","",IF(COUNTIF(변동분석!$E$7:$E$506,O2360)&gt;0,"Y","N"))</f>
        <v/>
      </c>
      <c r="W2360" s="64">
        <f>IF($A2360="","",IFERROR(INDEX(계정매핑!$D$5:$D$504,MATCH($F2360&amp;"",계정매핑!$A$5:$A$504,0)),"미매핑"))</f>
        <v/>
      </c>
      <c r="X2360" s="9">
        <f>IF($A2360="","",$F2360&amp;"")</f>
        <v/>
      </c>
      <c r="Y2360" s="94">
        <f>IF($A2360="",0,IF(AE2360="직접",IF(AF2360="비귀속",$P2360,0),$P2360*(1-AG2360)*IFERROR(INDEX(계정대체기준!$F$20:$F$49,MATCH($N2360,계정대체기준!$A$20:$A$49,0)),1)))</f>
        <v/>
      </c>
      <c r="Z2360" s="94">
        <f>IF($A2360="",0,IF(AE2360="직접",IF(AF2360="신계약비",$P2360,0),$P2360*(1-AG2360)*IFERROR(INDEX(계정대체기준!$C$20:$C$49,MATCH($N2360,계정대체기준!$A$20:$A$49,0)),0)))</f>
        <v/>
      </c>
      <c r="AA2360" s="94">
        <f>IF($A2360="",0,IF(AE2360="직접",IF(OR(AF2360="유지비",AF2360="손해조사비"),$P2360,0),$P2360*(1-AG2360)*IFERROR(INDEX(계정대체기준!$D$20:$D$49,MATCH($N2360,계정대체기준!$A$20:$A$49,0)),0)))</f>
        <v/>
      </c>
      <c r="AB2360" s="94">
        <f>IF($A2360="",0,IF(AE2360="직접",IF(AF2360="수금비",$P2360,0),$P2360*(1-AG2360)*IFERROR(INDEX(계정대체기준!$E$20:$E$49,MATCH($N2360,계정대체기준!$A$20:$A$49,0)),0)))</f>
        <v/>
      </c>
      <c r="AC2360" s="9">
        <f>IF(AND($A2360&lt;&gt;"",M2360=설정!$C$20,Z2360&gt;0),Z2360+ROW()/1000000000,"")</f>
        <v/>
      </c>
      <c r="AD2360" s="94">
        <f>IF($A2360="",0,$P2360*AG2360)</f>
        <v/>
      </c>
      <c r="AE2360" s="64">
        <f>IF($A2360="","",IFERROR(INDEX(계정매핑!$E$5:$E$504,MATCH($F2360&amp;"",계정매핑!$A$5:$A$504,0))&amp;"","공통비"))</f>
        <v/>
      </c>
      <c r="AF2360" s="64">
        <f>IF($A2360="","",IF(AE2360="직접",IFERROR(INDEX(계정매핑!$F$5:$F$504,MATCH($F2360&amp;"",계정매핑!$A$5:$A$504,0))&amp;"","비귀속"),""))</f>
        <v/>
      </c>
      <c r="AG2360" s="96">
        <f>IF($A2360="",0,IF(AND(AE2360&lt;&gt;"직접",IFERROR(INDEX(계정매핑!$G$5:$G$504,MATCH($F2360&amp;"",계정매핑!$A$5:$A$504,0))&amp;"","")="유지비",COUNTIF(계정대체기준!$A$6:$A$15,$N2360)&gt;0),IFERROR(INDEX(계정대체기준!$E$6:$E$15,MATCH(VALUE($A2360&amp;""),계정대체기준!$D$6:$D$15,0)),0),0))</f>
        <v/>
      </c>
      <c r="AH2360" s="64">
        <f>IF($A2360="","",IF(AD2360=0,"",IF(OR(COUNTIF(계정대체기준!$A$77:$A$86,$N2360)&gt;0,ISNUMBER(MATCH($X2360,계정대체기준!$D$77:$D$86,0)),ISNUMBER(MATCH($F2360,계정대체기준!$D$77:$D$86,0))),"Y","N")))</f>
        <v/>
      </c>
    </row>
    <row r="2361">
      <c r="A2361" s="92" t="n">
        <v>2025</v>
      </c>
      <c r="B2361" s="92" t="n">
        <v>11</v>
      </c>
      <c r="C2361" s="92" t="inlineStr">
        <is>
          <t>5100002357</t>
        </is>
      </c>
      <c r="D2361" s="95" t="n">
        <v>45974</v>
      </c>
      <c r="E2361" s="92" t="inlineStr">
        <is>
          <t>KR</t>
        </is>
      </c>
      <c r="F2361" s="92" t="n">
        <v>62301000</v>
      </c>
      <c r="G2361" s="92" t="n">
        <v>1401</v>
      </c>
      <c r="H2361" s="93" t="n">
        <v>154000</v>
      </c>
      <c r="I2361" s="92" t="inlineStr">
        <is>
          <t>11월 소모품 구입 - R문구</t>
        </is>
      </c>
      <c r="J2361" s="92" t="inlineStr">
        <is>
          <t>V10022</t>
        </is>
      </c>
      <c r="K2361" s="92" t="inlineStr">
        <is>
          <t>R문구</t>
        </is>
      </c>
      <c r="M2361" s="9">
        <f>IF($A2361="","",VALUE($A2361&amp;"")*12+VALUE($B2361&amp;""))</f>
        <v/>
      </c>
      <c r="N2361" s="64">
        <f>IF($A2361="","",IFERROR(INDEX(부서매핑!$C$5:$C$504,MATCH($G2361&amp;"",부서매핑!$A$5:$A$504,0)),"미매핑"))</f>
        <v/>
      </c>
      <c r="O2361" s="9">
        <f>IF($A2361="","",N2361&amp;"|"&amp;$F2361)</f>
        <v/>
      </c>
      <c r="P2361" s="94">
        <f>IF($A2361="",0,$H2361*설정!$C$23)</f>
        <v/>
      </c>
      <c r="Q2361" s="64">
        <f>IF($A2361="","",IF(O2361&lt;&gt;원인분석!$C$9,"",IF(AND(M2361&gt;=원인분석!$C$10,M2361&lt;=원인분석!$C$11),"당기",IF(AND(M2361&gt;=원인분석!$C$12,M2361&lt;=원인분석!$C$13),"비교",""))))</f>
        <v/>
      </c>
      <c r="R2361" s="9">
        <f>IF(Q2361="","",$K2361&amp;"")</f>
        <v/>
      </c>
      <c r="S2361" s="9">
        <f>IF(Q2361="","",IF(MATCH(R2361,$R$5:$R$100000,0)=ROW()-4,ROW(),""))</f>
        <v/>
      </c>
      <c r="T2361" s="9">
        <f>IF(Q2361="당기",ABS(P2361)+ROW()/1000000000,"")</f>
        <v/>
      </c>
      <c r="U2361" s="9">
        <f>IF(Q2361="비교",ABS(P2361)+ROW()/1000000000,"")</f>
        <v/>
      </c>
      <c r="V2361" s="64">
        <f>IF($A2361="","",IF(COUNTIF(변동분석!$E$7:$E$506,O2361)&gt;0,"Y","N"))</f>
        <v/>
      </c>
      <c r="W2361" s="64">
        <f>IF($A2361="","",IFERROR(INDEX(계정매핑!$D$5:$D$504,MATCH($F2361&amp;"",계정매핑!$A$5:$A$504,0)),"미매핑"))</f>
        <v/>
      </c>
      <c r="X2361" s="9">
        <f>IF($A2361="","",$F2361&amp;"")</f>
        <v/>
      </c>
      <c r="Y2361" s="94">
        <f>IF($A2361="",0,IF(AE2361="직접",IF(AF2361="비귀속",$P2361,0),$P2361*(1-AG2361)*IFERROR(INDEX(계정대체기준!$F$20:$F$49,MATCH($N2361,계정대체기준!$A$20:$A$49,0)),1)))</f>
        <v/>
      </c>
      <c r="Z2361" s="94">
        <f>IF($A2361="",0,IF(AE2361="직접",IF(AF2361="신계약비",$P2361,0),$P2361*(1-AG2361)*IFERROR(INDEX(계정대체기준!$C$20:$C$49,MATCH($N2361,계정대체기준!$A$20:$A$49,0)),0)))</f>
        <v/>
      </c>
      <c r="AA2361" s="94">
        <f>IF($A2361="",0,IF(AE2361="직접",IF(OR(AF2361="유지비",AF2361="손해조사비"),$P2361,0),$P2361*(1-AG2361)*IFERROR(INDEX(계정대체기준!$D$20:$D$49,MATCH($N2361,계정대체기준!$A$20:$A$49,0)),0)))</f>
        <v/>
      </c>
      <c r="AB2361" s="94">
        <f>IF($A2361="",0,IF(AE2361="직접",IF(AF2361="수금비",$P2361,0),$P2361*(1-AG2361)*IFERROR(INDEX(계정대체기준!$E$20:$E$49,MATCH($N2361,계정대체기준!$A$20:$A$49,0)),0)))</f>
        <v/>
      </c>
      <c r="AC2361" s="9">
        <f>IF(AND($A2361&lt;&gt;"",M2361=설정!$C$20,Z2361&gt;0),Z2361+ROW()/1000000000,"")</f>
        <v/>
      </c>
      <c r="AD2361" s="94">
        <f>IF($A2361="",0,$P2361*AG2361)</f>
        <v/>
      </c>
      <c r="AE2361" s="64">
        <f>IF($A2361="","",IFERROR(INDEX(계정매핑!$E$5:$E$504,MATCH($F2361&amp;"",계정매핑!$A$5:$A$504,0))&amp;"","공통비"))</f>
        <v/>
      </c>
      <c r="AF2361" s="64">
        <f>IF($A2361="","",IF(AE2361="직접",IFERROR(INDEX(계정매핑!$F$5:$F$504,MATCH($F2361&amp;"",계정매핑!$A$5:$A$504,0))&amp;"","비귀속"),""))</f>
        <v/>
      </c>
      <c r="AG2361" s="96">
        <f>IF($A2361="",0,IF(AND(AE2361&lt;&gt;"직접",IFERROR(INDEX(계정매핑!$G$5:$G$504,MATCH($F2361&amp;"",계정매핑!$A$5:$A$504,0))&amp;"","")="유지비",COUNTIF(계정대체기준!$A$6:$A$15,$N2361)&gt;0),IFERROR(INDEX(계정대체기준!$E$6:$E$15,MATCH(VALUE($A2361&amp;""),계정대체기준!$D$6:$D$15,0)),0),0))</f>
        <v/>
      </c>
      <c r="AH2361" s="64">
        <f>IF($A2361="","",IF(AD2361=0,"",IF(OR(COUNTIF(계정대체기준!$A$77:$A$86,$N2361)&gt;0,ISNUMBER(MATCH($X2361,계정대체기준!$D$77:$D$86,0)),ISNUMBER(MATCH($F2361,계정대체기준!$D$77:$D$86,0))),"Y","N")))</f>
        <v/>
      </c>
    </row>
    <row r="2362">
      <c r="A2362" s="92" t="n">
        <v>2025</v>
      </c>
      <c r="B2362" s="92" t="n">
        <v>11</v>
      </c>
      <c r="C2362" s="92" t="inlineStr">
        <is>
          <t>5100002358</t>
        </is>
      </c>
      <c r="D2362" s="95" t="n">
        <v>45974</v>
      </c>
      <c r="E2362" s="92" t="inlineStr">
        <is>
          <t>KR</t>
        </is>
      </c>
      <c r="F2362" s="92" t="n">
        <v>62902000</v>
      </c>
      <c r="G2362" s="92" t="n">
        <v>1101</v>
      </c>
      <c r="H2362" s="93" t="n">
        <v>3302000</v>
      </c>
      <c r="I2362" s="92" t="inlineStr">
        <is>
          <t>11월 업무 위탁 수수료 - J콜센터</t>
        </is>
      </c>
      <c r="J2362" s="92" t="inlineStr">
        <is>
          <t>V10016</t>
        </is>
      </c>
      <c r="K2362" s="92" t="inlineStr">
        <is>
          <t>J콜센터</t>
        </is>
      </c>
      <c r="M2362" s="9">
        <f>IF($A2362="","",VALUE($A2362&amp;"")*12+VALUE($B2362&amp;""))</f>
        <v/>
      </c>
      <c r="N2362" s="64">
        <f>IF($A2362="","",IFERROR(INDEX(부서매핑!$C$5:$C$504,MATCH($G2362&amp;"",부서매핑!$A$5:$A$504,0)),"미매핑"))</f>
        <v/>
      </c>
      <c r="O2362" s="9">
        <f>IF($A2362="","",N2362&amp;"|"&amp;$F2362)</f>
        <v/>
      </c>
      <c r="P2362" s="94">
        <f>IF($A2362="",0,$H2362*설정!$C$23)</f>
        <v/>
      </c>
      <c r="Q2362" s="64">
        <f>IF($A2362="","",IF(O2362&lt;&gt;원인분석!$C$9,"",IF(AND(M2362&gt;=원인분석!$C$10,M2362&lt;=원인분석!$C$11),"당기",IF(AND(M2362&gt;=원인분석!$C$12,M2362&lt;=원인분석!$C$13),"비교",""))))</f>
        <v/>
      </c>
      <c r="R2362" s="9">
        <f>IF(Q2362="","",$K2362&amp;"")</f>
        <v/>
      </c>
      <c r="S2362" s="9">
        <f>IF(Q2362="","",IF(MATCH(R2362,$R$5:$R$100000,0)=ROW()-4,ROW(),""))</f>
        <v/>
      </c>
      <c r="T2362" s="9">
        <f>IF(Q2362="당기",ABS(P2362)+ROW()/1000000000,"")</f>
        <v/>
      </c>
      <c r="U2362" s="9">
        <f>IF(Q2362="비교",ABS(P2362)+ROW()/1000000000,"")</f>
        <v/>
      </c>
      <c r="V2362" s="64">
        <f>IF($A2362="","",IF(COUNTIF(변동분석!$E$7:$E$506,O2362)&gt;0,"Y","N"))</f>
        <v/>
      </c>
      <c r="W2362" s="64">
        <f>IF($A2362="","",IFERROR(INDEX(계정매핑!$D$5:$D$504,MATCH($F2362&amp;"",계정매핑!$A$5:$A$504,0)),"미매핑"))</f>
        <v/>
      </c>
      <c r="X2362" s="9">
        <f>IF($A2362="","",$F2362&amp;"")</f>
        <v/>
      </c>
      <c r="Y2362" s="94">
        <f>IF($A2362="",0,IF(AE2362="직접",IF(AF2362="비귀속",$P2362,0),$P2362*(1-AG2362)*IFERROR(INDEX(계정대체기준!$F$20:$F$49,MATCH($N2362,계정대체기준!$A$20:$A$49,0)),1)))</f>
        <v/>
      </c>
      <c r="Z2362" s="94">
        <f>IF($A2362="",0,IF(AE2362="직접",IF(AF2362="신계약비",$P2362,0),$P2362*(1-AG2362)*IFERROR(INDEX(계정대체기준!$C$20:$C$49,MATCH($N2362,계정대체기준!$A$20:$A$49,0)),0)))</f>
        <v/>
      </c>
      <c r="AA2362" s="94">
        <f>IF($A2362="",0,IF(AE2362="직접",IF(OR(AF2362="유지비",AF2362="손해조사비"),$P2362,0),$P2362*(1-AG2362)*IFERROR(INDEX(계정대체기준!$D$20:$D$49,MATCH($N2362,계정대체기준!$A$20:$A$49,0)),0)))</f>
        <v/>
      </c>
      <c r="AB2362" s="94">
        <f>IF($A2362="",0,IF(AE2362="직접",IF(AF2362="수금비",$P2362,0),$P2362*(1-AG2362)*IFERROR(INDEX(계정대체기준!$E$20:$E$49,MATCH($N2362,계정대체기준!$A$20:$A$49,0)),0)))</f>
        <v/>
      </c>
      <c r="AC2362" s="9">
        <f>IF(AND($A2362&lt;&gt;"",M2362=설정!$C$20,Z2362&gt;0),Z2362+ROW()/1000000000,"")</f>
        <v/>
      </c>
      <c r="AD2362" s="94">
        <f>IF($A2362="",0,$P2362*AG2362)</f>
        <v/>
      </c>
      <c r="AE2362" s="64">
        <f>IF($A2362="","",IFERROR(INDEX(계정매핑!$E$5:$E$504,MATCH($F2362&amp;"",계정매핑!$A$5:$A$504,0))&amp;"","공통비"))</f>
        <v/>
      </c>
      <c r="AF2362" s="64">
        <f>IF($A2362="","",IF(AE2362="직접",IFERROR(INDEX(계정매핑!$F$5:$F$504,MATCH($F2362&amp;"",계정매핑!$A$5:$A$504,0))&amp;"","비귀속"),""))</f>
        <v/>
      </c>
      <c r="AG2362" s="96">
        <f>IF($A2362="",0,IF(AND(AE2362&lt;&gt;"직접",IFERROR(INDEX(계정매핑!$G$5:$G$504,MATCH($F2362&amp;"",계정매핑!$A$5:$A$504,0))&amp;"","")="유지비",COUNTIF(계정대체기준!$A$6:$A$15,$N2362)&gt;0),IFERROR(INDEX(계정대체기준!$E$6:$E$15,MATCH(VALUE($A2362&amp;""),계정대체기준!$D$6:$D$15,0)),0),0))</f>
        <v/>
      </c>
      <c r="AH2362" s="64">
        <f>IF($A2362="","",IF(AD2362=0,"",IF(OR(COUNTIF(계정대체기준!$A$77:$A$86,$N2362)&gt;0,ISNUMBER(MATCH($X2362,계정대체기준!$D$77:$D$86,0)),ISNUMBER(MATCH($F2362,계정대체기준!$D$77:$D$86,0))),"Y","N")))</f>
        <v/>
      </c>
    </row>
    <row r="2363">
      <c r="A2363" s="92" t="n">
        <v>2025</v>
      </c>
      <c r="B2363" s="92" t="n">
        <v>11</v>
      </c>
      <c r="C2363" s="92" t="inlineStr">
        <is>
          <t>5100002359</t>
        </is>
      </c>
      <c r="D2363" s="95" t="n">
        <v>45975</v>
      </c>
      <c r="E2363" s="92" t="inlineStr">
        <is>
          <t>KR</t>
        </is>
      </c>
      <c r="F2363" s="92" t="n">
        <v>62101000</v>
      </c>
      <c r="G2363" s="92" t="n">
        <v>1501</v>
      </c>
      <c r="H2363" s="93" t="n">
        <v>501000</v>
      </c>
      <c r="I2363" s="92" t="inlineStr">
        <is>
          <t>11월 국내출장 - (법인카드)</t>
        </is>
      </c>
      <c r="J2363" s="92" t="inlineStr">
        <is>
          <t>V10010</t>
        </is>
      </c>
      <c r="K2363" s="92" t="inlineStr">
        <is>
          <t>(법인카드)</t>
        </is>
      </c>
      <c r="M2363" s="9">
        <f>IF($A2363="","",VALUE($A2363&amp;"")*12+VALUE($B2363&amp;""))</f>
        <v/>
      </c>
      <c r="N2363" s="64">
        <f>IF($A2363="","",IFERROR(INDEX(부서매핑!$C$5:$C$504,MATCH($G2363&amp;"",부서매핑!$A$5:$A$504,0)),"미매핑"))</f>
        <v/>
      </c>
      <c r="O2363" s="9">
        <f>IF($A2363="","",N2363&amp;"|"&amp;$F2363)</f>
        <v/>
      </c>
      <c r="P2363" s="94">
        <f>IF($A2363="",0,$H2363*설정!$C$23)</f>
        <v/>
      </c>
      <c r="Q2363" s="64">
        <f>IF($A2363="","",IF(O2363&lt;&gt;원인분석!$C$9,"",IF(AND(M2363&gt;=원인분석!$C$10,M2363&lt;=원인분석!$C$11),"당기",IF(AND(M2363&gt;=원인분석!$C$12,M2363&lt;=원인분석!$C$13),"비교",""))))</f>
        <v/>
      </c>
      <c r="R2363" s="9">
        <f>IF(Q2363="","",$K2363&amp;"")</f>
        <v/>
      </c>
      <c r="S2363" s="9">
        <f>IF(Q2363="","",IF(MATCH(R2363,$R$5:$R$100000,0)=ROW()-4,ROW(),""))</f>
        <v/>
      </c>
      <c r="T2363" s="9">
        <f>IF(Q2363="당기",ABS(P2363)+ROW()/1000000000,"")</f>
        <v/>
      </c>
      <c r="U2363" s="9">
        <f>IF(Q2363="비교",ABS(P2363)+ROW()/1000000000,"")</f>
        <v/>
      </c>
      <c r="V2363" s="64">
        <f>IF($A2363="","",IF(COUNTIF(변동분석!$E$7:$E$506,O2363)&gt;0,"Y","N"))</f>
        <v/>
      </c>
      <c r="W2363" s="64">
        <f>IF($A2363="","",IFERROR(INDEX(계정매핑!$D$5:$D$504,MATCH($F2363&amp;"",계정매핑!$A$5:$A$504,0)),"미매핑"))</f>
        <v/>
      </c>
      <c r="X2363" s="9">
        <f>IF($A2363="","",$F2363&amp;"")</f>
        <v/>
      </c>
      <c r="Y2363" s="94">
        <f>IF($A2363="",0,IF(AE2363="직접",IF(AF2363="비귀속",$P2363,0),$P2363*(1-AG2363)*IFERROR(INDEX(계정대체기준!$F$20:$F$49,MATCH($N2363,계정대체기준!$A$20:$A$49,0)),1)))</f>
        <v/>
      </c>
      <c r="Z2363" s="94">
        <f>IF($A2363="",0,IF(AE2363="직접",IF(AF2363="신계약비",$P2363,0),$P2363*(1-AG2363)*IFERROR(INDEX(계정대체기준!$C$20:$C$49,MATCH($N2363,계정대체기준!$A$20:$A$49,0)),0)))</f>
        <v/>
      </c>
      <c r="AA2363" s="94">
        <f>IF($A2363="",0,IF(AE2363="직접",IF(OR(AF2363="유지비",AF2363="손해조사비"),$P2363,0),$P2363*(1-AG2363)*IFERROR(INDEX(계정대체기준!$D$20:$D$49,MATCH($N2363,계정대체기준!$A$20:$A$49,0)),0)))</f>
        <v/>
      </c>
      <c r="AB2363" s="94">
        <f>IF($A2363="",0,IF(AE2363="직접",IF(AF2363="수금비",$P2363,0),$P2363*(1-AG2363)*IFERROR(INDEX(계정대체기준!$E$20:$E$49,MATCH($N2363,계정대체기준!$A$20:$A$49,0)),0)))</f>
        <v/>
      </c>
      <c r="AC2363" s="9">
        <f>IF(AND($A2363&lt;&gt;"",M2363=설정!$C$20,Z2363&gt;0),Z2363+ROW()/1000000000,"")</f>
        <v/>
      </c>
      <c r="AD2363" s="94">
        <f>IF($A2363="",0,$P2363*AG2363)</f>
        <v/>
      </c>
      <c r="AE2363" s="64">
        <f>IF($A2363="","",IFERROR(INDEX(계정매핑!$E$5:$E$504,MATCH($F2363&amp;"",계정매핑!$A$5:$A$504,0))&amp;"","공통비"))</f>
        <v/>
      </c>
      <c r="AF2363" s="64">
        <f>IF($A2363="","",IF(AE2363="직접",IFERROR(INDEX(계정매핑!$F$5:$F$504,MATCH($F2363&amp;"",계정매핑!$A$5:$A$504,0))&amp;"","비귀속"),""))</f>
        <v/>
      </c>
      <c r="AG2363" s="96">
        <f>IF($A2363="",0,IF(AND(AE2363&lt;&gt;"직접",IFERROR(INDEX(계정매핑!$G$5:$G$504,MATCH($F2363&amp;"",계정매핑!$A$5:$A$504,0))&amp;"","")="유지비",COUNTIF(계정대체기준!$A$6:$A$15,$N2363)&gt;0),IFERROR(INDEX(계정대체기준!$E$6:$E$15,MATCH(VALUE($A2363&amp;""),계정대체기준!$D$6:$D$15,0)),0),0))</f>
        <v/>
      </c>
      <c r="AH2363" s="64">
        <f>IF($A2363="","",IF(AD2363=0,"",IF(OR(COUNTIF(계정대체기준!$A$77:$A$86,$N2363)&gt;0,ISNUMBER(MATCH($X2363,계정대체기준!$D$77:$D$86,0)),ISNUMBER(MATCH($F2363,계정대체기준!$D$77:$D$86,0))),"Y","N")))</f>
        <v/>
      </c>
    </row>
    <row r="2364">
      <c r="A2364" s="92" t="n">
        <v>2025</v>
      </c>
      <c r="B2364" s="92" t="n">
        <v>11</v>
      </c>
      <c r="C2364" s="92" t="inlineStr">
        <is>
          <t>5100002360</t>
        </is>
      </c>
      <c r="D2364" s="95" t="n">
        <v>45975</v>
      </c>
      <c r="E2364" s="92" t="inlineStr">
        <is>
          <t>KR</t>
        </is>
      </c>
      <c r="F2364" s="92" t="n">
        <v>62102000</v>
      </c>
      <c r="G2364" s="92" t="n">
        <v>1101</v>
      </c>
      <c r="H2364" s="93" t="n">
        <v>146000</v>
      </c>
      <c r="I2364" s="92" t="inlineStr">
        <is>
          <t>11월 해외출장 - M항공</t>
        </is>
      </c>
      <c r="J2364" s="92" t="inlineStr">
        <is>
          <t>V10001</t>
        </is>
      </c>
      <c r="K2364" s="92" t="inlineStr">
        <is>
          <t>M항공</t>
        </is>
      </c>
      <c r="M2364" s="9">
        <f>IF($A2364="","",VALUE($A2364&amp;"")*12+VALUE($B2364&amp;""))</f>
        <v/>
      </c>
      <c r="N2364" s="64">
        <f>IF($A2364="","",IFERROR(INDEX(부서매핑!$C$5:$C$504,MATCH($G2364&amp;"",부서매핑!$A$5:$A$504,0)),"미매핑"))</f>
        <v/>
      </c>
      <c r="O2364" s="9">
        <f>IF($A2364="","",N2364&amp;"|"&amp;$F2364)</f>
        <v/>
      </c>
      <c r="P2364" s="94">
        <f>IF($A2364="",0,$H2364*설정!$C$23)</f>
        <v/>
      </c>
      <c r="Q2364" s="64">
        <f>IF($A2364="","",IF(O2364&lt;&gt;원인분석!$C$9,"",IF(AND(M2364&gt;=원인분석!$C$10,M2364&lt;=원인분석!$C$11),"당기",IF(AND(M2364&gt;=원인분석!$C$12,M2364&lt;=원인분석!$C$13),"비교",""))))</f>
        <v/>
      </c>
      <c r="R2364" s="9">
        <f>IF(Q2364="","",$K2364&amp;"")</f>
        <v/>
      </c>
      <c r="S2364" s="9">
        <f>IF(Q2364="","",IF(MATCH(R2364,$R$5:$R$100000,0)=ROW()-4,ROW(),""))</f>
        <v/>
      </c>
      <c r="T2364" s="9">
        <f>IF(Q2364="당기",ABS(P2364)+ROW()/1000000000,"")</f>
        <v/>
      </c>
      <c r="U2364" s="9">
        <f>IF(Q2364="비교",ABS(P2364)+ROW()/1000000000,"")</f>
        <v/>
      </c>
      <c r="V2364" s="64">
        <f>IF($A2364="","",IF(COUNTIF(변동분석!$E$7:$E$506,O2364)&gt;0,"Y","N"))</f>
        <v/>
      </c>
      <c r="W2364" s="64">
        <f>IF($A2364="","",IFERROR(INDEX(계정매핑!$D$5:$D$504,MATCH($F2364&amp;"",계정매핑!$A$5:$A$504,0)),"미매핑"))</f>
        <v/>
      </c>
      <c r="X2364" s="9">
        <f>IF($A2364="","",$F2364&amp;"")</f>
        <v/>
      </c>
      <c r="Y2364" s="94">
        <f>IF($A2364="",0,IF(AE2364="직접",IF(AF2364="비귀속",$P2364,0),$P2364*(1-AG2364)*IFERROR(INDEX(계정대체기준!$F$20:$F$49,MATCH($N2364,계정대체기준!$A$20:$A$49,0)),1)))</f>
        <v/>
      </c>
      <c r="Z2364" s="94">
        <f>IF($A2364="",0,IF(AE2364="직접",IF(AF2364="신계약비",$P2364,0),$P2364*(1-AG2364)*IFERROR(INDEX(계정대체기준!$C$20:$C$49,MATCH($N2364,계정대체기준!$A$20:$A$49,0)),0)))</f>
        <v/>
      </c>
      <c r="AA2364" s="94">
        <f>IF($A2364="",0,IF(AE2364="직접",IF(OR(AF2364="유지비",AF2364="손해조사비"),$P2364,0),$P2364*(1-AG2364)*IFERROR(INDEX(계정대체기준!$D$20:$D$49,MATCH($N2364,계정대체기준!$A$20:$A$49,0)),0)))</f>
        <v/>
      </c>
      <c r="AB2364" s="94">
        <f>IF($A2364="",0,IF(AE2364="직접",IF(AF2364="수금비",$P2364,0),$P2364*(1-AG2364)*IFERROR(INDEX(계정대체기준!$E$20:$E$49,MATCH($N2364,계정대체기준!$A$20:$A$49,0)),0)))</f>
        <v/>
      </c>
      <c r="AC2364" s="9">
        <f>IF(AND($A2364&lt;&gt;"",M2364=설정!$C$20,Z2364&gt;0),Z2364+ROW()/1000000000,"")</f>
        <v/>
      </c>
      <c r="AD2364" s="94">
        <f>IF($A2364="",0,$P2364*AG2364)</f>
        <v/>
      </c>
      <c r="AE2364" s="64">
        <f>IF($A2364="","",IFERROR(INDEX(계정매핑!$E$5:$E$504,MATCH($F2364&amp;"",계정매핑!$A$5:$A$504,0))&amp;"","공통비"))</f>
        <v/>
      </c>
      <c r="AF2364" s="64">
        <f>IF($A2364="","",IF(AE2364="직접",IFERROR(INDEX(계정매핑!$F$5:$F$504,MATCH($F2364&amp;"",계정매핑!$A$5:$A$504,0))&amp;"","비귀속"),""))</f>
        <v/>
      </c>
      <c r="AG2364" s="96">
        <f>IF($A2364="",0,IF(AND(AE2364&lt;&gt;"직접",IFERROR(INDEX(계정매핑!$G$5:$G$504,MATCH($F2364&amp;"",계정매핑!$A$5:$A$504,0))&amp;"","")="유지비",COUNTIF(계정대체기준!$A$6:$A$15,$N2364)&gt;0),IFERROR(INDEX(계정대체기준!$E$6:$E$15,MATCH(VALUE($A2364&amp;""),계정대체기준!$D$6:$D$15,0)),0),0))</f>
        <v/>
      </c>
      <c r="AH2364" s="64">
        <f>IF($A2364="","",IF(AD2364=0,"",IF(OR(COUNTIF(계정대체기준!$A$77:$A$86,$N2364)&gt;0,ISNUMBER(MATCH($X2364,계정대체기준!$D$77:$D$86,0)),ISNUMBER(MATCH($F2364,계정대체기준!$D$77:$D$86,0))),"Y","N")))</f>
        <v/>
      </c>
    </row>
    <row r="2365">
      <c r="A2365" s="92" t="n">
        <v>2025</v>
      </c>
      <c r="B2365" s="92" t="n">
        <v>11</v>
      </c>
      <c r="C2365" s="92" t="inlineStr">
        <is>
          <t>5100002361</t>
        </is>
      </c>
      <c r="D2365" s="95" t="n">
        <v>45975</v>
      </c>
      <c r="E2365" s="92" t="inlineStr">
        <is>
          <t>KR</t>
        </is>
      </c>
      <c r="F2365" s="92" t="n">
        <v>62102000</v>
      </c>
      <c r="G2365" s="92" t="n">
        <v>1401</v>
      </c>
      <c r="H2365" s="93" t="n">
        <v>76000</v>
      </c>
      <c r="I2365" s="92" t="inlineStr">
        <is>
          <t>11월 해외출장 - N호텔</t>
        </is>
      </c>
      <c r="J2365" s="92" t="inlineStr">
        <is>
          <t>V10009</t>
        </is>
      </c>
      <c r="K2365" s="92" t="inlineStr">
        <is>
          <t>N호텔</t>
        </is>
      </c>
      <c r="M2365" s="9">
        <f>IF($A2365="","",VALUE($A2365&amp;"")*12+VALUE($B2365&amp;""))</f>
        <v/>
      </c>
      <c r="N2365" s="64">
        <f>IF($A2365="","",IFERROR(INDEX(부서매핑!$C$5:$C$504,MATCH($G2365&amp;"",부서매핑!$A$5:$A$504,0)),"미매핑"))</f>
        <v/>
      </c>
      <c r="O2365" s="9">
        <f>IF($A2365="","",N2365&amp;"|"&amp;$F2365)</f>
        <v/>
      </c>
      <c r="P2365" s="94">
        <f>IF($A2365="",0,$H2365*설정!$C$23)</f>
        <v/>
      </c>
      <c r="Q2365" s="64">
        <f>IF($A2365="","",IF(O2365&lt;&gt;원인분석!$C$9,"",IF(AND(M2365&gt;=원인분석!$C$10,M2365&lt;=원인분석!$C$11),"당기",IF(AND(M2365&gt;=원인분석!$C$12,M2365&lt;=원인분석!$C$13),"비교",""))))</f>
        <v/>
      </c>
      <c r="R2365" s="9">
        <f>IF(Q2365="","",$K2365&amp;"")</f>
        <v/>
      </c>
      <c r="S2365" s="9">
        <f>IF(Q2365="","",IF(MATCH(R2365,$R$5:$R$100000,0)=ROW()-4,ROW(),""))</f>
        <v/>
      </c>
      <c r="T2365" s="9">
        <f>IF(Q2365="당기",ABS(P2365)+ROW()/1000000000,"")</f>
        <v/>
      </c>
      <c r="U2365" s="9">
        <f>IF(Q2365="비교",ABS(P2365)+ROW()/1000000000,"")</f>
        <v/>
      </c>
      <c r="V2365" s="64">
        <f>IF($A2365="","",IF(COUNTIF(변동분석!$E$7:$E$506,O2365)&gt;0,"Y","N"))</f>
        <v/>
      </c>
      <c r="W2365" s="64">
        <f>IF($A2365="","",IFERROR(INDEX(계정매핑!$D$5:$D$504,MATCH($F2365&amp;"",계정매핑!$A$5:$A$504,0)),"미매핑"))</f>
        <v/>
      </c>
      <c r="X2365" s="9">
        <f>IF($A2365="","",$F2365&amp;"")</f>
        <v/>
      </c>
      <c r="Y2365" s="94">
        <f>IF($A2365="",0,IF(AE2365="직접",IF(AF2365="비귀속",$P2365,0),$P2365*(1-AG2365)*IFERROR(INDEX(계정대체기준!$F$20:$F$49,MATCH($N2365,계정대체기준!$A$20:$A$49,0)),1)))</f>
        <v/>
      </c>
      <c r="Z2365" s="94">
        <f>IF($A2365="",0,IF(AE2365="직접",IF(AF2365="신계약비",$P2365,0),$P2365*(1-AG2365)*IFERROR(INDEX(계정대체기준!$C$20:$C$49,MATCH($N2365,계정대체기준!$A$20:$A$49,0)),0)))</f>
        <v/>
      </c>
      <c r="AA2365" s="94">
        <f>IF($A2365="",0,IF(AE2365="직접",IF(OR(AF2365="유지비",AF2365="손해조사비"),$P2365,0),$P2365*(1-AG2365)*IFERROR(INDEX(계정대체기준!$D$20:$D$49,MATCH($N2365,계정대체기준!$A$20:$A$49,0)),0)))</f>
        <v/>
      </c>
      <c r="AB2365" s="94">
        <f>IF($A2365="",0,IF(AE2365="직접",IF(AF2365="수금비",$P2365,0),$P2365*(1-AG2365)*IFERROR(INDEX(계정대체기준!$E$20:$E$49,MATCH($N2365,계정대체기준!$A$20:$A$49,0)),0)))</f>
        <v/>
      </c>
      <c r="AC2365" s="9">
        <f>IF(AND($A2365&lt;&gt;"",M2365=설정!$C$20,Z2365&gt;0),Z2365+ROW()/1000000000,"")</f>
        <v/>
      </c>
      <c r="AD2365" s="94">
        <f>IF($A2365="",0,$P2365*AG2365)</f>
        <v/>
      </c>
      <c r="AE2365" s="64">
        <f>IF($A2365="","",IFERROR(INDEX(계정매핑!$E$5:$E$504,MATCH($F2365&amp;"",계정매핑!$A$5:$A$504,0))&amp;"","공통비"))</f>
        <v/>
      </c>
      <c r="AF2365" s="64">
        <f>IF($A2365="","",IF(AE2365="직접",IFERROR(INDEX(계정매핑!$F$5:$F$504,MATCH($F2365&amp;"",계정매핑!$A$5:$A$504,0))&amp;"","비귀속"),""))</f>
        <v/>
      </c>
      <c r="AG2365" s="96">
        <f>IF($A2365="",0,IF(AND(AE2365&lt;&gt;"직접",IFERROR(INDEX(계정매핑!$G$5:$G$504,MATCH($F2365&amp;"",계정매핑!$A$5:$A$504,0))&amp;"","")="유지비",COUNTIF(계정대체기준!$A$6:$A$15,$N2365)&gt;0),IFERROR(INDEX(계정대체기준!$E$6:$E$15,MATCH(VALUE($A2365&amp;""),계정대체기준!$D$6:$D$15,0)),0),0))</f>
        <v/>
      </c>
      <c r="AH2365" s="64">
        <f>IF($A2365="","",IF(AD2365=0,"",IF(OR(COUNTIF(계정대체기준!$A$77:$A$86,$N2365)&gt;0,ISNUMBER(MATCH($X2365,계정대체기준!$D$77:$D$86,0)),ISNUMBER(MATCH($F2365,계정대체기준!$D$77:$D$86,0))),"Y","N")))</f>
        <v/>
      </c>
    </row>
    <row r="2366">
      <c r="A2366" s="92" t="n">
        <v>2025</v>
      </c>
      <c r="B2366" s="92" t="n">
        <v>11</v>
      </c>
      <c r="C2366" s="92" t="inlineStr">
        <is>
          <t>5100002362</t>
        </is>
      </c>
      <c r="D2366" s="95" t="n">
        <v>45975</v>
      </c>
      <c r="E2366" s="92" t="inlineStr">
        <is>
          <t>KR</t>
        </is>
      </c>
      <c r="F2366" s="92" t="n">
        <v>62102000</v>
      </c>
      <c r="G2366" s="92" t="n">
        <v>1801</v>
      </c>
      <c r="H2366" s="93" t="n">
        <v>37000</v>
      </c>
      <c r="I2366" s="92" t="inlineStr">
        <is>
          <t>11월 해외출장 - M항공</t>
        </is>
      </c>
      <c r="J2366" s="92" t="inlineStr">
        <is>
          <t>V10001</t>
        </is>
      </c>
      <c r="K2366" s="92" t="inlineStr">
        <is>
          <t>M항공</t>
        </is>
      </c>
      <c r="M2366" s="9">
        <f>IF($A2366="","",VALUE($A2366&amp;"")*12+VALUE($B2366&amp;""))</f>
        <v/>
      </c>
      <c r="N2366" s="64">
        <f>IF($A2366="","",IFERROR(INDEX(부서매핑!$C$5:$C$504,MATCH($G2366&amp;"",부서매핑!$A$5:$A$504,0)),"미매핑"))</f>
        <v/>
      </c>
      <c r="O2366" s="9">
        <f>IF($A2366="","",N2366&amp;"|"&amp;$F2366)</f>
        <v/>
      </c>
      <c r="P2366" s="94">
        <f>IF($A2366="",0,$H2366*설정!$C$23)</f>
        <v/>
      </c>
      <c r="Q2366" s="64">
        <f>IF($A2366="","",IF(O2366&lt;&gt;원인분석!$C$9,"",IF(AND(M2366&gt;=원인분석!$C$10,M2366&lt;=원인분석!$C$11),"당기",IF(AND(M2366&gt;=원인분석!$C$12,M2366&lt;=원인분석!$C$13),"비교",""))))</f>
        <v/>
      </c>
      <c r="R2366" s="9">
        <f>IF(Q2366="","",$K2366&amp;"")</f>
        <v/>
      </c>
      <c r="S2366" s="9">
        <f>IF(Q2366="","",IF(MATCH(R2366,$R$5:$R$100000,0)=ROW()-4,ROW(),""))</f>
        <v/>
      </c>
      <c r="T2366" s="9">
        <f>IF(Q2366="당기",ABS(P2366)+ROW()/1000000000,"")</f>
        <v/>
      </c>
      <c r="U2366" s="9">
        <f>IF(Q2366="비교",ABS(P2366)+ROW()/1000000000,"")</f>
        <v/>
      </c>
      <c r="V2366" s="64">
        <f>IF($A2366="","",IF(COUNTIF(변동분석!$E$7:$E$506,O2366)&gt;0,"Y","N"))</f>
        <v/>
      </c>
      <c r="W2366" s="64">
        <f>IF($A2366="","",IFERROR(INDEX(계정매핑!$D$5:$D$504,MATCH($F2366&amp;"",계정매핑!$A$5:$A$504,0)),"미매핑"))</f>
        <v/>
      </c>
      <c r="X2366" s="9">
        <f>IF($A2366="","",$F2366&amp;"")</f>
        <v/>
      </c>
      <c r="Y2366" s="94">
        <f>IF($A2366="",0,IF(AE2366="직접",IF(AF2366="비귀속",$P2366,0),$P2366*(1-AG2366)*IFERROR(INDEX(계정대체기준!$F$20:$F$49,MATCH($N2366,계정대체기준!$A$20:$A$49,0)),1)))</f>
        <v/>
      </c>
      <c r="Z2366" s="94">
        <f>IF($A2366="",0,IF(AE2366="직접",IF(AF2366="신계약비",$P2366,0),$P2366*(1-AG2366)*IFERROR(INDEX(계정대체기준!$C$20:$C$49,MATCH($N2366,계정대체기준!$A$20:$A$49,0)),0)))</f>
        <v/>
      </c>
      <c r="AA2366" s="94">
        <f>IF($A2366="",0,IF(AE2366="직접",IF(OR(AF2366="유지비",AF2366="손해조사비"),$P2366,0),$P2366*(1-AG2366)*IFERROR(INDEX(계정대체기준!$D$20:$D$49,MATCH($N2366,계정대체기준!$A$20:$A$49,0)),0)))</f>
        <v/>
      </c>
      <c r="AB2366" s="94">
        <f>IF($A2366="",0,IF(AE2366="직접",IF(AF2366="수금비",$P2366,0),$P2366*(1-AG2366)*IFERROR(INDEX(계정대체기준!$E$20:$E$49,MATCH($N2366,계정대체기준!$A$20:$A$49,0)),0)))</f>
        <v/>
      </c>
      <c r="AC2366" s="9">
        <f>IF(AND($A2366&lt;&gt;"",M2366=설정!$C$20,Z2366&gt;0),Z2366+ROW()/1000000000,"")</f>
        <v/>
      </c>
      <c r="AD2366" s="94">
        <f>IF($A2366="",0,$P2366*AG2366)</f>
        <v/>
      </c>
      <c r="AE2366" s="64">
        <f>IF($A2366="","",IFERROR(INDEX(계정매핑!$E$5:$E$504,MATCH($F2366&amp;"",계정매핑!$A$5:$A$504,0))&amp;"","공통비"))</f>
        <v/>
      </c>
      <c r="AF2366" s="64">
        <f>IF($A2366="","",IF(AE2366="직접",IFERROR(INDEX(계정매핑!$F$5:$F$504,MATCH($F2366&amp;"",계정매핑!$A$5:$A$504,0))&amp;"","비귀속"),""))</f>
        <v/>
      </c>
      <c r="AG2366" s="96">
        <f>IF($A2366="",0,IF(AND(AE2366&lt;&gt;"직접",IFERROR(INDEX(계정매핑!$G$5:$G$504,MATCH($F2366&amp;"",계정매핑!$A$5:$A$504,0))&amp;"","")="유지비",COUNTIF(계정대체기준!$A$6:$A$15,$N2366)&gt;0),IFERROR(INDEX(계정대체기준!$E$6:$E$15,MATCH(VALUE($A2366&amp;""),계정대체기준!$D$6:$D$15,0)),0),0))</f>
        <v/>
      </c>
      <c r="AH2366" s="64">
        <f>IF($A2366="","",IF(AD2366=0,"",IF(OR(COUNTIF(계정대체기준!$A$77:$A$86,$N2366)&gt;0,ISNUMBER(MATCH($X2366,계정대체기준!$D$77:$D$86,0)),ISNUMBER(MATCH($F2366,계정대체기준!$D$77:$D$86,0))),"Y","N")))</f>
        <v/>
      </c>
    </row>
    <row r="2367">
      <c r="A2367" s="92" t="n">
        <v>2025</v>
      </c>
      <c r="B2367" s="92" t="n">
        <v>11</v>
      </c>
      <c r="C2367" s="92" t="inlineStr">
        <is>
          <t>5100002363</t>
        </is>
      </c>
      <c r="D2367" s="95" t="n">
        <v>45975</v>
      </c>
      <c r="E2367" s="92" t="inlineStr">
        <is>
          <t>KR</t>
        </is>
      </c>
      <c r="F2367" s="92" t="n">
        <v>62201000</v>
      </c>
      <c r="G2367" s="92" t="n">
        <v>1801</v>
      </c>
      <c r="H2367" s="93" t="n">
        <v>3518000</v>
      </c>
      <c r="I2367" s="92" t="inlineStr">
        <is>
          <t>11월 통신요금 - O텔레콤</t>
        </is>
      </c>
      <c r="J2367" s="92" t="inlineStr">
        <is>
          <t>V10002</t>
        </is>
      </c>
      <c r="K2367" s="92" t="inlineStr">
        <is>
          <t>O텔레콤</t>
        </is>
      </c>
      <c r="M2367" s="9">
        <f>IF($A2367="","",VALUE($A2367&amp;"")*12+VALUE($B2367&amp;""))</f>
        <v/>
      </c>
      <c r="N2367" s="64">
        <f>IF($A2367="","",IFERROR(INDEX(부서매핑!$C$5:$C$504,MATCH($G2367&amp;"",부서매핑!$A$5:$A$504,0)),"미매핑"))</f>
        <v/>
      </c>
      <c r="O2367" s="9">
        <f>IF($A2367="","",N2367&amp;"|"&amp;$F2367)</f>
        <v/>
      </c>
      <c r="P2367" s="94">
        <f>IF($A2367="",0,$H2367*설정!$C$23)</f>
        <v/>
      </c>
      <c r="Q2367" s="64">
        <f>IF($A2367="","",IF(O2367&lt;&gt;원인분석!$C$9,"",IF(AND(M2367&gt;=원인분석!$C$10,M2367&lt;=원인분석!$C$11),"당기",IF(AND(M2367&gt;=원인분석!$C$12,M2367&lt;=원인분석!$C$13),"비교",""))))</f>
        <v/>
      </c>
      <c r="R2367" s="9">
        <f>IF(Q2367="","",$K2367&amp;"")</f>
        <v/>
      </c>
      <c r="S2367" s="9">
        <f>IF(Q2367="","",IF(MATCH(R2367,$R$5:$R$100000,0)=ROW()-4,ROW(),""))</f>
        <v/>
      </c>
      <c r="T2367" s="9">
        <f>IF(Q2367="당기",ABS(P2367)+ROW()/1000000000,"")</f>
        <v/>
      </c>
      <c r="U2367" s="9">
        <f>IF(Q2367="비교",ABS(P2367)+ROW()/1000000000,"")</f>
        <v/>
      </c>
      <c r="V2367" s="64">
        <f>IF($A2367="","",IF(COUNTIF(변동분석!$E$7:$E$506,O2367)&gt;0,"Y","N"))</f>
        <v/>
      </c>
      <c r="W2367" s="64">
        <f>IF($A2367="","",IFERROR(INDEX(계정매핑!$D$5:$D$504,MATCH($F2367&amp;"",계정매핑!$A$5:$A$504,0)),"미매핑"))</f>
        <v/>
      </c>
      <c r="X2367" s="9">
        <f>IF($A2367="","",$F2367&amp;"")</f>
        <v/>
      </c>
      <c r="Y2367" s="94">
        <f>IF($A2367="",0,IF(AE2367="직접",IF(AF2367="비귀속",$P2367,0),$P2367*(1-AG2367)*IFERROR(INDEX(계정대체기준!$F$20:$F$49,MATCH($N2367,계정대체기준!$A$20:$A$49,0)),1)))</f>
        <v/>
      </c>
      <c r="Z2367" s="94">
        <f>IF($A2367="",0,IF(AE2367="직접",IF(AF2367="신계약비",$P2367,0),$P2367*(1-AG2367)*IFERROR(INDEX(계정대체기준!$C$20:$C$49,MATCH($N2367,계정대체기준!$A$20:$A$49,0)),0)))</f>
        <v/>
      </c>
      <c r="AA2367" s="94">
        <f>IF($A2367="",0,IF(AE2367="직접",IF(OR(AF2367="유지비",AF2367="손해조사비"),$P2367,0),$P2367*(1-AG2367)*IFERROR(INDEX(계정대체기준!$D$20:$D$49,MATCH($N2367,계정대체기준!$A$20:$A$49,0)),0)))</f>
        <v/>
      </c>
      <c r="AB2367" s="94">
        <f>IF($A2367="",0,IF(AE2367="직접",IF(AF2367="수금비",$P2367,0),$P2367*(1-AG2367)*IFERROR(INDEX(계정대체기준!$E$20:$E$49,MATCH($N2367,계정대체기준!$A$20:$A$49,0)),0)))</f>
        <v/>
      </c>
      <c r="AC2367" s="9">
        <f>IF(AND($A2367&lt;&gt;"",M2367=설정!$C$20,Z2367&gt;0),Z2367+ROW()/1000000000,"")</f>
        <v/>
      </c>
      <c r="AD2367" s="94">
        <f>IF($A2367="",0,$P2367*AG2367)</f>
        <v/>
      </c>
      <c r="AE2367" s="64">
        <f>IF($A2367="","",IFERROR(INDEX(계정매핑!$E$5:$E$504,MATCH($F2367&amp;"",계정매핑!$A$5:$A$504,0))&amp;"","공통비"))</f>
        <v/>
      </c>
      <c r="AF2367" s="64">
        <f>IF($A2367="","",IF(AE2367="직접",IFERROR(INDEX(계정매핑!$F$5:$F$504,MATCH($F2367&amp;"",계정매핑!$A$5:$A$504,0))&amp;"","비귀속"),""))</f>
        <v/>
      </c>
      <c r="AG2367" s="96">
        <f>IF($A2367="",0,IF(AND(AE2367&lt;&gt;"직접",IFERROR(INDEX(계정매핑!$G$5:$G$504,MATCH($F2367&amp;"",계정매핑!$A$5:$A$504,0))&amp;"","")="유지비",COUNTIF(계정대체기준!$A$6:$A$15,$N2367)&gt;0),IFERROR(INDEX(계정대체기준!$E$6:$E$15,MATCH(VALUE($A2367&amp;""),계정대체기준!$D$6:$D$15,0)),0),0))</f>
        <v/>
      </c>
      <c r="AH2367" s="64">
        <f>IF($A2367="","",IF(AD2367=0,"",IF(OR(COUNTIF(계정대체기준!$A$77:$A$86,$N2367)&gt;0,ISNUMBER(MATCH($X2367,계정대체기준!$D$77:$D$86,0)),ISNUMBER(MATCH($F2367,계정대체기준!$D$77:$D$86,0))),"Y","N")))</f>
        <v/>
      </c>
    </row>
    <row r="2368">
      <c r="A2368" s="92" t="n">
        <v>2025</v>
      </c>
      <c r="B2368" s="92" t="n">
        <v>11</v>
      </c>
      <c r="C2368" s="92" t="inlineStr">
        <is>
          <t>5100002364</t>
        </is>
      </c>
      <c r="D2368" s="95" t="n">
        <v>45975</v>
      </c>
      <c r="E2368" s="92" t="inlineStr">
        <is>
          <t>KR</t>
        </is>
      </c>
      <c r="F2368" s="92" t="n">
        <v>62301000</v>
      </c>
      <c r="G2368" s="92" t="n">
        <v>1601</v>
      </c>
      <c r="H2368" s="93" t="n">
        <v>641000</v>
      </c>
      <c r="I2368" s="92" t="inlineStr">
        <is>
          <t>11월 소모품 구입 - R문구</t>
        </is>
      </c>
      <c r="J2368" s="92" t="inlineStr">
        <is>
          <t>V10022</t>
        </is>
      </c>
      <c r="K2368" s="92" t="inlineStr">
        <is>
          <t>R문구</t>
        </is>
      </c>
      <c r="M2368" s="9">
        <f>IF($A2368="","",VALUE($A2368&amp;"")*12+VALUE($B2368&amp;""))</f>
        <v/>
      </c>
      <c r="N2368" s="64">
        <f>IF($A2368="","",IFERROR(INDEX(부서매핑!$C$5:$C$504,MATCH($G2368&amp;"",부서매핑!$A$5:$A$504,0)),"미매핑"))</f>
        <v/>
      </c>
      <c r="O2368" s="9">
        <f>IF($A2368="","",N2368&amp;"|"&amp;$F2368)</f>
        <v/>
      </c>
      <c r="P2368" s="94">
        <f>IF($A2368="",0,$H2368*설정!$C$23)</f>
        <v/>
      </c>
      <c r="Q2368" s="64">
        <f>IF($A2368="","",IF(O2368&lt;&gt;원인분석!$C$9,"",IF(AND(M2368&gt;=원인분석!$C$10,M2368&lt;=원인분석!$C$11),"당기",IF(AND(M2368&gt;=원인분석!$C$12,M2368&lt;=원인분석!$C$13),"비교",""))))</f>
        <v/>
      </c>
      <c r="R2368" s="9">
        <f>IF(Q2368="","",$K2368&amp;"")</f>
        <v/>
      </c>
      <c r="S2368" s="9">
        <f>IF(Q2368="","",IF(MATCH(R2368,$R$5:$R$100000,0)=ROW()-4,ROW(),""))</f>
        <v/>
      </c>
      <c r="T2368" s="9">
        <f>IF(Q2368="당기",ABS(P2368)+ROW()/1000000000,"")</f>
        <v/>
      </c>
      <c r="U2368" s="9">
        <f>IF(Q2368="비교",ABS(P2368)+ROW()/1000000000,"")</f>
        <v/>
      </c>
      <c r="V2368" s="64">
        <f>IF($A2368="","",IF(COUNTIF(변동분석!$E$7:$E$506,O2368)&gt;0,"Y","N"))</f>
        <v/>
      </c>
      <c r="W2368" s="64">
        <f>IF($A2368="","",IFERROR(INDEX(계정매핑!$D$5:$D$504,MATCH($F2368&amp;"",계정매핑!$A$5:$A$504,0)),"미매핑"))</f>
        <v/>
      </c>
      <c r="X2368" s="9">
        <f>IF($A2368="","",$F2368&amp;"")</f>
        <v/>
      </c>
      <c r="Y2368" s="94">
        <f>IF($A2368="",0,IF(AE2368="직접",IF(AF2368="비귀속",$P2368,0),$P2368*(1-AG2368)*IFERROR(INDEX(계정대체기준!$F$20:$F$49,MATCH($N2368,계정대체기준!$A$20:$A$49,0)),1)))</f>
        <v/>
      </c>
      <c r="Z2368" s="94">
        <f>IF($A2368="",0,IF(AE2368="직접",IF(AF2368="신계약비",$P2368,0),$P2368*(1-AG2368)*IFERROR(INDEX(계정대체기준!$C$20:$C$49,MATCH($N2368,계정대체기준!$A$20:$A$49,0)),0)))</f>
        <v/>
      </c>
      <c r="AA2368" s="94">
        <f>IF($A2368="",0,IF(AE2368="직접",IF(OR(AF2368="유지비",AF2368="손해조사비"),$P2368,0),$P2368*(1-AG2368)*IFERROR(INDEX(계정대체기준!$D$20:$D$49,MATCH($N2368,계정대체기준!$A$20:$A$49,0)),0)))</f>
        <v/>
      </c>
      <c r="AB2368" s="94">
        <f>IF($A2368="",0,IF(AE2368="직접",IF(AF2368="수금비",$P2368,0),$P2368*(1-AG2368)*IFERROR(INDEX(계정대체기준!$E$20:$E$49,MATCH($N2368,계정대체기준!$A$20:$A$49,0)),0)))</f>
        <v/>
      </c>
      <c r="AC2368" s="9">
        <f>IF(AND($A2368&lt;&gt;"",M2368=설정!$C$20,Z2368&gt;0),Z2368+ROW()/1000000000,"")</f>
        <v/>
      </c>
      <c r="AD2368" s="94">
        <f>IF($A2368="",0,$P2368*AG2368)</f>
        <v/>
      </c>
      <c r="AE2368" s="64">
        <f>IF($A2368="","",IFERROR(INDEX(계정매핑!$E$5:$E$504,MATCH($F2368&amp;"",계정매핑!$A$5:$A$504,0))&amp;"","공통비"))</f>
        <v/>
      </c>
      <c r="AF2368" s="64">
        <f>IF($A2368="","",IF(AE2368="직접",IFERROR(INDEX(계정매핑!$F$5:$F$504,MATCH($F2368&amp;"",계정매핑!$A$5:$A$504,0))&amp;"","비귀속"),""))</f>
        <v/>
      </c>
      <c r="AG2368" s="96">
        <f>IF($A2368="",0,IF(AND(AE2368&lt;&gt;"직접",IFERROR(INDEX(계정매핑!$G$5:$G$504,MATCH($F2368&amp;"",계정매핑!$A$5:$A$504,0))&amp;"","")="유지비",COUNTIF(계정대체기준!$A$6:$A$15,$N2368)&gt;0),IFERROR(INDEX(계정대체기준!$E$6:$E$15,MATCH(VALUE($A2368&amp;""),계정대체기준!$D$6:$D$15,0)),0),0))</f>
        <v/>
      </c>
      <c r="AH2368" s="64">
        <f>IF($A2368="","",IF(AD2368=0,"",IF(OR(COUNTIF(계정대체기준!$A$77:$A$86,$N2368)&gt;0,ISNUMBER(MATCH($X2368,계정대체기준!$D$77:$D$86,0)),ISNUMBER(MATCH($F2368,계정대체기준!$D$77:$D$86,0))),"Y","N")))</f>
        <v/>
      </c>
    </row>
    <row r="2369">
      <c r="A2369" s="92" t="n">
        <v>2025</v>
      </c>
      <c r="B2369" s="92" t="n">
        <v>11</v>
      </c>
      <c r="C2369" s="92" t="inlineStr">
        <is>
          <t>5100002365</t>
        </is>
      </c>
      <c r="D2369" s="95" t="n">
        <v>45975</v>
      </c>
      <c r="E2369" s="92" t="inlineStr">
        <is>
          <t>KR</t>
        </is>
      </c>
      <c r="F2369" s="92" t="n">
        <v>62401000</v>
      </c>
      <c r="G2369" s="92" t="n">
        <v>1801</v>
      </c>
      <c r="H2369" s="93" t="n">
        <v>2118000</v>
      </c>
      <c r="I2369" s="92" t="inlineStr">
        <is>
          <t>11월 인쇄물 제작 - G인쇄</t>
        </is>
      </c>
      <c r="J2369" s="92" t="inlineStr">
        <is>
          <t>V10004</t>
        </is>
      </c>
      <c r="K2369" s="92" t="inlineStr">
        <is>
          <t>G인쇄</t>
        </is>
      </c>
      <c r="M2369" s="9">
        <f>IF($A2369="","",VALUE($A2369&amp;"")*12+VALUE($B2369&amp;""))</f>
        <v/>
      </c>
      <c r="N2369" s="64">
        <f>IF($A2369="","",IFERROR(INDEX(부서매핑!$C$5:$C$504,MATCH($G2369&amp;"",부서매핑!$A$5:$A$504,0)),"미매핑"))</f>
        <v/>
      </c>
      <c r="O2369" s="9">
        <f>IF($A2369="","",N2369&amp;"|"&amp;$F2369)</f>
        <v/>
      </c>
      <c r="P2369" s="94">
        <f>IF($A2369="",0,$H2369*설정!$C$23)</f>
        <v/>
      </c>
      <c r="Q2369" s="64">
        <f>IF($A2369="","",IF(O2369&lt;&gt;원인분석!$C$9,"",IF(AND(M2369&gt;=원인분석!$C$10,M2369&lt;=원인분석!$C$11),"당기",IF(AND(M2369&gt;=원인분석!$C$12,M2369&lt;=원인분석!$C$13),"비교",""))))</f>
        <v/>
      </c>
      <c r="R2369" s="9">
        <f>IF(Q2369="","",$K2369&amp;"")</f>
        <v/>
      </c>
      <c r="S2369" s="9">
        <f>IF(Q2369="","",IF(MATCH(R2369,$R$5:$R$100000,0)=ROW()-4,ROW(),""))</f>
        <v/>
      </c>
      <c r="T2369" s="9">
        <f>IF(Q2369="당기",ABS(P2369)+ROW()/1000000000,"")</f>
        <v/>
      </c>
      <c r="U2369" s="9">
        <f>IF(Q2369="비교",ABS(P2369)+ROW()/1000000000,"")</f>
        <v/>
      </c>
      <c r="V2369" s="64">
        <f>IF($A2369="","",IF(COUNTIF(변동분석!$E$7:$E$506,O2369)&gt;0,"Y","N"))</f>
        <v/>
      </c>
      <c r="W2369" s="64">
        <f>IF($A2369="","",IFERROR(INDEX(계정매핑!$D$5:$D$504,MATCH($F2369&amp;"",계정매핑!$A$5:$A$504,0)),"미매핑"))</f>
        <v/>
      </c>
      <c r="X2369" s="9">
        <f>IF($A2369="","",$F2369&amp;"")</f>
        <v/>
      </c>
      <c r="Y2369" s="94">
        <f>IF($A2369="",0,IF(AE2369="직접",IF(AF2369="비귀속",$P2369,0),$P2369*(1-AG2369)*IFERROR(INDEX(계정대체기준!$F$20:$F$49,MATCH($N2369,계정대체기준!$A$20:$A$49,0)),1)))</f>
        <v/>
      </c>
      <c r="Z2369" s="94">
        <f>IF($A2369="",0,IF(AE2369="직접",IF(AF2369="신계약비",$P2369,0),$P2369*(1-AG2369)*IFERROR(INDEX(계정대체기준!$C$20:$C$49,MATCH($N2369,계정대체기준!$A$20:$A$49,0)),0)))</f>
        <v/>
      </c>
      <c r="AA2369" s="94">
        <f>IF($A2369="",0,IF(AE2369="직접",IF(OR(AF2369="유지비",AF2369="손해조사비"),$P2369,0),$P2369*(1-AG2369)*IFERROR(INDEX(계정대체기준!$D$20:$D$49,MATCH($N2369,계정대체기준!$A$20:$A$49,0)),0)))</f>
        <v/>
      </c>
      <c r="AB2369" s="94">
        <f>IF($A2369="",0,IF(AE2369="직접",IF(AF2369="수금비",$P2369,0),$P2369*(1-AG2369)*IFERROR(INDEX(계정대체기준!$E$20:$E$49,MATCH($N2369,계정대체기준!$A$20:$A$49,0)),0)))</f>
        <v/>
      </c>
      <c r="AC2369" s="9">
        <f>IF(AND($A2369&lt;&gt;"",M2369=설정!$C$20,Z2369&gt;0),Z2369+ROW()/1000000000,"")</f>
        <v/>
      </c>
      <c r="AD2369" s="94">
        <f>IF($A2369="",0,$P2369*AG2369)</f>
        <v/>
      </c>
      <c r="AE2369" s="64">
        <f>IF($A2369="","",IFERROR(INDEX(계정매핑!$E$5:$E$504,MATCH($F2369&amp;"",계정매핑!$A$5:$A$504,0))&amp;"","공통비"))</f>
        <v/>
      </c>
      <c r="AF2369" s="64">
        <f>IF($A2369="","",IF(AE2369="직접",IFERROR(INDEX(계정매핑!$F$5:$F$504,MATCH($F2369&amp;"",계정매핑!$A$5:$A$504,0))&amp;"","비귀속"),""))</f>
        <v/>
      </c>
      <c r="AG2369" s="96">
        <f>IF($A2369="",0,IF(AND(AE2369&lt;&gt;"직접",IFERROR(INDEX(계정매핑!$G$5:$G$504,MATCH($F2369&amp;"",계정매핑!$A$5:$A$504,0))&amp;"","")="유지비",COUNTIF(계정대체기준!$A$6:$A$15,$N2369)&gt;0),IFERROR(INDEX(계정대체기준!$E$6:$E$15,MATCH(VALUE($A2369&amp;""),계정대체기준!$D$6:$D$15,0)),0),0))</f>
        <v/>
      </c>
      <c r="AH2369" s="64">
        <f>IF($A2369="","",IF(AD2369=0,"",IF(OR(COUNTIF(계정대체기준!$A$77:$A$86,$N2369)&gt;0,ISNUMBER(MATCH($X2369,계정대체기준!$D$77:$D$86,0)),ISNUMBER(MATCH($F2369,계정대체기준!$D$77:$D$86,0))),"Y","N")))</f>
        <v/>
      </c>
    </row>
    <row r="2370">
      <c r="A2370" s="92" t="n">
        <v>2025</v>
      </c>
      <c r="B2370" s="92" t="n">
        <v>11</v>
      </c>
      <c r="C2370" s="92" t="inlineStr">
        <is>
          <t>5100002366</t>
        </is>
      </c>
      <c r="D2370" s="95" t="n">
        <v>45975</v>
      </c>
      <c r="E2370" s="92" t="inlineStr">
        <is>
          <t>KR</t>
        </is>
      </c>
      <c r="F2370" s="92" t="n">
        <v>62601000</v>
      </c>
      <c r="G2370" s="92" t="n">
        <v>1301</v>
      </c>
      <c r="H2370" s="93" t="n">
        <v>1639000</v>
      </c>
      <c r="I2370" s="92" t="inlineStr">
        <is>
          <t>11월 업무추진 - (법인카드)</t>
        </is>
      </c>
      <c r="J2370" s="92" t="inlineStr">
        <is>
          <t>V10010</t>
        </is>
      </c>
      <c r="K2370" s="92" t="inlineStr">
        <is>
          <t>(법인카드)</t>
        </is>
      </c>
      <c r="M2370" s="9">
        <f>IF($A2370="","",VALUE($A2370&amp;"")*12+VALUE($B2370&amp;""))</f>
        <v/>
      </c>
      <c r="N2370" s="64">
        <f>IF($A2370="","",IFERROR(INDEX(부서매핑!$C$5:$C$504,MATCH($G2370&amp;"",부서매핑!$A$5:$A$504,0)),"미매핑"))</f>
        <v/>
      </c>
      <c r="O2370" s="9">
        <f>IF($A2370="","",N2370&amp;"|"&amp;$F2370)</f>
        <v/>
      </c>
      <c r="P2370" s="94">
        <f>IF($A2370="",0,$H2370*설정!$C$23)</f>
        <v/>
      </c>
      <c r="Q2370" s="64">
        <f>IF($A2370="","",IF(O2370&lt;&gt;원인분석!$C$9,"",IF(AND(M2370&gt;=원인분석!$C$10,M2370&lt;=원인분석!$C$11),"당기",IF(AND(M2370&gt;=원인분석!$C$12,M2370&lt;=원인분석!$C$13),"비교",""))))</f>
        <v/>
      </c>
      <c r="R2370" s="9">
        <f>IF(Q2370="","",$K2370&amp;"")</f>
        <v/>
      </c>
      <c r="S2370" s="9">
        <f>IF(Q2370="","",IF(MATCH(R2370,$R$5:$R$100000,0)=ROW()-4,ROW(),""))</f>
        <v/>
      </c>
      <c r="T2370" s="9">
        <f>IF(Q2370="당기",ABS(P2370)+ROW()/1000000000,"")</f>
        <v/>
      </c>
      <c r="U2370" s="9">
        <f>IF(Q2370="비교",ABS(P2370)+ROW()/1000000000,"")</f>
        <v/>
      </c>
      <c r="V2370" s="64">
        <f>IF($A2370="","",IF(COUNTIF(변동분석!$E$7:$E$506,O2370)&gt;0,"Y","N"))</f>
        <v/>
      </c>
      <c r="W2370" s="64">
        <f>IF($A2370="","",IFERROR(INDEX(계정매핑!$D$5:$D$504,MATCH($F2370&amp;"",계정매핑!$A$5:$A$504,0)),"미매핑"))</f>
        <v/>
      </c>
      <c r="X2370" s="9">
        <f>IF($A2370="","",$F2370&amp;"")</f>
        <v/>
      </c>
      <c r="Y2370" s="94">
        <f>IF($A2370="",0,IF(AE2370="직접",IF(AF2370="비귀속",$P2370,0),$P2370*(1-AG2370)*IFERROR(INDEX(계정대체기준!$F$20:$F$49,MATCH($N2370,계정대체기준!$A$20:$A$49,0)),1)))</f>
        <v/>
      </c>
      <c r="Z2370" s="94">
        <f>IF($A2370="",0,IF(AE2370="직접",IF(AF2370="신계약비",$P2370,0),$P2370*(1-AG2370)*IFERROR(INDEX(계정대체기준!$C$20:$C$49,MATCH($N2370,계정대체기준!$A$20:$A$49,0)),0)))</f>
        <v/>
      </c>
      <c r="AA2370" s="94">
        <f>IF($A2370="",0,IF(AE2370="직접",IF(OR(AF2370="유지비",AF2370="손해조사비"),$P2370,0),$P2370*(1-AG2370)*IFERROR(INDEX(계정대체기준!$D$20:$D$49,MATCH($N2370,계정대체기준!$A$20:$A$49,0)),0)))</f>
        <v/>
      </c>
      <c r="AB2370" s="94">
        <f>IF($A2370="",0,IF(AE2370="직접",IF(AF2370="수금비",$P2370,0),$P2370*(1-AG2370)*IFERROR(INDEX(계정대체기준!$E$20:$E$49,MATCH($N2370,계정대체기준!$A$20:$A$49,0)),0)))</f>
        <v/>
      </c>
      <c r="AC2370" s="9">
        <f>IF(AND($A2370&lt;&gt;"",M2370=설정!$C$20,Z2370&gt;0),Z2370+ROW()/1000000000,"")</f>
        <v/>
      </c>
      <c r="AD2370" s="94">
        <f>IF($A2370="",0,$P2370*AG2370)</f>
        <v/>
      </c>
      <c r="AE2370" s="64">
        <f>IF($A2370="","",IFERROR(INDEX(계정매핑!$E$5:$E$504,MATCH($F2370&amp;"",계정매핑!$A$5:$A$504,0))&amp;"","공통비"))</f>
        <v/>
      </c>
      <c r="AF2370" s="64">
        <f>IF($A2370="","",IF(AE2370="직접",IFERROR(INDEX(계정매핑!$F$5:$F$504,MATCH($F2370&amp;"",계정매핑!$A$5:$A$504,0))&amp;"","비귀속"),""))</f>
        <v/>
      </c>
      <c r="AG2370" s="96">
        <f>IF($A2370="",0,IF(AND(AE2370&lt;&gt;"직접",IFERROR(INDEX(계정매핑!$G$5:$G$504,MATCH($F2370&amp;"",계정매핑!$A$5:$A$504,0))&amp;"","")="유지비",COUNTIF(계정대체기준!$A$6:$A$15,$N2370)&gt;0),IFERROR(INDEX(계정대체기준!$E$6:$E$15,MATCH(VALUE($A2370&amp;""),계정대체기준!$D$6:$D$15,0)),0),0))</f>
        <v/>
      </c>
      <c r="AH2370" s="64">
        <f>IF($A2370="","",IF(AD2370=0,"",IF(OR(COUNTIF(계정대체기준!$A$77:$A$86,$N2370)&gt;0,ISNUMBER(MATCH($X2370,계정대체기준!$D$77:$D$86,0)),ISNUMBER(MATCH($F2370,계정대체기준!$D$77:$D$86,0))),"Y","N")))</f>
        <v/>
      </c>
    </row>
    <row r="2371">
      <c r="A2371" s="92" t="n">
        <v>2025</v>
      </c>
      <c r="B2371" s="92" t="n">
        <v>11</v>
      </c>
      <c r="C2371" s="92" t="inlineStr">
        <is>
          <t>5100002367</t>
        </is>
      </c>
      <c r="D2371" s="95" t="n">
        <v>45975</v>
      </c>
      <c r="E2371" s="92" t="inlineStr">
        <is>
          <t>KR</t>
        </is>
      </c>
      <c r="F2371" s="92" t="n">
        <v>62901000</v>
      </c>
      <c r="G2371" s="92" t="n">
        <v>1401</v>
      </c>
      <c r="H2371" s="93" t="n">
        <v>3631000</v>
      </c>
      <c r="I2371" s="92" t="inlineStr">
        <is>
          <t>11월 자문 수수료 - K회계법인</t>
        </is>
      </c>
      <c r="J2371" s="92" t="inlineStr">
        <is>
          <t>V10011</t>
        </is>
      </c>
      <c r="K2371" s="92" t="inlineStr">
        <is>
          <t>K회계법인</t>
        </is>
      </c>
      <c r="M2371" s="9">
        <f>IF($A2371="","",VALUE($A2371&amp;"")*12+VALUE($B2371&amp;""))</f>
        <v/>
      </c>
      <c r="N2371" s="64">
        <f>IF($A2371="","",IFERROR(INDEX(부서매핑!$C$5:$C$504,MATCH($G2371&amp;"",부서매핑!$A$5:$A$504,0)),"미매핑"))</f>
        <v/>
      </c>
      <c r="O2371" s="9">
        <f>IF($A2371="","",N2371&amp;"|"&amp;$F2371)</f>
        <v/>
      </c>
      <c r="P2371" s="94">
        <f>IF($A2371="",0,$H2371*설정!$C$23)</f>
        <v/>
      </c>
      <c r="Q2371" s="64">
        <f>IF($A2371="","",IF(O2371&lt;&gt;원인분석!$C$9,"",IF(AND(M2371&gt;=원인분석!$C$10,M2371&lt;=원인분석!$C$11),"당기",IF(AND(M2371&gt;=원인분석!$C$12,M2371&lt;=원인분석!$C$13),"비교",""))))</f>
        <v/>
      </c>
      <c r="R2371" s="9">
        <f>IF(Q2371="","",$K2371&amp;"")</f>
        <v/>
      </c>
      <c r="S2371" s="9">
        <f>IF(Q2371="","",IF(MATCH(R2371,$R$5:$R$100000,0)=ROW()-4,ROW(),""))</f>
        <v/>
      </c>
      <c r="T2371" s="9">
        <f>IF(Q2371="당기",ABS(P2371)+ROW()/1000000000,"")</f>
        <v/>
      </c>
      <c r="U2371" s="9">
        <f>IF(Q2371="비교",ABS(P2371)+ROW()/1000000000,"")</f>
        <v/>
      </c>
      <c r="V2371" s="64">
        <f>IF($A2371="","",IF(COUNTIF(변동분석!$E$7:$E$506,O2371)&gt;0,"Y","N"))</f>
        <v/>
      </c>
      <c r="W2371" s="64">
        <f>IF($A2371="","",IFERROR(INDEX(계정매핑!$D$5:$D$504,MATCH($F2371&amp;"",계정매핑!$A$5:$A$504,0)),"미매핑"))</f>
        <v/>
      </c>
      <c r="X2371" s="9">
        <f>IF($A2371="","",$F2371&amp;"")</f>
        <v/>
      </c>
      <c r="Y2371" s="94">
        <f>IF($A2371="",0,IF(AE2371="직접",IF(AF2371="비귀속",$P2371,0),$P2371*(1-AG2371)*IFERROR(INDEX(계정대체기준!$F$20:$F$49,MATCH($N2371,계정대체기준!$A$20:$A$49,0)),1)))</f>
        <v/>
      </c>
      <c r="Z2371" s="94">
        <f>IF($A2371="",0,IF(AE2371="직접",IF(AF2371="신계약비",$P2371,0),$P2371*(1-AG2371)*IFERROR(INDEX(계정대체기준!$C$20:$C$49,MATCH($N2371,계정대체기준!$A$20:$A$49,0)),0)))</f>
        <v/>
      </c>
      <c r="AA2371" s="94">
        <f>IF($A2371="",0,IF(AE2371="직접",IF(OR(AF2371="유지비",AF2371="손해조사비"),$P2371,0),$P2371*(1-AG2371)*IFERROR(INDEX(계정대체기준!$D$20:$D$49,MATCH($N2371,계정대체기준!$A$20:$A$49,0)),0)))</f>
        <v/>
      </c>
      <c r="AB2371" s="94">
        <f>IF($A2371="",0,IF(AE2371="직접",IF(AF2371="수금비",$P2371,0),$P2371*(1-AG2371)*IFERROR(INDEX(계정대체기준!$E$20:$E$49,MATCH($N2371,계정대체기준!$A$20:$A$49,0)),0)))</f>
        <v/>
      </c>
      <c r="AC2371" s="9">
        <f>IF(AND($A2371&lt;&gt;"",M2371=설정!$C$20,Z2371&gt;0),Z2371+ROW()/1000000000,"")</f>
        <v/>
      </c>
      <c r="AD2371" s="94">
        <f>IF($A2371="",0,$P2371*AG2371)</f>
        <v/>
      </c>
      <c r="AE2371" s="64">
        <f>IF($A2371="","",IFERROR(INDEX(계정매핑!$E$5:$E$504,MATCH($F2371&amp;"",계정매핑!$A$5:$A$504,0))&amp;"","공통비"))</f>
        <v/>
      </c>
      <c r="AF2371" s="64">
        <f>IF($A2371="","",IF(AE2371="직접",IFERROR(INDEX(계정매핑!$F$5:$F$504,MATCH($F2371&amp;"",계정매핑!$A$5:$A$504,0))&amp;"","비귀속"),""))</f>
        <v/>
      </c>
      <c r="AG2371" s="96">
        <f>IF($A2371="",0,IF(AND(AE2371&lt;&gt;"직접",IFERROR(INDEX(계정매핑!$G$5:$G$504,MATCH($F2371&amp;"",계정매핑!$A$5:$A$504,0))&amp;"","")="유지비",COUNTIF(계정대체기준!$A$6:$A$15,$N2371)&gt;0),IFERROR(INDEX(계정대체기준!$E$6:$E$15,MATCH(VALUE($A2371&amp;""),계정대체기준!$D$6:$D$15,0)),0),0))</f>
        <v/>
      </c>
      <c r="AH2371" s="64">
        <f>IF($A2371="","",IF(AD2371=0,"",IF(OR(COUNTIF(계정대체기준!$A$77:$A$86,$N2371)&gt;0,ISNUMBER(MATCH($X2371,계정대체기준!$D$77:$D$86,0)),ISNUMBER(MATCH($F2371,계정대체기준!$D$77:$D$86,0))),"Y","N")))</f>
        <v/>
      </c>
    </row>
    <row r="2372">
      <c r="A2372" s="92" t="n">
        <v>2025</v>
      </c>
      <c r="B2372" s="92" t="n">
        <v>11</v>
      </c>
      <c r="C2372" s="92" t="inlineStr">
        <is>
          <t>5100002368</t>
        </is>
      </c>
      <c r="D2372" s="95" t="n">
        <v>45975</v>
      </c>
      <c r="E2372" s="92" t="inlineStr">
        <is>
          <t>KR</t>
        </is>
      </c>
      <c r="F2372" s="92" t="n">
        <v>62901000</v>
      </c>
      <c r="G2372" s="92" t="n">
        <v>1801</v>
      </c>
      <c r="H2372" s="93" t="n">
        <v>7700000</v>
      </c>
      <c r="I2372" s="92" t="inlineStr">
        <is>
          <t>11월 자문 수수료 - W컨설팅</t>
        </is>
      </c>
      <c r="J2372" s="92" t="inlineStr">
        <is>
          <t>V10006</t>
        </is>
      </c>
      <c r="K2372" s="92" t="inlineStr">
        <is>
          <t>W컨설팅</t>
        </is>
      </c>
      <c r="M2372" s="9">
        <f>IF($A2372="","",VALUE($A2372&amp;"")*12+VALUE($B2372&amp;""))</f>
        <v/>
      </c>
      <c r="N2372" s="64">
        <f>IF($A2372="","",IFERROR(INDEX(부서매핑!$C$5:$C$504,MATCH($G2372&amp;"",부서매핑!$A$5:$A$504,0)),"미매핑"))</f>
        <v/>
      </c>
      <c r="O2372" s="9">
        <f>IF($A2372="","",N2372&amp;"|"&amp;$F2372)</f>
        <v/>
      </c>
      <c r="P2372" s="94">
        <f>IF($A2372="",0,$H2372*설정!$C$23)</f>
        <v/>
      </c>
      <c r="Q2372" s="64">
        <f>IF($A2372="","",IF(O2372&lt;&gt;원인분석!$C$9,"",IF(AND(M2372&gt;=원인분석!$C$10,M2372&lt;=원인분석!$C$11),"당기",IF(AND(M2372&gt;=원인분석!$C$12,M2372&lt;=원인분석!$C$13),"비교",""))))</f>
        <v/>
      </c>
      <c r="R2372" s="9">
        <f>IF(Q2372="","",$K2372&amp;"")</f>
        <v/>
      </c>
      <c r="S2372" s="9">
        <f>IF(Q2372="","",IF(MATCH(R2372,$R$5:$R$100000,0)=ROW()-4,ROW(),""))</f>
        <v/>
      </c>
      <c r="T2372" s="9">
        <f>IF(Q2372="당기",ABS(P2372)+ROW()/1000000000,"")</f>
        <v/>
      </c>
      <c r="U2372" s="9">
        <f>IF(Q2372="비교",ABS(P2372)+ROW()/1000000000,"")</f>
        <v/>
      </c>
      <c r="V2372" s="64">
        <f>IF($A2372="","",IF(COUNTIF(변동분석!$E$7:$E$506,O2372)&gt;0,"Y","N"))</f>
        <v/>
      </c>
      <c r="W2372" s="64">
        <f>IF($A2372="","",IFERROR(INDEX(계정매핑!$D$5:$D$504,MATCH($F2372&amp;"",계정매핑!$A$5:$A$504,0)),"미매핑"))</f>
        <v/>
      </c>
      <c r="X2372" s="9">
        <f>IF($A2372="","",$F2372&amp;"")</f>
        <v/>
      </c>
      <c r="Y2372" s="94">
        <f>IF($A2372="",0,IF(AE2372="직접",IF(AF2372="비귀속",$P2372,0),$P2372*(1-AG2372)*IFERROR(INDEX(계정대체기준!$F$20:$F$49,MATCH($N2372,계정대체기준!$A$20:$A$49,0)),1)))</f>
        <v/>
      </c>
      <c r="Z2372" s="94">
        <f>IF($A2372="",0,IF(AE2372="직접",IF(AF2372="신계약비",$P2372,0),$P2372*(1-AG2372)*IFERROR(INDEX(계정대체기준!$C$20:$C$49,MATCH($N2372,계정대체기준!$A$20:$A$49,0)),0)))</f>
        <v/>
      </c>
      <c r="AA2372" s="94">
        <f>IF($A2372="",0,IF(AE2372="직접",IF(OR(AF2372="유지비",AF2372="손해조사비"),$P2372,0),$P2372*(1-AG2372)*IFERROR(INDEX(계정대체기준!$D$20:$D$49,MATCH($N2372,계정대체기준!$A$20:$A$49,0)),0)))</f>
        <v/>
      </c>
      <c r="AB2372" s="94">
        <f>IF($A2372="",0,IF(AE2372="직접",IF(AF2372="수금비",$P2372,0),$P2372*(1-AG2372)*IFERROR(INDEX(계정대체기준!$E$20:$E$49,MATCH($N2372,계정대체기준!$A$20:$A$49,0)),0)))</f>
        <v/>
      </c>
      <c r="AC2372" s="9">
        <f>IF(AND($A2372&lt;&gt;"",M2372=설정!$C$20,Z2372&gt;0),Z2372+ROW()/1000000000,"")</f>
        <v/>
      </c>
      <c r="AD2372" s="94">
        <f>IF($A2372="",0,$P2372*AG2372)</f>
        <v/>
      </c>
      <c r="AE2372" s="64">
        <f>IF($A2372="","",IFERROR(INDEX(계정매핑!$E$5:$E$504,MATCH($F2372&amp;"",계정매핑!$A$5:$A$504,0))&amp;"","공통비"))</f>
        <v/>
      </c>
      <c r="AF2372" s="64">
        <f>IF($A2372="","",IF(AE2372="직접",IFERROR(INDEX(계정매핑!$F$5:$F$504,MATCH($F2372&amp;"",계정매핑!$A$5:$A$504,0))&amp;"","비귀속"),""))</f>
        <v/>
      </c>
      <c r="AG2372" s="96">
        <f>IF($A2372="",0,IF(AND(AE2372&lt;&gt;"직접",IFERROR(INDEX(계정매핑!$G$5:$G$504,MATCH($F2372&amp;"",계정매핑!$A$5:$A$504,0))&amp;"","")="유지비",COUNTIF(계정대체기준!$A$6:$A$15,$N2372)&gt;0),IFERROR(INDEX(계정대체기준!$E$6:$E$15,MATCH(VALUE($A2372&amp;""),계정대체기준!$D$6:$D$15,0)),0),0))</f>
        <v/>
      </c>
      <c r="AH2372" s="64">
        <f>IF($A2372="","",IF(AD2372=0,"",IF(OR(COUNTIF(계정대체기준!$A$77:$A$86,$N2372)&gt;0,ISNUMBER(MATCH($X2372,계정대체기준!$D$77:$D$86,0)),ISNUMBER(MATCH($F2372,계정대체기준!$D$77:$D$86,0))),"Y","N")))</f>
        <v/>
      </c>
    </row>
    <row r="2373">
      <c r="A2373" s="92" t="n">
        <v>2025</v>
      </c>
      <c r="B2373" s="92" t="n">
        <v>11</v>
      </c>
      <c r="C2373" s="92" t="inlineStr">
        <is>
          <t>5100002369</t>
        </is>
      </c>
      <c r="D2373" s="95" t="n">
        <v>45975</v>
      </c>
      <c r="E2373" s="92" t="inlineStr">
        <is>
          <t>KR</t>
        </is>
      </c>
      <c r="F2373" s="92" t="n">
        <v>63501000</v>
      </c>
      <c r="G2373" s="92" t="n">
        <v>1901</v>
      </c>
      <c r="H2373" s="93" t="n">
        <v>574068000</v>
      </c>
      <c r="I2373" s="92" t="inlineStr">
        <is>
          <t>11월 모집수수료 - BB에셋</t>
        </is>
      </c>
      <c r="J2373" s="92" t="inlineStr">
        <is>
          <t>V10013</t>
        </is>
      </c>
      <c r="K2373" s="92" t="inlineStr">
        <is>
          <t>BB에셋</t>
        </is>
      </c>
      <c r="M2373" s="9">
        <f>IF($A2373="","",VALUE($A2373&amp;"")*12+VALUE($B2373&amp;""))</f>
        <v/>
      </c>
      <c r="N2373" s="64">
        <f>IF($A2373="","",IFERROR(INDEX(부서매핑!$C$5:$C$504,MATCH($G2373&amp;"",부서매핑!$A$5:$A$504,0)),"미매핑"))</f>
        <v/>
      </c>
      <c r="O2373" s="9">
        <f>IF($A2373="","",N2373&amp;"|"&amp;$F2373)</f>
        <v/>
      </c>
      <c r="P2373" s="94">
        <f>IF($A2373="",0,$H2373*설정!$C$23)</f>
        <v/>
      </c>
      <c r="Q2373" s="64">
        <f>IF($A2373="","",IF(O2373&lt;&gt;원인분석!$C$9,"",IF(AND(M2373&gt;=원인분석!$C$10,M2373&lt;=원인분석!$C$11),"당기",IF(AND(M2373&gt;=원인분석!$C$12,M2373&lt;=원인분석!$C$13),"비교",""))))</f>
        <v/>
      </c>
      <c r="R2373" s="9">
        <f>IF(Q2373="","",$K2373&amp;"")</f>
        <v/>
      </c>
      <c r="S2373" s="9">
        <f>IF(Q2373="","",IF(MATCH(R2373,$R$5:$R$100000,0)=ROW()-4,ROW(),""))</f>
        <v/>
      </c>
      <c r="T2373" s="9">
        <f>IF(Q2373="당기",ABS(P2373)+ROW()/1000000000,"")</f>
        <v/>
      </c>
      <c r="U2373" s="9">
        <f>IF(Q2373="비교",ABS(P2373)+ROW()/1000000000,"")</f>
        <v/>
      </c>
      <c r="V2373" s="64">
        <f>IF($A2373="","",IF(COUNTIF(변동분석!$E$7:$E$506,O2373)&gt;0,"Y","N"))</f>
        <v/>
      </c>
      <c r="W2373" s="64">
        <f>IF($A2373="","",IFERROR(INDEX(계정매핑!$D$5:$D$504,MATCH($F2373&amp;"",계정매핑!$A$5:$A$504,0)),"미매핑"))</f>
        <v/>
      </c>
      <c r="X2373" s="9">
        <f>IF($A2373="","",$F2373&amp;"")</f>
        <v/>
      </c>
      <c r="Y2373" s="94">
        <f>IF($A2373="",0,IF(AE2373="직접",IF(AF2373="비귀속",$P2373,0),$P2373*(1-AG2373)*IFERROR(INDEX(계정대체기준!$F$20:$F$49,MATCH($N2373,계정대체기준!$A$20:$A$49,0)),1)))</f>
        <v/>
      </c>
      <c r="Z2373" s="94">
        <f>IF($A2373="",0,IF(AE2373="직접",IF(AF2373="신계약비",$P2373,0),$P2373*(1-AG2373)*IFERROR(INDEX(계정대체기준!$C$20:$C$49,MATCH($N2373,계정대체기준!$A$20:$A$49,0)),0)))</f>
        <v/>
      </c>
      <c r="AA2373" s="94">
        <f>IF($A2373="",0,IF(AE2373="직접",IF(OR(AF2373="유지비",AF2373="손해조사비"),$P2373,0),$P2373*(1-AG2373)*IFERROR(INDEX(계정대체기준!$D$20:$D$49,MATCH($N2373,계정대체기준!$A$20:$A$49,0)),0)))</f>
        <v/>
      </c>
      <c r="AB2373" s="94">
        <f>IF($A2373="",0,IF(AE2373="직접",IF(AF2373="수금비",$P2373,0),$P2373*(1-AG2373)*IFERROR(INDEX(계정대체기준!$E$20:$E$49,MATCH($N2373,계정대체기준!$A$20:$A$49,0)),0)))</f>
        <v/>
      </c>
      <c r="AC2373" s="9">
        <f>IF(AND($A2373&lt;&gt;"",M2373=설정!$C$20,Z2373&gt;0),Z2373+ROW()/1000000000,"")</f>
        <v/>
      </c>
      <c r="AD2373" s="94">
        <f>IF($A2373="",0,$P2373*AG2373)</f>
        <v/>
      </c>
      <c r="AE2373" s="64">
        <f>IF($A2373="","",IFERROR(INDEX(계정매핑!$E$5:$E$504,MATCH($F2373&amp;"",계정매핑!$A$5:$A$504,0))&amp;"","공통비"))</f>
        <v/>
      </c>
      <c r="AF2373" s="64">
        <f>IF($A2373="","",IF(AE2373="직접",IFERROR(INDEX(계정매핑!$F$5:$F$504,MATCH($F2373&amp;"",계정매핑!$A$5:$A$504,0))&amp;"","비귀속"),""))</f>
        <v/>
      </c>
      <c r="AG2373" s="96">
        <f>IF($A2373="",0,IF(AND(AE2373&lt;&gt;"직접",IFERROR(INDEX(계정매핑!$G$5:$G$504,MATCH($F2373&amp;"",계정매핑!$A$5:$A$504,0))&amp;"","")="유지비",COUNTIF(계정대체기준!$A$6:$A$15,$N2373)&gt;0),IFERROR(INDEX(계정대체기준!$E$6:$E$15,MATCH(VALUE($A2373&amp;""),계정대체기준!$D$6:$D$15,0)),0),0))</f>
        <v/>
      </c>
      <c r="AH2373" s="64">
        <f>IF($A2373="","",IF(AD2373=0,"",IF(OR(COUNTIF(계정대체기준!$A$77:$A$86,$N2373)&gt;0,ISNUMBER(MATCH($X2373,계정대체기준!$D$77:$D$86,0)),ISNUMBER(MATCH($F2373,계정대체기준!$D$77:$D$86,0))),"Y","N")))</f>
        <v/>
      </c>
    </row>
    <row r="2374">
      <c r="A2374" s="92" t="n">
        <v>2025</v>
      </c>
      <c r="B2374" s="92" t="n">
        <v>11</v>
      </c>
      <c r="C2374" s="92" t="inlineStr">
        <is>
          <t>5100002370</t>
        </is>
      </c>
      <c r="D2374" s="95" t="n">
        <v>45975</v>
      </c>
      <c r="E2374" s="92" t="inlineStr">
        <is>
          <t>KR</t>
        </is>
      </c>
      <c r="F2374" s="92" t="n">
        <v>63601000</v>
      </c>
      <c r="G2374" s="92" t="n">
        <v>1801</v>
      </c>
      <c r="H2374" s="93" t="n">
        <v>9658000</v>
      </c>
      <c r="I2374" s="92" t="inlineStr">
        <is>
          <t>11월 손해사정 수수료 - DD손해사정</t>
        </is>
      </c>
      <c r="J2374" s="92" t="inlineStr">
        <is>
          <t>V10032</t>
        </is>
      </c>
      <c r="K2374" s="92" t="inlineStr">
        <is>
          <t>DD손해사정</t>
        </is>
      </c>
      <c r="M2374" s="9">
        <f>IF($A2374="","",VALUE($A2374&amp;"")*12+VALUE($B2374&amp;""))</f>
        <v/>
      </c>
      <c r="N2374" s="64">
        <f>IF($A2374="","",IFERROR(INDEX(부서매핑!$C$5:$C$504,MATCH($G2374&amp;"",부서매핑!$A$5:$A$504,0)),"미매핑"))</f>
        <v/>
      </c>
      <c r="O2374" s="9">
        <f>IF($A2374="","",N2374&amp;"|"&amp;$F2374)</f>
        <v/>
      </c>
      <c r="P2374" s="94">
        <f>IF($A2374="",0,$H2374*설정!$C$23)</f>
        <v/>
      </c>
      <c r="Q2374" s="64">
        <f>IF($A2374="","",IF(O2374&lt;&gt;원인분석!$C$9,"",IF(AND(M2374&gt;=원인분석!$C$10,M2374&lt;=원인분석!$C$11),"당기",IF(AND(M2374&gt;=원인분석!$C$12,M2374&lt;=원인분석!$C$13),"비교",""))))</f>
        <v/>
      </c>
      <c r="R2374" s="9">
        <f>IF(Q2374="","",$K2374&amp;"")</f>
        <v/>
      </c>
      <c r="S2374" s="9">
        <f>IF(Q2374="","",IF(MATCH(R2374,$R$5:$R$100000,0)=ROW()-4,ROW(),""))</f>
        <v/>
      </c>
      <c r="T2374" s="9">
        <f>IF(Q2374="당기",ABS(P2374)+ROW()/1000000000,"")</f>
        <v/>
      </c>
      <c r="U2374" s="9">
        <f>IF(Q2374="비교",ABS(P2374)+ROW()/1000000000,"")</f>
        <v/>
      </c>
      <c r="V2374" s="64">
        <f>IF($A2374="","",IF(COUNTIF(변동분석!$E$7:$E$506,O2374)&gt;0,"Y","N"))</f>
        <v/>
      </c>
      <c r="W2374" s="64">
        <f>IF($A2374="","",IFERROR(INDEX(계정매핑!$D$5:$D$504,MATCH($F2374&amp;"",계정매핑!$A$5:$A$504,0)),"미매핑"))</f>
        <v/>
      </c>
      <c r="X2374" s="9">
        <f>IF($A2374="","",$F2374&amp;"")</f>
        <v/>
      </c>
      <c r="Y2374" s="94">
        <f>IF($A2374="",0,IF(AE2374="직접",IF(AF2374="비귀속",$P2374,0),$P2374*(1-AG2374)*IFERROR(INDEX(계정대체기준!$F$20:$F$49,MATCH($N2374,계정대체기준!$A$20:$A$49,0)),1)))</f>
        <v/>
      </c>
      <c r="Z2374" s="94">
        <f>IF($A2374="",0,IF(AE2374="직접",IF(AF2374="신계약비",$P2374,0),$P2374*(1-AG2374)*IFERROR(INDEX(계정대체기준!$C$20:$C$49,MATCH($N2374,계정대체기준!$A$20:$A$49,0)),0)))</f>
        <v/>
      </c>
      <c r="AA2374" s="94">
        <f>IF($A2374="",0,IF(AE2374="직접",IF(OR(AF2374="유지비",AF2374="손해조사비"),$P2374,0),$P2374*(1-AG2374)*IFERROR(INDEX(계정대체기준!$D$20:$D$49,MATCH($N2374,계정대체기준!$A$20:$A$49,0)),0)))</f>
        <v/>
      </c>
      <c r="AB2374" s="94">
        <f>IF($A2374="",0,IF(AE2374="직접",IF(AF2374="수금비",$P2374,0),$P2374*(1-AG2374)*IFERROR(INDEX(계정대체기준!$E$20:$E$49,MATCH($N2374,계정대체기준!$A$20:$A$49,0)),0)))</f>
        <v/>
      </c>
      <c r="AC2374" s="9">
        <f>IF(AND($A2374&lt;&gt;"",M2374=설정!$C$20,Z2374&gt;0),Z2374+ROW()/1000000000,"")</f>
        <v/>
      </c>
      <c r="AD2374" s="94">
        <f>IF($A2374="",0,$P2374*AG2374)</f>
        <v/>
      </c>
      <c r="AE2374" s="64">
        <f>IF($A2374="","",IFERROR(INDEX(계정매핑!$E$5:$E$504,MATCH($F2374&amp;"",계정매핑!$A$5:$A$504,0))&amp;"","공통비"))</f>
        <v/>
      </c>
      <c r="AF2374" s="64">
        <f>IF($A2374="","",IF(AE2374="직접",IFERROR(INDEX(계정매핑!$F$5:$F$504,MATCH($F2374&amp;"",계정매핑!$A$5:$A$504,0))&amp;"","비귀속"),""))</f>
        <v/>
      </c>
      <c r="AG2374" s="96">
        <f>IF($A2374="",0,IF(AND(AE2374&lt;&gt;"직접",IFERROR(INDEX(계정매핑!$G$5:$G$504,MATCH($F2374&amp;"",계정매핑!$A$5:$A$504,0))&amp;"","")="유지비",COUNTIF(계정대체기준!$A$6:$A$15,$N2374)&gt;0),IFERROR(INDEX(계정대체기준!$E$6:$E$15,MATCH(VALUE($A2374&amp;""),계정대체기준!$D$6:$D$15,0)),0),0))</f>
        <v/>
      </c>
      <c r="AH2374" s="64">
        <f>IF($A2374="","",IF(AD2374=0,"",IF(OR(COUNTIF(계정대체기준!$A$77:$A$86,$N2374)&gt;0,ISNUMBER(MATCH($X2374,계정대체기준!$D$77:$D$86,0)),ISNUMBER(MATCH($F2374,계정대체기준!$D$77:$D$86,0))),"Y","N")))</f>
        <v/>
      </c>
    </row>
    <row r="2375">
      <c r="A2375" s="92" t="n">
        <v>2025</v>
      </c>
      <c r="B2375" s="92" t="n">
        <v>11</v>
      </c>
      <c r="C2375" s="92" t="inlineStr">
        <is>
          <t>5100002371</t>
        </is>
      </c>
      <c r="D2375" s="95" t="n">
        <v>45976</v>
      </c>
      <c r="E2375" s="92" t="inlineStr">
        <is>
          <t>KR</t>
        </is>
      </c>
      <c r="F2375" s="92" t="n">
        <v>62201000</v>
      </c>
      <c r="G2375" s="92" t="n">
        <v>1201</v>
      </c>
      <c r="H2375" s="93" t="n">
        <v>205000</v>
      </c>
      <c r="I2375" s="92" t="inlineStr">
        <is>
          <t>11월 통신요금 - O텔레콤</t>
        </is>
      </c>
      <c r="J2375" s="92" t="inlineStr">
        <is>
          <t>V10002</t>
        </is>
      </c>
      <c r="K2375" s="92" t="inlineStr">
        <is>
          <t>O텔레콤</t>
        </is>
      </c>
      <c r="M2375" s="9">
        <f>IF($A2375="","",VALUE($A2375&amp;"")*12+VALUE($B2375&amp;""))</f>
        <v/>
      </c>
      <c r="N2375" s="64">
        <f>IF($A2375="","",IFERROR(INDEX(부서매핑!$C$5:$C$504,MATCH($G2375&amp;"",부서매핑!$A$5:$A$504,0)),"미매핑"))</f>
        <v/>
      </c>
      <c r="O2375" s="9">
        <f>IF($A2375="","",N2375&amp;"|"&amp;$F2375)</f>
        <v/>
      </c>
      <c r="P2375" s="94">
        <f>IF($A2375="",0,$H2375*설정!$C$23)</f>
        <v/>
      </c>
      <c r="Q2375" s="64">
        <f>IF($A2375="","",IF(O2375&lt;&gt;원인분석!$C$9,"",IF(AND(M2375&gt;=원인분석!$C$10,M2375&lt;=원인분석!$C$11),"당기",IF(AND(M2375&gt;=원인분석!$C$12,M2375&lt;=원인분석!$C$13),"비교",""))))</f>
        <v/>
      </c>
      <c r="R2375" s="9">
        <f>IF(Q2375="","",$K2375&amp;"")</f>
        <v/>
      </c>
      <c r="S2375" s="9">
        <f>IF(Q2375="","",IF(MATCH(R2375,$R$5:$R$100000,0)=ROW()-4,ROW(),""))</f>
        <v/>
      </c>
      <c r="T2375" s="9">
        <f>IF(Q2375="당기",ABS(P2375)+ROW()/1000000000,"")</f>
        <v/>
      </c>
      <c r="U2375" s="9">
        <f>IF(Q2375="비교",ABS(P2375)+ROW()/1000000000,"")</f>
        <v/>
      </c>
      <c r="V2375" s="64">
        <f>IF($A2375="","",IF(COUNTIF(변동분석!$E$7:$E$506,O2375)&gt;0,"Y","N"))</f>
        <v/>
      </c>
      <c r="W2375" s="64">
        <f>IF($A2375="","",IFERROR(INDEX(계정매핑!$D$5:$D$504,MATCH($F2375&amp;"",계정매핑!$A$5:$A$504,0)),"미매핑"))</f>
        <v/>
      </c>
      <c r="X2375" s="9">
        <f>IF($A2375="","",$F2375&amp;"")</f>
        <v/>
      </c>
      <c r="Y2375" s="94">
        <f>IF($A2375="",0,IF(AE2375="직접",IF(AF2375="비귀속",$P2375,0),$P2375*(1-AG2375)*IFERROR(INDEX(계정대체기준!$F$20:$F$49,MATCH($N2375,계정대체기준!$A$20:$A$49,0)),1)))</f>
        <v/>
      </c>
      <c r="Z2375" s="94">
        <f>IF($A2375="",0,IF(AE2375="직접",IF(AF2375="신계약비",$P2375,0),$P2375*(1-AG2375)*IFERROR(INDEX(계정대체기준!$C$20:$C$49,MATCH($N2375,계정대체기준!$A$20:$A$49,0)),0)))</f>
        <v/>
      </c>
      <c r="AA2375" s="94">
        <f>IF($A2375="",0,IF(AE2375="직접",IF(OR(AF2375="유지비",AF2375="손해조사비"),$P2375,0),$P2375*(1-AG2375)*IFERROR(INDEX(계정대체기준!$D$20:$D$49,MATCH($N2375,계정대체기준!$A$20:$A$49,0)),0)))</f>
        <v/>
      </c>
      <c r="AB2375" s="94">
        <f>IF($A2375="",0,IF(AE2375="직접",IF(AF2375="수금비",$P2375,0),$P2375*(1-AG2375)*IFERROR(INDEX(계정대체기준!$E$20:$E$49,MATCH($N2375,계정대체기준!$A$20:$A$49,0)),0)))</f>
        <v/>
      </c>
      <c r="AC2375" s="9">
        <f>IF(AND($A2375&lt;&gt;"",M2375=설정!$C$20,Z2375&gt;0),Z2375+ROW()/1000000000,"")</f>
        <v/>
      </c>
      <c r="AD2375" s="94">
        <f>IF($A2375="",0,$P2375*AG2375)</f>
        <v/>
      </c>
      <c r="AE2375" s="64">
        <f>IF($A2375="","",IFERROR(INDEX(계정매핑!$E$5:$E$504,MATCH($F2375&amp;"",계정매핑!$A$5:$A$504,0))&amp;"","공통비"))</f>
        <v/>
      </c>
      <c r="AF2375" s="64">
        <f>IF($A2375="","",IF(AE2375="직접",IFERROR(INDEX(계정매핑!$F$5:$F$504,MATCH($F2375&amp;"",계정매핑!$A$5:$A$504,0))&amp;"","비귀속"),""))</f>
        <v/>
      </c>
      <c r="AG2375" s="96">
        <f>IF($A2375="",0,IF(AND(AE2375&lt;&gt;"직접",IFERROR(INDEX(계정매핑!$G$5:$G$504,MATCH($F2375&amp;"",계정매핑!$A$5:$A$504,0))&amp;"","")="유지비",COUNTIF(계정대체기준!$A$6:$A$15,$N2375)&gt;0),IFERROR(INDEX(계정대체기준!$E$6:$E$15,MATCH(VALUE($A2375&amp;""),계정대체기준!$D$6:$D$15,0)),0),0))</f>
        <v/>
      </c>
      <c r="AH2375" s="64">
        <f>IF($A2375="","",IF(AD2375=0,"",IF(OR(COUNTIF(계정대체기준!$A$77:$A$86,$N2375)&gt;0,ISNUMBER(MATCH($X2375,계정대체기준!$D$77:$D$86,0)),ISNUMBER(MATCH($F2375,계정대체기준!$D$77:$D$86,0))),"Y","N")))</f>
        <v/>
      </c>
    </row>
    <row r="2376">
      <c r="A2376" s="92" t="n">
        <v>2025</v>
      </c>
      <c r="B2376" s="92" t="n">
        <v>11</v>
      </c>
      <c r="C2376" s="92" t="inlineStr">
        <is>
          <t>5100002372</t>
        </is>
      </c>
      <c r="D2376" s="95" t="n">
        <v>45976</v>
      </c>
      <c r="E2376" s="92" t="inlineStr">
        <is>
          <t>KR</t>
        </is>
      </c>
      <c r="F2376" s="92" t="n">
        <v>62201000</v>
      </c>
      <c r="G2376" s="92" t="n">
        <v>1801</v>
      </c>
      <c r="H2376" s="93" t="n">
        <v>4008000</v>
      </c>
      <c r="I2376" s="92" t="inlineStr">
        <is>
          <t>11월 통신요금 - P통신</t>
        </is>
      </c>
      <c r="J2376" s="92" t="inlineStr">
        <is>
          <t>V10014</t>
        </is>
      </c>
      <c r="K2376" s="92" t="inlineStr">
        <is>
          <t>P통신</t>
        </is>
      </c>
      <c r="M2376" s="9">
        <f>IF($A2376="","",VALUE($A2376&amp;"")*12+VALUE($B2376&amp;""))</f>
        <v/>
      </c>
      <c r="N2376" s="64">
        <f>IF($A2376="","",IFERROR(INDEX(부서매핑!$C$5:$C$504,MATCH($G2376&amp;"",부서매핑!$A$5:$A$504,0)),"미매핑"))</f>
        <v/>
      </c>
      <c r="O2376" s="9">
        <f>IF($A2376="","",N2376&amp;"|"&amp;$F2376)</f>
        <v/>
      </c>
      <c r="P2376" s="94">
        <f>IF($A2376="",0,$H2376*설정!$C$23)</f>
        <v/>
      </c>
      <c r="Q2376" s="64">
        <f>IF($A2376="","",IF(O2376&lt;&gt;원인분석!$C$9,"",IF(AND(M2376&gt;=원인분석!$C$10,M2376&lt;=원인분석!$C$11),"당기",IF(AND(M2376&gt;=원인분석!$C$12,M2376&lt;=원인분석!$C$13),"비교",""))))</f>
        <v/>
      </c>
      <c r="R2376" s="9">
        <f>IF(Q2376="","",$K2376&amp;"")</f>
        <v/>
      </c>
      <c r="S2376" s="9">
        <f>IF(Q2376="","",IF(MATCH(R2376,$R$5:$R$100000,0)=ROW()-4,ROW(),""))</f>
        <v/>
      </c>
      <c r="T2376" s="9">
        <f>IF(Q2376="당기",ABS(P2376)+ROW()/1000000000,"")</f>
        <v/>
      </c>
      <c r="U2376" s="9">
        <f>IF(Q2376="비교",ABS(P2376)+ROW()/1000000000,"")</f>
        <v/>
      </c>
      <c r="V2376" s="64">
        <f>IF($A2376="","",IF(COUNTIF(변동분석!$E$7:$E$506,O2376)&gt;0,"Y","N"))</f>
        <v/>
      </c>
      <c r="W2376" s="64">
        <f>IF($A2376="","",IFERROR(INDEX(계정매핑!$D$5:$D$504,MATCH($F2376&amp;"",계정매핑!$A$5:$A$504,0)),"미매핑"))</f>
        <v/>
      </c>
      <c r="X2376" s="9">
        <f>IF($A2376="","",$F2376&amp;"")</f>
        <v/>
      </c>
      <c r="Y2376" s="94">
        <f>IF($A2376="",0,IF(AE2376="직접",IF(AF2376="비귀속",$P2376,0),$P2376*(1-AG2376)*IFERROR(INDEX(계정대체기준!$F$20:$F$49,MATCH($N2376,계정대체기준!$A$20:$A$49,0)),1)))</f>
        <v/>
      </c>
      <c r="Z2376" s="94">
        <f>IF($A2376="",0,IF(AE2376="직접",IF(AF2376="신계약비",$P2376,0),$P2376*(1-AG2376)*IFERROR(INDEX(계정대체기준!$C$20:$C$49,MATCH($N2376,계정대체기준!$A$20:$A$49,0)),0)))</f>
        <v/>
      </c>
      <c r="AA2376" s="94">
        <f>IF($A2376="",0,IF(AE2376="직접",IF(OR(AF2376="유지비",AF2376="손해조사비"),$P2376,0),$P2376*(1-AG2376)*IFERROR(INDEX(계정대체기준!$D$20:$D$49,MATCH($N2376,계정대체기준!$A$20:$A$49,0)),0)))</f>
        <v/>
      </c>
      <c r="AB2376" s="94">
        <f>IF($A2376="",0,IF(AE2376="직접",IF(AF2376="수금비",$P2376,0),$P2376*(1-AG2376)*IFERROR(INDEX(계정대체기준!$E$20:$E$49,MATCH($N2376,계정대체기준!$A$20:$A$49,0)),0)))</f>
        <v/>
      </c>
      <c r="AC2376" s="9">
        <f>IF(AND($A2376&lt;&gt;"",M2376=설정!$C$20,Z2376&gt;0),Z2376+ROW()/1000000000,"")</f>
        <v/>
      </c>
      <c r="AD2376" s="94">
        <f>IF($A2376="",0,$P2376*AG2376)</f>
        <v/>
      </c>
      <c r="AE2376" s="64">
        <f>IF($A2376="","",IFERROR(INDEX(계정매핑!$E$5:$E$504,MATCH($F2376&amp;"",계정매핑!$A$5:$A$504,0))&amp;"","공통비"))</f>
        <v/>
      </c>
      <c r="AF2376" s="64">
        <f>IF($A2376="","",IF(AE2376="직접",IFERROR(INDEX(계정매핑!$F$5:$F$504,MATCH($F2376&amp;"",계정매핑!$A$5:$A$504,0))&amp;"","비귀속"),""))</f>
        <v/>
      </c>
      <c r="AG2376" s="96">
        <f>IF($A2376="",0,IF(AND(AE2376&lt;&gt;"직접",IFERROR(INDEX(계정매핑!$G$5:$G$504,MATCH($F2376&amp;"",계정매핑!$A$5:$A$504,0))&amp;"","")="유지비",COUNTIF(계정대체기준!$A$6:$A$15,$N2376)&gt;0),IFERROR(INDEX(계정대체기준!$E$6:$E$15,MATCH(VALUE($A2376&amp;""),계정대체기준!$D$6:$D$15,0)),0),0))</f>
        <v/>
      </c>
      <c r="AH2376" s="64">
        <f>IF($A2376="","",IF(AD2376=0,"",IF(OR(COUNTIF(계정대체기준!$A$77:$A$86,$N2376)&gt;0,ISNUMBER(MATCH($X2376,계정대체기준!$D$77:$D$86,0)),ISNUMBER(MATCH($F2376,계정대체기준!$D$77:$D$86,0))),"Y","N")))</f>
        <v/>
      </c>
    </row>
    <row r="2377">
      <c r="A2377" s="92" t="n">
        <v>2025</v>
      </c>
      <c r="B2377" s="92" t="n">
        <v>11</v>
      </c>
      <c r="C2377" s="92" t="inlineStr">
        <is>
          <t>5100002373</t>
        </is>
      </c>
      <c r="D2377" s="95" t="n">
        <v>45976</v>
      </c>
      <c r="E2377" s="92" t="inlineStr">
        <is>
          <t>KR</t>
        </is>
      </c>
      <c r="F2377" s="92" t="n">
        <v>62201000</v>
      </c>
      <c r="G2377" s="92" t="n">
        <v>1951</v>
      </c>
      <c r="H2377" s="93" t="n">
        <v>351000</v>
      </c>
      <c r="I2377" s="92" t="inlineStr">
        <is>
          <t>11월 통신요금 - O텔레콤</t>
        </is>
      </c>
      <c r="J2377" s="92" t="inlineStr">
        <is>
          <t>V10002</t>
        </is>
      </c>
      <c r="K2377" s="92" t="inlineStr">
        <is>
          <t>O텔레콤</t>
        </is>
      </c>
      <c r="M2377" s="9">
        <f>IF($A2377="","",VALUE($A2377&amp;"")*12+VALUE($B2377&amp;""))</f>
        <v/>
      </c>
      <c r="N2377" s="64">
        <f>IF($A2377="","",IFERROR(INDEX(부서매핑!$C$5:$C$504,MATCH($G2377&amp;"",부서매핑!$A$5:$A$504,0)),"미매핑"))</f>
        <v/>
      </c>
      <c r="O2377" s="9">
        <f>IF($A2377="","",N2377&amp;"|"&amp;$F2377)</f>
        <v/>
      </c>
      <c r="P2377" s="94">
        <f>IF($A2377="",0,$H2377*설정!$C$23)</f>
        <v/>
      </c>
      <c r="Q2377" s="64">
        <f>IF($A2377="","",IF(O2377&lt;&gt;원인분석!$C$9,"",IF(AND(M2377&gt;=원인분석!$C$10,M2377&lt;=원인분석!$C$11),"당기",IF(AND(M2377&gt;=원인분석!$C$12,M2377&lt;=원인분석!$C$13),"비교",""))))</f>
        <v/>
      </c>
      <c r="R2377" s="9">
        <f>IF(Q2377="","",$K2377&amp;"")</f>
        <v/>
      </c>
      <c r="S2377" s="9">
        <f>IF(Q2377="","",IF(MATCH(R2377,$R$5:$R$100000,0)=ROW()-4,ROW(),""))</f>
        <v/>
      </c>
      <c r="T2377" s="9">
        <f>IF(Q2377="당기",ABS(P2377)+ROW()/1000000000,"")</f>
        <v/>
      </c>
      <c r="U2377" s="9">
        <f>IF(Q2377="비교",ABS(P2377)+ROW()/1000000000,"")</f>
        <v/>
      </c>
      <c r="V2377" s="64">
        <f>IF($A2377="","",IF(COUNTIF(변동분석!$E$7:$E$506,O2377)&gt;0,"Y","N"))</f>
        <v/>
      </c>
      <c r="W2377" s="64">
        <f>IF($A2377="","",IFERROR(INDEX(계정매핑!$D$5:$D$504,MATCH($F2377&amp;"",계정매핑!$A$5:$A$504,0)),"미매핑"))</f>
        <v/>
      </c>
      <c r="X2377" s="9">
        <f>IF($A2377="","",$F2377&amp;"")</f>
        <v/>
      </c>
      <c r="Y2377" s="94">
        <f>IF($A2377="",0,IF(AE2377="직접",IF(AF2377="비귀속",$P2377,0),$P2377*(1-AG2377)*IFERROR(INDEX(계정대체기준!$F$20:$F$49,MATCH($N2377,계정대체기준!$A$20:$A$49,0)),1)))</f>
        <v/>
      </c>
      <c r="Z2377" s="94">
        <f>IF($A2377="",0,IF(AE2377="직접",IF(AF2377="신계약비",$P2377,0),$P2377*(1-AG2377)*IFERROR(INDEX(계정대체기준!$C$20:$C$49,MATCH($N2377,계정대체기준!$A$20:$A$49,0)),0)))</f>
        <v/>
      </c>
      <c r="AA2377" s="94">
        <f>IF($A2377="",0,IF(AE2377="직접",IF(OR(AF2377="유지비",AF2377="손해조사비"),$P2377,0),$P2377*(1-AG2377)*IFERROR(INDEX(계정대체기준!$D$20:$D$49,MATCH($N2377,계정대체기준!$A$20:$A$49,0)),0)))</f>
        <v/>
      </c>
      <c r="AB2377" s="94">
        <f>IF($A2377="",0,IF(AE2377="직접",IF(AF2377="수금비",$P2377,0),$P2377*(1-AG2377)*IFERROR(INDEX(계정대체기준!$E$20:$E$49,MATCH($N2377,계정대체기준!$A$20:$A$49,0)),0)))</f>
        <v/>
      </c>
      <c r="AC2377" s="9">
        <f>IF(AND($A2377&lt;&gt;"",M2377=설정!$C$20,Z2377&gt;0),Z2377+ROW()/1000000000,"")</f>
        <v/>
      </c>
      <c r="AD2377" s="94">
        <f>IF($A2377="",0,$P2377*AG2377)</f>
        <v/>
      </c>
      <c r="AE2377" s="64">
        <f>IF($A2377="","",IFERROR(INDEX(계정매핑!$E$5:$E$504,MATCH($F2377&amp;"",계정매핑!$A$5:$A$504,0))&amp;"","공통비"))</f>
        <v/>
      </c>
      <c r="AF2377" s="64">
        <f>IF($A2377="","",IF(AE2377="직접",IFERROR(INDEX(계정매핑!$F$5:$F$504,MATCH($F2377&amp;"",계정매핑!$A$5:$A$504,0))&amp;"","비귀속"),""))</f>
        <v/>
      </c>
      <c r="AG2377" s="96">
        <f>IF($A2377="",0,IF(AND(AE2377&lt;&gt;"직접",IFERROR(INDEX(계정매핑!$G$5:$G$504,MATCH($F2377&amp;"",계정매핑!$A$5:$A$504,0))&amp;"","")="유지비",COUNTIF(계정대체기준!$A$6:$A$15,$N2377)&gt;0),IFERROR(INDEX(계정대체기준!$E$6:$E$15,MATCH(VALUE($A2377&amp;""),계정대체기준!$D$6:$D$15,0)),0),0))</f>
        <v/>
      </c>
      <c r="AH2377" s="64">
        <f>IF($A2377="","",IF(AD2377=0,"",IF(OR(COUNTIF(계정대체기준!$A$77:$A$86,$N2377)&gt;0,ISNUMBER(MATCH($X2377,계정대체기준!$D$77:$D$86,0)),ISNUMBER(MATCH($F2377,계정대체기준!$D$77:$D$86,0))),"Y","N")))</f>
        <v/>
      </c>
    </row>
    <row r="2378">
      <c r="A2378" s="92" t="n">
        <v>2025</v>
      </c>
      <c r="B2378" s="92" t="n">
        <v>11</v>
      </c>
      <c r="C2378" s="92" t="inlineStr">
        <is>
          <t>5100002374</t>
        </is>
      </c>
      <c r="D2378" s="95" t="n">
        <v>45976</v>
      </c>
      <c r="E2378" s="92" t="inlineStr">
        <is>
          <t>KR</t>
        </is>
      </c>
      <c r="F2378" s="92" t="n">
        <v>62301000</v>
      </c>
      <c r="G2378" s="92" t="n">
        <v>1602</v>
      </c>
      <c r="H2378" s="93" t="n">
        <v>361000</v>
      </c>
      <c r="I2378" s="92" t="inlineStr">
        <is>
          <t>11월 소모품 구입 - Q오피스</t>
        </is>
      </c>
      <c r="J2378" s="92" t="inlineStr">
        <is>
          <t>V10003</t>
        </is>
      </c>
      <c r="K2378" s="92" t="inlineStr">
        <is>
          <t>Q오피스</t>
        </is>
      </c>
      <c r="M2378" s="9">
        <f>IF($A2378="","",VALUE($A2378&amp;"")*12+VALUE($B2378&amp;""))</f>
        <v/>
      </c>
      <c r="N2378" s="64">
        <f>IF($A2378="","",IFERROR(INDEX(부서매핑!$C$5:$C$504,MATCH($G2378&amp;"",부서매핑!$A$5:$A$504,0)),"미매핑"))</f>
        <v/>
      </c>
      <c r="O2378" s="9">
        <f>IF($A2378="","",N2378&amp;"|"&amp;$F2378)</f>
        <v/>
      </c>
      <c r="P2378" s="94">
        <f>IF($A2378="",0,$H2378*설정!$C$23)</f>
        <v/>
      </c>
      <c r="Q2378" s="64">
        <f>IF($A2378="","",IF(O2378&lt;&gt;원인분석!$C$9,"",IF(AND(M2378&gt;=원인분석!$C$10,M2378&lt;=원인분석!$C$11),"당기",IF(AND(M2378&gt;=원인분석!$C$12,M2378&lt;=원인분석!$C$13),"비교",""))))</f>
        <v/>
      </c>
      <c r="R2378" s="9">
        <f>IF(Q2378="","",$K2378&amp;"")</f>
        <v/>
      </c>
      <c r="S2378" s="9">
        <f>IF(Q2378="","",IF(MATCH(R2378,$R$5:$R$100000,0)=ROW()-4,ROW(),""))</f>
        <v/>
      </c>
      <c r="T2378" s="9">
        <f>IF(Q2378="당기",ABS(P2378)+ROW()/1000000000,"")</f>
        <v/>
      </c>
      <c r="U2378" s="9">
        <f>IF(Q2378="비교",ABS(P2378)+ROW()/1000000000,"")</f>
        <v/>
      </c>
      <c r="V2378" s="64">
        <f>IF($A2378="","",IF(COUNTIF(변동분석!$E$7:$E$506,O2378)&gt;0,"Y","N"))</f>
        <v/>
      </c>
      <c r="W2378" s="64">
        <f>IF($A2378="","",IFERROR(INDEX(계정매핑!$D$5:$D$504,MATCH($F2378&amp;"",계정매핑!$A$5:$A$504,0)),"미매핑"))</f>
        <v/>
      </c>
      <c r="X2378" s="9">
        <f>IF($A2378="","",$F2378&amp;"")</f>
        <v/>
      </c>
      <c r="Y2378" s="94">
        <f>IF($A2378="",0,IF(AE2378="직접",IF(AF2378="비귀속",$P2378,0),$P2378*(1-AG2378)*IFERROR(INDEX(계정대체기준!$F$20:$F$49,MATCH($N2378,계정대체기준!$A$20:$A$49,0)),1)))</f>
        <v/>
      </c>
      <c r="Z2378" s="94">
        <f>IF($A2378="",0,IF(AE2378="직접",IF(AF2378="신계약비",$P2378,0),$P2378*(1-AG2378)*IFERROR(INDEX(계정대체기준!$C$20:$C$49,MATCH($N2378,계정대체기준!$A$20:$A$49,0)),0)))</f>
        <v/>
      </c>
      <c r="AA2378" s="94">
        <f>IF($A2378="",0,IF(AE2378="직접",IF(OR(AF2378="유지비",AF2378="손해조사비"),$P2378,0),$P2378*(1-AG2378)*IFERROR(INDEX(계정대체기준!$D$20:$D$49,MATCH($N2378,계정대체기준!$A$20:$A$49,0)),0)))</f>
        <v/>
      </c>
      <c r="AB2378" s="94">
        <f>IF($A2378="",0,IF(AE2378="직접",IF(AF2378="수금비",$P2378,0),$P2378*(1-AG2378)*IFERROR(INDEX(계정대체기준!$E$20:$E$49,MATCH($N2378,계정대체기준!$A$20:$A$49,0)),0)))</f>
        <v/>
      </c>
      <c r="AC2378" s="9">
        <f>IF(AND($A2378&lt;&gt;"",M2378=설정!$C$20,Z2378&gt;0),Z2378+ROW()/1000000000,"")</f>
        <v/>
      </c>
      <c r="AD2378" s="94">
        <f>IF($A2378="",0,$P2378*AG2378)</f>
        <v/>
      </c>
      <c r="AE2378" s="64">
        <f>IF($A2378="","",IFERROR(INDEX(계정매핑!$E$5:$E$504,MATCH($F2378&amp;"",계정매핑!$A$5:$A$504,0))&amp;"","공통비"))</f>
        <v/>
      </c>
      <c r="AF2378" s="64">
        <f>IF($A2378="","",IF(AE2378="직접",IFERROR(INDEX(계정매핑!$F$5:$F$504,MATCH($F2378&amp;"",계정매핑!$A$5:$A$504,0))&amp;"","비귀속"),""))</f>
        <v/>
      </c>
      <c r="AG2378" s="96">
        <f>IF($A2378="",0,IF(AND(AE2378&lt;&gt;"직접",IFERROR(INDEX(계정매핑!$G$5:$G$504,MATCH($F2378&amp;"",계정매핑!$A$5:$A$504,0))&amp;"","")="유지비",COUNTIF(계정대체기준!$A$6:$A$15,$N2378)&gt;0),IFERROR(INDEX(계정대체기준!$E$6:$E$15,MATCH(VALUE($A2378&amp;""),계정대체기준!$D$6:$D$15,0)),0),0))</f>
        <v/>
      </c>
      <c r="AH2378" s="64">
        <f>IF($A2378="","",IF(AD2378=0,"",IF(OR(COUNTIF(계정대체기준!$A$77:$A$86,$N2378)&gt;0,ISNUMBER(MATCH($X2378,계정대체기준!$D$77:$D$86,0)),ISNUMBER(MATCH($F2378,계정대체기준!$D$77:$D$86,0))),"Y","N")))</f>
        <v/>
      </c>
    </row>
    <row r="2379">
      <c r="A2379" s="92" t="n">
        <v>2025</v>
      </c>
      <c r="B2379" s="92" t="n">
        <v>11</v>
      </c>
      <c r="C2379" s="92" t="inlineStr">
        <is>
          <t>5100002375</t>
        </is>
      </c>
      <c r="D2379" s="95" t="n">
        <v>45976</v>
      </c>
      <c r="E2379" s="92" t="inlineStr">
        <is>
          <t>KR</t>
        </is>
      </c>
      <c r="F2379" s="92" t="n">
        <v>62501000</v>
      </c>
      <c r="G2379" s="92" t="n">
        <v>1601</v>
      </c>
      <c r="H2379" s="93" t="n">
        <v>342000</v>
      </c>
      <c r="I2379" s="92" t="inlineStr">
        <is>
          <t>11월 회의 다과 - T케이터링</t>
        </is>
      </c>
      <c r="J2379" s="92" t="inlineStr">
        <is>
          <t>V10005</t>
        </is>
      </c>
      <c r="K2379" s="92" t="inlineStr">
        <is>
          <t>T케이터링</t>
        </is>
      </c>
      <c r="M2379" s="9">
        <f>IF($A2379="","",VALUE($A2379&amp;"")*12+VALUE($B2379&amp;""))</f>
        <v/>
      </c>
      <c r="N2379" s="64">
        <f>IF($A2379="","",IFERROR(INDEX(부서매핑!$C$5:$C$504,MATCH($G2379&amp;"",부서매핑!$A$5:$A$504,0)),"미매핑"))</f>
        <v/>
      </c>
      <c r="O2379" s="9">
        <f>IF($A2379="","",N2379&amp;"|"&amp;$F2379)</f>
        <v/>
      </c>
      <c r="P2379" s="94">
        <f>IF($A2379="",0,$H2379*설정!$C$23)</f>
        <v/>
      </c>
      <c r="Q2379" s="64">
        <f>IF($A2379="","",IF(O2379&lt;&gt;원인분석!$C$9,"",IF(AND(M2379&gt;=원인분석!$C$10,M2379&lt;=원인분석!$C$11),"당기",IF(AND(M2379&gt;=원인분석!$C$12,M2379&lt;=원인분석!$C$13),"비교",""))))</f>
        <v/>
      </c>
      <c r="R2379" s="9">
        <f>IF(Q2379="","",$K2379&amp;"")</f>
        <v/>
      </c>
      <c r="S2379" s="9">
        <f>IF(Q2379="","",IF(MATCH(R2379,$R$5:$R$100000,0)=ROW()-4,ROW(),""))</f>
        <v/>
      </c>
      <c r="T2379" s="9">
        <f>IF(Q2379="당기",ABS(P2379)+ROW()/1000000000,"")</f>
        <v/>
      </c>
      <c r="U2379" s="9">
        <f>IF(Q2379="비교",ABS(P2379)+ROW()/1000000000,"")</f>
        <v/>
      </c>
      <c r="V2379" s="64">
        <f>IF($A2379="","",IF(COUNTIF(변동분석!$E$7:$E$506,O2379)&gt;0,"Y","N"))</f>
        <v/>
      </c>
      <c r="W2379" s="64">
        <f>IF($A2379="","",IFERROR(INDEX(계정매핑!$D$5:$D$504,MATCH($F2379&amp;"",계정매핑!$A$5:$A$504,0)),"미매핑"))</f>
        <v/>
      </c>
      <c r="X2379" s="9">
        <f>IF($A2379="","",$F2379&amp;"")</f>
        <v/>
      </c>
      <c r="Y2379" s="94">
        <f>IF($A2379="",0,IF(AE2379="직접",IF(AF2379="비귀속",$P2379,0),$P2379*(1-AG2379)*IFERROR(INDEX(계정대체기준!$F$20:$F$49,MATCH($N2379,계정대체기준!$A$20:$A$49,0)),1)))</f>
        <v/>
      </c>
      <c r="Z2379" s="94">
        <f>IF($A2379="",0,IF(AE2379="직접",IF(AF2379="신계약비",$P2379,0),$P2379*(1-AG2379)*IFERROR(INDEX(계정대체기준!$C$20:$C$49,MATCH($N2379,계정대체기준!$A$20:$A$49,0)),0)))</f>
        <v/>
      </c>
      <c r="AA2379" s="94">
        <f>IF($A2379="",0,IF(AE2379="직접",IF(OR(AF2379="유지비",AF2379="손해조사비"),$P2379,0),$P2379*(1-AG2379)*IFERROR(INDEX(계정대체기준!$D$20:$D$49,MATCH($N2379,계정대체기준!$A$20:$A$49,0)),0)))</f>
        <v/>
      </c>
      <c r="AB2379" s="94">
        <f>IF($A2379="",0,IF(AE2379="직접",IF(AF2379="수금비",$P2379,0),$P2379*(1-AG2379)*IFERROR(INDEX(계정대체기준!$E$20:$E$49,MATCH($N2379,계정대체기준!$A$20:$A$49,0)),0)))</f>
        <v/>
      </c>
      <c r="AC2379" s="9">
        <f>IF(AND($A2379&lt;&gt;"",M2379=설정!$C$20,Z2379&gt;0),Z2379+ROW()/1000000000,"")</f>
        <v/>
      </c>
      <c r="AD2379" s="94">
        <f>IF($A2379="",0,$P2379*AG2379)</f>
        <v/>
      </c>
      <c r="AE2379" s="64">
        <f>IF($A2379="","",IFERROR(INDEX(계정매핑!$E$5:$E$504,MATCH($F2379&amp;"",계정매핑!$A$5:$A$504,0))&amp;"","공통비"))</f>
        <v/>
      </c>
      <c r="AF2379" s="64">
        <f>IF($A2379="","",IF(AE2379="직접",IFERROR(INDEX(계정매핑!$F$5:$F$504,MATCH($F2379&amp;"",계정매핑!$A$5:$A$504,0))&amp;"","비귀속"),""))</f>
        <v/>
      </c>
      <c r="AG2379" s="96">
        <f>IF($A2379="",0,IF(AND(AE2379&lt;&gt;"직접",IFERROR(INDEX(계정매핑!$G$5:$G$504,MATCH($F2379&amp;"",계정매핑!$A$5:$A$504,0))&amp;"","")="유지비",COUNTIF(계정대체기준!$A$6:$A$15,$N2379)&gt;0),IFERROR(INDEX(계정대체기준!$E$6:$E$15,MATCH(VALUE($A2379&amp;""),계정대체기준!$D$6:$D$15,0)),0),0))</f>
        <v/>
      </c>
      <c r="AH2379" s="64">
        <f>IF($A2379="","",IF(AD2379=0,"",IF(OR(COUNTIF(계정대체기준!$A$77:$A$86,$N2379)&gt;0,ISNUMBER(MATCH($X2379,계정대체기준!$D$77:$D$86,0)),ISNUMBER(MATCH($F2379,계정대체기준!$D$77:$D$86,0))),"Y","N")))</f>
        <v/>
      </c>
    </row>
    <row r="2380">
      <c r="A2380" s="92" t="n">
        <v>2025</v>
      </c>
      <c r="B2380" s="92" t="n">
        <v>11</v>
      </c>
      <c r="C2380" s="92" t="inlineStr">
        <is>
          <t>5100002376</t>
        </is>
      </c>
      <c r="D2380" s="95" t="n">
        <v>45976</v>
      </c>
      <c r="E2380" s="92" t="inlineStr">
        <is>
          <t>KR</t>
        </is>
      </c>
      <c r="F2380" s="92" t="n">
        <v>62801000</v>
      </c>
      <c r="G2380" s="92" t="n">
        <v>1301</v>
      </c>
      <c r="H2380" s="93" t="n">
        <v>4415000</v>
      </c>
      <c r="I2380" s="92" t="inlineStr">
        <is>
          <t>11월 사내교육 - U에듀</t>
        </is>
      </c>
      <c r="J2380" s="92" t="inlineStr">
        <is>
          <t>V10031</t>
        </is>
      </c>
      <c r="K2380" s="92" t="inlineStr">
        <is>
          <t>U에듀</t>
        </is>
      </c>
      <c r="M2380" s="9">
        <f>IF($A2380="","",VALUE($A2380&amp;"")*12+VALUE($B2380&amp;""))</f>
        <v/>
      </c>
      <c r="N2380" s="64">
        <f>IF($A2380="","",IFERROR(INDEX(부서매핑!$C$5:$C$504,MATCH($G2380&amp;"",부서매핑!$A$5:$A$504,0)),"미매핑"))</f>
        <v/>
      </c>
      <c r="O2380" s="9">
        <f>IF($A2380="","",N2380&amp;"|"&amp;$F2380)</f>
        <v/>
      </c>
      <c r="P2380" s="94">
        <f>IF($A2380="",0,$H2380*설정!$C$23)</f>
        <v/>
      </c>
      <c r="Q2380" s="64">
        <f>IF($A2380="","",IF(O2380&lt;&gt;원인분석!$C$9,"",IF(AND(M2380&gt;=원인분석!$C$10,M2380&lt;=원인분석!$C$11),"당기",IF(AND(M2380&gt;=원인분석!$C$12,M2380&lt;=원인분석!$C$13),"비교",""))))</f>
        <v/>
      </c>
      <c r="R2380" s="9">
        <f>IF(Q2380="","",$K2380&amp;"")</f>
        <v/>
      </c>
      <c r="S2380" s="9">
        <f>IF(Q2380="","",IF(MATCH(R2380,$R$5:$R$100000,0)=ROW()-4,ROW(),""))</f>
        <v/>
      </c>
      <c r="T2380" s="9">
        <f>IF(Q2380="당기",ABS(P2380)+ROW()/1000000000,"")</f>
        <v/>
      </c>
      <c r="U2380" s="9">
        <f>IF(Q2380="비교",ABS(P2380)+ROW()/1000000000,"")</f>
        <v/>
      </c>
      <c r="V2380" s="64">
        <f>IF($A2380="","",IF(COUNTIF(변동분석!$E$7:$E$506,O2380)&gt;0,"Y","N"))</f>
        <v/>
      </c>
      <c r="W2380" s="64">
        <f>IF($A2380="","",IFERROR(INDEX(계정매핑!$D$5:$D$504,MATCH($F2380&amp;"",계정매핑!$A$5:$A$504,0)),"미매핑"))</f>
        <v/>
      </c>
      <c r="X2380" s="9">
        <f>IF($A2380="","",$F2380&amp;"")</f>
        <v/>
      </c>
      <c r="Y2380" s="94">
        <f>IF($A2380="",0,IF(AE2380="직접",IF(AF2380="비귀속",$P2380,0),$P2380*(1-AG2380)*IFERROR(INDEX(계정대체기준!$F$20:$F$49,MATCH($N2380,계정대체기준!$A$20:$A$49,0)),1)))</f>
        <v/>
      </c>
      <c r="Z2380" s="94">
        <f>IF($A2380="",0,IF(AE2380="직접",IF(AF2380="신계약비",$P2380,0),$P2380*(1-AG2380)*IFERROR(INDEX(계정대체기준!$C$20:$C$49,MATCH($N2380,계정대체기준!$A$20:$A$49,0)),0)))</f>
        <v/>
      </c>
      <c r="AA2380" s="94">
        <f>IF($A2380="",0,IF(AE2380="직접",IF(OR(AF2380="유지비",AF2380="손해조사비"),$P2380,0),$P2380*(1-AG2380)*IFERROR(INDEX(계정대체기준!$D$20:$D$49,MATCH($N2380,계정대체기준!$A$20:$A$49,0)),0)))</f>
        <v/>
      </c>
      <c r="AB2380" s="94">
        <f>IF($A2380="",0,IF(AE2380="직접",IF(AF2380="수금비",$P2380,0),$P2380*(1-AG2380)*IFERROR(INDEX(계정대체기준!$E$20:$E$49,MATCH($N2380,계정대체기준!$A$20:$A$49,0)),0)))</f>
        <v/>
      </c>
      <c r="AC2380" s="9">
        <f>IF(AND($A2380&lt;&gt;"",M2380=설정!$C$20,Z2380&gt;0),Z2380+ROW()/1000000000,"")</f>
        <v/>
      </c>
      <c r="AD2380" s="94">
        <f>IF($A2380="",0,$P2380*AG2380)</f>
        <v/>
      </c>
      <c r="AE2380" s="64">
        <f>IF($A2380="","",IFERROR(INDEX(계정매핑!$E$5:$E$504,MATCH($F2380&amp;"",계정매핑!$A$5:$A$504,0))&amp;"","공통비"))</f>
        <v/>
      </c>
      <c r="AF2380" s="64">
        <f>IF($A2380="","",IF(AE2380="직접",IFERROR(INDEX(계정매핑!$F$5:$F$504,MATCH($F2380&amp;"",계정매핑!$A$5:$A$504,0))&amp;"","비귀속"),""))</f>
        <v/>
      </c>
      <c r="AG2380" s="96">
        <f>IF($A2380="",0,IF(AND(AE2380&lt;&gt;"직접",IFERROR(INDEX(계정매핑!$G$5:$G$504,MATCH($F2380&amp;"",계정매핑!$A$5:$A$504,0))&amp;"","")="유지비",COUNTIF(계정대체기준!$A$6:$A$15,$N2380)&gt;0),IFERROR(INDEX(계정대체기준!$E$6:$E$15,MATCH(VALUE($A2380&amp;""),계정대체기준!$D$6:$D$15,0)),0),0))</f>
        <v/>
      </c>
      <c r="AH2380" s="64">
        <f>IF($A2380="","",IF(AD2380=0,"",IF(OR(COUNTIF(계정대체기준!$A$77:$A$86,$N2380)&gt;0,ISNUMBER(MATCH($X2380,계정대체기준!$D$77:$D$86,0)),ISNUMBER(MATCH($F2380,계정대체기준!$D$77:$D$86,0))),"Y","N")))</f>
        <v/>
      </c>
    </row>
    <row r="2381">
      <c r="A2381" s="92" t="n">
        <v>2025</v>
      </c>
      <c r="B2381" s="92" t="n">
        <v>11</v>
      </c>
      <c r="C2381" s="92" t="inlineStr">
        <is>
          <t>5100002377</t>
        </is>
      </c>
      <c r="D2381" s="95" t="n">
        <v>45976</v>
      </c>
      <c r="E2381" s="92" t="inlineStr">
        <is>
          <t>KR</t>
        </is>
      </c>
      <c r="F2381" s="92" t="n">
        <v>62901000</v>
      </c>
      <c r="G2381" s="92" t="n">
        <v>1801</v>
      </c>
      <c r="H2381" s="93" t="n">
        <v>7496000</v>
      </c>
      <c r="I2381" s="92" t="inlineStr">
        <is>
          <t>11월 자문 수수료 - W컨설팅</t>
        </is>
      </c>
      <c r="J2381" s="92" t="inlineStr">
        <is>
          <t>V10006</t>
        </is>
      </c>
      <c r="K2381" s="92" t="inlineStr">
        <is>
          <t>W컨설팅</t>
        </is>
      </c>
      <c r="M2381" s="9">
        <f>IF($A2381="","",VALUE($A2381&amp;"")*12+VALUE($B2381&amp;""))</f>
        <v/>
      </c>
      <c r="N2381" s="64">
        <f>IF($A2381="","",IFERROR(INDEX(부서매핑!$C$5:$C$504,MATCH($G2381&amp;"",부서매핑!$A$5:$A$504,0)),"미매핑"))</f>
        <v/>
      </c>
      <c r="O2381" s="9">
        <f>IF($A2381="","",N2381&amp;"|"&amp;$F2381)</f>
        <v/>
      </c>
      <c r="P2381" s="94">
        <f>IF($A2381="",0,$H2381*설정!$C$23)</f>
        <v/>
      </c>
      <c r="Q2381" s="64">
        <f>IF($A2381="","",IF(O2381&lt;&gt;원인분석!$C$9,"",IF(AND(M2381&gt;=원인분석!$C$10,M2381&lt;=원인분석!$C$11),"당기",IF(AND(M2381&gt;=원인분석!$C$12,M2381&lt;=원인분석!$C$13),"비교",""))))</f>
        <v/>
      </c>
      <c r="R2381" s="9">
        <f>IF(Q2381="","",$K2381&amp;"")</f>
        <v/>
      </c>
      <c r="S2381" s="9">
        <f>IF(Q2381="","",IF(MATCH(R2381,$R$5:$R$100000,0)=ROW()-4,ROW(),""))</f>
        <v/>
      </c>
      <c r="T2381" s="9">
        <f>IF(Q2381="당기",ABS(P2381)+ROW()/1000000000,"")</f>
        <v/>
      </c>
      <c r="U2381" s="9">
        <f>IF(Q2381="비교",ABS(P2381)+ROW()/1000000000,"")</f>
        <v/>
      </c>
      <c r="V2381" s="64">
        <f>IF($A2381="","",IF(COUNTIF(변동분석!$E$7:$E$506,O2381)&gt;0,"Y","N"))</f>
        <v/>
      </c>
      <c r="W2381" s="64">
        <f>IF($A2381="","",IFERROR(INDEX(계정매핑!$D$5:$D$504,MATCH($F2381&amp;"",계정매핑!$A$5:$A$504,0)),"미매핑"))</f>
        <v/>
      </c>
      <c r="X2381" s="9">
        <f>IF($A2381="","",$F2381&amp;"")</f>
        <v/>
      </c>
      <c r="Y2381" s="94">
        <f>IF($A2381="",0,IF(AE2381="직접",IF(AF2381="비귀속",$P2381,0),$P2381*(1-AG2381)*IFERROR(INDEX(계정대체기준!$F$20:$F$49,MATCH($N2381,계정대체기준!$A$20:$A$49,0)),1)))</f>
        <v/>
      </c>
      <c r="Z2381" s="94">
        <f>IF($A2381="",0,IF(AE2381="직접",IF(AF2381="신계약비",$P2381,0),$P2381*(1-AG2381)*IFERROR(INDEX(계정대체기준!$C$20:$C$49,MATCH($N2381,계정대체기준!$A$20:$A$49,0)),0)))</f>
        <v/>
      </c>
      <c r="AA2381" s="94">
        <f>IF($A2381="",0,IF(AE2381="직접",IF(OR(AF2381="유지비",AF2381="손해조사비"),$P2381,0),$P2381*(1-AG2381)*IFERROR(INDEX(계정대체기준!$D$20:$D$49,MATCH($N2381,계정대체기준!$A$20:$A$49,0)),0)))</f>
        <v/>
      </c>
      <c r="AB2381" s="94">
        <f>IF($A2381="",0,IF(AE2381="직접",IF(AF2381="수금비",$P2381,0),$P2381*(1-AG2381)*IFERROR(INDEX(계정대체기준!$E$20:$E$49,MATCH($N2381,계정대체기준!$A$20:$A$49,0)),0)))</f>
        <v/>
      </c>
      <c r="AC2381" s="9">
        <f>IF(AND($A2381&lt;&gt;"",M2381=설정!$C$20,Z2381&gt;0),Z2381+ROW()/1000000000,"")</f>
        <v/>
      </c>
      <c r="AD2381" s="94">
        <f>IF($A2381="",0,$P2381*AG2381)</f>
        <v/>
      </c>
      <c r="AE2381" s="64">
        <f>IF($A2381="","",IFERROR(INDEX(계정매핑!$E$5:$E$504,MATCH($F2381&amp;"",계정매핑!$A$5:$A$504,0))&amp;"","공통비"))</f>
        <v/>
      </c>
      <c r="AF2381" s="64">
        <f>IF($A2381="","",IF(AE2381="직접",IFERROR(INDEX(계정매핑!$F$5:$F$504,MATCH($F2381&amp;"",계정매핑!$A$5:$A$504,0))&amp;"","비귀속"),""))</f>
        <v/>
      </c>
      <c r="AG2381" s="96">
        <f>IF($A2381="",0,IF(AND(AE2381&lt;&gt;"직접",IFERROR(INDEX(계정매핑!$G$5:$G$504,MATCH($F2381&amp;"",계정매핑!$A$5:$A$504,0))&amp;"","")="유지비",COUNTIF(계정대체기준!$A$6:$A$15,$N2381)&gt;0),IFERROR(INDEX(계정대체기준!$E$6:$E$15,MATCH(VALUE($A2381&amp;""),계정대체기준!$D$6:$D$15,0)),0),0))</f>
        <v/>
      </c>
      <c r="AH2381" s="64">
        <f>IF($A2381="","",IF(AD2381=0,"",IF(OR(COUNTIF(계정대체기준!$A$77:$A$86,$N2381)&gt;0,ISNUMBER(MATCH($X2381,계정대체기준!$D$77:$D$86,0)),ISNUMBER(MATCH($F2381,계정대체기준!$D$77:$D$86,0))),"Y","N")))</f>
        <v/>
      </c>
    </row>
    <row r="2382">
      <c r="A2382" s="92" t="n">
        <v>2025</v>
      </c>
      <c r="B2382" s="92" t="n">
        <v>11</v>
      </c>
      <c r="C2382" s="92" t="inlineStr">
        <is>
          <t>5100002378</t>
        </is>
      </c>
      <c r="D2382" s="95" t="n">
        <v>45976</v>
      </c>
      <c r="E2382" s="92" t="inlineStr">
        <is>
          <t>KR</t>
        </is>
      </c>
      <c r="F2382" s="92" t="n">
        <v>62901000</v>
      </c>
      <c r="G2382" s="92" t="n">
        <v>1951</v>
      </c>
      <c r="H2382" s="93" t="n">
        <v>5081000</v>
      </c>
      <c r="I2382" s="92" t="inlineStr">
        <is>
          <t>11월 자문 수수료 - W컨설팅</t>
        </is>
      </c>
      <c r="J2382" s="92" t="inlineStr">
        <is>
          <t>V10006</t>
        </is>
      </c>
      <c r="K2382" s="92" t="inlineStr">
        <is>
          <t>W컨설팅</t>
        </is>
      </c>
      <c r="M2382" s="9">
        <f>IF($A2382="","",VALUE($A2382&amp;"")*12+VALUE($B2382&amp;""))</f>
        <v/>
      </c>
      <c r="N2382" s="64">
        <f>IF($A2382="","",IFERROR(INDEX(부서매핑!$C$5:$C$504,MATCH($G2382&amp;"",부서매핑!$A$5:$A$504,0)),"미매핑"))</f>
        <v/>
      </c>
      <c r="O2382" s="9">
        <f>IF($A2382="","",N2382&amp;"|"&amp;$F2382)</f>
        <v/>
      </c>
      <c r="P2382" s="94">
        <f>IF($A2382="",0,$H2382*설정!$C$23)</f>
        <v/>
      </c>
      <c r="Q2382" s="64">
        <f>IF($A2382="","",IF(O2382&lt;&gt;원인분석!$C$9,"",IF(AND(M2382&gt;=원인분석!$C$10,M2382&lt;=원인분석!$C$11),"당기",IF(AND(M2382&gt;=원인분석!$C$12,M2382&lt;=원인분석!$C$13),"비교",""))))</f>
        <v/>
      </c>
      <c r="R2382" s="9">
        <f>IF(Q2382="","",$K2382&amp;"")</f>
        <v/>
      </c>
      <c r="S2382" s="9">
        <f>IF(Q2382="","",IF(MATCH(R2382,$R$5:$R$100000,0)=ROW()-4,ROW(),""))</f>
        <v/>
      </c>
      <c r="T2382" s="9">
        <f>IF(Q2382="당기",ABS(P2382)+ROW()/1000000000,"")</f>
        <v/>
      </c>
      <c r="U2382" s="9">
        <f>IF(Q2382="비교",ABS(P2382)+ROW()/1000000000,"")</f>
        <v/>
      </c>
      <c r="V2382" s="64">
        <f>IF($A2382="","",IF(COUNTIF(변동분석!$E$7:$E$506,O2382)&gt;0,"Y","N"))</f>
        <v/>
      </c>
      <c r="W2382" s="64">
        <f>IF($A2382="","",IFERROR(INDEX(계정매핑!$D$5:$D$504,MATCH($F2382&amp;"",계정매핑!$A$5:$A$504,0)),"미매핑"))</f>
        <v/>
      </c>
      <c r="X2382" s="9">
        <f>IF($A2382="","",$F2382&amp;"")</f>
        <v/>
      </c>
      <c r="Y2382" s="94">
        <f>IF($A2382="",0,IF(AE2382="직접",IF(AF2382="비귀속",$P2382,0),$P2382*(1-AG2382)*IFERROR(INDEX(계정대체기준!$F$20:$F$49,MATCH($N2382,계정대체기준!$A$20:$A$49,0)),1)))</f>
        <v/>
      </c>
      <c r="Z2382" s="94">
        <f>IF($A2382="",0,IF(AE2382="직접",IF(AF2382="신계약비",$P2382,0),$P2382*(1-AG2382)*IFERROR(INDEX(계정대체기준!$C$20:$C$49,MATCH($N2382,계정대체기준!$A$20:$A$49,0)),0)))</f>
        <v/>
      </c>
      <c r="AA2382" s="94">
        <f>IF($A2382="",0,IF(AE2382="직접",IF(OR(AF2382="유지비",AF2382="손해조사비"),$P2382,0),$P2382*(1-AG2382)*IFERROR(INDEX(계정대체기준!$D$20:$D$49,MATCH($N2382,계정대체기준!$A$20:$A$49,0)),0)))</f>
        <v/>
      </c>
      <c r="AB2382" s="94">
        <f>IF($A2382="",0,IF(AE2382="직접",IF(AF2382="수금비",$P2382,0),$P2382*(1-AG2382)*IFERROR(INDEX(계정대체기준!$E$20:$E$49,MATCH($N2382,계정대체기준!$A$20:$A$49,0)),0)))</f>
        <v/>
      </c>
      <c r="AC2382" s="9">
        <f>IF(AND($A2382&lt;&gt;"",M2382=설정!$C$20,Z2382&gt;0),Z2382+ROW()/1000000000,"")</f>
        <v/>
      </c>
      <c r="AD2382" s="94">
        <f>IF($A2382="",0,$P2382*AG2382)</f>
        <v/>
      </c>
      <c r="AE2382" s="64">
        <f>IF($A2382="","",IFERROR(INDEX(계정매핑!$E$5:$E$504,MATCH($F2382&amp;"",계정매핑!$A$5:$A$504,0))&amp;"","공통비"))</f>
        <v/>
      </c>
      <c r="AF2382" s="64">
        <f>IF($A2382="","",IF(AE2382="직접",IFERROR(INDEX(계정매핑!$F$5:$F$504,MATCH($F2382&amp;"",계정매핑!$A$5:$A$504,0))&amp;"","비귀속"),""))</f>
        <v/>
      </c>
      <c r="AG2382" s="96">
        <f>IF($A2382="",0,IF(AND(AE2382&lt;&gt;"직접",IFERROR(INDEX(계정매핑!$G$5:$G$504,MATCH($F2382&amp;"",계정매핑!$A$5:$A$504,0))&amp;"","")="유지비",COUNTIF(계정대체기준!$A$6:$A$15,$N2382)&gt;0),IFERROR(INDEX(계정대체기준!$E$6:$E$15,MATCH(VALUE($A2382&amp;""),계정대체기준!$D$6:$D$15,0)),0),0))</f>
        <v/>
      </c>
      <c r="AH2382" s="64">
        <f>IF($A2382="","",IF(AD2382=0,"",IF(OR(COUNTIF(계정대체기준!$A$77:$A$86,$N2382)&gt;0,ISNUMBER(MATCH($X2382,계정대체기준!$D$77:$D$86,0)),ISNUMBER(MATCH($F2382,계정대체기준!$D$77:$D$86,0))),"Y","N")))</f>
        <v/>
      </c>
    </row>
    <row r="2383">
      <c r="A2383" s="92" t="n">
        <v>2025</v>
      </c>
      <c r="B2383" s="92" t="n">
        <v>11</v>
      </c>
      <c r="C2383" s="92" t="inlineStr">
        <is>
          <t>5100002379</t>
        </is>
      </c>
      <c r="D2383" s="95" t="n">
        <v>45976</v>
      </c>
      <c r="E2383" s="92" t="inlineStr">
        <is>
          <t>KR</t>
        </is>
      </c>
      <c r="F2383" s="92" t="n">
        <v>62902000</v>
      </c>
      <c r="G2383" s="92" t="n">
        <v>1201</v>
      </c>
      <c r="H2383" s="93" t="n">
        <v>3890000</v>
      </c>
      <c r="I2383" s="92" t="inlineStr">
        <is>
          <t>11월 업무 위탁 수수료 - X서비스</t>
        </is>
      </c>
      <c r="J2383" s="92" t="inlineStr">
        <is>
          <t>V10020</t>
        </is>
      </c>
      <c r="K2383" s="92" t="inlineStr">
        <is>
          <t>X서비스</t>
        </is>
      </c>
      <c r="M2383" s="9">
        <f>IF($A2383="","",VALUE($A2383&amp;"")*12+VALUE($B2383&amp;""))</f>
        <v/>
      </c>
      <c r="N2383" s="64">
        <f>IF($A2383="","",IFERROR(INDEX(부서매핑!$C$5:$C$504,MATCH($G2383&amp;"",부서매핑!$A$5:$A$504,0)),"미매핑"))</f>
        <v/>
      </c>
      <c r="O2383" s="9">
        <f>IF($A2383="","",N2383&amp;"|"&amp;$F2383)</f>
        <v/>
      </c>
      <c r="P2383" s="94">
        <f>IF($A2383="",0,$H2383*설정!$C$23)</f>
        <v/>
      </c>
      <c r="Q2383" s="64">
        <f>IF($A2383="","",IF(O2383&lt;&gt;원인분석!$C$9,"",IF(AND(M2383&gt;=원인분석!$C$10,M2383&lt;=원인분석!$C$11),"당기",IF(AND(M2383&gt;=원인분석!$C$12,M2383&lt;=원인분석!$C$13),"비교",""))))</f>
        <v/>
      </c>
      <c r="R2383" s="9">
        <f>IF(Q2383="","",$K2383&amp;"")</f>
        <v/>
      </c>
      <c r="S2383" s="9">
        <f>IF(Q2383="","",IF(MATCH(R2383,$R$5:$R$100000,0)=ROW()-4,ROW(),""))</f>
        <v/>
      </c>
      <c r="T2383" s="9">
        <f>IF(Q2383="당기",ABS(P2383)+ROW()/1000000000,"")</f>
        <v/>
      </c>
      <c r="U2383" s="9">
        <f>IF(Q2383="비교",ABS(P2383)+ROW()/1000000000,"")</f>
        <v/>
      </c>
      <c r="V2383" s="64">
        <f>IF($A2383="","",IF(COUNTIF(변동분석!$E$7:$E$506,O2383)&gt;0,"Y","N"))</f>
        <v/>
      </c>
      <c r="W2383" s="64">
        <f>IF($A2383="","",IFERROR(INDEX(계정매핑!$D$5:$D$504,MATCH($F2383&amp;"",계정매핑!$A$5:$A$504,0)),"미매핑"))</f>
        <v/>
      </c>
      <c r="X2383" s="9">
        <f>IF($A2383="","",$F2383&amp;"")</f>
        <v/>
      </c>
      <c r="Y2383" s="94">
        <f>IF($A2383="",0,IF(AE2383="직접",IF(AF2383="비귀속",$P2383,0),$P2383*(1-AG2383)*IFERROR(INDEX(계정대체기준!$F$20:$F$49,MATCH($N2383,계정대체기준!$A$20:$A$49,0)),1)))</f>
        <v/>
      </c>
      <c r="Z2383" s="94">
        <f>IF($A2383="",0,IF(AE2383="직접",IF(AF2383="신계약비",$P2383,0),$P2383*(1-AG2383)*IFERROR(INDEX(계정대체기준!$C$20:$C$49,MATCH($N2383,계정대체기준!$A$20:$A$49,0)),0)))</f>
        <v/>
      </c>
      <c r="AA2383" s="94">
        <f>IF($A2383="",0,IF(AE2383="직접",IF(OR(AF2383="유지비",AF2383="손해조사비"),$P2383,0),$P2383*(1-AG2383)*IFERROR(INDEX(계정대체기준!$D$20:$D$49,MATCH($N2383,계정대체기준!$A$20:$A$49,0)),0)))</f>
        <v/>
      </c>
      <c r="AB2383" s="94">
        <f>IF($A2383="",0,IF(AE2383="직접",IF(AF2383="수금비",$P2383,0),$P2383*(1-AG2383)*IFERROR(INDEX(계정대체기준!$E$20:$E$49,MATCH($N2383,계정대체기준!$A$20:$A$49,0)),0)))</f>
        <v/>
      </c>
      <c r="AC2383" s="9">
        <f>IF(AND($A2383&lt;&gt;"",M2383=설정!$C$20,Z2383&gt;0),Z2383+ROW()/1000000000,"")</f>
        <v/>
      </c>
      <c r="AD2383" s="94">
        <f>IF($A2383="",0,$P2383*AG2383)</f>
        <v/>
      </c>
      <c r="AE2383" s="64">
        <f>IF($A2383="","",IFERROR(INDEX(계정매핑!$E$5:$E$504,MATCH($F2383&amp;"",계정매핑!$A$5:$A$504,0))&amp;"","공통비"))</f>
        <v/>
      </c>
      <c r="AF2383" s="64">
        <f>IF($A2383="","",IF(AE2383="직접",IFERROR(INDEX(계정매핑!$F$5:$F$504,MATCH($F2383&amp;"",계정매핑!$A$5:$A$504,0))&amp;"","비귀속"),""))</f>
        <v/>
      </c>
      <c r="AG2383" s="96">
        <f>IF($A2383="",0,IF(AND(AE2383&lt;&gt;"직접",IFERROR(INDEX(계정매핑!$G$5:$G$504,MATCH($F2383&amp;"",계정매핑!$A$5:$A$504,0))&amp;"","")="유지비",COUNTIF(계정대체기준!$A$6:$A$15,$N2383)&gt;0),IFERROR(INDEX(계정대체기준!$E$6:$E$15,MATCH(VALUE($A2383&amp;""),계정대체기준!$D$6:$D$15,0)),0),0))</f>
        <v/>
      </c>
      <c r="AH2383" s="64">
        <f>IF($A2383="","",IF(AD2383=0,"",IF(OR(COUNTIF(계정대체기준!$A$77:$A$86,$N2383)&gt;0,ISNUMBER(MATCH($X2383,계정대체기준!$D$77:$D$86,0)),ISNUMBER(MATCH($F2383,계정대체기준!$D$77:$D$86,0))),"Y","N")))</f>
        <v/>
      </c>
    </row>
    <row r="2384">
      <c r="A2384" s="92" t="n">
        <v>2025</v>
      </c>
      <c r="B2384" s="92" t="n">
        <v>11</v>
      </c>
      <c r="C2384" s="92" t="inlineStr">
        <is>
          <t>5100002380</t>
        </is>
      </c>
      <c r="D2384" s="95" t="n">
        <v>45976</v>
      </c>
      <c r="E2384" s="92" t="inlineStr">
        <is>
          <t>KR</t>
        </is>
      </c>
      <c r="F2384" s="92" t="n">
        <v>62902000</v>
      </c>
      <c r="G2384" s="92" t="n">
        <v>1801</v>
      </c>
      <c r="H2384" s="93" t="n">
        <v>1766000</v>
      </c>
      <c r="I2384" s="92" t="inlineStr">
        <is>
          <t>11월 콜 위탁 수수료(건별)</t>
        </is>
      </c>
      <c r="J2384" s="92" t="inlineStr">
        <is>
          <t>V10016</t>
        </is>
      </c>
      <c r="K2384" s="92" t="inlineStr">
        <is>
          <t>J콜센터</t>
        </is>
      </c>
      <c r="M2384" s="9">
        <f>IF($A2384="","",VALUE($A2384&amp;"")*12+VALUE($B2384&amp;""))</f>
        <v/>
      </c>
      <c r="N2384" s="64">
        <f>IF($A2384="","",IFERROR(INDEX(부서매핑!$C$5:$C$504,MATCH($G2384&amp;"",부서매핑!$A$5:$A$504,0)),"미매핑"))</f>
        <v/>
      </c>
      <c r="O2384" s="9">
        <f>IF($A2384="","",N2384&amp;"|"&amp;$F2384)</f>
        <v/>
      </c>
      <c r="P2384" s="94">
        <f>IF($A2384="",0,$H2384*설정!$C$23)</f>
        <v/>
      </c>
      <c r="Q2384" s="64">
        <f>IF($A2384="","",IF(O2384&lt;&gt;원인분석!$C$9,"",IF(AND(M2384&gt;=원인분석!$C$10,M2384&lt;=원인분석!$C$11),"당기",IF(AND(M2384&gt;=원인분석!$C$12,M2384&lt;=원인분석!$C$13),"비교",""))))</f>
        <v/>
      </c>
      <c r="R2384" s="9">
        <f>IF(Q2384="","",$K2384&amp;"")</f>
        <v/>
      </c>
      <c r="S2384" s="9">
        <f>IF(Q2384="","",IF(MATCH(R2384,$R$5:$R$100000,0)=ROW()-4,ROW(),""))</f>
        <v/>
      </c>
      <c r="T2384" s="9">
        <f>IF(Q2384="당기",ABS(P2384)+ROW()/1000000000,"")</f>
        <v/>
      </c>
      <c r="U2384" s="9">
        <f>IF(Q2384="비교",ABS(P2384)+ROW()/1000000000,"")</f>
        <v/>
      </c>
      <c r="V2384" s="64">
        <f>IF($A2384="","",IF(COUNTIF(변동분석!$E$7:$E$506,O2384)&gt;0,"Y","N"))</f>
        <v/>
      </c>
      <c r="W2384" s="64">
        <f>IF($A2384="","",IFERROR(INDEX(계정매핑!$D$5:$D$504,MATCH($F2384&amp;"",계정매핑!$A$5:$A$504,0)),"미매핑"))</f>
        <v/>
      </c>
      <c r="X2384" s="9">
        <f>IF($A2384="","",$F2384&amp;"")</f>
        <v/>
      </c>
      <c r="Y2384" s="94">
        <f>IF($A2384="",0,IF(AE2384="직접",IF(AF2384="비귀속",$P2384,0),$P2384*(1-AG2384)*IFERROR(INDEX(계정대체기준!$F$20:$F$49,MATCH($N2384,계정대체기준!$A$20:$A$49,0)),1)))</f>
        <v/>
      </c>
      <c r="Z2384" s="94">
        <f>IF($A2384="",0,IF(AE2384="직접",IF(AF2384="신계약비",$P2384,0),$P2384*(1-AG2384)*IFERROR(INDEX(계정대체기준!$C$20:$C$49,MATCH($N2384,계정대체기준!$A$20:$A$49,0)),0)))</f>
        <v/>
      </c>
      <c r="AA2384" s="94">
        <f>IF($A2384="",0,IF(AE2384="직접",IF(OR(AF2384="유지비",AF2384="손해조사비"),$P2384,0),$P2384*(1-AG2384)*IFERROR(INDEX(계정대체기준!$D$20:$D$49,MATCH($N2384,계정대체기준!$A$20:$A$49,0)),0)))</f>
        <v/>
      </c>
      <c r="AB2384" s="94">
        <f>IF($A2384="",0,IF(AE2384="직접",IF(AF2384="수금비",$P2384,0),$P2384*(1-AG2384)*IFERROR(INDEX(계정대체기준!$E$20:$E$49,MATCH($N2384,계정대체기준!$A$20:$A$49,0)),0)))</f>
        <v/>
      </c>
      <c r="AC2384" s="9">
        <f>IF(AND($A2384&lt;&gt;"",M2384=설정!$C$20,Z2384&gt;0),Z2384+ROW()/1000000000,"")</f>
        <v/>
      </c>
      <c r="AD2384" s="94">
        <f>IF($A2384="",0,$P2384*AG2384)</f>
        <v/>
      </c>
      <c r="AE2384" s="64">
        <f>IF($A2384="","",IFERROR(INDEX(계정매핑!$E$5:$E$504,MATCH($F2384&amp;"",계정매핑!$A$5:$A$504,0))&amp;"","공통비"))</f>
        <v/>
      </c>
      <c r="AF2384" s="64">
        <f>IF($A2384="","",IF(AE2384="직접",IFERROR(INDEX(계정매핑!$F$5:$F$504,MATCH($F2384&amp;"",계정매핑!$A$5:$A$504,0))&amp;"","비귀속"),""))</f>
        <v/>
      </c>
      <c r="AG2384" s="96">
        <f>IF($A2384="",0,IF(AND(AE2384&lt;&gt;"직접",IFERROR(INDEX(계정매핑!$G$5:$G$504,MATCH($F2384&amp;"",계정매핑!$A$5:$A$504,0))&amp;"","")="유지비",COUNTIF(계정대체기준!$A$6:$A$15,$N2384)&gt;0),IFERROR(INDEX(계정대체기준!$E$6:$E$15,MATCH(VALUE($A2384&amp;""),계정대체기준!$D$6:$D$15,0)),0),0))</f>
        <v/>
      </c>
      <c r="AH2384" s="64">
        <f>IF($A2384="","",IF(AD2384=0,"",IF(OR(COUNTIF(계정대체기준!$A$77:$A$86,$N2384)&gt;0,ISNUMBER(MATCH($X2384,계정대체기준!$D$77:$D$86,0)),ISNUMBER(MATCH($F2384,계정대체기준!$D$77:$D$86,0))),"Y","N")))</f>
        <v/>
      </c>
    </row>
    <row r="2385">
      <c r="A2385" s="92" t="n">
        <v>2025</v>
      </c>
      <c r="B2385" s="92" t="n">
        <v>11</v>
      </c>
      <c r="C2385" s="92" t="inlineStr">
        <is>
          <t>5100002381</t>
        </is>
      </c>
      <c r="D2385" s="95" t="n">
        <v>45976</v>
      </c>
      <c r="E2385" s="92" t="inlineStr">
        <is>
          <t>KR</t>
        </is>
      </c>
      <c r="F2385" s="92" t="n">
        <v>63002000</v>
      </c>
      <c r="G2385" s="92" t="n">
        <v>1951</v>
      </c>
      <c r="H2385" s="93" t="n">
        <v>4168000</v>
      </c>
      <c r="I2385" s="92" t="inlineStr">
        <is>
          <t>11월 클라우드 사용료 - C클라우드</t>
        </is>
      </c>
      <c r="J2385" s="92" t="inlineStr">
        <is>
          <t>V10026</t>
        </is>
      </c>
      <c r="K2385" s="92" t="inlineStr">
        <is>
          <t>C클라우드</t>
        </is>
      </c>
      <c r="M2385" s="9">
        <f>IF($A2385="","",VALUE($A2385&amp;"")*12+VALUE($B2385&amp;""))</f>
        <v/>
      </c>
      <c r="N2385" s="64">
        <f>IF($A2385="","",IFERROR(INDEX(부서매핑!$C$5:$C$504,MATCH($G2385&amp;"",부서매핑!$A$5:$A$504,0)),"미매핑"))</f>
        <v/>
      </c>
      <c r="O2385" s="9">
        <f>IF($A2385="","",N2385&amp;"|"&amp;$F2385)</f>
        <v/>
      </c>
      <c r="P2385" s="94">
        <f>IF($A2385="",0,$H2385*설정!$C$23)</f>
        <v/>
      </c>
      <c r="Q2385" s="64">
        <f>IF($A2385="","",IF(O2385&lt;&gt;원인분석!$C$9,"",IF(AND(M2385&gt;=원인분석!$C$10,M2385&lt;=원인분석!$C$11),"당기",IF(AND(M2385&gt;=원인분석!$C$12,M2385&lt;=원인분석!$C$13),"비교",""))))</f>
        <v/>
      </c>
      <c r="R2385" s="9">
        <f>IF(Q2385="","",$K2385&amp;"")</f>
        <v/>
      </c>
      <c r="S2385" s="9">
        <f>IF(Q2385="","",IF(MATCH(R2385,$R$5:$R$100000,0)=ROW()-4,ROW(),""))</f>
        <v/>
      </c>
      <c r="T2385" s="9">
        <f>IF(Q2385="당기",ABS(P2385)+ROW()/1000000000,"")</f>
        <v/>
      </c>
      <c r="U2385" s="9">
        <f>IF(Q2385="비교",ABS(P2385)+ROW()/1000000000,"")</f>
        <v/>
      </c>
      <c r="V2385" s="64">
        <f>IF($A2385="","",IF(COUNTIF(변동분석!$E$7:$E$506,O2385)&gt;0,"Y","N"))</f>
        <v/>
      </c>
      <c r="W2385" s="64">
        <f>IF($A2385="","",IFERROR(INDEX(계정매핑!$D$5:$D$504,MATCH($F2385&amp;"",계정매핑!$A$5:$A$504,0)),"미매핑"))</f>
        <v/>
      </c>
      <c r="X2385" s="9">
        <f>IF($A2385="","",$F2385&amp;"")</f>
        <v/>
      </c>
      <c r="Y2385" s="94">
        <f>IF($A2385="",0,IF(AE2385="직접",IF(AF2385="비귀속",$P2385,0),$P2385*(1-AG2385)*IFERROR(INDEX(계정대체기준!$F$20:$F$49,MATCH($N2385,계정대체기준!$A$20:$A$49,0)),1)))</f>
        <v/>
      </c>
      <c r="Z2385" s="94">
        <f>IF($A2385="",0,IF(AE2385="직접",IF(AF2385="신계약비",$P2385,0),$P2385*(1-AG2385)*IFERROR(INDEX(계정대체기준!$C$20:$C$49,MATCH($N2385,계정대체기준!$A$20:$A$49,0)),0)))</f>
        <v/>
      </c>
      <c r="AA2385" s="94">
        <f>IF($A2385="",0,IF(AE2385="직접",IF(OR(AF2385="유지비",AF2385="손해조사비"),$P2385,0),$P2385*(1-AG2385)*IFERROR(INDEX(계정대체기준!$D$20:$D$49,MATCH($N2385,계정대체기준!$A$20:$A$49,0)),0)))</f>
        <v/>
      </c>
      <c r="AB2385" s="94">
        <f>IF($A2385="",0,IF(AE2385="직접",IF(AF2385="수금비",$P2385,0),$P2385*(1-AG2385)*IFERROR(INDEX(계정대체기준!$E$20:$E$49,MATCH($N2385,계정대체기준!$A$20:$A$49,0)),0)))</f>
        <v/>
      </c>
      <c r="AC2385" s="9">
        <f>IF(AND($A2385&lt;&gt;"",M2385=설정!$C$20,Z2385&gt;0),Z2385+ROW()/1000000000,"")</f>
        <v/>
      </c>
      <c r="AD2385" s="94">
        <f>IF($A2385="",0,$P2385*AG2385)</f>
        <v/>
      </c>
      <c r="AE2385" s="64">
        <f>IF($A2385="","",IFERROR(INDEX(계정매핑!$E$5:$E$504,MATCH($F2385&amp;"",계정매핑!$A$5:$A$504,0))&amp;"","공통비"))</f>
        <v/>
      </c>
      <c r="AF2385" s="64">
        <f>IF($A2385="","",IF(AE2385="직접",IFERROR(INDEX(계정매핑!$F$5:$F$504,MATCH($F2385&amp;"",계정매핑!$A$5:$A$504,0))&amp;"","비귀속"),""))</f>
        <v/>
      </c>
      <c r="AG2385" s="96">
        <f>IF($A2385="",0,IF(AND(AE2385&lt;&gt;"직접",IFERROR(INDEX(계정매핑!$G$5:$G$504,MATCH($F2385&amp;"",계정매핑!$A$5:$A$504,0))&amp;"","")="유지비",COUNTIF(계정대체기준!$A$6:$A$15,$N2385)&gt;0),IFERROR(INDEX(계정대체기준!$E$6:$E$15,MATCH(VALUE($A2385&amp;""),계정대체기준!$D$6:$D$15,0)),0),0))</f>
        <v/>
      </c>
      <c r="AH2385" s="64">
        <f>IF($A2385="","",IF(AD2385=0,"",IF(OR(COUNTIF(계정대체기준!$A$77:$A$86,$N2385)&gt;0,ISNUMBER(MATCH($X2385,계정대체기준!$D$77:$D$86,0)),ISNUMBER(MATCH($F2385,계정대체기준!$D$77:$D$86,0))),"Y","N")))</f>
        <v/>
      </c>
    </row>
    <row r="2386">
      <c r="A2386" s="92" t="n">
        <v>2025</v>
      </c>
      <c r="B2386" s="92" t="n">
        <v>11</v>
      </c>
      <c r="C2386" s="92" t="inlineStr">
        <is>
          <t>5100002382</t>
        </is>
      </c>
      <c r="D2386" s="95" t="n">
        <v>45977</v>
      </c>
      <c r="E2386" s="92" t="inlineStr">
        <is>
          <t>KR</t>
        </is>
      </c>
      <c r="F2386" s="92" t="n">
        <v>62101000</v>
      </c>
      <c r="G2386" s="92" t="n">
        <v>1301</v>
      </c>
      <c r="H2386" s="93" t="n">
        <v>280000</v>
      </c>
      <c r="I2386" s="92" t="inlineStr">
        <is>
          <t>11월 국내출장 - M항공</t>
        </is>
      </c>
      <c r="J2386" s="92" t="inlineStr">
        <is>
          <t>V10001</t>
        </is>
      </c>
      <c r="K2386" s="92" t="inlineStr">
        <is>
          <t>M항공</t>
        </is>
      </c>
      <c r="M2386" s="9">
        <f>IF($A2386="","",VALUE($A2386&amp;"")*12+VALUE($B2386&amp;""))</f>
        <v/>
      </c>
      <c r="N2386" s="64">
        <f>IF($A2386="","",IFERROR(INDEX(부서매핑!$C$5:$C$504,MATCH($G2386&amp;"",부서매핑!$A$5:$A$504,0)),"미매핑"))</f>
        <v/>
      </c>
      <c r="O2386" s="9">
        <f>IF($A2386="","",N2386&amp;"|"&amp;$F2386)</f>
        <v/>
      </c>
      <c r="P2386" s="94">
        <f>IF($A2386="",0,$H2386*설정!$C$23)</f>
        <v/>
      </c>
      <c r="Q2386" s="64">
        <f>IF($A2386="","",IF(O2386&lt;&gt;원인분석!$C$9,"",IF(AND(M2386&gt;=원인분석!$C$10,M2386&lt;=원인분석!$C$11),"당기",IF(AND(M2386&gt;=원인분석!$C$12,M2386&lt;=원인분석!$C$13),"비교",""))))</f>
        <v/>
      </c>
      <c r="R2386" s="9">
        <f>IF(Q2386="","",$K2386&amp;"")</f>
        <v/>
      </c>
      <c r="S2386" s="9">
        <f>IF(Q2386="","",IF(MATCH(R2386,$R$5:$R$100000,0)=ROW()-4,ROW(),""))</f>
        <v/>
      </c>
      <c r="T2386" s="9">
        <f>IF(Q2386="당기",ABS(P2386)+ROW()/1000000000,"")</f>
        <v/>
      </c>
      <c r="U2386" s="9">
        <f>IF(Q2386="비교",ABS(P2386)+ROW()/1000000000,"")</f>
        <v/>
      </c>
      <c r="V2386" s="64">
        <f>IF($A2386="","",IF(COUNTIF(변동분석!$E$7:$E$506,O2386)&gt;0,"Y","N"))</f>
        <v/>
      </c>
      <c r="W2386" s="64">
        <f>IF($A2386="","",IFERROR(INDEX(계정매핑!$D$5:$D$504,MATCH($F2386&amp;"",계정매핑!$A$5:$A$504,0)),"미매핑"))</f>
        <v/>
      </c>
      <c r="X2386" s="9">
        <f>IF($A2386="","",$F2386&amp;"")</f>
        <v/>
      </c>
      <c r="Y2386" s="94">
        <f>IF($A2386="",0,IF(AE2386="직접",IF(AF2386="비귀속",$P2386,0),$P2386*(1-AG2386)*IFERROR(INDEX(계정대체기준!$F$20:$F$49,MATCH($N2386,계정대체기준!$A$20:$A$49,0)),1)))</f>
        <v/>
      </c>
      <c r="Z2386" s="94">
        <f>IF($A2386="",0,IF(AE2386="직접",IF(AF2386="신계약비",$P2386,0),$P2386*(1-AG2386)*IFERROR(INDEX(계정대체기준!$C$20:$C$49,MATCH($N2386,계정대체기준!$A$20:$A$49,0)),0)))</f>
        <v/>
      </c>
      <c r="AA2386" s="94">
        <f>IF($A2386="",0,IF(AE2386="직접",IF(OR(AF2386="유지비",AF2386="손해조사비"),$P2386,0),$P2386*(1-AG2386)*IFERROR(INDEX(계정대체기준!$D$20:$D$49,MATCH($N2386,계정대체기준!$A$20:$A$49,0)),0)))</f>
        <v/>
      </c>
      <c r="AB2386" s="94">
        <f>IF($A2386="",0,IF(AE2386="직접",IF(AF2386="수금비",$P2386,0),$P2386*(1-AG2386)*IFERROR(INDEX(계정대체기준!$E$20:$E$49,MATCH($N2386,계정대체기준!$A$20:$A$49,0)),0)))</f>
        <v/>
      </c>
      <c r="AC2386" s="9">
        <f>IF(AND($A2386&lt;&gt;"",M2386=설정!$C$20,Z2386&gt;0),Z2386+ROW()/1000000000,"")</f>
        <v/>
      </c>
      <c r="AD2386" s="94">
        <f>IF($A2386="",0,$P2386*AG2386)</f>
        <v/>
      </c>
      <c r="AE2386" s="64">
        <f>IF($A2386="","",IFERROR(INDEX(계정매핑!$E$5:$E$504,MATCH($F2386&amp;"",계정매핑!$A$5:$A$504,0))&amp;"","공통비"))</f>
        <v/>
      </c>
      <c r="AF2386" s="64">
        <f>IF($A2386="","",IF(AE2386="직접",IFERROR(INDEX(계정매핑!$F$5:$F$504,MATCH($F2386&amp;"",계정매핑!$A$5:$A$504,0))&amp;"","비귀속"),""))</f>
        <v/>
      </c>
      <c r="AG2386" s="96">
        <f>IF($A2386="",0,IF(AND(AE2386&lt;&gt;"직접",IFERROR(INDEX(계정매핑!$G$5:$G$504,MATCH($F2386&amp;"",계정매핑!$A$5:$A$504,0))&amp;"","")="유지비",COUNTIF(계정대체기준!$A$6:$A$15,$N2386)&gt;0),IFERROR(INDEX(계정대체기준!$E$6:$E$15,MATCH(VALUE($A2386&amp;""),계정대체기준!$D$6:$D$15,0)),0),0))</f>
        <v/>
      </c>
      <c r="AH2386" s="64">
        <f>IF($A2386="","",IF(AD2386=0,"",IF(OR(COUNTIF(계정대체기준!$A$77:$A$86,$N2386)&gt;0,ISNUMBER(MATCH($X2386,계정대체기준!$D$77:$D$86,0)),ISNUMBER(MATCH($F2386,계정대체기준!$D$77:$D$86,0))),"Y","N")))</f>
        <v/>
      </c>
    </row>
    <row r="2387">
      <c r="A2387" s="92" t="n">
        <v>2025</v>
      </c>
      <c r="B2387" s="92" t="n">
        <v>11</v>
      </c>
      <c r="C2387" s="92" t="inlineStr">
        <is>
          <t>5100002383</t>
        </is>
      </c>
      <c r="D2387" s="95" t="n">
        <v>45977</v>
      </c>
      <c r="E2387" s="92" t="inlineStr">
        <is>
          <t>KR</t>
        </is>
      </c>
      <c r="F2387" s="92" t="n">
        <v>62101000</v>
      </c>
      <c r="G2387" s="92" t="n">
        <v>1502</v>
      </c>
      <c r="H2387" s="93" t="n">
        <v>831000</v>
      </c>
      <c r="I2387" s="92" t="inlineStr">
        <is>
          <t>11월 국내출장 - L여행사</t>
        </is>
      </c>
      <c r="J2387" s="92" t="inlineStr">
        <is>
          <t>V10018</t>
        </is>
      </c>
      <c r="K2387" s="92" t="inlineStr">
        <is>
          <t>L여행사</t>
        </is>
      </c>
      <c r="M2387" s="9">
        <f>IF($A2387="","",VALUE($A2387&amp;"")*12+VALUE($B2387&amp;""))</f>
        <v/>
      </c>
      <c r="N2387" s="64">
        <f>IF($A2387="","",IFERROR(INDEX(부서매핑!$C$5:$C$504,MATCH($G2387&amp;"",부서매핑!$A$5:$A$504,0)),"미매핑"))</f>
        <v/>
      </c>
      <c r="O2387" s="9">
        <f>IF($A2387="","",N2387&amp;"|"&amp;$F2387)</f>
        <v/>
      </c>
      <c r="P2387" s="94">
        <f>IF($A2387="",0,$H2387*설정!$C$23)</f>
        <v/>
      </c>
      <c r="Q2387" s="64">
        <f>IF($A2387="","",IF(O2387&lt;&gt;원인분석!$C$9,"",IF(AND(M2387&gt;=원인분석!$C$10,M2387&lt;=원인분석!$C$11),"당기",IF(AND(M2387&gt;=원인분석!$C$12,M2387&lt;=원인분석!$C$13),"비교",""))))</f>
        <v/>
      </c>
      <c r="R2387" s="9">
        <f>IF(Q2387="","",$K2387&amp;"")</f>
        <v/>
      </c>
      <c r="S2387" s="9">
        <f>IF(Q2387="","",IF(MATCH(R2387,$R$5:$R$100000,0)=ROW()-4,ROW(),""))</f>
        <v/>
      </c>
      <c r="T2387" s="9">
        <f>IF(Q2387="당기",ABS(P2387)+ROW()/1000000000,"")</f>
        <v/>
      </c>
      <c r="U2387" s="9">
        <f>IF(Q2387="비교",ABS(P2387)+ROW()/1000000000,"")</f>
        <v/>
      </c>
      <c r="V2387" s="64">
        <f>IF($A2387="","",IF(COUNTIF(변동분석!$E$7:$E$506,O2387)&gt;0,"Y","N"))</f>
        <v/>
      </c>
      <c r="W2387" s="64">
        <f>IF($A2387="","",IFERROR(INDEX(계정매핑!$D$5:$D$504,MATCH($F2387&amp;"",계정매핑!$A$5:$A$504,0)),"미매핑"))</f>
        <v/>
      </c>
      <c r="X2387" s="9">
        <f>IF($A2387="","",$F2387&amp;"")</f>
        <v/>
      </c>
      <c r="Y2387" s="94">
        <f>IF($A2387="",0,IF(AE2387="직접",IF(AF2387="비귀속",$P2387,0),$P2387*(1-AG2387)*IFERROR(INDEX(계정대체기준!$F$20:$F$49,MATCH($N2387,계정대체기준!$A$20:$A$49,0)),1)))</f>
        <v/>
      </c>
      <c r="Z2387" s="94">
        <f>IF($A2387="",0,IF(AE2387="직접",IF(AF2387="신계약비",$P2387,0),$P2387*(1-AG2387)*IFERROR(INDEX(계정대체기준!$C$20:$C$49,MATCH($N2387,계정대체기준!$A$20:$A$49,0)),0)))</f>
        <v/>
      </c>
      <c r="AA2387" s="94">
        <f>IF($A2387="",0,IF(AE2387="직접",IF(OR(AF2387="유지비",AF2387="손해조사비"),$P2387,0),$P2387*(1-AG2387)*IFERROR(INDEX(계정대체기준!$D$20:$D$49,MATCH($N2387,계정대체기준!$A$20:$A$49,0)),0)))</f>
        <v/>
      </c>
      <c r="AB2387" s="94">
        <f>IF($A2387="",0,IF(AE2387="직접",IF(AF2387="수금비",$P2387,0),$P2387*(1-AG2387)*IFERROR(INDEX(계정대체기준!$E$20:$E$49,MATCH($N2387,계정대체기준!$A$20:$A$49,0)),0)))</f>
        <v/>
      </c>
      <c r="AC2387" s="9">
        <f>IF(AND($A2387&lt;&gt;"",M2387=설정!$C$20,Z2387&gt;0),Z2387+ROW()/1000000000,"")</f>
        <v/>
      </c>
      <c r="AD2387" s="94">
        <f>IF($A2387="",0,$P2387*AG2387)</f>
        <v/>
      </c>
      <c r="AE2387" s="64">
        <f>IF($A2387="","",IFERROR(INDEX(계정매핑!$E$5:$E$504,MATCH($F2387&amp;"",계정매핑!$A$5:$A$504,0))&amp;"","공통비"))</f>
        <v/>
      </c>
      <c r="AF2387" s="64">
        <f>IF($A2387="","",IF(AE2387="직접",IFERROR(INDEX(계정매핑!$F$5:$F$504,MATCH($F2387&amp;"",계정매핑!$A$5:$A$504,0))&amp;"","비귀속"),""))</f>
        <v/>
      </c>
      <c r="AG2387" s="96">
        <f>IF($A2387="",0,IF(AND(AE2387&lt;&gt;"직접",IFERROR(INDEX(계정매핑!$G$5:$G$504,MATCH($F2387&amp;"",계정매핑!$A$5:$A$504,0))&amp;"","")="유지비",COUNTIF(계정대체기준!$A$6:$A$15,$N2387)&gt;0),IFERROR(INDEX(계정대체기준!$E$6:$E$15,MATCH(VALUE($A2387&amp;""),계정대체기준!$D$6:$D$15,0)),0),0))</f>
        <v/>
      </c>
      <c r="AH2387" s="64">
        <f>IF($A2387="","",IF(AD2387=0,"",IF(OR(COUNTIF(계정대체기준!$A$77:$A$86,$N2387)&gt;0,ISNUMBER(MATCH($X2387,계정대체기준!$D$77:$D$86,0)),ISNUMBER(MATCH($F2387,계정대체기준!$D$77:$D$86,0))),"Y","N")))</f>
        <v/>
      </c>
    </row>
    <row r="2388">
      <c r="A2388" s="92" t="n">
        <v>2025</v>
      </c>
      <c r="B2388" s="92" t="n">
        <v>11</v>
      </c>
      <c r="C2388" s="92" t="inlineStr">
        <is>
          <t>5100002384</t>
        </is>
      </c>
      <c r="D2388" s="95" t="n">
        <v>45977</v>
      </c>
      <c r="E2388" s="92" t="inlineStr">
        <is>
          <t>KR</t>
        </is>
      </c>
      <c r="F2388" s="92" t="n">
        <v>62101000</v>
      </c>
      <c r="G2388" s="92" t="n">
        <v>1601</v>
      </c>
      <c r="H2388" s="93" t="n">
        <v>1476000</v>
      </c>
      <c r="I2388" s="92" t="inlineStr">
        <is>
          <t>11월 국내출장 - L여행사</t>
        </is>
      </c>
      <c r="J2388" s="92" t="inlineStr">
        <is>
          <t>V10018</t>
        </is>
      </c>
      <c r="K2388" s="92" t="inlineStr">
        <is>
          <t>L여행사</t>
        </is>
      </c>
      <c r="M2388" s="9">
        <f>IF($A2388="","",VALUE($A2388&amp;"")*12+VALUE($B2388&amp;""))</f>
        <v/>
      </c>
      <c r="N2388" s="64">
        <f>IF($A2388="","",IFERROR(INDEX(부서매핑!$C$5:$C$504,MATCH($G2388&amp;"",부서매핑!$A$5:$A$504,0)),"미매핑"))</f>
        <v/>
      </c>
      <c r="O2388" s="9">
        <f>IF($A2388="","",N2388&amp;"|"&amp;$F2388)</f>
        <v/>
      </c>
      <c r="P2388" s="94">
        <f>IF($A2388="",0,$H2388*설정!$C$23)</f>
        <v/>
      </c>
      <c r="Q2388" s="64">
        <f>IF($A2388="","",IF(O2388&lt;&gt;원인분석!$C$9,"",IF(AND(M2388&gt;=원인분석!$C$10,M2388&lt;=원인분석!$C$11),"당기",IF(AND(M2388&gt;=원인분석!$C$12,M2388&lt;=원인분석!$C$13),"비교",""))))</f>
        <v/>
      </c>
      <c r="R2388" s="9">
        <f>IF(Q2388="","",$K2388&amp;"")</f>
        <v/>
      </c>
      <c r="S2388" s="9">
        <f>IF(Q2388="","",IF(MATCH(R2388,$R$5:$R$100000,0)=ROW()-4,ROW(),""))</f>
        <v/>
      </c>
      <c r="T2388" s="9">
        <f>IF(Q2388="당기",ABS(P2388)+ROW()/1000000000,"")</f>
        <v/>
      </c>
      <c r="U2388" s="9">
        <f>IF(Q2388="비교",ABS(P2388)+ROW()/1000000000,"")</f>
        <v/>
      </c>
      <c r="V2388" s="64">
        <f>IF($A2388="","",IF(COUNTIF(변동분석!$E$7:$E$506,O2388)&gt;0,"Y","N"))</f>
        <v/>
      </c>
      <c r="W2388" s="64">
        <f>IF($A2388="","",IFERROR(INDEX(계정매핑!$D$5:$D$504,MATCH($F2388&amp;"",계정매핑!$A$5:$A$504,0)),"미매핑"))</f>
        <v/>
      </c>
      <c r="X2388" s="9">
        <f>IF($A2388="","",$F2388&amp;"")</f>
        <v/>
      </c>
      <c r="Y2388" s="94">
        <f>IF($A2388="",0,IF(AE2388="직접",IF(AF2388="비귀속",$P2388,0),$P2388*(1-AG2388)*IFERROR(INDEX(계정대체기준!$F$20:$F$49,MATCH($N2388,계정대체기준!$A$20:$A$49,0)),1)))</f>
        <v/>
      </c>
      <c r="Z2388" s="94">
        <f>IF($A2388="",0,IF(AE2388="직접",IF(AF2388="신계약비",$P2388,0),$P2388*(1-AG2388)*IFERROR(INDEX(계정대체기준!$C$20:$C$49,MATCH($N2388,계정대체기준!$A$20:$A$49,0)),0)))</f>
        <v/>
      </c>
      <c r="AA2388" s="94">
        <f>IF($A2388="",0,IF(AE2388="직접",IF(OR(AF2388="유지비",AF2388="손해조사비"),$P2388,0),$P2388*(1-AG2388)*IFERROR(INDEX(계정대체기준!$D$20:$D$49,MATCH($N2388,계정대체기준!$A$20:$A$49,0)),0)))</f>
        <v/>
      </c>
      <c r="AB2388" s="94">
        <f>IF($A2388="",0,IF(AE2388="직접",IF(AF2388="수금비",$P2388,0),$P2388*(1-AG2388)*IFERROR(INDEX(계정대체기준!$E$20:$E$49,MATCH($N2388,계정대체기준!$A$20:$A$49,0)),0)))</f>
        <v/>
      </c>
      <c r="AC2388" s="9">
        <f>IF(AND($A2388&lt;&gt;"",M2388=설정!$C$20,Z2388&gt;0),Z2388+ROW()/1000000000,"")</f>
        <v/>
      </c>
      <c r="AD2388" s="94">
        <f>IF($A2388="",0,$P2388*AG2388)</f>
        <v/>
      </c>
      <c r="AE2388" s="64">
        <f>IF($A2388="","",IFERROR(INDEX(계정매핑!$E$5:$E$504,MATCH($F2388&amp;"",계정매핑!$A$5:$A$504,0))&amp;"","공통비"))</f>
        <v/>
      </c>
      <c r="AF2388" s="64">
        <f>IF($A2388="","",IF(AE2388="직접",IFERROR(INDEX(계정매핑!$F$5:$F$504,MATCH($F2388&amp;"",계정매핑!$A$5:$A$504,0))&amp;"","비귀속"),""))</f>
        <v/>
      </c>
      <c r="AG2388" s="96">
        <f>IF($A2388="",0,IF(AND(AE2388&lt;&gt;"직접",IFERROR(INDEX(계정매핑!$G$5:$G$504,MATCH($F2388&amp;"",계정매핑!$A$5:$A$504,0))&amp;"","")="유지비",COUNTIF(계정대체기준!$A$6:$A$15,$N2388)&gt;0),IFERROR(INDEX(계정대체기준!$E$6:$E$15,MATCH(VALUE($A2388&amp;""),계정대체기준!$D$6:$D$15,0)),0),0))</f>
        <v/>
      </c>
      <c r="AH2388" s="64">
        <f>IF($A2388="","",IF(AD2388=0,"",IF(OR(COUNTIF(계정대체기준!$A$77:$A$86,$N2388)&gt;0,ISNUMBER(MATCH($X2388,계정대체기준!$D$77:$D$86,0)),ISNUMBER(MATCH($F2388,계정대체기준!$D$77:$D$86,0))),"Y","N")))</f>
        <v/>
      </c>
    </row>
    <row r="2389">
      <c r="A2389" s="92" t="n">
        <v>2025</v>
      </c>
      <c r="B2389" s="92" t="n">
        <v>11</v>
      </c>
      <c r="C2389" s="92" t="inlineStr">
        <is>
          <t>5100002385</t>
        </is>
      </c>
      <c r="D2389" s="95" t="n">
        <v>45977</v>
      </c>
      <c r="E2389" s="92" t="inlineStr">
        <is>
          <t>KR</t>
        </is>
      </c>
      <c r="F2389" s="92" t="n">
        <v>62101000</v>
      </c>
      <c r="G2389" s="92" t="n">
        <v>1801</v>
      </c>
      <c r="H2389" s="93" t="n">
        <v>129000</v>
      </c>
      <c r="I2389" s="92" t="inlineStr">
        <is>
          <t>11월 국내출장 - (법인카드)</t>
        </is>
      </c>
      <c r="J2389" s="92" t="inlineStr">
        <is>
          <t>V10010</t>
        </is>
      </c>
      <c r="K2389" s="92" t="inlineStr">
        <is>
          <t>(법인카드)</t>
        </is>
      </c>
      <c r="M2389" s="9">
        <f>IF($A2389="","",VALUE($A2389&amp;"")*12+VALUE($B2389&amp;""))</f>
        <v/>
      </c>
      <c r="N2389" s="64">
        <f>IF($A2389="","",IFERROR(INDEX(부서매핑!$C$5:$C$504,MATCH($G2389&amp;"",부서매핑!$A$5:$A$504,0)),"미매핑"))</f>
        <v/>
      </c>
      <c r="O2389" s="9">
        <f>IF($A2389="","",N2389&amp;"|"&amp;$F2389)</f>
        <v/>
      </c>
      <c r="P2389" s="94">
        <f>IF($A2389="",0,$H2389*설정!$C$23)</f>
        <v/>
      </c>
      <c r="Q2389" s="64">
        <f>IF($A2389="","",IF(O2389&lt;&gt;원인분석!$C$9,"",IF(AND(M2389&gt;=원인분석!$C$10,M2389&lt;=원인분석!$C$11),"당기",IF(AND(M2389&gt;=원인분석!$C$12,M2389&lt;=원인분석!$C$13),"비교",""))))</f>
        <v/>
      </c>
      <c r="R2389" s="9">
        <f>IF(Q2389="","",$K2389&amp;"")</f>
        <v/>
      </c>
      <c r="S2389" s="9">
        <f>IF(Q2389="","",IF(MATCH(R2389,$R$5:$R$100000,0)=ROW()-4,ROW(),""))</f>
        <v/>
      </c>
      <c r="T2389" s="9">
        <f>IF(Q2389="당기",ABS(P2389)+ROW()/1000000000,"")</f>
        <v/>
      </c>
      <c r="U2389" s="9">
        <f>IF(Q2389="비교",ABS(P2389)+ROW()/1000000000,"")</f>
        <v/>
      </c>
      <c r="V2389" s="64">
        <f>IF($A2389="","",IF(COUNTIF(변동분석!$E$7:$E$506,O2389)&gt;0,"Y","N"))</f>
        <v/>
      </c>
      <c r="W2389" s="64">
        <f>IF($A2389="","",IFERROR(INDEX(계정매핑!$D$5:$D$504,MATCH($F2389&amp;"",계정매핑!$A$5:$A$504,0)),"미매핑"))</f>
        <v/>
      </c>
      <c r="X2389" s="9">
        <f>IF($A2389="","",$F2389&amp;"")</f>
        <v/>
      </c>
      <c r="Y2389" s="94">
        <f>IF($A2389="",0,IF(AE2389="직접",IF(AF2389="비귀속",$P2389,0),$P2389*(1-AG2389)*IFERROR(INDEX(계정대체기준!$F$20:$F$49,MATCH($N2389,계정대체기준!$A$20:$A$49,0)),1)))</f>
        <v/>
      </c>
      <c r="Z2389" s="94">
        <f>IF($A2389="",0,IF(AE2389="직접",IF(AF2389="신계약비",$P2389,0),$P2389*(1-AG2389)*IFERROR(INDEX(계정대체기준!$C$20:$C$49,MATCH($N2389,계정대체기준!$A$20:$A$49,0)),0)))</f>
        <v/>
      </c>
      <c r="AA2389" s="94">
        <f>IF($A2389="",0,IF(AE2389="직접",IF(OR(AF2389="유지비",AF2389="손해조사비"),$P2389,0),$P2389*(1-AG2389)*IFERROR(INDEX(계정대체기준!$D$20:$D$49,MATCH($N2389,계정대체기준!$A$20:$A$49,0)),0)))</f>
        <v/>
      </c>
      <c r="AB2389" s="94">
        <f>IF($A2389="",0,IF(AE2389="직접",IF(AF2389="수금비",$P2389,0),$P2389*(1-AG2389)*IFERROR(INDEX(계정대체기준!$E$20:$E$49,MATCH($N2389,계정대체기준!$A$20:$A$49,0)),0)))</f>
        <v/>
      </c>
      <c r="AC2389" s="9">
        <f>IF(AND($A2389&lt;&gt;"",M2389=설정!$C$20,Z2389&gt;0),Z2389+ROW()/1000000000,"")</f>
        <v/>
      </c>
      <c r="AD2389" s="94">
        <f>IF($A2389="",0,$P2389*AG2389)</f>
        <v/>
      </c>
      <c r="AE2389" s="64">
        <f>IF($A2389="","",IFERROR(INDEX(계정매핑!$E$5:$E$504,MATCH($F2389&amp;"",계정매핑!$A$5:$A$504,0))&amp;"","공통비"))</f>
        <v/>
      </c>
      <c r="AF2389" s="64">
        <f>IF($A2389="","",IF(AE2389="직접",IFERROR(INDEX(계정매핑!$F$5:$F$504,MATCH($F2389&amp;"",계정매핑!$A$5:$A$504,0))&amp;"","비귀속"),""))</f>
        <v/>
      </c>
      <c r="AG2389" s="96">
        <f>IF($A2389="",0,IF(AND(AE2389&lt;&gt;"직접",IFERROR(INDEX(계정매핑!$G$5:$G$504,MATCH($F2389&amp;"",계정매핑!$A$5:$A$504,0))&amp;"","")="유지비",COUNTIF(계정대체기준!$A$6:$A$15,$N2389)&gt;0),IFERROR(INDEX(계정대체기준!$E$6:$E$15,MATCH(VALUE($A2389&amp;""),계정대체기준!$D$6:$D$15,0)),0),0))</f>
        <v/>
      </c>
      <c r="AH2389" s="64">
        <f>IF($A2389="","",IF(AD2389=0,"",IF(OR(COUNTIF(계정대체기준!$A$77:$A$86,$N2389)&gt;0,ISNUMBER(MATCH($X2389,계정대체기준!$D$77:$D$86,0)),ISNUMBER(MATCH($F2389,계정대체기준!$D$77:$D$86,0))),"Y","N")))</f>
        <v/>
      </c>
    </row>
    <row r="2390">
      <c r="A2390" s="92" t="n">
        <v>2025</v>
      </c>
      <c r="B2390" s="92" t="n">
        <v>11</v>
      </c>
      <c r="C2390" s="92" t="inlineStr">
        <is>
          <t>5100002386</t>
        </is>
      </c>
      <c r="D2390" s="95" t="n">
        <v>45977</v>
      </c>
      <c r="E2390" s="92" t="inlineStr">
        <is>
          <t>KR</t>
        </is>
      </c>
      <c r="F2390" s="92" t="n">
        <v>62102000</v>
      </c>
      <c r="G2390" s="92" t="n">
        <v>1601</v>
      </c>
      <c r="H2390" s="93" t="n">
        <v>296000</v>
      </c>
      <c r="I2390" s="92" t="inlineStr">
        <is>
          <t>11월 해외출장 - N호텔</t>
        </is>
      </c>
      <c r="J2390" s="92" t="inlineStr">
        <is>
          <t>V10009</t>
        </is>
      </c>
      <c r="K2390" s="92" t="inlineStr">
        <is>
          <t>N호텔</t>
        </is>
      </c>
      <c r="M2390" s="9">
        <f>IF($A2390="","",VALUE($A2390&amp;"")*12+VALUE($B2390&amp;""))</f>
        <v/>
      </c>
      <c r="N2390" s="64">
        <f>IF($A2390="","",IFERROR(INDEX(부서매핑!$C$5:$C$504,MATCH($G2390&amp;"",부서매핑!$A$5:$A$504,0)),"미매핑"))</f>
        <v/>
      </c>
      <c r="O2390" s="9">
        <f>IF($A2390="","",N2390&amp;"|"&amp;$F2390)</f>
        <v/>
      </c>
      <c r="P2390" s="94">
        <f>IF($A2390="",0,$H2390*설정!$C$23)</f>
        <v/>
      </c>
      <c r="Q2390" s="64">
        <f>IF($A2390="","",IF(O2390&lt;&gt;원인분석!$C$9,"",IF(AND(M2390&gt;=원인분석!$C$10,M2390&lt;=원인분석!$C$11),"당기",IF(AND(M2390&gt;=원인분석!$C$12,M2390&lt;=원인분석!$C$13),"비교",""))))</f>
        <v/>
      </c>
      <c r="R2390" s="9">
        <f>IF(Q2390="","",$K2390&amp;"")</f>
        <v/>
      </c>
      <c r="S2390" s="9">
        <f>IF(Q2390="","",IF(MATCH(R2390,$R$5:$R$100000,0)=ROW()-4,ROW(),""))</f>
        <v/>
      </c>
      <c r="T2390" s="9">
        <f>IF(Q2390="당기",ABS(P2390)+ROW()/1000000000,"")</f>
        <v/>
      </c>
      <c r="U2390" s="9">
        <f>IF(Q2390="비교",ABS(P2390)+ROW()/1000000000,"")</f>
        <v/>
      </c>
      <c r="V2390" s="64">
        <f>IF($A2390="","",IF(COUNTIF(변동분석!$E$7:$E$506,O2390)&gt;0,"Y","N"))</f>
        <v/>
      </c>
      <c r="W2390" s="64">
        <f>IF($A2390="","",IFERROR(INDEX(계정매핑!$D$5:$D$504,MATCH($F2390&amp;"",계정매핑!$A$5:$A$504,0)),"미매핑"))</f>
        <v/>
      </c>
      <c r="X2390" s="9">
        <f>IF($A2390="","",$F2390&amp;"")</f>
        <v/>
      </c>
      <c r="Y2390" s="94">
        <f>IF($A2390="",0,IF(AE2390="직접",IF(AF2390="비귀속",$P2390,0),$P2390*(1-AG2390)*IFERROR(INDEX(계정대체기준!$F$20:$F$49,MATCH($N2390,계정대체기준!$A$20:$A$49,0)),1)))</f>
        <v/>
      </c>
      <c r="Z2390" s="94">
        <f>IF($A2390="",0,IF(AE2390="직접",IF(AF2390="신계약비",$P2390,0),$P2390*(1-AG2390)*IFERROR(INDEX(계정대체기준!$C$20:$C$49,MATCH($N2390,계정대체기준!$A$20:$A$49,0)),0)))</f>
        <v/>
      </c>
      <c r="AA2390" s="94">
        <f>IF($A2390="",0,IF(AE2390="직접",IF(OR(AF2390="유지비",AF2390="손해조사비"),$P2390,0),$P2390*(1-AG2390)*IFERROR(INDEX(계정대체기준!$D$20:$D$49,MATCH($N2390,계정대체기준!$A$20:$A$49,0)),0)))</f>
        <v/>
      </c>
      <c r="AB2390" s="94">
        <f>IF($A2390="",0,IF(AE2390="직접",IF(AF2390="수금비",$P2390,0),$P2390*(1-AG2390)*IFERROR(INDEX(계정대체기준!$E$20:$E$49,MATCH($N2390,계정대체기준!$A$20:$A$49,0)),0)))</f>
        <v/>
      </c>
      <c r="AC2390" s="9">
        <f>IF(AND($A2390&lt;&gt;"",M2390=설정!$C$20,Z2390&gt;0),Z2390+ROW()/1000000000,"")</f>
        <v/>
      </c>
      <c r="AD2390" s="94">
        <f>IF($A2390="",0,$P2390*AG2390)</f>
        <v/>
      </c>
      <c r="AE2390" s="64">
        <f>IF($A2390="","",IFERROR(INDEX(계정매핑!$E$5:$E$504,MATCH($F2390&amp;"",계정매핑!$A$5:$A$504,0))&amp;"","공통비"))</f>
        <v/>
      </c>
      <c r="AF2390" s="64">
        <f>IF($A2390="","",IF(AE2390="직접",IFERROR(INDEX(계정매핑!$F$5:$F$504,MATCH($F2390&amp;"",계정매핑!$A$5:$A$504,0))&amp;"","비귀속"),""))</f>
        <v/>
      </c>
      <c r="AG2390" s="96">
        <f>IF($A2390="",0,IF(AND(AE2390&lt;&gt;"직접",IFERROR(INDEX(계정매핑!$G$5:$G$504,MATCH($F2390&amp;"",계정매핑!$A$5:$A$504,0))&amp;"","")="유지비",COUNTIF(계정대체기준!$A$6:$A$15,$N2390)&gt;0),IFERROR(INDEX(계정대체기준!$E$6:$E$15,MATCH(VALUE($A2390&amp;""),계정대체기준!$D$6:$D$15,0)),0),0))</f>
        <v/>
      </c>
      <c r="AH2390" s="64">
        <f>IF($A2390="","",IF(AD2390=0,"",IF(OR(COUNTIF(계정대체기준!$A$77:$A$86,$N2390)&gt;0,ISNUMBER(MATCH($X2390,계정대체기준!$D$77:$D$86,0)),ISNUMBER(MATCH($F2390,계정대체기준!$D$77:$D$86,0))),"Y","N")))</f>
        <v/>
      </c>
    </row>
    <row r="2391">
      <c r="A2391" s="92" t="n">
        <v>2025</v>
      </c>
      <c r="B2391" s="92" t="n">
        <v>11</v>
      </c>
      <c r="C2391" s="92" t="inlineStr">
        <is>
          <t>5100002387</t>
        </is>
      </c>
      <c r="D2391" s="95" t="n">
        <v>45977</v>
      </c>
      <c r="E2391" s="92" t="inlineStr">
        <is>
          <t>KR</t>
        </is>
      </c>
      <c r="F2391" s="92" t="n">
        <v>62102000</v>
      </c>
      <c r="G2391" s="92" t="n">
        <v>1801</v>
      </c>
      <c r="H2391" s="93" t="n">
        <v>46000</v>
      </c>
      <c r="I2391" s="92" t="inlineStr">
        <is>
          <t>11월 해외출장 - N호텔</t>
        </is>
      </c>
      <c r="J2391" s="92" t="inlineStr">
        <is>
          <t>V10009</t>
        </is>
      </c>
      <c r="K2391" s="92" t="inlineStr">
        <is>
          <t>N호텔</t>
        </is>
      </c>
      <c r="M2391" s="9">
        <f>IF($A2391="","",VALUE($A2391&amp;"")*12+VALUE($B2391&amp;""))</f>
        <v/>
      </c>
      <c r="N2391" s="64">
        <f>IF($A2391="","",IFERROR(INDEX(부서매핑!$C$5:$C$504,MATCH($G2391&amp;"",부서매핑!$A$5:$A$504,0)),"미매핑"))</f>
        <v/>
      </c>
      <c r="O2391" s="9">
        <f>IF($A2391="","",N2391&amp;"|"&amp;$F2391)</f>
        <v/>
      </c>
      <c r="P2391" s="94">
        <f>IF($A2391="",0,$H2391*설정!$C$23)</f>
        <v/>
      </c>
      <c r="Q2391" s="64">
        <f>IF($A2391="","",IF(O2391&lt;&gt;원인분석!$C$9,"",IF(AND(M2391&gt;=원인분석!$C$10,M2391&lt;=원인분석!$C$11),"당기",IF(AND(M2391&gt;=원인분석!$C$12,M2391&lt;=원인분석!$C$13),"비교",""))))</f>
        <v/>
      </c>
      <c r="R2391" s="9">
        <f>IF(Q2391="","",$K2391&amp;"")</f>
        <v/>
      </c>
      <c r="S2391" s="9">
        <f>IF(Q2391="","",IF(MATCH(R2391,$R$5:$R$100000,0)=ROW()-4,ROW(),""))</f>
        <v/>
      </c>
      <c r="T2391" s="9">
        <f>IF(Q2391="당기",ABS(P2391)+ROW()/1000000000,"")</f>
        <v/>
      </c>
      <c r="U2391" s="9">
        <f>IF(Q2391="비교",ABS(P2391)+ROW()/1000000000,"")</f>
        <v/>
      </c>
      <c r="V2391" s="64">
        <f>IF($A2391="","",IF(COUNTIF(변동분석!$E$7:$E$506,O2391)&gt;0,"Y","N"))</f>
        <v/>
      </c>
      <c r="W2391" s="64">
        <f>IF($A2391="","",IFERROR(INDEX(계정매핑!$D$5:$D$504,MATCH($F2391&amp;"",계정매핑!$A$5:$A$504,0)),"미매핑"))</f>
        <v/>
      </c>
      <c r="X2391" s="9">
        <f>IF($A2391="","",$F2391&amp;"")</f>
        <v/>
      </c>
      <c r="Y2391" s="94">
        <f>IF($A2391="",0,IF(AE2391="직접",IF(AF2391="비귀속",$P2391,0),$P2391*(1-AG2391)*IFERROR(INDEX(계정대체기준!$F$20:$F$49,MATCH($N2391,계정대체기준!$A$20:$A$49,0)),1)))</f>
        <v/>
      </c>
      <c r="Z2391" s="94">
        <f>IF($A2391="",0,IF(AE2391="직접",IF(AF2391="신계약비",$P2391,0),$P2391*(1-AG2391)*IFERROR(INDEX(계정대체기준!$C$20:$C$49,MATCH($N2391,계정대체기준!$A$20:$A$49,0)),0)))</f>
        <v/>
      </c>
      <c r="AA2391" s="94">
        <f>IF($A2391="",0,IF(AE2391="직접",IF(OR(AF2391="유지비",AF2391="손해조사비"),$P2391,0),$P2391*(1-AG2391)*IFERROR(INDEX(계정대체기준!$D$20:$D$49,MATCH($N2391,계정대체기준!$A$20:$A$49,0)),0)))</f>
        <v/>
      </c>
      <c r="AB2391" s="94">
        <f>IF($A2391="",0,IF(AE2391="직접",IF(AF2391="수금비",$P2391,0),$P2391*(1-AG2391)*IFERROR(INDEX(계정대체기준!$E$20:$E$49,MATCH($N2391,계정대체기준!$A$20:$A$49,0)),0)))</f>
        <v/>
      </c>
      <c r="AC2391" s="9">
        <f>IF(AND($A2391&lt;&gt;"",M2391=설정!$C$20,Z2391&gt;0),Z2391+ROW()/1000000000,"")</f>
        <v/>
      </c>
      <c r="AD2391" s="94">
        <f>IF($A2391="",0,$P2391*AG2391)</f>
        <v/>
      </c>
      <c r="AE2391" s="64">
        <f>IF($A2391="","",IFERROR(INDEX(계정매핑!$E$5:$E$504,MATCH($F2391&amp;"",계정매핑!$A$5:$A$504,0))&amp;"","공통비"))</f>
        <v/>
      </c>
      <c r="AF2391" s="64">
        <f>IF($A2391="","",IF(AE2391="직접",IFERROR(INDEX(계정매핑!$F$5:$F$504,MATCH($F2391&amp;"",계정매핑!$A$5:$A$504,0))&amp;"","비귀속"),""))</f>
        <v/>
      </c>
      <c r="AG2391" s="96">
        <f>IF($A2391="",0,IF(AND(AE2391&lt;&gt;"직접",IFERROR(INDEX(계정매핑!$G$5:$G$504,MATCH($F2391&amp;"",계정매핑!$A$5:$A$504,0))&amp;"","")="유지비",COUNTIF(계정대체기준!$A$6:$A$15,$N2391)&gt;0),IFERROR(INDEX(계정대체기준!$E$6:$E$15,MATCH(VALUE($A2391&amp;""),계정대체기준!$D$6:$D$15,0)),0),0))</f>
        <v/>
      </c>
      <c r="AH2391" s="64">
        <f>IF($A2391="","",IF(AD2391=0,"",IF(OR(COUNTIF(계정대체기준!$A$77:$A$86,$N2391)&gt;0,ISNUMBER(MATCH($X2391,계정대체기준!$D$77:$D$86,0)),ISNUMBER(MATCH($F2391,계정대체기준!$D$77:$D$86,0))),"Y","N")))</f>
        <v/>
      </c>
    </row>
    <row r="2392">
      <c r="A2392" s="92" t="n">
        <v>2025</v>
      </c>
      <c r="B2392" s="92" t="n">
        <v>11</v>
      </c>
      <c r="C2392" s="92" t="inlineStr">
        <is>
          <t>5100002388</t>
        </is>
      </c>
      <c r="D2392" s="95" t="n">
        <v>45977</v>
      </c>
      <c r="E2392" s="92" t="inlineStr">
        <is>
          <t>KR</t>
        </is>
      </c>
      <c r="F2392" s="92" t="n">
        <v>62301000</v>
      </c>
      <c r="G2392" s="92" t="n">
        <v>1201</v>
      </c>
      <c r="H2392" s="93" t="n">
        <v>168000</v>
      </c>
      <c r="I2392" s="92" t="inlineStr">
        <is>
          <t>11월 소모품 구입 - R문구</t>
        </is>
      </c>
      <c r="J2392" s="92" t="inlineStr">
        <is>
          <t>V10022</t>
        </is>
      </c>
      <c r="K2392" s="92" t="inlineStr">
        <is>
          <t>R문구</t>
        </is>
      </c>
      <c r="M2392" s="9">
        <f>IF($A2392="","",VALUE($A2392&amp;"")*12+VALUE($B2392&amp;""))</f>
        <v/>
      </c>
      <c r="N2392" s="64">
        <f>IF($A2392="","",IFERROR(INDEX(부서매핑!$C$5:$C$504,MATCH($G2392&amp;"",부서매핑!$A$5:$A$504,0)),"미매핑"))</f>
        <v/>
      </c>
      <c r="O2392" s="9">
        <f>IF($A2392="","",N2392&amp;"|"&amp;$F2392)</f>
        <v/>
      </c>
      <c r="P2392" s="94">
        <f>IF($A2392="",0,$H2392*설정!$C$23)</f>
        <v/>
      </c>
      <c r="Q2392" s="64">
        <f>IF($A2392="","",IF(O2392&lt;&gt;원인분석!$C$9,"",IF(AND(M2392&gt;=원인분석!$C$10,M2392&lt;=원인분석!$C$11),"당기",IF(AND(M2392&gt;=원인분석!$C$12,M2392&lt;=원인분석!$C$13),"비교",""))))</f>
        <v/>
      </c>
      <c r="R2392" s="9">
        <f>IF(Q2392="","",$K2392&amp;"")</f>
        <v/>
      </c>
      <c r="S2392" s="9">
        <f>IF(Q2392="","",IF(MATCH(R2392,$R$5:$R$100000,0)=ROW()-4,ROW(),""))</f>
        <v/>
      </c>
      <c r="T2392" s="9">
        <f>IF(Q2392="당기",ABS(P2392)+ROW()/1000000000,"")</f>
        <v/>
      </c>
      <c r="U2392" s="9">
        <f>IF(Q2392="비교",ABS(P2392)+ROW()/1000000000,"")</f>
        <v/>
      </c>
      <c r="V2392" s="64">
        <f>IF($A2392="","",IF(COUNTIF(변동분석!$E$7:$E$506,O2392)&gt;0,"Y","N"))</f>
        <v/>
      </c>
      <c r="W2392" s="64">
        <f>IF($A2392="","",IFERROR(INDEX(계정매핑!$D$5:$D$504,MATCH($F2392&amp;"",계정매핑!$A$5:$A$504,0)),"미매핑"))</f>
        <v/>
      </c>
      <c r="X2392" s="9">
        <f>IF($A2392="","",$F2392&amp;"")</f>
        <v/>
      </c>
      <c r="Y2392" s="94">
        <f>IF($A2392="",0,IF(AE2392="직접",IF(AF2392="비귀속",$P2392,0),$P2392*(1-AG2392)*IFERROR(INDEX(계정대체기준!$F$20:$F$49,MATCH($N2392,계정대체기준!$A$20:$A$49,0)),1)))</f>
        <v/>
      </c>
      <c r="Z2392" s="94">
        <f>IF($A2392="",0,IF(AE2392="직접",IF(AF2392="신계약비",$P2392,0),$P2392*(1-AG2392)*IFERROR(INDEX(계정대체기준!$C$20:$C$49,MATCH($N2392,계정대체기준!$A$20:$A$49,0)),0)))</f>
        <v/>
      </c>
      <c r="AA2392" s="94">
        <f>IF($A2392="",0,IF(AE2392="직접",IF(OR(AF2392="유지비",AF2392="손해조사비"),$P2392,0),$P2392*(1-AG2392)*IFERROR(INDEX(계정대체기준!$D$20:$D$49,MATCH($N2392,계정대체기준!$A$20:$A$49,0)),0)))</f>
        <v/>
      </c>
      <c r="AB2392" s="94">
        <f>IF($A2392="",0,IF(AE2392="직접",IF(AF2392="수금비",$P2392,0),$P2392*(1-AG2392)*IFERROR(INDEX(계정대체기준!$E$20:$E$49,MATCH($N2392,계정대체기준!$A$20:$A$49,0)),0)))</f>
        <v/>
      </c>
      <c r="AC2392" s="9">
        <f>IF(AND($A2392&lt;&gt;"",M2392=설정!$C$20,Z2392&gt;0),Z2392+ROW()/1000000000,"")</f>
        <v/>
      </c>
      <c r="AD2392" s="94">
        <f>IF($A2392="",0,$P2392*AG2392)</f>
        <v/>
      </c>
      <c r="AE2392" s="64">
        <f>IF($A2392="","",IFERROR(INDEX(계정매핑!$E$5:$E$504,MATCH($F2392&amp;"",계정매핑!$A$5:$A$504,0))&amp;"","공통비"))</f>
        <v/>
      </c>
      <c r="AF2392" s="64">
        <f>IF($A2392="","",IF(AE2392="직접",IFERROR(INDEX(계정매핑!$F$5:$F$504,MATCH($F2392&amp;"",계정매핑!$A$5:$A$504,0))&amp;"","비귀속"),""))</f>
        <v/>
      </c>
      <c r="AG2392" s="96">
        <f>IF($A2392="",0,IF(AND(AE2392&lt;&gt;"직접",IFERROR(INDEX(계정매핑!$G$5:$G$504,MATCH($F2392&amp;"",계정매핑!$A$5:$A$504,0))&amp;"","")="유지비",COUNTIF(계정대체기준!$A$6:$A$15,$N2392)&gt;0),IFERROR(INDEX(계정대체기준!$E$6:$E$15,MATCH(VALUE($A2392&amp;""),계정대체기준!$D$6:$D$15,0)),0),0))</f>
        <v/>
      </c>
      <c r="AH2392" s="64">
        <f>IF($A2392="","",IF(AD2392=0,"",IF(OR(COUNTIF(계정대체기준!$A$77:$A$86,$N2392)&gt;0,ISNUMBER(MATCH($X2392,계정대체기준!$D$77:$D$86,0)),ISNUMBER(MATCH($F2392,계정대체기준!$D$77:$D$86,0))),"Y","N")))</f>
        <v/>
      </c>
    </row>
    <row r="2393">
      <c r="A2393" s="92" t="n">
        <v>2025</v>
      </c>
      <c r="B2393" s="92" t="n">
        <v>11</v>
      </c>
      <c r="C2393" s="92" t="inlineStr">
        <is>
          <t>5100002389</t>
        </is>
      </c>
      <c r="D2393" s="95" t="n">
        <v>45977</v>
      </c>
      <c r="E2393" s="92" t="inlineStr">
        <is>
          <t>KR</t>
        </is>
      </c>
      <c r="F2393" s="92" t="n">
        <v>62301000</v>
      </c>
      <c r="G2393" s="92" t="n">
        <v>1301</v>
      </c>
      <c r="H2393" s="93" t="n">
        <v>273000</v>
      </c>
      <c r="I2393" s="92" t="inlineStr">
        <is>
          <t>11월 소모품 구입 - R문구</t>
        </is>
      </c>
      <c r="J2393" s="92" t="inlineStr">
        <is>
          <t>V10022</t>
        </is>
      </c>
      <c r="K2393" s="92" t="inlineStr">
        <is>
          <t>R문구</t>
        </is>
      </c>
      <c r="M2393" s="9">
        <f>IF($A2393="","",VALUE($A2393&amp;"")*12+VALUE($B2393&amp;""))</f>
        <v/>
      </c>
      <c r="N2393" s="64">
        <f>IF($A2393="","",IFERROR(INDEX(부서매핑!$C$5:$C$504,MATCH($G2393&amp;"",부서매핑!$A$5:$A$504,0)),"미매핑"))</f>
        <v/>
      </c>
      <c r="O2393" s="9">
        <f>IF($A2393="","",N2393&amp;"|"&amp;$F2393)</f>
        <v/>
      </c>
      <c r="P2393" s="94">
        <f>IF($A2393="",0,$H2393*설정!$C$23)</f>
        <v/>
      </c>
      <c r="Q2393" s="64">
        <f>IF($A2393="","",IF(O2393&lt;&gt;원인분석!$C$9,"",IF(AND(M2393&gt;=원인분석!$C$10,M2393&lt;=원인분석!$C$11),"당기",IF(AND(M2393&gt;=원인분석!$C$12,M2393&lt;=원인분석!$C$13),"비교",""))))</f>
        <v/>
      </c>
      <c r="R2393" s="9">
        <f>IF(Q2393="","",$K2393&amp;"")</f>
        <v/>
      </c>
      <c r="S2393" s="9">
        <f>IF(Q2393="","",IF(MATCH(R2393,$R$5:$R$100000,0)=ROW()-4,ROW(),""))</f>
        <v/>
      </c>
      <c r="T2393" s="9">
        <f>IF(Q2393="당기",ABS(P2393)+ROW()/1000000000,"")</f>
        <v/>
      </c>
      <c r="U2393" s="9">
        <f>IF(Q2393="비교",ABS(P2393)+ROW()/1000000000,"")</f>
        <v/>
      </c>
      <c r="V2393" s="64">
        <f>IF($A2393="","",IF(COUNTIF(변동분석!$E$7:$E$506,O2393)&gt;0,"Y","N"))</f>
        <v/>
      </c>
      <c r="W2393" s="64">
        <f>IF($A2393="","",IFERROR(INDEX(계정매핑!$D$5:$D$504,MATCH($F2393&amp;"",계정매핑!$A$5:$A$504,0)),"미매핑"))</f>
        <v/>
      </c>
      <c r="X2393" s="9">
        <f>IF($A2393="","",$F2393&amp;"")</f>
        <v/>
      </c>
      <c r="Y2393" s="94">
        <f>IF($A2393="",0,IF(AE2393="직접",IF(AF2393="비귀속",$P2393,0),$P2393*(1-AG2393)*IFERROR(INDEX(계정대체기준!$F$20:$F$49,MATCH($N2393,계정대체기준!$A$20:$A$49,0)),1)))</f>
        <v/>
      </c>
      <c r="Z2393" s="94">
        <f>IF($A2393="",0,IF(AE2393="직접",IF(AF2393="신계약비",$P2393,0),$P2393*(1-AG2393)*IFERROR(INDEX(계정대체기준!$C$20:$C$49,MATCH($N2393,계정대체기준!$A$20:$A$49,0)),0)))</f>
        <v/>
      </c>
      <c r="AA2393" s="94">
        <f>IF($A2393="",0,IF(AE2393="직접",IF(OR(AF2393="유지비",AF2393="손해조사비"),$P2393,0),$P2393*(1-AG2393)*IFERROR(INDEX(계정대체기준!$D$20:$D$49,MATCH($N2393,계정대체기준!$A$20:$A$49,0)),0)))</f>
        <v/>
      </c>
      <c r="AB2393" s="94">
        <f>IF($A2393="",0,IF(AE2393="직접",IF(AF2393="수금비",$P2393,0),$P2393*(1-AG2393)*IFERROR(INDEX(계정대체기준!$E$20:$E$49,MATCH($N2393,계정대체기준!$A$20:$A$49,0)),0)))</f>
        <v/>
      </c>
      <c r="AC2393" s="9">
        <f>IF(AND($A2393&lt;&gt;"",M2393=설정!$C$20,Z2393&gt;0),Z2393+ROW()/1000000000,"")</f>
        <v/>
      </c>
      <c r="AD2393" s="94">
        <f>IF($A2393="",0,$P2393*AG2393)</f>
        <v/>
      </c>
      <c r="AE2393" s="64">
        <f>IF($A2393="","",IFERROR(INDEX(계정매핑!$E$5:$E$504,MATCH($F2393&amp;"",계정매핑!$A$5:$A$504,0))&amp;"","공통비"))</f>
        <v/>
      </c>
      <c r="AF2393" s="64">
        <f>IF($A2393="","",IF(AE2393="직접",IFERROR(INDEX(계정매핑!$F$5:$F$504,MATCH($F2393&amp;"",계정매핑!$A$5:$A$504,0))&amp;"","비귀속"),""))</f>
        <v/>
      </c>
      <c r="AG2393" s="96">
        <f>IF($A2393="",0,IF(AND(AE2393&lt;&gt;"직접",IFERROR(INDEX(계정매핑!$G$5:$G$504,MATCH($F2393&amp;"",계정매핑!$A$5:$A$504,0))&amp;"","")="유지비",COUNTIF(계정대체기준!$A$6:$A$15,$N2393)&gt;0),IFERROR(INDEX(계정대체기준!$E$6:$E$15,MATCH(VALUE($A2393&amp;""),계정대체기준!$D$6:$D$15,0)),0),0))</f>
        <v/>
      </c>
      <c r="AH2393" s="64">
        <f>IF($A2393="","",IF(AD2393=0,"",IF(OR(COUNTIF(계정대체기준!$A$77:$A$86,$N2393)&gt;0,ISNUMBER(MATCH($X2393,계정대체기준!$D$77:$D$86,0)),ISNUMBER(MATCH($F2393,계정대체기준!$D$77:$D$86,0))),"Y","N")))</f>
        <v/>
      </c>
    </row>
    <row r="2394">
      <c r="A2394" s="92" t="n">
        <v>2025</v>
      </c>
      <c r="B2394" s="92" t="n">
        <v>11</v>
      </c>
      <c r="C2394" s="92" t="inlineStr">
        <is>
          <t>5100002390</t>
        </is>
      </c>
      <c r="D2394" s="95" t="n">
        <v>45977</v>
      </c>
      <c r="E2394" s="92" t="inlineStr">
        <is>
          <t>KR</t>
        </is>
      </c>
      <c r="F2394" s="92" t="n">
        <v>63001000</v>
      </c>
      <c r="G2394" s="92" t="n">
        <v>1701</v>
      </c>
      <c r="H2394" s="93" t="n">
        <v>43319000</v>
      </c>
      <c r="I2394" s="92" t="inlineStr">
        <is>
          <t>11월 SW 유지보수 - Y소프트</t>
        </is>
      </c>
      <c r="J2394" s="92" t="inlineStr">
        <is>
          <t>V10017</t>
        </is>
      </c>
      <c r="K2394" s="92" t="inlineStr">
        <is>
          <t>Y소프트</t>
        </is>
      </c>
      <c r="M2394" s="9">
        <f>IF($A2394="","",VALUE($A2394&amp;"")*12+VALUE($B2394&amp;""))</f>
        <v/>
      </c>
      <c r="N2394" s="64">
        <f>IF($A2394="","",IFERROR(INDEX(부서매핑!$C$5:$C$504,MATCH($G2394&amp;"",부서매핑!$A$5:$A$504,0)),"미매핑"))</f>
        <v/>
      </c>
      <c r="O2394" s="9">
        <f>IF($A2394="","",N2394&amp;"|"&amp;$F2394)</f>
        <v/>
      </c>
      <c r="P2394" s="94">
        <f>IF($A2394="",0,$H2394*설정!$C$23)</f>
        <v/>
      </c>
      <c r="Q2394" s="64">
        <f>IF($A2394="","",IF(O2394&lt;&gt;원인분석!$C$9,"",IF(AND(M2394&gt;=원인분석!$C$10,M2394&lt;=원인분석!$C$11),"당기",IF(AND(M2394&gt;=원인분석!$C$12,M2394&lt;=원인분석!$C$13),"비교",""))))</f>
        <v/>
      </c>
      <c r="R2394" s="9">
        <f>IF(Q2394="","",$K2394&amp;"")</f>
        <v/>
      </c>
      <c r="S2394" s="9">
        <f>IF(Q2394="","",IF(MATCH(R2394,$R$5:$R$100000,0)=ROW()-4,ROW(),""))</f>
        <v/>
      </c>
      <c r="T2394" s="9">
        <f>IF(Q2394="당기",ABS(P2394)+ROW()/1000000000,"")</f>
        <v/>
      </c>
      <c r="U2394" s="9">
        <f>IF(Q2394="비교",ABS(P2394)+ROW()/1000000000,"")</f>
        <v/>
      </c>
      <c r="V2394" s="64">
        <f>IF($A2394="","",IF(COUNTIF(변동분석!$E$7:$E$506,O2394)&gt;0,"Y","N"))</f>
        <v/>
      </c>
      <c r="W2394" s="64">
        <f>IF($A2394="","",IFERROR(INDEX(계정매핑!$D$5:$D$504,MATCH($F2394&amp;"",계정매핑!$A$5:$A$504,0)),"미매핑"))</f>
        <v/>
      </c>
      <c r="X2394" s="9">
        <f>IF($A2394="","",$F2394&amp;"")</f>
        <v/>
      </c>
      <c r="Y2394" s="94">
        <f>IF($A2394="",0,IF(AE2394="직접",IF(AF2394="비귀속",$P2394,0),$P2394*(1-AG2394)*IFERROR(INDEX(계정대체기준!$F$20:$F$49,MATCH($N2394,계정대체기준!$A$20:$A$49,0)),1)))</f>
        <v/>
      </c>
      <c r="Z2394" s="94">
        <f>IF($A2394="",0,IF(AE2394="직접",IF(AF2394="신계약비",$P2394,0),$P2394*(1-AG2394)*IFERROR(INDEX(계정대체기준!$C$20:$C$49,MATCH($N2394,계정대체기준!$A$20:$A$49,0)),0)))</f>
        <v/>
      </c>
      <c r="AA2394" s="94">
        <f>IF($A2394="",0,IF(AE2394="직접",IF(OR(AF2394="유지비",AF2394="손해조사비"),$P2394,0),$P2394*(1-AG2394)*IFERROR(INDEX(계정대체기준!$D$20:$D$49,MATCH($N2394,계정대체기준!$A$20:$A$49,0)),0)))</f>
        <v/>
      </c>
      <c r="AB2394" s="94">
        <f>IF($A2394="",0,IF(AE2394="직접",IF(AF2394="수금비",$P2394,0),$P2394*(1-AG2394)*IFERROR(INDEX(계정대체기준!$E$20:$E$49,MATCH($N2394,계정대체기준!$A$20:$A$49,0)),0)))</f>
        <v/>
      </c>
      <c r="AC2394" s="9">
        <f>IF(AND($A2394&lt;&gt;"",M2394=설정!$C$20,Z2394&gt;0),Z2394+ROW()/1000000000,"")</f>
        <v/>
      </c>
      <c r="AD2394" s="94">
        <f>IF($A2394="",0,$P2394*AG2394)</f>
        <v/>
      </c>
      <c r="AE2394" s="64">
        <f>IF($A2394="","",IFERROR(INDEX(계정매핑!$E$5:$E$504,MATCH($F2394&amp;"",계정매핑!$A$5:$A$504,0))&amp;"","공통비"))</f>
        <v/>
      </c>
      <c r="AF2394" s="64">
        <f>IF($A2394="","",IF(AE2394="직접",IFERROR(INDEX(계정매핑!$F$5:$F$504,MATCH($F2394&amp;"",계정매핑!$A$5:$A$504,0))&amp;"","비귀속"),""))</f>
        <v/>
      </c>
      <c r="AG2394" s="96">
        <f>IF($A2394="",0,IF(AND(AE2394&lt;&gt;"직접",IFERROR(INDEX(계정매핑!$G$5:$G$504,MATCH($F2394&amp;"",계정매핑!$A$5:$A$504,0))&amp;"","")="유지비",COUNTIF(계정대체기준!$A$6:$A$15,$N2394)&gt;0),IFERROR(INDEX(계정대체기준!$E$6:$E$15,MATCH(VALUE($A2394&amp;""),계정대체기준!$D$6:$D$15,0)),0),0))</f>
        <v/>
      </c>
      <c r="AH2394" s="64">
        <f>IF($A2394="","",IF(AD2394=0,"",IF(OR(COUNTIF(계정대체기준!$A$77:$A$86,$N2394)&gt;0,ISNUMBER(MATCH($X2394,계정대체기준!$D$77:$D$86,0)),ISNUMBER(MATCH($F2394,계정대체기준!$D$77:$D$86,0))),"Y","N")))</f>
        <v/>
      </c>
    </row>
    <row r="2395">
      <c r="A2395" s="92" t="n">
        <v>2025</v>
      </c>
      <c r="B2395" s="92" t="n">
        <v>11</v>
      </c>
      <c r="C2395" s="92" t="inlineStr">
        <is>
          <t>5100002391</t>
        </is>
      </c>
      <c r="D2395" s="95" t="n">
        <v>45977</v>
      </c>
      <c r="E2395" s="92" t="inlineStr">
        <is>
          <t>KR</t>
        </is>
      </c>
      <c r="F2395" s="92" t="n">
        <v>63501000</v>
      </c>
      <c r="G2395" s="92" t="n">
        <v>1901</v>
      </c>
      <c r="H2395" s="93" t="n">
        <v>351977000</v>
      </c>
      <c r="I2395" s="92" t="inlineStr">
        <is>
          <t>11월 모집수수료 - (전속설계사)</t>
        </is>
      </c>
      <c r="J2395" s="92" t="inlineStr">
        <is>
          <t>V10021</t>
        </is>
      </c>
      <c r="K2395" s="92" t="inlineStr">
        <is>
          <t>(전속설계사)</t>
        </is>
      </c>
      <c r="M2395" s="9">
        <f>IF($A2395="","",VALUE($A2395&amp;"")*12+VALUE($B2395&amp;""))</f>
        <v/>
      </c>
      <c r="N2395" s="64">
        <f>IF($A2395="","",IFERROR(INDEX(부서매핑!$C$5:$C$504,MATCH($G2395&amp;"",부서매핑!$A$5:$A$504,0)),"미매핑"))</f>
        <v/>
      </c>
      <c r="O2395" s="9">
        <f>IF($A2395="","",N2395&amp;"|"&amp;$F2395)</f>
        <v/>
      </c>
      <c r="P2395" s="94">
        <f>IF($A2395="",0,$H2395*설정!$C$23)</f>
        <v/>
      </c>
      <c r="Q2395" s="64">
        <f>IF($A2395="","",IF(O2395&lt;&gt;원인분석!$C$9,"",IF(AND(M2395&gt;=원인분석!$C$10,M2395&lt;=원인분석!$C$11),"당기",IF(AND(M2395&gt;=원인분석!$C$12,M2395&lt;=원인분석!$C$13),"비교",""))))</f>
        <v/>
      </c>
      <c r="R2395" s="9">
        <f>IF(Q2395="","",$K2395&amp;"")</f>
        <v/>
      </c>
      <c r="S2395" s="9">
        <f>IF(Q2395="","",IF(MATCH(R2395,$R$5:$R$100000,0)=ROW()-4,ROW(),""))</f>
        <v/>
      </c>
      <c r="T2395" s="9">
        <f>IF(Q2395="당기",ABS(P2395)+ROW()/1000000000,"")</f>
        <v/>
      </c>
      <c r="U2395" s="9">
        <f>IF(Q2395="비교",ABS(P2395)+ROW()/1000000000,"")</f>
        <v/>
      </c>
      <c r="V2395" s="64">
        <f>IF($A2395="","",IF(COUNTIF(변동분석!$E$7:$E$506,O2395)&gt;0,"Y","N"))</f>
        <v/>
      </c>
      <c r="W2395" s="64">
        <f>IF($A2395="","",IFERROR(INDEX(계정매핑!$D$5:$D$504,MATCH($F2395&amp;"",계정매핑!$A$5:$A$504,0)),"미매핑"))</f>
        <v/>
      </c>
      <c r="X2395" s="9">
        <f>IF($A2395="","",$F2395&amp;"")</f>
        <v/>
      </c>
      <c r="Y2395" s="94">
        <f>IF($A2395="",0,IF(AE2395="직접",IF(AF2395="비귀속",$P2395,0),$P2395*(1-AG2395)*IFERROR(INDEX(계정대체기준!$F$20:$F$49,MATCH($N2395,계정대체기준!$A$20:$A$49,0)),1)))</f>
        <v/>
      </c>
      <c r="Z2395" s="94">
        <f>IF($A2395="",0,IF(AE2395="직접",IF(AF2395="신계약비",$P2395,0),$P2395*(1-AG2395)*IFERROR(INDEX(계정대체기준!$C$20:$C$49,MATCH($N2395,계정대체기준!$A$20:$A$49,0)),0)))</f>
        <v/>
      </c>
      <c r="AA2395" s="94">
        <f>IF($A2395="",0,IF(AE2395="직접",IF(OR(AF2395="유지비",AF2395="손해조사비"),$P2395,0),$P2395*(1-AG2395)*IFERROR(INDEX(계정대체기준!$D$20:$D$49,MATCH($N2395,계정대체기준!$A$20:$A$49,0)),0)))</f>
        <v/>
      </c>
      <c r="AB2395" s="94">
        <f>IF($A2395="",0,IF(AE2395="직접",IF(AF2395="수금비",$P2395,0),$P2395*(1-AG2395)*IFERROR(INDEX(계정대체기준!$E$20:$E$49,MATCH($N2395,계정대체기준!$A$20:$A$49,0)),0)))</f>
        <v/>
      </c>
      <c r="AC2395" s="9">
        <f>IF(AND($A2395&lt;&gt;"",M2395=설정!$C$20,Z2395&gt;0),Z2395+ROW()/1000000000,"")</f>
        <v/>
      </c>
      <c r="AD2395" s="94">
        <f>IF($A2395="",0,$P2395*AG2395)</f>
        <v/>
      </c>
      <c r="AE2395" s="64">
        <f>IF($A2395="","",IFERROR(INDEX(계정매핑!$E$5:$E$504,MATCH($F2395&amp;"",계정매핑!$A$5:$A$504,0))&amp;"","공통비"))</f>
        <v/>
      </c>
      <c r="AF2395" s="64">
        <f>IF($A2395="","",IF(AE2395="직접",IFERROR(INDEX(계정매핑!$F$5:$F$504,MATCH($F2395&amp;"",계정매핑!$A$5:$A$504,0))&amp;"","비귀속"),""))</f>
        <v/>
      </c>
      <c r="AG2395" s="96">
        <f>IF($A2395="",0,IF(AND(AE2395&lt;&gt;"직접",IFERROR(INDEX(계정매핑!$G$5:$G$504,MATCH($F2395&amp;"",계정매핑!$A$5:$A$504,0))&amp;"","")="유지비",COUNTIF(계정대체기준!$A$6:$A$15,$N2395)&gt;0),IFERROR(INDEX(계정대체기준!$E$6:$E$15,MATCH(VALUE($A2395&amp;""),계정대체기준!$D$6:$D$15,0)),0),0))</f>
        <v/>
      </c>
      <c r="AH2395" s="64">
        <f>IF($A2395="","",IF(AD2395=0,"",IF(OR(COUNTIF(계정대체기준!$A$77:$A$86,$N2395)&gt;0,ISNUMBER(MATCH($X2395,계정대체기준!$D$77:$D$86,0)),ISNUMBER(MATCH($F2395,계정대체기준!$D$77:$D$86,0))),"Y","N")))</f>
        <v/>
      </c>
    </row>
    <row r="2396">
      <c r="A2396" s="92" t="n">
        <v>2025</v>
      </c>
      <c r="B2396" s="92" t="n">
        <v>11</v>
      </c>
      <c r="C2396" s="92" t="inlineStr">
        <is>
          <t>5100002392</t>
        </is>
      </c>
      <c r="D2396" s="95" t="n">
        <v>45977</v>
      </c>
      <c r="E2396" s="92" t="inlineStr">
        <is>
          <t>KR</t>
        </is>
      </c>
      <c r="F2396" s="92" t="n">
        <v>63601000</v>
      </c>
      <c r="G2396" s="92" t="n">
        <v>1801</v>
      </c>
      <c r="H2396" s="93" t="n">
        <v>9954000</v>
      </c>
      <c r="I2396" s="92" t="inlineStr">
        <is>
          <t>11월 손해사정 수수료 - EE손해사정</t>
        </is>
      </c>
      <c r="J2396" s="92" t="inlineStr">
        <is>
          <t>V10008</t>
        </is>
      </c>
      <c r="K2396" s="92" t="inlineStr">
        <is>
          <t>EE손해사정</t>
        </is>
      </c>
      <c r="M2396" s="9">
        <f>IF($A2396="","",VALUE($A2396&amp;"")*12+VALUE($B2396&amp;""))</f>
        <v/>
      </c>
      <c r="N2396" s="64">
        <f>IF($A2396="","",IFERROR(INDEX(부서매핑!$C$5:$C$504,MATCH($G2396&amp;"",부서매핑!$A$5:$A$504,0)),"미매핑"))</f>
        <v/>
      </c>
      <c r="O2396" s="9">
        <f>IF($A2396="","",N2396&amp;"|"&amp;$F2396)</f>
        <v/>
      </c>
      <c r="P2396" s="94">
        <f>IF($A2396="",0,$H2396*설정!$C$23)</f>
        <v/>
      </c>
      <c r="Q2396" s="64">
        <f>IF($A2396="","",IF(O2396&lt;&gt;원인분석!$C$9,"",IF(AND(M2396&gt;=원인분석!$C$10,M2396&lt;=원인분석!$C$11),"당기",IF(AND(M2396&gt;=원인분석!$C$12,M2396&lt;=원인분석!$C$13),"비교",""))))</f>
        <v/>
      </c>
      <c r="R2396" s="9">
        <f>IF(Q2396="","",$K2396&amp;"")</f>
        <v/>
      </c>
      <c r="S2396" s="9">
        <f>IF(Q2396="","",IF(MATCH(R2396,$R$5:$R$100000,0)=ROW()-4,ROW(),""))</f>
        <v/>
      </c>
      <c r="T2396" s="9">
        <f>IF(Q2396="당기",ABS(P2396)+ROW()/1000000000,"")</f>
        <v/>
      </c>
      <c r="U2396" s="9">
        <f>IF(Q2396="비교",ABS(P2396)+ROW()/1000000000,"")</f>
        <v/>
      </c>
      <c r="V2396" s="64">
        <f>IF($A2396="","",IF(COUNTIF(변동분석!$E$7:$E$506,O2396)&gt;0,"Y","N"))</f>
        <v/>
      </c>
      <c r="W2396" s="64">
        <f>IF($A2396="","",IFERROR(INDEX(계정매핑!$D$5:$D$504,MATCH($F2396&amp;"",계정매핑!$A$5:$A$504,0)),"미매핑"))</f>
        <v/>
      </c>
      <c r="X2396" s="9">
        <f>IF($A2396="","",$F2396&amp;"")</f>
        <v/>
      </c>
      <c r="Y2396" s="94">
        <f>IF($A2396="",0,IF(AE2396="직접",IF(AF2396="비귀속",$P2396,0),$P2396*(1-AG2396)*IFERROR(INDEX(계정대체기준!$F$20:$F$49,MATCH($N2396,계정대체기준!$A$20:$A$49,0)),1)))</f>
        <v/>
      </c>
      <c r="Z2396" s="94">
        <f>IF($A2396="",0,IF(AE2396="직접",IF(AF2396="신계약비",$P2396,0),$P2396*(1-AG2396)*IFERROR(INDEX(계정대체기준!$C$20:$C$49,MATCH($N2396,계정대체기준!$A$20:$A$49,0)),0)))</f>
        <v/>
      </c>
      <c r="AA2396" s="94">
        <f>IF($A2396="",0,IF(AE2396="직접",IF(OR(AF2396="유지비",AF2396="손해조사비"),$P2396,0),$P2396*(1-AG2396)*IFERROR(INDEX(계정대체기준!$D$20:$D$49,MATCH($N2396,계정대체기준!$A$20:$A$49,0)),0)))</f>
        <v/>
      </c>
      <c r="AB2396" s="94">
        <f>IF($A2396="",0,IF(AE2396="직접",IF(AF2396="수금비",$P2396,0),$P2396*(1-AG2396)*IFERROR(INDEX(계정대체기준!$E$20:$E$49,MATCH($N2396,계정대체기준!$A$20:$A$49,0)),0)))</f>
        <v/>
      </c>
      <c r="AC2396" s="9">
        <f>IF(AND($A2396&lt;&gt;"",M2396=설정!$C$20,Z2396&gt;0),Z2396+ROW()/1000000000,"")</f>
        <v/>
      </c>
      <c r="AD2396" s="94">
        <f>IF($A2396="",0,$P2396*AG2396)</f>
        <v/>
      </c>
      <c r="AE2396" s="64">
        <f>IF($A2396="","",IFERROR(INDEX(계정매핑!$E$5:$E$504,MATCH($F2396&amp;"",계정매핑!$A$5:$A$504,0))&amp;"","공통비"))</f>
        <v/>
      </c>
      <c r="AF2396" s="64">
        <f>IF($A2396="","",IF(AE2396="직접",IFERROR(INDEX(계정매핑!$F$5:$F$504,MATCH($F2396&amp;"",계정매핑!$A$5:$A$504,0))&amp;"","비귀속"),""))</f>
        <v/>
      </c>
      <c r="AG2396" s="96">
        <f>IF($A2396="",0,IF(AND(AE2396&lt;&gt;"직접",IFERROR(INDEX(계정매핑!$G$5:$G$504,MATCH($F2396&amp;"",계정매핑!$A$5:$A$504,0))&amp;"","")="유지비",COUNTIF(계정대체기준!$A$6:$A$15,$N2396)&gt;0),IFERROR(INDEX(계정대체기준!$E$6:$E$15,MATCH(VALUE($A2396&amp;""),계정대체기준!$D$6:$D$15,0)),0),0))</f>
        <v/>
      </c>
      <c r="AH2396" s="64">
        <f>IF($A2396="","",IF(AD2396=0,"",IF(OR(COUNTIF(계정대체기준!$A$77:$A$86,$N2396)&gt;0,ISNUMBER(MATCH($X2396,계정대체기준!$D$77:$D$86,0)),ISNUMBER(MATCH($F2396,계정대체기준!$D$77:$D$86,0))),"Y","N")))</f>
        <v/>
      </c>
    </row>
    <row r="2397">
      <c r="A2397" s="92" t="n">
        <v>2025</v>
      </c>
      <c r="B2397" s="92" t="n">
        <v>11</v>
      </c>
      <c r="C2397" s="92" t="inlineStr">
        <is>
          <t>5100002393</t>
        </is>
      </c>
      <c r="D2397" s="95" t="n">
        <v>45978</v>
      </c>
      <c r="E2397" s="92" t="inlineStr">
        <is>
          <t>KR</t>
        </is>
      </c>
      <c r="F2397" s="92" t="n">
        <v>62101000</v>
      </c>
      <c r="G2397" s="92" t="n">
        <v>1401</v>
      </c>
      <c r="H2397" s="93" t="n">
        <v>290000</v>
      </c>
      <c r="I2397" s="92" t="inlineStr">
        <is>
          <t>11월 국내출장 - M항공</t>
        </is>
      </c>
      <c r="J2397" s="92" t="inlineStr">
        <is>
          <t>V10001</t>
        </is>
      </c>
      <c r="K2397" s="92" t="inlineStr">
        <is>
          <t>M항공</t>
        </is>
      </c>
      <c r="M2397" s="9">
        <f>IF($A2397="","",VALUE($A2397&amp;"")*12+VALUE($B2397&amp;""))</f>
        <v/>
      </c>
      <c r="N2397" s="64">
        <f>IF($A2397="","",IFERROR(INDEX(부서매핑!$C$5:$C$504,MATCH($G2397&amp;"",부서매핑!$A$5:$A$504,0)),"미매핑"))</f>
        <v/>
      </c>
      <c r="O2397" s="9">
        <f>IF($A2397="","",N2397&amp;"|"&amp;$F2397)</f>
        <v/>
      </c>
      <c r="P2397" s="94">
        <f>IF($A2397="",0,$H2397*설정!$C$23)</f>
        <v/>
      </c>
      <c r="Q2397" s="64">
        <f>IF($A2397="","",IF(O2397&lt;&gt;원인분석!$C$9,"",IF(AND(M2397&gt;=원인분석!$C$10,M2397&lt;=원인분석!$C$11),"당기",IF(AND(M2397&gt;=원인분석!$C$12,M2397&lt;=원인분석!$C$13),"비교",""))))</f>
        <v/>
      </c>
      <c r="R2397" s="9">
        <f>IF(Q2397="","",$K2397&amp;"")</f>
        <v/>
      </c>
      <c r="S2397" s="9">
        <f>IF(Q2397="","",IF(MATCH(R2397,$R$5:$R$100000,0)=ROW()-4,ROW(),""))</f>
        <v/>
      </c>
      <c r="T2397" s="9">
        <f>IF(Q2397="당기",ABS(P2397)+ROW()/1000000000,"")</f>
        <v/>
      </c>
      <c r="U2397" s="9">
        <f>IF(Q2397="비교",ABS(P2397)+ROW()/1000000000,"")</f>
        <v/>
      </c>
      <c r="V2397" s="64">
        <f>IF($A2397="","",IF(COUNTIF(변동분석!$E$7:$E$506,O2397)&gt;0,"Y","N"))</f>
        <v/>
      </c>
      <c r="W2397" s="64">
        <f>IF($A2397="","",IFERROR(INDEX(계정매핑!$D$5:$D$504,MATCH($F2397&amp;"",계정매핑!$A$5:$A$504,0)),"미매핑"))</f>
        <v/>
      </c>
      <c r="X2397" s="9">
        <f>IF($A2397="","",$F2397&amp;"")</f>
        <v/>
      </c>
      <c r="Y2397" s="94">
        <f>IF($A2397="",0,IF(AE2397="직접",IF(AF2397="비귀속",$P2397,0),$P2397*(1-AG2397)*IFERROR(INDEX(계정대체기준!$F$20:$F$49,MATCH($N2397,계정대체기준!$A$20:$A$49,0)),1)))</f>
        <v/>
      </c>
      <c r="Z2397" s="94">
        <f>IF($A2397="",0,IF(AE2397="직접",IF(AF2397="신계약비",$P2397,0),$P2397*(1-AG2397)*IFERROR(INDEX(계정대체기준!$C$20:$C$49,MATCH($N2397,계정대체기준!$A$20:$A$49,0)),0)))</f>
        <v/>
      </c>
      <c r="AA2397" s="94">
        <f>IF($A2397="",0,IF(AE2397="직접",IF(OR(AF2397="유지비",AF2397="손해조사비"),$P2397,0),$P2397*(1-AG2397)*IFERROR(INDEX(계정대체기준!$D$20:$D$49,MATCH($N2397,계정대체기준!$A$20:$A$49,0)),0)))</f>
        <v/>
      </c>
      <c r="AB2397" s="94">
        <f>IF($A2397="",0,IF(AE2397="직접",IF(AF2397="수금비",$P2397,0),$P2397*(1-AG2397)*IFERROR(INDEX(계정대체기준!$E$20:$E$49,MATCH($N2397,계정대체기준!$A$20:$A$49,0)),0)))</f>
        <v/>
      </c>
      <c r="AC2397" s="9">
        <f>IF(AND($A2397&lt;&gt;"",M2397=설정!$C$20,Z2397&gt;0),Z2397+ROW()/1000000000,"")</f>
        <v/>
      </c>
      <c r="AD2397" s="94">
        <f>IF($A2397="",0,$P2397*AG2397)</f>
        <v/>
      </c>
      <c r="AE2397" s="64">
        <f>IF($A2397="","",IFERROR(INDEX(계정매핑!$E$5:$E$504,MATCH($F2397&amp;"",계정매핑!$A$5:$A$504,0))&amp;"","공통비"))</f>
        <v/>
      </c>
      <c r="AF2397" s="64">
        <f>IF($A2397="","",IF(AE2397="직접",IFERROR(INDEX(계정매핑!$F$5:$F$504,MATCH($F2397&amp;"",계정매핑!$A$5:$A$504,0))&amp;"","비귀속"),""))</f>
        <v/>
      </c>
      <c r="AG2397" s="96">
        <f>IF($A2397="",0,IF(AND(AE2397&lt;&gt;"직접",IFERROR(INDEX(계정매핑!$G$5:$G$504,MATCH($F2397&amp;"",계정매핑!$A$5:$A$504,0))&amp;"","")="유지비",COUNTIF(계정대체기준!$A$6:$A$15,$N2397)&gt;0),IFERROR(INDEX(계정대체기준!$E$6:$E$15,MATCH(VALUE($A2397&amp;""),계정대체기준!$D$6:$D$15,0)),0),0))</f>
        <v/>
      </c>
      <c r="AH2397" s="64">
        <f>IF($A2397="","",IF(AD2397=0,"",IF(OR(COUNTIF(계정대체기준!$A$77:$A$86,$N2397)&gt;0,ISNUMBER(MATCH($X2397,계정대체기준!$D$77:$D$86,0)),ISNUMBER(MATCH($F2397,계정대체기준!$D$77:$D$86,0))),"Y","N")))</f>
        <v/>
      </c>
    </row>
    <row r="2398">
      <c r="A2398" s="92" t="n">
        <v>2025</v>
      </c>
      <c r="B2398" s="92" t="n">
        <v>11</v>
      </c>
      <c r="C2398" s="92" t="inlineStr">
        <is>
          <t>5100002394</t>
        </is>
      </c>
      <c r="D2398" s="95" t="n">
        <v>45978</v>
      </c>
      <c r="E2398" s="92" t="inlineStr">
        <is>
          <t>KR</t>
        </is>
      </c>
      <c r="F2398" s="92" t="n">
        <v>62201000</v>
      </c>
      <c r="G2398" s="92" t="n">
        <v>1951</v>
      </c>
      <c r="H2398" s="93" t="n">
        <v>266000</v>
      </c>
      <c r="I2398" s="92" t="inlineStr">
        <is>
          <t>11월 통신요금 - P통신</t>
        </is>
      </c>
      <c r="J2398" s="92" t="inlineStr">
        <is>
          <t>V10014</t>
        </is>
      </c>
      <c r="K2398" s="92" t="inlineStr">
        <is>
          <t>P통신</t>
        </is>
      </c>
      <c r="M2398" s="9">
        <f>IF($A2398="","",VALUE($A2398&amp;"")*12+VALUE($B2398&amp;""))</f>
        <v/>
      </c>
      <c r="N2398" s="64">
        <f>IF($A2398="","",IFERROR(INDEX(부서매핑!$C$5:$C$504,MATCH($G2398&amp;"",부서매핑!$A$5:$A$504,0)),"미매핑"))</f>
        <v/>
      </c>
      <c r="O2398" s="9">
        <f>IF($A2398="","",N2398&amp;"|"&amp;$F2398)</f>
        <v/>
      </c>
      <c r="P2398" s="94">
        <f>IF($A2398="",0,$H2398*설정!$C$23)</f>
        <v/>
      </c>
      <c r="Q2398" s="64">
        <f>IF($A2398="","",IF(O2398&lt;&gt;원인분석!$C$9,"",IF(AND(M2398&gt;=원인분석!$C$10,M2398&lt;=원인분석!$C$11),"당기",IF(AND(M2398&gt;=원인분석!$C$12,M2398&lt;=원인분석!$C$13),"비교",""))))</f>
        <v/>
      </c>
      <c r="R2398" s="9">
        <f>IF(Q2398="","",$K2398&amp;"")</f>
        <v/>
      </c>
      <c r="S2398" s="9">
        <f>IF(Q2398="","",IF(MATCH(R2398,$R$5:$R$100000,0)=ROW()-4,ROW(),""))</f>
        <v/>
      </c>
      <c r="T2398" s="9">
        <f>IF(Q2398="당기",ABS(P2398)+ROW()/1000000000,"")</f>
        <v/>
      </c>
      <c r="U2398" s="9">
        <f>IF(Q2398="비교",ABS(P2398)+ROW()/1000000000,"")</f>
        <v/>
      </c>
      <c r="V2398" s="64">
        <f>IF($A2398="","",IF(COUNTIF(변동분석!$E$7:$E$506,O2398)&gt;0,"Y","N"))</f>
        <v/>
      </c>
      <c r="W2398" s="64">
        <f>IF($A2398="","",IFERROR(INDEX(계정매핑!$D$5:$D$504,MATCH($F2398&amp;"",계정매핑!$A$5:$A$504,0)),"미매핑"))</f>
        <v/>
      </c>
      <c r="X2398" s="9">
        <f>IF($A2398="","",$F2398&amp;"")</f>
        <v/>
      </c>
      <c r="Y2398" s="94">
        <f>IF($A2398="",0,IF(AE2398="직접",IF(AF2398="비귀속",$P2398,0),$P2398*(1-AG2398)*IFERROR(INDEX(계정대체기준!$F$20:$F$49,MATCH($N2398,계정대체기준!$A$20:$A$49,0)),1)))</f>
        <v/>
      </c>
      <c r="Z2398" s="94">
        <f>IF($A2398="",0,IF(AE2398="직접",IF(AF2398="신계약비",$P2398,0),$P2398*(1-AG2398)*IFERROR(INDEX(계정대체기준!$C$20:$C$49,MATCH($N2398,계정대체기준!$A$20:$A$49,0)),0)))</f>
        <v/>
      </c>
      <c r="AA2398" s="94">
        <f>IF($A2398="",0,IF(AE2398="직접",IF(OR(AF2398="유지비",AF2398="손해조사비"),$P2398,0),$P2398*(1-AG2398)*IFERROR(INDEX(계정대체기준!$D$20:$D$49,MATCH($N2398,계정대체기준!$A$20:$A$49,0)),0)))</f>
        <v/>
      </c>
      <c r="AB2398" s="94">
        <f>IF($A2398="",0,IF(AE2398="직접",IF(AF2398="수금비",$P2398,0),$P2398*(1-AG2398)*IFERROR(INDEX(계정대체기준!$E$20:$E$49,MATCH($N2398,계정대체기준!$A$20:$A$49,0)),0)))</f>
        <v/>
      </c>
      <c r="AC2398" s="9">
        <f>IF(AND($A2398&lt;&gt;"",M2398=설정!$C$20,Z2398&gt;0),Z2398+ROW()/1000000000,"")</f>
        <v/>
      </c>
      <c r="AD2398" s="94">
        <f>IF($A2398="",0,$P2398*AG2398)</f>
        <v/>
      </c>
      <c r="AE2398" s="64">
        <f>IF($A2398="","",IFERROR(INDEX(계정매핑!$E$5:$E$504,MATCH($F2398&amp;"",계정매핑!$A$5:$A$504,0))&amp;"","공통비"))</f>
        <v/>
      </c>
      <c r="AF2398" s="64">
        <f>IF($A2398="","",IF(AE2398="직접",IFERROR(INDEX(계정매핑!$F$5:$F$504,MATCH($F2398&amp;"",계정매핑!$A$5:$A$504,0))&amp;"","비귀속"),""))</f>
        <v/>
      </c>
      <c r="AG2398" s="96">
        <f>IF($A2398="",0,IF(AND(AE2398&lt;&gt;"직접",IFERROR(INDEX(계정매핑!$G$5:$G$504,MATCH($F2398&amp;"",계정매핑!$A$5:$A$504,0))&amp;"","")="유지비",COUNTIF(계정대체기준!$A$6:$A$15,$N2398)&gt;0),IFERROR(INDEX(계정대체기준!$E$6:$E$15,MATCH(VALUE($A2398&amp;""),계정대체기준!$D$6:$D$15,0)),0),0))</f>
        <v/>
      </c>
      <c r="AH2398" s="64">
        <f>IF($A2398="","",IF(AD2398=0,"",IF(OR(COUNTIF(계정대체기준!$A$77:$A$86,$N2398)&gt;0,ISNUMBER(MATCH($X2398,계정대체기준!$D$77:$D$86,0)),ISNUMBER(MATCH($F2398,계정대체기준!$D$77:$D$86,0))),"Y","N")))</f>
        <v/>
      </c>
    </row>
    <row r="2399">
      <c r="A2399" s="92" t="n">
        <v>2025</v>
      </c>
      <c r="B2399" s="92" t="n">
        <v>11</v>
      </c>
      <c r="C2399" s="92" t="inlineStr">
        <is>
          <t>5100002395</t>
        </is>
      </c>
      <c r="D2399" s="95" t="n">
        <v>45978</v>
      </c>
      <c r="E2399" s="92" t="inlineStr">
        <is>
          <t>KR</t>
        </is>
      </c>
      <c r="F2399" s="92" t="n">
        <v>62601000</v>
      </c>
      <c r="G2399" s="92" t="n">
        <v>1602</v>
      </c>
      <c r="H2399" s="93" t="n">
        <v>2856000</v>
      </c>
      <c r="I2399" s="92" t="inlineStr">
        <is>
          <t>11월 업무추진 - (법인카드)</t>
        </is>
      </c>
      <c r="J2399" s="92" t="inlineStr">
        <is>
          <t>V10010</t>
        </is>
      </c>
      <c r="K2399" s="92" t="inlineStr">
        <is>
          <t>(법인카드)</t>
        </is>
      </c>
      <c r="M2399" s="9">
        <f>IF($A2399="","",VALUE($A2399&amp;"")*12+VALUE($B2399&amp;""))</f>
        <v/>
      </c>
      <c r="N2399" s="64">
        <f>IF($A2399="","",IFERROR(INDEX(부서매핑!$C$5:$C$504,MATCH($G2399&amp;"",부서매핑!$A$5:$A$504,0)),"미매핑"))</f>
        <v/>
      </c>
      <c r="O2399" s="9">
        <f>IF($A2399="","",N2399&amp;"|"&amp;$F2399)</f>
        <v/>
      </c>
      <c r="P2399" s="94">
        <f>IF($A2399="",0,$H2399*설정!$C$23)</f>
        <v/>
      </c>
      <c r="Q2399" s="64">
        <f>IF($A2399="","",IF(O2399&lt;&gt;원인분석!$C$9,"",IF(AND(M2399&gt;=원인분석!$C$10,M2399&lt;=원인분석!$C$11),"당기",IF(AND(M2399&gt;=원인분석!$C$12,M2399&lt;=원인분석!$C$13),"비교",""))))</f>
        <v/>
      </c>
      <c r="R2399" s="9">
        <f>IF(Q2399="","",$K2399&amp;"")</f>
        <v/>
      </c>
      <c r="S2399" s="9">
        <f>IF(Q2399="","",IF(MATCH(R2399,$R$5:$R$100000,0)=ROW()-4,ROW(),""))</f>
        <v/>
      </c>
      <c r="T2399" s="9">
        <f>IF(Q2399="당기",ABS(P2399)+ROW()/1000000000,"")</f>
        <v/>
      </c>
      <c r="U2399" s="9">
        <f>IF(Q2399="비교",ABS(P2399)+ROW()/1000000000,"")</f>
        <v/>
      </c>
      <c r="V2399" s="64">
        <f>IF($A2399="","",IF(COUNTIF(변동분석!$E$7:$E$506,O2399)&gt;0,"Y","N"))</f>
        <v/>
      </c>
      <c r="W2399" s="64">
        <f>IF($A2399="","",IFERROR(INDEX(계정매핑!$D$5:$D$504,MATCH($F2399&amp;"",계정매핑!$A$5:$A$504,0)),"미매핑"))</f>
        <v/>
      </c>
      <c r="X2399" s="9">
        <f>IF($A2399="","",$F2399&amp;"")</f>
        <v/>
      </c>
      <c r="Y2399" s="94">
        <f>IF($A2399="",0,IF(AE2399="직접",IF(AF2399="비귀속",$P2399,0),$P2399*(1-AG2399)*IFERROR(INDEX(계정대체기준!$F$20:$F$49,MATCH($N2399,계정대체기준!$A$20:$A$49,0)),1)))</f>
        <v/>
      </c>
      <c r="Z2399" s="94">
        <f>IF($A2399="",0,IF(AE2399="직접",IF(AF2399="신계약비",$P2399,0),$P2399*(1-AG2399)*IFERROR(INDEX(계정대체기준!$C$20:$C$49,MATCH($N2399,계정대체기준!$A$20:$A$49,0)),0)))</f>
        <v/>
      </c>
      <c r="AA2399" s="94">
        <f>IF($A2399="",0,IF(AE2399="직접",IF(OR(AF2399="유지비",AF2399="손해조사비"),$P2399,0),$P2399*(1-AG2399)*IFERROR(INDEX(계정대체기준!$D$20:$D$49,MATCH($N2399,계정대체기준!$A$20:$A$49,0)),0)))</f>
        <v/>
      </c>
      <c r="AB2399" s="94">
        <f>IF($A2399="",0,IF(AE2399="직접",IF(AF2399="수금비",$P2399,0),$P2399*(1-AG2399)*IFERROR(INDEX(계정대체기준!$E$20:$E$49,MATCH($N2399,계정대체기준!$A$20:$A$49,0)),0)))</f>
        <v/>
      </c>
      <c r="AC2399" s="9">
        <f>IF(AND($A2399&lt;&gt;"",M2399=설정!$C$20,Z2399&gt;0),Z2399+ROW()/1000000000,"")</f>
        <v/>
      </c>
      <c r="AD2399" s="94">
        <f>IF($A2399="",0,$P2399*AG2399)</f>
        <v/>
      </c>
      <c r="AE2399" s="64">
        <f>IF($A2399="","",IFERROR(INDEX(계정매핑!$E$5:$E$504,MATCH($F2399&amp;"",계정매핑!$A$5:$A$504,0))&amp;"","공통비"))</f>
        <v/>
      </c>
      <c r="AF2399" s="64">
        <f>IF($A2399="","",IF(AE2399="직접",IFERROR(INDEX(계정매핑!$F$5:$F$504,MATCH($F2399&amp;"",계정매핑!$A$5:$A$504,0))&amp;"","비귀속"),""))</f>
        <v/>
      </c>
      <c r="AG2399" s="96">
        <f>IF($A2399="",0,IF(AND(AE2399&lt;&gt;"직접",IFERROR(INDEX(계정매핑!$G$5:$G$504,MATCH($F2399&amp;"",계정매핑!$A$5:$A$504,0))&amp;"","")="유지비",COUNTIF(계정대체기준!$A$6:$A$15,$N2399)&gt;0),IFERROR(INDEX(계정대체기준!$E$6:$E$15,MATCH(VALUE($A2399&amp;""),계정대체기준!$D$6:$D$15,0)),0),0))</f>
        <v/>
      </c>
      <c r="AH2399" s="64">
        <f>IF($A2399="","",IF(AD2399=0,"",IF(OR(COUNTIF(계정대체기준!$A$77:$A$86,$N2399)&gt;0,ISNUMBER(MATCH($X2399,계정대체기준!$D$77:$D$86,0)),ISNUMBER(MATCH($F2399,계정대체기준!$D$77:$D$86,0))),"Y","N")))</f>
        <v/>
      </c>
    </row>
    <row r="2400">
      <c r="A2400" s="92" t="n">
        <v>2025</v>
      </c>
      <c r="B2400" s="92" t="n">
        <v>11</v>
      </c>
      <c r="C2400" s="92" t="inlineStr">
        <is>
          <t>5100002396</t>
        </is>
      </c>
      <c r="D2400" s="95" t="n">
        <v>45978</v>
      </c>
      <c r="E2400" s="92" t="inlineStr">
        <is>
          <t>KR</t>
        </is>
      </c>
      <c r="F2400" s="92" t="n">
        <v>62802000</v>
      </c>
      <c r="G2400" s="92" t="n">
        <v>1301</v>
      </c>
      <c r="H2400" s="93" t="n">
        <v>6292000</v>
      </c>
      <c r="I2400" s="92" t="inlineStr">
        <is>
          <t>11월 위탁교육 - I교육원</t>
        </is>
      </c>
      <c r="J2400" s="92" t="inlineStr">
        <is>
          <t>V10019</t>
        </is>
      </c>
      <c r="K2400" s="92" t="inlineStr">
        <is>
          <t>I교육원</t>
        </is>
      </c>
      <c r="M2400" s="9">
        <f>IF($A2400="","",VALUE($A2400&amp;"")*12+VALUE($B2400&amp;""))</f>
        <v/>
      </c>
      <c r="N2400" s="64">
        <f>IF($A2400="","",IFERROR(INDEX(부서매핑!$C$5:$C$504,MATCH($G2400&amp;"",부서매핑!$A$5:$A$504,0)),"미매핑"))</f>
        <v/>
      </c>
      <c r="O2400" s="9">
        <f>IF($A2400="","",N2400&amp;"|"&amp;$F2400)</f>
        <v/>
      </c>
      <c r="P2400" s="94">
        <f>IF($A2400="",0,$H2400*설정!$C$23)</f>
        <v/>
      </c>
      <c r="Q2400" s="64">
        <f>IF($A2400="","",IF(O2400&lt;&gt;원인분석!$C$9,"",IF(AND(M2400&gt;=원인분석!$C$10,M2400&lt;=원인분석!$C$11),"당기",IF(AND(M2400&gt;=원인분석!$C$12,M2400&lt;=원인분석!$C$13),"비교",""))))</f>
        <v/>
      </c>
      <c r="R2400" s="9">
        <f>IF(Q2400="","",$K2400&amp;"")</f>
        <v/>
      </c>
      <c r="S2400" s="9">
        <f>IF(Q2400="","",IF(MATCH(R2400,$R$5:$R$100000,0)=ROW()-4,ROW(),""))</f>
        <v/>
      </c>
      <c r="T2400" s="9">
        <f>IF(Q2400="당기",ABS(P2400)+ROW()/1000000000,"")</f>
        <v/>
      </c>
      <c r="U2400" s="9">
        <f>IF(Q2400="비교",ABS(P2400)+ROW()/1000000000,"")</f>
        <v/>
      </c>
      <c r="V2400" s="64">
        <f>IF($A2400="","",IF(COUNTIF(변동분석!$E$7:$E$506,O2400)&gt;0,"Y","N"))</f>
        <v/>
      </c>
      <c r="W2400" s="64">
        <f>IF($A2400="","",IFERROR(INDEX(계정매핑!$D$5:$D$504,MATCH($F2400&amp;"",계정매핑!$A$5:$A$504,0)),"미매핑"))</f>
        <v/>
      </c>
      <c r="X2400" s="9">
        <f>IF($A2400="","",$F2400&amp;"")</f>
        <v/>
      </c>
      <c r="Y2400" s="94">
        <f>IF($A2400="",0,IF(AE2400="직접",IF(AF2400="비귀속",$P2400,0),$P2400*(1-AG2400)*IFERROR(INDEX(계정대체기준!$F$20:$F$49,MATCH($N2400,계정대체기준!$A$20:$A$49,0)),1)))</f>
        <v/>
      </c>
      <c r="Z2400" s="94">
        <f>IF($A2400="",0,IF(AE2400="직접",IF(AF2400="신계약비",$P2400,0),$P2400*(1-AG2400)*IFERROR(INDEX(계정대체기준!$C$20:$C$49,MATCH($N2400,계정대체기준!$A$20:$A$49,0)),0)))</f>
        <v/>
      </c>
      <c r="AA2400" s="94">
        <f>IF($A2400="",0,IF(AE2400="직접",IF(OR(AF2400="유지비",AF2400="손해조사비"),$P2400,0),$P2400*(1-AG2400)*IFERROR(INDEX(계정대체기준!$D$20:$D$49,MATCH($N2400,계정대체기준!$A$20:$A$49,0)),0)))</f>
        <v/>
      </c>
      <c r="AB2400" s="94">
        <f>IF($A2400="",0,IF(AE2400="직접",IF(AF2400="수금비",$P2400,0),$P2400*(1-AG2400)*IFERROR(INDEX(계정대체기준!$E$20:$E$49,MATCH($N2400,계정대체기준!$A$20:$A$49,0)),0)))</f>
        <v/>
      </c>
      <c r="AC2400" s="9">
        <f>IF(AND($A2400&lt;&gt;"",M2400=설정!$C$20,Z2400&gt;0),Z2400+ROW()/1000000000,"")</f>
        <v/>
      </c>
      <c r="AD2400" s="94">
        <f>IF($A2400="",0,$P2400*AG2400)</f>
        <v/>
      </c>
      <c r="AE2400" s="64">
        <f>IF($A2400="","",IFERROR(INDEX(계정매핑!$E$5:$E$504,MATCH($F2400&amp;"",계정매핑!$A$5:$A$504,0))&amp;"","공통비"))</f>
        <v/>
      </c>
      <c r="AF2400" s="64">
        <f>IF($A2400="","",IF(AE2400="직접",IFERROR(INDEX(계정매핑!$F$5:$F$504,MATCH($F2400&amp;"",계정매핑!$A$5:$A$504,0))&amp;"","비귀속"),""))</f>
        <v/>
      </c>
      <c r="AG2400" s="96">
        <f>IF($A2400="",0,IF(AND(AE2400&lt;&gt;"직접",IFERROR(INDEX(계정매핑!$G$5:$G$504,MATCH($F2400&amp;"",계정매핑!$A$5:$A$504,0))&amp;"","")="유지비",COUNTIF(계정대체기준!$A$6:$A$15,$N2400)&gt;0),IFERROR(INDEX(계정대체기준!$E$6:$E$15,MATCH(VALUE($A2400&amp;""),계정대체기준!$D$6:$D$15,0)),0),0))</f>
        <v/>
      </c>
      <c r="AH2400" s="64">
        <f>IF($A2400="","",IF(AD2400=0,"",IF(OR(COUNTIF(계정대체기준!$A$77:$A$86,$N2400)&gt;0,ISNUMBER(MATCH($X2400,계정대체기준!$D$77:$D$86,0)),ISNUMBER(MATCH($F2400,계정대체기준!$D$77:$D$86,0))),"Y","N")))</f>
        <v/>
      </c>
    </row>
    <row r="2401">
      <c r="A2401" s="92" t="n">
        <v>2025</v>
      </c>
      <c r="B2401" s="92" t="n">
        <v>11</v>
      </c>
      <c r="C2401" s="92" t="inlineStr">
        <is>
          <t>5100002397</t>
        </is>
      </c>
      <c r="D2401" s="95" t="n">
        <v>45978</v>
      </c>
      <c r="E2401" s="92" t="inlineStr">
        <is>
          <t>KR</t>
        </is>
      </c>
      <c r="F2401" s="92" t="n">
        <v>62902000</v>
      </c>
      <c r="G2401" s="92" t="n">
        <v>1801</v>
      </c>
      <c r="H2401" s="93" t="n">
        <v>1795000</v>
      </c>
      <c r="I2401" s="92" t="inlineStr">
        <is>
          <t>11월 콜 위탁 수수료(건별)</t>
        </is>
      </c>
      <c r="J2401" s="92" t="inlineStr">
        <is>
          <t>V10016</t>
        </is>
      </c>
      <c r="K2401" s="92" t="inlineStr">
        <is>
          <t>J콜센터</t>
        </is>
      </c>
      <c r="M2401" s="9">
        <f>IF($A2401="","",VALUE($A2401&amp;"")*12+VALUE($B2401&amp;""))</f>
        <v/>
      </c>
      <c r="N2401" s="64">
        <f>IF($A2401="","",IFERROR(INDEX(부서매핑!$C$5:$C$504,MATCH($G2401&amp;"",부서매핑!$A$5:$A$504,0)),"미매핑"))</f>
        <v/>
      </c>
      <c r="O2401" s="9">
        <f>IF($A2401="","",N2401&amp;"|"&amp;$F2401)</f>
        <v/>
      </c>
      <c r="P2401" s="94">
        <f>IF($A2401="",0,$H2401*설정!$C$23)</f>
        <v/>
      </c>
      <c r="Q2401" s="64">
        <f>IF($A2401="","",IF(O2401&lt;&gt;원인분석!$C$9,"",IF(AND(M2401&gt;=원인분석!$C$10,M2401&lt;=원인분석!$C$11),"당기",IF(AND(M2401&gt;=원인분석!$C$12,M2401&lt;=원인분석!$C$13),"비교",""))))</f>
        <v/>
      </c>
      <c r="R2401" s="9">
        <f>IF(Q2401="","",$K2401&amp;"")</f>
        <v/>
      </c>
      <c r="S2401" s="9">
        <f>IF(Q2401="","",IF(MATCH(R2401,$R$5:$R$100000,0)=ROW()-4,ROW(),""))</f>
        <v/>
      </c>
      <c r="T2401" s="9">
        <f>IF(Q2401="당기",ABS(P2401)+ROW()/1000000000,"")</f>
        <v/>
      </c>
      <c r="U2401" s="9">
        <f>IF(Q2401="비교",ABS(P2401)+ROW()/1000000000,"")</f>
        <v/>
      </c>
      <c r="V2401" s="64">
        <f>IF($A2401="","",IF(COUNTIF(변동분석!$E$7:$E$506,O2401)&gt;0,"Y","N"))</f>
        <v/>
      </c>
      <c r="W2401" s="64">
        <f>IF($A2401="","",IFERROR(INDEX(계정매핑!$D$5:$D$504,MATCH($F2401&amp;"",계정매핑!$A$5:$A$504,0)),"미매핑"))</f>
        <v/>
      </c>
      <c r="X2401" s="9">
        <f>IF($A2401="","",$F2401&amp;"")</f>
        <v/>
      </c>
      <c r="Y2401" s="94">
        <f>IF($A2401="",0,IF(AE2401="직접",IF(AF2401="비귀속",$P2401,0),$P2401*(1-AG2401)*IFERROR(INDEX(계정대체기준!$F$20:$F$49,MATCH($N2401,계정대체기준!$A$20:$A$49,0)),1)))</f>
        <v/>
      </c>
      <c r="Z2401" s="94">
        <f>IF($A2401="",0,IF(AE2401="직접",IF(AF2401="신계약비",$P2401,0),$P2401*(1-AG2401)*IFERROR(INDEX(계정대체기준!$C$20:$C$49,MATCH($N2401,계정대체기준!$A$20:$A$49,0)),0)))</f>
        <v/>
      </c>
      <c r="AA2401" s="94">
        <f>IF($A2401="",0,IF(AE2401="직접",IF(OR(AF2401="유지비",AF2401="손해조사비"),$P2401,0),$P2401*(1-AG2401)*IFERROR(INDEX(계정대체기준!$D$20:$D$49,MATCH($N2401,계정대체기준!$A$20:$A$49,0)),0)))</f>
        <v/>
      </c>
      <c r="AB2401" s="94">
        <f>IF($A2401="",0,IF(AE2401="직접",IF(AF2401="수금비",$P2401,0),$P2401*(1-AG2401)*IFERROR(INDEX(계정대체기준!$E$20:$E$49,MATCH($N2401,계정대체기준!$A$20:$A$49,0)),0)))</f>
        <v/>
      </c>
      <c r="AC2401" s="9">
        <f>IF(AND($A2401&lt;&gt;"",M2401=설정!$C$20,Z2401&gt;0),Z2401+ROW()/1000000000,"")</f>
        <v/>
      </c>
      <c r="AD2401" s="94">
        <f>IF($A2401="",0,$P2401*AG2401)</f>
        <v/>
      </c>
      <c r="AE2401" s="64">
        <f>IF($A2401="","",IFERROR(INDEX(계정매핑!$E$5:$E$504,MATCH($F2401&amp;"",계정매핑!$A$5:$A$504,0))&amp;"","공통비"))</f>
        <v/>
      </c>
      <c r="AF2401" s="64">
        <f>IF($A2401="","",IF(AE2401="직접",IFERROR(INDEX(계정매핑!$F$5:$F$504,MATCH($F2401&amp;"",계정매핑!$A$5:$A$504,0))&amp;"","비귀속"),""))</f>
        <v/>
      </c>
      <c r="AG2401" s="96">
        <f>IF($A2401="",0,IF(AND(AE2401&lt;&gt;"직접",IFERROR(INDEX(계정매핑!$G$5:$G$504,MATCH($F2401&amp;"",계정매핑!$A$5:$A$504,0))&amp;"","")="유지비",COUNTIF(계정대체기준!$A$6:$A$15,$N2401)&gt;0),IFERROR(INDEX(계정대체기준!$E$6:$E$15,MATCH(VALUE($A2401&amp;""),계정대체기준!$D$6:$D$15,0)),0),0))</f>
        <v/>
      </c>
      <c r="AH2401" s="64">
        <f>IF($A2401="","",IF(AD2401=0,"",IF(OR(COUNTIF(계정대체기준!$A$77:$A$86,$N2401)&gt;0,ISNUMBER(MATCH($X2401,계정대체기준!$D$77:$D$86,0)),ISNUMBER(MATCH($F2401,계정대체기준!$D$77:$D$86,0))),"Y","N")))</f>
        <v/>
      </c>
    </row>
    <row r="2402">
      <c r="A2402" s="92" t="n">
        <v>2025</v>
      </c>
      <c r="B2402" s="92" t="n">
        <v>11</v>
      </c>
      <c r="C2402" s="92" t="inlineStr">
        <is>
          <t>5100002398</t>
        </is>
      </c>
      <c r="D2402" s="95" t="n">
        <v>45978</v>
      </c>
      <c r="E2402" s="92" t="inlineStr">
        <is>
          <t>KR</t>
        </is>
      </c>
      <c r="F2402" s="92" t="n">
        <v>62902000</v>
      </c>
      <c r="G2402" s="92" t="n">
        <v>1801</v>
      </c>
      <c r="H2402" s="93" t="n">
        <v>1850000</v>
      </c>
      <c r="I2402" s="92" t="inlineStr">
        <is>
          <t>11월 콜 위탁 수수료(건별)</t>
        </is>
      </c>
      <c r="J2402" s="92" t="inlineStr">
        <is>
          <t>V10016</t>
        </is>
      </c>
      <c r="K2402" s="92" t="inlineStr">
        <is>
          <t>J콜센터</t>
        </is>
      </c>
      <c r="M2402" s="9">
        <f>IF($A2402="","",VALUE($A2402&amp;"")*12+VALUE($B2402&amp;""))</f>
        <v/>
      </c>
      <c r="N2402" s="64">
        <f>IF($A2402="","",IFERROR(INDEX(부서매핑!$C$5:$C$504,MATCH($G2402&amp;"",부서매핑!$A$5:$A$504,0)),"미매핑"))</f>
        <v/>
      </c>
      <c r="O2402" s="9">
        <f>IF($A2402="","",N2402&amp;"|"&amp;$F2402)</f>
        <v/>
      </c>
      <c r="P2402" s="94">
        <f>IF($A2402="",0,$H2402*설정!$C$23)</f>
        <v/>
      </c>
      <c r="Q2402" s="64">
        <f>IF($A2402="","",IF(O2402&lt;&gt;원인분석!$C$9,"",IF(AND(M2402&gt;=원인분석!$C$10,M2402&lt;=원인분석!$C$11),"당기",IF(AND(M2402&gt;=원인분석!$C$12,M2402&lt;=원인분석!$C$13),"비교",""))))</f>
        <v/>
      </c>
      <c r="R2402" s="9">
        <f>IF(Q2402="","",$K2402&amp;"")</f>
        <v/>
      </c>
      <c r="S2402" s="9">
        <f>IF(Q2402="","",IF(MATCH(R2402,$R$5:$R$100000,0)=ROW()-4,ROW(),""))</f>
        <v/>
      </c>
      <c r="T2402" s="9">
        <f>IF(Q2402="당기",ABS(P2402)+ROW()/1000000000,"")</f>
        <v/>
      </c>
      <c r="U2402" s="9">
        <f>IF(Q2402="비교",ABS(P2402)+ROW()/1000000000,"")</f>
        <v/>
      </c>
      <c r="V2402" s="64">
        <f>IF($A2402="","",IF(COUNTIF(변동분석!$E$7:$E$506,O2402)&gt;0,"Y","N"))</f>
        <v/>
      </c>
      <c r="W2402" s="64">
        <f>IF($A2402="","",IFERROR(INDEX(계정매핑!$D$5:$D$504,MATCH($F2402&amp;"",계정매핑!$A$5:$A$504,0)),"미매핑"))</f>
        <v/>
      </c>
      <c r="X2402" s="9">
        <f>IF($A2402="","",$F2402&amp;"")</f>
        <v/>
      </c>
      <c r="Y2402" s="94">
        <f>IF($A2402="",0,IF(AE2402="직접",IF(AF2402="비귀속",$P2402,0),$P2402*(1-AG2402)*IFERROR(INDEX(계정대체기준!$F$20:$F$49,MATCH($N2402,계정대체기준!$A$20:$A$49,0)),1)))</f>
        <v/>
      </c>
      <c r="Z2402" s="94">
        <f>IF($A2402="",0,IF(AE2402="직접",IF(AF2402="신계약비",$P2402,0),$P2402*(1-AG2402)*IFERROR(INDEX(계정대체기준!$C$20:$C$49,MATCH($N2402,계정대체기준!$A$20:$A$49,0)),0)))</f>
        <v/>
      </c>
      <c r="AA2402" s="94">
        <f>IF($A2402="",0,IF(AE2402="직접",IF(OR(AF2402="유지비",AF2402="손해조사비"),$P2402,0),$P2402*(1-AG2402)*IFERROR(INDEX(계정대체기준!$D$20:$D$49,MATCH($N2402,계정대체기준!$A$20:$A$49,0)),0)))</f>
        <v/>
      </c>
      <c r="AB2402" s="94">
        <f>IF($A2402="",0,IF(AE2402="직접",IF(AF2402="수금비",$P2402,0),$P2402*(1-AG2402)*IFERROR(INDEX(계정대체기준!$E$20:$E$49,MATCH($N2402,계정대체기준!$A$20:$A$49,0)),0)))</f>
        <v/>
      </c>
      <c r="AC2402" s="9">
        <f>IF(AND($A2402&lt;&gt;"",M2402=설정!$C$20,Z2402&gt;0),Z2402+ROW()/1000000000,"")</f>
        <v/>
      </c>
      <c r="AD2402" s="94">
        <f>IF($A2402="",0,$P2402*AG2402)</f>
        <v/>
      </c>
      <c r="AE2402" s="64">
        <f>IF($A2402="","",IFERROR(INDEX(계정매핑!$E$5:$E$504,MATCH($F2402&amp;"",계정매핑!$A$5:$A$504,0))&amp;"","공통비"))</f>
        <v/>
      </c>
      <c r="AF2402" s="64">
        <f>IF($A2402="","",IF(AE2402="직접",IFERROR(INDEX(계정매핑!$F$5:$F$504,MATCH($F2402&amp;"",계정매핑!$A$5:$A$504,0))&amp;"","비귀속"),""))</f>
        <v/>
      </c>
      <c r="AG2402" s="96">
        <f>IF($A2402="",0,IF(AND(AE2402&lt;&gt;"직접",IFERROR(INDEX(계정매핑!$G$5:$G$504,MATCH($F2402&amp;"",계정매핑!$A$5:$A$504,0))&amp;"","")="유지비",COUNTIF(계정대체기준!$A$6:$A$15,$N2402)&gt;0),IFERROR(INDEX(계정대체기준!$E$6:$E$15,MATCH(VALUE($A2402&amp;""),계정대체기준!$D$6:$D$15,0)),0),0))</f>
        <v/>
      </c>
      <c r="AH2402" s="64">
        <f>IF($A2402="","",IF(AD2402=0,"",IF(OR(COUNTIF(계정대체기준!$A$77:$A$86,$N2402)&gt;0,ISNUMBER(MATCH($X2402,계정대체기준!$D$77:$D$86,0)),ISNUMBER(MATCH($F2402,계정대체기준!$D$77:$D$86,0))),"Y","N")))</f>
        <v/>
      </c>
    </row>
    <row r="2403">
      <c r="A2403" s="92" t="n">
        <v>2025</v>
      </c>
      <c r="B2403" s="92" t="n">
        <v>11</v>
      </c>
      <c r="C2403" s="92" t="inlineStr">
        <is>
          <t>5100002399</t>
        </is>
      </c>
      <c r="D2403" s="95" t="n">
        <v>45978</v>
      </c>
      <c r="E2403" s="92" t="inlineStr">
        <is>
          <t>KR</t>
        </is>
      </c>
      <c r="F2403" s="92" t="n">
        <v>63201000</v>
      </c>
      <c r="G2403" s="92" t="n">
        <v>1602</v>
      </c>
      <c r="H2403" s="93" t="n">
        <v>1813000</v>
      </c>
      <c r="I2403" s="92" t="inlineStr">
        <is>
          <t>11월 차량 유지 - H에너지</t>
        </is>
      </c>
      <c r="J2403" s="92" t="inlineStr">
        <is>
          <t>V10030</t>
        </is>
      </c>
      <c r="K2403" s="92" t="inlineStr">
        <is>
          <t>H에너지</t>
        </is>
      </c>
      <c r="M2403" s="9">
        <f>IF($A2403="","",VALUE($A2403&amp;"")*12+VALUE($B2403&amp;""))</f>
        <v/>
      </c>
      <c r="N2403" s="64">
        <f>IF($A2403="","",IFERROR(INDEX(부서매핑!$C$5:$C$504,MATCH($G2403&amp;"",부서매핑!$A$5:$A$504,0)),"미매핑"))</f>
        <v/>
      </c>
      <c r="O2403" s="9">
        <f>IF($A2403="","",N2403&amp;"|"&amp;$F2403)</f>
        <v/>
      </c>
      <c r="P2403" s="94">
        <f>IF($A2403="",0,$H2403*설정!$C$23)</f>
        <v/>
      </c>
      <c r="Q2403" s="64">
        <f>IF($A2403="","",IF(O2403&lt;&gt;원인분석!$C$9,"",IF(AND(M2403&gt;=원인분석!$C$10,M2403&lt;=원인분석!$C$11),"당기",IF(AND(M2403&gt;=원인분석!$C$12,M2403&lt;=원인분석!$C$13),"비교",""))))</f>
        <v/>
      </c>
      <c r="R2403" s="9">
        <f>IF(Q2403="","",$K2403&amp;"")</f>
        <v/>
      </c>
      <c r="S2403" s="9">
        <f>IF(Q2403="","",IF(MATCH(R2403,$R$5:$R$100000,0)=ROW()-4,ROW(),""))</f>
        <v/>
      </c>
      <c r="T2403" s="9">
        <f>IF(Q2403="당기",ABS(P2403)+ROW()/1000000000,"")</f>
        <v/>
      </c>
      <c r="U2403" s="9">
        <f>IF(Q2403="비교",ABS(P2403)+ROW()/1000000000,"")</f>
        <v/>
      </c>
      <c r="V2403" s="64">
        <f>IF($A2403="","",IF(COUNTIF(변동분석!$E$7:$E$506,O2403)&gt;0,"Y","N"))</f>
        <v/>
      </c>
      <c r="W2403" s="64">
        <f>IF($A2403="","",IFERROR(INDEX(계정매핑!$D$5:$D$504,MATCH($F2403&amp;"",계정매핑!$A$5:$A$504,0)),"미매핑"))</f>
        <v/>
      </c>
      <c r="X2403" s="9">
        <f>IF($A2403="","",$F2403&amp;"")</f>
        <v/>
      </c>
      <c r="Y2403" s="94">
        <f>IF($A2403="",0,IF(AE2403="직접",IF(AF2403="비귀속",$P2403,0),$P2403*(1-AG2403)*IFERROR(INDEX(계정대체기준!$F$20:$F$49,MATCH($N2403,계정대체기준!$A$20:$A$49,0)),1)))</f>
        <v/>
      </c>
      <c r="Z2403" s="94">
        <f>IF($A2403="",0,IF(AE2403="직접",IF(AF2403="신계약비",$P2403,0),$P2403*(1-AG2403)*IFERROR(INDEX(계정대체기준!$C$20:$C$49,MATCH($N2403,계정대체기준!$A$20:$A$49,0)),0)))</f>
        <v/>
      </c>
      <c r="AA2403" s="94">
        <f>IF($A2403="",0,IF(AE2403="직접",IF(OR(AF2403="유지비",AF2403="손해조사비"),$P2403,0),$P2403*(1-AG2403)*IFERROR(INDEX(계정대체기준!$D$20:$D$49,MATCH($N2403,계정대체기준!$A$20:$A$49,0)),0)))</f>
        <v/>
      </c>
      <c r="AB2403" s="94">
        <f>IF($A2403="",0,IF(AE2403="직접",IF(AF2403="수금비",$P2403,0),$P2403*(1-AG2403)*IFERROR(INDEX(계정대체기준!$E$20:$E$49,MATCH($N2403,계정대체기준!$A$20:$A$49,0)),0)))</f>
        <v/>
      </c>
      <c r="AC2403" s="9">
        <f>IF(AND($A2403&lt;&gt;"",M2403=설정!$C$20,Z2403&gt;0),Z2403+ROW()/1000000000,"")</f>
        <v/>
      </c>
      <c r="AD2403" s="94">
        <f>IF($A2403="",0,$P2403*AG2403)</f>
        <v/>
      </c>
      <c r="AE2403" s="64">
        <f>IF($A2403="","",IFERROR(INDEX(계정매핑!$E$5:$E$504,MATCH($F2403&amp;"",계정매핑!$A$5:$A$504,0))&amp;"","공통비"))</f>
        <v/>
      </c>
      <c r="AF2403" s="64">
        <f>IF($A2403="","",IF(AE2403="직접",IFERROR(INDEX(계정매핑!$F$5:$F$504,MATCH($F2403&amp;"",계정매핑!$A$5:$A$504,0))&amp;"","비귀속"),""))</f>
        <v/>
      </c>
      <c r="AG2403" s="96">
        <f>IF($A2403="",0,IF(AND(AE2403&lt;&gt;"직접",IFERROR(INDEX(계정매핑!$G$5:$G$504,MATCH($F2403&amp;"",계정매핑!$A$5:$A$504,0))&amp;"","")="유지비",COUNTIF(계정대체기준!$A$6:$A$15,$N2403)&gt;0),IFERROR(INDEX(계정대체기준!$E$6:$E$15,MATCH(VALUE($A2403&amp;""),계정대체기준!$D$6:$D$15,0)),0),0))</f>
        <v/>
      </c>
      <c r="AH2403" s="64">
        <f>IF($A2403="","",IF(AD2403=0,"",IF(OR(COUNTIF(계정대체기준!$A$77:$A$86,$N2403)&gt;0,ISNUMBER(MATCH($X2403,계정대체기준!$D$77:$D$86,0)),ISNUMBER(MATCH($F2403,계정대체기준!$D$77:$D$86,0))),"Y","N")))</f>
        <v/>
      </c>
    </row>
    <row r="2404">
      <c r="A2404" s="92" t="n">
        <v>2025</v>
      </c>
      <c r="B2404" s="92" t="n">
        <v>11</v>
      </c>
      <c r="C2404" s="92" t="inlineStr">
        <is>
          <t>5100002400</t>
        </is>
      </c>
      <c r="D2404" s="95" t="n">
        <v>45979</v>
      </c>
      <c r="E2404" s="92" t="inlineStr">
        <is>
          <t>KR</t>
        </is>
      </c>
      <c r="F2404" s="92" t="n">
        <v>62101000</v>
      </c>
      <c r="G2404" s="92" t="n">
        <v>1601</v>
      </c>
      <c r="H2404" s="93" t="n">
        <v>1369000</v>
      </c>
      <c r="I2404" s="92" t="inlineStr">
        <is>
          <t>11월 국내출장 - M항공</t>
        </is>
      </c>
      <c r="J2404" s="92" t="inlineStr">
        <is>
          <t>V10001</t>
        </is>
      </c>
      <c r="K2404" s="92" t="inlineStr">
        <is>
          <t>M항공</t>
        </is>
      </c>
      <c r="M2404" s="9">
        <f>IF($A2404="","",VALUE($A2404&amp;"")*12+VALUE($B2404&amp;""))</f>
        <v/>
      </c>
      <c r="N2404" s="64">
        <f>IF($A2404="","",IFERROR(INDEX(부서매핑!$C$5:$C$504,MATCH($G2404&amp;"",부서매핑!$A$5:$A$504,0)),"미매핑"))</f>
        <v/>
      </c>
      <c r="O2404" s="9">
        <f>IF($A2404="","",N2404&amp;"|"&amp;$F2404)</f>
        <v/>
      </c>
      <c r="P2404" s="94">
        <f>IF($A2404="",0,$H2404*설정!$C$23)</f>
        <v/>
      </c>
      <c r="Q2404" s="64">
        <f>IF($A2404="","",IF(O2404&lt;&gt;원인분석!$C$9,"",IF(AND(M2404&gt;=원인분석!$C$10,M2404&lt;=원인분석!$C$11),"당기",IF(AND(M2404&gt;=원인분석!$C$12,M2404&lt;=원인분석!$C$13),"비교",""))))</f>
        <v/>
      </c>
      <c r="R2404" s="9">
        <f>IF(Q2404="","",$K2404&amp;"")</f>
        <v/>
      </c>
      <c r="S2404" s="9">
        <f>IF(Q2404="","",IF(MATCH(R2404,$R$5:$R$100000,0)=ROW()-4,ROW(),""))</f>
        <v/>
      </c>
      <c r="T2404" s="9">
        <f>IF(Q2404="당기",ABS(P2404)+ROW()/1000000000,"")</f>
        <v/>
      </c>
      <c r="U2404" s="9">
        <f>IF(Q2404="비교",ABS(P2404)+ROW()/1000000000,"")</f>
        <v/>
      </c>
      <c r="V2404" s="64">
        <f>IF($A2404="","",IF(COUNTIF(변동분석!$E$7:$E$506,O2404)&gt;0,"Y","N"))</f>
        <v/>
      </c>
      <c r="W2404" s="64">
        <f>IF($A2404="","",IFERROR(INDEX(계정매핑!$D$5:$D$504,MATCH($F2404&amp;"",계정매핑!$A$5:$A$504,0)),"미매핑"))</f>
        <v/>
      </c>
      <c r="X2404" s="9">
        <f>IF($A2404="","",$F2404&amp;"")</f>
        <v/>
      </c>
      <c r="Y2404" s="94">
        <f>IF($A2404="",0,IF(AE2404="직접",IF(AF2404="비귀속",$P2404,0),$P2404*(1-AG2404)*IFERROR(INDEX(계정대체기준!$F$20:$F$49,MATCH($N2404,계정대체기준!$A$20:$A$49,0)),1)))</f>
        <v/>
      </c>
      <c r="Z2404" s="94">
        <f>IF($A2404="",0,IF(AE2404="직접",IF(AF2404="신계약비",$P2404,0),$P2404*(1-AG2404)*IFERROR(INDEX(계정대체기준!$C$20:$C$49,MATCH($N2404,계정대체기준!$A$20:$A$49,0)),0)))</f>
        <v/>
      </c>
      <c r="AA2404" s="94">
        <f>IF($A2404="",0,IF(AE2404="직접",IF(OR(AF2404="유지비",AF2404="손해조사비"),$P2404,0),$P2404*(1-AG2404)*IFERROR(INDEX(계정대체기준!$D$20:$D$49,MATCH($N2404,계정대체기준!$A$20:$A$49,0)),0)))</f>
        <v/>
      </c>
      <c r="AB2404" s="94">
        <f>IF($A2404="",0,IF(AE2404="직접",IF(AF2404="수금비",$P2404,0),$P2404*(1-AG2404)*IFERROR(INDEX(계정대체기준!$E$20:$E$49,MATCH($N2404,계정대체기준!$A$20:$A$49,0)),0)))</f>
        <v/>
      </c>
      <c r="AC2404" s="9">
        <f>IF(AND($A2404&lt;&gt;"",M2404=설정!$C$20,Z2404&gt;0),Z2404+ROW()/1000000000,"")</f>
        <v/>
      </c>
      <c r="AD2404" s="94">
        <f>IF($A2404="",0,$P2404*AG2404)</f>
        <v/>
      </c>
      <c r="AE2404" s="64">
        <f>IF($A2404="","",IFERROR(INDEX(계정매핑!$E$5:$E$504,MATCH($F2404&amp;"",계정매핑!$A$5:$A$504,0))&amp;"","공통비"))</f>
        <v/>
      </c>
      <c r="AF2404" s="64">
        <f>IF($A2404="","",IF(AE2404="직접",IFERROR(INDEX(계정매핑!$F$5:$F$504,MATCH($F2404&amp;"",계정매핑!$A$5:$A$504,0))&amp;"","비귀속"),""))</f>
        <v/>
      </c>
      <c r="AG2404" s="96">
        <f>IF($A2404="",0,IF(AND(AE2404&lt;&gt;"직접",IFERROR(INDEX(계정매핑!$G$5:$G$504,MATCH($F2404&amp;"",계정매핑!$A$5:$A$504,0))&amp;"","")="유지비",COUNTIF(계정대체기준!$A$6:$A$15,$N2404)&gt;0),IFERROR(INDEX(계정대체기준!$E$6:$E$15,MATCH(VALUE($A2404&amp;""),계정대체기준!$D$6:$D$15,0)),0),0))</f>
        <v/>
      </c>
      <c r="AH2404" s="64">
        <f>IF($A2404="","",IF(AD2404=0,"",IF(OR(COUNTIF(계정대체기준!$A$77:$A$86,$N2404)&gt;0,ISNUMBER(MATCH($X2404,계정대체기준!$D$77:$D$86,0)),ISNUMBER(MATCH($F2404,계정대체기준!$D$77:$D$86,0))),"Y","N")))</f>
        <v/>
      </c>
    </row>
    <row r="2405">
      <c r="A2405" s="92" t="n">
        <v>2025</v>
      </c>
      <c r="B2405" s="92" t="n">
        <v>11</v>
      </c>
      <c r="C2405" s="92" t="inlineStr">
        <is>
          <t>5100002401</t>
        </is>
      </c>
      <c r="D2405" s="95" t="n">
        <v>45979</v>
      </c>
      <c r="E2405" s="92" t="inlineStr">
        <is>
          <t>KR</t>
        </is>
      </c>
      <c r="F2405" s="92" t="n">
        <v>62101000</v>
      </c>
      <c r="G2405" s="92" t="n">
        <v>1601</v>
      </c>
      <c r="H2405" s="93" t="n">
        <v>1104000</v>
      </c>
      <c r="I2405" s="92" t="inlineStr">
        <is>
          <t>11월 국내출장 - M항공</t>
        </is>
      </c>
      <c r="J2405" s="92" t="inlineStr">
        <is>
          <t>V10001</t>
        </is>
      </c>
      <c r="K2405" s="92" t="inlineStr">
        <is>
          <t>M항공</t>
        </is>
      </c>
      <c r="M2405" s="9">
        <f>IF($A2405="","",VALUE($A2405&amp;"")*12+VALUE($B2405&amp;""))</f>
        <v/>
      </c>
      <c r="N2405" s="64">
        <f>IF($A2405="","",IFERROR(INDEX(부서매핑!$C$5:$C$504,MATCH($G2405&amp;"",부서매핑!$A$5:$A$504,0)),"미매핑"))</f>
        <v/>
      </c>
      <c r="O2405" s="9">
        <f>IF($A2405="","",N2405&amp;"|"&amp;$F2405)</f>
        <v/>
      </c>
      <c r="P2405" s="94">
        <f>IF($A2405="",0,$H2405*설정!$C$23)</f>
        <v/>
      </c>
      <c r="Q2405" s="64">
        <f>IF($A2405="","",IF(O2405&lt;&gt;원인분석!$C$9,"",IF(AND(M2405&gt;=원인분석!$C$10,M2405&lt;=원인분석!$C$11),"당기",IF(AND(M2405&gt;=원인분석!$C$12,M2405&lt;=원인분석!$C$13),"비교",""))))</f>
        <v/>
      </c>
      <c r="R2405" s="9">
        <f>IF(Q2405="","",$K2405&amp;"")</f>
        <v/>
      </c>
      <c r="S2405" s="9">
        <f>IF(Q2405="","",IF(MATCH(R2405,$R$5:$R$100000,0)=ROW()-4,ROW(),""))</f>
        <v/>
      </c>
      <c r="T2405" s="9">
        <f>IF(Q2405="당기",ABS(P2405)+ROW()/1000000000,"")</f>
        <v/>
      </c>
      <c r="U2405" s="9">
        <f>IF(Q2405="비교",ABS(P2405)+ROW()/1000000000,"")</f>
        <v/>
      </c>
      <c r="V2405" s="64">
        <f>IF($A2405="","",IF(COUNTIF(변동분석!$E$7:$E$506,O2405)&gt;0,"Y","N"))</f>
        <v/>
      </c>
      <c r="W2405" s="64">
        <f>IF($A2405="","",IFERROR(INDEX(계정매핑!$D$5:$D$504,MATCH($F2405&amp;"",계정매핑!$A$5:$A$504,0)),"미매핑"))</f>
        <v/>
      </c>
      <c r="X2405" s="9">
        <f>IF($A2405="","",$F2405&amp;"")</f>
        <v/>
      </c>
      <c r="Y2405" s="94">
        <f>IF($A2405="",0,IF(AE2405="직접",IF(AF2405="비귀속",$P2405,0),$P2405*(1-AG2405)*IFERROR(INDEX(계정대체기준!$F$20:$F$49,MATCH($N2405,계정대체기준!$A$20:$A$49,0)),1)))</f>
        <v/>
      </c>
      <c r="Z2405" s="94">
        <f>IF($A2405="",0,IF(AE2405="직접",IF(AF2405="신계약비",$P2405,0),$P2405*(1-AG2405)*IFERROR(INDEX(계정대체기준!$C$20:$C$49,MATCH($N2405,계정대체기준!$A$20:$A$49,0)),0)))</f>
        <v/>
      </c>
      <c r="AA2405" s="94">
        <f>IF($A2405="",0,IF(AE2405="직접",IF(OR(AF2405="유지비",AF2405="손해조사비"),$P2405,0),$P2405*(1-AG2405)*IFERROR(INDEX(계정대체기준!$D$20:$D$49,MATCH($N2405,계정대체기준!$A$20:$A$49,0)),0)))</f>
        <v/>
      </c>
      <c r="AB2405" s="94">
        <f>IF($A2405="",0,IF(AE2405="직접",IF(AF2405="수금비",$P2405,0),$P2405*(1-AG2405)*IFERROR(INDEX(계정대체기준!$E$20:$E$49,MATCH($N2405,계정대체기준!$A$20:$A$49,0)),0)))</f>
        <v/>
      </c>
      <c r="AC2405" s="9">
        <f>IF(AND($A2405&lt;&gt;"",M2405=설정!$C$20,Z2405&gt;0),Z2405+ROW()/1000000000,"")</f>
        <v/>
      </c>
      <c r="AD2405" s="94">
        <f>IF($A2405="",0,$P2405*AG2405)</f>
        <v/>
      </c>
      <c r="AE2405" s="64">
        <f>IF($A2405="","",IFERROR(INDEX(계정매핑!$E$5:$E$504,MATCH($F2405&amp;"",계정매핑!$A$5:$A$504,0))&amp;"","공통비"))</f>
        <v/>
      </c>
      <c r="AF2405" s="64">
        <f>IF($A2405="","",IF(AE2405="직접",IFERROR(INDEX(계정매핑!$F$5:$F$504,MATCH($F2405&amp;"",계정매핑!$A$5:$A$504,0))&amp;"","비귀속"),""))</f>
        <v/>
      </c>
      <c r="AG2405" s="96">
        <f>IF($A2405="",0,IF(AND(AE2405&lt;&gt;"직접",IFERROR(INDEX(계정매핑!$G$5:$G$504,MATCH($F2405&amp;"",계정매핑!$A$5:$A$504,0))&amp;"","")="유지비",COUNTIF(계정대체기준!$A$6:$A$15,$N2405)&gt;0),IFERROR(INDEX(계정대체기준!$E$6:$E$15,MATCH(VALUE($A2405&amp;""),계정대체기준!$D$6:$D$15,0)),0),0))</f>
        <v/>
      </c>
      <c r="AH2405" s="64">
        <f>IF($A2405="","",IF(AD2405=0,"",IF(OR(COUNTIF(계정대체기준!$A$77:$A$86,$N2405)&gt;0,ISNUMBER(MATCH($X2405,계정대체기준!$D$77:$D$86,0)),ISNUMBER(MATCH($F2405,계정대체기준!$D$77:$D$86,0))),"Y","N")))</f>
        <v/>
      </c>
    </row>
    <row r="2406">
      <c r="A2406" s="92" t="n">
        <v>2025</v>
      </c>
      <c r="B2406" s="92" t="n">
        <v>11</v>
      </c>
      <c r="C2406" s="92" t="inlineStr">
        <is>
          <t>5100002402</t>
        </is>
      </c>
      <c r="D2406" s="95" t="n">
        <v>45979</v>
      </c>
      <c r="E2406" s="92" t="inlineStr">
        <is>
          <t>KR</t>
        </is>
      </c>
      <c r="F2406" s="92" t="n">
        <v>62101000</v>
      </c>
      <c r="G2406" s="92" t="n">
        <v>1602</v>
      </c>
      <c r="H2406" s="93" t="n">
        <v>1147000</v>
      </c>
      <c r="I2406" s="92" t="inlineStr">
        <is>
          <t>11월 국내출장 - (법인카드)</t>
        </is>
      </c>
      <c r="J2406" s="92" t="inlineStr">
        <is>
          <t>V10010</t>
        </is>
      </c>
      <c r="K2406" s="92" t="inlineStr">
        <is>
          <t>(법인카드)</t>
        </is>
      </c>
      <c r="M2406" s="9">
        <f>IF($A2406="","",VALUE($A2406&amp;"")*12+VALUE($B2406&amp;""))</f>
        <v/>
      </c>
      <c r="N2406" s="64">
        <f>IF($A2406="","",IFERROR(INDEX(부서매핑!$C$5:$C$504,MATCH($G2406&amp;"",부서매핑!$A$5:$A$504,0)),"미매핑"))</f>
        <v/>
      </c>
      <c r="O2406" s="9">
        <f>IF($A2406="","",N2406&amp;"|"&amp;$F2406)</f>
        <v/>
      </c>
      <c r="P2406" s="94">
        <f>IF($A2406="",0,$H2406*설정!$C$23)</f>
        <v/>
      </c>
      <c r="Q2406" s="64">
        <f>IF($A2406="","",IF(O2406&lt;&gt;원인분석!$C$9,"",IF(AND(M2406&gt;=원인분석!$C$10,M2406&lt;=원인분석!$C$11),"당기",IF(AND(M2406&gt;=원인분석!$C$12,M2406&lt;=원인분석!$C$13),"비교",""))))</f>
        <v/>
      </c>
      <c r="R2406" s="9">
        <f>IF(Q2406="","",$K2406&amp;"")</f>
        <v/>
      </c>
      <c r="S2406" s="9">
        <f>IF(Q2406="","",IF(MATCH(R2406,$R$5:$R$100000,0)=ROW()-4,ROW(),""))</f>
        <v/>
      </c>
      <c r="T2406" s="9">
        <f>IF(Q2406="당기",ABS(P2406)+ROW()/1000000000,"")</f>
        <v/>
      </c>
      <c r="U2406" s="9">
        <f>IF(Q2406="비교",ABS(P2406)+ROW()/1000000000,"")</f>
        <v/>
      </c>
      <c r="V2406" s="64">
        <f>IF($A2406="","",IF(COUNTIF(변동분석!$E$7:$E$506,O2406)&gt;0,"Y","N"))</f>
        <v/>
      </c>
      <c r="W2406" s="64">
        <f>IF($A2406="","",IFERROR(INDEX(계정매핑!$D$5:$D$504,MATCH($F2406&amp;"",계정매핑!$A$5:$A$504,0)),"미매핑"))</f>
        <v/>
      </c>
      <c r="X2406" s="9">
        <f>IF($A2406="","",$F2406&amp;"")</f>
        <v/>
      </c>
      <c r="Y2406" s="94">
        <f>IF($A2406="",0,IF(AE2406="직접",IF(AF2406="비귀속",$P2406,0),$P2406*(1-AG2406)*IFERROR(INDEX(계정대체기준!$F$20:$F$49,MATCH($N2406,계정대체기준!$A$20:$A$49,0)),1)))</f>
        <v/>
      </c>
      <c r="Z2406" s="94">
        <f>IF($A2406="",0,IF(AE2406="직접",IF(AF2406="신계약비",$P2406,0),$P2406*(1-AG2406)*IFERROR(INDEX(계정대체기준!$C$20:$C$49,MATCH($N2406,계정대체기준!$A$20:$A$49,0)),0)))</f>
        <v/>
      </c>
      <c r="AA2406" s="94">
        <f>IF($A2406="",0,IF(AE2406="직접",IF(OR(AF2406="유지비",AF2406="손해조사비"),$P2406,0),$P2406*(1-AG2406)*IFERROR(INDEX(계정대체기준!$D$20:$D$49,MATCH($N2406,계정대체기준!$A$20:$A$49,0)),0)))</f>
        <v/>
      </c>
      <c r="AB2406" s="94">
        <f>IF($A2406="",0,IF(AE2406="직접",IF(AF2406="수금비",$P2406,0),$P2406*(1-AG2406)*IFERROR(INDEX(계정대체기준!$E$20:$E$49,MATCH($N2406,계정대체기준!$A$20:$A$49,0)),0)))</f>
        <v/>
      </c>
      <c r="AC2406" s="9">
        <f>IF(AND($A2406&lt;&gt;"",M2406=설정!$C$20,Z2406&gt;0),Z2406+ROW()/1000000000,"")</f>
        <v/>
      </c>
      <c r="AD2406" s="94">
        <f>IF($A2406="",0,$P2406*AG2406)</f>
        <v/>
      </c>
      <c r="AE2406" s="64">
        <f>IF($A2406="","",IFERROR(INDEX(계정매핑!$E$5:$E$504,MATCH($F2406&amp;"",계정매핑!$A$5:$A$504,0))&amp;"","공통비"))</f>
        <v/>
      </c>
      <c r="AF2406" s="64">
        <f>IF($A2406="","",IF(AE2406="직접",IFERROR(INDEX(계정매핑!$F$5:$F$504,MATCH($F2406&amp;"",계정매핑!$A$5:$A$504,0))&amp;"","비귀속"),""))</f>
        <v/>
      </c>
      <c r="AG2406" s="96">
        <f>IF($A2406="",0,IF(AND(AE2406&lt;&gt;"직접",IFERROR(INDEX(계정매핑!$G$5:$G$504,MATCH($F2406&amp;"",계정매핑!$A$5:$A$504,0))&amp;"","")="유지비",COUNTIF(계정대체기준!$A$6:$A$15,$N2406)&gt;0),IFERROR(INDEX(계정대체기준!$E$6:$E$15,MATCH(VALUE($A2406&amp;""),계정대체기준!$D$6:$D$15,0)),0),0))</f>
        <v/>
      </c>
      <c r="AH2406" s="64">
        <f>IF($A2406="","",IF(AD2406=0,"",IF(OR(COUNTIF(계정대체기준!$A$77:$A$86,$N2406)&gt;0,ISNUMBER(MATCH($X2406,계정대체기준!$D$77:$D$86,0)),ISNUMBER(MATCH($F2406,계정대체기준!$D$77:$D$86,0))),"Y","N")))</f>
        <v/>
      </c>
    </row>
    <row r="2407">
      <c r="A2407" s="92" t="n">
        <v>2025</v>
      </c>
      <c r="B2407" s="92" t="n">
        <v>11</v>
      </c>
      <c r="C2407" s="92" t="inlineStr">
        <is>
          <t>5100002403</t>
        </is>
      </c>
      <c r="D2407" s="95" t="n">
        <v>45979</v>
      </c>
      <c r="E2407" s="92" t="inlineStr">
        <is>
          <t>KR</t>
        </is>
      </c>
      <c r="F2407" s="92" t="n">
        <v>62102000</v>
      </c>
      <c r="G2407" s="92" t="n">
        <v>1301</v>
      </c>
      <c r="H2407" s="93" t="n">
        <v>115000</v>
      </c>
      <c r="I2407" s="92" t="inlineStr">
        <is>
          <t>11월 해외출장 - N호텔</t>
        </is>
      </c>
      <c r="J2407" s="92" t="inlineStr">
        <is>
          <t>V10009</t>
        </is>
      </c>
      <c r="K2407" s="92" t="inlineStr">
        <is>
          <t>N호텔</t>
        </is>
      </c>
      <c r="M2407" s="9">
        <f>IF($A2407="","",VALUE($A2407&amp;"")*12+VALUE($B2407&amp;""))</f>
        <v/>
      </c>
      <c r="N2407" s="64">
        <f>IF($A2407="","",IFERROR(INDEX(부서매핑!$C$5:$C$504,MATCH($G2407&amp;"",부서매핑!$A$5:$A$504,0)),"미매핑"))</f>
        <v/>
      </c>
      <c r="O2407" s="9">
        <f>IF($A2407="","",N2407&amp;"|"&amp;$F2407)</f>
        <v/>
      </c>
      <c r="P2407" s="94">
        <f>IF($A2407="",0,$H2407*설정!$C$23)</f>
        <v/>
      </c>
      <c r="Q2407" s="64">
        <f>IF($A2407="","",IF(O2407&lt;&gt;원인분석!$C$9,"",IF(AND(M2407&gt;=원인분석!$C$10,M2407&lt;=원인분석!$C$11),"당기",IF(AND(M2407&gt;=원인분석!$C$12,M2407&lt;=원인분석!$C$13),"비교",""))))</f>
        <v/>
      </c>
      <c r="R2407" s="9">
        <f>IF(Q2407="","",$K2407&amp;"")</f>
        <v/>
      </c>
      <c r="S2407" s="9">
        <f>IF(Q2407="","",IF(MATCH(R2407,$R$5:$R$100000,0)=ROW()-4,ROW(),""))</f>
        <v/>
      </c>
      <c r="T2407" s="9">
        <f>IF(Q2407="당기",ABS(P2407)+ROW()/1000000000,"")</f>
        <v/>
      </c>
      <c r="U2407" s="9">
        <f>IF(Q2407="비교",ABS(P2407)+ROW()/1000000000,"")</f>
        <v/>
      </c>
      <c r="V2407" s="64">
        <f>IF($A2407="","",IF(COUNTIF(변동분석!$E$7:$E$506,O2407)&gt;0,"Y","N"))</f>
        <v/>
      </c>
      <c r="W2407" s="64">
        <f>IF($A2407="","",IFERROR(INDEX(계정매핑!$D$5:$D$504,MATCH($F2407&amp;"",계정매핑!$A$5:$A$504,0)),"미매핑"))</f>
        <v/>
      </c>
      <c r="X2407" s="9">
        <f>IF($A2407="","",$F2407&amp;"")</f>
        <v/>
      </c>
      <c r="Y2407" s="94">
        <f>IF($A2407="",0,IF(AE2407="직접",IF(AF2407="비귀속",$P2407,0),$P2407*(1-AG2407)*IFERROR(INDEX(계정대체기준!$F$20:$F$49,MATCH($N2407,계정대체기준!$A$20:$A$49,0)),1)))</f>
        <v/>
      </c>
      <c r="Z2407" s="94">
        <f>IF($A2407="",0,IF(AE2407="직접",IF(AF2407="신계약비",$P2407,0),$P2407*(1-AG2407)*IFERROR(INDEX(계정대체기준!$C$20:$C$49,MATCH($N2407,계정대체기준!$A$20:$A$49,0)),0)))</f>
        <v/>
      </c>
      <c r="AA2407" s="94">
        <f>IF($A2407="",0,IF(AE2407="직접",IF(OR(AF2407="유지비",AF2407="손해조사비"),$P2407,0),$P2407*(1-AG2407)*IFERROR(INDEX(계정대체기준!$D$20:$D$49,MATCH($N2407,계정대체기준!$A$20:$A$49,0)),0)))</f>
        <v/>
      </c>
      <c r="AB2407" s="94">
        <f>IF($A2407="",0,IF(AE2407="직접",IF(AF2407="수금비",$P2407,0),$P2407*(1-AG2407)*IFERROR(INDEX(계정대체기준!$E$20:$E$49,MATCH($N2407,계정대체기준!$A$20:$A$49,0)),0)))</f>
        <v/>
      </c>
      <c r="AC2407" s="9">
        <f>IF(AND($A2407&lt;&gt;"",M2407=설정!$C$20,Z2407&gt;0),Z2407+ROW()/1000000000,"")</f>
        <v/>
      </c>
      <c r="AD2407" s="94">
        <f>IF($A2407="",0,$P2407*AG2407)</f>
        <v/>
      </c>
      <c r="AE2407" s="64">
        <f>IF($A2407="","",IFERROR(INDEX(계정매핑!$E$5:$E$504,MATCH($F2407&amp;"",계정매핑!$A$5:$A$504,0))&amp;"","공통비"))</f>
        <v/>
      </c>
      <c r="AF2407" s="64">
        <f>IF($A2407="","",IF(AE2407="직접",IFERROR(INDEX(계정매핑!$F$5:$F$504,MATCH($F2407&amp;"",계정매핑!$A$5:$A$504,0))&amp;"","비귀속"),""))</f>
        <v/>
      </c>
      <c r="AG2407" s="96">
        <f>IF($A2407="",0,IF(AND(AE2407&lt;&gt;"직접",IFERROR(INDEX(계정매핑!$G$5:$G$504,MATCH($F2407&amp;"",계정매핑!$A$5:$A$504,0))&amp;"","")="유지비",COUNTIF(계정대체기준!$A$6:$A$15,$N2407)&gt;0),IFERROR(INDEX(계정대체기준!$E$6:$E$15,MATCH(VALUE($A2407&amp;""),계정대체기준!$D$6:$D$15,0)),0),0))</f>
        <v/>
      </c>
      <c r="AH2407" s="64">
        <f>IF($A2407="","",IF(AD2407=0,"",IF(OR(COUNTIF(계정대체기준!$A$77:$A$86,$N2407)&gt;0,ISNUMBER(MATCH($X2407,계정대체기준!$D$77:$D$86,0)),ISNUMBER(MATCH($F2407,계정대체기준!$D$77:$D$86,0))),"Y","N")))</f>
        <v/>
      </c>
    </row>
    <row r="2408">
      <c r="A2408" s="92" t="n">
        <v>2025</v>
      </c>
      <c r="B2408" s="92" t="n">
        <v>11</v>
      </c>
      <c r="C2408" s="92" t="inlineStr">
        <is>
          <t>5100002404</t>
        </is>
      </c>
      <c r="D2408" s="95" t="n">
        <v>45979</v>
      </c>
      <c r="E2408" s="92" t="inlineStr">
        <is>
          <t>KR</t>
        </is>
      </c>
      <c r="F2408" s="92" t="n">
        <v>62102000</v>
      </c>
      <c r="G2408" s="92" t="n">
        <v>1401</v>
      </c>
      <c r="H2408" s="93" t="n">
        <v>58000</v>
      </c>
      <c r="I2408" s="92" t="inlineStr">
        <is>
          <t>11월 해외출장 - N호텔</t>
        </is>
      </c>
      <c r="J2408" s="92" t="inlineStr">
        <is>
          <t>V10009</t>
        </is>
      </c>
      <c r="K2408" s="92" t="inlineStr">
        <is>
          <t>N호텔</t>
        </is>
      </c>
      <c r="M2408" s="9">
        <f>IF($A2408="","",VALUE($A2408&amp;"")*12+VALUE($B2408&amp;""))</f>
        <v/>
      </c>
      <c r="N2408" s="64">
        <f>IF($A2408="","",IFERROR(INDEX(부서매핑!$C$5:$C$504,MATCH($G2408&amp;"",부서매핑!$A$5:$A$504,0)),"미매핑"))</f>
        <v/>
      </c>
      <c r="O2408" s="9">
        <f>IF($A2408="","",N2408&amp;"|"&amp;$F2408)</f>
        <v/>
      </c>
      <c r="P2408" s="94">
        <f>IF($A2408="",0,$H2408*설정!$C$23)</f>
        <v/>
      </c>
      <c r="Q2408" s="64">
        <f>IF($A2408="","",IF(O2408&lt;&gt;원인분석!$C$9,"",IF(AND(M2408&gt;=원인분석!$C$10,M2408&lt;=원인분석!$C$11),"당기",IF(AND(M2408&gt;=원인분석!$C$12,M2408&lt;=원인분석!$C$13),"비교",""))))</f>
        <v/>
      </c>
      <c r="R2408" s="9">
        <f>IF(Q2408="","",$K2408&amp;"")</f>
        <v/>
      </c>
      <c r="S2408" s="9">
        <f>IF(Q2408="","",IF(MATCH(R2408,$R$5:$R$100000,0)=ROW()-4,ROW(),""))</f>
        <v/>
      </c>
      <c r="T2408" s="9">
        <f>IF(Q2408="당기",ABS(P2408)+ROW()/1000000000,"")</f>
        <v/>
      </c>
      <c r="U2408" s="9">
        <f>IF(Q2408="비교",ABS(P2408)+ROW()/1000000000,"")</f>
        <v/>
      </c>
      <c r="V2408" s="64">
        <f>IF($A2408="","",IF(COUNTIF(변동분석!$E$7:$E$506,O2408)&gt;0,"Y","N"))</f>
        <v/>
      </c>
      <c r="W2408" s="64">
        <f>IF($A2408="","",IFERROR(INDEX(계정매핑!$D$5:$D$504,MATCH($F2408&amp;"",계정매핑!$A$5:$A$504,0)),"미매핑"))</f>
        <v/>
      </c>
      <c r="X2408" s="9">
        <f>IF($A2408="","",$F2408&amp;"")</f>
        <v/>
      </c>
      <c r="Y2408" s="94">
        <f>IF($A2408="",0,IF(AE2408="직접",IF(AF2408="비귀속",$P2408,0),$P2408*(1-AG2408)*IFERROR(INDEX(계정대체기준!$F$20:$F$49,MATCH($N2408,계정대체기준!$A$20:$A$49,0)),1)))</f>
        <v/>
      </c>
      <c r="Z2408" s="94">
        <f>IF($A2408="",0,IF(AE2408="직접",IF(AF2408="신계약비",$P2408,0),$P2408*(1-AG2408)*IFERROR(INDEX(계정대체기준!$C$20:$C$49,MATCH($N2408,계정대체기준!$A$20:$A$49,0)),0)))</f>
        <v/>
      </c>
      <c r="AA2408" s="94">
        <f>IF($A2408="",0,IF(AE2408="직접",IF(OR(AF2408="유지비",AF2408="손해조사비"),$P2408,0),$P2408*(1-AG2408)*IFERROR(INDEX(계정대체기준!$D$20:$D$49,MATCH($N2408,계정대체기준!$A$20:$A$49,0)),0)))</f>
        <v/>
      </c>
      <c r="AB2408" s="94">
        <f>IF($A2408="",0,IF(AE2408="직접",IF(AF2408="수금비",$P2408,0),$P2408*(1-AG2408)*IFERROR(INDEX(계정대체기준!$E$20:$E$49,MATCH($N2408,계정대체기준!$A$20:$A$49,0)),0)))</f>
        <v/>
      </c>
      <c r="AC2408" s="9">
        <f>IF(AND($A2408&lt;&gt;"",M2408=설정!$C$20,Z2408&gt;0),Z2408+ROW()/1000000000,"")</f>
        <v/>
      </c>
      <c r="AD2408" s="94">
        <f>IF($A2408="",0,$P2408*AG2408)</f>
        <v/>
      </c>
      <c r="AE2408" s="64">
        <f>IF($A2408="","",IFERROR(INDEX(계정매핑!$E$5:$E$504,MATCH($F2408&amp;"",계정매핑!$A$5:$A$504,0))&amp;"","공통비"))</f>
        <v/>
      </c>
      <c r="AF2408" s="64">
        <f>IF($A2408="","",IF(AE2408="직접",IFERROR(INDEX(계정매핑!$F$5:$F$504,MATCH($F2408&amp;"",계정매핑!$A$5:$A$504,0))&amp;"","비귀속"),""))</f>
        <v/>
      </c>
      <c r="AG2408" s="96">
        <f>IF($A2408="",0,IF(AND(AE2408&lt;&gt;"직접",IFERROR(INDEX(계정매핑!$G$5:$G$504,MATCH($F2408&amp;"",계정매핑!$A$5:$A$504,0))&amp;"","")="유지비",COUNTIF(계정대체기준!$A$6:$A$15,$N2408)&gt;0),IFERROR(INDEX(계정대체기준!$E$6:$E$15,MATCH(VALUE($A2408&amp;""),계정대체기준!$D$6:$D$15,0)),0),0))</f>
        <v/>
      </c>
      <c r="AH2408" s="64">
        <f>IF($A2408="","",IF(AD2408=0,"",IF(OR(COUNTIF(계정대체기준!$A$77:$A$86,$N2408)&gt;0,ISNUMBER(MATCH($X2408,계정대체기준!$D$77:$D$86,0)),ISNUMBER(MATCH($F2408,계정대체기준!$D$77:$D$86,0))),"Y","N")))</f>
        <v/>
      </c>
    </row>
    <row r="2409">
      <c r="A2409" s="92" t="n">
        <v>2025</v>
      </c>
      <c r="B2409" s="92" t="n">
        <v>11</v>
      </c>
      <c r="C2409" s="92" t="inlineStr">
        <is>
          <t>5100002405</t>
        </is>
      </c>
      <c r="D2409" s="95" t="n">
        <v>45979</v>
      </c>
      <c r="E2409" s="92" t="inlineStr">
        <is>
          <t>KR</t>
        </is>
      </c>
      <c r="F2409" s="92" t="n">
        <v>62201000</v>
      </c>
      <c r="G2409" s="92" t="n">
        <v>1401</v>
      </c>
      <c r="H2409" s="93" t="n">
        <v>161000</v>
      </c>
      <c r="I2409" s="92" t="inlineStr">
        <is>
          <t>11월 통신요금 - P통신</t>
        </is>
      </c>
      <c r="J2409" s="92" t="inlineStr">
        <is>
          <t>V10014</t>
        </is>
      </c>
      <c r="K2409" s="92" t="inlineStr">
        <is>
          <t>P통신</t>
        </is>
      </c>
      <c r="M2409" s="9">
        <f>IF($A2409="","",VALUE($A2409&amp;"")*12+VALUE($B2409&amp;""))</f>
        <v/>
      </c>
      <c r="N2409" s="64">
        <f>IF($A2409="","",IFERROR(INDEX(부서매핑!$C$5:$C$504,MATCH($G2409&amp;"",부서매핑!$A$5:$A$504,0)),"미매핑"))</f>
        <v/>
      </c>
      <c r="O2409" s="9">
        <f>IF($A2409="","",N2409&amp;"|"&amp;$F2409)</f>
        <v/>
      </c>
      <c r="P2409" s="94">
        <f>IF($A2409="",0,$H2409*설정!$C$23)</f>
        <v/>
      </c>
      <c r="Q2409" s="64">
        <f>IF($A2409="","",IF(O2409&lt;&gt;원인분석!$C$9,"",IF(AND(M2409&gt;=원인분석!$C$10,M2409&lt;=원인분석!$C$11),"당기",IF(AND(M2409&gt;=원인분석!$C$12,M2409&lt;=원인분석!$C$13),"비교",""))))</f>
        <v/>
      </c>
      <c r="R2409" s="9">
        <f>IF(Q2409="","",$K2409&amp;"")</f>
        <v/>
      </c>
      <c r="S2409" s="9">
        <f>IF(Q2409="","",IF(MATCH(R2409,$R$5:$R$100000,0)=ROW()-4,ROW(),""))</f>
        <v/>
      </c>
      <c r="T2409" s="9">
        <f>IF(Q2409="당기",ABS(P2409)+ROW()/1000000000,"")</f>
        <v/>
      </c>
      <c r="U2409" s="9">
        <f>IF(Q2409="비교",ABS(P2409)+ROW()/1000000000,"")</f>
        <v/>
      </c>
      <c r="V2409" s="64">
        <f>IF($A2409="","",IF(COUNTIF(변동분석!$E$7:$E$506,O2409)&gt;0,"Y","N"))</f>
        <v/>
      </c>
      <c r="W2409" s="64">
        <f>IF($A2409="","",IFERROR(INDEX(계정매핑!$D$5:$D$504,MATCH($F2409&amp;"",계정매핑!$A$5:$A$504,0)),"미매핑"))</f>
        <v/>
      </c>
      <c r="X2409" s="9">
        <f>IF($A2409="","",$F2409&amp;"")</f>
        <v/>
      </c>
      <c r="Y2409" s="94">
        <f>IF($A2409="",0,IF(AE2409="직접",IF(AF2409="비귀속",$P2409,0),$P2409*(1-AG2409)*IFERROR(INDEX(계정대체기준!$F$20:$F$49,MATCH($N2409,계정대체기준!$A$20:$A$49,0)),1)))</f>
        <v/>
      </c>
      <c r="Z2409" s="94">
        <f>IF($A2409="",0,IF(AE2409="직접",IF(AF2409="신계약비",$P2409,0),$P2409*(1-AG2409)*IFERROR(INDEX(계정대체기준!$C$20:$C$49,MATCH($N2409,계정대체기준!$A$20:$A$49,0)),0)))</f>
        <v/>
      </c>
      <c r="AA2409" s="94">
        <f>IF($A2409="",0,IF(AE2409="직접",IF(OR(AF2409="유지비",AF2409="손해조사비"),$P2409,0),$P2409*(1-AG2409)*IFERROR(INDEX(계정대체기준!$D$20:$D$49,MATCH($N2409,계정대체기준!$A$20:$A$49,0)),0)))</f>
        <v/>
      </c>
      <c r="AB2409" s="94">
        <f>IF($A2409="",0,IF(AE2409="직접",IF(AF2409="수금비",$P2409,0),$P2409*(1-AG2409)*IFERROR(INDEX(계정대체기준!$E$20:$E$49,MATCH($N2409,계정대체기준!$A$20:$A$49,0)),0)))</f>
        <v/>
      </c>
      <c r="AC2409" s="9">
        <f>IF(AND($A2409&lt;&gt;"",M2409=설정!$C$20,Z2409&gt;0),Z2409+ROW()/1000000000,"")</f>
        <v/>
      </c>
      <c r="AD2409" s="94">
        <f>IF($A2409="",0,$P2409*AG2409)</f>
        <v/>
      </c>
      <c r="AE2409" s="64">
        <f>IF($A2409="","",IFERROR(INDEX(계정매핑!$E$5:$E$504,MATCH($F2409&amp;"",계정매핑!$A$5:$A$504,0))&amp;"","공통비"))</f>
        <v/>
      </c>
      <c r="AF2409" s="64">
        <f>IF($A2409="","",IF(AE2409="직접",IFERROR(INDEX(계정매핑!$F$5:$F$504,MATCH($F2409&amp;"",계정매핑!$A$5:$A$504,0))&amp;"","비귀속"),""))</f>
        <v/>
      </c>
      <c r="AG2409" s="96">
        <f>IF($A2409="",0,IF(AND(AE2409&lt;&gt;"직접",IFERROR(INDEX(계정매핑!$G$5:$G$504,MATCH($F2409&amp;"",계정매핑!$A$5:$A$504,0))&amp;"","")="유지비",COUNTIF(계정대체기준!$A$6:$A$15,$N2409)&gt;0),IFERROR(INDEX(계정대체기준!$E$6:$E$15,MATCH(VALUE($A2409&amp;""),계정대체기준!$D$6:$D$15,0)),0),0))</f>
        <v/>
      </c>
      <c r="AH2409" s="64">
        <f>IF($A2409="","",IF(AD2409=0,"",IF(OR(COUNTIF(계정대체기준!$A$77:$A$86,$N2409)&gt;0,ISNUMBER(MATCH($X2409,계정대체기준!$D$77:$D$86,0)),ISNUMBER(MATCH($F2409,계정대체기준!$D$77:$D$86,0))),"Y","N")))</f>
        <v/>
      </c>
    </row>
    <row r="2410">
      <c r="A2410" s="92" t="n">
        <v>2025</v>
      </c>
      <c r="B2410" s="92" t="n">
        <v>11</v>
      </c>
      <c r="C2410" s="92" t="inlineStr">
        <is>
          <t>5100002406</t>
        </is>
      </c>
      <c r="D2410" s="95" t="n">
        <v>45979</v>
      </c>
      <c r="E2410" s="92" t="inlineStr">
        <is>
          <t>KR</t>
        </is>
      </c>
      <c r="F2410" s="92" t="n">
        <v>62201000</v>
      </c>
      <c r="G2410" s="92" t="n">
        <v>1602</v>
      </c>
      <c r="H2410" s="93" t="n">
        <v>420000</v>
      </c>
      <c r="I2410" s="92" t="inlineStr">
        <is>
          <t>11월 통신요금 - P통신</t>
        </is>
      </c>
      <c r="J2410" s="92" t="inlineStr">
        <is>
          <t>V10014</t>
        </is>
      </c>
      <c r="K2410" s="92" t="inlineStr">
        <is>
          <t>P통신</t>
        </is>
      </c>
      <c r="M2410" s="9">
        <f>IF($A2410="","",VALUE($A2410&amp;"")*12+VALUE($B2410&amp;""))</f>
        <v/>
      </c>
      <c r="N2410" s="64">
        <f>IF($A2410="","",IFERROR(INDEX(부서매핑!$C$5:$C$504,MATCH($G2410&amp;"",부서매핑!$A$5:$A$504,0)),"미매핑"))</f>
        <v/>
      </c>
      <c r="O2410" s="9">
        <f>IF($A2410="","",N2410&amp;"|"&amp;$F2410)</f>
        <v/>
      </c>
      <c r="P2410" s="94">
        <f>IF($A2410="",0,$H2410*설정!$C$23)</f>
        <v/>
      </c>
      <c r="Q2410" s="64">
        <f>IF($A2410="","",IF(O2410&lt;&gt;원인분석!$C$9,"",IF(AND(M2410&gt;=원인분석!$C$10,M2410&lt;=원인분석!$C$11),"당기",IF(AND(M2410&gt;=원인분석!$C$12,M2410&lt;=원인분석!$C$13),"비교",""))))</f>
        <v/>
      </c>
      <c r="R2410" s="9">
        <f>IF(Q2410="","",$K2410&amp;"")</f>
        <v/>
      </c>
      <c r="S2410" s="9">
        <f>IF(Q2410="","",IF(MATCH(R2410,$R$5:$R$100000,0)=ROW()-4,ROW(),""))</f>
        <v/>
      </c>
      <c r="T2410" s="9">
        <f>IF(Q2410="당기",ABS(P2410)+ROW()/1000000000,"")</f>
        <v/>
      </c>
      <c r="U2410" s="9">
        <f>IF(Q2410="비교",ABS(P2410)+ROW()/1000000000,"")</f>
        <v/>
      </c>
      <c r="V2410" s="64">
        <f>IF($A2410="","",IF(COUNTIF(변동분석!$E$7:$E$506,O2410)&gt;0,"Y","N"))</f>
        <v/>
      </c>
      <c r="W2410" s="64">
        <f>IF($A2410="","",IFERROR(INDEX(계정매핑!$D$5:$D$504,MATCH($F2410&amp;"",계정매핑!$A$5:$A$504,0)),"미매핑"))</f>
        <v/>
      </c>
      <c r="X2410" s="9">
        <f>IF($A2410="","",$F2410&amp;"")</f>
        <v/>
      </c>
      <c r="Y2410" s="94">
        <f>IF($A2410="",0,IF(AE2410="직접",IF(AF2410="비귀속",$P2410,0),$P2410*(1-AG2410)*IFERROR(INDEX(계정대체기준!$F$20:$F$49,MATCH($N2410,계정대체기준!$A$20:$A$49,0)),1)))</f>
        <v/>
      </c>
      <c r="Z2410" s="94">
        <f>IF($A2410="",0,IF(AE2410="직접",IF(AF2410="신계약비",$P2410,0),$P2410*(1-AG2410)*IFERROR(INDEX(계정대체기준!$C$20:$C$49,MATCH($N2410,계정대체기준!$A$20:$A$49,0)),0)))</f>
        <v/>
      </c>
      <c r="AA2410" s="94">
        <f>IF($A2410="",0,IF(AE2410="직접",IF(OR(AF2410="유지비",AF2410="손해조사비"),$P2410,0),$P2410*(1-AG2410)*IFERROR(INDEX(계정대체기준!$D$20:$D$49,MATCH($N2410,계정대체기준!$A$20:$A$49,0)),0)))</f>
        <v/>
      </c>
      <c r="AB2410" s="94">
        <f>IF($A2410="",0,IF(AE2410="직접",IF(AF2410="수금비",$P2410,0),$P2410*(1-AG2410)*IFERROR(INDEX(계정대체기준!$E$20:$E$49,MATCH($N2410,계정대체기준!$A$20:$A$49,0)),0)))</f>
        <v/>
      </c>
      <c r="AC2410" s="9">
        <f>IF(AND($A2410&lt;&gt;"",M2410=설정!$C$20,Z2410&gt;0),Z2410+ROW()/1000000000,"")</f>
        <v/>
      </c>
      <c r="AD2410" s="94">
        <f>IF($A2410="",0,$P2410*AG2410)</f>
        <v/>
      </c>
      <c r="AE2410" s="64">
        <f>IF($A2410="","",IFERROR(INDEX(계정매핑!$E$5:$E$504,MATCH($F2410&amp;"",계정매핑!$A$5:$A$504,0))&amp;"","공통비"))</f>
        <v/>
      </c>
      <c r="AF2410" s="64">
        <f>IF($A2410="","",IF(AE2410="직접",IFERROR(INDEX(계정매핑!$F$5:$F$504,MATCH($F2410&amp;"",계정매핑!$A$5:$A$504,0))&amp;"","비귀속"),""))</f>
        <v/>
      </c>
      <c r="AG2410" s="96">
        <f>IF($A2410="",0,IF(AND(AE2410&lt;&gt;"직접",IFERROR(INDEX(계정매핑!$G$5:$G$504,MATCH($F2410&amp;"",계정매핑!$A$5:$A$504,0))&amp;"","")="유지비",COUNTIF(계정대체기준!$A$6:$A$15,$N2410)&gt;0),IFERROR(INDEX(계정대체기준!$E$6:$E$15,MATCH(VALUE($A2410&amp;""),계정대체기준!$D$6:$D$15,0)),0),0))</f>
        <v/>
      </c>
      <c r="AH2410" s="64">
        <f>IF($A2410="","",IF(AD2410=0,"",IF(OR(COUNTIF(계정대체기준!$A$77:$A$86,$N2410)&gt;0,ISNUMBER(MATCH($X2410,계정대체기준!$D$77:$D$86,0)),ISNUMBER(MATCH($F2410,계정대체기준!$D$77:$D$86,0))),"Y","N")))</f>
        <v/>
      </c>
    </row>
    <row r="2411">
      <c r="A2411" s="92" t="n">
        <v>2025</v>
      </c>
      <c r="B2411" s="92" t="n">
        <v>11</v>
      </c>
      <c r="C2411" s="92" t="inlineStr">
        <is>
          <t>5100002407</t>
        </is>
      </c>
      <c r="D2411" s="95" t="n">
        <v>45979</v>
      </c>
      <c r="E2411" s="92" t="inlineStr">
        <is>
          <t>KR</t>
        </is>
      </c>
      <c r="F2411" s="92" t="n">
        <v>62301000</v>
      </c>
      <c r="G2411" s="92" t="n">
        <v>1201</v>
      </c>
      <c r="H2411" s="93" t="n">
        <v>152000</v>
      </c>
      <c r="I2411" s="92" t="inlineStr">
        <is>
          <t>11월 소모품 구입 - R문구</t>
        </is>
      </c>
      <c r="J2411" s="92" t="inlineStr">
        <is>
          <t>V10022</t>
        </is>
      </c>
      <c r="K2411" s="92" t="inlineStr">
        <is>
          <t>R문구</t>
        </is>
      </c>
      <c r="M2411" s="9">
        <f>IF($A2411="","",VALUE($A2411&amp;"")*12+VALUE($B2411&amp;""))</f>
        <v/>
      </c>
      <c r="N2411" s="64">
        <f>IF($A2411="","",IFERROR(INDEX(부서매핑!$C$5:$C$504,MATCH($G2411&amp;"",부서매핑!$A$5:$A$504,0)),"미매핑"))</f>
        <v/>
      </c>
      <c r="O2411" s="9">
        <f>IF($A2411="","",N2411&amp;"|"&amp;$F2411)</f>
        <v/>
      </c>
      <c r="P2411" s="94">
        <f>IF($A2411="",0,$H2411*설정!$C$23)</f>
        <v/>
      </c>
      <c r="Q2411" s="64">
        <f>IF($A2411="","",IF(O2411&lt;&gt;원인분석!$C$9,"",IF(AND(M2411&gt;=원인분석!$C$10,M2411&lt;=원인분석!$C$11),"당기",IF(AND(M2411&gt;=원인분석!$C$12,M2411&lt;=원인분석!$C$13),"비교",""))))</f>
        <v/>
      </c>
      <c r="R2411" s="9">
        <f>IF(Q2411="","",$K2411&amp;"")</f>
        <v/>
      </c>
      <c r="S2411" s="9">
        <f>IF(Q2411="","",IF(MATCH(R2411,$R$5:$R$100000,0)=ROW()-4,ROW(),""))</f>
        <v/>
      </c>
      <c r="T2411" s="9">
        <f>IF(Q2411="당기",ABS(P2411)+ROW()/1000000000,"")</f>
        <v/>
      </c>
      <c r="U2411" s="9">
        <f>IF(Q2411="비교",ABS(P2411)+ROW()/1000000000,"")</f>
        <v/>
      </c>
      <c r="V2411" s="64">
        <f>IF($A2411="","",IF(COUNTIF(변동분석!$E$7:$E$506,O2411)&gt;0,"Y","N"))</f>
        <v/>
      </c>
      <c r="W2411" s="64">
        <f>IF($A2411="","",IFERROR(INDEX(계정매핑!$D$5:$D$504,MATCH($F2411&amp;"",계정매핑!$A$5:$A$504,0)),"미매핑"))</f>
        <v/>
      </c>
      <c r="X2411" s="9">
        <f>IF($A2411="","",$F2411&amp;"")</f>
        <v/>
      </c>
      <c r="Y2411" s="94">
        <f>IF($A2411="",0,IF(AE2411="직접",IF(AF2411="비귀속",$P2411,0),$P2411*(1-AG2411)*IFERROR(INDEX(계정대체기준!$F$20:$F$49,MATCH($N2411,계정대체기준!$A$20:$A$49,0)),1)))</f>
        <v/>
      </c>
      <c r="Z2411" s="94">
        <f>IF($A2411="",0,IF(AE2411="직접",IF(AF2411="신계약비",$P2411,0),$P2411*(1-AG2411)*IFERROR(INDEX(계정대체기준!$C$20:$C$49,MATCH($N2411,계정대체기준!$A$20:$A$49,0)),0)))</f>
        <v/>
      </c>
      <c r="AA2411" s="94">
        <f>IF($A2411="",0,IF(AE2411="직접",IF(OR(AF2411="유지비",AF2411="손해조사비"),$P2411,0),$P2411*(1-AG2411)*IFERROR(INDEX(계정대체기준!$D$20:$D$49,MATCH($N2411,계정대체기준!$A$20:$A$49,0)),0)))</f>
        <v/>
      </c>
      <c r="AB2411" s="94">
        <f>IF($A2411="",0,IF(AE2411="직접",IF(AF2411="수금비",$P2411,0),$P2411*(1-AG2411)*IFERROR(INDEX(계정대체기준!$E$20:$E$49,MATCH($N2411,계정대체기준!$A$20:$A$49,0)),0)))</f>
        <v/>
      </c>
      <c r="AC2411" s="9">
        <f>IF(AND($A2411&lt;&gt;"",M2411=설정!$C$20,Z2411&gt;0),Z2411+ROW()/1000000000,"")</f>
        <v/>
      </c>
      <c r="AD2411" s="94">
        <f>IF($A2411="",0,$P2411*AG2411)</f>
        <v/>
      </c>
      <c r="AE2411" s="64">
        <f>IF($A2411="","",IFERROR(INDEX(계정매핑!$E$5:$E$504,MATCH($F2411&amp;"",계정매핑!$A$5:$A$504,0))&amp;"","공통비"))</f>
        <v/>
      </c>
      <c r="AF2411" s="64">
        <f>IF($A2411="","",IF(AE2411="직접",IFERROR(INDEX(계정매핑!$F$5:$F$504,MATCH($F2411&amp;"",계정매핑!$A$5:$A$504,0))&amp;"","비귀속"),""))</f>
        <v/>
      </c>
      <c r="AG2411" s="96">
        <f>IF($A2411="",0,IF(AND(AE2411&lt;&gt;"직접",IFERROR(INDEX(계정매핑!$G$5:$G$504,MATCH($F2411&amp;"",계정매핑!$A$5:$A$504,0))&amp;"","")="유지비",COUNTIF(계정대체기준!$A$6:$A$15,$N2411)&gt;0),IFERROR(INDEX(계정대체기준!$E$6:$E$15,MATCH(VALUE($A2411&amp;""),계정대체기준!$D$6:$D$15,0)),0),0))</f>
        <v/>
      </c>
      <c r="AH2411" s="64">
        <f>IF($A2411="","",IF(AD2411=0,"",IF(OR(COUNTIF(계정대체기준!$A$77:$A$86,$N2411)&gt;0,ISNUMBER(MATCH($X2411,계정대체기준!$D$77:$D$86,0)),ISNUMBER(MATCH($F2411,계정대체기준!$D$77:$D$86,0))),"Y","N")))</f>
        <v/>
      </c>
    </row>
    <row r="2412">
      <c r="A2412" s="92" t="n">
        <v>2025</v>
      </c>
      <c r="B2412" s="92" t="n">
        <v>11</v>
      </c>
      <c r="C2412" s="92" t="inlineStr">
        <is>
          <t>5100002408</t>
        </is>
      </c>
      <c r="D2412" s="95" t="n">
        <v>45979</v>
      </c>
      <c r="E2412" s="92" t="inlineStr">
        <is>
          <t>KR</t>
        </is>
      </c>
      <c r="F2412" s="92" t="n">
        <v>62301000</v>
      </c>
      <c r="G2412" s="92" t="n">
        <v>1502</v>
      </c>
      <c r="H2412" s="93" t="n">
        <v>218000</v>
      </c>
      <c r="I2412" s="92" t="inlineStr">
        <is>
          <t>11월 소모품 구입 - Q오피스</t>
        </is>
      </c>
      <c r="J2412" s="92" t="inlineStr">
        <is>
          <t>V10003</t>
        </is>
      </c>
      <c r="K2412" s="92" t="inlineStr">
        <is>
          <t>Q오피스</t>
        </is>
      </c>
      <c r="M2412" s="9">
        <f>IF($A2412="","",VALUE($A2412&amp;"")*12+VALUE($B2412&amp;""))</f>
        <v/>
      </c>
      <c r="N2412" s="64">
        <f>IF($A2412="","",IFERROR(INDEX(부서매핑!$C$5:$C$504,MATCH($G2412&amp;"",부서매핑!$A$5:$A$504,0)),"미매핑"))</f>
        <v/>
      </c>
      <c r="O2412" s="9">
        <f>IF($A2412="","",N2412&amp;"|"&amp;$F2412)</f>
        <v/>
      </c>
      <c r="P2412" s="94">
        <f>IF($A2412="",0,$H2412*설정!$C$23)</f>
        <v/>
      </c>
      <c r="Q2412" s="64">
        <f>IF($A2412="","",IF(O2412&lt;&gt;원인분석!$C$9,"",IF(AND(M2412&gt;=원인분석!$C$10,M2412&lt;=원인분석!$C$11),"당기",IF(AND(M2412&gt;=원인분석!$C$12,M2412&lt;=원인분석!$C$13),"비교",""))))</f>
        <v/>
      </c>
      <c r="R2412" s="9">
        <f>IF(Q2412="","",$K2412&amp;"")</f>
        <v/>
      </c>
      <c r="S2412" s="9">
        <f>IF(Q2412="","",IF(MATCH(R2412,$R$5:$R$100000,0)=ROW()-4,ROW(),""))</f>
        <v/>
      </c>
      <c r="T2412" s="9">
        <f>IF(Q2412="당기",ABS(P2412)+ROW()/1000000000,"")</f>
        <v/>
      </c>
      <c r="U2412" s="9">
        <f>IF(Q2412="비교",ABS(P2412)+ROW()/1000000000,"")</f>
        <v/>
      </c>
      <c r="V2412" s="64">
        <f>IF($A2412="","",IF(COUNTIF(변동분석!$E$7:$E$506,O2412)&gt;0,"Y","N"))</f>
        <v/>
      </c>
      <c r="W2412" s="64">
        <f>IF($A2412="","",IFERROR(INDEX(계정매핑!$D$5:$D$504,MATCH($F2412&amp;"",계정매핑!$A$5:$A$504,0)),"미매핑"))</f>
        <v/>
      </c>
      <c r="X2412" s="9">
        <f>IF($A2412="","",$F2412&amp;"")</f>
        <v/>
      </c>
      <c r="Y2412" s="94">
        <f>IF($A2412="",0,IF(AE2412="직접",IF(AF2412="비귀속",$P2412,0),$P2412*(1-AG2412)*IFERROR(INDEX(계정대체기준!$F$20:$F$49,MATCH($N2412,계정대체기준!$A$20:$A$49,0)),1)))</f>
        <v/>
      </c>
      <c r="Z2412" s="94">
        <f>IF($A2412="",0,IF(AE2412="직접",IF(AF2412="신계약비",$P2412,0),$P2412*(1-AG2412)*IFERROR(INDEX(계정대체기준!$C$20:$C$49,MATCH($N2412,계정대체기준!$A$20:$A$49,0)),0)))</f>
        <v/>
      </c>
      <c r="AA2412" s="94">
        <f>IF($A2412="",0,IF(AE2412="직접",IF(OR(AF2412="유지비",AF2412="손해조사비"),$P2412,0),$P2412*(1-AG2412)*IFERROR(INDEX(계정대체기준!$D$20:$D$49,MATCH($N2412,계정대체기준!$A$20:$A$49,0)),0)))</f>
        <v/>
      </c>
      <c r="AB2412" s="94">
        <f>IF($A2412="",0,IF(AE2412="직접",IF(AF2412="수금비",$P2412,0),$P2412*(1-AG2412)*IFERROR(INDEX(계정대체기준!$E$20:$E$49,MATCH($N2412,계정대체기준!$A$20:$A$49,0)),0)))</f>
        <v/>
      </c>
      <c r="AC2412" s="9">
        <f>IF(AND($A2412&lt;&gt;"",M2412=설정!$C$20,Z2412&gt;0),Z2412+ROW()/1000000000,"")</f>
        <v/>
      </c>
      <c r="AD2412" s="94">
        <f>IF($A2412="",0,$P2412*AG2412)</f>
        <v/>
      </c>
      <c r="AE2412" s="64">
        <f>IF($A2412="","",IFERROR(INDEX(계정매핑!$E$5:$E$504,MATCH($F2412&amp;"",계정매핑!$A$5:$A$504,0))&amp;"","공통비"))</f>
        <v/>
      </c>
      <c r="AF2412" s="64">
        <f>IF($A2412="","",IF(AE2412="직접",IFERROR(INDEX(계정매핑!$F$5:$F$504,MATCH($F2412&amp;"",계정매핑!$A$5:$A$504,0))&amp;"","비귀속"),""))</f>
        <v/>
      </c>
      <c r="AG2412" s="96">
        <f>IF($A2412="",0,IF(AND(AE2412&lt;&gt;"직접",IFERROR(INDEX(계정매핑!$G$5:$G$504,MATCH($F2412&amp;"",계정매핑!$A$5:$A$504,0))&amp;"","")="유지비",COUNTIF(계정대체기준!$A$6:$A$15,$N2412)&gt;0),IFERROR(INDEX(계정대체기준!$E$6:$E$15,MATCH(VALUE($A2412&amp;""),계정대체기준!$D$6:$D$15,0)),0),0))</f>
        <v/>
      </c>
      <c r="AH2412" s="64">
        <f>IF($A2412="","",IF(AD2412=0,"",IF(OR(COUNTIF(계정대체기준!$A$77:$A$86,$N2412)&gt;0,ISNUMBER(MATCH($X2412,계정대체기준!$D$77:$D$86,0)),ISNUMBER(MATCH($F2412,계정대체기준!$D$77:$D$86,0))),"Y","N")))</f>
        <v/>
      </c>
    </row>
    <row r="2413">
      <c r="A2413" s="92" t="n">
        <v>2025</v>
      </c>
      <c r="B2413" s="92" t="n">
        <v>11</v>
      </c>
      <c r="C2413" s="92" t="inlineStr">
        <is>
          <t>5100002409</t>
        </is>
      </c>
      <c r="D2413" s="95" t="n">
        <v>45979</v>
      </c>
      <c r="E2413" s="92" t="inlineStr">
        <is>
          <t>KR</t>
        </is>
      </c>
      <c r="F2413" s="92" t="n">
        <v>62501000</v>
      </c>
      <c r="G2413" s="92" t="n">
        <v>1401</v>
      </c>
      <c r="H2413" s="93" t="n">
        <v>129000</v>
      </c>
      <c r="I2413" s="92" t="inlineStr">
        <is>
          <t>11월 회의 다과 - T케이터링</t>
        </is>
      </c>
      <c r="J2413" s="92" t="inlineStr">
        <is>
          <t>V10005</t>
        </is>
      </c>
      <c r="K2413" s="92" t="inlineStr">
        <is>
          <t>T케이터링</t>
        </is>
      </c>
      <c r="M2413" s="9">
        <f>IF($A2413="","",VALUE($A2413&amp;"")*12+VALUE($B2413&amp;""))</f>
        <v/>
      </c>
      <c r="N2413" s="64">
        <f>IF($A2413="","",IFERROR(INDEX(부서매핑!$C$5:$C$504,MATCH($G2413&amp;"",부서매핑!$A$5:$A$504,0)),"미매핑"))</f>
        <v/>
      </c>
      <c r="O2413" s="9">
        <f>IF($A2413="","",N2413&amp;"|"&amp;$F2413)</f>
        <v/>
      </c>
      <c r="P2413" s="94">
        <f>IF($A2413="",0,$H2413*설정!$C$23)</f>
        <v/>
      </c>
      <c r="Q2413" s="64">
        <f>IF($A2413="","",IF(O2413&lt;&gt;원인분석!$C$9,"",IF(AND(M2413&gt;=원인분석!$C$10,M2413&lt;=원인분석!$C$11),"당기",IF(AND(M2413&gt;=원인분석!$C$12,M2413&lt;=원인분석!$C$13),"비교",""))))</f>
        <v/>
      </c>
      <c r="R2413" s="9">
        <f>IF(Q2413="","",$K2413&amp;"")</f>
        <v/>
      </c>
      <c r="S2413" s="9">
        <f>IF(Q2413="","",IF(MATCH(R2413,$R$5:$R$100000,0)=ROW()-4,ROW(),""))</f>
        <v/>
      </c>
      <c r="T2413" s="9">
        <f>IF(Q2413="당기",ABS(P2413)+ROW()/1000000000,"")</f>
        <v/>
      </c>
      <c r="U2413" s="9">
        <f>IF(Q2413="비교",ABS(P2413)+ROW()/1000000000,"")</f>
        <v/>
      </c>
      <c r="V2413" s="64">
        <f>IF($A2413="","",IF(COUNTIF(변동분석!$E$7:$E$506,O2413)&gt;0,"Y","N"))</f>
        <v/>
      </c>
      <c r="W2413" s="64">
        <f>IF($A2413="","",IFERROR(INDEX(계정매핑!$D$5:$D$504,MATCH($F2413&amp;"",계정매핑!$A$5:$A$504,0)),"미매핑"))</f>
        <v/>
      </c>
      <c r="X2413" s="9">
        <f>IF($A2413="","",$F2413&amp;"")</f>
        <v/>
      </c>
      <c r="Y2413" s="94">
        <f>IF($A2413="",0,IF(AE2413="직접",IF(AF2413="비귀속",$P2413,0),$P2413*(1-AG2413)*IFERROR(INDEX(계정대체기준!$F$20:$F$49,MATCH($N2413,계정대체기준!$A$20:$A$49,0)),1)))</f>
        <v/>
      </c>
      <c r="Z2413" s="94">
        <f>IF($A2413="",0,IF(AE2413="직접",IF(AF2413="신계약비",$P2413,0),$P2413*(1-AG2413)*IFERROR(INDEX(계정대체기준!$C$20:$C$49,MATCH($N2413,계정대체기준!$A$20:$A$49,0)),0)))</f>
        <v/>
      </c>
      <c r="AA2413" s="94">
        <f>IF($A2413="",0,IF(AE2413="직접",IF(OR(AF2413="유지비",AF2413="손해조사비"),$P2413,0),$P2413*(1-AG2413)*IFERROR(INDEX(계정대체기준!$D$20:$D$49,MATCH($N2413,계정대체기준!$A$20:$A$49,0)),0)))</f>
        <v/>
      </c>
      <c r="AB2413" s="94">
        <f>IF($A2413="",0,IF(AE2413="직접",IF(AF2413="수금비",$P2413,0),$P2413*(1-AG2413)*IFERROR(INDEX(계정대체기준!$E$20:$E$49,MATCH($N2413,계정대체기준!$A$20:$A$49,0)),0)))</f>
        <v/>
      </c>
      <c r="AC2413" s="9">
        <f>IF(AND($A2413&lt;&gt;"",M2413=설정!$C$20,Z2413&gt;0),Z2413+ROW()/1000000000,"")</f>
        <v/>
      </c>
      <c r="AD2413" s="94">
        <f>IF($A2413="",0,$P2413*AG2413)</f>
        <v/>
      </c>
      <c r="AE2413" s="64">
        <f>IF($A2413="","",IFERROR(INDEX(계정매핑!$E$5:$E$504,MATCH($F2413&amp;"",계정매핑!$A$5:$A$504,0))&amp;"","공통비"))</f>
        <v/>
      </c>
      <c r="AF2413" s="64">
        <f>IF($A2413="","",IF(AE2413="직접",IFERROR(INDEX(계정매핑!$F$5:$F$504,MATCH($F2413&amp;"",계정매핑!$A$5:$A$504,0))&amp;"","비귀속"),""))</f>
        <v/>
      </c>
      <c r="AG2413" s="96">
        <f>IF($A2413="",0,IF(AND(AE2413&lt;&gt;"직접",IFERROR(INDEX(계정매핑!$G$5:$G$504,MATCH($F2413&amp;"",계정매핑!$A$5:$A$504,0))&amp;"","")="유지비",COUNTIF(계정대체기준!$A$6:$A$15,$N2413)&gt;0),IFERROR(INDEX(계정대체기준!$E$6:$E$15,MATCH(VALUE($A2413&amp;""),계정대체기준!$D$6:$D$15,0)),0),0))</f>
        <v/>
      </c>
      <c r="AH2413" s="64">
        <f>IF($A2413="","",IF(AD2413=0,"",IF(OR(COUNTIF(계정대체기준!$A$77:$A$86,$N2413)&gt;0,ISNUMBER(MATCH($X2413,계정대체기준!$D$77:$D$86,0)),ISNUMBER(MATCH($F2413,계정대체기준!$D$77:$D$86,0))),"Y","N")))</f>
        <v/>
      </c>
    </row>
    <row r="2414">
      <c r="A2414" s="92" t="n">
        <v>2025</v>
      </c>
      <c r="B2414" s="92" t="n">
        <v>11</v>
      </c>
      <c r="C2414" s="92" t="inlineStr">
        <is>
          <t>5100002410</t>
        </is>
      </c>
      <c r="D2414" s="95" t="n">
        <v>45979</v>
      </c>
      <c r="E2414" s="92" t="inlineStr">
        <is>
          <t>KR</t>
        </is>
      </c>
      <c r="F2414" s="92" t="n">
        <v>62601000</v>
      </c>
      <c r="G2414" s="92" t="n">
        <v>1101</v>
      </c>
      <c r="H2414" s="93" t="n">
        <v>3213000</v>
      </c>
      <c r="I2414" s="92" t="inlineStr">
        <is>
          <t>11월 업무추진 - (법인카드)</t>
        </is>
      </c>
      <c r="J2414" s="92" t="inlineStr">
        <is>
          <t>V10010</t>
        </is>
      </c>
      <c r="K2414" s="92" t="inlineStr">
        <is>
          <t>(법인카드)</t>
        </is>
      </c>
      <c r="M2414" s="9">
        <f>IF($A2414="","",VALUE($A2414&amp;"")*12+VALUE($B2414&amp;""))</f>
        <v/>
      </c>
      <c r="N2414" s="64">
        <f>IF($A2414="","",IFERROR(INDEX(부서매핑!$C$5:$C$504,MATCH($G2414&amp;"",부서매핑!$A$5:$A$504,0)),"미매핑"))</f>
        <v/>
      </c>
      <c r="O2414" s="9">
        <f>IF($A2414="","",N2414&amp;"|"&amp;$F2414)</f>
        <v/>
      </c>
      <c r="P2414" s="94">
        <f>IF($A2414="",0,$H2414*설정!$C$23)</f>
        <v/>
      </c>
      <c r="Q2414" s="64">
        <f>IF($A2414="","",IF(O2414&lt;&gt;원인분석!$C$9,"",IF(AND(M2414&gt;=원인분석!$C$10,M2414&lt;=원인분석!$C$11),"당기",IF(AND(M2414&gt;=원인분석!$C$12,M2414&lt;=원인분석!$C$13),"비교",""))))</f>
        <v/>
      </c>
      <c r="R2414" s="9">
        <f>IF(Q2414="","",$K2414&amp;"")</f>
        <v/>
      </c>
      <c r="S2414" s="9">
        <f>IF(Q2414="","",IF(MATCH(R2414,$R$5:$R$100000,0)=ROW()-4,ROW(),""))</f>
        <v/>
      </c>
      <c r="T2414" s="9">
        <f>IF(Q2414="당기",ABS(P2414)+ROW()/1000000000,"")</f>
        <v/>
      </c>
      <c r="U2414" s="9">
        <f>IF(Q2414="비교",ABS(P2414)+ROW()/1000000000,"")</f>
        <v/>
      </c>
      <c r="V2414" s="64">
        <f>IF($A2414="","",IF(COUNTIF(변동분석!$E$7:$E$506,O2414)&gt;0,"Y","N"))</f>
        <v/>
      </c>
      <c r="W2414" s="64">
        <f>IF($A2414="","",IFERROR(INDEX(계정매핑!$D$5:$D$504,MATCH($F2414&amp;"",계정매핑!$A$5:$A$504,0)),"미매핑"))</f>
        <v/>
      </c>
      <c r="X2414" s="9">
        <f>IF($A2414="","",$F2414&amp;"")</f>
        <v/>
      </c>
      <c r="Y2414" s="94">
        <f>IF($A2414="",0,IF(AE2414="직접",IF(AF2414="비귀속",$P2414,0),$P2414*(1-AG2414)*IFERROR(INDEX(계정대체기준!$F$20:$F$49,MATCH($N2414,계정대체기준!$A$20:$A$49,0)),1)))</f>
        <v/>
      </c>
      <c r="Z2414" s="94">
        <f>IF($A2414="",0,IF(AE2414="직접",IF(AF2414="신계약비",$P2414,0),$P2414*(1-AG2414)*IFERROR(INDEX(계정대체기준!$C$20:$C$49,MATCH($N2414,계정대체기준!$A$20:$A$49,0)),0)))</f>
        <v/>
      </c>
      <c r="AA2414" s="94">
        <f>IF($A2414="",0,IF(AE2414="직접",IF(OR(AF2414="유지비",AF2414="손해조사비"),$P2414,0),$P2414*(1-AG2414)*IFERROR(INDEX(계정대체기준!$D$20:$D$49,MATCH($N2414,계정대체기준!$A$20:$A$49,0)),0)))</f>
        <v/>
      </c>
      <c r="AB2414" s="94">
        <f>IF($A2414="",0,IF(AE2414="직접",IF(AF2414="수금비",$P2414,0),$P2414*(1-AG2414)*IFERROR(INDEX(계정대체기준!$E$20:$E$49,MATCH($N2414,계정대체기준!$A$20:$A$49,0)),0)))</f>
        <v/>
      </c>
      <c r="AC2414" s="9">
        <f>IF(AND($A2414&lt;&gt;"",M2414=설정!$C$20,Z2414&gt;0),Z2414+ROW()/1000000000,"")</f>
        <v/>
      </c>
      <c r="AD2414" s="94">
        <f>IF($A2414="",0,$P2414*AG2414)</f>
        <v/>
      </c>
      <c r="AE2414" s="64">
        <f>IF($A2414="","",IFERROR(INDEX(계정매핑!$E$5:$E$504,MATCH($F2414&amp;"",계정매핑!$A$5:$A$504,0))&amp;"","공통비"))</f>
        <v/>
      </c>
      <c r="AF2414" s="64">
        <f>IF($A2414="","",IF(AE2414="직접",IFERROR(INDEX(계정매핑!$F$5:$F$504,MATCH($F2414&amp;"",계정매핑!$A$5:$A$504,0))&amp;"","비귀속"),""))</f>
        <v/>
      </c>
      <c r="AG2414" s="96">
        <f>IF($A2414="",0,IF(AND(AE2414&lt;&gt;"직접",IFERROR(INDEX(계정매핑!$G$5:$G$504,MATCH($F2414&amp;"",계정매핑!$A$5:$A$504,0))&amp;"","")="유지비",COUNTIF(계정대체기준!$A$6:$A$15,$N2414)&gt;0),IFERROR(INDEX(계정대체기준!$E$6:$E$15,MATCH(VALUE($A2414&amp;""),계정대체기준!$D$6:$D$15,0)),0),0))</f>
        <v/>
      </c>
      <c r="AH2414" s="64">
        <f>IF($A2414="","",IF(AD2414=0,"",IF(OR(COUNTIF(계정대체기준!$A$77:$A$86,$N2414)&gt;0,ISNUMBER(MATCH($X2414,계정대체기준!$D$77:$D$86,0)),ISNUMBER(MATCH($F2414,계정대체기준!$D$77:$D$86,0))),"Y","N")))</f>
        <v/>
      </c>
    </row>
    <row r="2415">
      <c r="A2415" s="92" t="n">
        <v>2025</v>
      </c>
      <c r="B2415" s="92" t="n">
        <v>11</v>
      </c>
      <c r="C2415" s="92" t="inlineStr">
        <is>
          <t>5100002411</t>
        </is>
      </c>
      <c r="D2415" s="95" t="n">
        <v>45979</v>
      </c>
      <c r="E2415" s="92" t="inlineStr">
        <is>
          <t>KR</t>
        </is>
      </c>
      <c r="F2415" s="92" t="n">
        <v>62902000</v>
      </c>
      <c r="G2415" s="92" t="n">
        <v>1201</v>
      </c>
      <c r="H2415" s="93" t="n">
        <v>3736000</v>
      </c>
      <c r="I2415" s="92" t="inlineStr">
        <is>
          <t>11월 업무 위탁 수수료 - X서비스</t>
        </is>
      </c>
      <c r="J2415" s="92" t="inlineStr">
        <is>
          <t>V10020</t>
        </is>
      </c>
      <c r="K2415" s="92" t="inlineStr">
        <is>
          <t>X서비스</t>
        </is>
      </c>
      <c r="M2415" s="9">
        <f>IF($A2415="","",VALUE($A2415&amp;"")*12+VALUE($B2415&amp;""))</f>
        <v/>
      </c>
      <c r="N2415" s="64">
        <f>IF($A2415="","",IFERROR(INDEX(부서매핑!$C$5:$C$504,MATCH($G2415&amp;"",부서매핑!$A$5:$A$504,0)),"미매핑"))</f>
        <v/>
      </c>
      <c r="O2415" s="9">
        <f>IF($A2415="","",N2415&amp;"|"&amp;$F2415)</f>
        <v/>
      </c>
      <c r="P2415" s="94">
        <f>IF($A2415="",0,$H2415*설정!$C$23)</f>
        <v/>
      </c>
      <c r="Q2415" s="64">
        <f>IF($A2415="","",IF(O2415&lt;&gt;원인분석!$C$9,"",IF(AND(M2415&gt;=원인분석!$C$10,M2415&lt;=원인분석!$C$11),"당기",IF(AND(M2415&gt;=원인분석!$C$12,M2415&lt;=원인분석!$C$13),"비교",""))))</f>
        <v/>
      </c>
      <c r="R2415" s="9">
        <f>IF(Q2415="","",$K2415&amp;"")</f>
        <v/>
      </c>
      <c r="S2415" s="9">
        <f>IF(Q2415="","",IF(MATCH(R2415,$R$5:$R$100000,0)=ROW()-4,ROW(),""))</f>
        <v/>
      </c>
      <c r="T2415" s="9">
        <f>IF(Q2415="당기",ABS(P2415)+ROW()/1000000000,"")</f>
        <v/>
      </c>
      <c r="U2415" s="9">
        <f>IF(Q2415="비교",ABS(P2415)+ROW()/1000000000,"")</f>
        <v/>
      </c>
      <c r="V2415" s="64">
        <f>IF($A2415="","",IF(COUNTIF(변동분석!$E$7:$E$506,O2415)&gt;0,"Y","N"))</f>
        <v/>
      </c>
      <c r="W2415" s="64">
        <f>IF($A2415="","",IFERROR(INDEX(계정매핑!$D$5:$D$504,MATCH($F2415&amp;"",계정매핑!$A$5:$A$504,0)),"미매핑"))</f>
        <v/>
      </c>
      <c r="X2415" s="9">
        <f>IF($A2415="","",$F2415&amp;"")</f>
        <v/>
      </c>
      <c r="Y2415" s="94">
        <f>IF($A2415="",0,IF(AE2415="직접",IF(AF2415="비귀속",$P2415,0),$P2415*(1-AG2415)*IFERROR(INDEX(계정대체기준!$F$20:$F$49,MATCH($N2415,계정대체기준!$A$20:$A$49,0)),1)))</f>
        <v/>
      </c>
      <c r="Z2415" s="94">
        <f>IF($A2415="",0,IF(AE2415="직접",IF(AF2415="신계약비",$P2415,0),$P2415*(1-AG2415)*IFERROR(INDEX(계정대체기준!$C$20:$C$49,MATCH($N2415,계정대체기준!$A$20:$A$49,0)),0)))</f>
        <v/>
      </c>
      <c r="AA2415" s="94">
        <f>IF($A2415="",0,IF(AE2415="직접",IF(OR(AF2415="유지비",AF2415="손해조사비"),$P2415,0),$P2415*(1-AG2415)*IFERROR(INDEX(계정대체기준!$D$20:$D$49,MATCH($N2415,계정대체기준!$A$20:$A$49,0)),0)))</f>
        <v/>
      </c>
      <c r="AB2415" s="94">
        <f>IF($A2415="",0,IF(AE2415="직접",IF(AF2415="수금비",$P2415,0),$P2415*(1-AG2415)*IFERROR(INDEX(계정대체기준!$E$20:$E$49,MATCH($N2415,계정대체기준!$A$20:$A$49,0)),0)))</f>
        <v/>
      </c>
      <c r="AC2415" s="9">
        <f>IF(AND($A2415&lt;&gt;"",M2415=설정!$C$20,Z2415&gt;0),Z2415+ROW()/1000000000,"")</f>
        <v/>
      </c>
      <c r="AD2415" s="94">
        <f>IF($A2415="",0,$P2415*AG2415)</f>
        <v/>
      </c>
      <c r="AE2415" s="64">
        <f>IF($A2415="","",IFERROR(INDEX(계정매핑!$E$5:$E$504,MATCH($F2415&amp;"",계정매핑!$A$5:$A$504,0))&amp;"","공통비"))</f>
        <v/>
      </c>
      <c r="AF2415" s="64">
        <f>IF($A2415="","",IF(AE2415="직접",IFERROR(INDEX(계정매핑!$F$5:$F$504,MATCH($F2415&amp;"",계정매핑!$A$5:$A$504,0))&amp;"","비귀속"),""))</f>
        <v/>
      </c>
      <c r="AG2415" s="96">
        <f>IF($A2415="",0,IF(AND(AE2415&lt;&gt;"직접",IFERROR(INDEX(계정매핑!$G$5:$G$504,MATCH($F2415&amp;"",계정매핑!$A$5:$A$504,0))&amp;"","")="유지비",COUNTIF(계정대체기준!$A$6:$A$15,$N2415)&gt;0),IFERROR(INDEX(계정대체기준!$E$6:$E$15,MATCH(VALUE($A2415&amp;""),계정대체기준!$D$6:$D$15,0)),0),0))</f>
        <v/>
      </c>
      <c r="AH2415" s="64">
        <f>IF($A2415="","",IF(AD2415=0,"",IF(OR(COUNTIF(계정대체기준!$A$77:$A$86,$N2415)&gt;0,ISNUMBER(MATCH($X2415,계정대체기준!$D$77:$D$86,0)),ISNUMBER(MATCH($F2415,계정대체기준!$D$77:$D$86,0))),"Y","N")))</f>
        <v/>
      </c>
    </row>
    <row r="2416">
      <c r="A2416" s="92" t="n">
        <v>2025</v>
      </c>
      <c r="B2416" s="92" t="n">
        <v>11</v>
      </c>
      <c r="C2416" s="92" t="inlineStr">
        <is>
          <t>5100002412</t>
        </is>
      </c>
      <c r="D2416" s="95" t="n">
        <v>45980</v>
      </c>
      <c r="E2416" s="92" t="inlineStr">
        <is>
          <t>KR</t>
        </is>
      </c>
      <c r="F2416" s="92" t="n">
        <v>62101000</v>
      </c>
      <c r="G2416" s="92" t="n">
        <v>1201</v>
      </c>
      <c r="H2416" s="93" t="n">
        <v>152000</v>
      </c>
      <c r="I2416" s="92" t="inlineStr">
        <is>
          <t>11월 국내출장 - M항공</t>
        </is>
      </c>
      <c r="J2416" s="92" t="inlineStr">
        <is>
          <t>V10001</t>
        </is>
      </c>
      <c r="K2416" s="92" t="inlineStr">
        <is>
          <t>M항공</t>
        </is>
      </c>
      <c r="M2416" s="9">
        <f>IF($A2416="","",VALUE($A2416&amp;"")*12+VALUE($B2416&amp;""))</f>
        <v/>
      </c>
      <c r="N2416" s="64">
        <f>IF($A2416="","",IFERROR(INDEX(부서매핑!$C$5:$C$504,MATCH($G2416&amp;"",부서매핑!$A$5:$A$504,0)),"미매핑"))</f>
        <v/>
      </c>
      <c r="O2416" s="9">
        <f>IF($A2416="","",N2416&amp;"|"&amp;$F2416)</f>
        <v/>
      </c>
      <c r="P2416" s="94">
        <f>IF($A2416="",0,$H2416*설정!$C$23)</f>
        <v/>
      </c>
      <c r="Q2416" s="64">
        <f>IF($A2416="","",IF(O2416&lt;&gt;원인분석!$C$9,"",IF(AND(M2416&gt;=원인분석!$C$10,M2416&lt;=원인분석!$C$11),"당기",IF(AND(M2416&gt;=원인분석!$C$12,M2416&lt;=원인분석!$C$13),"비교",""))))</f>
        <v/>
      </c>
      <c r="R2416" s="9">
        <f>IF(Q2416="","",$K2416&amp;"")</f>
        <v/>
      </c>
      <c r="S2416" s="9">
        <f>IF(Q2416="","",IF(MATCH(R2416,$R$5:$R$100000,0)=ROW()-4,ROW(),""))</f>
        <v/>
      </c>
      <c r="T2416" s="9">
        <f>IF(Q2416="당기",ABS(P2416)+ROW()/1000000000,"")</f>
        <v/>
      </c>
      <c r="U2416" s="9">
        <f>IF(Q2416="비교",ABS(P2416)+ROW()/1000000000,"")</f>
        <v/>
      </c>
      <c r="V2416" s="64">
        <f>IF($A2416="","",IF(COUNTIF(변동분석!$E$7:$E$506,O2416)&gt;0,"Y","N"))</f>
        <v/>
      </c>
      <c r="W2416" s="64">
        <f>IF($A2416="","",IFERROR(INDEX(계정매핑!$D$5:$D$504,MATCH($F2416&amp;"",계정매핑!$A$5:$A$504,0)),"미매핑"))</f>
        <v/>
      </c>
      <c r="X2416" s="9">
        <f>IF($A2416="","",$F2416&amp;"")</f>
        <v/>
      </c>
      <c r="Y2416" s="94">
        <f>IF($A2416="",0,IF(AE2416="직접",IF(AF2416="비귀속",$P2416,0),$P2416*(1-AG2416)*IFERROR(INDEX(계정대체기준!$F$20:$F$49,MATCH($N2416,계정대체기준!$A$20:$A$49,0)),1)))</f>
        <v/>
      </c>
      <c r="Z2416" s="94">
        <f>IF($A2416="",0,IF(AE2416="직접",IF(AF2416="신계약비",$P2416,0),$P2416*(1-AG2416)*IFERROR(INDEX(계정대체기준!$C$20:$C$49,MATCH($N2416,계정대체기준!$A$20:$A$49,0)),0)))</f>
        <v/>
      </c>
      <c r="AA2416" s="94">
        <f>IF($A2416="",0,IF(AE2416="직접",IF(OR(AF2416="유지비",AF2416="손해조사비"),$P2416,0),$P2416*(1-AG2416)*IFERROR(INDEX(계정대체기준!$D$20:$D$49,MATCH($N2416,계정대체기준!$A$20:$A$49,0)),0)))</f>
        <v/>
      </c>
      <c r="AB2416" s="94">
        <f>IF($A2416="",0,IF(AE2416="직접",IF(AF2416="수금비",$P2416,0),$P2416*(1-AG2416)*IFERROR(INDEX(계정대체기준!$E$20:$E$49,MATCH($N2416,계정대체기준!$A$20:$A$49,0)),0)))</f>
        <v/>
      </c>
      <c r="AC2416" s="9">
        <f>IF(AND($A2416&lt;&gt;"",M2416=설정!$C$20,Z2416&gt;0),Z2416+ROW()/1000000000,"")</f>
        <v/>
      </c>
      <c r="AD2416" s="94">
        <f>IF($A2416="",0,$P2416*AG2416)</f>
        <v/>
      </c>
      <c r="AE2416" s="64">
        <f>IF($A2416="","",IFERROR(INDEX(계정매핑!$E$5:$E$504,MATCH($F2416&amp;"",계정매핑!$A$5:$A$504,0))&amp;"","공통비"))</f>
        <v/>
      </c>
      <c r="AF2416" s="64">
        <f>IF($A2416="","",IF(AE2416="직접",IFERROR(INDEX(계정매핑!$F$5:$F$504,MATCH($F2416&amp;"",계정매핑!$A$5:$A$504,0))&amp;"","비귀속"),""))</f>
        <v/>
      </c>
      <c r="AG2416" s="96">
        <f>IF($A2416="",0,IF(AND(AE2416&lt;&gt;"직접",IFERROR(INDEX(계정매핑!$G$5:$G$504,MATCH($F2416&amp;"",계정매핑!$A$5:$A$504,0))&amp;"","")="유지비",COUNTIF(계정대체기준!$A$6:$A$15,$N2416)&gt;0),IFERROR(INDEX(계정대체기준!$E$6:$E$15,MATCH(VALUE($A2416&amp;""),계정대체기준!$D$6:$D$15,0)),0),0))</f>
        <v/>
      </c>
      <c r="AH2416" s="64">
        <f>IF($A2416="","",IF(AD2416=0,"",IF(OR(COUNTIF(계정대체기준!$A$77:$A$86,$N2416)&gt;0,ISNUMBER(MATCH($X2416,계정대체기준!$D$77:$D$86,0)),ISNUMBER(MATCH($F2416,계정대체기준!$D$77:$D$86,0))),"Y","N")))</f>
        <v/>
      </c>
    </row>
    <row r="2417">
      <c r="A2417" s="92" t="n">
        <v>2025</v>
      </c>
      <c r="B2417" s="92" t="n">
        <v>11</v>
      </c>
      <c r="C2417" s="92" t="inlineStr">
        <is>
          <t>5100002413</t>
        </is>
      </c>
      <c r="D2417" s="95" t="n">
        <v>45980</v>
      </c>
      <c r="E2417" s="92" t="inlineStr">
        <is>
          <t>KR</t>
        </is>
      </c>
      <c r="F2417" s="92" t="n">
        <v>62101000</v>
      </c>
      <c r="G2417" s="92" t="n">
        <v>1301</v>
      </c>
      <c r="H2417" s="93" t="n">
        <v>251000</v>
      </c>
      <c r="I2417" s="92" t="inlineStr">
        <is>
          <t>11월 국내출장 - L여행사</t>
        </is>
      </c>
      <c r="J2417" s="92" t="inlineStr">
        <is>
          <t>V10018</t>
        </is>
      </c>
      <c r="K2417" s="92" t="inlineStr">
        <is>
          <t>L여행사</t>
        </is>
      </c>
      <c r="M2417" s="9">
        <f>IF($A2417="","",VALUE($A2417&amp;"")*12+VALUE($B2417&amp;""))</f>
        <v/>
      </c>
      <c r="N2417" s="64">
        <f>IF($A2417="","",IFERROR(INDEX(부서매핑!$C$5:$C$504,MATCH($G2417&amp;"",부서매핑!$A$5:$A$504,0)),"미매핑"))</f>
        <v/>
      </c>
      <c r="O2417" s="9">
        <f>IF($A2417="","",N2417&amp;"|"&amp;$F2417)</f>
        <v/>
      </c>
      <c r="P2417" s="94">
        <f>IF($A2417="",0,$H2417*설정!$C$23)</f>
        <v/>
      </c>
      <c r="Q2417" s="64">
        <f>IF($A2417="","",IF(O2417&lt;&gt;원인분석!$C$9,"",IF(AND(M2417&gt;=원인분석!$C$10,M2417&lt;=원인분석!$C$11),"당기",IF(AND(M2417&gt;=원인분석!$C$12,M2417&lt;=원인분석!$C$13),"비교",""))))</f>
        <v/>
      </c>
      <c r="R2417" s="9">
        <f>IF(Q2417="","",$K2417&amp;"")</f>
        <v/>
      </c>
      <c r="S2417" s="9">
        <f>IF(Q2417="","",IF(MATCH(R2417,$R$5:$R$100000,0)=ROW()-4,ROW(),""))</f>
        <v/>
      </c>
      <c r="T2417" s="9">
        <f>IF(Q2417="당기",ABS(P2417)+ROW()/1000000000,"")</f>
        <v/>
      </c>
      <c r="U2417" s="9">
        <f>IF(Q2417="비교",ABS(P2417)+ROW()/1000000000,"")</f>
        <v/>
      </c>
      <c r="V2417" s="64">
        <f>IF($A2417="","",IF(COUNTIF(변동분석!$E$7:$E$506,O2417)&gt;0,"Y","N"))</f>
        <v/>
      </c>
      <c r="W2417" s="64">
        <f>IF($A2417="","",IFERROR(INDEX(계정매핑!$D$5:$D$504,MATCH($F2417&amp;"",계정매핑!$A$5:$A$504,0)),"미매핑"))</f>
        <v/>
      </c>
      <c r="X2417" s="9">
        <f>IF($A2417="","",$F2417&amp;"")</f>
        <v/>
      </c>
      <c r="Y2417" s="94">
        <f>IF($A2417="",0,IF(AE2417="직접",IF(AF2417="비귀속",$P2417,0),$P2417*(1-AG2417)*IFERROR(INDEX(계정대체기준!$F$20:$F$49,MATCH($N2417,계정대체기준!$A$20:$A$49,0)),1)))</f>
        <v/>
      </c>
      <c r="Z2417" s="94">
        <f>IF($A2417="",0,IF(AE2417="직접",IF(AF2417="신계약비",$P2417,0),$P2417*(1-AG2417)*IFERROR(INDEX(계정대체기준!$C$20:$C$49,MATCH($N2417,계정대체기준!$A$20:$A$49,0)),0)))</f>
        <v/>
      </c>
      <c r="AA2417" s="94">
        <f>IF($A2417="",0,IF(AE2417="직접",IF(OR(AF2417="유지비",AF2417="손해조사비"),$P2417,0),$P2417*(1-AG2417)*IFERROR(INDEX(계정대체기준!$D$20:$D$49,MATCH($N2417,계정대체기준!$A$20:$A$49,0)),0)))</f>
        <v/>
      </c>
      <c r="AB2417" s="94">
        <f>IF($A2417="",0,IF(AE2417="직접",IF(AF2417="수금비",$P2417,0),$P2417*(1-AG2417)*IFERROR(INDEX(계정대체기준!$E$20:$E$49,MATCH($N2417,계정대체기준!$A$20:$A$49,0)),0)))</f>
        <v/>
      </c>
      <c r="AC2417" s="9">
        <f>IF(AND($A2417&lt;&gt;"",M2417=설정!$C$20,Z2417&gt;0),Z2417+ROW()/1000000000,"")</f>
        <v/>
      </c>
      <c r="AD2417" s="94">
        <f>IF($A2417="",0,$P2417*AG2417)</f>
        <v/>
      </c>
      <c r="AE2417" s="64">
        <f>IF($A2417="","",IFERROR(INDEX(계정매핑!$E$5:$E$504,MATCH($F2417&amp;"",계정매핑!$A$5:$A$504,0))&amp;"","공통비"))</f>
        <v/>
      </c>
      <c r="AF2417" s="64">
        <f>IF($A2417="","",IF(AE2417="직접",IFERROR(INDEX(계정매핑!$F$5:$F$504,MATCH($F2417&amp;"",계정매핑!$A$5:$A$504,0))&amp;"","비귀속"),""))</f>
        <v/>
      </c>
      <c r="AG2417" s="96">
        <f>IF($A2417="",0,IF(AND(AE2417&lt;&gt;"직접",IFERROR(INDEX(계정매핑!$G$5:$G$504,MATCH($F2417&amp;"",계정매핑!$A$5:$A$504,0))&amp;"","")="유지비",COUNTIF(계정대체기준!$A$6:$A$15,$N2417)&gt;0),IFERROR(INDEX(계정대체기준!$E$6:$E$15,MATCH(VALUE($A2417&amp;""),계정대체기준!$D$6:$D$15,0)),0),0))</f>
        <v/>
      </c>
      <c r="AH2417" s="64">
        <f>IF($A2417="","",IF(AD2417=0,"",IF(OR(COUNTIF(계정대체기준!$A$77:$A$86,$N2417)&gt;0,ISNUMBER(MATCH($X2417,계정대체기준!$D$77:$D$86,0)),ISNUMBER(MATCH($F2417,계정대체기준!$D$77:$D$86,0))),"Y","N")))</f>
        <v/>
      </c>
    </row>
    <row r="2418">
      <c r="A2418" s="92" t="n">
        <v>2025</v>
      </c>
      <c r="B2418" s="92" t="n">
        <v>11</v>
      </c>
      <c r="C2418" s="92" t="inlineStr">
        <is>
          <t>5100002414</t>
        </is>
      </c>
      <c r="D2418" s="95" t="n">
        <v>45980</v>
      </c>
      <c r="E2418" s="92" t="inlineStr">
        <is>
          <t>KR</t>
        </is>
      </c>
      <c r="F2418" s="92" t="n">
        <v>62101000</v>
      </c>
      <c r="G2418" s="92" t="n">
        <v>1301</v>
      </c>
      <c r="H2418" s="93" t="n">
        <v>185000</v>
      </c>
      <c r="I2418" s="92" t="inlineStr">
        <is>
          <t>11월 국내출장 - L여행사</t>
        </is>
      </c>
      <c r="J2418" s="92" t="inlineStr">
        <is>
          <t>V10018</t>
        </is>
      </c>
      <c r="K2418" s="92" t="inlineStr">
        <is>
          <t>L여행사</t>
        </is>
      </c>
      <c r="M2418" s="9">
        <f>IF($A2418="","",VALUE($A2418&amp;"")*12+VALUE($B2418&amp;""))</f>
        <v/>
      </c>
      <c r="N2418" s="64">
        <f>IF($A2418="","",IFERROR(INDEX(부서매핑!$C$5:$C$504,MATCH($G2418&amp;"",부서매핑!$A$5:$A$504,0)),"미매핑"))</f>
        <v/>
      </c>
      <c r="O2418" s="9">
        <f>IF($A2418="","",N2418&amp;"|"&amp;$F2418)</f>
        <v/>
      </c>
      <c r="P2418" s="94">
        <f>IF($A2418="",0,$H2418*설정!$C$23)</f>
        <v/>
      </c>
      <c r="Q2418" s="64">
        <f>IF($A2418="","",IF(O2418&lt;&gt;원인분석!$C$9,"",IF(AND(M2418&gt;=원인분석!$C$10,M2418&lt;=원인분석!$C$11),"당기",IF(AND(M2418&gt;=원인분석!$C$12,M2418&lt;=원인분석!$C$13),"비교",""))))</f>
        <v/>
      </c>
      <c r="R2418" s="9">
        <f>IF(Q2418="","",$K2418&amp;"")</f>
        <v/>
      </c>
      <c r="S2418" s="9">
        <f>IF(Q2418="","",IF(MATCH(R2418,$R$5:$R$100000,0)=ROW()-4,ROW(),""))</f>
        <v/>
      </c>
      <c r="T2418" s="9">
        <f>IF(Q2418="당기",ABS(P2418)+ROW()/1000000000,"")</f>
        <v/>
      </c>
      <c r="U2418" s="9">
        <f>IF(Q2418="비교",ABS(P2418)+ROW()/1000000000,"")</f>
        <v/>
      </c>
      <c r="V2418" s="64">
        <f>IF($A2418="","",IF(COUNTIF(변동분석!$E$7:$E$506,O2418)&gt;0,"Y","N"))</f>
        <v/>
      </c>
      <c r="W2418" s="64">
        <f>IF($A2418="","",IFERROR(INDEX(계정매핑!$D$5:$D$504,MATCH($F2418&amp;"",계정매핑!$A$5:$A$504,0)),"미매핑"))</f>
        <v/>
      </c>
      <c r="X2418" s="9">
        <f>IF($A2418="","",$F2418&amp;"")</f>
        <v/>
      </c>
      <c r="Y2418" s="94">
        <f>IF($A2418="",0,IF(AE2418="직접",IF(AF2418="비귀속",$P2418,0),$P2418*(1-AG2418)*IFERROR(INDEX(계정대체기준!$F$20:$F$49,MATCH($N2418,계정대체기준!$A$20:$A$49,0)),1)))</f>
        <v/>
      </c>
      <c r="Z2418" s="94">
        <f>IF($A2418="",0,IF(AE2418="직접",IF(AF2418="신계약비",$P2418,0),$P2418*(1-AG2418)*IFERROR(INDEX(계정대체기준!$C$20:$C$49,MATCH($N2418,계정대체기준!$A$20:$A$49,0)),0)))</f>
        <v/>
      </c>
      <c r="AA2418" s="94">
        <f>IF($A2418="",0,IF(AE2418="직접",IF(OR(AF2418="유지비",AF2418="손해조사비"),$P2418,0),$P2418*(1-AG2418)*IFERROR(INDEX(계정대체기준!$D$20:$D$49,MATCH($N2418,계정대체기준!$A$20:$A$49,0)),0)))</f>
        <v/>
      </c>
      <c r="AB2418" s="94">
        <f>IF($A2418="",0,IF(AE2418="직접",IF(AF2418="수금비",$P2418,0),$P2418*(1-AG2418)*IFERROR(INDEX(계정대체기준!$E$20:$E$49,MATCH($N2418,계정대체기준!$A$20:$A$49,0)),0)))</f>
        <v/>
      </c>
      <c r="AC2418" s="9">
        <f>IF(AND($A2418&lt;&gt;"",M2418=설정!$C$20,Z2418&gt;0),Z2418+ROW()/1000000000,"")</f>
        <v/>
      </c>
      <c r="AD2418" s="94">
        <f>IF($A2418="",0,$P2418*AG2418)</f>
        <v/>
      </c>
      <c r="AE2418" s="64">
        <f>IF($A2418="","",IFERROR(INDEX(계정매핑!$E$5:$E$504,MATCH($F2418&amp;"",계정매핑!$A$5:$A$504,0))&amp;"","공통비"))</f>
        <v/>
      </c>
      <c r="AF2418" s="64">
        <f>IF($A2418="","",IF(AE2418="직접",IFERROR(INDEX(계정매핑!$F$5:$F$504,MATCH($F2418&amp;"",계정매핑!$A$5:$A$504,0))&amp;"","비귀속"),""))</f>
        <v/>
      </c>
      <c r="AG2418" s="96">
        <f>IF($A2418="",0,IF(AND(AE2418&lt;&gt;"직접",IFERROR(INDEX(계정매핑!$G$5:$G$504,MATCH($F2418&amp;"",계정매핑!$A$5:$A$504,0))&amp;"","")="유지비",COUNTIF(계정대체기준!$A$6:$A$15,$N2418)&gt;0),IFERROR(INDEX(계정대체기준!$E$6:$E$15,MATCH(VALUE($A2418&amp;""),계정대체기준!$D$6:$D$15,0)),0),0))</f>
        <v/>
      </c>
      <c r="AH2418" s="64">
        <f>IF($A2418="","",IF(AD2418=0,"",IF(OR(COUNTIF(계정대체기준!$A$77:$A$86,$N2418)&gt;0,ISNUMBER(MATCH($X2418,계정대체기준!$D$77:$D$86,0)),ISNUMBER(MATCH($F2418,계정대체기준!$D$77:$D$86,0))),"Y","N")))</f>
        <v/>
      </c>
    </row>
    <row r="2419">
      <c r="A2419" s="92" t="n">
        <v>2025</v>
      </c>
      <c r="B2419" s="92" t="n">
        <v>11</v>
      </c>
      <c r="C2419" s="92" t="inlineStr">
        <is>
          <t>5100002415</t>
        </is>
      </c>
      <c r="D2419" s="95" t="n">
        <v>45980</v>
      </c>
      <c r="E2419" s="92" t="inlineStr">
        <is>
          <t>KR</t>
        </is>
      </c>
      <c r="F2419" s="92" t="n">
        <v>62101000</v>
      </c>
      <c r="G2419" s="92" t="n">
        <v>1501</v>
      </c>
      <c r="H2419" s="93" t="n">
        <v>528000</v>
      </c>
      <c r="I2419" s="92" t="inlineStr">
        <is>
          <t>11월 국내출장 - L여행사</t>
        </is>
      </c>
      <c r="J2419" s="92" t="inlineStr">
        <is>
          <t>V10018</t>
        </is>
      </c>
      <c r="K2419" s="92" t="inlineStr">
        <is>
          <t>L여행사</t>
        </is>
      </c>
      <c r="M2419" s="9">
        <f>IF($A2419="","",VALUE($A2419&amp;"")*12+VALUE($B2419&amp;""))</f>
        <v/>
      </c>
      <c r="N2419" s="64">
        <f>IF($A2419="","",IFERROR(INDEX(부서매핑!$C$5:$C$504,MATCH($G2419&amp;"",부서매핑!$A$5:$A$504,0)),"미매핑"))</f>
        <v/>
      </c>
      <c r="O2419" s="9">
        <f>IF($A2419="","",N2419&amp;"|"&amp;$F2419)</f>
        <v/>
      </c>
      <c r="P2419" s="94">
        <f>IF($A2419="",0,$H2419*설정!$C$23)</f>
        <v/>
      </c>
      <c r="Q2419" s="64">
        <f>IF($A2419="","",IF(O2419&lt;&gt;원인분석!$C$9,"",IF(AND(M2419&gt;=원인분석!$C$10,M2419&lt;=원인분석!$C$11),"당기",IF(AND(M2419&gt;=원인분석!$C$12,M2419&lt;=원인분석!$C$13),"비교",""))))</f>
        <v/>
      </c>
      <c r="R2419" s="9">
        <f>IF(Q2419="","",$K2419&amp;"")</f>
        <v/>
      </c>
      <c r="S2419" s="9">
        <f>IF(Q2419="","",IF(MATCH(R2419,$R$5:$R$100000,0)=ROW()-4,ROW(),""))</f>
        <v/>
      </c>
      <c r="T2419" s="9">
        <f>IF(Q2419="당기",ABS(P2419)+ROW()/1000000000,"")</f>
        <v/>
      </c>
      <c r="U2419" s="9">
        <f>IF(Q2419="비교",ABS(P2419)+ROW()/1000000000,"")</f>
        <v/>
      </c>
      <c r="V2419" s="64">
        <f>IF($A2419="","",IF(COUNTIF(변동분석!$E$7:$E$506,O2419)&gt;0,"Y","N"))</f>
        <v/>
      </c>
      <c r="W2419" s="64">
        <f>IF($A2419="","",IFERROR(INDEX(계정매핑!$D$5:$D$504,MATCH($F2419&amp;"",계정매핑!$A$5:$A$504,0)),"미매핑"))</f>
        <v/>
      </c>
      <c r="X2419" s="9">
        <f>IF($A2419="","",$F2419&amp;"")</f>
        <v/>
      </c>
      <c r="Y2419" s="94">
        <f>IF($A2419="",0,IF(AE2419="직접",IF(AF2419="비귀속",$P2419,0),$P2419*(1-AG2419)*IFERROR(INDEX(계정대체기준!$F$20:$F$49,MATCH($N2419,계정대체기준!$A$20:$A$49,0)),1)))</f>
        <v/>
      </c>
      <c r="Z2419" s="94">
        <f>IF($A2419="",0,IF(AE2419="직접",IF(AF2419="신계약비",$P2419,0),$P2419*(1-AG2419)*IFERROR(INDEX(계정대체기준!$C$20:$C$49,MATCH($N2419,계정대체기준!$A$20:$A$49,0)),0)))</f>
        <v/>
      </c>
      <c r="AA2419" s="94">
        <f>IF($A2419="",0,IF(AE2419="직접",IF(OR(AF2419="유지비",AF2419="손해조사비"),$P2419,0),$P2419*(1-AG2419)*IFERROR(INDEX(계정대체기준!$D$20:$D$49,MATCH($N2419,계정대체기준!$A$20:$A$49,0)),0)))</f>
        <v/>
      </c>
      <c r="AB2419" s="94">
        <f>IF($A2419="",0,IF(AE2419="직접",IF(AF2419="수금비",$P2419,0),$P2419*(1-AG2419)*IFERROR(INDEX(계정대체기준!$E$20:$E$49,MATCH($N2419,계정대체기준!$A$20:$A$49,0)),0)))</f>
        <v/>
      </c>
      <c r="AC2419" s="9">
        <f>IF(AND($A2419&lt;&gt;"",M2419=설정!$C$20,Z2419&gt;0),Z2419+ROW()/1000000000,"")</f>
        <v/>
      </c>
      <c r="AD2419" s="94">
        <f>IF($A2419="",0,$P2419*AG2419)</f>
        <v/>
      </c>
      <c r="AE2419" s="64">
        <f>IF($A2419="","",IFERROR(INDEX(계정매핑!$E$5:$E$504,MATCH($F2419&amp;"",계정매핑!$A$5:$A$504,0))&amp;"","공통비"))</f>
        <v/>
      </c>
      <c r="AF2419" s="64">
        <f>IF($A2419="","",IF(AE2419="직접",IFERROR(INDEX(계정매핑!$F$5:$F$504,MATCH($F2419&amp;"",계정매핑!$A$5:$A$504,0))&amp;"","비귀속"),""))</f>
        <v/>
      </c>
      <c r="AG2419" s="96">
        <f>IF($A2419="",0,IF(AND(AE2419&lt;&gt;"직접",IFERROR(INDEX(계정매핑!$G$5:$G$504,MATCH($F2419&amp;"",계정매핑!$A$5:$A$504,0))&amp;"","")="유지비",COUNTIF(계정대체기준!$A$6:$A$15,$N2419)&gt;0),IFERROR(INDEX(계정대체기준!$E$6:$E$15,MATCH(VALUE($A2419&amp;""),계정대체기준!$D$6:$D$15,0)),0),0))</f>
        <v/>
      </c>
      <c r="AH2419" s="64">
        <f>IF($A2419="","",IF(AD2419=0,"",IF(OR(COUNTIF(계정대체기준!$A$77:$A$86,$N2419)&gt;0,ISNUMBER(MATCH($X2419,계정대체기준!$D$77:$D$86,0)),ISNUMBER(MATCH($F2419,계정대체기준!$D$77:$D$86,0))),"Y","N")))</f>
        <v/>
      </c>
    </row>
    <row r="2420">
      <c r="A2420" s="92" t="n">
        <v>2025</v>
      </c>
      <c r="B2420" s="92" t="n">
        <v>11</v>
      </c>
      <c r="C2420" s="92" t="inlineStr">
        <is>
          <t>5100002416</t>
        </is>
      </c>
      <c r="D2420" s="95" t="n">
        <v>45980</v>
      </c>
      <c r="E2420" s="92" t="inlineStr">
        <is>
          <t>KR</t>
        </is>
      </c>
      <c r="F2420" s="92" t="n">
        <v>62101000</v>
      </c>
      <c r="G2420" s="92" t="n">
        <v>1951</v>
      </c>
      <c r="H2420" s="93" t="n">
        <v>185000</v>
      </c>
      <c r="I2420" s="92" t="inlineStr">
        <is>
          <t>11월 국내출장 - M항공</t>
        </is>
      </c>
      <c r="J2420" s="92" t="inlineStr">
        <is>
          <t>V10001</t>
        </is>
      </c>
      <c r="K2420" s="92" t="inlineStr">
        <is>
          <t>M항공</t>
        </is>
      </c>
      <c r="M2420" s="9">
        <f>IF($A2420="","",VALUE($A2420&amp;"")*12+VALUE($B2420&amp;""))</f>
        <v/>
      </c>
      <c r="N2420" s="64">
        <f>IF($A2420="","",IFERROR(INDEX(부서매핑!$C$5:$C$504,MATCH($G2420&amp;"",부서매핑!$A$5:$A$504,0)),"미매핑"))</f>
        <v/>
      </c>
      <c r="O2420" s="9">
        <f>IF($A2420="","",N2420&amp;"|"&amp;$F2420)</f>
        <v/>
      </c>
      <c r="P2420" s="94">
        <f>IF($A2420="",0,$H2420*설정!$C$23)</f>
        <v/>
      </c>
      <c r="Q2420" s="64">
        <f>IF($A2420="","",IF(O2420&lt;&gt;원인분석!$C$9,"",IF(AND(M2420&gt;=원인분석!$C$10,M2420&lt;=원인분석!$C$11),"당기",IF(AND(M2420&gt;=원인분석!$C$12,M2420&lt;=원인분석!$C$13),"비교",""))))</f>
        <v/>
      </c>
      <c r="R2420" s="9">
        <f>IF(Q2420="","",$K2420&amp;"")</f>
        <v/>
      </c>
      <c r="S2420" s="9">
        <f>IF(Q2420="","",IF(MATCH(R2420,$R$5:$R$100000,0)=ROW()-4,ROW(),""))</f>
        <v/>
      </c>
      <c r="T2420" s="9">
        <f>IF(Q2420="당기",ABS(P2420)+ROW()/1000000000,"")</f>
        <v/>
      </c>
      <c r="U2420" s="9">
        <f>IF(Q2420="비교",ABS(P2420)+ROW()/1000000000,"")</f>
        <v/>
      </c>
      <c r="V2420" s="64">
        <f>IF($A2420="","",IF(COUNTIF(변동분석!$E$7:$E$506,O2420)&gt;0,"Y","N"))</f>
        <v/>
      </c>
      <c r="W2420" s="64">
        <f>IF($A2420="","",IFERROR(INDEX(계정매핑!$D$5:$D$504,MATCH($F2420&amp;"",계정매핑!$A$5:$A$504,0)),"미매핑"))</f>
        <v/>
      </c>
      <c r="X2420" s="9">
        <f>IF($A2420="","",$F2420&amp;"")</f>
        <v/>
      </c>
      <c r="Y2420" s="94">
        <f>IF($A2420="",0,IF(AE2420="직접",IF(AF2420="비귀속",$P2420,0),$P2420*(1-AG2420)*IFERROR(INDEX(계정대체기준!$F$20:$F$49,MATCH($N2420,계정대체기준!$A$20:$A$49,0)),1)))</f>
        <v/>
      </c>
      <c r="Z2420" s="94">
        <f>IF($A2420="",0,IF(AE2420="직접",IF(AF2420="신계약비",$P2420,0),$P2420*(1-AG2420)*IFERROR(INDEX(계정대체기준!$C$20:$C$49,MATCH($N2420,계정대체기준!$A$20:$A$49,0)),0)))</f>
        <v/>
      </c>
      <c r="AA2420" s="94">
        <f>IF($A2420="",0,IF(AE2420="직접",IF(OR(AF2420="유지비",AF2420="손해조사비"),$P2420,0),$P2420*(1-AG2420)*IFERROR(INDEX(계정대체기준!$D$20:$D$49,MATCH($N2420,계정대체기준!$A$20:$A$49,0)),0)))</f>
        <v/>
      </c>
      <c r="AB2420" s="94">
        <f>IF($A2420="",0,IF(AE2420="직접",IF(AF2420="수금비",$P2420,0),$P2420*(1-AG2420)*IFERROR(INDEX(계정대체기준!$E$20:$E$49,MATCH($N2420,계정대체기준!$A$20:$A$49,0)),0)))</f>
        <v/>
      </c>
      <c r="AC2420" s="9">
        <f>IF(AND($A2420&lt;&gt;"",M2420=설정!$C$20,Z2420&gt;0),Z2420+ROW()/1000000000,"")</f>
        <v/>
      </c>
      <c r="AD2420" s="94">
        <f>IF($A2420="",0,$P2420*AG2420)</f>
        <v/>
      </c>
      <c r="AE2420" s="64">
        <f>IF($A2420="","",IFERROR(INDEX(계정매핑!$E$5:$E$504,MATCH($F2420&amp;"",계정매핑!$A$5:$A$504,0))&amp;"","공통비"))</f>
        <v/>
      </c>
      <c r="AF2420" s="64">
        <f>IF($A2420="","",IF(AE2420="직접",IFERROR(INDEX(계정매핑!$F$5:$F$504,MATCH($F2420&amp;"",계정매핑!$A$5:$A$504,0))&amp;"","비귀속"),""))</f>
        <v/>
      </c>
      <c r="AG2420" s="96">
        <f>IF($A2420="",0,IF(AND(AE2420&lt;&gt;"직접",IFERROR(INDEX(계정매핑!$G$5:$G$504,MATCH($F2420&amp;"",계정매핑!$A$5:$A$504,0))&amp;"","")="유지비",COUNTIF(계정대체기준!$A$6:$A$15,$N2420)&gt;0),IFERROR(INDEX(계정대체기준!$E$6:$E$15,MATCH(VALUE($A2420&amp;""),계정대체기준!$D$6:$D$15,0)),0),0))</f>
        <v/>
      </c>
      <c r="AH2420" s="64">
        <f>IF($A2420="","",IF(AD2420=0,"",IF(OR(COUNTIF(계정대체기준!$A$77:$A$86,$N2420)&gt;0,ISNUMBER(MATCH($X2420,계정대체기준!$D$77:$D$86,0)),ISNUMBER(MATCH($F2420,계정대체기준!$D$77:$D$86,0))),"Y","N")))</f>
        <v/>
      </c>
    </row>
    <row r="2421">
      <c r="A2421" s="92" t="n">
        <v>2025</v>
      </c>
      <c r="B2421" s="92" t="n">
        <v>11</v>
      </c>
      <c r="C2421" s="92" t="inlineStr">
        <is>
          <t>5100002417</t>
        </is>
      </c>
      <c r="D2421" s="95" t="n">
        <v>45980</v>
      </c>
      <c r="E2421" s="92" t="inlineStr">
        <is>
          <t>KR</t>
        </is>
      </c>
      <c r="F2421" s="92" t="n">
        <v>62301000</v>
      </c>
      <c r="G2421" s="92" t="n">
        <v>1501</v>
      </c>
      <c r="H2421" s="93" t="n">
        <v>274000</v>
      </c>
      <c r="I2421" s="92" t="inlineStr">
        <is>
          <t>11월 소모품 구입 - R문구</t>
        </is>
      </c>
      <c r="J2421" s="92" t="inlineStr">
        <is>
          <t>V10022</t>
        </is>
      </c>
      <c r="K2421" s="92" t="inlineStr">
        <is>
          <t>R문구</t>
        </is>
      </c>
      <c r="M2421" s="9">
        <f>IF($A2421="","",VALUE($A2421&amp;"")*12+VALUE($B2421&amp;""))</f>
        <v/>
      </c>
      <c r="N2421" s="64">
        <f>IF($A2421="","",IFERROR(INDEX(부서매핑!$C$5:$C$504,MATCH($G2421&amp;"",부서매핑!$A$5:$A$504,0)),"미매핑"))</f>
        <v/>
      </c>
      <c r="O2421" s="9">
        <f>IF($A2421="","",N2421&amp;"|"&amp;$F2421)</f>
        <v/>
      </c>
      <c r="P2421" s="94">
        <f>IF($A2421="",0,$H2421*설정!$C$23)</f>
        <v/>
      </c>
      <c r="Q2421" s="64">
        <f>IF($A2421="","",IF(O2421&lt;&gt;원인분석!$C$9,"",IF(AND(M2421&gt;=원인분석!$C$10,M2421&lt;=원인분석!$C$11),"당기",IF(AND(M2421&gt;=원인분석!$C$12,M2421&lt;=원인분석!$C$13),"비교",""))))</f>
        <v/>
      </c>
      <c r="R2421" s="9">
        <f>IF(Q2421="","",$K2421&amp;"")</f>
        <v/>
      </c>
      <c r="S2421" s="9">
        <f>IF(Q2421="","",IF(MATCH(R2421,$R$5:$R$100000,0)=ROW()-4,ROW(),""))</f>
        <v/>
      </c>
      <c r="T2421" s="9">
        <f>IF(Q2421="당기",ABS(P2421)+ROW()/1000000000,"")</f>
        <v/>
      </c>
      <c r="U2421" s="9">
        <f>IF(Q2421="비교",ABS(P2421)+ROW()/1000000000,"")</f>
        <v/>
      </c>
      <c r="V2421" s="64">
        <f>IF($A2421="","",IF(COUNTIF(변동분석!$E$7:$E$506,O2421)&gt;0,"Y","N"))</f>
        <v/>
      </c>
      <c r="W2421" s="64">
        <f>IF($A2421="","",IFERROR(INDEX(계정매핑!$D$5:$D$504,MATCH($F2421&amp;"",계정매핑!$A$5:$A$504,0)),"미매핑"))</f>
        <v/>
      </c>
      <c r="X2421" s="9">
        <f>IF($A2421="","",$F2421&amp;"")</f>
        <v/>
      </c>
      <c r="Y2421" s="94">
        <f>IF($A2421="",0,IF(AE2421="직접",IF(AF2421="비귀속",$P2421,0),$P2421*(1-AG2421)*IFERROR(INDEX(계정대체기준!$F$20:$F$49,MATCH($N2421,계정대체기준!$A$20:$A$49,0)),1)))</f>
        <v/>
      </c>
      <c r="Z2421" s="94">
        <f>IF($A2421="",0,IF(AE2421="직접",IF(AF2421="신계약비",$P2421,0),$P2421*(1-AG2421)*IFERROR(INDEX(계정대체기준!$C$20:$C$49,MATCH($N2421,계정대체기준!$A$20:$A$49,0)),0)))</f>
        <v/>
      </c>
      <c r="AA2421" s="94">
        <f>IF($A2421="",0,IF(AE2421="직접",IF(OR(AF2421="유지비",AF2421="손해조사비"),$P2421,0),$P2421*(1-AG2421)*IFERROR(INDEX(계정대체기준!$D$20:$D$49,MATCH($N2421,계정대체기준!$A$20:$A$49,0)),0)))</f>
        <v/>
      </c>
      <c r="AB2421" s="94">
        <f>IF($A2421="",0,IF(AE2421="직접",IF(AF2421="수금비",$P2421,0),$P2421*(1-AG2421)*IFERROR(INDEX(계정대체기준!$E$20:$E$49,MATCH($N2421,계정대체기준!$A$20:$A$49,0)),0)))</f>
        <v/>
      </c>
      <c r="AC2421" s="9">
        <f>IF(AND($A2421&lt;&gt;"",M2421=설정!$C$20,Z2421&gt;0),Z2421+ROW()/1000000000,"")</f>
        <v/>
      </c>
      <c r="AD2421" s="94">
        <f>IF($A2421="",0,$P2421*AG2421)</f>
        <v/>
      </c>
      <c r="AE2421" s="64">
        <f>IF($A2421="","",IFERROR(INDEX(계정매핑!$E$5:$E$504,MATCH($F2421&amp;"",계정매핑!$A$5:$A$504,0))&amp;"","공통비"))</f>
        <v/>
      </c>
      <c r="AF2421" s="64">
        <f>IF($A2421="","",IF(AE2421="직접",IFERROR(INDEX(계정매핑!$F$5:$F$504,MATCH($F2421&amp;"",계정매핑!$A$5:$A$504,0))&amp;"","비귀속"),""))</f>
        <v/>
      </c>
      <c r="AG2421" s="96">
        <f>IF($A2421="",0,IF(AND(AE2421&lt;&gt;"직접",IFERROR(INDEX(계정매핑!$G$5:$G$504,MATCH($F2421&amp;"",계정매핑!$A$5:$A$504,0))&amp;"","")="유지비",COUNTIF(계정대체기준!$A$6:$A$15,$N2421)&gt;0),IFERROR(INDEX(계정대체기준!$E$6:$E$15,MATCH(VALUE($A2421&amp;""),계정대체기준!$D$6:$D$15,0)),0),0))</f>
        <v/>
      </c>
      <c r="AH2421" s="64">
        <f>IF($A2421="","",IF(AD2421=0,"",IF(OR(COUNTIF(계정대체기준!$A$77:$A$86,$N2421)&gt;0,ISNUMBER(MATCH($X2421,계정대체기준!$D$77:$D$86,0)),ISNUMBER(MATCH($F2421,계정대체기준!$D$77:$D$86,0))),"Y","N")))</f>
        <v/>
      </c>
    </row>
    <row r="2422">
      <c r="A2422" s="92" t="n">
        <v>2025</v>
      </c>
      <c r="B2422" s="92" t="n">
        <v>11</v>
      </c>
      <c r="C2422" s="92" t="inlineStr">
        <is>
          <t>5100002418</t>
        </is>
      </c>
      <c r="D2422" s="95" t="n">
        <v>45980</v>
      </c>
      <c r="E2422" s="92" t="inlineStr">
        <is>
          <t>KR</t>
        </is>
      </c>
      <c r="F2422" s="92" t="n">
        <v>62501000</v>
      </c>
      <c r="G2422" s="92" t="n">
        <v>1602</v>
      </c>
      <c r="H2422" s="93" t="n">
        <v>619000</v>
      </c>
      <c r="I2422" s="92" t="inlineStr">
        <is>
          <t>11월 회의 다과 - (법인카드)</t>
        </is>
      </c>
      <c r="J2422" s="92" t="inlineStr">
        <is>
          <t>V10010</t>
        </is>
      </c>
      <c r="K2422" s="92" t="inlineStr">
        <is>
          <t>(법인카드)</t>
        </is>
      </c>
      <c r="M2422" s="9">
        <f>IF($A2422="","",VALUE($A2422&amp;"")*12+VALUE($B2422&amp;""))</f>
        <v/>
      </c>
      <c r="N2422" s="64">
        <f>IF($A2422="","",IFERROR(INDEX(부서매핑!$C$5:$C$504,MATCH($G2422&amp;"",부서매핑!$A$5:$A$504,0)),"미매핑"))</f>
        <v/>
      </c>
      <c r="O2422" s="9">
        <f>IF($A2422="","",N2422&amp;"|"&amp;$F2422)</f>
        <v/>
      </c>
      <c r="P2422" s="94">
        <f>IF($A2422="",0,$H2422*설정!$C$23)</f>
        <v/>
      </c>
      <c r="Q2422" s="64">
        <f>IF($A2422="","",IF(O2422&lt;&gt;원인분석!$C$9,"",IF(AND(M2422&gt;=원인분석!$C$10,M2422&lt;=원인분석!$C$11),"당기",IF(AND(M2422&gt;=원인분석!$C$12,M2422&lt;=원인분석!$C$13),"비교",""))))</f>
        <v/>
      </c>
      <c r="R2422" s="9">
        <f>IF(Q2422="","",$K2422&amp;"")</f>
        <v/>
      </c>
      <c r="S2422" s="9">
        <f>IF(Q2422="","",IF(MATCH(R2422,$R$5:$R$100000,0)=ROW()-4,ROW(),""))</f>
        <v/>
      </c>
      <c r="T2422" s="9">
        <f>IF(Q2422="당기",ABS(P2422)+ROW()/1000000000,"")</f>
        <v/>
      </c>
      <c r="U2422" s="9">
        <f>IF(Q2422="비교",ABS(P2422)+ROW()/1000000000,"")</f>
        <v/>
      </c>
      <c r="V2422" s="64">
        <f>IF($A2422="","",IF(COUNTIF(변동분석!$E$7:$E$506,O2422)&gt;0,"Y","N"))</f>
        <v/>
      </c>
      <c r="W2422" s="64">
        <f>IF($A2422="","",IFERROR(INDEX(계정매핑!$D$5:$D$504,MATCH($F2422&amp;"",계정매핑!$A$5:$A$504,0)),"미매핑"))</f>
        <v/>
      </c>
      <c r="X2422" s="9">
        <f>IF($A2422="","",$F2422&amp;"")</f>
        <v/>
      </c>
      <c r="Y2422" s="94">
        <f>IF($A2422="",0,IF(AE2422="직접",IF(AF2422="비귀속",$P2422,0),$P2422*(1-AG2422)*IFERROR(INDEX(계정대체기준!$F$20:$F$49,MATCH($N2422,계정대체기준!$A$20:$A$49,0)),1)))</f>
        <v/>
      </c>
      <c r="Z2422" s="94">
        <f>IF($A2422="",0,IF(AE2422="직접",IF(AF2422="신계약비",$P2422,0),$P2422*(1-AG2422)*IFERROR(INDEX(계정대체기준!$C$20:$C$49,MATCH($N2422,계정대체기준!$A$20:$A$49,0)),0)))</f>
        <v/>
      </c>
      <c r="AA2422" s="94">
        <f>IF($A2422="",0,IF(AE2422="직접",IF(OR(AF2422="유지비",AF2422="손해조사비"),$P2422,0),$P2422*(1-AG2422)*IFERROR(INDEX(계정대체기준!$D$20:$D$49,MATCH($N2422,계정대체기준!$A$20:$A$49,0)),0)))</f>
        <v/>
      </c>
      <c r="AB2422" s="94">
        <f>IF($A2422="",0,IF(AE2422="직접",IF(AF2422="수금비",$P2422,0),$P2422*(1-AG2422)*IFERROR(INDEX(계정대체기준!$E$20:$E$49,MATCH($N2422,계정대체기준!$A$20:$A$49,0)),0)))</f>
        <v/>
      </c>
      <c r="AC2422" s="9">
        <f>IF(AND($A2422&lt;&gt;"",M2422=설정!$C$20,Z2422&gt;0),Z2422+ROW()/1000000000,"")</f>
        <v/>
      </c>
      <c r="AD2422" s="94">
        <f>IF($A2422="",0,$P2422*AG2422)</f>
        <v/>
      </c>
      <c r="AE2422" s="64">
        <f>IF($A2422="","",IFERROR(INDEX(계정매핑!$E$5:$E$504,MATCH($F2422&amp;"",계정매핑!$A$5:$A$504,0))&amp;"","공통비"))</f>
        <v/>
      </c>
      <c r="AF2422" s="64">
        <f>IF($A2422="","",IF(AE2422="직접",IFERROR(INDEX(계정매핑!$F$5:$F$504,MATCH($F2422&amp;"",계정매핑!$A$5:$A$504,0))&amp;"","비귀속"),""))</f>
        <v/>
      </c>
      <c r="AG2422" s="96">
        <f>IF($A2422="",0,IF(AND(AE2422&lt;&gt;"직접",IFERROR(INDEX(계정매핑!$G$5:$G$504,MATCH($F2422&amp;"",계정매핑!$A$5:$A$504,0))&amp;"","")="유지비",COUNTIF(계정대체기준!$A$6:$A$15,$N2422)&gt;0),IFERROR(INDEX(계정대체기준!$E$6:$E$15,MATCH(VALUE($A2422&amp;""),계정대체기준!$D$6:$D$15,0)),0),0))</f>
        <v/>
      </c>
      <c r="AH2422" s="64">
        <f>IF($A2422="","",IF(AD2422=0,"",IF(OR(COUNTIF(계정대체기준!$A$77:$A$86,$N2422)&gt;0,ISNUMBER(MATCH($X2422,계정대체기준!$D$77:$D$86,0)),ISNUMBER(MATCH($F2422,계정대체기준!$D$77:$D$86,0))),"Y","N")))</f>
        <v/>
      </c>
    </row>
    <row r="2423">
      <c r="A2423" s="92" t="n">
        <v>2025</v>
      </c>
      <c r="B2423" s="92" t="n">
        <v>11</v>
      </c>
      <c r="C2423" s="92" t="inlineStr">
        <is>
          <t>5100002419</t>
        </is>
      </c>
      <c r="D2423" s="95" t="n">
        <v>45980</v>
      </c>
      <c r="E2423" s="92" t="inlineStr">
        <is>
          <t>KR</t>
        </is>
      </c>
      <c r="F2423" s="92" t="n">
        <v>62901000</v>
      </c>
      <c r="G2423" s="92" t="n">
        <v>1951</v>
      </c>
      <c r="H2423" s="93" t="n">
        <v>6105000</v>
      </c>
      <c r="I2423" s="92" t="inlineStr">
        <is>
          <t>11월 자문 수수료 - W컨설팅</t>
        </is>
      </c>
      <c r="J2423" s="92" t="inlineStr">
        <is>
          <t>V10006</t>
        </is>
      </c>
      <c r="K2423" s="92" t="inlineStr">
        <is>
          <t>W컨설팅</t>
        </is>
      </c>
      <c r="M2423" s="9">
        <f>IF($A2423="","",VALUE($A2423&amp;"")*12+VALUE($B2423&amp;""))</f>
        <v/>
      </c>
      <c r="N2423" s="64">
        <f>IF($A2423="","",IFERROR(INDEX(부서매핑!$C$5:$C$504,MATCH($G2423&amp;"",부서매핑!$A$5:$A$504,0)),"미매핑"))</f>
        <v/>
      </c>
      <c r="O2423" s="9">
        <f>IF($A2423="","",N2423&amp;"|"&amp;$F2423)</f>
        <v/>
      </c>
      <c r="P2423" s="94">
        <f>IF($A2423="",0,$H2423*설정!$C$23)</f>
        <v/>
      </c>
      <c r="Q2423" s="64">
        <f>IF($A2423="","",IF(O2423&lt;&gt;원인분석!$C$9,"",IF(AND(M2423&gt;=원인분석!$C$10,M2423&lt;=원인분석!$C$11),"당기",IF(AND(M2423&gt;=원인분석!$C$12,M2423&lt;=원인분석!$C$13),"비교",""))))</f>
        <v/>
      </c>
      <c r="R2423" s="9">
        <f>IF(Q2423="","",$K2423&amp;"")</f>
        <v/>
      </c>
      <c r="S2423" s="9">
        <f>IF(Q2423="","",IF(MATCH(R2423,$R$5:$R$100000,0)=ROW()-4,ROW(),""))</f>
        <v/>
      </c>
      <c r="T2423" s="9">
        <f>IF(Q2423="당기",ABS(P2423)+ROW()/1000000000,"")</f>
        <v/>
      </c>
      <c r="U2423" s="9">
        <f>IF(Q2423="비교",ABS(P2423)+ROW()/1000000000,"")</f>
        <v/>
      </c>
      <c r="V2423" s="64">
        <f>IF($A2423="","",IF(COUNTIF(변동분석!$E$7:$E$506,O2423)&gt;0,"Y","N"))</f>
        <v/>
      </c>
      <c r="W2423" s="64">
        <f>IF($A2423="","",IFERROR(INDEX(계정매핑!$D$5:$D$504,MATCH($F2423&amp;"",계정매핑!$A$5:$A$504,0)),"미매핑"))</f>
        <v/>
      </c>
      <c r="X2423" s="9">
        <f>IF($A2423="","",$F2423&amp;"")</f>
        <v/>
      </c>
      <c r="Y2423" s="94">
        <f>IF($A2423="",0,IF(AE2423="직접",IF(AF2423="비귀속",$P2423,0),$P2423*(1-AG2423)*IFERROR(INDEX(계정대체기준!$F$20:$F$49,MATCH($N2423,계정대체기준!$A$20:$A$49,0)),1)))</f>
        <v/>
      </c>
      <c r="Z2423" s="94">
        <f>IF($A2423="",0,IF(AE2423="직접",IF(AF2423="신계약비",$P2423,0),$P2423*(1-AG2423)*IFERROR(INDEX(계정대체기준!$C$20:$C$49,MATCH($N2423,계정대체기준!$A$20:$A$49,0)),0)))</f>
        <v/>
      </c>
      <c r="AA2423" s="94">
        <f>IF($A2423="",0,IF(AE2423="직접",IF(OR(AF2423="유지비",AF2423="손해조사비"),$P2423,0),$P2423*(1-AG2423)*IFERROR(INDEX(계정대체기준!$D$20:$D$49,MATCH($N2423,계정대체기준!$A$20:$A$49,0)),0)))</f>
        <v/>
      </c>
      <c r="AB2423" s="94">
        <f>IF($A2423="",0,IF(AE2423="직접",IF(AF2423="수금비",$P2423,0),$P2423*(1-AG2423)*IFERROR(INDEX(계정대체기준!$E$20:$E$49,MATCH($N2423,계정대체기준!$A$20:$A$49,0)),0)))</f>
        <v/>
      </c>
      <c r="AC2423" s="9">
        <f>IF(AND($A2423&lt;&gt;"",M2423=설정!$C$20,Z2423&gt;0),Z2423+ROW()/1000000000,"")</f>
        <v/>
      </c>
      <c r="AD2423" s="94">
        <f>IF($A2423="",0,$P2423*AG2423)</f>
        <v/>
      </c>
      <c r="AE2423" s="64">
        <f>IF($A2423="","",IFERROR(INDEX(계정매핑!$E$5:$E$504,MATCH($F2423&amp;"",계정매핑!$A$5:$A$504,0))&amp;"","공통비"))</f>
        <v/>
      </c>
      <c r="AF2423" s="64">
        <f>IF($A2423="","",IF(AE2423="직접",IFERROR(INDEX(계정매핑!$F$5:$F$504,MATCH($F2423&amp;"",계정매핑!$A$5:$A$504,0))&amp;"","비귀속"),""))</f>
        <v/>
      </c>
      <c r="AG2423" s="96">
        <f>IF($A2423="",0,IF(AND(AE2423&lt;&gt;"직접",IFERROR(INDEX(계정매핑!$G$5:$G$504,MATCH($F2423&amp;"",계정매핑!$A$5:$A$504,0))&amp;"","")="유지비",COUNTIF(계정대체기준!$A$6:$A$15,$N2423)&gt;0),IFERROR(INDEX(계정대체기준!$E$6:$E$15,MATCH(VALUE($A2423&amp;""),계정대체기준!$D$6:$D$15,0)),0),0))</f>
        <v/>
      </c>
      <c r="AH2423" s="64">
        <f>IF($A2423="","",IF(AD2423=0,"",IF(OR(COUNTIF(계정대체기준!$A$77:$A$86,$N2423)&gt;0,ISNUMBER(MATCH($X2423,계정대체기준!$D$77:$D$86,0)),ISNUMBER(MATCH($F2423,계정대체기준!$D$77:$D$86,0))),"Y","N")))</f>
        <v/>
      </c>
    </row>
    <row r="2424">
      <c r="A2424" s="92" t="n">
        <v>2025</v>
      </c>
      <c r="B2424" s="92" t="n">
        <v>11</v>
      </c>
      <c r="C2424" s="92" t="inlineStr">
        <is>
          <t>5100002420</t>
        </is>
      </c>
      <c r="D2424" s="95" t="n">
        <v>45980</v>
      </c>
      <c r="E2424" s="92" t="inlineStr">
        <is>
          <t>KR</t>
        </is>
      </c>
      <c r="F2424" s="92" t="n">
        <v>62902000</v>
      </c>
      <c r="G2424" s="92" t="n">
        <v>1401</v>
      </c>
      <c r="H2424" s="93" t="n">
        <v>1870000</v>
      </c>
      <c r="I2424" s="92" t="inlineStr">
        <is>
          <t>11월 업무 위탁 수수료 - J콜센터</t>
        </is>
      </c>
      <c r="J2424" s="92" t="inlineStr">
        <is>
          <t>V10016</t>
        </is>
      </c>
      <c r="K2424" s="92" t="inlineStr">
        <is>
          <t>J콜센터</t>
        </is>
      </c>
      <c r="M2424" s="9">
        <f>IF($A2424="","",VALUE($A2424&amp;"")*12+VALUE($B2424&amp;""))</f>
        <v/>
      </c>
      <c r="N2424" s="64">
        <f>IF($A2424="","",IFERROR(INDEX(부서매핑!$C$5:$C$504,MATCH($G2424&amp;"",부서매핑!$A$5:$A$504,0)),"미매핑"))</f>
        <v/>
      </c>
      <c r="O2424" s="9">
        <f>IF($A2424="","",N2424&amp;"|"&amp;$F2424)</f>
        <v/>
      </c>
      <c r="P2424" s="94">
        <f>IF($A2424="",0,$H2424*설정!$C$23)</f>
        <v/>
      </c>
      <c r="Q2424" s="64">
        <f>IF($A2424="","",IF(O2424&lt;&gt;원인분석!$C$9,"",IF(AND(M2424&gt;=원인분석!$C$10,M2424&lt;=원인분석!$C$11),"당기",IF(AND(M2424&gt;=원인분석!$C$12,M2424&lt;=원인분석!$C$13),"비교",""))))</f>
        <v/>
      </c>
      <c r="R2424" s="9">
        <f>IF(Q2424="","",$K2424&amp;"")</f>
        <v/>
      </c>
      <c r="S2424" s="9">
        <f>IF(Q2424="","",IF(MATCH(R2424,$R$5:$R$100000,0)=ROW()-4,ROW(),""))</f>
        <v/>
      </c>
      <c r="T2424" s="9">
        <f>IF(Q2424="당기",ABS(P2424)+ROW()/1000000000,"")</f>
        <v/>
      </c>
      <c r="U2424" s="9">
        <f>IF(Q2424="비교",ABS(P2424)+ROW()/1000000000,"")</f>
        <v/>
      </c>
      <c r="V2424" s="64">
        <f>IF($A2424="","",IF(COUNTIF(변동분석!$E$7:$E$506,O2424)&gt;0,"Y","N"))</f>
        <v/>
      </c>
      <c r="W2424" s="64">
        <f>IF($A2424="","",IFERROR(INDEX(계정매핑!$D$5:$D$504,MATCH($F2424&amp;"",계정매핑!$A$5:$A$504,0)),"미매핑"))</f>
        <v/>
      </c>
      <c r="X2424" s="9">
        <f>IF($A2424="","",$F2424&amp;"")</f>
        <v/>
      </c>
      <c r="Y2424" s="94">
        <f>IF($A2424="",0,IF(AE2424="직접",IF(AF2424="비귀속",$P2424,0),$P2424*(1-AG2424)*IFERROR(INDEX(계정대체기준!$F$20:$F$49,MATCH($N2424,계정대체기준!$A$20:$A$49,0)),1)))</f>
        <v/>
      </c>
      <c r="Z2424" s="94">
        <f>IF($A2424="",0,IF(AE2424="직접",IF(AF2424="신계약비",$P2424,0),$P2424*(1-AG2424)*IFERROR(INDEX(계정대체기준!$C$20:$C$49,MATCH($N2424,계정대체기준!$A$20:$A$49,0)),0)))</f>
        <v/>
      </c>
      <c r="AA2424" s="94">
        <f>IF($A2424="",0,IF(AE2424="직접",IF(OR(AF2424="유지비",AF2424="손해조사비"),$P2424,0),$P2424*(1-AG2424)*IFERROR(INDEX(계정대체기준!$D$20:$D$49,MATCH($N2424,계정대체기준!$A$20:$A$49,0)),0)))</f>
        <v/>
      </c>
      <c r="AB2424" s="94">
        <f>IF($A2424="",0,IF(AE2424="직접",IF(AF2424="수금비",$P2424,0),$P2424*(1-AG2424)*IFERROR(INDEX(계정대체기준!$E$20:$E$49,MATCH($N2424,계정대체기준!$A$20:$A$49,0)),0)))</f>
        <v/>
      </c>
      <c r="AC2424" s="9">
        <f>IF(AND($A2424&lt;&gt;"",M2424=설정!$C$20,Z2424&gt;0),Z2424+ROW()/1000000000,"")</f>
        <v/>
      </c>
      <c r="AD2424" s="94">
        <f>IF($A2424="",0,$P2424*AG2424)</f>
        <v/>
      </c>
      <c r="AE2424" s="64">
        <f>IF($A2424="","",IFERROR(INDEX(계정매핑!$E$5:$E$504,MATCH($F2424&amp;"",계정매핑!$A$5:$A$504,0))&amp;"","공통비"))</f>
        <v/>
      </c>
      <c r="AF2424" s="64">
        <f>IF($A2424="","",IF(AE2424="직접",IFERROR(INDEX(계정매핑!$F$5:$F$504,MATCH($F2424&amp;"",계정매핑!$A$5:$A$504,0))&amp;"","비귀속"),""))</f>
        <v/>
      </c>
      <c r="AG2424" s="96">
        <f>IF($A2424="",0,IF(AND(AE2424&lt;&gt;"직접",IFERROR(INDEX(계정매핑!$G$5:$G$504,MATCH($F2424&amp;"",계정매핑!$A$5:$A$504,0))&amp;"","")="유지비",COUNTIF(계정대체기준!$A$6:$A$15,$N2424)&gt;0),IFERROR(INDEX(계정대체기준!$E$6:$E$15,MATCH(VALUE($A2424&amp;""),계정대체기준!$D$6:$D$15,0)),0),0))</f>
        <v/>
      </c>
      <c r="AH2424" s="64">
        <f>IF($A2424="","",IF(AD2424=0,"",IF(OR(COUNTIF(계정대체기준!$A$77:$A$86,$N2424)&gt;0,ISNUMBER(MATCH($X2424,계정대체기준!$D$77:$D$86,0)),ISNUMBER(MATCH($F2424,계정대체기준!$D$77:$D$86,0))),"Y","N")))</f>
        <v/>
      </c>
    </row>
    <row r="2425">
      <c r="A2425" s="92" t="n">
        <v>2025</v>
      </c>
      <c r="B2425" s="92" t="n">
        <v>11</v>
      </c>
      <c r="C2425" s="92" t="inlineStr">
        <is>
          <t>5100002421</t>
        </is>
      </c>
      <c r="D2425" s="95" t="n">
        <v>45980</v>
      </c>
      <c r="E2425" s="92" t="inlineStr">
        <is>
          <t>KR</t>
        </is>
      </c>
      <c r="F2425" s="92" t="n">
        <v>63502000</v>
      </c>
      <c r="G2425" s="92" t="n">
        <v>1901</v>
      </c>
      <c r="H2425" s="93" t="n">
        <v>156818000</v>
      </c>
      <c r="I2425" s="92" t="inlineStr">
        <is>
          <t>11월 유지수수료 - CC금융서비스</t>
        </is>
      </c>
      <c r="J2425" s="92" t="inlineStr">
        <is>
          <t>V10029</t>
        </is>
      </c>
      <c r="K2425" s="92" t="inlineStr">
        <is>
          <t>CC금융서비스</t>
        </is>
      </c>
      <c r="M2425" s="9">
        <f>IF($A2425="","",VALUE($A2425&amp;"")*12+VALUE($B2425&amp;""))</f>
        <v/>
      </c>
      <c r="N2425" s="64">
        <f>IF($A2425="","",IFERROR(INDEX(부서매핑!$C$5:$C$504,MATCH($G2425&amp;"",부서매핑!$A$5:$A$504,0)),"미매핑"))</f>
        <v/>
      </c>
      <c r="O2425" s="9">
        <f>IF($A2425="","",N2425&amp;"|"&amp;$F2425)</f>
        <v/>
      </c>
      <c r="P2425" s="94">
        <f>IF($A2425="",0,$H2425*설정!$C$23)</f>
        <v/>
      </c>
      <c r="Q2425" s="64">
        <f>IF($A2425="","",IF(O2425&lt;&gt;원인분석!$C$9,"",IF(AND(M2425&gt;=원인분석!$C$10,M2425&lt;=원인분석!$C$11),"당기",IF(AND(M2425&gt;=원인분석!$C$12,M2425&lt;=원인분석!$C$13),"비교",""))))</f>
        <v/>
      </c>
      <c r="R2425" s="9">
        <f>IF(Q2425="","",$K2425&amp;"")</f>
        <v/>
      </c>
      <c r="S2425" s="9">
        <f>IF(Q2425="","",IF(MATCH(R2425,$R$5:$R$100000,0)=ROW()-4,ROW(),""))</f>
        <v/>
      </c>
      <c r="T2425" s="9">
        <f>IF(Q2425="당기",ABS(P2425)+ROW()/1000000000,"")</f>
        <v/>
      </c>
      <c r="U2425" s="9">
        <f>IF(Q2425="비교",ABS(P2425)+ROW()/1000000000,"")</f>
        <v/>
      </c>
      <c r="V2425" s="64">
        <f>IF($A2425="","",IF(COUNTIF(변동분석!$E$7:$E$506,O2425)&gt;0,"Y","N"))</f>
        <v/>
      </c>
      <c r="W2425" s="64">
        <f>IF($A2425="","",IFERROR(INDEX(계정매핑!$D$5:$D$504,MATCH($F2425&amp;"",계정매핑!$A$5:$A$504,0)),"미매핑"))</f>
        <v/>
      </c>
      <c r="X2425" s="9">
        <f>IF($A2425="","",$F2425&amp;"")</f>
        <v/>
      </c>
      <c r="Y2425" s="94">
        <f>IF($A2425="",0,IF(AE2425="직접",IF(AF2425="비귀속",$P2425,0),$P2425*(1-AG2425)*IFERROR(INDEX(계정대체기준!$F$20:$F$49,MATCH($N2425,계정대체기준!$A$20:$A$49,0)),1)))</f>
        <v/>
      </c>
      <c r="Z2425" s="94">
        <f>IF($A2425="",0,IF(AE2425="직접",IF(AF2425="신계약비",$P2425,0),$P2425*(1-AG2425)*IFERROR(INDEX(계정대체기준!$C$20:$C$49,MATCH($N2425,계정대체기준!$A$20:$A$49,0)),0)))</f>
        <v/>
      </c>
      <c r="AA2425" s="94">
        <f>IF($A2425="",0,IF(AE2425="직접",IF(OR(AF2425="유지비",AF2425="손해조사비"),$P2425,0),$P2425*(1-AG2425)*IFERROR(INDEX(계정대체기준!$D$20:$D$49,MATCH($N2425,계정대체기준!$A$20:$A$49,0)),0)))</f>
        <v/>
      </c>
      <c r="AB2425" s="94">
        <f>IF($A2425="",0,IF(AE2425="직접",IF(AF2425="수금비",$P2425,0),$P2425*(1-AG2425)*IFERROR(INDEX(계정대체기준!$E$20:$E$49,MATCH($N2425,계정대체기준!$A$20:$A$49,0)),0)))</f>
        <v/>
      </c>
      <c r="AC2425" s="9">
        <f>IF(AND($A2425&lt;&gt;"",M2425=설정!$C$20,Z2425&gt;0),Z2425+ROW()/1000000000,"")</f>
        <v/>
      </c>
      <c r="AD2425" s="94">
        <f>IF($A2425="",0,$P2425*AG2425)</f>
        <v/>
      </c>
      <c r="AE2425" s="64">
        <f>IF($A2425="","",IFERROR(INDEX(계정매핑!$E$5:$E$504,MATCH($F2425&amp;"",계정매핑!$A$5:$A$504,0))&amp;"","공통비"))</f>
        <v/>
      </c>
      <c r="AF2425" s="64">
        <f>IF($A2425="","",IF(AE2425="직접",IFERROR(INDEX(계정매핑!$F$5:$F$504,MATCH($F2425&amp;"",계정매핑!$A$5:$A$504,0))&amp;"","비귀속"),""))</f>
        <v/>
      </c>
      <c r="AG2425" s="96">
        <f>IF($A2425="",0,IF(AND(AE2425&lt;&gt;"직접",IFERROR(INDEX(계정매핑!$G$5:$G$504,MATCH($F2425&amp;"",계정매핑!$A$5:$A$504,0))&amp;"","")="유지비",COUNTIF(계정대체기준!$A$6:$A$15,$N2425)&gt;0),IFERROR(INDEX(계정대체기준!$E$6:$E$15,MATCH(VALUE($A2425&amp;""),계정대체기준!$D$6:$D$15,0)),0),0))</f>
        <v/>
      </c>
      <c r="AH2425" s="64">
        <f>IF($A2425="","",IF(AD2425=0,"",IF(OR(COUNTIF(계정대체기준!$A$77:$A$86,$N2425)&gt;0,ISNUMBER(MATCH($X2425,계정대체기준!$D$77:$D$86,0)),ISNUMBER(MATCH($F2425,계정대체기준!$D$77:$D$86,0))),"Y","N")))</f>
        <v/>
      </c>
    </row>
    <row r="2426">
      <c r="A2426" s="92" t="n">
        <v>2025</v>
      </c>
      <c r="B2426" s="92" t="n">
        <v>11</v>
      </c>
      <c r="C2426" s="92" t="inlineStr">
        <is>
          <t>5100002422</t>
        </is>
      </c>
      <c r="D2426" s="95" t="n">
        <v>45981</v>
      </c>
      <c r="E2426" s="92" t="inlineStr">
        <is>
          <t>KR</t>
        </is>
      </c>
      <c r="F2426" s="92" t="n">
        <v>62101000</v>
      </c>
      <c r="G2426" s="92" t="n">
        <v>1401</v>
      </c>
      <c r="H2426" s="93" t="n">
        <v>461000</v>
      </c>
      <c r="I2426" s="92" t="inlineStr">
        <is>
          <t>11월 국내출장 - M항공</t>
        </is>
      </c>
      <c r="J2426" s="92" t="inlineStr">
        <is>
          <t>V10001</t>
        </is>
      </c>
      <c r="K2426" s="92" t="inlineStr">
        <is>
          <t>M항공</t>
        </is>
      </c>
      <c r="M2426" s="9">
        <f>IF($A2426="","",VALUE($A2426&amp;"")*12+VALUE($B2426&amp;""))</f>
        <v/>
      </c>
      <c r="N2426" s="64">
        <f>IF($A2426="","",IFERROR(INDEX(부서매핑!$C$5:$C$504,MATCH($G2426&amp;"",부서매핑!$A$5:$A$504,0)),"미매핑"))</f>
        <v/>
      </c>
      <c r="O2426" s="9">
        <f>IF($A2426="","",N2426&amp;"|"&amp;$F2426)</f>
        <v/>
      </c>
      <c r="P2426" s="94">
        <f>IF($A2426="",0,$H2426*설정!$C$23)</f>
        <v/>
      </c>
      <c r="Q2426" s="64">
        <f>IF($A2426="","",IF(O2426&lt;&gt;원인분석!$C$9,"",IF(AND(M2426&gt;=원인분석!$C$10,M2426&lt;=원인분석!$C$11),"당기",IF(AND(M2426&gt;=원인분석!$C$12,M2426&lt;=원인분석!$C$13),"비교",""))))</f>
        <v/>
      </c>
      <c r="R2426" s="9">
        <f>IF(Q2426="","",$K2426&amp;"")</f>
        <v/>
      </c>
      <c r="S2426" s="9">
        <f>IF(Q2426="","",IF(MATCH(R2426,$R$5:$R$100000,0)=ROW()-4,ROW(),""))</f>
        <v/>
      </c>
      <c r="T2426" s="9">
        <f>IF(Q2426="당기",ABS(P2426)+ROW()/1000000000,"")</f>
        <v/>
      </c>
      <c r="U2426" s="9">
        <f>IF(Q2426="비교",ABS(P2426)+ROW()/1000000000,"")</f>
        <v/>
      </c>
      <c r="V2426" s="64">
        <f>IF($A2426="","",IF(COUNTIF(변동분석!$E$7:$E$506,O2426)&gt;0,"Y","N"))</f>
        <v/>
      </c>
      <c r="W2426" s="64">
        <f>IF($A2426="","",IFERROR(INDEX(계정매핑!$D$5:$D$504,MATCH($F2426&amp;"",계정매핑!$A$5:$A$504,0)),"미매핑"))</f>
        <v/>
      </c>
      <c r="X2426" s="9">
        <f>IF($A2426="","",$F2426&amp;"")</f>
        <v/>
      </c>
      <c r="Y2426" s="94">
        <f>IF($A2426="",0,IF(AE2426="직접",IF(AF2426="비귀속",$P2426,0),$P2426*(1-AG2426)*IFERROR(INDEX(계정대체기준!$F$20:$F$49,MATCH($N2426,계정대체기준!$A$20:$A$49,0)),1)))</f>
        <v/>
      </c>
      <c r="Z2426" s="94">
        <f>IF($A2426="",0,IF(AE2426="직접",IF(AF2426="신계약비",$P2426,0),$P2426*(1-AG2426)*IFERROR(INDEX(계정대체기준!$C$20:$C$49,MATCH($N2426,계정대체기준!$A$20:$A$49,0)),0)))</f>
        <v/>
      </c>
      <c r="AA2426" s="94">
        <f>IF($A2426="",0,IF(AE2426="직접",IF(OR(AF2426="유지비",AF2426="손해조사비"),$P2426,0),$P2426*(1-AG2426)*IFERROR(INDEX(계정대체기준!$D$20:$D$49,MATCH($N2426,계정대체기준!$A$20:$A$49,0)),0)))</f>
        <v/>
      </c>
      <c r="AB2426" s="94">
        <f>IF($A2426="",0,IF(AE2426="직접",IF(AF2426="수금비",$P2426,0),$P2426*(1-AG2426)*IFERROR(INDEX(계정대체기준!$E$20:$E$49,MATCH($N2426,계정대체기준!$A$20:$A$49,0)),0)))</f>
        <v/>
      </c>
      <c r="AC2426" s="9">
        <f>IF(AND($A2426&lt;&gt;"",M2426=설정!$C$20,Z2426&gt;0),Z2426+ROW()/1000000000,"")</f>
        <v/>
      </c>
      <c r="AD2426" s="94">
        <f>IF($A2426="",0,$P2426*AG2426)</f>
        <v/>
      </c>
      <c r="AE2426" s="64">
        <f>IF($A2426="","",IFERROR(INDEX(계정매핑!$E$5:$E$504,MATCH($F2426&amp;"",계정매핑!$A$5:$A$504,0))&amp;"","공통비"))</f>
        <v/>
      </c>
      <c r="AF2426" s="64">
        <f>IF($A2426="","",IF(AE2426="직접",IFERROR(INDEX(계정매핑!$F$5:$F$504,MATCH($F2426&amp;"",계정매핑!$A$5:$A$504,0))&amp;"","비귀속"),""))</f>
        <v/>
      </c>
      <c r="AG2426" s="96">
        <f>IF($A2426="",0,IF(AND(AE2426&lt;&gt;"직접",IFERROR(INDEX(계정매핑!$G$5:$G$504,MATCH($F2426&amp;"",계정매핑!$A$5:$A$504,0))&amp;"","")="유지비",COUNTIF(계정대체기준!$A$6:$A$15,$N2426)&gt;0),IFERROR(INDEX(계정대체기준!$E$6:$E$15,MATCH(VALUE($A2426&amp;""),계정대체기준!$D$6:$D$15,0)),0),0))</f>
        <v/>
      </c>
      <c r="AH2426" s="64">
        <f>IF($A2426="","",IF(AD2426=0,"",IF(OR(COUNTIF(계정대체기준!$A$77:$A$86,$N2426)&gt;0,ISNUMBER(MATCH($X2426,계정대체기준!$D$77:$D$86,0)),ISNUMBER(MATCH($F2426,계정대체기준!$D$77:$D$86,0))),"Y","N")))</f>
        <v/>
      </c>
    </row>
    <row r="2427">
      <c r="A2427" s="92" t="n">
        <v>2025</v>
      </c>
      <c r="B2427" s="92" t="n">
        <v>11</v>
      </c>
      <c r="C2427" s="92" t="inlineStr">
        <is>
          <t>5100002423</t>
        </is>
      </c>
      <c r="D2427" s="95" t="n">
        <v>45981</v>
      </c>
      <c r="E2427" s="92" t="inlineStr">
        <is>
          <t>KR</t>
        </is>
      </c>
      <c r="F2427" s="92" t="n">
        <v>62101000</v>
      </c>
      <c r="G2427" s="92" t="n">
        <v>1401</v>
      </c>
      <c r="H2427" s="93" t="n">
        <v>371000</v>
      </c>
      <c r="I2427" s="92" t="inlineStr">
        <is>
          <t>11월 국내출장 - (법인카드)</t>
        </is>
      </c>
      <c r="J2427" s="92" t="inlineStr">
        <is>
          <t>V10010</t>
        </is>
      </c>
      <c r="K2427" s="92" t="inlineStr">
        <is>
          <t>(법인카드)</t>
        </is>
      </c>
      <c r="M2427" s="9">
        <f>IF($A2427="","",VALUE($A2427&amp;"")*12+VALUE($B2427&amp;""))</f>
        <v/>
      </c>
      <c r="N2427" s="64">
        <f>IF($A2427="","",IFERROR(INDEX(부서매핑!$C$5:$C$504,MATCH($G2427&amp;"",부서매핑!$A$5:$A$504,0)),"미매핑"))</f>
        <v/>
      </c>
      <c r="O2427" s="9">
        <f>IF($A2427="","",N2427&amp;"|"&amp;$F2427)</f>
        <v/>
      </c>
      <c r="P2427" s="94">
        <f>IF($A2427="",0,$H2427*설정!$C$23)</f>
        <v/>
      </c>
      <c r="Q2427" s="64">
        <f>IF($A2427="","",IF(O2427&lt;&gt;원인분석!$C$9,"",IF(AND(M2427&gt;=원인분석!$C$10,M2427&lt;=원인분석!$C$11),"당기",IF(AND(M2427&gt;=원인분석!$C$12,M2427&lt;=원인분석!$C$13),"비교",""))))</f>
        <v/>
      </c>
      <c r="R2427" s="9">
        <f>IF(Q2427="","",$K2427&amp;"")</f>
        <v/>
      </c>
      <c r="S2427" s="9">
        <f>IF(Q2427="","",IF(MATCH(R2427,$R$5:$R$100000,0)=ROW()-4,ROW(),""))</f>
        <v/>
      </c>
      <c r="T2427" s="9">
        <f>IF(Q2427="당기",ABS(P2427)+ROW()/1000000000,"")</f>
        <v/>
      </c>
      <c r="U2427" s="9">
        <f>IF(Q2427="비교",ABS(P2427)+ROW()/1000000000,"")</f>
        <v/>
      </c>
      <c r="V2427" s="64">
        <f>IF($A2427="","",IF(COUNTIF(변동분석!$E$7:$E$506,O2427)&gt;0,"Y","N"))</f>
        <v/>
      </c>
      <c r="W2427" s="64">
        <f>IF($A2427="","",IFERROR(INDEX(계정매핑!$D$5:$D$504,MATCH($F2427&amp;"",계정매핑!$A$5:$A$504,0)),"미매핑"))</f>
        <v/>
      </c>
      <c r="X2427" s="9">
        <f>IF($A2427="","",$F2427&amp;"")</f>
        <v/>
      </c>
      <c r="Y2427" s="94">
        <f>IF($A2427="",0,IF(AE2427="직접",IF(AF2427="비귀속",$P2427,0),$P2427*(1-AG2427)*IFERROR(INDEX(계정대체기준!$F$20:$F$49,MATCH($N2427,계정대체기준!$A$20:$A$49,0)),1)))</f>
        <v/>
      </c>
      <c r="Z2427" s="94">
        <f>IF($A2427="",0,IF(AE2427="직접",IF(AF2427="신계약비",$P2427,0),$P2427*(1-AG2427)*IFERROR(INDEX(계정대체기준!$C$20:$C$49,MATCH($N2427,계정대체기준!$A$20:$A$49,0)),0)))</f>
        <v/>
      </c>
      <c r="AA2427" s="94">
        <f>IF($A2427="",0,IF(AE2427="직접",IF(OR(AF2427="유지비",AF2427="손해조사비"),$P2427,0),$P2427*(1-AG2427)*IFERROR(INDEX(계정대체기준!$D$20:$D$49,MATCH($N2427,계정대체기준!$A$20:$A$49,0)),0)))</f>
        <v/>
      </c>
      <c r="AB2427" s="94">
        <f>IF($A2427="",0,IF(AE2427="직접",IF(AF2427="수금비",$P2427,0),$P2427*(1-AG2427)*IFERROR(INDEX(계정대체기준!$E$20:$E$49,MATCH($N2427,계정대체기준!$A$20:$A$49,0)),0)))</f>
        <v/>
      </c>
      <c r="AC2427" s="9">
        <f>IF(AND($A2427&lt;&gt;"",M2427=설정!$C$20,Z2427&gt;0),Z2427+ROW()/1000000000,"")</f>
        <v/>
      </c>
      <c r="AD2427" s="94">
        <f>IF($A2427="",0,$P2427*AG2427)</f>
        <v/>
      </c>
      <c r="AE2427" s="64">
        <f>IF($A2427="","",IFERROR(INDEX(계정매핑!$E$5:$E$504,MATCH($F2427&amp;"",계정매핑!$A$5:$A$504,0))&amp;"","공통비"))</f>
        <v/>
      </c>
      <c r="AF2427" s="64">
        <f>IF($A2427="","",IF(AE2427="직접",IFERROR(INDEX(계정매핑!$F$5:$F$504,MATCH($F2427&amp;"",계정매핑!$A$5:$A$504,0))&amp;"","비귀속"),""))</f>
        <v/>
      </c>
      <c r="AG2427" s="96">
        <f>IF($A2427="",0,IF(AND(AE2427&lt;&gt;"직접",IFERROR(INDEX(계정매핑!$G$5:$G$504,MATCH($F2427&amp;"",계정매핑!$A$5:$A$504,0))&amp;"","")="유지비",COUNTIF(계정대체기준!$A$6:$A$15,$N2427)&gt;0),IFERROR(INDEX(계정대체기준!$E$6:$E$15,MATCH(VALUE($A2427&amp;""),계정대체기준!$D$6:$D$15,0)),0),0))</f>
        <v/>
      </c>
      <c r="AH2427" s="64">
        <f>IF($A2427="","",IF(AD2427=0,"",IF(OR(COUNTIF(계정대체기준!$A$77:$A$86,$N2427)&gt;0,ISNUMBER(MATCH($X2427,계정대체기준!$D$77:$D$86,0)),ISNUMBER(MATCH($F2427,계정대체기준!$D$77:$D$86,0))),"Y","N")))</f>
        <v/>
      </c>
    </row>
    <row r="2428">
      <c r="A2428" s="92" t="n">
        <v>2025</v>
      </c>
      <c r="B2428" s="92" t="n">
        <v>11</v>
      </c>
      <c r="C2428" s="92" t="inlineStr">
        <is>
          <t>5100002424</t>
        </is>
      </c>
      <c r="D2428" s="95" t="n">
        <v>45981</v>
      </c>
      <c r="E2428" s="92" t="inlineStr">
        <is>
          <t>KR</t>
        </is>
      </c>
      <c r="F2428" s="92" t="n">
        <v>62101000</v>
      </c>
      <c r="G2428" s="92" t="n">
        <v>1701</v>
      </c>
      <c r="H2428" s="93" t="n">
        <v>134000</v>
      </c>
      <c r="I2428" s="92" t="inlineStr">
        <is>
          <t>11월 국내출장 - (법인카드)</t>
        </is>
      </c>
      <c r="J2428" s="92" t="inlineStr">
        <is>
          <t>V10010</t>
        </is>
      </c>
      <c r="K2428" s="92" t="inlineStr">
        <is>
          <t>(법인카드)</t>
        </is>
      </c>
      <c r="M2428" s="9">
        <f>IF($A2428="","",VALUE($A2428&amp;"")*12+VALUE($B2428&amp;""))</f>
        <v/>
      </c>
      <c r="N2428" s="64">
        <f>IF($A2428="","",IFERROR(INDEX(부서매핑!$C$5:$C$504,MATCH($G2428&amp;"",부서매핑!$A$5:$A$504,0)),"미매핑"))</f>
        <v/>
      </c>
      <c r="O2428" s="9">
        <f>IF($A2428="","",N2428&amp;"|"&amp;$F2428)</f>
        <v/>
      </c>
      <c r="P2428" s="94">
        <f>IF($A2428="",0,$H2428*설정!$C$23)</f>
        <v/>
      </c>
      <c r="Q2428" s="64">
        <f>IF($A2428="","",IF(O2428&lt;&gt;원인분석!$C$9,"",IF(AND(M2428&gt;=원인분석!$C$10,M2428&lt;=원인분석!$C$11),"당기",IF(AND(M2428&gt;=원인분석!$C$12,M2428&lt;=원인분석!$C$13),"비교",""))))</f>
        <v/>
      </c>
      <c r="R2428" s="9">
        <f>IF(Q2428="","",$K2428&amp;"")</f>
        <v/>
      </c>
      <c r="S2428" s="9">
        <f>IF(Q2428="","",IF(MATCH(R2428,$R$5:$R$100000,0)=ROW()-4,ROW(),""))</f>
        <v/>
      </c>
      <c r="T2428" s="9">
        <f>IF(Q2428="당기",ABS(P2428)+ROW()/1000000000,"")</f>
        <v/>
      </c>
      <c r="U2428" s="9">
        <f>IF(Q2428="비교",ABS(P2428)+ROW()/1000000000,"")</f>
        <v/>
      </c>
      <c r="V2428" s="64">
        <f>IF($A2428="","",IF(COUNTIF(변동분석!$E$7:$E$506,O2428)&gt;0,"Y","N"))</f>
        <v/>
      </c>
      <c r="W2428" s="64">
        <f>IF($A2428="","",IFERROR(INDEX(계정매핑!$D$5:$D$504,MATCH($F2428&amp;"",계정매핑!$A$5:$A$504,0)),"미매핑"))</f>
        <v/>
      </c>
      <c r="X2428" s="9">
        <f>IF($A2428="","",$F2428&amp;"")</f>
        <v/>
      </c>
      <c r="Y2428" s="94">
        <f>IF($A2428="",0,IF(AE2428="직접",IF(AF2428="비귀속",$P2428,0),$P2428*(1-AG2428)*IFERROR(INDEX(계정대체기준!$F$20:$F$49,MATCH($N2428,계정대체기준!$A$20:$A$49,0)),1)))</f>
        <v/>
      </c>
      <c r="Z2428" s="94">
        <f>IF($A2428="",0,IF(AE2428="직접",IF(AF2428="신계약비",$P2428,0),$P2428*(1-AG2428)*IFERROR(INDEX(계정대체기준!$C$20:$C$49,MATCH($N2428,계정대체기준!$A$20:$A$49,0)),0)))</f>
        <v/>
      </c>
      <c r="AA2428" s="94">
        <f>IF($A2428="",0,IF(AE2428="직접",IF(OR(AF2428="유지비",AF2428="손해조사비"),$P2428,0),$P2428*(1-AG2428)*IFERROR(INDEX(계정대체기준!$D$20:$D$49,MATCH($N2428,계정대체기준!$A$20:$A$49,0)),0)))</f>
        <v/>
      </c>
      <c r="AB2428" s="94">
        <f>IF($A2428="",0,IF(AE2428="직접",IF(AF2428="수금비",$P2428,0),$P2428*(1-AG2428)*IFERROR(INDEX(계정대체기준!$E$20:$E$49,MATCH($N2428,계정대체기준!$A$20:$A$49,0)),0)))</f>
        <v/>
      </c>
      <c r="AC2428" s="9">
        <f>IF(AND($A2428&lt;&gt;"",M2428=설정!$C$20,Z2428&gt;0),Z2428+ROW()/1000000000,"")</f>
        <v/>
      </c>
      <c r="AD2428" s="94">
        <f>IF($A2428="",0,$P2428*AG2428)</f>
        <v/>
      </c>
      <c r="AE2428" s="64">
        <f>IF($A2428="","",IFERROR(INDEX(계정매핑!$E$5:$E$504,MATCH($F2428&amp;"",계정매핑!$A$5:$A$504,0))&amp;"","공통비"))</f>
        <v/>
      </c>
      <c r="AF2428" s="64">
        <f>IF($A2428="","",IF(AE2428="직접",IFERROR(INDEX(계정매핑!$F$5:$F$504,MATCH($F2428&amp;"",계정매핑!$A$5:$A$504,0))&amp;"","비귀속"),""))</f>
        <v/>
      </c>
      <c r="AG2428" s="96">
        <f>IF($A2428="",0,IF(AND(AE2428&lt;&gt;"직접",IFERROR(INDEX(계정매핑!$G$5:$G$504,MATCH($F2428&amp;"",계정매핑!$A$5:$A$504,0))&amp;"","")="유지비",COUNTIF(계정대체기준!$A$6:$A$15,$N2428)&gt;0),IFERROR(INDEX(계정대체기준!$E$6:$E$15,MATCH(VALUE($A2428&amp;""),계정대체기준!$D$6:$D$15,0)),0),0))</f>
        <v/>
      </c>
      <c r="AH2428" s="64">
        <f>IF($A2428="","",IF(AD2428=0,"",IF(OR(COUNTIF(계정대체기준!$A$77:$A$86,$N2428)&gt;0,ISNUMBER(MATCH($X2428,계정대체기준!$D$77:$D$86,0)),ISNUMBER(MATCH($F2428,계정대체기준!$D$77:$D$86,0))),"Y","N")))</f>
        <v/>
      </c>
    </row>
    <row r="2429">
      <c r="A2429" s="92" t="n">
        <v>2025</v>
      </c>
      <c r="B2429" s="92" t="n">
        <v>11</v>
      </c>
      <c r="C2429" s="92" t="inlineStr">
        <is>
          <t>5100002425</t>
        </is>
      </c>
      <c r="D2429" s="95" t="n">
        <v>45981</v>
      </c>
      <c r="E2429" s="92" t="inlineStr">
        <is>
          <t>KR</t>
        </is>
      </c>
      <c r="F2429" s="92" t="n">
        <v>62101000</v>
      </c>
      <c r="G2429" s="92" t="n">
        <v>1801</v>
      </c>
      <c r="H2429" s="93" t="n">
        <v>181000</v>
      </c>
      <c r="I2429" s="92" t="inlineStr">
        <is>
          <t>11월 국내출장 - L여행사</t>
        </is>
      </c>
      <c r="J2429" s="92" t="inlineStr">
        <is>
          <t>V10018</t>
        </is>
      </c>
      <c r="K2429" s="92" t="inlineStr">
        <is>
          <t>L여행사</t>
        </is>
      </c>
      <c r="M2429" s="9">
        <f>IF($A2429="","",VALUE($A2429&amp;"")*12+VALUE($B2429&amp;""))</f>
        <v/>
      </c>
      <c r="N2429" s="64">
        <f>IF($A2429="","",IFERROR(INDEX(부서매핑!$C$5:$C$504,MATCH($G2429&amp;"",부서매핑!$A$5:$A$504,0)),"미매핑"))</f>
        <v/>
      </c>
      <c r="O2429" s="9">
        <f>IF($A2429="","",N2429&amp;"|"&amp;$F2429)</f>
        <v/>
      </c>
      <c r="P2429" s="94">
        <f>IF($A2429="",0,$H2429*설정!$C$23)</f>
        <v/>
      </c>
      <c r="Q2429" s="64">
        <f>IF($A2429="","",IF(O2429&lt;&gt;원인분석!$C$9,"",IF(AND(M2429&gt;=원인분석!$C$10,M2429&lt;=원인분석!$C$11),"당기",IF(AND(M2429&gt;=원인분석!$C$12,M2429&lt;=원인분석!$C$13),"비교",""))))</f>
        <v/>
      </c>
      <c r="R2429" s="9">
        <f>IF(Q2429="","",$K2429&amp;"")</f>
        <v/>
      </c>
      <c r="S2429" s="9">
        <f>IF(Q2429="","",IF(MATCH(R2429,$R$5:$R$100000,0)=ROW()-4,ROW(),""))</f>
        <v/>
      </c>
      <c r="T2429" s="9">
        <f>IF(Q2429="당기",ABS(P2429)+ROW()/1000000000,"")</f>
        <v/>
      </c>
      <c r="U2429" s="9">
        <f>IF(Q2429="비교",ABS(P2429)+ROW()/1000000000,"")</f>
        <v/>
      </c>
      <c r="V2429" s="64">
        <f>IF($A2429="","",IF(COUNTIF(변동분석!$E$7:$E$506,O2429)&gt;0,"Y","N"))</f>
        <v/>
      </c>
      <c r="W2429" s="64">
        <f>IF($A2429="","",IFERROR(INDEX(계정매핑!$D$5:$D$504,MATCH($F2429&amp;"",계정매핑!$A$5:$A$504,0)),"미매핑"))</f>
        <v/>
      </c>
      <c r="X2429" s="9">
        <f>IF($A2429="","",$F2429&amp;"")</f>
        <v/>
      </c>
      <c r="Y2429" s="94">
        <f>IF($A2429="",0,IF(AE2429="직접",IF(AF2429="비귀속",$P2429,0),$P2429*(1-AG2429)*IFERROR(INDEX(계정대체기준!$F$20:$F$49,MATCH($N2429,계정대체기준!$A$20:$A$49,0)),1)))</f>
        <v/>
      </c>
      <c r="Z2429" s="94">
        <f>IF($A2429="",0,IF(AE2429="직접",IF(AF2429="신계약비",$P2429,0),$P2429*(1-AG2429)*IFERROR(INDEX(계정대체기준!$C$20:$C$49,MATCH($N2429,계정대체기준!$A$20:$A$49,0)),0)))</f>
        <v/>
      </c>
      <c r="AA2429" s="94">
        <f>IF($A2429="",0,IF(AE2429="직접",IF(OR(AF2429="유지비",AF2429="손해조사비"),$P2429,0),$P2429*(1-AG2429)*IFERROR(INDEX(계정대체기준!$D$20:$D$49,MATCH($N2429,계정대체기준!$A$20:$A$49,0)),0)))</f>
        <v/>
      </c>
      <c r="AB2429" s="94">
        <f>IF($A2429="",0,IF(AE2429="직접",IF(AF2429="수금비",$P2429,0),$P2429*(1-AG2429)*IFERROR(INDEX(계정대체기준!$E$20:$E$49,MATCH($N2429,계정대체기준!$A$20:$A$49,0)),0)))</f>
        <v/>
      </c>
      <c r="AC2429" s="9">
        <f>IF(AND($A2429&lt;&gt;"",M2429=설정!$C$20,Z2429&gt;0),Z2429+ROW()/1000000000,"")</f>
        <v/>
      </c>
      <c r="AD2429" s="94">
        <f>IF($A2429="",0,$P2429*AG2429)</f>
        <v/>
      </c>
      <c r="AE2429" s="64">
        <f>IF($A2429="","",IFERROR(INDEX(계정매핑!$E$5:$E$504,MATCH($F2429&amp;"",계정매핑!$A$5:$A$504,0))&amp;"","공통비"))</f>
        <v/>
      </c>
      <c r="AF2429" s="64">
        <f>IF($A2429="","",IF(AE2429="직접",IFERROR(INDEX(계정매핑!$F$5:$F$504,MATCH($F2429&amp;"",계정매핑!$A$5:$A$504,0))&amp;"","비귀속"),""))</f>
        <v/>
      </c>
      <c r="AG2429" s="96">
        <f>IF($A2429="",0,IF(AND(AE2429&lt;&gt;"직접",IFERROR(INDEX(계정매핑!$G$5:$G$504,MATCH($F2429&amp;"",계정매핑!$A$5:$A$504,0))&amp;"","")="유지비",COUNTIF(계정대체기준!$A$6:$A$15,$N2429)&gt;0),IFERROR(INDEX(계정대체기준!$E$6:$E$15,MATCH(VALUE($A2429&amp;""),계정대체기준!$D$6:$D$15,0)),0),0))</f>
        <v/>
      </c>
      <c r="AH2429" s="64">
        <f>IF($A2429="","",IF(AD2429=0,"",IF(OR(COUNTIF(계정대체기준!$A$77:$A$86,$N2429)&gt;0,ISNUMBER(MATCH($X2429,계정대체기준!$D$77:$D$86,0)),ISNUMBER(MATCH($F2429,계정대체기준!$D$77:$D$86,0))),"Y","N")))</f>
        <v/>
      </c>
    </row>
    <row r="2430">
      <c r="A2430" s="92" t="n">
        <v>2025</v>
      </c>
      <c r="B2430" s="92" t="n">
        <v>11</v>
      </c>
      <c r="C2430" s="92" t="inlineStr">
        <is>
          <t>5100002426</t>
        </is>
      </c>
      <c r="D2430" s="95" t="n">
        <v>45981</v>
      </c>
      <c r="E2430" s="92" t="inlineStr">
        <is>
          <t>KR</t>
        </is>
      </c>
      <c r="F2430" s="92" t="n">
        <v>62101000</v>
      </c>
      <c r="G2430" s="92" t="n">
        <v>1951</v>
      </c>
      <c r="H2430" s="93" t="n">
        <v>325000</v>
      </c>
      <c r="I2430" s="92" t="inlineStr">
        <is>
          <t>11월 국내출장 - L여행사</t>
        </is>
      </c>
      <c r="J2430" s="92" t="inlineStr">
        <is>
          <t>V10018</t>
        </is>
      </c>
      <c r="K2430" s="92" t="inlineStr">
        <is>
          <t>L여행사</t>
        </is>
      </c>
      <c r="M2430" s="9">
        <f>IF($A2430="","",VALUE($A2430&amp;"")*12+VALUE($B2430&amp;""))</f>
        <v/>
      </c>
      <c r="N2430" s="64">
        <f>IF($A2430="","",IFERROR(INDEX(부서매핑!$C$5:$C$504,MATCH($G2430&amp;"",부서매핑!$A$5:$A$504,0)),"미매핑"))</f>
        <v/>
      </c>
      <c r="O2430" s="9">
        <f>IF($A2430="","",N2430&amp;"|"&amp;$F2430)</f>
        <v/>
      </c>
      <c r="P2430" s="94">
        <f>IF($A2430="",0,$H2430*설정!$C$23)</f>
        <v/>
      </c>
      <c r="Q2430" s="64">
        <f>IF($A2430="","",IF(O2430&lt;&gt;원인분석!$C$9,"",IF(AND(M2430&gt;=원인분석!$C$10,M2430&lt;=원인분석!$C$11),"당기",IF(AND(M2430&gt;=원인분석!$C$12,M2430&lt;=원인분석!$C$13),"비교",""))))</f>
        <v/>
      </c>
      <c r="R2430" s="9">
        <f>IF(Q2430="","",$K2430&amp;"")</f>
        <v/>
      </c>
      <c r="S2430" s="9">
        <f>IF(Q2430="","",IF(MATCH(R2430,$R$5:$R$100000,0)=ROW()-4,ROW(),""))</f>
        <v/>
      </c>
      <c r="T2430" s="9">
        <f>IF(Q2430="당기",ABS(P2430)+ROW()/1000000000,"")</f>
        <v/>
      </c>
      <c r="U2430" s="9">
        <f>IF(Q2430="비교",ABS(P2430)+ROW()/1000000000,"")</f>
        <v/>
      </c>
      <c r="V2430" s="64">
        <f>IF($A2430="","",IF(COUNTIF(변동분석!$E$7:$E$506,O2430)&gt;0,"Y","N"))</f>
        <v/>
      </c>
      <c r="W2430" s="64">
        <f>IF($A2430="","",IFERROR(INDEX(계정매핑!$D$5:$D$504,MATCH($F2430&amp;"",계정매핑!$A$5:$A$504,0)),"미매핑"))</f>
        <v/>
      </c>
      <c r="X2430" s="9">
        <f>IF($A2430="","",$F2430&amp;"")</f>
        <v/>
      </c>
      <c r="Y2430" s="94">
        <f>IF($A2430="",0,IF(AE2430="직접",IF(AF2430="비귀속",$P2430,0),$P2430*(1-AG2430)*IFERROR(INDEX(계정대체기준!$F$20:$F$49,MATCH($N2430,계정대체기준!$A$20:$A$49,0)),1)))</f>
        <v/>
      </c>
      <c r="Z2430" s="94">
        <f>IF($A2430="",0,IF(AE2430="직접",IF(AF2430="신계약비",$P2430,0),$P2430*(1-AG2430)*IFERROR(INDEX(계정대체기준!$C$20:$C$49,MATCH($N2430,계정대체기준!$A$20:$A$49,0)),0)))</f>
        <v/>
      </c>
      <c r="AA2430" s="94">
        <f>IF($A2430="",0,IF(AE2430="직접",IF(OR(AF2430="유지비",AF2430="손해조사비"),$P2430,0),$P2430*(1-AG2430)*IFERROR(INDEX(계정대체기준!$D$20:$D$49,MATCH($N2430,계정대체기준!$A$20:$A$49,0)),0)))</f>
        <v/>
      </c>
      <c r="AB2430" s="94">
        <f>IF($A2430="",0,IF(AE2430="직접",IF(AF2430="수금비",$P2430,0),$P2430*(1-AG2430)*IFERROR(INDEX(계정대체기준!$E$20:$E$49,MATCH($N2430,계정대체기준!$A$20:$A$49,0)),0)))</f>
        <v/>
      </c>
      <c r="AC2430" s="9">
        <f>IF(AND($A2430&lt;&gt;"",M2430=설정!$C$20,Z2430&gt;0),Z2430+ROW()/1000000000,"")</f>
        <v/>
      </c>
      <c r="AD2430" s="94">
        <f>IF($A2430="",0,$P2430*AG2430)</f>
        <v/>
      </c>
      <c r="AE2430" s="64">
        <f>IF($A2430="","",IFERROR(INDEX(계정매핑!$E$5:$E$504,MATCH($F2430&amp;"",계정매핑!$A$5:$A$504,0))&amp;"","공통비"))</f>
        <v/>
      </c>
      <c r="AF2430" s="64">
        <f>IF($A2430="","",IF(AE2430="직접",IFERROR(INDEX(계정매핑!$F$5:$F$504,MATCH($F2430&amp;"",계정매핑!$A$5:$A$504,0))&amp;"","비귀속"),""))</f>
        <v/>
      </c>
      <c r="AG2430" s="96">
        <f>IF($A2430="",0,IF(AND(AE2430&lt;&gt;"직접",IFERROR(INDEX(계정매핑!$G$5:$G$504,MATCH($F2430&amp;"",계정매핑!$A$5:$A$504,0))&amp;"","")="유지비",COUNTIF(계정대체기준!$A$6:$A$15,$N2430)&gt;0),IFERROR(INDEX(계정대체기준!$E$6:$E$15,MATCH(VALUE($A2430&amp;""),계정대체기준!$D$6:$D$15,0)),0),0))</f>
        <v/>
      </c>
      <c r="AH2430" s="64">
        <f>IF($A2430="","",IF(AD2430=0,"",IF(OR(COUNTIF(계정대체기준!$A$77:$A$86,$N2430)&gt;0,ISNUMBER(MATCH($X2430,계정대체기준!$D$77:$D$86,0)),ISNUMBER(MATCH($F2430,계정대체기준!$D$77:$D$86,0))),"Y","N")))</f>
        <v/>
      </c>
    </row>
    <row r="2431">
      <c r="A2431" s="92" t="n">
        <v>2025</v>
      </c>
      <c r="B2431" s="92" t="n">
        <v>11</v>
      </c>
      <c r="C2431" s="92" t="inlineStr">
        <is>
          <t>5100002427</t>
        </is>
      </c>
      <c r="D2431" s="95" t="n">
        <v>45981</v>
      </c>
      <c r="E2431" s="92" t="inlineStr">
        <is>
          <t>KR</t>
        </is>
      </c>
      <c r="F2431" s="92" t="n">
        <v>62102000</v>
      </c>
      <c r="G2431" s="92" t="n">
        <v>1201</v>
      </c>
      <c r="H2431" s="93" t="n">
        <v>57000</v>
      </c>
      <c r="I2431" s="92" t="inlineStr">
        <is>
          <t>11월 해외출장 - N호텔</t>
        </is>
      </c>
      <c r="J2431" s="92" t="inlineStr">
        <is>
          <t>V10009</t>
        </is>
      </c>
      <c r="K2431" s="92" t="inlineStr">
        <is>
          <t>N호텔</t>
        </is>
      </c>
      <c r="M2431" s="9">
        <f>IF($A2431="","",VALUE($A2431&amp;"")*12+VALUE($B2431&amp;""))</f>
        <v/>
      </c>
      <c r="N2431" s="64">
        <f>IF($A2431="","",IFERROR(INDEX(부서매핑!$C$5:$C$504,MATCH($G2431&amp;"",부서매핑!$A$5:$A$504,0)),"미매핑"))</f>
        <v/>
      </c>
      <c r="O2431" s="9">
        <f>IF($A2431="","",N2431&amp;"|"&amp;$F2431)</f>
        <v/>
      </c>
      <c r="P2431" s="94">
        <f>IF($A2431="",0,$H2431*설정!$C$23)</f>
        <v/>
      </c>
      <c r="Q2431" s="64">
        <f>IF($A2431="","",IF(O2431&lt;&gt;원인분석!$C$9,"",IF(AND(M2431&gt;=원인분석!$C$10,M2431&lt;=원인분석!$C$11),"당기",IF(AND(M2431&gt;=원인분석!$C$12,M2431&lt;=원인분석!$C$13),"비교",""))))</f>
        <v/>
      </c>
      <c r="R2431" s="9">
        <f>IF(Q2431="","",$K2431&amp;"")</f>
        <v/>
      </c>
      <c r="S2431" s="9">
        <f>IF(Q2431="","",IF(MATCH(R2431,$R$5:$R$100000,0)=ROW()-4,ROW(),""))</f>
        <v/>
      </c>
      <c r="T2431" s="9">
        <f>IF(Q2431="당기",ABS(P2431)+ROW()/1000000000,"")</f>
        <v/>
      </c>
      <c r="U2431" s="9">
        <f>IF(Q2431="비교",ABS(P2431)+ROW()/1000000000,"")</f>
        <v/>
      </c>
      <c r="V2431" s="64">
        <f>IF($A2431="","",IF(COUNTIF(변동분석!$E$7:$E$506,O2431)&gt;0,"Y","N"))</f>
        <v/>
      </c>
      <c r="W2431" s="64">
        <f>IF($A2431="","",IFERROR(INDEX(계정매핑!$D$5:$D$504,MATCH($F2431&amp;"",계정매핑!$A$5:$A$504,0)),"미매핑"))</f>
        <v/>
      </c>
      <c r="X2431" s="9">
        <f>IF($A2431="","",$F2431&amp;"")</f>
        <v/>
      </c>
      <c r="Y2431" s="94">
        <f>IF($A2431="",0,IF(AE2431="직접",IF(AF2431="비귀속",$P2431,0),$P2431*(1-AG2431)*IFERROR(INDEX(계정대체기준!$F$20:$F$49,MATCH($N2431,계정대체기준!$A$20:$A$49,0)),1)))</f>
        <v/>
      </c>
      <c r="Z2431" s="94">
        <f>IF($A2431="",0,IF(AE2431="직접",IF(AF2431="신계약비",$P2431,0),$P2431*(1-AG2431)*IFERROR(INDEX(계정대체기준!$C$20:$C$49,MATCH($N2431,계정대체기준!$A$20:$A$49,0)),0)))</f>
        <v/>
      </c>
      <c r="AA2431" s="94">
        <f>IF($A2431="",0,IF(AE2431="직접",IF(OR(AF2431="유지비",AF2431="손해조사비"),$P2431,0),$P2431*(1-AG2431)*IFERROR(INDEX(계정대체기준!$D$20:$D$49,MATCH($N2431,계정대체기준!$A$20:$A$49,0)),0)))</f>
        <v/>
      </c>
      <c r="AB2431" s="94">
        <f>IF($A2431="",0,IF(AE2431="직접",IF(AF2431="수금비",$P2431,0),$P2431*(1-AG2431)*IFERROR(INDEX(계정대체기준!$E$20:$E$49,MATCH($N2431,계정대체기준!$A$20:$A$49,0)),0)))</f>
        <v/>
      </c>
      <c r="AC2431" s="9">
        <f>IF(AND($A2431&lt;&gt;"",M2431=설정!$C$20,Z2431&gt;0),Z2431+ROW()/1000000000,"")</f>
        <v/>
      </c>
      <c r="AD2431" s="94">
        <f>IF($A2431="",0,$P2431*AG2431)</f>
        <v/>
      </c>
      <c r="AE2431" s="64">
        <f>IF($A2431="","",IFERROR(INDEX(계정매핑!$E$5:$E$504,MATCH($F2431&amp;"",계정매핑!$A$5:$A$504,0))&amp;"","공통비"))</f>
        <v/>
      </c>
      <c r="AF2431" s="64">
        <f>IF($A2431="","",IF(AE2431="직접",IFERROR(INDEX(계정매핑!$F$5:$F$504,MATCH($F2431&amp;"",계정매핑!$A$5:$A$504,0))&amp;"","비귀속"),""))</f>
        <v/>
      </c>
      <c r="AG2431" s="96">
        <f>IF($A2431="",0,IF(AND(AE2431&lt;&gt;"직접",IFERROR(INDEX(계정매핑!$G$5:$G$504,MATCH($F2431&amp;"",계정매핑!$A$5:$A$504,0))&amp;"","")="유지비",COUNTIF(계정대체기준!$A$6:$A$15,$N2431)&gt;0),IFERROR(INDEX(계정대체기준!$E$6:$E$15,MATCH(VALUE($A2431&amp;""),계정대체기준!$D$6:$D$15,0)),0),0))</f>
        <v/>
      </c>
      <c r="AH2431" s="64">
        <f>IF($A2431="","",IF(AD2431=0,"",IF(OR(COUNTIF(계정대체기준!$A$77:$A$86,$N2431)&gt;0,ISNUMBER(MATCH($X2431,계정대체기준!$D$77:$D$86,0)),ISNUMBER(MATCH($F2431,계정대체기준!$D$77:$D$86,0))),"Y","N")))</f>
        <v/>
      </c>
    </row>
    <row r="2432">
      <c r="A2432" s="92" t="n">
        <v>2025</v>
      </c>
      <c r="B2432" s="92" t="n">
        <v>11</v>
      </c>
      <c r="C2432" s="92" t="inlineStr">
        <is>
          <t>5100002428</t>
        </is>
      </c>
      <c r="D2432" s="95" t="n">
        <v>45981</v>
      </c>
      <c r="E2432" s="92" t="inlineStr">
        <is>
          <t>KR</t>
        </is>
      </c>
      <c r="F2432" s="92" t="n">
        <v>62102000</v>
      </c>
      <c r="G2432" s="92" t="n">
        <v>1401</v>
      </c>
      <c r="H2432" s="93" t="n">
        <v>81000</v>
      </c>
      <c r="I2432" s="92" t="inlineStr">
        <is>
          <t>11월 해외출장 - M항공</t>
        </is>
      </c>
      <c r="J2432" s="92" t="inlineStr">
        <is>
          <t>V10001</t>
        </is>
      </c>
      <c r="K2432" s="92" t="inlineStr">
        <is>
          <t>M항공</t>
        </is>
      </c>
      <c r="M2432" s="9">
        <f>IF($A2432="","",VALUE($A2432&amp;"")*12+VALUE($B2432&amp;""))</f>
        <v/>
      </c>
      <c r="N2432" s="64">
        <f>IF($A2432="","",IFERROR(INDEX(부서매핑!$C$5:$C$504,MATCH($G2432&amp;"",부서매핑!$A$5:$A$504,0)),"미매핑"))</f>
        <v/>
      </c>
      <c r="O2432" s="9">
        <f>IF($A2432="","",N2432&amp;"|"&amp;$F2432)</f>
        <v/>
      </c>
      <c r="P2432" s="94">
        <f>IF($A2432="",0,$H2432*설정!$C$23)</f>
        <v/>
      </c>
      <c r="Q2432" s="64">
        <f>IF($A2432="","",IF(O2432&lt;&gt;원인분석!$C$9,"",IF(AND(M2432&gt;=원인분석!$C$10,M2432&lt;=원인분석!$C$11),"당기",IF(AND(M2432&gt;=원인분석!$C$12,M2432&lt;=원인분석!$C$13),"비교",""))))</f>
        <v/>
      </c>
      <c r="R2432" s="9">
        <f>IF(Q2432="","",$K2432&amp;"")</f>
        <v/>
      </c>
      <c r="S2432" s="9">
        <f>IF(Q2432="","",IF(MATCH(R2432,$R$5:$R$100000,0)=ROW()-4,ROW(),""))</f>
        <v/>
      </c>
      <c r="T2432" s="9">
        <f>IF(Q2432="당기",ABS(P2432)+ROW()/1000000000,"")</f>
        <v/>
      </c>
      <c r="U2432" s="9">
        <f>IF(Q2432="비교",ABS(P2432)+ROW()/1000000000,"")</f>
        <v/>
      </c>
      <c r="V2432" s="64">
        <f>IF($A2432="","",IF(COUNTIF(변동분석!$E$7:$E$506,O2432)&gt;0,"Y","N"))</f>
        <v/>
      </c>
      <c r="W2432" s="64">
        <f>IF($A2432="","",IFERROR(INDEX(계정매핑!$D$5:$D$504,MATCH($F2432&amp;"",계정매핑!$A$5:$A$504,0)),"미매핑"))</f>
        <v/>
      </c>
      <c r="X2432" s="9">
        <f>IF($A2432="","",$F2432&amp;"")</f>
        <v/>
      </c>
      <c r="Y2432" s="94">
        <f>IF($A2432="",0,IF(AE2432="직접",IF(AF2432="비귀속",$P2432,0),$P2432*(1-AG2432)*IFERROR(INDEX(계정대체기준!$F$20:$F$49,MATCH($N2432,계정대체기준!$A$20:$A$49,0)),1)))</f>
        <v/>
      </c>
      <c r="Z2432" s="94">
        <f>IF($A2432="",0,IF(AE2432="직접",IF(AF2432="신계약비",$P2432,0),$P2432*(1-AG2432)*IFERROR(INDEX(계정대체기준!$C$20:$C$49,MATCH($N2432,계정대체기준!$A$20:$A$49,0)),0)))</f>
        <v/>
      </c>
      <c r="AA2432" s="94">
        <f>IF($A2432="",0,IF(AE2432="직접",IF(OR(AF2432="유지비",AF2432="손해조사비"),$P2432,0),$P2432*(1-AG2432)*IFERROR(INDEX(계정대체기준!$D$20:$D$49,MATCH($N2432,계정대체기준!$A$20:$A$49,0)),0)))</f>
        <v/>
      </c>
      <c r="AB2432" s="94">
        <f>IF($A2432="",0,IF(AE2432="직접",IF(AF2432="수금비",$P2432,0),$P2432*(1-AG2432)*IFERROR(INDEX(계정대체기준!$E$20:$E$49,MATCH($N2432,계정대체기준!$A$20:$A$49,0)),0)))</f>
        <v/>
      </c>
      <c r="AC2432" s="9">
        <f>IF(AND($A2432&lt;&gt;"",M2432=설정!$C$20,Z2432&gt;0),Z2432+ROW()/1000000000,"")</f>
        <v/>
      </c>
      <c r="AD2432" s="94">
        <f>IF($A2432="",0,$P2432*AG2432)</f>
        <v/>
      </c>
      <c r="AE2432" s="64">
        <f>IF($A2432="","",IFERROR(INDEX(계정매핑!$E$5:$E$504,MATCH($F2432&amp;"",계정매핑!$A$5:$A$504,0))&amp;"","공통비"))</f>
        <v/>
      </c>
      <c r="AF2432" s="64">
        <f>IF($A2432="","",IF(AE2432="직접",IFERROR(INDEX(계정매핑!$F$5:$F$504,MATCH($F2432&amp;"",계정매핑!$A$5:$A$504,0))&amp;"","비귀속"),""))</f>
        <v/>
      </c>
      <c r="AG2432" s="96">
        <f>IF($A2432="",0,IF(AND(AE2432&lt;&gt;"직접",IFERROR(INDEX(계정매핑!$G$5:$G$504,MATCH($F2432&amp;"",계정매핑!$A$5:$A$504,0))&amp;"","")="유지비",COUNTIF(계정대체기준!$A$6:$A$15,$N2432)&gt;0),IFERROR(INDEX(계정대체기준!$E$6:$E$15,MATCH(VALUE($A2432&amp;""),계정대체기준!$D$6:$D$15,0)),0),0))</f>
        <v/>
      </c>
      <c r="AH2432" s="64">
        <f>IF($A2432="","",IF(AD2432=0,"",IF(OR(COUNTIF(계정대체기준!$A$77:$A$86,$N2432)&gt;0,ISNUMBER(MATCH($X2432,계정대체기준!$D$77:$D$86,0)),ISNUMBER(MATCH($F2432,계정대체기준!$D$77:$D$86,0))),"Y","N")))</f>
        <v/>
      </c>
    </row>
    <row r="2433">
      <c r="A2433" s="92" t="n">
        <v>2025</v>
      </c>
      <c r="B2433" s="92" t="n">
        <v>11</v>
      </c>
      <c r="C2433" s="92" t="inlineStr">
        <is>
          <t>5100002429</t>
        </is>
      </c>
      <c r="D2433" s="95" t="n">
        <v>45981</v>
      </c>
      <c r="E2433" s="92" t="inlineStr">
        <is>
          <t>KR</t>
        </is>
      </c>
      <c r="F2433" s="92" t="n">
        <v>62201000</v>
      </c>
      <c r="G2433" s="92" t="n">
        <v>1601</v>
      </c>
      <c r="H2433" s="93" t="n">
        <v>805000</v>
      </c>
      <c r="I2433" s="92" t="inlineStr">
        <is>
          <t>11월 통신요금 - O텔레콤</t>
        </is>
      </c>
      <c r="J2433" s="92" t="inlineStr">
        <is>
          <t>V10002</t>
        </is>
      </c>
      <c r="K2433" s="92" t="inlineStr">
        <is>
          <t>O텔레콤</t>
        </is>
      </c>
      <c r="M2433" s="9">
        <f>IF($A2433="","",VALUE($A2433&amp;"")*12+VALUE($B2433&amp;""))</f>
        <v/>
      </c>
      <c r="N2433" s="64">
        <f>IF($A2433="","",IFERROR(INDEX(부서매핑!$C$5:$C$504,MATCH($G2433&amp;"",부서매핑!$A$5:$A$504,0)),"미매핑"))</f>
        <v/>
      </c>
      <c r="O2433" s="9">
        <f>IF($A2433="","",N2433&amp;"|"&amp;$F2433)</f>
        <v/>
      </c>
      <c r="P2433" s="94">
        <f>IF($A2433="",0,$H2433*설정!$C$23)</f>
        <v/>
      </c>
      <c r="Q2433" s="64">
        <f>IF($A2433="","",IF(O2433&lt;&gt;원인분석!$C$9,"",IF(AND(M2433&gt;=원인분석!$C$10,M2433&lt;=원인분석!$C$11),"당기",IF(AND(M2433&gt;=원인분석!$C$12,M2433&lt;=원인분석!$C$13),"비교",""))))</f>
        <v/>
      </c>
      <c r="R2433" s="9">
        <f>IF(Q2433="","",$K2433&amp;"")</f>
        <v/>
      </c>
      <c r="S2433" s="9">
        <f>IF(Q2433="","",IF(MATCH(R2433,$R$5:$R$100000,0)=ROW()-4,ROW(),""))</f>
        <v/>
      </c>
      <c r="T2433" s="9">
        <f>IF(Q2433="당기",ABS(P2433)+ROW()/1000000000,"")</f>
        <v/>
      </c>
      <c r="U2433" s="9">
        <f>IF(Q2433="비교",ABS(P2433)+ROW()/1000000000,"")</f>
        <v/>
      </c>
      <c r="V2433" s="64">
        <f>IF($A2433="","",IF(COUNTIF(변동분석!$E$7:$E$506,O2433)&gt;0,"Y","N"))</f>
        <v/>
      </c>
      <c r="W2433" s="64">
        <f>IF($A2433="","",IFERROR(INDEX(계정매핑!$D$5:$D$504,MATCH($F2433&amp;"",계정매핑!$A$5:$A$504,0)),"미매핑"))</f>
        <v/>
      </c>
      <c r="X2433" s="9">
        <f>IF($A2433="","",$F2433&amp;"")</f>
        <v/>
      </c>
      <c r="Y2433" s="94">
        <f>IF($A2433="",0,IF(AE2433="직접",IF(AF2433="비귀속",$P2433,0),$P2433*(1-AG2433)*IFERROR(INDEX(계정대체기준!$F$20:$F$49,MATCH($N2433,계정대체기준!$A$20:$A$49,0)),1)))</f>
        <v/>
      </c>
      <c r="Z2433" s="94">
        <f>IF($A2433="",0,IF(AE2433="직접",IF(AF2433="신계약비",$P2433,0),$P2433*(1-AG2433)*IFERROR(INDEX(계정대체기준!$C$20:$C$49,MATCH($N2433,계정대체기준!$A$20:$A$49,0)),0)))</f>
        <v/>
      </c>
      <c r="AA2433" s="94">
        <f>IF($A2433="",0,IF(AE2433="직접",IF(OR(AF2433="유지비",AF2433="손해조사비"),$P2433,0),$P2433*(1-AG2433)*IFERROR(INDEX(계정대체기준!$D$20:$D$49,MATCH($N2433,계정대체기준!$A$20:$A$49,0)),0)))</f>
        <v/>
      </c>
      <c r="AB2433" s="94">
        <f>IF($A2433="",0,IF(AE2433="직접",IF(AF2433="수금비",$P2433,0),$P2433*(1-AG2433)*IFERROR(INDEX(계정대체기준!$E$20:$E$49,MATCH($N2433,계정대체기준!$A$20:$A$49,0)),0)))</f>
        <v/>
      </c>
      <c r="AC2433" s="9">
        <f>IF(AND($A2433&lt;&gt;"",M2433=설정!$C$20,Z2433&gt;0),Z2433+ROW()/1000000000,"")</f>
        <v/>
      </c>
      <c r="AD2433" s="94">
        <f>IF($A2433="",0,$P2433*AG2433)</f>
        <v/>
      </c>
      <c r="AE2433" s="64">
        <f>IF($A2433="","",IFERROR(INDEX(계정매핑!$E$5:$E$504,MATCH($F2433&amp;"",계정매핑!$A$5:$A$504,0))&amp;"","공통비"))</f>
        <v/>
      </c>
      <c r="AF2433" s="64">
        <f>IF($A2433="","",IF(AE2433="직접",IFERROR(INDEX(계정매핑!$F$5:$F$504,MATCH($F2433&amp;"",계정매핑!$A$5:$A$504,0))&amp;"","비귀속"),""))</f>
        <v/>
      </c>
      <c r="AG2433" s="96">
        <f>IF($A2433="",0,IF(AND(AE2433&lt;&gt;"직접",IFERROR(INDEX(계정매핑!$G$5:$G$504,MATCH($F2433&amp;"",계정매핑!$A$5:$A$504,0))&amp;"","")="유지비",COUNTIF(계정대체기준!$A$6:$A$15,$N2433)&gt;0),IFERROR(INDEX(계정대체기준!$E$6:$E$15,MATCH(VALUE($A2433&amp;""),계정대체기준!$D$6:$D$15,0)),0),0))</f>
        <v/>
      </c>
      <c r="AH2433" s="64">
        <f>IF($A2433="","",IF(AD2433=0,"",IF(OR(COUNTIF(계정대체기준!$A$77:$A$86,$N2433)&gt;0,ISNUMBER(MATCH($X2433,계정대체기준!$D$77:$D$86,0)),ISNUMBER(MATCH($F2433,계정대체기준!$D$77:$D$86,0))),"Y","N")))</f>
        <v/>
      </c>
    </row>
    <row r="2434">
      <c r="A2434" s="92" t="n">
        <v>2025</v>
      </c>
      <c r="B2434" s="92" t="n">
        <v>11</v>
      </c>
      <c r="C2434" s="92" t="inlineStr">
        <is>
          <t>5100002430</t>
        </is>
      </c>
      <c r="D2434" s="95" t="n">
        <v>45981</v>
      </c>
      <c r="E2434" s="92" t="inlineStr">
        <is>
          <t>KR</t>
        </is>
      </c>
      <c r="F2434" s="92" t="n">
        <v>62301000</v>
      </c>
      <c r="G2434" s="92" t="n">
        <v>1801</v>
      </c>
      <c r="H2434" s="93" t="n">
        <v>431000</v>
      </c>
      <c r="I2434" s="92" t="inlineStr">
        <is>
          <t>11월 소모품 구입 - Q오피스</t>
        </is>
      </c>
      <c r="J2434" s="92" t="inlineStr">
        <is>
          <t>V10003</t>
        </is>
      </c>
      <c r="K2434" s="92" t="inlineStr">
        <is>
          <t>Q오피스</t>
        </is>
      </c>
      <c r="M2434" s="9">
        <f>IF($A2434="","",VALUE($A2434&amp;"")*12+VALUE($B2434&amp;""))</f>
        <v/>
      </c>
      <c r="N2434" s="64">
        <f>IF($A2434="","",IFERROR(INDEX(부서매핑!$C$5:$C$504,MATCH($G2434&amp;"",부서매핑!$A$5:$A$504,0)),"미매핑"))</f>
        <v/>
      </c>
      <c r="O2434" s="9">
        <f>IF($A2434="","",N2434&amp;"|"&amp;$F2434)</f>
        <v/>
      </c>
      <c r="P2434" s="94">
        <f>IF($A2434="",0,$H2434*설정!$C$23)</f>
        <v/>
      </c>
      <c r="Q2434" s="64">
        <f>IF($A2434="","",IF(O2434&lt;&gt;원인분석!$C$9,"",IF(AND(M2434&gt;=원인분석!$C$10,M2434&lt;=원인분석!$C$11),"당기",IF(AND(M2434&gt;=원인분석!$C$12,M2434&lt;=원인분석!$C$13),"비교",""))))</f>
        <v/>
      </c>
      <c r="R2434" s="9">
        <f>IF(Q2434="","",$K2434&amp;"")</f>
        <v/>
      </c>
      <c r="S2434" s="9">
        <f>IF(Q2434="","",IF(MATCH(R2434,$R$5:$R$100000,0)=ROW()-4,ROW(),""))</f>
        <v/>
      </c>
      <c r="T2434" s="9">
        <f>IF(Q2434="당기",ABS(P2434)+ROW()/1000000000,"")</f>
        <v/>
      </c>
      <c r="U2434" s="9">
        <f>IF(Q2434="비교",ABS(P2434)+ROW()/1000000000,"")</f>
        <v/>
      </c>
      <c r="V2434" s="64">
        <f>IF($A2434="","",IF(COUNTIF(변동분석!$E$7:$E$506,O2434)&gt;0,"Y","N"))</f>
        <v/>
      </c>
      <c r="W2434" s="64">
        <f>IF($A2434="","",IFERROR(INDEX(계정매핑!$D$5:$D$504,MATCH($F2434&amp;"",계정매핑!$A$5:$A$504,0)),"미매핑"))</f>
        <v/>
      </c>
      <c r="X2434" s="9">
        <f>IF($A2434="","",$F2434&amp;"")</f>
        <v/>
      </c>
      <c r="Y2434" s="94">
        <f>IF($A2434="",0,IF(AE2434="직접",IF(AF2434="비귀속",$P2434,0),$P2434*(1-AG2434)*IFERROR(INDEX(계정대체기준!$F$20:$F$49,MATCH($N2434,계정대체기준!$A$20:$A$49,0)),1)))</f>
        <v/>
      </c>
      <c r="Z2434" s="94">
        <f>IF($A2434="",0,IF(AE2434="직접",IF(AF2434="신계약비",$P2434,0),$P2434*(1-AG2434)*IFERROR(INDEX(계정대체기준!$C$20:$C$49,MATCH($N2434,계정대체기준!$A$20:$A$49,0)),0)))</f>
        <v/>
      </c>
      <c r="AA2434" s="94">
        <f>IF($A2434="",0,IF(AE2434="직접",IF(OR(AF2434="유지비",AF2434="손해조사비"),$P2434,0),$P2434*(1-AG2434)*IFERROR(INDEX(계정대체기준!$D$20:$D$49,MATCH($N2434,계정대체기준!$A$20:$A$49,0)),0)))</f>
        <v/>
      </c>
      <c r="AB2434" s="94">
        <f>IF($A2434="",0,IF(AE2434="직접",IF(AF2434="수금비",$P2434,0),$P2434*(1-AG2434)*IFERROR(INDEX(계정대체기준!$E$20:$E$49,MATCH($N2434,계정대체기준!$A$20:$A$49,0)),0)))</f>
        <v/>
      </c>
      <c r="AC2434" s="9">
        <f>IF(AND($A2434&lt;&gt;"",M2434=설정!$C$20,Z2434&gt;0),Z2434+ROW()/1000000000,"")</f>
        <v/>
      </c>
      <c r="AD2434" s="94">
        <f>IF($A2434="",0,$P2434*AG2434)</f>
        <v/>
      </c>
      <c r="AE2434" s="64">
        <f>IF($A2434="","",IFERROR(INDEX(계정매핑!$E$5:$E$504,MATCH($F2434&amp;"",계정매핑!$A$5:$A$504,0))&amp;"","공통비"))</f>
        <v/>
      </c>
      <c r="AF2434" s="64">
        <f>IF($A2434="","",IF(AE2434="직접",IFERROR(INDEX(계정매핑!$F$5:$F$504,MATCH($F2434&amp;"",계정매핑!$A$5:$A$504,0))&amp;"","비귀속"),""))</f>
        <v/>
      </c>
      <c r="AG2434" s="96">
        <f>IF($A2434="",0,IF(AND(AE2434&lt;&gt;"직접",IFERROR(INDEX(계정매핑!$G$5:$G$504,MATCH($F2434&amp;"",계정매핑!$A$5:$A$504,0))&amp;"","")="유지비",COUNTIF(계정대체기준!$A$6:$A$15,$N2434)&gt;0),IFERROR(INDEX(계정대체기준!$E$6:$E$15,MATCH(VALUE($A2434&amp;""),계정대체기준!$D$6:$D$15,0)),0),0))</f>
        <v/>
      </c>
      <c r="AH2434" s="64">
        <f>IF($A2434="","",IF(AD2434=0,"",IF(OR(COUNTIF(계정대체기준!$A$77:$A$86,$N2434)&gt;0,ISNUMBER(MATCH($X2434,계정대체기준!$D$77:$D$86,0)),ISNUMBER(MATCH($F2434,계정대체기준!$D$77:$D$86,0))),"Y","N")))</f>
        <v/>
      </c>
    </row>
    <row r="2435">
      <c r="A2435" s="92" t="n">
        <v>2025</v>
      </c>
      <c r="B2435" s="92" t="n">
        <v>11</v>
      </c>
      <c r="C2435" s="92" t="inlineStr">
        <is>
          <t>5100002431</t>
        </is>
      </c>
      <c r="D2435" s="95" t="n">
        <v>45981</v>
      </c>
      <c r="E2435" s="92" t="inlineStr">
        <is>
          <t>KR</t>
        </is>
      </c>
      <c r="F2435" s="92" t="n">
        <v>62401000</v>
      </c>
      <c r="G2435" s="92" t="n">
        <v>1801</v>
      </c>
      <c r="H2435" s="93" t="n">
        <v>2032000</v>
      </c>
      <c r="I2435" s="92" t="inlineStr">
        <is>
          <t>11월 인쇄물 제작 - S출판</t>
        </is>
      </c>
      <c r="J2435" s="92" t="inlineStr">
        <is>
          <t>V10015</t>
        </is>
      </c>
      <c r="K2435" s="92" t="inlineStr">
        <is>
          <t>S출판</t>
        </is>
      </c>
      <c r="M2435" s="9">
        <f>IF($A2435="","",VALUE($A2435&amp;"")*12+VALUE($B2435&amp;""))</f>
        <v/>
      </c>
      <c r="N2435" s="64">
        <f>IF($A2435="","",IFERROR(INDEX(부서매핑!$C$5:$C$504,MATCH($G2435&amp;"",부서매핑!$A$5:$A$504,0)),"미매핑"))</f>
        <v/>
      </c>
      <c r="O2435" s="9">
        <f>IF($A2435="","",N2435&amp;"|"&amp;$F2435)</f>
        <v/>
      </c>
      <c r="P2435" s="94">
        <f>IF($A2435="",0,$H2435*설정!$C$23)</f>
        <v/>
      </c>
      <c r="Q2435" s="64">
        <f>IF($A2435="","",IF(O2435&lt;&gt;원인분석!$C$9,"",IF(AND(M2435&gt;=원인분석!$C$10,M2435&lt;=원인분석!$C$11),"당기",IF(AND(M2435&gt;=원인분석!$C$12,M2435&lt;=원인분석!$C$13),"비교",""))))</f>
        <v/>
      </c>
      <c r="R2435" s="9">
        <f>IF(Q2435="","",$K2435&amp;"")</f>
        <v/>
      </c>
      <c r="S2435" s="9">
        <f>IF(Q2435="","",IF(MATCH(R2435,$R$5:$R$100000,0)=ROW()-4,ROW(),""))</f>
        <v/>
      </c>
      <c r="T2435" s="9">
        <f>IF(Q2435="당기",ABS(P2435)+ROW()/1000000000,"")</f>
        <v/>
      </c>
      <c r="U2435" s="9">
        <f>IF(Q2435="비교",ABS(P2435)+ROW()/1000000000,"")</f>
        <v/>
      </c>
      <c r="V2435" s="64">
        <f>IF($A2435="","",IF(COUNTIF(변동분석!$E$7:$E$506,O2435)&gt;0,"Y","N"))</f>
        <v/>
      </c>
      <c r="W2435" s="64">
        <f>IF($A2435="","",IFERROR(INDEX(계정매핑!$D$5:$D$504,MATCH($F2435&amp;"",계정매핑!$A$5:$A$504,0)),"미매핑"))</f>
        <v/>
      </c>
      <c r="X2435" s="9">
        <f>IF($A2435="","",$F2435&amp;"")</f>
        <v/>
      </c>
      <c r="Y2435" s="94">
        <f>IF($A2435="",0,IF(AE2435="직접",IF(AF2435="비귀속",$P2435,0),$P2435*(1-AG2435)*IFERROR(INDEX(계정대체기준!$F$20:$F$49,MATCH($N2435,계정대체기준!$A$20:$A$49,0)),1)))</f>
        <v/>
      </c>
      <c r="Z2435" s="94">
        <f>IF($A2435="",0,IF(AE2435="직접",IF(AF2435="신계약비",$P2435,0),$P2435*(1-AG2435)*IFERROR(INDEX(계정대체기준!$C$20:$C$49,MATCH($N2435,계정대체기준!$A$20:$A$49,0)),0)))</f>
        <v/>
      </c>
      <c r="AA2435" s="94">
        <f>IF($A2435="",0,IF(AE2435="직접",IF(OR(AF2435="유지비",AF2435="손해조사비"),$P2435,0),$P2435*(1-AG2435)*IFERROR(INDEX(계정대체기준!$D$20:$D$49,MATCH($N2435,계정대체기준!$A$20:$A$49,0)),0)))</f>
        <v/>
      </c>
      <c r="AB2435" s="94">
        <f>IF($A2435="",0,IF(AE2435="직접",IF(AF2435="수금비",$P2435,0),$P2435*(1-AG2435)*IFERROR(INDEX(계정대체기준!$E$20:$E$49,MATCH($N2435,계정대체기준!$A$20:$A$49,0)),0)))</f>
        <v/>
      </c>
      <c r="AC2435" s="9">
        <f>IF(AND($A2435&lt;&gt;"",M2435=설정!$C$20,Z2435&gt;0),Z2435+ROW()/1000000000,"")</f>
        <v/>
      </c>
      <c r="AD2435" s="94">
        <f>IF($A2435="",0,$P2435*AG2435)</f>
        <v/>
      </c>
      <c r="AE2435" s="64">
        <f>IF($A2435="","",IFERROR(INDEX(계정매핑!$E$5:$E$504,MATCH($F2435&amp;"",계정매핑!$A$5:$A$504,0))&amp;"","공통비"))</f>
        <v/>
      </c>
      <c r="AF2435" s="64">
        <f>IF($A2435="","",IF(AE2435="직접",IFERROR(INDEX(계정매핑!$F$5:$F$504,MATCH($F2435&amp;"",계정매핑!$A$5:$A$504,0))&amp;"","비귀속"),""))</f>
        <v/>
      </c>
      <c r="AG2435" s="96">
        <f>IF($A2435="",0,IF(AND(AE2435&lt;&gt;"직접",IFERROR(INDEX(계정매핑!$G$5:$G$504,MATCH($F2435&amp;"",계정매핑!$A$5:$A$504,0))&amp;"","")="유지비",COUNTIF(계정대체기준!$A$6:$A$15,$N2435)&gt;0),IFERROR(INDEX(계정대체기준!$E$6:$E$15,MATCH(VALUE($A2435&amp;""),계정대체기준!$D$6:$D$15,0)),0),0))</f>
        <v/>
      </c>
      <c r="AH2435" s="64">
        <f>IF($A2435="","",IF(AD2435=0,"",IF(OR(COUNTIF(계정대체기준!$A$77:$A$86,$N2435)&gt;0,ISNUMBER(MATCH($X2435,계정대체기준!$D$77:$D$86,0)),ISNUMBER(MATCH($F2435,계정대체기준!$D$77:$D$86,0))),"Y","N")))</f>
        <v/>
      </c>
    </row>
    <row r="2436">
      <c r="A2436" s="92" t="n">
        <v>2025</v>
      </c>
      <c r="B2436" s="92" t="n">
        <v>11</v>
      </c>
      <c r="C2436" s="92" t="inlineStr">
        <is>
          <t>5100002432</t>
        </is>
      </c>
      <c r="D2436" s="95" t="n">
        <v>45981</v>
      </c>
      <c r="E2436" s="92" t="inlineStr">
        <is>
          <t>KR</t>
        </is>
      </c>
      <c r="F2436" s="92" t="n">
        <v>62801000</v>
      </c>
      <c r="G2436" s="92" t="n">
        <v>1301</v>
      </c>
      <c r="H2436" s="93" t="n">
        <v>4035000</v>
      </c>
      <c r="I2436" s="92" t="inlineStr">
        <is>
          <t>11월 사내교육 - (사내강사료)</t>
        </is>
      </c>
      <c r="J2436" s="92" t="inlineStr">
        <is>
          <t>V10024</t>
        </is>
      </c>
      <c r="K2436" s="92" t="inlineStr">
        <is>
          <t>(사내강사료)</t>
        </is>
      </c>
      <c r="M2436" s="9">
        <f>IF($A2436="","",VALUE($A2436&amp;"")*12+VALUE($B2436&amp;""))</f>
        <v/>
      </c>
      <c r="N2436" s="64">
        <f>IF($A2436="","",IFERROR(INDEX(부서매핑!$C$5:$C$504,MATCH($G2436&amp;"",부서매핑!$A$5:$A$504,0)),"미매핑"))</f>
        <v/>
      </c>
      <c r="O2436" s="9">
        <f>IF($A2436="","",N2436&amp;"|"&amp;$F2436)</f>
        <v/>
      </c>
      <c r="P2436" s="94">
        <f>IF($A2436="",0,$H2436*설정!$C$23)</f>
        <v/>
      </c>
      <c r="Q2436" s="64">
        <f>IF($A2436="","",IF(O2436&lt;&gt;원인분석!$C$9,"",IF(AND(M2436&gt;=원인분석!$C$10,M2436&lt;=원인분석!$C$11),"당기",IF(AND(M2436&gt;=원인분석!$C$12,M2436&lt;=원인분석!$C$13),"비교",""))))</f>
        <v/>
      </c>
      <c r="R2436" s="9">
        <f>IF(Q2436="","",$K2436&amp;"")</f>
        <v/>
      </c>
      <c r="S2436" s="9">
        <f>IF(Q2436="","",IF(MATCH(R2436,$R$5:$R$100000,0)=ROW()-4,ROW(),""))</f>
        <v/>
      </c>
      <c r="T2436" s="9">
        <f>IF(Q2436="당기",ABS(P2436)+ROW()/1000000000,"")</f>
        <v/>
      </c>
      <c r="U2436" s="9">
        <f>IF(Q2436="비교",ABS(P2436)+ROW()/1000000000,"")</f>
        <v/>
      </c>
      <c r="V2436" s="64">
        <f>IF($A2436="","",IF(COUNTIF(변동분석!$E$7:$E$506,O2436)&gt;0,"Y","N"))</f>
        <v/>
      </c>
      <c r="W2436" s="64">
        <f>IF($A2436="","",IFERROR(INDEX(계정매핑!$D$5:$D$504,MATCH($F2436&amp;"",계정매핑!$A$5:$A$504,0)),"미매핑"))</f>
        <v/>
      </c>
      <c r="X2436" s="9">
        <f>IF($A2436="","",$F2436&amp;"")</f>
        <v/>
      </c>
      <c r="Y2436" s="94">
        <f>IF($A2436="",0,IF(AE2436="직접",IF(AF2436="비귀속",$P2436,0),$P2436*(1-AG2436)*IFERROR(INDEX(계정대체기준!$F$20:$F$49,MATCH($N2436,계정대체기준!$A$20:$A$49,0)),1)))</f>
        <v/>
      </c>
      <c r="Z2436" s="94">
        <f>IF($A2436="",0,IF(AE2436="직접",IF(AF2436="신계약비",$P2436,0),$P2436*(1-AG2436)*IFERROR(INDEX(계정대체기준!$C$20:$C$49,MATCH($N2436,계정대체기준!$A$20:$A$49,0)),0)))</f>
        <v/>
      </c>
      <c r="AA2436" s="94">
        <f>IF($A2436="",0,IF(AE2436="직접",IF(OR(AF2436="유지비",AF2436="손해조사비"),$P2436,0),$P2436*(1-AG2436)*IFERROR(INDEX(계정대체기준!$D$20:$D$49,MATCH($N2436,계정대체기준!$A$20:$A$49,0)),0)))</f>
        <v/>
      </c>
      <c r="AB2436" s="94">
        <f>IF($A2436="",0,IF(AE2436="직접",IF(AF2436="수금비",$P2436,0),$P2436*(1-AG2436)*IFERROR(INDEX(계정대체기준!$E$20:$E$49,MATCH($N2436,계정대체기준!$A$20:$A$49,0)),0)))</f>
        <v/>
      </c>
      <c r="AC2436" s="9">
        <f>IF(AND($A2436&lt;&gt;"",M2436=설정!$C$20,Z2436&gt;0),Z2436+ROW()/1000000000,"")</f>
        <v/>
      </c>
      <c r="AD2436" s="94">
        <f>IF($A2436="",0,$P2436*AG2436)</f>
        <v/>
      </c>
      <c r="AE2436" s="64">
        <f>IF($A2436="","",IFERROR(INDEX(계정매핑!$E$5:$E$504,MATCH($F2436&amp;"",계정매핑!$A$5:$A$504,0))&amp;"","공통비"))</f>
        <v/>
      </c>
      <c r="AF2436" s="64">
        <f>IF($A2436="","",IF(AE2436="직접",IFERROR(INDEX(계정매핑!$F$5:$F$504,MATCH($F2436&amp;"",계정매핑!$A$5:$A$504,0))&amp;"","비귀속"),""))</f>
        <v/>
      </c>
      <c r="AG2436" s="96">
        <f>IF($A2436="",0,IF(AND(AE2436&lt;&gt;"직접",IFERROR(INDEX(계정매핑!$G$5:$G$504,MATCH($F2436&amp;"",계정매핑!$A$5:$A$504,0))&amp;"","")="유지비",COUNTIF(계정대체기준!$A$6:$A$15,$N2436)&gt;0),IFERROR(INDEX(계정대체기준!$E$6:$E$15,MATCH(VALUE($A2436&amp;""),계정대체기준!$D$6:$D$15,0)),0),0))</f>
        <v/>
      </c>
      <c r="AH2436" s="64">
        <f>IF($A2436="","",IF(AD2436=0,"",IF(OR(COUNTIF(계정대체기준!$A$77:$A$86,$N2436)&gt;0,ISNUMBER(MATCH($X2436,계정대체기준!$D$77:$D$86,0)),ISNUMBER(MATCH($F2436,계정대체기준!$D$77:$D$86,0))),"Y","N")))</f>
        <v/>
      </c>
    </row>
    <row r="2437">
      <c r="A2437" s="92" t="n">
        <v>2025</v>
      </c>
      <c r="B2437" s="92" t="n">
        <v>11</v>
      </c>
      <c r="C2437" s="92" t="inlineStr">
        <is>
          <t>5100002433</t>
        </is>
      </c>
      <c r="D2437" s="95" t="n">
        <v>45982</v>
      </c>
      <c r="E2437" s="92" t="inlineStr">
        <is>
          <t>KR</t>
        </is>
      </c>
      <c r="F2437" s="92" t="n">
        <v>62101000</v>
      </c>
      <c r="G2437" s="92" t="n">
        <v>1501</v>
      </c>
      <c r="H2437" s="93" t="n">
        <v>560000</v>
      </c>
      <c r="I2437" s="92" t="inlineStr">
        <is>
          <t>11월 국내출장 - M항공</t>
        </is>
      </c>
      <c r="J2437" s="92" t="inlineStr">
        <is>
          <t>V10001</t>
        </is>
      </c>
      <c r="K2437" s="92" t="inlineStr">
        <is>
          <t>M항공</t>
        </is>
      </c>
      <c r="M2437" s="9">
        <f>IF($A2437="","",VALUE($A2437&amp;"")*12+VALUE($B2437&amp;""))</f>
        <v/>
      </c>
      <c r="N2437" s="64">
        <f>IF($A2437="","",IFERROR(INDEX(부서매핑!$C$5:$C$504,MATCH($G2437&amp;"",부서매핑!$A$5:$A$504,0)),"미매핑"))</f>
        <v/>
      </c>
      <c r="O2437" s="9">
        <f>IF($A2437="","",N2437&amp;"|"&amp;$F2437)</f>
        <v/>
      </c>
      <c r="P2437" s="94">
        <f>IF($A2437="",0,$H2437*설정!$C$23)</f>
        <v/>
      </c>
      <c r="Q2437" s="64">
        <f>IF($A2437="","",IF(O2437&lt;&gt;원인분석!$C$9,"",IF(AND(M2437&gt;=원인분석!$C$10,M2437&lt;=원인분석!$C$11),"당기",IF(AND(M2437&gt;=원인분석!$C$12,M2437&lt;=원인분석!$C$13),"비교",""))))</f>
        <v/>
      </c>
      <c r="R2437" s="9">
        <f>IF(Q2437="","",$K2437&amp;"")</f>
        <v/>
      </c>
      <c r="S2437" s="9">
        <f>IF(Q2437="","",IF(MATCH(R2437,$R$5:$R$100000,0)=ROW()-4,ROW(),""))</f>
        <v/>
      </c>
      <c r="T2437" s="9">
        <f>IF(Q2437="당기",ABS(P2437)+ROW()/1000000000,"")</f>
        <v/>
      </c>
      <c r="U2437" s="9">
        <f>IF(Q2437="비교",ABS(P2437)+ROW()/1000000000,"")</f>
        <v/>
      </c>
      <c r="V2437" s="64">
        <f>IF($A2437="","",IF(COUNTIF(변동분석!$E$7:$E$506,O2437)&gt;0,"Y","N"))</f>
        <v/>
      </c>
      <c r="W2437" s="64">
        <f>IF($A2437="","",IFERROR(INDEX(계정매핑!$D$5:$D$504,MATCH($F2437&amp;"",계정매핑!$A$5:$A$504,0)),"미매핑"))</f>
        <v/>
      </c>
      <c r="X2437" s="9">
        <f>IF($A2437="","",$F2437&amp;"")</f>
        <v/>
      </c>
      <c r="Y2437" s="94">
        <f>IF($A2437="",0,IF(AE2437="직접",IF(AF2437="비귀속",$P2437,0),$P2437*(1-AG2437)*IFERROR(INDEX(계정대체기준!$F$20:$F$49,MATCH($N2437,계정대체기준!$A$20:$A$49,0)),1)))</f>
        <v/>
      </c>
      <c r="Z2437" s="94">
        <f>IF($A2437="",0,IF(AE2437="직접",IF(AF2437="신계약비",$P2437,0),$P2437*(1-AG2437)*IFERROR(INDEX(계정대체기준!$C$20:$C$49,MATCH($N2437,계정대체기준!$A$20:$A$49,0)),0)))</f>
        <v/>
      </c>
      <c r="AA2437" s="94">
        <f>IF($A2437="",0,IF(AE2437="직접",IF(OR(AF2437="유지비",AF2437="손해조사비"),$P2437,0),$P2437*(1-AG2437)*IFERROR(INDEX(계정대체기준!$D$20:$D$49,MATCH($N2437,계정대체기준!$A$20:$A$49,0)),0)))</f>
        <v/>
      </c>
      <c r="AB2437" s="94">
        <f>IF($A2437="",0,IF(AE2437="직접",IF(AF2437="수금비",$P2437,0),$P2437*(1-AG2437)*IFERROR(INDEX(계정대체기준!$E$20:$E$49,MATCH($N2437,계정대체기준!$A$20:$A$49,0)),0)))</f>
        <v/>
      </c>
      <c r="AC2437" s="9">
        <f>IF(AND($A2437&lt;&gt;"",M2437=설정!$C$20,Z2437&gt;0),Z2437+ROW()/1000000000,"")</f>
        <v/>
      </c>
      <c r="AD2437" s="94">
        <f>IF($A2437="",0,$P2437*AG2437)</f>
        <v/>
      </c>
      <c r="AE2437" s="64">
        <f>IF($A2437="","",IFERROR(INDEX(계정매핑!$E$5:$E$504,MATCH($F2437&amp;"",계정매핑!$A$5:$A$504,0))&amp;"","공통비"))</f>
        <v/>
      </c>
      <c r="AF2437" s="64">
        <f>IF($A2437="","",IF(AE2437="직접",IFERROR(INDEX(계정매핑!$F$5:$F$504,MATCH($F2437&amp;"",계정매핑!$A$5:$A$504,0))&amp;"","비귀속"),""))</f>
        <v/>
      </c>
      <c r="AG2437" s="96">
        <f>IF($A2437="",0,IF(AND(AE2437&lt;&gt;"직접",IFERROR(INDEX(계정매핑!$G$5:$G$504,MATCH($F2437&amp;"",계정매핑!$A$5:$A$504,0))&amp;"","")="유지비",COUNTIF(계정대체기준!$A$6:$A$15,$N2437)&gt;0),IFERROR(INDEX(계정대체기준!$E$6:$E$15,MATCH(VALUE($A2437&amp;""),계정대체기준!$D$6:$D$15,0)),0),0))</f>
        <v/>
      </c>
      <c r="AH2437" s="64">
        <f>IF($A2437="","",IF(AD2437=0,"",IF(OR(COUNTIF(계정대체기준!$A$77:$A$86,$N2437)&gt;0,ISNUMBER(MATCH($X2437,계정대체기준!$D$77:$D$86,0)),ISNUMBER(MATCH($F2437,계정대체기준!$D$77:$D$86,0))),"Y","N")))</f>
        <v/>
      </c>
    </row>
    <row r="2438">
      <c r="A2438" s="92" t="n">
        <v>2025</v>
      </c>
      <c r="B2438" s="92" t="n">
        <v>11</v>
      </c>
      <c r="C2438" s="92" t="inlineStr">
        <is>
          <t>5100002434</t>
        </is>
      </c>
      <c r="D2438" s="95" t="n">
        <v>45982</v>
      </c>
      <c r="E2438" s="92" t="inlineStr">
        <is>
          <t>KR</t>
        </is>
      </c>
      <c r="F2438" s="92" t="n">
        <v>62102000</v>
      </c>
      <c r="G2438" s="92" t="n">
        <v>1601</v>
      </c>
      <c r="H2438" s="93" t="n">
        <v>356000</v>
      </c>
      <c r="I2438" s="92" t="inlineStr">
        <is>
          <t>11월 해외출장 - M항공</t>
        </is>
      </c>
      <c r="J2438" s="92" t="inlineStr">
        <is>
          <t>V10001</t>
        </is>
      </c>
      <c r="K2438" s="92" t="inlineStr">
        <is>
          <t>M항공</t>
        </is>
      </c>
      <c r="M2438" s="9">
        <f>IF($A2438="","",VALUE($A2438&amp;"")*12+VALUE($B2438&amp;""))</f>
        <v/>
      </c>
      <c r="N2438" s="64">
        <f>IF($A2438="","",IFERROR(INDEX(부서매핑!$C$5:$C$504,MATCH($G2438&amp;"",부서매핑!$A$5:$A$504,0)),"미매핑"))</f>
        <v/>
      </c>
      <c r="O2438" s="9">
        <f>IF($A2438="","",N2438&amp;"|"&amp;$F2438)</f>
        <v/>
      </c>
      <c r="P2438" s="94">
        <f>IF($A2438="",0,$H2438*설정!$C$23)</f>
        <v/>
      </c>
      <c r="Q2438" s="64">
        <f>IF($A2438="","",IF(O2438&lt;&gt;원인분석!$C$9,"",IF(AND(M2438&gt;=원인분석!$C$10,M2438&lt;=원인분석!$C$11),"당기",IF(AND(M2438&gt;=원인분석!$C$12,M2438&lt;=원인분석!$C$13),"비교",""))))</f>
        <v/>
      </c>
      <c r="R2438" s="9">
        <f>IF(Q2438="","",$K2438&amp;"")</f>
        <v/>
      </c>
      <c r="S2438" s="9">
        <f>IF(Q2438="","",IF(MATCH(R2438,$R$5:$R$100000,0)=ROW()-4,ROW(),""))</f>
        <v/>
      </c>
      <c r="T2438" s="9">
        <f>IF(Q2438="당기",ABS(P2438)+ROW()/1000000000,"")</f>
        <v/>
      </c>
      <c r="U2438" s="9">
        <f>IF(Q2438="비교",ABS(P2438)+ROW()/1000000000,"")</f>
        <v/>
      </c>
      <c r="V2438" s="64">
        <f>IF($A2438="","",IF(COUNTIF(변동분석!$E$7:$E$506,O2438)&gt;0,"Y","N"))</f>
        <v/>
      </c>
      <c r="W2438" s="64">
        <f>IF($A2438="","",IFERROR(INDEX(계정매핑!$D$5:$D$504,MATCH($F2438&amp;"",계정매핑!$A$5:$A$504,0)),"미매핑"))</f>
        <v/>
      </c>
      <c r="X2438" s="9">
        <f>IF($A2438="","",$F2438&amp;"")</f>
        <v/>
      </c>
      <c r="Y2438" s="94">
        <f>IF($A2438="",0,IF(AE2438="직접",IF(AF2438="비귀속",$P2438,0),$P2438*(1-AG2438)*IFERROR(INDEX(계정대체기준!$F$20:$F$49,MATCH($N2438,계정대체기준!$A$20:$A$49,0)),1)))</f>
        <v/>
      </c>
      <c r="Z2438" s="94">
        <f>IF($A2438="",0,IF(AE2438="직접",IF(AF2438="신계약비",$P2438,0),$P2438*(1-AG2438)*IFERROR(INDEX(계정대체기준!$C$20:$C$49,MATCH($N2438,계정대체기준!$A$20:$A$49,0)),0)))</f>
        <v/>
      </c>
      <c r="AA2438" s="94">
        <f>IF($A2438="",0,IF(AE2438="직접",IF(OR(AF2438="유지비",AF2438="손해조사비"),$P2438,0),$P2438*(1-AG2438)*IFERROR(INDEX(계정대체기준!$D$20:$D$49,MATCH($N2438,계정대체기준!$A$20:$A$49,0)),0)))</f>
        <v/>
      </c>
      <c r="AB2438" s="94">
        <f>IF($A2438="",0,IF(AE2438="직접",IF(AF2438="수금비",$P2438,0),$P2438*(1-AG2438)*IFERROR(INDEX(계정대체기준!$E$20:$E$49,MATCH($N2438,계정대체기준!$A$20:$A$49,0)),0)))</f>
        <v/>
      </c>
      <c r="AC2438" s="9">
        <f>IF(AND($A2438&lt;&gt;"",M2438=설정!$C$20,Z2438&gt;0),Z2438+ROW()/1000000000,"")</f>
        <v/>
      </c>
      <c r="AD2438" s="94">
        <f>IF($A2438="",0,$P2438*AG2438)</f>
        <v/>
      </c>
      <c r="AE2438" s="64">
        <f>IF($A2438="","",IFERROR(INDEX(계정매핑!$E$5:$E$504,MATCH($F2438&amp;"",계정매핑!$A$5:$A$504,0))&amp;"","공통비"))</f>
        <v/>
      </c>
      <c r="AF2438" s="64">
        <f>IF($A2438="","",IF(AE2438="직접",IFERROR(INDEX(계정매핑!$F$5:$F$504,MATCH($F2438&amp;"",계정매핑!$A$5:$A$504,0))&amp;"","비귀속"),""))</f>
        <v/>
      </c>
      <c r="AG2438" s="96">
        <f>IF($A2438="",0,IF(AND(AE2438&lt;&gt;"직접",IFERROR(INDEX(계정매핑!$G$5:$G$504,MATCH($F2438&amp;"",계정매핑!$A$5:$A$504,0))&amp;"","")="유지비",COUNTIF(계정대체기준!$A$6:$A$15,$N2438)&gt;0),IFERROR(INDEX(계정대체기준!$E$6:$E$15,MATCH(VALUE($A2438&amp;""),계정대체기준!$D$6:$D$15,0)),0),0))</f>
        <v/>
      </c>
      <c r="AH2438" s="64">
        <f>IF($A2438="","",IF(AD2438=0,"",IF(OR(COUNTIF(계정대체기준!$A$77:$A$86,$N2438)&gt;0,ISNUMBER(MATCH($X2438,계정대체기준!$D$77:$D$86,0)),ISNUMBER(MATCH($F2438,계정대체기준!$D$77:$D$86,0))),"Y","N")))</f>
        <v/>
      </c>
    </row>
    <row r="2439">
      <c r="A2439" s="92" t="n">
        <v>2025</v>
      </c>
      <c r="B2439" s="92" t="n">
        <v>11</v>
      </c>
      <c r="C2439" s="92" t="inlineStr">
        <is>
          <t>5100002435</t>
        </is>
      </c>
      <c r="D2439" s="95" t="n">
        <v>45982</v>
      </c>
      <c r="E2439" s="92" t="inlineStr">
        <is>
          <t>KR</t>
        </is>
      </c>
      <c r="F2439" s="92" t="n">
        <v>62201000</v>
      </c>
      <c r="G2439" s="92" t="n">
        <v>1801</v>
      </c>
      <c r="H2439" s="93" t="n">
        <v>2366000</v>
      </c>
      <c r="I2439" s="92" t="inlineStr">
        <is>
          <t>11월 통신요금 - P통신</t>
        </is>
      </c>
      <c r="J2439" s="92" t="inlineStr">
        <is>
          <t>V10014</t>
        </is>
      </c>
      <c r="K2439" s="92" t="inlineStr">
        <is>
          <t>P통신</t>
        </is>
      </c>
      <c r="M2439" s="9">
        <f>IF($A2439="","",VALUE($A2439&amp;"")*12+VALUE($B2439&amp;""))</f>
        <v/>
      </c>
      <c r="N2439" s="64">
        <f>IF($A2439="","",IFERROR(INDEX(부서매핑!$C$5:$C$504,MATCH($G2439&amp;"",부서매핑!$A$5:$A$504,0)),"미매핑"))</f>
        <v/>
      </c>
      <c r="O2439" s="9">
        <f>IF($A2439="","",N2439&amp;"|"&amp;$F2439)</f>
        <v/>
      </c>
      <c r="P2439" s="94">
        <f>IF($A2439="",0,$H2439*설정!$C$23)</f>
        <v/>
      </c>
      <c r="Q2439" s="64">
        <f>IF($A2439="","",IF(O2439&lt;&gt;원인분석!$C$9,"",IF(AND(M2439&gt;=원인분석!$C$10,M2439&lt;=원인분석!$C$11),"당기",IF(AND(M2439&gt;=원인분석!$C$12,M2439&lt;=원인분석!$C$13),"비교",""))))</f>
        <v/>
      </c>
      <c r="R2439" s="9">
        <f>IF(Q2439="","",$K2439&amp;"")</f>
        <v/>
      </c>
      <c r="S2439" s="9">
        <f>IF(Q2439="","",IF(MATCH(R2439,$R$5:$R$100000,0)=ROW()-4,ROW(),""))</f>
        <v/>
      </c>
      <c r="T2439" s="9">
        <f>IF(Q2439="당기",ABS(P2439)+ROW()/1000000000,"")</f>
        <v/>
      </c>
      <c r="U2439" s="9">
        <f>IF(Q2439="비교",ABS(P2439)+ROW()/1000000000,"")</f>
        <v/>
      </c>
      <c r="V2439" s="64">
        <f>IF($A2439="","",IF(COUNTIF(변동분석!$E$7:$E$506,O2439)&gt;0,"Y","N"))</f>
        <v/>
      </c>
      <c r="W2439" s="64">
        <f>IF($A2439="","",IFERROR(INDEX(계정매핑!$D$5:$D$504,MATCH($F2439&amp;"",계정매핑!$A$5:$A$504,0)),"미매핑"))</f>
        <v/>
      </c>
      <c r="X2439" s="9">
        <f>IF($A2439="","",$F2439&amp;"")</f>
        <v/>
      </c>
      <c r="Y2439" s="94">
        <f>IF($A2439="",0,IF(AE2439="직접",IF(AF2439="비귀속",$P2439,0),$P2439*(1-AG2439)*IFERROR(INDEX(계정대체기준!$F$20:$F$49,MATCH($N2439,계정대체기준!$A$20:$A$49,0)),1)))</f>
        <v/>
      </c>
      <c r="Z2439" s="94">
        <f>IF($A2439="",0,IF(AE2439="직접",IF(AF2439="신계약비",$P2439,0),$P2439*(1-AG2439)*IFERROR(INDEX(계정대체기준!$C$20:$C$49,MATCH($N2439,계정대체기준!$A$20:$A$49,0)),0)))</f>
        <v/>
      </c>
      <c r="AA2439" s="94">
        <f>IF($A2439="",0,IF(AE2439="직접",IF(OR(AF2439="유지비",AF2439="손해조사비"),$P2439,0),$P2439*(1-AG2439)*IFERROR(INDEX(계정대체기준!$D$20:$D$49,MATCH($N2439,계정대체기준!$A$20:$A$49,0)),0)))</f>
        <v/>
      </c>
      <c r="AB2439" s="94">
        <f>IF($A2439="",0,IF(AE2439="직접",IF(AF2439="수금비",$P2439,0),$P2439*(1-AG2439)*IFERROR(INDEX(계정대체기준!$E$20:$E$49,MATCH($N2439,계정대체기준!$A$20:$A$49,0)),0)))</f>
        <v/>
      </c>
      <c r="AC2439" s="9">
        <f>IF(AND($A2439&lt;&gt;"",M2439=설정!$C$20,Z2439&gt;0),Z2439+ROW()/1000000000,"")</f>
        <v/>
      </c>
      <c r="AD2439" s="94">
        <f>IF($A2439="",0,$P2439*AG2439)</f>
        <v/>
      </c>
      <c r="AE2439" s="64">
        <f>IF($A2439="","",IFERROR(INDEX(계정매핑!$E$5:$E$504,MATCH($F2439&amp;"",계정매핑!$A$5:$A$504,0))&amp;"","공통비"))</f>
        <v/>
      </c>
      <c r="AF2439" s="64">
        <f>IF($A2439="","",IF(AE2439="직접",IFERROR(INDEX(계정매핑!$F$5:$F$504,MATCH($F2439&amp;"",계정매핑!$A$5:$A$504,0))&amp;"","비귀속"),""))</f>
        <v/>
      </c>
      <c r="AG2439" s="96">
        <f>IF($A2439="",0,IF(AND(AE2439&lt;&gt;"직접",IFERROR(INDEX(계정매핑!$G$5:$G$504,MATCH($F2439&amp;"",계정매핑!$A$5:$A$504,0))&amp;"","")="유지비",COUNTIF(계정대체기준!$A$6:$A$15,$N2439)&gt;0),IFERROR(INDEX(계정대체기준!$E$6:$E$15,MATCH(VALUE($A2439&amp;""),계정대체기준!$D$6:$D$15,0)),0),0))</f>
        <v/>
      </c>
      <c r="AH2439" s="64">
        <f>IF($A2439="","",IF(AD2439=0,"",IF(OR(COUNTIF(계정대체기준!$A$77:$A$86,$N2439)&gt;0,ISNUMBER(MATCH($X2439,계정대체기준!$D$77:$D$86,0)),ISNUMBER(MATCH($F2439,계정대체기준!$D$77:$D$86,0))),"Y","N")))</f>
        <v/>
      </c>
    </row>
    <row r="2440">
      <c r="A2440" s="92" t="n">
        <v>2025</v>
      </c>
      <c r="B2440" s="92" t="n">
        <v>11</v>
      </c>
      <c r="C2440" s="92" t="inlineStr">
        <is>
          <t>5100002436</t>
        </is>
      </c>
      <c r="D2440" s="95" t="n">
        <v>45982</v>
      </c>
      <c r="E2440" s="92" t="inlineStr">
        <is>
          <t>KR</t>
        </is>
      </c>
      <c r="F2440" s="92" t="n">
        <v>62301000</v>
      </c>
      <c r="G2440" s="92" t="n">
        <v>1801</v>
      </c>
      <c r="H2440" s="93" t="n">
        <v>395000</v>
      </c>
      <c r="I2440" s="92" t="inlineStr">
        <is>
          <t>11월 소모품 구입 - Q오피스</t>
        </is>
      </c>
      <c r="J2440" s="92" t="inlineStr">
        <is>
          <t>V10003</t>
        </is>
      </c>
      <c r="K2440" s="92" t="inlineStr">
        <is>
          <t>Q오피스</t>
        </is>
      </c>
      <c r="M2440" s="9">
        <f>IF($A2440="","",VALUE($A2440&amp;"")*12+VALUE($B2440&amp;""))</f>
        <v/>
      </c>
      <c r="N2440" s="64">
        <f>IF($A2440="","",IFERROR(INDEX(부서매핑!$C$5:$C$504,MATCH($G2440&amp;"",부서매핑!$A$5:$A$504,0)),"미매핑"))</f>
        <v/>
      </c>
      <c r="O2440" s="9">
        <f>IF($A2440="","",N2440&amp;"|"&amp;$F2440)</f>
        <v/>
      </c>
      <c r="P2440" s="94">
        <f>IF($A2440="",0,$H2440*설정!$C$23)</f>
        <v/>
      </c>
      <c r="Q2440" s="64">
        <f>IF($A2440="","",IF(O2440&lt;&gt;원인분석!$C$9,"",IF(AND(M2440&gt;=원인분석!$C$10,M2440&lt;=원인분석!$C$11),"당기",IF(AND(M2440&gt;=원인분석!$C$12,M2440&lt;=원인분석!$C$13),"비교",""))))</f>
        <v/>
      </c>
      <c r="R2440" s="9">
        <f>IF(Q2440="","",$K2440&amp;"")</f>
        <v/>
      </c>
      <c r="S2440" s="9">
        <f>IF(Q2440="","",IF(MATCH(R2440,$R$5:$R$100000,0)=ROW()-4,ROW(),""))</f>
        <v/>
      </c>
      <c r="T2440" s="9">
        <f>IF(Q2440="당기",ABS(P2440)+ROW()/1000000000,"")</f>
        <v/>
      </c>
      <c r="U2440" s="9">
        <f>IF(Q2440="비교",ABS(P2440)+ROW()/1000000000,"")</f>
        <v/>
      </c>
      <c r="V2440" s="64">
        <f>IF($A2440="","",IF(COUNTIF(변동분석!$E$7:$E$506,O2440)&gt;0,"Y","N"))</f>
        <v/>
      </c>
      <c r="W2440" s="64">
        <f>IF($A2440="","",IFERROR(INDEX(계정매핑!$D$5:$D$504,MATCH($F2440&amp;"",계정매핑!$A$5:$A$504,0)),"미매핑"))</f>
        <v/>
      </c>
      <c r="X2440" s="9">
        <f>IF($A2440="","",$F2440&amp;"")</f>
        <v/>
      </c>
      <c r="Y2440" s="94">
        <f>IF($A2440="",0,IF(AE2440="직접",IF(AF2440="비귀속",$P2440,0),$P2440*(1-AG2440)*IFERROR(INDEX(계정대체기준!$F$20:$F$49,MATCH($N2440,계정대체기준!$A$20:$A$49,0)),1)))</f>
        <v/>
      </c>
      <c r="Z2440" s="94">
        <f>IF($A2440="",0,IF(AE2440="직접",IF(AF2440="신계약비",$P2440,0),$P2440*(1-AG2440)*IFERROR(INDEX(계정대체기준!$C$20:$C$49,MATCH($N2440,계정대체기준!$A$20:$A$49,0)),0)))</f>
        <v/>
      </c>
      <c r="AA2440" s="94">
        <f>IF($A2440="",0,IF(AE2440="직접",IF(OR(AF2440="유지비",AF2440="손해조사비"),$P2440,0),$P2440*(1-AG2440)*IFERROR(INDEX(계정대체기준!$D$20:$D$49,MATCH($N2440,계정대체기준!$A$20:$A$49,0)),0)))</f>
        <v/>
      </c>
      <c r="AB2440" s="94">
        <f>IF($A2440="",0,IF(AE2440="직접",IF(AF2440="수금비",$P2440,0),$P2440*(1-AG2440)*IFERROR(INDEX(계정대체기준!$E$20:$E$49,MATCH($N2440,계정대체기준!$A$20:$A$49,0)),0)))</f>
        <v/>
      </c>
      <c r="AC2440" s="9">
        <f>IF(AND($A2440&lt;&gt;"",M2440=설정!$C$20,Z2440&gt;0),Z2440+ROW()/1000000000,"")</f>
        <v/>
      </c>
      <c r="AD2440" s="94">
        <f>IF($A2440="",0,$P2440*AG2440)</f>
        <v/>
      </c>
      <c r="AE2440" s="64">
        <f>IF($A2440="","",IFERROR(INDEX(계정매핑!$E$5:$E$504,MATCH($F2440&amp;"",계정매핑!$A$5:$A$504,0))&amp;"","공통비"))</f>
        <v/>
      </c>
      <c r="AF2440" s="64">
        <f>IF($A2440="","",IF(AE2440="직접",IFERROR(INDEX(계정매핑!$F$5:$F$504,MATCH($F2440&amp;"",계정매핑!$A$5:$A$504,0))&amp;"","비귀속"),""))</f>
        <v/>
      </c>
      <c r="AG2440" s="96">
        <f>IF($A2440="",0,IF(AND(AE2440&lt;&gt;"직접",IFERROR(INDEX(계정매핑!$G$5:$G$504,MATCH($F2440&amp;"",계정매핑!$A$5:$A$504,0))&amp;"","")="유지비",COUNTIF(계정대체기준!$A$6:$A$15,$N2440)&gt;0),IFERROR(INDEX(계정대체기준!$E$6:$E$15,MATCH(VALUE($A2440&amp;""),계정대체기준!$D$6:$D$15,0)),0),0))</f>
        <v/>
      </c>
      <c r="AH2440" s="64">
        <f>IF($A2440="","",IF(AD2440=0,"",IF(OR(COUNTIF(계정대체기준!$A$77:$A$86,$N2440)&gt;0,ISNUMBER(MATCH($X2440,계정대체기준!$D$77:$D$86,0)),ISNUMBER(MATCH($F2440,계정대체기준!$D$77:$D$86,0))),"Y","N")))</f>
        <v/>
      </c>
    </row>
    <row r="2441">
      <c r="A2441" s="92" t="n">
        <v>2025</v>
      </c>
      <c r="B2441" s="92" t="n">
        <v>11</v>
      </c>
      <c r="C2441" s="92" t="inlineStr">
        <is>
          <t>5100002437</t>
        </is>
      </c>
      <c r="D2441" s="95" t="n">
        <v>45982</v>
      </c>
      <c r="E2441" s="92" t="inlineStr">
        <is>
          <t>KR</t>
        </is>
      </c>
      <c r="F2441" s="92" t="n">
        <v>62501000</v>
      </c>
      <c r="G2441" s="92" t="n">
        <v>1801</v>
      </c>
      <c r="H2441" s="93" t="n">
        <v>78000</v>
      </c>
      <c r="I2441" s="92" t="inlineStr">
        <is>
          <t>11월 회의 다과 - T케이터링</t>
        </is>
      </c>
      <c r="J2441" s="92" t="inlineStr">
        <is>
          <t>V10005</t>
        </is>
      </c>
      <c r="K2441" s="92" t="inlineStr">
        <is>
          <t>T케이터링</t>
        </is>
      </c>
      <c r="M2441" s="9">
        <f>IF($A2441="","",VALUE($A2441&amp;"")*12+VALUE($B2441&amp;""))</f>
        <v/>
      </c>
      <c r="N2441" s="64">
        <f>IF($A2441="","",IFERROR(INDEX(부서매핑!$C$5:$C$504,MATCH($G2441&amp;"",부서매핑!$A$5:$A$504,0)),"미매핑"))</f>
        <v/>
      </c>
      <c r="O2441" s="9">
        <f>IF($A2441="","",N2441&amp;"|"&amp;$F2441)</f>
        <v/>
      </c>
      <c r="P2441" s="94">
        <f>IF($A2441="",0,$H2441*설정!$C$23)</f>
        <v/>
      </c>
      <c r="Q2441" s="64">
        <f>IF($A2441="","",IF(O2441&lt;&gt;원인분석!$C$9,"",IF(AND(M2441&gt;=원인분석!$C$10,M2441&lt;=원인분석!$C$11),"당기",IF(AND(M2441&gt;=원인분석!$C$12,M2441&lt;=원인분석!$C$13),"비교",""))))</f>
        <v/>
      </c>
      <c r="R2441" s="9">
        <f>IF(Q2441="","",$K2441&amp;"")</f>
        <v/>
      </c>
      <c r="S2441" s="9">
        <f>IF(Q2441="","",IF(MATCH(R2441,$R$5:$R$100000,0)=ROW()-4,ROW(),""))</f>
        <v/>
      </c>
      <c r="T2441" s="9">
        <f>IF(Q2441="당기",ABS(P2441)+ROW()/1000000000,"")</f>
        <v/>
      </c>
      <c r="U2441" s="9">
        <f>IF(Q2441="비교",ABS(P2441)+ROW()/1000000000,"")</f>
        <v/>
      </c>
      <c r="V2441" s="64">
        <f>IF($A2441="","",IF(COUNTIF(변동분석!$E$7:$E$506,O2441)&gt;0,"Y","N"))</f>
        <v/>
      </c>
      <c r="W2441" s="64">
        <f>IF($A2441="","",IFERROR(INDEX(계정매핑!$D$5:$D$504,MATCH($F2441&amp;"",계정매핑!$A$5:$A$504,0)),"미매핑"))</f>
        <v/>
      </c>
      <c r="X2441" s="9">
        <f>IF($A2441="","",$F2441&amp;"")</f>
        <v/>
      </c>
      <c r="Y2441" s="94">
        <f>IF($A2441="",0,IF(AE2441="직접",IF(AF2441="비귀속",$P2441,0),$P2441*(1-AG2441)*IFERROR(INDEX(계정대체기준!$F$20:$F$49,MATCH($N2441,계정대체기준!$A$20:$A$49,0)),1)))</f>
        <v/>
      </c>
      <c r="Z2441" s="94">
        <f>IF($A2441="",0,IF(AE2441="직접",IF(AF2441="신계약비",$P2441,0),$P2441*(1-AG2441)*IFERROR(INDEX(계정대체기준!$C$20:$C$49,MATCH($N2441,계정대체기준!$A$20:$A$49,0)),0)))</f>
        <v/>
      </c>
      <c r="AA2441" s="94">
        <f>IF($A2441="",0,IF(AE2441="직접",IF(OR(AF2441="유지비",AF2441="손해조사비"),$P2441,0),$P2441*(1-AG2441)*IFERROR(INDEX(계정대체기준!$D$20:$D$49,MATCH($N2441,계정대체기준!$A$20:$A$49,0)),0)))</f>
        <v/>
      </c>
      <c r="AB2441" s="94">
        <f>IF($A2441="",0,IF(AE2441="직접",IF(AF2441="수금비",$P2441,0),$P2441*(1-AG2441)*IFERROR(INDEX(계정대체기준!$E$20:$E$49,MATCH($N2441,계정대체기준!$A$20:$A$49,0)),0)))</f>
        <v/>
      </c>
      <c r="AC2441" s="9">
        <f>IF(AND($A2441&lt;&gt;"",M2441=설정!$C$20,Z2441&gt;0),Z2441+ROW()/1000000000,"")</f>
        <v/>
      </c>
      <c r="AD2441" s="94">
        <f>IF($A2441="",0,$P2441*AG2441)</f>
        <v/>
      </c>
      <c r="AE2441" s="64">
        <f>IF($A2441="","",IFERROR(INDEX(계정매핑!$E$5:$E$504,MATCH($F2441&amp;"",계정매핑!$A$5:$A$504,0))&amp;"","공통비"))</f>
        <v/>
      </c>
      <c r="AF2441" s="64">
        <f>IF($A2441="","",IF(AE2441="직접",IFERROR(INDEX(계정매핑!$F$5:$F$504,MATCH($F2441&amp;"",계정매핑!$A$5:$A$504,0))&amp;"","비귀속"),""))</f>
        <v/>
      </c>
      <c r="AG2441" s="96">
        <f>IF($A2441="",0,IF(AND(AE2441&lt;&gt;"직접",IFERROR(INDEX(계정매핑!$G$5:$G$504,MATCH($F2441&amp;"",계정매핑!$A$5:$A$504,0))&amp;"","")="유지비",COUNTIF(계정대체기준!$A$6:$A$15,$N2441)&gt;0),IFERROR(INDEX(계정대체기준!$E$6:$E$15,MATCH(VALUE($A2441&amp;""),계정대체기준!$D$6:$D$15,0)),0),0))</f>
        <v/>
      </c>
      <c r="AH2441" s="64">
        <f>IF($A2441="","",IF(AD2441=0,"",IF(OR(COUNTIF(계정대체기준!$A$77:$A$86,$N2441)&gt;0,ISNUMBER(MATCH($X2441,계정대체기준!$D$77:$D$86,0)),ISNUMBER(MATCH($F2441,계정대체기준!$D$77:$D$86,0))),"Y","N")))</f>
        <v/>
      </c>
    </row>
    <row r="2442">
      <c r="A2442" s="92" t="n">
        <v>2025</v>
      </c>
      <c r="B2442" s="92" t="n">
        <v>11</v>
      </c>
      <c r="C2442" s="92" t="inlineStr">
        <is>
          <t>5100002438</t>
        </is>
      </c>
      <c r="D2442" s="95" t="n">
        <v>45982</v>
      </c>
      <c r="E2442" s="92" t="inlineStr">
        <is>
          <t>KR</t>
        </is>
      </c>
      <c r="F2442" s="92" t="n">
        <v>62901000</v>
      </c>
      <c r="G2442" s="92" t="n">
        <v>1101</v>
      </c>
      <c r="H2442" s="93" t="n">
        <v>4918000</v>
      </c>
      <c r="I2442" s="92" t="inlineStr">
        <is>
          <t>11월 자문 수수료 - W컨설팅</t>
        </is>
      </c>
      <c r="J2442" s="92" t="inlineStr">
        <is>
          <t>V10006</t>
        </is>
      </c>
      <c r="K2442" s="92" t="inlineStr">
        <is>
          <t>W컨설팅</t>
        </is>
      </c>
      <c r="M2442" s="9">
        <f>IF($A2442="","",VALUE($A2442&amp;"")*12+VALUE($B2442&amp;""))</f>
        <v/>
      </c>
      <c r="N2442" s="64">
        <f>IF($A2442="","",IFERROR(INDEX(부서매핑!$C$5:$C$504,MATCH($G2442&amp;"",부서매핑!$A$5:$A$504,0)),"미매핑"))</f>
        <v/>
      </c>
      <c r="O2442" s="9">
        <f>IF($A2442="","",N2442&amp;"|"&amp;$F2442)</f>
        <v/>
      </c>
      <c r="P2442" s="94">
        <f>IF($A2442="",0,$H2442*설정!$C$23)</f>
        <v/>
      </c>
      <c r="Q2442" s="64">
        <f>IF($A2442="","",IF(O2442&lt;&gt;원인분석!$C$9,"",IF(AND(M2442&gt;=원인분석!$C$10,M2442&lt;=원인분석!$C$11),"당기",IF(AND(M2442&gt;=원인분석!$C$12,M2442&lt;=원인분석!$C$13),"비교",""))))</f>
        <v/>
      </c>
      <c r="R2442" s="9">
        <f>IF(Q2442="","",$K2442&amp;"")</f>
        <v/>
      </c>
      <c r="S2442" s="9">
        <f>IF(Q2442="","",IF(MATCH(R2442,$R$5:$R$100000,0)=ROW()-4,ROW(),""))</f>
        <v/>
      </c>
      <c r="T2442" s="9">
        <f>IF(Q2442="당기",ABS(P2442)+ROW()/1000000000,"")</f>
        <v/>
      </c>
      <c r="U2442" s="9">
        <f>IF(Q2442="비교",ABS(P2442)+ROW()/1000000000,"")</f>
        <v/>
      </c>
      <c r="V2442" s="64">
        <f>IF($A2442="","",IF(COUNTIF(변동분석!$E$7:$E$506,O2442)&gt;0,"Y","N"))</f>
        <v/>
      </c>
      <c r="W2442" s="64">
        <f>IF($A2442="","",IFERROR(INDEX(계정매핑!$D$5:$D$504,MATCH($F2442&amp;"",계정매핑!$A$5:$A$504,0)),"미매핑"))</f>
        <v/>
      </c>
      <c r="X2442" s="9">
        <f>IF($A2442="","",$F2442&amp;"")</f>
        <v/>
      </c>
      <c r="Y2442" s="94">
        <f>IF($A2442="",0,IF(AE2442="직접",IF(AF2442="비귀속",$P2442,0),$P2442*(1-AG2442)*IFERROR(INDEX(계정대체기준!$F$20:$F$49,MATCH($N2442,계정대체기준!$A$20:$A$49,0)),1)))</f>
        <v/>
      </c>
      <c r="Z2442" s="94">
        <f>IF($A2442="",0,IF(AE2442="직접",IF(AF2442="신계약비",$P2442,0),$P2442*(1-AG2442)*IFERROR(INDEX(계정대체기준!$C$20:$C$49,MATCH($N2442,계정대체기준!$A$20:$A$49,0)),0)))</f>
        <v/>
      </c>
      <c r="AA2442" s="94">
        <f>IF($A2442="",0,IF(AE2442="직접",IF(OR(AF2442="유지비",AF2442="손해조사비"),$P2442,0),$P2442*(1-AG2442)*IFERROR(INDEX(계정대체기준!$D$20:$D$49,MATCH($N2442,계정대체기준!$A$20:$A$49,0)),0)))</f>
        <v/>
      </c>
      <c r="AB2442" s="94">
        <f>IF($A2442="",0,IF(AE2442="직접",IF(AF2442="수금비",$P2442,0),$P2442*(1-AG2442)*IFERROR(INDEX(계정대체기준!$E$20:$E$49,MATCH($N2442,계정대체기준!$A$20:$A$49,0)),0)))</f>
        <v/>
      </c>
      <c r="AC2442" s="9">
        <f>IF(AND($A2442&lt;&gt;"",M2442=설정!$C$20,Z2442&gt;0),Z2442+ROW()/1000000000,"")</f>
        <v/>
      </c>
      <c r="AD2442" s="94">
        <f>IF($A2442="",0,$P2442*AG2442)</f>
        <v/>
      </c>
      <c r="AE2442" s="64">
        <f>IF($A2442="","",IFERROR(INDEX(계정매핑!$E$5:$E$504,MATCH($F2442&amp;"",계정매핑!$A$5:$A$504,0))&amp;"","공통비"))</f>
        <v/>
      </c>
      <c r="AF2442" s="64">
        <f>IF($A2442="","",IF(AE2442="직접",IFERROR(INDEX(계정매핑!$F$5:$F$504,MATCH($F2442&amp;"",계정매핑!$A$5:$A$504,0))&amp;"","비귀속"),""))</f>
        <v/>
      </c>
      <c r="AG2442" s="96">
        <f>IF($A2442="",0,IF(AND(AE2442&lt;&gt;"직접",IFERROR(INDEX(계정매핑!$G$5:$G$504,MATCH($F2442&amp;"",계정매핑!$A$5:$A$504,0))&amp;"","")="유지비",COUNTIF(계정대체기준!$A$6:$A$15,$N2442)&gt;0),IFERROR(INDEX(계정대체기준!$E$6:$E$15,MATCH(VALUE($A2442&amp;""),계정대체기준!$D$6:$D$15,0)),0),0))</f>
        <v/>
      </c>
      <c r="AH2442" s="64">
        <f>IF($A2442="","",IF(AD2442=0,"",IF(OR(COUNTIF(계정대체기준!$A$77:$A$86,$N2442)&gt;0,ISNUMBER(MATCH($X2442,계정대체기준!$D$77:$D$86,0)),ISNUMBER(MATCH($F2442,계정대체기준!$D$77:$D$86,0))),"Y","N")))</f>
        <v/>
      </c>
    </row>
    <row r="2443">
      <c r="A2443" s="92" t="n">
        <v>2025</v>
      </c>
      <c r="B2443" s="92" t="n">
        <v>11</v>
      </c>
      <c r="C2443" s="92" t="inlineStr">
        <is>
          <t>5100002439</t>
        </is>
      </c>
      <c r="D2443" s="95" t="n">
        <v>45982</v>
      </c>
      <c r="E2443" s="92" t="inlineStr">
        <is>
          <t>KR</t>
        </is>
      </c>
      <c r="F2443" s="92" t="n">
        <v>62901000</v>
      </c>
      <c r="G2443" s="92" t="n">
        <v>1201</v>
      </c>
      <c r="H2443" s="93" t="n">
        <v>7293000</v>
      </c>
      <c r="I2443" s="92" t="inlineStr">
        <is>
          <t>11월 자문 수수료 - W컨설팅</t>
        </is>
      </c>
      <c r="J2443" s="92" t="inlineStr">
        <is>
          <t>V10006</t>
        </is>
      </c>
      <c r="K2443" s="92" t="inlineStr">
        <is>
          <t>W컨설팅</t>
        </is>
      </c>
      <c r="M2443" s="9">
        <f>IF($A2443="","",VALUE($A2443&amp;"")*12+VALUE($B2443&amp;""))</f>
        <v/>
      </c>
      <c r="N2443" s="64">
        <f>IF($A2443="","",IFERROR(INDEX(부서매핑!$C$5:$C$504,MATCH($G2443&amp;"",부서매핑!$A$5:$A$504,0)),"미매핑"))</f>
        <v/>
      </c>
      <c r="O2443" s="9">
        <f>IF($A2443="","",N2443&amp;"|"&amp;$F2443)</f>
        <v/>
      </c>
      <c r="P2443" s="94">
        <f>IF($A2443="",0,$H2443*설정!$C$23)</f>
        <v/>
      </c>
      <c r="Q2443" s="64">
        <f>IF($A2443="","",IF(O2443&lt;&gt;원인분석!$C$9,"",IF(AND(M2443&gt;=원인분석!$C$10,M2443&lt;=원인분석!$C$11),"당기",IF(AND(M2443&gt;=원인분석!$C$12,M2443&lt;=원인분석!$C$13),"비교",""))))</f>
        <v/>
      </c>
      <c r="R2443" s="9">
        <f>IF(Q2443="","",$K2443&amp;"")</f>
        <v/>
      </c>
      <c r="S2443" s="9">
        <f>IF(Q2443="","",IF(MATCH(R2443,$R$5:$R$100000,0)=ROW()-4,ROW(),""))</f>
        <v/>
      </c>
      <c r="T2443" s="9">
        <f>IF(Q2443="당기",ABS(P2443)+ROW()/1000000000,"")</f>
        <v/>
      </c>
      <c r="U2443" s="9">
        <f>IF(Q2443="비교",ABS(P2443)+ROW()/1000000000,"")</f>
        <v/>
      </c>
      <c r="V2443" s="64">
        <f>IF($A2443="","",IF(COUNTIF(변동분석!$E$7:$E$506,O2443)&gt;0,"Y","N"))</f>
        <v/>
      </c>
      <c r="W2443" s="64">
        <f>IF($A2443="","",IFERROR(INDEX(계정매핑!$D$5:$D$504,MATCH($F2443&amp;"",계정매핑!$A$5:$A$504,0)),"미매핑"))</f>
        <v/>
      </c>
      <c r="X2443" s="9">
        <f>IF($A2443="","",$F2443&amp;"")</f>
        <v/>
      </c>
      <c r="Y2443" s="94">
        <f>IF($A2443="",0,IF(AE2443="직접",IF(AF2443="비귀속",$P2443,0),$P2443*(1-AG2443)*IFERROR(INDEX(계정대체기준!$F$20:$F$49,MATCH($N2443,계정대체기준!$A$20:$A$49,0)),1)))</f>
        <v/>
      </c>
      <c r="Z2443" s="94">
        <f>IF($A2443="",0,IF(AE2443="직접",IF(AF2443="신계약비",$P2443,0),$P2443*(1-AG2443)*IFERROR(INDEX(계정대체기준!$C$20:$C$49,MATCH($N2443,계정대체기준!$A$20:$A$49,0)),0)))</f>
        <v/>
      </c>
      <c r="AA2443" s="94">
        <f>IF($A2443="",0,IF(AE2443="직접",IF(OR(AF2443="유지비",AF2443="손해조사비"),$P2443,0),$P2443*(1-AG2443)*IFERROR(INDEX(계정대체기준!$D$20:$D$49,MATCH($N2443,계정대체기준!$A$20:$A$49,0)),0)))</f>
        <v/>
      </c>
      <c r="AB2443" s="94">
        <f>IF($A2443="",0,IF(AE2443="직접",IF(AF2443="수금비",$P2443,0),$P2443*(1-AG2443)*IFERROR(INDEX(계정대체기준!$E$20:$E$49,MATCH($N2443,계정대체기준!$A$20:$A$49,0)),0)))</f>
        <v/>
      </c>
      <c r="AC2443" s="9">
        <f>IF(AND($A2443&lt;&gt;"",M2443=설정!$C$20,Z2443&gt;0),Z2443+ROW()/1000000000,"")</f>
        <v/>
      </c>
      <c r="AD2443" s="94">
        <f>IF($A2443="",0,$P2443*AG2443)</f>
        <v/>
      </c>
      <c r="AE2443" s="64">
        <f>IF($A2443="","",IFERROR(INDEX(계정매핑!$E$5:$E$504,MATCH($F2443&amp;"",계정매핑!$A$5:$A$504,0))&amp;"","공통비"))</f>
        <v/>
      </c>
      <c r="AF2443" s="64">
        <f>IF($A2443="","",IF(AE2443="직접",IFERROR(INDEX(계정매핑!$F$5:$F$504,MATCH($F2443&amp;"",계정매핑!$A$5:$A$504,0))&amp;"","비귀속"),""))</f>
        <v/>
      </c>
      <c r="AG2443" s="96">
        <f>IF($A2443="",0,IF(AND(AE2443&lt;&gt;"직접",IFERROR(INDEX(계정매핑!$G$5:$G$504,MATCH($F2443&amp;"",계정매핑!$A$5:$A$504,0))&amp;"","")="유지비",COUNTIF(계정대체기준!$A$6:$A$15,$N2443)&gt;0),IFERROR(INDEX(계정대체기준!$E$6:$E$15,MATCH(VALUE($A2443&amp;""),계정대체기준!$D$6:$D$15,0)),0),0))</f>
        <v/>
      </c>
      <c r="AH2443" s="64">
        <f>IF($A2443="","",IF(AD2443=0,"",IF(OR(COUNTIF(계정대체기준!$A$77:$A$86,$N2443)&gt;0,ISNUMBER(MATCH($X2443,계정대체기준!$D$77:$D$86,0)),ISNUMBER(MATCH($F2443,계정대체기준!$D$77:$D$86,0))),"Y","N")))</f>
        <v/>
      </c>
    </row>
    <row r="2444">
      <c r="A2444" s="92" t="n">
        <v>2025</v>
      </c>
      <c r="B2444" s="92" t="n">
        <v>11</v>
      </c>
      <c r="C2444" s="92" t="inlineStr">
        <is>
          <t>5100002440</t>
        </is>
      </c>
      <c r="D2444" s="95" t="n">
        <v>45982</v>
      </c>
      <c r="E2444" s="92" t="inlineStr">
        <is>
          <t>KR</t>
        </is>
      </c>
      <c r="F2444" s="92" t="n">
        <v>62902000</v>
      </c>
      <c r="G2444" s="92" t="n">
        <v>1801</v>
      </c>
      <c r="H2444" s="93" t="n">
        <v>1843000</v>
      </c>
      <c r="I2444" s="92" t="inlineStr">
        <is>
          <t>11월 콜 위탁 수수료(건별)</t>
        </is>
      </c>
      <c r="J2444" s="92" t="inlineStr">
        <is>
          <t>V10016</t>
        </is>
      </c>
      <c r="K2444" s="92" t="inlineStr">
        <is>
          <t>J콜센터</t>
        </is>
      </c>
      <c r="M2444" s="9">
        <f>IF($A2444="","",VALUE($A2444&amp;"")*12+VALUE($B2444&amp;""))</f>
        <v/>
      </c>
      <c r="N2444" s="64">
        <f>IF($A2444="","",IFERROR(INDEX(부서매핑!$C$5:$C$504,MATCH($G2444&amp;"",부서매핑!$A$5:$A$504,0)),"미매핑"))</f>
        <v/>
      </c>
      <c r="O2444" s="9">
        <f>IF($A2444="","",N2444&amp;"|"&amp;$F2444)</f>
        <v/>
      </c>
      <c r="P2444" s="94">
        <f>IF($A2444="",0,$H2444*설정!$C$23)</f>
        <v/>
      </c>
      <c r="Q2444" s="64">
        <f>IF($A2444="","",IF(O2444&lt;&gt;원인분석!$C$9,"",IF(AND(M2444&gt;=원인분석!$C$10,M2444&lt;=원인분석!$C$11),"당기",IF(AND(M2444&gt;=원인분석!$C$12,M2444&lt;=원인분석!$C$13),"비교",""))))</f>
        <v/>
      </c>
      <c r="R2444" s="9">
        <f>IF(Q2444="","",$K2444&amp;"")</f>
        <v/>
      </c>
      <c r="S2444" s="9">
        <f>IF(Q2444="","",IF(MATCH(R2444,$R$5:$R$100000,0)=ROW()-4,ROW(),""))</f>
        <v/>
      </c>
      <c r="T2444" s="9">
        <f>IF(Q2444="당기",ABS(P2444)+ROW()/1000000000,"")</f>
        <v/>
      </c>
      <c r="U2444" s="9">
        <f>IF(Q2444="비교",ABS(P2444)+ROW()/1000000000,"")</f>
        <v/>
      </c>
      <c r="V2444" s="64">
        <f>IF($A2444="","",IF(COUNTIF(변동분석!$E$7:$E$506,O2444)&gt;0,"Y","N"))</f>
        <v/>
      </c>
      <c r="W2444" s="64">
        <f>IF($A2444="","",IFERROR(INDEX(계정매핑!$D$5:$D$504,MATCH($F2444&amp;"",계정매핑!$A$5:$A$504,0)),"미매핑"))</f>
        <v/>
      </c>
      <c r="X2444" s="9">
        <f>IF($A2444="","",$F2444&amp;"")</f>
        <v/>
      </c>
      <c r="Y2444" s="94">
        <f>IF($A2444="",0,IF(AE2444="직접",IF(AF2444="비귀속",$P2444,0),$P2444*(1-AG2444)*IFERROR(INDEX(계정대체기준!$F$20:$F$49,MATCH($N2444,계정대체기준!$A$20:$A$49,0)),1)))</f>
        <v/>
      </c>
      <c r="Z2444" s="94">
        <f>IF($A2444="",0,IF(AE2444="직접",IF(AF2444="신계약비",$P2444,0),$P2444*(1-AG2444)*IFERROR(INDEX(계정대체기준!$C$20:$C$49,MATCH($N2444,계정대체기준!$A$20:$A$49,0)),0)))</f>
        <v/>
      </c>
      <c r="AA2444" s="94">
        <f>IF($A2444="",0,IF(AE2444="직접",IF(OR(AF2444="유지비",AF2444="손해조사비"),$P2444,0),$P2444*(1-AG2444)*IFERROR(INDEX(계정대체기준!$D$20:$D$49,MATCH($N2444,계정대체기준!$A$20:$A$49,0)),0)))</f>
        <v/>
      </c>
      <c r="AB2444" s="94">
        <f>IF($A2444="",0,IF(AE2444="직접",IF(AF2444="수금비",$P2444,0),$P2444*(1-AG2444)*IFERROR(INDEX(계정대체기준!$E$20:$E$49,MATCH($N2444,계정대체기준!$A$20:$A$49,0)),0)))</f>
        <v/>
      </c>
      <c r="AC2444" s="9">
        <f>IF(AND($A2444&lt;&gt;"",M2444=설정!$C$20,Z2444&gt;0),Z2444+ROW()/1000000000,"")</f>
        <v/>
      </c>
      <c r="AD2444" s="94">
        <f>IF($A2444="",0,$P2444*AG2444)</f>
        <v/>
      </c>
      <c r="AE2444" s="64">
        <f>IF($A2444="","",IFERROR(INDEX(계정매핑!$E$5:$E$504,MATCH($F2444&amp;"",계정매핑!$A$5:$A$504,0))&amp;"","공통비"))</f>
        <v/>
      </c>
      <c r="AF2444" s="64">
        <f>IF($A2444="","",IF(AE2444="직접",IFERROR(INDEX(계정매핑!$F$5:$F$504,MATCH($F2444&amp;"",계정매핑!$A$5:$A$504,0))&amp;"","비귀속"),""))</f>
        <v/>
      </c>
      <c r="AG2444" s="96">
        <f>IF($A2444="",0,IF(AND(AE2444&lt;&gt;"직접",IFERROR(INDEX(계정매핑!$G$5:$G$504,MATCH($F2444&amp;"",계정매핑!$A$5:$A$504,0))&amp;"","")="유지비",COUNTIF(계정대체기준!$A$6:$A$15,$N2444)&gt;0),IFERROR(INDEX(계정대체기준!$E$6:$E$15,MATCH(VALUE($A2444&amp;""),계정대체기준!$D$6:$D$15,0)),0),0))</f>
        <v/>
      </c>
      <c r="AH2444" s="64">
        <f>IF($A2444="","",IF(AD2444=0,"",IF(OR(COUNTIF(계정대체기준!$A$77:$A$86,$N2444)&gt;0,ISNUMBER(MATCH($X2444,계정대체기준!$D$77:$D$86,0)),ISNUMBER(MATCH($F2444,계정대체기준!$D$77:$D$86,0))),"Y","N")))</f>
        <v/>
      </c>
    </row>
    <row r="2445">
      <c r="A2445" s="92" t="n">
        <v>2025</v>
      </c>
      <c r="B2445" s="92" t="n">
        <v>11</v>
      </c>
      <c r="C2445" s="92" t="inlineStr">
        <is>
          <t>5100002441</t>
        </is>
      </c>
      <c r="D2445" s="95" t="n">
        <v>45982</v>
      </c>
      <c r="E2445" s="92" t="inlineStr">
        <is>
          <t>KR</t>
        </is>
      </c>
      <c r="F2445" s="92" t="n">
        <v>63101000</v>
      </c>
      <c r="G2445" s="92" t="n">
        <v>1601</v>
      </c>
      <c r="H2445" s="93" t="n">
        <v>5354000</v>
      </c>
      <c r="I2445" s="92" t="inlineStr">
        <is>
          <t>11월 사무실 임차료 - BB부동산</t>
        </is>
      </c>
      <c r="J2445" s="92" t="inlineStr">
        <is>
          <t>V10028</t>
        </is>
      </c>
      <c r="K2445" s="92" t="inlineStr">
        <is>
          <t>BB부동산</t>
        </is>
      </c>
      <c r="M2445" s="9">
        <f>IF($A2445="","",VALUE($A2445&amp;"")*12+VALUE($B2445&amp;""))</f>
        <v/>
      </c>
      <c r="N2445" s="64">
        <f>IF($A2445="","",IFERROR(INDEX(부서매핑!$C$5:$C$504,MATCH($G2445&amp;"",부서매핑!$A$5:$A$504,0)),"미매핑"))</f>
        <v/>
      </c>
      <c r="O2445" s="9">
        <f>IF($A2445="","",N2445&amp;"|"&amp;$F2445)</f>
        <v/>
      </c>
      <c r="P2445" s="94">
        <f>IF($A2445="",0,$H2445*설정!$C$23)</f>
        <v/>
      </c>
      <c r="Q2445" s="64">
        <f>IF($A2445="","",IF(O2445&lt;&gt;원인분석!$C$9,"",IF(AND(M2445&gt;=원인분석!$C$10,M2445&lt;=원인분석!$C$11),"당기",IF(AND(M2445&gt;=원인분석!$C$12,M2445&lt;=원인분석!$C$13),"비교",""))))</f>
        <v/>
      </c>
      <c r="R2445" s="9">
        <f>IF(Q2445="","",$K2445&amp;"")</f>
        <v/>
      </c>
      <c r="S2445" s="9">
        <f>IF(Q2445="","",IF(MATCH(R2445,$R$5:$R$100000,0)=ROW()-4,ROW(),""))</f>
        <v/>
      </c>
      <c r="T2445" s="9">
        <f>IF(Q2445="당기",ABS(P2445)+ROW()/1000000000,"")</f>
        <v/>
      </c>
      <c r="U2445" s="9">
        <f>IF(Q2445="비교",ABS(P2445)+ROW()/1000000000,"")</f>
        <v/>
      </c>
      <c r="V2445" s="64">
        <f>IF($A2445="","",IF(COUNTIF(변동분석!$E$7:$E$506,O2445)&gt;0,"Y","N"))</f>
        <v/>
      </c>
      <c r="W2445" s="64">
        <f>IF($A2445="","",IFERROR(INDEX(계정매핑!$D$5:$D$504,MATCH($F2445&amp;"",계정매핑!$A$5:$A$504,0)),"미매핑"))</f>
        <v/>
      </c>
      <c r="X2445" s="9">
        <f>IF($A2445="","",$F2445&amp;"")</f>
        <v/>
      </c>
      <c r="Y2445" s="94">
        <f>IF($A2445="",0,IF(AE2445="직접",IF(AF2445="비귀속",$P2445,0),$P2445*(1-AG2445)*IFERROR(INDEX(계정대체기준!$F$20:$F$49,MATCH($N2445,계정대체기준!$A$20:$A$49,0)),1)))</f>
        <v/>
      </c>
      <c r="Z2445" s="94">
        <f>IF($A2445="",0,IF(AE2445="직접",IF(AF2445="신계약비",$P2445,0),$P2445*(1-AG2445)*IFERROR(INDEX(계정대체기준!$C$20:$C$49,MATCH($N2445,계정대체기준!$A$20:$A$49,0)),0)))</f>
        <v/>
      </c>
      <c r="AA2445" s="94">
        <f>IF($A2445="",0,IF(AE2445="직접",IF(OR(AF2445="유지비",AF2445="손해조사비"),$P2445,0),$P2445*(1-AG2445)*IFERROR(INDEX(계정대체기준!$D$20:$D$49,MATCH($N2445,계정대체기준!$A$20:$A$49,0)),0)))</f>
        <v/>
      </c>
      <c r="AB2445" s="94">
        <f>IF($A2445="",0,IF(AE2445="직접",IF(AF2445="수금비",$P2445,0),$P2445*(1-AG2445)*IFERROR(INDEX(계정대체기준!$E$20:$E$49,MATCH($N2445,계정대체기준!$A$20:$A$49,0)),0)))</f>
        <v/>
      </c>
      <c r="AC2445" s="9">
        <f>IF(AND($A2445&lt;&gt;"",M2445=설정!$C$20,Z2445&gt;0),Z2445+ROW()/1000000000,"")</f>
        <v/>
      </c>
      <c r="AD2445" s="94">
        <f>IF($A2445="",0,$P2445*AG2445)</f>
        <v/>
      </c>
      <c r="AE2445" s="64">
        <f>IF($A2445="","",IFERROR(INDEX(계정매핑!$E$5:$E$504,MATCH($F2445&amp;"",계정매핑!$A$5:$A$504,0))&amp;"","공통비"))</f>
        <v/>
      </c>
      <c r="AF2445" s="64">
        <f>IF($A2445="","",IF(AE2445="직접",IFERROR(INDEX(계정매핑!$F$5:$F$504,MATCH($F2445&amp;"",계정매핑!$A$5:$A$504,0))&amp;"","비귀속"),""))</f>
        <v/>
      </c>
      <c r="AG2445" s="96">
        <f>IF($A2445="",0,IF(AND(AE2445&lt;&gt;"직접",IFERROR(INDEX(계정매핑!$G$5:$G$504,MATCH($F2445&amp;"",계정매핑!$A$5:$A$504,0))&amp;"","")="유지비",COUNTIF(계정대체기준!$A$6:$A$15,$N2445)&gt;0),IFERROR(INDEX(계정대체기준!$E$6:$E$15,MATCH(VALUE($A2445&amp;""),계정대체기준!$D$6:$D$15,0)),0),0))</f>
        <v/>
      </c>
      <c r="AH2445" s="64">
        <f>IF($A2445="","",IF(AD2445=0,"",IF(OR(COUNTIF(계정대체기준!$A$77:$A$86,$N2445)&gt;0,ISNUMBER(MATCH($X2445,계정대체기준!$D$77:$D$86,0)),ISNUMBER(MATCH($F2445,계정대체기준!$D$77:$D$86,0))),"Y","N")))</f>
        <v/>
      </c>
    </row>
    <row r="2446">
      <c r="A2446" s="92" t="n">
        <v>2025</v>
      </c>
      <c r="B2446" s="92" t="n">
        <v>11</v>
      </c>
      <c r="C2446" s="92" t="inlineStr">
        <is>
          <t>5100002442</t>
        </is>
      </c>
      <c r="D2446" s="95" t="n">
        <v>45983</v>
      </c>
      <c r="E2446" s="92" t="inlineStr">
        <is>
          <t>KR</t>
        </is>
      </c>
      <c r="F2446" s="92" t="n">
        <v>62101000</v>
      </c>
      <c r="G2446" s="92" t="n">
        <v>1101</v>
      </c>
      <c r="H2446" s="93" t="n">
        <v>522000</v>
      </c>
      <c r="I2446" s="92" t="inlineStr">
        <is>
          <t>11월 국내출장 - L여행사</t>
        </is>
      </c>
      <c r="J2446" s="92" t="inlineStr">
        <is>
          <t>V10018</t>
        </is>
      </c>
      <c r="K2446" s="92" t="inlineStr">
        <is>
          <t>L여행사</t>
        </is>
      </c>
      <c r="M2446" s="9">
        <f>IF($A2446="","",VALUE($A2446&amp;"")*12+VALUE($B2446&amp;""))</f>
        <v/>
      </c>
      <c r="N2446" s="64">
        <f>IF($A2446="","",IFERROR(INDEX(부서매핑!$C$5:$C$504,MATCH($G2446&amp;"",부서매핑!$A$5:$A$504,0)),"미매핑"))</f>
        <v/>
      </c>
      <c r="O2446" s="9">
        <f>IF($A2446="","",N2446&amp;"|"&amp;$F2446)</f>
        <v/>
      </c>
      <c r="P2446" s="94">
        <f>IF($A2446="",0,$H2446*설정!$C$23)</f>
        <v/>
      </c>
      <c r="Q2446" s="64">
        <f>IF($A2446="","",IF(O2446&lt;&gt;원인분석!$C$9,"",IF(AND(M2446&gt;=원인분석!$C$10,M2446&lt;=원인분석!$C$11),"당기",IF(AND(M2446&gt;=원인분석!$C$12,M2446&lt;=원인분석!$C$13),"비교",""))))</f>
        <v/>
      </c>
      <c r="R2446" s="9">
        <f>IF(Q2446="","",$K2446&amp;"")</f>
        <v/>
      </c>
      <c r="S2446" s="9">
        <f>IF(Q2446="","",IF(MATCH(R2446,$R$5:$R$100000,0)=ROW()-4,ROW(),""))</f>
        <v/>
      </c>
      <c r="T2446" s="9">
        <f>IF(Q2446="당기",ABS(P2446)+ROW()/1000000000,"")</f>
        <v/>
      </c>
      <c r="U2446" s="9">
        <f>IF(Q2446="비교",ABS(P2446)+ROW()/1000000000,"")</f>
        <v/>
      </c>
      <c r="V2446" s="64">
        <f>IF($A2446="","",IF(COUNTIF(변동분석!$E$7:$E$506,O2446)&gt;0,"Y","N"))</f>
        <v/>
      </c>
      <c r="W2446" s="64">
        <f>IF($A2446="","",IFERROR(INDEX(계정매핑!$D$5:$D$504,MATCH($F2446&amp;"",계정매핑!$A$5:$A$504,0)),"미매핑"))</f>
        <v/>
      </c>
      <c r="X2446" s="9">
        <f>IF($A2446="","",$F2446&amp;"")</f>
        <v/>
      </c>
      <c r="Y2446" s="94">
        <f>IF($A2446="",0,IF(AE2446="직접",IF(AF2446="비귀속",$P2446,0),$P2446*(1-AG2446)*IFERROR(INDEX(계정대체기준!$F$20:$F$49,MATCH($N2446,계정대체기준!$A$20:$A$49,0)),1)))</f>
        <v/>
      </c>
      <c r="Z2446" s="94">
        <f>IF($A2446="",0,IF(AE2446="직접",IF(AF2446="신계약비",$P2446,0),$P2446*(1-AG2446)*IFERROR(INDEX(계정대체기준!$C$20:$C$49,MATCH($N2446,계정대체기준!$A$20:$A$49,0)),0)))</f>
        <v/>
      </c>
      <c r="AA2446" s="94">
        <f>IF($A2446="",0,IF(AE2446="직접",IF(OR(AF2446="유지비",AF2446="손해조사비"),$P2446,0),$P2446*(1-AG2446)*IFERROR(INDEX(계정대체기준!$D$20:$D$49,MATCH($N2446,계정대체기준!$A$20:$A$49,0)),0)))</f>
        <v/>
      </c>
      <c r="AB2446" s="94">
        <f>IF($A2446="",0,IF(AE2446="직접",IF(AF2446="수금비",$P2446,0),$P2446*(1-AG2446)*IFERROR(INDEX(계정대체기준!$E$20:$E$49,MATCH($N2446,계정대체기준!$A$20:$A$49,0)),0)))</f>
        <v/>
      </c>
      <c r="AC2446" s="9">
        <f>IF(AND($A2446&lt;&gt;"",M2446=설정!$C$20,Z2446&gt;0),Z2446+ROW()/1000000000,"")</f>
        <v/>
      </c>
      <c r="AD2446" s="94">
        <f>IF($A2446="",0,$P2446*AG2446)</f>
        <v/>
      </c>
      <c r="AE2446" s="64">
        <f>IF($A2446="","",IFERROR(INDEX(계정매핑!$E$5:$E$504,MATCH($F2446&amp;"",계정매핑!$A$5:$A$504,0))&amp;"","공통비"))</f>
        <v/>
      </c>
      <c r="AF2446" s="64">
        <f>IF($A2446="","",IF(AE2446="직접",IFERROR(INDEX(계정매핑!$F$5:$F$504,MATCH($F2446&amp;"",계정매핑!$A$5:$A$504,0))&amp;"","비귀속"),""))</f>
        <v/>
      </c>
      <c r="AG2446" s="96">
        <f>IF($A2446="",0,IF(AND(AE2446&lt;&gt;"직접",IFERROR(INDEX(계정매핑!$G$5:$G$504,MATCH($F2446&amp;"",계정매핑!$A$5:$A$504,0))&amp;"","")="유지비",COUNTIF(계정대체기준!$A$6:$A$15,$N2446)&gt;0),IFERROR(INDEX(계정대체기준!$E$6:$E$15,MATCH(VALUE($A2446&amp;""),계정대체기준!$D$6:$D$15,0)),0),0))</f>
        <v/>
      </c>
      <c r="AH2446" s="64">
        <f>IF($A2446="","",IF(AD2446=0,"",IF(OR(COUNTIF(계정대체기준!$A$77:$A$86,$N2446)&gt;0,ISNUMBER(MATCH($X2446,계정대체기준!$D$77:$D$86,0)),ISNUMBER(MATCH($F2446,계정대체기준!$D$77:$D$86,0))),"Y","N")))</f>
        <v/>
      </c>
    </row>
    <row r="2447">
      <c r="A2447" s="92" t="n">
        <v>2025</v>
      </c>
      <c r="B2447" s="92" t="n">
        <v>11</v>
      </c>
      <c r="C2447" s="92" t="inlineStr">
        <is>
          <t>5100002443</t>
        </is>
      </c>
      <c r="D2447" s="95" t="n">
        <v>45983</v>
      </c>
      <c r="E2447" s="92" t="inlineStr">
        <is>
          <t>KR</t>
        </is>
      </c>
      <c r="F2447" s="92" t="n">
        <v>62102000</v>
      </c>
      <c r="G2447" s="92" t="n">
        <v>1701</v>
      </c>
      <c r="H2447" s="93" t="n">
        <v>49000</v>
      </c>
      <c r="I2447" s="92" t="inlineStr">
        <is>
          <t>11월 해외출장 - M항공</t>
        </is>
      </c>
      <c r="J2447" s="92" t="inlineStr">
        <is>
          <t>V10001</t>
        </is>
      </c>
      <c r="K2447" s="92" t="inlineStr">
        <is>
          <t>M항공</t>
        </is>
      </c>
      <c r="M2447" s="9">
        <f>IF($A2447="","",VALUE($A2447&amp;"")*12+VALUE($B2447&amp;""))</f>
        <v/>
      </c>
      <c r="N2447" s="64">
        <f>IF($A2447="","",IFERROR(INDEX(부서매핑!$C$5:$C$504,MATCH($G2447&amp;"",부서매핑!$A$5:$A$504,0)),"미매핑"))</f>
        <v/>
      </c>
      <c r="O2447" s="9">
        <f>IF($A2447="","",N2447&amp;"|"&amp;$F2447)</f>
        <v/>
      </c>
      <c r="P2447" s="94">
        <f>IF($A2447="",0,$H2447*설정!$C$23)</f>
        <v/>
      </c>
      <c r="Q2447" s="64">
        <f>IF($A2447="","",IF(O2447&lt;&gt;원인분석!$C$9,"",IF(AND(M2447&gt;=원인분석!$C$10,M2447&lt;=원인분석!$C$11),"당기",IF(AND(M2447&gt;=원인분석!$C$12,M2447&lt;=원인분석!$C$13),"비교",""))))</f>
        <v/>
      </c>
      <c r="R2447" s="9">
        <f>IF(Q2447="","",$K2447&amp;"")</f>
        <v/>
      </c>
      <c r="S2447" s="9">
        <f>IF(Q2447="","",IF(MATCH(R2447,$R$5:$R$100000,0)=ROW()-4,ROW(),""))</f>
        <v/>
      </c>
      <c r="T2447" s="9">
        <f>IF(Q2447="당기",ABS(P2447)+ROW()/1000000000,"")</f>
        <v/>
      </c>
      <c r="U2447" s="9">
        <f>IF(Q2447="비교",ABS(P2447)+ROW()/1000000000,"")</f>
        <v/>
      </c>
      <c r="V2447" s="64">
        <f>IF($A2447="","",IF(COUNTIF(변동분석!$E$7:$E$506,O2447)&gt;0,"Y","N"))</f>
        <v/>
      </c>
      <c r="W2447" s="64">
        <f>IF($A2447="","",IFERROR(INDEX(계정매핑!$D$5:$D$504,MATCH($F2447&amp;"",계정매핑!$A$5:$A$504,0)),"미매핑"))</f>
        <v/>
      </c>
      <c r="X2447" s="9">
        <f>IF($A2447="","",$F2447&amp;"")</f>
        <v/>
      </c>
      <c r="Y2447" s="94">
        <f>IF($A2447="",0,IF(AE2447="직접",IF(AF2447="비귀속",$P2447,0),$P2447*(1-AG2447)*IFERROR(INDEX(계정대체기준!$F$20:$F$49,MATCH($N2447,계정대체기준!$A$20:$A$49,0)),1)))</f>
        <v/>
      </c>
      <c r="Z2447" s="94">
        <f>IF($A2447="",0,IF(AE2447="직접",IF(AF2447="신계약비",$P2447,0),$P2447*(1-AG2447)*IFERROR(INDEX(계정대체기준!$C$20:$C$49,MATCH($N2447,계정대체기준!$A$20:$A$49,0)),0)))</f>
        <v/>
      </c>
      <c r="AA2447" s="94">
        <f>IF($A2447="",0,IF(AE2447="직접",IF(OR(AF2447="유지비",AF2447="손해조사비"),$P2447,0),$P2447*(1-AG2447)*IFERROR(INDEX(계정대체기준!$D$20:$D$49,MATCH($N2447,계정대체기준!$A$20:$A$49,0)),0)))</f>
        <v/>
      </c>
      <c r="AB2447" s="94">
        <f>IF($A2447="",0,IF(AE2447="직접",IF(AF2447="수금비",$P2447,0),$P2447*(1-AG2447)*IFERROR(INDEX(계정대체기준!$E$20:$E$49,MATCH($N2447,계정대체기준!$A$20:$A$49,0)),0)))</f>
        <v/>
      </c>
      <c r="AC2447" s="9">
        <f>IF(AND($A2447&lt;&gt;"",M2447=설정!$C$20,Z2447&gt;0),Z2447+ROW()/1000000000,"")</f>
        <v/>
      </c>
      <c r="AD2447" s="94">
        <f>IF($A2447="",0,$P2447*AG2447)</f>
        <v/>
      </c>
      <c r="AE2447" s="64">
        <f>IF($A2447="","",IFERROR(INDEX(계정매핑!$E$5:$E$504,MATCH($F2447&amp;"",계정매핑!$A$5:$A$504,0))&amp;"","공통비"))</f>
        <v/>
      </c>
      <c r="AF2447" s="64">
        <f>IF($A2447="","",IF(AE2447="직접",IFERROR(INDEX(계정매핑!$F$5:$F$504,MATCH($F2447&amp;"",계정매핑!$A$5:$A$504,0))&amp;"","비귀속"),""))</f>
        <v/>
      </c>
      <c r="AG2447" s="96">
        <f>IF($A2447="",0,IF(AND(AE2447&lt;&gt;"직접",IFERROR(INDEX(계정매핑!$G$5:$G$504,MATCH($F2447&amp;"",계정매핑!$A$5:$A$504,0))&amp;"","")="유지비",COUNTIF(계정대체기준!$A$6:$A$15,$N2447)&gt;0),IFERROR(INDEX(계정대체기준!$E$6:$E$15,MATCH(VALUE($A2447&amp;""),계정대체기준!$D$6:$D$15,0)),0),0))</f>
        <v/>
      </c>
      <c r="AH2447" s="64">
        <f>IF($A2447="","",IF(AD2447=0,"",IF(OR(COUNTIF(계정대체기준!$A$77:$A$86,$N2447)&gt;0,ISNUMBER(MATCH($X2447,계정대체기준!$D$77:$D$86,0)),ISNUMBER(MATCH($F2447,계정대체기준!$D$77:$D$86,0))),"Y","N")))</f>
        <v/>
      </c>
    </row>
    <row r="2448">
      <c r="A2448" s="92" t="n">
        <v>2025</v>
      </c>
      <c r="B2448" s="92" t="n">
        <v>11</v>
      </c>
      <c r="C2448" s="92" t="inlineStr">
        <is>
          <t>5100002444</t>
        </is>
      </c>
      <c r="D2448" s="95" t="n">
        <v>45983</v>
      </c>
      <c r="E2448" s="92" t="inlineStr">
        <is>
          <t>KR</t>
        </is>
      </c>
      <c r="F2448" s="92" t="n">
        <v>62301000</v>
      </c>
      <c r="G2448" s="92" t="n">
        <v>1801</v>
      </c>
      <c r="H2448" s="93" t="n">
        <v>518000</v>
      </c>
      <c r="I2448" s="92" t="inlineStr">
        <is>
          <t>11월 소모품 구입 - R문구</t>
        </is>
      </c>
      <c r="J2448" s="92" t="inlineStr">
        <is>
          <t>V10022</t>
        </is>
      </c>
      <c r="K2448" s="92" t="inlineStr">
        <is>
          <t>R문구</t>
        </is>
      </c>
      <c r="M2448" s="9">
        <f>IF($A2448="","",VALUE($A2448&amp;"")*12+VALUE($B2448&amp;""))</f>
        <v/>
      </c>
      <c r="N2448" s="64">
        <f>IF($A2448="","",IFERROR(INDEX(부서매핑!$C$5:$C$504,MATCH($G2448&amp;"",부서매핑!$A$5:$A$504,0)),"미매핑"))</f>
        <v/>
      </c>
      <c r="O2448" s="9">
        <f>IF($A2448="","",N2448&amp;"|"&amp;$F2448)</f>
        <v/>
      </c>
      <c r="P2448" s="94">
        <f>IF($A2448="",0,$H2448*설정!$C$23)</f>
        <v/>
      </c>
      <c r="Q2448" s="64">
        <f>IF($A2448="","",IF(O2448&lt;&gt;원인분석!$C$9,"",IF(AND(M2448&gt;=원인분석!$C$10,M2448&lt;=원인분석!$C$11),"당기",IF(AND(M2448&gt;=원인분석!$C$12,M2448&lt;=원인분석!$C$13),"비교",""))))</f>
        <v/>
      </c>
      <c r="R2448" s="9">
        <f>IF(Q2448="","",$K2448&amp;"")</f>
        <v/>
      </c>
      <c r="S2448" s="9">
        <f>IF(Q2448="","",IF(MATCH(R2448,$R$5:$R$100000,0)=ROW()-4,ROW(),""))</f>
        <v/>
      </c>
      <c r="T2448" s="9">
        <f>IF(Q2448="당기",ABS(P2448)+ROW()/1000000000,"")</f>
        <v/>
      </c>
      <c r="U2448" s="9">
        <f>IF(Q2448="비교",ABS(P2448)+ROW()/1000000000,"")</f>
        <v/>
      </c>
      <c r="V2448" s="64">
        <f>IF($A2448="","",IF(COUNTIF(변동분석!$E$7:$E$506,O2448)&gt;0,"Y","N"))</f>
        <v/>
      </c>
      <c r="W2448" s="64">
        <f>IF($A2448="","",IFERROR(INDEX(계정매핑!$D$5:$D$504,MATCH($F2448&amp;"",계정매핑!$A$5:$A$504,0)),"미매핑"))</f>
        <v/>
      </c>
      <c r="X2448" s="9">
        <f>IF($A2448="","",$F2448&amp;"")</f>
        <v/>
      </c>
      <c r="Y2448" s="94">
        <f>IF($A2448="",0,IF(AE2448="직접",IF(AF2448="비귀속",$P2448,0),$P2448*(1-AG2448)*IFERROR(INDEX(계정대체기준!$F$20:$F$49,MATCH($N2448,계정대체기준!$A$20:$A$49,0)),1)))</f>
        <v/>
      </c>
      <c r="Z2448" s="94">
        <f>IF($A2448="",0,IF(AE2448="직접",IF(AF2448="신계약비",$P2448,0),$P2448*(1-AG2448)*IFERROR(INDEX(계정대체기준!$C$20:$C$49,MATCH($N2448,계정대체기준!$A$20:$A$49,0)),0)))</f>
        <v/>
      </c>
      <c r="AA2448" s="94">
        <f>IF($A2448="",0,IF(AE2448="직접",IF(OR(AF2448="유지비",AF2448="손해조사비"),$P2448,0),$P2448*(1-AG2448)*IFERROR(INDEX(계정대체기준!$D$20:$D$49,MATCH($N2448,계정대체기준!$A$20:$A$49,0)),0)))</f>
        <v/>
      </c>
      <c r="AB2448" s="94">
        <f>IF($A2448="",0,IF(AE2448="직접",IF(AF2448="수금비",$P2448,0),$P2448*(1-AG2448)*IFERROR(INDEX(계정대체기준!$E$20:$E$49,MATCH($N2448,계정대체기준!$A$20:$A$49,0)),0)))</f>
        <v/>
      </c>
      <c r="AC2448" s="9">
        <f>IF(AND($A2448&lt;&gt;"",M2448=설정!$C$20,Z2448&gt;0),Z2448+ROW()/1000000000,"")</f>
        <v/>
      </c>
      <c r="AD2448" s="94">
        <f>IF($A2448="",0,$P2448*AG2448)</f>
        <v/>
      </c>
      <c r="AE2448" s="64">
        <f>IF($A2448="","",IFERROR(INDEX(계정매핑!$E$5:$E$504,MATCH($F2448&amp;"",계정매핑!$A$5:$A$504,0))&amp;"","공통비"))</f>
        <v/>
      </c>
      <c r="AF2448" s="64">
        <f>IF($A2448="","",IF(AE2448="직접",IFERROR(INDEX(계정매핑!$F$5:$F$504,MATCH($F2448&amp;"",계정매핑!$A$5:$A$504,0))&amp;"","비귀속"),""))</f>
        <v/>
      </c>
      <c r="AG2448" s="96">
        <f>IF($A2448="",0,IF(AND(AE2448&lt;&gt;"직접",IFERROR(INDEX(계정매핑!$G$5:$G$504,MATCH($F2448&amp;"",계정매핑!$A$5:$A$504,0))&amp;"","")="유지비",COUNTIF(계정대체기준!$A$6:$A$15,$N2448)&gt;0),IFERROR(INDEX(계정대체기준!$E$6:$E$15,MATCH(VALUE($A2448&amp;""),계정대체기준!$D$6:$D$15,0)),0),0))</f>
        <v/>
      </c>
      <c r="AH2448" s="64">
        <f>IF($A2448="","",IF(AD2448=0,"",IF(OR(COUNTIF(계정대체기준!$A$77:$A$86,$N2448)&gt;0,ISNUMBER(MATCH($X2448,계정대체기준!$D$77:$D$86,0)),ISNUMBER(MATCH($F2448,계정대체기준!$D$77:$D$86,0))),"Y","N")))</f>
        <v/>
      </c>
    </row>
    <row r="2449">
      <c r="A2449" s="92" t="n">
        <v>2025</v>
      </c>
      <c r="B2449" s="92" t="n">
        <v>11</v>
      </c>
      <c r="C2449" s="92" t="inlineStr">
        <is>
          <t>5100002445</t>
        </is>
      </c>
      <c r="D2449" s="95" t="n">
        <v>45983</v>
      </c>
      <c r="E2449" s="92" t="inlineStr">
        <is>
          <t>KR</t>
        </is>
      </c>
      <c r="F2449" s="92" t="n">
        <v>62902000</v>
      </c>
      <c r="G2449" s="92" t="n">
        <v>1801</v>
      </c>
      <c r="H2449" s="93" t="n">
        <v>1802000</v>
      </c>
      <c r="I2449" s="92" t="inlineStr">
        <is>
          <t>11월 콜 위탁 수수료(건별)</t>
        </is>
      </c>
      <c r="J2449" s="92" t="inlineStr">
        <is>
          <t>V10016</t>
        </is>
      </c>
      <c r="K2449" s="92" t="inlineStr">
        <is>
          <t>J콜센터</t>
        </is>
      </c>
      <c r="M2449" s="9">
        <f>IF($A2449="","",VALUE($A2449&amp;"")*12+VALUE($B2449&amp;""))</f>
        <v/>
      </c>
      <c r="N2449" s="64">
        <f>IF($A2449="","",IFERROR(INDEX(부서매핑!$C$5:$C$504,MATCH($G2449&amp;"",부서매핑!$A$5:$A$504,0)),"미매핑"))</f>
        <v/>
      </c>
      <c r="O2449" s="9">
        <f>IF($A2449="","",N2449&amp;"|"&amp;$F2449)</f>
        <v/>
      </c>
      <c r="P2449" s="94">
        <f>IF($A2449="",0,$H2449*설정!$C$23)</f>
        <v/>
      </c>
      <c r="Q2449" s="64">
        <f>IF($A2449="","",IF(O2449&lt;&gt;원인분석!$C$9,"",IF(AND(M2449&gt;=원인분석!$C$10,M2449&lt;=원인분석!$C$11),"당기",IF(AND(M2449&gt;=원인분석!$C$12,M2449&lt;=원인분석!$C$13),"비교",""))))</f>
        <v/>
      </c>
      <c r="R2449" s="9">
        <f>IF(Q2449="","",$K2449&amp;"")</f>
        <v/>
      </c>
      <c r="S2449" s="9">
        <f>IF(Q2449="","",IF(MATCH(R2449,$R$5:$R$100000,0)=ROW()-4,ROW(),""))</f>
        <v/>
      </c>
      <c r="T2449" s="9">
        <f>IF(Q2449="당기",ABS(P2449)+ROW()/1000000000,"")</f>
        <v/>
      </c>
      <c r="U2449" s="9">
        <f>IF(Q2449="비교",ABS(P2449)+ROW()/1000000000,"")</f>
        <v/>
      </c>
      <c r="V2449" s="64">
        <f>IF($A2449="","",IF(COUNTIF(변동분석!$E$7:$E$506,O2449)&gt;0,"Y","N"))</f>
        <v/>
      </c>
      <c r="W2449" s="64">
        <f>IF($A2449="","",IFERROR(INDEX(계정매핑!$D$5:$D$504,MATCH($F2449&amp;"",계정매핑!$A$5:$A$504,0)),"미매핑"))</f>
        <v/>
      </c>
      <c r="X2449" s="9">
        <f>IF($A2449="","",$F2449&amp;"")</f>
        <v/>
      </c>
      <c r="Y2449" s="94">
        <f>IF($A2449="",0,IF(AE2449="직접",IF(AF2449="비귀속",$P2449,0),$P2449*(1-AG2449)*IFERROR(INDEX(계정대체기준!$F$20:$F$49,MATCH($N2449,계정대체기준!$A$20:$A$49,0)),1)))</f>
        <v/>
      </c>
      <c r="Z2449" s="94">
        <f>IF($A2449="",0,IF(AE2449="직접",IF(AF2449="신계약비",$P2449,0),$P2449*(1-AG2449)*IFERROR(INDEX(계정대체기준!$C$20:$C$49,MATCH($N2449,계정대체기준!$A$20:$A$49,0)),0)))</f>
        <v/>
      </c>
      <c r="AA2449" s="94">
        <f>IF($A2449="",0,IF(AE2449="직접",IF(OR(AF2449="유지비",AF2449="손해조사비"),$P2449,0),$P2449*(1-AG2449)*IFERROR(INDEX(계정대체기준!$D$20:$D$49,MATCH($N2449,계정대체기준!$A$20:$A$49,0)),0)))</f>
        <v/>
      </c>
      <c r="AB2449" s="94">
        <f>IF($A2449="",0,IF(AE2449="직접",IF(AF2449="수금비",$P2449,0),$P2449*(1-AG2449)*IFERROR(INDEX(계정대체기준!$E$20:$E$49,MATCH($N2449,계정대체기준!$A$20:$A$49,0)),0)))</f>
        <v/>
      </c>
      <c r="AC2449" s="9">
        <f>IF(AND($A2449&lt;&gt;"",M2449=설정!$C$20,Z2449&gt;0),Z2449+ROW()/1000000000,"")</f>
        <v/>
      </c>
      <c r="AD2449" s="94">
        <f>IF($A2449="",0,$P2449*AG2449)</f>
        <v/>
      </c>
      <c r="AE2449" s="64">
        <f>IF($A2449="","",IFERROR(INDEX(계정매핑!$E$5:$E$504,MATCH($F2449&amp;"",계정매핑!$A$5:$A$504,0))&amp;"","공통비"))</f>
        <v/>
      </c>
      <c r="AF2449" s="64">
        <f>IF($A2449="","",IF(AE2449="직접",IFERROR(INDEX(계정매핑!$F$5:$F$504,MATCH($F2449&amp;"",계정매핑!$A$5:$A$504,0))&amp;"","비귀속"),""))</f>
        <v/>
      </c>
      <c r="AG2449" s="96">
        <f>IF($A2449="",0,IF(AND(AE2449&lt;&gt;"직접",IFERROR(INDEX(계정매핑!$G$5:$G$504,MATCH($F2449&amp;"",계정매핑!$A$5:$A$504,0))&amp;"","")="유지비",COUNTIF(계정대체기준!$A$6:$A$15,$N2449)&gt;0),IFERROR(INDEX(계정대체기준!$E$6:$E$15,MATCH(VALUE($A2449&amp;""),계정대체기준!$D$6:$D$15,0)),0),0))</f>
        <v/>
      </c>
      <c r="AH2449" s="64">
        <f>IF($A2449="","",IF(AD2449=0,"",IF(OR(COUNTIF(계정대체기준!$A$77:$A$86,$N2449)&gt;0,ISNUMBER(MATCH($X2449,계정대체기준!$D$77:$D$86,0)),ISNUMBER(MATCH($F2449,계정대체기준!$D$77:$D$86,0))),"Y","N")))</f>
        <v/>
      </c>
    </row>
    <row r="2450">
      <c r="A2450" s="92" t="n">
        <v>2025</v>
      </c>
      <c r="B2450" s="92" t="n">
        <v>11</v>
      </c>
      <c r="C2450" s="92" t="inlineStr">
        <is>
          <t>5100002446</t>
        </is>
      </c>
      <c r="D2450" s="95" t="n">
        <v>45984</v>
      </c>
      <c r="E2450" s="92" t="inlineStr">
        <is>
          <t>KR</t>
        </is>
      </c>
      <c r="F2450" s="92" t="n">
        <v>62101000</v>
      </c>
      <c r="G2450" s="92" t="n">
        <v>1701</v>
      </c>
      <c r="H2450" s="93" t="n">
        <v>224000</v>
      </c>
      <c r="I2450" s="92" t="inlineStr">
        <is>
          <t>11월 국내출장 - (법인카드)</t>
        </is>
      </c>
      <c r="J2450" s="92" t="inlineStr">
        <is>
          <t>V10010</t>
        </is>
      </c>
      <c r="K2450" s="92" t="inlineStr">
        <is>
          <t>(법인카드)</t>
        </is>
      </c>
      <c r="M2450" s="9">
        <f>IF($A2450="","",VALUE($A2450&amp;"")*12+VALUE($B2450&amp;""))</f>
        <v/>
      </c>
      <c r="N2450" s="64">
        <f>IF($A2450="","",IFERROR(INDEX(부서매핑!$C$5:$C$504,MATCH($G2450&amp;"",부서매핑!$A$5:$A$504,0)),"미매핑"))</f>
        <v/>
      </c>
      <c r="O2450" s="9">
        <f>IF($A2450="","",N2450&amp;"|"&amp;$F2450)</f>
        <v/>
      </c>
      <c r="P2450" s="94">
        <f>IF($A2450="",0,$H2450*설정!$C$23)</f>
        <v/>
      </c>
      <c r="Q2450" s="64">
        <f>IF($A2450="","",IF(O2450&lt;&gt;원인분석!$C$9,"",IF(AND(M2450&gt;=원인분석!$C$10,M2450&lt;=원인분석!$C$11),"당기",IF(AND(M2450&gt;=원인분석!$C$12,M2450&lt;=원인분석!$C$13),"비교",""))))</f>
        <v/>
      </c>
      <c r="R2450" s="9">
        <f>IF(Q2450="","",$K2450&amp;"")</f>
        <v/>
      </c>
      <c r="S2450" s="9">
        <f>IF(Q2450="","",IF(MATCH(R2450,$R$5:$R$100000,0)=ROW()-4,ROW(),""))</f>
        <v/>
      </c>
      <c r="T2450" s="9">
        <f>IF(Q2450="당기",ABS(P2450)+ROW()/1000000000,"")</f>
        <v/>
      </c>
      <c r="U2450" s="9">
        <f>IF(Q2450="비교",ABS(P2450)+ROW()/1000000000,"")</f>
        <v/>
      </c>
      <c r="V2450" s="64">
        <f>IF($A2450="","",IF(COUNTIF(변동분석!$E$7:$E$506,O2450)&gt;0,"Y","N"))</f>
        <v/>
      </c>
      <c r="W2450" s="64">
        <f>IF($A2450="","",IFERROR(INDEX(계정매핑!$D$5:$D$504,MATCH($F2450&amp;"",계정매핑!$A$5:$A$504,0)),"미매핑"))</f>
        <v/>
      </c>
      <c r="X2450" s="9">
        <f>IF($A2450="","",$F2450&amp;"")</f>
        <v/>
      </c>
      <c r="Y2450" s="94">
        <f>IF($A2450="",0,IF(AE2450="직접",IF(AF2450="비귀속",$P2450,0),$P2450*(1-AG2450)*IFERROR(INDEX(계정대체기준!$F$20:$F$49,MATCH($N2450,계정대체기준!$A$20:$A$49,0)),1)))</f>
        <v/>
      </c>
      <c r="Z2450" s="94">
        <f>IF($A2450="",0,IF(AE2450="직접",IF(AF2450="신계약비",$P2450,0),$P2450*(1-AG2450)*IFERROR(INDEX(계정대체기준!$C$20:$C$49,MATCH($N2450,계정대체기준!$A$20:$A$49,0)),0)))</f>
        <v/>
      </c>
      <c r="AA2450" s="94">
        <f>IF($A2450="",0,IF(AE2450="직접",IF(OR(AF2450="유지비",AF2450="손해조사비"),$P2450,0),$P2450*(1-AG2450)*IFERROR(INDEX(계정대체기준!$D$20:$D$49,MATCH($N2450,계정대체기준!$A$20:$A$49,0)),0)))</f>
        <v/>
      </c>
      <c r="AB2450" s="94">
        <f>IF($A2450="",0,IF(AE2450="직접",IF(AF2450="수금비",$P2450,0),$P2450*(1-AG2450)*IFERROR(INDEX(계정대체기준!$E$20:$E$49,MATCH($N2450,계정대체기준!$A$20:$A$49,0)),0)))</f>
        <v/>
      </c>
      <c r="AC2450" s="9">
        <f>IF(AND($A2450&lt;&gt;"",M2450=설정!$C$20,Z2450&gt;0),Z2450+ROW()/1000000000,"")</f>
        <v/>
      </c>
      <c r="AD2450" s="94">
        <f>IF($A2450="",0,$P2450*AG2450)</f>
        <v/>
      </c>
      <c r="AE2450" s="64">
        <f>IF($A2450="","",IFERROR(INDEX(계정매핑!$E$5:$E$504,MATCH($F2450&amp;"",계정매핑!$A$5:$A$504,0))&amp;"","공통비"))</f>
        <v/>
      </c>
      <c r="AF2450" s="64">
        <f>IF($A2450="","",IF(AE2450="직접",IFERROR(INDEX(계정매핑!$F$5:$F$504,MATCH($F2450&amp;"",계정매핑!$A$5:$A$504,0))&amp;"","비귀속"),""))</f>
        <v/>
      </c>
      <c r="AG2450" s="96">
        <f>IF($A2450="",0,IF(AND(AE2450&lt;&gt;"직접",IFERROR(INDEX(계정매핑!$G$5:$G$504,MATCH($F2450&amp;"",계정매핑!$A$5:$A$504,0))&amp;"","")="유지비",COUNTIF(계정대체기준!$A$6:$A$15,$N2450)&gt;0),IFERROR(INDEX(계정대체기준!$E$6:$E$15,MATCH(VALUE($A2450&amp;""),계정대체기준!$D$6:$D$15,0)),0),0))</f>
        <v/>
      </c>
      <c r="AH2450" s="64">
        <f>IF($A2450="","",IF(AD2450=0,"",IF(OR(COUNTIF(계정대체기준!$A$77:$A$86,$N2450)&gt;0,ISNUMBER(MATCH($X2450,계정대체기준!$D$77:$D$86,0)),ISNUMBER(MATCH($F2450,계정대체기준!$D$77:$D$86,0))),"Y","N")))</f>
        <v/>
      </c>
    </row>
    <row r="2451">
      <c r="A2451" s="92" t="n">
        <v>2025</v>
      </c>
      <c r="B2451" s="92" t="n">
        <v>11</v>
      </c>
      <c r="C2451" s="92" t="inlineStr">
        <is>
          <t>5100002447</t>
        </is>
      </c>
      <c r="D2451" s="95" t="n">
        <v>45984</v>
      </c>
      <c r="E2451" s="92" t="inlineStr">
        <is>
          <t>KR</t>
        </is>
      </c>
      <c r="F2451" s="92" t="n">
        <v>62102000</v>
      </c>
      <c r="G2451" s="92" t="n">
        <v>1201</v>
      </c>
      <c r="H2451" s="93" t="n">
        <v>59000</v>
      </c>
      <c r="I2451" s="92" t="inlineStr">
        <is>
          <t>11월 해외출장 - M항공</t>
        </is>
      </c>
      <c r="J2451" s="92" t="inlineStr">
        <is>
          <t>V10001</t>
        </is>
      </c>
      <c r="K2451" s="92" t="inlineStr">
        <is>
          <t>M항공</t>
        </is>
      </c>
      <c r="M2451" s="9">
        <f>IF($A2451="","",VALUE($A2451&amp;"")*12+VALUE($B2451&amp;""))</f>
        <v/>
      </c>
      <c r="N2451" s="64">
        <f>IF($A2451="","",IFERROR(INDEX(부서매핑!$C$5:$C$504,MATCH($G2451&amp;"",부서매핑!$A$5:$A$504,0)),"미매핑"))</f>
        <v/>
      </c>
      <c r="O2451" s="9">
        <f>IF($A2451="","",N2451&amp;"|"&amp;$F2451)</f>
        <v/>
      </c>
      <c r="P2451" s="94">
        <f>IF($A2451="",0,$H2451*설정!$C$23)</f>
        <v/>
      </c>
      <c r="Q2451" s="64">
        <f>IF($A2451="","",IF(O2451&lt;&gt;원인분석!$C$9,"",IF(AND(M2451&gt;=원인분석!$C$10,M2451&lt;=원인분석!$C$11),"당기",IF(AND(M2451&gt;=원인분석!$C$12,M2451&lt;=원인분석!$C$13),"비교",""))))</f>
        <v/>
      </c>
      <c r="R2451" s="9">
        <f>IF(Q2451="","",$K2451&amp;"")</f>
        <v/>
      </c>
      <c r="S2451" s="9">
        <f>IF(Q2451="","",IF(MATCH(R2451,$R$5:$R$100000,0)=ROW()-4,ROW(),""))</f>
        <v/>
      </c>
      <c r="T2451" s="9">
        <f>IF(Q2451="당기",ABS(P2451)+ROW()/1000000000,"")</f>
        <v/>
      </c>
      <c r="U2451" s="9">
        <f>IF(Q2451="비교",ABS(P2451)+ROW()/1000000000,"")</f>
        <v/>
      </c>
      <c r="V2451" s="64">
        <f>IF($A2451="","",IF(COUNTIF(변동분석!$E$7:$E$506,O2451)&gt;0,"Y","N"))</f>
        <v/>
      </c>
      <c r="W2451" s="64">
        <f>IF($A2451="","",IFERROR(INDEX(계정매핑!$D$5:$D$504,MATCH($F2451&amp;"",계정매핑!$A$5:$A$504,0)),"미매핑"))</f>
        <v/>
      </c>
      <c r="X2451" s="9">
        <f>IF($A2451="","",$F2451&amp;"")</f>
        <v/>
      </c>
      <c r="Y2451" s="94">
        <f>IF($A2451="",0,IF(AE2451="직접",IF(AF2451="비귀속",$P2451,0),$P2451*(1-AG2451)*IFERROR(INDEX(계정대체기준!$F$20:$F$49,MATCH($N2451,계정대체기준!$A$20:$A$49,0)),1)))</f>
        <v/>
      </c>
      <c r="Z2451" s="94">
        <f>IF($A2451="",0,IF(AE2451="직접",IF(AF2451="신계약비",$P2451,0),$P2451*(1-AG2451)*IFERROR(INDEX(계정대체기준!$C$20:$C$49,MATCH($N2451,계정대체기준!$A$20:$A$49,0)),0)))</f>
        <v/>
      </c>
      <c r="AA2451" s="94">
        <f>IF($A2451="",0,IF(AE2451="직접",IF(OR(AF2451="유지비",AF2451="손해조사비"),$P2451,0),$P2451*(1-AG2451)*IFERROR(INDEX(계정대체기준!$D$20:$D$49,MATCH($N2451,계정대체기준!$A$20:$A$49,0)),0)))</f>
        <v/>
      </c>
      <c r="AB2451" s="94">
        <f>IF($A2451="",0,IF(AE2451="직접",IF(AF2451="수금비",$P2451,0),$P2451*(1-AG2451)*IFERROR(INDEX(계정대체기준!$E$20:$E$49,MATCH($N2451,계정대체기준!$A$20:$A$49,0)),0)))</f>
        <v/>
      </c>
      <c r="AC2451" s="9">
        <f>IF(AND($A2451&lt;&gt;"",M2451=설정!$C$20,Z2451&gt;0),Z2451+ROW()/1000000000,"")</f>
        <v/>
      </c>
      <c r="AD2451" s="94">
        <f>IF($A2451="",0,$P2451*AG2451)</f>
        <v/>
      </c>
      <c r="AE2451" s="64">
        <f>IF($A2451="","",IFERROR(INDEX(계정매핑!$E$5:$E$504,MATCH($F2451&amp;"",계정매핑!$A$5:$A$504,0))&amp;"","공통비"))</f>
        <v/>
      </c>
      <c r="AF2451" s="64">
        <f>IF($A2451="","",IF(AE2451="직접",IFERROR(INDEX(계정매핑!$F$5:$F$504,MATCH($F2451&amp;"",계정매핑!$A$5:$A$504,0))&amp;"","비귀속"),""))</f>
        <v/>
      </c>
      <c r="AG2451" s="96">
        <f>IF($A2451="",0,IF(AND(AE2451&lt;&gt;"직접",IFERROR(INDEX(계정매핑!$G$5:$G$504,MATCH($F2451&amp;"",계정매핑!$A$5:$A$504,0))&amp;"","")="유지비",COUNTIF(계정대체기준!$A$6:$A$15,$N2451)&gt;0),IFERROR(INDEX(계정대체기준!$E$6:$E$15,MATCH(VALUE($A2451&amp;""),계정대체기준!$D$6:$D$15,0)),0),0))</f>
        <v/>
      </c>
      <c r="AH2451" s="64">
        <f>IF($A2451="","",IF(AD2451=0,"",IF(OR(COUNTIF(계정대체기준!$A$77:$A$86,$N2451)&gt;0,ISNUMBER(MATCH($X2451,계정대체기준!$D$77:$D$86,0)),ISNUMBER(MATCH($F2451,계정대체기준!$D$77:$D$86,0))),"Y","N")))</f>
        <v/>
      </c>
    </row>
    <row r="2452">
      <c r="A2452" s="92" t="n">
        <v>2025</v>
      </c>
      <c r="B2452" s="92" t="n">
        <v>11</v>
      </c>
      <c r="C2452" s="92" t="inlineStr">
        <is>
          <t>5100002448</t>
        </is>
      </c>
      <c r="D2452" s="95" t="n">
        <v>45984</v>
      </c>
      <c r="E2452" s="92" t="inlineStr">
        <is>
          <t>KR</t>
        </is>
      </c>
      <c r="F2452" s="92" t="n">
        <v>62201000</v>
      </c>
      <c r="G2452" s="92" t="n">
        <v>1501</v>
      </c>
      <c r="H2452" s="93" t="n">
        <v>194000</v>
      </c>
      <c r="I2452" s="92" t="inlineStr">
        <is>
          <t>11월 통신요금 - P통신</t>
        </is>
      </c>
      <c r="J2452" s="92" t="inlineStr">
        <is>
          <t>V10014</t>
        </is>
      </c>
      <c r="K2452" s="92" t="inlineStr">
        <is>
          <t>P통신</t>
        </is>
      </c>
      <c r="M2452" s="9">
        <f>IF($A2452="","",VALUE($A2452&amp;"")*12+VALUE($B2452&amp;""))</f>
        <v/>
      </c>
      <c r="N2452" s="64">
        <f>IF($A2452="","",IFERROR(INDEX(부서매핑!$C$5:$C$504,MATCH($G2452&amp;"",부서매핑!$A$5:$A$504,0)),"미매핑"))</f>
        <v/>
      </c>
      <c r="O2452" s="9">
        <f>IF($A2452="","",N2452&amp;"|"&amp;$F2452)</f>
        <v/>
      </c>
      <c r="P2452" s="94">
        <f>IF($A2452="",0,$H2452*설정!$C$23)</f>
        <v/>
      </c>
      <c r="Q2452" s="64">
        <f>IF($A2452="","",IF(O2452&lt;&gt;원인분석!$C$9,"",IF(AND(M2452&gt;=원인분석!$C$10,M2452&lt;=원인분석!$C$11),"당기",IF(AND(M2452&gt;=원인분석!$C$12,M2452&lt;=원인분석!$C$13),"비교",""))))</f>
        <v/>
      </c>
      <c r="R2452" s="9">
        <f>IF(Q2452="","",$K2452&amp;"")</f>
        <v/>
      </c>
      <c r="S2452" s="9">
        <f>IF(Q2452="","",IF(MATCH(R2452,$R$5:$R$100000,0)=ROW()-4,ROW(),""))</f>
        <v/>
      </c>
      <c r="T2452" s="9">
        <f>IF(Q2452="당기",ABS(P2452)+ROW()/1000000000,"")</f>
        <v/>
      </c>
      <c r="U2452" s="9">
        <f>IF(Q2452="비교",ABS(P2452)+ROW()/1000000000,"")</f>
        <v/>
      </c>
      <c r="V2452" s="64">
        <f>IF($A2452="","",IF(COUNTIF(변동분석!$E$7:$E$506,O2452)&gt;0,"Y","N"))</f>
        <v/>
      </c>
      <c r="W2452" s="64">
        <f>IF($A2452="","",IFERROR(INDEX(계정매핑!$D$5:$D$504,MATCH($F2452&amp;"",계정매핑!$A$5:$A$504,0)),"미매핑"))</f>
        <v/>
      </c>
      <c r="X2452" s="9">
        <f>IF($A2452="","",$F2452&amp;"")</f>
        <v/>
      </c>
      <c r="Y2452" s="94">
        <f>IF($A2452="",0,IF(AE2452="직접",IF(AF2452="비귀속",$P2452,0),$P2452*(1-AG2452)*IFERROR(INDEX(계정대체기준!$F$20:$F$49,MATCH($N2452,계정대체기준!$A$20:$A$49,0)),1)))</f>
        <v/>
      </c>
      <c r="Z2452" s="94">
        <f>IF($A2452="",0,IF(AE2452="직접",IF(AF2452="신계약비",$P2452,0),$P2452*(1-AG2452)*IFERROR(INDEX(계정대체기준!$C$20:$C$49,MATCH($N2452,계정대체기준!$A$20:$A$49,0)),0)))</f>
        <v/>
      </c>
      <c r="AA2452" s="94">
        <f>IF($A2452="",0,IF(AE2452="직접",IF(OR(AF2452="유지비",AF2452="손해조사비"),$P2452,0),$P2452*(1-AG2452)*IFERROR(INDEX(계정대체기준!$D$20:$D$49,MATCH($N2452,계정대체기준!$A$20:$A$49,0)),0)))</f>
        <v/>
      </c>
      <c r="AB2452" s="94">
        <f>IF($A2452="",0,IF(AE2452="직접",IF(AF2452="수금비",$P2452,0),$P2452*(1-AG2452)*IFERROR(INDEX(계정대체기준!$E$20:$E$49,MATCH($N2452,계정대체기준!$A$20:$A$49,0)),0)))</f>
        <v/>
      </c>
      <c r="AC2452" s="9">
        <f>IF(AND($A2452&lt;&gt;"",M2452=설정!$C$20,Z2452&gt;0),Z2452+ROW()/1000000000,"")</f>
        <v/>
      </c>
      <c r="AD2452" s="94">
        <f>IF($A2452="",0,$P2452*AG2452)</f>
        <v/>
      </c>
      <c r="AE2452" s="64">
        <f>IF($A2452="","",IFERROR(INDEX(계정매핑!$E$5:$E$504,MATCH($F2452&amp;"",계정매핑!$A$5:$A$504,0))&amp;"","공통비"))</f>
        <v/>
      </c>
      <c r="AF2452" s="64">
        <f>IF($A2452="","",IF(AE2452="직접",IFERROR(INDEX(계정매핑!$F$5:$F$504,MATCH($F2452&amp;"",계정매핑!$A$5:$A$504,0))&amp;"","비귀속"),""))</f>
        <v/>
      </c>
      <c r="AG2452" s="96">
        <f>IF($A2452="",0,IF(AND(AE2452&lt;&gt;"직접",IFERROR(INDEX(계정매핑!$G$5:$G$504,MATCH($F2452&amp;"",계정매핑!$A$5:$A$504,0))&amp;"","")="유지비",COUNTIF(계정대체기준!$A$6:$A$15,$N2452)&gt;0),IFERROR(INDEX(계정대체기준!$E$6:$E$15,MATCH(VALUE($A2452&amp;""),계정대체기준!$D$6:$D$15,0)),0),0))</f>
        <v/>
      </c>
      <c r="AH2452" s="64">
        <f>IF($A2452="","",IF(AD2452=0,"",IF(OR(COUNTIF(계정대체기준!$A$77:$A$86,$N2452)&gt;0,ISNUMBER(MATCH($X2452,계정대체기준!$D$77:$D$86,0)),ISNUMBER(MATCH($F2452,계정대체기준!$D$77:$D$86,0))),"Y","N")))</f>
        <v/>
      </c>
    </row>
    <row r="2453">
      <c r="A2453" s="92" t="n">
        <v>2025</v>
      </c>
      <c r="B2453" s="92" t="n">
        <v>11</v>
      </c>
      <c r="C2453" s="92" t="inlineStr">
        <is>
          <t>5100002449</t>
        </is>
      </c>
      <c r="D2453" s="95" t="n">
        <v>45984</v>
      </c>
      <c r="E2453" s="92" t="inlineStr">
        <is>
          <t>KR</t>
        </is>
      </c>
      <c r="F2453" s="92" t="n">
        <v>62301000</v>
      </c>
      <c r="G2453" s="92" t="n">
        <v>1301</v>
      </c>
      <c r="H2453" s="93" t="n">
        <v>386000</v>
      </c>
      <c r="I2453" s="92" t="inlineStr">
        <is>
          <t>11월 소모품 구입 - Q오피스</t>
        </is>
      </c>
      <c r="J2453" s="92" t="inlineStr">
        <is>
          <t>V10003</t>
        </is>
      </c>
      <c r="K2453" s="92" t="inlineStr">
        <is>
          <t>Q오피스</t>
        </is>
      </c>
      <c r="M2453" s="9">
        <f>IF($A2453="","",VALUE($A2453&amp;"")*12+VALUE($B2453&amp;""))</f>
        <v/>
      </c>
      <c r="N2453" s="64">
        <f>IF($A2453="","",IFERROR(INDEX(부서매핑!$C$5:$C$504,MATCH($G2453&amp;"",부서매핑!$A$5:$A$504,0)),"미매핑"))</f>
        <v/>
      </c>
      <c r="O2453" s="9">
        <f>IF($A2453="","",N2453&amp;"|"&amp;$F2453)</f>
        <v/>
      </c>
      <c r="P2453" s="94">
        <f>IF($A2453="",0,$H2453*설정!$C$23)</f>
        <v/>
      </c>
      <c r="Q2453" s="64">
        <f>IF($A2453="","",IF(O2453&lt;&gt;원인분석!$C$9,"",IF(AND(M2453&gt;=원인분석!$C$10,M2453&lt;=원인분석!$C$11),"당기",IF(AND(M2453&gt;=원인분석!$C$12,M2453&lt;=원인분석!$C$13),"비교",""))))</f>
        <v/>
      </c>
      <c r="R2453" s="9">
        <f>IF(Q2453="","",$K2453&amp;"")</f>
        <v/>
      </c>
      <c r="S2453" s="9">
        <f>IF(Q2453="","",IF(MATCH(R2453,$R$5:$R$100000,0)=ROW()-4,ROW(),""))</f>
        <v/>
      </c>
      <c r="T2453" s="9">
        <f>IF(Q2453="당기",ABS(P2453)+ROW()/1000000000,"")</f>
        <v/>
      </c>
      <c r="U2453" s="9">
        <f>IF(Q2453="비교",ABS(P2453)+ROW()/1000000000,"")</f>
        <v/>
      </c>
      <c r="V2453" s="64">
        <f>IF($A2453="","",IF(COUNTIF(변동분석!$E$7:$E$506,O2453)&gt;0,"Y","N"))</f>
        <v/>
      </c>
      <c r="W2453" s="64">
        <f>IF($A2453="","",IFERROR(INDEX(계정매핑!$D$5:$D$504,MATCH($F2453&amp;"",계정매핑!$A$5:$A$504,0)),"미매핑"))</f>
        <v/>
      </c>
      <c r="X2453" s="9">
        <f>IF($A2453="","",$F2453&amp;"")</f>
        <v/>
      </c>
      <c r="Y2453" s="94">
        <f>IF($A2453="",0,IF(AE2453="직접",IF(AF2453="비귀속",$P2453,0),$P2453*(1-AG2453)*IFERROR(INDEX(계정대체기준!$F$20:$F$49,MATCH($N2453,계정대체기준!$A$20:$A$49,0)),1)))</f>
        <v/>
      </c>
      <c r="Z2453" s="94">
        <f>IF($A2453="",0,IF(AE2453="직접",IF(AF2453="신계약비",$P2453,0),$P2453*(1-AG2453)*IFERROR(INDEX(계정대체기준!$C$20:$C$49,MATCH($N2453,계정대체기준!$A$20:$A$49,0)),0)))</f>
        <v/>
      </c>
      <c r="AA2453" s="94">
        <f>IF($A2453="",0,IF(AE2453="직접",IF(OR(AF2453="유지비",AF2453="손해조사비"),$P2453,0),$P2453*(1-AG2453)*IFERROR(INDEX(계정대체기준!$D$20:$D$49,MATCH($N2453,계정대체기준!$A$20:$A$49,0)),0)))</f>
        <v/>
      </c>
      <c r="AB2453" s="94">
        <f>IF($A2453="",0,IF(AE2453="직접",IF(AF2453="수금비",$P2453,0),$P2453*(1-AG2453)*IFERROR(INDEX(계정대체기준!$E$20:$E$49,MATCH($N2453,계정대체기준!$A$20:$A$49,0)),0)))</f>
        <v/>
      </c>
      <c r="AC2453" s="9">
        <f>IF(AND($A2453&lt;&gt;"",M2453=설정!$C$20,Z2453&gt;0),Z2453+ROW()/1000000000,"")</f>
        <v/>
      </c>
      <c r="AD2453" s="94">
        <f>IF($A2453="",0,$P2453*AG2453)</f>
        <v/>
      </c>
      <c r="AE2453" s="64">
        <f>IF($A2453="","",IFERROR(INDEX(계정매핑!$E$5:$E$504,MATCH($F2453&amp;"",계정매핑!$A$5:$A$504,0))&amp;"","공통비"))</f>
        <v/>
      </c>
      <c r="AF2453" s="64">
        <f>IF($A2453="","",IF(AE2453="직접",IFERROR(INDEX(계정매핑!$F$5:$F$504,MATCH($F2453&amp;"",계정매핑!$A$5:$A$504,0))&amp;"","비귀속"),""))</f>
        <v/>
      </c>
      <c r="AG2453" s="96">
        <f>IF($A2453="",0,IF(AND(AE2453&lt;&gt;"직접",IFERROR(INDEX(계정매핑!$G$5:$G$504,MATCH($F2453&amp;"",계정매핑!$A$5:$A$504,0))&amp;"","")="유지비",COUNTIF(계정대체기준!$A$6:$A$15,$N2453)&gt;0),IFERROR(INDEX(계정대체기준!$E$6:$E$15,MATCH(VALUE($A2453&amp;""),계정대체기준!$D$6:$D$15,0)),0),0))</f>
        <v/>
      </c>
      <c r="AH2453" s="64">
        <f>IF($A2453="","",IF(AD2453=0,"",IF(OR(COUNTIF(계정대체기준!$A$77:$A$86,$N2453)&gt;0,ISNUMBER(MATCH($X2453,계정대체기준!$D$77:$D$86,0)),ISNUMBER(MATCH($F2453,계정대체기준!$D$77:$D$86,0))),"Y","N")))</f>
        <v/>
      </c>
    </row>
    <row r="2454">
      <c r="A2454" s="92" t="n">
        <v>2025</v>
      </c>
      <c r="B2454" s="92" t="n">
        <v>11</v>
      </c>
      <c r="C2454" s="92" t="inlineStr">
        <is>
          <t>5100002450</t>
        </is>
      </c>
      <c r="D2454" s="95" t="n">
        <v>45984</v>
      </c>
      <c r="E2454" s="92" t="inlineStr">
        <is>
          <t>KR</t>
        </is>
      </c>
      <c r="F2454" s="92" t="n">
        <v>62501000</v>
      </c>
      <c r="G2454" s="92" t="n">
        <v>1301</v>
      </c>
      <c r="H2454" s="93" t="n">
        <v>322000</v>
      </c>
      <c r="I2454" s="92" t="inlineStr">
        <is>
          <t>11월 회의 다과 - T케이터링</t>
        </is>
      </c>
      <c r="J2454" s="92" t="inlineStr">
        <is>
          <t>V10005</t>
        </is>
      </c>
      <c r="K2454" s="92" t="inlineStr">
        <is>
          <t>T케이터링</t>
        </is>
      </c>
      <c r="M2454" s="9">
        <f>IF($A2454="","",VALUE($A2454&amp;"")*12+VALUE($B2454&amp;""))</f>
        <v/>
      </c>
      <c r="N2454" s="64">
        <f>IF($A2454="","",IFERROR(INDEX(부서매핑!$C$5:$C$504,MATCH($G2454&amp;"",부서매핑!$A$5:$A$504,0)),"미매핑"))</f>
        <v/>
      </c>
      <c r="O2454" s="9">
        <f>IF($A2454="","",N2454&amp;"|"&amp;$F2454)</f>
        <v/>
      </c>
      <c r="P2454" s="94">
        <f>IF($A2454="",0,$H2454*설정!$C$23)</f>
        <v/>
      </c>
      <c r="Q2454" s="64">
        <f>IF($A2454="","",IF(O2454&lt;&gt;원인분석!$C$9,"",IF(AND(M2454&gt;=원인분석!$C$10,M2454&lt;=원인분석!$C$11),"당기",IF(AND(M2454&gt;=원인분석!$C$12,M2454&lt;=원인분석!$C$13),"비교",""))))</f>
        <v/>
      </c>
      <c r="R2454" s="9">
        <f>IF(Q2454="","",$K2454&amp;"")</f>
        <v/>
      </c>
      <c r="S2454" s="9">
        <f>IF(Q2454="","",IF(MATCH(R2454,$R$5:$R$100000,0)=ROW()-4,ROW(),""))</f>
        <v/>
      </c>
      <c r="T2454" s="9">
        <f>IF(Q2454="당기",ABS(P2454)+ROW()/1000000000,"")</f>
        <v/>
      </c>
      <c r="U2454" s="9">
        <f>IF(Q2454="비교",ABS(P2454)+ROW()/1000000000,"")</f>
        <v/>
      </c>
      <c r="V2454" s="64">
        <f>IF($A2454="","",IF(COUNTIF(변동분석!$E$7:$E$506,O2454)&gt;0,"Y","N"))</f>
        <v/>
      </c>
      <c r="W2454" s="64">
        <f>IF($A2454="","",IFERROR(INDEX(계정매핑!$D$5:$D$504,MATCH($F2454&amp;"",계정매핑!$A$5:$A$504,0)),"미매핑"))</f>
        <v/>
      </c>
      <c r="X2454" s="9">
        <f>IF($A2454="","",$F2454&amp;"")</f>
        <v/>
      </c>
      <c r="Y2454" s="94">
        <f>IF($A2454="",0,IF(AE2454="직접",IF(AF2454="비귀속",$P2454,0),$P2454*(1-AG2454)*IFERROR(INDEX(계정대체기준!$F$20:$F$49,MATCH($N2454,계정대체기준!$A$20:$A$49,0)),1)))</f>
        <v/>
      </c>
      <c r="Z2454" s="94">
        <f>IF($A2454="",0,IF(AE2454="직접",IF(AF2454="신계약비",$P2454,0),$P2454*(1-AG2454)*IFERROR(INDEX(계정대체기준!$C$20:$C$49,MATCH($N2454,계정대체기준!$A$20:$A$49,0)),0)))</f>
        <v/>
      </c>
      <c r="AA2454" s="94">
        <f>IF($A2454="",0,IF(AE2454="직접",IF(OR(AF2454="유지비",AF2454="손해조사비"),$P2454,0),$P2454*(1-AG2454)*IFERROR(INDEX(계정대체기준!$D$20:$D$49,MATCH($N2454,계정대체기준!$A$20:$A$49,0)),0)))</f>
        <v/>
      </c>
      <c r="AB2454" s="94">
        <f>IF($A2454="",0,IF(AE2454="직접",IF(AF2454="수금비",$P2454,0),$P2454*(1-AG2454)*IFERROR(INDEX(계정대체기준!$E$20:$E$49,MATCH($N2454,계정대체기준!$A$20:$A$49,0)),0)))</f>
        <v/>
      </c>
      <c r="AC2454" s="9">
        <f>IF(AND($A2454&lt;&gt;"",M2454=설정!$C$20,Z2454&gt;0),Z2454+ROW()/1000000000,"")</f>
        <v/>
      </c>
      <c r="AD2454" s="94">
        <f>IF($A2454="",0,$P2454*AG2454)</f>
        <v/>
      </c>
      <c r="AE2454" s="64">
        <f>IF($A2454="","",IFERROR(INDEX(계정매핑!$E$5:$E$504,MATCH($F2454&amp;"",계정매핑!$A$5:$A$504,0))&amp;"","공통비"))</f>
        <v/>
      </c>
      <c r="AF2454" s="64">
        <f>IF($A2454="","",IF(AE2454="직접",IFERROR(INDEX(계정매핑!$F$5:$F$504,MATCH($F2454&amp;"",계정매핑!$A$5:$A$504,0))&amp;"","비귀속"),""))</f>
        <v/>
      </c>
      <c r="AG2454" s="96">
        <f>IF($A2454="",0,IF(AND(AE2454&lt;&gt;"직접",IFERROR(INDEX(계정매핑!$G$5:$G$504,MATCH($F2454&amp;"",계정매핑!$A$5:$A$504,0))&amp;"","")="유지비",COUNTIF(계정대체기준!$A$6:$A$15,$N2454)&gt;0),IFERROR(INDEX(계정대체기준!$E$6:$E$15,MATCH(VALUE($A2454&amp;""),계정대체기준!$D$6:$D$15,0)),0),0))</f>
        <v/>
      </c>
      <c r="AH2454" s="64">
        <f>IF($A2454="","",IF(AD2454=0,"",IF(OR(COUNTIF(계정대체기준!$A$77:$A$86,$N2454)&gt;0,ISNUMBER(MATCH($X2454,계정대체기준!$D$77:$D$86,0)),ISNUMBER(MATCH($F2454,계정대체기준!$D$77:$D$86,0))),"Y","N")))</f>
        <v/>
      </c>
    </row>
    <row r="2455">
      <c r="A2455" s="92" t="n">
        <v>2025</v>
      </c>
      <c r="B2455" s="92" t="n">
        <v>11</v>
      </c>
      <c r="C2455" s="92" t="inlineStr">
        <is>
          <t>5100002451</t>
        </is>
      </c>
      <c r="D2455" s="95" t="n">
        <v>45984</v>
      </c>
      <c r="E2455" s="92" t="inlineStr">
        <is>
          <t>KR</t>
        </is>
      </c>
      <c r="F2455" s="92" t="n">
        <v>62501000</v>
      </c>
      <c r="G2455" s="92" t="n">
        <v>1401</v>
      </c>
      <c r="H2455" s="93" t="n">
        <v>104000</v>
      </c>
      <c r="I2455" s="92" t="inlineStr">
        <is>
          <t>11월 회의 다과 - T케이터링</t>
        </is>
      </c>
      <c r="J2455" s="92" t="inlineStr">
        <is>
          <t>V10005</t>
        </is>
      </c>
      <c r="K2455" s="92" t="inlineStr">
        <is>
          <t>T케이터링</t>
        </is>
      </c>
      <c r="M2455" s="9">
        <f>IF($A2455="","",VALUE($A2455&amp;"")*12+VALUE($B2455&amp;""))</f>
        <v/>
      </c>
      <c r="N2455" s="64">
        <f>IF($A2455="","",IFERROR(INDEX(부서매핑!$C$5:$C$504,MATCH($G2455&amp;"",부서매핑!$A$5:$A$504,0)),"미매핑"))</f>
        <v/>
      </c>
      <c r="O2455" s="9">
        <f>IF($A2455="","",N2455&amp;"|"&amp;$F2455)</f>
        <v/>
      </c>
      <c r="P2455" s="94">
        <f>IF($A2455="",0,$H2455*설정!$C$23)</f>
        <v/>
      </c>
      <c r="Q2455" s="64">
        <f>IF($A2455="","",IF(O2455&lt;&gt;원인분석!$C$9,"",IF(AND(M2455&gt;=원인분석!$C$10,M2455&lt;=원인분석!$C$11),"당기",IF(AND(M2455&gt;=원인분석!$C$12,M2455&lt;=원인분석!$C$13),"비교",""))))</f>
        <v/>
      </c>
      <c r="R2455" s="9">
        <f>IF(Q2455="","",$K2455&amp;"")</f>
        <v/>
      </c>
      <c r="S2455" s="9">
        <f>IF(Q2455="","",IF(MATCH(R2455,$R$5:$R$100000,0)=ROW()-4,ROW(),""))</f>
        <v/>
      </c>
      <c r="T2455" s="9">
        <f>IF(Q2455="당기",ABS(P2455)+ROW()/1000000000,"")</f>
        <v/>
      </c>
      <c r="U2455" s="9">
        <f>IF(Q2455="비교",ABS(P2455)+ROW()/1000000000,"")</f>
        <v/>
      </c>
      <c r="V2455" s="64">
        <f>IF($A2455="","",IF(COUNTIF(변동분석!$E$7:$E$506,O2455)&gt;0,"Y","N"))</f>
        <v/>
      </c>
      <c r="W2455" s="64">
        <f>IF($A2455="","",IFERROR(INDEX(계정매핑!$D$5:$D$504,MATCH($F2455&amp;"",계정매핑!$A$5:$A$504,0)),"미매핑"))</f>
        <v/>
      </c>
      <c r="X2455" s="9">
        <f>IF($A2455="","",$F2455&amp;"")</f>
        <v/>
      </c>
      <c r="Y2455" s="94">
        <f>IF($A2455="",0,IF(AE2455="직접",IF(AF2455="비귀속",$P2455,0),$P2455*(1-AG2455)*IFERROR(INDEX(계정대체기준!$F$20:$F$49,MATCH($N2455,계정대체기준!$A$20:$A$49,0)),1)))</f>
        <v/>
      </c>
      <c r="Z2455" s="94">
        <f>IF($A2455="",0,IF(AE2455="직접",IF(AF2455="신계약비",$P2455,0),$P2455*(1-AG2455)*IFERROR(INDEX(계정대체기준!$C$20:$C$49,MATCH($N2455,계정대체기준!$A$20:$A$49,0)),0)))</f>
        <v/>
      </c>
      <c r="AA2455" s="94">
        <f>IF($A2455="",0,IF(AE2455="직접",IF(OR(AF2455="유지비",AF2455="손해조사비"),$P2455,0),$P2455*(1-AG2455)*IFERROR(INDEX(계정대체기준!$D$20:$D$49,MATCH($N2455,계정대체기준!$A$20:$A$49,0)),0)))</f>
        <v/>
      </c>
      <c r="AB2455" s="94">
        <f>IF($A2455="",0,IF(AE2455="직접",IF(AF2455="수금비",$P2455,0),$P2455*(1-AG2455)*IFERROR(INDEX(계정대체기준!$E$20:$E$49,MATCH($N2455,계정대체기준!$A$20:$A$49,0)),0)))</f>
        <v/>
      </c>
      <c r="AC2455" s="9">
        <f>IF(AND($A2455&lt;&gt;"",M2455=설정!$C$20,Z2455&gt;0),Z2455+ROW()/1000000000,"")</f>
        <v/>
      </c>
      <c r="AD2455" s="94">
        <f>IF($A2455="",0,$P2455*AG2455)</f>
        <v/>
      </c>
      <c r="AE2455" s="64">
        <f>IF($A2455="","",IFERROR(INDEX(계정매핑!$E$5:$E$504,MATCH($F2455&amp;"",계정매핑!$A$5:$A$504,0))&amp;"","공통비"))</f>
        <v/>
      </c>
      <c r="AF2455" s="64">
        <f>IF($A2455="","",IF(AE2455="직접",IFERROR(INDEX(계정매핑!$F$5:$F$504,MATCH($F2455&amp;"",계정매핑!$A$5:$A$504,0))&amp;"","비귀속"),""))</f>
        <v/>
      </c>
      <c r="AG2455" s="96">
        <f>IF($A2455="",0,IF(AND(AE2455&lt;&gt;"직접",IFERROR(INDEX(계정매핑!$G$5:$G$504,MATCH($F2455&amp;"",계정매핑!$A$5:$A$504,0))&amp;"","")="유지비",COUNTIF(계정대체기준!$A$6:$A$15,$N2455)&gt;0),IFERROR(INDEX(계정대체기준!$E$6:$E$15,MATCH(VALUE($A2455&amp;""),계정대체기준!$D$6:$D$15,0)),0),0))</f>
        <v/>
      </c>
      <c r="AH2455" s="64">
        <f>IF($A2455="","",IF(AD2455=0,"",IF(OR(COUNTIF(계정대체기준!$A$77:$A$86,$N2455)&gt;0,ISNUMBER(MATCH($X2455,계정대체기준!$D$77:$D$86,0)),ISNUMBER(MATCH($F2455,계정대체기준!$D$77:$D$86,0))),"Y","N")))</f>
        <v/>
      </c>
    </row>
    <row r="2456">
      <c r="A2456" s="92" t="n">
        <v>2025</v>
      </c>
      <c r="B2456" s="92" t="n">
        <v>11</v>
      </c>
      <c r="C2456" s="92" t="inlineStr">
        <is>
          <t>5100002452</t>
        </is>
      </c>
      <c r="D2456" s="95" t="n">
        <v>45984</v>
      </c>
      <c r="E2456" s="92" t="inlineStr">
        <is>
          <t>KR</t>
        </is>
      </c>
      <c r="F2456" s="92" t="n">
        <v>63001000</v>
      </c>
      <c r="G2456" s="92" t="n">
        <v>1701</v>
      </c>
      <c r="H2456" s="93" t="n">
        <v>45241000</v>
      </c>
      <c r="I2456" s="92" t="inlineStr">
        <is>
          <t>11월 SW 유지보수 - Z시스템</t>
        </is>
      </c>
      <c r="J2456" s="92" t="inlineStr">
        <is>
          <t>V10012</t>
        </is>
      </c>
      <c r="K2456" s="92" t="inlineStr">
        <is>
          <t>Z시스템</t>
        </is>
      </c>
      <c r="M2456" s="9">
        <f>IF($A2456="","",VALUE($A2456&amp;"")*12+VALUE($B2456&amp;""))</f>
        <v/>
      </c>
      <c r="N2456" s="64">
        <f>IF($A2456="","",IFERROR(INDEX(부서매핑!$C$5:$C$504,MATCH($G2456&amp;"",부서매핑!$A$5:$A$504,0)),"미매핑"))</f>
        <v/>
      </c>
      <c r="O2456" s="9">
        <f>IF($A2456="","",N2456&amp;"|"&amp;$F2456)</f>
        <v/>
      </c>
      <c r="P2456" s="94">
        <f>IF($A2456="",0,$H2456*설정!$C$23)</f>
        <v/>
      </c>
      <c r="Q2456" s="64">
        <f>IF($A2456="","",IF(O2456&lt;&gt;원인분석!$C$9,"",IF(AND(M2456&gt;=원인분석!$C$10,M2456&lt;=원인분석!$C$11),"당기",IF(AND(M2456&gt;=원인분석!$C$12,M2456&lt;=원인분석!$C$13),"비교",""))))</f>
        <v/>
      </c>
      <c r="R2456" s="9">
        <f>IF(Q2456="","",$K2456&amp;"")</f>
        <v/>
      </c>
      <c r="S2456" s="9">
        <f>IF(Q2456="","",IF(MATCH(R2456,$R$5:$R$100000,0)=ROW()-4,ROW(),""))</f>
        <v/>
      </c>
      <c r="T2456" s="9">
        <f>IF(Q2456="당기",ABS(P2456)+ROW()/1000000000,"")</f>
        <v/>
      </c>
      <c r="U2456" s="9">
        <f>IF(Q2456="비교",ABS(P2456)+ROW()/1000000000,"")</f>
        <v/>
      </c>
      <c r="V2456" s="64">
        <f>IF($A2456="","",IF(COUNTIF(변동분석!$E$7:$E$506,O2456)&gt;0,"Y","N"))</f>
        <v/>
      </c>
      <c r="W2456" s="64">
        <f>IF($A2456="","",IFERROR(INDEX(계정매핑!$D$5:$D$504,MATCH($F2456&amp;"",계정매핑!$A$5:$A$504,0)),"미매핑"))</f>
        <v/>
      </c>
      <c r="X2456" s="9">
        <f>IF($A2456="","",$F2456&amp;"")</f>
        <v/>
      </c>
      <c r="Y2456" s="94">
        <f>IF($A2456="",0,IF(AE2456="직접",IF(AF2456="비귀속",$P2456,0),$P2456*(1-AG2456)*IFERROR(INDEX(계정대체기준!$F$20:$F$49,MATCH($N2456,계정대체기준!$A$20:$A$49,0)),1)))</f>
        <v/>
      </c>
      <c r="Z2456" s="94">
        <f>IF($A2456="",0,IF(AE2456="직접",IF(AF2456="신계약비",$P2456,0),$P2456*(1-AG2456)*IFERROR(INDEX(계정대체기준!$C$20:$C$49,MATCH($N2456,계정대체기준!$A$20:$A$49,0)),0)))</f>
        <v/>
      </c>
      <c r="AA2456" s="94">
        <f>IF($A2456="",0,IF(AE2456="직접",IF(OR(AF2456="유지비",AF2456="손해조사비"),$P2456,0),$P2456*(1-AG2456)*IFERROR(INDEX(계정대체기준!$D$20:$D$49,MATCH($N2456,계정대체기준!$A$20:$A$49,0)),0)))</f>
        <v/>
      </c>
      <c r="AB2456" s="94">
        <f>IF($A2456="",0,IF(AE2456="직접",IF(AF2456="수금비",$P2456,0),$P2456*(1-AG2456)*IFERROR(INDEX(계정대체기준!$E$20:$E$49,MATCH($N2456,계정대체기준!$A$20:$A$49,0)),0)))</f>
        <v/>
      </c>
      <c r="AC2456" s="9">
        <f>IF(AND($A2456&lt;&gt;"",M2456=설정!$C$20,Z2456&gt;0),Z2456+ROW()/1000000000,"")</f>
        <v/>
      </c>
      <c r="AD2456" s="94">
        <f>IF($A2456="",0,$P2456*AG2456)</f>
        <v/>
      </c>
      <c r="AE2456" s="64">
        <f>IF($A2456="","",IFERROR(INDEX(계정매핑!$E$5:$E$504,MATCH($F2456&amp;"",계정매핑!$A$5:$A$504,0))&amp;"","공통비"))</f>
        <v/>
      </c>
      <c r="AF2456" s="64">
        <f>IF($A2456="","",IF(AE2456="직접",IFERROR(INDEX(계정매핑!$F$5:$F$504,MATCH($F2456&amp;"",계정매핑!$A$5:$A$504,0))&amp;"","비귀속"),""))</f>
        <v/>
      </c>
      <c r="AG2456" s="96">
        <f>IF($A2456="",0,IF(AND(AE2456&lt;&gt;"직접",IFERROR(INDEX(계정매핑!$G$5:$G$504,MATCH($F2456&amp;"",계정매핑!$A$5:$A$504,0))&amp;"","")="유지비",COUNTIF(계정대체기준!$A$6:$A$15,$N2456)&gt;0),IFERROR(INDEX(계정대체기준!$E$6:$E$15,MATCH(VALUE($A2456&amp;""),계정대체기준!$D$6:$D$15,0)),0),0))</f>
        <v/>
      </c>
      <c r="AH2456" s="64">
        <f>IF($A2456="","",IF(AD2456=0,"",IF(OR(COUNTIF(계정대체기준!$A$77:$A$86,$N2456)&gt;0,ISNUMBER(MATCH($X2456,계정대체기준!$D$77:$D$86,0)),ISNUMBER(MATCH($F2456,계정대체기준!$D$77:$D$86,0))),"Y","N")))</f>
        <v/>
      </c>
    </row>
    <row r="2457">
      <c r="A2457" s="92" t="n">
        <v>2025</v>
      </c>
      <c r="B2457" s="92" t="n">
        <v>11</v>
      </c>
      <c r="C2457" s="92" t="inlineStr">
        <is>
          <t>5100002453</t>
        </is>
      </c>
      <c r="D2457" s="95" t="n">
        <v>45984</v>
      </c>
      <c r="E2457" s="92" t="inlineStr">
        <is>
          <t>KR</t>
        </is>
      </c>
      <c r="F2457" s="92" t="n">
        <v>63502000</v>
      </c>
      <c r="G2457" s="92" t="n">
        <v>1902</v>
      </c>
      <c r="H2457" s="93" t="n">
        <v>124762000</v>
      </c>
      <c r="I2457" s="92" t="inlineStr">
        <is>
          <t>11월 유지수수료 - CC금융서비스</t>
        </is>
      </c>
      <c r="J2457" s="92" t="inlineStr">
        <is>
          <t>V10029</t>
        </is>
      </c>
      <c r="K2457" s="92" t="inlineStr">
        <is>
          <t>CC금융서비스</t>
        </is>
      </c>
      <c r="M2457" s="9">
        <f>IF($A2457="","",VALUE($A2457&amp;"")*12+VALUE($B2457&amp;""))</f>
        <v/>
      </c>
      <c r="N2457" s="64">
        <f>IF($A2457="","",IFERROR(INDEX(부서매핑!$C$5:$C$504,MATCH($G2457&amp;"",부서매핑!$A$5:$A$504,0)),"미매핑"))</f>
        <v/>
      </c>
      <c r="O2457" s="9">
        <f>IF($A2457="","",N2457&amp;"|"&amp;$F2457)</f>
        <v/>
      </c>
      <c r="P2457" s="94">
        <f>IF($A2457="",0,$H2457*설정!$C$23)</f>
        <v/>
      </c>
      <c r="Q2457" s="64">
        <f>IF($A2457="","",IF(O2457&lt;&gt;원인분석!$C$9,"",IF(AND(M2457&gt;=원인분석!$C$10,M2457&lt;=원인분석!$C$11),"당기",IF(AND(M2457&gt;=원인분석!$C$12,M2457&lt;=원인분석!$C$13),"비교",""))))</f>
        <v/>
      </c>
      <c r="R2457" s="9">
        <f>IF(Q2457="","",$K2457&amp;"")</f>
        <v/>
      </c>
      <c r="S2457" s="9">
        <f>IF(Q2457="","",IF(MATCH(R2457,$R$5:$R$100000,0)=ROW()-4,ROW(),""))</f>
        <v/>
      </c>
      <c r="T2457" s="9">
        <f>IF(Q2457="당기",ABS(P2457)+ROW()/1000000000,"")</f>
        <v/>
      </c>
      <c r="U2457" s="9">
        <f>IF(Q2457="비교",ABS(P2457)+ROW()/1000000000,"")</f>
        <v/>
      </c>
      <c r="V2457" s="64">
        <f>IF($A2457="","",IF(COUNTIF(변동분석!$E$7:$E$506,O2457)&gt;0,"Y","N"))</f>
        <v/>
      </c>
      <c r="W2457" s="64">
        <f>IF($A2457="","",IFERROR(INDEX(계정매핑!$D$5:$D$504,MATCH($F2457&amp;"",계정매핑!$A$5:$A$504,0)),"미매핑"))</f>
        <v/>
      </c>
      <c r="X2457" s="9">
        <f>IF($A2457="","",$F2457&amp;"")</f>
        <v/>
      </c>
      <c r="Y2457" s="94">
        <f>IF($A2457="",0,IF(AE2457="직접",IF(AF2457="비귀속",$P2457,0),$P2457*(1-AG2457)*IFERROR(INDEX(계정대체기준!$F$20:$F$49,MATCH($N2457,계정대체기준!$A$20:$A$49,0)),1)))</f>
        <v/>
      </c>
      <c r="Z2457" s="94">
        <f>IF($A2457="",0,IF(AE2457="직접",IF(AF2457="신계약비",$P2457,0),$P2457*(1-AG2457)*IFERROR(INDEX(계정대체기준!$C$20:$C$49,MATCH($N2457,계정대체기준!$A$20:$A$49,0)),0)))</f>
        <v/>
      </c>
      <c r="AA2457" s="94">
        <f>IF($A2457="",0,IF(AE2457="직접",IF(OR(AF2457="유지비",AF2457="손해조사비"),$P2457,0),$P2457*(1-AG2457)*IFERROR(INDEX(계정대체기준!$D$20:$D$49,MATCH($N2457,계정대체기준!$A$20:$A$49,0)),0)))</f>
        <v/>
      </c>
      <c r="AB2457" s="94">
        <f>IF($A2457="",0,IF(AE2457="직접",IF(AF2457="수금비",$P2457,0),$P2457*(1-AG2457)*IFERROR(INDEX(계정대체기준!$E$20:$E$49,MATCH($N2457,계정대체기준!$A$20:$A$49,0)),0)))</f>
        <v/>
      </c>
      <c r="AC2457" s="9">
        <f>IF(AND($A2457&lt;&gt;"",M2457=설정!$C$20,Z2457&gt;0),Z2457+ROW()/1000000000,"")</f>
        <v/>
      </c>
      <c r="AD2457" s="94">
        <f>IF($A2457="",0,$P2457*AG2457)</f>
        <v/>
      </c>
      <c r="AE2457" s="64">
        <f>IF($A2457="","",IFERROR(INDEX(계정매핑!$E$5:$E$504,MATCH($F2457&amp;"",계정매핑!$A$5:$A$504,0))&amp;"","공통비"))</f>
        <v/>
      </c>
      <c r="AF2457" s="64">
        <f>IF($A2457="","",IF(AE2457="직접",IFERROR(INDEX(계정매핑!$F$5:$F$504,MATCH($F2457&amp;"",계정매핑!$A$5:$A$504,0))&amp;"","비귀속"),""))</f>
        <v/>
      </c>
      <c r="AG2457" s="96">
        <f>IF($A2457="",0,IF(AND(AE2457&lt;&gt;"직접",IFERROR(INDEX(계정매핑!$G$5:$G$504,MATCH($F2457&amp;"",계정매핑!$A$5:$A$504,0))&amp;"","")="유지비",COUNTIF(계정대체기준!$A$6:$A$15,$N2457)&gt;0),IFERROR(INDEX(계정대체기준!$E$6:$E$15,MATCH(VALUE($A2457&amp;""),계정대체기준!$D$6:$D$15,0)),0),0))</f>
        <v/>
      </c>
      <c r="AH2457" s="64">
        <f>IF($A2457="","",IF(AD2457=0,"",IF(OR(COUNTIF(계정대체기준!$A$77:$A$86,$N2457)&gt;0,ISNUMBER(MATCH($X2457,계정대체기준!$D$77:$D$86,0)),ISNUMBER(MATCH($F2457,계정대체기준!$D$77:$D$86,0))),"Y","N")))</f>
        <v/>
      </c>
    </row>
    <row r="2458">
      <c r="A2458" s="92" t="n">
        <v>2025</v>
      </c>
      <c r="B2458" s="92" t="n">
        <v>11</v>
      </c>
      <c r="C2458" s="92" t="inlineStr">
        <is>
          <t>5100002454</t>
        </is>
      </c>
      <c r="D2458" s="95" t="n">
        <v>45985</v>
      </c>
      <c r="E2458" s="92" t="inlineStr">
        <is>
          <t>KR</t>
        </is>
      </c>
      <c r="F2458" s="92" t="n">
        <v>62101000</v>
      </c>
      <c r="G2458" s="92" t="n">
        <v>1201</v>
      </c>
      <c r="H2458" s="93" t="n">
        <v>210000</v>
      </c>
      <c r="I2458" s="92" t="inlineStr">
        <is>
          <t>11월 국내출장 - (법인카드)</t>
        </is>
      </c>
      <c r="J2458" s="92" t="inlineStr">
        <is>
          <t>V10010</t>
        </is>
      </c>
      <c r="K2458" s="92" t="inlineStr">
        <is>
          <t>(법인카드)</t>
        </is>
      </c>
      <c r="M2458" s="9">
        <f>IF($A2458="","",VALUE($A2458&amp;"")*12+VALUE($B2458&amp;""))</f>
        <v/>
      </c>
      <c r="N2458" s="64">
        <f>IF($A2458="","",IFERROR(INDEX(부서매핑!$C$5:$C$504,MATCH($G2458&amp;"",부서매핑!$A$5:$A$504,0)),"미매핑"))</f>
        <v/>
      </c>
      <c r="O2458" s="9">
        <f>IF($A2458="","",N2458&amp;"|"&amp;$F2458)</f>
        <v/>
      </c>
      <c r="P2458" s="94">
        <f>IF($A2458="",0,$H2458*설정!$C$23)</f>
        <v/>
      </c>
      <c r="Q2458" s="64">
        <f>IF($A2458="","",IF(O2458&lt;&gt;원인분석!$C$9,"",IF(AND(M2458&gt;=원인분석!$C$10,M2458&lt;=원인분석!$C$11),"당기",IF(AND(M2458&gt;=원인분석!$C$12,M2458&lt;=원인분석!$C$13),"비교",""))))</f>
        <v/>
      </c>
      <c r="R2458" s="9">
        <f>IF(Q2458="","",$K2458&amp;"")</f>
        <v/>
      </c>
      <c r="S2458" s="9">
        <f>IF(Q2458="","",IF(MATCH(R2458,$R$5:$R$100000,0)=ROW()-4,ROW(),""))</f>
        <v/>
      </c>
      <c r="T2458" s="9">
        <f>IF(Q2458="당기",ABS(P2458)+ROW()/1000000000,"")</f>
        <v/>
      </c>
      <c r="U2458" s="9">
        <f>IF(Q2458="비교",ABS(P2458)+ROW()/1000000000,"")</f>
        <v/>
      </c>
      <c r="V2458" s="64">
        <f>IF($A2458="","",IF(COUNTIF(변동분석!$E$7:$E$506,O2458)&gt;0,"Y","N"))</f>
        <v/>
      </c>
      <c r="W2458" s="64">
        <f>IF($A2458="","",IFERROR(INDEX(계정매핑!$D$5:$D$504,MATCH($F2458&amp;"",계정매핑!$A$5:$A$504,0)),"미매핑"))</f>
        <v/>
      </c>
      <c r="X2458" s="9">
        <f>IF($A2458="","",$F2458&amp;"")</f>
        <v/>
      </c>
      <c r="Y2458" s="94">
        <f>IF($A2458="",0,IF(AE2458="직접",IF(AF2458="비귀속",$P2458,0),$P2458*(1-AG2458)*IFERROR(INDEX(계정대체기준!$F$20:$F$49,MATCH($N2458,계정대체기준!$A$20:$A$49,0)),1)))</f>
        <v/>
      </c>
      <c r="Z2458" s="94">
        <f>IF($A2458="",0,IF(AE2458="직접",IF(AF2458="신계약비",$P2458,0),$P2458*(1-AG2458)*IFERROR(INDEX(계정대체기준!$C$20:$C$49,MATCH($N2458,계정대체기준!$A$20:$A$49,0)),0)))</f>
        <v/>
      </c>
      <c r="AA2458" s="94">
        <f>IF($A2458="",0,IF(AE2458="직접",IF(OR(AF2458="유지비",AF2458="손해조사비"),$P2458,0),$P2458*(1-AG2458)*IFERROR(INDEX(계정대체기준!$D$20:$D$49,MATCH($N2458,계정대체기준!$A$20:$A$49,0)),0)))</f>
        <v/>
      </c>
      <c r="AB2458" s="94">
        <f>IF($A2458="",0,IF(AE2458="직접",IF(AF2458="수금비",$P2458,0),$P2458*(1-AG2458)*IFERROR(INDEX(계정대체기준!$E$20:$E$49,MATCH($N2458,계정대체기준!$A$20:$A$49,0)),0)))</f>
        <v/>
      </c>
      <c r="AC2458" s="9">
        <f>IF(AND($A2458&lt;&gt;"",M2458=설정!$C$20,Z2458&gt;0),Z2458+ROW()/1000000000,"")</f>
        <v/>
      </c>
      <c r="AD2458" s="94">
        <f>IF($A2458="",0,$P2458*AG2458)</f>
        <v/>
      </c>
      <c r="AE2458" s="64">
        <f>IF($A2458="","",IFERROR(INDEX(계정매핑!$E$5:$E$504,MATCH($F2458&amp;"",계정매핑!$A$5:$A$504,0))&amp;"","공통비"))</f>
        <v/>
      </c>
      <c r="AF2458" s="64">
        <f>IF($A2458="","",IF(AE2458="직접",IFERROR(INDEX(계정매핑!$F$5:$F$504,MATCH($F2458&amp;"",계정매핑!$A$5:$A$504,0))&amp;"","비귀속"),""))</f>
        <v/>
      </c>
      <c r="AG2458" s="96">
        <f>IF($A2458="",0,IF(AND(AE2458&lt;&gt;"직접",IFERROR(INDEX(계정매핑!$G$5:$G$504,MATCH($F2458&amp;"",계정매핑!$A$5:$A$504,0))&amp;"","")="유지비",COUNTIF(계정대체기준!$A$6:$A$15,$N2458)&gt;0),IFERROR(INDEX(계정대체기준!$E$6:$E$15,MATCH(VALUE($A2458&amp;""),계정대체기준!$D$6:$D$15,0)),0),0))</f>
        <v/>
      </c>
      <c r="AH2458" s="64">
        <f>IF($A2458="","",IF(AD2458=0,"",IF(OR(COUNTIF(계정대체기준!$A$77:$A$86,$N2458)&gt;0,ISNUMBER(MATCH($X2458,계정대체기준!$D$77:$D$86,0)),ISNUMBER(MATCH($F2458,계정대체기준!$D$77:$D$86,0))),"Y","N")))</f>
        <v/>
      </c>
    </row>
    <row r="2459">
      <c r="A2459" s="92" t="n">
        <v>2025</v>
      </c>
      <c r="B2459" s="92" t="n">
        <v>11</v>
      </c>
      <c r="C2459" s="92" t="inlineStr">
        <is>
          <t>5100002455</t>
        </is>
      </c>
      <c r="D2459" s="95" t="n">
        <v>45985</v>
      </c>
      <c r="E2459" s="92" t="inlineStr">
        <is>
          <t>KR</t>
        </is>
      </c>
      <c r="F2459" s="92" t="n">
        <v>62101000</v>
      </c>
      <c r="G2459" s="92" t="n">
        <v>1301</v>
      </c>
      <c r="H2459" s="93" t="n">
        <v>332000</v>
      </c>
      <c r="I2459" s="92" t="inlineStr">
        <is>
          <t>11월 국내출장 - (법인카드)</t>
        </is>
      </c>
      <c r="J2459" s="92" t="inlineStr">
        <is>
          <t>V10010</t>
        </is>
      </c>
      <c r="K2459" s="92" t="inlineStr">
        <is>
          <t>(법인카드)</t>
        </is>
      </c>
      <c r="M2459" s="9">
        <f>IF($A2459="","",VALUE($A2459&amp;"")*12+VALUE($B2459&amp;""))</f>
        <v/>
      </c>
      <c r="N2459" s="64">
        <f>IF($A2459="","",IFERROR(INDEX(부서매핑!$C$5:$C$504,MATCH($G2459&amp;"",부서매핑!$A$5:$A$504,0)),"미매핑"))</f>
        <v/>
      </c>
      <c r="O2459" s="9">
        <f>IF($A2459="","",N2459&amp;"|"&amp;$F2459)</f>
        <v/>
      </c>
      <c r="P2459" s="94">
        <f>IF($A2459="",0,$H2459*설정!$C$23)</f>
        <v/>
      </c>
      <c r="Q2459" s="64">
        <f>IF($A2459="","",IF(O2459&lt;&gt;원인분석!$C$9,"",IF(AND(M2459&gt;=원인분석!$C$10,M2459&lt;=원인분석!$C$11),"당기",IF(AND(M2459&gt;=원인분석!$C$12,M2459&lt;=원인분석!$C$13),"비교",""))))</f>
        <v/>
      </c>
      <c r="R2459" s="9">
        <f>IF(Q2459="","",$K2459&amp;"")</f>
        <v/>
      </c>
      <c r="S2459" s="9">
        <f>IF(Q2459="","",IF(MATCH(R2459,$R$5:$R$100000,0)=ROW()-4,ROW(),""))</f>
        <v/>
      </c>
      <c r="T2459" s="9">
        <f>IF(Q2459="당기",ABS(P2459)+ROW()/1000000000,"")</f>
        <v/>
      </c>
      <c r="U2459" s="9">
        <f>IF(Q2459="비교",ABS(P2459)+ROW()/1000000000,"")</f>
        <v/>
      </c>
      <c r="V2459" s="64">
        <f>IF($A2459="","",IF(COUNTIF(변동분석!$E$7:$E$506,O2459)&gt;0,"Y","N"))</f>
        <v/>
      </c>
      <c r="W2459" s="64">
        <f>IF($A2459="","",IFERROR(INDEX(계정매핑!$D$5:$D$504,MATCH($F2459&amp;"",계정매핑!$A$5:$A$504,0)),"미매핑"))</f>
        <v/>
      </c>
      <c r="X2459" s="9">
        <f>IF($A2459="","",$F2459&amp;"")</f>
        <v/>
      </c>
      <c r="Y2459" s="94">
        <f>IF($A2459="",0,IF(AE2459="직접",IF(AF2459="비귀속",$P2459,0),$P2459*(1-AG2459)*IFERROR(INDEX(계정대체기준!$F$20:$F$49,MATCH($N2459,계정대체기준!$A$20:$A$49,0)),1)))</f>
        <v/>
      </c>
      <c r="Z2459" s="94">
        <f>IF($A2459="",0,IF(AE2459="직접",IF(AF2459="신계약비",$P2459,0),$P2459*(1-AG2459)*IFERROR(INDEX(계정대체기준!$C$20:$C$49,MATCH($N2459,계정대체기준!$A$20:$A$49,0)),0)))</f>
        <v/>
      </c>
      <c r="AA2459" s="94">
        <f>IF($A2459="",0,IF(AE2459="직접",IF(OR(AF2459="유지비",AF2459="손해조사비"),$P2459,0),$P2459*(1-AG2459)*IFERROR(INDEX(계정대체기준!$D$20:$D$49,MATCH($N2459,계정대체기준!$A$20:$A$49,0)),0)))</f>
        <v/>
      </c>
      <c r="AB2459" s="94">
        <f>IF($A2459="",0,IF(AE2459="직접",IF(AF2459="수금비",$P2459,0),$P2459*(1-AG2459)*IFERROR(INDEX(계정대체기준!$E$20:$E$49,MATCH($N2459,계정대체기준!$A$20:$A$49,0)),0)))</f>
        <v/>
      </c>
      <c r="AC2459" s="9">
        <f>IF(AND($A2459&lt;&gt;"",M2459=설정!$C$20,Z2459&gt;0),Z2459+ROW()/1000000000,"")</f>
        <v/>
      </c>
      <c r="AD2459" s="94">
        <f>IF($A2459="",0,$P2459*AG2459)</f>
        <v/>
      </c>
      <c r="AE2459" s="64">
        <f>IF($A2459="","",IFERROR(INDEX(계정매핑!$E$5:$E$504,MATCH($F2459&amp;"",계정매핑!$A$5:$A$504,0))&amp;"","공통비"))</f>
        <v/>
      </c>
      <c r="AF2459" s="64">
        <f>IF($A2459="","",IF(AE2459="직접",IFERROR(INDEX(계정매핑!$F$5:$F$504,MATCH($F2459&amp;"",계정매핑!$A$5:$A$504,0))&amp;"","비귀속"),""))</f>
        <v/>
      </c>
      <c r="AG2459" s="96">
        <f>IF($A2459="",0,IF(AND(AE2459&lt;&gt;"직접",IFERROR(INDEX(계정매핑!$G$5:$G$504,MATCH($F2459&amp;"",계정매핑!$A$5:$A$504,0))&amp;"","")="유지비",COUNTIF(계정대체기준!$A$6:$A$15,$N2459)&gt;0),IFERROR(INDEX(계정대체기준!$E$6:$E$15,MATCH(VALUE($A2459&amp;""),계정대체기준!$D$6:$D$15,0)),0),0))</f>
        <v/>
      </c>
      <c r="AH2459" s="64">
        <f>IF($A2459="","",IF(AD2459=0,"",IF(OR(COUNTIF(계정대체기준!$A$77:$A$86,$N2459)&gt;0,ISNUMBER(MATCH($X2459,계정대체기준!$D$77:$D$86,0)),ISNUMBER(MATCH($F2459,계정대체기준!$D$77:$D$86,0))),"Y","N")))</f>
        <v/>
      </c>
    </row>
    <row r="2460">
      <c r="A2460" s="92" t="n">
        <v>2025</v>
      </c>
      <c r="B2460" s="92" t="n">
        <v>11</v>
      </c>
      <c r="C2460" s="92" t="inlineStr">
        <is>
          <t>5100002456</t>
        </is>
      </c>
      <c r="D2460" s="95" t="n">
        <v>45985</v>
      </c>
      <c r="E2460" s="92" t="inlineStr">
        <is>
          <t>KR</t>
        </is>
      </c>
      <c r="F2460" s="92" t="n">
        <v>62102000</v>
      </c>
      <c r="G2460" s="92" t="n">
        <v>1101</v>
      </c>
      <c r="H2460" s="93" t="n">
        <v>102000</v>
      </c>
      <c r="I2460" s="92" t="inlineStr">
        <is>
          <t>11월 해외출장 - M항공</t>
        </is>
      </c>
      <c r="J2460" s="92" t="inlineStr">
        <is>
          <t>V10001</t>
        </is>
      </c>
      <c r="K2460" s="92" t="inlineStr">
        <is>
          <t>M항공</t>
        </is>
      </c>
      <c r="M2460" s="9">
        <f>IF($A2460="","",VALUE($A2460&amp;"")*12+VALUE($B2460&amp;""))</f>
        <v/>
      </c>
      <c r="N2460" s="64">
        <f>IF($A2460="","",IFERROR(INDEX(부서매핑!$C$5:$C$504,MATCH($G2460&amp;"",부서매핑!$A$5:$A$504,0)),"미매핑"))</f>
        <v/>
      </c>
      <c r="O2460" s="9">
        <f>IF($A2460="","",N2460&amp;"|"&amp;$F2460)</f>
        <v/>
      </c>
      <c r="P2460" s="94">
        <f>IF($A2460="",0,$H2460*설정!$C$23)</f>
        <v/>
      </c>
      <c r="Q2460" s="64">
        <f>IF($A2460="","",IF(O2460&lt;&gt;원인분석!$C$9,"",IF(AND(M2460&gt;=원인분석!$C$10,M2460&lt;=원인분석!$C$11),"당기",IF(AND(M2460&gt;=원인분석!$C$12,M2460&lt;=원인분석!$C$13),"비교",""))))</f>
        <v/>
      </c>
      <c r="R2460" s="9">
        <f>IF(Q2460="","",$K2460&amp;"")</f>
        <v/>
      </c>
      <c r="S2460" s="9">
        <f>IF(Q2460="","",IF(MATCH(R2460,$R$5:$R$100000,0)=ROW()-4,ROW(),""))</f>
        <v/>
      </c>
      <c r="T2460" s="9">
        <f>IF(Q2460="당기",ABS(P2460)+ROW()/1000000000,"")</f>
        <v/>
      </c>
      <c r="U2460" s="9">
        <f>IF(Q2460="비교",ABS(P2460)+ROW()/1000000000,"")</f>
        <v/>
      </c>
      <c r="V2460" s="64">
        <f>IF($A2460="","",IF(COUNTIF(변동분석!$E$7:$E$506,O2460)&gt;0,"Y","N"))</f>
        <v/>
      </c>
      <c r="W2460" s="64">
        <f>IF($A2460="","",IFERROR(INDEX(계정매핑!$D$5:$D$504,MATCH($F2460&amp;"",계정매핑!$A$5:$A$504,0)),"미매핑"))</f>
        <v/>
      </c>
      <c r="X2460" s="9">
        <f>IF($A2460="","",$F2460&amp;"")</f>
        <v/>
      </c>
      <c r="Y2460" s="94">
        <f>IF($A2460="",0,IF(AE2460="직접",IF(AF2460="비귀속",$P2460,0),$P2460*(1-AG2460)*IFERROR(INDEX(계정대체기준!$F$20:$F$49,MATCH($N2460,계정대체기준!$A$20:$A$49,0)),1)))</f>
        <v/>
      </c>
      <c r="Z2460" s="94">
        <f>IF($A2460="",0,IF(AE2460="직접",IF(AF2460="신계약비",$P2460,0),$P2460*(1-AG2460)*IFERROR(INDEX(계정대체기준!$C$20:$C$49,MATCH($N2460,계정대체기준!$A$20:$A$49,0)),0)))</f>
        <v/>
      </c>
      <c r="AA2460" s="94">
        <f>IF($A2460="",0,IF(AE2460="직접",IF(OR(AF2460="유지비",AF2460="손해조사비"),$P2460,0),$P2460*(1-AG2460)*IFERROR(INDEX(계정대체기준!$D$20:$D$49,MATCH($N2460,계정대체기준!$A$20:$A$49,0)),0)))</f>
        <v/>
      </c>
      <c r="AB2460" s="94">
        <f>IF($A2460="",0,IF(AE2460="직접",IF(AF2460="수금비",$P2460,0),$P2460*(1-AG2460)*IFERROR(INDEX(계정대체기준!$E$20:$E$49,MATCH($N2460,계정대체기준!$A$20:$A$49,0)),0)))</f>
        <v/>
      </c>
      <c r="AC2460" s="9">
        <f>IF(AND($A2460&lt;&gt;"",M2460=설정!$C$20,Z2460&gt;0),Z2460+ROW()/1000000000,"")</f>
        <v/>
      </c>
      <c r="AD2460" s="94">
        <f>IF($A2460="",0,$P2460*AG2460)</f>
        <v/>
      </c>
      <c r="AE2460" s="64">
        <f>IF($A2460="","",IFERROR(INDEX(계정매핑!$E$5:$E$504,MATCH($F2460&amp;"",계정매핑!$A$5:$A$504,0))&amp;"","공통비"))</f>
        <v/>
      </c>
      <c r="AF2460" s="64">
        <f>IF($A2460="","",IF(AE2460="직접",IFERROR(INDEX(계정매핑!$F$5:$F$504,MATCH($F2460&amp;"",계정매핑!$A$5:$A$504,0))&amp;"","비귀속"),""))</f>
        <v/>
      </c>
      <c r="AG2460" s="96">
        <f>IF($A2460="",0,IF(AND(AE2460&lt;&gt;"직접",IFERROR(INDEX(계정매핑!$G$5:$G$504,MATCH($F2460&amp;"",계정매핑!$A$5:$A$504,0))&amp;"","")="유지비",COUNTIF(계정대체기준!$A$6:$A$15,$N2460)&gt;0),IFERROR(INDEX(계정대체기준!$E$6:$E$15,MATCH(VALUE($A2460&amp;""),계정대체기준!$D$6:$D$15,0)),0),0))</f>
        <v/>
      </c>
      <c r="AH2460" s="64">
        <f>IF($A2460="","",IF(AD2460=0,"",IF(OR(COUNTIF(계정대체기준!$A$77:$A$86,$N2460)&gt;0,ISNUMBER(MATCH($X2460,계정대체기준!$D$77:$D$86,0)),ISNUMBER(MATCH($F2460,계정대체기준!$D$77:$D$86,0))),"Y","N")))</f>
        <v/>
      </c>
    </row>
    <row r="2461">
      <c r="A2461" s="92" t="n">
        <v>2025</v>
      </c>
      <c r="B2461" s="92" t="n">
        <v>11</v>
      </c>
      <c r="C2461" s="92" t="inlineStr">
        <is>
          <t>5100002457</t>
        </is>
      </c>
      <c r="D2461" s="95" t="n">
        <v>45985</v>
      </c>
      <c r="E2461" s="92" t="inlineStr">
        <is>
          <t>KR</t>
        </is>
      </c>
      <c r="F2461" s="92" t="n">
        <v>62201000</v>
      </c>
      <c r="G2461" s="92" t="n">
        <v>1201</v>
      </c>
      <c r="H2461" s="93" t="n">
        <v>129000</v>
      </c>
      <c r="I2461" s="92" t="inlineStr">
        <is>
          <t>11월 통신요금 - P통신</t>
        </is>
      </c>
      <c r="J2461" s="92" t="inlineStr">
        <is>
          <t>V10014</t>
        </is>
      </c>
      <c r="K2461" s="92" t="inlineStr">
        <is>
          <t>P통신</t>
        </is>
      </c>
      <c r="M2461" s="9">
        <f>IF($A2461="","",VALUE($A2461&amp;"")*12+VALUE($B2461&amp;""))</f>
        <v/>
      </c>
      <c r="N2461" s="64">
        <f>IF($A2461="","",IFERROR(INDEX(부서매핑!$C$5:$C$504,MATCH($G2461&amp;"",부서매핑!$A$5:$A$504,0)),"미매핑"))</f>
        <v/>
      </c>
      <c r="O2461" s="9">
        <f>IF($A2461="","",N2461&amp;"|"&amp;$F2461)</f>
        <v/>
      </c>
      <c r="P2461" s="94">
        <f>IF($A2461="",0,$H2461*설정!$C$23)</f>
        <v/>
      </c>
      <c r="Q2461" s="64">
        <f>IF($A2461="","",IF(O2461&lt;&gt;원인분석!$C$9,"",IF(AND(M2461&gt;=원인분석!$C$10,M2461&lt;=원인분석!$C$11),"당기",IF(AND(M2461&gt;=원인분석!$C$12,M2461&lt;=원인분석!$C$13),"비교",""))))</f>
        <v/>
      </c>
      <c r="R2461" s="9">
        <f>IF(Q2461="","",$K2461&amp;"")</f>
        <v/>
      </c>
      <c r="S2461" s="9">
        <f>IF(Q2461="","",IF(MATCH(R2461,$R$5:$R$100000,0)=ROW()-4,ROW(),""))</f>
        <v/>
      </c>
      <c r="T2461" s="9">
        <f>IF(Q2461="당기",ABS(P2461)+ROW()/1000000000,"")</f>
        <v/>
      </c>
      <c r="U2461" s="9">
        <f>IF(Q2461="비교",ABS(P2461)+ROW()/1000000000,"")</f>
        <v/>
      </c>
      <c r="V2461" s="64">
        <f>IF($A2461="","",IF(COUNTIF(변동분석!$E$7:$E$506,O2461)&gt;0,"Y","N"))</f>
        <v/>
      </c>
      <c r="W2461" s="64">
        <f>IF($A2461="","",IFERROR(INDEX(계정매핑!$D$5:$D$504,MATCH($F2461&amp;"",계정매핑!$A$5:$A$504,0)),"미매핑"))</f>
        <v/>
      </c>
      <c r="X2461" s="9">
        <f>IF($A2461="","",$F2461&amp;"")</f>
        <v/>
      </c>
      <c r="Y2461" s="94">
        <f>IF($A2461="",0,IF(AE2461="직접",IF(AF2461="비귀속",$P2461,0),$P2461*(1-AG2461)*IFERROR(INDEX(계정대체기준!$F$20:$F$49,MATCH($N2461,계정대체기준!$A$20:$A$49,0)),1)))</f>
        <v/>
      </c>
      <c r="Z2461" s="94">
        <f>IF($A2461="",0,IF(AE2461="직접",IF(AF2461="신계약비",$P2461,0),$P2461*(1-AG2461)*IFERROR(INDEX(계정대체기준!$C$20:$C$49,MATCH($N2461,계정대체기준!$A$20:$A$49,0)),0)))</f>
        <v/>
      </c>
      <c r="AA2461" s="94">
        <f>IF($A2461="",0,IF(AE2461="직접",IF(OR(AF2461="유지비",AF2461="손해조사비"),$P2461,0),$P2461*(1-AG2461)*IFERROR(INDEX(계정대체기준!$D$20:$D$49,MATCH($N2461,계정대체기준!$A$20:$A$49,0)),0)))</f>
        <v/>
      </c>
      <c r="AB2461" s="94">
        <f>IF($A2461="",0,IF(AE2461="직접",IF(AF2461="수금비",$P2461,0),$P2461*(1-AG2461)*IFERROR(INDEX(계정대체기준!$E$20:$E$49,MATCH($N2461,계정대체기준!$A$20:$A$49,0)),0)))</f>
        <v/>
      </c>
      <c r="AC2461" s="9">
        <f>IF(AND($A2461&lt;&gt;"",M2461=설정!$C$20,Z2461&gt;0),Z2461+ROW()/1000000000,"")</f>
        <v/>
      </c>
      <c r="AD2461" s="94">
        <f>IF($A2461="",0,$P2461*AG2461)</f>
        <v/>
      </c>
      <c r="AE2461" s="64">
        <f>IF($A2461="","",IFERROR(INDEX(계정매핑!$E$5:$E$504,MATCH($F2461&amp;"",계정매핑!$A$5:$A$504,0))&amp;"","공통비"))</f>
        <v/>
      </c>
      <c r="AF2461" s="64">
        <f>IF($A2461="","",IF(AE2461="직접",IFERROR(INDEX(계정매핑!$F$5:$F$504,MATCH($F2461&amp;"",계정매핑!$A$5:$A$504,0))&amp;"","비귀속"),""))</f>
        <v/>
      </c>
      <c r="AG2461" s="96">
        <f>IF($A2461="",0,IF(AND(AE2461&lt;&gt;"직접",IFERROR(INDEX(계정매핑!$G$5:$G$504,MATCH($F2461&amp;"",계정매핑!$A$5:$A$504,0))&amp;"","")="유지비",COUNTIF(계정대체기준!$A$6:$A$15,$N2461)&gt;0),IFERROR(INDEX(계정대체기준!$E$6:$E$15,MATCH(VALUE($A2461&amp;""),계정대체기준!$D$6:$D$15,0)),0),0))</f>
        <v/>
      </c>
      <c r="AH2461" s="64">
        <f>IF($A2461="","",IF(AD2461=0,"",IF(OR(COUNTIF(계정대체기준!$A$77:$A$86,$N2461)&gt;0,ISNUMBER(MATCH($X2461,계정대체기준!$D$77:$D$86,0)),ISNUMBER(MATCH($F2461,계정대체기준!$D$77:$D$86,0))),"Y","N")))</f>
        <v/>
      </c>
    </row>
    <row r="2462">
      <c r="A2462" s="92" t="n">
        <v>2025</v>
      </c>
      <c r="B2462" s="92" t="n">
        <v>11</v>
      </c>
      <c r="C2462" s="92" t="inlineStr">
        <is>
          <t>5100002458</t>
        </is>
      </c>
      <c r="D2462" s="95" t="n">
        <v>45985</v>
      </c>
      <c r="E2462" s="92" t="inlineStr">
        <is>
          <t>KR</t>
        </is>
      </c>
      <c r="F2462" s="92" t="n">
        <v>62301000</v>
      </c>
      <c r="G2462" s="92" t="n">
        <v>1201</v>
      </c>
      <c r="H2462" s="93" t="n">
        <v>172000</v>
      </c>
      <c r="I2462" s="92" t="inlineStr">
        <is>
          <t>11월 소모품 구입 - Q오피스</t>
        </is>
      </c>
      <c r="J2462" s="92" t="inlineStr">
        <is>
          <t>V10003</t>
        </is>
      </c>
      <c r="K2462" s="92" t="inlineStr">
        <is>
          <t>Q오피스</t>
        </is>
      </c>
      <c r="M2462" s="9">
        <f>IF($A2462="","",VALUE($A2462&amp;"")*12+VALUE($B2462&amp;""))</f>
        <v/>
      </c>
      <c r="N2462" s="64">
        <f>IF($A2462="","",IFERROR(INDEX(부서매핑!$C$5:$C$504,MATCH($G2462&amp;"",부서매핑!$A$5:$A$504,0)),"미매핑"))</f>
        <v/>
      </c>
      <c r="O2462" s="9">
        <f>IF($A2462="","",N2462&amp;"|"&amp;$F2462)</f>
        <v/>
      </c>
      <c r="P2462" s="94">
        <f>IF($A2462="",0,$H2462*설정!$C$23)</f>
        <v/>
      </c>
      <c r="Q2462" s="64">
        <f>IF($A2462="","",IF(O2462&lt;&gt;원인분석!$C$9,"",IF(AND(M2462&gt;=원인분석!$C$10,M2462&lt;=원인분석!$C$11),"당기",IF(AND(M2462&gt;=원인분석!$C$12,M2462&lt;=원인분석!$C$13),"비교",""))))</f>
        <v/>
      </c>
      <c r="R2462" s="9">
        <f>IF(Q2462="","",$K2462&amp;"")</f>
        <v/>
      </c>
      <c r="S2462" s="9">
        <f>IF(Q2462="","",IF(MATCH(R2462,$R$5:$R$100000,0)=ROW()-4,ROW(),""))</f>
        <v/>
      </c>
      <c r="T2462" s="9">
        <f>IF(Q2462="당기",ABS(P2462)+ROW()/1000000000,"")</f>
        <v/>
      </c>
      <c r="U2462" s="9">
        <f>IF(Q2462="비교",ABS(P2462)+ROW()/1000000000,"")</f>
        <v/>
      </c>
      <c r="V2462" s="64">
        <f>IF($A2462="","",IF(COUNTIF(변동분석!$E$7:$E$506,O2462)&gt;0,"Y","N"))</f>
        <v/>
      </c>
      <c r="W2462" s="64">
        <f>IF($A2462="","",IFERROR(INDEX(계정매핑!$D$5:$D$504,MATCH($F2462&amp;"",계정매핑!$A$5:$A$504,0)),"미매핑"))</f>
        <v/>
      </c>
      <c r="X2462" s="9">
        <f>IF($A2462="","",$F2462&amp;"")</f>
        <v/>
      </c>
      <c r="Y2462" s="94">
        <f>IF($A2462="",0,IF(AE2462="직접",IF(AF2462="비귀속",$P2462,0),$P2462*(1-AG2462)*IFERROR(INDEX(계정대체기준!$F$20:$F$49,MATCH($N2462,계정대체기준!$A$20:$A$49,0)),1)))</f>
        <v/>
      </c>
      <c r="Z2462" s="94">
        <f>IF($A2462="",0,IF(AE2462="직접",IF(AF2462="신계약비",$P2462,0),$P2462*(1-AG2462)*IFERROR(INDEX(계정대체기준!$C$20:$C$49,MATCH($N2462,계정대체기준!$A$20:$A$49,0)),0)))</f>
        <v/>
      </c>
      <c r="AA2462" s="94">
        <f>IF($A2462="",0,IF(AE2462="직접",IF(OR(AF2462="유지비",AF2462="손해조사비"),$P2462,0),$P2462*(1-AG2462)*IFERROR(INDEX(계정대체기준!$D$20:$D$49,MATCH($N2462,계정대체기준!$A$20:$A$49,0)),0)))</f>
        <v/>
      </c>
      <c r="AB2462" s="94">
        <f>IF($A2462="",0,IF(AE2462="직접",IF(AF2462="수금비",$P2462,0),$P2462*(1-AG2462)*IFERROR(INDEX(계정대체기준!$E$20:$E$49,MATCH($N2462,계정대체기준!$A$20:$A$49,0)),0)))</f>
        <v/>
      </c>
      <c r="AC2462" s="9">
        <f>IF(AND($A2462&lt;&gt;"",M2462=설정!$C$20,Z2462&gt;0),Z2462+ROW()/1000000000,"")</f>
        <v/>
      </c>
      <c r="AD2462" s="94">
        <f>IF($A2462="",0,$P2462*AG2462)</f>
        <v/>
      </c>
      <c r="AE2462" s="64">
        <f>IF($A2462="","",IFERROR(INDEX(계정매핑!$E$5:$E$504,MATCH($F2462&amp;"",계정매핑!$A$5:$A$504,0))&amp;"","공통비"))</f>
        <v/>
      </c>
      <c r="AF2462" s="64">
        <f>IF($A2462="","",IF(AE2462="직접",IFERROR(INDEX(계정매핑!$F$5:$F$504,MATCH($F2462&amp;"",계정매핑!$A$5:$A$504,0))&amp;"","비귀속"),""))</f>
        <v/>
      </c>
      <c r="AG2462" s="96">
        <f>IF($A2462="",0,IF(AND(AE2462&lt;&gt;"직접",IFERROR(INDEX(계정매핑!$G$5:$G$504,MATCH($F2462&amp;"",계정매핑!$A$5:$A$504,0))&amp;"","")="유지비",COUNTIF(계정대체기준!$A$6:$A$15,$N2462)&gt;0),IFERROR(INDEX(계정대체기준!$E$6:$E$15,MATCH(VALUE($A2462&amp;""),계정대체기준!$D$6:$D$15,0)),0),0))</f>
        <v/>
      </c>
      <c r="AH2462" s="64">
        <f>IF($A2462="","",IF(AD2462=0,"",IF(OR(COUNTIF(계정대체기준!$A$77:$A$86,$N2462)&gt;0,ISNUMBER(MATCH($X2462,계정대체기준!$D$77:$D$86,0)),ISNUMBER(MATCH($F2462,계정대체기준!$D$77:$D$86,0))),"Y","N")))</f>
        <v/>
      </c>
    </row>
    <row r="2463">
      <c r="A2463" s="92" t="n">
        <v>2025</v>
      </c>
      <c r="B2463" s="92" t="n">
        <v>11</v>
      </c>
      <c r="C2463" s="92" t="inlineStr">
        <is>
          <t>5100002459</t>
        </is>
      </c>
      <c r="D2463" s="95" t="n">
        <v>45985</v>
      </c>
      <c r="E2463" s="92" t="inlineStr">
        <is>
          <t>KR</t>
        </is>
      </c>
      <c r="F2463" s="92" t="n">
        <v>62401000</v>
      </c>
      <c r="G2463" s="92" t="n">
        <v>1401</v>
      </c>
      <c r="H2463" s="93" t="n">
        <v>248000</v>
      </c>
      <c r="I2463" s="92" t="inlineStr">
        <is>
          <t>11월 인쇄물 제작 - S출판</t>
        </is>
      </c>
      <c r="J2463" s="92" t="inlineStr">
        <is>
          <t>V10015</t>
        </is>
      </c>
      <c r="K2463" s="92" t="inlineStr">
        <is>
          <t>S출판</t>
        </is>
      </c>
      <c r="M2463" s="9">
        <f>IF($A2463="","",VALUE($A2463&amp;"")*12+VALUE($B2463&amp;""))</f>
        <v/>
      </c>
      <c r="N2463" s="64">
        <f>IF($A2463="","",IFERROR(INDEX(부서매핑!$C$5:$C$504,MATCH($G2463&amp;"",부서매핑!$A$5:$A$504,0)),"미매핑"))</f>
        <v/>
      </c>
      <c r="O2463" s="9">
        <f>IF($A2463="","",N2463&amp;"|"&amp;$F2463)</f>
        <v/>
      </c>
      <c r="P2463" s="94">
        <f>IF($A2463="",0,$H2463*설정!$C$23)</f>
        <v/>
      </c>
      <c r="Q2463" s="64">
        <f>IF($A2463="","",IF(O2463&lt;&gt;원인분석!$C$9,"",IF(AND(M2463&gt;=원인분석!$C$10,M2463&lt;=원인분석!$C$11),"당기",IF(AND(M2463&gt;=원인분석!$C$12,M2463&lt;=원인분석!$C$13),"비교",""))))</f>
        <v/>
      </c>
      <c r="R2463" s="9">
        <f>IF(Q2463="","",$K2463&amp;"")</f>
        <v/>
      </c>
      <c r="S2463" s="9">
        <f>IF(Q2463="","",IF(MATCH(R2463,$R$5:$R$100000,0)=ROW()-4,ROW(),""))</f>
        <v/>
      </c>
      <c r="T2463" s="9">
        <f>IF(Q2463="당기",ABS(P2463)+ROW()/1000000000,"")</f>
        <v/>
      </c>
      <c r="U2463" s="9">
        <f>IF(Q2463="비교",ABS(P2463)+ROW()/1000000000,"")</f>
        <v/>
      </c>
      <c r="V2463" s="64">
        <f>IF($A2463="","",IF(COUNTIF(변동분석!$E$7:$E$506,O2463)&gt;0,"Y","N"))</f>
        <v/>
      </c>
      <c r="W2463" s="64">
        <f>IF($A2463="","",IFERROR(INDEX(계정매핑!$D$5:$D$504,MATCH($F2463&amp;"",계정매핑!$A$5:$A$504,0)),"미매핑"))</f>
        <v/>
      </c>
      <c r="X2463" s="9">
        <f>IF($A2463="","",$F2463&amp;"")</f>
        <v/>
      </c>
      <c r="Y2463" s="94">
        <f>IF($A2463="",0,IF(AE2463="직접",IF(AF2463="비귀속",$P2463,0),$P2463*(1-AG2463)*IFERROR(INDEX(계정대체기준!$F$20:$F$49,MATCH($N2463,계정대체기준!$A$20:$A$49,0)),1)))</f>
        <v/>
      </c>
      <c r="Z2463" s="94">
        <f>IF($A2463="",0,IF(AE2463="직접",IF(AF2463="신계약비",$P2463,0),$P2463*(1-AG2463)*IFERROR(INDEX(계정대체기준!$C$20:$C$49,MATCH($N2463,계정대체기준!$A$20:$A$49,0)),0)))</f>
        <v/>
      </c>
      <c r="AA2463" s="94">
        <f>IF($A2463="",0,IF(AE2463="직접",IF(OR(AF2463="유지비",AF2463="손해조사비"),$P2463,0),$P2463*(1-AG2463)*IFERROR(INDEX(계정대체기준!$D$20:$D$49,MATCH($N2463,계정대체기준!$A$20:$A$49,0)),0)))</f>
        <v/>
      </c>
      <c r="AB2463" s="94">
        <f>IF($A2463="",0,IF(AE2463="직접",IF(AF2463="수금비",$P2463,0),$P2463*(1-AG2463)*IFERROR(INDEX(계정대체기준!$E$20:$E$49,MATCH($N2463,계정대체기준!$A$20:$A$49,0)),0)))</f>
        <v/>
      </c>
      <c r="AC2463" s="9">
        <f>IF(AND($A2463&lt;&gt;"",M2463=설정!$C$20,Z2463&gt;0),Z2463+ROW()/1000000000,"")</f>
        <v/>
      </c>
      <c r="AD2463" s="94">
        <f>IF($A2463="",0,$P2463*AG2463)</f>
        <v/>
      </c>
      <c r="AE2463" s="64">
        <f>IF($A2463="","",IFERROR(INDEX(계정매핑!$E$5:$E$504,MATCH($F2463&amp;"",계정매핑!$A$5:$A$504,0))&amp;"","공통비"))</f>
        <v/>
      </c>
      <c r="AF2463" s="64">
        <f>IF($A2463="","",IF(AE2463="직접",IFERROR(INDEX(계정매핑!$F$5:$F$504,MATCH($F2463&amp;"",계정매핑!$A$5:$A$504,0))&amp;"","비귀속"),""))</f>
        <v/>
      </c>
      <c r="AG2463" s="96">
        <f>IF($A2463="",0,IF(AND(AE2463&lt;&gt;"직접",IFERROR(INDEX(계정매핑!$G$5:$G$504,MATCH($F2463&amp;"",계정매핑!$A$5:$A$504,0))&amp;"","")="유지비",COUNTIF(계정대체기준!$A$6:$A$15,$N2463)&gt;0),IFERROR(INDEX(계정대체기준!$E$6:$E$15,MATCH(VALUE($A2463&amp;""),계정대체기준!$D$6:$D$15,0)),0),0))</f>
        <v/>
      </c>
      <c r="AH2463" s="64">
        <f>IF($A2463="","",IF(AD2463=0,"",IF(OR(COUNTIF(계정대체기준!$A$77:$A$86,$N2463)&gt;0,ISNUMBER(MATCH($X2463,계정대체기준!$D$77:$D$86,0)),ISNUMBER(MATCH($F2463,계정대체기준!$D$77:$D$86,0))),"Y","N")))</f>
        <v/>
      </c>
    </row>
    <row r="2464">
      <c r="A2464" s="92" t="n">
        <v>2025</v>
      </c>
      <c r="B2464" s="92" t="n">
        <v>11</v>
      </c>
      <c r="C2464" s="92" t="inlineStr">
        <is>
          <t>5100002460</t>
        </is>
      </c>
      <c r="D2464" s="95" t="n">
        <v>45985</v>
      </c>
      <c r="E2464" s="92" t="inlineStr">
        <is>
          <t>KR</t>
        </is>
      </c>
      <c r="F2464" s="92" t="n">
        <v>62501000</v>
      </c>
      <c r="G2464" s="92" t="n">
        <v>1801</v>
      </c>
      <c r="H2464" s="93" t="n">
        <v>156000</v>
      </c>
      <c r="I2464" s="92" t="inlineStr">
        <is>
          <t>11월 회의 다과 - (법인카드)</t>
        </is>
      </c>
      <c r="J2464" s="92" t="inlineStr">
        <is>
          <t>V10010</t>
        </is>
      </c>
      <c r="K2464" s="92" t="inlineStr">
        <is>
          <t>(법인카드)</t>
        </is>
      </c>
      <c r="M2464" s="9">
        <f>IF($A2464="","",VALUE($A2464&amp;"")*12+VALUE($B2464&amp;""))</f>
        <v/>
      </c>
      <c r="N2464" s="64">
        <f>IF($A2464="","",IFERROR(INDEX(부서매핑!$C$5:$C$504,MATCH($G2464&amp;"",부서매핑!$A$5:$A$504,0)),"미매핑"))</f>
        <v/>
      </c>
      <c r="O2464" s="9">
        <f>IF($A2464="","",N2464&amp;"|"&amp;$F2464)</f>
        <v/>
      </c>
      <c r="P2464" s="94">
        <f>IF($A2464="",0,$H2464*설정!$C$23)</f>
        <v/>
      </c>
      <c r="Q2464" s="64">
        <f>IF($A2464="","",IF(O2464&lt;&gt;원인분석!$C$9,"",IF(AND(M2464&gt;=원인분석!$C$10,M2464&lt;=원인분석!$C$11),"당기",IF(AND(M2464&gt;=원인분석!$C$12,M2464&lt;=원인분석!$C$13),"비교",""))))</f>
        <v/>
      </c>
      <c r="R2464" s="9">
        <f>IF(Q2464="","",$K2464&amp;"")</f>
        <v/>
      </c>
      <c r="S2464" s="9">
        <f>IF(Q2464="","",IF(MATCH(R2464,$R$5:$R$100000,0)=ROW()-4,ROW(),""))</f>
        <v/>
      </c>
      <c r="T2464" s="9">
        <f>IF(Q2464="당기",ABS(P2464)+ROW()/1000000000,"")</f>
        <v/>
      </c>
      <c r="U2464" s="9">
        <f>IF(Q2464="비교",ABS(P2464)+ROW()/1000000000,"")</f>
        <v/>
      </c>
      <c r="V2464" s="64">
        <f>IF($A2464="","",IF(COUNTIF(변동분석!$E$7:$E$506,O2464)&gt;0,"Y","N"))</f>
        <v/>
      </c>
      <c r="W2464" s="64">
        <f>IF($A2464="","",IFERROR(INDEX(계정매핑!$D$5:$D$504,MATCH($F2464&amp;"",계정매핑!$A$5:$A$504,0)),"미매핑"))</f>
        <v/>
      </c>
      <c r="X2464" s="9">
        <f>IF($A2464="","",$F2464&amp;"")</f>
        <v/>
      </c>
      <c r="Y2464" s="94">
        <f>IF($A2464="",0,IF(AE2464="직접",IF(AF2464="비귀속",$P2464,0),$P2464*(1-AG2464)*IFERROR(INDEX(계정대체기준!$F$20:$F$49,MATCH($N2464,계정대체기준!$A$20:$A$49,0)),1)))</f>
        <v/>
      </c>
      <c r="Z2464" s="94">
        <f>IF($A2464="",0,IF(AE2464="직접",IF(AF2464="신계약비",$P2464,0),$P2464*(1-AG2464)*IFERROR(INDEX(계정대체기준!$C$20:$C$49,MATCH($N2464,계정대체기준!$A$20:$A$49,0)),0)))</f>
        <v/>
      </c>
      <c r="AA2464" s="94">
        <f>IF($A2464="",0,IF(AE2464="직접",IF(OR(AF2464="유지비",AF2464="손해조사비"),$P2464,0),$P2464*(1-AG2464)*IFERROR(INDEX(계정대체기준!$D$20:$D$49,MATCH($N2464,계정대체기준!$A$20:$A$49,0)),0)))</f>
        <v/>
      </c>
      <c r="AB2464" s="94">
        <f>IF($A2464="",0,IF(AE2464="직접",IF(AF2464="수금비",$P2464,0),$P2464*(1-AG2464)*IFERROR(INDEX(계정대체기준!$E$20:$E$49,MATCH($N2464,계정대체기준!$A$20:$A$49,0)),0)))</f>
        <v/>
      </c>
      <c r="AC2464" s="9">
        <f>IF(AND($A2464&lt;&gt;"",M2464=설정!$C$20,Z2464&gt;0),Z2464+ROW()/1000000000,"")</f>
        <v/>
      </c>
      <c r="AD2464" s="94">
        <f>IF($A2464="",0,$P2464*AG2464)</f>
        <v/>
      </c>
      <c r="AE2464" s="64">
        <f>IF($A2464="","",IFERROR(INDEX(계정매핑!$E$5:$E$504,MATCH($F2464&amp;"",계정매핑!$A$5:$A$504,0))&amp;"","공통비"))</f>
        <v/>
      </c>
      <c r="AF2464" s="64">
        <f>IF($A2464="","",IF(AE2464="직접",IFERROR(INDEX(계정매핑!$F$5:$F$504,MATCH($F2464&amp;"",계정매핑!$A$5:$A$504,0))&amp;"","비귀속"),""))</f>
        <v/>
      </c>
      <c r="AG2464" s="96">
        <f>IF($A2464="",0,IF(AND(AE2464&lt;&gt;"직접",IFERROR(INDEX(계정매핑!$G$5:$G$504,MATCH($F2464&amp;"",계정매핑!$A$5:$A$504,0))&amp;"","")="유지비",COUNTIF(계정대체기준!$A$6:$A$15,$N2464)&gt;0),IFERROR(INDEX(계정대체기준!$E$6:$E$15,MATCH(VALUE($A2464&amp;""),계정대체기준!$D$6:$D$15,0)),0),0))</f>
        <v/>
      </c>
      <c r="AH2464" s="64">
        <f>IF($A2464="","",IF(AD2464=0,"",IF(OR(COUNTIF(계정대체기준!$A$77:$A$86,$N2464)&gt;0,ISNUMBER(MATCH($X2464,계정대체기준!$D$77:$D$86,0)),ISNUMBER(MATCH($F2464,계정대체기준!$D$77:$D$86,0))),"Y","N")))</f>
        <v/>
      </c>
    </row>
    <row r="2465">
      <c r="A2465" s="92" t="n">
        <v>2025</v>
      </c>
      <c r="B2465" s="92" t="n">
        <v>11</v>
      </c>
      <c r="C2465" s="92" t="inlineStr">
        <is>
          <t>5100002461</t>
        </is>
      </c>
      <c r="D2465" s="95" t="n">
        <v>45985</v>
      </c>
      <c r="E2465" s="92" t="inlineStr">
        <is>
          <t>KR</t>
        </is>
      </c>
      <c r="F2465" s="92" t="n">
        <v>62701000</v>
      </c>
      <c r="G2465" s="92" t="n">
        <v>1502</v>
      </c>
      <c r="H2465" s="93" t="n">
        <v>46222000</v>
      </c>
      <c r="I2465" s="92" t="inlineStr">
        <is>
          <t>11월 광고 집행 - F애드</t>
        </is>
      </c>
      <c r="J2465" s="92" t="inlineStr">
        <is>
          <t>V10023</t>
        </is>
      </c>
      <c r="K2465" s="92" t="inlineStr">
        <is>
          <t>F애드</t>
        </is>
      </c>
      <c r="M2465" s="9">
        <f>IF($A2465="","",VALUE($A2465&amp;"")*12+VALUE($B2465&amp;""))</f>
        <v/>
      </c>
      <c r="N2465" s="64">
        <f>IF($A2465="","",IFERROR(INDEX(부서매핑!$C$5:$C$504,MATCH($G2465&amp;"",부서매핑!$A$5:$A$504,0)),"미매핑"))</f>
        <v/>
      </c>
      <c r="O2465" s="9">
        <f>IF($A2465="","",N2465&amp;"|"&amp;$F2465)</f>
        <v/>
      </c>
      <c r="P2465" s="94">
        <f>IF($A2465="",0,$H2465*설정!$C$23)</f>
        <v/>
      </c>
      <c r="Q2465" s="64">
        <f>IF($A2465="","",IF(O2465&lt;&gt;원인분석!$C$9,"",IF(AND(M2465&gt;=원인분석!$C$10,M2465&lt;=원인분석!$C$11),"당기",IF(AND(M2465&gt;=원인분석!$C$12,M2465&lt;=원인분석!$C$13),"비교",""))))</f>
        <v/>
      </c>
      <c r="R2465" s="9">
        <f>IF(Q2465="","",$K2465&amp;"")</f>
        <v/>
      </c>
      <c r="S2465" s="9">
        <f>IF(Q2465="","",IF(MATCH(R2465,$R$5:$R$100000,0)=ROW()-4,ROW(),""))</f>
        <v/>
      </c>
      <c r="T2465" s="9">
        <f>IF(Q2465="당기",ABS(P2465)+ROW()/1000000000,"")</f>
        <v/>
      </c>
      <c r="U2465" s="9">
        <f>IF(Q2465="비교",ABS(P2465)+ROW()/1000000000,"")</f>
        <v/>
      </c>
      <c r="V2465" s="64">
        <f>IF($A2465="","",IF(COUNTIF(변동분석!$E$7:$E$506,O2465)&gt;0,"Y","N"))</f>
        <v/>
      </c>
      <c r="W2465" s="64">
        <f>IF($A2465="","",IFERROR(INDEX(계정매핑!$D$5:$D$504,MATCH($F2465&amp;"",계정매핑!$A$5:$A$504,0)),"미매핑"))</f>
        <v/>
      </c>
      <c r="X2465" s="9">
        <f>IF($A2465="","",$F2465&amp;"")</f>
        <v/>
      </c>
      <c r="Y2465" s="94">
        <f>IF($A2465="",0,IF(AE2465="직접",IF(AF2465="비귀속",$P2465,0),$P2465*(1-AG2465)*IFERROR(INDEX(계정대체기준!$F$20:$F$49,MATCH($N2465,계정대체기준!$A$20:$A$49,0)),1)))</f>
        <v/>
      </c>
      <c r="Z2465" s="94">
        <f>IF($A2465="",0,IF(AE2465="직접",IF(AF2465="신계약비",$P2465,0),$P2465*(1-AG2465)*IFERROR(INDEX(계정대체기준!$C$20:$C$49,MATCH($N2465,계정대체기준!$A$20:$A$49,0)),0)))</f>
        <v/>
      </c>
      <c r="AA2465" s="94">
        <f>IF($A2465="",0,IF(AE2465="직접",IF(OR(AF2465="유지비",AF2465="손해조사비"),$P2465,0),$P2465*(1-AG2465)*IFERROR(INDEX(계정대체기준!$D$20:$D$49,MATCH($N2465,계정대체기준!$A$20:$A$49,0)),0)))</f>
        <v/>
      </c>
      <c r="AB2465" s="94">
        <f>IF($A2465="",0,IF(AE2465="직접",IF(AF2465="수금비",$P2465,0),$P2465*(1-AG2465)*IFERROR(INDEX(계정대체기준!$E$20:$E$49,MATCH($N2465,계정대체기준!$A$20:$A$49,0)),0)))</f>
        <v/>
      </c>
      <c r="AC2465" s="9">
        <f>IF(AND($A2465&lt;&gt;"",M2465=설정!$C$20,Z2465&gt;0),Z2465+ROW()/1000000000,"")</f>
        <v/>
      </c>
      <c r="AD2465" s="94">
        <f>IF($A2465="",0,$P2465*AG2465)</f>
        <v/>
      </c>
      <c r="AE2465" s="64">
        <f>IF($A2465="","",IFERROR(INDEX(계정매핑!$E$5:$E$504,MATCH($F2465&amp;"",계정매핑!$A$5:$A$504,0))&amp;"","공통비"))</f>
        <v/>
      </c>
      <c r="AF2465" s="64">
        <f>IF($A2465="","",IF(AE2465="직접",IFERROR(INDEX(계정매핑!$F$5:$F$504,MATCH($F2465&amp;"",계정매핑!$A$5:$A$504,0))&amp;"","비귀속"),""))</f>
        <v/>
      </c>
      <c r="AG2465" s="96">
        <f>IF($A2465="",0,IF(AND(AE2465&lt;&gt;"직접",IFERROR(INDEX(계정매핑!$G$5:$G$504,MATCH($F2465&amp;"",계정매핑!$A$5:$A$504,0))&amp;"","")="유지비",COUNTIF(계정대체기준!$A$6:$A$15,$N2465)&gt;0),IFERROR(INDEX(계정대체기준!$E$6:$E$15,MATCH(VALUE($A2465&amp;""),계정대체기준!$D$6:$D$15,0)),0),0))</f>
        <v/>
      </c>
      <c r="AH2465" s="64">
        <f>IF($A2465="","",IF(AD2465=0,"",IF(OR(COUNTIF(계정대체기준!$A$77:$A$86,$N2465)&gt;0,ISNUMBER(MATCH($X2465,계정대체기준!$D$77:$D$86,0)),ISNUMBER(MATCH($F2465,계정대체기준!$D$77:$D$86,0))),"Y","N")))</f>
        <v/>
      </c>
    </row>
    <row r="2466">
      <c r="A2466" s="92" t="n">
        <v>2025</v>
      </c>
      <c r="B2466" s="92" t="n">
        <v>11</v>
      </c>
      <c r="C2466" s="92" t="inlineStr">
        <is>
          <t>5100002462</t>
        </is>
      </c>
      <c r="D2466" s="95" t="n">
        <v>45985</v>
      </c>
      <c r="E2466" s="92" t="inlineStr">
        <is>
          <t>KR</t>
        </is>
      </c>
      <c r="F2466" s="92" t="n">
        <v>62802000</v>
      </c>
      <c r="G2466" s="92" t="n">
        <v>1301</v>
      </c>
      <c r="H2466" s="93" t="n">
        <v>6967000</v>
      </c>
      <c r="I2466" s="92" t="inlineStr">
        <is>
          <t>11월 위탁교육 - V아카데미</t>
        </is>
      </c>
      <c r="J2466" s="92" t="inlineStr">
        <is>
          <t>V10027</t>
        </is>
      </c>
      <c r="K2466" s="92" t="inlineStr">
        <is>
          <t>V아카데미</t>
        </is>
      </c>
      <c r="M2466" s="9">
        <f>IF($A2466="","",VALUE($A2466&amp;"")*12+VALUE($B2466&amp;""))</f>
        <v/>
      </c>
      <c r="N2466" s="64">
        <f>IF($A2466="","",IFERROR(INDEX(부서매핑!$C$5:$C$504,MATCH($G2466&amp;"",부서매핑!$A$5:$A$504,0)),"미매핑"))</f>
        <v/>
      </c>
      <c r="O2466" s="9">
        <f>IF($A2466="","",N2466&amp;"|"&amp;$F2466)</f>
        <v/>
      </c>
      <c r="P2466" s="94">
        <f>IF($A2466="",0,$H2466*설정!$C$23)</f>
        <v/>
      </c>
      <c r="Q2466" s="64">
        <f>IF($A2466="","",IF(O2466&lt;&gt;원인분석!$C$9,"",IF(AND(M2466&gt;=원인분석!$C$10,M2466&lt;=원인분석!$C$11),"당기",IF(AND(M2466&gt;=원인분석!$C$12,M2466&lt;=원인분석!$C$13),"비교",""))))</f>
        <v/>
      </c>
      <c r="R2466" s="9">
        <f>IF(Q2466="","",$K2466&amp;"")</f>
        <v/>
      </c>
      <c r="S2466" s="9">
        <f>IF(Q2466="","",IF(MATCH(R2466,$R$5:$R$100000,0)=ROW()-4,ROW(),""))</f>
        <v/>
      </c>
      <c r="T2466" s="9">
        <f>IF(Q2466="당기",ABS(P2466)+ROW()/1000000000,"")</f>
        <v/>
      </c>
      <c r="U2466" s="9">
        <f>IF(Q2466="비교",ABS(P2466)+ROW()/1000000000,"")</f>
        <v/>
      </c>
      <c r="V2466" s="64">
        <f>IF($A2466="","",IF(COUNTIF(변동분석!$E$7:$E$506,O2466)&gt;0,"Y","N"))</f>
        <v/>
      </c>
      <c r="W2466" s="64">
        <f>IF($A2466="","",IFERROR(INDEX(계정매핑!$D$5:$D$504,MATCH($F2466&amp;"",계정매핑!$A$5:$A$504,0)),"미매핑"))</f>
        <v/>
      </c>
      <c r="X2466" s="9">
        <f>IF($A2466="","",$F2466&amp;"")</f>
        <v/>
      </c>
      <c r="Y2466" s="94">
        <f>IF($A2466="",0,IF(AE2466="직접",IF(AF2466="비귀속",$P2466,0),$P2466*(1-AG2466)*IFERROR(INDEX(계정대체기준!$F$20:$F$49,MATCH($N2466,계정대체기준!$A$20:$A$49,0)),1)))</f>
        <v/>
      </c>
      <c r="Z2466" s="94">
        <f>IF($A2466="",0,IF(AE2466="직접",IF(AF2466="신계약비",$P2466,0),$P2466*(1-AG2466)*IFERROR(INDEX(계정대체기준!$C$20:$C$49,MATCH($N2466,계정대체기준!$A$20:$A$49,0)),0)))</f>
        <v/>
      </c>
      <c r="AA2466" s="94">
        <f>IF($A2466="",0,IF(AE2466="직접",IF(OR(AF2466="유지비",AF2466="손해조사비"),$P2466,0),$P2466*(1-AG2466)*IFERROR(INDEX(계정대체기준!$D$20:$D$49,MATCH($N2466,계정대체기준!$A$20:$A$49,0)),0)))</f>
        <v/>
      </c>
      <c r="AB2466" s="94">
        <f>IF($A2466="",0,IF(AE2466="직접",IF(AF2466="수금비",$P2466,0),$P2466*(1-AG2466)*IFERROR(INDEX(계정대체기준!$E$20:$E$49,MATCH($N2466,계정대체기준!$A$20:$A$49,0)),0)))</f>
        <v/>
      </c>
      <c r="AC2466" s="9">
        <f>IF(AND($A2466&lt;&gt;"",M2466=설정!$C$20,Z2466&gt;0),Z2466+ROW()/1000000000,"")</f>
        <v/>
      </c>
      <c r="AD2466" s="94">
        <f>IF($A2466="",0,$P2466*AG2466)</f>
        <v/>
      </c>
      <c r="AE2466" s="64">
        <f>IF($A2466="","",IFERROR(INDEX(계정매핑!$E$5:$E$504,MATCH($F2466&amp;"",계정매핑!$A$5:$A$504,0))&amp;"","공통비"))</f>
        <v/>
      </c>
      <c r="AF2466" s="64">
        <f>IF($A2466="","",IF(AE2466="직접",IFERROR(INDEX(계정매핑!$F$5:$F$504,MATCH($F2466&amp;"",계정매핑!$A$5:$A$504,0))&amp;"","비귀속"),""))</f>
        <v/>
      </c>
      <c r="AG2466" s="96">
        <f>IF($A2466="",0,IF(AND(AE2466&lt;&gt;"직접",IFERROR(INDEX(계정매핑!$G$5:$G$504,MATCH($F2466&amp;"",계정매핑!$A$5:$A$504,0))&amp;"","")="유지비",COUNTIF(계정대체기준!$A$6:$A$15,$N2466)&gt;0),IFERROR(INDEX(계정대체기준!$E$6:$E$15,MATCH(VALUE($A2466&amp;""),계정대체기준!$D$6:$D$15,0)),0),0))</f>
        <v/>
      </c>
      <c r="AH2466" s="64">
        <f>IF($A2466="","",IF(AD2466=0,"",IF(OR(COUNTIF(계정대체기준!$A$77:$A$86,$N2466)&gt;0,ISNUMBER(MATCH($X2466,계정대체기준!$D$77:$D$86,0)),ISNUMBER(MATCH($F2466,계정대체기준!$D$77:$D$86,0))),"Y","N")))</f>
        <v/>
      </c>
    </row>
    <row r="2467">
      <c r="A2467" s="92" t="n">
        <v>2025</v>
      </c>
      <c r="B2467" s="92" t="n">
        <v>11</v>
      </c>
      <c r="C2467" s="92" t="inlineStr">
        <is>
          <t>5100002463</t>
        </is>
      </c>
      <c r="D2467" s="95" t="n">
        <v>45985</v>
      </c>
      <c r="E2467" s="92" t="inlineStr">
        <is>
          <t>KR</t>
        </is>
      </c>
      <c r="F2467" s="92" t="n">
        <v>63001000</v>
      </c>
      <c r="G2467" s="92" t="n">
        <v>1951</v>
      </c>
      <c r="H2467" s="93" t="n">
        <v>4119000</v>
      </c>
      <c r="I2467" s="92" t="inlineStr">
        <is>
          <t>11월 SW 유지보수 - Y소프트</t>
        </is>
      </c>
      <c r="J2467" s="92" t="inlineStr">
        <is>
          <t>V10017</t>
        </is>
      </c>
      <c r="K2467" s="92" t="inlineStr">
        <is>
          <t>Y소프트</t>
        </is>
      </c>
      <c r="M2467" s="9">
        <f>IF($A2467="","",VALUE($A2467&amp;"")*12+VALUE($B2467&amp;""))</f>
        <v/>
      </c>
      <c r="N2467" s="64">
        <f>IF($A2467="","",IFERROR(INDEX(부서매핑!$C$5:$C$504,MATCH($G2467&amp;"",부서매핑!$A$5:$A$504,0)),"미매핑"))</f>
        <v/>
      </c>
      <c r="O2467" s="9">
        <f>IF($A2467="","",N2467&amp;"|"&amp;$F2467)</f>
        <v/>
      </c>
      <c r="P2467" s="94">
        <f>IF($A2467="",0,$H2467*설정!$C$23)</f>
        <v/>
      </c>
      <c r="Q2467" s="64">
        <f>IF($A2467="","",IF(O2467&lt;&gt;원인분석!$C$9,"",IF(AND(M2467&gt;=원인분석!$C$10,M2467&lt;=원인분석!$C$11),"당기",IF(AND(M2467&gt;=원인분석!$C$12,M2467&lt;=원인분석!$C$13),"비교",""))))</f>
        <v/>
      </c>
      <c r="R2467" s="9">
        <f>IF(Q2467="","",$K2467&amp;"")</f>
        <v/>
      </c>
      <c r="S2467" s="9">
        <f>IF(Q2467="","",IF(MATCH(R2467,$R$5:$R$100000,0)=ROW()-4,ROW(),""))</f>
        <v/>
      </c>
      <c r="T2467" s="9">
        <f>IF(Q2467="당기",ABS(P2467)+ROW()/1000000000,"")</f>
        <v/>
      </c>
      <c r="U2467" s="9">
        <f>IF(Q2467="비교",ABS(P2467)+ROW()/1000000000,"")</f>
        <v/>
      </c>
      <c r="V2467" s="64">
        <f>IF($A2467="","",IF(COUNTIF(변동분석!$E$7:$E$506,O2467)&gt;0,"Y","N"))</f>
        <v/>
      </c>
      <c r="W2467" s="64">
        <f>IF($A2467="","",IFERROR(INDEX(계정매핑!$D$5:$D$504,MATCH($F2467&amp;"",계정매핑!$A$5:$A$504,0)),"미매핑"))</f>
        <v/>
      </c>
      <c r="X2467" s="9">
        <f>IF($A2467="","",$F2467&amp;"")</f>
        <v/>
      </c>
      <c r="Y2467" s="94">
        <f>IF($A2467="",0,IF(AE2467="직접",IF(AF2467="비귀속",$P2467,0),$P2467*(1-AG2467)*IFERROR(INDEX(계정대체기준!$F$20:$F$49,MATCH($N2467,계정대체기준!$A$20:$A$49,0)),1)))</f>
        <v/>
      </c>
      <c r="Z2467" s="94">
        <f>IF($A2467="",0,IF(AE2467="직접",IF(AF2467="신계약비",$P2467,0),$P2467*(1-AG2467)*IFERROR(INDEX(계정대체기준!$C$20:$C$49,MATCH($N2467,계정대체기준!$A$20:$A$49,0)),0)))</f>
        <v/>
      </c>
      <c r="AA2467" s="94">
        <f>IF($A2467="",0,IF(AE2467="직접",IF(OR(AF2467="유지비",AF2467="손해조사비"),$P2467,0),$P2467*(1-AG2467)*IFERROR(INDEX(계정대체기준!$D$20:$D$49,MATCH($N2467,계정대체기준!$A$20:$A$49,0)),0)))</f>
        <v/>
      </c>
      <c r="AB2467" s="94">
        <f>IF($A2467="",0,IF(AE2467="직접",IF(AF2467="수금비",$P2467,0),$P2467*(1-AG2467)*IFERROR(INDEX(계정대체기준!$E$20:$E$49,MATCH($N2467,계정대체기준!$A$20:$A$49,0)),0)))</f>
        <v/>
      </c>
      <c r="AC2467" s="9">
        <f>IF(AND($A2467&lt;&gt;"",M2467=설정!$C$20,Z2467&gt;0),Z2467+ROW()/1000000000,"")</f>
        <v/>
      </c>
      <c r="AD2467" s="94">
        <f>IF($A2467="",0,$P2467*AG2467)</f>
        <v/>
      </c>
      <c r="AE2467" s="64">
        <f>IF($A2467="","",IFERROR(INDEX(계정매핑!$E$5:$E$504,MATCH($F2467&amp;"",계정매핑!$A$5:$A$504,0))&amp;"","공통비"))</f>
        <v/>
      </c>
      <c r="AF2467" s="64">
        <f>IF($A2467="","",IF(AE2467="직접",IFERROR(INDEX(계정매핑!$F$5:$F$504,MATCH($F2467&amp;"",계정매핑!$A$5:$A$504,0))&amp;"","비귀속"),""))</f>
        <v/>
      </c>
      <c r="AG2467" s="96">
        <f>IF($A2467="",0,IF(AND(AE2467&lt;&gt;"직접",IFERROR(INDEX(계정매핑!$G$5:$G$504,MATCH($F2467&amp;"",계정매핑!$A$5:$A$504,0))&amp;"","")="유지비",COUNTIF(계정대체기준!$A$6:$A$15,$N2467)&gt;0),IFERROR(INDEX(계정대체기준!$E$6:$E$15,MATCH(VALUE($A2467&amp;""),계정대체기준!$D$6:$D$15,0)),0),0))</f>
        <v/>
      </c>
      <c r="AH2467" s="64">
        <f>IF($A2467="","",IF(AD2467=0,"",IF(OR(COUNTIF(계정대체기준!$A$77:$A$86,$N2467)&gt;0,ISNUMBER(MATCH($X2467,계정대체기준!$D$77:$D$86,0)),ISNUMBER(MATCH($F2467,계정대체기준!$D$77:$D$86,0))),"Y","N")))</f>
        <v/>
      </c>
    </row>
    <row r="2468">
      <c r="A2468" s="92" t="n">
        <v>2025</v>
      </c>
      <c r="B2468" s="92" t="n">
        <v>11</v>
      </c>
      <c r="C2468" s="92" t="inlineStr">
        <is>
          <t>5100002464</t>
        </is>
      </c>
      <c r="D2468" s="95" t="n">
        <v>45985</v>
      </c>
      <c r="E2468" s="92" t="inlineStr">
        <is>
          <t>KR</t>
        </is>
      </c>
      <c r="F2468" s="92" t="n">
        <v>63501000</v>
      </c>
      <c r="G2468" s="92" t="n">
        <v>1901</v>
      </c>
      <c r="H2468" s="93" t="n">
        <v>476140000</v>
      </c>
      <c r="I2468" s="92" t="inlineStr">
        <is>
          <t>11월 모집수수료 - AA보험대리점</t>
        </is>
      </c>
      <c r="J2468" s="92" t="inlineStr">
        <is>
          <t>V10034</t>
        </is>
      </c>
      <c r="K2468" s="92" t="inlineStr">
        <is>
          <t>AA보험대리점</t>
        </is>
      </c>
      <c r="M2468" s="9">
        <f>IF($A2468="","",VALUE($A2468&amp;"")*12+VALUE($B2468&amp;""))</f>
        <v/>
      </c>
      <c r="N2468" s="64">
        <f>IF($A2468="","",IFERROR(INDEX(부서매핑!$C$5:$C$504,MATCH($G2468&amp;"",부서매핑!$A$5:$A$504,0)),"미매핑"))</f>
        <v/>
      </c>
      <c r="O2468" s="9">
        <f>IF($A2468="","",N2468&amp;"|"&amp;$F2468)</f>
        <v/>
      </c>
      <c r="P2468" s="94">
        <f>IF($A2468="",0,$H2468*설정!$C$23)</f>
        <v/>
      </c>
      <c r="Q2468" s="64">
        <f>IF($A2468="","",IF(O2468&lt;&gt;원인분석!$C$9,"",IF(AND(M2468&gt;=원인분석!$C$10,M2468&lt;=원인분석!$C$11),"당기",IF(AND(M2468&gt;=원인분석!$C$12,M2468&lt;=원인분석!$C$13),"비교",""))))</f>
        <v/>
      </c>
      <c r="R2468" s="9">
        <f>IF(Q2468="","",$K2468&amp;"")</f>
        <v/>
      </c>
      <c r="S2468" s="9">
        <f>IF(Q2468="","",IF(MATCH(R2468,$R$5:$R$100000,0)=ROW()-4,ROW(),""))</f>
        <v/>
      </c>
      <c r="T2468" s="9">
        <f>IF(Q2468="당기",ABS(P2468)+ROW()/1000000000,"")</f>
        <v/>
      </c>
      <c r="U2468" s="9">
        <f>IF(Q2468="비교",ABS(P2468)+ROW()/1000000000,"")</f>
        <v/>
      </c>
      <c r="V2468" s="64">
        <f>IF($A2468="","",IF(COUNTIF(변동분석!$E$7:$E$506,O2468)&gt;0,"Y","N"))</f>
        <v/>
      </c>
      <c r="W2468" s="64">
        <f>IF($A2468="","",IFERROR(INDEX(계정매핑!$D$5:$D$504,MATCH($F2468&amp;"",계정매핑!$A$5:$A$504,0)),"미매핑"))</f>
        <v/>
      </c>
      <c r="X2468" s="9">
        <f>IF($A2468="","",$F2468&amp;"")</f>
        <v/>
      </c>
      <c r="Y2468" s="94">
        <f>IF($A2468="",0,IF(AE2468="직접",IF(AF2468="비귀속",$P2468,0),$P2468*(1-AG2468)*IFERROR(INDEX(계정대체기준!$F$20:$F$49,MATCH($N2468,계정대체기준!$A$20:$A$49,0)),1)))</f>
        <v/>
      </c>
      <c r="Z2468" s="94">
        <f>IF($A2468="",0,IF(AE2468="직접",IF(AF2468="신계약비",$P2468,0),$P2468*(1-AG2468)*IFERROR(INDEX(계정대체기준!$C$20:$C$49,MATCH($N2468,계정대체기준!$A$20:$A$49,0)),0)))</f>
        <v/>
      </c>
      <c r="AA2468" s="94">
        <f>IF($A2468="",0,IF(AE2468="직접",IF(OR(AF2468="유지비",AF2468="손해조사비"),$P2468,0),$P2468*(1-AG2468)*IFERROR(INDEX(계정대체기준!$D$20:$D$49,MATCH($N2468,계정대체기준!$A$20:$A$49,0)),0)))</f>
        <v/>
      </c>
      <c r="AB2468" s="94">
        <f>IF($A2468="",0,IF(AE2468="직접",IF(AF2468="수금비",$P2468,0),$P2468*(1-AG2468)*IFERROR(INDEX(계정대체기준!$E$20:$E$49,MATCH($N2468,계정대체기준!$A$20:$A$49,0)),0)))</f>
        <v/>
      </c>
      <c r="AC2468" s="9">
        <f>IF(AND($A2468&lt;&gt;"",M2468=설정!$C$20,Z2468&gt;0),Z2468+ROW()/1000000000,"")</f>
        <v/>
      </c>
      <c r="AD2468" s="94">
        <f>IF($A2468="",0,$P2468*AG2468)</f>
        <v/>
      </c>
      <c r="AE2468" s="64">
        <f>IF($A2468="","",IFERROR(INDEX(계정매핑!$E$5:$E$504,MATCH($F2468&amp;"",계정매핑!$A$5:$A$504,0))&amp;"","공통비"))</f>
        <v/>
      </c>
      <c r="AF2468" s="64">
        <f>IF($A2468="","",IF(AE2468="직접",IFERROR(INDEX(계정매핑!$F$5:$F$504,MATCH($F2468&amp;"",계정매핑!$A$5:$A$504,0))&amp;"","비귀속"),""))</f>
        <v/>
      </c>
      <c r="AG2468" s="96">
        <f>IF($A2468="",0,IF(AND(AE2468&lt;&gt;"직접",IFERROR(INDEX(계정매핑!$G$5:$G$504,MATCH($F2468&amp;"",계정매핑!$A$5:$A$504,0))&amp;"","")="유지비",COUNTIF(계정대체기준!$A$6:$A$15,$N2468)&gt;0),IFERROR(INDEX(계정대체기준!$E$6:$E$15,MATCH(VALUE($A2468&amp;""),계정대체기준!$D$6:$D$15,0)),0),0))</f>
        <v/>
      </c>
      <c r="AH2468" s="64">
        <f>IF($A2468="","",IF(AD2468=0,"",IF(OR(COUNTIF(계정대체기준!$A$77:$A$86,$N2468)&gt;0,ISNUMBER(MATCH($X2468,계정대체기준!$D$77:$D$86,0)),ISNUMBER(MATCH($F2468,계정대체기준!$D$77:$D$86,0))),"Y","N")))</f>
        <v/>
      </c>
    </row>
    <row r="2469">
      <c r="A2469" s="92" t="n">
        <v>2025</v>
      </c>
      <c r="B2469" s="92" t="n">
        <v>11</v>
      </c>
      <c r="C2469" s="92" t="inlineStr">
        <is>
          <t>5100002465</t>
        </is>
      </c>
      <c r="D2469" s="95" t="n">
        <v>45986</v>
      </c>
      <c r="E2469" s="92" t="inlineStr">
        <is>
          <t>KR</t>
        </is>
      </c>
      <c r="F2469" s="92" t="n">
        <v>62102000</v>
      </c>
      <c r="G2469" s="92" t="n">
        <v>1701</v>
      </c>
      <c r="H2469" s="93" t="n">
        <v>75000</v>
      </c>
      <c r="I2469" s="92" t="inlineStr">
        <is>
          <t>11월 해외출장 - N호텔</t>
        </is>
      </c>
      <c r="J2469" s="92" t="inlineStr">
        <is>
          <t>V10009</t>
        </is>
      </c>
      <c r="K2469" s="92" t="inlineStr">
        <is>
          <t>N호텔</t>
        </is>
      </c>
      <c r="M2469" s="9">
        <f>IF($A2469="","",VALUE($A2469&amp;"")*12+VALUE($B2469&amp;""))</f>
        <v/>
      </c>
      <c r="N2469" s="64">
        <f>IF($A2469="","",IFERROR(INDEX(부서매핑!$C$5:$C$504,MATCH($G2469&amp;"",부서매핑!$A$5:$A$504,0)),"미매핑"))</f>
        <v/>
      </c>
      <c r="O2469" s="9">
        <f>IF($A2469="","",N2469&amp;"|"&amp;$F2469)</f>
        <v/>
      </c>
      <c r="P2469" s="94">
        <f>IF($A2469="",0,$H2469*설정!$C$23)</f>
        <v/>
      </c>
      <c r="Q2469" s="64">
        <f>IF($A2469="","",IF(O2469&lt;&gt;원인분석!$C$9,"",IF(AND(M2469&gt;=원인분석!$C$10,M2469&lt;=원인분석!$C$11),"당기",IF(AND(M2469&gt;=원인분석!$C$12,M2469&lt;=원인분석!$C$13),"비교",""))))</f>
        <v/>
      </c>
      <c r="R2469" s="9">
        <f>IF(Q2469="","",$K2469&amp;"")</f>
        <v/>
      </c>
      <c r="S2469" s="9">
        <f>IF(Q2469="","",IF(MATCH(R2469,$R$5:$R$100000,0)=ROW()-4,ROW(),""))</f>
        <v/>
      </c>
      <c r="T2469" s="9">
        <f>IF(Q2469="당기",ABS(P2469)+ROW()/1000000000,"")</f>
        <v/>
      </c>
      <c r="U2469" s="9">
        <f>IF(Q2469="비교",ABS(P2469)+ROW()/1000000000,"")</f>
        <v/>
      </c>
      <c r="V2469" s="64">
        <f>IF($A2469="","",IF(COUNTIF(변동분석!$E$7:$E$506,O2469)&gt;0,"Y","N"))</f>
        <v/>
      </c>
      <c r="W2469" s="64">
        <f>IF($A2469="","",IFERROR(INDEX(계정매핑!$D$5:$D$504,MATCH($F2469&amp;"",계정매핑!$A$5:$A$504,0)),"미매핑"))</f>
        <v/>
      </c>
      <c r="X2469" s="9">
        <f>IF($A2469="","",$F2469&amp;"")</f>
        <v/>
      </c>
      <c r="Y2469" s="94">
        <f>IF($A2469="",0,IF(AE2469="직접",IF(AF2469="비귀속",$P2469,0),$P2469*(1-AG2469)*IFERROR(INDEX(계정대체기준!$F$20:$F$49,MATCH($N2469,계정대체기준!$A$20:$A$49,0)),1)))</f>
        <v/>
      </c>
      <c r="Z2469" s="94">
        <f>IF($A2469="",0,IF(AE2469="직접",IF(AF2469="신계약비",$P2469,0),$P2469*(1-AG2469)*IFERROR(INDEX(계정대체기준!$C$20:$C$49,MATCH($N2469,계정대체기준!$A$20:$A$49,0)),0)))</f>
        <v/>
      </c>
      <c r="AA2469" s="94">
        <f>IF($A2469="",0,IF(AE2469="직접",IF(OR(AF2469="유지비",AF2469="손해조사비"),$P2469,0),$P2469*(1-AG2469)*IFERROR(INDEX(계정대체기준!$D$20:$D$49,MATCH($N2469,계정대체기준!$A$20:$A$49,0)),0)))</f>
        <v/>
      </c>
      <c r="AB2469" s="94">
        <f>IF($A2469="",0,IF(AE2469="직접",IF(AF2469="수금비",$P2469,0),$P2469*(1-AG2469)*IFERROR(INDEX(계정대체기준!$E$20:$E$49,MATCH($N2469,계정대체기준!$A$20:$A$49,0)),0)))</f>
        <v/>
      </c>
      <c r="AC2469" s="9">
        <f>IF(AND($A2469&lt;&gt;"",M2469=설정!$C$20,Z2469&gt;0),Z2469+ROW()/1000000000,"")</f>
        <v/>
      </c>
      <c r="AD2469" s="94">
        <f>IF($A2469="",0,$P2469*AG2469)</f>
        <v/>
      </c>
      <c r="AE2469" s="64">
        <f>IF($A2469="","",IFERROR(INDEX(계정매핑!$E$5:$E$504,MATCH($F2469&amp;"",계정매핑!$A$5:$A$504,0))&amp;"","공통비"))</f>
        <v/>
      </c>
      <c r="AF2469" s="64">
        <f>IF($A2469="","",IF(AE2469="직접",IFERROR(INDEX(계정매핑!$F$5:$F$504,MATCH($F2469&amp;"",계정매핑!$A$5:$A$504,0))&amp;"","비귀속"),""))</f>
        <v/>
      </c>
      <c r="AG2469" s="96">
        <f>IF($A2469="",0,IF(AND(AE2469&lt;&gt;"직접",IFERROR(INDEX(계정매핑!$G$5:$G$504,MATCH($F2469&amp;"",계정매핑!$A$5:$A$504,0))&amp;"","")="유지비",COUNTIF(계정대체기준!$A$6:$A$15,$N2469)&gt;0),IFERROR(INDEX(계정대체기준!$E$6:$E$15,MATCH(VALUE($A2469&amp;""),계정대체기준!$D$6:$D$15,0)),0),0))</f>
        <v/>
      </c>
      <c r="AH2469" s="64">
        <f>IF($A2469="","",IF(AD2469=0,"",IF(OR(COUNTIF(계정대체기준!$A$77:$A$86,$N2469)&gt;0,ISNUMBER(MATCH($X2469,계정대체기준!$D$77:$D$86,0)),ISNUMBER(MATCH($F2469,계정대체기준!$D$77:$D$86,0))),"Y","N")))</f>
        <v/>
      </c>
    </row>
    <row r="2470">
      <c r="A2470" s="92" t="n">
        <v>2025</v>
      </c>
      <c r="B2470" s="92" t="n">
        <v>11</v>
      </c>
      <c r="C2470" s="92" t="inlineStr">
        <is>
          <t>5100002466</t>
        </is>
      </c>
      <c r="D2470" s="95" t="n">
        <v>45986</v>
      </c>
      <c r="E2470" s="92" t="inlineStr">
        <is>
          <t>KR</t>
        </is>
      </c>
      <c r="F2470" s="92" t="n">
        <v>62102000</v>
      </c>
      <c r="G2470" s="92" t="n">
        <v>1801</v>
      </c>
      <c r="H2470" s="93" t="n">
        <v>36000</v>
      </c>
      <c r="I2470" s="92" t="inlineStr">
        <is>
          <t>11월 해외출장 - M항공</t>
        </is>
      </c>
      <c r="J2470" s="92" t="inlineStr">
        <is>
          <t>V10001</t>
        </is>
      </c>
      <c r="K2470" s="92" t="inlineStr">
        <is>
          <t>M항공</t>
        </is>
      </c>
      <c r="M2470" s="9">
        <f>IF($A2470="","",VALUE($A2470&amp;"")*12+VALUE($B2470&amp;""))</f>
        <v/>
      </c>
      <c r="N2470" s="64">
        <f>IF($A2470="","",IFERROR(INDEX(부서매핑!$C$5:$C$504,MATCH($G2470&amp;"",부서매핑!$A$5:$A$504,0)),"미매핑"))</f>
        <v/>
      </c>
      <c r="O2470" s="9">
        <f>IF($A2470="","",N2470&amp;"|"&amp;$F2470)</f>
        <v/>
      </c>
      <c r="P2470" s="94">
        <f>IF($A2470="",0,$H2470*설정!$C$23)</f>
        <v/>
      </c>
      <c r="Q2470" s="64">
        <f>IF($A2470="","",IF(O2470&lt;&gt;원인분석!$C$9,"",IF(AND(M2470&gt;=원인분석!$C$10,M2470&lt;=원인분석!$C$11),"당기",IF(AND(M2470&gt;=원인분석!$C$12,M2470&lt;=원인분석!$C$13),"비교",""))))</f>
        <v/>
      </c>
      <c r="R2470" s="9">
        <f>IF(Q2470="","",$K2470&amp;"")</f>
        <v/>
      </c>
      <c r="S2470" s="9">
        <f>IF(Q2470="","",IF(MATCH(R2470,$R$5:$R$100000,0)=ROW()-4,ROW(),""))</f>
        <v/>
      </c>
      <c r="T2470" s="9">
        <f>IF(Q2470="당기",ABS(P2470)+ROW()/1000000000,"")</f>
        <v/>
      </c>
      <c r="U2470" s="9">
        <f>IF(Q2470="비교",ABS(P2470)+ROW()/1000000000,"")</f>
        <v/>
      </c>
      <c r="V2470" s="64">
        <f>IF($A2470="","",IF(COUNTIF(변동분석!$E$7:$E$506,O2470)&gt;0,"Y","N"))</f>
        <v/>
      </c>
      <c r="W2470" s="64">
        <f>IF($A2470="","",IFERROR(INDEX(계정매핑!$D$5:$D$504,MATCH($F2470&amp;"",계정매핑!$A$5:$A$504,0)),"미매핑"))</f>
        <v/>
      </c>
      <c r="X2470" s="9">
        <f>IF($A2470="","",$F2470&amp;"")</f>
        <v/>
      </c>
      <c r="Y2470" s="94">
        <f>IF($A2470="",0,IF(AE2470="직접",IF(AF2470="비귀속",$P2470,0),$P2470*(1-AG2470)*IFERROR(INDEX(계정대체기준!$F$20:$F$49,MATCH($N2470,계정대체기준!$A$20:$A$49,0)),1)))</f>
        <v/>
      </c>
      <c r="Z2470" s="94">
        <f>IF($A2470="",0,IF(AE2470="직접",IF(AF2470="신계약비",$P2470,0),$P2470*(1-AG2470)*IFERROR(INDEX(계정대체기준!$C$20:$C$49,MATCH($N2470,계정대체기준!$A$20:$A$49,0)),0)))</f>
        <v/>
      </c>
      <c r="AA2470" s="94">
        <f>IF($A2470="",0,IF(AE2470="직접",IF(OR(AF2470="유지비",AF2470="손해조사비"),$P2470,0),$P2470*(1-AG2470)*IFERROR(INDEX(계정대체기준!$D$20:$D$49,MATCH($N2470,계정대체기준!$A$20:$A$49,0)),0)))</f>
        <v/>
      </c>
      <c r="AB2470" s="94">
        <f>IF($A2470="",0,IF(AE2470="직접",IF(AF2470="수금비",$P2470,0),$P2470*(1-AG2470)*IFERROR(INDEX(계정대체기준!$E$20:$E$49,MATCH($N2470,계정대체기준!$A$20:$A$49,0)),0)))</f>
        <v/>
      </c>
      <c r="AC2470" s="9">
        <f>IF(AND($A2470&lt;&gt;"",M2470=설정!$C$20,Z2470&gt;0),Z2470+ROW()/1000000000,"")</f>
        <v/>
      </c>
      <c r="AD2470" s="94">
        <f>IF($A2470="",0,$P2470*AG2470)</f>
        <v/>
      </c>
      <c r="AE2470" s="64">
        <f>IF($A2470="","",IFERROR(INDEX(계정매핑!$E$5:$E$504,MATCH($F2470&amp;"",계정매핑!$A$5:$A$504,0))&amp;"","공통비"))</f>
        <v/>
      </c>
      <c r="AF2470" s="64">
        <f>IF($A2470="","",IF(AE2470="직접",IFERROR(INDEX(계정매핑!$F$5:$F$504,MATCH($F2470&amp;"",계정매핑!$A$5:$A$504,0))&amp;"","비귀속"),""))</f>
        <v/>
      </c>
      <c r="AG2470" s="96">
        <f>IF($A2470="",0,IF(AND(AE2470&lt;&gt;"직접",IFERROR(INDEX(계정매핑!$G$5:$G$504,MATCH($F2470&amp;"",계정매핑!$A$5:$A$504,0))&amp;"","")="유지비",COUNTIF(계정대체기준!$A$6:$A$15,$N2470)&gt;0),IFERROR(INDEX(계정대체기준!$E$6:$E$15,MATCH(VALUE($A2470&amp;""),계정대체기준!$D$6:$D$15,0)),0),0))</f>
        <v/>
      </c>
      <c r="AH2470" s="64">
        <f>IF($A2470="","",IF(AD2470=0,"",IF(OR(COUNTIF(계정대체기준!$A$77:$A$86,$N2470)&gt;0,ISNUMBER(MATCH($X2470,계정대체기준!$D$77:$D$86,0)),ISNUMBER(MATCH($F2470,계정대체기준!$D$77:$D$86,0))),"Y","N")))</f>
        <v/>
      </c>
    </row>
    <row r="2471">
      <c r="A2471" s="92" t="n">
        <v>2025</v>
      </c>
      <c r="B2471" s="92" t="n">
        <v>11</v>
      </c>
      <c r="C2471" s="92" t="inlineStr">
        <is>
          <t>5100002467</t>
        </is>
      </c>
      <c r="D2471" s="95" t="n">
        <v>45986</v>
      </c>
      <c r="E2471" s="92" t="inlineStr">
        <is>
          <t>KR</t>
        </is>
      </c>
      <c r="F2471" s="92" t="n">
        <v>62301000</v>
      </c>
      <c r="G2471" s="92" t="n">
        <v>1101</v>
      </c>
      <c r="H2471" s="93" t="n">
        <v>217000</v>
      </c>
      <c r="I2471" s="92" t="inlineStr">
        <is>
          <t>11월 소모품 구입 - R문구</t>
        </is>
      </c>
      <c r="J2471" s="92" t="inlineStr">
        <is>
          <t>V10022</t>
        </is>
      </c>
      <c r="K2471" s="92" t="inlineStr">
        <is>
          <t>R문구</t>
        </is>
      </c>
      <c r="M2471" s="9">
        <f>IF($A2471="","",VALUE($A2471&amp;"")*12+VALUE($B2471&amp;""))</f>
        <v/>
      </c>
      <c r="N2471" s="64">
        <f>IF($A2471="","",IFERROR(INDEX(부서매핑!$C$5:$C$504,MATCH($G2471&amp;"",부서매핑!$A$5:$A$504,0)),"미매핑"))</f>
        <v/>
      </c>
      <c r="O2471" s="9">
        <f>IF($A2471="","",N2471&amp;"|"&amp;$F2471)</f>
        <v/>
      </c>
      <c r="P2471" s="94">
        <f>IF($A2471="",0,$H2471*설정!$C$23)</f>
        <v/>
      </c>
      <c r="Q2471" s="64">
        <f>IF($A2471="","",IF(O2471&lt;&gt;원인분석!$C$9,"",IF(AND(M2471&gt;=원인분석!$C$10,M2471&lt;=원인분석!$C$11),"당기",IF(AND(M2471&gt;=원인분석!$C$12,M2471&lt;=원인분석!$C$13),"비교",""))))</f>
        <v/>
      </c>
      <c r="R2471" s="9">
        <f>IF(Q2471="","",$K2471&amp;"")</f>
        <v/>
      </c>
      <c r="S2471" s="9">
        <f>IF(Q2471="","",IF(MATCH(R2471,$R$5:$R$100000,0)=ROW()-4,ROW(),""))</f>
        <v/>
      </c>
      <c r="T2471" s="9">
        <f>IF(Q2471="당기",ABS(P2471)+ROW()/1000000000,"")</f>
        <v/>
      </c>
      <c r="U2471" s="9">
        <f>IF(Q2471="비교",ABS(P2471)+ROW()/1000000000,"")</f>
        <v/>
      </c>
      <c r="V2471" s="64">
        <f>IF($A2471="","",IF(COUNTIF(변동분석!$E$7:$E$506,O2471)&gt;0,"Y","N"))</f>
        <v/>
      </c>
      <c r="W2471" s="64">
        <f>IF($A2471="","",IFERROR(INDEX(계정매핑!$D$5:$D$504,MATCH($F2471&amp;"",계정매핑!$A$5:$A$504,0)),"미매핑"))</f>
        <v/>
      </c>
      <c r="X2471" s="9">
        <f>IF($A2471="","",$F2471&amp;"")</f>
        <v/>
      </c>
      <c r="Y2471" s="94">
        <f>IF($A2471="",0,IF(AE2471="직접",IF(AF2471="비귀속",$P2471,0),$P2471*(1-AG2471)*IFERROR(INDEX(계정대체기준!$F$20:$F$49,MATCH($N2471,계정대체기준!$A$20:$A$49,0)),1)))</f>
        <v/>
      </c>
      <c r="Z2471" s="94">
        <f>IF($A2471="",0,IF(AE2471="직접",IF(AF2471="신계약비",$P2471,0),$P2471*(1-AG2471)*IFERROR(INDEX(계정대체기준!$C$20:$C$49,MATCH($N2471,계정대체기준!$A$20:$A$49,0)),0)))</f>
        <v/>
      </c>
      <c r="AA2471" s="94">
        <f>IF($A2471="",0,IF(AE2471="직접",IF(OR(AF2471="유지비",AF2471="손해조사비"),$P2471,0),$P2471*(1-AG2471)*IFERROR(INDEX(계정대체기준!$D$20:$D$49,MATCH($N2471,계정대체기준!$A$20:$A$49,0)),0)))</f>
        <v/>
      </c>
      <c r="AB2471" s="94">
        <f>IF($A2471="",0,IF(AE2471="직접",IF(AF2471="수금비",$P2471,0),$P2471*(1-AG2471)*IFERROR(INDEX(계정대체기준!$E$20:$E$49,MATCH($N2471,계정대체기준!$A$20:$A$49,0)),0)))</f>
        <v/>
      </c>
      <c r="AC2471" s="9">
        <f>IF(AND($A2471&lt;&gt;"",M2471=설정!$C$20,Z2471&gt;0),Z2471+ROW()/1000000000,"")</f>
        <v/>
      </c>
      <c r="AD2471" s="94">
        <f>IF($A2471="",0,$P2471*AG2471)</f>
        <v/>
      </c>
      <c r="AE2471" s="64">
        <f>IF($A2471="","",IFERROR(INDEX(계정매핑!$E$5:$E$504,MATCH($F2471&amp;"",계정매핑!$A$5:$A$504,0))&amp;"","공통비"))</f>
        <v/>
      </c>
      <c r="AF2471" s="64">
        <f>IF($A2471="","",IF(AE2471="직접",IFERROR(INDEX(계정매핑!$F$5:$F$504,MATCH($F2471&amp;"",계정매핑!$A$5:$A$504,0))&amp;"","비귀속"),""))</f>
        <v/>
      </c>
      <c r="AG2471" s="96">
        <f>IF($A2471="",0,IF(AND(AE2471&lt;&gt;"직접",IFERROR(INDEX(계정매핑!$G$5:$G$504,MATCH($F2471&amp;"",계정매핑!$A$5:$A$504,0))&amp;"","")="유지비",COUNTIF(계정대체기준!$A$6:$A$15,$N2471)&gt;0),IFERROR(INDEX(계정대체기준!$E$6:$E$15,MATCH(VALUE($A2471&amp;""),계정대체기준!$D$6:$D$15,0)),0),0))</f>
        <v/>
      </c>
      <c r="AH2471" s="64">
        <f>IF($A2471="","",IF(AD2471=0,"",IF(OR(COUNTIF(계정대체기준!$A$77:$A$86,$N2471)&gt;0,ISNUMBER(MATCH($X2471,계정대체기준!$D$77:$D$86,0)),ISNUMBER(MATCH($F2471,계정대체기준!$D$77:$D$86,0))),"Y","N")))</f>
        <v/>
      </c>
    </row>
    <row r="2472">
      <c r="A2472" s="92" t="n">
        <v>2025</v>
      </c>
      <c r="B2472" s="92" t="n">
        <v>11</v>
      </c>
      <c r="C2472" s="92" t="inlineStr">
        <is>
          <t>5100002468</t>
        </is>
      </c>
      <c r="D2472" s="95" t="n">
        <v>45986</v>
      </c>
      <c r="E2472" s="92" t="inlineStr">
        <is>
          <t>KR</t>
        </is>
      </c>
      <c r="F2472" s="92" t="n">
        <v>62401000</v>
      </c>
      <c r="G2472" s="92" t="n">
        <v>1501</v>
      </c>
      <c r="H2472" s="93" t="n">
        <v>2048000</v>
      </c>
      <c r="I2472" s="92" t="inlineStr">
        <is>
          <t>11월 인쇄물 제작 - S출판</t>
        </is>
      </c>
      <c r="J2472" s="92" t="inlineStr">
        <is>
          <t>V10015</t>
        </is>
      </c>
      <c r="K2472" s="92" t="inlineStr">
        <is>
          <t>S출판</t>
        </is>
      </c>
      <c r="M2472" s="9">
        <f>IF($A2472="","",VALUE($A2472&amp;"")*12+VALUE($B2472&amp;""))</f>
        <v/>
      </c>
      <c r="N2472" s="64">
        <f>IF($A2472="","",IFERROR(INDEX(부서매핑!$C$5:$C$504,MATCH($G2472&amp;"",부서매핑!$A$5:$A$504,0)),"미매핑"))</f>
        <v/>
      </c>
      <c r="O2472" s="9">
        <f>IF($A2472="","",N2472&amp;"|"&amp;$F2472)</f>
        <v/>
      </c>
      <c r="P2472" s="94">
        <f>IF($A2472="",0,$H2472*설정!$C$23)</f>
        <v/>
      </c>
      <c r="Q2472" s="64">
        <f>IF($A2472="","",IF(O2472&lt;&gt;원인분석!$C$9,"",IF(AND(M2472&gt;=원인분석!$C$10,M2472&lt;=원인분석!$C$11),"당기",IF(AND(M2472&gt;=원인분석!$C$12,M2472&lt;=원인분석!$C$13),"비교",""))))</f>
        <v/>
      </c>
      <c r="R2472" s="9">
        <f>IF(Q2472="","",$K2472&amp;"")</f>
        <v/>
      </c>
      <c r="S2472" s="9">
        <f>IF(Q2472="","",IF(MATCH(R2472,$R$5:$R$100000,0)=ROW()-4,ROW(),""))</f>
        <v/>
      </c>
      <c r="T2472" s="9">
        <f>IF(Q2472="당기",ABS(P2472)+ROW()/1000000000,"")</f>
        <v/>
      </c>
      <c r="U2472" s="9">
        <f>IF(Q2472="비교",ABS(P2472)+ROW()/1000000000,"")</f>
        <v/>
      </c>
      <c r="V2472" s="64">
        <f>IF($A2472="","",IF(COUNTIF(변동분석!$E$7:$E$506,O2472)&gt;0,"Y","N"))</f>
        <v/>
      </c>
      <c r="W2472" s="64">
        <f>IF($A2472="","",IFERROR(INDEX(계정매핑!$D$5:$D$504,MATCH($F2472&amp;"",계정매핑!$A$5:$A$504,0)),"미매핑"))</f>
        <v/>
      </c>
      <c r="X2472" s="9">
        <f>IF($A2472="","",$F2472&amp;"")</f>
        <v/>
      </c>
      <c r="Y2472" s="94">
        <f>IF($A2472="",0,IF(AE2472="직접",IF(AF2472="비귀속",$P2472,0),$P2472*(1-AG2472)*IFERROR(INDEX(계정대체기준!$F$20:$F$49,MATCH($N2472,계정대체기준!$A$20:$A$49,0)),1)))</f>
        <v/>
      </c>
      <c r="Z2472" s="94">
        <f>IF($A2472="",0,IF(AE2472="직접",IF(AF2472="신계약비",$P2472,0),$P2472*(1-AG2472)*IFERROR(INDEX(계정대체기준!$C$20:$C$49,MATCH($N2472,계정대체기준!$A$20:$A$49,0)),0)))</f>
        <v/>
      </c>
      <c r="AA2472" s="94">
        <f>IF($A2472="",0,IF(AE2472="직접",IF(OR(AF2472="유지비",AF2472="손해조사비"),$P2472,0),$P2472*(1-AG2472)*IFERROR(INDEX(계정대체기준!$D$20:$D$49,MATCH($N2472,계정대체기준!$A$20:$A$49,0)),0)))</f>
        <v/>
      </c>
      <c r="AB2472" s="94">
        <f>IF($A2472="",0,IF(AE2472="직접",IF(AF2472="수금비",$P2472,0),$P2472*(1-AG2472)*IFERROR(INDEX(계정대체기준!$E$20:$E$49,MATCH($N2472,계정대체기준!$A$20:$A$49,0)),0)))</f>
        <v/>
      </c>
      <c r="AC2472" s="9">
        <f>IF(AND($A2472&lt;&gt;"",M2472=설정!$C$20,Z2472&gt;0),Z2472+ROW()/1000000000,"")</f>
        <v/>
      </c>
      <c r="AD2472" s="94">
        <f>IF($A2472="",0,$P2472*AG2472)</f>
        <v/>
      </c>
      <c r="AE2472" s="64">
        <f>IF($A2472="","",IFERROR(INDEX(계정매핑!$E$5:$E$504,MATCH($F2472&amp;"",계정매핑!$A$5:$A$504,0))&amp;"","공통비"))</f>
        <v/>
      </c>
      <c r="AF2472" s="64">
        <f>IF($A2472="","",IF(AE2472="직접",IFERROR(INDEX(계정매핑!$F$5:$F$504,MATCH($F2472&amp;"",계정매핑!$A$5:$A$504,0))&amp;"","비귀속"),""))</f>
        <v/>
      </c>
      <c r="AG2472" s="96">
        <f>IF($A2472="",0,IF(AND(AE2472&lt;&gt;"직접",IFERROR(INDEX(계정매핑!$G$5:$G$504,MATCH($F2472&amp;"",계정매핑!$A$5:$A$504,0))&amp;"","")="유지비",COUNTIF(계정대체기준!$A$6:$A$15,$N2472)&gt;0),IFERROR(INDEX(계정대체기준!$E$6:$E$15,MATCH(VALUE($A2472&amp;""),계정대체기준!$D$6:$D$15,0)),0),0))</f>
        <v/>
      </c>
      <c r="AH2472" s="64">
        <f>IF($A2472="","",IF(AD2472=0,"",IF(OR(COUNTIF(계정대체기준!$A$77:$A$86,$N2472)&gt;0,ISNUMBER(MATCH($X2472,계정대체기준!$D$77:$D$86,0)),ISNUMBER(MATCH($F2472,계정대체기준!$D$77:$D$86,0))),"Y","N")))</f>
        <v/>
      </c>
    </row>
    <row r="2473">
      <c r="A2473" s="92" t="n">
        <v>2025</v>
      </c>
      <c r="B2473" s="92" t="n">
        <v>11</v>
      </c>
      <c r="C2473" s="92" t="inlineStr">
        <is>
          <t>5100002469</t>
        </is>
      </c>
      <c r="D2473" s="95" t="n">
        <v>45986</v>
      </c>
      <c r="E2473" s="92" t="inlineStr">
        <is>
          <t>KR</t>
        </is>
      </c>
      <c r="F2473" s="92" t="n">
        <v>62501000</v>
      </c>
      <c r="G2473" s="92" t="n">
        <v>1201</v>
      </c>
      <c r="H2473" s="93" t="n">
        <v>235000</v>
      </c>
      <c r="I2473" s="92" t="inlineStr">
        <is>
          <t>11월 회의 다과 - T케이터링</t>
        </is>
      </c>
      <c r="J2473" s="92" t="inlineStr">
        <is>
          <t>V10005</t>
        </is>
      </c>
      <c r="K2473" s="92" t="inlineStr">
        <is>
          <t>T케이터링</t>
        </is>
      </c>
      <c r="M2473" s="9">
        <f>IF($A2473="","",VALUE($A2473&amp;"")*12+VALUE($B2473&amp;""))</f>
        <v/>
      </c>
      <c r="N2473" s="64">
        <f>IF($A2473="","",IFERROR(INDEX(부서매핑!$C$5:$C$504,MATCH($G2473&amp;"",부서매핑!$A$5:$A$504,0)),"미매핑"))</f>
        <v/>
      </c>
      <c r="O2473" s="9">
        <f>IF($A2473="","",N2473&amp;"|"&amp;$F2473)</f>
        <v/>
      </c>
      <c r="P2473" s="94">
        <f>IF($A2473="",0,$H2473*설정!$C$23)</f>
        <v/>
      </c>
      <c r="Q2473" s="64">
        <f>IF($A2473="","",IF(O2473&lt;&gt;원인분석!$C$9,"",IF(AND(M2473&gt;=원인분석!$C$10,M2473&lt;=원인분석!$C$11),"당기",IF(AND(M2473&gt;=원인분석!$C$12,M2473&lt;=원인분석!$C$13),"비교",""))))</f>
        <v/>
      </c>
      <c r="R2473" s="9">
        <f>IF(Q2473="","",$K2473&amp;"")</f>
        <v/>
      </c>
      <c r="S2473" s="9">
        <f>IF(Q2473="","",IF(MATCH(R2473,$R$5:$R$100000,0)=ROW()-4,ROW(),""))</f>
        <v/>
      </c>
      <c r="T2473" s="9">
        <f>IF(Q2473="당기",ABS(P2473)+ROW()/1000000000,"")</f>
        <v/>
      </c>
      <c r="U2473" s="9">
        <f>IF(Q2473="비교",ABS(P2473)+ROW()/1000000000,"")</f>
        <v/>
      </c>
      <c r="V2473" s="64">
        <f>IF($A2473="","",IF(COUNTIF(변동분석!$E$7:$E$506,O2473)&gt;0,"Y","N"))</f>
        <v/>
      </c>
      <c r="W2473" s="64">
        <f>IF($A2473="","",IFERROR(INDEX(계정매핑!$D$5:$D$504,MATCH($F2473&amp;"",계정매핑!$A$5:$A$504,0)),"미매핑"))</f>
        <v/>
      </c>
      <c r="X2473" s="9">
        <f>IF($A2473="","",$F2473&amp;"")</f>
        <v/>
      </c>
      <c r="Y2473" s="94">
        <f>IF($A2473="",0,IF(AE2473="직접",IF(AF2473="비귀속",$P2473,0),$P2473*(1-AG2473)*IFERROR(INDEX(계정대체기준!$F$20:$F$49,MATCH($N2473,계정대체기준!$A$20:$A$49,0)),1)))</f>
        <v/>
      </c>
      <c r="Z2473" s="94">
        <f>IF($A2473="",0,IF(AE2473="직접",IF(AF2473="신계약비",$P2473,0),$P2473*(1-AG2473)*IFERROR(INDEX(계정대체기준!$C$20:$C$49,MATCH($N2473,계정대체기준!$A$20:$A$49,0)),0)))</f>
        <v/>
      </c>
      <c r="AA2473" s="94">
        <f>IF($A2473="",0,IF(AE2473="직접",IF(OR(AF2473="유지비",AF2473="손해조사비"),$P2473,0),$P2473*(1-AG2473)*IFERROR(INDEX(계정대체기준!$D$20:$D$49,MATCH($N2473,계정대체기준!$A$20:$A$49,0)),0)))</f>
        <v/>
      </c>
      <c r="AB2473" s="94">
        <f>IF($A2473="",0,IF(AE2473="직접",IF(AF2473="수금비",$P2473,0),$P2473*(1-AG2473)*IFERROR(INDEX(계정대체기준!$E$20:$E$49,MATCH($N2473,계정대체기준!$A$20:$A$49,0)),0)))</f>
        <v/>
      </c>
      <c r="AC2473" s="9">
        <f>IF(AND($A2473&lt;&gt;"",M2473=설정!$C$20,Z2473&gt;0),Z2473+ROW()/1000000000,"")</f>
        <v/>
      </c>
      <c r="AD2473" s="94">
        <f>IF($A2473="",0,$P2473*AG2473)</f>
        <v/>
      </c>
      <c r="AE2473" s="64">
        <f>IF($A2473="","",IFERROR(INDEX(계정매핑!$E$5:$E$504,MATCH($F2473&amp;"",계정매핑!$A$5:$A$504,0))&amp;"","공통비"))</f>
        <v/>
      </c>
      <c r="AF2473" s="64">
        <f>IF($A2473="","",IF(AE2473="직접",IFERROR(INDEX(계정매핑!$F$5:$F$504,MATCH($F2473&amp;"",계정매핑!$A$5:$A$504,0))&amp;"","비귀속"),""))</f>
        <v/>
      </c>
      <c r="AG2473" s="96">
        <f>IF($A2473="",0,IF(AND(AE2473&lt;&gt;"직접",IFERROR(INDEX(계정매핑!$G$5:$G$504,MATCH($F2473&amp;"",계정매핑!$A$5:$A$504,0))&amp;"","")="유지비",COUNTIF(계정대체기준!$A$6:$A$15,$N2473)&gt;0),IFERROR(INDEX(계정대체기준!$E$6:$E$15,MATCH(VALUE($A2473&amp;""),계정대체기준!$D$6:$D$15,0)),0),0))</f>
        <v/>
      </c>
      <c r="AH2473" s="64">
        <f>IF($A2473="","",IF(AD2473=0,"",IF(OR(COUNTIF(계정대체기준!$A$77:$A$86,$N2473)&gt;0,ISNUMBER(MATCH($X2473,계정대체기준!$D$77:$D$86,0)),ISNUMBER(MATCH($F2473,계정대체기준!$D$77:$D$86,0))),"Y","N")))</f>
        <v/>
      </c>
    </row>
    <row r="2474">
      <c r="A2474" s="92" t="n">
        <v>2025</v>
      </c>
      <c r="B2474" s="92" t="n">
        <v>11</v>
      </c>
      <c r="C2474" s="92" t="inlineStr">
        <is>
          <t>5100002470</t>
        </is>
      </c>
      <c r="D2474" s="95" t="n">
        <v>45986</v>
      </c>
      <c r="E2474" s="92" t="inlineStr">
        <is>
          <t>KR</t>
        </is>
      </c>
      <c r="F2474" s="92" t="n">
        <v>63002000</v>
      </c>
      <c r="G2474" s="92" t="n">
        <v>1701</v>
      </c>
      <c r="H2474" s="93" t="n">
        <v>71000000</v>
      </c>
      <c r="I2474" s="92" t="inlineStr">
        <is>
          <t>11월 클라우드 사용료 - C클라우드</t>
        </is>
      </c>
      <c r="J2474" s="92" t="inlineStr">
        <is>
          <t>V10026</t>
        </is>
      </c>
      <c r="K2474" s="92" t="inlineStr">
        <is>
          <t>C클라우드</t>
        </is>
      </c>
      <c r="M2474" s="9">
        <f>IF($A2474="","",VALUE($A2474&amp;"")*12+VALUE($B2474&amp;""))</f>
        <v/>
      </c>
      <c r="N2474" s="64">
        <f>IF($A2474="","",IFERROR(INDEX(부서매핑!$C$5:$C$504,MATCH($G2474&amp;"",부서매핑!$A$5:$A$504,0)),"미매핑"))</f>
        <v/>
      </c>
      <c r="O2474" s="9">
        <f>IF($A2474="","",N2474&amp;"|"&amp;$F2474)</f>
        <v/>
      </c>
      <c r="P2474" s="94">
        <f>IF($A2474="",0,$H2474*설정!$C$23)</f>
        <v/>
      </c>
      <c r="Q2474" s="64">
        <f>IF($A2474="","",IF(O2474&lt;&gt;원인분석!$C$9,"",IF(AND(M2474&gt;=원인분석!$C$10,M2474&lt;=원인분석!$C$11),"당기",IF(AND(M2474&gt;=원인분석!$C$12,M2474&lt;=원인분석!$C$13),"비교",""))))</f>
        <v/>
      </c>
      <c r="R2474" s="9">
        <f>IF(Q2474="","",$K2474&amp;"")</f>
        <v/>
      </c>
      <c r="S2474" s="9">
        <f>IF(Q2474="","",IF(MATCH(R2474,$R$5:$R$100000,0)=ROW()-4,ROW(),""))</f>
        <v/>
      </c>
      <c r="T2474" s="9">
        <f>IF(Q2474="당기",ABS(P2474)+ROW()/1000000000,"")</f>
        <v/>
      </c>
      <c r="U2474" s="9">
        <f>IF(Q2474="비교",ABS(P2474)+ROW()/1000000000,"")</f>
        <v/>
      </c>
      <c r="V2474" s="64">
        <f>IF($A2474="","",IF(COUNTIF(변동분석!$E$7:$E$506,O2474)&gt;0,"Y","N"))</f>
        <v/>
      </c>
      <c r="W2474" s="64">
        <f>IF($A2474="","",IFERROR(INDEX(계정매핑!$D$5:$D$504,MATCH($F2474&amp;"",계정매핑!$A$5:$A$504,0)),"미매핑"))</f>
        <v/>
      </c>
      <c r="X2474" s="9">
        <f>IF($A2474="","",$F2474&amp;"")</f>
        <v/>
      </c>
      <c r="Y2474" s="94">
        <f>IF($A2474="",0,IF(AE2474="직접",IF(AF2474="비귀속",$P2474,0),$P2474*(1-AG2474)*IFERROR(INDEX(계정대체기준!$F$20:$F$49,MATCH($N2474,계정대체기준!$A$20:$A$49,0)),1)))</f>
        <v/>
      </c>
      <c r="Z2474" s="94">
        <f>IF($A2474="",0,IF(AE2474="직접",IF(AF2474="신계약비",$P2474,0),$P2474*(1-AG2474)*IFERROR(INDEX(계정대체기준!$C$20:$C$49,MATCH($N2474,계정대체기준!$A$20:$A$49,0)),0)))</f>
        <v/>
      </c>
      <c r="AA2474" s="94">
        <f>IF($A2474="",0,IF(AE2474="직접",IF(OR(AF2474="유지비",AF2474="손해조사비"),$P2474,0),$P2474*(1-AG2474)*IFERROR(INDEX(계정대체기준!$D$20:$D$49,MATCH($N2474,계정대체기준!$A$20:$A$49,0)),0)))</f>
        <v/>
      </c>
      <c r="AB2474" s="94">
        <f>IF($A2474="",0,IF(AE2474="직접",IF(AF2474="수금비",$P2474,0),$P2474*(1-AG2474)*IFERROR(INDEX(계정대체기준!$E$20:$E$49,MATCH($N2474,계정대체기준!$A$20:$A$49,0)),0)))</f>
        <v/>
      </c>
      <c r="AC2474" s="9">
        <f>IF(AND($A2474&lt;&gt;"",M2474=설정!$C$20,Z2474&gt;0),Z2474+ROW()/1000000000,"")</f>
        <v/>
      </c>
      <c r="AD2474" s="94">
        <f>IF($A2474="",0,$P2474*AG2474)</f>
        <v/>
      </c>
      <c r="AE2474" s="64">
        <f>IF($A2474="","",IFERROR(INDEX(계정매핑!$E$5:$E$504,MATCH($F2474&amp;"",계정매핑!$A$5:$A$504,0))&amp;"","공통비"))</f>
        <v/>
      </c>
      <c r="AF2474" s="64">
        <f>IF($A2474="","",IF(AE2474="직접",IFERROR(INDEX(계정매핑!$F$5:$F$504,MATCH($F2474&amp;"",계정매핑!$A$5:$A$504,0))&amp;"","비귀속"),""))</f>
        <v/>
      </c>
      <c r="AG2474" s="96">
        <f>IF($A2474="",0,IF(AND(AE2474&lt;&gt;"직접",IFERROR(INDEX(계정매핑!$G$5:$G$504,MATCH($F2474&amp;"",계정매핑!$A$5:$A$504,0))&amp;"","")="유지비",COUNTIF(계정대체기준!$A$6:$A$15,$N2474)&gt;0),IFERROR(INDEX(계정대체기준!$E$6:$E$15,MATCH(VALUE($A2474&amp;""),계정대체기준!$D$6:$D$15,0)),0),0))</f>
        <v/>
      </c>
      <c r="AH2474" s="64">
        <f>IF($A2474="","",IF(AD2474=0,"",IF(OR(COUNTIF(계정대체기준!$A$77:$A$86,$N2474)&gt;0,ISNUMBER(MATCH($X2474,계정대체기준!$D$77:$D$86,0)),ISNUMBER(MATCH($F2474,계정대체기준!$D$77:$D$86,0))),"Y","N")))</f>
        <v/>
      </c>
    </row>
    <row r="2475">
      <c r="A2475" s="92" t="n">
        <v>2025</v>
      </c>
      <c r="B2475" s="92" t="n">
        <v>11</v>
      </c>
      <c r="C2475" s="92" t="inlineStr">
        <is>
          <t>5100002471</t>
        </is>
      </c>
      <c r="D2475" s="95" t="n">
        <v>45986</v>
      </c>
      <c r="E2475" s="92" t="inlineStr">
        <is>
          <t>KR</t>
        </is>
      </c>
      <c r="F2475" s="92" t="n">
        <v>63101000</v>
      </c>
      <c r="G2475" s="92" t="n">
        <v>1602</v>
      </c>
      <c r="H2475" s="93" t="n">
        <v>6556000</v>
      </c>
      <c r="I2475" s="92" t="inlineStr">
        <is>
          <t>11월 사무실 임차료 - AA빌딩</t>
        </is>
      </c>
      <c r="J2475" s="92" t="inlineStr">
        <is>
          <t>V10007</t>
        </is>
      </c>
      <c r="K2475" s="92" t="inlineStr">
        <is>
          <t>AA빌딩</t>
        </is>
      </c>
      <c r="M2475" s="9">
        <f>IF($A2475="","",VALUE($A2475&amp;"")*12+VALUE($B2475&amp;""))</f>
        <v/>
      </c>
      <c r="N2475" s="64">
        <f>IF($A2475="","",IFERROR(INDEX(부서매핑!$C$5:$C$504,MATCH($G2475&amp;"",부서매핑!$A$5:$A$504,0)),"미매핑"))</f>
        <v/>
      </c>
      <c r="O2475" s="9">
        <f>IF($A2475="","",N2475&amp;"|"&amp;$F2475)</f>
        <v/>
      </c>
      <c r="P2475" s="94">
        <f>IF($A2475="",0,$H2475*설정!$C$23)</f>
        <v/>
      </c>
      <c r="Q2475" s="64">
        <f>IF($A2475="","",IF(O2475&lt;&gt;원인분석!$C$9,"",IF(AND(M2475&gt;=원인분석!$C$10,M2475&lt;=원인분석!$C$11),"당기",IF(AND(M2475&gt;=원인분석!$C$12,M2475&lt;=원인분석!$C$13),"비교",""))))</f>
        <v/>
      </c>
      <c r="R2475" s="9">
        <f>IF(Q2475="","",$K2475&amp;"")</f>
        <v/>
      </c>
      <c r="S2475" s="9">
        <f>IF(Q2475="","",IF(MATCH(R2475,$R$5:$R$100000,0)=ROW()-4,ROW(),""))</f>
        <v/>
      </c>
      <c r="T2475" s="9">
        <f>IF(Q2475="당기",ABS(P2475)+ROW()/1000000000,"")</f>
        <v/>
      </c>
      <c r="U2475" s="9">
        <f>IF(Q2475="비교",ABS(P2475)+ROW()/1000000000,"")</f>
        <v/>
      </c>
      <c r="V2475" s="64">
        <f>IF($A2475="","",IF(COUNTIF(변동분석!$E$7:$E$506,O2475)&gt;0,"Y","N"))</f>
        <v/>
      </c>
      <c r="W2475" s="64">
        <f>IF($A2475="","",IFERROR(INDEX(계정매핑!$D$5:$D$504,MATCH($F2475&amp;"",계정매핑!$A$5:$A$504,0)),"미매핑"))</f>
        <v/>
      </c>
      <c r="X2475" s="9">
        <f>IF($A2475="","",$F2475&amp;"")</f>
        <v/>
      </c>
      <c r="Y2475" s="94">
        <f>IF($A2475="",0,IF(AE2475="직접",IF(AF2475="비귀속",$P2475,0),$P2475*(1-AG2475)*IFERROR(INDEX(계정대체기준!$F$20:$F$49,MATCH($N2475,계정대체기준!$A$20:$A$49,0)),1)))</f>
        <v/>
      </c>
      <c r="Z2475" s="94">
        <f>IF($A2475="",0,IF(AE2475="직접",IF(AF2475="신계약비",$P2475,0),$P2475*(1-AG2475)*IFERROR(INDEX(계정대체기준!$C$20:$C$49,MATCH($N2475,계정대체기준!$A$20:$A$49,0)),0)))</f>
        <v/>
      </c>
      <c r="AA2475" s="94">
        <f>IF($A2475="",0,IF(AE2475="직접",IF(OR(AF2475="유지비",AF2475="손해조사비"),$P2475,0),$P2475*(1-AG2475)*IFERROR(INDEX(계정대체기준!$D$20:$D$49,MATCH($N2475,계정대체기준!$A$20:$A$49,0)),0)))</f>
        <v/>
      </c>
      <c r="AB2475" s="94">
        <f>IF($A2475="",0,IF(AE2475="직접",IF(AF2475="수금비",$P2475,0),$P2475*(1-AG2475)*IFERROR(INDEX(계정대체기준!$E$20:$E$49,MATCH($N2475,계정대체기준!$A$20:$A$49,0)),0)))</f>
        <v/>
      </c>
      <c r="AC2475" s="9">
        <f>IF(AND($A2475&lt;&gt;"",M2475=설정!$C$20,Z2475&gt;0),Z2475+ROW()/1000000000,"")</f>
        <v/>
      </c>
      <c r="AD2475" s="94">
        <f>IF($A2475="",0,$P2475*AG2475)</f>
        <v/>
      </c>
      <c r="AE2475" s="64">
        <f>IF($A2475="","",IFERROR(INDEX(계정매핑!$E$5:$E$504,MATCH($F2475&amp;"",계정매핑!$A$5:$A$504,0))&amp;"","공통비"))</f>
        <v/>
      </c>
      <c r="AF2475" s="64">
        <f>IF($A2475="","",IF(AE2475="직접",IFERROR(INDEX(계정매핑!$F$5:$F$504,MATCH($F2475&amp;"",계정매핑!$A$5:$A$504,0))&amp;"","비귀속"),""))</f>
        <v/>
      </c>
      <c r="AG2475" s="96">
        <f>IF($A2475="",0,IF(AND(AE2475&lt;&gt;"직접",IFERROR(INDEX(계정매핑!$G$5:$G$504,MATCH($F2475&amp;"",계정매핑!$A$5:$A$504,0))&amp;"","")="유지비",COUNTIF(계정대체기준!$A$6:$A$15,$N2475)&gt;0),IFERROR(INDEX(계정대체기준!$E$6:$E$15,MATCH(VALUE($A2475&amp;""),계정대체기준!$D$6:$D$15,0)),0),0))</f>
        <v/>
      </c>
      <c r="AH2475" s="64">
        <f>IF($A2475="","",IF(AD2475=0,"",IF(OR(COUNTIF(계정대체기준!$A$77:$A$86,$N2475)&gt;0,ISNUMBER(MATCH($X2475,계정대체기준!$D$77:$D$86,0)),ISNUMBER(MATCH($F2475,계정대체기준!$D$77:$D$86,0))),"Y","N")))</f>
        <v/>
      </c>
    </row>
    <row r="2476">
      <c r="A2476" s="92" t="n">
        <v>2025</v>
      </c>
      <c r="B2476" s="92" t="n">
        <v>11</v>
      </c>
      <c r="C2476" s="92" t="inlineStr">
        <is>
          <t>5100002472</t>
        </is>
      </c>
      <c r="D2476" s="95" t="n">
        <v>45987</v>
      </c>
      <c r="E2476" s="92" t="inlineStr">
        <is>
          <t>KR</t>
        </is>
      </c>
      <c r="F2476" s="92" t="n">
        <v>62101000</v>
      </c>
      <c r="G2476" s="92" t="n">
        <v>1401</v>
      </c>
      <c r="H2476" s="93" t="n">
        <v>493000</v>
      </c>
      <c r="I2476" s="92" t="inlineStr">
        <is>
          <t>11월 국내출장 - (법인카드)</t>
        </is>
      </c>
      <c r="J2476" s="92" t="inlineStr">
        <is>
          <t>V10010</t>
        </is>
      </c>
      <c r="K2476" s="92" t="inlineStr">
        <is>
          <t>(법인카드)</t>
        </is>
      </c>
      <c r="M2476" s="9">
        <f>IF($A2476="","",VALUE($A2476&amp;"")*12+VALUE($B2476&amp;""))</f>
        <v/>
      </c>
      <c r="N2476" s="64">
        <f>IF($A2476="","",IFERROR(INDEX(부서매핑!$C$5:$C$504,MATCH($G2476&amp;"",부서매핑!$A$5:$A$504,0)),"미매핑"))</f>
        <v/>
      </c>
      <c r="O2476" s="9">
        <f>IF($A2476="","",N2476&amp;"|"&amp;$F2476)</f>
        <v/>
      </c>
      <c r="P2476" s="94">
        <f>IF($A2476="",0,$H2476*설정!$C$23)</f>
        <v/>
      </c>
      <c r="Q2476" s="64">
        <f>IF($A2476="","",IF(O2476&lt;&gt;원인분석!$C$9,"",IF(AND(M2476&gt;=원인분석!$C$10,M2476&lt;=원인분석!$C$11),"당기",IF(AND(M2476&gt;=원인분석!$C$12,M2476&lt;=원인분석!$C$13),"비교",""))))</f>
        <v/>
      </c>
      <c r="R2476" s="9">
        <f>IF(Q2476="","",$K2476&amp;"")</f>
        <v/>
      </c>
      <c r="S2476" s="9">
        <f>IF(Q2476="","",IF(MATCH(R2476,$R$5:$R$100000,0)=ROW()-4,ROW(),""))</f>
        <v/>
      </c>
      <c r="T2476" s="9">
        <f>IF(Q2476="당기",ABS(P2476)+ROW()/1000000000,"")</f>
        <v/>
      </c>
      <c r="U2476" s="9">
        <f>IF(Q2476="비교",ABS(P2476)+ROW()/1000000000,"")</f>
        <v/>
      </c>
      <c r="V2476" s="64">
        <f>IF($A2476="","",IF(COUNTIF(변동분석!$E$7:$E$506,O2476)&gt;0,"Y","N"))</f>
        <v/>
      </c>
      <c r="W2476" s="64">
        <f>IF($A2476="","",IFERROR(INDEX(계정매핑!$D$5:$D$504,MATCH($F2476&amp;"",계정매핑!$A$5:$A$504,0)),"미매핑"))</f>
        <v/>
      </c>
      <c r="X2476" s="9">
        <f>IF($A2476="","",$F2476&amp;"")</f>
        <v/>
      </c>
      <c r="Y2476" s="94">
        <f>IF($A2476="",0,IF(AE2476="직접",IF(AF2476="비귀속",$P2476,0),$P2476*(1-AG2476)*IFERROR(INDEX(계정대체기준!$F$20:$F$49,MATCH($N2476,계정대체기준!$A$20:$A$49,0)),1)))</f>
        <v/>
      </c>
      <c r="Z2476" s="94">
        <f>IF($A2476="",0,IF(AE2476="직접",IF(AF2476="신계약비",$P2476,0),$P2476*(1-AG2476)*IFERROR(INDEX(계정대체기준!$C$20:$C$49,MATCH($N2476,계정대체기준!$A$20:$A$49,0)),0)))</f>
        <v/>
      </c>
      <c r="AA2476" s="94">
        <f>IF($A2476="",0,IF(AE2476="직접",IF(OR(AF2476="유지비",AF2476="손해조사비"),$P2476,0),$P2476*(1-AG2476)*IFERROR(INDEX(계정대체기준!$D$20:$D$49,MATCH($N2476,계정대체기준!$A$20:$A$49,0)),0)))</f>
        <v/>
      </c>
      <c r="AB2476" s="94">
        <f>IF($A2476="",0,IF(AE2476="직접",IF(AF2476="수금비",$P2476,0),$P2476*(1-AG2476)*IFERROR(INDEX(계정대체기준!$E$20:$E$49,MATCH($N2476,계정대체기준!$A$20:$A$49,0)),0)))</f>
        <v/>
      </c>
      <c r="AC2476" s="9">
        <f>IF(AND($A2476&lt;&gt;"",M2476=설정!$C$20,Z2476&gt;0),Z2476+ROW()/1000000000,"")</f>
        <v/>
      </c>
      <c r="AD2476" s="94">
        <f>IF($A2476="",0,$P2476*AG2476)</f>
        <v/>
      </c>
      <c r="AE2476" s="64">
        <f>IF($A2476="","",IFERROR(INDEX(계정매핑!$E$5:$E$504,MATCH($F2476&amp;"",계정매핑!$A$5:$A$504,0))&amp;"","공통비"))</f>
        <v/>
      </c>
      <c r="AF2476" s="64">
        <f>IF($A2476="","",IF(AE2476="직접",IFERROR(INDEX(계정매핑!$F$5:$F$504,MATCH($F2476&amp;"",계정매핑!$A$5:$A$504,0))&amp;"","비귀속"),""))</f>
        <v/>
      </c>
      <c r="AG2476" s="96">
        <f>IF($A2476="",0,IF(AND(AE2476&lt;&gt;"직접",IFERROR(INDEX(계정매핑!$G$5:$G$504,MATCH($F2476&amp;"",계정매핑!$A$5:$A$504,0))&amp;"","")="유지비",COUNTIF(계정대체기준!$A$6:$A$15,$N2476)&gt;0),IFERROR(INDEX(계정대체기준!$E$6:$E$15,MATCH(VALUE($A2476&amp;""),계정대체기준!$D$6:$D$15,0)),0),0))</f>
        <v/>
      </c>
      <c r="AH2476" s="64">
        <f>IF($A2476="","",IF(AD2476=0,"",IF(OR(COUNTIF(계정대체기준!$A$77:$A$86,$N2476)&gt;0,ISNUMBER(MATCH($X2476,계정대체기준!$D$77:$D$86,0)),ISNUMBER(MATCH($F2476,계정대체기준!$D$77:$D$86,0))),"Y","N")))</f>
        <v/>
      </c>
    </row>
    <row r="2477">
      <c r="A2477" s="92" t="n">
        <v>2025</v>
      </c>
      <c r="B2477" s="92" t="n">
        <v>11</v>
      </c>
      <c r="C2477" s="92" t="inlineStr">
        <is>
          <t>5100002473</t>
        </is>
      </c>
      <c r="D2477" s="95" t="n">
        <v>45987</v>
      </c>
      <c r="E2477" s="92" t="inlineStr">
        <is>
          <t>KR</t>
        </is>
      </c>
      <c r="F2477" s="92" t="n">
        <v>62101000</v>
      </c>
      <c r="G2477" s="92" t="n">
        <v>1501</v>
      </c>
      <c r="H2477" s="93" t="n">
        <v>475000</v>
      </c>
      <c r="I2477" s="92" t="inlineStr">
        <is>
          <t>11월 국내출장 - (법인카드)</t>
        </is>
      </c>
      <c r="J2477" s="92" t="inlineStr">
        <is>
          <t>V10010</t>
        </is>
      </c>
      <c r="K2477" s="92" t="inlineStr">
        <is>
          <t>(법인카드)</t>
        </is>
      </c>
      <c r="M2477" s="9">
        <f>IF($A2477="","",VALUE($A2477&amp;"")*12+VALUE($B2477&amp;""))</f>
        <v/>
      </c>
      <c r="N2477" s="64">
        <f>IF($A2477="","",IFERROR(INDEX(부서매핑!$C$5:$C$504,MATCH($G2477&amp;"",부서매핑!$A$5:$A$504,0)),"미매핑"))</f>
        <v/>
      </c>
      <c r="O2477" s="9">
        <f>IF($A2477="","",N2477&amp;"|"&amp;$F2477)</f>
        <v/>
      </c>
      <c r="P2477" s="94">
        <f>IF($A2477="",0,$H2477*설정!$C$23)</f>
        <v/>
      </c>
      <c r="Q2477" s="64">
        <f>IF($A2477="","",IF(O2477&lt;&gt;원인분석!$C$9,"",IF(AND(M2477&gt;=원인분석!$C$10,M2477&lt;=원인분석!$C$11),"당기",IF(AND(M2477&gt;=원인분석!$C$12,M2477&lt;=원인분석!$C$13),"비교",""))))</f>
        <v/>
      </c>
      <c r="R2477" s="9">
        <f>IF(Q2477="","",$K2477&amp;"")</f>
        <v/>
      </c>
      <c r="S2477" s="9">
        <f>IF(Q2477="","",IF(MATCH(R2477,$R$5:$R$100000,0)=ROW()-4,ROW(),""))</f>
        <v/>
      </c>
      <c r="T2477" s="9">
        <f>IF(Q2477="당기",ABS(P2477)+ROW()/1000000000,"")</f>
        <v/>
      </c>
      <c r="U2477" s="9">
        <f>IF(Q2477="비교",ABS(P2477)+ROW()/1000000000,"")</f>
        <v/>
      </c>
      <c r="V2477" s="64">
        <f>IF($A2477="","",IF(COUNTIF(변동분석!$E$7:$E$506,O2477)&gt;0,"Y","N"))</f>
        <v/>
      </c>
      <c r="W2477" s="64">
        <f>IF($A2477="","",IFERROR(INDEX(계정매핑!$D$5:$D$504,MATCH($F2477&amp;"",계정매핑!$A$5:$A$504,0)),"미매핑"))</f>
        <v/>
      </c>
      <c r="X2477" s="9">
        <f>IF($A2477="","",$F2477&amp;"")</f>
        <v/>
      </c>
      <c r="Y2477" s="94">
        <f>IF($A2477="",0,IF(AE2477="직접",IF(AF2477="비귀속",$P2477,0),$P2477*(1-AG2477)*IFERROR(INDEX(계정대체기준!$F$20:$F$49,MATCH($N2477,계정대체기준!$A$20:$A$49,0)),1)))</f>
        <v/>
      </c>
      <c r="Z2477" s="94">
        <f>IF($A2477="",0,IF(AE2477="직접",IF(AF2477="신계약비",$P2477,0),$P2477*(1-AG2477)*IFERROR(INDEX(계정대체기준!$C$20:$C$49,MATCH($N2477,계정대체기준!$A$20:$A$49,0)),0)))</f>
        <v/>
      </c>
      <c r="AA2477" s="94">
        <f>IF($A2477="",0,IF(AE2477="직접",IF(OR(AF2477="유지비",AF2477="손해조사비"),$P2477,0),$P2477*(1-AG2477)*IFERROR(INDEX(계정대체기준!$D$20:$D$49,MATCH($N2477,계정대체기준!$A$20:$A$49,0)),0)))</f>
        <v/>
      </c>
      <c r="AB2477" s="94">
        <f>IF($A2477="",0,IF(AE2477="직접",IF(AF2477="수금비",$P2477,0),$P2477*(1-AG2477)*IFERROR(INDEX(계정대체기준!$E$20:$E$49,MATCH($N2477,계정대체기준!$A$20:$A$49,0)),0)))</f>
        <v/>
      </c>
      <c r="AC2477" s="9">
        <f>IF(AND($A2477&lt;&gt;"",M2477=설정!$C$20,Z2477&gt;0),Z2477+ROW()/1000000000,"")</f>
        <v/>
      </c>
      <c r="AD2477" s="94">
        <f>IF($A2477="",0,$P2477*AG2477)</f>
        <v/>
      </c>
      <c r="AE2477" s="64">
        <f>IF($A2477="","",IFERROR(INDEX(계정매핑!$E$5:$E$504,MATCH($F2477&amp;"",계정매핑!$A$5:$A$504,0))&amp;"","공통비"))</f>
        <v/>
      </c>
      <c r="AF2477" s="64">
        <f>IF($A2477="","",IF(AE2477="직접",IFERROR(INDEX(계정매핑!$F$5:$F$504,MATCH($F2477&amp;"",계정매핑!$A$5:$A$504,0))&amp;"","비귀속"),""))</f>
        <v/>
      </c>
      <c r="AG2477" s="96">
        <f>IF($A2477="",0,IF(AND(AE2477&lt;&gt;"직접",IFERROR(INDEX(계정매핑!$G$5:$G$504,MATCH($F2477&amp;"",계정매핑!$A$5:$A$504,0))&amp;"","")="유지비",COUNTIF(계정대체기준!$A$6:$A$15,$N2477)&gt;0),IFERROR(INDEX(계정대체기준!$E$6:$E$15,MATCH(VALUE($A2477&amp;""),계정대체기준!$D$6:$D$15,0)),0),0))</f>
        <v/>
      </c>
      <c r="AH2477" s="64">
        <f>IF($A2477="","",IF(AD2477=0,"",IF(OR(COUNTIF(계정대체기준!$A$77:$A$86,$N2477)&gt;0,ISNUMBER(MATCH($X2477,계정대체기준!$D$77:$D$86,0)),ISNUMBER(MATCH($F2477,계정대체기준!$D$77:$D$86,0))),"Y","N")))</f>
        <v/>
      </c>
    </row>
    <row r="2478">
      <c r="A2478" s="92" t="n">
        <v>2025</v>
      </c>
      <c r="B2478" s="92" t="n">
        <v>11</v>
      </c>
      <c r="C2478" s="92" t="inlineStr">
        <is>
          <t>5100002474</t>
        </is>
      </c>
      <c r="D2478" s="95" t="n">
        <v>45987</v>
      </c>
      <c r="E2478" s="92" t="inlineStr">
        <is>
          <t>KR</t>
        </is>
      </c>
      <c r="F2478" s="92" t="n">
        <v>62102000</v>
      </c>
      <c r="G2478" s="92" t="n">
        <v>1502</v>
      </c>
      <c r="H2478" s="93" t="n">
        <v>237000</v>
      </c>
      <c r="I2478" s="92" t="inlineStr">
        <is>
          <t>11월 해외출장 - M항공</t>
        </is>
      </c>
      <c r="J2478" s="92" t="inlineStr">
        <is>
          <t>V10001</t>
        </is>
      </c>
      <c r="K2478" s="92" t="inlineStr">
        <is>
          <t>M항공</t>
        </is>
      </c>
      <c r="M2478" s="9">
        <f>IF($A2478="","",VALUE($A2478&amp;"")*12+VALUE($B2478&amp;""))</f>
        <v/>
      </c>
      <c r="N2478" s="64">
        <f>IF($A2478="","",IFERROR(INDEX(부서매핑!$C$5:$C$504,MATCH($G2478&amp;"",부서매핑!$A$5:$A$504,0)),"미매핑"))</f>
        <v/>
      </c>
      <c r="O2478" s="9">
        <f>IF($A2478="","",N2478&amp;"|"&amp;$F2478)</f>
        <v/>
      </c>
      <c r="P2478" s="94">
        <f>IF($A2478="",0,$H2478*설정!$C$23)</f>
        <v/>
      </c>
      <c r="Q2478" s="64">
        <f>IF($A2478="","",IF(O2478&lt;&gt;원인분석!$C$9,"",IF(AND(M2478&gt;=원인분석!$C$10,M2478&lt;=원인분석!$C$11),"당기",IF(AND(M2478&gt;=원인분석!$C$12,M2478&lt;=원인분석!$C$13),"비교",""))))</f>
        <v/>
      </c>
      <c r="R2478" s="9">
        <f>IF(Q2478="","",$K2478&amp;"")</f>
        <v/>
      </c>
      <c r="S2478" s="9">
        <f>IF(Q2478="","",IF(MATCH(R2478,$R$5:$R$100000,0)=ROW()-4,ROW(),""))</f>
        <v/>
      </c>
      <c r="T2478" s="9">
        <f>IF(Q2478="당기",ABS(P2478)+ROW()/1000000000,"")</f>
        <v/>
      </c>
      <c r="U2478" s="9">
        <f>IF(Q2478="비교",ABS(P2478)+ROW()/1000000000,"")</f>
        <v/>
      </c>
      <c r="V2478" s="64">
        <f>IF($A2478="","",IF(COUNTIF(변동분석!$E$7:$E$506,O2478)&gt;0,"Y","N"))</f>
        <v/>
      </c>
      <c r="W2478" s="64">
        <f>IF($A2478="","",IFERROR(INDEX(계정매핑!$D$5:$D$504,MATCH($F2478&amp;"",계정매핑!$A$5:$A$504,0)),"미매핑"))</f>
        <v/>
      </c>
      <c r="X2478" s="9">
        <f>IF($A2478="","",$F2478&amp;"")</f>
        <v/>
      </c>
      <c r="Y2478" s="94">
        <f>IF($A2478="",0,IF(AE2478="직접",IF(AF2478="비귀속",$P2478,0),$P2478*(1-AG2478)*IFERROR(INDEX(계정대체기준!$F$20:$F$49,MATCH($N2478,계정대체기준!$A$20:$A$49,0)),1)))</f>
        <v/>
      </c>
      <c r="Z2478" s="94">
        <f>IF($A2478="",0,IF(AE2478="직접",IF(AF2478="신계약비",$P2478,0),$P2478*(1-AG2478)*IFERROR(INDEX(계정대체기준!$C$20:$C$49,MATCH($N2478,계정대체기준!$A$20:$A$49,0)),0)))</f>
        <v/>
      </c>
      <c r="AA2478" s="94">
        <f>IF($A2478="",0,IF(AE2478="직접",IF(OR(AF2478="유지비",AF2478="손해조사비"),$P2478,0),$P2478*(1-AG2478)*IFERROR(INDEX(계정대체기준!$D$20:$D$49,MATCH($N2478,계정대체기준!$A$20:$A$49,0)),0)))</f>
        <v/>
      </c>
      <c r="AB2478" s="94">
        <f>IF($A2478="",0,IF(AE2478="직접",IF(AF2478="수금비",$P2478,0),$P2478*(1-AG2478)*IFERROR(INDEX(계정대체기준!$E$20:$E$49,MATCH($N2478,계정대체기준!$A$20:$A$49,0)),0)))</f>
        <v/>
      </c>
      <c r="AC2478" s="9">
        <f>IF(AND($A2478&lt;&gt;"",M2478=설정!$C$20,Z2478&gt;0),Z2478+ROW()/1000000000,"")</f>
        <v/>
      </c>
      <c r="AD2478" s="94">
        <f>IF($A2478="",0,$P2478*AG2478)</f>
        <v/>
      </c>
      <c r="AE2478" s="64">
        <f>IF($A2478="","",IFERROR(INDEX(계정매핑!$E$5:$E$504,MATCH($F2478&amp;"",계정매핑!$A$5:$A$504,0))&amp;"","공통비"))</f>
        <v/>
      </c>
      <c r="AF2478" s="64">
        <f>IF($A2478="","",IF(AE2478="직접",IFERROR(INDEX(계정매핑!$F$5:$F$504,MATCH($F2478&amp;"",계정매핑!$A$5:$A$504,0))&amp;"","비귀속"),""))</f>
        <v/>
      </c>
      <c r="AG2478" s="96">
        <f>IF($A2478="",0,IF(AND(AE2478&lt;&gt;"직접",IFERROR(INDEX(계정매핑!$G$5:$G$504,MATCH($F2478&amp;"",계정매핑!$A$5:$A$504,0))&amp;"","")="유지비",COUNTIF(계정대체기준!$A$6:$A$15,$N2478)&gt;0),IFERROR(INDEX(계정대체기준!$E$6:$E$15,MATCH(VALUE($A2478&amp;""),계정대체기준!$D$6:$D$15,0)),0),0))</f>
        <v/>
      </c>
      <c r="AH2478" s="64">
        <f>IF($A2478="","",IF(AD2478=0,"",IF(OR(COUNTIF(계정대체기준!$A$77:$A$86,$N2478)&gt;0,ISNUMBER(MATCH($X2478,계정대체기준!$D$77:$D$86,0)),ISNUMBER(MATCH($F2478,계정대체기준!$D$77:$D$86,0))),"Y","N")))</f>
        <v/>
      </c>
    </row>
    <row r="2479">
      <c r="A2479" s="92" t="n">
        <v>2025</v>
      </c>
      <c r="B2479" s="92" t="n">
        <v>11</v>
      </c>
      <c r="C2479" s="92" t="inlineStr">
        <is>
          <t>5100002475</t>
        </is>
      </c>
      <c r="D2479" s="95" t="n">
        <v>45987</v>
      </c>
      <c r="E2479" s="92" t="inlineStr">
        <is>
          <t>KR</t>
        </is>
      </c>
      <c r="F2479" s="92" t="n">
        <v>62201000</v>
      </c>
      <c r="G2479" s="92" t="n">
        <v>1101</v>
      </c>
      <c r="H2479" s="93" t="n">
        <v>131000</v>
      </c>
      <c r="I2479" s="92" t="inlineStr">
        <is>
          <t>11월 통신요금 - O텔레콤</t>
        </is>
      </c>
      <c r="J2479" s="92" t="inlineStr">
        <is>
          <t>V10002</t>
        </is>
      </c>
      <c r="K2479" s="92" t="inlineStr">
        <is>
          <t>O텔레콤</t>
        </is>
      </c>
      <c r="M2479" s="9">
        <f>IF($A2479="","",VALUE($A2479&amp;"")*12+VALUE($B2479&amp;""))</f>
        <v/>
      </c>
      <c r="N2479" s="64">
        <f>IF($A2479="","",IFERROR(INDEX(부서매핑!$C$5:$C$504,MATCH($G2479&amp;"",부서매핑!$A$5:$A$504,0)),"미매핑"))</f>
        <v/>
      </c>
      <c r="O2479" s="9">
        <f>IF($A2479="","",N2479&amp;"|"&amp;$F2479)</f>
        <v/>
      </c>
      <c r="P2479" s="94">
        <f>IF($A2479="",0,$H2479*설정!$C$23)</f>
        <v/>
      </c>
      <c r="Q2479" s="64">
        <f>IF($A2479="","",IF(O2479&lt;&gt;원인분석!$C$9,"",IF(AND(M2479&gt;=원인분석!$C$10,M2479&lt;=원인분석!$C$11),"당기",IF(AND(M2479&gt;=원인분석!$C$12,M2479&lt;=원인분석!$C$13),"비교",""))))</f>
        <v/>
      </c>
      <c r="R2479" s="9">
        <f>IF(Q2479="","",$K2479&amp;"")</f>
        <v/>
      </c>
      <c r="S2479" s="9">
        <f>IF(Q2479="","",IF(MATCH(R2479,$R$5:$R$100000,0)=ROW()-4,ROW(),""))</f>
        <v/>
      </c>
      <c r="T2479" s="9">
        <f>IF(Q2479="당기",ABS(P2479)+ROW()/1000000000,"")</f>
        <v/>
      </c>
      <c r="U2479" s="9">
        <f>IF(Q2479="비교",ABS(P2479)+ROW()/1000000000,"")</f>
        <v/>
      </c>
      <c r="V2479" s="64">
        <f>IF($A2479="","",IF(COUNTIF(변동분석!$E$7:$E$506,O2479)&gt;0,"Y","N"))</f>
        <v/>
      </c>
      <c r="W2479" s="64">
        <f>IF($A2479="","",IFERROR(INDEX(계정매핑!$D$5:$D$504,MATCH($F2479&amp;"",계정매핑!$A$5:$A$504,0)),"미매핑"))</f>
        <v/>
      </c>
      <c r="X2479" s="9">
        <f>IF($A2479="","",$F2479&amp;"")</f>
        <v/>
      </c>
      <c r="Y2479" s="94">
        <f>IF($A2479="",0,IF(AE2479="직접",IF(AF2479="비귀속",$P2479,0),$P2479*(1-AG2479)*IFERROR(INDEX(계정대체기준!$F$20:$F$49,MATCH($N2479,계정대체기준!$A$20:$A$49,0)),1)))</f>
        <v/>
      </c>
      <c r="Z2479" s="94">
        <f>IF($A2479="",0,IF(AE2479="직접",IF(AF2479="신계약비",$P2479,0),$P2479*(1-AG2479)*IFERROR(INDEX(계정대체기준!$C$20:$C$49,MATCH($N2479,계정대체기준!$A$20:$A$49,0)),0)))</f>
        <v/>
      </c>
      <c r="AA2479" s="94">
        <f>IF($A2479="",0,IF(AE2479="직접",IF(OR(AF2479="유지비",AF2479="손해조사비"),$P2479,0),$P2479*(1-AG2479)*IFERROR(INDEX(계정대체기준!$D$20:$D$49,MATCH($N2479,계정대체기준!$A$20:$A$49,0)),0)))</f>
        <v/>
      </c>
      <c r="AB2479" s="94">
        <f>IF($A2479="",0,IF(AE2479="직접",IF(AF2479="수금비",$P2479,0),$P2479*(1-AG2479)*IFERROR(INDEX(계정대체기준!$E$20:$E$49,MATCH($N2479,계정대체기준!$A$20:$A$49,0)),0)))</f>
        <v/>
      </c>
      <c r="AC2479" s="9">
        <f>IF(AND($A2479&lt;&gt;"",M2479=설정!$C$20,Z2479&gt;0),Z2479+ROW()/1000000000,"")</f>
        <v/>
      </c>
      <c r="AD2479" s="94">
        <f>IF($A2479="",0,$P2479*AG2479)</f>
        <v/>
      </c>
      <c r="AE2479" s="64">
        <f>IF($A2479="","",IFERROR(INDEX(계정매핑!$E$5:$E$504,MATCH($F2479&amp;"",계정매핑!$A$5:$A$504,0))&amp;"","공통비"))</f>
        <v/>
      </c>
      <c r="AF2479" s="64">
        <f>IF($A2479="","",IF(AE2479="직접",IFERROR(INDEX(계정매핑!$F$5:$F$504,MATCH($F2479&amp;"",계정매핑!$A$5:$A$504,0))&amp;"","비귀속"),""))</f>
        <v/>
      </c>
      <c r="AG2479" s="96">
        <f>IF($A2479="",0,IF(AND(AE2479&lt;&gt;"직접",IFERROR(INDEX(계정매핑!$G$5:$G$504,MATCH($F2479&amp;"",계정매핑!$A$5:$A$504,0))&amp;"","")="유지비",COUNTIF(계정대체기준!$A$6:$A$15,$N2479)&gt;0),IFERROR(INDEX(계정대체기준!$E$6:$E$15,MATCH(VALUE($A2479&amp;""),계정대체기준!$D$6:$D$15,0)),0),0))</f>
        <v/>
      </c>
      <c r="AH2479" s="64">
        <f>IF($A2479="","",IF(AD2479=0,"",IF(OR(COUNTIF(계정대체기준!$A$77:$A$86,$N2479)&gt;0,ISNUMBER(MATCH($X2479,계정대체기준!$D$77:$D$86,0)),ISNUMBER(MATCH($F2479,계정대체기준!$D$77:$D$86,0))),"Y","N")))</f>
        <v/>
      </c>
    </row>
    <row r="2480">
      <c r="A2480" s="92" t="n">
        <v>2025</v>
      </c>
      <c r="B2480" s="92" t="n">
        <v>11</v>
      </c>
      <c r="C2480" s="92" t="inlineStr">
        <is>
          <t>5100002476</t>
        </is>
      </c>
      <c r="D2480" s="95" t="n">
        <v>45987</v>
      </c>
      <c r="E2480" s="92" t="inlineStr">
        <is>
          <t>KR</t>
        </is>
      </c>
      <c r="F2480" s="92" t="n">
        <v>62201000</v>
      </c>
      <c r="G2480" s="92" t="n">
        <v>1401</v>
      </c>
      <c r="H2480" s="93" t="n">
        <v>234000</v>
      </c>
      <c r="I2480" s="92" t="inlineStr">
        <is>
          <t>11월 통신요금 - P통신</t>
        </is>
      </c>
      <c r="J2480" s="92" t="inlineStr">
        <is>
          <t>V10014</t>
        </is>
      </c>
      <c r="K2480" s="92" t="inlineStr">
        <is>
          <t>P통신</t>
        </is>
      </c>
      <c r="M2480" s="9">
        <f>IF($A2480="","",VALUE($A2480&amp;"")*12+VALUE($B2480&amp;""))</f>
        <v/>
      </c>
      <c r="N2480" s="64">
        <f>IF($A2480="","",IFERROR(INDEX(부서매핑!$C$5:$C$504,MATCH($G2480&amp;"",부서매핑!$A$5:$A$504,0)),"미매핑"))</f>
        <v/>
      </c>
      <c r="O2480" s="9">
        <f>IF($A2480="","",N2480&amp;"|"&amp;$F2480)</f>
        <v/>
      </c>
      <c r="P2480" s="94">
        <f>IF($A2480="",0,$H2480*설정!$C$23)</f>
        <v/>
      </c>
      <c r="Q2480" s="64">
        <f>IF($A2480="","",IF(O2480&lt;&gt;원인분석!$C$9,"",IF(AND(M2480&gt;=원인분석!$C$10,M2480&lt;=원인분석!$C$11),"당기",IF(AND(M2480&gt;=원인분석!$C$12,M2480&lt;=원인분석!$C$13),"비교",""))))</f>
        <v/>
      </c>
      <c r="R2480" s="9">
        <f>IF(Q2480="","",$K2480&amp;"")</f>
        <v/>
      </c>
      <c r="S2480" s="9">
        <f>IF(Q2480="","",IF(MATCH(R2480,$R$5:$R$100000,0)=ROW()-4,ROW(),""))</f>
        <v/>
      </c>
      <c r="T2480" s="9">
        <f>IF(Q2480="당기",ABS(P2480)+ROW()/1000000000,"")</f>
        <v/>
      </c>
      <c r="U2480" s="9">
        <f>IF(Q2480="비교",ABS(P2480)+ROW()/1000000000,"")</f>
        <v/>
      </c>
      <c r="V2480" s="64">
        <f>IF($A2480="","",IF(COUNTIF(변동분석!$E$7:$E$506,O2480)&gt;0,"Y","N"))</f>
        <v/>
      </c>
      <c r="W2480" s="64">
        <f>IF($A2480="","",IFERROR(INDEX(계정매핑!$D$5:$D$504,MATCH($F2480&amp;"",계정매핑!$A$5:$A$504,0)),"미매핑"))</f>
        <v/>
      </c>
      <c r="X2480" s="9">
        <f>IF($A2480="","",$F2480&amp;"")</f>
        <v/>
      </c>
      <c r="Y2480" s="94">
        <f>IF($A2480="",0,IF(AE2480="직접",IF(AF2480="비귀속",$P2480,0),$P2480*(1-AG2480)*IFERROR(INDEX(계정대체기준!$F$20:$F$49,MATCH($N2480,계정대체기준!$A$20:$A$49,0)),1)))</f>
        <v/>
      </c>
      <c r="Z2480" s="94">
        <f>IF($A2480="",0,IF(AE2480="직접",IF(AF2480="신계약비",$P2480,0),$P2480*(1-AG2480)*IFERROR(INDEX(계정대체기준!$C$20:$C$49,MATCH($N2480,계정대체기준!$A$20:$A$49,0)),0)))</f>
        <v/>
      </c>
      <c r="AA2480" s="94">
        <f>IF($A2480="",0,IF(AE2480="직접",IF(OR(AF2480="유지비",AF2480="손해조사비"),$P2480,0),$P2480*(1-AG2480)*IFERROR(INDEX(계정대체기준!$D$20:$D$49,MATCH($N2480,계정대체기준!$A$20:$A$49,0)),0)))</f>
        <v/>
      </c>
      <c r="AB2480" s="94">
        <f>IF($A2480="",0,IF(AE2480="직접",IF(AF2480="수금비",$P2480,0),$P2480*(1-AG2480)*IFERROR(INDEX(계정대체기준!$E$20:$E$49,MATCH($N2480,계정대체기준!$A$20:$A$49,0)),0)))</f>
        <v/>
      </c>
      <c r="AC2480" s="9">
        <f>IF(AND($A2480&lt;&gt;"",M2480=설정!$C$20,Z2480&gt;0),Z2480+ROW()/1000000000,"")</f>
        <v/>
      </c>
      <c r="AD2480" s="94">
        <f>IF($A2480="",0,$P2480*AG2480)</f>
        <v/>
      </c>
      <c r="AE2480" s="64">
        <f>IF($A2480="","",IFERROR(INDEX(계정매핑!$E$5:$E$504,MATCH($F2480&amp;"",계정매핑!$A$5:$A$504,0))&amp;"","공통비"))</f>
        <v/>
      </c>
      <c r="AF2480" s="64">
        <f>IF($A2480="","",IF(AE2480="직접",IFERROR(INDEX(계정매핑!$F$5:$F$504,MATCH($F2480&amp;"",계정매핑!$A$5:$A$504,0))&amp;"","비귀속"),""))</f>
        <v/>
      </c>
      <c r="AG2480" s="96">
        <f>IF($A2480="",0,IF(AND(AE2480&lt;&gt;"직접",IFERROR(INDEX(계정매핑!$G$5:$G$504,MATCH($F2480&amp;"",계정매핑!$A$5:$A$504,0))&amp;"","")="유지비",COUNTIF(계정대체기준!$A$6:$A$15,$N2480)&gt;0),IFERROR(INDEX(계정대체기준!$E$6:$E$15,MATCH(VALUE($A2480&amp;""),계정대체기준!$D$6:$D$15,0)),0),0))</f>
        <v/>
      </c>
      <c r="AH2480" s="64">
        <f>IF($A2480="","",IF(AD2480=0,"",IF(OR(COUNTIF(계정대체기준!$A$77:$A$86,$N2480)&gt;0,ISNUMBER(MATCH($X2480,계정대체기준!$D$77:$D$86,0)),ISNUMBER(MATCH($F2480,계정대체기준!$D$77:$D$86,0))),"Y","N")))</f>
        <v/>
      </c>
    </row>
    <row r="2481">
      <c r="A2481" s="92" t="n">
        <v>2025</v>
      </c>
      <c r="B2481" s="92" t="n">
        <v>11</v>
      </c>
      <c r="C2481" s="92" t="inlineStr">
        <is>
          <t>5100002477</t>
        </is>
      </c>
      <c r="D2481" s="95" t="n">
        <v>45987</v>
      </c>
      <c r="E2481" s="92" t="inlineStr">
        <is>
          <t>KR</t>
        </is>
      </c>
      <c r="F2481" s="92" t="n">
        <v>62201000</v>
      </c>
      <c r="G2481" s="92" t="n">
        <v>1502</v>
      </c>
      <c r="H2481" s="93" t="n">
        <v>249000</v>
      </c>
      <c r="I2481" s="92" t="inlineStr">
        <is>
          <t>11월 통신요금 - P통신</t>
        </is>
      </c>
      <c r="J2481" s="92" t="inlineStr">
        <is>
          <t>V10014</t>
        </is>
      </c>
      <c r="K2481" s="92" t="inlineStr">
        <is>
          <t>P통신</t>
        </is>
      </c>
      <c r="M2481" s="9">
        <f>IF($A2481="","",VALUE($A2481&amp;"")*12+VALUE($B2481&amp;""))</f>
        <v/>
      </c>
      <c r="N2481" s="64">
        <f>IF($A2481="","",IFERROR(INDEX(부서매핑!$C$5:$C$504,MATCH($G2481&amp;"",부서매핑!$A$5:$A$504,0)),"미매핑"))</f>
        <v/>
      </c>
      <c r="O2481" s="9">
        <f>IF($A2481="","",N2481&amp;"|"&amp;$F2481)</f>
        <v/>
      </c>
      <c r="P2481" s="94">
        <f>IF($A2481="",0,$H2481*설정!$C$23)</f>
        <v/>
      </c>
      <c r="Q2481" s="64">
        <f>IF($A2481="","",IF(O2481&lt;&gt;원인분석!$C$9,"",IF(AND(M2481&gt;=원인분석!$C$10,M2481&lt;=원인분석!$C$11),"당기",IF(AND(M2481&gt;=원인분석!$C$12,M2481&lt;=원인분석!$C$13),"비교",""))))</f>
        <v/>
      </c>
      <c r="R2481" s="9">
        <f>IF(Q2481="","",$K2481&amp;"")</f>
        <v/>
      </c>
      <c r="S2481" s="9">
        <f>IF(Q2481="","",IF(MATCH(R2481,$R$5:$R$100000,0)=ROW()-4,ROW(),""))</f>
        <v/>
      </c>
      <c r="T2481" s="9">
        <f>IF(Q2481="당기",ABS(P2481)+ROW()/1000000000,"")</f>
        <v/>
      </c>
      <c r="U2481" s="9">
        <f>IF(Q2481="비교",ABS(P2481)+ROW()/1000000000,"")</f>
        <v/>
      </c>
      <c r="V2481" s="64">
        <f>IF($A2481="","",IF(COUNTIF(변동분석!$E$7:$E$506,O2481)&gt;0,"Y","N"))</f>
        <v/>
      </c>
      <c r="W2481" s="64">
        <f>IF($A2481="","",IFERROR(INDEX(계정매핑!$D$5:$D$504,MATCH($F2481&amp;"",계정매핑!$A$5:$A$504,0)),"미매핑"))</f>
        <v/>
      </c>
      <c r="X2481" s="9">
        <f>IF($A2481="","",$F2481&amp;"")</f>
        <v/>
      </c>
      <c r="Y2481" s="94">
        <f>IF($A2481="",0,IF(AE2481="직접",IF(AF2481="비귀속",$P2481,0),$P2481*(1-AG2481)*IFERROR(INDEX(계정대체기준!$F$20:$F$49,MATCH($N2481,계정대체기준!$A$20:$A$49,0)),1)))</f>
        <v/>
      </c>
      <c r="Z2481" s="94">
        <f>IF($A2481="",0,IF(AE2481="직접",IF(AF2481="신계약비",$P2481,0),$P2481*(1-AG2481)*IFERROR(INDEX(계정대체기준!$C$20:$C$49,MATCH($N2481,계정대체기준!$A$20:$A$49,0)),0)))</f>
        <v/>
      </c>
      <c r="AA2481" s="94">
        <f>IF($A2481="",0,IF(AE2481="직접",IF(OR(AF2481="유지비",AF2481="손해조사비"),$P2481,0),$P2481*(1-AG2481)*IFERROR(INDEX(계정대체기준!$D$20:$D$49,MATCH($N2481,계정대체기준!$A$20:$A$49,0)),0)))</f>
        <v/>
      </c>
      <c r="AB2481" s="94">
        <f>IF($A2481="",0,IF(AE2481="직접",IF(AF2481="수금비",$P2481,0),$P2481*(1-AG2481)*IFERROR(INDEX(계정대체기준!$E$20:$E$49,MATCH($N2481,계정대체기준!$A$20:$A$49,0)),0)))</f>
        <v/>
      </c>
      <c r="AC2481" s="9">
        <f>IF(AND($A2481&lt;&gt;"",M2481=설정!$C$20,Z2481&gt;0),Z2481+ROW()/1000000000,"")</f>
        <v/>
      </c>
      <c r="AD2481" s="94">
        <f>IF($A2481="",0,$P2481*AG2481)</f>
        <v/>
      </c>
      <c r="AE2481" s="64">
        <f>IF($A2481="","",IFERROR(INDEX(계정매핑!$E$5:$E$504,MATCH($F2481&amp;"",계정매핑!$A$5:$A$504,0))&amp;"","공통비"))</f>
        <v/>
      </c>
      <c r="AF2481" s="64">
        <f>IF($A2481="","",IF(AE2481="직접",IFERROR(INDEX(계정매핑!$F$5:$F$504,MATCH($F2481&amp;"",계정매핑!$A$5:$A$504,0))&amp;"","비귀속"),""))</f>
        <v/>
      </c>
      <c r="AG2481" s="96">
        <f>IF($A2481="",0,IF(AND(AE2481&lt;&gt;"직접",IFERROR(INDEX(계정매핑!$G$5:$G$504,MATCH($F2481&amp;"",계정매핑!$A$5:$A$504,0))&amp;"","")="유지비",COUNTIF(계정대체기준!$A$6:$A$15,$N2481)&gt;0),IFERROR(INDEX(계정대체기준!$E$6:$E$15,MATCH(VALUE($A2481&amp;""),계정대체기준!$D$6:$D$15,0)),0),0))</f>
        <v/>
      </c>
      <c r="AH2481" s="64">
        <f>IF($A2481="","",IF(AD2481=0,"",IF(OR(COUNTIF(계정대체기준!$A$77:$A$86,$N2481)&gt;0,ISNUMBER(MATCH($X2481,계정대체기준!$D$77:$D$86,0)),ISNUMBER(MATCH($F2481,계정대체기준!$D$77:$D$86,0))),"Y","N")))</f>
        <v/>
      </c>
    </row>
    <row r="2482">
      <c r="A2482" s="92" t="n">
        <v>2025</v>
      </c>
      <c r="B2482" s="92" t="n">
        <v>11</v>
      </c>
      <c r="C2482" s="92" t="inlineStr">
        <is>
          <t>5100002478</t>
        </is>
      </c>
      <c r="D2482" s="95" t="n">
        <v>45987</v>
      </c>
      <c r="E2482" s="92" t="inlineStr">
        <is>
          <t>KR</t>
        </is>
      </c>
      <c r="F2482" s="92" t="n">
        <v>63101000</v>
      </c>
      <c r="G2482" s="92" t="n">
        <v>1601</v>
      </c>
      <c r="H2482" s="93" t="n">
        <v>4488000</v>
      </c>
      <c r="I2482" s="92" t="inlineStr">
        <is>
          <t>11월 사무실 임차료 - BB부동산</t>
        </is>
      </c>
      <c r="J2482" s="92" t="inlineStr">
        <is>
          <t>V10028</t>
        </is>
      </c>
      <c r="K2482" s="92" t="inlineStr">
        <is>
          <t>BB부동산</t>
        </is>
      </c>
      <c r="M2482" s="9">
        <f>IF($A2482="","",VALUE($A2482&amp;"")*12+VALUE($B2482&amp;""))</f>
        <v/>
      </c>
      <c r="N2482" s="64">
        <f>IF($A2482="","",IFERROR(INDEX(부서매핑!$C$5:$C$504,MATCH($G2482&amp;"",부서매핑!$A$5:$A$504,0)),"미매핑"))</f>
        <v/>
      </c>
      <c r="O2482" s="9">
        <f>IF($A2482="","",N2482&amp;"|"&amp;$F2482)</f>
        <v/>
      </c>
      <c r="P2482" s="94">
        <f>IF($A2482="",0,$H2482*설정!$C$23)</f>
        <v/>
      </c>
      <c r="Q2482" s="64">
        <f>IF($A2482="","",IF(O2482&lt;&gt;원인분석!$C$9,"",IF(AND(M2482&gt;=원인분석!$C$10,M2482&lt;=원인분석!$C$11),"당기",IF(AND(M2482&gt;=원인분석!$C$12,M2482&lt;=원인분석!$C$13),"비교",""))))</f>
        <v/>
      </c>
      <c r="R2482" s="9">
        <f>IF(Q2482="","",$K2482&amp;"")</f>
        <v/>
      </c>
      <c r="S2482" s="9">
        <f>IF(Q2482="","",IF(MATCH(R2482,$R$5:$R$100000,0)=ROW()-4,ROW(),""))</f>
        <v/>
      </c>
      <c r="T2482" s="9">
        <f>IF(Q2482="당기",ABS(P2482)+ROW()/1000000000,"")</f>
        <v/>
      </c>
      <c r="U2482" s="9">
        <f>IF(Q2482="비교",ABS(P2482)+ROW()/1000000000,"")</f>
        <v/>
      </c>
      <c r="V2482" s="64">
        <f>IF($A2482="","",IF(COUNTIF(변동분석!$E$7:$E$506,O2482)&gt;0,"Y","N"))</f>
        <v/>
      </c>
      <c r="W2482" s="64">
        <f>IF($A2482="","",IFERROR(INDEX(계정매핑!$D$5:$D$504,MATCH($F2482&amp;"",계정매핑!$A$5:$A$504,0)),"미매핑"))</f>
        <v/>
      </c>
      <c r="X2482" s="9">
        <f>IF($A2482="","",$F2482&amp;"")</f>
        <v/>
      </c>
      <c r="Y2482" s="94">
        <f>IF($A2482="",0,IF(AE2482="직접",IF(AF2482="비귀속",$P2482,0),$P2482*(1-AG2482)*IFERROR(INDEX(계정대체기준!$F$20:$F$49,MATCH($N2482,계정대체기준!$A$20:$A$49,0)),1)))</f>
        <v/>
      </c>
      <c r="Z2482" s="94">
        <f>IF($A2482="",0,IF(AE2482="직접",IF(AF2482="신계약비",$P2482,0),$P2482*(1-AG2482)*IFERROR(INDEX(계정대체기준!$C$20:$C$49,MATCH($N2482,계정대체기준!$A$20:$A$49,0)),0)))</f>
        <v/>
      </c>
      <c r="AA2482" s="94">
        <f>IF($A2482="",0,IF(AE2482="직접",IF(OR(AF2482="유지비",AF2482="손해조사비"),$P2482,0),$P2482*(1-AG2482)*IFERROR(INDEX(계정대체기준!$D$20:$D$49,MATCH($N2482,계정대체기준!$A$20:$A$49,0)),0)))</f>
        <v/>
      </c>
      <c r="AB2482" s="94">
        <f>IF($A2482="",0,IF(AE2482="직접",IF(AF2482="수금비",$P2482,0),$P2482*(1-AG2482)*IFERROR(INDEX(계정대체기준!$E$20:$E$49,MATCH($N2482,계정대체기준!$A$20:$A$49,0)),0)))</f>
        <v/>
      </c>
      <c r="AC2482" s="9">
        <f>IF(AND($A2482&lt;&gt;"",M2482=설정!$C$20,Z2482&gt;0),Z2482+ROW()/1000000000,"")</f>
        <v/>
      </c>
      <c r="AD2482" s="94">
        <f>IF($A2482="",0,$P2482*AG2482)</f>
        <v/>
      </c>
      <c r="AE2482" s="64">
        <f>IF($A2482="","",IFERROR(INDEX(계정매핑!$E$5:$E$504,MATCH($F2482&amp;"",계정매핑!$A$5:$A$504,0))&amp;"","공통비"))</f>
        <v/>
      </c>
      <c r="AF2482" s="64">
        <f>IF($A2482="","",IF(AE2482="직접",IFERROR(INDEX(계정매핑!$F$5:$F$504,MATCH($F2482&amp;"",계정매핑!$A$5:$A$504,0))&amp;"","비귀속"),""))</f>
        <v/>
      </c>
      <c r="AG2482" s="96">
        <f>IF($A2482="",0,IF(AND(AE2482&lt;&gt;"직접",IFERROR(INDEX(계정매핑!$G$5:$G$504,MATCH($F2482&amp;"",계정매핑!$A$5:$A$504,0))&amp;"","")="유지비",COUNTIF(계정대체기준!$A$6:$A$15,$N2482)&gt;0),IFERROR(INDEX(계정대체기준!$E$6:$E$15,MATCH(VALUE($A2482&amp;""),계정대체기준!$D$6:$D$15,0)),0),0))</f>
        <v/>
      </c>
      <c r="AH2482" s="64">
        <f>IF($A2482="","",IF(AD2482=0,"",IF(OR(COUNTIF(계정대체기준!$A$77:$A$86,$N2482)&gt;0,ISNUMBER(MATCH($X2482,계정대체기준!$D$77:$D$86,0)),ISNUMBER(MATCH($F2482,계정대체기준!$D$77:$D$86,0))),"Y","N")))</f>
        <v/>
      </c>
    </row>
    <row r="2483">
      <c r="A2483" s="92" t="n">
        <v>2025</v>
      </c>
      <c r="B2483" s="92" t="n">
        <v>11</v>
      </c>
      <c r="C2483" s="92" t="inlineStr">
        <is>
          <t>5100002479</t>
        </is>
      </c>
      <c r="D2483" s="95" t="n">
        <v>45988</v>
      </c>
      <c r="E2483" s="92" t="inlineStr">
        <is>
          <t>KR</t>
        </is>
      </c>
      <c r="F2483" s="92" t="n">
        <v>62102000</v>
      </c>
      <c r="G2483" s="92" t="n">
        <v>1101</v>
      </c>
      <c r="H2483" s="93" t="n">
        <v>112000</v>
      </c>
      <c r="I2483" s="92" t="inlineStr">
        <is>
          <t>11월 해외출장 - N호텔</t>
        </is>
      </c>
      <c r="J2483" s="92" t="inlineStr">
        <is>
          <t>V10009</t>
        </is>
      </c>
      <c r="K2483" s="92" t="inlineStr">
        <is>
          <t>N호텔</t>
        </is>
      </c>
      <c r="M2483" s="9">
        <f>IF($A2483="","",VALUE($A2483&amp;"")*12+VALUE($B2483&amp;""))</f>
        <v/>
      </c>
      <c r="N2483" s="64">
        <f>IF($A2483="","",IFERROR(INDEX(부서매핑!$C$5:$C$504,MATCH($G2483&amp;"",부서매핑!$A$5:$A$504,0)),"미매핑"))</f>
        <v/>
      </c>
      <c r="O2483" s="9">
        <f>IF($A2483="","",N2483&amp;"|"&amp;$F2483)</f>
        <v/>
      </c>
      <c r="P2483" s="94">
        <f>IF($A2483="",0,$H2483*설정!$C$23)</f>
        <v/>
      </c>
      <c r="Q2483" s="64">
        <f>IF($A2483="","",IF(O2483&lt;&gt;원인분석!$C$9,"",IF(AND(M2483&gt;=원인분석!$C$10,M2483&lt;=원인분석!$C$11),"당기",IF(AND(M2483&gt;=원인분석!$C$12,M2483&lt;=원인분석!$C$13),"비교",""))))</f>
        <v/>
      </c>
      <c r="R2483" s="9">
        <f>IF(Q2483="","",$K2483&amp;"")</f>
        <v/>
      </c>
      <c r="S2483" s="9">
        <f>IF(Q2483="","",IF(MATCH(R2483,$R$5:$R$100000,0)=ROW()-4,ROW(),""))</f>
        <v/>
      </c>
      <c r="T2483" s="9">
        <f>IF(Q2483="당기",ABS(P2483)+ROW()/1000000000,"")</f>
        <v/>
      </c>
      <c r="U2483" s="9">
        <f>IF(Q2483="비교",ABS(P2483)+ROW()/1000000000,"")</f>
        <v/>
      </c>
      <c r="V2483" s="64">
        <f>IF($A2483="","",IF(COUNTIF(변동분석!$E$7:$E$506,O2483)&gt;0,"Y","N"))</f>
        <v/>
      </c>
      <c r="W2483" s="64">
        <f>IF($A2483="","",IFERROR(INDEX(계정매핑!$D$5:$D$504,MATCH($F2483&amp;"",계정매핑!$A$5:$A$504,0)),"미매핑"))</f>
        <v/>
      </c>
      <c r="X2483" s="9">
        <f>IF($A2483="","",$F2483&amp;"")</f>
        <v/>
      </c>
      <c r="Y2483" s="94">
        <f>IF($A2483="",0,IF(AE2483="직접",IF(AF2483="비귀속",$P2483,0),$P2483*(1-AG2483)*IFERROR(INDEX(계정대체기준!$F$20:$F$49,MATCH($N2483,계정대체기준!$A$20:$A$49,0)),1)))</f>
        <v/>
      </c>
      <c r="Z2483" s="94">
        <f>IF($A2483="",0,IF(AE2483="직접",IF(AF2483="신계약비",$P2483,0),$P2483*(1-AG2483)*IFERROR(INDEX(계정대체기준!$C$20:$C$49,MATCH($N2483,계정대체기준!$A$20:$A$49,0)),0)))</f>
        <v/>
      </c>
      <c r="AA2483" s="94">
        <f>IF($A2483="",0,IF(AE2483="직접",IF(OR(AF2483="유지비",AF2483="손해조사비"),$P2483,0),$P2483*(1-AG2483)*IFERROR(INDEX(계정대체기준!$D$20:$D$49,MATCH($N2483,계정대체기준!$A$20:$A$49,0)),0)))</f>
        <v/>
      </c>
      <c r="AB2483" s="94">
        <f>IF($A2483="",0,IF(AE2483="직접",IF(AF2483="수금비",$P2483,0),$P2483*(1-AG2483)*IFERROR(INDEX(계정대체기준!$E$20:$E$49,MATCH($N2483,계정대체기준!$A$20:$A$49,0)),0)))</f>
        <v/>
      </c>
      <c r="AC2483" s="9">
        <f>IF(AND($A2483&lt;&gt;"",M2483=설정!$C$20,Z2483&gt;0),Z2483+ROW()/1000000000,"")</f>
        <v/>
      </c>
      <c r="AD2483" s="94">
        <f>IF($A2483="",0,$P2483*AG2483)</f>
        <v/>
      </c>
      <c r="AE2483" s="64">
        <f>IF($A2483="","",IFERROR(INDEX(계정매핑!$E$5:$E$504,MATCH($F2483&amp;"",계정매핑!$A$5:$A$504,0))&amp;"","공통비"))</f>
        <v/>
      </c>
      <c r="AF2483" s="64">
        <f>IF($A2483="","",IF(AE2483="직접",IFERROR(INDEX(계정매핑!$F$5:$F$504,MATCH($F2483&amp;"",계정매핑!$A$5:$A$504,0))&amp;"","비귀속"),""))</f>
        <v/>
      </c>
      <c r="AG2483" s="96">
        <f>IF($A2483="",0,IF(AND(AE2483&lt;&gt;"직접",IFERROR(INDEX(계정매핑!$G$5:$G$504,MATCH($F2483&amp;"",계정매핑!$A$5:$A$504,0))&amp;"","")="유지비",COUNTIF(계정대체기준!$A$6:$A$15,$N2483)&gt;0),IFERROR(INDEX(계정대체기준!$E$6:$E$15,MATCH(VALUE($A2483&amp;""),계정대체기준!$D$6:$D$15,0)),0),0))</f>
        <v/>
      </c>
      <c r="AH2483" s="64">
        <f>IF($A2483="","",IF(AD2483=0,"",IF(OR(COUNTIF(계정대체기준!$A$77:$A$86,$N2483)&gt;0,ISNUMBER(MATCH($X2483,계정대체기준!$D$77:$D$86,0)),ISNUMBER(MATCH($F2483,계정대체기준!$D$77:$D$86,0))),"Y","N")))</f>
        <v/>
      </c>
    </row>
    <row r="2484">
      <c r="A2484" s="92" t="n">
        <v>2025</v>
      </c>
      <c r="B2484" s="92" t="n">
        <v>11</v>
      </c>
      <c r="C2484" s="92" t="inlineStr">
        <is>
          <t>5100002480</t>
        </is>
      </c>
      <c r="D2484" s="95" t="n">
        <v>45988</v>
      </c>
      <c r="E2484" s="92" t="inlineStr">
        <is>
          <t>KR</t>
        </is>
      </c>
      <c r="F2484" s="92" t="n">
        <v>62102000</v>
      </c>
      <c r="G2484" s="92" t="n">
        <v>1701</v>
      </c>
      <c r="H2484" s="93" t="n">
        <v>34000</v>
      </c>
      <c r="I2484" s="92" t="inlineStr">
        <is>
          <t>11월 해외출장 - M항공</t>
        </is>
      </c>
      <c r="J2484" s="92" t="inlineStr">
        <is>
          <t>V10001</t>
        </is>
      </c>
      <c r="K2484" s="92" t="inlineStr">
        <is>
          <t>M항공</t>
        </is>
      </c>
      <c r="M2484" s="9">
        <f>IF($A2484="","",VALUE($A2484&amp;"")*12+VALUE($B2484&amp;""))</f>
        <v/>
      </c>
      <c r="N2484" s="64">
        <f>IF($A2484="","",IFERROR(INDEX(부서매핑!$C$5:$C$504,MATCH($G2484&amp;"",부서매핑!$A$5:$A$504,0)),"미매핑"))</f>
        <v/>
      </c>
      <c r="O2484" s="9">
        <f>IF($A2484="","",N2484&amp;"|"&amp;$F2484)</f>
        <v/>
      </c>
      <c r="P2484" s="94">
        <f>IF($A2484="",0,$H2484*설정!$C$23)</f>
        <v/>
      </c>
      <c r="Q2484" s="64">
        <f>IF($A2484="","",IF(O2484&lt;&gt;원인분석!$C$9,"",IF(AND(M2484&gt;=원인분석!$C$10,M2484&lt;=원인분석!$C$11),"당기",IF(AND(M2484&gt;=원인분석!$C$12,M2484&lt;=원인분석!$C$13),"비교",""))))</f>
        <v/>
      </c>
      <c r="R2484" s="9">
        <f>IF(Q2484="","",$K2484&amp;"")</f>
        <v/>
      </c>
      <c r="S2484" s="9">
        <f>IF(Q2484="","",IF(MATCH(R2484,$R$5:$R$100000,0)=ROW()-4,ROW(),""))</f>
        <v/>
      </c>
      <c r="T2484" s="9">
        <f>IF(Q2484="당기",ABS(P2484)+ROW()/1000000000,"")</f>
        <v/>
      </c>
      <c r="U2484" s="9">
        <f>IF(Q2484="비교",ABS(P2484)+ROW()/1000000000,"")</f>
        <v/>
      </c>
      <c r="V2484" s="64">
        <f>IF($A2484="","",IF(COUNTIF(변동분석!$E$7:$E$506,O2484)&gt;0,"Y","N"))</f>
        <v/>
      </c>
      <c r="W2484" s="64">
        <f>IF($A2484="","",IFERROR(INDEX(계정매핑!$D$5:$D$504,MATCH($F2484&amp;"",계정매핑!$A$5:$A$504,0)),"미매핑"))</f>
        <v/>
      </c>
      <c r="X2484" s="9">
        <f>IF($A2484="","",$F2484&amp;"")</f>
        <v/>
      </c>
      <c r="Y2484" s="94">
        <f>IF($A2484="",0,IF(AE2484="직접",IF(AF2484="비귀속",$P2484,0),$P2484*(1-AG2484)*IFERROR(INDEX(계정대체기준!$F$20:$F$49,MATCH($N2484,계정대체기준!$A$20:$A$49,0)),1)))</f>
        <v/>
      </c>
      <c r="Z2484" s="94">
        <f>IF($A2484="",0,IF(AE2484="직접",IF(AF2484="신계약비",$P2484,0),$P2484*(1-AG2484)*IFERROR(INDEX(계정대체기준!$C$20:$C$49,MATCH($N2484,계정대체기준!$A$20:$A$49,0)),0)))</f>
        <v/>
      </c>
      <c r="AA2484" s="94">
        <f>IF($A2484="",0,IF(AE2484="직접",IF(OR(AF2484="유지비",AF2484="손해조사비"),$P2484,0),$P2484*(1-AG2484)*IFERROR(INDEX(계정대체기준!$D$20:$D$49,MATCH($N2484,계정대체기준!$A$20:$A$49,0)),0)))</f>
        <v/>
      </c>
      <c r="AB2484" s="94">
        <f>IF($A2484="",0,IF(AE2484="직접",IF(AF2484="수금비",$P2484,0),$P2484*(1-AG2484)*IFERROR(INDEX(계정대체기준!$E$20:$E$49,MATCH($N2484,계정대체기준!$A$20:$A$49,0)),0)))</f>
        <v/>
      </c>
      <c r="AC2484" s="9">
        <f>IF(AND($A2484&lt;&gt;"",M2484=설정!$C$20,Z2484&gt;0),Z2484+ROW()/1000000000,"")</f>
        <v/>
      </c>
      <c r="AD2484" s="94">
        <f>IF($A2484="",0,$P2484*AG2484)</f>
        <v/>
      </c>
      <c r="AE2484" s="64">
        <f>IF($A2484="","",IFERROR(INDEX(계정매핑!$E$5:$E$504,MATCH($F2484&amp;"",계정매핑!$A$5:$A$504,0))&amp;"","공통비"))</f>
        <v/>
      </c>
      <c r="AF2484" s="64">
        <f>IF($A2484="","",IF(AE2484="직접",IFERROR(INDEX(계정매핑!$F$5:$F$504,MATCH($F2484&amp;"",계정매핑!$A$5:$A$504,0))&amp;"","비귀속"),""))</f>
        <v/>
      </c>
      <c r="AG2484" s="96">
        <f>IF($A2484="",0,IF(AND(AE2484&lt;&gt;"직접",IFERROR(INDEX(계정매핑!$G$5:$G$504,MATCH($F2484&amp;"",계정매핑!$A$5:$A$504,0))&amp;"","")="유지비",COUNTIF(계정대체기준!$A$6:$A$15,$N2484)&gt;0),IFERROR(INDEX(계정대체기준!$E$6:$E$15,MATCH(VALUE($A2484&amp;""),계정대체기준!$D$6:$D$15,0)),0),0))</f>
        <v/>
      </c>
      <c r="AH2484" s="64">
        <f>IF($A2484="","",IF(AD2484=0,"",IF(OR(COUNTIF(계정대체기준!$A$77:$A$86,$N2484)&gt;0,ISNUMBER(MATCH($X2484,계정대체기준!$D$77:$D$86,0)),ISNUMBER(MATCH($F2484,계정대체기준!$D$77:$D$86,0))),"Y","N")))</f>
        <v/>
      </c>
    </row>
    <row r="2485">
      <c r="A2485" s="92" t="n">
        <v>2025</v>
      </c>
      <c r="B2485" s="92" t="n">
        <v>11</v>
      </c>
      <c r="C2485" s="92" t="inlineStr">
        <is>
          <t>5100002481</t>
        </is>
      </c>
      <c r="D2485" s="95" t="n">
        <v>45988</v>
      </c>
      <c r="E2485" s="92" t="inlineStr">
        <is>
          <t>KR</t>
        </is>
      </c>
      <c r="F2485" s="92" t="n">
        <v>62102000</v>
      </c>
      <c r="G2485" s="92" t="n">
        <v>1951</v>
      </c>
      <c r="H2485" s="93" t="n">
        <v>81000</v>
      </c>
      <c r="I2485" s="92" t="inlineStr">
        <is>
          <t>11월 해외출장 - N호텔</t>
        </is>
      </c>
      <c r="J2485" s="92" t="inlineStr">
        <is>
          <t>V10009</t>
        </is>
      </c>
      <c r="K2485" s="92" t="inlineStr">
        <is>
          <t>N호텔</t>
        </is>
      </c>
      <c r="M2485" s="9">
        <f>IF($A2485="","",VALUE($A2485&amp;"")*12+VALUE($B2485&amp;""))</f>
        <v/>
      </c>
      <c r="N2485" s="64">
        <f>IF($A2485="","",IFERROR(INDEX(부서매핑!$C$5:$C$504,MATCH($G2485&amp;"",부서매핑!$A$5:$A$504,0)),"미매핑"))</f>
        <v/>
      </c>
      <c r="O2485" s="9">
        <f>IF($A2485="","",N2485&amp;"|"&amp;$F2485)</f>
        <v/>
      </c>
      <c r="P2485" s="94">
        <f>IF($A2485="",0,$H2485*설정!$C$23)</f>
        <v/>
      </c>
      <c r="Q2485" s="64">
        <f>IF($A2485="","",IF(O2485&lt;&gt;원인분석!$C$9,"",IF(AND(M2485&gt;=원인분석!$C$10,M2485&lt;=원인분석!$C$11),"당기",IF(AND(M2485&gt;=원인분석!$C$12,M2485&lt;=원인분석!$C$13),"비교",""))))</f>
        <v/>
      </c>
      <c r="R2485" s="9">
        <f>IF(Q2485="","",$K2485&amp;"")</f>
        <v/>
      </c>
      <c r="S2485" s="9">
        <f>IF(Q2485="","",IF(MATCH(R2485,$R$5:$R$100000,0)=ROW()-4,ROW(),""))</f>
        <v/>
      </c>
      <c r="T2485" s="9">
        <f>IF(Q2485="당기",ABS(P2485)+ROW()/1000000000,"")</f>
        <v/>
      </c>
      <c r="U2485" s="9">
        <f>IF(Q2485="비교",ABS(P2485)+ROW()/1000000000,"")</f>
        <v/>
      </c>
      <c r="V2485" s="64">
        <f>IF($A2485="","",IF(COUNTIF(변동분석!$E$7:$E$506,O2485)&gt;0,"Y","N"))</f>
        <v/>
      </c>
      <c r="W2485" s="64">
        <f>IF($A2485="","",IFERROR(INDEX(계정매핑!$D$5:$D$504,MATCH($F2485&amp;"",계정매핑!$A$5:$A$504,0)),"미매핑"))</f>
        <v/>
      </c>
      <c r="X2485" s="9">
        <f>IF($A2485="","",$F2485&amp;"")</f>
        <v/>
      </c>
      <c r="Y2485" s="94">
        <f>IF($A2485="",0,IF(AE2485="직접",IF(AF2485="비귀속",$P2485,0),$P2485*(1-AG2485)*IFERROR(INDEX(계정대체기준!$F$20:$F$49,MATCH($N2485,계정대체기준!$A$20:$A$49,0)),1)))</f>
        <v/>
      </c>
      <c r="Z2485" s="94">
        <f>IF($A2485="",0,IF(AE2485="직접",IF(AF2485="신계약비",$P2485,0),$P2485*(1-AG2485)*IFERROR(INDEX(계정대체기준!$C$20:$C$49,MATCH($N2485,계정대체기준!$A$20:$A$49,0)),0)))</f>
        <v/>
      </c>
      <c r="AA2485" s="94">
        <f>IF($A2485="",0,IF(AE2485="직접",IF(OR(AF2485="유지비",AF2485="손해조사비"),$P2485,0),$P2485*(1-AG2485)*IFERROR(INDEX(계정대체기준!$D$20:$D$49,MATCH($N2485,계정대체기준!$A$20:$A$49,0)),0)))</f>
        <v/>
      </c>
      <c r="AB2485" s="94">
        <f>IF($A2485="",0,IF(AE2485="직접",IF(AF2485="수금비",$P2485,0),$P2485*(1-AG2485)*IFERROR(INDEX(계정대체기준!$E$20:$E$49,MATCH($N2485,계정대체기준!$A$20:$A$49,0)),0)))</f>
        <v/>
      </c>
      <c r="AC2485" s="9">
        <f>IF(AND($A2485&lt;&gt;"",M2485=설정!$C$20,Z2485&gt;0),Z2485+ROW()/1000000000,"")</f>
        <v/>
      </c>
      <c r="AD2485" s="94">
        <f>IF($A2485="",0,$P2485*AG2485)</f>
        <v/>
      </c>
      <c r="AE2485" s="64">
        <f>IF($A2485="","",IFERROR(INDEX(계정매핑!$E$5:$E$504,MATCH($F2485&amp;"",계정매핑!$A$5:$A$504,0))&amp;"","공통비"))</f>
        <v/>
      </c>
      <c r="AF2485" s="64">
        <f>IF($A2485="","",IF(AE2485="직접",IFERROR(INDEX(계정매핑!$F$5:$F$504,MATCH($F2485&amp;"",계정매핑!$A$5:$A$504,0))&amp;"","비귀속"),""))</f>
        <v/>
      </c>
      <c r="AG2485" s="96">
        <f>IF($A2485="",0,IF(AND(AE2485&lt;&gt;"직접",IFERROR(INDEX(계정매핑!$G$5:$G$504,MATCH($F2485&amp;"",계정매핑!$A$5:$A$504,0))&amp;"","")="유지비",COUNTIF(계정대체기준!$A$6:$A$15,$N2485)&gt;0),IFERROR(INDEX(계정대체기준!$E$6:$E$15,MATCH(VALUE($A2485&amp;""),계정대체기준!$D$6:$D$15,0)),0),0))</f>
        <v/>
      </c>
      <c r="AH2485" s="64">
        <f>IF($A2485="","",IF(AD2485=0,"",IF(OR(COUNTIF(계정대체기준!$A$77:$A$86,$N2485)&gt;0,ISNUMBER(MATCH($X2485,계정대체기준!$D$77:$D$86,0)),ISNUMBER(MATCH($F2485,계정대체기준!$D$77:$D$86,0))),"Y","N")))</f>
        <v/>
      </c>
    </row>
    <row r="2486">
      <c r="A2486" s="92" t="n">
        <v>2025</v>
      </c>
      <c r="B2486" s="92" t="n">
        <v>11</v>
      </c>
      <c r="C2486" s="92" t="inlineStr">
        <is>
          <t>5100002482</t>
        </is>
      </c>
      <c r="D2486" s="95" t="n">
        <v>45988</v>
      </c>
      <c r="E2486" s="92" t="inlineStr">
        <is>
          <t>KR</t>
        </is>
      </c>
      <c r="F2486" s="92" t="n">
        <v>62201000</v>
      </c>
      <c r="G2486" s="92" t="n">
        <v>1301</v>
      </c>
      <c r="H2486" s="93" t="n">
        <v>291000</v>
      </c>
      <c r="I2486" s="92" t="inlineStr">
        <is>
          <t>11월 통신요금 - O텔레콤</t>
        </is>
      </c>
      <c r="J2486" s="92" t="inlineStr">
        <is>
          <t>V10002</t>
        </is>
      </c>
      <c r="K2486" s="92" t="inlineStr">
        <is>
          <t>O텔레콤</t>
        </is>
      </c>
      <c r="M2486" s="9">
        <f>IF($A2486="","",VALUE($A2486&amp;"")*12+VALUE($B2486&amp;""))</f>
        <v/>
      </c>
      <c r="N2486" s="64">
        <f>IF($A2486="","",IFERROR(INDEX(부서매핑!$C$5:$C$504,MATCH($G2486&amp;"",부서매핑!$A$5:$A$504,0)),"미매핑"))</f>
        <v/>
      </c>
      <c r="O2486" s="9">
        <f>IF($A2486="","",N2486&amp;"|"&amp;$F2486)</f>
        <v/>
      </c>
      <c r="P2486" s="94">
        <f>IF($A2486="",0,$H2486*설정!$C$23)</f>
        <v/>
      </c>
      <c r="Q2486" s="64">
        <f>IF($A2486="","",IF(O2486&lt;&gt;원인분석!$C$9,"",IF(AND(M2486&gt;=원인분석!$C$10,M2486&lt;=원인분석!$C$11),"당기",IF(AND(M2486&gt;=원인분석!$C$12,M2486&lt;=원인분석!$C$13),"비교",""))))</f>
        <v/>
      </c>
      <c r="R2486" s="9">
        <f>IF(Q2486="","",$K2486&amp;"")</f>
        <v/>
      </c>
      <c r="S2486" s="9">
        <f>IF(Q2486="","",IF(MATCH(R2486,$R$5:$R$100000,0)=ROW()-4,ROW(),""))</f>
        <v/>
      </c>
      <c r="T2486" s="9">
        <f>IF(Q2486="당기",ABS(P2486)+ROW()/1000000000,"")</f>
        <v/>
      </c>
      <c r="U2486" s="9">
        <f>IF(Q2486="비교",ABS(P2486)+ROW()/1000000000,"")</f>
        <v/>
      </c>
      <c r="V2486" s="64">
        <f>IF($A2486="","",IF(COUNTIF(변동분석!$E$7:$E$506,O2486)&gt;0,"Y","N"))</f>
        <v/>
      </c>
      <c r="W2486" s="64">
        <f>IF($A2486="","",IFERROR(INDEX(계정매핑!$D$5:$D$504,MATCH($F2486&amp;"",계정매핑!$A$5:$A$504,0)),"미매핑"))</f>
        <v/>
      </c>
      <c r="X2486" s="9">
        <f>IF($A2486="","",$F2486&amp;"")</f>
        <v/>
      </c>
      <c r="Y2486" s="94">
        <f>IF($A2486="",0,IF(AE2486="직접",IF(AF2486="비귀속",$P2486,0),$P2486*(1-AG2486)*IFERROR(INDEX(계정대체기준!$F$20:$F$49,MATCH($N2486,계정대체기준!$A$20:$A$49,0)),1)))</f>
        <v/>
      </c>
      <c r="Z2486" s="94">
        <f>IF($A2486="",0,IF(AE2486="직접",IF(AF2486="신계약비",$P2486,0),$P2486*(1-AG2486)*IFERROR(INDEX(계정대체기준!$C$20:$C$49,MATCH($N2486,계정대체기준!$A$20:$A$49,0)),0)))</f>
        <v/>
      </c>
      <c r="AA2486" s="94">
        <f>IF($A2486="",0,IF(AE2486="직접",IF(OR(AF2486="유지비",AF2486="손해조사비"),$P2486,0),$P2486*(1-AG2486)*IFERROR(INDEX(계정대체기준!$D$20:$D$49,MATCH($N2486,계정대체기준!$A$20:$A$49,0)),0)))</f>
        <v/>
      </c>
      <c r="AB2486" s="94">
        <f>IF($A2486="",0,IF(AE2486="직접",IF(AF2486="수금비",$P2486,0),$P2486*(1-AG2486)*IFERROR(INDEX(계정대체기준!$E$20:$E$49,MATCH($N2486,계정대체기준!$A$20:$A$49,0)),0)))</f>
        <v/>
      </c>
      <c r="AC2486" s="9">
        <f>IF(AND($A2486&lt;&gt;"",M2486=설정!$C$20,Z2486&gt;0),Z2486+ROW()/1000000000,"")</f>
        <v/>
      </c>
      <c r="AD2486" s="94">
        <f>IF($A2486="",0,$P2486*AG2486)</f>
        <v/>
      </c>
      <c r="AE2486" s="64">
        <f>IF($A2486="","",IFERROR(INDEX(계정매핑!$E$5:$E$504,MATCH($F2486&amp;"",계정매핑!$A$5:$A$504,0))&amp;"","공통비"))</f>
        <v/>
      </c>
      <c r="AF2486" s="64">
        <f>IF($A2486="","",IF(AE2486="직접",IFERROR(INDEX(계정매핑!$F$5:$F$504,MATCH($F2486&amp;"",계정매핑!$A$5:$A$504,0))&amp;"","비귀속"),""))</f>
        <v/>
      </c>
      <c r="AG2486" s="96">
        <f>IF($A2486="",0,IF(AND(AE2486&lt;&gt;"직접",IFERROR(INDEX(계정매핑!$G$5:$G$504,MATCH($F2486&amp;"",계정매핑!$A$5:$A$504,0))&amp;"","")="유지비",COUNTIF(계정대체기준!$A$6:$A$15,$N2486)&gt;0),IFERROR(INDEX(계정대체기준!$E$6:$E$15,MATCH(VALUE($A2486&amp;""),계정대체기준!$D$6:$D$15,0)),0),0))</f>
        <v/>
      </c>
      <c r="AH2486" s="64">
        <f>IF($A2486="","",IF(AD2486=0,"",IF(OR(COUNTIF(계정대체기준!$A$77:$A$86,$N2486)&gt;0,ISNUMBER(MATCH($X2486,계정대체기준!$D$77:$D$86,0)),ISNUMBER(MATCH($F2486,계정대체기준!$D$77:$D$86,0))),"Y","N")))</f>
        <v/>
      </c>
    </row>
    <row r="2487">
      <c r="A2487" s="92" t="n">
        <v>2025</v>
      </c>
      <c r="B2487" s="92" t="n">
        <v>11</v>
      </c>
      <c r="C2487" s="92" t="inlineStr">
        <is>
          <t>5100002483</t>
        </is>
      </c>
      <c r="D2487" s="95" t="n">
        <v>45988</v>
      </c>
      <c r="E2487" s="92" t="inlineStr">
        <is>
          <t>KR</t>
        </is>
      </c>
      <c r="F2487" s="92" t="n">
        <v>62201000</v>
      </c>
      <c r="G2487" s="92" t="n">
        <v>1301</v>
      </c>
      <c r="H2487" s="93" t="n">
        <v>304000</v>
      </c>
      <c r="I2487" s="92" t="inlineStr">
        <is>
          <t>11월 통신요금 - P통신</t>
        </is>
      </c>
      <c r="J2487" s="92" t="inlineStr">
        <is>
          <t>V10014</t>
        </is>
      </c>
      <c r="K2487" s="92" t="inlineStr">
        <is>
          <t>P통신</t>
        </is>
      </c>
      <c r="M2487" s="9">
        <f>IF($A2487="","",VALUE($A2487&amp;"")*12+VALUE($B2487&amp;""))</f>
        <v/>
      </c>
      <c r="N2487" s="64">
        <f>IF($A2487="","",IFERROR(INDEX(부서매핑!$C$5:$C$504,MATCH($G2487&amp;"",부서매핑!$A$5:$A$504,0)),"미매핑"))</f>
        <v/>
      </c>
      <c r="O2487" s="9">
        <f>IF($A2487="","",N2487&amp;"|"&amp;$F2487)</f>
        <v/>
      </c>
      <c r="P2487" s="94">
        <f>IF($A2487="",0,$H2487*설정!$C$23)</f>
        <v/>
      </c>
      <c r="Q2487" s="64">
        <f>IF($A2487="","",IF(O2487&lt;&gt;원인분석!$C$9,"",IF(AND(M2487&gt;=원인분석!$C$10,M2487&lt;=원인분석!$C$11),"당기",IF(AND(M2487&gt;=원인분석!$C$12,M2487&lt;=원인분석!$C$13),"비교",""))))</f>
        <v/>
      </c>
      <c r="R2487" s="9">
        <f>IF(Q2487="","",$K2487&amp;"")</f>
        <v/>
      </c>
      <c r="S2487" s="9">
        <f>IF(Q2487="","",IF(MATCH(R2487,$R$5:$R$100000,0)=ROW()-4,ROW(),""))</f>
        <v/>
      </c>
      <c r="T2487" s="9">
        <f>IF(Q2487="당기",ABS(P2487)+ROW()/1000000000,"")</f>
        <v/>
      </c>
      <c r="U2487" s="9">
        <f>IF(Q2487="비교",ABS(P2487)+ROW()/1000000000,"")</f>
        <v/>
      </c>
      <c r="V2487" s="64">
        <f>IF($A2487="","",IF(COUNTIF(변동분석!$E$7:$E$506,O2487)&gt;0,"Y","N"))</f>
        <v/>
      </c>
      <c r="W2487" s="64">
        <f>IF($A2487="","",IFERROR(INDEX(계정매핑!$D$5:$D$504,MATCH($F2487&amp;"",계정매핑!$A$5:$A$504,0)),"미매핑"))</f>
        <v/>
      </c>
      <c r="X2487" s="9">
        <f>IF($A2487="","",$F2487&amp;"")</f>
        <v/>
      </c>
      <c r="Y2487" s="94">
        <f>IF($A2487="",0,IF(AE2487="직접",IF(AF2487="비귀속",$P2487,0),$P2487*(1-AG2487)*IFERROR(INDEX(계정대체기준!$F$20:$F$49,MATCH($N2487,계정대체기준!$A$20:$A$49,0)),1)))</f>
        <v/>
      </c>
      <c r="Z2487" s="94">
        <f>IF($A2487="",0,IF(AE2487="직접",IF(AF2487="신계약비",$P2487,0),$P2487*(1-AG2487)*IFERROR(INDEX(계정대체기준!$C$20:$C$49,MATCH($N2487,계정대체기준!$A$20:$A$49,0)),0)))</f>
        <v/>
      </c>
      <c r="AA2487" s="94">
        <f>IF($A2487="",0,IF(AE2487="직접",IF(OR(AF2487="유지비",AF2487="손해조사비"),$P2487,0),$P2487*(1-AG2487)*IFERROR(INDEX(계정대체기준!$D$20:$D$49,MATCH($N2487,계정대체기준!$A$20:$A$49,0)),0)))</f>
        <v/>
      </c>
      <c r="AB2487" s="94">
        <f>IF($A2487="",0,IF(AE2487="직접",IF(AF2487="수금비",$P2487,0),$P2487*(1-AG2487)*IFERROR(INDEX(계정대체기준!$E$20:$E$49,MATCH($N2487,계정대체기준!$A$20:$A$49,0)),0)))</f>
        <v/>
      </c>
      <c r="AC2487" s="9">
        <f>IF(AND($A2487&lt;&gt;"",M2487=설정!$C$20,Z2487&gt;0),Z2487+ROW()/1000000000,"")</f>
        <v/>
      </c>
      <c r="AD2487" s="94">
        <f>IF($A2487="",0,$P2487*AG2487)</f>
        <v/>
      </c>
      <c r="AE2487" s="64">
        <f>IF($A2487="","",IFERROR(INDEX(계정매핑!$E$5:$E$504,MATCH($F2487&amp;"",계정매핑!$A$5:$A$504,0))&amp;"","공통비"))</f>
        <v/>
      </c>
      <c r="AF2487" s="64">
        <f>IF($A2487="","",IF(AE2487="직접",IFERROR(INDEX(계정매핑!$F$5:$F$504,MATCH($F2487&amp;"",계정매핑!$A$5:$A$504,0))&amp;"","비귀속"),""))</f>
        <v/>
      </c>
      <c r="AG2487" s="96">
        <f>IF($A2487="",0,IF(AND(AE2487&lt;&gt;"직접",IFERROR(INDEX(계정매핑!$G$5:$G$504,MATCH($F2487&amp;"",계정매핑!$A$5:$A$504,0))&amp;"","")="유지비",COUNTIF(계정대체기준!$A$6:$A$15,$N2487)&gt;0),IFERROR(INDEX(계정대체기준!$E$6:$E$15,MATCH(VALUE($A2487&amp;""),계정대체기준!$D$6:$D$15,0)),0),0))</f>
        <v/>
      </c>
      <c r="AH2487" s="64">
        <f>IF($A2487="","",IF(AD2487=0,"",IF(OR(COUNTIF(계정대체기준!$A$77:$A$86,$N2487)&gt;0,ISNUMBER(MATCH($X2487,계정대체기준!$D$77:$D$86,0)),ISNUMBER(MATCH($F2487,계정대체기준!$D$77:$D$86,0))),"Y","N")))</f>
        <v/>
      </c>
    </row>
    <row r="2488">
      <c r="A2488" s="92" t="n">
        <v>2025</v>
      </c>
      <c r="B2488" s="92" t="n">
        <v>11</v>
      </c>
      <c r="C2488" s="92" t="inlineStr">
        <is>
          <t>5100002484</t>
        </is>
      </c>
      <c r="D2488" s="95" t="n">
        <v>45988</v>
      </c>
      <c r="E2488" s="92" t="inlineStr">
        <is>
          <t>KR</t>
        </is>
      </c>
      <c r="F2488" s="92" t="n">
        <v>62401000</v>
      </c>
      <c r="G2488" s="92" t="n">
        <v>1401</v>
      </c>
      <c r="H2488" s="93" t="n">
        <v>140000</v>
      </c>
      <c r="I2488" s="92" t="inlineStr">
        <is>
          <t>11월 인쇄물 제작 - S출판</t>
        </is>
      </c>
      <c r="J2488" s="92" t="inlineStr">
        <is>
          <t>V10015</t>
        </is>
      </c>
      <c r="K2488" s="92" t="inlineStr">
        <is>
          <t>S출판</t>
        </is>
      </c>
      <c r="M2488" s="9">
        <f>IF($A2488="","",VALUE($A2488&amp;"")*12+VALUE($B2488&amp;""))</f>
        <v/>
      </c>
      <c r="N2488" s="64">
        <f>IF($A2488="","",IFERROR(INDEX(부서매핑!$C$5:$C$504,MATCH($G2488&amp;"",부서매핑!$A$5:$A$504,0)),"미매핑"))</f>
        <v/>
      </c>
      <c r="O2488" s="9">
        <f>IF($A2488="","",N2488&amp;"|"&amp;$F2488)</f>
        <v/>
      </c>
      <c r="P2488" s="94">
        <f>IF($A2488="",0,$H2488*설정!$C$23)</f>
        <v/>
      </c>
      <c r="Q2488" s="64">
        <f>IF($A2488="","",IF(O2488&lt;&gt;원인분석!$C$9,"",IF(AND(M2488&gt;=원인분석!$C$10,M2488&lt;=원인분석!$C$11),"당기",IF(AND(M2488&gt;=원인분석!$C$12,M2488&lt;=원인분석!$C$13),"비교",""))))</f>
        <v/>
      </c>
      <c r="R2488" s="9">
        <f>IF(Q2488="","",$K2488&amp;"")</f>
        <v/>
      </c>
      <c r="S2488" s="9">
        <f>IF(Q2488="","",IF(MATCH(R2488,$R$5:$R$100000,0)=ROW()-4,ROW(),""))</f>
        <v/>
      </c>
      <c r="T2488" s="9">
        <f>IF(Q2488="당기",ABS(P2488)+ROW()/1000000000,"")</f>
        <v/>
      </c>
      <c r="U2488" s="9">
        <f>IF(Q2488="비교",ABS(P2488)+ROW()/1000000000,"")</f>
        <v/>
      </c>
      <c r="V2488" s="64">
        <f>IF($A2488="","",IF(COUNTIF(변동분석!$E$7:$E$506,O2488)&gt;0,"Y","N"))</f>
        <v/>
      </c>
      <c r="W2488" s="64">
        <f>IF($A2488="","",IFERROR(INDEX(계정매핑!$D$5:$D$504,MATCH($F2488&amp;"",계정매핑!$A$5:$A$504,0)),"미매핑"))</f>
        <v/>
      </c>
      <c r="X2488" s="9">
        <f>IF($A2488="","",$F2488&amp;"")</f>
        <v/>
      </c>
      <c r="Y2488" s="94">
        <f>IF($A2488="",0,IF(AE2488="직접",IF(AF2488="비귀속",$P2488,0),$P2488*(1-AG2488)*IFERROR(INDEX(계정대체기준!$F$20:$F$49,MATCH($N2488,계정대체기준!$A$20:$A$49,0)),1)))</f>
        <v/>
      </c>
      <c r="Z2488" s="94">
        <f>IF($A2488="",0,IF(AE2488="직접",IF(AF2488="신계약비",$P2488,0),$P2488*(1-AG2488)*IFERROR(INDEX(계정대체기준!$C$20:$C$49,MATCH($N2488,계정대체기준!$A$20:$A$49,0)),0)))</f>
        <v/>
      </c>
      <c r="AA2488" s="94">
        <f>IF($A2488="",0,IF(AE2488="직접",IF(OR(AF2488="유지비",AF2488="손해조사비"),$P2488,0),$P2488*(1-AG2488)*IFERROR(INDEX(계정대체기준!$D$20:$D$49,MATCH($N2488,계정대체기준!$A$20:$A$49,0)),0)))</f>
        <v/>
      </c>
      <c r="AB2488" s="94">
        <f>IF($A2488="",0,IF(AE2488="직접",IF(AF2488="수금비",$P2488,0),$P2488*(1-AG2488)*IFERROR(INDEX(계정대체기준!$E$20:$E$49,MATCH($N2488,계정대체기준!$A$20:$A$49,0)),0)))</f>
        <v/>
      </c>
      <c r="AC2488" s="9">
        <f>IF(AND($A2488&lt;&gt;"",M2488=설정!$C$20,Z2488&gt;0),Z2488+ROW()/1000000000,"")</f>
        <v/>
      </c>
      <c r="AD2488" s="94">
        <f>IF($A2488="",0,$P2488*AG2488)</f>
        <v/>
      </c>
      <c r="AE2488" s="64">
        <f>IF($A2488="","",IFERROR(INDEX(계정매핑!$E$5:$E$504,MATCH($F2488&amp;"",계정매핑!$A$5:$A$504,0))&amp;"","공통비"))</f>
        <v/>
      </c>
      <c r="AF2488" s="64">
        <f>IF($A2488="","",IF(AE2488="직접",IFERROR(INDEX(계정매핑!$F$5:$F$504,MATCH($F2488&amp;"",계정매핑!$A$5:$A$504,0))&amp;"","비귀속"),""))</f>
        <v/>
      </c>
      <c r="AG2488" s="96">
        <f>IF($A2488="",0,IF(AND(AE2488&lt;&gt;"직접",IFERROR(INDEX(계정매핑!$G$5:$G$504,MATCH($F2488&amp;"",계정매핑!$A$5:$A$504,0))&amp;"","")="유지비",COUNTIF(계정대체기준!$A$6:$A$15,$N2488)&gt;0),IFERROR(INDEX(계정대체기준!$E$6:$E$15,MATCH(VALUE($A2488&amp;""),계정대체기준!$D$6:$D$15,0)),0),0))</f>
        <v/>
      </c>
      <c r="AH2488" s="64">
        <f>IF($A2488="","",IF(AD2488=0,"",IF(OR(COUNTIF(계정대체기준!$A$77:$A$86,$N2488)&gt;0,ISNUMBER(MATCH($X2488,계정대체기준!$D$77:$D$86,0)),ISNUMBER(MATCH($F2488,계정대체기준!$D$77:$D$86,0))),"Y","N")))</f>
        <v/>
      </c>
    </row>
    <row r="2489">
      <c r="A2489" s="92" t="n">
        <v>2025</v>
      </c>
      <c r="B2489" s="92" t="n">
        <v>11</v>
      </c>
      <c r="C2489" s="92" t="inlineStr">
        <is>
          <t>5100002485</t>
        </is>
      </c>
      <c r="D2489" s="95" t="n">
        <v>45988</v>
      </c>
      <c r="E2489" s="92" t="inlineStr">
        <is>
          <t>KR</t>
        </is>
      </c>
      <c r="F2489" s="92" t="n">
        <v>62501000</v>
      </c>
      <c r="G2489" s="92" t="n">
        <v>1201</v>
      </c>
      <c r="H2489" s="93" t="n">
        <v>166000</v>
      </c>
      <c r="I2489" s="92" t="inlineStr">
        <is>
          <t>11월 회의 다과 - (법인카드)</t>
        </is>
      </c>
      <c r="J2489" s="92" t="inlineStr">
        <is>
          <t>V10010</t>
        </is>
      </c>
      <c r="K2489" s="92" t="inlineStr">
        <is>
          <t>(법인카드)</t>
        </is>
      </c>
      <c r="M2489" s="9">
        <f>IF($A2489="","",VALUE($A2489&amp;"")*12+VALUE($B2489&amp;""))</f>
        <v/>
      </c>
      <c r="N2489" s="64">
        <f>IF($A2489="","",IFERROR(INDEX(부서매핑!$C$5:$C$504,MATCH($G2489&amp;"",부서매핑!$A$5:$A$504,0)),"미매핑"))</f>
        <v/>
      </c>
      <c r="O2489" s="9">
        <f>IF($A2489="","",N2489&amp;"|"&amp;$F2489)</f>
        <v/>
      </c>
      <c r="P2489" s="94">
        <f>IF($A2489="",0,$H2489*설정!$C$23)</f>
        <v/>
      </c>
      <c r="Q2489" s="64">
        <f>IF($A2489="","",IF(O2489&lt;&gt;원인분석!$C$9,"",IF(AND(M2489&gt;=원인분석!$C$10,M2489&lt;=원인분석!$C$11),"당기",IF(AND(M2489&gt;=원인분석!$C$12,M2489&lt;=원인분석!$C$13),"비교",""))))</f>
        <v/>
      </c>
      <c r="R2489" s="9">
        <f>IF(Q2489="","",$K2489&amp;"")</f>
        <v/>
      </c>
      <c r="S2489" s="9">
        <f>IF(Q2489="","",IF(MATCH(R2489,$R$5:$R$100000,0)=ROW()-4,ROW(),""))</f>
        <v/>
      </c>
      <c r="T2489" s="9">
        <f>IF(Q2489="당기",ABS(P2489)+ROW()/1000000000,"")</f>
        <v/>
      </c>
      <c r="U2489" s="9">
        <f>IF(Q2489="비교",ABS(P2489)+ROW()/1000000000,"")</f>
        <v/>
      </c>
      <c r="V2489" s="64">
        <f>IF($A2489="","",IF(COUNTIF(변동분석!$E$7:$E$506,O2489)&gt;0,"Y","N"))</f>
        <v/>
      </c>
      <c r="W2489" s="64">
        <f>IF($A2489="","",IFERROR(INDEX(계정매핑!$D$5:$D$504,MATCH($F2489&amp;"",계정매핑!$A$5:$A$504,0)),"미매핑"))</f>
        <v/>
      </c>
      <c r="X2489" s="9">
        <f>IF($A2489="","",$F2489&amp;"")</f>
        <v/>
      </c>
      <c r="Y2489" s="94">
        <f>IF($A2489="",0,IF(AE2489="직접",IF(AF2489="비귀속",$P2489,0),$P2489*(1-AG2489)*IFERROR(INDEX(계정대체기준!$F$20:$F$49,MATCH($N2489,계정대체기준!$A$20:$A$49,0)),1)))</f>
        <v/>
      </c>
      <c r="Z2489" s="94">
        <f>IF($A2489="",0,IF(AE2489="직접",IF(AF2489="신계약비",$P2489,0),$P2489*(1-AG2489)*IFERROR(INDEX(계정대체기준!$C$20:$C$49,MATCH($N2489,계정대체기준!$A$20:$A$49,0)),0)))</f>
        <v/>
      </c>
      <c r="AA2489" s="94">
        <f>IF($A2489="",0,IF(AE2489="직접",IF(OR(AF2489="유지비",AF2489="손해조사비"),$P2489,0),$P2489*(1-AG2489)*IFERROR(INDEX(계정대체기준!$D$20:$D$49,MATCH($N2489,계정대체기준!$A$20:$A$49,0)),0)))</f>
        <v/>
      </c>
      <c r="AB2489" s="94">
        <f>IF($A2489="",0,IF(AE2489="직접",IF(AF2489="수금비",$P2489,0),$P2489*(1-AG2489)*IFERROR(INDEX(계정대체기준!$E$20:$E$49,MATCH($N2489,계정대체기준!$A$20:$A$49,0)),0)))</f>
        <v/>
      </c>
      <c r="AC2489" s="9">
        <f>IF(AND($A2489&lt;&gt;"",M2489=설정!$C$20,Z2489&gt;0),Z2489+ROW()/1000000000,"")</f>
        <v/>
      </c>
      <c r="AD2489" s="94">
        <f>IF($A2489="",0,$P2489*AG2489)</f>
        <v/>
      </c>
      <c r="AE2489" s="64">
        <f>IF($A2489="","",IFERROR(INDEX(계정매핑!$E$5:$E$504,MATCH($F2489&amp;"",계정매핑!$A$5:$A$504,0))&amp;"","공통비"))</f>
        <v/>
      </c>
      <c r="AF2489" s="64">
        <f>IF($A2489="","",IF(AE2489="직접",IFERROR(INDEX(계정매핑!$F$5:$F$504,MATCH($F2489&amp;"",계정매핑!$A$5:$A$504,0))&amp;"","비귀속"),""))</f>
        <v/>
      </c>
      <c r="AG2489" s="96">
        <f>IF($A2489="",0,IF(AND(AE2489&lt;&gt;"직접",IFERROR(INDEX(계정매핑!$G$5:$G$504,MATCH($F2489&amp;"",계정매핑!$A$5:$A$504,0))&amp;"","")="유지비",COUNTIF(계정대체기준!$A$6:$A$15,$N2489)&gt;0),IFERROR(INDEX(계정대체기준!$E$6:$E$15,MATCH(VALUE($A2489&amp;""),계정대체기준!$D$6:$D$15,0)),0),0))</f>
        <v/>
      </c>
      <c r="AH2489" s="64">
        <f>IF($A2489="","",IF(AD2489=0,"",IF(OR(COUNTIF(계정대체기준!$A$77:$A$86,$N2489)&gt;0,ISNUMBER(MATCH($X2489,계정대체기준!$D$77:$D$86,0)),ISNUMBER(MATCH($F2489,계정대체기준!$D$77:$D$86,0))),"Y","N")))</f>
        <v/>
      </c>
    </row>
    <row r="2490">
      <c r="A2490" s="92" t="n">
        <v>2025</v>
      </c>
      <c r="B2490" s="92" t="n">
        <v>11</v>
      </c>
      <c r="C2490" s="92" t="inlineStr">
        <is>
          <t>5100002486</t>
        </is>
      </c>
      <c r="D2490" s="95" t="n">
        <v>45988</v>
      </c>
      <c r="E2490" s="92" t="inlineStr">
        <is>
          <t>KR</t>
        </is>
      </c>
      <c r="F2490" s="92" t="n">
        <v>62501000</v>
      </c>
      <c r="G2490" s="92" t="n">
        <v>1401</v>
      </c>
      <c r="H2490" s="93" t="n">
        <v>117000</v>
      </c>
      <c r="I2490" s="92" t="inlineStr">
        <is>
          <t>11월 회의 다과 - (법인카드)</t>
        </is>
      </c>
      <c r="J2490" s="92" t="inlineStr">
        <is>
          <t>V10010</t>
        </is>
      </c>
      <c r="K2490" s="92" t="inlineStr">
        <is>
          <t>(법인카드)</t>
        </is>
      </c>
      <c r="M2490" s="9">
        <f>IF($A2490="","",VALUE($A2490&amp;"")*12+VALUE($B2490&amp;""))</f>
        <v/>
      </c>
      <c r="N2490" s="64">
        <f>IF($A2490="","",IFERROR(INDEX(부서매핑!$C$5:$C$504,MATCH($G2490&amp;"",부서매핑!$A$5:$A$504,0)),"미매핑"))</f>
        <v/>
      </c>
      <c r="O2490" s="9">
        <f>IF($A2490="","",N2490&amp;"|"&amp;$F2490)</f>
        <v/>
      </c>
      <c r="P2490" s="94">
        <f>IF($A2490="",0,$H2490*설정!$C$23)</f>
        <v/>
      </c>
      <c r="Q2490" s="64">
        <f>IF($A2490="","",IF(O2490&lt;&gt;원인분석!$C$9,"",IF(AND(M2490&gt;=원인분석!$C$10,M2490&lt;=원인분석!$C$11),"당기",IF(AND(M2490&gt;=원인분석!$C$12,M2490&lt;=원인분석!$C$13),"비교",""))))</f>
        <v/>
      </c>
      <c r="R2490" s="9">
        <f>IF(Q2490="","",$K2490&amp;"")</f>
        <v/>
      </c>
      <c r="S2490" s="9">
        <f>IF(Q2490="","",IF(MATCH(R2490,$R$5:$R$100000,0)=ROW()-4,ROW(),""))</f>
        <v/>
      </c>
      <c r="T2490" s="9">
        <f>IF(Q2490="당기",ABS(P2490)+ROW()/1000000000,"")</f>
        <v/>
      </c>
      <c r="U2490" s="9">
        <f>IF(Q2490="비교",ABS(P2490)+ROW()/1000000000,"")</f>
        <v/>
      </c>
      <c r="V2490" s="64">
        <f>IF($A2490="","",IF(COUNTIF(변동분석!$E$7:$E$506,O2490)&gt;0,"Y","N"))</f>
        <v/>
      </c>
      <c r="W2490" s="64">
        <f>IF($A2490="","",IFERROR(INDEX(계정매핑!$D$5:$D$504,MATCH($F2490&amp;"",계정매핑!$A$5:$A$504,0)),"미매핑"))</f>
        <v/>
      </c>
      <c r="X2490" s="9">
        <f>IF($A2490="","",$F2490&amp;"")</f>
        <v/>
      </c>
      <c r="Y2490" s="94">
        <f>IF($A2490="",0,IF(AE2490="직접",IF(AF2490="비귀속",$P2490,0),$P2490*(1-AG2490)*IFERROR(INDEX(계정대체기준!$F$20:$F$49,MATCH($N2490,계정대체기준!$A$20:$A$49,0)),1)))</f>
        <v/>
      </c>
      <c r="Z2490" s="94">
        <f>IF($A2490="",0,IF(AE2490="직접",IF(AF2490="신계약비",$P2490,0),$P2490*(1-AG2490)*IFERROR(INDEX(계정대체기준!$C$20:$C$49,MATCH($N2490,계정대체기준!$A$20:$A$49,0)),0)))</f>
        <v/>
      </c>
      <c r="AA2490" s="94">
        <f>IF($A2490="",0,IF(AE2490="직접",IF(OR(AF2490="유지비",AF2490="손해조사비"),$P2490,0),$P2490*(1-AG2490)*IFERROR(INDEX(계정대체기준!$D$20:$D$49,MATCH($N2490,계정대체기준!$A$20:$A$49,0)),0)))</f>
        <v/>
      </c>
      <c r="AB2490" s="94">
        <f>IF($A2490="",0,IF(AE2490="직접",IF(AF2490="수금비",$P2490,0),$P2490*(1-AG2490)*IFERROR(INDEX(계정대체기준!$E$20:$E$49,MATCH($N2490,계정대체기준!$A$20:$A$49,0)),0)))</f>
        <v/>
      </c>
      <c r="AC2490" s="9">
        <f>IF(AND($A2490&lt;&gt;"",M2490=설정!$C$20,Z2490&gt;0),Z2490+ROW()/1000000000,"")</f>
        <v/>
      </c>
      <c r="AD2490" s="94">
        <f>IF($A2490="",0,$P2490*AG2490)</f>
        <v/>
      </c>
      <c r="AE2490" s="64">
        <f>IF($A2490="","",IFERROR(INDEX(계정매핑!$E$5:$E$504,MATCH($F2490&amp;"",계정매핑!$A$5:$A$504,0))&amp;"","공통비"))</f>
        <v/>
      </c>
      <c r="AF2490" s="64">
        <f>IF($A2490="","",IF(AE2490="직접",IFERROR(INDEX(계정매핑!$F$5:$F$504,MATCH($F2490&amp;"",계정매핑!$A$5:$A$504,0))&amp;"","비귀속"),""))</f>
        <v/>
      </c>
      <c r="AG2490" s="96">
        <f>IF($A2490="",0,IF(AND(AE2490&lt;&gt;"직접",IFERROR(INDEX(계정매핑!$G$5:$G$504,MATCH($F2490&amp;"",계정매핑!$A$5:$A$504,0))&amp;"","")="유지비",COUNTIF(계정대체기준!$A$6:$A$15,$N2490)&gt;0),IFERROR(INDEX(계정대체기준!$E$6:$E$15,MATCH(VALUE($A2490&amp;""),계정대체기준!$D$6:$D$15,0)),0),0))</f>
        <v/>
      </c>
      <c r="AH2490" s="64">
        <f>IF($A2490="","",IF(AD2490=0,"",IF(OR(COUNTIF(계정대체기준!$A$77:$A$86,$N2490)&gt;0,ISNUMBER(MATCH($X2490,계정대체기준!$D$77:$D$86,0)),ISNUMBER(MATCH($F2490,계정대체기준!$D$77:$D$86,0))),"Y","N")))</f>
        <v/>
      </c>
    </row>
    <row r="2491">
      <c r="A2491" s="92" t="n">
        <v>2025</v>
      </c>
      <c r="B2491" s="92" t="n">
        <v>11</v>
      </c>
      <c r="C2491" s="92" t="inlineStr">
        <is>
          <t>5100002487</t>
        </is>
      </c>
      <c r="D2491" s="95" t="n">
        <v>45988</v>
      </c>
      <c r="E2491" s="92" t="inlineStr">
        <is>
          <t>KR</t>
        </is>
      </c>
      <c r="F2491" s="92" t="n">
        <v>62701000</v>
      </c>
      <c r="G2491" s="92" t="n">
        <v>1502</v>
      </c>
      <c r="H2491" s="93" t="n">
        <v>77578000</v>
      </c>
      <c r="I2491" s="92" t="inlineStr">
        <is>
          <t>11월 광고 집행 - F애드</t>
        </is>
      </c>
      <c r="J2491" s="92" t="inlineStr">
        <is>
          <t>V10023</t>
        </is>
      </c>
      <c r="K2491" s="92" t="inlineStr">
        <is>
          <t>F애드</t>
        </is>
      </c>
      <c r="M2491" s="9">
        <f>IF($A2491="","",VALUE($A2491&amp;"")*12+VALUE($B2491&amp;""))</f>
        <v/>
      </c>
      <c r="N2491" s="64">
        <f>IF($A2491="","",IFERROR(INDEX(부서매핑!$C$5:$C$504,MATCH($G2491&amp;"",부서매핑!$A$5:$A$504,0)),"미매핑"))</f>
        <v/>
      </c>
      <c r="O2491" s="9">
        <f>IF($A2491="","",N2491&amp;"|"&amp;$F2491)</f>
        <v/>
      </c>
      <c r="P2491" s="94">
        <f>IF($A2491="",0,$H2491*설정!$C$23)</f>
        <v/>
      </c>
      <c r="Q2491" s="64">
        <f>IF($A2491="","",IF(O2491&lt;&gt;원인분석!$C$9,"",IF(AND(M2491&gt;=원인분석!$C$10,M2491&lt;=원인분석!$C$11),"당기",IF(AND(M2491&gt;=원인분석!$C$12,M2491&lt;=원인분석!$C$13),"비교",""))))</f>
        <v/>
      </c>
      <c r="R2491" s="9">
        <f>IF(Q2491="","",$K2491&amp;"")</f>
        <v/>
      </c>
      <c r="S2491" s="9">
        <f>IF(Q2491="","",IF(MATCH(R2491,$R$5:$R$100000,0)=ROW()-4,ROW(),""))</f>
        <v/>
      </c>
      <c r="T2491" s="9">
        <f>IF(Q2491="당기",ABS(P2491)+ROW()/1000000000,"")</f>
        <v/>
      </c>
      <c r="U2491" s="9">
        <f>IF(Q2491="비교",ABS(P2491)+ROW()/1000000000,"")</f>
        <v/>
      </c>
      <c r="V2491" s="64">
        <f>IF($A2491="","",IF(COUNTIF(변동분석!$E$7:$E$506,O2491)&gt;0,"Y","N"))</f>
        <v/>
      </c>
      <c r="W2491" s="64">
        <f>IF($A2491="","",IFERROR(INDEX(계정매핑!$D$5:$D$504,MATCH($F2491&amp;"",계정매핑!$A$5:$A$504,0)),"미매핑"))</f>
        <v/>
      </c>
      <c r="X2491" s="9">
        <f>IF($A2491="","",$F2491&amp;"")</f>
        <v/>
      </c>
      <c r="Y2491" s="94">
        <f>IF($A2491="",0,IF(AE2491="직접",IF(AF2491="비귀속",$P2491,0),$P2491*(1-AG2491)*IFERROR(INDEX(계정대체기준!$F$20:$F$49,MATCH($N2491,계정대체기준!$A$20:$A$49,0)),1)))</f>
        <v/>
      </c>
      <c r="Z2491" s="94">
        <f>IF($A2491="",0,IF(AE2491="직접",IF(AF2491="신계약비",$P2491,0),$P2491*(1-AG2491)*IFERROR(INDEX(계정대체기준!$C$20:$C$49,MATCH($N2491,계정대체기준!$A$20:$A$49,0)),0)))</f>
        <v/>
      </c>
      <c r="AA2491" s="94">
        <f>IF($A2491="",0,IF(AE2491="직접",IF(OR(AF2491="유지비",AF2491="손해조사비"),$P2491,0),$P2491*(1-AG2491)*IFERROR(INDEX(계정대체기준!$D$20:$D$49,MATCH($N2491,계정대체기준!$A$20:$A$49,0)),0)))</f>
        <v/>
      </c>
      <c r="AB2491" s="94">
        <f>IF($A2491="",0,IF(AE2491="직접",IF(AF2491="수금비",$P2491,0),$P2491*(1-AG2491)*IFERROR(INDEX(계정대체기준!$E$20:$E$49,MATCH($N2491,계정대체기준!$A$20:$A$49,0)),0)))</f>
        <v/>
      </c>
      <c r="AC2491" s="9">
        <f>IF(AND($A2491&lt;&gt;"",M2491=설정!$C$20,Z2491&gt;0),Z2491+ROW()/1000000000,"")</f>
        <v/>
      </c>
      <c r="AD2491" s="94">
        <f>IF($A2491="",0,$P2491*AG2491)</f>
        <v/>
      </c>
      <c r="AE2491" s="64">
        <f>IF($A2491="","",IFERROR(INDEX(계정매핑!$E$5:$E$504,MATCH($F2491&amp;"",계정매핑!$A$5:$A$504,0))&amp;"","공통비"))</f>
        <v/>
      </c>
      <c r="AF2491" s="64">
        <f>IF($A2491="","",IF(AE2491="직접",IFERROR(INDEX(계정매핑!$F$5:$F$504,MATCH($F2491&amp;"",계정매핑!$A$5:$A$504,0))&amp;"","비귀속"),""))</f>
        <v/>
      </c>
      <c r="AG2491" s="96">
        <f>IF($A2491="",0,IF(AND(AE2491&lt;&gt;"직접",IFERROR(INDEX(계정매핑!$G$5:$G$504,MATCH($F2491&amp;"",계정매핑!$A$5:$A$504,0))&amp;"","")="유지비",COUNTIF(계정대체기준!$A$6:$A$15,$N2491)&gt;0),IFERROR(INDEX(계정대체기준!$E$6:$E$15,MATCH(VALUE($A2491&amp;""),계정대체기준!$D$6:$D$15,0)),0),0))</f>
        <v/>
      </c>
      <c r="AH2491" s="64">
        <f>IF($A2491="","",IF(AD2491=0,"",IF(OR(COUNTIF(계정대체기준!$A$77:$A$86,$N2491)&gt;0,ISNUMBER(MATCH($X2491,계정대체기준!$D$77:$D$86,0)),ISNUMBER(MATCH($F2491,계정대체기준!$D$77:$D$86,0))),"Y","N")))</f>
        <v/>
      </c>
    </row>
    <row r="2492">
      <c r="A2492" s="92" t="n">
        <v>2025</v>
      </c>
      <c r="B2492" s="92" t="n">
        <v>11</v>
      </c>
      <c r="C2492" s="92" t="inlineStr">
        <is>
          <t>5100002488</t>
        </is>
      </c>
      <c r="D2492" s="95" t="n">
        <v>45988</v>
      </c>
      <c r="E2492" s="92" t="inlineStr">
        <is>
          <t>KR</t>
        </is>
      </c>
      <c r="F2492" s="92" t="n">
        <v>62901000</v>
      </c>
      <c r="G2492" s="92" t="n">
        <v>1401</v>
      </c>
      <c r="H2492" s="93" t="n">
        <v>4358000</v>
      </c>
      <c r="I2492" s="92" t="inlineStr">
        <is>
          <t>11월 자문 수수료 - K회계법인</t>
        </is>
      </c>
      <c r="J2492" s="92" t="inlineStr">
        <is>
          <t>V10011</t>
        </is>
      </c>
      <c r="K2492" s="92" t="inlineStr">
        <is>
          <t>K회계법인</t>
        </is>
      </c>
      <c r="M2492" s="9">
        <f>IF($A2492="","",VALUE($A2492&amp;"")*12+VALUE($B2492&amp;""))</f>
        <v/>
      </c>
      <c r="N2492" s="64">
        <f>IF($A2492="","",IFERROR(INDEX(부서매핑!$C$5:$C$504,MATCH($G2492&amp;"",부서매핑!$A$5:$A$504,0)),"미매핑"))</f>
        <v/>
      </c>
      <c r="O2492" s="9">
        <f>IF($A2492="","",N2492&amp;"|"&amp;$F2492)</f>
        <v/>
      </c>
      <c r="P2492" s="94">
        <f>IF($A2492="",0,$H2492*설정!$C$23)</f>
        <v/>
      </c>
      <c r="Q2492" s="64">
        <f>IF($A2492="","",IF(O2492&lt;&gt;원인분석!$C$9,"",IF(AND(M2492&gt;=원인분석!$C$10,M2492&lt;=원인분석!$C$11),"당기",IF(AND(M2492&gt;=원인분석!$C$12,M2492&lt;=원인분석!$C$13),"비교",""))))</f>
        <v/>
      </c>
      <c r="R2492" s="9">
        <f>IF(Q2492="","",$K2492&amp;"")</f>
        <v/>
      </c>
      <c r="S2492" s="9">
        <f>IF(Q2492="","",IF(MATCH(R2492,$R$5:$R$100000,0)=ROW()-4,ROW(),""))</f>
        <v/>
      </c>
      <c r="T2492" s="9">
        <f>IF(Q2492="당기",ABS(P2492)+ROW()/1000000000,"")</f>
        <v/>
      </c>
      <c r="U2492" s="9">
        <f>IF(Q2492="비교",ABS(P2492)+ROW()/1000000000,"")</f>
        <v/>
      </c>
      <c r="V2492" s="64">
        <f>IF($A2492="","",IF(COUNTIF(변동분석!$E$7:$E$506,O2492)&gt;0,"Y","N"))</f>
        <v/>
      </c>
      <c r="W2492" s="64">
        <f>IF($A2492="","",IFERROR(INDEX(계정매핑!$D$5:$D$504,MATCH($F2492&amp;"",계정매핑!$A$5:$A$504,0)),"미매핑"))</f>
        <v/>
      </c>
      <c r="X2492" s="9">
        <f>IF($A2492="","",$F2492&amp;"")</f>
        <v/>
      </c>
      <c r="Y2492" s="94">
        <f>IF($A2492="",0,IF(AE2492="직접",IF(AF2492="비귀속",$P2492,0),$P2492*(1-AG2492)*IFERROR(INDEX(계정대체기준!$F$20:$F$49,MATCH($N2492,계정대체기준!$A$20:$A$49,0)),1)))</f>
        <v/>
      </c>
      <c r="Z2492" s="94">
        <f>IF($A2492="",0,IF(AE2492="직접",IF(AF2492="신계약비",$P2492,0),$P2492*(1-AG2492)*IFERROR(INDEX(계정대체기준!$C$20:$C$49,MATCH($N2492,계정대체기준!$A$20:$A$49,0)),0)))</f>
        <v/>
      </c>
      <c r="AA2492" s="94">
        <f>IF($A2492="",0,IF(AE2492="직접",IF(OR(AF2492="유지비",AF2492="손해조사비"),$P2492,0),$P2492*(1-AG2492)*IFERROR(INDEX(계정대체기준!$D$20:$D$49,MATCH($N2492,계정대체기준!$A$20:$A$49,0)),0)))</f>
        <v/>
      </c>
      <c r="AB2492" s="94">
        <f>IF($A2492="",0,IF(AE2492="직접",IF(AF2492="수금비",$P2492,0),$P2492*(1-AG2492)*IFERROR(INDEX(계정대체기준!$E$20:$E$49,MATCH($N2492,계정대체기준!$A$20:$A$49,0)),0)))</f>
        <v/>
      </c>
      <c r="AC2492" s="9">
        <f>IF(AND($A2492&lt;&gt;"",M2492=설정!$C$20,Z2492&gt;0),Z2492+ROW()/1000000000,"")</f>
        <v/>
      </c>
      <c r="AD2492" s="94">
        <f>IF($A2492="",0,$P2492*AG2492)</f>
        <v/>
      </c>
      <c r="AE2492" s="64">
        <f>IF($A2492="","",IFERROR(INDEX(계정매핑!$E$5:$E$504,MATCH($F2492&amp;"",계정매핑!$A$5:$A$504,0))&amp;"","공통비"))</f>
        <v/>
      </c>
      <c r="AF2492" s="64">
        <f>IF($A2492="","",IF(AE2492="직접",IFERROR(INDEX(계정매핑!$F$5:$F$504,MATCH($F2492&amp;"",계정매핑!$A$5:$A$504,0))&amp;"","비귀속"),""))</f>
        <v/>
      </c>
      <c r="AG2492" s="96">
        <f>IF($A2492="",0,IF(AND(AE2492&lt;&gt;"직접",IFERROR(INDEX(계정매핑!$G$5:$G$504,MATCH($F2492&amp;"",계정매핑!$A$5:$A$504,0))&amp;"","")="유지비",COUNTIF(계정대체기준!$A$6:$A$15,$N2492)&gt;0),IFERROR(INDEX(계정대체기준!$E$6:$E$15,MATCH(VALUE($A2492&amp;""),계정대체기준!$D$6:$D$15,0)),0),0))</f>
        <v/>
      </c>
      <c r="AH2492" s="64">
        <f>IF($A2492="","",IF(AD2492=0,"",IF(OR(COUNTIF(계정대체기준!$A$77:$A$86,$N2492)&gt;0,ISNUMBER(MATCH($X2492,계정대체기준!$D$77:$D$86,0)),ISNUMBER(MATCH($F2492,계정대체기준!$D$77:$D$86,0))),"Y","N")))</f>
        <v/>
      </c>
    </row>
    <row r="2493">
      <c r="A2493" s="92" t="n">
        <v>2025</v>
      </c>
      <c r="B2493" s="92" t="n">
        <v>11</v>
      </c>
      <c r="C2493" s="92" t="inlineStr">
        <is>
          <t>5100002489</t>
        </is>
      </c>
      <c r="D2493" s="95" t="n">
        <v>45988</v>
      </c>
      <c r="E2493" s="92" t="inlineStr">
        <is>
          <t>KR</t>
        </is>
      </c>
      <c r="F2493" s="92" t="n">
        <v>62902000</v>
      </c>
      <c r="G2493" s="92" t="n">
        <v>1801</v>
      </c>
      <c r="H2493" s="93" t="n">
        <v>1780000</v>
      </c>
      <c r="I2493" s="92" t="inlineStr">
        <is>
          <t>11월 콜 위탁 수수료(건별)</t>
        </is>
      </c>
      <c r="J2493" s="92" t="inlineStr">
        <is>
          <t>V10016</t>
        </is>
      </c>
      <c r="K2493" s="92" t="inlineStr">
        <is>
          <t>J콜센터</t>
        </is>
      </c>
      <c r="M2493" s="9">
        <f>IF($A2493="","",VALUE($A2493&amp;"")*12+VALUE($B2493&amp;""))</f>
        <v/>
      </c>
      <c r="N2493" s="64">
        <f>IF($A2493="","",IFERROR(INDEX(부서매핑!$C$5:$C$504,MATCH($G2493&amp;"",부서매핑!$A$5:$A$504,0)),"미매핑"))</f>
        <v/>
      </c>
      <c r="O2493" s="9">
        <f>IF($A2493="","",N2493&amp;"|"&amp;$F2493)</f>
        <v/>
      </c>
      <c r="P2493" s="94">
        <f>IF($A2493="",0,$H2493*설정!$C$23)</f>
        <v/>
      </c>
      <c r="Q2493" s="64">
        <f>IF($A2493="","",IF(O2493&lt;&gt;원인분석!$C$9,"",IF(AND(M2493&gt;=원인분석!$C$10,M2493&lt;=원인분석!$C$11),"당기",IF(AND(M2493&gt;=원인분석!$C$12,M2493&lt;=원인분석!$C$13),"비교",""))))</f>
        <v/>
      </c>
      <c r="R2493" s="9">
        <f>IF(Q2493="","",$K2493&amp;"")</f>
        <v/>
      </c>
      <c r="S2493" s="9">
        <f>IF(Q2493="","",IF(MATCH(R2493,$R$5:$R$100000,0)=ROW()-4,ROW(),""))</f>
        <v/>
      </c>
      <c r="T2493" s="9">
        <f>IF(Q2493="당기",ABS(P2493)+ROW()/1000000000,"")</f>
        <v/>
      </c>
      <c r="U2493" s="9">
        <f>IF(Q2493="비교",ABS(P2493)+ROW()/1000000000,"")</f>
        <v/>
      </c>
      <c r="V2493" s="64">
        <f>IF($A2493="","",IF(COUNTIF(변동분석!$E$7:$E$506,O2493)&gt;0,"Y","N"))</f>
        <v/>
      </c>
      <c r="W2493" s="64">
        <f>IF($A2493="","",IFERROR(INDEX(계정매핑!$D$5:$D$504,MATCH($F2493&amp;"",계정매핑!$A$5:$A$504,0)),"미매핑"))</f>
        <v/>
      </c>
      <c r="X2493" s="9">
        <f>IF($A2493="","",$F2493&amp;"")</f>
        <v/>
      </c>
      <c r="Y2493" s="94">
        <f>IF($A2493="",0,IF(AE2493="직접",IF(AF2493="비귀속",$P2493,0),$P2493*(1-AG2493)*IFERROR(INDEX(계정대체기준!$F$20:$F$49,MATCH($N2493,계정대체기준!$A$20:$A$49,0)),1)))</f>
        <v/>
      </c>
      <c r="Z2493" s="94">
        <f>IF($A2493="",0,IF(AE2493="직접",IF(AF2493="신계약비",$P2493,0),$P2493*(1-AG2493)*IFERROR(INDEX(계정대체기준!$C$20:$C$49,MATCH($N2493,계정대체기준!$A$20:$A$49,0)),0)))</f>
        <v/>
      </c>
      <c r="AA2493" s="94">
        <f>IF($A2493="",0,IF(AE2493="직접",IF(OR(AF2493="유지비",AF2493="손해조사비"),$P2493,0),$P2493*(1-AG2493)*IFERROR(INDEX(계정대체기준!$D$20:$D$49,MATCH($N2493,계정대체기준!$A$20:$A$49,0)),0)))</f>
        <v/>
      </c>
      <c r="AB2493" s="94">
        <f>IF($A2493="",0,IF(AE2493="직접",IF(AF2493="수금비",$P2493,0),$P2493*(1-AG2493)*IFERROR(INDEX(계정대체기준!$E$20:$E$49,MATCH($N2493,계정대체기준!$A$20:$A$49,0)),0)))</f>
        <v/>
      </c>
      <c r="AC2493" s="9">
        <f>IF(AND($A2493&lt;&gt;"",M2493=설정!$C$20,Z2493&gt;0),Z2493+ROW()/1000000000,"")</f>
        <v/>
      </c>
      <c r="AD2493" s="94">
        <f>IF($A2493="",0,$P2493*AG2493)</f>
        <v/>
      </c>
      <c r="AE2493" s="64">
        <f>IF($A2493="","",IFERROR(INDEX(계정매핑!$E$5:$E$504,MATCH($F2493&amp;"",계정매핑!$A$5:$A$504,0))&amp;"","공통비"))</f>
        <v/>
      </c>
      <c r="AF2493" s="64">
        <f>IF($A2493="","",IF(AE2493="직접",IFERROR(INDEX(계정매핑!$F$5:$F$504,MATCH($F2493&amp;"",계정매핑!$A$5:$A$504,0))&amp;"","비귀속"),""))</f>
        <v/>
      </c>
      <c r="AG2493" s="96">
        <f>IF($A2493="",0,IF(AND(AE2493&lt;&gt;"직접",IFERROR(INDEX(계정매핑!$G$5:$G$504,MATCH($F2493&amp;"",계정매핑!$A$5:$A$504,0))&amp;"","")="유지비",COUNTIF(계정대체기준!$A$6:$A$15,$N2493)&gt;0),IFERROR(INDEX(계정대체기준!$E$6:$E$15,MATCH(VALUE($A2493&amp;""),계정대체기준!$D$6:$D$15,0)),0),0))</f>
        <v/>
      </c>
      <c r="AH2493" s="64">
        <f>IF($A2493="","",IF(AD2493=0,"",IF(OR(COUNTIF(계정대체기준!$A$77:$A$86,$N2493)&gt;0,ISNUMBER(MATCH($X2493,계정대체기준!$D$77:$D$86,0)),ISNUMBER(MATCH($F2493,계정대체기준!$D$77:$D$86,0))),"Y","N")))</f>
        <v/>
      </c>
    </row>
    <row r="2494">
      <c r="A2494" s="92" t="n">
        <v>2025</v>
      </c>
      <c r="B2494" s="92" t="n">
        <v>12</v>
      </c>
      <c r="C2494" s="92" t="inlineStr">
        <is>
          <t>5100002490</t>
        </is>
      </c>
      <c r="D2494" s="95" t="n">
        <v>45993</v>
      </c>
      <c r="E2494" s="92" t="inlineStr">
        <is>
          <t>KR</t>
        </is>
      </c>
      <c r="F2494" s="92" t="n">
        <v>62101000</v>
      </c>
      <c r="G2494" s="92" t="n">
        <v>1101</v>
      </c>
      <c r="H2494" s="93" t="n">
        <v>547000</v>
      </c>
      <c r="I2494" s="92" t="inlineStr">
        <is>
          <t>12월 국내출장 - M항공</t>
        </is>
      </c>
      <c r="J2494" s="92" t="inlineStr">
        <is>
          <t>V10001</t>
        </is>
      </c>
      <c r="K2494" s="92" t="inlineStr">
        <is>
          <t>M항공</t>
        </is>
      </c>
      <c r="M2494" s="9">
        <f>IF($A2494="","",VALUE($A2494&amp;"")*12+VALUE($B2494&amp;""))</f>
        <v/>
      </c>
      <c r="N2494" s="64">
        <f>IF($A2494="","",IFERROR(INDEX(부서매핑!$C$5:$C$504,MATCH($G2494&amp;"",부서매핑!$A$5:$A$504,0)),"미매핑"))</f>
        <v/>
      </c>
      <c r="O2494" s="9">
        <f>IF($A2494="","",N2494&amp;"|"&amp;$F2494)</f>
        <v/>
      </c>
      <c r="P2494" s="94">
        <f>IF($A2494="",0,$H2494*설정!$C$23)</f>
        <v/>
      </c>
      <c r="Q2494" s="64">
        <f>IF($A2494="","",IF(O2494&lt;&gt;원인분석!$C$9,"",IF(AND(M2494&gt;=원인분석!$C$10,M2494&lt;=원인분석!$C$11),"당기",IF(AND(M2494&gt;=원인분석!$C$12,M2494&lt;=원인분석!$C$13),"비교",""))))</f>
        <v/>
      </c>
      <c r="R2494" s="9">
        <f>IF(Q2494="","",$K2494&amp;"")</f>
        <v/>
      </c>
      <c r="S2494" s="9">
        <f>IF(Q2494="","",IF(MATCH(R2494,$R$5:$R$100000,0)=ROW()-4,ROW(),""))</f>
        <v/>
      </c>
      <c r="T2494" s="9">
        <f>IF(Q2494="당기",ABS(P2494)+ROW()/1000000000,"")</f>
        <v/>
      </c>
      <c r="U2494" s="9">
        <f>IF(Q2494="비교",ABS(P2494)+ROW()/1000000000,"")</f>
        <v/>
      </c>
      <c r="V2494" s="64">
        <f>IF($A2494="","",IF(COUNTIF(변동분석!$E$7:$E$506,O2494)&gt;0,"Y","N"))</f>
        <v/>
      </c>
      <c r="W2494" s="64">
        <f>IF($A2494="","",IFERROR(INDEX(계정매핑!$D$5:$D$504,MATCH($F2494&amp;"",계정매핑!$A$5:$A$504,0)),"미매핑"))</f>
        <v/>
      </c>
      <c r="X2494" s="9">
        <f>IF($A2494="","",$F2494&amp;"")</f>
        <v/>
      </c>
      <c r="Y2494" s="94">
        <f>IF($A2494="",0,IF(AE2494="직접",IF(AF2494="비귀속",$P2494,0),$P2494*(1-AG2494)*IFERROR(INDEX(계정대체기준!$F$20:$F$49,MATCH($N2494,계정대체기준!$A$20:$A$49,0)),1)))</f>
        <v/>
      </c>
      <c r="Z2494" s="94">
        <f>IF($A2494="",0,IF(AE2494="직접",IF(AF2494="신계약비",$P2494,0),$P2494*(1-AG2494)*IFERROR(INDEX(계정대체기준!$C$20:$C$49,MATCH($N2494,계정대체기준!$A$20:$A$49,0)),0)))</f>
        <v/>
      </c>
      <c r="AA2494" s="94">
        <f>IF($A2494="",0,IF(AE2494="직접",IF(OR(AF2494="유지비",AF2494="손해조사비"),$P2494,0),$P2494*(1-AG2494)*IFERROR(INDEX(계정대체기준!$D$20:$D$49,MATCH($N2494,계정대체기준!$A$20:$A$49,0)),0)))</f>
        <v/>
      </c>
      <c r="AB2494" s="94">
        <f>IF($A2494="",0,IF(AE2494="직접",IF(AF2494="수금비",$P2494,0),$P2494*(1-AG2494)*IFERROR(INDEX(계정대체기준!$E$20:$E$49,MATCH($N2494,계정대체기준!$A$20:$A$49,0)),0)))</f>
        <v/>
      </c>
      <c r="AC2494" s="9">
        <f>IF(AND($A2494&lt;&gt;"",M2494=설정!$C$20,Z2494&gt;0),Z2494+ROW()/1000000000,"")</f>
        <v/>
      </c>
      <c r="AD2494" s="94">
        <f>IF($A2494="",0,$P2494*AG2494)</f>
        <v/>
      </c>
      <c r="AE2494" s="64">
        <f>IF($A2494="","",IFERROR(INDEX(계정매핑!$E$5:$E$504,MATCH($F2494&amp;"",계정매핑!$A$5:$A$504,0))&amp;"","공통비"))</f>
        <v/>
      </c>
      <c r="AF2494" s="64">
        <f>IF($A2494="","",IF(AE2494="직접",IFERROR(INDEX(계정매핑!$F$5:$F$504,MATCH($F2494&amp;"",계정매핑!$A$5:$A$504,0))&amp;"","비귀속"),""))</f>
        <v/>
      </c>
      <c r="AG2494" s="96">
        <f>IF($A2494="",0,IF(AND(AE2494&lt;&gt;"직접",IFERROR(INDEX(계정매핑!$G$5:$G$504,MATCH($F2494&amp;"",계정매핑!$A$5:$A$504,0))&amp;"","")="유지비",COUNTIF(계정대체기준!$A$6:$A$15,$N2494)&gt;0),IFERROR(INDEX(계정대체기준!$E$6:$E$15,MATCH(VALUE($A2494&amp;""),계정대체기준!$D$6:$D$15,0)),0),0))</f>
        <v/>
      </c>
      <c r="AH2494" s="64">
        <f>IF($A2494="","",IF(AD2494=0,"",IF(OR(COUNTIF(계정대체기준!$A$77:$A$86,$N2494)&gt;0,ISNUMBER(MATCH($X2494,계정대체기준!$D$77:$D$86,0)),ISNUMBER(MATCH($F2494,계정대체기준!$D$77:$D$86,0))),"Y","N")))</f>
        <v/>
      </c>
    </row>
    <row r="2495">
      <c r="A2495" s="92" t="n">
        <v>2025</v>
      </c>
      <c r="B2495" s="92" t="n">
        <v>12</v>
      </c>
      <c r="C2495" s="92" t="inlineStr">
        <is>
          <t>5100002491</t>
        </is>
      </c>
      <c r="D2495" s="95" t="n">
        <v>45993</v>
      </c>
      <c r="E2495" s="92" t="inlineStr">
        <is>
          <t>KR</t>
        </is>
      </c>
      <c r="F2495" s="92" t="n">
        <v>62501000</v>
      </c>
      <c r="G2495" s="92" t="n">
        <v>1101</v>
      </c>
      <c r="H2495" s="93" t="n">
        <v>215000</v>
      </c>
      <c r="I2495" s="92" t="inlineStr">
        <is>
          <t>12월 회의 다과 - T케이터링</t>
        </is>
      </c>
      <c r="J2495" s="92" t="inlineStr">
        <is>
          <t>V10005</t>
        </is>
      </c>
      <c r="K2495" s="92" t="inlineStr">
        <is>
          <t>T케이터링</t>
        </is>
      </c>
      <c r="M2495" s="9">
        <f>IF($A2495="","",VALUE($A2495&amp;"")*12+VALUE($B2495&amp;""))</f>
        <v/>
      </c>
      <c r="N2495" s="64">
        <f>IF($A2495="","",IFERROR(INDEX(부서매핑!$C$5:$C$504,MATCH($G2495&amp;"",부서매핑!$A$5:$A$504,0)),"미매핑"))</f>
        <v/>
      </c>
      <c r="O2495" s="9">
        <f>IF($A2495="","",N2495&amp;"|"&amp;$F2495)</f>
        <v/>
      </c>
      <c r="P2495" s="94">
        <f>IF($A2495="",0,$H2495*설정!$C$23)</f>
        <v/>
      </c>
      <c r="Q2495" s="64">
        <f>IF($A2495="","",IF(O2495&lt;&gt;원인분석!$C$9,"",IF(AND(M2495&gt;=원인분석!$C$10,M2495&lt;=원인분석!$C$11),"당기",IF(AND(M2495&gt;=원인분석!$C$12,M2495&lt;=원인분석!$C$13),"비교",""))))</f>
        <v/>
      </c>
      <c r="R2495" s="9">
        <f>IF(Q2495="","",$K2495&amp;"")</f>
        <v/>
      </c>
      <c r="S2495" s="9">
        <f>IF(Q2495="","",IF(MATCH(R2495,$R$5:$R$100000,0)=ROW()-4,ROW(),""))</f>
        <v/>
      </c>
      <c r="T2495" s="9">
        <f>IF(Q2495="당기",ABS(P2495)+ROW()/1000000000,"")</f>
        <v/>
      </c>
      <c r="U2495" s="9">
        <f>IF(Q2495="비교",ABS(P2495)+ROW()/1000000000,"")</f>
        <v/>
      </c>
      <c r="V2495" s="64">
        <f>IF($A2495="","",IF(COUNTIF(변동분석!$E$7:$E$506,O2495)&gt;0,"Y","N"))</f>
        <v/>
      </c>
      <c r="W2495" s="64">
        <f>IF($A2495="","",IFERROR(INDEX(계정매핑!$D$5:$D$504,MATCH($F2495&amp;"",계정매핑!$A$5:$A$504,0)),"미매핑"))</f>
        <v/>
      </c>
      <c r="X2495" s="9">
        <f>IF($A2495="","",$F2495&amp;"")</f>
        <v/>
      </c>
      <c r="Y2495" s="94">
        <f>IF($A2495="",0,IF(AE2495="직접",IF(AF2495="비귀속",$P2495,0),$P2495*(1-AG2495)*IFERROR(INDEX(계정대체기준!$F$20:$F$49,MATCH($N2495,계정대체기준!$A$20:$A$49,0)),1)))</f>
        <v/>
      </c>
      <c r="Z2495" s="94">
        <f>IF($A2495="",0,IF(AE2495="직접",IF(AF2495="신계약비",$P2495,0),$P2495*(1-AG2495)*IFERROR(INDEX(계정대체기준!$C$20:$C$49,MATCH($N2495,계정대체기준!$A$20:$A$49,0)),0)))</f>
        <v/>
      </c>
      <c r="AA2495" s="94">
        <f>IF($A2495="",0,IF(AE2495="직접",IF(OR(AF2495="유지비",AF2495="손해조사비"),$P2495,0),$P2495*(1-AG2495)*IFERROR(INDEX(계정대체기준!$D$20:$D$49,MATCH($N2495,계정대체기준!$A$20:$A$49,0)),0)))</f>
        <v/>
      </c>
      <c r="AB2495" s="94">
        <f>IF($A2495="",0,IF(AE2495="직접",IF(AF2495="수금비",$P2495,0),$P2495*(1-AG2495)*IFERROR(INDEX(계정대체기준!$E$20:$E$49,MATCH($N2495,계정대체기준!$A$20:$A$49,0)),0)))</f>
        <v/>
      </c>
      <c r="AC2495" s="9">
        <f>IF(AND($A2495&lt;&gt;"",M2495=설정!$C$20,Z2495&gt;0),Z2495+ROW()/1000000000,"")</f>
        <v/>
      </c>
      <c r="AD2495" s="94">
        <f>IF($A2495="",0,$P2495*AG2495)</f>
        <v/>
      </c>
      <c r="AE2495" s="64">
        <f>IF($A2495="","",IFERROR(INDEX(계정매핑!$E$5:$E$504,MATCH($F2495&amp;"",계정매핑!$A$5:$A$504,0))&amp;"","공통비"))</f>
        <v/>
      </c>
      <c r="AF2495" s="64">
        <f>IF($A2495="","",IF(AE2495="직접",IFERROR(INDEX(계정매핑!$F$5:$F$504,MATCH($F2495&amp;"",계정매핑!$A$5:$A$504,0))&amp;"","비귀속"),""))</f>
        <v/>
      </c>
      <c r="AG2495" s="96">
        <f>IF($A2495="",0,IF(AND(AE2495&lt;&gt;"직접",IFERROR(INDEX(계정매핑!$G$5:$G$504,MATCH($F2495&amp;"",계정매핑!$A$5:$A$504,0))&amp;"","")="유지비",COUNTIF(계정대체기준!$A$6:$A$15,$N2495)&gt;0),IFERROR(INDEX(계정대체기준!$E$6:$E$15,MATCH(VALUE($A2495&amp;""),계정대체기준!$D$6:$D$15,0)),0),0))</f>
        <v/>
      </c>
      <c r="AH2495" s="64">
        <f>IF($A2495="","",IF(AD2495=0,"",IF(OR(COUNTIF(계정대체기준!$A$77:$A$86,$N2495)&gt;0,ISNUMBER(MATCH($X2495,계정대체기준!$D$77:$D$86,0)),ISNUMBER(MATCH($F2495,계정대체기준!$D$77:$D$86,0))),"Y","N")))</f>
        <v/>
      </c>
    </row>
    <row r="2496">
      <c r="A2496" s="92" t="n">
        <v>2025</v>
      </c>
      <c r="B2496" s="92" t="n">
        <v>12</v>
      </c>
      <c r="C2496" s="92" t="inlineStr">
        <is>
          <t>5100002492</t>
        </is>
      </c>
      <c r="D2496" s="95" t="n">
        <v>45993</v>
      </c>
      <c r="E2496" s="92" t="inlineStr">
        <is>
          <t>KR</t>
        </is>
      </c>
      <c r="F2496" s="92" t="n">
        <v>62501000</v>
      </c>
      <c r="G2496" s="92" t="n">
        <v>1701</v>
      </c>
      <c r="H2496" s="93" t="n">
        <v>156000</v>
      </c>
      <c r="I2496" s="92" t="inlineStr">
        <is>
          <t>12월 회의 다과 - T케이터링</t>
        </is>
      </c>
      <c r="J2496" s="92" t="inlineStr">
        <is>
          <t>V10005</t>
        </is>
      </c>
      <c r="K2496" s="92" t="inlineStr">
        <is>
          <t>T케이터링</t>
        </is>
      </c>
      <c r="M2496" s="9">
        <f>IF($A2496="","",VALUE($A2496&amp;"")*12+VALUE($B2496&amp;""))</f>
        <v/>
      </c>
      <c r="N2496" s="64">
        <f>IF($A2496="","",IFERROR(INDEX(부서매핑!$C$5:$C$504,MATCH($G2496&amp;"",부서매핑!$A$5:$A$504,0)),"미매핑"))</f>
        <v/>
      </c>
      <c r="O2496" s="9">
        <f>IF($A2496="","",N2496&amp;"|"&amp;$F2496)</f>
        <v/>
      </c>
      <c r="P2496" s="94">
        <f>IF($A2496="",0,$H2496*설정!$C$23)</f>
        <v/>
      </c>
      <c r="Q2496" s="64">
        <f>IF($A2496="","",IF(O2496&lt;&gt;원인분석!$C$9,"",IF(AND(M2496&gt;=원인분석!$C$10,M2496&lt;=원인분석!$C$11),"당기",IF(AND(M2496&gt;=원인분석!$C$12,M2496&lt;=원인분석!$C$13),"비교",""))))</f>
        <v/>
      </c>
      <c r="R2496" s="9">
        <f>IF(Q2496="","",$K2496&amp;"")</f>
        <v/>
      </c>
      <c r="S2496" s="9">
        <f>IF(Q2496="","",IF(MATCH(R2496,$R$5:$R$100000,0)=ROW()-4,ROW(),""))</f>
        <v/>
      </c>
      <c r="T2496" s="9">
        <f>IF(Q2496="당기",ABS(P2496)+ROW()/1000000000,"")</f>
        <v/>
      </c>
      <c r="U2496" s="9">
        <f>IF(Q2496="비교",ABS(P2496)+ROW()/1000000000,"")</f>
        <v/>
      </c>
      <c r="V2496" s="64">
        <f>IF($A2496="","",IF(COUNTIF(변동분석!$E$7:$E$506,O2496)&gt;0,"Y","N"))</f>
        <v/>
      </c>
      <c r="W2496" s="64">
        <f>IF($A2496="","",IFERROR(INDEX(계정매핑!$D$5:$D$504,MATCH($F2496&amp;"",계정매핑!$A$5:$A$504,0)),"미매핑"))</f>
        <v/>
      </c>
      <c r="X2496" s="9">
        <f>IF($A2496="","",$F2496&amp;"")</f>
        <v/>
      </c>
      <c r="Y2496" s="94">
        <f>IF($A2496="",0,IF(AE2496="직접",IF(AF2496="비귀속",$P2496,0),$P2496*(1-AG2496)*IFERROR(INDEX(계정대체기준!$F$20:$F$49,MATCH($N2496,계정대체기준!$A$20:$A$49,0)),1)))</f>
        <v/>
      </c>
      <c r="Z2496" s="94">
        <f>IF($A2496="",0,IF(AE2496="직접",IF(AF2496="신계약비",$P2496,0),$P2496*(1-AG2496)*IFERROR(INDEX(계정대체기준!$C$20:$C$49,MATCH($N2496,계정대체기준!$A$20:$A$49,0)),0)))</f>
        <v/>
      </c>
      <c r="AA2496" s="94">
        <f>IF($A2496="",0,IF(AE2496="직접",IF(OR(AF2496="유지비",AF2496="손해조사비"),$P2496,0),$P2496*(1-AG2496)*IFERROR(INDEX(계정대체기준!$D$20:$D$49,MATCH($N2496,계정대체기준!$A$20:$A$49,0)),0)))</f>
        <v/>
      </c>
      <c r="AB2496" s="94">
        <f>IF($A2496="",0,IF(AE2496="직접",IF(AF2496="수금비",$P2496,0),$P2496*(1-AG2496)*IFERROR(INDEX(계정대체기준!$E$20:$E$49,MATCH($N2496,계정대체기준!$A$20:$A$49,0)),0)))</f>
        <v/>
      </c>
      <c r="AC2496" s="9">
        <f>IF(AND($A2496&lt;&gt;"",M2496=설정!$C$20,Z2496&gt;0),Z2496+ROW()/1000000000,"")</f>
        <v/>
      </c>
      <c r="AD2496" s="94">
        <f>IF($A2496="",0,$P2496*AG2496)</f>
        <v/>
      </c>
      <c r="AE2496" s="64">
        <f>IF($A2496="","",IFERROR(INDEX(계정매핑!$E$5:$E$504,MATCH($F2496&amp;"",계정매핑!$A$5:$A$504,0))&amp;"","공통비"))</f>
        <v/>
      </c>
      <c r="AF2496" s="64">
        <f>IF($A2496="","",IF(AE2496="직접",IFERROR(INDEX(계정매핑!$F$5:$F$504,MATCH($F2496&amp;"",계정매핑!$A$5:$A$504,0))&amp;"","비귀속"),""))</f>
        <v/>
      </c>
      <c r="AG2496" s="96">
        <f>IF($A2496="",0,IF(AND(AE2496&lt;&gt;"직접",IFERROR(INDEX(계정매핑!$G$5:$G$504,MATCH($F2496&amp;"",계정매핑!$A$5:$A$504,0))&amp;"","")="유지비",COUNTIF(계정대체기준!$A$6:$A$15,$N2496)&gt;0),IFERROR(INDEX(계정대체기준!$E$6:$E$15,MATCH(VALUE($A2496&amp;""),계정대체기준!$D$6:$D$15,0)),0),0))</f>
        <v/>
      </c>
      <c r="AH2496" s="64">
        <f>IF($A2496="","",IF(AD2496=0,"",IF(OR(COUNTIF(계정대체기준!$A$77:$A$86,$N2496)&gt;0,ISNUMBER(MATCH($X2496,계정대체기준!$D$77:$D$86,0)),ISNUMBER(MATCH($F2496,계정대체기준!$D$77:$D$86,0))),"Y","N")))</f>
        <v/>
      </c>
    </row>
    <row r="2497">
      <c r="A2497" s="92" t="n">
        <v>2025</v>
      </c>
      <c r="B2497" s="92" t="n">
        <v>12</v>
      </c>
      <c r="C2497" s="92" t="inlineStr">
        <is>
          <t>5100002493</t>
        </is>
      </c>
      <c r="D2497" s="95" t="n">
        <v>45994</v>
      </c>
      <c r="E2497" s="92" t="inlineStr">
        <is>
          <t>KR</t>
        </is>
      </c>
      <c r="F2497" s="92" t="n">
        <v>62101000</v>
      </c>
      <c r="G2497" s="92" t="n">
        <v>1201</v>
      </c>
      <c r="H2497" s="93" t="n">
        <v>421000</v>
      </c>
      <c r="I2497" s="92" t="inlineStr">
        <is>
          <t>12월 국내출장 - (법인카드)</t>
        </is>
      </c>
      <c r="J2497" s="92" t="inlineStr">
        <is>
          <t>V10010</t>
        </is>
      </c>
      <c r="K2497" s="92" t="inlineStr">
        <is>
          <t>(법인카드)</t>
        </is>
      </c>
      <c r="M2497" s="9">
        <f>IF($A2497="","",VALUE($A2497&amp;"")*12+VALUE($B2497&amp;""))</f>
        <v/>
      </c>
      <c r="N2497" s="64">
        <f>IF($A2497="","",IFERROR(INDEX(부서매핑!$C$5:$C$504,MATCH($G2497&amp;"",부서매핑!$A$5:$A$504,0)),"미매핑"))</f>
        <v/>
      </c>
      <c r="O2497" s="9">
        <f>IF($A2497="","",N2497&amp;"|"&amp;$F2497)</f>
        <v/>
      </c>
      <c r="P2497" s="94">
        <f>IF($A2497="",0,$H2497*설정!$C$23)</f>
        <v/>
      </c>
      <c r="Q2497" s="64">
        <f>IF($A2497="","",IF(O2497&lt;&gt;원인분석!$C$9,"",IF(AND(M2497&gt;=원인분석!$C$10,M2497&lt;=원인분석!$C$11),"당기",IF(AND(M2497&gt;=원인분석!$C$12,M2497&lt;=원인분석!$C$13),"비교",""))))</f>
        <v/>
      </c>
      <c r="R2497" s="9">
        <f>IF(Q2497="","",$K2497&amp;"")</f>
        <v/>
      </c>
      <c r="S2497" s="9">
        <f>IF(Q2497="","",IF(MATCH(R2497,$R$5:$R$100000,0)=ROW()-4,ROW(),""))</f>
        <v/>
      </c>
      <c r="T2497" s="9">
        <f>IF(Q2497="당기",ABS(P2497)+ROW()/1000000000,"")</f>
        <v/>
      </c>
      <c r="U2497" s="9">
        <f>IF(Q2497="비교",ABS(P2497)+ROW()/1000000000,"")</f>
        <v/>
      </c>
      <c r="V2497" s="64">
        <f>IF($A2497="","",IF(COUNTIF(변동분석!$E$7:$E$506,O2497)&gt;0,"Y","N"))</f>
        <v/>
      </c>
      <c r="W2497" s="64">
        <f>IF($A2497="","",IFERROR(INDEX(계정매핑!$D$5:$D$504,MATCH($F2497&amp;"",계정매핑!$A$5:$A$504,0)),"미매핑"))</f>
        <v/>
      </c>
      <c r="X2497" s="9">
        <f>IF($A2497="","",$F2497&amp;"")</f>
        <v/>
      </c>
      <c r="Y2497" s="94">
        <f>IF($A2497="",0,IF(AE2497="직접",IF(AF2497="비귀속",$P2497,0),$P2497*(1-AG2497)*IFERROR(INDEX(계정대체기준!$F$20:$F$49,MATCH($N2497,계정대체기준!$A$20:$A$49,0)),1)))</f>
        <v/>
      </c>
      <c r="Z2497" s="94">
        <f>IF($A2497="",0,IF(AE2497="직접",IF(AF2497="신계약비",$P2497,0),$P2497*(1-AG2497)*IFERROR(INDEX(계정대체기준!$C$20:$C$49,MATCH($N2497,계정대체기준!$A$20:$A$49,0)),0)))</f>
        <v/>
      </c>
      <c r="AA2497" s="94">
        <f>IF($A2497="",0,IF(AE2497="직접",IF(OR(AF2497="유지비",AF2497="손해조사비"),$P2497,0),$P2497*(1-AG2497)*IFERROR(INDEX(계정대체기준!$D$20:$D$49,MATCH($N2497,계정대체기준!$A$20:$A$49,0)),0)))</f>
        <v/>
      </c>
      <c r="AB2497" s="94">
        <f>IF($A2497="",0,IF(AE2497="직접",IF(AF2497="수금비",$P2497,0),$P2497*(1-AG2497)*IFERROR(INDEX(계정대체기준!$E$20:$E$49,MATCH($N2497,계정대체기준!$A$20:$A$49,0)),0)))</f>
        <v/>
      </c>
      <c r="AC2497" s="9">
        <f>IF(AND($A2497&lt;&gt;"",M2497=설정!$C$20,Z2497&gt;0),Z2497+ROW()/1000000000,"")</f>
        <v/>
      </c>
      <c r="AD2497" s="94">
        <f>IF($A2497="",0,$P2497*AG2497)</f>
        <v/>
      </c>
      <c r="AE2497" s="64">
        <f>IF($A2497="","",IFERROR(INDEX(계정매핑!$E$5:$E$504,MATCH($F2497&amp;"",계정매핑!$A$5:$A$504,0))&amp;"","공통비"))</f>
        <v/>
      </c>
      <c r="AF2497" s="64">
        <f>IF($A2497="","",IF(AE2497="직접",IFERROR(INDEX(계정매핑!$F$5:$F$504,MATCH($F2497&amp;"",계정매핑!$A$5:$A$504,0))&amp;"","비귀속"),""))</f>
        <v/>
      </c>
      <c r="AG2497" s="96">
        <f>IF($A2497="",0,IF(AND(AE2497&lt;&gt;"직접",IFERROR(INDEX(계정매핑!$G$5:$G$504,MATCH($F2497&amp;"",계정매핑!$A$5:$A$504,0))&amp;"","")="유지비",COUNTIF(계정대체기준!$A$6:$A$15,$N2497)&gt;0),IFERROR(INDEX(계정대체기준!$E$6:$E$15,MATCH(VALUE($A2497&amp;""),계정대체기준!$D$6:$D$15,0)),0),0))</f>
        <v/>
      </c>
      <c r="AH2497" s="64">
        <f>IF($A2497="","",IF(AD2497=0,"",IF(OR(COUNTIF(계정대체기준!$A$77:$A$86,$N2497)&gt;0,ISNUMBER(MATCH($X2497,계정대체기준!$D$77:$D$86,0)),ISNUMBER(MATCH($F2497,계정대체기준!$D$77:$D$86,0))),"Y","N")))</f>
        <v/>
      </c>
    </row>
    <row r="2498">
      <c r="A2498" s="92" t="n">
        <v>2025</v>
      </c>
      <c r="B2498" s="92" t="n">
        <v>12</v>
      </c>
      <c r="C2498" s="92" t="inlineStr">
        <is>
          <t>5100002494</t>
        </is>
      </c>
      <c r="D2498" s="95" t="n">
        <v>45994</v>
      </c>
      <c r="E2498" s="92" t="inlineStr">
        <is>
          <t>KR</t>
        </is>
      </c>
      <c r="F2498" s="92" t="n">
        <v>62101000</v>
      </c>
      <c r="G2498" s="92" t="n">
        <v>1602</v>
      </c>
      <c r="H2498" s="93" t="n">
        <v>1192000</v>
      </c>
      <c r="I2498" s="92" t="inlineStr">
        <is>
          <t>12월 국내출장 - L여행사</t>
        </is>
      </c>
      <c r="J2498" s="92" t="inlineStr">
        <is>
          <t>V10018</t>
        </is>
      </c>
      <c r="K2498" s="92" t="inlineStr">
        <is>
          <t>L여행사</t>
        </is>
      </c>
      <c r="M2498" s="9">
        <f>IF($A2498="","",VALUE($A2498&amp;"")*12+VALUE($B2498&amp;""))</f>
        <v/>
      </c>
      <c r="N2498" s="64">
        <f>IF($A2498="","",IFERROR(INDEX(부서매핑!$C$5:$C$504,MATCH($G2498&amp;"",부서매핑!$A$5:$A$504,0)),"미매핑"))</f>
        <v/>
      </c>
      <c r="O2498" s="9">
        <f>IF($A2498="","",N2498&amp;"|"&amp;$F2498)</f>
        <v/>
      </c>
      <c r="P2498" s="94">
        <f>IF($A2498="",0,$H2498*설정!$C$23)</f>
        <v/>
      </c>
      <c r="Q2498" s="64">
        <f>IF($A2498="","",IF(O2498&lt;&gt;원인분석!$C$9,"",IF(AND(M2498&gt;=원인분석!$C$10,M2498&lt;=원인분석!$C$11),"당기",IF(AND(M2498&gt;=원인분석!$C$12,M2498&lt;=원인분석!$C$13),"비교",""))))</f>
        <v/>
      </c>
      <c r="R2498" s="9">
        <f>IF(Q2498="","",$K2498&amp;"")</f>
        <v/>
      </c>
      <c r="S2498" s="9">
        <f>IF(Q2498="","",IF(MATCH(R2498,$R$5:$R$100000,0)=ROW()-4,ROW(),""))</f>
        <v/>
      </c>
      <c r="T2498" s="9">
        <f>IF(Q2498="당기",ABS(P2498)+ROW()/1000000000,"")</f>
        <v/>
      </c>
      <c r="U2498" s="9">
        <f>IF(Q2498="비교",ABS(P2498)+ROW()/1000000000,"")</f>
        <v/>
      </c>
      <c r="V2498" s="64">
        <f>IF($A2498="","",IF(COUNTIF(변동분석!$E$7:$E$506,O2498)&gt;0,"Y","N"))</f>
        <v/>
      </c>
      <c r="W2498" s="64">
        <f>IF($A2498="","",IFERROR(INDEX(계정매핑!$D$5:$D$504,MATCH($F2498&amp;"",계정매핑!$A$5:$A$504,0)),"미매핑"))</f>
        <v/>
      </c>
      <c r="X2498" s="9">
        <f>IF($A2498="","",$F2498&amp;"")</f>
        <v/>
      </c>
      <c r="Y2498" s="94">
        <f>IF($A2498="",0,IF(AE2498="직접",IF(AF2498="비귀속",$P2498,0),$P2498*(1-AG2498)*IFERROR(INDEX(계정대체기준!$F$20:$F$49,MATCH($N2498,계정대체기준!$A$20:$A$49,0)),1)))</f>
        <v/>
      </c>
      <c r="Z2498" s="94">
        <f>IF($A2498="",0,IF(AE2498="직접",IF(AF2498="신계약비",$P2498,0),$P2498*(1-AG2498)*IFERROR(INDEX(계정대체기준!$C$20:$C$49,MATCH($N2498,계정대체기준!$A$20:$A$49,0)),0)))</f>
        <v/>
      </c>
      <c r="AA2498" s="94">
        <f>IF($A2498="",0,IF(AE2498="직접",IF(OR(AF2498="유지비",AF2498="손해조사비"),$P2498,0),$P2498*(1-AG2498)*IFERROR(INDEX(계정대체기준!$D$20:$D$49,MATCH($N2498,계정대체기준!$A$20:$A$49,0)),0)))</f>
        <v/>
      </c>
      <c r="AB2498" s="94">
        <f>IF($A2498="",0,IF(AE2498="직접",IF(AF2498="수금비",$P2498,0),$P2498*(1-AG2498)*IFERROR(INDEX(계정대체기준!$E$20:$E$49,MATCH($N2498,계정대체기준!$A$20:$A$49,0)),0)))</f>
        <v/>
      </c>
      <c r="AC2498" s="9">
        <f>IF(AND($A2498&lt;&gt;"",M2498=설정!$C$20,Z2498&gt;0),Z2498+ROW()/1000000000,"")</f>
        <v/>
      </c>
      <c r="AD2498" s="94">
        <f>IF($A2498="",0,$P2498*AG2498)</f>
        <v/>
      </c>
      <c r="AE2498" s="64">
        <f>IF($A2498="","",IFERROR(INDEX(계정매핑!$E$5:$E$504,MATCH($F2498&amp;"",계정매핑!$A$5:$A$504,0))&amp;"","공통비"))</f>
        <v/>
      </c>
      <c r="AF2498" s="64">
        <f>IF($A2498="","",IF(AE2498="직접",IFERROR(INDEX(계정매핑!$F$5:$F$504,MATCH($F2498&amp;"",계정매핑!$A$5:$A$504,0))&amp;"","비귀속"),""))</f>
        <v/>
      </c>
      <c r="AG2498" s="96">
        <f>IF($A2498="",0,IF(AND(AE2498&lt;&gt;"직접",IFERROR(INDEX(계정매핑!$G$5:$G$504,MATCH($F2498&amp;"",계정매핑!$A$5:$A$504,0))&amp;"","")="유지비",COUNTIF(계정대체기준!$A$6:$A$15,$N2498)&gt;0),IFERROR(INDEX(계정대체기준!$E$6:$E$15,MATCH(VALUE($A2498&amp;""),계정대체기준!$D$6:$D$15,0)),0),0))</f>
        <v/>
      </c>
      <c r="AH2498" s="64">
        <f>IF($A2498="","",IF(AD2498=0,"",IF(OR(COUNTIF(계정대체기준!$A$77:$A$86,$N2498)&gt;0,ISNUMBER(MATCH($X2498,계정대체기준!$D$77:$D$86,0)),ISNUMBER(MATCH($F2498,계정대체기준!$D$77:$D$86,0))),"Y","N")))</f>
        <v/>
      </c>
    </row>
    <row r="2499">
      <c r="A2499" s="92" t="n">
        <v>2025</v>
      </c>
      <c r="B2499" s="92" t="n">
        <v>12</v>
      </c>
      <c r="C2499" s="92" t="inlineStr">
        <is>
          <t>5100002495</t>
        </is>
      </c>
      <c r="D2499" s="95" t="n">
        <v>45994</v>
      </c>
      <c r="E2499" s="92" t="inlineStr">
        <is>
          <t>KR</t>
        </is>
      </c>
      <c r="F2499" s="92" t="n">
        <v>62102000</v>
      </c>
      <c r="G2499" s="92" t="n">
        <v>1951</v>
      </c>
      <c r="H2499" s="93" t="n">
        <v>47000</v>
      </c>
      <c r="I2499" s="92" t="inlineStr">
        <is>
          <t>12월 해외출장 - N호텔</t>
        </is>
      </c>
      <c r="J2499" s="92" t="inlineStr">
        <is>
          <t>V10009</t>
        </is>
      </c>
      <c r="K2499" s="92" t="inlineStr">
        <is>
          <t>N호텔</t>
        </is>
      </c>
      <c r="M2499" s="9">
        <f>IF($A2499="","",VALUE($A2499&amp;"")*12+VALUE($B2499&amp;""))</f>
        <v/>
      </c>
      <c r="N2499" s="64">
        <f>IF($A2499="","",IFERROR(INDEX(부서매핑!$C$5:$C$504,MATCH($G2499&amp;"",부서매핑!$A$5:$A$504,0)),"미매핑"))</f>
        <v/>
      </c>
      <c r="O2499" s="9">
        <f>IF($A2499="","",N2499&amp;"|"&amp;$F2499)</f>
        <v/>
      </c>
      <c r="P2499" s="94">
        <f>IF($A2499="",0,$H2499*설정!$C$23)</f>
        <v/>
      </c>
      <c r="Q2499" s="64">
        <f>IF($A2499="","",IF(O2499&lt;&gt;원인분석!$C$9,"",IF(AND(M2499&gt;=원인분석!$C$10,M2499&lt;=원인분석!$C$11),"당기",IF(AND(M2499&gt;=원인분석!$C$12,M2499&lt;=원인분석!$C$13),"비교",""))))</f>
        <v/>
      </c>
      <c r="R2499" s="9">
        <f>IF(Q2499="","",$K2499&amp;"")</f>
        <v/>
      </c>
      <c r="S2499" s="9">
        <f>IF(Q2499="","",IF(MATCH(R2499,$R$5:$R$100000,0)=ROW()-4,ROW(),""))</f>
        <v/>
      </c>
      <c r="T2499" s="9">
        <f>IF(Q2499="당기",ABS(P2499)+ROW()/1000000000,"")</f>
        <v/>
      </c>
      <c r="U2499" s="9">
        <f>IF(Q2499="비교",ABS(P2499)+ROW()/1000000000,"")</f>
        <v/>
      </c>
      <c r="V2499" s="64">
        <f>IF($A2499="","",IF(COUNTIF(변동분석!$E$7:$E$506,O2499)&gt;0,"Y","N"))</f>
        <v/>
      </c>
      <c r="W2499" s="64">
        <f>IF($A2499="","",IFERROR(INDEX(계정매핑!$D$5:$D$504,MATCH($F2499&amp;"",계정매핑!$A$5:$A$504,0)),"미매핑"))</f>
        <v/>
      </c>
      <c r="X2499" s="9">
        <f>IF($A2499="","",$F2499&amp;"")</f>
        <v/>
      </c>
      <c r="Y2499" s="94">
        <f>IF($A2499="",0,IF(AE2499="직접",IF(AF2499="비귀속",$P2499,0),$P2499*(1-AG2499)*IFERROR(INDEX(계정대체기준!$F$20:$F$49,MATCH($N2499,계정대체기준!$A$20:$A$49,0)),1)))</f>
        <v/>
      </c>
      <c r="Z2499" s="94">
        <f>IF($A2499="",0,IF(AE2499="직접",IF(AF2499="신계약비",$P2499,0),$P2499*(1-AG2499)*IFERROR(INDEX(계정대체기준!$C$20:$C$49,MATCH($N2499,계정대체기준!$A$20:$A$49,0)),0)))</f>
        <v/>
      </c>
      <c r="AA2499" s="94">
        <f>IF($A2499="",0,IF(AE2499="직접",IF(OR(AF2499="유지비",AF2499="손해조사비"),$P2499,0),$P2499*(1-AG2499)*IFERROR(INDEX(계정대체기준!$D$20:$D$49,MATCH($N2499,계정대체기준!$A$20:$A$49,0)),0)))</f>
        <v/>
      </c>
      <c r="AB2499" s="94">
        <f>IF($A2499="",0,IF(AE2499="직접",IF(AF2499="수금비",$P2499,0),$P2499*(1-AG2499)*IFERROR(INDEX(계정대체기준!$E$20:$E$49,MATCH($N2499,계정대체기준!$A$20:$A$49,0)),0)))</f>
        <v/>
      </c>
      <c r="AC2499" s="9">
        <f>IF(AND($A2499&lt;&gt;"",M2499=설정!$C$20,Z2499&gt;0),Z2499+ROW()/1000000000,"")</f>
        <v/>
      </c>
      <c r="AD2499" s="94">
        <f>IF($A2499="",0,$P2499*AG2499)</f>
        <v/>
      </c>
      <c r="AE2499" s="64">
        <f>IF($A2499="","",IFERROR(INDEX(계정매핑!$E$5:$E$504,MATCH($F2499&amp;"",계정매핑!$A$5:$A$504,0))&amp;"","공통비"))</f>
        <v/>
      </c>
      <c r="AF2499" s="64">
        <f>IF($A2499="","",IF(AE2499="직접",IFERROR(INDEX(계정매핑!$F$5:$F$504,MATCH($F2499&amp;"",계정매핑!$A$5:$A$504,0))&amp;"","비귀속"),""))</f>
        <v/>
      </c>
      <c r="AG2499" s="96">
        <f>IF($A2499="",0,IF(AND(AE2499&lt;&gt;"직접",IFERROR(INDEX(계정매핑!$G$5:$G$504,MATCH($F2499&amp;"",계정매핑!$A$5:$A$504,0))&amp;"","")="유지비",COUNTIF(계정대체기준!$A$6:$A$15,$N2499)&gt;0),IFERROR(INDEX(계정대체기준!$E$6:$E$15,MATCH(VALUE($A2499&amp;""),계정대체기준!$D$6:$D$15,0)),0),0))</f>
        <v/>
      </c>
      <c r="AH2499" s="64">
        <f>IF($A2499="","",IF(AD2499=0,"",IF(OR(COUNTIF(계정대체기준!$A$77:$A$86,$N2499)&gt;0,ISNUMBER(MATCH($X2499,계정대체기준!$D$77:$D$86,0)),ISNUMBER(MATCH($F2499,계정대체기준!$D$77:$D$86,0))),"Y","N")))</f>
        <v/>
      </c>
    </row>
    <row r="2500">
      <c r="A2500" s="92" t="n">
        <v>2025</v>
      </c>
      <c r="B2500" s="92" t="n">
        <v>12</v>
      </c>
      <c r="C2500" s="92" t="inlineStr">
        <is>
          <t>5100002496</t>
        </is>
      </c>
      <c r="D2500" s="95" t="n">
        <v>45994</v>
      </c>
      <c r="E2500" s="92" t="inlineStr">
        <is>
          <t>KR</t>
        </is>
      </c>
      <c r="F2500" s="92" t="n">
        <v>62301000</v>
      </c>
      <c r="G2500" s="92" t="n">
        <v>1101</v>
      </c>
      <c r="H2500" s="93" t="n">
        <v>127000</v>
      </c>
      <c r="I2500" s="92" t="inlineStr">
        <is>
          <t>12월 소모품 구입 - R문구</t>
        </is>
      </c>
      <c r="J2500" s="92" t="inlineStr">
        <is>
          <t>V10022</t>
        </is>
      </c>
      <c r="K2500" s="92" t="inlineStr">
        <is>
          <t>R문구</t>
        </is>
      </c>
      <c r="M2500" s="9">
        <f>IF($A2500="","",VALUE($A2500&amp;"")*12+VALUE($B2500&amp;""))</f>
        <v/>
      </c>
      <c r="N2500" s="64">
        <f>IF($A2500="","",IFERROR(INDEX(부서매핑!$C$5:$C$504,MATCH($G2500&amp;"",부서매핑!$A$5:$A$504,0)),"미매핑"))</f>
        <v/>
      </c>
      <c r="O2500" s="9">
        <f>IF($A2500="","",N2500&amp;"|"&amp;$F2500)</f>
        <v/>
      </c>
      <c r="P2500" s="94">
        <f>IF($A2500="",0,$H2500*설정!$C$23)</f>
        <v/>
      </c>
      <c r="Q2500" s="64">
        <f>IF($A2500="","",IF(O2500&lt;&gt;원인분석!$C$9,"",IF(AND(M2500&gt;=원인분석!$C$10,M2500&lt;=원인분석!$C$11),"당기",IF(AND(M2500&gt;=원인분석!$C$12,M2500&lt;=원인분석!$C$13),"비교",""))))</f>
        <v/>
      </c>
      <c r="R2500" s="9">
        <f>IF(Q2500="","",$K2500&amp;"")</f>
        <v/>
      </c>
      <c r="S2500" s="9">
        <f>IF(Q2500="","",IF(MATCH(R2500,$R$5:$R$100000,0)=ROW()-4,ROW(),""))</f>
        <v/>
      </c>
      <c r="T2500" s="9">
        <f>IF(Q2500="당기",ABS(P2500)+ROW()/1000000000,"")</f>
        <v/>
      </c>
      <c r="U2500" s="9">
        <f>IF(Q2500="비교",ABS(P2500)+ROW()/1000000000,"")</f>
        <v/>
      </c>
      <c r="V2500" s="64">
        <f>IF($A2500="","",IF(COUNTIF(변동분석!$E$7:$E$506,O2500)&gt;0,"Y","N"))</f>
        <v/>
      </c>
      <c r="W2500" s="64">
        <f>IF($A2500="","",IFERROR(INDEX(계정매핑!$D$5:$D$504,MATCH($F2500&amp;"",계정매핑!$A$5:$A$504,0)),"미매핑"))</f>
        <v/>
      </c>
      <c r="X2500" s="9">
        <f>IF($A2500="","",$F2500&amp;"")</f>
        <v/>
      </c>
      <c r="Y2500" s="94">
        <f>IF($A2500="",0,IF(AE2500="직접",IF(AF2500="비귀속",$P2500,0),$P2500*(1-AG2500)*IFERROR(INDEX(계정대체기준!$F$20:$F$49,MATCH($N2500,계정대체기준!$A$20:$A$49,0)),1)))</f>
        <v/>
      </c>
      <c r="Z2500" s="94">
        <f>IF($A2500="",0,IF(AE2500="직접",IF(AF2500="신계약비",$P2500,0),$P2500*(1-AG2500)*IFERROR(INDEX(계정대체기준!$C$20:$C$49,MATCH($N2500,계정대체기준!$A$20:$A$49,0)),0)))</f>
        <v/>
      </c>
      <c r="AA2500" s="94">
        <f>IF($A2500="",0,IF(AE2500="직접",IF(OR(AF2500="유지비",AF2500="손해조사비"),$P2500,0),$P2500*(1-AG2500)*IFERROR(INDEX(계정대체기준!$D$20:$D$49,MATCH($N2500,계정대체기준!$A$20:$A$49,0)),0)))</f>
        <v/>
      </c>
      <c r="AB2500" s="94">
        <f>IF($A2500="",0,IF(AE2500="직접",IF(AF2500="수금비",$P2500,0),$P2500*(1-AG2500)*IFERROR(INDEX(계정대체기준!$E$20:$E$49,MATCH($N2500,계정대체기준!$A$20:$A$49,0)),0)))</f>
        <v/>
      </c>
      <c r="AC2500" s="9">
        <f>IF(AND($A2500&lt;&gt;"",M2500=설정!$C$20,Z2500&gt;0),Z2500+ROW()/1000000000,"")</f>
        <v/>
      </c>
      <c r="AD2500" s="94">
        <f>IF($A2500="",0,$P2500*AG2500)</f>
        <v/>
      </c>
      <c r="AE2500" s="64">
        <f>IF($A2500="","",IFERROR(INDEX(계정매핑!$E$5:$E$504,MATCH($F2500&amp;"",계정매핑!$A$5:$A$504,0))&amp;"","공통비"))</f>
        <v/>
      </c>
      <c r="AF2500" s="64">
        <f>IF($A2500="","",IF(AE2500="직접",IFERROR(INDEX(계정매핑!$F$5:$F$504,MATCH($F2500&amp;"",계정매핑!$A$5:$A$504,0))&amp;"","비귀속"),""))</f>
        <v/>
      </c>
      <c r="AG2500" s="96">
        <f>IF($A2500="",0,IF(AND(AE2500&lt;&gt;"직접",IFERROR(INDEX(계정매핑!$G$5:$G$504,MATCH($F2500&amp;"",계정매핑!$A$5:$A$504,0))&amp;"","")="유지비",COUNTIF(계정대체기준!$A$6:$A$15,$N2500)&gt;0),IFERROR(INDEX(계정대체기준!$E$6:$E$15,MATCH(VALUE($A2500&amp;""),계정대체기준!$D$6:$D$15,0)),0),0))</f>
        <v/>
      </c>
      <c r="AH2500" s="64">
        <f>IF($A2500="","",IF(AD2500=0,"",IF(OR(COUNTIF(계정대체기준!$A$77:$A$86,$N2500)&gt;0,ISNUMBER(MATCH($X2500,계정대체기준!$D$77:$D$86,0)),ISNUMBER(MATCH($F2500,계정대체기준!$D$77:$D$86,0))),"Y","N")))</f>
        <v/>
      </c>
    </row>
    <row r="2501">
      <c r="A2501" s="92" t="n">
        <v>2025</v>
      </c>
      <c r="B2501" s="92" t="n">
        <v>12</v>
      </c>
      <c r="C2501" s="92" t="inlineStr">
        <is>
          <t>5100002497</t>
        </is>
      </c>
      <c r="D2501" s="95" t="n">
        <v>45994</v>
      </c>
      <c r="E2501" s="92" t="inlineStr">
        <is>
          <t>KR</t>
        </is>
      </c>
      <c r="F2501" s="92" t="n">
        <v>62301000</v>
      </c>
      <c r="G2501" s="92" t="n">
        <v>1301</v>
      </c>
      <c r="H2501" s="93" t="n">
        <v>222000</v>
      </c>
      <c r="I2501" s="92" t="inlineStr">
        <is>
          <t>12월 소모품 구입 - Q오피스</t>
        </is>
      </c>
      <c r="J2501" s="92" t="inlineStr">
        <is>
          <t>V10003</t>
        </is>
      </c>
      <c r="K2501" s="92" t="inlineStr">
        <is>
          <t>Q오피스</t>
        </is>
      </c>
      <c r="M2501" s="9">
        <f>IF($A2501="","",VALUE($A2501&amp;"")*12+VALUE($B2501&amp;""))</f>
        <v/>
      </c>
      <c r="N2501" s="64">
        <f>IF($A2501="","",IFERROR(INDEX(부서매핑!$C$5:$C$504,MATCH($G2501&amp;"",부서매핑!$A$5:$A$504,0)),"미매핑"))</f>
        <v/>
      </c>
      <c r="O2501" s="9">
        <f>IF($A2501="","",N2501&amp;"|"&amp;$F2501)</f>
        <v/>
      </c>
      <c r="P2501" s="94">
        <f>IF($A2501="",0,$H2501*설정!$C$23)</f>
        <v/>
      </c>
      <c r="Q2501" s="64">
        <f>IF($A2501="","",IF(O2501&lt;&gt;원인분석!$C$9,"",IF(AND(M2501&gt;=원인분석!$C$10,M2501&lt;=원인분석!$C$11),"당기",IF(AND(M2501&gt;=원인분석!$C$12,M2501&lt;=원인분석!$C$13),"비교",""))))</f>
        <v/>
      </c>
      <c r="R2501" s="9">
        <f>IF(Q2501="","",$K2501&amp;"")</f>
        <v/>
      </c>
      <c r="S2501" s="9">
        <f>IF(Q2501="","",IF(MATCH(R2501,$R$5:$R$100000,0)=ROW()-4,ROW(),""))</f>
        <v/>
      </c>
      <c r="T2501" s="9">
        <f>IF(Q2501="당기",ABS(P2501)+ROW()/1000000000,"")</f>
        <v/>
      </c>
      <c r="U2501" s="9">
        <f>IF(Q2501="비교",ABS(P2501)+ROW()/1000000000,"")</f>
        <v/>
      </c>
      <c r="V2501" s="64">
        <f>IF($A2501="","",IF(COUNTIF(변동분석!$E$7:$E$506,O2501)&gt;0,"Y","N"))</f>
        <v/>
      </c>
      <c r="W2501" s="64">
        <f>IF($A2501="","",IFERROR(INDEX(계정매핑!$D$5:$D$504,MATCH($F2501&amp;"",계정매핑!$A$5:$A$504,0)),"미매핑"))</f>
        <v/>
      </c>
      <c r="X2501" s="9">
        <f>IF($A2501="","",$F2501&amp;"")</f>
        <v/>
      </c>
      <c r="Y2501" s="94">
        <f>IF($A2501="",0,IF(AE2501="직접",IF(AF2501="비귀속",$P2501,0),$P2501*(1-AG2501)*IFERROR(INDEX(계정대체기준!$F$20:$F$49,MATCH($N2501,계정대체기준!$A$20:$A$49,0)),1)))</f>
        <v/>
      </c>
      <c r="Z2501" s="94">
        <f>IF($A2501="",0,IF(AE2501="직접",IF(AF2501="신계약비",$P2501,0),$P2501*(1-AG2501)*IFERROR(INDEX(계정대체기준!$C$20:$C$49,MATCH($N2501,계정대체기준!$A$20:$A$49,0)),0)))</f>
        <v/>
      </c>
      <c r="AA2501" s="94">
        <f>IF($A2501="",0,IF(AE2501="직접",IF(OR(AF2501="유지비",AF2501="손해조사비"),$P2501,0),$P2501*(1-AG2501)*IFERROR(INDEX(계정대체기준!$D$20:$D$49,MATCH($N2501,계정대체기준!$A$20:$A$49,0)),0)))</f>
        <v/>
      </c>
      <c r="AB2501" s="94">
        <f>IF($A2501="",0,IF(AE2501="직접",IF(AF2501="수금비",$P2501,0),$P2501*(1-AG2501)*IFERROR(INDEX(계정대체기준!$E$20:$E$49,MATCH($N2501,계정대체기준!$A$20:$A$49,0)),0)))</f>
        <v/>
      </c>
      <c r="AC2501" s="9">
        <f>IF(AND($A2501&lt;&gt;"",M2501=설정!$C$20,Z2501&gt;0),Z2501+ROW()/1000000000,"")</f>
        <v/>
      </c>
      <c r="AD2501" s="94">
        <f>IF($A2501="",0,$P2501*AG2501)</f>
        <v/>
      </c>
      <c r="AE2501" s="64">
        <f>IF($A2501="","",IFERROR(INDEX(계정매핑!$E$5:$E$504,MATCH($F2501&amp;"",계정매핑!$A$5:$A$504,0))&amp;"","공통비"))</f>
        <v/>
      </c>
      <c r="AF2501" s="64">
        <f>IF($A2501="","",IF(AE2501="직접",IFERROR(INDEX(계정매핑!$F$5:$F$504,MATCH($F2501&amp;"",계정매핑!$A$5:$A$504,0))&amp;"","비귀속"),""))</f>
        <v/>
      </c>
      <c r="AG2501" s="96">
        <f>IF($A2501="",0,IF(AND(AE2501&lt;&gt;"직접",IFERROR(INDEX(계정매핑!$G$5:$G$504,MATCH($F2501&amp;"",계정매핑!$A$5:$A$504,0))&amp;"","")="유지비",COUNTIF(계정대체기준!$A$6:$A$15,$N2501)&gt;0),IFERROR(INDEX(계정대체기준!$E$6:$E$15,MATCH(VALUE($A2501&amp;""),계정대체기준!$D$6:$D$15,0)),0),0))</f>
        <v/>
      </c>
      <c r="AH2501" s="64">
        <f>IF($A2501="","",IF(AD2501=0,"",IF(OR(COUNTIF(계정대체기준!$A$77:$A$86,$N2501)&gt;0,ISNUMBER(MATCH($X2501,계정대체기준!$D$77:$D$86,0)),ISNUMBER(MATCH($F2501,계정대체기준!$D$77:$D$86,0))),"Y","N")))</f>
        <v/>
      </c>
    </row>
    <row r="2502">
      <c r="A2502" s="92" t="n">
        <v>2025</v>
      </c>
      <c r="B2502" s="92" t="n">
        <v>12</v>
      </c>
      <c r="C2502" s="92" t="inlineStr">
        <is>
          <t>5100002498</t>
        </is>
      </c>
      <c r="D2502" s="95" t="n">
        <v>45994</v>
      </c>
      <c r="E2502" s="92" t="inlineStr">
        <is>
          <t>KR</t>
        </is>
      </c>
      <c r="F2502" s="92" t="n">
        <v>62301000</v>
      </c>
      <c r="G2502" s="92" t="n">
        <v>1301</v>
      </c>
      <c r="H2502" s="93" t="n">
        <v>109000</v>
      </c>
      <c r="I2502" s="92" t="inlineStr">
        <is>
          <t>12월 소모품 구입 - R문구</t>
        </is>
      </c>
      <c r="J2502" s="92" t="inlineStr">
        <is>
          <t>V10022</t>
        </is>
      </c>
      <c r="K2502" s="92" t="inlineStr">
        <is>
          <t>R문구</t>
        </is>
      </c>
      <c r="M2502" s="9">
        <f>IF($A2502="","",VALUE($A2502&amp;"")*12+VALUE($B2502&amp;""))</f>
        <v/>
      </c>
      <c r="N2502" s="64">
        <f>IF($A2502="","",IFERROR(INDEX(부서매핑!$C$5:$C$504,MATCH($G2502&amp;"",부서매핑!$A$5:$A$504,0)),"미매핑"))</f>
        <v/>
      </c>
      <c r="O2502" s="9">
        <f>IF($A2502="","",N2502&amp;"|"&amp;$F2502)</f>
        <v/>
      </c>
      <c r="P2502" s="94">
        <f>IF($A2502="",0,$H2502*설정!$C$23)</f>
        <v/>
      </c>
      <c r="Q2502" s="64">
        <f>IF($A2502="","",IF(O2502&lt;&gt;원인분석!$C$9,"",IF(AND(M2502&gt;=원인분석!$C$10,M2502&lt;=원인분석!$C$11),"당기",IF(AND(M2502&gt;=원인분석!$C$12,M2502&lt;=원인분석!$C$13),"비교",""))))</f>
        <v/>
      </c>
      <c r="R2502" s="9">
        <f>IF(Q2502="","",$K2502&amp;"")</f>
        <v/>
      </c>
      <c r="S2502" s="9">
        <f>IF(Q2502="","",IF(MATCH(R2502,$R$5:$R$100000,0)=ROW()-4,ROW(),""))</f>
        <v/>
      </c>
      <c r="T2502" s="9">
        <f>IF(Q2502="당기",ABS(P2502)+ROW()/1000000000,"")</f>
        <v/>
      </c>
      <c r="U2502" s="9">
        <f>IF(Q2502="비교",ABS(P2502)+ROW()/1000000000,"")</f>
        <v/>
      </c>
      <c r="V2502" s="64">
        <f>IF($A2502="","",IF(COUNTIF(변동분석!$E$7:$E$506,O2502)&gt;0,"Y","N"))</f>
        <v/>
      </c>
      <c r="W2502" s="64">
        <f>IF($A2502="","",IFERROR(INDEX(계정매핑!$D$5:$D$504,MATCH($F2502&amp;"",계정매핑!$A$5:$A$504,0)),"미매핑"))</f>
        <v/>
      </c>
      <c r="X2502" s="9">
        <f>IF($A2502="","",$F2502&amp;"")</f>
        <v/>
      </c>
      <c r="Y2502" s="94">
        <f>IF($A2502="",0,IF(AE2502="직접",IF(AF2502="비귀속",$P2502,0),$P2502*(1-AG2502)*IFERROR(INDEX(계정대체기준!$F$20:$F$49,MATCH($N2502,계정대체기준!$A$20:$A$49,0)),1)))</f>
        <v/>
      </c>
      <c r="Z2502" s="94">
        <f>IF($A2502="",0,IF(AE2502="직접",IF(AF2502="신계약비",$P2502,0),$P2502*(1-AG2502)*IFERROR(INDEX(계정대체기준!$C$20:$C$49,MATCH($N2502,계정대체기준!$A$20:$A$49,0)),0)))</f>
        <v/>
      </c>
      <c r="AA2502" s="94">
        <f>IF($A2502="",0,IF(AE2502="직접",IF(OR(AF2502="유지비",AF2502="손해조사비"),$P2502,0),$P2502*(1-AG2502)*IFERROR(INDEX(계정대체기준!$D$20:$D$49,MATCH($N2502,계정대체기준!$A$20:$A$49,0)),0)))</f>
        <v/>
      </c>
      <c r="AB2502" s="94">
        <f>IF($A2502="",0,IF(AE2502="직접",IF(AF2502="수금비",$P2502,0),$P2502*(1-AG2502)*IFERROR(INDEX(계정대체기준!$E$20:$E$49,MATCH($N2502,계정대체기준!$A$20:$A$49,0)),0)))</f>
        <v/>
      </c>
      <c r="AC2502" s="9">
        <f>IF(AND($A2502&lt;&gt;"",M2502=설정!$C$20,Z2502&gt;0),Z2502+ROW()/1000000000,"")</f>
        <v/>
      </c>
      <c r="AD2502" s="94">
        <f>IF($A2502="",0,$P2502*AG2502)</f>
        <v/>
      </c>
      <c r="AE2502" s="64">
        <f>IF($A2502="","",IFERROR(INDEX(계정매핑!$E$5:$E$504,MATCH($F2502&amp;"",계정매핑!$A$5:$A$504,0))&amp;"","공통비"))</f>
        <v/>
      </c>
      <c r="AF2502" s="64">
        <f>IF($A2502="","",IF(AE2502="직접",IFERROR(INDEX(계정매핑!$F$5:$F$504,MATCH($F2502&amp;"",계정매핑!$A$5:$A$504,0))&amp;"","비귀속"),""))</f>
        <v/>
      </c>
      <c r="AG2502" s="96">
        <f>IF($A2502="",0,IF(AND(AE2502&lt;&gt;"직접",IFERROR(INDEX(계정매핑!$G$5:$G$504,MATCH($F2502&amp;"",계정매핑!$A$5:$A$504,0))&amp;"","")="유지비",COUNTIF(계정대체기준!$A$6:$A$15,$N2502)&gt;0),IFERROR(INDEX(계정대체기준!$E$6:$E$15,MATCH(VALUE($A2502&amp;""),계정대체기준!$D$6:$D$15,0)),0),0))</f>
        <v/>
      </c>
      <c r="AH2502" s="64">
        <f>IF($A2502="","",IF(AD2502=0,"",IF(OR(COUNTIF(계정대체기준!$A$77:$A$86,$N2502)&gt;0,ISNUMBER(MATCH($X2502,계정대체기준!$D$77:$D$86,0)),ISNUMBER(MATCH($F2502,계정대체기준!$D$77:$D$86,0))),"Y","N")))</f>
        <v/>
      </c>
    </row>
    <row r="2503">
      <c r="A2503" s="92" t="n">
        <v>2025</v>
      </c>
      <c r="B2503" s="92" t="n">
        <v>12</v>
      </c>
      <c r="C2503" s="92" t="inlineStr">
        <is>
          <t>5100002499</t>
        </is>
      </c>
      <c r="D2503" s="95" t="n">
        <v>45994</v>
      </c>
      <c r="E2503" s="92" t="inlineStr">
        <is>
          <t>KR</t>
        </is>
      </c>
      <c r="F2503" s="92" t="n">
        <v>62301000</v>
      </c>
      <c r="G2503" s="92" t="n">
        <v>1502</v>
      </c>
      <c r="H2503" s="93" t="n">
        <v>241000</v>
      </c>
      <c r="I2503" s="92" t="inlineStr">
        <is>
          <t>12월 소모품 구입 - Q오피스</t>
        </is>
      </c>
      <c r="J2503" s="92" t="inlineStr">
        <is>
          <t>V10003</t>
        </is>
      </c>
      <c r="K2503" s="92" t="inlineStr">
        <is>
          <t>Q오피스</t>
        </is>
      </c>
      <c r="M2503" s="9">
        <f>IF($A2503="","",VALUE($A2503&amp;"")*12+VALUE($B2503&amp;""))</f>
        <v/>
      </c>
      <c r="N2503" s="64">
        <f>IF($A2503="","",IFERROR(INDEX(부서매핑!$C$5:$C$504,MATCH($G2503&amp;"",부서매핑!$A$5:$A$504,0)),"미매핑"))</f>
        <v/>
      </c>
      <c r="O2503" s="9">
        <f>IF($A2503="","",N2503&amp;"|"&amp;$F2503)</f>
        <v/>
      </c>
      <c r="P2503" s="94">
        <f>IF($A2503="",0,$H2503*설정!$C$23)</f>
        <v/>
      </c>
      <c r="Q2503" s="64">
        <f>IF($A2503="","",IF(O2503&lt;&gt;원인분석!$C$9,"",IF(AND(M2503&gt;=원인분석!$C$10,M2503&lt;=원인분석!$C$11),"당기",IF(AND(M2503&gt;=원인분석!$C$12,M2503&lt;=원인분석!$C$13),"비교",""))))</f>
        <v/>
      </c>
      <c r="R2503" s="9">
        <f>IF(Q2503="","",$K2503&amp;"")</f>
        <v/>
      </c>
      <c r="S2503" s="9">
        <f>IF(Q2503="","",IF(MATCH(R2503,$R$5:$R$100000,0)=ROW()-4,ROW(),""))</f>
        <v/>
      </c>
      <c r="T2503" s="9">
        <f>IF(Q2503="당기",ABS(P2503)+ROW()/1000000000,"")</f>
        <v/>
      </c>
      <c r="U2503" s="9">
        <f>IF(Q2503="비교",ABS(P2503)+ROW()/1000000000,"")</f>
        <v/>
      </c>
      <c r="V2503" s="64">
        <f>IF($A2503="","",IF(COUNTIF(변동분석!$E$7:$E$506,O2503)&gt;0,"Y","N"))</f>
        <v/>
      </c>
      <c r="W2503" s="64">
        <f>IF($A2503="","",IFERROR(INDEX(계정매핑!$D$5:$D$504,MATCH($F2503&amp;"",계정매핑!$A$5:$A$504,0)),"미매핑"))</f>
        <v/>
      </c>
      <c r="X2503" s="9">
        <f>IF($A2503="","",$F2503&amp;"")</f>
        <v/>
      </c>
      <c r="Y2503" s="94">
        <f>IF($A2503="",0,IF(AE2503="직접",IF(AF2503="비귀속",$P2503,0),$P2503*(1-AG2503)*IFERROR(INDEX(계정대체기준!$F$20:$F$49,MATCH($N2503,계정대체기준!$A$20:$A$49,0)),1)))</f>
        <v/>
      </c>
      <c r="Z2503" s="94">
        <f>IF($A2503="",0,IF(AE2503="직접",IF(AF2503="신계약비",$P2503,0),$P2503*(1-AG2503)*IFERROR(INDEX(계정대체기준!$C$20:$C$49,MATCH($N2503,계정대체기준!$A$20:$A$49,0)),0)))</f>
        <v/>
      </c>
      <c r="AA2503" s="94">
        <f>IF($A2503="",0,IF(AE2503="직접",IF(OR(AF2503="유지비",AF2503="손해조사비"),$P2503,0),$P2503*(1-AG2503)*IFERROR(INDEX(계정대체기준!$D$20:$D$49,MATCH($N2503,계정대체기준!$A$20:$A$49,0)),0)))</f>
        <v/>
      </c>
      <c r="AB2503" s="94">
        <f>IF($A2503="",0,IF(AE2503="직접",IF(AF2503="수금비",$P2503,0),$P2503*(1-AG2503)*IFERROR(INDEX(계정대체기준!$E$20:$E$49,MATCH($N2503,계정대체기준!$A$20:$A$49,0)),0)))</f>
        <v/>
      </c>
      <c r="AC2503" s="9">
        <f>IF(AND($A2503&lt;&gt;"",M2503=설정!$C$20,Z2503&gt;0),Z2503+ROW()/1000000000,"")</f>
        <v/>
      </c>
      <c r="AD2503" s="94">
        <f>IF($A2503="",0,$P2503*AG2503)</f>
        <v/>
      </c>
      <c r="AE2503" s="64">
        <f>IF($A2503="","",IFERROR(INDEX(계정매핑!$E$5:$E$504,MATCH($F2503&amp;"",계정매핑!$A$5:$A$504,0))&amp;"","공통비"))</f>
        <v/>
      </c>
      <c r="AF2503" s="64">
        <f>IF($A2503="","",IF(AE2503="직접",IFERROR(INDEX(계정매핑!$F$5:$F$504,MATCH($F2503&amp;"",계정매핑!$A$5:$A$504,0))&amp;"","비귀속"),""))</f>
        <v/>
      </c>
      <c r="AG2503" s="96">
        <f>IF($A2503="",0,IF(AND(AE2503&lt;&gt;"직접",IFERROR(INDEX(계정매핑!$G$5:$G$504,MATCH($F2503&amp;"",계정매핑!$A$5:$A$504,0))&amp;"","")="유지비",COUNTIF(계정대체기준!$A$6:$A$15,$N2503)&gt;0),IFERROR(INDEX(계정대체기준!$E$6:$E$15,MATCH(VALUE($A2503&amp;""),계정대체기준!$D$6:$D$15,0)),0),0))</f>
        <v/>
      </c>
      <c r="AH2503" s="64">
        <f>IF($A2503="","",IF(AD2503=0,"",IF(OR(COUNTIF(계정대체기준!$A$77:$A$86,$N2503)&gt;0,ISNUMBER(MATCH($X2503,계정대체기준!$D$77:$D$86,0)),ISNUMBER(MATCH($F2503,계정대체기준!$D$77:$D$86,0))),"Y","N")))</f>
        <v/>
      </c>
    </row>
    <row r="2504">
      <c r="A2504" s="92" t="n">
        <v>2025</v>
      </c>
      <c r="B2504" s="92" t="n">
        <v>12</v>
      </c>
      <c r="C2504" s="92" t="inlineStr">
        <is>
          <t>5100002500</t>
        </is>
      </c>
      <c r="D2504" s="95" t="n">
        <v>45994</v>
      </c>
      <c r="E2504" s="92" t="inlineStr">
        <is>
          <t>KR</t>
        </is>
      </c>
      <c r="F2504" s="92" t="n">
        <v>62801000</v>
      </c>
      <c r="G2504" s="92" t="n">
        <v>1301</v>
      </c>
      <c r="H2504" s="93" t="n">
        <v>3803000</v>
      </c>
      <c r="I2504" s="92" t="inlineStr">
        <is>
          <t>12월 사내교육 - U에듀</t>
        </is>
      </c>
      <c r="J2504" s="92" t="inlineStr">
        <is>
          <t>V10031</t>
        </is>
      </c>
      <c r="K2504" s="92" t="inlineStr">
        <is>
          <t>U에듀</t>
        </is>
      </c>
      <c r="M2504" s="9">
        <f>IF($A2504="","",VALUE($A2504&amp;"")*12+VALUE($B2504&amp;""))</f>
        <v/>
      </c>
      <c r="N2504" s="64">
        <f>IF($A2504="","",IFERROR(INDEX(부서매핑!$C$5:$C$504,MATCH($G2504&amp;"",부서매핑!$A$5:$A$504,0)),"미매핑"))</f>
        <v/>
      </c>
      <c r="O2504" s="9">
        <f>IF($A2504="","",N2504&amp;"|"&amp;$F2504)</f>
        <v/>
      </c>
      <c r="P2504" s="94">
        <f>IF($A2504="",0,$H2504*설정!$C$23)</f>
        <v/>
      </c>
      <c r="Q2504" s="64">
        <f>IF($A2504="","",IF(O2504&lt;&gt;원인분석!$C$9,"",IF(AND(M2504&gt;=원인분석!$C$10,M2504&lt;=원인분석!$C$11),"당기",IF(AND(M2504&gt;=원인분석!$C$12,M2504&lt;=원인분석!$C$13),"비교",""))))</f>
        <v/>
      </c>
      <c r="R2504" s="9">
        <f>IF(Q2504="","",$K2504&amp;"")</f>
        <v/>
      </c>
      <c r="S2504" s="9">
        <f>IF(Q2504="","",IF(MATCH(R2504,$R$5:$R$100000,0)=ROW()-4,ROW(),""))</f>
        <v/>
      </c>
      <c r="T2504" s="9">
        <f>IF(Q2504="당기",ABS(P2504)+ROW()/1000000000,"")</f>
        <v/>
      </c>
      <c r="U2504" s="9">
        <f>IF(Q2504="비교",ABS(P2504)+ROW()/1000000000,"")</f>
        <v/>
      </c>
      <c r="V2504" s="64">
        <f>IF($A2504="","",IF(COUNTIF(변동분석!$E$7:$E$506,O2504)&gt;0,"Y","N"))</f>
        <v/>
      </c>
      <c r="W2504" s="64">
        <f>IF($A2504="","",IFERROR(INDEX(계정매핑!$D$5:$D$504,MATCH($F2504&amp;"",계정매핑!$A$5:$A$504,0)),"미매핑"))</f>
        <v/>
      </c>
      <c r="X2504" s="9">
        <f>IF($A2504="","",$F2504&amp;"")</f>
        <v/>
      </c>
      <c r="Y2504" s="94">
        <f>IF($A2504="",0,IF(AE2504="직접",IF(AF2504="비귀속",$P2504,0),$P2504*(1-AG2504)*IFERROR(INDEX(계정대체기준!$F$20:$F$49,MATCH($N2504,계정대체기준!$A$20:$A$49,0)),1)))</f>
        <v/>
      </c>
      <c r="Z2504" s="94">
        <f>IF($A2504="",0,IF(AE2504="직접",IF(AF2504="신계약비",$P2504,0),$P2504*(1-AG2504)*IFERROR(INDEX(계정대체기준!$C$20:$C$49,MATCH($N2504,계정대체기준!$A$20:$A$49,0)),0)))</f>
        <v/>
      </c>
      <c r="AA2504" s="94">
        <f>IF($A2504="",0,IF(AE2504="직접",IF(OR(AF2504="유지비",AF2504="손해조사비"),$P2504,0),$P2504*(1-AG2504)*IFERROR(INDEX(계정대체기준!$D$20:$D$49,MATCH($N2504,계정대체기준!$A$20:$A$49,0)),0)))</f>
        <v/>
      </c>
      <c r="AB2504" s="94">
        <f>IF($A2504="",0,IF(AE2504="직접",IF(AF2504="수금비",$P2504,0),$P2504*(1-AG2504)*IFERROR(INDEX(계정대체기준!$E$20:$E$49,MATCH($N2504,계정대체기준!$A$20:$A$49,0)),0)))</f>
        <v/>
      </c>
      <c r="AC2504" s="9">
        <f>IF(AND($A2504&lt;&gt;"",M2504=설정!$C$20,Z2504&gt;0),Z2504+ROW()/1000000000,"")</f>
        <v/>
      </c>
      <c r="AD2504" s="94">
        <f>IF($A2504="",0,$P2504*AG2504)</f>
        <v/>
      </c>
      <c r="AE2504" s="64">
        <f>IF($A2504="","",IFERROR(INDEX(계정매핑!$E$5:$E$504,MATCH($F2504&amp;"",계정매핑!$A$5:$A$504,0))&amp;"","공통비"))</f>
        <v/>
      </c>
      <c r="AF2504" s="64">
        <f>IF($A2504="","",IF(AE2504="직접",IFERROR(INDEX(계정매핑!$F$5:$F$504,MATCH($F2504&amp;"",계정매핑!$A$5:$A$504,0))&amp;"","비귀속"),""))</f>
        <v/>
      </c>
      <c r="AG2504" s="96">
        <f>IF($A2504="",0,IF(AND(AE2504&lt;&gt;"직접",IFERROR(INDEX(계정매핑!$G$5:$G$504,MATCH($F2504&amp;"",계정매핑!$A$5:$A$504,0))&amp;"","")="유지비",COUNTIF(계정대체기준!$A$6:$A$15,$N2504)&gt;0),IFERROR(INDEX(계정대체기준!$E$6:$E$15,MATCH(VALUE($A2504&amp;""),계정대체기준!$D$6:$D$15,0)),0),0))</f>
        <v/>
      </c>
      <c r="AH2504" s="64">
        <f>IF($A2504="","",IF(AD2504=0,"",IF(OR(COUNTIF(계정대체기준!$A$77:$A$86,$N2504)&gt;0,ISNUMBER(MATCH($X2504,계정대체기준!$D$77:$D$86,0)),ISNUMBER(MATCH($F2504,계정대체기준!$D$77:$D$86,0))),"Y","N")))</f>
        <v/>
      </c>
    </row>
    <row r="2505">
      <c r="A2505" s="92" t="n">
        <v>2025</v>
      </c>
      <c r="B2505" s="92" t="n">
        <v>12</v>
      </c>
      <c r="C2505" s="92" t="inlineStr">
        <is>
          <t>5100002501</t>
        </is>
      </c>
      <c r="D2505" s="95" t="n">
        <v>45995</v>
      </c>
      <c r="E2505" s="92" t="inlineStr">
        <is>
          <t>KR</t>
        </is>
      </c>
      <c r="F2505" s="92" t="n">
        <v>62102000</v>
      </c>
      <c r="G2505" s="92" t="n">
        <v>1601</v>
      </c>
      <c r="H2505" s="93" t="n">
        <v>194000</v>
      </c>
      <c r="I2505" s="92" t="inlineStr">
        <is>
          <t>12월 해외출장 - N호텔</t>
        </is>
      </c>
      <c r="J2505" s="92" t="inlineStr">
        <is>
          <t>V10009</t>
        </is>
      </c>
      <c r="K2505" s="92" t="inlineStr">
        <is>
          <t>N호텔</t>
        </is>
      </c>
      <c r="M2505" s="9">
        <f>IF($A2505="","",VALUE($A2505&amp;"")*12+VALUE($B2505&amp;""))</f>
        <v/>
      </c>
      <c r="N2505" s="64">
        <f>IF($A2505="","",IFERROR(INDEX(부서매핑!$C$5:$C$504,MATCH($G2505&amp;"",부서매핑!$A$5:$A$504,0)),"미매핑"))</f>
        <v/>
      </c>
      <c r="O2505" s="9">
        <f>IF($A2505="","",N2505&amp;"|"&amp;$F2505)</f>
        <v/>
      </c>
      <c r="P2505" s="94">
        <f>IF($A2505="",0,$H2505*설정!$C$23)</f>
        <v/>
      </c>
      <c r="Q2505" s="64">
        <f>IF($A2505="","",IF(O2505&lt;&gt;원인분석!$C$9,"",IF(AND(M2505&gt;=원인분석!$C$10,M2505&lt;=원인분석!$C$11),"당기",IF(AND(M2505&gt;=원인분석!$C$12,M2505&lt;=원인분석!$C$13),"비교",""))))</f>
        <v/>
      </c>
      <c r="R2505" s="9">
        <f>IF(Q2505="","",$K2505&amp;"")</f>
        <v/>
      </c>
      <c r="S2505" s="9">
        <f>IF(Q2505="","",IF(MATCH(R2505,$R$5:$R$100000,0)=ROW()-4,ROW(),""))</f>
        <v/>
      </c>
      <c r="T2505" s="9">
        <f>IF(Q2505="당기",ABS(P2505)+ROW()/1000000000,"")</f>
        <v/>
      </c>
      <c r="U2505" s="9">
        <f>IF(Q2505="비교",ABS(P2505)+ROW()/1000000000,"")</f>
        <v/>
      </c>
      <c r="V2505" s="64">
        <f>IF($A2505="","",IF(COUNTIF(변동분석!$E$7:$E$506,O2505)&gt;0,"Y","N"))</f>
        <v/>
      </c>
      <c r="W2505" s="64">
        <f>IF($A2505="","",IFERROR(INDEX(계정매핑!$D$5:$D$504,MATCH($F2505&amp;"",계정매핑!$A$5:$A$504,0)),"미매핑"))</f>
        <v/>
      </c>
      <c r="X2505" s="9">
        <f>IF($A2505="","",$F2505&amp;"")</f>
        <v/>
      </c>
      <c r="Y2505" s="94">
        <f>IF($A2505="",0,IF(AE2505="직접",IF(AF2505="비귀속",$P2505,0),$P2505*(1-AG2505)*IFERROR(INDEX(계정대체기준!$F$20:$F$49,MATCH($N2505,계정대체기준!$A$20:$A$49,0)),1)))</f>
        <v/>
      </c>
      <c r="Z2505" s="94">
        <f>IF($A2505="",0,IF(AE2505="직접",IF(AF2505="신계약비",$P2505,0),$P2505*(1-AG2505)*IFERROR(INDEX(계정대체기준!$C$20:$C$49,MATCH($N2505,계정대체기준!$A$20:$A$49,0)),0)))</f>
        <v/>
      </c>
      <c r="AA2505" s="94">
        <f>IF($A2505="",0,IF(AE2505="직접",IF(OR(AF2505="유지비",AF2505="손해조사비"),$P2505,0),$P2505*(1-AG2505)*IFERROR(INDEX(계정대체기준!$D$20:$D$49,MATCH($N2505,계정대체기준!$A$20:$A$49,0)),0)))</f>
        <v/>
      </c>
      <c r="AB2505" s="94">
        <f>IF($A2505="",0,IF(AE2505="직접",IF(AF2505="수금비",$P2505,0),$P2505*(1-AG2505)*IFERROR(INDEX(계정대체기준!$E$20:$E$49,MATCH($N2505,계정대체기준!$A$20:$A$49,0)),0)))</f>
        <v/>
      </c>
      <c r="AC2505" s="9">
        <f>IF(AND($A2505&lt;&gt;"",M2505=설정!$C$20,Z2505&gt;0),Z2505+ROW()/1000000000,"")</f>
        <v/>
      </c>
      <c r="AD2505" s="94">
        <f>IF($A2505="",0,$P2505*AG2505)</f>
        <v/>
      </c>
      <c r="AE2505" s="64">
        <f>IF($A2505="","",IFERROR(INDEX(계정매핑!$E$5:$E$504,MATCH($F2505&amp;"",계정매핑!$A$5:$A$504,0))&amp;"","공통비"))</f>
        <v/>
      </c>
      <c r="AF2505" s="64">
        <f>IF($A2505="","",IF(AE2505="직접",IFERROR(INDEX(계정매핑!$F$5:$F$504,MATCH($F2505&amp;"",계정매핑!$A$5:$A$504,0))&amp;"","비귀속"),""))</f>
        <v/>
      </c>
      <c r="AG2505" s="96">
        <f>IF($A2505="",0,IF(AND(AE2505&lt;&gt;"직접",IFERROR(INDEX(계정매핑!$G$5:$G$504,MATCH($F2505&amp;"",계정매핑!$A$5:$A$504,0))&amp;"","")="유지비",COUNTIF(계정대체기준!$A$6:$A$15,$N2505)&gt;0),IFERROR(INDEX(계정대체기준!$E$6:$E$15,MATCH(VALUE($A2505&amp;""),계정대체기준!$D$6:$D$15,0)),0),0))</f>
        <v/>
      </c>
      <c r="AH2505" s="64">
        <f>IF($A2505="","",IF(AD2505=0,"",IF(OR(COUNTIF(계정대체기준!$A$77:$A$86,$N2505)&gt;0,ISNUMBER(MATCH($X2505,계정대체기준!$D$77:$D$86,0)),ISNUMBER(MATCH($F2505,계정대체기준!$D$77:$D$86,0))),"Y","N")))</f>
        <v/>
      </c>
    </row>
    <row r="2506">
      <c r="A2506" s="92" t="n">
        <v>2025</v>
      </c>
      <c r="B2506" s="92" t="n">
        <v>12</v>
      </c>
      <c r="C2506" s="92" t="inlineStr">
        <is>
          <t>5100002502</t>
        </is>
      </c>
      <c r="D2506" s="95" t="n">
        <v>45995</v>
      </c>
      <c r="E2506" s="92" t="inlineStr">
        <is>
          <t>KR</t>
        </is>
      </c>
      <c r="F2506" s="92" t="n">
        <v>62401000</v>
      </c>
      <c r="G2506" s="92" t="n">
        <v>1401</v>
      </c>
      <c r="H2506" s="93" t="n">
        <v>203000</v>
      </c>
      <c r="I2506" s="92" t="inlineStr">
        <is>
          <t>12월 인쇄물 제작 - G인쇄</t>
        </is>
      </c>
      <c r="J2506" s="92" t="inlineStr">
        <is>
          <t>V10004</t>
        </is>
      </c>
      <c r="K2506" s="92" t="inlineStr">
        <is>
          <t>G인쇄</t>
        </is>
      </c>
      <c r="M2506" s="9">
        <f>IF($A2506="","",VALUE($A2506&amp;"")*12+VALUE($B2506&amp;""))</f>
        <v/>
      </c>
      <c r="N2506" s="64">
        <f>IF($A2506="","",IFERROR(INDEX(부서매핑!$C$5:$C$504,MATCH($G2506&amp;"",부서매핑!$A$5:$A$504,0)),"미매핑"))</f>
        <v/>
      </c>
      <c r="O2506" s="9">
        <f>IF($A2506="","",N2506&amp;"|"&amp;$F2506)</f>
        <v/>
      </c>
      <c r="P2506" s="94">
        <f>IF($A2506="",0,$H2506*설정!$C$23)</f>
        <v/>
      </c>
      <c r="Q2506" s="64">
        <f>IF($A2506="","",IF(O2506&lt;&gt;원인분석!$C$9,"",IF(AND(M2506&gt;=원인분석!$C$10,M2506&lt;=원인분석!$C$11),"당기",IF(AND(M2506&gt;=원인분석!$C$12,M2506&lt;=원인분석!$C$13),"비교",""))))</f>
        <v/>
      </c>
      <c r="R2506" s="9">
        <f>IF(Q2506="","",$K2506&amp;"")</f>
        <v/>
      </c>
      <c r="S2506" s="9">
        <f>IF(Q2506="","",IF(MATCH(R2506,$R$5:$R$100000,0)=ROW()-4,ROW(),""))</f>
        <v/>
      </c>
      <c r="T2506" s="9">
        <f>IF(Q2506="당기",ABS(P2506)+ROW()/1000000000,"")</f>
        <v/>
      </c>
      <c r="U2506" s="9">
        <f>IF(Q2506="비교",ABS(P2506)+ROW()/1000000000,"")</f>
        <v/>
      </c>
      <c r="V2506" s="64">
        <f>IF($A2506="","",IF(COUNTIF(변동분석!$E$7:$E$506,O2506)&gt;0,"Y","N"))</f>
        <v/>
      </c>
      <c r="W2506" s="64">
        <f>IF($A2506="","",IFERROR(INDEX(계정매핑!$D$5:$D$504,MATCH($F2506&amp;"",계정매핑!$A$5:$A$504,0)),"미매핑"))</f>
        <v/>
      </c>
      <c r="X2506" s="9">
        <f>IF($A2506="","",$F2506&amp;"")</f>
        <v/>
      </c>
      <c r="Y2506" s="94">
        <f>IF($A2506="",0,IF(AE2506="직접",IF(AF2506="비귀속",$P2506,0),$P2506*(1-AG2506)*IFERROR(INDEX(계정대체기준!$F$20:$F$49,MATCH($N2506,계정대체기준!$A$20:$A$49,0)),1)))</f>
        <v/>
      </c>
      <c r="Z2506" s="94">
        <f>IF($A2506="",0,IF(AE2506="직접",IF(AF2506="신계약비",$P2506,0),$P2506*(1-AG2506)*IFERROR(INDEX(계정대체기준!$C$20:$C$49,MATCH($N2506,계정대체기준!$A$20:$A$49,0)),0)))</f>
        <v/>
      </c>
      <c r="AA2506" s="94">
        <f>IF($A2506="",0,IF(AE2506="직접",IF(OR(AF2506="유지비",AF2506="손해조사비"),$P2506,0),$P2506*(1-AG2506)*IFERROR(INDEX(계정대체기준!$D$20:$D$49,MATCH($N2506,계정대체기준!$A$20:$A$49,0)),0)))</f>
        <v/>
      </c>
      <c r="AB2506" s="94">
        <f>IF($A2506="",0,IF(AE2506="직접",IF(AF2506="수금비",$P2506,0),$P2506*(1-AG2506)*IFERROR(INDEX(계정대체기준!$E$20:$E$49,MATCH($N2506,계정대체기준!$A$20:$A$49,0)),0)))</f>
        <v/>
      </c>
      <c r="AC2506" s="9">
        <f>IF(AND($A2506&lt;&gt;"",M2506=설정!$C$20,Z2506&gt;0),Z2506+ROW()/1000000000,"")</f>
        <v/>
      </c>
      <c r="AD2506" s="94">
        <f>IF($A2506="",0,$P2506*AG2506)</f>
        <v/>
      </c>
      <c r="AE2506" s="64">
        <f>IF($A2506="","",IFERROR(INDEX(계정매핑!$E$5:$E$504,MATCH($F2506&amp;"",계정매핑!$A$5:$A$504,0))&amp;"","공통비"))</f>
        <v/>
      </c>
      <c r="AF2506" s="64">
        <f>IF($A2506="","",IF(AE2506="직접",IFERROR(INDEX(계정매핑!$F$5:$F$504,MATCH($F2506&amp;"",계정매핑!$A$5:$A$504,0))&amp;"","비귀속"),""))</f>
        <v/>
      </c>
      <c r="AG2506" s="96">
        <f>IF($A2506="",0,IF(AND(AE2506&lt;&gt;"직접",IFERROR(INDEX(계정매핑!$G$5:$G$504,MATCH($F2506&amp;"",계정매핑!$A$5:$A$504,0))&amp;"","")="유지비",COUNTIF(계정대체기준!$A$6:$A$15,$N2506)&gt;0),IFERROR(INDEX(계정대체기준!$E$6:$E$15,MATCH(VALUE($A2506&amp;""),계정대체기준!$D$6:$D$15,0)),0),0))</f>
        <v/>
      </c>
      <c r="AH2506" s="64">
        <f>IF($A2506="","",IF(AD2506=0,"",IF(OR(COUNTIF(계정대체기준!$A$77:$A$86,$N2506)&gt;0,ISNUMBER(MATCH($X2506,계정대체기준!$D$77:$D$86,0)),ISNUMBER(MATCH($F2506,계정대체기준!$D$77:$D$86,0))),"Y","N")))</f>
        <v/>
      </c>
    </row>
    <row r="2507">
      <c r="A2507" s="92" t="n">
        <v>2025</v>
      </c>
      <c r="B2507" s="92" t="n">
        <v>12</v>
      </c>
      <c r="C2507" s="92" t="inlineStr">
        <is>
          <t>5100002503</t>
        </is>
      </c>
      <c r="D2507" s="95" t="n">
        <v>45995</v>
      </c>
      <c r="E2507" s="92" t="inlineStr">
        <is>
          <t>KR</t>
        </is>
      </c>
      <c r="F2507" s="92" t="n">
        <v>62501000</v>
      </c>
      <c r="G2507" s="92" t="n">
        <v>1301</v>
      </c>
      <c r="H2507" s="93" t="n">
        <v>266000</v>
      </c>
      <c r="I2507" s="92" t="inlineStr">
        <is>
          <t>12월 회의 다과 - (법인카드)</t>
        </is>
      </c>
      <c r="J2507" s="92" t="inlineStr">
        <is>
          <t>V10010</t>
        </is>
      </c>
      <c r="K2507" s="92" t="inlineStr">
        <is>
          <t>(법인카드)</t>
        </is>
      </c>
      <c r="M2507" s="9">
        <f>IF($A2507="","",VALUE($A2507&amp;"")*12+VALUE($B2507&amp;""))</f>
        <v/>
      </c>
      <c r="N2507" s="64">
        <f>IF($A2507="","",IFERROR(INDEX(부서매핑!$C$5:$C$504,MATCH($G2507&amp;"",부서매핑!$A$5:$A$504,0)),"미매핑"))</f>
        <v/>
      </c>
      <c r="O2507" s="9">
        <f>IF($A2507="","",N2507&amp;"|"&amp;$F2507)</f>
        <v/>
      </c>
      <c r="P2507" s="94">
        <f>IF($A2507="",0,$H2507*설정!$C$23)</f>
        <v/>
      </c>
      <c r="Q2507" s="64">
        <f>IF($A2507="","",IF(O2507&lt;&gt;원인분석!$C$9,"",IF(AND(M2507&gt;=원인분석!$C$10,M2507&lt;=원인분석!$C$11),"당기",IF(AND(M2507&gt;=원인분석!$C$12,M2507&lt;=원인분석!$C$13),"비교",""))))</f>
        <v/>
      </c>
      <c r="R2507" s="9">
        <f>IF(Q2507="","",$K2507&amp;"")</f>
        <v/>
      </c>
      <c r="S2507" s="9">
        <f>IF(Q2507="","",IF(MATCH(R2507,$R$5:$R$100000,0)=ROW()-4,ROW(),""))</f>
        <v/>
      </c>
      <c r="T2507" s="9">
        <f>IF(Q2507="당기",ABS(P2507)+ROW()/1000000000,"")</f>
        <v/>
      </c>
      <c r="U2507" s="9">
        <f>IF(Q2507="비교",ABS(P2507)+ROW()/1000000000,"")</f>
        <v/>
      </c>
      <c r="V2507" s="64">
        <f>IF($A2507="","",IF(COUNTIF(변동분석!$E$7:$E$506,O2507)&gt;0,"Y","N"))</f>
        <v/>
      </c>
      <c r="W2507" s="64">
        <f>IF($A2507="","",IFERROR(INDEX(계정매핑!$D$5:$D$504,MATCH($F2507&amp;"",계정매핑!$A$5:$A$504,0)),"미매핑"))</f>
        <v/>
      </c>
      <c r="X2507" s="9">
        <f>IF($A2507="","",$F2507&amp;"")</f>
        <v/>
      </c>
      <c r="Y2507" s="94">
        <f>IF($A2507="",0,IF(AE2507="직접",IF(AF2507="비귀속",$P2507,0),$P2507*(1-AG2507)*IFERROR(INDEX(계정대체기준!$F$20:$F$49,MATCH($N2507,계정대체기준!$A$20:$A$49,0)),1)))</f>
        <v/>
      </c>
      <c r="Z2507" s="94">
        <f>IF($A2507="",0,IF(AE2507="직접",IF(AF2507="신계약비",$P2507,0),$P2507*(1-AG2507)*IFERROR(INDEX(계정대체기준!$C$20:$C$49,MATCH($N2507,계정대체기준!$A$20:$A$49,0)),0)))</f>
        <v/>
      </c>
      <c r="AA2507" s="94">
        <f>IF($A2507="",0,IF(AE2507="직접",IF(OR(AF2507="유지비",AF2507="손해조사비"),$P2507,0),$P2507*(1-AG2507)*IFERROR(INDEX(계정대체기준!$D$20:$D$49,MATCH($N2507,계정대체기준!$A$20:$A$49,0)),0)))</f>
        <v/>
      </c>
      <c r="AB2507" s="94">
        <f>IF($A2507="",0,IF(AE2507="직접",IF(AF2507="수금비",$P2507,0),$P2507*(1-AG2507)*IFERROR(INDEX(계정대체기준!$E$20:$E$49,MATCH($N2507,계정대체기준!$A$20:$A$49,0)),0)))</f>
        <v/>
      </c>
      <c r="AC2507" s="9">
        <f>IF(AND($A2507&lt;&gt;"",M2507=설정!$C$20,Z2507&gt;0),Z2507+ROW()/1000000000,"")</f>
        <v/>
      </c>
      <c r="AD2507" s="94">
        <f>IF($A2507="",0,$P2507*AG2507)</f>
        <v/>
      </c>
      <c r="AE2507" s="64">
        <f>IF($A2507="","",IFERROR(INDEX(계정매핑!$E$5:$E$504,MATCH($F2507&amp;"",계정매핑!$A$5:$A$504,0))&amp;"","공통비"))</f>
        <v/>
      </c>
      <c r="AF2507" s="64">
        <f>IF($A2507="","",IF(AE2507="직접",IFERROR(INDEX(계정매핑!$F$5:$F$504,MATCH($F2507&amp;"",계정매핑!$A$5:$A$504,0))&amp;"","비귀속"),""))</f>
        <v/>
      </c>
      <c r="AG2507" s="96">
        <f>IF($A2507="",0,IF(AND(AE2507&lt;&gt;"직접",IFERROR(INDEX(계정매핑!$G$5:$G$504,MATCH($F2507&amp;"",계정매핑!$A$5:$A$504,0))&amp;"","")="유지비",COUNTIF(계정대체기준!$A$6:$A$15,$N2507)&gt;0),IFERROR(INDEX(계정대체기준!$E$6:$E$15,MATCH(VALUE($A2507&amp;""),계정대체기준!$D$6:$D$15,0)),0),0))</f>
        <v/>
      </c>
      <c r="AH2507" s="64">
        <f>IF($A2507="","",IF(AD2507=0,"",IF(OR(COUNTIF(계정대체기준!$A$77:$A$86,$N2507)&gt;0,ISNUMBER(MATCH($X2507,계정대체기준!$D$77:$D$86,0)),ISNUMBER(MATCH($F2507,계정대체기준!$D$77:$D$86,0))),"Y","N")))</f>
        <v/>
      </c>
    </row>
    <row r="2508">
      <c r="A2508" s="92" t="n">
        <v>2025</v>
      </c>
      <c r="B2508" s="92" t="n">
        <v>12</v>
      </c>
      <c r="C2508" s="92" t="inlineStr">
        <is>
          <t>5100002504</t>
        </is>
      </c>
      <c r="D2508" s="95" t="n">
        <v>45995</v>
      </c>
      <c r="E2508" s="92" t="inlineStr">
        <is>
          <t>KR</t>
        </is>
      </c>
      <c r="F2508" s="92" t="n">
        <v>62501000</v>
      </c>
      <c r="G2508" s="92" t="n">
        <v>1401</v>
      </c>
      <c r="H2508" s="93" t="n">
        <v>369000</v>
      </c>
      <c r="I2508" s="92" t="inlineStr">
        <is>
          <t>12월 회의 다과 - T케이터링</t>
        </is>
      </c>
      <c r="J2508" s="92" t="inlineStr">
        <is>
          <t>V10005</t>
        </is>
      </c>
      <c r="K2508" s="92" t="inlineStr">
        <is>
          <t>T케이터링</t>
        </is>
      </c>
      <c r="M2508" s="9">
        <f>IF($A2508="","",VALUE($A2508&amp;"")*12+VALUE($B2508&amp;""))</f>
        <v/>
      </c>
      <c r="N2508" s="64">
        <f>IF($A2508="","",IFERROR(INDEX(부서매핑!$C$5:$C$504,MATCH($G2508&amp;"",부서매핑!$A$5:$A$504,0)),"미매핑"))</f>
        <v/>
      </c>
      <c r="O2508" s="9">
        <f>IF($A2508="","",N2508&amp;"|"&amp;$F2508)</f>
        <v/>
      </c>
      <c r="P2508" s="94">
        <f>IF($A2508="",0,$H2508*설정!$C$23)</f>
        <v/>
      </c>
      <c r="Q2508" s="64">
        <f>IF($A2508="","",IF(O2508&lt;&gt;원인분석!$C$9,"",IF(AND(M2508&gt;=원인분석!$C$10,M2508&lt;=원인분석!$C$11),"당기",IF(AND(M2508&gt;=원인분석!$C$12,M2508&lt;=원인분석!$C$13),"비교",""))))</f>
        <v/>
      </c>
      <c r="R2508" s="9">
        <f>IF(Q2508="","",$K2508&amp;"")</f>
        <v/>
      </c>
      <c r="S2508" s="9">
        <f>IF(Q2508="","",IF(MATCH(R2508,$R$5:$R$100000,0)=ROW()-4,ROW(),""))</f>
        <v/>
      </c>
      <c r="T2508" s="9">
        <f>IF(Q2508="당기",ABS(P2508)+ROW()/1000000000,"")</f>
        <v/>
      </c>
      <c r="U2508" s="9">
        <f>IF(Q2508="비교",ABS(P2508)+ROW()/1000000000,"")</f>
        <v/>
      </c>
      <c r="V2508" s="64">
        <f>IF($A2508="","",IF(COUNTIF(변동분석!$E$7:$E$506,O2508)&gt;0,"Y","N"))</f>
        <v/>
      </c>
      <c r="W2508" s="64">
        <f>IF($A2508="","",IFERROR(INDEX(계정매핑!$D$5:$D$504,MATCH($F2508&amp;"",계정매핑!$A$5:$A$504,0)),"미매핑"))</f>
        <v/>
      </c>
      <c r="X2508" s="9">
        <f>IF($A2508="","",$F2508&amp;"")</f>
        <v/>
      </c>
      <c r="Y2508" s="94">
        <f>IF($A2508="",0,IF(AE2508="직접",IF(AF2508="비귀속",$P2508,0),$P2508*(1-AG2508)*IFERROR(INDEX(계정대체기준!$F$20:$F$49,MATCH($N2508,계정대체기준!$A$20:$A$49,0)),1)))</f>
        <v/>
      </c>
      <c r="Z2508" s="94">
        <f>IF($A2508="",0,IF(AE2508="직접",IF(AF2508="신계약비",$P2508,0),$P2508*(1-AG2508)*IFERROR(INDEX(계정대체기준!$C$20:$C$49,MATCH($N2508,계정대체기준!$A$20:$A$49,0)),0)))</f>
        <v/>
      </c>
      <c r="AA2508" s="94">
        <f>IF($A2508="",0,IF(AE2508="직접",IF(OR(AF2508="유지비",AF2508="손해조사비"),$P2508,0),$P2508*(1-AG2508)*IFERROR(INDEX(계정대체기준!$D$20:$D$49,MATCH($N2508,계정대체기준!$A$20:$A$49,0)),0)))</f>
        <v/>
      </c>
      <c r="AB2508" s="94">
        <f>IF($A2508="",0,IF(AE2508="직접",IF(AF2508="수금비",$P2508,0),$P2508*(1-AG2508)*IFERROR(INDEX(계정대체기준!$E$20:$E$49,MATCH($N2508,계정대체기준!$A$20:$A$49,0)),0)))</f>
        <v/>
      </c>
      <c r="AC2508" s="9">
        <f>IF(AND($A2508&lt;&gt;"",M2508=설정!$C$20,Z2508&gt;0),Z2508+ROW()/1000000000,"")</f>
        <v/>
      </c>
      <c r="AD2508" s="94">
        <f>IF($A2508="",0,$P2508*AG2508)</f>
        <v/>
      </c>
      <c r="AE2508" s="64">
        <f>IF($A2508="","",IFERROR(INDEX(계정매핑!$E$5:$E$504,MATCH($F2508&amp;"",계정매핑!$A$5:$A$504,0))&amp;"","공통비"))</f>
        <v/>
      </c>
      <c r="AF2508" s="64">
        <f>IF($A2508="","",IF(AE2508="직접",IFERROR(INDEX(계정매핑!$F$5:$F$504,MATCH($F2508&amp;"",계정매핑!$A$5:$A$504,0))&amp;"","비귀속"),""))</f>
        <v/>
      </c>
      <c r="AG2508" s="96">
        <f>IF($A2508="",0,IF(AND(AE2508&lt;&gt;"직접",IFERROR(INDEX(계정매핑!$G$5:$G$504,MATCH($F2508&amp;"",계정매핑!$A$5:$A$504,0))&amp;"","")="유지비",COUNTIF(계정대체기준!$A$6:$A$15,$N2508)&gt;0),IFERROR(INDEX(계정대체기준!$E$6:$E$15,MATCH(VALUE($A2508&amp;""),계정대체기준!$D$6:$D$15,0)),0),0))</f>
        <v/>
      </c>
      <c r="AH2508" s="64">
        <f>IF($A2508="","",IF(AD2508=0,"",IF(OR(COUNTIF(계정대체기준!$A$77:$A$86,$N2508)&gt;0,ISNUMBER(MATCH($X2508,계정대체기준!$D$77:$D$86,0)),ISNUMBER(MATCH($F2508,계정대체기준!$D$77:$D$86,0))),"Y","N")))</f>
        <v/>
      </c>
    </row>
    <row r="2509">
      <c r="A2509" s="92" t="n">
        <v>2025</v>
      </c>
      <c r="B2509" s="92" t="n">
        <v>12</v>
      </c>
      <c r="C2509" s="92" t="inlineStr">
        <is>
          <t>5100002505</t>
        </is>
      </c>
      <c r="D2509" s="95" t="n">
        <v>45995</v>
      </c>
      <c r="E2509" s="92" t="inlineStr">
        <is>
          <t>KR</t>
        </is>
      </c>
      <c r="F2509" s="92" t="n">
        <v>62501000</v>
      </c>
      <c r="G2509" s="92" t="n">
        <v>1501</v>
      </c>
      <c r="H2509" s="93" t="n">
        <v>232000</v>
      </c>
      <c r="I2509" s="92" t="inlineStr">
        <is>
          <t>12월 회의 다과 - (법인카드)</t>
        </is>
      </c>
      <c r="J2509" s="92" t="inlineStr">
        <is>
          <t>V10010</t>
        </is>
      </c>
      <c r="K2509" s="92" t="inlineStr">
        <is>
          <t>(법인카드)</t>
        </is>
      </c>
      <c r="M2509" s="9">
        <f>IF($A2509="","",VALUE($A2509&amp;"")*12+VALUE($B2509&amp;""))</f>
        <v/>
      </c>
      <c r="N2509" s="64">
        <f>IF($A2509="","",IFERROR(INDEX(부서매핑!$C$5:$C$504,MATCH($G2509&amp;"",부서매핑!$A$5:$A$504,0)),"미매핑"))</f>
        <v/>
      </c>
      <c r="O2509" s="9">
        <f>IF($A2509="","",N2509&amp;"|"&amp;$F2509)</f>
        <v/>
      </c>
      <c r="P2509" s="94">
        <f>IF($A2509="",0,$H2509*설정!$C$23)</f>
        <v/>
      </c>
      <c r="Q2509" s="64">
        <f>IF($A2509="","",IF(O2509&lt;&gt;원인분석!$C$9,"",IF(AND(M2509&gt;=원인분석!$C$10,M2509&lt;=원인분석!$C$11),"당기",IF(AND(M2509&gt;=원인분석!$C$12,M2509&lt;=원인분석!$C$13),"비교",""))))</f>
        <v/>
      </c>
      <c r="R2509" s="9">
        <f>IF(Q2509="","",$K2509&amp;"")</f>
        <v/>
      </c>
      <c r="S2509" s="9">
        <f>IF(Q2509="","",IF(MATCH(R2509,$R$5:$R$100000,0)=ROW()-4,ROW(),""))</f>
        <v/>
      </c>
      <c r="T2509" s="9">
        <f>IF(Q2509="당기",ABS(P2509)+ROW()/1000000000,"")</f>
        <v/>
      </c>
      <c r="U2509" s="9">
        <f>IF(Q2509="비교",ABS(P2509)+ROW()/1000000000,"")</f>
        <v/>
      </c>
      <c r="V2509" s="64">
        <f>IF($A2509="","",IF(COUNTIF(변동분석!$E$7:$E$506,O2509)&gt;0,"Y","N"))</f>
        <v/>
      </c>
      <c r="W2509" s="64">
        <f>IF($A2509="","",IFERROR(INDEX(계정매핑!$D$5:$D$504,MATCH($F2509&amp;"",계정매핑!$A$5:$A$504,0)),"미매핑"))</f>
        <v/>
      </c>
      <c r="X2509" s="9">
        <f>IF($A2509="","",$F2509&amp;"")</f>
        <v/>
      </c>
      <c r="Y2509" s="94">
        <f>IF($A2509="",0,IF(AE2509="직접",IF(AF2509="비귀속",$P2509,0),$P2509*(1-AG2509)*IFERROR(INDEX(계정대체기준!$F$20:$F$49,MATCH($N2509,계정대체기준!$A$20:$A$49,0)),1)))</f>
        <v/>
      </c>
      <c r="Z2509" s="94">
        <f>IF($A2509="",0,IF(AE2509="직접",IF(AF2509="신계약비",$P2509,0),$P2509*(1-AG2509)*IFERROR(INDEX(계정대체기준!$C$20:$C$49,MATCH($N2509,계정대체기준!$A$20:$A$49,0)),0)))</f>
        <v/>
      </c>
      <c r="AA2509" s="94">
        <f>IF($A2509="",0,IF(AE2509="직접",IF(OR(AF2509="유지비",AF2509="손해조사비"),$P2509,0),$P2509*(1-AG2509)*IFERROR(INDEX(계정대체기준!$D$20:$D$49,MATCH($N2509,계정대체기준!$A$20:$A$49,0)),0)))</f>
        <v/>
      </c>
      <c r="AB2509" s="94">
        <f>IF($A2509="",0,IF(AE2509="직접",IF(AF2509="수금비",$P2509,0),$P2509*(1-AG2509)*IFERROR(INDEX(계정대체기준!$E$20:$E$49,MATCH($N2509,계정대체기준!$A$20:$A$49,0)),0)))</f>
        <v/>
      </c>
      <c r="AC2509" s="9">
        <f>IF(AND($A2509&lt;&gt;"",M2509=설정!$C$20,Z2509&gt;0),Z2509+ROW()/1000000000,"")</f>
        <v/>
      </c>
      <c r="AD2509" s="94">
        <f>IF($A2509="",0,$P2509*AG2509)</f>
        <v/>
      </c>
      <c r="AE2509" s="64">
        <f>IF($A2509="","",IFERROR(INDEX(계정매핑!$E$5:$E$504,MATCH($F2509&amp;"",계정매핑!$A$5:$A$504,0))&amp;"","공통비"))</f>
        <v/>
      </c>
      <c r="AF2509" s="64">
        <f>IF($A2509="","",IF(AE2509="직접",IFERROR(INDEX(계정매핑!$F$5:$F$504,MATCH($F2509&amp;"",계정매핑!$A$5:$A$504,0))&amp;"","비귀속"),""))</f>
        <v/>
      </c>
      <c r="AG2509" s="96">
        <f>IF($A2509="",0,IF(AND(AE2509&lt;&gt;"직접",IFERROR(INDEX(계정매핑!$G$5:$G$504,MATCH($F2509&amp;"",계정매핑!$A$5:$A$504,0))&amp;"","")="유지비",COUNTIF(계정대체기준!$A$6:$A$15,$N2509)&gt;0),IFERROR(INDEX(계정대체기준!$E$6:$E$15,MATCH(VALUE($A2509&amp;""),계정대체기준!$D$6:$D$15,0)),0),0))</f>
        <v/>
      </c>
      <c r="AH2509" s="64">
        <f>IF($A2509="","",IF(AD2509=0,"",IF(OR(COUNTIF(계정대체기준!$A$77:$A$86,$N2509)&gt;0,ISNUMBER(MATCH($X2509,계정대체기준!$D$77:$D$86,0)),ISNUMBER(MATCH($F2509,계정대체기준!$D$77:$D$86,0))),"Y","N")))</f>
        <v/>
      </c>
    </row>
    <row r="2510">
      <c r="A2510" s="92" t="n">
        <v>2025</v>
      </c>
      <c r="B2510" s="92" t="n">
        <v>12</v>
      </c>
      <c r="C2510" s="92" t="inlineStr">
        <is>
          <t>5100002506</t>
        </is>
      </c>
      <c r="D2510" s="95" t="n">
        <v>45995</v>
      </c>
      <c r="E2510" s="92" t="inlineStr">
        <is>
          <t>KR</t>
        </is>
      </c>
      <c r="F2510" s="92" t="n">
        <v>62901000</v>
      </c>
      <c r="G2510" s="92" t="n">
        <v>1951</v>
      </c>
      <c r="H2510" s="93" t="n">
        <v>5252000</v>
      </c>
      <c r="I2510" s="92" t="inlineStr">
        <is>
          <t>12월 자문 수수료 - W컨설팅</t>
        </is>
      </c>
      <c r="J2510" s="92" t="inlineStr">
        <is>
          <t>V10006</t>
        </is>
      </c>
      <c r="K2510" s="92" t="inlineStr">
        <is>
          <t>W컨설팅</t>
        </is>
      </c>
      <c r="M2510" s="9">
        <f>IF($A2510="","",VALUE($A2510&amp;"")*12+VALUE($B2510&amp;""))</f>
        <v/>
      </c>
      <c r="N2510" s="64">
        <f>IF($A2510="","",IFERROR(INDEX(부서매핑!$C$5:$C$504,MATCH($G2510&amp;"",부서매핑!$A$5:$A$504,0)),"미매핑"))</f>
        <v/>
      </c>
      <c r="O2510" s="9">
        <f>IF($A2510="","",N2510&amp;"|"&amp;$F2510)</f>
        <v/>
      </c>
      <c r="P2510" s="94">
        <f>IF($A2510="",0,$H2510*설정!$C$23)</f>
        <v/>
      </c>
      <c r="Q2510" s="64">
        <f>IF($A2510="","",IF(O2510&lt;&gt;원인분석!$C$9,"",IF(AND(M2510&gt;=원인분석!$C$10,M2510&lt;=원인분석!$C$11),"당기",IF(AND(M2510&gt;=원인분석!$C$12,M2510&lt;=원인분석!$C$13),"비교",""))))</f>
        <v/>
      </c>
      <c r="R2510" s="9">
        <f>IF(Q2510="","",$K2510&amp;"")</f>
        <v/>
      </c>
      <c r="S2510" s="9">
        <f>IF(Q2510="","",IF(MATCH(R2510,$R$5:$R$100000,0)=ROW()-4,ROW(),""))</f>
        <v/>
      </c>
      <c r="T2510" s="9">
        <f>IF(Q2510="당기",ABS(P2510)+ROW()/1000000000,"")</f>
        <v/>
      </c>
      <c r="U2510" s="9">
        <f>IF(Q2510="비교",ABS(P2510)+ROW()/1000000000,"")</f>
        <v/>
      </c>
      <c r="V2510" s="64">
        <f>IF($A2510="","",IF(COUNTIF(변동분석!$E$7:$E$506,O2510)&gt;0,"Y","N"))</f>
        <v/>
      </c>
      <c r="W2510" s="64">
        <f>IF($A2510="","",IFERROR(INDEX(계정매핑!$D$5:$D$504,MATCH($F2510&amp;"",계정매핑!$A$5:$A$504,0)),"미매핑"))</f>
        <v/>
      </c>
      <c r="X2510" s="9">
        <f>IF($A2510="","",$F2510&amp;"")</f>
        <v/>
      </c>
      <c r="Y2510" s="94">
        <f>IF($A2510="",0,IF(AE2510="직접",IF(AF2510="비귀속",$P2510,0),$P2510*(1-AG2510)*IFERROR(INDEX(계정대체기준!$F$20:$F$49,MATCH($N2510,계정대체기준!$A$20:$A$49,0)),1)))</f>
        <v/>
      </c>
      <c r="Z2510" s="94">
        <f>IF($A2510="",0,IF(AE2510="직접",IF(AF2510="신계약비",$P2510,0),$P2510*(1-AG2510)*IFERROR(INDEX(계정대체기준!$C$20:$C$49,MATCH($N2510,계정대체기준!$A$20:$A$49,0)),0)))</f>
        <v/>
      </c>
      <c r="AA2510" s="94">
        <f>IF($A2510="",0,IF(AE2510="직접",IF(OR(AF2510="유지비",AF2510="손해조사비"),$P2510,0),$P2510*(1-AG2510)*IFERROR(INDEX(계정대체기준!$D$20:$D$49,MATCH($N2510,계정대체기준!$A$20:$A$49,0)),0)))</f>
        <v/>
      </c>
      <c r="AB2510" s="94">
        <f>IF($A2510="",0,IF(AE2510="직접",IF(AF2510="수금비",$P2510,0),$P2510*(1-AG2510)*IFERROR(INDEX(계정대체기준!$E$20:$E$49,MATCH($N2510,계정대체기준!$A$20:$A$49,0)),0)))</f>
        <v/>
      </c>
      <c r="AC2510" s="9">
        <f>IF(AND($A2510&lt;&gt;"",M2510=설정!$C$20,Z2510&gt;0),Z2510+ROW()/1000000000,"")</f>
        <v/>
      </c>
      <c r="AD2510" s="94">
        <f>IF($A2510="",0,$P2510*AG2510)</f>
        <v/>
      </c>
      <c r="AE2510" s="64">
        <f>IF($A2510="","",IFERROR(INDEX(계정매핑!$E$5:$E$504,MATCH($F2510&amp;"",계정매핑!$A$5:$A$504,0))&amp;"","공통비"))</f>
        <v/>
      </c>
      <c r="AF2510" s="64">
        <f>IF($A2510="","",IF(AE2510="직접",IFERROR(INDEX(계정매핑!$F$5:$F$504,MATCH($F2510&amp;"",계정매핑!$A$5:$A$504,0))&amp;"","비귀속"),""))</f>
        <v/>
      </c>
      <c r="AG2510" s="96">
        <f>IF($A2510="",0,IF(AND(AE2510&lt;&gt;"직접",IFERROR(INDEX(계정매핑!$G$5:$G$504,MATCH($F2510&amp;"",계정매핑!$A$5:$A$504,0))&amp;"","")="유지비",COUNTIF(계정대체기준!$A$6:$A$15,$N2510)&gt;0),IFERROR(INDEX(계정대체기준!$E$6:$E$15,MATCH(VALUE($A2510&amp;""),계정대체기준!$D$6:$D$15,0)),0),0))</f>
        <v/>
      </c>
      <c r="AH2510" s="64">
        <f>IF($A2510="","",IF(AD2510=0,"",IF(OR(COUNTIF(계정대체기준!$A$77:$A$86,$N2510)&gt;0,ISNUMBER(MATCH($X2510,계정대체기준!$D$77:$D$86,0)),ISNUMBER(MATCH($F2510,계정대체기준!$D$77:$D$86,0))),"Y","N")))</f>
        <v/>
      </c>
    </row>
    <row r="2511">
      <c r="A2511" s="92" t="n">
        <v>2025</v>
      </c>
      <c r="B2511" s="92" t="n">
        <v>12</v>
      </c>
      <c r="C2511" s="92" t="inlineStr">
        <is>
          <t>5100002507</t>
        </is>
      </c>
      <c r="D2511" s="95" t="n">
        <v>45995</v>
      </c>
      <c r="E2511" s="92" t="inlineStr">
        <is>
          <t>KR</t>
        </is>
      </c>
      <c r="F2511" s="92" t="n">
        <v>63501000</v>
      </c>
      <c r="G2511" s="92" t="n">
        <v>1901</v>
      </c>
      <c r="H2511" s="93" t="n">
        <v>395967000</v>
      </c>
      <c r="I2511" s="92" t="inlineStr">
        <is>
          <t>12월 모집수수료 - BB에셋</t>
        </is>
      </c>
      <c r="J2511" s="92" t="inlineStr">
        <is>
          <t>V10013</t>
        </is>
      </c>
      <c r="K2511" s="92" t="inlineStr">
        <is>
          <t>BB에셋</t>
        </is>
      </c>
      <c r="M2511" s="9">
        <f>IF($A2511="","",VALUE($A2511&amp;"")*12+VALUE($B2511&amp;""))</f>
        <v/>
      </c>
      <c r="N2511" s="64">
        <f>IF($A2511="","",IFERROR(INDEX(부서매핑!$C$5:$C$504,MATCH($G2511&amp;"",부서매핑!$A$5:$A$504,0)),"미매핑"))</f>
        <v/>
      </c>
      <c r="O2511" s="9">
        <f>IF($A2511="","",N2511&amp;"|"&amp;$F2511)</f>
        <v/>
      </c>
      <c r="P2511" s="94">
        <f>IF($A2511="",0,$H2511*설정!$C$23)</f>
        <v/>
      </c>
      <c r="Q2511" s="64">
        <f>IF($A2511="","",IF(O2511&lt;&gt;원인분석!$C$9,"",IF(AND(M2511&gt;=원인분석!$C$10,M2511&lt;=원인분석!$C$11),"당기",IF(AND(M2511&gt;=원인분석!$C$12,M2511&lt;=원인분석!$C$13),"비교",""))))</f>
        <v/>
      </c>
      <c r="R2511" s="9">
        <f>IF(Q2511="","",$K2511&amp;"")</f>
        <v/>
      </c>
      <c r="S2511" s="9">
        <f>IF(Q2511="","",IF(MATCH(R2511,$R$5:$R$100000,0)=ROW()-4,ROW(),""))</f>
        <v/>
      </c>
      <c r="T2511" s="9">
        <f>IF(Q2511="당기",ABS(P2511)+ROW()/1000000000,"")</f>
        <v/>
      </c>
      <c r="U2511" s="9">
        <f>IF(Q2511="비교",ABS(P2511)+ROW()/1000000000,"")</f>
        <v/>
      </c>
      <c r="V2511" s="64">
        <f>IF($A2511="","",IF(COUNTIF(변동분석!$E$7:$E$506,O2511)&gt;0,"Y","N"))</f>
        <v/>
      </c>
      <c r="W2511" s="64">
        <f>IF($A2511="","",IFERROR(INDEX(계정매핑!$D$5:$D$504,MATCH($F2511&amp;"",계정매핑!$A$5:$A$504,0)),"미매핑"))</f>
        <v/>
      </c>
      <c r="X2511" s="9">
        <f>IF($A2511="","",$F2511&amp;"")</f>
        <v/>
      </c>
      <c r="Y2511" s="94">
        <f>IF($A2511="",0,IF(AE2511="직접",IF(AF2511="비귀속",$P2511,0),$P2511*(1-AG2511)*IFERROR(INDEX(계정대체기준!$F$20:$F$49,MATCH($N2511,계정대체기준!$A$20:$A$49,0)),1)))</f>
        <v/>
      </c>
      <c r="Z2511" s="94">
        <f>IF($A2511="",0,IF(AE2511="직접",IF(AF2511="신계약비",$P2511,0),$P2511*(1-AG2511)*IFERROR(INDEX(계정대체기준!$C$20:$C$49,MATCH($N2511,계정대체기준!$A$20:$A$49,0)),0)))</f>
        <v/>
      </c>
      <c r="AA2511" s="94">
        <f>IF($A2511="",0,IF(AE2511="직접",IF(OR(AF2511="유지비",AF2511="손해조사비"),$P2511,0),$P2511*(1-AG2511)*IFERROR(INDEX(계정대체기준!$D$20:$D$49,MATCH($N2511,계정대체기준!$A$20:$A$49,0)),0)))</f>
        <v/>
      </c>
      <c r="AB2511" s="94">
        <f>IF($A2511="",0,IF(AE2511="직접",IF(AF2511="수금비",$P2511,0),$P2511*(1-AG2511)*IFERROR(INDEX(계정대체기준!$E$20:$E$49,MATCH($N2511,계정대체기준!$A$20:$A$49,0)),0)))</f>
        <v/>
      </c>
      <c r="AC2511" s="9">
        <f>IF(AND($A2511&lt;&gt;"",M2511=설정!$C$20,Z2511&gt;0),Z2511+ROW()/1000000000,"")</f>
        <v/>
      </c>
      <c r="AD2511" s="94">
        <f>IF($A2511="",0,$P2511*AG2511)</f>
        <v/>
      </c>
      <c r="AE2511" s="64">
        <f>IF($A2511="","",IFERROR(INDEX(계정매핑!$E$5:$E$504,MATCH($F2511&amp;"",계정매핑!$A$5:$A$504,0))&amp;"","공통비"))</f>
        <v/>
      </c>
      <c r="AF2511" s="64">
        <f>IF($A2511="","",IF(AE2511="직접",IFERROR(INDEX(계정매핑!$F$5:$F$504,MATCH($F2511&amp;"",계정매핑!$A$5:$A$504,0))&amp;"","비귀속"),""))</f>
        <v/>
      </c>
      <c r="AG2511" s="96">
        <f>IF($A2511="",0,IF(AND(AE2511&lt;&gt;"직접",IFERROR(INDEX(계정매핑!$G$5:$G$504,MATCH($F2511&amp;"",계정매핑!$A$5:$A$504,0))&amp;"","")="유지비",COUNTIF(계정대체기준!$A$6:$A$15,$N2511)&gt;0),IFERROR(INDEX(계정대체기준!$E$6:$E$15,MATCH(VALUE($A2511&amp;""),계정대체기준!$D$6:$D$15,0)),0),0))</f>
        <v/>
      </c>
      <c r="AH2511" s="64">
        <f>IF($A2511="","",IF(AD2511=0,"",IF(OR(COUNTIF(계정대체기준!$A$77:$A$86,$N2511)&gt;0,ISNUMBER(MATCH($X2511,계정대체기준!$D$77:$D$86,0)),ISNUMBER(MATCH($F2511,계정대체기준!$D$77:$D$86,0))),"Y","N")))</f>
        <v/>
      </c>
    </row>
    <row r="2512">
      <c r="A2512" s="92" t="n">
        <v>2025</v>
      </c>
      <c r="B2512" s="92" t="n">
        <v>12</v>
      </c>
      <c r="C2512" s="92" t="inlineStr">
        <is>
          <t>5100002508</t>
        </is>
      </c>
      <c r="D2512" s="95" t="n">
        <v>45996</v>
      </c>
      <c r="E2512" s="92" t="inlineStr">
        <is>
          <t>KR</t>
        </is>
      </c>
      <c r="F2512" s="92" t="n">
        <v>62101000</v>
      </c>
      <c r="G2512" s="92" t="n">
        <v>1201</v>
      </c>
      <c r="H2512" s="93" t="n">
        <v>309000</v>
      </c>
      <c r="I2512" s="92" t="inlineStr">
        <is>
          <t>12월 국내출장 - L여행사</t>
        </is>
      </c>
      <c r="J2512" s="92" t="inlineStr">
        <is>
          <t>V10018</t>
        </is>
      </c>
      <c r="K2512" s="92" t="inlineStr">
        <is>
          <t>L여행사</t>
        </is>
      </c>
      <c r="M2512" s="9">
        <f>IF($A2512="","",VALUE($A2512&amp;"")*12+VALUE($B2512&amp;""))</f>
        <v/>
      </c>
      <c r="N2512" s="64">
        <f>IF($A2512="","",IFERROR(INDEX(부서매핑!$C$5:$C$504,MATCH($G2512&amp;"",부서매핑!$A$5:$A$504,0)),"미매핑"))</f>
        <v/>
      </c>
      <c r="O2512" s="9">
        <f>IF($A2512="","",N2512&amp;"|"&amp;$F2512)</f>
        <v/>
      </c>
      <c r="P2512" s="94">
        <f>IF($A2512="",0,$H2512*설정!$C$23)</f>
        <v/>
      </c>
      <c r="Q2512" s="64">
        <f>IF($A2512="","",IF(O2512&lt;&gt;원인분석!$C$9,"",IF(AND(M2512&gt;=원인분석!$C$10,M2512&lt;=원인분석!$C$11),"당기",IF(AND(M2512&gt;=원인분석!$C$12,M2512&lt;=원인분석!$C$13),"비교",""))))</f>
        <v/>
      </c>
      <c r="R2512" s="9">
        <f>IF(Q2512="","",$K2512&amp;"")</f>
        <v/>
      </c>
      <c r="S2512" s="9">
        <f>IF(Q2512="","",IF(MATCH(R2512,$R$5:$R$100000,0)=ROW()-4,ROW(),""))</f>
        <v/>
      </c>
      <c r="T2512" s="9">
        <f>IF(Q2512="당기",ABS(P2512)+ROW()/1000000000,"")</f>
        <v/>
      </c>
      <c r="U2512" s="9">
        <f>IF(Q2512="비교",ABS(P2512)+ROW()/1000000000,"")</f>
        <v/>
      </c>
      <c r="V2512" s="64">
        <f>IF($A2512="","",IF(COUNTIF(변동분석!$E$7:$E$506,O2512)&gt;0,"Y","N"))</f>
        <v/>
      </c>
      <c r="W2512" s="64">
        <f>IF($A2512="","",IFERROR(INDEX(계정매핑!$D$5:$D$504,MATCH($F2512&amp;"",계정매핑!$A$5:$A$504,0)),"미매핑"))</f>
        <v/>
      </c>
      <c r="X2512" s="9">
        <f>IF($A2512="","",$F2512&amp;"")</f>
        <v/>
      </c>
      <c r="Y2512" s="94">
        <f>IF($A2512="",0,IF(AE2512="직접",IF(AF2512="비귀속",$P2512,0),$P2512*(1-AG2512)*IFERROR(INDEX(계정대체기준!$F$20:$F$49,MATCH($N2512,계정대체기준!$A$20:$A$49,0)),1)))</f>
        <v/>
      </c>
      <c r="Z2512" s="94">
        <f>IF($A2512="",0,IF(AE2512="직접",IF(AF2512="신계약비",$P2512,0),$P2512*(1-AG2512)*IFERROR(INDEX(계정대체기준!$C$20:$C$49,MATCH($N2512,계정대체기준!$A$20:$A$49,0)),0)))</f>
        <v/>
      </c>
      <c r="AA2512" s="94">
        <f>IF($A2512="",0,IF(AE2512="직접",IF(OR(AF2512="유지비",AF2512="손해조사비"),$P2512,0),$P2512*(1-AG2512)*IFERROR(INDEX(계정대체기준!$D$20:$D$49,MATCH($N2512,계정대체기준!$A$20:$A$49,0)),0)))</f>
        <v/>
      </c>
      <c r="AB2512" s="94">
        <f>IF($A2512="",0,IF(AE2512="직접",IF(AF2512="수금비",$P2512,0),$P2512*(1-AG2512)*IFERROR(INDEX(계정대체기준!$E$20:$E$49,MATCH($N2512,계정대체기준!$A$20:$A$49,0)),0)))</f>
        <v/>
      </c>
      <c r="AC2512" s="9">
        <f>IF(AND($A2512&lt;&gt;"",M2512=설정!$C$20,Z2512&gt;0),Z2512+ROW()/1000000000,"")</f>
        <v/>
      </c>
      <c r="AD2512" s="94">
        <f>IF($A2512="",0,$P2512*AG2512)</f>
        <v/>
      </c>
      <c r="AE2512" s="64">
        <f>IF($A2512="","",IFERROR(INDEX(계정매핑!$E$5:$E$504,MATCH($F2512&amp;"",계정매핑!$A$5:$A$504,0))&amp;"","공통비"))</f>
        <v/>
      </c>
      <c r="AF2512" s="64">
        <f>IF($A2512="","",IF(AE2512="직접",IFERROR(INDEX(계정매핑!$F$5:$F$504,MATCH($F2512&amp;"",계정매핑!$A$5:$A$504,0))&amp;"","비귀속"),""))</f>
        <v/>
      </c>
      <c r="AG2512" s="96">
        <f>IF($A2512="",0,IF(AND(AE2512&lt;&gt;"직접",IFERROR(INDEX(계정매핑!$G$5:$G$504,MATCH($F2512&amp;"",계정매핑!$A$5:$A$504,0))&amp;"","")="유지비",COUNTIF(계정대체기준!$A$6:$A$15,$N2512)&gt;0),IFERROR(INDEX(계정대체기준!$E$6:$E$15,MATCH(VALUE($A2512&amp;""),계정대체기준!$D$6:$D$15,0)),0),0))</f>
        <v/>
      </c>
      <c r="AH2512" s="64">
        <f>IF($A2512="","",IF(AD2512=0,"",IF(OR(COUNTIF(계정대체기준!$A$77:$A$86,$N2512)&gt;0,ISNUMBER(MATCH($X2512,계정대체기준!$D$77:$D$86,0)),ISNUMBER(MATCH($F2512,계정대체기준!$D$77:$D$86,0))),"Y","N")))</f>
        <v/>
      </c>
    </row>
    <row r="2513">
      <c r="A2513" s="92" t="n">
        <v>2025</v>
      </c>
      <c r="B2513" s="92" t="n">
        <v>12</v>
      </c>
      <c r="C2513" s="92" t="inlineStr">
        <is>
          <t>5100002509</t>
        </is>
      </c>
      <c r="D2513" s="95" t="n">
        <v>45996</v>
      </c>
      <c r="E2513" s="92" t="inlineStr">
        <is>
          <t>KR</t>
        </is>
      </c>
      <c r="F2513" s="92" t="n">
        <v>62101000</v>
      </c>
      <c r="G2513" s="92" t="n">
        <v>1601</v>
      </c>
      <c r="H2513" s="93" t="n">
        <v>737000</v>
      </c>
      <c r="I2513" s="92" t="inlineStr">
        <is>
          <t>12월 국내출장 - M항공</t>
        </is>
      </c>
      <c r="J2513" s="92" t="inlineStr">
        <is>
          <t>V10001</t>
        </is>
      </c>
      <c r="K2513" s="92" t="inlineStr">
        <is>
          <t>M항공</t>
        </is>
      </c>
      <c r="M2513" s="9">
        <f>IF($A2513="","",VALUE($A2513&amp;"")*12+VALUE($B2513&amp;""))</f>
        <v/>
      </c>
      <c r="N2513" s="64">
        <f>IF($A2513="","",IFERROR(INDEX(부서매핑!$C$5:$C$504,MATCH($G2513&amp;"",부서매핑!$A$5:$A$504,0)),"미매핑"))</f>
        <v/>
      </c>
      <c r="O2513" s="9">
        <f>IF($A2513="","",N2513&amp;"|"&amp;$F2513)</f>
        <v/>
      </c>
      <c r="P2513" s="94">
        <f>IF($A2513="",0,$H2513*설정!$C$23)</f>
        <v/>
      </c>
      <c r="Q2513" s="64">
        <f>IF($A2513="","",IF(O2513&lt;&gt;원인분석!$C$9,"",IF(AND(M2513&gt;=원인분석!$C$10,M2513&lt;=원인분석!$C$11),"당기",IF(AND(M2513&gt;=원인분석!$C$12,M2513&lt;=원인분석!$C$13),"비교",""))))</f>
        <v/>
      </c>
      <c r="R2513" s="9">
        <f>IF(Q2513="","",$K2513&amp;"")</f>
        <v/>
      </c>
      <c r="S2513" s="9">
        <f>IF(Q2513="","",IF(MATCH(R2513,$R$5:$R$100000,0)=ROW()-4,ROW(),""))</f>
        <v/>
      </c>
      <c r="T2513" s="9">
        <f>IF(Q2513="당기",ABS(P2513)+ROW()/1000000000,"")</f>
        <v/>
      </c>
      <c r="U2513" s="9">
        <f>IF(Q2513="비교",ABS(P2513)+ROW()/1000000000,"")</f>
        <v/>
      </c>
      <c r="V2513" s="64">
        <f>IF($A2513="","",IF(COUNTIF(변동분석!$E$7:$E$506,O2513)&gt;0,"Y","N"))</f>
        <v/>
      </c>
      <c r="W2513" s="64">
        <f>IF($A2513="","",IFERROR(INDEX(계정매핑!$D$5:$D$504,MATCH($F2513&amp;"",계정매핑!$A$5:$A$504,0)),"미매핑"))</f>
        <v/>
      </c>
      <c r="X2513" s="9">
        <f>IF($A2513="","",$F2513&amp;"")</f>
        <v/>
      </c>
      <c r="Y2513" s="94">
        <f>IF($A2513="",0,IF(AE2513="직접",IF(AF2513="비귀속",$P2513,0),$P2513*(1-AG2513)*IFERROR(INDEX(계정대체기준!$F$20:$F$49,MATCH($N2513,계정대체기준!$A$20:$A$49,0)),1)))</f>
        <v/>
      </c>
      <c r="Z2513" s="94">
        <f>IF($A2513="",0,IF(AE2513="직접",IF(AF2513="신계약비",$P2513,0),$P2513*(1-AG2513)*IFERROR(INDEX(계정대체기준!$C$20:$C$49,MATCH($N2513,계정대체기준!$A$20:$A$49,0)),0)))</f>
        <v/>
      </c>
      <c r="AA2513" s="94">
        <f>IF($A2513="",0,IF(AE2513="직접",IF(OR(AF2513="유지비",AF2513="손해조사비"),$P2513,0),$P2513*(1-AG2513)*IFERROR(INDEX(계정대체기준!$D$20:$D$49,MATCH($N2513,계정대체기준!$A$20:$A$49,0)),0)))</f>
        <v/>
      </c>
      <c r="AB2513" s="94">
        <f>IF($A2513="",0,IF(AE2513="직접",IF(AF2513="수금비",$P2513,0),$P2513*(1-AG2513)*IFERROR(INDEX(계정대체기준!$E$20:$E$49,MATCH($N2513,계정대체기준!$A$20:$A$49,0)),0)))</f>
        <v/>
      </c>
      <c r="AC2513" s="9">
        <f>IF(AND($A2513&lt;&gt;"",M2513=설정!$C$20,Z2513&gt;0),Z2513+ROW()/1000000000,"")</f>
        <v/>
      </c>
      <c r="AD2513" s="94">
        <f>IF($A2513="",0,$P2513*AG2513)</f>
        <v/>
      </c>
      <c r="AE2513" s="64">
        <f>IF($A2513="","",IFERROR(INDEX(계정매핑!$E$5:$E$504,MATCH($F2513&amp;"",계정매핑!$A$5:$A$504,0))&amp;"","공통비"))</f>
        <v/>
      </c>
      <c r="AF2513" s="64">
        <f>IF($A2513="","",IF(AE2513="직접",IFERROR(INDEX(계정매핑!$F$5:$F$504,MATCH($F2513&amp;"",계정매핑!$A$5:$A$504,0))&amp;"","비귀속"),""))</f>
        <v/>
      </c>
      <c r="AG2513" s="96">
        <f>IF($A2513="",0,IF(AND(AE2513&lt;&gt;"직접",IFERROR(INDEX(계정매핑!$G$5:$G$504,MATCH($F2513&amp;"",계정매핑!$A$5:$A$504,0))&amp;"","")="유지비",COUNTIF(계정대체기준!$A$6:$A$15,$N2513)&gt;0),IFERROR(INDEX(계정대체기준!$E$6:$E$15,MATCH(VALUE($A2513&amp;""),계정대체기준!$D$6:$D$15,0)),0),0))</f>
        <v/>
      </c>
      <c r="AH2513" s="64">
        <f>IF($A2513="","",IF(AD2513=0,"",IF(OR(COUNTIF(계정대체기준!$A$77:$A$86,$N2513)&gt;0,ISNUMBER(MATCH($X2513,계정대체기준!$D$77:$D$86,0)),ISNUMBER(MATCH($F2513,계정대체기준!$D$77:$D$86,0))),"Y","N")))</f>
        <v/>
      </c>
    </row>
    <row r="2514">
      <c r="A2514" s="92" t="n">
        <v>2025</v>
      </c>
      <c r="B2514" s="92" t="n">
        <v>12</v>
      </c>
      <c r="C2514" s="92" t="inlineStr">
        <is>
          <t>5100002510</t>
        </is>
      </c>
      <c r="D2514" s="95" t="n">
        <v>45996</v>
      </c>
      <c r="E2514" s="92" t="inlineStr">
        <is>
          <t>KR</t>
        </is>
      </c>
      <c r="F2514" s="92" t="n">
        <v>62102000</v>
      </c>
      <c r="G2514" s="92" t="n">
        <v>1101</v>
      </c>
      <c r="H2514" s="93" t="n">
        <v>115000</v>
      </c>
      <c r="I2514" s="92" t="inlineStr">
        <is>
          <t>12월 해외출장 - N호텔</t>
        </is>
      </c>
      <c r="J2514" s="92" t="inlineStr">
        <is>
          <t>V10009</t>
        </is>
      </c>
      <c r="K2514" s="92" t="inlineStr">
        <is>
          <t>N호텔</t>
        </is>
      </c>
      <c r="M2514" s="9">
        <f>IF($A2514="","",VALUE($A2514&amp;"")*12+VALUE($B2514&amp;""))</f>
        <v/>
      </c>
      <c r="N2514" s="64">
        <f>IF($A2514="","",IFERROR(INDEX(부서매핑!$C$5:$C$504,MATCH($G2514&amp;"",부서매핑!$A$5:$A$504,0)),"미매핑"))</f>
        <v/>
      </c>
      <c r="O2514" s="9">
        <f>IF($A2514="","",N2514&amp;"|"&amp;$F2514)</f>
        <v/>
      </c>
      <c r="P2514" s="94">
        <f>IF($A2514="",0,$H2514*설정!$C$23)</f>
        <v/>
      </c>
      <c r="Q2514" s="64">
        <f>IF($A2514="","",IF(O2514&lt;&gt;원인분석!$C$9,"",IF(AND(M2514&gt;=원인분석!$C$10,M2514&lt;=원인분석!$C$11),"당기",IF(AND(M2514&gt;=원인분석!$C$12,M2514&lt;=원인분석!$C$13),"비교",""))))</f>
        <v/>
      </c>
      <c r="R2514" s="9">
        <f>IF(Q2514="","",$K2514&amp;"")</f>
        <v/>
      </c>
      <c r="S2514" s="9">
        <f>IF(Q2514="","",IF(MATCH(R2514,$R$5:$R$100000,0)=ROW()-4,ROW(),""))</f>
        <v/>
      </c>
      <c r="T2514" s="9">
        <f>IF(Q2514="당기",ABS(P2514)+ROW()/1000000000,"")</f>
        <v/>
      </c>
      <c r="U2514" s="9">
        <f>IF(Q2514="비교",ABS(P2514)+ROW()/1000000000,"")</f>
        <v/>
      </c>
      <c r="V2514" s="64">
        <f>IF($A2514="","",IF(COUNTIF(변동분석!$E$7:$E$506,O2514)&gt;0,"Y","N"))</f>
        <v/>
      </c>
      <c r="W2514" s="64">
        <f>IF($A2514="","",IFERROR(INDEX(계정매핑!$D$5:$D$504,MATCH($F2514&amp;"",계정매핑!$A$5:$A$504,0)),"미매핑"))</f>
        <v/>
      </c>
      <c r="X2514" s="9">
        <f>IF($A2514="","",$F2514&amp;"")</f>
        <v/>
      </c>
      <c r="Y2514" s="94">
        <f>IF($A2514="",0,IF(AE2514="직접",IF(AF2514="비귀속",$P2514,0),$P2514*(1-AG2514)*IFERROR(INDEX(계정대체기준!$F$20:$F$49,MATCH($N2514,계정대체기준!$A$20:$A$49,0)),1)))</f>
        <v/>
      </c>
      <c r="Z2514" s="94">
        <f>IF($A2514="",0,IF(AE2514="직접",IF(AF2514="신계약비",$P2514,0),$P2514*(1-AG2514)*IFERROR(INDEX(계정대체기준!$C$20:$C$49,MATCH($N2514,계정대체기준!$A$20:$A$49,0)),0)))</f>
        <v/>
      </c>
      <c r="AA2514" s="94">
        <f>IF($A2514="",0,IF(AE2514="직접",IF(OR(AF2514="유지비",AF2514="손해조사비"),$P2514,0),$P2514*(1-AG2514)*IFERROR(INDEX(계정대체기준!$D$20:$D$49,MATCH($N2514,계정대체기준!$A$20:$A$49,0)),0)))</f>
        <v/>
      </c>
      <c r="AB2514" s="94">
        <f>IF($A2514="",0,IF(AE2514="직접",IF(AF2514="수금비",$P2514,0),$P2514*(1-AG2514)*IFERROR(INDEX(계정대체기준!$E$20:$E$49,MATCH($N2514,계정대체기준!$A$20:$A$49,0)),0)))</f>
        <v/>
      </c>
      <c r="AC2514" s="9">
        <f>IF(AND($A2514&lt;&gt;"",M2514=설정!$C$20,Z2514&gt;0),Z2514+ROW()/1000000000,"")</f>
        <v/>
      </c>
      <c r="AD2514" s="94">
        <f>IF($A2514="",0,$P2514*AG2514)</f>
        <v/>
      </c>
      <c r="AE2514" s="64">
        <f>IF($A2514="","",IFERROR(INDEX(계정매핑!$E$5:$E$504,MATCH($F2514&amp;"",계정매핑!$A$5:$A$504,0))&amp;"","공통비"))</f>
        <v/>
      </c>
      <c r="AF2514" s="64">
        <f>IF($A2514="","",IF(AE2514="직접",IFERROR(INDEX(계정매핑!$F$5:$F$504,MATCH($F2514&amp;"",계정매핑!$A$5:$A$504,0))&amp;"","비귀속"),""))</f>
        <v/>
      </c>
      <c r="AG2514" s="96">
        <f>IF($A2514="",0,IF(AND(AE2514&lt;&gt;"직접",IFERROR(INDEX(계정매핑!$G$5:$G$504,MATCH($F2514&amp;"",계정매핑!$A$5:$A$504,0))&amp;"","")="유지비",COUNTIF(계정대체기준!$A$6:$A$15,$N2514)&gt;0),IFERROR(INDEX(계정대체기준!$E$6:$E$15,MATCH(VALUE($A2514&amp;""),계정대체기준!$D$6:$D$15,0)),0),0))</f>
        <v/>
      </c>
      <c r="AH2514" s="64">
        <f>IF($A2514="","",IF(AD2514=0,"",IF(OR(COUNTIF(계정대체기준!$A$77:$A$86,$N2514)&gt;0,ISNUMBER(MATCH($X2514,계정대체기준!$D$77:$D$86,0)),ISNUMBER(MATCH($F2514,계정대체기준!$D$77:$D$86,0))),"Y","N")))</f>
        <v/>
      </c>
    </row>
    <row r="2515">
      <c r="A2515" s="92" t="n">
        <v>2025</v>
      </c>
      <c r="B2515" s="92" t="n">
        <v>12</v>
      </c>
      <c r="C2515" s="92" t="inlineStr">
        <is>
          <t>5100002511</t>
        </is>
      </c>
      <c r="D2515" s="95" t="n">
        <v>45996</v>
      </c>
      <c r="E2515" s="92" t="inlineStr">
        <is>
          <t>KR</t>
        </is>
      </c>
      <c r="F2515" s="92" t="n">
        <v>62102000</v>
      </c>
      <c r="G2515" s="92" t="n">
        <v>1502</v>
      </c>
      <c r="H2515" s="93" t="n">
        <v>185000</v>
      </c>
      <c r="I2515" s="92" t="inlineStr">
        <is>
          <t>12월 해외출장 - N호텔</t>
        </is>
      </c>
      <c r="J2515" s="92" t="inlineStr">
        <is>
          <t>V10009</t>
        </is>
      </c>
      <c r="K2515" s="92" t="inlineStr">
        <is>
          <t>N호텔</t>
        </is>
      </c>
      <c r="M2515" s="9">
        <f>IF($A2515="","",VALUE($A2515&amp;"")*12+VALUE($B2515&amp;""))</f>
        <v/>
      </c>
      <c r="N2515" s="64">
        <f>IF($A2515="","",IFERROR(INDEX(부서매핑!$C$5:$C$504,MATCH($G2515&amp;"",부서매핑!$A$5:$A$504,0)),"미매핑"))</f>
        <v/>
      </c>
      <c r="O2515" s="9">
        <f>IF($A2515="","",N2515&amp;"|"&amp;$F2515)</f>
        <v/>
      </c>
      <c r="P2515" s="94">
        <f>IF($A2515="",0,$H2515*설정!$C$23)</f>
        <v/>
      </c>
      <c r="Q2515" s="64">
        <f>IF($A2515="","",IF(O2515&lt;&gt;원인분석!$C$9,"",IF(AND(M2515&gt;=원인분석!$C$10,M2515&lt;=원인분석!$C$11),"당기",IF(AND(M2515&gt;=원인분석!$C$12,M2515&lt;=원인분석!$C$13),"비교",""))))</f>
        <v/>
      </c>
      <c r="R2515" s="9">
        <f>IF(Q2515="","",$K2515&amp;"")</f>
        <v/>
      </c>
      <c r="S2515" s="9">
        <f>IF(Q2515="","",IF(MATCH(R2515,$R$5:$R$100000,0)=ROW()-4,ROW(),""))</f>
        <v/>
      </c>
      <c r="T2515" s="9">
        <f>IF(Q2515="당기",ABS(P2515)+ROW()/1000000000,"")</f>
        <v/>
      </c>
      <c r="U2515" s="9">
        <f>IF(Q2515="비교",ABS(P2515)+ROW()/1000000000,"")</f>
        <v/>
      </c>
      <c r="V2515" s="64">
        <f>IF($A2515="","",IF(COUNTIF(변동분석!$E$7:$E$506,O2515)&gt;0,"Y","N"))</f>
        <v/>
      </c>
      <c r="W2515" s="64">
        <f>IF($A2515="","",IFERROR(INDEX(계정매핑!$D$5:$D$504,MATCH($F2515&amp;"",계정매핑!$A$5:$A$504,0)),"미매핑"))</f>
        <v/>
      </c>
      <c r="X2515" s="9">
        <f>IF($A2515="","",$F2515&amp;"")</f>
        <v/>
      </c>
      <c r="Y2515" s="94">
        <f>IF($A2515="",0,IF(AE2515="직접",IF(AF2515="비귀속",$P2515,0),$P2515*(1-AG2515)*IFERROR(INDEX(계정대체기준!$F$20:$F$49,MATCH($N2515,계정대체기준!$A$20:$A$49,0)),1)))</f>
        <v/>
      </c>
      <c r="Z2515" s="94">
        <f>IF($A2515="",0,IF(AE2515="직접",IF(AF2515="신계약비",$P2515,0),$P2515*(1-AG2515)*IFERROR(INDEX(계정대체기준!$C$20:$C$49,MATCH($N2515,계정대체기준!$A$20:$A$49,0)),0)))</f>
        <v/>
      </c>
      <c r="AA2515" s="94">
        <f>IF($A2515="",0,IF(AE2515="직접",IF(OR(AF2515="유지비",AF2515="손해조사비"),$P2515,0),$P2515*(1-AG2515)*IFERROR(INDEX(계정대체기준!$D$20:$D$49,MATCH($N2515,계정대체기준!$A$20:$A$49,0)),0)))</f>
        <v/>
      </c>
      <c r="AB2515" s="94">
        <f>IF($A2515="",0,IF(AE2515="직접",IF(AF2515="수금비",$P2515,0),$P2515*(1-AG2515)*IFERROR(INDEX(계정대체기준!$E$20:$E$49,MATCH($N2515,계정대체기준!$A$20:$A$49,0)),0)))</f>
        <v/>
      </c>
      <c r="AC2515" s="9">
        <f>IF(AND($A2515&lt;&gt;"",M2515=설정!$C$20,Z2515&gt;0),Z2515+ROW()/1000000000,"")</f>
        <v/>
      </c>
      <c r="AD2515" s="94">
        <f>IF($A2515="",0,$P2515*AG2515)</f>
        <v/>
      </c>
      <c r="AE2515" s="64">
        <f>IF($A2515="","",IFERROR(INDEX(계정매핑!$E$5:$E$504,MATCH($F2515&amp;"",계정매핑!$A$5:$A$504,0))&amp;"","공통비"))</f>
        <v/>
      </c>
      <c r="AF2515" s="64">
        <f>IF($A2515="","",IF(AE2515="직접",IFERROR(INDEX(계정매핑!$F$5:$F$504,MATCH($F2515&amp;"",계정매핑!$A$5:$A$504,0))&amp;"","비귀속"),""))</f>
        <v/>
      </c>
      <c r="AG2515" s="96">
        <f>IF($A2515="",0,IF(AND(AE2515&lt;&gt;"직접",IFERROR(INDEX(계정매핑!$G$5:$G$504,MATCH($F2515&amp;"",계정매핑!$A$5:$A$504,0))&amp;"","")="유지비",COUNTIF(계정대체기준!$A$6:$A$15,$N2515)&gt;0),IFERROR(INDEX(계정대체기준!$E$6:$E$15,MATCH(VALUE($A2515&amp;""),계정대체기준!$D$6:$D$15,0)),0),0))</f>
        <v/>
      </c>
      <c r="AH2515" s="64">
        <f>IF($A2515="","",IF(AD2515=0,"",IF(OR(COUNTIF(계정대체기준!$A$77:$A$86,$N2515)&gt;0,ISNUMBER(MATCH($X2515,계정대체기준!$D$77:$D$86,0)),ISNUMBER(MATCH($F2515,계정대체기준!$D$77:$D$86,0))),"Y","N")))</f>
        <v/>
      </c>
    </row>
    <row r="2516">
      <c r="A2516" s="92" t="n">
        <v>2025</v>
      </c>
      <c r="B2516" s="92" t="n">
        <v>12</v>
      </c>
      <c r="C2516" s="92" t="inlineStr">
        <is>
          <t>5100002512</t>
        </is>
      </c>
      <c r="D2516" s="95" t="n">
        <v>45996</v>
      </c>
      <c r="E2516" s="92" t="inlineStr">
        <is>
          <t>KR</t>
        </is>
      </c>
      <c r="F2516" s="92" t="n">
        <v>62102000</v>
      </c>
      <c r="G2516" s="92" t="n">
        <v>1701</v>
      </c>
      <c r="H2516" s="93" t="n">
        <v>26000</v>
      </c>
      <c r="I2516" s="92" t="inlineStr">
        <is>
          <t>12월 해외출장 - M항공</t>
        </is>
      </c>
      <c r="J2516" s="92" t="inlineStr">
        <is>
          <t>V10001</t>
        </is>
      </c>
      <c r="K2516" s="92" t="inlineStr">
        <is>
          <t>M항공</t>
        </is>
      </c>
      <c r="M2516" s="9">
        <f>IF($A2516="","",VALUE($A2516&amp;"")*12+VALUE($B2516&amp;""))</f>
        <v/>
      </c>
      <c r="N2516" s="64">
        <f>IF($A2516="","",IFERROR(INDEX(부서매핑!$C$5:$C$504,MATCH($G2516&amp;"",부서매핑!$A$5:$A$504,0)),"미매핑"))</f>
        <v/>
      </c>
      <c r="O2516" s="9">
        <f>IF($A2516="","",N2516&amp;"|"&amp;$F2516)</f>
        <v/>
      </c>
      <c r="P2516" s="94">
        <f>IF($A2516="",0,$H2516*설정!$C$23)</f>
        <v/>
      </c>
      <c r="Q2516" s="64">
        <f>IF($A2516="","",IF(O2516&lt;&gt;원인분석!$C$9,"",IF(AND(M2516&gt;=원인분석!$C$10,M2516&lt;=원인분석!$C$11),"당기",IF(AND(M2516&gt;=원인분석!$C$12,M2516&lt;=원인분석!$C$13),"비교",""))))</f>
        <v/>
      </c>
      <c r="R2516" s="9">
        <f>IF(Q2516="","",$K2516&amp;"")</f>
        <v/>
      </c>
      <c r="S2516" s="9">
        <f>IF(Q2516="","",IF(MATCH(R2516,$R$5:$R$100000,0)=ROW()-4,ROW(),""))</f>
        <v/>
      </c>
      <c r="T2516" s="9">
        <f>IF(Q2516="당기",ABS(P2516)+ROW()/1000000000,"")</f>
        <v/>
      </c>
      <c r="U2516" s="9">
        <f>IF(Q2516="비교",ABS(P2516)+ROW()/1000000000,"")</f>
        <v/>
      </c>
      <c r="V2516" s="64">
        <f>IF($A2516="","",IF(COUNTIF(변동분석!$E$7:$E$506,O2516)&gt;0,"Y","N"))</f>
        <v/>
      </c>
      <c r="W2516" s="64">
        <f>IF($A2516="","",IFERROR(INDEX(계정매핑!$D$5:$D$504,MATCH($F2516&amp;"",계정매핑!$A$5:$A$504,0)),"미매핑"))</f>
        <v/>
      </c>
      <c r="X2516" s="9">
        <f>IF($A2516="","",$F2516&amp;"")</f>
        <v/>
      </c>
      <c r="Y2516" s="94">
        <f>IF($A2516="",0,IF(AE2516="직접",IF(AF2516="비귀속",$P2516,0),$P2516*(1-AG2516)*IFERROR(INDEX(계정대체기준!$F$20:$F$49,MATCH($N2516,계정대체기준!$A$20:$A$49,0)),1)))</f>
        <v/>
      </c>
      <c r="Z2516" s="94">
        <f>IF($A2516="",0,IF(AE2516="직접",IF(AF2516="신계약비",$P2516,0),$P2516*(1-AG2516)*IFERROR(INDEX(계정대체기준!$C$20:$C$49,MATCH($N2516,계정대체기준!$A$20:$A$49,0)),0)))</f>
        <v/>
      </c>
      <c r="AA2516" s="94">
        <f>IF($A2516="",0,IF(AE2516="직접",IF(OR(AF2516="유지비",AF2516="손해조사비"),$P2516,0),$P2516*(1-AG2516)*IFERROR(INDEX(계정대체기준!$D$20:$D$49,MATCH($N2516,계정대체기준!$A$20:$A$49,0)),0)))</f>
        <v/>
      </c>
      <c r="AB2516" s="94">
        <f>IF($A2516="",0,IF(AE2516="직접",IF(AF2516="수금비",$P2516,0),$P2516*(1-AG2516)*IFERROR(INDEX(계정대체기준!$E$20:$E$49,MATCH($N2516,계정대체기준!$A$20:$A$49,0)),0)))</f>
        <v/>
      </c>
      <c r="AC2516" s="9">
        <f>IF(AND($A2516&lt;&gt;"",M2516=설정!$C$20,Z2516&gt;0),Z2516+ROW()/1000000000,"")</f>
        <v/>
      </c>
      <c r="AD2516" s="94">
        <f>IF($A2516="",0,$P2516*AG2516)</f>
        <v/>
      </c>
      <c r="AE2516" s="64">
        <f>IF($A2516="","",IFERROR(INDEX(계정매핑!$E$5:$E$504,MATCH($F2516&amp;"",계정매핑!$A$5:$A$504,0))&amp;"","공통비"))</f>
        <v/>
      </c>
      <c r="AF2516" s="64">
        <f>IF($A2516="","",IF(AE2516="직접",IFERROR(INDEX(계정매핑!$F$5:$F$504,MATCH($F2516&amp;"",계정매핑!$A$5:$A$504,0))&amp;"","비귀속"),""))</f>
        <v/>
      </c>
      <c r="AG2516" s="96">
        <f>IF($A2516="",0,IF(AND(AE2516&lt;&gt;"직접",IFERROR(INDEX(계정매핑!$G$5:$G$504,MATCH($F2516&amp;"",계정매핑!$A$5:$A$504,0))&amp;"","")="유지비",COUNTIF(계정대체기준!$A$6:$A$15,$N2516)&gt;0),IFERROR(INDEX(계정대체기준!$E$6:$E$15,MATCH(VALUE($A2516&amp;""),계정대체기준!$D$6:$D$15,0)),0),0))</f>
        <v/>
      </c>
      <c r="AH2516" s="64">
        <f>IF($A2516="","",IF(AD2516=0,"",IF(OR(COUNTIF(계정대체기준!$A$77:$A$86,$N2516)&gt;0,ISNUMBER(MATCH($X2516,계정대체기준!$D$77:$D$86,0)),ISNUMBER(MATCH($F2516,계정대체기준!$D$77:$D$86,0))),"Y","N")))</f>
        <v/>
      </c>
    </row>
    <row r="2517">
      <c r="A2517" s="92" t="n">
        <v>2025</v>
      </c>
      <c r="B2517" s="92" t="n">
        <v>12</v>
      </c>
      <c r="C2517" s="92" t="inlineStr">
        <is>
          <t>5100002513</t>
        </is>
      </c>
      <c r="D2517" s="95" t="n">
        <v>45996</v>
      </c>
      <c r="E2517" s="92" t="inlineStr">
        <is>
          <t>KR</t>
        </is>
      </c>
      <c r="F2517" s="92" t="n">
        <v>62201000</v>
      </c>
      <c r="G2517" s="92" t="n">
        <v>1201</v>
      </c>
      <c r="H2517" s="93" t="n">
        <v>140000</v>
      </c>
      <c r="I2517" s="92" t="inlineStr">
        <is>
          <t>12월 통신요금 - O텔레콤</t>
        </is>
      </c>
      <c r="J2517" s="92" t="inlineStr">
        <is>
          <t>V10002</t>
        </is>
      </c>
      <c r="K2517" s="92" t="inlineStr">
        <is>
          <t>O텔레콤</t>
        </is>
      </c>
      <c r="M2517" s="9">
        <f>IF($A2517="","",VALUE($A2517&amp;"")*12+VALUE($B2517&amp;""))</f>
        <v/>
      </c>
      <c r="N2517" s="64">
        <f>IF($A2517="","",IFERROR(INDEX(부서매핑!$C$5:$C$504,MATCH($G2517&amp;"",부서매핑!$A$5:$A$504,0)),"미매핑"))</f>
        <v/>
      </c>
      <c r="O2517" s="9">
        <f>IF($A2517="","",N2517&amp;"|"&amp;$F2517)</f>
        <v/>
      </c>
      <c r="P2517" s="94">
        <f>IF($A2517="",0,$H2517*설정!$C$23)</f>
        <v/>
      </c>
      <c r="Q2517" s="64">
        <f>IF($A2517="","",IF(O2517&lt;&gt;원인분석!$C$9,"",IF(AND(M2517&gt;=원인분석!$C$10,M2517&lt;=원인분석!$C$11),"당기",IF(AND(M2517&gt;=원인분석!$C$12,M2517&lt;=원인분석!$C$13),"비교",""))))</f>
        <v/>
      </c>
      <c r="R2517" s="9">
        <f>IF(Q2517="","",$K2517&amp;"")</f>
        <v/>
      </c>
      <c r="S2517" s="9">
        <f>IF(Q2517="","",IF(MATCH(R2517,$R$5:$R$100000,0)=ROW()-4,ROW(),""))</f>
        <v/>
      </c>
      <c r="T2517" s="9">
        <f>IF(Q2517="당기",ABS(P2517)+ROW()/1000000000,"")</f>
        <v/>
      </c>
      <c r="U2517" s="9">
        <f>IF(Q2517="비교",ABS(P2517)+ROW()/1000000000,"")</f>
        <v/>
      </c>
      <c r="V2517" s="64">
        <f>IF($A2517="","",IF(COUNTIF(변동분석!$E$7:$E$506,O2517)&gt;0,"Y","N"))</f>
        <v/>
      </c>
      <c r="W2517" s="64">
        <f>IF($A2517="","",IFERROR(INDEX(계정매핑!$D$5:$D$504,MATCH($F2517&amp;"",계정매핑!$A$5:$A$504,0)),"미매핑"))</f>
        <v/>
      </c>
      <c r="X2517" s="9">
        <f>IF($A2517="","",$F2517&amp;"")</f>
        <v/>
      </c>
      <c r="Y2517" s="94">
        <f>IF($A2517="",0,IF(AE2517="직접",IF(AF2517="비귀속",$P2517,0),$P2517*(1-AG2517)*IFERROR(INDEX(계정대체기준!$F$20:$F$49,MATCH($N2517,계정대체기준!$A$20:$A$49,0)),1)))</f>
        <v/>
      </c>
      <c r="Z2517" s="94">
        <f>IF($A2517="",0,IF(AE2517="직접",IF(AF2517="신계약비",$P2517,0),$P2517*(1-AG2517)*IFERROR(INDEX(계정대체기준!$C$20:$C$49,MATCH($N2517,계정대체기준!$A$20:$A$49,0)),0)))</f>
        <v/>
      </c>
      <c r="AA2517" s="94">
        <f>IF($A2517="",0,IF(AE2517="직접",IF(OR(AF2517="유지비",AF2517="손해조사비"),$P2517,0),$P2517*(1-AG2517)*IFERROR(INDEX(계정대체기준!$D$20:$D$49,MATCH($N2517,계정대체기준!$A$20:$A$49,0)),0)))</f>
        <v/>
      </c>
      <c r="AB2517" s="94">
        <f>IF($A2517="",0,IF(AE2517="직접",IF(AF2517="수금비",$P2517,0),$P2517*(1-AG2517)*IFERROR(INDEX(계정대체기준!$E$20:$E$49,MATCH($N2517,계정대체기준!$A$20:$A$49,0)),0)))</f>
        <v/>
      </c>
      <c r="AC2517" s="9">
        <f>IF(AND($A2517&lt;&gt;"",M2517=설정!$C$20,Z2517&gt;0),Z2517+ROW()/1000000000,"")</f>
        <v/>
      </c>
      <c r="AD2517" s="94">
        <f>IF($A2517="",0,$P2517*AG2517)</f>
        <v/>
      </c>
      <c r="AE2517" s="64">
        <f>IF($A2517="","",IFERROR(INDEX(계정매핑!$E$5:$E$504,MATCH($F2517&amp;"",계정매핑!$A$5:$A$504,0))&amp;"","공통비"))</f>
        <v/>
      </c>
      <c r="AF2517" s="64">
        <f>IF($A2517="","",IF(AE2517="직접",IFERROR(INDEX(계정매핑!$F$5:$F$504,MATCH($F2517&amp;"",계정매핑!$A$5:$A$504,0))&amp;"","비귀속"),""))</f>
        <v/>
      </c>
      <c r="AG2517" s="96">
        <f>IF($A2517="",0,IF(AND(AE2517&lt;&gt;"직접",IFERROR(INDEX(계정매핑!$G$5:$G$504,MATCH($F2517&amp;"",계정매핑!$A$5:$A$504,0))&amp;"","")="유지비",COUNTIF(계정대체기준!$A$6:$A$15,$N2517)&gt;0),IFERROR(INDEX(계정대체기준!$E$6:$E$15,MATCH(VALUE($A2517&amp;""),계정대체기준!$D$6:$D$15,0)),0),0))</f>
        <v/>
      </c>
      <c r="AH2517" s="64">
        <f>IF($A2517="","",IF(AD2517=0,"",IF(OR(COUNTIF(계정대체기준!$A$77:$A$86,$N2517)&gt;0,ISNUMBER(MATCH($X2517,계정대체기준!$D$77:$D$86,0)),ISNUMBER(MATCH($F2517,계정대체기준!$D$77:$D$86,0))),"Y","N")))</f>
        <v/>
      </c>
    </row>
    <row r="2518">
      <c r="A2518" s="92" t="n">
        <v>2025</v>
      </c>
      <c r="B2518" s="92" t="n">
        <v>12</v>
      </c>
      <c r="C2518" s="92" t="inlineStr">
        <is>
          <t>5100002514</t>
        </is>
      </c>
      <c r="D2518" s="95" t="n">
        <v>45996</v>
      </c>
      <c r="E2518" s="92" t="inlineStr">
        <is>
          <t>KR</t>
        </is>
      </c>
      <c r="F2518" s="92" t="n">
        <v>62201000</v>
      </c>
      <c r="G2518" s="92" t="n">
        <v>1301</v>
      </c>
      <c r="H2518" s="93" t="n">
        <v>212000</v>
      </c>
      <c r="I2518" s="92" t="inlineStr">
        <is>
          <t>12월 통신요금 - P통신</t>
        </is>
      </c>
      <c r="J2518" s="92" t="inlineStr">
        <is>
          <t>V10014</t>
        </is>
      </c>
      <c r="K2518" s="92" t="inlineStr">
        <is>
          <t>P통신</t>
        </is>
      </c>
      <c r="M2518" s="9">
        <f>IF($A2518="","",VALUE($A2518&amp;"")*12+VALUE($B2518&amp;""))</f>
        <v/>
      </c>
      <c r="N2518" s="64">
        <f>IF($A2518="","",IFERROR(INDEX(부서매핑!$C$5:$C$504,MATCH($G2518&amp;"",부서매핑!$A$5:$A$504,0)),"미매핑"))</f>
        <v/>
      </c>
      <c r="O2518" s="9">
        <f>IF($A2518="","",N2518&amp;"|"&amp;$F2518)</f>
        <v/>
      </c>
      <c r="P2518" s="94">
        <f>IF($A2518="",0,$H2518*설정!$C$23)</f>
        <v/>
      </c>
      <c r="Q2518" s="64">
        <f>IF($A2518="","",IF(O2518&lt;&gt;원인분석!$C$9,"",IF(AND(M2518&gt;=원인분석!$C$10,M2518&lt;=원인분석!$C$11),"당기",IF(AND(M2518&gt;=원인분석!$C$12,M2518&lt;=원인분석!$C$13),"비교",""))))</f>
        <v/>
      </c>
      <c r="R2518" s="9">
        <f>IF(Q2518="","",$K2518&amp;"")</f>
        <v/>
      </c>
      <c r="S2518" s="9">
        <f>IF(Q2518="","",IF(MATCH(R2518,$R$5:$R$100000,0)=ROW()-4,ROW(),""))</f>
        <v/>
      </c>
      <c r="T2518" s="9">
        <f>IF(Q2518="당기",ABS(P2518)+ROW()/1000000000,"")</f>
        <v/>
      </c>
      <c r="U2518" s="9">
        <f>IF(Q2518="비교",ABS(P2518)+ROW()/1000000000,"")</f>
        <v/>
      </c>
      <c r="V2518" s="64">
        <f>IF($A2518="","",IF(COUNTIF(변동분석!$E$7:$E$506,O2518)&gt;0,"Y","N"))</f>
        <v/>
      </c>
      <c r="W2518" s="64">
        <f>IF($A2518="","",IFERROR(INDEX(계정매핑!$D$5:$D$504,MATCH($F2518&amp;"",계정매핑!$A$5:$A$504,0)),"미매핑"))</f>
        <v/>
      </c>
      <c r="X2518" s="9">
        <f>IF($A2518="","",$F2518&amp;"")</f>
        <v/>
      </c>
      <c r="Y2518" s="94">
        <f>IF($A2518="",0,IF(AE2518="직접",IF(AF2518="비귀속",$P2518,0),$P2518*(1-AG2518)*IFERROR(INDEX(계정대체기준!$F$20:$F$49,MATCH($N2518,계정대체기준!$A$20:$A$49,0)),1)))</f>
        <v/>
      </c>
      <c r="Z2518" s="94">
        <f>IF($A2518="",0,IF(AE2518="직접",IF(AF2518="신계약비",$P2518,0),$P2518*(1-AG2518)*IFERROR(INDEX(계정대체기준!$C$20:$C$49,MATCH($N2518,계정대체기준!$A$20:$A$49,0)),0)))</f>
        <v/>
      </c>
      <c r="AA2518" s="94">
        <f>IF($A2518="",0,IF(AE2518="직접",IF(OR(AF2518="유지비",AF2518="손해조사비"),$P2518,0),$P2518*(1-AG2518)*IFERROR(INDEX(계정대체기준!$D$20:$D$49,MATCH($N2518,계정대체기준!$A$20:$A$49,0)),0)))</f>
        <v/>
      </c>
      <c r="AB2518" s="94">
        <f>IF($A2518="",0,IF(AE2518="직접",IF(AF2518="수금비",$P2518,0),$P2518*(1-AG2518)*IFERROR(INDEX(계정대체기준!$E$20:$E$49,MATCH($N2518,계정대체기준!$A$20:$A$49,0)),0)))</f>
        <v/>
      </c>
      <c r="AC2518" s="9">
        <f>IF(AND($A2518&lt;&gt;"",M2518=설정!$C$20,Z2518&gt;0),Z2518+ROW()/1000000000,"")</f>
        <v/>
      </c>
      <c r="AD2518" s="94">
        <f>IF($A2518="",0,$P2518*AG2518)</f>
        <v/>
      </c>
      <c r="AE2518" s="64">
        <f>IF($A2518="","",IFERROR(INDEX(계정매핑!$E$5:$E$504,MATCH($F2518&amp;"",계정매핑!$A$5:$A$504,0))&amp;"","공통비"))</f>
        <v/>
      </c>
      <c r="AF2518" s="64">
        <f>IF($A2518="","",IF(AE2518="직접",IFERROR(INDEX(계정매핑!$F$5:$F$504,MATCH($F2518&amp;"",계정매핑!$A$5:$A$504,0))&amp;"","비귀속"),""))</f>
        <v/>
      </c>
      <c r="AG2518" s="96">
        <f>IF($A2518="",0,IF(AND(AE2518&lt;&gt;"직접",IFERROR(INDEX(계정매핑!$G$5:$G$504,MATCH($F2518&amp;"",계정매핑!$A$5:$A$504,0))&amp;"","")="유지비",COUNTIF(계정대체기준!$A$6:$A$15,$N2518)&gt;0),IFERROR(INDEX(계정대체기준!$E$6:$E$15,MATCH(VALUE($A2518&amp;""),계정대체기준!$D$6:$D$15,0)),0),0))</f>
        <v/>
      </c>
      <c r="AH2518" s="64">
        <f>IF($A2518="","",IF(AD2518=0,"",IF(OR(COUNTIF(계정대체기준!$A$77:$A$86,$N2518)&gt;0,ISNUMBER(MATCH($X2518,계정대체기준!$D$77:$D$86,0)),ISNUMBER(MATCH($F2518,계정대체기준!$D$77:$D$86,0))),"Y","N")))</f>
        <v/>
      </c>
    </row>
    <row r="2519">
      <c r="A2519" s="92" t="n">
        <v>2025</v>
      </c>
      <c r="B2519" s="92" t="n">
        <v>12</v>
      </c>
      <c r="C2519" s="92" t="inlineStr">
        <is>
          <t>5100002515</t>
        </is>
      </c>
      <c r="D2519" s="95" t="n">
        <v>45996</v>
      </c>
      <c r="E2519" s="92" t="inlineStr">
        <is>
          <t>KR</t>
        </is>
      </c>
      <c r="F2519" s="92" t="n">
        <v>62401000</v>
      </c>
      <c r="G2519" s="92" t="n">
        <v>1401</v>
      </c>
      <c r="H2519" s="93" t="n">
        <v>195000</v>
      </c>
      <c r="I2519" s="92" t="inlineStr">
        <is>
          <t>12월 인쇄물 제작 - S출판</t>
        </is>
      </c>
      <c r="J2519" s="92" t="inlineStr">
        <is>
          <t>V10015</t>
        </is>
      </c>
      <c r="K2519" s="92" t="inlineStr">
        <is>
          <t>S출판</t>
        </is>
      </c>
      <c r="M2519" s="9">
        <f>IF($A2519="","",VALUE($A2519&amp;"")*12+VALUE($B2519&amp;""))</f>
        <v/>
      </c>
      <c r="N2519" s="64">
        <f>IF($A2519="","",IFERROR(INDEX(부서매핑!$C$5:$C$504,MATCH($G2519&amp;"",부서매핑!$A$5:$A$504,0)),"미매핑"))</f>
        <v/>
      </c>
      <c r="O2519" s="9">
        <f>IF($A2519="","",N2519&amp;"|"&amp;$F2519)</f>
        <v/>
      </c>
      <c r="P2519" s="94">
        <f>IF($A2519="",0,$H2519*설정!$C$23)</f>
        <v/>
      </c>
      <c r="Q2519" s="64">
        <f>IF($A2519="","",IF(O2519&lt;&gt;원인분석!$C$9,"",IF(AND(M2519&gt;=원인분석!$C$10,M2519&lt;=원인분석!$C$11),"당기",IF(AND(M2519&gt;=원인분석!$C$12,M2519&lt;=원인분석!$C$13),"비교",""))))</f>
        <v/>
      </c>
      <c r="R2519" s="9">
        <f>IF(Q2519="","",$K2519&amp;"")</f>
        <v/>
      </c>
      <c r="S2519" s="9">
        <f>IF(Q2519="","",IF(MATCH(R2519,$R$5:$R$100000,0)=ROW()-4,ROW(),""))</f>
        <v/>
      </c>
      <c r="T2519" s="9">
        <f>IF(Q2519="당기",ABS(P2519)+ROW()/1000000000,"")</f>
        <v/>
      </c>
      <c r="U2519" s="9">
        <f>IF(Q2519="비교",ABS(P2519)+ROW()/1000000000,"")</f>
        <v/>
      </c>
      <c r="V2519" s="64">
        <f>IF($A2519="","",IF(COUNTIF(변동분석!$E$7:$E$506,O2519)&gt;0,"Y","N"))</f>
        <v/>
      </c>
      <c r="W2519" s="64">
        <f>IF($A2519="","",IFERROR(INDEX(계정매핑!$D$5:$D$504,MATCH($F2519&amp;"",계정매핑!$A$5:$A$504,0)),"미매핑"))</f>
        <v/>
      </c>
      <c r="X2519" s="9">
        <f>IF($A2519="","",$F2519&amp;"")</f>
        <v/>
      </c>
      <c r="Y2519" s="94">
        <f>IF($A2519="",0,IF(AE2519="직접",IF(AF2519="비귀속",$P2519,0),$P2519*(1-AG2519)*IFERROR(INDEX(계정대체기준!$F$20:$F$49,MATCH($N2519,계정대체기준!$A$20:$A$49,0)),1)))</f>
        <v/>
      </c>
      <c r="Z2519" s="94">
        <f>IF($A2519="",0,IF(AE2519="직접",IF(AF2519="신계약비",$P2519,0),$P2519*(1-AG2519)*IFERROR(INDEX(계정대체기준!$C$20:$C$49,MATCH($N2519,계정대체기준!$A$20:$A$49,0)),0)))</f>
        <v/>
      </c>
      <c r="AA2519" s="94">
        <f>IF($A2519="",0,IF(AE2519="직접",IF(OR(AF2519="유지비",AF2519="손해조사비"),$P2519,0),$P2519*(1-AG2519)*IFERROR(INDEX(계정대체기준!$D$20:$D$49,MATCH($N2519,계정대체기준!$A$20:$A$49,0)),0)))</f>
        <v/>
      </c>
      <c r="AB2519" s="94">
        <f>IF($A2519="",0,IF(AE2519="직접",IF(AF2519="수금비",$P2519,0),$P2519*(1-AG2519)*IFERROR(INDEX(계정대체기준!$E$20:$E$49,MATCH($N2519,계정대체기준!$A$20:$A$49,0)),0)))</f>
        <v/>
      </c>
      <c r="AC2519" s="9">
        <f>IF(AND($A2519&lt;&gt;"",M2519=설정!$C$20,Z2519&gt;0),Z2519+ROW()/1000000000,"")</f>
        <v/>
      </c>
      <c r="AD2519" s="94">
        <f>IF($A2519="",0,$P2519*AG2519)</f>
        <v/>
      </c>
      <c r="AE2519" s="64">
        <f>IF($A2519="","",IFERROR(INDEX(계정매핑!$E$5:$E$504,MATCH($F2519&amp;"",계정매핑!$A$5:$A$504,0))&amp;"","공통비"))</f>
        <v/>
      </c>
      <c r="AF2519" s="64">
        <f>IF($A2519="","",IF(AE2519="직접",IFERROR(INDEX(계정매핑!$F$5:$F$504,MATCH($F2519&amp;"",계정매핑!$A$5:$A$504,0))&amp;"","비귀속"),""))</f>
        <v/>
      </c>
      <c r="AG2519" s="96">
        <f>IF($A2519="",0,IF(AND(AE2519&lt;&gt;"직접",IFERROR(INDEX(계정매핑!$G$5:$G$504,MATCH($F2519&amp;"",계정매핑!$A$5:$A$504,0))&amp;"","")="유지비",COUNTIF(계정대체기준!$A$6:$A$15,$N2519)&gt;0),IFERROR(INDEX(계정대체기준!$E$6:$E$15,MATCH(VALUE($A2519&amp;""),계정대체기준!$D$6:$D$15,0)),0),0))</f>
        <v/>
      </c>
      <c r="AH2519" s="64">
        <f>IF($A2519="","",IF(AD2519=0,"",IF(OR(COUNTIF(계정대체기준!$A$77:$A$86,$N2519)&gt;0,ISNUMBER(MATCH($X2519,계정대체기준!$D$77:$D$86,0)),ISNUMBER(MATCH($F2519,계정대체기준!$D$77:$D$86,0))),"Y","N")))</f>
        <v/>
      </c>
    </row>
    <row r="2520">
      <c r="A2520" s="92" t="n">
        <v>2025</v>
      </c>
      <c r="B2520" s="92" t="n">
        <v>12</v>
      </c>
      <c r="C2520" s="92" t="inlineStr">
        <is>
          <t>5100002516</t>
        </is>
      </c>
      <c r="D2520" s="95" t="n">
        <v>45996</v>
      </c>
      <c r="E2520" s="92" t="inlineStr">
        <is>
          <t>KR</t>
        </is>
      </c>
      <c r="F2520" s="92" t="n">
        <v>62401000</v>
      </c>
      <c r="G2520" s="92" t="n">
        <v>1801</v>
      </c>
      <c r="H2520" s="93" t="n">
        <v>1560000</v>
      </c>
      <c r="I2520" s="92" t="inlineStr">
        <is>
          <t>12월 인쇄물 제작 - G인쇄</t>
        </is>
      </c>
      <c r="J2520" s="92" t="inlineStr">
        <is>
          <t>V10004</t>
        </is>
      </c>
      <c r="K2520" s="92" t="inlineStr">
        <is>
          <t>G인쇄</t>
        </is>
      </c>
      <c r="M2520" s="9">
        <f>IF($A2520="","",VALUE($A2520&amp;"")*12+VALUE($B2520&amp;""))</f>
        <v/>
      </c>
      <c r="N2520" s="64">
        <f>IF($A2520="","",IFERROR(INDEX(부서매핑!$C$5:$C$504,MATCH($G2520&amp;"",부서매핑!$A$5:$A$504,0)),"미매핑"))</f>
        <v/>
      </c>
      <c r="O2520" s="9">
        <f>IF($A2520="","",N2520&amp;"|"&amp;$F2520)</f>
        <v/>
      </c>
      <c r="P2520" s="94">
        <f>IF($A2520="",0,$H2520*설정!$C$23)</f>
        <v/>
      </c>
      <c r="Q2520" s="64">
        <f>IF($A2520="","",IF(O2520&lt;&gt;원인분석!$C$9,"",IF(AND(M2520&gt;=원인분석!$C$10,M2520&lt;=원인분석!$C$11),"당기",IF(AND(M2520&gt;=원인분석!$C$12,M2520&lt;=원인분석!$C$13),"비교",""))))</f>
        <v/>
      </c>
      <c r="R2520" s="9">
        <f>IF(Q2520="","",$K2520&amp;"")</f>
        <v/>
      </c>
      <c r="S2520" s="9">
        <f>IF(Q2520="","",IF(MATCH(R2520,$R$5:$R$100000,0)=ROW()-4,ROW(),""))</f>
        <v/>
      </c>
      <c r="T2520" s="9">
        <f>IF(Q2520="당기",ABS(P2520)+ROW()/1000000000,"")</f>
        <v/>
      </c>
      <c r="U2520" s="9">
        <f>IF(Q2520="비교",ABS(P2520)+ROW()/1000000000,"")</f>
        <v/>
      </c>
      <c r="V2520" s="64">
        <f>IF($A2520="","",IF(COUNTIF(변동분석!$E$7:$E$506,O2520)&gt;0,"Y","N"))</f>
        <v/>
      </c>
      <c r="W2520" s="64">
        <f>IF($A2520="","",IFERROR(INDEX(계정매핑!$D$5:$D$504,MATCH($F2520&amp;"",계정매핑!$A$5:$A$504,0)),"미매핑"))</f>
        <v/>
      </c>
      <c r="X2520" s="9">
        <f>IF($A2520="","",$F2520&amp;"")</f>
        <v/>
      </c>
      <c r="Y2520" s="94">
        <f>IF($A2520="",0,IF(AE2520="직접",IF(AF2520="비귀속",$P2520,0),$P2520*(1-AG2520)*IFERROR(INDEX(계정대체기준!$F$20:$F$49,MATCH($N2520,계정대체기준!$A$20:$A$49,0)),1)))</f>
        <v/>
      </c>
      <c r="Z2520" s="94">
        <f>IF($A2520="",0,IF(AE2520="직접",IF(AF2520="신계약비",$P2520,0),$P2520*(1-AG2520)*IFERROR(INDEX(계정대체기준!$C$20:$C$49,MATCH($N2520,계정대체기준!$A$20:$A$49,0)),0)))</f>
        <v/>
      </c>
      <c r="AA2520" s="94">
        <f>IF($A2520="",0,IF(AE2520="직접",IF(OR(AF2520="유지비",AF2520="손해조사비"),$P2520,0),$P2520*(1-AG2520)*IFERROR(INDEX(계정대체기준!$D$20:$D$49,MATCH($N2520,계정대체기준!$A$20:$A$49,0)),0)))</f>
        <v/>
      </c>
      <c r="AB2520" s="94">
        <f>IF($A2520="",0,IF(AE2520="직접",IF(AF2520="수금비",$P2520,0),$P2520*(1-AG2520)*IFERROR(INDEX(계정대체기준!$E$20:$E$49,MATCH($N2520,계정대체기준!$A$20:$A$49,0)),0)))</f>
        <v/>
      </c>
      <c r="AC2520" s="9">
        <f>IF(AND($A2520&lt;&gt;"",M2520=설정!$C$20,Z2520&gt;0),Z2520+ROW()/1000000000,"")</f>
        <v/>
      </c>
      <c r="AD2520" s="94">
        <f>IF($A2520="",0,$P2520*AG2520)</f>
        <v/>
      </c>
      <c r="AE2520" s="64">
        <f>IF($A2520="","",IFERROR(INDEX(계정매핑!$E$5:$E$504,MATCH($F2520&amp;"",계정매핑!$A$5:$A$504,0))&amp;"","공통비"))</f>
        <v/>
      </c>
      <c r="AF2520" s="64">
        <f>IF($A2520="","",IF(AE2520="직접",IFERROR(INDEX(계정매핑!$F$5:$F$504,MATCH($F2520&amp;"",계정매핑!$A$5:$A$504,0))&amp;"","비귀속"),""))</f>
        <v/>
      </c>
      <c r="AG2520" s="96">
        <f>IF($A2520="",0,IF(AND(AE2520&lt;&gt;"직접",IFERROR(INDEX(계정매핑!$G$5:$G$504,MATCH($F2520&amp;"",계정매핑!$A$5:$A$504,0))&amp;"","")="유지비",COUNTIF(계정대체기준!$A$6:$A$15,$N2520)&gt;0),IFERROR(INDEX(계정대체기준!$E$6:$E$15,MATCH(VALUE($A2520&amp;""),계정대체기준!$D$6:$D$15,0)),0),0))</f>
        <v/>
      </c>
      <c r="AH2520" s="64">
        <f>IF($A2520="","",IF(AD2520=0,"",IF(OR(COUNTIF(계정대체기준!$A$77:$A$86,$N2520)&gt;0,ISNUMBER(MATCH($X2520,계정대체기준!$D$77:$D$86,0)),ISNUMBER(MATCH($F2520,계정대체기준!$D$77:$D$86,0))),"Y","N")))</f>
        <v/>
      </c>
    </row>
    <row r="2521">
      <c r="A2521" s="92" t="n">
        <v>2025</v>
      </c>
      <c r="B2521" s="92" t="n">
        <v>12</v>
      </c>
      <c r="C2521" s="92" t="inlineStr">
        <is>
          <t>5100002517</t>
        </is>
      </c>
      <c r="D2521" s="95" t="n">
        <v>45996</v>
      </c>
      <c r="E2521" s="92" t="inlineStr">
        <is>
          <t>KR</t>
        </is>
      </c>
      <c r="F2521" s="92" t="n">
        <v>62501000</v>
      </c>
      <c r="G2521" s="92" t="n">
        <v>1601</v>
      </c>
      <c r="H2521" s="93" t="n">
        <v>406000</v>
      </c>
      <c r="I2521" s="92" t="inlineStr">
        <is>
          <t>12월 회의 다과 - (법인카드)</t>
        </is>
      </c>
      <c r="J2521" s="92" t="inlineStr">
        <is>
          <t>V10010</t>
        </is>
      </c>
      <c r="K2521" s="92" t="inlineStr">
        <is>
          <t>(법인카드)</t>
        </is>
      </c>
      <c r="M2521" s="9">
        <f>IF($A2521="","",VALUE($A2521&amp;"")*12+VALUE($B2521&amp;""))</f>
        <v/>
      </c>
      <c r="N2521" s="64">
        <f>IF($A2521="","",IFERROR(INDEX(부서매핑!$C$5:$C$504,MATCH($G2521&amp;"",부서매핑!$A$5:$A$504,0)),"미매핑"))</f>
        <v/>
      </c>
      <c r="O2521" s="9">
        <f>IF($A2521="","",N2521&amp;"|"&amp;$F2521)</f>
        <v/>
      </c>
      <c r="P2521" s="94">
        <f>IF($A2521="",0,$H2521*설정!$C$23)</f>
        <v/>
      </c>
      <c r="Q2521" s="64">
        <f>IF($A2521="","",IF(O2521&lt;&gt;원인분석!$C$9,"",IF(AND(M2521&gt;=원인분석!$C$10,M2521&lt;=원인분석!$C$11),"당기",IF(AND(M2521&gt;=원인분석!$C$12,M2521&lt;=원인분석!$C$13),"비교",""))))</f>
        <v/>
      </c>
      <c r="R2521" s="9">
        <f>IF(Q2521="","",$K2521&amp;"")</f>
        <v/>
      </c>
      <c r="S2521" s="9">
        <f>IF(Q2521="","",IF(MATCH(R2521,$R$5:$R$100000,0)=ROW()-4,ROW(),""))</f>
        <v/>
      </c>
      <c r="T2521" s="9">
        <f>IF(Q2521="당기",ABS(P2521)+ROW()/1000000000,"")</f>
        <v/>
      </c>
      <c r="U2521" s="9">
        <f>IF(Q2521="비교",ABS(P2521)+ROW()/1000000000,"")</f>
        <v/>
      </c>
      <c r="V2521" s="64">
        <f>IF($A2521="","",IF(COUNTIF(변동분석!$E$7:$E$506,O2521)&gt;0,"Y","N"))</f>
        <v/>
      </c>
      <c r="W2521" s="64">
        <f>IF($A2521="","",IFERROR(INDEX(계정매핑!$D$5:$D$504,MATCH($F2521&amp;"",계정매핑!$A$5:$A$504,0)),"미매핑"))</f>
        <v/>
      </c>
      <c r="X2521" s="9">
        <f>IF($A2521="","",$F2521&amp;"")</f>
        <v/>
      </c>
      <c r="Y2521" s="94">
        <f>IF($A2521="",0,IF(AE2521="직접",IF(AF2521="비귀속",$P2521,0),$P2521*(1-AG2521)*IFERROR(INDEX(계정대체기준!$F$20:$F$49,MATCH($N2521,계정대체기준!$A$20:$A$49,0)),1)))</f>
        <v/>
      </c>
      <c r="Z2521" s="94">
        <f>IF($A2521="",0,IF(AE2521="직접",IF(AF2521="신계약비",$P2521,0),$P2521*(1-AG2521)*IFERROR(INDEX(계정대체기준!$C$20:$C$49,MATCH($N2521,계정대체기준!$A$20:$A$49,0)),0)))</f>
        <v/>
      </c>
      <c r="AA2521" s="94">
        <f>IF($A2521="",0,IF(AE2521="직접",IF(OR(AF2521="유지비",AF2521="손해조사비"),$P2521,0),$P2521*(1-AG2521)*IFERROR(INDEX(계정대체기준!$D$20:$D$49,MATCH($N2521,계정대체기준!$A$20:$A$49,0)),0)))</f>
        <v/>
      </c>
      <c r="AB2521" s="94">
        <f>IF($A2521="",0,IF(AE2521="직접",IF(AF2521="수금비",$P2521,0),$P2521*(1-AG2521)*IFERROR(INDEX(계정대체기준!$E$20:$E$49,MATCH($N2521,계정대체기준!$A$20:$A$49,0)),0)))</f>
        <v/>
      </c>
      <c r="AC2521" s="9">
        <f>IF(AND($A2521&lt;&gt;"",M2521=설정!$C$20,Z2521&gt;0),Z2521+ROW()/1000000000,"")</f>
        <v/>
      </c>
      <c r="AD2521" s="94">
        <f>IF($A2521="",0,$P2521*AG2521)</f>
        <v/>
      </c>
      <c r="AE2521" s="64">
        <f>IF($A2521="","",IFERROR(INDEX(계정매핑!$E$5:$E$504,MATCH($F2521&amp;"",계정매핑!$A$5:$A$504,0))&amp;"","공통비"))</f>
        <v/>
      </c>
      <c r="AF2521" s="64">
        <f>IF($A2521="","",IF(AE2521="직접",IFERROR(INDEX(계정매핑!$F$5:$F$504,MATCH($F2521&amp;"",계정매핑!$A$5:$A$504,0))&amp;"","비귀속"),""))</f>
        <v/>
      </c>
      <c r="AG2521" s="96">
        <f>IF($A2521="",0,IF(AND(AE2521&lt;&gt;"직접",IFERROR(INDEX(계정매핑!$G$5:$G$504,MATCH($F2521&amp;"",계정매핑!$A$5:$A$504,0))&amp;"","")="유지비",COUNTIF(계정대체기준!$A$6:$A$15,$N2521)&gt;0),IFERROR(INDEX(계정대체기준!$E$6:$E$15,MATCH(VALUE($A2521&amp;""),계정대체기준!$D$6:$D$15,0)),0),0))</f>
        <v/>
      </c>
      <c r="AH2521" s="64">
        <f>IF($A2521="","",IF(AD2521=0,"",IF(OR(COUNTIF(계정대체기준!$A$77:$A$86,$N2521)&gt;0,ISNUMBER(MATCH($X2521,계정대체기준!$D$77:$D$86,0)),ISNUMBER(MATCH($F2521,계정대체기준!$D$77:$D$86,0))),"Y","N")))</f>
        <v/>
      </c>
    </row>
    <row r="2522">
      <c r="A2522" s="92" t="n">
        <v>2025</v>
      </c>
      <c r="B2522" s="92" t="n">
        <v>12</v>
      </c>
      <c r="C2522" s="92" t="inlineStr">
        <is>
          <t>5100002518</t>
        </is>
      </c>
      <c r="D2522" s="95" t="n">
        <v>45996</v>
      </c>
      <c r="E2522" s="92" t="inlineStr">
        <is>
          <t>KR</t>
        </is>
      </c>
      <c r="F2522" s="92" t="n">
        <v>62801000</v>
      </c>
      <c r="G2522" s="92" t="n">
        <v>1301</v>
      </c>
      <c r="H2522" s="93" t="n">
        <v>4298000</v>
      </c>
      <c r="I2522" s="92" t="inlineStr">
        <is>
          <t>12월 사내교육 - U에듀</t>
        </is>
      </c>
      <c r="J2522" s="92" t="inlineStr">
        <is>
          <t>V10031</t>
        </is>
      </c>
      <c r="K2522" s="92" t="inlineStr">
        <is>
          <t>U에듀</t>
        </is>
      </c>
      <c r="M2522" s="9">
        <f>IF($A2522="","",VALUE($A2522&amp;"")*12+VALUE($B2522&amp;""))</f>
        <v/>
      </c>
      <c r="N2522" s="64">
        <f>IF($A2522="","",IFERROR(INDEX(부서매핑!$C$5:$C$504,MATCH($G2522&amp;"",부서매핑!$A$5:$A$504,0)),"미매핑"))</f>
        <v/>
      </c>
      <c r="O2522" s="9">
        <f>IF($A2522="","",N2522&amp;"|"&amp;$F2522)</f>
        <v/>
      </c>
      <c r="P2522" s="94">
        <f>IF($A2522="",0,$H2522*설정!$C$23)</f>
        <v/>
      </c>
      <c r="Q2522" s="64">
        <f>IF($A2522="","",IF(O2522&lt;&gt;원인분석!$C$9,"",IF(AND(M2522&gt;=원인분석!$C$10,M2522&lt;=원인분석!$C$11),"당기",IF(AND(M2522&gt;=원인분석!$C$12,M2522&lt;=원인분석!$C$13),"비교",""))))</f>
        <v/>
      </c>
      <c r="R2522" s="9">
        <f>IF(Q2522="","",$K2522&amp;"")</f>
        <v/>
      </c>
      <c r="S2522" s="9">
        <f>IF(Q2522="","",IF(MATCH(R2522,$R$5:$R$100000,0)=ROW()-4,ROW(),""))</f>
        <v/>
      </c>
      <c r="T2522" s="9">
        <f>IF(Q2522="당기",ABS(P2522)+ROW()/1000000000,"")</f>
        <v/>
      </c>
      <c r="U2522" s="9">
        <f>IF(Q2522="비교",ABS(P2522)+ROW()/1000000000,"")</f>
        <v/>
      </c>
      <c r="V2522" s="64">
        <f>IF($A2522="","",IF(COUNTIF(변동분석!$E$7:$E$506,O2522)&gt;0,"Y","N"))</f>
        <v/>
      </c>
      <c r="W2522" s="64">
        <f>IF($A2522="","",IFERROR(INDEX(계정매핑!$D$5:$D$504,MATCH($F2522&amp;"",계정매핑!$A$5:$A$504,0)),"미매핑"))</f>
        <v/>
      </c>
      <c r="X2522" s="9">
        <f>IF($A2522="","",$F2522&amp;"")</f>
        <v/>
      </c>
      <c r="Y2522" s="94">
        <f>IF($A2522="",0,IF(AE2522="직접",IF(AF2522="비귀속",$P2522,0),$P2522*(1-AG2522)*IFERROR(INDEX(계정대체기준!$F$20:$F$49,MATCH($N2522,계정대체기준!$A$20:$A$49,0)),1)))</f>
        <v/>
      </c>
      <c r="Z2522" s="94">
        <f>IF($A2522="",0,IF(AE2522="직접",IF(AF2522="신계약비",$P2522,0),$P2522*(1-AG2522)*IFERROR(INDEX(계정대체기준!$C$20:$C$49,MATCH($N2522,계정대체기준!$A$20:$A$49,0)),0)))</f>
        <v/>
      </c>
      <c r="AA2522" s="94">
        <f>IF($A2522="",0,IF(AE2522="직접",IF(OR(AF2522="유지비",AF2522="손해조사비"),$P2522,0),$P2522*(1-AG2522)*IFERROR(INDEX(계정대체기준!$D$20:$D$49,MATCH($N2522,계정대체기준!$A$20:$A$49,0)),0)))</f>
        <v/>
      </c>
      <c r="AB2522" s="94">
        <f>IF($A2522="",0,IF(AE2522="직접",IF(AF2522="수금비",$P2522,0),$P2522*(1-AG2522)*IFERROR(INDEX(계정대체기준!$E$20:$E$49,MATCH($N2522,계정대체기준!$A$20:$A$49,0)),0)))</f>
        <v/>
      </c>
      <c r="AC2522" s="9">
        <f>IF(AND($A2522&lt;&gt;"",M2522=설정!$C$20,Z2522&gt;0),Z2522+ROW()/1000000000,"")</f>
        <v/>
      </c>
      <c r="AD2522" s="94">
        <f>IF($A2522="",0,$P2522*AG2522)</f>
        <v/>
      </c>
      <c r="AE2522" s="64">
        <f>IF($A2522="","",IFERROR(INDEX(계정매핑!$E$5:$E$504,MATCH($F2522&amp;"",계정매핑!$A$5:$A$504,0))&amp;"","공통비"))</f>
        <v/>
      </c>
      <c r="AF2522" s="64">
        <f>IF($A2522="","",IF(AE2522="직접",IFERROR(INDEX(계정매핑!$F$5:$F$504,MATCH($F2522&amp;"",계정매핑!$A$5:$A$504,0))&amp;"","비귀속"),""))</f>
        <v/>
      </c>
      <c r="AG2522" s="96">
        <f>IF($A2522="",0,IF(AND(AE2522&lt;&gt;"직접",IFERROR(INDEX(계정매핑!$G$5:$G$504,MATCH($F2522&amp;"",계정매핑!$A$5:$A$504,0))&amp;"","")="유지비",COUNTIF(계정대체기준!$A$6:$A$15,$N2522)&gt;0),IFERROR(INDEX(계정대체기준!$E$6:$E$15,MATCH(VALUE($A2522&amp;""),계정대체기준!$D$6:$D$15,0)),0),0))</f>
        <v/>
      </c>
      <c r="AH2522" s="64">
        <f>IF($A2522="","",IF(AD2522=0,"",IF(OR(COUNTIF(계정대체기준!$A$77:$A$86,$N2522)&gt;0,ISNUMBER(MATCH($X2522,계정대체기준!$D$77:$D$86,0)),ISNUMBER(MATCH($F2522,계정대체기준!$D$77:$D$86,0))),"Y","N")))</f>
        <v/>
      </c>
    </row>
    <row r="2523">
      <c r="A2523" s="92" t="n">
        <v>2025</v>
      </c>
      <c r="B2523" s="92" t="n">
        <v>12</v>
      </c>
      <c r="C2523" s="92" t="inlineStr">
        <is>
          <t>5100002519</t>
        </is>
      </c>
      <c r="D2523" s="95" t="n">
        <v>45996</v>
      </c>
      <c r="E2523" s="92" t="inlineStr">
        <is>
          <t>KR</t>
        </is>
      </c>
      <c r="F2523" s="92" t="n">
        <v>62901000</v>
      </c>
      <c r="G2523" s="92" t="n">
        <v>1201</v>
      </c>
      <c r="H2523" s="93" t="n">
        <v>5572000</v>
      </c>
      <c r="I2523" s="92" t="inlineStr">
        <is>
          <t>12월 자문 수수료 - K회계법인</t>
        </is>
      </c>
      <c r="J2523" s="92" t="inlineStr">
        <is>
          <t>V10011</t>
        </is>
      </c>
      <c r="K2523" s="92" t="inlineStr">
        <is>
          <t>K회계법인</t>
        </is>
      </c>
      <c r="M2523" s="9">
        <f>IF($A2523="","",VALUE($A2523&amp;"")*12+VALUE($B2523&amp;""))</f>
        <v/>
      </c>
      <c r="N2523" s="64">
        <f>IF($A2523="","",IFERROR(INDEX(부서매핑!$C$5:$C$504,MATCH($G2523&amp;"",부서매핑!$A$5:$A$504,0)),"미매핑"))</f>
        <v/>
      </c>
      <c r="O2523" s="9">
        <f>IF($A2523="","",N2523&amp;"|"&amp;$F2523)</f>
        <v/>
      </c>
      <c r="P2523" s="94">
        <f>IF($A2523="",0,$H2523*설정!$C$23)</f>
        <v/>
      </c>
      <c r="Q2523" s="64">
        <f>IF($A2523="","",IF(O2523&lt;&gt;원인분석!$C$9,"",IF(AND(M2523&gt;=원인분석!$C$10,M2523&lt;=원인분석!$C$11),"당기",IF(AND(M2523&gt;=원인분석!$C$12,M2523&lt;=원인분석!$C$13),"비교",""))))</f>
        <v/>
      </c>
      <c r="R2523" s="9">
        <f>IF(Q2523="","",$K2523&amp;"")</f>
        <v/>
      </c>
      <c r="S2523" s="9">
        <f>IF(Q2523="","",IF(MATCH(R2523,$R$5:$R$100000,0)=ROW()-4,ROW(),""))</f>
        <v/>
      </c>
      <c r="T2523" s="9">
        <f>IF(Q2523="당기",ABS(P2523)+ROW()/1000000000,"")</f>
        <v/>
      </c>
      <c r="U2523" s="9">
        <f>IF(Q2523="비교",ABS(P2523)+ROW()/1000000000,"")</f>
        <v/>
      </c>
      <c r="V2523" s="64">
        <f>IF($A2523="","",IF(COUNTIF(변동분석!$E$7:$E$506,O2523)&gt;0,"Y","N"))</f>
        <v/>
      </c>
      <c r="W2523" s="64">
        <f>IF($A2523="","",IFERROR(INDEX(계정매핑!$D$5:$D$504,MATCH($F2523&amp;"",계정매핑!$A$5:$A$504,0)),"미매핑"))</f>
        <v/>
      </c>
      <c r="X2523" s="9">
        <f>IF($A2523="","",$F2523&amp;"")</f>
        <v/>
      </c>
      <c r="Y2523" s="94">
        <f>IF($A2523="",0,IF(AE2523="직접",IF(AF2523="비귀속",$P2523,0),$P2523*(1-AG2523)*IFERROR(INDEX(계정대체기준!$F$20:$F$49,MATCH($N2523,계정대체기준!$A$20:$A$49,0)),1)))</f>
        <v/>
      </c>
      <c r="Z2523" s="94">
        <f>IF($A2523="",0,IF(AE2523="직접",IF(AF2523="신계약비",$P2523,0),$P2523*(1-AG2523)*IFERROR(INDEX(계정대체기준!$C$20:$C$49,MATCH($N2523,계정대체기준!$A$20:$A$49,0)),0)))</f>
        <v/>
      </c>
      <c r="AA2523" s="94">
        <f>IF($A2523="",0,IF(AE2523="직접",IF(OR(AF2523="유지비",AF2523="손해조사비"),$P2523,0),$P2523*(1-AG2523)*IFERROR(INDEX(계정대체기준!$D$20:$D$49,MATCH($N2523,계정대체기준!$A$20:$A$49,0)),0)))</f>
        <v/>
      </c>
      <c r="AB2523" s="94">
        <f>IF($A2523="",0,IF(AE2523="직접",IF(AF2523="수금비",$P2523,0),$P2523*(1-AG2523)*IFERROR(INDEX(계정대체기준!$E$20:$E$49,MATCH($N2523,계정대체기준!$A$20:$A$49,0)),0)))</f>
        <v/>
      </c>
      <c r="AC2523" s="9">
        <f>IF(AND($A2523&lt;&gt;"",M2523=설정!$C$20,Z2523&gt;0),Z2523+ROW()/1000000000,"")</f>
        <v/>
      </c>
      <c r="AD2523" s="94">
        <f>IF($A2523="",0,$P2523*AG2523)</f>
        <v/>
      </c>
      <c r="AE2523" s="64">
        <f>IF($A2523="","",IFERROR(INDEX(계정매핑!$E$5:$E$504,MATCH($F2523&amp;"",계정매핑!$A$5:$A$504,0))&amp;"","공통비"))</f>
        <v/>
      </c>
      <c r="AF2523" s="64">
        <f>IF($A2523="","",IF(AE2523="직접",IFERROR(INDEX(계정매핑!$F$5:$F$504,MATCH($F2523&amp;"",계정매핑!$A$5:$A$504,0))&amp;"","비귀속"),""))</f>
        <v/>
      </c>
      <c r="AG2523" s="96">
        <f>IF($A2523="",0,IF(AND(AE2523&lt;&gt;"직접",IFERROR(INDEX(계정매핑!$G$5:$G$504,MATCH($F2523&amp;"",계정매핑!$A$5:$A$504,0))&amp;"","")="유지비",COUNTIF(계정대체기준!$A$6:$A$15,$N2523)&gt;0),IFERROR(INDEX(계정대체기준!$E$6:$E$15,MATCH(VALUE($A2523&amp;""),계정대체기준!$D$6:$D$15,0)),0),0))</f>
        <v/>
      </c>
      <c r="AH2523" s="64">
        <f>IF($A2523="","",IF(AD2523=0,"",IF(OR(COUNTIF(계정대체기준!$A$77:$A$86,$N2523)&gt;0,ISNUMBER(MATCH($X2523,계정대체기준!$D$77:$D$86,0)),ISNUMBER(MATCH($F2523,계정대체기준!$D$77:$D$86,0))),"Y","N")))</f>
        <v/>
      </c>
    </row>
    <row r="2524">
      <c r="A2524" s="92" t="n">
        <v>2025</v>
      </c>
      <c r="B2524" s="92" t="n">
        <v>12</v>
      </c>
      <c r="C2524" s="92" t="inlineStr">
        <is>
          <t>5100002520</t>
        </is>
      </c>
      <c r="D2524" s="95" t="n">
        <v>45996</v>
      </c>
      <c r="E2524" s="92" t="inlineStr">
        <is>
          <t>KR</t>
        </is>
      </c>
      <c r="F2524" s="92" t="n">
        <v>62901000</v>
      </c>
      <c r="G2524" s="92" t="n">
        <v>1801</v>
      </c>
      <c r="H2524" s="93" t="n">
        <v>9800000</v>
      </c>
      <c r="I2524" s="92" t="inlineStr">
        <is>
          <t>12월 자문 수수료 - W컨설팅</t>
        </is>
      </c>
      <c r="J2524" s="92" t="inlineStr">
        <is>
          <t>V10006</t>
        </is>
      </c>
      <c r="K2524" s="92" t="inlineStr">
        <is>
          <t>W컨설팅</t>
        </is>
      </c>
      <c r="M2524" s="9">
        <f>IF($A2524="","",VALUE($A2524&amp;"")*12+VALUE($B2524&amp;""))</f>
        <v/>
      </c>
      <c r="N2524" s="64">
        <f>IF($A2524="","",IFERROR(INDEX(부서매핑!$C$5:$C$504,MATCH($G2524&amp;"",부서매핑!$A$5:$A$504,0)),"미매핑"))</f>
        <v/>
      </c>
      <c r="O2524" s="9">
        <f>IF($A2524="","",N2524&amp;"|"&amp;$F2524)</f>
        <v/>
      </c>
      <c r="P2524" s="94">
        <f>IF($A2524="",0,$H2524*설정!$C$23)</f>
        <v/>
      </c>
      <c r="Q2524" s="64">
        <f>IF($A2524="","",IF(O2524&lt;&gt;원인분석!$C$9,"",IF(AND(M2524&gt;=원인분석!$C$10,M2524&lt;=원인분석!$C$11),"당기",IF(AND(M2524&gt;=원인분석!$C$12,M2524&lt;=원인분석!$C$13),"비교",""))))</f>
        <v/>
      </c>
      <c r="R2524" s="9">
        <f>IF(Q2524="","",$K2524&amp;"")</f>
        <v/>
      </c>
      <c r="S2524" s="9">
        <f>IF(Q2524="","",IF(MATCH(R2524,$R$5:$R$100000,0)=ROW()-4,ROW(),""))</f>
        <v/>
      </c>
      <c r="T2524" s="9">
        <f>IF(Q2524="당기",ABS(P2524)+ROW()/1000000000,"")</f>
        <v/>
      </c>
      <c r="U2524" s="9">
        <f>IF(Q2524="비교",ABS(P2524)+ROW()/1000000000,"")</f>
        <v/>
      </c>
      <c r="V2524" s="64">
        <f>IF($A2524="","",IF(COUNTIF(변동분석!$E$7:$E$506,O2524)&gt;0,"Y","N"))</f>
        <v/>
      </c>
      <c r="W2524" s="64">
        <f>IF($A2524="","",IFERROR(INDEX(계정매핑!$D$5:$D$504,MATCH($F2524&amp;"",계정매핑!$A$5:$A$504,0)),"미매핑"))</f>
        <v/>
      </c>
      <c r="X2524" s="9">
        <f>IF($A2524="","",$F2524&amp;"")</f>
        <v/>
      </c>
      <c r="Y2524" s="94">
        <f>IF($A2524="",0,IF(AE2524="직접",IF(AF2524="비귀속",$P2524,0),$P2524*(1-AG2524)*IFERROR(INDEX(계정대체기준!$F$20:$F$49,MATCH($N2524,계정대체기준!$A$20:$A$49,0)),1)))</f>
        <v/>
      </c>
      <c r="Z2524" s="94">
        <f>IF($A2524="",0,IF(AE2524="직접",IF(AF2524="신계약비",$P2524,0),$P2524*(1-AG2524)*IFERROR(INDEX(계정대체기준!$C$20:$C$49,MATCH($N2524,계정대체기준!$A$20:$A$49,0)),0)))</f>
        <v/>
      </c>
      <c r="AA2524" s="94">
        <f>IF($A2524="",0,IF(AE2524="직접",IF(OR(AF2524="유지비",AF2524="손해조사비"),$P2524,0),$P2524*(1-AG2524)*IFERROR(INDEX(계정대체기준!$D$20:$D$49,MATCH($N2524,계정대체기준!$A$20:$A$49,0)),0)))</f>
        <v/>
      </c>
      <c r="AB2524" s="94">
        <f>IF($A2524="",0,IF(AE2524="직접",IF(AF2524="수금비",$P2524,0),$P2524*(1-AG2524)*IFERROR(INDEX(계정대체기준!$E$20:$E$49,MATCH($N2524,계정대체기준!$A$20:$A$49,0)),0)))</f>
        <v/>
      </c>
      <c r="AC2524" s="9">
        <f>IF(AND($A2524&lt;&gt;"",M2524=설정!$C$20,Z2524&gt;0),Z2524+ROW()/1000000000,"")</f>
        <v/>
      </c>
      <c r="AD2524" s="94">
        <f>IF($A2524="",0,$P2524*AG2524)</f>
        <v/>
      </c>
      <c r="AE2524" s="64">
        <f>IF($A2524="","",IFERROR(INDEX(계정매핑!$E$5:$E$504,MATCH($F2524&amp;"",계정매핑!$A$5:$A$504,0))&amp;"","공통비"))</f>
        <v/>
      </c>
      <c r="AF2524" s="64">
        <f>IF($A2524="","",IF(AE2524="직접",IFERROR(INDEX(계정매핑!$F$5:$F$504,MATCH($F2524&amp;"",계정매핑!$A$5:$A$504,0))&amp;"","비귀속"),""))</f>
        <v/>
      </c>
      <c r="AG2524" s="96">
        <f>IF($A2524="",0,IF(AND(AE2524&lt;&gt;"직접",IFERROR(INDEX(계정매핑!$G$5:$G$504,MATCH($F2524&amp;"",계정매핑!$A$5:$A$504,0))&amp;"","")="유지비",COUNTIF(계정대체기준!$A$6:$A$15,$N2524)&gt;0),IFERROR(INDEX(계정대체기준!$E$6:$E$15,MATCH(VALUE($A2524&amp;""),계정대체기준!$D$6:$D$15,0)),0),0))</f>
        <v/>
      </c>
      <c r="AH2524" s="64">
        <f>IF($A2524="","",IF(AD2524=0,"",IF(OR(COUNTIF(계정대체기준!$A$77:$A$86,$N2524)&gt;0,ISNUMBER(MATCH($X2524,계정대체기준!$D$77:$D$86,0)),ISNUMBER(MATCH($F2524,계정대체기준!$D$77:$D$86,0))),"Y","N")))</f>
        <v/>
      </c>
    </row>
    <row r="2525">
      <c r="A2525" s="92" t="n">
        <v>2025</v>
      </c>
      <c r="B2525" s="92" t="n">
        <v>12</v>
      </c>
      <c r="C2525" s="92" t="inlineStr">
        <is>
          <t>5100002521</t>
        </is>
      </c>
      <c r="D2525" s="95" t="n">
        <v>45996</v>
      </c>
      <c r="E2525" s="92" t="inlineStr">
        <is>
          <t>KR</t>
        </is>
      </c>
      <c r="F2525" s="92" t="n">
        <v>63601000</v>
      </c>
      <c r="G2525" s="92" t="n">
        <v>1801</v>
      </c>
      <c r="H2525" s="93" t="n">
        <v>7641000</v>
      </c>
      <c r="I2525" s="92" t="inlineStr">
        <is>
          <t>12월 손해사정 수수료 - EE손해사정</t>
        </is>
      </c>
      <c r="J2525" s="92" t="inlineStr">
        <is>
          <t>V10008</t>
        </is>
      </c>
      <c r="K2525" s="92" t="inlineStr">
        <is>
          <t>EE손해사정</t>
        </is>
      </c>
      <c r="M2525" s="9">
        <f>IF($A2525="","",VALUE($A2525&amp;"")*12+VALUE($B2525&amp;""))</f>
        <v/>
      </c>
      <c r="N2525" s="64">
        <f>IF($A2525="","",IFERROR(INDEX(부서매핑!$C$5:$C$504,MATCH($G2525&amp;"",부서매핑!$A$5:$A$504,0)),"미매핑"))</f>
        <v/>
      </c>
      <c r="O2525" s="9">
        <f>IF($A2525="","",N2525&amp;"|"&amp;$F2525)</f>
        <v/>
      </c>
      <c r="P2525" s="94">
        <f>IF($A2525="",0,$H2525*설정!$C$23)</f>
        <v/>
      </c>
      <c r="Q2525" s="64">
        <f>IF($A2525="","",IF(O2525&lt;&gt;원인분석!$C$9,"",IF(AND(M2525&gt;=원인분석!$C$10,M2525&lt;=원인분석!$C$11),"당기",IF(AND(M2525&gt;=원인분석!$C$12,M2525&lt;=원인분석!$C$13),"비교",""))))</f>
        <v/>
      </c>
      <c r="R2525" s="9">
        <f>IF(Q2525="","",$K2525&amp;"")</f>
        <v/>
      </c>
      <c r="S2525" s="9">
        <f>IF(Q2525="","",IF(MATCH(R2525,$R$5:$R$100000,0)=ROW()-4,ROW(),""))</f>
        <v/>
      </c>
      <c r="T2525" s="9">
        <f>IF(Q2525="당기",ABS(P2525)+ROW()/1000000000,"")</f>
        <v/>
      </c>
      <c r="U2525" s="9">
        <f>IF(Q2525="비교",ABS(P2525)+ROW()/1000000000,"")</f>
        <v/>
      </c>
      <c r="V2525" s="64">
        <f>IF($A2525="","",IF(COUNTIF(변동분석!$E$7:$E$506,O2525)&gt;0,"Y","N"))</f>
        <v/>
      </c>
      <c r="W2525" s="64">
        <f>IF($A2525="","",IFERROR(INDEX(계정매핑!$D$5:$D$504,MATCH($F2525&amp;"",계정매핑!$A$5:$A$504,0)),"미매핑"))</f>
        <v/>
      </c>
      <c r="X2525" s="9">
        <f>IF($A2525="","",$F2525&amp;"")</f>
        <v/>
      </c>
      <c r="Y2525" s="94">
        <f>IF($A2525="",0,IF(AE2525="직접",IF(AF2525="비귀속",$P2525,0),$P2525*(1-AG2525)*IFERROR(INDEX(계정대체기준!$F$20:$F$49,MATCH($N2525,계정대체기준!$A$20:$A$49,0)),1)))</f>
        <v/>
      </c>
      <c r="Z2525" s="94">
        <f>IF($A2525="",0,IF(AE2525="직접",IF(AF2525="신계약비",$P2525,0),$P2525*(1-AG2525)*IFERROR(INDEX(계정대체기준!$C$20:$C$49,MATCH($N2525,계정대체기준!$A$20:$A$49,0)),0)))</f>
        <v/>
      </c>
      <c r="AA2525" s="94">
        <f>IF($A2525="",0,IF(AE2525="직접",IF(OR(AF2525="유지비",AF2525="손해조사비"),$P2525,0),$P2525*(1-AG2525)*IFERROR(INDEX(계정대체기준!$D$20:$D$49,MATCH($N2525,계정대체기준!$A$20:$A$49,0)),0)))</f>
        <v/>
      </c>
      <c r="AB2525" s="94">
        <f>IF($A2525="",0,IF(AE2525="직접",IF(AF2525="수금비",$P2525,0),$P2525*(1-AG2525)*IFERROR(INDEX(계정대체기준!$E$20:$E$49,MATCH($N2525,계정대체기준!$A$20:$A$49,0)),0)))</f>
        <v/>
      </c>
      <c r="AC2525" s="9">
        <f>IF(AND($A2525&lt;&gt;"",M2525=설정!$C$20,Z2525&gt;0),Z2525+ROW()/1000000000,"")</f>
        <v/>
      </c>
      <c r="AD2525" s="94">
        <f>IF($A2525="",0,$P2525*AG2525)</f>
        <v/>
      </c>
      <c r="AE2525" s="64">
        <f>IF($A2525="","",IFERROR(INDEX(계정매핑!$E$5:$E$504,MATCH($F2525&amp;"",계정매핑!$A$5:$A$504,0))&amp;"","공통비"))</f>
        <v/>
      </c>
      <c r="AF2525" s="64">
        <f>IF($A2525="","",IF(AE2525="직접",IFERROR(INDEX(계정매핑!$F$5:$F$504,MATCH($F2525&amp;"",계정매핑!$A$5:$A$504,0))&amp;"","비귀속"),""))</f>
        <v/>
      </c>
      <c r="AG2525" s="96">
        <f>IF($A2525="",0,IF(AND(AE2525&lt;&gt;"직접",IFERROR(INDEX(계정매핑!$G$5:$G$504,MATCH($F2525&amp;"",계정매핑!$A$5:$A$504,0))&amp;"","")="유지비",COUNTIF(계정대체기준!$A$6:$A$15,$N2525)&gt;0),IFERROR(INDEX(계정대체기준!$E$6:$E$15,MATCH(VALUE($A2525&amp;""),계정대체기준!$D$6:$D$15,0)),0),0))</f>
        <v/>
      </c>
      <c r="AH2525" s="64">
        <f>IF($A2525="","",IF(AD2525=0,"",IF(OR(COUNTIF(계정대체기준!$A$77:$A$86,$N2525)&gt;0,ISNUMBER(MATCH($X2525,계정대체기준!$D$77:$D$86,0)),ISNUMBER(MATCH($F2525,계정대체기준!$D$77:$D$86,0))),"Y","N")))</f>
        <v/>
      </c>
    </row>
    <row r="2526">
      <c r="A2526" s="92" t="n">
        <v>2025</v>
      </c>
      <c r="B2526" s="92" t="n">
        <v>12</v>
      </c>
      <c r="C2526" s="92" t="inlineStr">
        <is>
          <t>5100002522</t>
        </is>
      </c>
      <c r="D2526" s="95" t="n">
        <v>45996</v>
      </c>
      <c r="E2526" s="92" t="inlineStr">
        <is>
          <t>KR</t>
        </is>
      </c>
      <c r="F2526" s="92" t="n">
        <v>63601000</v>
      </c>
      <c r="G2526" s="92" t="n">
        <v>1801</v>
      </c>
      <c r="H2526" s="93" t="n">
        <v>13148000</v>
      </c>
      <c r="I2526" s="92" t="inlineStr">
        <is>
          <t>12월 손해사정 수수료 - EE손해사정</t>
        </is>
      </c>
      <c r="J2526" s="92" t="inlineStr">
        <is>
          <t>V10008</t>
        </is>
      </c>
      <c r="K2526" s="92" t="inlineStr">
        <is>
          <t>EE손해사정</t>
        </is>
      </c>
      <c r="M2526" s="9">
        <f>IF($A2526="","",VALUE($A2526&amp;"")*12+VALUE($B2526&amp;""))</f>
        <v/>
      </c>
      <c r="N2526" s="64">
        <f>IF($A2526="","",IFERROR(INDEX(부서매핑!$C$5:$C$504,MATCH($G2526&amp;"",부서매핑!$A$5:$A$504,0)),"미매핑"))</f>
        <v/>
      </c>
      <c r="O2526" s="9">
        <f>IF($A2526="","",N2526&amp;"|"&amp;$F2526)</f>
        <v/>
      </c>
      <c r="P2526" s="94">
        <f>IF($A2526="",0,$H2526*설정!$C$23)</f>
        <v/>
      </c>
      <c r="Q2526" s="64">
        <f>IF($A2526="","",IF(O2526&lt;&gt;원인분석!$C$9,"",IF(AND(M2526&gt;=원인분석!$C$10,M2526&lt;=원인분석!$C$11),"당기",IF(AND(M2526&gt;=원인분석!$C$12,M2526&lt;=원인분석!$C$13),"비교",""))))</f>
        <v/>
      </c>
      <c r="R2526" s="9">
        <f>IF(Q2526="","",$K2526&amp;"")</f>
        <v/>
      </c>
      <c r="S2526" s="9">
        <f>IF(Q2526="","",IF(MATCH(R2526,$R$5:$R$100000,0)=ROW()-4,ROW(),""))</f>
        <v/>
      </c>
      <c r="T2526" s="9">
        <f>IF(Q2526="당기",ABS(P2526)+ROW()/1000000000,"")</f>
        <v/>
      </c>
      <c r="U2526" s="9">
        <f>IF(Q2526="비교",ABS(P2526)+ROW()/1000000000,"")</f>
        <v/>
      </c>
      <c r="V2526" s="64">
        <f>IF($A2526="","",IF(COUNTIF(변동분석!$E$7:$E$506,O2526)&gt;0,"Y","N"))</f>
        <v/>
      </c>
      <c r="W2526" s="64">
        <f>IF($A2526="","",IFERROR(INDEX(계정매핑!$D$5:$D$504,MATCH($F2526&amp;"",계정매핑!$A$5:$A$504,0)),"미매핑"))</f>
        <v/>
      </c>
      <c r="X2526" s="9">
        <f>IF($A2526="","",$F2526&amp;"")</f>
        <v/>
      </c>
      <c r="Y2526" s="94">
        <f>IF($A2526="",0,IF(AE2526="직접",IF(AF2526="비귀속",$P2526,0),$P2526*(1-AG2526)*IFERROR(INDEX(계정대체기준!$F$20:$F$49,MATCH($N2526,계정대체기준!$A$20:$A$49,0)),1)))</f>
        <v/>
      </c>
      <c r="Z2526" s="94">
        <f>IF($A2526="",0,IF(AE2526="직접",IF(AF2526="신계약비",$P2526,0),$P2526*(1-AG2526)*IFERROR(INDEX(계정대체기준!$C$20:$C$49,MATCH($N2526,계정대체기준!$A$20:$A$49,0)),0)))</f>
        <v/>
      </c>
      <c r="AA2526" s="94">
        <f>IF($A2526="",0,IF(AE2526="직접",IF(OR(AF2526="유지비",AF2526="손해조사비"),$P2526,0),$P2526*(1-AG2526)*IFERROR(INDEX(계정대체기준!$D$20:$D$49,MATCH($N2526,계정대체기준!$A$20:$A$49,0)),0)))</f>
        <v/>
      </c>
      <c r="AB2526" s="94">
        <f>IF($A2526="",0,IF(AE2526="직접",IF(AF2526="수금비",$P2526,0),$P2526*(1-AG2526)*IFERROR(INDEX(계정대체기준!$E$20:$E$49,MATCH($N2526,계정대체기준!$A$20:$A$49,0)),0)))</f>
        <v/>
      </c>
      <c r="AC2526" s="9">
        <f>IF(AND($A2526&lt;&gt;"",M2526=설정!$C$20,Z2526&gt;0),Z2526+ROW()/1000000000,"")</f>
        <v/>
      </c>
      <c r="AD2526" s="94">
        <f>IF($A2526="",0,$P2526*AG2526)</f>
        <v/>
      </c>
      <c r="AE2526" s="64">
        <f>IF($A2526="","",IFERROR(INDEX(계정매핑!$E$5:$E$504,MATCH($F2526&amp;"",계정매핑!$A$5:$A$504,0))&amp;"","공통비"))</f>
        <v/>
      </c>
      <c r="AF2526" s="64">
        <f>IF($A2526="","",IF(AE2526="직접",IFERROR(INDEX(계정매핑!$F$5:$F$504,MATCH($F2526&amp;"",계정매핑!$A$5:$A$504,0))&amp;"","비귀속"),""))</f>
        <v/>
      </c>
      <c r="AG2526" s="96">
        <f>IF($A2526="",0,IF(AND(AE2526&lt;&gt;"직접",IFERROR(INDEX(계정매핑!$G$5:$G$504,MATCH($F2526&amp;"",계정매핑!$A$5:$A$504,0))&amp;"","")="유지비",COUNTIF(계정대체기준!$A$6:$A$15,$N2526)&gt;0),IFERROR(INDEX(계정대체기준!$E$6:$E$15,MATCH(VALUE($A2526&amp;""),계정대체기준!$D$6:$D$15,0)),0),0))</f>
        <v/>
      </c>
      <c r="AH2526" s="64">
        <f>IF($A2526="","",IF(AD2526=0,"",IF(OR(COUNTIF(계정대체기준!$A$77:$A$86,$N2526)&gt;0,ISNUMBER(MATCH($X2526,계정대체기준!$D$77:$D$86,0)),ISNUMBER(MATCH($F2526,계정대체기준!$D$77:$D$86,0))),"Y","N")))</f>
        <v/>
      </c>
    </row>
    <row r="2527">
      <c r="A2527" s="92" t="n">
        <v>2025</v>
      </c>
      <c r="B2527" s="92" t="n">
        <v>12</v>
      </c>
      <c r="C2527" s="92" t="inlineStr">
        <is>
          <t>5100002523</t>
        </is>
      </c>
      <c r="D2527" s="95" t="n">
        <v>45997</v>
      </c>
      <c r="E2527" s="92" t="inlineStr">
        <is>
          <t>KR</t>
        </is>
      </c>
      <c r="F2527" s="92" t="n">
        <v>62101000</v>
      </c>
      <c r="G2527" s="92" t="n">
        <v>1951</v>
      </c>
      <c r="H2527" s="93" t="n">
        <v>553000</v>
      </c>
      <c r="I2527" s="92" t="inlineStr">
        <is>
          <t>12월 국내출장 - M항공</t>
        </is>
      </c>
      <c r="J2527" s="92" t="inlineStr">
        <is>
          <t>V10001</t>
        </is>
      </c>
      <c r="K2527" s="92" t="inlineStr">
        <is>
          <t>M항공</t>
        </is>
      </c>
      <c r="M2527" s="9">
        <f>IF($A2527="","",VALUE($A2527&amp;"")*12+VALUE($B2527&amp;""))</f>
        <v/>
      </c>
      <c r="N2527" s="64">
        <f>IF($A2527="","",IFERROR(INDEX(부서매핑!$C$5:$C$504,MATCH($G2527&amp;"",부서매핑!$A$5:$A$504,0)),"미매핑"))</f>
        <v/>
      </c>
      <c r="O2527" s="9">
        <f>IF($A2527="","",N2527&amp;"|"&amp;$F2527)</f>
        <v/>
      </c>
      <c r="P2527" s="94">
        <f>IF($A2527="",0,$H2527*설정!$C$23)</f>
        <v/>
      </c>
      <c r="Q2527" s="64">
        <f>IF($A2527="","",IF(O2527&lt;&gt;원인분석!$C$9,"",IF(AND(M2527&gt;=원인분석!$C$10,M2527&lt;=원인분석!$C$11),"당기",IF(AND(M2527&gt;=원인분석!$C$12,M2527&lt;=원인분석!$C$13),"비교",""))))</f>
        <v/>
      </c>
      <c r="R2527" s="9">
        <f>IF(Q2527="","",$K2527&amp;"")</f>
        <v/>
      </c>
      <c r="S2527" s="9">
        <f>IF(Q2527="","",IF(MATCH(R2527,$R$5:$R$100000,0)=ROW()-4,ROW(),""))</f>
        <v/>
      </c>
      <c r="T2527" s="9">
        <f>IF(Q2527="당기",ABS(P2527)+ROW()/1000000000,"")</f>
        <v/>
      </c>
      <c r="U2527" s="9">
        <f>IF(Q2527="비교",ABS(P2527)+ROW()/1000000000,"")</f>
        <v/>
      </c>
      <c r="V2527" s="64">
        <f>IF($A2527="","",IF(COUNTIF(변동분석!$E$7:$E$506,O2527)&gt;0,"Y","N"))</f>
        <v/>
      </c>
      <c r="W2527" s="64">
        <f>IF($A2527="","",IFERROR(INDEX(계정매핑!$D$5:$D$504,MATCH($F2527&amp;"",계정매핑!$A$5:$A$504,0)),"미매핑"))</f>
        <v/>
      </c>
      <c r="X2527" s="9">
        <f>IF($A2527="","",$F2527&amp;"")</f>
        <v/>
      </c>
      <c r="Y2527" s="94">
        <f>IF($A2527="",0,IF(AE2527="직접",IF(AF2527="비귀속",$P2527,0),$P2527*(1-AG2527)*IFERROR(INDEX(계정대체기준!$F$20:$F$49,MATCH($N2527,계정대체기준!$A$20:$A$49,0)),1)))</f>
        <v/>
      </c>
      <c r="Z2527" s="94">
        <f>IF($A2527="",0,IF(AE2527="직접",IF(AF2527="신계약비",$P2527,0),$P2527*(1-AG2527)*IFERROR(INDEX(계정대체기준!$C$20:$C$49,MATCH($N2527,계정대체기준!$A$20:$A$49,0)),0)))</f>
        <v/>
      </c>
      <c r="AA2527" s="94">
        <f>IF($A2527="",0,IF(AE2527="직접",IF(OR(AF2527="유지비",AF2527="손해조사비"),$P2527,0),$P2527*(1-AG2527)*IFERROR(INDEX(계정대체기준!$D$20:$D$49,MATCH($N2527,계정대체기준!$A$20:$A$49,0)),0)))</f>
        <v/>
      </c>
      <c r="AB2527" s="94">
        <f>IF($A2527="",0,IF(AE2527="직접",IF(AF2527="수금비",$P2527,0),$P2527*(1-AG2527)*IFERROR(INDEX(계정대체기준!$E$20:$E$49,MATCH($N2527,계정대체기준!$A$20:$A$49,0)),0)))</f>
        <v/>
      </c>
      <c r="AC2527" s="9">
        <f>IF(AND($A2527&lt;&gt;"",M2527=설정!$C$20,Z2527&gt;0),Z2527+ROW()/1000000000,"")</f>
        <v/>
      </c>
      <c r="AD2527" s="94">
        <f>IF($A2527="",0,$P2527*AG2527)</f>
        <v/>
      </c>
      <c r="AE2527" s="64">
        <f>IF($A2527="","",IFERROR(INDEX(계정매핑!$E$5:$E$504,MATCH($F2527&amp;"",계정매핑!$A$5:$A$504,0))&amp;"","공통비"))</f>
        <v/>
      </c>
      <c r="AF2527" s="64">
        <f>IF($A2527="","",IF(AE2527="직접",IFERROR(INDEX(계정매핑!$F$5:$F$504,MATCH($F2527&amp;"",계정매핑!$A$5:$A$504,0))&amp;"","비귀속"),""))</f>
        <v/>
      </c>
      <c r="AG2527" s="96">
        <f>IF($A2527="",0,IF(AND(AE2527&lt;&gt;"직접",IFERROR(INDEX(계정매핑!$G$5:$G$504,MATCH($F2527&amp;"",계정매핑!$A$5:$A$504,0))&amp;"","")="유지비",COUNTIF(계정대체기준!$A$6:$A$15,$N2527)&gt;0),IFERROR(INDEX(계정대체기준!$E$6:$E$15,MATCH(VALUE($A2527&amp;""),계정대체기준!$D$6:$D$15,0)),0),0))</f>
        <v/>
      </c>
      <c r="AH2527" s="64">
        <f>IF($A2527="","",IF(AD2527=0,"",IF(OR(COUNTIF(계정대체기준!$A$77:$A$86,$N2527)&gt;0,ISNUMBER(MATCH($X2527,계정대체기준!$D$77:$D$86,0)),ISNUMBER(MATCH($F2527,계정대체기준!$D$77:$D$86,0))),"Y","N")))</f>
        <v/>
      </c>
    </row>
    <row r="2528">
      <c r="A2528" s="92" t="n">
        <v>2025</v>
      </c>
      <c r="B2528" s="92" t="n">
        <v>12</v>
      </c>
      <c r="C2528" s="92" t="inlineStr">
        <is>
          <t>5100002524</t>
        </is>
      </c>
      <c r="D2528" s="95" t="n">
        <v>45997</v>
      </c>
      <c r="E2528" s="92" t="inlineStr">
        <is>
          <t>KR</t>
        </is>
      </c>
      <c r="F2528" s="92" t="n">
        <v>62201000</v>
      </c>
      <c r="G2528" s="92" t="n">
        <v>1601</v>
      </c>
      <c r="H2528" s="93" t="n">
        <v>766000</v>
      </c>
      <c r="I2528" s="92" t="inlineStr">
        <is>
          <t>12월 통신요금 - O텔레콤</t>
        </is>
      </c>
      <c r="J2528" s="92" t="inlineStr">
        <is>
          <t>V10002</t>
        </is>
      </c>
      <c r="K2528" s="92" t="inlineStr">
        <is>
          <t>O텔레콤</t>
        </is>
      </c>
      <c r="M2528" s="9">
        <f>IF($A2528="","",VALUE($A2528&amp;"")*12+VALUE($B2528&amp;""))</f>
        <v/>
      </c>
      <c r="N2528" s="64">
        <f>IF($A2528="","",IFERROR(INDEX(부서매핑!$C$5:$C$504,MATCH($G2528&amp;"",부서매핑!$A$5:$A$504,0)),"미매핑"))</f>
        <v/>
      </c>
      <c r="O2528" s="9">
        <f>IF($A2528="","",N2528&amp;"|"&amp;$F2528)</f>
        <v/>
      </c>
      <c r="P2528" s="94">
        <f>IF($A2528="",0,$H2528*설정!$C$23)</f>
        <v/>
      </c>
      <c r="Q2528" s="64">
        <f>IF($A2528="","",IF(O2528&lt;&gt;원인분석!$C$9,"",IF(AND(M2528&gt;=원인분석!$C$10,M2528&lt;=원인분석!$C$11),"당기",IF(AND(M2528&gt;=원인분석!$C$12,M2528&lt;=원인분석!$C$13),"비교",""))))</f>
        <v/>
      </c>
      <c r="R2528" s="9">
        <f>IF(Q2528="","",$K2528&amp;"")</f>
        <v/>
      </c>
      <c r="S2528" s="9">
        <f>IF(Q2528="","",IF(MATCH(R2528,$R$5:$R$100000,0)=ROW()-4,ROW(),""))</f>
        <v/>
      </c>
      <c r="T2528" s="9">
        <f>IF(Q2528="당기",ABS(P2528)+ROW()/1000000000,"")</f>
        <v/>
      </c>
      <c r="U2528" s="9">
        <f>IF(Q2528="비교",ABS(P2528)+ROW()/1000000000,"")</f>
        <v/>
      </c>
      <c r="V2528" s="64">
        <f>IF($A2528="","",IF(COUNTIF(변동분석!$E$7:$E$506,O2528)&gt;0,"Y","N"))</f>
        <v/>
      </c>
      <c r="W2528" s="64">
        <f>IF($A2528="","",IFERROR(INDEX(계정매핑!$D$5:$D$504,MATCH($F2528&amp;"",계정매핑!$A$5:$A$504,0)),"미매핑"))</f>
        <v/>
      </c>
      <c r="X2528" s="9">
        <f>IF($A2528="","",$F2528&amp;"")</f>
        <v/>
      </c>
      <c r="Y2528" s="94">
        <f>IF($A2528="",0,IF(AE2528="직접",IF(AF2528="비귀속",$P2528,0),$P2528*(1-AG2528)*IFERROR(INDEX(계정대체기준!$F$20:$F$49,MATCH($N2528,계정대체기준!$A$20:$A$49,0)),1)))</f>
        <v/>
      </c>
      <c r="Z2528" s="94">
        <f>IF($A2528="",0,IF(AE2528="직접",IF(AF2528="신계약비",$P2528,0),$P2528*(1-AG2528)*IFERROR(INDEX(계정대체기준!$C$20:$C$49,MATCH($N2528,계정대체기준!$A$20:$A$49,0)),0)))</f>
        <v/>
      </c>
      <c r="AA2528" s="94">
        <f>IF($A2528="",0,IF(AE2528="직접",IF(OR(AF2528="유지비",AF2528="손해조사비"),$P2528,0),$P2528*(1-AG2528)*IFERROR(INDEX(계정대체기준!$D$20:$D$49,MATCH($N2528,계정대체기준!$A$20:$A$49,0)),0)))</f>
        <v/>
      </c>
      <c r="AB2528" s="94">
        <f>IF($A2528="",0,IF(AE2528="직접",IF(AF2528="수금비",$P2528,0),$P2528*(1-AG2528)*IFERROR(INDEX(계정대체기준!$E$20:$E$49,MATCH($N2528,계정대체기준!$A$20:$A$49,0)),0)))</f>
        <v/>
      </c>
      <c r="AC2528" s="9">
        <f>IF(AND($A2528&lt;&gt;"",M2528=설정!$C$20,Z2528&gt;0),Z2528+ROW()/1000000000,"")</f>
        <v/>
      </c>
      <c r="AD2528" s="94">
        <f>IF($A2528="",0,$P2528*AG2528)</f>
        <v/>
      </c>
      <c r="AE2528" s="64">
        <f>IF($A2528="","",IFERROR(INDEX(계정매핑!$E$5:$E$504,MATCH($F2528&amp;"",계정매핑!$A$5:$A$504,0))&amp;"","공통비"))</f>
        <v/>
      </c>
      <c r="AF2528" s="64">
        <f>IF($A2528="","",IF(AE2528="직접",IFERROR(INDEX(계정매핑!$F$5:$F$504,MATCH($F2528&amp;"",계정매핑!$A$5:$A$504,0))&amp;"","비귀속"),""))</f>
        <v/>
      </c>
      <c r="AG2528" s="96">
        <f>IF($A2528="",0,IF(AND(AE2528&lt;&gt;"직접",IFERROR(INDEX(계정매핑!$G$5:$G$504,MATCH($F2528&amp;"",계정매핑!$A$5:$A$504,0))&amp;"","")="유지비",COUNTIF(계정대체기준!$A$6:$A$15,$N2528)&gt;0),IFERROR(INDEX(계정대체기준!$E$6:$E$15,MATCH(VALUE($A2528&amp;""),계정대체기준!$D$6:$D$15,0)),0),0))</f>
        <v/>
      </c>
      <c r="AH2528" s="64">
        <f>IF($A2528="","",IF(AD2528=0,"",IF(OR(COUNTIF(계정대체기준!$A$77:$A$86,$N2528)&gt;0,ISNUMBER(MATCH($X2528,계정대체기준!$D$77:$D$86,0)),ISNUMBER(MATCH($F2528,계정대체기준!$D$77:$D$86,0))),"Y","N")))</f>
        <v/>
      </c>
    </row>
    <row r="2529">
      <c r="A2529" s="92" t="n">
        <v>2025</v>
      </c>
      <c r="B2529" s="92" t="n">
        <v>12</v>
      </c>
      <c r="C2529" s="92" t="inlineStr">
        <is>
          <t>5100002525</t>
        </is>
      </c>
      <c r="D2529" s="95" t="n">
        <v>45997</v>
      </c>
      <c r="E2529" s="92" t="inlineStr">
        <is>
          <t>KR</t>
        </is>
      </c>
      <c r="F2529" s="92" t="n">
        <v>62201000</v>
      </c>
      <c r="G2529" s="92" t="n">
        <v>1601</v>
      </c>
      <c r="H2529" s="93" t="n">
        <v>590000</v>
      </c>
      <c r="I2529" s="92" t="inlineStr">
        <is>
          <t>12월 통신요금 - P통신</t>
        </is>
      </c>
      <c r="J2529" s="92" t="inlineStr">
        <is>
          <t>V10014</t>
        </is>
      </c>
      <c r="K2529" s="92" t="inlineStr">
        <is>
          <t>P통신</t>
        </is>
      </c>
      <c r="M2529" s="9">
        <f>IF($A2529="","",VALUE($A2529&amp;"")*12+VALUE($B2529&amp;""))</f>
        <v/>
      </c>
      <c r="N2529" s="64">
        <f>IF($A2529="","",IFERROR(INDEX(부서매핑!$C$5:$C$504,MATCH($G2529&amp;"",부서매핑!$A$5:$A$504,0)),"미매핑"))</f>
        <v/>
      </c>
      <c r="O2529" s="9">
        <f>IF($A2529="","",N2529&amp;"|"&amp;$F2529)</f>
        <v/>
      </c>
      <c r="P2529" s="94">
        <f>IF($A2529="",0,$H2529*설정!$C$23)</f>
        <v/>
      </c>
      <c r="Q2529" s="64">
        <f>IF($A2529="","",IF(O2529&lt;&gt;원인분석!$C$9,"",IF(AND(M2529&gt;=원인분석!$C$10,M2529&lt;=원인분석!$C$11),"당기",IF(AND(M2529&gt;=원인분석!$C$12,M2529&lt;=원인분석!$C$13),"비교",""))))</f>
        <v/>
      </c>
      <c r="R2529" s="9">
        <f>IF(Q2529="","",$K2529&amp;"")</f>
        <v/>
      </c>
      <c r="S2529" s="9">
        <f>IF(Q2529="","",IF(MATCH(R2529,$R$5:$R$100000,0)=ROW()-4,ROW(),""))</f>
        <v/>
      </c>
      <c r="T2529" s="9">
        <f>IF(Q2529="당기",ABS(P2529)+ROW()/1000000000,"")</f>
        <v/>
      </c>
      <c r="U2529" s="9">
        <f>IF(Q2529="비교",ABS(P2529)+ROW()/1000000000,"")</f>
        <v/>
      </c>
      <c r="V2529" s="64">
        <f>IF($A2529="","",IF(COUNTIF(변동분석!$E$7:$E$506,O2529)&gt;0,"Y","N"))</f>
        <v/>
      </c>
      <c r="W2529" s="64">
        <f>IF($A2529="","",IFERROR(INDEX(계정매핑!$D$5:$D$504,MATCH($F2529&amp;"",계정매핑!$A$5:$A$504,0)),"미매핑"))</f>
        <v/>
      </c>
      <c r="X2529" s="9">
        <f>IF($A2529="","",$F2529&amp;"")</f>
        <v/>
      </c>
      <c r="Y2529" s="94">
        <f>IF($A2529="",0,IF(AE2529="직접",IF(AF2529="비귀속",$P2529,0),$P2529*(1-AG2529)*IFERROR(INDEX(계정대체기준!$F$20:$F$49,MATCH($N2529,계정대체기준!$A$20:$A$49,0)),1)))</f>
        <v/>
      </c>
      <c r="Z2529" s="94">
        <f>IF($A2529="",0,IF(AE2529="직접",IF(AF2529="신계약비",$P2529,0),$P2529*(1-AG2529)*IFERROR(INDEX(계정대체기준!$C$20:$C$49,MATCH($N2529,계정대체기준!$A$20:$A$49,0)),0)))</f>
        <v/>
      </c>
      <c r="AA2529" s="94">
        <f>IF($A2529="",0,IF(AE2529="직접",IF(OR(AF2529="유지비",AF2529="손해조사비"),$P2529,0),$P2529*(1-AG2529)*IFERROR(INDEX(계정대체기준!$D$20:$D$49,MATCH($N2529,계정대체기준!$A$20:$A$49,0)),0)))</f>
        <v/>
      </c>
      <c r="AB2529" s="94">
        <f>IF($A2529="",0,IF(AE2529="직접",IF(AF2529="수금비",$P2529,0),$P2529*(1-AG2529)*IFERROR(INDEX(계정대체기준!$E$20:$E$49,MATCH($N2529,계정대체기준!$A$20:$A$49,0)),0)))</f>
        <v/>
      </c>
      <c r="AC2529" s="9">
        <f>IF(AND($A2529&lt;&gt;"",M2529=설정!$C$20,Z2529&gt;0),Z2529+ROW()/1000000000,"")</f>
        <v/>
      </c>
      <c r="AD2529" s="94">
        <f>IF($A2529="",0,$P2529*AG2529)</f>
        <v/>
      </c>
      <c r="AE2529" s="64">
        <f>IF($A2529="","",IFERROR(INDEX(계정매핑!$E$5:$E$504,MATCH($F2529&amp;"",계정매핑!$A$5:$A$504,0))&amp;"","공통비"))</f>
        <v/>
      </c>
      <c r="AF2529" s="64">
        <f>IF($A2529="","",IF(AE2529="직접",IFERROR(INDEX(계정매핑!$F$5:$F$504,MATCH($F2529&amp;"",계정매핑!$A$5:$A$504,0))&amp;"","비귀속"),""))</f>
        <v/>
      </c>
      <c r="AG2529" s="96">
        <f>IF($A2529="",0,IF(AND(AE2529&lt;&gt;"직접",IFERROR(INDEX(계정매핑!$G$5:$G$504,MATCH($F2529&amp;"",계정매핑!$A$5:$A$504,0))&amp;"","")="유지비",COUNTIF(계정대체기준!$A$6:$A$15,$N2529)&gt;0),IFERROR(INDEX(계정대체기준!$E$6:$E$15,MATCH(VALUE($A2529&amp;""),계정대체기준!$D$6:$D$15,0)),0),0))</f>
        <v/>
      </c>
      <c r="AH2529" s="64">
        <f>IF($A2529="","",IF(AD2529=0,"",IF(OR(COUNTIF(계정대체기준!$A$77:$A$86,$N2529)&gt;0,ISNUMBER(MATCH($X2529,계정대체기준!$D$77:$D$86,0)),ISNUMBER(MATCH($F2529,계정대체기준!$D$77:$D$86,0))),"Y","N")))</f>
        <v/>
      </c>
    </row>
    <row r="2530">
      <c r="A2530" s="92" t="n">
        <v>2025</v>
      </c>
      <c r="B2530" s="92" t="n">
        <v>12</v>
      </c>
      <c r="C2530" s="92" t="inlineStr">
        <is>
          <t>5100002526</t>
        </is>
      </c>
      <c r="D2530" s="95" t="n">
        <v>45997</v>
      </c>
      <c r="E2530" s="92" t="inlineStr">
        <is>
          <t>KR</t>
        </is>
      </c>
      <c r="F2530" s="92" t="n">
        <v>62301000</v>
      </c>
      <c r="G2530" s="92" t="n">
        <v>1602</v>
      </c>
      <c r="H2530" s="93" t="n">
        <v>307000</v>
      </c>
      <c r="I2530" s="92" t="inlineStr">
        <is>
          <t>12월 소모품 구입 - R문구</t>
        </is>
      </c>
      <c r="J2530" s="92" t="inlineStr">
        <is>
          <t>V10022</t>
        </is>
      </c>
      <c r="K2530" s="92" t="inlineStr">
        <is>
          <t>R문구</t>
        </is>
      </c>
      <c r="M2530" s="9">
        <f>IF($A2530="","",VALUE($A2530&amp;"")*12+VALUE($B2530&amp;""))</f>
        <v/>
      </c>
      <c r="N2530" s="64">
        <f>IF($A2530="","",IFERROR(INDEX(부서매핑!$C$5:$C$504,MATCH($G2530&amp;"",부서매핑!$A$5:$A$504,0)),"미매핑"))</f>
        <v/>
      </c>
      <c r="O2530" s="9">
        <f>IF($A2530="","",N2530&amp;"|"&amp;$F2530)</f>
        <v/>
      </c>
      <c r="P2530" s="94">
        <f>IF($A2530="",0,$H2530*설정!$C$23)</f>
        <v/>
      </c>
      <c r="Q2530" s="64">
        <f>IF($A2530="","",IF(O2530&lt;&gt;원인분석!$C$9,"",IF(AND(M2530&gt;=원인분석!$C$10,M2530&lt;=원인분석!$C$11),"당기",IF(AND(M2530&gt;=원인분석!$C$12,M2530&lt;=원인분석!$C$13),"비교",""))))</f>
        <v/>
      </c>
      <c r="R2530" s="9">
        <f>IF(Q2530="","",$K2530&amp;"")</f>
        <v/>
      </c>
      <c r="S2530" s="9">
        <f>IF(Q2530="","",IF(MATCH(R2530,$R$5:$R$100000,0)=ROW()-4,ROW(),""))</f>
        <v/>
      </c>
      <c r="T2530" s="9">
        <f>IF(Q2530="당기",ABS(P2530)+ROW()/1000000000,"")</f>
        <v/>
      </c>
      <c r="U2530" s="9">
        <f>IF(Q2530="비교",ABS(P2530)+ROW()/1000000000,"")</f>
        <v/>
      </c>
      <c r="V2530" s="64">
        <f>IF($A2530="","",IF(COUNTIF(변동분석!$E$7:$E$506,O2530)&gt;0,"Y","N"))</f>
        <v/>
      </c>
      <c r="W2530" s="64">
        <f>IF($A2530="","",IFERROR(INDEX(계정매핑!$D$5:$D$504,MATCH($F2530&amp;"",계정매핑!$A$5:$A$504,0)),"미매핑"))</f>
        <v/>
      </c>
      <c r="X2530" s="9">
        <f>IF($A2530="","",$F2530&amp;"")</f>
        <v/>
      </c>
      <c r="Y2530" s="94">
        <f>IF($A2530="",0,IF(AE2530="직접",IF(AF2530="비귀속",$P2530,0),$P2530*(1-AG2530)*IFERROR(INDEX(계정대체기준!$F$20:$F$49,MATCH($N2530,계정대체기준!$A$20:$A$49,0)),1)))</f>
        <v/>
      </c>
      <c r="Z2530" s="94">
        <f>IF($A2530="",0,IF(AE2530="직접",IF(AF2530="신계약비",$P2530,0),$P2530*(1-AG2530)*IFERROR(INDEX(계정대체기준!$C$20:$C$49,MATCH($N2530,계정대체기준!$A$20:$A$49,0)),0)))</f>
        <v/>
      </c>
      <c r="AA2530" s="94">
        <f>IF($A2530="",0,IF(AE2530="직접",IF(OR(AF2530="유지비",AF2530="손해조사비"),$P2530,0),$P2530*(1-AG2530)*IFERROR(INDEX(계정대체기준!$D$20:$D$49,MATCH($N2530,계정대체기준!$A$20:$A$49,0)),0)))</f>
        <v/>
      </c>
      <c r="AB2530" s="94">
        <f>IF($A2530="",0,IF(AE2530="직접",IF(AF2530="수금비",$P2530,0),$P2530*(1-AG2530)*IFERROR(INDEX(계정대체기준!$E$20:$E$49,MATCH($N2530,계정대체기준!$A$20:$A$49,0)),0)))</f>
        <v/>
      </c>
      <c r="AC2530" s="9">
        <f>IF(AND($A2530&lt;&gt;"",M2530=설정!$C$20,Z2530&gt;0),Z2530+ROW()/1000000000,"")</f>
        <v/>
      </c>
      <c r="AD2530" s="94">
        <f>IF($A2530="",0,$P2530*AG2530)</f>
        <v/>
      </c>
      <c r="AE2530" s="64">
        <f>IF($A2530="","",IFERROR(INDEX(계정매핑!$E$5:$E$504,MATCH($F2530&amp;"",계정매핑!$A$5:$A$504,0))&amp;"","공통비"))</f>
        <v/>
      </c>
      <c r="AF2530" s="64">
        <f>IF($A2530="","",IF(AE2530="직접",IFERROR(INDEX(계정매핑!$F$5:$F$504,MATCH($F2530&amp;"",계정매핑!$A$5:$A$504,0))&amp;"","비귀속"),""))</f>
        <v/>
      </c>
      <c r="AG2530" s="96">
        <f>IF($A2530="",0,IF(AND(AE2530&lt;&gt;"직접",IFERROR(INDEX(계정매핑!$G$5:$G$504,MATCH($F2530&amp;"",계정매핑!$A$5:$A$504,0))&amp;"","")="유지비",COUNTIF(계정대체기준!$A$6:$A$15,$N2530)&gt;0),IFERROR(INDEX(계정대체기준!$E$6:$E$15,MATCH(VALUE($A2530&amp;""),계정대체기준!$D$6:$D$15,0)),0),0))</f>
        <v/>
      </c>
      <c r="AH2530" s="64">
        <f>IF($A2530="","",IF(AD2530=0,"",IF(OR(COUNTIF(계정대체기준!$A$77:$A$86,$N2530)&gt;0,ISNUMBER(MATCH($X2530,계정대체기준!$D$77:$D$86,0)),ISNUMBER(MATCH($F2530,계정대체기준!$D$77:$D$86,0))),"Y","N")))</f>
        <v/>
      </c>
    </row>
    <row r="2531">
      <c r="A2531" s="92" t="n">
        <v>2025</v>
      </c>
      <c r="B2531" s="92" t="n">
        <v>12</v>
      </c>
      <c r="C2531" s="92" t="inlineStr">
        <is>
          <t>5100002527</t>
        </is>
      </c>
      <c r="D2531" s="95" t="n">
        <v>45997</v>
      </c>
      <c r="E2531" s="92" t="inlineStr">
        <is>
          <t>KR</t>
        </is>
      </c>
      <c r="F2531" s="92" t="n">
        <v>62401000</v>
      </c>
      <c r="G2531" s="92" t="n">
        <v>1501</v>
      </c>
      <c r="H2531" s="93" t="n">
        <v>1720000</v>
      </c>
      <c r="I2531" s="92" t="inlineStr">
        <is>
          <t>12월 인쇄물 제작 - G인쇄</t>
        </is>
      </c>
      <c r="J2531" s="92" t="inlineStr">
        <is>
          <t>V10004</t>
        </is>
      </c>
      <c r="K2531" s="92" t="inlineStr">
        <is>
          <t>G인쇄</t>
        </is>
      </c>
      <c r="M2531" s="9">
        <f>IF($A2531="","",VALUE($A2531&amp;"")*12+VALUE($B2531&amp;""))</f>
        <v/>
      </c>
      <c r="N2531" s="64">
        <f>IF($A2531="","",IFERROR(INDEX(부서매핑!$C$5:$C$504,MATCH($G2531&amp;"",부서매핑!$A$5:$A$504,0)),"미매핑"))</f>
        <v/>
      </c>
      <c r="O2531" s="9">
        <f>IF($A2531="","",N2531&amp;"|"&amp;$F2531)</f>
        <v/>
      </c>
      <c r="P2531" s="94">
        <f>IF($A2531="",0,$H2531*설정!$C$23)</f>
        <v/>
      </c>
      <c r="Q2531" s="64">
        <f>IF($A2531="","",IF(O2531&lt;&gt;원인분석!$C$9,"",IF(AND(M2531&gt;=원인분석!$C$10,M2531&lt;=원인분석!$C$11),"당기",IF(AND(M2531&gt;=원인분석!$C$12,M2531&lt;=원인분석!$C$13),"비교",""))))</f>
        <v/>
      </c>
      <c r="R2531" s="9">
        <f>IF(Q2531="","",$K2531&amp;"")</f>
        <v/>
      </c>
      <c r="S2531" s="9">
        <f>IF(Q2531="","",IF(MATCH(R2531,$R$5:$R$100000,0)=ROW()-4,ROW(),""))</f>
        <v/>
      </c>
      <c r="T2531" s="9">
        <f>IF(Q2531="당기",ABS(P2531)+ROW()/1000000000,"")</f>
        <v/>
      </c>
      <c r="U2531" s="9">
        <f>IF(Q2531="비교",ABS(P2531)+ROW()/1000000000,"")</f>
        <v/>
      </c>
      <c r="V2531" s="64">
        <f>IF($A2531="","",IF(COUNTIF(변동분석!$E$7:$E$506,O2531)&gt;0,"Y","N"))</f>
        <v/>
      </c>
      <c r="W2531" s="64">
        <f>IF($A2531="","",IFERROR(INDEX(계정매핑!$D$5:$D$504,MATCH($F2531&amp;"",계정매핑!$A$5:$A$504,0)),"미매핑"))</f>
        <v/>
      </c>
      <c r="X2531" s="9">
        <f>IF($A2531="","",$F2531&amp;"")</f>
        <v/>
      </c>
      <c r="Y2531" s="94">
        <f>IF($A2531="",0,IF(AE2531="직접",IF(AF2531="비귀속",$P2531,0),$P2531*(1-AG2531)*IFERROR(INDEX(계정대체기준!$F$20:$F$49,MATCH($N2531,계정대체기준!$A$20:$A$49,0)),1)))</f>
        <v/>
      </c>
      <c r="Z2531" s="94">
        <f>IF($A2531="",0,IF(AE2531="직접",IF(AF2531="신계약비",$P2531,0),$P2531*(1-AG2531)*IFERROR(INDEX(계정대체기준!$C$20:$C$49,MATCH($N2531,계정대체기준!$A$20:$A$49,0)),0)))</f>
        <v/>
      </c>
      <c r="AA2531" s="94">
        <f>IF($A2531="",0,IF(AE2531="직접",IF(OR(AF2531="유지비",AF2531="손해조사비"),$P2531,0),$P2531*(1-AG2531)*IFERROR(INDEX(계정대체기준!$D$20:$D$49,MATCH($N2531,계정대체기준!$A$20:$A$49,0)),0)))</f>
        <v/>
      </c>
      <c r="AB2531" s="94">
        <f>IF($A2531="",0,IF(AE2531="직접",IF(AF2531="수금비",$P2531,0),$P2531*(1-AG2531)*IFERROR(INDEX(계정대체기준!$E$20:$E$49,MATCH($N2531,계정대체기준!$A$20:$A$49,0)),0)))</f>
        <v/>
      </c>
      <c r="AC2531" s="9">
        <f>IF(AND($A2531&lt;&gt;"",M2531=설정!$C$20,Z2531&gt;0),Z2531+ROW()/1000000000,"")</f>
        <v/>
      </c>
      <c r="AD2531" s="94">
        <f>IF($A2531="",0,$P2531*AG2531)</f>
        <v/>
      </c>
      <c r="AE2531" s="64">
        <f>IF($A2531="","",IFERROR(INDEX(계정매핑!$E$5:$E$504,MATCH($F2531&amp;"",계정매핑!$A$5:$A$504,0))&amp;"","공통비"))</f>
        <v/>
      </c>
      <c r="AF2531" s="64">
        <f>IF($A2531="","",IF(AE2531="직접",IFERROR(INDEX(계정매핑!$F$5:$F$504,MATCH($F2531&amp;"",계정매핑!$A$5:$A$504,0))&amp;"","비귀속"),""))</f>
        <v/>
      </c>
      <c r="AG2531" s="96">
        <f>IF($A2531="",0,IF(AND(AE2531&lt;&gt;"직접",IFERROR(INDEX(계정매핑!$G$5:$G$504,MATCH($F2531&amp;"",계정매핑!$A$5:$A$504,0))&amp;"","")="유지비",COUNTIF(계정대체기준!$A$6:$A$15,$N2531)&gt;0),IFERROR(INDEX(계정대체기준!$E$6:$E$15,MATCH(VALUE($A2531&amp;""),계정대체기준!$D$6:$D$15,0)),0),0))</f>
        <v/>
      </c>
      <c r="AH2531" s="64">
        <f>IF($A2531="","",IF(AD2531=0,"",IF(OR(COUNTIF(계정대체기준!$A$77:$A$86,$N2531)&gt;0,ISNUMBER(MATCH($X2531,계정대체기준!$D$77:$D$86,0)),ISNUMBER(MATCH($F2531,계정대체기준!$D$77:$D$86,0))),"Y","N")))</f>
        <v/>
      </c>
    </row>
    <row r="2532">
      <c r="A2532" s="92" t="n">
        <v>2025</v>
      </c>
      <c r="B2532" s="92" t="n">
        <v>12</v>
      </c>
      <c r="C2532" s="92" t="inlineStr">
        <is>
          <t>5100002528</t>
        </is>
      </c>
      <c r="D2532" s="95" t="n">
        <v>45997</v>
      </c>
      <c r="E2532" s="92" t="inlineStr">
        <is>
          <t>KR</t>
        </is>
      </c>
      <c r="F2532" s="92" t="n">
        <v>62501000</v>
      </c>
      <c r="G2532" s="92" t="n">
        <v>1301</v>
      </c>
      <c r="H2532" s="93" t="n">
        <v>216000</v>
      </c>
      <c r="I2532" s="92" t="inlineStr">
        <is>
          <t>12월 회의 다과 - T케이터링</t>
        </is>
      </c>
      <c r="J2532" s="92" t="inlineStr">
        <is>
          <t>V10005</t>
        </is>
      </c>
      <c r="K2532" s="92" t="inlineStr">
        <is>
          <t>T케이터링</t>
        </is>
      </c>
      <c r="M2532" s="9">
        <f>IF($A2532="","",VALUE($A2532&amp;"")*12+VALUE($B2532&amp;""))</f>
        <v/>
      </c>
      <c r="N2532" s="64">
        <f>IF($A2532="","",IFERROR(INDEX(부서매핑!$C$5:$C$504,MATCH($G2532&amp;"",부서매핑!$A$5:$A$504,0)),"미매핑"))</f>
        <v/>
      </c>
      <c r="O2532" s="9">
        <f>IF($A2532="","",N2532&amp;"|"&amp;$F2532)</f>
        <v/>
      </c>
      <c r="P2532" s="94">
        <f>IF($A2532="",0,$H2532*설정!$C$23)</f>
        <v/>
      </c>
      <c r="Q2532" s="64">
        <f>IF($A2532="","",IF(O2532&lt;&gt;원인분석!$C$9,"",IF(AND(M2532&gt;=원인분석!$C$10,M2532&lt;=원인분석!$C$11),"당기",IF(AND(M2532&gt;=원인분석!$C$12,M2532&lt;=원인분석!$C$13),"비교",""))))</f>
        <v/>
      </c>
      <c r="R2532" s="9">
        <f>IF(Q2532="","",$K2532&amp;"")</f>
        <v/>
      </c>
      <c r="S2532" s="9">
        <f>IF(Q2532="","",IF(MATCH(R2532,$R$5:$R$100000,0)=ROW()-4,ROW(),""))</f>
        <v/>
      </c>
      <c r="T2532" s="9">
        <f>IF(Q2532="당기",ABS(P2532)+ROW()/1000000000,"")</f>
        <v/>
      </c>
      <c r="U2532" s="9">
        <f>IF(Q2532="비교",ABS(P2532)+ROW()/1000000000,"")</f>
        <v/>
      </c>
      <c r="V2532" s="64">
        <f>IF($A2532="","",IF(COUNTIF(변동분석!$E$7:$E$506,O2532)&gt;0,"Y","N"))</f>
        <v/>
      </c>
      <c r="W2532" s="64">
        <f>IF($A2532="","",IFERROR(INDEX(계정매핑!$D$5:$D$504,MATCH($F2532&amp;"",계정매핑!$A$5:$A$504,0)),"미매핑"))</f>
        <v/>
      </c>
      <c r="X2532" s="9">
        <f>IF($A2532="","",$F2532&amp;"")</f>
        <v/>
      </c>
      <c r="Y2532" s="94">
        <f>IF($A2532="",0,IF(AE2532="직접",IF(AF2532="비귀속",$P2532,0),$P2532*(1-AG2532)*IFERROR(INDEX(계정대체기준!$F$20:$F$49,MATCH($N2532,계정대체기준!$A$20:$A$49,0)),1)))</f>
        <v/>
      </c>
      <c r="Z2532" s="94">
        <f>IF($A2532="",0,IF(AE2532="직접",IF(AF2532="신계약비",$P2532,0),$P2532*(1-AG2532)*IFERROR(INDEX(계정대체기준!$C$20:$C$49,MATCH($N2532,계정대체기준!$A$20:$A$49,0)),0)))</f>
        <v/>
      </c>
      <c r="AA2532" s="94">
        <f>IF($A2532="",0,IF(AE2532="직접",IF(OR(AF2532="유지비",AF2532="손해조사비"),$P2532,0),$P2532*(1-AG2532)*IFERROR(INDEX(계정대체기준!$D$20:$D$49,MATCH($N2532,계정대체기준!$A$20:$A$49,0)),0)))</f>
        <v/>
      </c>
      <c r="AB2532" s="94">
        <f>IF($A2532="",0,IF(AE2532="직접",IF(AF2532="수금비",$P2532,0),$P2532*(1-AG2532)*IFERROR(INDEX(계정대체기준!$E$20:$E$49,MATCH($N2532,계정대체기준!$A$20:$A$49,0)),0)))</f>
        <v/>
      </c>
      <c r="AC2532" s="9">
        <f>IF(AND($A2532&lt;&gt;"",M2532=설정!$C$20,Z2532&gt;0),Z2532+ROW()/1000000000,"")</f>
        <v/>
      </c>
      <c r="AD2532" s="94">
        <f>IF($A2532="",0,$P2532*AG2532)</f>
        <v/>
      </c>
      <c r="AE2532" s="64">
        <f>IF($A2532="","",IFERROR(INDEX(계정매핑!$E$5:$E$504,MATCH($F2532&amp;"",계정매핑!$A$5:$A$504,0))&amp;"","공통비"))</f>
        <v/>
      </c>
      <c r="AF2532" s="64">
        <f>IF($A2532="","",IF(AE2532="직접",IFERROR(INDEX(계정매핑!$F$5:$F$504,MATCH($F2532&amp;"",계정매핑!$A$5:$A$504,0))&amp;"","비귀속"),""))</f>
        <v/>
      </c>
      <c r="AG2532" s="96">
        <f>IF($A2532="",0,IF(AND(AE2532&lt;&gt;"직접",IFERROR(INDEX(계정매핑!$G$5:$G$504,MATCH($F2532&amp;"",계정매핑!$A$5:$A$504,0))&amp;"","")="유지비",COUNTIF(계정대체기준!$A$6:$A$15,$N2532)&gt;0),IFERROR(INDEX(계정대체기준!$E$6:$E$15,MATCH(VALUE($A2532&amp;""),계정대체기준!$D$6:$D$15,0)),0),0))</f>
        <v/>
      </c>
      <c r="AH2532" s="64">
        <f>IF($A2532="","",IF(AD2532=0,"",IF(OR(COUNTIF(계정대체기준!$A$77:$A$86,$N2532)&gt;0,ISNUMBER(MATCH($X2532,계정대체기준!$D$77:$D$86,0)),ISNUMBER(MATCH($F2532,계정대체기준!$D$77:$D$86,0))),"Y","N")))</f>
        <v/>
      </c>
    </row>
    <row r="2533">
      <c r="A2533" s="92" t="n">
        <v>2025</v>
      </c>
      <c r="B2533" s="92" t="n">
        <v>12</v>
      </c>
      <c r="C2533" s="92" t="inlineStr">
        <is>
          <t>5100002529</t>
        </is>
      </c>
      <c r="D2533" s="95" t="n">
        <v>45997</v>
      </c>
      <c r="E2533" s="92" t="inlineStr">
        <is>
          <t>KR</t>
        </is>
      </c>
      <c r="F2533" s="92" t="n">
        <v>62501000</v>
      </c>
      <c r="G2533" s="92" t="n">
        <v>1602</v>
      </c>
      <c r="H2533" s="93" t="n">
        <v>236000</v>
      </c>
      <c r="I2533" s="92" t="inlineStr">
        <is>
          <t>12월 회의 다과 - T케이터링</t>
        </is>
      </c>
      <c r="J2533" s="92" t="inlineStr">
        <is>
          <t>V10005</t>
        </is>
      </c>
      <c r="K2533" s="92" t="inlineStr">
        <is>
          <t>T케이터링</t>
        </is>
      </c>
      <c r="M2533" s="9">
        <f>IF($A2533="","",VALUE($A2533&amp;"")*12+VALUE($B2533&amp;""))</f>
        <v/>
      </c>
      <c r="N2533" s="64">
        <f>IF($A2533="","",IFERROR(INDEX(부서매핑!$C$5:$C$504,MATCH($G2533&amp;"",부서매핑!$A$5:$A$504,0)),"미매핑"))</f>
        <v/>
      </c>
      <c r="O2533" s="9">
        <f>IF($A2533="","",N2533&amp;"|"&amp;$F2533)</f>
        <v/>
      </c>
      <c r="P2533" s="94">
        <f>IF($A2533="",0,$H2533*설정!$C$23)</f>
        <v/>
      </c>
      <c r="Q2533" s="64">
        <f>IF($A2533="","",IF(O2533&lt;&gt;원인분석!$C$9,"",IF(AND(M2533&gt;=원인분석!$C$10,M2533&lt;=원인분석!$C$11),"당기",IF(AND(M2533&gt;=원인분석!$C$12,M2533&lt;=원인분석!$C$13),"비교",""))))</f>
        <v/>
      </c>
      <c r="R2533" s="9">
        <f>IF(Q2533="","",$K2533&amp;"")</f>
        <v/>
      </c>
      <c r="S2533" s="9">
        <f>IF(Q2533="","",IF(MATCH(R2533,$R$5:$R$100000,0)=ROW()-4,ROW(),""))</f>
        <v/>
      </c>
      <c r="T2533" s="9">
        <f>IF(Q2533="당기",ABS(P2533)+ROW()/1000000000,"")</f>
        <v/>
      </c>
      <c r="U2533" s="9">
        <f>IF(Q2533="비교",ABS(P2533)+ROW()/1000000000,"")</f>
        <v/>
      </c>
      <c r="V2533" s="64">
        <f>IF($A2533="","",IF(COUNTIF(변동분석!$E$7:$E$506,O2533)&gt;0,"Y","N"))</f>
        <v/>
      </c>
      <c r="W2533" s="64">
        <f>IF($A2533="","",IFERROR(INDEX(계정매핑!$D$5:$D$504,MATCH($F2533&amp;"",계정매핑!$A$5:$A$504,0)),"미매핑"))</f>
        <v/>
      </c>
      <c r="X2533" s="9">
        <f>IF($A2533="","",$F2533&amp;"")</f>
        <v/>
      </c>
      <c r="Y2533" s="94">
        <f>IF($A2533="",0,IF(AE2533="직접",IF(AF2533="비귀속",$P2533,0),$P2533*(1-AG2533)*IFERROR(INDEX(계정대체기준!$F$20:$F$49,MATCH($N2533,계정대체기준!$A$20:$A$49,0)),1)))</f>
        <v/>
      </c>
      <c r="Z2533" s="94">
        <f>IF($A2533="",0,IF(AE2533="직접",IF(AF2533="신계약비",$P2533,0),$P2533*(1-AG2533)*IFERROR(INDEX(계정대체기준!$C$20:$C$49,MATCH($N2533,계정대체기준!$A$20:$A$49,0)),0)))</f>
        <v/>
      </c>
      <c r="AA2533" s="94">
        <f>IF($A2533="",0,IF(AE2533="직접",IF(OR(AF2533="유지비",AF2533="손해조사비"),$P2533,0),$P2533*(1-AG2533)*IFERROR(INDEX(계정대체기준!$D$20:$D$49,MATCH($N2533,계정대체기준!$A$20:$A$49,0)),0)))</f>
        <v/>
      </c>
      <c r="AB2533" s="94">
        <f>IF($A2533="",0,IF(AE2533="직접",IF(AF2533="수금비",$P2533,0),$P2533*(1-AG2533)*IFERROR(INDEX(계정대체기준!$E$20:$E$49,MATCH($N2533,계정대체기준!$A$20:$A$49,0)),0)))</f>
        <v/>
      </c>
      <c r="AC2533" s="9">
        <f>IF(AND($A2533&lt;&gt;"",M2533=설정!$C$20,Z2533&gt;0),Z2533+ROW()/1000000000,"")</f>
        <v/>
      </c>
      <c r="AD2533" s="94">
        <f>IF($A2533="",0,$P2533*AG2533)</f>
        <v/>
      </c>
      <c r="AE2533" s="64">
        <f>IF($A2533="","",IFERROR(INDEX(계정매핑!$E$5:$E$504,MATCH($F2533&amp;"",계정매핑!$A$5:$A$504,0))&amp;"","공통비"))</f>
        <v/>
      </c>
      <c r="AF2533" s="64">
        <f>IF($A2533="","",IF(AE2533="직접",IFERROR(INDEX(계정매핑!$F$5:$F$504,MATCH($F2533&amp;"",계정매핑!$A$5:$A$504,0))&amp;"","비귀속"),""))</f>
        <v/>
      </c>
      <c r="AG2533" s="96">
        <f>IF($A2533="",0,IF(AND(AE2533&lt;&gt;"직접",IFERROR(INDEX(계정매핑!$G$5:$G$504,MATCH($F2533&amp;"",계정매핑!$A$5:$A$504,0))&amp;"","")="유지비",COUNTIF(계정대체기준!$A$6:$A$15,$N2533)&gt;0),IFERROR(INDEX(계정대체기준!$E$6:$E$15,MATCH(VALUE($A2533&amp;""),계정대체기준!$D$6:$D$15,0)),0),0))</f>
        <v/>
      </c>
      <c r="AH2533" s="64">
        <f>IF($A2533="","",IF(AD2533=0,"",IF(OR(COUNTIF(계정대체기준!$A$77:$A$86,$N2533)&gt;0,ISNUMBER(MATCH($X2533,계정대체기준!$D$77:$D$86,0)),ISNUMBER(MATCH($F2533,계정대체기준!$D$77:$D$86,0))),"Y","N")))</f>
        <v/>
      </c>
    </row>
    <row r="2534">
      <c r="A2534" s="92" t="n">
        <v>2025</v>
      </c>
      <c r="B2534" s="92" t="n">
        <v>12</v>
      </c>
      <c r="C2534" s="92" t="inlineStr">
        <is>
          <t>5100002530</t>
        </is>
      </c>
      <c r="D2534" s="95" t="n">
        <v>45997</v>
      </c>
      <c r="E2534" s="92" t="inlineStr">
        <is>
          <t>KR</t>
        </is>
      </c>
      <c r="F2534" s="92" t="n">
        <v>62901000</v>
      </c>
      <c r="G2534" s="92" t="n">
        <v>1101</v>
      </c>
      <c r="H2534" s="93" t="n">
        <v>5914000</v>
      </c>
      <c r="I2534" s="92" t="inlineStr">
        <is>
          <t>12월 자문 수수료 - W컨설팅</t>
        </is>
      </c>
      <c r="J2534" s="92" t="inlineStr">
        <is>
          <t>V10006</t>
        </is>
      </c>
      <c r="K2534" s="92" t="inlineStr">
        <is>
          <t>W컨설팅</t>
        </is>
      </c>
      <c r="M2534" s="9">
        <f>IF($A2534="","",VALUE($A2534&amp;"")*12+VALUE($B2534&amp;""))</f>
        <v/>
      </c>
      <c r="N2534" s="64">
        <f>IF($A2534="","",IFERROR(INDEX(부서매핑!$C$5:$C$504,MATCH($G2534&amp;"",부서매핑!$A$5:$A$504,0)),"미매핑"))</f>
        <v/>
      </c>
      <c r="O2534" s="9">
        <f>IF($A2534="","",N2534&amp;"|"&amp;$F2534)</f>
        <v/>
      </c>
      <c r="P2534" s="94">
        <f>IF($A2534="",0,$H2534*설정!$C$23)</f>
        <v/>
      </c>
      <c r="Q2534" s="64">
        <f>IF($A2534="","",IF(O2534&lt;&gt;원인분석!$C$9,"",IF(AND(M2534&gt;=원인분석!$C$10,M2534&lt;=원인분석!$C$11),"당기",IF(AND(M2534&gt;=원인분석!$C$12,M2534&lt;=원인분석!$C$13),"비교",""))))</f>
        <v/>
      </c>
      <c r="R2534" s="9">
        <f>IF(Q2534="","",$K2534&amp;"")</f>
        <v/>
      </c>
      <c r="S2534" s="9">
        <f>IF(Q2534="","",IF(MATCH(R2534,$R$5:$R$100000,0)=ROW()-4,ROW(),""))</f>
        <v/>
      </c>
      <c r="T2534" s="9">
        <f>IF(Q2534="당기",ABS(P2534)+ROW()/1000000000,"")</f>
        <v/>
      </c>
      <c r="U2534" s="9">
        <f>IF(Q2534="비교",ABS(P2534)+ROW()/1000000000,"")</f>
        <v/>
      </c>
      <c r="V2534" s="64">
        <f>IF($A2534="","",IF(COUNTIF(변동분석!$E$7:$E$506,O2534)&gt;0,"Y","N"))</f>
        <v/>
      </c>
      <c r="W2534" s="64">
        <f>IF($A2534="","",IFERROR(INDEX(계정매핑!$D$5:$D$504,MATCH($F2534&amp;"",계정매핑!$A$5:$A$504,0)),"미매핑"))</f>
        <v/>
      </c>
      <c r="X2534" s="9">
        <f>IF($A2534="","",$F2534&amp;"")</f>
        <v/>
      </c>
      <c r="Y2534" s="94">
        <f>IF($A2534="",0,IF(AE2534="직접",IF(AF2534="비귀속",$P2534,0),$P2534*(1-AG2534)*IFERROR(INDEX(계정대체기준!$F$20:$F$49,MATCH($N2534,계정대체기준!$A$20:$A$49,0)),1)))</f>
        <v/>
      </c>
      <c r="Z2534" s="94">
        <f>IF($A2534="",0,IF(AE2534="직접",IF(AF2534="신계약비",$P2534,0),$P2534*(1-AG2534)*IFERROR(INDEX(계정대체기준!$C$20:$C$49,MATCH($N2534,계정대체기준!$A$20:$A$49,0)),0)))</f>
        <v/>
      </c>
      <c r="AA2534" s="94">
        <f>IF($A2534="",0,IF(AE2534="직접",IF(OR(AF2534="유지비",AF2534="손해조사비"),$P2534,0),$P2534*(1-AG2534)*IFERROR(INDEX(계정대체기준!$D$20:$D$49,MATCH($N2534,계정대체기준!$A$20:$A$49,0)),0)))</f>
        <v/>
      </c>
      <c r="AB2534" s="94">
        <f>IF($A2534="",0,IF(AE2534="직접",IF(AF2534="수금비",$P2534,0),$P2534*(1-AG2534)*IFERROR(INDEX(계정대체기준!$E$20:$E$49,MATCH($N2534,계정대체기준!$A$20:$A$49,0)),0)))</f>
        <v/>
      </c>
      <c r="AC2534" s="9">
        <f>IF(AND($A2534&lt;&gt;"",M2534=설정!$C$20,Z2534&gt;0),Z2534+ROW()/1000000000,"")</f>
        <v/>
      </c>
      <c r="AD2534" s="94">
        <f>IF($A2534="",0,$P2534*AG2534)</f>
        <v/>
      </c>
      <c r="AE2534" s="64">
        <f>IF($A2534="","",IFERROR(INDEX(계정매핑!$E$5:$E$504,MATCH($F2534&amp;"",계정매핑!$A$5:$A$504,0))&amp;"","공통비"))</f>
        <v/>
      </c>
      <c r="AF2534" s="64">
        <f>IF($A2534="","",IF(AE2534="직접",IFERROR(INDEX(계정매핑!$F$5:$F$504,MATCH($F2534&amp;"",계정매핑!$A$5:$A$504,0))&amp;"","비귀속"),""))</f>
        <v/>
      </c>
      <c r="AG2534" s="96">
        <f>IF($A2534="",0,IF(AND(AE2534&lt;&gt;"직접",IFERROR(INDEX(계정매핑!$G$5:$G$504,MATCH($F2534&amp;"",계정매핑!$A$5:$A$504,0))&amp;"","")="유지비",COUNTIF(계정대체기준!$A$6:$A$15,$N2534)&gt;0),IFERROR(INDEX(계정대체기준!$E$6:$E$15,MATCH(VALUE($A2534&amp;""),계정대체기준!$D$6:$D$15,0)),0),0))</f>
        <v/>
      </c>
      <c r="AH2534" s="64">
        <f>IF($A2534="","",IF(AD2534=0,"",IF(OR(COUNTIF(계정대체기준!$A$77:$A$86,$N2534)&gt;0,ISNUMBER(MATCH($X2534,계정대체기준!$D$77:$D$86,0)),ISNUMBER(MATCH($F2534,계정대체기준!$D$77:$D$86,0))),"Y","N")))</f>
        <v/>
      </c>
    </row>
    <row r="2535">
      <c r="A2535" s="92" t="n">
        <v>2025</v>
      </c>
      <c r="B2535" s="92" t="n">
        <v>12</v>
      </c>
      <c r="C2535" s="92" t="inlineStr">
        <is>
          <t>5100002531</t>
        </is>
      </c>
      <c r="D2535" s="95" t="n">
        <v>45997</v>
      </c>
      <c r="E2535" s="92" t="inlineStr">
        <is>
          <t>KR</t>
        </is>
      </c>
      <c r="F2535" s="92" t="n">
        <v>62901000</v>
      </c>
      <c r="G2535" s="92" t="n">
        <v>1801</v>
      </c>
      <c r="H2535" s="93" t="n">
        <v>7921000</v>
      </c>
      <c r="I2535" s="92" t="inlineStr">
        <is>
          <t>12월 자문 수수료 - K회계법인</t>
        </is>
      </c>
      <c r="J2535" s="92" t="inlineStr">
        <is>
          <t>V10011</t>
        </is>
      </c>
      <c r="K2535" s="92" t="inlineStr">
        <is>
          <t>K회계법인</t>
        </is>
      </c>
      <c r="M2535" s="9">
        <f>IF($A2535="","",VALUE($A2535&amp;"")*12+VALUE($B2535&amp;""))</f>
        <v/>
      </c>
      <c r="N2535" s="64">
        <f>IF($A2535="","",IFERROR(INDEX(부서매핑!$C$5:$C$504,MATCH($G2535&amp;"",부서매핑!$A$5:$A$504,0)),"미매핑"))</f>
        <v/>
      </c>
      <c r="O2535" s="9">
        <f>IF($A2535="","",N2535&amp;"|"&amp;$F2535)</f>
        <v/>
      </c>
      <c r="P2535" s="94">
        <f>IF($A2535="",0,$H2535*설정!$C$23)</f>
        <v/>
      </c>
      <c r="Q2535" s="64">
        <f>IF($A2535="","",IF(O2535&lt;&gt;원인분석!$C$9,"",IF(AND(M2535&gt;=원인분석!$C$10,M2535&lt;=원인분석!$C$11),"당기",IF(AND(M2535&gt;=원인분석!$C$12,M2535&lt;=원인분석!$C$13),"비교",""))))</f>
        <v/>
      </c>
      <c r="R2535" s="9">
        <f>IF(Q2535="","",$K2535&amp;"")</f>
        <v/>
      </c>
      <c r="S2535" s="9">
        <f>IF(Q2535="","",IF(MATCH(R2535,$R$5:$R$100000,0)=ROW()-4,ROW(),""))</f>
        <v/>
      </c>
      <c r="T2535" s="9">
        <f>IF(Q2535="당기",ABS(P2535)+ROW()/1000000000,"")</f>
        <v/>
      </c>
      <c r="U2535" s="9">
        <f>IF(Q2535="비교",ABS(P2535)+ROW()/1000000000,"")</f>
        <v/>
      </c>
      <c r="V2535" s="64">
        <f>IF($A2535="","",IF(COUNTIF(변동분석!$E$7:$E$506,O2535)&gt;0,"Y","N"))</f>
        <v/>
      </c>
      <c r="W2535" s="64">
        <f>IF($A2535="","",IFERROR(INDEX(계정매핑!$D$5:$D$504,MATCH($F2535&amp;"",계정매핑!$A$5:$A$504,0)),"미매핑"))</f>
        <v/>
      </c>
      <c r="X2535" s="9">
        <f>IF($A2535="","",$F2535&amp;"")</f>
        <v/>
      </c>
      <c r="Y2535" s="94">
        <f>IF($A2535="",0,IF(AE2535="직접",IF(AF2535="비귀속",$P2535,0),$P2535*(1-AG2535)*IFERROR(INDEX(계정대체기준!$F$20:$F$49,MATCH($N2535,계정대체기준!$A$20:$A$49,0)),1)))</f>
        <v/>
      </c>
      <c r="Z2535" s="94">
        <f>IF($A2535="",0,IF(AE2535="직접",IF(AF2535="신계약비",$P2535,0),$P2535*(1-AG2535)*IFERROR(INDEX(계정대체기준!$C$20:$C$49,MATCH($N2535,계정대체기준!$A$20:$A$49,0)),0)))</f>
        <v/>
      </c>
      <c r="AA2535" s="94">
        <f>IF($A2535="",0,IF(AE2535="직접",IF(OR(AF2535="유지비",AF2535="손해조사비"),$P2535,0),$P2535*(1-AG2535)*IFERROR(INDEX(계정대체기준!$D$20:$D$49,MATCH($N2535,계정대체기준!$A$20:$A$49,0)),0)))</f>
        <v/>
      </c>
      <c r="AB2535" s="94">
        <f>IF($A2535="",0,IF(AE2535="직접",IF(AF2535="수금비",$P2535,0),$P2535*(1-AG2535)*IFERROR(INDEX(계정대체기준!$E$20:$E$49,MATCH($N2535,계정대체기준!$A$20:$A$49,0)),0)))</f>
        <v/>
      </c>
      <c r="AC2535" s="9">
        <f>IF(AND($A2535&lt;&gt;"",M2535=설정!$C$20,Z2535&gt;0),Z2535+ROW()/1000000000,"")</f>
        <v/>
      </c>
      <c r="AD2535" s="94">
        <f>IF($A2535="",0,$P2535*AG2535)</f>
        <v/>
      </c>
      <c r="AE2535" s="64">
        <f>IF($A2535="","",IFERROR(INDEX(계정매핑!$E$5:$E$504,MATCH($F2535&amp;"",계정매핑!$A$5:$A$504,0))&amp;"","공통비"))</f>
        <v/>
      </c>
      <c r="AF2535" s="64">
        <f>IF($A2535="","",IF(AE2535="직접",IFERROR(INDEX(계정매핑!$F$5:$F$504,MATCH($F2535&amp;"",계정매핑!$A$5:$A$504,0))&amp;"","비귀속"),""))</f>
        <v/>
      </c>
      <c r="AG2535" s="96">
        <f>IF($A2535="",0,IF(AND(AE2535&lt;&gt;"직접",IFERROR(INDEX(계정매핑!$G$5:$G$504,MATCH($F2535&amp;"",계정매핑!$A$5:$A$504,0))&amp;"","")="유지비",COUNTIF(계정대체기준!$A$6:$A$15,$N2535)&gt;0),IFERROR(INDEX(계정대체기준!$E$6:$E$15,MATCH(VALUE($A2535&amp;""),계정대체기준!$D$6:$D$15,0)),0),0))</f>
        <v/>
      </c>
      <c r="AH2535" s="64">
        <f>IF($A2535="","",IF(AD2535=0,"",IF(OR(COUNTIF(계정대체기준!$A$77:$A$86,$N2535)&gt;0,ISNUMBER(MATCH($X2535,계정대체기준!$D$77:$D$86,0)),ISNUMBER(MATCH($F2535,계정대체기준!$D$77:$D$86,0))),"Y","N")))</f>
        <v/>
      </c>
    </row>
    <row r="2536">
      <c r="A2536" s="92" t="n">
        <v>2025</v>
      </c>
      <c r="B2536" s="92" t="n">
        <v>12</v>
      </c>
      <c r="C2536" s="92" t="inlineStr">
        <is>
          <t>5100002532</t>
        </is>
      </c>
      <c r="D2536" s="95" t="n">
        <v>45997</v>
      </c>
      <c r="E2536" s="92" t="inlineStr">
        <is>
          <t>KR</t>
        </is>
      </c>
      <c r="F2536" s="92" t="n">
        <v>62901000</v>
      </c>
      <c r="G2536" s="92" t="n">
        <v>1951</v>
      </c>
      <c r="H2536" s="93" t="n">
        <v>3198000</v>
      </c>
      <c r="I2536" s="92" t="inlineStr">
        <is>
          <t>12월 자문 수수료 - W컨설팅</t>
        </is>
      </c>
      <c r="J2536" s="92" t="inlineStr">
        <is>
          <t>V10006</t>
        </is>
      </c>
      <c r="K2536" s="92" t="inlineStr">
        <is>
          <t>W컨설팅</t>
        </is>
      </c>
      <c r="M2536" s="9">
        <f>IF($A2536="","",VALUE($A2536&amp;"")*12+VALUE($B2536&amp;""))</f>
        <v/>
      </c>
      <c r="N2536" s="64">
        <f>IF($A2536="","",IFERROR(INDEX(부서매핑!$C$5:$C$504,MATCH($G2536&amp;"",부서매핑!$A$5:$A$504,0)),"미매핑"))</f>
        <v/>
      </c>
      <c r="O2536" s="9">
        <f>IF($A2536="","",N2536&amp;"|"&amp;$F2536)</f>
        <v/>
      </c>
      <c r="P2536" s="94">
        <f>IF($A2536="",0,$H2536*설정!$C$23)</f>
        <v/>
      </c>
      <c r="Q2536" s="64">
        <f>IF($A2536="","",IF(O2536&lt;&gt;원인분석!$C$9,"",IF(AND(M2536&gt;=원인분석!$C$10,M2536&lt;=원인분석!$C$11),"당기",IF(AND(M2536&gt;=원인분석!$C$12,M2536&lt;=원인분석!$C$13),"비교",""))))</f>
        <v/>
      </c>
      <c r="R2536" s="9">
        <f>IF(Q2536="","",$K2536&amp;"")</f>
        <v/>
      </c>
      <c r="S2536" s="9">
        <f>IF(Q2536="","",IF(MATCH(R2536,$R$5:$R$100000,0)=ROW()-4,ROW(),""))</f>
        <v/>
      </c>
      <c r="T2536" s="9">
        <f>IF(Q2536="당기",ABS(P2536)+ROW()/1000000000,"")</f>
        <v/>
      </c>
      <c r="U2536" s="9">
        <f>IF(Q2536="비교",ABS(P2536)+ROW()/1000000000,"")</f>
        <v/>
      </c>
      <c r="V2536" s="64">
        <f>IF($A2536="","",IF(COUNTIF(변동분석!$E$7:$E$506,O2536)&gt;0,"Y","N"))</f>
        <v/>
      </c>
      <c r="W2536" s="64">
        <f>IF($A2536="","",IFERROR(INDEX(계정매핑!$D$5:$D$504,MATCH($F2536&amp;"",계정매핑!$A$5:$A$504,0)),"미매핑"))</f>
        <v/>
      </c>
      <c r="X2536" s="9">
        <f>IF($A2536="","",$F2536&amp;"")</f>
        <v/>
      </c>
      <c r="Y2536" s="94">
        <f>IF($A2536="",0,IF(AE2536="직접",IF(AF2536="비귀속",$P2536,0),$P2536*(1-AG2536)*IFERROR(INDEX(계정대체기준!$F$20:$F$49,MATCH($N2536,계정대체기준!$A$20:$A$49,0)),1)))</f>
        <v/>
      </c>
      <c r="Z2536" s="94">
        <f>IF($A2536="",0,IF(AE2536="직접",IF(AF2536="신계약비",$P2536,0),$P2536*(1-AG2536)*IFERROR(INDEX(계정대체기준!$C$20:$C$49,MATCH($N2536,계정대체기준!$A$20:$A$49,0)),0)))</f>
        <v/>
      </c>
      <c r="AA2536" s="94">
        <f>IF($A2536="",0,IF(AE2536="직접",IF(OR(AF2536="유지비",AF2536="손해조사비"),$P2536,0),$P2536*(1-AG2536)*IFERROR(INDEX(계정대체기준!$D$20:$D$49,MATCH($N2536,계정대체기준!$A$20:$A$49,0)),0)))</f>
        <v/>
      </c>
      <c r="AB2536" s="94">
        <f>IF($A2536="",0,IF(AE2536="직접",IF(AF2536="수금비",$P2536,0),$P2536*(1-AG2536)*IFERROR(INDEX(계정대체기준!$E$20:$E$49,MATCH($N2536,계정대체기준!$A$20:$A$49,0)),0)))</f>
        <v/>
      </c>
      <c r="AC2536" s="9">
        <f>IF(AND($A2536&lt;&gt;"",M2536=설정!$C$20,Z2536&gt;0),Z2536+ROW()/1000000000,"")</f>
        <v/>
      </c>
      <c r="AD2536" s="94">
        <f>IF($A2536="",0,$P2536*AG2536)</f>
        <v/>
      </c>
      <c r="AE2536" s="64">
        <f>IF($A2536="","",IFERROR(INDEX(계정매핑!$E$5:$E$504,MATCH($F2536&amp;"",계정매핑!$A$5:$A$504,0))&amp;"","공통비"))</f>
        <v/>
      </c>
      <c r="AF2536" s="64">
        <f>IF($A2536="","",IF(AE2536="직접",IFERROR(INDEX(계정매핑!$F$5:$F$504,MATCH($F2536&amp;"",계정매핑!$A$5:$A$504,0))&amp;"","비귀속"),""))</f>
        <v/>
      </c>
      <c r="AG2536" s="96">
        <f>IF($A2536="",0,IF(AND(AE2536&lt;&gt;"직접",IFERROR(INDEX(계정매핑!$G$5:$G$504,MATCH($F2536&amp;"",계정매핑!$A$5:$A$504,0))&amp;"","")="유지비",COUNTIF(계정대체기준!$A$6:$A$15,$N2536)&gt;0),IFERROR(INDEX(계정대체기준!$E$6:$E$15,MATCH(VALUE($A2536&amp;""),계정대체기준!$D$6:$D$15,0)),0),0))</f>
        <v/>
      </c>
      <c r="AH2536" s="64">
        <f>IF($A2536="","",IF(AD2536=0,"",IF(OR(COUNTIF(계정대체기준!$A$77:$A$86,$N2536)&gt;0,ISNUMBER(MATCH($X2536,계정대체기준!$D$77:$D$86,0)),ISNUMBER(MATCH($F2536,계정대체기준!$D$77:$D$86,0))),"Y","N")))</f>
        <v/>
      </c>
    </row>
    <row r="2537">
      <c r="A2537" s="92" t="n">
        <v>2025</v>
      </c>
      <c r="B2537" s="92" t="n">
        <v>12</v>
      </c>
      <c r="C2537" s="92" t="inlineStr">
        <is>
          <t>5100002533</t>
        </is>
      </c>
      <c r="D2537" s="95" t="n">
        <v>45997</v>
      </c>
      <c r="E2537" s="92" t="inlineStr">
        <is>
          <t>KR</t>
        </is>
      </c>
      <c r="F2537" s="92" t="n">
        <v>63601000</v>
      </c>
      <c r="G2537" s="92" t="n">
        <v>1801</v>
      </c>
      <c r="H2537" s="93" t="n">
        <v>8800000</v>
      </c>
      <c r="I2537" s="92" t="inlineStr">
        <is>
          <t>12월 손해사정 수수료 - DD손해사정</t>
        </is>
      </c>
      <c r="J2537" s="92" t="inlineStr">
        <is>
          <t>V10032</t>
        </is>
      </c>
      <c r="K2537" s="92" t="inlineStr">
        <is>
          <t>DD손해사정</t>
        </is>
      </c>
      <c r="M2537" s="9">
        <f>IF($A2537="","",VALUE($A2537&amp;"")*12+VALUE($B2537&amp;""))</f>
        <v/>
      </c>
      <c r="N2537" s="64">
        <f>IF($A2537="","",IFERROR(INDEX(부서매핑!$C$5:$C$504,MATCH($G2537&amp;"",부서매핑!$A$5:$A$504,0)),"미매핑"))</f>
        <v/>
      </c>
      <c r="O2537" s="9">
        <f>IF($A2537="","",N2537&amp;"|"&amp;$F2537)</f>
        <v/>
      </c>
      <c r="P2537" s="94">
        <f>IF($A2537="",0,$H2537*설정!$C$23)</f>
        <v/>
      </c>
      <c r="Q2537" s="64">
        <f>IF($A2537="","",IF(O2537&lt;&gt;원인분석!$C$9,"",IF(AND(M2537&gt;=원인분석!$C$10,M2537&lt;=원인분석!$C$11),"당기",IF(AND(M2537&gt;=원인분석!$C$12,M2537&lt;=원인분석!$C$13),"비교",""))))</f>
        <v/>
      </c>
      <c r="R2537" s="9">
        <f>IF(Q2537="","",$K2537&amp;"")</f>
        <v/>
      </c>
      <c r="S2537" s="9">
        <f>IF(Q2537="","",IF(MATCH(R2537,$R$5:$R$100000,0)=ROW()-4,ROW(),""))</f>
        <v/>
      </c>
      <c r="T2537" s="9">
        <f>IF(Q2537="당기",ABS(P2537)+ROW()/1000000000,"")</f>
        <v/>
      </c>
      <c r="U2537" s="9">
        <f>IF(Q2537="비교",ABS(P2537)+ROW()/1000000000,"")</f>
        <v/>
      </c>
      <c r="V2537" s="64">
        <f>IF($A2537="","",IF(COUNTIF(변동분석!$E$7:$E$506,O2537)&gt;0,"Y","N"))</f>
        <v/>
      </c>
      <c r="W2537" s="64">
        <f>IF($A2537="","",IFERROR(INDEX(계정매핑!$D$5:$D$504,MATCH($F2537&amp;"",계정매핑!$A$5:$A$504,0)),"미매핑"))</f>
        <v/>
      </c>
      <c r="X2537" s="9">
        <f>IF($A2537="","",$F2537&amp;"")</f>
        <v/>
      </c>
      <c r="Y2537" s="94">
        <f>IF($A2537="",0,IF(AE2537="직접",IF(AF2537="비귀속",$P2537,0),$P2537*(1-AG2537)*IFERROR(INDEX(계정대체기준!$F$20:$F$49,MATCH($N2537,계정대체기준!$A$20:$A$49,0)),1)))</f>
        <v/>
      </c>
      <c r="Z2537" s="94">
        <f>IF($A2537="",0,IF(AE2537="직접",IF(AF2537="신계약비",$P2537,0),$P2537*(1-AG2537)*IFERROR(INDEX(계정대체기준!$C$20:$C$49,MATCH($N2537,계정대체기준!$A$20:$A$49,0)),0)))</f>
        <v/>
      </c>
      <c r="AA2537" s="94">
        <f>IF($A2537="",0,IF(AE2537="직접",IF(OR(AF2537="유지비",AF2537="손해조사비"),$P2537,0),$P2537*(1-AG2537)*IFERROR(INDEX(계정대체기준!$D$20:$D$49,MATCH($N2537,계정대체기준!$A$20:$A$49,0)),0)))</f>
        <v/>
      </c>
      <c r="AB2537" s="94">
        <f>IF($A2537="",0,IF(AE2537="직접",IF(AF2537="수금비",$P2537,0),$P2537*(1-AG2537)*IFERROR(INDEX(계정대체기준!$E$20:$E$49,MATCH($N2537,계정대체기준!$A$20:$A$49,0)),0)))</f>
        <v/>
      </c>
      <c r="AC2537" s="9">
        <f>IF(AND($A2537&lt;&gt;"",M2537=설정!$C$20,Z2537&gt;0),Z2537+ROW()/1000000000,"")</f>
        <v/>
      </c>
      <c r="AD2537" s="94">
        <f>IF($A2537="",0,$P2537*AG2537)</f>
        <v/>
      </c>
      <c r="AE2537" s="64">
        <f>IF($A2537="","",IFERROR(INDEX(계정매핑!$E$5:$E$504,MATCH($F2537&amp;"",계정매핑!$A$5:$A$504,0))&amp;"","공통비"))</f>
        <v/>
      </c>
      <c r="AF2537" s="64">
        <f>IF($A2537="","",IF(AE2537="직접",IFERROR(INDEX(계정매핑!$F$5:$F$504,MATCH($F2537&amp;"",계정매핑!$A$5:$A$504,0))&amp;"","비귀속"),""))</f>
        <v/>
      </c>
      <c r="AG2537" s="96">
        <f>IF($A2537="",0,IF(AND(AE2537&lt;&gt;"직접",IFERROR(INDEX(계정매핑!$G$5:$G$504,MATCH($F2537&amp;"",계정매핑!$A$5:$A$504,0))&amp;"","")="유지비",COUNTIF(계정대체기준!$A$6:$A$15,$N2537)&gt;0),IFERROR(INDEX(계정대체기준!$E$6:$E$15,MATCH(VALUE($A2537&amp;""),계정대체기준!$D$6:$D$15,0)),0),0))</f>
        <v/>
      </c>
      <c r="AH2537" s="64">
        <f>IF($A2537="","",IF(AD2537=0,"",IF(OR(COUNTIF(계정대체기준!$A$77:$A$86,$N2537)&gt;0,ISNUMBER(MATCH($X2537,계정대체기준!$D$77:$D$86,0)),ISNUMBER(MATCH($F2537,계정대체기준!$D$77:$D$86,0))),"Y","N")))</f>
        <v/>
      </c>
    </row>
    <row r="2538">
      <c r="A2538" s="92" t="n">
        <v>2025</v>
      </c>
      <c r="B2538" s="92" t="n">
        <v>12</v>
      </c>
      <c r="C2538" s="92" t="inlineStr">
        <is>
          <t>5100002534</t>
        </is>
      </c>
      <c r="D2538" s="95" t="n">
        <v>45998</v>
      </c>
      <c r="E2538" s="92" t="inlineStr">
        <is>
          <t>KR</t>
        </is>
      </c>
      <c r="F2538" s="92" t="n">
        <v>62101000</v>
      </c>
      <c r="G2538" s="92" t="n">
        <v>1401</v>
      </c>
      <c r="H2538" s="93" t="n">
        <v>438000</v>
      </c>
      <c r="I2538" s="92" t="inlineStr">
        <is>
          <t>12월 국내출장 - M항공</t>
        </is>
      </c>
      <c r="J2538" s="92" t="inlineStr">
        <is>
          <t>V10001</t>
        </is>
      </c>
      <c r="K2538" s="92" t="inlineStr">
        <is>
          <t>M항공</t>
        </is>
      </c>
      <c r="M2538" s="9">
        <f>IF($A2538="","",VALUE($A2538&amp;"")*12+VALUE($B2538&amp;""))</f>
        <v/>
      </c>
      <c r="N2538" s="64">
        <f>IF($A2538="","",IFERROR(INDEX(부서매핑!$C$5:$C$504,MATCH($G2538&amp;"",부서매핑!$A$5:$A$504,0)),"미매핑"))</f>
        <v/>
      </c>
      <c r="O2538" s="9">
        <f>IF($A2538="","",N2538&amp;"|"&amp;$F2538)</f>
        <v/>
      </c>
      <c r="P2538" s="94">
        <f>IF($A2538="",0,$H2538*설정!$C$23)</f>
        <v/>
      </c>
      <c r="Q2538" s="64">
        <f>IF($A2538="","",IF(O2538&lt;&gt;원인분석!$C$9,"",IF(AND(M2538&gt;=원인분석!$C$10,M2538&lt;=원인분석!$C$11),"당기",IF(AND(M2538&gt;=원인분석!$C$12,M2538&lt;=원인분석!$C$13),"비교",""))))</f>
        <v/>
      </c>
      <c r="R2538" s="9">
        <f>IF(Q2538="","",$K2538&amp;"")</f>
        <v/>
      </c>
      <c r="S2538" s="9">
        <f>IF(Q2538="","",IF(MATCH(R2538,$R$5:$R$100000,0)=ROW()-4,ROW(),""))</f>
        <v/>
      </c>
      <c r="T2538" s="9">
        <f>IF(Q2538="당기",ABS(P2538)+ROW()/1000000000,"")</f>
        <v/>
      </c>
      <c r="U2538" s="9">
        <f>IF(Q2538="비교",ABS(P2538)+ROW()/1000000000,"")</f>
        <v/>
      </c>
      <c r="V2538" s="64">
        <f>IF($A2538="","",IF(COUNTIF(변동분석!$E$7:$E$506,O2538)&gt;0,"Y","N"))</f>
        <v/>
      </c>
      <c r="W2538" s="64">
        <f>IF($A2538="","",IFERROR(INDEX(계정매핑!$D$5:$D$504,MATCH($F2538&amp;"",계정매핑!$A$5:$A$504,0)),"미매핑"))</f>
        <v/>
      </c>
      <c r="X2538" s="9">
        <f>IF($A2538="","",$F2538&amp;"")</f>
        <v/>
      </c>
      <c r="Y2538" s="94">
        <f>IF($A2538="",0,IF(AE2538="직접",IF(AF2538="비귀속",$P2538,0),$P2538*(1-AG2538)*IFERROR(INDEX(계정대체기준!$F$20:$F$49,MATCH($N2538,계정대체기준!$A$20:$A$49,0)),1)))</f>
        <v/>
      </c>
      <c r="Z2538" s="94">
        <f>IF($A2538="",0,IF(AE2538="직접",IF(AF2538="신계약비",$P2538,0),$P2538*(1-AG2538)*IFERROR(INDEX(계정대체기준!$C$20:$C$49,MATCH($N2538,계정대체기준!$A$20:$A$49,0)),0)))</f>
        <v/>
      </c>
      <c r="AA2538" s="94">
        <f>IF($A2538="",0,IF(AE2538="직접",IF(OR(AF2538="유지비",AF2538="손해조사비"),$P2538,0),$P2538*(1-AG2538)*IFERROR(INDEX(계정대체기준!$D$20:$D$49,MATCH($N2538,계정대체기준!$A$20:$A$49,0)),0)))</f>
        <v/>
      </c>
      <c r="AB2538" s="94">
        <f>IF($A2538="",0,IF(AE2538="직접",IF(AF2538="수금비",$P2538,0),$P2538*(1-AG2538)*IFERROR(INDEX(계정대체기준!$E$20:$E$49,MATCH($N2538,계정대체기준!$A$20:$A$49,0)),0)))</f>
        <v/>
      </c>
      <c r="AC2538" s="9">
        <f>IF(AND($A2538&lt;&gt;"",M2538=설정!$C$20,Z2538&gt;0),Z2538+ROW()/1000000000,"")</f>
        <v/>
      </c>
      <c r="AD2538" s="94">
        <f>IF($A2538="",0,$P2538*AG2538)</f>
        <v/>
      </c>
      <c r="AE2538" s="64">
        <f>IF($A2538="","",IFERROR(INDEX(계정매핑!$E$5:$E$504,MATCH($F2538&amp;"",계정매핑!$A$5:$A$504,0))&amp;"","공통비"))</f>
        <v/>
      </c>
      <c r="AF2538" s="64">
        <f>IF($A2538="","",IF(AE2538="직접",IFERROR(INDEX(계정매핑!$F$5:$F$504,MATCH($F2538&amp;"",계정매핑!$A$5:$A$504,0))&amp;"","비귀속"),""))</f>
        <v/>
      </c>
      <c r="AG2538" s="96">
        <f>IF($A2538="",0,IF(AND(AE2538&lt;&gt;"직접",IFERROR(INDEX(계정매핑!$G$5:$G$504,MATCH($F2538&amp;"",계정매핑!$A$5:$A$504,0))&amp;"","")="유지비",COUNTIF(계정대체기준!$A$6:$A$15,$N2538)&gt;0),IFERROR(INDEX(계정대체기준!$E$6:$E$15,MATCH(VALUE($A2538&amp;""),계정대체기준!$D$6:$D$15,0)),0),0))</f>
        <v/>
      </c>
      <c r="AH2538" s="64">
        <f>IF($A2538="","",IF(AD2538=0,"",IF(OR(COUNTIF(계정대체기준!$A$77:$A$86,$N2538)&gt;0,ISNUMBER(MATCH($X2538,계정대체기준!$D$77:$D$86,0)),ISNUMBER(MATCH($F2538,계정대체기준!$D$77:$D$86,0))),"Y","N")))</f>
        <v/>
      </c>
    </row>
    <row r="2539">
      <c r="A2539" s="92" t="n">
        <v>2025</v>
      </c>
      <c r="B2539" s="92" t="n">
        <v>12</v>
      </c>
      <c r="C2539" s="92" t="inlineStr">
        <is>
          <t>5100002535</t>
        </is>
      </c>
      <c r="D2539" s="95" t="n">
        <v>45998</v>
      </c>
      <c r="E2539" s="92" t="inlineStr">
        <is>
          <t>KR</t>
        </is>
      </c>
      <c r="F2539" s="92" t="n">
        <v>62101000</v>
      </c>
      <c r="G2539" s="92" t="n">
        <v>1701</v>
      </c>
      <c r="H2539" s="93" t="n">
        <v>156000</v>
      </c>
      <c r="I2539" s="92" t="inlineStr">
        <is>
          <t>12월 국내출장 - L여행사</t>
        </is>
      </c>
      <c r="J2539" s="92" t="inlineStr">
        <is>
          <t>V10018</t>
        </is>
      </c>
      <c r="K2539" s="92" t="inlineStr">
        <is>
          <t>L여행사</t>
        </is>
      </c>
      <c r="M2539" s="9">
        <f>IF($A2539="","",VALUE($A2539&amp;"")*12+VALUE($B2539&amp;""))</f>
        <v/>
      </c>
      <c r="N2539" s="64">
        <f>IF($A2539="","",IFERROR(INDEX(부서매핑!$C$5:$C$504,MATCH($G2539&amp;"",부서매핑!$A$5:$A$504,0)),"미매핑"))</f>
        <v/>
      </c>
      <c r="O2539" s="9">
        <f>IF($A2539="","",N2539&amp;"|"&amp;$F2539)</f>
        <v/>
      </c>
      <c r="P2539" s="94">
        <f>IF($A2539="",0,$H2539*설정!$C$23)</f>
        <v/>
      </c>
      <c r="Q2539" s="64">
        <f>IF($A2539="","",IF(O2539&lt;&gt;원인분석!$C$9,"",IF(AND(M2539&gt;=원인분석!$C$10,M2539&lt;=원인분석!$C$11),"당기",IF(AND(M2539&gt;=원인분석!$C$12,M2539&lt;=원인분석!$C$13),"비교",""))))</f>
        <v/>
      </c>
      <c r="R2539" s="9">
        <f>IF(Q2539="","",$K2539&amp;"")</f>
        <v/>
      </c>
      <c r="S2539" s="9">
        <f>IF(Q2539="","",IF(MATCH(R2539,$R$5:$R$100000,0)=ROW()-4,ROW(),""))</f>
        <v/>
      </c>
      <c r="T2539" s="9">
        <f>IF(Q2539="당기",ABS(P2539)+ROW()/1000000000,"")</f>
        <v/>
      </c>
      <c r="U2539" s="9">
        <f>IF(Q2539="비교",ABS(P2539)+ROW()/1000000000,"")</f>
        <v/>
      </c>
      <c r="V2539" s="64">
        <f>IF($A2539="","",IF(COUNTIF(변동분석!$E$7:$E$506,O2539)&gt;0,"Y","N"))</f>
        <v/>
      </c>
      <c r="W2539" s="64">
        <f>IF($A2539="","",IFERROR(INDEX(계정매핑!$D$5:$D$504,MATCH($F2539&amp;"",계정매핑!$A$5:$A$504,0)),"미매핑"))</f>
        <v/>
      </c>
      <c r="X2539" s="9">
        <f>IF($A2539="","",$F2539&amp;"")</f>
        <v/>
      </c>
      <c r="Y2539" s="94">
        <f>IF($A2539="",0,IF(AE2539="직접",IF(AF2539="비귀속",$P2539,0),$P2539*(1-AG2539)*IFERROR(INDEX(계정대체기준!$F$20:$F$49,MATCH($N2539,계정대체기준!$A$20:$A$49,0)),1)))</f>
        <v/>
      </c>
      <c r="Z2539" s="94">
        <f>IF($A2539="",0,IF(AE2539="직접",IF(AF2539="신계약비",$P2539,0),$P2539*(1-AG2539)*IFERROR(INDEX(계정대체기준!$C$20:$C$49,MATCH($N2539,계정대체기준!$A$20:$A$49,0)),0)))</f>
        <v/>
      </c>
      <c r="AA2539" s="94">
        <f>IF($A2539="",0,IF(AE2539="직접",IF(OR(AF2539="유지비",AF2539="손해조사비"),$P2539,0),$P2539*(1-AG2539)*IFERROR(INDEX(계정대체기준!$D$20:$D$49,MATCH($N2539,계정대체기준!$A$20:$A$49,0)),0)))</f>
        <v/>
      </c>
      <c r="AB2539" s="94">
        <f>IF($A2539="",0,IF(AE2539="직접",IF(AF2539="수금비",$P2539,0),$P2539*(1-AG2539)*IFERROR(INDEX(계정대체기준!$E$20:$E$49,MATCH($N2539,계정대체기준!$A$20:$A$49,0)),0)))</f>
        <v/>
      </c>
      <c r="AC2539" s="9">
        <f>IF(AND($A2539&lt;&gt;"",M2539=설정!$C$20,Z2539&gt;0),Z2539+ROW()/1000000000,"")</f>
        <v/>
      </c>
      <c r="AD2539" s="94">
        <f>IF($A2539="",0,$P2539*AG2539)</f>
        <v/>
      </c>
      <c r="AE2539" s="64">
        <f>IF($A2539="","",IFERROR(INDEX(계정매핑!$E$5:$E$504,MATCH($F2539&amp;"",계정매핑!$A$5:$A$504,0))&amp;"","공통비"))</f>
        <v/>
      </c>
      <c r="AF2539" s="64">
        <f>IF($A2539="","",IF(AE2539="직접",IFERROR(INDEX(계정매핑!$F$5:$F$504,MATCH($F2539&amp;"",계정매핑!$A$5:$A$504,0))&amp;"","비귀속"),""))</f>
        <v/>
      </c>
      <c r="AG2539" s="96">
        <f>IF($A2539="",0,IF(AND(AE2539&lt;&gt;"직접",IFERROR(INDEX(계정매핑!$G$5:$G$504,MATCH($F2539&amp;"",계정매핑!$A$5:$A$504,0))&amp;"","")="유지비",COUNTIF(계정대체기준!$A$6:$A$15,$N2539)&gt;0),IFERROR(INDEX(계정대체기준!$E$6:$E$15,MATCH(VALUE($A2539&amp;""),계정대체기준!$D$6:$D$15,0)),0),0))</f>
        <v/>
      </c>
      <c r="AH2539" s="64">
        <f>IF($A2539="","",IF(AD2539=0,"",IF(OR(COUNTIF(계정대체기준!$A$77:$A$86,$N2539)&gt;0,ISNUMBER(MATCH($X2539,계정대체기준!$D$77:$D$86,0)),ISNUMBER(MATCH($F2539,계정대체기준!$D$77:$D$86,0))),"Y","N")))</f>
        <v/>
      </c>
    </row>
    <row r="2540">
      <c r="A2540" s="92" t="n">
        <v>2025</v>
      </c>
      <c r="B2540" s="92" t="n">
        <v>12</v>
      </c>
      <c r="C2540" s="92" t="inlineStr">
        <is>
          <t>5100002536</t>
        </is>
      </c>
      <c r="D2540" s="95" t="n">
        <v>45998</v>
      </c>
      <c r="E2540" s="92" t="inlineStr">
        <is>
          <t>KR</t>
        </is>
      </c>
      <c r="F2540" s="92" t="n">
        <v>62101000</v>
      </c>
      <c r="G2540" s="92" t="n">
        <v>1801</v>
      </c>
      <c r="H2540" s="93" t="n">
        <v>116000</v>
      </c>
      <c r="I2540" s="92" t="inlineStr">
        <is>
          <t>12월 국내출장 - M항공</t>
        </is>
      </c>
      <c r="J2540" s="92" t="inlineStr">
        <is>
          <t>V10001</t>
        </is>
      </c>
      <c r="K2540" s="92" t="inlineStr">
        <is>
          <t>M항공</t>
        </is>
      </c>
      <c r="M2540" s="9">
        <f>IF($A2540="","",VALUE($A2540&amp;"")*12+VALUE($B2540&amp;""))</f>
        <v/>
      </c>
      <c r="N2540" s="64">
        <f>IF($A2540="","",IFERROR(INDEX(부서매핑!$C$5:$C$504,MATCH($G2540&amp;"",부서매핑!$A$5:$A$504,0)),"미매핑"))</f>
        <v/>
      </c>
      <c r="O2540" s="9">
        <f>IF($A2540="","",N2540&amp;"|"&amp;$F2540)</f>
        <v/>
      </c>
      <c r="P2540" s="94">
        <f>IF($A2540="",0,$H2540*설정!$C$23)</f>
        <v/>
      </c>
      <c r="Q2540" s="64">
        <f>IF($A2540="","",IF(O2540&lt;&gt;원인분석!$C$9,"",IF(AND(M2540&gt;=원인분석!$C$10,M2540&lt;=원인분석!$C$11),"당기",IF(AND(M2540&gt;=원인분석!$C$12,M2540&lt;=원인분석!$C$13),"비교",""))))</f>
        <v/>
      </c>
      <c r="R2540" s="9">
        <f>IF(Q2540="","",$K2540&amp;"")</f>
        <v/>
      </c>
      <c r="S2540" s="9">
        <f>IF(Q2540="","",IF(MATCH(R2540,$R$5:$R$100000,0)=ROW()-4,ROW(),""))</f>
        <v/>
      </c>
      <c r="T2540" s="9">
        <f>IF(Q2540="당기",ABS(P2540)+ROW()/1000000000,"")</f>
        <v/>
      </c>
      <c r="U2540" s="9">
        <f>IF(Q2540="비교",ABS(P2540)+ROW()/1000000000,"")</f>
        <v/>
      </c>
      <c r="V2540" s="64">
        <f>IF($A2540="","",IF(COUNTIF(변동분석!$E$7:$E$506,O2540)&gt;0,"Y","N"))</f>
        <v/>
      </c>
      <c r="W2540" s="64">
        <f>IF($A2540="","",IFERROR(INDEX(계정매핑!$D$5:$D$504,MATCH($F2540&amp;"",계정매핑!$A$5:$A$504,0)),"미매핑"))</f>
        <v/>
      </c>
      <c r="X2540" s="9">
        <f>IF($A2540="","",$F2540&amp;"")</f>
        <v/>
      </c>
      <c r="Y2540" s="94">
        <f>IF($A2540="",0,IF(AE2540="직접",IF(AF2540="비귀속",$P2540,0),$P2540*(1-AG2540)*IFERROR(INDEX(계정대체기준!$F$20:$F$49,MATCH($N2540,계정대체기준!$A$20:$A$49,0)),1)))</f>
        <v/>
      </c>
      <c r="Z2540" s="94">
        <f>IF($A2540="",0,IF(AE2540="직접",IF(AF2540="신계약비",$P2540,0),$P2540*(1-AG2540)*IFERROR(INDEX(계정대체기준!$C$20:$C$49,MATCH($N2540,계정대체기준!$A$20:$A$49,0)),0)))</f>
        <v/>
      </c>
      <c r="AA2540" s="94">
        <f>IF($A2540="",0,IF(AE2540="직접",IF(OR(AF2540="유지비",AF2540="손해조사비"),$P2540,0),$P2540*(1-AG2540)*IFERROR(INDEX(계정대체기준!$D$20:$D$49,MATCH($N2540,계정대체기준!$A$20:$A$49,0)),0)))</f>
        <v/>
      </c>
      <c r="AB2540" s="94">
        <f>IF($A2540="",0,IF(AE2540="직접",IF(AF2540="수금비",$P2540,0),$P2540*(1-AG2540)*IFERROR(INDEX(계정대체기준!$E$20:$E$49,MATCH($N2540,계정대체기준!$A$20:$A$49,0)),0)))</f>
        <v/>
      </c>
      <c r="AC2540" s="9">
        <f>IF(AND($A2540&lt;&gt;"",M2540=설정!$C$20,Z2540&gt;0),Z2540+ROW()/1000000000,"")</f>
        <v/>
      </c>
      <c r="AD2540" s="94">
        <f>IF($A2540="",0,$P2540*AG2540)</f>
        <v/>
      </c>
      <c r="AE2540" s="64">
        <f>IF($A2540="","",IFERROR(INDEX(계정매핑!$E$5:$E$504,MATCH($F2540&amp;"",계정매핑!$A$5:$A$504,0))&amp;"","공통비"))</f>
        <v/>
      </c>
      <c r="AF2540" s="64">
        <f>IF($A2540="","",IF(AE2540="직접",IFERROR(INDEX(계정매핑!$F$5:$F$504,MATCH($F2540&amp;"",계정매핑!$A$5:$A$504,0))&amp;"","비귀속"),""))</f>
        <v/>
      </c>
      <c r="AG2540" s="96">
        <f>IF($A2540="",0,IF(AND(AE2540&lt;&gt;"직접",IFERROR(INDEX(계정매핑!$G$5:$G$504,MATCH($F2540&amp;"",계정매핑!$A$5:$A$504,0))&amp;"","")="유지비",COUNTIF(계정대체기준!$A$6:$A$15,$N2540)&gt;0),IFERROR(INDEX(계정대체기준!$E$6:$E$15,MATCH(VALUE($A2540&amp;""),계정대체기준!$D$6:$D$15,0)),0),0))</f>
        <v/>
      </c>
      <c r="AH2540" s="64">
        <f>IF($A2540="","",IF(AD2540=0,"",IF(OR(COUNTIF(계정대체기준!$A$77:$A$86,$N2540)&gt;0,ISNUMBER(MATCH($X2540,계정대체기준!$D$77:$D$86,0)),ISNUMBER(MATCH($F2540,계정대체기준!$D$77:$D$86,0))),"Y","N")))</f>
        <v/>
      </c>
    </row>
    <row r="2541">
      <c r="A2541" s="92" t="n">
        <v>2025</v>
      </c>
      <c r="B2541" s="92" t="n">
        <v>12</v>
      </c>
      <c r="C2541" s="92" t="inlineStr">
        <is>
          <t>5100002537</t>
        </is>
      </c>
      <c r="D2541" s="95" t="n">
        <v>45998</v>
      </c>
      <c r="E2541" s="92" t="inlineStr">
        <is>
          <t>KR</t>
        </is>
      </c>
      <c r="F2541" s="92" t="n">
        <v>62101000</v>
      </c>
      <c r="G2541" s="92" t="n">
        <v>1951</v>
      </c>
      <c r="H2541" s="93" t="n">
        <v>317000</v>
      </c>
      <c r="I2541" s="92" t="inlineStr">
        <is>
          <t>12월 국내출장 - L여행사</t>
        </is>
      </c>
      <c r="J2541" s="92" t="inlineStr">
        <is>
          <t>V10018</t>
        </is>
      </c>
      <c r="K2541" s="92" t="inlineStr">
        <is>
          <t>L여행사</t>
        </is>
      </c>
      <c r="M2541" s="9">
        <f>IF($A2541="","",VALUE($A2541&amp;"")*12+VALUE($B2541&amp;""))</f>
        <v/>
      </c>
      <c r="N2541" s="64">
        <f>IF($A2541="","",IFERROR(INDEX(부서매핑!$C$5:$C$504,MATCH($G2541&amp;"",부서매핑!$A$5:$A$504,0)),"미매핑"))</f>
        <v/>
      </c>
      <c r="O2541" s="9">
        <f>IF($A2541="","",N2541&amp;"|"&amp;$F2541)</f>
        <v/>
      </c>
      <c r="P2541" s="94">
        <f>IF($A2541="",0,$H2541*설정!$C$23)</f>
        <v/>
      </c>
      <c r="Q2541" s="64">
        <f>IF($A2541="","",IF(O2541&lt;&gt;원인분석!$C$9,"",IF(AND(M2541&gt;=원인분석!$C$10,M2541&lt;=원인분석!$C$11),"당기",IF(AND(M2541&gt;=원인분석!$C$12,M2541&lt;=원인분석!$C$13),"비교",""))))</f>
        <v/>
      </c>
      <c r="R2541" s="9">
        <f>IF(Q2541="","",$K2541&amp;"")</f>
        <v/>
      </c>
      <c r="S2541" s="9">
        <f>IF(Q2541="","",IF(MATCH(R2541,$R$5:$R$100000,0)=ROW()-4,ROW(),""))</f>
        <v/>
      </c>
      <c r="T2541" s="9">
        <f>IF(Q2541="당기",ABS(P2541)+ROW()/1000000000,"")</f>
        <v/>
      </c>
      <c r="U2541" s="9">
        <f>IF(Q2541="비교",ABS(P2541)+ROW()/1000000000,"")</f>
        <v/>
      </c>
      <c r="V2541" s="64">
        <f>IF($A2541="","",IF(COUNTIF(변동분석!$E$7:$E$506,O2541)&gt;0,"Y","N"))</f>
        <v/>
      </c>
      <c r="W2541" s="64">
        <f>IF($A2541="","",IFERROR(INDEX(계정매핑!$D$5:$D$504,MATCH($F2541&amp;"",계정매핑!$A$5:$A$504,0)),"미매핑"))</f>
        <v/>
      </c>
      <c r="X2541" s="9">
        <f>IF($A2541="","",$F2541&amp;"")</f>
        <v/>
      </c>
      <c r="Y2541" s="94">
        <f>IF($A2541="",0,IF(AE2541="직접",IF(AF2541="비귀속",$P2541,0),$P2541*(1-AG2541)*IFERROR(INDEX(계정대체기준!$F$20:$F$49,MATCH($N2541,계정대체기준!$A$20:$A$49,0)),1)))</f>
        <v/>
      </c>
      <c r="Z2541" s="94">
        <f>IF($A2541="",0,IF(AE2541="직접",IF(AF2541="신계약비",$P2541,0),$P2541*(1-AG2541)*IFERROR(INDEX(계정대체기준!$C$20:$C$49,MATCH($N2541,계정대체기준!$A$20:$A$49,0)),0)))</f>
        <v/>
      </c>
      <c r="AA2541" s="94">
        <f>IF($A2541="",0,IF(AE2541="직접",IF(OR(AF2541="유지비",AF2541="손해조사비"),$P2541,0),$P2541*(1-AG2541)*IFERROR(INDEX(계정대체기준!$D$20:$D$49,MATCH($N2541,계정대체기준!$A$20:$A$49,0)),0)))</f>
        <v/>
      </c>
      <c r="AB2541" s="94">
        <f>IF($A2541="",0,IF(AE2541="직접",IF(AF2541="수금비",$P2541,0),$P2541*(1-AG2541)*IFERROR(INDEX(계정대체기준!$E$20:$E$49,MATCH($N2541,계정대체기준!$A$20:$A$49,0)),0)))</f>
        <v/>
      </c>
      <c r="AC2541" s="9">
        <f>IF(AND($A2541&lt;&gt;"",M2541=설정!$C$20,Z2541&gt;0),Z2541+ROW()/1000000000,"")</f>
        <v/>
      </c>
      <c r="AD2541" s="94">
        <f>IF($A2541="",0,$P2541*AG2541)</f>
        <v/>
      </c>
      <c r="AE2541" s="64">
        <f>IF($A2541="","",IFERROR(INDEX(계정매핑!$E$5:$E$504,MATCH($F2541&amp;"",계정매핑!$A$5:$A$504,0))&amp;"","공통비"))</f>
        <v/>
      </c>
      <c r="AF2541" s="64">
        <f>IF($A2541="","",IF(AE2541="직접",IFERROR(INDEX(계정매핑!$F$5:$F$504,MATCH($F2541&amp;"",계정매핑!$A$5:$A$504,0))&amp;"","비귀속"),""))</f>
        <v/>
      </c>
      <c r="AG2541" s="96">
        <f>IF($A2541="",0,IF(AND(AE2541&lt;&gt;"직접",IFERROR(INDEX(계정매핑!$G$5:$G$504,MATCH($F2541&amp;"",계정매핑!$A$5:$A$504,0))&amp;"","")="유지비",COUNTIF(계정대체기준!$A$6:$A$15,$N2541)&gt;0),IFERROR(INDEX(계정대체기준!$E$6:$E$15,MATCH(VALUE($A2541&amp;""),계정대체기준!$D$6:$D$15,0)),0),0))</f>
        <v/>
      </c>
      <c r="AH2541" s="64">
        <f>IF($A2541="","",IF(AD2541=0,"",IF(OR(COUNTIF(계정대체기준!$A$77:$A$86,$N2541)&gt;0,ISNUMBER(MATCH($X2541,계정대체기준!$D$77:$D$86,0)),ISNUMBER(MATCH($F2541,계정대체기준!$D$77:$D$86,0))),"Y","N")))</f>
        <v/>
      </c>
    </row>
    <row r="2542">
      <c r="A2542" s="92" t="n">
        <v>2025</v>
      </c>
      <c r="B2542" s="92" t="n">
        <v>12</v>
      </c>
      <c r="C2542" s="92" t="inlineStr">
        <is>
          <t>5100002538</t>
        </is>
      </c>
      <c r="D2542" s="95" t="n">
        <v>45998</v>
      </c>
      <c r="E2542" s="92" t="inlineStr">
        <is>
          <t>KR</t>
        </is>
      </c>
      <c r="F2542" s="92" t="n">
        <v>62102000</v>
      </c>
      <c r="G2542" s="92" t="n">
        <v>1201</v>
      </c>
      <c r="H2542" s="93" t="n">
        <v>44000</v>
      </c>
      <c r="I2542" s="92" t="inlineStr">
        <is>
          <t>12월 해외출장 - N호텔</t>
        </is>
      </c>
      <c r="J2542" s="92" t="inlineStr">
        <is>
          <t>V10009</t>
        </is>
      </c>
      <c r="K2542" s="92" t="inlineStr">
        <is>
          <t>N호텔</t>
        </is>
      </c>
      <c r="M2542" s="9">
        <f>IF($A2542="","",VALUE($A2542&amp;"")*12+VALUE($B2542&amp;""))</f>
        <v/>
      </c>
      <c r="N2542" s="64">
        <f>IF($A2542="","",IFERROR(INDEX(부서매핑!$C$5:$C$504,MATCH($G2542&amp;"",부서매핑!$A$5:$A$504,0)),"미매핑"))</f>
        <v/>
      </c>
      <c r="O2542" s="9">
        <f>IF($A2542="","",N2542&amp;"|"&amp;$F2542)</f>
        <v/>
      </c>
      <c r="P2542" s="94">
        <f>IF($A2542="",0,$H2542*설정!$C$23)</f>
        <v/>
      </c>
      <c r="Q2542" s="64">
        <f>IF($A2542="","",IF(O2542&lt;&gt;원인분석!$C$9,"",IF(AND(M2542&gt;=원인분석!$C$10,M2542&lt;=원인분석!$C$11),"당기",IF(AND(M2542&gt;=원인분석!$C$12,M2542&lt;=원인분석!$C$13),"비교",""))))</f>
        <v/>
      </c>
      <c r="R2542" s="9">
        <f>IF(Q2542="","",$K2542&amp;"")</f>
        <v/>
      </c>
      <c r="S2542" s="9">
        <f>IF(Q2542="","",IF(MATCH(R2542,$R$5:$R$100000,0)=ROW()-4,ROW(),""))</f>
        <v/>
      </c>
      <c r="T2542" s="9">
        <f>IF(Q2542="당기",ABS(P2542)+ROW()/1000000000,"")</f>
        <v/>
      </c>
      <c r="U2542" s="9">
        <f>IF(Q2542="비교",ABS(P2542)+ROW()/1000000000,"")</f>
        <v/>
      </c>
      <c r="V2542" s="64">
        <f>IF($A2542="","",IF(COUNTIF(변동분석!$E$7:$E$506,O2542)&gt;0,"Y","N"))</f>
        <v/>
      </c>
      <c r="W2542" s="64">
        <f>IF($A2542="","",IFERROR(INDEX(계정매핑!$D$5:$D$504,MATCH($F2542&amp;"",계정매핑!$A$5:$A$504,0)),"미매핑"))</f>
        <v/>
      </c>
      <c r="X2542" s="9">
        <f>IF($A2542="","",$F2542&amp;"")</f>
        <v/>
      </c>
      <c r="Y2542" s="94">
        <f>IF($A2542="",0,IF(AE2542="직접",IF(AF2542="비귀속",$P2542,0),$P2542*(1-AG2542)*IFERROR(INDEX(계정대체기준!$F$20:$F$49,MATCH($N2542,계정대체기준!$A$20:$A$49,0)),1)))</f>
        <v/>
      </c>
      <c r="Z2542" s="94">
        <f>IF($A2542="",0,IF(AE2542="직접",IF(AF2542="신계약비",$P2542,0),$P2542*(1-AG2542)*IFERROR(INDEX(계정대체기준!$C$20:$C$49,MATCH($N2542,계정대체기준!$A$20:$A$49,0)),0)))</f>
        <v/>
      </c>
      <c r="AA2542" s="94">
        <f>IF($A2542="",0,IF(AE2542="직접",IF(OR(AF2542="유지비",AF2542="손해조사비"),$P2542,0),$P2542*(1-AG2542)*IFERROR(INDEX(계정대체기준!$D$20:$D$49,MATCH($N2542,계정대체기준!$A$20:$A$49,0)),0)))</f>
        <v/>
      </c>
      <c r="AB2542" s="94">
        <f>IF($A2542="",0,IF(AE2542="직접",IF(AF2542="수금비",$P2542,0),$P2542*(1-AG2542)*IFERROR(INDEX(계정대체기준!$E$20:$E$49,MATCH($N2542,계정대체기준!$A$20:$A$49,0)),0)))</f>
        <v/>
      </c>
      <c r="AC2542" s="9">
        <f>IF(AND($A2542&lt;&gt;"",M2542=설정!$C$20,Z2542&gt;0),Z2542+ROW()/1000000000,"")</f>
        <v/>
      </c>
      <c r="AD2542" s="94">
        <f>IF($A2542="",0,$P2542*AG2542)</f>
        <v/>
      </c>
      <c r="AE2542" s="64">
        <f>IF($A2542="","",IFERROR(INDEX(계정매핑!$E$5:$E$504,MATCH($F2542&amp;"",계정매핑!$A$5:$A$504,0))&amp;"","공통비"))</f>
        <v/>
      </c>
      <c r="AF2542" s="64">
        <f>IF($A2542="","",IF(AE2542="직접",IFERROR(INDEX(계정매핑!$F$5:$F$504,MATCH($F2542&amp;"",계정매핑!$A$5:$A$504,0))&amp;"","비귀속"),""))</f>
        <v/>
      </c>
      <c r="AG2542" s="96">
        <f>IF($A2542="",0,IF(AND(AE2542&lt;&gt;"직접",IFERROR(INDEX(계정매핑!$G$5:$G$504,MATCH($F2542&amp;"",계정매핑!$A$5:$A$504,0))&amp;"","")="유지비",COUNTIF(계정대체기준!$A$6:$A$15,$N2542)&gt;0),IFERROR(INDEX(계정대체기준!$E$6:$E$15,MATCH(VALUE($A2542&amp;""),계정대체기준!$D$6:$D$15,0)),0),0))</f>
        <v/>
      </c>
      <c r="AH2542" s="64">
        <f>IF($A2542="","",IF(AD2542=0,"",IF(OR(COUNTIF(계정대체기준!$A$77:$A$86,$N2542)&gt;0,ISNUMBER(MATCH($X2542,계정대체기준!$D$77:$D$86,0)),ISNUMBER(MATCH($F2542,계정대체기준!$D$77:$D$86,0))),"Y","N")))</f>
        <v/>
      </c>
    </row>
    <row r="2543">
      <c r="A2543" s="92" t="n">
        <v>2025</v>
      </c>
      <c r="B2543" s="92" t="n">
        <v>12</v>
      </c>
      <c r="C2543" s="92" t="inlineStr">
        <is>
          <t>5100002539</t>
        </is>
      </c>
      <c r="D2543" s="95" t="n">
        <v>45998</v>
      </c>
      <c r="E2543" s="92" t="inlineStr">
        <is>
          <t>KR</t>
        </is>
      </c>
      <c r="F2543" s="92" t="n">
        <v>62201000</v>
      </c>
      <c r="G2543" s="92" t="n">
        <v>1301</v>
      </c>
      <c r="H2543" s="93" t="n">
        <v>232000</v>
      </c>
      <c r="I2543" s="92" t="inlineStr">
        <is>
          <t>12월 통신요금 - P통신</t>
        </is>
      </c>
      <c r="J2543" s="92" t="inlineStr">
        <is>
          <t>V10014</t>
        </is>
      </c>
      <c r="K2543" s="92" t="inlineStr">
        <is>
          <t>P통신</t>
        </is>
      </c>
      <c r="M2543" s="9">
        <f>IF($A2543="","",VALUE($A2543&amp;"")*12+VALUE($B2543&amp;""))</f>
        <v/>
      </c>
      <c r="N2543" s="64">
        <f>IF($A2543="","",IFERROR(INDEX(부서매핑!$C$5:$C$504,MATCH($G2543&amp;"",부서매핑!$A$5:$A$504,0)),"미매핑"))</f>
        <v/>
      </c>
      <c r="O2543" s="9">
        <f>IF($A2543="","",N2543&amp;"|"&amp;$F2543)</f>
        <v/>
      </c>
      <c r="P2543" s="94">
        <f>IF($A2543="",0,$H2543*설정!$C$23)</f>
        <v/>
      </c>
      <c r="Q2543" s="64">
        <f>IF($A2543="","",IF(O2543&lt;&gt;원인분석!$C$9,"",IF(AND(M2543&gt;=원인분석!$C$10,M2543&lt;=원인분석!$C$11),"당기",IF(AND(M2543&gt;=원인분석!$C$12,M2543&lt;=원인분석!$C$13),"비교",""))))</f>
        <v/>
      </c>
      <c r="R2543" s="9">
        <f>IF(Q2543="","",$K2543&amp;"")</f>
        <v/>
      </c>
      <c r="S2543" s="9">
        <f>IF(Q2543="","",IF(MATCH(R2543,$R$5:$R$100000,0)=ROW()-4,ROW(),""))</f>
        <v/>
      </c>
      <c r="T2543" s="9">
        <f>IF(Q2543="당기",ABS(P2543)+ROW()/1000000000,"")</f>
        <v/>
      </c>
      <c r="U2543" s="9">
        <f>IF(Q2543="비교",ABS(P2543)+ROW()/1000000000,"")</f>
        <v/>
      </c>
      <c r="V2543" s="64">
        <f>IF($A2543="","",IF(COUNTIF(변동분석!$E$7:$E$506,O2543)&gt;0,"Y","N"))</f>
        <v/>
      </c>
      <c r="W2543" s="64">
        <f>IF($A2543="","",IFERROR(INDEX(계정매핑!$D$5:$D$504,MATCH($F2543&amp;"",계정매핑!$A$5:$A$504,0)),"미매핑"))</f>
        <v/>
      </c>
      <c r="X2543" s="9">
        <f>IF($A2543="","",$F2543&amp;"")</f>
        <v/>
      </c>
      <c r="Y2543" s="94">
        <f>IF($A2543="",0,IF(AE2543="직접",IF(AF2543="비귀속",$P2543,0),$P2543*(1-AG2543)*IFERROR(INDEX(계정대체기준!$F$20:$F$49,MATCH($N2543,계정대체기준!$A$20:$A$49,0)),1)))</f>
        <v/>
      </c>
      <c r="Z2543" s="94">
        <f>IF($A2543="",0,IF(AE2543="직접",IF(AF2543="신계약비",$P2543,0),$P2543*(1-AG2543)*IFERROR(INDEX(계정대체기준!$C$20:$C$49,MATCH($N2543,계정대체기준!$A$20:$A$49,0)),0)))</f>
        <v/>
      </c>
      <c r="AA2543" s="94">
        <f>IF($A2543="",0,IF(AE2543="직접",IF(OR(AF2543="유지비",AF2543="손해조사비"),$P2543,0),$P2543*(1-AG2543)*IFERROR(INDEX(계정대체기준!$D$20:$D$49,MATCH($N2543,계정대체기준!$A$20:$A$49,0)),0)))</f>
        <v/>
      </c>
      <c r="AB2543" s="94">
        <f>IF($A2543="",0,IF(AE2543="직접",IF(AF2543="수금비",$P2543,0),$P2543*(1-AG2543)*IFERROR(INDEX(계정대체기준!$E$20:$E$49,MATCH($N2543,계정대체기준!$A$20:$A$49,0)),0)))</f>
        <v/>
      </c>
      <c r="AC2543" s="9">
        <f>IF(AND($A2543&lt;&gt;"",M2543=설정!$C$20,Z2543&gt;0),Z2543+ROW()/1000000000,"")</f>
        <v/>
      </c>
      <c r="AD2543" s="94">
        <f>IF($A2543="",0,$P2543*AG2543)</f>
        <v/>
      </c>
      <c r="AE2543" s="64">
        <f>IF($A2543="","",IFERROR(INDEX(계정매핑!$E$5:$E$504,MATCH($F2543&amp;"",계정매핑!$A$5:$A$504,0))&amp;"","공통비"))</f>
        <v/>
      </c>
      <c r="AF2543" s="64">
        <f>IF($A2543="","",IF(AE2543="직접",IFERROR(INDEX(계정매핑!$F$5:$F$504,MATCH($F2543&amp;"",계정매핑!$A$5:$A$504,0))&amp;"","비귀속"),""))</f>
        <v/>
      </c>
      <c r="AG2543" s="96">
        <f>IF($A2543="",0,IF(AND(AE2543&lt;&gt;"직접",IFERROR(INDEX(계정매핑!$G$5:$G$504,MATCH($F2543&amp;"",계정매핑!$A$5:$A$504,0))&amp;"","")="유지비",COUNTIF(계정대체기준!$A$6:$A$15,$N2543)&gt;0),IFERROR(INDEX(계정대체기준!$E$6:$E$15,MATCH(VALUE($A2543&amp;""),계정대체기준!$D$6:$D$15,0)),0),0))</f>
        <v/>
      </c>
      <c r="AH2543" s="64">
        <f>IF($A2543="","",IF(AD2543=0,"",IF(OR(COUNTIF(계정대체기준!$A$77:$A$86,$N2543)&gt;0,ISNUMBER(MATCH($X2543,계정대체기준!$D$77:$D$86,0)),ISNUMBER(MATCH($F2543,계정대체기준!$D$77:$D$86,0))),"Y","N")))</f>
        <v/>
      </c>
    </row>
    <row r="2544">
      <c r="A2544" s="92" t="n">
        <v>2025</v>
      </c>
      <c r="B2544" s="92" t="n">
        <v>12</v>
      </c>
      <c r="C2544" s="92" t="inlineStr">
        <is>
          <t>5100002540</t>
        </is>
      </c>
      <c r="D2544" s="95" t="n">
        <v>45998</v>
      </c>
      <c r="E2544" s="92" t="inlineStr">
        <is>
          <t>KR</t>
        </is>
      </c>
      <c r="F2544" s="92" t="n">
        <v>62301000</v>
      </c>
      <c r="G2544" s="92" t="n">
        <v>1101</v>
      </c>
      <c r="H2544" s="93" t="n">
        <v>198000</v>
      </c>
      <c r="I2544" s="92" t="inlineStr">
        <is>
          <t>12월 소모품 구입 - Q오피스</t>
        </is>
      </c>
      <c r="J2544" s="92" t="inlineStr">
        <is>
          <t>V10003</t>
        </is>
      </c>
      <c r="K2544" s="92" t="inlineStr">
        <is>
          <t>Q오피스</t>
        </is>
      </c>
      <c r="M2544" s="9">
        <f>IF($A2544="","",VALUE($A2544&amp;"")*12+VALUE($B2544&amp;""))</f>
        <v/>
      </c>
      <c r="N2544" s="64">
        <f>IF($A2544="","",IFERROR(INDEX(부서매핑!$C$5:$C$504,MATCH($G2544&amp;"",부서매핑!$A$5:$A$504,0)),"미매핑"))</f>
        <v/>
      </c>
      <c r="O2544" s="9">
        <f>IF($A2544="","",N2544&amp;"|"&amp;$F2544)</f>
        <v/>
      </c>
      <c r="P2544" s="94">
        <f>IF($A2544="",0,$H2544*설정!$C$23)</f>
        <v/>
      </c>
      <c r="Q2544" s="64">
        <f>IF($A2544="","",IF(O2544&lt;&gt;원인분석!$C$9,"",IF(AND(M2544&gt;=원인분석!$C$10,M2544&lt;=원인분석!$C$11),"당기",IF(AND(M2544&gt;=원인분석!$C$12,M2544&lt;=원인분석!$C$13),"비교",""))))</f>
        <v/>
      </c>
      <c r="R2544" s="9">
        <f>IF(Q2544="","",$K2544&amp;"")</f>
        <v/>
      </c>
      <c r="S2544" s="9">
        <f>IF(Q2544="","",IF(MATCH(R2544,$R$5:$R$100000,0)=ROW()-4,ROW(),""))</f>
        <v/>
      </c>
      <c r="T2544" s="9">
        <f>IF(Q2544="당기",ABS(P2544)+ROW()/1000000000,"")</f>
        <v/>
      </c>
      <c r="U2544" s="9">
        <f>IF(Q2544="비교",ABS(P2544)+ROW()/1000000000,"")</f>
        <v/>
      </c>
      <c r="V2544" s="64">
        <f>IF($A2544="","",IF(COUNTIF(변동분석!$E$7:$E$506,O2544)&gt;0,"Y","N"))</f>
        <v/>
      </c>
      <c r="W2544" s="64">
        <f>IF($A2544="","",IFERROR(INDEX(계정매핑!$D$5:$D$504,MATCH($F2544&amp;"",계정매핑!$A$5:$A$504,0)),"미매핑"))</f>
        <v/>
      </c>
      <c r="X2544" s="9">
        <f>IF($A2544="","",$F2544&amp;"")</f>
        <v/>
      </c>
      <c r="Y2544" s="94">
        <f>IF($A2544="",0,IF(AE2544="직접",IF(AF2544="비귀속",$P2544,0),$P2544*(1-AG2544)*IFERROR(INDEX(계정대체기준!$F$20:$F$49,MATCH($N2544,계정대체기준!$A$20:$A$49,0)),1)))</f>
        <v/>
      </c>
      <c r="Z2544" s="94">
        <f>IF($A2544="",0,IF(AE2544="직접",IF(AF2544="신계약비",$P2544,0),$P2544*(1-AG2544)*IFERROR(INDEX(계정대체기준!$C$20:$C$49,MATCH($N2544,계정대체기준!$A$20:$A$49,0)),0)))</f>
        <v/>
      </c>
      <c r="AA2544" s="94">
        <f>IF($A2544="",0,IF(AE2544="직접",IF(OR(AF2544="유지비",AF2544="손해조사비"),$P2544,0),$P2544*(1-AG2544)*IFERROR(INDEX(계정대체기준!$D$20:$D$49,MATCH($N2544,계정대체기준!$A$20:$A$49,0)),0)))</f>
        <v/>
      </c>
      <c r="AB2544" s="94">
        <f>IF($A2544="",0,IF(AE2544="직접",IF(AF2544="수금비",$P2544,0),$P2544*(1-AG2544)*IFERROR(INDEX(계정대체기준!$E$20:$E$49,MATCH($N2544,계정대체기준!$A$20:$A$49,0)),0)))</f>
        <v/>
      </c>
      <c r="AC2544" s="9">
        <f>IF(AND($A2544&lt;&gt;"",M2544=설정!$C$20,Z2544&gt;0),Z2544+ROW()/1000000000,"")</f>
        <v/>
      </c>
      <c r="AD2544" s="94">
        <f>IF($A2544="",0,$P2544*AG2544)</f>
        <v/>
      </c>
      <c r="AE2544" s="64">
        <f>IF($A2544="","",IFERROR(INDEX(계정매핑!$E$5:$E$504,MATCH($F2544&amp;"",계정매핑!$A$5:$A$504,0))&amp;"","공통비"))</f>
        <v/>
      </c>
      <c r="AF2544" s="64">
        <f>IF($A2544="","",IF(AE2544="직접",IFERROR(INDEX(계정매핑!$F$5:$F$504,MATCH($F2544&amp;"",계정매핑!$A$5:$A$504,0))&amp;"","비귀속"),""))</f>
        <v/>
      </c>
      <c r="AG2544" s="96">
        <f>IF($A2544="",0,IF(AND(AE2544&lt;&gt;"직접",IFERROR(INDEX(계정매핑!$G$5:$G$504,MATCH($F2544&amp;"",계정매핑!$A$5:$A$504,0))&amp;"","")="유지비",COUNTIF(계정대체기준!$A$6:$A$15,$N2544)&gt;0),IFERROR(INDEX(계정대체기준!$E$6:$E$15,MATCH(VALUE($A2544&amp;""),계정대체기준!$D$6:$D$15,0)),0),0))</f>
        <v/>
      </c>
      <c r="AH2544" s="64">
        <f>IF($A2544="","",IF(AD2544=0,"",IF(OR(COUNTIF(계정대체기준!$A$77:$A$86,$N2544)&gt;0,ISNUMBER(MATCH($X2544,계정대체기준!$D$77:$D$86,0)),ISNUMBER(MATCH($F2544,계정대체기준!$D$77:$D$86,0))),"Y","N")))</f>
        <v/>
      </c>
    </row>
    <row r="2545">
      <c r="A2545" s="92" t="n">
        <v>2025</v>
      </c>
      <c r="B2545" s="92" t="n">
        <v>12</v>
      </c>
      <c r="C2545" s="92" t="inlineStr">
        <is>
          <t>5100002541</t>
        </is>
      </c>
      <c r="D2545" s="95" t="n">
        <v>45998</v>
      </c>
      <c r="E2545" s="92" t="inlineStr">
        <is>
          <t>KR</t>
        </is>
      </c>
      <c r="F2545" s="92" t="n">
        <v>62301000</v>
      </c>
      <c r="G2545" s="92" t="n">
        <v>1401</v>
      </c>
      <c r="H2545" s="93" t="n">
        <v>65000</v>
      </c>
      <c r="I2545" s="92" t="inlineStr">
        <is>
          <t>12월 소모품 구입 - Q오피스</t>
        </is>
      </c>
      <c r="J2545" s="92" t="inlineStr">
        <is>
          <t>V10003</t>
        </is>
      </c>
      <c r="K2545" s="92" t="inlineStr">
        <is>
          <t>Q오피스</t>
        </is>
      </c>
      <c r="M2545" s="9">
        <f>IF($A2545="","",VALUE($A2545&amp;"")*12+VALUE($B2545&amp;""))</f>
        <v/>
      </c>
      <c r="N2545" s="64">
        <f>IF($A2545="","",IFERROR(INDEX(부서매핑!$C$5:$C$504,MATCH($G2545&amp;"",부서매핑!$A$5:$A$504,0)),"미매핑"))</f>
        <v/>
      </c>
      <c r="O2545" s="9">
        <f>IF($A2545="","",N2545&amp;"|"&amp;$F2545)</f>
        <v/>
      </c>
      <c r="P2545" s="94">
        <f>IF($A2545="",0,$H2545*설정!$C$23)</f>
        <v/>
      </c>
      <c r="Q2545" s="64">
        <f>IF($A2545="","",IF(O2545&lt;&gt;원인분석!$C$9,"",IF(AND(M2545&gt;=원인분석!$C$10,M2545&lt;=원인분석!$C$11),"당기",IF(AND(M2545&gt;=원인분석!$C$12,M2545&lt;=원인분석!$C$13),"비교",""))))</f>
        <v/>
      </c>
      <c r="R2545" s="9">
        <f>IF(Q2545="","",$K2545&amp;"")</f>
        <v/>
      </c>
      <c r="S2545" s="9">
        <f>IF(Q2545="","",IF(MATCH(R2545,$R$5:$R$100000,0)=ROW()-4,ROW(),""))</f>
        <v/>
      </c>
      <c r="T2545" s="9">
        <f>IF(Q2545="당기",ABS(P2545)+ROW()/1000000000,"")</f>
        <v/>
      </c>
      <c r="U2545" s="9">
        <f>IF(Q2545="비교",ABS(P2545)+ROW()/1000000000,"")</f>
        <v/>
      </c>
      <c r="V2545" s="64">
        <f>IF($A2545="","",IF(COUNTIF(변동분석!$E$7:$E$506,O2545)&gt;0,"Y","N"))</f>
        <v/>
      </c>
      <c r="W2545" s="64">
        <f>IF($A2545="","",IFERROR(INDEX(계정매핑!$D$5:$D$504,MATCH($F2545&amp;"",계정매핑!$A$5:$A$504,0)),"미매핑"))</f>
        <v/>
      </c>
      <c r="X2545" s="9">
        <f>IF($A2545="","",$F2545&amp;"")</f>
        <v/>
      </c>
      <c r="Y2545" s="94">
        <f>IF($A2545="",0,IF(AE2545="직접",IF(AF2545="비귀속",$P2545,0),$P2545*(1-AG2545)*IFERROR(INDEX(계정대체기준!$F$20:$F$49,MATCH($N2545,계정대체기준!$A$20:$A$49,0)),1)))</f>
        <v/>
      </c>
      <c r="Z2545" s="94">
        <f>IF($A2545="",0,IF(AE2545="직접",IF(AF2545="신계약비",$P2545,0),$P2545*(1-AG2545)*IFERROR(INDEX(계정대체기준!$C$20:$C$49,MATCH($N2545,계정대체기준!$A$20:$A$49,0)),0)))</f>
        <v/>
      </c>
      <c r="AA2545" s="94">
        <f>IF($A2545="",0,IF(AE2545="직접",IF(OR(AF2545="유지비",AF2545="손해조사비"),$P2545,0),$P2545*(1-AG2545)*IFERROR(INDEX(계정대체기준!$D$20:$D$49,MATCH($N2545,계정대체기준!$A$20:$A$49,0)),0)))</f>
        <v/>
      </c>
      <c r="AB2545" s="94">
        <f>IF($A2545="",0,IF(AE2545="직접",IF(AF2545="수금비",$P2545,0),$P2545*(1-AG2545)*IFERROR(INDEX(계정대체기준!$E$20:$E$49,MATCH($N2545,계정대체기준!$A$20:$A$49,0)),0)))</f>
        <v/>
      </c>
      <c r="AC2545" s="9">
        <f>IF(AND($A2545&lt;&gt;"",M2545=설정!$C$20,Z2545&gt;0),Z2545+ROW()/1000000000,"")</f>
        <v/>
      </c>
      <c r="AD2545" s="94">
        <f>IF($A2545="",0,$P2545*AG2545)</f>
        <v/>
      </c>
      <c r="AE2545" s="64">
        <f>IF($A2545="","",IFERROR(INDEX(계정매핑!$E$5:$E$504,MATCH($F2545&amp;"",계정매핑!$A$5:$A$504,0))&amp;"","공통비"))</f>
        <v/>
      </c>
      <c r="AF2545" s="64">
        <f>IF($A2545="","",IF(AE2545="직접",IFERROR(INDEX(계정매핑!$F$5:$F$504,MATCH($F2545&amp;"",계정매핑!$A$5:$A$504,0))&amp;"","비귀속"),""))</f>
        <v/>
      </c>
      <c r="AG2545" s="96">
        <f>IF($A2545="",0,IF(AND(AE2545&lt;&gt;"직접",IFERROR(INDEX(계정매핑!$G$5:$G$504,MATCH($F2545&amp;"",계정매핑!$A$5:$A$504,0))&amp;"","")="유지비",COUNTIF(계정대체기준!$A$6:$A$15,$N2545)&gt;0),IFERROR(INDEX(계정대체기준!$E$6:$E$15,MATCH(VALUE($A2545&amp;""),계정대체기준!$D$6:$D$15,0)),0),0))</f>
        <v/>
      </c>
      <c r="AH2545" s="64">
        <f>IF($A2545="","",IF(AD2545=0,"",IF(OR(COUNTIF(계정대체기준!$A$77:$A$86,$N2545)&gt;0,ISNUMBER(MATCH($X2545,계정대체기준!$D$77:$D$86,0)),ISNUMBER(MATCH($F2545,계정대체기준!$D$77:$D$86,0))),"Y","N")))</f>
        <v/>
      </c>
    </row>
    <row r="2546">
      <c r="A2546" s="92" t="n">
        <v>2025</v>
      </c>
      <c r="B2546" s="92" t="n">
        <v>12</v>
      </c>
      <c r="C2546" s="92" t="inlineStr">
        <is>
          <t>5100002542</t>
        </is>
      </c>
      <c r="D2546" s="95" t="n">
        <v>45998</v>
      </c>
      <c r="E2546" s="92" t="inlineStr">
        <is>
          <t>KR</t>
        </is>
      </c>
      <c r="F2546" s="92" t="n">
        <v>62401000</v>
      </c>
      <c r="G2546" s="92" t="n">
        <v>1401</v>
      </c>
      <c r="H2546" s="93" t="n">
        <v>162000</v>
      </c>
      <c r="I2546" s="92" t="inlineStr">
        <is>
          <t>12월 인쇄물 제작 - G인쇄</t>
        </is>
      </c>
      <c r="J2546" s="92" t="inlineStr">
        <is>
          <t>V10004</t>
        </is>
      </c>
      <c r="K2546" s="92" t="inlineStr">
        <is>
          <t>G인쇄</t>
        </is>
      </c>
      <c r="M2546" s="9">
        <f>IF($A2546="","",VALUE($A2546&amp;"")*12+VALUE($B2546&amp;""))</f>
        <v/>
      </c>
      <c r="N2546" s="64">
        <f>IF($A2546="","",IFERROR(INDEX(부서매핑!$C$5:$C$504,MATCH($G2546&amp;"",부서매핑!$A$5:$A$504,0)),"미매핑"))</f>
        <v/>
      </c>
      <c r="O2546" s="9">
        <f>IF($A2546="","",N2546&amp;"|"&amp;$F2546)</f>
        <v/>
      </c>
      <c r="P2546" s="94">
        <f>IF($A2546="",0,$H2546*설정!$C$23)</f>
        <v/>
      </c>
      <c r="Q2546" s="64">
        <f>IF($A2546="","",IF(O2546&lt;&gt;원인분석!$C$9,"",IF(AND(M2546&gt;=원인분석!$C$10,M2546&lt;=원인분석!$C$11),"당기",IF(AND(M2546&gt;=원인분석!$C$12,M2546&lt;=원인분석!$C$13),"비교",""))))</f>
        <v/>
      </c>
      <c r="R2546" s="9">
        <f>IF(Q2546="","",$K2546&amp;"")</f>
        <v/>
      </c>
      <c r="S2546" s="9">
        <f>IF(Q2546="","",IF(MATCH(R2546,$R$5:$R$100000,0)=ROW()-4,ROW(),""))</f>
        <v/>
      </c>
      <c r="T2546" s="9">
        <f>IF(Q2546="당기",ABS(P2546)+ROW()/1000000000,"")</f>
        <v/>
      </c>
      <c r="U2546" s="9">
        <f>IF(Q2546="비교",ABS(P2546)+ROW()/1000000000,"")</f>
        <v/>
      </c>
      <c r="V2546" s="64">
        <f>IF($A2546="","",IF(COUNTIF(변동분석!$E$7:$E$506,O2546)&gt;0,"Y","N"))</f>
        <v/>
      </c>
      <c r="W2546" s="64">
        <f>IF($A2546="","",IFERROR(INDEX(계정매핑!$D$5:$D$504,MATCH($F2546&amp;"",계정매핑!$A$5:$A$504,0)),"미매핑"))</f>
        <v/>
      </c>
      <c r="X2546" s="9">
        <f>IF($A2546="","",$F2546&amp;"")</f>
        <v/>
      </c>
      <c r="Y2546" s="94">
        <f>IF($A2546="",0,IF(AE2546="직접",IF(AF2546="비귀속",$P2546,0),$P2546*(1-AG2546)*IFERROR(INDEX(계정대체기준!$F$20:$F$49,MATCH($N2546,계정대체기준!$A$20:$A$49,0)),1)))</f>
        <v/>
      </c>
      <c r="Z2546" s="94">
        <f>IF($A2546="",0,IF(AE2546="직접",IF(AF2546="신계약비",$P2546,0),$P2546*(1-AG2546)*IFERROR(INDEX(계정대체기준!$C$20:$C$49,MATCH($N2546,계정대체기준!$A$20:$A$49,0)),0)))</f>
        <v/>
      </c>
      <c r="AA2546" s="94">
        <f>IF($A2546="",0,IF(AE2546="직접",IF(OR(AF2546="유지비",AF2546="손해조사비"),$P2546,0),$P2546*(1-AG2546)*IFERROR(INDEX(계정대체기준!$D$20:$D$49,MATCH($N2546,계정대체기준!$A$20:$A$49,0)),0)))</f>
        <v/>
      </c>
      <c r="AB2546" s="94">
        <f>IF($A2546="",0,IF(AE2546="직접",IF(AF2546="수금비",$P2546,0),$P2546*(1-AG2546)*IFERROR(INDEX(계정대체기준!$E$20:$E$49,MATCH($N2546,계정대체기준!$A$20:$A$49,0)),0)))</f>
        <v/>
      </c>
      <c r="AC2546" s="9">
        <f>IF(AND($A2546&lt;&gt;"",M2546=설정!$C$20,Z2546&gt;0),Z2546+ROW()/1000000000,"")</f>
        <v/>
      </c>
      <c r="AD2546" s="94">
        <f>IF($A2546="",0,$P2546*AG2546)</f>
        <v/>
      </c>
      <c r="AE2546" s="64">
        <f>IF($A2546="","",IFERROR(INDEX(계정매핑!$E$5:$E$504,MATCH($F2546&amp;"",계정매핑!$A$5:$A$504,0))&amp;"","공통비"))</f>
        <v/>
      </c>
      <c r="AF2546" s="64">
        <f>IF($A2546="","",IF(AE2546="직접",IFERROR(INDEX(계정매핑!$F$5:$F$504,MATCH($F2546&amp;"",계정매핑!$A$5:$A$504,0))&amp;"","비귀속"),""))</f>
        <v/>
      </c>
      <c r="AG2546" s="96">
        <f>IF($A2546="",0,IF(AND(AE2546&lt;&gt;"직접",IFERROR(INDEX(계정매핑!$G$5:$G$504,MATCH($F2546&amp;"",계정매핑!$A$5:$A$504,0))&amp;"","")="유지비",COUNTIF(계정대체기준!$A$6:$A$15,$N2546)&gt;0),IFERROR(INDEX(계정대체기준!$E$6:$E$15,MATCH(VALUE($A2546&amp;""),계정대체기준!$D$6:$D$15,0)),0),0))</f>
        <v/>
      </c>
      <c r="AH2546" s="64">
        <f>IF($A2546="","",IF(AD2546=0,"",IF(OR(COUNTIF(계정대체기준!$A$77:$A$86,$N2546)&gt;0,ISNUMBER(MATCH($X2546,계정대체기준!$D$77:$D$86,0)),ISNUMBER(MATCH($F2546,계정대체기준!$D$77:$D$86,0))),"Y","N")))</f>
        <v/>
      </c>
    </row>
    <row r="2547">
      <c r="A2547" s="92" t="n">
        <v>2025</v>
      </c>
      <c r="B2547" s="92" t="n">
        <v>12</v>
      </c>
      <c r="C2547" s="92" t="inlineStr">
        <is>
          <t>5100002543</t>
        </is>
      </c>
      <c r="D2547" s="95" t="n">
        <v>45998</v>
      </c>
      <c r="E2547" s="92" t="inlineStr">
        <is>
          <t>KR</t>
        </is>
      </c>
      <c r="F2547" s="92" t="n">
        <v>62501000</v>
      </c>
      <c r="G2547" s="92" t="n">
        <v>1401</v>
      </c>
      <c r="H2547" s="93" t="n">
        <v>183000</v>
      </c>
      <c r="I2547" s="92" t="inlineStr">
        <is>
          <t>12월 회의 다과 - (법인카드)</t>
        </is>
      </c>
      <c r="J2547" s="92" t="inlineStr">
        <is>
          <t>V10010</t>
        </is>
      </c>
      <c r="K2547" s="92" t="inlineStr">
        <is>
          <t>(법인카드)</t>
        </is>
      </c>
      <c r="M2547" s="9">
        <f>IF($A2547="","",VALUE($A2547&amp;"")*12+VALUE($B2547&amp;""))</f>
        <v/>
      </c>
      <c r="N2547" s="64">
        <f>IF($A2547="","",IFERROR(INDEX(부서매핑!$C$5:$C$504,MATCH($G2547&amp;"",부서매핑!$A$5:$A$504,0)),"미매핑"))</f>
        <v/>
      </c>
      <c r="O2547" s="9">
        <f>IF($A2547="","",N2547&amp;"|"&amp;$F2547)</f>
        <v/>
      </c>
      <c r="P2547" s="94">
        <f>IF($A2547="",0,$H2547*설정!$C$23)</f>
        <v/>
      </c>
      <c r="Q2547" s="64">
        <f>IF($A2547="","",IF(O2547&lt;&gt;원인분석!$C$9,"",IF(AND(M2547&gt;=원인분석!$C$10,M2547&lt;=원인분석!$C$11),"당기",IF(AND(M2547&gt;=원인분석!$C$12,M2547&lt;=원인분석!$C$13),"비교",""))))</f>
        <v/>
      </c>
      <c r="R2547" s="9">
        <f>IF(Q2547="","",$K2547&amp;"")</f>
        <v/>
      </c>
      <c r="S2547" s="9">
        <f>IF(Q2547="","",IF(MATCH(R2547,$R$5:$R$100000,0)=ROW()-4,ROW(),""))</f>
        <v/>
      </c>
      <c r="T2547" s="9">
        <f>IF(Q2547="당기",ABS(P2547)+ROW()/1000000000,"")</f>
        <v/>
      </c>
      <c r="U2547" s="9">
        <f>IF(Q2547="비교",ABS(P2547)+ROW()/1000000000,"")</f>
        <v/>
      </c>
      <c r="V2547" s="64">
        <f>IF($A2547="","",IF(COUNTIF(변동분석!$E$7:$E$506,O2547)&gt;0,"Y","N"))</f>
        <v/>
      </c>
      <c r="W2547" s="64">
        <f>IF($A2547="","",IFERROR(INDEX(계정매핑!$D$5:$D$504,MATCH($F2547&amp;"",계정매핑!$A$5:$A$504,0)),"미매핑"))</f>
        <v/>
      </c>
      <c r="X2547" s="9">
        <f>IF($A2547="","",$F2547&amp;"")</f>
        <v/>
      </c>
      <c r="Y2547" s="94">
        <f>IF($A2547="",0,IF(AE2547="직접",IF(AF2547="비귀속",$P2547,0),$P2547*(1-AG2547)*IFERROR(INDEX(계정대체기준!$F$20:$F$49,MATCH($N2547,계정대체기준!$A$20:$A$49,0)),1)))</f>
        <v/>
      </c>
      <c r="Z2547" s="94">
        <f>IF($A2547="",0,IF(AE2547="직접",IF(AF2547="신계약비",$P2547,0),$P2547*(1-AG2547)*IFERROR(INDEX(계정대체기준!$C$20:$C$49,MATCH($N2547,계정대체기준!$A$20:$A$49,0)),0)))</f>
        <v/>
      </c>
      <c r="AA2547" s="94">
        <f>IF($A2547="",0,IF(AE2547="직접",IF(OR(AF2547="유지비",AF2547="손해조사비"),$P2547,0),$P2547*(1-AG2547)*IFERROR(INDEX(계정대체기준!$D$20:$D$49,MATCH($N2547,계정대체기준!$A$20:$A$49,0)),0)))</f>
        <v/>
      </c>
      <c r="AB2547" s="94">
        <f>IF($A2547="",0,IF(AE2547="직접",IF(AF2547="수금비",$P2547,0),$P2547*(1-AG2547)*IFERROR(INDEX(계정대체기준!$E$20:$E$49,MATCH($N2547,계정대체기준!$A$20:$A$49,0)),0)))</f>
        <v/>
      </c>
      <c r="AC2547" s="9">
        <f>IF(AND($A2547&lt;&gt;"",M2547=설정!$C$20,Z2547&gt;0),Z2547+ROW()/1000000000,"")</f>
        <v/>
      </c>
      <c r="AD2547" s="94">
        <f>IF($A2547="",0,$P2547*AG2547)</f>
        <v/>
      </c>
      <c r="AE2547" s="64">
        <f>IF($A2547="","",IFERROR(INDEX(계정매핑!$E$5:$E$504,MATCH($F2547&amp;"",계정매핑!$A$5:$A$504,0))&amp;"","공통비"))</f>
        <v/>
      </c>
      <c r="AF2547" s="64">
        <f>IF($A2547="","",IF(AE2547="직접",IFERROR(INDEX(계정매핑!$F$5:$F$504,MATCH($F2547&amp;"",계정매핑!$A$5:$A$504,0))&amp;"","비귀속"),""))</f>
        <v/>
      </c>
      <c r="AG2547" s="96">
        <f>IF($A2547="",0,IF(AND(AE2547&lt;&gt;"직접",IFERROR(INDEX(계정매핑!$G$5:$G$504,MATCH($F2547&amp;"",계정매핑!$A$5:$A$504,0))&amp;"","")="유지비",COUNTIF(계정대체기준!$A$6:$A$15,$N2547)&gt;0),IFERROR(INDEX(계정대체기준!$E$6:$E$15,MATCH(VALUE($A2547&amp;""),계정대체기준!$D$6:$D$15,0)),0),0))</f>
        <v/>
      </c>
      <c r="AH2547" s="64">
        <f>IF($A2547="","",IF(AD2547=0,"",IF(OR(COUNTIF(계정대체기준!$A$77:$A$86,$N2547)&gt;0,ISNUMBER(MATCH($X2547,계정대체기준!$D$77:$D$86,0)),ISNUMBER(MATCH($F2547,계정대체기준!$D$77:$D$86,0))),"Y","N")))</f>
        <v/>
      </c>
    </row>
    <row r="2548">
      <c r="A2548" s="92" t="n">
        <v>2025</v>
      </c>
      <c r="B2548" s="92" t="n">
        <v>12</v>
      </c>
      <c r="C2548" s="92" t="inlineStr">
        <is>
          <t>5100002544</t>
        </is>
      </c>
      <c r="D2548" s="95" t="n">
        <v>45998</v>
      </c>
      <c r="E2548" s="92" t="inlineStr">
        <is>
          <t>KR</t>
        </is>
      </c>
      <c r="F2548" s="92" t="n">
        <v>62701000</v>
      </c>
      <c r="G2548" s="92" t="n">
        <v>1501</v>
      </c>
      <c r="H2548" s="93" t="n">
        <v>71423000</v>
      </c>
      <c r="I2548" s="92" t="inlineStr">
        <is>
          <t>12월 광고 집행 - F애드</t>
        </is>
      </c>
      <c r="J2548" s="92" t="inlineStr">
        <is>
          <t>V10023</t>
        </is>
      </c>
      <c r="K2548" s="92" t="inlineStr">
        <is>
          <t>F애드</t>
        </is>
      </c>
      <c r="M2548" s="9">
        <f>IF($A2548="","",VALUE($A2548&amp;"")*12+VALUE($B2548&amp;""))</f>
        <v/>
      </c>
      <c r="N2548" s="64">
        <f>IF($A2548="","",IFERROR(INDEX(부서매핑!$C$5:$C$504,MATCH($G2548&amp;"",부서매핑!$A$5:$A$504,0)),"미매핑"))</f>
        <v/>
      </c>
      <c r="O2548" s="9">
        <f>IF($A2548="","",N2548&amp;"|"&amp;$F2548)</f>
        <v/>
      </c>
      <c r="P2548" s="94">
        <f>IF($A2548="",0,$H2548*설정!$C$23)</f>
        <v/>
      </c>
      <c r="Q2548" s="64">
        <f>IF($A2548="","",IF(O2548&lt;&gt;원인분석!$C$9,"",IF(AND(M2548&gt;=원인분석!$C$10,M2548&lt;=원인분석!$C$11),"당기",IF(AND(M2548&gt;=원인분석!$C$12,M2548&lt;=원인분석!$C$13),"비교",""))))</f>
        <v/>
      </c>
      <c r="R2548" s="9">
        <f>IF(Q2548="","",$K2548&amp;"")</f>
        <v/>
      </c>
      <c r="S2548" s="9">
        <f>IF(Q2548="","",IF(MATCH(R2548,$R$5:$R$100000,0)=ROW()-4,ROW(),""))</f>
        <v/>
      </c>
      <c r="T2548" s="9">
        <f>IF(Q2548="당기",ABS(P2548)+ROW()/1000000000,"")</f>
        <v/>
      </c>
      <c r="U2548" s="9">
        <f>IF(Q2548="비교",ABS(P2548)+ROW()/1000000000,"")</f>
        <v/>
      </c>
      <c r="V2548" s="64">
        <f>IF($A2548="","",IF(COUNTIF(변동분석!$E$7:$E$506,O2548)&gt;0,"Y","N"))</f>
        <v/>
      </c>
      <c r="W2548" s="64">
        <f>IF($A2548="","",IFERROR(INDEX(계정매핑!$D$5:$D$504,MATCH($F2548&amp;"",계정매핑!$A$5:$A$504,0)),"미매핑"))</f>
        <v/>
      </c>
      <c r="X2548" s="9">
        <f>IF($A2548="","",$F2548&amp;"")</f>
        <v/>
      </c>
      <c r="Y2548" s="94">
        <f>IF($A2548="",0,IF(AE2548="직접",IF(AF2548="비귀속",$P2548,0),$P2548*(1-AG2548)*IFERROR(INDEX(계정대체기준!$F$20:$F$49,MATCH($N2548,계정대체기준!$A$20:$A$49,0)),1)))</f>
        <v/>
      </c>
      <c r="Z2548" s="94">
        <f>IF($A2548="",0,IF(AE2548="직접",IF(AF2548="신계약비",$P2548,0),$P2548*(1-AG2548)*IFERROR(INDEX(계정대체기준!$C$20:$C$49,MATCH($N2548,계정대체기준!$A$20:$A$49,0)),0)))</f>
        <v/>
      </c>
      <c r="AA2548" s="94">
        <f>IF($A2548="",0,IF(AE2548="직접",IF(OR(AF2548="유지비",AF2548="손해조사비"),$P2548,0),$P2548*(1-AG2548)*IFERROR(INDEX(계정대체기준!$D$20:$D$49,MATCH($N2548,계정대체기준!$A$20:$A$49,0)),0)))</f>
        <v/>
      </c>
      <c r="AB2548" s="94">
        <f>IF($A2548="",0,IF(AE2548="직접",IF(AF2548="수금비",$P2548,0),$P2548*(1-AG2548)*IFERROR(INDEX(계정대체기준!$E$20:$E$49,MATCH($N2548,계정대체기준!$A$20:$A$49,0)),0)))</f>
        <v/>
      </c>
      <c r="AC2548" s="9">
        <f>IF(AND($A2548&lt;&gt;"",M2548=설정!$C$20,Z2548&gt;0),Z2548+ROW()/1000000000,"")</f>
        <v/>
      </c>
      <c r="AD2548" s="94">
        <f>IF($A2548="",0,$P2548*AG2548)</f>
        <v/>
      </c>
      <c r="AE2548" s="64">
        <f>IF($A2548="","",IFERROR(INDEX(계정매핑!$E$5:$E$504,MATCH($F2548&amp;"",계정매핑!$A$5:$A$504,0))&amp;"","공통비"))</f>
        <v/>
      </c>
      <c r="AF2548" s="64">
        <f>IF($A2548="","",IF(AE2548="직접",IFERROR(INDEX(계정매핑!$F$5:$F$504,MATCH($F2548&amp;"",계정매핑!$A$5:$A$504,0))&amp;"","비귀속"),""))</f>
        <v/>
      </c>
      <c r="AG2548" s="96">
        <f>IF($A2548="",0,IF(AND(AE2548&lt;&gt;"직접",IFERROR(INDEX(계정매핑!$G$5:$G$504,MATCH($F2548&amp;"",계정매핑!$A$5:$A$504,0))&amp;"","")="유지비",COUNTIF(계정대체기준!$A$6:$A$15,$N2548)&gt;0),IFERROR(INDEX(계정대체기준!$E$6:$E$15,MATCH(VALUE($A2548&amp;""),계정대체기준!$D$6:$D$15,0)),0),0))</f>
        <v/>
      </c>
      <c r="AH2548" s="64">
        <f>IF($A2548="","",IF(AD2548=0,"",IF(OR(COUNTIF(계정대체기준!$A$77:$A$86,$N2548)&gt;0,ISNUMBER(MATCH($X2548,계정대체기준!$D$77:$D$86,0)),ISNUMBER(MATCH($F2548,계정대체기준!$D$77:$D$86,0))),"Y","N")))</f>
        <v/>
      </c>
    </row>
    <row r="2549">
      <c r="A2549" s="92" t="n">
        <v>2025</v>
      </c>
      <c r="B2549" s="92" t="n">
        <v>12</v>
      </c>
      <c r="C2549" s="92" t="inlineStr">
        <is>
          <t>5100002545</t>
        </is>
      </c>
      <c r="D2549" s="95" t="n">
        <v>45998</v>
      </c>
      <c r="E2549" s="92" t="inlineStr">
        <is>
          <t>KR</t>
        </is>
      </c>
      <c r="F2549" s="92" t="n">
        <v>62901000</v>
      </c>
      <c r="G2549" s="92" t="n">
        <v>1401</v>
      </c>
      <c r="H2549" s="93" t="n">
        <v>7396000</v>
      </c>
      <c r="I2549" s="92" t="inlineStr">
        <is>
          <t>12월 자문 수수료 - W컨설팅</t>
        </is>
      </c>
      <c r="J2549" s="92" t="inlineStr">
        <is>
          <t>V10006</t>
        </is>
      </c>
      <c r="K2549" s="92" t="inlineStr">
        <is>
          <t>W컨설팅</t>
        </is>
      </c>
      <c r="M2549" s="9">
        <f>IF($A2549="","",VALUE($A2549&amp;"")*12+VALUE($B2549&amp;""))</f>
        <v/>
      </c>
      <c r="N2549" s="64">
        <f>IF($A2549="","",IFERROR(INDEX(부서매핑!$C$5:$C$504,MATCH($G2549&amp;"",부서매핑!$A$5:$A$504,0)),"미매핑"))</f>
        <v/>
      </c>
      <c r="O2549" s="9">
        <f>IF($A2549="","",N2549&amp;"|"&amp;$F2549)</f>
        <v/>
      </c>
      <c r="P2549" s="94">
        <f>IF($A2549="",0,$H2549*설정!$C$23)</f>
        <v/>
      </c>
      <c r="Q2549" s="64">
        <f>IF($A2549="","",IF(O2549&lt;&gt;원인분석!$C$9,"",IF(AND(M2549&gt;=원인분석!$C$10,M2549&lt;=원인분석!$C$11),"당기",IF(AND(M2549&gt;=원인분석!$C$12,M2549&lt;=원인분석!$C$13),"비교",""))))</f>
        <v/>
      </c>
      <c r="R2549" s="9">
        <f>IF(Q2549="","",$K2549&amp;"")</f>
        <v/>
      </c>
      <c r="S2549" s="9">
        <f>IF(Q2549="","",IF(MATCH(R2549,$R$5:$R$100000,0)=ROW()-4,ROW(),""))</f>
        <v/>
      </c>
      <c r="T2549" s="9">
        <f>IF(Q2549="당기",ABS(P2549)+ROW()/1000000000,"")</f>
        <v/>
      </c>
      <c r="U2549" s="9">
        <f>IF(Q2549="비교",ABS(P2549)+ROW()/1000000000,"")</f>
        <v/>
      </c>
      <c r="V2549" s="64">
        <f>IF($A2549="","",IF(COUNTIF(변동분석!$E$7:$E$506,O2549)&gt;0,"Y","N"))</f>
        <v/>
      </c>
      <c r="W2549" s="64">
        <f>IF($A2549="","",IFERROR(INDEX(계정매핑!$D$5:$D$504,MATCH($F2549&amp;"",계정매핑!$A$5:$A$504,0)),"미매핑"))</f>
        <v/>
      </c>
      <c r="X2549" s="9">
        <f>IF($A2549="","",$F2549&amp;"")</f>
        <v/>
      </c>
      <c r="Y2549" s="94">
        <f>IF($A2549="",0,IF(AE2549="직접",IF(AF2549="비귀속",$P2549,0),$P2549*(1-AG2549)*IFERROR(INDEX(계정대체기준!$F$20:$F$49,MATCH($N2549,계정대체기준!$A$20:$A$49,0)),1)))</f>
        <v/>
      </c>
      <c r="Z2549" s="94">
        <f>IF($A2549="",0,IF(AE2549="직접",IF(AF2549="신계약비",$P2549,0),$P2549*(1-AG2549)*IFERROR(INDEX(계정대체기준!$C$20:$C$49,MATCH($N2549,계정대체기준!$A$20:$A$49,0)),0)))</f>
        <v/>
      </c>
      <c r="AA2549" s="94">
        <f>IF($A2549="",0,IF(AE2549="직접",IF(OR(AF2549="유지비",AF2549="손해조사비"),$P2549,0),$P2549*(1-AG2549)*IFERROR(INDEX(계정대체기준!$D$20:$D$49,MATCH($N2549,계정대체기준!$A$20:$A$49,0)),0)))</f>
        <v/>
      </c>
      <c r="AB2549" s="94">
        <f>IF($A2549="",0,IF(AE2549="직접",IF(AF2549="수금비",$P2549,0),$P2549*(1-AG2549)*IFERROR(INDEX(계정대체기준!$E$20:$E$49,MATCH($N2549,계정대체기준!$A$20:$A$49,0)),0)))</f>
        <v/>
      </c>
      <c r="AC2549" s="9">
        <f>IF(AND($A2549&lt;&gt;"",M2549=설정!$C$20,Z2549&gt;0),Z2549+ROW()/1000000000,"")</f>
        <v/>
      </c>
      <c r="AD2549" s="94">
        <f>IF($A2549="",0,$P2549*AG2549)</f>
        <v/>
      </c>
      <c r="AE2549" s="64">
        <f>IF($A2549="","",IFERROR(INDEX(계정매핑!$E$5:$E$504,MATCH($F2549&amp;"",계정매핑!$A$5:$A$504,0))&amp;"","공통비"))</f>
        <v/>
      </c>
      <c r="AF2549" s="64">
        <f>IF($A2549="","",IF(AE2549="직접",IFERROR(INDEX(계정매핑!$F$5:$F$504,MATCH($F2549&amp;"",계정매핑!$A$5:$A$504,0))&amp;"","비귀속"),""))</f>
        <v/>
      </c>
      <c r="AG2549" s="96">
        <f>IF($A2549="",0,IF(AND(AE2549&lt;&gt;"직접",IFERROR(INDEX(계정매핑!$G$5:$G$504,MATCH($F2549&amp;"",계정매핑!$A$5:$A$504,0))&amp;"","")="유지비",COUNTIF(계정대체기준!$A$6:$A$15,$N2549)&gt;0),IFERROR(INDEX(계정대체기준!$E$6:$E$15,MATCH(VALUE($A2549&amp;""),계정대체기준!$D$6:$D$15,0)),0),0))</f>
        <v/>
      </c>
      <c r="AH2549" s="64">
        <f>IF($A2549="","",IF(AD2549=0,"",IF(OR(COUNTIF(계정대체기준!$A$77:$A$86,$N2549)&gt;0,ISNUMBER(MATCH($X2549,계정대체기준!$D$77:$D$86,0)),ISNUMBER(MATCH($F2549,계정대체기준!$D$77:$D$86,0))),"Y","N")))</f>
        <v/>
      </c>
    </row>
    <row r="2550">
      <c r="A2550" s="92" t="n">
        <v>2025</v>
      </c>
      <c r="B2550" s="92" t="n">
        <v>12</v>
      </c>
      <c r="C2550" s="92" t="inlineStr">
        <is>
          <t>5100002546</t>
        </is>
      </c>
      <c r="D2550" s="95" t="n">
        <v>45998</v>
      </c>
      <c r="E2550" s="92" t="inlineStr">
        <is>
          <t>KR</t>
        </is>
      </c>
      <c r="F2550" s="92" t="n">
        <v>63501000</v>
      </c>
      <c r="G2550" s="92" t="n">
        <v>1901</v>
      </c>
      <c r="H2550" s="93" t="n">
        <v>287713000</v>
      </c>
      <c r="I2550" s="92" t="inlineStr">
        <is>
          <t>12월 모집수수료 - BB에셋</t>
        </is>
      </c>
      <c r="J2550" s="92" t="inlineStr">
        <is>
          <t>V10013</t>
        </is>
      </c>
      <c r="K2550" s="92" t="inlineStr">
        <is>
          <t>BB에셋</t>
        </is>
      </c>
      <c r="M2550" s="9">
        <f>IF($A2550="","",VALUE($A2550&amp;"")*12+VALUE($B2550&amp;""))</f>
        <v/>
      </c>
      <c r="N2550" s="64">
        <f>IF($A2550="","",IFERROR(INDEX(부서매핑!$C$5:$C$504,MATCH($G2550&amp;"",부서매핑!$A$5:$A$504,0)),"미매핑"))</f>
        <v/>
      </c>
      <c r="O2550" s="9">
        <f>IF($A2550="","",N2550&amp;"|"&amp;$F2550)</f>
        <v/>
      </c>
      <c r="P2550" s="94">
        <f>IF($A2550="",0,$H2550*설정!$C$23)</f>
        <v/>
      </c>
      <c r="Q2550" s="64">
        <f>IF($A2550="","",IF(O2550&lt;&gt;원인분석!$C$9,"",IF(AND(M2550&gt;=원인분석!$C$10,M2550&lt;=원인분석!$C$11),"당기",IF(AND(M2550&gt;=원인분석!$C$12,M2550&lt;=원인분석!$C$13),"비교",""))))</f>
        <v/>
      </c>
      <c r="R2550" s="9">
        <f>IF(Q2550="","",$K2550&amp;"")</f>
        <v/>
      </c>
      <c r="S2550" s="9">
        <f>IF(Q2550="","",IF(MATCH(R2550,$R$5:$R$100000,0)=ROW()-4,ROW(),""))</f>
        <v/>
      </c>
      <c r="T2550" s="9">
        <f>IF(Q2550="당기",ABS(P2550)+ROW()/1000000000,"")</f>
        <v/>
      </c>
      <c r="U2550" s="9">
        <f>IF(Q2550="비교",ABS(P2550)+ROW()/1000000000,"")</f>
        <v/>
      </c>
      <c r="V2550" s="64">
        <f>IF($A2550="","",IF(COUNTIF(변동분석!$E$7:$E$506,O2550)&gt;0,"Y","N"))</f>
        <v/>
      </c>
      <c r="W2550" s="64">
        <f>IF($A2550="","",IFERROR(INDEX(계정매핑!$D$5:$D$504,MATCH($F2550&amp;"",계정매핑!$A$5:$A$504,0)),"미매핑"))</f>
        <v/>
      </c>
      <c r="X2550" s="9">
        <f>IF($A2550="","",$F2550&amp;"")</f>
        <v/>
      </c>
      <c r="Y2550" s="94">
        <f>IF($A2550="",0,IF(AE2550="직접",IF(AF2550="비귀속",$P2550,0),$P2550*(1-AG2550)*IFERROR(INDEX(계정대체기준!$F$20:$F$49,MATCH($N2550,계정대체기준!$A$20:$A$49,0)),1)))</f>
        <v/>
      </c>
      <c r="Z2550" s="94">
        <f>IF($A2550="",0,IF(AE2550="직접",IF(AF2550="신계약비",$P2550,0),$P2550*(1-AG2550)*IFERROR(INDEX(계정대체기준!$C$20:$C$49,MATCH($N2550,계정대체기준!$A$20:$A$49,0)),0)))</f>
        <v/>
      </c>
      <c r="AA2550" s="94">
        <f>IF($A2550="",0,IF(AE2550="직접",IF(OR(AF2550="유지비",AF2550="손해조사비"),$P2550,0),$P2550*(1-AG2550)*IFERROR(INDEX(계정대체기준!$D$20:$D$49,MATCH($N2550,계정대체기준!$A$20:$A$49,0)),0)))</f>
        <v/>
      </c>
      <c r="AB2550" s="94">
        <f>IF($A2550="",0,IF(AE2550="직접",IF(AF2550="수금비",$P2550,0),$P2550*(1-AG2550)*IFERROR(INDEX(계정대체기준!$E$20:$E$49,MATCH($N2550,계정대체기준!$A$20:$A$49,0)),0)))</f>
        <v/>
      </c>
      <c r="AC2550" s="9">
        <f>IF(AND($A2550&lt;&gt;"",M2550=설정!$C$20,Z2550&gt;0),Z2550+ROW()/1000000000,"")</f>
        <v/>
      </c>
      <c r="AD2550" s="94">
        <f>IF($A2550="",0,$P2550*AG2550)</f>
        <v/>
      </c>
      <c r="AE2550" s="64">
        <f>IF($A2550="","",IFERROR(INDEX(계정매핑!$E$5:$E$504,MATCH($F2550&amp;"",계정매핑!$A$5:$A$504,0))&amp;"","공통비"))</f>
        <v/>
      </c>
      <c r="AF2550" s="64">
        <f>IF($A2550="","",IF(AE2550="직접",IFERROR(INDEX(계정매핑!$F$5:$F$504,MATCH($F2550&amp;"",계정매핑!$A$5:$A$504,0))&amp;"","비귀속"),""))</f>
        <v/>
      </c>
      <c r="AG2550" s="96">
        <f>IF($A2550="",0,IF(AND(AE2550&lt;&gt;"직접",IFERROR(INDEX(계정매핑!$G$5:$G$504,MATCH($F2550&amp;"",계정매핑!$A$5:$A$504,0))&amp;"","")="유지비",COUNTIF(계정대체기준!$A$6:$A$15,$N2550)&gt;0),IFERROR(INDEX(계정대체기준!$E$6:$E$15,MATCH(VALUE($A2550&amp;""),계정대체기준!$D$6:$D$15,0)),0),0))</f>
        <v/>
      </c>
      <c r="AH2550" s="64">
        <f>IF($A2550="","",IF(AD2550=0,"",IF(OR(COUNTIF(계정대체기준!$A$77:$A$86,$N2550)&gt;0,ISNUMBER(MATCH($X2550,계정대체기준!$D$77:$D$86,0)),ISNUMBER(MATCH($F2550,계정대체기준!$D$77:$D$86,0))),"Y","N")))</f>
        <v/>
      </c>
    </row>
    <row r="2551">
      <c r="A2551" s="92" t="n">
        <v>2025</v>
      </c>
      <c r="B2551" s="92" t="n">
        <v>12</v>
      </c>
      <c r="C2551" s="92" t="inlineStr">
        <is>
          <t>5100002547</t>
        </is>
      </c>
      <c r="D2551" s="95" t="n">
        <v>45999</v>
      </c>
      <c r="E2551" s="92" t="inlineStr">
        <is>
          <t>KR</t>
        </is>
      </c>
      <c r="F2551" s="92" t="n">
        <v>62201000</v>
      </c>
      <c r="G2551" s="92" t="n">
        <v>1601</v>
      </c>
      <c r="H2551" s="93" t="n">
        <v>584000</v>
      </c>
      <c r="I2551" s="92" t="inlineStr">
        <is>
          <t>12월 통신요금 - O텔레콤</t>
        </is>
      </c>
      <c r="J2551" s="92" t="inlineStr">
        <is>
          <t>V10002</t>
        </is>
      </c>
      <c r="K2551" s="92" t="inlineStr">
        <is>
          <t>O텔레콤</t>
        </is>
      </c>
      <c r="M2551" s="9">
        <f>IF($A2551="","",VALUE($A2551&amp;"")*12+VALUE($B2551&amp;""))</f>
        <v/>
      </c>
      <c r="N2551" s="64">
        <f>IF($A2551="","",IFERROR(INDEX(부서매핑!$C$5:$C$504,MATCH($G2551&amp;"",부서매핑!$A$5:$A$504,0)),"미매핑"))</f>
        <v/>
      </c>
      <c r="O2551" s="9">
        <f>IF($A2551="","",N2551&amp;"|"&amp;$F2551)</f>
        <v/>
      </c>
      <c r="P2551" s="94">
        <f>IF($A2551="",0,$H2551*설정!$C$23)</f>
        <v/>
      </c>
      <c r="Q2551" s="64">
        <f>IF($A2551="","",IF(O2551&lt;&gt;원인분석!$C$9,"",IF(AND(M2551&gt;=원인분석!$C$10,M2551&lt;=원인분석!$C$11),"당기",IF(AND(M2551&gt;=원인분석!$C$12,M2551&lt;=원인분석!$C$13),"비교",""))))</f>
        <v/>
      </c>
      <c r="R2551" s="9">
        <f>IF(Q2551="","",$K2551&amp;"")</f>
        <v/>
      </c>
      <c r="S2551" s="9">
        <f>IF(Q2551="","",IF(MATCH(R2551,$R$5:$R$100000,0)=ROW()-4,ROW(),""))</f>
        <v/>
      </c>
      <c r="T2551" s="9">
        <f>IF(Q2551="당기",ABS(P2551)+ROW()/1000000000,"")</f>
        <v/>
      </c>
      <c r="U2551" s="9">
        <f>IF(Q2551="비교",ABS(P2551)+ROW()/1000000000,"")</f>
        <v/>
      </c>
      <c r="V2551" s="64">
        <f>IF($A2551="","",IF(COUNTIF(변동분석!$E$7:$E$506,O2551)&gt;0,"Y","N"))</f>
        <v/>
      </c>
      <c r="W2551" s="64">
        <f>IF($A2551="","",IFERROR(INDEX(계정매핑!$D$5:$D$504,MATCH($F2551&amp;"",계정매핑!$A$5:$A$504,0)),"미매핑"))</f>
        <v/>
      </c>
      <c r="X2551" s="9">
        <f>IF($A2551="","",$F2551&amp;"")</f>
        <v/>
      </c>
      <c r="Y2551" s="94">
        <f>IF($A2551="",0,IF(AE2551="직접",IF(AF2551="비귀속",$P2551,0),$P2551*(1-AG2551)*IFERROR(INDEX(계정대체기준!$F$20:$F$49,MATCH($N2551,계정대체기준!$A$20:$A$49,0)),1)))</f>
        <v/>
      </c>
      <c r="Z2551" s="94">
        <f>IF($A2551="",0,IF(AE2551="직접",IF(AF2551="신계약비",$P2551,0),$P2551*(1-AG2551)*IFERROR(INDEX(계정대체기준!$C$20:$C$49,MATCH($N2551,계정대체기준!$A$20:$A$49,0)),0)))</f>
        <v/>
      </c>
      <c r="AA2551" s="94">
        <f>IF($A2551="",0,IF(AE2551="직접",IF(OR(AF2551="유지비",AF2551="손해조사비"),$P2551,0),$P2551*(1-AG2551)*IFERROR(INDEX(계정대체기준!$D$20:$D$49,MATCH($N2551,계정대체기준!$A$20:$A$49,0)),0)))</f>
        <v/>
      </c>
      <c r="AB2551" s="94">
        <f>IF($A2551="",0,IF(AE2551="직접",IF(AF2551="수금비",$P2551,0),$P2551*(1-AG2551)*IFERROR(INDEX(계정대체기준!$E$20:$E$49,MATCH($N2551,계정대체기준!$A$20:$A$49,0)),0)))</f>
        <v/>
      </c>
      <c r="AC2551" s="9">
        <f>IF(AND($A2551&lt;&gt;"",M2551=설정!$C$20,Z2551&gt;0),Z2551+ROW()/1000000000,"")</f>
        <v/>
      </c>
      <c r="AD2551" s="94">
        <f>IF($A2551="",0,$P2551*AG2551)</f>
        <v/>
      </c>
      <c r="AE2551" s="64">
        <f>IF($A2551="","",IFERROR(INDEX(계정매핑!$E$5:$E$504,MATCH($F2551&amp;"",계정매핑!$A$5:$A$504,0))&amp;"","공통비"))</f>
        <v/>
      </c>
      <c r="AF2551" s="64">
        <f>IF($A2551="","",IF(AE2551="직접",IFERROR(INDEX(계정매핑!$F$5:$F$504,MATCH($F2551&amp;"",계정매핑!$A$5:$A$504,0))&amp;"","비귀속"),""))</f>
        <v/>
      </c>
      <c r="AG2551" s="96">
        <f>IF($A2551="",0,IF(AND(AE2551&lt;&gt;"직접",IFERROR(INDEX(계정매핑!$G$5:$G$504,MATCH($F2551&amp;"",계정매핑!$A$5:$A$504,0))&amp;"","")="유지비",COUNTIF(계정대체기준!$A$6:$A$15,$N2551)&gt;0),IFERROR(INDEX(계정대체기준!$E$6:$E$15,MATCH(VALUE($A2551&amp;""),계정대체기준!$D$6:$D$15,0)),0),0))</f>
        <v/>
      </c>
      <c r="AH2551" s="64">
        <f>IF($A2551="","",IF(AD2551=0,"",IF(OR(COUNTIF(계정대체기준!$A$77:$A$86,$N2551)&gt;0,ISNUMBER(MATCH($X2551,계정대체기준!$D$77:$D$86,0)),ISNUMBER(MATCH($F2551,계정대체기준!$D$77:$D$86,0))),"Y","N")))</f>
        <v/>
      </c>
    </row>
    <row r="2552">
      <c r="A2552" s="92" t="n">
        <v>2025</v>
      </c>
      <c r="B2552" s="92" t="n">
        <v>12</v>
      </c>
      <c r="C2552" s="92" t="inlineStr">
        <is>
          <t>5100002548</t>
        </is>
      </c>
      <c r="D2552" s="95" t="n">
        <v>45999</v>
      </c>
      <c r="E2552" s="92" t="inlineStr">
        <is>
          <t>KR</t>
        </is>
      </c>
      <c r="F2552" s="92" t="n">
        <v>62201000</v>
      </c>
      <c r="G2552" s="92" t="n">
        <v>1801</v>
      </c>
      <c r="H2552" s="93" t="n">
        <v>8550000</v>
      </c>
      <c r="I2552" s="92" t="inlineStr">
        <is>
          <t>12월 통신요금 - P통신</t>
        </is>
      </c>
      <c r="J2552" s="92" t="inlineStr">
        <is>
          <t>V10014</t>
        </is>
      </c>
      <c r="K2552" s="92" t="inlineStr">
        <is>
          <t>P통신</t>
        </is>
      </c>
      <c r="M2552" s="9">
        <f>IF($A2552="","",VALUE($A2552&amp;"")*12+VALUE($B2552&amp;""))</f>
        <v/>
      </c>
      <c r="N2552" s="64">
        <f>IF($A2552="","",IFERROR(INDEX(부서매핑!$C$5:$C$504,MATCH($G2552&amp;"",부서매핑!$A$5:$A$504,0)),"미매핑"))</f>
        <v/>
      </c>
      <c r="O2552" s="9">
        <f>IF($A2552="","",N2552&amp;"|"&amp;$F2552)</f>
        <v/>
      </c>
      <c r="P2552" s="94">
        <f>IF($A2552="",0,$H2552*설정!$C$23)</f>
        <v/>
      </c>
      <c r="Q2552" s="64">
        <f>IF($A2552="","",IF(O2552&lt;&gt;원인분석!$C$9,"",IF(AND(M2552&gt;=원인분석!$C$10,M2552&lt;=원인분석!$C$11),"당기",IF(AND(M2552&gt;=원인분석!$C$12,M2552&lt;=원인분석!$C$13),"비교",""))))</f>
        <v/>
      </c>
      <c r="R2552" s="9">
        <f>IF(Q2552="","",$K2552&amp;"")</f>
        <v/>
      </c>
      <c r="S2552" s="9">
        <f>IF(Q2552="","",IF(MATCH(R2552,$R$5:$R$100000,0)=ROW()-4,ROW(),""))</f>
        <v/>
      </c>
      <c r="T2552" s="9">
        <f>IF(Q2552="당기",ABS(P2552)+ROW()/1000000000,"")</f>
        <v/>
      </c>
      <c r="U2552" s="9">
        <f>IF(Q2552="비교",ABS(P2552)+ROW()/1000000000,"")</f>
        <v/>
      </c>
      <c r="V2552" s="64">
        <f>IF($A2552="","",IF(COUNTIF(변동분석!$E$7:$E$506,O2552)&gt;0,"Y","N"))</f>
        <v/>
      </c>
      <c r="W2552" s="64">
        <f>IF($A2552="","",IFERROR(INDEX(계정매핑!$D$5:$D$504,MATCH($F2552&amp;"",계정매핑!$A$5:$A$504,0)),"미매핑"))</f>
        <v/>
      </c>
      <c r="X2552" s="9">
        <f>IF($A2552="","",$F2552&amp;"")</f>
        <v/>
      </c>
      <c r="Y2552" s="94">
        <f>IF($A2552="",0,IF(AE2552="직접",IF(AF2552="비귀속",$P2552,0),$P2552*(1-AG2552)*IFERROR(INDEX(계정대체기준!$F$20:$F$49,MATCH($N2552,계정대체기준!$A$20:$A$49,0)),1)))</f>
        <v/>
      </c>
      <c r="Z2552" s="94">
        <f>IF($A2552="",0,IF(AE2552="직접",IF(AF2552="신계약비",$P2552,0),$P2552*(1-AG2552)*IFERROR(INDEX(계정대체기준!$C$20:$C$49,MATCH($N2552,계정대체기준!$A$20:$A$49,0)),0)))</f>
        <v/>
      </c>
      <c r="AA2552" s="94">
        <f>IF($A2552="",0,IF(AE2552="직접",IF(OR(AF2552="유지비",AF2552="손해조사비"),$P2552,0),$P2552*(1-AG2552)*IFERROR(INDEX(계정대체기준!$D$20:$D$49,MATCH($N2552,계정대체기준!$A$20:$A$49,0)),0)))</f>
        <v/>
      </c>
      <c r="AB2552" s="94">
        <f>IF($A2552="",0,IF(AE2552="직접",IF(AF2552="수금비",$P2552,0),$P2552*(1-AG2552)*IFERROR(INDEX(계정대체기준!$E$20:$E$49,MATCH($N2552,계정대체기준!$A$20:$A$49,0)),0)))</f>
        <v/>
      </c>
      <c r="AC2552" s="9">
        <f>IF(AND($A2552&lt;&gt;"",M2552=설정!$C$20,Z2552&gt;0),Z2552+ROW()/1000000000,"")</f>
        <v/>
      </c>
      <c r="AD2552" s="94">
        <f>IF($A2552="",0,$P2552*AG2552)</f>
        <v/>
      </c>
      <c r="AE2552" s="64">
        <f>IF($A2552="","",IFERROR(INDEX(계정매핑!$E$5:$E$504,MATCH($F2552&amp;"",계정매핑!$A$5:$A$504,0))&amp;"","공통비"))</f>
        <v/>
      </c>
      <c r="AF2552" s="64">
        <f>IF($A2552="","",IF(AE2552="직접",IFERROR(INDEX(계정매핑!$F$5:$F$504,MATCH($F2552&amp;"",계정매핑!$A$5:$A$504,0))&amp;"","비귀속"),""))</f>
        <v/>
      </c>
      <c r="AG2552" s="96">
        <f>IF($A2552="",0,IF(AND(AE2552&lt;&gt;"직접",IFERROR(INDEX(계정매핑!$G$5:$G$504,MATCH($F2552&amp;"",계정매핑!$A$5:$A$504,0))&amp;"","")="유지비",COUNTIF(계정대체기준!$A$6:$A$15,$N2552)&gt;0),IFERROR(INDEX(계정대체기준!$E$6:$E$15,MATCH(VALUE($A2552&amp;""),계정대체기준!$D$6:$D$15,0)),0),0))</f>
        <v/>
      </c>
      <c r="AH2552" s="64">
        <f>IF($A2552="","",IF(AD2552=0,"",IF(OR(COUNTIF(계정대체기준!$A$77:$A$86,$N2552)&gt;0,ISNUMBER(MATCH($X2552,계정대체기준!$D$77:$D$86,0)),ISNUMBER(MATCH($F2552,계정대체기준!$D$77:$D$86,0))),"Y","N")))</f>
        <v/>
      </c>
    </row>
    <row r="2553">
      <c r="A2553" s="92" t="n">
        <v>2025</v>
      </c>
      <c r="B2553" s="92" t="n">
        <v>12</v>
      </c>
      <c r="C2553" s="92" t="inlineStr">
        <is>
          <t>5100002549</t>
        </is>
      </c>
      <c r="D2553" s="95" t="n">
        <v>45999</v>
      </c>
      <c r="E2553" s="92" t="inlineStr">
        <is>
          <t>KR</t>
        </is>
      </c>
      <c r="F2553" s="92" t="n">
        <v>62301000</v>
      </c>
      <c r="G2553" s="92" t="n">
        <v>1401</v>
      </c>
      <c r="H2553" s="93" t="n">
        <v>87000</v>
      </c>
      <c r="I2553" s="92" t="inlineStr">
        <is>
          <t>12월 소모품 구입 - Q오피스</t>
        </is>
      </c>
      <c r="J2553" s="92" t="inlineStr">
        <is>
          <t>V10003</t>
        </is>
      </c>
      <c r="K2553" s="92" t="inlineStr">
        <is>
          <t>Q오피스</t>
        </is>
      </c>
      <c r="M2553" s="9">
        <f>IF($A2553="","",VALUE($A2553&amp;"")*12+VALUE($B2553&amp;""))</f>
        <v/>
      </c>
      <c r="N2553" s="64">
        <f>IF($A2553="","",IFERROR(INDEX(부서매핑!$C$5:$C$504,MATCH($G2553&amp;"",부서매핑!$A$5:$A$504,0)),"미매핑"))</f>
        <v/>
      </c>
      <c r="O2553" s="9">
        <f>IF($A2553="","",N2553&amp;"|"&amp;$F2553)</f>
        <v/>
      </c>
      <c r="P2553" s="94">
        <f>IF($A2553="",0,$H2553*설정!$C$23)</f>
        <v/>
      </c>
      <c r="Q2553" s="64">
        <f>IF($A2553="","",IF(O2553&lt;&gt;원인분석!$C$9,"",IF(AND(M2553&gt;=원인분석!$C$10,M2553&lt;=원인분석!$C$11),"당기",IF(AND(M2553&gt;=원인분석!$C$12,M2553&lt;=원인분석!$C$13),"비교",""))))</f>
        <v/>
      </c>
      <c r="R2553" s="9">
        <f>IF(Q2553="","",$K2553&amp;"")</f>
        <v/>
      </c>
      <c r="S2553" s="9">
        <f>IF(Q2553="","",IF(MATCH(R2553,$R$5:$R$100000,0)=ROW()-4,ROW(),""))</f>
        <v/>
      </c>
      <c r="T2553" s="9">
        <f>IF(Q2553="당기",ABS(P2553)+ROW()/1000000000,"")</f>
        <v/>
      </c>
      <c r="U2553" s="9">
        <f>IF(Q2553="비교",ABS(P2553)+ROW()/1000000000,"")</f>
        <v/>
      </c>
      <c r="V2553" s="64">
        <f>IF($A2553="","",IF(COUNTIF(변동분석!$E$7:$E$506,O2553)&gt;0,"Y","N"))</f>
        <v/>
      </c>
      <c r="W2553" s="64">
        <f>IF($A2553="","",IFERROR(INDEX(계정매핑!$D$5:$D$504,MATCH($F2553&amp;"",계정매핑!$A$5:$A$504,0)),"미매핑"))</f>
        <v/>
      </c>
      <c r="X2553" s="9">
        <f>IF($A2553="","",$F2553&amp;"")</f>
        <v/>
      </c>
      <c r="Y2553" s="94">
        <f>IF($A2553="",0,IF(AE2553="직접",IF(AF2553="비귀속",$P2553,0),$P2553*(1-AG2553)*IFERROR(INDEX(계정대체기준!$F$20:$F$49,MATCH($N2553,계정대체기준!$A$20:$A$49,0)),1)))</f>
        <v/>
      </c>
      <c r="Z2553" s="94">
        <f>IF($A2553="",0,IF(AE2553="직접",IF(AF2553="신계약비",$P2553,0),$P2553*(1-AG2553)*IFERROR(INDEX(계정대체기준!$C$20:$C$49,MATCH($N2553,계정대체기준!$A$20:$A$49,0)),0)))</f>
        <v/>
      </c>
      <c r="AA2553" s="94">
        <f>IF($A2553="",0,IF(AE2553="직접",IF(OR(AF2553="유지비",AF2553="손해조사비"),$P2553,0),$P2553*(1-AG2553)*IFERROR(INDEX(계정대체기준!$D$20:$D$49,MATCH($N2553,계정대체기준!$A$20:$A$49,0)),0)))</f>
        <v/>
      </c>
      <c r="AB2553" s="94">
        <f>IF($A2553="",0,IF(AE2553="직접",IF(AF2553="수금비",$P2553,0),$P2553*(1-AG2553)*IFERROR(INDEX(계정대체기준!$E$20:$E$49,MATCH($N2553,계정대체기준!$A$20:$A$49,0)),0)))</f>
        <v/>
      </c>
      <c r="AC2553" s="9">
        <f>IF(AND($A2553&lt;&gt;"",M2553=설정!$C$20,Z2553&gt;0),Z2553+ROW()/1000000000,"")</f>
        <v/>
      </c>
      <c r="AD2553" s="94">
        <f>IF($A2553="",0,$P2553*AG2553)</f>
        <v/>
      </c>
      <c r="AE2553" s="64">
        <f>IF($A2553="","",IFERROR(INDEX(계정매핑!$E$5:$E$504,MATCH($F2553&amp;"",계정매핑!$A$5:$A$504,0))&amp;"","공통비"))</f>
        <v/>
      </c>
      <c r="AF2553" s="64">
        <f>IF($A2553="","",IF(AE2553="직접",IFERROR(INDEX(계정매핑!$F$5:$F$504,MATCH($F2553&amp;"",계정매핑!$A$5:$A$504,0))&amp;"","비귀속"),""))</f>
        <v/>
      </c>
      <c r="AG2553" s="96">
        <f>IF($A2553="",0,IF(AND(AE2553&lt;&gt;"직접",IFERROR(INDEX(계정매핑!$G$5:$G$504,MATCH($F2553&amp;"",계정매핑!$A$5:$A$504,0))&amp;"","")="유지비",COUNTIF(계정대체기준!$A$6:$A$15,$N2553)&gt;0),IFERROR(INDEX(계정대체기준!$E$6:$E$15,MATCH(VALUE($A2553&amp;""),계정대체기준!$D$6:$D$15,0)),0),0))</f>
        <v/>
      </c>
      <c r="AH2553" s="64">
        <f>IF($A2553="","",IF(AD2553=0,"",IF(OR(COUNTIF(계정대체기준!$A$77:$A$86,$N2553)&gt;0,ISNUMBER(MATCH($X2553,계정대체기준!$D$77:$D$86,0)),ISNUMBER(MATCH($F2553,계정대체기준!$D$77:$D$86,0))),"Y","N")))</f>
        <v/>
      </c>
    </row>
    <row r="2554">
      <c r="A2554" s="92" t="n">
        <v>2025</v>
      </c>
      <c r="B2554" s="92" t="n">
        <v>12</v>
      </c>
      <c r="C2554" s="92" t="inlineStr">
        <is>
          <t>5100002550</t>
        </is>
      </c>
      <c r="D2554" s="95" t="n">
        <v>45999</v>
      </c>
      <c r="E2554" s="92" t="inlineStr">
        <is>
          <t>KR</t>
        </is>
      </c>
      <c r="F2554" s="92" t="n">
        <v>62501000</v>
      </c>
      <c r="G2554" s="92" t="n">
        <v>1201</v>
      </c>
      <c r="H2554" s="93" t="n">
        <v>126000</v>
      </c>
      <c r="I2554" s="92" t="inlineStr">
        <is>
          <t>12월 회의 다과 - T케이터링</t>
        </is>
      </c>
      <c r="J2554" s="92" t="inlineStr">
        <is>
          <t>V10005</t>
        </is>
      </c>
      <c r="K2554" s="92" t="inlineStr">
        <is>
          <t>T케이터링</t>
        </is>
      </c>
      <c r="M2554" s="9">
        <f>IF($A2554="","",VALUE($A2554&amp;"")*12+VALUE($B2554&amp;""))</f>
        <v/>
      </c>
      <c r="N2554" s="64">
        <f>IF($A2554="","",IFERROR(INDEX(부서매핑!$C$5:$C$504,MATCH($G2554&amp;"",부서매핑!$A$5:$A$504,0)),"미매핑"))</f>
        <v/>
      </c>
      <c r="O2554" s="9">
        <f>IF($A2554="","",N2554&amp;"|"&amp;$F2554)</f>
        <v/>
      </c>
      <c r="P2554" s="94">
        <f>IF($A2554="",0,$H2554*설정!$C$23)</f>
        <v/>
      </c>
      <c r="Q2554" s="64">
        <f>IF($A2554="","",IF(O2554&lt;&gt;원인분석!$C$9,"",IF(AND(M2554&gt;=원인분석!$C$10,M2554&lt;=원인분석!$C$11),"당기",IF(AND(M2554&gt;=원인분석!$C$12,M2554&lt;=원인분석!$C$13),"비교",""))))</f>
        <v/>
      </c>
      <c r="R2554" s="9">
        <f>IF(Q2554="","",$K2554&amp;"")</f>
        <v/>
      </c>
      <c r="S2554" s="9">
        <f>IF(Q2554="","",IF(MATCH(R2554,$R$5:$R$100000,0)=ROW()-4,ROW(),""))</f>
        <v/>
      </c>
      <c r="T2554" s="9">
        <f>IF(Q2554="당기",ABS(P2554)+ROW()/1000000000,"")</f>
        <v/>
      </c>
      <c r="U2554" s="9">
        <f>IF(Q2554="비교",ABS(P2554)+ROW()/1000000000,"")</f>
        <v/>
      </c>
      <c r="V2554" s="64">
        <f>IF($A2554="","",IF(COUNTIF(변동분석!$E$7:$E$506,O2554)&gt;0,"Y","N"))</f>
        <v/>
      </c>
      <c r="W2554" s="64">
        <f>IF($A2554="","",IFERROR(INDEX(계정매핑!$D$5:$D$504,MATCH($F2554&amp;"",계정매핑!$A$5:$A$504,0)),"미매핑"))</f>
        <v/>
      </c>
      <c r="X2554" s="9">
        <f>IF($A2554="","",$F2554&amp;"")</f>
        <v/>
      </c>
      <c r="Y2554" s="94">
        <f>IF($A2554="",0,IF(AE2554="직접",IF(AF2554="비귀속",$P2554,0),$P2554*(1-AG2554)*IFERROR(INDEX(계정대체기준!$F$20:$F$49,MATCH($N2554,계정대체기준!$A$20:$A$49,0)),1)))</f>
        <v/>
      </c>
      <c r="Z2554" s="94">
        <f>IF($A2554="",0,IF(AE2554="직접",IF(AF2554="신계약비",$P2554,0),$P2554*(1-AG2554)*IFERROR(INDEX(계정대체기준!$C$20:$C$49,MATCH($N2554,계정대체기준!$A$20:$A$49,0)),0)))</f>
        <v/>
      </c>
      <c r="AA2554" s="94">
        <f>IF($A2554="",0,IF(AE2554="직접",IF(OR(AF2554="유지비",AF2554="손해조사비"),$P2554,0),$P2554*(1-AG2554)*IFERROR(INDEX(계정대체기준!$D$20:$D$49,MATCH($N2554,계정대체기준!$A$20:$A$49,0)),0)))</f>
        <v/>
      </c>
      <c r="AB2554" s="94">
        <f>IF($A2554="",0,IF(AE2554="직접",IF(AF2554="수금비",$P2554,0),$P2554*(1-AG2554)*IFERROR(INDEX(계정대체기준!$E$20:$E$49,MATCH($N2554,계정대체기준!$A$20:$A$49,0)),0)))</f>
        <v/>
      </c>
      <c r="AC2554" s="9">
        <f>IF(AND($A2554&lt;&gt;"",M2554=설정!$C$20,Z2554&gt;0),Z2554+ROW()/1000000000,"")</f>
        <v/>
      </c>
      <c r="AD2554" s="94">
        <f>IF($A2554="",0,$P2554*AG2554)</f>
        <v/>
      </c>
      <c r="AE2554" s="64">
        <f>IF($A2554="","",IFERROR(INDEX(계정매핑!$E$5:$E$504,MATCH($F2554&amp;"",계정매핑!$A$5:$A$504,0))&amp;"","공통비"))</f>
        <v/>
      </c>
      <c r="AF2554" s="64">
        <f>IF($A2554="","",IF(AE2554="직접",IFERROR(INDEX(계정매핑!$F$5:$F$504,MATCH($F2554&amp;"",계정매핑!$A$5:$A$504,0))&amp;"","비귀속"),""))</f>
        <v/>
      </c>
      <c r="AG2554" s="96">
        <f>IF($A2554="",0,IF(AND(AE2554&lt;&gt;"직접",IFERROR(INDEX(계정매핑!$G$5:$G$504,MATCH($F2554&amp;"",계정매핑!$A$5:$A$504,0))&amp;"","")="유지비",COUNTIF(계정대체기준!$A$6:$A$15,$N2554)&gt;0),IFERROR(INDEX(계정대체기준!$E$6:$E$15,MATCH(VALUE($A2554&amp;""),계정대체기준!$D$6:$D$15,0)),0),0))</f>
        <v/>
      </c>
      <c r="AH2554" s="64">
        <f>IF($A2554="","",IF(AD2554=0,"",IF(OR(COUNTIF(계정대체기준!$A$77:$A$86,$N2554)&gt;0,ISNUMBER(MATCH($X2554,계정대체기준!$D$77:$D$86,0)),ISNUMBER(MATCH($F2554,계정대체기준!$D$77:$D$86,0))),"Y","N")))</f>
        <v/>
      </c>
    </row>
    <row r="2555">
      <c r="A2555" s="92" t="n">
        <v>2025</v>
      </c>
      <c r="B2555" s="92" t="n">
        <v>12</v>
      </c>
      <c r="C2555" s="92" t="inlineStr">
        <is>
          <t>5100002551</t>
        </is>
      </c>
      <c r="D2555" s="95" t="n">
        <v>45999</v>
      </c>
      <c r="E2555" s="92" t="inlineStr">
        <is>
          <t>KR</t>
        </is>
      </c>
      <c r="F2555" s="92" t="n">
        <v>62902000</v>
      </c>
      <c r="G2555" s="92" t="n">
        <v>1801</v>
      </c>
      <c r="H2555" s="93" t="n">
        <v>1841000</v>
      </c>
      <c r="I2555" s="92" t="inlineStr">
        <is>
          <t>12월 콜 위탁 수수료(건별)</t>
        </is>
      </c>
      <c r="J2555" s="92" t="inlineStr">
        <is>
          <t>V10016</t>
        </is>
      </c>
      <c r="K2555" s="92" t="inlineStr">
        <is>
          <t>J콜센터</t>
        </is>
      </c>
      <c r="M2555" s="9">
        <f>IF($A2555="","",VALUE($A2555&amp;"")*12+VALUE($B2555&amp;""))</f>
        <v/>
      </c>
      <c r="N2555" s="64">
        <f>IF($A2555="","",IFERROR(INDEX(부서매핑!$C$5:$C$504,MATCH($G2555&amp;"",부서매핑!$A$5:$A$504,0)),"미매핑"))</f>
        <v/>
      </c>
      <c r="O2555" s="9">
        <f>IF($A2555="","",N2555&amp;"|"&amp;$F2555)</f>
        <v/>
      </c>
      <c r="P2555" s="94">
        <f>IF($A2555="",0,$H2555*설정!$C$23)</f>
        <v/>
      </c>
      <c r="Q2555" s="64">
        <f>IF($A2555="","",IF(O2555&lt;&gt;원인분석!$C$9,"",IF(AND(M2555&gt;=원인분석!$C$10,M2555&lt;=원인분석!$C$11),"당기",IF(AND(M2555&gt;=원인분석!$C$12,M2555&lt;=원인분석!$C$13),"비교",""))))</f>
        <v/>
      </c>
      <c r="R2555" s="9">
        <f>IF(Q2555="","",$K2555&amp;"")</f>
        <v/>
      </c>
      <c r="S2555" s="9">
        <f>IF(Q2555="","",IF(MATCH(R2555,$R$5:$R$100000,0)=ROW()-4,ROW(),""))</f>
        <v/>
      </c>
      <c r="T2555" s="9">
        <f>IF(Q2555="당기",ABS(P2555)+ROW()/1000000000,"")</f>
        <v/>
      </c>
      <c r="U2555" s="9">
        <f>IF(Q2555="비교",ABS(P2555)+ROW()/1000000000,"")</f>
        <v/>
      </c>
      <c r="V2555" s="64">
        <f>IF($A2555="","",IF(COUNTIF(변동분석!$E$7:$E$506,O2555)&gt;0,"Y","N"))</f>
        <v/>
      </c>
      <c r="W2555" s="64">
        <f>IF($A2555="","",IFERROR(INDEX(계정매핑!$D$5:$D$504,MATCH($F2555&amp;"",계정매핑!$A$5:$A$504,0)),"미매핑"))</f>
        <v/>
      </c>
      <c r="X2555" s="9">
        <f>IF($A2555="","",$F2555&amp;"")</f>
        <v/>
      </c>
      <c r="Y2555" s="94">
        <f>IF($A2555="",0,IF(AE2555="직접",IF(AF2555="비귀속",$P2555,0),$P2555*(1-AG2555)*IFERROR(INDEX(계정대체기준!$F$20:$F$49,MATCH($N2555,계정대체기준!$A$20:$A$49,0)),1)))</f>
        <v/>
      </c>
      <c r="Z2555" s="94">
        <f>IF($A2555="",0,IF(AE2555="직접",IF(AF2555="신계약비",$P2555,0),$P2555*(1-AG2555)*IFERROR(INDEX(계정대체기준!$C$20:$C$49,MATCH($N2555,계정대체기준!$A$20:$A$49,0)),0)))</f>
        <v/>
      </c>
      <c r="AA2555" s="94">
        <f>IF($A2555="",0,IF(AE2555="직접",IF(OR(AF2555="유지비",AF2555="손해조사비"),$P2555,0),$P2555*(1-AG2555)*IFERROR(INDEX(계정대체기준!$D$20:$D$49,MATCH($N2555,계정대체기준!$A$20:$A$49,0)),0)))</f>
        <v/>
      </c>
      <c r="AB2555" s="94">
        <f>IF($A2555="",0,IF(AE2555="직접",IF(AF2555="수금비",$P2555,0),$P2555*(1-AG2555)*IFERROR(INDEX(계정대체기준!$E$20:$E$49,MATCH($N2555,계정대체기준!$A$20:$A$49,0)),0)))</f>
        <v/>
      </c>
      <c r="AC2555" s="9">
        <f>IF(AND($A2555&lt;&gt;"",M2555=설정!$C$20,Z2555&gt;0),Z2555+ROW()/1000000000,"")</f>
        <v/>
      </c>
      <c r="AD2555" s="94">
        <f>IF($A2555="",0,$P2555*AG2555)</f>
        <v/>
      </c>
      <c r="AE2555" s="64">
        <f>IF($A2555="","",IFERROR(INDEX(계정매핑!$E$5:$E$504,MATCH($F2555&amp;"",계정매핑!$A$5:$A$504,0))&amp;"","공통비"))</f>
        <v/>
      </c>
      <c r="AF2555" s="64">
        <f>IF($A2555="","",IF(AE2555="직접",IFERROR(INDEX(계정매핑!$F$5:$F$504,MATCH($F2555&amp;"",계정매핑!$A$5:$A$504,0))&amp;"","비귀속"),""))</f>
        <v/>
      </c>
      <c r="AG2555" s="96">
        <f>IF($A2555="",0,IF(AND(AE2555&lt;&gt;"직접",IFERROR(INDEX(계정매핑!$G$5:$G$504,MATCH($F2555&amp;"",계정매핑!$A$5:$A$504,0))&amp;"","")="유지비",COUNTIF(계정대체기준!$A$6:$A$15,$N2555)&gt;0),IFERROR(INDEX(계정대체기준!$E$6:$E$15,MATCH(VALUE($A2555&amp;""),계정대체기준!$D$6:$D$15,0)),0),0))</f>
        <v/>
      </c>
      <c r="AH2555" s="64">
        <f>IF($A2555="","",IF(AD2555=0,"",IF(OR(COUNTIF(계정대체기준!$A$77:$A$86,$N2555)&gt;0,ISNUMBER(MATCH($X2555,계정대체기준!$D$77:$D$86,0)),ISNUMBER(MATCH($F2555,계정대체기준!$D$77:$D$86,0))),"Y","N")))</f>
        <v/>
      </c>
    </row>
    <row r="2556">
      <c r="A2556" s="92" t="n">
        <v>2025</v>
      </c>
      <c r="B2556" s="92" t="n">
        <v>12</v>
      </c>
      <c r="C2556" s="92" t="inlineStr">
        <is>
          <t>5100002552</t>
        </is>
      </c>
      <c r="D2556" s="95" t="n">
        <v>45999</v>
      </c>
      <c r="E2556" s="92" t="inlineStr">
        <is>
          <t>KR</t>
        </is>
      </c>
      <c r="F2556" s="92" t="n">
        <v>62902000</v>
      </c>
      <c r="G2556" s="92" t="n">
        <v>1801</v>
      </c>
      <c r="H2556" s="93" t="n">
        <v>1838000</v>
      </c>
      <c r="I2556" s="92" t="inlineStr">
        <is>
          <t>12월 콜 위탁 수수료(건별)</t>
        </is>
      </c>
      <c r="J2556" s="92" t="inlineStr">
        <is>
          <t>V10016</t>
        </is>
      </c>
      <c r="K2556" s="92" t="inlineStr">
        <is>
          <t>J콜센터</t>
        </is>
      </c>
      <c r="M2556" s="9">
        <f>IF($A2556="","",VALUE($A2556&amp;"")*12+VALUE($B2556&amp;""))</f>
        <v/>
      </c>
      <c r="N2556" s="64">
        <f>IF($A2556="","",IFERROR(INDEX(부서매핑!$C$5:$C$504,MATCH($G2556&amp;"",부서매핑!$A$5:$A$504,0)),"미매핑"))</f>
        <v/>
      </c>
      <c r="O2556" s="9">
        <f>IF($A2556="","",N2556&amp;"|"&amp;$F2556)</f>
        <v/>
      </c>
      <c r="P2556" s="94">
        <f>IF($A2556="",0,$H2556*설정!$C$23)</f>
        <v/>
      </c>
      <c r="Q2556" s="64">
        <f>IF($A2556="","",IF(O2556&lt;&gt;원인분석!$C$9,"",IF(AND(M2556&gt;=원인분석!$C$10,M2556&lt;=원인분석!$C$11),"당기",IF(AND(M2556&gt;=원인분석!$C$12,M2556&lt;=원인분석!$C$13),"비교",""))))</f>
        <v/>
      </c>
      <c r="R2556" s="9">
        <f>IF(Q2556="","",$K2556&amp;"")</f>
        <v/>
      </c>
      <c r="S2556" s="9">
        <f>IF(Q2556="","",IF(MATCH(R2556,$R$5:$R$100000,0)=ROW()-4,ROW(),""))</f>
        <v/>
      </c>
      <c r="T2556" s="9">
        <f>IF(Q2556="당기",ABS(P2556)+ROW()/1000000000,"")</f>
        <v/>
      </c>
      <c r="U2556" s="9">
        <f>IF(Q2556="비교",ABS(P2556)+ROW()/1000000000,"")</f>
        <v/>
      </c>
      <c r="V2556" s="64">
        <f>IF($A2556="","",IF(COUNTIF(변동분석!$E$7:$E$506,O2556)&gt;0,"Y","N"))</f>
        <v/>
      </c>
      <c r="W2556" s="64">
        <f>IF($A2556="","",IFERROR(INDEX(계정매핑!$D$5:$D$504,MATCH($F2556&amp;"",계정매핑!$A$5:$A$504,0)),"미매핑"))</f>
        <v/>
      </c>
      <c r="X2556" s="9">
        <f>IF($A2556="","",$F2556&amp;"")</f>
        <v/>
      </c>
      <c r="Y2556" s="94">
        <f>IF($A2556="",0,IF(AE2556="직접",IF(AF2556="비귀속",$P2556,0),$P2556*(1-AG2556)*IFERROR(INDEX(계정대체기준!$F$20:$F$49,MATCH($N2556,계정대체기준!$A$20:$A$49,0)),1)))</f>
        <v/>
      </c>
      <c r="Z2556" s="94">
        <f>IF($A2556="",0,IF(AE2556="직접",IF(AF2556="신계약비",$P2556,0),$P2556*(1-AG2556)*IFERROR(INDEX(계정대체기준!$C$20:$C$49,MATCH($N2556,계정대체기준!$A$20:$A$49,0)),0)))</f>
        <v/>
      </c>
      <c r="AA2556" s="94">
        <f>IF($A2556="",0,IF(AE2556="직접",IF(OR(AF2556="유지비",AF2556="손해조사비"),$P2556,0),$P2556*(1-AG2556)*IFERROR(INDEX(계정대체기준!$D$20:$D$49,MATCH($N2556,계정대체기준!$A$20:$A$49,0)),0)))</f>
        <v/>
      </c>
      <c r="AB2556" s="94">
        <f>IF($A2556="",0,IF(AE2556="직접",IF(AF2556="수금비",$P2556,0),$P2556*(1-AG2556)*IFERROR(INDEX(계정대체기준!$E$20:$E$49,MATCH($N2556,계정대체기준!$A$20:$A$49,0)),0)))</f>
        <v/>
      </c>
      <c r="AC2556" s="9">
        <f>IF(AND($A2556&lt;&gt;"",M2556=설정!$C$20,Z2556&gt;0),Z2556+ROW()/1000000000,"")</f>
        <v/>
      </c>
      <c r="AD2556" s="94">
        <f>IF($A2556="",0,$P2556*AG2556)</f>
        <v/>
      </c>
      <c r="AE2556" s="64">
        <f>IF($A2556="","",IFERROR(INDEX(계정매핑!$E$5:$E$504,MATCH($F2556&amp;"",계정매핑!$A$5:$A$504,0))&amp;"","공통비"))</f>
        <v/>
      </c>
      <c r="AF2556" s="64">
        <f>IF($A2556="","",IF(AE2556="직접",IFERROR(INDEX(계정매핑!$F$5:$F$504,MATCH($F2556&amp;"",계정매핑!$A$5:$A$504,0))&amp;"","비귀속"),""))</f>
        <v/>
      </c>
      <c r="AG2556" s="96">
        <f>IF($A2556="",0,IF(AND(AE2556&lt;&gt;"직접",IFERROR(INDEX(계정매핑!$G$5:$G$504,MATCH($F2556&amp;"",계정매핑!$A$5:$A$504,0))&amp;"","")="유지비",COUNTIF(계정대체기준!$A$6:$A$15,$N2556)&gt;0),IFERROR(INDEX(계정대체기준!$E$6:$E$15,MATCH(VALUE($A2556&amp;""),계정대체기준!$D$6:$D$15,0)),0),0))</f>
        <v/>
      </c>
      <c r="AH2556" s="64">
        <f>IF($A2556="","",IF(AD2556=0,"",IF(OR(COUNTIF(계정대체기준!$A$77:$A$86,$N2556)&gt;0,ISNUMBER(MATCH($X2556,계정대체기준!$D$77:$D$86,0)),ISNUMBER(MATCH($F2556,계정대체기준!$D$77:$D$86,0))),"Y","N")))</f>
        <v/>
      </c>
    </row>
    <row r="2557">
      <c r="A2557" s="92" t="n">
        <v>2025</v>
      </c>
      <c r="B2557" s="92" t="n">
        <v>12</v>
      </c>
      <c r="C2557" s="92" t="inlineStr">
        <is>
          <t>5100002553</t>
        </is>
      </c>
      <c r="D2557" s="95" t="n">
        <v>45999</v>
      </c>
      <c r="E2557" s="92" t="inlineStr">
        <is>
          <t>KR</t>
        </is>
      </c>
      <c r="F2557" s="92" t="n">
        <v>62902000</v>
      </c>
      <c r="G2557" s="92" t="n">
        <v>1951</v>
      </c>
      <c r="H2557" s="93" t="n">
        <v>2723000</v>
      </c>
      <c r="I2557" s="92" t="inlineStr">
        <is>
          <t>12월 업무 위탁 수수료 - J콜센터</t>
        </is>
      </c>
      <c r="J2557" s="92" t="inlineStr">
        <is>
          <t>V10016</t>
        </is>
      </c>
      <c r="K2557" s="92" t="inlineStr">
        <is>
          <t>J콜센터</t>
        </is>
      </c>
      <c r="M2557" s="9">
        <f>IF($A2557="","",VALUE($A2557&amp;"")*12+VALUE($B2557&amp;""))</f>
        <v/>
      </c>
      <c r="N2557" s="64">
        <f>IF($A2557="","",IFERROR(INDEX(부서매핑!$C$5:$C$504,MATCH($G2557&amp;"",부서매핑!$A$5:$A$504,0)),"미매핑"))</f>
        <v/>
      </c>
      <c r="O2557" s="9">
        <f>IF($A2557="","",N2557&amp;"|"&amp;$F2557)</f>
        <v/>
      </c>
      <c r="P2557" s="94">
        <f>IF($A2557="",0,$H2557*설정!$C$23)</f>
        <v/>
      </c>
      <c r="Q2557" s="64">
        <f>IF($A2557="","",IF(O2557&lt;&gt;원인분석!$C$9,"",IF(AND(M2557&gt;=원인분석!$C$10,M2557&lt;=원인분석!$C$11),"당기",IF(AND(M2557&gt;=원인분석!$C$12,M2557&lt;=원인분석!$C$13),"비교",""))))</f>
        <v/>
      </c>
      <c r="R2557" s="9">
        <f>IF(Q2557="","",$K2557&amp;"")</f>
        <v/>
      </c>
      <c r="S2557" s="9">
        <f>IF(Q2557="","",IF(MATCH(R2557,$R$5:$R$100000,0)=ROW()-4,ROW(),""))</f>
        <v/>
      </c>
      <c r="T2557" s="9">
        <f>IF(Q2557="당기",ABS(P2557)+ROW()/1000000000,"")</f>
        <v/>
      </c>
      <c r="U2557" s="9">
        <f>IF(Q2557="비교",ABS(P2557)+ROW()/1000000000,"")</f>
        <v/>
      </c>
      <c r="V2557" s="64">
        <f>IF($A2557="","",IF(COUNTIF(변동분석!$E$7:$E$506,O2557)&gt;0,"Y","N"))</f>
        <v/>
      </c>
      <c r="W2557" s="64">
        <f>IF($A2557="","",IFERROR(INDEX(계정매핑!$D$5:$D$504,MATCH($F2557&amp;"",계정매핑!$A$5:$A$504,0)),"미매핑"))</f>
        <v/>
      </c>
      <c r="X2557" s="9">
        <f>IF($A2557="","",$F2557&amp;"")</f>
        <v/>
      </c>
      <c r="Y2557" s="94">
        <f>IF($A2557="",0,IF(AE2557="직접",IF(AF2557="비귀속",$P2557,0),$P2557*(1-AG2557)*IFERROR(INDEX(계정대체기준!$F$20:$F$49,MATCH($N2557,계정대체기준!$A$20:$A$49,0)),1)))</f>
        <v/>
      </c>
      <c r="Z2557" s="94">
        <f>IF($A2557="",0,IF(AE2557="직접",IF(AF2557="신계약비",$P2557,0),$P2557*(1-AG2557)*IFERROR(INDEX(계정대체기준!$C$20:$C$49,MATCH($N2557,계정대체기준!$A$20:$A$49,0)),0)))</f>
        <v/>
      </c>
      <c r="AA2557" s="94">
        <f>IF($A2557="",0,IF(AE2557="직접",IF(OR(AF2557="유지비",AF2557="손해조사비"),$P2557,0),$P2557*(1-AG2557)*IFERROR(INDEX(계정대체기준!$D$20:$D$49,MATCH($N2557,계정대체기준!$A$20:$A$49,0)),0)))</f>
        <v/>
      </c>
      <c r="AB2557" s="94">
        <f>IF($A2557="",0,IF(AE2557="직접",IF(AF2557="수금비",$P2557,0),$P2557*(1-AG2557)*IFERROR(INDEX(계정대체기준!$E$20:$E$49,MATCH($N2557,계정대체기준!$A$20:$A$49,0)),0)))</f>
        <v/>
      </c>
      <c r="AC2557" s="9">
        <f>IF(AND($A2557&lt;&gt;"",M2557=설정!$C$20,Z2557&gt;0),Z2557+ROW()/1000000000,"")</f>
        <v/>
      </c>
      <c r="AD2557" s="94">
        <f>IF($A2557="",0,$P2557*AG2557)</f>
        <v/>
      </c>
      <c r="AE2557" s="64">
        <f>IF($A2557="","",IFERROR(INDEX(계정매핑!$E$5:$E$504,MATCH($F2557&amp;"",계정매핑!$A$5:$A$504,0))&amp;"","공통비"))</f>
        <v/>
      </c>
      <c r="AF2557" s="64">
        <f>IF($A2557="","",IF(AE2557="직접",IFERROR(INDEX(계정매핑!$F$5:$F$504,MATCH($F2557&amp;"",계정매핑!$A$5:$A$504,0))&amp;"","비귀속"),""))</f>
        <v/>
      </c>
      <c r="AG2557" s="96">
        <f>IF($A2557="",0,IF(AND(AE2557&lt;&gt;"직접",IFERROR(INDEX(계정매핑!$G$5:$G$504,MATCH($F2557&amp;"",계정매핑!$A$5:$A$504,0))&amp;"","")="유지비",COUNTIF(계정대체기준!$A$6:$A$15,$N2557)&gt;0),IFERROR(INDEX(계정대체기준!$E$6:$E$15,MATCH(VALUE($A2557&amp;""),계정대체기준!$D$6:$D$15,0)),0),0))</f>
        <v/>
      </c>
      <c r="AH2557" s="64">
        <f>IF($A2557="","",IF(AD2557=0,"",IF(OR(COUNTIF(계정대체기준!$A$77:$A$86,$N2557)&gt;0,ISNUMBER(MATCH($X2557,계정대체기준!$D$77:$D$86,0)),ISNUMBER(MATCH($F2557,계정대체기준!$D$77:$D$86,0))),"Y","N")))</f>
        <v/>
      </c>
    </row>
    <row r="2558">
      <c r="A2558" s="92" t="n">
        <v>2025</v>
      </c>
      <c r="B2558" s="92" t="n">
        <v>12</v>
      </c>
      <c r="C2558" s="92" t="inlineStr">
        <is>
          <t>5100002554</t>
        </is>
      </c>
      <c r="D2558" s="95" t="n">
        <v>45999</v>
      </c>
      <c r="E2558" s="92" t="inlineStr">
        <is>
          <t>KR</t>
        </is>
      </c>
      <c r="F2558" s="92" t="n">
        <v>62902000</v>
      </c>
      <c r="G2558" s="92" t="n">
        <v>1951</v>
      </c>
      <c r="H2558" s="93" t="n">
        <v>2179000</v>
      </c>
      <c r="I2558" s="92" t="inlineStr">
        <is>
          <t>12월 업무 위탁 수수료 - X서비스</t>
        </is>
      </c>
      <c r="J2558" s="92" t="inlineStr">
        <is>
          <t>V10020</t>
        </is>
      </c>
      <c r="K2558" s="92" t="inlineStr">
        <is>
          <t>X서비스</t>
        </is>
      </c>
      <c r="M2558" s="9">
        <f>IF($A2558="","",VALUE($A2558&amp;"")*12+VALUE($B2558&amp;""))</f>
        <v/>
      </c>
      <c r="N2558" s="64">
        <f>IF($A2558="","",IFERROR(INDEX(부서매핑!$C$5:$C$504,MATCH($G2558&amp;"",부서매핑!$A$5:$A$504,0)),"미매핑"))</f>
        <v/>
      </c>
      <c r="O2558" s="9">
        <f>IF($A2558="","",N2558&amp;"|"&amp;$F2558)</f>
        <v/>
      </c>
      <c r="P2558" s="94">
        <f>IF($A2558="",0,$H2558*설정!$C$23)</f>
        <v/>
      </c>
      <c r="Q2558" s="64">
        <f>IF($A2558="","",IF(O2558&lt;&gt;원인분석!$C$9,"",IF(AND(M2558&gt;=원인분석!$C$10,M2558&lt;=원인분석!$C$11),"당기",IF(AND(M2558&gt;=원인분석!$C$12,M2558&lt;=원인분석!$C$13),"비교",""))))</f>
        <v/>
      </c>
      <c r="R2558" s="9">
        <f>IF(Q2558="","",$K2558&amp;"")</f>
        <v/>
      </c>
      <c r="S2558" s="9">
        <f>IF(Q2558="","",IF(MATCH(R2558,$R$5:$R$100000,0)=ROW()-4,ROW(),""))</f>
        <v/>
      </c>
      <c r="T2558" s="9">
        <f>IF(Q2558="당기",ABS(P2558)+ROW()/1000000000,"")</f>
        <v/>
      </c>
      <c r="U2558" s="9">
        <f>IF(Q2558="비교",ABS(P2558)+ROW()/1000000000,"")</f>
        <v/>
      </c>
      <c r="V2558" s="64">
        <f>IF($A2558="","",IF(COUNTIF(변동분석!$E$7:$E$506,O2558)&gt;0,"Y","N"))</f>
        <v/>
      </c>
      <c r="W2558" s="64">
        <f>IF($A2558="","",IFERROR(INDEX(계정매핑!$D$5:$D$504,MATCH($F2558&amp;"",계정매핑!$A$5:$A$504,0)),"미매핑"))</f>
        <v/>
      </c>
      <c r="X2558" s="9">
        <f>IF($A2558="","",$F2558&amp;"")</f>
        <v/>
      </c>
      <c r="Y2558" s="94">
        <f>IF($A2558="",0,IF(AE2558="직접",IF(AF2558="비귀속",$P2558,0),$P2558*(1-AG2558)*IFERROR(INDEX(계정대체기준!$F$20:$F$49,MATCH($N2558,계정대체기준!$A$20:$A$49,0)),1)))</f>
        <v/>
      </c>
      <c r="Z2558" s="94">
        <f>IF($A2558="",0,IF(AE2558="직접",IF(AF2558="신계약비",$P2558,0),$P2558*(1-AG2558)*IFERROR(INDEX(계정대체기준!$C$20:$C$49,MATCH($N2558,계정대체기준!$A$20:$A$49,0)),0)))</f>
        <v/>
      </c>
      <c r="AA2558" s="94">
        <f>IF($A2558="",0,IF(AE2558="직접",IF(OR(AF2558="유지비",AF2558="손해조사비"),$P2558,0),$P2558*(1-AG2558)*IFERROR(INDEX(계정대체기준!$D$20:$D$49,MATCH($N2558,계정대체기준!$A$20:$A$49,0)),0)))</f>
        <v/>
      </c>
      <c r="AB2558" s="94">
        <f>IF($A2558="",0,IF(AE2558="직접",IF(AF2558="수금비",$P2558,0),$P2558*(1-AG2558)*IFERROR(INDEX(계정대체기준!$E$20:$E$49,MATCH($N2558,계정대체기준!$A$20:$A$49,0)),0)))</f>
        <v/>
      </c>
      <c r="AC2558" s="9">
        <f>IF(AND($A2558&lt;&gt;"",M2558=설정!$C$20,Z2558&gt;0),Z2558+ROW()/1000000000,"")</f>
        <v/>
      </c>
      <c r="AD2558" s="94">
        <f>IF($A2558="",0,$P2558*AG2558)</f>
        <v/>
      </c>
      <c r="AE2558" s="64">
        <f>IF($A2558="","",IFERROR(INDEX(계정매핑!$E$5:$E$504,MATCH($F2558&amp;"",계정매핑!$A$5:$A$504,0))&amp;"","공통비"))</f>
        <v/>
      </c>
      <c r="AF2558" s="64">
        <f>IF($A2558="","",IF(AE2558="직접",IFERROR(INDEX(계정매핑!$F$5:$F$504,MATCH($F2558&amp;"",계정매핑!$A$5:$A$504,0))&amp;"","비귀속"),""))</f>
        <v/>
      </c>
      <c r="AG2558" s="96">
        <f>IF($A2558="",0,IF(AND(AE2558&lt;&gt;"직접",IFERROR(INDEX(계정매핑!$G$5:$G$504,MATCH($F2558&amp;"",계정매핑!$A$5:$A$504,0))&amp;"","")="유지비",COUNTIF(계정대체기준!$A$6:$A$15,$N2558)&gt;0),IFERROR(INDEX(계정대체기준!$E$6:$E$15,MATCH(VALUE($A2558&amp;""),계정대체기준!$D$6:$D$15,0)),0),0))</f>
        <v/>
      </c>
      <c r="AH2558" s="64">
        <f>IF($A2558="","",IF(AD2558=0,"",IF(OR(COUNTIF(계정대체기준!$A$77:$A$86,$N2558)&gt;0,ISNUMBER(MATCH($X2558,계정대체기준!$D$77:$D$86,0)),ISNUMBER(MATCH($F2558,계정대체기준!$D$77:$D$86,0))),"Y","N")))</f>
        <v/>
      </c>
    </row>
    <row r="2559">
      <c r="A2559" s="92" t="n">
        <v>2025</v>
      </c>
      <c r="B2559" s="92" t="n">
        <v>12</v>
      </c>
      <c r="C2559" s="92" t="inlineStr">
        <is>
          <t>5100002555</t>
        </is>
      </c>
      <c r="D2559" s="95" t="n">
        <v>46000</v>
      </c>
      <c r="E2559" s="92" t="inlineStr">
        <is>
          <t>KR</t>
        </is>
      </c>
      <c r="F2559" s="92" t="n">
        <v>62101000</v>
      </c>
      <c r="G2559" s="92" t="n">
        <v>1301</v>
      </c>
      <c r="H2559" s="93" t="n">
        <v>295000</v>
      </c>
      <c r="I2559" s="92" t="inlineStr">
        <is>
          <t>12월 국내출장 - (법인카드)</t>
        </is>
      </c>
      <c r="J2559" s="92" t="inlineStr">
        <is>
          <t>V10010</t>
        </is>
      </c>
      <c r="K2559" s="92" t="inlineStr">
        <is>
          <t>(법인카드)</t>
        </is>
      </c>
      <c r="M2559" s="9">
        <f>IF($A2559="","",VALUE($A2559&amp;"")*12+VALUE($B2559&amp;""))</f>
        <v/>
      </c>
      <c r="N2559" s="64">
        <f>IF($A2559="","",IFERROR(INDEX(부서매핑!$C$5:$C$504,MATCH($G2559&amp;"",부서매핑!$A$5:$A$504,0)),"미매핑"))</f>
        <v/>
      </c>
      <c r="O2559" s="9">
        <f>IF($A2559="","",N2559&amp;"|"&amp;$F2559)</f>
        <v/>
      </c>
      <c r="P2559" s="94">
        <f>IF($A2559="",0,$H2559*설정!$C$23)</f>
        <v/>
      </c>
      <c r="Q2559" s="64">
        <f>IF($A2559="","",IF(O2559&lt;&gt;원인분석!$C$9,"",IF(AND(M2559&gt;=원인분석!$C$10,M2559&lt;=원인분석!$C$11),"당기",IF(AND(M2559&gt;=원인분석!$C$12,M2559&lt;=원인분석!$C$13),"비교",""))))</f>
        <v/>
      </c>
      <c r="R2559" s="9">
        <f>IF(Q2559="","",$K2559&amp;"")</f>
        <v/>
      </c>
      <c r="S2559" s="9">
        <f>IF(Q2559="","",IF(MATCH(R2559,$R$5:$R$100000,0)=ROW()-4,ROW(),""))</f>
        <v/>
      </c>
      <c r="T2559" s="9">
        <f>IF(Q2559="당기",ABS(P2559)+ROW()/1000000000,"")</f>
        <v/>
      </c>
      <c r="U2559" s="9">
        <f>IF(Q2559="비교",ABS(P2559)+ROW()/1000000000,"")</f>
        <v/>
      </c>
      <c r="V2559" s="64">
        <f>IF($A2559="","",IF(COUNTIF(변동분석!$E$7:$E$506,O2559)&gt;0,"Y","N"))</f>
        <v/>
      </c>
      <c r="W2559" s="64">
        <f>IF($A2559="","",IFERROR(INDEX(계정매핑!$D$5:$D$504,MATCH($F2559&amp;"",계정매핑!$A$5:$A$504,0)),"미매핑"))</f>
        <v/>
      </c>
      <c r="X2559" s="9">
        <f>IF($A2559="","",$F2559&amp;"")</f>
        <v/>
      </c>
      <c r="Y2559" s="94">
        <f>IF($A2559="",0,IF(AE2559="직접",IF(AF2559="비귀속",$P2559,0),$P2559*(1-AG2559)*IFERROR(INDEX(계정대체기준!$F$20:$F$49,MATCH($N2559,계정대체기준!$A$20:$A$49,0)),1)))</f>
        <v/>
      </c>
      <c r="Z2559" s="94">
        <f>IF($A2559="",0,IF(AE2559="직접",IF(AF2559="신계약비",$P2559,0),$P2559*(1-AG2559)*IFERROR(INDEX(계정대체기준!$C$20:$C$49,MATCH($N2559,계정대체기준!$A$20:$A$49,0)),0)))</f>
        <v/>
      </c>
      <c r="AA2559" s="94">
        <f>IF($A2559="",0,IF(AE2559="직접",IF(OR(AF2559="유지비",AF2559="손해조사비"),$P2559,0),$P2559*(1-AG2559)*IFERROR(INDEX(계정대체기준!$D$20:$D$49,MATCH($N2559,계정대체기준!$A$20:$A$49,0)),0)))</f>
        <v/>
      </c>
      <c r="AB2559" s="94">
        <f>IF($A2559="",0,IF(AE2559="직접",IF(AF2559="수금비",$P2559,0),$P2559*(1-AG2559)*IFERROR(INDEX(계정대체기준!$E$20:$E$49,MATCH($N2559,계정대체기준!$A$20:$A$49,0)),0)))</f>
        <v/>
      </c>
      <c r="AC2559" s="9">
        <f>IF(AND($A2559&lt;&gt;"",M2559=설정!$C$20,Z2559&gt;0),Z2559+ROW()/1000000000,"")</f>
        <v/>
      </c>
      <c r="AD2559" s="94">
        <f>IF($A2559="",0,$P2559*AG2559)</f>
        <v/>
      </c>
      <c r="AE2559" s="64">
        <f>IF($A2559="","",IFERROR(INDEX(계정매핑!$E$5:$E$504,MATCH($F2559&amp;"",계정매핑!$A$5:$A$504,0))&amp;"","공통비"))</f>
        <v/>
      </c>
      <c r="AF2559" s="64">
        <f>IF($A2559="","",IF(AE2559="직접",IFERROR(INDEX(계정매핑!$F$5:$F$504,MATCH($F2559&amp;"",계정매핑!$A$5:$A$504,0))&amp;"","비귀속"),""))</f>
        <v/>
      </c>
      <c r="AG2559" s="96">
        <f>IF($A2559="",0,IF(AND(AE2559&lt;&gt;"직접",IFERROR(INDEX(계정매핑!$G$5:$G$504,MATCH($F2559&amp;"",계정매핑!$A$5:$A$504,0))&amp;"","")="유지비",COUNTIF(계정대체기준!$A$6:$A$15,$N2559)&gt;0),IFERROR(INDEX(계정대체기준!$E$6:$E$15,MATCH(VALUE($A2559&amp;""),계정대체기준!$D$6:$D$15,0)),0),0))</f>
        <v/>
      </c>
      <c r="AH2559" s="64">
        <f>IF($A2559="","",IF(AD2559=0,"",IF(OR(COUNTIF(계정대체기준!$A$77:$A$86,$N2559)&gt;0,ISNUMBER(MATCH($X2559,계정대체기준!$D$77:$D$86,0)),ISNUMBER(MATCH($F2559,계정대체기준!$D$77:$D$86,0))),"Y","N")))</f>
        <v/>
      </c>
    </row>
    <row r="2560">
      <c r="A2560" s="92" t="n">
        <v>2025</v>
      </c>
      <c r="B2560" s="92" t="n">
        <v>12</v>
      </c>
      <c r="C2560" s="92" t="inlineStr">
        <is>
          <t>5100002556</t>
        </is>
      </c>
      <c r="D2560" s="95" t="n">
        <v>46000</v>
      </c>
      <c r="E2560" s="92" t="inlineStr">
        <is>
          <t>KR</t>
        </is>
      </c>
      <c r="F2560" s="92" t="n">
        <v>62201000</v>
      </c>
      <c r="G2560" s="92" t="n">
        <v>1201</v>
      </c>
      <c r="H2560" s="93" t="n">
        <v>194000</v>
      </c>
      <c r="I2560" s="92" t="inlineStr">
        <is>
          <t>12월 통신요금 - P통신</t>
        </is>
      </c>
      <c r="J2560" s="92" t="inlineStr">
        <is>
          <t>V10014</t>
        </is>
      </c>
      <c r="K2560" s="92" t="inlineStr">
        <is>
          <t>P통신</t>
        </is>
      </c>
      <c r="M2560" s="9">
        <f>IF($A2560="","",VALUE($A2560&amp;"")*12+VALUE($B2560&amp;""))</f>
        <v/>
      </c>
      <c r="N2560" s="64">
        <f>IF($A2560="","",IFERROR(INDEX(부서매핑!$C$5:$C$504,MATCH($G2560&amp;"",부서매핑!$A$5:$A$504,0)),"미매핑"))</f>
        <v/>
      </c>
      <c r="O2560" s="9">
        <f>IF($A2560="","",N2560&amp;"|"&amp;$F2560)</f>
        <v/>
      </c>
      <c r="P2560" s="94">
        <f>IF($A2560="",0,$H2560*설정!$C$23)</f>
        <v/>
      </c>
      <c r="Q2560" s="64">
        <f>IF($A2560="","",IF(O2560&lt;&gt;원인분석!$C$9,"",IF(AND(M2560&gt;=원인분석!$C$10,M2560&lt;=원인분석!$C$11),"당기",IF(AND(M2560&gt;=원인분석!$C$12,M2560&lt;=원인분석!$C$13),"비교",""))))</f>
        <v/>
      </c>
      <c r="R2560" s="9">
        <f>IF(Q2560="","",$K2560&amp;"")</f>
        <v/>
      </c>
      <c r="S2560" s="9">
        <f>IF(Q2560="","",IF(MATCH(R2560,$R$5:$R$100000,0)=ROW()-4,ROW(),""))</f>
        <v/>
      </c>
      <c r="T2560" s="9">
        <f>IF(Q2560="당기",ABS(P2560)+ROW()/1000000000,"")</f>
        <v/>
      </c>
      <c r="U2560" s="9">
        <f>IF(Q2560="비교",ABS(P2560)+ROW()/1000000000,"")</f>
        <v/>
      </c>
      <c r="V2560" s="64">
        <f>IF($A2560="","",IF(COUNTIF(변동분석!$E$7:$E$506,O2560)&gt;0,"Y","N"))</f>
        <v/>
      </c>
      <c r="W2560" s="64">
        <f>IF($A2560="","",IFERROR(INDEX(계정매핑!$D$5:$D$504,MATCH($F2560&amp;"",계정매핑!$A$5:$A$504,0)),"미매핑"))</f>
        <v/>
      </c>
      <c r="X2560" s="9">
        <f>IF($A2560="","",$F2560&amp;"")</f>
        <v/>
      </c>
      <c r="Y2560" s="94">
        <f>IF($A2560="",0,IF(AE2560="직접",IF(AF2560="비귀속",$P2560,0),$P2560*(1-AG2560)*IFERROR(INDEX(계정대체기준!$F$20:$F$49,MATCH($N2560,계정대체기준!$A$20:$A$49,0)),1)))</f>
        <v/>
      </c>
      <c r="Z2560" s="94">
        <f>IF($A2560="",0,IF(AE2560="직접",IF(AF2560="신계약비",$P2560,0),$P2560*(1-AG2560)*IFERROR(INDEX(계정대체기준!$C$20:$C$49,MATCH($N2560,계정대체기준!$A$20:$A$49,0)),0)))</f>
        <v/>
      </c>
      <c r="AA2560" s="94">
        <f>IF($A2560="",0,IF(AE2560="직접",IF(OR(AF2560="유지비",AF2560="손해조사비"),$P2560,0),$P2560*(1-AG2560)*IFERROR(INDEX(계정대체기준!$D$20:$D$49,MATCH($N2560,계정대체기준!$A$20:$A$49,0)),0)))</f>
        <v/>
      </c>
      <c r="AB2560" s="94">
        <f>IF($A2560="",0,IF(AE2560="직접",IF(AF2560="수금비",$P2560,0),$P2560*(1-AG2560)*IFERROR(INDEX(계정대체기준!$E$20:$E$49,MATCH($N2560,계정대체기준!$A$20:$A$49,0)),0)))</f>
        <v/>
      </c>
      <c r="AC2560" s="9">
        <f>IF(AND($A2560&lt;&gt;"",M2560=설정!$C$20,Z2560&gt;0),Z2560+ROW()/1000000000,"")</f>
        <v/>
      </c>
      <c r="AD2560" s="94">
        <f>IF($A2560="",0,$P2560*AG2560)</f>
        <v/>
      </c>
      <c r="AE2560" s="64">
        <f>IF($A2560="","",IFERROR(INDEX(계정매핑!$E$5:$E$504,MATCH($F2560&amp;"",계정매핑!$A$5:$A$504,0))&amp;"","공통비"))</f>
        <v/>
      </c>
      <c r="AF2560" s="64">
        <f>IF($A2560="","",IF(AE2560="직접",IFERROR(INDEX(계정매핑!$F$5:$F$504,MATCH($F2560&amp;"",계정매핑!$A$5:$A$504,0))&amp;"","비귀속"),""))</f>
        <v/>
      </c>
      <c r="AG2560" s="96">
        <f>IF($A2560="",0,IF(AND(AE2560&lt;&gt;"직접",IFERROR(INDEX(계정매핑!$G$5:$G$504,MATCH($F2560&amp;"",계정매핑!$A$5:$A$504,0))&amp;"","")="유지비",COUNTIF(계정대체기준!$A$6:$A$15,$N2560)&gt;0),IFERROR(INDEX(계정대체기준!$E$6:$E$15,MATCH(VALUE($A2560&amp;""),계정대체기준!$D$6:$D$15,0)),0),0))</f>
        <v/>
      </c>
      <c r="AH2560" s="64">
        <f>IF($A2560="","",IF(AD2560=0,"",IF(OR(COUNTIF(계정대체기준!$A$77:$A$86,$N2560)&gt;0,ISNUMBER(MATCH($X2560,계정대체기준!$D$77:$D$86,0)),ISNUMBER(MATCH($F2560,계정대체기준!$D$77:$D$86,0))),"Y","N")))</f>
        <v/>
      </c>
    </row>
    <row r="2561">
      <c r="A2561" s="92" t="n">
        <v>2025</v>
      </c>
      <c r="B2561" s="92" t="n">
        <v>12</v>
      </c>
      <c r="C2561" s="92" t="inlineStr">
        <is>
          <t>5100002557</t>
        </is>
      </c>
      <c r="D2561" s="95" t="n">
        <v>46000</v>
      </c>
      <c r="E2561" s="92" t="inlineStr">
        <is>
          <t>KR</t>
        </is>
      </c>
      <c r="F2561" s="92" t="n">
        <v>62301000</v>
      </c>
      <c r="G2561" s="92" t="n">
        <v>1501</v>
      </c>
      <c r="H2561" s="93" t="n">
        <v>241000</v>
      </c>
      <c r="I2561" s="92" t="inlineStr">
        <is>
          <t>12월 소모품 구입 - R문구</t>
        </is>
      </c>
      <c r="J2561" s="92" t="inlineStr">
        <is>
          <t>V10022</t>
        </is>
      </c>
      <c r="K2561" s="92" t="inlineStr">
        <is>
          <t>R문구</t>
        </is>
      </c>
      <c r="M2561" s="9">
        <f>IF($A2561="","",VALUE($A2561&amp;"")*12+VALUE($B2561&amp;""))</f>
        <v/>
      </c>
      <c r="N2561" s="64">
        <f>IF($A2561="","",IFERROR(INDEX(부서매핑!$C$5:$C$504,MATCH($G2561&amp;"",부서매핑!$A$5:$A$504,0)),"미매핑"))</f>
        <v/>
      </c>
      <c r="O2561" s="9">
        <f>IF($A2561="","",N2561&amp;"|"&amp;$F2561)</f>
        <v/>
      </c>
      <c r="P2561" s="94">
        <f>IF($A2561="",0,$H2561*설정!$C$23)</f>
        <v/>
      </c>
      <c r="Q2561" s="64">
        <f>IF($A2561="","",IF(O2561&lt;&gt;원인분석!$C$9,"",IF(AND(M2561&gt;=원인분석!$C$10,M2561&lt;=원인분석!$C$11),"당기",IF(AND(M2561&gt;=원인분석!$C$12,M2561&lt;=원인분석!$C$13),"비교",""))))</f>
        <v/>
      </c>
      <c r="R2561" s="9">
        <f>IF(Q2561="","",$K2561&amp;"")</f>
        <v/>
      </c>
      <c r="S2561" s="9">
        <f>IF(Q2561="","",IF(MATCH(R2561,$R$5:$R$100000,0)=ROW()-4,ROW(),""))</f>
        <v/>
      </c>
      <c r="T2561" s="9">
        <f>IF(Q2561="당기",ABS(P2561)+ROW()/1000000000,"")</f>
        <v/>
      </c>
      <c r="U2561" s="9">
        <f>IF(Q2561="비교",ABS(P2561)+ROW()/1000000000,"")</f>
        <v/>
      </c>
      <c r="V2561" s="64">
        <f>IF($A2561="","",IF(COUNTIF(변동분석!$E$7:$E$506,O2561)&gt;0,"Y","N"))</f>
        <v/>
      </c>
      <c r="W2561" s="64">
        <f>IF($A2561="","",IFERROR(INDEX(계정매핑!$D$5:$D$504,MATCH($F2561&amp;"",계정매핑!$A$5:$A$504,0)),"미매핑"))</f>
        <v/>
      </c>
      <c r="X2561" s="9">
        <f>IF($A2561="","",$F2561&amp;"")</f>
        <v/>
      </c>
      <c r="Y2561" s="94">
        <f>IF($A2561="",0,IF(AE2561="직접",IF(AF2561="비귀속",$P2561,0),$P2561*(1-AG2561)*IFERROR(INDEX(계정대체기준!$F$20:$F$49,MATCH($N2561,계정대체기준!$A$20:$A$49,0)),1)))</f>
        <v/>
      </c>
      <c r="Z2561" s="94">
        <f>IF($A2561="",0,IF(AE2561="직접",IF(AF2561="신계약비",$P2561,0),$P2561*(1-AG2561)*IFERROR(INDEX(계정대체기준!$C$20:$C$49,MATCH($N2561,계정대체기준!$A$20:$A$49,0)),0)))</f>
        <v/>
      </c>
      <c r="AA2561" s="94">
        <f>IF($A2561="",0,IF(AE2561="직접",IF(OR(AF2561="유지비",AF2561="손해조사비"),$P2561,0),$P2561*(1-AG2561)*IFERROR(INDEX(계정대체기준!$D$20:$D$49,MATCH($N2561,계정대체기준!$A$20:$A$49,0)),0)))</f>
        <v/>
      </c>
      <c r="AB2561" s="94">
        <f>IF($A2561="",0,IF(AE2561="직접",IF(AF2561="수금비",$P2561,0),$P2561*(1-AG2561)*IFERROR(INDEX(계정대체기준!$E$20:$E$49,MATCH($N2561,계정대체기준!$A$20:$A$49,0)),0)))</f>
        <v/>
      </c>
      <c r="AC2561" s="9">
        <f>IF(AND($A2561&lt;&gt;"",M2561=설정!$C$20,Z2561&gt;0),Z2561+ROW()/1000000000,"")</f>
        <v/>
      </c>
      <c r="AD2561" s="94">
        <f>IF($A2561="",0,$P2561*AG2561)</f>
        <v/>
      </c>
      <c r="AE2561" s="64">
        <f>IF($A2561="","",IFERROR(INDEX(계정매핑!$E$5:$E$504,MATCH($F2561&amp;"",계정매핑!$A$5:$A$504,0))&amp;"","공통비"))</f>
        <v/>
      </c>
      <c r="AF2561" s="64">
        <f>IF($A2561="","",IF(AE2561="직접",IFERROR(INDEX(계정매핑!$F$5:$F$504,MATCH($F2561&amp;"",계정매핑!$A$5:$A$504,0))&amp;"","비귀속"),""))</f>
        <v/>
      </c>
      <c r="AG2561" s="96">
        <f>IF($A2561="",0,IF(AND(AE2561&lt;&gt;"직접",IFERROR(INDEX(계정매핑!$G$5:$G$504,MATCH($F2561&amp;"",계정매핑!$A$5:$A$504,0))&amp;"","")="유지비",COUNTIF(계정대체기준!$A$6:$A$15,$N2561)&gt;0),IFERROR(INDEX(계정대체기준!$E$6:$E$15,MATCH(VALUE($A2561&amp;""),계정대체기준!$D$6:$D$15,0)),0),0))</f>
        <v/>
      </c>
      <c r="AH2561" s="64">
        <f>IF($A2561="","",IF(AD2561=0,"",IF(OR(COUNTIF(계정대체기준!$A$77:$A$86,$N2561)&gt;0,ISNUMBER(MATCH($X2561,계정대체기준!$D$77:$D$86,0)),ISNUMBER(MATCH($F2561,계정대체기준!$D$77:$D$86,0))),"Y","N")))</f>
        <v/>
      </c>
    </row>
    <row r="2562">
      <c r="A2562" s="92" t="n">
        <v>2025</v>
      </c>
      <c r="B2562" s="92" t="n">
        <v>12</v>
      </c>
      <c r="C2562" s="92" t="inlineStr">
        <is>
          <t>5100002558</t>
        </is>
      </c>
      <c r="D2562" s="95" t="n">
        <v>46001</v>
      </c>
      <c r="E2562" s="92" t="inlineStr">
        <is>
          <t>KR</t>
        </is>
      </c>
      <c r="F2562" s="92" t="n">
        <v>62101000</v>
      </c>
      <c r="G2562" s="92" t="n">
        <v>1201</v>
      </c>
      <c r="H2562" s="93" t="n">
        <v>341000</v>
      </c>
      <c r="I2562" s="92" t="inlineStr">
        <is>
          <t>12월 국내출장 - M항공</t>
        </is>
      </c>
      <c r="J2562" s="92" t="inlineStr">
        <is>
          <t>V10001</t>
        </is>
      </c>
      <c r="K2562" s="92" t="inlineStr">
        <is>
          <t>M항공</t>
        </is>
      </c>
      <c r="M2562" s="9">
        <f>IF($A2562="","",VALUE($A2562&amp;"")*12+VALUE($B2562&amp;""))</f>
        <v/>
      </c>
      <c r="N2562" s="64">
        <f>IF($A2562="","",IFERROR(INDEX(부서매핑!$C$5:$C$504,MATCH($G2562&amp;"",부서매핑!$A$5:$A$504,0)),"미매핑"))</f>
        <v/>
      </c>
      <c r="O2562" s="9">
        <f>IF($A2562="","",N2562&amp;"|"&amp;$F2562)</f>
        <v/>
      </c>
      <c r="P2562" s="94">
        <f>IF($A2562="",0,$H2562*설정!$C$23)</f>
        <v/>
      </c>
      <c r="Q2562" s="64">
        <f>IF($A2562="","",IF(O2562&lt;&gt;원인분석!$C$9,"",IF(AND(M2562&gt;=원인분석!$C$10,M2562&lt;=원인분석!$C$11),"당기",IF(AND(M2562&gt;=원인분석!$C$12,M2562&lt;=원인분석!$C$13),"비교",""))))</f>
        <v/>
      </c>
      <c r="R2562" s="9">
        <f>IF(Q2562="","",$K2562&amp;"")</f>
        <v/>
      </c>
      <c r="S2562" s="9">
        <f>IF(Q2562="","",IF(MATCH(R2562,$R$5:$R$100000,0)=ROW()-4,ROW(),""))</f>
        <v/>
      </c>
      <c r="T2562" s="9">
        <f>IF(Q2562="당기",ABS(P2562)+ROW()/1000000000,"")</f>
        <v/>
      </c>
      <c r="U2562" s="9">
        <f>IF(Q2562="비교",ABS(P2562)+ROW()/1000000000,"")</f>
        <v/>
      </c>
      <c r="V2562" s="64">
        <f>IF($A2562="","",IF(COUNTIF(변동분석!$E$7:$E$506,O2562)&gt;0,"Y","N"))</f>
        <v/>
      </c>
      <c r="W2562" s="64">
        <f>IF($A2562="","",IFERROR(INDEX(계정매핑!$D$5:$D$504,MATCH($F2562&amp;"",계정매핑!$A$5:$A$504,0)),"미매핑"))</f>
        <v/>
      </c>
      <c r="X2562" s="9">
        <f>IF($A2562="","",$F2562&amp;"")</f>
        <v/>
      </c>
      <c r="Y2562" s="94">
        <f>IF($A2562="",0,IF(AE2562="직접",IF(AF2562="비귀속",$P2562,0),$P2562*(1-AG2562)*IFERROR(INDEX(계정대체기준!$F$20:$F$49,MATCH($N2562,계정대체기준!$A$20:$A$49,0)),1)))</f>
        <v/>
      </c>
      <c r="Z2562" s="94">
        <f>IF($A2562="",0,IF(AE2562="직접",IF(AF2562="신계약비",$P2562,0),$P2562*(1-AG2562)*IFERROR(INDEX(계정대체기준!$C$20:$C$49,MATCH($N2562,계정대체기준!$A$20:$A$49,0)),0)))</f>
        <v/>
      </c>
      <c r="AA2562" s="94">
        <f>IF($A2562="",0,IF(AE2562="직접",IF(OR(AF2562="유지비",AF2562="손해조사비"),$P2562,0),$P2562*(1-AG2562)*IFERROR(INDEX(계정대체기준!$D$20:$D$49,MATCH($N2562,계정대체기준!$A$20:$A$49,0)),0)))</f>
        <v/>
      </c>
      <c r="AB2562" s="94">
        <f>IF($A2562="",0,IF(AE2562="직접",IF(AF2562="수금비",$P2562,0),$P2562*(1-AG2562)*IFERROR(INDEX(계정대체기준!$E$20:$E$49,MATCH($N2562,계정대체기준!$A$20:$A$49,0)),0)))</f>
        <v/>
      </c>
      <c r="AC2562" s="9">
        <f>IF(AND($A2562&lt;&gt;"",M2562=설정!$C$20,Z2562&gt;0),Z2562+ROW()/1000000000,"")</f>
        <v/>
      </c>
      <c r="AD2562" s="94">
        <f>IF($A2562="",0,$P2562*AG2562)</f>
        <v/>
      </c>
      <c r="AE2562" s="64">
        <f>IF($A2562="","",IFERROR(INDEX(계정매핑!$E$5:$E$504,MATCH($F2562&amp;"",계정매핑!$A$5:$A$504,0))&amp;"","공통비"))</f>
        <v/>
      </c>
      <c r="AF2562" s="64">
        <f>IF($A2562="","",IF(AE2562="직접",IFERROR(INDEX(계정매핑!$F$5:$F$504,MATCH($F2562&amp;"",계정매핑!$A$5:$A$504,0))&amp;"","비귀속"),""))</f>
        <v/>
      </c>
      <c r="AG2562" s="96">
        <f>IF($A2562="",0,IF(AND(AE2562&lt;&gt;"직접",IFERROR(INDEX(계정매핑!$G$5:$G$504,MATCH($F2562&amp;"",계정매핑!$A$5:$A$504,0))&amp;"","")="유지비",COUNTIF(계정대체기준!$A$6:$A$15,$N2562)&gt;0),IFERROR(INDEX(계정대체기준!$E$6:$E$15,MATCH(VALUE($A2562&amp;""),계정대체기준!$D$6:$D$15,0)),0),0))</f>
        <v/>
      </c>
      <c r="AH2562" s="64">
        <f>IF($A2562="","",IF(AD2562=0,"",IF(OR(COUNTIF(계정대체기준!$A$77:$A$86,$N2562)&gt;0,ISNUMBER(MATCH($X2562,계정대체기준!$D$77:$D$86,0)),ISNUMBER(MATCH($F2562,계정대체기준!$D$77:$D$86,0))),"Y","N")))</f>
        <v/>
      </c>
    </row>
    <row r="2563">
      <c r="A2563" s="92" t="n">
        <v>2025</v>
      </c>
      <c r="B2563" s="92" t="n">
        <v>12</v>
      </c>
      <c r="C2563" s="92" t="inlineStr">
        <is>
          <t>5100002559</t>
        </is>
      </c>
      <c r="D2563" s="95" t="n">
        <v>46001</v>
      </c>
      <c r="E2563" s="92" t="inlineStr">
        <is>
          <t>KR</t>
        </is>
      </c>
      <c r="F2563" s="92" t="n">
        <v>62102000</v>
      </c>
      <c r="G2563" s="92" t="n">
        <v>1301</v>
      </c>
      <c r="H2563" s="93" t="n">
        <v>64000</v>
      </c>
      <c r="I2563" s="92" t="inlineStr">
        <is>
          <t>12월 해외출장 - M항공</t>
        </is>
      </c>
      <c r="J2563" s="92" t="inlineStr">
        <is>
          <t>V10001</t>
        </is>
      </c>
      <c r="K2563" s="92" t="inlineStr">
        <is>
          <t>M항공</t>
        </is>
      </c>
      <c r="M2563" s="9">
        <f>IF($A2563="","",VALUE($A2563&amp;"")*12+VALUE($B2563&amp;""))</f>
        <v/>
      </c>
      <c r="N2563" s="64">
        <f>IF($A2563="","",IFERROR(INDEX(부서매핑!$C$5:$C$504,MATCH($G2563&amp;"",부서매핑!$A$5:$A$504,0)),"미매핑"))</f>
        <v/>
      </c>
      <c r="O2563" s="9">
        <f>IF($A2563="","",N2563&amp;"|"&amp;$F2563)</f>
        <v/>
      </c>
      <c r="P2563" s="94">
        <f>IF($A2563="",0,$H2563*설정!$C$23)</f>
        <v/>
      </c>
      <c r="Q2563" s="64">
        <f>IF($A2563="","",IF(O2563&lt;&gt;원인분석!$C$9,"",IF(AND(M2563&gt;=원인분석!$C$10,M2563&lt;=원인분석!$C$11),"당기",IF(AND(M2563&gt;=원인분석!$C$12,M2563&lt;=원인분석!$C$13),"비교",""))))</f>
        <v/>
      </c>
      <c r="R2563" s="9">
        <f>IF(Q2563="","",$K2563&amp;"")</f>
        <v/>
      </c>
      <c r="S2563" s="9">
        <f>IF(Q2563="","",IF(MATCH(R2563,$R$5:$R$100000,0)=ROW()-4,ROW(),""))</f>
        <v/>
      </c>
      <c r="T2563" s="9">
        <f>IF(Q2563="당기",ABS(P2563)+ROW()/1000000000,"")</f>
        <v/>
      </c>
      <c r="U2563" s="9">
        <f>IF(Q2563="비교",ABS(P2563)+ROW()/1000000000,"")</f>
        <v/>
      </c>
      <c r="V2563" s="64">
        <f>IF($A2563="","",IF(COUNTIF(변동분석!$E$7:$E$506,O2563)&gt;0,"Y","N"))</f>
        <v/>
      </c>
      <c r="W2563" s="64">
        <f>IF($A2563="","",IFERROR(INDEX(계정매핑!$D$5:$D$504,MATCH($F2563&amp;"",계정매핑!$A$5:$A$504,0)),"미매핑"))</f>
        <v/>
      </c>
      <c r="X2563" s="9">
        <f>IF($A2563="","",$F2563&amp;"")</f>
        <v/>
      </c>
      <c r="Y2563" s="94">
        <f>IF($A2563="",0,IF(AE2563="직접",IF(AF2563="비귀속",$P2563,0),$P2563*(1-AG2563)*IFERROR(INDEX(계정대체기준!$F$20:$F$49,MATCH($N2563,계정대체기준!$A$20:$A$49,0)),1)))</f>
        <v/>
      </c>
      <c r="Z2563" s="94">
        <f>IF($A2563="",0,IF(AE2563="직접",IF(AF2563="신계약비",$P2563,0),$P2563*(1-AG2563)*IFERROR(INDEX(계정대체기준!$C$20:$C$49,MATCH($N2563,계정대체기준!$A$20:$A$49,0)),0)))</f>
        <v/>
      </c>
      <c r="AA2563" s="94">
        <f>IF($A2563="",0,IF(AE2563="직접",IF(OR(AF2563="유지비",AF2563="손해조사비"),$P2563,0),$P2563*(1-AG2563)*IFERROR(INDEX(계정대체기준!$D$20:$D$49,MATCH($N2563,계정대체기준!$A$20:$A$49,0)),0)))</f>
        <v/>
      </c>
      <c r="AB2563" s="94">
        <f>IF($A2563="",0,IF(AE2563="직접",IF(AF2563="수금비",$P2563,0),$P2563*(1-AG2563)*IFERROR(INDEX(계정대체기준!$E$20:$E$49,MATCH($N2563,계정대체기준!$A$20:$A$49,0)),0)))</f>
        <v/>
      </c>
      <c r="AC2563" s="9">
        <f>IF(AND($A2563&lt;&gt;"",M2563=설정!$C$20,Z2563&gt;0),Z2563+ROW()/1000000000,"")</f>
        <v/>
      </c>
      <c r="AD2563" s="94">
        <f>IF($A2563="",0,$P2563*AG2563)</f>
        <v/>
      </c>
      <c r="AE2563" s="64">
        <f>IF($A2563="","",IFERROR(INDEX(계정매핑!$E$5:$E$504,MATCH($F2563&amp;"",계정매핑!$A$5:$A$504,0))&amp;"","공통비"))</f>
        <v/>
      </c>
      <c r="AF2563" s="64">
        <f>IF($A2563="","",IF(AE2563="직접",IFERROR(INDEX(계정매핑!$F$5:$F$504,MATCH($F2563&amp;"",계정매핑!$A$5:$A$504,0))&amp;"","비귀속"),""))</f>
        <v/>
      </c>
      <c r="AG2563" s="96">
        <f>IF($A2563="",0,IF(AND(AE2563&lt;&gt;"직접",IFERROR(INDEX(계정매핑!$G$5:$G$504,MATCH($F2563&amp;"",계정매핑!$A$5:$A$504,0))&amp;"","")="유지비",COUNTIF(계정대체기준!$A$6:$A$15,$N2563)&gt;0),IFERROR(INDEX(계정대체기준!$E$6:$E$15,MATCH(VALUE($A2563&amp;""),계정대체기준!$D$6:$D$15,0)),0),0))</f>
        <v/>
      </c>
      <c r="AH2563" s="64">
        <f>IF($A2563="","",IF(AD2563=0,"",IF(OR(COUNTIF(계정대체기준!$A$77:$A$86,$N2563)&gt;0,ISNUMBER(MATCH($X2563,계정대체기준!$D$77:$D$86,0)),ISNUMBER(MATCH($F2563,계정대체기준!$D$77:$D$86,0))),"Y","N")))</f>
        <v/>
      </c>
    </row>
    <row r="2564">
      <c r="A2564" s="92" t="n">
        <v>2025</v>
      </c>
      <c r="B2564" s="92" t="n">
        <v>12</v>
      </c>
      <c r="C2564" s="92" t="inlineStr">
        <is>
          <t>5100002560</t>
        </is>
      </c>
      <c r="D2564" s="95" t="n">
        <v>46001</v>
      </c>
      <c r="E2564" s="92" t="inlineStr">
        <is>
          <t>KR</t>
        </is>
      </c>
      <c r="F2564" s="92" t="n">
        <v>62902000</v>
      </c>
      <c r="G2564" s="92" t="n">
        <v>1801</v>
      </c>
      <c r="H2564" s="93" t="n">
        <v>1836000</v>
      </c>
      <c r="I2564" s="92" t="inlineStr">
        <is>
          <t>12월 콜 위탁 수수료(건별)</t>
        </is>
      </c>
      <c r="J2564" s="92" t="inlineStr">
        <is>
          <t>V10016</t>
        </is>
      </c>
      <c r="K2564" s="92" t="inlineStr">
        <is>
          <t>J콜센터</t>
        </is>
      </c>
      <c r="M2564" s="9">
        <f>IF($A2564="","",VALUE($A2564&amp;"")*12+VALUE($B2564&amp;""))</f>
        <v/>
      </c>
      <c r="N2564" s="64">
        <f>IF($A2564="","",IFERROR(INDEX(부서매핑!$C$5:$C$504,MATCH($G2564&amp;"",부서매핑!$A$5:$A$504,0)),"미매핑"))</f>
        <v/>
      </c>
      <c r="O2564" s="9">
        <f>IF($A2564="","",N2564&amp;"|"&amp;$F2564)</f>
        <v/>
      </c>
      <c r="P2564" s="94">
        <f>IF($A2564="",0,$H2564*설정!$C$23)</f>
        <v/>
      </c>
      <c r="Q2564" s="64">
        <f>IF($A2564="","",IF(O2564&lt;&gt;원인분석!$C$9,"",IF(AND(M2564&gt;=원인분석!$C$10,M2564&lt;=원인분석!$C$11),"당기",IF(AND(M2564&gt;=원인분석!$C$12,M2564&lt;=원인분석!$C$13),"비교",""))))</f>
        <v/>
      </c>
      <c r="R2564" s="9">
        <f>IF(Q2564="","",$K2564&amp;"")</f>
        <v/>
      </c>
      <c r="S2564" s="9">
        <f>IF(Q2564="","",IF(MATCH(R2564,$R$5:$R$100000,0)=ROW()-4,ROW(),""))</f>
        <v/>
      </c>
      <c r="T2564" s="9">
        <f>IF(Q2564="당기",ABS(P2564)+ROW()/1000000000,"")</f>
        <v/>
      </c>
      <c r="U2564" s="9">
        <f>IF(Q2564="비교",ABS(P2564)+ROW()/1000000000,"")</f>
        <v/>
      </c>
      <c r="V2564" s="64">
        <f>IF($A2564="","",IF(COUNTIF(변동분석!$E$7:$E$506,O2564)&gt;0,"Y","N"))</f>
        <v/>
      </c>
      <c r="W2564" s="64">
        <f>IF($A2564="","",IFERROR(INDEX(계정매핑!$D$5:$D$504,MATCH($F2564&amp;"",계정매핑!$A$5:$A$504,0)),"미매핑"))</f>
        <v/>
      </c>
      <c r="X2564" s="9">
        <f>IF($A2564="","",$F2564&amp;"")</f>
        <v/>
      </c>
      <c r="Y2564" s="94">
        <f>IF($A2564="",0,IF(AE2564="직접",IF(AF2564="비귀속",$P2564,0),$P2564*(1-AG2564)*IFERROR(INDEX(계정대체기준!$F$20:$F$49,MATCH($N2564,계정대체기준!$A$20:$A$49,0)),1)))</f>
        <v/>
      </c>
      <c r="Z2564" s="94">
        <f>IF($A2564="",0,IF(AE2564="직접",IF(AF2564="신계약비",$P2564,0),$P2564*(1-AG2564)*IFERROR(INDEX(계정대체기준!$C$20:$C$49,MATCH($N2564,계정대체기준!$A$20:$A$49,0)),0)))</f>
        <v/>
      </c>
      <c r="AA2564" s="94">
        <f>IF($A2564="",0,IF(AE2564="직접",IF(OR(AF2564="유지비",AF2564="손해조사비"),$P2564,0),$P2564*(1-AG2564)*IFERROR(INDEX(계정대체기준!$D$20:$D$49,MATCH($N2564,계정대체기준!$A$20:$A$49,0)),0)))</f>
        <v/>
      </c>
      <c r="AB2564" s="94">
        <f>IF($A2564="",0,IF(AE2564="직접",IF(AF2564="수금비",$P2564,0),$P2564*(1-AG2564)*IFERROR(INDEX(계정대체기준!$E$20:$E$49,MATCH($N2564,계정대체기준!$A$20:$A$49,0)),0)))</f>
        <v/>
      </c>
      <c r="AC2564" s="9">
        <f>IF(AND($A2564&lt;&gt;"",M2564=설정!$C$20,Z2564&gt;0),Z2564+ROW()/1000000000,"")</f>
        <v/>
      </c>
      <c r="AD2564" s="94">
        <f>IF($A2564="",0,$P2564*AG2564)</f>
        <v/>
      </c>
      <c r="AE2564" s="64">
        <f>IF($A2564="","",IFERROR(INDEX(계정매핑!$E$5:$E$504,MATCH($F2564&amp;"",계정매핑!$A$5:$A$504,0))&amp;"","공통비"))</f>
        <v/>
      </c>
      <c r="AF2564" s="64">
        <f>IF($A2564="","",IF(AE2564="직접",IFERROR(INDEX(계정매핑!$F$5:$F$504,MATCH($F2564&amp;"",계정매핑!$A$5:$A$504,0))&amp;"","비귀속"),""))</f>
        <v/>
      </c>
      <c r="AG2564" s="96">
        <f>IF($A2564="",0,IF(AND(AE2564&lt;&gt;"직접",IFERROR(INDEX(계정매핑!$G$5:$G$504,MATCH($F2564&amp;"",계정매핑!$A$5:$A$504,0))&amp;"","")="유지비",COUNTIF(계정대체기준!$A$6:$A$15,$N2564)&gt;0),IFERROR(INDEX(계정대체기준!$E$6:$E$15,MATCH(VALUE($A2564&amp;""),계정대체기준!$D$6:$D$15,0)),0),0))</f>
        <v/>
      </c>
      <c r="AH2564" s="64">
        <f>IF($A2564="","",IF(AD2564=0,"",IF(OR(COUNTIF(계정대체기준!$A$77:$A$86,$N2564)&gt;0,ISNUMBER(MATCH($X2564,계정대체기준!$D$77:$D$86,0)),ISNUMBER(MATCH($F2564,계정대체기준!$D$77:$D$86,0))),"Y","N")))</f>
        <v/>
      </c>
    </row>
    <row r="2565">
      <c r="A2565" s="92" t="n">
        <v>2025</v>
      </c>
      <c r="B2565" s="92" t="n">
        <v>12</v>
      </c>
      <c r="C2565" s="92" t="inlineStr">
        <is>
          <t>5100002561</t>
        </is>
      </c>
      <c r="D2565" s="95" t="n">
        <v>46001</v>
      </c>
      <c r="E2565" s="92" t="inlineStr">
        <is>
          <t>KR</t>
        </is>
      </c>
      <c r="F2565" s="92" t="n">
        <v>62902000</v>
      </c>
      <c r="G2565" s="92" t="n">
        <v>1801</v>
      </c>
      <c r="H2565" s="93" t="n">
        <v>1823000</v>
      </c>
      <c r="I2565" s="92" t="inlineStr">
        <is>
          <t>12월 콜 위탁 수수료(건별)</t>
        </is>
      </c>
      <c r="J2565" s="92" t="inlineStr">
        <is>
          <t>V10016</t>
        </is>
      </c>
      <c r="K2565" s="92" t="inlineStr">
        <is>
          <t>J콜센터</t>
        </is>
      </c>
      <c r="M2565" s="9">
        <f>IF($A2565="","",VALUE($A2565&amp;"")*12+VALUE($B2565&amp;""))</f>
        <v/>
      </c>
      <c r="N2565" s="64">
        <f>IF($A2565="","",IFERROR(INDEX(부서매핑!$C$5:$C$504,MATCH($G2565&amp;"",부서매핑!$A$5:$A$504,0)),"미매핑"))</f>
        <v/>
      </c>
      <c r="O2565" s="9">
        <f>IF($A2565="","",N2565&amp;"|"&amp;$F2565)</f>
        <v/>
      </c>
      <c r="P2565" s="94">
        <f>IF($A2565="",0,$H2565*설정!$C$23)</f>
        <v/>
      </c>
      <c r="Q2565" s="64">
        <f>IF($A2565="","",IF(O2565&lt;&gt;원인분석!$C$9,"",IF(AND(M2565&gt;=원인분석!$C$10,M2565&lt;=원인분석!$C$11),"당기",IF(AND(M2565&gt;=원인분석!$C$12,M2565&lt;=원인분석!$C$13),"비교",""))))</f>
        <v/>
      </c>
      <c r="R2565" s="9">
        <f>IF(Q2565="","",$K2565&amp;"")</f>
        <v/>
      </c>
      <c r="S2565" s="9">
        <f>IF(Q2565="","",IF(MATCH(R2565,$R$5:$R$100000,0)=ROW()-4,ROW(),""))</f>
        <v/>
      </c>
      <c r="T2565" s="9">
        <f>IF(Q2565="당기",ABS(P2565)+ROW()/1000000000,"")</f>
        <v/>
      </c>
      <c r="U2565" s="9">
        <f>IF(Q2565="비교",ABS(P2565)+ROW()/1000000000,"")</f>
        <v/>
      </c>
      <c r="V2565" s="64">
        <f>IF($A2565="","",IF(COUNTIF(변동분석!$E$7:$E$506,O2565)&gt;0,"Y","N"))</f>
        <v/>
      </c>
      <c r="W2565" s="64">
        <f>IF($A2565="","",IFERROR(INDEX(계정매핑!$D$5:$D$504,MATCH($F2565&amp;"",계정매핑!$A$5:$A$504,0)),"미매핑"))</f>
        <v/>
      </c>
      <c r="X2565" s="9">
        <f>IF($A2565="","",$F2565&amp;"")</f>
        <v/>
      </c>
      <c r="Y2565" s="94">
        <f>IF($A2565="",0,IF(AE2565="직접",IF(AF2565="비귀속",$P2565,0),$P2565*(1-AG2565)*IFERROR(INDEX(계정대체기준!$F$20:$F$49,MATCH($N2565,계정대체기준!$A$20:$A$49,0)),1)))</f>
        <v/>
      </c>
      <c r="Z2565" s="94">
        <f>IF($A2565="",0,IF(AE2565="직접",IF(AF2565="신계약비",$P2565,0),$P2565*(1-AG2565)*IFERROR(INDEX(계정대체기준!$C$20:$C$49,MATCH($N2565,계정대체기준!$A$20:$A$49,0)),0)))</f>
        <v/>
      </c>
      <c r="AA2565" s="94">
        <f>IF($A2565="",0,IF(AE2565="직접",IF(OR(AF2565="유지비",AF2565="손해조사비"),$P2565,0),$P2565*(1-AG2565)*IFERROR(INDEX(계정대체기준!$D$20:$D$49,MATCH($N2565,계정대체기준!$A$20:$A$49,0)),0)))</f>
        <v/>
      </c>
      <c r="AB2565" s="94">
        <f>IF($A2565="",0,IF(AE2565="직접",IF(AF2565="수금비",$P2565,0),$P2565*(1-AG2565)*IFERROR(INDEX(계정대체기준!$E$20:$E$49,MATCH($N2565,계정대체기준!$A$20:$A$49,0)),0)))</f>
        <v/>
      </c>
      <c r="AC2565" s="9">
        <f>IF(AND($A2565&lt;&gt;"",M2565=설정!$C$20,Z2565&gt;0),Z2565+ROW()/1000000000,"")</f>
        <v/>
      </c>
      <c r="AD2565" s="94">
        <f>IF($A2565="",0,$P2565*AG2565)</f>
        <v/>
      </c>
      <c r="AE2565" s="64">
        <f>IF($A2565="","",IFERROR(INDEX(계정매핑!$E$5:$E$504,MATCH($F2565&amp;"",계정매핑!$A$5:$A$504,0))&amp;"","공통비"))</f>
        <v/>
      </c>
      <c r="AF2565" s="64">
        <f>IF($A2565="","",IF(AE2565="직접",IFERROR(INDEX(계정매핑!$F$5:$F$504,MATCH($F2565&amp;"",계정매핑!$A$5:$A$504,0))&amp;"","비귀속"),""))</f>
        <v/>
      </c>
      <c r="AG2565" s="96">
        <f>IF($A2565="",0,IF(AND(AE2565&lt;&gt;"직접",IFERROR(INDEX(계정매핑!$G$5:$G$504,MATCH($F2565&amp;"",계정매핑!$A$5:$A$504,0))&amp;"","")="유지비",COUNTIF(계정대체기준!$A$6:$A$15,$N2565)&gt;0),IFERROR(INDEX(계정대체기준!$E$6:$E$15,MATCH(VALUE($A2565&amp;""),계정대체기준!$D$6:$D$15,0)),0),0))</f>
        <v/>
      </c>
      <c r="AH2565" s="64">
        <f>IF($A2565="","",IF(AD2565=0,"",IF(OR(COUNTIF(계정대체기준!$A$77:$A$86,$N2565)&gt;0,ISNUMBER(MATCH($X2565,계정대체기준!$D$77:$D$86,0)),ISNUMBER(MATCH($F2565,계정대체기준!$D$77:$D$86,0))),"Y","N")))</f>
        <v/>
      </c>
    </row>
    <row r="2566">
      <c r="A2566" s="92" t="n">
        <v>2025</v>
      </c>
      <c r="B2566" s="92" t="n">
        <v>12</v>
      </c>
      <c r="C2566" s="92" t="inlineStr">
        <is>
          <t>5100002562</t>
        </is>
      </c>
      <c r="D2566" s="95" t="n">
        <v>46002</v>
      </c>
      <c r="E2566" s="92" t="inlineStr">
        <is>
          <t>KR</t>
        </is>
      </c>
      <c r="F2566" s="92" t="n">
        <v>62101000</v>
      </c>
      <c r="G2566" s="92" t="n">
        <v>1501</v>
      </c>
      <c r="H2566" s="93" t="n">
        <v>744000</v>
      </c>
      <c r="I2566" s="92" t="inlineStr">
        <is>
          <t>12월 국내출장 - L여행사</t>
        </is>
      </c>
      <c r="J2566" s="92" t="inlineStr">
        <is>
          <t>V10018</t>
        </is>
      </c>
      <c r="K2566" s="92" t="inlineStr">
        <is>
          <t>L여행사</t>
        </is>
      </c>
      <c r="M2566" s="9">
        <f>IF($A2566="","",VALUE($A2566&amp;"")*12+VALUE($B2566&amp;""))</f>
        <v/>
      </c>
      <c r="N2566" s="64">
        <f>IF($A2566="","",IFERROR(INDEX(부서매핑!$C$5:$C$504,MATCH($G2566&amp;"",부서매핑!$A$5:$A$504,0)),"미매핑"))</f>
        <v/>
      </c>
      <c r="O2566" s="9">
        <f>IF($A2566="","",N2566&amp;"|"&amp;$F2566)</f>
        <v/>
      </c>
      <c r="P2566" s="94">
        <f>IF($A2566="",0,$H2566*설정!$C$23)</f>
        <v/>
      </c>
      <c r="Q2566" s="64">
        <f>IF($A2566="","",IF(O2566&lt;&gt;원인분석!$C$9,"",IF(AND(M2566&gt;=원인분석!$C$10,M2566&lt;=원인분석!$C$11),"당기",IF(AND(M2566&gt;=원인분석!$C$12,M2566&lt;=원인분석!$C$13),"비교",""))))</f>
        <v/>
      </c>
      <c r="R2566" s="9">
        <f>IF(Q2566="","",$K2566&amp;"")</f>
        <v/>
      </c>
      <c r="S2566" s="9">
        <f>IF(Q2566="","",IF(MATCH(R2566,$R$5:$R$100000,0)=ROW()-4,ROW(),""))</f>
        <v/>
      </c>
      <c r="T2566" s="9">
        <f>IF(Q2566="당기",ABS(P2566)+ROW()/1000000000,"")</f>
        <v/>
      </c>
      <c r="U2566" s="9">
        <f>IF(Q2566="비교",ABS(P2566)+ROW()/1000000000,"")</f>
        <v/>
      </c>
      <c r="V2566" s="64">
        <f>IF($A2566="","",IF(COUNTIF(변동분석!$E$7:$E$506,O2566)&gt;0,"Y","N"))</f>
        <v/>
      </c>
      <c r="W2566" s="64">
        <f>IF($A2566="","",IFERROR(INDEX(계정매핑!$D$5:$D$504,MATCH($F2566&amp;"",계정매핑!$A$5:$A$504,0)),"미매핑"))</f>
        <v/>
      </c>
      <c r="X2566" s="9">
        <f>IF($A2566="","",$F2566&amp;"")</f>
        <v/>
      </c>
      <c r="Y2566" s="94">
        <f>IF($A2566="",0,IF(AE2566="직접",IF(AF2566="비귀속",$P2566,0),$P2566*(1-AG2566)*IFERROR(INDEX(계정대체기준!$F$20:$F$49,MATCH($N2566,계정대체기준!$A$20:$A$49,0)),1)))</f>
        <v/>
      </c>
      <c r="Z2566" s="94">
        <f>IF($A2566="",0,IF(AE2566="직접",IF(AF2566="신계약비",$P2566,0),$P2566*(1-AG2566)*IFERROR(INDEX(계정대체기준!$C$20:$C$49,MATCH($N2566,계정대체기준!$A$20:$A$49,0)),0)))</f>
        <v/>
      </c>
      <c r="AA2566" s="94">
        <f>IF($A2566="",0,IF(AE2566="직접",IF(OR(AF2566="유지비",AF2566="손해조사비"),$P2566,0),$P2566*(1-AG2566)*IFERROR(INDEX(계정대체기준!$D$20:$D$49,MATCH($N2566,계정대체기준!$A$20:$A$49,0)),0)))</f>
        <v/>
      </c>
      <c r="AB2566" s="94">
        <f>IF($A2566="",0,IF(AE2566="직접",IF(AF2566="수금비",$P2566,0),$P2566*(1-AG2566)*IFERROR(INDEX(계정대체기준!$E$20:$E$49,MATCH($N2566,계정대체기준!$A$20:$A$49,0)),0)))</f>
        <v/>
      </c>
      <c r="AC2566" s="9">
        <f>IF(AND($A2566&lt;&gt;"",M2566=설정!$C$20,Z2566&gt;0),Z2566+ROW()/1000000000,"")</f>
        <v/>
      </c>
      <c r="AD2566" s="94">
        <f>IF($A2566="",0,$P2566*AG2566)</f>
        <v/>
      </c>
      <c r="AE2566" s="64">
        <f>IF($A2566="","",IFERROR(INDEX(계정매핑!$E$5:$E$504,MATCH($F2566&amp;"",계정매핑!$A$5:$A$504,0))&amp;"","공통비"))</f>
        <v/>
      </c>
      <c r="AF2566" s="64">
        <f>IF($A2566="","",IF(AE2566="직접",IFERROR(INDEX(계정매핑!$F$5:$F$504,MATCH($F2566&amp;"",계정매핑!$A$5:$A$504,0))&amp;"","비귀속"),""))</f>
        <v/>
      </c>
      <c r="AG2566" s="96">
        <f>IF($A2566="",0,IF(AND(AE2566&lt;&gt;"직접",IFERROR(INDEX(계정매핑!$G$5:$G$504,MATCH($F2566&amp;"",계정매핑!$A$5:$A$504,0))&amp;"","")="유지비",COUNTIF(계정대체기준!$A$6:$A$15,$N2566)&gt;0),IFERROR(INDEX(계정대체기준!$E$6:$E$15,MATCH(VALUE($A2566&amp;""),계정대체기준!$D$6:$D$15,0)),0),0))</f>
        <v/>
      </c>
      <c r="AH2566" s="64">
        <f>IF($A2566="","",IF(AD2566=0,"",IF(OR(COUNTIF(계정대체기준!$A$77:$A$86,$N2566)&gt;0,ISNUMBER(MATCH($X2566,계정대체기준!$D$77:$D$86,0)),ISNUMBER(MATCH($F2566,계정대체기준!$D$77:$D$86,0))),"Y","N")))</f>
        <v/>
      </c>
    </row>
    <row r="2567">
      <c r="A2567" s="92" t="n">
        <v>2025</v>
      </c>
      <c r="B2567" s="92" t="n">
        <v>12</v>
      </c>
      <c r="C2567" s="92" t="inlineStr">
        <is>
          <t>5100002563</t>
        </is>
      </c>
      <c r="D2567" s="95" t="n">
        <v>46002</v>
      </c>
      <c r="E2567" s="92" t="inlineStr">
        <is>
          <t>KR</t>
        </is>
      </c>
      <c r="F2567" s="92" t="n">
        <v>62101000</v>
      </c>
      <c r="G2567" s="92" t="n">
        <v>1502</v>
      </c>
      <c r="H2567" s="93" t="n">
        <v>672000</v>
      </c>
      <c r="I2567" s="92" t="inlineStr">
        <is>
          <t>12월 국내출장 - (법인카드)</t>
        </is>
      </c>
      <c r="J2567" s="92" t="inlineStr">
        <is>
          <t>V10010</t>
        </is>
      </c>
      <c r="K2567" s="92" t="inlineStr">
        <is>
          <t>(법인카드)</t>
        </is>
      </c>
      <c r="M2567" s="9">
        <f>IF($A2567="","",VALUE($A2567&amp;"")*12+VALUE($B2567&amp;""))</f>
        <v/>
      </c>
      <c r="N2567" s="64">
        <f>IF($A2567="","",IFERROR(INDEX(부서매핑!$C$5:$C$504,MATCH($G2567&amp;"",부서매핑!$A$5:$A$504,0)),"미매핑"))</f>
        <v/>
      </c>
      <c r="O2567" s="9">
        <f>IF($A2567="","",N2567&amp;"|"&amp;$F2567)</f>
        <v/>
      </c>
      <c r="P2567" s="94">
        <f>IF($A2567="",0,$H2567*설정!$C$23)</f>
        <v/>
      </c>
      <c r="Q2567" s="64">
        <f>IF($A2567="","",IF(O2567&lt;&gt;원인분석!$C$9,"",IF(AND(M2567&gt;=원인분석!$C$10,M2567&lt;=원인분석!$C$11),"당기",IF(AND(M2567&gt;=원인분석!$C$12,M2567&lt;=원인분석!$C$13),"비교",""))))</f>
        <v/>
      </c>
      <c r="R2567" s="9">
        <f>IF(Q2567="","",$K2567&amp;"")</f>
        <v/>
      </c>
      <c r="S2567" s="9">
        <f>IF(Q2567="","",IF(MATCH(R2567,$R$5:$R$100000,0)=ROW()-4,ROW(),""))</f>
        <v/>
      </c>
      <c r="T2567" s="9">
        <f>IF(Q2567="당기",ABS(P2567)+ROW()/1000000000,"")</f>
        <v/>
      </c>
      <c r="U2567" s="9">
        <f>IF(Q2567="비교",ABS(P2567)+ROW()/1000000000,"")</f>
        <v/>
      </c>
      <c r="V2567" s="64">
        <f>IF($A2567="","",IF(COUNTIF(변동분석!$E$7:$E$506,O2567)&gt;0,"Y","N"))</f>
        <v/>
      </c>
      <c r="W2567" s="64">
        <f>IF($A2567="","",IFERROR(INDEX(계정매핑!$D$5:$D$504,MATCH($F2567&amp;"",계정매핑!$A$5:$A$504,0)),"미매핑"))</f>
        <v/>
      </c>
      <c r="X2567" s="9">
        <f>IF($A2567="","",$F2567&amp;"")</f>
        <v/>
      </c>
      <c r="Y2567" s="94">
        <f>IF($A2567="",0,IF(AE2567="직접",IF(AF2567="비귀속",$P2567,0),$P2567*(1-AG2567)*IFERROR(INDEX(계정대체기준!$F$20:$F$49,MATCH($N2567,계정대체기준!$A$20:$A$49,0)),1)))</f>
        <v/>
      </c>
      <c r="Z2567" s="94">
        <f>IF($A2567="",0,IF(AE2567="직접",IF(AF2567="신계약비",$P2567,0),$P2567*(1-AG2567)*IFERROR(INDEX(계정대체기준!$C$20:$C$49,MATCH($N2567,계정대체기준!$A$20:$A$49,0)),0)))</f>
        <v/>
      </c>
      <c r="AA2567" s="94">
        <f>IF($A2567="",0,IF(AE2567="직접",IF(OR(AF2567="유지비",AF2567="손해조사비"),$P2567,0),$P2567*(1-AG2567)*IFERROR(INDEX(계정대체기준!$D$20:$D$49,MATCH($N2567,계정대체기준!$A$20:$A$49,0)),0)))</f>
        <v/>
      </c>
      <c r="AB2567" s="94">
        <f>IF($A2567="",0,IF(AE2567="직접",IF(AF2567="수금비",$P2567,0),$P2567*(1-AG2567)*IFERROR(INDEX(계정대체기준!$E$20:$E$49,MATCH($N2567,계정대체기준!$A$20:$A$49,0)),0)))</f>
        <v/>
      </c>
      <c r="AC2567" s="9">
        <f>IF(AND($A2567&lt;&gt;"",M2567=설정!$C$20,Z2567&gt;0),Z2567+ROW()/1000000000,"")</f>
        <v/>
      </c>
      <c r="AD2567" s="94">
        <f>IF($A2567="",0,$P2567*AG2567)</f>
        <v/>
      </c>
      <c r="AE2567" s="64">
        <f>IF($A2567="","",IFERROR(INDEX(계정매핑!$E$5:$E$504,MATCH($F2567&amp;"",계정매핑!$A$5:$A$504,0))&amp;"","공통비"))</f>
        <v/>
      </c>
      <c r="AF2567" s="64">
        <f>IF($A2567="","",IF(AE2567="직접",IFERROR(INDEX(계정매핑!$F$5:$F$504,MATCH($F2567&amp;"",계정매핑!$A$5:$A$504,0))&amp;"","비귀속"),""))</f>
        <v/>
      </c>
      <c r="AG2567" s="96">
        <f>IF($A2567="",0,IF(AND(AE2567&lt;&gt;"직접",IFERROR(INDEX(계정매핑!$G$5:$G$504,MATCH($F2567&amp;"",계정매핑!$A$5:$A$504,0))&amp;"","")="유지비",COUNTIF(계정대체기준!$A$6:$A$15,$N2567)&gt;0),IFERROR(INDEX(계정대체기준!$E$6:$E$15,MATCH(VALUE($A2567&amp;""),계정대체기준!$D$6:$D$15,0)),0),0))</f>
        <v/>
      </c>
      <c r="AH2567" s="64">
        <f>IF($A2567="","",IF(AD2567=0,"",IF(OR(COUNTIF(계정대체기준!$A$77:$A$86,$N2567)&gt;0,ISNUMBER(MATCH($X2567,계정대체기준!$D$77:$D$86,0)),ISNUMBER(MATCH($F2567,계정대체기준!$D$77:$D$86,0))),"Y","N")))</f>
        <v/>
      </c>
    </row>
    <row r="2568">
      <c r="A2568" s="92" t="n">
        <v>2025</v>
      </c>
      <c r="B2568" s="92" t="n">
        <v>12</v>
      </c>
      <c r="C2568" s="92" t="inlineStr">
        <is>
          <t>5100002564</t>
        </is>
      </c>
      <c r="D2568" s="95" t="n">
        <v>46002</v>
      </c>
      <c r="E2568" s="92" t="inlineStr">
        <is>
          <t>KR</t>
        </is>
      </c>
      <c r="F2568" s="92" t="n">
        <v>62102000</v>
      </c>
      <c r="G2568" s="92" t="n">
        <v>1201</v>
      </c>
      <c r="H2568" s="93" t="n">
        <v>76000</v>
      </c>
      <c r="I2568" s="92" t="inlineStr">
        <is>
          <t>12월 해외출장 - M항공</t>
        </is>
      </c>
      <c r="J2568" s="92" t="inlineStr">
        <is>
          <t>V10001</t>
        </is>
      </c>
      <c r="K2568" s="92" t="inlineStr">
        <is>
          <t>M항공</t>
        </is>
      </c>
      <c r="M2568" s="9">
        <f>IF($A2568="","",VALUE($A2568&amp;"")*12+VALUE($B2568&amp;""))</f>
        <v/>
      </c>
      <c r="N2568" s="64">
        <f>IF($A2568="","",IFERROR(INDEX(부서매핑!$C$5:$C$504,MATCH($G2568&amp;"",부서매핑!$A$5:$A$504,0)),"미매핑"))</f>
        <v/>
      </c>
      <c r="O2568" s="9">
        <f>IF($A2568="","",N2568&amp;"|"&amp;$F2568)</f>
        <v/>
      </c>
      <c r="P2568" s="94">
        <f>IF($A2568="",0,$H2568*설정!$C$23)</f>
        <v/>
      </c>
      <c r="Q2568" s="64">
        <f>IF($A2568="","",IF(O2568&lt;&gt;원인분석!$C$9,"",IF(AND(M2568&gt;=원인분석!$C$10,M2568&lt;=원인분석!$C$11),"당기",IF(AND(M2568&gt;=원인분석!$C$12,M2568&lt;=원인분석!$C$13),"비교",""))))</f>
        <v/>
      </c>
      <c r="R2568" s="9">
        <f>IF(Q2568="","",$K2568&amp;"")</f>
        <v/>
      </c>
      <c r="S2568" s="9">
        <f>IF(Q2568="","",IF(MATCH(R2568,$R$5:$R$100000,0)=ROW()-4,ROW(),""))</f>
        <v/>
      </c>
      <c r="T2568" s="9">
        <f>IF(Q2568="당기",ABS(P2568)+ROW()/1000000000,"")</f>
        <v/>
      </c>
      <c r="U2568" s="9">
        <f>IF(Q2568="비교",ABS(P2568)+ROW()/1000000000,"")</f>
        <v/>
      </c>
      <c r="V2568" s="64">
        <f>IF($A2568="","",IF(COUNTIF(변동분석!$E$7:$E$506,O2568)&gt;0,"Y","N"))</f>
        <v/>
      </c>
      <c r="W2568" s="64">
        <f>IF($A2568="","",IFERROR(INDEX(계정매핑!$D$5:$D$504,MATCH($F2568&amp;"",계정매핑!$A$5:$A$504,0)),"미매핑"))</f>
        <v/>
      </c>
      <c r="X2568" s="9">
        <f>IF($A2568="","",$F2568&amp;"")</f>
        <v/>
      </c>
      <c r="Y2568" s="94">
        <f>IF($A2568="",0,IF(AE2568="직접",IF(AF2568="비귀속",$P2568,0),$P2568*(1-AG2568)*IFERROR(INDEX(계정대체기준!$F$20:$F$49,MATCH($N2568,계정대체기준!$A$20:$A$49,0)),1)))</f>
        <v/>
      </c>
      <c r="Z2568" s="94">
        <f>IF($A2568="",0,IF(AE2568="직접",IF(AF2568="신계약비",$P2568,0),$P2568*(1-AG2568)*IFERROR(INDEX(계정대체기준!$C$20:$C$49,MATCH($N2568,계정대체기준!$A$20:$A$49,0)),0)))</f>
        <v/>
      </c>
      <c r="AA2568" s="94">
        <f>IF($A2568="",0,IF(AE2568="직접",IF(OR(AF2568="유지비",AF2568="손해조사비"),$P2568,0),$P2568*(1-AG2568)*IFERROR(INDEX(계정대체기준!$D$20:$D$49,MATCH($N2568,계정대체기준!$A$20:$A$49,0)),0)))</f>
        <v/>
      </c>
      <c r="AB2568" s="94">
        <f>IF($A2568="",0,IF(AE2568="직접",IF(AF2568="수금비",$P2568,0),$P2568*(1-AG2568)*IFERROR(INDEX(계정대체기준!$E$20:$E$49,MATCH($N2568,계정대체기준!$A$20:$A$49,0)),0)))</f>
        <v/>
      </c>
      <c r="AC2568" s="9">
        <f>IF(AND($A2568&lt;&gt;"",M2568=설정!$C$20,Z2568&gt;0),Z2568+ROW()/1000000000,"")</f>
        <v/>
      </c>
      <c r="AD2568" s="94">
        <f>IF($A2568="",0,$P2568*AG2568)</f>
        <v/>
      </c>
      <c r="AE2568" s="64">
        <f>IF($A2568="","",IFERROR(INDEX(계정매핑!$E$5:$E$504,MATCH($F2568&amp;"",계정매핑!$A$5:$A$504,0))&amp;"","공통비"))</f>
        <v/>
      </c>
      <c r="AF2568" s="64">
        <f>IF($A2568="","",IF(AE2568="직접",IFERROR(INDEX(계정매핑!$F$5:$F$504,MATCH($F2568&amp;"",계정매핑!$A$5:$A$504,0))&amp;"","비귀속"),""))</f>
        <v/>
      </c>
      <c r="AG2568" s="96">
        <f>IF($A2568="",0,IF(AND(AE2568&lt;&gt;"직접",IFERROR(INDEX(계정매핑!$G$5:$G$504,MATCH($F2568&amp;"",계정매핑!$A$5:$A$504,0))&amp;"","")="유지비",COUNTIF(계정대체기준!$A$6:$A$15,$N2568)&gt;0),IFERROR(INDEX(계정대체기준!$E$6:$E$15,MATCH(VALUE($A2568&amp;""),계정대체기준!$D$6:$D$15,0)),0),0))</f>
        <v/>
      </c>
      <c r="AH2568" s="64">
        <f>IF($A2568="","",IF(AD2568=0,"",IF(OR(COUNTIF(계정대체기준!$A$77:$A$86,$N2568)&gt;0,ISNUMBER(MATCH($X2568,계정대체기준!$D$77:$D$86,0)),ISNUMBER(MATCH($F2568,계정대체기준!$D$77:$D$86,0))),"Y","N")))</f>
        <v/>
      </c>
    </row>
    <row r="2569">
      <c r="A2569" s="92" t="n">
        <v>2025</v>
      </c>
      <c r="B2569" s="92" t="n">
        <v>12</v>
      </c>
      <c r="C2569" s="92" t="inlineStr">
        <is>
          <t>5100002565</t>
        </is>
      </c>
      <c r="D2569" s="95" t="n">
        <v>46002</v>
      </c>
      <c r="E2569" s="92" t="inlineStr">
        <is>
          <t>KR</t>
        </is>
      </c>
      <c r="F2569" s="92" t="n">
        <v>62201000</v>
      </c>
      <c r="G2569" s="92" t="n">
        <v>1101</v>
      </c>
      <c r="H2569" s="93" t="n">
        <v>239000</v>
      </c>
      <c r="I2569" s="92" t="inlineStr">
        <is>
          <t>12월 통신요금 - P통신</t>
        </is>
      </c>
      <c r="J2569" s="92" t="inlineStr">
        <is>
          <t>V10014</t>
        </is>
      </c>
      <c r="K2569" s="92" t="inlineStr">
        <is>
          <t>P통신</t>
        </is>
      </c>
      <c r="M2569" s="9">
        <f>IF($A2569="","",VALUE($A2569&amp;"")*12+VALUE($B2569&amp;""))</f>
        <v/>
      </c>
      <c r="N2569" s="64">
        <f>IF($A2569="","",IFERROR(INDEX(부서매핑!$C$5:$C$504,MATCH($G2569&amp;"",부서매핑!$A$5:$A$504,0)),"미매핑"))</f>
        <v/>
      </c>
      <c r="O2569" s="9">
        <f>IF($A2569="","",N2569&amp;"|"&amp;$F2569)</f>
        <v/>
      </c>
      <c r="P2569" s="94">
        <f>IF($A2569="",0,$H2569*설정!$C$23)</f>
        <v/>
      </c>
      <c r="Q2569" s="64">
        <f>IF($A2569="","",IF(O2569&lt;&gt;원인분석!$C$9,"",IF(AND(M2569&gt;=원인분석!$C$10,M2569&lt;=원인분석!$C$11),"당기",IF(AND(M2569&gt;=원인분석!$C$12,M2569&lt;=원인분석!$C$13),"비교",""))))</f>
        <v/>
      </c>
      <c r="R2569" s="9">
        <f>IF(Q2569="","",$K2569&amp;"")</f>
        <v/>
      </c>
      <c r="S2569" s="9">
        <f>IF(Q2569="","",IF(MATCH(R2569,$R$5:$R$100000,0)=ROW()-4,ROW(),""))</f>
        <v/>
      </c>
      <c r="T2569" s="9">
        <f>IF(Q2569="당기",ABS(P2569)+ROW()/1000000000,"")</f>
        <v/>
      </c>
      <c r="U2569" s="9">
        <f>IF(Q2569="비교",ABS(P2569)+ROW()/1000000000,"")</f>
        <v/>
      </c>
      <c r="V2569" s="64">
        <f>IF($A2569="","",IF(COUNTIF(변동분석!$E$7:$E$506,O2569)&gt;0,"Y","N"))</f>
        <v/>
      </c>
      <c r="W2569" s="64">
        <f>IF($A2569="","",IFERROR(INDEX(계정매핑!$D$5:$D$504,MATCH($F2569&amp;"",계정매핑!$A$5:$A$504,0)),"미매핑"))</f>
        <v/>
      </c>
      <c r="X2569" s="9">
        <f>IF($A2569="","",$F2569&amp;"")</f>
        <v/>
      </c>
      <c r="Y2569" s="94">
        <f>IF($A2569="",0,IF(AE2569="직접",IF(AF2569="비귀속",$P2569,0),$P2569*(1-AG2569)*IFERROR(INDEX(계정대체기준!$F$20:$F$49,MATCH($N2569,계정대체기준!$A$20:$A$49,0)),1)))</f>
        <v/>
      </c>
      <c r="Z2569" s="94">
        <f>IF($A2569="",0,IF(AE2569="직접",IF(AF2569="신계약비",$P2569,0),$P2569*(1-AG2569)*IFERROR(INDEX(계정대체기준!$C$20:$C$49,MATCH($N2569,계정대체기준!$A$20:$A$49,0)),0)))</f>
        <v/>
      </c>
      <c r="AA2569" s="94">
        <f>IF($A2569="",0,IF(AE2569="직접",IF(OR(AF2569="유지비",AF2569="손해조사비"),$P2569,0),$P2569*(1-AG2569)*IFERROR(INDEX(계정대체기준!$D$20:$D$49,MATCH($N2569,계정대체기준!$A$20:$A$49,0)),0)))</f>
        <v/>
      </c>
      <c r="AB2569" s="94">
        <f>IF($A2569="",0,IF(AE2569="직접",IF(AF2569="수금비",$P2569,0),$P2569*(1-AG2569)*IFERROR(INDEX(계정대체기준!$E$20:$E$49,MATCH($N2569,계정대체기준!$A$20:$A$49,0)),0)))</f>
        <v/>
      </c>
      <c r="AC2569" s="9">
        <f>IF(AND($A2569&lt;&gt;"",M2569=설정!$C$20,Z2569&gt;0),Z2569+ROW()/1000000000,"")</f>
        <v/>
      </c>
      <c r="AD2569" s="94">
        <f>IF($A2569="",0,$P2569*AG2569)</f>
        <v/>
      </c>
      <c r="AE2569" s="64">
        <f>IF($A2569="","",IFERROR(INDEX(계정매핑!$E$5:$E$504,MATCH($F2569&amp;"",계정매핑!$A$5:$A$504,0))&amp;"","공통비"))</f>
        <v/>
      </c>
      <c r="AF2569" s="64">
        <f>IF($A2569="","",IF(AE2569="직접",IFERROR(INDEX(계정매핑!$F$5:$F$504,MATCH($F2569&amp;"",계정매핑!$A$5:$A$504,0))&amp;"","비귀속"),""))</f>
        <v/>
      </c>
      <c r="AG2569" s="96">
        <f>IF($A2569="",0,IF(AND(AE2569&lt;&gt;"직접",IFERROR(INDEX(계정매핑!$G$5:$G$504,MATCH($F2569&amp;"",계정매핑!$A$5:$A$504,0))&amp;"","")="유지비",COUNTIF(계정대체기준!$A$6:$A$15,$N2569)&gt;0),IFERROR(INDEX(계정대체기준!$E$6:$E$15,MATCH(VALUE($A2569&amp;""),계정대체기준!$D$6:$D$15,0)),0),0))</f>
        <v/>
      </c>
      <c r="AH2569" s="64">
        <f>IF($A2569="","",IF(AD2569=0,"",IF(OR(COUNTIF(계정대체기준!$A$77:$A$86,$N2569)&gt;0,ISNUMBER(MATCH($X2569,계정대체기준!$D$77:$D$86,0)),ISNUMBER(MATCH($F2569,계정대체기준!$D$77:$D$86,0))),"Y","N")))</f>
        <v/>
      </c>
    </row>
    <row r="2570">
      <c r="A2570" s="92" t="n">
        <v>2025</v>
      </c>
      <c r="B2570" s="92" t="n">
        <v>12</v>
      </c>
      <c r="C2570" s="92" t="inlineStr">
        <is>
          <t>5100002566</t>
        </is>
      </c>
      <c r="D2570" s="95" t="n">
        <v>46002</v>
      </c>
      <c r="E2570" s="92" t="inlineStr">
        <is>
          <t>KR</t>
        </is>
      </c>
      <c r="F2570" s="92" t="n">
        <v>62201000</v>
      </c>
      <c r="G2570" s="92" t="n">
        <v>1701</v>
      </c>
      <c r="H2570" s="93" t="n">
        <v>5617000</v>
      </c>
      <c r="I2570" s="92" t="inlineStr">
        <is>
          <t>12월 통신요금 - P통신</t>
        </is>
      </c>
      <c r="J2570" s="92" t="inlineStr">
        <is>
          <t>V10014</t>
        </is>
      </c>
      <c r="K2570" s="92" t="inlineStr">
        <is>
          <t>P통신</t>
        </is>
      </c>
      <c r="M2570" s="9">
        <f>IF($A2570="","",VALUE($A2570&amp;"")*12+VALUE($B2570&amp;""))</f>
        <v/>
      </c>
      <c r="N2570" s="64">
        <f>IF($A2570="","",IFERROR(INDEX(부서매핑!$C$5:$C$504,MATCH($G2570&amp;"",부서매핑!$A$5:$A$504,0)),"미매핑"))</f>
        <v/>
      </c>
      <c r="O2570" s="9">
        <f>IF($A2570="","",N2570&amp;"|"&amp;$F2570)</f>
        <v/>
      </c>
      <c r="P2570" s="94">
        <f>IF($A2570="",0,$H2570*설정!$C$23)</f>
        <v/>
      </c>
      <c r="Q2570" s="64">
        <f>IF($A2570="","",IF(O2570&lt;&gt;원인분석!$C$9,"",IF(AND(M2570&gt;=원인분석!$C$10,M2570&lt;=원인분석!$C$11),"당기",IF(AND(M2570&gt;=원인분석!$C$12,M2570&lt;=원인분석!$C$13),"비교",""))))</f>
        <v/>
      </c>
      <c r="R2570" s="9">
        <f>IF(Q2570="","",$K2570&amp;"")</f>
        <v/>
      </c>
      <c r="S2570" s="9">
        <f>IF(Q2570="","",IF(MATCH(R2570,$R$5:$R$100000,0)=ROW()-4,ROW(),""))</f>
        <v/>
      </c>
      <c r="T2570" s="9">
        <f>IF(Q2570="당기",ABS(P2570)+ROW()/1000000000,"")</f>
        <v/>
      </c>
      <c r="U2570" s="9">
        <f>IF(Q2570="비교",ABS(P2570)+ROW()/1000000000,"")</f>
        <v/>
      </c>
      <c r="V2570" s="64">
        <f>IF($A2570="","",IF(COUNTIF(변동분석!$E$7:$E$506,O2570)&gt;0,"Y","N"))</f>
        <v/>
      </c>
      <c r="W2570" s="64">
        <f>IF($A2570="","",IFERROR(INDEX(계정매핑!$D$5:$D$504,MATCH($F2570&amp;"",계정매핑!$A$5:$A$504,0)),"미매핑"))</f>
        <v/>
      </c>
      <c r="X2570" s="9">
        <f>IF($A2570="","",$F2570&amp;"")</f>
        <v/>
      </c>
      <c r="Y2570" s="94">
        <f>IF($A2570="",0,IF(AE2570="직접",IF(AF2570="비귀속",$P2570,0),$P2570*(1-AG2570)*IFERROR(INDEX(계정대체기준!$F$20:$F$49,MATCH($N2570,계정대체기준!$A$20:$A$49,0)),1)))</f>
        <v/>
      </c>
      <c r="Z2570" s="94">
        <f>IF($A2570="",0,IF(AE2570="직접",IF(AF2570="신계약비",$P2570,0),$P2570*(1-AG2570)*IFERROR(INDEX(계정대체기준!$C$20:$C$49,MATCH($N2570,계정대체기준!$A$20:$A$49,0)),0)))</f>
        <v/>
      </c>
      <c r="AA2570" s="94">
        <f>IF($A2570="",0,IF(AE2570="직접",IF(OR(AF2570="유지비",AF2570="손해조사비"),$P2570,0),$P2570*(1-AG2570)*IFERROR(INDEX(계정대체기준!$D$20:$D$49,MATCH($N2570,계정대체기준!$A$20:$A$49,0)),0)))</f>
        <v/>
      </c>
      <c r="AB2570" s="94">
        <f>IF($A2570="",0,IF(AE2570="직접",IF(AF2570="수금비",$P2570,0),$P2570*(1-AG2570)*IFERROR(INDEX(계정대체기준!$E$20:$E$49,MATCH($N2570,계정대체기준!$A$20:$A$49,0)),0)))</f>
        <v/>
      </c>
      <c r="AC2570" s="9">
        <f>IF(AND($A2570&lt;&gt;"",M2570=설정!$C$20,Z2570&gt;0),Z2570+ROW()/1000000000,"")</f>
        <v/>
      </c>
      <c r="AD2570" s="94">
        <f>IF($A2570="",0,$P2570*AG2570)</f>
        <v/>
      </c>
      <c r="AE2570" s="64">
        <f>IF($A2570="","",IFERROR(INDEX(계정매핑!$E$5:$E$504,MATCH($F2570&amp;"",계정매핑!$A$5:$A$504,0))&amp;"","공통비"))</f>
        <v/>
      </c>
      <c r="AF2570" s="64">
        <f>IF($A2570="","",IF(AE2570="직접",IFERROR(INDEX(계정매핑!$F$5:$F$504,MATCH($F2570&amp;"",계정매핑!$A$5:$A$504,0))&amp;"","비귀속"),""))</f>
        <v/>
      </c>
      <c r="AG2570" s="96">
        <f>IF($A2570="",0,IF(AND(AE2570&lt;&gt;"직접",IFERROR(INDEX(계정매핑!$G$5:$G$504,MATCH($F2570&amp;"",계정매핑!$A$5:$A$504,0))&amp;"","")="유지비",COUNTIF(계정대체기준!$A$6:$A$15,$N2570)&gt;0),IFERROR(INDEX(계정대체기준!$E$6:$E$15,MATCH(VALUE($A2570&amp;""),계정대체기준!$D$6:$D$15,0)),0),0))</f>
        <v/>
      </c>
      <c r="AH2570" s="64">
        <f>IF($A2570="","",IF(AD2570=0,"",IF(OR(COUNTIF(계정대체기준!$A$77:$A$86,$N2570)&gt;0,ISNUMBER(MATCH($X2570,계정대체기준!$D$77:$D$86,0)),ISNUMBER(MATCH($F2570,계정대체기준!$D$77:$D$86,0))),"Y","N")))</f>
        <v/>
      </c>
    </row>
    <row r="2571">
      <c r="A2571" s="92" t="n">
        <v>2025</v>
      </c>
      <c r="B2571" s="92" t="n">
        <v>12</v>
      </c>
      <c r="C2571" s="92" t="inlineStr">
        <is>
          <t>5100002567</t>
        </is>
      </c>
      <c r="D2571" s="95" t="n">
        <v>46002</v>
      </c>
      <c r="E2571" s="92" t="inlineStr">
        <is>
          <t>KR</t>
        </is>
      </c>
      <c r="F2571" s="92" t="n">
        <v>62401000</v>
      </c>
      <c r="G2571" s="92" t="n">
        <v>1501</v>
      </c>
      <c r="H2571" s="93" t="n">
        <v>2419000</v>
      </c>
      <c r="I2571" s="92" t="inlineStr">
        <is>
          <t>12월 인쇄물 제작 - S출판</t>
        </is>
      </c>
      <c r="J2571" s="92" t="inlineStr">
        <is>
          <t>V10015</t>
        </is>
      </c>
      <c r="K2571" s="92" t="inlineStr">
        <is>
          <t>S출판</t>
        </is>
      </c>
      <c r="M2571" s="9">
        <f>IF($A2571="","",VALUE($A2571&amp;"")*12+VALUE($B2571&amp;""))</f>
        <v/>
      </c>
      <c r="N2571" s="64">
        <f>IF($A2571="","",IFERROR(INDEX(부서매핑!$C$5:$C$504,MATCH($G2571&amp;"",부서매핑!$A$5:$A$504,0)),"미매핑"))</f>
        <v/>
      </c>
      <c r="O2571" s="9">
        <f>IF($A2571="","",N2571&amp;"|"&amp;$F2571)</f>
        <v/>
      </c>
      <c r="P2571" s="94">
        <f>IF($A2571="",0,$H2571*설정!$C$23)</f>
        <v/>
      </c>
      <c r="Q2571" s="64">
        <f>IF($A2571="","",IF(O2571&lt;&gt;원인분석!$C$9,"",IF(AND(M2571&gt;=원인분석!$C$10,M2571&lt;=원인분석!$C$11),"당기",IF(AND(M2571&gt;=원인분석!$C$12,M2571&lt;=원인분석!$C$13),"비교",""))))</f>
        <v/>
      </c>
      <c r="R2571" s="9">
        <f>IF(Q2571="","",$K2571&amp;"")</f>
        <v/>
      </c>
      <c r="S2571" s="9">
        <f>IF(Q2571="","",IF(MATCH(R2571,$R$5:$R$100000,0)=ROW()-4,ROW(),""))</f>
        <v/>
      </c>
      <c r="T2571" s="9">
        <f>IF(Q2571="당기",ABS(P2571)+ROW()/1000000000,"")</f>
        <v/>
      </c>
      <c r="U2571" s="9">
        <f>IF(Q2571="비교",ABS(P2571)+ROW()/1000000000,"")</f>
        <v/>
      </c>
      <c r="V2571" s="64">
        <f>IF($A2571="","",IF(COUNTIF(변동분석!$E$7:$E$506,O2571)&gt;0,"Y","N"))</f>
        <v/>
      </c>
      <c r="W2571" s="64">
        <f>IF($A2571="","",IFERROR(INDEX(계정매핑!$D$5:$D$504,MATCH($F2571&amp;"",계정매핑!$A$5:$A$504,0)),"미매핑"))</f>
        <v/>
      </c>
      <c r="X2571" s="9">
        <f>IF($A2571="","",$F2571&amp;"")</f>
        <v/>
      </c>
      <c r="Y2571" s="94">
        <f>IF($A2571="",0,IF(AE2571="직접",IF(AF2571="비귀속",$P2571,0),$P2571*(1-AG2571)*IFERROR(INDEX(계정대체기준!$F$20:$F$49,MATCH($N2571,계정대체기준!$A$20:$A$49,0)),1)))</f>
        <v/>
      </c>
      <c r="Z2571" s="94">
        <f>IF($A2571="",0,IF(AE2571="직접",IF(AF2571="신계약비",$P2571,0),$P2571*(1-AG2571)*IFERROR(INDEX(계정대체기준!$C$20:$C$49,MATCH($N2571,계정대체기준!$A$20:$A$49,0)),0)))</f>
        <v/>
      </c>
      <c r="AA2571" s="94">
        <f>IF($A2571="",0,IF(AE2571="직접",IF(OR(AF2571="유지비",AF2571="손해조사비"),$P2571,0),$P2571*(1-AG2571)*IFERROR(INDEX(계정대체기준!$D$20:$D$49,MATCH($N2571,계정대체기준!$A$20:$A$49,0)),0)))</f>
        <v/>
      </c>
      <c r="AB2571" s="94">
        <f>IF($A2571="",0,IF(AE2571="직접",IF(AF2571="수금비",$P2571,0),$P2571*(1-AG2571)*IFERROR(INDEX(계정대체기준!$E$20:$E$49,MATCH($N2571,계정대체기준!$A$20:$A$49,0)),0)))</f>
        <v/>
      </c>
      <c r="AC2571" s="9">
        <f>IF(AND($A2571&lt;&gt;"",M2571=설정!$C$20,Z2571&gt;0),Z2571+ROW()/1000000000,"")</f>
        <v/>
      </c>
      <c r="AD2571" s="94">
        <f>IF($A2571="",0,$P2571*AG2571)</f>
        <v/>
      </c>
      <c r="AE2571" s="64">
        <f>IF($A2571="","",IFERROR(INDEX(계정매핑!$E$5:$E$504,MATCH($F2571&amp;"",계정매핑!$A$5:$A$504,0))&amp;"","공통비"))</f>
        <v/>
      </c>
      <c r="AF2571" s="64">
        <f>IF($A2571="","",IF(AE2571="직접",IFERROR(INDEX(계정매핑!$F$5:$F$504,MATCH($F2571&amp;"",계정매핑!$A$5:$A$504,0))&amp;"","비귀속"),""))</f>
        <v/>
      </c>
      <c r="AG2571" s="96">
        <f>IF($A2571="",0,IF(AND(AE2571&lt;&gt;"직접",IFERROR(INDEX(계정매핑!$G$5:$G$504,MATCH($F2571&amp;"",계정매핑!$A$5:$A$504,0))&amp;"","")="유지비",COUNTIF(계정대체기준!$A$6:$A$15,$N2571)&gt;0),IFERROR(INDEX(계정대체기준!$E$6:$E$15,MATCH(VALUE($A2571&amp;""),계정대체기준!$D$6:$D$15,0)),0),0))</f>
        <v/>
      </c>
      <c r="AH2571" s="64">
        <f>IF($A2571="","",IF(AD2571=0,"",IF(OR(COUNTIF(계정대체기준!$A$77:$A$86,$N2571)&gt;0,ISNUMBER(MATCH($X2571,계정대체기준!$D$77:$D$86,0)),ISNUMBER(MATCH($F2571,계정대체기준!$D$77:$D$86,0))),"Y","N")))</f>
        <v/>
      </c>
    </row>
    <row r="2572">
      <c r="A2572" s="92" t="n">
        <v>2025</v>
      </c>
      <c r="B2572" s="92" t="n">
        <v>12</v>
      </c>
      <c r="C2572" s="92" t="inlineStr">
        <is>
          <t>5100002568</t>
        </is>
      </c>
      <c r="D2572" s="95" t="n">
        <v>46002</v>
      </c>
      <c r="E2572" s="92" t="inlineStr">
        <is>
          <t>KR</t>
        </is>
      </c>
      <c r="F2572" s="92" t="n">
        <v>62501000</v>
      </c>
      <c r="G2572" s="92" t="n">
        <v>1101</v>
      </c>
      <c r="H2572" s="93" t="n">
        <v>230000</v>
      </c>
      <c r="I2572" s="92" t="inlineStr">
        <is>
          <t>12월 회의 다과 - T케이터링</t>
        </is>
      </c>
      <c r="J2572" s="92" t="inlineStr">
        <is>
          <t>V10005</t>
        </is>
      </c>
      <c r="K2572" s="92" t="inlineStr">
        <is>
          <t>T케이터링</t>
        </is>
      </c>
      <c r="M2572" s="9">
        <f>IF($A2572="","",VALUE($A2572&amp;"")*12+VALUE($B2572&amp;""))</f>
        <v/>
      </c>
      <c r="N2572" s="64">
        <f>IF($A2572="","",IFERROR(INDEX(부서매핑!$C$5:$C$504,MATCH($G2572&amp;"",부서매핑!$A$5:$A$504,0)),"미매핑"))</f>
        <v/>
      </c>
      <c r="O2572" s="9">
        <f>IF($A2572="","",N2572&amp;"|"&amp;$F2572)</f>
        <v/>
      </c>
      <c r="P2572" s="94">
        <f>IF($A2572="",0,$H2572*설정!$C$23)</f>
        <v/>
      </c>
      <c r="Q2572" s="64">
        <f>IF($A2572="","",IF(O2572&lt;&gt;원인분석!$C$9,"",IF(AND(M2572&gt;=원인분석!$C$10,M2572&lt;=원인분석!$C$11),"당기",IF(AND(M2572&gt;=원인분석!$C$12,M2572&lt;=원인분석!$C$13),"비교",""))))</f>
        <v/>
      </c>
      <c r="R2572" s="9">
        <f>IF(Q2572="","",$K2572&amp;"")</f>
        <v/>
      </c>
      <c r="S2572" s="9">
        <f>IF(Q2572="","",IF(MATCH(R2572,$R$5:$R$100000,0)=ROW()-4,ROW(),""))</f>
        <v/>
      </c>
      <c r="T2572" s="9">
        <f>IF(Q2572="당기",ABS(P2572)+ROW()/1000000000,"")</f>
        <v/>
      </c>
      <c r="U2572" s="9">
        <f>IF(Q2572="비교",ABS(P2572)+ROW()/1000000000,"")</f>
        <v/>
      </c>
      <c r="V2572" s="64">
        <f>IF($A2572="","",IF(COUNTIF(변동분석!$E$7:$E$506,O2572)&gt;0,"Y","N"))</f>
        <v/>
      </c>
      <c r="W2572" s="64">
        <f>IF($A2572="","",IFERROR(INDEX(계정매핑!$D$5:$D$504,MATCH($F2572&amp;"",계정매핑!$A$5:$A$504,0)),"미매핑"))</f>
        <v/>
      </c>
      <c r="X2572" s="9">
        <f>IF($A2572="","",$F2572&amp;"")</f>
        <v/>
      </c>
      <c r="Y2572" s="94">
        <f>IF($A2572="",0,IF(AE2572="직접",IF(AF2572="비귀속",$P2572,0),$P2572*(1-AG2572)*IFERROR(INDEX(계정대체기준!$F$20:$F$49,MATCH($N2572,계정대체기준!$A$20:$A$49,0)),1)))</f>
        <v/>
      </c>
      <c r="Z2572" s="94">
        <f>IF($A2572="",0,IF(AE2572="직접",IF(AF2572="신계약비",$P2572,0),$P2572*(1-AG2572)*IFERROR(INDEX(계정대체기준!$C$20:$C$49,MATCH($N2572,계정대체기준!$A$20:$A$49,0)),0)))</f>
        <v/>
      </c>
      <c r="AA2572" s="94">
        <f>IF($A2572="",0,IF(AE2572="직접",IF(OR(AF2572="유지비",AF2572="손해조사비"),$P2572,0),$P2572*(1-AG2572)*IFERROR(INDEX(계정대체기준!$D$20:$D$49,MATCH($N2572,계정대체기준!$A$20:$A$49,0)),0)))</f>
        <v/>
      </c>
      <c r="AB2572" s="94">
        <f>IF($A2572="",0,IF(AE2572="직접",IF(AF2572="수금비",$P2572,0),$P2572*(1-AG2572)*IFERROR(INDEX(계정대체기준!$E$20:$E$49,MATCH($N2572,계정대체기준!$A$20:$A$49,0)),0)))</f>
        <v/>
      </c>
      <c r="AC2572" s="9">
        <f>IF(AND($A2572&lt;&gt;"",M2572=설정!$C$20,Z2572&gt;0),Z2572+ROW()/1000000000,"")</f>
        <v/>
      </c>
      <c r="AD2572" s="94">
        <f>IF($A2572="",0,$P2572*AG2572)</f>
        <v/>
      </c>
      <c r="AE2572" s="64">
        <f>IF($A2572="","",IFERROR(INDEX(계정매핑!$E$5:$E$504,MATCH($F2572&amp;"",계정매핑!$A$5:$A$504,0))&amp;"","공통비"))</f>
        <v/>
      </c>
      <c r="AF2572" s="64">
        <f>IF($A2572="","",IF(AE2572="직접",IFERROR(INDEX(계정매핑!$F$5:$F$504,MATCH($F2572&amp;"",계정매핑!$A$5:$A$504,0))&amp;"","비귀속"),""))</f>
        <v/>
      </c>
      <c r="AG2572" s="96">
        <f>IF($A2572="",0,IF(AND(AE2572&lt;&gt;"직접",IFERROR(INDEX(계정매핑!$G$5:$G$504,MATCH($F2572&amp;"",계정매핑!$A$5:$A$504,0))&amp;"","")="유지비",COUNTIF(계정대체기준!$A$6:$A$15,$N2572)&gt;0),IFERROR(INDEX(계정대체기준!$E$6:$E$15,MATCH(VALUE($A2572&amp;""),계정대체기준!$D$6:$D$15,0)),0),0))</f>
        <v/>
      </c>
      <c r="AH2572" s="64">
        <f>IF($A2572="","",IF(AD2572=0,"",IF(OR(COUNTIF(계정대체기준!$A$77:$A$86,$N2572)&gt;0,ISNUMBER(MATCH($X2572,계정대체기준!$D$77:$D$86,0)),ISNUMBER(MATCH($F2572,계정대체기준!$D$77:$D$86,0))),"Y","N")))</f>
        <v/>
      </c>
    </row>
    <row r="2573">
      <c r="A2573" s="92" t="n">
        <v>2025</v>
      </c>
      <c r="B2573" s="92" t="n">
        <v>12</v>
      </c>
      <c r="C2573" s="92" t="inlineStr">
        <is>
          <t>5100002569</t>
        </is>
      </c>
      <c r="D2573" s="95" t="n">
        <v>46002</v>
      </c>
      <c r="E2573" s="92" t="inlineStr">
        <is>
          <t>KR</t>
        </is>
      </c>
      <c r="F2573" s="92" t="n">
        <v>62501000</v>
      </c>
      <c r="G2573" s="92" t="n">
        <v>1301</v>
      </c>
      <c r="H2573" s="93" t="n">
        <v>247000</v>
      </c>
      <c r="I2573" s="92" t="inlineStr">
        <is>
          <t>12월 회의 다과 - (법인카드)</t>
        </is>
      </c>
      <c r="J2573" s="92" t="inlineStr">
        <is>
          <t>V10010</t>
        </is>
      </c>
      <c r="K2573" s="92" t="inlineStr">
        <is>
          <t>(법인카드)</t>
        </is>
      </c>
      <c r="M2573" s="9">
        <f>IF($A2573="","",VALUE($A2573&amp;"")*12+VALUE($B2573&amp;""))</f>
        <v/>
      </c>
      <c r="N2573" s="64">
        <f>IF($A2573="","",IFERROR(INDEX(부서매핑!$C$5:$C$504,MATCH($G2573&amp;"",부서매핑!$A$5:$A$504,0)),"미매핑"))</f>
        <v/>
      </c>
      <c r="O2573" s="9">
        <f>IF($A2573="","",N2573&amp;"|"&amp;$F2573)</f>
        <v/>
      </c>
      <c r="P2573" s="94">
        <f>IF($A2573="",0,$H2573*설정!$C$23)</f>
        <v/>
      </c>
      <c r="Q2573" s="64">
        <f>IF($A2573="","",IF(O2573&lt;&gt;원인분석!$C$9,"",IF(AND(M2573&gt;=원인분석!$C$10,M2573&lt;=원인분석!$C$11),"당기",IF(AND(M2573&gt;=원인분석!$C$12,M2573&lt;=원인분석!$C$13),"비교",""))))</f>
        <v/>
      </c>
      <c r="R2573" s="9">
        <f>IF(Q2573="","",$K2573&amp;"")</f>
        <v/>
      </c>
      <c r="S2573" s="9">
        <f>IF(Q2573="","",IF(MATCH(R2573,$R$5:$R$100000,0)=ROW()-4,ROW(),""))</f>
        <v/>
      </c>
      <c r="T2573" s="9">
        <f>IF(Q2573="당기",ABS(P2573)+ROW()/1000000000,"")</f>
        <v/>
      </c>
      <c r="U2573" s="9">
        <f>IF(Q2573="비교",ABS(P2573)+ROW()/1000000000,"")</f>
        <v/>
      </c>
      <c r="V2573" s="64">
        <f>IF($A2573="","",IF(COUNTIF(변동분석!$E$7:$E$506,O2573)&gt;0,"Y","N"))</f>
        <v/>
      </c>
      <c r="W2573" s="64">
        <f>IF($A2573="","",IFERROR(INDEX(계정매핑!$D$5:$D$504,MATCH($F2573&amp;"",계정매핑!$A$5:$A$504,0)),"미매핑"))</f>
        <v/>
      </c>
      <c r="X2573" s="9">
        <f>IF($A2573="","",$F2573&amp;"")</f>
        <v/>
      </c>
      <c r="Y2573" s="94">
        <f>IF($A2573="",0,IF(AE2573="직접",IF(AF2573="비귀속",$P2573,0),$P2573*(1-AG2573)*IFERROR(INDEX(계정대체기준!$F$20:$F$49,MATCH($N2573,계정대체기준!$A$20:$A$49,0)),1)))</f>
        <v/>
      </c>
      <c r="Z2573" s="94">
        <f>IF($A2573="",0,IF(AE2573="직접",IF(AF2573="신계약비",$P2573,0),$P2573*(1-AG2573)*IFERROR(INDEX(계정대체기준!$C$20:$C$49,MATCH($N2573,계정대체기준!$A$20:$A$49,0)),0)))</f>
        <v/>
      </c>
      <c r="AA2573" s="94">
        <f>IF($A2573="",0,IF(AE2573="직접",IF(OR(AF2573="유지비",AF2573="손해조사비"),$P2573,0),$P2573*(1-AG2573)*IFERROR(INDEX(계정대체기준!$D$20:$D$49,MATCH($N2573,계정대체기준!$A$20:$A$49,0)),0)))</f>
        <v/>
      </c>
      <c r="AB2573" s="94">
        <f>IF($A2573="",0,IF(AE2573="직접",IF(AF2573="수금비",$P2573,0),$P2573*(1-AG2573)*IFERROR(INDEX(계정대체기준!$E$20:$E$49,MATCH($N2573,계정대체기준!$A$20:$A$49,0)),0)))</f>
        <v/>
      </c>
      <c r="AC2573" s="9">
        <f>IF(AND($A2573&lt;&gt;"",M2573=설정!$C$20,Z2573&gt;0),Z2573+ROW()/1000000000,"")</f>
        <v/>
      </c>
      <c r="AD2573" s="94">
        <f>IF($A2573="",0,$P2573*AG2573)</f>
        <v/>
      </c>
      <c r="AE2573" s="64">
        <f>IF($A2573="","",IFERROR(INDEX(계정매핑!$E$5:$E$504,MATCH($F2573&amp;"",계정매핑!$A$5:$A$504,0))&amp;"","공통비"))</f>
        <v/>
      </c>
      <c r="AF2573" s="64">
        <f>IF($A2573="","",IF(AE2573="직접",IFERROR(INDEX(계정매핑!$F$5:$F$504,MATCH($F2573&amp;"",계정매핑!$A$5:$A$504,0))&amp;"","비귀속"),""))</f>
        <v/>
      </c>
      <c r="AG2573" s="96">
        <f>IF($A2573="",0,IF(AND(AE2573&lt;&gt;"직접",IFERROR(INDEX(계정매핑!$G$5:$G$504,MATCH($F2573&amp;"",계정매핑!$A$5:$A$504,0))&amp;"","")="유지비",COUNTIF(계정대체기준!$A$6:$A$15,$N2573)&gt;0),IFERROR(INDEX(계정대체기준!$E$6:$E$15,MATCH(VALUE($A2573&amp;""),계정대체기준!$D$6:$D$15,0)),0),0))</f>
        <v/>
      </c>
      <c r="AH2573" s="64">
        <f>IF($A2573="","",IF(AD2573=0,"",IF(OR(COUNTIF(계정대체기준!$A$77:$A$86,$N2573)&gt;0,ISNUMBER(MATCH($X2573,계정대체기준!$D$77:$D$86,0)),ISNUMBER(MATCH($F2573,계정대체기준!$D$77:$D$86,0))),"Y","N")))</f>
        <v/>
      </c>
    </row>
    <row r="2574">
      <c r="A2574" s="92" t="n">
        <v>2025</v>
      </c>
      <c r="B2574" s="92" t="n">
        <v>12</v>
      </c>
      <c r="C2574" s="92" t="inlineStr">
        <is>
          <t>5100002570</t>
        </is>
      </c>
      <c r="D2574" s="95" t="n">
        <v>46002</v>
      </c>
      <c r="E2574" s="92" t="inlineStr">
        <is>
          <t>KR</t>
        </is>
      </c>
      <c r="F2574" s="92" t="n">
        <v>63501000</v>
      </c>
      <c r="G2574" s="92" t="n">
        <v>1902</v>
      </c>
      <c r="H2574" s="93" t="n">
        <v>354093000</v>
      </c>
      <c r="I2574" s="92" t="inlineStr">
        <is>
          <t>12월 모집수수료 - (전속설계사)</t>
        </is>
      </c>
      <c r="J2574" s="92" t="inlineStr">
        <is>
          <t>V10021</t>
        </is>
      </c>
      <c r="K2574" s="92" t="inlineStr">
        <is>
          <t>(전속설계사)</t>
        </is>
      </c>
      <c r="M2574" s="9">
        <f>IF($A2574="","",VALUE($A2574&amp;"")*12+VALUE($B2574&amp;""))</f>
        <v/>
      </c>
      <c r="N2574" s="64">
        <f>IF($A2574="","",IFERROR(INDEX(부서매핑!$C$5:$C$504,MATCH($G2574&amp;"",부서매핑!$A$5:$A$504,0)),"미매핑"))</f>
        <v/>
      </c>
      <c r="O2574" s="9">
        <f>IF($A2574="","",N2574&amp;"|"&amp;$F2574)</f>
        <v/>
      </c>
      <c r="P2574" s="94">
        <f>IF($A2574="",0,$H2574*설정!$C$23)</f>
        <v/>
      </c>
      <c r="Q2574" s="64">
        <f>IF($A2574="","",IF(O2574&lt;&gt;원인분석!$C$9,"",IF(AND(M2574&gt;=원인분석!$C$10,M2574&lt;=원인분석!$C$11),"당기",IF(AND(M2574&gt;=원인분석!$C$12,M2574&lt;=원인분석!$C$13),"비교",""))))</f>
        <v/>
      </c>
      <c r="R2574" s="9">
        <f>IF(Q2574="","",$K2574&amp;"")</f>
        <v/>
      </c>
      <c r="S2574" s="9">
        <f>IF(Q2574="","",IF(MATCH(R2574,$R$5:$R$100000,0)=ROW()-4,ROW(),""))</f>
        <v/>
      </c>
      <c r="T2574" s="9">
        <f>IF(Q2574="당기",ABS(P2574)+ROW()/1000000000,"")</f>
        <v/>
      </c>
      <c r="U2574" s="9">
        <f>IF(Q2574="비교",ABS(P2574)+ROW()/1000000000,"")</f>
        <v/>
      </c>
      <c r="V2574" s="64">
        <f>IF($A2574="","",IF(COUNTIF(변동분석!$E$7:$E$506,O2574)&gt;0,"Y","N"))</f>
        <v/>
      </c>
      <c r="W2574" s="64">
        <f>IF($A2574="","",IFERROR(INDEX(계정매핑!$D$5:$D$504,MATCH($F2574&amp;"",계정매핑!$A$5:$A$504,0)),"미매핑"))</f>
        <v/>
      </c>
      <c r="X2574" s="9">
        <f>IF($A2574="","",$F2574&amp;"")</f>
        <v/>
      </c>
      <c r="Y2574" s="94">
        <f>IF($A2574="",0,IF(AE2574="직접",IF(AF2574="비귀속",$P2574,0),$P2574*(1-AG2574)*IFERROR(INDEX(계정대체기준!$F$20:$F$49,MATCH($N2574,계정대체기준!$A$20:$A$49,0)),1)))</f>
        <v/>
      </c>
      <c r="Z2574" s="94">
        <f>IF($A2574="",0,IF(AE2574="직접",IF(AF2574="신계약비",$P2574,0),$P2574*(1-AG2574)*IFERROR(INDEX(계정대체기준!$C$20:$C$49,MATCH($N2574,계정대체기준!$A$20:$A$49,0)),0)))</f>
        <v/>
      </c>
      <c r="AA2574" s="94">
        <f>IF($A2574="",0,IF(AE2574="직접",IF(OR(AF2574="유지비",AF2574="손해조사비"),$P2574,0),$P2574*(1-AG2574)*IFERROR(INDEX(계정대체기준!$D$20:$D$49,MATCH($N2574,계정대체기준!$A$20:$A$49,0)),0)))</f>
        <v/>
      </c>
      <c r="AB2574" s="94">
        <f>IF($A2574="",0,IF(AE2574="직접",IF(AF2574="수금비",$P2574,0),$P2574*(1-AG2574)*IFERROR(INDEX(계정대체기준!$E$20:$E$49,MATCH($N2574,계정대체기준!$A$20:$A$49,0)),0)))</f>
        <v/>
      </c>
      <c r="AC2574" s="9">
        <f>IF(AND($A2574&lt;&gt;"",M2574=설정!$C$20,Z2574&gt;0),Z2574+ROW()/1000000000,"")</f>
        <v/>
      </c>
      <c r="AD2574" s="94">
        <f>IF($A2574="",0,$P2574*AG2574)</f>
        <v/>
      </c>
      <c r="AE2574" s="64">
        <f>IF($A2574="","",IFERROR(INDEX(계정매핑!$E$5:$E$504,MATCH($F2574&amp;"",계정매핑!$A$5:$A$504,0))&amp;"","공통비"))</f>
        <v/>
      </c>
      <c r="AF2574" s="64">
        <f>IF($A2574="","",IF(AE2574="직접",IFERROR(INDEX(계정매핑!$F$5:$F$504,MATCH($F2574&amp;"",계정매핑!$A$5:$A$504,0))&amp;"","비귀속"),""))</f>
        <v/>
      </c>
      <c r="AG2574" s="96">
        <f>IF($A2574="",0,IF(AND(AE2574&lt;&gt;"직접",IFERROR(INDEX(계정매핑!$G$5:$G$504,MATCH($F2574&amp;"",계정매핑!$A$5:$A$504,0))&amp;"","")="유지비",COUNTIF(계정대체기준!$A$6:$A$15,$N2574)&gt;0),IFERROR(INDEX(계정대체기준!$E$6:$E$15,MATCH(VALUE($A2574&amp;""),계정대체기준!$D$6:$D$15,0)),0),0))</f>
        <v/>
      </c>
      <c r="AH2574" s="64">
        <f>IF($A2574="","",IF(AD2574=0,"",IF(OR(COUNTIF(계정대체기준!$A$77:$A$86,$N2574)&gt;0,ISNUMBER(MATCH($X2574,계정대체기준!$D$77:$D$86,0)),ISNUMBER(MATCH($F2574,계정대체기준!$D$77:$D$86,0))),"Y","N")))</f>
        <v/>
      </c>
    </row>
    <row r="2575">
      <c r="A2575" s="92" t="n">
        <v>2025</v>
      </c>
      <c r="B2575" s="92" t="n">
        <v>12</v>
      </c>
      <c r="C2575" s="92" t="inlineStr">
        <is>
          <t>5100002571</t>
        </is>
      </c>
      <c r="D2575" s="95" t="n">
        <v>46003</v>
      </c>
      <c r="E2575" s="92" t="inlineStr">
        <is>
          <t>KR</t>
        </is>
      </c>
      <c r="F2575" s="92" t="n">
        <v>62101000</v>
      </c>
      <c r="G2575" s="92" t="n">
        <v>1401</v>
      </c>
      <c r="H2575" s="93" t="n">
        <v>424000</v>
      </c>
      <c r="I2575" s="92" t="inlineStr">
        <is>
          <t>12월 국내출장 - (법인카드)</t>
        </is>
      </c>
      <c r="J2575" s="92" t="inlineStr">
        <is>
          <t>V10010</t>
        </is>
      </c>
      <c r="K2575" s="92" t="inlineStr">
        <is>
          <t>(법인카드)</t>
        </is>
      </c>
      <c r="M2575" s="9">
        <f>IF($A2575="","",VALUE($A2575&amp;"")*12+VALUE($B2575&amp;""))</f>
        <v/>
      </c>
      <c r="N2575" s="64">
        <f>IF($A2575="","",IFERROR(INDEX(부서매핑!$C$5:$C$504,MATCH($G2575&amp;"",부서매핑!$A$5:$A$504,0)),"미매핑"))</f>
        <v/>
      </c>
      <c r="O2575" s="9">
        <f>IF($A2575="","",N2575&amp;"|"&amp;$F2575)</f>
        <v/>
      </c>
      <c r="P2575" s="94">
        <f>IF($A2575="",0,$H2575*설정!$C$23)</f>
        <v/>
      </c>
      <c r="Q2575" s="64">
        <f>IF($A2575="","",IF(O2575&lt;&gt;원인분석!$C$9,"",IF(AND(M2575&gt;=원인분석!$C$10,M2575&lt;=원인분석!$C$11),"당기",IF(AND(M2575&gt;=원인분석!$C$12,M2575&lt;=원인분석!$C$13),"비교",""))))</f>
        <v/>
      </c>
      <c r="R2575" s="9">
        <f>IF(Q2575="","",$K2575&amp;"")</f>
        <v/>
      </c>
      <c r="S2575" s="9">
        <f>IF(Q2575="","",IF(MATCH(R2575,$R$5:$R$100000,0)=ROW()-4,ROW(),""))</f>
        <v/>
      </c>
      <c r="T2575" s="9">
        <f>IF(Q2575="당기",ABS(P2575)+ROW()/1000000000,"")</f>
        <v/>
      </c>
      <c r="U2575" s="9">
        <f>IF(Q2575="비교",ABS(P2575)+ROW()/1000000000,"")</f>
        <v/>
      </c>
      <c r="V2575" s="64">
        <f>IF($A2575="","",IF(COUNTIF(변동분석!$E$7:$E$506,O2575)&gt;0,"Y","N"))</f>
        <v/>
      </c>
      <c r="W2575" s="64">
        <f>IF($A2575="","",IFERROR(INDEX(계정매핑!$D$5:$D$504,MATCH($F2575&amp;"",계정매핑!$A$5:$A$504,0)),"미매핑"))</f>
        <v/>
      </c>
      <c r="X2575" s="9">
        <f>IF($A2575="","",$F2575&amp;"")</f>
        <v/>
      </c>
      <c r="Y2575" s="94">
        <f>IF($A2575="",0,IF(AE2575="직접",IF(AF2575="비귀속",$P2575,0),$P2575*(1-AG2575)*IFERROR(INDEX(계정대체기준!$F$20:$F$49,MATCH($N2575,계정대체기준!$A$20:$A$49,0)),1)))</f>
        <v/>
      </c>
      <c r="Z2575" s="94">
        <f>IF($A2575="",0,IF(AE2575="직접",IF(AF2575="신계약비",$P2575,0),$P2575*(1-AG2575)*IFERROR(INDEX(계정대체기준!$C$20:$C$49,MATCH($N2575,계정대체기준!$A$20:$A$49,0)),0)))</f>
        <v/>
      </c>
      <c r="AA2575" s="94">
        <f>IF($A2575="",0,IF(AE2575="직접",IF(OR(AF2575="유지비",AF2575="손해조사비"),$P2575,0),$P2575*(1-AG2575)*IFERROR(INDEX(계정대체기준!$D$20:$D$49,MATCH($N2575,계정대체기준!$A$20:$A$49,0)),0)))</f>
        <v/>
      </c>
      <c r="AB2575" s="94">
        <f>IF($A2575="",0,IF(AE2575="직접",IF(AF2575="수금비",$P2575,0),$P2575*(1-AG2575)*IFERROR(INDEX(계정대체기준!$E$20:$E$49,MATCH($N2575,계정대체기준!$A$20:$A$49,0)),0)))</f>
        <v/>
      </c>
      <c r="AC2575" s="9">
        <f>IF(AND($A2575&lt;&gt;"",M2575=설정!$C$20,Z2575&gt;0),Z2575+ROW()/1000000000,"")</f>
        <v/>
      </c>
      <c r="AD2575" s="94">
        <f>IF($A2575="",0,$P2575*AG2575)</f>
        <v/>
      </c>
      <c r="AE2575" s="64">
        <f>IF($A2575="","",IFERROR(INDEX(계정매핑!$E$5:$E$504,MATCH($F2575&amp;"",계정매핑!$A$5:$A$504,0))&amp;"","공통비"))</f>
        <v/>
      </c>
      <c r="AF2575" s="64">
        <f>IF($A2575="","",IF(AE2575="직접",IFERROR(INDEX(계정매핑!$F$5:$F$504,MATCH($F2575&amp;"",계정매핑!$A$5:$A$504,0))&amp;"","비귀속"),""))</f>
        <v/>
      </c>
      <c r="AG2575" s="96">
        <f>IF($A2575="",0,IF(AND(AE2575&lt;&gt;"직접",IFERROR(INDEX(계정매핑!$G$5:$G$504,MATCH($F2575&amp;"",계정매핑!$A$5:$A$504,0))&amp;"","")="유지비",COUNTIF(계정대체기준!$A$6:$A$15,$N2575)&gt;0),IFERROR(INDEX(계정대체기준!$E$6:$E$15,MATCH(VALUE($A2575&amp;""),계정대체기준!$D$6:$D$15,0)),0),0))</f>
        <v/>
      </c>
      <c r="AH2575" s="64">
        <f>IF($A2575="","",IF(AD2575=0,"",IF(OR(COUNTIF(계정대체기준!$A$77:$A$86,$N2575)&gt;0,ISNUMBER(MATCH($X2575,계정대체기준!$D$77:$D$86,0)),ISNUMBER(MATCH($F2575,계정대체기준!$D$77:$D$86,0))),"Y","N")))</f>
        <v/>
      </c>
    </row>
    <row r="2576">
      <c r="A2576" s="92" t="n">
        <v>2025</v>
      </c>
      <c r="B2576" s="92" t="n">
        <v>12</v>
      </c>
      <c r="C2576" s="92" t="inlineStr">
        <is>
          <t>5100002572</t>
        </is>
      </c>
      <c r="D2576" s="95" t="n">
        <v>46003</v>
      </c>
      <c r="E2576" s="92" t="inlineStr">
        <is>
          <t>KR</t>
        </is>
      </c>
      <c r="F2576" s="92" t="n">
        <v>62101000</v>
      </c>
      <c r="G2576" s="92" t="n">
        <v>1602</v>
      </c>
      <c r="H2576" s="93" t="n">
        <v>1110000</v>
      </c>
      <c r="I2576" s="92" t="inlineStr">
        <is>
          <t>12월 국내출장 - (법인카드)</t>
        </is>
      </c>
      <c r="J2576" s="92" t="inlineStr">
        <is>
          <t>V10010</t>
        </is>
      </c>
      <c r="K2576" s="92" t="inlineStr">
        <is>
          <t>(법인카드)</t>
        </is>
      </c>
      <c r="M2576" s="9">
        <f>IF($A2576="","",VALUE($A2576&amp;"")*12+VALUE($B2576&amp;""))</f>
        <v/>
      </c>
      <c r="N2576" s="64">
        <f>IF($A2576="","",IFERROR(INDEX(부서매핑!$C$5:$C$504,MATCH($G2576&amp;"",부서매핑!$A$5:$A$504,0)),"미매핑"))</f>
        <v/>
      </c>
      <c r="O2576" s="9">
        <f>IF($A2576="","",N2576&amp;"|"&amp;$F2576)</f>
        <v/>
      </c>
      <c r="P2576" s="94">
        <f>IF($A2576="",0,$H2576*설정!$C$23)</f>
        <v/>
      </c>
      <c r="Q2576" s="64">
        <f>IF($A2576="","",IF(O2576&lt;&gt;원인분석!$C$9,"",IF(AND(M2576&gt;=원인분석!$C$10,M2576&lt;=원인분석!$C$11),"당기",IF(AND(M2576&gt;=원인분석!$C$12,M2576&lt;=원인분석!$C$13),"비교",""))))</f>
        <v/>
      </c>
      <c r="R2576" s="9">
        <f>IF(Q2576="","",$K2576&amp;"")</f>
        <v/>
      </c>
      <c r="S2576" s="9">
        <f>IF(Q2576="","",IF(MATCH(R2576,$R$5:$R$100000,0)=ROW()-4,ROW(),""))</f>
        <v/>
      </c>
      <c r="T2576" s="9">
        <f>IF(Q2576="당기",ABS(P2576)+ROW()/1000000000,"")</f>
        <v/>
      </c>
      <c r="U2576" s="9">
        <f>IF(Q2576="비교",ABS(P2576)+ROW()/1000000000,"")</f>
        <v/>
      </c>
      <c r="V2576" s="64">
        <f>IF($A2576="","",IF(COUNTIF(변동분석!$E$7:$E$506,O2576)&gt;0,"Y","N"))</f>
        <v/>
      </c>
      <c r="W2576" s="64">
        <f>IF($A2576="","",IFERROR(INDEX(계정매핑!$D$5:$D$504,MATCH($F2576&amp;"",계정매핑!$A$5:$A$504,0)),"미매핑"))</f>
        <v/>
      </c>
      <c r="X2576" s="9">
        <f>IF($A2576="","",$F2576&amp;"")</f>
        <v/>
      </c>
      <c r="Y2576" s="94">
        <f>IF($A2576="",0,IF(AE2576="직접",IF(AF2576="비귀속",$P2576,0),$P2576*(1-AG2576)*IFERROR(INDEX(계정대체기준!$F$20:$F$49,MATCH($N2576,계정대체기준!$A$20:$A$49,0)),1)))</f>
        <v/>
      </c>
      <c r="Z2576" s="94">
        <f>IF($A2576="",0,IF(AE2576="직접",IF(AF2576="신계약비",$P2576,0),$P2576*(1-AG2576)*IFERROR(INDEX(계정대체기준!$C$20:$C$49,MATCH($N2576,계정대체기준!$A$20:$A$49,0)),0)))</f>
        <v/>
      </c>
      <c r="AA2576" s="94">
        <f>IF($A2576="",0,IF(AE2576="직접",IF(OR(AF2576="유지비",AF2576="손해조사비"),$P2576,0),$P2576*(1-AG2576)*IFERROR(INDEX(계정대체기준!$D$20:$D$49,MATCH($N2576,계정대체기준!$A$20:$A$49,0)),0)))</f>
        <v/>
      </c>
      <c r="AB2576" s="94">
        <f>IF($A2576="",0,IF(AE2576="직접",IF(AF2576="수금비",$P2576,0),$P2576*(1-AG2576)*IFERROR(INDEX(계정대체기준!$E$20:$E$49,MATCH($N2576,계정대체기준!$A$20:$A$49,0)),0)))</f>
        <v/>
      </c>
      <c r="AC2576" s="9">
        <f>IF(AND($A2576&lt;&gt;"",M2576=설정!$C$20,Z2576&gt;0),Z2576+ROW()/1000000000,"")</f>
        <v/>
      </c>
      <c r="AD2576" s="94">
        <f>IF($A2576="",0,$P2576*AG2576)</f>
        <v/>
      </c>
      <c r="AE2576" s="64">
        <f>IF($A2576="","",IFERROR(INDEX(계정매핑!$E$5:$E$504,MATCH($F2576&amp;"",계정매핑!$A$5:$A$504,0))&amp;"","공통비"))</f>
        <v/>
      </c>
      <c r="AF2576" s="64">
        <f>IF($A2576="","",IF(AE2576="직접",IFERROR(INDEX(계정매핑!$F$5:$F$504,MATCH($F2576&amp;"",계정매핑!$A$5:$A$504,0))&amp;"","비귀속"),""))</f>
        <v/>
      </c>
      <c r="AG2576" s="96">
        <f>IF($A2576="",0,IF(AND(AE2576&lt;&gt;"직접",IFERROR(INDEX(계정매핑!$G$5:$G$504,MATCH($F2576&amp;"",계정매핑!$A$5:$A$504,0))&amp;"","")="유지비",COUNTIF(계정대체기준!$A$6:$A$15,$N2576)&gt;0),IFERROR(INDEX(계정대체기준!$E$6:$E$15,MATCH(VALUE($A2576&amp;""),계정대체기준!$D$6:$D$15,0)),0),0))</f>
        <v/>
      </c>
      <c r="AH2576" s="64">
        <f>IF($A2576="","",IF(AD2576=0,"",IF(OR(COUNTIF(계정대체기준!$A$77:$A$86,$N2576)&gt;0,ISNUMBER(MATCH($X2576,계정대체기준!$D$77:$D$86,0)),ISNUMBER(MATCH($F2576,계정대체기준!$D$77:$D$86,0))),"Y","N")))</f>
        <v/>
      </c>
    </row>
    <row r="2577">
      <c r="A2577" s="92" t="n">
        <v>2025</v>
      </c>
      <c r="B2577" s="92" t="n">
        <v>12</v>
      </c>
      <c r="C2577" s="92" t="inlineStr">
        <is>
          <t>5100002573</t>
        </is>
      </c>
      <c r="D2577" s="95" t="n">
        <v>46003</v>
      </c>
      <c r="E2577" s="92" t="inlineStr">
        <is>
          <t>KR</t>
        </is>
      </c>
      <c r="F2577" s="92" t="n">
        <v>62102000</v>
      </c>
      <c r="G2577" s="92" t="n">
        <v>1501</v>
      </c>
      <c r="H2577" s="93" t="n">
        <v>159000</v>
      </c>
      <c r="I2577" s="92" t="inlineStr">
        <is>
          <t>12월 해외출장 - N호텔</t>
        </is>
      </c>
      <c r="J2577" s="92" t="inlineStr">
        <is>
          <t>V10009</t>
        </is>
      </c>
      <c r="K2577" s="92" t="inlineStr">
        <is>
          <t>N호텔</t>
        </is>
      </c>
      <c r="M2577" s="9">
        <f>IF($A2577="","",VALUE($A2577&amp;"")*12+VALUE($B2577&amp;""))</f>
        <v/>
      </c>
      <c r="N2577" s="64">
        <f>IF($A2577="","",IFERROR(INDEX(부서매핑!$C$5:$C$504,MATCH($G2577&amp;"",부서매핑!$A$5:$A$504,0)),"미매핑"))</f>
        <v/>
      </c>
      <c r="O2577" s="9">
        <f>IF($A2577="","",N2577&amp;"|"&amp;$F2577)</f>
        <v/>
      </c>
      <c r="P2577" s="94">
        <f>IF($A2577="",0,$H2577*설정!$C$23)</f>
        <v/>
      </c>
      <c r="Q2577" s="64">
        <f>IF($A2577="","",IF(O2577&lt;&gt;원인분석!$C$9,"",IF(AND(M2577&gt;=원인분석!$C$10,M2577&lt;=원인분석!$C$11),"당기",IF(AND(M2577&gt;=원인분석!$C$12,M2577&lt;=원인분석!$C$13),"비교",""))))</f>
        <v/>
      </c>
      <c r="R2577" s="9">
        <f>IF(Q2577="","",$K2577&amp;"")</f>
        <v/>
      </c>
      <c r="S2577" s="9">
        <f>IF(Q2577="","",IF(MATCH(R2577,$R$5:$R$100000,0)=ROW()-4,ROW(),""))</f>
        <v/>
      </c>
      <c r="T2577" s="9">
        <f>IF(Q2577="당기",ABS(P2577)+ROW()/1000000000,"")</f>
        <v/>
      </c>
      <c r="U2577" s="9">
        <f>IF(Q2577="비교",ABS(P2577)+ROW()/1000000000,"")</f>
        <v/>
      </c>
      <c r="V2577" s="64">
        <f>IF($A2577="","",IF(COUNTIF(변동분석!$E$7:$E$506,O2577)&gt;0,"Y","N"))</f>
        <v/>
      </c>
      <c r="W2577" s="64">
        <f>IF($A2577="","",IFERROR(INDEX(계정매핑!$D$5:$D$504,MATCH($F2577&amp;"",계정매핑!$A$5:$A$504,0)),"미매핑"))</f>
        <v/>
      </c>
      <c r="X2577" s="9">
        <f>IF($A2577="","",$F2577&amp;"")</f>
        <v/>
      </c>
      <c r="Y2577" s="94">
        <f>IF($A2577="",0,IF(AE2577="직접",IF(AF2577="비귀속",$P2577,0),$P2577*(1-AG2577)*IFERROR(INDEX(계정대체기준!$F$20:$F$49,MATCH($N2577,계정대체기준!$A$20:$A$49,0)),1)))</f>
        <v/>
      </c>
      <c r="Z2577" s="94">
        <f>IF($A2577="",0,IF(AE2577="직접",IF(AF2577="신계약비",$P2577,0),$P2577*(1-AG2577)*IFERROR(INDEX(계정대체기준!$C$20:$C$49,MATCH($N2577,계정대체기준!$A$20:$A$49,0)),0)))</f>
        <v/>
      </c>
      <c r="AA2577" s="94">
        <f>IF($A2577="",0,IF(AE2577="직접",IF(OR(AF2577="유지비",AF2577="손해조사비"),$P2577,0),$P2577*(1-AG2577)*IFERROR(INDEX(계정대체기준!$D$20:$D$49,MATCH($N2577,계정대체기준!$A$20:$A$49,0)),0)))</f>
        <v/>
      </c>
      <c r="AB2577" s="94">
        <f>IF($A2577="",0,IF(AE2577="직접",IF(AF2577="수금비",$P2577,0),$P2577*(1-AG2577)*IFERROR(INDEX(계정대체기준!$E$20:$E$49,MATCH($N2577,계정대체기준!$A$20:$A$49,0)),0)))</f>
        <v/>
      </c>
      <c r="AC2577" s="9">
        <f>IF(AND($A2577&lt;&gt;"",M2577=설정!$C$20,Z2577&gt;0),Z2577+ROW()/1000000000,"")</f>
        <v/>
      </c>
      <c r="AD2577" s="94">
        <f>IF($A2577="",0,$P2577*AG2577)</f>
        <v/>
      </c>
      <c r="AE2577" s="64">
        <f>IF($A2577="","",IFERROR(INDEX(계정매핑!$E$5:$E$504,MATCH($F2577&amp;"",계정매핑!$A$5:$A$504,0))&amp;"","공통비"))</f>
        <v/>
      </c>
      <c r="AF2577" s="64">
        <f>IF($A2577="","",IF(AE2577="직접",IFERROR(INDEX(계정매핑!$F$5:$F$504,MATCH($F2577&amp;"",계정매핑!$A$5:$A$504,0))&amp;"","비귀속"),""))</f>
        <v/>
      </c>
      <c r="AG2577" s="96">
        <f>IF($A2577="",0,IF(AND(AE2577&lt;&gt;"직접",IFERROR(INDEX(계정매핑!$G$5:$G$504,MATCH($F2577&amp;"",계정매핑!$A$5:$A$504,0))&amp;"","")="유지비",COUNTIF(계정대체기준!$A$6:$A$15,$N2577)&gt;0),IFERROR(INDEX(계정대체기준!$E$6:$E$15,MATCH(VALUE($A2577&amp;""),계정대체기준!$D$6:$D$15,0)),0),0))</f>
        <v/>
      </c>
      <c r="AH2577" s="64">
        <f>IF($A2577="","",IF(AD2577=0,"",IF(OR(COUNTIF(계정대체기준!$A$77:$A$86,$N2577)&gt;0,ISNUMBER(MATCH($X2577,계정대체기준!$D$77:$D$86,0)),ISNUMBER(MATCH($F2577,계정대체기준!$D$77:$D$86,0))),"Y","N")))</f>
        <v/>
      </c>
    </row>
    <row r="2578">
      <c r="A2578" s="92" t="n">
        <v>2025</v>
      </c>
      <c r="B2578" s="92" t="n">
        <v>12</v>
      </c>
      <c r="C2578" s="92" t="inlineStr">
        <is>
          <t>5100002574</t>
        </is>
      </c>
      <c r="D2578" s="95" t="n">
        <v>46003</v>
      </c>
      <c r="E2578" s="92" t="inlineStr">
        <is>
          <t>KR</t>
        </is>
      </c>
      <c r="F2578" s="92" t="n">
        <v>62102000</v>
      </c>
      <c r="G2578" s="92" t="n">
        <v>1601</v>
      </c>
      <c r="H2578" s="93" t="n">
        <v>228000</v>
      </c>
      <c r="I2578" s="92" t="inlineStr">
        <is>
          <t>12월 해외출장 - M항공</t>
        </is>
      </c>
      <c r="J2578" s="92" t="inlineStr">
        <is>
          <t>V10001</t>
        </is>
      </c>
      <c r="K2578" s="92" t="inlineStr">
        <is>
          <t>M항공</t>
        </is>
      </c>
      <c r="M2578" s="9">
        <f>IF($A2578="","",VALUE($A2578&amp;"")*12+VALUE($B2578&amp;""))</f>
        <v/>
      </c>
      <c r="N2578" s="64">
        <f>IF($A2578="","",IFERROR(INDEX(부서매핑!$C$5:$C$504,MATCH($G2578&amp;"",부서매핑!$A$5:$A$504,0)),"미매핑"))</f>
        <v/>
      </c>
      <c r="O2578" s="9">
        <f>IF($A2578="","",N2578&amp;"|"&amp;$F2578)</f>
        <v/>
      </c>
      <c r="P2578" s="94">
        <f>IF($A2578="",0,$H2578*설정!$C$23)</f>
        <v/>
      </c>
      <c r="Q2578" s="64">
        <f>IF($A2578="","",IF(O2578&lt;&gt;원인분석!$C$9,"",IF(AND(M2578&gt;=원인분석!$C$10,M2578&lt;=원인분석!$C$11),"당기",IF(AND(M2578&gt;=원인분석!$C$12,M2578&lt;=원인분석!$C$13),"비교",""))))</f>
        <v/>
      </c>
      <c r="R2578" s="9">
        <f>IF(Q2578="","",$K2578&amp;"")</f>
        <v/>
      </c>
      <c r="S2578" s="9">
        <f>IF(Q2578="","",IF(MATCH(R2578,$R$5:$R$100000,0)=ROW()-4,ROW(),""))</f>
        <v/>
      </c>
      <c r="T2578" s="9">
        <f>IF(Q2578="당기",ABS(P2578)+ROW()/1000000000,"")</f>
        <v/>
      </c>
      <c r="U2578" s="9">
        <f>IF(Q2578="비교",ABS(P2578)+ROW()/1000000000,"")</f>
        <v/>
      </c>
      <c r="V2578" s="64">
        <f>IF($A2578="","",IF(COUNTIF(변동분석!$E$7:$E$506,O2578)&gt;0,"Y","N"))</f>
        <v/>
      </c>
      <c r="W2578" s="64">
        <f>IF($A2578="","",IFERROR(INDEX(계정매핑!$D$5:$D$504,MATCH($F2578&amp;"",계정매핑!$A$5:$A$504,0)),"미매핑"))</f>
        <v/>
      </c>
      <c r="X2578" s="9">
        <f>IF($A2578="","",$F2578&amp;"")</f>
        <v/>
      </c>
      <c r="Y2578" s="94">
        <f>IF($A2578="",0,IF(AE2578="직접",IF(AF2578="비귀속",$P2578,0),$P2578*(1-AG2578)*IFERROR(INDEX(계정대체기준!$F$20:$F$49,MATCH($N2578,계정대체기준!$A$20:$A$49,0)),1)))</f>
        <v/>
      </c>
      <c r="Z2578" s="94">
        <f>IF($A2578="",0,IF(AE2578="직접",IF(AF2578="신계약비",$P2578,0),$P2578*(1-AG2578)*IFERROR(INDEX(계정대체기준!$C$20:$C$49,MATCH($N2578,계정대체기준!$A$20:$A$49,0)),0)))</f>
        <v/>
      </c>
      <c r="AA2578" s="94">
        <f>IF($A2578="",0,IF(AE2578="직접",IF(OR(AF2578="유지비",AF2578="손해조사비"),$P2578,0),$P2578*(1-AG2578)*IFERROR(INDEX(계정대체기준!$D$20:$D$49,MATCH($N2578,계정대체기준!$A$20:$A$49,0)),0)))</f>
        <v/>
      </c>
      <c r="AB2578" s="94">
        <f>IF($A2578="",0,IF(AE2578="직접",IF(AF2578="수금비",$P2578,0),$P2578*(1-AG2578)*IFERROR(INDEX(계정대체기준!$E$20:$E$49,MATCH($N2578,계정대체기준!$A$20:$A$49,0)),0)))</f>
        <v/>
      </c>
      <c r="AC2578" s="9">
        <f>IF(AND($A2578&lt;&gt;"",M2578=설정!$C$20,Z2578&gt;0),Z2578+ROW()/1000000000,"")</f>
        <v/>
      </c>
      <c r="AD2578" s="94">
        <f>IF($A2578="",0,$P2578*AG2578)</f>
        <v/>
      </c>
      <c r="AE2578" s="64">
        <f>IF($A2578="","",IFERROR(INDEX(계정매핑!$E$5:$E$504,MATCH($F2578&amp;"",계정매핑!$A$5:$A$504,0))&amp;"","공통비"))</f>
        <v/>
      </c>
      <c r="AF2578" s="64">
        <f>IF($A2578="","",IF(AE2578="직접",IFERROR(INDEX(계정매핑!$F$5:$F$504,MATCH($F2578&amp;"",계정매핑!$A$5:$A$504,0))&amp;"","비귀속"),""))</f>
        <v/>
      </c>
      <c r="AG2578" s="96">
        <f>IF($A2578="",0,IF(AND(AE2578&lt;&gt;"직접",IFERROR(INDEX(계정매핑!$G$5:$G$504,MATCH($F2578&amp;"",계정매핑!$A$5:$A$504,0))&amp;"","")="유지비",COUNTIF(계정대체기준!$A$6:$A$15,$N2578)&gt;0),IFERROR(INDEX(계정대체기준!$E$6:$E$15,MATCH(VALUE($A2578&amp;""),계정대체기준!$D$6:$D$15,0)),0),0))</f>
        <v/>
      </c>
      <c r="AH2578" s="64">
        <f>IF($A2578="","",IF(AD2578=0,"",IF(OR(COUNTIF(계정대체기준!$A$77:$A$86,$N2578)&gt;0,ISNUMBER(MATCH($X2578,계정대체기준!$D$77:$D$86,0)),ISNUMBER(MATCH($F2578,계정대체기준!$D$77:$D$86,0))),"Y","N")))</f>
        <v/>
      </c>
    </row>
    <row r="2579">
      <c r="A2579" s="92" t="n">
        <v>2025</v>
      </c>
      <c r="B2579" s="92" t="n">
        <v>12</v>
      </c>
      <c r="C2579" s="92" t="inlineStr">
        <is>
          <t>5100002575</t>
        </is>
      </c>
      <c r="D2579" s="95" t="n">
        <v>46003</v>
      </c>
      <c r="E2579" s="92" t="inlineStr">
        <is>
          <t>KR</t>
        </is>
      </c>
      <c r="F2579" s="92" t="n">
        <v>62201000</v>
      </c>
      <c r="G2579" s="92" t="n">
        <v>1801</v>
      </c>
      <c r="H2579" s="93" t="n">
        <v>8729000</v>
      </c>
      <c r="I2579" s="92" t="inlineStr">
        <is>
          <t>12월 통신요금 - O텔레콤</t>
        </is>
      </c>
      <c r="J2579" s="92" t="inlineStr">
        <is>
          <t>V10002</t>
        </is>
      </c>
      <c r="K2579" s="92" t="inlineStr">
        <is>
          <t>O텔레콤</t>
        </is>
      </c>
      <c r="M2579" s="9">
        <f>IF($A2579="","",VALUE($A2579&amp;"")*12+VALUE($B2579&amp;""))</f>
        <v/>
      </c>
      <c r="N2579" s="64">
        <f>IF($A2579="","",IFERROR(INDEX(부서매핑!$C$5:$C$504,MATCH($G2579&amp;"",부서매핑!$A$5:$A$504,0)),"미매핑"))</f>
        <v/>
      </c>
      <c r="O2579" s="9">
        <f>IF($A2579="","",N2579&amp;"|"&amp;$F2579)</f>
        <v/>
      </c>
      <c r="P2579" s="94">
        <f>IF($A2579="",0,$H2579*설정!$C$23)</f>
        <v/>
      </c>
      <c r="Q2579" s="64">
        <f>IF($A2579="","",IF(O2579&lt;&gt;원인분석!$C$9,"",IF(AND(M2579&gt;=원인분석!$C$10,M2579&lt;=원인분석!$C$11),"당기",IF(AND(M2579&gt;=원인분석!$C$12,M2579&lt;=원인분석!$C$13),"비교",""))))</f>
        <v/>
      </c>
      <c r="R2579" s="9">
        <f>IF(Q2579="","",$K2579&amp;"")</f>
        <v/>
      </c>
      <c r="S2579" s="9">
        <f>IF(Q2579="","",IF(MATCH(R2579,$R$5:$R$100000,0)=ROW()-4,ROW(),""))</f>
        <v/>
      </c>
      <c r="T2579" s="9">
        <f>IF(Q2579="당기",ABS(P2579)+ROW()/1000000000,"")</f>
        <v/>
      </c>
      <c r="U2579" s="9">
        <f>IF(Q2579="비교",ABS(P2579)+ROW()/1000000000,"")</f>
        <v/>
      </c>
      <c r="V2579" s="64">
        <f>IF($A2579="","",IF(COUNTIF(변동분석!$E$7:$E$506,O2579)&gt;0,"Y","N"))</f>
        <v/>
      </c>
      <c r="W2579" s="64">
        <f>IF($A2579="","",IFERROR(INDEX(계정매핑!$D$5:$D$504,MATCH($F2579&amp;"",계정매핑!$A$5:$A$504,0)),"미매핑"))</f>
        <v/>
      </c>
      <c r="X2579" s="9">
        <f>IF($A2579="","",$F2579&amp;"")</f>
        <v/>
      </c>
      <c r="Y2579" s="94">
        <f>IF($A2579="",0,IF(AE2579="직접",IF(AF2579="비귀속",$P2579,0),$P2579*(1-AG2579)*IFERROR(INDEX(계정대체기준!$F$20:$F$49,MATCH($N2579,계정대체기준!$A$20:$A$49,0)),1)))</f>
        <v/>
      </c>
      <c r="Z2579" s="94">
        <f>IF($A2579="",0,IF(AE2579="직접",IF(AF2579="신계약비",$P2579,0),$P2579*(1-AG2579)*IFERROR(INDEX(계정대체기준!$C$20:$C$49,MATCH($N2579,계정대체기준!$A$20:$A$49,0)),0)))</f>
        <v/>
      </c>
      <c r="AA2579" s="94">
        <f>IF($A2579="",0,IF(AE2579="직접",IF(OR(AF2579="유지비",AF2579="손해조사비"),$P2579,0),$P2579*(1-AG2579)*IFERROR(INDEX(계정대체기준!$D$20:$D$49,MATCH($N2579,계정대체기준!$A$20:$A$49,0)),0)))</f>
        <v/>
      </c>
      <c r="AB2579" s="94">
        <f>IF($A2579="",0,IF(AE2579="직접",IF(AF2579="수금비",$P2579,0),$P2579*(1-AG2579)*IFERROR(INDEX(계정대체기준!$E$20:$E$49,MATCH($N2579,계정대체기준!$A$20:$A$49,0)),0)))</f>
        <v/>
      </c>
      <c r="AC2579" s="9">
        <f>IF(AND($A2579&lt;&gt;"",M2579=설정!$C$20,Z2579&gt;0),Z2579+ROW()/1000000000,"")</f>
        <v/>
      </c>
      <c r="AD2579" s="94">
        <f>IF($A2579="",0,$P2579*AG2579)</f>
        <v/>
      </c>
      <c r="AE2579" s="64">
        <f>IF($A2579="","",IFERROR(INDEX(계정매핑!$E$5:$E$504,MATCH($F2579&amp;"",계정매핑!$A$5:$A$504,0))&amp;"","공통비"))</f>
        <v/>
      </c>
      <c r="AF2579" s="64">
        <f>IF($A2579="","",IF(AE2579="직접",IFERROR(INDEX(계정매핑!$F$5:$F$504,MATCH($F2579&amp;"",계정매핑!$A$5:$A$504,0))&amp;"","비귀속"),""))</f>
        <v/>
      </c>
      <c r="AG2579" s="96">
        <f>IF($A2579="",0,IF(AND(AE2579&lt;&gt;"직접",IFERROR(INDEX(계정매핑!$G$5:$G$504,MATCH($F2579&amp;"",계정매핑!$A$5:$A$504,0))&amp;"","")="유지비",COUNTIF(계정대체기준!$A$6:$A$15,$N2579)&gt;0),IFERROR(INDEX(계정대체기준!$E$6:$E$15,MATCH(VALUE($A2579&amp;""),계정대체기준!$D$6:$D$15,0)),0),0))</f>
        <v/>
      </c>
      <c r="AH2579" s="64">
        <f>IF($A2579="","",IF(AD2579=0,"",IF(OR(COUNTIF(계정대체기준!$A$77:$A$86,$N2579)&gt;0,ISNUMBER(MATCH($X2579,계정대체기준!$D$77:$D$86,0)),ISNUMBER(MATCH($F2579,계정대체기준!$D$77:$D$86,0))),"Y","N")))</f>
        <v/>
      </c>
    </row>
    <row r="2580">
      <c r="A2580" s="92" t="n">
        <v>2025</v>
      </c>
      <c r="B2580" s="92" t="n">
        <v>12</v>
      </c>
      <c r="C2580" s="92" t="inlineStr">
        <is>
          <t>5100002576</t>
        </is>
      </c>
      <c r="D2580" s="95" t="n">
        <v>46003</v>
      </c>
      <c r="E2580" s="92" t="inlineStr">
        <is>
          <t>KR</t>
        </is>
      </c>
      <c r="F2580" s="92" t="n">
        <v>62301000</v>
      </c>
      <c r="G2580" s="92" t="n">
        <v>1201</v>
      </c>
      <c r="H2580" s="93" t="n">
        <v>227000</v>
      </c>
      <c r="I2580" s="92" t="inlineStr">
        <is>
          <t>12월 소모품 구입 - Q오피스</t>
        </is>
      </c>
      <c r="J2580" s="92" t="inlineStr">
        <is>
          <t>V10003</t>
        </is>
      </c>
      <c r="K2580" s="92" t="inlineStr">
        <is>
          <t>Q오피스</t>
        </is>
      </c>
      <c r="M2580" s="9">
        <f>IF($A2580="","",VALUE($A2580&amp;"")*12+VALUE($B2580&amp;""))</f>
        <v/>
      </c>
      <c r="N2580" s="64">
        <f>IF($A2580="","",IFERROR(INDEX(부서매핑!$C$5:$C$504,MATCH($G2580&amp;"",부서매핑!$A$5:$A$504,0)),"미매핑"))</f>
        <v/>
      </c>
      <c r="O2580" s="9">
        <f>IF($A2580="","",N2580&amp;"|"&amp;$F2580)</f>
        <v/>
      </c>
      <c r="P2580" s="94">
        <f>IF($A2580="",0,$H2580*설정!$C$23)</f>
        <v/>
      </c>
      <c r="Q2580" s="64">
        <f>IF($A2580="","",IF(O2580&lt;&gt;원인분석!$C$9,"",IF(AND(M2580&gt;=원인분석!$C$10,M2580&lt;=원인분석!$C$11),"당기",IF(AND(M2580&gt;=원인분석!$C$12,M2580&lt;=원인분석!$C$13),"비교",""))))</f>
        <v/>
      </c>
      <c r="R2580" s="9">
        <f>IF(Q2580="","",$K2580&amp;"")</f>
        <v/>
      </c>
      <c r="S2580" s="9">
        <f>IF(Q2580="","",IF(MATCH(R2580,$R$5:$R$100000,0)=ROW()-4,ROW(),""))</f>
        <v/>
      </c>
      <c r="T2580" s="9">
        <f>IF(Q2580="당기",ABS(P2580)+ROW()/1000000000,"")</f>
        <v/>
      </c>
      <c r="U2580" s="9">
        <f>IF(Q2580="비교",ABS(P2580)+ROW()/1000000000,"")</f>
        <v/>
      </c>
      <c r="V2580" s="64">
        <f>IF($A2580="","",IF(COUNTIF(변동분석!$E$7:$E$506,O2580)&gt;0,"Y","N"))</f>
        <v/>
      </c>
      <c r="W2580" s="64">
        <f>IF($A2580="","",IFERROR(INDEX(계정매핑!$D$5:$D$504,MATCH($F2580&amp;"",계정매핑!$A$5:$A$504,0)),"미매핑"))</f>
        <v/>
      </c>
      <c r="X2580" s="9">
        <f>IF($A2580="","",$F2580&amp;"")</f>
        <v/>
      </c>
      <c r="Y2580" s="94">
        <f>IF($A2580="",0,IF(AE2580="직접",IF(AF2580="비귀속",$P2580,0),$P2580*(1-AG2580)*IFERROR(INDEX(계정대체기준!$F$20:$F$49,MATCH($N2580,계정대체기준!$A$20:$A$49,0)),1)))</f>
        <v/>
      </c>
      <c r="Z2580" s="94">
        <f>IF($A2580="",0,IF(AE2580="직접",IF(AF2580="신계약비",$P2580,0),$P2580*(1-AG2580)*IFERROR(INDEX(계정대체기준!$C$20:$C$49,MATCH($N2580,계정대체기준!$A$20:$A$49,0)),0)))</f>
        <v/>
      </c>
      <c r="AA2580" s="94">
        <f>IF($A2580="",0,IF(AE2580="직접",IF(OR(AF2580="유지비",AF2580="손해조사비"),$P2580,0),$P2580*(1-AG2580)*IFERROR(INDEX(계정대체기준!$D$20:$D$49,MATCH($N2580,계정대체기준!$A$20:$A$49,0)),0)))</f>
        <v/>
      </c>
      <c r="AB2580" s="94">
        <f>IF($A2580="",0,IF(AE2580="직접",IF(AF2580="수금비",$P2580,0),$P2580*(1-AG2580)*IFERROR(INDEX(계정대체기준!$E$20:$E$49,MATCH($N2580,계정대체기준!$A$20:$A$49,0)),0)))</f>
        <v/>
      </c>
      <c r="AC2580" s="9">
        <f>IF(AND($A2580&lt;&gt;"",M2580=설정!$C$20,Z2580&gt;0),Z2580+ROW()/1000000000,"")</f>
        <v/>
      </c>
      <c r="AD2580" s="94">
        <f>IF($A2580="",0,$P2580*AG2580)</f>
        <v/>
      </c>
      <c r="AE2580" s="64">
        <f>IF($A2580="","",IFERROR(INDEX(계정매핑!$E$5:$E$504,MATCH($F2580&amp;"",계정매핑!$A$5:$A$504,0))&amp;"","공통비"))</f>
        <v/>
      </c>
      <c r="AF2580" s="64">
        <f>IF($A2580="","",IF(AE2580="직접",IFERROR(INDEX(계정매핑!$F$5:$F$504,MATCH($F2580&amp;"",계정매핑!$A$5:$A$504,0))&amp;"","비귀속"),""))</f>
        <v/>
      </c>
      <c r="AG2580" s="96">
        <f>IF($A2580="",0,IF(AND(AE2580&lt;&gt;"직접",IFERROR(INDEX(계정매핑!$G$5:$G$504,MATCH($F2580&amp;"",계정매핑!$A$5:$A$504,0))&amp;"","")="유지비",COUNTIF(계정대체기준!$A$6:$A$15,$N2580)&gt;0),IFERROR(INDEX(계정대체기준!$E$6:$E$15,MATCH(VALUE($A2580&amp;""),계정대체기준!$D$6:$D$15,0)),0),0))</f>
        <v/>
      </c>
      <c r="AH2580" s="64">
        <f>IF($A2580="","",IF(AD2580=0,"",IF(OR(COUNTIF(계정대체기준!$A$77:$A$86,$N2580)&gt;0,ISNUMBER(MATCH($X2580,계정대체기준!$D$77:$D$86,0)),ISNUMBER(MATCH($F2580,계정대체기준!$D$77:$D$86,0))),"Y","N")))</f>
        <v/>
      </c>
    </row>
    <row r="2581">
      <c r="A2581" s="92" t="n">
        <v>2025</v>
      </c>
      <c r="B2581" s="92" t="n">
        <v>12</v>
      </c>
      <c r="C2581" s="92" t="inlineStr">
        <is>
          <t>5100002577</t>
        </is>
      </c>
      <c r="D2581" s="95" t="n">
        <v>46003</v>
      </c>
      <c r="E2581" s="92" t="inlineStr">
        <is>
          <t>KR</t>
        </is>
      </c>
      <c r="F2581" s="92" t="n">
        <v>62401000</v>
      </c>
      <c r="G2581" s="92" t="n">
        <v>1801</v>
      </c>
      <c r="H2581" s="93" t="n">
        <v>2137000</v>
      </c>
      <c r="I2581" s="92" t="inlineStr">
        <is>
          <t>12월 인쇄물 제작 - S출판</t>
        </is>
      </c>
      <c r="J2581" s="92" t="inlineStr">
        <is>
          <t>V10015</t>
        </is>
      </c>
      <c r="K2581" s="92" t="inlineStr">
        <is>
          <t>S출판</t>
        </is>
      </c>
      <c r="M2581" s="9">
        <f>IF($A2581="","",VALUE($A2581&amp;"")*12+VALUE($B2581&amp;""))</f>
        <v/>
      </c>
      <c r="N2581" s="64">
        <f>IF($A2581="","",IFERROR(INDEX(부서매핑!$C$5:$C$504,MATCH($G2581&amp;"",부서매핑!$A$5:$A$504,0)),"미매핑"))</f>
        <v/>
      </c>
      <c r="O2581" s="9">
        <f>IF($A2581="","",N2581&amp;"|"&amp;$F2581)</f>
        <v/>
      </c>
      <c r="P2581" s="94">
        <f>IF($A2581="",0,$H2581*설정!$C$23)</f>
        <v/>
      </c>
      <c r="Q2581" s="64">
        <f>IF($A2581="","",IF(O2581&lt;&gt;원인분석!$C$9,"",IF(AND(M2581&gt;=원인분석!$C$10,M2581&lt;=원인분석!$C$11),"당기",IF(AND(M2581&gt;=원인분석!$C$12,M2581&lt;=원인분석!$C$13),"비교",""))))</f>
        <v/>
      </c>
      <c r="R2581" s="9">
        <f>IF(Q2581="","",$K2581&amp;"")</f>
        <v/>
      </c>
      <c r="S2581" s="9">
        <f>IF(Q2581="","",IF(MATCH(R2581,$R$5:$R$100000,0)=ROW()-4,ROW(),""))</f>
        <v/>
      </c>
      <c r="T2581" s="9">
        <f>IF(Q2581="당기",ABS(P2581)+ROW()/1000000000,"")</f>
        <v/>
      </c>
      <c r="U2581" s="9">
        <f>IF(Q2581="비교",ABS(P2581)+ROW()/1000000000,"")</f>
        <v/>
      </c>
      <c r="V2581" s="64">
        <f>IF($A2581="","",IF(COUNTIF(변동분석!$E$7:$E$506,O2581)&gt;0,"Y","N"))</f>
        <v/>
      </c>
      <c r="W2581" s="64">
        <f>IF($A2581="","",IFERROR(INDEX(계정매핑!$D$5:$D$504,MATCH($F2581&amp;"",계정매핑!$A$5:$A$504,0)),"미매핑"))</f>
        <v/>
      </c>
      <c r="X2581" s="9">
        <f>IF($A2581="","",$F2581&amp;"")</f>
        <v/>
      </c>
      <c r="Y2581" s="94">
        <f>IF($A2581="",0,IF(AE2581="직접",IF(AF2581="비귀속",$P2581,0),$P2581*(1-AG2581)*IFERROR(INDEX(계정대체기준!$F$20:$F$49,MATCH($N2581,계정대체기준!$A$20:$A$49,0)),1)))</f>
        <v/>
      </c>
      <c r="Z2581" s="94">
        <f>IF($A2581="",0,IF(AE2581="직접",IF(AF2581="신계약비",$P2581,0),$P2581*(1-AG2581)*IFERROR(INDEX(계정대체기준!$C$20:$C$49,MATCH($N2581,계정대체기준!$A$20:$A$49,0)),0)))</f>
        <v/>
      </c>
      <c r="AA2581" s="94">
        <f>IF($A2581="",0,IF(AE2581="직접",IF(OR(AF2581="유지비",AF2581="손해조사비"),$P2581,0),$P2581*(1-AG2581)*IFERROR(INDEX(계정대체기준!$D$20:$D$49,MATCH($N2581,계정대체기준!$A$20:$A$49,0)),0)))</f>
        <v/>
      </c>
      <c r="AB2581" s="94">
        <f>IF($A2581="",0,IF(AE2581="직접",IF(AF2581="수금비",$P2581,0),$P2581*(1-AG2581)*IFERROR(INDEX(계정대체기준!$E$20:$E$49,MATCH($N2581,계정대체기준!$A$20:$A$49,0)),0)))</f>
        <v/>
      </c>
      <c r="AC2581" s="9">
        <f>IF(AND($A2581&lt;&gt;"",M2581=설정!$C$20,Z2581&gt;0),Z2581+ROW()/1000000000,"")</f>
        <v/>
      </c>
      <c r="AD2581" s="94">
        <f>IF($A2581="",0,$P2581*AG2581)</f>
        <v/>
      </c>
      <c r="AE2581" s="64">
        <f>IF($A2581="","",IFERROR(INDEX(계정매핑!$E$5:$E$504,MATCH($F2581&amp;"",계정매핑!$A$5:$A$504,0))&amp;"","공통비"))</f>
        <v/>
      </c>
      <c r="AF2581" s="64">
        <f>IF($A2581="","",IF(AE2581="직접",IFERROR(INDEX(계정매핑!$F$5:$F$504,MATCH($F2581&amp;"",계정매핑!$A$5:$A$504,0))&amp;"","비귀속"),""))</f>
        <v/>
      </c>
      <c r="AG2581" s="96">
        <f>IF($A2581="",0,IF(AND(AE2581&lt;&gt;"직접",IFERROR(INDEX(계정매핑!$G$5:$G$504,MATCH($F2581&amp;"",계정매핑!$A$5:$A$504,0))&amp;"","")="유지비",COUNTIF(계정대체기준!$A$6:$A$15,$N2581)&gt;0),IFERROR(INDEX(계정대체기준!$E$6:$E$15,MATCH(VALUE($A2581&amp;""),계정대체기준!$D$6:$D$15,0)),0),0))</f>
        <v/>
      </c>
      <c r="AH2581" s="64">
        <f>IF($A2581="","",IF(AD2581=0,"",IF(OR(COUNTIF(계정대체기준!$A$77:$A$86,$N2581)&gt;0,ISNUMBER(MATCH($X2581,계정대체기준!$D$77:$D$86,0)),ISNUMBER(MATCH($F2581,계정대체기준!$D$77:$D$86,0))),"Y","N")))</f>
        <v/>
      </c>
    </row>
    <row r="2582">
      <c r="A2582" s="92" t="n">
        <v>2025</v>
      </c>
      <c r="B2582" s="92" t="n">
        <v>12</v>
      </c>
      <c r="C2582" s="92" t="inlineStr">
        <is>
          <t>5100002578</t>
        </is>
      </c>
      <c r="D2582" s="95" t="n">
        <v>46003</v>
      </c>
      <c r="E2582" s="92" t="inlineStr">
        <is>
          <t>KR</t>
        </is>
      </c>
      <c r="F2582" s="92" t="n">
        <v>62501000</v>
      </c>
      <c r="G2582" s="92" t="n">
        <v>1501</v>
      </c>
      <c r="H2582" s="93" t="n">
        <v>250000</v>
      </c>
      <c r="I2582" s="92" t="inlineStr">
        <is>
          <t>12월 회의 다과 - (법인카드)</t>
        </is>
      </c>
      <c r="J2582" s="92" t="inlineStr">
        <is>
          <t>V10010</t>
        </is>
      </c>
      <c r="K2582" s="92" t="inlineStr">
        <is>
          <t>(법인카드)</t>
        </is>
      </c>
      <c r="M2582" s="9">
        <f>IF($A2582="","",VALUE($A2582&amp;"")*12+VALUE($B2582&amp;""))</f>
        <v/>
      </c>
      <c r="N2582" s="64">
        <f>IF($A2582="","",IFERROR(INDEX(부서매핑!$C$5:$C$504,MATCH($G2582&amp;"",부서매핑!$A$5:$A$504,0)),"미매핑"))</f>
        <v/>
      </c>
      <c r="O2582" s="9">
        <f>IF($A2582="","",N2582&amp;"|"&amp;$F2582)</f>
        <v/>
      </c>
      <c r="P2582" s="94">
        <f>IF($A2582="",0,$H2582*설정!$C$23)</f>
        <v/>
      </c>
      <c r="Q2582" s="64">
        <f>IF($A2582="","",IF(O2582&lt;&gt;원인분석!$C$9,"",IF(AND(M2582&gt;=원인분석!$C$10,M2582&lt;=원인분석!$C$11),"당기",IF(AND(M2582&gt;=원인분석!$C$12,M2582&lt;=원인분석!$C$13),"비교",""))))</f>
        <v/>
      </c>
      <c r="R2582" s="9">
        <f>IF(Q2582="","",$K2582&amp;"")</f>
        <v/>
      </c>
      <c r="S2582" s="9">
        <f>IF(Q2582="","",IF(MATCH(R2582,$R$5:$R$100000,0)=ROW()-4,ROW(),""))</f>
        <v/>
      </c>
      <c r="T2582" s="9">
        <f>IF(Q2582="당기",ABS(P2582)+ROW()/1000000000,"")</f>
        <v/>
      </c>
      <c r="U2582" s="9">
        <f>IF(Q2582="비교",ABS(P2582)+ROW()/1000000000,"")</f>
        <v/>
      </c>
      <c r="V2582" s="64">
        <f>IF($A2582="","",IF(COUNTIF(변동분석!$E$7:$E$506,O2582)&gt;0,"Y","N"))</f>
        <v/>
      </c>
      <c r="W2582" s="64">
        <f>IF($A2582="","",IFERROR(INDEX(계정매핑!$D$5:$D$504,MATCH($F2582&amp;"",계정매핑!$A$5:$A$504,0)),"미매핑"))</f>
        <v/>
      </c>
      <c r="X2582" s="9">
        <f>IF($A2582="","",$F2582&amp;"")</f>
        <v/>
      </c>
      <c r="Y2582" s="94">
        <f>IF($A2582="",0,IF(AE2582="직접",IF(AF2582="비귀속",$P2582,0),$P2582*(1-AG2582)*IFERROR(INDEX(계정대체기준!$F$20:$F$49,MATCH($N2582,계정대체기준!$A$20:$A$49,0)),1)))</f>
        <v/>
      </c>
      <c r="Z2582" s="94">
        <f>IF($A2582="",0,IF(AE2582="직접",IF(AF2582="신계약비",$P2582,0),$P2582*(1-AG2582)*IFERROR(INDEX(계정대체기준!$C$20:$C$49,MATCH($N2582,계정대체기준!$A$20:$A$49,0)),0)))</f>
        <v/>
      </c>
      <c r="AA2582" s="94">
        <f>IF($A2582="",0,IF(AE2582="직접",IF(OR(AF2582="유지비",AF2582="손해조사비"),$P2582,0),$P2582*(1-AG2582)*IFERROR(INDEX(계정대체기준!$D$20:$D$49,MATCH($N2582,계정대체기준!$A$20:$A$49,0)),0)))</f>
        <v/>
      </c>
      <c r="AB2582" s="94">
        <f>IF($A2582="",0,IF(AE2582="직접",IF(AF2582="수금비",$P2582,0),$P2582*(1-AG2582)*IFERROR(INDEX(계정대체기준!$E$20:$E$49,MATCH($N2582,계정대체기준!$A$20:$A$49,0)),0)))</f>
        <v/>
      </c>
      <c r="AC2582" s="9">
        <f>IF(AND($A2582&lt;&gt;"",M2582=설정!$C$20,Z2582&gt;0),Z2582+ROW()/1000000000,"")</f>
        <v/>
      </c>
      <c r="AD2582" s="94">
        <f>IF($A2582="",0,$P2582*AG2582)</f>
        <v/>
      </c>
      <c r="AE2582" s="64">
        <f>IF($A2582="","",IFERROR(INDEX(계정매핑!$E$5:$E$504,MATCH($F2582&amp;"",계정매핑!$A$5:$A$504,0))&amp;"","공통비"))</f>
        <v/>
      </c>
      <c r="AF2582" s="64">
        <f>IF($A2582="","",IF(AE2582="직접",IFERROR(INDEX(계정매핑!$F$5:$F$504,MATCH($F2582&amp;"",계정매핑!$A$5:$A$504,0))&amp;"","비귀속"),""))</f>
        <v/>
      </c>
      <c r="AG2582" s="96">
        <f>IF($A2582="",0,IF(AND(AE2582&lt;&gt;"직접",IFERROR(INDEX(계정매핑!$G$5:$G$504,MATCH($F2582&amp;"",계정매핑!$A$5:$A$504,0))&amp;"","")="유지비",COUNTIF(계정대체기준!$A$6:$A$15,$N2582)&gt;0),IFERROR(INDEX(계정대체기준!$E$6:$E$15,MATCH(VALUE($A2582&amp;""),계정대체기준!$D$6:$D$15,0)),0),0))</f>
        <v/>
      </c>
      <c r="AH2582" s="64">
        <f>IF($A2582="","",IF(AD2582=0,"",IF(OR(COUNTIF(계정대체기준!$A$77:$A$86,$N2582)&gt;0,ISNUMBER(MATCH($X2582,계정대체기준!$D$77:$D$86,0)),ISNUMBER(MATCH($F2582,계정대체기준!$D$77:$D$86,0))),"Y","N")))</f>
        <v/>
      </c>
    </row>
    <row r="2583">
      <c r="A2583" s="92" t="n">
        <v>2025</v>
      </c>
      <c r="B2583" s="92" t="n">
        <v>12</v>
      </c>
      <c r="C2583" s="92" t="inlineStr">
        <is>
          <t>5100002579</t>
        </is>
      </c>
      <c r="D2583" s="95" t="n">
        <v>46003</v>
      </c>
      <c r="E2583" s="92" t="inlineStr">
        <is>
          <t>KR</t>
        </is>
      </c>
      <c r="F2583" s="92" t="n">
        <v>62801000</v>
      </c>
      <c r="G2583" s="92" t="n">
        <v>1301</v>
      </c>
      <c r="H2583" s="93" t="n">
        <v>5488000</v>
      </c>
      <c r="I2583" s="92" t="inlineStr">
        <is>
          <t>12월 사내교육 - (사내강사료)</t>
        </is>
      </c>
      <c r="J2583" s="92" t="inlineStr">
        <is>
          <t>V10024</t>
        </is>
      </c>
      <c r="K2583" s="92" t="inlineStr">
        <is>
          <t>(사내강사료)</t>
        </is>
      </c>
      <c r="M2583" s="9">
        <f>IF($A2583="","",VALUE($A2583&amp;"")*12+VALUE($B2583&amp;""))</f>
        <v/>
      </c>
      <c r="N2583" s="64">
        <f>IF($A2583="","",IFERROR(INDEX(부서매핑!$C$5:$C$504,MATCH($G2583&amp;"",부서매핑!$A$5:$A$504,0)),"미매핑"))</f>
        <v/>
      </c>
      <c r="O2583" s="9">
        <f>IF($A2583="","",N2583&amp;"|"&amp;$F2583)</f>
        <v/>
      </c>
      <c r="P2583" s="94">
        <f>IF($A2583="",0,$H2583*설정!$C$23)</f>
        <v/>
      </c>
      <c r="Q2583" s="64">
        <f>IF($A2583="","",IF(O2583&lt;&gt;원인분석!$C$9,"",IF(AND(M2583&gt;=원인분석!$C$10,M2583&lt;=원인분석!$C$11),"당기",IF(AND(M2583&gt;=원인분석!$C$12,M2583&lt;=원인분석!$C$13),"비교",""))))</f>
        <v/>
      </c>
      <c r="R2583" s="9">
        <f>IF(Q2583="","",$K2583&amp;"")</f>
        <v/>
      </c>
      <c r="S2583" s="9">
        <f>IF(Q2583="","",IF(MATCH(R2583,$R$5:$R$100000,0)=ROW()-4,ROW(),""))</f>
        <v/>
      </c>
      <c r="T2583" s="9">
        <f>IF(Q2583="당기",ABS(P2583)+ROW()/1000000000,"")</f>
        <v/>
      </c>
      <c r="U2583" s="9">
        <f>IF(Q2583="비교",ABS(P2583)+ROW()/1000000000,"")</f>
        <v/>
      </c>
      <c r="V2583" s="64">
        <f>IF($A2583="","",IF(COUNTIF(변동분석!$E$7:$E$506,O2583)&gt;0,"Y","N"))</f>
        <v/>
      </c>
      <c r="W2583" s="64">
        <f>IF($A2583="","",IFERROR(INDEX(계정매핑!$D$5:$D$504,MATCH($F2583&amp;"",계정매핑!$A$5:$A$504,0)),"미매핑"))</f>
        <v/>
      </c>
      <c r="X2583" s="9">
        <f>IF($A2583="","",$F2583&amp;"")</f>
        <v/>
      </c>
      <c r="Y2583" s="94">
        <f>IF($A2583="",0,IF(AE2583="직접",IF(AF2583="비귀속",$P2583,0),$P2583*(1-AG2583)*IFERROR(INDEX(계정대체기준!$F$20:$F$49,MATCH($N2583,계정대체기준!$A$20:$A$49,0)),1)))</f>
        <v/>
      </c>
      <c r="Z2583" s="94">
        <f>IF($A2583="",0,IF(AE2583="직접",IF(AF2583="신계약비",$P2583,0),$P2583*(1-AG2583)*IFERROR(INDEX(계정대체기준!$C$20:$C$49,MATCH($N2583,계정대체기준!$A$20:$A$49,0)),0)))</f>
        <v/>
      </c>
      <c r="AA2583" s="94">
        <f>IF($A2583="",0,IF(AE2583="직접",IF(OR(AF2583="유지비",AF2583="손해조사비"),$P2583,0),$P2583*(1-AG2583)*IFERROR(INDEX(계정대체기준!$D$20:$D$49,MATCH($N2583,계정대체기준!$A$20:$A$49,0)),0)))</f>
        <v/>
      </c>
      <c r="AB2583" s="94">
        <f>IF($A2583="",0,IF(AE2583="직접",IF(AF2583="수금비",$P2583,0),$P2583*(1-AG2583)*IFERROR(INDEX(계정대체기준!$E$20:$E$49,MATCH($N2583,계정대체기준!$A$20:$A$49,0)),0)))</f>
        <v/>
      </c>
      <c r="AC2583" s="9">
        <f>IF(AND($A2583&lt;&gt;"",M2583=설정!$C$20,Z2583&gt;0),Z2583+ROW()/1000000000,"")</f>
        <v/>
      </c>
      <c r="AD2583" s="94">
        <f>IF($A2583="",0,$P2583*AG2583)</f>
        <v/>
      </c>
      <c r="AE2583" s="64">
        <f>IF($A2583="","",IFERROR(INDEX(계정매핑!$E$5:$E$504,MATCH($F2583&amp;"",계정매핑!$A$5:$A$504,0))&amp;"","공통비"))</f>
        <v/>
      </c>
      <c r="AF2583" s="64">
        <f>IF($A2583="","",IF(AE2583="직접",IFERROR(INDEX(계정매핑!$F$5:$F$504,MATCH($F2583&amp;"",계정매핑!$A$5:$A$504,0))&amp;"","비귀속"),""))</f>
        <v/>
      </c>
      <c r="AG2583" s="96">
        <f>IF($A2583="",0,IF(AND(AE2583&lt;&gt;"직접",IFERROR(INDEX(계정매핑!$G$5:$G$504,MATCH($F2583&amp;"",계정매핑!$A$5:$A$504,0))&amp;"","")="유지비",COUNTIF(계정대체기준!$A$6:$A$15,$N2583)&gt;0),IFERROR(INDEX(계정대체기준!$E$6:$E$15,MATCH(VALUE($A2583&amp;""),계정대체기준!$D$6:$D$15,0)),0),0))</f>
        <v/>
      </c>
      <c r="AH2583" s="64">
        <f>IF($A2583="","",IF(AD2583=0,"",IF(OR(COUNTIF(계정대체기준!$A$77:$A$86,$N2583)&gt;0,ISNUMBER(MATCH($X2583,계정대체기준!$D$77:$D$86,0)),ISNUMBER(MATCH($F2583,계정대체기준!$D$77:$D$86,0))),"Y","N")))</f>
        <v/>
      </c>
    </row>
    <row r="2584">
      <c r="A2584" s="92" t="n">
        <v>2025</v>
      </c>
      <c r="B2584" s="92" t="n">
        <v>12</v>
      </c>
      <c r="C2584" s="92" t="inlineStr">
        <is>
          <t>5100002580</t>
        </is>
      </c>
      <c r="D2584" s="95" t="n">
        <v>46003</v>
      </c>
      <c r="E2584" s="92" t="inlineStr">
        <is>
          <t>KR</t>
        </is>
      </c>
      <c r="F2584" s="92" t="n">
        <v>62901000</v>
      </c>
      <c r="G2584" s="92" t="n">
        <v>1401</v>
      </c>
      <c r="H2584" s="93" t="n">
        <v>4374000</v>
      </c>
      <c r="I2584" s="92" t="inlineStr">
        <is>
          <t>12월 자문 수수료 - W컨설팅</t>
        </is>
      </c>
      <c r="J2584" s="92" t="inlineStr">
        <is>
          <t>V10006</t>
        </is>
      </c>
      <c r="K2584" s="92" t="inlineStr">
        <is>
          <t>W컨설팅</t>
        </is>
      </c>
      <c r="M2584" s="9">
        <f>IF($A2584="","",VALUE($A2584&amp;"")*12+VALUE($B2584&amp;""))</f>
        <v/>
      </c>
      <c r="N2584" s="64">
        <f>IF($A2584="","",IFERROR(INDEX(부서매핑!$C$5:$C$504,MATCH($G2584&amp;"",부서매핑!$A$5:$A$504,0)),"미매핑"))</f>
        <v/>
      </c>
      <c r="O2584" s="9">
        <f>IF($A2584="","",N2584&amp;"|"&amp;$F2584)</f>
        <v/>
      </c>
      <c r="P2584" s="94">
        <f>IF($A2584="",0,$H2584*설정!$C$23)</f>
        <v/>
      </c>
      <c r="Q2584" s="64">
        <f>IF($A2584="","",IF(O2584&lt;&gt;원인분석!$C$9,"",IF(AND(M2584&gt;=원인분석!$C$10,M2584&lt;=원인분석!$C$11),"당기",IF(AND(M2584&gt;=원인분석!$C$12,M2584&lt;=원인분석!$C$13),"비교",""))))</f>
        <v/>
      </c>
      <c r="R2584" s="9">
        <f>IF(Q2584="","",$K2584&amp;"")</f>
        <v/>
      </c>
      <c r="S2584" s="9">
        <f>IF(Q2584="","",IF(MATCH(R2584,$R$5:$R$100000,0)=ROW()-4,ROW(),""))</f>
        <v/>
      </c>
      <c r="T2584" s="9">
        <f>IF(Q2584="당기",ABS(P2584)+ROW()/1000000000,"")</f>
        <v/>
      </c>
      <c r="U2584" s="9">
        <f>IF(Q2584="비교",ABS(P2584)+ROW()/1000000000,"")</f>
        <v/>
      </c>
      <c r="V2584" s="64">
        <f>IF($A2584="","",IF(COUNTIF(변동분석!$E$7:$E$506,O2584)&gt;0,"Y","N"))</f>
        <v/>
      </c>
      <c r="W2584" s="64">
        <f>IF($A2584="","",IFERROR(INDEX(계정매핑!$D$5:$D$504,MATCH($F2584&amp;"",계정매핑!$A$5:$A$504,0)),"미매핑"))</f>
        <v/>
      </c>
      <c r="X2584" s="9">
        <f>IF($A2584="","",$F2584&amp;"")</f>
        <v/>
      </c>
      <c r="Y2584" s="94">
        <f>IF($A2584="",0,IF(AE2584="직접",IF(AF2584="비귀속",$P2584,0),$P2584*(1-AG2584)*IFERROR(INDEX(계정대체기준!$F$20:$F$49,MATCH($N2584,계정대체기준!$A$20:$A$49,0)),1)))</f>
        <v/>
      </c>
      <c r="Z2584" s="94">
        <f>IF($A2584="",0,IF(AE2584="직접",IF(AF2584="신계약비",$P2584,0),$P2584*(1-AG2584)*IFERROR(INDEX(계정대체기준!$C$20:$C$49,MATCH($N2584,계정대체기준!$A$20:$A$49,0)),0)))</f>
        <v/>
      </c>
      <c r="AA2584" s="94">
        <f>IF($A2584="",0,IF(AE2584="직접",IF(OR(AF2584="유지비",AF2584="손해조사비"),$P2584,0),$P2584*(1-AG2584)*IFERROR(INDEX(계정대체기준!$D$20:$D$49,MATCH($N2584,계정대체기준!$A$20:$A$49,0)),0)))</f>
        <v/>
      </c>
      <c r="AB2584" s="94">
        <f>IF($A2584="",0,IF(AE2584="직접",IF(AF2584="수금비",$P2584,0),$P2584*(1-AG2584)*IFERROR(INDEX(계정대체기준!$E$20:$E$49,MATCH($N2584,계정대체기준!$A$20:$A$49,0)),0)))</f>
        <v/>
      </c>
      <c r="AC2584" s="9">
        <f>IF(AND($A2584&lt;&gt;"",M2584=설정!$C$20,Z2584&gt;0),Z2584+ROW()/1000000000,"")</f>
        <v/>
      </c>
      <c r="AD2584" s="94">
        <f>IF($A2584="",0,$P2584*AG2584)</f>
        <v/>
      </c>
      <c r="AE2584" s="64">
        <f>IF($A2584="","",IFERROR(INDEX(계정매핑!$E$5:$E$504,MATCH($F2584&amp;"",계정매핑!$A$5:$A$504,0))&amp;"","공통비"))</f>
        <v/>
      </c>
      <c r="AF2584" s="64">
        <f>IF($A2584="","",IF(AE2584="직접",IFERROR(INDEX(계정매핑!$F$5:$F$504,MATCH($F2584&amp;"",계정매핑!$A$5:$A$504,0))&amp;"","비귀속"),""))</f>
        <v/>
      </c>
      <c r="AG2584" s="96">
        <f>IF($A2584="",0,IF(AND(AE2584&lt;&gt;"직접",IFERROR(INDEX(계정매핑!$G$5:$G$504,MATCH($F2584&amp;"",계정매핑!$A$5:$A$504,0))&amp;"","")="유지비",COUNTIF(계정대체기준!$A$6:$A$15,$N2584)&gt;0),IFERROR(INDEX(계정대체기준!$E$6:$E$15,MATCH(VALUE($A2584&amp;""),계정대체기준!$D$6:$D$15,0)),0),0))</f>
        <v/>
      </c>
      <c r="AH2584" s="64">
        <f>IF($A2584="","",IF(AD2584=0,"",IF(OR(COUNTIF(계정대체기준!$A$77:$A$86,$N2584)&gt;0,ISNUMBER(MATCH($X2584,계정대체기준!$D$77:$D$86,0)),ISNUMBER(MATCH($F2584,계정대체기준!$D$77:$D$86,0))),"Y","N")))</f>
        <v/>
      </c>
    </row>
    <row r="2585">
      <c r="A2585" s="92" t="n">
        <v>2025</v>
      </c>
      <c r="B2585" s="92" t="n">
        <v>12</v>
      </c>
      <c r="C2585" s="92" t="inlineStr">
        <is>
          <t>5100002581</t>
        </is>
      </c>
      <c r="D2585" s="95" t="n">
        <v>46003</v>
      </c>
      <c r="E2585" s="92" t="inlineStr">
        <is>
          <t>KR</t>
        </is>
      </c>
      <c r="F2585" s="92" t="n">
        <v>62902000</v>
      </c>
      <c r="G2585" s="92" t="n">
        <v>1801</v>
      </c>
      <c r="H2585" s="93" t="n">
        <v>3000000</v>
      </c>
      <c r="I2585" s="92" t="inlineStr">
        <is>
          <t>12월 업무 위탁 수수료 - X서비스</t>
        </is>
      </c>
      <c r="J2585" s="92" t="inlineStr">
        <is>
          <t>V10020</t>
        </is>
      </c>
      <c r="K2585" s="92" t="inlineStr">
        <is>
          <t>X서비스</t>
        </is>
      </c>
      <c r="M2585" s="9">
        <f>IF($A2585="","",VALUE($A2585&amp;"")*12+VALUE($B2585&amp;""))</f>
        <v/>
      </c>
      <c r="N2585" s="64">
        <f>IF($A2585="","",IFERROR(INDEX(부서매핑!$C$5:$C$504,MATCH($G2585&amp;"",부서매핑!$A$5:$A$504,0)),"미매핑"))</f>
        <v/>
      </c>
      <c r="O2585" s="9">
        <f>IF($A2585="","",N2585&amp;"|"&amp;$F2585)</f>
        <v/>
      </c>
      <c r="P2585" s="94">
        <f>IF($A2585="",0,$H2585*설정!$C$23)</f>
        <v/>
      </c>
      <c r="Q2585" s="64">
        <f>IF($A2585="","",IF(O2585&lt;&gt;원인분석!$C$9,"",IF(AND(M2585&gt;=원인분석!$C$10,M2585&lt;=원인분석!$C$11),"당기",IF(AND(M2585&gt;=원인분석!$C$12,M2585&lt;=원인분석!$C$13),"비교",""))))</f>
        <v/>
      </c>
      <c r="R2585" s="9">
        <f>IF(Q2585="","",$K2585&amp;"")</f>
        <v/>
      </c>
      <c r="S2585" s="9">
        <f>IF(Q2585="","",IF(MATCH(R2585,$R$5:$R$100000,0)=ROW()-4,ROW(),""))</f>
        <v/>
      </c>
      <c r="T2585" s="9">
        <f>IF(Q2585="당기",ABS(P2585)+ROW()/1000000000,"")</f>
        <v/>
      </c>
      <c r="U2585" s="9">
        <f>IF(Q2585="비교",ABS(P2585)+ROW()/1000000000,"")</f>
        <v/>
      </c>
      <c r="V2585" s="64">
        <f>IF($A2585="","",IF(COUNTIF(변동분석!$E$7:$E$506,O2585)&gt;0,"Y","N"))</f>
        <v/>
      </c>
      <c r="W2585" s="64">
        <f>IF($A2585="","",IFERROR(INDEX(계정매핑!$D$5:$D$504,MATCH($F2585&amp;"",계정매핑!$A$5:$A$504,0)),"미매핑"))</f>
        <v/>
      </c>
      <c r="X2585" s="9">
        <f>IF($A2585="","",$F2585&amp;"")</f>
        <v/>
      </c>
      <c r="Y2585" s="94">
        <f>IF($A2585="",0,IF(AE2585="직접",IF(AF2585="비귀속",$P2585,0),$P2585*(1-AG2585)*IFERROR(INDEX(계정대체기준!$F$20:$F$49,MATCH($N2585,계정대체기준!$A$20:$A$49,0)),1)))</f>
        <v/>
      </c>
      <c r="Z2585" s="94">
        <f>IF($A2585="",0,IF(AE2585="직접",IF(AF2585="신계약비",$P2585,0),$P2585*(1-AG2585)*IFERROR(INDEX(계정대체기준!$C$20:$C$49,MATCH($N2585,계정대체기준!$A$20:$A$49,0)),0)))</f>
        <v/>
      </c>
      <c r="AA2585" s="94">
        <f>IF($A2585="",0,IF(AE2585="직접",IF(OR(AF2585="유지비",AF2585="손해조사비"),$P2585,0),$P2585*(1-AG2585)*IFERROR(INDEX(계정대체기준!$D$20:$D$49,MATCH($N2585,계정대체기준!$A$20:$A$49,0)),0)))</f>
        <v/>
      </c>
      <c r="AB2585" s="94">
        <f>IF($A2585="",0,IF(AE2585="직접",IF(AF2585="수금비",$P2585,0),$P2585*(1-AG2585)*IFERROR(INDEX(계정대체기준!$E$20:$E$49,MATCH($N2585,계정대체기준!$A$20:$A$49,0)),0)))</f>
        <v/>
      </c>
      <c r="AC2585" s="9">
        <f>IF(AND($A2585&lt;&gt;"",M2585=설정!$C$20,Z2585&gt;0),Z2585+ROW()/1000000000,"")</f>
        <v/>
      </c>
      <c r="AD2585" s="94">
        <f>IF($A2585="",0,$P2585*AG2585)</f>
        <v/>
      </c>
      <c r="AE2585" s="64">
        <f>IF($A2585="","",IFERROR(INDEX(계정매핑!$E$5:$E$504,MATCH($F2585&amp;"",계정매핑!$A$5:$A$504,0))&amp;"","공통비"))</f>
        <v/>
      </c>
      <c r="AF2585" s="64">
        <f>IF($A2585="","",IF(AE2585="직접",IFERROR(INDEX(계정매핑!$F$5:$F$504,MATCH($F2585&amp;"",계정매핑!$A$5:$A$504,0))&amp;"","비귀속"),""))</f>
        <v/>
      </c>
      <c r="AG2585" s="96">
        <f>IF($A2585="",0,IF(AND(AE2585&lt;&gt;"직접",IFERROR(INDEX(계정매핑!$G$5:$G$504,MATCH($F2585&amp;"",계정매핑!$A$5:$A$504,0))&amp;"","")="유지비",COUNTIF(계정대체기준!$A$6:$A$15,$N2585)&gt;0),IFERROR(INDEX(계정대체기준!$E$6:$E$15,MATCH(VALUE($A2585&amp;""),계정대체기준!$D$6:$D$15,0)),0),0))</f>
        <v/>
      </c>
      <c r="AH2585" s="64">
        <f>IF($A2585="","",IF(AD2585=0,"",IF(OR(COUNTIF(계정대체기준!$A$77:$A$86,$N2585)&gt;0,ISNUMBER(MATCH($X2585,계정대체기준!$D$77:$D$86,0)),ISNUMBER(MATCH($F2585,계정대체기준!$D$77:$D$86,0))),"Y","N")))</f>
        <v/>
      </c>
    </row>
    <row r="2586">
      <c r="A2586" s="92" t="n">
        <v>2025</v>
      </c>
      <c r="B2586" s="92" t="n">
        <v>12</v>
      </c>
      <c r="C2586" s="92" t="inlineStr">
        <is>
          <t>5100002582</t>
        </is>
      </c>
      <c r="D2586" s="95" t="n">
        <v>46004</v>
      </c>
      <c r="E2586" s="92" t="inlineStr">
        <is>
          <t>KR</t>
        </is>
      </c>
      <c r="F2586" s="92" t="n">
        <v>62101000</v>
      </c>
      <c r="G2586" s="92" t="n">
        <v>1801</v>
      </c>
      <c r="H2586" s="93" t="n">
        <v>256000</v>
      </c>
      <c r="I2586" s="92" t="inlineStr">
        <is>
          <t>12월 국내출장 - (법인카드)</t>
        </is>
      </c>
      <c r="J2586" s="92" t="inlineStr">
        <is>
          <t>V10010</t>
        </is>
      </c>
      <c r="K2586" s="92" t="inlineStr">
        <is>
          <t>(법인카드)</t>
        </is>
      </c>
      <c r="M2586" s="9">
        <f>IF($A2586="","",VALUE($A2586&amp;"")*12+VALUE($B2586&amp;""))</f>
        <v/>
      </c>
      <c r="N2586" s="64">
        <f>IF($A2586="","",IFERROR(INDEX(부서매핑!$C$5:$C$504,MATCH($G2586&amp;"",부서매핑!$A$5:$A$504,0)),"미매핑"))</f>
        <v/>
      </c>
      <c r="O2586" s="9">
        <f>IF($A2586="","",N2586&amp;"|"&amp;$F2586)</f>
        <v/>
      </c>
      <c r="P2586" s="94">
        <f>IF($A2586="",0,$H2586*설정!$C$23)</f>
        <v/>
      </c>
      <c r="Q2586" s="64">
        <f>IF($A2586="","",IF(O2586&lt;&gt;원인분석!$C$9,"",IF(AND(M2586&gt;=원인분석!$C$10,M2586&lt;=원인분석!$C$11),"당기",IF(AND(M2586&gt;=원인분석!$C$12,M2586&lt;=원인분석!$C$13),"비교",""))))</f>
        <v/>
      </c>
      <c r="R2586" s="9">
        <f>IF(Q2586="","",$K2586&amp;"")</f>
        <v/>
      </c>
      <c r="S2586" s="9">
        <f>IF(Q2586="","",IF(MATCH(R2586,$R$5:$R$100000,0)=ROW()-4,ROW(),""))</f>
        <v/>
      </c>
      <c r="T2586" s="9">
        <f>IF(Q2586="당기",ABS(P2586)+ROW()/1000000000,"")</f>
        <v/>
      </c>
      <c r="U2586" s="9">
        <f>IF(Q2586="비교",ABS(P2586)+ROW()/1000000000,"")</f>
        <v/>
      </c>
      <c r="V2586" s="64">
        <f>IF($A2586="","",IF(COUNTIF(변동분석!$E$7:$E$506,O2586)&gt;0,"Y","N"))</f>
        <v/>
      </c>
      <c r="W2586" s="64">
        <f>IF($A2586="","",IFERROR(INDEX(계정매핑!$D$5:$D$504,MATCH($F2586&amp;"",계정매핑!$A$5:$A$504,0)),"미매핑"))</f>
        <v/>
      </c>
      <c r="X2586" s="9">
        <f>IF($A2586="","",$F2586&amp;"")</f>
        <v/>
      </c>
      <c r="Y2586" s="94">
        <f>IF($A2586="",0,IF(AE2586="직접",IF(AF2586="비귀속",$P2586,0),$P2586*(1-AG2586)*IFERROR(INDEX(계정대체기준!$F$20:$F$49,MATCH($N2586,계정대체기준!$A$20:$A$49,0)),1)))</f>
        <v/>
      </c>
      <c r="Z2586" s="94">
        <f>IF($A2586="",0,IF(AE2586="직접",IF(AF2586="신계약비",$P2586,0),$P2586*(1-AG2586)*IFERROR(INDEX(계정대체기준!$C$20:$C$49,MATCH($N2586,계정대체기준!$A$20:$A$49,0)),0)))</f>
        <v/>
      </c>
      <c r="AA2586" s="94">
        <f>IF($A2586="",0,IF(AE2586="직접",IF(OR(AF2586="유지비",AF2586="손해조사비"),$P2586,0),$P2586*(1-AG2586)*IFERROR(INDEX(계정대체기준!$D$20:$D$49,MATCH($N2586,계정대체기준!$A$20:$A$49,0)),0)))</f>
        <v/>
      </c>
      <c r="AB2586" s="94">
        <f>IF($A2586="",0,IF(AE2586="직접",IF(AF2586="수금비",$P2586,0),$P2586*(1-AG2586)*IFERROR(INDEX(계정대체기준!$E$20:$E$49,MATCH($N2586,계정대체기준!$A$20:$A$49,0)),0)))</f>
        <v/>
      </c>
      <c r="AC2586" s="9">
        <f>IF(AND($A2586&lt;&gt;"",M2586=설정!$C$20,Z2586&gt;0),Z2586+ROW()/1000000000,"")</f>
        <v/>
      </c>
      <c r="AD2586" s="94">
        <f>IF($A2586="",0,$P2586*AG2586)</f>
        <v/>
      </c>
      <c r="AE2586" s="64">
        <f>IF($A2586="","",IFERROR(INDEX(계정매핑!$E$5:$E$504,MATCH($F2586&amp;"",계정매핑!$A$5:$A$504,0))&amp;"","공통비"))</f>
        <v/>
      </c>
      <c r="AF2586" s="64">
        <f>IF($A2586="","",IF(AE2586="직접",IFERROR(INDEX(계정매핑!$F$5:$F$504,MATCH($F2586&amp;"",계정매핑!$A$5:$A$504,0))&amp;"","비귀속"),""))</f>
        <v/>
      </c>
      <c r="AG2586" s="96">
        <f>IF($A2586="",0,IF(AND(AE2586&lt;&gt;"직접",IFERROR(INDEX(계정매핑!$G$5:$G$504,MATCH($F2586&amp;"",계정매핑!$A$5:$A$504,0))&amp;"","")="유지비",COUNTIF(계정대체기준!$A$6:$A$15,$N2586)&gt;0),IFERROR(INDEX(계정대체기준!$E$6:$E$15,MATCH(VALUE($A2586&amp;""),계정대체기준!$D$6:$D$15,0)),0),0))</f>
        <v/>
      </c>
      <c r="AH2586" s="64">
        <f>IF($A2586="","",IF(AD2586=0,"",IF(OR(COUNTIF(계정대체기준!$A$77:$A$86,$N2586)&gt;0,ISNUMBER(MATCH($X2586,계정대체기준!$D$77:$D$86,0)),ISNUMBER(MATCH($F2586,계정대체기준!$D$77:$D$86,0))),"Y","N")))</f>
        <v/>
      </c>
    </row>
    <row r="2587">
      <c r="A2587" s="92" t="n">
        <v>2025</v>
      </c>
      <c r="B2587" s="92" t="n">
        <v>12</v>
      </c>
      <c r="C2587" s="92" t="inlineStr">
        <is>
          <t>5100002583</t>
        </is>
      </c>
      <c r="D2587" s="95" t="n">
        <v>46004</v>
      </c>
      <c r="E2587" s="92" t="inlineStr">
        <is>
          <t>KR</t>
        </is>
      </c>
      <c r="F2587" s="92" t="n">
        <v>62102000</v>
      </c>
      <c r="G2587" s="92" t="n">
        <v>1301</v>
      </c>
      <c r="H2587" s="93" t="n">
        <v>67000</v>
      </c>
      <c r="I2587" s="92" t="inlineStr">
        <is>
          <t>12월 해외출장 - M항공</t>
        </is>
      </c>
      <c r="J2587" s="92" t="inlineStr">
        <is>
          <t>V10001</t>
        </is>
      </c>
      <c r="K2587" s="92" t="inlineStr">
        <is>
          <t>M항공</t>
        </is>
      </c>
      <c r="M2587" s="9">
        <f>IF($A2587="","",VALUE($A2587&amp;"")*12+VALUE($B2587&amp;""))</f>
        <v/>
      </c>
      <c r="N2587" s="64">
        <f>IF($A2587="","",IFERROR(INDEX(부서매핑!$C$5:$C$504,MATCH($G2587&amp;"",부서매핑!$A$5:$A$504,0)),"미매핑"))</f>
        <v/>
      </c>
      <c r="O2587" s="9">
        <f>IF($A2587="","",N2587&amp;"|"&amp;$F2587)</f>
        <v/>
      </c>
      <c r="P2587" s="94">
        <f>IF($A2587="",0,$H2587*설정!$C$23)</f>
        <v/>
      </c>
      <c r="Q2587" s="64">
        <f>IF($A2587="","",IF(O2587&lt;&gt;원인분석!$C$9,"",IF(AND(M2587&gt;=원인분석!$C$10,M2587&lt;=원인분석!$C$11),"당기",IF(AND(M2587&gt;=원인분석!$C$12,M2587&lt;=원인분석!$C$13),"비교",""))))</f>
        <v/>
      </c>
      <c r="R2587" s="9">
        <f>IF(Q2587="","",$K2587&amp;"")</f>
        <v/>
      </c>
      <c r="S2587" s="9">
        <f>IF(Q2587="","",IF(MATCH(R2587,$R$5:$R$100000,0)=ROW()-4,ROW(),""))</f>
        <v/>
      </c>
      <c r="T2587" s="9">
        <f>IF(Q2587="당기",ABS(P2587)+ROW()/1000000000,"")</f>
        <v/>
      </c>
      <c r="U2587" s="9">
        <f>IF(Q2587="비교",ABS(P2587)+ROW()/1000000000,"")</f>
        <v/>
      </c>
      <c r="V2587" s="64">
        <f>IF($A2587="","",IF(COUNTIF(변동분석!$E$7:$E$506,O2587)&gt;0,"Y","N"))</f>
        <v/>
      </c>
      <c r="W2587" s="64">
        <f>IF($A2587="","",IFERROR(INDEX(계정매핑!$D$5:$D$504,MATCH($F2587&amp;"",계정매핑!$A$5:$A$504,0)),"미매핑"))</f>
        <v/>
      </c>
      <c r="X2587" s="9">
        <f>IF($A2587="","",$F2587&amp;"")</f>
        <v/>
      </c>
      <c r="Y2587" s="94">
        <f>IF($A2587="",0,IF(AE2587="직접",IF(AF2587="비귀속",$P2587,0),$P2587*(1-AG2587)*IFERROR(INDEX(계정대체기준!$F$20:$F$49,MATCH($N2587,계정대체기준!$A$20:$A$49,0)),1)))</f>
        <v/>
      </c>
      <c r="Z2587" s="94">
        <f>IF($A2587="",0,IF(AE2587="직접",IF(AF2587="신계약비",$P2587,0),$P2587*(1-AG2587)*IFERROR(INDEX(계정대체기준!$C$20:$C$49,MATCH($N2587,계정대체기준!$A$20:$A$49,0)),0)))</f>
        <v/>
      </c>
      <c r="AA2587" s="94">
        <f>IF($A2587="",0,IF(AE2587="직접",IF(OR(AF2587="유지비",AF2587="손해조사비"),$P2587,0),$P2587*(1-AG2587)*IFERROR(INDEX(계정대체기준!$D$20:$D$49,MATCH($N2587,계정대체기준!$A$20:$A$49,0)),0)))</f>
        <v/>
      </c>
      <c r="AB2587" s="94">
        <f>IF($A2587="",0,IF(AE2587="직접",IF(AF2587="수금비",$P2587,0),$P2587*(1-AG2587)*IFERROR(INDEX(계정대체기준!$E$20:$E$49,MATCH($N2587,계정대체기준!$A$20:$A$49,0)),0)))</f>
        <v/>
      </c>
      <c r="AC2587" s="9">
        <f>IF(AND($A2587&lt;&gt;"",M2587=설정!$C$20,Z2587&gt;0),Z2587+ROW()/1000000000,"")</f>
        <v/>
      </c>
      <c r="AD2587" s="94">
        <f>IF($A2587="",0,$P2587*AG2587)</f>
        <v/>
      </c>
      <c r="AE2587" s="64">
        <f>IF($A2587="","",IFERROR(INDEX(계정매핑!$E$5:$E$504,MATCH($F2587&amp;"",계정매핑!$A$5:$A$504,0))&amp;"","공통비"))</f>
        <v/>
      </c>
      <c r="AF2587" s="64">
        <f>IF($A2587="","",IF(AE2587="직접",IFERROR(INDEX(계정매핑!$F$5:$F$504,MATCH($F2587&amp;"",계정매핑!$A$5:$A$504,0))&amp;"","비귀속"),""))</f>
        <v/>
      </c>
      <c r="AG2587" s="96">
        <f>IF($A2587="",0,IF(AND(AE2587&lt;&gt;"직접",IFERROR(INDEX(계정매핑!$G$5:$G$504,MATCH($F2587&amp;"",계정매핑!$A$5:$A$504,0))&amp;"","")="유지비",COUNTIF(계정대체기준!$A$6:$A$15,$N2587)&gt;0),IFERROR(INDEX(계정대체기준!$E$6:$E$15,MATCH(VALUE($A2587&amp;""),계정대체기준!$D$6:$D$15,0)),0),0))</f>
        <v/>
      </c>
      <c r="AH2587" s="64">
        <f>IF($A2587="","",IF(AD2587=0,"",IF(OR(COUNTIF(계정대체기준!$A$77:$A$86,$N2587)&gt;0,ISNUMBER(MATCH($X2587,계정대체기준!$D$77:$D$86,0)),ISNUMBER(MATCH($F2587,계정대체기준!$D$77:$D$86,0))),"Y","N")))</f>
        <v/>
      </c>
    </row>
    <row r="2588">
      <c r="A2588" s="92" t="n">
        <v>2025</v>
      </c>
      <c r="B2588" s="92" t="n">
        <v>12</v>
      </c>
      <c r="C2588" s="92" t="inlineStr">
        <is>
          <t>5100002584</t>
        </is>
      </c>
      <c r="D2588" s="95" t="n">
        <v>46004</v>
      </c>
      <c r="E2588" s="92" t="inlineStr">
        <is>
          <t>KR</t>
        </is>
      </c>
      <c r="F2588" s="92" t="n">
        <v>62102000</v>
      </c>
      <c r="G2588" s="92" t="n">
        <v>1701</v>
      </c>
      <c r="H2588" s="93" t="n">
        <v>50000</v>
      </c>
      <c r="I2588" s="92" t="inlineStr">
        <is>
          <t>12월 해외출장 - N호텔</t>
        </is>
      </c>
      <c r="J2588" s="92" t="inlineStr">
        <is>
          <t>V10009</t>
        </is>
      </c>
      <c r="K2588" s="92" t="inlineStr">
        <is>
          <t>N호텔</t>
        </is>
      </c>
      <c r="M2588" s="9">
        <f>IF($A2588="","",VALUE($A2588&amp;"")*12+VALUE($B2588&amp;""))</f>
        <v/>
      </c>
      <c r="N2588" s="64">
        <f>IF($A2588="","",IFERROR(INDEX(부서매핑!$C$5:$C$504,MATCH($G2588&amp;"",부서매핑!$A$5:$A$504,0)),"미매핑"))</f>
        <v/>
      </c>
      <c r="O2588" s="9">
        <f>IF($A2588="","",N2588&amp;"|"&amp;$F2588)</f>
        <v/>
      </c>
      <c r="P2588" s="94">
        <f>IF($A2588="",0,$H2588*설정!$C$23)</f>
        <v/>
      </c>
      <c r="Q2588" s="64">
        <f>IF($A2588="","",IF(O2588&lt;&gt;원인분석!$C$9,"",IF(AND(M2588&gt;=원인분석!$C$10,M2588&lt;=원인분석!$C$11),"당기",IF(AND(M2588&gt;=원인분석!$C$12,M2588&lt;=원인분석!$C$13),"비교",""))))</f>
        <v/>
      </c>
      <c r="R2588" s="9">
        <f>IF(Q2588="","",$K2588&amp;"")</f>
        <v/>
      </c>
      <c r="S2588" s="9">
        <f>IF(Q2588="","",IF(MATCH(R2588,$R$5:$R$100000,0)=ROW()-4,ROW(),""))</f>
        <v/>
      </c>
      <c r="T2588" s="9">
        <f>IF(Q2588="당기",ABS(P2588)+ROW()/1000000000,"")</f>
        <v/>
      </c>
      <c r="U2588" s="9">
        <f>IF(Q2588="비교",ABS(P2588)+ROW()/1000000000,"")</f>
        <v/>
      </c>
      <c r="V2588" s="64">
        <f>IF($A2588="","",IF(COUNTIF(변동분석!$E$7:$E$506,O2588)&gt;0,"Y","N"))</f>
        <v/>
      </c>
      <c r="W2588" s="64">
        <f>IF($A2588="","",IFERROR(INDEX(계정매핑!$D$5:$D$504,MATCH($F2588&amp;"",계정매핑!$A$5:$A$504,0)),"미매핑"))</f>
        <v/>
      </c>
      <c r="X2588" s="9">
        <f>IF($A2588="","",$F2588&amp;"")</f>
        <v/>
      </c>
      <c r="Y2588" s="94">
        <f>IF($A2588="",0,IF(AE2588="직접",IF(AF2588="비귀속",$P2588,0),$P2588*(1-AG2588)*IFERROR(INDEX(계정대체기준!$F$20:$F$49,MATCH($N2588,계정대체기준!$A$20:$A$49,0)),1)))</f>
        <v/>
      </c>
      <c r="Z2588" s="94">
        <f>IF($A2588="",0,IF(AE2588="직접",IF(AF2588="신계약비",$P2588,0),$P2588*(1-AG2588)*IFERROR(INDEX(계정대체기준!$C$20:$C$49,MATCH($N2588,계정대체기준!$A$20:$A$49,0)),0)))</f>
        <v/>
      </c>
      <c r="AA2588" s="94">
        <f>IF($A2588="",0,IF(AE2588="직접",IF(OR(AF2588="유지비",AF2588="손해조사비"),$P2588,0),$P2588*(1-AG2588)*IFERROR(INDEX(계정대체기준!$D$20:$D$49,MATCH($N2588,계정대체기준!$A$20:$A$49,0)),0)))</f>
        <v/>
      </c>
      <c r="AB2588" s="94">
        <f>IF($A2588="",0,IF(AE2588="직접",IF(AF2588="수금비",$P2588,0),$P2588*(1-AG2588)*IFERROR(INDEX(계정대체기준!$E$20:$E$49,MATCH($N2588,계정대체기준!$A$20:$A$49,0)),0)))</f>
        <v/>
      </c>
      <c r="AC2588" s="9">
        <f>IF(AND($A2588&lt;&gt;"",M2588=설정!$C$20,Z2588&gt;0),Z2588+ROW()/1000000000,"")</f>
        <v/>
      </c>
      <c r="AD2588" s="94">
        <f>IF($A2588="",0,$P2588*AG2588)</f>
        <v/>
      </c>
      <c r="AE2588" s="64">
        <f>IF($A2588="","",IFERROR(INDEX(계정매핑!$E$5:$E$504,MATCH($F2588&amp;"",계정매핑!$A$5:$A$504,0))&amp;"","공통비"))</f>
        <v/>
      </c>
      <c r="AF2588" s="64">
        <f>IF($A2588="","",IF(AE2588="직접",IFERROR(INDEX(계정매핑!$F$5:$F$504,MATCH($F2588&amp;"",계정매핑!$A$5:$A$504,0))&amp;"","비귀속"),""))</f>
        <v/>
      </c>
      <c r="AG2588" s="96">
        <f>IF($A2588="",0,IF(AND(AE2588&lt;&gt;"직접",IFERROR(INDEX(계정매핑!$G$5:$G$504,MATCH($F2588&amp;"",계정매핑!$A$5:$A$504,0))&amp;"","")="유지비",COUNTIF(계정대체기준!$A$6:$A$15,$N2588)&gt;0),IFERROR(INDEX(계정대체기준!$E$6:$E$15,MATCH(VALUE($A2588&amp;""),계정대체기준!$D$6:$D$15,0)),0),0))</f>
        <v/>
      </c>
      <c r="AH2588" s="64">
        <f>IF($A2588="","",IF(AD2588=0,"",IF(OR(COUNTIF(계정대체기준!$A$77:$A$86,$N2588)&gt;0,ISNUMBER(MATCH($X2588,계정대체기준!$D$77:$D$86,0)),ISNUMBER(MATCH($F2588,계정대체기준!$D$77:$D$86,0))),"Y","N")))</f>
        <v/>
      </c>
    </row>
    <row r="2589">
      <c r="A2589" s="92" t="n">
        <v>2025</v>
      </c>
      <c r="B2589" s="92" t="n">
        <v>12</v>
      </c>
      <c r="C2589" s="92" t="inlineStr">
        <is>
          <t>5100002585</t>
        </is>
      </c>
      <c r="D2589" s="95" t="n">
        <v>46004</v>
      </c>
      <c r="E2589" s="92" t="inlineStr">
        <is>
          <t>KR</t>
        </is>
      </c>
      <c r="F2589" s="92" t="n">
        <v>62102000</v>
      </c>
      <c r="G2589" s="92" t="n">
        <v>1951</v>
      </c>
      <c r="H2589" s="93" t="n">
        <v>80000</v>
      </c>
      <c r="I2589" s="92" t="inlineStr">
        <is>
          <t>12월 해외출장 - M항공</t>
        </is>
      </c>
      <c r="J2589" s="92" t="inlineStr">
        <is>
          <t>V10001</t>
        </is>
      </c>
      <c r="K2589" s="92" t="inlineStr">
        <is>
          <t>M항공</t>
        </is>
      </c>
      <c r="M2589" s="9">
        <f>IF($A2589="","",VALUE($A2589&amp;"")*12+VALUE($B2589&amp;""))</f>
        <v/>
      </c>
      <c r="N2589" s="64">
        <f>IF($A2589="","",IFERROR(INDEX(부서매핑!$C$5:$C$504,MATCH($G2589&amp;"",부서매핑!$A$5:$A$504,0)),"미매핑"))</f>
        <v/>
      </c>
      <c r="O2589" s="9">
        <f>IF($A2589="","",N2589&amp;"|"&amp;$F2589)</f>
        <v/>
      </c>
      <c r="P2589" s="94">
        <f>IF($A2589="",0,$H2589*설정!$C$23)</f>
        <v/>
      </c>
      <c r="Q2589" s="64">
        <f>IF($A2589="","",IF(O2589&lt;&gt;원인분석!$C$9,"",IF(AND(M2589&gt;=원인분석!$C$10,M2589&lt;=원인분석!$C$11),"당기",IF(AND(M2589&gt;=원인분석!$C$12,M2589&lt;=원인분석!$C$13),"비교",""))))</f>
        <v/>
      </c>
      <c r="R2589" s="9">
        <f>IF(Q2589="","",$K2589&amp;"")</f>
        <v/>
      </c>
      <c r="S2589" s="9">
        <f>IF(Q2589="","",IF(MATCH(R2589,$R$5:$R$100000,0)=ROW()-4,ROW(),""))</f>
        <v/>
      </c>
      <c r="T2589" s="9">
        <f>IF(Q2589="당기",ABS(P2589)+ROW()/1000000000,"")</f>
        <v/>
      </c>
      <c r="U2589" s="9">
        <f>IF(Q2589="비교",ABS(P2589)+ROW()/1000000000,"")</f>
        <v/>
      </c>
      <c r="V2589" s="64">
        <f>IF($A2589="","",IF(COUNTIF(변동분석!$E$7:$E$506,O2589)&gt;0,"Y","N"))</f>
        <v/>
      </c>
      <c r="W2589" s="64">
        <f>IF($A2589="","",IFERROR(INDEX(계정매핑!$D$5:$D$504,MATCH($F2589&amp;"",계정매핑!$A$5:$A$504,0)),"미매핑"))</f>
        <v/>
      </c>
      <c r="X2589" s="9">
        <f>IF($A2589="","",$F2589&amp;"")</f>
        <v/>
      </c>
      <c r="Y2589" s="94">
        <f>IF($A2589="",0,IF(AE2589="직접",IF(AF2589="비귀속",$P2589,0),$P2589*(1-AG2589)*IFERROR(INDEX(계정대체기준!$F$20:$F$49,MATCH($N2589,계정대체기준!$A$20:$A$49,0)),1)))</f>
        <v/>
      </c>
      <c r="Z2589" s="94">
        <f>IF($A2589="",0,IF(AE2589="직접",IF(AF2589="신계약비",$P2589,0),$P2589*(1-AG2589)*IFERROR(INDEX(계정대체기준!$C$20:$C$49,MATCH($N2589,계정대체기준!$A$20:$A$49,0)),0)))</f>
        <v/>
      </c>
      <c r="AA2589" s="94">
        <f>IF($A2589="",0,IF(AE2589="직접",IF(OR(AF2589="유지비",AF2589="손해조사비"),$P2589,0),$P2589*(1-AG2589)*IFERROR(INDEX(계정대체기준!$D$20:$D$49,MATCH($N2589,계정대체기준!$A$20:$A$49,0)),0)))</f>
        <v/>
      </c>
      <c r="AB2589" s="94">
        <f>IF($A2589="",0,IF(AE2589="직접",IF(AF2589="수금비",$P2589,0),$P2589*(1-AG2589)*IFERROR(INDEX(계정대체기준!$E$20:$E$49,MATCH($N2589,계정대체기준!$A$20:$A$49,0)),0)))</f>
        <v/>
      </c>
      <c r="AC2589" s="9">
        <f>IF(AND($A2589&lt;&gt;"",M2589=설정!$C$20,Z2589&gt;0),Z2589+ROW()/1000000000,"")</f>
        <v/>
      </c>
      <c r="AD2589" s="94">
        <f>IF($A2589="",0,$P2589*AG2589)</f>
        <v/>
      </c>
      <c r="AE2589" s="64">
        <f>IF($A2589="","",IFERROR(INDEX(계정매핑!$E$5:$E$504,MATCH($F2589&amp;"",계정매핑!$A$5:$A$504,0))&amp;"","공통비"))</f>
        <v/>
      </c>
      <c r="AF2589" s="64">
        <f>IF($A2589="","",IF(AE2589="직접",IFERROR(INDEX(계정매핑!$F$5:$F$504,MATCH($F2589&amp;"",계정매핑!$A$5:$A$504,0))&amp;"","비귀속"),""))</f>
        <v/>
      </c>
      <c r="AG2589" s="96">
        <f>IF($A2589="",0,IF(AND(AE2589&lt;&gt;"직접",IFERROR(INDEX(계정매핑!$G$5:$G$504,MATCH($F2589&amp;"",계정매핑!$A$5:$A$504,0))&amp;"","")="유지비",COUNTIF(계정대체기준!$A$6:$A$15,$N2589)&gt;0),IFERROR(INDEX(계정대체기준!$E$6:$E$15,MATCH(VALUE($A2589&amp;""),계정대체기준!$D$6:$D$15,0)),0),0))</f>
        <v/>
      </c>
      <c r="AH2589" s="64">
        <f>IF($A2589="","",IF(AD2589=0,"",IF(OR(COUNTIF(계정대체기준!$A$77:$A$86,$N2589)&gt;0,ISNUMBER(MATCH($X2589,계정대체기준!$D$77:$D$86,0)),ISNUMBER(MATCH($F2589,계정대체기준!$D$77:$D$86,0))),"Y","N")))</f>
        <v/>
      </c>
    </row>
    <row r="2590">
      <c r="A2590" s="92" t="n">
        <v>2025</v>
      </c>
      <c r="B2590" s="92" t="n">
        <v>12</v>
      </c>
      <c r="C2590" s="92" t="inlineStr">
        <is>
          <t>5100002586</t>
        </is>
      </c>
      <c r="D2590" s="95" t="n">
        <v>46004</v>
      </c>
      <c r="E2590" s="92" t="inlineStr">
        <is>
          <t>KR</t>
        </is>
      </c>
      <c r="F2590" s="92" t="n">
        <v>62102000</v>
      </c>
      <c r="G2590" s="92" t="n">
        <v>1951</v>
      </c>
      <c r="H2590" s="93" t="n">
        <v>76000</v>
      </c>
      <c r="I2590" s="92" t="inlineStr">
        <is>
          <t>12월 해외출장 - N호텔</t>
        </is>
      </c>
      <c r="J2590" s="92" t="inlineStr">
        <is>
          <t>V10009</t>
        </is>
      </c>
      <c r="K2590" s="92" t="inlineStr">
        <is>
          <t>N호텔</t>
        </is>
      </c>
      <c r="M2590" s="9">
        <f>IF($A2590="","",VALUE($A2590&amp;"")*12+VALUE($B2590&amp;""))</f>
        <v/>
      </c>
      <c r="N2590" s="64">
        <f>IF($A2590="","",IFERROR(INDEX(부서매핑!$C$5:$C$504,MATCH($G2590&amp;"",부서매핑!$A$5:$A$504,0)),"미매핑"))</f>
        <v/>
      </c>
      <c r="O2590" s="9">
        <f>IF($A2590="","",N2590&amp;"|"&amp;$F2590)</f>
        <v/>
      </c>
      <c r="P2590" s="94">
        <f>IF($A2590="",0,$H2590*설정!$C$23)</f>
        <v/>
      </c>
      <c r="Q2590" s="64">
        <f>IF($A2590="","",IF(O2590&lt;&gt;원인분석!$C$9,"",IF(AND(M2590&gt;=원인분석!$C$10,M2590&lt;=원인분석!$C$11),"당기",IF(AND(M2590&gt;=원인분석!$C$12,M2590&lt;=원인분석!$C$13),"비교",""))))</f>
        <v/>
      </c>
      <c r="R2590" s="9">
        <f>IF(Q2590="","",$K2590&amp;"")</f>
        <v/>
      </c>
      <c r="S2590" s="9">
        <f>IF(Q2590="","",IF(MATCH(R2590,$R$5:$R$100000,0)=ROW()-4,ROW(),""))</f>
        <v/>
      </c>
      <c r="T2590" s="9">
        <f>IF(Q2590="당기",ABS(P2590)+ROW()/1000000000,"")</f>
        <v/>
      </c>
      <c r="U2590" s="9">
        <f>IF(Q2590="비교",ABS(P2590)+ROW()/1000000000,"")</f>
        <v/>
      </c>
      <c r="V2590" s="64">
        <f>IF($A2590="","",IF(COUNTIF(변동분석!$E$7:$E$506,O2590)&gt;0,"Y","N"))</f>
        <v/>
      </c>
      <c r="W2590" s="64">
        <f>IF($A2590="","",IFERROR(INDEX(계정매핑!$D$5:$D$504,MATCH($F2590&amp;"",계정매핑!$A$5:$A$504,0)),"미매핑"))</f>
        <v/>
      </c>
      <c r="X2590" s="9">
        <f>IF($A2590="","",$F2590&amp;"")</f>
        <v/>
      </c>
      <c r="Y2590" s="94">
        <f>IF($A2590="",0,IF(AE2590="직접",IF(AF2590="비귀속",$P2590,0),$P2590*(1-AG2590)*IFERROR(INDEX(계정대체기준!$F$20:$F$49,MATCH($N2590,계정대체기준!$A$20:$A$49,0)),1)))</f>
        <v/>
      </c>
      <c r="Z2590" s="94">
        <f>IF($A2590="",0,IF(AE2590="직접",IF(AF2590="신계약비",$P2590,0),$P2590*(1-AG2590)*IFERROR(INDEX(계정대체기준!$C$20:$C$49,MATCH($N2590,계정대체기준!$A$20:$A$49,0)),0)))</f>
        <v/>
      </c>
      <c r="AA2590" s="94">
        <f>IF($A2590="",0,IF(AE2590="직접",IF(OR(AF2590="유지비",AF2590="손해조사비"),$P2590,0),$P2590*(1-AG2590)*IFERROR(INDEX(계정대체기준!$D$20:$D$49,MATCH($N2590,계정대체기준!$A$20:$A$49,0)),0)))</f>
        <v/>
      </c>
      <c r="AB2590" s="94">
        <f>IF($A2590="",0,IF(AE2590="직접",IF(AF2590="수금비",$P2590,0),$P2590*(1-AG2590)*IFERROR(INDEX(계정대체기준!$E$20:$E$49,MATCH($N2590,계정대체기준!$A$20:$A$49,0)),0)))</f>
        <v/>
      </c>
      <c r="AC2590" s="9">
        <f>IF(AND($A2590&lt;&gt;"",M2590=설정!$C$20,Z2590&gt;0),Z2590+ROW()/1000000000,"")</f>
        <v/>
      </c>
      <c r="AD2590" s="94">
        <f>IF($A2590="",0,$P2590*AG2590)</f>
        <v/>
      </c>
      <c r="AE2590" s="64">
        <f>IF($A2590="","",IFERROR(INDEX(계정매핑!$E$5:$E$504,MATCH($F2590&amp;"",계정매핑!$A$5:$A$504,0))&amp;"","공통비"))</f>
        <v/>
      </c>
      <c r="AF2590" s="64">
        <f>IF($A2590="","",IF(AE2590="직접",IFERROR(INDEX(계정매핑!$F$5:$F$504,MATCH($F2590&amp;"",계정매핑!$A$5:$A$504,0))&amp;"","비귀속"),""))</f>
        <v/>
      </c>
      <c r="AG2590" s="96">
        <f>IF($A2590="",0,IF(AND(AE2590&lt;&gt;"직접",IFERROR(INDEX(계정매핑!$G$5:$G$504,MATCH($F2590&amp;"",계정매핑!$A$5:$A$504,0))&amp;"","")="유지비",COUNTIF(계정대체기준!$A$6:$A$15,$N2590)&gt;0),IFERROR(INDEX(계정대체기준!$E$6:$E$15,MATCH(VALUE($A2590&amp;""),계정대체기준!$D$6:$D$15,0)),0),0))</f>
        <v/>
      </c>
      <c r="AH2590" s="64">
        <f>IF($A2590="","",IF(AD2590=0,"",IF(OR(COUNTIF(계정대체기준!$A$77:$A$86,$N2590)&gt;0,ISNUMBER(MATCH($X2590,계정대체기준!$D$77:$D$86,0)),ISNUMBER(MATCH($F2590,계정대체기준!$D$77:$D$86,0))),"Y","N")))</f>
        <v/>
      </c>
    </row>
    <row r="2591">
      <c r="A2591" s="92" t="n">
        <v>2025</v>
      </c>
      <c r="B2591" s="92" t="n">
        <v>12</v>
      </c>
      <c r="C2591" s="92" t="inlineStr">
        <is>
          <t>5100002587</t>
        </is>
      </c>
      <c r="D2591" s="95" t="n">
        <v>46004</v>
      </c>
      <c r="E2591" s="92" t="inlineStr">
        <is>
          <t>KR</t>
        </is>
      </c>
      <c r="F2591" s="92" t="n">
        <v>62201000</v>
      </c>
      <c r="G2591" s="92" t="n">
        <v>1701</v>
      </c>
      <c r="H2591" s="93" t="n">
        <v>6485000</v>
      </c>
      <c r="I2591" s="92" t="inlineStr">
        <is>
          <t>12월 통신요금 - O텔레콤</t>
        </is>
      </c>
      <c r="J2591" s="92" t="inlineStr">
        <is>
          <t>V10002</t>
        </is>
      </c>
      <c r="K2591" s="92" t="inlineStr">
        <is>
          <t>O텔레콤</t>
        </is>
      </c>
      <c r="M2591" s="9">
        <f>IF($A2591="","",VALUE($A2591&amp;"")*12+VALUE($B2591&amp;""))</f>
        <v/>
      </c>
      <c r="N2591" s="64">
        <f>IF($A2591="","",IFERROR(INDEX(부서매핑!$C$5:$C$504,MATCH($G2591&amp;"",부서매핑!$A$5:$A$504,0)),"미매핑"))</f>
        <v/>
      </c>
      <c r="O2591" s="9">
        <f>IF($A2591="","",N2591&amp;"|"&amp;$F2591)</f>
        <v/>
      </c>
      <c r="P2591" s="94">
        <f>IF($A2591="",0,$H2591*설정!$C$23)</f>
        <v/>
      </c>
      <c r="Q2591" s="64">
        <f>IF($A2591="","",IF(O2591&lt;&gt;원인분석!$C$9,"",IF(AND(M2591&gt;=원인분석!$C$10,M2591&lt;=원인분석!$C$11),"당기",IF(AND(M2591&gt;=원인분석!$C$12,M2591&lt;=원인분석!$C$13),"비교",""))))</f>
        <v/>
      </c>
      <c r="R2591" s="9">
        <f>IF(Q2591="","",$K2591&amp;"")</f>
        <v/>
      </c>
      <c r="S2591" s="9">
        <f>IF(Q2591="","",IF(MATCH(R2591,$R$5:$R$100000,0)=ROW()-4,ROW(),""))</f>
        <v/>
      </c>
      <c r="T2591" s="9">
        <f>IF(Q2591="당기",ABS(P2591)+ROW()/1000000000,"")</f>
        <v/>
      </c>
      <c r="U2591" s="9">
        <f>IF(Q2591="비교",ABS(P2591)+ROW()/1000000000,"")</f>
        <v/>
      </c>
      <c r="V2591" s="64">
        <f>IF($A2591="","",IF(COUNTIF(변동분석!$E$7:$E$506,O2591)&gt;0,"Y","N"))</f>
        <v/>
      </c>
      <c r="W2591" s="64">
        <f>IF($A2591="","",IFERROR(INDEX(계정매핑!$D$5:$D$504,MATCH($F2591&amp;"",계정매핑!$A$5:$A$504,0)),"미매핑"))</f>
        <v/>
      </c>
      <c r="X2591" s="9">
        <f>IF($A2591="","",$F2591&amp;"")</f>
        <v/>
      </c>
      <c r="Y2591" s="94">
        <f>IF($A2591="",0,IF(AE2591="직접",IF(AF2591="비귀속",$P2591,0),$P2591*(1-AG2591)*IFERROR(INDEX(계정대체기준!$F$20:$F$49,MATCH($N2591,계정대체기준!$A$20:$A$49,0)),1)))</f>
        <v/>
      </c>
      <c r="Z2591" s="94">
        <f>IF($A2591="",0,IF(AE2591="직접",IF(AF2591="신계약비",$P2591,0),$P2591*(1-AG2591)*IFERROR(INDEX(계정대체기준!$C$20:$C$49,MATCH($N2591,계정대체기준!$A$20:$A$49,0)),0)))</f>
        <v/>
      </c>
      <c r="AA2591" s="94">
        <f>IF($A2591="",0,IF(AE2591="직접",IF(OR(AF2591="유지비",AF2591="손해조사비"),$P2591,0),$P2591*(1-AG2591)*IFERROR(INDEX(계정대체기준!$D$20:$D$49,MATCH($N2591,계정대체기준!$A$20:$A$49,0)),0)))</f>
        <v/>
      </c>
      <c r="AB2591" s="94">
        <f>IF($A2591="",0,IF(AE2591="직접",IF(AF2591="수금비",$P2591,0),$P2591*(1-AG2591)*IFERROR(INDEX(계정대체기준!$E$20:$E$49,MATCH($N2591,계정대체기준!$A$20:$A$49,0)),0)))</f>
        <v/>
      </c>
      <c r="AC2591" s="9">
        <f>IF(AND($A2591&lt;&gt;"",M2591=설정!$C$20,Z2591&gt;0),Z2591+ROW()/1000000000,"")</f>
        <v/>
      </c>
      <c r="AD2591" s="94">
        <f>IF($A2591="",0,$P2591*AG2591)</f>
        <v/>
      </c>
      <c r="AE2591" s="64">
        <f>IF($A2591="","",IFERROR(INDEX(계정매핑!$E$5:$E$504,MATCH($F2591&amp;"",계정매핑!$A$5:$A$504,0))&amp;"","공통비"))</f>
        <v/>
      </c>
      <c r="AF2591" s="64">
        <f>IF($A2591="","",IF(AE2591="직접",IFERROR(INDEX(계정매핑!$F$5:$F$504,MATCH($F2591&amp;"",계정매핑!$A$5:$A$504,0))&amp;"","비귀속"),""))</f>
        <v/>
      </c>
      <c r="AG2591" s="96">
        <f>IF($A2591="",0,IF(AND(AE2591&lt;&gt;"직접",IFERROR(INDEX(계정매핑!$G$5:$G$504,MATCH($F2591&amp;"",계정매핑!$A$5:$A$504,0))&amp;"","")="유지비",COUNTIF(계정대체기준!$A$6:$A$15,$N2591)&gt;0),IFERROR(INDEX(계정대체기준!$E$6:$E$15,MATCH(VALUE($A2591&amp;""),계정대체기준!$D$6:$D$15,0)),0),0))</f>
        <v/>
      </c>
      <c r="AH2591" s="64">
        <f>IF($A2591="","",IF(AD2591=0,"",IF(OR(COUNTIF(계정대체기준!$A$77:$A$86,$N2591)&gt;0,ISNUMBER(MATCH($X2591,계정대체기준!$D$77:$D$86,0)),ISNUMBER(MATCH($F2591,계정대체기준!$D$77:$D$86,0))),"Y","N")))</f>
        <v/>
      </c>
    </row>
    <row r="2592">
      <c r="A2592" s="92" t="n">
        <v>2025</v>
      </c>
      <c r="B2592" s="92" t="n">
        <v>12</v>
      </c>
      <c r="C2592" s="92" t="inlineStr">
        <is>
          <t>5100002588</t>
        </is>
      </c>
      <c r="D2592" s="95" t="n">
        <v>46004</v>
      </c>
      <c r="E2592" s="92" t="inlineStr">
        <is>
          <t>KR</t>
        </is>
      </c>
      <c r="F2592" s="92" t="n">
        <v>62401000</v>
      </c>
      <c r="G2592" s="92" t="n">
        <v>1801</v>
      </c>
      <c r="H2592" s="93" t="n">
        <v>1829000</v>
      </c>
      <c r="I2592" s="92" t="inlineStr">
        <is>
          <t>12월 인쇄물 제작 - G인쇄</t>
        </is>
      </c>
      <c r="J2592" s="92" t="inlineStr">
        <is>
          <t>V10004</t>
        </is>
      </c>
      <c r="K2592" s="92" t="inlineStr">
        <is>
          <t>G인쇄</t>
        </is>
      </c>
      <c r="M2592" s="9">
        <f>IF($A2592="","",VALUE($A2592&amp;"")*12+VALUE($B2592&amp;""))</f>
        <v/>
      </c>
      <c r="N2592" s="64">
        <f>IF($A2592="","",IFERROR(INDEX(부서매핑!$C$5:$C$504,MATCH($G2592&amp;"",부서매핑!$A$5:$A$504,0)),"미매핑"))</f>
        <v/>
      </c>
      <c r="O2592" s="9">
        <f>IF($A2592="","",N2592&amp;"|"&amp;$F2592)</f>
        <v/>
      </c>
      <c r="P2592" s="94">
        <f>IF($A2592="",0,$H2592*설정!$C$23)</f>
        <v/>
      </c>
      <c r="Q2592" s="64">
        <f>IF($A2592="","",IF(O2592&lt;&gt;원인분석!$C$9,"",IF(AND(M2592&gt;=원인분석!$C$10,M2592&lt;=원인분석!$C$11),"당기",IF(AND(M2592&gt;=원인분석!$C$12,M2592&lt;=원인분석!$C$13),"비교",""))))</f>
        <v/>
      </c>
      <c r="R2592" s="9">
        <f>IF(Q2592="","",$K2592&amp;"")</f>
        <v/>
      </c>
      <c r="S2592" s="9">
        <f>IF(Q2592="","",IF(MATCH(R2592,$R$5:$R$100000,0)=ROW()-4,ROW(),""))</f>
        <v/>
      </c>
      <c r="T2592" s="9">
        <f>IF(Q2592="당기",ABS(P2592)+ROW()/1000000000,"")</f>
        <v/>
      </c>
      <c r="U2592" s="9">
        <f>IF(Q2592="비교",ABS(P2592)+ROW()/1000000000,"")</f>
        <v/>
      </c>
      <c r="V2592" s="64">
        <f>IF($A2592="","",IF(COUNTIF(변동분석!$E$7:$E$506,O2592)&gt;0,"Y","N"))</f>
        <v/>
      </c>
      <c r="W2592" s="64">
        <f>IF($A2592="","",IFERROR(INDEX(계정매핑!$D$5:$D$504,MATCH($F2592&amp;"",계정매핑!$A$5:$A$504,0)),"미매핑"))</f>
        <v/>
      </c>
      <c r="X2592" s="9">
        <f>IF($A2592="","",$F2592&amp;"")</f>
        <v/>
      </c>
      <c r="Y2592" s="94">
        <f>IF($A2592="",0,IF(AE2592="직접",IF(AF2592="비귀속",$P2592,0),$P2592*(1-AG2592)*IFERROR(INDEX(계정대체기준!$F$20:$F$49,MATCH($N2592,계정대체기준!$A$20:$A$49,0)),1)))</f>
        <v/>
      </c>
      <c r="Z2592" s="94">
        <f>IF($A2592="",0,IF(AE2592="직접",IF(AF2592="신계약비",$P2592,0),$P2592*(1-AG2592)*IFERROR(INDEX(계정대체기준!$C$20:$C$49,MATCH($N2592,계정대체기준!$A$20:$A$49,0)),0)))</f>
        <v/>
      </c>
      <c r="AA2592" s="94">
        <f>IF($A2592="",0,IF(AE2592="직접",IF(OR(AF2592="유지비",AF2592="손해조사비"),$P2592,0),$P2592*(1-AG2592)*IFERROR(INDEX(계정대체기준!$D$20:$D$49,MATCH($N2592,계정대체기준!$A$20:$A$49,0)),0)))</f>
        <v/>
      </c>
      <c r="AB2592" s="94">
        <f>IF($A2592="",0,IF(AE2592="직접",IF(AF2592="수금비",$P2592,0),$P2592*(1-AG2592)*IFERROR(INDEX(계정대체기준!$E$20:$E$49,MATCH($N2592,계정대체기준!$A$20:$A$49,0)),0)))</f>
        <v/>
      </c>
      <c r="AC2592" s="9">
        <f>IF(AND($A2592&lt;&gt;"",M2592=설정!$C$20,Z2592&gt;0),Z2592+ROW()/1000000000,"")</f>
        <v/>
      </c>
      <c r="AD2592" s="94">
        <f>IF($A2592="",0,$P2592*AG2592)</f>
        <v/>
      </c>
      <c r="AE2592" s="64">
        <f>IF($A2592="","",IFERROR(INDEX(계정매핑!$E$5:$E$504,MATCH($F2592&amp;"",계정매핑!$A$5:$A$504,0))&amp;"","공통비"))</f>
        <v/>
      </c>
      <c r="AF2592" s="64">
        <f>IF($A2592="","",IF(AE2592="직접",IFERROR(INDEX(계정매핑!$F$5:$F$504,MATCH($F2592&amp;"",계정매핑!$A$5:$A$504,0))&amp;"","비귀속"),""))</f>
        <v/>
      </c>
      <c r="AG2592" s="96">
        <f>IF($A2592="",0,IF(AND(AE2592&lt;&gt;"직접",IFERROR(INDEX(계정매핑!$G$5:$G$504,MATCH($F2592&amp;"",계정매핑!$A$5:$A$504,0))&amp;"","")="유지비",COUNTIF(계정대체기준!$A$6:$A$15,$N2592)&gt;0),IFERROR(INDEX(계정대체기준!$E$6:$E$15,MATCH(VALUE($A2592&amp;""),계정대체기준!$D$6:$D$15,0)),0),0))</f>
        <v/>
      </c>
      <c r="AH2592" s="64">
        <f>IF($A2592="","",IF(AD2592=0,"",IF(OR(COUNTIF(계정대체기준!$A$77:$A$86,$N2592)&gt;0,ISNUMBER(MATCH($X2592,계정대체기준!$D$77:$D$86,0)),ISNUMBER(MATCH($F2592,계정대체기준!$D$77:$D$86,0))),"Y","N")))</f>
        <v/>
      </c>
    </row>
    <row r="2593">
      <c r="A2593" s="92" t="n">
        <v>2025</v>
      </c>
      <c r="B2593" s="92" t="n">
        <v>12</v>
      </c>
      <c r="C2593" s="92" t="inlineStr">
        <is>
          <t>5100002589</t>
        </is>
      </c>
      <c r="D2593" s="95" t="n">
        <v>46004</v>
      </c>
      <c r="E2593" s="92" t="inlineStr">
        <is>
          <t>KR</t>
        </is>
      </c>
      <c r="F2593" s="92" t="n">
        <v>62601000</v>
      </c>
      <c r="G2593" s="92" t="n">
        <v>1101</v>
      </c>
      <c r="H2593" s="93" t="n">
        <v>3439000</v>
      </c>
      <c r="I2593" s="92" t="inlineStr">
        <is>
          <t>12월 업무추진 - (법인카드)</t>
        </is>
      </c>
      <c r="J2593" s="92" t="inlineStr">
        <is>
          <t>V10010</t>
        </is>
      </c>
      <c r="K2593" s="92" t="inlineStr">
        <is>
          <t>(법인카드)</t>
        </is>
      </c>
      <c r="M2593" s="9">
        <f>IF($A2593="","",VALUE($A2593&amp;"")*12+VALUE($B2593&amp;""))</f>
        <v/>
      </c>
      <c r="N2593" s="64">
        <f>IF($A2593="","",IFERROR(INDEX(부서매핑!$C$5:$C$504,MATCH($G2593&amp;"",부서매핑!$A$5:$A$504,0)),"미매핑"))</f>
        <v/>
      </c>
      <c r="O2593" s="9">
        <f>IF($A2593="","",N2593&amp;"|"&amp;$F2593)</f>
        <v/>
      </c>
      <c r="P2593" s="94">
        <f>IF($A2593="",0,$H2593*설정!$C$23)</f>
        <v/>
      </c>
      <c r="Q2593" s="64">
        <f>IF($A2593="","",IF(O2593&lt;&gt;원인분석!$C$9,"",IF(AND(M2593&gt;=원인분석!$C$10,M2593&lt;=원인분석!$C$11),"당기",IF(AND(M2593&gt;=원인분석!$C$12,M2593&lt;=원인분석!$C$13),"비교",""))))</f>
        <v/>
      </c>
      <c r="R2593" s="9">
        <f>IF(Q2593="","",$K2593&amp;"")</f>
        <v/>
      </c>
      <c r="S2593" s="9">
        <f>IF(Q2593="","",IF(MATCH(R2593,$R$5:$R$100000,0)=ROW()-4,ROW(),""))</f>
        <v/>
      </c>
      <c r="T2593" s="9">
        <f>IF(Q2593="당기",ABS(P2593)+ROW()/1000000000,"")</f>
        <v/>
      </c>
      <c r="U2593" s="9">
        <f>IF(Q2593="비교",ABS(P2593)+ROW()/1000000000,"")</f>
        <v/>
      </c>
      <c r="V2593" s="64">
        <f>IF($A2593="","",IF(COUNTIF(변동분석!$E$7:$E$506,O2593)&gt;0,"Y","N"))</f>
        <v/>
      </c>
      <c r="W2593" s="64">
        <f>IF($A2593="","",IFERROR(INDEX(계정매핑!$D$5:$D$504,MATCH($F2593&amp;"",계정매핑!$A$5:$A$504,0)),"미매핑"))</f>
        <v/>
      </c>
      <c r="X2593" s="9">
        <f>IF($A2593="","",$F2593&amp;"")</f>
        <v/>
      </c>
      <c r="Y2593" s="94">
        <f>IF($A2593="",0,IF(AE2593="직접",IF(AF2593="비귀속",$P2593,0),$P2593*(1-AG2593)*IFERROR(INDEX(계정대체기준!$F$20:$F$49,MATCH($N2593,계정대체기준!$A$20:$A$49,0)),1)))</f>
        <v/>
      </c>
      <c r="Z2593" s="94">
        <f>IF($A2593="",0,IF(AE2593="직접",IF(AF2593="신계약비",$P2593,0),$P2593*(1-AG2593)*IFERROR(INDEX(계정대체기준!$C$20:$C$49,MATCH($N2593,계정대체기준!$A$20:$A$49,0)),0)))</f>
        <v/>
      </c>
      <c r="AA2593" s="94">
        <f>IF($A2593="",0,IF(AE2593="직접",IF(OR(AF2593="유지비",AF2593="손해조사비"),$P2593,0),$P2593*(1-AG2593)*IFERROR(INDEX(계정대체기준!$D$20:$D$49,MATCH($N2593,계정대체기준!$A$20:$A$49,0)),0)))</f>
        <v/>
      </c>
      <c r="AB2593" s="94">
        <f>IF($A2593="",0,IF(AE2593="직접",IF(AF2593="수금비",$P2593,0),$P2593*(1-AG2593)*IFERROR(INDEX(계정대체기준!$E$20:$E$49,MATCH($N2593,계정대체기준!$A$20:$A$49,0)),0)))</f>
        <v/>
      </c>
      <c r="AC2593" s="9">
        <f>IF(AND($A2593&lt;&gt;"",M2593=설정!$C$20,Z2593&gt;0),Z2593+ROW()/1000000000,"")</f>
        <v/>
      </c>
      <c r="AD2593" s="94">
        <f>IF($A2593="",0,$P2593*AG2593)</f>
        <v/>
      </c>
      <c r="AE2593" s="64">
        <f>IF($A2593="","",IFERROR(INDEX(계정매핑!$E$5:$E$504,MATCH($F2593&amp;"",계정매핑!$A$5:$A$504,0))&amp;"","공통비"))</f>
        <v/>
      </c>
      <c r="AF2593" s="64">
        <f>IF($A2593="","",IF(AE2593="직접",IFERROR(INDEX(계정매핑!$F$5:$F$504,MATCH($F2593&amp;"",계정매핑!$A$5:$A$504,0))&amp;"","비귀속"),""))</f>
        <v/>
      </c>
      <c r="AG2593" s="96">
        <f>IF($A2593="",0,IF(AND(AE2593&lt;&gt;"직접",IFERROR(INDEX(계정매핑!$G$5:$G$504,MATCH($F2593&amp;"",계정매핑!$A$5:$A$504,0))&amp;"","")="유지비",COUNTIF(계정대체기준!$A$6:$A$15,$N2593)&gt;0),IFERROR(INDEX(계정대체기준!$E$6:$E$15,MATCH(VALUE($A2593&amp;""),계정대체기준!$D$6:$D$15,0)),0),0))</f>
        <v/>
      </c>
      <c r="AH2593" s="64">
        <f>IF($A2593="","",IF(AD2593=0,"",IF(OR(COUNTIF(계정대체기준!$A$77:$A$86,$N2593)&gt;0,ISNUMBER(MATCH($X2593,계정대체기준!$D$77:$D$86,0)),ISNUMBER(MATCH($F2593,계정대체기준!$D$77:$D$86,0))),"Y","N")))</f>
        <v/>
      </c>
    </row>
    <row r="2594">
      <c r="A2594" s="92" t="n">
        <v>2025</v>
      </c>
      <c r="B2594" s="92" t="n">
        <v>12</v>
      </c>
      <c r="C2594" s="92" t="inlineStr">
        <is>
          <t>5100002590</t>
        </is>
      </c>
      <c r="D2594" s="95" t="n">
        <v>46004</v>
      </c>
      <c r="E2594" s="92" t="inlineStr">
        <is>
          <t>KR</t>
        </is>
      </c>
      <c r="F2594" s="92" t="n">
        <v>62802000</v>
      </c>
      <c r="G2594" s="92" t="n">
        <v>1301</v>
      </c>
      <c r="H2594" s="93" t="n">
        <v>8607000</v>
      </c>
      <c r="I2594" s="92" t="inlineStr">
        <is>
          <t>12월 위탁교육 - I교육원</t>
        </is>
      </c>
      <c r="J2594" s="92" t="inlineStr">
        <is>
          <t>V10019</t>
        </is>
      </c>
      <c r="K2594" s="92" t="inlineStr">
        <is>
          <t>I교육원</t>
        </is>
      </c>
      <c r="M2594" s="9">
        <f>IF($A2594="","",VALUE($A2594&amp;"")*12+VALUE($B2594&amp;""))</f>
        <v/>
      </c>
      <c r="N2594" s="64">
        <f>IF($A2594="","",IFERROR(INDEX(부서매핑!$C$5:$C$504,MATCH($G2594&amp;"",부서매핑!$A$5:$A$504,0)),"미매핑"))</f>
        <v/>
      </c>
      <c r="O2594" s="9">
        <f>IF($A2594="","",N2594&amp;"|"&amp;$F2594)</f>
        <v/>
      </c>
      <c r="P2594" s="94">
        <f>IF($A2594="",0,$H2594*설정!$C$23)</f>
        <v/>
      </c>
      <c r="Q2594" s="64">
        <f>IF($A2594="","",IF(O2594&lt;&gt;원인분석!$C$9,"",IF(AND(M2594&gt;=원인분석!$C$10,M2594&lt;=원인분석!$C$11),"당기",IF(AND(M2594&gt;=원인분석!$C$12,M2594&lt;=원인분석!$C$13),"비교",""))))</f>
        <v/>
      </c>
      <c r="R2594" s="9">
        <f>IF(Q2594="","",$K2594&amp;"")</f>
        <v/>
      </c>
      <c r="S2594" s="9">
        <f>IF(Q2594="","",IF(MATCH(R2594,$R$5:$R$100000,0)=ROW()-4,ROW(),""))</f>
        <v/>
      </c>
      <c r="T2594" s="9">
        <f>IF(Q2594="당기",ABS(P2594)+ROW()/1000000000,"")</f>
        <v/>
      </c>
      <c r="U2594" s="9">
        <f>IF(Q2594="비교",ABS(P2594)+ROW()/1000000000,"")</f>
        <v/>
      </c>
      <c r="V2594" s="64">
        <f>IF($A2594="","",IF(COUNTIF(변동분석!$E$7:$E$506,O2594)&gt;0,"Y","N"))</f>
        <v/>
      </c>
      <c r="W2594" s="64">
        <f>IF($A2594="","",IFERROR(INDEX(계정매핑!$D$5:$D$504,MATCH($F2594&amp;"",계정매핑!$A$5:$A$504,0)),"미매핑"))</f>
        <v/>
      </c>
      <c r="X2594" s="9">
        <f>IF($A2594="","",$F2594&amp;"")</f>
        <v/>
      </c>
      <c r="Y2594" s="94">
        <f>IF($A2594="",0,IF(AE2594="직접",IF(AF2594="비귀속",$P2594,0),$P2594*(1-AG2594)*IFERROR(INDEX(계정대체기준!$F$20:$F$49,MATCH($N2594,계정대체기준!$A$20:$A$49,0)),1)))</f>
        <v/>
      </c>
      <c r="Z2594" s="94">
        <f>IF($A2594="",0,IF(AE2594="직접",IF(AF2594="신계약비",$P2594,0),$P2594*(1-AG2594)*IFERROR(INDEX(계정대체기준!$C$20:$C$49,MATCH($N2594,계정대체기준!$A$20:$A$49,0)),0)))</f>
        <v/>
      </c>
      <c r="AA2594" s="94">
        <f>IF($A2594="",0,IF(AE2594="직접",IF(OR(AF2594="유지비",AF2594="손해조사비"),$P2594,0),$P2594*(1-AG2594)*IFERROR(INDEX(계정대체기준!$D$20:$D$49,MATCH($N2594,계정대체기준!$A$20:$A$49,0)),0)))</f>
        <v/>
      </c>
      <c r="AB2594" s="94">
        <f>IF($A2594="",0,IF(AE2594="직접",IF(AF2594="수금비",$P2594,0),$P2594*(1-AG2594)*IFERROR(INDEX(계정대체기준!$E$20:$E$49,MATCH($N2594,계정대체기준!$A$20:$A$49,0)),0)))</f>
        <v/>
      </c>
      <c r="AC2594" s="9">
        <f>IF(AND($A2594&lt;&gt;"",M2594=설정!$C$20,Z2594&gt;0),Z2594+ROW()/1000000000,"")</f>
        <v/>
      </c>
      <c r="AD2594" s="94">
        <f>IF($A2594="",0,$P2594*AG2594)</f>
        <v/>
      </c>
      <c r="AE2594" s="64">
        <f>IF($A2594="","",IFERROR(INDEX(계정매핑!$E$5:$E$504,MATCH($F2594&amp;"",계정매핑!$A$5:$A$504,0))&amp;"","공통비"))</f>
        <v/>
      </c>
      <c r="AF2594" s="64">
        <f>IF($A2594="","",IF(AE2594="직접",IFERROR(INDEX(계정매핑!$F$5:$F$504,MATCH($F2594&amp;"",계정매핑!$A$5:$A$504,0))&amp;"","비귀속"),""))</f>
        <v/>
      </c>
      <c r="AG2594" s="96">
        <f>IF($A2594="",0,IF(AND(AE2594&lt;&gt;"직접",IFERROR(INDEX(계정매핑!$G$5:$G$504,MATCH($F2594&amp;"",계정매핑!$A$5:$A$504,0))&amp;"","")="유지비",COUNTIF(계정대체기준!$A$6:$A$15,$N2594)&gt;0),IFERROR(INDEX(계정대체기준!$E$6:$E$15,MATCH(VALUE($A2594&amp;""),계정대체기준!$D$6:$D$15,0)),0),0))</f>
        <v/>
      </c>
      <c r="AH2594" s="64">
        <f>IF($A2594="","",IF(AD2594=0,"",IF(OR(COUNTIF(계정대체기준!$A$77:$A$86,$N2594)&gt;0,ISNUMBER(MATCH($X2594,계정대체기준!$D$77:$D$86,0)),ISNUMBER(MATCH($F2594,계정대체기준!$D$77:$D$86,0))),"Y","N")))</f>
        <v/>
      </c>
    </row>
    <row r="2595">
      <c r="A2595" s="92" t="n">
        <v>2025</v>
      </c>
      <c r="B2595" s="92" t="n">
        <v>12</v>
      </c>
      <c r="C2595" s="92" t="inlineStr">
        <is>
          <t>5100002591</t>
        </is>
      </c>
      <c r="D2595" s="95" t="n">
        <v>46005</v>
      </c>
      <c r="E2595" s="92" t="inlineStr">
        <is>
          <t>KR</t>
        </is>
      </c>
      <c r="F2595" s="92" t="n">
        <v>62101000</v>
      </c>
      <c r="G2595" s="92" t="n">
        <v>1301</v>
      </c>
      <c r="H2595" s="93" t="n">
        <v>271000</v>
      </c>
      <c r="I2595" s="92" t="inlineStr">
        <is>
          <t>12월 국내출장 - M항공</t>
        </is>
      </c>
      <c r="J2595" s="92" t="inlineStr">
        <is>
          <t>V10001</t>
        </is>
      </c>
      <c r="K2595" s="92" t="inlineStr">
        <is>
          <t>M항공</t>
        </is>
      </c>
      <c r="M2595" s="9">
        <f>IF($A2595="","",VALUE($A2595&amp;"")*12+VALUE($B2595&amp;""))</f>
        <v/>
      </c>
      <c r="N2595" s="64">
        <f>IF($A2595="","",IFERROR(INDEX(부서매핑!$C$5:$C$504,MATCH($G2595&amp;"",부서매핑!$A$5:$A$504,0)),"미매핑"))</f>
        <v/>
      </c>
      <c r="O2595" s="9">
        <f>IF($A2595="","",N2595&amp;"|"&amp;$F2595)</f>
        <v/>
      </c>
      <c r="P2595" s="94">
        <f>IF($A2595="",0,$H2595*설정!$C$23)</f>
        <v/>
      </c>
      <c r="Q2595" s="64">
        <f>IF($A2595="","",IF(O2595&lt;&gt;원인분석!$C$9,"",IF(AND(M2595&gt;=원인분석!$C$10,M2595&lt;=원인분석!$C$11),"당기",IF(AND(M2595&gt;=원인분석!$C$12,M2595&lt;=원인분석!$C$13),"비교",""))))</f>
        <v/>
      </c>
      <c r="R2595" s="9">
        <f>IF(Q2595="","",$K2595&amp;"")</f>
        <v/>
      </c>
      <c r="S2595" s="9">
        <f>IF(Q2595="","",IF(MATCH(R2595,$R$5:$R$100000,0)=ROW()-4,ROW(),""))</f>
        <v/>
      </c>
      <c r="T2595" s="9">
        <f>IF(Q2595="당기",ABS(P2595)+ROW()/1000000000,"")</f>
        <v/>
      </c>
      <c r="U2595" s="9">
        <f>IF(Q2595="비교",ABS(P2595)+ROW()/1000000000,"")</f>
        <v/>
      </c>
      <c r="V2595" s="64">
        <f>IF($A2595="","",IF(COUNTIF(변동분석!$E$7:$E$506,O2595)&gt;0,"Y","N"))</f>
        <v/>
      </c>
      <c r="W2595" s="64">
        <f>IF($A2595="","",IFERROR(INDEX(계정매핑!$D$5:$D$504,MATCH($F2595&amp;"",계정매핑!$A$5:$A$504,0)),"미매핑"))</f>
        <v/>
      </c>
      <c r="X2595" s="9">
        <f>IF($A2595="","",$F2595&amp;"")</f>
        <v/>
      </c>
      <c r="Y2595" s="94">
        <f>IF($A2595="",0,IF(AE2595="직접",IF(AF2595="비귀속",$P2595,0),$P2595*(1-AG2595)*IFERROR(INDEX(계정대체기준!$F$20:$F$49,MATCH($N2595,계정대체기준!$A$20:$A$49,0)),1)))</f>
        <v/>
      </c>
      <c r="Z2595" s="94">
        <f>IF($A2595="",0,IF(AE2595="직접",IF(AF2595="신계약비",$P2595,0),$P2595*(1-AG2595)*IFERROR(INDEX(계정대체기준!$C$20:$C$49,MATCH($N2595,계정대체기준!$A$20:$A$49,0)),0)))</f>
        <v/>
      </c>
      <c r="AA2595" s="94">
        <f>IF($A2595="",0,IF(AE2595="직접",IF(OR(AF2595="유지비",AF2595="손해조사비"),$P2595,0),$P2595*(1-AG2595)*IFERROR(INDEX(계정대체기준!$D$20:$D$49,MATCH($N2595,계정대체기준!$A$20:$A$49,0)),0)))</f>
        <v/>
      </c>
      <c r="AB2595" s="94">
        <f>IF($A2595="",0,IF(AE2595="직접",IF(AF2595="수금비",$P2595,0),$P2595*(1-AG2595)*IFERROR(INDEX(계정대체기준!$E$20:$E$49,MATCH($N2595,계정대체기준!$A$20:$A$49,0)),0)))</f>
        <v/>
      </c>
      <c r="AC2595" s="9">
        <f>IF(AND($A2595&lt;&gt;"",M2595=설정!$C$20,Z2595&gt;0),Z2595+ROW()/1000000000,"")</f>
        <v/>
      </c>
      <c r="AD2595" s="94">
        <f>IF($A2595="",0,$P2595*AG2595)</f>
        <v/>
      </c>
      <c r="AE2595" s="64">
        <f>IF($A2595="","",IFERROR(INDEX(계정매핑!$E$5:$E$504,MATCH($F2595&amp;"",계정매핑!$A$5:$A$504,0))&amp;"","공통비"))</f>
        <v/>
      </c>
      <c r="AF2595" s="64">
        <f>IF($A2595="","",IF(AE2595="직접",IFERROR(INDEX(계정매핑!$F$5:$F$504,MATCH($F2595&amp;"",계정매핑!$A$5:$A$504,0))&amp;"","비귀속"),""))</f>
        <v/>
      </c>
      <c r="AG2595" s="96">
        <f>IF($A2595="",0,IF(AND(AE2595&lt;&gt;"직접",IFERROR(INDEX(계정매핑!$G$5:$G$504,MATCH($F2595&amp;"",계정매핑!$A$5:$A$504,0))&amp;"","")="유지비",COUNTIF(계정대체기준!$A$6:$A$15,$N2595)&gt;0),IFERROR(INDEX(계정대체기준!$E$6:$E$15,MATCH(VALUE($A2595&amp;""),계정대체기준!$D$6:$D$15,0)),0),0))</f>
        <v/>
      </c>
      <c r="AH2595" s="64">
        <f>IF($A2595="","",IF(AD2595=0,"",IF(OR(COUNTIF(계정대체기준!$A$77:$A$86,$N2595)&gt;0,ISNUMBER(MATCH($X2595,계정대체기준!$D$77:$D$86,0)),ISNUMBER(MATCH($F2595,계정대체기준!$D$77:$D$86,0))),"Y","N")))</f>
        <v/>
      </c>
    </row>
    <row r="2596">
      <c r="A2596" s="92" t="n">
        <v>2025</v>
      </c>
      <c r="B2596" s="92" t="n">
        <v>12</v>
      </c>
      <c r="C2596" s="92" t="inlineStr">
        <is>
          <t>5100002592</t>
        </is>
      </c>
      <c r="D2596" s="95" t="n">
        <v>46005</v>
      </c>
      <c r="E2596" s="92" t="inlineStr">
        <is>
          <t>KR</t>
        </is>
      </c>
      <c r="F2596" s="92" t="n">
        <v>62301000</v>
      </c>
      <c r="G2596" s="92" t="n">
        <v>1501</v>
      </c>
      <c r="H2596" s="93" t="n">
        <v>168000</v>
      </c>
      <c r="I2596" s="92" t="inlineStr">
        <is>
          <t>12월 소모품 구입 - Q오피스</t>
        </is>
      </c>
      <c r="J2596" s="92" t="inlineStr">
        <is>
          <t>V10003</t>
        </is>
      </c>
      <c r="K2596" s="92" t="inlineStr">
        <is>
          <t>Q오피스</t>
        </is>
      </c>
      <c r="M2596" s="9">
        <f>IF($A2596="","",VALUE($A2596&amp;"")*12+VALUE($B2596&amp;""))</f>
        <v/>
      </c>
      <c r="N2596" s="64">
        <f>IF($A2596="","",IFERROR(INDEX(부서매핑!$C$5:$C$504,MATCH($G2596&amp;"",부서매핑!$A$5:$A$504,0)),"미매핑"))</f>
        <v/>
      </c>
      <c r="O2596" s="9">
        <f>IF($A2596="","",N2596&amp;"|"&amp;$F2596)</f>
        <v/>
      </c>
      <c r="P2596" s="94">
        <f>IF($A2596="",0,$H2596*설정!$C$23)</f>
        <v/>
      </c>
      <c r="Q2596" s="64">
        <f>IF($A2596="","",IF(O2596&lt;&gt;원인분석!$C$9,"",IF(AND(M2596&gt;=원인분석!$C$10,M2596&lt;=원인분석!$C$11),"당기",IF(AND(M2596&gt;=원인분석!$C$12,M2596&lt;=원인분석!$C$13),"비교",""))))</f>
        <v/>
      </c>
      <c r="R2596" s="9">
        <f>IF(Q2596="","",$K2596&amp;"")</f>
        <v/>
      </c>
      <c r="S2596" s="9">
        <f>IF(Q2596="","",IF(MATCH(R2596,$R$5:$R$100000,0)=ROW()-4,ROW(),""))</f>
        <v/>
      </c>
      <c r="T2596" s="9">
        <f>IF(Q2596="당기",ABS(P2596)+ROW()/1000000000,"")</f>
        <v/>
      </c>
      <c r="U2596" s="9">
        <f>IF(Q2596="비교",ABS(P2596)+ROW()/1000000000,"")</f>
        <v/>
      </c>
      <c r="V2596" s="64">
        <f>IF($A2596="","",IF(COUNTIF(변동분석!$E$7:$E$506,O2596)&gt;0,"Y","N"))</f>
        <v/>
      </c>
      <c r="W2596" s="64">
        <f>IF($A2596="","",IFERROR(INDEX(계정매핑!$D$5:$D$504,MATCH($F2596&amp;"",계정매핑!$A$5:$A$504,0)),"미매핑"))</f>
        <v/>
      </c>
      <c r="X2596" s="9">
        <f>IF($A2596="","",$F2596&amp;"")</f>
        <v/>
      </c>
      <c r="Y2596" s="94">
        <f>IF($A2596="",0,IF(AE2596="직접",IF(AF2596="비귀속",$P2596,0),$P2596*(1-AG2596)*IFERROR(INDEX(계정대체기준!$F$20:$F$49,MATCH($N2596,계정대체기준!$A$20:$A$49,0)),1)))</f>
        <v/>
      </c>
      <c r="Z2596" s="94">
        <f>IF($A2596="",0,IF(AE2596="직접",IF(AF2596="신계약비",$P2596,0),$P2596*(1-AG2596)*IFERROR(INDEX(계정대체기준!$C$20:$C$49,MATCH($N2596,계정대체기준!$A$20:$A$49,0)),0)))</f>
        <v/>
      </c>
      <c r="AA2596" s="94">
        <f>IF($A2596="",0,IF(AE2596="직접",IF(OR(AF2596="유지비",AF2596="손해조사비"),$P2596,0),$P2596*(1-AG2596)*IFERROR(INDEX(계정대체기준!$D$20:$D$49,MATCH($N2596,계정대체기준!$A$20:$A$49,0)),0)))</f>
        <v/>
      </c>
      <c r="AB2596" s="94">
        <f>IF($A2596="",0,IF(AE2596="직접",IF(AF2596="수금비",$P2596,0),$P2596*(1-AG2596)*IFERROR(INDEX(계정대체기준!$E$20:$E$49,MATCH($N2596,계정대체기준!$A$20:$A$49,0)),0)))</f>
        <v/>
      </c>
      <c r="AC2596" s="9">
        <f>IF(AND($A2596&lt;&gt;"",M2596=설정!$C$20,Z2596&gt;0),Z2596+ROW()/1000000000,"")</f>
        <v/>
      </c>
      <c r="AD2596" s="94">
        <f>IF($A2596="",0,$P2596*AG2596)</f>
        <v/>
      </c>
      <c r="AE2596" s="64">
        <f>IF($A2596="","",IFERROR(INDEX(계정매핑!$E$5:$E$504,MATCH($F2596&amp;"",계정매핑!$A$5:$A$504,0))&amp;"","공통비"))</f>
        <v/>
      </c>
      <c r="AF2596" s="64">
        <f>IF($A2596="","",IF(AE2596="직접",IFERROR(INDEX(계정매핑!$F$5:$F$504,MATCH($F2596&amp;"",계정매핑!$A$5:$A$504,0))&amp;"","비귀속"),""))</f>
        <v/>
      </c>
      <c r="AG2596" s="96">
        <f>IF($A2596="",0,IF(AND(AE2596&lt;&gt;"직접",IFERROR(INDEX(계정매핑!$G$5:$G$504,MATCH($F2596&amp;"",계정매핑!$A$5:$A$504,0))&amp;"","")="유지비",COUNTIF(계정대체기준!$A$6:$A$15,$N2596)&gt;0),IFERROR(INDEX(계정대체기준!$E$6:$E$15,MATCH(VALUE($A2596&amp;""),계정대체기준!$D$6:$D$15,0)),0),0))</f>
        <v/>
      </c>
      <c r="AH2596" s="64">
        <f>IF($A2596="","",IF(AD2596=0,"",IF(OR(COUNTIF(계정대체기준!$A$77:$A$86,$N2596)&gt;0,ISNUMBER(MATCH($X2596,계정대체기준!$D$77:$D$86,0)),ISNUMBER(MATCH($F2596,계정대체기준!$D$77:$D$86,0))),"Y","N")))</f>
        <v/>
      </c>
    </row>
    <row r="2597">
      <c r="A2597" s="92" t="n">
        <v>2025</v>
      </c>
      <c r="B2597" s="92" t="n">
        <v>12</v>
      </c>
      <c r="C2597" s="92" t="inlineStr">
        <is>
          <t>5100002593</t>
        </is>
      </c>
      <c r="D2597" s="95" t="n">
        <v>46005</v>
      </c>
      <c r="E2597" s="92" t="inlineStr">
        <is>
          <t>KR</t>
        </is>
      </c>
      <c r="F2597" s="92" t="n">
        <v>62301000</v>
      </c>
      <c r="G2597" s="92" t="n">
        <v>1701</v>
      </c>
      <c r="H2597" s="93" t="n">
        <v>353000</v>
      </c>
      <c r="I2597" s="92" t="inlineStr">
        <is>
          <t>12월 소모품 구입 - Q오피스</t>
        </is>
      </c>
      <c r="J2597" s="92" t="inlineStr">
        <is>
          <t>V10003</t>
        </is>
      </c>
      <c r="K2597" s="92" t="inlineStr">
        <is>
          <t>Q오피스</t>
        </is>
      </c>
      <c r="M2597" s="9">
        <f>IF($A2597="","",VALUE($A2597&amp;"")*12+VALUE($B2597&amp;""))</f>
        <v/>
      </c>
      <c r="N2597" s="64">
        <f>IF($A2597="","",IFERROR(INDEX(부서매핑!$C$5:$C$504,MATCH($G2597&amp;"",부서매핑!$A$5:$A$504,0)),"미매핑"))</f>
        <v/>
      </c>
      <c r="O2597" s="9">
        <f>IF($A2597="","",N2597&amp;"|"&amp;$F2597)</f>
        <v/>
      </c>
      <c r="P2597" s="94">
        <f>IF($A2597="",0,$H2597*설정!$C$23)</f>
        <v/>
      </c>
      <c r="Q2597" s="64">
        <f>IF($A2597="","",IF(O2597&lt;&gt;원인분석!$C$9,"",IF(AND(M2597&gt;=원인분석!$C$10,M2597&lt;=원인분석!$C$11),"당기",IF(AND(M2597&gt;=원인분석!$C$12,M2597&lt;=원인분석!$C$13),"비교",""))))</f>
        <v/>
      </c>
      <c r="R2597" s="9">
        <f>IF(Q2597="","",$K2597&amp;"")</f>
        <v/>
      </c>
      <c r="S2597" s="9">
        <f>IF(Q2597="","",IF(MATCH(R2597,$R$5:$R$100000,0)=ROW()-4,ROW(),""))</f>
        <v/>
      </c>
      <c r="T2597" s="9">
        <f>IF(Q2597="당기",ABS(P2597)+ROW()/1000000000,"")</f>
        <v/>
      </c>
      <c r="U2597" s="9">
        <f>IF(Q2597="비교",ABS(P2597)+ROW()/1000000000,"")</f>
        <v/>
      </c>
      <c r="V2597" s="64">
        <f>IF($A2597="","",IF(COUNTIF(변동분석!$E$7:$E$506,O2597)&gt;0,"Y","N"))</f>
        <v/>
      </c>
      <c r="W2597" s="64">
        <f>IF($A2597="","",IFERROR(INDEX(계정매핑!$D$5:$D$504,MATCH($F2597&amp;"",계정매핑!$A$5:$A$504,0)),"미매핑"))</f>
        <v/>
      </c>
      <c r="X2597" s="9">
        <f>IF($A2597="","",$F2597&amp;"")</f>
        <v/>
      </c>
      <c r="Y2597" s="94">
        <f>IF($A2597="",0,IF(AE2597="직접",IF(AF2597="비귀속",$P2597,0),$P2597*(1-AG2597)*IFERROR(INDEX(계정대체기준!$F$20:$F$49,MATCH($N2597,계정대체기준!$A$20:$A$49,0)),1)))</f>
        <v/>
      </c>
      <c r="Z2597" s="94">
        <f>IF($A2597="",0,IF(AE2597="직접",IF(AF2597="신계약비",$P2597,0),$P2597*(1-AG2597)*IFERROR(INDEX(계정대체기준!$C$20:$C$49,MATCH($N2597,계정대체기준!$A$20:$A$49,0)),0)))</f>
        <v/>
      </c>
      <c r="AA2597" s="94">
        <f>IF($A2597="",0,IF(AE2597="직접",IF(OR(AF2597="유지비",AF2597="손해조사비"),$P2597,0),$P2597*(1-AG2597)*IFERROR(INDEX(계정대체기준!$D$20:$D$49,MATCH($N2597,계정대체기준!$A$20:$A$49,0)),0)))</f>
        <v/>
      </c>
      <c r="AB2597" s="94">
        <f>IF($A2597="",0,IF(AE2597="직접",IF(AF2597="수금비",$P2597,0),$P2597*(1-AG2597)*IFERROR(INDEX(계정대체기준!$E$20:$E$49,MATCH($N2597,계정대체기준!$A$20:$A$49,0)),0)))</f>
        <v/>
      </c>
      <c r="AC2597" s="9">
        <f>IF(AND($A2597&lt;&gt;"",M2597=설정!$C$20,Z2597&gt;0),Z2597+ROW()/1000000000,"")</f>
        <v/>
      </c>
      <c r="AD2597" s="94">
        <f>IF($A2597="",0,$P2597*AG2597)</f>
        <v/>
      </c>
      <c r="AE2597" s="64">
        <f>IF($A2597="","",IFERROR(INDEX(계정매핑!$E$5:$E$504,MATCH($F2597&amp;"",계정매핑!$A$5:$A$504,0))&amp;"","공통비"))</f>
        <v/>
      </c>
      <c r="AF2597" s="64">
        <f>IF($A2597="","",IF(AE2597="직접",IFERROR(INDEX(계정매핑!$F$5:$F$504,MATCH($F2597&amp;"",계정매핑!$A$5:$A$504,0))&amp;"","비귀속"),""))</f>
        <v/>
      </c>
      <c r="AG2597" s="96">
        <f>IF($A2597="",0,IF(AND(AE2597&lt;&gt;"직접",IFERROR(INDEX(계정매핑!$G$5:$G$504,MATCH($F2597&amp;"",계정매핑!$A$5:$A$504,0))&amp;"","")="유지비",COUNTIF(계정대체기준!$A$6:$A$15,$N2597)&gt;0),IFERROR(INDEX(계정대체기준!$E$6:$E$15,MATCH(VALUE($A2597&amp;""),계정대체기준!$D$6:$D$15,0)),0),0))</f>
        <v/>
      </c>
      <c r="AH2597" s="64">
        <f>IF($A2597="","",IF(AD2597=0,"",IF(OR(COUNTIF(계정대체기준!$A$77:$A$86,$N2597)&gt;0,ISNUMBER(MATCH($X2597,계정대체기준!$D$77:$D$86,0)),ISNUMBER(MATCH($F2597,계정대체기준!$D$77:$D$86,0))),"Y","N")))</f>
        <v/>
      </c>
    </row>
    <row r="2598">
      <c r="A2598" s="92" t="n">
        <v>2025</v>
      </c>
      <c r="B2598" s="92" t="n">
        <v>12</v>
      </c>
      <c r="C2598" s="92" t="inlineStr">
        <is>
          <t>5100002594</t>
        </is>
      </c>
      <c r="D2598" s="95" t="n">
        <v>46005</v>
      </c>
      <c r="E2598" s="92" t="inlineStr">
        <is>
          <t>KR</t>
        </is>
      </c>
      <c r="F2598" s="92" t="n">
        <v>62601000</v>
      </c>
      <c r="G2598" s="92" t="n">
        <v>1501</v>
      </c>
      <c r="H2598" s="93" t="n">
        <v>1644000</v>
      </c>
      <c r="I2598" s="92" t="inlineStr">
        <is>
          <t>12월 업무추진 - (법인카드)</t>
        </is>
      </c>
      <c r="J2598" s="92" t="inlineStr">
        <is>
          <t>V10010</t>
        </is>
      </c>
      <c r="K2598" s="92" t="inlineStr">
        <is>
          <t>(법인카드)</t>
        </is>
      </c>
      <c r="M2598" s="9">
        <f>IF($A2598="","",VALUE($A2598&amp;"")*12+VALUE($B2598&amp;""))</f>
        <v/>
      </c>
      <c r="N2598" s="64">
        <f>IF($A2598="","",IFERROR(INDEX(부서매핑!$C$5:$C$504,MATCH($G2598&amp;"",부서매핑!$A$5:$A$504,0)),"미매핑"))</f>
        <v/>
      </c>
      <c r="O2598" s="9">
        <f>IF($A2598="","",N2598&amp;"|"&amp;$F2598)</f>
        <v/>
      </c>
      <c r="P2598" s="94">
        <f>IF($A2598="",0,$H2598*설정!$C$23)</f>
        <v/>
      </c>
      <c r="Q2598" s="64">
        <f>IF($A2598="","",IF(O2598&lt;&gt;원인분석!$C$9,"",IF(AND(M2598&gt;=원인분석!$C$10,M2598&lt;=원인분석!$C$11),"당기",IF(AND(M2598&gt;=원인분석!$C$12,M2598&lt;=원인분석!$C$13),"비교",""))))</f>
        <v/>
      </c>
      <c r="R2598" s="9">
        <f>IF(Q2598="","",$K2598&amp;"")</f>
        <v/>
      </c>
      <c r="S2598" s="9">
        <f>IF(Q2598="","",IF(MATCH(R2598,$R$5:$R$100000,0)=ROW()-4,ROW(),""))</f>
        <v/>
      </c>
      <c r="T2598" s="9">
        <f>IF(Q2598="당기",ABS(P2598)+ROW()/1000000000,"")</f>
        <v/>
      </c>
      <c r="U2598" s="9">
        <f>IF(Q2598="비교",ABS(P2598)+ROW()/1000000000,"")</f>
        <v/>
      </c>
      <c r="V2598" s="64">
        <f>IF($A2598="","",IF(COUNTIF(변동분석!$E$7:$E$506,O2598)&gt;0,"Y","N"))</f>
        <v/>
      </c>
      <c r="W2598" s="64">
        <f>IF($A2598="","",IFERROR(INDEX(계정매핑!$D$5:$D$504,MATCH($F2598&amp;"",계정매핑!$A$5:$A$504,0)),"미매핑"))</f>
        <v/>
      </c>
      <c r="X2598" s="9">
        <f>IF($A2598="","",$F2598&amp;"")</f>
        <v/>
      </c>
      <c r="Y2598" s="94">
        <f>IF($A2598="",0,IF(AE2598="직접",IF(AF2598="비귀속",$P2598,0),$P2598*(1-AG2598)*IFERROR(INDEX(계정대체기준!$F$20:$F$49,MATCH($N2598,계정대체기준!$A$20:$A$49,0)),1)))</f>
        <v/>
      </c>
      <c r="Z2598" s="94">
        <f>IF($A2598="",0,IF(AE2598="직접",IF(AF2598="신계약비",$P2598,0),$P2598*(1-AG2598)*IFERROR(INDEX(계정대체기준!$C$20:$C$49,MATCH($N2598,계정대체기준!$A$20:$A$49,0)),0)))</f>
        <v/>
      </c>
      <c r="AA2598" s="94">
        <f>IF($A2598="",0,IF(AE2598="직접",IF(OR(AF2598="유지비",AF2598="손해조사비"),$P2598,0),$P2598*(1-AG2598)*IFERROR(INDEX(계정대체기준!$D$20:$D$49,MATCH($N2598,계정대체기준!$A$20:$A$49,0)),0)))</f>
        <v/>
      </c>
      <c r="AB2598" s="94">
        <f>IF($A2598="",0,IF(AE2598="직접",IF(AF2598="수금비",$P2598,0),$P2598*(1-AG2598)*IFERROR(INDEX(계정대체기준!$E$20:$E$49,MATCH($N2598,계정대체기준!$A$20:$A$49,0)),0)))</f>
        <v/>
      </c>
      <c r="AC2598" s="9">
        <f>IF(AND($A2598&lt;&gt;"",M2598=설정!$C$20,Z2598&gt;0),Z2598+ROW()/1000000000,"")</f>
        <v/>
      </c>
      <c r="AD2598" s="94">
        <f>IF($A2598="",0,$P2598*AG2598)</f>
        <v/>
      </c>
      <c r="AE2598" s="64">
        <f>IF($A2598="","",IFERROR(INDEX(계정매핑!$E$5:$E$504,MATCH($F2598&amp;"",계정매핑!$A$5:$A$504,0))&amp;"","공통비"))</f>
        <v/>
      </c>
      <c r="AF2598" s="64">
        <f>IF($A2598="","",IF(AE2598="직접",IFERROR(INDEX(계정매핑!$F$5:$F$504,MATCH($F2598&amp;"",계정매핑!$A$5:$A$504,0))&amp;"","비귀속"),""))</f>
        <v/>
      </c>
      <c r="AG2598" s="96">
        <f>IF($A2598="",0,IF(AND(AE2598&lt;&gt;"직접",IFERROR(INDEX(계정매핑!$G$5:$G$504,MATCH($F2598&amp;"",계정매핑!$A$5:$A$504,0))&amp;"","")="유지비",COUNTIF(계정대체기준!$A$6:$A$15,$N2598)&gt;0),IFERROR(INDEX(계정대체기준!$E$6:$E$15,MATCH(VALUE($A2598&amp;""),계정대체기준!$D$6:$D$15,0)),0),0))</f>
        <v/>
      </c>
      <c r="AH2598" s="64">
        <f>IF($A2598="","",IF(AD2598=0,"",IF(OR(COUNTIF(계정대체기준!$A$77:$A$86,$N2598)&gt;0,ISNUMBER(MATCH($X2598,계정대체기준!$D$77:$D$86,0)),ISNUMBER(MATCH($F2598,계정대체기준!$D$77:$D$86,0))),"Y","N")))</f>
        <v/>
      </c>
    </row>
    <row r="2599">
      <c r="A2599" s="92" t="n">
        <v>2025</v>
      </c>
      <c r="B2599" s="92" t="n">
        <v>12</v>
      </c>
      <c r="C2599" s="92" t="inlineStr">
        <is>
          <t>5100002595</t>
        </is>
      </c>
      <c r="D2599" s="95" t="n">
        <v>46005</v>
      </c>
      <c r="E2599" s="92" t="inlineStr">
        <is>
          <t>KR</t>
        </is>
      </c>
      <c r="F2599" s="92" t="n">
        <v>62901000</v>
      </c>
      <c r="G2599" s="92" t="n">
        <v>1801</v>
      </c>
      <c r="H2599" s="93" t="n">
        <v>9671000</v>
      </c>
      <c r="I2599" s="92" t="inlineStr">
        <is>
          <t>12월 자문 수수료 - K회계법인</t>
        </is>
      </c>
      <c r="J2599" s="92" t="inlineStr">
        <is>
          <t>V10011</t>
        </is>
      </c>
      <c r="K2599" s="92" t="inlineStr">
        <is>
          <t>K회계법인</t>
        </is>
      </c>
      <c r="M2599" s="9">
        <f>IF($A2599="","",VALUE($A2599&amp;"")*12+VALUE($B2599&amp;""))</f>
        <v/>
      </c>
      <c r="N2599" s="64">
        <f>IF($A2599="","",IFERROR(INDEX(부서매핑!$C$5:$C$504,MATCH($G2599&amp;"",부서매핑!$A$5:$A$504,0)),"미매핑"))</f>
        <v/>
      </c>
      <c r="O2599" s="9">
        <f>IF($A2599="","",N2599&amp;"|"&amp;$F2599)</f>
        <v/>
      </c>
      <c r="P2599" s="94">
        <f>IF($A2599="",0,$H2599*설정!$C$23)</f>
        <v/>
      </c>
      <c r="Q2599" s="64">
        <f>IF($A2599="","",IF(O2599&lt;&gt;원인분석!$C$9,"",IF(AND(M2599&gt;=원인분석!$C$10,M2599&lt;=원인분석!$C$11),"당기",IF(AND(M2599&gt;=원인분석!$C$12,M2599&lt;=원인분석!$C$13),"비교",""))))</f>
        <v/>
      </c>
      <c r="R2599" s="9">
        <f>IF(Q2599="","",$K2599&amp;"")</f>
        <v/>
      </c>
      <c r="S2599" s="9">
        <f>IF(Q2599="","",IF(MATCH(R2599,$R$5:$R$100000,0)=ROW()-4,ROW(),""))</f>
        <v/>
      </c>
      <c r="T2599" s="9">
        <f>IF(Q2599="당기",ABS(P2599)+ROW()/1000000000,"")</f>
        <v/>
      </c>
      <c r="U2599" s="9">
        <f>IF(Q2599="비교",ABS(P2599)+ROW()/1000000000,"")</f>
        <v/>
      </c>
      <c r="V2599" s="64">
        <f>IF($A2599="","",IF(COUNTIF(변동분석!$E$7:$E$506,O2599)&gt;0,"Y","N"))</f>
        <v/>
      </c>
      <c r="W2599" s="64">
        <f>IF($A2599="","",IFERROR(INDEX(계정매핑!$D$5:$D$504,MATCH($F2599&amp;"",계정매핑!$A$5:$A$504,0)),"미매핑"))</f>
        <v/>
      </c>
      <c r="X2599" s="9">
        <f>IF($A2599="","",$F2599&amp;"")</f>
        <v/>
      </c>
      <c r="Y2599" s="94">
        <f>IF($A2599="",0,IF(AE2599="직접",IF(AF2599="비귀속",$P2599,0),$P2599*(1-AG2599)*IFERROR(INDEX(계정대체기준!$F$20:$F$49,MATCH($N2599,계정대체기준!$A$20:$A$49,0)),1)))</f>
        <v/>
      </c>
      <c r="Z2599" s="94">
        <f>IF($A2599="",0,IF(AE2599="직접",IF(AF2599="신계약비",$P2599,0),$P2599*(1-AG2599)*IFERROR(INDEX(계정대체기준!$C$20:$C$49,MATCH($N2599,계정대체기준!$A$20:$A$49,0)),0)))</f>
        <v/>
      </c>
      <c r="AA2599" s="94">
        <f>IF($A2599="",0,IF(AE2599="직접",IF(OR(AF2599="유지비",AF2599="손해조사비"),$P2599,0),$P2599*(1-AG2599)*IFERROR(INDEX(계정대체기준!$D$20:$D$49,MATCH($N2599,계정대체기준!$A$20:$A$49,0)),0)))</f>
        <v/>
      </c>
      <c r="AB2599" s="94">
        <f>IF($A2599="",0,IF(AE2599="직접",IF(AF2599="수금비",$P2599,0),$P2599*(1-AG2599)*IFERROR(INDEX(계정대체기준!$E$20:$E$49,MATCH($N2599,계정대체기준!$A$20:$A$49,0)),0)))</f>
        <v/>
      </c>
      <c r="AC2599" s="9">
        <f>IF(AND($A2599&lt;&gt;"",M2599=설정!$C$20,Z2599&gt;0),Z2599+ROW()/1000000000,"")</f>
        <v/>
      </c>
      <c r="AD2599" s="94">
        <f>IF($A2599="",0,$P2599*AG2599)</f>
        <v/>
      </c>
      <c r="AE2599" s="64">
        <f>IF($A2599="","",IFERROR(INDEX(계정매핑!$E$5:$E$504,MATCH($F2599&amp;"",계정매핑!$A$5:$A$504,0))&amp;"","공통비"))</f>
        <v/>
      </c>
      <c r="AF2599" s="64">
        <f>IF($A2599="","",IF(AE2599="직접",IFERROR(INDEX(계정매핑!$F$5:$F$504,MATCH($F2599&amp;"",계정매핑!$A$5:$A$504,0))&amp;"","비귀속"),""))</f>
        <v/>
      </c>
      <c r="AG2599" s="96">
        <f>IF($A2599="",0,IF(AND(AE2599&lt;&gt;"직접",IFERROR(INDEX(계정매핑!$G$5:$G$504,MATCH($F2599&amp;"",계정매핑!$A$5:$A$504,0))&amp;"","")="유지비",COUNTIF(계정대체기준!$A$6:$A$15,$N2599)&gt;0),IFERROR(INDEX(계정대체기준!$E$6:$E$15,MATCH(VALUE($A2599&amp;""),계정대체기준!$D$6:$D$15,0)),0),0))</f>
        <v/>
      </c>
      <c r="AH2599" s="64">
        <f>IF($A2599="","",IF(AD2599=0,"",IF(OR(COUNTIF(계정대체기준!$A$77:$A$86,$N2599)&gt;0,ISNUMBER(MATCH($X2599,계정대체기준!$D$77:$D$86,0)),ISNUMBER(MATCH($F2599,계정대체기준!$D$77:$D$86,0))),"Y","N")))</f>
        <v/>
      </c>
    </row>
    <row r="2600">
      <c r="A2600" s="92" t="n">
        <v>2025</v>
      </c>
      <c r="B2600" s="92" t="n">
        <v>12</v>
      </c>
      <c r="C2600" s="92" t="inlineStr">
        <is>
          <t>5100002596</t>
        </is>
      </c>
      <c r="D2600" s="95" t="n">
        <v>46005</v>
      </c>
      <c r="E2600" s="92" t="inlineStr">
        <is>
          <t>KR</t>
        </is>
      </c>
      <c r="F2600" s="92" t="n">
        <v>62902000</v>
      </c>
      <c r="G2600" s="92" t="n">
        <v>1401</v>
      </c>
      <c r="H2600" s="93" t="n">
        <v>2301000</v>
      </c>
      <c r="I2600" s="92" t="inlineStr">
        <is>
          <t>12월 업무 위탁 수수료 - J콜센터</t>
        </is>
      </c>
      <c r="J2600" s="92" t="inlineStr">
        <is>
          <t>V10016</t>
        </is>
      </c>
      <c r="K2600" s="92" t="inlineStr">
        <is>
          <t>J콜센터</t>
        </is>
      </c>
      <c r="M2600" s="9">
        <f>IF($A2600="","",VALUE($A2600&amp;"")*12+VALUE($B2600&amp;""))</f>
        <v/>
      </c>
      <c r="N2600" s="64">
        <f>IF($A2600="","",IFERROR(INDEX(부서매핑!$C$5:$C$504,MATCH($G2600&amp;"",부서매핑!$A$5:$A$504,0)),"미매핑"))</f>
        <v/>
      </c>
      <c r="O2600" s="9">
        <f>IF($A2600="","",N2600&amp;"|"&amp;$F2600)</f>
        <v/>
      </c>
      <c r="P2600" s="94">
        <f>IF($A2600="",0,$H2600*설정!$C$23)</f>
        <v/>
      </c>
      <c r="Q2600" s="64">
        <f>IF($A2600="","",IF(O2600&lt;&gt;원인분석!$C$9,"",IF(AND(M2600&gt;=원인분석!$C$10,M2600&lt;=원인분석!$C$11),"당기",IF(AND(M2600&gt;=원인분석!$C$12,M2600&lt;=원인분석!$C$13),"비교",""))))</f>
        <v/>
      </c>
      <c r="R2600" s="9">
        <f>IF(Q2600="","",$K2600&amp;"")</f>
        <v/>
      </c>
      <c r="S2600" s="9">
        <f>IF(Q2600="","",IF(MATCH(R2600,$R$5:$R$100000,0)=ROW()-4,ROW(),""))</f>
        <v/>
      </c>
      <c r="T2600" s="9">
        <f>IF(Q2600="당기",ABS(P2600)+ROW()/1000000000,"")</f>
        <v/>
      </c>
      <c r="U2600" s="9">
        <f>IF(Q2600="비교",ABS(P2600)+ROW()/1000000000,"")</f>
        <v/>
      </c>
      <c r="V2600" s="64">
        <f>IF($A2600="","",IF(COUNTIF(변동분석!$E$7:$E$506,O2600)&gt;0,"Y","N"))</f>
        <v/>
      </c>
      <c r="W2600" s="64">
        <f>IF($A2600="","",IFERROR(INDEX(계정매핑!$D$5:$D$504,MATCH($F2600&amp;"",계정매핑!$A$5:$A$504,0)),"미매핑"))</f>
        <v/>
      </c>
      <c r="X2600" s="9">
        <f>IF($A2600="","",$F2600&amp;"")</f>
        <v/>
      </c>
      <c r="Y2600" s="94">
        <f>IF($A2600="",0,IF(AE2600="직접",IF(AF2600="비귀속",$P2600,0),$P2600*(1-AG2600)*IFERROR(INDEX(계정대체기준!$F$20:$F$49,MATCH($N2600,계정대체기준!$A$20:$A$49,0)),1)))</f>
        <v/>
      </c>
      <c r="Z2600" s="94">
        <f>IF($A2600="",0,IF(AE2600="직접",IF(AF2600="신계약비",$P2600,0),$P2600*(1-AG2600)*IFERROR(INDEX(계정대체기준!$C$20:$C$49,MATCH($N2600,계정대체기준!$A$20:$A$49,0)),0)))</f>
        <v/>
      </c>
      <c r="AA2600" s="94">
        <f>IF($A2600="",0,IF(AE2600="직접",IF(OR(AF2600="유지비",AF2600="손해조사비"),$P2600,0),$P2600*(1-AG2600)*IFERROR(INDEX(계정대체기준!$D$20:$D$49,MATCH($N2600,계정대체기준!$A$20:$A$49,0)),0)))</f>
        <v/>
      </c>
      <c r="AB2600" s="94">
        <f>IF($A2600="",0,IF(AE2600="직접",IF(AF2600="수금비",$P2600,0),$P2600*(1-AG2600)*IFERROR(INDEX(계정대체기준!$E$20:$E$49,MATCH($N2600,계정대체기준!$A$20:$A$49,0)),0)))</f>
        <v/>
      </c>
      <c r="AC2600" s="9">
        <f>IF(AND($A2600&lt;&gt;"",M2600=설정!$C$20,Z2600&gt;0),Z2600+ROW()/1000000000,"")</f>
        <v/>
      </c>
      <c r="AD2600" s="94">
        <f>IF($A2600="",0,$P2600*AG2600)</f>
        <v/>
      </c>
      <c r="AE2600" s="64">
        <f>IF($A2600="","",IFERROR(INDEX(계정매핑!$E$5:$E$504,MATCH($F2600&amp;"",계정매핑!$A$5:$A$504,0))&amp;"","공통비"))</f>
        <v/>
      </c>
      <c r="AF2600" s="64">
        <f>IF($A2600="","",IF(AE2600="직접",IFERROR(INDEX(계정매핑!$F$5:$F$504,MATCH($F2600&amp;"",계정매핑!$A$5:$A$504,0))&amp;"","비귀속"),""))</f>
        <v/>
      </c>
      <c r="AG2600" s="96">
        <f>IF($A2600="",0,IF(AND(AE2600&lt;&gt;"직접",IFERROR(INDEX(계정매핑!$G$5:$G$504,MATCH($F2600&amp;"",계정매핑!$A$5:$A$504,0))&amp;"","")="유지비",COUNTIF(계정대체기준!$A$6:$A$15,$N2600)&gt;0),IFERROR(INDEX(계정대체기준!$E$6:$E$15,MATCH(VALUE($A2600&amp;""),계정대체기준!$D$6:$D$15,0)),0),0))</f>
        <v/>
      </c>
      <c r="AH2600" s="64">
        <f>IF($A2600="","",IF(AD2600=0,"",IF(OR(COUNTIF(계정대체기준!$A$77:$A$86,$N2600)&gt;0,ISNUMBER(MATCH($X2600,계정대체기준!$D$77:$D$86,0)),ISNUMBER(MATCH($F2600,계정대체기준!$D$77:$D$86,0))),"Y","N")))</f>
        <v/>
      </c>
    </row>
    <row r="2601">
      <c r="A2601" s="92" t="n">
        <v>2025</v>
      </c>
      <c r="B2601" s="92" t="n">
        <v>12</v>
      </c>
      <c r="C2601" s="92" t="inlineStr">
        <is>
          <t>5100002597</t>
        </is>
      </c>
      <c r="D2601" s="95" t="n">
        <v>46005</v>
      </c>
      <c r="E2601" s="92" t="inlineStr">
        <is>
          <t>KR</t>
        </is>
      </c>
      <c r="F2601" s="92" t="n">
        <v>62902000</v>
      </c>
      <c r="G2601" s="92" t="n">
        <v>1801</v>
      </c>
      <c r="H2601" s="93" t="n">
        <v>1754000</v>
      </c>
      <c r="I2601" s="92" t="inlineStr">
        <is>
          <t>12월 콜 위탁 수수료(건별)</t>
        </is>
      </c>
      <c r="J2601" s="92" t="inlineStr">
        <is>
          <t>V10016</t>
        </is>
      </c>
      <c r="K2601" s="92" t="inlineStr">
        <is>
          <t>J콜센터</t>
        </is>
      </c>
      <c r="M2601" s="9">
        <f>IF($A2601="","",VALUE($A2601&amp;"")*12+VALUE($B2601&amp;""))</f>
        <v/>
      </c>
      <c r="N2601" s="64">
        <f>IF($A2601="","",IFERROR(INDEX(부서매핑!$C$5:$C$504,MATCH($G2601&amp;"",부서매핑!$A$5:$A$504,0)),"미매핑"))</f>
        <v/>
      </c>
      <c r="O2601" s="9">
        <f>IF($A2601="","",N2601&amp;"|"&amp;$F2601)</f>
        <v/>
      </c>
      <c r="P2601" s="94">
        <f>IF($A2601="",0,$H2601*설정!$C$23)</f>
        <v/>
      </c>
      <c r="Q2601" s="64">
        <f>IF($A2601="","",IF(O2601&lt;&gt;원인분석!$C$9,"",IF(AND(M2601&gt;=원인분석!$C$10,M2601&lt;=원인분석!$C$11),"당기",IF(AND(M2601&gt;=원인분석!$C$12,M2601&lt;=원인분석!$C$13),"비교",""))))</f>
        <v/>
      </c>
      <c r="R2601" s="9">
        <f>IF(Q2601="","",$K2601&amp;"")</f>
        <v/>
      </c>
      <c r="S2601" s="9">
        <f>IF(Q2601="","",IF(MATCH(R2601,$R$5:$R$100000,0)=ROW()-4,ROW(),""))</f>
        <v/>
      </c>
      <c r="T2601" s="9">
        <f>IF(Q2601="당기",ABS(P2601)+ROW()/1000000000,"")</f>
        <v/>
      </c>
      <c r="U2601" s="9">
        <f>IF(Q2601="비교",ABS(P2601)+ROW()/1000000000,"")</f>
        <v/>
      </c>
      <c r="V2601" s="64">
        <f>IF($A2601="","",IF(COUNTIF(변동분석!$E$7:$E$506,O2601)&gt;0,"Y","N"))</f>
        <v/>
      </c>
      <c r="W2601" s="64">
        <f>IF($A2601="","",IFERROR(INDEX(계정매핑!$D$5:$D$504,MATCH($F2601&amp;"",계정매핑!$A$5:$A$504,0)),"미매핑"))</f>
        <v/>
      </c>
      <c r="X2601" s="9">
        <f>IF($A2601="","",$F2601&amp;"")</f>
        <v/>
      </c>
      <c r="Y2601" s="94">
        <f>IF($A2601="",0,IF(AE2601="직접",IF(AF2601="비귀속",$P2601,0),$P2601*(1-AG2601)*IFERROR(INDEX(계정대체기준!$F$20:$F$49,MATCH($N2601,계정대체기준!$A$20:$A$49,0)),1)))</f>
        <v/>
      </c>
      <c r="Z2601" s="94">
        <f>IF($A2601="",0,IF(AE2601="직접",IF(AF2601="신계약비",$P2601,0),$P2601*(1-AG2601)*IFERROR(INDEX(계정대체기준!$C$20:$C$49,MATCH($N2601,계정대체기준!$A$20:$A$49,0)),0)))</f>
        <v/>
      </c>
      <c r="AA2601" s="94">
        <f>IF($A2601="",0,IF(AE2601="직접",IF(OR(AF2601="유지비",AF2601="손해조사비"),$P2601,0),$P2601*(1-AG2601)*IFERROR(INDEX(계정대체기준!$D$20:$D$49,MATCH($N2601,계정대체기준!$A$20:$A$49,0)),0)))</f>
        <v/>
      </c>
      <c r="AB2601" s="94">
        <f>IF($A2601="",0,IF(AE2601="직접",IF(AF2601="수금비",$P2601,0),$P2601*(1-AG2601)*IFERROR(INDEX(계정대체기준!$E$20:$E$49,MATCH($N2601,계정대체기준!$A$20:$A$49,0)),0)))</f>
        <v/>
      </c>
      <c r="AC2601" s="9">
        <f>IF(AND($A2601&lt;&gt;"",M2601=설정!$C$20,Z2601&gt;0),Z2601+ROW()/1000000000,"")</f>
        <v/>
      </c>
      <c r="AD2601" s="94">
        <f>IF($A2601="",0,$P2601*AG2601)</f>
        <v/>
      </c>
      <c r="AE2601" s="64">
        <f>IF($A2601="","",IFERROR(INDEX(계정매핑!$E$5:$E$504,MATCH($F2601&amp;"",계정매핑!$A$5:$A$504,0))&amp;"","공통비"))</f>
        <v/>
      </c>
      <c r="AF2601" s="64">
        <f>IF($A2601="","",IF(AE2601="직접",IFERROR(INDEX(계정매핑!$F$5:$F$504,MATCH($F2601&amp;"",계정매핑!$A$5:$A$504,0))&amp;"","비귀속"),""))</f>
        <v/>
      </c>
      <c r="AG2601" s="96">
        <f>IF($A2601="",0,IF(AND(AE2601&lt;&gt;"직접",IFERROR(INDEX(계정매핑!$G$5:$G$504,MATCH($F2601&amp;"",계정매핑!$A$5:$A$504,0))&amp;"","")="유지비",COUNTIF(계정대체기준!$A$6:$A$15,$N2601)&gt;0),IFERROR(INDEX(계정대체기준!$E$6:$E$15,MATCH(VALUE($A2601&amp;""),계정대체기준!$D$6:$D$15,0)),0),0))</f>
        <v/>
      </c>
      <c r="AH2601" s="64">
        <f>IF($A2601="","",IF(AD2601=0,"",IF(OR(COUNTIF(계정대체기준!$A$77:$A$86,$N2601)&gt;0,ISNUMBER(MATCH($X2601,계정대체기준!$D$77:$D$86,0)),ISNUMBER(MATCH($F2601,계정대체기준!$D$77:$D$86,0))),"Y","N")))</f>
        <v/>
      </c>
    </row>
    <row r="2602">
      <c r="A2602" s="92" t="n">
        <v>2025</v>
      </c>
      <c r="B2602" s="92" t="n">
        <v>12</v>
      </c>
      <c r="C2602" s="92" t="inlineStr">
        <is>
          <t>5100002598</t>
        </is>
      </c>
      <c r="D2602" s="95" t="n">
        <v>46006</v>
      </c>
      <c r="E2602" s="92" t="inlineStr">
        <is>
          <t>KR</t>
        </is>
      </c>
      <c r="F2602" s="92" t="n">
        <v>62101000</v>
      </c>
      <c r="G2602" s="92" t="n">
        <v>1101</v>
      </c>
      <c r="H2602" s="93" t="n">
        <v>420000</v>
      </c>
      <c r="I2602" s="92" t="inlineStr">
        <is>
          <t>12월 국내출장 - L여행사</t>
        </is>
      </c>
      <c r="J2602" s="92" t="inlineStr">
        <is>
          <t>V10018</t>
        </is>
      </c>
      <c r="K2602" s="92" t="inlineStr">
        <is>
          <t>L여행사</t>
        </is>
      </c>
      <c r="M2602" s="9">
        <f>IF($A2602="","",VALUE($A2602&amp;"")*12+VALUE($B2602&amp;""))</f>
        <v/>
      </c>
      <c r="N2602" s="64">
        <f>IF($A2602="","",IFERROR(INDEX(부서매핑!$C$5:$C$504,MATCH($G2602&amp;"",부서매핑!$A$5:$A$504,0)),"미매핑"))</f>
        <v/>
      </c>
      <c r="O2602" s="9">
        <f>IF($A2602="","",N2602&amp;"|"&amp;$F2602)</f>
        <v/>
      </c>
      <c r="P2602" s="94">
        <f>IF($A2602="",0,$H2602*설정!$C$23)</f>
        <v/>
      </c>
      <c r="Q2602" s="64">
        <f>IF($A2602="","",IF(O2602&lt;&gt;원인분석!$C$9,"",IF(AND(M2602&gt;=원인분석!$C$10,M2602&lt;=원인분석!$C$11),"당기",IF(AND(M2602&gt;=원인분석!$C$12,M2602&lt;=원인분석!$C$13),"비교",""))))</f>
        <v/>
      </c>
      <c r="R2602" s="9">
        <f>IF(Q2602="","",$K2602&amp;"")</f>
        <v/>
      </c>
      <c r="S2602" s="9">
        <f>IF(Q2602="","",IF(MATCH(R2602,$R$5:$R$100000,0)=ROW()-4,ROW(),""))</f>
        <v/>
      </c>
      <c r="T2602" s="9">
        <f>IF(Q2602="당기",ABS(P2602)+ROW()/1000000000,"")</f>
        <v/>
      </c>
      <c r="U2602" s="9">
        <f>IF(Q2602="비교",ABS(P2602)+ROW()/1000000000,"")</f>
        <v/>
      </c>
      <c r="V2602" s="64">
        <f>IF($A2602="","",IF(COUNTIF(변동분석!$E$7:$E$506,O2602)&gt;0,"Y","N"))</f>
        <v/>
      </c>
      <c r="W2602" s="64">
        <f>IF($A2602="","",IFERROR(INDEX(계정매핑!$D$5:$D$504,MATCH($F2602&amp;"",계정매핑!$A$5:$A$504,0)),"미매핑"))</f>
        <v/>
      </c>
      <c r="X2602" s="9">
        <f>IF($A2602="","",$F2602&amp;"")</f>
        <v/>
      </c>
      <c r="Y2602" s="94">
        <f>IF($A2602="",0,IF(AE2602="직접",IF(AF2602="비귀속",$P2602,0),$P2602*(1-AG2602)*IFERROR(INDEX(계정대체기준!$F$20:$F$49,MATCH($N2602,계정대체기준!$A$20:$A$49,0)),1)))</f>
        <v/>
      </c>
      <c r="Z2602" s="94">
        <f>IF($A2602="",0,IF(AE2602="직접",IF(AF2602="신계약비",$P2602,0),$P2602*(1-AG2602)*IFERROR(INDEX(계정대체기준!$C$20:$C$49,MATCH($N2602,계정대체기준!$A$20:$A$49,0)),0)))</f>
        <v/>
      </c>
      <c r="AA2602" s="94">
        <f>IF($A2602="",0,IF(AE2602="직접",IF(OR(AF2602="유지비",AF2602="손해조사비"),$P2602,0),$P2602*(1-AG2602)*IFERROR(INDEX(계정대체기준!$D$20:$D$49,MATCH($N2602,계정대체기준!$A$20:$A$49,0)),0)))</f>
        <v/>
      </c>
      <c r="AB2602" s="94">
        <f>IF($A2602="",0,IF(AE2602="직접",IF(AF2602="수금비",$P2602,0),$P2602*(1-AG2602)*IFERROR(INDEX(계정대체기준!$E$20:$E$49,MATCH($N2602,계정대체기준!$A$20:$A$49,0)),0)))</f>
        <v/>
      </c>
      <c r="AC2602" s="9">
        <f>IF(AND($A2602&lt;&gt;"",M2602=설정!$C$20,Z2602&gt;0),Z2602+ROW()/1000000000,"")</f>
        <v/>
      </c>
      <c r="AD2602" s="94">
        <f>IF($A2602="",0,$P2602*AG2602)</f>
        <v/>
      </c>
      <c r="AE2602" s="64">
        <f>IF($A2602="","",IFERROR(INDEX(계정매핑!$E$5:$E$504,MATCH($F2602&amp;"",계정매핑!$A$5:$A$504,0))&amp;"","공통비"))</f>
        <v/>
      </c>
      <c r="AF2602" s="64">
        <f>IF($A2602="","",IF(AE2602="직접",IFERROR(INDEX(계정매핑!$F$5:$F$504,MATCH($F2602&amp;"",계정매핑!$A$5:$A$504,0))&amp;"","비귀속"),""))</f>
        <v/>
      </c>
      <c r="AG2602" s="96">
        <f>IF($A2602="",0,IF(AND(AE2602&lt;&gt;"직접",IFERROR(INDEX(계정매핑!$G$5:$G$504,MATCH($F2602&amp;"",계정매핑!$A$5:$A$504,0))&amp;"","")="유지비",COUNTIF(계정대체기준!$A$6:$A$15,$N2602)&gt;0),IFERROR(INDEX(계정대체기준!$E$6:$E$15,MATCH(VALUE($A2602&amp;""),계정대체기준!$D$6:$D$15,0)),0),0))</f>
        <v/>
      </c>
      <c r="AH2602" s="64">
        <f>IF($A2602="","",IF(AD2602=0,"",IF(OR(COUNTIF(계정대체기준!$A$77:$A$86,$N2602)&gt;0,ISNUMBER(MATCH($X2602,계정대체기준!$D$77:$D$86,0)),ISNUMBER(MATCH($F2602,계정대체기준!$D$77:$D$86,0))),"Y","N")))</f>
        <v/>
      </c>
    </row>
    <row r="2603">
      <c r="A2603" s="92" t="n">
        <v>2025</v>
      </c>
      <c r="B2603" s="92" t="n">
        <v>12</v>
      </c>
      <c r="C2603" s="92" t="inlineStr">
        <is>
          <t>5100002599</t>
        </is>
      </c>
      <c r="D2603" s="95" t="n">
        <v>46006</v>
      </c>
      <c r="E2603" s="92" t="inlineStr">
        <is>
          <t>KR</t>
        </is>
      </c>
      <c r="F2603" s="92" t="n">
        <v>62201000</v>
      </c>
      <c r="G2603" s="92" t="n">
        <v>1502</v>
      </c>
      <c r="H2603" s="93" t="n">
        <v>253000</v>
      </c>
      <c r="I2603" s="92" t="inlineStr">
        <is>
          <t>12월 통신요금 - P통신</t>
        </is>
      </c>
      <c r="J2603" s="92" t="inlineStr">
        <is>
          <t>V10014</t>
        </is>
      </c>
      <c r="K2603" s="92" t="inlineStr">
        <is>
          <t>P통신</t>
        </is>
      </c>
      <c r="M2603" s="9">
        <f>IF($A2603="","",VALUE($A2603&amp;"")*12+VALUE($B2603&amp;""))</f>
        <v/>
      </c>
      <c r="N2603" s="64">
        <f>IF($A2603="","",IFERROR(INDEX(부서매핑!$C$5:$C$504,MATCH($G2603&amp;"",부서매핑!$A$5:$A$504,0)),"미매핑"))</f>
        <v/>
      </c>
      <c r="O2603" s="9">
        <f>IF($A2603="","",N2603&amp;"|"&amp;$F2603)</f>
        <v/>
      </c>
      <c r="P2603" s="94">
        <f>IF($A2603="",0,$H2603*설정!$C$23)</f>
        <v/>
      </c>
      <c r="Q2603" s="64">
        <f>IF($A2603="","",IF(O2603&lt;&gt;원인분석!$C$9,"",IF(AND(M2603&gt;=원인분석!$C$10,M2603&lt;=원인분석!$C$11),"당기",IF(AND(M2603&gt;=원인분석!$C$12,M2603&lt;=원인분석!$C$13),"비교",""))))</f>
        <v/>
      </c>
      <c r="R2603" s="9">
        <f>IF(Q2603="","",$K2603&amp;"")</f>
        <v/>
      </c>
      <c r="S2603" s="9">
        <f>IF(Q2603="","",IF(MATCH(R2603,$R$5:$R$100000,0)=ROW()-4,ROW(),""))</f>
        <v/>
      </c>
      <c r="T2603" s="9">
        <f>IF(Q2603="당기",ABS(P2603)+ROW()/1000000000,"")</f>
        <v/>
      </c>
      <c r="U2603" s="9">
        <f>IF(Q2603="비교",ABS(P2603)+ROW()/1000000000,"")</f>
        <v/>
      </c>
      <c r="V2603" s="64">
        <f>IF($A2603="","",IF(COUNTIF(변동분석!$E$7:$E$506,O2603)&gt;0,"Y","N"))</f>
        <v/>
      </c>
      <c r="W2603" s="64">
        <f>IF($A2603="","",IFERROR(INDEX(계정매핑!$D$5:$D$504,MATCH($F2603&amp;"",계정매핑!$A$5:$A$504,0)),"미매핑"))</f>
        <v/>
      </c>
      <c r="X2603" s="9">
        <f>IF($A2603="","",$F2603&amp;"")</f>
        <v/>
      </c>
      <c r="Y2603" s="94">
        <f>IF($A2603="",0,IF(AE2603="직접",IF(AF2603="비귀속",$P2603,0),$P2603*(1-AG2603)*IFERROR(INDEX(계정대체기준!$F$20:$F$49,MATCH($N2603,계정대체기준!$A$20:$A$49,0)),1)))</f>
        <v/>
      </c>
      <c r="Z2603" s="94">
        <f>IF($A2603="",0,IF(AE2603="직접",IF(AF2603="신계약비",$P2603,0),$P2603*(1-AG2603)*IFERROR(INDEX(계정대체기준!$C$20:$C$49,MATCH($N2603,계정대체기준!$A$20:$A$49,0)),0)))</f>
        <v/>
      </c>
      <c r="AA2603" s="94">
        <f>IF($A2603="",0,IF(AE2603="직접",IF(OR(AF2603="유지비",AF2603="손해조사비"),$P2603,0),$P2603*(1-AG2603)*IFERROR(INDEX(계정대체기준!$D$20:$D$49,MATCH($N2603,계정대체기준!$A$20:$A$49,0)),0)))</f>
        <v/>
      </c>
      <c r="AB2603" s="94">
        <f>IF($A2603="",0,IF(AE2603="직접",IF(AF2603="수금비",$P2603,0),$P2603*(1-AG2603)*IFERROR(INDEX(계정대체기준!$E$20:$E$49,MATCH($N2603,계정대체기준!$A$20:$A$49,0)),0)))</f>
        <v/>
      </c>
      <c r="AC2603" s="9">
        <f>IF(AND($A2603&lt;&gt;"",M2603=설정!$C$20,Z2603&gt;0),Z2603+ROW()/1000000000,"")</f>
        <v/>
      </c>
      <c r="AD2603" s="94">
        <f>IF($A2603="",0,$P2603*AG2603)</f>
        <v/>
      </c>
      <c r="AE2603" s="64">
        <f>IF($A2603="","",IFERROR(INDEX(계정매핑!$E$5:$E$504,MATCH($F2603&amp;"",계정매핑!$A$5:$A$504,0))&amp;"","공통비"))</f>
        <v/>
      </c>
      <c r="AF2603" s="64">
        <f>IF($A2603="","",IF(AE2603="직접",IFERROR(INDEX(계정매핑!$F$5:$F$504,MATCH($F2603&amp;"",계정매핑!$A$5:$A$504,0))&amp;"","비귀속"),""))</f>
        <v/>
      </c>
      <c r="AG2603" s="96">
        <f>IF($A2603="",0,IF(AND(AE2603&lt;&gt;"직접",IFERROR(INDEX(계정매핑!$G$5:$G$504,MATCH($F2603&amp;"",계정매핑!$A$5:$A$504,0))&amp;"","")="유지비",COUNTIF(계정대체기준!$A$6:$A$15,$N2603)&gt;0),IFERROR(INDEX(계정대체기준!$E$6:$E$15,MATCH(VALUE($A2603&amp;""),계정대체기준!$D$6:$D$15,0)),0),0))</f>
        <v/>
      </c>
      <c r="AH2603" s="64">
        <f>IF($A2603="","",IF(AD2603=0,"",IF(OR(COUNTIF(계정대체기준!$A$77:$A$86,$N2603)&gt;0,ISNUMBER(MATCH($X2603,계정대체기준!$D$77:$D$86,0)),ISNUMBER(MATCH($F2603,계정대체기준!$D$77:$D$86,0))),"Y","N")))</f>
        <v/>
      </c>
    </row>
    <row r="2604">
      <c r="A2604" s="92" t="n">
        <v>2025</v>
      </c>
      <c r="B2604" s="92" t="n">
        <v>12</v>
      </c>
      <c r="C2604" s="92" t="inlineStr">
        <is>
          <t>5100002600</t>
        </is>
      </c>
      <c r="D2604" s="95" t="n">
        <v>46006</v>
      </c>
      <c r="E2604" s="92" t="inlineStr">
        <is>
          <t>KR</t>
        </is>
      </c>
      <c r="F2604" s="92" t="n">
        <v>62201000</v>
      </c>
      <c r="G2604" s="92" t="n">
        <v>1951</v>
      </c>
      <c r="H2604" s="93" t="n">
        <v>305000</v>
      </c>
      <c r="I2604" s="92" t="inlineStr">
        <is>
          <t>12월 통신요금 - P통신</t>
        </is>
      </c>
      <c r="J2604" s="92" t="inlineStr">
        <is>
          <t>V10014</t>
        </is>
      </c>
      <c r="K2604" s="92" t="inlineStr">
        <is>
          <t>P통신</t>
        </is>
      </c>
      <c r="M2604" s="9">
        <f>IF($A2604="","",VALUE($A2604&amp;"")*12+VALUE($B2604&amp;""))</f>
        <v/>
      </c>
      <c r="N2604" s="64">
        <f>IF($A2604="","",IFERROR(INDEX(부서매핑!$C$5:$C$504,MATCH($G2604&amp;"",부서매핑!$A$5:$A$504,0)),"미매핑"))</f>
        <v/>
      </c>
      <c r="O2604" s="9">
        <f>IF($A2604="","",N2604&amp;"|"&amp;$F2604)</f>
        <v/>
      </c>
      <c r="P2604" s="94">
        <f>IF($A2604="",0,$H2604*설정!$C$23)</f>
        <v/>
      </c>
      <c r="Q2604" s="64">
        <f>IF($A2604="","",IF(O2604&lt;&gt;원인분석!$C$9,"",IF(AND(M2604&gt;=원인분석!$C$10,M2604&lt;=원인분석!$C$11),"당기",IF(AND(M2604&gt;=원인분석!$C$12,M2604&lt;=원인분석!$C$13),"비교",""))))</f>
        <v/>
      </c>
      <c r="R2604" s="9">
        <f>IF(Q2604="","",$K2604&amp;"")</f>
        <v/>
      </c>
      <c r="S2604" s="9">
        <f>IF(Q2604="","",IF(MATCH(R2604,$R$5:$R$100000,0)=ROW()-4,ROW(),""))</f>
        <v/>
      </c>
      <c r="T2604" s="9">
        <f>IF(Q2604="당기",ABS(P2604)+ROW()/1000000000,"")</f>
        <v/>
      </c>
      <c r="U2604" s="9">
        <f>IF(Q2604="비교",ABS(P2604)+ROW()/1000000000,"")</f>
        <v/>
      </c>
      <c r="V2604" s="64">
        <f>IF($A2604="","",IF(COUNTIF(변동분석!$E$7:$E$506,O2604)&gt;0,"Y","N"))</f>
        <v/>
      </c>
      <c r="W2604" s="64">
        <f>IF($A2604="","",IFERROR(INDEX(계정매핑!$D$5:$D$504,MATCH($F2604&amp;"",계정매핑!$A$5:$A$504,0)),"미매핑"))</f>
        <v/>
      </c>
      <c r="X2604" s="9">
        <f>IF($A2604="","",$F2604&amp;"")</f>
        <v/>
      </c>
      <c r="Y2604" s="94">
        <f>IF($A2604="",0,IF(AE2604="직접",IF(AF2604="비귀속",$P2604,0),$P2604*(1-AG2604)*IFERROR(INDEX(계정대체기준!$F$20:$F$49,MATCH($N2604,계정대체기준!$A$20:$A$49,0)),1)))</f>
        <v/>
      </c>
      <c r="Z2604" s="94">
        <f>IF($A2604="",0,IF(AE2604="직접",IF(AF2604="신계약비",$P2604,0),$P2604*(1-AG2604)*IFERROR(INDEX(계정대체기준!$C$20:$C$49,MATCH($N2604,계정대체기준!$A$20:$A$49,0)),0)))</f>
        <v/>
      </c>
      <c r="AA2604" s="94">
        <f>IF($A2604="",0,IF(AE2604="직접",IF(OR(AF2604="유지비",AF2604="손해조사비"),$P2604,0),$P2604*(1-AG2604)*IFERROR(INDEX(계정대체기준!$D$20:$D$49,MATCH($N2604,계정대체기준!$A$20:$A$49,0)),0)))</f>
        <v/>
      </c>
      <c r="AB2604" s="94">
        <f>IF($A2604="",0,IF(AE2604="직접",IF(AF2604="수금비",$P2604,0),$P2604*(1-AG2604)*IFERROR(INDEX(계정대체기준!$E$20:$E$49,MATCH($N2604,계정대체기준!$A$20:$A$49,0)),0)))</f>
        <v/>
      </c>
      <c r="AC2604" s="9">
        <f>IF(AND($A2604&lt;&gt;"",M2604=설정!$C$20,Z2604&gt;0),Z2604+ROW()/1000000000,"")</f>
        <v/>
      </c>
      <c r="AD2604" s="94">
        <f>IF($A2604="",0,$P2604*AG2604)</f>
        <v/>
      </c>
      <c r="AE2604" s="64">
        <f>IF($A2604="","",IFERROR(INDEX(계정매핑!$E$5:$E$504,MATCH($F2604&amp;"",계정매핑!$A$5:$A$504,0))&amp;"","공통비"))</f>
        <v/>
      </c>
      <c r="AF2604" s="64">
        <f>IF($A2604="","",IF(AE2604="직접",IFERROR(INDEX(계정매핑!$F$5:$F$504,MATCH($F2604&amp;"",계정매핑!$A$5:$A$504,0))&amp;"","비귀속"),""))</f>
        <v/>
      </c>
      <c r="AG2604" s="96">
        <f>IF($A2604="",0,IF(AND(AE2604&lt;&gt;"직접",IFERROR(INDEX(계정매핑!$G$5:$G$504,MATCH($F2604&amp;"",계정매핑!$A$5:$A$504,0))&amp;"","")="유지비",COUNTIF(계정대체기준!$A$6:$A$15,$N2604)&gt;0),IFERROR(INDEX(계정대체기준!$E$6:$E$15,MATCH(VALUE($A2604&amp;""),계정대체기준!$D$6:$D$15,0)),0),0))</f>
        <v/>
      </c>
      <c r="AH2604" s="64">
        <f>IF($A2604="","",IF(AD2604=0,"",IF(OR(COUNTIF(계정대체기준!$A$77:$A$86,$N2604)&gt;0,ISNUMBER(MATCH($X2604,계정대체기준!$D$77:$D$86,0)),ISNUMBER(MATCH($F2604,계정대체기준!$D$77:$D$86,0))),"Y","N")))</f>
        <v/>
      </c>
    </row>
    <row r="2605">
      <c r="A2605" s="92" t="n">
        <v>2025</v>
      </c>
      <c r="B2605" s="92" t="n">
        <v>12</v>
      </c>
      <c r="C2605" s="92" t="inlineStr">
        <is>
          <t>5100002601</t>
        </is>
      </c>
      <c r="D2605" s="95" t="n">
        <v>46006</v>
      </c>
      <c r="E2605" s="92" t="inlineStr">
        <is>
          <t>KR</t>
        </is>
      </c>
      <c r="F2605" s="92" t="n">
        <v>62301000</v>
      </c>
      <c r="G2605" s="92" t="n">
        <v>1602</v>
      </c>
      <c r="H2605" s="93" t="n">
        <v>402000</v>
      </c>
      <c r="I2605" s="92" t="inlineStr">
        <is>
          <t>12월 소모품 구입 - Q오피스</t>
        </is>
      </c>
      <c r="J2605" s="92" t="inlineStr">
        <is>
          <t>V10003</t>
        </is>
      </c>
      <c r="K2605" s="92" t="inlineStr">
        <is>
          <t>Q오피스</t>
        </is>
      </c>
      <c r="M2605" s="9">
        <f>IF($A2605="","",VALUE($A2605&amp;"")*12+VALUE($B2605&amp;""))</f>
        <v/>
      </c>
      <c r="N2605" s="64">
        <f>IF($A2605="","",IFERROR(INDEX(부서매핑!$C$5:$C$504,MATCH($G2605&amp;"",부서매핑!$A$5:$A$504,0)),"미매핑"))</f>
        <v/>
      </c>
      <c r="O2605" s="9">
        <f>IF($A2605="","",N2605&amp;"|"&amp;$F2605)</f>
        <v/>
      </c>
      <c r="P2605" s="94">
        <f>IF($A2605="",0,$H2605*설정!$C$23)</f>
        <v/>
      </c>
      <c r="Q2605" s="64">
        <f>IF($A2605="","",IF(O2605&lt;&gt;원인분석!$C$9,"",IF(AND(M2605&gt;=원인분석!$C$10,M2605&lt;=원인분석!$C$11),"당기",IF(AND(M2605&gt;=원인분석!$C$12,M2605&lt;=원인분석!$C$13),"비교",""))))</f>
        <v/>
      </c>
      <c r="R2605" s="9">
        <f>IF(Q2605="","",$K2605&amp;"")</f>
        <v/>
      </c>
      <c r="S2605" s="9">
        <f>IF(Q2605="","",IF(MATCH(R2605,$R$5:$R$100000,0)=ROW()-4,ROW(),""))</f>
        <v/>
      </c>
      <c r="T2605" s="9">
        <f>IF(Q2605="당기",ABS(P2605)+ROW()/1000000000,"")</f>
        <v/>
      </c>
      <c r="U2605" s="9">
        <f>IF(Q2605="비교",ABS(P2605)+ROW()/1000000000,"")</f>
        <v/>
      </c>
      <c r="V2605" s="64">
        <f>IF($A2605="","",IF(COUNTIF(변동분석!$E$7:$E$506,O2605)&gt;0,"Y","N"))</f>
        <v/>
      </c>
      <c r="W2605" s="64">
        <f>IF($A2605="","",IFERROR(INDEX(계정매핑!$D$5:$D$504,MATCH($F2605&amp;"",계정매핑!$A$5:$A$504,0)),"미매핑"))</f>
        <v/>
      </c>
      <c r="X2605" s="9">
        <f>IF($A2605="","",$F2605&amp;"")</f>
        <v/>
      </c>
      <c r="Y2605" s="94">
        <f>IF($A2605="",0,IF(AE2605="직접",IF(AF2605="비귀속",$P2605,0),$P2605*(1-AG2605)*IFERROR(INDEX(계정대체기준!$F$20:$F$49,MATCH($N2605,계정대체기준!$A$20:$A$49,0)),1)))</f>
        <v/>
      </c>
      <c r="Z2605" s="94">
        <f>IF($A2605="",0,IF(AE2605="직접",IF(AF2605="신계약비",$P2605,0),$P2605*(1-AG2605)*IFERROR(INDEX(계정대체기준!$C$20:$C$49,MATCH($N2605,계정대체기준!$A$20:$A$49,0)),0)))</f>
        <v/>
      </c>
      <c r="AA2605" s="94">
        <f>IF($A2605="",0,IF(AE2605="직접",IF(OR(AF2605="유지비",AF2605="손해조사비"),$P2605,0),$P2605*(1-AG2605)*IFERROR(INDEX(계정대체기준!$D$20:$D$49,MATCH($N2605,계정대체기준!$A$20:$A$49,0)),0)))</f>
        <v/>
      </c>
      <c r="AB2605" s="94">
        <f>IF($A2605="",0,IF(AE2605="직접",IF(AF2605="수금비",$P2605,0),$P2605*(1-AG2605)*IFERROR(INDEX(계정대체기준!$E$20:$E$49,MATCH($N2605,계정대체기준!$A$20:$A$49,0)),0)))</f>
        <v/>
      </c>
      <c r="AC2605" s="9">
        <f>IF(AND($A2605&lt;&gt;"",M2605=설정!$C$20,Z2605&gt;0),Z2605+ROW()/1000000000,"")</f>
        <v/>
      </c>
      <c r="AD2605" s="94">
        <f>IF($A2605="",0,$P2605*AG2605)</f>
        <v/>
      </c>
      <c r="AE2605" s="64">
        <f>IF($A2605="","",IFERROR(INDEX(계정매핑!$E$5:$E$504,MATCH($F2605&amp;"",계정매핑!$A$5:$A$504,0))&amp;"","공통비"))</f>
        <v/>
      </c>
      <c r="AF2605" s="64">
        <f>IF($A2605="","",IF(AE2605="직접",IFERROR(INDEX(계정매핑!$F$5:$F$504,MATCH($F2605&amp;"",계정매핑!$A$5:$A$504,0))&amp;"","비귀속"),""))</f>
        <v/>
      </c>
      <c r="AG2605" s="96">
        <f>IF($A2605="",0,IF(AND(AE2605&lt;&gt;"직접",IFERROR(INDEX(계정매핑!$G$5:$G$504,MATCH($F2605&amp;"",계정매핑!$A$5:$A$504,0))&amp;"","")="유지비",COUNTIF(계정대체기준!$A$6:$A$15,$N2605)&gt;0),IFERROR(INDEX(계정대체기준!$E$6:$E$15,MATCH(VALUE($A2605&amp;""),계정대체기준!$D$6:$D$15,0)),0),0))</f>
        <v/>
      </c>
      <c r="AH2605" s="64">
        <f>IF($A2605="","",IF(AD2605=0,"",IF(OR(COUNTIF(계정대체기준!$A$77:$A$86,$N2605)&gt;0,ISNUMBER(MATCH($X2605,계정대체기준!$D$77:$D$86,0)),ISNUMBER(MATCH($F2605,계정대체기준!$D$77:$D$86,0))),"Y","N")))</f>
        <v/>
      </c>
    </row>
    <row r="2606">
      <c r="A2606" s="92" t="n">
        <v>2025</v>
      </c>
      <c r="B2606" s="92" t="n">
        <v>12</v>
      </c>
      <c r="C2606" s="92" t="inlineStr">
        <is>
          <t>5100002602</t>
        </is>
      </c>
      <c r="D2606" s="95" t="n">
        <v>46006</v>
      </c>
      <c r="E2606" s="92" t="inlineStr">
        <is>
          <t>KR</t>
        </is>
      </c>
      <c r="F2606" s="92" t="n">
        <v>62301000</v>
      </c>
      <c r="G2606" s="92" t="n">
        <v>1701</v>
      </c>
      <c r="H2606" s="93" t="n">
        <v>256000</v>
      </c>
      <c r="I2606" s="92" t="inlineStr">
        <is>
          <t>12월 소모품 구입 - Q오피스</t>
        </is>
      </c>
      <c r="J2606" s="92" t="inlineStr">
        <is>
          <t>V10003</t>
        </is>
      </c>
      <c r="K2606" s="92" t="inlineStr">
        <is>
          <t>Q오피스</t>
        </is>
      </c>
      <c r="M2606" s="9">
        <f>IF($A2606="","",VALUE($A2606&amp;"")*12+VALUE($B2606&amp;""))</f>
        <v/>
      </c>
      <c r="N2606" s="64">
        <f>IF($A2606="","",IFERROR(INDEX(부서매핑!$C$5:$C$504,MATCH($G2606&amp;"",부서매핑!$A$5:$A$504,0)),"미매핑"))</f>
        <v/>
      </c>
      <c r="O2606" s="9">
        <f>IF($A2606="","",N2606&amp;"|"&amp;$F2606)</f>
        <v/>
      </c>
      <c r="P2606" s="94">
        <f>IF($A2606="",0,$H2606*설정!$C$23)</f>
        <v/>
      </c>
      <c r="Q2606" s="64">
        <f>IF($A2606="","",IF(O2606&lt;&gt;원인분석!$C$9,"",IF(AND(M2606&gt;=원인분석!$C$10,M2606&lt;=원인분석!$C$11),"당기",IF(AND(M2606&gt;=원인분석!$C$12,M2606&lt;=원인분석!$C$13),"비교",""))))</f>
        <v/>
      </c>
      <c r="R2606" s="9">
        <f>IF(Q2606="","",$K2606&amp;"")</f>
        <v/>
      </c>
      <c r="S2606" s="9">
        <f>IF(Q2606="","",IF(MATCH(R2606,$R$5:$R$100000,0)=ROW()-4,ROW(),""))</f>
        <v/>
      </c>
      <c r="T2606" s="9">
        <f>IF(Q2606="당기",ABS(P2606)+ROW()/1000000000,"")</f>
        <v/>
      </c>
      <c r="U2606" s="9">
        <f>IF(Q2606="비교",ABS(P2606)+ROW()/1000000000,"")</f>
        <v/>
      </c>
      <c r="V2606" s="64">
        <f>IF($A2606="","",IF(COUNTIF(변동분석!$E$7:$E$506,O2606)&gt;0,"Y","N"))</f>
        <v/>
      </c>
      <c r="W2606" s="64">
        <f>IF($A2606="","",IFERROR(INDEX(계정매핑!$D$5:$D$504,MATCH($F2606&amp;"",계정매핑!$A$5:$A$504,0)),"미매핑"))</f>
        <v/>
      </c>
      <c r="X2606" s="9">
        <f>IF($A2606="","",$F2606&amp;"")</f>
        <v/>
      </c>
      <c r="Y2606" s="94">
        <f>IF($A2606="",0,IF(AE2606="직접",IF(AF2606="비귀속",$P2606,0),$P2606*(1-AG2606)*IFERROR(INDEX(계정대체기준!$F$20:$F$49,MATCH($N2606,계정대체기준!$A$20:$A$49,0)),1)))</f>
        <v/>
      </c>
      <c r="Z2606" s="94">
        <f>IF($A2606="",0,IF(AE2606="직접",IF(AF2606="신계약비",$P2606,0),$P2606*(1-AG2606)*IFERROR(INDEX(계정대체기준!$C$20:$C$49,MATCH($N2606,계정대체기준!$A$20:$A$49,0)),0)))</f>
        <v/>
      </c>
      <c r="AA2606" s="94">
        <f>IF($A2606="",0,IF(AE2606="직접",IF(OR(AF2606="유지비",AF2606="손해조사비"),$P2606,0),$P2606*(1-AG2606)*IFERROR(INDEX(계정대체기준!$D$20:$D$49,MATCH($N2606,계정대체기준!$A$20:$A$49,0)),0)))</f>
        <v/>
      </c>
      <c r="AB2606" s="94">
        <f>IF($A2606="",0,IF(AE2606="직접",IF(AF2606="수금비",$P2606,0),$P2606*(1-AG2606)*IFERROR(INDEX(계정대체기준!$E$20:$E$49,MATCH($N2606,계정대체기준!$A$20:$A$49,0)),0)))</f>
        <v/>
      </c>
      <c r="AC2606" s="9">
        <f>IF(AND($A2606&lt;&gt;"",M2606=설정!$C$20,Z2606&gt;0),Z2606+ROW()/1000000000,"")</f>
        <v/>
      </c>
      <c r="AD2606" s="94">
        <f>IF($A2606="",0,$P2606*AG2606)</f>
        <v/>
      </c>
      <c r="AE2606" s="64">
        <f>IF($A2606="","",IFERROR(INDEX(계정매핑!$E$5:$E$504,MATCH($F2606&amp;"",계정매핑!$A$5:$A$504,0))&amp;"","공통비"))</f>
        <v/>
      </c>
      <c r="AF2606" s="64">
        <f>IF($A2606="","",IF(AE2606="직접",IFERROR(INDEX(계정매핑!$F$5:$F$504,MATCH($F2606&amp;"",계정매핑!$A$5:$A$504,0))&amp;"","비귀속"),""))</f>
        <v/>
      </c>
      <c r="AG2606" s="96">
        <f>IF($A2606="",0,IF(AND(AE2606&lt;&gt;"직접",IFERROR(INDEX(계정매핑!$G$5:$G$504,MATCH($F2606&amp;"",계정매핑!$A$5:$A$504,0))&amp;"","")="유지비",COUNTIF(계정대체기준!$A$6:$A$15,$N2606)&gt;0),IFERROR(INDEX(계정대체기준!$E$6:$E$15,MATCH(VALUE($A2606&amp;""),계정대체기준!$D$6:$D$15,0)),0),0))</f>
        <v/>
      </c>
      <c r="AH2606" s="64">
        <f>IF($A2606="","",IF(AD2606=0,"",IF(OR(COUNTIF(계정대체기준!$A$77:$A$86,$N2606)&gt;0,ISNUMBER(MATCH($X2606,계정대체기준!$D$77:$D$86,0)),ISNUMBER(MATCH($F2606,계정대체기준!$D$77:$D$86,0))),"Y","N")))</f>
        <v/>
      </c>
    </row>
    <row r="2607">
      <c r="A2607" s="92" t="n">
        <v>2025</v>
      </c>
      <c r="B2607" s="92" t="n">
        <v>12</v>
      </c>
      <c r="C2607" s="92" t="inlineStr">
        <is>
          <t>5100002603</t>
        </is>
      </c>
      <c r="D2607" s="95" t="n">
        <v>46006</v>
      </c>
      <c r="E2607" s="92" t="inlineStr">
        <is>
          <t>KR</t>
        </is>
      </c>
      <c r="F2607" s="92" t="n">
        <v>62901000</v>
      </c>
      <c r="G2607" s="92" t="n">
        <v>1951</v>
      </c>
      <c r="H2607" s="93" t="n">
        <v>3649000</v>
      </c>
      <c r="I2607" s="92" t="inlineStr">
        <is>
          <t>12월 자문 수수료 - K회계법인</t>
        </is>
      </c>
      <c r="J2607" s="92" t="inlineStr">
        <is>
          <t>V10011</t>
        </is>
      </c>
      <c r="K2607" s="92" t="inlineStr">
        <is>
          <t>K회계법인</t>
        </is>
      </c>
      <c r="M2607" s="9">
        <f>IF($A2607="","",VALUE($A2607&amp;"")*12+VALUE($B2607&amp;""))</f>
        <v/>
      </c>
      <c r="N2607" s="64">
        <f>IF($A2607="","",IFERROR(INDEX(부서매핑!$C$5:$C$504,MATCH($G2607&amp;"",부서매핑!$A$5:$A$504,0)),"미매핑"))</f>
        <v/>
      </c>
      <c r="O2607" s="9">
        <f>IF($A2607="","",N2607&amp;"|"&amp;$F2607)</f>
        <v/>
      </c>
      <c r="P2607" s="94">
        <f>IF($A2607="",0,$H2607*설정!$C$23)</f>
        <v/>
      </c>
      <c r="Q2607" s="64">
        <f>IF($A2607="","",IF(O2607&lt;&gt;원인분석!$C$9,"",IF(AND(M2607&gt;=원인분석!$C$10,M2607&lt;=원인분석!$C$11),"당기",IF(AND(M2607&gt;=원인분석!$C$12,M2607&lt;=원인분석!$C$13),"비교",""))))</f>
        <v/>
      </c>
      <c r="R2607" s="9">
        <f>IF(Q2607="","",$K2607&amp;"")</f>
        <v/>
      </c>
      <c r="S2607" s="9">
        <f>IF(Q2607="","",IF(MATCH(R2607,$R$5:$R$100000,0)=ROW()-4,ROW(),""))</f>
        <v/>
      </c>
      <c r="T2607" s="9">
        <f>IF(Q2607="당기",ABS(P2607)+ROW()/1000000000,"")</f>
        <v/>
      </c>
      <c r="U2607" s="9">
        <f>IF(Q2607="비교",ABS(P2607)+ROW()/1000000000,"")</f>
        <v/>
      </c>
      <c r="V2607" s="64">
        <f>IF($A2607="","",IF(COUNTIF(변동분석!$E$7:$E$506,O2607)&gt;0,"Y","N"))</f>
        <v/>
      </c>
      <c r="W2607" s="64">
        <f>IF($A2607="","",IFERROR(INDEX(계정매핑!$D$5:$D$504,MATCH($F2607&amp;"",계정매핑!$A$5:$A$504,0)),"미매핑"))</f>
        <v/>
      </c>
      <c r="X2607" s="9">
        <f>IF($A2607="","",$F2607&amp;"")</f>
        <v/>
      </c>
      <c r="Y2607" s="94">
        <f>IF($A2607="",0,IF(AE2607="직접",IF(AF2607="비귀속",$P2607,0),$P2607*(1-AG2607)*IFERROR(INDEX(계정대체기준!$F$20:$F$49,MATCH($N2607,계정대체기준!$A$20:$A$49,0)),1)))</f>
        <v/>
      </c>
      <c r="Z2607" s="94">
        <f>IF($A2607="",0,IF(AE2607="직접",IF(AF2607="신계약비",$P2607,0),$P2607*(1-AG2607)*IFERROR(INDEX(계정대체기준!$C$20:$C$49,MATCH($N2607,계정대체기준!$A$20:$A$49,0)),0)))</f>
        <v/>
      </c>
      <c r="AA2607" s="94">
        <f>IF($A2607="",0,IF(AE2607="직접",IF(OR(AF2607="유지비",AF2607="손해조사비"),$P2607,0),$P2607*(1-AG2607)*IFERROR(INDEX(계정대체기준!$D$20:$D$49,MATCH($N2607,계정대체기준!$A$20:$A$49,0)),0)))</f>
        <v/>
      </c>
      <c r="AB2607" s="94">
        <f>IF($A2607="",0,IF(AE2607="직접",IF(AF2607="수금비",$P2607,0),$P2607*(1-AG2607)*IFERROR(INDEX(계정대체기준!$E$20:$E$49,MATCH($N2607,계정대체기준!$A$20:$A$49,0)),0)))</f>
        <v/>
      </c>
      <c r="AC2607" s="9">
        <f>IF(AND($A2607&lt;&gt;"",M2607=설정!$C$20,Z2607&gt;0),Z2607+ROW()/1000000000,"")</f>
        <v/>
      </c>
      <c r="AD2607" s="94">
        <f>IF($A2607="",0,$P2607*AG2607)</f>
        <v/>
      </c>
      <c r="AE2607" s="64">
        <f>IF($A2607="","",IFERROR(INDEX(계정매핑!$E$5:$E$504,MATCH($F2607&amp;"",계정매핑!$A$5:$A$504,0))&amp;"","공통비"))</f>
        <v/>
      </c>
      <c r="AF2607" s="64">
        <f>IF($A2607="","",IF(AE2607="직접",IFERROR(INDEX(계정매핑!$F$5:$F$504,MATCH($F2607&amp;"",계정매핑!$A$5:$A$504,0))&amp;"","비귀속"),""))</f>
        <v/>
      </c>
      <c r="AG2607" s="96">
        <f>IF($A2607="",0,IF(AND(AE2607&lt;&gt;"직접",IFERROR(INDEX(계정매핑!$G$5:$G$504,MATCH($F2607&amp;"",계정매핑!$A$5:$A$504,0))&amp;"","")="유지비",COUNTIF(계정대체기준!$A$6:$A$15,$N2607)&gt;0),IFERROR(INDEX(계정대체기준!$E$6:$E$15,MATCH(VALUE($A2607&amp;""),계정대체기준!$D$6:$D$15,0)),0),0))</f>
        <v/>
      </c>
      <c r="AH2607" s="64">
        <f>IF($A2607="","",IF(AD2607=0,"",IF(OR(COUNTIF(계정대체기준!$A$77:$A$86,$N2607)&gt;0,ISNUMBER(MATCH($X2607,계정대체기준!$D$77:$D$86,0)),ISNUMBER(MATCH($F2607,계정대체기준!$D$77:$D$86,0))),"Y","N")))</f>
        <v/>
      </c>
    </row>
    <row r="2608">
      <c r="A2608" s="92" t="n">
        <v>2025</v>
      </c>
      <c r="B2608" s="92" t="n">
        <v>12</v>
      </c>
      <c r="C2608" s="92" t="inlineStr">
        <is>
          <t>5100002604</t>
        </is>
      </c>
      <c r="D2608" s="95" t="n">
        <v>46007</v>
      </c>
      <c r="E2608" s="92" t="inlineStr">
        <is>
          <t>KR</t>
        </is>
      </c>
      <c r="F2608" s="92" t="n">
        <v>62101000</v>
      </c>
      <c r="G2608" s="92" t="n">
        <v>1301</v>
      </c>
      <c r="H2608" s="93" t="n">
        <v>395000</v>
      </c>
      <c r="I2608" s="92" t="inlineStr">
        <is>
          <t>12월 국내출장 - L여행사</t>
        </is>
      </c>
      <c r="J2608" s="92" t="inlineStr">
        <is>
          <t>V10018</t>
        </is>
      </c>
      <c r="K2608" s="92" t="inlineStr">
        <is>
          <t>L여행사</t>
        </is>
      </c>
      <c r="M2608" s="9">
        <f>IF($A2608="","",VALUE($A2608&amp;"")*12+VALUE($B2608&amp;""))</f>
        <v/>
      </c>
      <c r="N2608" s="64">
        <f>IF($A2608="","",IFERROR(INDEX(부서매핑!$C$5:$C$504,MATCH($G2608&amp;"",부서매핑!$A$5:$A$504,0)),"미매핑"))</f>
        <v/>
      </c>
      <c r="O2608" s="9">
        <f>IF($A2608="","",N2608&amp;"|"&amp;$F2608)</f>
        <v/>
      </c>
      <c r="P2608" s="94">
        <f>IF($A2608="",0,$H2608*설정!$C$23)</f>
        <v/>
      </c>
      <c r="Q2608" s="64">
        <f>IF($A2608="","",IF(O2608&lt;&gt;원인분석!$C$9,"",IF(AND(M2608&gt;=원인분석!$C$10,M2608&lt;=원인분석!$C$11),"당기",IF(AND(M2608&gt;=원인분석!$C$12,M2608&lt;=원인분석!$C$13),"비교",""))))</f>
        <v/>
      </c>
      <c r="R2608" s="9">
        <f>IF(Q2608="","",$K2608&amp;"")</f>
        <v/>
      </c>
      <c r="S2608" s="9">
        <f>IF(Q2608="","",IF(MATCH(R2608,$R$5:$R$100000,0)=ROW()-4,ROW(),""))</f>
        <v/>
      </c>
      <c r="T2608" s="9">
        <f>IF(Q2608="당기",ABS(P2608)+ROW()/1000000000,"")</f>
        <v/>
      </c>
      <c r="U2608" s="9">
        <f>IF(Q2608="비교",ABS(P2608)+ROW()/1000000000,"")</f>
        <v/>
      </c>
      <c r="V2608" s="64">
        <f>IF($A2608="","",IF(COUNTIF(변동분석!$E$7:$E$506,O2608)&gt;0,"Y","N"))</f>
        <v/>
      </c>
      <c r="W2608" s="64">
        <f>IF($A2608="","",IFERROR(INDEX(계정매핑!$D$5:$D$504,MATCH($F2608&amp;"",계정매핑!$A$5:$A$504,0)),"미매핑"))</f>
        <v/>
      </c>
      <c r="X2608" s="9">
        <f>IF($A2608="","",$F2608&amp;"")</f>
        <v/>
      </c>
      <c r="Y2608" s="94">
        <f>IF($A2608="",0,IF(AE2608="직접",IF(AF2608="비귀속",$P2608,0),$P2608*(1-AG2608)*IFERROR(INDEX(계정대체기준!$F$20:$F$49,MATCH($N2608,계정대체기준!$A$20:$A$49,0)),1)))</f>
        <v/>
      </c>
      <c r="Z2608" s="94">
        <f>IF($A2608="",0,IF(AE2608="직접",IF(AF2608="신계약비",$P2608,0),$P2608*(1-AG2608)*IFERROR(INDEX(계정대체기준!$C$20:$C$49,MATCH($N2608,계정대체기준!$A$20:$A$49,0)),0)))</f>
        <v/>
      </c>
      <c r="AA2608" s="94">
        <f>IF($A2608="",0,IF(AE2608="직접",IF(OR(AF2608="유지비",AF2608="손해조사비"),$P2608,0),$P2608*(1-AG2608)*IFERROR(INDEX(계정대체기준!$D$20:$D$49,MATCH($N2608,계정대체기준!$A$20:$A$49,0)),0)))</f>
        <v/>
      </c>
      <c r="AB2608" s="94">
        <f>IF($A2608="",0,IF(AE2608="직접",IF(AF2608="수금비",$P2608,0),$P2608*(1-AG2608)*IFERROR(INDEX(계정대체기준!$E$20:$E$49,MATCH($N2608,계정대체기준!$A$20:$A$49,0)),0)))</f>
        <v/>
      </c>
      <c r="AC2608" s="9">
        <f>IF(AND($A2608&lt;&gt;"",M2608=설정!$C$20,Z2608&gt;0),Z2608+ROW()/1000000000,"")</f>
        <v/>
      </c>
      <c r="AD2608" s="94">
        <f>IF($A2608="",0,$P2608*AG2608)</f>
        <v/>
      </c>
      <c r="AE2608" s="64">
        <f>IF($A2608="","",IFERROR(INDEX(계정매핑!$E$5:$E$504,MATCH($F2608&amp;"",계정매핑!$A$5:$A$504,0))&amp;"","공통비"))</f>
        <v/>
      </c>
      <c r="AF2608" s="64">
        <f>IF($A2608="","",IF(AE2608="직접",IFERROR(INDEX(계정매핑!$F$5:$F$504,MATCH($F2608&amp;"",계정매핑!$A$5:$A$504,0))&amp;"","비귀속"),""))</f>
        <v/>
      </c>
      <c r="AG2608" s="96">
        <f>IF($A2608="",0,IF(AND(AE2608&lt;&gt;"직접",IFERROR(INDEX(계정매핑!$G$5:$G$504,MATCH($F2608&amp;"",계정매핑!$A$5:$A$504,0))&amp;"","")="유지비",COUNTIF(계정대체기준!$A$6:$A$15,$N2608)&gt;0),IFERROR(INDEX(계정대체기준!$E$6:$E$15,MATCH(VALUE($A2608&amp;""),계정대체기준!$D$6:$D$15,0)),0),0))</f>
        <v/>
      </c>
      <c r="AH2608" s="64">
        <f>IF($A2608="","",IF(AD2608=0,"",IF(OR(COUNTIF(계정대체기준!$A$77:$A$86,$N2608)&gt;0,ISNUMBER(MATCH($X2608,계정대체기준!$D$77:$D$86,0)),ISNUMBER(MATCH($F2608,계정대체기준!$D$77:$D$86,0))),"Y","N")))</f>
        <v/>
      </c>
    </row>
    <row r="2609">
      <c r="A2609" s="92" t="n">
        <v>2025</v>
      </c>
      <c r="B2609" s="92" t="n">
        <v>12</v>
      </c>
      <c r="C2609" s="92" t="inlineStr">
        <is>
          <t>5100002605</t>
        </is>
      </c>
      <c r="D2609" s="95" t="n">
        <v>46007</v>
      </c>
      <c r="E2609" s="92" t="inlineStr">
        <is>
          <t>KR</t>
        </is>
      </c>
      <c r="F2609" s="92" t="n">
        <v>62101000</v>
      </c>
      <c r="G2609" s="92" t="n">
        <v>1601</v>
      </c>
      <c r="H2609" s="93" t="n">
        <v>790000</v>
      </c>
      <c r="I2609" s="92" t="inlineStr">
        <is>
          <t>12월 국내출장 - (법인카드)</t>
        </is>
      </c>
      <c r="J2609" s="92" t="inlineStr">
        <is>
          <t>V10010</t>
        </is>
      </c>
      <c r="K2609" s="92" t="inlineStr">
        <is>
          <t>(법인카드)</t>
        </is>
      </c>
      <c r="M2609" s="9">
        <f>IF($A2609="","",VALUE($A2609&amp;"")*12+VALUE($B2609&amp;""))</f>
        <v/>
      </c>
      <c r="N2609" s="64">
        <f>IF($A2609="","",IFERROR(INDEX(부서매핑!$C$5:$C$504,MATCH($G2609&amp;"",부서매핑!$A$5:$A$504,0)),"미매핑"))</f>
        <v/>
      </c>
      <c r="O2609" s="9">
        <f>IF($A2609="","",N2609&amp;"|"&amp;$F2609)</f>
        <v/>
      </c>
      <c r="P2609" s="94">
        <f>IF($A2609="",0,$H2609*설정!$C$23)</f>
        <v/>
      </c>
      <c r="Q2609" s="64">
        <f>IF($A2609="","",IF(O2609&lt;&gt;원인분석!$C$9,"",IF(AND(M2609&gt;=원인분석!$C$10,M2609&lt;=원인분석!$C$11),"당기",IF(AND(M2609&gt;=원인분석!$C$12,M2609&lt;=원인분석!$C$13),"비교",""))))</f>
        <v/>
      </c>
      <c r="R2609" s="9">
        <f>IF(Q2609="","",$K2609&amp;"")</f>
        <v/>
      </c>
      <c r="S2609" s="9">
        <f>IF(Q2609="","",IF(MATCH(R2609,$R$5:$R$100000,0)=ROW()-4,ROW(),""))</f>
        <v/>
      </c>
      <c r="T2609" s="9">
        <f>IF(Q2609="당기",ABS(P2609)+ROW()/1000000000,"")</f>
        <v/>
      </c>
      <c r="U2609" s="9">
        <f>IF(Q2609="비교",ABS(P2609)+ROW()/1000000000,"")</f>
        <v/>
      </c>
      <c r="V2609" s="64">
        <f>IF($A2609="","",IF(COUNTIF(변동분석!$E$7:$E$506,O2609)&gt;0,"Y","N"))</f>
        <v/>
      </c>
      <c r="W2609" s="64">
        <f>IF($A2609="","",IFERROR(INDEX(계정매핑!$D$5:$D$504,MATCH($F2609&amp;"",계정매핑!$A$5:$A$504,0)),"미매핑"))</f>
        <v/>
      </c>
      <c r="X2609" s="9">
        <f>IF($A2609="","",$F2609&amp;"")</f>
        <v/>
      </c>
      <c r="Y2609" s="94">
        <f>IF($A2609="",0,IF(AE2609="직접",IF(AF2609="비귀속",$P2609,0),$P2609*(1-AG2609)*IFERROR(INDEX(계정대체기준!$F$20:$F$49,MATCH($N2609,계정대체기준!$A$20:$A$49,0)),1)))</f>
        <v/>
      </c>
      <c r="Z2609" s="94">
        <f>IF($A2609="",0,IF(AE2609="직접",IF(AF2609="신계약비",$P2609,0),$P2609*(1-AG2609)*IFERROR(INDEX(계정대체기준!$C$20:$C$49,MATCH($N2609,계정대체기준!$A$20:$A$49,0)),0)))</f>
        <v/>
      </c>
      <c r="AA2609" s="94">
        <f>IF($A2609="",0,IF(AE2609="직접",IF(OR(AF2609="유지비",AF2609="손해조사비"),$P2609,0),$P2609*(1-AG2609)*IFERROR(INDEX(계정대체기준!$D$20:$D$49,MATCH($N2609,계정대체기준!$A$20:$A$49,0)),0)))</f>
        <v/>
      </c>
      <c r="AB2609" s="94">
        <f>IF($A2609="",0,IF(AE2609="직접",IF(AF2609="수금비",$P2609,0),$P2609*(1-AG2609)*IFERROR(INDEX(계정대체기준!$E$20:$E$49,MATCH($N2609,계정대체기준!$A$20:$A$49,0)),0)))</f>
        <v/>
      </c>
      <c r="AC2609" s="9">
        <f>IF(AND($A2609&lt;&gt;"",M2609=설정!$C$20,Z2609&gt;0),Z2609+ROW()/1000000000,"")</f>
        <v/>
      </c>
      <c r="AD2609" s="94">
        <f>IF($A2609="",0,$P2609*AG2609)</f>
        <v/>
      </c>
      <c r="AE2609" s="64">
        <f>IF($A2609="","",IFERROR(INDEX(계정매핑!$E$5:$E$504,MATCH($F2609&amp;"",계정매핑!$A$5:$A$504,0))&amp;"","공통비"))</f>
        <v/>
      </c>
      <c r="AF2609" s="64">
        <f>IF($A2609="","",IF(AE2609="직접",IFERROR(INDEX(계정매핑!$F$5:$F$504,MATCH($F2609&amp;"",계정매핑!$A$5:$A$504,0))&amp;"","비귀속"),""))</f>
        <v/>
      </c>
      <c r="AG2609" s="96">
        <f>IF($A2609="",0,IF(AND(AE2609&lt;&gt;"직접",IFERROR(INDEX(계정매핑!$G$5:$G$504,MATCH($F2609&amp;"",계정매핑!$A$5:$A$504,0))&amp;"","")="유지비",COUNTIF(계정대체기준!$A$6:$A$15,$N2609)&gt;0),IFERROR(INDEX(계정대체기준!$E$6:$E$15,MATCH(VALUE($A2609&amp;""),계정대체기준!$D$6:$D$15,0)),0),0))</f>
        <v/>
      </c>
      <c r="AH2609" s="64">
        <f>IF($A2609="","",IF(AD2609=0,"",IF(OR(COUNTIF(계정대체기준!$A$77:$A$86,$N2609)&gt;0,ISNUMBER(MATCH($X2609,계정대체기준!$D$77:$D$86,0)),ISNUMBER(MATCH($F2609,계정대체기준!$D$77:$D$86,0))),"Y","N")))</f>
        <v/>
      </c>
    </row>
    <row r="2610">
      <c r="A2610" s="92" t="n">
        <v>2025</v>
      </c>
      <c r="B2610" s="92" t="n">
        <v>12</v>
      </c>
      <c r="C2610" s="92" t="inlineStr">
        <is>
          <t>5100002606</t>
        </is>
      </c>
      <c r="D2610" s="95" t="n">
        <v>46007</v>
      </c>
      <c r="E2610" s="92" t="inlineStr">
        <is>
          <t>KR</t>
        </is>
      </c>
      <c r="F2610" s="92" t="n">
        <v>62102000</v>
      </c>
      <c r="G2610" s="92" t="n">
        <v>1801</v>
      </c>
      <c r="H2610" s="93" t="n">
        <v>35000</v>
      </c>
      <c r="I2610" s="92" t="inlineStr">
        <is>
          <t>12월 해외출장 - M항공</t>
        </is>
      </c>
      <c r="J2610" s="92" t="inlineStr">
        <is>
          <t>V10001</t>
        </is>
      </c>
      <c r="K2610" s="92" t="inlineStr">
        <is>
          <t>M항공</t>
        </is>
      </c>
      <c r="M2610" s="9">
        <f>IF($A2610="","",VALUE($A2610&amp;"")*12+VALUE($B2610&amp;""))</f>
        <v/>
      </c>
      <c r="N2610" s="64">
        <f>IF($A2610="","",IFERROR(INDEX(부서매핑!$C$5:$C$504,MATCH($G2610&amp;"",부서매핑!$A$5:$A$504,0)),"미매핑"))</f>
        <v/>
      </c>
      <c r="O2610" s="9">
        <f>IF($A2610="","",N2610&amp;"|"&amp;$F2610)</f>
        <v/>
      </c>
      <c r="P2610" s="94">
        <f>IF($A2610="",0,$H2610*설정!$C$23)</f>
        <v/>
      </c>
      <c r="Q2610" s="64">
        <f>IF($A2610="","",IF(O2610&lt;&gt;원인분석!$C$9,"",IF(AND(M2610&gt;=원인분석!$C$10,M2610&lt;=원인분석!$C$11),"당기",IF(AND(M2610&gt;=원인분석!$C$12,M2610&lt;=원인분석!$C$13),"비교",""))))</f>
        <v/>
      </c>
      <c r="R2610" s="9">
        <f>IF(Q2610="","",$K2610&amp;"")</f>
        <v/>
      </c>
      <c r="S2610" s="9">
        <f>IF(Q2610="","",IF(MATCH(R2610,$R$5:$R$100000,0)=ROW()-4,ROW(),""))</f>
        <v/>
      </c>
      <c r="T2610" s="9">
        <f>IF(Q2610="당기",ABS(P2610)+ROW()/1000000000,"")</f>
        <v/>
      </c>
      <c r="U2610" s="9">
        <f>IF(Q2610="비교",ABS(P2610)+ROW()/1000000000,"")</f>
        <v/>
      </c>
      <c r="V2610" s="64">
        <f>IF($A2610="","",IF(COUNTIF(변동분석!$E$7:$E$506,O2610)&gt;0,"Y","N"))</f>
        <v/>
      </c>
      <c r="W2610" s="64">
        <f>IF($A2610="","",IFERROR(INDEX(계정매핑!$D$5:$D$504,MATCH($F2610&amp;"",계정매핑!$A$5:$A$504,0)),"미매핑"))</f>
        <v/>
      </c>
      <c r="X2610" s="9">
        <f>IF($A2610="","",$F2610&amp;"")</f>
        <v/>
      </c>
      <c r="Y2610" s="94">
        <f>IF($A2610="",0,IF(AE2610="직접",IF(AF2610="비귀속",$P2610,0),$P2610*(1-AG2610)*IFERROR(INDEX(계정대체기준!$F$20:$F$49,MATCH($N2610,계정대체기준!$A$20:$A$49,0)),1)))</f>
        <v/>
      </c>
      <c r="Z2610" s="94">
        <f>IF($A2610="",0,IF(AE2610="직접",IF(AF2610="신계약비",$P2610,0),$P2610*(1-AG2610)*IFERROR(INDEX(계정대체기준!$C$20:$C$49,MATCH($N2610,계정대체기준!$A$20:$A$49,0)),0)))</f>
        <v/>
      </c>
      <c r="AA2610" s="94">
        <f>IF($A2610="",0,IF(AE2610="직접",IF(OR(AF2610="유지비",AF2610="손해조사비"),$P2610,0),$P2610*(1-AG2610)*IFERROR(INDEX(계정대체기준!$D$20:$D$49,MATCH($N2610,계정대체기준!$A$20:$A$49,0)),0)))</f>
        <v/>
      </c>
      <c r="AB2610" s="94">
        <f>IF($A2610="",0,IF(AE2610="직접",IF(AF2610="수금비",$P2610,0),$P2610*(1-AG2610)*IFERROR(INDEX(계정대체기준!$E$20:$E$49,MATCH($N2610,계정대체기준!$A$20:$A$49,0)),0)))</f>
        <v/>
      </c>
      <c r="AC2610" s="9">
        <f>IF(AND($A2610&lt;&gt;"",M2610=설정!$C$20,Z2610&gt;0),Z2610+ROW()/1000000000,"")</f>
        <v/>
      </c>
      <c r="AD2610" s="94">
        <f>IF($A2610="",0,$P2610*AG2610)</f>
        <v/>
      </c>
      <c r="AE2610" s="64">
        <f>IF($A2610="","",IFERROR(INDEX(계정매핑!$E$5:$E$504,MATCH($F2610&amp;"",계정매핑!$A$5:$A$504,0))&amp;"","공통비"))</f>
        <v/>
      </c>
      <c r="AF2610" s="64">
        <f>IF($A2610="","",IF(AE2610="직접",IFERROR(INDEX(계정매핑!$F$5:$F$504,MATCH($F2610&amp;"",계정매핑!$A$5:$A$504,0))&amp;"","비귀속"),""))</f>
        <v/>
      </c>
      <c r="AG2610" s="96">
        <f>IF($A2610="",0,IF(AND(AE2610&lt;&gt;"직접",IFERROR(INDEX(계정매핑!$G$5:$G$504,MATCH($F2610&amp;"",계정매핑!$A$5:$A$504,0))&amp;"","")="유지비",COUNTIF(계정대체기준!$A$6:$A$15,$N2610)&gt;0),IFERROR(INDEX(계정대체기준!$E$6:$E$15,MATCH(VALUE($A2610&amp;""),계정대체기준!$D$6:$D$15,0)),0),0))</f>
        <v/>
      </c>
      <c r="AH2610" s="64">
        <f>IF($A2610="","",IF(AD2610=0,"",IF(OR(COUNTIF(계정대체기준!$A$77:$A$86,$N2610)&gt;0,ISNUMBER(MATCH($X2610,계정대체기준!$D$77:$D$86,0)),ISNUMBER(MATCH($F2610,계정대체기준!$D$77:$D$86,0))),"Y","N")))</f>
        <v/>
      </c>
    </row>
    <row r="2611">
      <c r="A2611" s="92" t="n">
        <v>2025</v>
      </c>
      <c r="B2611" s="92" t="n">
        <v>12</v>
      </c>
      <c r="C2611" s="92" t="inlineStr">
        <is>
          <t>5100002607</t>
        </is>
      </c>
      <c r="D2611" s="95" t="n">
        <v>46007</v>
      </c>
      <c r="E2611" s="92" t="inlineStr">
        <is>
          <t>KR</t>
        </is>
      </c>
      <c r="F2611" s="92" t="n">
        <v>62201000</v>
      </c>
      <c r="G2611" s="92" t="n">
        <v>1951</v>
      </c>
      <c r="H2611" s="93" t="n">
        <v>559000</v>
      </c>
      <c r="I2611" s="92" t="inlineStr">
        <is>
          <t>12월 통신요금 - O텔레콤</t>
        </is>
      </c>
      <c r="J2611" s="92" t="inlineStr">
        <is>
          <t>V10002</t>
        </is>
      </c>
      <c r="K2611" s="92" t="inlineStr">
        <is>
          <t>O텔레콤</t>
        </is>
      </c>
      <c r="M2611" s="9">
        <f>IF($A2611="","",VALUE($A2611&amp;"")*12+VALUE($B2611&amp;""))</f>
        <v/>
      </c>
      <c r="N2611" s="64">
        <f>IF($A2611="","",IFERROR(INDEX(부서매핑!$C$5:$C$504,MATCH($G2611&amp;"",부서매핑!$A$5:$A$504,0)),"미매핑"))</f>
        <v/>
      </c>
      <c r="O2611" s="9">
        <f>IF($A2611="","",N2611&amp;"|"&amp;$F2611)</f>
        <v/>
      </c>
      <c r="P2611" s="94">
        <f>IF($A2611="",0,$H2611*설정!$C$23)</f>
        <v/>
      </c>
      <c r="Q2611" s="64">
        <f>IF($A2611="","",IF(O2611&lt;&gt;원인분석!$C$9,"",IF(AND(M2611&gt;=원인분석!$C$10,M2611&lt;=원인분석!$C$11),"당기",IF(AND(M2611&gt;=원인분석!$C$12,M2611&lt;=원인분석!$C$13),"비교",""))))</f>
        <v/>
      </c>
      <c r="R2611" s="9">
        <f>IF(Q2611="","",$K2611&amp;"")</f>
        <v/>
      </c>
      <c r="S2611" s="9">
        <f>IF(Q2611="","",IF(MATCH(R2611,$R$5:$R$100000,0)=ROW()-4,ROW(),""))</f>
        <v/>
      </c>
      <c r="T2611" s="9">
        <f>IF(Q2611="당기",ABS(P2611)+ROW()/1000000000,"")</f>
        <v/>
      </c>
      <c r="U2611" s="9">
        <f>IF(Q2611="비교",ABS(P2611)+ROW()/1000000000,"")</f>
        <v/>
      </c>
      <c r="V2611" s="64">
        <f>IF($A2611="","",IF(COUNTIF(변동분석!$E$7:$E$506,O2611)&gt;0,"Y","N"))</f>
        <v/>
      </c>
      <c r="W2611" s="64">
        <f>IF($A2611="","",IFERROR(INDEX(계정매핑!$D$5:$D$504,MATCH($F2611&amp;"",계정매핑!$A$5:$A$504,0)),"미매핑"))</f>
        <v/>
      </c>
      <c r="X2611" s="9">
        <f>IF($A2611="","",$F2611&amp;"")</f>
        <v/>
      </c>
      <c r="Y2611" s="94">
        <f>IF($A2611="",0,IF(AE2611="직접",IF(AF2611="비귀속",$P2611,0),$P2611*(1-AG2611)*IFERROR(INDEX(계정대체기준!$F$20:$F$49,MATCH($N2611,계정대체기준!$A$20:$A$49,0)),1)))</f>
        <v/>
      </c>
      <c r="Z2611" s="94">
        <f>IF($A2611="",0,IF(AE2611="직접",IF(AF2611="신계약비",$P2611,0),$P2611*(1-AG2611)*IFERROR(INDEX(계정대체기준!$C$20:$C$49,MATCH($N2611,계정대체기준!$A$20:$A$49,0)),0)))</f>
        <v/>
      </c>
      <c r="AA2611" s="94">
        <f>IF($A2611="",0,IF(AE2611="직접",IF(OR(AF2611="유지비",AF2611="손해조사비"),$P2611,0),$P2611*(1-AG2611)*IFERROR(INDEX(계정대체기준!$D$20:$D$49,MATCH($N2611,계정대체기준!$A$20:$A$49,0)),0)))</f>
        <v/>
      </c>
      <c r="AB2611" s="94">
        <f>IF($A2611="",0,IF(AE2611="직접",IF(AF2611="수금비",$P2611,0),$P2611*(1-AG2611)*IFERROR(INDEX(계정대체기준!$E$20:$E$49,MATCH($N2611,계정대체기준!$A$20:$A$49,0)),0)))</f>
        <v/>
      </c>
      <c r="AC2611" s="9">
        <f>IF(AND($A2611&lt;&gt;"",M2611=설정!$C$20,Z2611&gt;0),Z2611+ROW()/1000000000,"")</f>
        <v/>
      </c>
      <c r="AD2611" s="94">
        <f>IF($A2611="",0,$P2611*AG2611)</f>
        <v/>
      </c>
      <c r="AE2611" s="64">
        <f>IF($A2611="","",IFERROR(INDEX(계정매핑!$E$5:$E$504,MATCH($F2611&amp;"",계정매핑!$A$5:$A$504,0))&amp;"","공통비"))</f>
        <v/>
      </c>
      <c r="AF2611" s="64">
        <f>IF($A2611="","",IF(AE2611="직접",IFERROR(INDEX(계정매핑!$F$5:$F$504,MATCH($F2611&amp;"",계정매핑!$A$5:$A$504,0))&amp;"","비귀속"),""))</f>
        <v/>
      </c>
      <c r="AG2611" s="96">
        <f>IF($A2611="",0,IF(AND(AE2611&lt;&gt;"직접",IFERROR(INDEX(계정매핑!$G$5:$G$504,MATCH($F2611&amp;"",계정매핑!$A$5:$A$504,0))&amp;"","")="유지비",COUNTIF(계정대체기준!$A$6:$A$15,$N2611)&gt;0),IFERROR(INDEX(계정대체기준!$E$6:$E$15,MATCH(VALUE($A2611&amp;""),계정대체기준!$D$6:$D$15,0)),0),0))</f>
        <v/>
      </c>
      <c r="AH2611" s="64">
        <f>IF($A2611="","",IF(AD2611=0,"",IF(OR(COUNTIF(계정대체기준!$A$77:$A$86,$N2611)&gt;0,ISNUMBER(MATCH($X2611,계정대체기준!$D$77:$D$86,0)),ISNUMBER(MATCH($F2611,계정대체기준!$D$77:$D$86,0))),"Y","N")))</f>
        <v/>
      </c>
    </row>
    <row r="2612">
      <c r="A2612" s="92" t="n">
        <v>2025</v>
      </c>
      <c r="B2612" s="92" t="n">
        <v>12</v>
      </c>
      <c r="C2612" s="92" t="inlineStr">
        <is>
          <t>5100002608</t>
        </is>
      </c>
      <c r="D2612" s="95" t="n">
        <v>46007</v>
      </c>
      <c r="E2612" s="92" t="inlineStr">
        <is>
          <t>KR</t>
        </is>
      </c>
      <c r="F2612" s="92" t="n">
        <v>62501000</v>
      </c>
      <c r="G2612" s="92" t="n">
        <v>1201</v>
      </c>
      <c r="H2612" s="93" t="n">
        <v>90000</v>
      </c>
      <c r="I2612" s="92" t="inlineStr">
        <is>
          <t>12월 회의 다과 - (법인카드)</t>
        </is>
      </c>
      <c r="J2612" s="92" t="inlineStr">
        <is>
          <t>V10010</t>
        </is>
      </c>
      <c r="K2612" s="92" t="inlineStr">
        <is>
          <t>(법인카드)</t>
        </is>
      </c>
      <c r="M2612" s="9">
        <f>IF($A2612="","",VALUE($A2612&amp;"")*12+VALUE($B2612&amp;""))</f>
        <v/>
      </c>
      <c r="N2612" s="64">
        <f>IF($A2612="","",IFERROR(INDEX(부서매핑!$C$5:$C$504,MATCH($G2612&amp;"",부서매핑!$A$5:$A$504,0)),"미매핑"))</f>
        <v/>
      </c>
      <c r="O2612" s="9">
        <f>IF($A2612="","",N2612&amp;"|"&amp;$F2612)</f>
        <v/>
      </c>
      <c r="P2612" s="94">
        <f>IF($A2612="",0,$H2612*설정!$C$23)</f>
        <v/>
      </c>
      <c r="Q2612" s="64">
        <f>IF($A2612="","",IF(O2612&lt;&gt;원인분석!$C$9,"",IF(AND(M2612&gt;=원인분석!$C$10,M2612&lt;=원인분석!$C$11),"당기",IF(AND(M2612&gt;=원인분석!$C$12,M2612&lt;=원인분석!$C$13),"비교",""))))</f>
        <v/>
      </c>
      <c r="R2612" s="9">
        <f>IF(Q2612="","",$K2612&amp;"")</f>
        <v/>
      </c>
      <c r="S2612" s="9">
        <f>IF(Q2612="","",IF(MATCH(R2612,$R$5:$R$100000,0)=ROW()-4,ROW(),""))</f>
        <v/>
      </c>
      <c r="T2612" s="9">
        <f>IF(Q2612="당기",ABS(P2612)+ROW()/1000000000,"")</f>
        <v/>
      </c>
      <c r="U2612" s="9">
        <f>IF(Q2612="비교",ABS(P2612)+ROW()/1000000000,"")</f>
        <v/>
      </c>
      <c r="V2612" s="64">
        <f>IF($A2612="","",IF(COUNTIF(변동분석!$E$7:$E$506,O2612)&gt;0,"Y","N"))</f>
        <v/>
      </c>
      <c r="W2612" s="64">
        <f>IF($A2612="","",IFERROR(INDEX(계정매핑!$D$5:$D$504,MATCH($F2612&amp;"",계정매핑!$A$5:$A$504,0)),"미매핑"))</f>
        <v/>
      </c>
      <c r="X2612" s="9">
        <f>IF($A2612="","",$F2612&amp;"")</f>
        <v/>
      </c>
      <c r="Y2612" s="94">
        <f>IF($A2612="",0,IF(AE2612="직접",IF(AF2612="비귀속",$P2612,0),$P2612*(1-AG2612)*IFERROR(INDEX(계정대체기준!$F$20:$F$49,MATCH($N2612,계정대체기준!$A$20:$A$49,0)),1)))</f>
        <v/>
      </c>
      <c r="Z2612" s="94">
        <f>IF($A2612="",0,IF(AE2612="직접",IF(AF2612="신계약비",$P2612,0),$P2612*(1-AG2612)*IFERROR(INDEX(계정대체기준!$C$20:$C$49,MATCH($N2612,계정대체기준!$A$20:$A$49,0)),0)))</f>
        <v/>
      </c>
      <c r="AA2612" s="94">
        <f>IF($A2612="",0,IF(AE2612="직접",IF(OR(AF2612="유지비",AF2612="손해조사비"),$P2612,0),$P2612*(1-AG2612)*IFERROR(INDEX(계정대체기준!$D$20:$D$49,MATCH($N2612,계정대체기준!$A$20:$A$49,0)),0)))</f>
        <v/>
      </c>
      <c r="AB2612" s="94">
        <f>IF($A2612="",0,IF(AE2612="직접",IF(AF2612="수금비",$P2612,0),$P2612*(1-AG2612)*IFERROR(INDEX(계정대체기준!$E$20:$E$49,MATCH($N2612,계정대체기준!$A$20:$A$49,0)),0)))</f>
        <v/>
      </c>
      <c r="AC2612" s="9">
        <f>IF(AND($A2612&lt;&gt;"",M2612=설정!$C$20,Z2612&gt;0),Z2612+ROW()/1000000000,"")</f>
        <v/>
      </c>
      <c r="AD2612" s="94">
        <f>IF($A2612="",0,$P2612*AG2612)</f>
        <v/>
      </c>
      <c r="AE2612" s="64">
        <f>IF($A2612="","",IFERROR(INDEX(계정매핑!$E$5:$E$504,MATCH($F2612&amp;"",계정매핑!$A$5:$A$504,0))&amp;"","공통비"))</f>
        <v/>
      </c>
      <c r="AF2612" s="64">
        <f>IF($A2612="","",IF(AE2612="직접",IFERROR(INDEX(계정매핑!$F$5:$F$504,MATCH($F2612&amp;"",계정매핑!$A$5:$A$504,0))&amp;"","비귀속"),""))</f>
        <v/>
      </c>
      <c r="AG2612" s="96">
        <f>IF($A2612="",0,IF(AND(AE2612&lt;&gt;"직접",IFERROR(INDEX(계정매핑!$G$5:$G$504,MATCH($F2612&amp;"",계정매핑!$A$5:$A$504,0))&amp;"","")="유지비",COUNTIF(계정대체기준!$A$6:$A$15,$N2612)&gt;0),IFERROR(INDEX(계정대체기준!$E$6:$E$15,MATCH(VALUE($A2612&amp;""),계정대체기준!$D$6:$D$15,0)),0),0))</f>
        <v/>
      </c>
      <c r="AH2612" s="64">
        <f>IF($A2612="","",IF(AD2612=0,"",IF(OR(COUNTIF(계정대체기준!$A$77:$A$86,$N2612)&gt;0,ISNUMBER(MATCH($X2612,계정대체기준!$D$77:$D$86,0)),ISNUMBER(MATCH($F2612,계정대체기준!$D$77:$D$86,0))),"Y","N")))</f>
        <v/>
      </c>
    </row>
    <row r="2613">
      <c r="A2613" s="92" t="n">
        <v>2025</v>
      </c>
      <c r="B2613" s="92" t="n">
        <v>12</v>
      </c>
      <c r="C2613" s="92" t="inlineStr">
        <is>
          <t>5100002609</t>
        </is>
      </c>
      <c r="D2613" s="95" t="n">
        <v>46007</v>
      </c>
      <c r="E2613" s="92" t="inlineStr">
        <is>
          <t>KR</t>
        </is>
      </c>
      <c r="F2613" s="92" t="n">
        <v>62601000</v>
      </c>
      <c r="G2613" s="92" t="n">
        <v>1301</v>
      </c>
      <c r="H2613" s="93" t="n">
        <v>1848000</v>
      </c>
      <c r="I2613" s="92" t="inlineStr">
        <is>
          <t>12월 업무추진 - (법인카드)</t>
        </is>
      </c>
      <c r="J2613" s="92" t="inlineStr">
        <is>
          <t>V10010</t>
        </is>
      </c>
      <c r="K2613" s="92" t="inlineStr">
        <is>
          <t>(법인카드)</t>
        </is>
      </c>
      <c r="M2613" s="9">
        <f>IF($A2613="","",VALUE($A2613&amp;"")*12+VALUE($B2613&amp;""))</f>
        <v/>
      </c>
      <c r="N2613" s="64">
        <f>IF($A2613="","",IFERROR(INDEX(부서매핑!$C$5:$C$504,MATCH($G2613&amp;"",부서매핑!$A$5:$A$504,0)),"미매핑"))</f>
        <v/>
      </c>
      <c r="O2613" s="9">
        <f>IF($A2613="","",N2613&amp;"|"&amp;$F2613)</f>
        <v/>
      </c>
      <c r="P2613" s="94">
        <f>IF($A2613="",0,$H2613*설정!$C$23)</f>
        <v/>
      </c>
      <c r="Q2613" s="64">
        <f>IF($A2613="","",IF(O2613&lt;&gt;원인분석!$C$9,"",IF(AND(M2613&gt;=원인분석!$C$10,M2613&lt;=원인분석!$C$11),"당기",IF(AND(M2613&gt;=원인분석!$C$12,M2613&lt;=원인분석!$C$13),"비교",""))))</f>
        <v/>
      </c>
      <c r="R2613" s="9">
        <f>IF(Q2613="","",$K2613&amp;"")</f>
        <v/>
      </c>
      <c r="S2613" s="9">
        <f>IF(Q2613="","",IF(MATCH(R2613,$R$5:$R$100000,0)=ROW()-4,ROW(),""))</f>
        <v/>
      </c>
      <c r="T2613" s="9">
        <f>IF(Q2613="당기",ABS(P2613)+ROW()/1000000000,"")</f>
        <v/>
      </c>
      <c r="U2613" s="9">
        <f>IF(Q2613="비교",ABS(P2613)+ROW()/1000000000,"")</f>
        <v/>
      </c>
      <c r="V2613" s="64">
        <f>IF($A2613="","",IF(COUNTIF(변동분석!$E$7:$E$506,O2613)&gt;0,"Y","N"))</f>
        <v/>
      </c>
      <c r="W2613" s="64">
        <f>IF($A2613="","",IFERROR(INDEX(계정매핑!$D$5:$D$504,MATCH($F2613&amp;"",계정매핑!$A$5:$A$504,0)),"미매핑"))</f>
        <v/>
      </c>
      <c r="X2613" s="9">
        <f>IF($A2613="","",$F2613&amp;"")</f>
        <v/>
      </c>
      <c r="Y2613" s="94">
        <f>IF($A2613="",0,IF(AE2613="직접",IF(AF2613="비귀속",$P2613,0),$P2613*(1-AG2613)*IFERROR(INDEX(계정대체기준!$F$20:$F$49,MATCH($N2613,계정대체기준!$A$20:$A$49,0)),1)))</f>
        <v/>
      </c>
      <c r="Z2613" s="94">
        <f>IF($A2613="",0,IF(AE2613="직접",IF(AF2613="신계약비",$P2613,0),$P2613*(1-AG2613)*IFERROR(INDEX(계정대체기준!$C$20:$C$49,MATCH($N2613,계정대체기준!$A$20:$A$49,0)),0)))</f>
        <v/>
      </c>
      <c r="AA2613" s="94">
        <f>IF($A2613="",0,IF(AE2613="직접",IF(OR(AF2613="유지비",AF2613="손해조사비"),$P2613,0),$P2613*(1-AG2613)*IFERROR(INDEX(계정대체기준!$D$20:$D$49,MATCH($N2613,계정대체기준!$A$20:$A$49,0)),0)))</f>
        <v/>
      </c>
      <c r="AB2613" s="94">
        <f>IF($A2613="",0,IF(AE2613="직접",IF(AF2613="수금비",$P2613,0),$P2613*(1-AG2613)*IFERROR(INDEX(계정대체기준!$E$20:$E$49,MATCH($N2613,계정대체기준!$A$20:$A$49,0)),0)))</f>
        <v/>
      </c>
      <c r="AC2613" s="9">
        <f>IF(AND($A2613&lt;&gt;"",M2613=설정!$C$20,Z2613&gt;0),Z2613+ROW()/1000000000,"")</f>
        <v/>
      </c>
      <c r="AD2613" s="94">
        <f>IF($A2613="",0,$P2613*AG2613)</f>
        <v/>
      </c>
      <c r="AE2613" s="64">
        <f>IF($A2613="","",IFERROR(INDEX(계정매핑!$E$5:$E$504,MATCH($F2613&amp;"",계정매핑!$A$5:$A$504,0))&amp;"","공통비"))</f>
        <v/>
      </c>
      <c r="AF2613" s="64">
        <f>IF($A2613="","",IF(AE2613="직접",IFERROR(INDEX(계정매핑!$F$5:$F$504,MATCH($F2613&amp;"",계정매핑!$A$5:$A$504,0))&amp;"","비귀속"),""))</f>
        <v/>
      </c>
      <c r="AG2613" s="96">
        <f>IF($A2613="",0,IF(AND(AE2613&lt;&gt;"직접",IFERROR(INDEX(계정매핑!$G$5:$G$504,MATCH($F2613&amp;"",계정매핑!$A$5:$A$504,0))&amp;"","")="유지비",COUNTIF(계정대체기준!$A$6:$A$15,$N2613)&gt;0),IFERROR(INDEX(계정대체기준!$E$6:$E$15,MATCH(VALUE($A2613&amp;""),계정대체기준!$D$6:$D$15,0)),0),0))</f>
        <v/>
      </c>
      <c r="AH2613" s="64">
        <f>IF($A2613="","",IF(AD2613=0,"",IF(OR(COUNTIF(계정대체기준!$A$77:$A$86,$N2613)&gt;0,ISNUMBER(MATCH($X2613,계정대체기준!$D$77:$D$86,0)),ISNUMBER(MATCH($F2613,계정대체기준!$D$77:$D$86,0))),"Y","N")))</f>
        <v/>
      </c>
    </row>
    <row r="2614">
      <c r="A2614" s="92" t="n">
        <v>2025</v>
      </c>
      <c r="B2614" s="92" t="n">
        <v>12</v>
      </c>
      <c r="C2614" s="92" t="inlineStr">
        <is>
          <t>5100002610</t>
        </is>
      </c>
      <c r="D2614" s="95" t="n">
        <v>46007</v>
      </c>
      <c r="E2614" s="92" t="inlineStr">
        <is>
          <t>KR</t>
        </is>
      </c>
      <c r="F2614" s="92" t="n">
        <v>62902000</v>
      </c>
      <c r="G2614" s="92" t="n">
        <v>1801</v>
      </c>
      <c r="H2614" s="93" t="n">
        <v>1817000</v>
      </c>
      <c r="I2614" s="92" t="inlineStr">
        <is>
          <t>12월 콜 위탁 수수료(건별)</t>
        </is>
      </c>
      <c r="J2614" s="92" t="inlineStr">
        <is>
          <t>V10016</t>
        </is>
      </c>
      <c r="K2614" s="92" t="inlineStr">
        <is>
          <t>J콜센터</t>
        </is>
      </c>
      <c r="M2614" s="9">
        <f>IF($A2614="","",VALUE($A2614&amp;"")*12+VALUE($B2614&amp;""))</f>
        <v/>
      </c>
      <c r="N2614" s="64">
        <f>IF($A2614="","",IFERROR(INDEX(부서매핑!$C$5:$C$504,MATCH($G2614&amp;"",부서매핑!$A$5:$A$504,0)),"미매핑"))</f>
        <v/>
      </c>
      <c r="O2614" s="9">
        <f>IF($A2614="","",N2614&amp;"|"&amp;$F2614)</f>
        <v/>
      </c>
      <c r="P2614" s="94">
        <f>IF($A2614="",0,$H2614*설정!$C$23)</f>
        <v/>
      </c>
      <c r="Q2614" s="64">
        <f>IF($A2614="","",IF(O2614&lt;&gt;원인분석!$C$9,"",IF(AND(M2614&gt;=원인분석!$C$10,M2614&lt;=원인분석!$C$11),"당기",IF(AND(M2614&gt;=원인분석!$C$12,M2614&lt;=원인분석!$C$13),"비교",""))))</f>
        <v/>
      </c>
      <c r="R2614" s="9">
        <f>IF(Q2614="","",$K2614&amp;"")</f>
        <v/>
      </c>
      <c r="S2614" s="9">
        <f>IF(Q2614="","",IF(MATCH(R2614,$R$5:$R$100000,0)=ROW()-4,ROW(),""))</f>
        <v/>
      </c>
      <c r="T2614" s="9">
        <f>IF(Q2614="당기",ABS(P2614)+ROW()/1000000000,"")</f>
        <v/>
      </c>
      <c r="U2614" s="9">
        <f>IF(Q2614="비교",ABS(P2614)+ROW()/1000000000,"")</f>
        <v/>
      </c>
      <c r="V2614" s="64">
        <f>IF($A2614="","",IF(COUNTIF(변동분석!$E$7:$E$506,O2614)&gt;0,"Y","N"))</f>
        <v/>
      </c>
      <c r="W2614" s="64">
        <f>IF($A2614="","",IFERROR(INDEX(계정매핑!$D$5:$D$504,MATCH($F2614&amp;"",계정매핑!$A$5:$A$504,0)),"미매핑"))</f>
        <v/>
      </c>
      <c r="X2614" s="9">
        <f>IF($A2614="","",$F2614&amp;"")</f>
        <v/>
      </c>
      <c r="Y2614" s="94">
        <f>IF($A2614="",0,IF(AE2614="직접",IF(AF2614="비귀속",$P2614,0),$P2614*(1-AG2614)*IFERROR(INDEX(계정대체기준!$F$20:$F$49,MATCH($N2614,계정대체기준!$A$20:$A$49,0)),1)))</f>
        <v/>
      </c>
      <c r="Z2614" s="94">
        <f>IF($A2614="",0,IF(AE2614="직접",IF(AF2614="신계약비",$P2614,0),$P2614*(1-AG2614)*IFERROR(INDEX(계정대체기준!$C$20:$C$49,MATCH($N2614,계정대체기준!$A$20:$A$49,0)),0)))</f>
        <v/>
      </c>
      <c r="AA2614" s="94">
        <f>IF($A2614="",0,IF(AE2614="직접",IF(OR(AF2614="유지비",AF2614="손해조사비"),$P2614,0),$P2614*(1-AG2614)*IFERROR(INDEX(계정대체기준!$D$20:$D$49,MATCH($N2614,계정대체기준!$A$20:$A$49,0)),0)))</f>
        <v/>
      </c>
      <c r="AB2614" s="94">
        <f>IF($A2614="",0,IF(AE2614="직접",IF(AF2614="수금비",$P2614,0),$P2614*(1-AG2614)*IFERROR(INDEX(계정대체기준!$E$20:$E$49,MATCH($N2614,계정대체기준!$A$20:$A$49,0)),0)))</f>
        <v/>
      </c>
      <c r="AC2614" s="9">
        <f>IF(AND($A2614&lt;&gt;"",M2614=설정!$C$20,Z2614&gt;0),Z2614+ROW()/1000000000,"")</f>
        <v/>
      </c>
      <c r="AD2614" s="94">
        <f>IF($A2614="",0,$P2614*AG2614)</f>
        <v/>
      </c>
      <c r="AE2614" s="64">
        <f>IF($A2614="","",IFERROR(INDEX(계정매핑!$E$5:$E$504,MATCH($F2614&amp;"",계정매핑!$A$5:$A$504,0))&amp;"","공통비"))</f>
        <v/>
      </c>
      <c r="AF2614" s="64">
        <f>IF($A2614="","",IF(AE2614="직접",IFERROR(INDEX(계정매핑!$F$5:$F$504,MATCH($F2614&amp;"",계정매핑!$A$5:$A$504,0))&amp;"","비귀속"),""))</f>
        <v/>
      </c>
      <c r="AG2614" s="96">
        <f>IF($A2614="",0,IF(AND(AE2614&lt;&gt;"직접",IFERROR(INDEX(계정매핑!$G$5:$G$504,MATCH($F2614&amp;"",계정매핑!$A$5:$A$504,0))&amp;"","")="유지비",COUNTIF(계정대체기준!$A$6:$A$15,$N2614)&gt;0),IFERROR(INDEX(계정대체기준!$E$6:$E$15,MATCH(VALUE($A2614&amp;""),계정대체기준!$D$6:$D$15,0)),0),0))</f>
        <v/>
      </c>
      <c r="AH2614" s="64">
        <f>IF($A2614="","",IF(AD2614=0,"",IF(OR(COUNTIF(계정대체기준!$A$77:$A$86,$N2614)&gt;0,ISNUMBER(MATCH($X2614,계정대체기준!$D$77:$D$86,0)),ISNUMBER(MATCH($F2614,계정대체기준!$D$77:$D$86,0))),"Y","N")))</f>
        <v/>
      </c>
    </row>
    <row r="2615">
      <c r="A2615" s="92" t="n">
        <v>2025</v>
      </c>
      <c r="B2615" s="92" t="n">
        <v>12</v>
      </c>
      <c r="C2615" s="92" t="inlineStr">
        <is>
          <t>5100002611</t>
        </is>
      </c>
      <c r="D2615" s="95" t="n">
        <v>46007</v>
      </c>
      <c r="E2615" s="92" t="inlineStr">
        <is>
          <t>KR</t>
        </is>
      </c>
      <c r="F2615" s="92" t="n">
        <v>63201000</v>
      </c>
      <c r="G2615" s="92" t="n">
        <v>1601</v>
      </c>
      <c r="H2615" s="93" t="n">
        <v>1850000</v>
      </c>
      <c r="I2615" s="92" t="inlineStr">
        <is>
          <t>12월 차량 유지 - H에너지</t>
        </is>
      </c>
      <c r="J2615" s="92" t="inlineStr">
        <is>
          <t>V10030</t>
        </is>
      </c>
      <c r="K2615" s="92" t="inlineStr">
        <is>
          <t>H에너지</t>
        </is>
      </c>
      <c r="M2615" s="9">
        <f>IF($A2615="","",VALUE($A2615&amp;"")*12+VALUE($B2615&amp;""))</f>
        <v/>
      </c>
      <c r="N2615" s="64">
        <f>IF($A2615="","",IFERROR(INDEX(부서매핑!$C$5:$C$504,MATCH($G2615&amp;"",부서매핑!$A$5:$A$504,0)),"미매핑"))</f>
        <v/>
      </c>
      <c r="O2615" s="9">
        <f>IF($A2615="","",N2615&amp;"|"&amp;$F2615)</f>
        <v/>
      </c>
      <c r="P2615" s="94">
        <f>IF($A2615="",0,$H2615*설정!$C$23)</f>
        <v/>
      </c>
      <c r="Q2615" s="64">
        <f>IF($A2615="","",IF(O2615&lt;&gt;원인분석!$C$9,"",IF(AND(M2615&gt;=원인분석!$C$10,M2615&lt;=원인분석!$C$11),"당기",IF(AND(M2615&gt;=원인분석!$C$12,M2615&lt;=원인분석!$C$13),"비교",""))))</f>
        <v/>
      </c>
      <c r="R2615" s="9">
        <f>IF(Q2615="","",$K2615&amp;"")</f>
        <v/>
      </c>
      <c r="S2615" s="9">
        <f>IF(Q2615="","",IF(MATCH(R2615,$R$5:$R$100000,0)=ROW()-4,ROW(),""))</f>
        <v/>
      </c>
      <c r="T2615" s="9">
        <f>IF(Q2615="당기",ABS(P2615)+ROW()/1000000000,"")</f>
        <v/>
      </c>
      <c r="U2615" s="9">
        <f>IF(Q2615="비교",ABS(P2615)+ROW()/1000000000,"")</f>
        <v/>
      </c>
      <c r="V2615" s="64">
        <f>IF($A2615="","",IF(COUNTIF(변동분석!$E$7:$E$506,O2615)&gt;0,"Y","N"))</f>
        <v/>
      </c>
      <c r="W2615" s="64">
        <f>IF($A2615="","",IFERROR(INDEX(계정매핑!$D$5:$D$504,MATCH($F2615&amp;"",계정매핑!$A$5:$A$504,0)),"미매핑"))</f>
        <v/>
      </c>
      <c r="X2615" s="9">
        <f>IF($A2615="","",$F2615&amp;"")</f>
        <v/>
      </c>
      <c r="Y2615" s="94">
        <f>IF($A2615="",0,IF(AE2615="직접",IF(AF2615="비귀속",$P2615,0),$P2615*(1-AG2615)*IFERROR(INDEX(계정대체기준!$F$20:$F$49,MATCH($N2615,계정대체기준!$A$20:$A$49,0)),1)))</f>
        <v/>
      </c>
      <c r="Z2615" s="94">
        <f>IF($A2615="",0,IF(AE2615="직접",IF(AF2615="신계약비",$P2615,0),$P2615*(1-AG2615)*IFERROR(INDEX(계정대체기준!$C$20:$C$49,MATCH($N2615,계정대체기준!$A$20:$A$49,0)),0)))</f>
        <v/>
      </c>
      <c r="AA2615" s="94">
        <f>IF($A2615="",0,IF(AE2615="직접",IF(OR(AF2615="유지비",AF2615="손해조사비"),$P2615,0),$P2615*(1-AG2615)*IFERROR(INDEX(계정대체기준!$D$20:$D$49,MATCH($N2615,계정대체기준!$A$20:$A$49,0)),0)))</f>
        <v/>
      </c>
      <c r="AB2615" s="94">
        <f>IF($A2615="",0,IF(AE2615="직접",IF(AF2615="수금비",$P2615,0),$P2615*(1-AG2615)*IFERROR(INDEX(계정대체기준!$E$20:$E$49,MATCH($N2615,계정대체기준!$A$20:$A$49,0)),0)))</f>
        <v/>
      </c>
      <c r="AC2615" s="9">
        <f>IF(AND($A2615&lt;&gt;"",M2615=설정!$C$20,Z2615&gt;0),Z2615+ROW()/1000000000,"")</f>
        <v/>
      </c>
      <c r="AD2615" s="94">
        <f>IF($A2615="",0,$P2615*AG2615)</f>
        <v/>
      </c>
      <c r="AE2615" s="64">
        <f>IF($A2615="","",IFERROR(INDEX(계정매핑!$E$5:$E$504,MATCH($F2615&amp;"",계정매핑!$A$5:$A$504,0))&amp;"","공통비"))</f>
        <v/>
      </c>
      <c r="AF2615" s="64">
        <f>IF($A2615="","",IF(AE2615="직접",IFERROR(INDEX(계정매핑!$F$5:$F$504,MATCH($F2615&amp;"",계정매핑!$A$5:$A$504,0))&amp;"","비귀속"),""))</f>
        <v/>
      </c>
      <c r="AG2615" s="96">
        <f>IF($A2615="",0,IF(AND(AE2615&lt;&gt;"직접",IFERROR(INDEX(계정매핑!$G$5:$G$504,MATCH($F2615&amp;"",계정매핑!$A$5:$A$504,0))&amp;"","")="유지비",COUNTIF(계정대체기준!$A$6:$A$15,$N2615)&gt;0),IFERROR(INDEX(계정대체기준!$E$6:$E$15,MATCH(VALUE($A2615&amp;""),계정대체기준!$D$6:$D$15,0)),0),0))</f>
        <v/>
      </c>
      <c r="AH2615" s="64">
        <f>IF($A2615="","",IF(AD2615=0,"",IF(OR(COUNTIF(계정대체기준!$A$77:$A$86,$N2615)&gt;0,ISNUMBER(MATCH($X2615,계정대체기준!$D$77:$D$86,0)),ISNUMBER(MATCH($F2615,계정대체기준!$D$77:$D$86,0))),"Y","N")))</f>
        <v/>
      </c>
    </row>
    <row r="2616">
      <c r="A2616" s="92" t="n">
        <v>2025</v>
      </c>
      <c r="B2616" s="92" t="n">
        <v>12</v>
      </c>
      <c r="C2616" s="92" t="inlineStr">
        <is>
          <t>5100002612</t>
        </is>
      </c>
      <c r="D2616" s="95" t="n">
        <v>46007</v>
      </c>
      <c r="E2616" s="92" t="inlineStr">
        <is>
          <t>KR</t>
        </is>
      </c>
      <c r="F2616" s="92" t="n">
        <v>63502000</v>
      </c>
      <c r="G2616" s="92" t="n">
        <v>1901</v>
      </c>
      <c r="H2616" s="93" t="n">
        <v>179036000</v>
      </c>
      <c r="I2616" s="92" t="inlineStr">
        <is>
          <t>12월 유지수수료 - (전속설계사)</t>
        </is>
      </c>
      <c r="J2616" s="92" t="inlineStr">
        <is>
          <t>V10021</t>
        </is>
      </c>
      <c r="K2616" s="92" t="inlineStr">
        <is>
          <t>(전속설계사)</t>
        </is>
      </c>
      <c r="M2616" s="9">
        <f>IF($A2616="","",VALUE($A2616&amp;"")*12+VALUE($B2616&amp;""))</f>
        <v/>
      </c>
      <c r="N2616" s="64">
        <f>IF($A2616="","",IFERROR(INDEX(부서매핑!$C$5:$C$504,MATCH($G2616&amp;"",부서매핑!$A$5:$A$504,0)),"미매핑"))</f>
        <v/>
      </c>
      <c r="O2616" s="9">
        <f>IF($A2616="","",N2616&amp;"|"&amp;$F2616)</f>
        <v/>
      </c>
      <c r="P2616" s="94">
        <f>IF($A2616="",0,$H2616*설정!$C$23)</f>
        <v/>
      </c>
      <c r="Q2616" s="64">
        <f>IF($A2616="","",IF(O2616&lt;&gt;원인분석!$C$9,"",IF(AND(M2616&gt;=원인분석!$C$10,M2616&lt;=원인분석!$C$11),"당기",IF(AND(M2616&gt;=원인분석!$C$12,M2616&lt;=원인분석!$C$13),"비교",""))))</f>
        <v/>
      </c>
      <c r="R2616" s="9">
        <f>IF(Q2616="","",$K2616&amp;"")</f>
        <v/>
      </c>
      <c r="S2616" s="9">
        <f>IF(Q2616="","",IF(MATCH(R2616,$R$5:$R$100000,0)=ROW()-4,ROW(),""))</f>
        <v/>
      </c>
      <c r="T2616" s="9">
        <f>IF(Q2616="당기",ABS(P2616)+ROW()/1000000000,"")</f>
        <v/>
      </c>
      <c r="U2616" s="9">
        <f>IF(Q2616="비교",ABS(P2616)+ROW()/1000000000,"")</f>
        <v/>
      </c>
      <c r="V2616" s="64">
        <f>IF($A2616="","",IF(COUNTIF(변동분석!$E$7:$E$506,O2616)&gt;0,"Y","N"))</f>
        <v/>
      </c>
      <c r="W2616" s="64">
        <f>IF($A2616="","",IFERROR(INDEX(계정매핑!$D$5:$D$504,MATCH($F2616&amp;"",계정매핑!$A$5:$A$504,0)),"미매핑"))</f>
        <v/>
      </c>
      <c r="X2616" s="9">
        <f>IF($A2616="","",$F2616&amp;"")</f>
        <v/>
      </c>
      <c r="Y2616" s="94">
        <f>IF($A2616="",0,IF(AE2616="직접",IF(AF2616="비귀속",$P2616,0),$P2616*(1-AG2616)*IFERROR(INDEX(계정대체기준!$F$20:$F$49,MATCH($N2616,계정대체기준!$A$20:$A$49,0)),1)))</f>
        <v/>
      </c>
      <c r="Z2616" s="94">
        <f>IF($A2616="",0,IF(AE2616="직접",IF(AF2616="신계약비",$P2616,0),$P2616*(1-AG2616)*IFERROR(INDEX(계정대체기준!$C$20:$C$49,MATCH($N2616,계정대체기준!$A$20:$A$49,0)),0)))</f>
        <v/>
      </c>
      <c r="AA2616" s="94">
        <f>IF($A2616="",0,IF(AE2616="직접",IF(OR(AF2616="유지비",AF2616="손해조사비"),$P2616,0),$P2616*(1-AG2616)*IFERROR(INDEX(계정대체기준!$D$20:$D$49,MATCH($N2616,계정대체기준!$A$20:$A$49,0)),0)))</f>
        <v/>
      </c>
      <c r="AB2616" s="94">
        <f>IF($A2616="",0,IF(AE2616="직접",IF(AF2616="수금비",$P2616,0),$P2616*(1-AG2616)*IFERROR(INDEX(계정대체기준!$E$20:$E$49,MATCH($N2616,계정대체기준!$A$20:$A$49,0)),0)))</f>
        <v/>
      </c>
      <c r="AC2616" s="9">
        <f>IF(AND($A2616&lt;&gt;"",M2616=설정!$C$20,Z2616&gt;0),Z2616+ROW()/1000000000,"")</f>
        <v/>
      </c>
      <c r="AD2616" s="94">
        <f>IF($A2616="",0,$P2616*AG2616)</f>
        <v/>
      </c>
      <c r="AE2616" s="64">
        <f>IF($A2616="","",IFERROR(INDEX(계정매핑!$E$5:$E$504,MATCH($F2616&amp;"",계정매핑!$A$5:$A$504,0))&amp;"","공통비"))</f>
        <v/>
      </c>
      <c r="AF2616" s="64">
        <f>IF($A2616="","",IF(AE2616="직접",IFERROR(INDEX(계정매핑!$F$5:$F$504,MATCH($F2616&amp;"",계정매핑!$A$5:$A$504,0))&amp;"","비귀속"),""))</f>
        <v/>
      </c>
      <c r="AG2616" s="96">
        <f>IF($A2616="",0,IF(AND(AE2616&lt;&gt;"직접",IFERROR(INDEX(계정매핑!$G$5:$G$504,MATCH($F2616&amp;"",계정매핑!$A$5:$A$504,0))&amp;"","")="유지비",COUNTIF(계정대체기준!$A$6:$A$15,$N2616)&gt;0),IFERROR(INDEX(계정대체기준!$E$6:$E$15,MATCH(VALUE($A2616&amp;""),계정대체기준!$D$6:$D$15,0)),0),0))</f>
        <v/>
      </c>
      <c r="AH2616" s="64">
        <f>IF($A2616="","",IF(AD2616=0,"",IF(OR(COUNTIF(계정대체기준!$A$77:$A$86,$N2616)&gt;0,ISNUMBER(MATCH($X2616,계정대체기준!$D$77:$D$86,0)),ISNUMBER(MATCH($F2616,계정대체기준!$D$77:$D$86,0))),"Y","N")))</f>
        <v/>
      </c>
    </row>
    <row r="2617">
      <c r="A2617" s="92" t="n">
        <v>2025</v>
      </c>
      <c r="B2617" s="92" t="n">
        <v>12</v>
      </c>
      <c r="C2617" s="92" t="inlineStr">
        <is>
          <t>5100002613</t>
        </is>
      </c>
      <c r="D2617" s="95" t="n">
        <v>46008</v>
      </c>
      <c r="E2617" s="92" t="inlineStr">
        <is>
          <t>KR</t>
        </is>
      </c>
      <c r="F2617" s="92" t="n">
        <v>62201000</v>
      </c>
      <c r="G2617" s="92" t="n">
        <v>1201</v>
      </c>
      <c r="H2617" s="93" t="n">
        <v>207000</v>
      </c>
      <c r="I2617" s="92" t="inlineStr">
        <is>
          <t>12월 통신요금 - P통신</t>
        </is>
      </c>
      <c r="J2617" s="92" t="inlineStr">
        <is>
          <t>V10014</t>
        </is>
      </c>
      <c r="K2617" s="92" t="inlineStr">
        <is>
          <t>P통신</t>
        </is>
      </c>
      <c r="M2617" s="9">
        <f>IF($A2617="","",VALUE($A2617&amp;"")*12+VALUE($B2617&amp;""))</f>
        <v/>
      </c>
      <c r="N2617" s="64">
        <f>IF($A2617="","",IFERROR(INDEX(부서매핑!$C$5:$C$504,MATCH($G2617&amp;"",부서매핑!$A$5:$A$504,0)),"미매핑"))</f>
        <v/>
      </c>
      <c r="O2617" s="9">
        <f>IF($A2617="","",N2617&amp;"|"&amp;$F2617)</f>
        <v/>
      </c>
      <c r="P2617" s="94">
        <f>IF($A2617="",0,$H2617*설정!$C$23)</f>
        <v/>
      </c>
      <c r="Q2617" s="64">
        <f>IF($A2617="","",IF(O2617&lt;&gt;원인분석!$C$9,"",IF(AND(M2617&gt;=원인분석!$C$10,M2617&lt;=원인분석!$C$11),"당기",IF(AND(M2617&gt;=원인분석!$C$12,M2617&lt;=원인분석!$C$13),"비교",""))))</f>
        <v/>
      </c>
      <c r="R2617" s="9">
        <f>IF(Q2617="","",$K2617&amp;"")</f>
        <v/>
      </c>
      <c r="S2617" s="9">
        <f>IF(Q2617="","",IF(MATCH(R2617,$R$5:$R$100000,0)=ROW()-4,ROW(),""))</f>
        <v/>
      </c>
      <c r="T2617" s="9">
        <f>IF(Q2617="당기",ABS(P2617)+ROW()/1000000000,"")</f>
        <v/>
      </c>
      <c r="U2617" s="9">
        <f>IF(Q2617="비교",ABS(P2617)+ROW()/1000000000,"")</f>
        <v/>
      </c>
      <c r="V2617" s="64">
        <f>IF($A2617="","",IF(COUNTIF(변동분석!$E$7:$E$506,O2617)&gt;0,"Y","N"))</f>
        <v/>
      </c>
      <c r="W2617" s="64">
        <f>IF($A2617="","",IFERROR(INDEX(계정매핑!$D$5:$D$504,MATCH($F2617&amp;"",계정매핑!$A$5:$A$504,0)),"미매핑"))</f>
        <v/>
      </c>
      <c r="X2617" s="9">
        <f>IF($A2617="","",$F2617&amp;"")</f>
        <v/>
      </c>
      <c r="Y2617" s="94">
        <f>IF($A2617="",0,IF(AE2617="직접",IF(AF2617="비귀속",$P2617,0),$P2617*(1-AG2617)*IFERROR(INDEX(계정대체기준!$F$20:$F$49,MATCH($N2617,계정대체기준!$A$20:$A$49,0)),1)))</f>
        <v/>
      </c>
      <c r="Z2617" s="94">
        <f>IF($A2617="",0,IF(AE2617="직접",IF(AF2617="신계약비",$P2617,0),$P2617*(1-AG2617)*IFERROR(INDEX(계정대체기준!$C$20:$C$49,MATCH($N2617,계정대체기준!$A$20:$A$49,0)),0)))</f>
        <v/>
      </c>
      <c r="AA2617" s="94">
        <f>IF($A2617="",0,IF(AE2617="직접",IF(OR(AF2617="유지비",AF2617="손해조사비"),$P2617,0),$P2617*(1-AG2617)*IFERROR(INDEX(계정대체기준!$D$20:$D$49,MATCH($N2617,계정대체기준!$A$20:$A$49,0)),0)))</f>
        <v/>
      </c>
      <c r="AB2617" s="94">
        <f>IF($A2617="",0,IF(AE2617="직접",IF(AF2617="수금비",$P2617,0),$P2617*(1-AG2617)*IFERROR(INDEX(계정대체기준!$E$20:$E$49,MATCH($N2617,계정대체기준!$A$20:$A$49,0)),0)))</f>
        <v/>
      </c>
      <c r="AC2617" s="9">
        <f>IF(AND($A2617&lt;&gt;"",M2617=설정!$C$20,Z2617&gt;0),Z2617+ROW()/1000000000,"")</f>
        <v/>
      </c>
      <c r="AD2617" s="94">
        <f>IF($A2617="",0,$P2617*AG2617)</f>
        <v/>
      </c>
      <c r="AE2617" s="64">
        <f>IF($A2617="","",IFERROR(INDEX(계정매핑!$E$5:$E$504,MATCH($F2617&amp;"",계정매핑!$A$5:$A$504,0))&amp;"","공통비"))</f>
        <v/>
      </c>
      <c r="AF2617" s="64">
        <f>IF($A2617="","",IF(AE2617="직접",IFERROR(INDEX(계정매핑!$F$5:$F$504,MATCH($F2617&amp;"",계정매핑!$A$5:$A$504,0))&amp;"","비귀속"),""))</f>
        <v/>
      </c>
      <c r="AG2617" s="96">
        <f>IF($A2617="",0,IF(AND(AE2617&lt;&gt;"직접",IFERROR(INDEX(계정매핑!$G$5:$G$504,MATCH($F2617&amp;"",계정매핑!$A$5:$A$504,0))&amp;"","")="유지비",COUNTIF(계정대체기준!$A$6:$A$15,$N2617)&gt;0),IFERROR(INDEX(계정대체기준!$E$6:$E$15,MATCH(VALUE($A2617&amp;""),계정대체기준!$D$6:$D$15,0)),0),0))</f>
        <v/>
      </c>
      <c r="AH2617" s="64">
        <f>IF($A2617="","",IF(AD2617=0,"",IF(OR(COUNTIF(계정대체기준!$A$77:$A$86,$N2617)&gt;0,ISNUMBER(MATCH($X2617,계정대체기준!$D$77:$D$86,0)),ISNUMBER(MATCH($F2617,계정대체기준!$D$77:$D$86,0))),"Y","N")))</f>
        <v/>
      </c>
    </row>
    <row r="2618">
      <c r="A2618" s="92" t="n">
        <v>2025</v>
      </c>
      <c r="B2618" s="92" t="n">
        <v>12</v>
      </c>
      <c r="C2618" s="92" t="inlineStr">
        <is>
          <t>5100002614</t>
        </is>
      </c>
      <c r="D2618" s="95" t="n">
        <v>46008</v>
      </c>
      <c r="E2618" s="92" t="inlineStr">
        <is>
          <t>KR</t>
        </is>
      </c>
      <c r="F2618" s="92" t="n">
        <v>62401000</v>
      </c>
      <c r="G2618" s="92" t="n">
        <v>1401</v>
      </c>
      <c r="H2618" s="93" t="n">
        <v>240000</v>
      </c>
      <c r="I2618" s="92" t="inlineStr">
        <is>
          <t>12월 인쇄물 제작 - S출판</t>
        </is>
      </c>
      <c r="J2618" s="92" t="inlineStr">
        <is>
          <t>V10015</t>
        </is>
      </c>
      <c r="K2618" s="92" t="inlineStr">
        <is>
          <t>S출판</t>
        </is>
      </c>
      <c r="M2618" s="9">
        <f>IF($A2618="","",VALUE($A2618&amp;"")*12+VALUE($B2618&amp;""))</f>
        <v/>
      </c>
      <c r="N2618" s="64">
        <f>IF($A2618="","",IFERROR(INDEX(부서매핑!$C$5:$C$504,MATCH($G2618&amp;"",부서매핑!$A$5:$A$504,0)),"미매핑"))</f>
        <v/>
      </c>
      <c r="O2618" s="9">
        <f>IF($A2618="","",N2618&amp;"|"&amp;$F2618)</f>
        <v/>
      </c>
      <c r="P2618" s="94">
        <f>IF($A2618="",0,$H2618*설정!$C$23)</f>
        <v/>
      </c>
      <c r="Q2618" s="64">
        <f>IF($A2618="","",IF(O2618&lt;&gt;원인분석!$C$9,"",IF(AND(M2618&gt;=원인분석!$C$10,M2618&lt;=원인분석!$C$11),"당기",IF(AND(M2618&gt;=원인분석!$C$12,M2618&lt;=원인분석!$C$13),"비교",""))))</f>
        <v/>
      </c>
      <c r="R2618" s="9">
        <f>IF(Q2618="","",$K2618&amp;"")</f>
        <v/>
      </c>
      <c r="S2618" s="9">
        <f>IF(Q2618="","",IF(MATCH(R2618,$R$5:$R$100000,0)=ROW()-4,ROW(),""))</f>
        <v/>
      </c>
      <c r="T2618" s="9">
        <f>IF(Q2618="당기",ABS(P2618)+ROW()/1000000000,"")</f>
        <v/>
      </c>
      <c r="U2618" s="9">
        <f>IF(Q2618="비교",ABS(P2618)+ROW()/1000000000,"")</f>
        <v/>
      </c>
      <c r="V2618" s="64">
        <f>IF($A2618="","",IF(COUNTIF(변동분석!$E$7:$E$506,O2618)&gt;0,"Y","N"))</f>
        <v/>
      </c>
      <c r="W2618" s="64">
        <f>IF($A2618="","",IFERROR(INDEX(계정매핑!$D$5:$D$504,MATCH($F2618&amp;"",계정매핑!$A$5:$A$504,0)),"미매핑"))</f>
        <v/>
      </c>
      <c r="X2618" s="9">
        <f>IF($A2618="","",$F2618&amp;"")</f>
        <v/>
      </c>
      <c r="Y2618" s="94">
        <f>IF($A2618="",0,IF(AE2618="직접",IF(AF2618="비귀속",$P2618,0),$P2618*(1-AG2618)*IFERROR(INDEX(계정대체기준!$F$20:$F$49,MATCH($N2618,계정대체기준!$A$20:$A$49,0)),1)))</f>
        <v/>
      </c>
      <c r="Z2618" s="94">
        <f>IF($A2618="",0,IF(AE2618="직접",IF(AF2618="신계약비",$P2618,0),$P2618*(1-AG2618)*IFERROR(INDEX(계정대체기준!$C$20:$C$49,MATCH($N2618,계정대체기준!$A$20:$A$49,0)),0)))</f>
        <v/>
      </c>
      <c r="AA2618" s="94">
        <f>IF($A2618="",0,IF(AE2618="직접",IF(OR(AF2618="유지비",AF2618="손해조사비"),$P2618,0),$P2618*(1-AG2618)*IFERROR(INDEX(계정대체기준!$D$20:$D$49,MATCH($N2618,계정대체기준!$A$20:$A$49,0)),0)))</f>
        <v/>
      </c>
      <c r="AB2618" s="94">
        <f>IF($A2618="",0,IF(AE2618="직접",IF(AF2618="수금비",$P2618,0),$P2618*(1-AG2618)*IFERROR(INDEX(계정대체기준!$E$20:$E$49,MATCH($N2618,계정대체기준!$A$20:$A$49,0)),0)))</f>
        <v/>
      </c>
      <c r="AC2618" s="9">
        <f>IF(AND($A2618&lt;&gt;"",M2618=설정!$C$20,Z2618&gt;0),Z2618+ROW()/1000000000,"")</f>
        <v/>
      </c>
      <c r="AD2618" s="94">
        <f>IF($A2618="",0,$P2618*AG2618)</f>
        <v/>
      </c>
      <c r="AE2618" s="64">
        <f>IF($A2618="","",IFERROR(INDEX(계정매핑!$E$5:$E$504,MATCH($F2618&amp;"",계정매핑!$A$5:$A$504,0))&amp;"","공통비"))</f>
        <v/>
      </c>
      <c r="AF2618" s="64">
        <f>IF($A2618="","",IF(AE2618="직접",IFERROR(INDEX(계정매핑!$F$5:$F$504,MATCH($F2618&amp;"",계정매핑!$A$5:$A$504,0))&amp;"","비귀속"),""))</f>
        <v/>
      </c>
      <c r="AG2618" s="96">
        <f>IF($A2618="",0,IF(AND(AE2618&lt;&gt;"직접",IFERROR(INDEX(계정매핑!$G$5:$G$504,MATCH($F2618&amp;"",계정매핑!$A$5:$A$504,0))&amp;"","")="유지비",COUNTIF(계정대체기준!$A$6:$A$15,$N2618)&gt;0),IFERROR(INDEX(계정대체기준!$E$6:$E$15,MATCH(VALUE($A2618&amp;""),계정대체기준!$D$6:$D$15,0)),0),0))</f>
        <v/>
      </c>
      <c r="AH2618" s="64">
        <f>IF($A2618="","",IF(AD2618=0,"",IF(OR(COUNTIF(계정대체기준!$A$77:$A$86,$N2618)&gt;0,ISNUMBER(MATCH($X2618,계정대체기준!$D$77:$D$86,0)),ISNUMBER(MATCH($F2618,계정대체기준!$D$77:$D$86,0))),"Y","N")))</f>
        <v/>
      </c>
    </row>
    <row r="2619">
      <c r="A2619" s="92" t="n">
        <v>2025</v>
      </c>
      <c r="B2619" s="92" t="n">
        <v>12</v>
      </c>
      <c r="C2619" s="92" t="inlineStr">
        <is>
          <t>5100002615</t>
        </is>
      </c>
      <c r="D2619" s="95" t="n">
        <v>46008</v>
      </c>
      <c r="E2619" s="92" t="inlineStr">
        <is>
          <t>KR</t>
        </is>
      </c>
      <c r="F2619" s="92" t="n">
        <v>62501000</v>
      </c>
      <c r="G2619" s="92" t="n">
        <v>1801</v>
      </c>
      <c r="H2619" s="93" t="n">
        <v>160000</v>
      </c>
      <c r="I2619" s="92" t="inlineStr">
        <is>
          <t>12월 회의 다과 - T케이터링</t>
        </is>
      </c>
      <c r="J2619" s="92" t="inlineStr">
        <is>
          <t>V10005</t>
        </is>
      </c>
      <c r="K2619" s="92" t="inlineStr">
        <is>
          <t>T케이터링</t>
        </is>
      </c>
      <c r="M2619" s="9">
        <f>IF($A2619="","",VALUE($A2619&amp;"")*12+VALUE($B2619&amp;""))</f>
        <v/>
      </c>
      <c r="N2619" s="64">
        <f>IF($A2619="","",IFERROR(INDEX(부서매핑!$C$5:$C$504,MATCH($G2619&amp;"",부서매핑!$A$5:$A$504,0)),"미매핑"))</f>
        <v/>
      </c>
      <c r="O2619" s="9">
        <f>IF($A2619="","",N2619&amp;"|"&amp;$F2619)</f>
        <v/>
      </c>
      <c r="P2619" s="94">
        <f>IF($A2619="",0,$H2619*설정!$C$23)</f>
        <v/>
      </c>
      <c r="Q2619" s="64">
        <f>IF($A2619="","",IF(O2619&lt;&gt;원인분석!$C$9,"",IF(AND(M2619&gt;=원인분석!$C$10,M2619&lt;=원인분석!$C$11),"당기",IF(AND(M2619&gt;=원인분석!$C$12,M2619&lt;=원인분석!$C$13),"비교",""))))</f>
        <v/>
      </c>
      <c r="R2619" s="9">
        <f>IF(Q2619="","",$K2619&amp;"")</f>
        <v/>
      </c>
      <c r="S2619" s="9">
        <f>IF(Q2619="","",IF(MATCH(R2619,$R$5:$R$100000,0)=ROW()-4,ROW(),""))</f>
        <v/>
      </c>
      <c r="T2619" s="9">
        <f>IF(Q2619="당기",ABS(P2619)+ROW()/1000000000,"")</f>
        <v/>
      </c>
      <c r="U2619" s="9">
        <f>IF(Q2619="비교",ABS(P2619)+ROW()/1000000000,"")</f>
        <v/>
      </c>
      <c r="V2619" s="64">
        <f>IF($A2619="","",IF(COUNTIF(변동분석!$E$7:$E$506,O2619)&gt;0,"Y","N"))</f>
        <v/>
      </c>
      <c r="W2619" s="64">
        <f>IF($A2619="","",IFERROR(INDEX(계정매핑!$D$5:$D$504,MATCH($F2619&amp;"",계정매핑!$A$5:$A$504,0)),"미매핑"))</f>
        <v/>
      </c>
      <c r="X2619" s="9">
        <f>IF($A2619="","",$F2619&amp;"")</f>
        <v/>
      </c>
      <c r="Y2619" s="94">
        <f>IF($A2619="",0,IF(AE2619="직접",IF(AF2619="비귀속",$P2619,0),$P2619*(1-AG2619)*IFERROR(INDEX(계정대체기준!$F$20:$F$49,MATCH($N2619,계정대체기준!$A$20:$A$49,0)),1)))</f>
        <v/>
      </c>
      <c r="Z2619" s="94">
        <f>IF($A2619="",0,IF(AE2619="직접",IF(AF2619="신계약비",$P2619,0),$P2619*(1-AG2619)*IFERROR(INDEX(계정대체기준!$C$20:$C$49,MATCH($N2619,계정대체기준!$A$20:$A$49,0)),0)))</f>
        <v/>
      </c>
      <c r="AA2619" s="94">
        <f>IF($A2619="",0,IF(AE2619="직접",IF(OR(AF2619="유지비",AF2619="손해조사비"),$P2619,0),$P2619*(1-AG2619)*IFERROR(INDEX(계정대체기준!$D$20:$D$49,MATCH($N2619,계정대체기준!$A$20:$A$49,0)),0)))</f>
        <v/>
      </c>
      <c r="AB2619" s="94">
        <f>IF($A2619="",0,IF(AE2619="직접",IF(AF2619="수금비",$P2619,0),$P2619*(1-AG2619)*IFERROR(INDEX(계정대체기준!$E$20:$E$49,MATCH($N2619,계정대체기준!$A$20:$A$49,0)),0)))</f>
        <v/>
      </c>
      <c r="AC2619" s="9">
        <f>IF(AND($A2619&lt;&gt;"",M2619=설정!$C$20,Z2619&gt;0),Z2619+ROW()/1000000000,"")</f>
        <v/>
      </c>
      <c r="AD2619" s="94">
        <f>IF($A2619="",0,$P2619*AG2619)</f>
        <v/>
      </c>
      <c r="AE2619" s="64">
        <f>IF($A2619="","",IFERROR(INDEX(계정매핑!$E$5:$E$504,MATCH($F2619&amp;"",계정매핑!$A$5:$A$504,0))&amp;"","공통비"))</f>
        <v/>
      </c>
      <c r="AF2619" s="64">
        <f>IF($A2619="","",IF(AE2619="직접",IFERROR(INDEX(계정매핑!$F$5:$F$504,MATCH($F2619&amp;"",계정매핑!$A$5:$A$504,0))&amp;"","비귀속"),""))</f>
        <v/>
      </c>
      <c r="AG2619" s="96">
        <f>IF($A2619="",0,IF(AND(AE2619&lt;&gt;"직접",IFERROR(INDEX(계정매핑!$G$5:$G$504,MATCH($F2619&amp;"",계정매핑!$A$5:$A$504,0))&amp;"","")="유지비",COUNTIF(계정대체기준!$A$6:$A$15,$N2619)&gt;0),IFERROR(INDEX(계정대체기준!$E$6:$E$15,MATCH(VALUE($A2619&amp;""),계정대체기준!$D$6:$D$15,0)),0),0))</f>
        <v/>
      </c>
      <c r="AH2619" s="64">
        <f>IF($A2619="","",IF(AD2619=0,"",IF(OR(COUNTIF(계정대체기준!$A$77:$A$86,$N2619)&gt;0,ISNUMBER(MATCH($X2619,계정대체기준!$D$77:$D$86,0)),ISNUMBER(MATCH($F2619,계정대체기준!$D$77:$D$86,0))),"Y","N")))</f>
        <v/>
      </c>
    </row>
    <row r="2620">
      <c r="A2620" s="92" t="n">
        <v>2025</v>
      </c>
      <c r="B2620" s="92" t="n">
        <v>12</v>
      </c>
      <c r="C2620" s="92" t="inlineStr">
        <is>
          <t>5100002616</t>
        </is>
      </c>
      <c r="D2620" s="95" t="n">
        <v>46008</v>
      </c>
      <c r="E2620" s="92" t="inlineStr">
        <is>
          <t>KR</t>
        </is>
      </c>
      <c r="F2620" s="92" t="n">
        <v>62901000</v>
      </c>
      <c r="G2620" s="92" t="n">
        <v>1401</v>
      </c>
      <c r="H2620" s="93" t="n">
        <v>7519000</v>
      </c>
      <c r="I2620" s="92" t="inlineStr">
        <is>
          <t>12월 자문 수수료 - K회계법인</t>
        </is>
      </c>
      <c r="J2620" s="92" t="inlineStr">
        <is>
          <t>V10011</t>
        </is>
      </c>
      <c r="K2620" s="92" t="inlineStr">
        <is>
          <t>K회계법인</t>
        </is>
      </c>
      <c r="M2620" s="9">
        <f>IF($A2620="","",VALUE($A2620&amp;"")*12+VALUE($B2620&amp;""))</f>
        <v/>
      </c>
      <c r="N2620" s="64">
        <f>IF($A2620="","",IFERROR(INDEX(부서매핑!$C$5:$C$504,MATCH($G2620&amp;"",부서매핑!$A$5:$A$504,0)),"미매핑"))</f>
        <v/>
      </c>
      <c r="O2620" s="9">
        <f>IF($A2620="","",N2620&amp;"|"&amp;$F2620)</f>
        <v/>
      </c>
      <c r="P2620" s="94">
        <f>IF($A2620="",0,$H2620*설정!$C$23)</f>
        <v/>
      </c>
      <c r="Q2620" s="64">
        <f>IF($A2620="","",IF(O2620&lt;&gt;원인분석!$C$9,"",IF(AND(M2620&gt;=원인분석!$C$10,M2620&lt;=원인분석!$C$11),"당기",IF(AND(M2620&gt;=원인분석!$C$12,M2620&lt;=원인분석!$C$13),"비교",""))))</f>
        <v/>
      </c>
      <c r="R2620" s="9">
        <f>IF(Q2620="","",$K2620&amp;"")</f>
        <v/>
      </c>
      <c r="S2620" s="9">
        <f>IF(Q2620="","",IF(MATCH(R2620,$R$5:$R$100000,0)=ROW()-4,ROW(),""))</f>
        <v/>
      </c>
      <c r="T2620" s="9">
        <f>IF(Q2620="당기",ABS(P2620)+ROW()/1000000000,"")</f>
        <v/>
      </c>
      <c r="U2620" s="9">
        <f>IF(Q2620="비교",ABS(P2620)+ROW()/1000000000,"")</f>
        <v/>
      </c>
      <c r="V2620" s="64">
        <f>IF($A2620="","",IF(COUNTIF(변동분석!$E$7:$E$506,O2620)&gt;0,"Y","N"))</f>
        <v/>
      </c>
      <c r="W2620" s="64">
        <f>IF($A2620="","",IFERROR(INDEX(계정매핑!$D$5:$D$504,MATCH($F2620&amp;"",계정매핑!$A$5:$A$504,0)),"미매핑"))</f>
        <v/>
      </c>
      <c r="X2620" s="9">
        <f>IF($A2620="","",$F2620&amp;"")</f>
        <v/>
      </c>
      <c r="Y2620" s="94">
        <f>IF($A2620="",0,IF(AE2620="직접",IF(AF2620="비귀속",$P2620,0),$P2620*(1-AG2620)*IFERROR(INDEX(계정대체기준!$F$20:$F$49,MATCH($N2620,계정대체기준!$A$20:$A$49,0)),1)))</f>
        <v/>
      </c>
      <c r="Z2620" s="94">
        <f>IF($A2620="",0,IF(AE2620="직접",IF(AF2620="신계약비",$P2620,0),$P2620*(1-AG2620)*IFERROR(INDEX(계정대체기준!$C$20:$C$49,MATCH($N2620,계정대체기준!$A$20:$A$49,0)),0)))</f>
        <v/>
      </c>
      <c r="AA2620" s="94">
        <f>IF($A2620="",0,IF(AE2620="직접",IF(OR(AF2620="유지비",AF2620="손해조사비"),$P2620,0),$P2620*(1-AG2620)*IFERROR(INDEX(계정대체기준!$D$20:$D$49,MATCH($N2620,계정대체기준!$A$20:$A$49,0)),0)))</f>
        <v/>
      </c>
      <c r="AB2620" s="94">
        <f>IF($A2620="",0,IF(AE2620="직접",IF(AF2620="수금비",$P2620,0),$P2620*(1-AG2620)*IFERROR(INDEX(계정대체기준!$E$20:$E$49,MATCH($N2620,계정대체기준!$A$20:$A$49,0)),0)))</f>
        <v/>
      </c>
      <c r="AC2620" s="9">
        <f>IF(AND($A2620&lt;&gt;"",M2620=설정!$C$20,Z2620&gt;0),Z2620+ROW()/1000000000,"")</f>
        <v/>
      </c>
      <c r="AD2620" s="94">
        <f>IF($A2620="",0,$P2620*AG2620)</f>
        <v/>
      </c>
      <c r="AE2620" s="64">
        <f>IF($A2620="","",IFERROR(INDEX(계정매핑!$E$5:$E$504,MATCH($F2620&amp;"",계정매핑!$A$5:$A$504,0))&amp;"","공통비"))</f>
        <v/>
      </c>
      <c r="AF2620" s="64">
        <f>IF($A2620="","",IF(AE2620="직접",IFERROR(INDEX(계정매핑!$F$5:$F$504,MATCH($F2620&amp;"",계정매핑!$A$5:$A$504,0))&amp;"","비귀속"),""))</f>
        <v/>
      </c>
      <c r="AG2620" s="96">
        <f>IF($A2620="",0,IF(AND(AE2620&lt;&gt;"직접",IFERROR(INDEX(계정매핑!$G$5:$G$504,MATCH($F2620&amp;"",계정매핑!$A$5:$A$504,0))&amp;"","")="유지비",COUNTIF(계정대체기준!$A$6:$A$15,$N2620)&gt;0),IFERROR(INDEX(계정대체기준!$E$6:$E$15,MATCH(VALUE($A2620&amp;""),계정대체기준!$D$6:$D$15,0)),0),0))</f>
        <v/>
      </c>
      <c r="AH2620" s="64">
        <f>IF($A2620="","",IF(AD2620=0,"",IF(OR(COUNTIF(계정대체기준!$A$77:$A$86,$N2620)&gt;0,ISNUMBER(MATCH($X2620,계정대체기준!$D$77:$D$86,0)),ISNUMBER(MATCH($F2620,계정대체기준!$D$77:$D$86,0))),"Y","N")))</f>
        <v/>
      </c>
    </row>
    <row r="2621">
      <c r="A2621" s="92" t="n">
        <v>2025</v>
      </c>
      <c r="B2621" s="92" t="n">
        <v>12</v>
      </c>
      <c r="C2621" s="92" t="inlineStr">
        <is>
          <t>5100002617</t>
        </is>
      </c>
      <c r="D2621" s="95" t="n">
        <v>46008</v>
      </c>
      <c r="E2621" s="92" t="inlineStr">
        <is>
          <t>KR</t>
        </is>
      </c>
      <c r="F2621" s="92" t="n">
        <v>62902000</v>
      </c>
      <c r="G2621" s="92" t="n">
        <v>1101</v>
      </c>
      <c r="H2621" s="93" t="n">
        <v>1598000</v>
      </c>
      <c r="I2621" s="92" t="inlineStr">
        <is>
          <t>12월 업무 위탁 수수료 - X서비스</t>
        </is>
      </c>
      <c r="J2621" s="92" t="inlineStr">
        <is>
          <t>V10020</t>
        </is>
      </c>
      <c r="K2621" s="92" t="inlineStr">
        <is>
          <t>X서비스</t>
        </is>
      </c>
      <c r="M2621" s="9">
        <f>IF($A2621="","",VALUE($A2621&amp;"")*12+VALUE($B2621&amp;""))</f>
        <v/>
      </c>
      <c r="N2621" s="64">
        <f>IF($A2621="","",IFERROR(INDEX(부서매핑!$C$5:$C$504,MATCH($G2621&amp;"",부서매핑!$A$5:$A$504,0)),"미매핑"))</f>
        <v/>
      </c>
      <c r="O2621" s="9">
        <f>IF($A2621="","",N2621&amp;"|"&amp;$F2621)</f>
        <v/>
      </c>
      <c r="P2621" s="94">
        <f>IF($A2621="",0,$H2621*설정!$C$23)</f>
        <v/>
      </c>
      <c r="Q2621" s="64">
        <f>IF($A2621="","",IF(O2621&lt;&gt;원인분석!$C$9,"",IF(AND(M2621&gt;=원인분석!$C$10,M2621&lt;=원인분석!$C$11),"당기",IF(AND(M2621&gt;=원인분석!$C$12,M2621&lt;=원인분석!$C$13),"비교",""))))</f>
        <v/>
      </c>
      <c r="R2621" s="9">
        <f>IF(Q2621="","",$K2621&amp;"")</f>
        <v/>
      </c>
      <c r="S2621" s="9">
        <f>IF(Q2621="","",IF(MATCH(R2621,$R$5:$R$100000,0)=ROW()-4,ROW(),""))</f>
        <v/>
      </c>
      <c r="T2621" s="9">
        <f>IF(Q2621="당기",ABS(P2621)+ROW()/1000000000,"")</f>
        <v/>
      </c>
      <c r="U2621" s="9">
        <f>IF(Q2621="비교",ABS(P2621)+ROW()/1000000000,"")</f>
        <v/>
      </c>
      <c r="V2621" s="64">
        <f>IF($A2621="","",IF(COUNTIF(변동분석!$E$7:$E$506,O2621)&gt;0,"Y","N"))</f>
        <v/>
      </c>
      <c r="W2621" s="64">
        <f>IF($A2621="","",IFERROR(INDEX(계정매핑!$D$5:$D$504,MATCH($F2621&amp;"",계정매핑!$A$5:$A$504,0)),"미매핑"))</f>
        <v/>
      </c>
      <c r="X2621" s="9">
        <f>IF($A2621="","",$F2621&amp;"")</f>
        <v/>
      </c>
      <c r="Y2621" s="94">
        <f>IF($A2621="",0,IF(AE2621="직접",IF(AF2621="비귀속",$P2621,0),$P2621*(1-AG2621)*IFERROR(INDEX(계정대체기준!$F$20:$F$49,MATCH($N2621,계정대체기준!$A$20:$A$49,0)),1)))</f>
        <v/>
      </c>
      <c r="Z2621" s="94">
        <f>IF($A2621="",0,IF(AE2621="직접",IF(AF2621="신계약비",$P2621,0),$P2621*(1-AG2621)*IFERROR(INDEX(계정대체기준!$C$20:$C$49,MATCH($N2621,계정대체기준!$A$20:$A$49,0)),0)))</f>
        <v/>
      </c>
      <c r="AA2621" s="94">
        <f>IF($A2621="",0,IF(AE2621="직접",IF(OR(AF2621="유지비",AF2621="손해조사비"),$P2621,0),$P2621*(1-AG2621)*IFERROR(INDEX(계정대체기준!$D$20:$D$49,MATCH($N2621,계정대체기준!$A$20:$A$49,0)),0)))</f>
        <v/>
      </c>
      <c r="AB2621" s="94">
        <f>IF($A2621="",0,IF(AE2621="직접",IF(AF2621="수금비",$P2621,0),$P2621*(1-AG2621)*IFERROR(INDEX(계정대체기준!$E$20:$E$49,MATCH($N2621,계정대체기준!$A$20:$A$49,0)),0)))</f>
        <v/>
      </c>
      <c r="AC2621" s="9">
        <f>IF(AND($A2621&lt;&gt;"",M2621=설정!$C$20,Z2621&gt;0),Z2621+ROW()/1000000000,"")</f>
        <v/>
      </c>
      <c r="AD2621" s="94">
        <f>IF($A2621="",0,$P2621*AG2621)</f>
        <v/>
      </c>
      <c r="AE2621" s="64">
        <f>IF($A2621="","",IFERROR(INDEX(계정매핑!$E$5:$E$504,MATCH($F2621&amp;"",계정매핑!$A$5:$A$504,0))&amp;"","공통비"))</f>
        <v/>
      </c>
      <c r="AF2621" s="64">
        <f>IF($A2621="","",IF(AE2621="직접",IFERROR(INDEX(계정매핑!$F$5:$F$504,MATCH($F2621&amp;"",계정매핑!$A$5:$A$504,0))&amp;"","비귀속"),""))</f>
        <v/>
      </c>
      <c r="AG2621" s="96">
        <f>IF($A2621="",0,IF(AND(AE2621&lt;&gt;"직접",IFERROR(INDEX(계정매핑!$G$5:$G$504,MATCH($F2621&amp;"",계정매핑!$A$5:$A$504,0))&amp;"","")="유지비",COUNTIF(계정대체기준!$A$6:$A$15,$N2621)&gt;0),IFERROR(INDEX(계정대체기준!$E$6:$E$15,MATCH(VALUE($A2621&amp;""),계정대체기준!$D$6:$D$15,0)),0),0))</f>
        <v/>
      </c>
      <c r="AH2621" s="64">
        <f>IF($A2621="","",IF(AD2621=0,"",IF(OR(COUNTIF(계정대체기준!$A$77:$A$86,$N2621)&gt;0,ISNUMBER(MATCH($X2621,계정대체기준!$D$77:$D$86,0)),ISNUMBER(MATCH($F2621,계정대체기준!$D$77:$D$86,0))),"Y","N")))</f>
        <v/>
      </c>
    </row>
    <row r="2622">
      <c r="A2622" s="92" t="n">
        <v>2025</v>
      </c>
      <c r="B2622" s="92" t="n">
        <v>12</v>
      </c>
      <c r="C2622" s="92" t="inlineStr">
        <is>
          <t>5100002618</t>
        </is>
      </c>
      <c r="D2622" s="95" t="n">
        <v>46008</v>
      </c>
      <c r="E2622" s="92" t="inlineStr">
        <is>
          <t>KR</t>
        </is>
      </c>
      <c r="F2622" s="92" t="n">
        <v>62902000</v>
      </c>
      <c r="G2622" s="92" t="n">
        <v>1801</v>
      </c>
      <c r="H2622" s="93" t="n">
        <v>1849000</v>
      </c>
      <c r="I2622" s="92" t="inlineStr">
        <is>
          <t>12월 콜 위탁 수수료(건별)</t>
        </is>
      </c>
      <c r="J2622" s="92" t="inlineStr">
        <is>
          <t>V10016</t>
        </is>
      </c>
      <c r="K2622" s="92" t="inlineStr">
        <is>
          <t>J콜센터</t>
        </is>
      </c>
      <c r="M2622" s="9">
        <f>IF($A2622="","",VALUE($A2622&amp;"")*12+VALUE($B2622&amp;""))</f>
        <v/>
      </c>
      <c r="N2622" s="64">
        <f>IF($A2622="","",IFERROR(INDEX(부서매핑!$C$5:$C$504,MATCH($G2622&amp;"",부서매핑!$A$5:$A$504,0)),"미매핑"))</f>
        <v/>
      </c>
      <c r="O2622" s="9">
        <f>IF($A2622="","",N2622&amp;"|"&amp;$F2622)</f>
        <v/>
      </c>
      <c r="P2622" s="94">
        <f>IF($A2622="",0,$H2622*설정!$C$23)</f>
        <v/>
      </c>
      <c r="Q2622" s="64">
        <f>IF($A2622="","",IF(O2622&lt;&gt;원인분석!$C$9,"",IF(AND(M2622&gt;=원인분석!$C$10,M2622&lt;=원인분석!$C$11),"당기",IF(AND(M2622&gt;=원인분석!$C$12,M2622&lt;=원인분석!$C$13),"비교",""))))</f>
        <v/>
      </c>
      <c r="R2622" s="9">
        <f>IF(Q2622="","",$K2622&amp;"")</f>
        <v/>
      </c>
      <c r="S2622" s="9">
        <f>IF(Q2622="","",IF(MATCH(R2622,$R$5:$R$100000,0)=ROW()-4,ROW(),""))</f>
        <v/>
      </c>
      <c r="T2622" s="9">
        <f>IF(Q2622="당기",ABS(P2622)+ROW()/1000000000,"")</f>
        <v/>
      </c>
      <c r="U2622" s="9">
        <f>IF(Q2622="비교",ABS(P2622)+ROW()/1000000000,"")</f>
        <v/>
      </c>
      <c r="V2622" s="64">
        <f>IF($A2622="","",IF(COUNTIF(변동분석!$E$7:$E$506,O2622)&gt;0,"Y","N"))</f>
        <v/>
      </c>
      <c r="W2622" s="64">
        <f>IF($A2622="","",IFERROR(INDEX(계정매핑!$D$5:$D$504,MATCH($F2622&amp;"",계정매핑!$A$5:$A$504,0)),"미매핑"))</f>
        <v/>
      </c>
      <c r="X2622" s="9">
        <f>IF($A2622="","",$F2622&amp;"")</f>
        <v/>
      </c>
      <c r="Y2622" s="94">
        <f>IF($A2622="",0,IF(AE2622="직접",IF(AF2622="비귀속",$P2622,0),$P2622*(1-AG2622)*IFERROR(INDEX(계정대체기준!$F$20:$F$49,MATCH($N2622,계정대체기준!$A$20:$A$49,0)),1)))</f>
        <v/>
      </c>
      <c r="Z2622" s="94">
        <f>IF($A2622="",0,IF(AE2622="직접",IF(AF2622="신계약비",$P2622,0),$P2622*(1-AG2622)*IFERROR(INDEX(계정대체기준!$C$20:$C$49,MATCH($N2622,계정대체기준!$A$20:$A$49,0)),0)))</f>
        <v/>
      </c>
      <c r="AA2622" s="94">
        <f>IF($A2622="",0,IF(AE2622="직접",IF(OR(AF2622="유지비",AF2622="손해조사비"),$P2622,0),$P2622*(1-AG2622)*IFERROR(INDEX(계정대체기준!$D$20:$D$49,MATCH($N2622,계정대체기준!$A$20:$A$49,0)),0)))</f>
        <v/>
      </c>
      <c r="AB2622" s="94">
        <f>IF($A2622="",0,IF(AE2622="직접",IF(AF2622="수금비",$P2622,0),$P2622*(1-AG2622)*IFERROR(INDEX(계정대체기준!$E$20:$E$49,MATCH($N2622,계정대체기준!$A$20:$A$49,0)),0)))</f>
        <v/>
      </c>
      <c r="AC2622" s="9">
        <f>IF(AND($A2622&lt;&gt;"",M2622=설정!$C$20,Z2622&gt;0),Z2622+ROW()/1000000000,"")</f>
        <v/>
      </c>
      <c r="AD2622" s="94">
        <f>IF($A2622="",0,$P2622*AG2622)</f>
        <v/>
      </c>
      <c r="AE2622" s="64">
        <f>IF($A2622="","",IFERROR(INDEX(계정매핑!$E$5:$E$504,MATCH($F2622&amp;"",계정매핑!$A$5:$A$504,0))&amp;"","공통비"))</f>
        <v/>
      </c>
      <c r="AF2622" s="64">
        <f>IF($A2622="","",IF(AE2622="직접",IFERROR(INDEX(계정매핑!$F$5:$F$504,MATCH($F2622&amp;"",계정매핑!$A$5:$A$504,0))&amp;"","비귀속"),""))</f>
        <v/>
      </c>
      <c r="AG2622" s="96">
        <f>IF($A2622="",0,IF(AND(AE2622&lt;&gt;"직접",IFERROR(INDEX(계정매핑!$G$5:$G$504,MATCH($F2622&amp;"",계정매핑!$A$5:$A$504,0))&amp;"","")="유지비",COUNTIF(계정대체기준!$A$6:$A$15,$N2622)&gt;0),IFERROR(INDEX(계정대체기준!$E$6:$E$15,MATCH(VALUE($A2622&amp;""),계정대체기준!$D$6:$D$15,0)),0),0))</f>
        <v/>
      </c>
      <c r="AH2622" s="64">
        <f>IF($A2622="","",IF(AD2622=0,"",IF(OR(COUNTIF(계정대체기준!$A$77:$A$86,$N2622)&gt;0,ISNUMBER(MATCH($X2622,계정대체기준!$D$77:$D$86,0)),ISNUMBER(MATCH($F2622,계정대체기준!$D$77:$D$86,0))),"Y","N")))</f>
        <v/>
      </c>
    </row>
    <row r="2623">
      <c r="A2623" s="92" t="n">
        <v>2025</v>
      </c>
      <c r="B2623" s="92" t="n">
        <v>12</v>
      </c>
      <c r="C2623" s="92" t="inlineStr">
        <is>
          <t>5100002619</t>
        </is>
      </c>
      <c r="D2623" s="95" t="n">
        <v>46008</v>
      </c>
      <c r="E2623" s="92" t="inlineStr">
        <is>
          <t>KR</t>
        </is>
      </c>
      <c r="F2623" s="92" t="n">
        <v>63501000</v>
      </c>
      <c r="G2623" s="92" t="n">
        <v>1901</v>
      </c>
      <c r="H2623" s="93" t="n">
        <v>438052000</v>
      </c>
      <c r="I2623" s="92" t="inlineStr">
        <is>
          <t>12월 모집수수료 - AA보험대리점</t>
        </is>
      </c>
      <c r="J2623" s="92" t="inlineStr">
        <is>
          <t>V10034</t>
        </is>
      </c>
      <c r="K2623" s="92" t="inlineStr">
        <is>
          <t>AA보험대리점</t>
        </is>
      </c>
      <c r="M2623" s="9">
        <f>IF($A2623="","",VALUE($A2623&amp;"")*12+VALUE($B2623&amp;""))</f>
        <v/>
      </c>
      <c r="N2623" s="64">
        <f>IF($A2623="","",IFERROR(INDEX(부서매핑!$C$5:$C$504,MATCH($G2623&amp;"",부서매핑!$A$5:$A$504,0)),"미매핑"))</f>
        <v/>
      </c>
      <c r="O2623" s="9">
        <f>IF($A2623="","",N2623&amp;"|"&amp;$F2623)</f>
        <v/>
      </c>
      <c r="P2623" s="94">
        <f>IF($A2623="",0,$H2623*설정!$C$23)</f>
        <v/>
      </c>
      <c r="Q2623" s="64">
        <f>IF($A2623="","",IF(O2623&lt;&gt;원인분석!$C$9,"",IF(AND(M2623&gt;=원인분석!$C$10,M2623&lt;=원인분석!$C$11),"당기",IF(AND(M2623&gt;=원인분석!$C$12,M2623&lt;=원인분석!$C$13),"비교",""))))</f>
        <v/>
      </c>
      <c r="R2623" s="9">
        <f>IF(Q2623="","",$K2623&amp;"")</f>
        <v/>
      </c>
      <c r="S2623" s="9">
        <f>IF(Q2623="","",IF(MATCH(R2623,$R$5:$R$100000,0)=ROW()-4,ROW(),""))</f>
        <v/>
      </c>
      <c r="T2623" s="9">
        <f>IF(Q2623="당기",ABS(P2623)+ROW()/1000000000,"")</f>
        <v/>
      </c>
      <c r="U2623" s="9">
        <f>IF(Q2623="비교",ABS(P2623)+ROW()/1000000000,"")</f>
        <v/>
      </c>
      <c r="V2623" s="64">
        <f>IF($A2623="","",IF(COUNTIF(변동분석!$E$7:$E$506,O2623)&gt;0,"Y","N"))</f>
        <v/>
      </c>
      <c r="W2623" s="64">
        <f>IF($A2623="","",IFERROR(INDEX(계정매핑!$D$5:$D$504,MATCH($F2623&amp;"",계정매핑!$A$5:$A$504,0)),"미매핑"))</f>
        <v/>
      </c>
      <c r="X2623" s="9">
        <f>IF($A2623="","",$F2623&amp;"")</f>
        <v/>
      </c>
      <c r="Y2623" s="94">
        <f>IF($A2623="",0,IF(AE2623="직접",IF(AF2623="비귀속",$P2623,0),$P2623*(1-AG2623)*IFERROR(INDEX(계정대체기준!$F$20:$F$49,MATCH($N2623,계정대체기준!$A$20:$A$49,0)),1)))</f>
        <v/>
      </c>
      <c r="Z2623" s="94">
        <f>IF($A2623="",0,IF(AE2623="직접",IF(AF2623="신계약비",$P2623,0),$P2623*(1-AG2623)*IFERROR(INDEX(계정대체기준!$C$20:$C$49,MATCH($N2623,계정대체기준!$A$20:$A$49,0)),0)))</f>
        <v/>
      </c>
      <c r="AA2623" s="94">
        <f>IF($A2623="",0,IF(AE2623="직접",IF(OR(AF2623="유지비",AF2623="손해조사비"),$P2623,0),$P2623*(1-AG2623)*IFERROR(INDEX(계정대체기준!$D$20:$D$49,MATCH($N2623,계정대체기준!$A$20:$A$49,0)),0)))</f>
        <v/>
      </c>
      <c r="AB2623" s="94">
        <f>IF($A2623="",0,IF(AE2623="직접",IF(AF2623="수금비",$P2623,0),$P2623*(1-AG2623)*IFERROR(INDEX(계정대체기준!$E$20:$E$49,MATCH($N2623,계정대체기준!$A$20:$A$49,0)),0)))</f>
        <v/>
      </c>
      <c r="AC2623" s="9">
        <f>IF(AND($A2623&lt;&gt;"",M2623=설정!$C$20,Z2623&gt;0),Z2623+ROW()/1000000000,"")</f>
        <v/>
      </c>
      <c r="AD2623" s="94">
        <f>IF($A2623="",0,$P2623*AG2623)</f>
        <v/>
      </c>
      <c r="AE2623" s="64">
        <f>IF($A2623="","",IFERROR(INDEX(계정매핑!$E$5:$E$504,MATCH($F2623&amp;"",계정매핑!$A$5:$A$504,0))&amp;"","공통비"))</f>
        <v/>
      </c>
      <c r="AF2623" s="64">
        <f>IF($A2623="","",IF(AE2623="직접",IFERROR(INDEX(계정매핑!$F$5:$F$504,MATCH($F2623&amp;"",계정매핑!$A$5:$A$504,0))&amp;"","비귀속"),""))</f>
        <v/>
      </c>
      <c r="AG2623" s="96">
        <f>IF($A2623="",0,IF(AND(AE2623&lt;&gt;"직접",IFERROR(INDEX(계정매핑!$G$5:$G$504,MATCH($F2623&amp;"",계정매핑!$A$5:$A$504,0))&amp;"","")="유지비",COUNTIF(계정대체기준!$A$6:$A$15,$N2623)&gt;0),IFERROR(INDEX(계정대체기준!$E$6:$E$15,MATCH(VALUE($A2623&amp;""),계정대체기준!$D$6:$D$15,0)),0),0))</f>
        <v/>
      </c>
      <c r="AH2623" s="64">
        <f>IF($A2623="","",IF(AD2623=0,"",IF(OR(COUNTIF(계정대체기준!$A$77:$A$86,$N2623)&gt;0,ISNUMBER(MATCH($X2623,계정대체기준!$D$77:$D$86,0)),ISNUMBER(MATCH($F2623,계정대체기준!$D$77:$D$86,0))),"Y","N")))</f>
        <v/>
      </c>
    </row>
    <row r="2624">
      <c r="A2624" s="92" t="n">
        <v>2025</v>
      </c>
      <c r="B2624" s="92" t="n">
        <v>12</v>
      </c>
      <c r="C2624" s="92" t="inlineStr">
        <is>
          <t>5100002620</t>
        </is>
      </c>
      <c r="D2624" s="95" t="n">
        <v>46009</v>
      </c>
      <c r="E2624" s="92" t="inlineStr">
        <is>
          <t>KR</t>
        </is>
      </c>
      <c r="F2624" s="92" t="n">
        <v>62201000</v>
      </c>
      <c r="G2624" s="92" t="n">
        <v>1401</v>
      </c>
      <c r="H2624" s="93" t="n">
        <v>233000</v>
      </c>
      <c r="I2624" s="92" t="inlineStr">
        <is>
          <t>12월 통신요금 - O텔레콤</t>
        </is>
      </c>
      <c r="J2624" s="92" t="inlineStr">
        <is>
          <t>V10002</t>
        </is>
      </c>
      <c r="K2624" s="92" t="inlineStr">
        <is>
          <t>O텔레콤</t>
        </is>
      </c>
      <c r="M2624" s="9">
        <f>IF($A2624="","",VALUE($A2624&amp;"")*12+VALUE($B2624&amp;""))</f>
        <v/>
      </c>
      <c r="N2624" s="64">
        <f>IF($A2624="","",IFERROR(INDEX(부서매핑!$C$5:$C$504,MATCH($G2624&amp;"",부서매핑!$A$5:$A$504,0)),"미매핑"))</f>
        <v/>
      </c>
      <c r="O2624" s="9">
        <f>IF($A2624="","",N2624&amp;"|"&amp;$F2624)</f>
        <v/>
      </c>
      <c r="P2624" s="94">
        <f>IF($A2624="",0,$H2624*설정!$C$23)</f>
        <v/>
      </c>
      <c r="Q2624" s="64">
        <f>IF($A2624="","",IF(O2624&lt;&gt;원인분석!$C$9,"",IF(AND(M2624&gt;=원인분석!$C$10,M2624&lt;=원인분석!$C$11),"당기",IF(AND(M2624&gt;=원인분석!$C$12,M2624&lt;=원인분석!$C$13),"비교",""))))</f>
        <v/>
      </c>
      <c r="R2624" s="9">
        <f>IF(Q2624="","",$K2624&amp;"")</f>
        <v/>
      </c>
      <c r="S2624" s="9">
        <f>IF(Q2624="","",IF(MATCH(R2624,$R$5:$R$100000,0)=ROW()-4,ROW(),""))</f>
        <v/>
      </c>
      <c r="T2624" s="9">
        <f>IF(Q2624="당기",ABS(P2624)+ROW()/1000000000,"")</f>
        <v/>
      </c>
      <c r="U2624" s="9">
        <f>IF(Q2624="비교",ABS(P2624)+ROW()/1000000000,"")</f>
        <v/>
      </c>
      <c r="V2624" s="64">
        <f>IF($A2624="","",IF(COUNTIF(변동분석!$E$7:$E$506,O2624)&gt;0,"Y","N"))</f>
        <v/>
      </c>
      <c r="W2624" s="64">
        <f>IF($A2624="","",IFERROR(INDEX(계정매핑!$D$5:$D$504,MATCH($F2624&amp;"",계정매핑!$A$5:$A$504,0)),"미매핑"))</f>
        <v/>
      </c>
      <c r="X2624" s="9">
        <f>IF($A2624="","",$F2624&amp;"")</f>
        <v/>
      </c>
      <c r="Y2624" s="94">
        <f>IF($A2624="",0,IF(AE2624="직접",IF(AF2624="비귀속",$P2624,0),$P2624*(1-AG2624)*IFERROR(INDEX(계정대체기준!$F$20:$F$49,MATCH($N2624,계정대체기준!$A$20:$A$49,0)),1)))</f>
        <v/>
      </c>
      <c r="Z2624" s="94">
        <f>IF($A2624="",0,IF(AE2624="직접",IF(AF2624="신계약비",$P2624,0),$P2624*(1-AG2624)*IFERROR(INDEX(계정대체기준!$C$20:$C$49,MATCH($N2624,계정대체기준!$A$20:$A$49,0)),0)))</f>
        <v/>
      </c>
      <c r="AA2624" s="94">
        <f>IF($A2624="",0,IF(AE2624="직접",IF(OR(AF2624="유지비",AF2624="손해조사비"),$P2624,0),$P2624*(1-AG2624)*IFERROR(INDEX(계정대체기준!$D$20:$D$49,MATCH($N2624,계정대체기준!$A$20:$A$49,0)),0)))</f>
        <v/>
      </c>
      <c r="AB2624" s="94">
        <f>IF($A2624="",0,IF(AE2624="직접",IF(AF2624="수금비",$P2624,0),$P2624*(1-AG2624)*IFERROR(INDEX(계정대체기준!$E$20:$E$49,MATCH($N2624,계정대체기준!$A$20:$A$49,0)),0)))</f>
        <v/>
      </c>
      <c r="AC2624" s="9">
        <f>IF(AND($A2624&lt;&gt;"",M2624=설정!$C$20,Z2624&gt;0),Z2624+ROW()/1000000000,"")</f>
        <v/>
      </c>
      <c r="AD2624" s="94">
        <f>IF($A2624="",0,$P2624*AG2624)</f>
        <v/>
      </c>
      <c r="AE2624" s="64">
        <f>IF($A2624="","",IFERROR(INDEX(계정매핑!$E$5:$E$504,MATCH($F2624&amp;"",계정매핑!$A$5:$A$504,0))&amp;"","공통비"))</f>
        <v/>
      </c>
      <c r="AF2624" s="64">
        <f>IF($A2624="","",IF(AE2624="직접",IFERROR(INDEX(계정매핑!$F$5:$F$504,MATCH($F2624&amp;"",계정매핑!$A$5:$A$504,0))&amp;"","비귀속"),""))</f>
        <v/>
      </c>
      <c r="AG2624" s="96">
        <f>IF($A2624="",0,IF(AND(AE2624&lt;&gt;"직접",IFERROR(INDEX(계정매핑!$G$5:$G$504,MATCH($F2624&amp;"",계정매핑!$A$5:$A$504,0))&amp;"","")="유지비",COUNTIF(계정대체기준!$A$6:$A$15,$N2624)&gt;0),IFERROR(INDEX(계정대체기준!$E$6:$E$15,MATCH(VALUE($A2624&amp;""),계정대체기준!$D$6:$D$15,0)),0),0))</f>
        <v/>
      </c>
      <c r="AH2624" s="64">
        <f>IF($A2624="","",IF(AD2624=0,"",IF(OR(COUNTIF(계정대체기준!$A$77:$A$86,$N2624)&gt;0,ISNUMBER(MATCH($X2624,계정대체기준!$D$77:$D$86,0)),ISNUMBER(MATCH($F2624,계정대체기준!$D$77:$D$86,0))),"Y","N")))</f>
        <v/>
      </c>
    </row>
    <row r="2625">
      <c r="A2625" s="92" t="n">
        <v>2025</v>
      </c>
      <c r="B2625" s="92" t="n">
        <v>12</v>
      </c>
      <c r="C2625" s="92" t="inlineStr">
        <is>
          <t>5100002621</t>
        </is>
      </c>
      <c r="D2625" s="95" t="n">
        <v>46009</v>
      </c>
      <c r="E2625" s="92" t="inlineStr">
        <is>
          <t>KR</t>
        </is>
      </c>
      <c r="F2625" s="92" t="n">
        <v>62201000</v>
      </c>
      <c r="G2625" s="92" t="n">
        <v>1401</v>
      </c>
      <c r="H2625" s="93" t="n">
        <v>163000</v>
      </c>
      <c r="I2625" s="92" t="inlineStr">
        <is>
          <t>12월 통신요금 - P통신</t>
        </is>
      </c>
      <c r="J2625" s="92" t="inlineStr">
        <is>
          <t>V10014</t>
        </is>
      </c>
      <c r="K2625" s="92" t="inlineStr">
        <is>
          <t>P통신</t>
        </is>
      </c>
      <c r="M2625" s="9">
        <f>IF($A2625="","",VALUE($A2625&amp;"")*12+VALUE($B2625&amp;""))</f>
        <v/>
      </c>
      <c r="N2625" s="64">
        <f>IF($A2625="","",IFERROR(INDEX(부서매핑!$C$5:$C$504,MATCH($G2625&amp;"",부서매핑!$A$5:$A$504,0)),"미매핑"))</f>
        <v/>
      </c>
      <c r="O2625" s="9">
        <f>IF($A2625="","",N2625&amp;"|"&amp;$F2625)</f>
        <v/>
      </c>
      <c r="P2625" s="94">
        <f>IF($A2625="",0,$H2625*설정!$C$23)</f>
        <v/>
      </c>
      <c r="Q2625" s="64">
        <f>IF($A2625="","",IF(O2625&lt;&gt;원인분석!$C$9,"",IF(AND(M2625&gt;=원인분석!$C$10,M2625&lt;=원인분석!$C$11),"당기",IF(AND(M2625&gt;=원인분석!$C$12,M2625&lt;=원인분석!$C$13),"비교",""))))</f>
        <v/>
      </c>
      <c r="R2625" s="9">
        <f>IF(Q2625="","",$K2625&amp;"")</f>
        <v/>
      </c>
      <c r="S2625" s="9">
        <f>IF(Q2625="","",IF(MATCH(R2625,$R$5:$R$100000,0)=ROW()-4,ROW(),""))</f>
        <v/>
      </c>
      <c r="T2625" s="9">
        <f>IF(Q2625="당기",ABS(P2625)+ROW()/1000000000,"")</f>
        <v/>
      </c>
      <c r="U2625" s="9">
        <f>IF(Q2625="비교",ABS(P2625)+ROW()/1000000000,"")</f>
        <v/>
      </c>
      <c r="V2625" s="64">
        <f>IF($A2625="","",IF(COUNTIF(변동분석!$E$7:$E$506,O2625)&gt;0,"Y","N"))</f>
        <v/>
      </c>
      <c r="W2625" s="64">
        <f>IF($A2625="","",IFERROR(INDEX(계정매핑!$D$5:$D$504,MATCH($F2625&amp;"",계정매핑!$A$5:$A$504,0)),"미매핑"))</f>
        <v/>
      </c>
      <c r="X2625" s="9">
        <f>IF($A2625="","",$F2625&amp;"")</f>
        <v/>
      </c>
      <c r="Y2625" s="94">
        <f>IF($A2625="",0,IF(AE2625="직접",IF(AF2625="비귀속",$P2625,0),$P2625*(1-AG2625)*IFERROR(INDEX(계정대체기준!$F$20:$F$49,MATCH($N2625,계정대체기준!$A$20:$A$49,0)),1)))</f>
        <v/>
      </c>
      <c r="Z2625" s="94">
        <f>IF($A2625="",0,IF(AE2625="직접",IF(AF2625="신계약비",$P2625,0),$P2625*(1-AG2625)*IFERROR(INDEX(계정대체기준!$C$20:$C$49,MATCH($N2625,계정대체기준!$A$20:$A$49,0)),0)))</f>
        <v/>
      </c>
      <c r="AA2625" s="94">
        <f>IF($A2625="",0,IF(AE2625="직접",IF(OR(AF2625="유지비",AF2625="손해조사비"),$P2625,0),$P2625*(1-AG2625)*IFERROR(INDEX(계정대체기준!$D$20:$D$49,MATCH($N2625,계정대체기준!$A$20:$A$49,0)),0)))</f>
        <v/>
      </c>
      <c r="AB2625" s="94">
        <f>IF($A2625="",0,IF(AE2625="직접",IF(AF2625="수금비",$P2625,0),$P2625*(1-AG2625)*IFERROR(INDEX(계정대체기준!$E$20:$E$49,MATCH($N2625,계정대체기준!$A$20:$A$49,0)),0)))</f>
        <v/>
      </c>
      <c r="AC2625" s="9">
        <f>IF(AND($A2625&lt;&gt;"",M2625=설정!$C$20,Z2625&gt;0),Z2625+ROW()/1000000000,"")</f>
        <v/>
      </c>
      <c r="AD2625" s="94">
        <f>IF($A2625="",0,$P2625*AG2625)</f>
        <v/>
      </c>
      <c r="AE2625" s="64">
        <f>IF($A2625="","",IFERROR(INDEX(계정매핑!$E$5:$E$504,MATCH($F2625&amp;"",계정매핑!$A$5:$A$504,0))&amp;"","공통비"))</f>
        <v/>
      </c>
      <c r="AF2625" s="64">
        <f>IF($A2625="","",IF(AE2625="직접",IFERROR(INDEX(계정매핑!$F$5:$F$504,MATCH($F2625&amp;"",계정매핑!$A$5:$A$504,0))&amp;"","비귀속"),""))</f>
        <v/>
      </c>
      <c r="AG2625" s="96">
        <f>IF($A2625="",0,IF(AND(AE2625&lt;&gt;"직접",IFERROR(INDEX(계정매핑!$G$5:$G$504,MATCH($F2625&amp;"",계정매핑!$A$5:$A$504,0))&amp;"","")="유지비",COUNTIF(계정대체기준!$A$6:$A$15,$N2625)&gt;0),IFERROR(INDEX(계정대체기준!$E$6:$E$15,MATCH(VALUE($A2625&amp;""),계정대체기준!$D$6:$D$15,0)),0),0))</f>
        <v/>
      </c>
      <c r="AH2625" s="64">
        <f>IF($A2625="","",IF(AD2625=0,"",IF(OR(COUNTIF(계정대체기준!$A$77:$A$86,$N2625)&gt;0,ISNUMBER(MATCH($X2625,계정대체기준!$D$77:$D$86,0)),ISNUMBER(MATCH($F2625,계정대체기준!$D$77:$D$86,0))),"Y","N")))</f>
        <v/>
      </c>
    </row>
    <row r="2626">
      <c r="A2626" s="92" t="n">
        <v>2025</v>
      </c>
      <c r="B2626" s="92" t="n">
        <v>12</v>
      </c>
      <c r="C2626" s="92" t="inlineStr">
        <is>
          <t>5100002622</t>
        </is>
      </c>
      <c r="D2626" s="95" t="n">
        <v>46009</v>
      </c>
      <c r="E2626" s="92" t="inlineStr">
        <is>
          <t>KR</t>
        </is>
      </c>
      <c r="F2626" s="92" t="n">
        <v>62301000</v>
      </c>
      <c r="G2626" s="92" t="n">
        <v>1201</v>
      </c>
      <c r="H2626" s="93" t="n">
        <v>340000</v>
      </c>
      <c r="I2626" s="92" t="inlineStr">
        <is>
          <t>12월 소모품 구입 - R문구</t>
        </is>
      </c>
      <c r="J2626" s="92" t="inlineStr">
        <is>
          <t>V10022</t>
        </is>
      </c>
      <c r="K2626" s="92" t="inlineStr">
        <is>
          <t>R문구</t>
        </is>
      </c>
      <c r="M2626" s="9">
        <f>IF($A2626="","",VALUE($A2626&amp;"")*12+VALUE($B2626&amp;""))</f>
        <v/>
      </c>
      <c r="N2626" s="64">
        <f>IF($A2626="","",IFERROR(INDEX(부서매핑!$C$5:$C$504,MATCH($G2626&amp;"",부서매핑!$A$5:$A$504,0)),"미매핑"))</f>
        <v/>
      </c>
      <c r="O2626" s="9">
        <f>IF($A2626="","",N2626&amp;"|"&amp;$F2626)</f>
        <v/>
      </c>
      <c r="P2626" s="94">
        <f>IF($A2626="",0,$H2626*설정!$C$23)</f>
        <v/>
      </c>
      <c r="Q2626" s="64">
        <f>IF($A2626="","",IF(O2626&lt;&gt;원인분석!$C$9,"",IF(AND(M2626&gt;=원인분석!$C$10,M2626&lt;=원인분석!$C$11),"당기",IF(AND(M2626&gt;=원인분석!$C$12,M2626&lt;=원인분석!$C$13),"비교",""))))</f>
        <v/>
      </c>
      <c r="R2626" s="9">
        <f>IF(Q2626="","",$K2626&amp;"")</f>
        <v/>
      </c>
      <c r="S2626" s="9">
        <f>IF(Q2626="","",IF(MATCH(R2626,$R$5:$R$100000,0)=ROW()-4,ROW(),""))</f>
        <v/>
      </c>
      <c r="T2626" s="9">
        <f>IF(Q2626="당기",ABS(P2626)+ROW()/1000000000,"")</f>
        <v/>
      </c>
      <c r="U2626" s="9">
        <f>IF(Q2626="비교",ABS(P2626)+ROW()/1000000000,"")</f>
        <v/>
      </c>
      <c r="V2626" s="64">
        <f>IF($A2626="","",IF(COUNTIF(변동분석!$E$7:$E$506,O2626)&gt;0,"Y","N"))</f>
        <v/>
      </c>
      <c r="W2626" s="64">
        <f>IF($A2626="","",IFERROR(INDEX(계정매핑!$D$5:$D$504,MATCH($F2626&amp;"",계정매핑!$A$5:$A$504,0)),"미매핑"))</f>
        <v/>
      </c>
      <c r="X2626" s="9">
        <f>IF($A2626="","",$F2626&amp;"")</f>
        <v/>
      </c>
      <c r="Y2626" s="94">
        <f>IF($A2626="",0,IF(AE2626="직접",IF(AF2626="비귀속",$P2626,0),$P2626*(1-AG2626)*IFERROR(INDEX(계정대체기준!$F$20:$F$49,MATCH($N2626,계정대체기준!$A$20:$A$49,0)),1)))</f>
        <v/>
      </c>
      <c r="Z2626" s="94">
        <f>IF($A2626="",0,IF(AE2626="직접",IF(AF2626="신계약비",$P2626,0),$P2626*(1-AG2626)*IFERROR(INDEX(계정대체기준!$C$20:$C$49,MATCH($N2626,계정대체기준!$A$20:$A$49,0)),0)))</f>
        <v/>
      </c>
      <c r="AA2626" s="94">
        <f>IF($A2626="",0,IF(AE2626="직접",IF(OR(AF2626="유지비",AF2626="손해조사비"),$P2626,0),$P2626*(1-AG2626)*IFERROR(INDEX(계정대체기준!$D$20:$D$49,MATCH($N2626,계정대체기준!$A$20:$A$49,0)),0)))</f>
        <v/>
      </c>
      <c r="AB2626" s="94">
        <f>IF($A2626="",0,IF(AE2626="직접",IF(AF2626="수금비",$P2626,0),$P2626*(1-AG2626)*IFERROR(INDEX(계정대체기준!$E$20:$E$49,MATCH($N2626,계정대체기준!$A$20:$A$49,0)),0)))</f>
        <v/>
      </c>
      <c r="AC2626" s="9">
        <f>IF(AND($A2626&lt;&gt;"",M2626=설정!$C$20,Z2626&gt;0),Z2626+ROW()/1000000000,"")</f>
        <v/>
      </c>
      <c r="AD2626" s="94">
        <f>IF($A2626="",0,$P2626*AG2626)</f>
        <v/>
      </c>
      <c r="AE2626" s="64">
        <f>IF($A2626="","",IFERROR(INDEX(계정매핑!$E$5:$E$504,MATCH($F2626&amp;"",계정매핑!$A$5:$A$504,0))&amp;"","공통비"))</f>
        <v/>
      </c>
      <c r="AF2626" s="64">
        <f>IF($A2626="","",IF(AE2626="직접",IFERROR(INDEX(계정매핑!$F$5:$F$504,MATCH($F2626&amp;"",계정매핑!$A$5:$A$504,0))&amp;"","비귀속"),""))</f>
        <v/>
      </c>
      <c r="AG2626" s="96">
        <f>IF($A2626="",0,IF(AND(AE2626&lt;&gt;"직접",IFERROR(INDEX(계정매핑!$G$5:$G$504,MATCH($F2626&amp;"",계정매핑!$A$5:$A$504,0))&amp;"","")="유지비",COUNTIF(계정대체기준!$A$6:$A$15,$N2626)&gt;0),IFERROR(INDEX(계정대체기준!$E$6:$E$15,MATCH(VALUE($A2626&amp;""),계정대체기준!$D$6:$D$15,0)),0),0))</f>
        <v/>
      </c>
      <c r="AH2626" s="64">
        <f>IF($A2626="","",IF(AD2626=0,"",IF(OR(COUNTIF(계정대체기준!$A$77:$A$86,$N2626)&gt;0,ISNUMBER(MATCH($X2626,계정대체기준!$D$77:$D$86,0)),ISNUMBER(MATCH($F2626,계정대체기준!$D$77:$D$86,0))),"Y","N")))</f>
        <v/>
      </c>
    </row>
    <row r="2627">
      <c r="A2627" s="92" t="n">
        <v>2025</v>
      </c>
      <c r="B2627" s="92" t="n">
        <v>12</v>
      </c>
      <c r="C2627" s="92" t="inlineStr">
        <is>
          <t>5100002623</t>
        </is>
      </c>
      <c r="D2627" s="95" t="n">
        <v>46009</v>
      </c>
      <c r="E2627" s="92" t="inlineStr">
        <is>
          <t>KR</t>
        </is>
      </c>
      <c r="F2627" s="92" t="n">
        <v>62301000</v>
      </c>
      <c r="G2627" s="92" t="n">
        <v>1401</v>
      </c>
      <c r="H2627" s="93" t="n">
        <v>87000</v>
      </c>
      <c r="I2627" s="92" t="inlineStr">
        <is>
          <t>12월 소모품 구입 - R문구</t>
        </is>
      </c>
      <c r="J2627" s="92" t="inlineStr">
        <is>
          <t>V10022</t>
        </is>
      </c>
      <c r="K2627" s="92" t="inlineStr">
        <is>
          <t>R문구</t>
        </is>
      </c>
      <c r="M2627" s="9">
        <f>IF($A2627="","",VALUE($A2627&amp;"")*12+VALUE($B2627&amp;""))</f>
        <v/>
      </c>
      <c r="N2627" s="64">
        <f>IF($A2627="","",IFERROR(INDEX(부서매핑!$C$5:$C$504,MATCH($G2627&amp;"",부서매핑!$A$5:$A$504,0)),"미매핑"))</f>
        <v/>
      </c>
      <c r="O2627" s="9">
        <f>IF($A2627="","",N2627&amp;"|"&amp;$F2627)</f>
        <v/>
      </c>
      <c r="P2627" s="94">
        <f>IF($A2627="",0,$H2627*설정!$C$23)</f>
        <v/>
      </c>
      <c r="Q2627" s="64">
        <f>IF($A2627="","",IF(O2627&lt;&gt;원인분석!$C$9,"",IF(AND(M2627&gt;=원인분석!$C$10,M2627&lt;=원인분석!$C$11),"당기",IF(AND(M2627&gt;=원인분석!$C$12,M2627&lt;=원인분석!$C$13),"비교",""))))</f>
        <v/>
      </c>
      <c r="R2627" s="9">
        <f>IF(Q2627="","",$K2627&amp;"")</f>
        <v/>
      </c>
      <c r="S2627" s="9">
        <f>IF(Q2627="","",IF(MATCH(R2627,$R$5:$R$100000,0)=ROW()-4,ROW(),""))</f>
        <v/>
      </c>
      <c r="T2627" s="9">
        <f>IF(Q2627="당기",ABS(P2627)+ROW()/1000000000,"")</f>
        <v/>
      </c>
      <c r="U2627" s="9">
        <f>IF(Q2627="비교",ABS(P2627)+ROW()/1000000000,"")</f>
        <v/>
      </c>
      <c r="V2627" s="64">
        <f>IF($A2627="","",IF(COUNTIF(변동분석!$E$7:$E$506,O2627)&gt;0,"Y","N"))</f>
        <v/>
      </c>
      <c r="W2627" s="64">
        <f>IF($A2627="","",IFERROR(INDEX(계정매핑!$D$5:$D$504,MATCH($F2627&amp;"",계정매핑!$A$5:$A$504,0)),"미매핑"))</f>
        <v/>
      </c>
      <c r="X2627" s="9">
        <f>IF($A2627="","",$F2627&amp;"")</f>
        <v/>
      </c>
      <c r="Y2627" s="94">
        <f>IF($A2627="",0,IF(AE2627="직접",IF(AF2627="비귀속",$P2627,0),$P2627*(1-AG2627)*IFERROR(INDEX(계정대체기준!$F$20:$F$49,MATCH($N2627,계정대체기준!$A$20:$A$49,0)),1)))</f>
        <v/>
      </c>
      <c r="Z2627" s="94">
        <f>IF($A2627="",0,IF(AE2627="직접",IF(AF2627="신계약비",$P2627,0),$P2627*(1-AG2627)*IFERROR(INDEX(계정대체기준!$C$20:$C$49,MATCH($N2627,계정대체기준!$A$20:$A$49,0)),0)))</f>
        <v/>
      </c>
      <c r="AA2627" s="94">
        <f>IF($A2627="",0,IF(AE2627="직접",IF(OR(AF2627="유지비",AF2627="손해조사비"),$P2627,0),$P2627*(1-AG2627)*IFERROR(INDEX(계정대체기준!$D$20:$D$49,MATCH($N2627,계정대체기준!$A$20:$A$49,0)),0)))</f>
        <v/>
      </c>
      <c r="AB2627" s="94">
        <f>IF($A2627="",0,IF(AE2627="직접",IF(AF2627="수금비",$P2627,0),$P2627*(1-AG2627)*IFERROR(INDEX(계정대체기준!$E$20:$E$49,MATCH($N2627,계정대체기준!$A$20:$A$49,0)),0)))</f>
        <v/>
      </c>
      <c r="AC2627" s="9">
        <f>IF(AND($A2627&lt;&gt;"",M2627=설정!$C$20,Z2627&gt;0),Z2627+ROW()/1000000000,"")</f>
        <v/>
      </c>
      <c r="AD2627" s="94">
        <f>IF($A2627="",0,$P2627*AG2627)</f>
        <v/>
      </c>
      <c r="AE2627" s="64">
        <f>IF($A2627="","",IFERROR(INDEX(계정매핑!$E$5:$E$504,MATCH($F2627&amp;"",계정매핑!$A$5:$A$504,0))&amp;"","공통비"))</f>
        <v/>
      </c>
      <c r="AF2627" s="64">
        <f>IF($A2627="","",IF(AE2627="직접",IFERROR(INDEX(계정매핑!$F$5:$F$504,MATCH($F2627&amp;"",계정매핑!$A$5:$A$504,0))&amp;"","비귀속"),""))</f>
        <v/>
      </c>
      <c r="AG2627" s="96">
        <f>IF($A2627="",0,IF(AND(AE2627&lt;&gt;"직접",IFERROR(INDEX(계정매핑!$G$5:$G$504,MATCH($F2627&amp;"",계정매핑!$A$5:$A$504,0))&amp;"","")="유지비",COUNTIF(계정대체기준!$A$6:$A$15,$N2627)&gt;0),IFERROR(INDEX(계정대체기준!$E$6:$E$15,MATCH(VALUE($A2627&amp;""),계정대체기준!$D$6:$D$15,0)),0),0))</f>
        <v/>
      </c>
      <c r="AH2627" s="64">
        <f>IF($A2627="","",IF(AD2627=0,"",IF(OR(COUNTIF(계정대체기준!$A$77:$A$86,$N2627)&gt;0,ISNUMBER(MATCH($X2627,계정대체기준!$D$77:$D$86,0)),ISNUMBER(MATCH($F2627,계정대체기준!$D$77:$D$86,0))),"Y","N")))</f>
        <v/>
      </c>
    </row>
    <row r="2628">
      <c r="A2628" s="92" t="n">
        <v>2025</v>
      </c>
      <c r="B2628" s="92" t="n">
        <v>12</v>
      </c>
      <c r="C2628" s="92" t="inlineStr">
        <is>
          <t>5100002624</t>
        </is>
      </c>
      <c r="D2628" s="95" t="n">
        <v>46009</v>
      </c>
      <c r="E2628" s="92" t="inlineStr">
        <is>
          <t>KR</t>
        </is>
      </c>
      <c r="F2628" s="92" t="n">
        <v>62301000</v>
      </c>
      <c r="G2628" s="92" t="n">
        <v>1801</v>
      </c>
      <c r="H2628" s="93" t="n">
        <v>707000</v>
      </c>
      <c r="I2628" s="92" t="inlineStr">
        <is>
          <t>12월 소모품 구입 - Q오피스</t>
        </is>
      </c>
      <c r="J2628" s="92" t="inlineStr">
        <is>
          <t>V10003</t>
        </is>
      </c>
      <c r="K2628" s="92" t="inlineStr">
        <is>
          <t>Q오피스</t>
        </is>
      </c>
      <c r="M2628" s="9">
        <f>IF($A2628="","",VALUE($A2628&amp;"")*12+VALUE($B2628&amp;""))</f>
        <v/>
      </c>
      <c r="N2628" s="64">
        <f>IF($A2628="","",IFERROR(INDEX(부서매핑!$C$5:$C$504,MATCH($G2628&amp;"",부서매핑!$A$5:$A$504,0)),"미매핑"))</f>
        <v/>
      </c>
      <c r="O2628" s="9">
        <f>IF($A2628="","",N2628&amp;"|"&amp;$F2628)</f>
        <v/>
      </c>
      <c r="P2628" s="94">
        <f>IF($A2628="",0,$H2628*설정!$C$23)</f>
        <v/>
      </c>
      <c r="Q2628" s="64">
        <f>IF($A2628="","",IF(O2628&lt;&gt;원인분석!$C$9,"",IF(AND(M2628&gt;=원인분석!$C$10,M2628&lt;=원인분석!$C$11),"당기",IF(AND(M2628&gt;=원인분석!$C$12,M2628&lt;=원인분석!$C$13),"비교",""))))</f>
        <v/>
      </c>
      <c r="R2628" s="9">
        <f>IF(Q2628="","",$K2628&amp;"")</f>
        <v/>
      </c>
      <c r="S2628" s="9">
        <f>IF(Q2628="","",IF(MATCH(R2628,$R$5:$R$100000,0)=ROW()-4,ROW(),""))</f>
        <v/>
      </c>
      <c r="T2628" s="9">
        <f>IF(Q2628="당기",ABS(P2628)+ROW()/1000000000,"")</f>
        <v/>
      </c>
      <c r="U2628" s="9">
        <f>IF(Q2628="비교",ABS(P2628)+ROW()/1000000000,"")</f>
        <v/>
      </c>
      <c r="V2628" s="64">
        <f>IF($A2628="","",IF(COUNTIF(변동분석!$E$7:$E$506,O2628)&gt;0,"Y","N"))</f>
        <v/>
      </c>
      <c r="W2628" s="64">
        <f>IF($A2628="","",IFERROR(INDEX(계정매핑!$D$5:$D$504,MATCH($F2628&amp;"",계정매핑!$A$5:$A$504,0)),"미매핑"))</f>
        <v/>
      </c>
      <c r="X2628" s="9">
        <f>IF($A2628="","",$F2628&amp;"")</f>
        <v/>
      </c>
      <c r="Y2628" s="94">
        <f>IF($A2628="",0,IF(AE2628="직접",IF(AF2628="비귀속",$P2628,0),$P2628*(1-AG2628)*IFERROR(INDEX(계정대체기준!$F$20:$F$49,MATCH($N2628,계정대체기준!$A$20:$A$49,0)),1)))</f>
        <v/>
      </c>
      <c r="Z2628" s="94">
        <f>IF($A2628="",0,IF(AE2628="직접",IF(AF2628="신계약비",$P2628,0),$P2628*(1-AG2628)*IFERROR(INDEX(계정대체기준!$C$20:$C$49,MATCH($N2628,계정대체기준!$A$20:$A$49,0)),0)))</f>
        <v/>
      </c>
      <c r="AA2628" s="94">
        <f>IF($A2628="",0,IF(AE2628="직접",IF(OR(AF2628="유지비",AF2628="손해조사비"),$P2628,0),$P2628*(1-AG2628)*IFERROR(INDEX(계정대체기준!$D$20:$D$49,MATCH($N2628,계정대체기준!$A$20:$A$49,0)),0)))</f>
        <v/>
      </c>
      <c r="AB2628" s="94">
        <f>IF($A2628="",0,IF(AE2628="직접",IF(AF2628="수금비",$P2628,0),$P2628*(1-AG2628)*IFERROR(INDEX(계정대체기준!$E$20:$E$49,MATCH($N2628,계정대체기준!$A$20:$A$49,0)),0)))</f>
        <v/>
      </c>
      <c r="AC2628" s="9">
        <f>IF(AND($A2628&lt;&gt;"",M2628=설정!$C$20,Z2628&gt;0),Z2628+ROW()/1000000000,"")</f>
        <v/>
      </c>
      <c r="AD2628" s="94">
        <f>IF($A2628="",0,$P2628*AG2628)</f>
        <v/>
      </c>
      <c r="AE2628" s="64">
        <f>IF($A2628="","",IFERROR(INDEX(계정매핑!$E$5:$E$504,MATCH($F2628&amp;"",계정매핑!$A$5:$A$504,0))&amp;"","공통비"))</f>
        <v/>
      </c>
      <c r="AF2628" s="64">
        <f>IF($A2628="","",IF(AE2628="직접",IFERROR(INDEX(계정매핑!$F$5:$F$504,MATCH($F2628&amp;"",계정매핑!$A$5:$A$504,0))&amp;"","비귀속"),""))</f>
        <v/>
      </c>
      <c r="AG2628" s="96">
        <f>IF($A2628="",0,IF(AND(AE2628&lt;&gt;"직접",IFERROR(INDEX(계정매핑!$G$5:$G$504,MATCH($F2628&amp;"",계정매핑!$A$5:$A$504,0))&amp;"","")="유지비",COUNTIF(계정대체기준!$A$6:$A$15,$N2628)&gt;0),IFERROR(INDEX(계정대체기준!$E$6:$E$15,MATCH(VALUE($A2628&amp;""),계정대체기준!$D$6:$D$15,0)),0),0))</f>
        <v/>
      </c>
      <c r="AH2628" s="64">
        <f>IF($A2628="","",IF(AD2628=0,"",IF(OR(COUNTIF(계정대체기준!$A$77:$A$86,$N2628)&gt;0,ISNUMBER(MATCH($X2628,계정대체기준!$D$77:$D$86,0)),ISNUMBER(MATCH($F2628,계정대체기준!$D$77:$D$86,0))),"Y","N")))</f>
        <v/>
      </c>
    </row>
    <row r="2629">
      <c r="A2629" s="92" t="n">
        <v>2025</v>
      </c>
      <c r="B2629" s="92" t="n">
        <v>12</v>
      </c>
      <c r="C2629" s="92" t="inlineStr">
        <is>
          <t>5100002625</t>
        </is>
      </c>
      <c r="D2629" s="95" t="n">
        <v>46009</v>
      </c>
      <c r="E2629" s="92" t="inlineStr">
        <is>
          <t>KR</t>
        </is>
      </c>
      <c r="F2629" s="92" t="n">
        <v>62501000</v>
      </c>
      <c r="G2629" s="92" t="n">
        <v>1101</v>
      </c>
      <c r="H2629" s="93" t="n">
        <v>312000</v>
      </c>
      <c r="I2629" s="92" t="inlineStr">
        <is>
          <t>12월 회의 다과 - (법인카드)</t>
        </is>
      </c>
      <c r="J2629" s="92" t="inlineStr">
        <is>
          <t>V10010</t>
        </is>
      </c>
      <c r="K2629" s="92" t="inlineStr">
        <is>
          <t>(법인카드)</t>
        </is>
      </c>
      <c r="M2629" s="9">
        <f>IF($A2629="","",VALUE($A2629&amp;"")*12+VALUE($B2629&amp;""))</f>
        <v/>
      </c>
      <c r="N2629" s="64">
        <f>IF($A2629="","",IFERROR(INDEX(부서매핑!$C$5:$C$504,MATCH($G2629&amp;"",부서매핑!$A$5:$A$504,0)),"미매핑"))</f>
        <v/>
      </c>
      <c r="O2629" s="9">
        <f>IF($A2629="","",N2629&amp;"|"&amp;$F2629)</f>
        <v/>
      </c>
      <c r="P2629" s="94">
        <f>IF($A2629="",0,$H2629*설정!$C$23)</f>
        <v/>
      </c>
      <c r="Q2629" s="64">
        <f>IF($A2629="","",IF(O2629&lt;&gt;원인분석!$C$9,"",IF(AND(M2629&gt;=원인분석!$C$10,M2629&lt;=원인분석!$C$11),"당기",IF(AND(M2629&gt;=원인분석!$C$12,M2629&lt;=원인분석!$C$13),"비교",""))))</f>
        <v/>
      </c>
      <c r="R2629" s="9">
        <f>IF(Q2629="","",$K2629&amp;"")</f>
        <v/>
      </c>
      <c r="S2629" s="9">
        <f>IF(Q2629="","",IF(MATCH(R2629,$R$5:$R$100000,0)=ROW()-4,ROW(),""))</f>
        <v/>
      </c>
      <c r="T2629" s="9">
        <f>IF(Q2629="당기",ABS(P2629)+ROW()/1000000000,"")</f>
        <v/>
      </c>
      <c r="U2629" s="9">
        <f>IF(Q2629="비교",ABS(P2629)+ROW()/1000000000,"")</f>
        <v/>
      </c>
      <c r="V2629" s="64">
        <f>IF($A2629="","",IF(COUNTIF(변동분석!$E$7:$E$506,O2629)&gt;0,"Y","N"))</f>
        <v/>
      </c>
      <c r="W2629" s="64">
        <f>IF($A2629="","",IFERROR(INDEX(계정매핑!$D$5:$D$504,MATCH($F2629&amp;"",계정매핑!$A$5:$A$504,0)),"미매핑"))</f>
        <v/>
      </c>
      <c r="X2629" s="9">
        <f>IF($A2629="","",$F2629&amp;"")</f>
        <v/>
      </c>
      <c r="Y2629" s="94">
        <f>IF($A2629="",0,IF(AE2629="직접",IF(AF2629="비귀속",$P2629,0),$P2629*(1-AG2629)*IFERROR(INDEX(계정대체기준!$F$20:$F$49,MATCH($N2629,계정대체기준!$A$20:$A$49,0)),1)))</f>
        <v/>
      </c>
      <c r="Z2629" s="94">
        <f>IF($A2629="",0,IF(AE2629="직접",IF(AF2629="신계약비",$P2629,0),$P2629*(1-AG2629)*IFERROR(INDEX(계정대체기준!$C$20:$C$49,MATCH($N2629,계정대체기준!$A$20:$A$49,0)),0)))</f>
        <v/>
      </c>
      <c r="AA2629" s="94">
        <f>IF($A2629="",0,IF(AE2629="직접",IF(OR(AF2629="유지비",AF2629="손해조사비"),$P2629,0),$P2629*(1-AG2629)*IFERROR(INDEX(계정대체기준!$D$20:$D$49,MATCH($N2629,계정대체기준!$A$20:$A$49,0)),0)))</f>
        <v/>
      </c>
      <c r="AB2629" s="94">
        <f>IF($A2629="",0,IF(AE2629="직접",IF(AF2629="수금비",$P2629,0),$P2629*(1-AG2629)*IFERROR(INDEX(계정대체기준!$E$20:$E$49,MATCH($N2629,계정대체기준!$A$20:$A$49,0)),0)))</f>
        <v/>
      </c>
      <c r="AC2629" s="9">
        <f>IF(AND($A2629&lt;&gt;"",M2629=설정!$C$20,Z2629&gt;0),Z2629+ROW()/1000000000,"")</f>
        <v/>
      </c>
      <c r="AD2629" s="94">
        <f>IF($A2629="",0,$P2629*AG2629)</f>
        <v/>
      </c>
      <c r="AE2629" s="64">
        <f>IF($A2629="","",IFERROR(INDEX(계정매핑!$E$5:$E$504,MATCH($F2629&amp;"",계정매핑!$A$5:$A$504,0))&amp;"","공통비"))</f>
        <v/>
      </c>
      <c r="AF2629" s="64">
        <f>IF($A2629="","",IF(AE2629="직접",IFERROR(INDEX(계정매핑!$F$5:$F$504,MATCH($F2629&amp;"",계정매핑!$A$5:$A$504,0))&amp;"","비귀속"),""))</f>
        <v/>
      </c>
      <c r="AG2629" s="96">
        <f>IF($A2629="",0,IF(AND(AE2629&lt;&gt;"직접",IFERROR(INDEX(계정매핑!$G$5:$G$504,MATCH($F2629&amp;"",계정매핑!$A$5:$A$504,0))&amp;"","")="유지비",COUNTIF(계정대체기준!$A$6:$A$15,$N2629)&gt;0),IFERROR(INDEX(계정대체기준!$E$6:$E$15,MATCH(VALUE($A2629&amp;""),계정대체기준!$D$6:$D$15,0)),0),0))</f>
        <v/>
      </c>
      <c r="AH2629" s="64">
        <f>IF($A2629="","",IF(AD2629=0,"",IF(OR(COUNTIF(계정대체기준!$A$77:$A$86,$N2629)&gt;0,ISNUMBER(MATCH($X2629,계정대체기준!$D$77:$D$86,0)),ISNUMBER(MATCH($F2629,계정대체기준!$D$77:$D$86,0))),"Y","N")))</f>
        <v/>
      </c>
    </row>
    <row r="2630">
      <c r="A2630" s="92" t="n">
        <v>2025</v>
      </c>
      <c r="B2630" s="92" t="n">
        <v>12</v>
      </c>
      <c r="C2630" s="92" t="inlineStr">
        <is>
          <t>5100002626</t>
        </is>
      </c>
      <c r="D2630" s="95" t="n">
        <v>46009</v>
      </c>
      <c r="E2630" s="92" t="inlineStr">
        <is>
          <t>KR</t>
        </is>
      </c>
      <c r="F2630" s="92" t="n">
        <v>62501000</v>
      </c>
      <c r="G2630" s="92" t="n">
        <v>1501</v>
      </c>
      <c r="H2630" s="93" t="n">
        <v>180000</v>
      </c>
      <c r="I2630" s="92" t="inlineStr">
        <is>
          <t>12월 회의 다과 - T케이터링</t>
        </is>
      </c>
      <c r="J2630" s="92" t="inlineStr">
        <is>
          <t>V10005</t>
        </is>
      </c>
      <c r="K2630" s="92" t="inlineStr">
        <is>
          <t>T케이터링</t>
        </is>
      </c>
      <c r="M2630" s="9">
        <f>IF($A2630="","",VALUE($A2630&amp;"")*12+VALUE($B2630&amp;""))</f>
        <v/>
      </c>
      <c r="N2630" s="64">
        <f>IF($A2630="","",IFERROR(INDEX(부서매핑!$C$5:$C$504,MATCH($G2630&amp;"",부서매핑!$A$5:$A$504,0)),"미매핑"))</f>
        <v/>
      </c>
      <c r="O2630" s="9">
        <f>IF($A2630="","",N2630&amp;"|"&amp;$F2630)</f>
        <v/>
      </c>
      <c r="P2630" s="94">
        <f>IF($A2630="",0,$H2630*설정!$C$23)</f>
        <v/>
      </c>
      <c r="Q2630" s="64">
        <f>IF($A2630="","",IF(O2630&lt;&gt;원인분석!$C$9,"",IF(AND(M2630&gt;=원인분석!$C$10,M2630&lt;=원인분석!$C$11),"당기",IF(AND(M2630&gt;=원인분석!$C$12,M2630&lt;=원인분석!$C$13),"비교",""))))</f>
        <v/>
      </c>
      <c r="R2630" s="9">
        <f>IF(Q2630="","",$K2630&amp;"")</f>
        <v/>
      </c>
      <c r="S2630" s="9">
        <f>IF(Q2630="","",IF(MATCH(R2630,$R$5:$R$100000,0)=ROW()-4,ROW(),""))</f>
        <v/>
      </c>
      <c r="T2630" s="9">
        <f>IF(Q2630="당기",ABS(P2630)+ROW()/1000000000,"")</f>
        <v/>
      </c>
      <c r="U2630" s="9">
        <f>IF(Q2630="비교",ABS(P2630)+ROW()/1000000000,"")</f>
        <v/>
      </c>
      <c r="V2630" s="64">
        <f>IF($A2630="","",IF(COUNTIF(변동분석!$E$7:$E$506,O2630)&gt;0,"Y","N"))</f>
        <v/>
      </c>
      <c r="W2630" s="64">
        <f>IF($A2630="","",IFERROR(INDEX(계정매핑!$D$5:$D$504,MATCH($F2630&amp;"",계정매핑!$A$5:$A$504,0)),"미매핑"))</f>
        <v/>
      </c>
      <c r="X2630" s="9">
        <f>IF($A2630="","",$F2630&amp;"")</f>
        <v/>
      </c>
      <c r="Y2630" s="94">
        <f>IF($A2630="",0,IF(AE2630="직접",IF(AF2630="비귀속",$P2630,0),$P2630*(1-AG2630)*IFERROR(INDEX(계정대체기준!$F$20:$F$49,MATCH($N2630,계정대체기준!$A$20:$A$49,0)),1)))</f>
        <v/>
      </c>
      <c r="Z2630" s="94">
        <f>IF($A2630="",0,IF(AE2630="직접",IF(AF2630="신계약비",$P2630,0),$P2630*(1-AG2630)*IFERROR(INDEX(계정대체기준!$C$20:$C$49,MATCH($N2630,계정대체기준!$A$20:$A$49,0)),0)))</f>
        <v/>
      </c>
      <c r="AA2630" s="94">
        <f>IF($A2630="",0,IF(AE2630="직접",IF(OR(AF2630="유지비",AF2630="손해조사비"),$P2630,0),$P2630*(1-AG2630)*IFERROR(INDEX(계정대체기준!$D$20:$D$49,MATCH($N2630,계정대체기준!$A$20:$A$49,0)),0)))</f>
        <v/>
      </c>
      <c r="AB2630" s="94">
        <f>IF($A2630="",0,IF(AE2630="직접",IF(AF2630="수금비",$P2630,0),$P2630*(1-AG2630)*IFERROR(INDEX(계정대체기준!$E$20:$E$49,MATCH($N2630,계정대체기준!$A$20:$A$49,0)),0)))</f>
        <v/>
      </c>
      <c r="AC2630" s="9">
        <f>IF(AND($A2630&lt;&gt;"",M2630=설정!$C$20,Z2630&gt;0),Z2630+ROW()/1000000000,"")</f>
        <v/>
      </c>
      <c r="AD2630" s="94">
        <f>IF($A2630="",0,$P2630*AG2630)</f>
        <v/>
      </c>
      <c r="AE2630" s="64">
        <f>IF($A2630="","",IFERROR(INDEX(계정매핑!$E$5:$E$504,MATCH($F2630&amp;"",계정매핑!$A$5:$A$504,0))&amp;"","공통비"))</f>
        <v/>
      </c>
      <c r="AF2630" s="64">
        <f>IF($A2630="","",IF(AE2630="직접",IFERROR(INDEX(계정매핑!$F$5:$F$504,MATCH($F2630&amp;"",계정매핑!$A$5:$A$504,0))&amp;"","비귀속"),""))</f>
        <v/>
      </c>
      <c r="AG2630" s="96">
        <f>IF($A2630="",0,IF(AND(AE2630&lt;&gt;"직접",IFERROR(INDEX(계정매핑!$G$5:$G$504,MATCH($F2630&amp;"",계정매핑!$A$5:$A$504,0))&amp;"","")="유지비",COUNTIF(계정대체기준!$A$6:$A$15,$N2630)&gt;0),IFERROR(INDEX(계정대체기준!$E$6:$E$15,MATCH(VALUE($A2630&amp;""),계정대체기준!$D$6:$D$15,0)),0),0))</f>
        <v/>
      </c>
      <c r="AH2630" s="64">
        <f>IF($A2630="","",IF(AD2630=0,"",IF(OR(COUNTIF(계정대체기준!$A$77:$A$86,$N2630)&gt;0,ISNUMBER(MATCH($X2630,계정대체기준!$D$77:$D$86,0)),ISNUMBER(MATCH($F2630,계정대체기준!$D$77:$D$86,0))),"Y","N")))</f>
        <v/>
      </c>
    </row>
    <row r="2631">
      <c r="A2631" s="92" t="n">
        <v>2025</v>
      </c>
      <c r="B2631" s="92" t="n">
        <v>12</v>
      </c>
      <c r="C2631" s="92" t="inlineStr">
        <is>
          <t>5100002627</t>
        </is>
      </c>
      <c r="D2631" s="95" t="n">
        <v>46009</v>
      </c>
      <c r="E2631" s="92" t="inlineStr">
        <is>
          <t>KR</t>
        </is>
      </c>
      <c r="F2631" s="92" t="n">
        <v>62501000</v>
      </c>
      <c r="G2631" s="92" t="n">
        <v>1601</v>
      </c>
      <c r="H2631" s="93" t="n">
        <v>388000</v>
      </c>
      <c r="I2631" s="92" t="inlineStr">
        <is>
          <t>12월 회의 다과 - T케이터링</t>
        </is>
      </c>
      <c r="J2631" s="92" t="inlineStr">
        <is>
          <t>V10005</t>
        </is>
      </c>
      <c r="K2631" s="92" t="inlineStr">
        <is>
          <t>T케이터링</t>
        </is>
      </c>
      <c r="M2631" s="9">
        <f>IF($A2631="","",VALUE($A2631&amp;"")*12+VALUE($B2631&amp;""))</f>
        <v/>
      </c>
      <c r="N2631" s="64">
        <f>IF($A2631="","",IFERROR(INDEX(부서매핑!$C$5:$C$504,MATCH($G2631&amp;"",부서매핑!$A$5:$A$504,0)),"미매핑"))</f>
        <v/>
      </c>
      <c r="O2631" s="9">
        <f>IF($A2631="","",N2631&amp;"|"&amp;$F2631)</f>
        <v/>
      </c>
      <c r="P2631" s="94">
        <f>IF($A2631="",0,$H2631*설정!$C$23)</f>
        <v/>
      </c>
      <c r="Q2631" s="64">
        <f>IF($A2631="","",IF(O2631&lt;&gt;원인분석!$C$9,"",IF(AND(M2631&gt;=원인분석!$C$10,M2631&lt;=원인분석!$C$11),"당기",IF(AND(M2631&gt;=원인분석!$C$12,M2631&lt;=원인분석!$C$13),"비교",""))))</f>
        <v/>
      </c>
      <c r="R2631" s="9">
        <f>IF(Q2631="","",$K2631&amp;"")</f>
        <v/>
      </c>
      <c r="S2631" s="9">
        <f>IF(Q2631="","",IF(MATCH(R2631,$R$5:$R$100000,0)=ROW()-4,ROW(),""))</f>
        <v/>
      </c>
      <c r="T2631" s="9">
        <f>IF(Q2631="당기",ABS(P2631)+ROW()/1000000000,"")</f>
        <v/>
      </c>
      <c r="U2631" s="9">
        <f>IF(Q2631="비교",ABS(P2631)+ROW()/1000000000,"")</f>
        <v/>
      </c>
      <c r="V2631" s="64">
        <f>IF($A2631="","",IF(COUNTIF(변동분석!$E$7:$E$506,O2631)&gt;0,"Y","N"))</f>
        <v/>
      </c>
      <c r="W2631" s="64">
        <f>IF($A2631="","",IFERROR(INDEX(계정매핑!$D$5:$D$504,MATCH($F2631&amp;"",계정매핑!$A$5:$A$504,0)),"미매핑"))</f>
        <v/>
      </c>
      <c r="X2631" s="9">
        <f>IF($A2631="","",$F2631&amp;"")</f>
        <v/>
      </c>
      <c r="Y2631" s="94">
        <f>IF($A2631="",0,IF(AE2631="직접",IF(AF2631="비귀속",$P2631,0),$P2631*(1-AG2631)*IFERROR(INDEX(계정대체기준!$F$20:$F$49,MATCH($N2631,계정대체기준!$A$20:$A$49,0)),1)))</f>
        <v/>
      </c>
      <c r="Z2631" s="94">
        <f>IF($A2631="",0,IF(AE2631="직접",IF(AF2631="신계약비",$P2631,0),$P2631*(1-AG2631)*IFERROR(INDEX(계정대체기준!$C$20:$C$49,MATCH($N2631,계정대체기준!$A$20:$A$49,0)),0)))</f>
        <v/>
      </c>
      <c r="AA2631" s="94">
        <f>IF($A2631="",0,IF(AE2631="직접",IF(OR(AF2631="유지비",AF2631="손해조사비"),$P2631,0),$P2631*(1-AG2631)*IFERROR(INDEX(계정대체기준!$D$20:$D$49,MATCH($N2631,계정대체기준!$A$20:$A$49,0)),0)))</f>
        <v/>
      </c>
      <c r="AB2631" s="94">
        <f>IF($A2631="",0,IF(AE2631="직접",IF(AF2631="수금비",$P2631,0),$P2631*(1-AG2631)*IFERROR(INDEX(계정대체기준!$E$20:$E$49,MATCH($N2631,계정대체기준!$A$20:$A$49,0)),0)))</f>
        <v/>
      </c>
      <c r="AC2631" s="9">
        <f>IF(AND($A2631&lt;&gt;"",M2631=설정!$C$20,Z2631&gt;0),Z2631+ROW()/1000000000,"")</f>
        <v/>
      </c>
      <c r="AD2631" s="94">
        <f>IF($A2631="",0,$P2631*AG2631)</f>
        <v/>
      </c>
      <c r="AE2631" s="64">
        <f>IF($A2631="","",IFERROR(INDEX(계정매핑!$E$5:$E$504,MATCH($F2631&amp;"",계정매핑!$A$5:$A$504,0))&amp;"","공통비"))</f>
        <v/>
      </c>
      <c r="AF2631" s="64">
        <f>IF($A2631="","",IF(AE2631="직접",IFERROR(INDEX(계정매핑!$F$5:$F$504,MATCH($F2631&amp;"",계정매핑!$A$5:$A$504,0))&amp;"","비귀속"),""))</f>
        <v/>
      </c>
      <c r="AG2631" s="96">
        <f>IF($A2631="",0,IF(AND(AE2631&lt;&gt;"직접",IFERROR(INDEX(계정매핑!$G$5:$G$504,MATCH($F2631&amp;"",계정매핑!$A$5:$A$504,0))&amp;"","")="유지비",COUNTIF(계정대체기준!$A$6:$A$15,$N2631)&gt;0),IFERROR(INDEX(계정대체기준!$E$6:$E$15,MATCH(VALUE($A2631&amp;""),계정대체기준!$D$6:$D$15,0)),0),0))</f>
        <v/>
      </c>
      <c r="AH2631" s="64">
        <f>IF($A2631="","",IF(AD2631=0,"",IF(OR(COUNTIF(계정대체기준!$A$77:$A$86,$N2631)&gt;0,ISNUMBER(MATCH($X2631,계정대체기준!$D$77:$D$86,0)),ISNUMBER(MATCH($F2631,계정대체기준!$D$77:$D$86,0))),"Y","N")))</f>
        <v/>
      </c>
    </row>
    <row r="2632">
      <c r="A2632" s="92" t="n">
        <v>2025</v>
      </c>
      <c r="B2632" s="92" t="n">
        <v>12</v>
      </c>
      <c r="C2632" s="92" t="inlineStr">
        <is>
          <t>5100002628</t>
        </is>
      </c>
      <c r="D2632" s="95" t="n">
        <v>46009</v>
      </c>
      <c r="E2632" s="92" t="inlineStr">
        <is>
          <t>KR</t>
        </is>
      </c>
      <c r="F2632" s="92" t="n">
        <v>62701000</v>
      </c>
      <c r="G2632" s="92" t="n">
        <v>1501</v>
      </c>
      <c r="H2632" s="93" t="n">
        <v>50475000</v>
      </c>
      <c r="I2632" s="92" t="inlineStr">
        <is>
          <t>12월 광고 집행 - F애드</t>
        </is>
      </c>
      <c r="J2632" s="92" t="inlineStr">
        <is>
          <t>V10023</t>
        </is>
      </c>
      <c r="K2632" s="92" t="inlineStr">
        <is>
          <t>F애드</t>
        </is>
      </c>
      <c r="M2632" s="9">
        <f>IF($A2632="","",VALUE($A2632&amp;"")*12+VALUE($B2632&amp;""))</f>
        <v/>
      </c>
      <c r="N2632" s="64">
        <f>IF($A2632="","",IFERROR(INDEX(부서매핑!$C$5:$C$504,MATCH($G2632&amp;"",부서매핑!$A$5:$A$504,0)),"미매핑"))</f>
        <v/>
      </c>
      <c r="O2632" s="9">
        <f>IF($A2632="","",N2632&amp;"|"&amp;$F2632)</f>
        <v/>
      </c>
      <c r="P2632" s="94">
        <f>IF($A2632="",0,$H2632*설정!$C$23)</f>
        <v/>
      </c>
      <c r="Q2632" s="64">
        <f>IF($A2632="","",IF(O2632&lt;&gt;원인분석!$C$9,"",IF(AND(M2632&gt;=원인분석!$C$10,M2632&lt;=원인분석!$C$11),"당기",IF(AND(M2632&gt;=원인분석!$C$12,M2632&lt;=원인분석!$C$13),"비교",""))))</f>
        <v/>
      </c>
      <c r="R2632" s="9">
        <f>IF(Q2632="","",$K2632&amp;"")</f>
        <v/>
      </c>
      <c r="S2632" s="9">
        <f>IF(Q2632="","",IF(MATCH(R2632,$R$5:$R$100000,0)=ROW()-4,ROW(),""))</f>
        <v/>
      </c>
      <c r="T2632" s="9">
        <f>IF(Q2632="당기",ABS(P2632)+ROW()/1000000000,"")</f>
        <v/>
      </c>
      <c r="U2632" s="9">
        <f>IF(Q2632="비교",ABS(P2632)+ROW()/1000000000,"")</f>
        <v/>
      </c>
      <c r="V2632" s="64">
        <f>IF($A2632="","",IF(COUNTIF(변동분석!$E$7:$E$506,O2632)&gt;0,"Y","N"))</f>
        <v/>
      </c>
      <c r="W2632" s="64">
        <f>IF($A2632="","",IFERROR(INDEX(계정매핑!$D$5:$D$504,MATCH($F2632&amp;"",계정매핑!$A$5:$A$504,0)),"미매핑"))</f>
        <v/>
      </c>
      <c r="X2632" s="9">
        <f>IF($A2632="","",$F2632&amp;"")</f>
        <v/>
      </c>
      <c r="Y2632" s="94">
        <f>IF($A2632="",0,IF(AE2632="직접",IF(AF2632="비귀속",$P2632,0),$P2632*(1-AG2632)*IFERROR(INDEX(계정대체기준!$F$20:$F$49,MATCH($N2632,계정대체기준!$A$20:$A$49,0)),1)))</f>
        <v/>
      </c>
      <c r="Z2632" s="94">
        <f>IF($A2632="",0,IF(AE2632="직접",IF(AF2632="신계약비",$P2632,0),$P2632*(1-AG2632)*IFERROR(INDEX(계정대체기준!$C$20:$C$49,MATCH($N2632,계정대체기준!$A$20:$A$49,0)),0)))</f>
        <v/>
      </c>
      <c r="AA2632" s="94">
        <f>IF($A2632="",0,IF(AE2632="직접",IF(OR(AF2632="유지비",AF2632="손해조사비"),$P2632,0),$P2632*(1-AG2632)*IFERROR(INDEX(계정대체기준!$D$20:$D$49,MATCH($N2632,계정대체기준!$A$20:$A$49,0)),0)))</f>
        <v/>
      </c>
      <c r="AB2632" s="94">
        <f>IF($A2632="",0,IF(AE2632="직접",IF(AF2632="수금비",$P2632,0),$P2632*(1-AG2632)*IFERROR(INDEX(계정대체기준!$E$20:$E$49,MATCH($N2632,계정대체기준!$A$20:$A$49,0)),0)))</f>
        <v/>
      </c>
      <c r="AC2632" s="9">
        <f>IF(AND($A2632&lt;&gt;"",M2632=설정!$C$20,Z2632&gt;0),Z2632+ROW()/1000000000,"")</f>
        <v/>
      </c>
      <c r="AD2632" s="94">
        <f>IF($A2632="",0,$P2632*AG2632)</f>
        <v/>
      </c>
      <c r="AE2632" s="64">
        <f>IF($A2632="","",IFERROR(INDEX(계정매핑!$E$5:$E$504,MATCH($F2632&amp;"",계정매핑!$A$5:$A$504,0))&amp;"","공통비"))</f>
        <v/>
      </c>
      <c r="AF2632" s="64">
        <f>IF($A2632="","",IF(AE2632="직접",IFERROR(INDEX(계정매핑!$F$5:$F$504,MATCH($F2632&amp;"",계정매핑!$A$5:$A$504,0))&amp;"","비귀속"),""))</f>
        <v/>
      </c>
      <c r="AG2632" s="96">
        <f>IF($A2632="",0,IF(AND(AE2632&lt;&gt;"직접",IFERROR(INDEX(계정매핑!$G$5:$G$504,MATCH($F2632&amp;"",계정매핑!$A$5:$A$504,0))&amp;"","")="유지비",COUNTIF(계정대체기준!$A$6:$A$15,$N2632)&gt;0),IFERROR(INDEX(계정대체기준!$E$6:$E$15,MATCH(VALUE($A2632&amp;""),계정대체기준!$D$6:$D$15,0)),0),0))</f>
        <v/>
      </c>
      <c r="AH2632" s="64">
        <f>IF($A2632="","",IF(AD2632=0,"",IF(OR(COUNTIF(계정대체기준!$A$77:$A$86,$N2632)&gt;0,ISNUMBER(MATCH($X2632,계정대체기준!$D$77:$D$86,0)),ISNUMBER(MATCH($F2632,계정대체기준!$D$77:$D$86,0))),"Y","N")))</f>
        <v/>
      </c>
    </row>
    <row r="2633">
      <c r="A2633" s="92" t="n">
        <v>2025</v>
      </c>
      <c r="B2633" s="92" t="n">
        <v>12</v>
      </c>
      <c r="C2633" s="92" t="inlineStr">
        <is>
          <t>5100002629</t>
        </is>
      </c>
      <c r="D2633" s="95" t="n">
        <v>46009</v>
      </c>
      <c r="E2633" s="92" t="inlineStr">
        <is>
          <t>KR</t>
        </is>
      </c>
      <c r="F2633" s="92" t="n">
        <v>62901000</v>
      </c>
      <c r="G2633" s="92" t="n">
        <v>1201</v>
      </c>
      <c r="H2633" s="93" t="n">
        <v>5157000</v>
      </c>
      <c r="I2633" s="92" t="inlineStr">
        <is>
          <t>12월 자문 수수료 - W컨설팅</t>
        </is>
      </c>
      <c r="J2633" s="92" t="inlineStr">
        <is>
          <t>V10006</t>
        </is>
      </c>
      <c r="K2633" s="92" t="inlineStr">
        <is>
          <t>W컨설팅</t>
        </is>
      </c>
      <c r="M2633" s="9">
        <f>IF($A2633="","",VALUE($A2633&amp;"")*12+VALUE($B2633&amp;""))</f>
        <v/>
      </c>
      <c r="N2633" s="64">
        <f>IF($A2633="","",IFERROR(INDEX(부서매핑!$C$5:$C$504,MATCH($G2633&amp;"",부서매핑!$A$5:$A$504,0)),"미매핑"))</f>
        <v/>
      </c>
      <c r="O2633" s="9">
        <f>IF($A2633="","",N2633&amp;"|"&amp;$F2633)</f>
        <v/>
      </c>
      <c r="P2633" s="94">
        <f>IF($A2633="",0,$H2633*설정!$C$23)</f>
        <v/>
      </c>
      <c r="Q2633" s="64">
        <f>IF($A2633="","",IF(O2633&lt;&gt;원인분석!$C$9,"",IF(AND(M2633&gt;=원인분석!$C$10,M2633&lt;=원인분석!$C$11),"당기",IF(AND(M2633&gt;=원인분석!$C$12,M2633&lt;=원인분석!$C$13),"비교",""))))</f>
        <v/>
      </c>
      <c r="R2633" s="9">
        <f>IF(Q2633="","",$K2633&amp;"")</f>
        <v/>
      </c>
      <c r="S2633" s="9">
        <f>IF(Q2633="","",IF(MATCH(R2633,$R$5:$R$100000,0)=ROW()-4,ROW(),""))</f>
        <v/>
      </c>
      <c r="T2633" s="9">
        <f>IF(Q2633="당기",ABS(P2633)+ROW()/1000000000,"")</f>
        <v/>
      </c>
      <c r="U2633" s="9">
        <f>IF(Q2633="비교",ABS(P2633)+ROW()/1000000000,"")</f>
        <v/>
      </c>
      <c r="V2633" s="64">
        <f>IF($A2633="","",IF(COUNTIF(변동분석!$E$7:$E$506,O2633)&gt;0,"Y","N"))</f>
        <v/>
      </c>
      <c r="W2633" s="64">
        <f>IF($A2633="","",IFERROR(INDEX(계정매핑!$D$5:$D$504,MATCH($F2633&amp;"",계정매핑!$A$5:$A$504,0)),"미매핑"))</f>
        <v/>
      </c>
      <c r="X2633" s="9">
        <f>IF($A2633="","",$F2633&amp;"")</f>
        <v/>
      </c>
      <c r="Y2633" s="94">
        <f>IF($A2633="",0,IF(AE2633="직접",IF(AF2633="비귀속",$P2633,0),$P2633*(1-AG2633)*IFERROR(INDEX(계정대체기준!$F$20:$F$49,MATCH($N2633,계정대체기준!$A$20:$A$49,0)),1)))</f>
        <v/>
      </c>
      <c r="Z2633" s="94">
        <f>IF($A2633="",0,IF(AE2633="직접",IF(AF2633="신계약비",$P2633,0),$P2633*(1-AG2633)*IFERROR(INDEX(계정대체기준!$C$20:$C$49,MATCH($N2633,계정대체기준!$A$20:$A$49,0)),0)))</f>
        <v/>
      </c>
      <c r="AA2633" s="94">
        <f>IF($A2633="",0,IF(AE2633="직접",IF(OR(AF2633="유지비",AF2633="손해조사비"),$P2633,0),$P2633*(1-AG2633)*IFERROR(INDEX(계정대체기준!$D$20:$D$49,MATCH($N2633,계정대체기준!$A$20:$A$49,0)),0)))</f>
        <v/>
      </c>
      <c r="AB2633" s="94">
        <f>IF($A2633="",0,IF(AE2633="직접",IF(AF2633="수금비",$P2633,0),$P2633*(1-AG2633)*IFERROR(INDEX(계정대체기준!$E$20:$E$49,MATCH($N2633,계정대체기준!$A$20:$A$49,0)),0)))</f>
        <v/>
      </c>
      <c r="AC2633" s="9">
        <f>IF(AND($A2633&lt;&gt;"",M2633=설정!$C$20,Z2633&gt;0),Z2633+ROW()/1000000000,"")</f>
        <v/>
      </c>
      <c r="AD2633" s="94">
        <f>IF($A2633="",0,$P2633*AG2633)</f>
        <v/>
      </c>
      <c r="AE2633" s="64">
        <f>IF($A2633="","",IFERROR(INDEX(계정매핑!$E$5:$E$504,MATCH($F2633&amp;"",계정매핑!$A$5:$A$504,0))&amp;"","공통비"))</f>
        <v/>
      </c>
      <c r="AF2633" s="64">
        <f>IF($A2633="","",IF(AE2633="직접",IFERROR(INDEX(계정매핑!$F$5:$F$504,MATCH($F2633&amp;"",계정매핑!$A$5:$A$504,0))&amp;"","비귀속"),""))</f>
        <v/>
      </c>
      <c r="AG2633" s="96">
        <f>IF($A2633="",0,IF(AND(AE2633&lt;&gt;"직접",IFERROR(INDEX(계정매핑!$G$5:$G$504,MATCH($F2633&amp;"",계정매핑!$A$5:$A$504,0))&amp;"","")="유지비",COUNTIF(계정대체기준!$A$6:$A$15,$N2633)&gt;0),IFERROR(INDEX(계정대체기준!$E$6:$E$15,MATCH(VALUE($A2633&amp;""),계정대체기준!$D$6:$D$15,0)),0),0))</f>
        <v/>
      </c>
      <c r="AH2633" s="64">
        <f>IF($A2633="","",IF(AD2633=0,"",IF(OR(COUNTIF(계정대체기준!$A$77:$A$86,$N2633)&gt;0,ISNUMBER(MATCH($X2633,계정대체기준!$D$77:$D$86,0)),ISNUMBER(MATCH($F2633,계정대체기준!$D$77:$D$86,0))),"Y","N")))</f>
        <v/>
      </c>
    </row>
    <row r="2634">
      <c r="A2634" s="92" t="n">
        <v>2025</v>
      </c>
      <c r="B2634" s="92" t="n">
        <v>12</v>
      </c>
      <c r="C2634" s="92" t="inlineStr">
        <is>
          <t>5100002630</t>
        </is>
      </c>
      <c r="D2634" s="95" t="n">
        <v>46009</v>
      </c>
      <c r="E2634" s="92" t="inlineStr">
        <is>
          <t>KR</t>
        </is>
      </c>
      <c r="F2634" s="92" t="n">
        <v>63002000</v>
      </c>
      <c r="G2634" s="92" t="n">
        <v>1951</v>
      </c>
      <c r="H2634" s="93" t="n">
        <v>2995000</v>
      </c>
      <c r="I2634" s="92" t="inlineStr">
        <is>
          <t>12월 클라우드 사용료 - C클라우드</t>
        </is>
      </c>
      <c r="J2634" s="92" t="inlineStr">
        <is>
          <t>V10026</t>
        </is>
      </c>
      <c r="K2634" s="92" t="inlineStr">
        <is>
          <t>C클라우드</t>
        </is>
      </c>
      <c r="M2634" s="9">
        <f>IF($A2634="","",VALUE($A2634&amp;"")*12+VALUE($B2634&amp;""))</f>
        <v/>
      </c>
      <c r="N2634" s="64">
        <f>IF($A2634="","",IFERROR(INDEX(부서매핑!$C$5:$C$504,MATCH($G2634&amp;"",부서매핑!$A$5:$A$504,0)),"미매핑"))</f>
        <v/>
      </c>
      <c r="O2634" s="9">
        <f>IF($A2634="","",N2634&amp;"|"&amp;$F2634)</f>
        <v/>
      </c>
      <c r="P2634" s="94">
        <f>IF($A2634="",0,$H2634*설정!$C$23)</f>
        <v/>
      </c>
      <c r="Q2634" s="64">
        <f>IF($A2634="","",IF(O2634&lt;&gt;원인분석!$C$9,"",IF(AND(M2634&gt;=원인분석!$C$10,M2634&lt;=원인분석!$C$11),"당기",IF(AND(M2634&gt;=원인분석!$C$12,M2634&lt;=원인분석!$C$13),"비교",""))))</f>
        <v/>
      </c>
      <c r="R2634" s="9">
        <f>IF(Q2634="","",$K2634&amp;"")</f>
        <v/>
      </c>
      <c r="S2634" s="9">
        <f>IF(Q2634="","",IF(MATCH(R2634,$R$5:$R$100000,0)=ROW()-4,ROW(),""))</f>
        <v/>
      </c>
      <c r="T2634" s="9">
        <f>IF(Q2634="당기",ABS(P2634)+ROW()/1000000000,"")</f>
        <v/>
      </c>
      <c r="U2634" s="9">
        <f>IF(Q2634="비교",ABS(P2634)+ROW()/1000000000,"")</f>
        <v/>
      </c>
      <c r="V2634" s="64">
        <f>IF($A2634="","",IF(COUNTIF(변동분석!$E$7:$E$506,O2634)&gt;0,"Y","N"))</f>
        <v/>
      </c>
      <c r="W2634" s="64">
        <f>IF($A2634="","",IFERROR(INDEX(계정매핑!$D$5:$D$504,MATCH($F2634&amp;"",계정매핑!$A$5:$A$504,0)),"미매핑"))</f>
        <v/>
      </c>
      <c r="X2634" s="9">
        <f>IF($A2634="","",$F2634&amp;"")</f>
        <v/>
      </c>
      <c r="Y2634" s="94">
        <f>IF($A2634="",0,IF(AE2634="직접",IF(AF2634="비귀속",$P2634,0),$P2634*(1-AG2634)*IFERROR(INDEX(계정대체기준!$F$20:$F$49,MATCH($N2634,계정대체기준!$A$20:$A$49,0)),1)))</f>
        <v/>
      </c>
      <c r="Z2634" s="94">
        <f>IF($A2634="",0,IF(AE2634="직접",IF(AF2634="신계약비",$P2634,0),$P2634*(1-AG2634)*IFERROR(INDEX(계정대체기준!$C$20:$C$49,MATCH($N2634,계정대체기준!$A$20:$A$49,0)),0)))</f>
        <v/>
      </c>
      <c r="AA2634" s="94">
        <f>IF($A2634="",0,IF(AE2634="직접",IF(OR(AF2634="유지비",AF2634="손해조사비"),$P2634,0),$P2634*(1-AG2634)*IFERROR(INDEX(계정대체기준!$D$20:$D$49,MATCH($N2634,계정대체기준!$A$20:$A$49,0)),0)))</f>
        <v/>
      </c>
      <c r="AB2634" s="94">
        <f>IF($A2634="",0,IF(AE2634="직접",IF(AF2634="수금비",$P2634,0),$P2634*(1-AG2634)*IFERROR(INDEX(계정대체기준!$E$20:$E$49,MATCH($N2634,계정대체기준!$A$20:$A$49,0)),0)))</f>
        <v/>
      </c>
      <c r="AC2634" s="9">
        <f>IF(AND($A2634&lt;&gt;"",M2634=설정!$C$20,Z2634&gt;0),Z2634+ROW()/1000000000,"")</f>
        <v/>
      </c>
      <c r="AD2634" s="94">
        <f>IF($A2634="",0,$P2634*AG2634)</f>
        <v/>
      </c>
      <c r="AE2634" s="64">
        <f>IF($A2634="","",IFERROR(INDEX(계정매핑!$E$5:$E$504,MATCH($F2634&amp;"",계정매핑!$A$5:$A$504,0))&amp;"","공통비"))</f>
        <v/>
      </c>
      <c r="AF2634" s="64">
        <f>IF($A2634="","",IF(AE2634="직접",IFERROR(INDEX(계정매핑!$F$5:$F$504,MATCH($F2634&amp;"",계정매핑!$A$5:$A$504,0))&amp;"","비귀속"),""))</f>
        <v/>
      </c>
      <c r="AG2634" s="96">
        <f>IF($A2634="",0,IF(AND(AE2634&lt;&gt;"직접",IFERROR(INDEX(계정매핑!$G$5:$G$504,MATCH($F2634&amp;"",계정매핑!$A$5:$A$504,0))&amp;"","")="유지비",COUNTIF(계정대체기준!$A$6:$A$15,$N2634)&gt;0),IFERROR(INDEX(계정대체기준!$E$6:$E$15,MATCH(VALUE($A2634&amp;""),계정대체기준!$D$6:$D$15,0)),0),0))</f>
        <v/>
      </c>
      <c r="AH2634" s="64">
        <f>IF($A2634="","",IF(AD2634=0,"",IF(OR(COUNTIF(계정대체기준!$A$77:$A$86,$N2634)&gt;0,ISNUMBER(MATCH($X2634,계정대체기준!$D$77:$D$86,0)),ISNUMBER(MATCH($F2634,계정대체기준!$D$77:$D$86,0))),"Y","N")))</f>
        <v/>
      </c>
    </row>
    <row r="2635">
      <c r="A2635" s="92" t="n">
        <v>2025</v>
      </c>
      <c r="B2635" s="92" t="n">
        <v>12</v>
      </c>
      <c r="C2635" s="92" t="inlineStr">
        <is>
          <t>5100002631</t>
        </is>
      </c>
      <c r="D2635" s="95" t="n">
        <v>46009</v>
      </c>
      <c r="E2635" s="92" t="inlineStr">
        <is>
          <t>KR</t>
        </is>
      </c>
      <c r="F2635" s="92" t="n">
        <v>63502000</v>
      </c>
      <c r="G2635" s="92" t="n">
        <v>1901</v>
      </c>
      <c r="H2635" s="93" t="n">
        <v>123825000</v>
      </c>
      <c r="I2635" s="92" t="inlineStr">
        <is>
          <t>12월 유지수수료 - CC금융서비스</t>
        </is>
      </c>
      <c r="J2635" s="92" t="inlineStr">
        <is>
          <t>V10029</t>
        </is>
      </c>
      <c r="K2635" s="92" t="inlineStr">
        <is>
          <t>CC금융서비스</t>
        </is>
      </c>
      <c r="M2635" s="9">
        <f>IF($A2635="","",VALUE($A2635&amp;"")*12+VALUE($B2635&amp;""))</f>
        <v/>
      </c>
      <c r="N2635" s="64">
        <f>IF($A2635="","",IFERROR(INDEX(부서매핑!$C$5:$C$504,MATCH($G2635&amp;"",부서매핑!$A$5:$A$504,0)),"미매핑"))</f>
        <v/>
      </c>
      <c r="O2635" s="9">
        <f>IF($A2635="","",N2635&amp;"|"&amp;$F2635)</f>
        <v/>
      </c>
      <c r="P2635" s="94">
        <f>IF($A2635="",0,$H2635*설정!$C$23)</f>
        <v/>
      </c>
      <c r="Q2635" s="64">
        <f>IF($A2635="","",IF(O2635&lt;&gt;원인분석!$C$9,"",IF(AND(M2635&gt;=원인분석!$C$10,M2635&lt;=원인분석!$C$11),"당기",IF(AND(M2635&gt;=원인분석!$C$12,M2635&lt;=원인분석!$C$13),"비교",""))))</f>
        <v/>
      </c>
      <c r="R2635" s="9">
        <f>IF(Q2635="","",$K2635&amp;"")</f>
        <v/>
      </c>
      <c r="S2635" s="9">
        <f>IF(Q2635="","",IF(MATCH(R2635,$R$5:$R$100000,0)=ROW()-4,ROW(),""))</f>
        <v/>
      </c>
      <c r="T2635" s="9">
        <f>IF(Q2635="당기",ABS(P2635)+ROW()/1000000000,"")</f>
        <v/>
      </c>
      <c r="U2635" s="9">
        <f>IF(Q2635="비교",ABS(P2635)+ROW()/1000000000,"")</f>
        <v/>
      </c>
      <c r="V2635" s="64">
        <f>IF($A2635="","",IF(COUNTIF(변동분석!$E$7:$E$506,O2635)&gt;0,"Y","N"))</f>
        <v/>
      </c>
      <c r="W2635" s="64">
        <f>IF($A2635="","",IFERROR(INDEX(계정매핑!$D$5:$D$504,MATCH($F2635&amp;"",계정매핑!$A$5:$A$504,0)),"미매핑"))</f>
        <v/>
      </c>
      <c r="X2635" s="9">
        <f>IF($A2635="","",$F2635&amp;"")</f>
        <v/>
      </c>
      <c r="Y2635" s="94">
        <f>IF($A2635="",0,IF(AE2635="직접",IF(AF2635="비귀속",$P2635,0),$P2635*(1-AG2635)*IFERROR(INDEX(계정대체기준!$F$20:$F$49,MATCH($N2635,계정대체기준!$A$20:$A$49,0)),1)))</f>
        <v/>
      </c>
      <c r="Z2635" s="94">
        <f>IF($A2635="",0,IF(AE2635="직접",IF(AF2635="신계약비",$P2635,0),$P2635*(1-AG2635)*IFERROR(INDEX(계정대체기준!$C$20:$C$49,MATCH($N2635,계정대체기준!$A$20:$A$49,0)),0)))</f>
        <v/>
      </c>
      <c r="AA2635" s="94">
        <f>IF($A2635="",0,IF(AE2635="직접",IF(OR(AF2635="유지비",AF2635="손해조사비"),$P2635,0),$P2635*(1-AG2635)*IFERROR(INDEX(계정대체기준!$D$20:$D$49,MATCH($N2635,계정대체기준!$A$20:$A$49,0)),0)))</f>
        <v/>
      </c>
      <c r="AB2635" s="94">
        <f>IF($A2635="",0,IF(AE2635="직접",IF(AF2635="수금비",$P2635,0),$P2635*(1-AG2635)*IFERROR(INDEX(계정대체기준!$E$20:$E$49,MATCH($N2635,계정대체기준!$A$20:$A$49,0)),0)))</f>
        <v/>
      </c>
      <c r="AC2635" s="9">
        <f>IF(AND($A2635&lt;&gt;"",M2635=설정!$C$20,Z2635&gt;0),Z2635+ROW()/1000000000,"")</f>
        <v/>
      </c>
      <c r="AD2635" s="94">
        <f>IF($A2635="",0,$P2635*AG2635)</f>
        <v/>
      </c>
      <c r="AE2635" s="64">
        <f>IF($A2635="","",IFERROR(INDEX(계정매핑!$E$5:$E$504,MATCH($F2635&amp;"",계정매핑!$A$5:$A$504,0))&amp;"","공통비"))</f>
        <v/>
      </c>
      <c r="AF2635" s="64">
        <f>IF($A2635="","",IF(AE2635="직접",IFERROR(INDEX(계정매핑!$F$5:$F$504,MATCH($F2635&amp;"",계정매핑!$A$5:$A$504,0))&amp;"","비귀속"),""))</f>
        <v/>
      </c>
      <c r="AG2635" s="96">
        <f>IF($A2635="",0,IF(AND(AE2635&lt;&gt;"직접",IFERROR(INDEX(계정매핑!$G$5:$G$504,MATCH($F2635&amp;"",계정매핑!$A$5:$A$504,0))&amp;"","")="유지비",COUNTIF(계정대체기준!$A$6:$A$15,$N2635)&gt;0),IFERROR(INDEX(계정대체기준!$E$6:$E$15,MATCH(VALUE($A2635&amp;""),계정대체기준!$D$6:$D$15,0)),0),0))</f>
        <v/>
      </c>
      <c r="AH2635" s="64">
        <f>IF($A2635="","",IF(AD2635=0,"",IF(OR(COUNTIF(계정대체기준!$A$77:$A$86,$N2635)&gt;0,ISNUMBER(MATCH($X2635,계정대체기준!$D$77:$D$86,0)),ISNUMBER(MATCH($F2635,계정대체기준!$D$77:$D$86,0))),"Y","N")))</f>
        <v/>
      </c>
    </row>
    <row r="2636">
      <c r="A2636" s="92" t="n">
        <v>2025</v>
      </c>
      <c r="B2636" s="92" t="n">
        <v>12</v>
      </c>
      <c r="C2636" s="92" t="inlineStr">
        <is>
          <t>5100002632</t>
        </is>
      </c>
      <c r="D2636" s="95" t="n">
        <v>46010</v>
      </c>
      <c r="E2636" s="92" t="inlineStr">
        <is>
          <t>KR</t>
        </is>
      </c>
      <c r="F2636" s="92" t="n">
        <v>62101000</v>
      </c>
      <c r="G2636" s="92" t="n">
        <v>1401</v>
      </c>
      <c r="H2636" s="93" t="n">
        <v>413000</v>
      </c>
      <c r="I2636" s="92" t="inlineStr">
        <is>
          <t>12월 국내출장 - (법인카드)</t>
        </is>
      </c>
      <c r="J2636" s="92" t="inlineStr">
        <is>
          <t>V10010</t>
        </is>
      </c>
      <c r="K2636" s="92" t="inlineStr">
        <is>
          <t>(법인카드)</t>
        </is>
      </c>
      <c r="M2636" s="9">
        <f>IF($A2636="","",VALUE($A2636&amp;"")*12+VALUE($B2636&amp;""))</f>
        <v/>
      </c>
      <c r="N2636" s="64">
        <f>IF($A2636="","",IFERROR(INDEX(부서매핑!$C$5:$C$504,MATCH($G2636&amp;"",부서매핑!$A$5:$A$504,0)),"미매핑"))</f>
        <v/>
      </c>
      <c r="O2636" s="9">
        <f>IF($A2636="","",N2636&amp;"|"&amp;$F2636)</f>
        <v/>
      </c>
      <c r="P2636" s="94">
        <f>IF($A2636="",0,$H2636*설정!$C$23)</f>
        <v/>
      </c>
      <c r="Q2636" s="64">
        <f>IF($A2636="","",IF(O2636&lt;&gt;원인분석!$C$9,"",IF(AND(M2636&gt;=원인분석!$C$10,M2636&lt;=원인분석!$C$11),"당기",IF(AND(M2636&gt;=원인분석!$C$12,M2636&lt;=원인분석!$C$13),"비교",""))))</f>
        <v/>
      </c>
      <c r="R2636" s="9">
        <f>IF(Q2636="","",$K2636&amp;"")</f>
        <v/>
      </c>
      <c r="S2636" s="9">
        <f>IF(Q2636="","",IF(MATCH(R2636,$R$5:$R$100000,0)=ROW()-4,ROW(),""))</f>
        <v/>
      </c>
      <c r="T2636" s="9">
        <f>IF(Q2636="당기",ABS(P2636)+ROW()/1000000000,"")</f>
        <v/>
      </c>
      <c r="U2636" s="9">
        <f>IF(Q2636="비교",ABS(P2636)+ROW()/1000000000,"")</f>
        <v/>
      </c>
      <c r="V2636" s="64">
        <f>IF($A2636="","",IF(COUNTIF(변동분석!$E$7:$E$506,O2636)&gt;0,"Y","N"))</f>
        <v/>
      </c>
      <c r="W2636" s="64">
        <f>IF($A2636="","",IFERROR(INDEX(계정매핑!$D$5:$D$504,MATCH($F2636&amp;"",계정매핑!$A$5:$A$504,0)),"미매핑"))</f>
        <v/>
      </c>
      <c r="X2636" s="9">
        <f>IF($A2636="","",$F2636&amp;"")</f>
        <v/>
      </c>
      <c r="Y2636" s="94">
        <f>IF($A2636="",0,IF(AE2636="직접",IF(AF2636="비귀속",$P2636,0),$P2636*(1-AG2636)*IFERROR(INDEX(계정대체기준!$F$20:$F$49,MATCH($N2636,계정대체기준!$A$20:$A$49,0)),1)))</f>
        <v/>
      </c>
      <c r="Z2636" s="94">
        <f>IF($A2636="",0,IF(AE2636="직접",IF(AF2636="신계약비",$P2636,0),$P2636*(1-AG2636)*IFERROR(INDEX(계정대체기준!$C$20:$C$49,MATCH($N2636,계정대체기준!$A$20:$A$49,0)),0)))</f>
        <v/>
      </c>
      <c r="AA2636" s="94">
        <f>IF($A2636="",0,IF(AE2636="직접",IF(OR(AF2636="유지비",AF2636="손해조사비"),$P2636,0),$P2636*(1-AG2636)*IFERROR(INDEX(계정대체기준!$D$20:$D$49,MATCH($N2636,계정대체기준!$A$20:$A$49,0)),0)))</f>
        <v/>
      </c>
      <c r="AB2636" s="94">
        <f>IF($A2636="",0,IF(AE2636="직접",IF(AF2636="수금비",$P2636,0),$P2636*(1-AG2636)*IFERROR(INDEX(계정대체기준!$E$20:$E$49,MATCH($N2636,계정대체기준!$A$20:$A$49,0)),0)))</f>
        <v/>
      </c>
      <c r="AC2636" s="9">
        <f>IF(AND($A2636&lt;&gt;"",M2636=설정!$C$20,Z2636&gt;0),Z2636+ROW()/1000000000,"")</f>
        <v/>
      </c>
      <c r="AD2636" s="94">
        <f>IF($A2636="",0,$P2636*AG2636)</f>
        <v/>
      </c>
      <c r="AE2636" s="64">
        <f>IF($A2636="","",IFERROR(INDEX(계정매핑!$E$5:$E$504,MATCH($F2636&amp;"",계정매핑!$A$5:$A$504,0))&amp;"","공통비"))</f>
        <v/>
      </c>
      <c r="AF2636" s="64">
        <f>IF($A2636="","",IF(AE2636="직접",IFERROR(INDEX(계정매핑!$F$5:$F$504,MATCH($F2636&amp;"",계정매핑!$A$5:$A$504,0))&amp;"","비귀속"),""))</f>
        <v/>
      </c>
      <c r="AG2636" s="96">
        <f>IF($A2636="",0,IF(AND(AE2636&lt;&gt;"직접",IFERROR(INDEX(계정매핑!$G$5:$G$504,MATCH($F2636&amp;"",계정매핑!$A$5:$A$504,0))&amp;"","")="유지비",COUNTIF(계정대체기준!$A$6:$A$15,$N2636)&gt;0),IFERROR(INDEX(계정대체기준!$E$6:$E$15,MATCH(VALUE($A2636&amp;""),계정대체기준!$D$6:$D$15,0)),0),0))</f>
        <v/>
      </c>
      <c r="AH2636" s="64">
        <f>IF($A2636="","",IF(AD2636=0,"",IF(OR(COUNTIF(계정대체기준!$A$77:$A$86,$N2636)&gt;0,ISNUMBER(MATCH($X2636,계정대체기준!$D$77:$D$86,0)),ISNUMBER(MATCH($F2636,계정대체기준!$D$77:$D$86,0))),"Y","N")))</f>
        <v/>
      </c>
    </row>
    <row r="2637">
      <c r="A2637" s="92" t="n">
        <v>2025</v>
      </c>
      <c r="B2637" s="92" t="n">
        <v>12</v>
      </c>
      <c r="C2637" s="92" t="inlineStr">
        <is>
          <t>5100002633</t>
        </is>
      </c>
      <c r="D2637" s="95" t="n">
        <v>46010</v>
      </c>
      <c r="E2637" s="92" t="inlineStr">
        <is>
          <t>KR</t>
        </is>
      </c>
      <c r="F2637" s="92" t="n">
        <v>62101000</v>
      </c>
      <c r="G2637" s="92" t="n">
        <v>1701</v>
      </c>
      <c r="H2637" s="93" t="n">
        <v>255000</v>
      </c>
      <c r="I2637" s="92" t="inlineStr">
        <is>
          <t>12월 국내출장 - L여행사</t>
        </is>
      </c>
      <c r="J2637" s="92" t="inlineStr">
        <is>
          <t>V10018</t>
        </is>
      </c>
      <c r="K2637" s="92" t="inlineStr">
        <is>
          <t>L여행사</t>
        </is>
      </c>
      <c r="M2637" s="9">
        <f>IF($A2637="","",VALUE($A2637&amp;"")*12+VALUE($B2637&amp;""))</f>
        <v/>
      </c>
      <c r="N2637" s="64">
        <f>IF($A2637="","",IFERROR(INDEX(부서매핑!$C$5:$C$504,MATCH($G2637&amp;"",부서매핑!$A$5:$A$504,0)),"미매핑"))</f>
        <v/>
      </c>
      <c r="O2637" s="9">
        <f>IF($A2637="","",N2637&amp;"|"&amp;$F2637)</f>
        <v/>
      </c>
      <c r="P2637" s="94">
        <f>IF($A2637="",0,$H2637*설정!$C$23)</f>
        <v/>
      </c>
      <c r="Q2637" s="64">
        <f>IF($A2637="","",IF(O2637&lt;&gt;원인분석!$C$9,"",IF(AND(M2637&gt;=원인분석!$C$10,M2637&lt;=원인분석!$C$11),"당기",IF(AND(M2637&gt;=원인분석!$C$12,M2637&lt;=원인분석!$C$13),"비교",""))))</f>
        <v/>
      </c>
      <c r="R2637" s="9">
        <f>IF(Q2637="","",$K2637&amp;"")</f>
        <v/>
      </c>
      <c r="S2637" s="9">
        <f>IF(Q2637="","",IF(MATCH(R2637,$R$5:$R$100000,0)=ROW()-4,ROW(),""))</f>
        <v/>
      </c>
      <c r="T2637" s="9">
        <f>IF(Q2637="당기",ABS(P2637)+ROW()/1000000000,"")</f>
        <v/>
      </c>
      <c r="U2637" s="9">
        <f>IF(Q2637="비교",ABS(P2637)+ROW()/1000000000,"")</f>
        <v/>
      </c>
      <c r="V2637" s="64">
        <f>IF($A2637="","",IF(COUNTIF(변동분석!$E$7:$E$506,O2637)&gt;0,"Y","N"))</f>
        <v/>
      </c>
      <c r="W2637" s="64">
        <f>IF($A2637="","",IFERROR(INDEX(계정매핑!$D$5:$D$504,MATCH($F2637&amp;"",계정매핑!$A$5:$A$504,0)),"미매핑"))</f>
        <v/>
      </c>
      <c r="X2637" s="9">
        <f>IF($A2637="","",$F2637&amp;"")</f>
        <v/>
      </c>
      <c r="Y2637" s="94">
        <f>IF($A2637="",0,IF(AE2637="직접",IF(AF2637="비귀속",$P2637,0),$P2637*(1-AG2637)*IFERROR(INDEX(계정대체기준!$F$20:$F$49,MATCH($N2637,계정대체기준!$A$20:$A$49,0)),1)))</f>
        <v/>
      </c>
      <c r="Z2637" s="94">
        <f>IF($A2637="",0,IF(AE2637="직접",IF(AF2637="신계약비",$P2637,0),$P2637*(1-AG2637)*IFERROR(INDEX(계정대체기준!$C$20:$C$49,MATCH($N2637,계정대체기준!$A$20:$A$49,0)),0)))</f>
        <v/>
      </c>
      <c r="AA2637" s="94">
        <f>IF($A2637="",0,IF(AE2637="직접",IF(OR(AF2637="유지비",AF2637="손해조사비"),$P2637,0),$P2637*(1-AG2637)*IFERROR(INDEX(계정대체기준!$D$20:$D$49,MATCH($N2637,계정대체기준!$A$20:$A$49,0)),0)))</f>
        <v/>
      </c>
      <c r="AB2637" s="94">
        <f>IF($A2637="",0,IF(AE2637="직접",IF(AF2637="수금비",$P2637,0),$P2637*(1-AG2637)*IFERROR(INDEX(계정대체기준!$E$20:$E$49,MATCH($N2637,계정대체기준!$A$20:$A$49,0)),0)))</f>
        <v/>
      </c>
      <c r="AC2637" s="9">
        <f>IF(AND($A2637&lt;&gt;"",M2637=설정!$C$20,Z2637&gt;0),Z2637+ROW()/1000000000,"")</f>
        <v/>
      </c>
      <c r="AD2637" s="94">
        <f>IF($A2637="",0,$P2637*AG2637)</f>
        <v/>
      </c>
      <c r="AE2637" s="64">
        <f>IF($A2637="","",IFERROR(INDEX(계정매핑!$E$5:$E$504,MATCH($F2637&amp;"",계정매핑!$A$5:$A$504,0))&amp;"","공통비"))</f>
        <v/>
      </c>
      <c r="AF2637" s="64">
        <f>IF($A2637="","",IF(AE2637="직접",IFERROR(INDEX(계정매핑!$F$5:$F$504,MATCH($F2637&amp;"",계정매핑!$A$5:$A$504,0))&amp;"","비귀속"),""))</f>
        <v/>
      </c>
      <c r="AG2637" s="96">
        <f>IF($A2637="",0,IF(AND(AE2637&lt;&gt;"직접",IFERROR(INDEX(계정매핑!$G$5:$G$504,MATCH($F2637&amp;"",계정매핑!$A$5:$A$504,0))&amp;"","")="유지비",COUNTIF(계정대체기준!$A$6:$A$15,$N2637)&gt;0),IFERROR(INDEX(계정대체기준!$E$6:$E$15,MATCH(VALUE($A2637&amp;""),계정대체기준!$D$6:$D$15,0)),0),0))</f>
        <v/>
      </c>
      <c r="AH2637" s="64">
        <f>IF($A2637="","",IF(AD2637=0,"",IF(OR(COUNTIF(계정대체기준!$A$77:$A$86,$N2637)&gt;0,ISNUMBER(MATCH($X2637,계정대체기준!$D$77:$D$86,0)),ISNUMBER(MATCH($F2637,계정대체기준!$D$77:$D$86,0))),"Y","N")))</f>
        <v/>
      </c>
    </row>
    <row r="2638">
      <c r="A2638" s="92" t="n">
        <v>2025</v>
      </c>
      <c r="B2638" s="92" t="n">
        <v>12</v>
      </c>
      <c r="C2638" s="92" t="inlineStr">
        <is>
          <t>5100002634</t>
        </is>
      </c>
      <c r="D2638" s="95" t="n">
        <v>46010</v>
      </c>
      <c r="E2638" s="92" t="inlineStr">
        <is>
          <t>KR</t>
        </is>
      </c>
      <c r="F2638" s="92" t="n">
        <v>62101000</v>
      </c>
      <c r="G2638" s="92" t="n">
        <v>1701</v>
      </c>
      <c r="H2638" s="93" t="n">
        <v>132000</v>
      </c>
      <c r="I2638" s="92" t="inlineStr">
        <is>
          <t>12월 국내출장 - (법인카드)</t>
        </is>
      </c>
      <c r="J2638" s="92" t="inlineStr">
        <is>
          <t>V10010</t>
        </is>
      </c>
      <c r="K2638" s="92" t="inlineStr">
        <is>
          <t>(법인카드)</t>
        </is>
      </c>
      <c r="M2638" s="9">
        <f>IF($A2638="","",VALUE($A2638&amp;"")*12+VALUE($B2638&amp;""))</f>
        <v/>
      </c>
      <c r="N2638" s="64">
        <f>IF($A2638="","",IFERROR(INDEX(부서매핑!$C$5:$C$504,MATCH($G2638&amp;"",부서매핑!$A$5:$A$504,0)),"미매핑"))</f>
        <v/>
      </c>
      <c r="O2638" s="9">
        <f>IF($A2638="","",N2638&amp;"|"&amp;$F2638)</f>
        <v/>
      </c>
      <c r="P2638" s="94">
        <f>IF($A2638="",0,$H2638*설정!$C$23)</f>
        <v/>
      </c>
      <c r="Q2638" s="64">
        <f>IF($A2638="","",IF(O2638&lt;&gt;원인분석!$C$9,"",IF(AND(M2638&gt;=원인분석!$C$10,M2638&lt;=원인분석!$C$11),"당기",IF(AND(M2638&gt;=원인분석!$C$12,M2638&lt;=원인분석!$C$13),"비교",""))))</f>
        <v/>
      </c>
      <c r="R2638" s="9">
        <f>IF(Q2638="","",$K2638&amp;"")</f>
        <v/>
      </c>
      <c r="S2638" s="9">
        <f>IF(Q2638="","",IF(MATCH(R2638,$R$5:$R$100000,0)=ROW()-4,ROW(),""))</f>
        <v/>
      </c>
      <c r="T2638" s="9">
        <f>IF(Q2638="당기",ABS(P2638)+ROW()/1000000000,"")</f>
        <v/>
      </c>
      <c r="U2638" s="9">
        <f>IF(Q2638="비교",ABS(P2638)+ROW()/1000000000,"")</f>
        <v/>
      </c>
      <c r="V2638" s="64">
        <f>IF($A2638="","",IF(COUNTIF(변동분석!$E$7:$E$506,O2638)&gt;0,"Y","N"))</f>
        <v/>
      </c>
      <c r="W2638" s="64">
        <f>IF($A2638="","",IFERROR(INDEX(계정매핑!$D$5:$D$504,MATCH($F2638&amp;"",계정매핑!$A$5:$A$504,0)),"미매핑"))</f>
        <v/>
      </c>
      <c r="X2638" s="9">
        <f>IF($A2638="","",$F2638&amp;"")</f>
        <v/>
      </c>
      <c r="Y2638" s="94">
        <f>IF($A2638="",0,IF(AE2638="직접",IF(AF2638="비귀속",$P2638,0),$P2638*(1-AG2638)*IFERROR(INDEX(계정대체기준!$F$20:$F$49,MATCH($N2638,계정대체기준!$A$20:$A$49,0)),1)))</f>
        <v/>
      </c>
      <c r="Z2638" s="94">
        <f>IF($A2638="",0,IF(AE2638="직접",IF(AF2638="신계약비",$P2638,0),$P2638*(1-AG2638)*IFERROR(INDEX(계정대체기준!$C$20:$C$49,MATCH($N2638,계정대체기준!$A$20:$A$49,0)),0)))</f>
        <v/>
      </c>
      <c r="AA2638" s="94">
        <f>IF($A2638="",0,IF(AE2638="직접",IF(OR(AF2638="유지비",AF2638="손해조사비"),$P2638,0),$P2638*(1-AG2638)*IFERROR(INDEX(계정대체기준!$D$20:$D$49,MATCH($N2638,계정대체기준!$A$20:$A$49,0)),0)))</f>
        <v/>
      </c>
      <c r="AB2638" s="94">
        <f>IF($A2638="",0,IF(AE2638="직접",IF(AF2638="수금비",$P2638,0),$P2638*(1-AG2638)*IFERROR(INDEX(계정대체기준!$E$20:$E$49,MATCH($N2638,계정대체기준!$A$20:$A$49,0)),0)))</f>
        <v/>
      </c>
      <c r="AC2638" s="9">
        <f>IF(AND($A2638&lt;&gt;"",M2638=설정!$C$20,Z2638&gt;0),Z2638+ROW()/1000000000,"")</f>
        <v/>
      </c>
      <c r="AD2638" s="94">
        <f>IF($A2638="",0,$P2638*AG2638)</f>
        <v/>
      </c>
      <c r="AE2638" s="64">
        <f>IF($A2638="","",IFERROR(INDEX(계정매핑!$E$5:$E$504,MATCH($F2638&amp;"",계정매핑!$A$5:$A$504,0))&amp;"","공통비"))</f>
        <v/>
      </c>
      <c r="AF2638" s="64">
        <f>IF($A2638="","",IF(AE2638="직접",IFERROR(INDEX(계정매핑!$F$5:$F$504,MATCH($F2638&amp;"",계정매핑!$A$5:$A$504,0))&amp;"","비귀속"),""))</f>
        <v/>
      </c>
      <c r="AG2638" s="96">
        <f>IF($A2638="",0,IF(AND(AE2638&lt;&gt;"직접",IFERROR(INDEX(계정매핑!$G$5:$G$504,MATCH($F2638&amp;"",계정매핑!$A$5:$A$504,0))&amp;"","")="유지비",COUNTIF(계정대체기준!$A$6:$A$15,$N2638)&gt;0),IFERROR(INDEX(계정대체기준!$E$6:$E$15,MATCH(VALUE($A2638&amp;""),계정대체기준!$D$6:$D$15,0)),0),0))</f>
        <v/>
      </c>
      <c r="AH2638" s="64">
        <f>IF($A2638="","",IF(AD2638=0,"",IF(OR(COUNTIF(계정대체기준!$A$77:$A$86,$N2638)&gt;0,ISNUMBER(MATCH($X2638,계정대체기준!$D$77:$D$86,0)),ISNUMBER(MATCH($F2638,계정대체기준!$D$77:$D$86,0))),"Y","N")))</f>
        <v/>
      </c>
    </row>
    <row r="2639">
      <c r="A2639" s="92" t="n">
        <v>2025</v>
      </c>
      <c r="B2639" s="92" t="n">
        <v>12</v>
      </c>
      <c r="C2639" s="92" t="inlineStr">
        <is>
          <t>5100002635</t>
        </is>
      </c>
      <c r="D2639" s="95" t="n">
        <v>46010</v>
      </c>
      <c r="E2639" s="92" t="inlineStr">
        <is>
          <t>KR</t>
        </is>
      </c>
      <c r="F2639" s="92" t="n">
        <v>62102000</v>
      </c>
      <c r="G2639" s="92" t="n">
        <v>1602</v>
      </c>
      <c r="H2639" s="93" t="n">
        <v>241000</v>
      </c>
      <c r="I2639" s="92" t="inlineStr">
        <is>
          <t>12월 해외출장 - M항공</t>
        </is>
      </c>
      <c r="J2639" s="92" t="inlineStr">
        <is>
          <t>V10001</t>
        </is>
      </c>
      <c r="K2639" s="92" t="inlineStr">
        <is>
          <t>M항공</t>
        </is>
      </c>
      <c r="M2639" s="9">
        <f>IF($A2639="","",VALUE($A2639&amp;"")*12+VALUE($B2639&amp;""))</f>
        <v/>
      </c>
      <c r="N2639" s="64">
        <f>IF($A2639="","",IFERROR(INDEX(부서매핑!$C$5:$C$504,MATCH($G2639&amp;"",부서매핑!$A$5:$A$504,0)),"미매핑"))</f>
        <v/>
      </c>
      <c r="O2639" s="9">
        <f>IF($A2639="","",N2639&amp;"|"&amp;$F2639)</f>
        <v/>
      </c>
      <c r="P2639" s="94">
        <f>IF($A2639="",0,$H2639*설정!$C$23)</f>
        <v/>
      </c>
      <c r="Q2639" s="64">
        <f>IF($A2639="","",IF(O2639&lt;&gt;원인분석!$C$9,"",IF(AND(M2639&gt;=원인분석!$C$10,M2639&lt;=원인분석!$C$11),"당기",IF(AND(M2639&gt;=원인분석!$C$12,M2639&lt;=원인분석!$C$13),"비교",""))))</f>
        <v/>
      </c>
      <c r="R2639" s="9">
        <f>IF(Q2639="","",$K2639&amp;"")</f>
        <v/>
      </c>
      <c r="S2639" s="9">
        <f>IF(Q2639="","",IF(MATCH(R2639,$R$5:$R$100000,0)=ROW()-4,ROW(),""))</f>
        <v/>
      </c>
      <c r="T2639" s="9">
        <f>IF(Q2639="당기",ABS(P2639)+ROW()/1000000000,"")</f>
        <v/>
      </c>
      <c r="U2639" s="9">
        <f>IF(Q2639="비교",ABS(P2639)+ROW()/1000000000,"")</f>
        <v/>
      </c>
      <c r="V2639" s="64">
        <f>IF($A2639="","",IF(COUNTIF(변동분석!$E$7:$E$506,O2639)&gt;0,"Y","N"))</f>
        <v/>
      </c>
      <c r="W2639" s="64">
        <f>IF($A2639="","",IFERROR(INDEX(계정매핑!$D$5:$D$504,MATCH($F2639&amp;"",계정매핑!$A$5:$A$504,0)),"미매핑"))</f>
        <v/>
      </c>
      <c r="X2639" s="9">
        <f>IF($A2639="","",$F2639&amp;"")</f>
        <v/>
      </c>
      <c r="Y2639" s="94">
        <f>IF($A2639="",0,IF(AE2639="직접",IF(AF2639="비귀속",$P2639,0),$P2639*(1-AG2639)*IFERROR(INDEX(계정대체기준!$F$20:$F$49,MATCH($N2639,계정대체기준!$A$20:$A$49,0)),1)))</f>
        <v/>
      </c>
      <c r="Z2639" s="94">
        <f>IF($A2639="",0,IF(AE2639="직접",IF(AF2639="신계약비",$P2639,0),$P2639*(1-AG2639)*IFERROR(INDEX(계정대체기준!$C$20:$C$49,MATCH($N2639,계정대체기준!$A$20:$A$49,0)),0)))</f>
        <v/>
      </c>
      <c r="AA2639" s="94">
        <f>IF($A2639="",0,IF(AE2639="직접",IF(OR(AF2639="유지비",AF2639="손해조사비"),$P2639,0),$P2639*(1-AG2639)*IFERROR(INDEX(계정대체기준!$D$20:$D$49,MATCH($N2639,계정대체기준!$A$20:$A$49,0)),0)))</f>
        <v/>
      </c>
      <c r="AB2639" s="94">
        <f>IF($A2639="",0,IF(AE2639="직접",IF(AF2639="수금비",$P2639,0),$P2639*(1-AG2639)*IFERROR(INDEX(계정대체기준!$E$20:$E$49,MATCH($N2639,계정대체기준!$A$20:$A$49,0)),0)))</f>
        <v/>
      </c>
      <c r="AC2639" s="9">
        <f>IF(AND($A2639&lt;&gt;"",M2639=설정!$C$20,Z2639&gt;0),Z2639+ROW()/1000000000,"")</f>
        <v/>
      </c>
      <c r="AD2639" s="94">
        <f>IF($A2639="",0,$P2639*AG2639)</f>
        <v/>
      </c>
      <c r="AE2639" s="64">
        <f>IF($A2639="","",IFERROR(INDEX(계정매핑!$E$5:$E$504,MATCH($F2639&amp;"",계정매핑!$A$5:$A$504,0))&amp;"","공통비"))</f>
        <v/>
      </c>
      <c r="AF2639" s="64">
        <f>IF($A2639="","",IF(AE2639="직접",IFERROR(INDEX(계정매핑!$F$5:$F$504,MATCH($F2639&amp;"",계정매핑!$A$5:$A$504,0))&amp;"","비귀속"),""))</f>
        <v/>
      </c>
      <c r="AG2639" s="96">
        <f>IF($A2639="",0,IF(AND(AE2639&lt;&gt;"직접",IFERROR(INDEX(계정매핑!$G$5:$G$504,MATCH($F2639&amp;"",계정매핑!$A$5:$A$504,0))&amp;"","")="유지비",COUNTIF(계정대체기준!$A$6:$A$15,$N2639)&gt;0),IFERROR(INDEX(계정대체기준!$E$6:$E$15,MATCH(VALUE($A2639&amp;""),계정대체기준!$D$6:$D$15,0)),0),0))</f>
        <v/>
      </c>
      <c r="AH2639" s="64">
        <f>IF($A2639="","",IF(AD2639=0,"",IF(OR(COUNTIF(계정대체기준!$A$77:$A$86,$N2639)&gt;0,ISNUMBER(MATCH($X2639,계정대체기준!$D$77:$D$86,0)),ISNUMBER(MATCH($F2639,계정대체기준!$D$77:$D$86,0))),"Y","N")))</f>
        <v/>
      </c>
    </row>
    <row r="2640">
      <c r="A2640" s="92" t="n">
        <v>2025</v>
      </c>
      <c r="B2640" s="92" t="n">
        <v>12</v>
      </c>
      <c r="C2640" s="92" t="inlineStr">
        <is>
          <t>5100002636</t>
        </is>
      </c>
      <c r="D2640" s="95" t="n">
        <v>46010</v>
      </c>
      <c r="E2640" s="92" t="inlineStr">
        <is>
          <t>KR</t>
        </is>
      </c>
      <c r="F2640" s="92" t="n">
        <v>62102000</v>
      </c>
      <c r="G2640" s="92" t="n">
        <v>1801</v>
      </c>
      <c r="H2640" s="93" t="n">
        <v>46000</v>
      </c>
      <c r="I2640" s="92" t="inlineStr">
        <is>
          <t>12월 해외출장 - M항공</t>
        </is>
      </c>
      <c r="J2640" s="92" t="inlineStr">
        <is>
          <t>V10001</t>
        </is>
      </c>
      <c r="K2640" s="92" t="inlineStr">
        <is>
          <t>M항공</t>
        </is>
      </c>
      <c r="M2640" s="9">
        <f>IF($A2640="","",VALUE($A2640&amp;"")*12+VALUE($B2640&amp;""))</f>
        <v/>
      </c>
      <c r="N2640" s="64">
        <f>IF($A2640="","",IFERROR(INDEX(부서매핑!$C$5:$C$504,MATCH($G2640&amp;"",부서매핑!$A$5:$A$504,0)),"미매핑"))</f>
        <v/>
      </c>
      <c r="O2640" s="9">
        <f>IF($A2640="","",N2640&amp;"|"&amp;$F2640)</f>
        <v/>
      </c>
      <c r="P2640" s="94">
        <f>IF($A2640="",0,$H2640*설정!$C$23)</f>
        <v/>
      </c>
      <c r="Q2640" s="64">
        <f>IF($A2640="","",IF(O2640&lt;&gt;원인분석!$C$9,"",IF(AND(M2640&gt;=원인분석!$C$10,M2640&lt;=원인분석!$C$11),"당기",IF(AND(M2640&gt;=원인분석!$C$12,M2640&lt;=원인분석!$C$13),"비교",""))))</f>
        <v/>
      </c>
      <c r="R2640" s="9">
        <f>IF(Q2640="","",$K2640&amp;"")</f>
        <v/>
      </c>
      <c r="S2640" s="9">
        <f>IF(Q2640="","",IF(MATCH(R2640,$R$5:$R$100000,0)=ROW()-4,ROW(),""))</f>
        <v/>
      </c>
      <c r="T2640" s="9">
        <f>IF(Q2640="당기",ABS(P2640)+ROW()/1000000000,"")</f>
        <v/>
      </c>
      <c r="U2640" s="9">
        <f>IF(Q2640="비교",ABS(P2640)+ROW()/1000000000,"")</f>
        <v/>
      </c>
      <c r="V2640" s="64">
        <f>IF($A2640="","",IF(COUNTIF(변동분석!$E$7:$E$506,O2640)&gt;0,"Y","N"))</f>
        <v/>
      </c>
      <c r="W2640" s="64">
        <f>IF($A2640="","",IFERROR(INDEX(계정매핑!$D$5:$D$504,MATCH($F2640&amp;"",계정매핑!$A$5:$A$504,0)),"미매핑"))</f>
        <v/>
      </c>
      <c r="X2640" s="9">
        <f>IF($A2640="","",$F2640&amp;"")</f>
        <v/>
      </c>
      <c r="Y2640" s="94">
        <f>IF($A2640="",0,IF(AE2640="직접",IF(AF2640="비귀속",$P2640,0),$P2640*(1-AG2640)*IFERROR(INDEX(계정대체기준!$F$20:$F$49,MATCH($N2640,계정대체기준!$A$20:$A$49,0)),1)))</f>
        <v/>
      </c>
      <c r="Z2640" s="94">
        <f>IF($A2640="",0,IF(AE2640="직접",IF(AF2640="신계약비",$P2640,0),$P2640*(1-AG2640)*IFERROR(INDEX(계정대체기준!$C$20:$C$49,MATCH($N2640,계정대체기준!$A$20:$A$49,0)),0)))</f>
        <v/>
      </c>
      <c r="AA2640" s="94">
        <f>IF($A2640="",0,IF(AE2640="직접",IF(OR(AF2640="유지비",AF2640="손해조사비"),$P2640,0),$P2640*(1-AG2640)*IFERROR(INDEX(계정대체기준!$D$20:$D$49,MATCH($N2640,계정대체기준!$A$20:$A$49,0)),0)))</f>
        <v/>
      </c>
      <c r="AB2640" s="94">
        <f>IF($A2640="",0,IF(AE2640="직접",IF(AF2640="수금비",$P2640,0),$P2640*(1-AG2640)*IFERROR(INDEX(계정대체기준!$E$20:$E$49,MATCH($N2640,계정대체기준!$A$20:$A$49,0)),0)))</f>
        <v/>
      </c>
      <c r="AC2640" s="9">
        <f>IF(AND($A2640&lt;&gt;"",M2640=설정!$C$20,Z2640&gt;0),Z2640+ROW()/1000000000,"")</f>
        <v/>
      </c>
      <c r="AD2640" s="94">
        <f>IF($A2640="",0,$P2640*AG2640)</f>
        <v/>
      </c>
      <c r="AE2640" s="64">
        <f>IF($A2640="","",IFERROR(INDEX(계정매핑!$E$5:$E$504,MATCH($F2640&amp;"",계정매핑!$A$5:$A$504,0))&amp;"","공통비"))</f>
        <v/>
      </c>
      <c r="AF2640" s="64">
        <f>IF($A2640="","",IF(AE2640="직접",IFERROR(INDEX(계정매핑!$F$5:$F$504,MATCH($F2640&amp;"",계정매핑!$A$5:$A$504,0))&amp;"","비귀속"),""))</f>
        <v/>
      </c>
      <c r="AG2640" s="96">
        <f>IF($A2640="",0,IF(AND(AE2640&lt;&gt;"직접",IFERROR(INDEX(계정매핑!$G$5:$G$504,MATCH($F2640&amp;"",계정매핑!$A$5:$A$504,0))&amp;"","")="유지비",COUNTIF(계정대체기준!$A$6:$A$15,$N2640)&gt;0),IFERROR(INDEX(계정대체기준!$E$6:$E$15,MATCH(VALUE($A2640&amp;""),계정대체기준!$D$6:$D$15,0)),0),0))</f>
        <v/>
      </c>
      <c r="AH2640" s="64">
        <f>IF($A2640="","",IF(AD2640=0,"",IF(OR(COUNTIF(계정대체기준!$A$77:$A$86,$N2640)&gt;0,ISNUMBER(MATCH($X2640,계정대체기준!$D$77:$D$86,0)),ISNUMBER(MATCH($F2640,계정대체기준!$D$77:$D$86,0))),"Y","N")))</f>
        <v/>
      </c>
    </row>
    <row r="2641">
      <c r="A2641" s="92" t="n">
        <v>2025</v>
      </c>
      <c r="B2641" s="92" t="n">
        <v>12</v>
      </c>
      <c r="C2641" s="92" t="inlineStr">
        <is>
          <t>5100002637</t>
        </is>
      </c>
      <c r="D2641" s="95" t="n">
        <v>46010</v>
      </c>
      <c r="E2641" s="92" t="inlineStr">
        <is>
          <t>KR</t>
        </is>
      </c>
      <c r="F2641" s="92" t="n">
        <v>62102000</v>
      </c>
      <c r="G2641" s="92" t="n">
        <v>1951</v>
      </c>
      <c r="H2641" s="93" t="n">
        <v>59000</v>
      </c>
      <c r="I2641" s="92" t="inlineStr">
        <is>
          <t>12월 해외출장 - M항공</t>
        </is>
      </c>
      <c r="J2641" s="92" t="inlineStr">
        <is>
          <t>V10001</t>
        </is>
      </c>
      <c r="K2641" s="92" t="inlineStr">
        <is>
          <t>M항공</t>
        </is>
      </c>
      <c r="M2641" s="9">
        <f>IF($A2641="","",VALUE($A2641&amp;"")*12+VALUE($B2641&amp;""))</f>
        <v/>
      </c>
      <c r="N2641" s="64">
        <f>IF($A2641="","",IFERROR(INDEX(부서매핑!$C$5:$C$504,MATCH($G2641&amp;"",부서매핑!$A$5:$A$504,0)),"미매핑"))</f>
        <v/>
      </c>
      <c r="O2641" s="9">
        <f>IF($A2641="","",N2641&amp;"|"&amp;$F2641)</f>
        <v/>
      </c>
      <c r="P2641" s="94">
        <f>IF($A2641="",0,$H2641*설정!$C$23)</f>
        <v/>
      </c>
      <c r="Q2641" s="64">
        <f>IF($A2641="","",IF(O2641&lt;&gt;원인분석!$C$9,"",IF(AND(M2641&gt;=원인분석!$C$10,M2641&lt;=원인분석!$C$11),"당기",IF(AND(M2641&gt;=원인분석!$C$12,M2641&lt;=원인분석!$C$13),"비교",""))))</f>
        <v/>
      </c>
      <c r="R2641" s="9">
        <f>IF(Q2641="","",$K2641&amp;"")</f>
        <v/>
      </c>
      <c r="S2641" s="9">
        <f>IF(Q2641="","",IF(MATCH(R2641,$R$5:$R$100000,0)=ROW()-4,ROW(),""))</f>
        <v/>
      </c>
      <c r="T2641" s="9">
        <f>IF(Q2641="당기",ABS(P2641)+ROW()/1000000000,"")</f>
        <v/>
      </c>
      <c r="U2641" s="9">
        <f>IF(Q2641="비교",ABS(P2641)+ROW()/1000000000,"")</f>
        <v/>
      </c>
      <c r="V2641" s="64">
        <f>IF($A2641="","",IF(COUNTIF(변동분석!$E$7:$E$506,O2641)&gt;0,"Y","N"))</f>
        <v/>
      </c>
      <c r="W2641" s="64">
        <f>IF($A2641="","",IFERROR(INDEX(계정매핑!$D$5:$D$504,MATCH($F2641&amp;"",계정매핑!$A$5:$A$504,0)),"미매핑"))</f>
        <v/>
      </c>
      <c r="X2641" s="9">
        <f>IF($A2641="","",$F2641&amp;"")</f>
        <v/>
      </c>
      <c r="Y2641" s="94">
        <f>IF($A2641="",0,IF(AE2641="직접",IF(AF2641="비귀속",$P2641,0),$P2641*(1-AG2641)*IFERROR(INDEX(계정대체기준!$F$20:$F$49,MATCH($N2641,계정대체기준!$A$20:$A$49,0)),1)))</f>
        <v/>
      </c>
      <c r="Z2641" s="94">
        <f>IF($A2641="",0,IF(AE2641="직접",IF(AF2641="신계약비",$P2641,0),$P2641*(1-AG2641)*IFERROR(INDEX(계정대체기준!$C$20:$C$49,MATCH($N2641,계정대체기준!$A$20:$A$49,0)),0)))</f>
        <v/>
      </c>
      <c r="AA2641" s="94">
        <f>IF($A2641="",0,IF(AE2641="직접",IF(OR(AF2641="유지비",AF2641="손해조사비"),$P2641,0),$P2641*(1-AG2641)*IFERROR(INDEX(계정대체기준!$D$20:$D$49,MATCH($N2641,계정대체기준!$A$20:$A$49,0)),0)))</f>
        <v/>
      </c>
      <c r="AB2641" s="94">
        <f>IF($A2641="",0,IF(AE2641="직접",IF(AF2641="수금비",$P2641,0),$P2641*(1-AG2641)*IFERROR(INDEX(계정대체기준!$E$20:$E$49,MATCH($N2641,계정대체기준!$A$20:$A$49,0)),0)))</f>
        <v/>
      </c>
      <c r="AC2641" s="9">
        <f>IF(AND($A2641&lt;&gt;"",M2641=설정!$C$20,Z2641&gt;0),Z2641+ROW()/1000000000,"")</f>
        <v/>
      </c>
      <c r="AD2641" s="94">
        <f>IF($A2641="",0,$P2641*AG2641)</f>
        <v/>
      </c>
      <c r="AE2641" s="64">
        <f>IF($A2641="","",IFERROR(INDEX(계정매핑!$E$5:$E$504,MATCH($F2641&amp;"",계정매핑!$A$5:$A$504,0))&amp;"","공통비"))</f>
        <v/>
      </c>
      <c r="AF2641" s="64">
        <f>IF($A2641="","",IF(AE2641="직접",IFERROR(INDEX(계정매핑!$F$5:$F$504,MATCH($F2641&amp;"",계정매핑!$A$5:$A$504,0))&amp;"","비귀속"),""))</f>
        <v/>
      </c>
      <c r="AG2641" s="96">
        <f>IF($A2641="",0,IF(AND(AE2641&lt;&gt;"직접",IFERROR(INDEX(계정매핑!$G$5:$G$504,MATCH($F2641&amp;"",계정매핑!$A$5:$A$504,0))&amp;"","")="유지비",COUNTIF(계정대체기준!$A$6:$A$15,$N2641)&gt;0),IFERROR(INDEX(계정대체기준!$E$6:$E$15,MATCH(VALUE($A2641&amp;""),계정대체기준!$D$6:$D$15,0)),0),0))</f>
        <v/>
      </c>
      <c r="AH2641" s="64">
        <f>IF($A2641="","",IF(AD2641=0,"",IF(OR(COUNTIF(계정대체기준!$A$77:$A$86,$N2641)&gt;0,ISNUMBER(MATCH($X2641,계정대체기준!$D$77:$D$86,0)),ISNUMBER(MATCH($F2641,계정대체기준!$D$77:$D$86,0))),"Y","N")))</f>
        <v/>
      </c>
    </row>
    <row r="2642">
      <c r="A2642" s="92" t="n">
        <v>2025</v>
      </c>
      <c r="B2642" s="92" t="n">
        <v>12</v>
      </c>
      <c r="C2642" s="92" t="inlineStr">
        <is>
          <t>5100002638</t>
        </is>
      </c>
      <c r="D2642" s="95" t="n">
        <v>46010</v>
      </c>
      <c r="E2642" s="92" t="inlineStr">
        <is>
          <t>KR</t>
        </is>
      </c>
      <c r="F2642" s="92" t="n">
        <v>62601000</v>
      </c>
      <c r="G2642" s="92" t="n">
        <v>1602</v>
      </c>
      <c r="H2642" s="93" t="n">
        <v>1160000</v>
      </c>
      <c r="I2642" s="92" t="inlineStr">
        <is>
          <t>12월 업무추진 - (법인카드)</t>
        </is>
      </c>
      <c r="J2642" s="92" t="inlineStr">
        <is>
          <t>V10010</t>
        </is>
      </c>
      <c r="K2642" s="92" t="inlineStr">
        <is>
          <t>(법인카드)</t>
        </is>
      </c>
      <c r="M2642" s="9">
        <f>IF($A2642="","",VALUE($A2642&amp;"")*12+VALUE($B2642&amp;""))</f>
        <v/>
      </c>
      <c r="N2642" s="64">
        <f>IF($A2642="","",IFERROR(INDEX(부서매핑!$C$5:$C$504,MATCH($G2642&amp;"",부서매핑!$A$5:$A$504,0)),"미매핑"))</f>
        <v/>
      </c>
      <c r="O2642" s="9">
        <f>IF($A2642="","",N2642&amp;"|"&amp;$F2642)</f>
        <v/>
      </c>
      <c r="P2642" s="94">
        <f>IF($A2642="",0,$H2642*설정!$C$23)</f>
        <v/>
      </c>
      <c r="Q2642" s="64">
        <f>IF($A2642="","",IF(O2642&lt;&gt;원인분석!$C$9,"",IF(AND(M2642&gt;=원인분석!$C$10,M2642&lt;=원인분석!$C$11),"당기",IF(AND(M2642&gt;=원인분석!$C$12,M2642&lt;=원인분석!$C$13),"비교",""))))</f>
        <v/>
      </c>
      <c r="R2642" s="9">
        <f>IF(Q2642="","",$K2642&amp;"")</f>
        <v/>
      </c>
      <c r="S2642" s="9">
        <f>IF(Q2642="","",IF(MATCH(R2642,$R$5:$R$100000,0)=ROW()-4,ROW(),""))</f>
        <v/>
      </c>
      <c r="T2642" s="9">
        <f>IF(Q2642="당기",ABS(P2642)+ROW()/1000000000,"")</f>
        <v/>
      </c>
      <c r="U2642" s="9">
        <f>IF(Q2642="비교",ABS(P2642)+ROW()/1000000000,"")</f>
        <v/>
      </c>
      <c r="V2642" s="64">
        <f>IF($A2642="","",IF(COUNTIF(변동분석!$E$7:$E$506,O2642)&gt;0,"Y","N"))</f>
        <v/>
      </c>
      <c r="W2642" s="64">
        <f>IF($A2642="","",IFERROR(INDEX(계정매핑!$D$5:$D$504,MATCH($F2642&amp;"",계정매핑!$A$5:$A$504,0)),"미매핑"))</f>
        <v/>
      </c>
      <c r="X2642" s="9">
        <f>IF($A2642="","",$F2642&amp;"")</f>
        <v/>
      </c>
      <c r="Y2642" s="94">
        <f>IF($A2642="",0,IF(AE2642="직접",IF(AF2642="비귀속",$P2642,0),$P2642*(1-AG2642)*IFERROR(INDEX(계정대체기준!$F$20:$F$49,MATCH($N2642,계정대체기준!$A$20:$A$49,0)),1)))</f>
        <v/>
      </c>
      <c r="Z2642" s="94">
        <f>IF($A2642="",0,IF(AE2642="직접",IF(AF2642="신계약비",$P2642,0),$P2642*(1-AG2642)*IFERROR(INDEX(계정대체기준!$C$20:$C$49,MATCH($N2642,계정대체기준!$A$20:$A$49,0)),0)))</f>
        <v/>
      </c>
      <c r="AA2642" s="94">
        <f>IF($A2642="",0,IF(AE2642="직접",IF(OR(AF2642="유지비",AF2642="손해조사비"),$P2642,0),$P2642*(1-AG2642)*IFERROR(INDEX(계정대체기준!$D$20:$D$49,MATCH($N2642,계정대체기준!$A$20:$A$49,0)),0)))</f>
        <v/>
      </c>
      <c r="AB2642" s="94">
        <f>IF($A2642="",0,IF(AE2642="직접",IF(AF2642="수금비",$P2642,0),$P2642*(1-AG2642)*IFERROR(INDEX(계정대체기준!$E$20:$E$49,MATCH($N2642,계정대체기준!$A$20:$A$49,0)),0)))</f>
        <v/>
      </c>
      <c r="AC2642" s="9">
        <f>IF(AND($A2642&lt;&gt;"",M2642=설정!$C$20,Z2642&gt;0),Z2642+ROW()/1000000000,"")</f>
        <v/>
      </c>
      <c r="AD2642" s="94">
        <f>IF($A2642="",0,$P2642*AG2642)</f>
        <v/>
      </c>
      <c r="AE2642" s="64">
        <f>IF($A2642="","",IFERROR(INDEX(계정매핑!$E$5:$E$504,MATCH($F2642&amp;"",계정매핑!$A$5:$A$504,0))&amp;"","공통비"))</f>
        <v/>
      </c>
      <c r="AF2642" s="64">
        <f>IF($A2642="","",IF(AE2642="직접",IFERROR(INDEX(계정매핑!$F$5:$F$504,MATCH($F2642&amp;"",계정매핑!$A$5:$A$504,0))&amp;"","비귀속"),""))</f>
        <v/>
      </c>
      <c r="AG2642" s="96">
        <f>IF($A2642="",0,IF(AND(AE2642&lt;&gt;"직접",IFERROR(INDEX(계정매핑!$G$5:$G$504,MATCH($F2642&amp;"",계정매핑!$A$5:$A$504,0))&amp;"","")="유지비",COUNTIF(계정대체기준!$A$6:$A$15,$N2642)&gt;0),IFERROR(INDEX(계정대체기준!$E$6:$E$15,MATCH(VALUE($A2642&amp;""),계정대체기준!$D$6:$D$15,0)),0),0))</f>
        <v/>
      </c>
      <c r="AH2642" s="64">
        <f>IF($A2642="","",IF(AD2642=0,"",IF(OR(COUNTIF(계정대체기준!$A$77:$A$86,$N2642)&gt;0,ISNUMBER(MATCH($X2642,계정대체기준!$D$77:$D$86,0)),ISNUMBER(MATCH($F2642,계정대체기준!$D$77:$D$86,0))),"Y","N")))</f>
        <v/>
      </c>
    </row>
    <row r="2643">
      <c r="A2643" s="92" t="n">
        <v>2025</v>
      </c>
      <c r="B2643" s="92" t="n">
        <v>12</v>
      </c>
      <c r="C2643" s="92" t="inlineStr">
        <is>
          <t>5100002639</t>
        </is>
      </c>
      <c r="D2643" s="95" t="n">
        <v>46010</v>
      </c>
      <c r="E2643" s="92" t="inlineStr">
        <is>
          <t>KR</t>
        </is>
      </c>
      <c r="F2643" s="92" t="n">
        <v>62802000</v>
      </c>
      <c r="G2643" s="92" t="n">
        <v>1301</v>
      </c>
      <c r="H2643" s="93" t="n">
        <v>6168000</v>
      </c>
      <c r="I2643" s="92" t="inlineStr">
        <is>
          <t>12월 위탁교육 - V아카데미</t>
        </is>
      </c>
      <c r="J2643" s="92" t="inlineStr">
        <is>
          <t>V10027</t>
        </is>
      </c>
      <c r="K2643" s="92" t="inlineStr">
        <is>
          <t>V아카데미</t>
        </is>
      </c>
      <c r="M2643" s="9">
        <f>IF($A2643="","",VALUE($A2643&amp;"")*12+VALUE($B2643&amp;""))</f>
        <v/>
      </c>
      <c r="N2643" s="64">
        <f>IF($A2643="","",IFERROR(INDEX(부서매핑!$C$5:$C$504,MATCH($G2643&amp;"",부서매핑!$A$5:$A$504,0)),"미매핑"))</f>
        <v/>
      </c>
      <c r="O2643" s="9">
        <f>IF($A2643="","",N2643&amp;"|"&amp;$F2643)</f>
        <v/>
      </c>
      <c r="P2643" s="94">
        <f>IF($A2643="",0,$H2643*설정!$C$23)</f>
        <v/>
      </c>
      <c r="Q2643" s="64">
        <f>IF($A2643="","",IF(O2643&lt;&gt;원인분석!$C$9,"",IF(AND(M2643&gt;=원인분석!$C$10,M2643&lt;=원인분석!$C$11),"당기",IF(AND(M2643&gt;=원인분석!$C$12,M2643&lt;=원인분석!$C$13),"비교",""))))</f>
        <v/>
      </c>
      <c r="R2643" s="9">
        <f>IF(Q2643="","",$K2643&amp;"")</f>
        <v/>
      </c>
      <c r="S2643" s="9">
        <f>IF(Q2643="","",IF(MATCH(R2643,$R$5:$R$100000,0)=ROW()-4,ROW(),""))</f>
        <v/>
      </c>
      <c r="T2643" s="9">
        <f>IF(Q2643="당기",ABS(P2643)+ROW()/1000000000,"")</f>
        <v/>
      </c>
      <c r="U2643" s="9">
        <f>IF(Q2643="비교",ABS(P2643)+ROW()/1000000000,"")</f>
        <v/>
      </c>
      <c r="V2643" s="64">
        <f>IF($A2643="","",IF(COUNTIF(변동분석!$E$7:$E$506,O2643)&gt;0,"Y","N"))</f>
        <v/>
      </c>
      <c r="W2643" s="64">
        <f>IF($A2643="","",IFERROR(INDEX(계정매핑!$D$5:$D$504,MATCH($F2643&amp;"",계정매핑!$A$5:$A$504,0)),"미매핑"))</f>
        <v/>
      </c>
      <c r="X2643" s="9">
        <f>IF($A2643="","",$F2643&amp;"")</f>
        <v/>
      </c>
      <c r="Y2643" s="94">
        <f>IF($A2643="",0,IF(AE2643="직접",IF(AF2643="비귀속",$P2643,0),$P2643*(1-AG2643)*IFERROR(INDEX(계정대체기준!$F$20:$F$49,MATCH($N2643,계정대체기준!$A$20:$A$49,0)),1)))</f>
        <v/>
      </c>
      <c r="Z2643" s="94">
        <f>IF($A2643="",0,IF(AE2643="직접",IF(AF2643="신계약비",$P2643,0),$P2643*(1-AG2643)*IFERROR(INDEX(계정대체기준!$C$20:$C$49,MATCH($N2643,계정대체기준!$A$20:$A$49,0)),0)))</f>
        <v/>
      </c>
      <c r="AA2643" s="94">
        <f>IF($A2643="",0,IF(AE2643="직접",IF(OR(AF2643="유지비",AF2643="손해조사비"),$P2643,0),$P2643*(1-AG2643)*IFERROR(INDEX(계정대체기준!$D$20:$D$49,MATCH($N2643,계정대체기준!$A$20:$A$49,0)),0)))</f>
        <v/>
      </c>
      <c r="AB2643" s="94">
        <f>IF($A2643="",0,IF(AE2643="직접",IF(AF2643="수금비",$P2643,0),$P2643*(1-AG2643)*IFERROR(INDEX(계정대체기준!$E$20:$E$49,MATCH($N2643,계정대체기준!$A$20:$A$49,0)),0)))</f>
        <v/>
      </c>
      <c r="AC2643" s="9">
        <f>IF(AND($A2643&lt;&gt;"",M2643=설정!$C$20,Z2643&gt;0),Z2643+ROW()/1000000000,"")</f>
        <v/>
      </c>
      <c r="AD2643" s="94">
        <f>IF($A2643="",0,$P2643*AG2643)</f>
        <v/>
      </c>
      <c r="AE2643" s="64">
        <f>IF($A2643="","",IFERROR(INDEX(계정매핑!$E$5:$E$504,MATCH($F2643&amp;"",계정매핑!$A$5:$A$504,0))&amp;"","공통비"))</f>
        <v/>
      </c>
      <c r="AF2643" s="64">
        <f>IF($A2643="","",IF(AE2643="직접",IFERROR(INDEX(계정매핑!$F$5:$F$504,MATCH($F2643&amp;"",계정매핑!$A$5:$A$504,0))&amp;"","비귀속"),""))</f>
        <v/>
      </c>
      <c r="AG2643" s="96">
        <f>IF($A2643="",0,IF(AND(AE2643&lt;&gt;"직접",IFERROR(INDEX(계정매핑!$G$5:$G$504,MATCH($F2643&amp;"",계정매핑!$A$5:$A$504,0))&amp;"","")="유지비",COUNTIF(계정대체기준!$A$6:$A$15,$N2643)&gt;0),IFERROR(INDEX(계정대체기준!$E$6:$E$15,MATCH(VALUE($A2643&amp;""),계정대체기준!$D$6:$D$15,0)),0),0))</f>
        <v/>
      </c>
      <c r="AH2643" s="64">
        <f>IF($A2643="","",IF(AD2643=0,"",IF(OR(COUNTIF(계정대체기준!$A$77:$A$86,$N2643)&gt;0,ISNUMBER(MATCH($X2643,계정대체기준!$D$77:$D$86,0)),ISNUMBER(MATCH($F2643,계정대체기준!$D$77:$D$86,0))),"Y","N")))</f>
        <v/>
      </c>
    </row>
    <row r="2644">
      <c r="A2644" s="92" t="n">
        <v>2025</v>
      </c>
      <c r="B2644" s="92" t="n">
        <v>12</v>
      </c>
      <c r="C2644" s="92" t="inlineStr">
        <is>
          <t>5100002640</t>
        </is>
      </c>
      <c r="D2644" s="95" t="n">
        <v>46010</v>
      </c>
      <c r="E2644" s="92" t="inlineStr">
        <is>
          <t>KR</t>
        </is>
      </c>
      <c r="F2644" s="92" t="n">
        <v>62902000</v>
      </c>
      <c r="G2644" s="92" t="n">
        <v>1801</v>
      </c>
      <c r="H2644" s="93" t="n">
        <v>1810000</v>
      </c>
      <c r="I2644" s="92" t="inlineStr">
        <is>
          <t>12월 콜 위탁 수수료(건별)</t>
        </is>
      </c>
      <c r="J2644" s="92" t="inlineStr">
        <is>
          <t>V10016</t>
        </is>
      </c>
      <c r="K2644" s="92" t="inlineStr">
        <is>
          <t>J콜센터</t>
        </is>
      </c>
      <c r="M2644" s="9">
        <f>IF($A2644="","",VALUE($A2644&amp;"")*12+VALUE($B2644&amp;""))</f>
        <v/>
      </c>
      <c r="N2644" s="64">
        <f>IF($A2644="","",IFERROR(INDEX(부서매핑!$C$5:$C$504,MATCH($G2644&amp;"",부서매핑!$A$5:$A$504,0)),"미매핑"))</f>
        <v/>
      </c>
      <c r="O2644" s="9">
        <f>IF($A2644="","",N2644&amp;"|"&amp;$F2644)</f>
        <v/>
      </c>
      <c r="P2644" s="94">
        <f>IF($A2644="",0,$H2644*설정!$C$23)</f>
        <v/>
      </c>
      <c r="Q2644" s="64">
        <f>IF($A2644="","",IF(O2644&lt;&gt;원인분석!$C$9,"",IF(AND(M2644&gt;=원인분석!$C$10,M2644&lt;=원인분석!$C$11),"당기",IF(AND(M2644&gt;=원인분석!$C$12,M2644&lt;=원인분석!$C$13),"비교",""))))</f>
        <v/>
      </c>
      <c r="R2644" s="9">
        <f>IF(Q2644="","",$K2644&amp;"")</f>
        <v/>
      </c>
      <c r="S2644" s="9">
        <f>IF(Q2644="","",IF(MATCH(R2644,$R$5:$R$100000,0)=ROW()-4,ROW(),""))</f>
        <v/>
      </c>
      <c r="T2644" s="9">
        <f>IF(Q2644="당기",ABS(P2644)+ROW()/1000000000,"")</f>
        <v/>
      </c>
      <c r="U2644" s="9">
        <f>IF(Q2644="비교",ABS(P2644)+ROW()/1000000000,"")</f>
        <v/>
      </c>
      <c r="V2644" s="64">
        <f>IF($A2644="","",IF(COUNTIF(변동분석!$E$7:$E$506,O2644)&gt;0,"Y","N"))</f>
        <v/>
      </c>
      <c r="W2644" s="64">
        <f>IF($A2644="","",IFERROR(INDEX(계정매핑!$D$5:$D$504,MATCH($F2644&amp;"",계정매핑!$A$5:$A$504,0)),"미매핑"))</f>
        <v/>
      </c>
      <c r="X2644" s="9">
        <f>IF($A2644="","",$F2644&amp;"")</f>
        <v/>
      </c>
      <c r="Y2644" s="94">
        <f>IF($A2644="",0,IF(AE2644="직접",IF(AF2644="비귀속",$P2644,0),$P2644*(1-AG2644)*IFERROR(INDEX(계정대체기준!$F$20:$F$49,MATCH($N2644,계정대체기준!$A$20:$A$49,0)),1)))</f>
        <v/>
      </c>
      <c r="Z2644" s="94">
        <f>IF($A2644="",0,IF(AE2644="직접",IF(AF2644="신계약비",$P2644,0),$P2644*(1-AG2644)*IFERROR(INDEX(계정대체기준!$C$20:$C$49,MATCH($N2644,계정대체기준!$A$20:$A$49,0)),0)))</f>
        <v/>
      </c>
      <c r="AA2644" s="94">
        <f>IF($A2644="",0,IF(AE2644="직접",IF(OR(AF2644="유지비",AF2644="손해조사비"),$P2644,0),$P2644*(1-AG2644)*IFERROR(INDEX(계정대체기준!$D$20:$D$49,MATCH($N2644,계정대체기준!$A$20:$A$49,0)),0)))</f>
        <v/>
      </c>
      <c r="AB2644" s="94">
        <f>IF($A2644="",0,IF(AE2644="직접",IF(AF2644="수금비",$P2644,0),$P2644*(1-AG2644)*IFERROR(INDEX(계정대체기준!$E$20:$E$49,MATCH($N2644,계정대체기준!$A$20:$A$49,0)),0)))</f>
        <v/>
      </c>
      <c r="AC2644" s="9">
        <f>IF(AND($A2644&lt;&gt;"",M2644=설정!$C$20,Z2644&gt;0),Z2644+ROW()/1000000000,"")</f>
        <v/>
      </c>
      <c r="AD2644" s="94">
        <f>IF($A2644="",0,$P2644*AG2644)</f>
        <v/>
      </c>
      <c r="AE2644" s="64">
        <f>IF($A2644="","",IFERROR(INDEX(계정매핑!$E$5:$E$504,MATCH($F2644&amp;"",계정매핑!$A$5:$A$504,0))&amp;"","공통비"))</f>
        <v/>
      </c>
      <c r="AF2644" s="64">
        <f>IF($A2644="","",IF(AE2644="직접",IFERROR(INDEX(계정매핑!$F$5:$F$504,MATCH($F2644&amp;"",계정매핑!$A$5:$A$504,0))&amp;"","비귀속"),""))</f>
        <v/>
      </c>
      <c r="AG2644" s="96">
        <f>IF($A2644="",0,IF(AND(AE2644&lt;&gt;"직접",IFERROR(INDEX(계정매핑!$G$5:$G$504,MATCH($F2644&amp;"",계정매핑!$A$5:$A$504,0))&amp;"","")="유지비",COUNTIF(계정대체기준!$A$6:$A$15,$N2644)&gt;0),IFERROR(INDEX(계정대체기준!$E$6:$E$15,MATCH(VALUE($A2644&amp;""),계정대체기준!$D$6:$D$15,0)),0),0))</f>
        <v/>
      </c>
      <c r="AH2644" s="64">
        <f>IF($A2644="","",IF(AD2644=0,"",IF(OR(COUNTIF(계정대체기준!$A$77:$A$86,$N2644)&gt;0,ISNUMBER(MATCH($X2644,계정대체기준!$D$77:$D$86,0)),ISNUMBER(MATCH($F2644,계정대체기준!$D$77:$D$86,0))),"Y","N")))</f>
        <v/>
      </c>
    </row>
    <row r="2645">
      <c r="A2645" s="92" t="n">
        <v>2025</v>
      </c>
      <c r="B2645" s="92" t="n">
        <v>12</v>
      </c>
      <c r="C2645" s="92" t="inlineStr">
        <is>
          <t>5100002641</t>
        </is>
      </c>
      <c r="D2645" s="95" t="n">
        <v>46010</v>
      </c>
      <c r="E2645" s="92" t="inlineStr">
        <is>
          <t>KR</t>
        </is>
      </c>
      <c r="F2645" s="92" t="n">
        <v>62902000</v>
      </c>
      <c r="G2645" s="92" t="n">
        <v>1801</v>
      </c>
      <c r="H2645" s="93" t="n">
        <v>1804000</v>
      </c>
      <c r="I2645" s="92" t="inlineStr">
        <is>
          <t>12월 콜 위탁 수수료(건별)</t>
        </is>
      </c>
      <c r="J2645" s="92" t="inlineStr">
        <is>
          <t>V10016</t>
        </is>
      </c>
      <c r="K2645" s="92" t="inlineStr">
        <is>
          <t>J콜센터</t>
        </is>
      </c>
      <c r="M2645" s="9">
        <f>IF($A2645="","",VALUE($A2645&amp;"")*12+VALUE($B2645&amp;""))</f>
        <v/>
      </c>
      <c r="N2645" s="64">
        <f>IF($A2645="","",IFERROR(INDEX(부서매핑!$C$5:$C$504,MATCH($G2645&amp;"",부서매핑!$A$5:$A$504,0)),"미매핑"))</f>
        <v/>
      </c>
      <c r="O2645" s="9">
        <f>IF($A2645="","",N2645&amp;"|"&amp;$F2645)</f>
        <v/>
      </c>
      <c r="P2645" s="94">
        <f>IF($A2645="",0,$H2645*설정!$C$23)</f>
        <v/>
      </c>
      <c r="Q2645" s="64">
        <f>IF($A2645="","",IF(O2645&lt;&gt;원인분석!$C$9,"",IF(AND(M2645&gt;=원인분석!$C$10,M2645&lt;=원인분석!$C$11),"당기",IF(AND(M2645&gt;=원인분석!$C$12,M2645&lt;=원인분석!$C$13),"비교",""))))</f>
        <v/>
      </c>
      <c r="R2645" s="9">
        <f>IF(Q2645="","",$K2645&amp;"")</f>
        <v/>
      </c>
      <c r="S2645" s="9">
        <f>IF(Q2645="","",IF(MATCH(R2645,$R$5:$R$100000,0)=ROW()-4,ROW(),""))</f>
        <v/>
      </c>
      <c r="T2645" s="9">
        <f>IF(Q2645="당기",ABS(P2645)+ROW()/1000000000,"")</f>
        <v/>
      </c>
      <c r="U2645" s="9">
        <f>IF(Q2645="비교",ABS(P2645)+ROW()/1000000000,"")</f>
        <v/>
      </c>
      <c r="V2645" s="64">
        <f>IF($A2645="","",IF(COUNTIF(변동분석!$E$7:$E$506,O2645)&gt;0,"Y","N"))</f>
        <v/>
      </c>
      <c r="W2645" s="64">
        <f>IF($A2645="","",IFERROR(INDEX(계정매핑!$D$5:$D$504,MATCH($F2645&amp;"",계정매핑!$A$5:$A$504,0)),"미매핑"))</f>
        <v/>
      </c>
      <c r="X2645" s="9">
        <f>IF($A2645="","",$F2645&amp;"")</f>
        <v/>
      </c>
      <c r="Y2645" s="94">
        <f>IF($A2645="",0,IF(AE2645="직접",IF(AF2645="비귀속",$P2645,0),$P2645*(1-AG2645)*IFERROR(INDEX(계정대체기준!$F$20:$F$49,MATCH($N2645,계정대체기준!$A$20:$A$49,0)),1)))</f>
        <v/>
      </c>
      <c r="Z2645" s="94">
        <f>IF($A2645="",0,IF(AE2645="직접",IF(AF2645="신계약비",$P2645,0),$P2645*(1-AG2645)*IFERROR(INDEX(계정대체기준!$C$20:$C$49,MATCH($N2645,계정대체기준!$A$20:$A$49,0)),0)))</f>
        <v/>
      </c>
      <c r="AA2645" s="94">
        <f>IF($A2645="",0,IF(AE2645="직접",IF(OR(AF2645="유지비",AF2645="손해조사비"),$P2645,0),$P2645*(1-AG2645)*IFERROR(INDEX(계정대체기준!$D$20:$D$49,MATCH($N2645,계정대체기준!$A$20:$A$49,0)),0)))</f>
        <v/>
      </c>
      <c r="AB2645" s="94">
        <f>IF($A2645="",0,IF(AE2645="직접",IF(AF2645="수금비",$P2645,0),$P2645*(1-AG2645)*IFERROR(INDEX(계정대체기준!$E$20:$E$49,MATCH($N2645,계정대체기준!$A$20:$A$49,0)),0)))</f>
        <v/>
      </c>
      <c r="AC2645" s="9">
        <f>IF(AND($A2645&lt;&gt;"",M2645=설정!$C$20,Z2645&gt;0),Z2645+ROW()/1000000000,"")</f>
        <v/>
      </c>
      <c r="AD2645" s="94">
        <f>IF($A2645="",0,$P2645*AG2645)</f>
        <v/>
      </c>
      <c r="AE2645" s="64">
        <f>IF($A2645="","",IFERROR(INDEX(계정매핑!$E$5:$E$504,MATCH($F2645&amp;"",계정매핑!$A$5:$A$504,0))&amp;"","공통비"))</f>
        <v/>
      </c>
      <c r="AF2645" s="64">
        <f>IF($A2645="","",IF(AE2645="직접",IFERROR(INDEX(계정매핑!$F$5:$F$504,MATCH($F2645&amp;"",계정매핑!$A$5:$A$504,0))&amp;"","비귀속"),""))</f>
        <v/>
      </c>
      <c r="AG2645" s="96">
        <f>IF($A2645="",0,IF(AND(AE2645&lt;&gt;"직접",IFERROR(INDEX(계정매핑!$G$5:$G$504,MATCH($F2645&amp;"",계정매핑!$A$5:$A$504,0))&amp;"","")="유지비",COUNTIF(계정대체기준!$A$6:$A$15,$N2645)&gt;0),IFERROR(INDEX(계정대체기준!$E$6:$E$15,MATCH(VALUE($A2645&amp;""),계정대체기준!$D$6:$D$15,0)),0),0))</f>
        <v/>
      </c>
      <c r="AH2645" s="64">
        <f>IF($A2645="","",IF(AD2645=0,"",IF(OR(COUNTIF(계정대체기준!$A$77:$A$86,$N2645)&gt;0,ISNUMBER(MATCH($X2645,계정대체기준!$D$77:$D$86,0)),ISNUMBER(MATCH($F2645,계정대체기준!$D$77:$D$86,0))),"Y","N")))</f>
        <v/>
      </c>
    </row>
    <row r="2646">
      <c r="A2646" s="92" t="n">
        <v>2025</v>
      </c>
      <c r="B2646" s="92" t="n">
        <v>12</v>
      </c>
      <c r="C2646" s="92" t="inlineStr">
        <is>
          <t>5100002642</t>
        </is>
      </c>
      <c r="D2646" s="95" t="n">
        <v>46010</v>
      </c>
      <c r="E2646" s="92" t="inlineStr">
        <is>
          <t>KR</t>
        </is>
      </c>
      <c r="F2646" s="92" t="n">
        <v>63001000</v>
      </c>
      <c r="G2646" s="92" t="n">
        <v>1701</v>
      </c>
      <c r="H2646" s="93" t="n">
        <v>52453000</v>
      </c>
      <c r="I2646" s="92" t="inlineStr">
        <is>
          <t>12월 SW 유지보수 - Y소프트</t>
        </is>
      </c>
      <c r="J2646" s="92" t="inlineStr">
        <is>
          <t>V10017</t>
        </is>
      </c>
      <c r="K2646" s="92" t="inlineStr">
        <is>
          <t>Y소프트</t>
        </is>
      </c>
      <c r="M2646" s="9">
        <f>IF($A2646="","",VALUE($A2646&amp;"")*12+VALUE($B2646&amp;""))</f>
        <v/>
      </c>
      <c r="N2646" s="64">
        <f>IF($A2646="","",IFERROR(INDEX(부서매핑!$C$5:$C$504,MATCH($G2646&amp;"",부서매핑!$A$5:$A$504,0)),"미매핑"))</f>
        <v/>
      </c>
      <c r="O2646" s="9">
        <f>IF($A2646="","",N2646&amp;"|"&amp;$F2646)</f>
        <v/>
      </c>
      <c r="P2646" s="94">
        <f>IF($A2646="",0,$H2646*설정!$C$23)</f>
        <v/>
      </c>
      <c r="Q2646" s="64">
        <f>IF($A2646="","",IF(O2646&lt;&gt;원인분석!$C$9,"",IF(AND(M2646&gt;=원인분석!$C$10,M2646&lt;=원인분석!$C$11),"당기",IF(AND(M2646&gt;=원인분석!$C$12,M2646&lt;=원인분석!$C$13),"비교",""))))</f>
        <v/>
      </c>
      <c r="R2646" s="9">
        <f>IF(Q2646="","",$K2646&amp;"")</f>
        <v/>
      </c>
      <c r="S2646" s="9">
        <f>IF(Q2646="","",IF(MATCH(R2646,$R$5:$R$100000,0)=ROW()-4,ROW(),""))</f>
        <v/>
      </c>
      <c r="T2646" s="9">
        <f>IF(Q2646="당기",ABS(P2646)+ROW()/1000000000,"")</f>
        <v/>
      </c>
      <c r="U2646" s="9">
        <f>IF(Q2646="비교",ABS(P2646)+ROW()/1000000000,"")</f>
        <v/>
      </c>
      <c r="V2646" s="64">
        <f>IF($A2646="","",IF(COUNTIF(변동분석!$E$7:$E$506,O2646)&gt;0,"Y","N"))</f>
        <v/>
      </c>
      <c r="W2646" s="64">
        <f>IF($A2646="","",IFERROR(INDEX(계정매핑!$D$5:$D$504,MATCH($F2646&amp;"",계정매핑!$A$5:$A$504,0)),"미매핑"))</f>
        <v/>
      </c>
      <c r="X2646" s="9">
        <f>IF($A2646="","",$F2646&amp;"")</f>
        <v/>
      </c>
      <c r="Y2646" s="94">
        <f>IF($A2646="",0,IF(AE2646="직접",IF(AF2646="비귀속",$P2646,0),$P2646*(1-AG2646)*IFERROR(INDEX(계정대체기준!$F$20:$F$49,MATCH($N2646,계정대체기준!$A$20:$A$49,0)),1)))</f>
        <v/>
      </c>
      <c r="Z2646" s="94">
        <f>IF($A2646="",0,IF(AE2646="직접",IF(AF2646="신계약비",$P2646,0),$P2646*(1-AG2646)*IFERROR(INDEX(계정대체기준!$C$20:$C$49,MATCH($N2646,계정대체기준!$A$20:$A$49,0)),0)))</f>
        <v/>
      </c>
      <c r="AA2646" s="94">
        <f>IF($A2646="",0,IF(AE2646="직접",IF(OR(AF2646="유지비",AF2646="손해조사비"),$P2646,0),$P2646*(1-AG2646)*IFERROR(INDEX(계정대체기준!$D$20:$D$49,MATCH($N2646,계정대체기준!$A$20:$A$49,0)),0)))</f>
        <v/>
      </c>
      <c r="AB2646" s="94">
        <f>IF($A2646="",0,IF(AE2646="직접",IF(AF2646="수금비",$P2646,0),$P2646*(1-AG2646)*IFERROR(INDEX(계정대체기준!$E$20:$E$49,MATCH($N2646,계정대체기준!$A$20:$A$49,0)),0)))</f>
        <v/>
      </c>
      <c r="AC2646" s="9">
        <f>IF(AND($A2646&lt;&gt;"",M2646=설정!$C$20,Z2646&gt;0),Z2646+ROW()/1000000000,"")</f>
        <v/>
      </c>
      <c r="AD2646" s="94">
        <f>IF($A2646="",0,$P2646*AG2646)</f>
        <v/>
      </c>
      <c r="AE2646" s="64">
        <f>IF($A2646="","",IFERROR(INDEX(계정매핑!$E$5:$E$504,MATCH($F2646&amp;"",계정매핑!$A$5:$A$504,0))&amp;"","공통비"))</f>
        <v/>
      </c>
      <c r="AF2646" s="64">
        <f>IF($A2646="","",IF(AE2646="직접",IFERROR(INDEX(계정매핑!$F$5:$F$504,MATCH($F2646&amp;"",계정매핑!$A$5:$A$504,0))&amp;"","비귀속"),""))</f>
        <v/>
      </c>
      <c r="AG2646" s="96">
        <f>IF($A2646="",0,IF(AND(AE2646&lt;&gt;"직접",IFERROR(INDEX(계정매핑!$G$5:$G$504,MATCH($F2646&amp;"",계정매핑!$A$5:$A$504,0))&amp;"","")="유지비",COUNTIF(계정대체기준!$A$6:$A$15,$N2646)&gt;0),IFERROR(INDEX(계정대체기준!$E$6:$E$15,MATCH(VALUE($A2646&amp;""),계정대체기준!$D$6:$D$15,0)),0),0))</f>
        <v/>
      </c>
      <c r="AH2646" s="64">
        <f>IF($A2646="","",IF(AD2646=0,"",IF(OR(COUNTIF(계정대체기준!$A$77:$A$86,$N2646)&gt;0,ISNUMBER(MATCH($X2646,계정대체기준!$D$77:$D$86,0)),ISNUMBER(MATCH($F2646,계정대체기준!$D$77:$D$86,0))),"Y","N")))</f>
        <v/>
      </c>
    </row>
    <row r="2647">
      <c r="A2647" s="92" t="n">
        <v>2025</v>
      </c>
      <c r="B2647" s="92" t="n">
        <v>12</v>
      </c>
      <c r="C2647" s="92" t="inlineStr">
        <is>
          <t>5100002643</t>
        </is>
      </c>
      <c r="D2647" s="95" t="n">
        <v>46010</v>
      </c>
      <c r="E2647" s="92" t="inlineStr">
        <is>
          <t>KR</t>
        </is>
      </c>
      <c r="F2647" s="92" t="n">
        <v>63001000</v>
      </c>
      <c r="G2647" s="92" t="n">
        <v>1701</v>
      </c>
      <c r="H2647" s="93" t="n">
        <v>29050000</v>
      </c>
      <c r="I2647" s="92" t="inlineStr">
        <is>
          <t>12월 SW 유지보수 - Z시스템</t>
        </is>
      </c>
      <c r="J2647" s="92" t="inlineStr">
        <is>
          <t>V10012</t>
        </is>
      </c>
      <c r="K2647" s="92" t="inlineStr">
        <is>
          <t>Z시스템</t>
        </is>
      </c>
      <c r="M2647" s="9">
        <f>IF($A2647="","",VALUE($A2647&amp;"")*12+VALUE($B2647&amp;""))</f>
        <v/>
      </c>
      <c r="N2647" s="64">
        <f>IF($A2647="","",IFERROR(INDEX(부서매핑!$C$5:$C$504,MATCH($G2647&amp;"",부서매핑!$A$5:$A$504,0)),"미매핑"))</f>
        <v/>
      </c>
      <c r="O2647" s="9">
        <f>IF($A2647="","",N2647&amp;"|"&amp;$F2647)</f>
        <v/>
      </c>
      <c r="P2647" s="94">
        <f>IF($A2647="",0,$H2647*설정!$C$23)</f>
        <v/>
      </c>
      <c r="Q2647" s="64">
        <f>IF($A2647="","",IF(O2647&lt;&gt;원인분석!$C$9,"",IF(AND(M2647&gt;=원인분석!$C$10,M2647&lt;=원인분석!$C$11),"당기",IF(AND(M2647&gt;=원인분석!$C$12,M2647&lt;=원인분석!$C$13),"비교",""))))</f>
        <v/>
      </c>
      <c r="R2647" s="9">
        <f>IF(Q2647="","",$K2647&amp;"")</f>
        <v/>
      </c>
      <c r="S2647" s="9">
        <f>IF(Q2647="","",IF(MATCH(R2647,$R$5:$R$100000,0)=ROW()-4,ROW(),""))</f>
        <v/>
      </c>
      <c r="T2647" s="9">
        <f>IF(Q2647="당기",ABS(P2647)+ROW()/1000000000,"")</f>
        <v/>
      </c>
      <c r="U2647" s="9">
        <f>IF(Q2647="비교",ABS(P2647)+ROW()/1000000000,"")</f>
        <v/>
      </c>
      <c r="V2647" s="64">
        <f>IF($A2647="","",IF(COUNTIF(변동분석!$E$7:$E$506,O2647)&gt;0,"Y","N"))</f>
        <v/>
      </c>
      <c r="W2647" s="64">
        <f>IF($A2647="","",IFERROR(INDEX(계정매핑!$D$5:$D$504,MATCH($F2647&amp;"",계정매핑!$A$5:$A$504,0)),"미매핑"))</f>
        <v/>
      </c>
      <c r="X2647" s="9">
        <f>IF($A2647="","",$F2647&amp;"")</f>
        <v/>
      </c>
      <c r="Y2647" s="94">
        <f>IF($A2647="",0,IF(AE2647="직접",IF(AF2647="비귀속",$P2647,0),$P2647*(1-AG2647)*IFERROR(INDEX(계정대체기준!$F$20:$F$49,MATCH($N2647,계정대체기준!$A$20:$A$49,0)),1)))</f>
        <v/>
      </c>
      <c r="Z2647" s="94">
        <f>IF($A2647="",0,IF(AE2647="직접",IF(AF2647="신계약비",$P2647,0),$P2647*(1-AG2647)*IFERROR(INDEX(계정대체기준!$C$20:$C$49,MATCH($N2647,계정대체기준!$A$20:$A$49,0)),0)))</f>
        <v/>
      </c>
      <c r="AA2647" s="94">
        <f>IF($A2647="",0,IF(AE2647="직접",IF(OR(AF2647="유지비",AF2647="손해조사비"),$P2647,0),$P2647*(1-AG2647)*IFERROR(INDEX(계정대체기준!$D$20:$D$49,MATCH($N2647,계정대체기준!$A$20:$A$49,0)),0)))</f>
        <v/>
      </c>
      <c r="AB2647" s="94">
        <f>IF($A2647="",0,IF(AE2647="직접",IF(AF2647="수금비",$P2647,0),$P2647*(1-AG2647)*IFERROR(INDEX(계정대체기준!$E$20:$E$49,MATCH($N2647,계정대체기준!$A$20:$A$49,0)),0)))</f>
        <v/>
      </c>
      <c r="AC2647" s="9">
        <f>IF(AND($A2647&lt;&gt;"",M2647=설정!$C$20,Z2647&gt;0),Z2647+ROW()/1000000000,"")</f>
        <v/>
      </c>
      <c r="AD2647" s="94">
        <f>IF($A2647="",0,$P2647*AG2647)</f>
        <v/>
      </c>
      <c r="AE2647" s="64">
        <f>IF($A2647="","",IFERROR(INDEX(계정매핑!$E$5:$E$504,MATCH($F2647&amp;"",계정매핑!$A$5:$A$504,0))&amp;"","공통비"))</f>
        <v/>
      </c>
      <c r="AF2647" s="64">
        <f>IF($A2647="","",IF(AE2647="직접",IFERROR(INDEX(계정매핑!$F$5:$F$504,MATCH($F2647&amp;"",계정매핑!$A$5:$A$504,0))&amp;"","비귀속"),""))</f>
        <v/>
      </c>
      <c r="AG2647" s="96">
        <f>IF($A2647="",0,IF(AND(AE2647&lt;&gt;"직접",IFERROR(INDEX(계정매핑!$G$5:$G$504,MATCH($F2647&amp;"",계정매핑!$A$5:$A$504,0))&amp;"","")="유지비",COUNTIF(계정대체기준!$A$6:$A$15,$N2647)&gt;0),IFERROR(INDEX(계정대체기준!$E$6:$E$15,MATCH(VALUE($A2647&amp;""),계정대체기준!$D$6:$D$15,0)),0),0))</f>
        <v/>
      </c>
      <c r="AH2647" s="64">
        <f>IF($A2647="","",IF(AD2647=0,"",IF(OR(COUNTIF(계정대체기준!$A$77:$A$86,$N2647)&gt;0,ISNUMBER(MATCH($X2647,계정대체기준!$D$77:$D$86,0)),ISNUMBER(MATCH($F2647,계정대체기준!$D$77:$D$86,0))),"Y","N")))</f>
        <v/>
      </c>
    </row>
    <row r="2648">
      <c r="A2648" s="92" t="n">
        <v>2025</v>
      </c>
      <c r="B2648" s="92" t="n">
        <v>12</v>
      </c>
      <c r="C2648" s="92" t="inlineStr">
        <is>
          <t>5100002644</t>
        </is>
      </c>
      <c r="D2648" s="95" t="n">
        <v>46010</v>
      </c>
      <c r="E2648" s="92" t="inlineStr">
        <is>
          <t>KR</t>
        </is>
      </c>
      <c r="F2648" s="92" t="n">
        <v>63001000</v>
      </c>
      <c r="G2648" s="92" t="n">
        <v>1951</v>
      </c>
      <c r="H2648" s="93" t="n">
        <v>3012000</v>
      </c>
      <c r="I2648" s="92" t="inlineStr">
        <is>
          <t>12월 SW 유지보수 - Z시스템</t>
        </is>
      </c>
      <c r="J2648" s="92" t="inlineStr">
        <is>
          <t>V10012</t>
        </is>
      </c>
      <c r="K2648" s="92" t="inlineStr">
        <is>
          <t>Z시스템</t>
        </is>
      </c>
      <c r="M2648" s="9">
        <f>IF($A2648="","",VALUE($A2648&amp;"")*12+VALUE($B2648&amp;""))</f>
        <v/>
      </c>
      <c r="N2648" s="64">
        <f>IF($A2648="","",IFERROR(INDEX(부서매핑!$C$5:$C$504,MATCH($G2648&amp;"",부서매핑!$A$5:$A$504,0)),"미매핑"))</f>
        <v/>
      </c>
      <c r="O2648" s="9">
        <f>IF($A2648="","",N2648&amp;"|"&amp;$F2648)</f>
        <v/>
      </c>
      <c r="P2648" s="94">
        <f>IF($A2648="",0,$H2648*설정!$C$23)</f>
        <v/>
      </c>
      <c r="Q2648" s="64">
        <f>IF($A2648="","",IF(O2648&lt;&gt;원인분석!$C$9,"",IF(AND(M2648&gt;=원인분석!$C$10,M2648&lt;=원인분석!$C$11),"당기",IF(AND(M2648&gt;=원인분석!$C$12,M2648&lt;=원인분석!$C$13),"비교",""))))</f>
        <v/>
      </c>
      <c r="R2648" s="9">
        <f>IF(Q2648="","",$K2648&amp;"")</f>
        <v/>
      </c>
      <c r="S2648" s="9">
        <f>IF(Q2648="","",IF(MATCH(R2648,$R$5:$R$100000,0)=ROW()-4,ROW(),""))</f>
        <v/>
      </c>
      <c r="T2648" s="9">
        <f>IF(Q2648="당기",ABS(P2648)+ROW()/1000000000,"")</f>
        <v/>
      </c>
      <c r="U2648" s="9">
        <f>IF(Q2648="비교",ABS(P2648)+ROW()/1000000000,"")</f>
        <v/>
      </c>
      <c r="V2648" s="64">
        <f>IF($A2648="","",IF(COUNTIF(변동분석!$E$7:$E$506,O2648)&gt;0,"Y","N"))</f>
        <v/>
      </c>
      <c r="W2648" s="64">
        <f>IF($A2648="","",IFERROR(INDEX(계정매핑!$D$5:$D$504,MATCH($F2648&amp;"",계정매핑!$A$5:$A$504,0)),"미매핑"))</f>
        <v/>
      </c>
      <c r="X2648" s="9">
        <f>IF($A2648="","",$F2648&amp;"")</f>
        <v/>
      </c>
      <c r="Y2648" s="94">
        <f>IF($A2648="",0,IF(AE2648="직접",IF(AF2648="비귀속",$P2648,0),$P2648*(1-AG2648)*IFERROR(INDEX(계정대체기준!$F$20:$F$49,MATCH($N2648,계정대체기준!$A$20:$A$49,0)),1)))</f>
        <v/>
      </c>
      <c r="Z2648" s="94">
        <f>IF($A2648="",0,IF(AE2648="직접",IF(AF2648="신계약비",$P2648,0),$P2648*(1-AG2648)*IFERROR(INDEX(계정대체기준!$C$20:$C$49,MATCH($N2648,계정대체기준!$A$20:$A$49,0)),0)))</f>
        <v/>
      </c>
      <c r="AA2648" s="94">
        <f>IF($A2648="",0,IF(AE2648="직접",IF(OR(AF2648="유지비",AF2648="손해조사비"),$P2648,0),$P2648*(1-AG2648)*IFERROR(INDEX(계정대체기준!$D$20:$D$49,MATCH($N2648,계정대체기준!$A$20:$A$49,0)),0)))</f>
        <v/>
      </c>
      <c r="AB2648" s="94">
        <f>IF($A2648="",0,IF(AE2648="직접",IF(AF2648="수금비",$P2648,0),$P2648*(1-AG2648)*IFERROR(INDEX(계정대체기준!$E$20:$E$49,MATCH($N2648,계정대체기준!$A$20:$A$49,0)),0)))</f>
        <v/>
      </c>
      <c r="AC2648" s="9">
        <f>IF(AND($A2648&lt;&gt;"",M2648=설정!$C$20,Z2648&gt;0),Z2648+ROW()/1000000000,"")</f>
        <v/>
      </c>
      <c r="AD2648" s="94">
        <f>IF($A2648="",0,$P2648*AG2648)</f>
        <v/>
      </c>
      <c r="AE2648" s="64">
        <f>IF($A2648="","",IFERROR(INDEX(계정매핑!$E$5:$E$504,MATCH($F2648&amp;"",계정매핑!$A$5:$A$504,0))&amp;"","공통비"))</f>
        <v/>
      </c>
      <c r="AF2648" s="64">
        <f>IF($A2648="","",IF(AE2648="직접",IFERROR(INDEX(계정매핑!$F$5:$F$504,MATCH($F2648&amp;"",계정매핑!$A$5:$A$504,0))&amp;"","비귀속"),""))</f>
        <v/>
      </c>
      <c r="AG2648" s="96">
        <f>IF($A2648="",0,IF(AND(AE2648&lt;&gt;"직접",IFERROR(INDEX(계정매핑!$G$5:$G$504,MATCH($F2648&amp;"",계정매핑!$A$5:$A$504,0))&amp;"","")="유지비",COUNTIF(계정대체기준!$A$6:$A$15,$N2648)&gt;0),IFERROR(INDEX(계정대체기준!$E$6:$E$15,MATCH(VALUE($A2648&amp;""),계정대체기준!$D$6:$D$15,0)),0),0))</f>
        <v/>
      </c>
      <c r="AH2648" s="64">
        <f>IF($A2648="","",IF(AD2648=0,"",IF(OR(COUNTIF(계정대체기준!$A$77:$A$86,$N2648)&gt;0,ISNUMBER(MATCH($X2648,계정대체기준!$D$77:$D$86,0)),ISNUMBER(MATCH($F2648,계정대체기준!$D$77:$D$86,0))),"Y","N")))</f>
        <v/>
      </c>
    </row>
    <row r="2649">
      <c r="A2649" s="92" t="n">
        <v>2025</v>
      </c>
      <c r="B2649" s="92" t="n">
        <v>12</v>
      </c>
      <c r="C2649" s="92" t="inlineStr">
        <is>
          <t>5100002645</t>
        </is>
      </c>
      <c r="D2649" s="95" t="n">
        <v>46011</v>
      </c>
      <c r="E2649" s="92" t="inlineStr">
        <is>
          <t>KR</t>
        </is>
      </c>
      <c r="F2649" s="92" t="n">
        <v>62101000</v>
      </c>
      <c r="G2649" s="92" t="n">
        <v>1101</v>
      </c>
      <c r="H2649" s="93" t="n">
        <v>629000</v>
      </c>
      <c r="I2649" s="92" t="inlineStr">
        <is>
          <t>12월 국내출장 - (법인카드)</t>
        </is>
      </c>
      <c r="J2649" s="92" t="inlineStr">
        <is>
          <t>V10010</t>
        </is>
      </c>
      <c r="K2649" s="92" t="inlineStr">
        <is>
          <t>(법인카드)</t>
        </is>
      </c>
      <c r="M2649" s="9">
        <f>IF($A2649="","",VALUE($A2649&amp;"")*12+VALUE($B2649&amp;""))</f>
        <v/>
      </c>
      <c r="N2649" s="64">
        <f>IF($A2649="","",IFERROR(INDEX(부서매핑!$C$5:$C$504,MATCH($G2649&amp;"",부서매핑!$A$5:$A$504,0)),"미매핑"))</f>
        <v/>
      </c>
      <c r="O2649" s="9">
        <f>IF($A2649="","",N2649&amp;"|"&amp;$F2649)</f>
        <v/>
      </c>
      <c r="P2649" s="94">
        <f>IF($A2649="",0,$H2649*설정!$C$23)</f>
        <v/>
      </c>
      <c r="Q2649" s="64">
        <f>IF($A2649="","",IF(O2649&lt;&gt;원인분석!$C$9,"",IF(AND(M2649&gt;=원인분석!$C$10,M2649&lt;=원인분석!$C$11),"당기",IF(AND(M2649&gt;=원인분석!$C$12,M2649&lt;=원인분석!$C$13),"비교",""))))</f>
        <v/>
      </c>
      <c r="R2649" s="9">
        <f>IF(Q2649="","",$K2649&amp;"")</f>
        <v/>
      </c>
      <c r="S2649" s="9">
        <f>IF(Q2649="","",IF(MATCH(R2649,$R$5:$R$100000,0)=ROW()-4,ROW(),""))</f>
        <v/>
      </c>
      <c r="T2649" s="9">
        <f>IF(Q2649="당기",ABS(P2649)+ROW()/1000000000,"")</f>
        <v/>
      </c>
      <c r="U2649" s="9">
        <f>IF(Q2649="비교",ABS(P2649)+ROW()/1000000000,"")</f>
        <v/>
      </c>
      <c r="V2649" s="64">
        <f>IF($A2649="","",IF(COUNTIF(변동분석!$E$7:$E$506,O2649)&gt;0,"Y","N"))</f>
        <v/>
      </c>
      <c r="W2649" s="64">
        <f>IF($A2649="","",IFERROR(INDEX(계정매핑!$D$5:$D$504,MATCH($F2649&amp;"",계정매핑!$A$5:$A$504,0)),"미매핑"))</f>
        <v/>
      </c>
      <c r="X2649" s="9">
        <f>IF($A2649="","",$F2649&amp;"")</f>
        <v/>
      </c>
      <c r="Y2649" s="94">
        <f>IF($A2649="",0,IF(AE2649="직접",IF(AF2649="비귀속",$P2649,0),$P2649*(1-AG2649)*IFERROR(INDEX(계정대체기준!$F$20:$F$49,MATCH($N2649,계정대체기준!$A$20:$A$49,0)),1)))</f>
        <v/>
      </c>
      <c r="Z2649" s="94">
        <f>IF($A2649="",0,IF(AE2649="직접",IF(AF2649="신계약비",$P2649,0),$P2649*(1-AG2649)*IFERROR(INDEX(계정대체기준!$C$20:$C$49,MATCH($N2649,계정대체기준!$A$20:$A$49,0)),0)))</f>
        <v/>
      </c>
      <c r="AA2649" s="94">
        <f>IF($A2649="",0,IF(AE2649="직접",IF(OR(AF2649="유지비",AF2649="손해조사비"),$P2649,0),$P2649*(1-AG2649)*IFERROR(INDEX(계정대체기준!$D$20:$D$49,MATCH($N2649,계정대체기준!$A$20:$A$49,0)),0)))</f>
        <v/>
      </c>
      <c r="AB2649" s="94">
        <f>IF($A2649="",0,IF(AE2649="직접",IF(AF2649="수금비",$P2649,0),$P2649*(1-AG2649)*IFERROR(INDEX(계정대체기준!$E$20:$E$49,MATCH($N2649,계정대체기준!$A$20:$A$49,0)),0)))</f>
        <v/>
      </c>
      <c r="AC2649" s="9">
        <f>IF(AND($A2649&lt;&gt;"",M2649=설정!$C$20,Z2649&gt;0),Z2649+ROW()/1000000000,"")</f>
        <v/>
      </c>
      <c r="AD2649" s="94">
        <f>IF($A2649="",0,$P2649*AG2649)</f>
        <v/>
      </c>
      <c r="AE2649" s="64">
        <f>IF($A2649="","",IFERROR(INDEX(계정매핑!$E$5:$E$504,MATCH($F2649&amp;"",계정매핑!$A$5:$A$504,0))&amp;"","공통비"))</f>
        <v/>
      </c>
      <c r="AF2649" s="64">
        <f>IF($A2649="","",IF(AE2649="직접",IFERROR(INDEX(계정매핑!$F$5:$F$504,MATCH($F2649&amp;"",계정매핑!$A$5:$A$504,0))&amp;"","비귀속"),""))</f>
        <v/>
      </c>
      <c r="AG2649" s="96">
        <f>IF($A2649="",0,IF(AND(AE2649&lt;&gt;"직접",IFERROR(INDEX(계정매핑!$G$5:$G$504,MATCH($F2649&amp;"",계정매핑!$A$5:$A$504,0))&amp;"","")="유지비",COUNTIF(계정대체기준!$A$6:$A$15,$N2649)&gt;0),IFERROR(INDEX(계정대체기준!$E$6:$E$15,MATCH(VALUE($A2649&amp;""),계정대체기준!$D$6:$D$15,0)),0),0))</f>
        <v/>
      </c>
      <c r="AH2649" s="64">
        <f>IF($A2649="","",IF(AD2649=0,"",IF(OR(COUNTIF(계정대체기준!$A$77:$A$86,$N2649)&gt;0,ISNUMBER(MATCH($X2649,계정대체기준!$D$77:$D$86,0)),ISNUMBER(MATCH($F2649,계정대체기준!$D$77:$D$86,0))),"Y","N")))</f>
        <v/>
      </c>
    </row>
    <row r="2650">
      <c r="A2650" s="92" t="n">
        <v>2025</v>
      </c>
      <c r="B2650" s="92" t="n">
        <v>12</v>
      </c>
      <c r="C2650" s="92" t="inlineStr">
        <is>
          <t>5100002646</t>
        </is>
      </c>
      <c r="D2650" s="95" t="n">
        <v>46011</v>
      </c>
      <c r="E2650" s="92" t="inlineStr">
        <is>
          <t>KR</t>
        </is>
      </c>
      <c r="F2650" s="92" t="n">
        <v>62101000</v>
      </c>
      <c r="G2650" s="92" t="n">
        <v>1801</v>
      </c>
      <c r="H2650" s="93" t="n">
        <v>216000</v>
      </c>
      <c r="I2650" s="92" t="inlineStr">
        <is>
          <t>12월 국내출장 - (법인카드)</t>
        </is>
      </c>
      <c r="J2650" s="92" t="inlineStr">
        <is>
          <t>V10010</t>
        </is>
      </c>
      <c r="K2650" s="92" t="inlineStr">
        <is>
          <t>(법인카드)</t>
        </is>
      </c>
      <c r="M2650" s="9">
        <f>IF($A2650="","",VALUE($A2650&amp;"")*12+VALUE($B2650&amp;""))</f>
        <v/>
      </c>
      <c r="N2650" s="64">
        <f>IF($A2650="","",IFERROR(INDEX(부서매핑!$C$5:$C$504,MATCH($G2650&amp;"",부서매핑!$A$5:$A$504,0)),"미매핑"))</f>
        <v/>
      </c>
      <c r="O2650" s="9">
        <f>IF($A2650="","",N2650&amp;"|"&amp;$F2650)</f>
        <v/>
      </c>
      <c r="P2650" s="94">
        <f>IF($A2650="",0,$H2650*설정!$C$23)</f>
        <v/>
      </c>
      <c r="Q2650" s="64">
        <f>IF($A2650="","",IF(O2650&lt;&gt;원인분석!$C$9,"",IF(AND(M2650&gt;=원인분석!$C$10,M2650&lt;=원인분석!$C$11),"당기",IF(AND(M2650&gt;=원인분석!$C$12,M2650&lt;=원인분석!$C$13),"비교",""))))</f>
        <v/>
      </c>
      <c r="R2650" s="9">
        <f>IF(Q2650="","",$K2650&amp;"")</f>
        <v/>
      </c>
      <c r="S2650" s="9">
        <f>IF(Q2650="","",IF(MATCH(R2650,$R$5:$R$100000,0)=ROW()-4,ROW(),""))</f>
        <v/>
      </c>
      <c r="T2650" s="9">
        <f>IF(Q2650="당기",ABS(P2650)+ROW()/1000000000,"")</f>
        <v/>
      </c>
      <c r="U2650" s="9">
        <f>IF(Q2650="비교",ABS(P2650)+ROW()/1000000000,"")</f>
        <v/>
      </c>
      <c r="V2650" s="64">
        <f>IF($A2650="","",IF(COUNTIF(변동분석!$E$7:$E$506,O2650)&gt;0,"Y","N"))</f>
        <v/>
      </c>
      <c r="W2650" s="64">
        <f>IF($A2650="","",IFERROR(INDEX(계정매핑!$D$5:$D$504,MATCH($F2650&amp;"",계정매핑!$A$5:$A$504,0)),"미매핑"))</f>
        <v/>
      </c>
      <c r="X2650" s="9">
        <f>IF($A2650="","",$F2650&amp;"")</f>
        <v/>
      </c>
      <c r="Y2650" s="94">
        <f>IF($A2650="",0,IF(AE2650="직접",IF(AF2650="비귀속",$P2650,0),$P2650*(1-AG2650)*IFERROR(INDEX(계정대체기준!$F$20:$F$49,MATCH($N2650,계정대체기준!$A$20:$A$49,0)),1)))</f>
        <v/>
      </c>
      <c r="Z2650" s="94">
        <f>IF($A2650="",0,IF(AE2650="직접",IF(AF2650="신계약비",$P2650,0),$P2650*(1-AG2650)*IFERROR(INDEX(계정대체기준!$C$20:$C$49,MATCH($N2650,계정대체기준!$A$20:$A$49,0)),0)))</f>
        <v/>
      </c>
      <c r="AA2650" s="94">
        <f>IF($A2650="",0,IF(AE2650="직접",IF(OR(AF2650="유지비",AF2650="손해조사비"),$P2650,0),$P2650*(1-AG2650)*IFERROR(INDEX(계정대체기준!$D$20:$D$49,MATCH($N2650,계정대체기준!$A$20:$A$49,0)),0)))</f>
        <v/>
      </c>
      <c r="AB2650" s="94">
        <f>IF($A2650="",0,IF(AE2650="직접",IF(AF2650="수금비",$P2650,0),$P2650*(1-AG2650)*IFERROR(INDEX(계정대체기준!$E$20:$E$49,MATCH($N2650,계정대체기준!$A$20:$A$49,0)),0)))</f>
        <v/>
      </c>
      <c r="AC2650" s="9">
        <f>IF(AND($A2650&lt;&gt;"",M2650=설정!$C$20,Z2650&gt;0),Z2650+ROW()/1000000000,"")</f>
        <v/>
      </c>
      <c r="AD2650" s="94">
        <f>IF($A2650="",0,$P2650*AG2650)</f>
        <v/>
      </c>
      <c r="AE2650" s="64">
        <f>IF($A2650="","",IFERROR(INDEX(계정매핑!$E$5:$E$504,MATCH($F2650&amp;"",계정매핑!$A$5:$A$504,0))&amp;"","공통비"))</f>
        <v/>
      </c>
      <c r="AF2650" s="64">
        <f>IF($A2650="","",IF(AE2650="직접",IFERROR(INDEX(계정매핑!$F$5:$F$504,MATCH($F2650&amp;"",계정매핑!$A$5:$A$504,0))&amp;"","비귀속"),""))</f>
        <v/>
      </c>
      <c r="AG2650" s="96">
        <f>IF($A2650="",0,IF(AND(AE2650&lt;&gt;"직접",IFERROR(INDEX(계정매핑!$G$5:$G$504,MATCH($F2650&amp;"",계정매핑!$A$5:$A$504,0))&amp;"","")="유지비",COUNTIF(계정대체기준!$A$6:$A$15,$N2650)&gt;0),IFERROR(INDEX(계정대체기준!$E$6:$E$15,MATCH(VALUE($A2650&amp;""),계정대체기준!$D$6:$D$15,0)),0),0))</f>
        <v/>
      </c>
      <c r="AH2650" s="64">
        <f>IF($A2650="","",IF(AD2650=0,"",IF(OR(COUNTIF(계정대체기준!$A$77:$A$86,$N2650)&gt;0,ISNUMBER(MATCH($X2650,계정대체기준!$D$77:$D$86,0)),ISNUMBER(MATCH($F2650,계정대체기준!$D$77:$D$86,0))),"Y","N")))</f>
        <v/>
      </c>
    </row>
    <row r="2651">
      <c r="A2651" s="92" t="n">
        <v>2025</v>
      </c>
      <c r="B2651" s="92" t="n">
        <v>12</v>
      </c>
      <c r="C2651" s="92" t="inlineStr">
        <is>
          <t>5100002647</t>
        </is>
      </c>
      <c r="D2651" s="95" t="n">
        <v>46011</v>
      </c>
      <c r="E2651" s="92" t="inlineStr">
        <is>
          <t>KR</t>
        </is>
      </c>
      <c r="F2651" s="92" t="n">
        <v>62101000</v>
      </c>
      <c r="G2651" s="92" t="n">
        <v>1951</v>
      </c>
      <c r="H2651" s="93" t="n">
        <v>266000</v>
      </c>
      <c r="I2651" s="92" t="inlineStr">
        <is>
          <t>12월 국내출장 - (법인카드)</t>
        </is>
      </c>
      <c r="J2651" s="92" t="inlineStr">
        <is>
          <t>V10010</t>
        </is>
      </c>
      <c r="K2651" s="92" t="inlineStr">
        <is>
          <t>(법인카드)</t>
        </is>
      </c>
      <c r="M2651" s="9">
        <f>IF($A2651="","",VALUE($A2651&amp;"")*12+VALUE($B2651&amp;""))</f>
        <v/>
      </c>
      <c r="N2651" s="64">
        <f>IF($A2651="","",IFERROR(INDEX(부서매핑!$C$5:$C$504,MATCH($G2651&amp;"",부서매핑!$A$5:$A$504,0)),"미매핑"))</f>
        <v/>
      </c>
      <c r="O2651" s="9">
        <f>IF($A2651="","",N2651&amp;"|"&amp;$F2651)</f>
        <v/>
      </c>
      <c r="P2651" s="94">
        <f>IF($A2651="",0,$H2651*설정!$C$23)</f>
        <v/>
      </c>
      <c r="Q2651" s="64">
        <f>IF($A2651="","",IF(O2651&lt;&gt;원인분석!$C$9,"",IF(AND(M2651&gt;=원인분석!$C$10,M2651&lt;=원인분석!$C$11),"당기",IF(AND(M2651&gt;=원인분석!$C$12,M2651&lt;=원인분석!$C$13),"비교",""))))</f>
        <v/>
      </c>
      <c r="R2651" s="9">
        <f>IF(Q2651="","",$K2651&amp;"")</f>
        <v/>
      </c>
      <c r="S2651" s="9">
        <f>IF(Q2651="","",IF(MATCH(R2651,$R$5:$R$100000,0)=ROW()-4,ROW(),""))</f>
        <v/>
      </c>
      <c r="T2651" s="9">
        <f>IF(Q2651="당기",ABS(P2651)+ROW()/1000000000,"")</f>
        <v/>
      </c>
      <c r="U2651" s="9">
        <f>IF(Q2651="비교",ABS(P2651)+ROW()/1000000000,"")</f>
        <v/>
      </c>
      <c r="V2651" s="64">
        <f>IF($A2651="","",IF(COUNTIF(변동분석!$E$7:$E$506,O2651)&gt;0,"Y","N"))</f>
        <v/>
      </c>
      <c r="W2651" s="64">
        <f>IF($A2651="","",IFERROR(INDEX(계정매핑!$D$5:$D$504,MATCH($F2651&amp;"",계정매핑!$A$5:$A$504,0)),"미매핑"))</f>
        <v/>
      </c>
      <c r="X2651" s="9">
        <f>IF($A2651="","",$F2651&amp;"")</f>
        <v/>
      </c>
      <c r="Y2651" s="94">
        <f>IF($A2651="",0,IF(AE2651="직접",IF(AF2651="비귀속",$P2651,0),$P2651*(1-AG2651)*IFERROR(INDEX(계정대체기준!$F$20:$F$49,MATCH($N2651,계정대체기준!$A$20:$A$49,0)),1)))</f>
        <v/>
      </c>
      <c r="Z2651" s="94">
        <f>IF($A2651="",0,IF(AE2651="직접",IF(AF2651="신계약비",$P2651,0),$P2651*(1-AG2651)*IFERROR(INDEX(계정대체기준!$C$20:$C$49,MATCH($N2651,계정대체기준!$A$20:$A$49,0)),0)))</f>
        <v/>
      </c>
      <c r="AA2651" s="94">
        <f>IF($A2651="",0,IF(AE2651="직접",IF(OR(AF2651="유지비",AF2651="손해조사비"),$P2651,0),$P2651*(1-AG2651)*IFERROR(INDEX(계정대체기준!$D$20:$D$49,MATCH($N2651,계정대체기준!$A$20:$A$49,0)),0)))</f>
        <v/>
      </c>
      <c r="AB2651" s="94">
        <f>IF($A2651="",0,IF(AE2651="직접",IF(AF2651="수금비",$P2651,0),$P2651*(1-AG2651)*IFERROR(INDEX(계정대체기준!$E$20:$E$49,MATCH($N2651,계정대체기준!$A$20:$A$49,0)),0)))</f>
        <v/>
      </c>
      <c r="AC2651" s="9">
        <f>IF(AND($A2651&lt;&gt;"",M2651=설정!$C$20,Z2651&gt;0),Z2651+ROW()/1000000000,"")</f>
        <v/>
      </c>
      <c r="AD2651" s="94">
        <f>IF($A2651="",0,$P2651*AG2651)</f>
        <v/>
      </c>
      <c r="AE2651" s="64">
        <f>IF($A2651="","",IFERROR(INDEX(계정매핑!$E$5:$E$504,MATCH($F2651&amp;"",계정매핑!$A$5:$A$504,0))&amp;"","공통비"))</f>
        <v/>
      </c>
      <c r="AF2651" s="64">
        <f>IF($A2651="","",IF(AE2651="직접",IFERROR(INDEX(계정매핑!$F$5:$F$504,MATCH($F2651&amp;"",계정매핑!$A$5:$A$504,0))&amp;"","비귀속"),""))</f>
        <v/>
      </c>
      <c r="AG2651" s="96">
        <f>IF($A2651="",0,IF(AND(AE2651&lt;&gt;"직접",IFERROR(INDEX(계정매핑!$G$5:$G$504,MATCH($F2651&amp;"",계정매핑!$A$5:$A$504,0))&amp;"","")="유지비",COUNTIF(계정대체기준!$A$6:$A$15,$N2651)&gt;0),IFERROR(INDEX(계정대체기준!$E$6:$E$15,MATCH(VALUE($A2651&amp;""),계정대체기준!$D$6:$D$15,0)),0),0))</f>
        <v/>
      </c>
      <c r="AH2651" s="64">
        <f>IF($A2651="","",IF(AD2651=0,"",IF(OR(COUNTIF(계정대체기준!$A$77:$A$86,$N2651)&gt;0,ISNUMBER(MATCH($X2651,계정대체기준!$D$77:$D$86,0)),ISNUMBER(MATCH($F2651,계정대체기준!$D$77:$D$86,0))),"Y","N")))</f>
        <v/>
      </c>
    </row>
    <row r="2652">
      <c r="A2652" s="92" t="n">
        <v>2025</v>
      </c>
      <c r="B2652" s="92" t="n">
        <v>12</v>
      </c>
      <c r="C2652" s="92" t="inlineStr">
        <is>
          <t>5100002648</t>
        </is>
      </c>
      <c r="D2652" s="95" t="n">
        <v>46011</v>
      </c>
      <c r="E2652" s="92" t="inlineStr">
        <is>
          <t>KR</t>
        </is>
      </c>
      <c r="F2652" s="92" t="n">
        <v>62301000</v>
      </c>
      <c r="G2652" s="92" t="n">
        <v>1801</v>
      </c>
      <c r="H2652" s="93" t="n">
        <v>378000</v>
      </c>
      <c r="I2652" s="92" t="inlineStr">
        <is>
          <t>12월 소모품 구입 - R문구</t>
        </is>
      </c>
      <c r="J2652" s="92" t="inlineStr">
        <is>
          <t>V10022</t>
        </is>
      </c>
      <c r="K2652" s="92" t="inlineStr">
        <is>
          <t>R문구</t>
        </is>
      </c>
      <c r="M2652" s="9">
        <f>IF($A2652="","",VALUE($A2652&amp;"")*12+VALUE($B2652&amp;""))</f>
        <v/>
      </c>
      <c r="N2652" s="64">
        <f>IF($A2652="","",IFERROR(INDEX(부서매핑!$C$5:$C$504,MATCH($G2652&amp;"",부서매핑!$A$5:$A$504,0)),"미매핑"))</f>
        <v/>
      </c>
      <c r="O2652" s="9">
        <f>IF($A2652="","",N2652&amp;"|"&amp;$F2652)</f>
        <v/>
      </c>
      <c r="P2652" s="94">
        <f>IF($A2652="",0,$H2652*설정!$C$23)</f>
        <v/>
      </c>
      <c r="Q2652" s="64">
        <f>IF($A2652="","",IF(O2652&lt;&gt;원인분석!$C$9,"",IF(AND(M2652&gt;=원인분석!$C$10,M2652&lt;=원인분석!$C$11),"당기",IF(AND(M2652&gt;=원인분석!$C$12,M2652&lt;=원인분석!$C$13),"비교",""))))</f>
        <v/>
      </c>
      <c r="R2652" s="9">
        <f>IF(Q2652="","",$K2652&amp;"")</f>
        <v/>
      </c>
      <c r="S2652" s="9">
        <f>IF(Q2652="","",IF(MATCH(R2652,$R$5:$R$100000,0)=ROW()-4,ROW(),""))</f>
        <v/>
      </c>
      <c r="T2652" s="9">
        <f>IF(Q2652="당기",ABS(P2652)+ROW()/1000000000,"")</f>
        <v/>
      </c>
      <c r="U2652" s="9">
        <f>IF(Q2652="비교",ABS(P2652)+ROW()/1000000000,"")</f>
        <v/>
      </c>
      <c r="V2652" s="64">
        <f>IF($A2652="","",IF(COUNTIF(변동분석!$E$7:$E$506,O2652)&gt;0,"Y","N"))</f>
        <v/>
      </c>
      <c r="W2652" s="64">
        <f>IF($A2652="","",IFERROR(INDEX(계정매핑!$D$5:$D$504,MATCH($F2652&amp;"",계정매핑!$A$5:$A$504,0)),"미매핑"))</f>
        <v/>
      </c>
      <c r="X2652" s="9">
        <f>IF($A2652="","",$F2652&amp;"")</f>
        <v/>
      </c>
      <c r="Y2652" s="94">
        <f>IF($A2652="",0,IF(AE2652="직접",IF(AF2652="비귀속",$P2652,0),$P2652*(1-AG2652)*IFERROR(INDEX(계정대체기준!$F$20:$F$49,MATCH($N2652,계정대체기준!$A$20:$A$49,0)),1)))</f>
        <v/>
      </c>
      <c r="Z2652" s="94">
        <f>IF($A2652="",0,IF(AE2652="직접",IF(AF2652="신계약비",$P2652,0),$P2652*(1-AG2652)*IFERROR(INDEX(계정대체기준!$C$20:$C$49,MATCH($N2652,계정대체기준!$A$20:$A$49,0)),0)))</f>
        <v/>
      </c>
      <c r="AA2652" s="94">
        <f>IF($A2652="",0,IF(AE2652="직접",IF(OR(AF2652="유지비",AF2652="손해조사비"),$P2652,0),$P2652*(1-AG2652)*IFERROR(INDEX(계정대체기준!$D$20:$D$49,MATCH($N2652,계정대체기준!$A$20:$A$49,0)),0)))</f>
        <v/>
      </c>
      <c r="AB2652" s="94">
        <f>IF($A2652="",0,IF(AE2652="직접",IF(AF2652="수금비",$P2652,0),$P2652*(1-AG2652)*IFERROR(INDEX(계정대체기준!$E$20:$E$49,MATCH($N2652,계정대체기준!$A$20:$A$49,0)),0)))</f>
        <v/>
      </c>
      <c r="AC2652" s="9">
        <f>IF(AND($A2652&lt;&gt;"",M2652=설정!$C$20,Z2652&gt;0),Z2652+ROW()/1000000000,"")</f>
        <v/>
      </c>
      <c r="AD2652" s="94">
        <f>IF($A2652="",0,$P2652*AG2652)</f>
        <v/>
      </c>
      <c r="AE2652" s="64">
        <f>IF($A2652="","",IFERROR(INDEX(계정매핑!$E$5:$E$504,MATCH($F2652&amp;"",계정매핑!$A$5:$A$504,0))&amp;"","공통비"))</f>
        <v/>
      </c>
      <c r="AF2652" s="64">
        <f>IF($A2652="","",IF(AE2652="직접",IFERROR(INDEX(계정매핑!$F$5:$F$504,MATCH($F2652&amp;"",계정매핑!$A$5:$A$504,0))&amp;"","비귀속"),""))</f>
        <v/>
      </c>
      <c r="AG2652" s="96">
        <f>IF($A2652="",0,IF(AND(AE2652&lt;&gt;"직접",IFERROR(INDEX(계정매핑!$G$5:$G$504,MATCH($F2652&amp;"",계정매핑!$A$5:$A$504,0))&amp;"","")="유지비",COUNTIF(계정대체기준!$A$6:$A$15,$N2652)&gt;0),IFERROR(INDEX(계정대체기준!$E$6:$E$15,MATCH(VALUE($A2652&amp;""),계정대체기준!$D$6:$D$15,0)),0),0))</f>
        <v/>
      </c>
      <c r="AH2652" s="64">
        <f>IF($A2652="","",IF(AD2652=0,"",IF(OR(COUNTIF(계정대체기준!$A$77:$A$86,$N2652)&gt;0,ISNUMBER(MATCH($X2652,계정대체기준!$D$77:$D$86,0)),ISNUMBER(MATCH($F2652,계정대체기준!$D$77:$D$86,0))),"Y","N")))</f>
        <v/>
      </c>
    </row>
    <row r="2653">
      <c r="A2653" s="92" t="n">
        <v>2025</v>
      </c>
      <c r="B2653" s="92" t="n">
        <v>12</v>
      </c>
      <c r="C2653" s="92" t="inlineStr">
        <is>
          <t>5100002649</t>
        </is>
      </c>
      <c r="D2653" s="95" t="n">
        <v>46011</v>
      </c>
      <c r="E2653" s="92" t="inlineStr">
        <is>
          <t>KR</t>
        </is>
      </c>
      <c r="F2653" s="92" t="n">
        <v>63001000</v>
      </c>
      <c r="G2653" s="92" t="n">
        <v>1951</v>
      </c>
      <c r="H2653" s="93" t="n">
        <v>4080000</v>
      </c>
      <c r="I2653" s="92" t="inlineStr">
        <is>
          <t>12월 SW 유지보수 - Y소프트</t>
        </is>
      </c>
      <c r="J2653" s="92" t="inlineStr">
        <is>
          <t>V10017</t>
        </is>
      </c>
      <c r="K2653" s="92" t="inlineStr">
        <is>
          <t>Y소프트</t>
        </is>
      </c>
      <c r="M2653" s="9">
        <f>IF($A2653="","",VALUE($A2653&amp;"")*12+VALUE($B2653&amp;""))</f>
        <v/>
      </c>
      <c r="N2653" s="64">
        <f>IF($A2653="","",IFERROR(INDEX(부서매핑!$C$5:$C$504,MATCH($G2653&amp;"",부서매핑!$A$5:$A$504,0)),"미매핑"))</f>
        <v/>
      </c>
      <c r="O2653" s="9">
        <f>IF($A2653="","",N2653&amp;"|"&amp;$F2653)</f>
        <v/>
      </c>
      <c r="P2653" s="94">
        <f>IF($A2653="",0,$H2653*설정!$C$23)</f>
        <v/>
      </c>
      <c r="Q2653" s="64">
        <f>IF($A2653="","",IF(O2653&lt;&gt;원인분석!$C$9,"",IF(AND(M2653&gt;=원인분석!$C$10,M2653&lt;=원인분석!$C$11),"당기",IF(AND(M2653&gt;=원인분석!$C$12,M2653&lt;=원인분석!$C$13),"비교",""))))</f>
        <v/>
      </c>
      <c r="R2653" s="9">
        <f>IF(Q2653="","",$K2653&amp;"")</f>
        <v/>
      </c>
      <c r="S2653" s="9">
        <f>IF(Q2653="","",IF(MATCH(R2653,$R$5:$R$100000,0)=ROW()-4,ROW(),""))</f>
        <v/>
      </c>
      <c r="T2653" s="9">
        <f>IF(Q2653="당기",ABS(P2653)+ROW()/1000000000,"")</f>
        <v/>
      </c>
      <c r="U2653" s="9">
        <f>IF(Q2653="비교",ABS(P2653)+ROW()/1000000000,"")</f>
        <v/>
      </c>
      <c r="V2653" s="64">
        <f>IF($A2653="","",IF(COUNTIF(변동분석!$E$7:$E$506,O2653)&gt;0,"Y","N"))</f>
        <v/>
      </c>
      <c r="W2653" s="64">
        <f>IF($A2653="","",IFERROR(INDEX(계정매핑!$D$5:$D$504,MATCH($F2653&amp;"",계정매핑!$A$5:$A$504,0)),"미매핑"))</f>
        <v/>
      </c>
      <c r="X2653" s="9">
        <f>IF($A2653="","",$F2653&amp;"")</f>
        <v/>
      </c>
      <c r="Y2653" s="94">
        <f>IF($A2653="",0,IF(AE2653="직접",IF(AF2653="비귀속",$P2653,0),$P2653*(1-AG2653)*IFERROR(INDEX(계정대체기준!$F$20:$F$49,MATCH($N2653,계정대체기준!$A$20:$A$49,0)),1)))</f>
        <v/>
      </c>
      <c r="Z2653" s="94">
        <f>IF($A2653="",0,IF(AE2653="직접",IF(AF2653="신계약비",$P2653,0),$P2653*(1-AG2653)*IFERROR(INDEX(계정대체기준!$C$20:$C$49,MATCH($N2653,계정대체기준!$A$20:$A$49,0)),0)))</f>
        <v/>
      </c>
      <c r="AA2653" s="94">
        <f>IF($A2653="",0,IF(AE2653="직접",IF(OR(AF2653="유지비",AF2653="손해조사비"),$P2653,0),$P2653*(1-AG2653)*IFERROR(INDEX(계정대체기준!$D$20:$D$49,MATCH($N2653,계정대체기준!$A$20:$A$49,0)),0)))</f>
        <v/>
      </c>
      <c r="AB2653" s="94">
        <f>IF($A2653="",0,IF(AE2653="직접",IF(AF2653="수금비",$P2653,0),$P2653*(1-AG2653)*IFERROR(INDEX(계정대체기준!$E$20:$E$49,MATCH($N2653,계정대체기준!$A$20:$A$49,0)),0)))</f>
        <v/>
      </c>
      <c r="AC2653" s="9">
        <f>IF(AND($A2653&lt;&gt;"",M2653=설정!$C$20,Z2653&gt;0),Z2653+ROW()/1000000000,"")</f>
        <v/>
      </c>
      <c r="AD2653" s="94">
        <f>IF($A2653="",0,$P2653*AG2653)</f>
        <v/>
      </c>
      <c r="AE2653" s="64">
        <f>IF($A2653="","",IFERROR(INDEX(계정매핑!$E$5:$E$504,MATCH($F2653&amp;"",계정매핑!$A$5:$A$504,0))&amp;"","공통비"))</f>
        <v/>
      </c>
      <c r="AF2653" s="64">
        <f>IF($A2653="","",IF(AE2653="직접",IFERROR(INDEX(계정매핑!$F$5:$F$504,MATCH($F2653&amp;"",계정매핑!$A$5:$A$504,0))&amp;"","비귀속"),""))</f>
        <v/>
      </c>
      <c r="AG2653" s="96">
        <f>IF($A2653="",0,IF(AND(AE2653&lt;&gt;"직접",IFERROR(INDEX(계정매핑!$G$5:$G$504,MATCH($F2653&amp;"",계정매핑!$A$5:$A$504,0))&amp;"","")="유지비",COUNTIF(계정대체기준!$A$6:$A$15,$N2653)&gt;0),IFERROR(INDEX(계정대체기준!$E$6:$E$15,MATCH(VALUE($A2653&amp;""),계정대체기준!$D$6:$D$15,0)),0),0))</f>
        <v/>
      </c>
      <c r="AH2653" s="64">
        <f>IF($A2653="","",IF(AD2653=0,"",IF(OR(COUNTIF(계정대체기준!$A$77:$A$86,$N2653)&gt;0,ISNUMBER(MATCH($X2653,계정대체기준!$D$77:$D$86,0)),ISNUMBER(MATCH($F2653,계정대체기준!$D$77:$D$86,0))),"Y","N")))</f>
        <v/>
      </c>
    </row>
    <row r="2654">
      <c r="A2654" s="92" t="n">
        <v>2025</v>
      </c>
      <c r="B2654" s="92" t="n">
        <v>12</v>
      </c>
      <c r="C2654" s="92" t="inlineStr">
        <is>
          <t>5100002650</t>
        </is>
      </c>
      <c r="D2654" s="95" t="n">
        <v>46011</v>
      </c>
      <c r="E2654" s="92" t="inlineStr">
        <is>
          <t>KR</t>
        </is>
      </c>
      <c r="F2654" s="92" t="n">
        <v>63002000</v>
      </c>
      <c r="G2654" s="92" t="n">
        <v>1951</v>
      </c>
      <c r="H2654" s="93" t="n">
        <v>4667000</v>
      </c>
      <c r="I2654" s="92" t="inlineStr">
        <is>
          <t>12월 클라우드 사용료 - C클라우드</t>
        </is>
      </c>
      <c r="J2654" s="92" t="inlineStr">
        <is>
          <t>V10026</t>
        </is>
      </c>
      <c r="K2654" s="92" t="inlineStr">
        <is>
          <t>C클라우드</t>
        </is>
      </c>
      <c r="M2654" s="9">
        <f>IF($A2654="","",VALUE($A2654&amp;"")*12+VALUE($B2654&amp;""))</f>
        <v/>
      </c>
      <c r="N2654" s="64">
        <f>IF($A2654="","",IFERROR(INDEX(부서매핑!$C$5:$C$504,MATCH($G2654&amp;"",부서매핑!$A$5:$A$504,0)),"미매핑"))</f>
        <v/>
      </c>
      <c r="O2654" s="9">
        <f>IF($A2654="","",N2654&amp;"|"&amp;$F2654)</f>
        <v/>
      </c>
      <c r="P2654" s="94">
        <f>IF($A2654="",0,$H2654*설정!$C$23)</f>
        <v/>
      </c>
      <c r="Q2654" s="64">
        <f>IF($A2654="","",IF(O2654&lt;&gt;원인분석!$C$9,"",IF(AND(M2654&gt;=원인분석!$C$10,M2654&lt;=원인분석!$C$11),"당기",IF(AND(M2654&gt;=원인분석!$C$12,M2654&lt;=원인분석!$C$13),"비교",""))))</f>
        <v/>
      </c>
      <c r="R2654" s="9">
        <f>IF(Q2654="","",$K2654&amp;"")</f>
        <v/>
      </c>
      <c r="S2654" s="9">
        <f>IF(Q2654="","",IF(MATCH(R2654,$R$5:$R$100000,0)=ROW()-4,ROW(),""))</f>
        <v/>
      </c>
      <c r="T2654" s="9">
        <f>IF(Q2654="당기",ABS(P2654)+ROW()/1000000000,"")</f>
        <v/>
      </c>
      <c r="U2654" s="9">
        <f>IF(Q2654="비교",ABS(P2654)+ROW()/1000000000,"")</f>
        <v/>
      </c>
      <c r="V2654" s="64">
        <f>IF($A2654="","",IF(COUNTIF(변동분석!$E$7:$E$506,O2654)&gt;0,"Y","N"))</f>
        <v/>
      </c>
      <c r="W2654" s="64">
        <f>IF($A2654="","",IFERROR(INDEX(계정매핑!$D$5:$D$504,MATCH($F2654&amp;"",계정매핑!$A$5:$A$504,0)),"미매핑"))</f>
        <v/>
      </c>
      <c r="X2654" s="9">
        <f>IF($A2654="","",$F2654&amp;"")</f>
        <v/>
      </c>
      <c r="Y2654" s="94">
        <f>IF($A2654="",0,IF(AE2654="직접",IF(AF2654="비귀속",$P2654,0),$P2654*(1-AG2654)*IFERROR(INDEX(계정대체기준!$F$20:$F$49,MATCH($N2654,계정대체기준!$A$20:$A$49,0)),1)))</f>
        <v/>
      </c>
      <c r="Z2654" s="94">
        <f>IF($A2654="",0,IF(AE2654="직접",IF(AF2654="신계약비",$P2654,0),$P2654*(1-AG2654)*IFERROR(INDEX(계정대체기준!$C$20:$C$49,MATCH($N2654,계정대체기준!$A$20:$A$49,0)),0)))</f>
        <v/>
      </c>
      <c r="AA2654" s="94">
        <f>IF($A2654="",0,IF(AE2654="직접",IF(OR(AF2654="유지비",AF2654="손해조사비"),$P2654,0),$P2654*(1-AG2654)*IFERROR(INDEX(계정대체기준!$D$20:$D$49,MATCH($N2654,계정대체기준!$A$20:$A$49,0)),0)))</f>
        <v/>
      </c>
      <c r="AB2654" s="94">
        <f>IF($A2654="",0,IF(AE2654="직접",IF(AF2654="수금비",$P2654,0),$P2654*(1-AG2654)*IFERROR(INDEX(계정대체기준!$E$20:$E$49,MATCH($N2654,계정대체기준!$A$20:$A$49,0)),0)))</f>
        <v/>
      </c>
      <c r="AC2654" s="9">
        <f>IF(AND($A2654&lt;&gt;"",M2654=설정!$C$20,Z2654&gt;0),Z2654+ROW()/1000000000,"")</f>
        <v/>
      </c>
      <c r="AD2654" s="94">
        <f>IF($A2654="",0,$P2654*AG2654)</f>
        <v/>
      </c>
      <c r="AE2654" s="64">
        <f>IF($A2654="","",IFERROR(INDEX(계정매핑!$E$5:$E$504,MATCH($F2654&amp;"",계정매핑!$A$5:$A$504,0))&amp;"","공통비"))</f>
        <v/>
      </c>
      <c r="AF2654" s="64">
        <f>IF($A2654="","",IF(AE2654="직접",IFERROR(INDEX(계정매핑!$F$5:$F$504,MATCH($F2654&amp;"",계정매핑!$A$5:$A$504,0))&amp;"","비귀속"),""))</f>
        <v/>
      </c>
      <c r="AG2654" s="96">
        <f>IF($A2654="",0,IF(AND(AE2654&lt;&gt;"직접",IFERROR(INDEX(계정매핑!$G$5:$G$504,MATCH($F2654&amp;"",계정매핑!$A$5:$A$504,0))&amp;"","")="유지비",COUNTIF(계정대체기준!$A$6:$A$15,$N2654)&gt;0),IFERROR(INDEX(계정대체기준!$E$6:$E$15,MATCH(VALUE($A2654&amp;""),계정대체기준!$D$6:$D$15,0)),0),0))</f>
        <v/>
      </c>
      <c r="AH2654" s="64">
        <f>IF($A2654="","",IF(AD2654=0,"",IF(OR(COUNTIF(계정대체기준!$A$77:$A$86,$N2654)&gt;0,ISNUMBER(MATCH($X2654,계정대체기준!$D$77:$D$86,0)),ISNUMBER(MATCH($F2654,계정대체기준!$D$77:$D$86,0))),"Y","N")))</f>
        <v/>
      </c>
    </row>
    <row r="2655">
      <c r="A2655" s="92" t="n">
        <v>2025</v>
      </c>
      <c r="B2655" s="92" t="n">
        <v>12</v>
      </c>
      <c r="C2655" s="92" t="inlineStr">
        <is>
          <t>5100002651</t>
        </is>
      </c>
      <c r="D2655" s="95" t="n">
        <v>46011</v>
      </c>
      <c r="E2655" s="92" t="inlineStr">
        <is>
          <t>KR</t>
        </is>
      </c>
      <c r="F2655" s="92" t="n">
        <v>63101000</v>
      </c>
      <c r="G2655" s="92" t="n">
        <v>1602</v>
      </c>
      <c r="H2655" s="93" t="n">
        <v>4938000</v>
      </c>
      <c r="I2655" s="92" t="inlineStr">
        <is>
          <t>12월 사무실 임차료 - AA빌딩</t>
        </is>
      </c>
      <c r="J2655" s="92" t="inlineStr">
        <is>
          <t>V10007</t>
        </is>
      </c>
      <c r="K2655" s="92" t="inlineStr">
        <is>
          <t>AA빌딩</t>
        </is>
      </c>
      <c r="M2655" s="9">
        <f>IF($A2655="","",VALUE($A2655&amp;"")*12+VALUE($B2655&amp;""))</f>
        <v/>
      </c>
      <c r="N2655" s="64">
        <f>IF($A2655="","",IFERROR(INDEX(부서매핑!$C$5:$C$504,MATCH($G2655&amp;"",부서매핑!$A$5:$A$504,0)),"미매핑"))</f>
        <v/>
      </c>
      <c r="O2655" s="9">
        <f>IF($A2655="","",N2655&amp;"|"&amp;$F2655)</f>
        <v/>
      </c>
      <c r="P2655" s="94">
        <f>IF($A2655="",0,$H2655*설정!$C$23)</f>
        <v/>
      </c>
      <c r="Q2655" s="64">
        <f>IF($A2655="","",IF(O2655&lt;&gt;원인분석!$C$9,"",IF(AND(M2655&gt;=원인분석!$C$10,M2655&lt;=원인분석!$C$11),"당기",IF(AND(M2655&gt;=원인분석!$C$12,M2655&lt;=원인분석!$C$13),"비교",""))))</f>
        <v/>
      </c>
      <c r="R2655" s="9">
        <f>IF(Q2655="","",$K2655&amp;"")</f>
        <v/>
      </c>
      <c r="S2655" s="9">
        <f>IF(Q2655="","",IF(MATCH(R2655,$R$5:$R$100000,0)=ROW()-4,ROW(),""))</f>
        <v/>
      </c>
      <c r="T2655" s="9">
        <f>IF(Q2655="당기",ABS(P2655)+ROW()/1000000000,"")</f>
        <v/>
      </c>
      <c r="U2655" s="9">
        <f>IF(Q2655="비교",ABS(P2655)+ROW()/1000000000,"")</f>
        <v/>
      </c>
      <c r="V2655" s="64">
        <f>IF($A2655="","",IF(COUNTIF(변동분석!$E$7:$E$506,O2655)&gt;0,"Y","N"))</f>
        <v/>
      </c>
      <c r="W2655" s="64">
        <f>IF($A2655="","",IFERROR(INDEX(계정매핑!$D$5:$D$504,MATCH($F2655&amp;"",계정매핑!$A$5:$A$504,0)),"미매핑"))</f>
        <v/>
      </c>
      <c r="X2655" s="9">
        <f>IF($A2655="","",$F2655&amp;"")</f>
        <v/>
      </c>
      <c r="Y2655" s="94">
        <f>IF($A2655="",0,IF(AE2655="직접",IF(AF2655="비귀속",$P2655,0),$P2655*(1-AG2655)*IFERROR(INDEX(계정대체기준!$F$20:$F$49,MATCH($N2655,계정대체기준!$A$20:$A$49,0)),1)))</f>
        <v/>
      </c>
      <c r="Z2655" s="94">
        <f>IF($A2655="",0,IF(AE2655="직접",IF(AF2655="신계약비",$P2655,0),$P2655*(1-AG2655)*IFERROR(INDEX(계정대체기준!$C$20:$C$49,MATCH($N2655,계정대체기준!$A$20:$A$49,0)),0)))</f>
        <v/>
      </c>
      <c r="AA2655" s="94">
        <f>IF($A2655="",0,IF(AE2655="직접",IF(OR(AF2655="유지비",AF2655="손해조사비"),$P2655,0),$P2655*(1-AG2655)*IFERROR(INDEX(계정대체기준!$D$20:$D$49,MATCH($N2655,계정대체기준!$A$20:$A$49,0)),0)))</f>
        <v/>
      </c>
      <c r="AB2655" s="94">
        <f>IF($A2655="",0,IF(AE2655="직접",IF(AF2655="수금비",$P2655,0),$P2655*(1-AG2655)*IFERROR(INDEX(계정대체기준!$E$20:$E$49,MATCH($N2655,계정대체기준!$A$20:$A$49,0)),0)))</f>
        <v/>
      </c>
      <c r="AC2655" s="9">
        <f>IF(AND($A2655&lt;&gt;"",M2655=설정!$C$20,Z2655&gt;0),Z2655+ROW()/1000000000,"")</f>
        <v/>
      </c>
      <c r="AD2655" s="94">
        <f>IF($A2655="",0,$P2655*AG2655)</f>
        <v/>
      </c>
      <c r="AE2655" s="64">
        <f>IF($A2655="","",IFERROR(INDEX(계정매핑!$E$5:$E$504,MATCH($F2655&amp;"",계정매핑!$A$5:$A$504,0))&amp;"","공통비"))</f>
        <v/>
      </c>
      <c r="AF2655" s="64">
        <f>IF($A2655="","",IF(AE2655="직접",IFERROR(INDEX(계정매핑!$F$5:$F$504,MATCH($F2655&amp;"",계정매핑!$A$5:$A$504,0))&amp;"","비귀속"),""))</f>
        <v/>
      </c>
      <c r="AG2655" s="96">
        <f>IF($A2655="",0,IF(AND(AE2655&lt;&gt;"직접",IFERROR(INDEX(계정매핑!$G$5:$G$504,MATCH($F2655&amp;"",계정매핑!$A$5:$A$504,0))&amp;"","")="유지비",COUNTIF(계정대체기준!$A$6:$A$15,$N2655)&gt;0),IFERROR(INDEX(계정대체기준!$E$6:$E$15,MATCH(VALUE($A2655&amp;""),계정대체기준!$D$6:$D$15,0)),0),0))</f>
        <v/>
      </c>
      <c r="AH2655" s="64">
        <f>IF($A2655="","",IF(AD2655=0,"",IF(OR(COUNTIF(계정대체기준!$A$77:$A$86,$N2655)&gt;0,ISNUMBER(MATCH($X2655,계정대체기준!$D$77:$D$86,0)),ISNUMBER(MATCH($F2655,계정대체기준!$D$77:$D$86,0))),"Y","N")))</f>
        <v/>
      </c>
    </row>
    <row r="2656">
      <c r="A2656" s="92" t="n">
        <v>2025</v>
      </c>
      <c r="B2656" s="92" t="n">
        <v>12</v>
      </c>
      <c r="C2656" s="92" t="inlineStr">
        <is>
          <t>5100002652</t>
        </is>
      </c>
      <c r="D2656" s="95" t="n">
        <v>46012</v>
      </c>
      <c r="E2656" s="92" t="inlineStr">
        <is>
          <t>KR</t>
        </is>
      </c>
      <c r="F2656" s="92" t="n">
        <v>62101000</v>
      </c>
      <c r="G2656" s="92" t="n">
        <v>1401</v>
      </c>
      <c r="H2656" s="93" t="n">
        <v>218000</v>
      </c>
      <c r="I2656" s="92" t="inlineStr">
        <is>
          <t>12월 국내출장 - L여행사</t>
        </is>
      </c>
      <c r="J2656" s="92" t="inlineStr">
        <is>
          <t>V10018</t>
        </is>
      </c>
      <c r="K2656" s="92" t="inlineStr">
        <is>
          <t>L여행사</t>
        </is>
      </c>
      <c r="M2656" s="9">
        <f>IF($A2656="","",VALUE($A2656&amp;"")*12+VALUE($B2656&amp;""))</f>
        <v/>
      </c>
      <c r="N2656" s="64">
        <f>IF($A2656="","",IFERROR(INDEX(부서매핑!$C$5:$C$504,MATCH($G2656&amp;"",부서매핑!$A$5:$A$504,0)),"미매핑"))</f>
        <v/>
      </c>
      <c r="O2656" s="9">
        <f>IF($A2656="","",N2656&amp;"|"&amp;$F2656)</f>
        <v/>
      </c>
      <c r="P2656" s="94">
        <f>IF($A2656="",0,$H2656*설정!$C$23)</f>
        <v/>
      </c>
      <c r="Q2656" s="64">
        <f>IF($A2656="","",IF(O2656&lt;&gt;원인분석!$C$9,"",IF(AND(M2656&gt;=원인분석!$C$10,M2656&lt;=원인분석!$C$11),"당기",IF(AND(M2656&gt;=원인분석!$C$12,M2656&lt;=원인분석!$C$13),"비교",""))))</f>
        <v/>
      </c>
      <c r="R2656" s="9">
        <f>IF(Q2656="","",$K2656&amp;"")</f>
        <v/>
      </c>
      <c r="S2656" s="9">
        <f>IF(Q2656="","",IF(MATCH(R2656,$R$5:$R$100000,0)=ROW()-4,ROW(),""))</f>
        <v/>
      </c>
      <c r="T2656" s="9">
        <f>IF(Q2656="당기",ABS(P2656)+ROW()/1000000000,"")</f>
        <v/>
      </c>
      <c r="U2656" s="9">
        <f>IF(Q2656="비교",ABS(P2656)+ROW()/1000000000,"")</f>
        <v/>
      </c>
      <c r="V2656" s="64">
        <f>IF($A2656="","",IF(COUNTIF(변동분석!$E$7:$E$506,O2656)&gt;0,"Y","N"))</f>
        <v/>
      </c>
      <c r="W2656" s="64">
        <f>IF($A2656="","",IFERROR(INDEX(계정매핑!$D$5:$D$504,MATCH($F2656&amp;"",계정매핑!$A$5:$A$504,0)),"미매핑"))</f>
        <v/>
      </c>
      <c r="X2656" s="9">
        <f>IF($A2656="","",$F2656&amp;"")</f>
        <v/>
      </c>
      <c r="Y2656" s="94">
        <f>IF($A2656="",0,IF(AE2656="직접",IF(AF2656="비귀속",$P2656,0),$P2656*(1-AG2656)*IFERROR(INDEX(계정대체기준!$F$20:$F$49,MATCH($N2656,계정대체기준!$A$20:$A$49,0)),1)))</f>
        <v/>
      </c>
      <c r="Z2656" s="94">
        <f>IF($A2656="",0,IF(AE2656="직접",IF(AF2656="신계약비",$P2656,0),$P2656*(1-AG2656)*IFERROR(INDEX(계정대체기준!$C$20:$C$49,MATCH($N2656,계정대체기준!$A$20:$A$49,0)),0)))</f>
        <v/>
      </c>
      <c r="AA2656" s="94">
        <f>IF($A2656="",0,IF(AE2656="직접",IF(OR(AF2656="유지비",AF2656="손해조사비"),$P2656,0),$P2656*(1-AG2656)*IFERROR(INDEX(계정대체기준!$D$20:$D$49,MATCH($N2656,계정대체기준!$A$20:$A$49,0)),0)))</f>
        <v/>
      </c>
      <c r="AB2656" s="94">
        <f>IF($A2656="",0,IF(AE2656="직접",IF(AF2656="수금비",$P2656,0),$P2656*(1-AG2656)*IFERROR(INDEX(계정대체기준!$E$20:$E$49,MATCH($N2656,계정대체기준!$A$20:$A$49,0)),0)))</f>
        <v/>
      </c>
      <c r="AC2656" s="9">
        <f>IF(AND($A2656&lt;&gt;"",M2656=설정!$C$20,Z2656&gt;0),Z2656+ROW()/1000000000,"")</f>
        <v/>
      </c>
      <c r="AD2656" s="94">
        <f>IF($A2656="",0,$P2656*AG2656)</f>
        <v/>
      </c>
      <c r="AE2656" s="64">
        <f>IF($A2656="","",IFERROR(INDEX(계정매핑!$E$5:$E$504,MATCH($F2656&amp;"",계정매핑!$A$5:$A$504,0))&amp;"","공통비"))</f>
        <v/>
      </c>
      <c r="AF2656" s="64">
        <f>IF($A2656="","",IF(AE2656="직접",IFERROR(INDEX(계정매핑!$F$5:$F$504,MATCH($F2656&amp;"",계정매핑!$A$5:$A$504,0))&amp;"","비귀속"),""))</f>
        <v/>
      </c>
      <c r="AG2656" s="96">
        <f>IF($A2656="",0,IF(AND(AE2656&lt;&gt;"직접",IFERROR(INDEX(계정매핑!$G$5:$G$504,MATCH($F2656&amp;"",계정매핑!$A$5:$A$504,0))&amp;"","")="유지비",COUNTIF(계정대체기준!$A$6:$A$15,$N2656)&gt;0),IFERROR(INDEX(계정대체기준!$E$6:$E$15,MATCH(VALUE($A2656&amp;""),계정대체기준!$D$6:$D$15,0)),0),0))</f>
        <v/>
      </c>
      <c r="AH2656" s="64">
        <f>IF($A2656="","",IF(AD2656=0,"",IF(OR(COUNTIF(계정대체기준!$A$77:$A$86,$N2656)&gt;0,ISNUMBER(MATCH($X2656,계정대체기준!$D$77:$D$86,0)),ISNUMBER(MATCH($F2656,계정대체기준!$D$77:$D$86,0))),"Y","N")))</f>
        <v/>
      </c>
    </row>
    <row r="2657">
      <c r="A2657" s="92" t="n">
        <v>2025</v>
      </c>
      <c r="B2657" s="92" t="n">
        <v>12</v>
      </c>
      <c r="C2657" s="92" t="inlineStr">
        <is>
          <t>5100002653</t>
        </is>
      </c>
      <c r="D2657" s="95" t="n">
        <v>46012</v>
      </c>
      <c r="E2657" s="92" t="inlineStr">
        <is>
          <t>KR</t>
        </is>
      </c>
      <c r="F2657" s="92" t="n">
        <v>62101000</v>
      </c>
      <c r="G2657" s="92" t="n">
        <v>1602</v>
      </c>
      <c r="H2657" s="93" t="n">
        <v>1343000</v>
      </c>
      <c r="I2657" s="92" t="inlineStr">
        <is>
          <t>12월 국내출장 - M항공</t>
        </is>
      </c>
      <c r="J2657" s="92" t="inlineStr">
        <is>
          <t>V10001</t>
        </is>
      </c>
      <c r="K2657" s="92" t="inlineStr">
        <is>
          <t>M항공</t>
        </is>
      </c>
      <c r="M2657" s="9">
        <f>IF($A2657="","",VALUE($A2657&amp;"")*12+VALUE($B2657&amp;""))</f>
        <v/>
      </c>
      <c r="N2657" s="64">
        <f>IF($A2657="","",IFERROR(INDEX(부서매핑!$C$5:$C$504,MATCH($G2657&amp;"",부서매핑!$A$5:$A$504,0)),"미매핑"))</f>
        <v/>
      </c>
      <c r="O2657" s="9">
        <f>IF($A2657="","",N2657&amp;"|"&amp;$F2657)</f>
        <v/>
      </c>
      <c r="P2657" s="94">
        <f>IF($A2657="",0,$H2657*설정!$C$23)</f>
        <v/>
      </c>
      <c r="Q2657" s="64">
        <f>IF($A2657="","",IF(O2657&lt;&gt;원인분석!$C$9,"",IF(AND(M2657&gt;=원인분석!$C$10,M2657&lt;=원인분석!$C$11),"당기",IF(AND(M2657&gt;=원인분석!$C$12,M2657&lt;=원인분석!$C$13),"비교",""))))</f>
        <v/>
      </c>
      <c r="R2657" s="9">
        <f>IF(Q2657="","",$K2657&amp;"")</f>
        <v/>
      </c>
      <c r="S2657" s="9">
        <f>IF(Q2657="","",IF(MATCH(R2657,$R$5:$R$100000,0)=ROW()-4,ROW(),""))</f>
        <v/>
      </c>
      <c r="T2657" s="9">
        <f>IF(Q2657="당기",ABS(P2657)+ROW()/1000000000,"")</f>
        <v/>
      </c>
      <c r="U2657" s="9">
        <f>IF(Q2657="비교",ABS(P2657)+ROW()/1000000000,"")</f>
        <v/>
      </c>
      <c r="V2657" s="64">
        <f>IF($A2657="","",IF(COUNTIF(변동분석!$E$7:$E$506,O2657)&gt;0,"Y","N"))</f>
        <v/>
      </c>
      <c r="W2657" s="64">
        <f>IF($A2657="","",IFERROR(INDEX(계정매핑!$D$5:$D$504,MATCH($F2657&amp;"",계정매핑!$A$5:$A$504,0)),"미매핑"))</f>
        <v/>
      </c>
      <c r="X2657" s="9">
        <f>IF($A2657="","",$F2657&amp;"")</f>
        <v/>
      </c>
      <c r="Y2657" s="94">
        <f>IF($A2657="",0,IF(AE2657="직접",IF(AF2657="비귀속",$P2657,0),$P2657*(1-AG2657)*IFERROR(INDEX(계정대체기준!$F$20:$F$49,MATCH($N2657,계정대체기준!$A$20:$A$49,0)),1)))</f>
        <v/>
      </c>
      <c r="Z2657" s="94">
        <f>IF($A2657="",0,IF(AE2657="직접",IF(AF2657="신계약비",$P2657,0),$P2657*(1-AG2657)*IFERROR(INDEX(계정대체기준!$C$20:$C$49,MATCH($N2657,계정대체기준!$A$20:$A$49,0)),0)))</f>
        <v/>
      </c>
      <c r="AA2657" s="94">
        <f>IF($A2657="",0,IF(AE2657="직접",IF(OR(AF2657="유지비",AF2657="손해조사비"),$P2657,0),$P2657*(1-AG2657)*IFERROR(INDEX(계정대체기준!$D$20:$D$49,MATCH($N2657,계정대체기준!$A$20:$A$49,0)),0)))</f>
        <v/>
      </c>
      <c r="AB2657" s="94">
        <f>IF($A2657="",0,IF(AE2657="직접",IF(AF2657="수금비",$P2657,0),$P2657*(1-AG2657)*IFERROR(INDEX(계정대체기준!$E$20:$E$49,MATCH($N2657,계정대체기준!$A$20:$A$49,0)),0)))</f>
        <v/>
      </c>
      <c r="AC2657" s="9">
        <f>IF(AND($A2657&lt;&gt;"",M2657=설정!$C$20,Z2657&gt;0),Z2657+ROW()/1000000000,"")</f>
        <v/>
      </c>
      <c r="AD2657" s="94">
        <f>IF($A2657="",0,$P2657*AG2657)</f>
        <v/>
      </c>
      <c r="AE2657" s="64">
        <f>IF($A2657="","",IFERROR(INDEX(계정매핑!$E$5:$E$504,MATCH($F2657&amp;"",계정매핑!$A$5:$A$504,0))&amp;"","공통비"))</f>
        <v/>
      </c>
      <c r="AF2657" s="64">
        <f>IF($A2657="","",IF(AE2657="직접",IFERROR(INDEX(계정매핑!$F$5:$F$504,MATCH($F2657&amp;"",계정매핑!$A$5:$A$504,0))&amp;"","비귀속"),""))</f>
        <v/>
      </c>
      <c r="AG2657" s="96">
        <f>IF($A2657="",0,IF(AND(AE2657&lt;&gt;"직접",IFERROR(INDEX(계정매핑!$G$5:$G$504,MATCH($F2657&amp;"",계정매핑!$A$5:$A$504,0))&amp;"","")="유지비",COUNTIF(계정대체기준!$A$6:$A$15,$N2657)&gt;0),IFERROR(INDEX(계정대체기준!$E$6:$E$15,MATCH(VALUE($A2657&amp;""),계정대체기준!$D$6:$D$15,0)),0),0))</f>
        <v/>
      </c>
      <c r="AH2657" s="64">
        <f>IF($A2657="","",IF(AD2657=0,"",IF(OR(COUNTIF(계정대체기준!$A$77:$A$86,$N2657)&gt;0,ISNUMBER(MATCH($X2657,계정대체기준!$D$77:$D$86,0)),ISNUMBER(MATCH($F2657,계정대체기준!$D$77:$D$86,0))),"Y","N")))</f>
        <v/>
      </c>
    </row>
    <row r="2658">
      <c r="A2658" s="92" t="n">
        <v>2025</v>
      </c>
      <c r="B2658" s="92" t="n">
        <v>12</v>
      </c>
      <c r="C2658" s="92" t="inlineStr">
        <is>
          <t>5100002654</t>
        </is>
      </c>
      <c r="D2658" s="95" t="n">
        <v>46012</v>
      </c>
      <c r="E2658" s="92" t="inlineStr">
        <is>
          <t>KR</t>
        </is>
      </c>
      <c r="F2658" s="92" t="n">
        <v>62101000</v>
      </c>
      <c r="G2658" s="92" t="n">
        <v>1701</v>
      </c>
      <c r="H2658" s="93" t="n">
        <v>125000</v>
      </c>
      <c r="I2658" s="92" t="inlineStr">
        <is>
          <t>12월 국내출장 - M항공</t>
        </is>
      </c>
      <c r="J2658" s="92" t="inlineStr">
        <is>
          <t>V10001</t>
        </is>
      </c>
      <c r="K2658" s="92" t="inlineStr">
        <is>
          <t>M항공</t>
        </is>
      </c>
      <c r="M2658" s="9">
        <f>IF($A2658="","",VALUE($A2658&amp;"")*12+VALUE($B2658&amp;""))</f>
        <v/>
      </c>
      <c r="N2658" s="64">
        <f>IF($A2658="","",IFERROR(INDEX(부서매핑!$C$5:$C$504,MATCH($G2658&amp;"",부서매핑!$A$5:$A$504,0)),"미매핑"))</f>
        <v/>
      </c>
      <c r="O2658" s="9">
        <f>IF($A2658="","",N2658&amp;"|"&amp;$F2658)</f>
        <v/>
      </c>
      <c r="P2658" s="94">
        <f>IF($A2658="",0,$H2658*설정!$C$23)</f>
        <v/>
      </c>
      <c r="Q2658" s="64">
        <f>IF($A2658="","",IF(O2658&lt;&gt;원인분석!$C$9,"",IF(AND(M2658&gt;=원인분석!$C$10,M2658&lt;=원인분석!$C$11),"당기",IF(AND(M2658&gt;=원인분석!$C$12,M2658&lt;=원인분석!$C$13),"비교",""))))</f>
        <v/>
      </c>
      <c r="R2658" s="9">
        <f>IF(Q2658="","",$K2658&amp;"")</f>
        <v/>
      </c>
      <c r="S2658" s="9">
        <f>IF(Q2658="","",IF(MATCH(R2658,$R$5:$R$100000,0)=ROW()-4,ROW(),""))</f>
        <v/>
      </c>
      <c r="T2658" s="9">
        <f>IF(Q2658="당기",ABS(P2658)+ROW()/1000000000,"")</f>
        <v/>
      </c>
      <c r="U2658" s="9">
        <f>IF(Q2658="비교",ABS(P2658)+ROW()/1000000000,"")</f>
        <v/>
      </c>
      <c r="V2658" s="64">
        <f>IF($A2658="","",IF(COUNTIF(변동분석!$E$7:$E$506,O2658)&gt;0,"Y","N"))</f>
        <v/>
      </c>
      <c r="W2658" s="64">
        <f>IF($A2658="","",IFERROR(INDEX(계정매핑!$D$5:$D$504,MATCH($F2658&amp;"",계정매핑!$A$5:$A$504,0)),"미매핑"))</f>
        <v/>
      </c>
      <c r="X2658" s="9">
        <f>IF($A2658="","",$F2658&amp;"")</f>
        <v/>
      </c>
      <c r="Y2658" s="94">
        <f>IF($A2658="",0,IF(AE2658="직접",IF(AF2658="비귀속",$P2658,0),$P2658*(1-AG2658)*IFERROR(INDEX(계정대체기준!$F$20:$F$49,MATCH($N2658,계정대체기준!$A$20:$A$49,0)),1)))</f>
        <v/>
      </c>
      <c r="Z2658" s="94">
        <f>IF($A2658="",0,IF(AE2658="직접",IF(AF2658="신계약비",$P2658,0),$P2658*(1-AG2658)*IFERROR(INDEX(계정대체기준!$C$20:$C$49,MATCH($N2658,계정대체기준!$A$20:$A$49,0)),0)))</f>
        <v/>
      </c>
      <c r="AA2658" s="94">
        <f>IF($A2658="",0,IF(AE2658="직접",IF(OR(AF2658="유지비",AF2658="손해조사비"),$P2658,0),$P2658*(1-AG2658)*IFERROR(INDEX(계정대체기준!$D$20:$D$49,MATCH($N2658,계정대체기준!$A$20:$A$49,0)),0)))</f>
        <v/>
      </c>
      <c r="AB2658" s="94">
        <f>IF($A2658="",0,IF(AE2658="직접",IF(AF2658="수금비",$P2658,0),$P2658*(1-AG2658)*IFERROR(INDEX(계정대체기준!$E$20:$E$49,MATCH($N2658,계정대체기준!$A$20:$A$49,0)),0)))</f>
        <v/>
      </c>
      <c r="AC2658" s="9">
        <f>IF(AND($A2658&lt;&gt;"",M2658=설정!$C$20,Z2658&gt;0),Z2658+ROW()/1000000000,"")</f>
        <v/>
      </c>
      <c r="AD2658" s="94">
        <f>IF($A2658="",0,$P2658*AG2658)</f>
        <v/>
      </c>
      <c r="AE2658" s="64">
        <f>IF($A2658="","",IFERROR(INDEX(계정매핑!$E$5:$E$504,MATCH($F2658&amp;"",계정매핑!$A$5:$A$504,0))&amp;"","공통비"))</f>
        <v/>
      </c>
      <c r="AF2658" s="64">
        <f>IF($A2658="","",IF(AE2658="직접",IFERROR(INDEX(계정매핑!$F$5:$F$504,MATCH($F2658&amp;"",계정매핑!$A$5:$A$504,0))&amp;"","비귀속"),""))</f>
        <v/>
      </c>
      <c r="AG2658" s="96">
        <f>IF($A2658="",0,IF(AND(AE2658&lt;&gt;"직접",IFERROR(INDEX(계정매핑!$G$5:$G$504,MATCH($F2658&amp;"",계정매핑!$A$5:$A$504,0))&amp;"","")="유지비",COUNTIF(계정대체기준!$A$6:$A$15,$N2658)&gt;0),IFERROR(INDEX(계정대체기준!$E$6:$E$15,MATCH(VALUE($A2658&amp;""),계정대체기준!$D$6:$D$15,0)),0),0))</f>
        <v/>
      </c>
      <c r="AH2658" s="64">
        <f>IF($A2658="","",IF(AD2658=0,"",IF(OR(COUNTIF(계정대체기준!$A$77:$A$86,$N2658)&gt;0,ISNUMBER(MATCH($X2658,계정대체기준!$D$77:$D$86,0)),ISNUMBER(MATCH($F2658,계정대체기준!$D$77:$D$86,0))),"Y","N")))</f>
        <v/>
      </c>
    </row>
    <row r="2659">
      <c r="A2659" s="92" t="n">
        <v>2025</v>
      </c>
      <c r="B2659" s="92" t="n">
        <v>12</v>
      </c>
      <c r="C2659" s="92" t="inlineStr">
        <is>
          <t>5100002655</t>
        </is>
      </c>
      <c r="D2659" s="95" t="n">
        <v>46012</v>
      </c>
      <c r="E2659" s="92" t="inlineStr">
        <is>
          <t>KR</t>
        </is>
      </c>
      <c r="F2659" s="92" t="n">
        <v>62102000</v>
      </c>
      <c r="G2659" s="92" t="n">
        <v>1602</v>
      </c>
      <c r="H2659" s="93" t="n">
        <v>329000</v>
      </c>
      <c r="I2659" s="92" t="inlineStr">
        <is>
          <t>12월 해외출장 - N호텔</t>
        </is>
      </c>
      <c r="J2659" s="92" t="inlineStr">
        <is>
          <t>V10009</t>
        </is>
      </c>
      <c r="K2659" s="92" t="inlineStr">
        <is>
          <t>N호텔</t>
        </is>
      </c>
      <c r="M2659" s="9">
        <f>IF($A2659="","",VALUE($A2659&amp;"")*12+VALUE($B2659&amp;""))</f>
        <v/>
      </c>
      <c r="N2659" s="64">
        <f>IF($A2659="","",IFERROR(INDEX(부서매핑!$C$5:$C$504,MATCH($G2659&amp;"",부서매핑!$A$5:$A$504,0)),"미매핑"))</f>
        <v/>
      </c>
      <c r="O2659" s="9">
        <f>IF($A2659="","",N2659&amp;"|"&amp;$F2659)</f>
        <v/>
      </c>
      <c r="P2659" s="94">
        <f>IF($A2659="",0,$H2659*설정!$C$23)</f>
        <v/>
      </c>
      <c r="Q2659" s="64">
        <f>IF($A2659="","",IF(O2659&lt;&gt;원인분석!$C$9,"",IF(AND(M2659&gt;=원인분석!$C$10,M2659&lt;=원인분석!$C$11),"당기",IF(AND(M2659&gt;=원인분석!$C$12,M2659&lt;=원인분석!$C$13),"비교",""))))</f>
        <v/>
      </c>
      <c r="R2659" s="9">
        <f>IF(Q2659="","",$K2659&amp;"")</f>
        <v/>
      </c>
      <c r="S2659" s="9">
        <f>IF(Q2659="","",IF(MATCH(R2659,$R$5:$R$100000,0)=ROW()-4,ROW(),""))</f>
        <v/>
      </c>
      <c r="T2659" s="9">
        <f>IF(Q2659="당기",ABS(P2659)+ROW()/1000000000,"")</f>
        <v/>
      </c>
      <c r="U2659" s="9">
        <f>IF(Q2659="비교",ABS(P2659)+ROW()/1000000000,"")</f>
        <v/>
      </c>
      <c r="V2659" s="64">
        <f>IF($A2659="","",IF(COUNTIF(변동분석!$E$7:$E$506,O2659)&gt;0,"Y","N"))</f>
        <v/>
      </c>
      <c r="W2659" s="64">
        <f>IF($A2659="","",IFERROR(INDEX(계정매핑!$D$5:$D$504,MATCH($F2659&amp;"",계정매핑!$A$5:$A$504,0)),"미매핑"))</f>
        <v/>
      </c>
      <c r="X2659" s="9">
        <f>IF($A2659="","",$F2659&amp;"")</f>
        <v/>
      </c>
      <c r="Y2659" s="94">
        <f>IF($A2659="",0,IF(AE2659="직접",IF(AF2659="비귀속",$P2659,0),$P2659*(1-AG2659)*IFERROR(INDEX(계정대체기준!$F$20:$F$49,MATCH($N2659,계정대체기준!$A$20:$A$49,0)),1)))</f>
        <v/>
      </c>
      <c r="Z2659" s="94">
        <f>IF($A2659="",0,IF(AE2659="직접",IF(AF2659="신계약비",$P2659,0),$P2659*(1-AG2659)*IFERROR(INDEX(계정대체기준!$C$20:$C$49,MATCH($N2659,계정대체기준!$A$20:$A$49,0)),0)))</f>
        <v/>
      </c>
      <c r="AA2659" s="94">
        <f>IF($A2659="",0,IF(AE2659="직접",IF(OR(AF2659="유지비",AF2659="손해조사비"),$P2659,0),$P2659*(1-AG2659)*IFERROR(INDEX(계정대체기준!$D$20:$D$49,MATCH($N2659,계정대체기준!$A$20:$A$49,0)),0)))</f>
        <v/>
      </c>
      <c r="AB2659" s="94">
        <f>IF($A2659="",0,IF(AE2659="직접",IF(AF2659="수금비",$P2659,0),$P2659*(1-AG2659)*IFERROR(INDEX(계정대체기준!$E$20:$E$49,MATCH($N2659,계정대체기준!$A$20:$A$49,0)),0)))</f>
        <v/>
      </c>
      <c r="AC2659" s="9">
        <f>IF(AND($A2659&lt;&gt;"",M2659=설정!$C$20,Z2659&gt;0),Z2659+ROW()/1000000000,"")</f>
        <v/>
      </c>
      <c r="AD2659" s="94">
        <f>IF($A2659="",0,$P2659*AG2659)</f>
        <v/>
      </c>
      <c r="AE2659" s="64">
        <f>IF($A2659="","",IFERROR(INDEX(계정매핑!$E$5:$E$504,MATCH($F2659&amp;"",계정매핑!$A$5:$A$504,0))&amp;"","공통비"))</f>
        <v/>
      </c>
      <c r="AF2659" s="64">
        <f>IF($A2659="","",IF(AE2659="직접",IFERROR(INDEX(계정매핑!$F$5:$F$504,MATCH($F2659&amp;"",계정매핑!$A$5:$A$504,0))&amp;"","비귀속"),""))</f>
        <v/>
      </c>
      <c r="AG2659" s="96">
        <f>IF($A2659="",0,IF(AND(AE2659&lt;&gt;"직접",IFERROR(INDEX(계정매핑!$G$5:$G$504,MATCH($F2659&amp;"",계정매핑!$A$5:$A$504,0))&amp;"","")="유지비",COUNTIF(계정대체기준!$A$6:$A$15,$N2659)&gt;0),IFERROR(INDEX(계정대체기준!$E$6:$E$15,MATCH(VALUE($A2659&amp;""),계정대체기준!$D$6:$D$15,0)),0),0))</f>
        <v/>
      </c>
      <c r="AH2659" s="64">
        <f>IF($A2659="","",IF(AD2659=0,"",IF(OR(COUNTIF(계정대체기준!$A$77:$A$86,$N2659)&gt;0,ISNUMBER(MATCH($X2659,계정대체기준!$D$77:$D$86,0)),ISNUMBER(MATCH($F2659,계정대체기준!$D$77:$D$86,0))),"Y","N")))</f>
        <v/>
      </c>
    </row>
    <row r="2660">
      <c r="A2660" s="92" t="n">
        <v>2025</v>
      </c>
      <c r="B2660" s="92" t="n">
        <v>12</v>
      </c>
      <c r="C2660" s="92" t="inlineStr">
        <is>
          <t>5100002656</t>
        </is>
      </c>
      <c r="D2660" s="95" t="n">
        <v>46012</v>
      </c>
      <c r="E2660" s="92" t="inlineStr">
        <is>
          <t>KR</t>
        </is>
      </c>
      <c r="F2660" s="92" t="n">
        <v>62201000</v>
      </c>
      <c r="G2660" s="92" t="n">
        <v>1301</v>
      </c>
      <c r="H2660" s="93" t="n">
        <v>183000</v>
      </c>
      <c r="I2660" s="92" t="inlineStr">
        <is>
          <t>12월 통신요금 - O텔레콤</t>
        </is>
      </c>
      <c r="J2660" s="92" t="inlineStr">
        <is>
          <t>V10002</t>
        </is>
      </c>
      <c r="K2660" s="92" t="inlineStr">
        <is>
          <t>O텔레콤</t>
        </is>
      </c>
      <c r="M2660" s="9">
        <f>IF($A2660="","",VALUE($A2660&amp;"")*12+VALUE($B2660&amp;""))</f>
        <v/>
      </c>
      <c r="N2660" s="64">
        <f>IF($A2660="","",IFERROR(INDEX(부서매핑!$C$5:$C$504,MATCH($G2660&amp;"",부서매핑!$A$5:$A$504,0)),"미매핑"))</f>
        <v/>
      </c>
      <c r="O2660" s="9">
        <f>IF($A2660="","",N2660&amp;"|"&amp;$F2660)</f>
        <v/>
      </c>
      <c r="P2660" s="94">
        <f>IF($A2660="",0,$H2660*설정!$C$23)</f>
        <v/>
      </c>
      <c r="Q2660" s="64">
        <f>IF($A2660="","",IF(O2660&lt;&gt;원인분석!$C$9,"",IF(AND(M2660&gt;=원인분석!$C$10,M2660&lt;=원인분석!$C$11),"당기",IF(AND(M2660&gt;=원인분석!$C$12,M2660&lt;=원인분석!$C$13),"비교",""))))</f>
        <v/>
      </c>
      <c r="R2660" s="9">
        <f>IF(Q2660="","",$K2660&amp;"")</f>
        <v/>
      </c>
      <c r="S2660" s="9">
        <f>IF(Q2660="","",IF(MATCH(R2660,$R$5:$R$100000,0)=ROW()-4,ROW(),""))</f>
        <v/>
      </c>
      <c r="T2660" s="9">
        <f>IF(Q2660="당기",ABS(P2660)+ROW()/1000000000,"")</f>
        <v/>
      </c>
      <c r="U2660" s="9">
        <f>IF(Q2660="비교",ABS(P2660)+ROW()/1000000000,"")</f>
        <v/>
      </c>
      <c r="V2660" s="64">
        <f>IF($A2660="","",IF(COUNTIF(변동분석!$E$7:$E$506,O2660)&gt;0,"Y","N"))</f>
        <v/>
      </c>
      <c r="W2660" s="64">
        <f>IF($A2660="","",IFERROR(INDEX(계정매핑!$D$5:$D$504,MATCH($F2660&amp;"",계정매핑!$A$5:$A$504,0)),"미매핑"))</f>
        <v/>
      </c>
      <c r="X2660" s="9">
        <f>IF($A2660="","",$F2660&amp;"")</f>
        <v/>
      </c>
      <c r="Y2660" s="94">
        <f>IF($A2660="",0,IF(AE2660="직접",IF(AF2660="비귀속",$P2660,0),$P2660*(1-AG2660)*IFERROR(INDEX(계정대체기준!$F$20:$F$49,MATCH($N2660,계정대체기준!$A$20:$A$49,0)),1)))</f>
        <v/>
      </c>
      <c r="Z2660" s="94">
        <f>IF($A2660="",0,IF(AE2660="직접",IF(AF2660="신계약비",$P2660,0),$P2660*(1-AG2660)*IFERROR(INDEX(계정대체기준!$C$20:$C$49,MATCH($N2660,계정대체기준!$A$20:$A$49,0)),0)))</f>
        <v/>
      </c>
      <c r="AA2660" s="94">
        <f>IF($A2660="",0,IF(AE2660="직접",IF(OR(AF2660="유지비",AF2660="손해조사비"),$P2660,0),$P2660*(1-AG2660)*IFERROR(INDEX(계정대체기준!$D$20:$D$49,MATCH($N2660,계정대체기준!$A$20:$A$49,0)),0)))</f>
        <v/>
      </c>
      <c r="AB2660" s="94">
        <f>IF($A2660="",0,IF(AE2660="직접",IF(AF2660="수금비",$P2660,0),$P2660*(1-AG2660)*IFERROR(INDEX(계정대체기준!$E$20:$E$49,MATCH($N2660,계정대체기준!$A$20:$A$49,0)),0)))</f>
        <v/>
      </c>
      <c r="AC2660" s="9">
        <f>IF(AND($A2660&lt;&gt;"",M2660=설정!$C$20,Z2660&gt;0),Z2660+ROW()/1000000000,"")</f>
        <v/>
      </c>
      <c r="AD2660" s="94">
        <f>IF($A2660="",0,$P2660*AG2660)</f>
        <v/>
      </c>
      <c r="AE2660" s="64">
        <f>IF($A2660="","",IFERROR(INDEX(계정매핑!$E$5:$E$504,MATCH($F2660&amp;"",계정매핑!$A$5:$A$504,0))&amp;"","공통비"))</f>
        <v/>
      </c>
      <c r="AF2660" s="64">
        <f>IF($A2660="","",IF(AE2660="직접",IFERROR(INDEX(계정매핑!$F$5:$F$504,MATCH($F2660&amp;"",계정매핑!$A$5:$A$504,0))&amp;"","비귀속"),""))</f>
        <v/>
      </c>
      <c r="AG2660" s="96">
        <f>IF($A2660="",0,IF(AND(AE2660&lt;&gt;"직접",IFERROR(INDEX(계정매핑!$G$5:$G$504,MATCH($F2660&amp;"",계정매핑!$A$5:$A$504,0))&amp;"","")="유지비",COUNTIF(계정대체기준!$A$6:$A$15,$N2660)&gt;0),IFERROR(INDEX(계정대체기준!$E$6:$E$15,MATCH(VALUE($A2660&amp;""),계정대체기준!$D$6:$D$15,0)),0),0))</f>
        <v/>
      </c>
      <c r="AH2660" s="64">
        <f>IF($A2660="","",IF(AD2660=0,"",IF(OR(COUNTIF(계정대체기준!$A$77:$A$86,$N2660)&gt;0,ISNUMBER(MATCH($X2660,계정대체기준!$D$77:$D$86,0)),ISNUMBER(MATCH($F2660,계정대체기준!$D$77:$D$86,0))),"Y","N")))</f>
        <v/>
      </c>
    </row>
    <row r="2661">
      <c r="A2661" s="92" t="n">
        <v>2025</v>
      </c>
      <c r="B2661" s="92" t="n">
        <v>12</v>
      </c>
      <c r="C2661" s="92" t="inlineStr">
        <is>
          <t>5100002657</t>
        </is>
      </c>
      <c r="D2661" s="95" t="n">
        <v>46012</v>
      </c>
      <c r="E2661" s="92" t="inlineStr">
        <is>
          <t>KR</t>
        </is>
      </c>
      <c r="F2661" s="92" t="n">
        <v>62201000</v>
      </c>
      <c r="G2661" s="92" t="n">
        <v>1401</v>
      </c>
      <c r="H2661" s="93" t="n">
        <v>167000</v>
      </c>
      <c r="I2661" s="92" t="inlineStr">
        <is>
          <t>12월 통신요금 - O텔레콤</t>
        </is>
      </c>
      <c r="J2661" s="92" t="inlineStr">
        <is>
          <t>V10002</t>
        </is>
      </c>
      <c r="K2661" s="92" t="inlineStr">
        <is>
          <t>O텔레콤</t>
        </is>
      </c>
      <c r="M2661" s="9">
        <f>IF($A2661="","",VALUE($A2661&amp;"")*12+VALUE($B2661&amp;""))</f>
        <v/>
      </c>
      <c r="N2661" s="64">
        <f>IF($A2661="","",IFERROR(INDEX(부서매핑!$C$5:$C$504,MATCH($G2661&amp;"",부서매핑!$A$5:$A$504,0)),"미매핑"))</f>
        <v/>
      </c>
      <c r="O2661" s="9">
        <f>IF($A2661="","",N2661&amp;"|"&amp;$F2661)</f>
        <v/>
      </c>
      <c r="P2661" s="94">
        <f>IF($A2661="",0,$H2661*설정!$C$23)</f>
        <v/>
      </c>
      <c r="Q2661" s="64">
        <f>IF($A2661="","",IF(O2661&lt;&gt;원인분석!$C$9,"",IF(AND(M2661&gt;=원인분석!$C$10,M2661&lt;=원인분석!$C$11),"당기",IF(AND(M2661&gt;=원인분석!$C$12,M2661&lt;=원인분석!$C$13),"비교",""))))</f>
        <v/>
      </c>
      <c r="R2661" s="9">
        <f>IF(Q2661="","",$K2661&amp;"")</f>
        <v/>
      </c>
      <c r="S2661" s="9">
        <f>IF(Q2661="","",IF(MATCH(R2661,$R$5:$R$100000,0)=ROW()-4,ROW(),""))</f>
        <v/>
      </c>
      <c r="T2661" s="9">
        <f>IF(Q2661="당기",ABS(P2661)+ROW()/1000000000,"")</f>
        <v/>
      </c>
      <c r="U2661" s="9">
        <f>IF(Q2661="비교",ABS(P2661)+ROW()/1000000000,"")</f>
        <v/>
      </c>
      <c r="V2661" s="64">
        <f>IF($A2661="","",IF(COUNTIF(변동분석!$E$7:$E$506,O2661)&gt;0,"Y","N"))</f>
        <v/>
      </c>
      <c r="W2661" s="64">
        <f>IF($A2661="","",IFERROR(INDEX(계정매핑!$D$5:$D$504,MATCH($F2661&amp;"",계정매핑!$A$5:$A$504,0)),"미매핑"))</f>
        <v/>
      </c>
      <c r="X2661" s="9">
        <f>IF($A2661="","",$F2661&amp;"")</f>
        <v/>
      </c>
      <c r="Y2661" s="94">
        <f>IF($A2661="",0,IF(AE2661="직접",IF(AF2661="비귀속",$P2661,0),$P2661*(1-AG2661)*IFERROR(INDEX(계정대체기준!$F$20:$F$49,MATCH($N2661,계정대체기준!$A$20:$A$49,0)),1)))</f>
        <v/>
      </c>
      <c r="Z2661" s="94">
        <f>IF($A2661="",0,IF(AE2661="직접",IF(AF2661="신계약비",$P2661,0),$P2661*(1-AG2661)*IFERROR(INDEX(계정대체기준!$C$20:$C$49,MATCH($N2661,계정대체기준!$A$20:$A$49,0)),0)))</f>
        <v/>
      </c>
      <c r="AA2661" s="94">
        <f>IF($A2661="",0,IF(AE2661="직접",IF(OR(AF2661="유지비",AF2661="손해조사비"),$P2661,0),$P2661*(1-AG2661)*IFERROR(INDEX(계정대체기준!$D$20:$D$49,MATCH($N2661,계정대체기준!$A$20:$A$49,0)),0)))</f>
        <v/>
      </c>
      <c r="AB2661" s="94">
        <f>IF($A2661="",0,IF(AE2661="직접",IF(AF2661="수금비",$P2661,0),$P2661*(1-AG2661)*IFERROR(INDEX(계정대체기준!$E$20:$E$49,MATCH($N2661,계정대체기준!$A$20:$A$49,0)),0)))</f>
        <v/>
      </c>
      <c r="AC2661" s="9">
        <f>IF(AND($A2661&lt;&gt;"",M2661=설정!$C$20,Z2661&gt;0),Z2661+ROW()/1000000000,"")</f>
        <v/>
      </c>
      <c r="AD2661" s="94">
        <f>IF($A2661="",0,$P2661*AG2661)</f>
        <v/>
      </c>
      <c r="AE2661" s="64">
        <f>IF($A2661="","",IFERROR(INDEX(계정매핑!$E$5:$E$504,MATCH($F2661&amp;"",계정매핑!$A$5:$A$504,0))&amp;"","공통비"))</f>
        <v/>
      </c>
      <c r="AF2661" s="64">
        <f>IF($A2661="","",IF(AE2661="직접",IFERROR(INDEX(계정매핑!$F$5:$F$504,MATCH($F2661&amp;"",계정매핑!$A$5:$A$504,0))&amp;"","비귀속"),""))</f>
        <v/>
      </c>
      <c r="AG2661" s="96">
        <f>IF($A2661="",0,IF(AND(AE2661&lt;&gt;"직접",IFERROR(INDEX(계정매핑!$G$5:$G$504,MATCH($F2661&amp;"",계정매핑!$A$5:$A$504,0))&amp;"","")="유지비",COUNTIF(계정대체기준!$A$6:$A$15,$N2661)&gt;0),IFERROR(INDEX(계정대체기준!$E$6:$E$15,MATCH(VALUE($A2661&amp;""),계정대체기준!$D$6:$D$15,0)),0),0))</f>
        <v/>
      </c>
      <c r="AH2661" s="64">
        <f>IF($A2661="","",IF(AD2661=0,"",IF(OR(COUNTIF(계정대체기준!$A$77:$A$86,$N2661)&gt;0,ISNUMBER(MATCH($X2661,계정대체기준!$D$77:$D$86,0)),ISNUMBER(MATCH($F2661,계정대체기준!$D$77:$D$86,0))),"Y","N")))</f>
        <v/>
      </c>
    </row>
    <row r="2662">
      <c r="A2662" s="92" t="n">
        <v>2025</v>
      </c>
      <c r="B2662" s="92" t="n">
        <v>12</v>
      </c>
      <c r="C2662" s="92" t="inlineStr">
        <is>
          <t>5100002658</t>
        </is>
      </c>
      <c r="D2662" s="95" t="n">
        <v>46012</v>
      </c>
      <c r="E2662" s="92" t="inlineStr">
        <is>
          <t>KR</t>
        </is>
      </c>
      <c r="F2662" s="92" t="n">
        <v>62201000</v>
      </c>
      <c r="G2662" s="92" t="n">
        <v>1501</v>
      </c>
      <c r="H2662" s="93" t="n">
        <v>339000</v>
      </c>
      <c r="I2662" s="92" t="inlineStr">
        <is>
          <t>12월 통신요금 - P통신</t>
        </is>
      </c>
      <c r="J2662" s="92" t="inlineStr">
        <is>
          <t>V10014</t>
        </is>
      </c>
      <c r="K2662" s="92" t="inlineStr">
        <is>
          <t>P통신</t>
        </is>
      </c>
      <c r="M2662" s="9">
        <f>IF($A2662="","",VALUE($A2662&amp;"")*12+VALUE($B2662&amp;""))</f>
        <v/>
      </c>
      <c r="N2662" s="64">
        <f>IF($A2662="","",IFERROR(INDEX(부서매핑!$C$5:$C$504,MATCH($G2662&amp;"",부서매핑!$A$5:$A$504,0)),"미매핑"))</f>
        <v/>
      </c>
      <c r="O2662" s="9">
        <f>IF($A2662="","",N2662&amp;"|"&amp;$F2662)</f>
        <v/>
      </c>
      <c r="P2662" s="94">
        <f>IF($A2662="",0,$H2662*설정!$C$23)</f>
        <v/>
      </c>
      <c r="Q2662" s="64">
        <f>IF($A2662="","",IF(O2662&lt;&gt;원인분석!$C$9,"",IF(AND(M2662&gt;=원인분석!$C$10,M2662&lt;=원인분석!$C$11),"당기",IF(AND(M2662&gt;=원인분석!$C$12,M2662&lt;=원인분석!$C$13),"비교",""))))</f>
        <v/>
      </c>
      <c r="R2662" s="9">
        <f>IF(Q2662="","",$K2662&amp;"")</f>
        <v/>
      </c>
      <c r="S2662" s="9">
        <f>IF(Q2662="","",IF(MATCH(R2662,$R$5:$R$100000,0)=ROW()-4,ROW(),""))</f>
        <v/>
      </c>
      <c r="T2662" s="9">
        <f>IF(Q2662="당기",ABS(P2662)+ROW()/1000000000,"")</f>
        <v/>
      </c>
      <c r="U2662" s="9">
        <f>IF(Q2662="비교",ABS(P2662)+ROW()/1000000000,"")</f>
        <v/>
      </c>
      <c r="V2662" s="64">
        <f>IF($A2662="","",IF(COUNTIF(변동분석!$E$7:$E$506,O2662)&gt;0,"Y","N"))</f>
        <v/>
      </c>
      <c r="W2662" s="64">
        <f>IF($A2662="","",IFERROR(INDEX(계정매핑!$D$5:$D$504,MATCH($F2662&amp;"",계정매핑!$A$5:$A$504,0)),"미매핑"))</f>
        <v/>
      </c>
      <c r="X2662" s="9">
        <f>IF($A2662="","",$F2662&amp;"")</f>
        <v/>
      </c>
      <c r="Y2662" s="94">
        <f>IF($A2662="",0,IF(AE2662="직접",IF(AF2662="비귀속",$P2662,0),$P2662*(1-AG2662)*IFERROR(INDEX(계정대체기준!$F$20:$F$49,MATCH($N2662,계정대체기준!$A$20:$A$49,0)),1)))</f>
        <v/>
      </c>
      <c r="Z2662" s="94">
        <f>IF($A2662="",0,IF(AE2662="직접",IF(AF2662="신계약비",$P2662,0),$P2662*(1-AG2662)*IFERROR(INDEX(계정대체기준!$C$20:$C$49,MATCH($N2662,계정대체기준!$A$20:$A$49,0)),0)))</f>
        <v/>
      </c>
      <c r="AA2662" s="94">
        <f>IF($A2662="",0,IF(AE2662="직접",IF(OR(AF2662="유지비",AF2662="손해조사비"),$P2662,0),$P2662*(1-AG2662)*IFERROR(INDEX(계정대체기준!$D$20:$D$49,MATCH($N2662,계정대체기준!$A$20:$A$49,0)),0)))</f>
        <v/>
      </c>
      <c r="AB2662" s="94">
        <f>IF($A2662="",0,IF(AE2662="직접",IF(AF2662="수금비",$P2662,0),$P2662*(1-AG2662)*IFERROR(INDEX(계정대체기준!$E$20:$E$49,MATCH($N2662,계정대체기준!$A$20:$A$49,0)),0)))</f>
        <v/>
      </c>
      <c r="AC2662" s="9">
        <f>IF(AND($A2662&lt;&gt;"",M2662=설정!$C$20,Z2662&gt;0),Z2662+ROW()/1000000000,"")</f>
        <v/>
      </c>
      <c r="AD2662" s="94">
        <f>IF($A2662="",0,$P2662*AG2662)</f>
        <v/>
      </c>
      <c r="AE2662" s="64">
        <f>IF($A2662="","",IFERROR(INDEX(계정매핑!$E$5:$E$504,MATCH($F2662&amp;"",계정매핑!$A$5:$A$504,0))&amp;"","공통비"))</f>
        <v/>
      </c>
      <c r="AF2662" s="64">
        <f>IF($A2662="","",IF(AE2662="직접",IFERROR(INDEX(계정매핑!$F$5:$F$504,MATCH($F2662&amp;"",계정매핑!$A$5:$A$504,0))&amp;"","비귀속"),""))</f>
        <v/>
      </c>
      <c r="AG2662" s="96">
        <f>IF($A2662="",0,IF(AND(AE2662&lt;&gt;"직접",IFERROR(INDEX(계정매핑!$G$5:$G$504,MATCH($F2662&amp;"",계정매핑!$A$5:$A$504,0))&amp;"","")="유지비",COUNTIF(계정대체기준!$A$6:$A$15,$N2662)&gt;0),IFERROR(INDEX(계정대체기준!$E$6:$E$15,MATCH(VALUE($A2662&amp;""),계정대체기준!$D$6:$D$15,0)),0),0))</f>
        <v/>
      </c>
      <c r="AH2662" s="64">
        <f>IF($A2662="","",IF(AD2662=0,"",IF(OR(COUNTIF(계정대체기준!$A$77:$A$86,$N2662)&gt;0,ISNUMBER(MATCH($X2662,계정대체기준!$D$77:$D$86,0)),ISNUMBER(MATCH($F2662,계정대체기준!$D$77:$D$86,0))),"Y","N")))</f>
        <v/>
      </c>
    </row>
    <row r="2663">
      <c r="A2663" s="92" t="n">
        <v>2025</v>
      </c>
      <c r="B2663" s="92" t="n">
        <v>12</v>
      </c>
      <c r="C2663" s="92" t="inlineStr">
        <is>
          <t>5100002659</t>
        </is>
      </c>
      <c r="D2663" s="95" t="n">
        <v>46012</v>
      </c>
      <c r="E2663" s="92" t="inlineStr">
        <is>
          <t>KR</t>
        </is>
      </c>
      <c r="F2663" s="92" t="n">
        <v>62301000</v>
      </c>
      <c r="G2663" s="92" t="n">
        <v>1301</v>
      </c>
      <c r="H2663" s="93" t="n">
        <v>186000</v>
      </c>
      <c r="I2663" s="92" t="inlineStr">
        <is>
          <t>12월 소모품 구입 - R문구</t>
        </is>
      </c>
      <c r="J2663" s="92" t="inlineStr">
        <is>
          <t>V10022</t>
        </is>
      </c>
      <c r="K2663" s="92" t="inlineStr">
        <is>
          <t>R문구</t>
        </is>
      </c>
      <c r="M2663" s="9">
        <f>IF($A2663="","",VALUE($A2663&amp;"")*12+VALUE($B2663&amp;""))</f>
        <v/>
      </c>
      <c r="N2663" s="64">
        <f>IF($A2663="","",IFERROR(INDEX(부서매핑!$C$5:$C$504,MATCH($G2663&amp;"",부서매핑!$A$5:$A$504,0)),"미매핑"))</f>
        <v/>
      </c>
      <c r="O2663" s="9">
        <f>IF($A2663="","",N2663&amp;"|"&amp;$F2663)</f>
        <v/>
      </c>
      <c r="P2663" s="94">
        <f>IF($A2663="",0,$H2663*설정!$C$23)</f>
        <v/>
      </c>
      <c r="Q2663" s="64">
        <f>IF($A2663="","",IF(O2663&lt;&gt;원인분석!$C$9,"",IF(AND(M2663&gt;=원인분석!$C$10,M2663&lt;=원인분석!$C$11),"당기",IF(AND(M2663&gt;=원인분석!$C$12,M2663&lt;=원인분석!$C$13),"비교",""))))</f>
        <v/>
      </c>
      <c r="R2663" s="9">
        <f>IF(Q2663="","",$K2663&amp;"")</f>
        <v/>
      </c>
      <c r="S2663" s="9">
        <f>IF(Q2663="","",IF(MATCH(R2663,$R$5:$R$100000,0)=ROW()-4,ROW(),""))</f>
        <v/>
      </c>
      <c r="T2663" s="9">
        <f>IF(Q2663="당기",ABS(P2663)+ROW()/1000000000,"")</f>
        <v/>
      </c>
      <c r="U2663" s="9">
        <f>IF(Q2663="비교",ABS(P2663)+ROW()/1000000000,"")</f>
        <v/>
      </c>
      <c r="V2663" s="64">
        <f>IF($A2663="","",IF(COUNTIF(변동분석!$E$7:$E$506,O2663)&gt;0,"Y","N"))</f>
        <v/>
      </c>
      <c r="W2663" s="64">
        <f>IF($A2663="","",IFERROR(INDEX(계정매핑!$D$5:$D$504,MATCH($F2663&amp;"",계정매핑!$A$5:$A$504,0)),"미매핑"))</f>
        <v/>
      </c>
      <c r="X2663" s="9">
        <f>IF($A2663="","",$F2663&amp;"")</f>
        <v/>
      </c>
      <c r="Y2663" s="94">
        <f>IF($A2663="",0,IF(AE2663="직접",IF(AF2663="비귀속",$P2663,0),$P2663*(1-AG2663)*IFERROR(INDEX(계정대체기준!$F$20:$F$49,MATCH($N2663,계정대체기준!$A$20:$A$49,0)),1)))</f>
        <v/>
      </c>
      <c r="Z2663" s="94">
        <f>IF($A2663="",0,IF(AE2663="직접",IF(AF2663="신계약비",$P2663,0),$P2663*(1-AG2663)*IFERROR(INDEX(계정대체기준!$C$20:$C$49,MATCH($N2663,계정대체기준!$A$20:$A$49,0)),0)))</f>
        <v/>
      </c>
      <c r="AA2663" s="94">
        <f>IF($A2663="",0,IF(AE2663="직접",IF(OR(AF2663="유지비",AF2663="손해조사비"),$P2663,0),$P2663*(1-AG2663)*IFERROR(INDEX(계정대체기준!$D$20:$D$49,MATCH($N2663,계정대체기준!$A$20:$A$49,0)),0)))</f>
        <v/>
      </c>
      <c r="AB2663" s="94">
        <f>IF($A2663="",0,IF(AE2663="직접",IF(AF2663="수금비",$P2663,0),$P2663*(1-AG2663)*IFERROR(INDEX(계정대체기준!$E$20:$E$49,MATCH($N2663,계정대체기준!$A$20:$A$49,0)),0)))</f>
        <v/>
      </c>
      <c r="AC2663" s="9">
        <f>IF(AND($A2663&lt;&gt;"",M2663=설정!$C$20,Z2663&gt;0),Z2663+ROW()/1000000000,"")</f>
        <v/>
      </c>
      <c r="AD2663" s="94">
        <f>IF($A2663="",0,$P2663*AG2663)</f>
        <v/>
      </c>
      <c r="AE2663" s="64">
        <f>IF($A2663="","",IFERROR(INDEX(계정매핑!$E$5:$E$504,MATCH($F2663&amp;"",계정매핑!$A$5:$A$504,0))&amp;"","공통비"))</f>
        <v/>
      </c>
      <c r="AF2663" s="64">
        <f>IF($A2663="","",IF(AE2663="직접",IFERROR(INDEX(계정매핑!$F$5:$F$504,MATCH($F2663&amp;"",계정매핑!$A$5:$A$504,0))&amp;"","비귀속"),""))</f>
        <v/>
      </c>
      <c r="AG2663" s="96">
        <f>IF($A2663="",0,IF(AND(AE2663&lt;&gt;"직접",IFERROR(INDEX(계정매핑!$G$5:$G$504,MATCH($F2663&amp;"",계정매핑!$A$5:$A$504,0))&amp;"","")="유지비",COUNTIF(계정대체기준!$A$6:$A$15,$N2663)&gt;0),IFERROR(INDEX(계정대체기준!$E$6:$E$15,MATCH(VALUE($A2663&amp;""),계정대체기준!$D$6:$D$15,0)),0),0))</f>
        <v/>
      </c>
      <c r="AH2663" s="64">
        <f>IF($A2663="","",IF(AD2663=0,"",IF(OR(COUNTIF(계정대체기준!$A$77:$A$86,$N2663)&gt;0,ISNUMBER(MATCH($X2663,계정대체기준!$D$77:$D$86,0)),ISNUMBER(MATCH($F2663,계정대체기준!$D$77:$D$86,0))),"Y","N")))</f>
        <v/>
      </c>
    </row>
    <row r="2664">
      <c r="A2664" s="92" t="n">
        <v>2025</v>
      </c>
      <c r="B2664" s="92" t="n">
        <v>12</v>
      </c>
      <c r="C2664" s="92" t="inlineStr">
        <is>
          <t>5100002660</t>
        </is>
      </c>
      <c r="D2664" s="95" t="n">
        <v>46012</v>
      </c>
      <c r="E2664" s="92" t="inlineStr">
        <is>
          <t>KR</t>
        </is>
      </c>
      <c r="F2664" s="92" t="n">
        <v>62501000</v>
      </c>
      <c r="G2664" s="92" t="n">
        <v>1201</v>
      </c>
      <c r="H2664" s="93" t="n">
        <v>97000</v>
      </c>
      <c r="I2664" s="92" t="inlineStr">
        <is>
          <t>12월 회의 다과 - (법인카드)</t>
        </is>
      </c>
      <c r="J2664" s="92" t="inlineStr">
        <is>
          <t>V10010</t>
        </is>
      </c>
      <c r="K2664" s="92" t="inlineStr">
        <is>
          <t>(법인카드)</t>
        </is>
      </c>
      <c r="M2664" s="9">
        <f>IF($A2664="","",VALUE($A2664&amp;"")*12+VALUE($B2664&amp;""))</f>
        <v/>
      </c>
      <c r="N2664" s="64">
        <f>IF($A2664="","",IFERROR(INDEX(부서매핑!$C$5:$C$504,MATCH($G2664&amp;"",부서매핑!$A$5:$A$504,0)),"미매핑"))</f>
        <v/>
      </c>
      <c r="O2664" s="9">
        <f>IF($A2664="","",N2664&amp;"|"&amp;$F2664)</f>
        <v/>
      </c>
      <c r="P2664" s="94">
        <f>IF($A2664="",0,$H2664*설정!$C$23)</f>
        <v/>
      </c>
      <c r="Q2664" s="64">
        <f>IF($A2664="","",IF(O2664&lt;&gt;원인분석!$C$9,"",IF(AND(M2664&gt;=원인분석!$C$10,M2664&lt;=원인분석!$C$11),"당기",IF(AND(M2664&gt;=원인분석!$C$12,M2664&lt;=원인분석!$C$13),"비교",""))))</f>
        <v/>
      </c>
      <c r="R2664" s="9">
        <f>IF(Q2664="","",$K2664&amp;"")</f>
        <v/>
      </c>
      <c r="S2664" s="9">
        <f>IF(Q2664="","",IF(MATCH(R2664,$R$5:$R$100000,0)=ROW()-4,ROW(),""))</f>
        <v/>
      </c>
      <c r="T2664" s="9">
        <f>IF(Q2664="당기",ABS(P2664)+ROW()/1000000000,"")</f>
        <v/>
      </c>
      <c r="U2664" s="9">
        <f>IF(Q2664="비교",ABS(P2664)+ROW()/1000000000,"")</f>
        <v/>
      </c>
      <c r="V2664" s="64">
        <f>IF($A2664="","",IF(COUNTIF(변동분석!$E$7:$E$506,O2664)&gt;0,"Y","N"))</f>
        <v/>
      </c>
      <c r="W2664" s="64">
        <f>IF($A2664="","",IFERROR(INDEX(계정매핑!$D$5:$D$504,MATCH($F2664&amp;"",계정매핑!$A$5:$A$504,0)),"미매핑"))</f>
        <v/>
      </c>
      <c r="X2664" s="9">
        <f>IF($A2664="","",$F2664&amp;"")</f>
        <v/>
      </c>
      <c r="Y2664" s="94">
        <f>IF($A2664="",0,IF(AE2664="직접",IF(AF2664="비귀속",$P2664,0),$P2664*(1-AG2664)*IFERROR(INDEX(계정대체기준!$F$20:$F$49,MATCH($N2664,계정대체기준!$A$20:$A$49,0)),1)))</f>
        <v/>
      </c>
      <c r="Z2664" s="94">
        <f>IF($A2664="",0,IF(AE2664="직접",IF(AF2664="신계약비",$P2664,0),$P2664*(1-AG2664)*IFERROR(INDEX(계정대체기준!$C$20:$C$49,MATCH($N2664,계정대체기준!$A$20:$A$49,0)),0)))</f>
        <v/>
      </c>
      <c r="AA2664" s="94">
        <f>IF($A2664="",0,IF(AE2664="직접",IF(OR(AF2664="유지비",AF2664="손해조사비"),$P2664,0),$P2664*(1-AG2664)*IFERROR(INDEX(계정대체기준!$D$20:$D$49,MATCH($N2664,계정대체기준!$A$20:$A$49,0)),0)))</f>
        <v/>
      </c>
      <c r="AB2664" s="94">
        <f>IF($A2664="",0,IF(AE2664="직접",IF(AF2664="수금비",$P2664,0),$P2664*(1-AG2664)*IFERROR(INDEX(계정대체기준!$E$20:$E$49,MATCH($N2664,계정대체기준!$A$20:$A$49,0)),0)))</f>
        <v/>
      </c>
      <c r="AC2664" s="9">
        <f>IF(AND($A2664&lt;&gt;"",M2664=설정!$C$20,Z2664&gt;0),Z2664+ROW()/1000000000,"")</f>
        <v/>
      </c>
      <c r="AD2664" s="94">
        <f>IF($A2664="",0,$P2664*AG2664)</f>
        <v/>
      </c>
      <c r="AE2664" s="64">
        <f>IF($A2664="","",IFERROR(INDEX(계정매핑!$E$5:$E$504,MATCH($F2664&amp;"",계정매핑!$A$5:$A$504,0))&amp;"","공통비"))</f>
        <v/>
      </c>
      <c r="AF2664" s="64">
        <f>IF($A2664="","",IF(AE2664="직접",IFERROR(INDEX(계정매핑!$F$5:$F$504,MATCH($F2664&amp;"",계정매핑!$A$5:$A$504,0))&amp;"","비귀속"),""))</f>
        <v/>
      </c>
      <c r="AG2664" s="96">
        <f>IF($A2664="",0,IF(AND(AE2664&lt;&gt;"직접",IFERROR(INDEX(계정매핑!$G$5:$G$504,MATCH($F2664&amp;"",계정매핑!$A$5:$A$504,0))&amp;"","")="유지비",COUNTIF(계정대체기준!$A$6:$A$15,$N2664)&gt;0),IFERROR(INDEX(계정대체기준!$E$6:$E$15,MATCH(VALUE($A2664&amp;""),계정대체기준!$D$6:$D$15,0)),0),0))</f>
        <v/>
      </c>
      <c r="AH2664" s="64">
        <f>IF($A2664="","",IF(AD2664=0,"",IF(OR(COUNTIF(계정대체기준!$A$77:$A$86,$N2664)&gt;0,ISNUMBER(MATCH($X2664,계정대체기준!$D$77:$D$86,0)),ISNUMBER(MATCH($F2664,계정대체기준!$D$77:$D$86,0))),"Y","N")))</f>
        <v/>
      </c>
    </row>
    <row r="2665">
      <c r="A2665" s="92" t="n">
        <v>2025</v>
      </c>
      <c r="B2665" s="92" t="n">
        <v>12</v>
      </c>
      <c r="C2665" s="92" t="inlineStr">
        <is>
          <t>5100002661</t>
        </is>
      </c>
      <c r="D2665" s="95" t="n">
        <v>46013</v>
      </c>
      <c r="E2665" s="92" t="inlineStr">
        <is>
          <t>KR</t>
        </is>
      </c>
      <c r="F2665" s="92" t="n">
        <v>62102000</v>
      </c>
      <c r="G2665" s="92" t="n">
        <v>1201</v>
      </c>
      <c r="H2665" s="93" t="n">
        <v>37000</v>
      </c>
      <c r="I2665" s="92" t="inlineStr">
        <is>
          <t>12월 해외출장 - N호텔</t>
        </is>
      </c>
      <c r="J2665" s="92" t="inlineStr">
        <is>
          <t>V10009</t>
        </is>
      </c>
      <c r="K2665" s="92" t="inlineStr">
        <is>
          <t>N호텔</t>
        </is>
      </c>
      <c r="M2665" s="9">
        <f>IF($A2665="","",VALUE($A2665&amp;"")*12+VALUE($B2665&amp;""))</f>
        <v/>
      </c>
      <c r="N2665" s="64">
        <f>IF($A2665="","",IFERROR(INDEX(부서매핑!$C$5:$C$504,MATCH($G2665&amp;"",부서매핑!$A$5:$A$504,0)),"미매핑"))</f>
        <v/>
      </c>
      <c r="O2665" s="9">
        <f>IF($A2665="","",N2665&amp;"|"&amp;$F2665)</f>
        <v/>
      </c>
      <c r="P2665" s="94">
        <f>IF($A2665="",0,$H2665*설정!$C$23)</f>
        <v/>
      </c>
      <c r="Q2665" s="64">
        <f>IF($A2665="","",IF(O2665&lt;&gt;원인분석!$C$9,"",IF(AND(M2665&gt;=원인분석!$C$10,M2665&lt;=원인분석!$C$11),"당기",IF(AND(M2665&gt;=원인분석!$C$12,M2665&lt;=원인분석!$C$13),"비교",""))))</f>
        <v/>
      </c>
      <c r="R2665" s="9">
        <f>IF(Q2665="","",$K2665&amp;"")</f>
        <v/>
      </c>
      <c r="S2665" s="9">
        <f>IF(Q2665="","",IF(MATCH(R2665,$R$5:$R$100000,0)=ROW()-4,ROW(),""))</f>
        <v/>
      </c>
      <c r="T2665" s="9">
        <f>IF(Q2665="당기",ABS(P2665)+ROW()/1000000000,"")</f>
        <v/>
      </c>
      <c r="U2665" s="9">
        <f>IF(Q2665="비교",ABS(P2665)+ROW()/1000000000,"")</f>
        <v/>
      </c>
      <c r="V2665" s="64">
        <f>IF($A2665="","",IF(COUNTIF(변동분석!$E$7:$E$506,O2665)&gt;0,"Y","N"))</f>
        <v/>
      </c>
      <c r="W2665" s="64">
        <f>IF($A2665="","",IFERROR(INDEX(계정매핑!$D$5:$D$504,MATCH($F2665&amp;"",계정매핑!$A$5:$A$504,0)),"미매핑"))</f>
        <v/>
      </c>
      <c r="X2665" s="9">
        <f>IF($A2665="","",$F2665&amp;"")</f>
        <v/>
      </c>
      <c r="Y2665" s="94">
        <f>IF($A2665="",0,IF(AE2665="직접",IF(AF2665="비귀속",$P2665,0),$P2665*(1-AG2665)*IFERROR(INDEX(계정대체기준!$F$20:$F$49,MATCH($N2665,계정대체기준!$A$20:$A$49,0)),1)))</f>
        <v/>
      </c>
      <c r="Z2665" s="94">
        <f>IF($A2665="",0,IF(AE2665="직접",IF(AF2665="신계약비",$P2665,0),$P2665*(1-AG2665)*IFERROR(INDEX(계정대체기준!$C$20:$C$49,MATCH($N2665,계정대체기준!$A$20:$A$49,0)),0)))</f>
        <v/>
      </c>
      <c r="AA2665" s="94">
        <f>IF($A2665="",0,IF(AE2665="직접",IF(OR(AF2665="유지비",AF2665="손해조사비"),$P2665,0),$P2665*(1-AG2665)*IFERROR(INDEX(계정대체기준!$D$20:$D$49,MATCH($N2665,계정대체기준!$A$20:$A$49,0)),0)))</f>
        <v/>
      </c>
      <c r="AB2665" s="94">
        <f>IF($A2665="",0,IF(AE2665="직접",IF(AF2665="수금비",$P2665,0),$P2665*(1-AG2665)*IFERROR(INDEX(계정대체기준!$E$20:$E$49,MATCH($N2665,계정대체기준!$A$20:$A$49,0)),0)))</f>
        <v/>
      </c>
      <c r="AC2665" s="9">
        <f>IF(AND($A2665&lt;&gt;"",M2665=설정!$C$20,Z2665&gt;0),Z2665+ROW()/1000000000,"")</f>
        <v/>
      </c>
      <c r="AD2665" s="94">
        <f>IF($A2665="",0,$P2665*AG2665)</f>
        <v/>
      </c>
      <c r="AE2665" s="64">
        <f>IF($A2665="","",IFERROR(INDEX(계정매핑!$E$5:$E$504,MATCH($F2665&amp;"",계정매핑!$A$5:$A$504,0))&amp;"","공통비"))</f>
        <v/>
      </c>
      <c r="AF2665" s="64">
        <f>IF($A2665="","",IF(AE2665="직접",IFERROR(INDEX(계정매핑!$F$5:$F$504,MATCH($F2665&amp;"",계정매핑!$A$5:$A$504,0))&amp;"","비귀속"),""))</f>
        <v/>
      </c>
      <c r="AG2665" s="96">
        <f>IF($A2665="",0,IF(AND(AE2665&lt;&gt;"직접",IFERROR(INDEX(계정매핑!$G$5:$G$504,MATCH($F2665&amp;"",계정매핑!$A$5:$A$504,0))&amp;"","")="유지비",COUNTIF(계정대체기준!$A$6:$A$15,$N2665)&gt;0),IFERROR(INDEX(계정대체기준!$E$6:$E$15,MATCH(VALUE($A2665&amp;""),계정대체기준!$D$6:$D$15,0)),0),0))</f>
        <v/>
      </c>
      <c r="AH2665" s="64">
        <f>IF($A2665="","",IF(AD2665=0,"",IF(OR(COUNTIF(계정대체기준!$A$77:$A$86,$N2665)&gt;0,ISNUMBER(MATCH($X2665,계정대체기준!$D$77:$D$86,0)),ISNUMBER(MATCH($F2665,계정대체기준!$D$77:$D$86,0))),"Y","N")))</f>
        <v/>
      </c>
    </row>
    <row r="2666">
      <c r="A2666" s="92" t="n">
        <v>2025</v>
      </c>
      <c r="B2666" s="92" t="n">
        <v>12</v>
      </c>
      <c r="C2666" s="92" t="inlineStr">
        <is>
          <t>5100002662</t>
        </is>
      </c>
      <c r="D2666" s="95" t="n">
        <v>46013</v>
      </c>
      <c r="E2666" s="92" t="inlineStr">
        <is>
          <t>KR</t>
        </is>
      </c>
      <c r="F2666" s="92" t="n">
        <v>62102000</v>
      </c>
      <c r="G2666" s="92" t="n">
        <v>1301</v>
      </c>
      <c r="H2666" s="93" t="n">
        <v>51000</v>
      </c>
      <c r="I2666" s="92" t="inlineStr">
        <is>
          <t>12월 해외출장 - N호텔</t>
        </is>
      </c>
      <c r="J2666" s="92" t="inlineStr">
        <is>
          <t>V10009</t>
        </is>
      </c>
      <c r="K2666" s="92" t="inlineStr">
        <is>
          <t>N호텔</t>
        </is>
      </c>
      <c r="M2666" s="9">
        <f>IF($A2666="","",VALUE($A2666&amp;"")*12+VALUE($B2666&amp;""))</f>
        <v/>
      </c>
      <c r="N2666" s="64">
        <f>IF($A2666="","",IFERROR(INDEX(부서매핑!$C$5:$C$504,MATCH($G2666&amp;"",부서매핑!$A$5:$A$504,0)),"미매핑"))</f>
        <v/>
      </c>
      <c r="O2666" s="9">
        <f>IF($A2666="","",N2666&amp;"|"&amp;$F2666)</f>
        <v/>
      </c>
      <c r="P2666" s="94">
        <f>IF($A2666="",0,$H2666*설정!$C$23)</f>
        <v/>
      </c>
      <c r="Q2666" s="64">
        <f>IF($A2666="","",IF(O2666&lt;&gt;원인분석!$C$9,"",IF(AND(M2666&gt;=원인분석!$C$10,M2666&lt;=원인분석!$C$11),"당기",IF(AND(M2666&gt;=원인분석!$C$12,M2666&lt;=원인분석!$C$13),"비교",""))))</f>
        <v/>
      </c>
      <c r="R2666" s="9">
        <f>IF(Q2666="","",$K2666&amp;"")</f>
        <v/>
      </c>
      <c r="S2666" s="9">
        <f>IF(Q2666="","",IF(MATCH(R2666,$R$5:$R$100000,0)=ROW()-4,ROW(),""))</f>
        <v/>
      </c>
      <c r="T2666" s="9">
        <f>IF(Q2666="당기",ABS(P2666)+ROW()/1000000000,"")</f>
        <v/>
      </c>
      <c r="U2666" s="9">
        <f>IF(Q2666="비교",ABS(P2666)+ROW()/1000000000,"")</f>
        <v/>
      </c>
      <c r="V2666" s="64">
        <f>IF($A2666="","",IF(COUNTIF(변동분석!$E$7:$E$506,O2666)&gt;0,"Y","N"))</f>
        <v/>
      </c>
      <c r="W2666" s="64">
        <f>IF($A2666="","",IFERROR(INDEX(계정매핑!$D$5:$D$504,MATCH($F2666&amp;"",계정매핑!$A$5:$A$504,0)),"미매핑"))</f>
        <v/>
      </c>
      <c r="X2666" s="9">
        <f>IF($A2666="","",$F2666&amp;"")</f>
        <v/>
      </c>
      <c r="Y2666" s="94">
        <f>IF($A2666="",0,IF(AE2666="직접",IF(AF2666="비귀속",$P2666,0),$P2666*(1-AG2666)*IFERROR(INDEX(계정대체기준!$F$20:$F$49,MATCH($N2666,계정대체기준!$A$20:$A$49,0)),1)))</f>
        <v/>
      </c>
      <c r="Z2666" s="94">
        <f>IF($A2666="",0,IF(AE2666="직접",IF(AF2666="신계약비",$P2666,0),$P2666*(1-AG2666)*IFERROR(INDEX(계정대체기준!$C$20:$C$49,MATCH($N2666,계정대체기준!$A$20:$A$49,0)),0)))</f>
        <v/>
      </c>
      <c r="AA2666" s="94">
        <f>IF($A2666="",0,IF(AE2666="직접",IF(OR(AF2666="유지비",AF2666="손해조사비"),$P2666,0),$P2666*(1-AG2666)*IFERROR(INDEX(계정대체기준!$D$20:$D$49,MATCH($N2666,계정대체기준!$A$20:$A$49,0)),0)))</f>
        <v/>
      </c>
      <c r="AB2666" s="94">
        <f>IF($A2666="",0,IF(AE2666="직접",IF(AF2666="수금비",$P2666,0),$P2666*(1-AG2666)*IFERROR(INDEX(계정대체기준!$E$20:$E$49,MATCH($N2666,계정대체기준!$A$20:$A$49,0)),0)))</f>
        <v/>
      </c>
      <c r="AC2666" s="9">
        <f>IF(AND($A2666&lt;&gt;"",M2666=설정!$C$20,Z2666&gt;0),Z2666+ROW()/1000000000,"")</f>
        <v/>
      </c>
      <c r="AD2666" s="94">
        <f>IF($A2666="",0,$P2666*AG2666)</f>
        <v/>
      </c>
      <c r="AE2666" s="64">
        <f>IF($A2666="","",IFERROR(INDEX(계정매핑!$E$5:$E$504,MATCH($F2666&amp;"",계정매핑!$A$5:$A$504,0))&amp;"","공통비"))</f>
        <v/>
      </c>
      <c r="AF2666" s="64">
        <f>IF($A2666="","",IF(AE2666="직접",IFERROR(INDEX(계정매핑!$F$5:$F$504,MATCH($F2666&amp;"",계정매핑!$A$5:$A$504,0))&amp;"","비귀속"),""))</f>
        <v/>
      </c>
      <c r="AG2666" s="96">
        <f>IF($A2666="",0,IF(AND(AE2666&lt;&gt;"직접",IFERROR(INDEX(계정매핑!$G$5:$G$504,MATCH($F2666&amp;"",계정매핑!$A$5:$A$504,0))&amp;"","")="유지비",COUNTIF(계정대체기준!$A$6:$A$15,$N2666)&gt;0),IFERROR(INDEX(계정대체기준!$E$6:$E$15,MATCH(VALUE($A2666&amp;""),계정대체기준!$D$6:$D$15,0)),0),0))</f>
        <v/>
      </c>
      <c r="AH2666" s="64">
        <f>IF($A2666="","",IF(AD2666=0,"",IF(OR(COUNTIF(계정대체기준!$A$77:$A$86,$N2666)&gt;0,ISNUMBER(MATCH($X2666,계정대체기준!$D$77:$D$86,0)),ISNUMBER(MATCH($F2666,계정대체기준!$D$77:$D$86,0))),"Y","N")))</f>
        <v/>
      </c>
    </row>
    <row r="2667">
      <c r="A2667" s="92" t="n">
        <v>2025</v>
      </c>
      <c r="B2667" s="92" t="n">
        <v>12</v>
      </c>
      <c r="C2667" s="92" t="inlineStr">
        <is>
          <t>5100002663</t>
        </is>
      </c>
      <c r="D2667" s="95" t="n">
        <v>46013</v>
      </c>
      <c r="E2667" s="92" t="inlineStr">
        <is>
          <t>KR</t>
        </is>
      </c>
      <c r="F2667" s="92" t="n">
        <v>62301000</v>
      </c>
      <c r="G2667" s="92" t="n">
        <v>1101</v>
      </c>
      <c r="H2667" s="93" t="n">
        <v>123000</v>
      </c>
      <c r="I2667" s="92" t="inlineStr">
        <is>
          <t>12월 소모품 구입 - Q오피스</t>
        </is>
      </c>
      <c r="J2667" s="92" t="inlineStr">
        <is>
          <t>V10003</t>
        </is>
      </c>
      <c r="K2667" s="92" t="inlineStr">
        <is>
          <t>Q오피스</t>
        </is>
      </c>
      <c r="M2667" s="9">
        <f>IF($A2667="","",VALUE($A2667&amp;"")*12+VALUE($B2667&amp;""))</f>
        <v/>
      </c>
      <c r="N2667" s="64">
        <f>IF($A2667="","",IFERROR(INDEX(부서매핑!$C$5:$C$504,MATCH($G2667&amp;"",부서매핑!$A$5:$A$504,0)),"미매핑"))</f>
        <v/>
      </c>
      <c r="O2667" s="9">
        <f>IF($A2667="","",N2667&amp;"|"&amp;$F2667)</f>
        <v/>
      </c>
      <c r="P2667" s="94">
        <f>IF($A2667="",0,$H2667*설정!$C$23)</f>
        <v/>
      </c>
      <c r="Q2667" s="64">
        <f>IF($A2667="","",IF(O2667&lt;&gt;원인분석!$C$9,"",IF(AND(M2667&gt;=원인분석!$C$10,M2667&lt;=원인분석!$C$11),"당기",IF(AND(M2667&gt;=원인분석!$C$12,M2667&lt;=원인분석!$C$13),"비교",""))))</f>
        <v/>
      </c>
      <c r="R2667" s="9">
        <f>IF(Q2667="","",$K2667&amp;"")</f>
        <v/>
      </c>
      <c r="S2667" s="9">
        <f>IF(Q2667="","",IF(MATCH(R2667,$R$5:$R$100000,0)=ROW()-4,ROW(),""))</f>
        <v/>
      </c>
      <c r="T2667" s="9">
        <f>IF(Q2667="당기",ABS(P2667)+ROW()/1000000000,"")</f>
        <v/>
      </c>
      <c r="U2667" s="9">
        <f>IF(Q2667="비교",ABS(P2667)+ROW()/1000000000,"")</f>
        <v/>
      </c>
      <c r="V2667" s="64">
        <f>IF($A2667="","",IF(COUNTIF(변동분석!$E$7:$E$506,O2667)&gt;0,"Y","N"))</f>
        <v/>
      </c>
      <c r="W2667" s="64">
        <f>IF($A2667="","",IFERROR(INDEX(계정매핑!$D$5:$D$504,MATCH($F2667&amp;"",계정매핑!$A$5:$A$504,0)),"미매핑"))</f>
        <v/>
      </c>
      <c r="X2667" s="9">
        <f>IF($A2667="","",$F2667&amp;"")</f>
        <v/>
      </c>
      <c r="Y2667" s="94">
        <f>IF($A2667="",0,IF(AE2667="직접",IF(AF2667="비귀속",$P2667,0),$P2667*(1-AG2667)*IFERROR(INDEX(계정대체기준!$F$20:$F$49,MATCH($N2667,계정대체기준!$A$20:$A$49,0)),1)))</f>
        <v/>
      </c>
      <c r="Z2667" s="94">
        <f>IF($A2667="",0,IF(AE2667="직접",IF(AF2667="신계약비",$P2667,0),$P2667*(1-AG2667)*IFERROR(INDEX(계정대체기준!$C$20:$C$49,MATCH($N2667,계정대체기준!$A$20:$A$49,0)),0)))</f>
        <v/>
      </c>
      <c r="AA2667" s="94">
        <f>IF($A2667="",0,IF(AE2667="직접",IF(OR(AF2667="유지비",AF2667="손해조사비"),$P2667,0),$P2667*(1-AG2667)*IFERROR(INDEX(계정대체기준!$D$20:$D$49,MATCH($N2667,계정대체기준!$A$20:$A$49,0)),0)))</f>
        <v/>
      </c>
      <c r="AB2667" s="94">
        <f>IF($A2667="",0,IF(AE2667="직접",IF(AF2667="수금비",$P2667,0),$P2667*(1-AG2667)*IFERROR(INDEX(계정대체기준!$E$20:$E$49,MATCH($N2667,계정대체기준!$A$20:$A$49,0)),0)))</f>
        <v/>
      </c>
      <c r="AC2667" s="9">
        <f>IF(AND($A2667&lt;&gt;"",M2667=설정!$C$20,Z2667&gt;0),Z2667+ROW()/1000000000,"")</f>
        <v/>
      </c>
      <c r="AD2667" s="94">
        <f>IF($A2667="",0,$P2667*AG2667)</f>
        <v/>
      </c>
      <c r="AE2667" s="64">
        <f>IF($A2667="","",IFERROR(INDEX(계정매핑!$E$5:$E$504,MATCH($F2667&amp;"",계정매핑!$A$5:$A$504,0))&amp;"","공통비"))</f>
        <v/>
      </c>
      <c r="AF2667" s="64">
        <f>IF($A2667="","",IF(AE2667="직접",IFERROR(INDEX(계정매핑!$F$5:$F$504,MATCH($F2667&amp;"",계정매핑!$A$5:$A$504,0))&amp;"","비귀속"),""))</f>
        <v/>
      </c>
      <c r="AG2667" s="96">
        <f>IF($A2667="",0,IF(AND(AE2667&lt;&gt;"직접",IFERROR(INDEX(계정매핑!$G$5:$G$504,MATCH($F2667&amp;"",계정매핑!$A$5:$A$504,0))&amp;"","")="유지비",COUNTIF(계정대체기준!$A$6:$A$15,$N2667)&gt;0),IFERROR(INDEX(계정대체기준!$E$6:$E$15,MATCH(VALUE($A2667&amp;""),계정대체기준!$D$6:$D$15,0)),0),0))</f>
        <v/>
      </c>
      <c r="AH2667" s="64">
        <f>IF($A2667="","",IF(AD2667=0,"",IF(OR(COUNTIF(계정대체기준!$A$77:$A$86,$N2667)&gt;0,ISNUMBER(MATCH($X2667,계정대체기준!$D$77:$D$86,0)),ISNUMBER(MATCH($F2667,계정대체기준!$D$77:$D$86,0))),"Y","N")))</f>
        <v/>
      </c>
    </row>
    <row r="2668">
      <c r="A2668" s="92" t="n">
        <v>2025</v>
      </c>
      <c r="B2668" s="92" t="n">
        <v>12</v>
      </c>
      <c r="C2668" s="92" t="inlineStr">
        <is>
          <t>5100002664</t>
        </is>
      </c>
      <c r="D2668" s="95" t="n">
        <v>46013</v>
      </c>
      <c r="E2668" s="92" t="inlineStr">
        <is>
          <t>KR</t>
        </is>
      </c>
      <c r="F2668" s="92" t="n">
        <v>62902000</v>
      </c>
      <c r="G2668" s="92" t="n">
        <v>1101</v>
      </c>
      <c r="H2668" s="93" t="n">
        <v>1953000</v>
      </c>
      <c r="I2668" s="92" t="inlineStr">
        <is>
          <t>12월 업무 위탁 수수료 - X서비스</t>
        </is>
      </c>
      <c r="J2668" s="92" t="inlineStr">
        <is>
          <t>V10020</t>
        </is>
      </c>
      <c r="K2668" s="92" t="inlineStr">
        <is>
          <t>X서비스</t>
        </is>
      </c>
      <c r="M2668" s="9">
        <f>IF($A2668="","",VALUE($A2668&amp;"")*12+VALUE($B2668&amp;""))</f>
        <v/>
      </c>
      <c r="N2668" s="64">
        <f>IF($A2668="","",IFERROR(INDEX(부서매핑!$C$5:$C$504,MATCH($G2668&amp;"",부서매핑!$A$5:$A$504,0)),"미매핑"))</f>
        <v/>
      </c>
      <c r="O2668" s="9">
        <f>IF($A2668="","",N2668&amp;"|"&amp;$F2668)</f>
        <v/>
      </c>
      <c r="P2668" s="94">
        <f>IF($A2668="",0,$H2668*설정!$C$23)</f>
        <v/>
      </c>
      <c r="Q2668" s="64">
        <f>IF($A2668="","",IF(O2668&lt;&gt;원인분석!$C$9,"",IF(AND(M2668&gt;=원인분석!$C$10,M2668&lt;=원인분석!$C$11),"당기",IF(AND(M2668&gt;=원인분석!$C$12,M2668&lt;=원인분석!$C$13),"비교",""))))</f>
        <v/>
      </c>
      <c r="R2668" s="9">
        <f>IF(Q2668="","",$K2668&amp;"")</f>
        <v/>
      </c>
      <c r="S2668" s="9">
        <f>IF(Q2668="","",IF(MATCH(R2668,$R$5:$R$100000,0)=ROW()-4,ROW(),""))</f>
        <v/>
      </c>
      <c r="T2668" s="9">
        <f>IF(Q2668="당기",ABS(P2668)+ROW()/1000000000,"")</f>
        <v/>
      </c>
      <c r="U2668" s="9">
        <f>IF(Q2668="비교",ABS(P2668)+ROW()/1000000000,"")</f>
        <v/>
      </c>
      <c r="V2668" s="64">
        <f>IF($A2668="","",IF(COUNTIF(변동분석!$E$7:$E$506,O2668)&gt;0,"Y","N"))</f>
        <v/>
      </c>
      <c r="W2668" s="64">
        <f>IF($A2668="","",IFERROR(INDEX(계정매핑!$D$5:$D$504,MATCH($F2668&amp;"",계정매핑!$A$5:$A$504,0)),"미매핑"))</f>
        <v/>
      </c>
      <c r="X2668" s="9">
        <f>IF($A2668="","",$F2668&amp;"")</f>
        <v/>
      </c>
      <c r="Y2668" s="94">
        <f>IF($A2668="",0,IF(AE2668="직접",IF(AF2668="비귀속",$P2668,0),$P2668*(1-AG2668)*IFERROR(INDEX(계정대체기준!$F$20:$F$49,MATCH($N2668,계정대체기준!$A$20:$A$49,0)),1)))</f>
        <v/>
      </c>
      <c r="Z2668" s="94">
        <f>IF($A2668="",0,IF(AE2668="직접",IF(AF2668="신계약비",$P2668,0),$P2668*(1-AG2668)*IFERROR(INDEX(계정대체기준!$C$20:$C$49,MATCH($N2668,계정대체기준!$A$20:$A$49,0)),0)))</f>
        <v/>
      </c>
      <c r="AA2668" s="94">
        <f>IF($A2668="",0,IF(AE2668="직접",IF(OR(AF2668="유지비",AF2668="손해조사비"),$P2668,0),$P2668*(1-AG2668)*IFERROR(INDEX(계정대체기준!$D$20:$D$49,MATCH($N2668,계정대체기준!$A$20:$A$49,0)),0)))</f>
        <v/>
      </c>
      <c r="AB2668" s="94">
        <f>IF($A2668="",0,IF(AE2668="직접",IF(AF2668="수금비",$P2668,0),$P2668*(1-AG2668)*IFERROR(INDEX(계정대체기준!$E$20:$E$49,MATCH($N2668,계정대체기준!$A$20:$A$49,0)),0)))</f>
        <v/>
      </c>
      <c r="AC2668" s="9">
        <f>IF(AND($A2668&lt;&gt;"",M2668=설정!$C$20,Z2668&gt;0),Z2668+ROW()/1000000000,"")</f>
        <v/>
      </c>
      <c r="AD2668" s="94">
        <f>IF($A2668="",0,$P2668*AG2668)</f>
        <v/>
      </c>
      <c r="AE2668" s="64">
        <f>IF($A2668="","",IFERROR(INDEX(계정매핑!$E$5:$E$504,MATCH($F2668&amp;"",계정매핑!$A$5:$A$504,0))&amp;"","공통비"))</f>
        <v/>
      </c>
      <c r="AF2668" s="64">
        <f>IF($A2668="","",IF(AE2668="직접",IFERROR(INDEX(계정매핑!$F$5:$F$504,MATCH($F2668&amp;"",계정매핑!$A$5:$A$504,0))&amp;"","비귀속"),""))</f>
        <v/>
      </c>
      <c r="AG2668" s="96">
        <f>IF($A2668="",0,IF(AND(AE2668&lt;&gt;"직접",IFERROR(INDEX(계정매핑!$G$5:$G$504,MATCH($F2668&amp;"",계정매핑!$A$5:$A$504,0))&amp;"","")="유지비",COUNTIF(계정대체기준!$A$6:$A$15,$N2668)&gt;0),IFERROR(INDEX(계정대체기준!$E$6:$E$15,MATCH(VALUE($A2668&amp;""),계정대체기준!$D$6:$D$15,0)),0),0))</f>
        <v/>
      </c>
      <c r="AH2668" s="64">
        <f>IF($A2668="","",IF(AD2668=0,"",IF(OR(COUNTIF(계정대체기준!$A$77:$A$86,$N2668)&gt;0,ISNUMBER(MATCH($X2668,계정대체기준!$D$77:$D$86,0)),ISNUMBER(MATCH($F2668,계정대체기준!$D$77:$D$86,0))),"Y","N")))</f>
        <v/>
      </c>
    </row>
    <row r="2669">
      <c r="A2669" s="92" t="n">
        <v>2025</v>
      </c>
      <c r="B2669" s="92" t="n">
        <v>12</v>
      </c>
      <c r="C2669" s="92" t="inlineStr">
        <is>
          <t>5100002665</t>
        </is>
      </c>
      <c r="D2669" s="95" t="n">
        <v>46013</v>
      </c>
      <c r="E2669" s="92" t="inlineStr">
        <is>
          <t>KR</t>
        </is>
      </c>
      <c r="F2669" s="92" t="n">
        <v>62902000</v>
      </c>
      <c r="G2669" s="92" t="n">
        <v>1201</v>
      </c>
      <c r="H2669" s="93" t="n">
        <v>5748000</v>
      </c>
      <c r="I2669" s="92" t="inlineStr">
        <is>
          <t>12월 업무 위탁 수수료 - J콜센터</t>
        </is>
      </c>
      <c r="J2669" s="92" t="inlineStr">
        <is>
          <t>V10016</t>
        </is>
      </c>
      <c r="K2669" s="92" t="inlineStr">
        <is>
          <t>J콜센터</t>
        </is>
      </c>
      <c r="M2669" s="9">
        <f>IF($A2669="","",VALUE($A2669&amp;"")*12+VALUE($B2669&amp;""))</f>
        <v/>
      </c>
      <c r="N2669" s="64">
        <f>IF($A2669="","",IFERROR(INDEX(부서매핑!$C$5:$C$504,MATCH($G2669&amp;"",부서매핑!$A$5:$A$504,0)),"미매핑"))</f>
        <v/>
      </c>
      <c r="O2669" s="9">
        <f>IF($A2669="","",N2669&amp;"|"&amp;$F2669)</f>
        <v/>
      </c>
      <c r="P2669" s="94">
        <f>IF($A2669="",0,$H2669*설정!$C$23)</f>
        <v/>
      </c>
      <c r="Q2669" s="64">
        <f>IF($A2669="","",IF(O2669&lt;&gt;원인분석!$C$9,"",IF(AND(M2669&gt;=원인분석!$C$10,M2669&lt;=원인분석!$C$11),"당기",IF(AND(M2669&gt;=원인분석!$C$12,M2669&lt;=원인분석!$C$13),"비교",""))))</f>
        <v/>
      </c>
      <c r="R2669" s="9">
        <f>IF(Q2669="","",$K2669&amp;"")</f>
        <v/>
      </c>
      <c r="S2669" s="9">
        <f>IF(Q2669="","",IF(MATCH(R2669,$R$5:$R$100000,0)=ROW()-4,ROW(),""))</f>
        <v/>
      </c>
      <c r="T2669" s="9">
        <f>IF(Q2669="당기",ABS(P2669)+ROW()/1000000000,"")</f>
        <v/>
      </c>
      <c r="U2669" s="9">
        <f>IF(Q2669="비교",ABS(P2669)+ROW()/1000000000,"")</f>
        <v/>
      </c>
      <c r="V2669" s="64">
        <f>IF($A2669="","",IF(COUNTIF(변동분석!$E$7:$E$506,O2669)&gt;0,"Y","N"))</f>
        <v/>
      </c>
      <c r="W2669" s="64">
        <f>IF($A2669="","",IFERROR(INDEX(계정매핑!$D$5:$D$504,MATCH($F2669&amp;"",계정매핑!$A$5:$A$504,0)),"미매핑"))</f>
        <v/>
      </c>
      <c r="X2669" s="9">
        <f>IF($A2669="","",$F2669&amp;"")</f>
        <v/>
      </c>
      <c r="Y2669" s="94">
        <f>IF($A2669="",0,IF(AE2669="직접",IF(AF2669="비귀속",$P2669,0),$P2669*(1-AG2669)*IFERROR(INDEX(계정대체기준!$F$20:$F$49,MATCH($N2669,계정대체기준!$A$20:$A$49,0)),1)))</f>
        <v/>
      </c>
      <c r="Z2669" s="94">
        <f>IF($A2669="",0,IF(AE2669="직접",IF(AF2669="신계약비",$P2669,0),$P2669*(1-AG2669)*IFERROR(INDEX(계정대체기준!$C$20:$C$49,MATCH($N2669,계정대체기준!$A$20:$A$49,0)),0)))</f>
        <v/>
      </c>
      <c r="AA2669" s="94">
        <f>IF($A2669="",0,IF(AE2669="직접",IF(OR(AF2669="유지비",AF2669="손해조사비"),$P2669,0),$P2669*(1-AG2669)*IFERROR(INDEX(계정대체기준!$D$20:$D$49,MATCH($N2669,계정대체기준!$A$20:$A$49,0)),0)))</f>
        <v/>
      </c>
      <c r="AB2669" s="94">
        <f>IF($A2669="",0,IF(AE2669="직접",IF(AF2669="수금비",$P2669,0),$P2669*(1-AG2669)*IFERROR(INDEX(계정대체기준!$E$20:$E$49,MATCH($N2669,계정대체기준!$A$20:$A$49,0)),0)))</f>
        <v/>
      </c>
      <c r="AC2669" s="9">
        <f>IF(AND($A2669&lt;&gt;"",M2669=설정!$C$20,Z2669&gt;0),Z2669+ROW()/1000000000,"")</f>
        <v/>
      </c>
      <c r="AD2669" s="94">
        <f>IF($A2669="",0,$P2669*AG2669)</f>
        <v/>
      </c>
      <c r="AE2669" s="64">
        <f>IF($A2669="","",IFERROR(INDEX(계정매핑!$E$5:$E$504,MATCH($F2669&amp;"",계정매핑!$A$5:$A$504,0))&amp;"","공통비"))</f>
        <v/>
      </c>
      <c r="AF2669" s="64">
        <f>IF($A2669="","",IF(AE2669="직접",IFERROR(INDEX(계정매핑!$F$5:$F$504,MATCH($F2669&amp;"",계정매핑!$A$5:$A$504,0))&amp;"","비귀속"),""))</f>
        <v/>
      </c>
      <c r="AG2669" s="96">
        <f>IF($A2669="",0,IF(AND(AE2669&lt;&gt;"직접",IFERROR(INDEX(계정매핑!$G$5:$G$504,MATCH($F2669&amp;"",계정매핑!$A$5:$A$504,0))&amp;"","")="유지비",COUNTIF(계정대체기준!$A$6:$A$15,$N2669)&gt;0),IFERROR(INDEX(계정대체기준!$E$6:$E$15,MATCH(VALUE($A2669&amp;""),계정대체기준!$D$6:$D$15,0)),0),0))</f>
        <v/>
      </c>
      <c r="AH2669" s="64">
        <f>IF($A2669="","",IF(AD2669=0,"",IF(OR(COUNTIF(계정대체기준!$A$77:$A$86,$N2669)&gt;0,ISNUMBER(MATCH($X2669,계정대체기준!$D$77:$D$86,0)),ISNUMBER(MATCH($F2669,계정대체기준!$D$77:$D$86,0))),"Y","N")))</f>
        <v/>
      </c>
    </row>
    <row r="2670">
      <c r="A2670" s="92" t="n">
        <v>2025</v>
      </c>
      <c r="B2670" s="92" t="n">
        <v>12</v>
      </c>
      <c r="C2670" s="92" t="inlineStr">
        <is>
          <t>5100002666</t>
        </is>
      </c>
      <c r="D2670" s="95" t="n">
        <v>46013</v>
      </c>
      <c r="E2670" s="92" t="inlineStr">
        <is>
          <t>KR</t>
        </is>
      </c>
      <c r="F2670" s="92" t="n">
        <v>63501000</v>
      </c>
      <c r="G2670" s="92" t="n">
        <v>1901</v>
      </c>
      <c r="H2670" s="93" t="n">
        <v>234990000</v>
      </c>
      <c r="I2670" s="92" t="inlineStr">
        <is>
          <t>12월 모집수수료 - AA보험대리점</t>
        </is>
      </c>
      <c r="J2670" s="92" t="inlineStr">
        <is>
          <t>V10034</t>
        </is>
      </c>
      <c r="K2670" s="92" t="inlineStr">
        <is>
          <t>AA보험대리점</t>
        </is>
      </c>
      <c r="M2670" s="9">
        <f>IF($A2670="","",VALUE($A2670&amp;"")*12+VALUE($B2670&amp;""))</f>
        <v/>
      </c>
      <c r="N2670" s="64">
        <f>IF($A2670="","",IFERROR(INDEX(부서매핑!$C$5:$C$504,MATCH($G2670&amp;"",부서매핑!$A$5:$A$504,0)),"미매핑"))</f>
        <v/>
      </c>
      <c r="O2670" s="9">
        <f>IF($A2670="","",N2670&amp;"|"&amp;$F2670)</f>
        <v/>
      </c>
      <c r="P2670" s="94">
        <f>IF($A2670="",0,$H2670*설정!$C$23)</f>
        <v/>
      </c>
      <c r="Q2670" s="64">
        <f>IF($A2670="","",IF(O2670&lt;&gt;원인분석!$C$9,"",IF(AND(M2670&gt;=원인분석!$C$10,M2670&lt;=원인분석!$C$11),"당기",IF(AND(M2670&gt;=원인분석!$C$12,M2670&lt;=원인분석!$C$13),"비교",""))))</f>
        <v/>
      </c>
      <c r="R2670" s="9">
        <f>IF(Q2670="","",$K2670&amp;"")</f>
        <v/>
      </c>
      <c r="S2670" s="9">
        <f>IF(Q2670="","",IF(MATCH(R2670,$R$5:$R$100000,0)=ROW()-4,ROW(),""))</f>
        <v/>
      </c>
      <c r="T2670" s="9">
        <f>IF(Q2670="당기",ABS(P2670)+ROW()/1000000000,"")</f>
        <v/>
      </c>
      <c r="U2670" s="9">
        <f>IF(Q2670="비교",ABS(P2670)+ROW()/1000000000,"")</f>
        <v/>
      </c>
      <c r="V2670" s="64">
        <f>IF($A2670="","",IF(COUNTIF(변동분석!$E$7:$E$506,O2670)&gt;0,"Y","N"))</f>
        <v/>
      </c>
      <c r="W2670" s="64">
        <f>IF($A2670="","",IFERROR(INDEX(계정매핑!$D$5:$D$504,MATCH($F2670&amp;"",계정매핑!$A$5:$A$504,0)),"미매핑"))</f>
        <v/>
      </c>
      <c r="X2670" s="9">
        <f>IF($A2670="","",$F2670&amp;"")</f>
        <v/>
      </c>
      <c r="Y2670" s="94">
        <f>IF($A2670="",0,IF(AE2670="직접",IF(AF2670="비귀속",$P2670,0),$P2670*(1-AG2670)*IFERROR(INDEX(계정대체기준!$F$20:$F$49,MATCH($N2670,계정대체기준!$A$20:$A$49,0)),1)))</f>
        <v/>
      </c>
      <c r="Z2670" s="94">
        <f>IF($A2670="",0,IF(AE2670="직접",IF(AF2670="신계약비",$P2670,0),$P2670*(1-AG2670)*IFERROR(INDEX(계정대체기준!$C$20:$C$49,MATCH($N2670,계정대체기준!$A$20:$A$49,0)),0)))</f>
        <v/>
      </c>
      <c r="AA2670" s="94">
        <f>IF($A2670="",0,IF(AE2670="직접",IF(OR(AF2670="유지비",AF2670="손해조사비"),$P2670,0),$P2670*(1-AG2670)*IFERROR(INDEX(계정대체기준!$D$20:$D$49,MATCH($N2670,계정대체기준!$A$20:$A$49,0)),0)))</f>
        <v/>
      </c>
      <c r="AB2670" s="94">
        <f>IF($A2670="",0,IF(AE2670="직접",IF(AF2670="수금비",$P2670,0),$P2670*(1-AG2670)*IFERROR(INDEX(계정대체기준!$E$20:$E$49,MATCH($N2670,계정대체기준!$A$20:$A$49,0)),0)))</f>
        <v/>
      </c>
      <c r="AC2670" s="9">
        <f>IF(AND($A2670&lt;&gt;"",M2670=설정!$C$20,Z2670&gt;0),Z2670+ROW()/1000000000,"")</f>
        <v/>
      </c>
      <c r="AD2670" s="94">
        <f>IF($A2670="",0,$P2670*AG2670)</f>
        <v/>
      </c>
      <c r="AE2670" s="64">
        <f>IF($A2670="","",IFERROR(INDEX(계정매핑!$E$5:$E$504,MATCH($F2670&amp;"",계정매핑!$A$5:$A$504,0))&amp;"","공통비"))</f>
        <v/>
      </c>
      <c r="AF2670" s="64">
        <f>IF($A2670="","",IF(AE2670="직접",IFERROR(INDEX(계정매핑!$F$5:$F$504,MATCH($F2670&amp;"",계정매핑!$A$5:$A$504,0))&amp;"","비귀속"),""))</f>
        <v/>
      </c>
      <c r="AG2670" s="96">
        <f>IF($A2670="",0,IF(AND(AE2670&lt;&gt;"직접",IFERROR(INDEX(계정매핑!$G$5:$G$504,MATCH($F2670&amp;"",계정매핑!$A$5:$A$504,0))&amp;"","")="유지비",COUNTIF(계정대체기준!$A$6:$A$15,$N2670)&gt;0),IFERROR(INDEX(계정대체기준!$E$6:$E$15,MATCH(VALUE($A2670&amp;""),계정대체기준!$D$6:$D$15,0)),0),0))</f>
        <v/>
      </c>
      <c r="AH2670" s="64">
        <f>IF($A2670="","",IF(AD2670=0,"",IF(OR(COUNTIF(계정대체기준!$A$77:$A$86,$N2670)&gt;0,ISNUMBER(MATCH($X2670,계정대체기준!$D$77:$D$86,0)),ISNUMBER(MATCH($F2670,계정대체기준!$D$77:$D$86,0))),"Y","N")))</f>
        <v/>
      </c>
    </row>
    <row r="2671">
      <c r="A2671" s="92" t="n">
        <v>2025</v>
      </c>
      <c r="B2671" s="92" t="n">
        <v>12</v>
      </c>
      <c r="C2671" s="92" t="inlineStr">
        <is>
          <t>5100002667</t>
        </is>
      </c>
      <c r="D2671" s="95" t="n">
        <v>46014</v>
      </c>
      <c r="E2671" s="92" t="inlineStr">
        <is>
          <t>KR</t>
        </is>
      </c>
      <c r="F2671" s="92" t="n">
        <v>62101000</v>
      </c>
      <c r="G2671" s="92" t="n">
        <v>1101</v>
      </c>
      <c r="H2671" s="93" t="n">
        <v>618000</v>
      </c>
      <c r="I2671" s="92" t="inlineStr">
        <is>
          <t>12월 국내출장 - (법인카드)</t>
        </is>
      </c>
      <c r="J2671" s="92" t="inlineStr">
        <is>
          <t>V10010</t>
        </is>
      </c>
      <c r="K2671" s="92" t="inlineStr">
        <is>
          <t>(법인카드)</t>
        </is>
      </c>
      <c r="M2671" s="9">
        <f>IF($A2671="","",VALUE($A2671&amp;"")*12+VALUE($B2671&amp;""))</f>
        <v/>
      </c>
      <c r="N2671" s="64">
        <f>IF($A2671="","",IFERROR(INDEX(부서매핑!$C$5:$C$504,MATCH($G2671&amp;"",부서매핑!$A$5:$A$504,0)),"미매핑"))</f>
        <v/>
      </c>
      <c r="O2671" s="9">
        <f>IF($A2671="","",N2671&amp;"|"&amp;$F2671)</f>
        <v/>
      </c>
      <c r="P2671" s="94">
        <f>IF($A2671="",0,$H2671*설정!$C$23)</f>
        <v/>
      </c>
      <c r="Q2671" s="64">
        <f>IF($A2671="","",IF(O2671&lt;&gt;원인분석!$C$9,"",IF(AND(M2671&gt;=원인분석!$C$10,M2671&lt;=원인분석!$C$11),"당기",IF(AND(M2671&gt;=원인분석!$C$12,M2671&lt;=원인분석!$C$13),"비교",""))))</f>
        <v/>
      </c>
      <c r="R2671" s="9">
        <f>IF(Q2671="","",$K2671&amp;"")</f>
        <v/>
      </c>
      <c r="S2671" s="9">
        <f>IF(Q2671="","",IF(MATCH(R2671,$R$5:$R$100000,0)=ROW()-4,ROW(),""))</f>
        <v/>
      </c>
      <c r="T2671" s="9">
        <f>IF(Q2671="당기",ABS(P2671)+ROW()/1000000000,"")</f>
        <v/>
      </c>
      <c r="U2671" s="9">
        <f>IF(Q2671="비교",ABS(P2671)+ROW()/1000000000,"")</f>
        <v/>
      </c>
      <c r="V2671" s="64">
        <f>IF($A2671="","",IF(COUNTIF(변동분석!$E$7:$E$506,O2671)&gt;0,"Y","N"))</f>
        <v/>
      </c>
      <c r="W2671" s="64">
        <f>IF($A2671="","",IFERROR(INDEX(계정매핑!$D$5:$D$504,MATCH($F2671&amp;"",계정매핑!$A$5:$A$504,0)),"미매핑"))</f>
        <v/>
      </c>
      <c r="X2671" s="9">
        <f>IF($A2671="","",$F2671&amp;"")</f>
        <v/>
      </c>
      <c r="Y2671" s="94">
        <f>IF($A2671="",0,IF(AE2671="직접",IF(AF2671="비귀속",$P2671,0),$P2671*(1-AG2671)*IFERROR(INDEX(계정대체기준!$F$20:$F$49,MATCH($N2671,계정대체기준!$A$20:$A$49,0)),1)))</f>
        <v/>
      </c>
      <c r="Z2671" s="94">
        <f>IF($A2671="",0,IF(AE2671="직접",IF(AF2671="신계약비",$P2671,0),$P2671*(1-AG2671)*IFERROR(INDEX(계정대체기준!$C$20:$C$49,MATCH($N2671,계정대체기준!$A$20:$A$49,0)),0)))</f>
        <v/>
      </c>
      <c r="AA2671" s="94">
        <f>IF($A2671="",0,IF(AE2671="직접",IF(OR(AF2671="유지비",AF2671="손해조사비"),$P2671,0),$P2671*(1-AG2671)*IFERROR(INDEX(계정대체기준!$D$20:$D$49,MATCH($N2671,계정대체기준!$A$20:$A$49,0)),0)))</f>
        <v/>
      </c>
      <c r="AB2671" s="94">
        <f>IF($A2671="",0,IF(AE2671="직접",IF(AF2671="수금비",$P2671,0),$P2671*(1-AG2671)*IFERROR(INDEX(계정대체기준!$E$20:$E$49,MATCH($N2671,계정대체기준!$A$20:$A$49,0)),0)))</f>
        <v/>
      </c>
      <c r="AC2671" s="9">
        <f>IF(AND($A2671&lt;&gt;"",M2671=설정!$C$20,Z2671&gt;0),Z2671+ROW()/1000000000,"")</f>
        <v/>
      </c>
      <c r="AD2671" s="94">
        <f>IF($A2671="",0,$P2671*AG2671)</f>
        <v/>
      </c>
      <c r="AE2671" s="64">
        <f>IF($A2671="","",IFERROR(INDEX(계정매핑!$E$5:$E$504,MATCH($F2671&amp;"",계정매핑!$A$5:$A$504,0))&amp;"","공통비"))</f>
        <v/>
      </c>
      <c r="AF2671" s="64">
        <f>IF($A2671="","",IF(AE2671="직접",IFERROR(INDEX(계정매핑!$F$5:$F$504,MATCH($F2671&amp;"",계정매핑!$A$5:$A$504,0))&amp;"","비귀속"),""))</f>
        <v/>
      </c>
      <c r="AG2671" s="96">
        <f>IF($A2671="",0,IF(AND(AE2671&lt;&gt;"직접",IFERROR(INDEX(계정매핑!$G$5:$G$504,MATCH($F2671&amp;"",계정매핑!$A$5:$A$504,0))&amp;"","")="유지비",COUNTIF(계정대체기준!$A$6:$A$15,$N2671)&gt;0),IFERROR(INDEX(계정대체기준!$E$6:$E$15,MATCH(VALUE($A2671&amp;""),계정대체기준!$D$6:$D$15,0)),0),0))</f>
        <v/>
      </c>
      <c r="AH2671" s="64">
        <f>IF($A2671="","",IF(AD2671=0,"",IF(OR(COUNTIF(계정대체기준!$A$77:$A$86,$N2671)&gt;0,ISNUMBER(MATCH($X2671,계정대체기준!$D$77:$D$86,0)),ISNUMBER(MATCH($F2671,계정대체기준!$D$77:$D$86,0))),"Y","N")))</f>
        <v/>
      </c>
    </row>
    <row r="2672">
      <c r="A2672" s="92" t="n">
        <v>2025</v>
      </c>
      <c r="B2672" s="92" t="n">
        <v>12</v>
      </c>
      <c r="C2672" s="92" t="inlineStr">
        <is>
          <t>5100002668</t>
        </is>
      </c>
      <c r="D2672" s="95" t="n">
        <v>46014</v>
      </c>
      <c r="E2672" s="92" t="inlineStr">
        <is>
          <t>KR</t>
        </is>
      </c>
      <c r="F2672" s="92" t="n">
        <v>62101000</v>
      </c>
      <c r="G2672" s="92" t="n">
        <v>1401</v>
      </c>
      <c r="H2672" s="93" t="n">
        <v>340000</v>
      </c>
      <c r="I2672" s="92" t="inlineStr">
        <is>
          <t>12월 국내출장 - L여행사</t>
        </is>
      </c>
      <c r="J2672" s="92" t="inlineStr">
        <is>
          <t>V10018</t>
        </is>
      </c>
      <c r="K2672" s="92" t="inlineStr">
        <is>
          <t>L여행사</t>
        </is>
      </c>
      <c r="M2672" s="9">
        <f>IF($A2672="","",VALUE($A2672&amp;"")*12+VALUE($B2672&amp;""))</f>
        <v/>
      </c>
      <c r="N2672" s="64">
        <f>IF($A2672="","",IFERROR(INDEX(부서매핑!$C$5:$C$504,MATCH($G2672&amp;"",부서매핑!$A$5:$A$504,0)),"미매핑"))</f>
        <v/>
      </c>
      <c r="O2672" s="9">
        <f>IF($A2672="","",N2672&amp;"|"&amp;$F2672)</f>
        <v/>
      </c>
      <c r="P2672" s="94">
        <f>IF($A2672="",0,$H2672*설정!$C$23)</f>
        <v/>
      </c>
      <c r="Q2672" s="64">
        <f>IF($A2672="","",IF(O2672&lt;&gt;원인분석!$C$9,"",IF(AND(M2672&gt;=원인분석!$C$10,M2672&lt;=원인분석!$C$11),"당기",IF(AND(M2672&gt;=원인분석!$C$12,M2672&lt;=원인분석!$C$13),"비교",""))))</f>
        <v/>
      </c>
      <c r="R2672" s="9">
        <f>IF(Q2672="","",$K2672&amp;"")</f>
        <v/>
      </c>
      <c r="S2672" s="9">
        <f>IF(Q2672="","",IF(MATCH(R2672,$R$5:$R$100000,0)=ROW()-4,ROW(),""))</f>
        <v/>
      </c>
      <c r="T2672" s="9">
        <f>IF(Q2672="당기",ABS(P2672)+ROW()/1000000000,"")</f>
        <v/>
      </c>
      <c r="U2672" s="9">
        <f>IF(Q2672="비교",ABS(P2672)+ROW()/1000000000,"")</f>
        <v/>
      </c>
      <c r="V2672" s="64">
        <f>IF($A2672="","",IF(COUNTIF(변동분석!$E$7:$E$506,O2672)&gt;0,"Y","N"))</f>
        <v/>
      </c>
      <c r="W2672" s="64">
        <f>IF($A2672="","",IFERROR(INDEX(계정매핑!$D$5:$D$504,MATCH($F2672&amp;"",계정매핑!$A$5:$A$504,0)),"미매핑"))</f>
        <v/>
      </c>
      <c r="X2672" s="9">
        <f>IF($A2672="","",$F2672&amp;"")</f>
        <v/>
      </c>
      <c r="Y2672" s="94">
        <f>IF($A2672="",0,IF(AE2672="직접",IF(AF2672="비귀속",$P2672,0),$P2672*(1-AG2672)*IFERROR(INDEX(계정대체기준!$F$20:$F$49,MATCH($N2672,계정대체기준!$A$20:$A$49,0)),1)))</f>
        <v/>
      </c>
      <c r="Z2672" s="94">
        <f>IF($A2672="",0,IF(AE2672="직접",IF(AF2672="신계약비",$P2672,0),$P2672*(1-AG2672)*IFERROR(INDEX(계정대체기준!$C$20:$C$49,MATCH($N2672,계정대체기준!$A$20:$A$49,0)),0)))</f>
        <v/>
      </c>
      <c r="AA2672" s="94">
        <f>IF($A2672="",0,IF(AE2672="직접",IF(OR(AF2672="유지비",AF2672="손해조사비"),$P2672,0),$P2672*(1-AG2672)*IFERROR(INDEX(계정대체기준!$D$20:$D$49,MATCH($N2672,계정대체기준!$A$20:$A$49,0)),0)))</f>
        <v/>
      </c>
      <c r="AB2672" s="94">
        <f>IF($A2672="",0,IF(AE2672="직접",IF(AF2672="수금비",$P2672,0),$P2672*(1-AG2672)*IFERROR(INDEX(계정대체기준!$E$20:$E$49,MATCH($N2672,계정대체기준!$A$20:$A$49,0)),0)))</f>
        <v/>
      </c>
      <c r="AC2672" s="9">
        <f>IF(AND($A2672&lt;&gt;"",M2672=설정!$C$20,Z2672&gt;0),Z2672+ROW()/1000000000,"")</f>
        <v/>
      </c>
      <c r="AD2672" s="94">
        <f>IF($A2672="",0,$P2672*AG2672)</f>
        <v/>
      </c>
      <c r="AE2672" s="64">
        <f>IF($A2672="","",IFERROR(INDEX(계정매핑!$E$5:$E$504,MATCH($F2672&amp;"",계정매핑!$A$5:$A$504,0))&amp;"","공통비"))</f>
        <v/>
      </c>
      <c r="AF2672" s="64">
        <f>IF($A2672="","",IF(AE2672="직접",IFERROR(INDEX(계정매핑!$F$5:$F$504,MATCH($F2672&amp;"",계정매핑!$A$5:$A$504,0))&amp;"","비귀속"),""))</f>
        <v/>
      </c>
      <c r="AG2672" s="96">
        <f>IF($A2672="",0,IF(AND(AE2672&lt;&gt;"직접",IFERROR(INDEX(계정매핑!$G$5:$G$504,MATCH($F2672&amp;"",계정매핑!$A$5:$A$504,0))&amp;"","")="유지비",COUNTIF(계정대체기준!$A$6:$A$15,$N2672)&gt;0),IFERROR(INDEX(계정대체기준!$E$6:$E$15,MATCH(VALUE($A2672&amp;""),계정대체기준!$D$6:$D$15,0)),0),0))</f>
        <v/>
      </c>
      <c r="AH2672" s="64">
        <f>IF($A2672="","",IF(AD2672=0,"",IF(OR(COUNTIF(계정대체기준!$A$77:$A$86,$N2672)&gt;0,ISNUMBER(MATCH($X2672,계정대체기준!$D$77:$D$86,0)),ISNUMBER(MATCH($F2672,계정대체기준!$D$77:$D$86,0))),"Y","N")))</f>
        <v/>
      </c>
    </row>
    <row r="2673">
      <c r="A2673" s="92" t="n">
        <v>2025</v>
      </c>
      <c r="B2673" s="92" t="n">
        <v>12</v>
      </c>
      <c r="C2673" s="92" t="inlineStr">
        <is>
          <t>5100002669</t>
        </is>
      </c>
      <c r="D2673" s="95" t="n">
        <v>46014</v>
      </c>
      <c r="E2673" s="92" t="inlineStr">
        <is>
          <t>KR</t>
        </is>
      </c>
      <c r="F2673" s="92" t="n">
        <v>62101000</v>
      </c>
      <c r="G2673" s="92" t="n">
        <v>1801</v>
      </c>
      <c r="H2673" s="93" t="n">
        <v>235000</v>
      </c>
      <c r="I2673" s="92" t="inlineStr">
        <is>
          <t>12월 국내출장 - L여행사</t>
        </is>
      </c>
      <c r="J2673" s="92" t="inlineStr">
        <is>
          <t>V10018</t>
        </is>
      </c>
      <c r="K2673" s="92" t="inlineStr">
        <is>
          <t>L여행사</t>
        </is>
      </c>
      <c r="M2673" s="9">
        <f>IF($A2673="","",VALUE($A2673&amp;"")*12+VALUE($B2673&amp;""))</f>
        <v/>
      </c>
      <c r="N2673" s="64">
        <f>IF($A2673="","",IFERROR(INDEX(부서매핑!$C$5:$C$504,MATCH($G2673&amp;"",부서매핑!$A$5:$A$504,0)),"미매핑"))</f>
        <v/>
      </c>
      <c r="O2673" s="9">
        <f>IF($A2673="","",N2673&amp;"|"&amp;$F2673)</f>
        <v/>
      </c>
      <c r="P2673" s="94">
        <f>IF($A2673="",0,$H2673*설정!$C$23)</f>
        <v/>
      </c>
      <c r="Q2673" s="64">
        <f>IF($A2673="","",IF(O2673&lt;&gt;원인분석!$C$9,"",IF(AND(M2673&gt;=원인분석!$C$10,M2673&lt;=원인분석!$C$11),"당기",IF(AND(M2673&gt;=원인분석!$C$12,M2673&lt;=원인분석!$C$13),"비교",""))))</f>
        <v/>
      </c>
      <c r="R2673" s="9">
        <f>IF(Q2673="","",$K2673&amp;"")</f>
        <v/>
      </c>
      <c r="S2673" s="9">
        <f>IF(Q2673="","",IF(MATCH(R2673,$R$5:$R$100000,0)=ROW()-4,ROW(),""))</f>
        <v/>
      </c>
      <c r="T2673" s="9">
        <f>IF(Q2673="당기",ABS(P2673)+ROW()/1000000000,"")</f>
        <v/>
      </c>
      <c r="U2673" s="9">
        <f>IF(Q2673="비교",ABS(P2673)+ROW()/1000000000,"")</f>
        <v/>
      </c>
      <c r="V2673" s="64">
        <f>IF($A2673="","",IF(COUNTIF(변동분석!$E$7:$E$506,O2673)&gt;0,"Y","N"))</f>
        <v/>
      </c>
      <c r="W2673" s="64">
        <f>IF($A2673="","",IFERROR(INDEX(계정매핑!$D$5:$D$504,MATCH($F2673&amp;"",계정매핑!$A$5:$A$504,0)),"미매핑"))</f>
        <v/>
      </c>
      <c r="X2673" s="9">
        <f>IF($A2673="","",$F2673&amp;"")</f>
        <v/>
      </c>
      <c r="Y2673" s="94">
        <f>IF($A2673="",0,IF(AE2673="직접",IF(AF2673="비귀속",$P2673,0),$P2673*(1-AG2673)*IFERROR(INDEX(계정대체기준!$F$20:$F$49,MATCH($N2673,계정대체기준!$A$20:$A$49,0)),1)))</f>
        <v/>
      </c>
      <c r="Z2673" s="94">
        <f>IF($A2673="",0,IF(AE2673="직접",IF(AF2673="신계약비",$P2673,0),$P2673*(1-AG2673)*IFERROR(INDEX(계정대체기준!$C$20:$C$49,MATCH($N2673,계정대체기준!$A$20:$A$49,0)),0)))</f>
        <v/>
      </c>
      <c r="AA2673" s="94">
        <f>IF($A2673="",0,IF(AE2673="직접",IF(OR(AF2673="유지비",AF2673="손해조사비"),$P2673,0),$P2673*(1-AG2673)*IFERROR(INDEX(계정대체기준!$D$20:$D$49,MATCH($N2673,계정대체기준!$A$20:$A$49,0)),0)))</f>
        <v/>
      </c>
      <c r="AB2673" s="94">
        <f>IF($A2673="",0,IF(AE2673="직접",IF(AF2673="수금비",$P2673,0),$P2673*(1-AG2673)*IFERROR(INDEX(계정대체기준!$E$20:$E$49,MATCH($N2673,계정대체기준!$A$20:$A$49,0)),0)))</f>
        <v/>
      </c>
      <c r="AC2673" s="9">
        <f>IF(AND($A2673&lt;&gt;"",M2673=설정!$C$20,Z2673&gt;0),Z2673+ROW()/1000000000,"")</f>
        <v/>
      </c>
      <c r="AD2673" s="94">
        <f>IF($A2673="",0,$P2673*AG2673)</f>
        <v/>
      </c>
      <c r="AE2673" s="64">
        <f>IF($A2673="","",IFERROR(INDEX(계정매핑!$E$5:$E$504,MATCH($F2673&amp;"",계정매핑!$A$5:$A$504,0))&amp;"","공통비"))</f>
        <v/>
      </c>
      <c r="AF2673" s="64">
        <f>IF($A2673="","",IF(AE2673="직접",IFERROR(INDEX(계정매핑!$F$5:$F$504,MATCH($F2673&amp;"",계정매핑!$A$5:$A$504,0))&amp;"","비귀속"),""))</f>
        <v/>
      </c>
      <c r="AG2673" s="96">
        <f>IF($A2673="",0,IF(AND(AE2673&lt;&gt;"직접",IFERROR(INDEX(계정매핑!$G$5:$G$504,MATCH($F2673&amp;"",계정매핑!$A$5:$A$504,0))&amp;"","")="유지비",COUNTIF(계정대체기준!$A$6:$A$15,$N2673)&gt;0),IFERROR(INDEX(계정대체기준!$E$6:$E$15,MATCH(VALUE($A2673&amp;""),계정대체기준!$D$6:$D$15,0)),0),0))</f>
        <v/>
      </c>
      <c r="AH2673" s="64">
        <f>IF($A2673="","",IF(AD2673=0,"",IF(OR(COUNTIF(계정대체기준!$A$77:$A$86,$N2673)&gt;0,ISNUMBER(MATCH($X2673,계정대체기준!$D$77:$D$86,0)),ISNUMBER(MATCH($F2673,계정대체기준!$D$77:$D$86,0))),"Y","N")))</f>
        <v/>
      </c>
    </row>
    <row r="2674">
      <c r="A2674" s="92" t="n">
        <v>2025</v>
      </c>
      <c r="B2674" s="92" t="n">
        <v>12</v>
      </c>
      <c r="C2674" s="92" t="inlineStr">
        <is>
          <t>5100002670</t>
        </is>
      </c>
      <c r="D2674" s="95" t="n">
        <v>46014</v>
      </c>
      <c r="E2674" s="92" t="inlineStr">
        <is>
          <t>KR</t>
        </is>
      </c>
      <c r="F2674" s="92" t="n">
        <v>62102000</v>
      </c>
      <c r="G2674" s="92" t="n">
        <v>1101</v>
      </c>
      <c r="H2674" s="93" t="n">
        <v>66000</v>
      </c>
      <c r="I2674" s="92" t="inlineStr">
        <is>
          <t>12월 해외출장 - M항공</t>
        </is>
      </c>
      <c r="J2674" s="92" t="inlineStr">
        <is>
          <t>V10001</t>
        </is>
      </c>
      <c r="K2674" s="92" t="inlineStr">
        <is>
          <t>M항공</t>
        </is>
      </c>
      <c r="M2674" s="9">
        <f>IF($A2674="","",VALUE($A2674&amp;"")*12+VALUE($B2674&amp;""))</f>
        <v/>
      </c>
      <c r="N2674" s="64">
        <f>IF($A2674="","",IFERROR(INDEX(부서매핑!$C$5:$C$504,MATCH($G2674&amp;"",부서매핑!$A$5:$A$504,0)),"미매핑"))</f>
        <v/>
      </c>
      <c r="O2674" s="9">
        <f>IF($A2674="","",N2674&amp;"|"&amp;$F2674)</f>
        <v/>
      </c>
      <c r="P2674" s="94">
        <f>IF($A2674="",0,$H2674*설정!$C$23)</f>
        <v/>
      </c>
      <c r="Q2674" s="64">
        <f>IF($A2674="","",IF(O2674&lt;&gt;원인분석!$C$9,"",IF(AND(M2674&gt;=원인분석!$C$10,M2674&lt;=원인분석!$C$11),"당기",IF(AND(M2674&gt;=원인분석!$C$12,M2674&lt;=원인분석!$C$13),"비교",""))))</f>
        <v/>
      </c>
      <c r="R2674" s="9">
        <f>IF(Q2674="","",$K2674&amp;"")</f>
        <v/>
      </c>
      <c r="S2674" s="9">
        <f>IF(Q2674="","",IF(MATCH(R2674,$R$5:$R$100000,0)=ROW()-4,ROW(),""))</f>
        <v/>
      </c>
      <c r="T2674" s="9">
        <f>IF(Q2674="당기",ABS(P2674)+ROW()/1000000000,"")</f>
        <v/>
      </c>
      <c r="U2674" s="9">
        <f>IF(Q2674="비교",ABS(P2674)+ROW()/1000000000,"")</f>
        <v/>
      </c>
      <c r="V2674" s="64">
        <f>IF($A2674="","",IF(COUNTIF(변동분석!$E$7:$E$506,O2674)&gt;0,"Y","N"))</f>
        <v/>
      </c>
      <c r="W2674" s="64">
        <f>IF($A2674="","",IFERROR(INDEX(계정매핑!$D$5:$D$504,MATCH($F2674&amp;"",계정매핑!$A$5:$A$504,0)),"미매핑"))</f>
        <v/>
      </c>
      <c r="X2674" s="9">
        <f>IF($A2674="","",$F2674&amp;"")</f>
        <v/>
      </c>
      <c r="Y2674" s="94">
        <f>IF($A2674="",0,IF(AE2674="직접",IF(AF2674="비귀속",$P2674,0),$P2674*(1-AG2674)*IFERROR(INDEX(계정대체기준!$F$20:$F$49,MATCH($N2674,계정대체기준!$A$20:$A$49,0)),1)))</f>
        <v/>
      </c>
      <c r="Z2674" s="94">
        <f>IF($A2674="",0,IF(AE2674="직접",IF(AF2674="신계약비",$P2674,0),$P2674*(1-AG2674)*IFERROR(INDEX(계정대체기준!$C$20:$C$49,MATCH($N2674,계정대체기준!$A$20:$A$49,0)),0)))</f>
        <v/>
      </c>
      <c r="AA2674" s="94">
        <f>IF($A2674="",0,IF(AE2674="직접",IF(OR(AF2674="유지비",AF2674="손해조사비"),$P2674,0),$P2674*(1-AG2674)*IFERROR(INDEX(계정대체기준!$D$20:$D$49,MATCH($N2674,계정대체기준!$A$20:$A$49,0)),0)))</f>
        <v/>
      </c>
      <c r="AB2674" s="94">
        <f>IF($A2674="",0,IF(AE2674="직접",IF(AF2674="수금비",$P2674,0),$P2674*(1-AG2674)*IFERROR(INDEX(계정대체기준!$E$20:$E$49,MATCH($N2674,계정대체기준!$A$20:$A$49,0)),0)))</f>
        <v/>
      </c>
      <c r="AC2674" s="9">
        <f>IF(AND($A2674&lt;&gt;"",M2674=설정!$C$20,Z2674&gt;0),Z2674+ROW()/1000000000,"")</f>
        <v/>
      </c>
      <c r="AD2674" s="94">
        <f>IF($A2674="",0,$P2674*AG2674)</f>
        <v/>
      </c>
      <c r="AE2674" s="64">
        <f>IF($A2674="","",IFERROR(INDEX(계정매핑!$E$5:$E$504,MATCH($F2674&amp;"",계정매핑!$A$5:$A$504,0))&amp;"","공통비"))</f>
        <v/>
      </c>
      <c r="AF2674" s="64">
        <f>IF($A2674="","",IF(AE2674="직접",IFERROR(INDEX(계정매핑!$F$5:$F$504,MATCH($F2674&amp;"",계정매핑!$A$5:$A$504,0))&amp;"","비귀속"),""))</f>
        <v/>
      </c>
      <c r="AG2674" s="96">
        <f>IF($A2674="",0,IF(AND(AE2674&lt;&gt;"직접",IFERROR(INDEX(계정매핑!$G$5:$G$504,MATCH($F2674&amp;"",계정매핑!$A$5:$A$504,0))&amp;"","")="유지비",COUNTIF(계정대체기준!$A$6:$A$15,$N2674)&gt;0),IFERROR(INDEX(계정대체기준!$E$6:$E$15,MATCH(VALUE($A2674&amp;""),계정대체기준!$D$6:$D$15,0)),0),0))</f>
        <v/>
      </c>
      <c r="AH2674" s="64">
        <f>IF($A2674="","",IF(AD2674=0,"",IF(OR(COUNTIF(계정대체기준!$A$77:$A$86,$N2674)&gt;0,ISNUMBER(MATCH($X2674,계정대체기준!$D$77:$D$86,0)),ISNUMBER(MATCH($F2674,계정대체기준!$D$77:$D$86,0))),"Y","N")))</f>
        <v/>
      </c>
    </row>
    <row r="2675">
      <c r="A2675" s="92" t="n">
        <v>2025</v>
      </c>
      <c r="B2675" s="92" t="n">
        <v>12</v>
      </c>
      <c r="C2675" s="92" t="inlineStr">
        <is>
          <t>5100002671</t>
        </is>
      </c>
      <c r="D2675" s="95" t="n">
        <v>46014</v>
      </c>
      <c r="E2675" s="92" t="inlineStr">
        <is>
          <t>KR</t>
        </is>
      </c>
      <c r="F2675" s="92" t="n">
        <v>62102000</v>
      </c>
      <c r="G2675" s="92" t="n">
        <v>1201</v>
      </c>
      <c r="H2675" s="93" t="n">
        <v>37000</v>
      </c>
      <c r="I2675" s="92" t="inlineStr">
        <is>
          <t>12월 해외출장 - M항공</t>
        </is>
      </c>
      <c r="J2675" s="92" t="inlineStr">
        <is>
          <t>V10001</t>
        </is>
      </c>
      <c r="K2675" s="92" t="inlineStr">
        <is>
          <t>M항공</t>
        </is>
      </c>
      <c r="M2675" s="9">
        <f>IF($A2675="","",VALUE($A2675&amp;"")*12+VALUE($B2675&amp;""))</f>
        <v/>
      </c>
      <c r="N2675" s="64">
        <f>IF($A2675="","",IFERROR(INDEX(부서매핑!$C$5:$C$504,MATCH($G2675&amp;"",부서매핑!$A$5:$A$504,0)),"미매핑"))</f>
        <v/>
      </c>
      <c r="O2675" s="9">
        <f>IF($A2675="","",N2675&amp;"|"&amp;$F2675)</f>
        <v/>
      </c>
      <c r="P2675" s="94">
        <f>IF($A2675="",0,$H2675*설정!$C$23)</f>
        <v/>
      </c>
      <c r="Q2675" s="64">
        <f>IF($A2675="","",IF(O2675&lt;&gt;원인분석!$C$9,"",IF(AND(M2675&gt;=원인분석!$C$10,M2675&lt;=원인분석!$C$11),"당기",IF(AND(M2675&gt;=원인분석!$C$12,M2675&lt;=원인분석!$C$13),"비교",""))))</f>
        <v/>
      </c>
      <c r="R2675" s="9">
        <f>IF(Q2675="","",$K2675&amp;"")</f>
        <v/>
      </c>
      <c r="S2675" s="9">
        <f>IF(Q2675="","",IF(MATCH(R2675,$R$5:$R$100000,0)=ROW()-4,ROW(),""))</f>
        <v/>
      </c>
      <c r="T2675" s="9">
        <f>IF(Q2675="당기",ABS(P2675)+ROW()/1000000000,"")</f>
        <v/>
      </c>
      <c r="U2675" s="9">
        <f>IF(Q2675="비교",ABS(P2675)+ROW()/1000000000,"")</f>
        <v/>
      </c>
      <c r="V2675" s="64">
        <f>IF($A2675="","",IF(COUNTIF(변동분석!$E$7:$E$506,O2675)&gt;0,"Y","N"))</f>
        <v/>
      </c>
      <c r="W2675" s="64">
        <f>IF($A2675="","",IFERROR(INDEX(계정매핑!$D$5:$D$504,MATCH($F2675&amp;"",계정매핑!$A$5:$A$504,0)),"미매핑"))</f>
        <v/>
      </c>
      <c r="X2675" s="9">
        <f>IF($A2675="","",$F2675&amp;"")</f>
        <v/>
      </c>
      <c r="Y2675" s="94">
        <f>IF($A2675="",0,IF(AE2675="직접",IF(AF2675="비귀속",$P2675,0),$P2675*(1-AG2675)*IFERROR(INDEX(계정대체기준!$F$20:$F$49,MATCH($N2675,계정대체기준!$A$20:$A$49,0)),1)))</f>
        <v/>
      </c>
      <c r="Z2675" s="94">
        <f>IF($A2675="",0,IF(AE2675="직접",IF(AF2675="신계약비",$P2675,0),$P2675*(1-AG2675)*IFERROR(INDEX(계정대체기준!$C$20:$C$49,MATCH($N2675,계정대체기준!$A$20:$A$49,0)),0)))</f>
        <v/>
      </c>
      <c r="AA2675" s="94">
        <f>IF($A2675="",0,IF(AE2675="직접",IF(OR(AF2675="유지비",AF2675="손해조사비"),$P2675,0),$P2675*(1-AG2675)*IFERROR(INDEX(계정대체기준!$D$20:$D$49,MATCH($N2675,계정대체기준!$A$20:$A$49,0)),0)))</f>
        <v/>
      </c>
      <c r="AB2675" s="94">
        <f>IF($A2675="",0,IF(AE2675="직접",IF(AF2675="수금비",$P2675,0),$P2675*(1-AG2675)*IFERROR(INDEX(계정대체기준!$E$20:$E$49,MATCH($N2675,계정대체기준!$A$20:$A$49,0)),0)))</f>
        <v/>
      </c>
      <c r="AC2675" s="9">
        <f>IF(AND($A2675&lt;&gt;"",M2675=설정!$C$20,Z2675&gt;0),Z2675+ROW()/1000000000,"")</f>
        <v/>
      </c>
      <c r="AD2675" s="94">
        <f>IF($A2675="",0,$P2675*AG2675)</f>
        <v/>
      </c>
      <c r="AE2675" s="64">
        <f>IF($A2675="","",IFERROR(INDEX(계정매핑!$E$5:$E$504,MATCH($F2675&amp;"",계정매핑!$A$5:$A$504,0))&amp;"","공통비"))</f>
        <v/>
      </c>
      <c r="AF2675" s="64">
        <f>IF($A2675="","",IF(AE2675="직접",IFERROR(INDEX(계정매핑!$F$5:$F$504,MATCH($F2675&amp;"",계정매핑!$A$5:$A$504,0))&amp;"","비귀속"),""))</f>
        <v/>
      </c>
      <c r="AG2675" s="96">
        <f>IF($A2675="",0,IF(AND(AE2675&lt;&gt;"직접",IFERROR(INDEX(계정매핑!$G$5:$G$504,MATCH($F2675&amp;"",계정매핑!$A$5:$A$504,0))&amp;"","")="유지비",COUNTIF(계정대체기준!$A$6:$A$15,$N2675)&gt;0),IFERROR(INDEX(계정대체기준!$E$6:$E$15,MATCH(VALUE($A2675&amp;""),계정대체기준!$D$6:$D$15,0)),0),0))</f>
        <v/>
      </c>
      <c r="AH2675" s="64">
        <f>IF($A2675="","",IF(AD2675=0,"",IF(OR(COUNTIF(계정대체기준!$A$77:$A$86,$N2675)&gt;0,ISNUMBER(MATCH($X2675,계정대체기준!$D$77:$D$86,0)),ISNUMBER(MATCH($F2675,계정대체기준!$D$77:$D$86,0))),"Y","N")))</f>
        <v/>
      </c>
    </row>
    <row r="2676">
      <c r="A2676" s="92" t="n">
        <v>2025</v>
      </c>
      <c r="B2676" s="92" t="n">
        <v>12</v>
      </c>
      <c r="C2676" s="92" t="inlineStr">
        <is>
          <t>5100002672</t>
        </is>
      </c>
      <c r="D2676" s="95" t="n">
        <v>46014</v>
      </c>
      <c r="E2676" s="92" t="inlineStr">
        <is>
          <t>KR</t>
        </is>
      </c>
      <c r="F2676" s="92" t="n">
        <v>62201000</v>
      </c>
      <c r="G2676" s="92" t="n">
        <v>1101</v>
      </c>
      <c r="H2676" s="93" t="n">
        <v>235000</v>
      </c>
      <c r="I2676" s="92" t="inlineStr">
        <is>
          <t>12월 통신요금 - O텔레콤</t>
        </is>
      </c>
      <c r="J2676" s="92" t="inlineStr">
        <is>
          <t>V10002</t>
        </is>
      </c>
      <c r="K2676" s="92" t="inlineStr">
        <is>
          <t>O텔레콤</t>
        </is>
      </c>
      <c r="M2676" s="9">
        <f>IF($A2676="","",VALUE($A2676&amp;"")*12+VALUE($B2676&amp;""))</f>
        <v/>
      </c>
      <c r="N2676" s="64">
        <f>IF($A2676="","",IFERROR(INDEX(부서매핑!$C$5:$C$504,MATCH($G2676&amp;"",부서매핑!$A$5:$A$504,0)),"미매핑"))</f>
        <v/>
      </c>
      <c r="O2676" s="9">
        <f>IF($A2676="","",N2676&amp;"|"&amp;$F2676)</f>
        <v/>
      </c>
      <c r="P2676" s="94">
        <f>IF($A2676="",0,$H2676*설정!$C$23)</f>
        <v/>
      </c>
      <c r="Q2676" s="64">
        <f>IF($A2676="","",IF(O2676&lt;&gt;원인분석!$C$9,"",IF(AND(M2676&gt;=원인분석!$C$10,M2676&lt;=원인분석!$C$11),"당기",IF(AND(M2676&gt;=원인분석!$C$12,M2676&lt;=원인분석!$C$13),"비교",""))))</f>
        <v/>
      </c>
      <c r="R2676" s="9">
        <f>IF(Q2676="","",$K2676&amp;"")</f>
        <v/>
      </c>
      <c r="S2676" s="9">
        <f>IF(Q2676="","",IF(MATCH(R2676,$R$5:$R$100000,0)=ROW()-4,ROW(),""))</f>
        <v/>
      </c>
      <c r="T2676" s="9">
        <f>IF(Q2676="당기",ABS(P2676)+ROW()/1000000000,"")</f>
        <v/>
      </c>
      <c r="U2676" s="9">
        <f>IF(Q2676="비교",ABS(P2676)+ROW()/1000000000,"")</f>
        <v/>
      </c>
      <c r="V2676" s="64">
        <f>IF($A2676="","",IF(COUNTIF(변동분석!$E$7:$E$506,O2676)&gt;0,"Y","N"))</f>
        <v/>
      </c>
      <c r="W2676" s="64">
        <f>IF($A2676="","",IFERROR(INDEX(계정매핑!$D$5:$D$504,MATCH($F2676&amp;"",계정매핑!$A$5:$A$504,0)),"미매핑"))</f>
        <v/>
      </c>
      <c r="X2676" s="9">
        <f>IF($A2676="","",$F2676&amp;"")</f>
        <v/>
      </c>
      <c r="Y2676" s="94">
        <f>IF($A2676="",0,IF(AE2676="직접",IF(AF2676="비귀속",$P2676,0),$P2676*(1-AG2676)*IFERROR(INDEX(계정대체기준!$F$20:$F$49,MATCH($N2676,계정대체기준!$A$20:$A$49,0)),1)))</f>
        <v/>
      </c>
      <c r="Z2676" s="94">
        <f>IF($A2676="",0,IF(AE2676="직접",IF(AF2676="신계약비",$P2676,0),$P2676*(1-AG2676)*IFERROR(INDEX(계정대체기준!$C$20:$C$49,MATCH($N2676,계정대체기준!$A$20:$A$49,0)),0)))</f>
        <v/>
      </c>
      <c r="AA2676" s="94">
        <f>IF($A2676="",0,IF(AE2676="직접",IF(OR(AF2676="유지비",AF2676="손해조사비"),$P2676,0),$P2676*(1-AG2676)*IFERROR(INDEX(계정대체기준!$D$20:$D$49,MATCH($N2676,계정대체기준!$A$20:$A$49,0)),0)))</f>
        <v/>
      </c>
      <c r="AB2676" s="94">
        <f>IF($A2676="",0,IF(AE2676="직접",IF(AF2676="수금비",$P2676,0),$P2676*(1-AG2676)*IFERROR(INDEX(계정대체기준!$E$20:$E$49,MATCH($N2676,계정대체기준!$A$20:$A$49,0)),0)))</f>
        <v/>
      </c>
      <c r="AC2676" s="9">
        <f>IF(AND($A2676&lt;&gt;"",M2676=설정!$C$20,Z2676&gt;0),Z2676+ROW()/1000000000,"")</f>
        <v/>
      </c>
      <c r="AD2676" s="94">
        <f>IF($A2676="",0,$P2676*AG2676)</f>
        <v/>
      </c>
      <c r="AE2676" s="64">
        <f>IF($A2676="","",IFERROR(INDEX(계정매핑!$E$5:$E$504,MATCH($F2676&amp;"",계정매핑!$A$5:$A$504,0))&amp;"","공통비"))</f>
        <v/>
      </c>
      <c r="AF2676" s="64">
        <f>IF($A2676="","",IF(AE2676="직접",IFERROR(INDEX(계정매핑!$F$5:$F$504,MATCH($F2676&amp;"",계정매핑!$A$5:$A$504,0))&amp;"","비귀속"),""))</f>
        <v/>
      </c>
      <c r="AG2676" s="96">
        <f>IF($A2676="",0,IF(AND(AE2676&lt;&gt;"직접",IFERROR(INDEX(계정매핑!$G$5:$G$504,MATCH($F2676&amp;"",계정매핑!$A$5:$A$504,0))&amp;"","")="유지비",COUNTIF(계정대체기준!$A$6:$A$15,$N2676)&gt;0),IFERROR(INDEX(계정대체기준!$E$6:$E$15,MATCH(VALUE($A2676&amp;""),계정대체기준!$D$6:$D$15,0)),0),0))</f>
        <v/>
      </c>
      <c r="AH2676" s="64">
        <f>IF($A2676="","",IF(AD2676=0,"",IF(OR(COUNTIF(계정대체기준!$A$77:$A$86,$N2676)&gt;0,ISNUMBER(MATCH($X2676,계정대체기준!$D$77:$D$86,0)),ISNUMBER(MATCH($F2676,계정대체기준!$D$77:$D$86,0))),"Y","N")))</f>
        <v/>
      </c>
    </row>
    <row r="2677">
      <c r="A2677" s="92" t="n">
        <v>2025</v>
      </c>
      <c r="B2677" s="92" t="n">
        <v>12</v>
      </c>
      <c r="C2677" s="92" t="inlineStr">
        <is>
          <t>5100002673</t>
        </is>
      </c>
      <c r="D2677" s="95" t="n">
        <v>46014</v>
      </c>
      <c r="E2677" s="92" t="inlineStr">
        <is>
          <t>KR</t>
        </is>
      </c>
      <c r="F2677" s="92" t="n">
        <v>62201000</v>
      </c>
      <c r="G2677" s="92" t="n">
        <v>1502</v>
      </c>
      <c r="H2677" s="93" t="n">
        <v>268000</v>
      </c>
      <c r="I2677" s="92" t="inlineStr">
        <is>
          <t>12월 통신요금 - O텔레콤</t>
        </is>
      </c>
      <c r="J2677" s="92" t="inlineStr">
        <is>
          <t>V10002</t>
        </is>
      </c>
      <c r="K2677" s="92" t="inlineStr">
        <is>
          <t>O텔레콤</t>
        </is>
      </c>
      <c r="M2677" s="9">
        <f>IF($A2677="","",VALUE($A2677&amp;"")*12+VALUE($B2677&amp;""))</f>
        <v/>
      </c>
      <c r="N2677" s="64">
        <f>IF($A2677="","",IFERROR(INDEX(부서매핑!$C$5:$C$504,MATCH($G2677&amp;"",부서매핑!$A$5:$A$504,0)),"미매핑"))</f>
        <v/>
      </c>
      <c r="O2677" s="9">
        <f>IF($A2677="","",N2677&amp;"|"&amp;$F2677)</f>
        <v/>
      </c>
      <c r="P2677" s="94">
        <f>IF($A2677="",0,$H2677*설정!$C$23)</f>
        <v/>
      </c>
      <c r="Q2677" s="64">
        <f>IF($A2677="","",IF(O2677&lt;&gt;원인분석!$C$9,"",IF(AND(M2677&gt;=원인분석!$C$10,M2677&lt;=원인분석!$C$11),"당기",IF(AND(M2677&gt;=원인분석!$C$12,M2677&lt;=원인분석!$C$13),"비교",""))))</f>
        <v/>
      </c>
      <c r="R2677" s="9">
        <f>IF(Q2677="","",$K2677&amp;"")</f>
        <v/>
      </c>
      <c r="S2677" s="9">
        <f>IF(Q2677="","",IF(MATCH(R2677,$R$5:$R$100000,0)=ROW()-4,ROW(),""))</f>
        <v/>
      </c>
      <c r="T2677" s="9">
        <f>IF(Q2677="당기",ABS(P2677)+ROW()/1000000000,"")</f>
        <v/>
      </c>
      <c r="U2677" s="9">
        <f>IF(Q2677="비교",ABS(P2677)+ROW()/1000000000,"")</f>
        <v/>
      </c>
      <c r="V2677" s="64">
        <f>IF($A2677="","",IF(COUNTIF(변동분석!$E$7:$E$506,O2677)&gt;0,"Y","N"))</f>
        <v/>
      </c>
      <c r="W2677" s="64">
        <f>IF($A2677="","",IFERROR(INDEX(계정매핑!$D$5:$D$504,MATCH($F2677&amp;"",계정매핑!$A$5:$A$504,0)),"미매핑"))</f>
        <v/>
      </c>
      <c r="X2677" s="9">
        <f>IF($A2677="","",$F2677&amp;"")</f>
        <v/>
      </c>
      <c r="Y2677" s="94">
        <f>IF($A2677="",0,IF(AE2677="직접",IF(AF2677="비귀속",$P2677,0),$P2677*(1-AG2677)*IFERROR(INDEX(계정대체기준!$F$20:$F$49,MATCH($N2677,계정대체기준!$A$20:$A$49,0)),1)))</f>
        <v/>
      </c>
      <c r="Z2677" s="94">
        <f>IF($A2677="",0,IF(AE2677="직접",IF(AF2677="신계약비",$P2677,0),$P2677*(1-AG2677)*IFERROR(INDEX(계정대체기준!$C$20:$C$49,MATCH($N2677,계정대체기준!$A$20:$A$49,0)),0)))</f>
        <v/>
      </c>
      <c r="AA2677" s="94">
        <f>IF($A2677="",0,IF(AE2677="직접",IF(OR(AF2677="유지비",AF2677="손해조사비"),$P2677,0),$P2677*(1-AG2677)*IFERROR(INDEX(계정대체기준!$D$20:$D$49,MATCH($N2677,계정대체기준!$A$20:$A$49,0)),0)))</f>
        <v/>
      </c>
      <c r="AB2677" s="94">
        <f>IF($A2677="",0,IF(AE2677="직접",IF(AF2677="수금비",$P2677,0),$P2677*(1-AG2677)*IFERROR(INDEX(계정대체기준!$E$20:$E$49,MATCH($N2677,계정대체기준!$A$20:$A$49,0)),0)))</f>
        <v/>
      </c>
      <c r="AC2677" s="9">
        <f>IF(AND($A2677&lt;&gt;"",M2677=설정!$C$20,Z2677&gt;0),Z2677+ROW()/1000000000,"")</f>
        <v/>
      </c>
      <c r="AD2677" s="94">
        <f>IF($A2677="",0,$P2677*AG2677)</f>
        <v/>
      </c>
      <c r="AE2677" s="64">
        <f>IF($A2677="","",IFERROR(INDEX(계정매핑!$E$5:$E$504,MATCH($F2677&amp;"",계정매핑!$A$5:$A$504,0))&amp;"","공통비"))</f>
        <v/>
      </c>
      <c r="AF2677" s="64">
        <f>IF($A2677="","",IF(AE2677="직접",IFERROR(INDEX(계정매핑!$F$5:$F$504,MATCH($F2677&amp;"",계정매핑!$A$5:$A$504,0))&amp;"","비귀속"),""))</f>
        <v/>
      </c>
      <c r="AG2677" s="96">
        <f>IF($A2677="",0,IF(AND(AE2677&lt;&gt;"직접",IFERROR(INDEX(계정매핑!$G$5:$G$504,MATCH($F2677&amp;"",계정매핑!$A$5:$A$504,0))&amp;"","")="유지비",COUNTIF(계정대체기준!$A$6:$A$15,$N2677)&gt;0),IFERROR(INDEX(계정대체기준!$E$6:$E$15,MATCH(VALUE($A2677&amp;""),계정대체기준!$D$6:$D$15,0)),0),0))</f>
        <v/>
      </c>
      <c r="AH2677" s="64">
        <f>IF($A2677="","",IF(AD2677=0,"",IF(OR(COUNTIF(계정대체기준!$A$77:$A$86,$N2677)&gt;0,ISNUMBER(MATCH($X2677,계정대체기준!$D$77:$D$86,0)),ISNUMBER(MATCH($F2677,계정대체기준!$D$77:$D$86,0))),"Y","N")))</f>
        <v/>
      </c>
    </row>
    <row r="2678">
      <c r="A2678" s="92" t="n">
        <v>2025</v>
      </c>
      <c r="B2678" s="92" t="n">
        <v>12</v>
      </c>
      <c r="C2678" s="92" t="inlineStr">
        <is>
          <t>5100002674</t>
        </is>
      </c>
      <c r="D2678" s="95" t="n">
        <v>46014</v>
      </c>
      <c r="E2678" s="92" t="inlineStr">
        <is>
          <t>KR</t>
        </is>
      </c>
      <c r="F2678" s="92" t="n">
        <v>62401000</v>
      </c>
      <c r="G2678" s="92" t="n">
        <v>1801</v>
      </c>
      <c r="H2678" s="93" t="n">
        <v>1196000</v>
      </c>
      <c r="I2678" s="92" t="inlineStr">
        <is>
          <t>12월 인쇄물 제작 - S출판</t>
        </is>
      </c>
      <c r="J2678" s="92" t="inlineStr">
        <is>
          <t>V10015</t>
        </is>
      </c>
      <c r="K2678" s="92" t="inlineStr">
        <is>
          <t>S출판</t>
        </is>
      </c>
      <c r="M2678" s="9">
        <f>IF($A2678="","",VALUE($A2678&amp;"")*12+VALUE($B2678&amp;""))</f>
        <v/>
      </c>
      <c r="N2678" s="64">
        <f>IF($A2678="","",IFERROR(INDEX(부서매핑!$C$5:$C$504,MATCH($G2678&amp;"",부서매핑!$A$5:$A$504,0)),"미매핑"))</f>
        <v/>
      </c>
      <c r="O2678" s="9">
        <f>IF($A2678="","",N2678&amp;"|"&amp;$F2678)</f>
        <v/>
      </c>
      <c r="P2678" s="94">
        <f>IF($A2678="",0,$H2678*설정!$C$23)</f>
        <v/>
      </c>
      <c r="Q2678" s="64">
        <f>IF($A2678="","",IF(O2678&lt;&gt;원인분석!$C$9,"",IF(AND(M2678&gt;=원인분석!$C$10,M2678&lt;=원인분석!$C$11),"당기",IF(AND(M2678&gt;=원인분석!$C$12,M2678&lt;=원인분석!$C$13),"비교",""))))</f>
        <v/>
      </c>
      <c r="R2678" s="9">
        <f>IF(Q2678="","",$K2678&amp;"")</f>
        <v/>
      </c>
      <c r="S2678" s="9">
        <f>IF(Q2678="","",IF(MATCH(R2678,$R$5:$R$100000,0)=ROW()-4,ROW(),""))</f>
        <v/>
      </c>
      <c r="T2678" s="9">
        <f>IF(Q2678="당기",ABS(P2678)+ROW()/1000000000,"")</f>
        <v/>
      </c>
      <c r="U2678" s="9">
        <f>IF(Q2678="비교",ABS(P2678)+ROW()/1000000000,"")</f>
        <v/>
      </c>
      <c r="V2678" s="64">
        <f>IF($A2678="","",IF(COUNTIF(변동분석!$E$7:$E$506,O2678)&gt;0,"Y","N"))</f>
        <v/>
      </c>
      <c r="W2678" s="64">
        <f>IF($A2678="","",IFERROR(INDEX(계정매핑!$D$5:$D$504,MATCH($F2678&amp;"",계정매핑!$A$5:$A$504,0)),"미매핑"))</f>
        <v/>
      </c>
      <c r="X2678" s="9">
        <f>IF($A2678="","",$F2678&amp;"")</f>
        <v/>
      </c>
      <c r="Y2678" s="94">
        <f>IF($A2678="",0,IF(AE2678="직접",IF(AF2678="비귀속",$P2678,0),$P2678*(1-AG2678)*IFERROR(INDEX(계정대체기준!$F$20:$F$49,MATCH($N2678,계정대체기준!$A$20:$A$49,0)),1)))</f>
        <v/>
      </c>
      <c r="Z2678" s="94">
        <f>IF($A2678="",0,IF(AE2678="직접",IF(AF2678="신계약비",$P2678,0),$P2678*(1-AG2678)*IFERROR(INDEX(계정대체기준!$C$20:$C$49,MATCH($N2678,계정대체기준!$A$20:$A$49,0)),0)))</f>
        <v/>
      </c>
      <c r="AA2678" s="94">
        <f>IF($A2678="",0,IF(AE2678="직접",IF(OR(AF2678="유지비",AF2678="손해조사비"),$P2678,0),$P2678*(1-AG2678)*IFERROR(INDEX(계정대체기준!$D$20:$D$49,MATCH($N2678,계정대체기준!$A$20:$A$49,0)),0)))</f>
        <v/>
      </c>
      <c r="AB2678" s="94">
        <f>IF($A2678="",0,IF(AE2678="직접",IF(AF2678="수금비",$P2678,0),$P2678*(1-AG2678)*IFERROR(INDEX(계정대체기준!$E$20:$E$49,MATCH($N2678,계정대체기준!$A$20:$A$49,0)),0)))</f>
        <v/>
      </c>
      <c r="AC2678" s="9">
        <f>IF(AND($A2678&lt;&gt;"",M2678=설정!$C$20,Z2678&gt;0),Z2678+ROW()/1000000000,"")</f>
        <v/>
      </c>
      <c r="AD2678" s="94">
        <f>IF($A2678="",0,$P2678*AG2678)</f>
        <v/>
      </c>
      <c r="AE2678" s="64">
        <f>IF($A2678="","",IFERROR(INDEX(계정매핑!$E$5:$E$504,MATCH($F2678&amp;"",계정매핑!$A$5:$A$504,0))&amp;"","공통비"))</f>
        <v/>
      </c>
      <c r="AF2678" s="64">
        <f>IF($A2678="","",IF(AE2678="직접",IFERROR(INDEX(계정매핑!$F$5:$F$504,MATCH($F2678&amp;"",계정매핑!$A$5:$A$504,0))&amp;"","비귀속"),""))</f>
        <v/>
      </c>
      <c r="AG2678" s="96">
        <f>IF($A2678="",0,IF(AND(AE2678&lt;&gt;"직접",IFERROR(INDEX(계정매핑!$G$5:$G$504,MATCH($F2678&amp;"",계정매핑!$A$5:$A$504,0))&amp;"","")="유지비",COUNTIF(계정대체기준!$A$6:$A$15,$N2678)&gt;0),IFERROR(INDEX(계정대체기준!$E$6:$E$15,MATCH(VALUE($A2678&amp;""),계정대체기준!$D$6:$D$15,0)),0),0))</f>
        <v/>
      </c>
      <c r="AH2678" s="64">
        <f>IF($A2678="","",IF(AD2678=0,"",IF(OR(COUNTIF(계정대체기준!$A$77:$A$86,$N2678)&gt;0,ISNUMBER(MATCH($X2678,계정대체기준!$D$77:$D$86,0)),ISNUMBER(MATCH($F2678,계정대체기준!$D$77:$D$86,0))),"Y","N")))</f>
        <v/>
      </c>
    </row>
    <row r="2679">
      <c r="A2679" s="92" t="n">
        <v>2025</v>
      </c>
      <c r="B2679" s="92" t="n">
        <v>12</v>
      </c>
      <c r="C2679" s="92" t="inlineStr">
        <is>
          <t>5100002675</t>
        </is>
      </c>
      <c r="D2679" s="95" t="n">
        <v>46014</v>
      </c>
      <c r="E2679" s="92" t="inlineStr">
        <is>
          <t>KR</t>
        </is>
      </c>
      <c r="F2679" s="92" t="n">
        <v>62501000</v>
      </c>
      <c r="G2679" s="92" t="n">
        <v>1701</v>
      </c>
      <c r="H2679" s="93" t="n">
        <v>169000</v>
      </c>
      <c r="I2679" s="92" t="inlineStr">
        <is>
          <t>12월 회의 다과 - (법인카드)</t>
        </is>
      </c>
      <c r="J2679" s="92" t="inlineStr">
        <is>
          <t>V10010</t>
        </is>
      </c>
      <c r="K2679" s="92" t="inlineStr">
        <is>
          <t>(법인카드)</t>
        </is>
      </c>
      <c r="M2679" s="9">
        <f>IF($A2679="","",VALUE($A2679&amp;"")*12+VALUE($B2679&amp;""))</f>
        <v/>
      </c>
      <c r="N2679" s="64">
        <f>IF($A2679="","",IFERROR(INDEX(부서매핑!$C$5:$C$504,MATCH($G2679&amp;"",부서매핑!$A$5:$A$504,0)),"미매핑"))</f>
        <v/>
      </c>
      <c r="O2679" s="9">
        <f>IF($A2679="","",N2679&amp;"|"&amp;$F2679)</f>
        <v/>
      </c>
      <c r="P2679" s="94">
        <f>IF($A2679="",0,$H2679*설정!$C$23)</f>
        <v/>
      </c>
      <c r="Q2679" s="64">
        <f>IF($A2679="","",IF(O2679&lt;&gt;원인분석!$C$9,"",IF(AND(M2679&gt;=원인분석!$C$10,M2679&lt;=원인분석!$C$11),"당기",IF(AND(M2679&gt;=원인분석!$C$12,M2679&lt;=원인분석!$C$13),"비교",""))))</f>
        <v/>
      </c>
      <c r="R2679" s="9">
        <f>IF(Q2679="","",$K2679&amp;"")</f>
        <v/>
      </c>
      <c r="S2679" s="9">
        <f>IF(Q2679="","",IF(MATCH(R2679,$R$5:$R$100000,0)=ROW()-4,ROW(),""))</f>
        <v/>
      </c>
      <c r="T2679" s="9">
        <f>IF(Q2679="당기",ABS(P2679)+ROW()/1000000000,"")</f>
        <v/>
      </c>
      <c r="U2679" s="9">
        <f>IF(Q2679="비교",ABS(P2679)+ROW()/1000000000,"")</f>
        <v/>
      </c>
      <c r="V2679" s="64">
        <f>IF($A2679="","",IF(COUNTIF(변동분석!$E$7:$E$506,O2679)&gt;0,"Y","N"))</f>
        <v/>
      </c>
      <c r="W2679" s="64">
        <f>IF($A2679="","",IFERROR(INDEX(계정매핑!$D$5:$D$504,MATCH($F2679&amp;"",계정매핑!$A$5:$A$504,0)),"미매핑"))</f>
        <v/>
      </c>
      <c r="X2679" s="9">
        <f>IF($A2679="","",$F2679&amp;"")</f>
        <v/>
      </c>
      <c r="Y2679" s="94">
        <f>IF($A2679="",0,IF(AE2679="직접",IF(AF2679="비귀속",$P2679,0),$P2679*(1-AG2679)*IFERROR(INDEX(계정대체기준!$F$20:$F$49,MATCH($N2679,계정대체기준!$A$20:$A$49,0)),1)))</f>
        <v/>
      </c>
      <c r="Z2679" s="94">
        <f>IF($A2679="",0,IF(AE2679="직접",IF(AF2679="신계약비",$P2679,0),$P2679*(1-AG2679)*IFERROR(INDEX(계정대체기준!$C$20:$C$49,MATCH($N2679,계정대체기준!$A$20:$A$49,0)),0)))</f>
        <v/>
      </c>
      <c r="AA2679" s="94">
        <f>IF($A2679="",0,IF(AE2679="직접",IF(OR(AF2679="유지비",AF2679="손해조사비"),$P2679,0),$P2679*(1-AG2679)*IFERROR(INDEX(계정대체기준!$D$20:$D$49,MATCH($N2679,계정대체기준!$A$20:$A$49,0)),0)))</f>
        <v/>
      </c>
      <c r="AB2679" s="94">
        <f>IF($A2679="",0,IF(AE2679="직접",IF(AF2679="수금비",$P2679,0),$P2679*(1-AG2679)*IFERROR(INDEX(계정대체기준!$E$20:$E$49,MATCH($N2679,계정대체기준!$A$20:$A$49,0)),0)))</f>
        <v/>
      </c>
      <c r="AC2679" s="9">
        <f>IF(AND($A2679&lt;&gt;"",M2679=설정!$C$20,Z2679&gt;0),Z2679+ROW()/1000000000,"")</f>
        <v/>
      </c>
      <c r="AD2679" s="94">
        <f>IF($A2679="",0,$P2679*AG2679)</f>
        <v/>
      </c>
      <c r="AE2679" s="64">
        <f>IF($A2679="","",IFERROR(INDEX(계정매핑!$E$5:$E$504,MATCH($F2679&amp;"",계정매핑!$A$5:$A$504,0))&amp;"","공통비"))</f>
        <v/>
      </c>
      <c r="AF2679" s="64">
        <f>IF($A2679="","",IF(AE2679="직접",IFERROR(INDEX(계정매핑!$F$5:$F$504,MATCH($F2679&amp;"",계정매핑!$A$5:$A$504,0))&amp;"","비귀속"),""))</f>
        <v/>
      </c>
      <c r="AG2679" s="96">
        <f>IF($A2679="",0,IF(AND(AE2679&lt;&gt;"직접",IFERROR(INDEX(계정매핑!$G$5:$G$504,MATCH($F2679&amp;"",계정매핑!$A$5:$A$504,0))&amp;"","")="유지비",COUNTIF(계정대체기준!$A$6:$A$15,$N2679)&gt;0),IFERROR(INDEX(계정대체기준!$E$6:$E$15,MATCH(VALUE($A2679&amp;""),계정대체기준!$D$6:$D$15,0)),0),0))</f>
        <v/>
      </c>
      <c r="AH2679" s="64">
        <f>IF($A2679="","",IF(AD2679=0,"",IF(OR(COUNTIF(계정대체기준!$A$77:$A$86,$N2679)&gt;0,ISNUMBER(MATCH($X2679,계정대체기준!$D$77:$D$86,0)),ISNUMBER(MATCH($F2679,계정대체기준!$D$77:$D$86,0))),"Y","N")))</f>
        <v/>
      </c>
    </row>
    <row r="2680">
      <c r="A2680" s="92" t="n">
        <v>2025</v>
      </c>
      <c r="B2680" s="92" t="n">
        <v>12</v>
      </c>
      <c r="C2680" s="92" t="inlineStr">
        <is>
          <t>5100002676</t>
        </is>
      </c>
      <c r="D2680" s="95" t="n">
        <v>46014</v>
      </c>
      <c r="E2680" s="92" t="inlineStr">
        <is>
          <t>KR</t>
        </is>
      </c>
      <c r="F2680" s="92" t="n">
        <v>62902000</v>
      </c>
      <c r="G2680" s="92" t="n">
        <v>1101</v>
      </c>
      <c r="H2680" s="93" t="n">
        <v>1488000</v>
      </c>
      <c r="I2680" s="92" t="inlineStr">
        <is>
          <t>12월 업무 위탁 수수료 - J콜센터</t>
        </is>
      </c>
      <c r="J2680" s="92" t="inlineStr">
        <is>
          <t>V10016</t>
        </is>
      </c>
      <c r="K2680" s="92" t="inlineStr">
        <is>
          <t>J콜센터</t>
        </is>
      </c>
      <c r="M2680" s="9">
        <f>IF($A2680="","",VALUE($A2680&amp;"")*12+VALUE($B2680&amp;""))</f>
        <v/>
      </c>
      <c r="N2680" s="64">
        <f>IF($A2680="","",IFERROR(INDEX(부서매핑!$C$5:$C$504,MATCH($G2680&amp;"",부서매핑!$A$5:$A$504,0)),"미매핑"))</f>
        <v/>
      </c>
      <c r="O2680" s="9">
        <f>IF($A2680="","",N2680&amp;"|"&amp;$F2680)</f>
        <v/>
      </c>
      <c r="P2680" s="94">
        <f>IF($A2680="",0,$H2680*설정!$C$23)</f>
        <v/>
      </c>
      <c r="Q2680" s="64">
        <f>IF($A2680="","",IF(O2680&lt;&gt;원인분석!$C$9,"",IF(AND(M2680&gt;=원인분석!$C$10,M2680&lt;=원인분석!$C$11),"당기",IF(AND(M2680&gt;=원인분석!$C$12,M2680&lt;=원인분석!$C$13),"비교",""))))</f>
        <v/>
      </c>
      <c r="R2680" s="9">
        <f>IF(Q2680="","",$K2680&amp;"")</f>
        <v/>
      </c>
      <c r="S2680" s="9">
        <f>IF(Q2680="","",IF(MATCH(R2680,$R$5:$R$100000,0)=ROW()-4,ROW(),""))</f>
        <v/>
      </c>
      <c r="T2680" s="9">
        <f>IF(Q2680="당기",ABS(P2680)+ROW()/1000000000,"")</f>
        <v/>
      </c>
      <c r="U2680" s="9">
        <f>IF(Q2680="비교",ABS(P2680)+ROW()/1000000000,"")</f>
        <v/>
      </c>
      <c r="V2680" s="64">
        <f>IF($A2680="","",IF(COUNTIF(변동분석!$E$7:$E$506,O2680)&gt;0,"Y","N"))</f>
        <v/>
      </c>
      <c r="W2680" s="64">
        <f>IF($A2680="","",IFERROR(INDEX(계정매핑!$D$5:$D$504,MATCH($F2680&amp;"",계정매핑!$A$5:$A$504,0)),"미매핑"))</f>
        <v/>
      </c>
      <c r="X2680" s="9">
        <f>IF($A2680="","",$F2680&amp;"")</f>
        <v/>
      </c>
      <c r="Y2680" s="94">
        <f>IF($A2680="",0,IF(AE2680="직접",IF(AF2680="비귀속",$P2680,0),$P2680*(1-AG2680)*IFERROR(INDEX(계정대체기준!$F$20:$F$49,MATCH($N2680,계정대체기준!$A$20:$A$49,0)),1)))</f>
        <v/>
      </c>
      <c r="Z2680" s="94">
        <f>IF($A2680="",0,IF(AE2680="직접",IF(AF2680="신계약비",$P2680,0),$P2680*(1-AG2680)*IFERROR(INDEX(계정대체기준!$C$20:$C$49,MATCH($N2680,계정대체기준!$A$20:$A$49,0)),0)))</f>
        <v/>
      </c>
      <c r="AA2680" s="94">
        <f>IF($A2680="",0,IF(AE2680="직접",IF(OR(AF2680="유지비",AF2680="손해조사비"),$P2680,0),$P2680*(1-AG2680)*IFERROR(INDEX(계정대체기준!$D$20:$D$49,MATCH($N2680,계정대체기준!$A$20:$A$49,0)),0)))</f>
        <v/>
      </c>
      <c r="AB2680" s="94">
        <f>IF($A2680="",0,IF(AE2680="직접",IF(AF2680="수금비",$P2680,0),$P2680*(1-AG2680)*IFERROR(INDEX(계정대체기준!$E$20:$E$49,MATCH($N2680,계정대체기준!$A$20:$A$49,0)),0)))</f>
        <v/>
      </c>
      <c r="AC2680" s="9">
        <f>IF(AND($A2680&lt;&gt;"",M2680=설정!$C$20,Z2680&gt;0),Z2680+ROW()/1000000000,"")</f>
        <v/>
      </c>
      <c r="AD2680" s="94">
        <f>IF($A2680="",0,$P2680*AG2680)</f>
        <v/>
      </c>
      <c r="AE2680" s="64">
        <f>IF($A2680="","",IFERROR(INDEX(계정매핑!$E$5:$E$504,MATCH($F2680&amp;"",계정매핑!$A$5:$A$504,0))&amp;"","공통비"))</f>
        <v/>
      </c>
      <c r="AF2680" s="64">
        <f>IF($A2680="","",IF(AE2680="직접",IFERROR(INDEX(계정매핑!$F$5:$F$504,MATCH($F2680&amp;"",계정매핑!$A$5:$A$504,0))&amp;"","비귀속"),""))</f>
        <v/>
      </c>
      <c r="AG2680" s="96">
        <f>IF($A2680="",0,IF(AND(AE2680&lt;&gt;"직접",IFERROR(INDEX(계정매핑!$G$5:$G$504,MATCH($F2680&amp;"",계정매핑!$A$5:$A$504,0))&amp;"","")="유지비",COUNTIF(계정대체기준!$A$6:$A$15,$N2680)&gt;0),IFERROR(INDEX(계정대체기준!$E$6:$E$15,MATCH(VALUE($A2680&amp;""),계정대체기준!$D$6:$D$15,0)),0),0))</f>
        <v/>
      </c>
      <c r="AH2680" s="64">
        <f>IF($A2680="","",IF(AD2680=0,"",IF(OR(COUNTIF(계정대체기준!$A$77:$A$86,$N2680)&gt;0,ISNUMBER(MATCH($X2680,계정대체기준!$D$77:$D$86,0)),ISNUMBER(MATCH($F2680,계정대체기준!$D$77:$D$86,0))),"Y","N")))</f>
        <v/>
      </c>
    </row>
    <row r="2681">
      <c r="A2681" s="92" t="n">
        <v>2025</v>
      </c>
      <c r="B2681" s="92" t="n">
        <v>12</v>
      </c>
      <c r="C2681" s="92" t="inlineStr">
        <is>
          <t>5100002677</t>
        </is>
      </c>
      <c r="D2681" s="95" t="n">
        <v>46014</v>
      </c>
      <c r="E2681" s="92" t="inlineStr">
        <is>
          <t>KR</t>
        </is>
      </c>
      <c r="F2681" s="92" t="n">
        <v>63201000</v>
      </c>
      <c r="G2681" s="92" t="n">
        <v>1601</v>
      </c>
      <c r="H2681" s="93" t="n">
        <v>5506000</v>
      </c>
      <c r="I2681" s="92" t="inlineStr">
        <is>
          <t>12월 차량 유지 - D정비</t>
        </is>
      </c>
      <c r="J2681" s="92" t="inlineStr">
        <is>
          <t>V10025</t>
        </is>
      </c>
      <c r="K2681" s="92" t="inlineStr">
        <is>
          <t>D정비</t>
        </is>
      </c>
      <c r="M2681" s="9">
        <f>IF($A2681="","",VALUE($A2681&amp;"")*12+VALUE($B2681&amp;""))</f>
        <v/>
      </c>
      <c r="N2681" s="64">
        <f>IF($A2681="","",IFERROR(INDEX(부서매핑!$C$5:$C$504,MATCH($G2681&amp;"",부서매핑!$A$5:$A$504,0)),"미매핑"))</f>
        <v/>
      </c>
      <c r="O2681" s="9">
        <f>IF($A2681="","",N2681&amp;"|"&amp;$F2681)</f>
        <v/>
      </c>
      <c r="P2681" s="94">
        <f>IF($A2681="",0,$H2681*설정!$C$23)</f>
        <v/>
      </c>
      <c r="Q2681" s="64">
        <f>IF($A2681="","",IF(O2681&lt;&gt;원인분석!$C$9,"",IF(AND(M2681&gt;=원인분석!$C$10,M2681&lt;=원인분석!$C$11),"당기",IF(AND(M2681&gt;=원인분석!$C$12,M2681&lt;=원인분석!$C$13),"비교",""))))</f>
        <v/>
      </c>
      <c r="R2681" s="9">
        <f>IF(Q2681="","",$K2681&amp;"")</f>
        <v/>
      </c>
      <c r="S2681" s="9">
        <f>IF(Q2681="","",IF(MATCH(R2681,$R$5:$R$100000,0)=ROW()-4,ROW(),""))</f>
        <v/>
      </c>
      <c r="T2681" s="9">
        <f>IF(Q2681="당기",ABS(P2681)+ROW()/1000000000,"")</f>
        <v/>
      </c>
      <c r="U2681" s="9">
        <f>IF(Q2681="비교",ABS(P2681)+ROW()/1000000000,"")</f>
        <v/>
      </c>
      <c r="V2681" s="64">
        <f>IF($A2681="","",IF(COUNTIF(변동분석!$E$7:$E$506,O2681)&gt;0,"Y","N"))</f>
        <v/>
      </c>
      <c r="W2681" s="64">
        <f>IF($A2681="","",IFERROR(INDEX(계정매핑!$D$5:$D$504,MATCH($F2681&amp;"",계정매핑!$A$5:$A$504,0)),"미매핑"))</f>
        <v/>
      </c>
      <c r="X2681" s="9">
        <f>IF($A2681="","",$F2681&amp;"")</f>
        <v/>
      </c>
      <c r="Y2681" s="94">
        <f>IF($A2681="",0,IF(AE2681="직접",IF(AF2681="비귀속",$P2681,0),$P2681*(1-AG2681)*IFERROR(INDEX(계정대체기준!$F$20:$F$49,MATCH($N2681,계정대체기준!$A$20:$A$49,0)),1)))</f>
        <v/>
      </c>
      <c r="Z2681" s="94">
        <f>IF($A2681="",0,IF(AE2681="직접",IF(AF2681="신계약비",$P2681,0),$P2681*(1-AG2681)*IFERROR(INDEX(계정대체기준!$C$20:$C$49,MATCH($N2681,계정대체기준!$A$20:$A$49,0)),0)))</f>
        <v/>
      </c>
      <c r="AA2681" s="94">
        <f>IF($A2681="",0,IF(AE2681="직접",IF(OR(AF2681="유지비",AF2681="손해조사비"),$P2681,0),$P2681*(1-AG2681)*IFERROR(INDEX(계정대체기준!$D$20:$D$49,MATCH($N2681,계정대체기준!$A$20:$A$49,0)),0)))</f>
        <v/>
      </c>
      <c r="AB2681" s="94">
        <f>IF($A2681="",0,IF(AE2681="직접",IF(AF2681="수금비",$P2681,0),$P2681*(1-AG2681)*IFERROR(INDEX(계정대체기준!$E$20:$E$49,MATCH($N2681,계정대체기준!$A$20:$A$49,0)),0)))</f>
        <v/>
      </c>
      <c r="AC2681" s="9">
        <f>IF(AND($A2681&lt;&gt;"",M2681=설정!$C$20,Z2681&gt;0),Z2681+ROW()/1000000000,"")</f>
        <v/>
      </c>
      <c r="AD2681" s="94">
        <f>IF($A2681="",0,$P2681*AG2681)</f>
        <v/>
      </c>
      <c r="AE2681" s="64">
        <f>IF($A2681="","",IFERROR(INDEX(계정매핑!$E$5:$E$504,MATCH($F2681&amp;"",계정매핑!$A$5:$A$504,0))&amp;"","공통비"))</f>
        <v/>
      </c>
      <c r="AF2681" s="64">
        <f>IF($A2681="","",IF(AE2681="직접",IFERROR(INDEX(계정매핑!$F$5:$F$504,MATCH($F2681&amp;"",계정매핑!$A$5:$A$504,0))&amp;"","비귀속"),""))</f>
        <v/>
      </c>
      <c r="AG2681" s="96">
        <f>IF($A2681="",0,IF(AND(AE2681&lt;&gt;"직접",IFERROR(INDEX(계정매핑!$G$5:$G$504,MATCH($F2681&amp;"",계정매핑!$A$5:$A$504,0))&amp;"","")="유지비",COUNTIF(계정대체기준!$A$6:$A$15,$N2681)&gt;0),IFERROR(INDEX(계정대체기준!$E$6:$E$15,MATCH(VALUE($A2681&amp;""),계정대체기준!$D$6:$D$15,0)),0),0))</f>
        <v/>
      </c>
      <c r="AH2681" s="64">
        <f>IF($A2681="","",IF(AD2681=0,"",IF(OR(COUNTIF(계정대체기준!$A$77:$A$86,$N2681)&gt;0,ISNUMBER(MATCH($X2681,계정대체기준!$D$77:$D$86,0)),ISNUMBER(MATCH($F2681,계정대체기준!$D$77:$D$86,0))),"Y","N")))</f>
        <v/>
      </c>
    </row>
    <row r="2682">
      <c r="A2682" s="92" t="n">
        <v>2025</v>
      </c>
      <c r="B2682" s="92" t="n">
        <v>12</v>
      </c>
      <c r="C2682" s="92" t="inlineStr">
        <is>
          <t>5100002678</t>
        </is>
      </c>
      <c r="D2682" s="95" t="n">
        <v>46014</v>
      </c>
      <c r="E2682" s="92" t="inlineStr">
        <is>
          <t>KR</t>
        </is>
      </c>
      <c r="F2682" s="92" t="n">
        <v>63502000</v>
      </c>
      <c r="G2682" s="92" t="n">
        <v>1901</v>
      </c>
      <c r="H2682" s="93" t="n">
        <v>121143000</v>
      </c>
      <c r="I2682" s="92" t="inlineStr">
        <is>
          <t>12월 유지수수료 - (전속설계사)</t>
        </is>
      </c>
      <c r="J2682" s="92" t="inlineStr">
        <is>
          <t>V10021</t>
        </is>
      </c>
      <c r="K2682" s="92" t="inlineStr">
        <is>
          <t>(전속설계사)</t>
        </is>
      </c>
      <c r="M2682" s="9">
        <f>IF($A2682="","",VALUE($A2682&amp;"")*12+VALUE($B2682&amp;""))</f>
        <v/>
      </c>
      <c r="N2682" s="64">
        <f>IF($A2682="","",IFERROR(INDEX(부서매핑!$C$5:$C$504,MATCH($G2682&amp;"",부서매핑!$A$5:$A$504,0)),"미매핑"))</f>
        <v/>
      </c>
      <c r="O2682" s="9">
        <f>IF($A2682="","",N2682&amp;"|"&amp;$F2682)</f>
        <v/>
      </c>
      <c r="P2682" s="94">
        <f>IF($A2682="",0,$H2682*설정!$C$23)</f>
        <v/>
      </c>
      <c r="Q2682" s="64">
        <f>IF($A2682="","",IF(O2682&lt;&gt;원인분석!$C$9,"",IF(AND(M2682&gt;=원인분석!$C$10,M2682&lt;=원인분석!$C$11),"당기",IF(AND(M2682&gt;=원인분석!$C$12,M2682&lt;=원인분석!$C$13),"비교",""))))</f>
        <v/>
      </c>
      <c r="R2682" s="9">
        <f>IF(Q2682="","",$K2682&amp;"")</f>
        <v/>
      </c>
      <c r="S2682" s="9">
        <f>IF(Q2682="","",IF(MATCH(R2682,$R$5:$R$100000,0)=ROW()-4,ROW(),""))</f>
        <v/>
      </c>
      <c r="T2682" s="9">
        <f>IF(Q2682="당기",ABS(P2682)+ROW()/1000000000,"")</f>
        <v/>
      </c>
      <c r="U2682" s="9">
        <f>IF(Q2682="비교",ABS(P2682)+ROW()/1000000000,"")</f>
        <v/>
      </c>
      <c r="V2682" s="64">
        <f>IF($A2682="","",IF(COUNTIF(변동분석!$E$7:$E$506,O2682)&gt;0,"Y","N"))</f>
        <v/>
      </c>
      <c r="W2682" s="64">
        <f>IF($A2682="","",IFERROR(INDEX(계정매핑!$D$5:$D$504,MATCH($F2682&amp;"",계정매핑!$A$5:$A$504,0)),"미매핑"))</f>
        <v/>
      </c>
      <c r="X2682" s="9">
        <f>IF($A2682="","",$F2682&amp;"")</f>
        <v/>
      </c>
      <c r="Y2682" s="94">
        <f>IF($A2682="",0,IF(AE2682="직접",IF(AF2682="비귀속",$P2682,0),$P2682*(1-AG2682)*IFERROR(INDEX(계정대체기준!$F$20:$F$49,MATCH($N2682,계정대체기준!$A$20:$A$49,0)),1)))</f>
        <v/>
      </c>
      <c r="Z2682" s="94">
        <f>IF($A2682="",0,IF(AE2682="직접",IF(AF2682="신계약비",$P2682,0),$P2682*(1-AG2682)*IFERROR(INDEX(계정대체기준!$C$20:$C$49,MATCH($N2682,계정대체기준!$A$20:$A$49,0)),0)))</f>
        <v/>
      </c>
      <c r="AA2682" s="94">
        <f>IF($A2682="",0,IF(AE2682="직접",IF(OR(AF2682="유지비",AF2682="손해조사비"),$P2682,0),$P2682*(1-AG2682)*IFERROR(INDEX(계정대체기준!$D$20:$D$49,MATCH($N2682,계정대체기준!$A$20:$A$49,0)),0)))</f>
        <v/>
      </c>
      <c r="AB2682" s="94">
        <f>IF($A2682="",0,IF(AE2682="직접",IF(AF2682="수금비",$P2682,0),$P2682*(1-AG2682)*IFERROR(INDEX(계정대체기준!$E$20:$E$49,MATCH($N2682,계정대체기준!$A$20:$A$49,0)),0)))</f>
        <v/>
      </c>
      <c r="AC2682" s="9">
        <f>IF(AND($A2682&lt;&gt;"",M2682=설정!$C$20,Z2682&gt;0),Z2682+ROW()/1000000000,"")</f>
        <v/>
      </c>
      <c r="AD2682" s="94">
        <f>IF($A2682="",0,$P2682*AG2682)</f>
        <v/>
      </c>
      <c r="AE2682" s="64">
        <f>IF($A2682="","",IFERROR(INDEX(계정매핑!$E$5:$E$504,MATCH($F2682&amp;"",계정매핑!$A$5:$A$504,0))&amp;"","공통비"))</f>
        <v/>
      </c>
      <c r="AF2682" s="64">
        <f>IF($A2682="","",IF(AE2682="직접",IFERROR(INDEX(계정매핑!$F$5:$F$504,MATCH($F2682&amp;"",계정매핑!$A$5:$A$504,0))&amp;"","비귀속"),""))</f>
        <v/>
      </c>
      <c r="AG2682" s="96">
        <f>IF($A2682="",0,IF(AND(AE2682&lt;&gt;"직접",IFERROR(INDEX(계정매핑!$G$5:$G$504,MATCH($F2682&amp;"",계정매핑!$A$5:$A$504,0))&amp;"","")="유지비",COUNTIF(계정대체기준!$A$6:$A$15,$N2682)&gt;0),IFERROR(INDEX(계정대체기준!$E$6:$E$15,MATCH(VALUE($A2682&amp;""),계정대체기준!$D$6:$D$15,0)),0),0))</f>
        <v/>
      </c>
      <c r="AH2682" s="64">
        <f>IF($A2682="","",IF(AD2682=0,"",IF(OR(COUNTIF(계정대체기준!$A$77:$A$86,$N2682)&gt;0,ISNUMBER(MATCH($X2682,계정대체기준!$D$77:$D$86,0)),ISNUMBER(MATCH($F2682,계정대체기준!$D$77:$D$86,0))),"Y","N")))</f>
        <v/>
      </c>
    </row>
    <row r="2683">
      <c r="A2683" s="92" t="n">
        <v>2025</v>
      </c>
      <c r="B2683" s="92" t="n">
        <v>12</v>
      </c>
      <c r="C2683" s="92" t="inlineStr">
        <is>
          <t>5100002679</t>
        </is>
      </c>
      <c r="D2683" s="95" t="n">
        <v>46015</v>
      </c>
      <c r="E2683" s="92" t="inlineStr">
        <is>
          <t>KR</t>
        </is>
      </c>
      <c r="F2683" s="92" t="n">
        <v>62101000</v>
      </c>
      <c r="G2683" s="92" t="n">
        <v>1501</v>
      </c>
      <c r="H2683" s="93" t="n">
        <v>530000</v>
      </c>
      <c r="I2683" s="92" t="inlineStr">
        <is>
          <t>12월 국내출장 - M항공</t>
        </is>
      </c>
      <c r="J2683" s="92" t="inlineStr">
        <is>
          <t>V10001</t>
        </is>
      </c>
      <c r="K2683" s="92" t="inlineStr">
        <is>
          <t>M항공</t>
        </is>
      </c>
      <c r="M2683" s="9">
        <f>IF($A2683="","",VALUE($A2683&amp;"")*12+VALUE($B2683&amp;""))</f>
        <v/>
      </c>
      <c r="N2683" s="64">
        <f>IF($A2683="","",IFERROR(INDEX(부서매핑!$C$5:$C$504,MATCH($G2683&amp;"",부서매핑!$A$5:$A$504,0)),"미매핑"))</f>
        <v/>
      </c>
      <c r="O2683" s="9">
        <f>IF($A2683="","",N2683&amp;"|"&amp;$F2683)</f>
        <v/>
      </c>
      <c r="P2683" s="94">
        <f>IF($A2683="",0,$H2683*설정!$C$23)</f>
        <v/>
      </c>
      <c r="Q2683" s="64">
        <f>IF($A2683="","",IF(O2683&lt;&gt;원인분석!$C$9,"",IF(AND(M2683&gt;=원인분석!$C$10,M2683&lt;=원인분석!$C$11),"당기",IF(AND(M2683&gt;=원인분석!$C$12,M2683&lt;=원인분석!$C$13),"비교",""))))</f>
        <v/>
      </c>
      <c r="R2683" s="9">
        <f>IF(Q2683="","",$K2683&amp;"")</f>
        <v/>
      </c>
      <c r="S2683" s="9">
        <f>IF(Q2683="","",IF(MATCH(R2683,$R$5:$R$100000,0)=ROW()-4,ROW(),""))</f>
        <v/>
      </c>
      <c r="T2683" s="9">
        <f>IF(Q2683="당기",ABS(P2683)+ROW()/1000000000,"")</f>
        <v/>
      </c>
      <c r="U2683" s="9">
        <f>IF(Q2683="비교",ABS(P2683)+ROW()/1000000000,"")</f>
        <v/>
      </c>
      <c r="V2683" s="64">
        <f>IF($A2683="","",IF(COUNTIF(변동분석!$E$7:$E$506,O2683)&gt;0,"Y","N"))</f>
        <v/>
      </c>
      <c r="W2683" s="64">
        <f>IF($A2683="","",IFERROR(INDEX(계정매핑!$D$5:$D$504,MATCH($F2683&amp;"",계정매핑!$A$5:$A$504,0)),"미매핑"))</f>
        <v/>
      </c>
      <c r="X2683" s="9">
        <f>IF($A2683="","",$F2683&amp;"")</f>
        <v/>
      </c>
      <c r="Y2683" s="94">
        <f>IF($A2683="",0,IF(AE2683="직접",IF(AF2683="비귀속",$P2683,0),$P2683*(1-AG2683)*IFERROR(INDEX(계정대체기준!$F$20:$F$49,MATCH($N2683,계정대체기준!$A$20:$A$49,0)),1)))</f>
        <v/>
      </c>
      <c r="Z2683" s="94">
        <f>IF($A2683="",0,IF(AE2683="직접",IF(AF2683="신계약비",$P2683,0),$P2683*(1-AG2683)*IFERROR(INDEX(계정대체기준!$C$20:$C$49,MATCH($N2683,계정대체기준!$A$20:$A$49,0)),0)))</f>
        <v/>
      </c>
      <c r="AA2683" s="94">
        <f>IF($A2683="",0,IF(AE2683="직접",IF(OR(AF2683="유지비",AF2683="손해조사비"),$P2683,0),$P2683*(1-AG2683)*IFERROR(INDEX(계정대체기준!$D$20:$D$49,MATCH($N2683,계정대체기준!$A$20:$A$49,0)),0)))</f>
        <v/>
      </c>
      <c r="AB2683" s="94">
        <f>IF($A2683="",0,IF(AE2683="직접",IF(AF2683="수금비",$P2683,0),$P2683*(1-AG2683)*IFERROR(INDEX(계정대체기준!$E$20:$E$49,MATCH($N2683,계정대체기준!$A$20:$A$49,0)),0)))</f>
        <v/>
      </c>
      <c r="AC2683" s="9">
        <f>IF(AND($A2683&lt;&gt;"",M2683=설정!$C$20,Z2683&gt;0),Z2683+ROW()/1000000000,"")</f>
        <v/>
      </c>
      <c r="AD2683" s="94">
        <f>IF($A2683="",0,$P2683*AG2683)</f>
        <v/>
      </c>
      <c r="AE2683" s="64">
        <f>IF($A2683="","",IFERROR(INDEX(계정매핑!$E$5:$E$504,MATCH($F2683&amp;"",계정매핑!$A$5:$A$504,0))&amp;"","공통비"))</f>
        <v/>
      </c>
      <c r="AF2683" s="64">
        <f>IF($A2683="","",IF(AE2683="직접",IFERROR(INDEX(계정매핑!$F$5:$F$504,MATCH($F2683&amp;"",계정매핑!$A$5:$A$504,0))&amp;"","비귀속"),""))</f>
        <v/>
      </c>
      <c r="AG2683" s="96">
        <f>IF($A2683="",0,IF(AND(AE2683&lt;&gt;"직접",IFERROR(INDEX(계정매핑!$G$5:$G$504,MATCH($F2683&amp;"",계정매핑!$A$5:$A$504,0))&amp;"","")="유지비",COUNTIF(계정대체기준!$A$6:$A$15,$N2683)&gt;0),IFERROR(INDEX(계정대체기준!$E$6:$E$15,MATCH(VALUE($A2683&amp;""),계정대체기준!$D$6:$D$15,0)),0),0))</f>
        <v/>
      </c>
      <c r="AH2683" s="64">
        <f>IF($A2683="","",IF(AD2683=0,"",IF(OR(COUNTIF(계정대체기준!$A$77:$A$86,$N2683)&gt;0,ISNUMBER(MATCH($X2683,계정대체기준!$D$77:$D$86,0)),ISNUMBER(MATCH($F2683,계정대체기준!$D$77:$D$86,0))),"Y","N")))</f>
        <v/>
      </c>
    </row>
    <row r="2684">
      <c r="A2684" s="92" t="n">
        <v>2025</v>
      </c>
      <c r="B2684" s="92" t="n">
        <v>12</v>
      </c>
      <c r="C2684" s="92" t="inlineStr">
        <is>
          <t>5100002680</t>
        </is>
      </c>
      <c r="D2684" s="95" t="n">
        <v>46015</v>
      </c>
      <c r="E2684" s="92" t="inlineStr">
        <is>
          <t>KR</t>
        </is>
      </c>
      <c r="F2684" s="92" t="n">
        <v>62101000</v>
      </c>
      <c r="G2684" s="92" t="n">
        <v>1951</v>
      </c>
      <c r="H2684" s="93" t="n">
        <v>303000</v>
      </c>
      <c r="I2684" s="92" t="inlineStr">
        <is>
          <t>12월 국내출장 - L여행사</t>
        </is>
      </c>
      <c r="J2684" s="92" t="inlineStr">
        <is>
          <t>V10018</t>
        </is>
      </c>
      <c r="K2684" s="92" t="inlineStr">
        <is>
          <t>L여행사</t>
        </is>
      </c>
      <c r="M2684" s="9">
        <f>IF($A2684="","",VALUE($A2684&amp;"")*12+VALUE($B2684&amp;""))</f>
        <v/>
      </c>
      <c r="N2684" s="64">
        <f>IF($A2684="","",IFERROR(INDEX(부서매핑!$C$5:$C$504,MATCH($G2684&amp;"",부서매핑!$A$5:$A$504,0)),"미매핑"))</f>
        <v/>
      </c>
      <c r="O2684" s="9">
        <f>IF($A2684="","",N2684&amp;"|"&amp;$F2684)</f>
        <v/>
      </c>
      <c r="P2684" s="94">
        <f>IF($A2684="",0,$H2684*설정!$C$23)</f>
        <v/>
      </c>
      <c r="Q2684" s="64">
        <f>IF($A2684="","",IF(O2684&lt;&gt;원인분석!$C$9,"",IF(AND(M2684&gt;=원인분석!$C$10,M2684&lt;=원인분석!$C$11),"당기",IF(AND(M2684&gt;=원인분석!$C$12,M2684&lt;=원인분석!$C$13),"비교",""))))</f>
        <v/>
      </c>
      <c r="R2684" s="9">
        <f>IF(Q2684="","",$K2684&amp;"")</f>
        <v/>
      </c>
      <c r="S2684" s="9">
        <f>IF(Q2684="","",IF(MATCH(R2684,$R$5:$R$100000,0)=ROW()-4,ROW(),""))</f>
        <v/>
      </c>
      <c r="T2684" s="9">
        <f>IF(Q2684="당기",ABS(P2684)+ROW()/1000000000,"")</f>
        <v/>
      </c>
      <c r="U2684" s="9">
        <f>IF(Q2684="비교",ABS(P2684)+ROW()/1000000000,"")</f>
        <v/>
      </c>
      <c r="V2684" s="64">
        <f>IF($A2684="","",IF(COUNTIF(변동분석!$E$7:$E$506,O2684)&gt;0,"Y","N"))</f>
        <v/>
      </c>
      <c r="W2684" s="64">
        <f>IF($A2684="","",IFERROR(INDEX(계정매핑!$D$5:$D$504,MATCH($F2684&amp;"",계정매핑!$A$5:$A$504,0)),"미매핑"))</f>
        <v/>
      </c>
      <c r="X2684" s="9">
        <f>IF($A2684="","",$F2684&amp;"")</f>
        <v/>
      </c>
      <c r="Y2684" s="94">
        <f>IF($A2684="",0,IF(AE2684="직접",IF(AF2684="비귀속",$P2684,0),$P2684*(1-AG2684)*IFERROR(INDEX(계정대체기준!$F$20:$F$49,MATCH($N2684,계정대체기준!$A$20:$A$49,0)),1)))</f>
        <v/>
      </c>
      <c r="Z2684" s="94">
        <f>IF($A2684="",0,IF(AE2684="직접",IF(AF2684="신계약비",$P2684,0),$P2684*(1-AG2684)*IFERROR(INDEX(계정대체기준!$C$20:$C$49,MATCH($N2684,계정대체기준!$A$20:$A$49,0)),0)))</f>
        <v/>
      </c>
      <c r="AA2684" s="94">
        <f>IF($A2684="",0,IF(AE2684="직접",IF(OR(AF2684="유지비",AF2684="손해조사비"),$P2684,0),$P2684*(1-AG2684)*IFERROR(INDEX(계정대체기준!$D$20:$D$49,MATCH($N2684,계정대체기준!$A$20:$A$49,0)),0)))</f>
        <v/>
      </c>
      <c r="AB2684" s="94">
        <f>IF($A2684="",0,IF(AE2684="직접",IF(AF2684="수금비",$P2684,0),$P2684*(1-AG2684)*IFERROR(INDEX(계정대체기준!$E$20:$E$49,MATCH($N2684,계정대체기준!$A$20:$A$49,0)),0)))</f>
        <v/>
      </c>
      <c r="AC2684" s="9">
        <f>IF(AND($A2684&lt;&gt;"",M2684=설정!$C$20,Z2684&gt;0),Z2684+ROW()/1000000000,"")</f>
        <v/>
      </c>
      <c r="AD2684" s="94">
        <f>IF($A2684="",0,$P2684*AG2684)</f>
        <v/>
      </c>
      <c r="AE2684" s="64">
        <f>IF($A2684="","",IFERROR(INDEX(계정매핑!$E$5:$E$504,MATCH($F2684&amp;"",계정매핑!$A$5:$A$504,0))&amp;"","공통비"))</f>
        <v/>
      </c>
      <c r="AF2684" s="64">
        <f>IF($A2684="","",IF(AE2684="직접",IFERROR(INDEX(계정매핑!$F$5:$F$504,MATCH($F2684&amp;"",계정매핑!$A$5:$A$504,0))&amp;"","비귀속"),""))</f>
        <v/>
      </c>
      <c r="AG2684" s="96">
        <f>IF($A2684="",0,IF(AND(AE2684&lt;&gt;"직접",IFERROR(INDEX(계정매핑!$G$5:$G$504,MATCH($F2684&amp;"",계정매핑!$A$5:$A$504,0))&amp;"","")="유지비",COUNTIF(계정대체기준!$A$6:$A$15,$N2684)&gt;0),IFERROR(INDEX(계정대체기준!$E$6:$E$15,MATCH(VALUE($A2684&amp;""),계정대체기준!$D$6:$D$15,0)),0),0))</f>
        <v/>
      </c>
      <c r="AH2684" s="64">
        <f>IF($A2684="","",IF(AD2684=0,"",IF(OR(COUNTIF(계정대체기준!$A$77:$A$86,$N2684)&gt;0,ISNUMBER(MATCH($X2684,계정대체기준!$D$77:$D$86,0)),ISNUMBER(MATCH($F2684,계정대체기준!$D$77:$D$86,0))),"Y","N")))</f>
        <v/>
      </c>
    </row>
    <row r="2685">
      <c r="A2685" s="92" t="n">
        <v>2025</v>
      </c>
      <c r="B2685" s="92" t="n">
        <v>12</v>
      </c>
      <c r="C2685" s="92" t="inlineStr">
        <is>
          <t>5100002681</t>
        </is>
      </c>
      <c r="D2685" s="95" t="n">
        <v>46015</v>
      </c>
      <c r="E2685" s="92" t="inlineStr">
        <is>
          <t>KR</t>
        </is>
      </c>
      <c r="F2685" s="92" t="n">
        <v>62102000</v>
      </c>
      <c r="G2685" s="92" t="n">
        <v>1501</v>
      </c>
      <c r="H2685" s="93" t="n">
        <v>137000</v>
      </c>
      <c r="I2685" s="92" t="inlineStr">
        <is>
          <t>12월 해외출장 - M항공</t>
        </is>
      </c>
      <c r="J2685" s="92" t="inlineStr">
        <is>
          <t>V10001</t>
        </is>
      </c>
      <c r="K2685" s="92" t="inlineStr">
        <is>
          <t>M항공</t>
        </is>
      </c>
      <c r="M2685" s="9">
        <f>IF($A2685="","",VALUE($A2685&amp;"")*12+VALUE($B2685&amp;""))</f>
        <v/>
      </c>
      <c r="N2685" s="64">
        <f>IF($A2685="","",IFERROR(INDEX(부서매핑!$C$5:$C$504,MATCH($G2685&amp;"",부서매핑!$A$5:$A$504,0)),"미매핑"))</f>
        <v/>
      </c>
      <c r="O2685" s="9">
        <f>IF($A2685="","",N2685&amp;"|"&amp;$F2685)</f>
        <v/>
      </c>
      <c r="P2685" s="94">
        <f>IF($A2685="",0,$H2685*설정!$C$23)</f>
        <v/>
      </c>
      <c r="Q2685" s="64">
        <f>IF($A2685="","",IF(O2685&lt;&gt;원인분석!$C$9,"",IF(AND(M2685&gt;=원인분석!$C$10,M2685&lt;=원인분석!$C$11),"당기",IF(AND(M2685&gt;=원인분석!$C$12,M2685&lt;=원인분석!$C$13),"비교",""))))</f>
        <v/>
      </c>
      <c r="R2685" s="9">
        <f>IF(Q2685="","",$K2685&amp;"")</f>
        <v/>
      </c>
      <c r="S2685" s="9">
        <f>IF(Q2685="","",IF(MATCH(R2685,$R$5:$R$100000,0)=ROW()-4,ROW(),""))</f>
        <v/>
      </c>
      <c r="T2685" s="9">
        <f>IF(Q2685="당기",ABS(P2685)+ROW()/1000000000,"")</f>
        <v/>
      </c>
      <c r="U2685" s="9">
        <f>IF(Q2685="비교",ABS(P2685)+ROW()/1000000000,"")</f>
        <v/>
      </c>
      <c r="V2685" s="64">
        <f>IF($A2685="","",IF(COUNTIF(변동분석!$E$7:$E$506,O2685)&gt;0,"Y","N"))</f>
        <v/>
      </c>
      <c r="W2685" s="64">
        <f>IF($A2685="","",IFERROR(INDEX(계정매핑!$D$5:$D$504,MATCH($F2685&amp;"",계정매핑!$A$5:$A$504,0)),"미매핑"))</f>
        <v/>
      </c>
      <c r="X2685" s="9">
        <f>IF($A2685="","",$F2685&amp;"")</f>
        <v/>
      </c>
      <c r="Y2685" s="94">
        <f>IF($A2685="",0,IF(AE2685="직접",IF(AF2685="비귀속",$P2685,0),$P2685*(1-AG2685)*IFERROR(INDEX(계정대체기준!$F$20:$F$49,MATCH($N2685,계정대체기준!$A$20:$A$49,0)),1)))</f>
        <v/>
      </c>
      <c r="Z2685" s="94">
        <f>IF($A2685="",0,IF(AE2685="직접",IF(AF2685="신계약비",$P2685,0),$P2685*(1-AG2685)*IFERROR(INDEX(계정대체기준!$C$20:$C$49,MATCH($N2685,계정대체기준!$A$20:$A$49,0)),0)))</f>
        <v/>
      </c>
      <c r="AA2685" s="94">
        <f>IF($A2685="",0,IF(AE2685="직접",IF(OR(AF2685="유지비",AF2685="손해조사비"),$P2685,0),$P2685*(1-AG2685)*IFERROR(INDEX(계정대체기준!$D$20:$D$49,MATCH($N2685,계정대체기준!$A$20:$A$49,0)),0)))</f>
        <v/>
      </c>
      <c r="AB2685" s="94">
        <f>IF($A2685="",0,IF(AE2685="직접",IF(AF2685="수금비",$P2685,0),$P2685*(1-AG2685)*IFERROR(INDEX(계정대체기준!$E$20:$E$49,MATCH($N2685,계정대체기준!$A$20:$A$49,0)),0)))</f>
        <v/>
      </c>
      <c r="AC2685" s="9">
        <f>IF(AND($A2685&lt;&gt;"",M2685=설정!$C$20,Z2685&gt;0),Z2685+ROW()/1000000000,"")</f>
        <v/>
      </c>
      <c r="AD2685" s="94">
        <f>IF($A2685="",0,$P2685*AG2685)</f>
        <v/>
      </c>
      <c r="AE2685" s="64">
        <f>IF($A2685="","",IFERROR(INDEX(계정매핑!$E$5:$E$504,MATCH($F2685&amp;"",계정매핑!$A$5:$A$504,0))&amp;"","공통비"))</f>
        <v/>
      </c>
      <c r="AF2685" s="64">
        <f>IF($A2685="","",IF(AE2685="직접",IFERROR(INDEX(계정매핑!$F$5:$F$504,MATCH($F2685&amp;"",계정매핑!$A$5:$A$504,0))&amp;"","비귀속"),""))</f>
        <v/>
      </c>
      <c r="AG2685" s="96">
        <f>IF($A2685="",0,IF(AND(AE2685&lt;&gt;"직접",IFERROR(INDEX(계정매핑!$G$5:$G$504,MATCH($F2685&amp;"",계정매핑!$A$5:$A$504,0))&amp;"","")="유지비",COUNTIF(계정대체기준!$A$6:$A$15,$N2685)&gt;0),IFERROR(INDEX(계정대체기준!$E$6:$E$15,MATCH(VALUE($A2685&amp;""),계정대체기준!$D$6:$D$15,0)),0),0))</f>
        <v/>
      </c>
      <c r="AH2685" s="64">
        <f>IF($A2685="","",IF(AD2685=0,"",IF(OR(COUNTIF(계정대체기준!$A$77:$A$86,$N2685)&gt;0,ISNUMBER(MATCH($X2685,계정대체기준!$D$77:$D$86,0)),ISNUMBER(MATCH($F2685,계정대체기준!$D$77:$D$86,0))),"Y","N")))</f>
        <v/>
      </c>
    </row>
    <row r="2686">
      <c r="A2686" s="92" t="n">
        <v>2025</v>
      </c>
      <c r="B2686" s="92" t="n">
        <v>12</v>
      </c>
      <c r="C2686" s="92" t="inlineStr">
        <is>
          <t>5100002682</t>
        </is>
      </c>
      <c r="D2686" s="95" t="n">
        <v>46015</v>
      </c>
      <c r="E2686" s="92" t="inlineStr">
        <is>
          <t>KR</t>
        </is>
      </c>
      <c r="F2686" s="92" t="n">
        <v>62301000</v>
      </c>
      <c r="G2686" s="92" t="n">
        <v>1401</v>
      </c>
      <c r="H2686" s="93" t="n">
        <v>57000</v>
      </c>
      <c r="I2686" s="92" t="inlineStr">
        <is>
          <t>12월 소모품 구입 - R문구</t>
        </is>
      </c>
      <c r="J2686" s="92" t="inlineStr">
        <is>
          <t>V10022</t>
        </is>
      </c>
      <c r="K2686" s="92" t="inlineStr">
        <is>
          <t>R문구</t>
        </is>
      </c>
      <c r="M2686" s="9">
        <f>IF($A2686="","",VALUE($A2686&amp;"")*12+VALUE($B2686&amp;""))</f>
        <v/>
      </c>
      <c r="N2686" s="64">
        <f>IF($A2686="","",IFERROR(INDEX(부서매핑!$C$5:$C$504,MATCH($G2686&amp;"",부서매핑!$A$5:$A$504,0)),"미매핑"))</f>
        <v/>
      </c>
      <c r="O2686" s="9">
        <f>IF($A2686="","",N2686&amp;"|"&amp;$F2686)</f>
        <v/>
      </c>
      <c r="P2686" s="94">
        <f>IF($A2686="",0,$H2686*설정!$C$23)</f>
        <v/>
      </c>
      <c r="Q2686" s="64">
        <f>IF($A2686="","",IF(O2686&lt;&gt;원인분석!$C$9,"",IF(AND(M2686&gt;=원인분석!$C$10,M2686&lt;=원인분석!$C$11),"당기",IF(AND(M2686&gt;=원인분석!$C$12,M2686&lt;=원인분석!$C$13),"비교",""))))</f>
        <v/>
      </c>
      <c r="R2686" s="9">
        <f>IF(Q2686="","",$K2686&amp;"")</f>
        <v/>
      </c>
      <c r="S2686" s="9">
        <f>IF(Q2686="","",IF(MATCH(R2686,$R$5:$R$100000,0)=ROW()-4,ROW(),""))</f>
        <v/>
      </c>
      <c r="T2686" s="9">
        <f>IF(Q2686="당기",ABS(P2686)+ROW()/1000000000,"")</f>
        <v/>
      </c>
      <c r="U2686" s="9">
        <f>IF(Q2686="비교",ABS(P2686)+ROW()/1000000000,"")</f>
        <v/>
      </c>
      <c r="V2686" s="64">
        <f>IF($A2686="","",IF(COUNTIF(변동분석!$E$7:$E$506,O2686)&gt;0,"Y","N"))</f>
        <v/>
      </c>
      <c r="W2686" s="64">
        <f>IF($A2686="","",IFERROR(INDEX(계정매핑!$D$5:$D$504,MATCH($F2686&amp;"",계정매핑!$A$5:$A$504,0)),"미매핑"))</f>
        <v/>
      </c>
      <c r="X2686" s="9">
        <f>IF($A2686="","",$F2686&amp;"")</f>
        <v/>
      </c>
      <c r="Y2686" s="94">
        <f>IF($A2686="",0,IF(AE2686="직접",IF(AF2686="비귀속",$P2686,0),$P2686*(1-AG2686)*IFERROR(INDEX(계정대체기준!$F$20:$F$49,MATCH($N2686,계정대체기준!$A$20:$A$49,0)),1)))</f>
        <v/>
      </c>
      <c r="Z2686" s="94">
        <f>IF($A2686="",0,IF(AE2686="직접",IF(AF2686="신계약비",$P2686,0),$P2686*(1-AG2686)*IFERROR(INDEX(계정대체기준!$C$20:$C$49,MATCH($N2686,계정대체기준!$A$20:$A$49,0)),0)))</f>
        <v/>
      </c>
      <c r="AA2686" s="94">
        <f>IF($A2686="",0,IF(AE2686="직접",IF(OR(AF2686="유지비",AF2686="손해조사비"),$P2686,0),$P2686*(1-AG2686)*IFERROR(INDEX(계정대체기준!$D$20:$D$49,MATCH($N2686,계정대체기준!$A$20:$A$49,0)),0)))</f>
        <v/>
      </c>
      <c r="AB2686" s="94">
        <f>IF($A2686="",0,IF(AE2686="직접",IF(AF2686="수금비",$P2686,0),$P2686*(1-AG2686)*IFERROR(INDEX(계정대체기준!$E$20:$E$49,MATCH($N2686,계정대체기준!$A$20:$A$49,0)),0)))</f>
        <v/>
      </c>
      <c r="AC2686" s="9">
        <f>IF(AND($A2686&lt;&gt;"",M2686=설정!$C$20,Z2686&gt;0),Z2686+ROW()/1000000000,"")</f>
        <v/>
      </c>
      <c r="AD2686" s="94">
        <f>IF($A2686="",0,$P2686*AG2686)</f>
        <v/>
      </c>
      <c r="AE2686" s="64">
        <f>IF($A2686="","",IFERROR(INDEX(계정매핑!$E$5:$E$504,MATCH($F2686&amp;"",계정매핑!$A$5:$A$504,0))&amp;"","공통비"))</f>
        <v/>
      </c>
      <c r="AF2686" s="64">
        <f>IF($A2686="","",IF(AE2686="직접",IFERROR(INDEX(계정매핑!$F$5:$F$504,MATCH($F2686&amp;"",계정매핑!$A$5:$A$504,0))&amp;"","비귀속"),""))</f>
        <v/>
      </c>
      <c r="AG2686" s="96">
        <f>IF($A2686="",0,IF(AND(AE2686&lt;&gt;"직접",IFERROR(INDEX(계정매핑!$G$5:$G$504,MATCH($F2686&amp;"",계정매핑!$A$5:$A$504,0))&amp;"","")="유지비",COUNTIF(계정대체기준!$A$6:$A$15,$N2686)&gt;0),IFERROR(INDEX(계정대체기준!$E$6:$E$15,MATCH(VALUE($A2686&amp;""),계정대체기준!$D$6:$D$15,0)),0),0))</f>
        <v/>
      </c>
      <c r="AH2686" s="64">
        <f>IF($A2686="","",IF(AD2686=0,"",IF(OR(COUNTIF(계정대체기준!$A$77:$A$86,$N2686)&gt;0,ISNUMBER(MATCH($X2686,계정대체기준!$D$77:$D$86,0)),ISNUMBER(MATCH($F2686,계정대체기준!$D$77:$D$86,0))),"Y","N")))</f>
        <v/>
      </c>
    </row>
    <row r="2687">
      <c r="A2687" s="92" t="n">
        <v>2025</v>
      </c>
      <c r="B2687" s="92" t="n">
        <v>12</v>
      </c>
      <c r="C2687" s="92" t="inlineStr">
        <is>
          <t>5100002683</t>
        </is>
      </c>
      <c r="D2687" s="95" t="n">
        <v>46015</v>
      </c>
      <c r="E2687" s="92" t="inlineStr">
        <is>
          <t>KR</t>
        </is>
      </c>
      <c r="F2687" s="92" t="n">
        <v>62601000</v>
      </c>
      <c r="G2687" s="92" t="n">
        <v>1502</v>
      </c>
      <c r="H2687" s="93" t="n">
        <v>1144000</v>
      </c>
      <c r="I2687" s="92" t="inlineStr">
        <is>
          <t>12월 업무추진 - (법인카드)</t>
        </is>
      </c>
      <c r="J2687" s="92" t="inlineStr">
        <is>
          <t>V10010</t>
        </is>
      </c>
      <c r="K2687" s="92" t="inlineStr">
        <is>
          <t>(법인카드)</t>
        </is>
      </c>
      <c r="M2687" s="9">
        <f>IF($A2687="","",VALUE($A2687&amp;"")*12+VALUE($B2687&amp;""))</f>
        <v/>
      </c>
      <c r="N2687" s="64">
        <f>IF($A2687="","",IFERROR(INDEX(부서매핑!$C$5:$C$504,MATCH($G2687&amp;"",부서매핑!$A$5:$A$504,0)),"미매핑"))</f>
        <v/>
      </c>
      <c r="O2687" s="9">
        <f>IF($A2687="","",N2687&amp;"|"&amp;$F2687)</f>
        <v/>
      </c>
      <c r="P2687" s="94">
        <f>IF($A2687="",0,$H2687*설정!$C$23)</f>
        <v/>
      </c>
      <c r="Q2687" s="64">
        <f>IF($A2687="","",IF(O2687&lt;&gt;원인분석!$C$9,"",IF(AND(M2687&gt;=원인분석!$C$10,M2687&lt;=원인분석!$C$11),"당기",IF(AND(M2687&gt;=원인분석!$C$12,M2687&lt;=원인분석!$C$13),"비교",""))))</f>
        <v/>
      </c>
      <c r="R2687" s="9">
        <f>IF(Q2687="","",$K2687&amp;"")</f>
        <v/>
      </c>
      <c r="S2687" s="9">
        <f>IF(Q2687="","",IF(MATCH(R2687,$R$5:$R$100000,0)=ROW()-4,ROW(),""))</f>
        <v/>
      </c>
      <c r="T2687" s="9">
        <f>IF(Q2687="당기",ABS(P2687)+ROW()/1000000000,"")</f>
        <v/>
      </c>
      <c r="U2687" s="9">
        <f>IF(Q2687="비교",ABS(P2687)+ROW()/1000000000,"")</f>
        <v/>
      </c>
      <c r="V2687" s="64">
        <f>IF($A2687="","",IF(COUNTIF(변동분석!$E$7:$E$506,O2687)&gt;0,"Y","N"))</f>
        <v/>
      </c>
      <c r="W2687" s="64">
        <f>IF($A2687="","",IFERROR(INDEX(계정매핑!$D$5:$D$504,MATCH($F2687&amp;"",계정매핑!$A$5:$A$504,0)),"미매핑"))</f>
        <v/>
      </c>
      <c r="X2687" s="9">
        <f>IF($A2687="","",$F2687&amp;"")</f>
        <v/>
      </c>
      <c r="Y2687" s="94">
        <f>IF($A2687="",0,IF(AE2687="직접",IF(AF2687="비귀속",$P2687,0),$P2687*(1-AG2687)*IFERROR(INDEX(계정대체기준!$F$20:$F$49,MATCH($N2687,계정대체기준!$A$20:$A$49,0)),1)))</f>
        <v/>
      </c>
      <c r="Z2687" s="94">
        <f>IF($A2687="",0,IF(AE2687="직접",IF(AF2687="신계약비",$P2687,0),$P2687*(1-AG2687)*IFERROR(INDEX(계정대체기준!$C$20:$C$49,MATCH($N2687,계정대체기준!$A$20:$A$49,0)),0)))</f>
        <v/>
      </c>
      <c r="AA2687" s="94">
        <f>IF($A2687="",0,IF(AE2687="직접",IF(OR(AF2687="유지비",AF2687="손해조사비"),$P2687,0),$P2687*(1-AG2687)*IFERROR(INDEX(계정대체기준!$D$20:$D$49,MATCH($N2687,계정대체기준!$A$20:$A$49,0)),0)))</f>
        <v/>
      </c>
      <c r="AB2687" s="94">
        <f>IF($A2687="",0,IF(AE2687="직접",IF(AF2687="수금비",$P2687,0),$P2687*(1-AG2687)*IFERROR(INDEX(계정대체기준!$E$20:$E$49,MATCH($N2687,계정대체기준!$A$20:$A$49,0)),0)))</f>
        <v/>
      </c>
      <c r="AC2687" s="9">
        <f>IF(AND($A2687&lt;&gt;"",M2687=설정!$C$20,Z2687&gt;0),Z2687+ROW()/1000000000,"")</f>
        <v/>
      </c>
      <c r="AD2687" s="94">
        <f>IF($A2687="",0,$P2687*AG2687)</f>
        <v/>
      </c>
      <c r="AE2687" s="64">
        <f>IF($A2687="","",IFERROR(INDEX(계정매핑!$E$5:$E$504,MATCH($F2687&amp;"",계정매핑!$A$5:$A$504,0))&amp;"","공통비"))</f>
        <v/>
      </c>
      <c r="AF2687" s="64">
        <f>IF($A2687="","",IF(AE2687="직접",IFERROR(INDEX(계정매핑!$F$5:$F$504,MATCH($F2687&amp;"",계정매핑!$A$5:$A$504,0))&amp;"","비귀속"),""))</f>
        <v/>
      </c>
      <c r="AG2687" s="96">
        <f>IF($A2687="",0,IF(AND(AE2687&lt;&gt;"직접",IFERROR(INDEX(계정매핑!$G$5:$G$504,MATCH($F2687&amp;"",계정매핑!$A$5:$A$504,0))&amp;"","")="유지비",COUNTIF(계정대체기준!$A$6:$A$15,$N2687)&gt;0),IFERROR(INDEX(계정대체기준!$E$6:$E$15,MATCH(VALUE($A2687&amp;""),계정대체기준!$D$6:$D$15,0)),0),0))</f>
        <v/>
      </c>
      <c r="AH2687" s="64">
        <f>IF($A2687="","",IF(AD2687=0,"",IF(OR(COUNTIF(계정대체기준!$A$77:$A$86,$N2687)&gt;0,ISNUMBER(MATCH($X2687,계정대체기준!$D$77:$D$86,0)),ISNUMBER(MATCH($F2687,계정대체기준!$D$77:$D$86,0))),"Y","N")))</f>
        <v/>
      </c>
    </row>
    <row r="2688">
      <c r="A2688" s="92" t="n">
        <v>2025</v>
      </c>
      <c r="B2688" s="92" t="n">
        <v>12</v>
      </c>
      <c r="C2688" s="92" t="inlineStr">
        <is>
          <t>5100002684</t>
        </is>
      </c>
      <c r="D2688" s="95" t="n">
        <v>46015</v>
      </c>
      <c r="E2688" s="92" t="inlineStr">
        <is>
          <t>KR</t>
        </is>
      </c>
      <c r="F2688" s="92" t="n">
        <v>62601000</v>
      </c>
      <c r="G2688" s="92" t="n">
        <v>1601</v>
      </c>
      <c r="H2688" s="93" t="n">
        <v>1496000</v>
      </c>
      <c r="I2688" s="92" t="inlineStr">
        <is>
          <t>12월 업무추진 - (법인카드)</t>
        </is>
      </c>
      <c r="J2688" s="92" t="inlineStr">
        <is>
          <t>V10010</t>
        </is>
      </c>
      <c r="K2688" s="92" t="inlineStr">
        <is>
          <t>(법인카드)</t>
        </is>
      </c>
      <c r="M2688" s="9">
        <f>IF($A2688="","",VALUE($A2688&amp;"")*12+VALUE($B2688&amp;""))</f>
        <v/>
      </c>
      <c r="N2688" s="64">
        <f>IF($A2688="","",IFERROR(INDEX(부서매핑!$C$5:$C$504,MATCH($G2688&amp;"",부서매핑!$A$5:$A$504,0)),"미매핑"))</f>
        <v/>
      </c>
      <c r="O2688" s="9">
        <f>IF($A2688="","",N2688&amp;"|"&amp;$F2688)</f>
        <v/>
      </c>
      <c r="P2688" s="94">
        <f>IF($A2688="",0,$H2688*설정!$C$23)</f>
        <v/>
      </c>
      <c r="Q2688" s="64">
        <f>IF($A2688="","",IF(O2688&lt;&gt;원인분석!$C$9,"",IF(AND(M2688&gt;=원인분석!$C$10,M2688&lt;=원인분석!$C$11),"당기",IF(AND(M2688&gt;=원인분석!$C$12,M2688&lt;=원인분석!$C$13),"비교",""))))</f>
        <v/>
      </c>
      <c r="R2688" s="9">
        <f>IF(Q2688="","",$K2688&amp;"")</f>
        <v/>
      </c>
      <c r="S2688" s="9">
        <f>IF(Q2688="","",IF(MATCH(R2688,$R$5:$R$100000,0)=ROW()-4,ROW(),""))</f>
        <v/>
      </c>
      <c r="T2688" s="9">
        <f>IF(Q2688="당기",ABS(P2688)+ROW()/1000000000,"")</f>
        <v/>
      </c>
      <c r="U2688" s="9">
        <f>IF(Q2688="비교",ABS(P2688)+ROW()/1000000000,"")</f>
        <v/>
      </c>
      <c r="V2688" s="64">
        <f>IF($A2688="","",IF(COUNTIF(변동분석!$E$7:$E$506,O2688)&gt;0,"Y","N"))</f>
        <v/>
      </c>
      <c r="W2688" s="64">
        <f>IF($A2688="","",IFERROR(INDEX(계정매핑!$D$5:$D$504,MATCH($F2688&amp;"",계정매핑!$A$5:$A$504,0)),"미매핑"))</f>
        <v/>
      </c>
      <c r="X2688" s="9">
        <f>IF($A2688="","",$F2688&amp;"")</f>
        <v/>
      </c>
      <c r="Y2688" s="94">
        <f>IF($A2688="",0,IF(AE2688="직접",IF(AF2688="비귀속",$P2688,0),$P2688*(1-AG2688)*IFERROR(INDEX(계정대체기준!$F$20:$F$49,MATCH($N2688,계정대체기준!$A$20:$A$49,0)),1)))</f>
        <v/>
      </c>
      <c r="Z2688" s="94">
        <f>IF($A2688="",0,IF(AE2688="직접",IF(AF2688="신계약비",$P2688,0),$P2688*(1-AG2688)*IFERROR(INDEX(계정대체기준!$C$20:$C$49,MATCH($N2688,계정대체기준!$A$20:$A$49,0)),0)))</f>
        <v/>
      </c>
      <c r="AA2688" s="94">
        <f>IF($A2688="",0,IF(AE2688="직접",IF(OR(AF2688="유지비",AF2688="손해조사비"),$P2688,0),$P2688*(1-AG2688)*IFERROR(INDEX(계정대체기준!$D$20:$D$49,MATCH($N2688,계정대체기준!$A$20:$A$49,0)),0)))</f>
        <v/>
      </c>
      <c r="AB2688" s="94">
        <f>IF($A2688="",0,IF(AE2688="직접",IF(AF2688="수금비",$P2688,0),$P2688*(1-AG2688)*IFERROR(INDEX(계정대체기준!$E$20:$E$49,MATCH($N2688,계정대체기준!$A$20:$A$49,0)),0)))</f>
        <v/>
      </c>
      <c r="AC2688" s="9">
        <f>IF(AND($A2688&lt;&gt;"",M2688=설정!$C$20,Z2688&gt;0),Z2688+ROW()/1000000000,"")</f>
        <v/>
      </c>
      <c r="AD2688" s="94">
        <f>IF($A2688="",0,$P2688*AG2688)</f>
        <v/>
      </c>
      <c r="AE2688" s="64">
        <f>IF($A2688="","",IFERROR(INDEX(계정매핑!$E$5:$E$504,MATCH($F2688&amp;"",계정매핑!$A$5:$A$504,0))&amp;"","공통비"))</f>
        <v/>
      </c>
      <c r="AF2688" s="64">
        <f>IF($A2688="","",IF(AE2688="직접",IFERROR(INDEX(계정매핑!$F$5:$F$504,MATCH($F2688&amp;"",계정매핑!$A$5:$A$504,0))&amp;"","비귀속"),""))</f>
        <v/>
      </c>
      <c r="AG2688" s="96">
        <f>IF($A2688="",0,IF(AND(AE2688&lt;&gt;"직접",IFERROR(INDEX(계정매핑!$G$5:$G$504,MATCH($F2688&amp;"",계정매핑!$A$5:$A$504,0))&amp;"","")="유지비",COUNTIF(계정대체기준!$A$6:$A$15,$N2688)&gt;0),IFERROR(INDEX(계정대체기준!$E$6:$E$15,MATCH(VALUE($A2688&amp;""),계정대체기준!$D$6:$D$15,0)),0),0))</f>
        <v/>
      </c>
      <c r="AH2688" s="64">
        <f>IF($A2688="","",IF(AD2688=0,"",IF(OR(COUNTIF(계정대체기준!$A$77:$A$86,$N2688)&gt;0,ISNUMBER(MATCH($X2688,계정대체기준!$D$77:$D$86,0)),ISNUMBER(MATCH($F2688,계정대체기준!$D$77:$D$86,0))),"Y","N")))</f>
        <v/>
      </c>
    </row>
    <row r="2689">
      <c r="A2689" s="92" t="n">
        <v>2025</v>
      </c>
      <c r="B2689" s="92" t="n">
        <v>12</v>
      </c>
      <c r="C2689" s="92" t="inlineStr">
        <is>
          <t>5100002685</t>
        </is>
      </c>
      <c r="D2689" s="95" t="n">
        <v>46015</v>
      </c>
      <c r="E2689" s="92" t="inlineStr">
        <is>
          <t>KR</t>
        </is>
      </c>
      <c r="F2689" s="92" t="n">
        <v>62701000</v>
      </c>
      <c r="G2689" s="92" t="n">
        <v>1501</v>
      </c>
      <c r="H2689" s="93" t="n">
        <v>79502000</v>
      </c>
      <c r="I2689" s="92" t="inlineStr">
        <is>
          <t>12월 광고 집행 - E미디어</t>
        </is>
      </c>
      <c r="J2689" s="92" t="inlineStr">
        <is>
          <t>V10033</t>
        </is>
      </c>
      <c r="K2689" s="92" t="inlineStr">
        <is>
          <t>E미디어</t>
        </is>
      </c>
      <c r="M2689" s="9">
        <f>IF($A2689="","",VALUE($A2689&amp;"")*12+VALUE($B2689&amp;""))</f>
        <v/>
      </c>
      <c r="N2689" s="64">
        <f>IF($A2689="","",IFERROR(INDEX(부서매핑!$C$5:$C$504,MATCH($G2689&amp;"",부서매핑!$A$5:$A$504,0)),"미매핑"))</f>
        <v/>
      </c>
      <c r="O2689" s="9">
        <f>IF($A2689="","",N2689&amp;"|"&amp;$F2689)</f>
        <v/>
      </c>
      <c r="P2689" s="94">
        <f>IF($A2689="",0,$H2689*설정!$C$23)</f>
        <v/>
      </c>
      <c r="Q2689" s="64">
        <f>IF($A2689="","",IF(O2689&lt;&gt;원인분석!$C$9,"",IF(AND(M2689&gt;=원인분석!$C$10,M2689&lt;=원인분석!$C$11),"당기",IF(AND(M2689&gt;=원인분석!$C$12,M2689&lt;=원인분석!$C$13),"비교",""))))</f>
        <v/>
      </c>
      <c r="R2689" s="9">
        <f>IF(Q2689="","",$K2689&amp;"")</f>
        <v/>
      </c>
      <c r="S2689" s="9">
        <f>IF(Q2689="","",IF(MATCH(R2689,$R$5:$R$100000,0)=ROW()-4,ROW(),""))</f>
        <v/>
      </c>
      <c r="T2689" s="9">
        <f>IF(Q2689="당기",ABS(P2689)+ROW()/1000000000,"")</f>
        <v/>
      </c>
      <c r="U2689" s="9">
        <f>IF(Q2689="비교",ABS(P2689)+ROW()/1000000000,"")</f>
        <v/>
      </c>
      <c r="V2689" s="64">
        <f>IF($A2689="","",IF(COUNTIF(변동분석!$E$7:$E$506,O2689)&gt;0,"Y","N"))</f>
        <v/>
      </c>
      <c r="W2689" s="64">
        <f>IF($A2689="","",IFERROR(INDEX(계정매핑!$D$5:$D$504,MATCH($F2689&amp;"",계정매핑!$A$5:$A$504,0)),"미매핑"))</f>
        <v/>
      </c>
      <c r="X2689" s="9">
        <f>IF($A2689="","",$F2689&amp;"")</f>
        <v/>
      </c>
      <c r="Y2689" s="94">
        <f>IF($A2689="",0,IF(AE2689="직접",IF(AF2689="비귀속",$P2689,0),$P2689*(1-AG2689)*IFERROR(INDEX(계정대체기준!$F$20:$F$49,MATCH($N2689,계정대체기준!$A$20:$A$49,0)),1)))</f>
        <v/>
      </c>
      <c r="Z2689" s="94">
        <f>IF($A2689="",0,IF(AE2689="직접",IF(AF2689="신계약비",$P2689,0),$P2689*(1-AG2689)*IFERROR(INDEX(계정대체기준!$C$20:$C$49,MATCH($N2689,계정대체기준!$A$20:$A$49,0)),0)))</f>
        <v/>
      </c>
      <c r="AA2689" s="94">
        <f>IF($A2689="",0,IF(AE2689="직접",IF(OR(AF2689="유지비",AF2689="손해조사비"),$P2689,0),$P2689*(1-AG2689)*IFERROR(INDEX(계정대체기준!$D$20:$D$49,MATCH($N2689,계정대체기준!$A$20:$A$49,0)),0)))</f>
        <v/>
      </c>
      <c r="AB2689" s="94">
        <f>IF($A2689="",0,IF(AE2689="직접",IF(AF2689="수금비",$P2689,0),$P2689*(1-AG2689)*IFERROR(INDEX(계정대체기준!$E$20:$E$49,MATCH($N2689,계정대체기준!$A$20:$A$49,0)),0)))</f>
        <v/>
      </c>
      <c r="AC2689" s="9">
        <f>IF(AND($A2689&lt;&gt;"",M2689=설정!$C$20,Z2689&gt;0),Z2689+ROW()/1000000000,"")</f>
        <v/>
      </c>
      <c r="AD2689" s="94">
        <f>IF($A2689="",0,$P2689*AG2689)</f>
        <v/>
      </c>
      <c r="AE2689" s="64">
        <f>IF($A2689="","",IFERROR(INDEX(계정매핑!$E$5:$E$504,MATCH($F2689&amp;"",계정매핑!$A$5:$A$504,0))&amp;"","공통비"))</f>
        <v/>
      </c>
      <c r="AF2689" s="64">
        <f>IF($A2689="","",IF(AE2689="직접",IFERROR(INDEX(계정매핑!$F$5:$F$504,MATCH($F2689&amp;"",계정매핑!$A$5:$A$504,0))&amp;"","비귀속"),""))</f>
        <v/>
      </c>
      <c r="AG2689" s="96">
        <f>IF($A2689="",0,IF(AND(AE2689&lt;&gt;"직접",IFERROR(INDEX(계정매핑!$G$5:$G$504,MATCH($F2689&amp;"",계정매핑!$A$5:$A$504,0))&amp;"","")="유지비",COUNTIF(계정대체기준!$A$6:$A$15,$N2689)&gt;0),IFERROR(INDEX(계정대체기준!$E$6:$E$15,MATCH(VALUE($A2689&amp;""),계정대체기준!$D$6:$D$15,0)),0),0))</f>
        <v/>
      </c>
      <c r="AH2689" s="64">
        <f>IF($A2689="","",IF(AD2689=0,"",IF(OR(COUNTIF(계정대체기준!$A$77:$A$86,$N2689)&gt;0,ISNUMBER(MATCH($X2689,계정대체기준!$D$77:$D$86,0)),ISNUMBER(MATCH($F2689,계정대체기준!$D$77:$D$86,0))),"Y","N")))</f>
        <v/>
      </c>
    </row>
    <row r="2690">
      <c r="A2690" s="92" t="n">
        <v>2025</v>
      </c>
      <c r="B2690" s="92" t="n">
        <v>12</v>
      </c>
      <c r="C2690" s="92" t="inlineStr">
        <is>
          <t>5100002686</t>
        </is>
      </c>
      <c r="D2690" s="95" t="n">
        <v>46015</v>
      </c>
      <c r="E2690" s="92" t="inlineStr">
        <is>
          <t>KR</t>
        </is>
      </c>
      <c r="F2690" s="92" t="n">
        <v>62902000</v>
      </c>
      <c r="G2690" s="92" t="n">
        <v>1201</v>
      </c>
      <c r="H2690" s="93" t="n">
        <v>3739000</v>
      </c>
      <c r="I2690" s="92" t="inlineStr">
        <is>
          <t>12월 업무 위탁 수수료 - X서비스</t>
        </is>
      </c>
      <c r="J2690" s="92" t="inlineStr">
        <is>
          <t>V10020</t>
        </is>
      </c>
      <c r="K2690" s="92" t="inlineStr">
        <is>
          <t>X서비스</t>
        </is>
      </c>
      <c r="M2690" s="9">
        <f>IF($A2690="","",VALUE($A2690&amp;"")*12+VALUE($B2690&amp;""))</f>
        <v/>
      </c>
      <c r="N2690" s="64">
        <f>IF($A2690="","",IFERROR(INDEX(부서매핑!$C$5:$C$504,MATCH($G2690&amp;"",부서매핑!$A$5:$A$504,0)),"미매핑"))</f>
        <v/>
      </c>
      <c r="O2690" s="9">
        <f>IF($A2690="","",N2690&amp;"|"&amp;$F2690)</f>
        <v/>
      </c>
      <c r="P2690" s="94">
        <f>IF($A2690="",0,$H2690*설정!$C$23)</f>
        <v/>
      </c>
      <c r="Q2690" s="64">
        <f>IF($A2690="","",IF(O2690&lt;&gt;원인분석!$C$9,"",IF(AND(M2690&gt;=원인분석!$C$10,M2690&lt;=원인분석!$C$11),"당기",IF(AND(M2690&gt;=원인분석!$C$12,M2690&lt;=원인분석!$C$13),"비교",""))))</f>
        <v/>
      </c>
      <c r="R2690" s="9">
        <f>IF(Q2690="","",$K2690&amp;"")</f>
        <v/>
      </c>
      <c r="S2690" s="9">
        <f>IF(Q2690="","",IF(MATCH(R2690,$R$5:$R$100000,0)=ROW()-4,ROW(),""))</f>
        <v/>
      </c>
      <c r="T2690" s="9">
        <f>IF(Q2690="당기",ABS(P2690)+ROW()/1000000000,"")</f>
        <v/>
      </c>
      <c r="U2690" s="9">
        <f>IF(Q2690="비교",ABS(P2690)+ROW()/1000000000,"")</f>
        <v/>
      </c>
      <c r="V2690" s="64">
        <f>IF($A2690="","",IF(COUNTIF(변동분석!$E$7:$E$506,O2690)&gt;0,"Y","N"))</f>
        <v/>
      </c>
      <c r="W2690" s="64">
        <f>IF($A2690="","",IFERROR(INDEX(계정매핑!$D$5:$D$504,MATCH($F2690&amp;"",계정매핑!$A$5:$A$504,0)),"미매핑"))</f>
        <v/>
      </c>
      <c r="X2690" s="9">
        <f>IF($A2690="","",$F2690&amp;"")</f>
        <v/>
      </c>
      <c r="Y2690" s="94">
        <f>IF($A2690="",0,IF(AE2690="직접",IF(AF2690="비귀속",$P2690,0),$P2690*(1-AG2690)*IFERROR(INDEX(계정대체기준!$F$20:$F$49,MATCH($N2690,계정대체기준!$A$20:$A$49,0)),1)))</f>
        <v/>
      </c>
      <c r="Z2690" s="94">
        <f>IF($A2690="",0,IF(AE2690="직접",IF(AF2690="신계약비",$P2690,0),$P2690*(1-AG2690)*IFERROR(INDEX(계정대체기준!$C$20:$C$49,MATCH($N2690,계정대체기준!$A$20:$A$49,0)),0)))</f>
        <v/>
      </c>
      <c r="AA2690" s="94">
        <f>IF($A2690="",0,IF(AE2690="직접",IF(OR(AF2690="유지비",AF2690="손해조사비"),$P2690,0),$P2690*(1-AG2690)*IFERROR(INDEX(계정대체기준!$D$20:$D$49,MATCH($N2690,계정대체기준!$A$20:$A$49,0)),0)))</f>
        <v/>
      </c>
      <c r="AB2690" s="94">
        <f>IF($A2690="",0,IF(AE2690="직접",IF(AF2690="수금비",$P2690,0),$P2690*(1-AG2690)*IFERROR(INDEX(계정대체기준!$E$20:$E$49,MATCH($N2690,계정대체기준!$A$20:$A$49,0)),0)))</f>
        <v/>
      </c>
      <c r="AC2690" s="9">
        <f>IF(AND($A2690&lt;&gt;"",M2690=설정!$C$20,Z2690&gt;0),Z2690+ROW()/1000000000,"")</f>
        <v/>
      </c>
      <c r="AD2690" s="94">
        <f>IF($A2690="",0,$P2690*AG2690)</f>
        <v/>
      </c>
      <c r="AE2690" s="64">
        <f>IF($A2690="","",IFERROR(INDEX(계정매핑!$E$5:$E$504,MATCH($F2690&amp;"",계정매핑!$A$5:$A$504,0))&amp;"","공통비"))</f>
        <v/>
      </c>
      <c r="AF2690" s="64">
        <f>IF($A2690="","",IF(AE2690="직접",IFERROR(INDEX(계정매핑!$F$5:$F$504,MATCH($F2690&amp;"",계정매핑!$A$5:$A$504,0))&amp;"","비귀속"),""))</f>
        <v/>
      </c>
      <c r="AG2690" s="96">
        <f>IF($A2690="",0,IF(AND(AE2690&lt;&gt;"직접",IFERROR(INDEX(계정매핑!$G$5:$G$504,MATCH($F2690&amp;"",계정매핑!$A$5:$A$504,0))&amp;"","")="유지비",COUNTIF(계정대체기준!$A$6:$A$15,$N2690)&gt;0),IFERROR(INDEX(계정대체기준!$E$6:$E$15,MATCH(VALUE($A2690&amp;""),계정대체기준!$D$6:$D$15,0)),0),0))</f>
        <v/>
      </c>
      <c r="AH2690" s="64">
        <f>IF($A2690="","",IF(AD2690=0,"",IF(OR(COUNTIF(계정대체기준!$A$77:$A$86,$N2690)&gt;0,ISNUMBER(MATCH($X2690,계정대체기준!$D$77:$D$86,0)),ISNUMBER(MATCH($F2690,계정대체기준!$D$77:$D$86,0))),"Y","N")))</f>
        <v/>
      </c>
    </row>
    <row r="2691">
      <c r="A2691" s="92" t="n">
        <v>2025</v>
      </c>
      <c r="B2691" s="92" t="n">
        <v>12</v>
      </c>
      <c r="C2691" s="92" t="inlineStr">
        <is>
          <t>5100002687</t>
        </is>
      </c>
      <c r="D2691" s="95" t="n">
        <v>46016</v>
      </c>
      <c r="E2691" s="92" t="inlineStr">
        <is>
          <t>KR</t>
        </is>
      </c>
      <c r="F2691" s="92" t="n">
        <v>62101000</v>
      </c>
      <c r="G2691" s="92" t="n">
        <v>1301</v>
      </c>
      <c r="H2691" s="93" t="n">
        <v>571000</v>
      </c>
      <c r="I2691" s="92" t="inlineStr">
        <is>
          <t>12월 국내출장 - (법인카드)</t>
        </is>
      </c>
      <c r="J2691" s="92" t="inlineStr">
        <is>
          <t>V10010</t>
        </is>
      </c>
      <c r="K2691" s="92" t="inlineStr">
        <is>
          <t>(법인카드)</t>
        </is>
      </c>
      <c r="M2691" s="9">
        <f>IF($A2691="","",VALUE($A2691&amp;"")*12+VALUE($B2691&amp;""))</f>
        <v/>
      </c>
      <c r="N2691" s="64">
        <f>IF($A2691="","",IFERROR(INDEX(부서매핑!$C$5:$C$504,MATCH($G2691&amp;"",부서매핑!$A$5:$A$504,0)),"미매핑"))</f>
        <v/>
      </c>
      <c r="O2691" s="9">
        <f>IF($A2691="","",N2691&amp;"|"&amp;$F2691)</f>
        <v/>
      </c>
      <c r="P2691" s="94">
        <f>IF($A2691="",0,$H2691*설정!$C$23)</f>
        <v/>
      </c>
      <c r="Q2691" s="64">
        <f>IF($A2691="","",IF(O2691&lt;&gt;원인분석!$C$9,"",IF(AND(M2691&gt;=원인분석!$C$10,M2691&lt;=원인분석!$C$11),"당기",IF(AND(M2691&gt;=원인분석!$C$12,M2691&lt;=원인분석!$C$13),"비교",""))))</f>
        <v/>
      </c>
      <c r="R2691" s="9">
        <f>IF(Q2691="","",$K2691&amp;"")</f>
        <v/>
      </c>
      <c r="S2691" s="9">
        <f>IF(Q2691="","",IF(MATCH(R2691,$R$5:$R$100000,0)=ROW()-4,ROW(),""))</f>
        <v/>
      </c>
      <c r="T2691" s="9">
        <f>IF(Q2691="당기",ABS(P2691)+ROW()/1000000000,"")</f>
        <v/>
      </c>
      <c r="U2691" s="9">
        <f>IF(Q2691="비교",ABS(P2691)+ROW()/1000000000,"")</f>
        <v/>
      </c>
      <c r="V2691" s="64">
        <f>IF($A2691="","",IF(COUNTIF(변동분석!$E$7:$E$506,O2691)&gt;0,"Y","N"))</f>
        <v/>
      </c>
      <c r="W2691" s="64">
        <f>IF($A2691="","",IFERROR(INDEX(계정매핑!$D$5:$D$504,MATCH($F2691&amp;"",계정매핑!$A$5:$A$504,0)),"미매핑"))</f>
        <v/>
      </c>
      <c r="X2691" s="9">
        <f>IF($A2691="","",$F2691&amp;"")</f>
        <v/>
      </c>
      <c r="Y2691" s="94">
        <f>IF($A2691="",0,IF(AE2691="직접",IF(AF2691="비귀속",$P2691,0),$P2691*(1-AG2691)*IFERROR(INDEX(계정대체기준!$F$20:$F$49,MATCH($N2691,계정대체기준!$A$20:$A$49,0)),1)))</f>
        <v/>
      </c>
      <c r="Z2691" s="94">
        <f>IF($A2691="",0,IF(AE2691="직접",IF(AF2691="신계약비",$P2691,0),$P2691*(1-AG2691)*IFERROR(INDEX(계정대체기준!$C$20:$C$49,MATCH($N2691,계정대체기준!$A$20:$A$49,0)),0)))</f>
        <v/>
      </c>
      <c r="AA2691" s="94">
        <f>IF($A2691="",0,IF(AE2691="직접",IF(OR(AF2691="유지비",AF2691="손해조사비"),$P2691,0),$P2691*(1-AG2691)*IFERROR(INDEX(계정대체기준!$D$20:$D$49,MATCH($N2691,계정대체기준!$A$20:$A$49,0)),0)))</f>
        <v/>
      </c>
      <c r="AB2691" s="94">
        <f>IF($A2691="",0,IF(AE2691="직접",IF(AF2691="수금비",$P2691,0),$P2691*(1-AG2691)*IFERROR(INDEX(계정대체기준!$E$20:$E$49,MATCH($N2691,계정대체기준!$A$20:$A$49,0)),0)))</f>
        <v/>
      </c>
      <c r="AC2691" s="9">
        <f>IF(AND($A2691&lt;&gt;"",M2691=설정!$C$20,Z2691&gt;0),Z2691+ROW()/1000000000,"")</f>
        <v/>
      </c>
      <c r="AD2691" s="94">
        <f>IF($A2691="",0,$P2691*AG2691)</f>
        <v/>
      </c>
      <c r="AE2691" s="64">
        <f>IF($A2691="","",IFERROR(INDEX(계정매핑!$E$5:$E$504,MATCH($F2691&amp;"",계정매핑!$A$5:$A$504,0))&amp;"","공통비"))</f>
        <v/>
      </c>
      <c r="AF2691" s="64">
        <f>IF($A2691="","",IF(AE2691="직접",IFERROR(INDEX(계정매핑!$F$5:$F$504,MATCH($F2691&amp;"",계정매핑!$A$5:$A$504,0))&amp;"","비귀속"),""))</f>
        <v/>
      </c>
      <c r="AG2691" s="96">
        <f>IF($A2691="",0,IF(AND(AE2691&lt;&gt;"직접",IFERROR(INDEX(계정매핑!$G$5:$G$504,MATCH($F2691&amp;"",계정매핑!$A$5:$A$504,0))&amp;"","")="유지비",COUNTIF(계정대체기준!$A$6:$A$15,$N2691)&gt;0),IFERROR(INDEX(계정대체기준!$E$6:$E$15,MATCH(VALUE($A2691&amp;""),계정대체기준!$D$6:$D$15,0)),0),0))</f>
        <v/>
      </c>
      <c r="AH2691" s="64">
        <f>IF($A2691="","",IF(AD2691=0,"",IF(OR(COUNTIF(계정대체기준!$A$77:$A$86,$N2691)&gt;0,ISNUMBER(MATCH($X2691,계정대체기준!$D$77:$D$86,0)),ISNUMBER(MATCH($F2691,계정대체기준!$D$77:$D$86,0))),"Y","N")))</f>
        <v/>
      </c>
    </row>
    <row r="2692">
      <c r="A2692" s="92" t="n">
        <v>2025</v>
      </c>
      <c r="B2692" s="92" t="n">
        <v>12</v>
      </c>
      <c r="C2692" s="92" t="inlineStr">
        <is>
          <t>5100002688</t>
        </is>
      </c>
      <c r="D2692" s="95" t="n">
        <v>46016</v>
      </c>
      <c r="E2692" s="92" t="inlineStr">
        <is>
          <t>KR</t>
        </is>
      </c>
      <c r="F2692" s="92" t="n">
        <v>62101000</v>
      </c>
      <c r="G2692" s="92" t="n">
        <v>1501</v>
      </c>
      <c r="H2692" s="93" t="n">
        <v>423000</v>
      </c>
      <c r="I2692" s="92" t="inlineStr">
        <is>
          <t>12월 국내출장 - L여행사</t>
        </is>
      </c>
      <c r="J2692" s="92" t="inlineStr">
        <is>
          <t>V10018</t>
        </is>
      </c>
      <c r="K2692" s="92" t="inlineStr">
        <is>
          <t>L여행사</t>
        </is>
      </c>
      <c r="M2692" s="9">
        <f>IF($A2692="","",VALUE($A2692&amp;"")*12+VALUE($B2692&amp;""))</f>
        <v/>
      </c>
      <c r="N2692" s="64">
        <f>IF($A2692="","",IFERROR(INDEX(부서매핑!$C$5:$C$504,MATCH($G2692&amp;"",부서매핑!$A$5:$A$504,0)),"미매핑"))</f>
        <v/>
      </c>
      <c r="O2692" s="9">
        <f>IF($A2692="","",N2692&amp;"|"&amp;$F2692)</f>
        <v/>
      </c>
      <c r="P2692" s="94">
        <f>IF($A2692="",0,$H2692*설정!$C$23)</f>
        <v/>
      </c>
      <c r="Q2692" s="64">
        <f>IF($A2692="","",IF(O2692&lt;&gt;원인분석!$C$9,"",IF(AND(M2692&gt;=원인분석!$C$10,M2692&lt;=원인분석!$C$11),"당기",IF(AND(M2692&gt;=원인분석!$C$12,M2692&lt;=원인분석!$C$13),"비교",""))))</f>
        <v/>
      </c>
      <c r="R2692" s="9">
        <f>IF(Q2692="","",$K2692&amp;"")</f>
        <v/>
      </c>
      <c r="S2692" s="9">
        <f>IF(Q2692="","",IF(MATCH(R2692,$R$5:$R$100000,0)=ROW()-4,ROW(),""))</f>
        <v/>
      </c>
      <c r="T2692" s="9">
        <f>IF(Q2692="당기",ABS(P2692)+ROW()/1000000000,"")</f>
        <v/>
      </c>
      <c r="U2692" s="9">
        <f>IF(Q2692="비교",ABS(P2692)+ROW()/1000000000,"")</f>
        <v/>
      </c>
      <c r="V2692" s="64">
        <f>IF($A2692="","",IF(COUNTIF(변동분석!$E$7:$E$506,O2692)&gt;0,"Y","N"))</f>
        <v/>
      </c>
      <c r="W2692" s="64">
        <f>IF($A2692="","",IFERROR(INDEX(계정매핑!$D$5:$D$504,MATCH($F2692&amp;"",계정매핑!$A$5:$A$504,0)),"미매핑"))</f>
        <v/>
      </c>
      <c r="X2692" s="9">
        <f>IF($A2692="","",$F2692&amp;"")</f>
        <v/>
      </c>
      <c r="Y2692" s="94">
        <f>IF($A2692="",0,IF(AE2692="직접",IF(AF2692="비귀속",$P2692,0),$P2692*(1-AG2692)*IFERROR(INDEX(계정대체기준!$F$20:$F$49,MATCH($N2692,계정대체기준!$A$20:$A$49,0)),1)))</f>
        <v/>
      </c>
      <c r="Z2692" s="94">
        <f>IF($A2692="",0,IF(AE2692="직접",IF(AF2692="신계약비",$P2692,0),$P2692*(1-AG2692)*IFERROR(INDEX(계정대체기준!$C$20:$C$49,MATCH($N2692,계정대체기준!$A$20:$A$49,0)),0)))</f>
        <v/>
      </c>
      <c r="AA2692" s="94">
        <f>IF($A2692="",0,IF(AE2692="직접",IF(OR(AF2692="유지비",AF2692="손해조사비"),$P2692,0),$P2692*(1-AG2692)*IFERROR(INDEX(계정대체기준!$D$20:$D$49,MATCH($N2692,계정대체기준!$A$20:$A$49,0)),0)))</f>
        <v/>
      </c>
      <c r="AB2692" s="94">
        <f>IF($A2692="",0,IF(AE2692="직접",IF(AF2692="수금비",$P2692,0),$P2692*(1-AG2692)*IFERROR(INDEX(계정대체기준!$E$20:$E$49,MATCH($N2692,계정대체기준!$A$20:$A$49,0)),0)))</f>
        <v/>
      </c>
      <c r="AC2692" s="9">
        <f>IF(AND($A2692&lt;&gt;"",M2692=설정!$C$20,Z2692&gt;0),Z2692+ROW()/1000000000,"")</f>
        <v/>
      </c>
      <c r="AD2692" s="94">
        <f>IF($A2692="",0,$P2692*AG2692)</f>
        <v/>
      </c>
      <c r="AE2692" s="64">
        <f>IF($A2692="","",IFERROR(INDEX(계정매핑!$E$5:$E$504,MATCH($F2692&amp;"",계정매핑!$A$5:$A$504,0))&amp;"","공통비"))</f>
        <v/>
      </c>
      <c r="AF2692" s="64">
        <f>IF($A2692="","",IF(AE2692="직접",IFERROR(INDEX(계정매핑!$F$5:$F$504,MATCH($F2692&amp;"",계정매핑!$A$5:$A$504,0))&amp;"","비귀속"),""))</f>
        <v/>
      </c>
      <c r="AG2692" s="96">
        <f>IF($A2692="",0,IF(AND(AE2692&lt;&gt;"직접",IFERROR(INDEX(계정매핑!$G$5:$G$504,MATCH($F2692&amp;"",계정매핑!$A$5:$A$504,0))&amp;"","")="유지비",COUNTIF(계정대체기준!$A$6:$A$15,$N2692)&gt;0),IFERROR(INDEX(계정대체기준!$E$6:$E$15,MATCH(VALUE($A2692&amp;""),계정대체기준!$D$6:$D$15,0)),0),0))</f>
        <v/>
      </c>
      <c r="AH2692" s="64">
        <f>IF($A2692="","",IF(AD2692=0,"",IF(OR(COUNTIF(계정대체기준!$A$77:$A$86,$N2692)&gt;0,ISNUMBER(MATCH($X2692,계정대체기준!$D$77:$D$86,0)),ISNUMBER(MATCH($F2692,계정대체기준!$D$77:$D$86,0))),"Y","N")))</f>
        <v/>
      </c>
    </row>
    <row r="2693">
      <c r="A2693" s="92" t="n">
        <v>2025</v>
      </c>
      <c r="B2693" s="92" t="n">
        <v>12</v>
      </c>
      <c r="C2693" s="92" t="inlineStr">
        <is>
          <t>5100002689</t>
        </is>
      </c>
      <c r="D2693" s="95" t="n">
        <v>46016</v>
      </c>
      <c r="E2693" s="92" t="inlineStr">
        <is>
          <t>KR</t>
        </is>
      </c>
      <c r="F2693" s="92" t="n">
        <v>62101000</v>
      </c>
      <c r="G2693" s="92" t="n">
        <v>1701</v>
      </c>
      <c r="H2693" s="93" t="n">
        <v>246000</v>
      </c>
      <c r="I2693" s="92" t="inlineStr">
        <is>
          <t>12월 국내출장 - (법인카드)</t>
        </is>
      </c>
      <c r="J2693" s="92" t="inlineStr">
        <is>
          <t>V10010</t>
        </is>
      </c>
      <c r="K2693" s="92" t="inlineStr">
        <is>
          <t>(법인카드)</t>
        </is>
      </c>
      <c r="M2693" s="9">
        <f>IF($A2693="","",VALUE($A2693&amp;"")*12+VALUE($B2693&amp;""))</f>
        <v/>
      </c>
      <c r="N2693" s="64">
        <f>IF($A2693="","",IFERROR(INDEX(부서매핑!$C$5:$C$504,MATCH($G2693&amp;"",부서매핑!$A$5:$A$504,0)),"미매핑"))</f>
        <v/>
      </c>
      <c r="O2693" s="9">
        <f>IF($A2693="","",N2693&amp;"|"&amp;$F2693)</f>
        <v/>
      </c>
      <c r="P2693" s="94">
        <f>IF($A2693="",0,$H2693*설정!$C$23)</f>
        <v/>
      </c>
      <c r="Q2693" s="64">
        <f>IF($A2693="","",IF(O2693&lt;&gt;원인분석!$C$9,"",IF(AND(M2693&gt;=원인분석!$C$10,M2693&lt;=원인분석!$C$11),"당기",IF(AND(M2693&gt;=원인분석!$C$12,M2693&lt;=원인분석!$C$13),"비교",""))))</f>
        <v/>
      </c>
      <c r="R2693" s="9">
        <f>IF(Q2693="","",$K2693&amp;"")</f>
        <v/>
      </c>
      <c r="S2693" s="9">
        <f>IF(Q2693="","",IF(MATCH(R2693,$R$5:$R$100000,0)=ROW()-4,ROW(),""))</f>
        <v/>
      </c>
      <c r="T2693" s="9">
        <f>IF(Q2693="당기",ABS(P2693)+ROW()/1000000000,"")</f>
        <v/>
      </c>
      <c r="U2693" s="9">
        <f>IF(Q2693="비교",ABS(P2693)+ROW()/1000000000,"")</f>
        <v/>
      </c>
      <c r="V2693" s="64">
        <f>IF($A2693="","",IF(COUNTIF(변동분석!$E$7:$E$506,O2693)&gt;0,"Y","N"))</f>
        <v/>
      </c>
      <c r="W2693" s="64">
        <f>IF($A2693="","",IFERROR(INDEX(계정매핑!$D$5:$D$504,MATCH($F2693&amp;"",계정매핑!$A$5:$A$504,0)),"미매핑"))</f>
        <v/>
      </c>
      <c r="X2693" s="9">
        <f>IF($A2693="","",$F2693&amp;"")</f>
        <v/>
      </c>
      <c r="Y2693" s="94">
        <f>IF($A2693="",0,IF(AE2693="직접",IF(AF2693="비귀속",$P2693,0),$P2693*(1-AG2693)*IFERROR(INDEX(계정대체기준!$F$20:$F$49,MATCH($N2693,계정대체기준!$A$20:$A$49,0)),1)))</f>
        <v/>
      </c>
      <c r="Z2693" s="94">
        <f>IF($A2693="",0,IF(AE2693="직접",IF(AF2693="신계약비",$P2693,0),$P2693*(1-AG2693)*IFERROR(INDEX(계정대체기준!$C$20:$C$49,MATCH($N2693,계정대체기준!$A$20:$A$49,0)),0)))</f>
        <v/>
      </c>
      <c r="AA2693" s="94">
        <f>IF($A2693="",0,IF(AE2693="직접",IF(OR(AF2693="유지비",AF2693="손해조사비"),$P2693,0),$P2693*(1-AG2693)*IFERROR(INDEX(계정대체기준!$D$20:$D$49,MATCH($N2693,계정대체기준!$A$20:$A$49,0)),0)))</f>
        <v/>
      </c>
      <c r="AB2693" s="94">
        <f>IF($A2693="",0,IF(AE2693="직접",IF(AF2693="수금비",$P2693,0),$P2693*(1-AG2693)*IFERROR(INDEX(계정대체기준!$E$20:$E$49,MATCH($N2693,계정대체기준!$A$20:$A$49,0)),0)))</f>
        <v/>
      </c>
      <c r="AC2693" s="9">
        <f>IF(AND($A2693&lt;&gt;"",M2693=설정!$C$20,Z2693&gt;0),Z2693+ROW()/1000000000,"")</f>
        <v/>
      </c>
      <c r="AD2693" s="94">
        <f>IF($A2693="",0,$P2693*AG2693)</f>
        <v/>
      </c>
      <c r="AE2693" s="64">
        <f>IF($A2693="","",IFERROR(INDEX(계정매핑!$E$5:$E$504,MATCH($F2693&amp;"",계정매핑!$A$5:$A$504,0))&amp;"","공통비"))</f>
        <v/>
      </c>
      <c r="AF2693" s="64">
        <f>IF($A2693="","",IF(AE2693="직접",IFERROR(INDEX(계정매핑!$F$5:$F$504,MATCH($F2693&amp;"",계정매핑!$A$5:$A$504,0))&amp;"","비귀속"),""))</f>
        <v/>
      </c>
      <c r="AG2693" s="96">
        <f>IF($A2693="",0,IF(AND(AE2693&lt;&gt;"직접",IFERROR(INDEX(계정매핑!$G$5:$G$504,MATCH($F2693&amp;"",계정매핑!$A$5:$A$504,0))&amp;"","")="유지비",COUNTIF(계정대체기준!$A$6:$A$15,$N2693)&gt;0),IFERROR(INDEX(계정대체기준!$E$6:$E$15,MATCH(VALUE($A2693&amp;""),계정대체기준!$D$6:$D$15,0)),0),0))</f>
        <v/>
      </c>
      <c r="AH2693" s="64">
        <f>IF($A2693="","",IF(AD2693=0,"",IF(OR(COUNTIF(계정대체기준!$A$77:$A$86,$N2693)&gt;0,ISNUMBER(MATCH($X2693,계정대체기준!$D$77:$D$86,0)),ISNUMBER(MATCH($F2693,계정대체기준!$D$77:$D$86,0))),"Y","N")))</f>
        <v/>
      </c>
    </row>
    <row r="2694">
      <c r="A2694" s="92" t="n">
        <v>2025</v>
      </c>
      <c r="B2694" s="92" t="n">
        <v>12</v>
      </c>
      <c r="C2694" s="92" t="inlineStr">
        <is>
          <t>5100002690</t>
        </is>
      </c>
      <c r="D2694" s="95" t="n">
        <v>46016</v>
      </c>
      <c r="E2694" s="92" t="inlineStr">
        <is>
          <t>KR</t>
        </is>
      </c>
      <c r="F2694" s="92" t="n">
        <v>62102000</v>
      </c>
      <c r="G2694" s="92" t="n">
        <v>1401</v>
      </c>
      <c r="H2694" s="93" t="n">
        <v>108000</v>
      </c>
      <c r="I2694" s="92" t="inlineStr">
        <is>
          <t>12월 해외출장 - M항공</t>
        </is>
      </c>
      <c r="J2694" s="92" t="inlineStr">
        <is>
          <t>V10001</t>
        </is>
      </c>
      <c r="K2694" s="92" t="inlineStr">
        <is>
          <t>M항공</t>
        </is>
      </c>
      <c r="M2694" s="9">
        <f>IF($A2694="","",VALUE($A2694&amp;"")*12+VALUE($B2694&amp;""))</f>
        <v/>
      </c>
      <c r="N2694" s="64">
        <f>IF($A2694="","",IFERROR(INDEX(부서매핑!$C$5:$C$504,MATCH($G2694&amp;"",부서매핑!$A$5:$A$504,0)),"미매핑"))</f>
        <v/>
      </c>
      <c r="O2694" s="9">
        <f>IF($A2694="","",N2694&amp;"|"&amp;$F2694)</f>
        <v/>
      </c>
      <c r="P2694" s="94">
        <f>IF($A2694="",0,$H2694*설정!$C$23)</f>
        <v/>
      </c>
      <c r="Q2694" s="64">
        <f>IF($A2694="","",IF(O2694&lt;&gt;원인분석!$C$9,"",IF(AND(M2694&gt;=원인분석!$C$10,M2694&lt;=원인분석!$C$11),"당기",IF(AND(M2694&gt;=원인분석!$C$12,M2694&lt;=원인분석!$C$13),"비교",""))))</f>
        <v/>
      </c>
      <c r="R2694" s="9">
        <f>IF(Q2694="","",$K2694&amp;"")</f>
        <v/>
      </c>
      <c r="S2694" s="9">
        <f>IF(Q2694="","",IF(MATCH(R2694,$R$5:$R$100000,0)=ROW()-4,ROW(),""))</f>
        <v/>
      </c>
      <c r="T2694" s="9">
        <f>IF(Q2694="당기",ABS(P2694)+ROW()/1000000000,"")</f>
        <v/>
      </c>
      <c r="U2694" s="9">
        <f>IF(Q2694="비교",ABS(P2694)+ROW()/1000000000,"")</f>
        <v/>
      </c>
      <c r="V2694" s="64">
        <f>IF($A2694="","",IF(COUNTIF(변동분석!$E$7:$E$506,O2694)&gt;0,"Y","N"))</f>
        <v/>
      </c>
      <c r="W2694" s="64">
        <f>IF($A2694="","",IFERROR(INDEX(계정매핑!$D$5:$D$504,MATCH($F2694&amp;"",계정매핑!$A$5:$A$504,0)),"미매핑"))</f>
        <v/>
      </c>
      <c r="X2694" s="9">
        <f>IF($A2694="","",$F2694&amp;"")</f>
        <v/>
      </c>
      <c r="Y2694" s="94">
        <f>IF($A2694="",0,IF(AE2694="직접",IF(AF2694="비귀속",$P2694,0),$P2694*(1-AG2694)*IFERROR(INDEX(계정대체기준!$F$20:$F$49,MATCH($N2694,계정대체기준!$A$20:$A$49,0)),1)))</f>
        <v/>
      </c>
      <c r="Z2694" s="94">
        <f>IF($A2694="",0,IF(AE2694="직접",IF(AF2694="신계약비",$P2694,0),$P2694*(1-AG2694)*IFERROR(INDEX(계정대체기준!$C$20:$C$49,MATCH($N2694,계정대체기준!$A$20:$A$49,0)),0)))</f>
        <v/>
      </c>
      <c r="AA2694" s="94">
        <f>IF($A2694="",0,IF(AE2694="직접",IF(OR(AF2694="유지비",AF2694="손해조사비"),$P2694,0),$P2694*(1-AG2694)*IFERROR(INDEX(계정대체기준!$D$20:$D$49,MATCH($N2694,계정대체기준!$A$20:$A$49,0)),0)))</f>
        <v/>
      </c>
      <c r="AB2694" s="94">
        <f>IF($A2694="",0,IF(AE2694="직접",IF(AF2694="수금비",$P2694,0),$P2694*(1-AG2694)*IFERROR(INDEX(계정대체기준!$E$20:$E$49,MATCH($N2694,계정대체기준!$A$20:$A$49,0)),0)))</f>
        <v/>
      </c>
      <c r="AC2694" s="9">
        <f>IF(AND($A2694&lt;&gt;"",M2694=설정!$C$20,Z2694&gt;0),Z2694+ROW()/1000000000,"")</f>
        <v/>
      </c>
      <c r="AD2694" s="94">
        <f>IF($A2694="",0,$P2694*AG2694)</f>
        <v/>
      </c>
      <c r="AE2694" s="64">
        <f>IF($A2694="","",IFERROR(INDEX(계정매핑!$E$5:$E$504,MATCH($F2694&amp;"",계정매핑!$A$5:$A$504,0))&amp;"","공통비"))</f>
        <v/>
      </c>
      <c r="AF2694" s="64">
        <f>IF($A2694="","",IF(AE2694="직접",IFERROR(INDEX(계정매핑!$F$5:$F$504,MATCH($F2694&amp;"",계정매핑!$A$5:$A$504,0))&amp;"","비귀속"),""))</f>
        <v/>
      </c>
      <c r="AG2694" s="96">
        <f>IF($A2694="",0,IF(AND(AE2694&lt;&gt;"직접",IFERROR(INDEX(계정매핑!$G$5:$G$504,MATCH($F2694&amp;"",계정매핑!$A$5:$A$504,0))&amp;"","")="유지비",COUNTIF(계정대체기준!$A$6:$A$15,$N2694)&gt;0),IFERROR(INDEX(계정대체기준!$E$6:$E$15,MATCH(VALUE($A2694&amp;""),계정대체기준!$D$6:$D$15,0)),0),0))</f>
        <v/>
      </c>
      <c r="AH2694" s="64">
        <f>IF($A2694="","",IF(AD2694=0,"",IF(OR(COUNTIF(계정대체기준!$A$77:$A$86,$N2694)&gt;0,ISNUMBER(MATCH($X2694,계정대체기준!$D$77:$D$86,0)),ISNUMBER(MATCH($F2694,계정대체기준!$D$77:$D$86,0))),"Y","N")))</f>
        <v/>
      </c>
    </row>
    <row r="2695">
      <c r="A2695" s="92" t="n">
        <v>2025</v>
      </c>
      <c r="B2695" s="92" t="n">
        <v>12</v>
      </c>
      <c r="C2695" s="92" t="inlineStr">
        <is>
          <t>5100002691</t>
        </is>
      </c>
      <c r="D2695" s="95" t="n">
        <v>46016</v>
      </c>
      <c r="E2695" s="92" t="inlineStr">
        <is>
          <t>KR</t>
        </is>
      </c>
      <c r="F2695" s="92" t="n">
        <v>62102000</v>
      </c>
      <c r="G2695" s="92" t="n">
        <v>1401</v>
      </c>
      <c r="H2695" s="93" t="n">
        <v>120000</v>
      </c>
      <c r="I2695" s="92" t="inlineStr">
        <is>
          <t>12월 해외출장 - M항공</t>
        </is>
      </c>
      <c r="J2695" s="92" t="inlineStr">
        <is>
          <t>V10001</t>
        </is>
      </c>
      <c r="K2695" s="92" t="inlineStr">
        <is>
          <t>M항공</t>
        </is>
      </c>
      <c r="M2695" s="9">
        <f>IF($A2695="","",VALUE($A2695&amp;"")*12+VALUE($B2695&amp;""))</f>
        <v/>
      </c>
      <c r="N2695" s="64">
        <f>IF($A2695="","",IFERROR(INDEX(부서매핑!$C$5:$C$504,MATCH($G2695&amp;"",부서매핑!$A$5:$A$504,0)),"미매핑"))</f>
        <v/>
      </c>
      <c r="O2695" s="9">
        <f>IF($A2695="","",N2695&amp;"|"&amp;$F2695)</f>
        <v/>
      </c>
      <c r="P2695" s="94">
        <f>IF($A2695="",0,$H2695*설정!$C$23)</f>
        <v/>
      </c>
      <c r="Q2695" s="64">
        <f>IF($A2695="","",IF(O2695&lt;&gt;원인분석!$C$9,"",IF(AND(M2695&gt;=원인분석!$C$10,M2695&lt;=원인분석!$C$11),"당기",IF(AND(M2695&gt;=원인분석!$C$12,M2695&lt;=원인분석!$C$13),"비교",""))))</f>
        <v/>
      </c>
      <c r="R2695" s="9">
        <f>IF(Q2695="","",$K2695&amp;"")</f>
        <v/>
      </c>
      <c r="S2695" s="9">
        <f>IF(Q2695="","",IF(MATCH(R2695,$R$5:$R$100000,0)=ROW()-4,ROW(),""))</f>
        <v/>
      </c>
      <c r="T2695" s="9">
        <f>IF(Q2695="당기",ABS(P2695)+ROW()/1000000000,"")</f>
        <v/>
      </c>
      <c r="U2695" s="9">
        <f>IF(Q2695="비교",ABS(P2695)+ROW()/1000000000,"")</f>
        <v/>
      </c>
      <c r="V2695" s="64">
        <f>IF($A2695="","",IF(COUNTIF(변동분석!$E$7:$E$506,O2695)&gt;0,"Y","N"))</f>
        <v/>
      </c>
      <c r="W2695" s="64">
        <f>IF($A2695="","",IFERROR(INDEX(계정매핑!$D$5:$D$504,MATCH($F2695&amp;"",계정매핑!$A$5:$A$504,0)),"미매핑"))</f>
        <v/>
      </c>
      <c r="X2695" s="9">
        <f>IF($A2695="","",$F2695&amp;"")</f>
        <v/>
      </c>
      <c r="Y2695" s="94">
        <f>IF($A2695="",0,IF(AE2695="직접",IF(AF2695="비귀속",$P2695,0),$P2695*(1-AG2695)*IFERROR(INDEX(계정대체기준!$F$20:$F$49,MATCH($N2695,계정대체기준!$A$20:$A$49,0)),1)))</f>
        <v/>
      </c>
      <c r="Z2695" s="94">
        <f>IF($A2695="",0,IF(AE2695="직접",IF(AF2695="신계약비",$P2695,0),$P2695*(1-AG2695)*IFERROR(INDEX(계정대체기준!$C$20:$C$49,MATCH($N2695,계정대체기준!$A$20:$A$49,0)),0)))</f>
        <v/>
      </c>
      <c r="AA2695" s="94">
        <f>IF($A2695="",0,IF(AE2695="직접",IF(OR(AF2695="유지비",AF2695="손해조사비"),$P2695,0),$P2695*(1-AG2695)*IFERROR(INDEX(계정대체기준!$D$20:$D$49,MATCH($N2695,계정대체기준!$A$20:$A$49,0)),0)))</f>
        <v/>
      </c>
      <c r="AB2695" s="94">
        <f>IF($A2695="",0,IF(AE2695="직접",IF(AF2695="수금비",$P2695,0),$P2695*(1-AG2695)*IFERROR(INDEX(계정대체기준!$E$20:$E$49,MATCH($N2695,계정대체기준!$A$20:$A$49,0)),0)))</f>
        <v/>
      </c>
      <c r="AC2695" s="9">
        <f>IF(AND($A2695&lt;&gt;"",M2695=설정!$C$20,Z2695&gt;0),Z2695+ROW()/1000000000,"")</f>
        <v/>
      </c>
      <c r="AD2695" s="94">
        <f>IF($A2695="",0,$P2695*AG2695)</f>
        <v/>
      </c>
      <c r="AE2695" s="64">
        <f>IF($A2695="","",IFERROR(INDEX(계정매핑!$E$5:$E$504,MATCH($F2695&amp;"",계정매핑!$A$5:$A$504,0))&amp;"","공통비"))</f>
        <v/>
      </c>
      <c r="AF2695" s="64">
        <f>IF($A2695="","",IF(AE2695="직접",IFERROR(INDEX(계정매핑!$F$5:$F$504,MATCH($F2695&amp;"",계정매핑!$A$5:$A$504,0))&amp;"","비귀속"),""))</f>
        <v/>
      </c>
      <c r="AG2695" s="96">
        <f>IF($A2695="",0,IF(AND(AE2695&lt;&gt;"직접",IFERROR(INDEX(계정매핑!$G$5:$G$504,MATCH($F2695&amp;"",계정매핑!$A$5:$A$504,0))&amp;"","")="유지비",COUNTIF(계정대체기준!$A$6:$A$15,$N2695)&gt;0),IFERROR(INDEX(계정대체기준!$E$6:$E$15,MATCH(VALUE($A2695&amp;""),계정대체기준!$D$6:$D$15,0)),0),0))</f>
        <v/>
      </c>
      <c r="AH2695" s="64">
        <f>IF($A2695="","",IF(AD2695=0,"",IF(OR(COUNTIF(계정대체기준!$A$77:$A$86,$N2695)&gt;0,ISNUMBER(MATCH($X2695,계정대체기준!$D$77:$D$86,0)),ISNUMBER(MATCH($F2695,계정대체기준!$D$77:$D$86,0))),"Y","N")))</f>
        <v/>
      </c>
    </row>
    <row r="2696">
      <c r="A2696" s="92" t="n">
        <v>2025</v>
      </c>
      <c r="B2696" s="92" t="n">
        <v>12</v>
      </c>
      <c r="C2696" s="92" t="inlineStr">
        <is>
          <t>5100002692</t>
        </is>
      </c>
      <c r="D2696" s="95" t="n">
        <v>46016</v>
      </c>
      <c r="E2696" s="92" t="inlineStr">
        <is>
          <t>KR</t>
        </is>
      </c>
      <c r="F2696" s="92" t="n">
        <v>62102000</v>
      </c>
      <c r="G2696" s="92" t="n">
        <v>1701</v>
      </c>
      <c r="H2696" s="93" t="n">
        <v>53000</v>
      </c>
      <c r="I2696" s="92" t="inlineStr">
        <is>
          <t>12월 해외출장 - M항공</t>
        </is>
      </c>
      <c r="J2696" s="92" t="inlineStr">
        <is>
          <t>V10001</t>
        </is>
      </c>
      <c r="K2696" s="92" t="inlineStr">
        <is>
          <t>M항공</t>
        </is>
      </c>
      <c r="M2696" s="9">
        <f>IF($A2696="","",VALUE($A2696&amp;"")*12+VALUE($B2696&amp;""))</f>
        <v/>
      </c>
      <c r="N2696" s="64">
        <f>IF($A2696="","",IFERROR(INDEX(부서매핑!$C$5:$C$504,MATCH($G2696&amp;"",부서매핑!$A$5:$A$504,0)),"미매핑"))</f>
        <v/>
      </c>
      <c r="O2696" s="9">
        <f>IF($A2696="","",N2696&amp;"|"&amp;$F2696)</f>
        <v/>
      </c>
      <c r="P2696" s="94">
        <f>IF($A2696="",0,$H2696*설정!$C$23)</f>
        <v/>
      </c>
      <c r="Q2696" s="64">
        <f>IF($A2696="","",IF(O2696&lt;&gt;원인분석!$C$9,"",IF(AND(M2696&gt;=원인분석!$C$10,M2696&lt;=원인분석!$C$11),"당기",IF(AND(M2696&gt;=원인분석!$C$12,M2696&lt;=원인분석!$C$13),"비교",""))))</f>
        <v/>
      </c>
      <c r="R2696" s="9">
        <f>IF(Q2696="","",$K2696&amp;"")</f>
        <v/>
      </c>
      <c r="S2696" s="9">
        <f>IF(Q2696="","",IF(MATCH(R2696,$R$5:$R$100000,0)=ROW()-4,ROW(),""))</f>
        <v/>
      </c>
      <c r="T2696" s="9">
        <f>IF(Q2696="당기",ABS(P2696)+ROW()/1000000000,"")</f>
        <v/>
      </c>
      <c r="U2696" s="9">
        <f>IF(Q2696="비교",ABS(P2696)+ROW()/1000000000,"")</f>
        <v/>
      </c>
      <c r="V2696" s="64">
        <f>IF($A2696="","",IF(COUNTIF(변동분석!$E$7:$E$506,O2696)&gt;0,"Y","N"))</f>
        <v/>
      </c>
      <c r="W2696" s="64">
        <f>IF($A2696="","",IFERROR(INDEX(계정매핑!$D$5:$D$504,MATCH($F2696&amp;"",계정매핑!$A$5:$A$504,0)),"미매핑"))</f>
        <v/>
      </c>
      <c r="X2696" s="9">
        <f>IF($A2696="","",$F2696&amp;"")</f>
        <v/>
      </c>
      <c r="Y2696" s="94">
        <f>IF($A2696="",0,IF(AE2696="직접",IF(AF2696="비귀속",$P2696,0),$P2696*(1-AG2696)*IFERROR(INDEX(계정대체기준!$F$20:$F$49,MATCH($N2696,계정대체기준!$A$20:$A$49,0)),1)))</f>
        <v/>
      </c>
      <c r="Z2696" s="94">
        <f>IF($A2696="",0,IF(AE2696="직접",IF(AF2696="신계약비",$P2696,0),$P2696*(1-AG2696)*IFERROR(INDEX(계정대체기준!$C$20:$C$49,MATCH($N2696,계정대체기준!$A$20:$A$49,0)),0)))</f>
        <v/>
      </c>
      <c r="AA2696" s="94">
        <f>IF($A2696="",0,IF(AE2696="직접",IF(OR(AF2696="유지비",AF2696="손해조사비"),$P2696,0),$P2696*(1-AG2696)*IFERROR(INDEX(계정대체기준!$D$20:$D$49,MATCH($N2696,계정대체기준!$A$20:$A$49,0)),0)))</f>
        <v/>
      </c>
      <c r="AB2696" s="94">
        <f>IF($A2696="",0,IF(AE2696="직접",IF(AF2696="수금비",$P2696,0),$P2696*(1-AG2696)*IFERROR(INDEX(계정대체기준!$E$20:$E$49,MATCH($N2696,계정대체기준!$A$20:$A$49,0)),0)))</f>
        <v/>
      </c>
      <c r="AC2696" s="9">
        <f>IF(AND($A2696&lt;&gt;"",M2696=설정!$C$20,Z2696&gt;0),Z2696+ROW()/1000000000,"")</f>
        <v/>
      </c>
      <c r="AD2696" s="94">
        <f>IF($A2696="",0,$P2696*AG2696)</f>
        <v/>
      </c>
      <c r="AE2696" s="64">
        <f>IF($A2696="","",IFERROR(INDEX(계정매핑!$E$5:$E$504,MATCH($F2696&amp;"",계정매핑!$A$5:$A$504,0))&amp;"","공통비"))</f>
        <v/>
      </c>
      <c r="AF2696" s="64">
        <f>IF($A2696="","",IF(AE2696="직접",IFERROR(INDEX(계정매핑!$F$5:$F$504,MATCH($F2696&amp;"",계정매핑!$A$5:$A$504,0))&amp;"","비귀속"),""))</f>
        <v/>
      </c>
      <c r="AG2696" s="96">
        <f>IF($A2696="",0,IF(AND(AE2696&lt;&gt;"직접",IFERROR(INDEX(계정매핑!$G$5:$G$504,MATCH($F2696&amp;"",계정매핑!$A$5:$A$504,0))&amp;"","")="유지비",COUNTIF(계정대체기준!$A$6:$A$15,$N2696)&gt;0),IFERROR(INDEX(계정대체기준!$E$6:$E$15,MATCH(VALUE($A2696&amp;""),계정대체기준!$D$6:$D$15,0)),0),0))</f>
        <v/>
      </c>
      <c r="AH2696" s="64">
        <f>IF($A2696="","",IF(AD2696=0,"",IF(OR(COUNTIF(계정대체기준!$A$77:$A$86,$N2696)&gt;0,ISNUMBER(MATCH($X2696,계정대체기준!$D$77:$D$86,0)),ISNUMBER(MATCH($F2696,계정대체기준!$D$77:$D$86,0))),"Y","N")))</f>
        <v/>
      </c>
    </row>
    <row r="2697">
      <c r="A2697" s="92" t="n">
        <v>2025</v>
      </c>
      <c r="B2697" s="92" t="n">
        <v>12</v>
      </c>
      <c r="C2697" s="92" t="inlineStr">
        <is>
          <t>5100002693</t>
        </is>
      </c>
      <c r="D2697" s="95" t="n">
        <v>46016</v>
      </c>
      <c r="E2697" s="92" t="inlineStr">
        <is>
          <t>KR</t>
        </is>
      </c>
      <c r="F2697" s="92" t="n">
        <v>62102000</v>
      </c>
      <c r="G2697" s="92" t="n">
        <v>1801</v>
      </c>
      <c r="H2697" s="93" t="n">
        <v>44000</v>
      </c>
      <c r="I2697" s="92" t="inlineStr">
        <is>
          <t>12월 해외출장 - N호텔</t>
        </is>
      </c>
      <c r="J2697" s="92" t="inlineStr">
        <is>
          <t>V10009</t>
        </is>
      </c>
      <c r="K2697" s="92" t="inlineStr">
        <is>
          <t>N호텔</t>
        </is>
      </c>
      <c r="M2697" s="9">
        <f>IF($A2697="","",VALUE($A2697&amp;"")*12+VALUE($B2697&amp;""))</f>
        <v/>
      </c>
      <c r="N2697" s="64">
        <f>IF($A2697="","",IFERROR(INDEX(부서매핑!$C$5:$C$504,MATCH($G2697&amp;"",부서매핑!$A$5:$A$504,0)),"미매핑"))</f>
        <v/>
      </c>
      <c r="O2697" s="9">
        <f>IF($A2697="","",N2697&amp;"|"&amp;$F2697)</f>
        <v/>
      </c>
      <c r="P2697" s="94">
        <f>IF($A2697="",0,$H2697*설정!$C$23)</f>
        <v/>
      </c>
      <c r="Q2697" s="64">
        <f>IF($A2697="","",IF(O2697&lt;&gt;원인분석!$C$9,"",IF(AND(M2697&gt;=원인분석!$C$10,M2697&lt;=원인분석!$C$11),"당기",IF(AND(M2697&gt;=원인분석!$C$12,M2697&lt;=원인분석!$C$13),"비교",""))))</f>
        <v/>
      </c>
      <c r="R2697" s="9">
        <f>IF(Q2697="","",$K2697&amp;"")</f>
        <v/>
      </c>
      <c r="S2697" s="9">
        <f>IF(Q2697="","",IF(MATCH(R2697,$R$5:$R$100000,0)=ROW()-4,ROW(),""))</f>
        <v/>
      </c>
      <c r="T2697" s="9">
        <f>IF(Q2697="당기",ABS(P2697)+ROW()/1000000000,"")</f>
        <v/>
      </c>
      <c r="U2697" s="9">
        <f>IF(Q2697="비교",ABS(P2697)+ROW()/1000000000,"")</f>
        <v/>
      </c>
      <c r="V2697" s="64">
        <f>IF($A2697="","",IF(COUNTIF(변동분석!$E$7:$E$506,O2697)&gt;0,"Y","N"))</f>
        <v/>
      </c>
      <c r="W2697" s="64">
        <f>IF($A2697="","",IFERROR(INDEX(계정매핑!$D$5:$D$504,MATCH($F2697&amp;"",계정매핑!$A$5:$A$504,0)),"미매핑"))</f>
        <v/>
      </c>
      <c r="X2697" s="9">
        <f>IF($A2697="","",$F2697&amp;"")</f>
        <v/>
      </c>
      <c r="Y2697" s="94">
        <f>IF($A2697="",0,IF(AE2697="직접",IF(AF2697="비귀속",$P2697,0),$P2697*(1-AG2697)*IFERROR(INDEX(계정대체기준!$F$20:$F$49,MATCH($N2697,계정대체기준!$A$20:$A$49,0)),1)))</f>
        <v/>
      </c>
      <c r="Z2697" s="94">
        <f>IF($A2697="",0,IF(AE2697="직접",IF(AF2697="신계약비",$P2697,0),$P2697*(1-AG2697)*IFERROR(INDEX(계정대체기준!$C$20:$C$49,MATCH($N2697,계정대체기준!$A$20:$A$49,0)),0)))</f>
        <v/>
      </c>
      <c r="AA2697" s="94">
        <f>IF($A2697="",0,IF(AE2697="직접",IF(OR(AF2697="유지비",AF2697="손해조사비"),$P2697,0),$P2697*(1-AG2697)*IFERROR(INDEX(계정대체기준!$D$20:$D$49,MATCH($N2697,계정대체기준!$A$20:$A$49,0)),0)))</f>
        <v/>
      </c>
      <c r="AB2697" s="94">
        <f>IF($A2697="",0,IF(AE2697="직접",IF(AF2697="수금비",$P2697,0),$P2697*(1-AG2697)*IFERROR(INDEX(계정대체기준!$E$20:$E$49,MATCH($N2697,계정대체기준!$A$20:$A$49,0)),0)))</f>
        <v/>
      </c>
      <c r="AC2697" s="9">
        <f>IF(AND($A2697&lt;&gt;"",M2697=설정!$C$20,Z2697&gt;0),Z2697+ROW()/1000000000,"")</f>
        <v/>
      </c>
      <c r="AD2697" s="94">
        <f>IF($A2697="",0,$P2697*AG2697)</f>
        <v/>
      </c>
      <c r="AE2697" s="64">
        <f>IF($A2697="","",IFERROR(INDEX(계정매핑!$E$5:$E$504,MATCH($F2697&amp;"",계정매핑!$A$5:$A$504,0))&amp;"","공통비"))</f>
        <v/>
      </c>
      <c r="AF2697" s="64">
        <f>IF($A2697="","",IF(AE2697="직접",IFERROR(INDEX(계정매핑!$F$5:$F$504,MATCH($F2697&amp;"",계정매핑!$A$5:$A$504,0))&amp;"","비귀속"),""))</f>
        <v/>
      </c>
      <c r="AG2697" s="96">
        <f>IF($A2697="",0,IF(AND(AE2697&lt;&gt;"직접",IFERROR(INDEX(계정매핑!$G$5:$G$504,MATCH($F2697&amp;"",계정매핑!$A$5:$A$504,0))&amp;"","")="유지비",COUNTIF(계정대체기준!$A$6:$A$15,$N2697)&gt;0),IFERROR(INDEX(계정대체기준!$E$6:$E$15,MATCH(VALUE($A2697&amp;""),계정대체기준!$D$6:$D$15,0)),0),0))</f>
        <v/>
      </c>
      <c r="AH2697" s="64">
        <f>IF($A2697="","",IF(AD2697=0,"",IF(OR(COUNTIF(계정대체기준!$A$77:$A$86,$N2697)&gt;0,ISNUMBER(MATCH($X2697,계정대체기준!$D$77:$D$86,0)),ISNUMBER(MATCH($F2697,계정대체기준!$D$77:$D$86,0))),"Y","N")))</f>
        <v/>
      </c>
    </row>
    <row r="2698">
      <c r="A2698" s="92" t="n">
        <v>2025</v>
      </c>
      <c r="B2698" s="92" t="n">
        <v>12</v>
      </c>
      <c r="C2698" s="92" t="inlineStr">
        <is>
          <t>5100002694</t>
        </is>
      </c>
      <c r="D2698" s="95" t="n">
        <v>46016</v>
      </c>
      <c r="E2698" s="92" t="inlineStr">
        <is>
          <t>KR</t>
        </is>
      </c>
      <c r="F2698" s="92" t="n">
        <v>62301000</v>
      </c>
      <c r="G2698" s="92" t="n">
        <v>1301</v>
      </c>
      <c r="H2698" s="93" t="n">
        <v>134000</v>
      </c>
      <c r="I2698" s="92" t="inlineStr">
        <is>
          <t>12월 소모품 구입 - Q오피스</t>
        </is>
      </c>
      <c r="J2698" s="92" t="inlineStr">
        <is>
          <t>V10003</t>
        </is>
      </c>
      <c r="K2698" s="92" t="inlineStr">
        <is>
          <t>Q오피스</t>
        </is>
      </c>
      <c r="M2698" s="9">
        <f>IF($A2698="","",VALUE($A2698&amp;"")*12+VALUE($B2698&amp;""))</f>
        <v/>
      </c>
      <c r="N2698" s="64">
        <f>IF($A2698="","",IFERROR(INDEX(부서매핑!$C$5:$C$504,MATCH($G2698&amp;"",부서매핑!$A$5:$A$504,0)),"미매핑"))</f>
        <v/>
      </c>
      <c r="O2698" s="9">
        <f>IF($A2698="","",N2698&amp;"|"&amp;$F2698)</f>
        <v/>
      </c>
      <c r="P2698" s="94">
        <f>IF($A2698="",0,$H2698*설정!$C$23)</f>
        <v/>
      </c>
      <c r="Q2698" s="64">
        <f>IF($A2698="","",IF(O2698&lt;&gt;원인분석!$C$9,"",IF(AND(M2698&gt;=원인분석!$C$10,M2698&lt;=원인분석!$C$11),"당기",IF(AND(M2698&gt;=원인분석!$C$12,M2698&lt;=원인분석!$C$13),"비교",""))))</f>
        <v/>
      </c>
      <c r="R2698" s="9">
        <f>IF(Q2698="","",$K2698&amp;"")</f>
        <v/>
      </c>
      <c r="S2698" s="9">
        <f>IF(Q2698="","",IF(MATCH(R2698,$R$5:$R$100000,0)=ROW()-4,ROW(),""))</f>
        <v/>
      </c>
      <c r="T2698" s="9">
        <f>IF(Q2698="당기",ABS(P2698)+ROW()/1000000000,"")</f>
        <v/>
      </c>
      <c r="U2698" s="9">
        <f>IF(Q2698="비교",ABS(P2698)+ROW()/1000000000,"")</f>
        <v/>
      </c>
      <c r="V2698" s="64">
        <f>IF($A2698="","",IF(COUNTIF(변동분석!$E$7:$E$506,O2698)&gt;0,"Y","N"))</f>
        <v/>
      </c>
      <c r="W2698" s="64">
        <f>IF($A2698="","",IFERROR(INDEX(계정매핑!$D$5:$D$504,MATCH($F2698&amp;"",계정매핑!$A$5:$A$504,0)),"미매핑"))</f>
        <v/>
      </c>
      <c r="X2698" s="9">
        <f>IF($A2698="","",$F2698&amp;"")</f>
        <v/>
      </c>
      <c r="Y2698" s="94">
        <f>IF($A2698="",0,IF(AE2698="직접",IF(AF2698="비귀속",$P2698,0),$P2698*(1-AG2698)*IFERROR(INDEX(계정대체기준!$F$20:$F$49,MATCH($N2698,계정대체기준!$A$20:$A$49,0)),1)))</f>
        <v/>
      </c>
      <c r="Z2698" s="94">
        <f>IF($A2698="",0,IF(AE2698="직접",IF(AF2698="신계약비",$P2698,0),$P2698*(1-AG2698)*IFERROR(INDEX(계정대체기준!$C$20:$C$49,MATCH($N2698,계정대체기준!$A$20:$A$49,0)),0)))</f>
        <v/>
      </c>
      <c r="AA2698" s="94">
        <f>IF($A2698="",0,IF(AE2698="직접",IF(OR(AF2698="유지비",AF2698="손해조사비"),$P2698,0),$P2698*(1-AG2698)*IFERROR(INDEX(계정대체기준!$D$20:$D$49,MATCH($N2698,계정대체기준!$A$20:$A$49,0)),0)))</f>
        <v/>
      </c>
      <c r="AB2698" s="94">
        <f>IF($A2698="",0,IF(AE2698="직접",IF(AF2698="수금비",$P2698,0),$P2698*(1-AG2698)*IFERROR(INDEX(계정대체기준!$E$20:$E$49,MATCH($N2698,계정대체기준!$A$20:$A$49,0)),0)))</f>
        <v/>
      </c>
      <c r="AC2698" s="9">
        <f>IF(AND($A2698&lt;&gt;"",M2698=설정!$C$20,Z2698&gt;0),Z2698+ROW()/1000000000,"")</f>
        <v/>
      </c>
      <c r="AD2698" s="94">
        <f>IF($A2698="",0,$P2698*AG2698)</f>
        <v/>
      </c>
      <c r="AE2698" s="64">
        <f>IF($A2698="","",IFERROR(INDEX(계정매핑!$E$5:$E$504,MATCH($F2698&amp;"",계정매핑!$A$5:$A$504,0))&amp;"","공통비"))</f>
        <v/>
      </c>
      <c r="AF2698" s="64">
        <f>IF($A2698="","",IF(AE2698="직접",IFERROR(INDEX(계정매핑!$F$5:$F$504,MATCH($F2698&amp;"",계정매핑!$A$5:$A$504,0))&amp;"","비귀속"),""))</f>
        <v/>
      </c>
      <c r="AG2698" s="96">
        <f>IF($A2698="",0,IF(AND(AE2698&lt;&gt;"직접",IFERROR(INDEX(계정매핑!$G$5:$G$504,MATCH($F2698&amp;"",계정매핑!$A$5:$A$504,0))&amp;"","")="유지비",COUNTIF(계정대체기준!$A$6:$A$15,$N2698)&gt;0),IFERROR(INDEX(계정대체기준!$E$6:$E$15,MATCH(VALUE($A2698&amp;""),계정대체기준!$D$6:$D$15,0)),0),0))</f>
        <v/>
      </c>
      <c r="AH2698" s="64">
        <f>IF($A2698="","",IF(AD2698=0,"",IF(OR(COUNTIF(계정대체기준!$A$77:$A$86,$N2698)&gt;0,ISNUMBER(MATCH($X2698,계정대체기준!$D$77:$D$86,0)),ISNUMBER(MATCH($F2698,계정대체기준!$D$77:$D$86,0))),"Y","N")))</f>
        <v/>
      </c>
    </row>
    <row r="2699">
      <c r="A2699" s="92" t="n">
        <v>2025</v>
      </c>
      <c r="B2699" s="92" t="n">
        <v>12</v>
      </c>
      <c r="C2699" s="92" t="inlineStr">
        <is>
          <t>5100002695</t>
        </is>
      </c>
      <c r="D2699" s="95" t="n">
        <v>46016</v>
      </c>
      <c r="E2699" s="92" t="inlineStr">
        <is>
          <t>KR</t>
        </is>
      </c>
      <c r="F2699" s="92" t="n">
        <v>62301000</v>
      </c>
      <c r="G2699" s="92" t="n">
        <v>1601</v>
      </c>
      <c r="H2699" s="93" t="n">
        <v>407000</v>
      </c>
      <c r="I2699" s="92" t="inlineStr">
        <is>
          <t>12월 소모품 구입 - Q오피스</t>
        </is>
      </c>
      <c r="J2699" s="92" t="inlineStr">
        <is>
          <t>V10003</t>
        </is>
      </c>
      <c r="K2699" s="92" t="inlineStr">
        <is>
          <t>Q오피스</t>
        </is>
      </c>
      <c r="M2699" s="9">
        <f>IF($A2699="","",VALUE($A2699&amp;"")*12+VALUE($B2699&amp;""))</f>
        <v/>
      </c>
      <c r="N2699" s="64">
        <f>IF($A2699="","",IFERROR(INDEX(부서매핑!$C$5:$C$504,MATCH($G2699&amp;"",부서매핑!$A$5:$A$504,0)),"미매핑"))</f>
        <v/>
      </c>
      <c r="O2699" s="9">
        <f>IF($A2699="","",N2699&amp;"|"&amp;$F2699)</f>
        <v/>
      </c>
      <c r="P2699" s="94">
        <f>IF($A2699="",0,$H2699*설정!$C$23)</f>
        <v/>
      </c>
      <c r="Q2699" s="64">
        <f>IF($A2699="","",IF(O2699&lt;&gt;원인분석!$C$9,"",IF(AND(M2699&gt;=원인분석!$C$10,M2699&lt;=원인분석!$C$11),"당기",IF(AND(M2699&gt;=원인분석!$C$12,M2699&lt;=원인분석!$C$13),"비교",""))))</f>
        <v/>
      </c>
      <c r="R2699" s="9">
        <f>IF(Q2699="","",$K2699&amp;"")</f>
        <v/>
      </c>
      <c r="S2699" s="9">
        <f>IF(Q2699="","",IF(MATCH(R2699,$R$5:$R$100000,0)=ROW()-4,ROW(),""))</f>
        <v/>
      </c>
      <c r="T2699" s="9">
        <f>IF(Q2699="당기",ABS(P2699)+ROW()/1000000000,"")</f>
        <v/>
      </c>
      <c r="U2699" s="9">
        <f>IF(Q2699="비교",ABS(P2699)+ROW()/1000000000,"")</f>
        <v/>
      </c>
      <c r="V2699" s="64">
        <f>IF($A2699="","",IF(COUNTIF(변동분석!$E$7:$E$506,O2699)&gt;0,"Y","N"))</f>
        <v/>
      </c>
      <c r="W2699" s="64">
        <f>IF($A2699="","",IFERROR(INDEX(계정매핑!$D$5:$D$504,MATCH($F2699&amp;"",계정매핑!$A$5:$A$504,0)),"미매핑"))</f>
        <v/>
      </c>
      <c r="X2699" s="9">
        <f>IF($A2699="","",$F2699&amp;"")</f>
        <v/>
      </c>
      <c r="Y2699" s="94">
        <f>IF($A2699="",0,IF(AE2699="직접",IF(AF2699="비귀속",$P2699,0),$P2699*(1-AG2699)*IFERROR(INDEX(계정대체기준!$F$20:$F$49,MATCH($N2699,계정대체기준!$A$20:$A$49,0)),1)))</f>
        <v/>
      </c>
      <c r="Z2699" s="94">
        <f>IF($A2699="",0,IF(AE2699="직접",IF(AF2699="신계약비",$P2699,0),$P2699*(1-AG2699)*IFERROR(INDEX(계정대체기준!$C$20:$C$49,MATCH($N2699,계정대체기준!$A$20:$A$49,0)),0)))</f>
        <v/>
      </c>
      <c r="AA2699" s="94">
        <f>IF($A2699="",0,IF(AE2699="직접",IF(OR(AF2699="유지비",AF2699="손해조사비"),$P2699,0),$P2699*(1-AG2699)*IFERROR(INDEX(계정대체기준!$D$20:$D$49,MATCH($N2699,계정대체기준!$A$20:$A$49,0)),0)))</f>
        <v/>
      </c>
      <c r="AB2699" s="94">
        <f>IF($A2699="",0,IF(AE2699="직접",IF(AF2699="수금비",$P2699,0),$P2699*(1-AG2699)*IFERROR(INDEX(계정대체기준!$E$20:$E$49,MATCH($N2699,계정대체기준!$A$20:$A$49,0)),0)))</f>
        <v/>
      </c>
      <c r="AC2699" s="9">
        <f>IF(AND($A2699&lt;&gt;"",M2699=설정!$C$20,Z2699&gt;0),Z2699+ROW()/1000000000,"")</f>
        <v/>
      </c>
      <c r="AD2699" s="94">
        <f>IF($A2699="",0,$P2699*AG2699)</f>
        <v/>
      </c>
      <c r="AE2699" s="64">
        <f>IF($A2699="","",IFERROR(INDEX(계정매핑!$E$5:$E$504,MATCH($F2699&amp;"",계정매핑!$A$5:$A$504,0))&amp;"","공통비"))</f>
        <v/>
      </c>
      <c r="AF2699" s="64">
        <f>IF($A2699="","",IF(AE2699="직접",IFERROR(INDEX(계정매핑!$F$5:$F$504,MATCH($F2699&amp;"",계정매핑!$A$5:$A$504,0))&amp;"","비귀속"),""))</f>
        <v/>
      </c>
      <c r="AG2699" s="96">
        <f>IF($A2699="",0,IF(AND(AE2699&lt;&gt;"직접",IFERROR(INDEX(계정매핑!$G$5:$G$504,MATCH($F2699&amp;"",계정매핑!$A$5:$A$504,0))&amp;"","")="유지비",COUNTIF(계정대체기준!$A$6:$A$15,$N2699)&gt;0),IFERROR(INDEX(계정대체기준!$E$6:$E$15,MATCH(VALUE($A2699&amp;""),계정대체기준!$D$6:$D$15,0)),0),0))</f>
        <v/>
      </c>
      <c r="AH2699" s="64">
        <f>IF($A2699="","",IF(AD2699=0,"",IF(OR(COUNTIF(계정대체기준!$A$77:$A$86,$N2699)&gt;0,ISNUMBER(MATCH($X2699,계정대체기준!$D$77:$D$86,0)),ISNUMBER(MATCH($F2699,계정대체기준!$D$77:$D$86,0))),"Y","N")))</f>
        <v/>
      </c>
    </row>
    <row r="2700">
      <c r="A2700" s="92" t="n">
        <v>2025</v>
      </c>
      <c r="B2700" s="92" t="n">
        <v>12</v>
      </c>
      <c r="C2700" s="92" t="inlineStr">
        <is>
          <t>5100002696</t>
        </is>
      </c>
      <c r="D2700" s="95" t="n">
        <v>46016</v>
      </c>
      <c r="E2700" s="92" t="inlineStr">
        <is>
          <t>KR</t>
        </is>
      </c>
      <c r="F2700" s="92" t="n">
        <v>62301000</v>
      </c>
      <c r="G2700" s="92" t="n">
        <v>1701</v>
      </c>
      <c r="H2700" s="93" t="n">
        <v>257000</v>
      </c>
      <c r="I2700" s="92" t="inlineStr">
        <is>
          <t>12월 소모품 구입 - R문구</t>
        </is>
      </c>
      <c r="J2700" s="92" t="inlineStr">
        <is>
          <t>V10022</t>
        </is>
      </c>
      <c r="K2700" s="92" t="inlineStr">
        <is>
          <t>R문구</t>
        </is>
      </c>
      <c r="M2700" s="9">
        <f>IF($A2700="","",VALUE($A2700&amp;"")*12+VALUE($B2700&amp;""))</f>
        <v/>
      </c>
      <c r="N2700" s="64">
        <f>IF($A2700="","",IFERROR(INDEX(부서매핑!$C$5:$C$504,MATCH($G2700&amp;"",부서매핑!$A$5:$A$504,0)),"미매핑"))</f>
        <v/>
      </c>
      <c r="O2700" s="9">
        <f>IF($A2700="","",N2700&amp;"|"&amp;$F2700)</f>
        <v/>
      </c>
      <c r="P2700" s="94">
        <f>IF($A2700="",0,$H2700*설정!$C$23)</f>
        <v/>
      </c>
      <c r="Q2700" s="64">
        <f>IF($A2700="","",IF(O2700&lt;&gt;원인분석!$C$9,"",IF(AND(M2700&gt;=원인분석!$C$10,M2700&lt;=원인분석!$C$11),"당기",IF(AND(M2700&gt;=원인분석!$C$12,M2700&lt;=원인분석!$C$13),"비교",""))))</f>
        <v/>
      </c>
      <c r="R2700" s="9">
        <f>IF(Q2700="","",$K2700&amp;"")</f>
        <v/>
      </c>
      <c r="S2700" s="9">
        <f>IF(Q2700="","",IF(MATCH(R2700,$R$5:$R$100000,0)=ROW()-4,ROW(),""))</f>
        <v/>
      </c>
      <c r="T2700" s="9">
        <f>IF(Q2700="당기",ABS(P2700)+ROW()/1000000000,"")</f>
        <v/>
      </c>
      <c r="U2700" s="9">
        <f>IF(Q2700="비교",ABS(P2700)+ROW()/1000000000,"")</f>
        <v/>
      </c>
      <c r="V2700" s="64">
        <f>IF($A2700="","",IF(COUNTIF(변동분석!$E$7:$E$506,O2700)&gt;0,"Y","N"))</f>
        <v/>
      </c>
      <c r="W2700" s="64">
        <f>IF($A2700="","",IFERROR(INDEX(계정매핑!$D$5:$D$504,MATCH($F2700&amp;"",계정매핑!$A$5:$A$504,0)),"미매핑"))</f>
        <v/>
      </c>
      <c r="X2700" s="9">
        <f>IF($A2700="","",$F2700&amp;"")</f>
        <v/>
      </c>
      <c r="Y2700" s="94">
        <f>IF($A2700="",0,IF(AE2700="직접",IF(AF2700="비귀속",$P2700,0),$P2700*(1-AG2700)*IFERROR(INDEX(계정대체기준!$F$20:$F$49,MATCH($N2700,계정대체기준!$A$20:$A$49,0)),1)))</f>
        <v/>
      </c>
      <c r="Z2700" s="94">
        <f>IF($A2700="",0,IF(AE2700="직접",IF(AF2700="신계약비",$P2700,0),$P2700*(1-AG2700)*IFERROR(INDEX(계정대체기준!$C$20:$C$49,MATCH($N2700,계정대체기준!$A$20:$A$49,0)),0)))</f>
        <v/>
      </c>
      <c r="AA2700" s="94">
        <f>IF($A2700="",0,IF(AE2700="직접",IF(OR(AF2700="유지비",AF2700="손해조사비"),$P2700,0),$P2700*(1-AG2700)*IFERROR(INDEX(계정대체기준!$D$20:$D$49,MATCH($N2700,계정대체기준!$A$20:$A$49,0)),0)))</f>
        <v/>
      </c>
      <c r="AB2700" s="94">
        <f>IF($A2700="",0,IF(AE2700="직접",IF(AF2700="수금비",$P2700,0),$P2700*(1-AG2700)*IFERROR(INDEX(계정대체기준!$E$20:$E$49,MATCH($N2700,계정대체기준!$A$20:$A$49,0)),0)))</f>
        <v/>
      </c>
      <c r="AC2700" s="9">
        <f>IF(AND($A2700&lt;&gt;"",M2700=설정!$C$20,Z2700&gt;0),Z2700+ROW()/1000000000,"")</f>
        <v/>
      </c>
      <c r="AD2700" s="94">
        <f>IF($A2700="",0,$P2700*AG2700)</f>
        <v/>
      </c>
      <c r="AE2700" s="64">
        <f>IF($A2700="","",IFERROR(INDEX(계정매핑!$E$5:$E$504,MATCH($F2700&amp;"",계정매핑!$A$5:$A$504,0))&amp;"","공통비"))</f>
        <v/>
      </c>
      <c r="AF2700" s="64">
        <f>IF($A2700="","",IF(AE2700="직접",IFERROR(INDEX(계정매핑!$F$5:$F$504,MATCH($F2700&amp;"",계정매핑!$A$5:$A$504,0))&amp;"","비귀속"),""))</f>
        <v/>
      </c>
      <c r="AG2700" s="96">
        <f>IF($A2700="",0,IF(AND(AE2700&lt;&gt;"직접",IFERROR(INDEX(계정매핑!$G$5:$G$504,MATCH($F2700&amp;"",계정매핑!$A$5:$A$504,0))&amp;"","")="유지비",COUNTIF(계정대체기준!$A$6:$A$15,$N2700)&gt;0),IFERROR(INDEX(계정대체기준!$E$6:$E$15,MATCH(VALUE($A2700&amp;""),계정대체기준!$D$6:$D$15,0)),0),0))</f>
        <v/>
      </c>
      <c r="AH2700" s="64">
        <f>IF($A2700="","",IF(AD2700=0,"",IF(OR(COUNTIF(계정대체기준!$A$77:$A$86,$N2700)&gt;0,ISNUMBER(MATCH($X2700,계정대체기준!$D$77:$D$86,0)),ISNUMBER(MATCH($F2700,계정대체기준!$D$77:$D$86,0))),"Y","N")))</f>
        <v/>
      </c>
    </row>
    <row r="2701">
      <c r="A2701" s="92" t="n">
        <v>2025</v>
      </c>
      <c r="B2701" s="92" t="n">
        <v>12</v>
      </c>
      <c r="C2701" s="92" t="inlineStr">
        <is>
          <t>5100002697</t>
        </is>
      </c>
      <c r="D2701" s="95" t="n">
        <v>46016</v>
      </c>
      <c r="E2701" s="92" t="inlineStr">
        <is>
          <t>KR</t>
        </is>
      </c>
      <c r="F2701" s="92" t="n">
        <v>62401000</v>
      </c>
      <c r="G2701" s="92" t="n">
        <v>1502</v>
      </c>
      <c r="H2701" s="93" t="n">
        <v>2167000</v>
      </c>
      <c r="I2701" s="92" t="inlineStr">
        <is>
          <t>12월 인쇄물 제작 - S출판</t>
        </is>
      </c>
      <c r="J2701" s="92" t="inlineStr">
        <is>
          <t>V10015</t>
        </is>
      </c>
      <c r="K2701" s="92" t="inlineStr">
        <is>
          <t>S출판</t>
        </is>
      </c>
      <c r="M2701" s="9">
        <f>IF($A2701="","",VALUE($A2701&amp;"")*12+VALUE($B2701&amp;""))</f>
        <v/>
      </c>
      <c r="N2701" s="64">
        <f>IF($A2701="","",IFERROR(INDEX(부서매핑!$C$5:$C$504,MATCH($G2701&amp;"",부서매핑!$A$5:$A$504,0)),"미매핑"))</f>
        <v/>
      </c>
      <c r="O2701" s="9">
        <f>IF($A2701="","",N2701&amp;"|"&amp;$F2701)</f>
        <v/>
      </c>
      <c r="P2701" s="94">
        <f>IF($A2701="",0,$H2701*설정!$C$23)</f>
        <v/>
      </c>
      <c r="Q2701" s="64">
        <f>IF($A2701="","",IF(O2701&lt;&gt;원인분석!$C$9,"",IF(AND(M2701&gt;=원인분석!$C$10,M2701&lt;=원인분석!$C$11),"당기",IF(AND(M2701&gt;=원인분석!$C$12,M2701&lt;=원인분석!$C$13),"비교",""))))</f>
        <v/>
      </c>
      <c r="R2701" s="9">
        <f>IF(Q2701="","",$K2701&amp;"")</f>
        <v/>
      </c>
      <c r="S2701" s="9">
        <f>IF(Q2701="","",IF(MATCH(R2701,$R$5:$R$100000,0)=ROW()-4,ROW(),""))</f>
        <v/>
      </c>
      <c r="T2701" s="9">
        <f>IF(Q2701="당기",ABS(P2701)+ROW()/1000000000,"")</f>
        <v/>
      </c>
      <c r="U2701" s="9">
        <f>IF(Q2701="비교",ABS(P2701)+ROW()/1000000000,"")</f>
        <v/>
      </c>
      <c r="V2701" s="64">
        <f>IF($A2701="","",IF(COUNTIF(변동분석!$E$7:$E$506,O2701)&gt;0,"Y","N"))</f>
        <v/>
      </c>
      <c r="W2701" s="64">
        <f>IF($A2701="","",IFERROR(INDEX(계정매핑!$D$5:$D$504,MATCH($F2701&amp;"",계정매핑!$A$5:$A$504,0)),"미매핑"))</f>
        <v/>
      </c>
      <c r="X2701" s="9">
        <f>IF($A2701="","",$F2701&amp;"")</f>
        <v/>
      </c>
      <c r="Y2701" s="94">
        <f>IF($A2701="",0,IF(AE2701="직접",IF(AF2701="비귀속",$P2701,0),$P2701*(1-AG2701)*IFERROR(INDEX(계정대체기준!$F$20:$F$49,MATCH($N2701,계정대체기준!$A$20:$A$49,0)),1)))</f>
        <v/>
      </c>
      <c r="Z2701" s="94">
        <f>IF($A2701="",0,IF(AE2701="직접",IF(AF2701="신계약비",$P2701,0),$P2701*(1-AG2701)*IFERROR(INDEX(계정대체기준!$C$20:$C$49,MATCH($N2701,계정대체기준!$A$20:$A$49,0)),0)))</f>
        <v/>
      </c>
      <c r="AA2701" s="94">
        <f>IF($A2701="",0,IF(AE2701="직접",IF(OR(AF2701="유지비",AF2701="손해조사비"),$P2701,0),$P2701*(1-AG2701)*IFERROR(INDEX(계정대체기준!$D$20:$D$49,MATCH($N2701,계정대체기준!$A$20:$A$49,0)),0)))</f>
        <v/>
      </c>
      <c r="AB2701" s="94">
        <f>IF($A2701="",0,IF(AE2701="직접",IF(AF2701="수금비",$P2701,0),$P2701*(1-AG2701)*IFERROR(INDEX(계정대체기준!$E$20:$E$49,MATCH($N2701,계정대체기준!$A$20:$A$49,0)),0)))</f>
        <v/>
      </c>
      <c r="AC2701" s="9">
        <f>IF(AND($A2701&lt;&gt;"",M2701=설정!$C$20,Z2701&gt;0),Z2701+ROW()/1000000000,"")</f>
        <v/>
      </c>
      <c r="AD2701" s="94">
        <f>IF($A2701="",0,$P2701*AG2701)</f>
        <v/>
      </c>
      <c r="AE2701" s="64">
        <f>IF($A2701="","",IFERROR(INDEX(계정매핑!$E$5:$E$504,MATCH($F2701&amp;"",계정매핑!$A$5:$A$504,0))&amp;"","공통비"))</f>
        <v/>
      </c>
      <c r="AF2701" s="64">
        <f>IF($A2701="","",IF(AE2701="직접",IFERROR(INDEX(계정매핑!$F$5:$F$504,MATCH($F2701&amp;"",계정매핑!$A$5:$A$504,0))&amp;"","비귀속"),""))</f>
        <v/>
      </c>
      <c r="AG2701" s="96">
        <f>IF($A2701="",0,IF(AND(AE2701&lt;&gt;"직접",IFERROR(INDEX(계정매핑!$G$5:$G$504,MATCH($F2701&amp;"",계정매핑!$A$5:$A$504,0))&amp;"","")="유지비",COUNTIF(계정대체기준!$A$6:$A$15,$N2701)&gt;0),IFERROR(INDEX(계정대체기준!$E$6:$E$15,MATCH(VALUE($A2701&amp;""),계정대체기준!$D$6:$D$15,0)),0),0))</f>
        <v/>
      </c>
      <c r="AH2701" s="64">
        <f>IF($A2701="","",IF(AD2701=0,"",IF(OR(COUNTIF(계정대체기준!$A$77:$A$86,$N2701)&gt;0,ISNUMBER(MATCH($X2701,계정대체기준!$D$77:$D$86,0)),ISNUMBER(MATCH($F2701,계정대체기준!$D$77:$D$86,0))),"Y","N")))</f>
        <v/>
      </c>
    </row>
    <row r="2702">
      <c r="A2702" s="92" t="n">
        <v>2025</v>
      </c>
      <c r="B2702" s="92" t="n">
        <v>12</v>
      </c>
      <c r="C2702" s="92" t="inlineStr">
        <is>
          <t>5100002698</t>
        </is>
      </c>
      <c r="D2702" s="95" t="n">
        <v>46016</v>
      </c>
      <c r="E2702" s="92" t="inlineStr">
        <is>
          <t>KR</t>
        </is>
      </c>
      <c r="F2702" s="92" t="n">
        <v>62902000</v>
      </c>
      <c r="G2702" s="92" t="n">
        <v>1401</v>
      </c>
      <c r="H2702" s="93" t="n">
        <v>2545000</v>
      </c>
      <c r="I2702" s="92" t="inlineStr">
        <is>
          <t>12월 업무 위탁 수수료 - J콜센터</t>
        </is>
      </c>
      <c r="J2702" s="92" t="inlineStr">
        <is>
          <t>V10016</t>
        </is>
      </c>
      <c r="K2702" s="92" t="inlineStr">
        <is>
          <t>J콜센터</t>
        </is>
      </c>
      <c r="M2702" s="9">
        <f>IF($A2702="","",VALUE($A2702&amp;"")*12+VALUE($B2702&amp;""))</f>
        <v/>
      </c>
      <c r="N2702" s="64">
        <f>IF($A2702="","",IFERROR(INDEX(부서매핑!$C$5:$C$504,MATCH($G2702&amp;"",부서매핑!$A$5:$A$504,0)),"미매핑"))</f>
        <v/>
      </c>
      <c r="O2702" s="9">
        <f>IF($A2702="","",N2702&amp;"|"&amp;$F2702)</f>
        <v/>
      </c>
      <c r="P2702" s="94">
        <f>IF($A2702="",0,$H2702*설정!$C$23)</f>
        <v/>
      </c>
      <c r="Q2702" s="64">
        <f>IF($A2702="","",IF(O2702&lt;&gt;원인분석!$C$9,"",IF(AND(M2702&gt;=원인분석!$C$10,M2702&lt;=원인분석!$C$11),"당기",IF(AND(M2702&gt;=원인분석!$C$12,M2702&lt;=원인분석!$C$13),"비교",""))))</f>
        <v/>
      </c>
      <c r="R2702" s="9">
        <f>IF(Q2702="","",$K2702&amp;"")</f>
        <v/>
      </c>
      <c r="S2702" s="9">
        <f>IF(Q2702="","",IF(MATCH(R2702,$R$5:$R$100000,0)=ROW()-4,ROW(),""))</f>
        <v/>
      </c>
      <c r="T2702" s="9">
        <f>IF(Q2702="당기",ABS(P2702)+ROW()/1000000000,"")</f>
        <v/>
      </c>
      <c r="U2702" s="9">
        <f>IF(Q2702="비교",ABS(P2702)+ROW()/1000000000,"")</f>
        <v/>
      </c>
      <c r="V2702" s="64">
        <f>IF($A2702="","",IF(COUNTIF(변동분석!$E$7:$E$506,O2702)&gt;0,"Y","N"))</f>
        <v/>
      </c>
      <c r="W2702" s="64">
        <f>IF($A2702="","",IFERROR(INDEX(계정매핑!$D$5:$D$504,MATCH($F2702&amp;"",계정매핑!$A$5:$A$504,0)),"미매핑"))</f>
        <v/>
      </c>
      <c r="X2702" s="9">
        <f>IF($A2702="","",$F2702&amp;"")</f>
        <v/>
      </c>
      <c r="Y2702" s="94">
        <f>IF($A2702="",0,IF(AE2702="직접",IF(AF2702="비귀속",$P2702,0),$P2702*(1-AG2702)*IFERROR(INDEX(계정대체기준!$F$20:$F$49,MATCH($N2702,계정대체기준!$A$20:$A$49,0)),1)))</f>
        <v/>
      </c>
      <c r="Z2702" s="94">
        <f>IF($A2702="",0,IF(AE2702="직접",IF(AF2702="신계약비",$P2702,0),$P2702*(1-AG2702)*IFERROR(INDEX(계정대체기준!$C$20:$C$49,MATCH($N2702,계정대체기준!$A$20:$A$49,0)),0)))</f>
        <v/>
      </c>
      <c r="AA2702" s="94">
        <f>IF($A2702="",0,IF(AE2702="직접",IF(OR(AF2702="유지비",AF2702="손해조사비"),$P2702,0),$P2702*(1-AG2702)*IFERROR(INDEX(계정대체기준!$D$20:$D$49,MATCH($N2702,계정대체기준!$A$20:$A$49,0)),0)))</f>
        <v/>
      </c>
      <c r="AB2702" s="94">
        <f>IF($A2702="",0,IF(AE2702="직접",IF(AF2702="수금비",$P2702,0),$P2702*(1-AG2702)*IFERROR(INDEX(계정대체기준!$E$20:$E$49,MATCH($N2702,계정대체기준!$A$20:$A$49,0)),0)))</f>
        <v/>
      </c>
      <c r="AC2702" s="9">
        <f>IF(AND($A2702&lt;&gt;"",M2702=설정!$C$20,Z2702&gt;0),Z2702+ROW()/1000000000,"")</f>
        <v/>
      </c>
      <c r="AD2702" s="94">
        <f>IF($A2702="",0,$P2702*AG2702)</f>
        <v/>
      </c>
      <c r="AE2702" s="64">
        <f>IF($A2702="","",IFERROR(INDEX(계정매핑!$E$5:$E$504,MATCH($F2702&amp;"",계정매핑!$A$5:$A$504,0))&amp;"","공통비"))</f>
        <v/>
      </c>
      <c r="AF2702" s="64">
        <f>IF($A2702="","",IF(AE2702="직접",IFERROR(INDEX(계정매핑!$F$5:$F$504,MATCH($F2702&amp;"",계정매핑!$A$5:$A$504,0))&amp;"","비귀속"),""))</f>
        <v/>
      </c>
      <c r="AG2702" s="96">
        <f>IF($A2702="",0,IF(AND(AE2702&lt;&gt;"직접",IFERROR(INDEX(계정매핑!$G$5:$G$504,MATCH($F2702&amp;"",계정매핑!$A$5:$A$504,0))&amp;"","")="유지비",COUNTIF(계정대체기준!$A$6:$A$15,$N2702)&gt;0),IFERROR(INDEX(계정대체기준!$E$6:$E$15,MATCH(VALUE($A2702&amp;""),계정대체기준!$D$6:$D$15,0)),0),0))</f>
        <v/>
      </c>
      <c r="AH2702" s="64">
        <f>IF($A2702="","",IF(AD2702=0,"",IF(OR(COUNTIF(계정대체기준!$A$77:$A$86,$N2702)&gt;0,ISNUMBER(MATCH($X2702,계정대체기준!$D$77:$D$86,0)),ISNUMBER(MATCH($F2702,계정대체기준!$D$77:$D$86,0))),"Y","N")))</f>
        <v/>
      </c>
    </row>
    <row r="2703">
      <c r="A2703" s="92" t="n">
        <v>2025</v>
      </c>
      <c r="B2703" s="92" t="n">
        <v>12</v>
      </c>
      <c r="C2703" s="92" t="inlineStr">
        <is>
          <t>5100002699</t>
        </is>
      </c>
      <c r="D2703" s="95" t="n">
        <v>46016</v>
      </c>
      <c r="E2703" s="92" t="inlineStr">
        <is>
          <t>KR</t>
        </is>
      </c>
      <c r="F2703" s="92" t="n">
        <v>62902000</v>
      </c>
      <c r="G2703" s="92" t="n">
        <v>1951</v>
      </c>
      <c r="H2703" s="93" t="n">
        <v>2663000</v>
      </c>
      <c r="I2703" s="92" t="inlineStr">
        <is>
          <t>12월 업무 위탁 수수료 - J콜센터</t>
        </is>
      </c>
      <c r="J2703" s="92" t="inlineStr">
        <is>
          <t>V10016</t>
        </is>
      </c>
      <c r="K2703" s="92" t="inlineStr">
        <is>
          <t>J콜센터</t>
        </is>
      </c>
      <c r="M2703" s="9">
        <f>IF($A2703="","",VALUE($A2703&amp;"")*12+VALUE($B2703&amp;""))</f>
        <v/>
      </c>
      <c r="N2703" s="64">
        <f>IF($A2703="","",IFERROR(INDEX(부서매핑!$C$5:$C$504,MATCH($G2703&amp;"",부서매핑!$A$5:$A$504,0)),"미매핑"))</f>
        <v/>
      </c>
      <c r="O2703" s="9">
        <f>IF($A2703="","",N2703&amp;"|"&amp;$F2703)</f>
        <v/>
      </c>
      <c r="P2703" s="94">
        <f>IF($A2703="",0,$H2703*설정!$C$23)</f>
        <v/>
      </c>
      <c r="Q2703" s="64">
        <f>IF($A2703="","",IF(O2703&lt;&gt;원인분석!$C$9,"",IF(AND(M2703&gt;=원인분석!$C$10,M2703&lt;=원인분석!$C$11),"당기",IF(AND(M2703&gt;=원인분석!$C$12,M2703&lt;=원인분석!$C$13),"비교",""))))</f>
        <v/>
      </c>
      <c r="R2703" s="9">
        <f>IF(Q2703="","",$K2703&amp;"")</f>
        <v/>
      </c>
      <c r="S2703" s="9">
        <f>IF(Q2703="","",IF(MATCH(R2703,$R$5:$R$100000,0)=ROW()-4,ROW(),""))</f>
        <v/>
      </c>
      <c r="T2703" s="9">
        <f>IF(Q2703="당기",ABS(P2703)+ROW()/1000000000,"")</f>
        <v/>
      </c>
      <c r="U2703" s="9">
        <f>IF(Q2703="비교",ABS(P2703)+ROW()/1000000000,"")</f>
        <v/>
      </c>
      <c r="V2703" s="64">
        <f>IF($A2703="","",IF(COUNTIF(변동분석!$E$7:$E$506,O2703)&gt;0,"Y","N"))</f>
        <v/>
      </c>
      <c r="W2703" s="64">
        <f>IF($A2703="","",IFERROR(INDEX(계정매핑!$D$5:$D$504,MATCH($F2703&amp;"",계정매핑!$A$5:$A$504,0)),"미매핑"))</f>
        <v/>
      </c>
      <c r="X2703" s="9">
        <f>IF($A2703="","",$F2703&amp;"")</f>
        <v/>
      </c>
      <c r="Y2703" s="94">
        <f>IF($A2703="",0,IF(AE2703="직접",IF(AF2703="비귀속",$P2703,0),$P2703*(1-AG2703)*IFERROR(INDEX(계정대체기준!$F$20:$F$49,MATCH($N2703,계정대체기준!$A$20:$A$49,0)),1)))</f>
        <v/>
      </c>
      <c r="Z2703" s="94">
        <f>IF($A2703="",0,IF(AE2703="직접",IF(AF2703="신계약비",$P2703,0),$P2703*(1-AG2703)*IFERROR(INDEX(계정대체기준!$C$20:$C$49,MATCH($N2703,계정대체기준!$A$20:$A$49,0)),0)))</f>
        <v/>
      </c>
      <c r="AA2703" s="94">
        <f>IF($A2703="",0,IF(AE2703="직접",IF(OR(AF2703="유지비",AF2703="손해조사비"),$P2703,0),$P2703*(1-AG2703)*IFERROR(INDEX(계정대체기준!$D$20:$D$49,MATCH($N2703,계정대체기준!$A$20:$A$49,0)),0)))</f>
        <v/>
      </c>
      <c r="AB2703" s="94">
        <f>IF($A2703="",0,IF(AE2703="직접",IF(AF2703="수금비",$P2703,0),$P2703*(1-AG2703)*IFERROR(INDEX(계정대체기준!$E$20:$E$49,MATCH($N2703,계정대체기준!$A$20:$A$49,0)),0)))</f>
        <v/>
      </c>
      <c r="AC2703" s="9">
        <f>IF(AND($A2703&lt;&gt;"",M2703=설정!$C$20,Z2703&gt;0),Z2703+ROW()/1000000000,"")</f>
        <v/>
      </c>
      <c r="AD2703" s="94">
        <f>IF($A2703="",0,$P2703*AG2703)</f>
        <v/>
      </c>
      <c r="AE2703" s="64">
        <f>IF($A2703="","",IFERROR(INDEX(계정매핑!$E$5:$E$504,MATCH($F2703&amp;"",계정매핑!$A$5:$A$504,0))&amp;"","공통비"))</f>
        <v/>
      </c>
      <c r="AF2703" s="64">
        <f>IF($A2703="","",IF(AE2703="직접",IFERROR(INDEX(계정매핑!$F$5:$F$504,MATCH($F2703&amp;"",계정매핑!$A$5:$A$504,0))&amp;"","비귀속"),""))</f>
        <v/>
      </c>
      <c r="AG2703" s="96">
        <f>IF($A2703="",0,IF(AND(AE2703&lt;&gt;"직접",IFERROR(INDEX(계정매핑!$G$5:$G$504,MATCH($F2703&amp;"",계정매핑!$A$5:$A$504,0))&amp;"","")="유지비",COUNTIF(계정대체기준!$A$6:$A$15,$N2703)&gt;0),IFERROR(INDEX(계정대체기준!$E$6:$E$15,MATCH(VALUE($A2703&amp;""),계정대체기준!$D$6:$D$15,0)),0),0))</f>
        <v/>
      </c>
      <c r="AH2703" s="64">
        <f>IF($A2703="","",IF(AD2703=0,"",IF(OR(COUNTIF(계정대체기준!$A$77:$A$86,$N2703)&gt;0,ISNUMBER(MATCH($X2703,계정대체기준!$D$77:$D$86,0)),ISNUMBER(MATCH($F2703,계정대체기준!$D$77:$D$86,0))),"Y","N")))</f>
        <v/>
      </c>
    </row>
    <row r="2704">
      <c r="A2704" s="92" t="n">
        <v>2025</v>
      </c>
      <c r="B2704" s="92" t="n">
        <v>12</v>
      </c>
      <c r="C2704" s="92" t="inlineStr">
        <is>
          <t>5100002700</t>
        </is>
      </c>
      <c r="D2704" s="95" t="n">
        <v>46016</v>
      </c>
      <c r="E2704" s="92" t="inlineStr">
        <is>
          <t>KR</t>
        </is>
      </c>
      <c r="F2704" s="92" t="n">
        <v>63002000</v>
      </c>
      <c r="G2704" s="92" t="n">
        <v>1701</v>
      </c>
      <c r="H2704" s="93" t="n">
        <v>72000000</v>
      </c>
      <c r="I2704" s="92" t="inlineStr">
        <is>
          <t>12월 클라우드 사용료 - C클라우드</t>
        </is>
      </c>
      <c r="J2704" s="92" t="inlineStr">
        <is>
          <t>V10026</t>
        </is>
      </c>
      <c r="K2704" s="92" t="inlineStr">
        <is>
          <t>C클라우드</t>
        </is>
      </c>
      <c r="M2704" s="9">
        <f>IF($A2704="","",VALUE($A2704&amp;"")*12+VALUE($B2704&amp;""))</f>
        <v/>
      </c>
      <c r="N2704" s="64">
        <f>IF($A2704="","",IFERROR(INDEX(부서매핑!$C$5:$C$504,MATCH($G2704&amp;"",부서매핑!$A$5:$A$504,0)),"미매핑"))</f>
        <v/>
      </c>
      <c r="O2704" s="9">
        <f>IF($A2704="","",N2704&amp;"|"&amp;$F2704)</f>
        <v/>
      </c>
      <c r="P2704" s="94">
        <f>IF($A2704="",0,$H2704*설정!$C$23)</f>
        <v/>
      </c>
      <c r="Q2704" s="64">
        <f>IF($A2704="","",IF(O2704&lt;&gt;원인분석!$C$9,"",IF(AND(M2704&gt;=원인분석!$C$10,M2704&lt;=원인분석!$C$11),"당기",IF(AND(M2704&gt;=원인분석!$C$12,M2704&lt;=원인분석!$C$13),"비교",""))))</f>
        <v/>
      </c>
      <c r="R2704" s="9">
        <f>IF(Q2704="","",$K2704&amp;"")</f>
        <v/>
      </c>
      <c r="S2704" s="9">
        <f>IF(Q2704="","",IF(MATCH(R2704,$R$5:$R$100000,0)=ROW()-4,ROW(),""))</f>
        <v/>
      </c>
      <c r="T2704" s="9">
        <f>IF(Q2704="당기",ABS(P2704)+ROW()/1000000000,"")</f>
        <v/>
      </c>
      <c r="U2704" s="9">
        <f>IF(Q2704="비교",ABS(P2704)+ROW()/1000000000,"")</f>
        <v/>
      </c>
      <c r="V2704" s="64">
        <f>IF($A2704="","",IF(COUNTIF(변동분석!$E$7:$E$506,O2704)&gt;0,"Y","N"))</f>
        <v/>
      </c>
      <c r="W2704" s="64">
        <f>IF($A2704="","",IFERROR(INDEX(계정매핑!$D$5:$D$504,MATCH($F2704&amp;"",계정매핑!$A$5:$A$504,0)),"미매핑"))</f>
        <v/>
      </c>
      <c r="X2704" s="9">
        <f>IF($A2704="","",$F2704&amp;"")</f>
        <v/>
      </c>
      <c r="Y2704" s="94">
        <f>IF($A2704="",0,IF(AE2704="직접",IF(AF2704="비귀속",$P2704,0),$P2704*(1-AG2704)*IFERROR(INDEX(계정대체기준!$F$20:$F$49,MATCH($N2704,계정대체기준!$A$20:$A$49,0)),1)))</f>
        <v/>
      </c>
      <c r="Z2704" s="94">
        <f>IF($A2704="",0,IF(AE2704="직접",IF(AF2704="신계약비",$P2704,0),$P2704*(1-AG2704)*IFERROR(INDEX(계정대체기준!$C$20:$C$49,MATCH($N2704,계정대체기준!$A$20:$A$49,0)),0)))</f>
        <v/>
      </c>
      <c r="AA2704" s="94">
        <f>IF($A2704="",0,IF(AE2704="직접",IF(OR(AF2704="유지비",AF2704="손해조사비"),$P2704,0),$P2704*(1-AG2704)*IFERROR(INDEX(계정대체기준!$D$20:$D$49,MATCH($N2704,계정대체기준!$A$20:$A$49,0)),0)))</f>
        <v/>
      </c>
      <c r="AB2704" s="94">
        <f>IF($A2704="",0,IF(AE2704="직접",IF(AF2704="수금비",$P2704,0),$P2704*(1-AG2704)*IFERROR(INDEX(계정대체기준!$E$20:$E$49,MATCH($N2704,계정대체기준!$A$20:$A$49,0)),0)))</f>
        <v/>
      </c>
      <c r="AC2704" s="9">
        <f>IF(AND($A2704&lt;&gt;"",M2704=설정!$C$20,Z2704&gt;0),Z2704+ROW()/1000000000,"")</f>
        <v/>
      </c>
      <c r="AD2704" s="94">
        <f>IF($A2704="",0,$P2704*AG2704)</f>
        <v/>
      </c>
      <c r="AE2704" s="64">
        <f>IF($A2704="","",IFERROR(INDEX(계정매핑!$E$5:$E$504,MATCH($F2704&amp;"",계정매핑!$A$5:$A$504,0))&amp;"","공통비"))</f>
        <v/>
      </c>
      <c r="AF2704" s="64">
        <f>IF($A2704="","",IF(AE2704="직접",IFERROR(INDEX(계정매핑!$F$5:$F$504,MATCH($F2704&amp;"",계정매핑!$A$5:$A$504,0))&amp;"","비귀속"),""))</f>
        <v/>
      </c>
      <c r="AG2704" s="96">
        <f>IF($A2704="",0,IF(AND(AE2704&lt;&gt;"직접",IFERROR(INDEX(계정매핑!$G$5:$G$504,MATCH($F2704&amp;"",계정매핑!$A$5:$A$504,0))&amp;"","")="유지비",COUNTIF(계정대체기준!$A$6:$A$15,$N2704)&gt;0),IFERROR(INDEX(계정대체기준!$E$6:$E$15,MATCH(VALUE($A2704&amp;""),계정대체기준!$D$6:$D$15,0)),0),0))</f>
        <v/>
      </c>
      <c r="AH2704" s="64">
        <f>IF($A2704="","",IF(AD2704=0,"",IF(OR(COUNTIF(계정대체기준!$A$77:$A$86,$N2704)&gt;0,ISNUMBER(MATCH($X2704,계정대체기준!$D$77:$D$86,0)),ISNUMBER(MATCH($F2704,계정대체기준!$D$77:$D$86,0))),"Y","N")))</f>
        <v/>
      </c>
    </row>
    <row r="2705">
      <c r="A2705" s="92" t="n">
        <v>2025</v>
      </c>
      <c r="B2705" s="92" t="n">
        <v>12</v>
      </c>
      <c r="C2705" s="92" t="inlineStr">
        <is>
          <t>5100002701</t>
        </is>
      </c>
      <c r="D2705" s="95" t="n">
        <v>46017</v>
      </c>
      <c r="E2705" s="92" t="inlineStr">
        <is>
          <t>KR</t>
        </is>
      </c>
      <c r="F2705" s="92" t="n">
        <v>62102000</v>
      </c>
      <c r="G2705" s="92" t="n">
        <v>1101</v>
      </c>
      <c r="H2705" s="93" t="n">
        <v>95000</v>
      </c>
      <c r="I2705" s="92" t="inlineStr">
        <is>
          <t>12월 해외출장 - N호텔</t>
        </is>
      </c>
      <c r="J2705" s="92" t="inlineStr">
        <is>
          <t>V10009</t>
        </is>
      </c>
      <c r="K2705" s="92" t="inlineStr">
        <is>
          <t>N호텔</t>
        </is>
      </c>
      <c r="M2705" s="9">
        <f>IF($A2705="","",VALUE($A2705&amp;"")*12+VALUE($B2705&amp;""))</f>
        <v/>
      </c>
      <c r="N2705" s="64">
        <f>IF($A2705="","",IFERROR(INDEX(부서매핑!$C$5:$C$504,MATCH($G2705&amp;"",부서매핑!$A$5:$A$504,0)),"미매핑"))</f>
        <v/>
      </c>
      <c r="O2705" s="9">
        <f>IF($A2705="","",N2705&amp;"|"&amp;$F2705)</f>
        <v/>
      </c>
      <c r="P2705" s="94">
        <f>IF($A2705="",0,$H2705*설정!$C$23)</f>
        <v/>
      </c>
      <c r="Q2705" s="64">
        <f>IF($A2705="","",IF(O2705&lt;&gt;원인분석!$C$9,"",IF(AND(M2705&gt;=원인분석!$C$10,M2705&lt;=원인분석!$C$11),"당기",IF(AND(M2705&gt;=원인분석!$C$12,M2705&lt;=원인분석!$C$13),"비교",""))))</f>
        <v/>
      </c>
      <c r="R2705" s="9">
        <f>IF(Q2705="","",$K2705&amp;"")</f>
        <v/>
      </c>
      <c r="S2705" s="9">
        <f>IF(Q2705="","",IF(MATCH(R2705,$R$5:$R$100000,0)=ROW()-4,ROW(),""))</f>
        <v/>
      </c>
      <c r="T2705" s="9">
        <f>IF(Q2705="당기",ABS(P2705)+ROW()/1000000000,"")</f>
        <v/>
      </c>
      <c r="U2705" s="9">
        <f>IF(Q2705="비교",ABS(P2705)+ROW()/1000000000,"")</f>
        <v/>
      </c>
      <c r="V2705" s="64">
        <f>IF($A2705="","",IF(COUNTIF(변동분석!$E$7:$E$506,O2705)&gt;0,"Y","N"))</f>
        <v/>
      </c>
      <c r="W2705" s="64">
        <f>IF($A2705="","",IFERROR(INDEX(계정매핑!$D$5:$D$504,MATCH($F2705&amp;"",계정매핑!$A$5:$A$504,0)),"미매핑"))</f>
        <v/>
      </c>
      <c r="X2705" s="9">
        <f>IF($A2705="","",$F2705&amp;"")</f>
        <v/>
      </c>
      <c r="Y2705" s="94">
        <f>IF($A2705="",0,IF(AE2705="직접",IF(AF2705="비귀속",$P2705,0),$P2705*(1-AG2705)*IFERROR(INDEX(계정대체기준!$F$20:$F$49,MATCH($N2705,계정대체기준!$A$20:$A$49,0)),1)))</f>
        <v/>
      </c>
      <c r="Z2705" s="94">
        <f>IF($A2705="",0,IF(AE2705="직접",IF(AF2705="신계약비",$P2705,0),$P2705*(1-AG2705)*IFERROR(INDEX(계정대체기준!$C$20:$C$49,MATCH($N2705,계정대체기준!$A$20:$A$49,0)),0)))</f>
        <v/>
      </c>
      <c r="AA2705" s="94">
        <f>IF($A2705="",0,IF(AE2705="직접",IF(OR(AF2705="유지비",AF2705="손해조사비"),$P2705,0),$P2705*(1-AG2705)*IFERROR(INDEX(계정대체기준!$D$20:$D$49,MATCH($N2705,계정대체기준!$A$20:$A$49,0)),0)))</f>
        <v/>
      </c>
      <c r="AB2705" s="94">
        <f>IF($A2705="",0,IF(AE2705="직접",IF(AF2705="수금비",$P2705,0),$P2705*(1-AG2705)*IFERROR(INDEX(계정대체기준!$E$20:$E$49,MATCH($N2705,계정대체기준!$A$20:$A$49,0)),0)))</f>
        <v/>
      </c>
      <c r="AC2705" s="9">
        <f>IF(AND($A2705&lt;&gt;"",M2705=설정!$C$20,Z2705&gt;0),Z2705+ROW()/1000000000,"")</f>
        <v/>
      </c>
      <c r="AD2705" s="94">
        <f>IF($A2705="",0,$P2705*AG2705)</f>
        <v/>
      </c>
      <c r="AE2705" s="64">
        <f>IF($A2705="","",IFERROR(INDEX(계정매핑!$E$5:$E$504,MATCH($F2705&amp;"",계정매핑!$A$5:$A$504,0))&amp;"","공통비"))</f>
        <v/>
      </c>
      <c r="AF2705" s="64">
        <f>IF($A2705="","",IF(AE2705="직접",IFERROR(INDEX(계정매핑!$F$5:$F$504,MATCH($F2705&amp;"",계정매핑!$A$5:$A$504,0))&amp;"","비귀속"),""))</f>
        <v/>
      </c>
      <c r="AG2705" s="96">
        <f>IF($A2705="",0,IF(AND(AE2705&lt;&gt;"직접",IFERROR(INDEX(계정매핑!$G$5:$G$504,MATCH($F2705&amp;"",계정매핑!$A$5:$A$504,0))&amp;"","")="유지비",COUNTIF(계정대체기준!$A$6:$A$15,$N2705)&gt;0),IFERROR(INDEX(계정대체기준!$E$6:$E$15,MATCH(VALUE($A2705&amp;""),계정대체기준!$D$6:$D$15,0)),0),0))</f>
        <v/>
      </c>
      <c r="AH2705" s="64">
        <f>IF($A2705="","",IF(AD2705=0,"",IF(OR(COUNTIF(계정대체기준!$A$77:$A$86,$N2705)&gt;0,ISNUMBER(MATCH($X2705,계정대체기준!$D$77:$D$86,0)),ISNUMBER(MATCH($F2705,계정대체기준!$D$77:$D$86,0))),"Y","N")))</f>
        <v/>
      </c>
    </row>
    <row r="2706">
      <c r="A2706" s="92" t="n">
        <v>2025</v>
      </c>
      <c r="B2706" s="92" t="n">
        <v>12</v>
      </c>
      <c r="C2706" s="92" t="inlineStr">
        <is>
          <t>5100002702</t>
        </is>
      </c>
      <c r="D2706" s="95" t="n">
        <v>46017</v>
      </c>
      <c r="E2706" s="92" t="inlineStr">
        <is>
          <t>KR</t>
        </is>
      </c>
      <c r="F2706" s="92" t="n">
        <v>62102000</v>
      </c>
      <c r="G2706" s="92" t="n">
        <v>1401</v>
      </c>
      <c r="H2706" s="93" t="n">
        <v>81000</v>
      </c>
      <c r="I2706" s="92" t="inlineStr">
        <is>
          <t>12월 해외출장 - N호텔</t>
        </is>
      </c>
      <c r="J2706" s="92" t="inlineStr">
        <is>
          <t>V10009</t>
        </is>
      </c>
      <c r="K2706" s="92" t="inlineStr">
        <is>
          <t>N호텔</t>
        </is>
      </c>
      <c r="M2706" s="9">
        <f>IF($A2706="","",VALUE($A2706&amp;"")*12+VALUE($B2706&amp;""))</f>
        <v/>
      </c>
      <c r="N2706" s="64">
        <f>IF($A2706="","",IFERROR(INDEX(부서매핑!$C$5:$C$504,MATCH($G2706&amp;"",부서매핑!$A$5:$A$504,0)),"미매핑"))</f>
        <v/>
      </c>
      <c r="O2706" s="9">
        <f>IF($A2706="","",N2706&amp;"|"&amp;$F2706)</f>
        <v/>
      </c>
      <c r="P2706" s="94">
        <f>IF($A2706="",0,$H2706*설정!$C$23)</f>
        <v/>
      </c>
      <c r="Q2706" s="64">
        <f>IF($A2706="","",IF(O2706&lt;&gt;원인분석!$C$9,"",IF(AND(M2706&gt;=원인분석!$C$10,M2706&lt;=원인분석!$C$11),"당기",IF(AND(M2706&gt;=원인분석!$C$12,M2706&lt;=원인분석!$C$13),"비교",""))))</f>
        <v/>
      </c>
      <c r="R2706" s="9">
        <f>IF(Q2706="","",$K2706&amp;"")</f>
        <v/>
      </c>
      <c r="S2706" s="9">
        <f>IF(Q2706="","",IF(MATCH(R2706,$R$5:$R$100000,0)=ROW()-4,ROW(),""))</f>
        <v/>
      </c>
      <c r="T2706" s="9">
        <f>IF(Q2706="당기",ABS(P2706)+ROW()/1000000000,"")</f>
        <v/>
      </c>
      <c r="U2706" s="9">
        <f>IF(Q2706="비교",ABS(P2706)+ROW()/1000000000,"")</f>
        <v/>
      </c>
      <c r="V2706" s="64">
        <f>IF($A2706="","",IF(COUNTIF(변동분석!$E$7:$E$506,O2706)&gt;0,"Y","N"))</f>
        <v/>
      </c>
      <c r="W2706" s="64">
        <f>IF($A2706="","",IFERROR(INDEX(계정매핑!$D$5:$D$504,MATCH($F2706&amp;"",계정매핑!$A$5:$A$504,0)),"미매핑"))</f>
        <v/>
      </c>
      <c r="X2706" s="9">
        <f>IF($A2706="","",$F2706&amp;"")</f>
        <v/>
      </c>
      <c r="Y2706" s="94">
        <f>IF($A2706="",0,IF(AE2706="직접",IF(AF2706="비귀속",$P2706,0),$P2706*(1-AG2706)*IFERROR(INDEX(계정대체기준!$F$20:$F$49,MATCH($N2706,계정대체기준!$A$20:$A$49,0)),1)))</f>
        <v/>
      </c>
      <c r="Z2706" s="94">
        <f>IF($A2706="",0,IF(AE2706="직접",IF(AF2706="신계약비",$P2706,0),$P2706*(1-AG2706)*IFERROR(INDEX(계정대체기준!$C$20:$C$49,MATCH($N2706,계정대체기준!$A$20:$A$49,0)),0)))</f>
        <v/>
      </c>
      <c r="AA2706" s="94">
        <f>IF($A2706="",0,IF(AE2706="직접",IF(OR(AF2706="유지비",AF2706="손해조사비"),$P2706,0),$P2706*(1-AG2706)*IFERROR(INDEX(계정대체기준!$D$20:$D$49,MATCH($N2706,계정대체기준!$A$20:$A$49,0)),0)))</f>
        <v/>
      </c>
      <c r="AB2706" s="94">
        <f>IF($A2706="",0,IF(AE2706="직접",IF(AF2706="수금비",$P2706,0),$P2706*(1-AG2706)*IFERROR(INDEX(계정대체기준!$E$20:$E$49,MATCH($N2706,계정대체기준!$A$20:$A$49,0)),0)))</f>
        <v/>
      </c>
      <c r="AC2706" s="9">
        <f>IF(AND($A2706&lt;&gt;"",M2706=설정!$C$20,Z2706&gt;0),Z2706+ROW()/1000000000,"")</f>
        <v/>
      </c>
      <c r="AD2706" s="94">
        <f>IF($A2706="",0,$P2706*AG2706)</f>
        <v/>
      </c>
      <c r="AE2706" s="64">
        <f>IF($A2706="","",IFERROR(INDEX(계정매핑!$E$5:$E$504,MATCH($F2706&amp;"",계정매핑!$A$5:$A$504,0))&amp;"","공통비"))</f>
        <v/>
      </c>
      <c r="AF2706" s="64">
        <f>IF($A2706="","",IF(AE2706="직접",IFERROR(INDEX(계정매핑!$F$5:$F$504,MATCH($F2706&amp;"",계정매핑!$A$5:$A$504,0))&amp;"","비귀속"),""))</f>
        <v/>
      </c>
      <c r="AG2706" s="96">
        <f>IF($A2706="",0,IF(AND(AE2706&lt;&gt;"직접",IFERROR(INDEX(계정매핑!$G$5:$G$504,MATCH($F2706&amp;"",계정매핑!$A$5:$A$504,0))&amp;"","")="유지비",COUNTIF(계정대체기준!$A$6:$A$15,$N2706)&gt;0),IFERROR(INDEX(계정대체기준!$E$6:$E$15,MATCH(VALUE($A2706&amp;""),계정대체기준!$D$6:$D$15,0)),0),0))</f>
        <v/>
      </c>
      <c r="AH2706" s="64">
        <f>IF($A2706="","",IF(AD2706=0,"",IF(OR(COUNTIF(계정대체기준!$A$77:$A$86,$N2706)&gt;0,ISNUMBER(MATCH($X2706,계정대체기준!$D$77:$D$86,0)),ISNUMBER(MATCH($F2706,계정대체기준!$D$77:$D$86,0))),"Y","N")))</f>
        <v/>
      </c>
    </row>
    <row r="2707">
      <c r="A2707" s="92" t="n">
        <v>2025</v>
      </c>
      <c r="B2707" s="92" t="n">
        <v>12</v>
      </c>
      <c r="C2707" s="92" t="inlineStr">
        <is>
          <t>5100002703</t>
        </is>
      </c>
      <c r="D2707" s="95" t="n">
        <v>46017</v>
      </c>
      <c r="E2707" s="92" t="inlineStr">
        <is>
          <t>KR</t>
        </is>
      </c>
      <c r="F2707" s="92" t="n">
        <v>62201000</v>
      </c>
      <c r="G2707" s="92" t="n">
        <v>1101</v>
      </c>
      <c r="H2707" s="93" t="n">
        <v>215000</v>
      </c>
      <c r="I2707" s="92" t="inlineStr">
        <is>
          <t>12월 통신요금 - O텔레콤</t>
        </is>
      </c>
      <c r="J2707" s="92" t="inlineStr">
        <is>
          <t>V10002</t>
        </is>
      </c>
      <c r="K2707" s="92" t="inlineStr">
        <is>
          <t>O텔레콤</t>
        </is>
      </c>
      <c r="M2707" s="9">
        <f>IF($A2707="","",VALUE($A2707&amp;"")*12+VALUE($B2707&amp;""))</f>
        <v/>
      </c>
      <c r="N2707" s="64">
        <f>IF($A2707="","",IFERROR(INDEX(부서매핑!$C$5:$C$504,MATCH($G2707&amp;"",부서매핑!$A$5:$A$504,0)),"미매핑"))</f>
        <v/>
      </c>
      <c r="O2707" s="9">
        <f>IF($A2707="","",N2707&amp;"|"&amp;$F2707)</f>
        <v/>
      </c>
      <c r="P2707" s="94">
        <f>IF($A2707="",0,$H2707*설정!$C$23)</f>
        <v/>
      </c>
      <c r="Q2707" s="64">
        <f>IF($A2707="","",IF(O2707&lt;&gt;원인분석!$C$9,"",IF(AND(M2707&gt;=원인분석!$C$10,M2707&lt;=원인분석!$C$11),"당기",IF(AND(M2707&gt;=원인분석!$C$12,M2707&lt;=원인분석!$C$13),"비교",""))))</f>
        <v/>
      </c>
      <c r="R2707" s="9">
        <f>IF(Q2707="","",$K2707&amp;"")</f>
        <v/>
      </c>
      <c r="S2707" s="9">
        <f>IF(Q2707="","",IF(MATCH(R2707,$R$5:$R$100000,0)=ROW()-4,ROW(),""))</f>
        <v/>
      </c>
      <c r="T2707" s="9">
        <f>IF(Q2707="당기",ABS(P2707)+ROW()/1000000000,"")</f>
        <v/>
      </c>
      <c r="U2707" s="9">
        <f>IF(Q2707="비교",ABS(P2707)+ROW()/1000000000,"")</f>
        <v/>
      </c>
      <c r="V2707" s="64">
        <f>IF($A2707="","",IF(COUNTIF(변동분석!$E$7:$E$506,O2707)&gt;0,"Y","N"))</f>
        <v/>
      </c>
      <c r="W2707" s="64">
        <f>IF($A2707="","",IFERROR(INDEX(계정매핑!$D$5:$D$504,MATCH($F2707&amp;"",계정매핑!$A$5:$A$504,0)),"미매핑"))</f>
        <v/>
      </c>
      <c r="X2707" s="9">
        <f>IF($A2707="","",$F2707&amp;"")</f>
        <v/>
      </c>
      <c r="Y2707" s="94">
        <f>IF($A2707="",0,IF(AE2707="직접",IF(AF2707="비귀속",$P2707,0),$P2707*(1-AG2707)*IFERROR(INDEX(계정대체기준!$F$20:$F$49,MATCH($N2707,계정대체기준!$A$20:$A$49,0)),1)))</f>
        <v/>
      </c>
      <c r="Z2707" s="94">
        <f>IF($A2707="",0,IF(AE2707="직접",IF(AF2707="신계약비",$P2707,0),$P2707*(1-AG2707)*IFERROR(INDEX(계정대체기준!$C$20:$C$49,MATCH($N2707,계정대체기준!$A$20:$A$49,0)),0)))</f>
        <v/>
      </c>
      <c r="AA2707" s="94">
        <f>IF($A2707="",0,IF(AE2707="직접",IF(OR(AF2707="유지비",AF2707="손해조사비"),$P2707,0),$P2707*(1-AG2707)*IFERROR(INDEX(계정대체기준!$D$20:$D$49,MATCH($N2707,계정대체기준!$A$20:$A$49,0)),0)))</f>
        <v/>
      </c>
      <c r="AB2707" s="94">
        <f>IF($A2707="",0,IF(AE2707="직접",IF(AF2707="수금비",$P2707,0),$P2707*(1-AG2707)*IFERROR(INDEX(계정대체기준!$E$20:$E$49,MATCH($N2707,계정대체기준!$A$20:$A$49,0)),0)))</f>
        <v/>
      </c>
      <c r="AC2707" s="9">
        <f>IF(AND($A2707&lt;&gt;"",M2707=설정!$C$20,Z2707&gt;0),Z2707+ROW()/1000000000,"")</f>
        <v/>
      </c>
      <c r="AD2707" s="94">
        <f>IF($A2707="",0,$P2707*AG2707)</f>
        <v/>
      </c>
      <c r="AE2707" s="64">
        <f>IF($A2707="","",IFERROR(INDEX(계정매핑!$E$5:$E$504,MATCH($F2707&amp;"",계정매핑!$A$5:$A$504,0))&amp;"","공통비"))</f>
        <v/>
      </c>
      <c r="AF2707" s="64">
        <f>IF($A2707="","",IF(AE2707="직접",IFERROR(INDEX(계정매핑!$F$5:$F$504,MATCH($F2707&amp;"",계정매핑!$A$5:$A$504,0))&amp;"","비귀속"),""))</f>
        <v/>
      </c>
      <c r="AG2707" s="96">
        <f>IF($A2707="",0,IF(AND(AE2707&lt;&gt;"직접",IFERROR(INDEX(계정매핑!$G$5:$G$504,MATCH($F2707&amp;"",계정매핑!$A$5:$A$504,0))&amp;"","")="유지비",COUNTIF(계정대체기준!$A$6:$A$15,$N2707)&gt;0),IFERROR(INDEX(계정대체기준!$E$6:$E$15,MATCH(VALUE($A2707&amp;""),계정대체기준!$D$6:$D$15,0)),0),0))</f>
        <v/>
      </c>
      <c r="AH2707" s="64">
        <f>IF($A2707="","",IF(AD2707=0,"",IF(OR(COUNTIF(계정대체기준!$A$77:$A$86,$N2707)&gt;0,ISNUMBER(MATCH($X2707,계정대체기준!$D$77:$D$86,0)),ISNUMBER(MATCH($F2707,계정대체기준!$D$77:$D$86,0))),"Y","N")))</f>
        <v/>
      </c>
    </row>
    <row r="2708">
      <c r="A2708" s="92" t="n">
        <v>2025</v>
      </c>
      <c r="B2708" s="92" t="n">
        <v>12</v>
      </c>
      <c r="C2708" s="92" t="inlineStr">
        <is>
          <t>5100002704</t>
        </is>
      </c>
      <c r="D2708" s="95" t="n">
        <v>46017</v>
      </c>
      <c r="E2708" s="92" t="inlineStr">
        <is>
          <t>KR</t>
        </is>
      </c>
      <c r="F2708" s="92" t="n">
        <v>62301000</v>
      </c>
      <c r="G2708" s="92" t="n">
        <v>1801</v>
      </c>
      <c r="H2708" s="93" t="n">
        <v>417000</v>
      </c>
      <c r="I2708" s="92" t="inlineStr">
        <is>
          <t>12월 소모품 구입 - Q오피스</t>
        </is>
      </c>
      <c r="J2708" s="92" t="inlineStr">
        <is>
          <t>V10003</t>
        </is>
      </c>
      <c r="K2708" s="92" t="inlineStr">
        <is>
          <t>Q오피스</t>
        </is>
      </c>
      <c r="M2708" s="9">
        <f>IF($A2708="","",VALUE($A2708&amp;"")*12+VALUE($B2708&amp;""))</f>
        <v/>
      </c>
      <c r="N2708" s="64">
        <f>IF($A2708="","",IFERROR(INDEX(부서매핑!$C$5:$C$504,MATCH($G2708&amp;"",부서매핑!$A$5:$A$504,0)),"미매핑"))</f>
        <v/>
      </c>
      <c r="O2708" s="9">
        <f>IF($A2708="","",N2708&amp;"|"&amp;$F2708)</f>
        <v/>
      </c>
      <c r="P2708" s="94">
        <f>IF($A2708="",0,$H2708*설정!$C$23)</f>
        <v/>
      </c>
      <c r="Q2708" s="64">
        <f>IF($A2708="","",IF(O2708&lt;&gt;원인분석!$C$9,"",IF(AND(M2708&gt;=원인분석!$C$10,M2708&lt;=원인분석!$C$11),"당기",IF(AND(M2708&gt;=원인분석!$C$12,M2708&lt;=원인분석!$C$13),"비교",""))))</f>
        <v/>
      </c>
      <c r="R2708" s="9">
        <f>IF(Q2708="","",$K2708&amp;"")</f>
        <v/>
      </c>
      <c r="S2708" s="9">
        <f>IF(Q2708="","",IF(MATCH(R2708,$R$5:$R$100000,0)=ROW()-4,ROW(),""))</f>
        <v/>
      </c>
      <c r="T2708" s="9">
        <f>IF(Q2708="당기",ABS(P2708)+ROW()/1000000000,"")</f>
        <v/>
      </c>
      <c r="U2708" s="9">
        <f>IF(Q2708="비교",ABS(P2708)+ROW()/1000000000,"")</f>
        <v/>
      </c>
      <c r="V2708" s="64">
        <f>IF($A2708="","",IF(COUNTIF(변동분석!$E$7:$E$506,O2708)&gt;0,"Y","N"))</f>
        <v/>
      </c>
      <c r="W2708" s="64">
        <f>IF($A2708="","",IFERROR(INDEX(계정매핑!$D$5:$D$504,MATCH($F2708&amp;"",계정매핑!$A$5:$A$504,0)),"미매핑"))</f>
        <v/>
      </c>
      <c r="X2708" s="9">
        <f>IF($A2708="","",$F2708&amp;"")</f>
        <v/>
      </c>
      <c r="Y2708" s="94">
        <f>IF($A2708="",0,IF(AE2708="직접",IF(AF2708="비귀속",$P2708,0),$P2708*(1-AG2708)*IFERROR(INDEX(계정대체기준!$F$20:$F$49,MATCH($N2708,계정대체기준!$A$20:$A$49,0)),1)))</f>
        <v/>
      </c>
      <c r="Z2708" s="94">
        <f>IF($A2708="",0,IF(AE2708="직접",IF(AF2708="신계약비",$P2708,0),$P2708*(1-AG2708)*IFERROR(INDEX(계정대체기준!$C$20:$C$49,MATCH($N2708,계정대체기준!$A$20:$A$49,0)),0)))</f>
        <v/>
      </c>
      <c r="AA2708" s="94">
        <f>IF($A2708="",0,IF(AE2708="직접",IF(OR(AF2708="유지비",AF2708="손해조사비"),$P2708,0),$P2708*(1-AG2708)*IFERROR(INDEX(계정대체기준!$D$20:$D$49,MATCH($N2708,계정대체기준!$A$20:$A$49,0)),0)))</f>
        <v/>
      </c>
      <c r="AB2708" s="94">
        <f>IF($A2708="",0,IF(AE2708="직접",IF(AF2708="수금비",$P2708,0),$P2708*(1-AG2708)*IFERROR(INDEX(계정대체기준!$E$20:$E$49,MATCH($N2708,계정대체기준!$A$20:$A$49,0)),0)))</f>
        <v/>
      </c>
      <c r="AC2708" s="9">
        <f>IF(AND($A2708&lt;&gt;"",M2708=설정!$C$20,Z2708&gt;0),Z2708+ROW()/1000000000,"")</f>
        <v/>
      </c>
      <c r="AD2708" s="94">
        <f>IF($A2708="",0,$P2708*AG2708)</f>
        <v/>
      </c>
      <c r="AE2708" s="64">
        <f>IF($A2708="","",IFERROR(INDEX(계정매핑!$E$5:$E$504,MATCH($F2708&amp;"",계정매핑!$A$5:$A$504,0))&amp;"","공통비"))</f>
        <v/>
      </c>
      <c r="AF2708" s="64">
        <f>IF($A2708="","",IF(AE2708="직접",IFERROR(INDEX(계정매핑!$F$5:$F$504,MATCH($F2708&amp;"",계정매핑!$A$5:$A$504,0))&amp;"","비귀속"),""))</f>
        <v/>
      </c>
      <c r="AG2708" s="96">
        <f>IF($A2708="",0,IF(AND(AE2708&lt;&gt;"직접",IFERROR(INDEX(계정매핑!$G$5:$G$504,MATCH($F2708&amp;"",계정매핑!$A$5:$A$504,0))&amp;"","")="유지비",COUNTIF(계정대체기준!$A$6:$A$15,$N2708)&gt;0),IFERROR(INDEX(계정대체기준!$E$6:$E$15,MATCH(VALUE($A2708&amp;""),계정대체기준!$D$6:$D$15,0)),0),0))</f>
        <v/>
      </c>
      <c r="AH2708" s="64">
        <f>IF($A2708="","",IF(AD2708=0,"",IF(OR(COUNTIF(계정대체기준!$A$77:$A$86,$N2708)&gt;0,ISNUMBER(MATCH($X2708,계정대체기준!$D$77:$D$86,0)),ISNUMBER(MATCH($F2708,계정대체기준!$D$77:$D$86,0))),"Y","N")))</f>
        <v/>
      </c>
    </row>
    <row r="2709">
      <c r="A2709" s="92" t="n">
        <v>2025</v>
      </c>
      <c r="B2709" s="92" t="n">
        <v>12</v>
      </c>
      <c r="C2709" s="92" t="inlineStr">
        <is>
          <t>5100002705</t>
        </is>
      </c>
      <c r="D2709" s="95" t="n">
        <v>46017</v>
      </c>
      <c r="E2709" s="92" t="inlineStr">
        <is>
          <t>KR</t>
        </is>
      </c>
      <c r="F2709" s="92" t="n">
        <v>62501000</v>
      </c>
      <c r="G2709" s="92" t="n">
        <v>1801</v>
      </c>
      <c r="H2709" s="93" t="n">
        <v>265000</v>
      </c>
      <c r="I2709" s="92" t="inlineStr">
        <is>
          <t>12월 회의 다과 - (법인카드)</t>
        </is>
      </c>
      <c r="J2709" s="92" t="inlineStr">
        <is>
          <t>V10010</t>
        </is>
      </c>
      <c r="K2709" s="92" t="inlineStr">
        <is>
          <t>(법인카드)</t>
        </is>
      </c>
      <c r="M2709" s="9">
        <f>IF($A2709="","",VALUE($A2709&amp;"")*12+VALUE($B2709&amp;""))</f>
        <v/>
      </c>
      <c r="N2709" s="64">
        <f>IF($A2709="","",IFERROR(INDEX(부서매핑!$C$5:$C$504,MATCH($G2709&amp;"",부서매핑!$A$5:$A$504,0)),"미매핑"))</f>
        <v/>
      </c>
      <c r="O2709" s="9">
        <f>IF($A2709="","",N2709&amp;"|"&amp;$F2709)</f>
        <v/>
      </c>
      <c r="P2709" s="94">
        <f>IF($A2709="",0,$H2709*설정!$C$23)</f>
        <v/>
      </c>
      <c r="Q2709" s="64">
        <f>IF($A2709="","",IF(O2709&lt;&gt;원인분석!$C$9,"",IF(AND(M2709&gt;=원인분석!$C$10,M2709&lt;=원인분석!$C$11),"당기",IF(AND(M2709&gt;=원인분석!$C$12,M2709&lt;=원인분석!$C$13),"비교",""))))</f>
        <v/>
      </c>
      <c r="R2709" s="9">
        <f>IF(Q2709="","",$K2709&amp;"")</f>
        <v/>
      </c>
      <c r="S2709" s="9">
        <f>IF(Q2709="","",IF(MATCH(R2709,$R$5:$R$100000,0)=ROW()-4,ROW(),""))</f>
        <v/>
      </c>
      <c r="T2709" s="9">
        <f>IF(Q2709="당기",ABS(P2709)+ROW()/1000000000,"")</f>
        <v/>
      </c>
      <c r="U2709" s="9">
        <f>IF(Q2709="비교",ABS(P2709)+ROW()/1000000000,"")</f>
        <v/>
      </c>
      <c r="V2709" s="64">
        <f>IF($A2709="","",IF(COUNTIF(변동분석!$E$7:$E$506,O2709)&gt;0,"Y","N"))</f>
        <v/>
      </c>
      <c r="W2709" s="64">
        <f>IF($A2709="","",IFERROR(INDEX(계정매핑!$D$5:$D$504,MATCH($F2709&amp;"",계정매핑!$A$5:$A$504,0)),"미매핑"))</f>
        <v/>
      </c>
      <c r="X2709" s="9">
        <f>IF($A2709="","",$F2709&amp;"")</f>
        <v/>
      </c>
      <c r="Y2709" s="94">
        <f>IF($A2709="",0,IF(AE2709="직접",IF(AF2709="비귀속",$P2709,0),$P2709*(1-AG2709)*IFERROR(INDEX(계정대체기준!$F$20:$F$49,MATCH($N2709,계정대체기준!$A$20:$A$49,0)),1)))</f>
        <v/>
      </c>
      <c r="Z2709" s="94">
        <f>IF($A2709="",0,IF(AE2709="직접",IF(AF2709="신계약비",$P2709,0),$P2709*(1-AG2709)*IFERROR(INDEX(계정대체기준!$C$20:$C$49,MATCH($N2709,계정대체기준!$A$20:$A$49,0)),0)))</f>
        <v/>
      </c>
      <c r="AA2709" s="94">
        <f>IF($A2709="",0,IF(AE2709="직접",IF(OR(AF2709="유지비",AF2709="손해조사비"),$P2709,0),$P2709*(1-AG2709)*IFERROR(INDEX(계정대체기준!$D$20:$D$49,MATCH($N2709,계정대체기준!$A$20:$A$49,0)),0)))</f>
        <v/>
      </c>
      <c r="AB2709" s="94">
        <f>IF($A2709="",0,IF(AE2709="직접",IF(AF2709="수금비",$P2709,0),$P2709*(1-AG2709)*IFERROR(INDEX(계정대체기준!$E$20:$E$49,MATCH($N2709,계정대체기준!$A$20:$A$49,0)),0)))</f>
        <v/>
      </c>
      <c r="AC2709" s="9">
        <f>IF(AND($A2709&lt;&gt;"",M2709=설정!$C$20,Z2709&gt;0),Z2709+ROW()/1000000000,"")</f>
        <v/>
      </c>
      <c r="AD2709" s="94">
        <f>IF($A2709="",0,$P2709*AG2709)</f>
        <v/>
      </c>
      <c r="AE2709" s="64">
        <f>IF($A2709="","",IFERROR(INDEX(계정매핑!$E$5:$E$504,MATCH($F2709&amp;"",계정매핑!$A$5:$A$504,0))&amp;"","공통비"))</f>
        <v/>
      </c>
      <c r="AF2709" s="64">
        <f>IF($A2709="","",IF(AE2709="직접",IFERROR(INDEX(계정매핑!$F$5:$F$504,MATCH($F2709&amp;"",계정매핑!$A$5:$A$504,0))&amp;"","비귀속"),""))</f>
        <v/>
      </c>
      <c r="AG2709" s="96">
        <f>IF($A2709="",0,IF(AND(AE2709&lt;&gt;"직접",IFERROR(INDEX(계정매핑!$G$5:$G$504,MATCH($F2709&amp;"",계정매핑!$A$5:$A$504,0))&amp;"","")="유지비",COUNTIF(계정대체기준!$A$6:$A$15,$N2709)&gt;0),IFERROR(INDEX(계정대체기준!$E$6:$E$15,MATCH(VALUE($A2709&amp;""),계정대체기준!$D$6:$D$15,0)),0),0))</f>
        <v/>
      </c>
      <c r="AH2709" s="64">
        <f>IF($A2709="","",IF(AD2709=0,"",IF(OR(COUNTIF(계정대체기준!$A$77:$A$86,$N2709)&gt;0,ISNUMBER(MATCH($X2709,계정대체기준!$D$77:$D$86,0)),ISNUMBER(MATCH($F2709,계정대체기준!$D$77:$D$86,0))),"Y","N")))</f>
        <v/>
      </c>
    </row>
    <row r="2710">
      <c r="A2710" s="92" t="n">
        <v>2025</v>
      </c>
      <c r="B2710" s="92" t="n">
        <v>12</v>
      </c>
      <c r="C2710" s="92" t="inlineStr">
        <is>
          <t>5100002706</t>
        </is>
      </c>
      <c r="D2710" s="95" t="n">
        <v>46017</v>
      </c>
      <c r="E2710" s="92" t="inlineStr">
        <is>
          <t>KR</t>
        </is>
      </c>
      <c r="F2710" s="92" t="n">
        <v>62901000</v>
      </c>
      <c r="G2710" s="92" t="n">
        <v>1201</v>
      </c>
      <c r="H2710" s="93" t="n">
        <v>6305000</v>
      </c>
      <c r="I2710" s="92" t="inlineStr">
        <is>
          <t>12월 자문 수수료 - K회계법인</t>
        </is>
      </c>
      <c r="J2710" s="92" t="inlineStr">
        <is>
          <t>V10011</t>
        </is>
      </c>
      <c r="K2710" s="92" t="inlineStr">
        <is>
          <t>K회계법인</t>
        </is>
      </c>
      <c r="M2710" s="9">
        <f>IF($A2710="","",VALUE($A2710&amp;"")*12+VALUE($B2710&amp;""))</f>
        <v/>
      </c>
      <c r="N2710" s="64">
        <f>IF($A2710="","",IFERROR(INDEX(부서매핑!$C$5:$C$504,MATCH($G2710&amp;"",부서매핑!$A$5:$A$504,0)),"미매핑"))</f>
        <v/>
      </c>
      <c r="O2710" s="9">
        <f>IF($A2710="","",N2710&amp;"|"&amp;$F2710)</f>
        <v/>
      </c>
      <c r="P2710" s="94">
        <f>IF($A2710="",0,$H2710*설정!$C$23)</f>
        <v/>
      </c>
      <c r="Q2710" s="64">
        <f>IF($A2710="","",IF(O2710&lt;&gt;원인분석!$C$9,"",IF(AND(M2710&gt;=원인분석!$C$10,M2710&lt;=원인분석!$C$11),"당기",IF(AND(M2710&gt;=원인분석!$C$12,M2710&lt;=원인분석!$C$13),"비교",""))))</f>
        <v/>
      </c>
      <c r="R2710" s="9">
        <f>IF(Q2710="","",$K2710&amp;"")</f>
        <v/>
      </c>
      <c r="S2710" s="9">
        <f>IF(Q2710="","",IF(MATCH(R2710,$R$5:$R$100000,0)=ROW()-4,ROW(),""))</f>
        <v/>
      </c>
      <c r="T2710" s="9">
        <f>IF(Q2710="당기",ABS(P2710)+ROW()/1000000000,"")</f>
        <v/>
      </c>
      <c r="U2710" s="9">
        <f>IF(Q2710="비교",ABS(P2710)+ROW()/1000000000,"")</f>
        <v/>
      </c>
      <c r="V2710" s="64">
        <f>IF($A2710="","",IF(COUNTIF(변동분석!$E$7:$E$506,O2710)&gt;0,"Y","N"))</f>
        <v/>
      </c>
      <c r="W2710" s="64">
        <f>IF($A2710="","",IFERROR(INDEX(계정매핑!$D$5:$D$504,MATCH($F2710&amp;"",계정매핑!$A$5:$A$504,0)),"미매핑"))</f>
        <v/>
      </c>
      <c r="X2710" s="9">
        <f>IF($A2710="","",$F2710&amp;"")</f>
        <v/>
      </c>
      <c r="Y2710" s="94">
        <f>IF($A2710="",0,IF(AE2710="직접",IF(AF2710="비귀속",$P2710,0),$P2710*(1-AG2710)*IFERROR(INDEX(계정대체기준!$F$20:$F$49,MATCH($N2710,계정대체기준!$A$20:$A$49,0)),1)))</f>
        <v/>
      </c>
      <c r="Z2710" s="94">
        <f>IF($A2710="",0,IF(AE2710="직접",IF(AF2710="신계약비",$P2710,0),$P2710*(1-AG2710)*IFERROR(INDEX(계정대체기준!$C$20:$C$49,MATCH($N2710,계정대체기준!$A$20:$A$49,0)),0)))</f>
        <v/>
      </c>
      <c r="AA2710" s="94">
        <f>IF($A2710="",0,IF(AE2710="직접",IF(OR(AF2710="유지비",AF2710="손해조사비"),$P2710,0),$P2710*(1-AG2710)*IFERROR(INDEX(계정대체기준!$D$20:$D$49,MATCH($N2710,계정대체기준!$A$20:$A$49,0)),0)))</f>
        <v/>
      </c>
      <c r="AB2710" s="94">
        <f>IF($A2710="",0,IF(AE2710="직접",IF(AF2710="수금비",$P2710,0),$P2710*(1-AG2710)*IFERROR(INDEX(계정대체기준!$E$20:$E$49,MATCH($N2710,계정대체기준!$A$20:$A$49,0)),0)))</f>
        <v/>
      </c>
      <c r="AC2710" s="9">
        <f>IF(AND($A2710&lt;&gt;"",M2710=설정!$C$20,Z2710&gt;0),Z2710+ROW()/1000000000,"")</f>
        <v/>
      </c>
      <c r="AD2710" s="94">
        <f>IF($A2710="",0,$P2710*AG2710)</f>
        <v/>
      </c>
      <c r="AE2710" s="64">
        <f>IF($A2710="","",IFERROR(INDEX(계정매핑!$E$5:$E$504,MATCH($F2710&amp;"",계정매핑!$A$5:$A$504,0))&amp;"","공통비"))</f>
        <v/>
      </c>
      <c r="AF2710" s="64">
        <f>IF($A2710="","",IF(AE2710="직접",IFERROR(INDEX(계정매핑!$F$5:$F$504,MATCH($F2710&amp;"",계정매핑!$A$5:$A$504,0))&amp;"","비귀속"),""))</f>
        <v/>
      </c>
      <c r="AG2710" s="96">
        <f>IF($A2710="",0,IF(AND(AE2710&lt;&gt;"직접",IFERROR(INDEX(계정매핑!$G$5:$G$504,MATCH($F2710&amp;"",계정매핑!$A$5:$A$504,0))&amp;"","")="유지비",COUNTIF(계정대체기준!$A$6:$A$15,$N2710)&gt;0),IFERROR(INDEX(계정대체기준!$E$6:$E$15,MATCH(VALUE($A2710&amp;""),계정대체기준!$D$6:$D$15,0)),0),0))</f>
        <v/>
      </c>
      <c r="AH2710" s="64">
        <f>IF($A2710="","",IF(AD2710=0,"",IF(OR(COUNTIF(계정대체기준!$A$77:$A$86,$N2710)&gt;0,ISNUMBER(MATCH($X2710,계정대체기준!$D$77:$D$86,0)),ISNUMBER(MATCH($F2710,계정대체기준!$D$77:$D$86,0))),"Y","N")))</f>
        <v/>
      </c>
    </row>
    <row r="2711">
      <c r="A2711" s="92" t="n">
        <v>2025</v>
      </c>
      <c r="B2711" s="92" t="n">
        <v>12</v>
      </c>
      <c r="C2711" s="92" t="inlineStr">
        <is>
          <t>5100002707</t>
        </is>
      </c>
      <c r="D2711" s="95" t="n">
        <v>46017</v>
      </c>
      <c r="E2711" s="92" t="inlineStr">
        <is>
          <t>KR</t>
        </is>
      </c>
      <c r="F2711" s="92" t="n">
        <v>62901000</v>
      </c>
      <c r="G2711" s="92" t="n">
        <v>1951</v>
      </c>
      <c r="H2711" s="93" t="n">
        <v>5421000</v>
      </c>
      <c r="I2711" s="92" t="inlineStr">
        <is>
          <t>12월 자문 수수료 - K회계법인</t>
        </is>
      </c>
      <c r="J2711" s="92" t="inlineStr">
        <is>
          <t>V10011</t>
        </is>
      </c>
      <c r="K2711" s="92" t="inlineStr">
        <is>
          <t>K회계법인</t>
        </is>
      </c>
      <c r="M2711" s="9">
        <f>IF($A2711="","",VALUE($A2711&amp;"")*12+VALUE($B2711&amp;""))</f>
        <v/>
      </c>
      <c r="N2711" s="64">
        <f>IF($A2711="","",IFERROR(INDEX(부서매핑!$C$5:$C$504,MATCH($G2711&amp;"",부서매핑!$A$5:$A$504,0)),"미매핑"))</f>
        <v/>
      </c>
      <c r="O2711" s="9">
        <f>IF($A2711="","",N2711&amp;"|"&amp;$F2711)</f>
        <v/>
      </c>
      <c r="P2711" s="94">
        <f>IF($A2711="",0,$H2711*설정!$C$23)</f>
        <v/>
      </c>
      <c r="Q2711" s="64">
        <f>IF($A2711="","",IF(O2711&lt;&gt;원인분석!$C$9,"",IF(AND(M2711&gt;=원인분석!$C$10,M2711&lt;=원인분석!$C$11),"당기",IF(AND(M2711&gt;=원인분석!$C$12,M2711&lt;=원인분석!$C$13),"비교",""))))</f>
        <v/>
      </c>
      <c r="R2711" s="9">
        <f>IF(Q2711="","",$K2711&amp;"")</f>
        <v/>
      </c>
      <c r="S2711" s="9">
        <f>IF(Q2711="","",IF(MATCH(R2711,$R$5:$R$100000,0)=ROW()-4,ROW(),""))</f>
        <v/>
      </c>
      <c r="T2711" s="9">
        <f>IF(Q2711="당기",ABS(P2711)+ROW()/1000000000,"")</f>
        <v/>
      </c>
      <c r="U2711" s="9">
        <f>IF(Q2711="비교",ABS(P2711)+ROW()/1000000000,"")</f>
        <v/>
      </c>
      <c r="V2711" s="64">
        <f>IF($A2711="","",IF(COUNTIF(변동분석!$E$7:$E$506,O2711)&gt;0,"Y","N"))</f>
        <v/>
      </c>
      <c r="W2711" s="64">
        <f>IF($A2711="","",IFERROR(INDEX(계정매핑!$D$5:$D$504,MATCH($F2711&amp;"",계정매핑!$A$5:$A$504,0)),"미매핑"))</f>
        <v/>
      </c>
      <c r="X2711" s="9">
        <f>IF($A2711="","",$F2711&amp;"")</f>
        <v/>
      </c>
      <c r="Y2711" s="94">
        <f>IF($A2711="",0,IF(AE2711="직접",IF(AF2711="비귀속",$P2711,0),$P2711*(1-AG2711)*IFERROR(INDEX(계정대체기준!$F$20:$F$49,MATCH($N2711,계정대체기준!$A$20:$A$49,0)),1)))</f>
        <v/>
      </c>
      <c r="Z2711" s="94">
        <f>IF($A2711="",0,IF(AE2711="직접",IF(AF2711="신계약비",$P2711,0),$P2711*(1-AG2711)*IFERROR(INDEX(계정대체기준!$C$20:$C$49,MATCH($N2711,계정대체기준!$A$20:$A$49,0)),0)))</f>
        <v/>
      </c>
      <c r="AA2711" s="94">
        <f>IF($A2711="",0,IF(AE2711="직접",IF(OR(AF2711="유지비",AF2711="손해조사비"),$P2711,0),$P2711*(1-AG2711)*IFERROR(INDEX(계정대체기준!$D$20:$D$49,MATCH($N2711,계정대체기준!$A$20:$A$49,0)),0)))</f>
        <v/>
      </c>
      <c r="AB2711" s="94">
        <f>IF($A2711="",0,IF(AE2711="직접",IF(AF2711="수금비",$P2711,0),$P2711*(1-AG2711)*IFERROR(INDEX(계정대체기준!$E$20:$E$49,MATCH($N2711,계정대체기준!$A$20:$A$49,0)),0)))</f>
        <v/>
      </c>
      <c r="AC2711" s="9">
        <f>IF(AND($A2711&lt;&gt;"",M2711=설정!$C$20,Z2711&gt;0),Z2711+ROW()/1000000000,"")</f>
        <v/>
      </c>
      <c r="AD2711" s="94">
        <f>IF($A2711="",0,$P2711*AG2711)</f>
        <v/>
      </c>
      <c r="AE2711" s="64">
        <f>IF($A2711="","",IFERROR(INDEX(계정매핑!$E$5:$E$504,MATCH($F2711&amp;"",계정매핑!$A$5:$A$504,0))&amp;"","공통비"))</f>
        <v/>
      </c>
      <c r="AF2711" s="64">
        <f>IF($A2711="","",IF(AE2711="직접",IFERROR(INDEX(계정매핑!$F$5:$F$504,MATCH($F2711&amp;"",계정매핑!$A$5:$A$504,0))&amp;"","비귀속"),""))</f>
        <v/>
      </c>
      <c r="AG2711" s="96">
        <f>IF($A2711="",0,IF(AND(AE2711&lt;&gt;"직접",IFERROR(INDEX(계정매핑!$G$5:$G$504,MATCH($F2711&amp;"",계정매핑!$A$5:$A$504,0))&amp;"","")="유지비",COUNTIF(계정대체기준!$A$6:$A$15,$N2711)&gt;0),IFERROR(INDEX(계정대체기준!$E$6:$E$15,MATCH(VALUE($A2711&amp;""),계정대체기준!$D$6:$D$15,0)),0),0))</f>
        <v/>
      </c>
      <c r="AH2711" s="64">
        <f>IF($A2711="","",IF(AD2711=0,"",IF(OR(COUNTIF(계정대체기준!$A$77:$A$86,$N2711)&gt;0,ISNUMBER(MATCH($X2711,계정대체기준!$D$77:$D$86,0)),ISNUMBER(MATCH($F2711,계정대체기준!$D$77:$D$86,0))),"Y","N")))</f>
        <v/>
      </c>
    </row>
    <row r="2712">
      <c r="A2712" s="92" t="n">
        <v>2025</v>
      </c>
      <c r="B2712" s="92" t="n">
        <v>12</v>
      </c>
      <c r="C2712" s="92" t="inlineStr">
        <is>
          <t>5100002708</t>
        </is>
      </c>
      <c r="D2712" s="95" t="n">
        <v>46017</v>
      </c>
      <c r="E2712" s="92" t="inlineStr">
        <is>
          <t>KR</t>
        </is>
      </c>
      <c r="F2712" s="92" t="n">
        <v>63001000</v>
      </c>
      <c r="G2712" s="92" t="n">
        <v>1951</v>
      </c>
      <c r="H2712" s="93" t="n">
        <v>2024000</v>
      </c>
      <c r="I2712" s="92" t="inlineStr">
        <is>
          <t>12월 SW 유지보수 - Z시스템</t>
        </is>
      </c>
      <c r="J2712" s="92" t="inlineStr">
        <is>
          <t>V10012</t>
        </is>
      </c>
      <c r="K2712" s="92" t="inlineStr">
        <is>
          <t>Z시스템</t>
        </is>
      </c>
      <c r="M2712" s="9">
        <f>IF($A2712="","",VALUE($A2712&amp;"")*12+VALUE($B2712&amp;""))</f>
        <v/>
      </c>
      <c r="N2712" s="64">
        <f>IF($A2712="","",IFERROR(INDEX(부서매핑!$C$5:$C$504,MATCH($G2712&amp;"",부서매핑!$A$5:$A$504,0)),"미매핑"))</f>
        <v/>
      </c>
      <c r="O2712" s="9">
        <f>IF($A2712="","",N2712&amp;"|"&amp;$F2712)</f>
        <v/>
      </c>
      <c r="P2712" s="94">
        <f>IF($A2712="",0,$H2712*설정!$C$23)</f>
        <v/>
      </c>
      <c r="Q2712" s="64">
        <f>IF($A2712="","",IF(O2712&lt;&gt;원인분석!$C$9,"",IF(AND(M2712&gt;=원인분석!$C$10,M2712&lt;=원인분석!$C$11),"당기",IF(AND(M2712&gt;=원인분석!$C$12,M2712&lt;=원인분석!$C$13),"비교",""))))</f>
        <v/>
      </c>
      <c r="R2712" s="9">
        <f>IF(Q2712="","",$K2712&amp;"")</f>
        <v/>
      </c>
      <c r="S2712" s="9">
        <f>IF(Q2712="","",IF(MATCH(R2712,$R$5:$R$100000,0)=ROW()-4,ROW(),""))</f>
        <v/>
      </c>
      <c r="T2712" s="9">
        <f>IF(Q2712="당기",ABS(P2712)+ROW()/1000000000,"")</f>
        <v/>
      </c>
      <c r="U2712" s="9">
        <f>IF(Q2712="비교",ABS(P2712)+ROW()/1000000000,"")</f>
        <v/>
      </c>
      <c r="V2712" s="64">
        <f>IF($A2712="","",IF(COUNTIF(변동분석!$E$7:$E$506,O2712)&gt;0,"Y","N"))</f>
        <v/>
      </c>
      <c r="W2712" s="64">
        <f>IF($A2712="","",IFERROR(INDEX(계정매핑!$D$5:$D$504,MATCH($F2712&amp;"",계정매핑!$A$5:$A$504,0)),"미매핑"))</f>
        <v/>
      </c>
      <c r="X2712" s="9">
        <f>IF($A2712="","",$F2712&amp;"")</f>
        <v/>
      </c>
      <c r="Y2712" s="94">
        <f>IF($A2712="",0,IF(AE2712="직접",IF(AF2712="비귀속",$P2712,0),$P2712*(1-AG2712)*IFERROR(INDEX(계정대체기준!$F$20:$F$49,MATCH($N2712,계정대체기준!$A$20:$A$49,0)),1)))</f>
        <v/>
      </c>
      <c r="Z2712" s="94">
        <f>IF($A2712="",0,IF(AE2712="직접",IF(AF2712="신계약비",$P2712,0),$P2712*(1-AG2712)*IFERROR(INDEX(계정대체기준!$C$20:$C$49,MATCH($N2712,계정대체기준!$A$20:$A$49,0)),0)))</f>
        <v/>
      </c>
      <c r="AA2712" s="94">
        <f>IF($A2712="",0,IF(AE2712="직접",IF(OR(AF2712="유지비",AF2712="손해조사비"),$P2712,0),$P2712*(1-AG2712)*IFERROR(INDEX(계정대체기준!$D$20:$D$49,MATCH($N2712,계정대체기준!$A$20:$A$49,0)),0)))</f>
        <v/>
      </c>
      <c r="AB2712" s="94">
        <f>IF($A2712="",0,IF(AE2712="직접",IF(AF2712="수금비",$P2712,0),$P2712*(1-AG2712)*IFERROR(INDEX(계정대체기준!$E$20:$E$49,MATCH($N2712,계정대체기준!$A$20:$A$49,0)),0)))</f>
        <v/>
      </c>
      <c r="AC2712" s="9">
        <f>IF(AND($A2712&lt;&gt;"",M2712=설정!$C$20,Z2712&gt;0),Z2712+ROW()/1000000000,"")</f>
        <v/>
      </c>
      <c r="AD2712" s="94">
        <f>IF($A2712="",0,$P2712*AG2712)</f>
        <v/>
      </c>
      <c r="AE2712" s="64">
        <f>IF($A2712="","",IFERROR(INDEX(계정매핑!$E$5:$E$504,MATCH($F2712&amp;"",계정매핑!$A$5:$A$504,0))&amp;"","공통비"))</f>
        <v/>
      </c>
      <c r="AF2712" s="64">
        <f>IF($A2712="","",IF(AE2712="직접",IFERROR(INDEX(계정매핑!$F$5:$F$504,MATCH($F2712&amp;"",계정매핑!$A$5:$A$504,0))&amp;"","비귀속"),""))</f>
        <v/>
      </c>
      <c r="AG2712" s="96">
        <f>IF($A2712="",0,IF(AND(AE2712&lt;&gt;"직접",IFERROR(INDEX(계정매핑!$G$5:$G$504,MATCH($F2712&amp;"",계정매핑!$A$5:$A$504,0))&amp;"","")="유지비",COUNTIF(계정대체기준!$A$6:$A$15,$N2712)&gt;0),IFERROR(INDEX(계정대체기준!$E$6:$E$15,MATCH(VALUE($A2712&amp;""),계정대체기준!$D$6:$D$15,0)),0),0))</f>
        <v/>
      </c>
      <c r="AH2712" s="64">
        <f>IF($A2712="","",IF(AD2712=0,"",IF(OR(COUNTIF(계정대체기준!$A$77:$A$86,$N2712)&gt;0,ISNUMBER(MATCH($X2712,계정대체기준!$D$77:$D$86,0)),ISNUMBER(MATCH($F2712,계정대체기준!$D$77:$D$86,0))),"Y","N")))</f>
        <v/>
      </c>
    </row>
    <row r="2713">
      <c r="A2713" s="92" t="n">
        <v>2025</v>
      </c>
      <c r="B2713" s="92" t="n">
        <v>12</v>
      </c>
      <c r="C2713" s="92" t="inlineStr">
        <is>
          <t>5100002709</t>
        </is>
      </c>
      <c r="D2713" s="95" t="n">
        <v>46017</v>
      </c>
      <c r="E2713" s="92" t="inlineStr">
        <is>
          <t>KR</t>
        </is>
      </c>
      <c r="F2713" s="92" t="n">
        <v>63101000</v>
      </c>
      <c r="G2713" s="92" t="n">
        <v>1601</v>
      </c>
      <c r="H2713" s="93" t="n">
        <v>5008000</v>
      </c>
      <c r="I2713" s="92" t="inlineStr">
        <is>
          <t>12월 사무실 임차료 - AA빌딩</t>
        </is>
      </c>
      <c r="J2713" s="92" t="inlineStr">
        <is>
          <t>V10007</t>
        </is>
      </c>
      <c r="K2713" s="92" t="inlineStr">
        <is>
          <t>AA빌딩</t>
        </is>
      </c>
      <c r="M2713" s="9">
        <f>IF($A2713="","",VALUE($A2713&amp;"")*12+VALUE($B2713&amp;""))</f>
        <v/>
      </c>
      <c r="N2713" s="64">
        <f>IF($A2713="","",IFERROR(INDEX(부서매핑!$C$5:$C$504,MATCH($G2713&amp;"",부서매핑!$A$5:$A$504,0)),"미매핑"))</f>
        <v/>
      </c>
      <c r="O2713" s="9">
        <f>IF($A2713="","",N2713&amp;"|"&amp;$F2713)</f>
        <v/>
      </c>
      <c r="P2713" s="94">
        <f>IF($A2713="",0,$H2713*설정!$C$23)</f>
        <v/>
      </c>
      <c r="Q2713" s="64">
        <f>IF($A2713="","",IF(O2713&lt;&gt;원인분석!$C$9,"",IF(AND(M2713&gt;=원인분석!$C$10,M2713&lt;=원인분석!$C$11),"당기",IF(AND(M2713&gt;=원인분석!$C$12,M2713&lt;=원인분석!$C$13),"비교",""))))</f>
        <v/>
      </c>
      <c r="R2713" s="9">
        <f>IF(Q2713="","",$K2713&amp;"")</f>
        <v/>
      </c>
      <c r="S2713" s="9">
        <f>IF(Q2713="","",IF(MATCH(R2713,$R$5:$R$100000,0)=ROW()-4,ROW(),""))</f>
        <v/>
      </c>
      <c r="T2713" s="9">
        <f>IF(Q2713="당기",ABS(P2713)+ROW()/1000000000,"")</f>
        <v/>
      </c>
      <c r="U2713" s="9">
        <f>IF(Q2713="비교",ABS(P2713)+ROW()/1000000000,"")</f>
        <v/>
      </c>
      <c r="V2713" s="64">
        <f>IF($A2713="","",IF(COUNTIF(변동분석!$E$7:$E$506,O2713)&gt;0,"Y","N"))</f>
        <v/>
      </c>
      <c r="W2713" s="64">
        <f>IF($A2713="","",IFERROR(INDEX(계정매핑!$D$5:$D$504,MATCH($F2713&amp;"",계정매핑!$A$5:$A$504,0)),"미매핑"))</f>
        <v/>
      </c>
      <c r="X2713" s="9">
        <f>IF($A2713="","",$F2713&amp;"")</f>
        <v/>
      </c>
      <c r="Y2713" s="94">
        <f>IF($A2713="",0,IF(AE2713="직접",IF(AF2713="비귀속",$P2713,0),$P2713*(1-AG2713)*IFERROR(INDEX(계정대체기준!$F$20:$F$49,MATCH($N2713,계정대체기준!$A$20:$A$49,0)),1)))</f>
        <v/>
      </c>
      <c r="Z2713" s="94">
        <f>IF($A2713="",0,IF(AE2713="직접",IF(AF2713="신계약비",$P2713,0),$P2713*(1-AG2713)*IFERROR(INDEX(계정대체기준!$C$20:$C$49,MATCH($N2713,계정대체기준!$A$20:$A$49,0)),0)))</f>
        <v/>
      </c>
      <c r="AA2713" s="94">
        <f>IF($A2713="",0,IF(AE2713="직접",IF(OR(AF2713="유지비",AF2713="손해조사비"),$P2713,0),$P2713*(1-AG2713)*IFERROR(INDEX(계정대체기준!$D$20:$D$49,MATCH($N2713,계정대체기준!$A$20:$A$49,0)),0)))</f>
        <v/>
      </c>
      <c r="AB2713" s="94">
        <f>IF($A2713="",0,IF(AE2713="직접",IF(AF2713="수금비",$P2713,0),$P2713*(1-AG2713)*IFERROR(INDEX(계정대체기준!$E$20:$E$49,MATCH($N2713,계정대체기준!$A$20:$A$49,0)),0)))</f>
        <v/>
      </c>
      <c r="AC2713" s="9">
        <f>IF(AND($A2713&lt;&gt;"",M2713=설정!$C$20,Z2713&gt;0),Z2713+ROW()/1000000000,"")</f>
        <v/>
      </c>
      <c r="AD2713" s="94">
        <f>IF($A2713="",0,$P2713*AG2713)</f>
        <v/>
      </c>
      <c r="AE2713" s="64">
        <f>IF($A2713="","",IFERROR(INDEX(계정매핑!$E$5:$E$504,MATCH($F2713&amp;"",계정매핑!$A$5:$A$504,0))&amp;"","공통비"))</f>
        <v/>
      </c>
      <c r="AF2713" s="64">
        <f>IF($A2713="","",IF(AE2713="직접",IFERROR(INDEX(계정매핑!$F$5:$F$504,MATCH($F2713&amp;"",계정매핑!$A$5:$A$504,0))&amp;"","비귀속"),""))</f>
        <v/>
      </c>
      <c r="AG2713" s="96">
        <f>IF($A2713="",0,IF(AND(AE2713&lt;&gt;"직접",IFERROR(INDEX(계정매핑!$G$5:$G$504,MATCH($F2713&amp;"",계정매핑!$A$5:$A$504,0))&amp;"","")="유지비",COUNTIF(계정대체기준!$A$6:$A$15,$N2713)&gt;0),IFERROR(INDEX(계정대체기준!$E$6:$E$15,MATCH(VALUE($A2713&amp;""),계정대체기준!$D$6:$D$15,0)),0),0))</f>
        <v/>
      </c>
      <c r="AH2713" s="64">
        <f>IF($A2713="","",IF(AD2713=0,"",IF(OR(COUNTIF(계정대체기준!$A$77:$A$86,$N2713)&gt;0,ISNUMBER(MATCH($X2713,계정대체기준!$D$77:$D$86,0)),ISNUMBER(MATCH($F2713,계정대체기준!$D$77:$D$86,0))),"Y","N")))</f>
        <v/>
      </c>
    </row>
    <row r="2714">
      <c r="A2714" s="92" t="n">
        <v>2025</v>
      </c>
      <c r="B2714" s="92" t="n">
        <v>12</v>
      </c>
      <c r="C2714" s="92" t="inlineStr">
        <is>
          <t>5100002710</t>
        </is>
      </c>
      <c r="D2714" s="95" t="n">
        <v>46018</v>
      </c>
      <c r="E2714" s="92" t="inlineStr">
        <is>
          <t>KR</t>
        </is>
      </c>
      <c r="F2714" s="92" t="n">
        <v>62102000</v>
      </c>
      <c r="G2714" s="92" t="n">
        <v>1101</v>
      </c>
      <c r="H2714" s="93" t="n">
        <v>95000</v>
      </c>
      <c r="I2714" s="92" t="inlineStr">
        <is>
          <t>12월 해외출장 - M항공</t>
        </is>
      </c>
      <c r="J2714" s="92" t="inlineStr">
        <is>
          <t>V10001</t>
        </is>
      </c>
      <c r="K2714" s="92" t="inlineStr">
        <is>
          <t>M항공</t>
        </is>
      </c>
      <c r="M2714" s="9">
        <f>IF($A2714="","",VALUE($A2714&amp;"")*12+VALUE($B2714&amp;""))</f>
        <v/>
      </c>
      <c r="N2714" s="64">
        <f>IF($A2714="","",IFERROR(INDEX(부서매핑!$C$5:$C$504,MATCH($G2714&amp;"",부서매핑!$A$5:$A$504,0)),"미매핑"))</f>
        <v/>
      </c>
      <c r="O2714" s="9">
        <f>IF($A2714="","",N2714&amp;"|"&amp;$F2714)</f>
        <v/>
      </c>
      <c r="P2714" s="94">
        <f>IF($A2714="",0,$H2714*설정!$C$23)</f>
        <v/>
      </c>
      <c r="Q2714" s="64">
        <f>IF($A2714="","",IF(O2714&lt;&gt;원인분석!$C$9,"",IF(AND(M2714&gt;=원인분석!$C$10,M2714&lt;=원인분석!$C$11),"당기",IF(AND(M2714&gt;=원인분석!$C$12,M2714&lt;=원인분석!$C$13),"비교",""))))</f>
        <v/>
      </c>
      <c r="R2714" s="9">
        <f>IF(Q2714="","",$K2714&amp;"")</f>
        <v/>
      </c>
      <c r="S2714" s="9">
        <f>IF(Q2714="","",IF(MATCH(R2714,$R$5:$R$100000,0)=ROW()-4,ROW(),""))</f>
        <v/>
      </c>
      <c r="T2714" s="9">
        <f>IF(Q2714="당기",ABS(P2714)+ROW()/1000000000,"")</f>
        <v/>
      </c>
      <c r="U2714" s="9">
        <f>IF(Q2714="비교",ABS(P2714)+ROW()/1000000000,"")</f>
        <v/>
      </c>
      <c r="V2714" s="64">
        <f>IF($A2714="","",IF(COUNTIF(변동분석!$E$7:$E$506,O2714)&gt;0,"Y","N"))</f>
        <v/>
      </c>
      <c r="W2714" s="64">
        <f>IF($A2714="","",IFERROR(INDEX(계정매핑!$D$5:$D$504,MATCH($F2714&amp;"",계정매핑!$A$5:$A$504,0)),"미매핑"))</f>
        <v/>
      </c>
      <c r="X2714" s="9">
        <f>IF($A2714="","",$F2714&amp;"")</f>
        <v/>
      </c>
      <c r="Y2714" s="94">
        <f>IF($A2714="",0,IF(AE2714="직접",IF(AF2714="비귀속",$P2714,0),$P2714*(1-AG2714)*IFERROR(INDEX(계정대체기준!$F$20:$F$49,MATCH($N2714,계정대체기준!$A$20:$A$49,0)),1)))</f>
        <v/>
      </c>
      <c r="Z2714" s="94">
        <f>IF($A2714="",0,IF(AE2714="직접",IF(AF2714="신계약비",$P2714,0),$P2714*(1-AG2714)*IFERROR(INDEX(계정대체기준!$C$20:$C$49,MATCH($N2714,계정대체기준!$A$20:$A$49,0)),0)))</f>
        <v/>
      </c>
      <c r="AA2714" s="94">
        <f>IF($A2714="",0,IF(AE2714="직접",IF(OR(AF2714="유지비",AF2714="손해조사비"),$P2714,0),$P2714*(1-AG2714)*IFERROR(INDEX(계정대체기준!$D$20:$D$49,MATCH($N2714,계정대체기준!$A$20:$A$49,0)),0)))</f>
        <v/>
      </c>
      <c r="AB2714" s="94">
        <f>IF($A2714="",0,IF(AE2714="직접",IF(AF2714="수금비",$P2714,0),$P2714*(1-AG2714)*IFERROR(INDEX(계정대체기준!$E$20:$E$49,MATCH($N2714,계정대체기준!$A$20:$A$49,0)),0)))</f>
        <v/>
      </c>
      <c r="AC2714" s="9">
        <f>IF(AND($A2714&lt;&gt;"",M2714=설정!$C$20,Z2714&gt;0),Z2714+ROW()/1000000000,"")</f>
        <v/>
      </c>
      <c r="AD2714" s="94">
        <f>IF($A2714="",0,$P2714*AG2714)</f>
        <v/>
      </c>
      <c r="AE2714" s="64">
        <f>IF($A2714="","",IFERROR(INDEX(계정매핑!$E$5:$E$504,MATCH($F2714&amp;"",계정매핑!$A$5:$A$504,0))&amp;"","공통비"))</f>
        <v/>
      </c>
      <c r="AF2714" s="64">
        <f>IF($A2714="","",IF(AE2714="직접",IFERROR(INDEX(계정매핑!$F$5:$F$504,MATCH($F2714&amp;"",계정매핑!$A$5:$A$504,0))&amp;"","비귀속"),""))</f>
        <v/>
      </c>
      <c r="AG2714" s="96">
        <f>IF($A2714="",0,IF(AND(AE2714&lt;&gt;"직접",IFERROR(INDEX(계정매핑!$G$5:$G$504,MATCH($F2714&amp;"",계정매핑!$A$5:$A$504,0))&amp;"","")="유지비",COUNTIF(계정대체기준!$A$6:$A$15,$N2714)&gt;0),IFERROR(INDEX(계정대체기준!$E$6:$E$15,MATCH(VALUE($A2714&amp;""),계정대체기준!$D$6:$D$15,0)),0),0))</f>
        <v/>
      </c>
      <c r="AH2714" s="64">
        <f>IF($A2714="","",IF(AD2714=0,"",IF(OR(COUNTIF(계정대체기준!$A$77:$A$86,$N2714)&gt;0,ISNUMBER(MATCH($X2714,계정대체기준!$D$77:$D$86,0)),ISNUMBER(MATCH($F2714,계정대체기준!$D$77:$D$86,0))),"Y","N")))</f>
        <v/>
      </c>
    </row>
    <row r="2715">
      <c r="A2715" s="92" t="n">
        <v>2025</v>
      </c>
      <c r="B2715" s="92" t="n">
        <v>12</v>
      </c>
      <c r="C2715" s="92" t="inlineStr">
        <is>
          <t>5100002711</t>
        </is>
      </c>
      <c r="D2715" s="95" t="n">
        <v>46018</v>
      </c>
      <c r="E2715" s="92" t="inlineStr">
        <is>
          <t>KR</t>
        </is>
      </c>
      <c r="F2715" s="92" t="n">
        <v>62102000</v>
      </c>
      <c r="G2715" s="92" t="n">
        <v>1301</v>
      </c>
      <c r="H2715" s="93" t="n">
        <v>53000</v>
      </c>
      <c r="I2715" s="92" t="inlineStr">
        <is>
          <t>12월 해외출장 - N호텔</t>
        </is>
      </c>
      <c r="J2715" s="92" t="inlineStr">
        <is>
          <t>V10009</t>
        </is>
      </c>
      <c r="K2715" s="92" t="inlineStr">
        <is>
          <t>N호텔</t>
        </is>
      </c>
      <c r="M2715" s="9">
        <f>IF($A2715="","",VALUE($A2715&amp;"")*12+VALUE($B2715&amp;""))</f>
        <v/>
      </c>
      <c r="N2715" s="64">
        <f>IF($A2715="","",IFERROR(INDEX(부서매핑!$C$5:$C$504,MATCH($G2715&amp;"",부서매핑!$A$5:$A$504,0)),"미매핑"))</f>
        <v/>
      </c>
      <c r="O2715" s="9">
        <f>IF($A2715="","",N2715&amp;"|"&amp;$F2715)</f>
        <v/>
      </c>
      <c r="P2715" s="94">
        <f>IF($A2715="",0,$H2715*설정!$C$23)</f>
        <v/>
      </c>
      <c r="Q2715" s="64">
        <f>IF($A2715="","",IF(O2715&lt;&gt;원인분석!$C$9,"",IF(AND(M2715&gt;=원인분석!$C$10,M2715&lt;=원인분석!$C$11),"당기",IF(AND(M2715&gt;=원인분석!$C$12,M2715&lt;=원인분석!$C$13),"비교",""))))</f>
        <v/>
      </c>
      <c r="R2715" s="9">
        <f>IF(Q2715="","",$K2715&amp;"")</f>
        <v/>
      </c>
      <c r="S2715" s="9">
        <f>IF(Q2715="","",IF(MATCH(R2715,$R$5:$R$100000,0)=ROW()-4,ROW(),""))</f>
        <v/>
      </c>
      <c r="T2715" s="9">
        <f>IF(Q2715="당기",ABS(P2715)+ROW()/1000000000,"")</f>
        <v/>
      </c>
      <c r="U2715" s="9">
        <f>IF(Q2715="비교",ABS(P2715)+ROW()/1000000000,"")</f>
        <v/>
      </c>
      <c r="V2715" s="64">
        <f>IF($A2715="","",IF(COUNTIF(변동분석!$E$7:$E$506,O2715)&gt;0,"Y","N"))</f>
        <v/>
      </c>
      <c r="W2715" s="64">
        <f>IF($A2715="","",IFERROR(INDEX(계정매핑!$D$5:$D$504,MATCH($F2715&amp;"",계정매핑!$A$5:$A$504,0)),"미매핑"))</f>
        <v/>
      </c>
      <c r="X2715" s="9">
        <f>IF($A2715="","",$F2715&amp;"")</f>
        <v/>
      </c>
      <c r="Y2715" s="94">
        <f>IF($A2715="",0,IF(AE2715="직접",IF(AF2715="비귀속",$P2715,0),$P2715*(1-AG2715)*IFERROR(INDEX(계정대체기준!$F$20:$F$49,MATCH($N2715,계정대체기준!$A$20:$A$49,0)),1)))</f>
        <v/>
      </c>
      <c r="Z2715" s="94">
        <f>IF($A2715="",0,IF(AE2715="직접",IF(AF2715="신계약비",$P2715,0),$P2715*(1-AG2715)*IFERROR(INDEX(계정대체기준!$C$20:$C$49,MATCH($N2715,계정대체기준!$A$20:$A$49,0)),0)))</f>
        <v/>
      </c>
      <c r="AA2715" s="94">
        <f>IF($A2715="",0,IF(AE2715="직접",IF(OR(AF2715="유지비",AF2715="손해조사비"),$P2715,0),$P2715*(1-AG2715)*IFERROR(INDEX(계정대체기준!$D$20:$D$49,MATCH($N2715,계정대체기준!$A$20:$A$49,0)),0)))</f>
        <v/>
      </c>
      <c r="AB2715" s="94">
        <f>IF($A2715="",0,IF(AE2715="직접",IF(AF2715="수금비",$P2715,0),$P2715*(1-AG2715)*IFERROR(INDEX(계정대체기준!$E$20:$E$49,MATCH($N2715,계정대체기준!$A$20:$A$49,0)),0)))</f>
        <v/>
      </c>
      <c r="AC2715" s="9">
        <f>IF(AND($A2715&lt;&gt;"",M2715=설정!$C$20,Z2715&gt;0),Z2715+ROW()/1000000000,"")</f>
        <v/>
      </c>
      <c r="AD2715" s="94">
        <f>IF($A2715="",0,$P2715*AG2715)</f>
        <v/>
      </c>
      <c r="AE2715" s="64">
        <f>IF($A2715="","",IFERROR(INDEX(계정매핑!$E$5:$E$504,MATCH($F2715&amp;"",계정매핑!$A$5:$A$504,0))&amp;"","공통비"))</f>
        <v/>
      </c>
      <c r="AF2715" s="64">
        <f>IF($A2715="","",IF(AE2715="직접",IFERROR(INDEX(계정매핑!$F$5:$F$504,MATCH($F2715&amp;"",계정매핑!$A$5:$A$504,0))&amp;"","비귀속"),""))</f>
        <v/>
      </c>
      <c r="AG2715" s="96">
        <f>IF($A2715="",0,IF(AND(AE2715&lt;&gt;"직접",IFERROR(INDEX(계정매핑!$G$5:$G$504,MATCH($F2715&amp;"",계정매핑!$A$5:$A$504,0))&amp;"","")="유지비",COUNTIF(계정대체기준!$A$6:$A$15,$N2715)&gt;0),IFERROR(INDEX(계정대체기준!$E$6:$E$15,MATCH(VALUE($A2715&amp;""),계정대체기준!$D$6:$D$15,0)),0),0))</f>
        <v/>
      </c>
      <c r="AH2715" s="64">
        <f>IF($A2715="","",IF(AD2715=0,"",IF(OR(COUNTIF(계정대체기준!$A$77:$A$86,$N2715)&gt;0,ISNUMBER(MATCH($X2715,계정대체기준!$D$77:$D$86,0)),ISNUMBER(MATCH($F2715,계정대체기준!$D$77:$D$86,0))),"Y","N")))</f>
        <v/>
      </c>
    </row>
    <row r="2716">
      <c r="A2716" s="92" t="n">
        <v>2025</v>
      </c>
      <c r="B2716" s="92" t="n">
        <v>12</v>
      </c>
      <c r="C2716" s="92" t="inlineStr">
        <is>
          <t>5100002712</t>
        </is>
      </c>
      <c r="D2716" s="95" t="n">
        <v>46018</v>
      </c>
      <c r="E2716" s="92" t="inlineStr">
        <is>
          <t>KR</t>
        </is>
      </c>
      <c r="F2716" s="92" t="n">
        <v>62501000</v>
      </c>
      <c r="G2716" s="92" t="n">
        <v>1201</v>
      </c>
      <c r="H2716" s="93" t="n">
        <v>90000</v>
      </c>
      <c r="I2716" s="92" t="inlineStr">
        <is>
          <t>12월 회의 다과 - T케이터링</t>
        </is>
      </c>
      <c r="J2716" s="92" t="inlineStr">
        <is>
          <t>V10005</t>
        </is>
      </c>
      <c r="K2716" s="92" t="inlineStr">
        <is>
          <t>T케이터링</t>
        </is>
      </c>
      <c r="M2716" s="9">
        <f>IF($A2716="","",VALUE($A2716&amp;"")*12+VALUE($B2716&amp;""))</f>
        <v/>
      </c>
      <c r="N2716" s="64">
        <f>IF($A2716="","",IFERROR(INDEX(부서매핑!$C$5:$C$504,MATCH($G2716&amp;"",부서매핑!$A$5:$A$504,0)),"미매핑"))</f>
        <v/>
      </c>
      <c r="O2716" s="9">
        <f>IF($A2716="","",N2716&amp;"|"&amp;$F2716)</f>
        <v/>
      </c>
      <c r="P2716" s="94">
        <f>IF($A2716="",0,$H2716*설정!$C$23)</f>
        <v/>
      </c>
      <c r="Q2716" s="64">
        <f>IF($A2716="","",IF(O2716&lt;&gt;원인분석!$C$9,"",IF(AND(M2716&gt;=원인분석!$C$10,M2716&lt;=원인분석!$C$11),"당기",IF(AND(M2716&gt;=원인분석!$C$12,M2716&lt;=원인분석!$C$13),"비교",""))))</f>
        <v/>
      </c>
      <c r="R2716" s="9">
        <f>IF(Q2716="","",$K2716&amp;"")</f>
        <v/>
      </c>
      <c r="S2716" s="9">
        <f>IF(Q2716="","",IF(MATCH(R2716,$R$5:$R$100000,0)=ROW()-4,ROW(),""))</f>
        <v/>
      </c>
      <c r="T2716" s="9">
        <f>IF(Q2716="당기",ABS(P2716)+ROW()/1000000000,"")</f>
        <v/>
      </c>
      <c r="U2716" s="9">
        <f>IF(Q2716="비교",ABS(P2716)+ROW()/1000000000,"")</f>
        <v/>
      </c>
      <c r="V2716" s="64">
        <f>IF($A2716="","",IF(COUNTIF(변동분석!$E$7:$E$506,O2716)&gt;0,"Y","N"))</f>
        <v/>
      </c>
      <c r="W2716" s="64">
        <f>IF($A2716="","",IFERROR(INDEX(계정매핑!$D$5:$D$504,MATCH($F2716&amp;"",계정매핑!$A$5:$A$504,0)),"미매핑"))</f>
        <v/>
      </c>
      <c r="X2716" s="9">
        <f>IF($A2716="","",$F2716&amp;"")</f>
        <v/>
      </c>
      <c r="Y2716" s="94">
        <f>IF($A2716="",0,IF(AE2716="직접",IF(AF2716="비귀속",$P2716,0),$P2716*(1-AG2716)*IFERROR(INDEX(계정대체기준!$F$20:$F$49,MATCH($N2716,계정대체기준!$A$20:$A$49,0)),1)))</f>
        <v/>
      </c>
      <c r="Z2716" s="94">
        <f>IF($A2716="",0,IF(AE2716="직접",IF(AF2716="신계약비",$P2716,0),$P2716*(1-AG2716)*IFERROR(INDEX(계정대체기준!$C$20:$C$49,MATCH($N2716,계정대체기준!$A$20:$A$49,0)),0)))</f>
        <v/>
      </c>
      <c r="AA2716" s="94">
        <f>IF($A2716="",0,IF(AE2716="직접",IF(OR(AF2716="유지비",AF2716="손해조사비"),$P2716,0),$P2716*(1-AG2716)*IFERROR(INDEX(계정대체기준!$D$20:$D$49,MATCH($N2716,계정대체기준!$A$20:$A$49,0)),0)))</f>
        <v/>
      </c>
      <c r="AB2716" s="94">
        <f>IF($A2716="",0,IF(AE2716="직접",IF(AF2716="수금비",$P2716,0),$P2716*(1-AG2716)*IFERROR(INDEX(계정대체기준!$E$20:$E$49,MATCH($N2716,계정대체기준!$A$20:$A$49,0)),0)))</f>
        <v/>
      </c>
      <c r="AC2716" s="9">
        <f>IF(AND($A2716&lt;&gt;"",M2716=설정!$C$20,Z2716&gt;0),Z2716+ROW()/1000000000,"")</f>
        <v/>
      </c>
      <c r="AD2716" s="94">
        <f>IF($A2716="",0,$P2716*AG2716)</f>
        <v/>
      </c>
      <c r="AE2716" s="64">
        <f>IF($A2716="","",IFERROR(INDEX(계정매핑!$E$5:$E$504,MATCH($F2716&amp;"",계정매핑!$A$5:$A$504,0))&amp;"","공통비"))</f>
        <v/>
      </c>
      <c r="AF2716" s="64">
        <f>IF($A2716="","",IF(AE2716="직접",IFERROR(INDEX(계정매핑!$F$5:$F$504,MATCH($F2716&amp;"",계정매핑!$A$5:$A$504,0))&amp;"","비귀속"),""))</f>
        <v/>
      </c>
      <c r="AG2716" s="96">
        <f>IF($A2716="",0,IF(AND(AE2716&lt;&gt;"직접",IFERROR(INDEX(계정매핑!$G$5:$G$504,MATCH($F2716&amp;"",계정매핑!$A$5:$A$504,0))&amp;"","")="유지비",COUNTIF(계정대체기준!$A$6:$A$15,$N2716)&gt;0),IFERROR(INDEX(계정대체기준!$E$6:$E$15,MATCH(VALUE($A2716&amp;""),계정대체기준!$D$6:$D$15,0)),0),0))</f>
        <v/>
      </c>
      <c r="AH2716" s="64">
        <f>IF($A2716="","",IF(AD2716=0,"",IF(OR(COUNTIF(계정대체기준!$A$77:$A$86,$N2716)&gt;0,ISNUMBER(MATCH($X2716,계정대체기준!$D$77:$D$86,0)),ISNUMBER(MATCH($F2716,계정대체기준!$D$77:$D$86,0))),"Y","N")))</f>
        <v/>
      </c>
    </row>
    <row r="2717">
      <c r="A2717" s="92" t="n">
        <v>2025</v>
      </c>
      <c r="B2717" s="92" t="n">
        <v>12</v>
      </c>
      <c r="C2717" s="92" t="inlineStr">
        <is>
          <t>5100002713</t>
        </is>
      </c>
      <c r="D2717" s="95" t="n">
        <v>46018</v>
      </c>
      <c r="E2717" s="92" t="inlineStr">
        <is>
          <t>KR</t>
        </is>
      </c>
      <c r="F2717" s="92" t="n">
        <v>62501000</v>
      </c>
      <c r="G2717" s="92" t="n">
        <v>1502</v>
      </c>
      <c r="H2717" s="93" t="n">
        <v>345000</v>
      </c>
      <c r="I2717" s="92" t="inlineStr">
        <is>
          <t>12월 회의 다과 - T케이터링</t>
        </is>
      </c>
      <c r="J2717" s="92" t="inlineStr">
        <is>
          <t>V10005</t>
        </is>
      </c>
      <c r="K2717" s="92" t="inlineStr">
        <is>
          <t>T케이터링</t>
        </is>
      </c>
      <c r="M2717" s="9">
        <f>IF($A2717="","",VALUE($A2717&amp;"")*12+VALUE($B2717&amp;""))</f>
        <v/>
      </c>
      <c r="N2717" s="64">
        <f>IF($A2717="","",IFERROR(INDEX(부서매핑!$C$5:$C$504,MATCH($G2717&amp;"",부서매핑!$A$5:$A$504,0)),"미매핑"))</f>
        <v/>
      </c>
      <c r="O2717" s="9">
        <f>IF($A2717="","",N2717&amp;"|"&amp;$F2717)</f>
        <v/>
      </c>
      <c r="P2717" s="94">
        <f>IF($A2717="",0,$H2717*설정!$C$23)</f>
        <v/>
      </c>
      <c r="Q2717" s="64">
        <f>IF($A2717="","",IF(O2717&lt;&gt;원인분석!$C$9,"",IF(AND(M2717&gt;=원인분석!$C$10,M2717&lt;=원인분석!$C$11),"당기",IF(AND(M2717&gt;=원인분석!$C$12,M2717&lt;=원인분석!$C$13),"비교",""))))</f>
        <v/>
      </c>
      <c r="R2717" s="9">
        <f>IF(Q2717="","",$K2717&amp;"")</f>
        <v/>
      </c>
      <c r="S2717" s="9">
        <f>IF(Q2717="","",IF(MATCH(R2717,$R$5:$R$100000,0)=ROW()-4,ROW(),""))</f>
        <v/>
      </c>
      <c r="T2717" s="9">
        <f>IF(Q2717="당기",ABS(P2717)+ROW()/1000000000,"")</f>
        <v/>
      </c>
      <c r="U2717" s="9">
        <f>IF(Q2717="비교",ABS(P2717)+ROW()/1000000000,"")</f>
        <v/>
      </c>
      <c r="V2717" s="64">
        <f>IF($A2717="","",IF(COUNTIF(변동분석!$E$7:$E$506,O2717)&gt;0,"Y","N"))</f>
        <v/>
      </c>
      <c r="W2717" s="64">
        <f>IF($A2717="","",IFERROR(INDEX(계정매핑!$D$5:$D$504,MATCH($F2717&amp;"",계정매핑!$A$5:$A$504,0)),"미매핑"))</f>
        <v/>
      </c>
      <c r="X2717" s="9">
        <f>IF($A2717="","",$F2717&amp;"")</f>
        <v/>
      </c>
      <c r="Y2717" s="94">
        <f>IF($A2717="",0,IF(AE2717="직접",IF(AF2717="비귀속",$P2717,0),$P2717*(1-AG2717)*IFERROR(INDEX(계정대체기준!$F$20:$F$49,MATCH($N2717,계정대체기준!$A$20:$A$49,0)),1)))</f>
        <v/>
      </c>
      <c r="Z2717" s="94">
        <f>IF($A2717="",0,IF(AE2717="직접",IF(AF2717="신계약비",$P2717,0),$P2717*(1-AG2717)*IFERROR(INDEX(계정대체기준!$C$20:$C$49,MATCH($N2717,계정대체기준!$A$20:$A$49,0)),0)))</f>
        <v/>
      </c>
      <c r="AA2717" s="94">
        <f>IF($A2717="",0,IF(AE2717="직접",IF(OR(AF2717="유지비",AF2717="손해조사비"),$P2717,0),$P2717*(1-AG2717)*IFERROR(INDEX(계정대체기준!$D$20:$D$49,MATCH($N2717,계정대체기준!$A$20:$A$49,0)),0)))</f>
        <v/>
      </c>
      <c r="AB2717" s="94">
        <f>IF($A2717="",0,IF(AE2717="직접",IF(AF2717="수금비",$P2717,0),$P2717*(1-AG2717)*IFERROR(INDEX(계정대체기준!$E$20:$E$49,MATCH($N2717,계정대체기준!$A$20:$A$49,0)),0)))</f>
        <v/>
      </c>
      <c r="AC2717" s="9">
        <f>IF(AND($A2717&lt;&gt;"",M2717=설정!$C$20,Z2717&gt;0),Z2717+ROW()/1000000000,"")</f>
        <v/>
      </c>
      <c r="AD2717" s="94">
        <f>IF($A2717="",0,$P2717*AG2717)</f>
        <v/>
      </c>
      <c r="AE2717" s="64">
        <f>IF($A2717="","",IFERROR(INDEX(계정매핑!$E$5:$E$504,MATCH($F2717&amp;"",계정매핑!$A$5:$A$504,0))&amp;"","공통비"))</f>
        <v/>
      </c>
      <c r="AF2717" s="64">
        <f>IF($A2717="","",IF(AE2717="직접",IFERROR(INDEX(계정매핑!$F$5:$F$504,MATCH($F2717&amp;"",계정매핑!$A$5:$A$504,0))&amp;"","비귀속"),""))</f>
        <v/>
      </c>
      <c r="AG2717" s="96">
        <f>IF($A2717="",0,IF(AND(AE2717&lt;&gt;"직접",IFERROR(INDEX(계정매핑!$G$5:$G$504,MATCH($F2717&amp;"",계정매핑!$A$5:$A$504,0))&amp;"","")="유지비",COUNTIF(계정대체기준!$A$6:$A$15,$N2717)&gt;0),IFERROR(INDEX(계정대체기준!$E$6:$E$15,MATCH(VALUE($A2717&amp;""),계정대체기준!$D$6:$D$15,0)),0),0))</f>
        <v/>
      </c>
      <c r="AH2717" s="64">
        <f>IF($A2717="","",IF(AD2717=0,"",IF(OR(COUNTIF(계정대체기준!$A$77:$A$86,$N2717)&gt;0,ISNUMBER(MATCH($X2717,계정대체기준!$D$77:$D$86,0)),ISNUMBER(MATCH($F2717,계정대체기준!$D$77:$D$86,0))),"Y","N")))</f>
        <v/>
      </c>
    </row>
    <row r="2718">
      <c r="A2718" s="92" t="n">
        <v>2025</v>
      </c>
      <c r="B2718" s="92" t="n">
        <v>12</v>
      </c>
      <c r="C2718" s="92" t="inlineStr">
        <is>
          <t>5100002714</t>
        </is>
      </c>
      <c r="D2718" s="95" t="n">
        <v>46018</v>
      </c>
      <c r="E2718" s="92" t="inlineStr">
        <is>
          <t>KR</t>
        </is>
      </c>
      <c r="F2718" s="92" t="n">
        <v>62501000</v>
      </c>
      <c r="G2718" s="92" t="n">
        <v>1601</v>
      </c>
      <c r="H2718" s="93" t="n">
        <v>296000</v>
      </c>
      <c r="I2718" s="92" t="inlineStr">
        <is>
          <t>12월 회의 다과 - (법인카드)</t>
        </is>
      </c>
      <c r="J2718" s="92" t="inlineStr">
        <is>
          <t>V10010</t>
        </is>
      </c>
      <c r="K2718" s="92" t="inlineStr">
        <is>
          <t>(법인카드)</t>
        </is>
      </c>
      <c r="M2718" s="9">
        <f>IF($A2718="","",VALUE($A2718&amp;"")*12+VALUE($B2718&amp;""))</f>
        <v/>
      </c>
      <c r="N2718" s="64">
        <f>IF($A2718="","",IFERROR(INDEX(부서매핑!$C$5:$C$504,MATCH($G2718&amp;"",부서매핑!$A$5:$A$504,0)),"미매핑"))</f>
        <v/>
      </c>
      <c r="O2718" s="9">
        <f>IF($A2718="","",N2718&amp;"|"&amp;$F2718)</f>
        <v/>
      </c>
      <c r="P2718" s="94">
        <f>IF($A2718="",0,$H2718*설정!$C$23)</f>
        <v/>
      </c>
      <c r="Q2718" s="64">
        <f>IF($A2718="","",IF(O2718&lt;&gt;원인분석!$C$9,"",IF(AND(M2718&gt;=원인분석!$C$10,M2718&lt;=원인분석!$C$11),"당기",IF(AND(M2718&gt;=원인분석!$C$12,M2718&lt;=원인분석!$C$13),"비교",""))))</f>
        <v/>
      </c>
      <c r="R2718" s="9">
        <f>IF(Q2718="","",$K2718&amp;"")</f>
        <v/>
      </c>
      <c r="S2718" s="9">
        <f>IF(Q2718="","",IF(MATCH(R2718,$R$5:$R$100000,0)=ROW()-4,ROW(),""))</f>
        <v/>
      </c>
      <c r="T2718" s="9">
        <f>IF(Q2718="당기",ABS(P2718)+ROW()/1000000000,"")</f>
        <v/>
      </c>
      <c r="U2718" s="9">
        <f>IF(Q2718="비교",ABS(P2718)+ROW()/1000000000,"")</f>
        <v/>
      </c>
      <c r="V2718" s="64">
        <f>IF($A2718="","",IF(COUNTIF(변동분석!$E$7:$E$506,O2718)&gt;0,"Y","N"))</f>
        <v/>
      </c>
      <c r="W2718" s="64">
        <f>IF($A2718="","",IFERROR(INDEX(계정매핑!$D$5:$D$504,MATCH($F2718&amp;"",계정매핑!$A$5:$A$504,0)),"미매핑"))</f>
        <v/>
      </c>
      <c r="X2718" s="9">
        <f>IF($A2718="","",$F2718&amp;"")</f>
        <v/>
      </c>
      <c r="Y2718" s="94">
        <f>IF($A2718="",0,IF(AE2718="직접",IF(AF2718="비귀속",$P2718,0),$P2718*(1-AG2718)*IFERROR(INDEX(계정대체기준!$F$20:$F$49,MATCH($N2718,계정대체기준!$A$20:$A$49,0)),1)))</f>
        <v/>
      </c>
      <c r="Z2718" s="94">
        <f>IF($A2718="",0,IF(AE2718="직접",IF(AF2718="신계약비",$P2718,0),$P2718*(1-AG2718)*IFERROR(INDEX(계정대체기준!$C$20:$C$49,MATCH($N2718,계정대체기준!$A$20:$A$49,0)),0)))</f>
        <v/>
      </c>
      <c r="AA2718" s="94">
        <f>IF($A2718="",0,IF(AE2718="직접",IF(OR(AF2718="유지비",AF2718="손해조사비"),$P2718,0),$P2718*(1-AG2718)*IFERROR(INDEX(계정대체기준!$D$20:$D$49,MATCH($N2718,계정대체기준!$A$20:$A$49,0)),0)))</f>
        <v/>
      </c>
      <c r="AB2718" s="94">
        <f>IF($A2718="",0,IF(AE2718="직접",IF(AF2718="수금비",$P2718,0),$P2718*(1-AG2718)*IFERROR(INDEX(계정대체기준!$E$20:$E$49,MATCH($N2718,계정대체기준!$A$20:$A$49,0)),0)))</f>
        <v/>
      </c>
      <c r="AC2718" s="9">
        <f>IF(AND($A2718&lt;&gt;"",M2718=설정!$C$20,Z2718&gt;0),Z2718+ROW()/1000000000,"")</f>
        <v/>
      </c>
      <c r="AD2718" s="94">
        <f>IF($A2718="",0,$P2718*AG2718)</f>
        <v/>
      </c>
      <c r="AE2718" s="64">
        <f>IF($A2718="","",IFERROR(INDEX(계정매핑!$E$5:$E$504,MATCH($F2718&amp;"",계정매핑!$A$5:$A$504,0))&amp;"","공통비"))</f>
        <v/>
      </c>
      <c r="AF2718" s="64">
        <f>IF($A2718="","",IF(AE2718="직접",IFERROR(INDEX(계정매핑!$F$5:$F$504,MATCH($F2718&amp;"",계정매핑!$A$5:$A$504,0))&amp;"","비귀속"),""))</f>
        <v/>
      </c>
      <c r="AG2718" s="96">
        <f>IF($A2718="",0,IF(AND(AE2718&lt;&gt;"직접",IFERROR(INDEX(계정매핑!$G$5:$G$504,MATCH($F2718&amp;"",계정매핑!$A$5:$A$504,0))&amp;"","")="유지비",COUNTIF(계정대체기준!$A$6:$A$15,$N2718)&gt;0),IFERROR(INDEX(계정대체기준!$E$6:$E$15,MATCH(VALUE($A2718&amp;""),계정대체기준!$D$6:$D$15,0)),0),0))</f>
        <v/>
      </c>
      <c r="AH2718" s="64">
        <f>IF($A2718="","",IF(AD2718=0,"",IF(OR(COUNTIF(계정대체기준!$A$77:$A$86,$N2718)&gt;0,ISNUMBER(MATCH($X2718,계정대체기준!$D$77:$D$86,0)),ISNUMBER(MATCH($F2718,계정대체기준!$D$77:$D$86,0))),"Y","N")))</f>
        <v/>
      </c>
    </row>
    <row r="2719">
      <c r="A2719" s="92" t="n">
        <v>2025</v>
      </c>
      <c r="B2719" s="92" t="n">
        <v>12</v>
      </c>
      <c r="C2719" s="92" t="inlineStr">
        <is>
          <t>5100002715</t>
        </is>
      </c>
      <c r="D2719" s="95" t="n">
        <v>46018</v>
      </c>
      <c r="E2719" s="92" t="inlineStr">
        <is>
          <t>KR</t>
        </is>
      </c>
      <c r="F2719" s="92" t="n">
        <v>62901000</v>
      </c>
      <c r="G2719" s="92" t="n">
        <v>1101</v>
      </c>
      <c r="H2719" s="93" t="n">
        <v>5004000</v>
      </c>
      <c r="I2719" s="92" t="inlineStr">
        <is>
          <t>12월 자문 수수료 - K회계법인</t>
        </is>
      </c>
      <c r="J2719" s="92" t="inlineStr">
        <is>
          <t>V10011</t>
        </is>
      </c>
      <c r="K2719" s="92" t="inlineStr">
        <is>
          <t>K회계법인</t>
        </is>
      </c>
      <c r="M2719" s="9">
        <f>IF($A2719="","",VALUE($A2719&amp;"")*12+VALUE($B2719&amp;""))</f>
        <v/>
      </c>
      <c r="N2719" s="64">
        <f>IF($A2719="","",IFERROR(INDEX(부서매핑!$C$5:$C$504,MATCH($G2719&amp;"",부서매핑!$A$5:$A$504,0)),"미매핑"))</f>
        <v/>
      </c>
      <c r="O2719" s="9">
        <f>IF($A2719="","",N2719&amp;"|"&amp;$F2719)</f>
        <v/>
      </c>
      <c r="P2719" s="94">
        <f>IF($A2719="",0,$H2719*설정!$C$23)</f>
        <v/>
      </c>
      <c r="Q2719" s="64">
        <f>IF($A2719="","",IF(O2719&lt;&gt;원인분석!$C$9,"",IF(AND(M2719&gt;=원인분석!$C$10,M2719&lt;=원인분석!$C$11),"당기",IF(AND(M2719&gt;=원인분석!$C$12,M2719&lt;=원인분석!$C$13),"비교",""))))</f>
        <v/>
      </c>
      <c r="R2719" s="9">
        <f>IF(Q2719="","",$K2719&amp;"")</f>
        <v/>
      </c>
      <c r="S2719" s="9">
        <f>IF(Q2719="","",IF(MATCH(R2719,$R$5:$R$100000,0)=ROW()-4,ROW(),""))</f>
        <v/>
      </c>
      <c r="T2719" s="9">
        <f>IF(Q2719="당기",ABS(P2719)+ROW()/1000000000,"")</f>
        <v/>
      </c>
      <c r="U2719" s="9">
        <f>IF(Q2719="비교",ABS(P2719)+ROW()/1000000000,"")</f>
        <v/>
      </c>
      <c r="V2719" s="64">
        <f>IF($A2719="","",IF(COUNTIF(변동분석!$E$7:$E$506,O2719)&gt;0,"Y","N"))</f>
        <v/>
      </c>
      <c r="W2719" s="64">
        <f>IF($A2719="","",IFERROR(INDEX(계정매핑!$D$5:$D$504,MATCH($F2719&amp;"",계정매핑!$A$5:$A$504,0)),"미매핑"))</f>
        <v/>
      </c>
      <c r="X2719" s="9">
        <f>IF($A2719="","",$F2719&amp;"")</f>
        <v/>
      </c>
      <c r="Y2719" s="94">
        <f>IF($A2719="",0,IF(AE2719="직접",IF(AF2719="비귀속",$P2719,0),$P2719*(1-AG2719)*IFERROR(INDEX(계정대체기준!$F$20:$F$49,MATCH($N2719,계정대체기준!$A$20:$A$49,0)),1)))</f>
        <v/>
      </c>
      <c r="Z2719" s="94">
        <f>IF($A2719="",0,IF(AE2719="직접",IF(AF2719="신계약비",$P2719,0),$P2719*(1-AG2719)*IFERROR(INDEX(계정대체기준!$C$20:$C$49,MATCH($N2719,계정대체기준!$A$20:$A$49,0)),0)))</f>
        <v/>
      </c>
      <c r="AA2719" s="94">
        <f>IF($A2719="",0,IF(AE2719="직접",IF(OR(AF2719="유지비",AF2719="손해조사비"),$P2719,0),$P2719*(1-AG2719)*IFERROR(INDEX(계정대체기준!$D$20:$D$49,MATCH($N2719,계정대체기준!$A$20:$A$49,0)),0)))</f>
        <v/>
      </c>
      <c r="AB2719" s="94">
        <f>IF($A2719="",0,IF(AE2719="직접",IF(AF2719="수금비",$P2719,0),$P2719*(1-AG2719)*IFERROR(INDEX(계정대체기준!$E$20:$E$49,MATCH($N2719,계정대체기준!$A$20:$A$49,0)),0)))</f>
        <v/>
      </c>
      <c r="AC2719" s="9">
        <f>IF(AND($A2719&lt;&gt;"",M2719=설정!$C$20,Z2719&gt;0),Z2719+ROW()/1000000000,"")</f>
        <v/>
      </c>
      <c r="AD2719" s="94">
        <f>IF($A2719="",0,$P2719*AG2719)</f>
        <v/>
      </c>
      <c r="AE2719" s="64">
        <f>IF($A2719="","",IFERROR(INDEX(계정매핑!$E$5:$E$504,MATCH($F2719&amp;"",계정매핑!$A$5:$A$504,0))&amp;"","공통비"))</f>
        <v/>
      </c>
      <c r="AF2719" s="64">
        <f>IF($A2719="","",IF(AE2719="직접",IFERROR(INDEX(계정매핑!$F$5:$F$504,MATCH($F2719&amp;"",계정매핑!$A$5:$A$504,0))&amp;"","비귀속"),""))</f>
        <v/>
      </c>
      <c r="AG2719" s="96">
        <f>IF($A2719="",0,IF(AND(AE2719&lt;&gt;"직접",IFERROR(INDEX(계정매핑!$G$5:$G$504,MATCH($F2719&amp;"",계정매핑!$A$5:$A$504,0))&amp;"","")="유지비",COUNTIF(계정대체기준!$A$6:$A$15,$N2719)&gt;0),IFERROR(INDEX(계정대체기준!$E$6:$E$15,MATCH(VALUE($A2719&amp;""),계정대체기준!$D$6:$D$15,0)),0),0))</f>
        <v/>
      </c>
      <c r="AH2719" s="64">
        <f>IF($A2719="","",IF(AD2719=0,"",IF(OR(COUNTIF(계정대체기준!$A$77:$A$86,$N2719)&gt;0,ISNUMBER(MATCH($X2719,계정대체기준!$D$77:$D$86,0)),ISNUMBER(MATCH($F2719,계정대체기준!$D$77:$D$86,0))),"Y","N")))</f>
        <v/>
      </c>
    </row>
    <row r="2720">
      <c r="A2720" s="92" t="n">
        <v>2025</v>
      </c>
      <c r="B2720" s="92" t="n">
        <v>12</v>
      </c>
      <c r="C2720" s="92" t="inlineStr">
        <is>
          <t>5100002716</t>
        </is>
      </c>
      <c r="D2720" s="95" t="n">
        <v>46018</v>
      </c>
      <c r="E2720" s="92" t="inlineStr">
        <is>
          <t>KR</t>
        </is>
      </c>
      <c r="F2720" s="92" t="n">
        <v>62901000</v>
      </c>
      <c r="G2720" s="92" t="n">
        <v>1201</v>
      </c>
      <c r="H2720" s="93" t="n">
        <v>4519000</v>
      </c>
      <c r="I2720" s="92" t="inlineStr">
        <is>
          <t>12월 자문 수수료 - W컨설팅</t>
        </is>
      </c>
      <c r="J2720" s="92" t="inlineStr">
        <is>
          <t>V10006</t>
        </is>
      </c>
      <c r="K2720" s="92" t="inlineStr">
        <is>
          <t>W컨설팅</t>
        </is>
      </c>
      <c r="M2720" s="9">
        <f>IF($A2720="","",VALUE($A2720&amp;"")*12+VALUE($B2720&amp;""))</f>
        <v/>
      </c>
      <c r="N2720" s="64">
        <f>IF($A2720="","",IFERROR(INDEX(부서매핑!$C$5:$C$504,MATCH($G2720&amp;"",부서매핑!$A$5:$A$504,0)),"미매핑"))</f>
        <v/>
      </c>
      <c r="O2720" s="9">
        <f>IF($A2720="","",N2720&amp;"|"&amp;$F2720)</f>
        <v/>
      </c>
      <c r="P2720" s="94">
        <f>IF($A2720="",0,$H2720*설정!$C$23)</f>
        <v/>
      </c>
      <c r="Q2720" s="64">
        <f>IF($A2720="","",IF(O2720&lt;&gt;원인분석!$C$9,"",IF(AND(M2720&gt;=원인분석!$C$10,M2720&lt;=원인분석!$C$11),"당기",IF(AND(M2720&gt;=원인분석!$C$12,M2720&lt;=원인분석!$C$13),"비교",""))))</f>
        <v/>
      </c>
      <c r="R2720" s="9">
        <f>IF(Q2720="","",$K2720&amp;"")</f>
        <v/>
      </c>
      <c r="S2720" s="9">
        <f>IF(Q2720="","",IF(MATCH(R2720,$R$5:$R$100000,0)=ROW()-4,ROW(),""))</f>
        <v/>
      </c>
      <c r="T2720" s="9">
        <f>IF(Q2720="당기",ABS(P2720)+ROW()/1000000000,"")</f>
        <v/>
      </c>
      <c r="U2720" s="9">
        <f>IF(Q2720="비교",ABS(P2720)+ROW()/1000000000,"")</f>
        <v/>
      </c>
      <c r="V2720" s="64">
        <f>IF($A2720="","",IF(COUNTIF(변동분석!$E$7:$E$506,O2720)&gt;0,"Y","N"))</f>
        <v/>
      </c>
      <c r="W2720" s="64">
        <f>IF($A2720="","",IFERROR(INDEX(계정매핑!$D$5:$D$504,MATCH($F2720&amp;"",계정매핑!$A$5:$A$504,0)),"미매핑"))</f>
        <v/>
      </c>
      <c r="X2720" s="9">
        <f>IF($A2720="","",$F2720&amp;"")</f>
        <v/>
      </c>
      <c r="Y2720" s="94">
        <f>IF($A2720="",0,IF(AE2720="직접",IF(AF2720="비귀속",$P2720,0),$P2720*(1-AG2720)*IFERROR(INDEX(계정대체기준!$F$20:$F$49,MATCH($N2720,계정대체기준!$A$20:$A$49,0)),1)))</f>
        <v/>
      </c>
      <c r="Z2720" s="94">
        <f>IF($A2720="",0,IF(AE2720="직접",IF(AF2720="신계약비",$P2720,0),$P2720*(1-AG2720)*IFERROR(INDEX(계정대체기준!$C$20:$C$49,MATCH($N2720,계정대체기준!$A$20:$A$49,0)),0)))</f>
        <v/>
      </c>
      <c r="AA2720" s="94">
        <f>IF($A2720="",0,IF(AE2720="직접",IF(OR(AF2720="유지비",AF2720="손해조사비"),$P2720,0),$P2720*(1-AG2720)*IFERROR(INDEX(계정대체기준!$D$20:$D$49,MATCH($N2720,계정대체기준!$A$20:$A$49,0)),0)))</f>
        <v/>
      </c>
      <c r="AB2720" s="94">
        <f>IF($A2720="",0,IF(AE2720="직접",IF(AF2720="수금비",$P2720,0),$P2720*(1-AG2720)*IFERROR(INDEX(계정대체기준!$E$20:$E$49,MATCH($N2720,계정대체기준!$A$20:$A$49,0)),0)))</f>
        <v/>
      </c>
      <c r="AC2720" s="9">
        <f>IF(AND($A2720&lt;&gt;"",M2720=설정!$C$20,Z2720&gt;0),Z2720+ROW()/1000000000,"")</f>
        <v/>
      </c>
      <c r="AD2720" s="94">
        <f>IF($A2720="",0,$P2720*AG2720)</f>
        <v/>
      </c>
      <c r="AE2720" s="64">
        <f>IF($A2720="","",IFERROR(INDEX(계정매핑!$E$5:$E$504,MATCH($F2720&amp;"",계정매핑!$A$5:$A$504,0))&amp;"","공통비"))</f>
        <v/>
      </c>
      <c r="AF2720" s="64">
        <f>IF($A2720="","",IF(AE2720="직접",IFERROR(INDEX(계정매핑!$F$5:$F$504,MATCH($F2720&amp;"",계정매핑!$A$5:$A$504,0))&amp;"","비귀속"),""))</f>
        <v/>
      </c>
      <c r="AG2720" s="96">
        <f>IF($A2720="",0,IF(AND(AE2720&lt;&gt;"직접",IFERROR(INDEX(계정매핑!$G$5:$G$504,MATCH($F2720&amp;"",계정매핑!$A$5:$A$504,0))&amp;"","")="유지비",COUNTIF(계정대체기준!$A$6:$A$15,$N2720)&gt;0),IFERROR(INDEX(계정대체기준!$E$6:$E$15,MATCH(VALUE($A2720&amp;""),계정대체기준!$D$6:$D$15,0)),0),0))</f>
        <v/>
      </c>
      <c r="AH2720" s="64">
        <f>IF($A2720="","",IF(AD2720=0,"",IF(OR(COUNTIF(계정대체기준!$A$77:$A$86,$N2720)&gt;0,ISNUMBER(MATCH($X2720,계정대체기준!$D$77:$D$86,0)),ISNUMBER(MATCH($F2720,계정대체기준!$D$77:$D$86,0))),"Y","N")))</f>
        <v/>
      </c>
    </row>
    <row r="2721">
      <c r="A2721" s="92" t="n">
        <v>2025</v>
      </c>
      <c r="B2721" s="92" t="n">
        <v>12</v>
      </c>
      <c r="C2721" s="92" t="inlineStr">
        <is>
          <t>5100002717</t>
        </is>
      </c>
      <c r="D2721" s="95" t="n">
        <v>46018</v>
      </c>
      <c r="E2721" s="92" t="inlineStr">
        <is>
          <t>KR</t>
        </is>
      </c>
      <c r="F2721" s="92" t="n">
        <v>62902000</v>
      </c>
      <c r="G2721" s="92" t="n">
        <v>1401</v>
      </c>
      <c r="H2721" s="93" t="n">
        <v>3396000</v>
      </c>
      <c r="I2721" s="92" t="inlineStr">
        <is>
          <t>12월 업무 위탁 수수료 - X서비스</t>
        </is>
      </c>
      <c r="J2721" s="92" t="inlineStr">
        <is>
          <t>V10020</t>
        </is>
      </c>
      <c r="K2721" s="92" t="inlineStr">
        <is>
          <t>X서비스</t>
        </is>
      </c>
      <c r="M2721" s="9">
        <f>IF($A2721="","",VALUE($A2721&amp;"")*12+VALUE($B2721&amp;""))</f>
        <v/>
      </c>
      <c r="N2721" s="64">
        <f>IF($A2721="","",IFERROR(INDEX(부서매핑!$C$5:$C$504,MATCH($G2721&amp;"",부서매핑!$A$5:$A$504,0)),"미매핑"))</f>
        <v/>
      </c>
      <c r="O2721" s="9">
        <f>IF($A2721="","",N2721&amp;"|"&amp;$F2721)</f>
        <v/>
      </c>
      <c r="P2721" s="94">
        <f>IF($A2721="",0,$H2721*설정!$C$23)</f>
        <v/>
      </c>
      <c r="Q2721" s="64">
        <f>IF($A2721="","",IF(O2721&lt;&gt;원인분석!$C$9,"",IF(AND(M2721&gt;=원인분석!$C$10,M2721&lt;=원인분석!$C$11),"당기",IF(AND(M2721&gt;=원인분석!$C$12,M2721&lt;=원인분석!$C$13),"비교",""))))</f>
        <v/>
      </c>
      <c r="R2721" s="9">
        <f>IF(Q2721="","",$K2721&amp;"")</f>
        <v/>
      </c>
      <c r="S2721" s="9">
        <f>IF(Q2721="","",IF(MATCH(R2721,$R$5:$R$100000,0)=ROW()-4,ROW(),""))</f>
        <v/>
      </c>
      <c r="T2721" s="9">
        <f>IF(Q2721="당기",ABS(P2721)+ROW()/1000000000,"")</f>
        <v/>
      </c>
      <c r="U2721" s="9">
        <f>IF(Q2721="비교",ABS(P2721)+ROW()/1000000000,"")</f>
        <v/>
      </c>
      <c r="V2721" s="64">
        <f>IF($A2721="","",IF(COUNTIF(변동분석!$E$7:$E$506,O2721)&gt;0,"Y","N"))</f>
        <v/>
      </c>
      <c r="W2721" s="64">
        <f>IF($A2721="","",IFERROR(INDEX(계정매핑!$D$5:$D$504,MATCH($F2721&amp;"",계정매핑!$A$5:$A$504,0)),"미매핑"))</f>
        <v/>
      </c>
      <c r="X2721" s="9">
        <f>IF($A2721="","",$F2721&amp;"")</f>
        <v/>
      </c>
      <c r="Y2721" s="94">
        <f>IF($A2721="",0,IF(AE2721="직접",IF(AF2721="비귀속",$P2721,0),$P2721*(1-AG2721)*IFERROR(INDEX(계정대체기준!$F$20:$F$49,MATCH($N2721,계정대체기준!$A$20:$A$49,0)),1)))</f>
        <v/>
      </c>
      <c r="Z2721" s="94">
        <f>IF($A2721="",0,IF(AE2721="직접",IF(AF2721="신계약비",$P2721,0),$P2721*(1-AG2721)*IFERROR(INDEX(계정대체기준!$C$20:$C$49,MATCH($N2721,계정대체기준!$A$20:$A$49,0)),0)))</f>
        <v/>
      </c>
      <c r="AA2721" s="94">
        <f>IF($A2721="",0,IF(AE2721="직접",IF(OR(AF2721="유지비",AF2721="손해조사비"),$P2721,0),$P2721*(1-AG2721)*IFERROR(INDEX(계정대체기준!$D$20:$D$49,MATCH($N2721,계정대체기준!$A$20:$A$49,0)),0)))</f>
        <v/>
      </c>
      <c r="AB2721" s="94">
        <f>IF($A2721="",0,IF(AE2721="직접",IF(AF2721="수금비",$P2721,0),$P2721*(1-AG2721)*IFERROR(INDEX(계정대체기준!$E$20:$E$49,MATCH($N2721,계정대체기준!$A$20:$A$49,0)),0)))</f>
        <v/>
      </c>
      <c r="AC2721" s="9">
        <f>IF(AND($A2721&lt;&gt;"",M2721=설정!$C$20,Z2721&gt;0),Z2721+ROW()/1000000000,"")</f>
        <v/>
      </c>
      <c r="AD2721" s="94">
        <f>IF($A2721="",0,$P2721*AG2721)</f>
        <v/>
      </c>
      <c r="AE2721" s="64">
        <f>IF($A2721="","",IFERROR(INDEX(계정매핑!$E$5:$E$504,MATCH($F2721&amp;"",계정매핑!$A$5:$A$504,0))&amp;"","공통비"))</f>
        <v/>
      </c>
      <c r="AF2721" s="64">
        <f>IF($A2721="","",IF(AE2721="직접",IFERROR(INDEX(계정매핑!$F$5:$F$504,MATCH($F2721&amp;"",계정매핑!$A$5:$A$504,0))&amp;"","비귀속"),""))</f>
        <v/>
      </c>
      <c r="AG2721" s="96">
        <f>IF($A2721="",0,IF(AND(AE2721&lt;&gt;"직접",IFERROR(INDEX(계정매핑!$G$5:$G$504,MATCH($F2721&amp;"",계정매핑!$A$5:$A$504,0))&amp;"","")="유지비",COUNTIF(계정대체기준!$A$6:$A$15,$N2721)&gt;0),IFERROR(INDEX(계정대체기준!$E$6:$E$15,MATCH(VALUE($A2721&amp;""),계정대체기준!$D$6:$D$15,0)),0),0))</f>
        <v/>
      </c>
      <c r="AH2721" s="64">
        <f>IF($A2721="","",IF(AD2721=0,"",IF(OR(COUNTIF(계정대체기준!$A$77:$A$86,$N2721)&gt;0,ISNUMBER(MATCH($X2721,계정대체기준!$D$77:$D$86,0)),ISNUMBER(MATCH($F2721,계정대체기준!$D$77:$D$86,0))),"Y","N")))</f>
        <v/>
      </c>
    </row>
    <row r="2722">
      <c r="A2722" s="92" t="n">
        <v>2025</v>
      </c>
      <c r="B2722" s="92" t="n">
        <v>12</v>
      </c>
      <c r="C2722" s="92" t="inlineStr">
        <is>
          <t>5100002718</t>
        </is>
      </c>
      <c r="D2722" s="95" t="n">
        <v>46018</v>
      </c>
      <c r="E2722" s="92" t="inlineStr">
        <is>
          <t>KR</t>
        </is>
      </c>
      <c r="F2722" s="92" t="n">
        <v>63101000</v>
      </c>
      <c r="G2722" s="92" t="n">
        <v>1601</v>
      </c>
      <c r="H2722" s="93" t="n">
        <v>6910000</v>
      </c>
      <c r="I2722" s="92" t="inlineStr">
        <is>
          <t>12월 사무실 임차료 - BB부동산</t>
        </is>
      </c>
      <c r="J2722" s="92" t="inlineStr">
        <is>
          <t>V10028</t>
        </is>
      </c>
      <c r="K2722" s="92" t="inlineStr">
        <is>
          <t>BB부동산</t>
        </is>
      </c>
      <c r="M2722" s="9">
        <f>IF($A2722="","",VALUE($A2722&amp;"")*12+VALUE($B2722&amp;""))</f>
        <v/>
      </c>
      <c r="N2722" s="64">
        <f>IF($A2722="","",IFERROR(INDEX(부서매핑!$C$5:$C$504,MATCH($G2722&amp;"",부서매핑!$A$5:$A$504,0)),"미매핑"))</f>
        <v/>
      </c>
      <c r="O2722" s="9">
        <f>IF($A2722="","",N2722&amp;"|"&amp;$F2722)</f>
        <v/>
      </c>
      <c r="P2722" s="94">
        <f>IF($A2722="",0,$H2722*설정!$C$23)</f>
        <v/>
      </c>
      <c r="Q2722" s="64">
        <f>IF($A2722="","",IF(O2722&lt;&gt;원인분석!$C$9,"",IF(AND(M2722&gt;=원인분석!$C$10,M2722&lt;=원인분석!$C$11),"당기",IF(AND(M2722&gt;=원인분석!$C$12,M2722&lt;=원인분석!$C$13),"비교",""))))</f>
        <v/>
      </c>
      <c r="R2722" s="9">
        <f>IF(Q2722="","",$K2722&amp;"")</f>
        <v/>
      </c>
      <c r="S2722" s="9">
        <f>IF(Q2722="","",IF(MATCH(R2722,$R$5:$R$100000,0)=ROW()-4,ROW(),""))</f>
        <v/>
      </c>
      <c r="T2722" s="9">
        <f>IF(Q2722="당기",ABS(P2722)+ROW()/1000000000,"")</f>
        <v/>
      </c>
      <c r="U2722" s="9">
        <f>IF(Q2722="비교",ABS(P2722)+ROW()/1000000000,"")</f>
        <v/>
      </c>
      <c r="V2722" s="64">
        <f>IF($A2722="","",IF(COUNTIF(변동분석!$E$7:$E$506,O2722)&gt;0,"Y","N"))</f>
        <v/>
      </c>
      <c r="W2722" s="64">
        <f>IF($A2722="","",IFERROR(INDEX(계정매핑!$D$5:$D$504,MATCH($F2722&amp;"",계정매핑!$A$5:$A$504,0)),"미매핑"))</f>
        <v/>
      </c>
      <c r="X2722" s="9">
        <f>IF($A2722="","",$F2722&amp;"")</f>
        <v/>
      </c>
      <c r="Y2722" s="94">
        <f>IF($A2722="",0,IF(AE2722="직접",IF(AF2722="비귀속",$P2722,0),$P2722*(1-AG2722)*IFERROR(INDEX(계정대체기준!$F$20:$F$49,MATCH($N2722,계정대체기준!$A$20:$A$49,0)),1)))</f>
        <v/>
      </c>
      <c r="Z2722" s="94">
        <f>IF($A2722="",0,IF(AE2722="직접",IF(AF2722="신계약비",$P2722,0),$P2722*(1-AG2722)*IFERROR(INDEX(계정대체기준!$C$20:$C$49,MATCH($N2722,계정대체기준!$A$20:$A$49,0)),0)))</f>
        <v/>
      </c>
      <c r="AA2722" s="94">
        <f>IF($A2722="",0,IF(AE2722="직접",IF(OR(AF2722="유지비",AF2722="손해조사비"),$P2722,0),$P2722*(1-AG2722)*IFERROR(INDEX(계정대체기준!$D$20:$D$49,MATCH($N2722,계정대체기준!$A$20:$A$49,0)),0)))</f>
        <v/>
      </c>
      <c r="AB2722" s="94">
        <f>IF($A2722="",0,IF(AE2722="직접",IF(AF2722="수금비",$P2722,0),$P2722*(1-AG2722)*IFERROR(INDEX(계정대체기준!$E$20:$E$49,MATCH($N2722,계정대체기준!$A$20:$A$49,0)),0)))</f>
        <v/>
      </c>
      <c r="AC2722" s="9">
        <f>IF(AND($A2722&lt;&gt;"",M2722=설정!$C$20,Z2722&gt;0),Z2722+ROW()/1000000000,"")</f>
        <v/>
      </c>
      <c r="AD2722" s="94">
        <f>IF($A2722="",0,$P2722*AG2722)</f>
        <v/>
      </c>
      <c r="AE2722" s="64">
        <f>IF($A2722="","",IFERROR(INDEX(계정매핑!$E$5:$E$504,MATCH($F2722&amp;"",계정매핑!$A$5:$A$504,0))&amp;"","공통비"))</f>
        <v/>
      </c>
      <c r="AF2722" s="64">
        <f>IF($A2722="","",IF(AE2722="직접",IFERROR(INDEX(계정매핑!$F$5:$F$504,MATCH($F2722&amp;"",계정매핑!$A$5:$A$504,0))&amp;"","비귀속"),""))</f>
        <v/>
      </c>
      <c r="AG2722" s="96">
        <f>IF($A2722="",0,IF(AND(AE2722&lt;&gt;"직접",IFERROR(INDEX(계정매핑!$G$5:$G$504,MATCH($F2722&amp;"",계정매핑!$A$5:$A$504,0))&amp;"","")="유지비",COUNTIF(계정대체기준!$A$6:$A$15,$N2722)&gt;0),IFERROR(INDEX(계정대체기준!$E$6:$E$15,MATCH(VALUE($A2722&amp;""),계정대체기준!$D$6:$D$15,0)),0),0))</f>
        <v/>
      </c>
      <c r="AH2722" s="64">
        <f>IF($A2722="","",IF(AD2722=0,"",IF(OR(COUNTIF(계정대체기준!$A$77:$A$86,$N2722)&gt;0,ISNUMBER(MATCH($X2722,계정대체기준!$D$77:$D$86,0)),ISNUMBER(MATCH($F2722,계정대체기준!$D$77:$D$86,0))),"Y","N")))</f>
        <v/>
      </c>
    </row>
    <row r="2723">
      <c r="A2723" s="92" t="n">
        <v>2026</v>
      </c>
      <c r="B2723" s="92" t="n">
        <v>1</v>
      </c>
      <c r="C2723" s="92" t="inlineStr">
        <is>
          <t>5100000001</t>
        </is>
      </c>
      <c r="D2723" s="95" t="n">
        <v>46024</v>
      </c>
      <c r="E2723" s="92" t="inlineStr">
        <is>
          <t>KR</t>
        </is>
      </c>
      <c r="F2723" s="92" t="n">
        <v>62101000</v>
      </c>
      <c r="G2723" s="92" t="n">
        <v>1502</v>
      </c>
      <c r="H2723" s="93" t="n">
        <v>471000</v>
      </c>
      <c r="I2723" s="92" t="inlineStr">
        <is>
          <t>1월 국내출장 - L여행사</t>
        </is>
      </c>
      <c r="J2723" s="92" t="inlineStr">
        <is>
          <t>V10018</t>
        </is>
      </c>
      <c r="K2723" s="92" t="inlineStr">
        <is>
          <t>L여행사</t>
        </is>
      </c>
      <c r="M2723" s="9">
        <f>IF($A2723="","",VALUE($A2723&amp;"")*12+VALUE($B2723&amp;""))</f>
        <v/>
      </c>
      <c r="N2723" s="64">
        <f>IF($A2723="","",IFERROR(INDEX(부서매핑!$C$5:$C$504,MATCH($G2723&amp;"",부서매핑!$A$5:$A$504,0)),"미매핑"))</f>
        <v/>
      </c>
      <c r="O2723" s="9">
        <f>IF($A2723="","",N2723&amp;"|"&amp;$F2723)</f>
        <v/>
      </c>
      <c r="P2723" s="94">
        <f>IF($A2723="",0,$H2723*설정!$C$23)</f>
        <v/>
      </c>
      <c r="Q2723" s="64">
        <f>IF($A2723="","",IF(O2723&lt;&gt;원인분석!$C$9,"",IF(AND(M2723&gt;=원인분석!$C$10,M2723&lt;=원인분석!$C$11),"당기",IF(AND(M2723&gt;=원인분석!$C$12,M2723&lt;=원인분석!$C$13),"비교",""))))</f>
        <v/>
      </c>
      <c r="R2723" s="9">
        <f>IF(Q2723="","",$K2723&amp;"")</f>
        <v/>
      </c>
      <c r="S2723" s="9">
        <f>IF(Q2723="","",IF(MATCH(R2723,$R$5:$R$100000,0)=ROW()-4,ROW(),""))</f>
        <v/>
      </c>
      <c r="T2723" s="9">
        <f>IF(Q2723="당기",ABS(P2723)+ROW()/1000000000,"")</f>
        <v/>
      </c>
      <c r="U2723" s="9">
        <f>IF(Q2723="비교",ABS(P2723)+ROW()/1000000000,"")</f>
        <v/>
      </c>
      <c r="V2723" s="64">
        <f>IF($A2723="","",IF(COUNTIF(변동분석!$E$7:$E$506,O2723)&gt;0,"Y","N"))</f>
        <v/>
      </c>
      <c r="W2723" s="64">
        <f>IF($A2723="","",IFERROR(INDEX(계정매핑!$D$5:$D$504,MATCH($F2723&amp;"",계정매핑!$A$5:$A$504,0)),"미매핑"))</f>
        <v/>
      </c>
      <c r="X2723" s="9">
        <f>IF($A2723="","",$F2723&amp;"")</f>
        <v/>
      </c>
      <c r="Y2723" s="94">
        <f>IF($A2723="",0,IF(AE2723="직접",IF(AF2723="비귀속",$P2723,0),$P2723*(1-AG2723)*IFERROR(INDEX(계정대체기준!$F$20:$F$49,MATCH($N2723,계정대체기준!$A$20:$A$49,0)),1)))</f>
        <v/>
      </c>
      <c r="Z2723" s="94">
        <f>IF($A2723="",0,IF(AE2723="직접",IF(AF2723="신계약비",$P2723,0),$P2723*(1-AG2723)*IFERROR(INDEX(계정대체기준!$C$20:$C$49,MATCH($N2723,계정대체기준!$A$20:$A$49,0)),0)))</f>
        <v/>
      </c>
      <c r="AA2723" s="94">
        <f>IF($A2723="",0,IF(AE2723="직접",IF(OR(AF2723="유지비",AF2723="손해조사비"),$P2723,0),$P2723*(1-AG2723)*IFERROR(INDEX(계정대체기준!$D$20:$D$49,MATCH($N2723,계정대체기준!$A$20:$A$49,0)),0)))</f>
        <v/>
      </c>
      <c r="AB2723" s="94">
        <f>IF($A2723="",0,IF(AE2723="직접",IF(AF2723="수금비",$P2723,0),$P2723*(1-AG2723)*IFERROR(INDEX(계정대체기준!$E$20:$E$49,MATCH($N2723,계정대체기준!$A$20:$A$49,0)),0)))</f>
        <v/>
      </c>
      <c r="AC2723" s="9">
        <f>IF(AND($A2723&lt;&gt;"",M2723=설정!$C$20,Z2723&gt;0),Z2723+ROW()/1000000000,"")</f>
        <v/>
      </c>
      <c r="AD2723" s="94">
        <f>IF($A2723="",0,$P2723*AG2723)</f>
        <v/>
      </c>
      <c r="AE2723" s="64">
        <f>IF($A2723="","",IFERROR(INDEX(계정매핑!$E$5:$E$504,MATCH($F2723&amp;"",계정매핑!$A$5:$A$504,0))&amp;"","공통비"))</f>
        <v/>
      </c>
      <c r="AF2723" s="64">
        <f>IF($A2723="","",IF(AE2723="직접",IFERROR(INDEX(계정매핑!$F$5:$F$504,MATCH($F2723&amp;"",계정매핑!$A$5:$A$504,0))&amp;"","비귀속"),""))</f>
        <v/>
      </c>
      <c r="AG2723" s="96">
        <f>IF($A2723="",0,IF(AND(AE2723&lt;&gt;"직접",IFERROR(INDEX(계정매핑!$G$5:$G$504,MATCH($F2723&amp;"",계정매핑!$A$5:$A$504,0))&amp;"","")="유지비",COUNTIF(계정대체기준!$A$6:$A$15,$N2723)&gt;0),IFERROR(INDEX(계정대체기준!$E$6:$E$15,MATCH(VALUE($A2723&amp;""),계정대체기준!$D$6:$D$15,0)),0),0))</f>
        <v/>
      </c>
      <c r="AH2723" s="64">
        <f>IF($A2723="","",IF(AD2723=0,"",IF(OR(COUNTIF(계정대체기준!$A$77:$A$86,$N2723)&gt;0,ISNUMBER(MATCH($X2723,계정대체기준!$D$77:$D$86,0)),ISNUMBER(MATCH($F2723,계정대체기준!$D$77:$D$86,0))),"Y","N")))</f>
        <v/>
      </c>
    </row>
    <row r="2724">
      <c r="A2724" s="92" t="n">
        <v>2026</v>
      </c>
      <c r="B2724" s="92" t="n">
        <v>1</v>
      </c>
      <c r="C2724" s="92" t="inlineStr">
        <is>
          <t>5100000002</t>
        </is>
      </c>
      <c r="D2724" s="95" t="n">
        <v>46024</v>
      </c>
      <c r="E2724" s="92" t="inlineStr">
        <is>
          <t>KR</t>
        </is>
      </c>
      <c r="F2724" s="92" t="n">
        <v>62101000</v>
      </c>
      <c r="G2724" s="92" t="n">
        <v>1701</v>
      </c>
      <c r="H2724" s="93" t="n">
        <v>132000</v>
      </c>
      <c r="I2724" s="92" t="inlineStr">
        <is>
          <t>1월 국내출장 - (법인카드)</t>
        </is>
      </c>
      <c r="J2724" s="92" t="inlineStr">
        <is>
          <t>V10010</t>
        </is>
      </c>
      <c r="K2724" s="92" t="inlineStr">
        <is>
          <t>(법인카드)</t>
        </is>
      </c>
      <c r="M2724" s="9">
        <f>IF($A2724="","",VALUE($A2724&amp;"")*12+VALUE($B2724&amp;""))</f>
        <v/>
      </c>
      <c r="N2724" s="64">
        <f>IF($A2724="","",IFERROR(INDEX(부서매핑!$C$5:$C$504,MATCH($G2724&amp;"",부서매핑!$A$5:$A$504,0)),"미매핑"))</f>
        <v/>
      </c>
      <c r="O2724" s="9">
        <f>IF($A2724="","",N2724&amp;"|"&amp;$F2724)</f>
        <v/>
      </c>
      <c r="P2724" s="94">
        <f>IF($A2724="",0,$H2724*설정!$C$23)</f>
        <v/>
      </c>
      <c r="Q2724" s="64">
        <f>IF($A2724="","",IF(O2724&lt;&gt;원인분석!$C$9,"",IF(AND(M2724&gt;=원인분석!$C$10,M2724&lt;=원인분석!$C$11),"당기",IF(AND(M2724&gt;=원인분석!$C$12,M2724&lt;=원인분석!$C$13),"비교",""))))</f>
        <v/>
      </c>
      <c r="R2724" s="9">
        <f>IF(Q2724="","",$K2724&amp;"")</f>
        <v/>
      </c>
      <c r="S2724" s="9">
        <f>IF(Q2724="","",IF(MATCH(R2724,$R$5:$R$100000,0)=ROW()-4,ROW(),""))</f>
        <v/>
      </c>
      <c r="T2724" s="9">
        <f>IF(Q2724="당기",ABS(P2724)+ROW()/1000000000,"")</f>
        <v/>
      </c>
      <c r="U2724" s="9">
        <f>IF(Q2724="비교",ABS(P2724)+ROW()/1000000000,"")</f>
        <v/>
      </c>
      <c r="V2724" s="64">
        <f>IF($A2724="","",IF(COUNTIF(변동분석!$E$7:$E$506,O2724)&gt;0,"Y","N"))</f>
        <v/>
      </c>
      <c r="W2724" s="64">
        <f>IF($A2724="","",IFERROR(INDEX(계정매핑!$D$5:$D$504,MATCH($F2724&amp;"",계정매핑!$A$5:$A$504,0)),"미매핑"))</f>
        <v/>
      </c>
      <c r="X2724" s="9">
        <f>IF($A2724="","",$F2724&amp;"")</f>
        <v/>
      </c>
      <c r="Y2724" s="94">
        <f>IF($A2724="",0,IF(AE2724="직접",IF(AF2724="비귀속",$P2724,0),$P2724*(1-AG2724)*IFERROR(INDEX(계정대체기준!$F$20:$F$49,MATCH($N2724,계정대체기준!$A$20:$A$49,0)),1)))</f>
        <v/>
      </c>
      <c r="Z2724" s="94">
        <f>IF($A2724="",0,IF(AE2724="직접",IF(AF2724="신계약비",$P2724,0),$P2724*(1-AG2724)*IFERROR(INDEX(계정대체기준!$C$20:$C$49,MATCH($N2724,계정대체기준!$A$20:$A$49,0)),0)))</f>
        <v/>
      </c>
      <c r="AA2724" s="94">
        <f>IF($A2724="",0,IF(AE2724="직접",IF(OR(AF2724="유지비",AF2724="손해조사비"),$P2724,0),$P2724*(1-AG2724)*IFERROR(INDEX(계정대체기준!$D$20:$D$49,MATCH($N2724,계정대체기준!$A$20:$A$49,0)),0)))</f>
        <v/>
      </c>
      <c r="AB2724" s="94">
        <f>IF($A2724="",0,IF(AE2724="직접",IF(AF2724="수금비",$P2724,0),$P2724*(1-AG2724)*IFERROR(INDEX(계정대체기준!$E$20:$E$49,MATCH($N2724,계정대체기준!$A$20:$A$49,0)),0)))</f>
        <v/>
      </c>
      <c r="AC2724" s="9">
        <f>IF(AND($A2724&lt;&gt;"",M2724=설정!$C$20,Z2724&gt;0),Z2724+ROW()/1000000000,"")</f>
        <v/>
      </c>
      <c r="AD2724" s="94">
        <f>IF($A2724="",0,$P2724*AG2724)</f>
        <v/>
      </c>
      <c r="AE2724" s="64">
        <f>IF($A2724="","",IFERROR(INDEX(계정매핑!$E$5:$E$504,MATCH($F2724&amp;"",계정매핑!$A$5:$A$504,0))&amp;"","공통비"))</f>
        <v/>
      </c>
      <c r="AF2724" s="64">
        <f>IF($A2724="","",IF(AE2724="직접",IFERROR(INDEX(계정매핑!$F$5:$F$504,MATCH($F2724&amp;"",계정매핑!$A$5:$A$504,0))&amp;"","비귀속"),""))</f>
        <v/>
      </c>
      <c r="AG2724" s="96">
        <f>IF($A2724="",0,IF(AND(AE2724&lt;&gt;"직접",IFERROR(INDEX(계정매핑!$G$5:$G$504,MATCH($F2724&amp;"",계정매핑!$A$5:$A$504,0))&amp;"","")="유지비",COUNTIF(계정대체기준!$A$6:$A$15,$N2724)&gt;0),IFERROR(INDEX(계정대체기준!$E$6:$E$15,MATCH(VALUE($A2724&amp;""),계정대체기준!$D$6:$D$15,0)),0),0))</f>
        <v/>
      </c>
      <c r="AH2724" s="64">
        <f>IF($A2724="","",IF(AD2724=0,"",IF(OR(COUNTIF(계정대체기준!$A$77:$A$86,$N2724)&gt;0,ISNUMBER(MATCH($X2724,계정대체기준!$D$77:$D$86,0)),ISNUMBER(MATCH($F2724,계정대체기준!$D$77:$D$86,0))),"Y","N")))</f>
        <v/>
      </c>
    </row>
    <row r="2725">
      <c r="A2725" s="92" t="n">
        <v>2026</v>
      </c>
      <c r="B2725" s="92" t="n">
        <v>1</v>
      </c>
      <c r="C2725" s="92" t="inlineStr">
        <is>
          <t>5100000003</t>
        </is>
      </c>
      <c r="D2725" s="95" t="n">
        <v>46024</v>
      </c>
      <c r="E2725" s="92" t="inlineStr">
        <is>
          <t>KR</t>
        </is>
      </c>
      <c r="F2725" s="92" t="n">
        <v>62102000</v>
      </c>
      <c r="G2725" s="92" t="n">
        <v>1201</v>
      </c>
      <c r="H2725" s="93" t="n">
        <v>61000</v>
      </c>
      <c r="I2725" s="92" t="inlineStr">
        <is>
          <t>1월 해외출장 - M항공</t>
        </is>
      </c>
      <c r="J2725" s="92" t="inlineStr">
        <is>
          <t>V10001</t>
        </is>
      </c>
      <c r="K2725" s="92" t="inlineStr">
        <is>
          <t>M항공</t>
        </is>
      </c>
      <c r="M2725" s="9">
        <f>IF($A2725="","",VALUE($A2725&amp;"")*12+VALUE($B2725&amp;""))</f>
        <v/>
      </c>
      <c r="N2725" s="64">
        <f>IF($A2725="","",IFERROR(INDEX(부서매핑!$C$5:$C$504,MATCH($G2725&amp;"",부서매핑!$A$5:$A$504,0)),"미매핑"))</f>
        <v/>
      </c>
      <c r="O2725" s="9">
        <f>IF($A2725="","",N2725&amp;"|"&amp;$F2725)</f>
        <v/>
      </c>
      <c r="P2725" s="94">
        <f>IF($A2725="",0,$H2725*설정!$C$23)</f>
        <v/>
      </c>
      <c r="Q2725" s="64">
        <f>IF($A2725="","",IF(O2725&lt;&gt;원인분석!$C$9,"",IF(AND(M2725&gt;=원인분석!$C$10,M2725&lt;=원인분석!$C$11),"당기",IF(AND(M2725&gt;=원인분석!$C$12,M2725&lt;=원인분석!$C$13),"비교",""))))</f>
        <v/>
      </c>
      <c r="R2725" s="9">
        <f>IF(Q2725="","",$K2725&amp;"")</f>
        <v/>
      </c>
      <c r="S2725" s="9">
        <f>IF(Q2725="","",IF(MATCH(R2725,$R$5:$R$100000,0)=ROW()-4,ROW(),""))</f>
        <v/>
      </c>
      <c r="T2725" s="9">
        <f>IF(Q2725="당기",ABS(P2725)+ROW()/1000000000,"")</f>
        <v/>
      </c>
      <c r="U2725" s="9">
        <f>IF(Q2725="비교",ABS(P2725)+ROW()/1000000000,"")</f>
        <v/>
      </c>
      <c r="V2725" s="64">
        <f>IF($A2725="","",IF(COUNTIF(변동분석!$E$7:$E$506,O2725)&gt;0,"Y","N"))</f>
        <v/>
      </c>
      <c r="W2725" s="64">
        <f>IF($A2725="","",IFERROR(INDEX(계정매핑!$D$5:$D$504,MATCH($F2725&amp;"",계정매핑!$A$5:$A$504,0)),"미매핑"))</f>
        <v/>
      </c>
      <c r="X2725" s="9">
        <f>IF($A2725="","",$F2725&amp;"")</f>
        <v/>
      </c>
      <c r="Y2725" s="94">
        <f>IF($A2725="",0,IF(AE2725="직접",IF(AF2725="비귀속",$P2725,0),$P2725*(1-AG2725)*IFERROR(INDEX(계정대체기준!$F$20:$F$49,MATCH($N2725,계정대체기준!$A$20:$A$49,0)),1)))</f>
        <v/>
      </c>
      <c r="Z2725" s="94">
        <f>IF($A2725="",0,IF(AE2725="직접",IF(AF2725="신계약비",$P2725,0),$P2725*(1-AG2725)*IFERROR(INDEX(계정대체기준!$C$20:$C$49,MATCH($N2725,계정대체기준!$A$20:$A$49,0)),0)))</f>
        <v/>
      </c>
      <c r="AA2725" s="94">
        <f>IF($A2725="",0,IF(AE2725="직접",IF(OR(AF2725="유지비",AF2725="손해조사비"),$P2725,0),$P2725*(1-AG2725)*IFERROR(INDEX(계정대체기준!$D$20:$D$49,MATCH($N2725,계정대체기준!$A$20:$A$49,0)),0)))</f>
        <v/>
      </c>
      <c r="AB2725" s="94">
        <f>IF($A2725="",0,IF(AE2725="직접",IF(AF2725="수금비",$P2725,0),$P2725*(1-AG2725)*IFERROR(INDEX(계정대체기준!$E$20:$E$49,MATCH($N2725,계정대체기준!$A$20:$A$49,0)),0)))</f>
        <v/>
      </c>
      <c r="AC2725" s="9">
        <f>IF(AND($A2725&lt;&gt;"",M2725=설정!$C$20,Z2725&gt;0),Z2725+ROW()/1000000000,"")</f>
        <v/>
      </c>
      <c r="AD2725" s="94">
        <f>IF($A2725="",0,$P2725*AG2725)</f>
        <v/>
      </c>
      <c r="AE2725" s="64">
        <f>IF($A2725="","",IFERROR(INDEX(계정매핑!$E$5:$E$504,MATCH($F2725&amp;"",계정매핑!$A$5:$A$504,0))&amp;"","공통비"))</f>
        <v/>
      </c>
      <c r="AF2725" s="64">
        <f>IF($A2725="","",IF(AE2725="직접",IFERROR(INDEX(계정매핑!$F$5:$F$504,MATCH($F2725&amp;"",계정매핑!$A$5:$A$504,0))&amp;"","비귀속"),""))</f>
        <v/>
      </c>
      <c r="AG2725" s="96">
        <f>IF($A2725="",0,IF(AND(AE2725&lt;&gt;"직접",IFERROR(INDEX(계정매핑!$G$5:$G$504,MATCH($F2725&amp;"",계정매핑!$A$5:$A$504,0))&amp;"","")="유지비",COUNTIF(계정대체기준!$A$6:$A$15,$N2725)&gt;0),IFERROR(INDEX(계정대체기준!$E$6:$E$15,MATCH(VALUE($A2725&amp;""),계정대체기준!$D$6:$D$15,0)),0),0))</f>
        <v/>
      </c>
      <c r="AH2725" s="64">
        <f>IF($A2725="","",IF(AD2725=0,"",IF(OR(COUNTIF(계정대체기준!$A$77:$A$86,$N2725)&gt;0,ISNUMBER(MATCH($X2725,계정대체기준!$D$77:$D$86,0)),ISNUMBER(MATCH($F2725,계정대체기준!$D$77:$D$86,0))),"Y","N")))</f>
        <v/>
      </c>
    </row>
    <row r="2726">
      <c r="A2726" s="92" t="n">
        <v>2026</v>
      </c>
      <c r="B2726" s="92" t="n">
        <v>1</v>
      </c>
      <c r="C2726" s="92" t="inlineStr">
        <is>
          <t>5100000004</t>
        </is>
      </c>
      <c r="D2726" s="95" t="n">
        <v>46024</v>
      </c>
      <c r="E2726" s="92" t="inlineStr">
        <is>
          <t>KR</t>
        </is>
      </c>
      <c r="F2726" s="92" t="n">
        <v>62102000</v>
      </c>
      <c r="G2726" s="92" t="n">
        <v>1501</v>
      </c>
      <c r="H2726" s="93" t="n">
        <v>236000</v>
      </c>
      <c r="I2726" s="92" t="inlineStr">
        <is>
          <t>1월 해외출장 - N호텔</t>
        </is>
      </c>
      <c r="J2726" s="92" t="inlineStr">
        <is>
          <t>V10009</t>
        </is>
      </c>
      <c r="K2726" s="92" t="inlineStr">
        <is>
          <t>N호텔</t>
        </is>
      </c>
      <c r="M2726" s="9">
        <f>IF($A2726="","",VALUE($A2726&amp;"")*12+VALUE($B2726&amp;""))</f>
        <v/>
      </c>
      <c r="N2726" s="64">
        <f>IF($A2726="","",IFERROR(INDEX(부서매핑!$C$5:$C$504,MATCH($G2726&amp;"",부서매핑!$A$5:$A$504,0)),"미매핑"))</f>
        <v/>
      </c>
      <c r="O2726" s="9">
        <f>IF($A2726="","",N2726&amp;"|"&amp;$F2726)</f>
        <v/>
      </c>
      <c r="P2726" s="94">
        <f>IF($A2726="",0,$H2726*설정!$C$23)</f>
        <v/>
      </c>
      <c r="Q2726" s="64">
        <f>IF($A2726="","",IF(O2726&lt;&gt;원인분석!$C$9,"",IF(AND(M2726&gt;=원인분석!$C$10,M2726&lt;=원인분석!$C$11),"당기",IF(AND(M2726&gt;=원인분석!$C$12,M2726&lt;=원인분석!$C$13),"비교",""))))</f>
        <v/>
      </c>
      <c r="R2726" s="9">
        <f>IF(Q2726="","",$K2726&amp;"")</f>
        <v/>
      </c>
      <c r="S2726" s="9">
        <f>IF(Q2726="","",IF(MATCH(R2726,$R$5:$R$100000,0)=ROW()-4,ROW(),""))</f>
        <v/>
      </c>
      <c r="T2726" s="9">
        <f>IF(Q2726="당기",ABS(P2726)+ROW()/1000000000,"")</f>
        <v/>
      </c>
      <c r="U2726" s="9">
        <f>IF(Q2726="비교",ABS(P2726)+ROW()/1000000000,"")</f>
        <v/>
      </c>
      <c r="V2726" s="64">
        <f>IF($A2726="","",IF(COUNTIF(변동분석!$E$7:$E$506,O2726)&gt;0,"Y","N"))</f>
        <v/>
      </c>
      <c r="W2726" s="64">
        <f>IF($A2726="","",IFERROR(INDEX(계정매핑!$D$5:$D$504,MATCH($F2726&amp;"",계정매핑!$A$5:$A$504,0)),"미매핑"))</f>
        <v/>
      </c>
      <c r="X2726" s="9">
        <f>IF($A2726="","",$F2726&amp;"")</f>
        <v/>
      </c>
      <c r="Y2726" s="94">
        <f>IF($A2726="",0,IF(AE2726="직접",IF(AF2726="비귀속",$P2726,0),$P2726*(1-AG2726)*IFERROR(INDEX(계정대체기준!$F$20:$F$49,MATCH($N2726,계정대체기준!$A$20:$A$49,0)),1)))</f>
        <v/>
      </c>
      <c r="Z2726" s="94">
        <f>IF($A2726="",0,IF(AE2726="직접",IF(AF2726="신계약비",$P2726,0),$P2726*(1-AG2726)*IFERROR(INDEX(계정대체기준!$C$20:$C$49,MATCH($N2726,계정대체기준!$A$20:$A$49,0)),0)))</f>
        <v/>
      </c>
      <c r="AA2726" s="94">
        <f>IF($A2726="",0,IF(AE2726="직접",IF(OR(AF2726="유지비",AF2726="손해조사비"),$P2726,0),$P2726*(1-AG2726)*IFERROR(INDEX(계정대체기준!$D$20:$D$49,MATCH($N2726,계정대체기준!$A$20:$A$49,0)),0)))</f>
        <v/>
      </c>
      <c r="AB2726" s="94">
        <f>IF($A2726="",0,IF(AE2726="직접",IF(AF2726="수금비",$P2726,0),$P2726*(1-AG2726)*IFERROR(INDEX(계정대체기준!$E$20:$E$49,MATCH($N2726,계정대체기준!$A$20:$A$49,0)),0)))</f>
        <v/>
      </c>
      <c r="AC2726" s="9">
        <f>IF(AND($A2726&lt;&gt;"",M2726=설정!$C$20,Z2726&gt;0),Z2726+ROW()/1000000000,"")</f>
        <v/>
      </c>
      <c r="AD2726" s="94">
        <f>IF($A2726="",0,$P2726*AG2726)</f>
        <v/>
      </c>
      <c r="AE2726" s="64">
        <f>IF($A2726="","",IFERROR(INDEX(계정매핑!$E$5:$E$504,MATCH($F2726&amp;"",계정매핑!$A$5:$A$504,0))&amp;"","공통비"))</f>
        <v/>
      </c>
      <c r="AF2726" s="64">
        <f>IF($A2726="","",IF(AE2726="직접",IFERROR(INDEX(계정매핑!$F$5:$F$504,MATCH($F2726&amp;"",계정매핑!$A$5:$A$504,0))&amp;"","비귀속"),""))</f>
        <v/>
      </c>
      <c r="AG2726" s="96">
        <f>IF($A2726="",0,IF(AND(AE2726&lt;&gt;"직접",IFERROR(INDEX(계정매핑!$G$5:$G$504,MATCH($F2726&amp;"",계정매핑!$A$5:$A$504,0))&amp;"","")="유지비",COUNTIF(계정대체기준!$A$6:$A$15,$N2726)&gt;0),IFERROR(INDEX(계정대체기준!$E$6:$E$15,MATCH(VALUE($A2726&amp;""),계정대체기준!$D$6:$D$15,0)),0),0))</f>
        <v/>
      </c>
      <c r="AH2726" s="64">
        <f>IF($A2726="","",IF(AD2726=0,"",IF(OR(COUNTIF(계정대체기준!$A$77:$A$86,$N2726)&gt;0,ISNUMBER(MATCH($X2726,계정대체기준!$D$77:$D$86,0)),ISNUMBER(MATCH($F2726,계정대체기준!$D$77:$D$86,0))),"Y","N")))</f>
        <v/>
      </c>
    </row>
    <row r="2727">
      <c r="A2727" s="92" t="n">
        <v>2026</v>
      </c>
      <c r="B2727" s="92" t="n">
        <v>1</v>
      </c>
      <c r="C2727" s="92" t="inlineStr">
        <is>
          <t>5100000005</t>
        </is>
      </c>
      <c r="D2727" s="95" t="n">
        <v>46024</v>
      </c>
      <c r="E2727" s="92" t="inlineStr">
        <is>
          <t>KR</t>
        </is>
      </c>
      <c r="F2727" s="92" t="n">
        <v>62201000</v>
      </c>
      <c r="G2727" s="92" t="n">
        <v>1951</v>
      </c>
      <c r="H2727" s="93" t="n">
        <v>160000</v>
      </c>
      <c r="I2727" s="92" t="inlineStr">
        <is>
          <t>1월 통신요금 - P통신</t>
        </is>
      </c>
      <c r="J2727" s="92" t="inlineStr">
        <is>
          <t>V10014</t>
        </is>
      </c>
      <c r="K2727" s="92" t="inlineStr">
        <is>
          <t>P통신</t>
        </is>
      </c>
      <c r="M2727" s="9">
        <f>IF($A2727="","",VALUE($A2727&amp;"")*12+VALUE($B2727&amp;""))</f>
        <v/>
      </c>
      <c r="N2727" s="64">
        <f>IF($A2727="","",IFERROR(INDEX(부서매핑!$C$5:$C$504,MATCH($G2727&amp;"",부서매핑!$A$5:$A$504,0)),"미매핑"))</f>
        <v/>
      </c>
      <c r="O2727" s="9">
        <f>IF($A2727="","",N2727&amp;"|"&amp;$F2727)</f>
        <v/>
      </c>
      <c r="P2727" s="94">
        <f>IF($A2727="",0,$H2727*설정!$C$23)</f>
        <v/>
      </c>
      <c r="Q2727" s="64">
        <f>IF($A2727="","",IF(O2727&lt;&gt;원인분석!$C$9,"",IF(AND(M2727&gt;=원인분석!$C$10,M2727&lt;=원인분석!$C$11),"당기",IF(AND(M2727&gt;=원인분석!$C$12,M2727&lt;=원인분석!$C$13),"비교",""))))</f>
        <v/>
      </c>
      <c r="R2727" s="9">
        <f>IF(Q2727="","",$K2727&amp;"")</f>
        <v/>
      </c>
      <c r="S2727" s="9">
        <f>IF(Q2727="","",IF(MATCH(R2727,$R$5:$R$100000,0)=ROW()-4,ROW(),""))</f>
        <v/>
      </c>
      <c r="T2727" s="9">
        <f>IF(Q2727="당기",ABS(P2727)+ROW()/1000000000,"")</f>
        <v/>
      </c>
      <c r="U2727" s="9">
        <f>IF(Q2727="비교",ABS(P2727)+ROW()/1000000000,"")</f>
        <v/>
      </c>
      <c r="V2727" s="64">
        <f>IF($A2727="","",IF(COUNTIF(변동분석!$E$7:$E$506,O2727)&gt;0,"Y","N"))</f>
        <v/>
      </c>
      <c r="W2727" s="64">
        <f>IF($A2727="","",IFERROR(INDEX(계정매핑!$D$5:$D$504,MATCH($F2727&amp;"",계정매핑!$A$5:$A$504,0)),"미매핑"))</f>
        <v/>
      </c>
      <c r="X2727" s="9">
        <f>IF($A2727="","",$F2727&amp;"")</f>
        <v/>
      </c>
      <c r="Y2727" s="94">
        <f>IF($A2727="",0,IF(AE2727="직접",IF(AF2727="비귀속",$P2727,0),$P2727*(1-AG2727)*IFERROR(INDEX(계정대체기준!$F$20:$F$49,MATCH($N2727,계정대체기준!$A$20:$A$49,0)),1)))</f>
        <v/>
      </c>
      <c r="Z2727" s="94">
        <f>IF($A2727="",0,IF(AE2727="직접",IF(AF2727="신계약비",$P2727,0),$P2727*(1-AG2727)*IFERROR(INDEX(계정대체기준!$C$20:$C$49,MATCH($N2727,계정대체기준!$A$20:$A$49,0)),0)))</f>
        <v/>
      </c>
      <c r="AA2727" s="94">
        <f>IF($A2727="",0,IF(AE2727="직접",IF(OR(AF2727="유지비",AF2727="손해조사비"),$P2727,0),$P2727*(1-AG2727)*IFERROR(INDEX(계정대체기준!$D$20:$D$49,MATCH($N2727,계정대체기준!$A$20:$A$49,0)),0)))</f>
        <v/>
      </c>
      <c r="AB2727" s="94">
        <f>IF($A2727="",0,IF(AE2727="직접",IF(AF2727="수금비",$P2727,0),$P2727*(1-AG2727)*IFERROR(INDEX(계정대체기준!$E$20:$E$49,MATCH($N2727,계정대체기준!$A$20:$A$49,0)),0)))</f>
        <v/>
      </c>
      <c r="AC2727" s="9">
        <f>IF(AND($A2727&lt;&gt;"",M2727=설정!$C$20,Z2727&gt;0),Z2727+ROW()/1000000000,"")</f>
        <v/>
      </c>
      <c r="AD2727" s="94">
        <f>IF($A2727="",0,$P2727*AG2727)</f>
        <v/>
      </c>
      <c r="AE2727" s="64">
        <f>IF($A2727="","",IFERROR(INDEX(계정매핑!$E$5:$E$504,MATCH($F2727&amp;"",계정매핑!$A$5:$A$504,0))&amp;"","공통비"))</f>
        <v/>
      </c>
      <c r="AF2727" s="64">
        <f>IF($A2727="","",IF(AE2727="직접",IFERROR(INDEX(계정매핑!$F$5:$F$504,MATCH($F2727&amp;"",계정매핑!$A$5:$A$504,0))&amp;"","비귀속"),""))</f>
        <v/>
      </c>
      <c r="AG2727" s="96">
        <f>IF($A2727="",0,IF(AND(AE2727&lt;&gt;"직접",IFERROR(INDEX(계정매핑!$G$5:$G$504,MATCH($F2727&amp;"",계정매핑!$A$5:$A$504,0))&amp;"","")="유지비",COUNTIF(계정대체기준!$A$6:$A$15,$N2727)&gt;0),IFERROR(INDEX(계정대체기준!$E$6:$E$15,MATCH(VALUE($A2727&amp;""),계정대체기준!$D$6:$D$15,0)),0),0))</f>
        <v/>
      </c>
      <c r="AH2727" s="64">
        <f>IF($A2727="","",IF(AD2727=0,"",IF(OR(COUNTIF(계정대체기준!$A$77:$A$86,$N2727)&gt;0,ISNUMBER(MATCH($X2727,계정대체기준!$D$77:$D$86,0)),ISNUMBER(MATCH($F2727,계정대체기준!$D$77:$D$86,0))),"Y","N")))</f>
        <v/>
      </c>
    </row>
    <row r="2728">
      <c r="A2728" s="92" t="n">
        <v>2026</v>
      </c>
      <c r="B2728" s="92" t="n">
        <v>1</v>
      </c>
      <c r="C2728" s="92" t="inlineStr">
        <is>
          <t>5100000006</t>
        </is>
      </c>
      <c r="D2728" s="95" t="n">
        <v>46024</v>
      </c>
      <c r="E2728" s="92" t="inlineStr">
        <is>
          <t>KR</t>
        </is>
      </c>
      <c r="F2728" s="92" t="n">
        <v>63101000</v>
      </c>
      <c r="G2728" s="92" t="n">
        <v>1601</v>
      </c>
      <c r="H2728" s="93" t="n">
        <v>3118000</v>
      </c>
      <c r="I2728" s="92" t="inlineStr">
        <is>
          <t>1월 사무실 임차료 - AA빌딩</t>
        </is>
      </c>
      <c r="J2728" s="92" t="inlineStr">
        <is>
          <t>V10007</t>
        </is>
      </c>
      <c r="K2728" s="92" t="inlineStr">
        <is>
          <t>AA빌딩</t>
        </is>
      </c>
      <c r="M2728" s="9">
        <f>IF($A2728="","",VALUE($A2728&amp;"")*12+VALUE($B2728&amp;""))</f>
        <v/>
      </c>
      <c r="N2728" s="64">
        <f>IF($A2728="","",IFERROR(INDEX(부서매핑!$C$5:$C$504,MATCH($G2728&amp;"",부서매핑!$A$5:$A$504,0)),"미매핑"))</f>
        <v/>
      </c>
      <c r="O2728" s="9">
        <f>IF($A2728="","",N2728&amp;"|"&amp;$F2728)</f>
        <v/>
      </c>
      <c r="P2728" s="94">
        <f>IF($A2728="",0,$H2728*설정!$C$23)</f>
        <v/>
      </c>
      <c r="Q2728" s="64">
        <f>IF($A2728="","",IF(O2728&lt;&gt;원인분석!$C$9,"",IF(AND(M2728&gt;=원인분석!$C$10,M2728&lt;=원인분석!$C$11),"당기",IF(AND(M2728&gt;=원인분석!$C$12,M2728&lt;=원인분석!$C$13),"비교",""))))</f>
        <v/>
      </c>
      <c r="R2728" s="9">
        <f>IF(Q2728="","",$K2728&amp;"")</f>
        <v/>
      </c>
      <c r="S2728" s="9">
        <f>IF(Q2728="","",IF(MATCH(R2728,$R$5:$R$100000,0)=ROW()-4,ROW(),""))</f>
        <v/>
      </c>
      <c r="T2728" s="9">
        <f>IF(Q2728="당기",ABS(P2728)+ROW()/1000000000,"")</f>
        <v/>
      </c>
      <c r="U2728" s="9">
        <f>IF(Q2728="비교",ABS(P2728)+ROW()/1000000000,"")</f>
        <v/>
      </c>
      <c r="V2728" s="64">
        <f>IF($A2728="","",IF(COUNTIF(변동분석!$E$7:$E$506,O2728)&gt;0,"Y","N"))</f>
        <v/>
      </c>
      <c r="W2728" s="64">
        <f>IF($A2728="","",IFERROR(INDEX(계정매핑!$D$5:$D$504,MATCH($F2728&amp;"",계정매핑!$A$5:$A$504,0)),"미매핑"))</f>
        <v/>
      </c>
      <c r="X2728" s="9">
        <f>IF($A2728="","",$F2728&amp;"")</f>
        <v/>
      </c>
      <c r="Y2728" s="94">
        <f>IF($A2728="",0,IF(AE2728="직접",IF(AF2728="비귀속",$P2728,0),$P2728*(1-AG2728)*IFERROR(INDEX(계정대체기준!$F$20:$F$49,MATCH($N2728,계정대체기준!$A$20:$A$49,0)),1)))</f>
        <v/>
      </c>
      <c r="Z2728" s="94">
        <f>IF($A2728="",0,IF(AE2728="직접",IF(AF2728="신계약비",$P2728,0),$P2728*(1-AG2728)*IFERROR(INDEX(계정대체기준!$C$20:$C$49,MATCH($N2728,계정대체기준!$A$20:$A$49,0)),0)))</f>
        <v/>
      </c>
      <c r="AA2728" s="94">
        <f>IF($A2728="",0,IF(AE2728="직접",IF(OR(AF2728="유지비",AF2728="손해조사비"),$P2728,0),$P2728*(1-AG2728)*IFERROR(INDEX(계정대체기준!$D$20:$D$49,MATCH($N2728,계정대체기준!$A$20:$A$49,0)),0)))</f>
        <v/>
      </c>
      <c r="AB2728" s="94">
        <f>IF($A2728="",0,IF(AE2728="직접",IF(AF2728="수금비",$P2728,0),$P2728*(1-AG2728)*IFERROR(INDEX(계정대체기준!$E$20:$E$49,MATCH($N2728,계정대체기준!$A$20:$A$49,0)),0)))</f>
        <v/>
      </c>
      <c r="AC2728" s="9">
        <f>IF(AND($A2728&lt;&gt;"",M2728=설정!$C$20,Z2728&gt;0),Z2728+ROW()/1000000000,"")</f>
        <v/>
      </c>
      <c r="AD2728" s="94">
        <f>IF($A2728="",0,$P2728*AG2728)</f>
        <v/>
      </c>
      <c r="AE2728" s="64">
        <f>IF($A2728="","",IFERROR(INDEX(계정매핑!$E$5:$E$504,MATCH($F2728&amp;"",계정매핑!$A$5:$A$504,0))&amp;"","공통비"))</f>
        <v/>
      </c>
      <c r="AF2728" s="64">
        <f>IF($A2728="","",IF(AE2728="직접",IFERROR(INDEX(계정매핑!$F$5:$F$504,MATCH($F2728&amp;"",계정매핑!$A$5:$A$504,0))&amp;"","비귀속"),""))</f>
        <v/>
      </c>
      <c r="AG2728" s="96">
        <f>IF($A2728="",0,IF(AND(AE2728&lt;&gt;"직접",IFERROR(INDEX(계정매핑!$G$5:$G$504,MATCH($F2728&amp;"",계정매핑!$A$5:$A$504,0))&amp;"","")="유지비",COUNTIF(계정대체기준!$A$6:$A$15,$N2728)&gt;0),IFERROR(INDEX(계정대체기준!$E$6:$E$15,MATCH(VALUE($A2728&amp;""),계정대체기준!$D$6:$D$15,0)),0),0))</f>
        <v/>
      </c>
      <c r="AH2728" s="64">
        <f>IF($A2728="","",IF(AD2728=0,"",IF(OR(COUNTIF(계정대체기준!$A$77:$A$86,$N2728)&gt;0,ISNUMBER(MATCH($X2728,계정대체기준!$D$77:$D$86,0)),ISNUMBER(MATCH($F2728,계정대체기준!$D$77:$D$86,0))),"Y","N")))</f>
        <v/>
      </c>
    </row>
    <row r="2729">
      <c r="A2729" s="92" t="n">
        <v>2026</v>
      </c>
      <c r="B2729" s="92" t="n">
        <v>1</v>
      </c>
      <c r="C2729" s="92" t="inlineStr">
        <is>
          <t>5100000007</t>
        </is>
      </c>
      <c r="D2729" s="95" t="n">
        <v>46025</v>
      </c>
      <c r="E2729" s="92" t="inlineStr">
        <is>
          <t>KR</t>
        </is>
      </c>
      <c r="F2729" s="92" t="n">
        <v>62102000</v>
      </c>
      <c r="G2729" s="92" t="n">
        <v>1101</v>
      </c>
      <c r="H2729" s="93" t="n">
        <v>132000</v>
      </c>
      <c r="I2729" s="92" t="inlineStr">
        <is>
          <t>1월 해외출장 - N호텔</t>
        </is>
      </c>
      <c r="J2729" s="92" t="inlineStr">
        <is>
          <t>V10009</t>
        </is>
      </c>
      <c r="K2729" s="92" t="inlineStr">
        <is>
          <t>N호텔</t>
        </is>
      </c>
      <c r="M2729" s="9">
        <f>IF($A2729="","",VALUE($A2729&amp;"")*12+VALUE($B2729&amp;""))</f>
        <v/>
      </c>
      <c r="N2729" s="64">
        <f>IF($A2729="","",IFERROR(INDEX(부서매핑!$C$5:$C$504,MATCH($G2729&amp;"",부서매핑!$A$5:$A$504,0)),"미매핑"))</f>
        <v/>
      </c>
      <c r="O2729" s="9">
        <f>IF($A2729="","",N2729&amp;"|"&amp;$F2729)</f>
        <v/>
      </c>
      <c r="P2729" s="94">
        <f>IF($A2729="",0,$H2729*설정!$C$23)</f>
        <v/>
      </c>
      <c r="Q2729" s="64">
        <f>IF($A2729="","",IF(O2729&lt;&gt;원인분석!$C$9,"",IF(AND(M2729&gt;=원인분석!$C$10,M2729&lt;=원인분석!$C$11),"당기",IF(AND(M2729&gt;=원인분석!$C$12,M2729&lt;=원인분석!$C$13),"비교",""))))</f>
        <v/>
      </c>
      <c r="R2729" s="9">
        <f>IF(Q2729="","",$K2729&amp;"")</f>
        <v/>
      </c>
      <c r="S2729" s="9">
        <f>IF(Q2729="","",IF(MATCH(R2729,$R$5:$R$100000,0)=ROW()-4,ROW(),""))</f>
        <v/>
      </c>
      <c r="T2729" s="9">
        <f>IF(Q2729="당기",ABS(P2729)+ROW()/1000000000,"")</f>
        <v/>
      </c>
      <c r="U2729" s="9">
        <f>IF(Q2729="비교",ABS(P2729)+ROW()/1000000000,"")</f>
        <v/>
      </c>
      <c r="V2729" s="64">
        <f>IF($A2729="","",IF(COUNTIF(변동분석!$E$7:$E$506,O2729)&gt;0,"Y","N"))</f>
        <v/>
      </c>
      <c r="W2729" s="64">
        <f>IF($A2729="","",IFERROR(INDEX(계정매핑!$D$5:$D$504,MATCH($F2729&amp;"",계정매핑!$A$5:$A$504,0)),"미매핑"))</f>
        <v/>
      </c>
      <c r="X2729" s="9">
        <f>IF($A2729="","",$F2729&amp;"")</f>
        <v/>
      </c>
      <c r="Y2729" s="94">
        <f>IF($A2729="",0,IF(AE2729="직접",IF(AF2729="비귀속",$P2729,0),$P2729*(1-AG2729)*IFERROR(INDEX(계정대체기준!$F$20:$F$49,MATCH($N2729,계정대체기준!$A$20:$A$49,0)),1)))</f>
        <v/>
      </c>
      <c r="Z2729" s="94">
        <f>IF($A2729="",0,IF(AE2729="직접",IF(AF2729="신계약비",$P2729,0),$P2729*(1-AG2729)*IFERROR(INDEX(계정대체기준!$C$20:$C$49,MATCH($N2729,계정대체기준!$A$20:$A$49,0)),0)))</f>
        <v/>
      </c>
      <c r="AA2729" s="94">
        <f>IF($A2729="",0,IF(AE2729="직접",IF(OR(AF2729="유지비",AF2729="손해조사비"),$P2729,0),$P2729*(1-AG2729)*IFERROR(INDEX(계정대체기준!$D$20:$D$49,MATCH($N2729,계정대체기준!$A$20:$A$49,0)),0)))</f>
        <v/>
      </c>
      <c r="AB2729" s="94">
        <f>IF($A2729="",0,IF(AE2729="직접",IF(AF2729="수금비",$P2729,0),$P2729*(1-AG2729)*IFERROR(INDEX(계정대체기준!$E$20:$E$49,MATCH($N2729,계정대체기준!$A$20:$A$49,0)),0)))</f>
        <v/>
      </c>
      <c r="AC2729" s="9">
        <f>IF(AND($A2729&lt;&gt;"",M2729=설정!$C$20,Z2729&gt;0),Z2729+ROW()/1000000000,"")</f>
        <v/>
      </c>
      <c r="AD2729" s="94">
        <f>IF($A2729="",0,$P2729*AG2729)</f>
        <v/>
      </c>
      <c r="AE2729" s="64">
        <f>IF($A2729="","",IFERROR(INDEX(계정매핑!$E$5:$E$504,MATCH($F2729&amp;"",계정매핑!$A$5:$A$504,0))&amp;"","공통비"))</f>
        <v/>
      </c>
      <c r="AF2729" s="64">
        <f>IF($A2729="","",IF(AE2729="직접",IFERROR(INDEX(계정매핑!$F$5:$F$504,MATCH($F2729&amp;"",계정매핑!$A$5:$A$504,0))&amp;"","비귀속"),""))</f>
        <v/>
      </c>
      <c r="AG2729" s="96">
        <f>IF($A2729="",0,IF(AND(AE2729&lt;&gt;"직접",IFERROR(INDEX(계정매핑!$G$5:$G$504,MATCH($F2729&amp;"",계정매핑!$A$5:$A$504,0))&amp;"","")="유지비",COUNTIF(계정대체기준!$A$6:$A$15,$N2729)&gt;0),IFERROR(INDEX(계정대체기준!$E$6:$E$15,MATCH(VALUE($A2729&amp;""),계정대체기준!$D$6:$D$15,0)),0),0))</f>
        <v/>
      </c>
      <c r="AH2729" s="64">
        <f>IF($A2729="","",IF(AD2729=0,"",IF(OR(COUNTIF(계정대체기준!$A$77:$A$86,$N2729)&gt;0,ISNUMBER(MATCH($X2729,계정대체기준!$D$77:$D$86,0)),ISNUMBER(MATCH($F2729,계정대체기준!$D$77:$D$86,0))),"Y","N")))</f>
        <v/>
      </c>
    </row>
    <row r="2730">
      <c r="A2730" s="92" t="n">
        <v>2026</v>
      </c>
      <c r="B2730" s="92" t="n">
        <v>1</v>
      </c>
      <c r="C2730" s="92" t="inlineStr">
        <is>
          <t>5100000008</t>
        </is>
      </c>
      <c r="D2730" s="95" t="n">
        <v>46025</v>
      </c>
      <c r="E2730" s="92" t="inlineStr">
        <is>
          <t>KR</t>
        </is>
      </c>
      <c r="F2730" s="92" t="n">
        <v>62102000</v>
      </c>
      <c r="G2730" s="92" t="n">
        <v>1201</v>
      </c>
      <c r="H2730" s="93" t="n">
        <v>36000</v>
      </c>
      <c r="I2730" s="92" t="inlineStr">
        <is>
          <t>1월 해외출장 - N호텔</t>
        </is>
      </c>
      <c r="J2730" s="92" t="inlineStr">
        <is>
          <t>V10009</t>
        </is>
      </c>
      <c r="K2730" s="92" t="inlineStr">
        <is>
          <t>N호텔</t>
        </is>
      </c>
      <c r="M2730" s="9">
        <f>IF($A2730="","",VALUE($A2730&amp;"")*12+VALUE($B2730&amp;""))</f>
        <v/>
      </c>
      <c r="N2730" s="64">
        <f>IF($A2730="","",IFERROR(INDEX(부서매핑!$C$5:$C$504,MATCH($G2730&amp;"",부서매핑!$A$5:$A$504,0)),"미매핑"))</f>
        <v/>
      </c>
      <c r="O2730" s="9">
        <f>IF($A2730="","",N2730&amp;"|"&amp;$F2730)</f>
        <v/>
      </c>
      <c r="P2730" s="94">
        <f>IF($A2730="",0,$H2730*설정!$C$23)</f>
        <v/>
      </c>
      <c r="Q2730" s="64">
        <f>IF($A2730="","",IF(O2730&lt;&gt;원인분석!$C$9,"",IF(AND(M2730&gt;=원인분석!$C$10,M2730&lt;=원인분석!$C$11),"당기",IF(AND(M2730&gt;=원인분석!$C$12,M2730&lt;=원인분석!$C$13),"비교",""))))</f>
        <v/>
      </c>
      <c r="R2730" s="9">
        <f>IF(Q2730="","",$K2730&amp;"")</f>
        <v/>
      </c>
      <c r="S2730" s="9">
        <f>IF(Q2730="","",IF(MATCH(R2730,$R$5:$R$100000,0)=ROW()-4,ROW(),""))</f>
        <v/>
      </c>
      <c r="T2730" s="9">
        <f>IF(Q2730="당기",ABS(P2730)+ROW()/1000000000,"")</f>
        <v/>
      </c>
      <c r="U2730" s="9">
        <f>IF(Q2730="비교",ABS(P2730)+ROW()/1000000000,"")</f>
        <v/>
      </c>
      <c r="V2730" s="64">
        <f>IF($A2730="","",IF(COUNTIF(변동분석!$E$7:$E$506,O2730)&gt;0,"Y","N"))</f>
        <v/>
      </c>
      <c r="W2730" s="64">
        <f>IF($A2730="","",IFERROR(INDEX(계정매핑!$D$5:$D$504,MATCH($F2730&amp;"",계정매핑!$A$5:$A$504,0)),"미매핑"))</f>
        <v/>
      </c>
      <c r="X2730" s="9">
        <f>IF($A2730="","",$F2730&amp;"")</f>
        <v/>
      </c>
      <c r="Y2730" s="94">
        <f>IF($A2730="",0,IF(AE2730="직접",IF(AF2730="비귀속",$P2730,0),$P2730*(1-AG2730)*IFERROR(INDEX(계정대체기준!$F$20:$F$49,MATCH($N2730,계정대체기준!$A$20:$A$49,0)),1)))</f>
        <v/>
      </c>
      <c r="Z2730" s="94">
        <f>IF($A2730="",0,IF(AE2730="직접",IF(AF2730="신계약비",$P2730,0),$P2730*(1-AG2730)*IFERROR(INDEX(계정대체기준!$C$20:$C$49,MATCH($N2730,계정대체기준!$A$20:$A$49,0)),0)))</f>
        <v/>
      </c>
      <c r="AA2730" s="94">
        <f>IF($A2730="",0,IF(AE2730="직접",IF(OR(AF2730="유지비",AF2730="손해조사비"),$P2730,0),$P2730*(1-AG2730)*IFERROR(INDEX(계정대체기준!$D$20:$D$49,MATCH($N2730,계정대체기준!$A$20:$A$49,0)),0)))</f>
        <v/>
      </c>
      <c r="AB2730" s="94">
        <f>IF($A2730="",0,IF(AE2730="직접",IF(AF2730="수금비",$P2730,0),$P2730*(1-AG2730)*IFERROR(INDEX(계정대체기준!$E$20:$E$49,MATCH($N2730,계정대체기준!$A$20:$A$49,0)),0)))</f>
        <v/>
      </c>
      <c r="AC2730" s="9">
        <f>IF(AND($A2730&lt;&gt;"",M2730=설정!$C$20,Z2730&gt;0),Z2730+ROW()/1000000000,"")</f>
        <v/>
      </c>
      <c r="AD2730" s="94">
        <f>IF($A2730="",0,$P2730*AG2730)</f>
        <v/>
      </c>
      <c r="AE2730" s="64">
        <f>IF($A2730="","",IFERROR(INDEX(계정매핑!$E$5:$E$504,MATCH($F2730&amp;"",계정매핑!$A$5:$A$504,0))&amp;"","공통비"))</f>
        <v/>
      </c>
      <c r="AF2730" s="64">
        <f>IF($A2730="","",IF(AE2730="직접",IFERROR(INDEX(계정매핑!$F$5:$F$504,MATCH($F2730&amp;"",계정매핑!$A$5:$A$504,0))&amp;"","비귀속"),""))</f>
        <v/>
      </c>
      <c r="AG2730" s="96">
        <f>IF($A2730="",0,IF(AND(AE2730&lt;&gt;"직접",IFERROR(INDEX(계정매핑!$G$5:$G$504,MATCH($F2730&amp;"",계정매핑!$A$5:$A$504,0))&amp;"","")="유지비",COUNTIF(계정대체기준!$A$6:$A$15,$N2730)&gt;0),IFERROR(INDEX(계정대체기준!$E$6:$E$15,MATCH(VALUE($A2730&amp;""),계정대체기준!$D$6:$D$15,0)),0),0))</f>
        <v/>
      </c>
      <c r="AH2730" s="64">
        <f>IF($A2730="","",IF(AD2730=0,"",IF(OR(COUNTIF(계정대체기준!$A$77:$A$86,$N2730)&gt;0,ISNUMBER(MATCH($X2730,계정대체기준!$D$77:$D$86,0)),ISNUMBER(MATCH($F2730,계정대체기준!$D$77:$D$86,0))),"Y","N")))</f>
        <v/>
      </c>
    </row>
    <row r="2731">
      <c r="A2731" s="92" t="n">
        <v>2026</v>
      </c>
      <c r="B2731" s="92" t="n">
        <v>1</v>
      </c>
      <c r="C2731" s="92" t="inlineStr">
        <is>
          <t>5100000009</t>
        </is>
      </c>
      <c r="D2731" s="95" t="n">
        <v>46025</v>
      </c>
      <c r="E2731" s="92" t="inlineStr">
        <is>
          <t>KR</t>
        </is>
      </c>
      <c r="F2731" s="92" t="n">
        <v>62102000</v>
      </c>
      <c r="G2731" s="92" t="n">
        <v>1601</v>
      </c>
      <c r="H2731" s="93" t="n">
        <v>635000</v>
      </c>
      <c r="I2731" s="92" t="inlineStr">
        <is>
          <t>1월 해외출장 - M항공</t>
        </is>
      </c>
      <c r="J2731" s="92" t="inlineStr">
        <is>
          <t>V10001</t>
        </is>
      </c>
      <c r="K2731" s="92" t="inlineStr">
        <is>
          <t>M항공</t>
        </is>
      </c>
      <c r="M2731" s="9">
        <f>IF($A2731="","",VALUE($A2731&amp;"")*12+VALUE($B2731&amp;""))</f>
        <v/>
      </c>
      <c r="N2731" s="64">
        <f>IF($A2731="","",IFERROR(INDEX(부서매핑!$C$5:$C$504,MATCH($G2731&amp;"",부서매핑!$A$5:$A$504,0)),"미매핑"))</f>
        <v/>
      </c>
      <c r="O2731" s="9">
        <f>IF($A2731="","",N2731&amp;"|"&amp;$F2731)</f>
        <v/>
      </c>
      <c r="P2731" s="94">
        <f>IF($A2731="",0,$H2731*설정!$C$23)</f>
        <v/>
      </c>
      <c r="Q2731" s="64">
        <f>IF($A2731="","",IF(O2731&lt;&gt;원인분석!$C$9,"",IF(AND(M2731&gt;=원인분석!$C$10,M2731&lt;=원인분석!$C$11),"당기",IF(AND(M2731&gt;=원인분석!$C$12,M2731&lt;=원인분석!$C$13),"비교",""))))</f>
        <v/>
      </c>
      <c r="R2731" s="9">
        <f>IF(Q2731="","",$K2731&amp;"")</f>
        <v/>
      </c>
      <c r="S2731" s="9">
        <f>IF(Q2731="","",IF(MATCH(R2731,$R$5:$R$100000,0)=ROW()-4,ROW(),""))</f>
        <v/>
      </c>
      <c r="T2731" s="9">
        <f>IF(Q2731="당기",ABS(P2731)+ROW()/1000000000,"")</f>
        <v/>
      </c>
      <c r="U2731" s="9">
        <f>IF(Q2731="비교",ABS(P2731)+ROW()/1000000000,"")</f>
        <v/>
      </c>
      <c r="V2731" s="64">
        <f>IF($A2731="","",IF(COUNTIF(변동분석!$E$7:$E$506,O2731)&gt;0,"Y","N"))</f>
        <v/>
      </c>
      <c r="W2731" s="64">
        <f>IF($A2731="","",IFERROR(INDEX(계정매핑!$D$5:$D$504,MATCH($F2731&amp;"",계정매핑!$A$5:$A$504,0)),"미매핑"))</f>
        <v/>
      </c>
      <c r="X2731" s="9">
        <f>IF($A2731="","",$F2731&amp;"")</f>
        <v/>
      </c>
      <c r="Y2731" s="94">
        <f>IF($A2731="",0,IF(AE2731="직접",IF(AF2731="비귀속",$P2731,0),$P2731*(1-AG2731)*IFERROR(INDEX(계정대체기준!$F$20:$F$49,MATCH($N2731,계정대체기준!$A$20:$A$49,0)),1)))</f>
        <v/>
      </c>
      <c r="Z2731" s="94">
        <f>IF($A2731="",0,IF(AE2731="직접",IF(AF2731="신계약비",$P2731,0),$P2731*(1-AG2731)*IFERROR(INDEX(계정대체기준!$C$20:$C$49,MATCH($N2731,계정대체기준!$A$20:$A$49,0)),0)))</f>
        <v/>
      </c>
      <c r="AA2731" s="94">
        <f>IF($A2731="",0,IF(AE2731="직접",IF(OR(AF2731="유지비",AF2731="손해조사비"),$P2731,0),$P2731*(1-AG2731)*IFERROR(INDEX(계정대체기준!$D$20:$D$49,MATCH($N2731,계정대체기준!$A$20:$A$49,0)),0)))</f>
        <v/>
      </c>
      <c r="AB2731" s="94">
        <f>IF($A2731="",0,IF(AE2731="직접",IF(AF2731="수금비",$P2731,0),$P2731*(1-AG2731)*IFERROR(INDEX(계정대체기준!$E$20:$E$49,MATCH($N2731,계정대체기준!$A$20:$A$49,0)),0)))</f>
        <v/>
      </c>
      <c r="AC2731" s="9">
        <f>IF(AND($A2731&lt;&gt;"",M2731=설정!$C$20,Z2731&gt;0),Z2731+ROW()/1000000000,"")</f>
        <v/>
      </c>
      <c r="AD2731" s="94">
        <f>IF($A2731="",0,$P2731*AG2731)</f>
        <v/>
      </c>
      <c r="AE2731" s="64">
        <f>IF($A2731="","",IFERROR(INDEX(계정매핑!$E$5:$E$504,MATCH($F2731&amp;"",계정매핑!$A$5:$A$504,0))&amp;"","공통비"))</f>
        <v/>
      </c>
      <c r="AF2731" s="64">
        <f>IF($A2731="","",IF(AE2731="직접",IFERROR(INDEX(계정매핑!$F$5:$F$504,MATCH($F2731&amp;"",계정매핑!$A$5:$A$504,0))&amp;"","비귀속"),""))</f>
        <v/>
      </c>
      <c r="AG2731" s="96">
        <f>IF($A2731="",0,IF(AND(AE2731&lt;&gt;"직접",IFERROR(INDEX(계정매핑!$G$5:$G$504,MATCH($F2731&amp;"",계정매핑!$A$5:$A$504,0))&amp;"","")="유지비",COUNTIF(계정대체기준!$A$6:$A$15,$N2731)&gt;0),IFERROR(INDEX(계정대체기준!$E$6:$E$15,MATCH(VALUE($A2731&amp;""),계정대체기준!$D$6:$D$15,0)),0),0))</f>
        <v/>
      </c>
      <c r="AH2731" s="64">
        <f>IF($A2731="","",IF(AD2731=0,"",IF(OR(COUNTIF(계정대체기준!$A$77:$A$86,$N2731)&gt;0,ISNUMBER(MATCH($X2731,계정대체기준!$D$77:$D$86,0)),ISNUMBER(MATCH($F2731,계정대체기준!$D$77:$D$86,0))),"Y","N")))</f>
        <v/>
      </c>
    </row>
    <row r="2732">
      <c r="A2732" s="92" t="n">
        <v>2026</v>
      </c>
      <c r="B2732" s="92" t="n">
        <v>1</v>
      </c>
      <c r="C2732" s="92" t="inlineStr">
        <is>
          <t>5100000010</t>
        </is>
      </c>
      <c r="D2732" s="95" t="n">
        <v>46025</v>
      </c>
      <c r="E2732" s="92" t="inlineStr">
        <is>
          <t>KR</t>
        </is>
      </c>
      <c r="F2732" s="92" t="n">
        <v>62201000</v>
      </c>
      <c r="G2732" s="92" t="n">
        <v>1951</v>
      </c>
      <c r="H2732" s="93" t="n">
        <v>276000</v>
      </c>
      <c r="I2732" s="92" t="inlineStr">
        <is>
          <t>1월 통신요금 - O텔레콤</t>
        </is>
      </c>
      <c r="J2732" s="92" t="inlineStr">
        <is>
          <t>V10002</t>
        </is>
      </c>
      <c r="K2732" s="92" t="inlineStr">
        <is>
          <t>O텔레콤</t>
        </is>
      </c>
      <c r="M2732" s="9">
        <f>IF($A2732="","",VALUE($A2732&amp;"")*12+VALUE($B2732&amp;""))</f>
        <v/>
      </c>
      <c r="N2732" s="64">
        <f>IF($A2732="","",IFERROR(INDEX(부서매핑!$C$5:$C$504,MATCH($G2732&amp;"",부서매핑!$A$5:$A$504,0)),"미매핑"))</f>
        <v/>
      </c>
      <c r="O2732" s="9">
        <f>IF($A2732="","",N2732&amp;"|"&amp;$F2732)</f>
        <v/>
      </c>
      <c r="P2732" s="94">
        <f>IF($A2732="",0,$H2732*설정!$C$23)</f>
        <v/>
      </c>
      <c r="Q2732" s="64">
        <f>IF($A2732="","",IF(O2732&lt;&gt;원인분석!$C$9,"",IF(AND(M2732&gt;=원인분석!$C$10,M2732&lt;=원인분석!$C$11),"당기",IF(AND(M2732&gt;=원인분석!$C$12,M2732&lt;=원인분석!$C$13),"비교",""))))</f>
        <v/>
      </c>
      <c r="R2732" s="9">
        <f>IF(Q2732="","",$K2732&amp;"")</f>
        <v/>
      </c>
      <c r="S2732" s="9">
        <f>IF(Q2732="","",IF(MATCH(R2732,$R$5:$R$100000,0)=ROW()-4,ROW(),""))</f>
        <v/>
      </c>
      <c r="T2732" s="9">
        <f>IF(Q2732="당기",ABS(P2732)+ROW()/1000000000,"")</f>
        <v/>
      </c>
      <c r="U2732" s="9">
        <f>IF(Q2732="비교",ABS(P2732)+ROW()/1000000000,"")</f>
        <v/>
      </c>
      <c r="V2732" s="64">
        <f>IF($A2732="","",IF(COUNTIF(변동분석!$E$7:$E$506,O2732)&gt;0,"Y","N"))</f>
        <v/>
      </c>
      <c r="W2732" s="64">
        <f>IF($A2732="","",IFERROR(INDEX(계정매핑!$D$5:$D$504,MATCH($F2732&amp;"",계정매핑!$A$5:$A$504,0)),"미매핑"))</f>
        <v/>
      </c>
      <c r="X2732" s="9">
        <f>IF($A2732="","",$F2732&amp;"")</f>
        <v/>
      </c>
      <c r="Y2732" s="94">
        <f>IF($A2732="",0,IF(AE2732="직접",IF(AF2732="비귀속",$P2732,0),$P2732*(1-AG2732)*IFERROR(INDEX(계정대체기준!$F$20:$F$49,MATCH($N2732,계정대체기준!$A$20:$A$49,0)),1)))</f>
        <v/>
      </c>
      <c r="Z2732" s="94">
        <f>IF($A2732="",0,IF(AE2732="직접",IF(AF2732="신계약비",$P2732,0),$P2732*(1-AG2732)*IFERROR(INDEX(계정대체기준!$C$20:$C$49,MATCH($N2732,계정대체기준!$A$20:$A$49,0)),0)))</f>
        <v/>
      </c>
      <c r="AA2732" s="94">
        <f>IF($A2732="",0,IF(AE2732="직접",IF(OR(AF2732="유지비",AF2732="손해조사비"),$P2732,0),$P2732*(1-AG2732)*IFERROR(INDEX(계정대체기준!$D$20:$D$49,MATCH($N2732,계정대체기준!$A$20:$A$49,0)),0)))</f>
        <v/>
      </c>
      <c r="AB2732" s="94">
        <f>IF($A2732="",0,IF(AE2732="직접",IF(AF2732="수금비",$P2732,0),$P2732*(1-AG2732)*IFERROR(INDEX(계정대체기준!$E$20:$E$49,MATCH($N2732,계정대체기준!$A$20:$A$49,0)),0)))</f>
        <v/>
      </c>
      <c r="AC2732" s="9">
        <f>IF(AND($A2732&lt;&gt;"",M2732=설정!$C$20,Z2732&gt;0),Z2732+ROW()/1000000000,"")</f>
        <v/>
      </c>
      <c r="AD2732" s="94">
        <f>IF($A2732="",0,$P2732*AG2732)</f>
        <v/>
      </c>
      <c r="AE2732" s="64">
        <f>IF($A2732="","",IFERROR(INDEX(계정매핑!$E$5:$E$504,MATCH($F2732&amp;"",계정매핑!$A$5:$A$504,0))&amp;"","공통비"))</f>
        <v/>
      </c>
      <c r="AF2732" s="64">
        <f>IF($A2732="","",IF(AE2732="직접",IFERROR(INDEX(계정매핑!$F$5:$F$504,MATCH($F2732&amp;"",계정매핑!$A$5:$A$504,0))&amp;"","비귀속"),""))</f>
        <v/>
      </c>
      <c r="AG2732" s="96">
        <f>IF($A2732="",0,IF(AND(AE2732&lt;&gt;"직접",IFERROR(INDEX(계정매핑!$G$5:$G$504,MATCH($F2732&amp;"",계정매핑!$A$5:$A$504,0))&amp;"","")="유지비",COUNTIF(계정대체기준!$A$6:$A$15,$N2732)&gt;0),IFERROR(INDEX(계정대체기준!$E$6:$E$15,MATCH(VALUE($A2732&amp;""),계정대체기준!$D$6:$D$15,0)),0),0))</f>
        <v/>
      </c>
      <c r="AH2732" s="64">
        <f>IF($A2732="","",IF(AD2732=0,"",IF(OR(COUNTIF(계정대체기준!$A$77:$A$86,$N2732)&gt;0,ISNUMBER(MATCH($X2732,계정대체기준!$D$77:$D$86,0)),ISNUMBER(MATCH($F2732,계정대체기준!$D$77:$D$86,0))),"Y","N")))</f>
        <v/>
      </c>
    </row>
    <row r="2733">
      <c r="A2733" s="92" t="n">
        <v>2026</v>
      </c>
      <c r="B2733" s="92" t="n">
        <v>1</v>
      </c>
      <c r="C2733" s="92" t="inlineStr">
        <is>
          <t>5100000011</t>
        </is>
      </c>
      <c r="D2733" s="95" t="n">
        <v>46025</v>
      </c>
      <c r="E2733" s="92" t="inlineStr">
        <is>
          <t>KR</t>
        </is>
      </c>
      <c r="F2733" s="92" t="n">
        <v>62301000</v>
      </c>
      <c r="G2733" s="92" t="n">
        <v>1401</v>
      </c>
      <c r="H2733" s="93" t="n">
        <v>131000</v>
      </c>
      <c r="I2733" s="92" t="inlineStr">
        <is>
          <t>1월 소모품 구입 - R문구</t>
        </is>
      </c>
      <c r="J2733" s="92" t="inlineStr">
        <is>
          <t>V10022</t>
        </is>
      </c>
      <c r="K2733" s="92" t="inlineStr">
        <is>
          <t>R문구</t>
        </is>
      </c>
      <c r="M2733" s="9">
        <f>IF($A2733="","",VALUE($A2733&amp;"")*12+VALUE($B2733&amp;""))</f>
        <v/>
      </c>
      <c r="N2733" s="64">
        <f>IF($A2733="","",IFERROR(INDEX(부서매핑!$C$5:$C$504,MATCH($G2733&amp;"",부서매핑!$A$5:$A$504,0)),"미매핑"))</f>
        <v/>
      </c>
      <c r="O2733" s="9">
        <f>IF($A2733="","",N2733&amp;"|"&amp;$F2733)</f>
        <v/>
      </c>
      <c r="P2733" s="94">
        <f>IF($A2733="",0,$H2733*설정!$C$23)</f>
        <v/>
      </c>
      <c r="Q2733" s="64">
        <f>IF($A2733="","",IF(O2733&lt;&gt;원인분석!$C$9,"",IF(AND(M2733&gt;=원인분석!$C$10,M2733&lt;=원인분석!$C$11),"당기",IF(AND(M2733&gt;=원인분석!$C$12,M2733&lt;=원인분석!$C$13),"비교",""))))</f>
        <v/>
      </c>
      <c r="R2733" s="9">
        <f>IF(Q2733="","",$K2733&amp;"")</f>
        <v/>
      </c>
      <c r="S2733" s="9">
        <f>IF(Q2733="","",IF(MATCH(R2733,$R$5:$R$100000,0)=ROW()-4,ROW(),""))</f>
        <v/>
      </c>
      <c r="T2733" s="9">
        <f>IF(Q2733="당기",ABS(P2733)+ROW()/1000000000,"")</f>
        <v/>
      </c>
      <c r="U2733" s="9">
        <f>IF(Q2733="비교",ABS(P2733)+ROW()/1000000000,"")</f>
        <v/>
      </c>
      <c r="V2733" s="64">
        <f>IF($A2733="","",IF(COUNTIF(변동분석!$E$7:$E$506,O2733)&gt;0,"Y","N"))</f>
        <v/>
      </c>
      <c r="W2733" s="64">
        <f>IF($A2733="","",IFERROR(INDEX(계정매핑!$D$5:$D$504,MATCH($F2733&amp;"",계정매핑!$A$5:$A$504,0)),"미매핑"))</f>
        <v/>
      </c>
      <c r="X2733" s="9">
        <f>IF($A2733="","",$F2733&amp;"")</f>
        <v/>
      </c>
      <c r="Y2733" s="94">
        <f>IF($A2733="",0,IF(AE2733="직접",IF(AF2733="비귀속",$P2733,0),$P2733*(1-AG2733)*IFERROR(INDEX(계정대체기준!$F$20:$F$49,MATCH($N2733,계정대체기준!$A$20:$A$49,0)),1)))</f>
        <v/>
      </c>
      <c r="Z2733" s="94">
        <f>IF($A2733="",0,IF(AE2733="직접",IF(AF2733="신계약비",$P2733,0),$P2733*(1-AG2733)*IFERROR(INDEX(계정대체기준!$C$20:$C$49,MATCH($N2733,계정대체기준!$A$20:$A$49,0)),0)))</f>
        <v/>
      </c>
      <c r="AA2733" s="94">
        <f>IF($A2733="",0,IF(AE2733="직접",IF(OR(AF2733="유지비",AF2733="손해조사비"),$P2733,0),$P2733*(1-AG2733)*IFERROR(INDEX(계정대체기준!$D$20:$D$49,MATCH($N2733,계정대체기준!$A$20:$A$49,0)),0)))</f>
        <v/>
      </c>
      <c r="AB2733" s="94">
        <f>IF($A2733="",0,IF(AE2733="직접",IF(AF2733="수금비",$P2733,0),$P2733*(1-AG2733)*IFERROR(INDEX(계정대체기준!$E$20:$E$49,MATCH($N2733,계정대체기준!$A$20:$A$49,0)),0)))</f>
        <v/>
      </c>
      <c r="AC2733" s="9">
        <f>IF(AND($A2733&lt;&gt;"",M2733=설정!$C$20,Z2733&gt;0),Z2733+ROW()/1000000000,"")</f>
        <v/>
      </c>
      <c r="AD2733" s="94">
        <f>IF($A2733="",0,$P2733*AG2733)</f>
        <v/>
      </c>
      <c r="AE2733" s="64">
        <f>IF($A2733="","",IFERROR(INDEX(계정매핑!$E$5:$E$504,MATCH($F2733&amp;"",계정매핑!$A$5:$A$504,0))&amp;"","공통비"))</f>
        <v/>
      </c>
      <c r="AF2733" s="64">
        <f>IF($A2733="","",IF(AE2733="직접",IFERROR(INDEX(계정매핑!$F$5:$F$504,MATCH($F2733&amp;"",계정매핑!$A$5:$A$504,0))&amp;"","비귀속"),""))</f>
        <v/>
      </c>
      <c r="AG2733" s="96">
        <f>IF($A2733="",0,IF(AND(AE2733&lt;&gt;"직접",IFERROR(INDEX(계정매핑!$G$5:$G$504,MATCH($F2733&amp;"",계정매핑!$A$5:$A$504,0))&amp;"","")="유지비",COUNTIF(계정대체기준!$A$6:$A$15,$N2733)&gt;0),IFERROR(INDEX(계정대체기준!$E$6:$E$15,MATCH(VALUE($A2733&amp;""),계정대체기준!$D$6:$D$15,0)),0),0))</f>
        <v/>
      </c>
      <c r="AH2733" s="64">
        <f>IF($A2733="","",IF(AD2733=0,"",IF(OR(COUNTIF(계정대체기준!$A$77:$A$86,$N2733)&gt;0,ISNUMBER(MATCH($X2733,계정대체기준!$D$77:$D$86,0)),ISNUMBER(MATCH($F2733,계정대체기준!$D$77:$D$86,0))),"Y","N")))</f>
        <v/>
      </c>
    </row>
    <row r="2734">
      <c r="A2734" s="92" t="n">
        <v>2026</v>
      </c>
      <c r="B2734" s="92" t="n">
        <v>1</v>
      </c>
      <c r="C2734" s="92" t="inlineStr">
        <is>
          <t>5100000012</t>
        </is>
      </c>
      <c r="D2734" s="95" t="n">
        <v>46025</v>
      </c>
      <c r="E2734" s="92" t="inlineStr">
        <is>
          <t>KR</t>
        </is>
      </c>
      <c r="F2734" s="92" t="n">
        <v>62301000</v>
      </c>
      <c r="G2734" s="92" t="n">
        <v>1601</v>
      </c>
      <c r="H2734" s="93" t="n">
        <v>216000</v>
      </c>
      <c r="I2734" s="92" t="inlineStr">
        <is>
          <t>1월 소모품 구입 - Q오피스</t>
        </is>
      </c>
      <c r="J2734" s="92" t="inlineStr">
        <is>
          <t>V10003</t>
        </is>
      </c>
      <c r="K2734" s="92" t="inlineStr">
        <is>
          <t>Q오피스</t>
        </is>
      </c>
      <c r="M2734" s="9">
        <f>IF($A2734="","",VALUE($A2734&amp;"")*12+VALUE($B2734&amp;""))</f>
        <v/>
      </c>
      <c r="N2734" s="64">
        <f>IF($A2734="","",IFERROR(INDEX(부서매핑!$C$5:$C$504,MATCH($G2734&amp;"",부서매핑!$A$5:$A$504,0)),"미매핑"))</f>
        <v/>
      </c>
      <c r="O2734" s="9">
        <f>IF($A2734="","",N2734&amp;"|"&amp;$F2734)</f>
        <v/>
      </c>
      <c r="P2734" s="94">
        <f>IF($A2734="",0,$H2734*설정!$C$23)</f>
        <v/>
      </c>
      <c r="Q2734" s="64">
        <f>IF($A2734="","",IF(O2734&lt;&gt;원인분석!$C$9,"",IF(AND(M2734&gt;=원인분석!$C$10,M2734&lt;=원인분석!$C$11),"당기",IF(AND(M2734&gt;=원인분석!$C$12,M2734&lt;=원인분석!$C$13),"비교",""))))</f>
        <v/>
      </c>
      <c r="R2734" s="9">
        <f>IF(Q2734="","",$K2734&amp;"")</f>
        <v/>
      </c>
      <c r="S2734" s="9">
        <f>IF(Q2734="","",IF(MATCH(R2734,$R$5:$R$100000,0)=ROW()-4,ROW(),""))</f>
        <v/>
      </c>
      <c r="T2734" s="9">
        <f>IF(Q2734="당기",ABS(P2734)+ROW()/1000000000,"")</f>
        <v/>
      </c>
      <c r="U2734" s="9">
        <f>IF(Q2734="비교",ABS(P2734)+ROW()/1000000000,"")</f>
        <v/>
      </c>
      <c r="V2734" s="64">
        <f>IF($A2734="","",IF(COUNTIF(변동분석!$E$7:$E$506,O2734)&gt;0,"Y","N"))</f>
        <v/>
      </c>
      <c r="W2734" s="64">
        <f>IF($A2734="","",IFERROR(INDEX(계정매핑!$D$5:$D$504,MATCH($F2734&amp;"",계정매핑!$A$5:$A$504,0)),"미매핑"))</f>
        <v/>
      </c>
      <c r="X2734" s="9">
        <f>IF($A2734="","",$F2734&amp;"")</f>
        <v/>
      </c>
      <c r="Y2734" s="94">
        <f>IF($A2734="",0,IF(AE2734="직접",IF(AF2734="비귀속",$P2734,0),$P2734*(1-AG2734)*IFERROR(INDEX(계정대체기준!$F$20:$F$49,MATCH($N2734,계정대체기준!$A$20:$A$49,0)),1)))</f>
        <v/>
      </c>
      <c r="Z2734" s="94">
        <f>IF($A2734="",0,IF(AE2734="직접",IF(AF2734="신계약비",$P2734,0),$P2734*(1-AG2734)*IFERROR(INDEX(계정대체기준!$C$20:$C$49,MATCH($N2734,계정대체기준!$A$20:$A$49,0)),0)))</f>
        <v/>
      </c>
      <c r="AA2734" s="94">
        <f>IF($A2734="",0,IF(AE2734="직접",IF(OR(AF2734="유지비",AF2734="손해조사비"),$P2734,0),$P2734*(1-AG2734)*IFERROR(INDEX(계정대체기준!$D$20:$D$49,MATCH($N2734,계정대체기준!$A$20:$A$49,0)),0)))</f>
        <v/>
      </c>
      <c r="AB2734" s="94">
        <f>IF($A2734="",0,IF(AE2734="직접",IF(AF2734="수금비",$P2734,0),$P2734*(1-AG2734)*IFERROR(INDEX(계정대체기준!$E$20:$E$49,MATCH($N2734,계정대체기준!$A$20:$A$49,0)),0)))</f>
        <v/>
      </c>
      <c r="AC2734" s="9">
        <f>IF(AND($A2734&lt;&gt;"",M2734=설정!$C$20,Z2734&gt;0),Z2734+ROW()/1000000000,"")</f>
        <v/>
      </c>
      <c r="AD2734" s="94">
        <f>IF($A2734="",0,$P2734*AG2734)</f>
        <v/>
      </c>
      <c r="AE2734" s="64">
        <f>IF($A2734="","",IFERROR(INDEX(계정매핑!$E$5:$E$504,MATCH($F2734&amp;"",계정매핑!$A$5:$A$504,0))&amp;"","공통비"))</f>
        <v/>
      </c>
      <c r="AF2734" s="64">
        <f>IF($A2734="","",IF(AE2734="직접",IFERROR(INDEX(계정매핑!$F$5:$F$504,MATCH($F2734&amp;"",계정매핑!$A$5:$A$504,0))&amp;"","비귀속"),""))</f>
        <v/>
      </c>
      <c r="AG2734" s="96">
        <f>IF($A2734="",0,IF(AND(AE2734&lt;&gt;"직접",IFERROR(INDEX(계정매핑!$G$5:$G$504,MATCH($F2734&amp;"",계정매핑!$A$5:$A$504,0))&amp;"","")="유지비",COUNTIF(계정대체기준!$A$6:$A$15,$N2734)&gt;0),IFERROR(INDEX(계정대체기준!$E$6:$E$15,MATCH(VALUE($A2734&amp;""),계정대체기준!$D$6:$D$15,0)),0),0))</f>
        <v/>
      </c>
      <c r="AH2734" s="64">
        <f>IF($A2734="","",IF(AD2734=0,"",IF(OR(COUNTIF(계정대체기준!$A$77:$A$86,$N2734)&gt;0,ISNUMBER(MATCH($X2734,계정대체기준!$D$77:$D$86,0)),ISNUMBER(MATCH($F2734,계정대체기준!$D$77:$D$86,0))),"Y","N")))</f>
        <v/>
      </c>
    </row>
    <row r="2735">
      <c r="A2735" s="92" t="n">
        <v>2026</v>
      </c>
      <c r="B2735" s="92" t="n">
        <v>1</v>
      </c>
      <c r="C2735" s="92" t="inlineStr">
        <is>
          <t>5100000013</t>
        </is>
      </c>
      <c r="D2735" s="95" t="n">
        <v>46025</v>
      </c>
      <c r="E2735" s="92" t="inlineStr">
        <is>
          <t>KR</t>
        </is>
      </c>
      <c r="F2735" s="92" t="n">
        <v>62301000</v>
      </c>
      <c r="G2735" s="92" t="n">
        <v>1601</v>
      </c>
      <c r="H2735" s="93" t="n">
        <v>161000</v>
      </c>
      <c r="I2735" s="92" t="inlineStr">
        <is>
          <t>1월 소모품 구입 - R문구</t>
        </is>
      </c>
      <c r="J2735" s="92" t="inlineStr">
        <is>
          <t>V10022</t>
        </is>
      </c>
      <c r="K2735" s="92" t="inlineStr">
        <is>
          <t>R문구</t>
        </is>
      </c>
      <c r="M2735" s="9">
        <f>IF($A2735="","",VALUE($A2735&amp;"")*12+VALUE($B2735&amp;""))</f>
        <v/>
      </c>
      <c r="N2735" s="64">
        <f>IF($A2735="","",IFERROR(INDEX(부서매핑!$C$5:$C$504,MATCH($G2735&amp;"",부서매핑!$A$5:$A$504,0)),"미매핑"))</f>
        <v/>
      </c>
      <c r="O2735" s="9">
        <f>IF($A2735="","",N2735&amp;"|"&amp;$F2735)</f>
        <v/>
      </c>
      <c r="P2735" s="94">
        <f>IF($A2735="",0,$H2735*설정!$C$23)</f>
        <v/>
      </c>
      <c r="Q2735" s="64">
        <f>IF($A2735="","",IF(O2735&lt;&gt;원인분석!$C$9,"",IF(AND(M2735&gt;=원인분석!$C$10,M2735&lt;=원인분석!$C$11),"당기",IF(AND(M2735&gt;=원인분석!$C$12,M2735&lt;=원인분석!$C$13),"비교",""))))</f>
        <v/>
      </c>
      <c r="R2735" s="9">
        <f>IF(Q2735="","",$K2735&amp;"")</f>
        <v/>
      </c>
      <c r="S2735" s="9">
        <f>IF(Q2735="","",IF(MATCH(R2735,$R$5:$R$100000,0)=ROW()-4,ROW(),""))</f>
        <v/>
      </c>
      <c r="T2735" s="9">
        <f>IF(Q2735="당기",ABS(P2735)+ROW()/1000000000,"")</f>
        <v/>
      </c>
      <c r="U2735" s="9">
        <f>IF(Q2735="비교",ABS(P2735)+ROW()/1000000000,"")</f>
        <v/>
      </c>
      <c r="V2735" s="64">
        <f>IF($A2735="","",IF(COUNTIF(변동분석!$E$7:$E$506,O2735)&gt;0,"Y","N"))</f>
        <v/>
      </c>
      <c r="W2735" s="64">
        <f>IF($A2735="","",IFERROR(INDEX(계정매핑!$D$5:$D$504,MATCH($F2735&amp;"",계정매핑!$A$5:$A$504,0)),"미매핑"))</f>
        <v/>
      </c>
      <c r="X2735" s="9">
        <f>IF($A2735="","",$F2735&amp;"")</f>
        <v/>
      </c>
      <c r="Y2735" s="94">
        <f>IF($A2735="",0,IF(AE2735="직접",IF(AF2735="비귀속",$P2735,0),$P2735*(1-AG2735)*IFERROR(INDEX(계정대체기준!$F$20:$F$49,MATCH($N2735,계정대체기준!$A$20:$A$49,0)),1)))</f>
        <v/>
      </c>
      <c r="Z2735" s="94">
        <f>IF($A2735="",0,IF(AE2735="직접",IF(AF2735="신계약비",$P2735,0),$P2735*(1-AG2735)*IFERROR(INDEX(계정대체기준!$C$20:$C$49,MATCH($N2735,계정대체기준!$A$20:$A$49,0)),0)))</f>
        <v/>
      </c>
      <c r="AA2735" s="94">
        <f>IF($A2735="",0,IF(AE2735="직접",IF(OR(AF2735="유지비",AF2735="손해조사비"),$P2735,0),$P2735*(1-AG2735)*IFERROR(INDEX(계정대체기준!$D$20:$D$49,MATCH($N2735,계정대체기준!$A$20:$A$49,0)),0)))</f>
        <v/>
      </c>
      <c r="AB2735" s="94">
        <f>IF($A2735="",0,IF(AE2735="직접",IF(AF2735="수금비",$P2735,0),$P2735*(1-AG2735)*IFERROR(INDEX(계정대체기준!$E$20:$E$49,MATCH($N2735,계정대체기준!$A$20:$A$49,0)),0)))</f>
        <v/>
      </c>
      <c r="AC2735" s="9">
        <f>IF(AND($A2735&lt;&gt;"",M2735=설정!$C$20,Z2735&gt;0),Z2735+ROW()/1000000000,"")</f>
        <v/>
      </c>
      <c r="AD2735" s="94">
        <f>IF($A2735="",0,$P2735*AG2735)</f>
        <v/>
      </c>
      <c r="AE2735" s="64">
        <f>IF($A2735="","",IFERROR(INDEX(계정매핑!$E$5:$E$504,MATCH($F2735&amp;"",계정매핑!$A$5:$A$504,0))&amp;"","공통비"))</f>
        <v/>
      </c>
      <c r="AF2735" s="64">
        <f>IF($A2735="","",IF(AE2735="직접",IFERROR(INDEX(계정매핑!$F$5:$F$504,MATCH($F2735&amp;"",계정매핑!$A$5:$A$504,0))&amp;"","비귀속"),""))</f>
        <v/>
      </c>
      <c r="AG2735" s="96">
        <f>IF($A2735="",0,IF(AND(AE2735&lt;&gt;"직접",IFERROR(INDEX(계정매핑!$G$5:$G$504,MATCH($F2735&amp;"",계정매핑!$A$5:$A$504,0))&amp;"","")="유지비",COUNTIF(계정대체기준!$A$6:$A$15,$N2735)&gt;0),IFERROR(INDEX(계정대체기준!$E$6:$E$15,MATCH(VALUE($A2735&amp;""),계정대체기준!$D$6:$D$15,0)),0),0))</f>
        <v/>
      </c>
      <c r="AH2735" s="64">
        <f>IF($A2735="","",IF(AD2735=0,"",IF(OR(COUNTIF(계정대체기준!$A$77:$A$86,$N2735)&gt;0,ISNUMBER(MATCH($X2735,계정대체기준!$D$77:$D$86,0)),ISNUMBER(MATCH($F2735,계정대체기준!$D$77:$D$86,0))),"Y","N")))</f>
        <v/>
      </c>
    </row>
    <row r="2736">
      <c r="A2736" s="92" t="n">
        <v>2026</v>
      </c>
      <c r="B2736" s="92" t="n">
        <v>1</v>
      </c>
      <c r="C2736" s="92" t="inlineStr">
        <is>
          <t>5100000014</t>
        </is>
      </c>
      <c r="D2736" s="95" t="n">
        <v>46025</v>
      </c>
      <c r="E2736" s="92" t="inlineStr">
        <is>
          <t>KR</t>
        </is>
      </c>
      <c r="F2736" s="92" t="n">
        <v>62501000</v>
      </c>
      <c r="G2736" s="92" t="n">
        <v>1201</v>
      </c>
      <c r="H2736" s="93" t="n">
        <v>185000</v>
      </c>
      <c r="I2736" s="92" t="inlineStr">
        <is>
          <t>1월 회의 다과 - T케이터링</t>
        </is>
      </c>
      <c r="J2736" s="92" t="inlineStr">
        <is>
          <t>V10005</t>
        </is>
      </c>
      <c r="K2736" s="92" t="inlineStr">
        <is>
          <t>T케이터링</t>
        </is>
      </c>
      <c r="M2736" s="9">
        <f>IF($A2736="","",VALUE($A2736&amp;"")*12+VALUE($B2736&amp;""))</f>
        <v/>
      </c>
      <c r="N2736" s="64">
        <f>IF($A2736="","",IFERROR(INDEX(부서매핑!$C$5:$C$504,MATCH($G2736&amp;"",부서매핑!$A$5:$A$504,0)),"미매핑"))</f>
        <v/>
      </c>
      <c r="O2736" s="9">
        <f>IF($A2736="","",N2736&amp;"|"&amp;$F2736)</f>
        <v/>
      </c>
      <c r="P2736" s="94">
        <f>IF($A2736="",0,$H2736*설정!$C$23)</f>
        <v/>
      </c>
      <c r="Q2736" s="64">
        <f>IF($A2736="","",IF(O2736&lt;&gt;원인분석!$C$9,"",IF(AND(M2736&gt;=원인분석!$C$10,M2736&lt;=원인분석!$C$11),"당기",IF(AND(M2736&gt;=원인분석!$C$12,M2736&lt;=원인분석!$C$13),"비교",""))))</f>
        <v/>
      </c>
      <c r="R2736" s="9">
        <f>IF(Q2736="","",$K2736&amp;"")</f>
        <v/>
      </c>
      <c r="S2736" s="9">
        <f>IF(Q2736="","",IF(MATCH(R2736,$R$5:$R$100000,0)=ROW()-4,ROW(),""))</f>
        <v/>
      </c>
      <c r="T2736" s="9">
        <f>IF(Q2736="당기",ABS(P2736)+ROW()/1000000000,"")</f>
        <v/>
      </c>
      <c r="U2736" s="9">
        <f>IF(Q2736="비교",ABS(P2736)+ROW()/1000000000,"")</f>
        <v/>
      </c>
      <c r="V2736" s="64">
        <f>IF($A2736="","",IF(COUNTIF(변동분석!$E$7:$E$506,O2736)&gt;0,"Y","N"))</f>
        <v/>
      </c>
      <c r="W2736" s="64">
        <f>IF($A2736="","",IFERROR(INDEX(계정매핑!$D$5:$D$504,MATCH($F2736&amp;"",계정매핑!$A$5:$A$504,0)),"미매핑"))</f>
        <v/>
      </c>
      <c r="X2736" s="9">
        <f>IF($A2736="","",$F2736&amp;"")</f>
        <v/>
      </c>
      <c r="Y2736" s="94">
        <f>IF($A2736="",0,IF(AE2736="직접",IF(AF2736="비귀속",$P2736,0),$P2736*(1-AG2736)*IFERROR(INDEX(계정대체기준!$F$20:$F$49,MATCH($N2736,계정대체기준!$A$20:$A$49,0)),1)))</f>
        <v/>
      </c>
      <c r="Z2736" s="94">
        <f>IF($A2736="",0,IF(AE2736="직접",IF(AF2736="신계약비",$P2736,0),$P2736*(1-AG2736)*IFERROR(INDEX(계정대체기준!$C$20:$C$49,MATCH($N2736,계정대체기준!$A$20:$A$49,0)),0)))</f>
        <v/>
      </c>
      <c r="AA2736" s="94">
        <f>IF($A2736="",0,IF(AE2736="직접",IF(OR(AF2736="유지비",AF2736="손해조사비"),$P2736,0),$P2736*(1-AG2736)*IFERROR(INDEX(계정대체기준!$D$20:$D$49,MATCH($N2736,계정대체기준!$A$20:$A$49,0)),0)))</f>
        <v/>
      </c>
      <c r="AB2736" s="94">
        <f>IF($A2736="",0,IF(AE2736="직접",IF(AF2736="수금비",$P2736,0),$P2736*(1-AG2736)*IFERROR(INDEX(계정대체기준!$E$20:$E$49,MATCH($N2736,계정대체기준!$A$20:$A$49,0)),0)))</f>
        <v/>
      </c>
      <c r="AC2736" s="9">
        <f>IF(AND($A2736&lt;&gt;"",M2736=설정!$C$20,Z2736&gt;0),Z2736+ROW()/1000000000,"")</f>
        <v/>
      </c>
      <c r="AD2736" s="94">
        <f>IF($A2736="",0,$P2736*AG2736)</f>
        <v/>
      </c>
      <c r="AE2736" s="64">
        <f>IF($A2736="","",IFERROR(INDEX(계정매핑!$E$5:$E$504,MATCH($F2736&amp;"",계정매핑!$A$5:$A$504,0))&amp;"","공통비"))</f>
        <v/>
      </c>
      <c r="AF2736" s="64">
        <f>IF($A2736="","",IF(AE2736="직접",IFERROR(INDEX(계정매핑!$F$5:$F$504,MATCH($F2736&amp;"",계정매핑!$A$5:$A$504,0))&amp;"","비귀속"),""))</f>
        <v/>
      </c>
      <c r="AG2736" s="96">
        <f>IF($A2736="",0,IF(AND(AE2736&lt;&gt;"직접",IFERROR(INDEX(계정매핑!$G$5:$G$504,MATCH($F2736&amp;"",계정매핑!$A$5:$A$504,0))&amp;"","")="유지비",COUNTIF(계정대체기준!$A$6:$A$15,$N2736)&gt;0),IFERROR(INDEX(계정대체기준!$E$6:$E$15,MATCH(VALUE($A2736&amp;""),계정대체기준!$D$6:$D$15,0)),0),0))</f>
        <v/>
      </c>
      <c r="AH2736" s="64">
        <f>IF($A2736="","",IF(AD2736=0,"",IF(OR(COUNTIF(계정대체기준!$A$77:$A$86,$N2736)&gt;0,ISNUMBER(MATCH($X2736,계정대체기준!$D$77:$D$86,0)),ISNUMBER(MATCH($F2736,계정대체기준!$D$77:$D$86,0))),"Y","N")))</f>
        <v/>
      </c>
    </row>
    <row r="2737">
      <c r="A2737" s="92" t="n">
        <v>2026</v>
      </c>
      <c r="B2737" s="92" t="n">
        <v>1</v>
      </c>
      <c r="C2737" s="92" t="inlineStr">
        <is>
          <t>5100000015</t>
        </is>
      </c>
      <c r="D2737" s="95" t="n">
        <v>46025</v>
      </c>
      <c r="E2737" s="92" t="inlineStr">
        <is>
          <t>KR</t>
        </is>
      </c>
      <c r="F2737" s="92" t="n">
        <v>62501000</v>
      </c>
      <c r="G2737" s="92" t="n">
        <v>1602</v>
      </c>
      <c r="H2737" s="93" t="n">
        <v>610000</v>
      </c>
      <c r="I2737" s="92" t="inlineStr">
        <is>
          <t>1월 회의 다과 - T케이터링</t>
        </is>
      </c>
      <c r="J2737" s="92" t="inlineStr">
        <is>
          <t>V10005</t>
        </is>
      </c>
      <c r="K2737" s="92" t="inlineStr">
        <is>
          <t>T케이터링</t>
        </is>
      </c>
      <c r="M2737" s="9">
        <f>IF($A2737="","",VALUE($A2737&amp;"")*12+VALUE($B2737&amp;""))</f>
        <v/>
      </c>
      <c r="N2737" s="64">
        <f>IF($A2737="","",IFERROR(INDEX(부서매핑!$C$5:$C$504,MATCH($G2737&amp;"",부서매핑!$A$5:$A$504,0)),"미매핑"))</f>
        <v/>
      </c>
      <c r="O2737" s="9">
        <f>IF($A2737="","",N2737&amp;"|"&amp;$F2737)</f>
        <v/>
      </c>
      <c r="P2737" s="94">
        <f>IF($A2737="",0,$H2737*설정!$C$23)</f>
        <v/>
      </c>
      <c r="Q2737" s="64">
        <f>IF($A2737="","",IF(O2737&lt;&gt;원인분석!$C$9,"",IF(AND(M2737&gt;=원인분석!$C$10,M2737&lt;=원인분석!$C$11),"당기",IF(AND(M2737&gt;=원인분석!$C$12,M2737&lt;=원인분석!$C$13),"비교",""))))</f>
        <v/>
      </c>
      <c r="R2737" s="9">
        <f>IF(Q2737="","",$K2737&amp;"")</f>
        <v/>
      </c>
      <c r="S2737" s="9">
        <f>IF(Q2737="","",IF(MATCH(R2737,$R$5:$R$100000,0)=ROW()-4,ROW(),""))</f>
        <v/>
      </c>
      <c r="T2737" s="9">
        <f>IF(Q2737="당기",ABS(P2737)+ROW()/1000000000,"")</f>
        <v/>
      </c>
      <c r="U2737" s="9">
        <f>IF(Q2737="비교",ABS(P2737)+ROW()/1000000000,"")</f>
        <v/>
      </c>
      <c r="V2737" s="64">
        <f>IF($A2737="","",IF(COUNTIF(변동분석!$E$7:$E$506,O2737)&gt;0,"Y","N"))</f>
        <v/>
      </c>
      <c r="W2737" s="64">
        <f>IF($A2737="","",IFERROR(INDEX(계정매핑!$D$5:$D$504,MATCH($F2737&amp;"",계정매핑!$A$5:$A$504,0)),"미매핑"))</f>
        <v/>
      </c>
      <c r="X2737" s="9">
        <f>IF($A2737="","",$F2737&amp;"")</f>
        <v/>
      </c>
      <c r="Y2737" s="94">
        <f>IF($A2737="",0,IF(AE2737="직접",IF(AF2737="비귀속",$P2737,0),$P2737*(1-AG2737)*IFERROR(INDEX(계정대체기준!$F$20:$F$49,MATCH($N2737,계정대체기준!$A$20:$A$49,0)),1)))</f>
        <v/>
      </c>
      <c r="Z2737" s="94">
        <f>IF($A2737="",0,IF(AE2737="직접",IF(AF2737="신계약비",$P2737,0),$P2737*(1-AG2737)*IFERROR(INDEX(계정대체기준!$C$20:$C$49,MATCH($N2737,계정대체기준!$A$20:$A$49,0)),0)))</f>
        <v/>
      </c>
      <c r="AA2737" s="94">
        <f>IF($A2737="",0,IF(AE2737="직접",IF(OR(AF2737="유지비",AF2737="손해조사비"),$P2737,0),$P2737*(1-AG2737)*IFERROR(INDEX(계정대체기준!$D$20:$D$49,MATCH($N2737,계정대체기준!$A$20:$A$49,0)),0)))</f>
        <v/>
      </c>
      <c r="AB2737" s="94">
        <f>IF($A2737="",0,IF(AE2737="직접",IF(AF2737="수금비",$P2737,0),$P2737*(1-AG2737)*IFERROR(INDEX(계정대체기준!$E$20:$E$49,MATCH($N2737,계정대체기준!$A$20:$A$49,0)),0)))</f>
        <v/>
      </c>
      <c r="AC2737" s="9">
        <f>IF(AND($A2737&lt;&gt;"",M2737=설정!$C$20,Z2737&gt;0),Z2737+ROW()/1000000000,"")</f>
        <v/>
      </c>
      <c r="AD2737" s="94">
        <f>IF($A2737="",0,$P2737*AG2737)</f>
        <v/>
      </c>
      <c r="AE2737" s="64">
        <f>IF($A2737="","",IFERROR(INDEX(계정매핑!$E$5:$E$504,MATCH($F2737&amp;"",계정매핑!$A$5:$A$504,0))&amp;"","공통비"))</f>
        <v/>
      </c>
      <c r="AF2737" s="64">
        <f>IF($A2737="","",IF(AE2737="직접",IFERROR(INDEX(계정매핑!$F$5:$F$504,MATCH($F2737&amp;"",계정매핑!$A$5:$A$504,0))&amp;"","비귀속"),""))</f>
        <v/>
      </c>
      <c r="AG2737" s="96">
        <f>IF($A2737="",0,IF(AND(AE2737&lt;&gt;"직접",IFERROR(INDEX(계정매핑!$G$5:$G$504,MATCH($F2737&amp;"",계정매핑!$A$5:$A$504,0))&amp;"","")="유지비",COUNTIF(계정대체기준!$A$6:$A$15,$N2737)&gt;0),IFERROR(INDEX(계정대체기준!$E$6:$E$15,MATCH(VALUE($A2737&amp;""),계정대체기준!$D$6:$D$15,0)),0),0))</f>
        <v/>
      </c>
      <c r="AH2737" s="64">
        <f>IF($A2737="","",IF(AD2737=0,"",IF(OR(COUNTIF(계정대체기준!$A$77:$A$86,$N2737)&gt;0,ISNUMBER(MATCH($X2737,계정대체기준!$D$77:$D$86,0)),ISNUMBER(MATCH($F2737,계정대체기준!$D$77:$D$86,0))),"Y","N")))</f>
        <v/>
      </c>
    </row>
    <row r="2738">
      <c r="A2738" s="92" t="n">
        <v>2026</v>
      </c>
      <c r="B2738" s="92" t="n">
        <v>1</v>
      </c>
      <c r="C2738" s="92" t="inlineStr">
        <is>
          <t>5100000016</t>
        </is>
      </c>
      <c r="D2738" s="95" t="n">
        <v>46025</v>
      </c>
      <c r="E2738" s="92" t="inlineStr">
        <is>
          <t>KR</t>
        </is>
      </c>
      <c r="F2738" s="92" t="n">
        <v>62902000</v>
      </c>
      <c r="G2738" s="92" t="n">
        <v>1201</v>
      </c>
      <c r="H2738" s="93" t="n">
        <v>2141000</v>
      </c>
      <c r="I2738" s="92" t="inlineStr">
        <is>
          <t>1월 업무 위탁 수수료 - J콜센터</t>
        </is>
      </c>
      <c r="J2738" s="92" t="inlineStr">
        <is>
          <t>V10016</t>
        </is>
      </c>
      <c r="K2738" s="92" t="inlineStr">
        <is>
          <t>J콜센터</t>
        </is>
      </c>
      <c r="M2738" s="9">
        <f>IF($A2738="","",VALUE($A2738&amp;"")*12+VALUE($B2738&amp;""))</f>
        <v/>
      </c>
      <c r="N2738" s="64">
        <f>IF($A2738="","",IFERROR(INDEX(부서매핑!$C$5:$C$504,MATCH($G2738&amp;"",부서매핑!$A$5:$A$504,0)),"미매핑"))</f>
        <v/>
      </c>
      <c r="O2738" s="9">
        <f>IF($A2738="","",N2738&amp;"|"&amp;$F2738)</f>
        <v/>
      </c>
      <c r="P2738" s="94">
        <f>IF($A2738="",0,$H2738*설정!$C$23)</f>
        <v/>
      </c>
      <c r="Q2738" s="64">
        <f>IF($A2738="","",IF(O2738&lt;&gt;원인분석!$C$9,"",IF(AND(M2738&gt;=원인분석!$C$10,M2738&lt;=원인분석!$C$11),"당기",IF(AND(M2738&gt;=원인분석!$C$12,M2738&lt;=원인분석!$C$13),"비교",""))))</f>
        <v/>
      </c>
      <c r="R2738" s="9">
        <f>IF(Q2738="","",$K2738&amp;"")</f>
        <v/>
      </c>
      <c r="S2738" s="9">
        <f>IF(Q2738="","",IF(MATCH(R2738,$R$5:$R$100000,0)=ROW()-4,ROW(),""))</f>
        <v/>
      </c>
      <c r="T2738" s="9">
        <f>IF(Q2738="당기",ABS(P2738)+ROW()/1000000000,"")</f>
        <v/>
      </c>
      <c r="U2738" s="9">
        <f>IF(Q2738="비교",ABS(P2738)+ROW()/1000000000,"")</f>
        <v/>
      </c>
      <c r="V2738" s="64">
        <f>IF($A2738="","",IF(COUNTIF(변동분석!$E$7:$E$506,O2738)&gt;0,"Y","N"))</f>
        <v/>
      </c>
      <c r="W2738" s="64">
        <f>IF($A2738="","",IFERROR(INDEX(계정매핑!$D$5:$D$504,MATCH($F2738&amp;"",계정매핑!$A$5:$A$504,0)),"미매핑"))</f>
        <v/>
      </c>
      <c r="X2738" s="9">
        <f>IF($A2738="","",$F2738&amp;"")</f>
        <v/>
      </c>
      <c r="Y2738" s="94">
        <f>IF($A2738="",0,IF(AE2738="직접",IF(AF2738="비귀속",$P2738,0),$P2738*(1-AG2738)*IFERROR(INDEX(계정대체기준!$F$20:$F$49,MATCH($N2738,계정대체기준!$A$20:$A$49,0)),1)))</f>
        <v/>
      </c>
      <c r="Z2738" s="94">
        <f>IF($A2738="",0,IF(AE2738="직접",IF(AF2738="신계약비",$P2738,0),$P2738*(1-AG2738)*IFERROR(INDEX(계정대체기준!$C$20:$C$49,MATCH($N2738,계정대체기준!$A$20:$A$49,0)),0)))</f>
        <v/>
      </c>
      <c r="AA2738" s="94">
        <f>IF($A2738="",0,IF(AE2738="직접",IF(OR(AF2738="유지비",AF2738="손해조사비"),$P2738,0),$P2738*(1-AG2738)*IFERROR(INDEX(계정대체기준!$D$20:$D$49,MATCH($N2738,계정대체기준!$A$20:$A$49,0)),0)))</f>
        <v/>
      </c>
      <c r="AB2738" s="94">
        <f>IF($A2738="",0,IF(AE2738="직접",IF(AF2738="수금비",$P2738,0),$P2738*(1-AG2738)*IFERROR(INDEX(계정대체기준!$E$20:$E$49,MATCH($N2738,계정대체기준!$A$20:$A$49,0)),0)))</f>
        <v/>
      </c>
      <c r="AC2738" s="9">
        <f>IF(AND($A2738&lt;&gt;"",M2738=설정!$C$20,Z2738&gt;0),Z2738+ROW()/1000000000,"")</f>
        <v/>
      </c>
      <c r="AD2738" s="94">
        <f>IF($A2738="",0,$P2738*AG2738)</f>
        <v/>
      </c>
      <c r="AE2738" s="64">
        <f>IF($A2738="","",IFERROR(INDEX(계정매핑!$E$5:$E$504,MATCH($F2738&amp;"",계정매핑!$A$5:$A$504,0))&amp;"","공통비"))</f>
        <v/>
      </c>
      <c r="AF2738" s="64">
        <f>IF($A2738="","",IF(AE2738="직접",IFERROR(INDEX(계정매핑!$F$5:$F$504,MATCH($F2738&amp;"",계정매핑!$A$5:$A$504,0))&amp;"","비귀속"),""))</f>
        <v/>
      </c>
      <c r="AG2738" s="96">
        <f>IF($A2738="",0,IF(AND(AE2738&lt;&gt;"직접",IFERROR(INDEX(계정매핑!$G$5:$G$504,MATCH($F2738&amp;"",계정매핑!$A$5:$A$504,0))&amp;"","")="유지비",COUNTIF(계정대체기준!$A$6:$A$15,$N2738)&gt;0),IFERROR(INDEX(계정대체기준!$E$6:$E$15,MATCH(VALUE($A2738&amp;""),계정대체기준!$D$6:$D$15,0)),0),0))</f>
        <v/>
      </c>
      <c r="AH2738" s="64">
        <f>IF($A2738="","",IF(AD2738=0,"",IF(OR(COUNTIF(계정대체기준!$A$77:$A$86,$N2738)&gt;0,ISNUMBER(MATCH($X2738,계정대체기준!$D$77:$D$86,0)),ISNUMBER(MATCH($F2738,계정대체기준!$D$77:$D$86,0))),"Y","N")))</f>
        <v/>
      </c>
    </row>
    <row r="2739">
      <c r="A2739" s="92" t="n">
        <v>2026</v>
      </c>
      <c r="B2739" s="92" t="n">
        <v>1</v>
      </c>
      <c r="C2739" s="92" t="inlineStr">
        <is>
          <t>5100000017</t>
        </is>
      </c>
      <c r="D2739" s="95" t="n">
        <v>46025</v>
      </c>
      <c r="E2739" s="92" t="inlineStr">
        <is>
          <t>KR</t>
        </is>
      </c>
      <c r="F2739" s="92" t="n">
        <v>62902000</v>
      </c>
      <c r="G2739" s="92" t="n">
        <v>1801</v>
      </c>
      <c r="H2739" s="93" t="n">
        <v>1852000</v>
      </c>
      <c r="I2739" s="92" t="inlineStr">
        <is>
          <t>1월 콜 위탁 수수료(건별)</t>
        </is>
      </c>
      <c r="J2739" s="92" t="inlineStr">
        <is>
          <t>V10016</t>
        </is>
      </c>
      <c r="K2739" s="92" t="inlineStr">
        <is>
          <t>J콜센터</t>
        </is>
      </c>
      <c r="M2739" s="9">
        <f>IF($A2739="","",VALUE($A2739&amp;"")*12+VALUE($B2739&amp;""))</f>
        <v/>
      </c>
      <c r="N2739" s="64">
        <f>IF($A2739="","",IFERROR(INDEX(부서매핑!$C$5:$C$504,MATCH($G2739&amp;"",부서매핑!$A$5:$A$504,0)),"미매핑"))</f>
        <v/>
      </c>
      <c r="O2739" s="9">
        <f>IF($A2739="","",N2739&amp;"|"&amp;$F2739)</f>
        <v/>
      </c>
      <c r="P2739" s="94">
        <f>IF($A2739="",0,$H2739*설정!$C$23)</f>
        <v/>
      </c>
      <c r="Q2739" s="64">
        <f>IF($A2739="","",IF(O2739&lt;&gt;원인분석!$C$9,"",IF(AND(M2739&gt;=원인분석!$C$10,M2739&lt;=원인분석!$C$11),"당기",IF(AND(M2739&gt;=원인분석!$C$12,M2739&lt;=원인분석!$C$13),"비교",""))))</f>
        <v/>
      </c>
      <c r="R2739" s="9">
        <f>IF(Q2739="","",$K2739&amp;"")</f>
        <v/>
      </c>
      <c r="S2739" s="9">
        <f>IF(Q2739="","",IF(MATCH(R2739,$R$5:$R$100000,0)=ROW()-4,ROW(),""))</f>
        <v/>
      </c>
      <c r="T2739" s="9">
        <f>IF(Q2739="당기",ABS(P2739)+ROW()/1000000000,"")</f>
        <v/>
      </c>
      <c r="U2739" s="9">
        <f>IF(Q2739="비교",ABS(P2739)+ROW()/1000000000,"")</f>
        <v/>
      </c>
      <c r="V2739" s="64">
        <f>IF($A2739="","",IF(COUNTIF(변동분석!$E$7:$E$506,O2739)&gt;0,"Y","N"))</f>
        <v/>
      </c>
      <c r="W2739" s="64">
        <f>IF($A2739="","",IFERROR(INDEX(계정매핑!$D$5:$D$504,MATCH($F2739&amp;"",계정매핑!$A$5:$A$504,0)),"미매핑"))</f>
        <v/>
      </c>
      <c r="X2739" s="9">
        <f>IF($A2739="","",$F2739&amp;"")</f>
        <v/>
      </c>
      <c r="Y2739" s="94">
        <f>IF($A2739="",0,IF(AE2739="직접",IF(AF2739="비귀속",$P2739,0),$P2739*(1-AG2739)*IFERROR(INDEX(계정대체기준!$F$20:$F$49,MATCH($N2739,계정대체기준!$A$20:$A$49,0)),1)))</f>
        <v/>
      </c>
      <c r="Z2739" s="94">
        <f>IF($A2739="",0,IF(AE2739="직접",IF(AF2739="신계약비",$P2739,0),$P2739*(1-AG2739)*IFERROR(INDEX(계정대체기준!$C$20:$C$49,MATCH($N2739,계정대체기준!$A$20:$A$49,0)),0)))</f>
        <v/>
      </c>
      <c r="AA2739" s="94">
        <f>IF($A2739="",0,IF(AE2739="직접",IF(OR(AF2739="유지비",AF2739="손해조사비"),$P2739,0),$P2739*(1-AG2739)*IFERROR(INDEX(계정대체기준!$D$20:$D$49,MATCH($N2739,계정대체기준!$A$20:$A$49,0)),0)))</f>
        <v/>
      </c>
      <c r="AB2739" s="94">
        <f>IF($A2739="",0,IF(AE2739="직접",IF(AF2739="수금비",$P2739,0),$P2739*(1-AG2739)*IFERROR(INDEX(계정대체기준!$E$20:$E$49,MATCH($N2739,계정대체기준!$A$20:$A$49,0)),0)))</f>
        <v/>
      </c>
      <c r="AC2739" s="9">
        <f>IF(AND($A2739&lt;&gt;"",M2739=설정!$C$20,Z2739&gt;0),Z2739+ROW()/1000000000,"")</f>
        <v/>
      </c>
      <c r="AD2739" s="94">
        <f>IF($A2739="",0,$P2739*AG2739)</f>
        <v/>
      </c>
      <c r="AE2739" s="64">
        <f>IF($A2739="","",IFERROR(INDEX(계정매핑!$E$5:$E$504,MATCH($F2739&amp;"",계정매핑!$A$5:$A$504,0))&amp;"","공통비"))</f>
        <v/>
      </c>
      <c r="AF2739" s="64">
        <f>IF($A2739="","",IF(AE2739="직접",IFERROR(INDEX(계정매핑!$F$5:$F$504,MATCH($F2739&amp;"",계정매핑!$A$5:$A$504,0))&amp;"","비귀속"),""))</f>
        <v/>
      </c>
      <c r="AG2739" s="96">
        <f>IF($A2739="",0,IF(AND(AE2739&lt;&gt;"직접",IFERROR(INDEX(계정매핑!$G$5:$G$504,MATCH($F2739&amp;"",계정매핑!$A$5:$A$504,0))&amp;"","")="유지비",COUNTIF(계정대체기준!$A$6:$A$15,$N2739)&gt;0),IFERROR(INDEX(계정대체기준!$E$6:$E$15,MATCH(VALUE($A2739&amp;""),계정대체기준!$D$6:$D$15,0)),0),0))</f>
        <v/>
      </c>
      <c r="AH2739" s="64">
        <f>IF($A2739="","",IF(AD2739=0,"",IF(OR(COUNTIF(계정대체기준!$A$77:$A$86,$N2739)&gt;0,ISNUMBER(MATCH($X2739,계정대체기준!$D$77:$D$86,0)),ISNUMBER(MATCH($F2739,계정대체기준!$D$77:$D$86,0))),"Y","N")))</f>
        <v/>
      </c>
    </row>
    <row r="2740">
      <c r="A2740" s="92" t="n">
        <v>2026</v>
      </c>
      <c r="B2740" s="92" t="n">
        <v>1</v>
      </c>
      <c r="C2740" s="92" t="inlineStr">
        <is>
          <t>5100000018</t>
        </is>
      </c>
      <c r="D2740" s="95" t="n">
        <v>46025</v>
      </c>
      <c r="E2740" s="92" t="inlineStr">
        <is>
          <t>KR</t>
        </is>
      </c>
      <c r="F2740" s="92" t="n">
        <v>63601000</v>
      </c>
      <c r="G2740" s="92" t="n">
        <v>1801</v>
      </c>
      <c r="H2740" s="93" t="n">
        <v>8592000</v>
      </c>
      <c r="I2740" s="92" t="inlineStr">
        <is>
          <t>1월 손해사정 수수료 - EE손해사정</t>
        </is>
      </c>
      <c r="J2740" s="92" t="inlineStr">
        <is>
          <t>V10008</t>
        </is>
      </c>
      <c r="K2740" s="92" t="inlineStr">
        <is>
          <t>EE손해사정</t>
        </is>
      </c>
      <c r="M2740" s="9">
        <f>IF($A2740="","",VALUE($A2740&amp;"")*12+VALUE($B2740&amp;""))</f>
        <v/>
      </c>
      <c r="N2740" s="64">
        <f>IF($A2740="","",IFERROR(INDEX(부서매핑!$C$5:$C$504,MATCH($G2740&amp;"",부서매핑!$A$5:$A$504,0)),"미매핑"))</f>
        <v/>
      </c>
      <c r="O2740" s="9">
        <f>IF($A2740="","",N2740&amp;"|"&amp;$F2740)</f>
        <v/>
      </c>
      <c r="P2740" s="94">
        <f>IF($A2740="",0,$H2740*설정!$C$23)</f>
        <v/>
      </c>
      <c r="Q2740" s="64">
        <f>IF($A2740="","",IF(O2740&lt;&gt;원인분석!$C$9,"",IF(AND(M2740&gt;=원인분석!$C$10,M2740&lt;=원인분석!$C$11),"당기",IF(AND(M2740&gt;=원인분석!$C$12,M2740&lt;=원인분석!$C$13),"비교",""))))</f>
        <v/>
      </c>
      <c r="R2740" s="9">
        <f>IF(Q2740="","",$K2740&amp;"")</f>
        <v/>
      </c>
      <c r="S2740" s="9">
        <f>IF(Q2740="","",IF(MATCH(R2740,$R$5:$R$100000,0)=ROW()-4,ROW(),""))</f>
        <v/>
      </c>
      <c r="T2740" s="9">
        <f>IF(Q2740="당기",ABS(P2740)+ROW()/1000000000,"")</f>
        <v/>
      </c>
      <c r="U2740" s="9">
        <f>IF(Q2740="비교",ABS(P2740)+ROW()/1000000000,"")</f>
        <v/>
      </c>
      <c r="V2740" s="64">
        <f>IF($A2740="","",IF(COUNTIF(변동분석!$E$7:$E$506,O2740)&gt;0,"Y","N"))</f>
        <v/>
      </c>
      <c r="W2740" s="64">
        <f>IF($A2740="","",IFERROR(INDEX(계정매핑!$D$5:$D$504,MATCH($F2740&amp;"",계정매핑!$A$5:$A$504,0)),"미매핑"))</f>
        <v/>
      </c>
      <c r="X2740" s="9">
        <f>IF($A2740="","",$F2740&amp;"")</f>
        <v/>
      </c>
      <c r="Y2740" s="94">
        <f>IF($A2740="",0,IF(AE2740="직접",IF(AF2740="비귀속",$P2740,0),$P2740*(1-AG2740)*IFERROR(INDEX(계정대체기준!$F$20:$F$49,MATCH($N2740,계정대체기준!$A$20:$A$49,0)),1)))</f>
        <v/>
      </c>
      <c r="Z2740" s="94">
        <f>IF($A2740="",0,IF(AE2740="직접",IF(AF2740="신계약비",$P2740,0),$P2740*(1-AG2740)*IFERROR(INDEX(계정대체기준!$C$20:$C$49,MATCH($N2740,계정대체기준!$A$20:$A$49,0)),0)))</f>
        <v/>
      </c>
      <c r="AA2740" s="94">
        <f>IF($A2740="",0,IF(AE2740="직접",IF(OR(AF2740="유지비",AF2740="손해조사비"),$P2740,0),$P2740*(1-AG2740)*IFERROR(INDEX(계정대체기준!$D$20:$D$49,MATCH($N2740,계정대체기준!$A$20:$A$49,0)),0)))</f>
        <v/>
      </c>
      <c r="AB2740" s="94">
        <f>IF($A2740="",0,IF(AE2740="직접",IF(AF2740="수금비",$P2740,0),$P2740*(1-AG2740)*IFERROR(INDEX(계정대체기준!$E$20:$E$49,MATCH($N2740,계정대체기준!$A$20:$A$49,0)),0)))</f>
        <v/>
      </c>
      <c r="AC2740" s="9">
        <f>IF(AND($A2740&lt;&gt;"",M2740=설정!$C$20,Z2740&gt;0),Z2740+ROW()/1000000000,"")</f>
        <v/>
      </c>
      <c r="AD2740" s="94">
        <f>IF($A2740="",0,$P2740*AG2740)</f>
        <v/>
      </c>
      <c r="AE2740" s="64">
        <f>IF($A2740="","",IFERROR(INDEX(계정매핑!$E$5:$E$504,MATCH($F2740&amp;"",계정매핑!$A$5:$A$504,0))&amp;"","공통비"))</f>
        <v/>
      </c>
      <c r="AF2740" s="64">
        <f>IF($A2740="","",IF(AE2740="직접",IFERROR(INDEX(계정매핑!$F$5:$F$504,MATCH($F2740&amp;"",계정매핑!$A$5:$A$504,0))&amp;"","비귀속"),""))</f>
        <v/>
      </c>
      <c r="AG2740" s="96">
        <f>IF($A2740="",0,IF(AND(AE2740&lt;&gt;"직접",IFERROR(INDEX(계정매핑!$G$5:$G$504,MATCH($F2740&amp;"",계정매핑!$A$5:$A$504,0))&amp;"","")="유지비",COUNTIF(계정대체기준!$A$6:$A$15,$N2740)&gt;0),IFERROR(INDEX(계정대체기준!$E$6:$E$15,MATCH(VALUE($A2740&amp;""),계정대체기준!$D$6:$D$15,0)),0),0))</f>
        <v/>
      </c>
      <c r="AH2740" s="64">
        <f>IF($A2740="","",IF(AD2740=0,"",IF(OR(COUNTIF(계정대체기준!$A$77:$A$86,$N2740)&gt;0,ISNUMBER(MATCH($X2740,계정대체기준!$D$77:$D$86,0)),ISNUMBER(MATCH($F2740,계정대체기준!$D$77:$D$86,0))),"Y","N")))</f>
        <v/>
      </c>
    </row>
    <row r="2741">
      <c r="A2741" s="92" t="n">
        <v>2026</v>
      </c>
      <c r="B2741" s="92" t="n">
        <v>1</v>
      </c>
      <c r="C2741" s="92" t="inlineStr">
        <is>
          <t>5100000019</t>
        </is>
      </c>
      <c r="D2741" s="95" t="n">
        <v>46026</v>
      </c>
      <c r="E2741" s="92" t="inlineStr">
        <is>
          <t>KR</t>
        </is>
      </c>
      <c r="F2741" s="92" t="n">
        <v>62102000</v>
      </c>
      <c r="G2741" s="92" t="n">
        <v>1501</v>
      </c>
      <c r="H2741" s="93" t="n">
        <v>268000</v>
      </c>
      <c r="I2741" s="92" t="inlineStr">
        <is>
          <t>1월 해외출장 - M항공</t>
        </is>
      </c>
      <c r="J2741" s="92" t="inlineStr">
        <is>
          <t>V10001</t>
        </is>
      </c>
      <c r="K2741" s="92" t="inlineStr">
        <is>
          <t>M항공</t>
        </is>
      </c>
      <c r="M2741" s="9">
        <f>IF($A2741="","",VALUE($A2741&amp;"")*12+VALUE($B2741&amp;""))</f>
        <v/>
      </c>
      <c r="N2741" s="64">
        <f>IF($A2741="","",IFERROR(INDEX(부서매핑!$C$5:$C$504,MATCH($G2741&amp;"",부서매핑!$A$5:$A$504,0)),"미매핑"))</f>
        <v/>
      </c>
      <c r="O2741" s="9">
        <f>IF($A2741="","",N2741&amp;"|"&amp;$F2741)</f>
        <v/>
      </c>
      <c r="P2741" s="94">
        <f>IF($A2741="",0,$H2741*설정!$C$23)</f>
        <v/>
      </c>
      <c r="Q2741" s="64">
        <f>IF($A2741="","",IF(O2741&lt;&gt;원인분석!$C$9,"",IF(AND(M2741&gt;=원인분석!$C$10,M2741&lt;=원인분석!$C$11),"당기",IF(AND(M2741&gt;=원인분석!$C$12,M2741&lt;=원인분석!$C$13),"비교",""))))</f>
        <v/>
      </c>
      <c r="R2741" s="9">
        <f>IF(Q2741="","",$K2741&amp;"")</f>
        <v/>
      </c>
      <c r="S2741" s="9">
        <f>IF(Q2741="","",IF(MATCH(R2741,$R$5:$R$100000,0)=ROW()-4,ROW(),""))</f>
        <v/>
      </c>
      <c r="T2741" s="9">
        <f>IF(Q2741="당기",ABS(P2741)+ROW()/1000000000,"")</f>
        <v/>
      </c>
      <c r="U2741" s="9">
        <f>IF(Q2741="비교",ABS(P2741)+ROW()/1000000000,"")</f>
        <v/>
      </c>
      <c r="V2741" s="64">
        <f>IF($A2741="","",IF(COUNTIF(변동분석!$E$7:$E$506,O2741)&gt;0,"Y","N"))</f>
        <v/>
      </c>
      <c r="W2741" s="64">
        <f>IF($A2741="","",IFERROR(INDEX(계정매핑!$D$5:$D$504,MATCH($F2741&amp;"",계정매핑!$A$5:$A$504,0)),"미매핑"))</f>
        <v/>
      </c>
      <c r="X2741" s="9">
        <f>IF($A2741="","",$F2741&amp;"")</f>
        <v/>
      </c>
      <c r="Y2741" s="94">
        <f>IF($A2741="",0,IF(AE2741="직접",IF(AF2741="비귀속",$P2741,0),$P2741*(1-AG2741)*IFERROR(INDEX(계정대체기준!$F$20:$F$49,MATCH($N2741,계정대체기준!$A$20:$A$49,0)),1)))</f>
        <v/>
      </c>
      <c r="Z2741" s="94">
        <f>IF($A2741="",0,IF(AE2741="직접",IF(AF2741="신계약비",$P2741,0),$P2741*(1-AG2741)*IFERROR(INDEX(계정대체기준!$C$20:$C$49,MATCH($N2741,계정대체기준!$A$20:$A$49,0)),0)))</f>
        <v/>
      </c>
      <c r="AA2741" s="94">
        <f>IF($A2741="",0,IF(AE2741="직접",IF(OR(AF2741="유지비",AF2741="손해조사비"),$P2741,0),$P2741*(1-AG2741)*IFERROR(INDEX(계정대체기준!$D$20:$D$49,MATCH($N2741,계정대체기준!$A$20:$A$49,0)),0)))</f>
        <v/>
      </c>
      <c r="AB2741" s="94">
        <f>IF($A2741="",0,IF(AE2741="직접",IF(AF2741="수금비",$P2741,0),$P2741*(1-AG2741)*IFERROR(INDEX(계정대체기준!$E$20:$E$49,MATCH($N2741,계정대체기준!$A$20:$A$49,0)),0)))</f>
        <v/>
      </c>
      <c r="AC2741" s="9">
        <f>IF(AND($A2741&lt;&gt;"",M2741=설정!$C$20,Z2741&gt;0),Z2741+ROW()/1000000000,"")</f>
        <v/>
      </c>
      <c r="AD2741" s="94">
        <f>IF($A2741="",0,$P2741*AG2741)</f>
        <v/>
      </c>
      <c r="AE2741" s="64">
        <f>IF($A2741="","",IFERROR(INDEX(계정매핑!$E$5:$E$504,MATCH($F2741&amp;"",계정매핑!$A$5:$A$504,0))&amp;"","공통비"))</f>
        <v/>
      </c>
      <c r="AF2741" s="64">
        <f>IF($A2741="","",IF(AE2741="직접",IFERROR(INDEX(계정매핑!$F$5:$F$504,MATCH($F2741&amp;"",계정매핑!$A$5:$A$504,0))&amp;"","비귀속"),""))</f>
        <v/>
      </c>
      <c r="AG2741" s="96">
        <f>IF($A2741="",0,IF(AND(AE2741&lt;&gt;"직접",IFERROR(INDEX(계정매핑!$G$5:$G$504,MATCH($F2741&amp;"",계정매핑!$A$5:$A$504,0))&amp;"","")="유지비",COUNTIF(계정대체기준!$A$6:$A$15,$N2741)&gt;0),IFERROR(INDEX(계정대체기준!$E$6:$E$15,MATCH(VALUE($A2741&amp;""),계정대체기준!$D$6:$D$15,0)),0),0))</f>
        <v/>
      </c>
      <c r="AH2741" s="64">
        <f>IF($A2741="","",IF(AD2741=0,"",IF(OR(COUNTIF(계정대체기준!$A$77:$A$86,$N2741)&gt;0,ISNUMBER(MATCH($X2741,계정대체기준!$D$77:$D$86,0)),ISNUMBER(MATCH($F2741,계정대체기준!$D$77:$D$86,0))),"Y","N")))</f>
        <v/>
      </c>
    </row>
    <row r="2742">
      <c r="A2742" s="92" t="n">
        <v>2026</v>
      </c>
      <c r="B2742" s="92" t="n">
        <v>1</v>
      </c>
      <c r="C2742" s="92" t="inlineStr">
        <is>
          <t>5100000020</t>
        </is>
      </c>
      <c r="D2742" s="95" t="n">
        <v>46026</v>
      </c>
      <c r="E2742" s="92" t="inlineStr">
        <is>
          <t>KR</t>
        </is>
      </c>
      <c r="F2742" s="92" t="n">
        <v>62501000</v>
      </c>
      <c r="G2742" s="92" t="n">
        <v>1301</v>
      </c>
      <c r="H2742" s="93" t="n">
        <v>219000</v>
      </c>
      <c r="I2742" s="92" t="inlineStr">
        <is>
          <t>1월 회의 다과 - (법인카드)</t>
        </is>
      </c>
      <c r="J2742" s="92" t="inlineStr">
        <is>
          <t>V10010</t>
        </is>
      </c>
      <c r="K2742" s="92" t="inlineStr">
        <is>
          <t>(법인카드)</t>
        </is>
      </c>
      <c r="M2742" s="9">
        <f>IF($A2742="","",VALUE($A2742&amp;"")*12+VALUE($B2742&amp;""))</f>
        <v/>
      </c>
      <c r="N2742" s="64">
        <f>IF($A2742="","",IFERROR(INDEX(부서매핑!$C$5:$C$504,MATCH($G2742&amp;"",부서매핑!$A$5:$A$504,0)),"미매핑"))</f>
        <v/>
      </c>
      <c r="O2742" s="9">
        <f>IF($A2742="","",N2742&amp;"|"&amp;$F2742)</f>
        <v/>
      </c>
      <c r="P2742" s="94">
        <f>IF($A2742="",0,$H2742*설정!$C$23)</f>
        <v/>
      </c>
      <c r="Q2742" s="64">
        <f>IF($A2742="","",IF(O2742&lt;&gt;원인분석!$C$9,"",IF(AND(M2742&gt;=원인분석!$C$10,M2742&lt;=원인분석!$C$11),"당기",IF(AND(M2742&gt;=원인분석!$C$12,M2742&lt;=원인분석!$C$13),"비교",""))))</f>
        <v/>
      </c>
      <c r="R2742" s="9">
        <f>IF(Q2742="","",$K2742&amp;"")</f>
        <v/>
      </c>
      <c r="S2742" s="9">
        <f>IF(Q2742="","",IF(MATCH(R2742,$R$5:$R$100000,0)=ROW()-4,ROW(),""))</f>
        <v/>
      </c>
      <c r="T2742" s="9">
        <f>IF(Q2742="당기",ABS(P2742)+ROW()/1000000000,"")</f>
        <v/>
      </c>
      <c r="U2742" s="9">
        <f>IF(Q2742="비교",ABS(P2742)+ROW()/1000000000,"")</f>
        <v/>
      </c>
      <c r="V2742" s="64">
        <f>IF($A2742="","",IF(COUNTIF(변동분석!$E$7:$E$506,O2742)&gt;0,"Y","N"))</f>
        <v/>
      </c>
      <c r="W2742" s="64">
        <f>IF($A2742="","",IFERROR(INDEX(계정매핑!$D$5:$D$504,MATCH($F2742&amp;"",계정매핑!$A$5:$A$504,0)),"미매핑"))</f>
        <v/>
      </c>
      <c r="X2742" s="9">
        <f>IF($A2742="","",$F2742&amp;"")</f>
        <v/>
      </c>
      <c r="Y2742" s="94">
        <f>IF($A2742="",0,IF(AE2742="직접",IF(AF2742="비귀속",$P2742,0),$P2742*(1-AG2742)*IFERROR(INDEX(계정대체기준!$F$20:$F$49,MATCH($N2742,계정대체기준!$A$20:$A$49,0)),1)))</f>
        <v/>
      </c>
      <c r="Z2742" s="94">
        <f>IF($A2742="",0,IF(AE2742="직접",IF(AF2742="신계약비",$P2742,0),$P2742*(1-AG2742)*IFERROR(INDEX(계정대체기준!$C$20:$C$49,MATCH($N2742,계정대체기준!$A$20:$A$49,0)),0)))</f>
        <v/>
      </c>
      <c r="AA2742" s="94">
        <f>IF($A2742="",0,IF(AE2742="직접",IF(OR(AF2742="유지비",AF2742="손해조사비"),$P2742,0),$P2742*(1-AG2742)*IFERROR(INDEX(계정대체기준!$D$20:$D$49,MATCH($N2742,계정대체기준!$A$20:$A$49,0)),0)))</f>
        <v/>
      </c>
      <c r="AB2742" s="94">
        <f>IF($A2742="",0,IF(AE2742="직접",IF(AF2742="수금비",$P2742,0),$P2742*(1-AG2742)*IFERROR(INDEX(계정대체기준!$E$20:$E$49,MATCH($N2742,계정대체기준!$A$20:$A$49,0)),0)))</f>
        <v/>
      </c>
      <c r="AC2742" s="9">
        <f>IF(AND($A2742&lt;&gt;"",M2742=설정!$C$20,Z2742&gt;0),Z2742+ROW()/1000000000,"")</f>
        <v/>
      </c>
      <c r="AD2742" s="94">
        <f>IF($A2742="",0,$P2742*AG2742)</f>
        <v/>
      </c>
      <c r="AE2742" s="64">
        <f>IF($A2742="","",IFERROR(INDEX(계정매핑!$E$5:$E$504,MATCH($F2742&amp;"",계정매핑!$A$5:$A$504,0))&amp;"","공통비"))</f>
        <v/>
      </c>
      <c r="AF2742" s="64">
        <f>IF($A2742="","",IF(AE2742="직접",IFERROR(INDEX(계정매핑!$F$5:$F$504,MATCH($F2742&amp;"",계정매핑!$A$5:$A$504,0))&amp;"","비귀속"),""))</f>
        <v/>
      </c>
      <c r="AG2742" s="96">
        <f>IF($A2742="",0,IF(AND(AE2742&lt;&gt;"직접",IFERROR(INDEX(계정매핑!$G$5:$G$504,MATCH($F2742&amp;"",계정매핑!$A$5:$A$504,0))&amp;"","")="유지비",COUNTIF(계정대체기준!$A$6:$A$15,$N2742)&gt;0),IFERROR(INDEX(계정대체기준!$E$6:$E$15,MATCH(VALUE($A2742&amp;""),계정대체기준!$D$6:$D$15,0)),0),0))</f>
        <v/>
      </c>
      <c r="AH2742" s="64">
        <f>IF($A2742="","",IF(AD2742=0,"",IF(OR(COUNTIF(계정대체기준!$A$77:$A$86,$N2742)&gt;0,ISNUMBER(MATCH($X2742,계정대체기준!$D$77:$D$86,0)),ISNUMBER(MATCH($F2742,계정대체기준!$D$77:$D$86,0))),"Y","N")))</f>
        <v/>
      </c>
    </row>
    <row r="2743">
      <c r="A2743" s="92" t="n">
        <v>2026</v>
      </c>
      <c r="B2743" s="92" t="n">
        <v>1</v>
      </c>
      <c r="C2743" s="92" t="inlineStr">
        <is>
          <t>5100000021</t>
        </is>
      </c>
      <c r="D2743" s="95" t="n">
        <v>46026</v>
      </c>
      <c r="E2743" s="92" t="inlineStr">
        <is>
          <t>KR</t>
        </is>
      </c>
      <c r="F2743" s="92" t="n">
        <v>62902000</v>
      </c>
      <c r="G2743" s="92" t="n">
        <v>1801</v>
      </c>
      <c r="H2743" s="93" t="n">
        <v>1764000</v>
      </c>
      <c r="I2743" s="92" t="inlineStr">
        <is>
          <t>1월 콜 위탁 수수료(건별)</t>
        </is>
      </c>
      <c r="J2743" s="92" t="inlineStr">
        <is>
          <t>V10016</t>
        </is>
      </c>
      <c r="K2743" s="92" t="inlineStr">
        <is>
          <t>J콜센터</t>
        </is>
      </c>
      <c r="M2743" s="9">
        <f>IF($A2743="","",VALUE($A2743&amp;"")*12+VALUE($B2743&amp;""))</f>
        <v/>
      </c>
      <c r="N2743" s="64">
        <f>IF($A2743="","",IFERROR(INDEX(부서매핑!$C$5:$C$504,MATCH($G2743&amp;"",부서매핑!$A$5:$A$504,0)),"미매핑"))</f>
        <v/>
      </c>
      <c r="O2743" s="9">
        <f>IF($A2743="","",N2743&amp;"|"&amp;$F2743)</f>
        <v/>
      </c>
      <c r="P2743" s="94">
        <f>IF($A2743="",0,$H2743*설정!$C$23)</f>
        <v/>
      </c>
      <c r="Q2743" s="64">
        <f>IF($A2743="","",IF(O2743&lt;&gt;원인분석!$C$9,"",IF(AND(M2743&gt;=원인분석!$C$10,M2743&lt;=원인분석!$C$11),"당기",IF(AND(M2743&gt;=원인분석!$C$12,M2743&lt;=원인분석!$C$13),"비교",""))))</f>
        <v/>
      </c>
      <c r="R2743" s="9">
        <f>IF(Q2743="","",$K2743&amp;"")</f>
        <v/>
      </c>
      <c r="S2743" s="9">
        <f>IF(Q2743="","",IF(MATCH(R2743,$R$5:$R$100000,0)=ROW()-4,ROW(),""))</f>
        <v/>
      </c>
      <c r="T2743" s="9">
        <f>IF(Q2743="당기",ABS(P2743)+ROW()/1000000000,"")</f>
        <v/>
      </c>
      <c r="U2743" s="9">
        <f>IF(Q2743="비교",ABS(P2743)+ROW()/1000000000,"")</f>
        <v/>
      </c>
      <c r="V2743" s="64">
        <f>IF($A2743="","",IF(COUNTIF(변동분석!$E$7:$E$506,O2743)&gt;0,"Y","N"))</f>
        <v/>
      </c>
      <c r="W2743" s="64">
        <f>IF($A2743="","",IFERROR(INDEX(계정매핑!$D$5:$D$504,MATCH($F2743&amp;"",계정매핑!$A$5:$A$504,0)),"미매핑"))</f>
        <v/>
      </c>
      <c r="X2743" s="9">
        <f>IF($A2743="","",$F2743&amp;"")</f>
        <v/>
      </c>
      <c r="Y2743" s="94">
        <f>IF($A2743="",0,IF(AE2743="직접",IF(AF2743="비귀속",$P2743,0),$P2743*(1-AG2743)*IFERROR(INDEX(계정대체기준!$F$20:$F$49,MATCH($N2743,계정대체기준!$A$20:$A$49,0)),1)))</f>
        <v/>
      </c>
      <c r="Z2743" s="94">
        <f>IF($A2743="",0,IF(AE2743="직접",IF(AF2743="신계약비",$P2743,0),$P2743*(1-AG2743)*IFERROR(INDEX(계정대체기준!$C$20:$C$49,MATCH($N2743,계정대체기준!$A$20:$A$49,0)),0)))</f>
        <v/>
      </c>
      <c r="AA2743" s="94">
        <f>IF($A2743="",0,IF(AE2743="직접",IF(OR(AF2743="유지비",AF2743="손해조사비"),$P2743,0),$P2743*(1-AG2743)*IFERROR(INDEX(계정대체기준!$D$20:$D$49,MATCH($N2743,계정대체기준!$A$20:$A$49,0)),0)))</f>
        <v/>
      </c>
      <c r="AB2743" s="94">
        <f>IF($A2743="",0,IF(AE2743="직접",IF(AF2743="수금비",$P2743,0),$P2743*(1-AG2743)*IFERROR(INDEX(계정대체기준!$E$20:$E$49,MATCH($N2743,계정대체기준!$A$20:$A$49,0)),0)))</f>
        <v/>
      </c>
      <c r="AC2743" s="9">
        <f>IF(AND($A2743&lt;&gt;"",M2743=설정!$C$20,Z2743&gt;0),Z2743+ROW()/1000000000,"")</f>
        <v/>
      </c>
      <c r="AD2743" s="94">
        <f>IF($A2743="",0,$P2743*AG2743)</f>
        <v/>
      </c>
      <c r="AE2743" s="64">
        <f>IF($A2743="","",IFERROR(INDEX(계정매핑!$E$5:$E$504,MATCH($F2743&amp;"",계정매핑!$A$5:$A$504,0))&amp;"","공통비"))</f>
        <v/>
      </c>
      <c r="AF2743" s="64">
        <f>IF($A2743="","",IF(AE2743="직접",IFERROR(INDEX(계정매핑!$F$5:$F$504,MATCH($F2743&amp;"",계정매핑!$A$5:$A$504,0))&amp;"","비귀속"),""))</f>
        <v/>
      </c>
      <c r="AG2743" s="96">
        <f>IF($A2743="",0,IF(AND(AE2743&lt;&gt;"직접",IFERROR(INDEX(계정매핑!$G$5:$G$504,MATCH($F2743&amp;"",계정매핑!$A$5:$A$504,0))&amp;"","")="유지비",COUNTIF(계정대체기준!$A$6:$A$15,$N2743)&gt;0),IFERROR(INDEX(계정대체기준!$E$6:$E$15,MATCH(VALUE($A2743&amp;""),계정대체기준!$D$6:$D$15,0)),0),0))</f>
        <v/>
      </c>
      <c r="AH2743" s="64">
        <f>IF($A2743="","",IF(AD2743=0,"",IF(OR(COUNTIF(계정대체기준!$A$77:$A$86,$N2743)&gt;0,ISNUMBER(MATCH($X2743,계정대체기준!$D$77:$D$86,0)),ISNUMBER(MATCH($F2743,계정대체기준!$D$77:$D$86,0))),"Y","N")))</f>
        <v/>
      </c>
    </row>
    <row r="2744">
      <c r="A2744" s="92" t="n">
        <v>2026</v>
      </c>
      <c r="B2744" s="92" t="n">
        <v>1</v>
      </c>
      <c r="C2744" s="92" t="inlineStr">
        <is>
          <t>5100000022</t>
        </is>
      </c>
      <c r="D2744" s="95" t="n">
        <v>46026</v>
      </c>
      <c r="E2744" s="92" t="inlineStr">
        <is>
          <t>KR</t>
        </is>
      </c>
      <c r="F2744" s="92" t="n">
        <v>62902000</v>
      </c>
      <c r="G2744" s="92" t="n">
        <v>1951</v>
      </c>
      <c r="H2744" s="93" t="n">
        <v>1880000</v>
      </c>
      <c r="I2744" s="92" t="inlineStr">
        <is>
          <t>1월 업무 위탁 수수료 - X서비스</t>
        </is>
      </c>
      <c r="J2744" s="92" t="inlineStr">
        <is>
          <t>V10020</t>
        </is>
      </c>
      <c r="K2744" s="92" t="inlineStr">
        <is>
          <t>X서비스</t>
        </is>
      </c>
      <c r="M2744" s="9">
        <f>IF($A2744="","",VALUE($A2744&amp;"")*12+VALUE($B2744&amp;""))</f>
        <v/>
      </c>
      <c r="N2744" s="64">
        <f>IF($A2744="","",IFERROR(INDEX(부서매핑!$C$5:$C$504,MATCH($G2744&amp;"",부서매핑!$A$5:$A$504,0)),"미매핑"))</f>
        <v/>
      </c>
      <c r="O2744" s="9">
        <f>IF($A2744="","",N2744&amp;"|"&amp;$F2744)</f>
        <v/>
      </c>
      <c r="P2744" s="94">
        <f>IF($A2744="",0,$H2744*설정!$C$23)</f>
        <v/>
      </c>
      <c r="Q2744" s="64">
        <f>IF($A2744="","",IF(O2744&lt;&gt;원인분석!$C$9,"",IF(AND(M2744&gt;=원인분석!$C$10,M2744&lt;=원인분석!$C$11),"당기",IF(AND(M2744&gt;=원인분석!$C$12,M2744&lt;=원인분석!$C$13),"비교",""))))</f>
        <v/>
      </c>
      <c r="R2744" s="9">
        <f>IF(Q2744="","",$K2744&amp;"")</f>
        <v/>
      </c>
      <c r="S2744" s="9">
        <f>IF(Q2744="","",IF(MATCH(R2744,$R$5:$R$100000,0)=ROW()-4,ROW(),""))</f>
        <v/>
      </c>
      <c r="T2744" s="9">
        <f>IF(Q2744="당기",ABS(P2744)+ROW()/1000000000,"")</f>
        <v/>
      </c>
      <c r="U2744" s="9">
        <f>IF(Q2744="비교",ABS(P2744)+ROW()/1000000000,"")</f>
        <v/>
      </c>
      <c r="V2744" s="64">
        <f>IF($A2744="","",IF(COUNTIF(변동분석!$E$7:$E$506,O2744)&gt;0,"Y","N"))</f>
        <v/>
      </c>
      <c r="W2744" s="64">
        <f>IF($A2744="","",IFERROR(INDEX(계정매핑!$D$5:$D$504,MATCH($F2744&amp;"",계정매핑!$A$5:$A$504,0)),"미매핑"))</f>
        <v/>
      </c>
      <c r="X2744" s="9">
        <f>IF($A2744="","",$F2744&amp;"")</f>
        <v/>
      </c>
      <c r="Y2744" s="94">
        <f>IF($A2744="",0,IF(AE2744="직접",IF(AF2744="비귀속",$P2744,0),$P2744*(1-AG2744)*IFERROR(INDEX(계정대체기준!$F$20:$F$49,MATCH($N2744,계정대체기준!$A$20:$A$49,0)),1)))</f>
        <v/>
      </c>
      <c r="Z2744" s="94">
        <f>IF($A2744="",0,IF(AE2744="직접",IF(AF2744="신계약비",$P2744,0),$P2744*(1-AG2744)*IFERROR(INDEX(계정대체기준!$C$20:$C$49,MATCH($N2744,계정대체기준!$A$20:$A$49,0)),0)))</f>
        <v/>
      </c>
      <c r="AA2744" s="94">
        <f>IF($A2744="",0,IF(AE2744="직접",IF(OR(AF2744="유지비",AF2744="손해조사비"),$P2744,0),$P2744*(1-AG2744)*IFERROR(INDEX(계정대체기준!$D$20:$D$49,MATCH($N2744,계정대체기준!$A$20:$A$49,0)),0)))</f>
        <v/>
      </c>
      <c r="AB2744" s="94">
        <f>IF($A2744="",0,IF(AE2744="직접",IF(AF2744="수금비",$P2744,0),$P2744*(1-AG2744)*IFERROR(INDEX(계정대체기준!$E$20:$E$49,MATCH($N2744,계정대체기준!$A$20:$A$49,0)),0)))</f>
        <v/>
      </c>
      <c r="AC2744" s="9">
        <f>IF(AND($A2744&lt;&gt;"",M2744=설정!$C$20,Z2744&gt;0),Z2744+ROW()/1000000000,"")</f>
        <v/>
      </c>
      <c r="AD2744" s="94">
        <f>IF($A2744="",0,$P2744*AG2744)</f>
        <v/>
      </c>
      <c r="AE2744" s="64">
        <f>IF($A2744="","",IFERROR(INDEX(계정매핑!$E$5:$E$504,MATCH($F2744&amp;"",계정매핑!$A$5:$A$504,0))&amp;"","공통비"))</f>
        <v/>
      </c>
      <c r="AF2744" s="64">
        <f>IF($A2744="","",IF(AE2744="직접",IFERROR(INDEX(계정매핑!$F$5:$F$504,MATCH($F2744&amp;"",계정매핑!$A$5:$A$504,0))&amp;"","비귀속"),""))</f>
        <v/>
      </c>
      <c r="AG2744" s="96">
        <f>IF($A2744="",0,IF(AND(AE2744&lt;&gt;"직접",IFERROR(INDEX(계정매핑!$G$5:$G$504,MATCH($F2744&amp;"",계정매핑!$A$5:$A$504,0))&amp;"","")="유지비",COUNTIF(계정대체기준!$A$6:$A$15,$N2744)&gt;0),IFERROR(INDEX(계정대체기준!$E$6:$E$15,MATCH(VALUE($A2744&amp;""),계정대체기준!$D$6:$D$15,0)),0),0))</f>
        <v/>
      </c>
      <c r="AH2744" s="64">
        <f>IF($A2744="","",IF(AD2744=0,"",IF(OR(COUNTIF(계정대체기준!$A$77:$A$86,$N2744)&gt;0,ISNUMBER(MATCH($X2744,계정대체기준!$D$77:$D$86,0)),ISNUMBER(MATCH($F2744,계정대체기준!$D$77:$D$86,0))),"Y","N")))</f>
        <v/>
      </c>
    </row>
    <row r="2745">
      <c r="A2745" s="92" t="n">
        <v>2026</v>
      </c>
      <c r="B2745" s="92" t="n">
        <v>1</v>
      </c>
      <c r="C2745" s="92" t="inlineStr">
        <is>
          <t>5100000023</t>
        </is>
      </c>
      <c r="D2745" s="95" t="n">
        <v>46026</v>
      </c>
      <c r="E2745" s="92" t="inlineStr">
        <is>
          <t>KR</t>
        </is>
      </c>
      <c r="F2745" s="92" t="n">
        <v>63101000</v>
      </c>
      <c r="G2745" s="92" t="n">
        <v>1602</v>
      </c>
      <c r="H2745" s="93" t="n">
        <v>4498000</v>
      </c>
      <c r="I2745" s="92" t="inlineStr">
        <is>
          <t>1월 사무실 임차료 - BB부동산</t>
        </is>
      </c>
      <c r="J2745" s="92" t="inlineStr">
        <is>
          <t>V10028</t>
        </is>
      </c>
      <c r="K2745" s="92" t="inlineStr">
        <is>
          <t>BB부동산</t>
        </is>
      </c>
      <c r="M2745" s="9">
        <f>IF($A2745="","",VALUE($A2745&amp;"")*12+VALUE($B2745&amp;""))</f>
        <v/>
      </c>
      <c r="N2745" s="64">
        <f>IF($A2745="","",IFERROR(INDEX(부서매핑!$C$5:$C$504,MATCH($G2745&amp;"",부서매핑!$A$5:$A$504,0)),"미매핑"))</f>
        <v/>
      </c>
      <c r="O2745" s="9">
        <f>IF($A2745="","",N2745&amp;"|"&amp;$F2745)</f>
        <v/>
      </c>
      <c r="P2745" s="94">
        <f>IF($A2745="",0,$H2745*설정!$C$23)</f>
        <v/>
      </c>
      <c r="Q2745" s="64">
        <f>IF($A2745="","",IF(O2745&lt;&gt;원인분석!$C$9,"",IF(AND(M2745&gt;=원인분석!$C$10,M2745&lt;=원인분석!$C$11),"당기",IF(AND(M2745&gt;=원인분석!$C$12,M2745&lt;=원인분석!$C$13),"비교",""))))</f>
        <v/>
      </c>
      <c r="R2745" s="9">
        <f>IF(Q2745="","",$K2745&amp;"")</f>
        <v/>
      </c>
      <c r="S2745" s="9">
        <f>IF(Q2745="","",IF(MATCH(R2745,$R$5:$R$100000,0)=ROW()-4,ROW(),""))</f>
        <v/>
      </c>
      <c r="T2745" s="9">
        <f>IF(Q2745="당기",ABS(P2745)+ROW()/1000000000,"")</f>
        <v/>
      </c>
      <c r="U2745" s="9">
        <f>IF(Q2745="비교",ABS(P2745)+ROW()/1000000000,"")</f>
        <v/>
      </c>
      <c r="V2745" s="64">
        <f>IF($A2745="","",IF(COUNTIF(변동분석!$E$7:$E$506,O2745)&gt;0,"Y","N"))</f>
        <v/>
      </c>
      <c r="W2745" s="64">
        <f>IF($A2745="","",IFERROR(INDEX(계정매핑!$D$5:$D$504,MATCH($F2745&amp;"",계정매핑!$A$5:$A$504,0)),"미매핑"))</f>
        <v/>
      </c>
      <c r="X2745" s="9">
        <f>IF($A2745="","",$F2745&amp;"")</f>
        <v/>
      </c>
      <c r="Y2745" s="94">
        <f>IF($A2745="",0,IF(AE2745="직접",IF(AF2745="비귀속",$P2745,0),$P2745*(1-AG2745)*IFERROR(INDEX(계정대체기준!$F$20:$F$49,MATCH($N2745,계정대체기준!$A$20:$A$49,0)),1)))</f>
        <v/>
      </c>
      <c r="Z2745" s="94">
        <f>IF($A2745="",0,IF(AE2745="직접",IF(AF2745="신계약비",$P2745,0),$P2745*(1-AG2745)*IFERROR(INDEX(계정대체기준!$C$20:$C$49,MATCH($N2745,계정대체기준!$A$20:$A$49,0)),0)))</f>
        <v/>
      </c>
      <c r="AA2745" s="94">
        <f>IF($A2745="",0,IF(AE2745="직접",IF(OR(AF2745="유지비",AF2745="손해조사비"),$P2745,0),$P2745*(1-AG2745)*IFERROR(INDEX(계정대체기준!$D$20:$D$49,MATCH($N2745,계정대체기준!$A$20:$A$49,0)),0)))</f>
        <v/>
      </c>
      <c r="AB2745" s="94">
        <f>IF($A2745="",0,IF(AE2745="직접",IF(AF2745="수금비",$P2745,0),$P2745*(1-AG2745)*IFERROR(INDEX(계정대체기준!$E$20:$E$49,MATCH($N2745,계정대체기준!$A$20:$A$49,0)),0)))</f>
        <v/>
      </c>
      <c r="AC2745" s="9">
        <f>IF(AND($A2745&lt;&gt;"",M2745=설정!$C$20,Z2745&gt;0),Z2745+ROW()/1000000000,"")</f>
        <v/>
      </c>
      <c r="AD2745" s="94">
        <f>IF($A2745="",0,$P2745*AG2745)</f>
        <v/>
      </c>
      <c r="AE2745" s="64">
        <f>IF($A2745="","",IFERROR(INDEX(계정매핑!$E$5:$E$504,MATCH($F2745&amp;"",계정매핑!$A$5:$A$504,0))&amp;"","공통비"))</f>
        <v/>
      </c>
      <c r="AF2745" s="64">
        <f>IF($A2745="","",IF(AE2745="직접",IFERROR(INDEX(계정매핑!$F$5:$F$504,MATCH($F2745&amp;"",계정매핑!$A$5:$A$504,0))&amp;"","비귀속"),""))</f>
        <v/>
      </c>
      <c r="AG2745" s="96">
        <f>IF($A2745="",0,IF(AND(AE2745&lt;&gt;"직접",IFERROR(INDEX(계정매핑!$G$5:$G$504,MATCH($F2745&amp;"",계정매핑!$A$5:$A$504,0))&amp;"","")="유지비",COUNTIF(계정대체기준!$A$6:$A$15,$N2745)&gt;0),IFERROR(INDEX(계정대체기준!$E$6:$E$15,MATCH(VALUE($A2745&amp;""),계정대체기준!$D$6:$D$15,0)),0),0))</f>
        <v/>
      </c>
      <c r="AH2745" s="64">
        <f>IF($A2745="","",IF(AD2745=0,"",IF(OR(COUNTIF(계정대체기준!$A$77:$A$86,$N2745)&gt;0,ISNUMBER(MATCH($X2745,계정대체기준!$D$77:$D$86,0)),ISNUMBER(MATCH($F2745,계정대체기준!$D$77:$D$86,0))),"Y","N")))</f>
        <v/>
      </c>
    </row>
    <row r="2746">
      <c r="A2746" s="92" t="n">
        <v>2026</v>
      </c>
      <c r="B2746" s="92" t="n">
        <v>1</v>
      </c>
      <c r="C2746" s="92" t="inlineStr">
        <is>
          <t>5100000024</t>
        </is>
      </c>
      <c r="D2746" s="95" t="n">
        <v>46027</v>
      </c>
      <c r="E2746" s="92" t="inlineStr">
        <is>
          <t>KR</t>
        </is>
      </c>
      <c r="F2746" s="92" t="n">
        <v>62101000</v>
      </c>
      <c r="G2746" s="92" t="n">
        <v>1502</v>
      </c>
      <c r="H2746" s="93" t="n">
        <v>441000</v>
      </c>
      <c r="I2746" s="92" t="inlineStr">
        <is>
          <t>1월 국내출장 - (법인카드)</t>
        </is>
      </c>
      <c r="J2746" s="92" t="inlineStr">
        <is>
          <t>V10010</t>
        </is>
      </c>
      <c r="K2746" s="92" t="inlineStr">
        <is>
          <t>(법인카드)</t>
        </is>
      </c>
      <c r="M2746" s="9">
        <f>IF($A2746="","",VALUE($A2746&amp;"")*12+VALUE($B2746&amp;""))</f>
        <v/>
      </c>
      <c r="N2746" s="64">
        <f>IF($A2746="","",IFERROR(INDEX(부서매핑!$C$5:$C$504,MATCH($G2746&amp;"",부서매핑!$A$5:$A$504,0)),"미매핑"))</f>
        <v/>
      </c>
      <c r="O2746" s="9">
        <f>IF($A2746="","",N2746&amp;"|"&amp;$F2746)</f>
        <v/>
      </c>
      <c r="P2746" s="94">
        <f>IF($A2746="",0,$H2746*설정!$C$23)</f>
        <v/>
      </c>
      <c r="Q2746" s="64">
        <f>IF($A2746="","",IF(O2746&lt;&gt;원인분석!$C$9,"",IF(AND(M2746&gt;=원인분석!$C$10,M2746&lt;=원인분석!$C$11),"당기",IF(AND(M2746&gt;=원인분석!$C$12,M2746&lt;=원인분석!$C$13),"비교",""))))</f>
        <v/>
      </c>
      <c r="R2746" s="9">
        <f>IF(Q2746="","",$K2746&amp;"")</f>
        <v/>
      </c>
      <c r="S2746" s="9">
        <f>IF(Q2746="","",IF(MATCH(R2746,$R$5:$R$100000,0)=ROW()-4,ROW(),""))</f>
        <v/>
      </c>
      <c r="T2746" s="9">
        <f>IF(Q2746="당기",ABS(P2746)+ROW()/1000000000,"")</f>
        <v/>
      </c>
      <c r="U2746" s="9">
        <f>IF(Q2746="비교",ABS(P2746)+ROW()/1000000000,"")</f>
        <v/>
      </c>
      <c r="V2746" s="64">
        <f>IF($A2746="","",IF(COUNTIF(변동분석!$E$7:$E$506,O2746)&gt;0,"Y","N"))</f>
        <v/>
      </c>
      <c r="W2746" s="64">
        <f>IF($A2746="","",IFERROR(INDEX(계정매핑!$D$5:$D$504,MATCH($F2746&amp;"",계정매핑!$A$5:$A$504,0)),"미매핑"))</f>
        <v/>
      </c>
      <c r="X2746" s="9">
        <f>IF($A2746="","",$F2746&amp;"")</f>
        <v/>
      </c>
      <c r="Y2746" s="94">
        <f>IF($A2746="",0,IF(AE2746="직접",IF(AF2746="비귀속",$P2746,0),$P2746*(1-AG2746)*IFERROR(INDEX(계정대체기준!$F$20:$F$49,MATCH($N2746,계정대체기준!$A$20:$A$49,0)),1)))</f>
        <v/>
      </c>
      <c r="Z2746" s="94">
        <f>IF($A2746="",0,IF(AE2746="직접",IF(AF2746="신계약비",$P2746,0),$P2746*(1-AG2746)*IFERROR(INDEX(계정대체기준!$C$20:$C$49,MATCH($N2746,계정대체기준!$A$20:$A$49,0)),0)))</f>
        <v/>
      </c>
      <c r="AA2746" s="94">
        <f>IF($A2746="",0,IF(AE2746="직접",IF(OR(AF2746="유지비",AF2746="손해조사비"),$P2746,0),$P2746*(1-AG2746)*IFERROR(INDEX(계정대체기준!$D$20:$D$49,MATCH($N2746,계정대체기준!$A$20:$A$49,0)),0)))</f>
        <v/>
      </c>
      <c r="AB2746" s="94">
        <f>IF($A2746="",0,IF(AE2746="직접",IF(AF2746="수금비",$P2746,0),$P2746*(1-AG2746)*IFERROR(INDEX(계정대체기준!$E$20:$E$49,MATCH($N2746,계정대체기준!$A$20:$A$49,0)),0)))</f>
        <v/>
      </c>
      <c r="AC2746" s="9">
        <f>IF(AND($A2746&lt;&gt;"",M2746=설정!$C$20,Z2746&gt;0),Z2746+ROW()/1000000000,"")</f>
        <v/>
      </c>
      <c r="AD2746" s="94">
        <f>IF($A2746="",0,$P2746*AG2746)</f>
        <v/>
      </c>
      <c r="AE2746" s="64">
        <f>IF($A2746="","",IFERROR(INDEX(계정매핑!$E$5:$E$504,MATCH($F2746&amp;"",계정매핑!$A$5:$A$504,0))&amp;"","공통비"))</f>
        <v/>
      </c>
      <c r="AF2746" s="64">
        <f>IF($A2746="","",IF(AE2746="직접",IFERROR(INDEX(계정매핑!$F$5:$F$504,MATCH($F2746&amp;"",계정매핑!$A$5:$A$504,0))&amp;"","비귀속"),""))</f>
        <v/>
      </c>
      <c r="AG2746" s="96">
        <f>IF($A2746="",0,IF(AND(AE2746&lt;&gt;"직접",IFERROR(INDEX(계정매핑!$G$5:$G$504,MATCH($F2746&amp;"",계정매핑!$A$5:$A$504,0))&amp;"","")="유지비",COUNTIF(계정대체기준!$A$6:$A$15,$N2746)&gt;0),IFERROR(INDEX(계정대체기준!$E$6:$E$15,MATCH(VALUE($A2746&amp;""),계정대체기준!$D$6:$D$15,0)),0),0))</f>
        <v/>
      </c>
      <c r="AH2746" s="64">
        <f>IF($A2746="","",IF(AD2746=0,"",IF(OR(COUNTIF(계정대체기준!$A$77:$A$86,$N2746)&gt;0,ISNUMBER(MATCH($X2746,계정대체기준!$D$77:$D$86,0)),ISNUMBER(MATCH($F2746,계정대체기준!$D$77:$D$86,0))),"Y","N")))</f>
        <v/>
      </c>
    </row>
    <row r="2747">
      <c r="A2747" s="92" t="n">
        <v>2026</v>
      </c>
      <c r="B2747" s="92" t="n">
        <v>1</v>
      </c>
      <c r="C2747" s="92" t="inlineStr">
        <is>
          <t>5100000025</t>
        </is>
      </c>
      <c r="D2747" s="95" t="n">
        <v>46027</v>
      </c>
      <c r="E2747" s="92" t="inlineStr">
        <is>
          <t>KR</t>
        </is>
      </c>
      <c r="F2747" s="92" t="n">
        <v>62102000</v>
      </c>
      <c r="G2747" s="92" t="n">
        <v>1601</v>
      </c>
      <c r="H2747" s="93" t="n">
        <v>392000</v>
      </c>
      <c r="I2747" s="92" t="inlineStr">
        <is>
          <t>1월 해외출장 - N호텔</t>
        </is>
      </c>
      <c r="J2747" s="92" t="inlineStr">
        <is>
          <t>V10009</t>
        </is>
      </c>
      <c r="K2747" s="92" t="inlineStr">
        <is>
          <t>N호텔</t>
        </is>
      </c>
      <c r="M2747" s="9">
        <f>IF($A2747="","",VALUE($A2747&amp;"")*12+VALUE($B2747&amp;""))</f>
        <v/>
      </c>
      <c r="N2747" s="64">
        <f>IF($A2747="","",IFERROR(INDEX(부서매핑!$C$5:$C$504,MATCH($G2747&amp;"",부서매핑!$A$5:$A$504,0)),"미매핑"))</f>
        <v/>
      </c>
      <c r="O2747" s="9">
        <f>IF($A2747="","",N2747&amp;"|"&amp;$F2747)</f>
        <v/>
      </c>
      <c r="P2747" s="94">
        <f>IF($A2747="",0,$H2747*설정!$C$23)</f>
        <v/>
      </c>
      <c r="Q2747" s="64">
        <f>IF($A2747="","",IF(O2747&lt;&gt;원인분석!$C$9,"",IF(AND(M2747&gt;=원인분석!$C$10,M2747&lt;=원인분석!$C$11),"당기",IF(AND(M2747&gt;=원인분석!$C$12,M2747&lt;=원인분석!$C$13),"비교",""))))</f>
        <v/>
      </c>
      <c r="R2747" s="9">
        <f>IF(Q2747="","",$K2747&amp;"")</f>
        <v/>
      </c>
      <c r="S2747" s="9">
        <f>IF(Q2747="","",IF(MATCH(R2747,$R$5:$R$100000,0)=ROW()-4,ROW(),""))</f>
        <v/>
      </c>
      <c r="T2747" s="9">
        <f>IF(Q2747="당기",ABS(P2747)+ROW()/1000000000,"")</f>
        <v/>
      </c>
      <c r="U2747" s="9">
        <f>IF(Q2747="비교",ABS(P2747)+ROW()/1000000000,"")</f>
        <v/>
      </c>
      <c r="V2747" s="64">
        <f>IF($A2747="","",IF(COUNTIF(변동분석!$E$7:$E$506,O2747)&gt;0,"Y","N"))</f>
        <v/>
      </c>
      <c r="W2747" s="64">
        <f>IF($A2747="","",IFERROR(INDEX(계정매핑!$D$5:$D$504,MATCH($F2747&amp;"",계정매핑!$A$5:$A$504,0)),"미매핑"))</f>
        <v/>
      </c>
      <c r="X2747" s="9">
        <f>IF($A2747="","",$F2747&amp;"")</f>
        <v/>
      </c>
      <c r="Y2747" s="94">
        <f>IF($A2747="",0,IF(AE2747="직접",IF(AF2747="비귀속",$P2747,0),$P2747*(1-AG2747)*IFERROR(INDEX(계정대체기준!$F$20:$F$49,MATCH($N2747,계정대체기준!$A$20:$A$49,0)),1)))</f>
        <v/>
      </c>
      <c r="Z2747" s="94">
        <f>IF($A2747="",0,IF(AE2747="직접",IF(AF2747="신계약비",$P2747,0),$P2747*(1-AG2747)*IFERROR(INDEX(계정대체기준!$C$20:$C$49,MATCH($N2747,계정대체기준!$A$20:$A$49,0)),0)))</f>
        <v/>
      </c>
      <c r="AA2747" s="94">
        <f>IF($A2747="",0,IF(AE2747="직접",IF(OR(AF2747="유지비",AF2747="손해조사비"),$P2747,0),$P2747*(1-AG2747)*IFERROR(INDEX(계정대체기준!$D$20:$D$49,MATCH($N2747,계정대체기준!$A$20:$A$49,0)),0)))</f>
        <v/>
      </c>
      <c r="AB2747" s="94">
        <f>IF($A2747="",0,IF(AE2747="직접",IF(AF2747="수금비",$P2747,0),$P2747*(1-AG2747)*IFERROR(INDEX(계정대체기준!$E$20:$E$49,MATCH($N2747,계정대체기준!$A$20:$A$49,0)),0)))</f>
        <v/>
      </c>
      <c r="AC2747" s="9">
        <f>IF(AND($A2747&lt;&gt;"",M2747=설정!$C$20,Z2747&gt;0),Z2747+ROW()/1000000000,"")</f>
        <v/>
      </c>
      <c r="AD2747" s="94">
        <f>IF($A2747="",0,$P2747*AG2747)</f>
        <v/>
      </c>
      <c r="AE2747" s="64">
        <f>IF($A2747="","",IFERROR(INDEX(계정매핑!$E$5:$E$504,MATCH($F2747&amp;"",계정매핑!$A$5:$A$504,0))&amp;"","공통비"))</f>
        <v/>
      </c>
      <c r="AF2747" s="64">
        <f>IF($A2747="","",IF(AE2747="직접",IFERROR(INDEX(계정매핑!$F$5:$F$504,MATCH($F2747&amp;"",계정매핑!$A$5:$A$504,0))&amp;"","비귀속"),""))</f>
        <v/>
      </c>
      <c r="AG2747" s="96">
        <f>IF($A2747="",0,IF(AND(AE2747&lt;&gt;"직접",IFERROR(INDEX(계정매핑!$G$5:$G$504,MATCH($F2747&amp;"",계정매핑!$A$5:$A$504,0))&amp;"","")="유지비",COUNTIF(계정대체기준!$A$6:$A$15,$N2747)&gt;0),IFERROR(INDEX(계정대체기준!$E$6:$E$15,MATCH(VALUE($A2747&amp;""),계정대체기준!$D$6:$D$15,0)),0),0))</f>
        <v/>
      </c>
      <c r="AH2747" s="64">
        <f>IF($A2747="","",IF(AD2747=0,"",IF(OR(COUNTIF(계정대체기준!$A$77:$A$86,$N2747)&gt;0,ISNUMBER(MATCH($X2747,계정대체기준!$D$77:$D$86,0)),ISNUMBER(MATCH($F2747,계정대체기준!$D$77:$D$86,0))),"Y","N")))</f>
        <v/>
      </c>
    </row>
    <row r="2748">
      <c r="A2748" s="92" t="n">
        <v>2026</v>
      </c>
      <c r="B2748" s="92" t="n">
        <v>1</v>
      </c>
      <c r="C2748" s="92" t="inlineStr">
        <is>
          <t>5100000026</t>
        </is>
      </c>
      <c r="D2748" s="95" t="n">
        <v>46027</v>
      </c>
      <c r="E2748" s="92" t="inlineStr">
        <is>
          <t>KR</t>
        </is>
      </c>
      <c r="F2748" s="92" t="n">
        <v>62201000</v>
      </c>
      <c r="G2748" s="92" t="n">
        <v>1401</v>
      </c>
      <c r="H2748" s="93" t="n">
        <v>306000</v>
      </c>
      <c r="I2748" s="92" t="inlineStr">
        <is>
          <t>1월 통신요금 - O텔레콤</t>
        </is>
      </c>
      <c r="J2748" s="92" t="inlineStr">
        <is>
          <t>V10002</t>
        </is>
      </c>
      <c r="K2748" s="92" t="inlineStr">
        <is>
          <t>O텔레콤</t>
        </is>
      </c>
      <c r="M2748" s="9">
        <f>IF($A2748="","",VALUE($A2748&amp;"")*12+VALUE($B2748&amp;""))</f>
        <v/>
      </c>
      <c r="N2748" s="64">
        <f>IF($A2748="","",IFERROR(INDEX(부서매핑!$C$5:$C$504,MATCH($G2748&amp;"",부서매핑!$A$5:$A$504,0)),"미매핑"))</f>
        <v/>
      </c>
      <c r="O2748" s="9">
        <f>IF($A2748="","",N2748&amp;"|"&amp;$F2748)</f>
        <v/>
      </c>
      <c r="P2748" s="94">
        <f>IF($A2748="",0,$H2748*설정!$C$23)</f>
        <v/>
      </c>
      <c r="Q2748" s="64">
        <f>IF($A2748="","",IF(O2748&lt;&gt;원인분석!$C$9,"",IF(AND(M2748&gt;=원인분석!$C$10,M2748&lt;=원인분석!$C$11),"당기",IF(AND(M2748&gt;=원인분석!$C$12,M2748&lt;=원인분석!$C$13),"비교",""))))</f>
        <v/>
      </c>
      <c r="R2748" s="9">
        <f>IF(Q2748="","",$K2748&amp;"")</f>
        <v/>
      </c>
      <c r="S2748" s="9">
        <f>IF(Q2748="","",IF(MATCH(R2748,$R$5:$R$100000,0)=ROW()-4,ROW(),""))</f>
        <v/>
      </c>
      <c r="T2748" s="9">
        <f>IF(Q2748="당기",ABS(P2748)+ROW()/1000000000,"")</f>
        <v/>
      </c>
      <c r="U2748" s="9">
        <f>IF(Q2748="비교",ABS(P2748)+ROW()/1000000000,"")</f>
        <v/>
      </c>
      <c r="V2748" s="64">
        <f>IF($A2748="","",IF(COUNTIF(변동분석!$E$7:$E$506,O2748)&gt;0,"Y","N"))</f>
        <v/>
      </c>
      <c r="W2748" s="64">
        <f>IF($A2748="","",IFERROR(INDEX(계정매핑!$D$5:$D$504,MATCH($F2748&amp;"",계정매핑!$A$5:$A$504,0)),"미매핑"))</f>
        <v/>
      </c>
      <c r="X2748" s="9">
        <f>IF($A2748="","",$F2748&amp;"")</f>
        <v/>
      </c>
      <c r="Y2748" s="94">
        <f>IF($A2748="",0,IF(AE2748="직접",IF(AF2748="비귀속",$P2748,0),$P2748*(1-AG2748)*IFERROR(INDEX(계정대체기준!$F$20:$F$49,MATCH($N2748,계정대체기준!$A$20:$A$49,0)),1)))</f>
        <v/>
      </c>
      <c r="Z2748" s="94">
        <f>IF($A2748="",0,IF(AE2748="직접",IF(AF2748="신계약비",$P2748,0),$P2748*(1-AG2748)*IFERROR(INDEX(계정대체기준!$C$20:$C$49,MATCH($N2748,계정대체기준!$A$20:$A$49,0)),0)))</f>
        <v/>
      </c>
      <c r="AA2748" s="94">
        <f>IF($A2748="",0,IF(AE2748="직접",IF(OR(AF2748="유지비",AF2748="손해조사비"),$P2748,0),$P2748*(1-AG2748)*IFERROR(INDEX(계정대체기준!$D$20:$D$49,MATCH($N2748,계정대체기준!$A$20:$A$49,0)),0)))</f>
        <v/>
      </c>
      <c r="AB2748" s="94">
        <f>IF($A2748="",0,IF(AE2748="직접",IF(AF2748="수금비",$P2748,0),$P2748*(1-AG2748)*IFERROR(INDEX(계정대체기준!$E$20:$E$49,MATCH($N2748,계정대체기준!$A$20:$A$49,0)),0)))</f>
        <v/>
      </c>
      <c r="AC2748" s="9">
        <f>IF(AND($A2748&lt;&gt;"",M2748=설정!$C$20,Z2748&gt;0),Z2748+ROW()/1000000000,"")</f>
        <v/>
      </c>
      <c r="AD2748" s="94">
        <f>IF($A2748="",0,$P2748*AG2748)</f>
        <v/>
      </c>
      <c r="AE2748" s="64">
        <f>IF($A2748="","",IFERROR(INDEX(계정매핑!$E$5:$E$504,MATCH($F2748&amp;"",계정매핑!$A$5:$A$504,0))&amp;"","공통비"))</f>
        <v/>
      </c>
      <c r="AF2748" s="64">
        <f>IF($A2748="","",IF(AE2748="직접",IFERROR(INDEX(계정매핑!$F$5:$F$504,MATCH($F2748&amp;"",계정매핑!$A$5:$A$504,0))&amp;"","비귀속"),""))</f>
        <v/>
      </c>
      <c r="AG2748" s="96">
        <f>IF($A2748="",0,IF(AND(AE2748&lt;&gt;"직접",IFERROR(INDEX(계정매핑!$G$5:$G$504,MATCH($F2748&amp;"",계정매핑!$A$5:$A$504,0))&amp;"","")="유지비",COUNTIF(계정대체기준!$A$6:$A$15,$N2748)&gt;0),IFERROR(INDEX(계정대체기준!$E$6:$E$15,MATCH(VALUE($A2748&amp;""),계정대체기준!$D$6:$D$15,0)),0),0))</f>
        <v/>
      </c>
      <c r="AH2748" s="64">
        <f>IF($A2748="","",IF(AD2748=0,"",IF(OR(COUNTIF(계정대체기준!$A$77:$A$86,$N2748)&gt;0,ISNUMBER(MATCH($X2748,계정대체기준!$D$77:$D$86,0)),ISNUMBER(MATCH($F2748,계정대체기준!$D$77:$D$86,0))),"Y","N")))</f>
        <v/>
      </c>
    </row>
    <row r="2749">
      <c r="A2749" s="92" t="n">
        <v>2026</v>
      </c>
      <c r="B2749" s="92" t="n">
        <v>1</v>
      </c>
      <c r="C2749" s="92" t="inlineStr">
        <is>
          <t>5100000027</t>
        </is>
      </c>
      <c r="D2749" s="95" t="n">
        <v>46027</v>
      </c>
      <c r="E2749" s="92" t="inlineStr">
        <is>
          <t>KR</t>
        </is>
      </c>
      <c r="F2749" s="92" t="n">
        <v>62201000</v>
      </c>
      <c r="G2749" s="92" t="n">
        <v>1501</v>
      </c>
      <c r="H2749" s="93" t="n">
        <v>213000</v>
      </c>
      <c r="I2749" s="92" t="inlineStr">
        <is>
          <t>1월 통신요금 - O텔레콤</t>
        </is>
      </c>
      <c r="J2749" s="92" t="inlineStr">
        <is>
          <t>V10002</t>
        </is>
      </c>
      <c r="K2749" s="92" t="inlineStr">
        <is>
          <t>O텔레콤</t>
        </is>
      </c>
      <c r="M2749" s="9">
        <f>IF($A2749="","",VALUE($A2749&amp;"")*12+VALUE($B2749&amp;""))</f>
        <v/>
      </c>
      <c r="N2749" s="64">
        <f>IF($A2749="","",IFERROR(INDEX(부서매핑!$C$5:$C$504,MATCH($G2749&amp;"",부서매핑!$A$5:$A$504,0)),"미매핑"))</f>
        <v/>
      </c>
      <c r="O2749" s="9">
        <f>IF($A2749="","",N2749&amp;"|"&amp;$F2749)</f>
        <v/>
      </c>
      <c r="P2749" s="94">
        <f>IF($A2749="",0,$H2749*설정!$C$23)</f>
        <v/>
      </c>
      <c r="Q2749" s="64">
        <f>IF($A2749="","",IF(O2749&lt;&gt;원인분석!$C$9,"",IF(AND(M2749&gt;=원인분석!$C$10,M2749&lt;=원인분석!$C$11),"당기",IF(AND(M2749&gt;=원인분석!$C$12,M2749&lt;=원인분석!$C$13),"비교",""))))</f>
        <v/>
      </c>
      <c r="R2749" s="9">
        <f>IF(Q2749="","",$K2749&amp;"")</f>
        <v/>
      </c>
      <c r="S2749" s="9">
        <f>IF(Q2749="","",IF(MATCH(R2749,$R$5:$R$100000,0)=ROW()-4,ROW(),""))</f>
        <v/>
      </c>
      <c r="T2749" s="9">
        <f>IF(Q2749="당기",ABS(P2749)+ROW()/1000000000,"")</f>
        <v/>
      </c>
      <c r="U2749" s="9">
        <f>IF(Q2749="비교",ABS(P2749)+ROW()/1000000000,"")</f>
        <v/>
      </c>
      <c r="V2749" s="64">
        <f>IF($A2749="","",IF(COUNTIF(변동분석!$E$7:$E$506,O2749)&gt;0,"Y","N"))</f>
        <v/>
      </c>
      <c r="W2749" s="64">
        <f>IF($A2749="","",IFERROR(INDEX(계정매핑!$D$5:$D$504,MATCH($F2749&amp;"",계정매핑!$A$5:$A$504,0)),"미매핑"))</f>
        <v/>
      </c>
      <c r="X2749" s="9">
        <f>IF($A2749="","",$F2749&amp;"")</f>
        <v/>
      </c>
      <c r="Y2749" s="94">
        <f>IF($A2749="",0,IF(AE2749="직접",IF(AF2749="비귀속",$P2749,0),$P2749*(1-AG2749)*IFERROR(INDEX(계정대체기준!$F$20:$F$49,MATCH($N2749,계정대체기준!$A$20:$A$49,0)),1)))</f>
        <v/>
      </c>
      <c r="Z2749" s="94">
        <f>IF($A2749="",0,IF(AE2749="직접",IF(AF2749="신계약비",$P2749,0),$P2749*(1-AG2749)*IFERROR(INDEX(계정대체기준!$C$20:$C$49,MATCH($N2749,계정대체기준!$A$20:$A$49,0)),0)))</f>
        <v/>
      </c>
      <c r="AA2749" s="94">
        <f>IF($A2749="",0,IF(AE2749="직접",IF(OR(AF2749="유지비",AF2749="손해조사비"),$P2749,0),$P2749*(1-AG2749)*IFERROR(INDEX(계정대체기준!$D$20:$D$49,MATCH($N2749,계정대체기준!$A$20:$A$49,0)),0)))</f>
        <v/>
      </c>
      <c r="AB2749" s="94">
        <f>IF($A2749="",0,IF(AE2749="직접",IF(AF2749="수금비",$P2749,0),$P2749*(1-AG2749)*IFERROR(INDEX(계정대체기준!$E$20:$E$49,MATCH($N2749,계정대체기준!$A$20:$A$49,0)),0)))</f>
        <v/>
      </c>
      <c r="AC2749" s="9">
        <f>IF(AND($A2749&lt;&gt;"",M2749=설정!$C$20,Z2749&gt;0),Z2749+ROW()/1000000000,"")</f>
        <v/>
      </c>
      <c r="AD2749" s="94">
        <f>IF($A2749="",0,$P2749*AG2749)</f>
        <v/>
      </c>
      <c r="AE2749" s="64">
        <f>IF($A2749="","",IFERROR(INDEX(계정매핑!$E$5:$E$504,MATCH($F2749&amp;"",계정매핑!$A$5:$A$504,0))&amp;"","공통비"))</f>
        <v/>
      </c>
      <c r="AF2749" s="64">
        <f>IF($A2749="","",IF(AE2749="직접",IFERROR(INDEX(계정매핑!$F$5:$F$504,MATCH($F2749&amp;"",계정매핑!$A$5:$A$504,0))&amp;"","비귀속"),""))</f>
        <v/>
      </c>
      <c r="AG2749" s="96">
        <f>IF($A2749="",0,IF(AND(AE2749&lt;&gt;"직접",IFERROR(INDEX(계정매핑!$G$5:$G$504,MATCH($F2749&amp;"",계정매핑!$A$5:$A$504,0))&amp;"","")="유지비",COUNTIF(계정대체기준!$A$6:$A$15,$N2749)&gt;0),IFERROR(INDEX(계정대체기준!$E$6:$E$15,MATCH(VALUE($A2749&amp;""),계정대체기준!$D$6:$D$15,0)),0),0))</f>
        <v/>
      </c>
      <c r="AH2749" s="64">
        <f>IF($A2749="","",IF(AD2749=0,"",IF(OR(COUNTIF(계정대체기준!$A$77:$A$86,$N2749)&gt;0,ISNUMBER(MATCH($X2749,계정대체기준!$D$77:$D$86,0)),ISNUMBER(MATCH($F2749,계정대체기준!$D$77:$D$86,0))),"Y","N")))</f>
        <v/>
      </c>
    </row>
    <row r="2750">
      <c r="A2750" s="92" t="n">
        <v>2026</v>
      </c>
      <c r="B2750" s="92" t="n">
        <v>1</v>
      </c>
      <c r="C2750" s="92" t="inlineStr">
        <is>
          <t>5100000028</t>
        </is>
      </c>
      <c r="D2750" s="95" t="n">
        <v>46027</v>
      </c>
      <c r="E2750" s="92" t="inlineStr">
        <is>
          <t>KR</t>
        </is>
      </c>
      <c r="F2750" s="92" t="n">
        <v>62301000</v>
      </c>
      <c r="G2750" s="92" t="n">
        <v>1101</v>
      </c>
      <c r="H2750" s="93" t="n">
        <v>241000</v>
      </c>
      <c r="I2750" s="92" t="inlineStr">
        <is>
          <t>1월 소모품 구입 - Q오피스</t>
        </is>
      </c>
      <c r="J2750" s="92" t="inlineStr">
        <is>
          <t>V10003</t>
        </is>
      </c>
      <c r="K2750" s="92" t="inlineStr">
        <is>
          <t>Q오피스</t>
        </is>
      </c>
      <c r="M2750" s="9">
        <f>IF($A2750="","",VALUE($A2750&amp;"")*12+VALUE($B2750&amp;""))</f>
        <v/>
      </c>
      <c r="N2750" s="64">
        <f>IF($A2750="","",IFERROR(INDEX(부서매핑!$C$5:$C$504,MATCH($G2750&amp;"",부서매핑!$A$5:$A$504,0)),"미매핑"))</f>
        <v/>
      </c>
      <c r="O2750" s="9">
        <f>IF($A2750="","",N2750&amp;"|"&amp;$F2750)</f>
        <v/>
      </c>
      <c r="P2750" s="94">
        <f>IF($A2750="",0,$H2750*설정!$C$23)</f>
        <v/>
      </c>
      <c r="Q2750" s="64">
        <f>IF($A2750="","",IF(O2750&lt;&gt;원인분석!$C$9,"",IF(AND(M2750&gt;=원인분석!$C$10,M2750&lt;=원인분석!$C$11),"당기",IF(AND(M2750&gt;=원인분석!$C$12,M2750&lt;=원인분석!$C$13),"비교",""))))</f>
        <v/>
      </c>
      <c r="R2750" s="9">
        <f>IF(Q2750="","",$K2750&amp;"")</f>
        <v/>
      </c>
      <c r="S2750" s="9">
        <f>IF(Q2750="","",IF(MATCH(R2750,$R$5:$R$100000,0)=ROW()-4,ROW(),""))</f>
        <v/>
      </c>
      <c r="T2750" s="9">
        <f>IF(Q2750="당기",ABS(P2750)+ROW()/1000000000,"")</f>
        <v/>
      </c>
      <c r="U2750" s="9">
        <f>IF(Q2750="비교",ABS(P2750)+ROW()/1000000000,"")</f>
        <v/>
      </c>
      <c r="V2750" s="64">
        <f>IF($A2750="","",IF(COUNTIF(변동분석!$E$7:$E$506,O2750)&gt;0,"Y","N"))</f>
        <v/>
      </c>
      <c r="W2750" s="64">
        <f>IF($A2750="","",IFERROR(INDEX(계정매핑!$D$5:$D$504,MATCH($F2750&amp;"",계정매핑!$A$5:$A$504,0)),"미매핑"))</f>
        <v/>
      </c>
      <c r="X2750" s="9">
        <f>IF($A2750="","",$F2750&amp;"")</f>
        <v/>
      </c>
      <c r="Y2750" s="94">
        <f>IF($A2750="",0,IF(AE2750="직접",IF(AF2750="비귀속",$P2750,0),$P2750*(1-AG2750)*IFERROR(INDEX(계정대체기준!$F$20:$F$49,MATCH($N2750,계정대체기준!$A$20:$A$49,0)),1)))</f>
        <v/>
      </c>
      <c r="Z2750" s="94">
        <f>IF($A2750="",0,IF(AE2750="직접",IF(AF2750="신계약비",$P2750,0),$P2750*(1-AG2750)*IFERROR(INDEX(계정대체기준!$C$20:$C$49,MATCH($N2750,계정대체기준!$A$20:$A$49,0)),0)))</f>
        <v/>
      </c>
      <c r="AA2750" s="94">
        <f>IF($A2750="",0,IF(AE2750="직접",IF(OR(AF2750="유지비",AF2750="손해조사비"),$P2750,0),$P2750*(1-AG2750)*IFERROR(INDEX(계정대체기준!$D$20:$D$49,MATCH($N2750,계정대체기준!$A$20:$A$49,0)),0)))</f>
        <v/>
      </c>
      <c r="AB2750" s="94">
        <f>IF($A2750="",0,IF(AE2750="직접",IF(AF2750="수금비",$P2750,0),$P2750*(1-AG2750)*IFERROR(INDEX(계정대체기준!$E$20:$E$49,MATCH($N2750,계정대체기준!$A$20:$A$49,0)),0)))</f>
        <v/>
      </c>
      <c r="AC2750" s="9">
        <f>IF(AND($A2750&lt;&gt;"",M2750=설정!$C$20,Z2750&gt;0),Z2750+ROW()/1000000000,"")</f>
        <v/>
      </c>
      <c r="AD2750" s="94">
        <f>IF($A2750="",0,$P2750*AG2750)</f>
        <v/>
      </c>
      <c r="AE2750" s="64">
        <f>IF($A2750="","",IFERROR(INDEX(계정매핑!$E$5:$E$504,MATCH($F2750&amp;"",계정매핑!$A$5:$A$504,0))&amp;"","공통비"))</f>
        <v/>
      </c>
      <c r="AF2750" s="64">
        <f>IF($A2750="","",IF(AE2750="직접",IFERROR(INDEX(계정매핑!$F$5:$F$504,MATCH($F2750&amp;"",계정매핑!$A$5:$A$504,0))&amp;"","비귀속"),""))</f>
        <v/>
      </c>
      <c r="AG2750" s="96">
        <f>IF($A2750="",0,IF(AND(AE2750&lt;&gt;"직접",IFERROR(INDEX(계정매핑!$G$5:$G$504,MATCH($F2750&amp;"",계정매핑!$A$5:$A$504,0))&amp;"","")="유지비",COUNTIF(계정대체기준!$A$6:$A$15,$N2750)&gt;0),IFERROR(INDEX(계정대체기준!$E$6:$E$15,MATCH(VALUE($A2750&amp;""),계정대체기준!$D$6:$D$15,0)),0),0))</f>
        <v/>
      </c>
      <c r="AH2750" s="64">
        <f>IF($A2750="","",IF(AD2750=0,"",IF(OR(COUNTIF(계정대체기준!$A$77:$A$86,$N2750)&gt;0,ISNUMBER(MATCH($X2750,계정대체기준!$D$77:$D$86,0)),ISNUMBER(MATCH($F2750,계정대체기준!$D$77:$D$86,0))),"Y","N")))</f>
        <v/>
      </c>
    </row>
    <row r="2751">
      <c r="A2751" s="92" t="n">
        <v>2026</v>
      </c>
      <c r="B2751" s="92" t="n">
        <v>1</v>
      </c>
      <c r="C2751" s="92" t="inlineStr">
        <is>
          <t>5100000029</t>
        </is>
      </c>
      <c r="D2751" s="95" t="n">
        <v>46027</v>
      </c>
      <c r="E2751" s="92" t="inlineStr">
        <is>
          <t>KR</t>
        </is>
      </c>
      <c r="F2751" s="92" t="n">
        <v>62301000</v>
      </c>
      <c r="G2751" s="92" t="n">
        <v>1201</v>
      </c>
      <c r="H2751" s="93" t="n">
        <v>165000</v>
      </c>
      <c r="I2751" s="92" t="inlineStr">
        <is>
          <t>1월 소모품 구입 - R문구</t>
        </is>
      </c>
      <c r="J2751" s="92" t="inlineStr">
        <is>
          <t>V10022</t>
        </is>
      </c>
      <c r="K2751" s="92" t="inlineStr">
        <is>
          <t>R문구</t>
        </is>
      </c>
      <c r="M2751" s="9">
        <f>IF($A2751="","",VALUE($A2751&amp;"")*12+VALUE($B2751&amp;""))</f>
        <v/>
      </c>
      <c r="N2751" s="64">
        <f>IF($A2751="","",IFERROR(INDEX(부서매핑!$C$5:$C$504,MATCH($G2751&amp;"",부서매핑!$A$5:$A$504,0)),"미매핑"))</f>
        <v/>
      </c>
      <c r="O2751" s="9">
        <f>IF($A2751="","",N2751&amp;"|"&amp;$F2751)</f>
        <v/>
      </c>
      <c r="P2751" s="94">
        <f>IF($A2751="",0,$H2751*설정!$C$23)</f>
        <v/>
      </c>
      <c r="Q2751" s="64">
        <f>IF($A2751="","",IF(O2751&lt;&gt;원인분석!$C$9,"",IF(AND(M2751&gt;=원인분석!$C$10,M2751&lt;=원인분석!$C$11),"당기",IF(AND(M2751&gt;=원인분석!$C$12,M2751&lt;=원인분석!$C$13),"비교",""))))</f>
        <v/>
      </c>
      <c r="R2751" s="9">
        <f>IF(Q2751="","",$K2751&amp;"")</f>
        <v/>
      </c>
      <c r="S2751" s="9">
        <f>IF(Q2751="","",IF(MATCH(R2751,$R$5:$R$100000,0)=ROW()-4,ROW(),""))</f>
        <v/>
      </c>
      <c r="T2751" s="9">
        <f>IF(Q2751="당기",ABS(P2751)+ROW()/1000000000,"")</f>
        <v/>
      </c>
      <c r="U2751" s="9">
        <f>IF(Q2751="비교",ABS(P2751)+ROW()/1000000000,"")</f>
        <v/>
      </c>
      <c r="V2751" s="64">
        <f>IF($A2751="","",IF(COUNTIF(변동분석!$E$7:$E$506,O2751)&gt;0,"Y","N"))</f>
        <v/>
      </c>
      <c r="W2751" s="64">
        <f>IF($A2751="","",IFERROR(INDEX(계정매핑!$D$5:$D$504,MATCH($F2751&amp;"",계정매핑!$A$5:$A$504,0)),"미매핑"))</f>
        <v/>
      </c>
      <c r="X2751" s="9">
        <f>IF($A2751="","",$F2751&amp;"")</f>
        <v/>
      </c>
      <c r="Y2751" s="94">
        <f>IF($A2751="",0,IF(AE2751="직접",IF(AF2751="비귀속",$P2751,0),$P2751*(1-AG2751)*IFERROR(INDEX(계정대체기준!$F$20:$F$49,MATCH($N2751,계정대체기준!$A$20:$A$49,0)),1)))</f>
        <v/>
      </c>
      <c r="Z2751" s="94">
        <f>IF($A2751="",0,IF(AE2751="직접",IF(AF2751="신계약비",$P2751,0),$P2751*(1-AG2751)*IFERROR(INDEX(계정대체기준!$C$20:$C$49,MATCH($N2751,계정대체기준!$A$20:$A$49,0)),0)))</f>
        <v/>
      </c>
      <c r="AA2751" s="94">
        <f>IF($A2751="",0,IF(AE2751="직접",IF(OR(AF2751="유지비",AF2751="손해조사비"),$P2751,0),$P2751*(1-AG2751)*IFERROR(INDEX(계정대체기준!$D$20:$D$49,MATCH($N2751,계정대체기준!$A$20:$A$49,0)),0)))</f>
        <v/>
      </c>
      <c r="AB2751" s="94">
        <f>IF($A2751="",0,IF(AE2751="직접",IF(AF2751="수금비",$P2751,0),$P2751*(1-AG2751)*IFERROR(INDEX(계정대체기준!$E$20:$E$49,MATCH($N2751,계정대체기준!$A$20:$A$49,0)),0)))</f>
        <v/>
      </c>
      <c r="AC2751" s="9">
        <f>IF(AND($A2751&lt;&gt;"",M2751=설정!$C$20,Z2751&gt;0),Z2751+ROW()/1000000000,"")</f>
        <v/>
      </c>
      <c r="AD2751" s="94">
        <f>IF($A2751="",0,$P2751*AG2751)</f>
        <v/>
      </c>
      <c r="AE2751" s="64">
        <f>IF($A2751="","",IFERROR(INDEX(계정매핑!$E$5:$E$504,MATCH($F2751&amp;"",계정매핑!$A$5:$A$504,0))&amp;"","공통비"))</f>
        <v/>
      </c>
      <c r="AF2751" s="64">
        <f>IF($A2751="","",IF(AE2751="직접",IFERROR(INDEX(계정매핑!$F$5:$F$504,MATCH($F2751&amp;"",계정매핑!$A$5:$A$504,0))&amp;"","비귀속"),""))</f>
        <v/>
      </c>
      <c r="AG2751" s="96">
        <f>IF($A2751="",0,IF(AND(AE2751&lt;&gt;"직접",IFERROR(INDEX(계정매핑!$G$5:$G$504,MATCH($F2751&amp;"",계정매핑!$A$5:$A$504,0))&amp;"","")="유지비",COUNTIF(계정대체기준!$A$6:$A$15,$N2751)&gt;0),IFERROR(INDEX(계정대체기준!$E$6:$E$15,MATCH(VALUE($A2751&amp;""),계정대체기준!$D$6:$D$15,0)),0),0))</f>
        <v/>
      </c>
      <c r="AH2751" s="64">
        <f>IF($A2751="","",IF(AD2751=0,"",IF(OR(COUNTIF(계정대체기준!$A$77:$A$86,$N2751)&gt;0,ISNUMBER(MATCH($X2751,계정대체기준!$D$77:$D$86,0)),ISNUMBER(MATCH($F2751,계정대체기준!$D$77:$D$86,0))),"Y","N")))</f>
        <v/>
      </c>
    </row>
    <row r="2752">
      <c r="A2752" s="92" t="n">
        <v>2026</v>
      </c>
      <c r="B2752" s="92" t="n">
        <v>1</v>
      </c>
      <c r="C2752" s="92" t="inlineStr">
        <is>
          <t>5100000030</t>
        </is>
      </c>
      <c r="D2752" s="95" t="n">
        <v>46027</v>
      </c>
      <c r="E2752" s="92" t="inlineStr">
        <is>
          <t>KR</t>
        </is>
      </c>
      <c r="F2752" s="92" t="n">
        <v>62601000</v>
      </c>
      <c r="G2752" s="92" t="n">
        <v>1101</v>
      </c>
      <c r="H2752" s="93" t="n">
        <v>1830000</v>
      </c>
      <c r="I2752" s="92" t="inlineStr">
        <is>
          <t>1월 업무추진 - (법인카드)</t>
        </is>
      </c>
      <c r="J2752" s="92" t="inlineStr">
        <is>
          <t>V10010</t>
        </is>
      </c>
      <c r="K2752" s="92" t="inlineStr">
        <is>
          <t>(법인카드)</t>
        </is>
      </c>
      <c r="M2752" s="9">
        <f>IF($A2752="","",VALUE($A2752&amp;"")*12+VALUE($B2752&amp;""))</f>
        <v/>
      </c>
      <c r="N2752" s="64">
        <f>IF($A2752="","",IFERROR(INDEX(부서매핑!$C$5:$C$504,MATCH($G2752&amp;"",부서매핑!$A$5:$A$504,0)),"미매핑"))</f>
        <v/>
      </c>
      <c r="O2752" s="9">
        <f>IF($A2752="","",N2752&amp;"|"&amp;$F2752)</f>
        <v/>
      </c>
      <c r="P2752" s="94">
        <f>IF($A2752="",0,$H2752*설정!$C$23)</f>
        <v/>
      </c>
      <c r="Q2752" s="64">
        <f>IF($A2752="","",IF(O2752&lt;&gt;원인분석!$C$9,"",IF(AND(M2752&gt;=원인분석!$C$10,M2752&lt;=원인분석!$C$11),"당기",IF(AND(M2752&gt;=원인분석!$C$12,M2752&lt;=원인분석!$C$13),"비교",""))))</f>
        <v/>
      </c>
      <c r="R2752" s="9">
        <f>IF(Q2752="","",$K2752&amp;"")</f>
        <v/>
      </c>
      <c r="S2752" s="9">
        <f>IF(Q2752="","",IF(MATCH(R2752,$R$5:$R$100000,0)=ROW()-4,ROW(),""))</f>
        <v/>
      </c>
      <c r="T2752" s="9">
        <f>IF(Q2752="당기",ABS(P2752)+ROW()/1000000000,"")</f>
        <v/>
      </c>
      <c r="U2752" s="9">
        <f>IF(Q2752="비교",ABS(P2752)+ROW()/1000000000,"")</f>
        <v/>
      </c>
      <c r="V2752" s="64">
        <f>IF($A2752="","",IF(COUNTIF(변동분석!$E$7:$E$506,O2752)&gt;0,"Y","N"))</f>
        <v/>
      </c>
      <c r="W2752" s="64">
        <f>IF($A2752="","",IFERROR(INDEX(계정매핑!$D$5:$D$504,MATCH($F2752&amp;"",계정매핑!$A$5:$A$504,0)),"미매핑"))</f>
        <v/>
      </c>
      <c r="X2752" s="9">
        <f>IF($A2752="","",$F2752&amp;"")</f>
        <v/>
      </c>
      <c r="Y2752" s="94">
        <f>IF($A2752="",0,IF(AE2752="직접",IF(AF2752="비귀속",$P2752,0),$P2752*(1-AG2752)*IFERROR(INDEX(계정대체기준!$F$20:$F$49,MATCH($N2752,계정대체기준!$A$20:$A$49,0)),1)))</f>
        <v/>
      </c>
      <c r="Z2752" s="94">
        <f>IF($A2752="",0,IF(AE2752="직접",IF(AF2752="신계약비",$P2752,0),$P2752*(1-AG2752)*IFERROR(INDEX(계정대체기준!$C$20:$C$49,MATCH($N2752,계정대체기준!$A$20:$A$49,0)),0)))</f>
        <v/>
      </c>
      <c r="AA2752" s="94">
        <f>IF($A2752="",0,IF(AE2752="직접",IF(OR(AF2752="유지비",AF2752="손해조사비"),$P2752,0),$P2752*(1-AG2752)*IFERROR(INDEX(계정대체기준!$D$20:$D$49,MATCH($N2752,계정대체기준!$A$20:$A$49,0)),0)))</f>
        <v/>
      </c>
      <c r="AB2752" s="94">
        <f>IF($A2752="",0,IF(AE2752="직접",IF(AF2752="수금비",$P2752,0),$P2752*(1-AG2752)*IFERROR(INDEX(계정대체기준!$E$20:$E$49,MATCH($N2752,계정대체기준!$A$20:$A$49,0)),0)))</f>
        <v/>
      </c>
      <c r="AC2752" s="9">
        <f>IF(AND($A2752&lt;&gt;"",M2752=설정!$C$20,Z2752&gt;0),Z2752+ROW()/1000000000,"")</f>
        <v/>
      </c>
      <c r="AD2752" s="94">
        <f>IF($A2752="",0,$P2752*AG2752)</f>
        <v/>
      </c>
      <c r="AE2752" s="64">
        <f>IF($A2752="","",IFERROR(INDEX(계정매핑!$E$5:$E$504,MATCH($F2752&amp;"",계정매핑!$A$5:$A$504,0))&amp;"","공통비"))</f>
        <v/>
      </c>
      <c r="AF2752" s="64">
        <f>IF($A2752="","",IF(AE2752="직접",IFERROR(INDEX(계정매핑!$F$5:$F$504,MATCH($F2752&amp;"",계정매핑!$A$5:$A$504,0))&amp;"","비귀속"),""))</f>
        <v/>
      </c>
      <c r="AG2752" s="96">
        <f>IF($A2752="",0,IF(AND(AE2752&lt;&gt;"직접",IFERROR(INDEX(계정매핑!$G$5:$G$504,MATCH($F2752&amp;"",계정매핑!$A$5:$A$504,0))&amp;"","")="유지비",COUNTIF(계정대체기준!$A$6:$A$15,$N2752)&gt;0),IFERROR(INDEX(계정대체기준!$E$6:$E$15,MATCH(VALUE($A2752&amp;""),계정대체기준!$D$6:$D$15,0)),0),0))</f>
        <v/>
      </c>
      <c r="AH2752" s="64">
        <f>IF($A2752="","",IF(AD2752=0,"",IF(OR(COUNTIF(계정대체기준!$A$77:$A$86,$N2752)&gt;0,ISNUMBER(MATCH($X2752,계정대체기준!$D$77:$D$86,0)),ISNUMBER(MATCH($F2752,계정대체기준!$D$77:$D$86,0))),"Y","N")))</f>
        <v/>
      </c>
    </row>
    <row r="2753">
      <c r="A2753" s="92" t="n">
        <v>2026</v>
      </c>
      <c r="B2753" s="92" t="n">
        <v>1</v>
      </c>
      <c r="C2753" s="92" t="inlineStr">
        <is>
          <t>5100000031</t>
        </is>
      </c>
      <c r="D2753" s="95" t="n">
        <v>46027</v>
      </c>
      <c r="E2753" s="92" t="inlineStr">
        <is>
          <t>KR</t>
        </is>
      </c>
      <c r="F2753" s="92" t="n">
        <v>62802000</v>
      </c>
      <c r="G2753" s="92" t="n">
        <v>1301</v>
      </c>
      <c r="H2753" s="93" t="n">
        <v>3308000</v>
      </c>
      <c r="I2753" s="92" t="inlineStr">
        <is>
          <t>1월 위탁교육 - I교육원</t>
        </is>
      </c>
      <c r="J2753" s="92" t="inlineStr">
        <is>
          <t>V10019</t>
        </is>
      </c>
      <c r="K2753" s="92" t="inlineStr">
        <is>
          <t>I교육원</t>
        </is>
      </c>
      <c r="M2753" s="9">
        <f>IF($A2753="","",VALUE($A2753&amp;"")*12+VALUE($B2753&amp;""))</f>
        <v/>
      </c>
      <c r="N2753" s="64">
        <f>IF($A2753="","",IFERROR(INDEX(부서매핑!$C$5:$C$504,MATCH($G2753&amp;"",부서매핑!$A$5:$A$504,0)),"미매핑"))</f>
        <v/>
      </c>
      <c r="O2753" s="9">
        <f>IF($A2753="","",N2753&amp;"|"&amp;$F2753)</f>
        <v/>
      </c>
      <c r="P2753" s="94">
        <f>IF($A2753="",0,$H2753*설정!$C$23)</f>
        <v/>
      </c>
      <c r="Q2753" s="64">
        <f>IF($A2753="","",IF(O2753&lt;&gt;원인분석!$C$9,"",IF(AND(M2753&gt;=원인분석!$C$10,M2753&lt;=원인분석!$C$11),"당기",IF(AND(M2753&gt;=원인분석!$C$12,M2753&lt;=원인분석!$C$13),"비교",""))))</f>
        <v/>
      </c>
      <c r="R2753" s="9">
        <f>IF(Q2753="","",$K2753&amp;"")</f>
        <v/>
      </c>
      <c r="S2753" s="9">
        <f>IF(Q2753="","",IF(MATCH(R2753,$R$5:$R$100000,0)=ROW()-4,ROW(),""))</f>
        <v/>
      </c>
      <c r="T2753" s="9">
        <f>IF(Q2753="당기",ABS(P2753)+ROW()/1000000000,"")</f>
        <v/>
      </c>
      <c r="U2753" s="9">
        <f>IF(Q2753="비교",ABS(P2753)+ROW()/1000000000,"")</f>
        <v/>
      </c>
      <c r="V2753" s="64">
        <f>IF($A2753="","",IF(COUNTIF(변동분석!$E$7:$E$506,O2753)&gt;0,"Y","N"))</f>
        <v/>
      </c>
      <c r="W2753" s="64">
        <f>IF($A2753="","",IFERROR(INDEX(계정매핑!$D$5:$D$504,MATCH($F2753&amp;"",계정매핑!$A$5:$A$504,0)),"미매핑"))</f>
        <v/>
      </c>
      <c r="X2753" s="9">
        <f>IF($A2753="","",$F2753&amp;"")</f>
        <v/>
      </c>
      <c r="Y2753" s="94">
        <f>IF($A2753="",0,IF(AE2753="직접",IF(AF2753="비귀속",$P2753,0),$P2753*(1-AG2753)*IFERROR(INDEX(계정대체기준!$F$20:$F$49,MATCH($N2753,계정대체기준!$A$20:$A$49,0)),1)))</f>
        <v/>
      </c>
      <c r="Z2753" s="94">
        <f>IF($A2753="",0,IF(AE2753="직접",IF(AF2753="신계약비",$P2753,0),$P2753*(1-AG2753)*IFERROR(INDEX(계정대체기준!$C$20:$C$49,MATCH($N2753,계정대체기준!$A$20:$A$49,0)),0)))</f>
        <v/>
      </c>
      <c r="AA2753" s="94">
        <f>IF($A2753="",0,IF(AE2753="직접",IF(OR(AF2753="유지비",AF2753="손해조사비"),$P2753,0),$P2753*(1-AG2753)*IFERROR(INDEX(계정대체기준!$D$20:$D$49,MATCH($N2753,계정대체기준!$A$20:$A$49,0)),0)))</f>
        <v/>
      </c>
      <c r="AB2753" s="94">
        <f>IF($A2753="",0,IF(AE2753="직접",IF(AF2753="수금비",$P2753,0),$P2753*(1-AG2753)*IFERROR(INDEX(계정대체기준!$E$20:$E$49,MATCH($N2753,계정대체기준!$A$20:$A$49,0)),0)))</f>
        <v/>
      </c>
      <c r="AC2753" s="9">
        <f>IF(AND($A2753&lt;&gt;"",M2753=설정!$C$20,Z2753&gt;0),Z2753+ROW()/1000000000,"")</f>
        <v/>
      </c>
      <c r="AD2753" s="94">
        <f>IF($A2753="",0,$P2753*AG2753)</f>
        <v/>
      </c>
      <c r="AE2753" s="64">
        <f>IF($A2753="","",IFERROR(INDEX(계정매핑!$E$5:$E$504,MATCH($F2753&amp;"",계정매핑!$A$5:$A$504,0))&amp;"","공통비"))</f>
        <v/>
      </c>
      <c r="AF2753" s="64">
        <f>IF($A2753="","",IF(AE2753="직접",IFERROR(INDEX(계정매핑!$F$5:$F$504,MATCH($F2753&amp;"",계정매핑!$A$5:$A$504,0))&amp;"","비귀속"),""))</f>
        <v/>
      </c>
      <c r="AG2753" s="96">
        <f>IF($A2753="",0,IF(AND(AE2753&lt;&gt;"직접",IFERROR(INDEX(계정매핑!$G$5:$G$504,MATCH($F2753&amp;"",계정매핑!$A$5:$A$504,0))&amp;"","")="유지비",COUNTIF(계정대체기준!$A$6:$A$15,$N2753)&gt;0),IFERROR(INDEX(계정대체기준!$E$6:$E$15,MATCH(VALUE($A2753&amp;""),계정대체기준!$D$6:$D$15,0)),0),0))</f>
        <v/>
      </c>
      <c r="AH2753" s="64">
        <f>IF($A2753="","",IF(AD2753=0,"",IF(OR(COUNTIF(계정대체기준!$A$77:$A$86,$N2753)&gt;0,ISNUMBER(MATCH($X2753,계정대체기준!$D$77:$D$86,0)),ISNUMBER(MATCH($F2753,계정대체기준!$D$77:$D$86,0))),"Y","N")))</f>
        <v/>
      </c>
    </row>
    <row r="2754">
      <c r="A2754" s="92" t="n">
        <v>2026</v>
      </c>
      <c r="B2754" s="92" t="n">
        <v>1</v>
      </c>
      <c r="C2754" s="92" t="inlineStr">
        <is>
          <t>5100000032</t>
        </is>
      </c>
      <c r="D2754" s="95" t="n">
        <v>46027</v>
      </c>
      <c r="E2754" s="92" t="inlineStr">
        <is>
          <t>KR</t>
        </is>
      </c>
      <c r="F2754" s="92" t="n">
        <v>62901000</v>
      </c>
      <c r="G2754" s="92" t="n">
        <v>1101</v>
      </c>
      <c r="H2754" s="93" t="n">
        <v>2783000</v>
      </c>
      <c r="I2754" s="92" t="inlineStr">
        <is>
          <t>1월 자문 수수료 - K회계법인</t>
        </is>
      </c>
      <c r="J2754" s="92" t="inlineStr">
        <is>
          <t>V10011</t>
        </is>
      </c>
      <c r="K2754" s="92" t="inlineStr">
        <is>
          <t>K회계법인</t>
        </is>
      </c>
      <c r="M2754" s="9">
        <f>IF($A2754="","",VALUE($A2754&amp;"")*12+VALUE($B2754&amp;""))</f>
        <v/>
      </c>
      <c r="N2754" s="64">
        <f>IF($A2754="","",IFERROR(INDEX(부서매핑!$C$5:$C$504,MATCH($G2754&amp;"",부서매핑!$A$5:$A$504,0)),"미매핑"))</f>
        <v/>
      </c>
      <c r="O2754" s="9">
        <f>IF($A2754="","",N2754&amp;"|"&amp;$F2754)</f>
        <v/>
      </c>
      <c r="P2754" s="94">
        <f>IF($A2754="",0,$H2754*설정!$C$23)</f>
        <v/>
      </c>
      <c r="Q2754" s="64">
        <f>IF($A2754="","",IF(O2754&lt;&gt;원인분석!$C$9,"",IF(AND(M2754&gt;=원인분석!$C$10,M2754&lt;=원인분석!$C$11),"당기",IF(AND(M2754&gt;=원인분석!$C$12,M2754&lt;=원인분석!$C$13),"비교",""))))</f>
        <v/>
      </c>
      <c r="R2754" s="9">
        <f>IF(Q2754="","",$K2754&amp;"")</f>
        <v/>
      </c>
      <c r="S2754" s="9">
        <f>IF(Q2754="","",IF(MATCH(R2754,$R$5:$R$100000,0)=ROW()-4,ROW(),""))</f>
        <v/>
      </c>
      <c r="T2754" s="9">
        <f>IF(Q2754="당기",ABS(P2754)+ROW()/1000000000,"")</f>
        <v/>
      </c>
      <c r="U2754" s="9">
        <f>IF(Q2754="비교",ABS(P2754)+ROW()/1000000000,"")</f>
        <v/>
      </c>
      <c r="V2754" s="64">
        <f>IF($A2754="","",IF(COUNTIF(변동분석!$E$7:$E$506,O2754)&gt;0,"Y","N"))</f>
        <v/>
      </c>
      <c r="W2754" s="64">
        <f>IF($A2754="","",IFERROR(INDEX(계정매핑!$D$5:$D$504,MATCH($F2754&amp;"",계정매핑!$A$5:$A$504,0)),"미매핑"))</f>
        <v/>
      </c>
      <c r="X2754" s="9">
        <f>IF($A2754="","",$F2754&amp;"")</f>
        <v/>
      </c>
      <c r="Y2754" s="94">
        <f>IF($A2754="",0,IF(AE2754="직접",IF(AF2754="비귀속",$P2754,0),$P2754*(1-AG2754)*IFERROR(INDEX(계정대체기준!$F$20:$F$49,MATCH($N2754,계정대체기준!$A$20:$A$49,0)),1)))</f>
        <v/>
      </c>
      <c r="Z2754" s="94">
        <f>IF($A2754="",0,IF(AE2754="직접",IF(AF2754="신계약비",$P2754,0),$P2754*(1-AG2754)*IFERROR(INDEX(계정대체기준!$C$20:$C$49,MATCH($N2754,계정대체기준!$A$20:$A$49,0)),0)))</f>
        <v/>
      </c>
      <c r="AA2754" s="94">
        <f>IF($A2754="",0,IF(AE2754="직접",IF(OR(AF2754="유지비",AF2754="손해조사비"),$P2754,0),$P2754*(1-AG2754)*IFERROR(INDEX(계정대체기준!$D$20:$D$49,MATCH($N2754,계정대체기준!$A$20:$A$49,0)),0)))</f>
        <v/>
      </c>
      <c r="AB2754" s="94">
        <f>IF($A2754="",0,IF(AE2754="직접",IF(AF2754="수금비",$P2754,0),$P2754*(1-AG2754)*IFERROR(INDEX(계정대체기준!$E$20:$E$49,MATCH($N2754,계정대체기준!$A$20:$A$49,0)),0)))</f>
        <v/>
      </c>
      <c r="AC2754" s="9">
        <f>IF(AND($A2754&lt;&gt;"",M2754=설정!$C$20,Z2754&gt;0),Z2754+ROW()/1000000000,"")</f>
        <v/>
      </c>
      <c r="AD2754" s="94">
        <f>IF($A2754="",0,$P2754*AG2754)</f>
        <v/>
      </c>
      <c r="AE2754" s="64">
        <f>IF($A2754="","",IFERROR(INDEX(계정매핑!$E$5:$E$504,MATCH($F2754&amp;"",계정매핑!$A$5:$A$504,0))&amp;"","공통비"))</f>
        <v/>
      </c>
      <c r="AF2754" s="64">
        <f>IF($A2754="","",IF(AE2754="직접",IFERROR(INDEX(계정매핑!$F$5:$F$504,MATCH($F2754&amp;"",계정매핑!$A$5:$A$504,0))&amp;"","비귀속"),""))</f>
        <v/>
      </c>
      <c r="AG2754" s="96">
        <f>IF($A2754="",0,IF(AND(AE2754&lt;&gt;"직접",IFERROR(INDEX(계정매핑!$G$5:$G$504,MATCH($F2754&amp;"",계정매핑!$A$5:$A$504,0))&amp;"","")="유지비",COUNTIF(계정대체기준!$A$6:$A$15,$N2754)&gt;0),IFERROR(INDEX(계정대체기준!$E$6:$E$15,MATCH(VALUE($A2754&amp;""),계정대체기준!$D$6:$D$15,0)),0),0))</f>
        <v/>
      </c>
      <c r="AH2754" s="64">
        <f>IF($A2754="","",IF(AD2754=0,"",IF(OR(COUNTIF(계정대체기준!$A$77:$A$86,$N2754)&gt;0,ISNUMBER(MATCH($X2754,계정대체기준!$D$77:$D$86,0)),ISNUMBER(MATCH($F2754,계정대체기준!$D$77:$D$86,0))),"Y","N")))</f>
        <v/>
      </c>
    </row>
    <row r="2755">
      <c r="A2755" s="92" t="n">
        <v>2026</v>
      </c>
      <c r="B2755" s="92" t="n">
        <v>1</v>
      </c>
      <c r="C2755" s="92" t="inlineStr">
        <is>
          <t>5100000033</t>
        </is>
      </c>
      <c r="D2755" s="95" t="n">
        <v>46027</v>
      </c>
      <c r="E2755" s="92" t="inlineStr">
        <is>
          <t>KR</t>
        </is>
      </c>
      <c r="F2755" s="92" t="n">
        <v>62902000</v>
      </c>
      <c r="G2755" s="92" t="n">
        <v>1201</v>
      </c>
      <c r="H2755" s="93" t="n">
        <v>4096000</v>
      </c>
      <c r="I2755" s="92" t="inlineStr">
        <is>
          <t>1월 업무 위탁 수수료 - J콜센터</t>
        </is>
      </c>
      <c r="J2755" s="92" t="inlineStr">
        <is>
          <t>V10016</t>
        </is>
      </c>
      <c r="K2755" s="92" t="inlineStr">
        <is>
          <t>J콜센터</t>
        </is>
      </c>
      <c r="M2755" s="9">
        <f>IF($A2755="","",VALUE($A2755&amp;"")*12+VALUE($B2755&amp;""))</f>
        <v/>
      </c>
      <c r="N2755" s="64">
        <f>IF($A2755="","",IFERROR(INDEX(부서매핑!$C$5:$C$504,MATCH($G2755&amp;"",부서매핑!$A$5:$A$504,0)),"미매핑"))</f>
        <v/>
      </c>
      <c r="O2755" s="9">
        <f>IF($A2755="","",N2755&amp;"|"&amp;$F2755)</f>
        <v/>
      </c>
      <c r="P2755" s="94">
        <f>IF($A2755="",0,$H2755*설정!$C$23)</f>
        <v/>
      </c>
      <c r="Q2755" s="64">
        <f>IF($A2755="","",IF(O2755&lt;&gt;원인분석!$C$9,"",IF(AND(M2755&gt;=원인분석!$C$10,M2755&lt;=원인분석!$C$11),"당기",IF(AND(M2755&gt;=원인분석!$C$12,M2755&lt;=원인분석!$C$13),"비교",""))))</f>
        <v/>
      </c>
      <c r="R2755" s="9">
        <f>IF(Q2755="","",$K2755&amp;"")</f>
        <v/>
      </c>
      <c r="S2755" s="9">
        <f>IF(Q2755="","",IF(MATCH(R2755,$R$5:$R$100000,0)=ROW()-4,ROW(),""))</f>
        <v/>
      </c>
      <c r="T2755" s="9">
        <f>IF(Q2755="당기",ABS(P2755)+ROW()/1000000000,"")</f>
        <v/>
      </c>
      <c r="U2755" s="9">
        <f>IF(Q2755="비교",ABS(P2755)+ROW()/1000000000,"")</f>
        <v/>
      </c>
      <c r="V2755" s="64">
        <f>IF($A2755="","",IF(COUNTIF(변동분석!$E$7:$E$506,O2755)&gt;0,"Y","N"))</f>
        <v/>
      </c>
      <c r="W2755" s="64">
        <f>IF($A2755="","",IFERROR(INDEX(계정매핑!$D$5:$D$504,MATCH($F2755&amp;"",계정매핑!$A$5:$A$504,0)),"미매핑"))</f>
        <v/>
      </c>
      <c r="X2755" s="9">
        <f>IF($A2755="","",$F2755&amp;"")</f>
        <v/>
      </c>
      <c r="Y2755" s="94">
        <f>IF($A2755="",0,IF(AE2755="직접",IF(AF2755="비귀속",$P2755,0),$P2755*(1-AG2755)*IFERROR(INDEX(계정대체기준!$F$20:$F$49,MATCH($N2755,계정대체기준!$A$20:$A$49,0)),1)))</f>
        <v/>
      </c>
      <c r="Z2755" s="94">
        <f>IF($A2755="",0,IF(AE2755="직접",IF(AF2755="신계약비",$P2755,0),$P2755*(1-AG2755)*IFERROR(INDEX(계정대체기준!$C$20:$C$49,MATCH($N2755,계정대체기준!$A$20:$A$49,0)),0)))</f>
        <v/>
      </c>
      <c r="AA2755" s="94">
        <f>IF($A2755="",0,IF(AE2755="직접",IF(OR(AF2755="유지비",AF2755="손해조사비"),$P2755,0),$P2755*(1-AG2755)*IFERROR(INDEX(계정대체기준!$D$20:$D$49,MATCH($N2755,계정대체기준!$A$20:$A$49,0)),0)))</f>
        <v/>
      </c>
      <c r="AB2755" s="94">
        <f>IF($A2755="",0,IF(AE2755="직접",IF(AF2755="수금비",$P2755,0),$P2755*(1-AG2755)*IFERROR(INDEX(계정대체기준!$E$20:$E$49,MATCH($N2755,계정대체기준!$A$20:$A$49,0)),0)))</f>
        <v/>
      </c>
      <c r="AC2755" s="9">
        <f>IF(AND($A2755&lt;&gt;"",M2755=설정!$C$20,Z2755&gt;0),Z2755+ROW()/1000000000,"")</f>
        <v/>
      </c>
      <c r="AD2755" s="94">
        <f>IF($A2755="",0,$P2755*AG2755)</f>
        <v/>
      </c>
      <c r="AE2755" s="64">
        <f>IF($A2755="","",IFERROR(INDEX(계정매핑!$E$5:$E$504,MATCH($F2755&amp;"",계정매핑!$A$5:$A$504,0))&amp;"","공통비"))</f>
        <v/>
      </c>
      <c r="AF2755" s="64">
        <f>IF($A2755="","",IF(AE2755="직접",IFERROR(INDEX(계정매핑!$F$5:$F$504,MATCH($F2755&amp;"",계정매핑!$A$5:$A$504,0))&amp;"","비귀속"),""))</f>
        <v/>
      </c>
      <c r="AG2755" s="96">
        <f>IF($A2755="",0,IF(AND(AE2755&lt;&gt;"직접",IFERROR(INDEX(계정매핑!$G$5:$G$504,MATCH($F2755&amp;"",계정매핑!$A$5:$A$504,0))&amp;"","")="유지비",COUNTIF(계정대체기준!$A$6:$A$15,$N2755)&gt;0),IFERROR(INDEX(계정대체기준!$E$6:$E$15,MATCH(VALUE($A2755&amp;""),계정대체기준!$D$6:$D$15,0)),0),0))</f>
        <v/>
      </c>
      <c r="AH2755" s="64">
        <f>IF($A2755="","",IF(AD2755=0,"",IF(OR(COUNTIF(계정대체기준!$A$77:$A$86,$N2755)&gt;0,ISNUMBER(MATCH($X2755,계정대체기준!$D$77:$D$86,0)),ISNUMBER(MATCH($F2755,계정대체기준!$D$77:$D$86,0))),"Y","N")))</f>
        <v/>
      </c>
    </row>
    <row r="2756">
      <c r="A2756" s="92" t="n">
        <v>2026</v>
      </c>
      <c r="B2756" s="92" t="n">
        <v>1</v>
      </c>
      <c r="C2756" s="92" t="inlineStr">
        <is>
          <t>5100000034</t>
        </is>
      </c>
      <c r="D2756" s="95" t="n">
        <v>46027</v>
      </c>
      <c r="E2756" s="92" t="inlineStr">
        <is>
          <t>KR</t>
        </is>
      </c>
      <c r="F2756" s="92" t="n">
        <v>63101000</v>
      </c>
      <c r="G2756" s="92" t="n">
        <v>1601</v>
      </c>
      <c r="H2756" s="93" t="n">
        <v>5706000</v>
      </c>
      <c r="I2756" s="92" t="inlineStr">
        <is>
          <t>1월 사무실 임차료 - AA빌딩</t>
        </is>
      </c>
      <c r="J2756" s="92" t="inlineStr">
        <is>
          <t>V10007</t>
        </is>
      </c>
      <c r="K2756" s="92" t="inlineStr">
        <is>
          <t>AA빌딩</t>
        </is>
      </c>
      <c r="M2756" s="9">
        <f>IF($A2756="","",VALUE($A2756&amp;"")*12+VALUE($B2756&amp;""))</f>
        <v/>
      </c>
      <c r="N2756" s="64">
        <f>IF($A2756="","",IFERROR(INDEX(부서매핑!$C$5:$C$504,MATCH($G2756&amp;"",부서매핑!$A$5:$A$504,0)),"미매핑"))</f>
        <v/>
      </c>
      <c r="O2756" s="9">
        <f>IF($A2756="","",N2756&amp;"|"&amp;$F2756)</f>
        <v/>
      </c>
      <c r="P2756" s="94">
        <f>IF($A2756="",0,$H2756*설정!$C$23)</f>
        <v/>
      </c>
      <c r="Q2756" s="64">
        <f>IF($A2756="","",IF(O2756&lt;&gt;원인분석!$C$9,"",IF(AND(M2756&gt;=원인분석!$C$10,M2756&lt;=원인분석!$C$11),"당기",IF(AND(M2756&gt;=원인분석!$C$12,M2756&lt;=원인분석!$C$13),"비교",""))))</f>
        <v/>
      </c>
      <c r="R2756" s="9">
        <f>IF(Q2756="","",$K2756&amp;"")</f>
        <v/>
      </c>
      <c r="S2756" s="9">
        <f>IF(Q2756="","",IF(MATCH(R2756,$R$5:$R$100000,0)=ROW()-4,ROW(),""))</f>
        <v/>
      </c>
      <c r="T2756" s="9">
        <f>IF(Q2756="당기",ABS(P2756)+ROW()/1000000000,"")</f>
        <v/>
      </c>
      <c r="U2756" s="9">
        <f>IF(Q2756="비교",ABS(P2756)+ROW()/1000000000,"")</f>
        <v/>
      </c>
      <c r="V2756" s="64">
        <f>IF($A2756="","",IF(COUNTIF(변동분석!$E$7:$E$506,O2756)&gt;0,"Y","N"))</f>
        <v/>
      </c>
      <c r="W2756" s="64">
        <f>IF($A2756="","",IFERROR(INDEX(계정매핑!$D$5:$D$504,MATCH($F2756&amp;"",계정매핑!$A$5:$A$504,0)),"미매핑"))</f>
        <v/>
      </c>
      <c r="X2756" s="9">
        <f>IF($A2756="","",$F2756&amp;"")</f>
        <v/>
      </c>
      <c r="Y2756" s="94">
        <f>IF($A2756="",0,IF(AE2756="직접",IF(AF2756="비귀속",$P2756,0),$P2756*(1-AG2756)*IFERROR(INDEX(계정대체기준!$F$20:$F$49,MATCH($N2756,계정대체기준!$A$20:$A$49,0)),1)))</f>
        <v/>
      </c>
      <c r="Z2756" s="94">
        <f>IF($A2756="",0,IF(AE2756="직접",IF(AF2756="신계약비",$P2756,0),$P2756*(1-AG2756)*IFERROR(INDEX(계정대체기준!$C$20:$C$49,MATCH($N2756,계정대체기준!$A$20:$A$49,0)),0)))</f>
        <v/>
      </c>
      <c r="AA2756" s="94">
        <f>IF($A2756="",0,IF(AE2756="직접",IF(OR(AF2756="유지비",AF2756="손해조사비"),$P2756,0),$P2756*(1-AG2756)*IFERROR(INDEX(계정대체기준!$D$20:$D$49,MATCH($N2756,계정대체기준!$A$20:$A$49,0)),0)))</f>
        <v/>
      </c>
      <c r="AB2756" s="94">
        <f>IF($A2756="",0,IF(AE2756="직접",IF(AF2756="수금비",$P2756,0),$P2756*(1-AG2756)*IFERROR(INDEX(계정대체기준!$E$20:$E$49,MATCH($N2756,계정대체기준!$A$20:$A$49,0)),0)))</f>
        <v/>
      </c>
      <c r="AC2756" s="9">
        <f>IF(AND($A2756&lt;&gt;"",M2756=설정!$C$20,Z2756&gt;0),Z2756+ROW()/1000000000,"")</f>
        <v/>
      </c>
      <c r="AD2756" s="94">
        <f>IF($A2756="",0,$P2756*AG2756)</f>
        <v/>
      </c>
      <c r="AE2756" s="64">
        <f>IF($A2756="","",IFERROR(INDEX(계정매핑!$E$5:$E$504,MATCH($F2756&amp;"",계정매핑!$A$5:$A$504,0))&amp;"","공통비"))</f>
        <v/>
      </c>
      <c r="AF2756" s="64">
        <f>IF($A2756="","",IF(AE2756="직접",IFERROR(INDEX(계정매핑!$F$5:$F$504,MATCH($F2756&amp;"",계정매핑!$A$5:$A$504,0))&amp;"","비귀속"),""))</f>
        <v/>
      </c>
      <c r="AG2756" s="96">
        <f>IF($A2756="",0,IF(AND(AE2756&lt;&gt;"직접",IFERROR(INDEX(계정매핑!$G$5:$G$504,MATCH($F2756&amp;"",계정매핑!$A$5:$A$504,0))&amp;"","")="유지비",COUNTIF(계정대체기준!$A$6:$A$15,$N2756)&gt;0),IFERROR(INDEX(계정대체기준!$E$6:$E$15,MATCH(VALUE($A2756&amp;""),계정대체기준!$D$6:$D$15,0)),0),0))</f>
        <v/>
      </c>
      <c r="AH2756" s="64">
        <f>IF($A2756="","",IF(AD2756=0,"",IF(OR(COUNTIF(계정대체기준!$A$77:$A$86,$N2756)&gt;0,ISNUMBER(MATCH($X2756,계정대체기준!$D$77:$D$86,0)),ISNUMBER(MATCH($F2756,계정대체기준!$D$77:$D$86,0))),"Y","N")))</f>
        <v/>
      </c>
    </row>
    <row r="2757">
      <c r="A2757" s="92" t="n">
        <v>2026</v>
      </c>
      <c r="B2757" s="92" t="n">
        <v>1</v>
      </c>
      <c r="C2757" s="92" t="inlineStr">
        <is>
          <t>5100000035</t>
        </is>
      </c>
      <c r="D2757" s="95" t="n">
        <v>46028</v>
      </c>
      <c r="E2757" s="92" t="inlineStr">
        <is>
          <t>KR</t>
        </is>
      </c>
      <c r="F2757" s="92" t="n">
        <v>62101000</v>
      </c>
      <c r="G2757" s="92" t="n">
        <v>1501</v>
      </c>
      <c r="H2757" s="93" t="n">
        <v>630000</v>
      </c>
      <c r="I2757" s="92" t="inlineStr">
        <is>
          <t>1월 국내출장 - L여행사</t>
        </is>
      </c>
      <c r="J2757" s="92" t="inlineStr">
        <is>
          <t>V10018</t>
        </is>
      </c>
      <c r="K2757" s="92" t="inlineStr">
        <is>
          <t>L여행사</t>
        </is>
      </c>
      <c r="M2757" s="9">
        <f>IF($A2757="","",VALUE($A2757&amp;"")*12+VALUE($B2757&amp;""))</f>
        <v/>
      </c>
      <c r="N2757" s="64">
        <f>IF($A2757="","",IFERROR(INDEX(부서매핑!$C$5:$C$504,MATCH($G2757&amp;"",부서매핑!$A$5:$A$504,0)),"미매핑"))</f>
        <v/>
      </c>
      <c r="O2757" s="9">
        <f>IF($A2757="","",N2757&amp;"|"&amp;$F2757)</f>
        <v/>
      </c>
      <c r="P2757" s="94">
        <f>IF($A2757="",0,$H2757*설정!$C$23)</f>
        <v/>
      </c>
      <c r="Q2757" s="64">
        <f>IF($A2757="","",IF(O2757&lt;&gt;원인분석!$C$9,"",IF(AND(M2757&gt;=원인분석!$C$10,M2757&lt;=원인분석!$C$11),"당기",IF(AND(M2757&gt;=원인분석!$C$12,M2757&lt;=원인분석!$C$13),"비교",""))))</f>
        <v/>
      </c>
      <c r="R2757" s="9">
        <f>IF(Q2757="","",$K2757&amp;"")</f>
        <v/>
      </c>
      <c r="S2757" s="9">
        <f>IF(Q2757="","",IF(MATCH(R2757,$R$5:$R$100000,0)=ROW()-4,ROW(),""))</f>
        <v/>
      </c>
      <c r="T2757" s="9">
        <f>IF(Q2757="당기",ABS(P2757)+ROW()/1000000000,"")</f>
        <v/>
      </c>
      <c r="U2757" s="9">
        <f>IF(Q2757="비교",ABS(P2757)+ROW()/1000000000,"")</f>
        <v/>
      </c>
      <c r="V2757" s="64">
        <f>IF($A2757="","",IF(COUNTIF(변동분석!$E$7:$E$506,O2757)&gt;0,"Y","N"))</f>
        <v/>
      </c>
      <c r="W2757" s="64">
        <f>IF($A2757="","",IFERROR(INDEX(계정매핑!$D$5:$D$504,MATCH($F2757&amp;"",계정매핑!$A$5:$A$504,0)),"미매핑"))</f>
        <v/>
      </c>
      <c r="X2757" s="9">
        <f>IF($A2757="","",$F2757&amp;"")</f>
        <v/>
      </c>
      <c r="Y2757" s="94">
        <f>IF($A2757="",0,IF(AE2757="직접",IF(AF2757="비귀속",$P2757,0),$P2757*(1-AG2757)*IFERROR(INDEX(계정대체기준!$F$20:$F$49,MATCH($N2757,계정대체기준!$A$20:$A$49,0)),1)))</f>
        <v/>
      </c>
      <c r="Z2757" s="94">
        <f>IF($A2757="",0,IF(AE2757="직접",IF(AF2757="신계약비",$P2757,0),$P2757*(1-AG2757)*IFERROR(INDEX(계정대체기준!$C$20:$C$49,MATCH($N2757,계정대체기준!$A$20:$A$49,0)),0)))</f>
        <v/>
      </c>
      <c r="AA2757" s="94">
        <f>IF($A2757="",0,IF(AE2757="직접",IF(OR(AF2757="유지비",AF2757="손해조사비"),$P2757,0),$P2757*(1-AG2757)*IFERROR(INDEX(계정대체기준!$D$20:$D$49,MATCH($N2757,계정대체기준!$A$20:$A$49,0)),0)))</f>
        <v/>
      </c>
      <c r="AB2757" s="94">
        <f>IF($A2757="",0,IF(AE2757="직접",IF(AF2757="수금비",$P2757,0),$P2757*(1-AG2757)*IFERROR(INDEX(계정대체기준!$E$20:$E$49,MATCH($N2757,계정대체기준!$A$20:$A$49,0)),0)))</f>
        <v/>
      </c>
      <c r="AC2757" s="9">
        <f>IF(AND($A2757&lt;&gt;"",M2757=설정!$C$20,Z2757&gt;0),Z2757+ROW()/1000000000,"")</f>
        <v/>
      </c>
      <c r="AD2757" s="94">
        <f>IF($A2757="",0,$P2757*AG2757)</f>
        <v/>
      </c>
      <c r="AE2757" s="64">
        <f>IF($A2757="","",IFERROR(INDEX(계정매핑!$E$5:$E$504,MATCH($F2757&amp;"",계정매핑!$A$5:$A$504,0))&amp;"","공통비"))</f>
        <v/>
      </c>
      <c r="AF2757" s="64">
        <f>IF($A2757="","",IF(AE2757="직접",IFERROR(INDEX(계정매핑!$F$5:$F$504,MATCH($F2757&amp;"",계정매핑!$A$5:$A$504,0))&amp;"","비귀속"),""))</f>
        <v/>
      </c>
      <c r="AG2757" s="96">
        <f>IF($A2757="",0,IF(AND(AE2757&lt;&gt;"직접",IFERROR(INDEX(계정매핑!$G$5:$G$504,MATCH($F2757&amp;"",계정매핑!$A$5:$A$504,0))&amp;"","")="유지비",COUNTIF(계정대체기준!$A$6:$A$15,$N2757)&gt;0),IFERROR(INDEX(계정대체기준!$E$6:$E$15,MATCH(VALUE($A2757&amp;""),계정대체기준!$D$6:$D$15,0)),0),0))</f>
        <v/>
      </c>
      <c r="AH2757" s="64">
        <f>IF($A2757="","",IF(AD2757=0,"",IF(OR(COUNTIF(계정대체기준!$A$77:$A$86,$N2757)&gt;0,ISNUMBER(MATCH($X2757,계정대체기준!$D$77:$D$86,0)),ISNUMBER(MATCH($F2757,계정대체기준!$D$77:$D$86,0))),"Y","N")))</f>
        <v/>
      </c>
    </row>
    <row r="2758">
      <c r="A2758" s="92" t="n">
        <v>2026</v>
      </c>
      <c r="B2758" s="92" t="n">
        <v>1</v>
      </c>
      <c r="C2758" s="92" t="inlineStr">
        <is>
          <t>5100000036</t>
        </is>
      </c>
      <c r="D2758" s="95" t="n">
        <v>46028</v>
      </c>
      <c r="E2758" s="92" t="inlineStr">
        <is>
          <t>KR</t>
        </is>
      </c>
      <c r="F2758" s="92" t="n">
        <v>62201000</v>
      </c>
      <c r="G2758" s="92" t="n">
        <v>1101</v>
      </c>
      <c r="H2758" s="93" t="n">
        <v>248000</v>
      </c>
      <c r="I2758" s="92" t="inlineStr">
        <is>
          <t>1월 통신요금 - O텔레콤</t>
        </is>
      </c>
      <c r="J2758" s="92" t="inlineStr">
        <is>
          <t>V10002</t>
        </is>
      </c>
      <c r="K2758" s="92" t="inlineStr">
        <is>
          <t>O텔레콤</t>
        </is>
      </c>
      <c r="M2758" s="9">
        <f>IF($A2758="","",VALUE($A2758&amp;"")*12+VALUE($B2758&amp;""))</f>
        <v/>
      </c>
      <c r="N2758" s="64">
        <f>IF($A2758="","",IFERROR(INDEX(부서매핑!$C$5:$C$504,MATCH($G2758&amp;"",부서매핑!$A$5:$A$504,0)),"미매핑"))</f>
        <v/>
      </c>
      <c r="O2758" s="9">
        <f>IF($A2758="","",N2758&amp;"|"&amp;$F2758)</f>
        <v/>
      </c>
      <c r="P2758" s="94">
        <f>IF($A2758="",0,$H2758*설정!$C$23)</f>
        <v/>
      </c>
      <c r="Q2758" s="64">
        <f>IF($A2758="","",IF(O2758&lt;&gt;원인분석!$C$9,"",IF(AND(M2758&gt;=원인분석!$C$10,M2758&lt;=원인분석!$C$11),"당기",IF(AND(M2758&gt;=원인분석!$C$12,M2758&lt;=원인분석!$C$13),"비교",""))))</f>
        <v/>
      </c>
      <c r="R2758" s="9">
        <f>IF(Q2758="","",$K2758&amp;"")</f>
        <v/>
      </c>
      <c r="S2758" s="9">
        <f>IF(Q2758="","",IF(MATCH(R2758,$R$5:$R$100000,0)=ROW()-4,ROW(),""))</f>
        <v/>
      </c>
      <c r="T2758" s="9">
        <f>IF(Q2758="당기",ABS(P2758)+ROW()/1000000000,"")</f>
        <v/>
      </c>
      <c r="U2758" s="9">
        <f>IF(Q2758="비교",ABS(P2758)+ROW()/1000000000,"")</f>
        <v/>
      </c>
      <c r="V2758" s="64">
        <f>IF($A2758="","",IF(COUNTIF(변동분석!$E$7:$E$506,O2758)&gt;0,"Y","N"))</f>
        <v/>
      </c>
      <c r="W2758" s="64">
        <f>IF($A2758="","",IFERROR(INDEX(계정매핑!$D$5:$D$504,MATCH($F2758&amp;"",계정매핑!$A$5:$A$504,0)),"미매핑"))</f>
        <v/>
      </c>
      <c r="X2758" s="9">
        <f>IF($A2758="","",$F2758&amp;"")</f>
        <v/>
      </c>
      <c r="Y2758" s="94">
        <f>IF($A2758="",0,IF(AE2758="직접",IF(AF2758="비귀속",$P2758,0),$P2758*(1-AG2758)*IFERROR(INDEX(계정대체기준!$F$20:$F$49,MATCH($N2758,계정대체기준!$A$20:$A$49,0)),1)))</f>
        <v/>
      </c>
      <c r="Z2758" s="94">
        <f>IF($A2758="",0,IF(AE2758="직접",IF(AF2758="신계약비",$P2758,0),$P2758*(1-AG2758)*IFERROR(INDEX(계정대체기준!$C$20:$C$49,MATCH($N2758,계정대체기준!$A$20:$A$49,0)),0)))</f>
        <v/>
      </c>
      <c r="AA2758" s="94">
        <f>IF($A2758="",0,IF(AE2758="직접",IF(OR(AF2758="유지비",AF2758="손해조사비"),$P2758,0),$P2758*(1-AG2758)*IFERROR(INDEX(계정대체기준!$D$20:$D$49,MATCH($N2758,계정대체기준!$A$20:$A$49,0)),0)))</f>
        <v/>
      </c>
      <c r="AB2758" s="94">
        <f>IF($A2758="",0,IF(AE2758="직접",IF(AF2758="수금비",$P2758,0),$P2758*(1-AG2758)*IFERROR(INDEX(계정대체기준!$E$20:$E$49,MATCH($N2758,계정대체기준!$A$20:$A$49,0)),0)))</f>
        <v/>
      </c>
      <c r="AC2758" s="9">
        <f>IF(AND($A2758&lt;&gt;"",M2758=설정!$C$20,Z2758&gt;0),Z2758+ROW()/1000000000,"")</f>
        <v/>
      </c>
      <c r="AD2758" s="94">
        <f>IF($A2758="",0,$P2758*AG2758)</f>
        <v/>
      </c>
      <c r="AE2758" s="64">
        <f>IF($A2758="","",IFERROR(INDEX(계정매핑!$E$5:$E$504,MATCH($F2758&amp;"",계정매핑!$A$5:$A$504,0))&amp;"","공통비"))</f>
        <v/>
      </c>
      <c r="AF2758" s="64">
        <f>IF($A2758="","",IF(AE2758="직접",IFERROR(INDEX(계정매핑!$F$5:$F$504,MATCH($F2758&amp;"",계정매핑!$A$5:$A$504,0))&amp;"","비귀속"),""))</f>
        <v/>
      </c>
      <c r="AG2758" s="96">
        <f>IF($A2758="",0,IF(AND(AE2758&lt;&gt;"직접",IFERROR(INDEX(계정매핑!$G$5:$G$504,MATCH($F2758&amp;"",계정매핑!$A$5:$A$504,0))&amp;"","")="유지비",COUNTIF(계정대체기준!$A$6:$A$15,$N2758)&gt;0),IFERROR(INDEX(계정대체기준!$E$6:$E$15,MATCH(VALUE($A2758&amp;""),계정대체기준!$D$6:$D$15,0)),0),0))</f>
        <v/>
      </c>
      <c r="AH2758" s="64">
        <f>IF($A2758="","",IF(AD2758=0,"",IF(OR(COUNTIF(계정대체기준!$A$77:$A$86,$N2758)&gt;0,ISNUMBER(MATCH($X2758,계정대체기준!$D$77:$D$86,0)),ISNUMBER(MATCH($F2758,계정대체기준!$D$77:$D$86,0))),"Y","N")))</f>
        <v/>
      </c>
    </row>
    <row r="2759">
      <c r="A2759" s="92" t="n">
        <v>2026</v>
      </c>
      <c r="B2759" s="92" t="n">
        <v>1</v>
      </c>
      <c r="C2759" s="92" t="inlineStr">
        <is>
          <t>5100000037</t>
        </is>
      </c>
      <c r="D2759" s="95" t="n">
        <v>46028</v>
      </c>
      <c r="E2759" s="92" t="inlineStr">
        <is>
          <t>KR</t>
        </is>
      </c>
      <c r="F2759" s="92" t="n">
        <v>62301000</v>
      </c>
      <c r="G2759" s="92" t="n">
        <v>1201</v>
      </c>
      <c r="H2759" s="93" t="n">
        <v>165000</v>
      </c>
      <c r="I2759" s="92" t="inlineStr">
        <is>
          <t>1월 소모품 구입 - Q오피스</t>
        </is>
      </c>
      <c r="J2759" s="92" t="inlineStr">
        <is>
          <t>V10003</t>
        </is>
      </c>
      <c r="K2759" s="92" t="inlineStr">
        <is>
          <t>Q오피스</t>
        </is>
      </c>
      <c r="M2759" s="9">
        <f>IF($A2759="","",VALUE($A2759&amp;"")*12+VALUE($B2759&amp;""))</f>
        <v/>
      </c>
      <c r="N2759" s="64">
        <f>IF($A2759="","",IFERROR(INDEX(부서매핑!$C$5:$C$504,MATCH($G2759&amp;"",부서매핑!$A$5:$A$504,0)),"미매핑"))</f>
        <v/>
      </c>
      <c r="O2759" s="9">
        <f>IF($A2759="","",N2759&amp;"|"&amp;$F2759)</f>
        <v/>
      </c>
      <c r="P2759" s="94">
        <f>IF($A2759="",0,$H2759*설정!$C$23)</f>
        <v/>
      </c>
      <c r="Q2759" s="64">
        <f>IF($A2759="","",IF(O2759&lt;&gt;원인분석!$C$9,"",IF(AND(M2759&gt;=원인분석!$C$10,M2759&lt;=원인분석!$C$11),"당기",IF(AND(M2759&gt;=원인분석!$C$12,M2759&lt;=원인분석!$C$13),"비교",""))))</f>
        <v/>
      </c>
      <c r="R2759" s="9">
        <f>IF(Q2759="","",$K2759&amp;"")</f>
        <v/>
      </c>
      <c r="S2759" s="9">
        <f>IF(Q2759="","",IF(MATCH(R2759,$R$5:$R$100000,0)=ROW()-4,ROW(),""))</f>
        <v/>
      </c>
      <c r="T2759" s="9">
        <f>IF(Q2759="당기",ABS(P2759)+ROW()/1000000000,"")</f>
        <v/>
      </c>
      <c r="U2759" s="9">
        <f>IF(Q2759="비교",ABS(P2759)+ROW()/1000000000,"")</f>
        <v/>
      </c>
      <c r="V2759" s="64">
        <f>IF($A2759="","",IF(COUNTIF(변동분석!$E$7:$E$506,O2759)&gt;0,"Y","N"))</f>
        <v/>
      </c>
      <c r="W2759" s="64">
        <f>IF($A2759="","",IFERROR(INDEX(계정매핑!$D$5:$D$504,MATCH($F2759&amp;"",계정매핑!$A$5:$A$504,0)),"미매핑"))</f>
        <v/>
      </c>
      <c r="X2759" s="9">
        <f>IF($A2759="","",$F2759&amp;"")</f>
        <v/>
      </c>
      <c r="Y2759" s="94">
        <f>IF($A2759="",0,IF(AE2759="직접",IF(AF2759="비귀속",$P2759,0),$P2759*(1-AG2759)*IFERROR(INDEX(계정대체기준!$F$20:$F$49,MATCH($N2759,계정대체기준!$A$20:$A$49,0)),1)))</f>
        <v/>
      </c>
      <c r="Z2759" s="94">
        <f>IF($A2759="",0,IF(AE2759="직접",IF(AF2759="신계약비",$P2759,0),$P2759*(1-AG2759)*IFERROR(INDEX(계정대체기준!$C$20:$C$49,MATCH($N2759,계정대체기준!$A$20:$A$49,0)),0)))</f>
        <v/>
      </c>
      <c r="AA2759" s="94">
        <f>IF($A2759="",0,IF(AE2759="직접",IF(OR(AF2759="유지비",AF2759="손해조사비"),$P2759,0),$P2759*(1-AG2759)*IFERROR(INDEX(계정대체기준!$D$20:$D$49,MATCH($N2759,계정대체기준!$A$20:$A$49,0)),0)))</f>
        <v/>
      </c>
      <c r="AB2759" s="94">
        <f>IF($A2759="",0,IF(AE2759="직접",IF(AF2759="수금비",$P2759,0),$P2759*(1-AG2759)*IFERROR(INDEX(계정대체기준!$E$20:$E$49,MATCH($N2759,계정대체기준!$A$20:$A$49,0)),0)))</f>
        <v/>
      </c>
      <c r="AC2759" s="9">
        <f>IF(AND($A2759&lt;&gt;"",M2759=설정!$C$20,Z2759&gt;0),Z2759+ROW()/1000000000,"")</f>
        <v/>
      </c>
      <c r="AD2759" s="94">
        <f>IF($A2759="",0,$P2759*AG2759)</f>
        <v/>
      </c>
      <c r="AE2759" s="64">
        <f>IF($A2759="","",IFERROR(INDEX(계정매핑!$E$5:$E$504,MATCH($F2759&amp;"",계정매핑!$A$5:$A$504,0))&amp;"","공통비"))</f>
        <v/>
      </c>
      <c r="AF2759" s="64">
        <f>IF($A2759="","",IF(AE2759="직접",IFERROR(INDEX(계정매핑!$F$5:$F$504,MATCH($F2759&amp;"",계정매핑!$A$5:$A$504,0))&amp;"","비귀속"),""))</f>
        <v/>
      </c>
      <c r="AG2759" s="96">
        <f>IF($A2759="",0,IF(AND(AE2759&lt;&gt;"직접",IFERROR(INDEX(계정매핑!$G$5:$G$504,MATCH($F2759&amp;"",계정매핑!$A$5:$A$504,0))&amp;"","")="유지비",COUNTIF(계정대체기준!$A$6:$A$15,$N2759)&gt;0),IFERROR(INDEX(계정대체기준!$E$6:$E$15,MATCH(VALUE($A2759&amp;""),계정대체기준!$D$6:$D$15,0)),0),0))</f>
        <v/>
      </c>
      <c r="AH2759" s="64">
        <f>IF($A2759="","",IF(AD2759=0,"",IF(OR(COUNTIF(계정대체기준!$A$77:$A$86,$N2759)&gt;0,ISNUMBER(MATCH($X2759,계정대체기준!$D$77:$D$86,0)),ISNUMBER(MATCH($F2759,계정대체기준!$D$77:$D$86,0))),"Y","N")))</f>
        <v/>
      </c>
    </row>
    <row r="2760">
      <c r="A2760" s="92" t="n">
        <v>2026</v>
      </c>
      <c r="B2760" s="92" t="n">
        <v>1</v>
      </c>
      <c r="C2760" s="92" t="inlineStr">
        <is>
          <t>5100000038</t>
        </is>
      </c>
      <c r="D2760" s="95" t="n">
        <v>46028</v>
      </c>
      <c r="E2760" s="92" t="inlineStr">
        <is>
          <t>KR</t>
        </is>
      </c>
      <c r="F2760" s="92" t="n">
        <v>62501000</v>
      </c>
      <c r="G2760" s="92" t="n">
        <v>1401</v>
      </c>
      <c r="H2760" s="93" t="n">
        <v>162000</v>
      </c>
      <c r="I2760" s="92" t="inlineStr">
        <is>
          <t>1월 회의 다과 - T케이터링</t>
        </is>
      </c>
      <c r="J2760" s="92" t="inlineStr">
        <is>
          <t>V10005</t>
        </is>
      </c>
      <c r="K2760" s="92" t="inlineStr">
        <is>
          <t>T케이터링</t>
        </is>
      </c>
      <c r="M2760" s="9">
        <f>IF($A2760="","",VALUE($A2760&amp;"")*12+VALUE($B2760&amp;""))</f>
        <v/>
      </c>
      <c r="N2760" s="64">
        <f>IF($A2760="","",IFERROR(INDEX(부서매핑!$C$5:$C$504,MATCH($G2760&amp;"",부서매핑!$A$5:$A$504,0)),"미매핑"))</f>
        <v/>
      </c>
      <c r="O2760" s="9">
        <f>IF($A2760="","",N2760&amp;"|"&amp;$F2760)</f>
        <v/>
      </c>
      <c r="P2760" s="94">
        <f>IF($A2760="",0,$H2760*설정!$C$23)</f>
        <v/>
      </c>
      <c r="Q2760" s="64">
        <f>IF($A2760="","",IF(O2760&lt;&gt;원인분석!$C$9,"",IF(AND(M2760&gt;=원인분석!$C$10,M2760&lt;=원인분석!$C$11),"당기",IF(AND(M2760&gt;=원인분석!$C$12,M2760&lt;=원인분석!$C$13),"비교",""))))</f>
        <v/>
      </c>
      <c r="R2760" s="9">
        <f>IF(Q2760="","",$K2760&amp;"")</f>
        <v/>
      </c>
      <c r="S2760" s="9">
        <f>IF(Q2760="","",IF(MATCH(R2760,$R$5:$R$100000,0)=ROW()-4,ROW(),""))</f>
        <v/>
      </c>
      <c r="T2760" s="9">
        <f>IF(Q2760="당기",ABS(P2760)+ROW()/1000000000,"")</f>
        <v/>
      </c>
      <c r="U2760" s="9">
        <f>IF(Q2760="비교",ABS(P2760)+ROW()/1000000000,"")</f>
        <v/>
      </c>
      <c r="V2760" s="64">
        <f>IF($A2760="","",IF(COUNTIF(변동분석!$E$7:$E$506,O2760)&gt;0,"Y","N"))</f>
        <v/>
      </c>
      <c r="W2760" s="64">
        <f>IF($A2760="","",IFERROR(INDEX(계정매핑!$D$5:$D$504,MATCH($F2760&amp;"",계정매핑!$A$5:$A$504,0)),"미매핑"))</f>
        <v/>
      </c>
      <c r="X2760" s="9">
        <f>IF($A2760="","",$F2760&amp;"")</f>
        <v/>
      </c>
      <c r="Y2760" s="94">
        <f>IF($A2760="",0,IF(AE2760="직접",IF(AF2760="비귀속",$P2760,0),$P2760*(1-AG2760)*IFERROR(INDEX(계정대체기준!$F$20:$F$49,MATCH($N2760,계정대체기준!$A$20:$A$49,0)),1)))</f>
        <v/>
      </c>
      <c r="Z2760" s="94">
        <f>IF($A2760="",0,IF(AE2760="직접",IF(AF2760="신계약비",$P2760,0),$P2760*(1-AG2760)*IFERROR(INDEX(계정대체기준!$C$20:$C$49,MATCH($N2760,계정대체기준!$A$20:$A$49,0)),0)))</f>
        <v/>
      </c>
      <c r="AA2760" s="94">
        <f>IF($A2760="",0,IF(AE2760="직접",IF(OR(AF2760="유지비",AF2760="손해조사비"),$P2760,0),$P2760*(1-AG2760)*IFERROR(INDEX(계정대체기준!$D$20:$D$49,MATCH($N2760,계정대체기준!$A$20:$A$49,0)),0)))</f>
        <v/>
      </c>
      <c r="AB2760" s="94">
        <f>IF($A2760="",0,IF(AE2760="직접",IF(AF2760="수금비",$P2760,0),$P2760*(1-AG2760)*IFERROR(INDEX(계정대체기준!$E$20:$E$49,MATCH($N2760,계정대체기준!$A$20:$A$49,0)),0)))</f>
        <v/>
      </c>
      <c r="AC2760" s="9">
        <f>IF(AND($A2760&lt;&gt;"",M2760=설정!$C$20,Z2760&gt;0),Z2760+ROW()/1000000000,"")</f>
        <v/>
      </c>
      <c r="AD2760" s="94">
        <f>IF($A2760="",0,$P2760*AG2760)</f>
        <v/>
      </c>
      <c r="AE2760" s="64">
        <f>IF($A2760="","",IFERROR(INDEX(계정매핑!$E$5:$E$504,MATCH($F2760&amp;"",계정매핑!$A$5:$A$504,0))&amp;"","공통비"))</f>
        <v/>
      </c>
      <c r="AF2760" s="64">
        <f>IF($A2760="","",IF(AE2760="직접",IFERROR(INDEX(계정매핑!$F$5:$F$504,MATCH($F2760&amp;"",계정매핑!$A$5:$A$504,0))&amp;"","비귀속"),""))</f>
        <v/>
      </c>
      <c r="AG2760" s="96">
        <f>IF($A2760="",0,IF(AND(AE2760&lt;&gt;"직접",IFERROR(INDEX(계정매핑!$G$5:$G$504,MATCH($F2760&amp;"",계정매핑!$A$5:$A$504,0))&amp;"","")="유지비",COUNTIF(계정대체기준!$A$6:$A$15,$N2760)&gt;0),IFERROR(INDEX(계정대체기준!$E$6:$E$15,MATCH(VALUE($A2760&amp;""),계정대체기준!$D$6:$D$15,0)),0),0))</f>
        <v/>
      </c>
      <c r="AH2760" s="64">
        <f>IF($A2760="","",IF(AD2760=0,"",IF(OR(COUNTIF(계정대체기준!$A$77:$A$86,$N2760)&gt;0,ISNUMBER(MATCH($X2760,계정대체기준!$D$77:$D$86,0)),ISNUMBER(MATCH($F2760,계정대체기준!$D$77:$D$86,0))),"Y","N")))</f>
        <v/>
      </c>
    </row>
    <row r="2761">
      <c r="A2761" s="92" t="n">
        <v>2026</v>
      </c>
      <c r="B2761" s="92" t="n">
        <v>1</v>
      </c>
      <c r="C2761" s="92" t="inlineStr">
        <is>
          <t>5100000039</t>
        </is>
      </c>
      <c r="D2761" s="95" t="n">
        <v>46028</v>
      </c>
      <c r="E2761" s="92" t="inlineStr">
        <is>
          <t>KR</t>
        </is>
      </c>
      <c r="F2761" s="92" t="n">
        <v>62802000</v>
      </c>
      <c r="G2761" s="92" t="n">
        <v>1301</v>
      </c>
      <c r="H2761" s="93" t="n">
        <v>2580000</v>
      </c>
      <c r="I2761" s="92" t="inlineStr">
        <is>
          <t>1월 위탁교육 - V아카데미</t>
        </is>
      </c>
      <c r="J2761" s="92" t="inlineStr">
        <is>
          <t>V10027</t>
        </is>
      </c>
      <c r="K2761" s="92" t="inlineStr">
        <is>
          <t>V아카데미</t>
        </is>
      </c>
      <c r="M2761" s="9">
        <f>IF($A2761="","",VALUE($A2761&amp;"")*12+VALUE($B2761&amp;""))</f>
        <v/>
      </c>
      <c r="N2761" s="64">
        <f>IF($A2761="","",IFERROR(INDEX(부서매핑!$C$5:$C$504,MATCH($G2761&amp;"",부서매핑!$A$5:$A$504,0)),"미매핑"))</f>
        <v/>
      </c>
      <c r="O2761" s="9">
        <f>IF($A2761="","",N2761&amp;"|"&amp;$F2761)</f>
        <v/>
      </c>
      <c r="P2761" s="94">
        <f>IF($A2761="",0,$H2761*설정!$C$23)</f>
        <v/>
      </c>
      <c r="Q2761" s="64">
        <f>IF($A2761="","",IF(O2761&lt;&gt;원인분석!$C$9,"",IF(AND(M2761&gt;=원인분석!$C$10,M2761&lt;=원인분석!$C$11),"당기",IF(AND(M2761&gt;=원인분석!$C$12,M2761&lt;=원인분석!$C$13),"비교",""))))</f>
        <v/>
      </c>
      <c r="R2761" s="9">
        <f>IF(Q2761="","",$K2761&amp;"")</f>
        <v/>
      </c>
      <c r="S2761" s="9">
        <f>IF(Q2761="","",IF(MATCH(R2761,$R$5:$R$100000,0)=ROW()-4,ROW(),""))</f>
        <v/>
      </c>
      <c r="T2761" s="9">
        <f>IF(Q2761="당기",ABS(P2761)+ROW()/1000000000,"")</f>
        <v/>
      </c>
      <c r="U2761" s="9">
        <f>IF(Q2761="비교",ABS(P2761)+ROW()/1000000000,"")</f>
        <v/>
      </c>
      <c r="V2761" s="64">
        <f>IF($A2761="","",IF(COUNTIF(변동분석!$E$7:$E$506,O2761)&gt;0,"Y","N"))</f>
        <v/>
      </c>
      <c r="W2761" s="64">
        <f>IF($A2761="","",IFERROR(INDEX(계정매핑!$D$5:$D$504,MATCH($F2761&amp;"",계정매핑!$A$5:$A$504,0)),"미매핑"))</f>
        <v/>
      </c>
      <c r="X2761" s="9">
        <f>IF($A2761="","",$F2761&amp;"")</f>
        <v/>
      </c>
      <c r="Y2761" s="94">
        <f>IF($A2761="",0,IF(AE2761="직접",IF(AF2761="비귀속",$P2761,0),$P2761*(1-AG2761)*IFERROR(INDEX(계정대체기준!$F$20:$F$49,MATCH($N2761,계정대체기준!$A$20:$A$49,0)),1)))</f>
        <v/>
      </c>
      <c r="Z2761" s="94">
        <f>IF($A2761="",0,IF(AE2761="직접",IF(AF2761="신계약비",$P2761,0),$P2761*(1-AG2761)*IFERROR(INDEX(계정대체기준!$C$20:$C$49,MATCH($N2761,계정대체기준!$A$20:$A$49,0)),0)))</f>
        <v/>
      </c>
      <c r="AA2761" s="94">
        <f>IF($A2761="",0,IF(AE2761="직접",IF(OR(AF2761="유지비",AF2761="손해조사비"),$P2761,0),$P2761*(1-AG2761)*IFERROR(INDEX(계정대체기준!$D$20:$D$49,MATCH($N2761,계정대체기준!$A$20:$A$49,0)),0)))</f>
        <v/>
      </c>
      <c r="AB2761" s="94">
        <f>IF($A2761="",0,IF(AE2761="직접",IF(AF2761="수금비",$P2761,0),$P2761*(1-AG2761)*IFERROR(INDEX(계정대체기준!$E$20:$E$49,MATCH($N2761,계정대체기준!$A$20:$A$49,0)),0)))</f>
        <v/>
      </c>
      <c r="AC2761" s="9">
        <f>IF(AND($A2761&lt;&gt;"",M2761=설정!$C$20,Z2761&gt;0),Z2761+ROW()/1000000000,"")</f>
        <v/>
      </c>
      <c r="AD2761" s="94">
        <f>IF($A2761="",0,$P2761*AG2761)</f>
        <v/>
      </c>
      <c r="AE2761" s="64">
        <f>IF($A2761="","",IFERROR(INDEX(계정매핑!$E$5:$E$504,MATCH($F2761&amp;"",계정매핑!$A$5:$A$504,0))&amp;"","공통비"))</f>
        <v/>
      </c>
      <c r="AF2761" s="64">
        <f>IF($A2761="","",IF(AE2761="직접",IFERROR(INDEX(계정매핑!$F$5:$F$504,MATCH($F2761&amp;"",계정매핑!$A$5:$A$504,0))&amp;"","비귀속"),""))</f>
        <v/>
      </c>
      <c r="AG2761" s="96">
        <f>IF($A2761="",0,IF(AND(AE2761&lt;&gt;"직접",IFERROR(INDEX(계정매핑!$G$5:$G$504,MATCH($F2761&amp;"",계정매핑!$A$5:$A$504,0))&amp;"","")="유지비",COUNTIF(계정대체기준!$A$6:$A$15,$N2761)&gt;0),IFERROR(INDEX(계정대체기준!$E$6:$E$15,MATCH(VALUE($A2761&amp;""),계정대체기준!$D$6:$D$15,0)),0),0))</f>
        <v/>
      </c>
      <c r="AH2761" s="64">
        <f>IF($A2761="","",IF(AD2761=0,"",IF(OR(COUNTIF(계정대체기준!$A$77:$A$86,$N2761)&gt;0,ISNUMBER(MATCH($X2761,계정대체기준!$D$77:$D$86,0)),ISNUMBER(MATCH($F2761,계정대체기준!$D$77:$D$86,0))),"Y","N")))</f>
        <v/>
      </c>
    </row>
    <row r="2762">
      <c r="A2762" s="92" t="n">
        <v>2026</v>
      </c>
      <c r="B2762" s="92" t="n">
        <v>1</v>
      </c>
      <c r="C2762" s="92" t="inlineStr">
        <is>
          <t>5100000040</t>
        </is>
      </c>
      <c r="D2762" s="95" t="n">
        <v>46028</v>
      </c>
      <c r="E2762" s="92" t="inlineStr">
        <is>
          <t>KR</t>
        </is>
      </c>
      <c r="F2762" s="92" t="n">
        <v>63502000</v>
      </c>
      <c r="G2762" s="92" t="n">
        <v>1901</v>
      </c>
      <c r="H2762" s="93" t="n">
        <v>177630000</v>
      </c>
      <c r="I2762" s="92" t="inlineStr">
        <is>
          <t>1월 유지수수료 - (전속설계사)</t>
        </is>
      </c>
      <c r="J2762" s="92" t="inlineStr">
        <is>
          <t>V10021</t>
        </is>
      </c>
      <c r="K2762" s="92" t="inlineStr">
        <is>
          <t>(전속설계사)</t>
        </is>
      </c>
      <c r="M2762" s="9">
        <f>IF($A2762="","",VALUE($A2762&amp;"")*12+VALUE($B2762&amp;""))</f>
        <v/>
      </c>
      <c r="N2762" s="64">
        <f>IF($A2762="","",IFERROR(INDEX(부서매핑!$C$5:$C$504,MATCH($G2762&amp;"",부서매핑!$A$5:$A$504,0)),"미매핑"))</f>
        <v/>
      </c>
      <c r="O2762" s="9">
        <f>IF($A2762="","",N2762&amp;"|"&amp;$F2762)</f>
        <v/>
      </c>
      <c r="P2762" s="94">
        <f>IF($A2762="",0,$H2762*설정!$C$23)</f>
        <v/>
      </c>
      <c r="Q2762" s="64">
        <f>IF($A2762="","",IF(O2762&lt;&gt;원인분석!$C$9,"",IF(AND(M2762&gt;=원인분석!$C$10,M2762&lt;=원인분석!$C$11),"당기",IF(AND(M2762&gt;=원인분석!$C$12,M2762&lt;=원인분석!$C$13),"비교",""))))</f>
        <v/>
      </c>
      <c r="R2762" s="9">
        <f>IF(Q2762="","",$K2762&amp;"")</f>
        <v/>
      </c>
      <c r="S2762" s="9">
        <f>IF(Q2762="","",IF(MATCH(R2762,$R$5:$R$100000,0)=ROW()-4,ROW(),""))</f>
        <v/>
      </c>
      <c r="T2762" s="9">
        <f>IF(Q2762="당기",ABS(P2762)+ROW()/1000000000,"")</f>
        <v/>
      </c>
      <c r="U2762" s="9">
        <f>IF(Q2762="비교",ABS(P2762)+ROW()/1000000000,"")</f>
        <v/>
      </c>
      <c r="V2762" s="64">
        <f>IF($A2762="","",IF(COUNTIF(변동분석!$E$7:$E$506,O2762)&gt;0,"Y","N"))</f>
        <v/>
      </c>
      <c r="W2762" s="64">
        <f>IF($A2762="","",IFERROR(INDEX(계정매핑!$D$5:$D$504,MATCH($F2762&amp;"",계정매핑!$A$5:$A$504,0)),"미매핑"))</f>
        <v/>
      </c>
      <c r="X2762" s="9">
        <f>IF($A2762="","",$F2762&amp;"")</f>
        <v/>
      </c>
      <c r="Y2762" s="94">
        <f>IF($A2762="",0,IF(AE2762="직접",IF(AF2762="비귀속",$P2762,0),$P2762*(1-AG2762)*IFERROR(INDEX(계정대체기준!$F$20:$F$49,MATCH($N2762,계정대체기준!$A$20:$A$49,0)),1)))</f>
        <v/>
      </c>
      <c r="Z2762" s="94">
        <f>IF($A2762="",0,IF(AE2762="직접",IF(AF2762="신계약비",$P2762,0),$P2762*(1-AG2762)*IFERROR(INDEX(계정대체기준!$C$20:$C$49,MATCH($N2762,계정대체기준!$A$20:$A$49,0)),0)))</f>
        <v/>
      </c>
      <c r="AA2762" s="94">
        <f>IF($A2762="",0,IF(AE2762="직접",IF(OR(AF2762="유지비",AF2762="손해조사비"),$P2762,0),$P2762*(1-AG2762)*IFERROR(INDEX(계정대체기준!$D$20:$D$49,MATCH($N2762,계정대체기준!$A$20:$A$49,0)),0)))</f>
        <v/>
      </c>
      <c r="AB2762" s="94">
        <f>IF($A2762="",0,IF(AE2762="직접",IF(AF2762="수금비",$P2762,0),$P2762*(1-AG2762)*IFERROR(INDEX(계정대체기준!$E$20:$E$49,MATCH($N2762,계정대체기준!$A$20:$A$49,0)),0)))</f>
        <v/>
      </c>
      <c r="AC2762" s="9">
        <f>IF(AND($A2762&lt;&gt;"",M2762=설정!$C$20,Z2762&gt;0),Z2762+ROW()/1000000000,"")</f>
        <v/>
      </c>
      <c r="AD2762" s="94">
        <f>IF($A2762="",0,$P2762*AG2762)</f>
        <v/>
      </c>
      <c r="AE2762" s="64">
        <f>IF($A2762="","",IFERROR(INDEX(계정매핑!$E$5:$E$504,MATCH($F2762&amp;"",계정매핑!$A$5:$A$504,0))&amp;"","공통비"))</f>
        <v/>
      </c>
      <c r="AF2762" s="64">
        <f>IF($A2762="","",IF(AE2762="직접",IFERROR(INDEX(계정매핑!$F$5:$F$504,MATCH($F2762&amp;"",계정매핑!$A$5:$A$504,0))&amp;"","비귀속"),""))</f>
        <v/>
      </c>
      <c r="AG2762" s="96">
        <f>IF($A2762="",0,IF(AND(AE2762&lt;&gt;"직접",IFERROR(INDEX(계정매핑!$G$5:$G$504,MATCH($F2762&amp;"",계정매핑!$A$5:$A$504,0))&amp;"","")="유지비",COUNTIF(계정대체기준!$A$6:$A$15,$N2762)&gt;0),IFERROR(INDEX(계정대체기준!$E$6:$E$15,MATCH(VALUE($A2762&amp;""),계정대체기준!$D$6:$D$15,0)),0),0))</f>
        <v/>
      </c>
      <c r="AH2762" s="64">
        <f>IF($A2762="","",IF(AD2762=0,"",IF(OR(COUNTIF(계정대체기준!$A$77:$A$86,$N2762)&gt;0,ISNUMBER(MATCH($X2762,계정대체기준!$D$77:$D$86,0)),ISNUMBER(MATCH($F2762,계정대체기준!$D$77:$D$86,0))),"Y","N")))</f>
        <v/>
      </c>
    </row>
    <row r="2763">
      <c r="A2763" s="92" t="n">
        <v>2026</v>
      </c>
      <c r="B2763" s="92" t="n">
        <v>1</v>
      </c>
      <c r="C2763" s="92" t="inlineStr">
        <is>
          <t>5100000041</t>
        </is>
      </c>
      <c r="D2763" s="95" t="n">
        <v>46029</v>
      </c>
      <c r="E2763" s="92" t="inlineStr">
        <is>
          <t>KR</t>
        </is>
      </c>
      <c r="F2763" s="92" t="n">
        <v>62101000</v>
      </c>
      <c r="G2763" s="92" t="n">
        <v>1201</v>
      </c>
      <c r="H2763" s="93" t="n">
        <v>225000</v>
      </c>
      <c r="I2763" s="92" t="inlineStr">
        <is>
          <t>1월 국내출장 - L여행사</t>
        </is>
      </c>
      <c r="J2763" s="92" t="inlineStr">
        <is>
          <t>V10018</t>
        </is>
      </c>
      <c r="K2763" s="92" t="inlineStr">
        <is>
          <t>L여행사</t>
        </is>
      </c>
      <c r="M2763" s="9">
        <f>IF($A2763="","",VALUE($A2763&amp;"")*12+VALUE($B2763&amp;""))</f>
        <v/>
      </c>
      <c r="N2763" s="64">
        <f>IF($A2763="","",IFERROR(INDEX(부서매핑!$C$5:$C$504,MATCH($G2763&amp;"",부서매핑!$A$5:$A$504,0)),"미매핑"))</f>
        <v/>
      </c>
      <c r="O2763" s="9">
        <f>IF($A2763="","",N2763&amp;"|"&amp;$F2763)</f>
        <v/>
      </c>
      <c r="P2763" s="94">
        <f>IF($A2763="",0,$H2763*설정!$C$23)</f>
        <v/>
      </c>
      <c r="Q2763" s="64">
        <f>IF($A2763="","",IF(O2763&lt;&gt;원인분석!$C$9,"",IF(AND(M2763&gt;=원인분석!$C$10,M2763&lt;=원인분석!$C$11),"당기",IF(AND(M2763&gt;=원인분석!$C$12,M2763&lt;=원인분석!$C$13),"비교",""))))</f>
        <v/>
      </c>
      <c r="R2763" s="9">
        <f>IF(Q2763="","",$K2763&amp;"")</f>
        <v/>
      </c>
      <c r="S2763" s="9">
        <f>IF(Q2763="","",IF(MATCH(R2763,$R$5:$R$100000,0)=ROW()-4,ROW(),""))</f>
        <v/>
      </c>
      <c r="T2763" s="9">
        <f>IF(Q2763="당기",ABS(P2763)+ROW()/1000000000,"")</f>
        <v/>
      </c>
      <c r="U2763" s="9">
        <f>IF(Q2763="비교",ABS(P2763)+ROW()/1000000000,"")</f>
        <v/>
      </c>
      <c r="V2763" s="64">
        <f>IF($A2763="","",IF(COUNTIF(변동분석!$E$7:$E$506,O2763)&gt;0,"Y","N"))</f>
        <v/>
      </c>
      <c r="W2763" s="64">
        <f>IF($A2763="","",IFERROR(INDEX(계정매핑!$D$5:$D$504,MATCH($F2763&amp;"",계정매핑!$A$5:$A$504,0)),"미매핑"))</f>
        <v/>
      </c>
      <c r="X2763" s="9">
        <f>IF($A2763="","",$F2763&amp;"")</f>
        <v/>
      </c>
      <c r="Y2763" s="94">
        <f>IF($A2763="",0,IF(AE2763="직접",IF(AF2763="비귀속",$P2763,0),$P2763*(1-AG2763)*IFERROR(INDEX(계정대체기준!$F$20:$F$49,MATCH($N2763,계정대체기준!$A$20:$A$49,0)),1)))</f>
        <v/>
      </c>
      <c r="Z2763" s="94">
        <f>IF($A2763="",0,IF(AE2763="직접",IF(AF2763="신계약비",$P2763,0),$P2763*(1-AG2763)*IFERROR(INDEX(계정대체기준!$C$20:$C$49,MATCH($N2763,계정대체기준!$A$20:$A$49,0)),0)))</f>
        <v/>
      </c>
      <c r="AA2763" s="94">
        <f>IF($A2763="",0,IF(AE2763="직접",IF(OR(AF2763="유지비",AF2763="손해조사비"),$P2763,0),$P2763*(1-AG2763)*IFERROR(INDEX(계정대체기준!$D$20:$D$49,MATCH($N2763,계정대체기준!$A$20:$A$49,0)),0)))</f>
        <v/>
      </c>
      <c r="AB2763" s="94">
        <f>IF($A2763="",0,IF(AE2763="직접",IF(AF2763="수금비",$P2763,0),$P2763*(1-AG2763)*IFERROR(INDEX(계정대체기준!$E$20:$E$49,MATCH($N2763,계정대체기준!$A$20:$A$49,0)),0)))</f>
        <v/>
      </c>
      <c r="AC2763" s="9">
        <f>IF(AND($A2763&lt;&gt;"",M2763=설정!$C$20,Z2763&gt;0),Z2763+ROW()/1000000000,"")</f>
        <v/>
      </c>
      <c r="AD2763" s="94">
        <f>IF($A2763="",0,$P2763*AG2763)</f>
        <v/>
      </c>
      <c r="AE2763" s="64">
        <f>IF($A2763="","",IFERROR(INDEX(계정매핑!$E$5:$E$504,MATCH($F2763&amp;"",계정매핑!$A$5:$A$504,0))&amp;"","공통비"))</f>
        <v/>
      </c>
      <c r="AF2763" s="64">
        <f>IF($A2763="","",IF(AE2763="직접",IFERROR(INDEX(계정매핑!$F$5:$F$504,MATCH($F2763&amp;"",계정매핑!$A$5:$A$504,0))&amp;"","비귀속"),""))</f>
        <v/>
      </c>
      <c r="AG2763" s="96">
        <f>IF($A2763="",0,IF(AND(AE2763&lt;&gt;"직접",IFERROR(INDEX(계정매핑!$G$5:$G$504,MATCH($F2763&amp;"",계정매핑!$A$5:$A$504,0))&amp;"","")="유지비",COUNTIF(계정대체기준!$A$6:$A$15,$N2763)&gt;0),IFERROR(INDEX(계정대체기준!$E$6:$E$15,MATCH(VALUE($A2763&amp;""),계정대체기준!$D$6:$D$15,0)),0),0))</f>
        <v/>
      </c>
      <c r="AH2763" s="64">
        <f>IF($A2763="","",IF(AD2763=0,"",IF(OR(COUNTIF(계정대체기준!$A$77:$A$86,$N2763)&gt;0,ISNUMBER(MATCH($X2763,계정대체기준!$D$77:$D$86,0)),ISNUMBER(MATCH($F2763,계정대체기준!$D$77:$D$86,0))),"Y","N")))</f>
        <v/>
      </c>
    </row>
    <row r="2764">
      <c r="A2764" s="92" t="n">
        <v>2026</v>
      </c>
      <c r="B2764" s="92" t="n">
        <v>1</v>
      </c>
      <c r="C2764" s="92" t="inlineStr">
        <is>
          <t>5100000042</t>
        </is>
      </c>
      <c r="D2764" s="95" t="n">
        <v>46029</v>
      </c>
      <c r="E2764" s="92" t="inlineStr">
        <is>
          <t>KR</t>
        </is>
      </c>
      <c r="F2764" s="92" t="n">
        <v>62102000</v>
      </c>
      <c r="G2764" s="92" t="n">
        <v>1101</v>
      </c>
      <c r="H2764" s="93" t="n">
        <v>135000</v>
      </c>
      <c r="I2764" s="92" t="inlineStr">
        <is>
          <t>1월 해외출장 - M항공</t>
        </is>
      </c>
      <c r="J2764" s="92" t="inlineStr">
        <is>
          <t>V10001</t>
        </is>
      </c>
      <c r="K2764" s="92" t="inlineStr">
        <is>
          <t>M항공</t>
        </is>
      </c>
      <c r="M2764" s="9">
        <f>IF($A2764="","",VALUE($A2764&amp;"")*12+VALUE($B2764&amp;""))</f>
        <v/>
      </c>
      <c r="N2764" s="64">
        <f>IF($A2764="","",IFERROR(INDEX(부서매핑!$C$5:$C$504,MATCH($G2764&amp;"",부서매핑!$A$5:$A$504,0)),"미매핑"))</f>
        <v/>
      </c>
      <c r="O2764" s="9">
        <f>IF($A2764="","",N2764&amp;"|"&amp;$F2764)</f>
        <v/>
      </c>
      <c r="P2764" s="94">
        <f>IF($A2764="",0,$H2764*설정!$C$23)</f>
        <v/>
      </c>
      <c r="Q2764" s="64">
        <f>IF($A2764="","",IF(O2764&lt;&gt;원인분석!$C$9,"",IF(AND(M2764&gt;=원인분석!$C$10,M2764&lt;=원인분석!$C$11),"당기",IF(AND(M2764&gt;=원인분석!$C$12,M2764&lt;=원인분석!$C$13),"비교",""))))</f>
        <v/>
      </c>
      <c r="R2764" s="9">
        <f>IF(Q2764="","",$K2764&amp;"")</f>
        <v/>
      </c>
      <c r="S2764" s="9">
        <f>IF(Q2764="","",IF(MATCH(R2764,$R$5:$R$100000,0)=ROW()-4,ROW(),""))</f>
        <v/>
      </c>
      <c r="T2764" s="9">
        <f>IF(Q2764="당기",ABS(P2764)+ROW()/1000000000,"")</f>
        <v/>
      </c>
      <c r="U2764" s="9">
        <f>IF(Q2764="비교",ABS(P2764)+ROW()/1000000000,"")</f>
        <v/>
      </c>
      <c r="V2764" s="64">
        <f>IF($A2764="","",IF(COUNTIF(변동분석!$E$7:$E$506,O2764)&gt;0,"Y","N"))</f>
        <v/>
      </c>
      <c r="W2764" s="64">
        <f>IF($A2764="","",IFERROR(INDEX(계정매핑!$D$5:$D$504,MATCH($F2764&amp;"",계정매핑!$A$5:$A$504,0)),"미매핑"))</f>
        <v/>
      </c>
      <c r="X2764" s="9">
        <f>IF($A2764="","",$F2764&amp;"")</f>
        <v/>
      </c>
      <c r="Y2764" s="94">
        <f>IF($A2764="",0,IF(AE2764="직접",IF(AF2764="비귀속",$P2764,0),$P2764*(1-AG2764)*IFERROR(INDEX(계정대체기준!$F$20:$F$49,MATCH($N2764,계정대체기준!$A$20:$A$49,0)),1)))</f>
        <v/>
      </c>
      <c r="Z2764" s="94">
        <f>IF($A2764="",0,IF(AE2764="직접",IF(AF2764="신계약비",$P2764,0),$P2764*(1-AG2764)*IFERROR(INDEX(계정대체기준!$C$20:$C$49,MATCH($N2764,계정대체기준!$A$20:$A$49,0)),0)))</f>
        <v/>
      </c>
      <c r="AA2764" s="94">
        <f>IF($A2764="",0,IF(AE2764="직접",IF(OR(AF2764="유지비",AF2764="손해조사비"),$P2764,0),$P2764*(1-AG2764)*IFERROR(INDEX(계정대체기준!$D$20:$D$49,MATCH($N2764,계정대체기준!$A$20:$A$49,0)),0)))</f>
        <v/>
      </c>
      <c r="AB2764" s="94">
        <f>IF($A2764="",0,IF(AE2764="직접",IF(AF2764="수금비",$P2764,0),$P2764*(1-AG2764)*IFERROR(INDEX(계정대체기준!$E$20:$E$49,MATCH($N2764,계정대체기준!$A$20:$A$49,0)),0)))</f>
        <v/>
      </c>
      <c r="AC2764" s="9">
        <f>IF(AND($A2764&lt;&gt;"",M2764=설정!$C$20,Z2764&gt;0),Z2764+ROW()/1000000000,"")</f>
        <v/>
      </c>
      <c r="AD2764" s="94">
        <f>IF($A2764="",0,$P2764*AG2764)</f>
        <v/>
      </c>
      <c r="AE2764" s="64">
        <f>IF($A2764="","",IFERROR(INDEX(계정매핑!$E$5:$E$504,MATCH($F2764&amp;"",계정매핑!$A$5:$A$504,0))&amp;"","공통비"))</f>
        <v/>
      </c>
      <c r="AF2764" s="64">
        <f>IF($A2764="","",IF(AE2764="직접",IFERROR(INDEX(계정매핑!$F$5:$F$504,MATCH($F2764&amp;"",계정매핑!$A$5:$A$504,0))&amp;"","비귀속"),""))</f>
        <v/>
      </c>
      <c r="AG2764" s="96">
        <f>IF($A2764="",0,IF(AND(AE2764&lt;&gt;"직접",IFERROR(INDEX(계정매핑!$G$5:$G$504,MATCH($F2764&amp;"",계정매핑!$A$5:$A$504,0))&amp;"","")="유지비",COUNTIF(계정대체기준!$A$6:$A$15,$N2764)&gt;0),IFERROR(INDEX(계정대체기준!$E$6:$E$15,MATCH(VALUE($A2764&amp;""),계정대체기준!$D$6:$D$15,0)),0),0))</f>
        <v/>
      </c>
      <c r="AH2764" s="64">
        <f>IF($A2764="","",IF(AD2764=0,"",IF(OR(COUNTIF(계정대체기준!$A$77:$A$86,$N2764)&gt;0,ISNUMBER(MATCH($X2764,계정대체기준!$D$77:$D$86,0)),ISNUMBER(MATCH($F2764,계정대체기준!$D$77:$D$86,0))),"Y","N")))</f>
        <v/>
      </c>
    </row>
    <row r="2765">
      <c r="A2765" s="92" t="n">
        <v>2026</v>
      </c>
      <c r="B2765" s="92" t="n">
        <v>1</v>
      </c>
      <c r="C2765" s="92" t="inlineStr">
        <is>
          <t>5100000043</t>
        </is>
      </c>
      <c r="D2765" s="95" t="n">
        <v>46029</v>
      </c>
      <c r="E2765" s="92" t="inlineStr">
        <is>
          <t>KR</t>
        </is>
      </c>
      <c r="F2765" s="92" t="n">
        <v>62201000</v>
      </c>
      <c r="G2765" s="92" t="n">
        <v>1701</v>
      </c>
      <c r="H2765" s="93" t="n">
        <v>4607000</v>
      </c>
      <c r="I2765" s="92" t="inlineStr">
        <is>
          <t>1월 통신요금 - P통신</t>
        </is>
      </c>
      <c r="J2765" s="92" t="inlineStr">
        <is>
          <t>V10014</t>
        </is>
      </c>
      <c r="K2765" s="92" t="inlineStr">
        <is>
          <t>P통신</t>
        </is>
      </c>
      <c r="M2765" s="9">
        <f>IF($A2765="","",VALUE($A2765&amp;"")*12+VALUE($B2765&amp;""))</f>
        <v/>
      </c>
      <c r="N2765" s="64">
        <f>IF($A2765="","",IFERROR(INDEX(부서매핑!$C$5:$C$504,MATCH($G2765&amp;"",부서매핑!$A$5:$A$504,0)),"미매핑"))</f>
        <v/>
      </c>
      <c r="O2765" s="9">
        <f>IF($A2765="","",N2765&amp;"|"&amp;$F2765)</f>
        <v/>
      </c>
      <c r="P2765" s="94">
        <f>IF($A2765="",0,$H2765*설정!$C$23)</f>
        <v/>
      </c>
      <c r="Q2765" s="64">
        <f>IF($A2765="","",IF(O2765&lt;&gt;원인분석!$C$9,"",IF(AND(M2765&gt;=원인분석!$C$10,M2765&lt;=원인분석!$C$11),"당기",IF(AND(M2765&gt;=원인분석!$C$12,M2765&lt;=원인분석!$C$13),"비교",""))))</f>
        <v/>
      </c>
      <c r="R2765" s="9">
        <f>IF(Q2765="","",$K2765&amp;"")</f>
        <v/>
      </c>
      <c r="S2765" s="9">
        <f>IF(Q2765="","",IF(MATCH(R2765,$R$5:$R$100000,0)=ROW()-4,ROW(),""))</f>
        <v/>
      </c>
      <c r="T2765" s="9">
        <f>IF(Q2765="당기",ABS(P2765)+ROW()/1000000000,"")</f>
        <v/>
      </c>
      <c r="U2765" s="9">
        <f>IF(Q2765="비교",ABS(P2765)+ROW()/1000000000,"")</f>
        <v/>
      </c>
      <c r="V2765" s="64">
        <f>IF($A2765="","",IF(COUNTIF(변동분석!$E$7:$E$506,O2765)&gt;0,"Y","N"))</f>
        <v/>
      </c>
      <c r="W2765" s="64">
        <f>IF($A2765="","",IFERROR(INDEX(계정매핑!$D$5:$D$504,MATCH($F2765&amp;"",계정매핑!$A$5:$A$504,0)),"미매핑"))</f>
        <v/>
      </c>
      <c r="X2765" s="9">
        <f>IF($A2765="","",$F2765&amp;"")</f>
        <v/>
      </c>
      <c r="Y2765" s="94">
        <f>IF($A2765="",0,IF(AE2765="직접",IF(AF2765="비귀속",$P2765,0),$P2765*(1-AG2765)*IFERROR(INDEX(계정대체기준!$F$20:$F$49,MATCH($N2765,계정대체기준!$A$20:$A$49,0)),1)))</f>
        <v/>
      </c>
      <c r="Z2765" s="94">
        <f>IF($A2765="",0,IF(AE2765="직접",IF(AF2765="신계약비",$P2765,0),$P2765*(1-AG2765)*IFERROR(INDEX(계정대체기준!$C$20:$C$49,MATCH($N2765,계정대체기준!$A$20:$A$49,0)),0)))</f>
        <v/>
      </c>
      <c r="AA2765" s="94">
        <f>IF($A2765="",0,IF(AE2765="직접",IF(OR(AF2765="유지비",AF2765="손해조사비"),$P2765,0),$P2765*(1-AG2765)*IFERROR(INDEX(계정대체기준!$D$20:$D$49,MATCH($N2765,계정대체기준!$A$20:$A$49,0)),0)))</f>
        <v/>
      </c>
      <c r="AB2765" s="94">
        <f>IF($A2765="",0,IF(AE2765="직접",IF(AF2765="수금비",$P2765,0),$P2765*(1-AG2765)*IFERROR(INDEX(계정대체기준!$E$20:$E$49,MATCH($N2765,계정대체기준!$A$20:$A$49,0)),0)))</f>
        <v/>
      </c>
      <c r="AC2765" s="9">
        <f>IF(AND($A2765&lt;&gt;"",M2765=설정!$C$20,Z2765&gt;0),Z2765+ROW()/1000000000,"")</f>
        <v/>
      </c>
      <c r="AD2765" s="94">
        <f>IF($A2765="",0,$P2765*AG2765)</f>
        <v/>
      </c>
      <c r="AE2765" s="64">
        <f>IF($A2765="","",IFERROR(INDEX(계정매핑!$E$5:$E$504,MATCH($F2765&amp;"",계정매핑!$A$5:$A$504,0))&amp;"","공통비"))</f>
        <v/>
      </c>
      <c r="AF2765" s="64">
        <f>IF($A2765="","",IF(AE2765="직접",IFERROR(INDEX(계정매핑!$F$5:$F$504,MATCH($F2765&amp;"",계정매핑!$A$5:$A$504,0))&amp;"","비귀속"),""))</f>
        <v/>
      </c>
      <c r="AG2765" s="96">
        <f>IF($A2765="",0,IF(AND(AE2765&lt;&gt;"직접",IFERROR(INDEX(계정매핑!$G$5:$G$504,MATCH($F2765&amp;"",계정매핑!$A$5:$A$504,0))&amp;"","")="유지비",COUNTIF(계정대체기준!$A$6:$A$15,$N2765)&gt;0),IFERROR(INDEX(계정대체기준!$E$6:$E$15,MATCH(VALUE($A2765&amp;""),계정대체기준!$D$6:$D$15,0)),0),0))</f>
        <v/>
      </c>
      <c r="AH2765" s="64">
        <f>IF($A2765="","",IF(AD2765=0,"",IF(OR(COUNTIF(계정대체기준!$A$77:$A$86,$N2765)&gt;0,ISNUMBER(MATCH($X2765,계정대체기준!$D$77:$D$86,0)),ISNUMBER(MATCH($F2765,계정대체기준!$D$77:$D$86,0))),"Y","N")))</f>
        <v/>
      </c>
    </row>
    <row r="2766">
      <c r="A2766" s="92" t="n">
        <v>2026</v>
      </c>
      <c r="B2766" s="92" t="n">
        <v>1</v>
      </c>
      <c r="C2766" s="92" t="inlineStr">
        <is>
          <t>5100000044</t>
        </is>
      </c>
      <c r="D2766" s="95" t="n">
        <v>46029</v>
      </c>
      <c r="E2766" s="92" t="inlineStr">
        <is>
          <t>KR</t>
        </is>
      </c>
      <c r="F2766" s="92" t="n">
        <v>62301000</v>
      </c>
      <c r="G2766" s="92" t="n">
        <v>1801</v>
      </c>
      <c r="H2766" s="93" t="n">
        <v>292000</v>
      </c>
      <c r="I2766" s="92" t="inlineStr">
        <is>
          <t>1월 소모품 구입 - R문구</t>
        </is>
      </c>
      <c r="J2766" s="92" t="inlineStr">
        <is>
          <t>V10022</t>
        </is>
      </c>
      <c r="K2766" s="92" t="inlineStr">
        <is>
          <t>R문구</t>
        </is>
      </c>
      <c r="M2766" s="9">
        <f>IF($A2766="","",VALUE($A2766&amp;"")*12+VALUE($B2766&amp;""))</f>
        <v/>
      </c>
      <c r="N2766" s="64">
        <f>IF($A2766="","",IFERROR(INDEX(부서매핑!$C$5:$C$504,MATCH($G2766&amp;"",부서매핑!$A$5:$A$504,0)),"미매핑"))</f>
        <v/>
      </c>
      <c r="O2766" s="9">
        <f>IF($A2766="","",N2766&amp;"|"&amp;$F2766)</f>
        <v/>
      </c>
      <c r="P2766" s="94">
        <f>IF($A2766="",0,$H2766*설정!$C$23)</f>
        <v/>
      </c>
      <c r="Q2766" s="64">
        <f>IF($A2766="","",IF(O2766&lt;&gt;원인분석!$C$9,"",IF(AND(M2766&gt;=원인분석!$C$10,M2766&lt;=원인분석!$C$11),"당기",IF(AND(M2766&gt;=원인분석!$C$12,M2766&lt;=원인분석!$C$13),"비교",""))))</f>
        <v/>
      </c>
      <c r="R2766" s="9">
        <f>IF(Q2766="","",$K2766&amp;"")</f>
        <v/>
      </c>
      <c r="S2766" s="9">
        <f>IF(Q2766="","",IF(MATCH(R2766,$R$5:$R$100000,0)=ROW()-4,ROW(),""))</f>
        <v/>
      </c>
      <c r="T2766" s="9">
        <f>IF(Q2766="당기",ABS(P2766)+ROW()/1000000000,"")</f>
        <v/>
      </c>
      <c r="U2766" s="9">
        <f>IF(Q2766="비교",ABS(P2766)+ROW()/1000000000,"")</f>
        <v/>
      </c>
      <c r="V2766" s="64">
        <f>IF($A2766="","",IF(COUNTIF(변동분석!$E$7:$E$506,O2766)&gt;0,"Y","N"))</f>
        <v/>
      </c>
      <c r="W2766" s="64">
        <f>IF($A2766="","",IFERROR(INDEX(계정매핑!$D$5:$D$504,MATCH($F2766&amp;"",계정매핑!$A$5:$A$504,0)),"미매핑"))</f>
        <v/>
      </c>
      <c r="X2766" s="9">
        <f>IF($A2766="","",$F2766&amp;"")</f>
        <v/>
      </c>
      <c r="Y2766" s="94">
        <f>IF($A2766="",0,IF(AE2766="직접",IF(AF2766="비귀속",$P2766,0),$P2766*(1-AG2766)*IFERROR(INDEX(계정대체기준!$F$20:$F$49,MATCH($N2766,계정대체기준!$A$20:$A$49,0)),1)))</f>
        <v/>
      </c>
      <c r="Z2766" s="94">
        <f>IF($A2766="",0,IF(AE2766="직접",IF(AF2766="신계약비",$P2766,0),$P2766*(1-AG2766)*IFERROR(INDEX(계정대체기준!$C$20:$C$49,MATCH($N2766,계정대체기준!$A$20:$A$49,0)),0)))</f>
        <v/>
      </c>
      <c r="AA2766" s="94">
        <f>IF($A2766="",0,IF(AE2766="직접",IF(OR(AF2766="유지비",AF2766="손해조사비"),$P2766,0),$P2766*(1-AG2766)*IFERROR(INDEX(계정대체기준!$D$20:$D$49,MATCH($N2766,계정대체기준!$A$20:$A$49,0)),0)))</f>
        <v/>
      </c>
      <c r="AB2766" s="94">
        <f>IF($A2766="",0,IF(AE2766="직접",IF(AF2766="수금비",$P2766,0),$P2766*(1-AG2766)*IFERROR(INDEX(계정대체기준!$E$20:$E$49,MATCH($N2766,계정대체기준!$A$20:$A$49,0)),0)))</f>
        <v/>
      </c>
      <c r="AC2766" s="9">
        <f>IF(AND($A2766&lt;&gt;"",M2766=설정!$C$20,Z2766&gt;0),Z2766+ROW()/1000000000,"")</f>
        <v/>
      </c>
      <c r="AD2766" s="94">
        <f>IF($A2766="",0,$P2766*AG2766)</f>
        <v/>
      </c>
      <c r="AE2766" s="64">
        <f>IF($A2766="","",IFERROR(INDEX(계정매핑!$E$5:$E$504,MATCH($F2766&amp;"",계정매핑!$A$5:$A$504,0))&amp;"","공통비"))</f>
        <v/>
      </c>
      <c r="AF2766" s="64">
        <f>IF($A2766="","",IF(AE2766="직접",IFERROR(INDEX(계정매핑!$F$5:$F$504,MATCH($F2766&amp;"",계정매핑!$A$5:$A$504,0))&amp;"","비귀속"),""))</f>
        <v/>
      </c>
      <c r="AG2766" s="96">
        <f>IF($A2766="",0,IF(AND(AE2766&lt;&gt;"직접",IFERROR(INDEX(계정매핑!$G$5:$G$504,MATCH($F2766&amp;"",계정매핑!$A$5:$A$504,0))&amp;"","")="유지비",COUNTIF(계정대체기준!$A$6:$A$15,$N2766)&gt;0),IFERROR(INDEX(계정대체기준!$E$6:$E$15,MATCH(VALUE($A2766&amp;""),계정대체기준!$D$6:$D$15,0)),0),0))</f>
        <v/>
      </c>
      <c r="AH2766" s="64">
        <f>IF($A2766="","",IF(AD2766=0,"",IF(OR(COUNTIF(계정대체기준!$A$77:$A$86,$N2766)&gt;0,ISNUMBER(MATCH($X2766,계정대체기준!$D$77:$D$86,0)),ISNUMBER(MATCH($F2766,계정대체기준!$D$77:$D$86,0))),"Y","N")))</f>
        <v/>
      </c>
    </row>
    <row r="2767">
      <c r="A2767" s="92" t="n">
        <v>2026</v>
      </c>
      <c r="B2767" s="92" t="n">
        <v>1</v>
      </c>
      <c r="C2767" s="92" t="inlineStr">
        <is>
          <t>5100000045</t>
        </is>
      </c>
      <c r="D2767" s="95" t="n">
        <v>46029</v>
      </c>
      <c r="E2767" s="92" t="inlineStr">
        <is>
          <t>KR</t>
        </is>
      </c>
      <c r="F2767" s="92" t="n">
        <v>62501000</v>
      </c>
      <c r="G2767" s="92" t="n">
        <v>1801</v>
      </c>
      <c r="H2767" s="93" t="n">
        <v>128000</v>
      </c>
      <c r="I2767" s="92" t="inlineStr">
        <is>
          <t>1월 회의 다과 - T케이터링</t>
        </is>
      </c>
      <c r="J2767" s="92" t="inlineStr">
        <is>
          <t>V10005</t>
        </is>
      </c>
      <c r="K2767" s="92" t="inlineStr">
        <is>
          <t>T케이터링</t>
        </is>
      </c>
      <c r="M2767" s="9">
        <f>IF($A2767="","",VALUE($A2767&amp;"")*12+VALUE($B2767&amp;""))</f>
        <v/>
      </c>
      <c r="N2767" s="64">
        <f>IF($A2767="","",IFERROR(INDEX(부서매핑!$C$5:$C$504,MATCH($G2767&amp;"",부서매핑!$A$5:$A$504,0)),"미매핑"))</f>
        <v/>
      </c>
      <c r="O2767" s="9">
        <f>IF($A2767="","",N2767&amp;"|"&amp;$F2767)</f>
        <v/>
      </c>
      <c r="P2767" s="94">
        <f>IF($A2767="",0,$H2767*설정!$C$23)</f>
        <v/>
      </c>
      <c r="Q2767" s="64">
        <f>IF($A2767="","",IF(O2767&lt;&gt;원인분석!$C$9,"",IF(AND(M2767&gt;=원인분석!$C$10,M2767&lt;=원인분석!$C$11),"당기",IF(AND(M2767&gt;=원인분석!$C$12,M2767&lt;=원인분석!$C$13),"비교",""))))</f>
        <v/>
      </c>
      <c r="R2767" s="9">
        <f>IF(Q2767="","",$K2767&amp;"")</f>
        <v/>
      </c>
      <c r="S2767" s="9">
        <f>IF(Q2767="","",IF(MATCH(R2767,$R$5:$R$100000,0)=ROW()-4,ROW(),""))</f>
        <v/>
      </c>
      <c r="T2767" s="9">
        <f>IF(Q2767="당기",ABS(P2767)+ROW()/1000000000,"")</f>
        <v/>
      </c>
      <c r="U2767" s="9">
        <f>IF(Q2767="비교",ABS(P2767)+ROW()/1000000000,"")</f>
        <v/>
      </c>
      <c r="V2767" s="64">
        <f>IF($A2767="","",IF(COUNTIF(변동분석!$E$7:$E$506,O2767)&gt;0,"Y","N"))</f>
        <v/>
      </c>
      <c r="W2767" s="64">
        <f>IF($A2767="","",IFERROR(INDEX(계정매핑!$D$5:$D$504,MATCH($F2767&amp;"",계정매핑!$A$5:$A$504,0)),"미매핑"))</f>
        <v/>
      </c>
      <c r="X2767" s="9">
        <f>IF($A2767="","",$F2767&amp;"")</f>
        <v/>
      </c>
      <c r="Y2767" s="94">
        <f>IF($A2767="",0,IF(AE2767="직접",IF(AF2767="비귀속",$P2767,0),$P2767*(1-AG2767)*IFERROR(INDEX(계정대체기준!$F$20:$F$49,MATCH($N2767,계정대체기준!$A$20:$A$49,0)),1)))</f>
        <v/>
      </c>
      <c r="Z2767" s="94">
        <f>IF($A2767="",0,IF(AE2767="직접",IF(AF2767="신계약비",$P2767,0),$P2767*(1-AG2767)*IFERROR(INDEX(계정대체기준!$C$20:$C$49,MATCH($N2767,계정대체기준!$A$20:$A$49,0)),0)))</f>
        <v/>
      </c>
      <c r="AA2767" s="94">
        <f>IF($A2767="",0,IF(AE2767="직접",IF(OR(AF2767="유지비",AF2767="손해조사비"),$P2767,0),$P2767*(1-AG2767)*IFERROR(INDEX(계정대체기준!$D$20:$D$49,MATCH($N2767,계정대체기준!$A$20:$A$49,0)),0)))</f>
        <v/>
      </c>
      <c r="AB2767" s="94">
        <f>IF($A2767="",0,IF(AE2767="직접",IF(AF2767="수금비",$P2767,0),$P2767*(1-AG2767)*IFERROR(INDEX(계정대체기준!$E$20:$E$49,MATCH($N2767,계정대체기준!$A$20:$A$49,0)),0)))</f>
        <v/>
      </c>
      <c r="AC2767" s="9">
        <f>IF(AND($A2767&lt;&gt;"",M2767=설정!$C$20,Z2767&gt;0),Z2767+ROW()/1000000000,"")</f>
        <v/>
      </c>
      <c r="AD2767" s="94">
        <f>IF($A2767="",0,$P2767*AG2767)</f>
        <v/>
      </c>
      <c r="AE2767" s="64">
        <f>IF($A2767="","",IFERROR(INDEX(계정매핑!$E$5:$E$504,MATCH($F2767&amp;"",계정매핑!$A$5:$A$504,0))&amp;"","공통비"))</f>
        <v/>
      </c>
      <c r="AF2767" s="64">
        <f>IF($A2767="","",IF(AE2767="직접",IFERROR(INDEX(계정매핑!$F$5:$F$504,MATCH($F2767&amp;"",계정매핑!$A$5:$A$504,0))&amp;"","비귀속"),""))</f>
        <v/>
      </c>
      <c r="AG2767" s="96">
        <f>IF($A2767="",0,IF(AND(AE2767&lt;&gt;"직접",IFERROR(INDEX(계정매핑!$G$5:$G$504,MATCH($F2767&amp;"",계정매핑!$A$5:$A$504,0))&amp;"","")="유지비",COUNTIF(계정대체기준!$A$6:$A$15,$N2767)&gt;0),IFERROR(INDEX(계정대체기준!$E$6:$E$15,MATCH(VALUE($A2767&amp;""),계정대체기준!$D$6:$D$15,0)),0),0))</f>
        <v/>
      </c>
      <c r="AH2767" s="64">
        <f>IF($A2767="","",IF(AD2767=0,"",IF(OR(COUNTIF(계정대체기준!$A$77:$A$86,$N2767)&gt;0,ISNUMBER(MATCH($X2767,계정대체기준!$D$77:$D$86,0)),ISNUMBER(MATCH($F2767,계정대체기준!$D$77:$D$86,0))),"Y","N")))</f>
        <v/>
      </c>
    </row>
    <row r="2768">
      <c r="A2768" s="92" t="n">
        <v>2026</v>
      </c>
      <c r="B2768" s="92" t="n">
        <v>1</v>
      </c>
      <c r="C2768" s="92" t="inlineStr">
        <is>
          <t>5100000046</t>
        </is>
      </c>
      <c r="D2768" s="95" t="n">
        <v>46029</v>
      </c>
      <c r="E2768" s="92" t="inlineStr">
        <is>
          <t>KR</t>
        </is>
      </c>
      <c r="F2768" s="92" t="n">
        <v>62601000</v>
      </c>
      <c r="G2768" s="92" t="n">
        <v>1502</v>
      </c>
      <c r="H2768" s="93" t="n">
        <v>1165000</v>
      </c>
      <c r="I2768" s="92" t="inlineStr">
        <is>
          <t>1월 업무추진 - (법인카드)</t>
        </is>
      </c>
      <c r="J2768" s="92" t="inlineStr">
        <is>
          <t>V10010</t>
        </is>
      </c>
      <c r="K2768" s="92" t="inlineStr">
        <is>
          <t>(법인카드)</t>
        </is>
      </c>
      <c r="M2768" s="9">
        <f>IF($A2768="","",VALUE($A2768&amp;"")*12+VALUE($B2768&amp;""))</f>
        <v/>
      </c>
      <c r="N2768" s="64">
        <f>IF($A2768="","",IFERROR(INDEX(부서매핑!$C$5:$C$504,MATCH($G2768&amp;"",부서매핑!$A$5:$A$504,0)),"미매핑"))</f>
        <v/>
      </c>
      <c r="O2768" s="9">
        <f>IF($A2768="","",N2768&amp;"|"&amp;$F2768)</f>
        <v/>
      </c>
      <c r="P2768" s="94">
        <f>IF($A2768="",0,$H2768*설정!$C$23)</f>
        <v/>
      </c>
      <c r="Q2768" s="64">
        <f>IF($A2768="","",IF(O2768&lt;&gt;원인분석!$C$9,"",IF(AND(M2768&gt;=원인분석!$C$10,M2768&lt;=원인분석!$C$11),"당기",IF(AND(M2768&gt;=원인분석!$C$12,M2768&lt;=원인분석!$C$13),"비교",""))))</f>
        <v/>
      </c>
      <c r="R2768" s="9">
        <f>IF(Q2768="","",$K2768&amp;"")</f>
        <v/>
      </c>
      <c r="S2768" s="9">
        <f>IF(Q2768="","",IF(MATCH(R2768,$R$5:$R$100000,0)=ROW()-4,ROW(),""))</f>
        <v/>
      </c>
      <c r="T2768" s="9">
        <f>IF(Q2768="당기",ABS(P2768)+ROW()/1000000000,"")</f>
        <v/>
      </c>
      <c r="U2768" s="9">
        <f>IF(Q2768="비교",ABS(P2768)+ROW()/1000000000,"")</f>
        <v/>
      </c>
      <c r="V2768" s="64">
        <f>IF($A2768="","",IF(COUNTIF(변동분석!$E$7:$E$506,O2768)&gt;0,"Y","N"))</f>
        <v/>
      </c>
      <c r="W2768" s="64">
        <f>IF($A2768="","",IFERROR(INDEX(계정매핑!$D$5:$D$504,MATCH($F2768&amp;"",계정매핑!$A$5:$A$504,0)),"미매핑"))</f>
        <v/>
      </c>
      <c r="X2768" s="9">
        <f>IF($A2768="","",$F2768&amp;"")</f>
        <v/>
      </c>
      <c r="Y2768" s="94">
        <f>IF($A2768="",0,IF(AE2768="직접",IF(AF2768="비귀속",$P2768,0),$P2768*(1-AG2768)*IFERROR(INDEX(계정대체기준!$F$20:$F$49,MATCH($N2768,계정대체기준!$A$20:$A$49,0)),1)))</f>
        <v/>
      </c>
      <c r="Z2768" s="94">
        <f>IF($A2768="",0,IF(AE2768="직접",IF(AF2768="신계약비",$P2768,0),$P2768*(1-AG2768)*IFERROR(INDEX(계정대체기준!$C$20:$C$49,MATCH($N2768,계정대체기준!$A$20:$A$49,0)),0)))</f>
        <v/>
      </c>
      <c r="AA2768" s="94">
        <f>IF($A2768="",0,IF(AE2768="직접",IF(OR(AF2768="유지비",AF2768="손해조사비"),$P2768,0),$P2768*(1-AG2768)*IFERROR(INDEX(계정대체기준!$D$20:$D$49,MATCH($N2768,계정대체기준!$A$20:$A$49,0)),0)))</f>
        <v/>
      </c>
      <c r="AB2768" s="94">
        <f>IF($A2768="",0,IF(AE2768="직접",IF(AF2768="수금비",$P2768,0),$P2768*(1-AG2768)*IFERROR(INDEX(계정대체기준!$E$20:$E$49,MATCH($N2768,계정대체기준!$A$20:$A$49,0)),0)))</f>
        <v/>
      </c>
      <c r="AC2768" s="9">
        <f>IF(AND($A2768&lt;&gt;"",M2768=설정!$C$20,Z2768&gt;0),Z2768+ROW()/1000000000,"")</f>
        <v/>
      </c>
      <c r="AD2768" s="94">
        <f>IF($A2768="",0,$P2768*AG2768)</f>
        <v/>
      </c>
      <c r="AE2768" s="64">
        <f>IF($A2768="","",IFERROR(INDEX(계정매핑!$E$5:$E$504,MATCH($F2768&amp;"",계정매핑!$A$5:$A$504,0))&amp;"","공통비"))</f>
        <v/>
      </c>
      <c r="AF2768" s="64">
        <f>IF($A2768="","",IF(AE2768="직접",IFERROR(INDEX(계정매핑!$F$5:$F$504,MATCH($F2768&amp;"",계정매핑!$A$5:$A$504,0))&amp;"","비귀속"),""))</f>
        <v/>
      </c>
      <c r="AG2768" s="96">
        <f>IF($A2768="",0,IF(AND(AE2768&lt;&gt;"직접",IFERROR(INDEX(계정매핑!$G$5:$G$504,MATCH($F2768&amp;"",계정매핑!$A$5:$A$504,0))&amp;"","")="유지비",COUNTIF(계정대체기준!$A$6:$A$15,$N2768)&gt;0),IFERROR(INDEX(계정대체기준!$E$6:$E$15,MATCH(VALUE($A2768&amp;""),계정대체기준!$D$6:$D$15,0)),0),0))</f>
        <v/>
      </c>
      <c r="AH2768" s="64">
        <f>IF($A2768="","",IF(AD2768=0,"",IF(OR(COUNTIF(계정대체기준!$A$77:$A$86,$N2768)&gt;0,ISNUMBER(MATCH($X2768,계정대체기준!$D$77:$D$86,0)),ISNUMBER(MATCH($F2768,계정대체기준!$D$77:$D$86,0))),"Y","N")))</f>
        <v/>
      </c>
    </row>
    <row r="2769">
      <c r="A2769" s="92" t="n">
        <v>2026</v>
      </c>
      <c r="B2769" s="92" t="n">
        <v>1</v>
      </c>
      <c r="C2769" s="92" t="inlineStr">
        <is>
          <t>5100000047</t>
        </is>
      </c>
      <c r="D2769" s="95" t="n">
        <v>46029</v>
      </c>
      <c r="E2769" s="92" t="inlineStr">
        <is>
          <t>KR</t>
        </is>
      </c>
      <c r="F2769" s="92" t="n">
        <v>62701000</v>
      </c>
      <c r="G2769" s="92" t="n">
        <v>1501</v>
      </c>
      <c r="H2769" s="93" t="n">
        <v>84489000</v>
      </c>
      <c r="I2769" s="92" t="inlineStr">
        <is>
          <t>1월 광고 집행 - F애드</t>
        </is>
      </c>
      <c r="J2769" s="92" t="inlineStr">
        <is>
          <t>V10023</t>
        </is>
      </c>
      <c r="K2769" s="92" t="inlineStr">
        <is>
          <t>F애드</t>
        </is>
      </c>
      <c r="M2769" s="9">
        <f>IF($A2769="","",VALUE($A2769&amp;"")*12+VALUE($B2769&amp;""))</f>
        <v/>
      </c>
      <c r="N2769" s="64">
        <f>IF($A2769="","",IFERROR(INDEX(부서매핑!$C$5:$C$504,MATCH($G2769&amp;"",부서매핑!$A$5:$A$504,0)),"미매핑"))</f>
        <v/>
      </c>
      <c r="O2769" s="9">
        <f>IF($A2769="","",N2769&amp;"|"&amp;$F2769)</f>
        <v/>
      </c>
      <c r="P2769" s="94">
        <f>IF($A2769="",0,$H2769*설정!$C$23)</f>
        <v/>
      </c>
      <c r="Q2769" s="64">
        <f>IF($A2769="","",IF(O2769&lt;&gt;원인분석!$C$9,"",IF(AND(M2769&gt;=원인분석!$C$10,M2769&lt;=원인분석!$C$11),"당기",IF(AND(M2769&gt;=원인분석!$C$12,M2769&lt;=원인분석!$C$13),"비교",""))))</f>
        <v/>
      </c>
      <c r="R2769" s="9">
        <f>IF(Q2769="","",$K2769&amp;"")</f>
        <v/>
      </c>
      <c r="S2769" s="9">
        <f>IF(Q2769="","",IF(MATCH(R2769,$R$5:$R$100000,0)=ROW()-4,ROW(),""))</f>
        <v/>
      </c>
      <c r="T2769" s="9">
        <f>IF(Q2769="당기",ABS(P2769)+ROW()/1000000000,"")</f>
        <v/>
      </c>
      <c r="U2769" s="9">
        <f>IF(Q2769="비교",ABS(P2769)+ROW()/1000000000,"")</f>
        <v/>
      </c>
      <c r="V2769" s="64">
        <f>IF($A2769="","",IF(COUNTIF(변동분석!$E$7:$E$506,O2769)&gt;0,"Y","N"))</f>
        <v/>
      </c>
      <c r="W2769" s="64">
        <f>IF($A2769="","",IFERROR(INDEX(계정매핑!$D$5:$D$504,MATCH($F2769&amp;"",계정매핑!$A$5:$A$504,0)),"미매핑"))</f>
        <v/>
      </c>
      <c r="X2769" s="9">
        <f>IF($A2769="","",$F2769&amp;"")</f>
        <v/>
      </c>
      <c r="Y2769" s="94">
        <f>IF($A2769="",0,IF(AE2769="직접",IF(AF2769="비귀속",$P2769,0),$P2769*(1-AG2769)*IFERROR(INDEX(계정대체기준!$F$20:$F$49,MATCH($N2769,계정대체기준!$A$20:$A$49,0)),1)))</f>
        <v/>
      </c>
      <c r="Z2769" s="94">
        <f>IF($A2769="",0,IF(AE2769="직접",IF(AF2769="신계약비",$P2769,0),$P2769*(1-AG2769)*IFERROR(INDEX(계정대체기준!$C$20:$C$49,MATCH($N2769,계정대체기준!$A$20:$A$49,0)),0)))</f>
        <v/>
      </c>
      <c r="AA2769" s="94">
        <f>IF($A2769="",0,IF(AE2769="직접",IF(OR(AF2769="유지비",AF2769="손해조사비"),$P2769,0),$P2769*(1-AG2769)*IFERROR(INDEX(계정대체기준!$D$20:$D$49,MATCH($N2769,계정대체기준!$A$20:$A$49,0)),0)))</f>
        <v/>
      </c>
      <c r="AB2769" s="94">
        <f>IF($A2769="",0,IF(AE2769="직접",IF(AF2769="수금비",$P2769,0),$P2769*(1-AG2769)*IFERROR(INDEX(계정대체기준!$E$20:$E$49,MATCH($N2769,계정대체기준!$A$20:$A$49,0)),0)))</f>
        <v/>
      </c>
      <c r="AC2769" s="9">
        <f>IF(AND($A2769&lt;&gt;"",M2769=설정!$C$20,Z2769&gt;0),Z2769+ROW()/1000000000,"")</f>
        <v/>
      </c>
      <c r="AD2769" s="94">
        <f>IF($A2769="",0,$P2769*AG2769)</f>
        <v/>
      </c>
      <c r="AE2769" s="64">
        <f>IF($A2769="","",IFERROR(INDEX(계정매핑!$E$5:$E$504,MATCH($F2769&amp;"",계정매핑!$A$5:$A$504,0))&amp;"","공통비"))</f>
        <v/>
      </c>
      <c r="AF2769" s="64">
        <f>IF($A2769="","",IF(AE2769="직접",IFERROR(INDEX(계정매핑!$F$5:$F$504,MATCH($F2769&amp;"",계정매핑!$A$5:$A$504,0))&amp;"","비귀속"),""))</f>
        <v/>
      </c>
      <c r="AG2769" s="96">
        <f>IF($A2769="",0,IF(AND(AE2769&lt;&gt;"직접",IFERROR(INDEX(계정매핑!$G$5:$G$504,MATCH($F2769&amp;"",계정매핑!$A$5:$A$504,0))&amp;"","")="유지비",COUNTIF(계정대체기준!$A$6:$A$15,$N2769)&gt;0),IFERROR(INDEX(계정대체기준!$E$6:$E$15,MATCH(VALUE($A2769&amp;""),계정대체기준!$D$6:$D$15,0)),0),0))</f>
        <v/>
      </c>
      <c r="AH2769" s="64">
        <f>IF($A2769="","",IF(AD2769=0,"",IF(OR(COUNTIF(계정대체기준!$A$77:$A$86,$N2769)&gt;0,ISNUMBER(MATCH($X2769,계정대체기준!$D$77:$D$86,0)),ISNUMBER(MATCH($F2769,계정대체기준!$D$77:$D$86,0))),"Y","N")))</f>
        <v/>
      </c>
    </row>
    <row r="2770">
      <c r="A2770" s="92" t="n">
        <v>2026</v>
      </c>
      <c r="B2770" s="92" t="n">
        <v>1</v>
      </c>
      <c r="C2770" s="92" t="inlineStr">
        <is>
          <t>5100000048</t>
        </is>
      </c>
      <c r="D2770" s="95" t="n">
        <v>46029</v>
      </c>
      <c r="E2770" s="92" t="inlineStr">
        <is>
          <t>KR</t>
        </is>
      </c>
      <c r="F2770" s="92" t="n">
        <v>62901000</v>
      </c>
      <c r="G2770" s="92" t="n">
        <v>1201</v>
      </c>
      <c r="H2770" s="93" t="n">
        <v>7402000</v>
      </c>
      <c r="I2770" s="92" t="inlineStr">
        <is>
          <t>1월 자문 수수료 - W컨설팅</t>
        </is>
      </c>
      <c r="J2770" s="92" t="inlineStr">
        <is>
          <t>V10006</t>
        </is>
      </c>
      <c r="K2770" s="92" t="inlineStr">
        <is>
          <t>W컨설팅</t>
        </is>
      </c>
      <c r="M2770" s="9">
        <f>IF($A2770="","",VALUE($A2770&amp;"")*12+VALUE($B2770&amp;""))</f>
        <v/>
      </c>
      <c r="N2770" s="64">
        <f>IF($A2770="","",IFERROR(INDEX(부서매핑!$C$5:$C$504,MATCH($G2770&amp;"",부서매핑!$A$5:$A$504,0)),"미매핑"))</f>
        <v/>
      </c>
      <c r="O2770" s="9">
        <f>IF($A2770="","",N2770&amp;"|"&amp;$F2770)</f>
        <v/>
      </c>
      <c r="P2770" s="94">
        <f>IF($A2770="",0,$H2770*설정!$C$23)</f>
        <v/>
      </c>
      <c r="Q2770" s="64">
        <f>IF($A2770="","",IF(O2770&lt;&gt;원인분석!$C$9,"",IF(AND(M2770&gt;=원인분석!$C$10,M2770&lt;=원인분석!$C$11),"당기",IF(AND(M2770&gt;=원인분석!$C$12,M2770&lt;=원인분석!$C$13),"비교",""))))</f>
        <v/>
      </c>
      <c r="R2770" s="9">
        <f>IF(Q2770="","",$K2770&amp;"")</f>
        <v/>
      </c>
      <c r="S2770" s="9">
        <f>IF(Q2770="","",IF(MATCH(R2770,$R$5:$R$100000,0)=ROW()-4,ROW(),""))</f>
        <v/>
      </c>
      <c r="T2770" s="9">
        <f>IF(Q2770="당기",ABS(P2770)+ROW()/1000000000,"")</f>
        <v/>
      </c>
      <c r="U2770" s="9">
        <f>IF(Q2770="비교",ABS(P2770)+ROW()/1000000000,"")</f>
        <v/>
      </c>
      <c r="V2770" s="64">
        <f>IF($A2770="","",IF(COUNTIF(변동분석!$E$7:$E$506,O2770)&gt;0,"Y","N"))</f>
        <v/>
      </c>
      <c r="W2770" s="64">
        <f>IF($A2770="","",IFERROR(INDEX(계정매핑!$D$5:$D$504,MATCH($F2770&amp;"",계정매핑!$A$5:$A$504,0)),"미매핑"))</f>
        <v/>
      </c>
      <c r="X2770" s="9">
        <f>IF($A2770="","",$F2770&amp;"")</f>
        <v/>
      </c>
      <c r="Y2770" s="94">
        <f>IF($A2770="",0,IF(AE2770="직접",IF(AF2770="비귀속",$P2770,0),$P2770*(1-AG2770)*IFERROR(INDEX(계정대체기준!$F$20:$F$49,MATCH($N2770,계정대체기준!$A$20:$A$49,0)),1)))</f>
        <v/>
      </c>
      <c r="Z2770" s="94">
        <f>IF($A2770="",0,IF(AE2770="직접",IF(AF2770="신계약비",$P2770,0),$P2770*(1-AG2770)*IFERROR(INDEX(계정대체기준!$C$20:$C$49,MATCH($N2770,계정대체기준!$A$20:$A$49,0)),0)))</f>
        <v/>
      </c>
      <c r="AA2770" s="94">
        <f>IF($A2770="",0,IF(AE2770="직접",IF(OR(AF2770="유지비",AF2770="손해조사비"),$P2770,0),$P2770*(1-AG2770)*IFERROR(INDEX(계정대체기준!$D$20:$D$49,MATCH($N2770,계정대체기준!$A$20:$A$49,0)),0)))</f>
        <v/>
      </c>
      <c r="AB2770" s="94">
        <f>IF($A2770="",0,IF(AE2770="직접",IF(AF2770="수금비",$P2770,0),$P2770*(1-AG2770)*IFERROR(INDEX(계정대체기준!$E$20:$E$49,MATCH($N2770,계정대체기준!$A$20:$A$49,0)),0)))</f>
        <v/>
      </c>
      <c r="AC2770" s="9">
        <f>IF(AND($A2770&lt;&gt;"",M2770=설정!$C$20,Z2770&gt;0),Z2770+ROW()/1000000000,"")</f>
        <v/>
      </c>
      <c r="AD2770" s="94">
        <f>IF($A2770="",0,$P2770*AG2770)</f>
        <v/>
      </c>
      <c r="AE2770" s="64">
        <f>IF($A2770="","",IFERROR(INDEX(계정매핑!$E$5:$E$504,MATCH($F2770&amp;"",계정매핑!$A$5:$A$504,0))&amp;"","공통비"))</f>
        <v/>
      </c>
      <c r="AF2770" s="64">
        <f>IF($A2770="","",IF(AE2770="직접",IFERROR(INDEX(계정매핑!$F$5:$F$504,MATCH($F2770&amp;"",계정매핑!$A$5:$A$504,0))&amp;"","비귀속"),""))</f>
        <v/>
      </c>
      <c r="AG2770" s="96">
        <f>IF($A2770="",0,IF(AND(AE2770&lt;&gt;"직접",IFERROR(INDEX(계정매핑!$G$5:$G$504,MATCH($F2770&amp;"",계정매핑!$A$5:$A$504,0))&amp;"","")="유지비",COUNTIF(계정대체기준!$A$6:$A$15,$N2770)&gt;0),IFERROR(INDEX(계정대체기준!$E$6:$E$15,MATCH(VALUE($A2770&amp;""),계정대체기준!$D$6:$D$15,0)),0),0))</f>
        <v/>
      </c>
      <c r="AH2770" s="64">
        <f>IF($A2770="","",IF(AD2770=0,"",IF(OR(COUNTIF(계정대체기준!$A$77:$A$86,$N2770)&gt;0,ISNUMBER(MATCH($X2770,계정대체기준!$D$77:$D$86,0)),ISNUMBER(MATCH($F2770,계정대체기준!$D$77:$D$86,0))),"Y","N")))</f>
        <v/>
      </c>
    </row>
    <row r="2771">
      <c r="A2771" s="92" t="n">
        <v>2026</v>
      </c>
      <c r="B2771" s="92" t="n">
        <v>1</v>
      </c>
      <c r="C2771" s="92" t="inlineStr">
        <is>
          <t>5100000049</t>
        </is>
      </c>
      <c r="D2771" s="95" t="n">
        <v>46030</v>
      </c>
      <c r="E2771" s="92" t="inlineStr">
        <is>
          <t>KR</t>
        </is>
      </c>
      <c r="F2771" s="92" t="n">
        <v>62102000</v>
      </c>
      <c r="G2771" s="92" t="n">
        <v>1701</v>
      </c>
      <c r="H2771" s="93" t="n">
        <v>86000</v>
      </c>
      <c r="I2771" s="92" t="inlineStr">
        <is>
          <t>1월 해외출장 - N호텔</t>
        </is>
      </c>
      <c r="J2771" s="92" t="inlineStr">
        <is>
          <t>V10009</t>
        </is>
      </c>
      <c r="K2771" s="92" t="inlineStr">
        <is>
          <t>N호텔</t>
        </is>
      </c>
      <c r="M2771" s="9">
        <f>IF($A2771="","",VALUE($A2771&amp;"")*12+VALUE($B2771&amp;""))</f>
        <v/>
      </c>
      <c r="N2771" s="64">
        <f>IF($A2771="","",IFERROR(INDEX(부서매핑!$C$5:$C$504,MATCH($G2771&amp;"",부서매핑!$A$5:$A$504,0)),"미매핑"))</f>
        <v/>
      </c>
      <c r="O2771" s="9">
        <f>IF($A2771="","",N2771&amp;"|"&amp;$F2771)</f>
        <v/>
      </c>
      <c r="P2771" s="94">
        <f>IF($A2771="",0,$H2771*설정!$C$23)</f>
        <v/>
      </c>
      <c r="Q2771" s="64">
        <f>IF($A2771="","",IF(O2771&lt;&gt;원인분석!$C$9,"",IF(AND(M2771&gt;=원인분석!$C$10,M2771&lt;=원인분석!$C$11),"당기",IF(AND(M2771&gt;=원인분석!$C$12,M2771&lt;=원인분석!$C$13),"비교",""))))</f>
        <v/>
      </c>
      <c r="R2771" s="9">
        <f>IF(Q2771="","",$K2771&amp;"")</f>
        <v/>
      </c>
      <c r="S2771" s="9">
        <f>IF(Q2771="","",IF(MATCH(R2771,$R$5:$R$100000,0)=ROW()-4,ROW(),""))</f>
        <v/>
      </c>
      <c r="T2771" s="9">
        <f>IF(Q2771="당기",ABS(P2771)+ROW()/1000000000,"")</f>
        <v/>
      </c>
      <c r="U2771" s="9">
        <f>IF(Q2771="비교",ABS(P2771)+ROW()/1000000000,"")</f>
        <v/>
      </c>
      <c r="V2771" s="64">
        <f>IF($A2771="","",IF(COUNTIF(변동분석!$E$7:$E$506,O2771)&gt;0,"Y","N"))</f>
        <v/>
      </c>
      <c r="W2771" s="64">
        <f>IF($A2771="","",IFERROR(INDEX(계정매핑!$D$5:$D$504,MATCH($F2771&amp;"",계정매핑!$A$5:$A$504,0)),"미매핑"))</f>
        <v/>
      </c>
      <c r="X2771" s="9">
        <f>IF($A2771="","",$F2771&amp;"")</f>
        <v/>
      </c>
      <c r="Y2771" s="94">
        <f>IF($A2771="",0,IF(AE2771="직접",IF(AF2771="비귀속",$P2771,0),$P2771*(1-AG2771)*IFERROR(INDEX(계정대체기준!$F$20:$F$49,MATCH($N2771,계정대체기준!$A$20:$A$49,0)),1)))</f>
        <v/>
      </c>
      <c r="Z2771" s="94">
        <f>IF($A2771="",0,IF(AE2771="직접",IF(AF2771="신계약비",$P2771,0),$P2771*(1-AG2771)*IFERROR(INDEX(계정대체기준!$C$20:$C$49,MATCH($N2771,계정대체기준!$A$20:$A$49,0)),0)))</f>
        <v/>
      </c>
      <c r="AA2771" s="94">
        <f>IF($A2771="",0,IF(AE2771="직접",IF(OR(AF2771="유지비",AF2771="손해조사비"),$P2771,0),$P2771*(1-AG2771)*IFERROR(INDEX(계정대체기준!$D$20:$D$49,MATCH($N2771,계정대체기준!$A$20:$A$49,0)),0)))</f>
        <v/>
      </c>
      <c r="AB2771" s="94">
        <f>IF($A2771="",0,IF(AE2771="직접",IF(AF2771="수금비",$P2771,0),$P2771*(1-AG2771)*IFERROR(INDEX(계정대체기준!$E$20:$E$49,MATCH($N2771,계정대체기준!$A$20:$A$49,0)),0)))</f>
        <v/>
      </c>
      <c r="AC2771" s="9">
        <f>IF(AND($A2771&lt;&gt;"",M2771=설정!$C$20,Z2771&gt;0),Z2771+ROW()/1000000000,"")</f>
        <v/>
      </c>
      <c r="AD2771" s="94">
        <f>IF($A2771="",0,$P2771*AG2771)</f>
        <v/>
      </c>
      <c r="AE2771" s="64">
        <f>IF($A2771="","",IFERROR(INDEX(계정매핑!$E$5:$E$504,MATCH($F2771&amp;"",계정매핑!$A$5:$A$504,0))&amp;"","공통비"))</f>
        <v/>
      </c>
      <c r="AF2771" s="64">
        <f>IF($A2771="","",IF(AE2771="직접",IFERROR(INDEX(계정매핑!$F$5:$F$504,MATCH($F2771&amp;"",계정매핑!$A$5:$A$504,0))&amp;"","비귀속"),""))</f>
        <v/>
      </c>
      <c r="AG2771" s="96">
        <f>IF($A2771="",0,IF(AND(AE2771&lt;&gt;"직접",IFERROR(INDEX(계정매핑!$G$5:$G$504,MATCH($F2771&amp;"",계정매핑!$A$5:$A$504,0))&amp;"","")="유지비",COUNTIF(계정대체기준!$A$6:$A$15,$N2771)&gt;0),IFERROR(INDEX(계정대체기준!$E$6:$E$15,MATCH(VALUE($A2771&amp;""),계정대체기준!$D$6:$D$15,0)),0),0))</f>
        <v/>
      </c>
      <c r="AH2771" s="64">
        <f>IF($A2771="","",IF(AD2771=0,"",IF(OR(COUNTIF(계정대체기준!$A$77:$A$86,$N2771)&gt;0,ISNUMBER(MATCH($X2771,계정대체기준!$D$77:$D$86,0)),ISNUMBER(MATCH($F2771,계정대체기준!$D$77:$D$86,0))),"Y","N")))</f>
        <v/>
      </c>
    </row>
    <row r="2772">
      <c r="A2772" s="92" t="n">
        <v>2026</v>
      </c>
      <c r="B2772" s="92" t="n">
        <v>1</v>
      </c>
      <c r="C2772" s="92" t="inlineStr">
        <is>
          <t>5100000050</t>
        </is>
      </c>
      <c r="D2772" s="95" t="n">
        <v>46030</v>
      </c>
      <c r="E2772" s="92" t="inlineStr">
        <is>
          <t>KR</t>
        </is>
      </c>
      <c r="F2772" s="92" t="n">
        <v>62201000</v>
      </c>
      <c r="G2772" s="92" t="n">
        <v>1201</v>
      </c>
      <c r="H2772" s="93" t="n">
        <v>241000</v>
      </c>
      <c r="I2772" s="92" t="inlineStr">
        <is>
          <t>1월 통신요금 - P통신</t>
        </is>
      </c>
      <c r="J2772" s="92" t="inlineStr">
        <is>
          <t>V10014</t>
        </is>
      </c>
      <c r="K2772" s="92" t="inlineStr">
        <is>
          <t>P통신</t>
        </is>
      </c>
      <c r="M2772" s="9">
        <f>IF($A2772="","",VALUE($A2772&amp;"")*12+VALUE($B2772&amp;""))</f>
        <v/>
      </c>
      <c r="N2772" s="64">
        <f>IF($A2772="","",IFERROR(INDEX(부서매핑!$C$5:$C$504,MATCH($G2772&amp;"",부서매핑!$A$5:$A$504,0)),"미매핑"))</f>
        <v/>
      </c>
      <c r="O2772" s="9">
        <f>IF($A2772="","",N2772&amp;"|"&amp;$F2772)</f>
        <v/>
      </c>
      <c r="P2772" s="94">
        <f>IF($A2772="",0,$H2772*설정!$C$23)</f>
        <v/>
      </c>
      <c r="Q2772" s="64">
        <f>IF($A2772="","",IF(O2772&lt;&gt;원인분석!$C$9,"",IF(AND(M2772&gt;=원인분석!$C$10,M2772&lt;=원인분석!$C$11),"당기",IF(AND(M2772&gt;=원인분석!$C$12,M2772&lt;=원인분석!$C$13),"비교",""))))</f>
        <v/>
      </c>
      <c r="R2772" s="9">
        <f>IF(Q2772="","",$K2772&amp;"")</f>
        <v/>
      </c>
      <c r="S2772" s="9">
        <f>IF(Q2772="","",IF(MATCH(R2772,$R$5:$R$100000,0)=ROW()-4,ROW(),""))</f>
        <v/>
      </c>
      <c r="T2772" s="9">
        <f>IF(Q2772="당기",ABS(P2772)+ROW()/1000000000,"")</f>
        <v/>
      </c>
      <c r="U2772" s="9">
        <f>IF(Q2772="비교",ABS(P2772)+ROW()/1000000000,"")</f>
        <v/>
      </c>
      <c r="V2772" s="64">
        <f>IF($A2772="","",IF(COUNTIF(변동분석!$E$7:$E$506,O2772)&gt;0,"Y","N"))</f>
        <v/>
      </c>
      <c r="W2772" s="64">
        <f>IF($A2772="","",IFERROR(INDEX(계정매핑!$D$5:$D$504,MATCH($F2772&amp;"",계정매핑!$A$5:$A$504,0)),"미매핑"))</f>
        <v/>
      </c>
      <c r="X2772" s="9">
        <f>IF($A2772="","",$F2772&amp;"")</f>
        <v/>
      </c>
      <c r="Y2772" s="94">
        <f>IF($A2772="",0,IF(AE2772="직접",IF(AF2772="비귀속",$P2772,0),$P2772*(1-AG2772)*IFERROR(INDEX(계정대체기준!$F$20:$F$49,MATCH($N2772,계정대체기준!$A$20:$A$49,0)),1)))</f>
        <v/>
      </c>
      <c r="Z2772" s="94">
        <f>IF($A2772="",0,IF(AE2772="직접",IF(AF2772="신계약비",$P2772,0),$P2772*(1-AG2772)*IFERROR(INDEX(계정대체기준!$C$20:$C$49,MATCH($N2772,계정대체기준!$A$20:$A$49,0)),0)))</f>
        <v/>
      </c>
      <c r="AA2772" s="94">
        <f>IF($A2772="",0,IF(AE2772="직접",IF(OR(AF2772="유지비",AF2772="손해조사비"),$P2772,0),$P2772*(1-AG2772)*IFERROR(INDEX(계정대체기준!$D$20:$D$49,MATCH($N2772,계정대체기준!$A$20:$A$49,0)),0)))</f>
        <v/>
      </c>
      <c r="AB2772" s="94">
        <f>IF($A2772="",0,IF(AE2772="직접",IF(AF2772="수금비",$P2772,0),$P2772*(1-AG2772)*IFERROR(INDEX(계정대체기준!$E$20:$E$49,MATCH($N2772,계정대체기준!$A$20:$A$49,0)),0)))</f>
        <v/>
      </c>
      <c r="AC2772" s="9">
        <f>IF(AND($A2772&lt;&gt;"",M2772=설정!$C$20,Z2772&gt;0),Z2772+ROW()/1000000000,"")</f>
        <v/>
      </c>
      <c r="AD2772" s="94">
        <f>IF($A2772="",0,$P2772*AG2772)</f>
        <v/>
      </c>
      <c r="AE2772" s="64">
        <f>IF($A2772="","",IFERROR(INDEX(계정매핑!$E$5:$E$504,MATCH($F2772&amp;"",계정매핑!$A$5:$A$504,0))&amp;"","공통비"))</f>
        <v/>
      </c>
      <c r="AF2772" s="64">
        <f>IF($A2772="","",IF(AE2772="직접",IFERROR(INDEX(계정매핑!$F$5:$F$504,MATCH($F2772&amp;"",계정매핑!$A$5:$A$504,0))&amp;"","비귀속"),""))</f>
        <v/>
      </c>
      <c r="AG2772" s="96">
        <f>IF($A2772="",0,IF(AND(AE2772&lt;&gt;"직접",IFERROR(INDEX(계정매핑!$G$5:$G$504,MATCH($F2772&amp;"",계정매핑!$A$5:$A$504,0))&amp;"","")="유지비",COUNTIF(계정대체기준!$A$6:$A$15,$N2772)&gt;0),IFERROR(INDEX(계정대체기준!$E$6:$E$15,MATCH(VALUE($A2772&amp;""),계정대체기준!$D$6:$D$15,0)),0),0))</f>
        <v/>
      </c>
      <c r="AH2772" s="64">
        <f>IF($A2772="","",IF(AD2772=0,"",IF(OR(COUNTIF(계정대체기준!$A$77:$A$86,$N2772)&gt;0,ISNUMBER(MATCH($X2772,계정대체기준!$D$77:$D$86,0)),ISNUMBER(MATCH($F2772,계정대체기준!$D$77:$D$86,0))),"Y","N")))</f>
        <v/>
      </c>
    </row>
    <row r="2773">
      <c r="A2773" s="92" t="n">
        <v>2026</v>
      </c>
      <c r="B2773" s="92" t="n">
        <v>1</v>
      </c>
      <c r="C2773" s="92" t="inlineStr">
        <is>
          <t>5100000051</t>
        </is>
      </c>
      <c r="D2773" s="95" t="n">
        <v>46030</v>
      </c>
      <c r="E2773" s="92" t="inlineStr">
        <is>
          <t>KR</t>
        </is>
      </c>
      <c r="F2773" s="92" t="n">
        <v>62301000</v>
      </c>
      <c r="G2773" s="92" t="n">
        <v>1401</v>
      </c>
      <c r="H2773" s="93" t="n">
        <v>123000</v>
      </c>
      <c r="I2773" s="92" t="inlineStr">
        <is>
          <t>1월 소모품 구입 - Q오피스</t>
        </is>
      </c>
      <c r="J2773" s="92" t="inlineStr">
        <is>
          <t>V10003</t>
        </is>
      </c>
      <c r="K2773" s="92" t="inlineStr">
        <is>
          <t>Q오피스</t>
        </is>
      </c>
      <c r="M2773" s="9">
        <f>IF($A2773="","",VALUE($A2773&amp;"")*12+VALUE($B2773&amp;""))</f>
        <v/>
      </c>
      <c r="N2773" s="64">
        <f>IF($A2773="","",IFERROR(INDEX(부서매핑!$C$5:$C$504,MATCH($G2773&amp;"",부서매핑!$A$5:$A$504,0)),"미매핑"))</f>
        <v/>
      </c>
      <c r="O2773" s="9">
        <f>IF($A2773="","",N2773&amp;"|"&amp;$F2773)</f>
        <v/>
      </c>
      <c r="P2773" s="94">
        <f>IF($A2773="",0,$H2773*설정!$C$23)</f>
        <v/>
      </c>
      <c r="Q2773" s="64">
        <f>IF($A2773="","",IF(O2773&lt;&gt;원인분석!$C$9,"",IF(AND(M2773&gt;=원인분석!$C$10,M2773&lt;=원인분석!$C$11),"당기",IF(AND(M2773&gt;=원인분석!$C$12,M2773&lt;=원인분석!$C$13),"비교",""))))</f>
        <v/>
      </c>
      <c r="R2773" s="9">
        <f>IF(Q2773="","",$K2773&amp;"")</f>
        <v/>
      </c>
      <c r="S2773" s="9">
        <f>IF(Q2773="","",IF(MATCH(R2773,$R$5:$R$100000,0)=ROW()-4,ROW(),""))</f>
        <v/>
      </c>
      <c r="T2773" s="9">
        <f>IF(Q2773="당기",ABS(P2773)+ROW()/1000000000,"")</f>
        <v/>
      </c>
      <c r="U2773" s="9">
        <f>IF(Q2773="비교",ABS(P2773)+ROW()/1000000000,"")</f>
        <v/>
      </c>
      <c r="V2773" s="64">
        <f>IF($A2773="","",IF(COUNTIF(변동분석!$E$7:$E$506,O2773)&gt;0,"Y","N"))</f>
        <v/>
      </c>
      <c r="W2773" s="64">
        <f>IF($A2773="","",IFERROR(INDEX(계정매핑!$D$5:$D$504,MATCH($F2773&amp;"",계정매핑!$A$5:$A$504,0)),"미매핑"))</f>
        <v/>
      </c>
      <c r="X2773" s="9">
        <f>IF($A2773="","",$F2773&amp;"")</f>
        <v/>
      </c>
      <c r="Y2773" s="94">
        <f>IF($A2773="",0,IF(AE2773="직접",IF(AF2773="비귀속",$P2773,0),$P2773*(1-AG2773)*IFERROR(INDEX(계정대체기준!$F$20:$F$49,MATCH($N2773,계정대체기준!$A$20:$A$49,0)),1)))</f>
        <v/>
      </c>
      <c r="Z2773" s="94">
        <f>IF($A2773="",0,IF(AE2773="직접",IF(AF2773="신계약비",$P2773,0),$P2773*(1-AG2773)*IFERROR(INDEX(계정대체기준!$C$20:$C$49,MATCH($N2773,계정대체기준!$A$20:$A$49,0)),0)))</f>
        <v/>
      </c>
      <c r="AA2773" s="94">
        <f>IF($A2773="",0,IF(AE2773="직접",IF(OR(AF2773="유지비",AF2773="손해조사비"),$P2773,0),$P2773*(1-AG2773)*IFERROR(INDEX(계정대체기준!$D$20:$D$49,MATCH($N2773,계정대체기준!$A$20:$A$49,0)),0)))</f>
        <v/>
      </c>
      <c r="AB2773" s="94">
        <f>IF($A2773="",0,IF(AE2773="직접",IF(AF2773="수금비",$P2773,0),$P2773*(1-AG2773)*IFERROR(INDEX(계정대체기준!$E$20:$E$49,MATCH($N2773,계정대체기준!$A$20:$A$49,0)),0)))</f>
        <v/>
      </c>
      <c r="AC2773" s="9">
        <f>IF(AND($A2773&lt;&gt;"",M2773=설정!$C$20,Z2773&gt;0),Z2773+ROW()/1000000000,"")</f>
        <v/>
      </c>
      <c r="AD2773" s="94">
        <f>IF($A2773="",0,$P2773*AG2773)</f>
        <v/>
      </c>
      <c r="AE2773" s="64">
        <f>IF($A2773="","",IFERROR(INDEX(계정매핑!$E$5:$E$504,MATCH($F2773&amp;"",계정매핑!$A$5:$A$504,0))&amp;"","공통비"))</f>
        <v/>
      </c>
      <c r="AF2773" s="64">
        <f>IF($A2773="","",IF(AE2773="직접",IFERROR(INDEX(계정매핑!$F$5:$F$504,MATCH($F2773&amp;"",계정매핑!$A$5:$A$504,0))&amp;"","비귀속"),""))</f>
        <v/>
      </c>
      <c r="AG2773" s="96">
        <f>IF($A2773="",0,IF(AND(AE2773&lt;&gt;"직접",IFERROR(INDEX(계정매핑!$G$5:$G$504,MATCH($F2773&amp;"",계정매핑!$A$5:$A$504,0))&amp;"","")="유지비",COUNTIF(계정대체기준!$A$6:$A$15,$N2773)&gt;0),IFERROR(INDEX(계정대체기준!$E$6:$E$15,MATCH(VALUE($A2773&amp;""),계정대체기준!$D$6:$D$15,0)),0),0))</f>
        <v/>
      </c>
      <c r="AH2773" s="64">
        <f>IF($A2773="","",IF(AD2773=0,"",IF(OR(COUNTIF(계정대체기준!$A$77:$A$86,$N2773)&gt;0,ISNUMBER(MATCH($X2773,계정대체기준!$D$77:$D$86,0)),ISNUMBER(MATCH($F2773,계정대체기준!$D$77:$D$86,0))),"Y","N")))</f>
        <v/>
      </c>
    </row>
    <row r="2774">
      <c r="A2774" s="92" t="n">
        <v>2026</v>
      </c>
      <c r="B2774" s="92" t="n">
        <v>1</v>
      </c>
      <c r="C2774" s="92" t="inlineStr">
        <is>
          <t>5100000052</t>
        </is>
      </c>
      <c r="D2774" s="95" t="n">
        <v>46030</v>
      </c>
      <c r="E2774" s="92" t="inlineStr">
        <is>
          <t>KR</t>
        </is>
      </c>
      <c r="F2774" s="92" t="n">
        <v>62301000</v>
      </c>
      <c r="G2774" s="92" t="n">
        <v>1602</v>
      </c>
      <c r="H2774" s="93" t="n">
        <v>272000</v>
      </c>
      <c r="I2774" s="92" t="inlineStr">
        <is>
          <t>1월 소모품 구입 - R문구</t>
        </is>
      </c>
      <c r="J2774" s="92" t="inlineStr">
        <is>
          <t>V10022</t>
        </is>
      </c>
      <c r="K2774" s="92" t="inlineStr">
        <is>
          <t>R문구</t>
        </is>
      </c>
      <c r="M2774" s="9">
        <f>IF($A2774="","",VALUE($A2774&amp;"")*12+VALUE($B2774&amp;""))</f>
        <v/>
      </c>
      <c r="N2774" s="64">
        <f>IF($A2774="","",IFERROR(INDEX(부서매핑!$C$5:$C$504,MATCH($G2774&amp;"",부서매핑!$A$5:$A$504,0)),"미매핑"))</f>
        <v/>
      </c>
      <c r="O2774" s="9">
        <f>IF($A2774="","",N2774&amp;"|"&amp;$F2774)</f>
        <v/>
      </c>
      <c r="P2774" s="94">
        <f>IF($A2774="",0,$H2774*설정!$C$23)</f>
        <v/>
      </c>
      <c r="Q2774" s="64">
        <f>IF($A2774="","",IF(O2774&lt;&gt;원인분석!$C$9,"",IF(AND(M2774&gt;=원인분석!$C$10,M2774&lt;=원인분석!$C$11),"당기",IF(AND(M2774&gt;=원인분석!$C$12,M2774&lt;=원인분석!$C$13),"비교",""))))</f>
        <v/>
      </c>
      <c r="R2774" s="9">
        <f>IF(Q2774="","",$K2774&amp;"")</f>
        <v/>
      </c>
      <c r="S2774" s="9">
        <f>IF(Q2774="","",IF(MATCH(R2774,$R$5:$R$100000,0)=ROW()-4,ROW(),""))</f>
        <v/>
      </c>
      <c r="T2774" s="9">
        <f>IF(Q2774="당기",ABS(P2774)+ROW()/1000000000,"")</f>
        <v/>
      </c>
      <c r="U2774" s="9">
        <f>IF(Q2774="비교",ABS(P2774)+ROW()/1000000000,"")</f>
        <v/>
      </c>
      <c r="V2774" s="64">
        <f>IF($A2774="","",IF(COUNTIF(변동분석!$E$7:$E$506,O2774)&gt;0,"Y","N"))</f>
        <v/>
      </c>
      <c r="W2774" s="64">
        <f>IF($A2774="","",IFERROR(INDEX(계정매핑!$D$5:$D$504,MATCH($F2774&amp;"",계정매핑!$A$5:$A$504,0)),"미매핑"))</f>
        <v/>
      </c>
      <c r="X2774" s="9">
        <f>IF($A2774="","",$F2774&amp;"")</f>
        <v/>
      </c>
      <c r="Y2774" s="94">
        <f>IF($A2774="",0,IF(AE2774="직접",IF(AF2774="비귀속",$P2774,0),$P2774*(1-AG2774)*IFERROR(INDEX(계정대체기준!$F$20:$F$49,MATCH($N2774,계정대체기준!$A$20:$A$49,0)),1)))</f>
        <v/>
      </c>
      <c r="Z2774" s="94">
        <f>IF($A2774="",0,IF(AE2774="직접",IF(AF2774="신계약비",$P2774,0),$P2774*(1-AG2774)*IFERROR(INDEX(계정대체기준!$C$20:$C$49,MATCH($N2774,계정대체기준!$A$20:$A$49,0)),0)))</f>
        <v/>
      </c>
      <c r="AA2774" s="94">
        <f>IF($A2774="",0,IF(AE2774="직접",IF(OR(AF2774="유지비",AF2774="손해조사비"),$P2774,0),$P2774*(1-AG2774)*IFERROR(INDEX(계정대체기준!$D$20:$D$49,MATCH($N2774,계정대체기준!$A$20:$A$49,0)),0)))</f>
        <v/>
      </c>
      <c r="AB2774" s="94">
        <f>IF($A2774="",0,IF(AE2774="직접",IF(AF2774="수금비",$P2774,0),$P2774*(1-AG2774)*IFERROR(INDEX(계정대체기준!$E$20:$E$49,MATCH($N2774,계정대체기준!$A$20:$A$49,0)),0)))</f>
        <v/>
      </c>
      <c r="AC2774" s="9">
        <f>IF(AND($A2774&lt;&gt;"",M2774=설정!$C$20,Z2774&gt;0),Z2774+ROW()/1000000000,"")</f>
        <v/>
      </c>
      <c r="AD2774" s="94">
        <f>IF($A2774="",0,$P2774*AG2774)</f>
        <v/>
      </c>
      <c r="AE2774" s="64">
        <f>IF($A2774="","",IFERROR(INDEX(계정매핑!$E$5:$E$504,MATCH($F2774&amp;"",계정매핑!$A$5:$A$504,0))&amp;"","공통비"))</f>
        <v/>
      </c>
      <c r="AF2774" s="64">
        <f>IF($A2774="","",IF(AE2774="직접",IFERROR(INDEX(계정매핑!$F$5:$F$504,MATCH($F2774&amp;"",계정매핑!$A$5:$A$504,0))&amp;"","비귀속"),""))</f>
        <v/>
      </c>
      <c r="AG2774" s="96">
        <f>IF($A2774="",0,IF(AND(AE2774&lt;&gt;"직접",IFERROR(INDEX(계정매핑!$G$5:$G$504,MATCH($F2774&amp;"",계정매핑!$A$5:$A$504,0))&amp;"","")="유지비",COUNTIF(계정대체기준!$A$6:$A$15,$N2774)&gt;0),IFERROR(INDEX(계정대체기준!$E$6:$E$15,MATCH(VALUE($A2774&amp;""),계정대체기준!$D$6:$D$15,0)),0),0))</f>
        <v/>
      </c>
      <c r="AH2774" s="64">
        <f>IF($A2774="","",IF(AD2774=0,"",IF(OR(COUNTIF(계정대체기준!$A$77:$A$86,$N2774)&gt;0,ISNUMBER(MATCH($X2774,계정대체기준!$D$77:$D$86,0)),ISNUMBER(MATCH($F2774,계정대체기준!$D$77:$D$86,0))),"Y","N")))</f>
        <v/>
      </c>
    </row>
    <row r="2775">
      <c r="A2775" s="92" t="n">
        <v>2026</v>
      </c>
      <c r="B2775" s="92" t="n">
        <v>1</v>
      </c>
      <c r="C2775" s="92" t="inlineStr">
        <is>
          <t>5100000053</t>
        </is>
      </c>
      <c r="D2775" s="95" t="n">
        <v>46030</v>
      </c>
      <c r="E2775" s="92" t="inlineStr">
        <is>
          <t>KR</t>
        </is>
      </c>
      <c r="F2775" s="92" t="n">
        <v>62301000</v>
      </c>
      <c r="G2775" s="92" t="n">
        <v>1701</v>
      </c>
      <c r="H2775" s="93" t="n">
        <v>202000</v>
      </c>
      <c r="I2775" s="92" t="inlineStr">
        <is>
          <t>1월 소모품 구입 - Q오피스</t>
        </is>
      </c>
      <c r="J2775" s="92" t="inlineStr">
        <is>
          <t>V10003</t>
        </is>
      </c>
      <c r="K2775" s="92" t="inlineStr">
        <is>
          <t>Q오피스</t>
        </is>
      </c>
      <c r="M2775" s="9">
        <f>IF($A2775="","",VALUE($A2775&amp;"")*12+VALUE($B2775&amp;""))</f>
        <v/>
      </c>
      <c r="N2775" s="64">
        <f>IF($A2775="","",IFERROR(INDEX(부서매핑!$C$5:$C$504,MATCH($G2775&amp;"",부서매핑!$A$5:$A$504,0)),"미매핑"))</f>
        <v/>
      </c>
      <c r="O2775" s="9">
        <f>IF($A2775="","",N2775&amp;"|"&amp;$F2775)</f>
        <v/>
      </c>
      <c r="P2775" s="94">
        <f>IF($A2775="",0,$H2775*설정!$C$23)</f>
        <v/>
      </c>
      <c r="Q2775" s="64">
        <f>IF($A2775="","",IF(O2775&lt;&gt;원인분석!$C$9,"",IF(AND(M2775&gt;=원인분석!$C$10,M2775&lt;=원인분석!$C$11),"당기",IF(AND(M2775&gt;=원인분석!$C$12,M2775&lt;=원인분석!$C$13),"비교",""))))</f>
        <v/>
      </c>
      <c r="R2775" s="9">
        <f>IF(Q2775="","",$K2775&amp;"")</f>
        <v/>
      </c>
      <c r="S2775" s="9">
        <f>IF(Q2775="","",IF(MATCH(R2775,$R$5:$R$100000,0)=ROW()-4,ROW(),""))</f>
        <v/>
      </c>
      <c r="T2775" s="9">
        <f>IF(Q2775="당기",ABS(P2775)+ROW()/1000000000,"")</f>
        <v/>
      </c>
      <c r="U2775" s="9">
        <f>IF(Q2775="비교",ABS(P2775)+ROW()/1000000000,"")</f>
        <v/>
      </c>
      <c r="V2775" s="64">
        <f>IF($A2775="","",IF(COUNTIF(변동분석!$E$7:$E$506,O2775)&gt;0,"Y","N"))</f>
        <v/>
      </c>
      <c r="W2775" s="64">
        <f>IF($A2775="","",IFERROR(INDEX(계정매핑!$D$5:$D$504,MATCH($F2775&amp;"",계정매핑!$A$5:$A$504,0)),"미매핑"))</f>
        <v/>
      </c>
      <c r="X2775" s="9">
        <f>IF($A2775="","",$F2775&amp;"")</f>
        <v/>
      </c>
      <c r="Y2775" s="94">
        <f>IF($A2775="",0,IF(AE2775="직접",IF(AF2775="비귀속",$P2775,0),$P2775*(1-AG2775)*IFERROR(INDEX(계정대체기준!$F$20:$F$49,MATCH($N2775,계정대체기준!$A$20:$A$49,0)),1)))</f>
        <v/>
      </c>
      <c r="Z2775" s="94">
        <f>IF($A2775="",0,IF(AE2775="직접",IF(AF2775="신계약비",$P2775,0),$P2775*(1-AG2775)*IFERROR(INDEX(계정대체기준!$C$20:$C$49,MATCH($N2775,계정대체기준!$A$20:$A$49,0)),0)))</f>
        <v/>
      </c>
      <c r="AA2775" s="94">
        <f>IF($A2775="",0,IF(AE2775="직접",IF(OR(AF2775="유지비",AF2775="손해조사비"),$P2775,0),$P2775*(1-AG2775)*IFERROR(INDEX(계정대체기준!$D$20:$D$49,MATCH($N2775,계정대체기준!$A$20:$A$49,0)),0)))</f>
        <v/>
      </c>
      <c r="AB2775" s="94">
        <f>IF($A2775="",0,IF(AE2775="직접",IF(AF2775="수금비",$P2775,0),$P2775*(1-AG2775)*IFERROR(INDEX(계정대체기준!$E$20:$E$49,MATCH($N2775,계정대체기준!$A$20:$A$49,0)),0)))</f>
        <v/>
      </c>
      <c r="AC2775" s="9">
        <f>IF(AND($A2775&lt;&gt;"",M2775=설정!$C$20,Z2775&gt;0),Z2775+ROW()/1000000000,"")</f>
        <v/>
      </c>
      <c r="AD2775" s="94">
        <f>IF($A2775="",0,$P2775*AG2775)</f>
        <v/>
      </c>
      <c r="AE2775" s="64">
        <f>IF($A2775="","",IFERROR(INDEX(계정매핑!$E$5:$E$504,MATCH($F2775&amp;"",계정매핑!$A$5:$A$504,0))&amp;"","공통비"))</f>
        <v/>
      </c>
      <c r="AF2775" s="64">
        <f>IF($A2775="","",IF(AE2775="직접",IFERROR(INDEX(계정매핑!$F$5:$F$504,MATCH($F2775&amp;"",계정매핑!$A$5:$A$504,0))&amp;"","비귀속"),""))</f>
        <v/>
      </c>
      <c r="AG2775" s="96">
        <f>IF($A2775="",0,IF(AND(AE2775&lt;&gt;"직접",IFERROR(INDEX(계정매핑!$G$5:$G$504,MATCH($F2775&amp;"",계정매핑!$A$5:$A$504,0))&amp;"","")="유지비",COUNTIF(계정대체기준!$A$6:$A$15,$N2775)&gt;0),IFERROR(INDEX(계정대체기준!$E$6:$E$15,MATCH(VALUE($A2775&amp;""),계정대체기준!$D$6:$D$15,0)),0),0))</f>
        <v/>
      </c>
      <c r="AH2775" s="64">
        <f>IF($A2775="","",IF(AD2775=0,"",IF(OR(COUNTIF(계정대체기준!$A$77:$A$86,$N2775)&gt;0,ISNUMBER(MATCH($X2775,계정대체기준!$D$77:$D$86,0)),ISNUMBER(MATCH($F2775,계정대체기준!$D$77:$D$86,0))),"Y","N")))</f>
        <v/>
      </c>
    </row>
    <row r="2776">
      <c r="A2776" s="92" t="n">
        <v>2026</v>
      </c>
      <c r="B2776" s="92" t="n">
        <v>1</v>
      </c>
      <c r="C2776" s="92" t="inlineStr">
        <is>
          <t>5100000054</t>
        </is>
      </c>
      <c r="D2776" s="95" t="n">
        <v>46030</v>
      </c>
      <c r="E2776" s="92" t="inlineStr">
        <is>
          <t>KR</t>
        </is>
      </c>
      <c r="F2776" s="92" t="n">
        <v>62501000</v>
      </c>
      <c r="G2776" s="92" t="n">
        <v>1501</v>
      </c>
      <c r="H2776" s="93" t="n">
        <v>580000</v>
      </c>
      <c r="I2776" s="92" t="inlineStr">
        <is>
          <t>1월 회의 다과 - T케이터링</t>
        </is>
      </c>
      <c r="J2776" s="92" t="inlineStr">
        <is>
          <t>V10005</t>
        </is>
      </c>
      <c r="K2776" s="92" t="inlineStr">
        <is>
          <t>T케이터링</t>
        </is>
      </c>
      <c r="M2776" s="9">
        <f>IF($A2776="","",VALUE($A2776&amp;"")*12+VALUE($B2776&amp;""))</f>
        <v/>
      </c>
      <c r="N2776" s="64">
        <f>IF($A2776="","",IFERROR(INDEX(부서매핑!$C$5:$C$504,MATCH($G2776&amp;"",부서매핑!$A$5:$A$504,0)),"미매핑"))</f>
        <v/>
      </c>
      <c r="O2776" s="9">
        <f>IF($A2776="","",N2776&amp;"|"&amp;$F2776)</f>
        <v/>
      </c>
      <c r="P2776" s="94">
        <f>IF($A2776="",0,$H2776*설정!$C$23)</f>
        <v/>
      </c>
      <c r="Q2776" s="64">
        <f>IF($A2776="","",IF(O2776&lt;&gt;원인분석!$C$9,"",IF(AND(M2776&gt;=원인분석!$C$10,M2776&lt;=원인분석!$C$11),"당기",IF(AND(M2776&gt;=원인분석!$C$12,M2776&lt;=원인분석!$C$13),"비교",""))))</f>
        <v/>
      </c>
      <c r="R2776" s="9">
        <f>IF(Q2776="","",$K2776&amp;"")</f>
        <v/>
      </c>
      <c r="S2776" s="9">
        <f>IF(Q2776="","",IF(MATCH(R2776,$R$5:$R$100000,0)=ROW()-4,ROW(),""))</f>
        <v/>
      </c>
      <c r="T2776" s="9">
        <f>IF(Q2776="당기",ABS(P2776)+ROW()/1000000000,"")</f>
        <v/>
      </c>
      <c r="U2776" s="9">
        <f>IF(Q2776="비교",ABS(P2776)+ROW()/1000000000,"")</f>
        <v/>
      </c>
      <c r="V2776" s="64">
        <f>IF($A2776="","",IF(COUNTIF(변동분석!$E$7:$E$506,O2776)&gt;0,"Y","N"))</f>
        <v/>
      </c>
      <c r="W2776" s="64">
        <f>IF($A2776="","",IFERROR(INDEX(계정매핑!$D$5:$D$504,MATCH($F2776&amp;"",계정매핑!$A$5:$A$504,0)),"미매핑"))</f>
        <v/>
      </c>
      <c r="X2776" s="9">
        <f>IF($A2776="","",$F2776&amp;"")</f>
        <v/>
      </c>
      <c r="Y2776" s="94">
        <f>IF($A2776="",0,IF(AE2776="직접",IF(AF2776="비귀속",$P2776,0),$P2776*(1-AG2776)*IFERROR(INDEX(계정대체기준!$F$20:$F$49,MATCH($N2776,계정대체기준!$A$20:$A$49,0)),1)))</f>
        <v/>
      </c>
      <c r="Z2776" s="94">
        <f>IF($A2776="",0,IF(AE2776="직접",IF(AF2776="신계약비",$P2776,0),$P2776*(1-AG2776)*IFERROR(INDEX(계정대체기준!$C$20:$C$49,MATCH($N2776,계정대체기준!$A$20:$A$49,0)),0)))</f>
        <v/>
      </c>
      <c r="AA2776" s="94">
        <f>IF($A2776="",0,IF(AE2776="직접",IF(OR(AF2776="유지비",AF2776="손해조사비"),$P2776,0),$P2776*(1-AG2776)*IFERROR(INDEX(계정대체기준!$D$20:$D$49,MATCH($N2776,계정대체기준!$A$20:$A$49,0)),0)))</f>
        <v/>
      </c>
      <c r="AB2776" s="94">
        <f>IF($A2776="",0,IF(AE2776="직접",IF(AF2776="수금비",$P2776,0),$P2776*(1-AG2776)*IFERROR(INDEX(계정대체기준!$E$20:$E$49,MATCH($N2776,계정대체기준!$A$20:$A$49,0)),0)))</f>
        <v/>
      </c>
      <c r="AC2776" s="9">
        <f>IF(AND($A2776&lt;&gt;"",M2776=설정!$C$20,Z2776&gt;0),Z2776+ROW()/1000000000,"")</f>
        <v/>
      </c>
      <c r="AD2776" s="94">
        <f>IF($A2776="",0,$P2776*AG2776)</f>
        <v/>
      </c>
      <c r="AE2776" s="64">
        <f>IF($A2776="","",IFERROR(INDEX(계정매핑!$E$5:$E$504,MATCH($F2776&amp;"",계정매핑!$A$5:$A$504,0))&amp;"","공통비"))</f>
        <v/>
      </c>
      <c r="AF2776" s="64">
        <f>IF($A2776="","",IF(AE2776="직접",IFERROR(INDEX(계정매핑!$F$5:$F$504,MATCH($F2776&amp;"",계정매핑!$A$5:$A$504,0))&amp;"","비귀속"),""))</f>
        <v/>
      </c>
      <c r="AG2776" s="96">
        <f>IF($A2776="",0,IF(AND(AE2776&lt;&gt;"직접",IFERROR(INDEX(계정매핑!$G$5:$G$504,MATCH($F2776&amp;"",계정매핑!$A$5:$A$504,0))&amp;"","")="유지비",COUNTIF(계정대체기준!$A$6:$A$15,$N2776)&gt;0),IFERROR(INDEX(계정대체기준!$E$6:$E$15,MATCH(VALUE($A2776&amp;""),계정대체기준!$D$6:$D$15,0)),0),0))</f>
        <v/>
      </c>
      <c r="AH2776" s="64">
        <f>IF($A2776="","",IF(AD2776=0,"",IF(OR(COUNTIF(계정대체기준!$A$77:$A$86,$N2776)&gt;0,ISNUMBER(MATCH($X2776,계정대체기준!$D$77:$D$86,0)),ISNUMBER(MATCH($F2776,계정대체기준!$D$77:$D$86,0))),"Y","N")))</f>
        <v/>
      </c>
    </row>
    <row r="2777">
      <c r="A2777" s="92" t="n">
        <v>2026</v>
      </c>
      <c r="B2777" s="92" t="n">
        <v>1</v>
      </c>
      <c r="C2777" s="92" t="inlineStr">
        <is>
          <t>5100000055</t>
        </is>
      </c>
      <c r="D2777" s="95" t="n">
        <v>46030</v>
      </c>
      <c r="E2777" s="92" t="inlineStr">
        <is>
          <t>KR</t>
        </is>
      </c>
      <c r="F2777" s="92" t="n">
        <v>62501000</v>
      </c>
      <c r="G2777" s="92" t="n">
        <v>1801</v>
      </c>
      <c r="H2777" s="93" t="n">
        <v>140000</v>
      </c>
      <c r="I2777" s="92" t="inlineStr">
        <is>
          <t>1월 회의 다과 - T케이터링</t>
        </is>
      </c>
      <c r="J2777" s="92" t="inlineStr">
        <is>
          <t>V10005</t>
        </is>
      </c>
      <c r="K2777" s="92" t="inlineStr">
        <is>
          <t>T케이터링</t>
        </is>
      </c>
      <c r="M2777" s="9">
        <f>IF($A2777="","",VALUE($A2777&amp;"")*12+VALUE($B2777&amp;""))</f>
        <v/>
      </c>
      <c r="N2777" s="64">
        <f>IF($A2777="","",IFERROR(INDEX(부서매핑!$C$5:$C$504,MATCH($G2777&amp;"",부서매핑!$A$5:$A$504,0)),"미매핑"))</f>
        <v/>
      </c>
      <c r="O2777" s="9">
        <f>IF($A2777="","",N2777&amp;"|"&amp;$F2777)</f>
        <v/>
      </c>
      <c r="P2777" s="94">
        <f>IF($A2777="",0,$H2777*설정!$C$23)</f>
        <v/>
      </c>
      <c r="Q2777" s="64">
        <f>IF($A2777="","",IF(O2777&lt;&gt;원인분석!$C$9,"",IF(AND(M2777&gt;=원인분석!$C$10,M2777&lt;=원인분석!$C$11),"당기",IF(AND(M2777&gt;=원인분석!$C$12,M2777&lt;=원인분석!$C$13),"비교",""))))</f>
        <v/>
      </c>
      <c r="R2777" s="9">
        <f>IF(Q2777="","",$K2777&amp;"")</f>
        <v/>
      </c>
      <c r="S2777" s="9">
        <f>IF(Q2777="","",IF(MATCH(R2777,$R$5:$R$100000,0)=ROW()-4,ROW(),""))</f>
        <v/>
      </c>
      <c r="T2777" s="9">
        <f>IF(Q2777="당기",ABS(P2777)+ROW()/1000000000,"")</f>
        <v/>
      </c>
      <c r="U2777" s="9">
        <f>IF(Q2777="비교",ABS(P2777)+ROW()/1000000000,"")</f>
        <v/>
      </c>
      <c r="V2777" s="64">
        <f>IF($A2777="","",IF(COUNTIF(변동분석!$E$7:$E$506,O2777)&gt;0,"Y","N"))</f>
        <v/>
      </c>
      <c r="W2777" s="64">
        <f>IF($A2777="","",IFERROR(INDEX(계정매핑!$D$5:$D$504,MATCH($F2777&amp;"",계정매핑!$A$5:$A$504,0)),"미매핑"))</f>
        <v/>
      </c>
      <c r="X2777" s="9">
        <f>IF($A2777="","",$F2777&amp;"")</f>
        <v/>
      </c>
      <c r="Y2777" s="94">
        <f>IF($A2777="",0,IF(AE2777="직접",IF(AF2777="비귀속",$P2777,0),$P2777*(1-AG2777)*IFERROR(INDEX(계정대체기준!$F$20:$F$49,MATCH($N2777,계정대체기준!$A$20:$A$49,0)),1)))</f>
        <v/>
      </c>
      <c r="Z2777" s="94">
        <f>IF($A2777="",0,IF(AE2777="직접",IF(AF2777="신계약비",$P2777,0),$P2777*(1-AG2777)*IFERROR(INDEX(계정대체기준!$C$20:$C$49,MATCH($N2777,계정대체기준!$A$20:$A$49,0)),0)))</f>
        <v/>
      </c>
      <c r="AA2777" s="94">
        <f>IF($A2777="",0,IF(AE2777="직접",IF(OR(AF2777="유지비",AF2777="손해조사비"),$P2777,0),$P2777*(1-AG2777)*IFERROR(INDEX(계정대체기준!$D$20:$D$49,MATCH($N2777,계정대체기준!$A$20:$A$49,0)),0)))</f>
        <v/>
      </c>
      <c r="AB2777" s="94">
        <f>IF($A2777="",0,IF(AE2777="직접",IF(AF2777="수금비",$P2777,0),$P2777*(1-AG2777)*IFERROR(INDEX(계정대체기준!$E$20:$E$49,MATCH($N2777,계정대체기준!$A$20:$A$49,0)),0)))</f>
        <v/>
      </c>
      <c r="AC2777" s="9">
        <f>IF(AND($A2777&lt;&gt;"",M2777=설정!$C$20,Z2777&gt;0),Z2777+ROW()/1000000000,"")</f>
        <v/>
      </c>
      <c r="AD2777" s="94">
        <f>IF($A2777="",0,$P2777*AG2777)</f>
        <v/>
      </c>
      <c r="AE2777" s="64">
        <f>IF($A2777="","",IFERROR(INDEX(계정매핑!$E$5:$E$504,MATCH($F2777&amp;"",계정매핑!$A$5:$A$504,0))&amp;"","공통비"))</f>
        <v/>
      </c>
      <c r="AF2777" s="64">
        <f>IF($A2777="","",IF(AE2777="직접",IFERROR(INDEX(계정매핑!$F$5:$F$504,MATCH($F2777&amp;"",계정매핑!$A$5:$A$504,0))&amp;"","비귀속"),""))</f>
        <v/>
      </c>
      <c r="AG2777" s="96">
        <f>IF($A2777="",0,IF(AND(AE2777&lt;&gt;"직접",IFERROR(INDEX(계정매핑!$G$5:$G$504,MATCH($F2777&amp;"",계정매핑!$A$5:$A$504,0))&amp;"","")="유지비",COUNTIF(계정대체기준!$A$6:$A$15,$N2777)&gt;0),IFERROR(INDEX(계정대체기준!$E$6:$E$15,MATCH(VALUE($A2777&amp;""),계정대체기준!$D$6:$D$15,0)),0),0))</f>
        <v/>
      </c>
      <c r="AH2777" s="64">
        <f>IF($A2777="","",IF(AD2777=0,"",IF(OR(COUNTIF(계정대체기준!$A$77:$A$86,$N2777)&gt;0,ISNUMBER(MATCH($X2777,계정대체기준!$D$77:$D$86,0)),ISNUMBER(MATCH($F2777,계정대체기준!$D$77:$D$86,0))),"Y","N")))</f>
        <v/>
      </c>
    </row>
    <row r="2778">
      <c r="A2778" s="92" t="n">
        <v>2026</v>
      </c>
      <c r="B2778" s="92" t="n">
        <v>1</v>
      </c>
      <c r="C2778" s="92" t="inlineStr">
        <is>
          <t>5100000056</t>
        </is>
      </c>
      <c r="D2778" s="95" t="n">
        <v>46030</v>
      </c>
      <c r="E2778" s="92" t="inlineStr">
        <is>
          <t>KR</t>
        </is>
      </c>
      <c r="F2778" s="92" t="n">
        <v>62601000</v>
      </c>
      <c r="G2778" s="92" t="n">
        <v>1301</v>
      </c>
      <c r="H2778" s="93" t="n">
        <v>845000</v>
      </c>
      <c r="I2778" s="92" t="inlineStr">
        <is>
          <t>1월 업무추진 - (법인카드)</t>
        </is>
      </c>
      <c r="J2778" s="92" t="inlineStr">
        <is>
          <t>V10010</t>
        </is>
      </c>
      <c r="K2778" s="92" t="inlineStr">
        <is>
          <t>(법인카드)</t>
        </is>
      </c>
      <c r="M2778" s="9">
        <f>IF($A2778="","",VALUE($A2778&amp;"")*12+VALUE($B2778&amp;""))</f>
        <v/>
      </c>
      <c r="N2778" s="64">
        <f>IF($A2778="","",IFERROR(INDEX(부서매핑!$C$5:$C$504,MATCH($G2778&amp;"",부서매핑!$A$5:$A$504,0)),"미매핑"))</f>
        <v/>
      </c>
      <c r="O2778" s="9">
        <f>IF($A2778="","",N2778&amp;"|"&amp;$F2778)</f>
        <v/>
      </c>
      <c r="P2778" s="94">
        <f>IF($A2778="",0,$H2778*설정!$C$23)</f>
        <v/>
      </c>
      <c r="Q2778" s="64">
        <f>IF($A2778="","",IF(O2778&lt;&gt;원인분석!$C$9,"",IF(AND(M2778&gt;=원인분석!$C$10,M2778&lt;=원인분석!$C$11),"당기",IF(AND(M2778&gt;=원인분석!$C$12,M2778&lt;=원인분석!$C$13),"비교",""))))</f>
        <v/>
      </c>
      <c r="R2778" s="9">
        <f>IF(Q2778="","",$K2778&amp;"")</f>
        <v/>
      </c>
      <c r="S2778" s="9">
        <f>IF(Q2778="","",IF(MATCH(R2778,$R$5:$R$100000,0)=ROW()-4,ROW(),""))</f>
        <v/>
      </c>
      <c r="T2778" s="9">
        <f>IF(Q2778="당기",ABS(P2778)+ROW()/1000000000,"")</f>
        <v/>
      </c>
      <c r="U2778" s="9">
        <f>IF(Q2778="비교",ABS(P2778)+ROW()/1000000000,"")</f>
        <v/>
      </c>
      <c r="V2778" s="64">
        <f>IF($A2778="","",IF(COUNTIF(변동분석!$E$7:$E$506,O2778)&gt;0,"Y","N"))</f>
        <v/>
      </c>
      <c r="W2778" s="64">
        <f>IF($A2778="","",IFERROR(INDEX(계정매핑!$D$5:$D$504,MATCH($F2778&amp;"",계정매핑!$A$5:$A$504,0)),"미매핑"))</f>
        <v/>
      </c>
      <c r="X2778" s="9">
        <f>IF($A2778="","",$F2778&amp;"")</f>
        <v/>
      </c>
      <c r="Y2778" s="94">
        <f>IF($A2778="",0,IF(AE2778="직접",IF(AF2778="비귀속",$P2778,0),$P2778*(1-AG2778)*IFERROR(INDEX(계정대체기준!$F$20:$F$49,MATCH($N2778,계정대체기준!$A$20:$A$49,0)),1)))</f>
        <v/>
      </c>
      <c r="Z2778" s="94">
        <f>IF($A2778="",0,IF(AE2778="직접",IF(AF2778="신계약비",$P2778,0),$P2778*(1-AG2778)*IFERROR(INDEX(계정대체기준!$C$20:$C$49,MATCH($N2778,계정대체기준!$A$20:$A$49,0)),0)))</f>
        <v/>
      </c>
      <c r="AA2778" s="94">
        <f>IF($A2778="",0,IF(AE2778="직접",IF(OR(AF2778="유지비",AF2778="손해조사비"),$P2778,0),$P2778*(1-AG2778)*IFERROR(INDEX(계정대체기준!$D$20:$D$49,MATCH($N2778,계정대체기준!$A$20:$A$49,0)),0)))</f>
        <v/>
      </c>
      <c r="AB2778" s="94">
        <f>IF($A2778="",0,IF(AE2778="직접",IF(AF2778="수금비",$P2778,0),$P2778*(1-AG2778)*IFERROR(INDEX(계정대체기준!$E$20:$E$49,MATCH($N2778,계정대체기준!$A$20:$A$49,0)),0)))</f>
        <v/>
      </c>
      <c r="AC2778" s="9">
        <f>IF(AND($A2778&lt;&gt;"",M2778=설정!$C$20,Z2778&gt;0),Z2778+ROW()/1000000000,"")</f>
        <v/>
      </c>
      <c r="AD2778" s="94">
        <f>IF($A2778="",0,$P2778*AG2778)</f>
        <v/>
      </c>
      <c r="AE2778" s="64">
        <f>IF($A2778="","",IFERROR(INDEX(계정매핑!$E$5:$E$504,MATCH($F2778&amp;"",계정매핑!$A$5:$A$504,0))&amp;"","공통비"))</f>
        <v/>
      </c>
      <c r="AF2778" s="64">
        <f>IF($A2778="","",IF(AE2778="직접",IFERROR(INDEX(계정매핑!$F$5:$F$504,MATCH($F2778&amp;"",계정매핑!$A$5:$A$504,0))&amp;"","비귀속"),""))</f>
        <v/>
      </c>
      <c r="AG2778" s="96">
        <f>IF($A2778="",0,IF(AND(AE2778&lt;&gt;"직접",IFERROR(INDEX(계정매핑!$G$5:$G$504,MATCH($F2778&amp;"",계정매핑!$A$5:$A$504,0))&amp;"","")="유지비",COUNTIF(계정대체기준!$A$6:$A$15,$N2778)&gt;0),IFERROR(INDEX(계정대체기준!$E$6:$E$15,MATCH(VALUE($A2778&amp;""),계정대체기준!$D$6:$D$15,0)),0),0))</f>
        <v/>
      </c>
      <c r="AH2778" s="64">
        <f>IF($A2778="","",IF(AD2778=0,"",IF(OR(COUNTIF(계정대체기준!$A$77:$A$86,$N2778)&gt;0,ISNUMBER(MATCH($X2778,계정대체기준!$D$77:$D$86,0)),ISNUMBER(MATCH($F2778,계정대체기준!$D$77:$D$86,0))),"Y","N")))</f>
        <v/>
      </c>
    </row>
    <row r="2779">
      <c r="A2779" s="92" t="n">
        <v>2026</v>
      </c>
      <c r="B2779" s="92" t="n">
        <v>1</v>
      </c>
      <c r="C2779" s="92" t="inlineStr">
        <is>
          <t>5100000057</t>
        </is>
      </c>
      <c r="D2779" s="95" t="n">
        <v>46030</v>
      </c>
      <c r="E2779" s="92" t="inlineStr">
        <is>
          <t>KR</t>
        </is>
      </c>
      <c r="F2779" s="92" t="n">
        <v>62901000</v>
      </c>
      <c r="G2779" s="92" t="n">
        <v>1101</v>
      </c>
      <c r="H2779" s="93" t="n">
        <v>3500000</v>
      </c>
      <c r="I2779" s="92" t="inlineStr">
        <is>
          <t>1월 자문 수수료 - K회계법인</t>
        </is>
      </c>
      <c r="J2779" s="92" t="inlineStr">
        <is>
          <t>V10011</t>
        </is>
      </c>
      <c r="K2779" s="92" t="inlineStr">
        <is>
          <t>K회계법인</t>
        </is>
      </c>
      <c r="M2779" s="9">
        <f>IF($A2779="","",VALUE($A2779&amp;"")*12+VALUE($B2779&amp;""))</f>
        <v/>
      </c>
      <c r="N2779" s="64">
        <f>IF($A2779="","",IFERROR(INDEX(부서매핑!$C$5:$C$504,MATCH($G2779&amp;"",부서매핑!$A$5:$A$504,0)),"미매핑"))</f>
        <v/>
      </c>
      <c r="O2779" s="9">
        <f>IF($A2779="","",N2779&amp;"|"&amp;$F2779)</f>
        <v/>
      </c>
      <c r="P2779" s="94">
        <f>IF($A2779="",0,$H2779*설정!$C$23)</f>
        <v/>
      </c>
      <c r="Q2779" s="64">
        <f>IF($A2779="","",IF(O2779&lt;&gt;원인분석!$C$9,"",IF(AND(M2779&gt;=원인분석!$C$10,M2779&lt;=원인분석!$C$11),"당기",IF(AND(M2779&gt;=원인분석!$C$12,M2779&lt;=원인분석!$C$13),"비교",""))))</f>
        <v/>
      </c>
      <c r="R2779" s="9">
        <f>IF(Q2779="","",$K2779&amp;"")</f>
        <v/>
      </c>
      <c r="S2779" s="9">
        <f>IF(Q2779="","",IF(MATCH(R2779,$R$5:$R$100000,0)=ROW()-4,ROW(),""))</f>
        <v/>
      </c>
      <c r="T2779" s="9">
        <f>IF(Q2779="당기",ABS(P2779)+ROW()/1000000000,"")</f>
        <v/>
      </c>
      <c r="U2779" s="9">
        <f>IF(Q2779="비교",ABS(P2779)+ROW()/1000000000,"")</f>
        <v/>
      </c>
      <c r="V2779" s="64">
        <f>IF($A2779="","",IF(COUNTIF(변동분석!$E$7:$E$506,O2779)&gt;0,"Y","N"))</f>
        <v/>
      </c>
      <c r="W2779" s="64">
        <f>IF($A2779="","",IFERROR(INDEX(계정매핑!$D$5:$D$504,MATCH($F2779&amp;"",계정매핑!$A$5:$A$504,0)),"미매핑"))</f>
        <v/>
      </c>
      <c r="X2779" s="9">
        <f>IF($A2779="","",$F2779&amp;"")</f>
        <v/>
      </c>
      <c r="Y2779" s="94">
        <f>IF($A2779="",0,IF(AE2779="직접",IF(AF2779="비귀속",$P2779,0),$P2779*(1-AG2779)*IFERROR(INDEX(계정대체기준!$F$20:$F$49,MATCH($N2779,계정대체기준!$A$20:$A$49,0)),1)))</f>
        <v/>
      </c>
      <c r="Z2779" s="94">
        <f>IF($A2779="",0,IF(AE2779="직접",IF(AF2779="신계약비",$P2779,0),$P2779*(1-AG2779)*IFERROR(INDEX(계정대체기준!$C$20:$C$49,MATCH($N2779,계정대체기준!$A$20:$A$49,0)),0)))</f>
        <v/>
      </c>
      <c r="AA2779" s="94">
        <f>IF($A2779="",0,IF(AE2779="직접",IF(OR(AF2779="유지비",AF2779="손해조사비"),$P2779,0),$P2779*(1-AG2779)*IFERROR(INDEX(계정대체기준!$D$20:$D$49,MATCH($N2779,계정대체기준!$A$20:$A$49,0)),0)))</f>
        <v/>
      </c>
      <c r="AB2779" s="94">
        <f>IF($A2779="",0,IF(AE2779="직접",IF(AF2779="수금비",$P2779,0),$P2779*(1-AG2779)*IFERROR(INDEX(계정대체기준!$E$20:$E$49,MATCH($N2779,계정대체기준!$A$20:$A$49,0)),0)))</f>
        <v/>
      </c>
      <c r="AC2779" s="9">
        <f>IF(AND($A2779&lt;&gt;"",M2779=설정!$C$20,Z2779&gt;0),Z2779+ROW()/1000000000,"")</f>
        <v/>
      </c>
      <c r="AD2779" s="94">
        <f>IF($A2779="",0,$P2779*AG2779)</f>
        <v/>
      </c>
      <c r="AE2779" s="64">
        <f>IF($A2779="","",IFERROR(INDEX(계정매핑!$E$5:$E$504,MATCH($F2779&amp;"",계정매핑!$A$5:$A$504,0))&amp;"","공통비"))</f>
        <v/>
      </c>
      <c r="AF2779" s="64">
        <f>IF($A2779="","",IF(AE2779="직접",IFERROR(INDEX(계정매핑!$F$5:$F$504,MATCH($F2779&amp;"",계정매핑!$A$5:$A$504,0))&amp;"","비귀속"),""))</f>
        <v/>
      </c>
      <c r="AG2779" s="96">
        <f>IF($A2779="",0,IF(AND(AE2779&lt;&gt;"직접",IFERROR(INDEX(계정매핑!$G$5:$G$504,MATCH($F2779&amp;"",계정매핑!$A$5:$A$504,0))&amp;"","")="유지비",COUNTIF(계정대체기준!$A$6:$A$15,$N2779)&gt;0),IFERROR(INDEX(계정대체기준!$E$6:$E$15,MATCH(VALUE($A2779&amp;""),계정대체기준!$D$6:$D$15,0)),0),0))</f>
        <v/>
      </c>
      <c r="AH2779" s="64">
        <f>IF($A2779="","",IF(AD2779=0,"",IF(OR(COUNTIF(계정대체기준!$A$77:$A$86,$N2779)&gt;0,ISNUMBER(MATCH($X2779,계정대체기준!$D$77:$D$86,0)),ISNUMBER(MATCH($F2779,계정대체기준!$D$77:$D$86,0))),"Y","N")))</f>
        <v/>
      </c>
    </row>
    <row r="2780">
      <c r="A2780" s="92" t="n">
        <v>2026</v>
      </c>
      <c r="B2780" s="92" t="n">
        <v>1</v>
      </c>
      <c r="C2780" s="92" t="inlineStr">
        <is>
          <t>5100000058</t>
        </is>
      </c>
      <c r="D2780" s="95" t="n">
        <v>46030</v>
      </c>
      <c r="E2780" s="92" t="inlineStr">
        <is>
          <t>KR</t>
        </is>
      </c>
      <c r="F2780" s="92" t="n">
        <v>62902000</v>
      </c>
      <c r="G2780" s="92" t="n">
        <v>1951</v>
      </c>
      <c r="H2780" s="93" t="n">
        <v>1660000</v>
      </c>
      <c r="I2780" s="92" t="inlineStr">
        <is>
          <t>1월 업무 위탁 수수료 - J콜센터</t>
        </is>
      </c>
      <c r="J2780" s="92" t="inlineStr">
        <is>
          <t>V10016</t>
        </is>
      </c>
      <c r="K2780" s="92" t="inlineStr">
        <is>
          <t>J콜센터</t>
        </is>
      </c>
      <c r="M2780" s="9">
        <f>IF($A2780="","",VALUE($A2780&amp;"")*12+VALUE($B2780&amp;""))</f>
        <v/>
      </c>
      <c r="N2780" s="64">
        <f>IF($A2780="","",IFERROR(INDEX(부서매핑!$C$5:$C$504,MATCH($G2780&amp;"",부서매핑!$A$5:$A$504,0)),"미매핑"))</f>
        <v/>
      </c>
      <c r="O2780" s="9">
        <f>IF($A2780="","",N2780&amp;"|"&amp;$F2780)</f>
        <v/>
      </c>
      <c r="P2780" s="94">
        <f>IF($A2780="",0,$H2780*설정!$C$23)</f>
        <v/>
      </c>
      <c r="Q2780" s="64">
        <f>IF($A2780="","",IF(O2780&lt;&gt;원인분석!$C$9,"",IF(AND(M2780&gt;=원인분석!$C$10,M2780&lt;=원인분석!$C$11),"당기",IF(AND(M2780&gt;=원인분석!$C$12,M2780&lt;=원인분석!$C$13),"비교",""))))</f>
        <v/>
      </c>
      <c r="R2780" s="9">
        <f>IF(Q2780="","",$K2780&amp;"")</f>
        <v/>
      </c>
      <c r="S2780" s="9">
        <f>IF(Q2780="","",IF(MATCH(R2780,$R$5:$R$100000,0)=ROW()-4,ROW(),""))</f>
        <v/>
      </c>
      <c r="T2780" s="9">
        <f>IF(Q2780="당기",ABS(P2780)+ROW()/1000000000,"")</f>
        <v/>
      </c>
      <c r="U2780" s="9">
        <f>IF(Q2780="비교",ABS(P2780)+ROW()/1000000000,"")</f>
        <v/>
      </c>
      <c r="V2780" s="64">
        <f>IF($A2780="","",IF(COUNTIF(변동분석!$E$7:$E$506,O2780)&gt;0,"Y","N"))</f>
        <v/>
      </c>
      <c r="W2780" s="64">
        <f>IF($A2780="","",IFERROR(INDEX(계정매핑!$D$5:$D$504,MATCH($F2780&amp;"",계정매핑!$A$5:$A$504,0)),"미매핑"))</f>
        <v/>
      </c>
      <c r="X2780" s="9">
        <f>IF($A2780="","",$F2780&amp;"")</f>
        <v/>
      </c>
      <c r="Y2780" s="94">
        <f>IF($A2780="",0,IF(AE2780="직접",IF(AF2780="비귀속",$P2780,0),$P2780*(1-AG2780)*IFERROR(INDEX(계정대체기준!$F$20:$F$49,MATCH($N2780,계정대체기준!$A$20:$A$49,0)),1)))</f>
        <v/>
      </c>
      <c r="Z2780" s="94">
        <f>IF($A2780="",0,IF(AE2780="직접",IF(AF2780="신계약비",$P2780,0),$P2780*(1-AG2780)*IFERROR(INDEX(계정대체기준!$C$20:$C$49,MATCH($N2780,계정대체기준!$A$20:$A$49,0)),0)))</f>
        <v/>
      </c>
      <c r="AA2780" s="94">
        <f>IF($A2780="",0,IF(AE2780="직접",IF(OR(AF2780="유지비",AF2780="손해조사비"),$P2780,0),$P2780*(1-AG2780)*IFERROR(INDEX(계정대체기준!$D$20:$D$49,MATCH($N2780,계정대체기준!$A$20:$A$49,0)),0)))</f>
        <v/>
      </c>
      <c r="AB2780" s="94">
        <f>IF($A2780="",0,IF(AE2780="직접",IF(AF2780="수금비",$P2780,0),$P2780*(1-AG2780)*IFERROR(INDEX(계정대체기준!$E$20:$E$49,MATCH($N2780,계정대체기준!$A$20:$A$49,0)),0)))</f>
        <v/>
      </c>
      <c r="AC2780" s="9">
        <f>IF(AND($A2780&lt;&gt;"",M2780=설정!$C$20,Z2780&gt;0),Z2780+ROW()/1000000000,"")</f>
        <v/>
      </c>
      <c r="AD2780" s="94">
        <f>IF($A2780="",0,$P2780*AG2780)</f>
        <v/>
      </c>
      <c r="AE2780" s="64">
        <f>IF($A2780="","",IFERROR(INDEX(계정매핑!$E$5:$E$504,MATCH($F2780&amp;"",계정매핑!$A$5:$A$504,0))&amp;"","공통비"))</f>
        <v/>
      </c>
      <c r="AF2780" s="64">
        <f>IF($A2780="","",IF(AE2780="직접",IFERROR(INDEX(계정매핑!$F$5:$F$504,MATCH($F2780&amp;"",계정매핑!$A$5:$A$504,0))&amp;"","비귀속"),""))</f>
        <v/>
      </c>
      <c r="AG2780" s="96">
        <f>IF($A2780="",0,IF(AND(AE2780&lt;&gt;"직접",IFERROR(INDEX(계정매핑!$G$5:$G$504,MATCH($F2780&amp;"",계정매핑!$A$5:$A$504,0))&amp;"","")="유지비",COUNTIF(계정대체기준!$A$6:$A$15,$N2780)&gt;0),IFERROR(INDEX(계정대체기준!$E$6:$E$15,MATCH(VALUE($A2780&amp;""),계정대체기준!$D$6:$D$15,0)),0),0))</f>
        <v/>
      </c>
      <c r="AH2780" s="64">
        <f>IF($A2780="","",IF(AD2780=0,"",IF(OR(COUNTIF(계정대체기준!$A$77:$A$86,$N2780)&gt;0,ISNUMBER(MATCH($X2780,계정대체기준!$D$77:$D$86,0)),ISNUMBER(MATCH($F2780,계정대체기준!$D$77:$D$86,0))),"Y","N")))</f>
        <v/>
      </c>
    </row>
    <row r="2781">
      <c r="A2781" s="92" t="n">
        <v>2026</v>
      </c>
      <c r="B2781" s="92" t="n">
        <v>1</v>
      </c>
      <c r="C2781" s="92" t="inlineStr">
        <is>
          <t>5100000059</t>
        </is>
      </c>
      <c r="D2781" s="95" t="n">
        <v>46031</v>
      </c>
      <c r="E2781" s="92" t="inlineStr">
        <is>
          <t>KR</t>
        </is>
      </c>
      <c r="F2781" s="92" t="n">
        <v>62101000</v>
      </c>
      <c r="G2781" s="92" t="n">
        <v>1601</v>
      </c>
      <c r="H2781" s="93" t="n">
        <v>1036000</v>
      </c>
      <c r="I2781" s="92" t="inlineStr">
        <is>
          <t>1월 국내출장 - (법인카드)</t>
        </is>
      </c>
      <c r="J2781" s="92" t="inlineStr">
        <is>
          <t>V10010</t>
        </is>
      </c>
      <c r="K2781" s="92" t="inlineStr">
        <is>
          <t>(법인카드)</t>
        </is>
      </c>
      <c r="M2781" s="9">
        <f>IF($A2781="","",VALUE($A2781&amp;"")*12+VALUE($B2781&amp;""))</f>
        <v/>
      </c>
      <c r="N2781" s="64">
        <f>IF($A2781="","",IFERROR(INDEX(부서매핑!$C$5:$C$504,MATCH($G2781&amp;"",부서매핑!$A$5:$A$504,0)),"미매핑"))</f>
        <v/>
      </c>
      <c r="O2781" s="9">
        <f>IF($A2781="","",N2781&amp;"|"&amp;$F2781)</f>
        <v/>
      </c>
      <c r="P2781" s="94">
        <f>IF($A2781="",0,$H2781*설정!$C$23)</f>
        <v/>
      </c>
      <c r="Q2781" s="64">
        <f>IF($A2781="","",IF(O2781&lt;&gt;원인분석!$C$9,"",IF(AND(M2781&gt;=원인분석!$C$10,M2781&lt;=원인분석!$C$11),"당기",IF(AND(M2781&gt;=원인분석!$C$12,M2781&lt;=원인분석!$C$13),"비교",""))))</f>
        <v/>
      </c>
      <c r="R2781" s="9">
        <f>IF(Q2781="","",$K2781&amp;"")</f>
        <v/>
      </c>
      <c r="S2781" s="9">
        <f>IF(Q2781="","",IF(MATCH(R2781,$R$5:$R$100000,0)=ROW()-4,ROW(),""))</f>
        <v/>
      </c>
      <c r="T2781" s="9">
        <f>IF(Q2781="당기",ABS(P2781)+ROW()/1000000000,"")</f>
        <v/>
      </c>
      <c r="U2781" s="9">
        <f>IF(Q2781="비교",ABS(P2781)+ROW()/1000000000,"")</f>
        <v/>
      </c>
      <c r="V2781" s="64">
        <f>IF($A2781="","",IF(COUNTIF(변동분석!$E$7:$E$506,O2781)&gt;0,"Y","N"))</f>
        <v/>
      </c>
      <c r="W2781" s="64">
        <f>IF($A2781="","",IFERROR(INDEX(계정매핑!$D$5:$D$504,MATCH($F2781&amp;"",계정매핑!$A$5:$A$504,0)),"미매핑"))</f>
        <v/>
      </c>
      <c r="X2781" s="9">
        <f>IF($A2781="","",$F2781&amp;"")</f>
        <v/>
      </c>
      <c r="Y2781" s="94">
        <f>IF($A2781="",0,IF(AE2781="직접",IF(AF2781="비귀속",$P2781,0),$P2781*(1-AG2781)*IFERROR(INDEX(계정대체기준!$F$20:$F$49,MATCH($N2781,계정대체기준!$A$20:$A$49,0)),1)))</f>
        <v/>
      </c>
      <c r="Z2781" s="94">
        <f>IF($A2781="",0,IF(AE2781="직접",IF(AF2781="신계약비",$P2781,0),$P2781*(1-AG2781)*IFERROR(INDEX(계정대체기준!$C$20:$C$49,MATCH($N2781,계정대체기준!$A$20:$A$49,0)),0)))</f>
        <v/>
      </c>
      <c r="AA2781" s="94">
        <f>IF($A2781="",0,IF(AE2781="직접",IF(OR(AF2781="유지비",AF2781="손해조사비"),$P2781,0),$P2781*(1-AG2781)*IFERROR(INDEX(계정대체기준!$D$20:$D$49,MATCH($N2781,계정대체기준!$A$20:$A$49,0)),0)))</f>
        <v/>
      </c>
      <c r="AB2781" s="94">
        <f>IF($A2781="",0,IF(AE2781="직접",IF(AF2781="수금비",$P2781,0),$P2781*(1-AG2781)*IFERROR(INDEX(계정대체기준!$E$20:$E$49,MATCH($N2781,계정대체기준!$A$20:$A$49,0)),0)))</f>
        <v/>
      </c>
      <c r="AC2781" s="9">
        <f>IF(AND($A2781&lt;&gt;"",M2781=설정!$C$20,Z2781&gt;0),Z2781+ROW()/1000000000,"")</f>
        <v/>
      </c>
      <c r="AD2781" s="94">
        <f>IF($A2781="",0,$P2781*AG2781)</f>
        <v/>
      </c>
      <c r="AE2781" s="64">
        <f>IF($A2781="","",IFERROR(INDEX(계정매핑!$E$5:$E$504,MATCH($F2781&amp;"",계정매핑!$A$5:$A$504,0))&amp;"","공통비"))</f>
        <v/>
      </c>
      <c r="AF2781" s="64">
        <f>IF($A2781="","",IF(AE2781="직접",IFERROR(INDEX(계정매핑!$F$5:$F$504,MATCH($F2781&amp;"",계정매핑!$A$5:$A$504,0))&amp;"","비귀속"),""))</f>
        <v/>
      </c>
      <c r="AG2781" s="96">
        <f>IF($A2781="",0,IF(AND(AE2781&lt;&gt;"직접",IFERROR(INDEX(계정매핑!$G$5:$G$504,MATCH($F2781&amp;"",계정매핑!$A$5:$A$504,0))&amp;"","")="유지비",COUNTIF(계정대체기준!$A$6:$A$15,$N2781)&gt;0),IFERROR(INDEX(계정대체기준!$E$6:$E$15,MATCH(VALUE($A2781&amp;""),계정대체기준!$D$6:$D$15,0)),0),0))</f>
        <v/>
      </c>
      <c r="AH2781" s="64">
        <f>IF($A2781="","",IF(AD2781=0,"",IF(OR(COUNTIF(계정대체기준!$A$77:$A$86,$N2781)&gt;0,ISNUMBER(MATCH($X2781,계정대체기준!$D$77:$D$86,0)),ISNUMBER(MATCH($F2781,계정대체기준!$D$77:$D$86,0))),"Y","N")))</f>
        <v/>
      </c>
    </row>
    <row r="2782">
      <c r="A2782" s="92" t="n">
        <v>2026</v>
      </c>
      <c r="B2782" s="92" t="n">
        <v>1</v>
      </c>
      <c r="C2782" s="92" t="inlineStr">
        <is>
          <t>5100000060</t>
        </is>
      </c>
      <c r="D2782" s="95" t="n">
        <v>46031</v>
      </c>
      <c r="E2782" s="92" t="inlineStr">
        <is>
          <t>KR</t>
        </is>
      </c>
      <c r="F2782" s="92" t="n">
        <v>62101000</v>
      </c>
      <c r="G2782" s="92" t="n">
        <v>1602</v>
      </c>
      <c r="H2782" s="93" t="n">
        <v>1535000</v>
      </c>
      <c r="I2782" s="92" t="inlineStr">
        <is>
          <t>1월 국내출장 - M항공</t>
        </is>
      </c>
      <c r="J2782" s="92" t="inlineStr">
        <is>
          <t>V10001</t>
        </is>
      </c>
      <c r="K2782" s="92" t="inlineStr">
        <is>
          <t>M항공</t>
        </is>
      </c>
      <c r="M2782" s="9">
        <f>IF($A2782="","",VALUE($A2782&amp;"")*12+VALUE($B2782&amp;""))</f>
        <v/>
      </c>
      <c r="N2782" s="64">
        <f>IF($A2782="","",IFERROR(INDEX(부서매핑!$C$5:$C$504,MATCH($G2782&amp;"",부서매핑!$A$5:$A$504,0)),"미매핑"))</f>
        <v/>
      </c>
      <c r="O2782" s="9">
        <f>IF($A2782="","",N2782&amp;"|"&amp;$F2782)</f>
        <v/>
      </c>
      <c r="P2782" s="94">
        <f>IF($A2782="",0,$H2782*설정!$C$23)</f>
        <v/>
      </c>
      <c r="Q2782" s="64">
        <f>IF($A2782="","",IF(O2782&lt;&gt;원인분석!$C$9,"",IF(AND(M2782&gt;=원인분석!$C$10,M2782&lt;=원인분석!$C$11),"당기",IF(AND(M2782&gt;=원인분석!$C$12,M2782&lt;=원인분석!$C$13),"비교",""))))</f>
        <v/>
      </c>
      <c r="R2782" s="9">
        <f>IF(Q2782="","",$K2782&amp;"")</f>
        <v/>
      </c>
      <c r="S2782" s="9">
        <f>IF(Q2782="","",IF(MATCH(R2782,$R$5:$R$100000,0)=ROW()-4,ROW(),""))</f>
        <v/>
      </c>
      <c r="T2782" s="9">
        <f>IF(Q2782="당기",ABS(P2782)+ROW()/1000000000,"")</f>
        <v/>
      </c>
      <c r="U2782" s="9">
        <f>IF(Q2782="비교",ABS(P2782)+ROW()/1000000000,"")</f>
        <v/>
      </c>
      <c r="V2782" s="64">
        <f>IF($A2782="","",IF(COUNTIF(변동분석!$E$7:$E$506,O2782)&gt;0,"Y","N"))</f>
        <v/>
      </c>
      <c r="W2782" s="64">
        <f>IF($A2782="","",IFERROR(INDEX(계정매핑!$D$5:$D$504,MATCH($F2782&amp;"",계정매핑!$A$5:$A$504,0)),"미매핑"))</f>
        <v/>
      </c>
      <c r="X2782" s="9">
        <f>IF($A2782="","",$F2782&amp;"")</f>
        <v/>
      </c>
      <c r="Y2782" s="94">
        <f>IF($A2782="",0,IF(AE2782="직접",IF(AF2782="비귀속",$P2782,0),$P2782*(1-AG2782)*IFERROR(INDEX(계정대체기준!$F$20:$F$49,MATCH($N2782,계정대체기준!$A$20:$A$49,0)),1)))</f>
        <v/>
      </c>
      <c r="Z2782" s="94">
        <f>IF($A2782="",0,IF(AE2782="직접",IF(AF2782="신계약비",$P2782,0),$P2782*(1-AG2782)*IFERROR(INDEX(계정대체기준!$C$20:$C$49,MATCH($N2782,계정대체기준!$A$20:$A$49,0)),0)))</f>
        <v/>
      </c>
      <c r="AA2782" s="94">
        <f>IF($A2782="",0,IF(AE2782="직접",IF(OR(AF2782="유지비",AF2782="손해조사비"),$P2782,0),$P2782*(1-AG2782)*IFERROR(INDEX(계정대체기준!$D$20:$D$49,MATCH($N2782,계정대체기준!$A$20:$A$49,0)),0)))</f>
        <v/>
      </c>
      <c r="AB2782" s="94">
        <f>IF($A2782="",0,IF(AE2782="직접",IF(AF2782="수금비",$P2782,0),$P2782*(1-AG2782)*IFERROR(INDEX(계정대체기준!$E$20:$E$49,MATCH($N2782,계정대체기준!$A$20:$A$49,0)),0)))</f>
        <v/>
      </c>
      <c r="AC2782" s="9">
        <f>IF(AND($A2782&lt;&gt;"",M2782=설정!$C$20,Z2782&gt;0),Z2782+ROW()/1000000000,"")</f>
        <v/>
      </c>
      <c r="AD2782" s="94">
        <f>IF($A2782="",0,$P2782*AG2782)</f>
        <v/>
      </c>
      <c r="AE2782" s="64">
        <f>IF($A2782="","",IFERROR(INDEX(계정매핑!$E$5:$E$504,MATCH($F2782&amp;"",계정매핑!$A$5:$A$504,0))&amp;"","공통비"))</f>
        <v/>
      </c>
      <c r="AF2782" s="64">
        <f>IF($A2782="","",IF(AE2782="직접",IFERROR(INDEX(계정매핑!$F$5:$F$504,MATCH($F2782&amp;"",계정매핑!$A$5:$A$504,0))&amp;"","비귀속"),""))</f>
        <v/>
      </c>
      <c r="AG2782" s="96">
        <f>IF($A2782="",0,IF(AND(AE2782&lt;&gt;"직접",IFERROR(INDEX(계정매핑!$G$5:$G$504,MATCH($F2782&amp;"",계정매핑!$A$5:$A$504,0))&amp;"","")="유지비",COUNTIF(계정대체기준!$A$6:$A$15,$N2782)&gt;0),IFERROR(INDEX(계정대체기준!$E$6:$E$15,MATCH(VALUE($A2782&amp;""),계정대체기준!$D$6:$D$15,0)),0),0))</f>
        <v/>
      </c>
      <c r="AH2782" s="64">
        <f>IF($A2782="","",IF(AD2782=0,"",IF(OR(COUNTIF(계정대체기준!$A$77:$A$86,$N2782)&gt;0,ISNUMBER(MATCH($X2782,계정대체기준!$D$77:$D$86,0)),ISNUMBER(MATCH($F2782,계정대체기준!$D$77:$D$86,0))),"Y","N")))</f>
        <v/>
      </c>
    </row>
    <row r="2783">
      <c r="A2783" s="92" t="n">
        <v>2026</v>
      </c>
      <c r="B2783" s="92" t="n">
        <v>1</v>
      </c>
      <c r="C2783" s="92" t="inlineStr">
        <is>
          <t>5100000061</t>
        </is>
      </c>
      <c r="D2783" s="95" t="n">
        <v>46031</v>
      </c>
      <c r="E2783" s="92" t="inlineStr">
        <is>
          <t>KR</t>
        </is>
      </c>
      <c r="F2783" s="92" t="n">
        <v>62101000</v>
      </c>
      <c r="G2783" s="92" t="n">
        <v>1801</v>
      </c>
      <c r="H2783" s="93" t="n">
        <v>230000</v>
      </c>
      <c r="I2783" s="92" t="inlineStr">
        <is>
          <t>1월 국내출장 - L여행사</t>
        </is>
      </c>
      <c r="J2783" s="92" t="inlineStr">
        <is>
          <t>V10018</t>
        </is>
      </c>
      <c r="K2783" s="92" t="inlineStr">
        <is>
          <t>L여행사</t>
        </is>
      </c>
      <c r="M2783" s="9">
        <f>IF($A2783="","",VALUE($A2783&amp;"")*12+VALUE($B2783&amp;""))</f>
        <v/>
      </c>
      <c r="N2783" s="64">
        <f>IF($A2783="","",IFERROR(INDEX(부서매핑!$C$5:$C$504,MATCH($G2783&amp;"",부서매핑!$A$5:$A$504,0)),"미매핑"))</f>
        <v/>
      </c>
      <c r="O2783" s="9">
        <f>IF($A2783="","",N2783&amp;"|"&amp;$F2783)</f>
        <v/>
      </c>
      <c r="P2783" s="94">
        <f>IF($A2783="",0,$H2783*설정!$C$23)</f>
        <v/>
      </c>
      <c r="Q2783" s="64">
        <f>IF($A2783="","",IF(O2783&lt;&gt;원인분석!$C$9,"",IF(AND(M2783&gt;=원인분석!$C$10,M2783&lt;=원인분석!$C$11),"당기",IF(AND(M2783&gt;=원인분석!$C$12,M2783&lt;=원인분석!$C$13),"비교",""))))</f>
        <v/>
      </c>
      <c r="R2783" s="9">
        <f>IF(Q2783="","",$K2783&amp;"")</f>
        <v/>
      </c>
      <c r="S2783" s="9">
        <f>IF(Q2783="","",IF(MATCH(R2783,$R$5:$R$100000,0)=ROW()-4,ROW(),""))</f>
        <v/>
      </c>
      <c r="T2783" s="9">
        <f>IF(Q2783="당기",ABS(P2783)+ROW()/1000000000,"")</f>
        <v/>
      </c>
      <c r="U2783" s="9">
        <f>IF(Q2783="비교",ABS(P2783)+ROW()/1000000000,"")</f>
        <v/>
      </c>
      <c r="V2783" s="64">
        <f>IF($A2783="","",IF(COUNTIF(변동분석!$E$7:$E$506,O2783)&gt;0,"Y","N"))</f>
        <v/>
      </c>
      <c r="W2783" s="64">
        <f>IF($A2783="","",IFERROR(INDEX(계정매핑!$D$5:$D$504,MATCH($F2783&amp;"",계정매핑!$A$5:$A$504,0)),"미매핑"))</f>
        <v/>
      </c>
      <c r="X2783" s="9">
        <f>IF($A2783="","",$F2783&amp;"")</f>
        <v/>
      </c>
      <c r="Y2783" s="94">
        <f>IF($A2783="",0,IF(AE2783="직접",IF(AF2783="비귀속",$P2783,0),$P2783*(1-AG2783)*IFERROR(INDEX(계정대체기준!$F$20:$F$49,MATCH($N2783,계정대체기준!$A$20:$A$49,0)),1)))</f>
        <v/>
      </c>
      <c r="Z2783" s="94">
        <f>IF($A2783="",0,IF(AE2783="직접",IF(AF2783="신계약비",$P2783,0),$P2783*(1-AG2783)*IFERROR(INDEX(계정대체기준!$C$20:$C$49,MATCH($N2783,계정대체기준!$A$20:$A$49,0)),0)))</f>
        <v/>
      </c>
      <c r="AA2783" s="94">
        <f>IF($A2783="",0,IF(AE2783="직접",IF(OR(AF2783="유지비",AF2783="손해조사비"),$P2783,0),$P2783*(1-AG2783)*IFERROR(INDEX(계정대체기준!$D$20:$D$49,MATCH($N2783,계정대체기준!$A$20:$A$49,0)),0)))</f>
        <v/>
      </c>
      <c r="AB2783" s="94">
        <f>IF($A2783="",0,IF(AE2783="직접",IF(AF2783="수금비",$P2783,0),$P2783*(1-AG2783)*IFERROR(INDEX(계정대체기준!$E$20:$E$49,MATCH($N2783,계정대체기준!$A$20:$A$49,0)),0)))</f>
        <v/>
      </c>
      <c r="AC2783" s="9">
        <f>IF(AND($A2783&lt;&gt;"",M2783=설정!$C$20,Z2783&gt;0),Z2783+ROW()/1000000000,"")</f>
        <v/>
      </c>
      <c r="AD2783" s="94">
        <f>IF($A2783="",0,$P2783*AG2783)</f>
        <v/>
      </c>
      <c r="AE2783" s="64">
        <f>IF($A2783="","",IFERROR(INDEX(계정매핑!$E$5:$E$504,MATCH($F2783&amp;"",계정매핑!$A$5:$A$504,0))&amp;"","공통비"))</f>
        <v/>
      </c>
      <c r="AF2783" s="64">
        <f>IF($A2783="","",IF(AE2783="직접",IFERROR(INDEX(계정매핑!$F$5:$F$504,MATCH($F2783&amp;"",계정매핑!$A$5:$A$504,0))&amp;"","비귀속"),""))</f>
        <v/>
      </c>
      <c r="AG2783" s="96">
        <f>IF($A2783="",0,IF(AND(AE2783&lt;&gt;"직접",IFERROR(INDEX(계정매핑!$G$5:$G$504,MATCH($F2783&amp;"",계정매핑!$A$5:$A$504,0))&amp;"","")="유지비",COUNTIF(계정대체기준!$A$6:$A$15,$N2783)&gt;0),IFERROR(INDEX(계정대체기준!$E$6:$E$15,MATCH(VALUE($A2783&amp;""),계정대체기준!$D$6:$D$15,0)),0),0))</f>
        <v/>
      </c>
      <c r="AH2783" s="64">
        <f>IF($A2783="","",IF(AD2783=0,"",IF(OR(COUNTIF(계정대체기준!$A$77:$A$86,$N2783)&gt;0,ISNUMBER(MATCH($X2783,계정대체기준!$D$77:$D$86,0)),ISNUMBER(MATCH($F2783,계정대체기준!$D$77:$D$86,0))),"Y","N")))</f>
        <v/>
      </c>
    </row>
    <row r="2784">
      <c r="A2784" s="92" t="n">
        <v>2026</v>
      </c>
      <c r="B2784" s="92" t="n">
        <v>1</v>
      </c>
      <c r="C2784" s="92" t="inlineStr">
        <is>
          <t>5100000062</t>
        </is>
      </c>
      <c r="D2784" s="95" t="n">
        <v>46031</v>
      </c>
      <c r="E2784" s="92" t="inlineStr">
        <is>
          <t>KR</t>
        </is>
      </c>
      <c r="F2784" s="92" t="n">
        <v>62101000</v>
      </c>
      <c r="G2784" s="92" t="n">
        <v>1801</v>
      </c>
      <c r="H2784" s="93" t="n">
        <v>292000</v>
      </c>
      <c r="I2784" s="92" t="inlineStr">
        <is>
          <t>1월 국내출장 - (법인카드)</t>
        </is>
      </c>
      <c r="J2784" s="92" t="inlineStr">
        <is>
          <t>V10010</t>
        </is>
      </c>
      <c r="K2784" s="92" t="inlineStr">
        <is>
          <t>(법인카드)</t>
        </is>
      </c>
      <c r="M2784" s="9">
        <f>IF($A2784="","",VALUE($A2784&amp;"")*12+VALUE($B2784&amp;""))</f>
        <v/>
      </c>
      <c r="N2784" s="64">
        <f>IF($A2784="","",IFERROR(INDEX(부서매핑!$C$5:$C$504,MATCH($G2784&amp;"",부서매핑!$A$5:$A$504,0)),"미매핑"))</f>
        <v/>
      </c>
      <c r="O2784" s="9">
        <f>IF($A2784="","",N2784&amp;"|"&amp;$F2784)</f>
        <v/>
      </c>
      <c r="P2784" s="94">
        <f>IF($A2784="",0,$H2784*설정!$C$23)</f>
        <v/>
      </c>
      <c r="Q2784" s="64">
        <f>IF($A2784="","",IF(O2784&lt;&gt;원인분석!$C$9,"",IF(AND(M2784&gt;=원인분석!$C$10,M2784&lt;=원인분석!$C$11),"당기",IF(AND(M2784&gt;=원인분석!$C$12,M2784&lt;=원인분석!$C$13),"비교",""))))</f>
        <v/>
      </c>
      <c r="R2784" s="9">
        <f>IF(Q2784="","",$K2784&amp;"")</f>
        <v/>
      </c>
      <c r="S2784" s="9">
        <f>IF(Q2784="","",IF(MATCH(R2784,$R$5:$R$100000,0)=ROW()-4,ROW(),""))</f>
        <v/>
      </c>
      <c r="T2784" s="9">
        <f>IF(Q2784="당기",ABS(P2784)+ROW()/1000000000,"")</f>
        <v/>
      </c>
      <c r="U2784" s="9">
        <f>IF(Q2784="비교",ABS(P2784)+ROW()/1000000000,"")</f>
        <v/>
      </c>
      <c r="V2784" s="64">
        <f>IF($A2784="","",IF(COUNTIF(변동분석!$E$7:$E$506,O2784)&gt;0,"Y","N"))</f>
        <v/>
      </c>
      <c r="W2784" s="64">
        <f>IF($A2784="","",IFERROR(INDEX(계정매핑!$D$5:$D$504,MATCH($F2784&amp;"",계정매핑!$A$5:$A$504,0)),"미매핑"))</f>
        <v/>
      </c>
      <c r="X2784" s="9">
        <f>IF($A2784="","",$F2784&amp;"")</f>
        <v/>
      </c>
      <c r="Y2784" s="94">
        <f>IF($A2784="",0,IF(AE2784="직접",IF(AF2784="비귀속",$P2784,0),$P2784*(1-AG2784)*IFERROR(INDEX(계정대체기준!$F$20:$F$49,MATCH($N2784,계정대체기준!$A$20:$A$49,0)),1)))</f>
        <v/>
      </c>
      <c r="Z2784" s="94">
        <f>IF($A2784="",0,IF(AE2784="직접",IF(AF2784="신계약비",$P2784,0),$P2784*(1-AG2784)*IFERROR(INDEX(계정대체기준!$C$20:$C$49,MATCH($N2784,계정대체기준!$A$20:$A$49,0)),0)))</f>
        <v/>
      </c>
      <c r="AA2784" s="94">
        <f>IF($A2784="",0,IF(AE2784="직접",IF(OR(AF2784="유지비",AF2784="손해조사비"),$P2784,0),$P2784*(1-AG2784)*IFERROR(INDEX(계정대체기준!$D$20:$D$49,MATCH($N2784,계정대체기준!$A$20:$A$49,0)),0)))</f>
        <v/>
      </c>
      <c r="AB2784" s="94">
        <f>IF($A2784="",0,IF(AE2784="직접",IF(AF2784="수금비",$P2784,0),$P2784*(1-AG2784)*IFERROR(INDEX(계정대체기준!$E$20:$E$49,MATCH($N2784,계정대체기준!$A$20:$A$49,0)),0)))</f>
        <v/>
      </c>
      <c r="AC2784" s="9">
        <f>IF(AND($A2784&lt;&gt;"",M2784=설정!$C$20,Z2784&gt;0),Z2784+ROW()/1000000000,"")</f>
        <v/>
      </c>
      <c r="AD2784" s="94">
        <f>IF($A2784="",0,$P2784*AG2784)</f>
        <v/>
      </c>
      <c r="AE2784" s="64">
        <f>IF($A2784="","",IFERROR(INDEX(계정매핑!$E$5:$E$504,MATCH($F2784&amp;"",계정매핑!$A$5:$A$504,0))&amp;"","공통비"))</f>
        <v/>
      </c>
      <c r="AF2784" s="64">
        <f>IF($A2784="","",IF(AE2784="직접",IFERROR(INDEX(계정매핑!$F$5:$F$504,MATCH($F2784&amp;"",계정매핑!$A$5:$A$504,0))&amp;"","비귀속"),""))</f>
        <v/>
      </c>
      <c r="AG2784" s="96">
        <f>IF($A2784="",0,IF(AND(AE2784&lt;&gt;"직접",IFERROR(INDEX(계정매핑!$G$5:$G$504,MATCH($F2784&amp;"",계정매핑!$A$5:$A$504,0))&amp;"","")="유지비",COUNTIF(계정대체기준!$A$6:$A$15,$N2784)&gt;0),IFERROR(INDEX(계정대체기준!$E$6:$E$15,MATCH(VALUE($A2784&amp;""),계정대체기준!$D$6:$D$15,0)),0),0))</f>
        <v/>
      </c>
      <c r="AH2784" s="64">
        <f>IF($A2784="","",IF(AD2784=0,"",IF(OR(COUNTIF(계정대체기준!$A$77:$A$86,$N2784)&gt;0,ISNUMBER(MATCH($X2784,계정대체기준!$D$77:$D$86,0)),ISNUMBER(MATCH($F2784,계정대체기준!$D$77:$D$86,0))),"Y","N")))</f>
        <v/>
      </c>
    </row>
    <row r="2785">
      <c r="A2785" s="92" t="n">
        <v>2026</v>
      </c>
      <c r="B2785" s="92" t="n">
        <v>1</v>
      </c>
      <c r="C2785" s="92" t="inlineStr">
        <is>
          <t>5100000063</t>
        </is>
      </c>
      <c r="D2785" s="95" t="n">
        <v>46031</v>
      </c>
      <c r="E2785" s="92" t="inlineStr">
        <is>
          <t>KR</t>
        </is>
      </c>
      <c r="F2785" s="92" t="n">
        <v>62101000</v>
      </c>
      <c r="G2785" s="92" t="n">
        <v>1951</v>
      </c>
      <c r="H2785" s="93" t="n">
        <v>435000</v>
      </c>
      <c r="I2785" s="92" t="inlineStr">
        <is>
          <t>1월 국내출장 - M항공</t>
        </is>
      </c>
      <c r="J2785" s="92" t="inlineStr">
        <is>
          <t>V10001</t>
        </is>
      </c>
      <c r="K2785" s="92" t="inlineStr">
        <is>
          <t>M항공</t>
        </is>
      </c>
      <c r="M2785" s="9">
        <f>IF($A2785="","",VALUE($A2785&amp;"")*12+VALUE($B2785&amp;""))</f>
        <v/>
      </c>
      <c r="N2785" s="64">
        <f>IF($A2785="","",IFERROR(INDEX(부서매핑!$C$5:$C$504,MATCH($G2785&amp;"",부서매핑!$A$5:$A$504,0)),"미매핑"))</f>
        <v/>
      </c>
      <c r="O2785" s="9">
        <f>IF($A2785="","",N2785&amp;"|"&amp;$F2785)</f>
        <v/>
      </c>
      <c r="P2785" s="94">
        <f>IF($A2785="",0,$H2785*설정!$C$23)</f>
        <v/>
      </c>
      <c r="Q2785" s="64">
        <f>IF($A2785="","",IF(O2785&lt;&gt;원인분석!$C$9,"",IF(AND(M2785&gt;=원인분석!$C$10,M2785&lt;=원인분석!$C$11),"당기",IF(AND(M2785&gt;=원인분석!$C$12,M2785&lt;=원인분석!$C$13),"비교",""))))</f>
        <v/>
      </c>
      <c r="R2785" s="9">
        <f>IF(Q2785="","",$K2785&amp;"")</f>
        <v/>
      </c>
      <c r="S2785" s="9">
        <f>IF(Q2785="","",IF(MATCH(R2785,$R$5:$R$100000,0)=ROW()-4,ROW(),""))</f>
        <v/>
      </c>
      <c r="T2785" s="9">
        <f>IF(Q2785="당기",ABS(P2785)+ROW()/1000000000,"")</f>
        <v/>
      </c>
      <c r="U2785" s="9">
        <f>IF(Q2785="비교",ABS(P2785)+ROW()/1000000000,"")</f>
        <v/>
      </c>
      <c r="V2785" s="64">
        <f>IF($A2785="","",IF(COUNTIF(변동분석!$E$7:$E$506,O2785)&gt;0,"Y","N"))</f>
        <v/>
      </c>
      <c r="W2785" s="64">
        <f>IF($A2785="","",IFERROR(INDEX(계정매핑!$D$5:$D$504,MATCH($F2785&amp;"",계정매핑!$A$5:$A$504,0)),"미매핑"))</f>
        <v/>
      </c>
      <c r="X2785" s="9">
        <f>IF($A2785="","",$F2785&amp;"")</f>
        <v/>
      </c>
      <c r="Y2785" s="94">
        <f>IF($A2785="",0,IF(AE2785="직접",IF(AF2785="비귀속",$P2785,0),$P2785*(1-AG2785)*IFERROR(INDEX(계정대체기준!$F$20:$F$49,MATCH($N2785,계정대체기준!$A$20:$A$49,0)),1)))</f>
        <v/>
      </c>
      <c r="Z2785" s="94">
        <f>IF($A2785="",0,IF(AE2785="직접",IF(AF2785="신계약비",$P2785,0),$P2785*(1-AG2785)*IFERROR(INDEX(계정대체기준!$C$20:$C$49,MATCH($N2785,계정대체기준!$A$20:$A$49,0)),0)))</f>
        <v/>
      </c>
      <c r="AA2785" s="94">
        <f>IF($A2785="",0,IF(AE2785="직접",IF(OR(AF2785="유지비",AF2785="손해조사비"),$P2785,0),$P2785*(1-AG2785)*IFERROR(INDEX(계정대체기준!$D$20:$D$49,MATCH($N2785,계정대체기준!$A$20:$A$49,0)),0)))</f>
        <v/>
      </c>
      <c r="AB2785" s="94">
        <f>IF($A2785="",0,IF(AE2785="직접",IF(AF2785="수금비",$P2785,0),$P2785*(1-AG2785)*IFERROR(INDEX(계정대체기준!$E$20:$E$49,MATCH($N2785,계정대체기준!$A$20:$A$49,0)),0)))</f>
        <v/>
      </c>
      <c r="AC2785" s="9">
        <f>IF(AND($A2785&lt;&gt;"",M2785=설정!$C$20,Z2785&gt;0),Z2785+ROW()/1000000000,"")</f>
        <v/>
      </c>
      <c r="AD2785" s="94">
        <f>IF($A2785="",0,$P2785*AG2785)</f>
        <v/>
      </c>
      <c r="AE2785" s="64">
        <f>IF($A2785="","",IFERROR(INDEX(계정매핑!$E$5:$E$504,MATCH($F2785&amp;"",계정매핑!$A$5:$A$504,0))&amp;"","공통비"))</f>
        <v/>
      </c>
      <c r="AF2785" s="64">
        <f>IF($A2785="","",IF(AE2785="직접",IFERROR(INDEX(계정매핑!$F$5:$F$504,MATCH($F2785&amp;"",계정매핑!$A$5:$A$504,0))&amp;"","비귀속"),""))</f>
        <v/>
      </c>
      <c r="AG2785" s="96">
        <f>IF($A2785="",0,IF(AND(AE2785&lt;&gt;"직접",IFERROR(INDEX(계정매핑!$G$5:$G$504,MATCH($F2785&amp;"",계정매핑!$A$5:$A$504,0))&amp;"","")="유지비",COUNTIF(계정대체기준!$A$6:$A$15,$N2785)&gt;0),IFERROR(INDEX(계정대체기준!$E$6:$E$15,MATCH(VALUE($A2785&amp;""),계정대체기준!$D$6:$D$15,0)),0),0))</f>
        <v/>
      </c>
      <c r="AH2785" s="64">
        <f>IF($A2785="","",IF(AD2785=0,"",IF(OR(COUNTIF(계정대체기준!$A$77:$A$86,$N2785)&gt;0,ISNUMBER(MATCH($X2785,계정대체기준!$D$77:$D$86,0)),ISNUMBER(MATCH($F2785,계정대체기준!$D$77:$D$86,0))),"Y","N")))</f>
        <v/>
      </c>
    </row>
    <row r="2786">
      <c r="A2786" s="92" t="n">
        <v>2026</v>
      </c>
      <c r="B2786" s="92" t="n">
        <v>1</v>
      </c>
      <c r="C2786" s="92" t="inlineStr">
        <is>
          <t>5100000064</t>
        </is>
      </c>
      <c r="D2786" s="95" t="n">
        <v>46031</v>
      </c>
      <c r="E2786" s="92" t="inlineStr">
        <is>
          <t>KR</t>
        </is>
      </c>
      <c r="F2786" s="92" t="n">
        <v>62201000</v>
      </c>
      <c r="G2786" s="92" t="n">
        <v>1601</v>
      </c>
      <c r="H2786" s="93" t="n">
        <v>1149000</v>
      </c>
      <c r="I2786" s="92" t="inlineStr">
        <is>
          <t>1월 통신요금 - O텔레콤</t>
        </is>
      </c>
      <c r="J2786" s="92" t="inlineStr">
        <is>
          <t>V10002</t>
        </is>
      </c>
      <c r="K2786" s="92" t="inlineStr">
        <is>
          <t>O텔레콤</t>
        </is>
      </c>
      <c r="M2786" s="9">
        <f>IF($A2786="","",VALUE($A2786&amp;"")*12+VALUE($B2786&amp;""))</f>
        <v/>
      </c>
      <c r="N2786" s="64">
        <f>IF($A2786="","",IFERROR(INDEX(부서매핑!$C$5:$C$504,MATCH($G2786&amp;"",부서매핑!$A$5:$A$504,0)),"미매핑"))</f>
        <v/>
      </c>
      <c r="O2786" s="9">
        <f>IF($A2786="","",N2786&amp;"|"&amp;$F2786)</f>
        <v/>
      </c>
      <c r="P2786" s="94">
        <f>IF($A2786="",0,$H2786*설정!$C$23)</f>
        <v/>
      </c>
      <c r="Q2786" s="64">
        <f>IF($A2786="","",IF(O2786&lt;&gt;원인분석!$C$9,"",IF(AND(M2786&gt;=원인분석!$C$10,M2786&lt;=원인분석!$C$11),"당기",IF(AND(M2786&gt;=원인분석!$C$12,M2786&lt;=원인분석!$C$13),"비교",""))))</f>
        <v/>
      </c>
      <c r="R2786" s="9">
        <f>IF(Q2786="","",$K2786&amp;"")</f>
        <v/>
      </c>
      <c r="S2786" s="9">
        <f>IF(Q2786="","",IF(MATCH(R2786,$R$5:$R$100000,0)=ROW()-4,ROW(),""))</f>
        <v/>
      </c>
      <c r="T2786" s="9">
        <f>IF(Q2786="당기",ABS(P2786)+ROW()/1000000000,"")</f>
        <v/>
      </c>
      <c r="U2786" s="9">
        <f>IF(Q2786="비교",ABS(P2786)+ROW()/1000000000,"")</f>
        <v/>
      </c>
      <c r="V2786" s="64">
        <f>IF($A2786="","",IF(COUNTIF(변동분석!$E$7:$E$506,O2786)&gt;0,"Y","N"))</f>
        <v/>
      </c>
      <c r="W2786" s="64">
        <f>IF($A2786="","",IFERROR(INDEX(계정매핑!$D$5:$D$504,MATCH($F2786&amp;"",계정매핑!$A$5:$A$504,0)),"미매핑"))</f>
        <v/>
      </c>
      <c r="X2786" s="9">
        <f>IF($A2786="","",$F2786&amp;"")</f>
        <v/>
      </c>
      <c r="Y2786" s="94">
        <f>IF($A2786="",0,IF(AE2786="직접",IF(AF2786="비귀속",$P2786,0),$P2786*(1-AG2786)*IFERROR(INDEX(계정대체기준!$F$20:$F$49,MATCH($N2786,계정대체기준!$A$20:$A$49,0)),1)))</f>
        <v/>
      </c>
      <c r="Z2786" s="94">
        <f>IF($A2786="",0,IF(AE2786="직접",IF(AF2786="신계약비",$P2786,0),$P2786*(1-AG2786)*IFERROR(INDEX(계정대체기준!$C$20:$C$49,MATCH($N2786,계정대체기준!$A$20:$A$49,0)),0)))</f>
        <v/>
      </c>
      <c r="AA2786" s="94">
        <f>IF($A2786="",0,IF(AE2786="직접",IF(OR(AF2786="유지비",AF2786="손해조사비"),$P2786,0),$P2786*(1-AG2786)*IFERROR(INDEX(계정대체기준!$D$20:$D$49,MATCH($N2786,계정대체기준!$A$20:$A$49,0)),0)))</f>
        <v/>
      </c>
      <c r="AB2786" s="94">
        <f>IF($A2786="",0,IF(AE2786="직접",IF(AF2786="수금비",$P2786,0),$P2786*(1-AG2786)*IFERROR(INDEX(계정대체기준!$E$20:$E$49,MATCH($N2786,계정대체기준!$A$20:$A$49,0)),0)))</f>
        <v/>
      </c>
      <c r="AC2786" s="9">
        <f>IF(AND($A2786&lt;&gt;"",M2786=설정!$C$20,Z2786&gt;0),Z2786+ROW()/1000000000,"")</f>
        <v/>
      </c>
      <c r="AD2786" s="94">
        <f>IF($A2786="",0,$P2786*AG2786)</f>
        <v/>
      </c>
      <c r="AE2786" s="64">
        <f>IF($A2786="","",IFERROR(INDEX(계정매핑!$E$5:$E$504,MATCH($F2786&amp;"",계정매핑!$A$5:$A$504,0))&amp;"","공통비"))</f>
        <v/>
      </c>
      <c r="AF2786" s="64">
        <f>IF($A2786="","",IF(AE2786="직접",IFERROR(INDEX(계정매핑!$F$5:$F$504,MATCH($F2786&amp;"",계정매핑!$A$5:$A$504,0))&amp;"","비귀속"),""))</f>
        <v/>
      </c>
      <c r="AG2786" s="96">
        <f>IF($A2786="",0,IF(AND(AE2786&lt;&gt;"직접",IFERROR(INDEX(계정매핑!$G$5:$G$504,MATCH($F2786&amp;"",계정매핑!$A$5:$A$504,0))&amp;"","")="유지비",COUNTIF(계정대체기준!$A$6:$A$15,$N2786)&gt;0),IFERROR(INDEX(계정대체기준!$E$6:$E$15,MATCH(VALUE($A2786&amp;""),계정대체기준!$D$6:$D$15,0)),0),0))</f>
        <v/>
      </c>
      <c r="AH2786" s="64">
        <f>IF($A2786="","",IF(AD2786=0,"",IF(OR(COUNTIF(계정대체기준!$A$77:$A$86,$N2786)&gt;0,ISNUMBER(MATCH($X2786,계정대체기준!$D$77:$D$86,0)),ISNUMBER(MATCH($F2786,계정대체기준!$D$77:$D$86,0))),"Y","N")))</f>
        <v/>
      </c>
    </row>
    <row r="2787">
      <c r="A2787" s="92" t="n">
        <v>2026</v>
      </c>
      <c r="B2787" s="92" t="n">
        <v>1</v>
      </c>
      <c r="C2787" s="92" t="inlineStr">
        <is>
          <t>5100000065</t>
        </is>
      </c>
      <c r="D2787" s="95" t="n">
        <v>46031</v>
      </c>
      <c r="E2787" s="92" t="inlineStr">
        <is>
          <t>KR</t>
        </is>
      </c>
      <c r="F2787" s="92" t="n">
        <v>62201000</v>
      </c>
      <c r="G2787" s="92" t="n">
        <v>1801</v>
      </c>
      <c r="H2787" s="93" t="n">
        <v>9123000</v>
      </c>
      <c r="I2787" s="92" t="inlineStr">
        <is>
          <t>1월 통신요금 - P통신</t>
        </is>
      </c>
      <c r="J2787" s="92" t="inlineStr">
        <is>
          <t>V10014</t>
        </is>
      </c>
      <c r="K2787" s="92" t="inlineStr">
        <is>
          <t>P통신</t>
        </is>
      </c>
      <c r="M2787" s="9">
        <f>IF($A2787="","",VALUE($A2787&amp;"")*12+VALUE($B2787&amp;""))</f>
        <v/>
      </c>
      <c r="N2787" s="64">
        <f>IF($A2787="","",IFERROR(INDEX(부서매핑!$C$5:$C$504,MATCH($G2787&amp;"",부서매핑!$A$5:$A$504,0)),"미매핑"))</f>
        <v/>
      </c>
      <c r="O2787" s="9">
        <f>IF($A2787="","",N2787&amp;"|"&amp;$F2787)</f>
        <v/>
      </c>
      <c r="P2787" s="94">
        <f>IF($A2787="",0,$H2787*설정!$C$23)</f>
        <v/>
      </c>
      <c r="Q2787" s="64">
        <f>IF($A2787="","",IF(O2787&lt;&gt;원인분석!$C$9,"",IF(AND(M2787&gt;=원인분석!$C$10,M2787&lt;=원인분석!$C$11),"당기",IF(AND(M2787&gt;=원인분석!$C$12,M2787&lt;=원인분석!$C$13),"비교",""))))</f>
        <v/>
      </c>
      <c r="R2787" s="9">
        <f>IF(Q2787="","",$K2787&amp;"")</f>
        <v/>
      </c>
      <c r="S2787" s="9">
        <f>IF(Q2787="","",IF(MATCH(R2787,$R$5:$R$100000,0)=ROW()-4,ROW(),""))</f>
        <v/>
      </c>
      <c r="T2787" s="9">
        <f>IF(Q2787="당기",ABS(P2787)+ROW()/1000000000,"")</f>
        <v/>
      </c>
      <c r="U2787" s="9">
        <f>IF(Q2787="비교",ABS(P2787)+ROW()/1000000000,"")</f>
        <v/>
      </c>
      <c r="V2787" s="64">
        <f>IF($A2787="","",IF(COUNTIF(변동분석!$E$7:$E$506,O2787)&gt;0,"Y","N"))</f>
        <v/>
      </c>
      <c r="W2787" s="64">
        <f>IF($A2787="","",IFERROR(INDEX(계정매핑!$D$5:$D$504,MATCH($F2787&amp;"",계정매핑!$A$5:$A$504,0)),"미매핑"))</f>
        <v/>
      </c>
      <c r="X2787" s="9">
        <f>IF($A2787="","",$F2787&amp;"")</f>
        <v/>
      </c>
      <c r="Y2787" s="94">
        <f>IF($A2787="",0,IF(AE2787="직접",IF(AF2787="비귀속",$P2787,0),$P2787*(1-AG2787)*IFERROR(INDEX(계정대체기준!$F$20:$F$49,MATCH($N2787,계정대체기준!$A$20:$A$49,0)),1)))</f>
        <v/>
      </c>
      <c r="Z2787" s="94">
        <f>IF($A2787="",0,IF(AE2787="직접",IF(AF2787="신계약비",$P2787,0),$P2787*(1-AG2787)*IFERROR(INDEX(계정대체기준!$C$20:$C$49,MATCH($N2787,계정대체기준!$A$20:$A$49,0)),0)))</f>
        <v/>
      </c>
      <c r="AA2787" s="94">
        <f>IF($A2787="",0,IF(AE2787="직접",IF(OR(AF2787="유지비",AF2787="손해조사비"),$P2787,0),$P2787*(1-AG2787)*IFERROR(INDEX(계정대체기준!$D$20:$D$49,MATCH($N2787,계정대체기준!$A$20:$A$49,0)),0)))</f>
        <v/>
      </c>
      <c r="AB2787" s="94">
        <f>IF($A2787="",0,IF(AE2787="직접",IF(AF2787="수금비",$P2787,0),$P2787*(1-AG2787)*IFERROR(INDEX(계정대체기준!$E$20:$E$49,MATCH($N2787,계정대체기준!$A$20:$A$49,0)),0)))</f>
        <v/>
      </c>
      <c r="AC2787" s="9">
        <f>IF(AND($A2787&lt;&gt;"",M2787=설정!$C$20,Z2787&gt;0),Z2787+ROW()/1000000000,"")</f>
        <v/>
      </c>
      <c r="AD2787" s="94">
        <f>IF($A2787="",0,$P2787*AG2787)</f>
        <v/>
      </c>
      <c r="AE2787" s="64">
        <f>IF($A2787="","",IFERROR(INDEX(계정매핑!$E$5:$E$504,MATCH($F2787&amp;"",계정매핑!$A$5:$A$504,0))&amp;"","공통비"))</f>
        <v/>
      </c>
      <c r="AF2787" s="64">
        <f>IF($A2787="","",IF(AE2787="직접",IFERROR(INDEX(계정매핑!$F$5:$F$504,MATCH($F2787&amp;"",계정매핑!$A$5:$A$504,0))&amp;"","비귀속"),""))</f>
        <v/>
      </c>
      <c r="AG2787" s="96">
        <f>IF($A2787="",0,IF(AND(AE2787&lt;&gt;"직접",IFERROR(INDEX(계정매핑!$G$5:$G$504,MATCH($F2787&amp;"",계정매핑!$A$5:$A$504,0))&amp;"","")="유지비",COUNTIF(계정대체기준!$A$6:$A$15,$N2787)&gt;0),IFERROR(INDEX(계정대체기준!$E$6:$E$15,MATCH(VALUE($A2787&amp;""),계정대체기준!$D$6:$D$15,0)),0),0))</f>
        <v/>
      </c>
      <c r="AH2787" s="64">
        <f>IF($A2787="","",IF(AD2787=0,"",IF(OR(COUNTIF(계정대체기준!$A$77:$A$86,$N2787)&gt;0,ISNUMBER(MATCH($X2787,계정대체기준!$D$77:$D$86,0)),ISNUMBER(MATCH($F2787,계정대체기준!$D$77:$D$86,0))),"Y","N")))</f>
        <v/>
      </c>
    </row>
    <row r="2788">
      <c r="A2788" s="92" t="n">
        <v>2026</v>
      </c>
      <c r="B2788" s="92" t="n">
        <v>1</v>
      </c>
      <c r="C2788" s="92" t="inlineStr">
        <is>
          <t>5100000066</t>
        </is>
      </c>
      <c r="D2788" s="95" t="n">
        <v>46031</v>
      </c>
      <c r="E2788" s="92" t="inlineStr">
        <is>
          <t>KR</t>
        </is>
      </c>
      <c r="F2788" s="92" t="n">
        <v>62301000</v>
      </c>
      <c r="G2788" s="92" t="n">
        <v>1301</v>
      </c>
      <c r="H2788" s="93" t="n">
        <v>258000</v>
      </c>
      <c r="I2788" s="92" t="inlineStr">
        <is>
          <t>1월 소모품 구입 - Q오피스</t>
        </is>
      </c>
      <c r="J2788" s="92" t="inlineStr">
        <is>
          <t>V10003</t>
        </is>
      </c>
      <c r="K2788" s="92" t="inlineStr">
        <is>
          <t>Q오피스</t>
        </is>
      </c>
      <c r="M2788" s="9">
        <f>IF($A2788="","",VALUE($A2788&amp;"")*12+VALUE($B2788&amp;""))</f>
        <v/>
      </c>
      <c r="N2788" s="64">
        <f>IF($A2788="","",IFERROR(INDEX(부서매핑!$C$5:$C$504,MATCH($G2788&amp;"",부서매핑!$A$5:$A$504,0)),"미매핑"))</f>
        <v/>
      </c>
      <c r="O2788" s="9">
        <f>IF($A2788="","",N2788&amp;"|"&amp;$F2788)</f>
        <v/>
      </c>
      <c r="P2788" s="94">
        <f>IF($A2788="",0,$H2788*설정!$C$23)</f>
        <v/>
      </c>
      <c r="Q2788" s="64">
        <f>IF($A2788="","",IF(O2788&lt;&gt;원인분석!$C$9,"",IF(AND(M2788&gt;=원인분석!$C$10,M2788&lt;=원인분석!$C$11),"당기",IF(AND(M2788&gt;=원인분석!$C$12,M2788&lt;=원인분석!$C$13),"비교",""))))</f>
        <v/>
      </c>
      <c r="R2788" s="9">
        <f>IF(Q2788="","",$K2788&amp;"")</f>
        <v/>
      </c>
      <c r="S2788" s="9">
        <f>IF(Q2788="","",IF(MATCH(R2788,$R$5:$R$100000,0)=ROW()-4,ROW(),""))</f>
        <v/>
      </c>
      <c r="T2788" s="9">
        <f>IF(Q2788="당기",ABS(P2788)+ROW()/1000000000,"")</f>
        <v/>
      </c>
      <c r="U2788" s="9">
        <f>IF(Q2788="비교",ABS(P2788)+ROW()/1000000000,"")</f>
        <v/>
      </c>
      <c r="V2788" s="64">
        <f>IF($A2788="","",IF(COUNTIF(변동분석!$E$7:$E$506,O2788)&gt;0,"Y","N"))</f>
        <v/>
      </c>
      <c r="W2788" s="64">
        <f>IF($A2788="","",IFERROR(INDEX(계정매핑!$D$5:$D$504,MATCH($F2788&amp;"",계정매핑!$A$5:$A$504,0)),"미매핑"))</f>
        <v/>
      </c>
      <c r="X2788" s="9">
        <f>IF($A2788="","",$F2788&amp;"")</f>
        <v/>
      </c>
      <c r="Y2788" s="94">
        <f>IF($A2788="",0,IF(AE2788="직접",IF(AF2788="비귀속",$P2788,0),$P2788*(1-AG2788)*IFERROR(INDEX(계정대체기준!$F$20:$F$49,MATCH($N2788,계정대체기준!$A$20:$A$49,0)),1)))</f>
        <v/>
      </c>
      <c r="Z2788" s="94">
        <f>IF($A2788="",0,IF(AE2788="직접",IF(AF2788="신계약비",$P2788,0),$P2788*(1-AG2788)*IFERROR(INDEX(계정대체기준!$C$20:$C$49,MATCH($N2788,계정대체기준!$A$20:$A$49,0)),0)))</f>
        <v/>
      </c>
      <c r="AA2788" s="94">
        <f>IF($A2788="",0,IF(AE2788="직접",IF(OR(AF2788="유지비",AF2788="손해조사비"),$P2788,0),$P2788*(1-AG2788)*IFERROR(INDEX(계정대체기준!$D$20:$D$49,MATCH($N2788,계정대체기준!$A$20:$A$49,0)),0)))</f>
        <v/>
      </c>
      <c r="AB2788" s="94">
        <f>IF($A2788="",0,IF(AE2788="직접",IF(AF2788="수금비",$P2788,0),$P2788*(1-AG2788)*IFERROR(INDEX(계정대체기준!$E$20:$E$49,MATCH($N2788,계정대체기준!$A$20:$A$49,0)),0)))</f>
        <v/>
      </c>
      <c r="AC2788" s="9">
        <f>IF(AND($A2788&lt;&gt;"",M2788=설정!$C$20,Z2788&gt;0),Z2788+ROW()/1000000000,"")</f>
        <v/>
      </c>
      <c r="AD2788" s="94">
        <f>IF($A2788="",0,$P2788*AG2788)</f>
        <v/>
      </c>
      <c r="AE2788" s="64">
        <f>IF($A2788="","",IFERROR(INDEX(계정매핑!$E$5:$E$504,MATCH($F2788&amp;"",계정매핑!$A$5:$A$504,0))&amp;"","공통비"))</f>
        <v/>
      </c>
      <c r="AF2788" s="64">
        <f>IF($A2788="","",IF(AE2788="직접",IFERROR(INDEX(계정매핑!$F$5:$F$504,MATCH($F2788&amp;"",계정매핑!$A$5:$A$504,0))&amp;"","비귀속"),""))</f>
        <v/>
      </c>
      <c r="AG2788" s="96">
        <f>IF($A2788="",0,IF(AND(AE2788&lt;&gt;"직접",IFERROR(INDEX(계정매핑!$G$5:$G$504,MATCH($F2788&amp;"",계정매핑!$A$5:$A$504,0))&amp;"","")="유지비",COUNTIF(계정대체기준!$A$6:$A$15,$N2788)&gt;0),IFERROR(INDEX(계정대체기준!$E$6:$E$15,MATCH(VALUE($A2788&amp;""),계정대체기준!$D$6:$D$15,0)),0),0))</f>
        <v/>
      </c>
      <c r="AH2788" s="64">
        <f>IF($A2788="","",IF(AD2788=0,"",IF(OR(COUNTIF(계정대체기준!$A$77:$A$86,$N2788)&gt;0,ISNUMBER(MATCH($X2788,계정대체기준!$D$77:$D$86,0)),ISNUMBER(MATCH($F2788,계정대체기준!$D$77:$D$86,0))),"Y","N")))</f>
        <v/>
      </c>
    </row>
    <row r="2789">
      <c r="A2789" s="92" t="n">
        <v>2026</v>
      </c>
      <c r="B2789" s="92" t="n">
        <v>1</v>
      </c>
      <c r="C2789" s="92" t="inlineStr">
        <is>
          <t>5100000067</t>
        </is>
      </c>
      <c r="D2789" s="95" t="n">
        <v>46031</v>
      </c>
      <c r="E2789" s="92" t="inlineStr">
        <is>
          <t>KR</t>
        </is>
      </c>
      <c r="F2789" s="92" t="n">
        <v>62501000</v>
      </c>
      <c r="G2789" s="92" t="n">
        <v>1101</v>
      </c>
      <c r="H2789" s="93" t="n">
        <v>342000</v>
      </c>
      <c r="I2789" s="92" t="inlineStr">
        <is>
          <t>1월 회의 다과 - (법인카드)</t>
        </is>
      </c>
      <c r="J2789" s="92" t="inlineStr">
        <is>
          <t>V10010</t>
        </is>
      </c>
      <c r="K2789" s="92" t="inlineStr">
        <is>
          <t>(법인카드)</t>
        </is>
      </c>
      <c r="M2789" s="9">
        <f>IF($A2789="","",VALUE($A2789&amp;"")*12+VALUE($B2789&amp;""))</f>
        <v/>
      </c>
      <c r="N2789" s="64">
        <f>IF($A2789="","",IFERROR(INDEX(부서매핑!$C$5:$C$504,MATCH($G2789&amp;"",부서매핑!$A$5:$A$504,0)),"미매핑"))</f>
        <v/>
      </c>
      <c r="O2789" s="9">
        <f>IF($A2789="","",N2789&amp;"|"&amp;$F2789)</f>
        <v/>
      </c>
      <c r="P2789" s="94">
        <f>IF($A2789="",0,$H2789*설정!$C$23)</f>
        <v/>
      </c>
      <c r="Q2789" s="64">
        <f>IF($A2789="","",IF(O2789&lt;&gt;원인분석!$C$9,"",IF(AND(M2789&gt;=원인분석!$C$10,M2789&lt;=원인분석!$C$11),"당기",IF(AND(M2789&gt;=원인분석!$C$12,M2789&lt;=원인분석!$C$13),"비교",""))))</f>
        <v/>
      </c>
      <c r="R2789" s="9">
        <f>IF(Q2789="","",$K2789&amp;"")</f>
        <v/>
      </c>
      <c r="S2789" s="9">
        <f>IF(Q2789="","",IF(MATCH(R2789,$R$5:$R$100000,0)=ROW()-4,ROW(),""))</f>
        <v/>
      </c>
      <c r="T2789" s="9">
        <f>IF(Q2789="당기",ABS(P2789)+ROW()/1000000000,"")</f>
        <v/>
      </c>
      <c r="U2789" s="9">
        <f>IF(Q2789="비교",ABS(P2789)+ROW()/1000000000,"")</f>
        <v/>
      </c>
      <c r="V2789" s="64">
        <f>IF($A2789="","",IF(COUNTIF(변동분석!$E$7:$E$506,O2789)&gt;0,"Y","N"))</f>
        <v/>
      </c>
      <c r="W2789" s="64">
        <f>IF($A2789="","",IFERROR(INDEX(계정매핑!$D$5:$D$504,MATCH($F2789&amp;"",계정매핑!$A$5:$A$504,0)),"미매핑"))</f>
        <v/>
      </c>
      <c r="X2789" s="9">
        <f>IF($A2789="","",$F2789&amp;"")</f>
        <v/>
      </c>
      <c r="Y2789" s="94">
        <f>IF($A2789="",0,IF(AE2789="직접",IF(AF2789="비귀속",$P2789,0),$P2789*(1-AG2789)*IFERROR(INDEX(계정대체기준!$F$20:$F$49,MATCH($N2789,계정대체기준!$A$20:$A$49,0)),1)))</f>
        <v/>
      </c>
      <c r="Z2789" s="94">
        <f>IF($A2789="",0,IF(AE2789="직접",IF(AF2789="신계약비",$P2789,0),$P2789*(1-AG2789)*IFERROR(INDEX(계정대체기준!$C$20:$C$49,MATCH($N2789,계정대체기준!$A$20:$A$49,0)),0)))</f>
        <v/>
      </c>
      <c r="AA2789" s="94">
        <f>IF($A2789="",0,IF(AE2789="직접",IF(OR(AF2789="유지비",AF2789="손해조사비"),$P2789,0),$P2789*(1-AG2789)*IFERROR(INDEX(계정대체기준!$D$20:$D$49,MATCH($N2789,계정대체기준!$A$20:$A$49,0)),0)))</f>
        <v/>
      </c>
      <c r="AB2789" s="94">
        <f>IF($A2789="",0,IF(AE2789="직접",IF(AF2789="수금비",$P2789,0),$P2789*(1-AG2789)*IFERROR(INDEX(계정대체기준!$E$20:$E$49,MATCH($N2789,계정대체기준!$A$20:$A$49,0)),0)))</f>
        <v/>
      </c>
      <c r="AC2789" s="9">
        <f>IF(AND($A2789&lt;&gt;"",M2789=설정!$C$20,Z2789&gt;0),Z2789+ROW()/1000000000,"")</f>
        <v/>
      </c>
      <c r="AD2789" s="94">
        <f>IF($A2789="",0,$P2789*AG2789)</f>
        <v/>
      </c>
      <c r="AE2789" s="64">
        <f>IF($A2789="","",IFERROR(INDEX(계정매핑!$E$5:$E$504,MATCH($F2789&amp;"",계정매핑!$A$5:$A$504,0))&amp;"","공통비"))</f>
        <v/>
      </c>
      <c r="AF2789" s="64">
        <f>IF($A2789="","",IF(AE2789="직접",IFERROR(INDEX(계정매핑!$F$5:$F$504,MATCH($F2789&amp;"",계정매핑!$A$5:$A$504,0))&amp;"","비귀속"),""))</f>
        <v/>
      </c>
      <c r="AG2789" s="96">
        <f>IF($A2789="",0,IF(AND(AE2789&lt;&gt;"직접",IFERROR(INDEX(계정매핑!$G$5:$G$504,MATCH($F2789&amp;"",계정매핑!$A$5:$A$504,0))&amp;"","")="유지비",COUNTIF(계정대체기준!$A$6:$A$15,$N2789)&gt;0),IFERROR(INDEX(계정대체기준!$E$6:$E$15,MATCH(VALUE($A2789&amp;""),계정대체기준!$D$6:$D$15,0)),0),0))</f>
        <v/>
      </c>
      <c r="AH2789" s="64">
        <f>IF($A2789="","",IF(AD2789=0,"",IF(OR(COUNTIF(계정대체기준!$A$77:$A$86,$N2789)&gt;0,ISNUMBER(MATCH($X2789,계정대체기준!$D$77:$D$86,0)),ISNUMBER(MATCH($F2789,계정대체기준!$D$77:$D$86,0))),"Y","N")))</f>
        <v/>
      </c>
    </row>
    <row r="2790">
      <c r="A2790" s="92" t="n">
        <v>2026</v>
      </c>
      <c r="B2790" s="92" t="n">
        <v>1</v>
      </c>
      <c r="C2790" s="92" t="inlineStr">
        <is>
          <t>5100000068</t>
        </is>
      </c>
      <c r="D2790" s="95" t="n">
        <v>46031</v>
      </c>
      <c r="E2790" s="92" t="inlineStr">
        <is>
          <t>KR</t>
        </is>
      </c>
      <c r="F2790" s="92" t="n">
        <v>62501000</v>
      </c>
      <c r="G2790" s="92" t="n">
        <v>1601</v>
      </c>
      <c r="H2790" s="93" t="n">
        <v>438000</v>
      </c>
      <c r="I2790" s="92" t="inlineStr">
        <is>
          <t>1월 회의 다과 - (법인카드)</t>
        </is>
      </c>
      <c r="J2790" s="92" t="inlineStr">
        <is>
          <t>V10010</t>
        </is>
      </c>
      <c r="K2790" s="92" t="inlineStr">
        <is>
          <t>(법인카드)</t>
        </is>
      </c>
      <c r="M2790" s="9">
        <f>IF($A2790="","",VALUE($A2790&amp;"")*12+VALUE($B2790&amp;""))</f>
        <v/>
      </c>
      <c r="N2790" s="64">
        <f>IF($A2790="","",IFERROR(INDEX(부서매핑!$C$5:$C$504,MATCH($G2790&amp;"",부서매핑!$A$5:$A$504,0)),"미매핑"))</f>
        <v/>
      </c>
      <c r="O2790" s="9">
        <f>IF($A2790="","",N2790&amp;"|"&amp;$F2790)</f>
        <v/>
      </c>
      <c r="P2790" s="94">
        <f>IF($A2790="",0,$H2790*설정!$C$23)</f>
        <v/>
      </c>
      <c r="Q2790" s="64">
        <f>IF($A2790="","",IF(O2790&lt;&gt;원인분석!$C$9,"",IF(AND(M2790&gt;=원인분석!$C$10,M2790&lt;=원인분석!$C$11),"당기",IF(AND(M2790&gt;=원인분석!$C$12,M2790&lt;=원인분석!$C$13),"비교",""))))</f>
        <v/>
      </c>
      <c r="R2790" s="9">
        <f>IF(Q2790="","",$K2790&amp;"")</f>
        <v/>
      </c>
      <c r="S2790" s="9">
        <f>IF(Q2790="","",IF(MATCH(R2790,$R$5:$R$100000,0)=ROW()-4,ROW(),""))</f>
        <v/>
      </c>
      <c r="T2790" s="9">
        <f>IF(Q2790="당기",ABS(P2790)+ROW()/1000000000,"")</f>
        <v/>
      </c>
      <c r="U2790" s="9">
        <f>IF(Q2790="비교",ABS(P2790)+ROW()/1000000000,"")</f>
        <v/>
      </c>
      <c r="V2790" s="64">
        <f>IF($A2790="","",IF(COUNTIF(변동분석!$E$7:$E$506,O2790)&gt;0,"Y","N"))</f>
        <v/>
      </c>
      <c r="W2790" s="64">
        <f>IF($A2790="","",IFERROR(INDEX(계정매핑!$D$5:$D$504,MATCH($F2790&amp;"",계정매핑!$A$5:$A$504,0)),"미매핑"))</f>
        <v/>
      </c>
      <c r="X2790" s="9">
        <f>IF($A2790="","",$F2790&amp;"")</f>
        <v/>
      </c>
      <c r="Y2790" s="94">
        <f>IF($A2790="",0,IF(AE2790="직접",IF(AF2790="비귀속",$P2790,0),$P2790*(1-AG2790)*IFERROR(INDEX(계정대체기준!$F$20:$F$49,MATCH($N2790,계정대체기준!$A$20:$A$49,0)),1)))</f>
        <v/>
      </c>
      <c r="Z2790" s="94">
        <f>IF($A2790="",0,IF(AE2790="직접",IF(AF2790="신계약비",$P2790,0),$P2790*(1-AG2790)*IFERROR(INDEX(계정대체기준!$C$20:$C$49,MATCH($N2790,계정대체기준!$A$20:$A$49,0)),0)))</f>
        <v/>
      </c>
      <c r="AA2790" s="94">
        <f>IF($A2790="",0,IF(AE2790="직접",IF(OR(AF2790="유지비",AF2790="손해조사비"),$P2790,0),$P2790*(1-AG2790)*IFERROR(INDEX(계정대체기준!$D$20:$D$49,MATCH($N2790,계정대체기준!$A$20:$A$49,0)),0)))</f>
        <v/>
      </c>
      <c r="AB2790" s="94">
        <f>IF($A2790="",0,IF(AE2790="직접",IF(AF2790="수금비",$P2790,0),$P2790*(1-AG2790)*IFERROR(INDEX(계정대체기준!$E$20:$E$49,MATCH($N2790,계정대체기준!$A$20:$A$49,0)),0)))</f>
        <v/>
      </c>
      <c r="AC2790" s="9">
        <f>IF(AND($A2790&lt;&gt;"",M2790=설정!$C$20,Z2790&gt;0),Z2790+ROW()/1000000000,"")</f>
        <v/>
      </c>
      <c r="AD2790" s="94">
        <f>IF($A2790="",0,$P2790*AG2790)</f>
        <v/>
      </c>
      <c r="AE2790" s="64">
        <f>IF($A2790="","",IFERROR(INDEX(계정매핑!$E$5:$E$504,MATCH($F2790&amp;"",계정매핑!$A$5:$A$504,0))&amp;"","공통비"))</f>
        <v/>
      </c>
      <c r="AF2790" s="64">
        <f>IF($A2790="","",IF(AE2790="직접",IFERROR(INDEX(계정매핑!$F$5:$F$504,MATCH($F2790&amp;"",계정매핑!$A$5:$A$504,0))&amp;"","비귀속"),""))</f>
        <v/>
      </c>
      <c r="AG2790" s="96">
        <f>IF($A2790="",0,IF(AND(AE2790&lt;&gt;"직접",IFERROR(INDEX(계정매핑!$G$5:$G$504,MATCH($F2790&amp;"",계정매핑!$A$5:$A$504,0))&amp;"","")="유지비",COUNTIF(계정대체기준!$A$6:$A$15,$N2790)&gt;0),IFERROR(INDEX(계정대체기준!$E$6:$E$15,MATCH(VALUE($A2790&amp;""),계정대체기준!$D$6:$D$15,0)),0),0))</f>
        <v/>
      </c>
      <c r="AH2790" s="64">
        <f>IF($A2790="","",IF(AD2790=0,"",IF(OR(COUNTIF(계정대체기준!$A$77:$A$86,$N2790)&gt;0,ISNUMBER(MATCH($X2790,계정대체기준!$D$77:$D$86,0)),ISNUMBER(MATCH($F2790,계정대체기준!$D$77:$D$86,0))),"Y","N")))</f>
        <v/>
      </c>
    </row>
    <row r="2791">
      <c r="A2791" s="92" t="n">
        <v>2026</v>
      </c>
      <c r="B2791" s="92" t="n">
        <v>1</v>
      </c>
      <c r="C2791" s="92" t="inlineStr">
        <is>
          <t>5100000069</t>
        </is>
      </c>
      <c r="D2791" s="95" t="n">
        <v>46031</v>
      </c>
      <c r="E2791" s="92" t="inlineStr">
        <is>
          <t>KR</t>
        </is>
      </c>
      <c r="F2791" s="92" t="n">
        <v>62902000</v>
      </c>
      <c r="G2791" s="92" t="n">
        <v>1401</v>
      </c>
      <c r="H2791" s="93" t="n">
        <v>5143000</v>
      </c>
      <c r="I2791" s="92" t="inlineStr">
        <is>
          <t>1월 업무 위탁 수수료 - J콜센터</t>
        </is>
      </c>
      <c r="J2791" s="92" t="inlineStr">
        <is>
          <t>V10016</t>
        </is>
      </c>
      <c r="K2791" s="92" t="inlineStr">
        <is>
          <t>J콜센터</t>
        </is>
      </c>
      <c r="M2791" s="9">
        <f>IF($A2791="","",VALUE($A2791&amp;"")*12+VALUE($B2791&amp;""))</f>
        <v/>
      </c>
      <c r="N2791" s="64">
        <f>IF($A2791="","",IFERROR(INDEX(부서매핑!$C$5:$C$504,MATCH($G2791&amp;"",부서매핑!$A$5:$A$504,0)),"미매핑"))</f>
        <v/>
      </c>
      <c r="O2791" s="9">
        <f>IF($A2791="","",N2791&amp;"|"&amp;$F2791)</f>
        <v/>
      </c>
      <c r="P2791" s="94">
        <f>IF($A2791="",0,$H2791*설정!$C$23)</f>
        <v/>
      </c>
      <c r="Q2791" s="64">
        <f>IF($A2791="","",IF(O2791&lt;&gt;원인분석!$C$9,"",IF(AND(M2791&gt;=원인분석!$C$10,M2791&lt;=원인분석!$C$11),"당기",IF(AND(M2791&gt;=원인분석!$C$12,M2791&lt;=원인분석!$C$13),"비교",""))))</f>
        <v/>
      </c>
      <c r="R2791" s="9">
        <f>IF(Q2791="","",$K2791&amp;"")</f>
        <v/>
      </c>
      <c r="S2791" s="9">
        <f>IF(Q2791="","",IF(MATCH(R2791,$R$5:$R$100000,0)=ROW()-4,ROW(),""))</f>
        <v/>
      </c>
      <c r="T2791" s="9">
        <f>IF(Q2791="당기",ABS(P2791)+ROW()/1000000000,"")</f>
        <v/>
      </c>
      <c r="U2791" s="9">
        <f>IF(Q2791="비교",ABS(P2791)+ROW()/1000000000,"")</f>
        <v/>
      </c>
      <c r="V2791" s="64">
        <f>IF($A2791="","",IF(COUNTIF(변동분석!$E$7:$E$506,O2791)&gt;0,"Y","N"))</f>
        <v/>
      </c>
      <c r="W2791" s="64">
        <f>IF($A2791="","",IFERROR(INDEX(계정매핑!$D$5:$D$504,MATCH($F2791&amp;"",계정매핑!$A$5:$A$504,0)),"미매핑"))</f>
        <v/>
      </c>
      <c r="X2791" s="9">
        <f>IF($A2791="","",$F2791&amp;"")</f>
        <v/>
      </c>
      <c r="Y2791" s="94">
        <f>IF($A2791="",0,IF(AE2791="직접",IF(AF2791="비귀속",$P2791,0),$P2791*(1-AG2791)*IFERROR(INDEX(계정대체기준!$F$20:$F$49,MATCH($N2791,계정대체기준!$A$20:$A$49,0)),1)))</f>
        <v/>
      </c>
      <c r="Z2791" s="94">
        <f>IF($A2791="",0,IF(AE2791="직접",IF(AF2791="신계약비",$P2791,0),$P2791*(1-AG2791)*IFERROR(INDEX(계정대체기준!$C$20:$C$49,MATCH($N2791,계정대체기준!$A$20:$A$49,0)),0)))</f>
        <v/>
      </c>
      <c r="AA2791" s="94">
        <f>IF($A2791="",0,IF(AE2791="직접",IF(OR(AF2791="유지비",AF2791="손해조사비"),$P2791,0),$P2791*(1-AG2791)*IFERROR(INDEX(계정대체기준!$D$20:$D$49,MATCH($N2791,계정대체기준!$A$20:$A$49,0)),0)))</f>
        <v/>
      </c>
      <c r="AB2791" s="94">
        <f>IF($A2791="",0,IF(AE2791="직접",IF(AF2791="수금비",$P2791,0),$P2791*(1-AG2791)*IFERROR(INDEX(계정대체기준!$E$20:$E$49,MATCH($N2791,계정대체기준!$A$20:$A$49,0)),0)))</f>
        <v/>
      </c>
      <c r="AC2791" s="9">
        <f>IF(AND($A2791&lt;&gt;"",M2791=설정!$C$20,Z2791&gt;0),Z2791+ROW()/1000000000,"")</f>
        <v/>
      </c>
      <c r="AD2791" s="94">
        <f>IF($A2791="",0,$P2791*AG2791)</f>
        <v/>
      </c>
      <c r="AE2791" s="64">
        <f>IF($A2791="","",IFERROR(INDEX(계정매핑!$E$5:$E$504,MATCH($F2791&amp;"",계정매핑!$A$5:$A$504,0))&amp;"","공통비"))</f>
        <v/>
      </c>
      <c r="AF2791" s="64">
        <f>IF($A2791="","",IF(AE2791="직접",IFERROR(INDEX(계정매핑!$F$5:$F$504,MATCH($F2791&amp;"",계정매핑!$A$5:$A$504,0))&amp;"","비귀속"),""))</f>
        <v/>
      </c>
      <c r="AG2791" s="96">
        <f>IF($A2791="",0,IF(AND(AE2791&lt;&gt;"직접",IFERROR(INDEX(계정매핑!$G$5:$G$504,MATCH($F2791&amp;"",계정매핑!$A$5:$A$504,0))&amp;"","")="유지비",COUNTIF(계정대체기준!$A$6:$A$15,$N2791)&gt;0),IFERROR(INDEX(계정대체기준!$E$6:$E$15,MATCH(VALUE($A2791&amp;""),계정대체기준!$D$6:$D$15,0)),0),0))</f>
        <v/>
      </c>
      <c r="AH2791" s="64">
        <f>IF($A2791="","",IF(AD2791=0,"",IF(OR(COUNTIF(계정대체기준!$A$77:$A$86,$N2791)&gt;0,ISNUMBER(MATCH($X2791,계정대체기준!$D$77:$D$86,0)),ISNUMBER(MATCH($F2791,계정대체기준!$D$77:$D$86,0))),"Y","N")))</f>
        <v/>
      </c>
    </row>
    <row r="2792">
      <c r="A2792" s="92" t="n">
        <v>2026</v>
      </c>
      <c r="B2792" s="92" t="n">
        <v>1</v>
      </c>
      <c r="C2792" s="92" t="inlineStr">
        <is>
          <t>5100000070</t>
        </is>
      </c>
      <c r="D2792" s="95" t="n">
        <v>46031</v>
      </c>
      <c r="E2792" s="92" t="inlineStr">
        <is>
          <t>KR</t>
        </is>
      </c>
      <c r="F2792" s="92" t="n">
        <v>62902000</v>
      </c>
      <c r="G2792" s="92" t="n">
        <v>1801</v>
      </c>
      <c r="H2792" s="93" t="n">
        <v>1754000</v>
      </c>
      <c r="I2792" s="92" t="inlineStr">
        <is>
          <t>1월 콜 위탁 수수료(건별)</t>
        </is>
      </c>
      <c r="J2792" s="92" t="inlineStr">
        <is>
          <t>V10016</t>
        </is>
      </c>
      <c r="K2792" s="92" t="inlineStr">
        <is>
          <t>J콜센터</t>
        </is>
      </c>
      <c r="M2792" s="9">
        <f>IF($A2792="","",VALUE($A2792&amp;"")*12+VALUE($B2792&amp;""))</f>
        <v/>
      </c>
      <c r="N2792" s="64">
        <f>IF($A2792="","",IFERROR(INDEX(부서매핑!$C$5:$C$504,MATCH($G2792&amp;"",부서매핑!$A$5:$A$504,0)),"미매핑"))</f>
        <v/>
      </c>
      <c r="O2792" s="9">
        <f>IF($A2792="","",N2792&amp;"|"&amp;$F2792)</f>
        <v/>
      </c>
      <c r="P2792" s="94">
        <f>IF($A2792="",0,$H2792*설정!$C$23)</f>
        <v/>
      </c>
      <c r="Q2792" s="64">
        <f>IF($A2792="","",IF(O2792&lt;&gt;원인분석!$C$9,"",IF(AND(M2792&gt;=원인분석!$C$10,M2792&lt;=원인분석!$C$11),"당기",IF(AND(M2792&gt;=원인분석!$C$12,M2792&lt;=원인분석!$C$13),"비교",""))))</f>
        <v/>
      </c>
      <c r="R2792" s="9">
        <f>IF(Q2792="","",$K2792&amp;"")</f>
        <v/>
      </c>
      <c r="S2792" s="9">
        <f>IF(Q2792="","",IF(MATCH(R2792,$R$5:$R$100000,0)=ROW()-4,ROW(),""))</f>
        <v/>
      </c>
      <c r="T2792" s="9">
        <f>IF(Q2792="당기",ABS(P2792)+ROW()/1000000000,"")</f>
        <v/>
      </c>
      <c r="U2792" s="9">
        <f>IF(Q2792="비교",ABS(P2792)+ROW()/1000000000,"")</f>
        <v/>
      </c>
      <c r="V2792" s="64">
        <f>IF($A2792="","",IF(COUNTIF(변동분석!$E$7:$E$506,O2792)&gt;0,"Y","N"))</f>
        <v/>
      </c>
      <c r="W2792" s="64">
        <f>IF($A2792="","",IFERROR(INDEX(계정매핑!$D$5:$D$504,MATCH($F2792&amp;"",계정매핑!$A$5:$A$504,0)),"미매핑"))</f>
        <v/>
      </c>
      <c r="X2792" s="9">
        <f>IF($A2792="","",$F2792&amp;"")</f>
        <v/>
      </c>
      <c r="Y2792" s="94">
        <f>IF($A2792="",0,IF(AE2792="직접",IF(AF2792="비귀속",$P2792,0),$P2792*(1-AG2792)*IFERROR(INDEX(계정대체기준!$F$20:$F$49,MATCH($N2792,계정대체기준!$A$20:$A$49,0)),1)))</f>
        <v/>
      </c>
      <c r="Z2792" s="94">
        <f>IF($A2792="",0,IF(AE2792="직접",IF(AF2792="신계약비",$P2792,0),$P2792*(1-AG2792)*IFERROR(INDEX(계정대체기준!$C$20:$C$49,MATCH($N2792,계정대체기준!$A$20:$A$49,0)),0)))</f>
        <v/>
      </c>
      <c r="AA2792" s="94">
        <f>IF($A2792="",0,IF(AE2792="직접",IF(OR(AF2792="유지비",AF2792="손해조사비"),$P2792,0),$P2792*(1-AG2792)*IFERROR(INDEX(계정대체기준!$D$20:$D$49,MATCH($N2792,계정대체기준!$A$20:$A$49,0)),0)))</f>
        <v/>
      </c>
      <c r="AB2792" s="94">
        <f>IF($A2792="",0,IF(AE2792="직접",IF(AF2792="수금비",$P2792,0),$P2792*(1-AG2792)*IFERROR(INDEX(계정대체기준!$E$20:$E$49,MATCH($N2792,계정대체기준!$A$20:$A$49,0)),0)))</f>
        <v/>
      </c>
      <c r="AC2792" s="9">
        <f>IF(AND($A2792&lt;&gt;"",M2792=설정!$C$20,Z2792&gt;0),Z2792+ROW()/1000000000,"")</f>
        <v/>
      </c>
      <c r="AD2792" s="94">
        <f>IF($A2792="",0,$P2792*AG2792)</f>
        <v/>
      </c>
      <c r="AE2792" s="64">
        <f>IF($A2792="","",IFERROR(INDEX(계정매핑!$E$5:$E$504,MATCH($F2792&amp;"",계정매핑!$A$5:$A$504,0))&amp;"","공통비"))</f>
        <v/>
      </c>
      <c r="AF2792" s="64">
        <f>IF($A2792="","",IF(AE2792="직접",IFERROR(INDEX(계정매핑!$F$5:$F$504,MATCH($F2792&amp;"",계정매핑!$A$5:$A$504,0))&amp;"","비귀속"),""))</f>
        <v/>
      </c>
      <c r="AG2792" s="96">
        <f>IF($A2792="",0,IF(AND(AE2792&lt;&gt;"직접",IFERROR(INDEX(계정매핑!$G$5:$G$504,MATCH($F2792&amp;"",계정매핑!$A$5:$A$504,0))&amp;"","")="유지비",COUNTIF(계정대체기준!$A$6:$A$15,$N2792)&gt;0),IFERROR(INDEX(계정대체기준!$E$6:$E$15,MATCH(VALUE($A2792&amp;""),계정대체기준!$D$6:$D$15,0)),0),0))</f>
        <v/>
      </c>
      <c r="AH2792" s="64">
        <f>IF($A2792="","",IF(AD2792=0,"",IF(OR(COUNTIF(계정대체기준!$A$77:$A$86,$N2792)&gt;0,ISNUMBER(MATCH($X2792,계정대체기준!$D$77:$D$86,0)),ISNUMBER(MATCH($F2792,계정대체기준!$D$77:$D$86,0))),"Y","N")))</f>
        <v/>
      </c>
    </row>
    <row r="2793">
      <c r="A2793" s="92" t="n">
        <v>2026</v>
      </c>
      <c r="B2793" s="92" t="n">
        <v>1</v>
      </c>
      <c r="C2793" s="92" t="inlineStr">
        <is>
          <t>5100000071</t>
        </is>
      </c>
      <c r="D2793" s="95" t="n">
        <v>46031</v>
      </c>
      <c r="E2793" s="92" t="inlineStr">
        <is>
          <t>KR</t>
        </is>
      </c>
      <c r="F2793" s="92" t="n">
        <v>63501000</v>
      </c>
      <c r="G2793" s="92" t="n">
        <v>1902</v>
      </c>
      <c r="H2793" s="93" t="n">
        <v>327015000</v>
      </c>
      <c r="I2793" s="92" t="inlineStr">
        <is>
          <t>1월 모집수수료 - BB에셋</t>
        </is>
      </c>
      <c r="J2793" s="92" t="inlineStr">
        <is>
          <t>V10013</t>
        </is>
      </c>
      <c r="K2793" s="92" t="inlineStr">
        <is>
          <t>BB에셋</t>
        </is>
      </c>
      <c r="M2793" s="9">
        <f>IF($A2793="","",VALUE($A2793&amp;"")*12+VALUE($B2793&amp;""))</f>
        <v/>
      </c>
      <c r="N2793" s="64">
        <f>IF($A2793="","",IFERROR(INDEX(부서매핑!$C$5:$C$504,MATCH($G2793&amp;"",부서매핑!$A$5:$A$504,0)),"미매핑"))</f>
        <v/>
      </c>
      <c r="O2793" s="9">
        <f>IF($A2793="","",N2793&amp;"|"&amp;$F2793)</f>
        <v/>
      </c>
      <c r="P2793" s="94">
        <f>IF($A2793="",0,$H2793*설정!$C$23)</f>
        <v/>
      </c>
      <c r="Q2793" s="64">
        <f>IF($A2793="","",IF(O2793&lt;&gt;원인분석!$C$9,"",IF(AND(M2793&gt;=원인분석!$C$10,M2793&lt;=원인분석!$C$11),"당기",IF(AND(M2793&gt;=원인분석!$C$12,M2793&lt;=원인분석!$C$13),"비교",""))))</f>
        <v/>
      </c>
      <c r="R2793" s="9">
        <f>IF(Q2793="","",$K2793&amp;"")</f>
        <v/>
      </c>
      <c r="S2793" s="9">
        <f>IF(Q2793="","",IF(MATCH(R2793,$R$5:$R$100000,0)=ROW()-4,ROW(),""))</f>
        <v/>
      </c>
      <c r="T2793" s="9">
        <f>IF(Q2793="당기",ABS(P2793)+ROW()/1000000000,"")</f>
        <v/>
      </c>
      <c r="U2793" s="9">
        <f>IF(Q2793="비교",ABS(P2793)+ROW()/1000000000,"")</f>
        <v/>
      </c>
      <c r="V2793" s="64">
        <f>IF($A2793="","",IF(COUNTIF(변동분석!$E$7:$E$506,O2793)&gt;0,"Y","N"))</f>
        <v/>
      </c>
      <c r="W2793" s="64">
        <f>IF($A2793="","",IFERROR(INDEX(계정매핑!$D$5:$D$504,MATCH($F2793&amp;"",계정매핑!$A$5:$A$504,0)),"미매핑"))</f>
        <v/>
      </c>
      <c r="X2793" s="9">
        <f>IF($A2793="","",$F2793&amp;"")</f>
        <v/>
      </c>
      <c r="Y2793" s="94">
        <f>IF($A2793="",0,IF(AE2793="직접",IF(AF2793="비귀속",$P2793,0),$P2793*(1-AG2793)*IFERROR(INDEX(계정대체기준!$F$20:$F$49,MATCH($N2793,계정대체기준!$A$20:$A$49,0)),1)))</f>
        <v/>
      </c>
      <c r="Z2793" s="94">
        <f>IF($A2793="",0,IF(AE2793="직접",IF(AF2793="신계약비",$P2793,0),$P2793*(1-AG2793)*IFERROR(INDEX(계정대체기준!$C$20:$C$49,MATCH($N2793,계정대체기준!$A$20:$A$49,0)),0)))</f>
        <v/>
      </c>
      <c r="AA2793" s="94">
        <f>IF($A2793="",0,IF(AE2793="직접",IF(OR(AF2793="유지비",AF2793="손해조사비"),$P2793,0),$P2793*(1-AG2793)*IFERROR(INDEX(계정대체기준!$D$20:$D$49,MATCH($N2793,계정대체기준!$A$20:$A$49,0)),0)))</f>
        <v/>
      </c>
      <c r="AB2793" s="94">
        <f>IF($A2793="",0,IF(AE2793="직접",IF(AF2793="수금비",$P2793,0),$P2793*(1-AG2793)*IFERROR(INDEX(계정대체기준!$E$20:$E$49,MATCH($N2793,계정대체기준!$A$20:$A$49,0)),0)))</f>
        <v/>
      </c>
      <c r="AC2793" s="9">
        <f>IF(AND($A2793&lt;&gt;"",M2793=설정!$C$20,Z2793&gt;0),Z2793+ROW()/1000000000,"")</f>
        <v/>
      </c>
      <c r="AD2793" s="94">
        <f>IF($A2793="",0,$P2793*AG2793)</f>
        <v/>
      </c>
      <c r="AE2793" s="64">
        <f>IF($A2793="","",IFERROR(INDEX(계정매핑!$E$5:$E$504,MATCH($F2793&amp;"",계정매핑!$A$5:$A$504,0))&amp;"","공통비"))</f>
        <v/>
      </c>
      <c r="AF2793" s="64">
        <f>IF($A2793="","",IF(AE2793="직접",IFERROR(INDEX(계정매핑!$F$5:$F$504,MATCH($F2793&amp;"",계정매핑!$A$5:$A$504,0))&amp;"","비귀속"),""))</f>
        <v/>
      </c>
      <c r="AG2793" s="96">
        <f>IF($A2793="",0,IF(AND(AE2793&lt;&gt;"직접",IFERROR(INDEX(계정매핑!$G$5:$G$504,MATCH($F2793&amp;"",계정매핑!$A$5:$A$504,0))&amp;"","")="유지비",COUNTIF(계정대체기준!$A$6:$A$15,$N2793)&gt;0),IFERROR(INDEX(계정대체기준!$E$6:$E$15,MATCH(VALUE($A2793&amp;""),계정대체기준!$D$6:$D$15,0)),0),0))</f>
        <v/>
      </c>
      <c r="AH2793" s="64">
        <f>IF($A2793="","",IF(AD2793=0,"",IF(OR(COUNTIF(계정대체기준!$A$77:$A$86,$N2793)&gt;0,ISNUMBER(MATCH($X2793,계정대체기준!$D$77:$D$86,0)),ISNUMBER(MATCH($F2793,계정대체기준!$D$77:$D$86,0))),"Y","N")))</f>
        <v/>
      </c>
    </row>
    <row r="2794">
      <c r="A2794" s="92" t="n">
        <v>2026</v>
      </c>
      <c r="B2794" s="92" t="n">
        <v>1</v>
      </c>
      <c r="C2794" s="92" t="inlineStr">
        <is>
          <t>5100000072</t>
        </is>
      </c>
      <c r="D2794" s="95" t="n">
        <v>46031</v>
      </c>
      <c r="E2794" s="92" t="inlineStr">
        <is>
          <t>KR</t>
        </is>
      </c>
      <c r="F2794" s="92" t="n">
        <v>63601000</v>
      </c>
      <c r="G2794" s="92" t="n">
        <v>1801</v>
      </c>
      <c r="H2794" s="93" t="n">
        <v>7005000</v>
      </c>
      <c r="I2794" s="92" t="inlineStr">
        <is>
          <t>1월 손해사정 수수료 - EE손해사정</t>
        </is>
      </c>
      <c r="J2794" s="92" t="inlineStr">
        <is>
          <t>V10008</t>
        </is>
      </c>
      <c r="K2794" s="92" t="inlineStr">
        <is>
          <t>EE손해사정</t>
        </is>
      </c>
      <c r="M2794" s="9">
        <f>IF($A2794="","",VALUE($A2794&amp;"")*12+VALUE($B2794&amp;""))</f>
        <v/>
      </c>
      <c r="N2794" s="64">
        <f>IF($A2794="","",IFERROR(INDEX(부서매핑!$C$5:$C$504,MATCH($G2794&amp;"",부서매핑!$A$5:$A$504,0)),"미매핑"))</f>
        <v/>
      </c>
      <c r="O2794" s="9">
        <f>IF($A2794="","",N2794&amp;"|"&amp;$F2794)</f>
        <v/>
      </c>
      <c r="P2794" s="94">
        <f>IF($A2794="",0,$H2794*설정!$C$23)</f>
        <v/>
      </c>
      <c r="Q2794" s="64">
        <f>IF($A2794="","",IF(O2794&lt;&gt;원인분석!$C$9,"",IF(AND(M2794&gt;=원인분석!$C$10,M2794&lt;=원인분석!$C$11),"당기",IF(AND(M2794&gt;=원인분석!$C$12,M2794&lt;=원인분석!$C$13),"비교",""))))</f>
        <v/>
      </c>
      <c r="R2794" s="9">
        <f>IF(Q2794="","",$K2794&amp;"")</f>
        <v/>
      </c>
      <c r="S2794" s="9">
        <f>IF(Q2794="","",IF(MATCH(R2794,$R$5:$R$100000,0)=ROW()-4,ROW(),""))</f>
        <v/>
      </c>
      <c r="T2794" s="9">
        <f>IF(Q2794="당기",ABS(P2794)+ROW()/1000000000,"")</f>
        <v/>
      </c>
      <c r="U2794" s="9">
        <f>IF(Q2794="비교",ABS(P2794)+ROW()/1000000000,"")</f>
        <v/>
      </c>
      <c r="V2794" s="64">
        <f>IF($A2794="","",IF(COUNTIF(변동분석!$E$7:$E$506,O2794)&gt;0,"Y","N"))</f>
        <v/>
      </c>
      <c r="W2794" s="64">
        <f>IF($A2794="","",IFERROR(INDEX(계정매핑!$D$5:$D$504,MATCH($F2794&amp;"",계정매핑!$A$5:$A$504,0)),"미매핑"))</f>
        <v/>
      </c>
      <c r="X2794" s="9">
        <f>IF($A2794="","",$F2794&amp;"")</f>
        <v/>
      </c>
      <c r="Y2794" s="94">
        <f>IF($A2794="",0,IF(AE2794="직접",IF(AF2794="비귀속",$P2794,0),$P2794*(1-AG2794)*IFERROR(INDEX(계정대체기준!$F$20:$F$49,MATCH($N2794,계정대체기준!$A$20:$A$49,0)),1)))</f>
        <v/>
      </c>
      <c r="Z2794" s="94">
        <f>IF($A2794="",0,IF(AE2794="직접",IF(AF2794="신계약비",$P2794,0),$P2794*(1-AG2794)*IFERROR(INDEX(계정대체기준!$C$20:$C$49,MATCH($N2794,계정대체기준!$A$20:$A$49,0)),0)))</f>
        <v/>
      </c>
      <c r="AA2794" s="94">
        <f>IF($A2794="",0,IF(AE2794="직접",IF(OR(AF2794="유지비",AF2794="손해조사비"),$P2794,0),$P2794*(1-AG2794)*IFERROR(INDEX(계정대체기준!$D$20:$D$49,MATCH($N2794,계정대체기준!$A$20:$A$49,0)),0)))</f>
        <v/>
      </c>
      <c r="AB2794" s="94">
        <f>IF($A2794="",0,IF(AE2794="직접",IF(AF2794="수금비",$P2794,0),$P2794*(1-AG2794)*IFERROR(INDEX(계정대체기준!$E$20:$E$49,MATCH($N2794,계정대체기준!$A$20:$A$49,0)),0)))</f>
        <v/>
      </c>
      <c r="AC2794" s="9">
        <f>IF(AND($A2794&lt;&gt;"",M2794=설정!$C$20,Z2794&gt;0),Z2794+ROW()/1000000000,"")</f>
        <v/>
      </c>
      <c r="AD2794" s="94">
        <f>IF($A2794="",0,$P2794*AG2794)</f>
        <v/>
      </c>
      <c r="AE2794" s="64">
        <f>IF($A2794="","",IFERROR(INDEX(계정매핑!$E$5:$E$504,MATCH($F2794&amp;"",계정매핑!$A$5:$A$504,0))&amp;"","공통비"))</f>
        <v/>
      </c>
      <c r="AF2794" s="64">
        <f>IF($A2794="","",IF(AE2794="직접",IFERROR(INDEX(계정매핑!$F$5:$F$504,MATCH($F2794&amp;"",계정매핑!$A$5:$A$504,0))&amp;"","비귀속"),""))</f>
        <v/>
      </c>
      <c r="AG2794" s="96">
        <f>IF($A2794="",0,IF(AND(AE2794&lt;&gt;"직접",IFERROR(INDEX(계정매핑!$G$5:$G$504,MATCH($F2794&amp;"",계정매핑!$A$5:$A$504,0))&amp;"","")="유지비",COUNTIF(계정대체기준!$A$6:$A$15,$N2794)&gt;0),IFERROR(INDEX(계정대체기준!$E$6:$E$15,MATCH(VALUE($A2794&amp;""),계정대체기준!$D$6:$D$15,0)),0),0))</f>
        <v/>
      </c>
      <c r="AH2794" s="64">
        <f>IF($A2794="","",IF(AD2794=0,"",IF(OR(COUNTIF(계정대체기준!$A$77:$A$86,$N2794)&gt;0,ISNUMBER(MATCH($X2794,계정대체기준!$D$77:$D$86,0)),ISNUMBER(MATCH($F2794,계정대체기준!$D$77:$D$86,0))),"Y","N")))</f>
        <v/>
      </c>
    </row>
    <row r="2795">
      <c r="A2795" s="92" t="n">
        <v>2026</v>
      </c>
      <c r="B2795" s="92" t="n">
        <v>1</v>
      </c>
      <c r="C2795" s="92" t="inlineStr">
        <is>
          <t>5100000073</t>
        </is>
      </c>
      <c r="D2795" s="95" t="n">
        <v>46032</v>
      </c>
      <c r="E2795" s="92" t="inlineStr">
        <is>
          <t>KR</t>
        </is>
      </c>
      <c r="F2795" s="92" t="n">
        <v>62101000</v>
      </c>
      <c r="G2795" s="92" t="n">
        <v>1401</v>
      </c>
      <c r="H2795" s="93" t="n">
        <v>361000</v>
      </c>
      <c r="I2795" s="92" t="inlineStr">
        <is>
          <t>1월 국내출장 - (법인카드)</t>
        </is>
      </c>
      <c r="J2795" s="92" t="inlineStr">
        <is>
          <t>V10010</t>
        </is>
      </c>
      <c r="K2795" s="92" t="inlineStr">
        <is>
          <t>(법인카드)</t>
        </is>
      </c>
      <c r="M2795" s="9">
        <f>IF($A2795="","",VALUE($A2795&amp;"")*12+VALUE($B2795&amp;""))</f>
        <v/>
      </c>
      <c r="N2795" s="64">
        <f>IF($A2795="","",IFERROR(INDEX(부서매핑!$C$5:$C$504,MATCH($G2795&amp;"",부서매핑!$A$5:$A$504,0)),"미매핑"))</f>
        <v/>
      </c>
      <c r="O2795" s="9">
        <f>IF($A2795="","",N2795&amp;"|"&amp;$F2795)</f>
        <v/>
      </c>
      <c r="P2795" s="94">
        <f>IF($A2795="",0,$H2795*설정!$C$23)</f>
        <v/>
      </c>
      <c r="Q2795" s="64">
        <f>IF($A2795="","",IF(O2795&lt;&gt;원인분석!$C$9,"",IF(AND(M2795&gt;=원인분석!$C$10,M2795&lt;=원인분석!$C$11),"당기",IF(AND(M2795&gt;=원인분석!$C$12,M2795&lt;=원인분석!$C$13),"비교",""))))</f>
        <v/>
      </c>
      <c r="R2795" s="9">
        <f>IF(Q2795="","",$K2795&amp;"")</f>
        <v/>
      </c>
      <c r="S2795" s="9">
        <f>IF(Q2795="","",IF(MATCH(R2795,$R$5:$R$100000,0)=ROW()-4,ROW(),""))</f>
        <v/>
      </c>
      <c r="T2795" s="9">
        <f>IF(Q2795="당기",ABS(P2795)+ROW()/1000000000,"")</f>
        <v/>
      </c>
      <c r="U2795" s="9">
        <f>IF(Q2795="비교",ABS(P2795)+ROW()/1000000000,"")</f>
        <v/>
      </c>
      <c r="V2795" s="64">
        <f>IF($A2795="","",IF(COUNTIF(변동분석!$E$7:$E$506,O2795)&gt;0,"Y","N"))</f>
        <v/>
      </c>
      <c r="W2795" s="64">
        <f>IF($A2795="","",IFERROR(INDEX(계정매핑!$D$5:$D$504,MATCH($F2795&amp;"",계정매핑!$A$5:$A$504,0)),"미매핑"))</f>
        <v/>
      </c>
      <c r="X2795" s="9">
        <f>IF($A2795="","",$F2795&amp;"")</f>
        <v/>
      </c>
      <c r="Y2795" s="94">
        <f>IF($A2795="",0,IF(AE2795="직접",IF(AF2795="비귀속",$P2795,0),$P2795*(1-AG2795)*IFERROR(INDEX(계정대체기준!$F$20:$F$49,MATCH($N2795,계정대체기준!$A$20:$A$49,0)),1)))</f>
        <v/>
      </c>
      <c r="Z2795" s="94">
        <f>IF($A2795="",0,IF(AE2795="직접",IF(AF2795="신계약비",$P2795,0),$P2795*(1-AG2795)*IFERROR(INDEX(계정대체기준!$C$20:$C$49,MATCH($N2795,계정대체기준!$A$20:$A$49,0)),0)))</f>
        <v/>
      </c>
      <c r="AA2795" s="94">
        <f>IF($A2795="",0,IF(AE2795="직접",IF(OR(AF2795="유지비",AF2795="손해조사비"),$P2795,0),$P2795*(1-AG2795)*IFERROR(INDEX(계정대체기준!$D$20:$D$49,MATCH($N2795,계정대체기준!$A$20:$A$49,0)),0)))</f>
        <v/>
      </c>
      <c r="AB2795" s="94">
        <f>IF($A2795="",0,IF(AE2795="직접",IF(AF2795="수금비",$P2795,0),$P2795*(1-AG2795)*IFERROR(INDEX(계정대체기준!$E$20:$E$49,MATCH($N2795,계정대체기준!$A$20:$A$49,0)),0)))</f>
        <v/>
      </c>
      <c r="AC2795" s="9">
        <f>IF(AND($A2795&lt;&gt;"",M2795=설정!$C$20,Z2795&gt;0),Z2795+ROW()/1000000000,"")</f>
        <v/>
      </c>
      <c r="AD2795" s="94">
        <f>IF($A2795="",0,$P2795*AG2795)</f>
        <v/>
      </c>
      <c r="AE2795" s="64">
        <f>IF($A2795="","",IFERROR(INDEX(계정매핑!$E$5:$E$504,MATCH($F2795&amp;"",계정매핑!$A$5:$A$504,0))&amp;"","공통비"))</f>
        <v/>
      </c>
      <c r="AF2795" s="64">
        <f>IF($A2795="","",IF(AE2795="직접",IFERROR(INDEX(계정매핑!$F$5:$F$504,MATCH($F2795&amp;"",계정매핑!$A$5:$A$504,0))&amp;"","비귀속"),""))</f>
        <v/>
      </c>
      <c r="AG2795" s="96">
        <f>IF($A2795="",0,IF(AND(AE2795&lt;&gt;"직접",IFERROR(INDEX(계정매핑!$G$5:$G$504,MATCH($F2795&amp;"",계정매핑!$A$5:$A$504,0))&amp;"","")="유지비",COUNTIF(계정대체기준!$A$6:$A$15,$N2795)&gt;0),IFERROR(INDEX(계정대체기준!$E$6:$E$15,MATCH(VALUE($A2795&amp;""),계정대체기준!$D$6:$D$15,0)),0),0))</f>
        <v/>
      </c>
      <c r="AH2795" s="64">
        <f>IF($A2795="","",IF(AD2795=0,"",IF(OR(COUNTIF(계정대체기준!$A$77:$A$86,$N2795)&gt;0,ISNUMBER(MATCH($X2795,계정대체기준!$D$77:$D$86,0)),ISNUMBER(MATCH($F2795,계정대체기준!$D$77:$D$86,0))),"Y","N")))</f>
        <v/>
      </c>
    </row>
    <row r="2796">
      <c r="A2796" s="92" t="n">
        <v>2026</v>
      </c>
      <c r="B2796" s="92" t="n">
        <v>1</v>
      </c>
      <c r="C2796" s="92" t="inlineStr">
        <is>
          <t>5100000074</t>
        </is>
      </c>
      <c r="D2796" s="95" t="n">
        <v>46032</v>
      </c>
      <c r="E2796" s="92" t="inlineStr">
        <is>
          <t>KR</t>
        </is>
      </c>
      <c r="F2796" s="92" t="n">
        <v>62101000</v>
      </c>
      <c r="G2796" s="92" t="n">
        <v>1951</v>
      </c>
      <c r="H2796" s="93" t="n">
        <v>555000</v>
      </c>
      <c r="I2796" s="92" t="inlineStr">
        <is>
          <t>1월 국내출장 - L여행사</t>
        </is>
      </c>
      <c r="J2796" s="92" t="inlineStr">
        <is>
          <t>V10018</t>
        </is>
      </c>
      <c r="K2796" s="92" t="inlineStr">
        <is>
          <t>L여행사</t>
        </is>
      </c>
      <c r="M2796" s="9">
        <f>IF($A2796="","",VALUE($A2796&amp;"")*12+VALUE($B2796&amp;""))</f>
        <v/>
      </c>
      <c r="N2796" s="64">
        <f>IF($A2796="","",IFERROR(INDEX(부서매핑!$C$5:$C$504,MATCH($G2796&amp;"",부서매핑!$A$5:$A$504,0)),"미매핑"))</f>
        <v/>
      </c>
      <c r="O2796" s="9">
        <f>IF($A2796="","",N2796&amp;"|"&amp;$F2796)</f>
        <v/>
      </c>
      <c r="P2796" s="94">
        <f>IF($A2796="",0,$H2796*설정!$C$23)</f>
        <v/>
      </c>
      <c r="Q2796" s="64">
        <f>IF($A2796="","",IF(O2796&lt;&gt;원인분석!$C$9,"",IF(AND(M2796&gt;=원인분석!$C$10,M2796&lt;=원인분석!$C$11),"당기",IF(AND(M2796&gt;=원인분석!$C$12,M2796&lt;=원인분석!$C$13),"비교",""))))</f>
        <v/>
      </c>
      <c r="R2796" s="9">
        <f>IF(Q2796="","",$K2796&amp;"")</f>
        <v/>
      </c>
      <c r="S2796" s="9">
        <f>IF(Q2796="","",IF(MATCH(R2796,$R$5:$R$100000,0)=ROW()-4,ROW(),""))</f>
        <v/>
      </c>
      <c r="T2796" s="9">
        <f>IF(Q2796="당기",ABS(P2796)+ROW()/1000000000,"")</f>
        <v/>
      </c>
      <c r="U2796" s="9">
        <f>IF(Q2796="비교",ABS(P2796)+ROW()/1000000000,"")</f>
        <v/>
      </c>
      <c r="V2796" s="64">
        <f>IF($A2796="","",IF(COUNTIF(변동분석!$E$7:$E$506,O2796)&gt;0,"Y","N"))</f>
        <v/>
      </c>
      <c r="W2796" s="64">
        <f>IF($A2796="","",IFERROR(INDEX(계정매핑!$D$5:$D$504,MATCH($F2796&amp;"",계정매핑!$A$5:$A$504,0)),"미매핑"))</f>
        <v/>
      </c>
      <c r="X2796" s="9">
        <f>IF($A2796="","",$F2796&amp;"")</f>
        <v/>
      </c>
      <c r="Y2796" s="94">
        <f>IF($A2796="",0,IF(AE2796="직접",IF(AF2796="비귀속",$P2796,0),$P2796*(1-AG2796)*IFERROR(INDEX(계정대체기준!$F$20:$F$49,MATCH($N2796,계정대체기준!$A$20:$A$49,0)),1)))</f>
        <v/>
      </c>
      <c r="Z2796" s="94">
        <f>IF($A2796="",0,IF(AE2796="직접",IF(AF2796="신계약비",$P2796,0),$P2796*(1-AG2796)*IFERROR(INDEX(계정대체기준!$C$20:$C$49,MATCH($N2796,계정대체기준!$A$20:$A$49,0)),0)))</f>
        <v/>
      </c>
      <c r="AA2796" s="94">
        <f>IF($A2796="",0,IF(AE2796="직접",IF(OR(AF2796="유지비",AF2796="손해조사비"),$P2796,0),$P2796*(1-AG2796)*IFERROR(INDEX(계정대체기준!$D$20:$D$49,MATCH($N2796,계정대체기준!$A$20:$A$49,0)),0)))</f>
        <v/>
      </c>
      <c r="AB2796" s="94">
        <f>IF($A2796="",0,IF(AE2796="직접",IF(AF2796="수금비",$P2796,0),$P2796*(1-AG2796)*IFERROR(INDEX(계정대체기준!$E$20:$E$49,MATCH($N2796,계정대체기준!$A$20:$A$49,0)),0)))</f>
        <v/>
      </c>
      <c r="AC2796" s="9">
        <f>IF(AND($A2796&lt;&gt;"",M2796=설정!$C$20,Z2796&gt;0),Z2796+ROW()/1000000000,"")</f>
        <v/>
      </c>
      <c r="AD2796" s="94">
        <f>IF($A2796="",0,$P2796*AG2796)</f>
        <v/>
      </c>
      <c r="AE2796" s="64">
        <f>IF($A2796="","",IFERROR(INDEX(계정매핑!$E$5:$E$504,MATCH($F2796&amp;"",계정매핑!$A$5:$A$504,0))&amp;"","공통비"))</f>
        <v/>
      </c>
      <c r="AF2796" s="64">
        <f>IF($A2796="","",IF(AE2796="직접",IFERROR(INDEX(계정매핑!$F$5:$F$504,MATCH($F2796&amp;"",계정매핑!$A$5:$A$504,0))&amp;"","비귀속"),""))</f>
        <v/>
      </c>
      <c r="AG2796" s="96">
        <f>IF($A2796="",0,IF(AND(AE2796&lt;&gt;"직접",IFERROR(INDEX(계정매핑!$G$5:$G$504,MATCH($F2796&amp;"",계정매핑!$A$5:$A$504,0))&amp;"","")="유지비",COUNTIF(계정대체기준!$A$6:$A$15,$N2796)&gt;0),IFERROR(INDEX(계정대체기준!$E$6:$E$15,MATCH(VALUE($A2796&amp;""),계정대체기준!$D$6:$D$15,0)),0),0))</f>
        <v/>
      </c>
      <c r="AH2796" s="64">
        <f>IF($A2796="","",IF(AD2796=0,"",IF(OR(COUNTIF(계정대체기준!$A$77:$A$86,$N2796)&gt;0,ISNUMBER(MATCH($X2796,계정대체기준!$D$77:$D$86,0)),ISNUMBER(MATCH($F2796,계정대체기준!$D$77:$D$86,0))),"Y","N")))</f>
        <v/>
      </c>
    </row>
    <row r="2797">
      <c r="A2797" s="92" t="n">
        <v>2026</v>
      </c>
      <c r="B2797" s="92" t="n">
        <v>1</v>
      </c>
      <c r="C2797" s="92" t="inlineStr">
        <is>
          <t>5100000075</t>
        </is>
      </c>
      <c r="D2797" s="95" t="n">
        <v>46032</v>
      </c>
      <c r="E2797" s="92" t="inlineStr">
        <is>
          <t>KR</t>
        </is>
      </c>
      <c r="F2797" s="92" t="n">
        <v>62102000</v>
      </c>
      <c r="G2797" s="92" t="n">
        <v>1301</v>
      </c>
      <c r="H2797" s="93" t="n">
        <v>50000</v>
      </c>
      <c r="I2797" s="92" t="inlineStr">
        <is>
          <t>1월 해외출장 - M항공</t>
        </is>
      </c>
      <c r="J2797" s="92" t="inlineStr">
        <is>
          <t>V10001</t>
        </is>
      </c>
      <c r="K2797" s="92" t="inlineStr">
        <is>
          <t>M항공</t>
        </is>
      </c>
      <c r="M2797" s="9">
        <f>IF($A2797="","",VALUE($A2797&amp;"")*12+VALUE($B2797&amp;""))</f>
        <v/>
      </c>
      <c r="N2797" s="64">
        <f>IF($A2797="","",IFERROR(INDEX(부서매핑!$C$5:$C$504,MATCH($G2797&amp;"",부서매핑!$A$5:$A$504,0)),"미매핑"))</f>
        <v/>
      </c>
      <c r="O2797" s="9">
        <f>IF($A2797="","",N2797&amp;"|"&amp;$F2797)</f>
        <v/>
      </c>
      <c r="P2797" s="94">
        <f>IF($A2797="",0,$H2797*설정!$C$23)</f>
        <v/>
      </c>
      <c r="Q2797" s="64">
        <f>IF($A2797="","",IF(O2797&lt;&gt;원인분석!$C$9,"",IF(AND(M2797&gt;=원인분석!$C$10,M2797&lt;=원인분석!$C$11),"당기",IF(AND(M2797&gt;=원인분석!$C$12,M2797&lt;=원인분석!$C$13),"비교",""))))</f>
        <v/>
      </c>
      <c r="R2797" s="9">
        <f>IF(Q2797="","",$K2797&amp;"")</f>
        <v/>
      </c>
      <c r="S2797" s="9">
        <f>IF(Q2797="","",IF(MATCH(R2797,$R$5:$R$100000,0)=ROW()-4,ROW(),""))</f>
        <v/>
      </c>
      <c r="T2797" s="9">
        <f>IF(Q2797="당기",ABS(P2797)+ROW()/1000000000,"")</f>
        <v/>
      </c>
      <c r="U2797" s="9">
        <f>IF(Q2797="비교",ABS(P2797)+ROW()/1000000000,"")</f>
        <v/>
      </c>
      <c r="V2797" s="64">
        <f>IF($A2797="","",IF(COUNTIF(변동분석!$E$7:$E$506,O2797)&gt;0,"Y","N"))</f>
        <v/>
      </c>
      <c r="W2797" s="64">
        <f>IF($A2797="","",IFERROR(INDEX(계정매핑!$D$5:$D$504,MATCH($F2797&amp;"",계정매핑!$A$5:$A$504,0)),"미매핑"))</f>
        <v/>
      </c>
      <c r="X2797" s="9">
        <f>IF($A2797="","",$F2797&amp;"")</f>
        <v/>
      </c>
      <c r="Y2797" s="94">
        <f>IF($A2797="",0,IF(AE2797="직접",IF(AF2797="비귀속",$P2797,0),$P2797*(1-AG2797)*IFERROR(INDEX(계정대체기준!$F$20:$F$49,MATCH($N2797,계정대체기준!$A$20:$A$49,0)),1)))</f>
        <v/>
      </c>
      <c r="Z2797" s="94">
        <f>IF($A2797="",0,IF(AE2797="직접",IF(AF2797="신계약비",$P2797,0),$P2797*(1-AG2797)*IFERROR(INDEX(계정대체기준!$C$20:$C$49,MATCH($N2797,계정대체기준!$A$20:$A$49,0)),0)))</f>
        <v/>
      </c>
      <c r="AA2797" s="94">
        <f>IF($A2797="",0,IF(AE2797="직접",IF(OR(AF2797="유지비",AF2797="손해조사비"),$P2797,0),$P2797*(1-AG2797)*IFERROR(INDEX(계정대체기준!$D$20:$D$49,MATCH($N2797,계정대체기준!$A$20:$A$49,0)),0)))</f>
        <v/>
      </c>
      <c r="AB2797" s="94">
        <f>IF($A2797="",0,IF(AE2797="직접",IF(AF2797="수금비",$P2797,0),$P2797*(1-AG2797)*IFERROR(INDEX(계정대체기준!$E$20:$E$49,MATCH($N2797,계정대체기준!$A$20:$A$49,0)),0)))</f>
        <v/>
      </c>
      <c r="AC2797" s="9">
        <f>IF(AND($A2797&lt;&gt;"",M2797=설정!$C$20,Z2797&gt;0),Z2797+ROW()/1000000000,"")</f>
        <v/>
      </c>
      <c r="AD2797" s="94">
        <f>IF($A2797="",0,$P2797*AG2797)</f>
        <v/>
      </c>
      <c r="AE2797" s="64">
        <f>IF($A2797="","",IFERROR(INDEX(계정매핑!$E$5:$E$504,MATCH($F2797&amp;"",계정매핑!$A$5:$A$504,0))&amp;"","공통비"))</f>
        <v/>
      </c>
      <c r="AF2797" s="64">
        <f>IF($A2797="","",IF(AE2797="직접",IFERROR(INDEX(계정매핑!$F$5:$F$504,MATCH($F2797&amp;"",계정매핑!$A$5:$A$504,0))&amp;"","비귀속"),""))</f>
        <v/>
      </c>
      <c r="AG2797" s="96">
        <f>IF($A2797="",0,IF(AND(AE2797&lt;&gt;"직접",IFERROR(INDEX(계정매핑!$G$5:$G$504,MATCH($F2797&amp;"",계정매핑!$A$5:$A$504,0))&amp;"","")="유지비",COUNTIF(계정대체기준!$A$6:$A$15,$N2797)&gt;0),IFERROR(INDEX(계정대체기준!$E$6:$E$15,MATCH(VALUE($A2797&amp;""),계정대체기준!$D$6:$D$15,0)),0),0))</f>
        <v/>
      </c>
      <c r="AH2797" s="64">
        <f>IF($A2797="","",IF(AD2797=0,"",IF(OR(COUNTIF(계정대체기준!$A$77:$A$86,$N2797)&gt;0,ISNUMBER(MATCH($X2797,계정대체기준!$D$77:$D$86,0)),ISNUMBER(MATCH($F2797,계정대체기준!$D$77:$D$86,0))),"Y","N")))</f>
        <v/>
      </c>
    </row>
    <row r="2798">
      <c r="A2798" s="92" t="n">
        <v>2026</v>
      </c>
      <c r="B2798" s="92" t="n">
        <v>1</v>
      </c>
      <c r="C2798" s="92" t="inlineStr">
        <is>
          <t>5100000076</t>
        </is>
      </c>
      <c r="D2798" s="95" t="n">
        <v>46032</v>
      </c>
      <c r="E2798" s="92" t="inlineStr">
        <is>
          <t>KR</t>
        </is>
      </c>
      <c r="F2798" s="92" t="n">
        <v>62301000</v>
      </c>
      <c r="G2798" s="92" t="n">
        <v>1401</v>
      </c>
      <c r="H2798" s="93" t="n">
        <v>122000</v>
      </c>
      <c r="I2798" s="92" t="inlineStr">
        <is>
          <t>1월 소모품 구입 - R문구</t>
        </is>
      </c>
      <c r="J2798" s="92" t="inlineStr">
        <is>
          <t>V10022</t>
        </is>
      </c>
      <c r="K2798" s="92" t="inlineStr">
        <is>
          <t>R문구</t>
        </is>
      </c>
      <c r="M2798" s="9">
        <f>IF($A2798="","",VALUE($A2798&amp;"")*12+VALUE($B2798&amp;""))</f>
        <v/>
      </c>
      <c r="N2798" s="64">
        <f>IF($A2798="","",IFERROR(INDEX(부서매핑!$C$5:$C$504,MATCH($G2798&amp;"",부서매핑!$A$5:$A$504,0)),"미매핑"))</f>
        <v/>
      </c>
      <c r="O2798" s="9">
        <f>IF($A2798="","",N2798&amp;"|"&amp;$F2798)</f>
        <v/>
      </c>
      <c r="P2798" s="94">
        <f>IF($A2798="",0,$H2798*설정!$C$23)</f>
        <v/>
      </c>
      <c r="Q2798" s="64">
        <f>IF($A2798="","",IF(O2798&lt;&gt;원인분석!$C$9,"",IF(AND(M2798&gt;=원인분석!$C$10,M2798&lt;=원인분석!$C$11),"당기",IF(AND(M2798&gt;=원인분석!$C$12,M2798&lt;=원인분석!$C$13),"비교",""))))</f>
        <v/>
      </c>
      <c r="R2798" s="9">
        <f>IF(Q2798="","",$K2798&amp;"")</f>
        <v/>
      </c>
      <c r="S2798" s="9">
        <f>IF(Q2798="","",IF(MATCH(R2798,$R$5:$R$100000,0)=ROW()-4,ROW(),""))</f>
        <v/>
      </c>
      <c r="T2798" s="9">
        <f>IF(Q2798="당기",ABS(P2798)+ROW()/1000000000,"")</f>
        <v/>
      </c>
      <c r="U2798" s="9">
        <f>IF(Q2798="비교",ABS(P2798)+ROW()/1000000000,"")</f>
        <v/>
      </c>
      <c r="V2798" s="64">
        <f>IF($A2798="","",IF(COUNTIF(변동분석!$E$7:$E$506,O2798)&gt;0,"Y","N"))</f>
        <v/>
      </c>
      <c r="W2798" s="64">
        <f>IF($A2798="","",IFERROR(INDEX(계정매핑!$D$5:$D$504,MATCH($F2798&amp;"",계정매핑!$A$5:$A$504,0)),"미매핑"))</f>
        <v/>
      </c>
      <c r="X2798" s="9">
        <f>IF($A2798="","",$F2798&amp;"")</f>
        <v/>
      </c>
      <c r="Y2798" s="94">
        <f>IF($A2798="",0,IF(AE2798="직접",IF(AF2798="비귀속",$P2798,0),$P2798*(1-AG2798)*IFERROR(INDEX(계정대체기준!$F$20:$F$49,MATCH($N2798,계정대체기준!$A$20:$A$49,0)),1)))</f>
        <v/>
      </c>
      <c r="Z2798" s="94">
        <f>IF($A2798="",0,IF(AE2798="직접",IF(AF2798="신계약비",$P2798,0),$P2798*(1-AG2798)*IFERROR(INDEX(계정대체기준!$C$20:$C$49,MATCH($N2798,계정대체기준!$A$20:$A$49,0)),0)))</f>
        <v/>
      </c>
      <c r="AA2798" s="94">
        <f>IF($A2798="",0,IF(AE2798="직접",IF(OR(AF2798="유지비",AF2798="손해조사비"),$P2798,0),$P2798*(1-AG2798)*IFERROR(INDEX(계정대체기준!$D$20:$D$49,MATCH($N2798,계정대체기준!$A$20:$A$49,0)),0)))</f>
        <v/>
      </c>
      <c r="AB2798" s="94">
        <f>IF($A2798="",0,IF(AE2798="직접",IF(AF2798="수금비",$P2798,0),$P2798*(1-AG2798)*IFERROR(INDEX(계정대체기준!$E$20:$E$49,MATCH($N2798,계정대체기준!$A$20:$A$49,0)),0)))</f>
        <v/>
      </c>
      <c r="AC2798" s="9">
        <f>IF(AND($A2798&lt;&gt;"",M2798=설정!$C$20,Z2798&gt;0),Z2798+ROW()/1000000000,"")</f>
        <v/>
      </c>
      <c r="AD2798" s="94">
        <f>IF($A2798="",0,$P2798*AG2798)</f>
        <v/>
      </c>
      <c r="AE2798" s="64">
        <f>IF($A2798="","",IFERROR(INDEX(계정매핑!$E$5:$E$504,MATCH($F2798&amp;"",계정매핑!$A$5:$A$504,0))&amp;"","공통비"))</f>
        <v/>
      </c>
      <c r="AF2798" s="64">
        <f>IF($A2798="","",IF(AE2798="직접",IFERROR(INDEX(계정매핑!$F$5:$F$504,MATCH($F2798&amp;"",계정매핑!$A$5:$A$504,0))&amp;"","비귀속"),""))</f>
        <v/>
      </c>
      <c r="AG2798" s="96">
        <f>IF($A2798="",0,IF(AND(AE2798&lt;&gt;"직접",IFERROR(INDEX(계정매핑!$G$5:$G$504,MATCH($F2798&amp;"",계정매핑!$A$5:$A$504,0))&amp;"","")="유지비",COUNTIF(계정대체기준!$A$6:$A$15,$N2798)&gt;0),IFERROR(INDEX(계정대체기준!$E$6:$E$15,MATCH(VALUE($A2798&amp;""),계정대체기준!$D$6:$D$15,0)),0),0))</f>
        <v/>
      </c>
      <c r="AH2798" s="64">
        <f>IF($A2798="","",IF(AD2798=0,"",IF(OR(COUNTIF(계정대체기준!$A$77:$A$86,$N2798)&gt;0,ISNUMBER(MATCH($X2798,계정대체기준!$D$77:$D$86,0)),ISNUMBER(MATCH($F2798,계정대체기준!$D$77:$D$86,0))),"Y","N")))</f>
        <v/>
      </c>
    </row>
    <row r="2799">
      <c r="A2799" s="92" t="n">
        <v>2026</v>
      </c>
      <c r="B2799" s="92" t="n">
        <v>1</v>
      </c>
      <c r="C2799" s="92" t="inlineStr">
        <is>
          <t>5100000077</t>
        </is>
      </c>
      <c r="D2799" s="95" t="n">
        <v>46032</v>
      </c>
      <c r="E2799" s="92" t="inlineStr">
        <is>
          <t>KR</t>
        </is>
      </c>
      <c r="F2799" s="92" t="n">
        <v>62401000</v>
      </c>
      <c r="G2799" s="92" t="n">
        <v>1801</v>
      </c>
      <c r="H2799" s="93" t="n">
        <v>2799000</v>
      </c>
      <c r="I2799" s="92" t="inlineStr">
        <is>
          <t>1월 인쇄물 제작 - G인쇄</t>
        </is>
      </c>
      <c r="J2799" s="92" t="inlineStr">
        <is>
          <t>V10004</t>
        </is>
      </c>
      <c r="K2799" s="92" t="inlineStr">
        <is>
          <t>G인쇄</t>
        </is>
      </c>
      <c r="M2799" s="9">
        <f>IF($A2799="","",VALUE($A2799&amp;"")*12+VALUE($B2799&amp;""))</f>
        <v/>
      </c>
      <c r="N2799" s="64">
        <f>IF($A2799="","",IFERROR(INDEX(부서매핑!$C$5:$C$504,MATCH($G2799&amp;"",부서매핑!$A$5:$A$504,0)),"미매핑"))</f>
        <v/>
      </c>
      <c r="O2799" s="9">
        <f>IF($A2799="","",N2799&amp;"|"&amp;$F2799)</f>
        <v/>
      </c>
      <c r="P2799" s="94">
        <f>IF($A2799="",0,$H2799*설정!$C$23)</f>
        <v/>
      </c>
      <c r="Q2799" s="64">
        <f>IF($A2799="","",IF(O2799&lt;&gt;원인분석!$C$9,"",IF(AND(M2799&gt;=원인분석!$C$10,M2799&lt;=원인분석!$C$11),"당기",IF(AND(M2799&gt;=원인분석!$C$12,M2799&lt;=원인분석!$C$13),"비교",""))))</f>
        <v/>
      </c>
      <c r="R2799" s="9">
        <f>IF(Q2799="","",$K2799&amp;"")</f>
        <v/>
      </c>
      <c r="S2799" s="9">
        <f>IF(Q2799="","",IF(MATCH(R2799,$R$5:$R$100000,0)=ROW()-4,ROW(),""))</f>
        <v/>
      </c>
      <c r="T2799" s="9">
        <f>IF(Q2799="당기",ABS(P2799)+ROW()/1000000000,"")</f>
        <v/>
      </c>
      <c r="U2799" s="9">
        <f>IF(Q2799="비교",ABS(P2799)+ROW()/1000000000,"")</f>
        <v/>
      </c>
      <c r="V2799" s="64">
        <f>IF($A2799="","",IF(COUNTIF(변동분석!$E$7:$E$506,O2799)&gt;0,"Y","N"))</f>
        <v/>
      </c>
      <c r="W2799" s="64">
        <f>IF($A2799="","",IFERROR(INDEX(계정매핑!$D$5:$D$504,MATCH($F2799&amp;"",계정매핑!$A$5:$A$504,0)),"미매핑"))</f>
        <v/>
      </c>
      <c r="X2799" s="9">
        <f>IF($A2799="","",$F2799&amp;"")</f>
        <v/>
      </c>
      <c r="Y2799" s="94">
        <f>IF($A2799="",0,IF(AE2799="직접",IF(AF2799="비귀속",$P2799,0),$P2799*(1-AG2799)*IFERROR(INDEX(계정대체기준!$F$20:$F$49,MATCH($N2799,계정대체기준!$A$20:$A$49,0)),1)))</f>
        <v/>
      </c>
      <c r="Z2799" s="94">
        <f>IF($A2799="",0,IF(AE2799="직접",IF(AF2799="신계약비",$P2799,0),$P2799*(1-AG2799)*IFERROR(INDEX(계정대체기준!$C$20:$C$49,MATCH($N2799,계정대체기준!$A$20:$A$49,0)),0)))</f>
        <v/>
      </c>
      <c r="AA2799" s="94">
        <f>IF($A2799="",0,IF(AE2799="직접",IF(OR(AF2799="유지비",AF2799="손해조사비"),$P2799,0),$P2799*(1-AG2799)*IFERROR(INDEX(계정대체기준!$D$20:$D$49,MATCH($N2799,계정대체기준!$A$20:$A$49,0)),0)))</f>
        <v/>
      </c>
      <c r="AB2799" s="94">
        <f>IF($A2799="",0,IF(AE2799="직접",IF(AF2799="수금비",$P2799,0),$P2799*(1-AG2799)*IFERROR(INDEX(계정대체기준!$E$20:$E$49,MATCH($N2799,계정대체기준!$A$20:$A$49,0)),0)))</f>
        <v/>
      </c>
      <c r="AC2799" s="9">
        <f>IF(AND($A2799&lt;&gt;"",M2799=설정!$C$20,Z2799&gt;0),Z2799+ROW()/1000000000,"")</f>
        <v/>
      </c>
      <c r="AD2799" s="94">
        <f>IF($A2799="",0,$P2799*AG2799)</f>
        <v/>
      </c>
      <c r="AE2799" s="64">
        <f>IF($A2799="","",IFERROR(INDEX(계정매핑!$E$5:$E$504,MATCH($F2799&amp;"",계정매핑!$A$5:$A$504,0))&amp;"","공통비"))</f>
        <v/>
      </c>
      <c r="AF2799" s="64">
        <f>IF($A2799="","",IF(AE2799="직접",IFERROR(INDEX(계정매핑!$F$5:$F$504,MATCH($F2799&amp;"",계정매핑!$A$5:$A$504,0))&amp;"","비귀속"),""))</f>
        <v/>
      </c>
      <c r="AG2799" s="96">
        <f>IF($A2799="",0,IF(AND(AE2799&lt;&gt;"직접",IFERROR(INDEX(계정매핑!$G$5:$G$504,MATCH($F2799&amp;"",계정매핑!$A$5:$A$504,0))&amp;"","")="유지비",COUNTIF(계정대체기준!$A$6:$A$15,$N2799)&gt;0),IFERROR(INDEX(계정대체기준!$E$6:$E$15,MATCH(VALUE($A2799&amp;""),계정대체기준!$D$6:$D$15,0)),0),0))</f>
        <v/>
      </c>
      <c r="AH2799" s="64">
        <f>IF($A2799="","",IF(AD2799=0,"",IF(OR(COUNTIF(계정대체기준!$A$77:$A$86,$N2799)&gt;0,ISNUMBER(MATCH($X2799,계정대체기준!$D$77:$D$86,0)),ISNUMBER(MATCH($F2799,계정대체기준!$D$77:$D$86,0))),"Y","N")))</f>
        <v/>
      </c>
    </row>
    <row r="2800">
      <c r="A2800" s="92" t="n">
        <v>2026</v>
      </c>
      <c r="B2800" s="92" t="n">
        <v>1</v>
      </c>
      <c r="C2800" s="92" t="inlineStr">
        <is>
          <t>5100000078</t>
        </is>
      </c>
      <c r="D2800" s="95" t="n">
        <v>46032</v>
      </c>
      <c r="E2800" s="92" t="inlineStr">
        <is>
          <t>KR</t>
        </is>
      </c>
      <c r="F2800" s="92" t="n">
        <v>62901000</v>
      </c>
      <c r="G2800" s="92" t="n">
        <v>1801</v>
      </c>
      <c r="H2800" s="93" t="n">
        <v>8852000</v>
      </c>
      <c r="I2800" s="92" t="inlineStr">
        <is>
          <t>1월 자문 수수료 - W컨설팅</t>
        </is>
      </c>
      <c r="J2800" s="92" t="inlineStr">
        <is>
          <t>V10006</t>
        </is>
      </c>
      <c r="K2800" s="92" t="inlineStr">
        <is>
          <t>W컨설팅</t>
        </is>
      </c>
      <c r="M2800" s="9">
        <f>IF($A2800="","",VALUE($A2800&amp;"")*12+VALUE($B2800&amp;""))</f>
        <v/>
      </c>
      <c r="N2800" s="64">
        <f>IF($A2800="","",IFERROR(INDEX(부서매핑!$C$5:$C$504,MATCH($G2800&amp;"",부서매핑!$A$5:$A$504,0)),"미매핑"))</f>
        <v/>
      </c>
      <c r="O2800" s="9">
        <f>IF($A2800="","",N2800&amp;"|"&amp;$F2800)</f>
        <v/>
      </c>
      <c r="P2800" s="94">
        <f>IF($A2800="",0,$H2800*설정!$C$23)</f>
        <v/>
      </c>
      <c r="Q2800" s="64">
        <f>IF($A2800="","",IF(O2800&lt;&gt;원인분석!$C$9,"",IF(AND(M2800&gt;=원인분석!$C$10,M2800&lt;=원인분석!$C$11),"당기",IF(AND(M2800&gt;=원인분석!$C$12,M2800&lt;=원인분석!$C$13),"비교",""))))</f>
        <v/>
      </c>
      <c r="R2800" s="9">
        <f>IF(Q2800="","",$K2800&amp;"")</f>
        <v/>
      </c>
      <c r="S2800" s="9">
        <f>IF(Q2800="","",IF(MATCH(R2800,$R$5:$R$100000,0)=ROW()-4,ROW(),""))</f>
        <v/>
      </c>
      <c r="T2800" s="9">
        <f>IF(Q2800="당기",ABS(P2800)+ROW()/1000000000,"")</f>
        <v/>
      </c>
      <c r="U2800" s="9">
        <f>IF(Q2800="비교",ABS(P2800)+ROW()/1000000000,"")</f>
        <v/>
      </c>
      <c r="V2800" s="64">
        <f>IF($A2800="","",IF(COUNTIF(변동분석!$E$7:$E$506,O2800)&gt;0,"Y","N"))</f>
        <v/>
      </c>
      <c r="W2800" s="64">
        <f>IF($A2800="","",IFERROR(INDEX(계정매핑!$D$5:$D$504,MATCH($F2800&amp;"",계정매핑!$A$5:$A$504,0)),"미매핑"))</f>
        <v/>
      </c>
      <c r="X2800" s="9">
        <f>IF($A2800="","",$F2800&amp;"")</f>
        <v/>
      </c>
      <c r="Y2800" s="94">
        <f>IF($A2800="",0,IF(AE2800="직접",IF(AF2800="비귀속",$P2800,0),$P2800*(1-AG2800)*IFERROR(INDEX(계정대체기준!$F$20:$F$49,MATCH($N2800,계정대체기준!$A$20:$A$49,0)),1)))</f>
        <v/>
      </c>
      <c r="Z2800" s="94">
        <f>IF($A2800="",0,IF(AE2800="직접",IF(AF2800="신계약비",$P2800,0),$P2800*(1-AG2800)*IFERROR(INDEX(계정대체기준!$C$20:$C$49,MATCH($N2800,계정대체기준!$A$20:$A$49,0)),0)))</f>
        <v/>
      </c>
      <c r="AA2800" s="94">
        <f>IF($A2800="",0,IF(AE2800="직접",IF(OR(AF2800="유지비",AF2800="손해조사비"),$P2800,0),$P2800*(1-AG2800)*IFERROR(INDEX(계정대체기준!$D$20:$D$49,MATCH($N2800,계정대체기준!$A$20:$A$49,0)),0)))</f>
        <v/>
      </c>
      <c r="AB2800" s="94">
        <f>IF($A2800="",0,IF(AE2800="직접",IF(AF2800="수금비",$P2800,0),$P2800*(1-AG2800)*IFERROR(INDEX(계정대체기준!$E$20:$E$49,MATCH($N2800,계정대체기준!$A$20:$A$49,0)),0)))</f>
        <v/>
      </c>
      <c r="AC2800" s="9">
        <f>IF(AND($A2800&lt;&gt;"",M2800=설정!$C$20,Z2800&gt;0),Z2800+ROW()/1000000000,"")</f>
        <v/>
      </c>
      <c r="AD2800" s="94">
        <f>IF($A2800="",0,$P2800*AG2800)</f>
        <v/>
      </c>
      <c r="AE2800" s="64">
        <f>IF($A2800="","",IFERROR(INDEX(계정매핑!$E$5:$E$504,MATCH($F2800&amp;"",계정매핑!$A$5:$A$504,0))&amp;"","공통비"))</f>
        <v/>
      </c>
      <c r="AF2800" s="64">
        <f>IF($A2800="","",IF(AE2800="직접",IFERROR(INDEX(계정매핑!$F$5:$F$504,MATCH($F2800&amp;"",계정매핑!$A$5:$A$504,0))&amp;"","비귀속"),""))</f>
        <v/>
      </c>
      <c r="AG2800" s="96">
        <f>IF($A2800="",0,IF(AND(AE2800&lt;&gt;"직접",IFERROR(INDEX(계정매핑!$G$5:$G$504,MATCH($F2800&amp;"",계정매핑!$A$5:$A$504,0))&amp;"","")="유지비",COUNTIF(계정대체기준!$A$6:$A$15,$N2800)&gt;0),IFERROR(INDEX(계정대체기준!$E$6:$E$15,MATCH(VALUE($A2800&amp;""),계정대체기준!$D$6:$D$15,0)),0),0))</f>
        <v/>
      </c>
      <c r="AH2800" s="64">
        <f>IF($A2800="","",IF(AD2800=0,"",IF(OR(COUNTIF(계정대체기준!$A$77:$A$86,$N2800)&gt;0,ISNUMBER(MATCH($X2800,계정대체기준!$D$77:$D$86,0)),ISNUMBER(MATCH($F2800,계정대체기준!$D$77:$D$86,0))),"Y","N")))</f>
        <v/>
      </c>
    </row>
    <row r="2801">
      <c r="A2801" s="92" t="n">
        <v>2026</v>
      </c>
      <c r="B2801" s="92" t="n">
        <v>1</v>
      </c>
      <c r="C2801" s="92" t="inlineStr">
        <is>
          <t>5100000079</t>
        </is>
      </c>
      <c r="D2801" s="95" t="n">
        <v>46032</v>
      </c>
      <c r="E2801" s="92" t="inlineStr">
        <is>
          <t>KR</t>
        </is>
      </c>
      <c r="F2801" s="92" t="n">
        <v>62902000</v>
      </c>
      <c r="G2801" s="92" t="n">
        <v>1801</v>
      </c>
      <c r="H2801" s="93" t="n">
        <v>3000000</v>
      </c>
      <c r="I2801" s="92" t="inlineStr">
        <is>
          <t>1월 업무 위탁 수수료 - X서비스</t>
        </is>
      </c>
      <c r="J2801" s="92" t="inlineStr">
        <is>
          <t>V10020</t>
        </is>
      </c>
      <c r="K2801" s="92" t="inlineStr">
        <is>
          <t>X서비스</t>
        </is>
      </c>
      <c r="M2801" s="9">
        <f>IF($A2801="","",VALUE($A2801&amp;"")*12+VALUE($B2801&amp;""))</f>
        <v/>
      </c>
      <c r="N2801" s="64">
        <f>IF($A2801="","",IFERROR(INDEX(부서매핑!$C$5:$C$504,MATCH($G2801&amp;"",부서매핑!$A$5:$A$504,0)),"미매핑"))</f>
        <v/>
      </c>
      <c r="O2801" s="9">
        <f>IF($A2801="","",N2801&amp;"|"&amp;$F2801)</f>
        <v/>
      </c>
      <c r="P2801" s="94">
        <f>IF($A2801="",0,$H2801*설정!$C$23)</f>
        <v/>
      </c>
      <c r="Q2801" s="64">
        <f>IF($A2801="","",IF(O2801&lt;&gt;원인분석!$C$9,"",IF(AND(M2801&gt;=원인분석!$C$10,M2801&lt;=원인분석!$C$11),"당기",IF(AND(M2801&gt;=원인분석!$C$12,M2801&lt;=원인분석!$C$13),"비교",""))))</f>
        <v/>
      </c>
      <c r="R2801" s="9">
        <f>IF(Q2801="","",$K2801&amp;"")</f>
        <v/>
      </c>
      <c r="S2801" s="9">
        <f>IF(Q2801="","",IF(MATCH(R2801,$R$5:$R$100000,0)=ROW()-4,ROW(),""))</f>
        <v/>
      </c>
      <c r="T2801" s="9">
        <f>IF(Q2801="당기",ABS(P2801)+ROW()/1000000000,"")</f>
        <v/>
      </c>
      <c r="U2801" s="9">
        <f>IF(Q2801="비교",ABS(P2801)+ROW()/1000000000,"")</f>
        <v/>
      </c>
      <c r="V2801" s="64">
        <f>IF($A2801="","",IF(COUNTIF(변동분석!$E$7:$E$506,O2801)&gt;0,"Y","N"))</f>
        <v/>
      </c>
      <c r="W2801" s="64">
        <f>IF($A2801="","",IFERROR(INDEX(계정매핑!$D$5:$D$504,MATCH($F2801&amp;"",계정매핑!$A$5:$A$504,0)),"미매핑"))</f>
        <v/>
      </c>
      <c r="X2801" s="9">
        <f>IF($A2801="","",$F2801&amp;"")</f>
        <v/>
      </c>
      <c r="Y2801" s="94">
        <f>IF($A2801="",0,IF(AE2801="직접",IF(AF2801="비귀속",$P2801,0),$P2801*(1-AG2801)*IFERROR(INDEX(계정대체기준!$F$20:$F$49,MATCH($N2801,계정대체기준!$A$20:$A$49,0)),1)))</f>
        <v/>
      </c>
      <c r="Z2801" s="94">
        <f>IF($A2801="",0,IF(AE2801="직접",IF(AF2801="신계약비",$P2801,0),$P2801*(1-AG2801)*IFERROR(INDEX(계정대체기준!$C$20:$C$49,MATCH($N2801,계정대체기준!$A$20:$A$49,0)),0)))</f>
        <v/>
      </c>
      <c r="AA2801" s="94">
        <f>IF($A2801="",0,IF(AE2801="직접",IF(OR(AF2801="유지비",AF2801="손해조사비"),$P2801,0),$P2801*(1-AG2801)*IFERROR(INDEX(계정대체기준!$D$20:$D$49,MATCH($N2801,계정대체기준!$A$20:$A$49,0)),0)))</f>
        <v/>
      </c>
      <c r="AB2801" s="94">
        <f>IF($A2801="",0,IF(AE2801="직접",IF(AF2801="수금비",$P2801,0),$P2801*(1-AG2801)*IFERROR(INDEX(계정대체기준!$E$20:$E$49,MATCH($N2801,계정대체기준!$A$20:$A$49,0)),0)))</f>
        <v/>
      </c>
      <c r="AC2801" s="9">
        <f>IF(AND($A2801&lt;&gt;"",M2801=설정!$C$20,Z2801&gt;0),Z2801+ROW()/1000000000,"")</f>
        <v/>
      </c>
      <c r="AD2801" s="94">
        <f>IF($A2801="",0,$P2801*AG2801)</f>
        <v/>
      </c>
      <c r="AE2801" s="64">
        <f>IF($A2801="","",IFERROR(INDEX(계정매핑!$E$5:$E$504,MATCH($F2801&amp;"",계정매핑!$A$5:$A$504,0))&amp;"","공통비"))</f>
        <v/>
      </c>
      <c r="AF2801" s="64">
        <f>IF($A2801="","",IF(AE2801="직접",IFERROR(INDEX(계정매핑!$F$5:$F$504,MATCH($F2801&amp;"",계정매핑!$A$5:$A$504,0))&amp;"","비귀속"),""))</f>
        <v/>
      </c>
      <c r="AG2801" s="96">
        <f>IF($A2801="",0,IF(AND(AE2801&lt;&gt;"직접",IFERROR(INDEX(계정매핑!$G$5:$G$504,MATCH($F2801&amp;"",계정매핑!$A$5:$A$504,0))&amp;"","")="유지비",COUNTIF(계정대체기준!$A$6:$A$15,$N2801)&gt;0),IFERROR(INDEX(계정대체기준!$E$6:$E$15,MATCH(VALUE($A2801&amp;""),계정대체기준!$D$6:$D$15,0)),0),0))</f>
        <v/>
      </c>
      <c r="AH2801" s="64">
        <f>IF($A2801="","",IF(AD2801=0,"",IF(OR(COUNTIF(계정대체기준!$A$77:$A$86,$N2801)&gt;0,ISNUMBER(MATCH($X2801,계정대체기준!$D$77:$D$86,0)),ISNUMBER(MATCH($F2801,계정대체기준!$D$77:$D$86,0))),"Y","N")))</f>
        <v/>
      </c>
    </row>
    <row r="2802">
      <c r="A2802" s="92" t="n">
        <v>2026</v>
      </c>
      <c r="B2802" s="92" t="n">
        <v>1</v>
      </c>
      <c r="C2802" s="92" t="inlineStr">
        <is>
          <t>5100000080</t>
        </is>
      </c>
      <c r="D2802" s="95" t="n">
        <v>46032</v>
      </c>
      <c r="E2802" s="92" t="inlineStr">
        <is>
          <t>KR</t>
        </is>
      </c>
      <c r="F2802" s="92" t="n">
        <v>63502000</v>
      </c>
      <c r="G2802" s="92" t="n">
        <v>1901</v>
      </c>
      <c r="H2802" s="93" t="n">
        <v>144529000</v>
      </c>
      <c r="I2802" s="92" t="inlineStr">
        <is>
          <t>1월 유지수수료 - CC금융서비스</t>
        </is>
      </c>
      <c r="J2802" s="92" t="inlineStr">
        <is>
          <t>V10029</t>
        </is>
      </c>
      <c r="K2802" s="92" t="inlineStr">
        <is>
          <t>CC금융서비스</t>
        </is>
      </c>
      <c r="M2802" s="9">
        <f>IF($A2802="","",VALUE($A2802&amp;"")*12+VALUE($B2802&amp;""))</f>
        <v/>
      </c>
      <c r="N2802" s="64">
        <f>IF($A2802="","",IFERROR(INDEX(부서매핑!$C$5:$C$504,MATCH($G2802&amp;"",부서매핑!$A$5:$A$504,0)),"미매핑"))</f>
        <v/>
      </c>
      <c r="O2802" s="9">
        <f>IF($A2802="","",N2802&amp;"|"&amp;$F2802)</f>
        <v/>
      </c>
      <c r="P2802" s="94">
        <f>IF($A2802="",0,$H2802*설정!$C$23)</f>
        <v/>
      </c>
      <c r="Q2802" s="64">
        <f>IF($A2802="","",IF(O2802&lt;&gt;원인분석!$C$9,"",IF(AND(M2802&gt;=원인분석!$C$10,M2802&lt;=원인분석!$C$11),"당기",IF(AND(M2802&gt;=원인분석!$C$12,M2802&lt;=원인분석!$C$13),"비교",""))))</f>
        <v/>
      </c>
      <c r="R2802" s="9">
        <f>IF(Q2802="","",$K2802&amp;"")</f>
        <v/>
      </c>
      <c r="S2802" s="9">
        <f>IF(Q2802="","",IF(MATCH(R2802,$R$5:$R$100000,0)=ROW()-4,ROW(),""))</f>
        <v/>
      </c>
      <c r="T2802" s="9">
        <f>IF(Q2802="당기",ABS(P2802)+ROW()/1000000000,"")</f>
        <v/>
      </c>
      <c r="U2802" s="9">
        <f>IF(Q2802="비교",ABS(P2802)+ROW()/1000000000,"")</f>
        <v/>
      </c>
      <c r="V2802" s="64">
        <f>IF($A2802="","",IF(COUNTIF(변동분석!$E$7:$E$506,O2802)&gt;0,"Y","N"))</f>
        <v/>
      </c>
      <c r="W2802" s="64">
        <f>IF($A2802="","",IFERROR(INDEX(계정매핑!$D$5:$D$504,MATCH($F2802&amp;"",계정매핑!$A$5:$A$504,0)),"미매핑"))</f>
        <v/>
      </c>
      <c r="X2802" s="9">
        <f>IF($A2802="","",$F2802&amp;"")</f>
        <v/>
      </c>
      <c r="Y2802" s="94">
        <f>IF($A2802="",0,IF(AE2802="직접",IF(AF2802="비귀속",$P2802,0),$P2802*(1-AG2802)*IFERROR(INDEX(계정대체기준!$F$20:$F$49,MATCH($N2802,계정대체기준!$A$20:$A$49,0)),1)))</f>
        <v/>
      </c>
      <c r="Z2802" s="94">
        <f>IF($A2802="",0,IF(AE2802="직접",IF(AF2802="신계약비",$P2802,0),$P2802*(1-AG2802)*IFERROR(INDEX(계정대체기준!$C$20:$C$49,MATCH($N2802,계정대체기준!$A$20:$A$49,0)),0)))</f>
        <v/>
      </c>
      <c r="AA2802" s="94">
        <f>IF($A2802="",0,IF(AE2802="직접",IF(OR(AF2802="유지비",AF2802="손해조사비"),$P2802,0),$P2802*(1-AG2802)*IFERROR(INDEX(계정대체기준!$D$20:$D$49,MATCH($N2802,계정대체기준!$A$20:$A$49,0)),0)))</f>
        <v/>
      </c>
      <c r="AB2802" s="94">
        <f>IF($A2802="",0,IF(AE2802="직접",IF(AF2802="수금비",$P2802,0),$P2802*(1-AG2802)*IFERROR(INDEX(계정대체기준!$E$20:$E$49,MATCH($N2802,계정대체기준!$A$20:$A$49,0)),0)))</f>
        <v/>
      </c>
      <c r="AC2802" s="9">
        <f>IF(AND($A2802&lt;&gt;"",M2802=설정!$C$20,Z2802&gt;0),Z2802+ROW()/1000000000,"")</f>
        <v/>
      </c>
      <c r="AD2802" s="94">
        <f>IF($A2802="",0,$P2802*AG2802)</f>
        <v/>
      </c>
      <c r="AE2802" s="64">
        <f>IF($A2802="","",IFERROR(INDEX(계정매핑!$E$5:$E$504,MATCH($F2802&amp;"",계정매핑!$A$5:$A$504,0))&amp;"","공통비"))</f>
        <v/>
      </c>
      <c r="AF2802" s="64">
        <f>IF($A2802="","",IF(AE2802="직접",IFERROR(INDEX(계정매핑!$F$5:$F$504,MATCH($F2802&amp;"",계정매핑!$A$5:$A$504,0))&amp;"","비귀속"),""))</f>
        <v/>
      </c>
      <c r="AG2802" s="96">
        <f>IF($A2802="",0,IF(AND(AE2802&lt;&gt;"직접",IFERROR(INDEX(계정매핑!$G$5:$G$504,MATCH($F2802&amp;"",계정매핑!$A$5:$A$504,0))&amp;"","")="유지비",COUNTIF(계정대체기준!$A$6:$A$15,$N2802)&gt;0),IFERROR(INDEX(계정대체기준!$E$6:$E$15,MATCH(VALUE($A2802&amp;""),계정대체기준!$D$6:$D$15,0)),0),0))</f>
        <v/>
      </c>
      <c r="AH2802" s="64">
        <f>IF($A2802="","",IF(AD2802=0,"",IF(OR(COUNTIF(계정대체기준!$A$77:$A$86,$N2802)&gt;0,ISNUMBER(MATCH($X2802,계정대체기준!$D$77:$D$86,0)),ISNUMBER(MATCH($F2802,계정대체기준!$D$77:$D$86,0))),"Y","N")))</f>
        <v/>
      </c>
    </row>
    <row r="2803">
      <c r="A2803" s="92" t="n">
        <v>2026</v>
      </c>
      <c r="B2803" s="92" t="n">
        <v>1</v>
      </c>
      <c r="C2803" s="92" t="inlineStr">
        <is>
          <t>5100000081</t>
        </is>
      </c>
      <c r="D2803" s="95" t="n">
        <v>46033</v>
      </c>
      <c r="E2803" s="92" t="inlineStr">
        <is>
          <t>KR</t>
        </is>
      </c>
      <c r="F2803" s="92" t="n">
        <v>62101000</v>
      </c>
      <c r="G2803" s="92" t="n">
        <v>1301</v>
      </c>
      <c r="H2803" s="93" t="n">
        <v>634000</v>
      </c>
      <c r="I2803" s="92" t="inlineStr">
        <is>
          <t>1월 국내출장 - (법인카드)</t>
        </is>
      </c>
      <c r="J2803" s="92" t="inlineStr">
        <is>
          <t>V10010</t>
        </is>
      </c>
      <c r="K2803" s="92" t="inlineStr">
        <is>
          <t>(법인카드)</t>
        </is>
      </c>
      <c r="M2803" s="9">
        <f>IF($A2803="","",VALUE($A2803&amp;"")*12+VALUE($B2803&amp;""))</f>
        <v/>
      </c>
      <c r="N2803" s="64">
        <f>IF($A2803="","",IFERROR(INDEX(부서매핑!$C$5:$C$504,MATCH($G2803&amp;"",부서매핑!$A$5:$A$504,0)),"미매핑"))</f>
        <v/>
      </c>
      <c r="O2803" s="9">
        <f>IF($A2803="","",N2803&amp;"|"&amp;$F2803)</f>
        <v/>
      </c>
      <c r="P2803" s="94">
        <f>IF($A2803="",0,$H2803*설정!$C$23)</f>
        <v/>
      </c>
      <c r="Q2803" s="64">
        <f>IF($A2803="","",IF(O2803&lt;&gt;원인분석!$C$9,"",IF(AND(M2803&gt;=원인분석!$C$10,M2803&lt;=원인분석!$C$11),"당기",IF(AND(M2803&gt;=원인분석!$C$12,M2803&lt;=원인분석!$C$13),"비교",""))))</f>
        <v/>
      </c>
      <c r="R2803" s="9">
        <f>IF(Q2803="","",$K2803&amp;"")</f>
        <v/>
      </c>
      <c r="S2803" s="9">
        <f>IF(Q2803="","",IF(MATCH(R2803,$R$5:$R$100000,0)=ROW()-4,ROW(),""))</f>
        <v/>
      </c>
      <c r="T2803" s="9">
        <f>IF(Q2803="당기",ABS(P2803)+ROW()/1000000000,"")</f>
        <v/>
      </c>
      <c r="U2803" s="9">
        <f>IF(Q2803="비교",ABS(P2803)+ROW()/1000000000,"")</f>
        <v/>
      </c>
      <c r="V2803" s="64">
        <f>IF($A2803="","",IF(COUNTIF(변동분석!$E$7:$E$506,O2803)&gt;0,"Y","N"))</f>
        <v/>
      </c>
      <c r="W2803" s="64">
        <f>IF($A2803="","",IFERROR(INDEX(계정매핑!$D$5:$D$504,MATCH($F2803&amp;"",계정매핑!$A$5:$A$504,0)),"미매핑"))</f>
        <v/>
      </c>
      <c r="X2803" s="9">
        <f>IF($A2803="","",$F2803&amp;"")</f>
        <v/>
      </c>
      <c r="Y2803" s="94">
        <f>IF($A2803="",0,IF(AE2803="직접",IF(AF2803="비귀속",$P2803,0),$P2803*(1-AG2803)*IFERROR(INDEX(계정대체기준!$F$20:$F$49,MATCH($N2803,계정대체기준!$A$20:$A$49,0)),1)))</f>
        <v/>
      </c>
      <c r="Z2803" s="94">
        <f>IF($A2803="",0,IF(AE2803="직접",IF(AF2803="신계약비",$P2803,0),$P2803*(1-AG2803)*IFERROR(INDEX(계정대체기준!$C$20:$C$49,MATCH($N2803,계정대체기준!$A$20:$A$49,0)),0)))</f>
        <v/>
      </c>
      <c r="AA2803" s="94">
        <f>IF($A2803="",0,IF(AE2803="직접",IF(OR(AF2803="유지비",AF2803="손해조사비"),$P2803,0),$P2803*(1-AG2803)*IFERROR(INDEX(계정대체기준!$D$20:$D$49,MATCH($N2803,계정대체기준!$A$20:$A$49,0)),0)))</f>
        <v/>
      </c>
      <c r="AB2803" s="94">
        <f>IF($A2803="",0,IF(AE2803="직접",IF(AF2803="수금비",$P2803,0),$P2803*(1-AG2803)*IFERROR(INDEX(계정대체기준!$E$20:$E$49,MATCH($N2803,계정대체기준!$A$20:$A$49,0)),0)))</f>
        <v/>
      </c>
      <c r="AC2803" s="9">
        <f>IF(AND($A2803&lt;&gt;"",M2803=설정!$C$20,Z2803&gt;0),Z2803+ROW()/1000000000,"")</f>
        <v/>
      </c>
      <c r="AD2803" s="94">
        <f>IF($A2803="",0,$P2803*AG2803)</f>
        <v/>
      </c>
      <c r="AE2803" s="64">
        <f>IF($A2803="","",IFERROR(INDEX(계정매핑!$E$5:$E$504,MATCH($F2803&amp;"",계정매핑!$A$5:$A$504,0))&amp;"","공통비"))</f>
        <v/>
      </c>
      <c r="AF2803" s="64">
        <f>IF($A2803="","",IF(AE2803="직접",IFERROR(INDEX(계정매핑!$F$5:$F$504,MATCH($F2803&amp;"",계정매핑!$A$5:$A$504,0))&amp;"","비귀속"),""))</f>
        <v/>
      </c>
      <c r="AG2803" s="96">
        <f>IF($A2803="",0,IF(AND(AE2803&lt;&gt;"직접",IFERROR(INDEX(계정매핑!$G$5:$G$504,MATCH($F2803&amp;"",계정매핑!$A$5:$A$504,0))&amp;"","")="유지비",COUNTIF(계정대체기준!$A$6:$A$15,$N2803)&gt;0),IFERROR(INDEX(계정대체기준!$E$6:$E$15,MATCH(VALUE($A2803&amp;""),계정대체기준!$D$6:$D$15,0)),0),0))</f>
        <v/>
      </c>
      <c r="AH2803" s="64">
        <f>IF($A2803="","",IF(AD2803=0,"",IF(OR(COUNTIF(계정대체기준!$A$77:$A$86,$N2803)&gt;0,ISNUMBER(MATCH($X2803,계정대체기준!$D$77:$D$86,0)),ISNUMBER(MATCH($F2803,계정대체기준!$D$77:$D$86,0))),"Y","N")))</f>
        <v/>
      </c>
    </row>
    <row r="2804">
      <c r="A2804" s="92" t="n">
        <v>2026</v>
      </c>
      <c r="B2804" s="92" t="n">
        <v>1</v>
      </c>
      <c r="C2804" s="92" t="inlineStr">
        <is>
          <t>5100000082</t>
        </is>
      </c>
      <c r="D2804" s="95" t="n">
        <v>46033</v>
      </c>
      <c r="E2804" s="92" t="inlineStr">
        <is>
          <t>KR</t>
        </is>
      </c>
      <c r="F2804" s="92" t="n">
        <v>62401000</v>
      </c>
      <c r="G2804" s="92" t="n">
        <v>1401</v>
      </c>
      <c r="H2804" s="93" t="n">
        <v>324000</v>
      </c>
      <c r="I2804" s="92" t="inlineStr">
        <is>
          <t>1월 인쇄물 제작 - S출판</t>
        </is>
      </c>
      <c r="J2804" s="92" t="inlineStr">
        <is>
          <t>V10015</t>
        </is>
      </c>
      <c r="K2804" s="92" t="inlineStr">
        <is>
          <t>S출판</t>
        </is>
      </c>
      <c r="M2804" s="9">
        <f>IF($A2804="","",VALUE($A2804&amp;"")*12+VALUE($B2804&amp;""))</f>
        <v/>
      </c>
      <c r="N2804" s="64">
        <f>IF($A2804="","",IFERROR(INDEX(부서매핑!$C$5:$C$504,MATCH($G2804&amp;"",부서매핑!$A$5:$A$504,0)),"미매핑"))</f>
        <v/>
      </c>
      <c r="O2804" s="9">
        <f>IF($A2804="","",N2804&amp;"|"&amp;$F2804)</f>
        <v/>
      </c>
      <c r="P2804" s="94">
        <f>IF($A2804="",0,$H2804*설정!$C$23)</f>
        <v/>
      </c>
      <c r="Q2804" s="64">
        <f>IF($A2804="","",IF(O2804&lt;&gt;원인분석!$C$9,"",IF(AND(M2804&gt;=원인분석!$C$10,M2804&lt;=원인분석!$C$11),"당기",IF(AND(M2804&gt;=원인분석!$C$12,M2804&lt;=원인분석!$C$13),"비교",""))))</f>
        <v/>
      </c>
      <c r="R2804" s="9">
        <f>IF(Q2804="","",$K2804&amp;"")</f>
        <v/>
      </c>
      <c r="S2804" s="9">
        <f>IF(Q2804="","",IF(MATCH(R2804,$R$5:$R$100000,0)=ROW()-4,ROW(),""))</f>
        <v/>
      </c>
      <c r="T2804" s="9">
        <f>IF(Q2804="당기",ABS(P2804)+ROW()/1000000000,"")</f>
        <v/>
      </c>
      <c r="U2804" s="9">
        <f>IF(Q2804="비교",ABS(P2804)+ROW()/1000000000,"")</f>
        <v/>
      </c>
      <c r="V2804" s="64">
        <f>IF($A2804="","",IF(COUNTIF(변동분석!$E$7:$E$506,O2804)&gt;0,"Y","N"))</f>
        <v/>
      </c>
      <c r="W2804" s="64">
        <f>IF($A2804="","",IFERROR(INDEX(계정매핑!$D$5:$D$504,MATCH($F2804&amp;"",계정매핑!$A$5:$A$504,0)),"미매핑"))</f>
        <v/>
      </c>
      <c r="X2804" s="9">
        <f>IF($A2804="","",$F2804&amp;"")</f>
        <v/>
      </c>
      <c r="Y2804" s="94">
        <f>IF($A2804="",0,IF(AE2804="직접",IF(AF2804="비귀속",$P2804,0),$P2804*(1-AG2804)*IFERROR(INDEX(계정대체기준!$F$20:$F$49,MATCH($N2804,계정대체기준!$A$20:$A$49,0)),1)))</f>
        <v/>
      </c>
      <c r="Z2804" s="94">
        <f>IF($A2804="",0,IF(AE2804="직접",IF(AF2804="신계약비",$P2804,0),$P2804*(1-AG2804)*IFERROR(INDEX(계정대체기준!$C$20:$C$49,MATCH($N2804,계정대체기준!$A$20:$A$49,0)),0)))</f>
        <v/>
      </c>
      <c r="AA2804" s="94">
        <f>IF($A2804="",0,IF(AE2804="직접",IF(OR(AF2804="유지비",AF2804="손해조사비"),$P2804,0),$P2804*(1-AG2804)*IFERROR(INDEX(계정대체기준!$D$20:$D$49,MATCH($N2804,계정대체기준!$A$20:$A$49,0)),0)))</f>
        <v/>
      </c>
      <c r="AB2804" s="94">
        <f>IF($A2804="",0,IF(AE2804="직접",IF(AF2804="수금비",$P2804,0),$P2804*(1-AG2804)*IFERROR(INDEX(계정대체기준!$E$20:$E$49,MATCH($N2804,계정대체기준!$A$20:$A$49,0)),0)))</f>
        <v/>
      </c>
      <c r="AC2804" s="9">
        <f>IF(AND($A2804&lt;&gt;"",M2804=설정!$C$20,Z2804&gt;0),Z2804+ROW()/1000000000,"")</f>
        <v/>
      </c>
      <c r="AD2804" s="94">
        <f>IF($A2804="",0,$P2804*AG2804)</f>
        <v/>
      </c>
      <c r="AE2804" s="64">
        <f>IF($A2804="","",IFERROR(INDEX(계정매핑!$E$5:$E$504,MATCH($F2804&amp;"",계정매핑!$A$5:$A$504,0))&amp;"","공통비"))</f>
        <v/>
      </c>
      <c r="AF2804" s="64">
        <f>IF($A2804="","",IF(AE2804="직접",IFERROR(INDEX(계정매핑!$F$5:$F$504,MATCH($F2804&amp;"",계정매핑!$A$5:$A$504,0))&amp;"","비귀속"),""))</f>
        <v/>
      </c>
      <c r="AG2804" s="96">
        <f>IF($A2804="",0,IF(AND(AE2804&lt;&gt;"직접",IFERROR(INDEX(계정매핑!$G$5:$G$504,MATCH($F2804&amp;"",계정매핑!$A$5:$A$504,0))&amp;"","")="유지비",COUNTIF(계정대체기준!$A$6:$A$15,$N2804)&gt;0),IFERROR(INDEX(계정대체기준!$E$6:$E$15,MATCH(VALUE($A2804&amp;""),계정대체기준!$D$6:$D$15,0)),0),0))</f>
        <v/>
      </c>
      <c r="AH2804" s="64">
        <f>IF($A2804="","",IF(AD2804=0,"",IF(OR(COUNTIF(계정대체기준!$A$77:$A$86,$N2804)&gt;0,ISNUMBER(MATCH($X2804,계정대체기준!$D$77:$D$86,0)),ISNUMBER(MATCH($F2804,계정대체기준!$D$77:$D$86,0))),"Y","N")))</f>
        <v/>
      </c>
    </row>
    <row r="2805">
      <c r="A2805" s="92" t="n">
        <v>2026</v>
      </c>
      <c r="B2805" s="92" t="n">
        <v>1</v>
      </c>
      <c r="C2805" s="92" t="inlineStr">
        <is>
          <t>5100000083</t>
        </is>
      </c>
      <c r="D2805" s="95" t="n">
        <v>46033</v>
      </c>
      <c r="E2805" s="92" t="inlineStr">
        <is>
          <t>KR</t>
        </is>
      </c>
      <c r="F2805" s="92" t="n">
        <v>62401000</v>
      </c>
      <c r="G2805" s="92" t="n">
        <v>1502</v>
      </c>
      <c r="H2805" s="93" t="n">
        <v>1710000</v>
      </c>
      <c r="I2805" s="92" t="inlineStr">
        <is>
          <t>1월 인쇄물 제작 - S출판</t>
        </is>
      </c>
      <c r="J2805" s="92" t="inlineStr">
        <is>
          <t>V10015</t>
        </is>
      </c>
      <c r="K2805" s="92" t="inlineStr">
        <is>
          <t>S출판</t>
        </is>
      </c>
      <c r="M2805" s="9">
        <f>IF($A2805="","",VALUE($A2805&amp;"")*12+VALUE($B2805&amp;""))</f>
        <v/>
      </c>
      <c r="N2805" s="64">
        <f>IF($A2805="","",IFERROR(INDEX(부서매핑!$C$5:$C$504,MATCH($G2805&amp;"",부서매핑!$A$5:$A$504,0)),"미매핑"))</f>
        <v/>
      </c>
      <c r="O2805" s="9">
        <f>IF($A2805="","",N2805&amp;"|"&amp;$F2805)</f>
        <v/>
      </c>
      <c r="P2805" s="94">
        <f>IF($A2805="",0,$H2805*설정!$C$23)</f>
        <v/>
      </c>
      <c r="Q2805" s="64">
        <f>IF($A2805="","",IF(O2805&lt;&gt;원인분석!$C$9,"",IF(AND(M2805&gt;=원인분석!$C$10,M2805&lt;=원인분석!$C$11),"당기",IF(AND(M2805&gt;=원인분석!$C$12,M2805&lt;=원인분석!$C$13),"비교",""))))</f>
        <v/>
      </c>
      <c r="R2805" s="9">
        <f>IF(Q2805="","",$K2805&amp;"")</f>
        <v/>
      </c>
      <c r="S2805" s="9">
        <f>IF(Q2805="","",IF(MATCH(R2805,$R$5:$R$100000,0)=ROW()-4,ROW(),""))</f>
        <v/>
      </c>
      <c r="T2805" s="9">
        <f>IF(Q2805="당기",ABS(P2805)+ROW()/1000000000,"")</f>
        <v/>
      </c>
      <c r="U2805" s="9">
        <f>IF(Q2805="비교",ABS(P2805)+ROW()/1000000000,"")</f>
        <v/>
      </c>
      <c r="V2805" s="64">
        <f>IF($A2805="","",IF(COUNTIF(변동분석!$E$7:$E$506,O2805)&gt;0,"Y","N"))</f>
        <v/>
      </c>
      <c r="W2805" s="64">
        <f>IF($A2805="","",IFERROR(INDEX(계정매핑!$D$5:$D$504,MATCH($F2805&amp;"",계정매핑!$A$5:$A$504,0)),"미매핑"))</f>
        <v/>
      </c>
      <c r="X2805" s="9">
        <f>IF($A2805="","",$F2805&amp;"")</f>
        <v/>
      </c>
      <c r="Y2805" s="94">
        <f>IF($A2805="",0,IF(AE2805="직접",IF(AF2805="비귀속",$P2805,0),$P2805*(1-AG2805)*IFERROR(INDEX(계정대체기준!$F$20:$F$49,MATCH($N2805,계정대체기준!$A$20:$A$49,0)),1)))</f>
        <v/>
      </c>
      <c r="Z2805" s="94">
        <f>IF($A2805="",0,IF(AE2805="직접",IF(AF2805="신계약비",$P2805,0),$P2805*(1-AG2805)*IFERROR(INDEX(계정대체기준!$C$20:$C$49,MATCH($N2805,계정대체기준!$A$20:$A$49,0)),0)))</f>
        <v/>
      </c>
      <c r="AA2805" s="94">
        <f>IF($A2805="",0,IF(AE2805="직접",IF(OR(AF2805="유지비",AF2805="손해조사비"),$P2805,0),$P2805*(1-AG2805)*IFERROR(INDEX(계정대체기준!$D$20:$D$49,MATCH($N2805,계정대체기준!$A$20:$A$49,0)),0)))</f>
        <v/>
      </c>
      <c r="AB2805" s="94">
        <f>IF($A2805="",0,IF(AE2805="직접",IF(AF2805="수금비",$P2805,0),$P2805*(1-AG2805)*IFERROR(INDEX(계정대체기준!$E$20:$E$49,MATCH($N2805,계정대체기준!$A$20:$A$49,0)),0)))</f>
        <v/>
      </c>
      <c r="AC2805" s="9">
        <f>IF(AND($A2805&lt;&gt;"",M2805=설정!$C$20,Z2805&gt;0),Z2805+ROW()/1000000000,"")</f>
        <v/>
      </c>
      <c r="AD2805" s="94">
        <f>IF($A2805="",0,$P2805*AG2805)</f>
        <v/>
      </c>
      <c r="AE2805" s="64">
        <f>IF($A2805="","",IFERROR(INDEX(계정매핑!$E$5:$E$504,MATCH($F2805&amp;"",계정매핑!$A$5:$A$504,0))&amp;"","공통비"))</f>
        <v/>
      </c>
      <c r="AF2805" s="64">
        <f>IF($A2805="","",IF(AE2805="직접",IFERROR(INDEX(계정매핑!$F$5:$F$504,MATCH($F2805&amp;"",계정매핑!$A$5:$A$504,0))&amp;"","비귀속"),""))</f>
        <v/>
      </c>
      <c r="AG2805" s="96">
        <f>IF($A2805="",0,IF(AND(AE2805&lt;&gt;"직접",IFERROR(INDEX(계정매핑!$G$5:$G$504,MATCH($F2805&amp;"",계정매핑!$A$5:$A$504,0))&amp;"","")="유지비",COUNTIF(계정대체기준!$A$6:$A$15,$N2805)&gt;0),IFERROR(INDEX(계정대체기준!$E$6:$E$15,MATCH(VALUE($A2805&amp;""),계정대체기준!$D$6:$D$15,0)),0),0))</f>
        <v/>
      </c>
      <c r="AH2805" s="64">
        <f>IF($A2805="","",IF(AD2805=0,"",IF(OR(COUNTIF(계정대체기준!$A$77:$A$86,$N2805)&gt;0,ISNUMBER(MATCH($X2805,계정대체기준!$D$77:$D$86,0)),ISNUMBER(MATCH($F2805,계정대체기준!$D$77:$D$86,0))),"Y","N")))</f>
        <v/>
      </c>
    </row>
    <row r="2806">
      <c r="A2806" s="92" t="n">
        <v>2026</v>
      </c>
      <c r="B2806" s="92" t="n">
        <v>1</v>
      </c>
      <c r="C2806" s="92" t="inlineStr">
        <is>
          <t>5100000084</t>
        </is>
      </c>
      <c r="D2806" s="95" t="n">
        <v>46033</v>
      </c>
      <c r="E2806" s="92" t="inlineStr">
        <is>
          <t>KR</t>
        </is>
      </c>
      <c r="F2806" s="92" t="n">
        <v>62601000</v>
      </c>
      <c r="G2806" s="92" t="n">
        <v>1602</v>
      </c>
      <c r="H2806" s="93" t="n">
        <v>1511000</v>
      </c>
      <c r="I2806" s="92" t="inlineStr">
        <is>
          <t>1월 업무추진 - (법인카드)</t>
        </is>
      </c>
      <c r="J2806" s="92" t="inlineStr">
        <is>
          <t>V10010</t>
        </is>
      </c>
      <c r="K2806" s="92" t="inlineStr">
        <is>
          <t>(법인카드)</t>
        </is>
      </c>
      <c r="M2806" s="9">
        <f>IF($A2806="","",VALUE($A2806&amp;"")*12+VALUE($B2806&amp;""))</f>
        <v/>
      </c>
      <c r="N2806" s="64">
        <f>IF($A2806="","",IFERROR(INDEX(부서매핑!$C$5:$C$504,MATCH($G2806&amp;"",부서매핑!$A$5:$A$504,0)),"미매핑"))</f>
        <v/>
      </c>
      <c r="O2806" s="9">
        <f>IF($A2806="","",N2806&amp;"|"&amp;$F2806)</f>
        <v/>
      </c>
      <c r="P2806" s="94">
        <f>IF($A2806="",0,$H2806*설정!$C$23)</f>
        <v/>
      </c>
      <c r="Q2806" s="64">
        <f>IF($A2806="","",IF(O2806&lt;&gt;원인분석!$C$9,"",IF(AND(M2806&gt;=원인분석!$C$10,M2806&lt;=원인분석!$C$11),"당기",IF(AND(M2806&gt;=원인분석!$C$12,M2806&lt;=원인분석!$C$13),"비교",""))))</f>
        <v/>
      </c>
      <c r="R2806" s="9">
        <f>IF(Q2806="","",$K2806&amp;"")</f>
        <v/>
      </c>
      <c r="S2806" s="9">
        <f>IF(Q2806="","",IF(MATCH(R2806,$R$5:$R$100000,0)=ROW()-4,ROW(),""))</f>
        <v/>
      </c>
      <c r="T2806" s="9">
        <f>IF(Q2806="당기",ABS(P2806)+ROW()/1000000000,"")</f>
        <v/>
      </c>
      <c r="U2806" s="9">
        <f>IF(Q2806="비교",ABS(P2806)+ROW()/1000000000,"")</f>
        <v/>
      </c>
      <c r="V2806" s="64">
        <f>IF($A2806="","",IF(COUNTIF(변동분석!$E$7:$E$506,O2806)&gt;0,"Y","N"))</f>
        <v/>
      </c>
      <c r="W2806" s="64">
        <f>IF($A2806="","",IFERROR(INDEX(계정매핑!$D$5:$D$504,MATCH($F2806&amp;"",계정매핑!$A$5:$A$504,0)),"미매핑"))</f>
        <v/>
      </c>
      <c r="X2806" s="9">
        <f>IF($A2806="","",$F2806&amp;"")</f>
        <v/>
      </c>
      <c r="Y2806" s="94">
        <f>IF($A2806="",0,IF(AE2806="직접",IF(AF2806="비귀속",$P2806,0),$P2806*(1-AG2806)*IFERROR(INDEX(계정대체기준!$F$20:$F$49,MATCH($N2806,계정대체기준!$A$20:$A$49,0)),1)))</f>
        <v/>
      </c>
      <c r="Z2806" s="94">
        <f>IF($A2806="",0,IF(AE2806="직접",IF(AF2806="신계약비",$P2806,0),$P2806*(1-AG2806)*IFERROR(INDEX(계정대체기준!$C$20:$C$49,MATCH($N2806,계정대체기준!$A$20:$A$49,0)),0)))</f>
        <v/>
      </c>
      <c r="AA2806" s="94">
        <f>IF($A2806="",0,IF(AE2806="직접",IF(OR(AF2806="유지비",AF2806="손해조사비"),$P2806,0),$P2806*(1-AG2806)*IFERROR(INDEX(계정대체기준!$D$20:$D$49,MATCH($N2806,계정대체기준!$A$20:$A$49,0)),0)))</f>
        <v/>
      </c>
      <c r="AB2806" s="94">
        <f>IF($A2806="",0,IF(AE2806="직접",IF(AF2806="수금비",$P2806,0),$P2806*(1-AG2806)*IFERROR(INDEX(계정대체기준!$E$20:$E$49,MATCH($N2806,계정대체기준!$A$20:$A$49,0)),0)))</f>
        <v/>
      </c>
      <c r="AC2806" s="9">
        <f>IF(AND($A2806&lt;&gt;"",M2806=설정!$C$20,Z2806&gt;0),Z2806+ROW()/1000000000,"")</f>
        <v/>
      </c>
      <c r="AD2806" s="94">
        <f>IF($A2806="",0,$P2806*AG2806)</f>
        <v/>
      </c>
      <c r="AE2806" s="64">
        <f>IF($A2806="","",IFERROR(INDEX(계정매핑!$E$5:$E$504,MATCH($F2806&amp;"",계정매핑!$A$5:$A$504,0))&amp;"","공통비"))</f>
        <v/>
      </c>
      <c r="AF2806" s="64">
        <f>IF($A2806="","",IF(AE2806="직접",IFERROR(INDEX(계정매핑!$F$5:$F$504,MATCH($F2806&amp;"",계정매핑!$A$5:$A$504,0))&amp;"","비귀속"),""))</f>
        <v/>
      </c>
      <c r="AG2806" s="96">
        <f>IF($A2806="",0,IF(AND(AE2806&lt;&gt;"직접",IFERROR(INDEX(계정매핑!$G$5:$G$504,MATCH($F2806&amp;"",계정매핑!$A$5:$A$504,0))&amp;"","")="유지비",COUNTIF(계정대체기준!$A$6:$A$15,$N2806)&gt;0),IFERROR(INDEX(계정대체기준!$E$6:$E$15,MATCH(VALUE($A2806&amp;""),계정대체기준!$D$6:$D$15,0)),0),0))</f>
        <v/>
      </c>
      <c r="AH2806" s="64">
        <f>IF($A2806="","",IF(AD2806=0,"",IF(OR(COUNTIF(계정대체기준!$A$77:$A$86,$N2806)&gt;0,ISNUMBER(MATCH($X2806,계정대체기준!$D$77:$D$86,0)),ISNUMBER(MATCH($F2806,계정대체기준!$D$77:$D$86,0))),"Y","N")))</f>
        <v/>
      </c>
    </row>
    <row r="2807">
      <c r="A2807" s="92" t="n">
        <v>2026</v>
      </c>
      <c r="B2807" s="92" t="n">
        <v>1</v>
      </c>
      <c r="C2807" s="92" t="inlineStr">
        <is>
          <t>5100000085</t>
        </is>
      </c>
      <c r="D2807" s="95" t="n">
        <v>46033</v>
      </c>
      <c r="E2807" s="92" t="inlineStr">
        <is>
          <t>KR</t>
        </is>
      </c>
      <c r="F2807" s="92" t="n">
        <v>63502000</v>
      </c>
      <c r="G2807" s="92" t="n">
        <v>1901</v>
      </c>
      <c r="H2807" s="93" t="n">
        <v>130238000</v>
      </c>
      <c r="I2807" s="92" t="inlineStr">
        <is>
          <t>1월 유지수수료 - (전속설계사)</t>
        </is>
      </c>
      <c r="J2807" s="92" t="inlineStr">
        <is>
          <t>V10021</t>
        </is>
      </c>
      <c r="K2807" s="92" t="inlineStr">
        <is>
          <t>(전속설계사)</t>
        </is>
      </c>
      <c r="M2807" s="9">
        <f>IF($A2807="","",VALUE($A2807&amp;"")*12+VALUE($B2807&amp;""))</f>
        <v/>
      </c>
      <c r="N2807" s="64">
        <f>IF($A2807="","",IFERROR(INDEX(부서매핑!$C$5:$C$504,MATCH($G2807&amp;"",부서매핑!$A$5:$A$504,0)),"미매핑"))</f>
        <v/>
      </c>
      <c r="O2807" s="9">
        <f>IF($A2807="","",N2807&amp;"|"&amp;$F2807)</f>
        <v/>
      </c>
      <c r="P2807" s="94">
        <f>IF($A2807="",0,$H2807*설정!$C$23)</f>
        <v/>
      </c>
      <c r="Q2807" s="64">
        <f>IF($A2807="","",IF(O2807&lt;&gt;원인분석!$C$9,"",IF(AND(M2807&gt;=원인분석!$C$10,M2807&lt;=원인분석!$C$11),"당기",IF(AND(M2807&gt;=원인분석!$C$12,M2807&lt;=원인분석!$C$13),"비교",""))))</f>
        <v/>
      </c>
      <c r="R2807" s="9">
        <f>IF(Q2807="","",$K2807&amp;"")</f>
        <v/>
      </c>
      <c r="S2807" s="9">
        <f>IF(Q2807="","",IF(MATCH(R2807,$R$5:$R$100000,0)=ROW()-4,ROW(),""))</f>
        <v/>
      </c>
      <c r="T2807" s="9">
        <f>IF(Q2807="당기",ABS(P2807)+ROW()/1000000000,"")</f>
        <v/>
      </c>
      <c r="U2807" s="9">
        <f>IF(Q2807="비교",ABS(P2807)+ROW()/1000000000,"")</f>
        <v/>
      </c>
      <c r="V2807" s="64">
        <f>IF($A2807="","",IF(COUNTIF(변동분석!$E$7:$E$506,O2807)&gt;0,"Y","N"))</f>
        <v/>
      </c>
      <c r="W2807" s="64">
        <f>IF($A2807="","",IFERROR(INDEX(계정매핑!$D$5:$D$504,MATCH($F2807&amp;"",계정매핑!$A$5:$A$504,0)),"미매핑"))</f>
        <v/>
      </c>
      <c r="X2807" s="9">
        <f>IF($A2807="","",$F2807&amp;"")</f>
        <v/>
      </c>
      <c r="Y2807" s="94">
        <f>IF($A2807="",0,IF(AE2807="직접",IF(AF2807="비귀속",$P2807,0),$P2807*(1-AG2807)*IFERROR(INDEX(계정대체기준!$F$20:$F$49,MATCH($N2807,계정대체기준!$A$20:$A$49,0)),1)))</f>
        <v/>
      </c>
      <c r="Z2807" s="94">
        <f>IF($A2807="",0,IF(AE2807="직접",IF(AF2807="신계약비",$P2807,0),$P2807*(1-AG2807)*IFERROR(INDEX(계정대체기준!$C$20:$C$49,MATCH($N2807,계정대체기준!$A$20:$A$49,0)),0)))</f>
        <v/>
      </c>
      <c r="AA2807" s="94">
        <f>IF($A2807="",0,IF(AE2807="직접",IF(OR(AF2807="유지비",AF2807="손해조사비"),$P2807,0),$P2807*(1-AG2807)*IFERROR(INDEX(계정대체기준!$D$20:$D$49,MATCH($N2807,계정대체기준!$A$20:$A$49,0)),0)))</f>
        <v/>
      </c>
      <c r="AB2807" s="94">
        <f>IF($A2807="",0,IF(AE2807="직접",IF(AF2807="수금비",$P2807,0),$P2807*(1-AG2807)*IFERROR(INDEX(계정대체기준!$E$20:$E$49,MATCH($N2807,계정대체기준!$A$20:$A$49,0)),0)))</f>
        <v/>
      </c>
      <c r="AC2807" s="9">
        <f>IF(AND($A2807&lt;&gt;"",M2807=설정!$C$20,Z2807&gt;0),Z2807+ROW()/1000000000,"")</f>
        <v/>
      </c>
      <c r="AD2807" s="94">
        <f>IF($A2807="",0,$P2807*AG2807)</f>
        <v/>
      </c>
      <c r="AE2807" s="64">
        <f>IF($A2807="","",IFERROR(INDEX(계정매핑!$E$5:$E$504,MATCH($F2807&amp;"",계정매핑!$A$5:$A$504,0))&amp;"","공통비"))</f>
        <v/>
      </c>
      <c r="AF2807" s="64">
        <f>IF($A2807="","",IF(AE2807="직접",IFERROR(INDEX(계정매핑!$F$5:$F$504,MATCH($F2807&amp;"",계정매핑!$A$5:$A$504,0))&amp;"","비귀속"),""))</f>
        <v/>
      </c>
      <c r="AG2807" s="96">
        <f>IF($A2807="",0,IF(AND(AE2807&lt;&gt;"직접",IFERROR(INDEX(계정매핑!$G$5:$G$504,MATCH($F2807&amp;"",계정매핑!$A$5:$A$504,0))&amp;"","")="유지비",COUNTIF(계정대체기준!$A$6:$A$15,$N2807)&gt;0),IFERROR(INDEX(계정대체기준!$E$6:$E$15,MATCH(VALUE($A2807&amp;""),계정대체기준!$D$6:$D$15,0)),0),0))</f>
        <v/>
      </c>
      <c r="AH2807" s="64">
        <f>IF($A2807="","",IF(AD2807=0,"",IF(OR(COUNTIF(계정대체기준!$A$77:$A$86,$N2807)&gt;0,ISNUMBER(MATCH($X2807,계정대체기준!$D$77:$D$86,0)),ISNUMBER(MATCH($F2807,계정대체기준!$D$77:$D$86,0))),"Y","N")))</f>
        <v/>
      </c>
    </row>
    <row r="2808">
      <c r="A2808" s="92" t="n">
        <v>2026</v>
      </c>
      <c r="B2808" s="92" t="n">
        <v>1</v>
      </c>
      <c r="C2808" s="92" t="inlineStr">
        <is>
          <t>5100000086</t>
        </is>
      </c>
      <c r="D2808" s="95" t="n">
        <v>46034</v>
      </c>
      <c r="E2808" s="92" t="inlineStr">
        <is>
          <t>KR</t>
        </is>
      </c>
      <c r="F2808" s="92" t="n">
        <v>62101000</v>
      </c>
      <c r="G2808" s="92" t="n">
        <v>1201</v>
      </c>
      <c r="H2808" s="93" t="n">
        <v>293000</v>
      </c>
      <c r="I2808" s="92" t="inlineStr">
        <is>
          <t>1월 국내출장 - M항공</t>
        </is>
      </c>
      <c r="J2808" s="92" t="inlineStr">
        <is>
          <t>V10001</t>
        </is>
      </c>
      <c r="K2808" s="92" t="inlineStr">
        <is>
          <t>M항공</t>
        </is>
      </c>
      <c r="M2808" s="9">
        <f>IF($A2808="","",VALUE($A2808&amp;"")*12+VALUE($B2808&amp;""))</f>
        <v/>
      </c>
      <c r="N2808" s="64">
        <f>IF($A2808="","",IFERROR(INDEX(부서매핑!$C$5:$C$504,MATCH($G2808&amp;"",부서매핑!$A$5:$A$504,0)),"미매핑"))</f>
        <v/>
      </c>
      <c r="O2808" s="9">
        <f>IF($A2808="","",N2808&amp;"|"&amp;$F2808)</f>
        <v/>
      </c>
      <c r="P2808" s="94">
        <f>IF($A2808="",0,$H2808*설정!$C$23)</f>
        <v/>
      </c>
      <c r="Q2808" s="64">
        <f>IF($A2808="","",IF(O2808&lt;&gt;원인분석!$C$9,"",IF(AND(M2808&gt;=원인분석!$C$10,M2808&lt;=원인분석!$C$11),"당기",IF(AND(M2808&gt;=원인분석!$C$12,M2808&lt;=원인분석!$C$13),"비교",""))))</f>
        <v/>
      </c>
      <c r="R2808" s="9">
        <f>IF(Q2808="","",$K2808&amp;"")</f>
        <v/>
      </c>
      <c r="S2808" s="9">
        <f>IF(Q2808="","",IF(MATCH(R2808,$R$5:$R$100000,0)=ROW()-4,ROW(),""))</f>
        <v/>
      </c>
      <c r="T2808" s="9">
        <f>IF(Q2808="당기",ABS(P2808)+ROW()/1000000000,"")</f>
        <v/>
      </c>
      <c r="U2808" s="9">
        <f>IF(Q2808="비교",ABS(P2808)+ROW()/1000000000,"")</f>
        <v/>
      </c>
      <c r="V2808" s="64">
        <f>IF($A2808="","",IF(COUNTIF(변동분석!$E$7:$E$506,O2808)&gt;0,"Y","N"))</f>
        <v/>
      </c>
      <c r="W2808" s="64">
        <f>IF($A2808="","",IFERROR(INDEX(계정매핑!$D$5:$D$504,MATCH($F2808&amp;"",계정매핑!$A$5:$A$504,0)),"미매핑"))</f>
        <v/>
      </c>
      <c r="X2808" s="9">
        <f>IF($A2808="","",$F2808&amp;"")</f>
        <v/>
      </c>
      <c r="Y2808" s="94">
        <f>IF($A2808="",0,IF(AE2808="직접",IF(AF2808="비귀속",$P2808,0),$P2808*(1-AG2808)*IFERROR(INDEX(계정대체기준!$F$20:$F$49,MATCH($N2808,계정대체기준!$A$20:$A$49,0)),1)))</f>
        <v/>
      </c>
      <c r="Z2808" s="94">
        <f>IF($A2808="",0,IF(AE2808="직접",IF(AF2808="신계약비",$P2808,0),$P2808*(1-AG2808)*IFERROR(INDEX(계정대체기준!$C$20:$C$49,MATCH($N2808,계정대체기준!$A$20:$A$49,0)),0)))</f>
        <v/>
      </c>
      <c r="AA2808" s="94">
        <f>IF($A2808="",0,IF(AE2808="직접",IF(OR(AF2808="유지비",AF2808="손해조사비"),$P2808,0),$P2808*(1-AG2808)*IFERROR(INDEX(계정대체기준!$D$20:$D$49,MATCH($N2808,계정대체기준!$A$20:$A$49,0)),0)))</f>
        <v/>
      </c>
      <c r="AB2808" s="94">
        <f>IF($A2808="",0,IF(AE2808="직접",IF(AF2808="수금비",$P2808,0),$P2808*(1-AG2808)*IFERROR(INDEX(계정대체기준!$E$20:$E$49,MATCH($N2808,계정대체기준!$A$20:$A$49,0)),0)))</f>
        <v/>
      </c>
      <c r="AC2808" s="9">
        <f>IF(AND($A2808&lt;&gt;"",M2808=설정!$C$20,Z2808&gt;0),Z2808+ROW()/1000000000,"")</f>
        <v/>
      </c>
      <c r="AD2808" s="94">
        <f>IF($A2808="",0,$P2808*AG2808)</f>
        <v/>
      </c>
      <c r="AE2808" s="64">
        <f>IF($A2808="","",IFERROR(INDEX(계정매핑!$E$5:$E$504,MATCH($F2808&amp;"",계정매핑!$A$5:$A$504,0))&amp;"","공통비"))</f>
        <v/>
      </c>
      <c r="AF2808" s="64">
        <f>IF($A2808="","",IF(AE2808="직접",IFERROR(INDEX(계정매핑!$F$5:$F$504,MATCH($F2808&amp;"",계정매핑!$A$5:$A$504,0))&amp;"","비귀속"),""))</f>
        <v/>
      </c>
      <c r="AG2808" s="96">
        <f>IF($A2808="",0,IF(AND(AE2808&lt;&gt;"직접",IFERROR(INDEX(계정매핑!$G$5:$G$504,MATCH($F2808&amp;"",계정매핑!$A$5:$A$504,0))&amp;"","")="유지비",COUNTIF(계정대체기준!$A$6:$A$15,$N2808)&gt;0),IFERROR(INDEX(계정대체기준!$E$6:$E$15,MATCH(VALUE($A2808&amp;""),계정대체기준!$D$6:$D$15,0)),0),0))</f>
        <v/>
      </c>
      <c r="AH2808" s="64">
        <f>IF($A2808="","",IF(AD2808=0,"",IF(OR(COUNTIF(계정대체기준!$A$77:$A$86,$N2808)&gt;0,ISNUMBER(MATCH($X2808,계정대체기준!$D$77:$D$86,0)),ISNUMBER(MATCH($F2808,계정대체기준!$D$77:$D$86,0))),"Y","N")))</f>
        <v/>
      </c>
    </row>
    <row r="2809">
      <c r="A2809" s="92" t="n">
        <v>2026</v>
      </c>
      <c r="B2809" s="92" t="n">
        <v>1</v>
      </c>
      <c r="C2809" s="92" t="inlineStr">
        <is>
          <t>5100000087</t>
        </is>
      </c>
      <c r="D2809" s="95" t="n">
        <v>46034</v>
      </c>
      <c r="E2809" s="92" t="inlineStr">
        <is>
          <t>KR</t>
        </is>
      </c>
      <c r="F2809" s="92" t="n">
        <v>62601000</v>
      </c>
      <c r="G2809" s="92" t="n">
        <v>1101</v>
      </c>
      <c r="H2809" s="93" t="n">
        <v>2044000</v>
      </c>
      <c r="I2809" s="92" t="inlineStr">
        <is>
          <t>1월 업무추진 - (법인카드)</t>
        </is>
      </c>
      <c r="J2809" s="92" t="inlineStr">
        <is>
          <t>V10010</t>
        </is>
      </c>
      <c r="K2809" s="92" t="inlineStr">
        <is>
          <t>(법인카드)</t>
        </is>
      </c>
      <c r="M2809" s="9">
        <f>IF($A2809="","",VALUE($A2809&amp;"")*12+VALUE($B2809&amp;""))</f>
        <v/>
      </c>
      <c r="N2809" s="64">
        <f>IF($A2809="","",IFERROR(INDEX(부서매핑!$C$5:$C$504,MATCH($G2809&amp;"",부서매핑!$A$5:$A$504,0)),"미매핑"))</f>
        <v/>
      </c>
      <c r="O2809" s="9">
        <f>IF($A2809="","",N2809&amp;"|"&amp;$F2809)</f>
        <v/>
      </c>
      <c r="P2809" s="94">
        <f>IF($A2809="",0,$H2809*설정!$C$23)</f>
        <v/>
      </c>
      <c r="Q2809" s="64">
        <f>IF($A2809="","",IF(O2809&lt;&gt;원인분석!$C$9,"",IF(AND(M2809&gt;=원인분석!$C$10,M2809&lt;=원인분석!$C$11),"당기",IF(AND(M2809&gt;=원인분석!$C$12,M2809&lt;=원인분석!$C$13),"비교",""))))</f>
        <v/>
      </c>
      <c r="R2809" s="9">
        <f>IF(Q2809="","",$K2809&amp;"")</f>
        <v/>
      </c>
      <c r="S2809" s="9">
        <f>IF(Q2809="","",IF(MATCH(R2809,$R$5:$R$100000,0)=ROW()-4,ROW(),""))</f>
        <v/>
      </c>
      <c r="T2809" s="9">
        <f>IF(Q2809="당기",ABS(P2809)+ROW()/1000000000,"")</f>
        <v/>
      </c>
      <c r="U2809" s="9">
        <f>IF(Q2809="비교",ABS(P2809)+ROW()/1000000000,"")</f>
        <v/>
      </c>
      <c r="V2809" s="64">
        <f>IF($A2809="","",IF(COUNTIF(변동분석!$E$7:$E$506,O2809)&gt;0,"Y","N"))</f>
        <v/>
      </c>
      <c r="W2809" s="64">
        <f>IF($A2809="","",IFERROR(INDEX(계정매핑!$D$5:$D$504,MATCH($F2809&amp;"",계정매핑!$A$5:$A$504,0)),"미매핑"))</f>
        <v/>
      </c>
      <c r="X2809" s="9">
        <f>IF($A2809="","",$F2809&amp;"")</f>
        <v/>
      </c>
      <c r="Y2809" s="94">
        <f>IF($A2809="",0,IF(AE2809="직접",IF(AF2809="비귀속",$P2809,0),$P2809*(1-AG2809)*IFERROR(INDEX(계정대체기준!$F$20:$F$49,MATCH($N2809,계정대체기준!$A$20:$A$49,0)),1)))</f>
        <v/>
      </c>
      <c r="Z2809" s="94">
        <f>IF($A2809="",0,IF(AE2809="직접",IF(AF2809="신계약비",$P2809,0),$P2809*(1-AG2809)*IFERROR(INDEX(계정대체기준!$C$20:$C$49,MATCH($N2809,계정대체기준!$A$20:$A$49,0)),0)))</f>
        <v/>
      </c>
      <c r="AA2809" s="94">
        <f>IF($A2809="",0,IF(AE2809="직접",IF(OR(AF2809="유지비",AF2809="손해조사비"),$P2809,0),$P2809*(1-AG2809)*IFERROR(INDEX(계정대체기준!$D$20:$D$49,MATCH($N2809,계정대체기준!$A$20:$A$49,0)),0)))</f>
        <v/>
      </c>
      <c r="AB2809" s="94">
        <f>IF($A2809="",0,IF(AE2809="직접",IF(AF2809="수금비",$P2809,0),$P2809*(1-AG2809)*IFERROR(INDEX(계정대체기준!$E$20:$E$49,MATCH($N2809,계정대체기준!$A$20:$A$49,0)),0)))</f>
        <v/>
      </c>
      <c r="AC2809" s="9">
        <f>IF(AND($A2809&lt;&gt;"",M2809=설정!$C$20,Z2809&gt;0),Z2809+ROW()/1000000000,"")</f>
        <v/>
      </c>
      <c r="AD2809" s="94">
        <f>IF($A2809="",0,$P2809*AG2809)</f>
        <v/>
      </c>
      <c r="AE2809" s="64">
        <f>IF($A2809="","",IFERROR(INDEX(계정매핑!$E$5:$E$504,MATCH($F2809&amp;"",계정매핑!$A$5:$A$504,0))&amp;"","공통비"))</f>
        <v/>
      </c>
      <c r="AF2809" s="64">
        <f>IF($A2809="","",IF(AE2809="직접",IFERROR(INDEX(계정매핑!$F$5:$F$504,MATCH($F2809&amp;"",계정매핑!$A$5:$A$504,0))&amp;"","비귀속"),""))</f>
        <v/>
      </c>
      <c r="AG2809" s="96">
        <f>IF($A2809="",0,IF(AND(AE2809&lt;&gt;"직접",IFERROR(INDEX(계정매핑!$G$5:$G$504,MATCH($F2809&amp;"",계정매핑!$A$5:$A$504,0))&amp;"","")="유지비",COUNTIF(계정대체기준!$A$6:$A$15,$N2809)&gt;0),IFERROR(INDEX(계정대체기준!$E$6:$E$15,MATCH(VALUE($A2809&amp;""),계정대체기준!$D$6:$D$15,0)),0),0))</f>
        <v/>
      </c>
      <c r="AH2809" s="64">
        <f>IF($A2809="","",IF(AD2809=0,"",IF(OR(COUNTIF(계정대체기준!$A$77:$A$86,$N2809)&gt;0,ISNUMBER(MATCH($X2809,계정대체기준!$D$77:$D$86,0)),ISNUMBER(MATCH($F2809,계정대체기준!$D$77:$D$86,0))),"Y","N")))</f>
        <v/>
      </c>
    </row>
    <row r="2810">
      <c r="A2810" s="92" t="n">
        <v>2026</v>
      </c>
      <c r="B2810" s="92" t="n">
        <v>1</v>
      </c>
      <c r="C2810" s="92" t="inlineStr">
        <is>
          <t>5100000088</t>
        </is>
      </c>
      <c r="D2810" s="95" t="n">
        <v>46034</v>
      </c>
      <c r="E2810" s="92" t="inlineStr">
        <is>
          <t>KR</t>
        </is>
      </c>
      <c r="F2810" s="92" t="n">
        <v>63501000</v>
      </c>
      <c r="G2810" s="92" t="n">
        <v>1902</v>
      </c>
      <c r="H2810" s="93" t="n">
        <v>314936000</v>
      </c>
      <c r="I2810" s="92" t="inlineStr">
        <is>
          <t>1월 모집수수료 - (전속설계사)</t>
        </is>
      </c>
      <c r="J2810" s="92" t="inlineStr">
        <is>
          <t>V10021</t>
        </is>
      </c>
      <c r="K2810" s="92" t="inlineStr">
        <is>
          <t>(전속설계사)</t>
        </is>
      </c>
      <c r="M2810" s="9">
        <f>IF($A2810="","",VALUE($A2810&amp;"")*12+VALUE($B2810&amp;""))</f>
        <v/>
      </c>
      <c r="N2810" s="64">
        <f>IF($A2810="","",IFERROR(INDEX(부서매핑!$C$5:$C$504,MATCH($G2810&amp;"",부서매핑!$A$5:$A$504,0)),"미매핑"))</f>
        <v/>
      </c>
      <c r="O2810" s="9">
        <f>IF($A2810="","",N2810&amp;"|"&amp;$F2810)</f>
        <v/>
      </c>
      <c r="P2810" s="94">
        <f>IF($A2810="",0,$H2810*설정!$C$23)</f>
        <v/>
      </c>
      <c r="Q2810" s="64">
        <f>IF($A2810="","",IF(O2810&lt;&gt;원인분석!$C$9,"",IF(AND(M2810&gt;=원인분석!$C$10,M2810&lt;=원인분석!$C$11),"당기",IF(AND(M2810&gt;=원인분석!$C$12,M2810&lt;=원인분석!$C$13),"비교",""))))</f>
        <v/>
      </c>
      <c r="R2810" s="9">
        <f>IF(Q2810="","",$K2810&amp;"")</f>
        <v/>
      </c>
      <c r="S2810" s="9">
        <f>IF(Q2810="","",IF(MATCH(R2810,$R$5:$R$100000,0)=ROW()-4,ROW(),""))</f>
        <v/>
      </c>
      <c r="T2810" s="9">
        <f>IF(Q2810="당기",ABS(P2810)+ROW()/1000000000,"")</f>
        <v/>
      </c>
      <c r="U2810" s="9">
        <f>IF(Q2810="비교",ABS(P2810)+ROW()/1000000000,"")</f>
        <v/>
      </c>
      <c r="V2810" s="64">
        <f>IF($A2810="","",IF(COUNTIF(변동분석!$E$7:$E$506,O2810)&gt;0,"Y","N"))</f>
        <v/>
      </c>
      <c r="W2810" s="64">
        <f>IF($A2810="","",IFERROR(INDEX(계정매핑!$D$5:$D$504,MATCH($F2810&amp;"",계정매핑!$A$5:$A$504,0)),"미매핑"))</f>
        <v/>
      </c>
      <c r="X2810" s="9">
        <f>IF($A2810="","",$F2810&amp;"")</f>
        <v/>
      </c>
      <c r="Y2810" s="94">
        <f>IF($A2810="",0,IF(AE2810="직접",IF(AF2810="비귀속",$P2810,0),$P2810*(1-AG2810)*IFERROR(INDEX(계정대체기준!$F$20:$F$49,MATCH($N2810,계정대체기준!$A$20:$A$49,0)),1)))</f>
        <v/>
      </c>
      <c r="Z2810" s="94">
        <f>IF($A2810="",0,IF(AE2810="직접",IF(AF2810="신계약비",$P2810,0),$P2810*(1-AG2810)*IFERROR(INDEX(계정대체기준!$C$20:$C$49,MATCH($N2810,계정대체기준!$A$20:$A$49,0)),0)))</f>
        <v/>
      </c>
      <c r="AA2810" s="94">
        <f>IF($A2810="",0,IF(AE2810="직접",IF(OR(AF2810="유지비",AF2810="손해조사비"),$P2810,0),$P2810*(1-AG2810)*IFERROR(INDEX(계정대체기준!$D$20:$D$49,MATCH($N2810,계정대체기준!$A$20:$A$49,0)),0)))</f>
        <v/>
      </c>
      <c r="AB2810" s="94">
        <f>IF($A2810="",0,IF(AE2810="직접",IF(AF2810="수금비",$P2810,0),$P2810*(1-AG2810)*IFERROR(INDEX(계정대체기준!$E$20:$E$49,MATCH($N2810,계정대체기준!$A$20:$A$49,0)),0)))</f>
        <v/>
      </c>
      <c r="AC2810" s="9">
        <f>IF(AND($A2810&lt;&gt;"",M2810=설정!$C$20,Z2810&gt;0),Z2810+ROW()/1000000000,"")</f>
        <v/>
      </c>
      <c r="AD2810" s="94">
        <f>IF($A2810="",0,$P2810*AG2810)</f>
        <v/>
      </c>
      <c r="AE2810" s="64">
        <f>IF($A2810="","",IFERROR(INDEX(계정매핑!$E$5:$E$504,MATCH($F2810&amp;"",계정매핑!$A$5:$A$504,0))&amp;"","공통비"))</f>
        <v/>
      </c>
      <c r="AF2810" s="64">
        <f>IF($A2810="","",IF(AE2810="직접",IFERROR(INDEX(계정매핑!$F$5:$F$504,MATCH($F2810&amp;"",계정매핑!$A$5:$A$504,0))&amp;"","비귀속"),""))</f>
        <v/>
      </c>
      <c r="AG2810" s="96">
        <f>IF($A2810="",0,IF(AND(AE2810&lt;&gt;"직접",IFERROR(INDEX(계정매핑!$G$5:$G$504,MATCH($F2810&amp;"",계정매핑!$A$5:$A$504,0))&amp;"","")="유지비",COUNTIF(계정대체기준!$A$6:$A$15,$N2810)&gt;0),IFERROR(INDEX(계정대체기준!$E$6:$E$15,MATCH(VALUE($A2810&amp;""),계정대체기준!$D$6:$D$15,0)),0),0))</f>
        <v/>
      </c>
      <c r="AH2810" s="64">
        <f>IF($A2810="","",IF(AD2810=0,"",IF(OR(COUNTIF(계정대체기준!$A$77:$A$86,$N2810)&gt;0,ISNUMBER(MATCH($X2810,계정대체기준!$D$77:$D$86,0)),ISNUMBER(MATCH($F2810,계정대체기준!$D$77:$D$86,0))),"Y","N")))</f>
        <v/>
      </c>
    </row>
    <row r="2811">
      <c r="A2811" s="92" t="n">
        <v>2026</v>
      </c>
      <c r="B2811" s="92" t="n">
        <v>1</v>
      </c>
      <c r="C2811" s="92" t="inlineStr">
        <is>
          <t>5100000089</t>
        </is>
      </c>
      <c r="D2811" s="95" t="n">
        <v>46035</v>
      </c>
      <c r="E2811" s="92" t="inlineStr">
        <is>
          <t>KR</t>
        </is>
      </c>
      <c r="F2811" s="92" t="n">
        <v>62101000</v>
      </c>
      <c r="G2811" s="92" t="n">
        <v>1201</v>
      </c>
      <c r="H2811" s="93" t="n">
        <v>239000</v>
      </c>
      <c r="I2811" s="92" t="inlineStr">
        <is>
          <t>1월 국내출장 - M항공</t>
        </is>
      </c>
      <c r="J2811" s="92" t="inlineStr">
        <is>
          <t>V10001</t>
        </is>
      </c>
      <c r="K2811" s="92" t="inlineStr">
        <is>
          <t>M항공</t>
        </is>
      </c>
      <c r="M2811" s="9">
        <f>IF($A2811="","",VALUE($A2811&amp;"")*12+VALUE($B2811&amp;""))</f>
        <v/>
      </c>
      <c r="N2811" s="64">
        <f>IF($A2811="","",IFERROR(INDEX(부서매핑!$C$5:$C$504,MATCH($G2811&amp;"",부서매핑!$A$5:$A$504,0)),"미매핑"))</f>
        <v/>
      </c>
      <c r="O2811" s="9">
        <f>IF($A2811="","",N2811&amp;"|"&amp;$F2811)</f>
        <v/>
      </c>
      <c r="P2811" s="94">
        <f>IF($A2811="",0,$H2811*설정!$C$23)</f>
        <v/>
      </c>
      <c r="Q2811" s="64">
        <f>IF($A2811="","",IF(O2811&lt;&gt;원인분석!$C$9,"",IF(AND(M2811&gt;=원인분석!$C$10,M2811&lt;=원인분석!$C$11),"당기",IF(AND(M2811&gt;=원인분석!$C$12,M2811&lt;=원인분석!$C$13),"비교",""))))</f>
        <v/>
      </c>
      <c r="R2811" s="9">
        <f>IF(Q2811="","",$K2811&amp;"")</f>
        <v/>
      </c>
      <c r="S2811" s="9">
        <f>IF(Q2811="","",IF(MATCH(R2811,$R$5:$R$100000,0)=ROW()-4,ROW(),""))</f>
        <v/>
      </c>
      <c r="T2811" s="9">
        <f>IF(Q2811="당기",ABS(P2811)+ROW()/1000000000,"")</f>
        <v/>
      </c>
      <c r="U2811" s="9">
        <f>IF(Q2811="비교",ABS(P2811)+ROW()/1000000000,"")</f>
        <v/>
      </c>
      <c r="V2811" s="64">
        <f>IF($A2811="","",IF(COUNTIF(변동분석!$E$7:$E$506,O2811)&gt;0,"Y","N"))</f>
        <v/>
      </c>
      <c r="W2811" s="64">
        <f>IF($A2811="","",IFERROR(INDEX(계정매핑!$D$5:$D$504,MATCH($F2811&amp;"",계정매핑!$A$5:$A$504,0)),"미매핑"))</f>
        <v/>
      </c>
      <c r="X2811" s="9">
        <f>IF($A2811="","",$F2811&amp;"")</f>
        <v/>
      </c>
      <c r="Y2811" s="94">
        <f>IF($A2811="",0,IF(AE2811="직접",IF(AF2811="비귀속",$P2811,0),$P2811*(1-AG2811)*IFERROR(INDEX(계정대체기준!$F$20:$F$49,MATCH($N2811,계정대체기준!$A$20:$A$49,0)),1)))</f>
        <v/>
      </c>
      <c r="Z2811" s="94">
        <f>IF($A2811="",0,IF(AE2811="직접",IF(AF2811="신계약비",$P2811,0),$P2811*(1-AG2811)*IFERROR(INDEX(계정대체기준!$C$20:$C$49,MATCH($N2811,계정대체기준!$A$20:$A$49,0)),0)))</f>
        <v/>
      </c>
      <c r="AA2811" s="94">
        <f>IF($A2811="",0,IF(AE2811="직접",IF(OR(AF2811="유지비",AF2811="손해조사비"),$P2811,0),$P2811*(1-AG2811)*IFERROR(INDEX(계정대체기준!$D$20:$D$49,MATCH($N2811,계정대체기준!$A$20:$A$49,0)),0)))</f>
        <v/>
      </c>
      <c r="AB2811" s="94">
        <f>IF($A2811="",0,IF(AE2811="직접",IF(AF2811="수금비",$P2811,0),$P2811*(1-AG2811)*IFERROR(INDEX(계정대체기준!$E$20:$E$49,MATCH($N2811,계정대체기준!$A$20:$A$49,0)),0)))</f>
        <v/>
      </c>
      <c r="AC2811" s="9">
        <f>IF(AND($A2811&lt;&gt;"",M2811=설정!$C$20,Z2811&gt;0),Z2811+ROW()/1000000000,"")</f>
        <v/>
      </c>
      <c r="AD2811" s="94">
        <f>IF($A2811="",0,$P2811*AG2811)</f>
        <v/>
      </c>
      <c r="AE2811" s="64">
        <f>IF($A2811="","",IFERROR(INDEX(계정매핑!$E$5:$E$504,MATCH($F2811&amp;"",계정매핑!$A$5:$A$504,0))&amp;"","공통비"))</f>
        <v/>
      </c>
      <c r="AF2811" s="64">
        <f>IF($A2811="","",IF(AE2811="직접",IFERROR(INDEX(계정매핑!$F$5:$F$504,MATCH($F2811&amp;"",계정매핑!$A$5:$A$504,0))&amp;"","비귀속"),""))</f>
        <v/>
      </c>
      <c r="AG2811" s="96">
        <f>IF($A2811="",0,IF(AND(AE2811&lt;&gt;"직접",IFERROR(INDEX(계정매핑!$G$5:$G$504,MATCH($F2811&amp;"",계정매핑!$A$5:$A$504,0))&amp;"","")="유지비",COUNTIF(계정대체기준!$A$6:$A$15,$N2811)&gt;0),IFERROR(INDEX(계정대체기준!$E$6:$E$15,MATCH(VALUE($A2811&amp;""),계정대체기준!$D$6:$D$15,0)),0),0))</f>
        <v/>
      </c>
      <c r="AH2811" s="64">
        <f>IF($A2811="","",IF(AD2811=0,"",IF(OR(COUNTIF(계정대체기준!$A$77:$A$86,$N2811)&gt;0,ISNUMBER(MATCH($X2811,계정대체기준!$D$77:$D$86,0)),ISNUMBER(MATCH($F2811,계정대체기준!$D$77:$D$86,0))),"Y","N")))</f>
        <v/>
      </c>
    </row>
    <row r="2812">
      <c r="A2812" s="92" t="n">
        <v>2026</v>
      </c>
      <c r="B2812" s="92" t="n">
        <v>1</v>
      </c>
      <c r="C2812" s="92" t="inlineStr">
        <is>
          <t>5100000090</t>
        </is>
      </c>
      <c r="D2812" s="95" t="n">
        <v>46035</v>
      </c>
      <c r="E2812" s="92" t="inlineStr">
        <is>
          <t>KR</t>
        </is>
      </c>
      <c r="F2812" s="92" t="n">
        <v>62101000</v>
      </c>
      <c r="G2812" s="92" t="n">
        <v>1502</v>
      </c>
      <c r="H2812" s="93" t="n">
        <v>359000</v>
      </c>
      <c r="I2812" s="92" t="inlineStr">
        <is>
          <t>1월 국내출장 - M항공</t>
        </is>
      </c>
      <c r="J2812" s="92" t="inlineStr">
        <is>
          <t>V10001</t>
        </is>
      </c>
      <c r="K2812" s="92" t="inlineStr">
        <is>
          <t>M항공</t>
        </is>
      </c>
      <c r="M2812" s="9">
        <f>IF($A2812="","",VALUE($A2812&amp;"")*12+VALUE($B2812&amp;""))</f>
        <v/>
      </c>
      <c r="N2812" s="64">
        <f>IF($A2812="","",IFERROR(INDEX(부서매핑!$C$5:$C$504,MATCH($G2812&amp;"",부서매핑!$A$5:$A$504,0)),"미매핑"))</f>
        <v/>
      </c>
      <c r="O2812" s="9">
        <f>IF($A2812="","",N2812&amp;"|"&amp;$F2812)</f>
        <v/>
      </c>
      <c r="P2812" s="94">
        <f>IF($A2812="",0,$H2812*설정!$C$23)</f>
        <v/>
      </c>
      <c r="Q2812" s="64">
        <f>IF($A2812="","",IF(O2812&lt;&gt;원인분석!$C$9,"",IF(AND(M2812&gt;=원인분석!$C$10,M2812&lt;=원인분석!$C$11),"당기",IF(AND(M2812&gt;=원인분석!$C$12,M2812&lt;=원인분석!$C$13),"비교",""))))</f>
        <v/>
      </c>
      <c r="R2812" s="9">
        <f>IF(Q2812="","",$K2812&amp;"")</f>
        <v/>
      </c>
      <c r="S2812" s="9">
        <f>IF(Q2812="","",IF(MATCH(R2812,$R$5:$R$100000,0)=ROW()-4,ROW(),""))</f>
        <v/>
      </c>
      <c r="T2812" s="9">
        <f>IF(Q2812="당기",ABS(P2812)+ROW()/1000000000,"")</f>
        <v/>
      </c>
      <c r="U2812" s="9">
        <f>IF(Q2812="비교",ABS(P2812)+ROW()/1000000000,"")</f>
        <v/>
      </c>
      <c r="V2812" s="64">
        <f>IF($A2812="","",IF(COUNTIF(변동분석!$E$7:$E$506,O2812)&gt;0,"Y","N"))</f>
        <v/>
      </c>
      <c r="W2812" s="64">
        <f>IF($A2812="","",IFERROR(INDEX(계정매핑!$D$5:$D$504,MATCH($F2812&amp;"",계정매핑!$A$5:$A$504,0)),"미매핑"))</f>
        <v/>
      </c>
      <c r="X2812" s="9">
        <f>IF($A2812="","",$F2812&amp;"")</f>
        <v/>
      </c>
      <c r="Y2812" s="94">
        <f>IF($A2812="",0,IF(AE2812="직접",IF(AF2812="비귀속",$P2812,0),$P2812*(1-AG2812)*IFERROR(INDEX(계정대체기준!$F$20:$F$49,MATCH($N2812,계정대체기준!$A$20:$A$49,0)),1)))</f>
        <v/>
      </c>
      <c r="Z2812" s="94">
        <f>IF($A2812="",0,IF(AE2812="직접",IF(AF2812="신계약비",$P2812,0),$P2812*(1-AG2812)*IFERROR(INDEX(계정대체기준!$C$20:$C$49,MATCH($N2812,계정대체기준!$A$20:$A$49,0)),0)))</f>
        <v/>
      </c>
      <c r="AA2812" s="94">
        <f>IF($A2812="",0,IF(AE2812="직접",IF(OR(AF2812="유지비",AF2812="손해조사비"),$P2812,0),$P2812*(1-AG2812)*IFERROR(INDEX(계정대체기준!$D$20:$D$49,MATCH($N2812,계정대체기준!$A$20:$A$49,0)),0)))</f>
        <v/>
      </c>
      <c r="AB2812" s="94">
        <f>IF($A2812="",0,IF(AE2812="직접",IF(AF2812="수금비",$P2812,0),$P2812*(1-AG2812)*IFERROR(INDEX(계정대체기준!$E$20:$E$49,MATCH($N2812,계정대체기준!$A$20:$A$49,0)),0)))</f>
        <v/>
      </c>
      <c r="AC2812" s="9">
        <f>IF(AND($A2812&lt;&gt;"",M2812=설정!$C$20,Z2812&gt;0),Z2812+ROW()/1000000000,"")</f>
        <v/>
      </c>
      <c r="AD2812" s="94">
        <f>IF($A2812="",0,$P2812*AG2812)</f>
        <v/>
      </c>
      <c r="AE2812" s="64">
        <f>IF($A2812="","",IFERROR(INDEX(계정매핑!$E$5:$E$504,MATCH($F2812&amp;"",계정매핑!$A$5:$A$504,0))&amp;"","공통비"))</f>
        <v/>
      </c>
      <c r="AF2812" s="64">
        <f>IF($A2812="","",IF(AE2812="직접",IFERROR(INDEX(계정매핑!$F$5:$F$504,MATCH($F2812&amp;"",계정매핑!$A$5:$A$504,0))&amp;"","비귀속"),""))</f>
        <v/>
      </c>
      <c r="AG2812" s="96">
        <f>IF($A2812="",0,IF(AND(AE2812&lt;&gt;"직접",IFERROR(INDEX(계정매핑!$G$5:$G$504,MATCH($F2812&amp;"",계정매핑!$A$5:$A$504,0))&amp;"","")="유지비",COUNTIF(계정대체기준!$A$6:$A$15,$N2812)&gt;0),IFERROR(INDEX(계정대체기준!$E$6:$E$15,MATCH(VALUE($A2812&amp;""),계정대체기준!$D$6:$D$15,0)),0),0))</f>
        <v/>
      </c>
      <c r="AH2812" s="64">
        <f>IF($A2812="","",IF(AD2812=0,"",IF(OR(COUNTIF(계정대체기준!$A$77:$A$86,$N2812)&gt;0,ISNUMBER(MATCH($X2812,계정대체기준!$D$77:$D$86,0)),ISNUMBER(MATCH($F2812,계정대체기준!$D$77:$D$86,0))),"Y","N")))</f>
        <v/>
      </c>
    </row>
    <row r="2813">
      <c r="A2813" s="92" t="n">
        <v>2026</v>
      </c>
      <c r="B2813" s="92" t="n">
        <v>1</v>
      </c>
      <c r="C2813" s="92" t="inlineStr">
        <is>
          <t>5100000091</t>
        </is>
      </c>
      <c r="D2813" s="95" t="n">
        <v>46035</v>
      </c>
      <c r="E2813" s="92" t="inlineStr">
        <is>
          <t>KR</t>
        </is>
      </c>
      <c r="F2813" s="92" t="n">
        <v>62101000</v>
      </c>
      <c r="G2813" s="92" t="n">
        <v>1701</v>
      </c>
      <c r="H2813" s="93" t="n">
        <v>122000</v>
      </c>
      <c r="I2813" s="92" t="inlineStr">
        <is>
          <t>1월 국내출장 - L여행사</t>
        </is>
      </c>
      <c r="J2813" s="92" t="inlineStr">
        <is>
          <t>V10018</t>
        </is>
      </c>
      <c r="K2813" s="92" t="inlineStr">
        <is>
          <t>L여행사</t>
        </is>
      </c>
      <c r="M2813" s="9">
        <f>IF($A2813="","",VALUE($A2813&amp;"")*12+VALUE($B2813&amp;""))</f>
        <v/>
      </c>
      <c r="N2813" s="64">
        <f>IF($A2813="","",IFERROR(INDEX(부서매핑!$C$5:$C$504,MATCH($G2813&amp;"",부서매핑!$A$5:$A$504,0)),"미매핑"))</f>
        <v/>
      </c>
      <c r="O2813" s="9">
        <f>IF($A2813="","",N2813&amp;"|"&amp;$F2813)</f>
        <v/>
      </c>
      <c r="P2813" s="94">
        <f>IF($A2813="",0,$H2813*설정!$C$23)</f>
        <v/>
      </c>
      <c r="Q2813" s="64">
        <f>IF($A2813="","",IF(O2813&lt;&gt;원인분석!$C$9,"",IF(AND(M2813&gt;=원인분석!$C$10,M2813&lt;=원인분석!$C$11),"당기",IF(AND(M2813&gt;=원인분석!$C$12,M2813&lt;=원인분석!$C$13),"비교",""))))</f>
        <v/>
      </c>
      <c r="R2813" s="9">
        <f>IF(Q2813="","",$K2813&amp;"")</f>
        <v/>
      </c>
      <c r="S2813" s="9">
        <f>IF(Q2813="","",IF(MATCH(R2813,$R$5:$R$100000,0)=ROW()-4,ROW(),""))</f>
        <v/>
      </c>
      <c r="T2813" s="9">
        <f>IF(Q2813="당기",ABS(P2813)+ROW()/1000000000,"")</f>
        <v/>
      </c>
      <c r="U2813" s="9">
        <f>IF(Q2813="비교",ABS(P2813)+ROW()/1000000000,"")</f>
        <v/>
      </c>
      <c r="V2813" s="64">
        <f>IF($A2813="","",IF(COUNTIF(변동분석!$E$7:$E$506,O2813)&gt;0,"Y","N"))</f>
        <v/>
      </c>
      <c r="W2813" s="64">
        <f>IF($A2813="","",IFERROR(INDEX(계정매핑!$D$5:$D$504,MATCH($F2813&amp;"",계정매핑!$A$5:$A$504,0)),"미매핑"))</f>
        <v/>
      </c>
      <c r="X2813" s="9">
        <f>IF($A2813="","",$F2813&amp;"")</f>
        <v/>
      </c>
      <c r="Y2813" s="94">
        <f>IF($A2813="",0,IF(AE2813="직접",IF(AF2813="비귀속",$P2813,0),$P2813*(1-AG2813)*IFERROR(INDEX(계정대체기준!$F$20:$F$49,MATCH($N2813,계정대체기준!$A$20:$A$49,0)),1)))</f>
        <v/>
      </c>
      <c r="Z2813" s="94">
        <f>IF($A2813="",0,IF(AE2813="직접",IF(AF2813="신계약비",$P2813,0),$P2813*(1-AG2813)*IFERROR(INDEX(계정대체기준!$C$20:$C$49,MATCH($N2813,계정대체기준!$A$20:$A$49,0)),0)))</f>
        <v/>
      </c>
      <c r="AA2813" s="94">
        <f>IF($A2813="",0,IF(AE2813="직접",IF(OR(AF2813="유지비",AF2813="손해조사비"),$P2813,0),$P2813*(1-AG2813)*IFERROR(INDEX(계정대체기준!$D$20:$D$49,MATCH($N2813,계정대체기준!$A$20:$A$49,0)),0)))</f>
        <v/>
      </c>
      <c r="AB2813" s="94">
        <f>IF($A2813="",0,IF(AE2813="직접",IF(AF2813="수금비",$P2813,0),$P2813*(1-AG2813)*IFERROR(INDEX(계정대체기준!$E$20:$E$49,MATCH($N2813,계정대체기준!$A$20:$A$49,0)),0)))</f>
        <v/>
      </c>
      <c r="AC2813" s="9">
        <f>IF(AND($A2813&lt;&gt;"",M2813=설정!$C$20,Z2813&gt;0),Z2813+ROW()/1000000000,"")</f>
        <v/>
      </c>
      <c r="AD2813" s="94">
        <f>IF($A2813="",0,$P2813*AG2813)</f>
        <v/>
      </c>
      <c r="AE2813" s="64">
        <f>IF($A2813="","",IFERROR(INDEX(계정매핑!$E$5:$E$504,MATCH($F2813&amp;"",계정매핑!$A$5:$A$504,0))&amp;"","공통비"))</f>
        <v/>
      </c>
      <c r="AF2813" s="64">
        <f>IF($A2813="","",IF(AE2813="직접",IFERROR(INDEX(계정매핑!$F$5:$F$504,MATCH($F2813&amp;"",계정매핑!$A$5:$A$504,0))&amp;"","비귀속"),""))</f>
        <v/>
      </c>
      <c r="AG2813" s="96">
        <f>IF($A2813="",0,IF(AND(AE2813&lt;&gt;"직접",IFERROR(INDEX(계정매핑!$G$5:$G$504,MATCH($F2813&amp;"",계정매핑!$A$5:$A$504,0))&amp;"","")="유지비",COUNTIF(계정대체기준!$A$6:$A$15,$N2813)&gt;0),IFERROR(INDEX(계정대체기준!$E$6:$E$15,MATCH(VALUE($A2813&amp;""),계정대체기준!$D$6:$D$15,0)),0),0))</f>
        <v/>
      </c>
      <c r="AH2813" s="64">
        <f>IF($A2813="","",IF(AD2813=0,"",IF(OR(COUNTIF(계정대체기준!$A$77:$A$86,$N2813)&gt;0,ISNUMBER(MATCH($X2813,계정대체기준!$D$77:$D$86,0)),ISNUMBER(MATCH($F2813,계정대체기준!$D$77:$D$86,0))),"Y","N")))</f>
        <v/>
      </c>
    </row>
    <row r="2814">
      <c r="A2814" s="92" t="n">
        <v>2026</v>
      </c>
      <c r="B2814" s="92" t="n">
        <v>1</v>
      </c>
      <c r="C2814" s="92" t="inlineStr">
        <is>
          <t>5100000092</t>
        </is>
      </c>
      <c r="D2814" s="95" t="n">
        <v>46035</v>
      </c>
      <c r="E2814" s="92" t="inlineStr">
        <is>
          <t>KR</t>
        </is>
      </c>
      <c r="F2814" s="92" t="n">
        <v>62101000</v>
      </c>
      <c r="G2814" s="92" t="n">
        <v>1801</v>
      </c>
      <c r="H2814" s="93" t="n">
        <v>215000</v>
      </c>
      <c r="I2814" s="92" t="inlineStr">
        <is>
          <t>1월 국내출장 - M항공</t>
        </is>
      </c>
      <c r="J2814" s="92" t="inlineStr">
        <is>
          <t>V10001</t>
        </is>
      </c>
      <c r="K2814" s="92" t="inlineStr">
        <is>
          <t>M항공</t>
        </is>
      </c>
      <c r="M2814" s="9">
        <f>IF($A2814="","",VALUE($A2814&amp;"")*12+VALUE($B2814&amp;""))</f>
        <v/>
      </c>
      <c r="N2814" s="64">
        <f>IF($A2814="","",IFERROR(INDEX(부서매핑!$C$5:$C$504,MATCH($G2814&amp;"",부서매핑!$A$5:$A$504,0)),"미매핑"))</f>
        <v/>
      </c>
      <c r="O2814" s="9">
        <f>IF($A2814="","",N2814&amp;"|"&amp;$F2814)</f>
        <v/>
      </c>
      <c r="P2814" s="94">
        <f>IF($A2814="",0,$H2814*설정!$C$23)</f>
        <v/>
      </c>
      <c r="Q2814" s="64">
        <f>IF($A2814="","",IF(O2814&lt;&gt;원인분석!$C$9,"",IF(AND(M2814&gt;=원인분석!$C$10,M2814&lt;=원인분석!$C$11),"당기",IF(AND(M2814&gt;=원인분석!$C$12,M2814&lt;=원인분석!$C$13),"비교",""))))</f>
        <v/>
      </c>
      <c r="R2814" s="9">
        <f>IF(Q2814="","",$K2814&amp;"")</f>
        <v/>
      </c>
      <c r="S2814" s="9">
        <f>IF(Q2814="","",IF(MATCH(R2814,$R$5:$R$100000,0)=ROW()-4,ROW(),""))</f>
        <v/>
      </c>
      <c r="T2814" s="9">
        <f>IF(Q2814="당기",ABS(P2814)+ROW()/1000000000,"")</f>
        <v/>
      </c>
      <c r="U2814" s="9">
        <f>IF(Q2814="비교",ABS(P2814)+ROW()/1000000000,"")</f>
        <v/>
      </c>
      <c r="V2814" s="64">
        <f>IF($A2814="","",IF(COUNTIF(변동분석!$E$7:$E$506,O2814)&gt;0,"Y","N"))</f>
        <v/>
      </c>
      <c r="W2814" s="64">
        <f>IF($A2814="","",IFERROR(INDEX(계정매핑!$D$5:$D$504,MATCH($F2814&amp;"",계정매핑!$A$5:$A$504,0)),"미매핑"))</f>
        <v/>
      </c>
      <c r="X2814" s="9">
        <f>IF($A2814="","",$F2814&amp;"")</f>
        <v/>
      </c>
      <c r="Y2814" s="94">
        <f>IF($A2814="",0,IF(AE2814="직접",IF(AF2814="비귀속",$P2814,0),$P2814*(1-AG2814)*IFERROR(INDEX(계정대체기준!$F$20:$F$49,MATCH($N2814,계정대체기준!$A$20:$A$49,0)),1)))</f>
        <v/>
      </c>
      <c r="Z2814" s="94">
        <f>IF($A2814="",0,IF(AE2814="직접",IF(AF2814="신계약비",$P2814,0),$P2814*(1-AG2814)*IFERROR(INDEX(계정대체기준!$C$20:$C$49,MATCH($N2814,계정대체기준!$A$20:$A$49,0)),0)))</f>
        <v/>
      </c>
      <c r="AA2814" s="94">
        <f>IF($A2814="",0,IF(AE2814="직접",IF(OR(AF2814="유지비",AF2814="손해조사비"),$P2814,0),$P2814*(1-AG2814)*IFERROR(INDEX(계정대체기준!$D$20:$D$49,MATCH($N2814,계정대체기준!$A$20:$A$49,0)),0)))</f>
        <v/>
      </c>
      <c r="AB2814" s="94">
        <f>IF($A2814="",0,IF(AE2814="직접",IF(AF2814="수금비",$P2814,0),$P2814*(1-AG2814)*IFERROR(INDEX(계정대체기준!$E$20:$E$49,MATCH($N2814,계정대체기준!$A$20:$A$49,0)),0)))</f>
        <v/>
      </c>
      <c r="AC2814" s="9">
        <f>IF(AND($A2814&lt;&gt;"",M2814=설정!$C$20,Z2814&gt;0),Z2814+ROW()/1000000000,"")</f>
        <v/>
      </c>
      <c r="AD2814" s="94">
        <f>IF($A2814="",0,$P2814*AG2814)</f>
        <v/>
      </c>
      <c r="AE2814" s="64">
        <f>IF($A2814="","",IFERROR(INDEX(계정매핑!$E$5:$E$504,MATCH($F2814&amp;"",계정매핑!$A$5:$A$504,0))&amp;"","공통비"))</f>
        <v/>
      </c>
      <c r="AF2814" s="64">
        <f>IF($A2814="","",IF(AE2814="직접",IFERROR(INDEX(계정매핑!$F$5:$F$504,MATCH($F2814&amp;"",계정매핑!$A$5:$A$504,0))&amp;"","비귀속"),""))</f>
        <v/>
      </c>
      <c r="AG2814" s="96">
        <f>IF($A2814="",0,IF(AND(AE2814&lt;&gt;"직접",IFERROR(INDEX(계정매핑!$G$5:$G$504,MATCH($F2814&amp;"",계정매핑!$A$5:$A$504,0))&amp;"","")="유지비",COUNTIF(계정대체기준!$A$6:$A$15,$N2814)&gt;0),IFERROR(INDEX(계정대체기준!$E$6:$E$15,MATCH(VALUE($A2814&amp;""),계정대체기준!$D$6:$D$15,0)),0),0))</f>
        <v/>
      </c>
      <c r="AH2814" s="64">
        <f>IF($A2814="","",IF(AD2814=0,"",IF(OR(COUNTIF(계정대체기준!$A$77:$A$86,$N2814)&gt;0,ISNUMBER(MATCH($X2814,계정대체기준!$D$77:$D$86,0)),ISNUMBER(MATCH($F2814,계정대체기준!$D$77:$D$86,0))),"Y","N")))</f>
        <v/>
      </c>
    </row>
    <row r="2815">
      <c r="A2815" s="92" t="n">
        <v>2026</v>
      </c>
      <c r="B2815" s="92" t="n">
        <v>1</v>
      </c>
      <c r="C2815" s="92" t="inlineStr">
        <is>
          <t>5100000093</t>
        </is>
      </c>
      <c r="D2815" s="95" t="n">
        <v>46035</v>
      </c>
      <c r="E2815" s="92" t="inlineStr">
        <is>
          <t>KR</t>
        </is>
      </c>
      <c r="F2815" s="92" t="n">
        <v>62201000</v>
      </c>
      <c r="G2815" s="92" t="n">
        <v>1101</v>
      </c>
      <c r="H2815" s="93" t="n">
        <v>215000</v>
      </c>
      <c r="I2815" s="92" t="inlineStr">
        <is>
          <t>1월 통신요금 - P통신</t>
        </is>
      </c>
      <c r="J2815" s="92" t="inlineStr">
        <is>
          <t>V10014</t>
        </is>
      </c>
      <c r="K2815" s="92" t="inlineStr">
        <is>
          <t>P통신</t>
        </is>
      </c>
      <c r="M2815" s="9">
        <f>IF($A2815="","",VALUE($A2815&amp;"")*12+VALUE($B2815&amp;""))</f>
        <v/>
      </c>
      <c r="N2815" s="64">
        <f>IF($A2815="","",IFERROR(INDEX(부서매핑!$C$5:$C$504,MATCH($G2815&amp;"",부서매핑!$A$5:$A$504,0)),"미매핑"))</f>
        <v/>
      </c>
      <c r="O2815" s="9">
        <f>IF($A2815="","",N2815&amp;"|"&amp;$F2815)</f>
        <v/>
      </c>
      <c r="P2815" s="94">
        <f>IF($A2815="",0,$H2815*설정!$C$23)</f>
        <v/>
      </c>
      <c r="Q2815" s="64">
        <f>IF($A2815="","",IF(O2815&lt;&gt;원인분석!$C$9,"",IF(AND(M2815&gt;=원인분석!$C$10,M2815&lt;=원인분석!$C$11),"당기",IF(AND(M2815&gt;=원인분석!$C$12,M2815&lt;=원인분석!$C$13),"비교",""))))</f>
        <v/>
      </c>
      <c r="R2815" s="9">
        <f>IF(Q2815="","",$K2815&amp;"")</f>
        <v/>
      </c>
      <c r="S2815" s="9">
        <f>IF(Q2815="","",IF(MATCH(R2815,$R$5:$R$100000,0)=ROW()-4,ROW(),""))</f>
        <v/>
      </c>
      <c r="T2815" s="9">
        <f>IF(Q2815="당기",ABS(P2815)+ROW()/1000000000,"")</f>
        <v/>
      </c>
      <c r="U2815" s="9">
        <f>IF(Q2815="비교",ABS(P2815)+ROW()/1000000000,"")</f>
        <v/>
      </c>
      <c r="V2815" s="64">
        <f>IF($A2815="","",IF(COUNTIF(변동분석!$E$7:$E$506,O2815)&gt;0,"Y","N"))</f>
        <v/>
      </c>
      <c r="W2815" s="64">
        <f>IF($A2815="","",IFERROR(INDEX(계정매핑!$D$5:$D$504,MATCH($F2815&amp;"",계정매핑!$A$5:$A$504,0)),"미매핑"))</f>
        <v/>
      </c>
      <c r="X2815" s="9">
        <f>IF($A2815="","",$F2815&amp;"")</f>
        <v/>
      </c>
      <c r="Y2815" s="94">
        <f>IF($A2815="",0,IF(AE2815="직접",IF(AF2815="비귀속",$P2815,0),$P2815*(1-AG2815)*IFERROR(INDEX(계정대체기준!$F$20:$F$49,MATCH($N2815,계정대체기준!$A$20:$A$49,0)),1)))</f>
        <v/>
      </c>
      <c r="Z2815" s="94">
        <f>IF($A2815="",0,IF(AE2815="직접",IF(AF2815="신계약비",$P2815,0),$P2815*(1-AG2815)*IFERROR(INDEX(계정대체기준!$C$20:$C$49,MATCH($N2815,계정대체기준!$A$20:$A$49,0)),0)))</f>
        <v/>
      </c>
      <c r="AA2815" s="94">
        <f>IF($A2815="",0,IF(AE2815="직접",IF(OR(AF2815="유지비",AF2815="손해조사비"),$P2815,0),$P2815*(1-AG2815)*IFERROR(INDEX(계정대체기준!$D$20:$D$49,MATCH($N2815,계정대체기준!$A$20:$A$49,0)),0)))</f>
        <v/>
      </c>
      <c r="AB2815" s="94">
        <f>IF($A2815="",0,IF(AE2815="직접",IF(AF2815="수금비",$P2815,0),$P2815*(1-AG2815)*IFERROR(INDEX(계정대체기준!$E$20:$E$49,MATCH($N2815,계정대체기준!$A$20:$A$49,0)),0)))</f>
        <v/>
      </c>
      <c r="AC2815" s="9">
        <f>IF(AND($A2815&lt;&gt;"",M2815=설정!$C$20,Z2815&gt;0),Z2815+ROW()/1000000000,"")</f>
        <v/>
      </c>
      <c r="AD2815" s="94">
        <f>IF($A2815="",0,$P2815*AG2815)</f>
        <v/>
      </c>
      <c r="AE2815" s="64">
        <f>IF($A2815="","",IFERROR(INDEX(계정매핑!$E$5:$E$504,MATCH($F2815&amp;"",계정매핑!$A$5:$A$504,0))&amp;"","공통비"))</f>
        <v/>
      </c>
      <c r="AF2815" s="64">
        <f>IF($A2815="","",IF(AE2815="직접",IFERROR(INDEX(계정매핑!$F$5:$F$504,MATCH($F2815&amp;"",계정매핑!$A$5:$A$504,0))&amp;"","비귀속"),""))</f>
        <v/>
      </c>
      <c r="AG2815" s="96">
        <f>IF($A2815="",0,IF(AND(AE2815&lt;&gt;"직접",IFERROR(INDEX(계정매핑!$G$5:$G$504,MATCH($F2815&amp;"",계정매핑!$A$5:$A$504,0))&amp;"","")="유지비",COUNTIF(계정대체기준!$A$6:$A$15,$N2815)&gt;0),IFERROR(INDEX(계정대체기준!$E$6:$E$15,MATCH(VALUE($A2815&amp;""),계정대체기준!$D$6:$D$15,0)),0),0))</f>
        <v/>
      </c>
      <c r="AH2815" s="64">
        <f>IF($A2815="","",IF(AD2815=0,"",IF(OR(COUNTIF(계정대체기준!$A$77:$A$86,$N2815)&gt;0,ISNUMBER(MATCH($X2815,계정대체기준!$D$77:$D$86,0)),ISNUMBER(MATCH($F2815,계정대체기준!$D$77:$D$86,0))),"Y","N")))</f>
        <v/>
      </c>
    </row>
    <row r="2816">
      <c r="A2816" s="92" t="n">
        <v>2026</v>
      </c>
      <c r="B2816" s="92" t="n">
        <v>1</v>
      </c>
      <c r="C2816" s="92" t="inlineStr">
        <is>
          <t>5100000094</t>
        </is>
      </c>
      <c r="D2816" s="95" t="n">
        <v>46035</v>
      </c>
      <c r="E2816" s="92" t="inlineStr">
        <is>
          <t>KR</t>
        </is>
      </c>
      <c r="F2816" s="92" t="n">
        <v>62501000</v>
      </c>
      <c r="G2816" s="92" t="n">
        <v>1201</v>
      </c>
      <c r="H2816" s="93" t="n">
        <v>117000</v>
      </c>
      <c r="I2816" s="92" t="inlineStr">
        <is>
          <t>1월 회의 다과 - T케이터링</t>
        </is>
      </c>
      <c r="J2816" s="92" t="inlineStr">
        <is>
          <t>V10005</t>
        </is>
      </c>
      <c r="K2816" s="92" t="inlineStr">
        <is>
          <t>T케이터링</t>
        </is>
      </c>
      <c r="M2816" s="9">
        <f>IF($A2816="","",VALUE($A2816&amp;"")*12+VALUE($B2816&amp;""))</f>
        <v/>
      </c>
      <c r="N2816" s="64">
        <f>IF($A2816="","",IFERROR(INDEX(부서매핑!$C$5:$C$504,MATCH($G2816&amp;"",부서매핑!$A$5:$A$504,0)),"미매핑"))</f>
        <v/>
      </c>
      <c r="O2816" s="9">
        <f>IF($A2816="","",N2816&amp;"|"&amp;$F2816)</f>
        <v/>
      </c>
      <c r="P2816" s="94">
        <f>IF($A2816="",0,$H2816*설정!$C$23)</f>
        <v/>
      </c>
      <c r="Q2816" s="64">
        <f>IF($A2816="","",IF(O2816&lt;&gt;원인분석!$C$9,"",IF(AND(M2816&gt;=원인분석!$C$10,M2816&lt;=원인분석!$C$11),"당기",IF(AND(M2816&gt;=원인분석!$C$12,M2816&lt;=원인분석!$C$13),"비교",""))))</f>
        <v/>
      </c>
      <c r="R2816" s="9">
        <f>IF(Q2816="","",$K2816&amp;"")</f>
        <v/>
      </c>
      <c r="S2816" s="9">
        <f>IF(Q2816="","",IF(MATCH(R2816,$R$5:$R$100000,0)=ROW()-4,ROW(),""))</f>
        <v/>
      </c>
      <c r="T2816" s="9">
        <f>IF(Q2816="당기",ABS(P2816)+ROW()/1000000000,"")</f>
        <v/>
      </c>
      <c r="U2816" s="9">
        <f>IF(Q2816="비교",ABS(P2816)+ROW()/1000000000,"")</f>
        <v/>
      </c>
      <c r="V2816" s="64">
        <f>IF($A2816="","",IF(COUNTIF(변동분석!$E$7:$E$506,O2816)&gt;0,"Y","N"))</f>
        <v/>
      </c>
      <c r="W2816" s="64">
        <f>IF($A2816="","",IFERROR(INDEX(계정매핑!$D$5:$D$504,MATCH($F2816&amp;"",계정매핑!$A$5:$A$504,0)),"미매핑"))</f>
        <v/>
      </c>
      <c r="X2816" s="9">
        <f>IF($A2816="","",$F2816&amp;"")</f>
        <v/>
      </c>
      <c r="Y2816" s="94">
        <f>IF($A2816="",0,IF(AE2816="직접",IF(AF2816="비귀속",$P2816,0),$P2816*(1-AG2816)*IFERROR(INDEX(계정대체기준!$F$20:$F$49,MATCH($N2816,계정대체기준!$A$20:$A$49,0)),1)))</f>
        <v/>
      </c>
      <c r="Z2816" s="94">
        <f>IF($A2816="",0,IF(AE2816="직접",IF(AF2816="신계약비",$P2816,0),$P2816*(1-AG2816)*IFERROR(INDEX(계정대체기준!$C$20:$C$49,MATCH($N2816,계정대체기준!$A$20:$A$49,0)),0)))</f>
        <v/>
      </c>
      <c r="AA2816" s="94">
        <f>IF($A2816="",0,IF(AE2816="직접",IF(OR(AF2816="유지비",AF2816="손해조사비"),$P2816,0),$P2816*(1-AG2816)*IFERROR(INDEX(계정대체기준!$D$20:$D$49,MATCH($N2816,계정대체기준!$A$20:$A$49,0)),0)))</f>
        <v/>
      </c>
      <c r="AB2816" s="94">
        <f>IF($A2816="",0,IF(AE2816="직접",IF(AF2816="수금비",$P2816,0),$P2816*(1-AG2816)*IFERROR(INDEX(계정대체기준!$E$20:$E$49,MATCH($N2816,계정대체기준!$A$20:$A$49,0)),0)))</f>
        <v/>
      </c>
      <c r="AC2816" s="9">
        <f>IF(AND($A2816&lt;&gt;"",M2816=설정!$C$20,Z2816&gt;0),Z2816+ROW()/1000000000,"")</f>
        <v/>
      </c>
      <c r="AD2816" s="94">
        <f>IF($A2816="",0,$P2816*AG2816)</f>
        <v/>
      </c>
      <c r="AE2816" s="64">
        <f>IF($A2816="","",IFERROR(INDEX(계정매핑!$E$5:$E$504,MATCH($F2816&amp;"",계정매핑!$A$5:$A$504,0))&amp;"","공통비"))</f>
        <v/>
      </c>
      <c r="AF2816" s="64">
        <f>IF($A2816="","",IF(AE2816="직접",IFERROR(INDEX(계정매핑!$F$5:$F$504,MATCH($F2816&amp;"",계정매핑!$A$5:$A$504,0))&amp;"","비귀속"),""))</f>
        <v/>
      </c>
      <c r="AG2816" s="96">
        <f>IF($A2816="",0,IF(AND(AE2816&lt;&gt;"직접",IFERROR(INDEX(계정매핑!$G$5:$G$504,MATCH($F2816&amp;"",계정매핑!$A$5:$A$504,0))&amp;"","")="유지비",COUNTIF(계정대체기준!$A$6:$A$15,$N2816)&gt;0),IFERROR(INDEX(계정대체기준!$E$6:$E$15,MATCH(VALUE($A2816&amp;""),계정대체기준!$D$6:$D$15,0)),0),0))</f>
        <v/>
      </c>
      <c r="AH2816" s="64">
        <f>IF($A2816="","",IF(AD2816=0,"",IF(OR(COUNTIF(계정대체기준!$A$77:$A$86,$N2816)&gt;0,ISNUMBER(MATCH($X2816,계정대체기준!$D$77:$D$86,0)),ISNUMBER(MATCH($F2816,계정대체기준!$D$77:$D$86,0))),"Y","N")))</f>
        <v/>
      </c>
    </row>
    <row r="2817">
      <c r="A2817" s="92" t="n">
        <v>2026</v>
      </c>
      <c r="B2817" s="92" t="n">
        <v>1</v>
      </c>
      <c r="C2817" s="92" t="inlineStr">
        <is>
          <t>5100000095</t>
        </is>
      </c>
      <c r="D2817" s="95" t="n">
        <v>46035</v>
      </c>
      <c r="E2817" s="92" t="inlineStr">
        <is>
          <t>KR</t>
        </is>
      </c>
      <c r="F2817" s="92" t="n">
        <v>62501000</v>
      </c>
      <c r="G2817" s="92" t="n">
        <v>1701</v>
      </c>
      <c r="H2817" s="93" t="n">
        <v>167000</v>
      </c>
      <c r="I2817" s="92" t="inlineStr">
        <is>
          <t>1월 회의 다과 - (법인카드)</t>
        </is>
      </c>
      <c r="J2817" s="92" t="inlineStr">
        <is>
          <t>V10010</t>
        </is>
      </c>
      <c r="K2817" s="92" t="inlineStr">
        <is>
          <t>(법인카드)</t>
        </is>
      </c>
      <c r="M2817" s="9">
        <f>IF($A2817="","",VALUE($A2817&amp;"")*12+VALUE($B2817&amp;""))</f>
        <v/>
      </c>
      <c r="N2817" s="64">
        <f>IF($A2817="","",IFERROR(INDEX(부서매핑!$C$5:$C$504,MATCH($G2817&amp;"",부서매핑!$A$5:$A$504,0)),"미매핑"))</f>
        <v/>
      </c>
      <c r="O2817" s="9">
        <f>IF($A2817="","",N2817&amp;"|"&amp;$F2817)</f>
        <v/>
      </c>
      <c r="P2817" s="94">
        <f>IF($A2817="",0,$H2817*설정!$C$23)</f>
        <v/>
      </c>
      <c r="Q2817" s="64">
        <f>IF($A2817="","",IF(O2817&lt;&gt;원인분석!$C$9,"",IF(AND(M2817&gt;=원인분석!$C$10,M2817&lt;=원인분석!$C$11),"당기",IF(AND(M2817&gt;=원인분석!$C$12,M2817&lt;=원인분석!$C$13),"비교",""))))</f>
        <v/>
      </c>
      <c r="R2817" s="9">
        <f>IF(Q2817="","",$K2817&amp;"")</f>
        <v/>
      </c>
      <c r="S2817" s="9">
        <f>IF(Q2817="","",IF(MATCH(R2817,$R$5:$R$100000,0)=ROW()-4,ROW(),""))</f>
        <v/>
      </c>
      <c r="T2817" s="9">
        <f>IF(Q2817="당기",ABS(P2817)+ROW()/1000000000,"")</f>
        <v/>
      </c>
      <c r="U2817" s="9">
        <f>IF(Q2817="비교",ABS(P2817)+ROW()/1000000000,"")</f>
        <v/>
      </c>
      <c r="V2817" s="64">
        <f>IF($A2817="","",IF(COUNTIF(변동분석!$E$7:$E$506,O2817)&gt;0,"Y","N"))</f>
        <v/>
      </c>
      <c r="W2817" s="64">
        <f>IF($A2817="","",IFERROR(INDEX(계정매핑!$D$5:$D$504,MATCH($F2817&amp;"",계정매핑!$A$5:$A$504,0)),"미매핑"))</f>
        <v/>
      </c>
      <c r="X2817" s="9">
        <f>IF($A2817="","",$F2817&amp;"")</f>
        <v/>
      </c>
      <c r="Y2817" s="94">
        <f>IF($A2817="",0,IF(AE2817="직접",IF(AF2817="비귀속",$P2817,0),$P2817*(1-AG2817)*IFERROR(INDEX(계정대체기준!$F$20:$F$49,MATCH($N2817,계정대체기준!$A$20:$A$49,0)),1)))</f>
        <v/>
      </c>
      <c r="Z2817" s="94">
        <f>IF($A2817="",0,IF(AE2817="직접",IF(AF2817="신계약비",$P2817,0),$P2817*(1-AG2817)*IFERROR(INDEX(계정대체기준!$C$20:$C$49,MATCH($N2817,계정대체기준!$A$20:$A$49,0)),0)))</f>
        <v/>
      </c>
      <c r="AA2817" s="94">
        <f>IF($A2817="",0,IF(AE2817="직접",IF(OR(AF2817="유지비",AF2817="손해조사비"),$P2817,0),$P2817*(1-AG2817)*IFERROR(INDEX(계정대체기준!$D$20:$D$49,MATCH($N2817,계정대체기준!$A$20:$A$49,0)),0)))</f>
        <v/>
      </c>
      <c r="AB2817" s="94">
        <f>IF($A2817="",0,IF(AE2817="직접",IF(AF2817="수금비",$P2817,0),$P2817*(1-AG2817)*IFERROR(INDEX(계정대체기준!$E$20:$E$49,MATCH($N2817,계정대체기준!$A$20:$A$49,0)),0)))</f>
        <v/>
      </c>
      <c r="AC2817" s="9">
        <f>IF(AND($A2817&lt;&gt;"",M2817=설정!$C$20,Z2817&gt;0),Z2817+ROW()/1000000000,"")</f>
        <v/>
      </c>
      <c r="AD2817" s="94">
        <f>IF($A2817="",0,$P2817*AG2817)</f>
        <v/>
      </c>
      <c r="AE2817" s="64">
        <f>IF($A2817="","",IFERROR(INDEX(계정매핑!$E$5:$E$504,MATCH($F2817&amp;"",계정매핑!$A$5:$A$504,0))&amp;"","공통비"))</f>
        <v/>
      </c>
      <c r="AF2817" s="64">
        <f>IF($A2817="","",IF(AE2817="직접",IFERROR(INDEX(계정매핑!$F$5:$F$504,MATCH($F2817&amp;"",계정매핑!$A$5:$A$504,0))&amp;"","비귀속"),""))</f>
        <v/>
      </c>
      <c r="AG2817" s="96">
        <f>IF($A2817="",0,IF(AND(AE2817&lt;&gt;"직접",IFERROR(INDEX(계정매핑!$G$5:$G$504,MATCH($F2817&amp;"",계정매핑!$A$5:$A$504,0))&amp;"","")="유지비",COUNTIF(계정대체기준!$A$6:$A$15,$N2817)&gt;0),IFERROR(INDEX(계정대체기준!$E$6:$E$15,MATCH(VALUE($A2817&amp;""),계정대체기준!$D$6:$D$15,0)),0),0))</f>
        <v/>
      </c>
      <c r="AH2817" s="64">
        <f>IF($A2817="","",IF(AD2817=0,"",IF(OR(COUNTIF(계정대체기준!$A$77:$A$86,$N2817)&gt;0,ISNUMBER(MATCH($X2817,계정대체기준!$D$77:$D$86,0)),ISNUMBER(MATCH($F2817,계정대체기준!$D$77:$D$86,0))),"Y","N")))</f>
        <v/>
      </c>
    </row>
    <row r="2818">
      <c r="A2818" s="92" t="n">
        <v>2026</v>
      </c>
      <c r="B2818" s="92" t="n">
        <v>1</v>
      </c>
      <c r="C2818" s="92" t="inlineStr">
        <is>
          <t>5100000096</t>
        </is>
      </c>
      <c r="D2818" s="95" t="n">
        <v>46035</v>
      </c>
      <c r="E2818" s="92" t="inlineStr">
        <is>
          <t>KR</t>
        </is>
      </c>
      <c r="F2818" s="92" t="n">
        <v>63001000</v>
      </c>
      <c r="G2818" s="92" t="n">
        <v>1951</v>
      </c>
      <c r="H2818" s="93" t="n">
        <v>2900000</v>
      </c>
      <c r="I2818" s="92" t="inlineStr">
        <is>
          <t>1월 SW 유지보수 - Y소프트</t>
        </is>
      </c>
      <c r="J2818" s="92" t="inlineStr">
        <is>
          <t>V10017</t>
        </is>
      </c>
      <c r="K2818" s="92" t="inlineStr">
        <is>
          <t>Y소프트</t>
        </is>
      </c>
      <c r="M2818" s="9">
        <f>IF($A2818="","",VALUE($A2818&amp;"")*12+VALUE($B2818&amp;""))</f>
        <v/>
      </c>
      <c r="N2818" s="64">
        <f>IF($A2818="","",IFERROR(INDEX(부서매핑!$C$5:$C$504,MATCH($G2818&amp;"",부서매핑!$A$5:$A$504,0)),"미매핑"))</f>
        <v/>
      </c>
      <c r="O2818" s="9">
        <f>IF($A2818="","",N2818&amp;"|"&amp;$F2818)</f>
        <v/>
      </c>
      <c r="P2818" s="94">
        <f>IF($A2818="",0,$H2818*설정!$C$23)</f>
        <v/>
      </c>
      <c r="Q2818" s="64">
        <f>IF($A2818="","",IF(O2818&lt;&gt;원인분석!$C$9,"",IF(AND(M2818&gt;=원인분석!$C$10,M2818&lt;=원인분석!$C$11),"당기",IF(AND(M2818&gt;=원인분석!$C$12,M2818&lt;=원인분석!$C$13),"비교",""))))</f>
        <v/>
      </c>
      <c r="R2818" s="9">
        <f>IF(Q2818="","",$K2818&amp;"")</f>
        <v/>
      </c>
      <c r="S2818" s="9">
        <f>IF(Q2818="","",IF(MATCH(R2818,$R$5:$R$100000,0)=ROW()-4,ROW(),""))</f>
        <v/>
      </c>
      <c r="T2818" s="9">
        <f>IF(Q2818="당기",ABS(P2818)+ROW()/1000000000,"")</f>
        <v/>
      </c>
      <c r="U2818" s="9">
        <f>IF(Q2818="비교",ABS(P2818)+ROW()/1000000000,"")</f>
        <v/>
      </c>
      <c r="V2818" s="64">
        <f>IF($A2818="","",IF(COUNTIF(변동분석!$E$7:$E$506,O2818)&gt;0,"Y","N"))</f>
        <v/>
      </c>
      <c r="W2818" s="64">
        <f>IF($A2818="","",IFERROR(INDEX(계정매핑!$D$5:$D$504,MATCH($F2818&amp;"",계정매핑!$A$5:$A$504,0)),"미매핑"))</f>
        <v/>
      </c>
      <c r="X2818" s="9">
        <f>IF($A2818="","",$F2818&amp;"")</f>
        <v/>
      </c>
      <c r="Y2818" s="94">
        <f>IF($A2818="",0,IF(AE2818="직접",IF(AF2818="비귀속",$P2818,0),$P2818*(1-AG2818)*IFERROR(INDEX(계정대체기준!$F$20:$F$49,MATCH($N2818,계정대체기준!$A$20:$A$49,0)),1)))</f>
        <v/>
      </c>
      <c r="Z2818" s="94">
        <f>IF($A2818="",0,IF(AE2818="직접",IF(AF2818="신계약비",$P2818,0),$P2818*(1-AG2818)*IFERROR(INDEX(계정대체기준!$C$20:$C$49,MATCH($N2818,계정대체기준!$A$20:$A$49,0)),0)))</f>
        <v/>
      </c>
      <c r="AA2818" s="94">
        <f>IF($A2818="",0,IF(AE2818="직접",IF(OR(AF2818="유지비",AF2818="손해조사비"),$P2818,0),$P2818*(1-AG2818)*IFERROR(INDEX(계정대체기준!$D$20:$D$49,MATCH($N2818,계정대체기준!$A$20:$A$49,0)),0)))</f>
        <v/>
      </c>
      <c r="AB2818" s="94">
        <f>IF($A2818="",0,IF(AE2818="직접",IF(AF2818="수금비",$P2818,0),$P2818*(1-AG2818)*IFERROR(INDEX(계정대체기준!$E$20:$E$49,MATCH($N2818,계정대체기준!$A$20:$A$49,0)),0)))</f>
        <v/>
      </c>
      <c r="AC2818" s="9">
        <f>IF(AND($A2818&lt;&gt;"",M2818=설정!$C$20,Z2818&gt;0),Z2818+ROW()/1000000000,"")</f>
        <v/>
      </c>
      <c r="AD2818" s="94">
        <f>IF($A2818="",0,$P2818*AG2818)</f>
        <v/>
      </c>
      <c r="AE2818" s="64">
        <f>IF($A2818="","",IFERROR(INDEX(계정매핑!$E$5:$E$504,MATCH($F2818&amp;"",계정매핑!$A$5:$A$504,0))&amp;"","공통비"))</f>
        <v/>
      </c>
      <c r="AF2818" s="64">
        <f>IF($A2818="","",IF(AE2818="직접",IFERROR(INDEX(계정매핑!$F$5:$F$504,MATCH($F2818&amp;"",계정매핑!$A$5:$A$504,0))&amp;"","비귀속"),""))</f>
        <v/>
      </c>
      <c r="AG2818" s="96">
        <f>IF($A2818="",0,IF(AND(AE2818&lt;&gt;"직접",IFERROR(INDEX(계정매핑!$G$5:$G$504,MATCH($F2818&amp;"",계정매핑!$A$5:$A$504,0))&amp;"","")="유지비",COUNTIF(계정대체기준!$A$6:$A$15,$N2818)&gt;0),IFERROR(INDEX(계정대체기준!$E$6:$E$15,MATCH(VALUE($A2818&amp;""),계정대체기준!$D$6:$D$15,0)),0),0))</f>
        <v/>
      </c>
      <c r="AH2818" s="64">
        <f>IF($A2818="","",IF(AD2818=0,"",IF(OR(COUNTIF(계정대체기준!$A$77:$A$86,$N2818)&gt;0,ISNUMBER(MATCH($X2818,계정대체기준!$D$77:$D$86,0)),ISNUMBER(MATCH($F2818,계정대체기준!$D$77:$D$86,0))),"Y","N")))</f>
        <v/>
      </c>
    </row>
    <row r="2819">
      <c r="A2819" s="92" t="n">
        <v>2026</v>
      </c>
      <c r="B2819" s="92" t="n">
        <v>1</v>
      </c>
      <c r="C2819" s="92" t="inlineStr">
        <is>
          <t>5100000097</t>
        </is>
      </c>
      <c r="D2819" s="95" t="n">
        <v>46036</v>
      </c>
      <c r="E2819" s="92" t="inlineStr">
        <is>
          <t>KR</t>
        </is>
      </c>
      <c r="F2819" s="92" t="n">
        <v>62101000</v>
      </c>
      <c r="G2819" s="92" t="n">
        <v>1401</v>
      </c>
      <c r="H2819" s="93" t="n">
        <v>418000</v>
      </c>
      <c r="I2819" s="92" t="inlineStr">
        <is>
          <t>1월 국내출장 - M항공</t>
        </is>
      </c>
      <c r="J2819" s="92" t="inlineStr">
        <is>
          <t>V10001</t>
        </is>
      </c>
      <c r="K2819" s="92" t="inlineStr">
        <is>
          <t>M항공</t>
        </is>
      </c>
      <c r="M2819" s="9">
        <f>IF($A2819="","",VALUE($A2819&amp;"")*12+VALUE($B2819&amp;""))</f>
        <v/>
      </c>
      <c r="N2819" s="64">
        <f>IF($A2819="","",IFERROR(INDEX(부서매핑!$C$5:$C$504,MATCH($G2819&amp;"",부서매핑!$A$5:$A$504,0)),"미매핑"))</f>
        <v/>
      </c>
      <c r="O2819" s="9">
        <f>IF($A2819="","",N2819&amp;"|"&amp;$F2819)</f>
        <v/>
      </c>
      <c r="P2819" s="94">
        <f>IF($A2819="",0,$H2819*설정!$C$23)</f>
        <v/>
      </c>
      <c r="Q2819" s="64">
        <f>IF($A2819="","",IF(O2819&lt;&gt;원인분석!$C$9,"",IF(AND(M2819&gt;=원인분석!$C$10,M2819&lt;=원인분석!$C$11),"당기",IF(AND(M2819&gt;=원인분석!$C$12,M2819&lt;=원인분석!$C$13),"비교",""))))</f>
        <v/>
      </c>
      <c r="R2819" s="9">
        <f>IF(Q2819="","",$K2819&amp;"")</f>
        <v/>
      </c>
      <c r="S2819" s="9">
        <f>IF(Q2819="","",IF(MATCH(R2819,$R$5:$R$100000,0)=ROW()-4,ROW(),""))</f>
        <v/>
      </c>
      <c r="T2819" s="9">
        <f>IF(Q2819="당기",ABS(P2819)+ROW()/1000000000,"")</f>
        <v/>
      </c>
      <c r="U2819" s="9">
        <f>IF(Q2819="비교",ABS(P2819)+ROW()/1000000000,"")</f>
        <v/>
      </c>
      <c r="V2819" s="64">
        <f>IF($A2819="","",IF(COUNTIF(변동분석!$E$7:$E$506,O2819)&gt;0,"Y","N"))</f>
        <v/>
      </c>
      <c r="W2819" s="64">
        <f>IF($A2819="","",IFERROR(INDEX(계정매핑!$D$5:$D$504,MATCH($F2819&amp;"",계정매핑!$A$5:$A$504,0)),"미매핑"))</f>
        <v/>
      </c>
      <c r="X2819" s="9">
        <f>IF($A2819="","",$F2819&amp;"")</f>
        <v/>
      </c>
      <c r="Y2819" s="94">
        <f>IF($A2819="",0,IF(AE2819="직접",IF(AF2819="비귀속",$P2819,0),$P2819*(1-AG2819)*IFERROR(INDEX(계정대체기준!$F$20:$F$49,MATCH($N2819,계정대체기준!$A$20:$A$49,0)),1)))</f>
        <v/>
      </c>
      <c r="Z2819" s="94">
        <f>IF($A2819="",0,IF(AE2819="직접",IF(AF2819="신계약비",$P2819,0),$P2819*(1-AG2819)*IFERROR(INDEX(계정대체기준!$C$20:$C$49,MATCH($N2819,계정대체기준!$A$20:$A$49,0)),0)))</f>
        <v/>
      </c>
      <c r="AA2819" s="94">
        <f>IF($A2819="",0,IF(AE2819="직접",IF(OR(AF2819="유지비",AF2819="손해조사비"),$P2819,0),$P2819*(1-AG2819)*IFERROR(INDEX(계정대체기준!$D$20:$D$49,MATCH($N2819,계정대체기준!$A$20:$A$49,0)),0)))</f>
        <v/>
      </c>
      <c r="AB2819" s="94">
        <f>IF($A2819="",0,IF(AE2819="직접",IF(AF2819="수금비",$P2819,0),$P2819*(1-AG2819)*IFERROR(INDEX(계정대체기준!$E$20:$E$49,MATCH($N2819,계정대체기준!$A$20:$A$49,0)),0)))</f>
        <v/>
      </c>
      <c r="AC2819" s="9">
        <f>IF(AND($A2819&lt;&gt;"",M2819=설정!$C$20,Z2819&gt;0),Z2819+ROW()/1000000000,"")</f>
        <v/>
      </c>
      <c r="AD2819" s="94">
        <f>IF($A2819="",0,$P2819*AG2819)</f>
        <v/>
      </c>
      <c r="AE2819" s="64">
        <f>IF($A2819="","",IFERROR(INDEX(계정매핑!$E$5:$E$504,MATCH($F2819&amp;"",계정매핑!$A$5:$A$504,0))&amp;"","공통비"))</f>
        <v/>
      </c>
      <c r="AF2819" s="64">
        <f>IF($A2819="","",IF(AE2819="직접",IFERROR(INDEX(계정매핑!$F$5:$F$504,MATCH($F2819&amp;"",계정매핑!$A$5:$A$504,0))&amp;"","비귀속"),""))</f>
        <v/>
      </c>
      <c r="AG2819" s="96">
        <f>IF($A2819="",0,IF(AND(AE2819&lt;&gt;"직접",IFERROR(INDEX(계정매핑!$G$5:$G$504,MATCH($F2819&amp;"",계정매핑!$A$5:$A$504,0))&amp;"","")="유지비",COUNTIF(계정대체기준!$A$6:$A$15,$N2819)&gt;0),IFERROR(INDEX(계정대체기준!$E$6:$E$15,MATCH(VALUE($A2819&amp;""),계정대체기준!$D$6:$D$15,0)),0),0))</f>
        <v/>
      </c>
      <c r="AH2819" s="64">
        <f>IF($A2819="","",IF(AD2819=0,"",IF(OR(COUNTIF(계정대체기준!$A$77:$A$86,$N2819)&gt;0,ISNUMBER(MATCH($X2819,계정대체기준!$D$77:$D$86,0)),ISNUMBER(MATCH($F2819,계정대체기준!$D$77:$D$86,0))),"Y","N")))</f>
        <v/>
      </c>
    </row>
    <row r="2820">
      <c r="A2820" s="92" t="n">
        <v>2026</v>
      </c>
      <c r="B2820" s="92" t="n">
        <v>1</v>
      </c>
      <c r="C2820" s="92" t="inlineStr">
        <is>
          <t>5100000098</t>
        </is>
      </c>
      <c r="D2820" s="95" t="n">
        <v>46036</v>
      </c>
      <c r="E2820" s="92" t="inlineStr">
        <is>
          <t>KR</t>
        </is>
      </c>
      <c r="F2820" s="92" t="n">
        <v>62101000</v>
      </c>
      <c r="G2820" s="92" t="n">
        <v>1401</v>
      </c>
      <c r="H2820" s="93" t="n">
        <v>281000</v>
      </c>
      <c r="I2820" s="92" t="inlineStr">
        <is>
          <t>1월 국내출장 - (법인카드)</t>
        </is>
      </c>
      <c r="J2820" s="92" t="inlineStr">
        <is>
          <t>V10010</t>
        </is>
      </c>
      <c r="K2820" s="92" t="inlineStr">
        <is>
          <t>(법인카드)</t>
        </is>
      </c>
      <c r="M2820" s="9">
        <f>IF($A2820="","",VALUE($A2820&amp;"")*12+VALUE($B2820&amp;""))</f>
        <v/>
      </c>
      <c r="N2820" s="64">
        <f>IF($A2820="","",IFERROR(INDEX(부서매핑!$C$5:$C$504,MATCH($G2820&amp;"",부서매핑!$A$5:$A$504,0)),"미매핑"))</f>
        <v/>
      </c>
      <c r="O2820" s="9">
        <f>IF($A2820="","",N2820&amp;"|"&amp;$F2820)</f>
        <v/>
      </c>
      <c r="P2820" s="94">
        <f>IF($A2820="",0,$H2820*설정!$C$23)</f>
        <v/>
      </c>
      <c r="Q2820" s="64">
        <f>IF($A2820="","",IF(O2820&lt;&gt;원인분석!$C$9,"",IF(AND(M2820&gt;=원인분석!$C$10,M2820&lt;=원인분석!$C$11),"당기",IF(AND(M2820&gt;=원인분석!$C$12,M2820&lt;=원인분석!$C$13),"비교",""))))</f>
        <v/>
      </c>
      <c r="R2820" s="9">
        <f>IF(Q2820="","",$K2820&amp;"")</f>
        <v/>
      </c>
      <c r="S2820" s="9">
        <f>IF(Q2820="","",IF(MATCH(R2820,$R$5:$R$100000,0)=ROW()-4,ROW(),""))</f>
        <v/>
      </c>
      <c r="T2820" s="9">
        <f>IF(Q2820="당기",ABS(P2820)+ROW()/1000000000,"")</f>
        <v/>
      </c>
      <c r="U2820" s="9">
        <f>IF(Q2820="비교",ABS(P2820)+ROW()/1000000000,"")</f>
        <v/>
      </c>
      <c r="V2820" s="64">
        <f>IF($A2820="","",IF(COUNTIF(변동분석!$E$7:$E$506,O2820)&gt;0,"Y","N"))</f>
        <v/>
      </c>
      <c r="W2820" s="64">
        <f>IF($A2820="","",IFERROR(INDEX(계정매핑!$D$5:$D$504,MATCH($F2820&amp;"",계정매핑!$A$5:$A$504,0)),"미매핑"))</f>
        <v/>
      </c>
      <c r="X2820" s="9">
        <f>IF($A2820="","",$F2820&amp;"")</f>
        <v/>
      </c>
      <c r="Y2820" s="94">
        <f>IF($A2820="",0,IF(AE2820="직접",IF(AF2820="비귀속",$P2820,0),$P2820*(1-AG2820)*IFERROR(INDEX(계정대체기준!$F$20:$F$49,MATCH($N2820,계정대체기준!$A$20:$A$49,0)),1)))</f>
        <v/>
      </c>
      <c r="Z2820" s="94">
        <f>IF($A2820="",0,IF(AE2820="직접",IF(AF2820="신계약비",$P2820,0),$P2820*(1-AG2820)*IFERROR(INDEX(계정대체기준!$C$20:$C$49,MATCH($N2820,계정대체기준!$A$20:$A$49,0)),0)))</f>
        <v/>
      </c>
      <c r="AA2820" s="94">
        <f>IF($A2820="",0,IF(AE2820="직접",IF(OR(AF2820="유지비",AF2820="손해조사비"),$P2820,0),$P2820*(1-AG2820)*IFERROR(INDEX(계정대체기준!$D$20:$D$49,MATCH($N2820,계정대체기준!$A$20:$A$49,0)),0)))</f>
        <v/>
      </c>
      <c r="AB2820" s="94">
        <f>IF($A2820="",0,IF(AE2820="직접",IF(AF2820="수금비",$P2820,0),$P2820*(1-AG2820)*IFERROR(INDEX(계정대체기준!$E$20:$E$49,MATCH($N2820,계정대체기준!$A$20:$A$49,0)),0)))</f>
        <v/>
      </c>
      <c r="AC2820" s="9">
        <f>IF(AND($A2820&lt;&gt;"",M2820=설정!$C$20,Z2820&gt;0),Z2820+ROW()/1000000000,"")</f>
        <v/>
      </c>
      <c r="AD2820" s="94">
        <f>IF($A2820="",0,$P2820*AG2820)</f>
        <v/>
      </c>
      <c r="AE2820" s="64">
        <f>IF($A2820="","",IFERROR(INDEX(계정매핑!$E$5:$E$504,MATCH($F2820&amp;"",계정매핑!$A$5:$A$504,0))&amp;"","공통비"))</f>
        <v/>
      </c>
      <c r="AF2820" s="64">
        <f>IF($A2820="","",IF(AE2820="직접",IFERROR(INDEX(계정매핑!$F$5:$F$504,MATCH($F2820&amp;"",계정매핑!$A$5:$A$504,0))&amp;"","비귀속"),""))</f>
        <v/>
      </c>
      <c r="AG2820" s="96">
        <f>IF($A2820="",0,IF(AND(AE2820&lt;&gt;"직접",IFERROR(INDEX(계정매핑!$G$5:$G$504,MATCH($F2820&amp;"",계정매핑!$A$5:$A$504,0))&amp;"","")="유지비",COUNTIF(계정대체기준!$A$6:$A$15,$N2820)&gt;0),IFERROR(INDEX(계정대체기준!$E$6:$E$15,MATCH(VALUE($A2820&amp;""),계정대체기준!$D$6:$D$15,0)),0),0))</f>
        <v/>
      </c>
      <c r="AH2820" s="64">
        <f>IF($A2820="","",IF(AD2820=0,"",IF(OR(COUNTIF(계정대체기준!$A$77:$A$86,$N2820)&gt;0,ISNUMBER(MATCH($X2820,계정대체기준!$D$77:$D$86,0)),ISNUMBER(MATCH($F2820,계정대체기준!$D$77:$D$86,0))),"Y","N")))</f>
        <v/>
      </c>
    </row>
    <row r="2821">
      <c r="A2821" s="92" t="n">
        <v>2026</v>
      </c>
      <c r="B2821" s="92" t="n">
        <v>1</v>
      </c>
      <c r="C2821" s="92" t="inlineStr">
        <is>
          <t>5100000099</t>
        </is>
      </c>
      <c r="D2821" s="95" t="n">
        <v>46036</v>
      </c>
      <c r="E2821" s="92" t="inlineStr">
        <is>
          <t>KR</t>
        </is>
      </c>
      <c r="F2821" s="92" t="n">
        <v>62102000</v>
      </c>
      <c r="G2821" s="92" t="n">
        <v>1801</v>
      </c>
      <c r="H2821" s="93" t="n">
        <v>51000</v>
      </c>
      <c r="I2821" s="92" t="inlineStr">
        <is>
          <t>1월 해외출장 - M항공</t>
        </is>
      </c>
      <c r="J2821" s="92" t="inlineStr">
        <is>
          <t>V10001</t>
        </is>
      </c>
      <c r="K2821" s="92" t="inlineStr">
        <is>
          <t>M항공</t>
        </is>
      </c>
      <c r="M2821" s="9">
        <f>IF($A2821="","",VALUE($A2821&amp;"")*12+VALUE($B2821&amp;""))</f>
        <v/>
      </c>
      <c r="N2821" s="64">
        <f>IF($A2821="","",IFERROR(INDEX(부서매핑!$C$5:$C$504,MATCH($G2821&amp;"",부서매핑!$A$5:$A$504,0)),"미매핑"))</f>
        <v/>
      </c>
      <c r="O2821" s="9">
        <f>IF($A2821="","",N2821&amp;"|"&amp;$F2821)</f>
        <v/>
      </c>
      <c r="P2821" s="94">
        <f>IF($A2821="",0,$H2821*설정!$C$23)</f>
        <v/>
      </c>
      <c r="Q2821" s="64">
        <f>IF($A2821="","",IF(O2821&lt;&gt;원인분석!$C$9,"",IF(AND(M2821&gt;=원인분석!$C$10,M2821&lt;=원인분석!$C$11),"당기",IF(AND(M2821&gt;=원인분석!$C$12,M2821&lt;=원인분석!$C$13),"비교",""))))</f>
        <v/>
      </c>
      <c r="R2821" s="9">
        <f>IF(Q2821="","",$K2821&amp;"")</f>
        <v/>
      </c>
      <c r="S2821" s="9">
        <f>IF(Q2821="","",IF(MATCH(R2821,$R$5:$R$100000,0)=ROW()-4,ROW(),""))</f>
        <v/>
      </c>
      <c r="T2821" s="9">
        <f>IF(Q2821="당기",ABS(P2821)+ROW()/1000000000,"")</f>
        <v/>
      </c>
      <c r="U2821" s="9">
        <f>IF(Q2821="비교",ABS(P2821)+ROW()/1000000000,"")</f>
        <v/>
      </c>
      <c r="V2821" s="64">
        <f>IF($A2821="","",IF(COUNTIF(변동분석!$E$7:$E$506,O2821)&gt;0,"Y","N"))</f>
        <v/>
      </c>
      <c r="W2821" s="64">
        <f>IF($A2821="","",IFERROR(INDEX(계정매핑!$D$5:$D$504,MATCH($F2821&amp;"",계정매핑!$A$5:$A$504,0)),"미매핑"))</f>
        <v/>
      </c>
      <c r="X2821" s="9">
        <f>IF($A2821="","",$F2821&amp;"")</f>
        <v/>
      </c>
      <c r="Y2821" s="94">
        <f>IF($A2821="",0,IF(AE2821="직접",IF(AF2821="비귀속",$P2821,0),$P2821*(1-AG2821)*IFERROR(INDEX(계정대체기준!$F$20:$F$49,MATCH($N2821,계정대체기준!$A$20:$A$49,0)),1)))</f>
        <v/>
      </c>
      <c r="Z2821" s="94">
        <f>IF($A2821="",0,IF(AE2821="직접",IF(AF2821="신계약비",$P2821,0),$P2821*(1-AG2821)*IFERROR(INDEX(계정대체기준!$C$20:$C$49,MATCH($N2821,계정대체기준!$A$20:$A$49,0)),0)))</f>
        <v/>
      </c>
      <c r="AA2821" s="94">
        <f>IF($A2821="",0,IF(AE2821="직접",IF(OR(AF2821="유지비",AF2821="손해조사비"),$P2821,0),$P2821*(1-AG2821)*IFERROR(INDEX(계정대체기준!$D$20:$D$49,MATCH($N2821,계정대체기준!$A$20:$A$49,0)),0)))</f>
        <v/>
      </c>
      <c r="AB2821" s="94">
        <f>IF($A2821="",0,IF(AE2821="직접",IF(AF2821="수금비",$P2821,0),$P2821*(1-AG2821)*IFERROR(INDEX(계정대체기준!$E$20:$E$49,MATCH($N2821,계정대체기준!$A$20:$A$49,0)),0)))</f>
        <v/>
      </c>
      <c r="AC2821" s="9">
        <f>IF(AND($A2821&lt;&gt;"",M2821=설정!$C$20,Z2821&gt;0),Z2821+ROW()/1000000000,"")</f>
        <v/>
      </c>
      <c r="AD2821" s="94">
        <f>IF($A2821="",0,$P2821*AG2821)</f>
        <v/>
      </c>
      <c r="AE2821" s="64">
        <f>IF($A2821="","",IFERROR(INDEX(계정매핑!$E$5:$E$504,MATCH($F2821&amp;"",계정매핑!$A$5:$A$504,0))&amp;"","공통비"))</f>
        <v/>
      </c>
      <c r="AF2821" s="64">
        <f>IF($A2821="","",IF(AE2821="직접",IFERROR(INDEX(계정매핑!$F$5:$F$504,MATCH($F2821&amp;"",계정매핑!$A$5:$A$504,0))&amp;"","비귀속"),""))</f>
        <v/>
      </c>
      <c r="AG2821" s="96">
        <f>IF($A2821="",0,IF(AND(AE2821&lt;&gt;"직접",IFERROR(INDEX(계정매핑!$G$5:$G$504,MATCH($F2821&amp;"",계정매핑!$A$5:$A$504,0))&amp;"","")="유지비",COUNTIF(계정대체기준!$A$6:$A$15,$N2821)&gt;0),IFERROR(INDEX(계정대체기준!$E$6:$E$15,MATCH(VALUE($A2821&amp;""),계정대체기준!$D$6:$D$15,0)),0),0))</f>
        <v/>
      </c>
      <c r="AH2821" s="64">
        <f>IF($A2821="","",IF(AD2821=0,"",IF(OR(COUNTIF(계정대체기준!$A$77:$A$86,$N2821)&gt;0,ISNUMBER(MATCH($X2821,계정대체기준!$D$77:$D$86,0)),ISNUMBER(MATCH($F2821,계정대체기준!$D$77:$D$86,0))),"Y","N")))</f>
        <v/>
      </c>
    </row>
    <row r="2822">
      <c r="A2822" s="92" t="n">
        <v>2026</v>
      </c>
      <c r="B2822" s="92" t="n">
        <v>1</v>
      </c>
      <c r="C2822" s="92" t="inlineStr">
        <is>
          <t>5100000100</t>
        </is>
      </c>
      <c r="D2822" s="95" t="n">
        <v>46036</v>
      </c>
      <c r="E2822" s="92" t="inlineStr">
        <is>
          <t>KR</t>
        </is>
      </c>
      <c r="F2822" s="92" t="n">
        <v>62201000</v>
      </c>
      <c r="G2822" s="92" t="n">
        <v>1301</v>
      </c>
      <c r="H2822" s="93" t="n">
        <v>148000</v>
      </c>
      <c r="I2822" s="92" t="inlineStr">
        <is>
          <t>1월 통신요금 - P통신</t>
        </is>
      </c>
      <c r="J2822" s="92" t="inlineStr">
        <is>
          <t>V10014</t>
        </is>
      </c>
      <c r="K2822" s="92" t="inlineStr">
        <is>
          <t>P통신</t>
        </is>
      </c>
      <c r="M2822" s="9">
        <f>IF($A2822="","",VALUE($A2822&amp;"")*12+VALUE($B2822&amp;""))</f>
        <v/>
      </c>
      <c r="N2822" s="64">
        <f>IF($A2822="","",IFERROR(INDEX(부서매핑!$C$5:$C$504,MATCH($G2822&amp;"",부서매핑!$A$5:$A$504,0)),"미매핑"))</f>
        <v/>
      </c>
      <c r="O2822" s="9">
        <f>IF($A2822="","",N2822&amp;"|"&amp;$F2822)</f>
        <v/>
      </c>
      <c r="P2822" s="94">
        <f>IF($A2822="",0,$H2822*설정!$C$23)</f>
        <v/>
      </c>
      <c r="Q2822" s="64">
        <f>IF($A2822="","",IF(O2822&lt;&gt;원인분석!$C$9,"",IF(AND(M2822&gt;=원인분석!$C$10,M2822&lt;=원인분석!$C$11),"당기",IF(AND(M2822&gt;=원인분석!$C$12,M2822&lt;=원인분석!$C$13),"비교",""))))</f>
        <v/>
      </c>
      <c r="R2822" s="9">
        <f>IF(Q2822="","",$K2822&amp;"")</f>
        <v/>
      </c>
      <c r="S2822" s="9">
        <f>IF(Q2822="","",IF(MATCH(R2822,$R$5:$R$100000,0)=ROW()-4,ROW(),""))</f>
        <v/>
      </c>
      <c r="T2822" s="9">
        <f>IF(Q2822="당기",ABS(P2822)+ROW()/1000000000,"")</f>
        <v/>
      </c>
      <c r="U2822" s="9">
        <f>IF(Q2822="비교",ABS(P2822)+ROW()/1000000000,"")</f>
        <v/>
      </c>
      <c r="V2822" s="64">
        <f>IF($A2822="","",IF(COUNTIF(변동분석!$E$7:$E$506,O2822)&gt;0,"Y","N"))</f>
        <v/>
      </c>
      <c r="W2822" s="64">
        <f>IF($A2822="","",IFERROR(INDEX(계정매핑!$D$5:$D$504,MATCH($F2822&amp;"",계정매핑!$A$5:$A$504,0)),"미매핑"))</f>
        <v/>
      </c>
      <c r="X2822" s="9">
        <f>IF($A2822="","",$F2822&amp;"")</f>
        <v/>
      </c>
      <c r="Y2822" s="94">
        <f>IF($A2822="",0,IF(AE2822="직접",IF(AF2822="비귀속",$P2822,0),$P2822*(1-AG2822)*IFERROR(INDEX(계정대체기준!$F$20:$F$49,MATCH($N2822,계정대체기준!$A$20:$A$49,0)),1)))</f>
        <v/>
      </c>
      <c r="Z2822" s="94">
        <f>IF($A2822="",0,IF(AE2822="직접",IF(AF2822="신계약비",$P2822,0),$P2822*(1-AG2822)*IFERROR(INDEX(계정대체기준!$C$20:$C$49,MATCH($N2822,계정대체기준!$A$20:$A$49,0)),0)))</f>
        <v/>
      </c>
      <c r="AA2822" s="94">
        <f>IF($A2822="",0,IF(AE2822="직접",IF(OR(AF2822="유지비",AF2822="손해조사비"),$P2822,0),$P2822*(1-AG2822)*IFERROR(INDEX(계정대체기준!$D$20:$D$49,MATCH($N2822,계정대체기준!$A$20:$A$49,0)),0)))</f>
        <v/>
      </c>
      <c r="AB2822" s="94">
        <f>IF($A2822="",0,IF(AE2822="직접",IF(AF2822="수금비",$P2822,0),$P2822*(1-AG2822)*IFERROR(INDEX(계정대체기준!$E$20:$E$49,MATCH($N2822,계정대체기준!$A$20:$A$49,0)),0)))</f>
        <v/>
      </c>
      <c r="AC2822" s="9">
        <f>IF(AND($A2822&lt;&gt;"",M2822=설정!$C$20,Z2822&gt;0),Z2822+ROW()/1000000000,"")</f>
        <v/>
      </c>
      <c r="AD2822" s="94">
        <f>IF($A2822="",0,$P2822*AG2822)</f>
        <v/>
      </c>
      <c r="AE2822" s="64">
        <f>IF($A2822="","",IFERROR(INDEX(계정매핑!$E$5:$E$504,MATCH($F2822&amp;"",계정매핑!$A$5:$A$504,0))&amp;"","공통비"))</f>
        <v/>
      </c>
      <c r="AF2822" s="64">
        <f>IF($A2822="","",IF(AE2822="직접",IFERROR(INDEX(계정매핑!$F$5:$F$504,MATCH($F2822&amp;"",계정매핑!$A$5:$A$504,0))&amp;"","비귀속"),""))</f>
        <v/>
      </c>
      <c r="AG2822" s="96">
        <f>IF($A2822="",0,IF(AND(AE2822&lt;&gt;"직접",IFERROR(INDEX(계정매핑!$G$5:$G$504,MATCH($F2822&amp;"",계정매핑!$A$5:$A$504,0))&amp;"","")="유지비",COUNTIF(계정대체기준!$A$6:$A$15,$N2822)&gt;0),IFERROR(INDEX(계정대체기준!$E$6:$E$15,MATCH(VALUE($A2822&amp;""),계정대체기준!$D$6:$D$15,0)),0),0))</f>
        <v/>
      </c>
      <c r="AH2822" s="64">
        <f>IF($A2822="","",IF(AD2822=0,"",IF(OR(COUNTIF(계정대체기준!$A$77:$A$86,$N2822)&gt;0,ISNUMBER(MATCH($X2822,계정대체기준!$D$77:$D$86,0)),ISNUMBER(MATCH($F2822,계정대체기준!$D$77:$D$86,0))),"Y","N")))</f>
        <v/>
      </c>
    </row>
    <row r="2823">
      <c r="A2823" s="92" t="n">
        <v>2026</v>
      </c>
      <c r="B2823" s="92" t="n">
        <v>1</v>
      </c>
      <c r="C2823" s="92" t="inlineStr">
        <is>
          <t>5100000101</t>
        </is>
      </c>
      <c r="D2823" s="95" t="n">
        <v>46036</v>
      </c>
      <c r="E2823" s="92" t="inlineStr">
        <is>
          <t>KR</t>
        </is>
      </c>
      <c r="F2823" s="92" t="n">
        <v>62601000</v>
      </c>
      <c r="G2823" s="92" t="n">
        <v>1602</v>
      </c>
      <c r="H2823" s="93" t="n">
        <v>1411000</v>
      </c>
      <c r="I2823" s="92" t="inlineStr">
        <is>
          <t>1월 업무추진 - (법인카드)</t>
        </is>
      </c>
      <c r="J2823" s="92" t="inlineStr">
        <is>
          <t>V10010</t>
        </is>
      </c>
      <c r="K2823" s="92" t="inlineStr">
        <is>
          <t>(법인카드)</t>
        </is>
      </c>
      <c r="M2823" s="9">
        <f>IF($A2823="","",VALUE($A2823&amp;"")*12+VALUE($B2823&amp;""))</f>
        <v/>
      </c>
      <c r="N2823" s="64">
        <f>IF($A2823="","",IFERROR(INDEX(부서매핑!$C$5:$C$504,MATCH($G2823&amp;"",부서매핑!$A$5:$A$504,0)),"미매핑"))</f>
        <v/>
      </c>
      <c r="O2823" s="9">
        <f>IF($A2823="","",N2823&amp;"|"&amp;$F2823)</f>
        <v/>
      </c>
      <c r="P2823" s="94">
        <f>IF($A2823="",0,$H2823*설정!$C$23)</f>
        <v/>
      </c>
      <c r="Q2823" s="64">
        <f>IF($A2823="","",IF(O2823&lt;&gt;원인분석!$C$9,"",IF(AND(M2823&gt;=원인분석!$C$10,M2823&lt;=원인분석!$C$11),"당기",IF(AND(M2823&gt;=원인분석!$C$12,M2823&lt;=원인분석!$C$13),"비교",""))))</f>
        <v/>
      </c>
      <c r="R2823" s="9">
        <f>IF(Q2823="","",$K2823&amp;"")</f>
        <v/>
      </c>
      <c r="S2823" s="9">
        <f>IF(Q2823="","",IF(MATCH(R2823,$R$5:$R$100000,0)=ROW()-4,ROW(),""))</f>
        <v/>
      </c>
      <c r="T2823" s="9">
        <f>IF(Q2823="당기",ABS(P2823)+ROW()/1000000000,"")</f>
        <v/>
      </c>
      <c r="U2823" s="9">
        <f>IF(Q2823="비교",ABS(P2823)+ROW()/1000000000,"")</f>
        <v/>
      </c>
      <c r="V2823" s="64">
        <f>IF($A2823="","",IF(COUNTIF(변동분석!$E$7:$E$506,O2823)&gt;0,"Y","N"))</f>
        <v/>
      </c>
      <c r="W2823" s="64">
        <f>IF($A2823="","",IFERROR(INDEX(계정매핑!$D$5:$D$504,MATCH($F2823&amp;"",계정매핑!$A$5:$A$504,0)),"미매핑"))</f>
        <v/>
      </c>
      <c r="X2823" s="9">
        <f>IF($A2823="","",$F2823&amp;"")</f>
        <v/>
      </c>
      <c r="Y2823" s="94">
        <f>IF($A2823="",0,IF(AE2823="직접",IF(AF2823="비귀속",$P2823,0),$P2823*(1-AG2823)*IFERROR(INDEX(계정대체기준!$F$20:$F$49,MATCH($N2823,계정대체기준!$A$20:$A$49,0)),1)))</f>
        <v/>
      </c>
      <c r="Z2823" s="94">
        <f>IF($A2823="",0,IF(AE2823="직접",IF(AF2823="신계약비",$P2823,0),$P2823*(1-AG2823)*IFERROR(INDEX(계정대체기준!$C$20:$C$49,MATCH($N2823,계정대체기준!$A$20:$A$49,0)),0)))</f>
        <v/>
      </c>
      <c r="AA2823" s="94">
        <f>IF($A2823="",0,IF(AE2823="직접",IF(OR(AF2823="유지비",AF2823="손해조사비"),$P2823,0),$P2823*(1-AG2823)*IFERROR(INDEX(계정대체기준!$D$20:$D$49,MATCH($N2823,계정대체기준!$A$20:$A$49,0)),0)))</f>
        <v/>
      </c>
      <c r="AB2823" s="94">
        <f>IF($A2823="",0,IF(AE2823="직접",IF(AF2823="수금비",$P2823,0),$P2823*(1-AG2823)*IFERROR(INDEX(계정대체기준!$E$20:$E$49,MATCH($N2823,계정대체기준!$A$20:$A$49,0)),0)))</f>
        <v/>
      </c>
      <c r="AC2823" s="9">
        <f>IF(AND($A2823&lt;&gt;"",M2823=설정!$C$20,Z2823&gt;0),Z2823+ROW()/1000000000,"")</f>
        <v/>
      </c>
      <c r="AD2823" s="94">
        <f>IF($A2823="",0,$P2823*AG2823)</f>
        <v/>
      </c>
      <c r="AE2823" s="64">
        <f>IF($A2823="","",IFERROR(INDEX(계정매핑!$E$5:$E$504,MATCH($F2823&amp;"",계정매핑!$A$5:$A$504,0))&amp;"","공통비"))</f>
        <v/>
      </c>
      <c r="AF2823" s="64">
        <f>IF($A2823="","",IF(AE2823="직접",IFERROR(INDEX(계정매핑!$F$5:$F$504,MATCH($F2823&amp;"",계정매핑!$A$5:$A$504,0))&amp;"","비귀속"),""))</f>
        <v/>
      </c>
      <c r="AG2823" s="96">
        <f>IF($A2823="",0,IF(AND(AE2823&lt;&gt;"직접",IFERROR(INDEX(계정매핑!$G$5:$G$504,MATCH($F2823&amp;"",계정매핑!$A$5:$A$504,0))&amp;"","")="유지비",COUNTIF(계정대체기준!$A$6:$A$15,$N2823)&gt;0),IFERROR(INDEX(계정대체기준!$E$6:$E$15,MATCH(VALUE($A2823&amp;""),계정대체기준!$D$6:$D$15,0)),0),0))</f>
        <v/>
      </c>
      <c r="AH2823" s="64">
        <f>IF($A2823="","",IF(AD2823=0,"",IF(OR(COUNTIF(계정대체기준!$A$77:$A$86,$N2823)&gt;0,ISNUMBER(MATCH($X2823,계정대체기준!$D$77:$D$86,0)),ISNUMBER(MATCH($F2823,계정대체기준!$D$77:$D$86,0))),"Y","N")))</f>
        <v/>
      </c>
    </row>
    <row r="2824">
      <c r="A2824" s="92" t="n">
        <v>2026</v>
      </c>
      <c r="B2824" s="92" t="n">
        <v>1</v>
      </c>
      <c r="C2824" s="92" t="inlineStr">
        <is>
          <t>5100000102</t>
        </is>
      </c>
      <c r="D2824" s="95" t="n">
        <v>46036</v>
      </c>
      <c r="E2824" s="92" t="inlineStr">
        <is>
          <t>KR</t>
        </is>
      </c>
      <c r="F2824" s="92" t="n">
        <v>62902000</v>
      </c>
      <c r="G2824" s="92" t="n">
        <v>1801</v>
      </c>
      <c r="H2824" s="93" t="n">
        <v>1761000</v>
      </c>
      <c r="I2824" s="92" t="inlineStr">
        <is>
          <t>1월 콜 위탁 수수료(건별)</t>
        </is>
      </c>
      <c r="J2824" s="92" t="inlineStr">
        <is>
          <t>V10016</t>
        </is>
      </c>
      <c r="K2824" s="92" t="inlineStr">
        <is>
          <t>J콜센터</t>
        </is>
      </c>
      <c r="M2824" s="9">
        <f>IF($A2824="","",VALUE($A2824&amp;"")*12+VALUE($B2824&amp;""))</f>
        <v/>
      </c>
      <c r="N2824" s="64">
        <f>IF($A2824="","",IFERROR(INDEX(부서매핑!$C$5:$C$504,MATCH($G2824&amp;"",부서매핑!$A$5:$A$504,0)),"미매핑"))</f>
        <v/>
      </c>
      <c r="O2824" s="9">
        <f>IF($A2824="","",N2824&amp;"|"&amp;$F2824)</f>
        <v/>
      </c>
      <c r="P2824" s="94">
        <f>IF($A2824="",0,$H2824*설정!$C$23)</f>
        <v/>
      </c>
      <c r="Q2824" s="64">
        <f>IF($A2824="","",IF(O2824&lt;&gt;원인분석!$C$9,"",IF(AND(M2824&gt;=원인분석!$C$10,M2824&lt;=원인분석!$C$11),"당기",IF(AND(M2824&gt;=원인분석!$C$12,M2824&lt;=원인분석!$C$13),"비교",""))))</f>
        <v/>
      </c>
      <c r="R2824" s="9">
        <f>IF(Q2824="","",$K2824&amp;"")</f>
        <v/>
      </c>
      <c r="S2824" s="9">
        <f>IF(Q2824="","",IF(MATCH(R2824,$R$5:$R$100000,0)=ROW()-4,ROW(),""))</f>
        <v/>
      </c>
      <c r="T2824" s="9">
        <f>IF(Q2824="당기",ABS(P2824)+ROW()/1000000000,"")</f>
        <v/>
      </c>
      <c r="U2824" s="9">
        <f>IF(Q2824="비교",ABS(P2824)+ROW()/1000000000,"")</f>
        <v/>
      </c>
      <c r="V2824" s="64">
        <f>IF($A2824="","",IF(COUNTIF(변동분석!$E$7:$E$506,O2824)&gt;0,"Y","N"))</f>
        <v/>
      </c>
      <c r="W2824" s="64">
        <f>IF($A2824="","",IFERROR(INDEX(계정매핑!$D$5:$D$504,MATCH($F2824&amp;"",계정매핑!$A$5:$A$504,0)),"미매핑"))</f>
        <v/>
      </c>
      <c r="X2824" s="9">
        <f>IF($A2824="","",$F2824&amp;"")</f>
        <v/>
      </c>
      <c r="Y2824" s="94">
        <f>IF($A2824="",0,IF(AE2824="직접",IF(AF2824="비귀속",$P2824,0),$P2824*(1-AG2824)*IFERROR(INDEX(계정대체기준!$F$20:$F$49,MATCH($N2824,계정대체기준!$A$20:$A$49,0)),1)))</f>
        <v/>
      </c>
      <c r="Z2824" s="94">
        <f>IF($A2824="",0,IF(AE2824="직접",IF(AF2824="신계약비",$P2824,0),$P2824*(1-AG2824)*IFERROR(INDEX(계정대체기준!$C$20:$C$49,MATCH($N2824,계정대체기준!$A$20:$A$49,0)),0)))</f>
        <v/>
      </c>
      <c r="AA2824" s="94">
        <f>IF($A2824="",0,IF(AE2824="직접",IF(OR(AF2824="유지비",AF2824="손해조사비"),$P2824,0),$P2824*(1-AG2824)*IFERROR(INDEX(계정대체기준!$D$20:$D$49,MATCH($N2824,계정대체기준!$A$20:$A$49,0)),0)))</f>
        <v/>
      </c>
      <c r="AB2824" s="94">
        <f>IF($A2824="",0,IF(AE2824="직접",IF(AF2824="수금비",$P2824,0),$P2824*(1-AG2824)*IFERROR(INDEX(계정대체기준!$E$20:$E$49,MATCH($N2824,계정대체기준!$A$20:$A$49,0)),0)))</f>
        <v/>
      </c>
      <c r="AC2824" s="9">
        <f>IF(AND($A2824&lt;&gt;"",M2824=설정!$C$20,Z2824&gt;0),Z2824+ROW()/1000000000,"")</f>
        <v/>
      </c>
      <c r="AD2824" s="94">
        <f>IF($A2824="",0,$P2824*AG2824)</f>
        <v/>
      </c>
      <c r="AE2824" s="64">
        <f>IF($A2824="","",IFERROR(INDEX(계정매핑!$E$5:$E$504,MATCH($F2824&amp;"",계정매핑!$A$5:$A$504,0))&amp;"","공통비"))</f>
        <v/>
      </c>
      <c r="AF2824" s="64">
        <f>IF($A2824="","",IF(AE2824="직접",IFERROR(INDEX(계정매핑!$F$5:$F$504,MATCH($F2824&amp;"",계정매핑!$A$5:$A$504,0))&amp;"","비귀속"),""))</f>
        <v/>
      </c>
      <c r="AG2824" s="96">
        <f>IF($A2824="",0,IF(AND(AE2824&lt;&gt;"직접",IFERROR(INDEX(계정매핑!$G$5:$G$504,MATCH($F2824&amp;"",계정매핑!$A$5:$A$504,0))&amp;"","")="유지비",COUNTIF(계정대체기준!$A$6:$A$15,$N2824)&gt;0),IFERROR(INDEX(계정대체기준!$E$6:$E$15,MATCH(VALUE($A2824&amp;""),계정대체기준!$D$6:$D$15,0)),0),0))</f>
        <v/>
      </c>
      <c r="AH2824" s="64">
        <f>IF($A2824="","",IF(AD2824=0,"",IF(OR(COUNTIF(계정대체기준!$A$77:$A$86,$N2824)&gt;0,ISNUMBER(MATCH($X2824,계정대체기준!$D$77:$D$86,0)),ISNUMBER(MATCH($F2824,계정대체기준!$D$77:$D$86,0))),"Y","N")))</f>
        <v/>
      </c>
    </row>
    <row r="2825">
      <c r="A2825" s="92" t="n">
        <v>2026</v>
      </c>
      <c r="B2825" s="92" t="n">
        <v>1</v>
      </c>
      <c r="C2825" s="92" t="inlineStr">
        <is>
          <t>5100000103</t>
        </is>
      </c>
      <c r="D2825" s="95" t="n">
        <v>46036</v>
      </c>
      <c r="E2825" s="92" t="inlineStr">
        <is>
          <t>KR</t>
        </is>
      </c>
      <c r="F2825" s="92" t="n">
        <v>63001000</v>
      </c>
      <c r="G2825" s="92" t="n">
        <v>1701</v>
      </c>
      <c r="H2825" s="93" t="n">
        <v>18901000</v>
      </c>
      <c r="I2825" s="92" t="inlineStr">
        <is>
          <t>1월 SW 유지보수 - Z시스템</t>
        </is>
      </c>
      <c r="J2825" s="92" t="inlineStr">
        <is>
          <t>V10012</t>
        </is>
      </c>
      <c r="K2825" s="92" t="inlineStr">
        <is>
          <t>Z시스템</t>
        </is>
      </c>
      <c r="M2825" s="9">
        <f>IF($A2825="","",VALUE($A2825&amp;"")*12+VALUE($B2825&amp;""))</f>
        <v/>
      </c>
      <c r="N2825" s="64">
        <f>IF($A2825="","",IFERROR(INDEX(부서매핑!$C$5:$C$504,MATCH($G2825&amp;"",부서매핑!$A$5:$A$504,0)),"미매핑"))</f>
        <v/>
      </c>
      <c r="O2825" s="9">
        <f>IF($A2825="","",N2825&amp;"|"&amp;$F2825)</f>
        <v/>
      </c>
      <c r="P2825" s="94">
        <f>IF($A2825="",0,$H2825*설정!$C$23)</f>
        <v/>
      </c>
      <c r="Q2825" s="64">
        <f>IF($A2825="","",IF(O2825&lt;&gt;원인분석!$C$9,"",IF(AND(M2825&gt;=원인분석!$C$10,M2825&lt;=원인분석!$C$11),"당기",IF(AND(M2825&gt;=원인분석!$C$12,M2825&lt;=원인분석!$C$13),"비교",""))))</f>
        <v/>
      </c>
      <c r="R2825" s="9">
        <f>IF(Q2825="","",$K2825&amp;"")</f>
        <v/>
      </c>
      <c r="S2825" s="9">
        <f>IF(Q2825="","",IF(MATCH(R2825,$R$5:$R$100000,0)=ROW()-4,ROW(),""))</f>
        <v/>
      </c>
      <c r="T2825" s="9">
        <f>IF(Q2825="당기",ABS(P2825)+ROW()/1000000000,"")</f>
        <v/>
      </c>
      <c r="U2825" s="9">
        <f>IF(Q2825="비교",ABS(P2825)+ROW()/1000000000,"")</f>
        <v/>
      </c>
      <c r="V2825" s="64">
        <f>IF($A2825="","",IF(COUNTIF(변동분석!$E$7:$E$506,O2825)&gt;0,"Y","N"))</f>
        <v/>
      </c>
      <c r="W2825" s="64">
        <f>IF($A2825="","",IFERROR(INDEX(계정매핑!$D$5:$D$504,MATCH($F2825&amp;"",계정매핑!$A$5:$A$504,0)),"미매핑"))</f>
        <v/>
      </c>
      <c r="X2825" s="9">
        <f>IF($A2825="","",$F2825&amp;"")</f>
        <v/>
      </c>
      <c r="Y2825" s="94">
        <f>IF($A2825="",0,IF(AE2825="직접",IF(AF2825="비귀속",$P2825,0),$P2825*(1-AG2825)*IFERROR(INDEX(계정대체기준!$F$20:$F$49,MATCH($N2825,계정대체기준!$A$20:$A$49,0)),1)))</f>
        <v/>
      </c>
      <c r="Z2825" s="94">
        <f>IF($A2825="",0,IF(AE2825="직접",IF(AF2825="신계약비",$P2825,0),$P2825*(1-AG2825)*IFERROR(INDEX(계정대체기준!$C$20:$C$49,MATCH($N2825,계정대체기준!$A$20:$A$49,0)),0)))</f>
        <v/>
      </c>
      <c r="AA2825" s="94">
        <f>IF($A2825="",0,IF(AE2825="직접",IF(OR(AF2825="유지비",AF2825="손해조사비"),$P2825,0),$P2825*(1-AG2825)*IFERROR(INDEX(계정대체기준!$D$20:$D$49,MATCH($N2825,계정대체기준!$A$20:$A$49,0)),0)))</f>
        <v/>
      </c>
      <c r="AB2825" s="94">
        <f>IF($A2825="",0,IF(AE2825="직접",IF(AF2825="수금비",$P2825,0),$P2825*(1-AG2825)*IFERROR(INDEX(계정대체기준!$E$20:$E$49,MATCH($N2825,계정대체기준!$A$20:$A$49,0)),0)))</f>
        <v/>
      </c>
      <c r="AC2825" s="9">
        <f>IF(AND($A2825&lt;&gt;"",M2825=설정!$C$20,Z2825&gt;0),Z2825+ROW()/1000000000,"")</f>
        <v/>
      </c>
      <c r="AD2825" s="94">
        <f>IF($A2825="",0,$P2825*AG2825)</f>
        <v/>
      </c>
      <c r="AE2825" s="64">
        <f>IF($A2825="","",IFERROR(INDEX(계정매핑!$E$5:$E$504,MATCH($F2825&amp;"",계정매핑!$A$5:$A$504,0))&amp;"","공통비"))</f>
        <v/>
      </c>
      <c r="AF2825" s="64">
        <f>IF($A2825="","",IF(AE2825="직접",IFERROR(INDEX(계정매핑!$F$5:$F$504,MATCH($F2825&amp;"",계정매핑!$A$5:$A$504,0))&amp;"","비귀속"),""))</f>
        <v/>
      </c>
      <c r="AG2825" s="96">
        <f>IF($A2825="",0,IF(AND(AE2825&lt;&gt;"직접",IFERROR(INDEX(계정매핑!$G$5:$G$504,MATCH($F2825&amp;"",계정매핑!$A$5:$A$504,0))&amp;"","")="유지비",COUNTIF(계정대체기준!$A$6:$A$15,$N2825)&gt;0),IFERROR(INDEX(계정대체기준!$E$6:$E$15,MATCH(VALUE($A2825&amp;""),계정대체기준!$D$6:$D$15,0)),0),0))</f>
        <v/>
      </c>
      <c r="AH2825" s="64">
        <f>IF($A2825="","",IF(AD2825=0,"",IF(OR(COUNTIF(계정대체기준!$A$77:$A$86,$N2825)&gt;0,ISNUMBER(MATCH($X2825,계정대체기준!$D$77:$D$86,0)),ISNUMBER(MATCH($F2825,계정대체기준!$D$77:$D$86,0))),"Y","N")))</f>
        <v/>
      </c>
    </row>
    <row r="2826">
      <c r="A2826" s="92" t="n">
        <v>2026</v>
      </c>
      <c r="B2826" s="92" t="n">
        <v>1</v>
      </c>
      <c r="C2826" s="92" t="inlineStr">
        <is>
          <t>5100000104</t>
        </is>
      </c>
      <c r="D2826" s="95" t="n">
        <v>46037</v>
      </c>
      <c r="E2826" s="92" t="inlineStr">
        <is>
          <t>KR</t>
        </is>
      </c>
      <c r="F2826" s="92" t="n">
        <v>62101000</v>
      </c>
      <c r="G2826" s="92" t="n">
        <v>1401</v>
      </c>
      <c r="H2826" s="93" t="n">
        <v>401000</v>
      </c>
      <c r="I2826" s="92" t="inlineStr">
        <is>
          <t>1월 국내출장 - L여행사</t>
        </is>
      </c>
      <c r="J2826" s="92" t="inlineStr">
        <is>
          <t>V10018</t>
        </is>
      </c>
      <c r="K2826" s="92" t="inlineStr">
        <is>
          <t>L여행사</t>
        </is>
      </c>
      <c r="M2826" s="9">
        <f>IF($A2826="","",VALUE($A2826&amp;"")*12+VALUE($B2826&amp;""))</f>
        <v/>
      </c>
      <c r="N2826" s="64">
        <f>IF($A2826="","",IFERROR(INDEX(부서매핑!$C$5:$C$504,MATCH($G2826&amp;"",부서매핑!$A$5:$A$504,0)),"미매핑"))</f>
        <v/>
      </c>
      <c r="O2826" s="9">
        <f>IF($A2826="","",N2826&amp;"|"&amp;$F2826)</f>
        <v/>
      </c>
      <c r="P2826" s="94">
        <f>IF($A2826="",0,$H2826*설정!$C$23)</f>
        <v/>
      </c>
      <c r="Q2826" s="64">
        <f>IF($A2826="","",IF(O2826&lt;&gt;원인분석!$C$9,"",IF(AND(M2826&gt;=원인분석!$C$10,M2826&lt;=원인분석!$C$11),"당기",IF(AND(M2826&gt;=원인분석!$C$12,M2826&lt;=원인분석!$C$13),"비교",""))))</f>
        <v/>
      </c>
      <c r="R2826" s="9">
        <f>IF(Q2826="","",$K2826&amp;"")</f>
        <v/>
      </c>
      <c r="S2826" s="9">
        <f>IF(Q2826="","",IF(MATCH(R2826,$R$5:$R$100000,0)=ROW()-4,ROW(),""))</f>
        <v/>
      </c>
      <c r="T2826" s="9">
        <f>IF(Q2826="당기",ABS(P2826)+ROW()/1000000000,"")</f>
        <v/>
      </c>
      <c r="U2826" s="9">
        <f>IF(Q2826="비교",ABS(P2826)+ROW()/1000000000,"")</f>
        <v/>
      </c>
      <c r="V2826" s="64">
        <f>IF($A2826="","",IF(COUNTIF(변동분석!$E$7:$E$506,O2826)&gt;0,"Y","N"))</f>
        <v/>
      </c>
      <c r="W2826" s="64">
        <f>IF($A2826="","",IFERROR(INDEX(계정매핑!$D$5:$D$504,MATCH($F2826&amp;"",계정매핑!$A$5:$A$504,0)),"미매핑"))</f>
        <v/>
      </c>
      <c r="X2826" s="9">
        <f>IF($A2826="","",$F2826&amp;"")</f>
        <v/>
      </c>
      <c r="Y2826" s="94">
        <f>IF($A2826="",0,IF(AE2826="직접",IF(AF2826="비귀속",$P2826,0),$P2826*(1-AG2826)*IFERROR(INDEX(계정대체기준!$F$20:$F$49,MATCH($N2826,계정대체기준!$A$20:$A$49,0)),1)))</f>
        <v/>
      </c>
      <c r="Z2826" s="94">
        <f>IF($A2826="",0,IF(AE2826="직접",IF(AF2826="신계약비",$P2826,0),$P2826*(1-AG2826)*IFERROR(INDEX(계정대체기준!$C$20:$C$49,MATCH($N2826,계정대체기준!$A$20:$A$49,0)),0)))</f>
        <v/>
      </c>
      <c r="AA2826" s="94">
        <f>IF($A2826="",0,IF(AE2826="직접",IF(OR(AF2826="유지비",AF2826="손해조사비"),$P2826,0),$P2826*(1-AG2826)*IFERROR(INDEX(계정대체기준!$D$20:$D$49,MATCH($N2826,계정대체기준!$A$20:$A$49,0)),0)))</f>
        <v/>
      </c>
      <c r="AB2826" s="94">
        <f>IF($A2826="",0,IF(AE2826="직접",IF(AF2826="수금비",$P2826,0),$P2826*(1-AG2826)*IFERROR(INDEX(계정대체기준!$E$20:$E$49,MATCH($N2826,계정대체기준!$A$20:$A$49,0)),0)))</f>
        <v/>
      </c>
      <c r="AC2826" s="9">
        <f>IF(AND($A2826&lt;&gt;"",M2826=설정!$C$20,Z2826&gt;0),Z2826+ROW()/1000000000,"")</f>
        <v/>
      </c>
      <c r="AD2826" s="94">
        <f>IF($A2826="",0,$P2826*AG2826)</f>
        <v/>
      </c>
      <c r="AE2826" s="64">
        <f>IF($A2826="","",IFERROR(INDEX(계정매핑!$E$5:$E$504,MATCH($F2826&amp;"",계정매핑!$A$5:$A$504,0))&amp;"","공통비"))</f>
        <v/>
      </c>
      <c r="AF2826" s="64">
        <f>IF($A2826="","",IF(AE2826="직접",IFERROR(INDEX(계정매핑!$F$5:$F$504,MATCH($F2826&amp;"",계정매핑!$A$5:$A$504,0))&amp;"","비귀속"),""))</f>
        <v/>
      </c>
      <c r="AG2826" s="96">
        <f>IF($A2826="",0,IF(AND(AE2826&lt;&gt;"직접",IFERROR(INDEX(계정매핑!$G$5:$G$504,MATCH($F2826&amp;"",계정매핑!$A$5:$A$504,0))&amp;"","")="유지비",COUNTIF(계정대체기준!$A$6:$A$15,$N2826)&gt;0),IFERROR(INDEX(계정대체기준!$E$6:$E$15,MATCH(VALUE($A2826&amp;""),계정대체기준!$D$6:$D$15,0)),0),0))</f>
        <v/>
      </c>
      <c r="AH2826" s="64">
        <f>IF($A2826="","",IF(AD2826=0,"",IF(OR(COUNTIF(계정대체기준!$A$77:$A$86,$N2826)&gt;0,ISNUMBER(MATCH($X2826,계정대체기준!$D$77:$D$86,0)),ISNUMBER(MATCH($F2826,계정대체기준!$D$77:$D$86,0))),"Y","N")))</f>
        <v/>
      </c>
    </row>
    <row r="2827">
      <c r="A2827" s="92" t="n">
        <v>2026</v>
      </c>
      <c r="B2827" s="92" t="n">
        <v>1</v>
      </c>
      <c r="C2827" s="92" t="inlineStr">
        <is>
          <t>5100000105</t>
        </is>
      </c>
      <c r="D2827" s="95" t="n">
        <v>46037</v>
      </c>
      <c r="E2827" s="92" t="inlineStr">
        <is>
          <t>KR</t>
        </is>
      </c>
      <c r="F2827" s="92" t="n">
        <v>62101000</v>
      </c>
      <c r="G2827" s="92" t="n">
        <v>1701</v>
      </c>
      <c r="H2827" s="93" t="n">
        <v>232000</v>
      </c>
      <c r="I2827" s="92" t="inlineStr">
        <is>
          <t>1월 국내출장 - M항공</t>
        </is>
      </c>
      <c r="J2827" s="92" t="inlineStr">
        <is>
          <t>V10001</t>
        </is>
      </c>
      <c r="K2827" s="92" t="inlineStr">
        <is>
          <t>M항공</t>
        </is>
      </c>
      <c r="M2827" s="9">
        <f>IF($A2827="","",VALUE($A2827&amp;"")*12+VALUE($B2827&amp;""))</f>
        <v/>
      </c>
      <c r="N2827" s="64">
        <f>IF($A2827="","",IFERROR(INDEX(부서매핑!$C$5:$C$504,MATCH($G2827&amp;"",부서매핑!$A$5:$A$504,0)),"미매핑"))</f>
        <v/>
      </c>
      <c r="O2827" s="9">
        <f>IF($A2827="","",N2827&amp;"|"&amp;$F2827)</f>
        <v/>
      </c>
      <c r="P2827" s="94">
        <f>IF($A2827="",0,$H2827*설정!$C$23)</f>
        <v/>
      </c>
      <c r="Q2827" s="64">
        <f>IF($A2827="","",IF(O2827&lt;&gt;원인분석!$C$9,"",IF(AND(M2827&gt;=원인분석!$C$10,M2827&lt;=원인분석!$C$11),"당기",IF(AND(M2827&gt;=원인분석!$C$12,M2827&lt;=원인분석!$C$13),"비교",""))))</f>
        <v/>
      </c>
      <c r="R2827" s="9">
        <f>IF(Q2827="","",$K2827&amp;"")</f>
        <v/>
      </c>
      <c r="S2827" s="9">
        <f>IF(Q2827="","",IF(MATCH(R2827,$R$5:$R$100000,0)=ROW()-4,ROW(),""))</f>
        <v/>
      </c>
      <c r="T2827" s="9">
        <f>IF(Q2827="당기",ABS(P2827)+ROW()/1000000000,"")</f>
        <v/>
      </c>
      <c r="U2827" s="9">
        <f>IF(Q2827="비교",ABS(P2827)+ROW()/1000000000,"")</f>
        <v/>
      </c>
      <c r="V2827" s="64">
        <f>IF($A2827="","",IF(COUNTIF(변동분석!$E$7:$E$506,O2827)&gt;0,"Y","N"))</f>
        <v/>
      </c>
      <c r="W2827" s="64">
        <f>IF($A2827="","",IFERROR(INDEX(계정매핑!$D$5:$D$504,MATCH($F2827&amp;"",계정매핑!$A$5:$A$504,0)),"미매핑"))</f>
        <v/>
      </c>
      <c r="X2827" s="9">
        <f>IF($A2827="","",$F2827&amp;"")</f>
        <v/>
      </c>
      <c r="Y2827" s="94">
        <f>IF($A2827="",0,IF(AE2827="직접",IF(AF2827="비귀속",$P2827,0),$P2827*(1-AG2827)*IFERROR(INDEX(계정대체기준!$F$20:$F$49,MATCH($N2827,계정대체기준!$A$20:$A$49,0)),1)))</f>
        <v/>
      </c>
      <c r="Z2827" s="94">
        <f>IF($A2827="",0,IF(AE2827="직접",IF(AF2827="신계약비",$P2827,0),$P2827*(1-AG2827)*IFERROR(INDEX(계정대체기준!$C$20:$C$49,MATCH($N2827,계정대체기준!$A$20:$A$49,0)),0)))</f>
        <v/>
      </c>
      <c r="AA2827" s="94">
        <f>IF($A2827="",0,IF(AE2827="직접",IF(OR(AF2827="유지비",AF2827="손해조사비"),$P2827,0),$P2827*(1-AG2827)*IFERROR(INDEX(계정대체기준!$D$20:$D$49,MATCH($N2827,계정대체기준!$A$20:$A$49,0)),0)))</f>
        <v/>
      </c>
      <c r="AB2827" s="94">
        <f>IF($A2827="",0,IF(AE2827="직접",IF(AF2827="수금비",$P2827,0),$P2827*(1-AG2827)*IFERROR(INDEX(계정대체기준!$E$20:$E$49,MATCH($N2827,계정대체기준!$A$20:$A$49,0)),0)))</f>
        <v/>
      </c>
      <c r="AC2827" s="9">
        <f>IF(AND($A2827&lt;&gt;"",M2827=설정!$C$20,Z2827&gt;0),Z2827+ROW()/1000000000,"")</f>
        <v/>
      </c>
      <c r="AD2827" s="94">
        <f>IF($A2827="",0,$P2827*AG2827)</f>
        <v/>
      </c>
      <c r="AE2827" s="64">
        <f>IF($A2827="","",IFERROR(INDEX(계정매핑!$E$5:$E$504,MATCH($F2827&amp;"",계정매핑!$A$5:$A$504,0))&amp;"","공통비"))</f>
        <v/>
      </c>
      <c r="AF2827" s="64">
        <f>IF($A2827="","",IF(AE2827="직접",IFERROR(INDEX(계정매핑!$F$5:$F$504,MATCH($F2827&amp;"",계정매핑!$A$5:$A$504,0))&amp;"","비귀속"),""))</f>
        <v/>
      </c>
      <c r="AG2827" s="96">
        <f>IF($A2827="",0,IF(AND(AE2827&lt;&gt;"직접",IFERROR(INDEX(계정매핑!$G$5:$G$504,MATCH($F2827&amp;"",계정매핑!$A$5:$A$504,0))&amp;"","")="유지비",COUNTIF(계정대체기준!$A$6:$A$15,$N2827)&gt;0),IFERROR(INDEX(계정대체기준!$E$6:$E$15,MATCH(VALUE($A2827&amp;""),계정대체기준!$D$6:$D$15,0)),0),0))</f>
        <v/>
      </c>
      <c r="AH2827" s="64">
        <f>IF($A2827="","",IF(AD2827=0,"",IF(OR(COUNTIF(계정대체기준!$A$77:$A$86,$N2827)&gt;0,ISNUMBER(MATCH($X2827,계정대체기준!$D$77:$D$86,0)),ISNUMBER(MATCH($F2827,계정대체기준!$D$77:$D$86,0))),"Y","N")))</f>
        <v/>
      </c>
    </row>
    <row r="2828">
      <c r="A2828" s="92" t="n">
        <v>2026</v>
      </c>
      <c r="B2828" s="92" t="n">
        <v>1</v>
      </c>
      <c r="C2828" s="92" t="inlineStr">
        <is>
          <t>5100000106</t>
        </is>
      </c>
      <c r="D2828" s="95" t="n">
        <v>46037</v>
      </c>
      <c r="E2828" s="92" t="inlineStr">
        <is>
          <t>KR</t>
        </is>
      </c>
      <c r="F2828" s="92" t="n">
        <v>62102000</v>
      </c>
      <c r="G2828" s="92" t="n">
        <v>1301</v>
      </c>
      <c r="H2828" s="93" t="n">
        <v>72000</v>
      </c>
      <c r="I2828" s="92" t="inlineStr">
        <is>
          <t>1월 해외출장 - N호텔</t>
        </is>
      </c>
      <c r="J2828" s="92" t="inlineStr">
        <is>
          <t>V10009</t>
        </is>
      </c>
      <c r="K2828" s="92" t="inlineStr">
        <is>
          <t>N호텔</t>
        </is>
      </c>
      <c r="M2828" s="9">
        <f>IF($A2828="","",VALUE($A2828&amp;"")*12+VALUE($B2828&amp;""))</f>
        <v/>
      </c>
      <c r="N2828" s="64">
        <f>IF($A2828="","",IFERROR(INDEX(부서매핑!$C$5:$C$504,MATCH($G2828&amp;"",부서매핑!$A$5:$A$504,0)),"미매핑"))</f>
        <v/>
      </c>
      <c r="O2828" s="9">
        <f>IF($A2828="","",N2828&amp;"|"&amp;$F2828)</f>
        <v/>
      </c>
      <c r="P2828" s="94">
        <f>IF($A2828="",0,$H2828*설정!$C$23)</f>
        <v/>
      </c>
      <c r="Q2828" s="64">
        <f>IF($A2828="","",IF(O2828&lt;&gt;원인분석!$C$9,"",IF(AND(M2828&gt;=원인분석!$C$10,M2828&lt;=원인분석!$C$11),"당기",IF(AND(M2828&gt;=원인분석!$C$12,M2828&lt;=원인분석!$C$13),"비교",""))))</f>
        <v/>
      </c>
      <c r="R2828" s="9">
        <f>IF(Q2828="","",$K2828&amp;"")</f>
        <v/>
      </c>
      <c r="S2828" s="9">
        <f>IF(Q2828="","",IF(MATCH(R2828,$R$5:$R$100000,0)=ROW()-4,ROW(),""))</f>
        <v/>
      </c>
      <c r="T2828" s="9">
        <f>IF(Q2828="당기",ABS(P2828)+ROW()/1000000000,"")</f>
        <v/>
      </c>
      <c r="U2828" s="9">
        <f>IF(Q2828="비교",ABS(P2828)+ROW()/1000000000,"")</f>
        <v/>
      </c>
      <c r="V2828" s="64">
        <f>IF($A2828="","",IF(COUNTIF(변동분석!$E$7:$E$506,O2828)&gt;0,"Y","N"))</f>
        <v/>
      </c>
      <c r="W2828" s="64">
        <f>IF($A2828="","",IFERROR(INDEX(계정매핑!$D$5:$D$504,MATCH($F2828&amp;"",계정매핑!$A$5:$A$504,0)),"미매핑"))</f>
        <v/>
      </c>
      <c r="X2828" s="9">
        <f>IF($A2828="","",$F2828&amp;"")</f>
        <v/>
      </c>
      <c r="Y2828" s="94">
        <f>IF($A2828="",0,IF(AE2828="직접",IF(AF2828="비귀속",$P2828,0),$P2828*(1-AG2828)*IFERROR(INDEX(계정대체기준!$F$20:$F$49,MATCH($N2828,계정대체기준!$A$20:$A$49,0)),1)))</f>
        <v/>
      </c>
      <c r="Z2828" s="94">
        <f>IF($A2828="",0,IF(AE2828="직접",IF(AF2828="신계약비",$P2828,0),$P2828*(1-AG2828)*IFERROR(INDEX(계정대체기준!$C$20:$C$49,MATCH($N2828,계정대체기준!$A$20:$A$49,0)),0)))</f>
        <v/>
      </c>
      <c r="AA2828" s="94">
        <f>IF($A2828="",0,IF(AE2828="직접",IF(OR(AF2828="유지비",AF2828="손해조사비"),$P2828,0),$P2828*(1-AG2828)*IFERROR(INDEX(계정대체기준!$D$20:$D$49,MATCH($N2828,계정대체기준!$A$20:$A$49,0)),0)))</f>
        <v/>
      </c>
      <c r="AB2828" s="94">
        <f>IF($A2828="",0,IF(AE2828="직접",IF(AF2828="수금비",$P2828,0),$P2828*(1-AG2828)*IFERROR(INDEX(계정대체기준!$E$20:$E$49,MATCH($N2828,계정대체기준!$A$20:$A$49,0)),0)))</f>
        <v/>
      </c>
      <c r="AC2828" s="9">
        <f>IF(AND($A2828&lt;&gt;"",M2828=설정!$C$20,Z2828&gt;0),Z2828+ROW()/1000000000,"")</f>
        <v/>
      </c>
      <c r="AD2828" s="94">
        <f>IF($A2828="",0,$P2828*AG2828)</f>
        <v/>
      </c>
      <c r="AE2828" s="64">
        <f>IF($A2828="","",IFERROR(INDEX(계정매핑!$E$5:$E$504,MATCH($F2828&amp;"",계정매핑!$A$5:$A$504,0))&amp;"","공통비"))</f>
        <v/>
      </c>
      <c r="AF2828" s="64">
        <f>IF($A2828="","",IF(AE2828="직접",IFERROR(INDEX(계정매핑!$F$5:$F$504,MATCH($F2828&amp;"",계정매핑!$A$5:$A$504,0))&amp;"","비귀속"),""))</f>
        <v/>
      </c>
      <c r="AG2828" s="96">
        <f>IF($A2828="",0,IF(AND(AE2828&lt;&gt;"직접",IFERROR(INDEX(계정매핑!$G$5:$G$504,MATCH($F2828&amp;"",계정매핑!$A$5:$A$504,0))&amp;"","")="유지비",COUNTIF(계정대체기준!$A$6:$A$15,$N2828)&gt;0),IFERROR(INDEX(계정대체기준!$E$6:$E$15,MATCH(VALUE($A2828&amp;""),계정대체기준!$D$6:$D$15,0)),0),0))</f>
        <v/>
      </c>
      <c r="AH2828" s="64">
        <f>IF($A2828="","",IF(AD2828=0,"",IF(OR(COUNTIF(계정대체기준!$A$77:$A$86,$N2828)&gt;0,ISNUMBER(MATCH($X2828,계정대체기준!$D$77:$D$86,0)),ISNUMBER(MATCH($F2828,계정대체기준!$D$77:$D$86,0))),"Y","N")))</f>
        <v/>
      </c>
    </row>
    <row r="2829">
      <c r="A2829" s="92" t="n">
        <v>2026</v>
      </c>
      <c r="B2829" s="92" t="n">
        <v>1</v>
      </c>
      <c r="C2829" s="92" t="inlineStr">
        <is>
          <t>5100000107</t>
        </is>
      </c>
      <c r="D2829" s="95" t="n">
        <v>46037</v>
      </c>
      <c r="E2829" s="92" t="inlineStr">
        <is>
          <t>KR</t>
        </is>
      </c>
      <c r="F2829" s="92" t="n">
        <v>62102000</v>
      </c>
      <c r="G2829" s="92" t="n">
        <v>1951</v>
      </c>
      <c r="H2829" s="93" t="n">
        <v>90000</v>
      </c>
      <c r="I2829" s="92" t="inlineStr">
        <is>
          <t>1월 해외출장 - N호텔</t>
        </is>
      </c>
      <c r="J2829" s="92" t="inlineStr">
        <is>
          <t>V10009</t>
        </is>
      </c>
      <c r="K2829" s="92" t="inlineStr">
        <is>
          <t>N호텔</t>
        </is>
      </c>
      <c r="M2829" s="9">
        <f>IF($A2829="","",VALUE($A2829&amp;"")*12+VALUE($B2829&amp;""))</f>
        <v/>
      </c>
      <c r="N2829" s="64">
        <f>IF($A2829="","",IFERROR(INDEX(부서매핑!$C$5:$C$504,MATCH($G2829&amp;"",부서매핑!$A$5:$A$504,0)),"미매핑"))</f>
        <v/>
      </c>
      <c r="O2829" s="9">
        <f>IF($A2829="","",N2829&amp;"|"&amp;$F2829)</f>
        <v/>
      </c>
      <c r="P2829" s="94">
        <f>IF($A2829="",0,$H2829*설정!$C$23)</f>
        <v/>
      </c>
      <c r="Q2829" s="64">
        <f>IF($A2829="","",IF(O2829&lt;&gt;원인분석!$C$9,"",IF(AND(M2829&gt;=원인분석!$C$10,M2829&lt;=원인분석!$C$11),"당기",IF(AND(M2829&gt;=원인분석!$C$12,M2829&lt;=원인분석!$C$13),"비교",""))))</f>
        <v/>
      </c>
      <c r="R2829" s="9">
        <f>IF(Q2829="","",$K2829&amp;"")</f>
        <v/>
      </c>
      <c r="S2829" s="9">
        <f>IF(Q2829="","",IF(MATCH(R2829,$R$5:$R$100000,0)=ROW()-4,ROW(),""))</f>
        <v/>
      </c>
      <c r="T2829" s="9">
        <f>IF(Q2829="당기",ABS(P2829)+ROW()/1000000000,"")</f>
        <v/>
      </c>
      <c r="U2829" s="9">
        <f>IF(Q2829="비교",ABS(P2829)+ROW()/1000000000,"")</f>
        <v/>
      </c>
      <c r="V2829" s="64">
        <f>IF($A2829="","",IF(COUNTIF(변동분석!$E$7:$E$506,O2829)&gt;0,"Y","N"))</f>
        <v/>
      </c>
      <c r="W2829" s="64">
        <f>IF($A2829="","",IFERROR(INDEX(계정매핑!$D$5:$D$504,MATCH($F2829&amp;"",계정매핑!$A$5:$A$504,0)),"미매핑"))</f>
        <v/>
      </c>
      <c r="X2829" s="9">
        <f>IF($A2829="","",$F2829&amp;"")</f>
        <v/>
      </c>
      <c r="Y2829" s="94">
        <f>IF($A2829="",0,IF(AE2829="직접",IF(AF2829="비귀속",$P2829,0),$P2829*(1-AG2829)*IFERROR(INDEX(계정대체기준!$F$20:$F$49,MATCH($N2829,계정대체기준!$A$20:$A$49,0)),1)))</f>
        <v/>
      </c>
      <c r="Z2829" s="94">
        <f>IF($A2829="",0,IF(AE2829="직접",IF(AF2829="신계약비",$P2829,0),$P2829*(1-AG2829)*IFERROR(INDEX(계정대체기준!$C$20:$C$49,MATCH($N2829,계정대체기준!$A$20:$A$49,0)),0)))</f>
        <v/>
      </c>
      <c r="AA2829" s="94">
        <f>IF($A2829="",0,IF(AE2829="직접",IF(OR(AF2829="유지비",AF2829="손해조사비"),$P2829,0),$P2829*(1-AG2829)*IFERROR(INDEX(계정대체기준!$D$20:$D$49,MATCH($N2829,계정대체기준!$A$20:$A$49,0)),0)))</f>
        <v/>
      </c>
      <c r="AB2829" s="94">
        <f>IF($A2829="",0,IF(AE2829="직접",IF(AF2829="수금비",$P2829,0),$P2829*(1-AG2829)*IFERROR(INDEX(계정대체기준!$E$20:$E$49,MATCH($N2829,계정대체기준!$A$20:$A$49,0)),0)))</f>
        <v/>
      </c>
      <c r="AC2829" s="9">
        <f>IF(AND($A2829&lt;&gt;"",M2829=설정!$C$20,Z2829&gt;0),Z2829+ROW()/1000000000,"")</f>
        <v/>
      </c>
      <c r="AD2829" s="94">
        <f>IF($A2829="",0,$P2829*AG2829)</f>
        <v/>
      </c>
      <c r="AE2829" s="64">
        <f>IF($A2829="","",IFERROR(INDEX(계정매핑!$E$5:$E$504,MATCH($F2829&amp;"",계정매핑!$A$5:$A$504,0))&amp;"","공통비"))</f>
        <v/>
      </c>
      <c r="AF2829" s="64">
        <f>IF($A2829="","",IF(AE2829="직접",IFERROR(INDEX(계정매핑!$F$5:$F$504,MATCH($F2829&amp;"",계정매핑!$A$5:$A$504,0))&amp;"","비귀속"),""))</f>
        <v/>
      </c>
      <c r="AG2829" s="96">
        <f>IF($A2829="",0,IF(AND(AE2829&lt;&gt;"직접",IFERROR(INDEX(계정매핑!$G$5:$G$504,MATCH($F2829&amp;"",계정매핑!$A$5:$A$504,0))&amp;"","")="유지비",COUNTIF(계정대체기준!$A$6:$A$15,$N2829)&gt;0),IFERROR(INDEX(계정대체기준!$E$6:$E$15,MATCH(VALUE($A2829&amp;""),계정대체기준!$D$6:$D$15,0)),0),0))</f>
        <v/>
      </c>
      <c r="AH2829" s="64">
        <f>IF($A2829="","",IF(AD2829=0,"",IF(OR(COUNTIF(계정대체기준!$A$77:$A$86,$N2829)&gt;0,ISNUMBER(MATCH($X2829,계정대체기준!$D$77:$D$86,0)),ISNUMBER(MATCH($F2829,계정대체기준!$D$77:$D$86,0))),"Y","N")))</f>
        <v/>
      </c>
    </row>
    <row r="2830">
      <c r="A2830" s="92" t="n">
        <v>2026</v>
      </c>
      <c r="B2830" s="92" t="n">
        <v>1</v>
      </c>
      <c r="C2830" s="92" t="inlineStr">
        <is>
          <t>5100000108</t>
        </is>
      </c>
      <c r="D2830" s="95" t="n">
        <v>46037</v>
      </c>
      <c r="E2830" s="92" t="inlineStr">
        <is>
          <t>KR</t>
        </is>
      </c>
      <c r="F2830" s="92" t="n">
        <v>62201000</v>
      </c>
      <c r="G2830" s="92" t="n">
        <v>1301</v>
      </c>
      <c r="H2830" s="93" t="n">
        <v>117000</v>
      </c>
      <c r="I2830" s="92" t="inlineStr">
        <is>
          <t>1월 통신요금 - P통신</t>
        </is>
      </c>
      <c r="J2830" s="92" t="inlineStr">
        <is>
          <t>V10014</t>
        </is>
      </c>
      <c r="K2830" s="92" t="inlineStr">
        <is>
          <t>P통신</t>
        </is>
      </c>
      <c r="M2830" s="9">
        <f>IF($A2830="","",VALUE($A2830&amp;"")*12+VALUE($B2830&amp;""))</f>
        <v/>
      </c>
      <c r="N2830" s="64">
        <f>IF($A2830="","",IFERROR(INDEX(부서매핑!$C$5:$C$504,MATCH($G2830&amp;"",부서매핑!$A$5:$A$504,0)),"미매핑"))</f>
        <v/>
      </c>
      <c r="O2830" s="9">
        <f>IF($A2830="","",N2830&amp;"|"&amp;$F2830)</f>
        <v/>
      </c>
      <c r="P2830" s="94">
        <f>IF($A2830="",0,$H2830*설정!$C$23)</f>
        <v/>
      </c>
      <c r="Q2830" s="64">
        <f>IF($A2830="","",IF(O2830&lt;&gt;원인분석!$C$9,"",IF(AND(M2830&gt;=원인분석!$C$10,M2830&lt;=원인분석!$C$11),"당기",IF(AND(M2830&gt;=원인분석!$C$12,M2830&lt;=원인분석!$C$13),"비교",""))))</f>
        <v/>
      </c>
      <c r="R2830" s="9">
        <f>IF(Q2830="","",$K2830&amp;"")</f>
        <v/>
      </c>
      <c r="S2830" s="9">
        <f>IF(Q2830="","",IF(MATCH(R2830,$R$5:$R$100000,0)=ROW()-4,ROW(),""))</f>
        <v/>
      </c>
      <c r="T2830" s="9">
        <f>IF(Q2830="당기",ABS(P2830)+ROW()/1000000000,"")</f>
        <v/>
      </c>
      <c r="U2830" s="9">
        <f>IF(Q2830="비교",ABS(P2830)+ROW()/1000000000,"")</f>
        <v/>
      </c>
      <c r="V2830" s="64">
        <f>IF($A2830="","",IF(COUNTIF(변동분석!$E$7:$E$506,O2830)&gt;0,"Y","N"))</f>
        <v/>
      </c>
      <c r="W2830" s="64">
        <f>IF($A2830="","",IFERROR(INDEX(계정매핑!$D$5:$D$504,MATCH($F2830&amp;"",계정매핑!$A$5:$A$504,0)),"미매핑"))</f>
        <v/>
      </c>
      <c r="X2830" s="9">
        <f>IF($A2830="","",$F2830&amp;"")</f>
        <v/>
      </c>
      <c r="Y2830" s="94">
        <f>IF($A2830="",0,IF(AE2830="직접",IF(AF2830="비귀속",$P2830,0),$P2830*(1-AG2830)*IFERROR(INDEX(계정대체기준!$F$20:$F$49,MATCH($N2830,계정대체기준!$A$20:$A$49,0)),1)))</f>
        <v/>
      </c>
      <c r="Z2830" s="94">
        <f>IF($A2830="",0,IF(AE2830="직접",IF(AF2830="신계약비",$P2830,0),$P2830*(1-AG2830)*IFERROR(INDEX(계정대체기준!$C$20:$C$49,MATCH($N2830,계정대체기준!$A$20:$A$49,0)),0)))</f>
        <v/>
      </c>
      <c r="AA2830" s="94">
        <f>IF($A2830="",0,IF(AE2830="직접",IF(OR(AF2830="유지비",AF2830="손해조사비"),$P2830,0),$P2830*(1-AG2830)*IFERROR(INDEX(계정대체기준!$D$20:$D$49,MATCH($N2830,계정대체기준!$A$20:$A$49,0)),0)))</f>
        <v/>
      </c>
      <c r="AB2830" s="94">
        <f>IF($A2830="",0,IF(AE2830="직접",IF(AF2830="수금비",$P2830,0),$P2830*(1-AG2830)*IFERROR(INDEX(계정대체기준!$E$20:$E$49,MATCH($N2830,계정대체기준!$A$20:$A$49,0)),0)))</f>
        <v/>
      </c>
      <c r="AC2830" s="9">
        <f>IF(AND($A2830&lt;&gt;"",M2830=설정!$C$20,Z2830&gt;0),Z2830+ROW()/1000000000,"")</f>
        <v/>
      </c>
      <c r="AD2830" s="94">
        <f>IF($A2830="",0,$P2830*AG2830)</f>
        <v/>
      </c>
      <c r="AE2830" s="64">
        <f>IF($A2830="","",IFERROR(INDEX(계정매핑!$E$5:$E$504,MATCH($F2830&amp;"",계정매핑!$A$5:$A$504,0))&amp;"","공통비"))</f>
        <v/>
      </c>
      <c r="AF2830" s="64">
        <f>IF($A2830="","",IF(AE2830="직접",IFERROR(INDEX(계정매핑!$F$5:$F$504,MATCH($F2830&amp;"",계정매핑!$A$5:$A$504,0))&amp;"","비귀속"),""))</f>
        <v/>
      </c>
      <c r="AG2830" s="96">
        <f>IF($A2830="",0,IF(AND(AE2830&lt;&gt;"직접",IFERROR(INDEX(계정매핑!$G$5:$G$504,MATCH($F2830&amp;"",계정매핑!$A$5:$A$504,0))&amp;"","")="유지비",COUNTIF(계정대체기준!$A$6:$A$15,$N2830)&gt;0),IFERROR(INDEX(계정대체기준!$E$6:$E$15,MATCH(VALUE($A2830&amp;""),계정대체기준!$D$6:$D$15,0)),0),0))</f>
        <v/>
      </c>
      <c r="AH2830" s="64">
        <f>IF($A2830="","",IF(AD2830=0,"",IF(OR(COUNTIF(계정대체기준!$A$77:$A$86,$N2830)&gt;0,ISNUMBER(MATCH($X2830,계정대체기준!$D$77:$D$86,0)),ISNUMBER(MATCH($F2830,계정대체기준!$D$77:$D$86,0))),"Y","N")))</f>
        <v/>
      </c>
    </row>
    <row r="2831">
      <c r="A2831" s="92" t="n">
        <v>2026</v>
      </c>
      <c r="B2831" s="92" t="n">
        <v>1</v>
      </c>
      <c r="C2831" s="92" t="inlineStr">
        <is>
          <t>5100000109</t>
        </is>
      </c>
      <c r="D2831" s="95" t="n">
        <v>46037</v>
      </c>
      <c r="E2831" s="92" t="inlineStr">
        <is>
          <t>KR</t>
        </is>
      </c>
      <c r="F2831" s="92" t="n">
        <v>62301000</v>
      </c>
      <c r="G2831" s="92" t="n">
        <v>1201</v>
      </c>
      <c r="H2831" s="93" t="n">
        <v>72000</v>
      </c>
      <c r="I2831" s="92" t="inlineStr">
        <is>
          <t>1월 소모품 구입 - R문구</t>
        </is>
      </c>
      <c r="J2831" s="92" t="inlineStr">
        <is>
          <t>V10022</t>
        </is>
      </c>
      <c r="K2831" s="92" t="inlineStr">
        <is>
          <t>R문구</t>
        </is>
      </c>
      <c r="M2831" s="9">
        <f>IF($A2831="","",VALUE($A2831&amp;"")*12+VALUE($B2831&amp;""))</f>
        <v/>
      </c>
      <c r="N2831" s="64">
        <f>IF($A2831="","",IFERROR(INDEX(부서매핑!$C$5:$C$504,MATCH($G2831&amp;"",부서매핑!$A$5:$A$504,0)),"미매핑"))</f>
        <v/>
      </c>
      <c r="O2831" s="9">
        <f>IF($A2831="","",N2831&amp;"|"&amp;$F2831)</f>
        <v/>
      </c>
      <c r="P2831" s="94">
        <f>IF($A2831="",0,$H2831*설정!$C$23)</f>
        <v/>
      </c>
      <c r="Q2831" s="64">
        <f>IF($A2831="","",IF(O2831&lt;&gt;원인분석!$C$9,"",IF(AND(M2831&gt;=원인분석!$C$10,M2831&lt;=원인분석!$C$11),"당기",IF(AND(M2831&gt;=원인분석!$C$12,M2831&lt;=원인분석!$C$13),"비교",""))))</f>
        <v/>
      </c>
      <c r="R2831" s="9">
        <f>IF(Q2831="","",$K2831&amp;"")</f>
        <v/>
      </c>
      <c r="S2831" s="9">
        <f>IF(Q2831="","",IF(MATCH(R2831,$R$5:$R$100000,0)=ROW()-4,ROW(),""))</f>
        <v/>
      </c>
      <c r="T2831" s="9">
        <f>IF(Q2831="당기",ABS(P2831)+ROW()/1000000000,"")</f>
        <v/>
      </c>
      <c r="U2831" s="9">
        <f>IF(Q2831="비교",ABS(P2831)+ROW()/1000000000,"")</f>
        <v/>
      </c>
      <c r="V2831" s="64">
        <f>IF($A2831="","",IF(COUNTIF(변동분석!$E$7:$E$506,O2831)&gt;0,"Y","N"))</f>
        <v/>
      </c>
      <c r="W2831" s="64">
        <f>IF($A2831="","",IFERROR(INDEX(계정매핑!$D$5:$D$504,MATCH($F2831&amp;"",계정매핑!$A$5:$A$504,0)),"미매핑"))</f>
        <v/>
      </c>
      <c r="X2831" s="9">
        <f>IF($A2831="","",$F2831&amp;"")</f>
        <v/>
      </c>
      <c r="Y2831" s="94">
        <f>IF($A2831="",0,IF(AE2831="직접",IF(AF2831="비귀속",$P2831,0),$P2831*(1-AG2831)*IFERROR(INDEX(계정대체기준!$F$20:$F$49,MATCH($N2831,계정대체기준!$A$20:$A$49,0)),1)))</f>
        <v/>
      </c>
      <c r="Z2831" s="94">
        <f>IF($A2831="",0,IF(AE2831="직접",IF(AF2831="신계약비",$P2831,0),$P2831*(1-AG2831)*IFERROR(INDEX(계정대체기준!$C$20:$C$49,MATCH($N2831,계정대체기준!$A$20:$A$49,0)),0)))</f>
        <v/>
      </c>
      <c r="AA2831" s="94">
        <f>IF($A2831="",0,IF(AE2831="직접",IF(OR(AF2831="유지비",AF2831="손해조사비"),$P2831,0),$P2831*(1-AG2831)*IFERROR(INDEX(계정대체기준!$D$20:$D$49,MATCH($N2831,계정대체기준!$A$20:$A$49,0)),0)))</f>
        <v/>
      </c>
      <c r="AB2831" s="94">
        <f>IF($A2831="",0,IF(AE2831="직접",IF(AF2831="수금비",$P2831,0),$P2831*(1-AG2831)*IFERROR(INDEX(계정대체기준!$E$20:$E$49,MATCH($N2831,계정대체기준!$A$20:$A$49,0)),0)))</f>
        <v/>
      </c>
      <c r="AC2831" s="9">
        <f>IF(AND($A2831&lt;&gt;"",M2831=설정!$C$20,Z2831&gt;0),Z2831+ROW()/1000000000,"")</f>
        <v/>
      </c>
      <c r="AD2831" s="94">
        <f>IF($A2831="",0,$P2831*AG2831)</f>
        <v/>
      </c>
      <c r="AE2831" s="64">
        <f>IF($A2831="","",IFERROR(INDEX(계정매핑!$E$5:$E$504,MATCH($F2831&amp;"",계정매핑!$A$5:$A$504,0))&amp;"","공통비"))</f>
        <v/>
      </c>
      <c r="AF2831" s="64">
        <f>IF($A2831="","",IF(AE2831="직접",IFERROR(INDEX(계정매핑!$F$5:$F$504,MATCH($F2831&amp;"",계정매핑!$A$5:$A$504,0))&amp;"","비귀속"),""))</f>
        <v/>
      </c>
      <c r="AG2831" s="96">
        <f>IF($A2831="",0,IF(AND(AE2831&lt;&gt;"직접",IFERROR(INDEX(계정매핑!$G$5:$G$504,MATCH($F2831&amp;"",계정매핑!$A$5:$A$504,0))&amp;"","")="유지비",COUNTIF(계정대체기준!$A$6:$A$15,$N2831)&gt;0),IFERROR(INDEX(계정대체기준!$E$6:$E$15,MATCH(VALUE($A2831&amp;""),계정대체기준!$D$6:$D$15,0)),0),0))</f>
        <v/>
      </c>
      <c r="AH2831" s="64">
        <f>IF($A2831="","",IF(AD2831=0,"",IF(OR(COUNTIF(계정대체기준!$A$77:$A$86,$N2831)&gt;0,ISNUMBER(MATCH($X2831,계정대체기준!$D$77:$D$86,0)),ISNUMBER(MATCH($F2831,계정대체기준!$D$77:$D$86,0))),"Y","N")))</f>
        <v/>
      </c>
    </row>
    <row r="2832">
      <c r="A2832" s="92" t="n">
        <v>2026</v>
      </c>
      <c r="B2832" s="92" t="n">
        <v>1</v>
      </c>
      <c r="C2832" s="92" t="inlineStr">
        <is>
          <t>5100000110</t>
        </is>
      </c>
      <c r="D2832" s="95" t="n">
        <v>46037</v>
      </c>
      <c r="E2832" s="92" t="inlineStr">
        <is>
          <t>KR</t>
        </is>
      </c>
      <c r="F2832" s="92" t="n">
        <v>62902000</v>
      </c>
      <c r="G2832" s="92" t="n">
        <v>1801</v>
      </c>
      <c r="H2832" s="93" t="n">
        <v>1853000</v>
      </c>
      <c r="I2832" s="92" t="inlineStr">
        <is>
          <t>1월 콜 위탁 수수료(건별)</t>
        </is>
      </c>
      <c r="J2832" s="92" t="inlineStr">
        <is>
          <t>V10016</t>
        </is>
      </c>
      <c r="K2832" s="92" t="inlineStr">
        <is>
          <t>J콜센터</t>
        </is>
      </c>
      <c r="M2832" s="9">
        <f>IF($A2832="","",VALUE($A2832&amp;"")*12+VALUE($B2832&amp;""))</f>
        <v/>
      </c>
      <c r="N2832" s="64">
        <f>IF($A2832="","",IFERROR(INDEX(부서매핑!$C$5:$C$504,MATCH($G2832&amp;"",부서매핑!$A$5:$A$504,0)),"미매핑"))</f>
        <v/>
      </c>
      <c r="O2832" s="9">
        <f>IF($A2832="","",N2832&amp;"|"&amp;$F2832)</f>
        <v/>
      </c>
      <c r="P2832" s="94">
        <f>IF($A2832="",0,$H2832*설정!$C$23)</f>
        <v/>
      </c>
      <c r="Q2832" s="64">
        <f>IF($A2832="","",IF(O2832&lt;&gt;원인분석!$C$9,"",IF(AND(M2832&gt;=원인분석!$C$10,M2832&lt;=원인분석!$C$11),"당기",IF(AND(M2832&gt;=원인분석!$C$12,M2832&lt;=원인분석!$C$13),"비교",""))))</f>
        <v/>
      </c>
      <c r="R2832" s="9">
        <f>IF(Q2832="","",$K2832&amp;"")</f>
        <v/>
      </c>
      <c r="S2832" s="9">
        <f>IF(Q2832="","",IF(MATCH(R2832,$R$5:$R$100000,0)=ROW()-4,ROW(),""))</f>
        <v/>
      </c>
      <c r="T2832" s="9">
        <f>IF(Q2832="당기",ABS(P2832)+ROW()/1000000000,"")</f>
        <v/>
      </c>
      <c r="U2832" s="9">
        <f>IF(Q2832="비교",ABS(P2832)+ROW()/1000000000,"")</f>
        <v/>
      </c>
      <c r="V2832" s="64">
        <f>IF($A2832="","",IF(COUNTIF(변동분석!$E$7:$E$506,O2832)&gt;0,"Y","N"))</f>
        <v/>
      </c>
      <c r="W2832" s="64">
        <f>IF($A2832="","",IFERROR(INDEX(계정매핑!$D$5:$D$504,MATCH($F2832&amp;"",계정매핑!$A$5:$A$504,0)),"미매핑"))</f>
        <v/>
      </c>
      <c r="X2832" s="9">
        <f>IF($A2832="","",$F2832&amp;"")</f>
        <v/>
      </c>
      <c r="Y2832" s="94">
        <f>IF($A2832="",0,IF(AE2832="직접",IF(AF2832="비귀속",$P2832,0),$P2832*(1-AG2832)*IFERROR(INDEX(계정대체기준!$F$20:$F$49,MATCH($N2832,계정대체기준!$A$20:$A$49,0)),1)))</f>
        <v/>
      </c>
      <c r="Z2832" s="94">
        <f>IF($A2832="",0,IF(AE2832="직접",IF(AF2832="신계약비",$P2832,0),$P2832*(1-AG2832)*IFERROR(INDEX(계정대체기준!$C$20:$C$49,MATCH($N2832,계정대체기준!$A$20:$A$49,0)),0)))</f>
        <v/>
      </c>
      <c r="AA2832" s="94">
        <f>IF($A2832="",0,IF(AE2832="직접",IF(OR(AF2832="유지비",AF2832="손해조사비"),$P2832,0),$P2832*(1-AG2832)*IFERROR(INDEX(계정대체기준!$D$20:$D$49,MATCH($N2832,계정대체기준!$A$20:$A$49,0)),0)))</f>
        <v/>
      </c>
      <c r="AB2832" s="94">
        <f>IF($A2832="",0,IF(AE2832="직접",IF(AF2832="수금비",$P2832,0),$P2832*(1-AG2832)*IFERROR(INDEX(계정대체기준!$E$20:$E$49,MATCH($N2832,계정대체기준!$A$20:$A$49,0)),0)))</f>
        <v/>
      </c>
      <c r="AC2832" s="9">
        <f>IF(AND($A2832&lt;&gt;"",M2832=설정!$C$20,Z2832&gt;0),Z2832+ROW()/1000000000,"")</f>
        <v/>
      </c>
      <c r="AD2832" s="94">
        <f>IF($A2832="",0,$P2832*AG2832)</f>
        <v/>
      </c>
      <c r="AE2832" s="64">
        <f>IF($A2832="","",IFERROR(INDEX(계정매핑!$E$5:$E$504,MATCH($F2832&amp;"",계정매핑!$A$5:$A$504,0))&amp;"","공통비"))</f>
        <v/>
      </c>
      <c r="AF2832" s="64">
        <f>IF($A2832="","",IF(AE2832="직접",IFERROR(INDEX(계정매핑!$F$5:$F$504,MATCH($F2832&amp;"",계정매핑!$A$5:$A$504,0))&amp;"","비귀속"),""))</f>
        <v/>
      </c>
      <c r="AG2832" s="96">
        <f>IF($A2832="",0,IF(AND(AE2832&lt;&gt;"직접",IFERROR(INDEX(계정매핑!$G$5:$G$504,MATCH($F2832&amp;"",계정매핑!$A$5:$A$504,0))&amp;"","")="유지비",COUNTIF(계정대체기준!$A$6:$A$15,$N2832)&gt;0),IFERROR(INDEX(계정대체기준!$E$6:$E$15,MATCH(VALUE($A2832&amp;""),계정대체기준!$D$6:$D$15,0)),0),0))</f>
        <v/>
      </c>
      <c r="AH2832" s="64">
        <f>IF($A2832="","",IF(AD2832=0,"",IF(OR(COUNTIF(계정대체기준!$A$77:$A$86,$N2832)&gt;0,ISNUMBER(MATCH($X2832,계정대체기준!$D$77:$D$86,0)),ISNUMBER(MATCH($F2832,계정대체기준!$D$77:$D$86,0))),"Y","N")))</f>
        <v/>
      </c>
    </row>
    <row r="2833">
      <c r="A2833" s="92" t="n">
        <v>2026</v>
      </c>
      <c r="B2833" s="92" t="n">
        <v>1</v>
      </c>
      <c r="C2833" s="92" t="inlineStr">
        <is>
          <t>5100000111</t>
        </is>
      </c>
      <c r="D2833" s="95" t="n">
        <v>46037</v>
      </c>
      <c r="E2833" s="92" t="inlineStr">
        <is>
          <t>KR</t>
        </is>
      </c>
      <c r="F2833" s="92" t="n">
        <v>63001000</v>
      </c>
      <c r="G2833" s="92" t="n">
        <v>1701</v>
      </c>
      <c r="H2833" s="93" t="n">
        <v>34854000</v>
      </c>
      <c r="I2833" s="92" t="inlineStr">
        <is>
          <t>1월 SW 유지보수 - Y소프트</t>
        </is>
      </c>
      <c r="J2833" s="92" t="inlineStr">
        <is>
          <t>V10017</t>
        </is>
      </c>
      <c r="K2833" s="92" t="inlineStr">
        <is>
          <t>Y소프트</t>
        </is>
      </c>
      <c r="M2833" s="9">
        <f>IF($A2833="","",VALUE($A2833&amp;"")*12+VALUE($B2833&amp;""))</f>
        <v/>
      </c>
      <c r="N2833" s="64">
        <f>IF($A2833="","",IFERROR(INDEX(부서매핑!$C$5:$C$504,MATCH($G2833&amp;"",부서매핑!$A$5:$A$504,0)),"미매핑"))</f>
        <v/>
      </c>
      <c r="O2833" s="9">
        <f>IF($A2833="","",N2833&amp;"|"&amp;$F2833)</f>
        <v/>
      </c>
      <c r="P2833" s="94">
        <f>IF($A2833="",0,$H2833*설정!$C$23)</f>
        <v/>
      </c>
      <c r="Q2833" s="64">
        <f>IF($A2833="","",IF(O2833&lt;&gt;원인분석!$C$9,"",IF(AND(M2833&gt;=원인분석!$C$10,M2833&lt;=원인분석!$C$11),"당기",IF(AND(M2833&gt;=원인분석!$C$12,M2833&lt;=원인분석!$C$13),"비교",""))))</f>
        <v/>
      </c>
      <c r="R2833" s="9">
        <f>IF(Q2833="","",$K2833&amp;"")</f>
        <v/>
      </c>
      <c r="S2833" s="9">
        <f>IF(Q2833="","",IF(MATCH(R2833,$R$5:$R$100000,0)=ROW()-4,ROW(),""))</f>
        <v/>
      </c>
      <c r="T2833" s="9">
        <f>IF(Q2833="당기",ABS(P2833)+ROW()/1000000000,"")</f>
        <v/>
      </c>
      <c r="U2833" s="9">
        <f>IF(Q2833="비교",ABS(P2833)+ROW()/1000000000,"")</f>
        <v/>
      </c>
      <c r="V2833" s="64">
        <f>IF($A2833="","",IF(COUNTIF(변동분석!$E$7:$E$506,O2833)&gt;0,"Y","N"))</f>
        <v/>
      </c>
      <c r="W2833" s="64">
        <f>IF($A2833="","",IFERROR(INDEX(계정매핑!$D$5:$D$504,MATCH($F2833&amp;"",계정매핑!$A$5:$A$504,0)),"미매핑"))</f>
        <v/>
      </c>
      <c r="X2833" s="9">
        <f>IF($A2833="","",$F2833&amp;"")</f>
        <v/>
      </c>
      <c r="Y2833" s="94">
        <f>IF($A2833="",0,IF(AE2833="직접",IF(AF2833="비귀속",$P2833,0),$P2833*(1-AG2833)*IFERROR(INDEX(계정대체기준!$F$20:$F$49,MATCH($N2833,계정대체기준!$A$20:$A$49,0)),1)))</f>
        <v/>
      </c>
      <c r="Z2833" s="94">
        <f>IF($A2833="",0,IF(AE2833="직접",IF(AF2833="신계약비",$P2833,0),$P2833*(1-AG2833)*IFERROR(INDEX(계정대체기준!$C$20:$C$49,MATCH($N2833,계정대체기준!$A$20:$A$49,0)),0)))</f>
        <v/>
      </c>
      <c r="AA2833" s="94">
        <f>IF($A2833="",0,IF(AE2833="직접",IF(OR(AF2833="유지비",AF2833="손해조사비"),$P2833,0),$P2833*(1-AG2833)*IFERROR(INDEX(계정대체기준!$D$20:$D$49,MATCH($N2833,계정대체기준!$A$20:$A$49,0)),0)))</f>
        <v/>
      </c>
      <c r="AB2833" s="94">
        <f>IF($A2833="",0,IF(AE2833="직접",IF(AF2833="수금비",$P2833,0),$P2833*(1-AG2833)*IFERROR(INDEX(계정대체기준!$E$20:$E$49,MATCH($N2833,계정대체기준!$A$20:$A$49,0)),0)))</f>
        <v/>
      </c>
      <c r="AC2833" s="9">
        <f>IF(AND($A2833&lt;&gt;"",M2833=설정!$C$20,Z2833&gt;0),Z2833+ROW()/1000000000,"")</f>
        <v/>
      </c>
      <c r="AD2833" s="94">
        <f>IF($A2833="",0,$P2833*AG2833)</f>
        <v/>
      </c>
      <c r="AE2833" s="64">
        <f>IF($A2833="","",IFERROR(INDEX(계정매핑!$E$5:$E$504,MATCH($F2833&amp;"",계정매핑!$A$5:$A$504,0))&amp;"","공통비"))</f>
        <v/>
      </c>
      <c r="AF2833" s="64">
        <f>IF($A2833="","",IF(AE2833="직접",IFERROR(INDEX(계정매핑!$F$5:$F$504,MATCH($F2833&amp;"",계정매핑!$A$5:$A$504,0))&amp;"","비귀속"),""))</f>
        <v/>
      </c>
      <c r="AG2833" s="96">
        <f>IF($A2833="",0,IF(AND(AE2833&lt;&gt;"직접",IFERROR(INDEX(계정매핑!$G$5:$G$504,MATCH($F2833&amp;"",계정매핑!$A$5:$A$504,0))&amp;"","")="유지비",COUNTIF(계정대체기준!$A$6:$A$15,$N2833)&gt;0),IFERROR(INDEX(계정대체기준!$E$6:$E$15,MATCH(VALUE($A2833&amp;""),계정대체기준!$D$6:$D$15,0)),0),0))</f>
        <v/>
      </c>
      <c r="AH2833" s="64">
        <f>IF($A2833="","",IF(AD2833=0,"",IF(OR(COUNTIF(계정대체기준!$A$77:$A$86,$N2833)&gt;0,ISNUMBER(MATCH($X2833,계정대체기준!$D$77:$D$86,0)),ISNUMBER(MATCH($F2833,계정대체기준!$D$77:$D$86,0))),"Y","N")))</f>
        <v/>
      </c>
    </row>
    <row r="2834">
      <c r="A2834" s="92" t="n">
        <v>2026</v>
      </c>
      <c r="B2834" s="92" t="n">
        <v>1</v>
      </c>
      <c r="C2834" s="92" t="inlineStr">
        <is>
          <t>5100000112</t>
        </is>
      </c>
      <c r="D2834" s="95" t="n">
        <v>46037</v>
      </c>
      <c r="E2834" s="92" t="inlineStr">
        <is>
          <t>KR</t>
        </is>
      </c>
      <c r="F2834" s="92" t="n">
        <v>63001000</v>
      </c>
      <c r="G2834" s="92" t="n">
        <v>1951</v>
      </c>
      <c r="H2834" s="93" t="n">
        <v>3331000</v>
      </c>
      <c r="I2834" s="92" t="inlineStr">
        <is>
          <t>1월 SW 유지보수 - Y소프트</t>
        </is>
      </c>
      <c r="J2834" s="92" t="inlineStr">
        <is>
          <t>V10017</t>
        </is>
      </c>
      <c r="K2834" s="92" t="inlineStr">
        <is>
          <t>Y소프트</t>
        </is>
      </c>
      <c r="M2834" s="9">
        <f>IF($A2834="","",VALUE($A2834&amp;"")*12+VALUE($B2834&amp;""))</f>
        <v/>
      </c>
      <c r="N2834" s="64">
        <f>IF($A2834="","",IFERROR(INDEX(부서매핑!$C$5:$C$504,MATCH($G2834&amp;"",부서매핑!$A$5:$A$504,0)),"미매핑"))</f>
        <v/>
      </c>
      <c r="O2834" s="9">
        <f>IF($A2834="","",N2834&amp;"|"&amp;$F2834)</f>
        <v/>
      </c>
      <c r="P2834" s="94">
        <f>IF($A2834="",0,$H2834*설정!$C$23)</f>
        <v/>
      </c>
      <c r="Q2834" s="64">
        <f>IF($A2834="","",IF(O2834&lt;&gt;원인분석!$C$9,"",IF(AND(M2834&gt;=원인분석!$C$10,M2834&lt;=원인분석!$C$11),"당기",IF(AND(M2834&gt;=원인분석!$C$12,M2834&lt;=원인분석!$C$13),"비교",""))))</f>
        <v/>
      </c>
      <c r="R2834" s="9">
        <f>IF(Q2834="","",$K2834&amp;"")</f>
        <v/>
      </c>
      <c r="S2834" s="9">
        <f>IF(Q2834="","",IF(MATCH(R2834,$R$5:$R$100000,0)=ROW()-4,ROW(),""))</f>
        <v/>
      </c>
      <c r="T2834" s="9">
        <f>IF(Q2834="당기",ABS(P2834)+ROW()/1000000000,"")</f>
        <v/>
      </c>
      <c r="U2834" s="9">
        <f>IF(Q2834="비교",ABS(P2834)+ROW()/1000000000,"")</f>
        <v/>
      </c>
      <c r="V2834" s="64">
        <f>IF($A2834="","",IF(COUNTIF(변동분석!$E$7:$E$506,O2834)&gt;0,"Y","N"))</f>
        <v/>
      </c>
      <c r="W2834" s="64">
        <f>IF($A2834="","",IFERROR(INDEX(계정매핑!$D$5:$D$504,MATCH($F2834&amp;"",계정매핑!$A$5:$A$504,0)),"미매핑"))</f>
        <v/>
      </c>
      <c r="X2834" s="9">
        <f>IF($A2834="","",$F2834&amp;"")</f>
        <v/>
      </c>
      <c r="Y2834" s="94">
        <f>IF($A2834="",0,IF(AE2834="직접",IF(AF2834="비귀속",$P2834,0),$P2834*(1-AG2834)*IFERROR(INDEX(계정대체기준!$F$20:$F$49,MATCH($N2834,계정대체기준!$A$20:$A$49,0)),1)))</f>
        <v/>
      </c>
      <c r="Z2834" s="94">
        <f>IF($A2834="",0,IF(AE2834="직접",IF(AF2834="신계약비",$P2834,0),$P2834*(1-AG2834)*IFERROR(INDEX(계정대체기준!$C$20:$C$49,MATCH($N2834,계정대체기준!$A$20:$A$49,0)),0)))</f>
        <v/>
      </c>
      <c r="AA2834" s="94">
        <f>IF($A2834="",0,IF(AE2834="직접",IF(OR(AF2834="유지비",AF2834="손해조사비"),$P2834,0),$P2834*(1-AG2834)*IFERROR(INDEX(계정대체기준!$D$20:$D$49,MATCH($N2834,계정대체기준!$A$20:$A$49,0)),0)))</f>
        <v/>
      </c>
      <c r="AB2834" s="94">
        <f>IF($A2834="",0,IF(AE2834="직접",IF(AF2834="수금비",$P2834,0),$P2834*(1-AG2834)*IFERROR(INDEX(계정대체기준!$E$20:$E$49,MATCH($N2834,계정대체기준!$A$20:$A$49,0)),0)))</f>
        <v/>
      </c>
      <c r="AC2834" s="9">
        <f>IF(AND($A2834&lt;&gt;"",M2834=설정!$C$20,Z2834&gt;0),Z2834+ROW()/1000000000,"")</f>
        <v/>
      </c>
      <c r="AD2834" s="94">
        <f>IF($A2834="",0,$P2834*AG2834)</f>
        <v/>
      </c>
      <c r="AE2834" s="64">
        <f>IF($A2834="","",IFERROR(INDEX(계정매핑!$E$5:$E$504,MATCH($F2834&amp;"",계정매핑!$A$5:$A$504,0))&amp;"","공통비"))</f>
        <v/>
      </c>
      <c r="AF2834" s="64">
        <f>IF($A2834="","",IF(AE2834="직접",IFERROR(INDEX(계정매핑!$F$5:$F$504,MATCH($F2834&amp;"",계정매핑!$A$5:$A$504,0))&amp;"","비귀속"),""))</f>
        <v/>
      </c>
      <c r="AG2834" s="96">
        <f>IF($A2834="",0,IF(AND(AE2834&lt;&gt;"직접",IFERROR(INDEX(계정매핑!$G$5:$G$504,MATCH($F2834&amp;"",계정매핑!$A$5:$A$504,0))&amp;"","")="유지비",COUNTIF(계정대체기준!$A$6:$A$15,$N2834)&gt;0),IFERROR(INDEX(계정대체기준!$E$6:$E$15,MATCH(VALUE($A2834&amp;""),계정대체기준!$D$6:$D$15,0)),0),0))</f>
        <v/>
      </c>
      <c r="AH2834" s="64">
        <f>IF($A2834="","",IF(AD2834=0,"",IF(OR(COUNTIF(계정대체기준!$A$77:$A$86,$N2834)&gt;0,ISNUMBER(MATCH($X2834,계정대체기준!$D$77:$D$86,0)),ISNUMBER(MATCH($F2834,계정대체기준!$D$77:$D$86,0))),"Y","N")))</f>
        <v/>
      </c>
    </row>
    <row r="2835">
      <c r="A2835" s="92" t="n">
        <v>2026</v>
      </c>
      <c r="B2835" s="92" t="n">
        <v>1</v>
      </c>
      <c r="C2835" s="92" t="inlineStr">
        <is>
          <t>5100000113</t>
        </is>
      </c>
      <c r="D2835" s="95" t="n">
        <v>46037</v>
      </c>
      <c r="E2835" s="92" t="inlineStr">
        <is>
          <t>KR</t>
        </is>
      </c>
      <c r="F2835" s="92" t="n">
        <v>63001000</v>
      </c>
      <c r="G2835" s="92" t="n">
        <v>1951</v>
      </c>
      <c r="H2835" s="93" t="n">
        <v>3266000</v>
      </c>
      <c r="I2835" s="92" t="inlineStr">
        <is>
          <t>1월 SW 유지보수 - Z시스템</t>
        </is>
      </c>
      <c r="J2835" s="92" t="inlineStr">
        <is>
          <t>V10012</t>
        </is>
      </c>
      <c r="K2835" s="92" t="inlineStr">
        <is>
          <t>Z시스템</t>
        </is>
      </c>
      <c r="M2835" s="9">
        <f>IF($A2835="","",VALUE($A2835&amp;"")*12+VALUE($B2835&amp;""))</f>
        <v/>
      </c>
      <c r="N2835" s="64">
        <f>IF($A2835="","",IFERROR(INDEX(부서매핑!$C$5:$C$504,MATCH($G2835&amp;"",부서매핑!$A$5:$A$504,0)),"미매핑"))</f>
        <v/>
      </c>
      <c r="O2835" s="9">
        <f>IF($A2835="","",N2835&amp;"|"&amp;$F2835)</f>
        <v/>
      </c>
      <c r="P2835" s="94">
        <f>IF($A2835="",0,$H2835*설정!$C$23)</f>
        <v/>
      </c>
      <c r="Q2835" s="64">
        <f>IF($A2835="","",IF(O2835&lt;&gt;원인분석!$C$9,"",IF(AND(M2835&gt;=원인분석!$C$10,M2835&lt;=원인분석!$C$11),"당기",IF(AND(M2835&gt;=원인분석!$C$12,M2835&lt;=원인분석!$C$13),"비교",""))))</f>
        <v/>
      </c>
      <c r="R2835" s="9">
        <f>IF(Q2835="","",$K2835&amp;"")</f>
        <v/>
      </c>
      <c r="S2835" s="9">
        <f>IF(Q2835="","",IF(MATCH(R2835,$R$5:$R$100000,0)=ROW()-4,ROW(),""))</f>
        <v/>
      </c>
      <c r="T2835" s="9">
        <f>IF(Q2835="당기",ABS(P2835)+ROW()/1000000000,"")</f>
        <v/>
      </c>
      <c r="U2835" s="9">
        <f>IF(Q2835="비교",ABS(P2835)+ROW()/1000000000,"")</f>
        <v/>
      </c>
      <c r="V2835" s="64">
        <f>IF($A2835="","",IF(COUNTIF(변동분석!$E$7:$E$506,O2835)&gt;0,"Y","N"))</f>
        <v/>
      </c>
      <c r="W2835" s="64">
        <f>IF($A2835="","",IFERROR(INDEX(계정매핑!$D$5:$D$504,MATCH($F2835&amp;"",계정매핑!$A$5:$A$504,0)),"미매핑"))</f>
        <v/>
      </c>
      <c r="X2835" s="9">
        <f>IF($A2835="","",$F2835&amp;"")</f>
        <v/>
      </c>
      <c r="Y2835" s="94">
        <f>IF($A2835="",0,IF(AE2835="직접",IF(AF2835="비귀속",$P2835,0),$P2835*(1-AG2835)*IFERROR(INDEX(계정대체기준!$F$20:$F$49,MATCH($N2835,계정대체기준!$A$20:$A$49,0)),1)))</f>
        <v/>
      </c>
      <c r="Z2835" s="94">
        <f>IF($A2835="",0,IF(AE2835="직접",IF(AF2835="신계약비",$P2835,0),$P2835*(1-AG2835)*IFERROR(INDEX(계정대체기준!$C$20:$C$49,MATCH($N2835,계정대체기준!$A$20:$A$49,0)),0)))</f>
        <v/>
      </c>
      <c r="AA2835" s="94">
        <f>IF($A2835="",0,IF(AE2835="직접",IF(OR(AF2835="유지비",AF2835="손해조사비"),$P2835,0),$P2835*(1-AG2835)*IFERROR(INDEX(계정대체기준!$D$20:$D$49,MATCH($N2835,계정대체기준!$A$20:$A$49,0)),0)))</f>
        <v/>
      </c>
      <c r="AB2835" s="94">
        <f>IF($A2835="",0,IF(AE2835="직접",IF(AF2835="수금비",$P2835,0),$P2835*(1-AG2835)*IFERROR(INDEX(계정대체기준!$E$20:$E$49,MATCH($N2835,계정대체기준!$A$20:$A$49,0)),0)))</f>
        <v/>
      </c>
      <c r="AC2835" s="9">
        <f>IF(AND($A2835&lt;&gt;"",M2835=설정!$C$20,Z2835&gt;0),Z2835+ROW()/1000000000,"")</f>
        <v/>
      </c>
      <c r="AD2835" s="94">
        <f>IF($A2835="",0,$P2835*AG2835)</f>
        <v/>
      </c>
      <c r="AE2835" s="64">
        <f>IF($A2835="","",IFERROR(INDEX(계정매핑!$E$5:$E$504,MATCH($F2835&amp;"",계정매핑!$A$5:$A$504,0))&amp;"","공통비"))</f>
        <v/>
      </c>
      <c r="AF2835" s="64">
        <f>IF($A2835="","",IF(AE2835="직접",IFERROR(INDEX(계정매핑!$F$5:$F$504,MATCH($F2835&amp;"",계정매핑!$A$5:$A$504,0))&amp;"","비귀속"),""))</f>
        <v/>
      </c>
      <c r="AG2835" s="96">
        <f>IF($A2835="",0,IF(AND(AE2835&lt;&gt;"직접",IFERROR(INDEX(계정매핑!$G$5:$G$504,MATCH($F2835&amp;"",계정매핑!$A$5:$A$504,0))&amp;"","")="유지비",COUNTIF(계정대체기준!$A$6:$A$15,$N2835)&gt;0),IFERROR(INDEX(계정대체기준!$E$6:$E$15,MATCH(VALUE($A2835&amp;""),계정대체기준!$D$6:$D$15,0)),0),0))</f>
        <v/>
      </c>
      <c r="AH2835" s="64">
        <f>IF($A2835="","",IF(AD2835=0,"",IF(OR(COUNTIF(계정대체기준!$A$77:$A$86,$N2835)&gt;0,ISNUMBER(MATCH($X2835,계정대체기준!$D$77:$D$86,0)),ISNUMBER(MATCH($F2835,계정대체기준!$D$77:$D$86,0))),"Y","N")))</f>
        <v/>
      </c>
    </row>
    <row r="2836">
      <c r="A2836" s="92" t="n">
        <v>2026</v>
      </c>
      <c r="B2836" s="92" t="n">
        <v>1</v>
      </c>
      <c r="C2836" s="92" t="inlineStr">
        <is>
          <t>5100000114</t>
        </is>
      </c>
      <c r="D2836" s="95" t="n">
        <v>46037</v>
      </c>
      <c r="E2836" s="92" t="inlineStr">
        <is>
          <t>KR</t>
        </is>
      </c>
      <c r="F2836" s="92" t="n">
        <v>63101000</v>
      </c>
      <c r="G2836" s="92" t="n">
        <v>1601</v>
      </c>
      <c r="H2836" s="93" t="n">
        <v>4229000</v>
      </c>
      <c r="I2836" s="92" t="inlineStr">
        <is>
          <t>1월 사무실 임차료 - BB부동산</t>
        </is>
      </c>
      <c r="J2836" s="92" t="inlineStr">
        <is>
          <t>V10028</t>
        </is>
      </c>
      <c r="K2836" s="92" t="inlineStr">
        <is>
          <t>BB부동산</t>
        </is>
      </c>
      <c r="M2836" s="9">
        <f>IF($A2836="","",VALUE($A2836&amp;"")*12+VALUE($B2836&amp;""))</f>
        <v/>
      </c>
      <c r="N2836" s="64">
        <f>IF($A2836="","",IFERROR(INDEX(부서매핑!$C$5:$C$504,MATCH($G2836&amp;"",부서매핑!$A$5:$A$504,0)),"미매핑"))</f>
        <v/>
      </c>
      <c r="O2836" s="9">
        <f>IF($A2836="","",N2836&amp;"|"&amp;$F2836)</f>
        <v/>
      </c>
      <c r="P2836" s="94">
        <f>IF($A2836="",0,$H2836*설정!$C$23)</f>
        <v/>
      </c>
      <c r="Q2836" s="64">
        <f>IF($A2836="","",IF(O2836&lt;&gt;원인분석!$C$9,"",IF(AND(M2836&gt;=원인분석!$C$10,M2836&lt;=원인분석!$C$11),"당기",IF(AND(M2836&gt;=원인분석!$C$12,M2836&lt;=원인분석!$C$13),"비교",""))))</f>
        <v/>
      </c>
      <c r="R2836" s="9">
        <f>IF(Q2836="","",$K2836&amp;"")</f>
        <v/>
      </c>
      <c r="S2836" s="9">
        <f>IF(Q2836="","",IF(MATCH(R2836,$R$5:$R$100000,0)=ROW()-4,ROW(),""))</f>
        <v/>
      </c>
      <c r="T2836" s="9">
        <f>IF(Q2836="당기",ABS(P2836)+ROW()/1000000000,"")</f>
        <v/>
      </c>
      <c r="U2836" s="9">
        <f>IF(Q2836="비교",ABS(P2836)+ROW()/1000000000,"")</f>
        <v/>
      </c>
      <c r="V2836" s="64">
        <f>IF($A2836="","",IF(COUNTIF(변동분석!$E$7:$E$506,O2836)&gt;0,"Y","N"))</f>
        <v/>
      </c>
      <c r="W2836" s="64">
        <f>IF($A2836="","",IFERROR(INDEX(계정매핑!$D$5:$D$504,MATCH($F2836&amp;"",계정매핑!$A$5:$A$504,0)),"미매핑"))</f>
        <v/>
      </c>
      <c r="X2836" s="9">
        <f>IF($A2836="","",$F2836&amp;"")</f>
        <v/>
      </c>
      <c r="Y2836" s="94">
        <f>IF($A2836="",0,IF(AE2836="직접",IF(AF2836="비귀속",$P2836,0),$P2836*(1-AG2836)*IFERROR(INDEX(계정대체기준!$F$20:$F$49,MATCH($N2836,계정대체기준!$A$20:$A$49,0)),1)))</f>
        <v/>
      </c>
      <c r="Z2836" s="94">
        <f>IF($A2836="",0,IF(AE2836="직접",IF(AF2836="신계약비",$P2836,0),$P2836*(1-AG2836)*IFERROR(INDEX(계정대체기준!$C$20:$C$49,MATCH($N2836,계정대체기준!$A$20:$A$49,0)),0)))</f>
        <v/>
      </c>
      <c r="AA2836" s="94">
        <f>IF($A2836="",0,IF(AE2836="직접",IF(OR(AF2836="유지비",AF2836="손해조사비"),$P2836,0),$P2836*(1-AG2836)*IFERROR(INDEX(계정대체기준!$D$20:$D$49,MATCH($N2836,계정대체기준!$A$20:$A$49,0)),0)))</f>
        <v/>
      </c>
      <c r="AB2836" s="94">
        <f>IF($A2836="",0,IF(AE2836="직접",IF(AF2836="수금비",$P2836,0),$P2836*(1-AG2836)*IFERROR(INDEX(계정대체기준!$E$20:$E$49,MATCH($N2836,계정대체기준!$A$20:$A$49,0)),0)))</f>
        <v/>
      </c>
      <c r="AC2836" s="9">
        <f>IF(AND($A2836&lt;&gt;"",M2836=설정!$C$20,Z2836&gt;0),Z2836+ROW()/1000000000,"")</f>
        <v/>
      </c>
      <c r="AD2836" s="94">
        <f>IF($A2836="",0,$P2836*AG2836)</f>
        <v/>
      </c>
      <c r="AE2836" s="64">
        <f>IF($A2836="","",IFERROR(INDEX(계정매핑!$E$5:$E$504,MATCH($F2836&amp;"",계정매핑!$A$5:$A$504,0))&amp;"","공통비"))</f>
        <v/>
      </c>
      <c r="AF2836" s="64">
        <f>IF($A2836="","",IF(AE2836="직접",IFERROR(INDEX(계정매핑!$F$5:$F$504,MATCH($F2836&amp;"",계정매핑!$A$5:$A$504,0))&amp;"","비귀속"),""))</f>
        <v/>
      </c>
      <c r="AG2836" s="96">
        <f>IF($A2836="",0,IF(AND(AE2836&lt;&gt;"직접",IFERROR(INDEX(계정매핑!$G$5:$G$504,MATCH($F2836&amp;"",계정매핑!$A$5:$A$504,0))&amp;"","")="유지비",COUNTIF(계정대체기준!$A$6:$A$15,$N2836)&gt;0),IFERROR(INDEX(계정대체기준!$E$6:$E$15,MATCH(VALUE($A2836&amp;""),계정대체기준!$D$6:$D$15,0)),0),0))</f>
        <v/>
      </c>
      <c r="AH2836" s="64">
        <f>IF($A2836="","",IF(AD2836=0,"",IF(OR(COUNTIF(계정대체기준!$A$77:$A$86,$N2836)&gt;0,ISNUMBER(MATCH($X2836,계정대체기준!$D$77:$D$86,0)),ISNUMBER(MATCH($F2836,계정대체기준!$D$77:$D$86,0))),"Y","N")))</f>
        <v/>
      </c>
    </row>
    <row r="2837">
      <c r="A2837" s="92" t="n">
        <v>2026</v>
      </c>
      <c r="B2837" s="92" t="n">
        <v>1</v>
      </c>
      <c r="C2837" s="92" t="inlineStr">
        <is>
          <t>5100000115</t>
        </is>
      </c>
      <c r="D2837" s="95" t="n">
        <v>46038</v>
      </c>
      <c r="E2837" s="92" t="inlineStr">
        <is>
          <t>KR</t>
        </is>
      </c>
      <c r="F2837" s="92" t="n">
        <v>62101000</v>
      </c>
      <c r="G2837" s="92" t="n">
        <v>1101</v>
      </c>
      <c r="H2837" s="93" t="n">
        <v>760000</v>
      </c>
      <c r="I2837" s="92" t="inlineStr">
        <is>
          <t>1월 국내출장 - (법인카드)</t>
        </is>
      </c>
      <c r="J2837" s="92" t="inlineStr">
        <is>
          <t>V10010</t>
        </is>
      </c>
      <c r="K2837" s="92" t="inlineStr">
        <is>
          <t>(법인카드)</t>
        </is>
      </c>
      <c r="M2837" s="9">
        <f>IF($A2837="","",VALUE($A2837&amp;"")*12+VALUE($B2837&amp;""))</f>
        <v/>
      </c>
      <c r="N2837" s="64">
        <f>IF($A2837="","",IFERROR(INDEX(부서매핑!$C$5:$C$504,MATCH($G2837&amp;"",부서매핑!$A$5:$A$504,0)),"미매핑"))</f>
        <v/>
      </c>
      <c r="O2837" s="9">
        <f>IF($A2837="","",N2837&amp;"|"&amp;$F2837)</f>
        <v/>
      </c>
      <c r="P2837" s="94">
        <f>IF($A2837="",0,$H2837*설정!$C$23)</f>
        <v/>
      </c>
      <c r="Q2837" s="64">
        <f>IF($A2837="","",IF(O2837&lt;&gt;원인분석!$C$9,"",IF(AND(M2837&gt;=원인분석!$C$10,M2837&lt;=원인분석!$C$11),"당기",IF(AND(M2837&gt;=원인분석!$C$12,M2837&lt;=원인분석!$C$13),"비교",""))))</f>
        <v/>
      </c>
      <c r="R2837" s="9">
        <f>IF(Q2837="","",$K2837&amp;"")</f>
        <v/>
      </c>
      <c r="S2837" s="9">
        <f>IF(Q2837="","",IF(MATCH(R2837,$R$5:$R$100000,0)=ROW()-4,ROW(),""))</f>
        <v/>
      </c>
      <c r="T2837" s="9">
        <f>IF(Q2837="당기",ABS(P2837)+ROW()/1000000000,"")</f>
        <v/>
      </c>
      <c r="U2837" s="9">
        <f>IF(Q2837="비교",ABS(P2837)+ROW()/1000000000,"")</f>
        <v/>
      </c>
      <c r="V2837" s="64">
        <f>IF($A2837="","",IF(COUNTIF(변동분석!$E$7:$E$506,O2837)&gt;0,"Y","N"))</f>
        <v/>
      </c>
      <c r="W2837" s="64">
        <f>IF($A2837="","",IFERROR(INDEX(계정매핑!$D$5:$D$504,MATCH($F2837&amp;"",계정매핑!$A$5:$A$504,0)),"미매핑"))</f>
        <v/>
      </c>
      <c r="X2837" s="9">
        <f>IF($A2837="","",$F2837&amp;"")</f>
        <v/>
      </c>
      <c r="Y2837" s="94">
        <f>IF($A2837="",0,IF(AE2837="직접",IF(AF2837="비귀속",$P2837,0),$P2837*(1-AG2837)*IFERROR(INDEX(계정대체기준!$F$20:$F$49,MATCH($N2837,계정대체기준!$A$20:$A$49,0)),1)))</f>
        <v/>
      </c>
      <c r="Z2837" s="94">
        <f>IF($A2837="",0,IF(AE2837="직접",IF(AF2837="신계약비",$P2837,0),$P2837*(1-AG2837)*IFERROR(INDEX(계정대체기준!$C$20:$C$49,MATCH($N2837,계정대체기준!$A$20:$A$49,0)),0)))</f>
        <v/>
      </c>
      <c r="AA2837" s="94">
        <f>IF($A2837="",0,IF(AE2837="직접",IF(OR(AF2837="유지비",AF2837="손해조사비"),$P2837,0),$P2837*(1-AG2837)*IFERROR(INDEX(계정대체기준!$D$20:$D$49,MATCH($N2837,계정대체기준!$A$20:$A$49,0)),0)))</f>
        <v/>
      </c>
      <c r="AB2837" s="94">
        <f>IF($A2837="",0,IF(AE2837="직접",IF(AF2837="수금비",$P2837,0),$P2837*(1-AG2837)*IFERROR(INDEX(계정대체기준!$E$20:$E$49,MATCH($N2837,계정대체기준!$A$20:$A$49,0)),0)))</f>
        <v/>
      </c>
      <c r="AC2837" s="9">
        <f>IF(AND($A2837&lt;&gt;"",M2837=설정!$C$20,Z2837&gt;0),Z2837+ROW()/1000000000,"")</f>
        <v/>
      </c>
      <c r="AD2837" s="94">
        <f>IF($A2837="",0,$P2837*AG2837)</f>
        <v/>
      </c>
      <c r="AE2837" s="64">
        <f>IF($A2837="","",IFERROR(INDEX(계정매핑!$E$5:$E$504,MATCH($F2837&amp;"",계정매핑!$A$5:$A$504,0))&amp;"","공통비"))</f>
        <v/>
      </c>
      <c r="AF2837" s="64">
        <f>IF($A2837="","",IF(AE2837="직접",IFERROR(INDEX(계정매핑!$F$5:$F$504,MATCH($F2837&amp;"",계정매핑!$A$5:$A$504,0))&amp;"","비귀속"),""))</f>
        <v/>
      </c>
      <c r="AG2837" s="96">
        <f>IF($A2837="",0,IF(AND(AE2837&lt;&gt;"직접",IFERROR(INDEX(계정매핑!$G$5:$G$504,MATCH($F2837&amp;"",계정매핑!$A$5:$A$504,0))&amp;"","")="유지비",COUNTIF(계정대체기준!$A$6:$A$15,$N2837)&gt;0),IFERROR(INDEX(계정대체기준!$E$6:$E$15,MATCH(VALUE($A2837&amp;""),계정대체기준!$D$6:$D$15,0)),0),0))</f>
        <v/>
      </c>
      <c r="AH2837" s="64">
        <f>IF($A2837="","",IF(AD2837=0,"",IF(OR(COUNTIF(계정대체기준!$A$77:$A$86,$N2837)&gt;0,ISNUMBER(MATCH($X2837,계정대체기준!$D$77:$D$86,0)),ISNUMBER(MATCH($F2837,계정대체기준!$D$77:$D$86,0))),"Y","N")))</f>
        <v/>
      </c>
    </row>
    <row r="2838">
      <c r="A2838" s="92" t="n">
        <v>2026</v>
      </c>
      <c r="B2838" s="92" t="n">
        <v>1</v>
      </c>
      <c r="C2838" s="92" t="inlineStr">
        <is>
          <t>5100000116</t>
        </is>
      </c>
      <c r="D2838" s="95" t="n">
        <v>46038</v>
      </c>
      <c r="E2838" s="92" t="inlineStr">
        <is>
          <t>KR</t>
        </is>
      </c>
      <c r="F2838" s="92" t="n">
        <v>62101000</v>
      </c>
      <c r="G2838" s="92" t="n">
        <v>1601</v>
      </c>
      <c r="H2838" s="93" t="n">
        <v>1204000</v>
      </c>
      <c r="I2838" s="92" t="inlineStr">
        <is>
          <t>1월 국내출장 - M항공</t>
        </is>
      </c>
      <c r="J2838" s="92" t="inlineStr">
        <is>
          <t>V10001</t>
        </is>
      </c>
      <c r="K2838" s="92" t="inlineStr">
        <is>
          <t>M항공</t>
        </is>
      </c>
      <c r="M2838" s="9">
        <f>IF($A2838="","",VALUE($A2838&amp;"")*12+VALUE($B2838&amp;""))</f>
        <v/>
      </c>
      <c r="N2838" s="64">
        <f>IF($A2838="","",IFERROR(INDEX(부서매핑!$C$5:$C$504,MATCH($G2838&amp;"",부서매핑!$A$5:$A$504,0)),"미매핑"))</f>
        <v/>
      </c>
      <c r="O2838" s="9">
        <f>IF($A2838="","",N2838&amp;"|"&amp;$F2838)</f>
        <v/>
      </c>
      <c r="P2838" s="94">
        <f>IF($A2838="",0,$H2838*설정!$C$23)</f>
        <v/>
      </c>
      <c r="Q2838" s="64">
        <f>IF($A2838="","",IF(O2838&lt;&gt;원인분석!$C$9,"",IF(AND(M2838&gt;=원인분석!$C$10,M2838&lt;=원인분석!$C$11),"당기",IF(AND(M2838&gt;=원인분석!$C$12,M2838&lt;=원인분석!$C$13),"비교",""))))</f>
        <v/>
      </c>
      <c r="R2838" s="9">
        <f>IF(Q2838="","",$K2838&amp;"")</f>
        <v/>
      </c>
      <c r="S2838" s="9">
        <f>IF(Q2838="","",IF(MATCH(R2838,$R$5:$R$100000,0)=ROW()-4,ROW(),""))</f>
        <v/>
      </c>
      <c r="T2838" s="9">
        <f>IF(Q2838="당기",ABS(P2838)+ROW()/1000000000,"")</f>
        <v/>
      </c>
      <c r="U2838" s="9">
        <f>IF(Q2838="비교",ABS(P2838)+ROW()/1000000000,"")</f>
        <v/>
      </c>
      <c r="V2838" s="64">
        <f>IF($A2838="","",IF(COUNTIF(변동분석!$E$7:$E$506,O2838)&gt;0,"Y","N"))</f>
        <v/>
      </c>
      <c r="W2838" s="64">
        <f>IF($A2838="","",IFERROR(INDEX(계정매핑!$D$5:$D$504,MATCH($F2838&amp;"",계정매핑!$A$5:$A$504,0)),"미매핑"))</f>
        <v/>
      </c>
      <c r="X2838" s="9">
        <f>IF($A2838="","",$F2838&amp;"")</f>
        <v/>
      </c>
      <c r="Y2838" s="94">
        <f>IF($A2838="",0,IF(AE2838="직접",IF(AF2838="비귀속",$P2838,0),$P2838*(1-AG2838)*IFERROR(INDEX(계정대체기준!$F$20:$F$49,MATCH($N2838,계정대체기준!$A$20:$A$49,0)),1)))</f>
        <v/>
      </c>
      <c r="Z2838" s="94">
        <f>IF($A2838="",0,IF(AE2838="직접",IF(AF2838="신계약비",$P2838,0),$P2838*(1-AG2838)*IFERROR(INDEX(계정대체기준!$C$20:$C$49,MATCH($N2838,계정대체기준!$A$20:$A$49,0)),0)))</f>
        <v/>
      </c>
      <c r="AA2838" s="94">
        <f>IF($A2838="",0,IF(AE2838="직접",IF(OR(AF2838="유지비",AF2838="손해조사비"),$P2838,0),$P2838*(1-AG2838)*IFERROR(INDEX(계정대체기준!$D$20:$D$49,MATCH($N2838,계정대체기준!$A$20:$A$49,0)),0)))</f>
        <v/>
      </c>
      <c r="AB2838" s="94">
        <f>IF($A2838="",0,IF(AE2838="직접",IF(AF2838="수금비",$P2838,0),$P2838*(1-AG2838)*IFERROR(INDEX(계정대체기준!$E$20:$E$49,MATCH($N2838,계정대체기준!$A$20:$A$49,0)),0)))</f>
        <v/>
      </c>
      <c r="AC2838" s="9">
        <f>IF(AND($A2838&lt;&gt;"",M2838=설정!$C$20,Z2838&gt;0),Z2838+ROW()/1000000000,"")</f>
        <v/>
      </c>
      <c r="AD2838" s="94">
        <f>IF($A2838="",0,$P2838*AG2838)</f>
        <v/>
      </c>
      <c r="AE2838" s="64">
        <f>IF($A2838="","",IFERROR(INDEX(계정매핑!$E$5:$E$504,MATCH($F2838&amp;"",계정매핑!$A$5:$A$504,0))&amp;"","공통비"))</f>
        <v/>
      </c>
      <c r="AF2838" s="64">
        <f>IF($A2838="","",IF(AE2838="직접",IFERROR(INDEX(계정매핑!$F$5:$F$504,MATCH($F2838&amp;"",계정매핑!$A$5:$A$504,0))&amp;"","비귀속"),""))</f>
        <v/>
      </c>
      <c r="AG2838" s="96">
        <f>IF($A2838="",0,IF(AND(AE2838&lt;&gt;"직접",IFERROR(INDEX(계정매핑!$G$5:$G$504,MATCH($F2838&amp;"",계정매핑!$A$5:$A$504,0))&amp;"","")="유지비",COUNTIF(계정대체기준!$A$6:$A$15,$N2838)&gt;0),IFERROR(INDEX(계정대체기준!$E$6:$E$15,MATCH(VALUE($A2838&amp;""),계정대체기준!$D$6:$D$15,0)),0),0))</f>
        <v/>
      </c>
      <c r="AH2838" s="64">
        <f>IF($A2838="","",IF(AD2838=0,"",IF(OR(COUNTIF(계정대체기준!$A$77:$A$86,$N2838)&gt;0,ISNUMBER(MATCH($X2838,계정대체기준!$D$77:$D$86,0)),ISNUMBER(MATCH($F2838,계정대체기준!$D$77:$D$86,0))),"Y","N")))</f>
        <v/>
      </c>
    </row>
    <row r="2839">
      <c r="A2839" s="92" t="n">
        <v>2026</v>
      </c>
      <c r="B2839" s="92" t="n">
        <v>1</v>
      </c>
      <c r="C2839" s="92" t="inlineStr">
        <is>
          <t>5100000117</t>
        </is>
      </c>
      <c r="D2839" s="95" t="n">
        <v>46038</v>
      </c>
      <c r="E2839" s="92" t="inlineStr">
        <is>
          <t>KR</t>
        </is>
      </c>
      <c r="F2839" s="92" t="n">
        <v>62101000</v>
      </c>
      <c r="G2839" s="92" t="n">
        <v>1701</v>
      </c>
      <c r="H2839" s="93" t="n">
        <v>174000</v>
      </c>
      <c r="I2839" s="92" t="inlineStr">
        <is>
          <t>1월 국내출장 - M항공</t>
        </is>
      </c>
      <c r="J2839" s="92" t="inlineStr">
        <is>
          <t>V10001</t>
        </is>
      </c>
      <c r="K2839" s="92" t="inlineStr">
        <is>
          <t>M항공</t>
        </is>
      </c>
      <c r="M2839" s="9">
        <f>IF($A2839="","",VALUE($A2839&amp;"")*12+VALUE($B2839&amp;""))</f>
        <v/>
      </c>
      <c r="N2839" s="64">
        <f>IF($A2839="","",IFERROR(INDEX(부서매핑!$C$5:$C$504,MATCH($G2839&amp;"",부서매핑!$A$5:$A$504,0)),"미매핑"))</f>
        <v/>
      </c>
      <c r="O2839" s="9">
        <f>IF($A2839="","",N2839&amp;"|"&amp;$F2839)</f>
        <v/>
      </c>
      <c r="P2839" s="94">
        <f>IF($A2839="",0,$H2839*설정!$C$23)</f>
        <v/>
      </c>
      <c r="Q2839" s="64">
        <f>IF($A2839="","",IF(O2839&lt;&gt;원인분석!$C$9,"",IF(AND(M2839&gt;=원인분석!$C$10,M2839&lt;=원인분석!$C$11),"당기",IF(AND(M2839&gt;=원인분석!$C$12,M2839&lt;=원인분석!$C$13),"비교",""))))</f>
        <v/>
      </c>
      <c r="R2839" s="9">
        <f>IF(Q2839="","",$K2839&amp;"")</f>
        <v/>
      </c>
      <c r="S2839" s="9">
        <f>IF(Q2839="","",IF(MATCH(R2839,$R$5:$R$100000,0)=ROW()-4,ROW(),""))</f>
        <v/>
      </c>
      <c r="T2839" s="9">
        <f>IF(Q2839="당기",ABS(P2839)+ROW()/1000000000,"")</f>
        <v/>
      </c>
      <c r="U2839" s="9">
        <f>IF(Q2839="비교",ABS(P2839)+ROW()/1000000000,"")</f>
        <v/>
      </c>
      <c r="V2839" s="64">
        <f>IF($A2839="","",IF(COUNTIF(변동분석!$E$7:$E$506,O2839)&gt;0,"Y","N"))</f>
        <v/>
      </c>
      <c r="W2839" s="64">
        <f>IF($A2839="","",IFERROR(INDEX(계정매핑!$D$5:$D$504,MATCH($F2839&amp;"",계정매핑!$A$5:$A$504,0)),"미매핑"))</f>
        <v/>
      </c>
      <c r="X2839" s="9">
        <f>IF($A2839="","",$F2839&amp;"")</f>
        <v/>
      </c>
      <c r="Y2839" s="94">
        <f>IF($A2839="",0,IF(AE2839="직접",IF(AF2839="비귀속",$P2839,0),$P2839*(1-AG2839)*IFERROR(INDEX(계정대체기준!$F$20:$F$49,MATCH($N2839,계정대체기준!$A$20:$A$49,0)),1)))</f>
        <v/>
      </c>
      <c r="Z2839" s="94">
        <f>IF($A2839="",0,IF(AE2839="직접",IF(AF2839="신계약비",$P2839,0),$P2839*(1-AG2839)*IFERROR(INDEX(계정대체기준!$C$20:$C$49,MATCH($N2839,계정대체기준!$A$20:$A$49,0)),0)))</f>
        <v/>
      </c>
      <c r="AA2839" s="94">
        <f>IF($A2839="",0,IF(AE2839="직접",IF(OR(AF2839="유지비",AF2839="손해조사비"),$P2839,0),$P2839*(1-AG2839)*IFERROR(INDEX(계정대체기준!$D$20:$D$49,MATCH($N2839,계정대체기준!$A$20:$A$49,0)),0)))</f>
        <v/>
      </c>
      <c r="AB2839" s="94">
        <f>IF($A2839="",0,IF(AE2839="직접",IF(AF2839="수금비",$P2839,0),$P2839*(1-AG2839)*IFERROR(INDEX(계정대체기준!$E$20:$E$49,MATCH($N2839,계정대체기준!$A$20:$A$49,0)),0)))</f>
        <v/>
      </c>
      <c r="AC2839" s="9">
        <f>IF(AND($A2839&lt;&gt;"",M2839=설정!$C$20,Z2839&gt;0),Z2839+ROW()/1000000000,"")</f>
        <v/>
      </c>
      <c r="AD2839" s="94">
        <f>IF($A2839="",0,$P2839*AG2839)</f>
        <v/>
      </c>
      <c r="AE2839" s="64">
        <f>IF($A2839="","",IFERROR(INDEX(계정매핑!$E$5:$E$504,MATCH($F2839&amp;"",계정매핑!$A$5:$A$504,0))&amp;"","공통비"))</f>
        <v/>
      </c>
      <c r="AF2839" s="64">
        <f>IF($A2839="","",IF(AE2839="직접",IFERROR(INDEX(계정매핑!$F$5:$F$504,MATCH($F2839&amp;"",계정매핑!$A$5:$A$504,0))&amp;"","비귀속"),""))</f>
        <v/>
      </c>
      <c r="AG2839" s="96">
        <f>IF($A2839="",0,IF(AND(AE2839&lt;&gt;"직접",IFERROR(INDEX(계정매핑!$G$5:$G$504,MATCH($F2839&amp;"",계정매핑!$A$5:$A$504,0))&amp;"","")="유지비",COUNTIF(계정대체기준!$A$6:$A$15,$N2839)&gt;0),IFERROR(INDEX(계정대체기준!$E$6:$E$15,MATCH(VALUE($A2839&amp;""),계정대체기준!$D$6:$D$15,0)),0),0))</f>
        <v/>
      </c>
      <c r="AH2839" s="64">
        <f>IF($A2839="","",IF(AD2839=0,"",IF(OR(COUNTIF(계정대체기준!$A$77:$A$86,$N2839)&gt;0,ISNUMBER(MATCH($X2839,계정대체기준!$D$77:$D$86,0)),ISNUMBER(MATCH($F2839,계정대체기준!$D$77:$D$86,0))),"Y","N")))</f>
        <v/>
      </c>
    </row>
    <row r="2840">
      <c r="A2840" s="92" t="n">
        <v>2026</v>
      </c>
      <c r="B2840" s="92" t="n">
        <v>1</v>
      </c>
      <c r="C2840" s="92" t="inlineStr">
        <is>
          <t>5100000118</t>
        </is>
      </c>
      <c r="D2840" s="95" t="n">
        <v>46038</v>
      </c>
      <c r="E2840" s="92" t="inlineStr">
        <is>
          <t>KR</t>
        </is>
      </c>
      <c r="F2840" s="92" t="n">
        <v>62102000</v>
      </c>
      <c r="G2840" s="92" t="n">
        <v>1301</v>
      </c>
      <c r="H2840" s="93" t="n">
        <v>59000</v>
      </c>
      <c r="I2840" s="92" t="inlineStr">
        <is>
          <t>1월 해외출장 - N호텔</t>
        </is>
      </c>
      <c r="J2840" s="92" t="inlineStr">
        <is>
          <t>V10009</t>
        </is>
      </c>
      <c r="K2840" s="92" t="inlineStr">
        <is>
          <t>N호텔</t>
        </is>
      </c>
      <c r="M2840" s="9">
        <f>IF($A2840="","",VALUE($A2840&amp;"")*12+VALUE($B2840&amp;""))</f>
        <v/>
      </c>
      <c r="N2840" s="64">
        <f>IF($A2840="","",IFERROR(INDEX(부서매핑!$C$5:$C$504,MATCH($G2840&amp;"",부서매핑!$A$5:$A$504,0)),"미매핑"))</f>
        <v/>
      </c>
      <c r="O2840" s="9">
        <f>IF($A2840="","",N2840&amp;"|"&amp;$F2840)</f>
        <v/>
      </c>
      <c r="P2840" s="94">
        <f>IF($A2840="",0,$H2840*설정!$C$23)</f>
        <v/>
      </c>
      <c r="Q2840" s="64">
        <f>IF($A2840="","",IF(O2840&lt;&gt;원인분석!$C$9,"",IF(AND(M2840&gt;=원인분석!$C$10,M2840&lt;=원인분석!$C$11),"당기",IF(AND(M2840&gt;=원인분석!$C$12,M2840&lt;=원인분석!$C$13),"비교",""))))</f>
        <v/>
      </c>
      <c r="R2840" s="9">
        <f>IF(Q2840="","",$K2840&amp;"")</f>
        <v/>
      </c>
      <c r="S2840" s="9">
        <f>IF(Q2840="","",IF(MATCH(R2840,$R$5:$R$100000,0)=ROW()-4,ROW(),""))</f>
        <v/>
      </c>
      <c r="T2840" s="9">
        <f>IF(Q2840="당기",ABS(P2840)+ROW()/1000000000,"")</f>
        <v/>
      </c>
      <c r="U2840" s="9">
        <f>IF(Q2840="비교",ABS(P2840)+ROW()/1000000000,"")</f>
        <v/>
      </c>
      <c r="V2840" s="64">
        <f>IF($A2840="","",IF(COUNTIF(변동분석!$E$7:$E$506,O2840)&gt;0,"Y","N"))</f>
        <v/>
      </c>
      <c r="W2840" s="64">
        <f>IF($A2840="","",IFERROR(INDEX(계정매핑!$D$5:$D$504,MATCH($F2840&amp;"",계정매핑!$A$5:$A$504,0)),"미매핑"))</f>
        <v/>
      </c>
      <c r="X2840" s="9">
        <f>IF($A2840="","",$F2840&amp;"")</f>
        <v/>
      </c>
      <c r="Y2840" s="94">
        <f>IF($A2840="",0,IF(AE2840="직접",IF(AF2840="비귀속",$P2840,0),$P2840*(1-AG2840)*IFERROR(INDEX(계정대체기준!$F$20:$F$49,MATCH($N2840,계정대체기준!$A$20:$A$49,0)),1)))</f>
        <v/>
      </c>
      <c r="Z2840" s="94">
        <f>IF($A2840="",0,IF(AE2840="직접",IF(AF2840="신계약비",$P2840,0),$P2840*(1-AG2840)*IFERROR(INDEX(계정대체기준!$C$20:$C$49,MATCH($N2840,계정대체기준!$A$20:$A$49,0)),0)))</f>
        <v/>
      </c>
      <c r="AA2840" s="94">
        <f>IF($A2840="",0,IF(AE2840="직접",IF(OR(AF2840="유지비",AF2840="손해조사비"),$P2840,0),$P2840*(1-AG2840)*IFERROR(INDEX(계정대체기준!$D$20:$D$49,MATCH($N2840,계정대체기준!$A$20:$A$49,0)),0)))</f>
        <v/>
      </c>
      <c r="AB2840" s="94">
        <f>IF($A2840="",0,IF(AE2840="직접",IF(AF2840="수금비",$P2840,0),$P2840*(1-AG2840)*IFERROR(INDEX(계정대체기준!$E$20:$E$49,MATCH($N2840,계정대체기준!$A$20:$A$49,0)),0)))</f>
        <v/>
      </c>
      <c r="AC2840" s="9">
        <f>IF(AND($A2840&lt;&gt;"",M2840=설정!$C$20,Z2840&gt;0),Z2840+ROW()/1000000000,"")</f>
        <v/>
      </c>
      <c r="AD2840" s="94">
        <f>IF($A2840="",0,$P2840*AG2840)</f>
        <v/>
      </c>
      <c r="AE2840" s="64">
        <f>IF($A2840="","",IFERROR(INDEX(계정매핑!$E$5:$E$504,MATCH($F2840&amp;"",계정매핑!$A$5:$A$504,0))&amp;"","공통비"))</f>
        <v/>
      </c>
      <c r="AF2840" s="64">
        <f>IF($A2840="","",IF(AE2840="직접",IFERROR(INDEX(계정매핑!$F$5:$F$504,MATCH($F2840&amp;"",계정매핑!$A$5:$A$504,0))&amp;"","비귀속"),""))</f>
        <v/>
      </c>
      <c r="AG2840" s="96">
        <f>IF($A2840="",0,IF(AND(AE2840&lt;&gt;"직접",IFERROR(INDEX(계정매핑!$G$5:$G$504,MATCH($F2840&amp;"",계정매핑!$A$5:$A$504,0))&amp;"","")="유지비",COUNTIF(계정대체기준!$A$6:$A$15,$N2840)&gt;0),IFERROR(INDEX(계정대체기준!$E$6:$E$15,MATCH(VALUE($A2840&amp;""),계정대체기준!$D$6:$D$15,0)),0),0))</f>
        <v/>
      </c>
      <c r="AH2840" s="64">
        <f>IF($A2840="","",IF(AD2840=0,"",IF(OR(COUNTIF(계정대체기준!$A$77:$A$86,$N2840)&gt;0,ISNUMBER(MATCH($X2840,계정대체기준!$D$77:$D$86,0)),ISNUMBER(MATCH($F2840,계정대체기준!$D$77:$D$86,0))),"Y","N")))</f>
        <v/>
      </c>
    </row>
    <row r="2841">
      <c r="A2841" s="92" t="n">
        <v>2026</v>
      </c>
      <c r="B2841" s="92" t="n">
        <v>1</v>
      </c>
      <c r="C2841" s="92" t="inlineStr">
        <is>
          <t>5100000119</t>
        </is>
      </c>
      <c r="D2841" s="95" t="n">
        <v>46038</v>
      </c>
      <c r="E2841" s="92" t="inlineStr">
        <is>
          <t>KR</t>
        </is>
      </c>
      <c r="F2841" s="92" t="n">
        <v>62201000</v>
      </c>
      <c r="G2841" s="92" t="n">
        <v>1601</v>
      </c>
      <c r="H2841" s="93" t="n">
        <v>831000</v>
      </c>
      <c r="I2841" s="92" t="inlineStr">
        <is>
          <t>1월 통신요금 - P통신</t>
        </is>
      </c>
      <c r="J2841" s="92" t="inlineStr">
        <is>
          <t>V10014</t>
        </is>
      </c>
      <c r="K2841" s="92" t="inlineStr">
        <is>
          <t>P통신</t>
        </is>
      </c>
      <c r="M2841" s="9">
        <f>IF($A2841="","",VALUE($A2841&amp;"")*12+VALUE($B2841&amp;""))</f>
        <v/>
      </c>
      <c r="N2841" s="64">
        <f>IF($A2841="","",IFERROR(INDEX(부서매핑!$C$5:$C$504,MATCH($G2841&amp;"",부서매핑!$A$5:$A$504,0)),"미매핑"))</f>
        <v/>
      </c>
      <c r="O2841" s="9">
        <f>IF($A2841="","",N2841&amp;"|"&amp;$F2841)</f>
        <v/>
      </c>
      <c r="P2841" s="94">
        <f>IF($A2841="",0,$H2841*설정!$C$23)</f>
        <v/>
      </c>
      <c r="Q2841" s="64">
        <f>IF($A2841="","",IF(O2841&lt;&gt;원인분석!$C$9,"",IF(AND(M2841&gt;=원인분석!$C$10,M2841&lt;=원인분석!$C$11),"당기",IF(AND(M2841&gt;=원인분석!$C$12,M2841&lt;=원인분석!$C$13),"비교",""))))</f>
        <v/>
      </c>
      <c r="R2841" s="9">
        <f>IF(Q2841="","",$K2841&amp;"")</f>
        <v/>
      </c>
      <c r="S2841" s="9">
        <f>IF(Q2841="","",IF(MATCH(R2841,$R$5:$R$100000,0)=ROW()-4,ROW(),""))</f>
        <v/>
      </c>
      <c r="T2841" s="9">
        <f>IF(Q2841="당기",ABS(P2841)+ROW()/1000000000,"")</f>
        <v/>
      </c>
      <c r="U2841" s="9">
        <f>IF(Q2841="비교",ABS(P2841)+ROW()/1000000000,"")</f>
        <v/>
      </c>
      <c r="V2841" s="64">
        <f>IF($A2841="","",IF(COUNTIF(변동분석!$E$7:$E$506,O2841)&gt;0,"Y","N"))</f>
        <v/>
      </c>
      <c r="W2841" s="64">
        <f>IF($A2841="","",IFERROR(INDEX(계정매핑!$D$5:$D$504,MATCH($F2841&amp;"",계정매핑!$A$5:$A$504,0)),"미매핑"))</f>
        <v/>
      </c>
      <c r="X2841" s="9">
        <f>IF($A2841="","",$F2841&amp;"")</f>
        <v/>
      </c>
      <c r="Y2841" s="94">
        <f>IF($A2841="",0,IF(AE2841="직접",IF(AF2841="비귀속",$P2841,0),$P2841*(1-AG2841)*IFERROR(INDEX(계정대체기준!$F$20:$F$49,MATCH($N2841,계정대체기준!$A$20:$A$49,0)),1)))</f>
        <v/>
      </c>
      <c r="Z2841" s="94">
        <f>IF($A2841="",0,IF(AE2841="직접",IF(AF2841="신계약비",$P2841,0),$P2841*(1-AG2841)*IFERROR(INDEX(계정대체기준!$C$20:$C$49,MATCH($N2841,계정대체기준!$A$20:$A$49,0)),0)))</f>
        <v/>
      </c>
      <c r="AA2841" s="94">
        <f>IF($A2841="",0,IF(AE2841="직접",IF(OR(AF2841="유지비",AF2841="손해조사비"),$P2841,0),$P2841*(1-AG2841)*IFERROR(INDEX(계정대체기준!$D$20:$D$49,MATCH($N2841,계정대체기준!$A$20:$A$49,0)),0)))</f>
        <v/>
      </c>
      <c r="AB2841" s="94">
        <f>IF($A2841="",0,IF(AE2841="직접",IF(AF2841="수금비",$P2841,0),$P2841*(1-AG2841)*IFERROR(INDEX(계정대체기준!$E$20:$E$49,MATCH($N2841,계정대체기준!$A$20:$A$49,0)),0)))</f>
        <v/>
      </c>
      <c r="AC2841" s="9">
        <f>IF(AND($A2841&lt;&gt;"",M2841=설정!$C$20,Z2841&gt;0),Z2841+ROW()/1000000000,"")</f>
        <v/>
      </c>
      <c r="AD2841" s="94">
        <f>IF($A2841="",0,$P2841*AG2841)</f>
        <v/>
      </c>
      <c r="AE2841" s="64">
        <f>IF($A2841="","",IFERROR(INDEX(계정매핑!$E$5:$E$504,MATCH($F2841&amp;"",계정매핑!$A$5:$A$504,0))&amp;"","공통비"))</f>
        <v/>
      </c>
      <c r="AF2841" s="64">
        <f>IF($A2841="","",IF(AE2841="직접",IFERROR(INDEX(계정매핑!$F$5:$F$504,MATCH($F2841&amp;"",계정매핑!$A$5:$A$504,0))&amp;"","비귀속"),""))</f>
        <v/>
      </c>
      <c r="AG2841" s="96">
        <f>IF($A2841="",0,IF(AND(AE2841&lt;&gt;"직접",IFERROR(INDEX(계정매핑!$G$5:$G$504,MATCH($F2841&amp;"",계정매핑!$A$5:$A$504,0))&amp;"","")="유지비",COUNTIF(계정대체기준!$A$6:$A$15,$N2841)&gt;0),IFERROR(INDEX(계정대체기준!$E$6:$E$15,MATCH(VALUE($A2841&amp;""),계정대체기준!$D$6:$D$15,0)),0),0))</f>
        <v/>
      </c>
      <c r="AH2841" s="64">
        <f>IF($A2841="","",IF(AD2841=0,"",IF(OR(COUNTIF(계정대체기준!$A$77:$A$86,$N2841)&gt;0,ISNUMBER(MATCH($X2841,계정대체기준!$D$77:$D$86,0)),ISNUMBER(MATCH($F2841,계정대체기준!$D$77:$D$86,0))),"Y","N")))</f>
        <v/>
      </c>
    </row>
    <row r="2842">
      <c r="A2842" s="92" t="n">
        <v>2026</v>
      </c>
      <c r="B2842" s="92" t="n">
        <v>1</v>
      </c>
      <c r="C2842" s="92" t="inlineStr">
        <is>
          <t>5100000120</t>
        </is>
      </c>
      <c r="D2842" s="95" t="n">
        <v>46038</v>
      </c>
      <c r="E2842" s="92" t="inlineStr">
        <is>
          <t>KR</t>
        </is>
      </c>
      <c r="F2842" s="92" t="n">
        <v>62401000</v>
      </c>
      <c r="G2842" s="92" t="n">
        <v>1501</v>
      </c>
      <c r="H2842" s="93" t="n">
        <v>2259000</v>
      </c>
      <c r="I2842" s="92" t="inlineStr">
        <is>
          <t>1월 인쇄물 제작 - G인쇄</t>
        </is>
      </c>
      <c r="J2842" s="92" t="inlineStr">
        <is>
          <t>V10004</t>
        </is>
      </c>
      <c r="K2842" s="92" t="inlineStr">
        <is>
          <t>G인쇄</t>
        </is>
      </c>
      <c r="M2842" s="9">
        <f>IF($A2842="","",VALUE($A2842&amp;"")*12+VALUE($B2842&amp;""))</f>
        <v/>
      </c>
      <c r="N2842" s="64">
        <f>IF($A2842="","",IFERROR(INDEX(부서매핑!$C$5:$C$504,MATCH($G2842&amp;"",부서매핑!$A$5:$A$504,0)),"미매핑"))</f>
        <v/>
      </c>
      <c r="O2842" s="9">
        <f>IF($A2842="","",N2842&amp;"|"&amp;$F2842)</f>
        <v/>
      </c>
      <c r="P2842" s="94">
        <f>IF($A2842="",0,$H2842*설정!$C$23)</f>
        <v/>
      </c>
      <c r="Q2842" s="64">
        <f>IF($A2842="","",IF(O2842&lt;&gt;원인분석!$C$9,"",IF(AND(M2842&gt;=원인분석!$C$10,M2842&lt;=원인분석!$C$11),"당기",IF(AND(M2842&gt;=원인분석!$C$12,M2842&lt;=원인분석!$C$13),"비교",""))))</f>
        <v/>
      </c>
      <c r="R2842" s="9">
        <f>IF(Q2842="","",$K2842&amp;"")</f>
        <v/>
      </c>
      <c r="S2842" s="9">
        <f>IF(Q2842="","",IF(MATCH(R2842,$R$5:$R$100000,0)=ROW()-4,ROW(),""))</f>
        <v/>
      </c>
      <c r="T2842" s="9">
        <f>IF(Q2842="당기",ABS(P2842)+ROW()/1000000000,"")</f>
        <v/>
      </c>
      <c r="U2842" s="9">
        <f>IF(Q2842="비교",ABS(P2842)+ROW()/1000000000,"")</f>
        <v/>
      </c>
      <c r="V2842" s="64">
        <f>IF($A2842="","",IF(COUNTIF(변동분석!$E$7:$E$506,O2842)&gt;0,"Y","N"))</f>
        <v/>
      </c>
      <c r="W2842" s="64">
        <f>IF($A2842="","",IFERROR(INDEX(계정매핑!$D$5:$D$504,MATCH($F2842&amp;"",계정매핑!$A$5:$A$504,0)),"미매핑"))</f>
        <v/>
      </c>
      <c r="X2842" s="9">
        <f>IF($A2842="","",$F2842&amp;"")</f>
        <v/>
      </c>
      <c r="Y2842" s="94">
        <f>IF($A2842="",0,IF(AE2842="직접",IF(AF2842="비귀속",$P2842,0),$P2842*(1-AG2842)*IFERROR(INDEX(계정대체기준!$F$20:$F$49,MATCH($N2842,계정대체기준!$A$20:$A$49,0)),1)))</f>
        <v/>
      </c>
      <c r="Z2842" s="94">
        <f>IF($A2842="",0,IF(AE2842="직접",IF(AF2842="신계약비",$P2842,0),$P2842*(1-AG2842)*IFERROR(INDEX(계정대체기준!$C$20:$C$49,MATCH($N2842,계정대체기준!$A$20:$A$49,0)),0)))</f>
        <v/>
      </c>
      <c r="AA2842" s="94">
        <f>IF($A2842="",0,IF(AE2842="직접",IF(OR(AF2842="유지비",AF2842="손해조사비"),$P2842,0),$P2842*(1-AG2842)*IFERROR(INDEX(계정대체기준!$D$20:$D$49,MATCH($N2842,계정대체기준!$A$20:$A$49,0)),0)))</f>
        <v/>
      </c>
      <c r="AB2842" s="94">
        <f>IF($A2842="",0,IF(AE2842="직접",IF(AF2842="수금비",$P2842,0),$P2842*(1-AG2842)*IFERROR(INDEX(계정대체기준!$E$20:$E$49,MATCH($N2842,계정대체기준!$A$20:$A$49,0)),0)))</f>
        <v/>
      </c>
      <c r="AC2842" s="9">
        <f>IF(AND($A2842&lt;&gt;"",M2842=설정!$C$20,Z2842&gt;0),Z2842+ROW()/1000000000,"")</f>
        <v/>
      </c>
      <c r="AD2842" s="94">
        <f>IF($A2842="",0,$P2842*AG2842)</f>
        <v/>
      </c>
      <c r="AE2842" s="64">
        <f>IF($A2842="","",IFERROR(INDEX(계정매핑!$E$5:$E$504,MATCH($F2842&amp;"",계정매핑!$A$5:$A$504,0))&amp;"","공통비"))</f>
        <v/>
      </c>
      <c r="AF2842" s="64">
        <f>IF($A2842="","",IF(AE2842="직접",IFERROR(INDEX(계정매핑!$F$5:$F$504,MATCH($F2842&amp;"",계정매핑!$A$5:$A$504,0))&amp;"","비귀속"),""))</f>
        <v/>
      </c>
      <c r="AG2842" s="96">
        <f>IF($A2842="",0,IF(AND(AE2842&lt;&gt;"직접",IFERROR(INDEX(계정매핑!$G$5:$G$504,MATCH($F2842&amp;"",계정매핑!$A$5:$A$504,0))&amp;"","")="유지비",COUNTIF(계정대체기준!$A$6:$A$15,$N2842)&gt;0),IFERROR(INDEX(계정대체기준!$E$6:$E$15,MATCH(VALUE($A2842&amp;""),계정대체기준!$D$6:$D$15,0)),0),0))</f>
        <v/>
      </c>
      <c r="AH2842" s="64">
        <f>IF($A2842="","",IF(AD2842=0,"",IF(OR(COUNTIF(계정대체기준!$A$77:$A$86,$N2842)&gt;0,ISNUMBER(MATCH($X2842,계정대체기준!$D$77:$D$86,0)),ISNUMBER(MATCH($F2842,계정대체기준!$D$77:$D$86,0))),"Y","N")))</f>
        <v/>
      </c>
    </row>
    <row r="2843">
      <c r="A2843" s="92" t="n">
        <v>2026</v>
      </c>
      <c r="B2843" s="92" t="n">
        <v>1</v>
      </c>
      <c r="C2843" s="92" t="inlineStr">
        <is>
          <t>5100000121</t>
        </is>
      </c>
      <c r="D2843" s="95" t="n">
        <v>46038</v>
      </c>
      <c r="E2843" s="92" t="inlineStr">
        <is>
          <t>KR</t>
        </is>
      </c>
      <c r="F2843" s="92" t="n">
        <v>62501000</v>
      </c>
      <c r="G2843" s="92" t="n">
        <v>1301</v>
      </c>
      <c r="H2843" s="93" t="n">
        <v>205000</v>
      </c>
      <c r="I2843" s="92" t="inlineStr">
        <is>
          <t>1월 회의 다과 - T케이터링</t>
        </is>
      </c>
      <c r="J2843" s="92" t="inlineStr">
        <is>
          <t>V10005</t>
        </is>
      </c>
      <c r="K2843" s="92" t="inlineStr">
        <is>
          <t>T케이터링</t>
        </is>
      </c>
      <c r="M2843" s="9">
        <f>IF($A2843="","",VALUE($A2843&amp;"")*12+VALUE($B2843&amp;""))</f>
        <v/>
      </c>
      <c r="N2843" s="64">
        <f>IF($A2843="","",IFERROR(INDEX(부서매핑!$C$5:$C$504,MATCH($G2843&amp;"",부서매핑!$A$5:$A$504,0)),"미매핑"))</f>
        <v/>
      </c>
      <c r="O2843" s="9">
        <f>IF($A2843="","",N2843&amp;"|"&amp;$F2843)</f>
        <v/>
      </c>
      <c r="P2843" s="94">
        <f>IF($A2843="",0,$H2843*설정!$C$23)</f>
        <v/>
      </c>
      <c r="Q2843" s="64">
        <f>IF($A2843="","",IF(O2843&lt;&gt;원인분석!$C$9,"",IF(AND(M2843&gt;=원인분석!$C$10,M2843&lt;=원인분석!$C$11),"당기",IF(AND(M2843&gt;=원인분석!$C$12,M2843&lt;=원인분석!$C$13),"비교",""))))</f>
        <v/>
      </c>
      <c r="R2843" s="9">
        <f>IF(Q2843="","",$K2843&amp;"")</f>
        <v/>
      </c>
      <c r="S2843" s="9">
        <f>IF(Q2843="","",IF(MATCH(R2843,$R$5:$R$100000,0)=ROW()-4,ROW(),""))</f>
        <v/>
      </c>
      <c r="T2843" s="9">
        <f>IF(Q2843="당기",ABS(P2843)+ROW()/1000000000,"")</f>
        <v/>
      </c>
      <c r="U2843" s="9">
        <f>IF(Q2843="비교",ABS(P2843)+ROW()/1000000000,"")</f>
        <v/>
      </c>
      <c r="V2843" s="64">
        <f>IF($A2843="","",IF(COUNTIF(변동분석!$E$7:$E$506,O2843)&gt;0,"Y","N"))</f>
        <v/>
      </c>
      <c r="W2843" s="64">
        <f>IF($A2843="","",IFERROR(INDEX(계정매핑!$D$5:$D$504,MATCH($F2843&amp;"",계정매핑!$A$5:$A$504,0)),"미매핑"))</f>
        <v/>
      </c>
      <c r="X2843" s="9">
        <f>IF($A2843="","",$F2843&amp;"")</f>
        <v/>
      </c>
      <c r="Y2843" s="94">
        <f>IF($A2843="",0,IF(AE2843="직접",IF(AF2843="비귀속",$P2843,0),$P2843*(1-AG2843)*IFERROR(INDEX(계정대체기준!$F$20:$F$49,MATCH($N2843,계정대체기준!$A$20:$A$49,0)),1)))</f>
        <v/>
      </c>
      <c r="Z2843" s="94">
        <f>IF($A2843="",0,IF(AE2843="직접",IF(AF2843="신계약비",$P2843,0),$P2843*(1-AG2843)*IFERROR(INDEX(계정대체기준!$C$20:$C$49,MATCH($N2843,계정대체기준!$A$20:$A$49,0)),0)))</f>
        <v/>
      </c>
      <c r="AA2843" s="94">
        <f>IF($A2843="",0,IF(AE2843="직접",IF(OR(AF2843="유지비",AF2843="손해조사비"),$P2843,0),$P2843*(1-AG2843)*IFERROR(INDEX(계정대체기준!$D$20:$D$49,MATCH($N2843,계정대체기준!$A$20:$A$49,0)),0)))</f>
        <v/>
      </c>
      <c r="AB2843" s="94">
        <f>IF($A2843="",0,IF(AE2843="직접",IF(AF2843="수금비",$P2843,0),$P2843*(1-AG2843)*IFERROR(INDEX(계정대체기준!$E$20:$E$49,MATCH($N2843,계정대체기준!$A$20:$A$49,0)),0)))</f>
        <v/>
      </c>
      <c r="AC2843" s="9">
        <f>IF(AND($A2843&lt;&gt;"",M2843=설정!$C$20,Z2843&gt;0),Z2843+ROW()/1000000000,"")</f>
        <v/>
      </c>
      <c r="AD2843" s="94">
        <f>IF($A2843="",0,$P2843*AG2843)</f>
        <v/>
      </c>
      <c r="AE2843" s="64">
        <f>IF($A2843="","",IFERROR(INDEX(계정매핑!$E$5:$E$504,MATCH($F2843&amp;"",계정매핑!$A$5:$A$504,0))&amp;"","공통비"))</f>
        <v/>
      </c>
      <c r="AF2843" s="64">
        <f>IF($A2843="","",IF(AE2843="직접",IFERROR(INDEX(계정매핑!$F$5:$F$504,MATCH($F2843&amp;"",계정매핑!$A$5:$A$504,0))&amp;"","비귀속"),""))</f>
        <v/>
      </c>
      <c r="AG2843" s="96">
        <f>IF($A2843="",0,IF(AND(AE2843&lt;&gt;"직접",IFERROR(INDEX(계정매핑!$G$5:$G$504,MATCH($F2843&amp;"",계정매핑!$A$5:$A$504,0))&amp;"","")="유지비",COUNTIF(계정대체기준!$A$6:$A$15,$N2843)&gt;0),IFERROR(INDEX(계정대체기준!$E$6:$E$15,MATCH(VALUE($A2843&amp;""),계정대체기준!$D$6:$D$15,0)),0),0))</f>
        <v/>
      </c>
      <c r="AH2843" s="64">
        <f>IF($A2843="","",IF(AD2843=0,"",IF(OR(COUNTIF(계정대체기준!$A$77:$A$86,$N2843)&gt;0,ISNUMBER(MATCH($X2843,계정대체기준!$D$77:$D$86,0)),ISNUMBER(MATCH($F2843,계정대체기준!$D$77:$D$86,0))),"Y","N")))</f>
        <v/>
      </c>
    </row>
    <row r="2844">
      <c r="A2844" s="92" t="n">
        <v>2026</v>
      </c>
      <c r="B2844" s="92" t="n">
        <v>1</v>
      </c>
      <c r="C2844" s="92" t="inlineStr">
        <is>
          <t>5100000122</t>
        </is>
      </c>
      <c r="D2844" s="95" t="n">
        <v>46038</v>
      </c>
      <c r="E2844" s="92" t="inlineStr">
        <is>
          <t>KR</t>
        </is>
      </c>
      <c r="F2844" s="92" t="n">
        <v>62901000</v>
      </c>
      <c r="G2844" s="92" t="n">
        <v>1201</v>
      </c>
      <c r="H2844" s="93" t="n">
        <v>6868000</v>
      </c>
      <c r="I2844" s="92" t="inlineStr">
        <is>
          <t>1월 자문 수수료 - K회계법인</t>
        </is>
      </c>
      <c r="J2844" s="92" t="inlineStr">
        <is>
          <t>V10011</t>
        </is>
      </c>
      <c r="K2844" s="92" t="inlineStr">
        <is>
          <t>K회계법인</t>
        </is>
      </c>
      <c r="M2844" s="9">
        <f>IF($A2844="","",VALUE($A2844&amp;"")*12+VALUE($B2844&amp;""))</f>
        <v/>
      </c>
      <c r="N2844" s="64">
        <f>IF($A2844="","",IFERROR(INDEX(부서매핑!$C$5:$C$504,MATCH($G2844&amp;"",부서매핑!$A$5:$A$504,0)),"미매핑"))</f>
        <v/>
      </c>
      <c r="O2844" s="9">
        <f>IF($A2844="","",N2844&amp;"|"&amp;$F2844)</f>
        <v/>
      </c>
      <c r="P2844" s="94">
        <f>IF($A2844="",0,$H2844*설정!$C$23)</f>
        <v/>
      </c>
      <c r="Q2844" s="64">
        <f>IF($A2844="","",IF(O2844&lt;&gt;원인분석!$C$9,"",IF(AND(M2844&gt;=원인분석!$C$10,M2844&lt;=원인분석!$C$11),"당기",IF(AND(M2844&gt;=원인분석!$C$12,M2844&lt;=원인분석!$C$13),"비교",""))))</f>
        <v/>
      </c>
      <c r="R2844" s="9">
        <f>IF(Q2844="","",$K2844&amp;"")</f>
        <v/>
      </c>
      <c r="S2844" s="9">
        <f>IF(Q2844="","",IF(MATCH(R2844,$R$5:$R$100000,0)=ROW()-4,ROW(),""))</f>
        <v/>
      </c>
      <c r="T2844" s="9">
        <f>IF(Q2844="당기",ABS(P2844)+ROW()/1000000000,"")</f>
        <v/>
      </c>
      <c r="U2844" s="9">
        <f>IF(Q2844="비교",ABS(P2844)+ROW()/1000000000,"")</f>
        <v/>
      </c>
      <c r="V2844" s="64">
        <f>IF($A2844="","",IF(COUNTIF(변동분석!$E$7:$E$506,O2844)&gt;0,"Y","N"))</f>
        <v/>
      </c>
      <c r="W2844" s="64">
        <f>IF($A2844="","",IFERROR(INDEX(계정매핑!$D$5:$D$504,MATCH($F2844&amp;"",계정매핑!$A$5:$A$504,0)),"미매핑"))</f>
        <v/>
      </c>
      <c r="X2844" s="9">
        <f>IF($A2844="","",$F2844&amp;"")</f>
        <v/>
      </c>
      <c r="Y2844" s="94">
        <f>IF($A2844="",0,IF(AE2844="직접",IF(AF2844="비귀속",$P2844,0),$P2844*(1-AG2844)*IFERROR(INDEX(계정대체기준!$F$20:$F$49,MATCH($N2844,계정대체기준!$A$20:$A$49,0)),1)))</f>
        <v/>
      </c>
      <c r="Z2844" s="94">
        <f>IF($A2844="",0,IF(AE2844="직접",IF(AF2844="신계약비",$P2844,0),$P2844*(1-AG2844)*IFERROR(INDEX(계정대체기준!$C$20:$C$49,MATCH($N2844,계정대체기준!$A$20:$A$49,0)),0)))</f>
        <v/>
      </c>
      <c r="AA2844" s="94">
        <f>IF($A2844="",0,IF(AE2844="직접",IF(OR(AF2844="유지비",AF2844="손해조사비"),$P2844,0),$P2844*(1-AG2844)*IFERROR(INDEX(계정대체기준!$D$20:$D$49,MATCH($N2844,계정대체기준!$A$20:$A$49,0)),0)))</f>
        <v/>
      </c>
      <c r="AB2844" s="94">
        <f>IF($A2844="",0,IF(AE2844="직접",IF(AF2844="수금비",$P2844,0),$P2844*(1-AG2844)*IFERROR(INDEX(계정대체기준!$E$20:$E$49,MATCH($N2844,계정대체기준!$A$20:$A$49,0)),0)))</f>
        <v/>
      </c>
      <c r="AC2844" s="9">
        <f>IF(AND($A2844&lt;&gt;"",M2844=설정!$C$20,Z2844&gt;0),Z2844+ROW()/1000000000,"")</f>
        <v/>
      </c>
      <c r="AD2844" s="94">
        <f>IF($A2844="",0,$P2844*AG2844)</f>
        <v/>
      </c>
      <c r="AE2844" s="64">
        <f>IF($A2844="","",IFERROR(INDEX(계정매핑!$E$5:$E$504,MATCH($F2844&amp;"",계정매핑!$A$5:$A$504,0))&amp;"","공통비"))</f>
        <v/>
      </c>
      <c r="AF2844" s="64">
        <f>IF($A2844="","",IF(AE2844="직접",IFERROR(INDEX(계정매핑!$F$5:$F$504,MATCH($F2844&amp;"",계정매핑!$A$5:$A$504,0))&amp;"","비귀속"),""))</f>
        <v/>
      </c>
      <c r="AG2844" s="96">
        <f>IF($A2844="",0,IF(AND(AE2844&lt;&gt;"직접",IFERROR(INDEX(계정매핑!$G$5:$G$504,MATCH($F2844&amp;"",계정매핑!$A$5:$A$504,0))&amp;"","")="유지비",COUNTIF(계정대체기준!$A$6:$A$15,$N2844)&gt;0),IFERROR(INDEX(계정대체기준!$E$6:$E$15,MATCH(VALUE($A2844&amp;""),계정대체기준!$D$6:$D$15,0)),0),0))</f>
        <v/>
      </c>
      <c r="AH2844" s="64">
        <f>IF($A2844="","",IF(AD2844=0,"",IF(OR(COUNTIF(계정대체기준!$A$77:$A$86,$N2844)&gt;0,ISNUMBER(MATCH($X2844,계정대체기준!$D$77:$D$86,0)),ISNUMBER(MATCH($F2844,계정대체기준!$D$77:$D$86,0))),"Y","N")))</f>
        <v/>
      </c>
    </row>
    <row r="2845">
      <c r="A2845" s="92" t="n">
        <v>2026</v>
      </c>
      <c r="B2845" s="92" t="n">
        <v>1</v>
      </c>
      <c r="C2845" s="92" t="inlineStr">
        <is>
          <t>5100000123</t>
        </is>
      </c>
      <c r="D2845" s="95" t="n">
        <v>46038</v>
      </c>
      <c r="E2845" s="92" t="inlineStr">
        <is>
          <t>KR</t>
        </is>
      </c>
      <c r="F2845" s="92" t="n">
        <v>62902000</v>
      </c>
      <c r="G2845" s="92" t="n">
        <v>1951</v>
      </c>
      <c r="H2845" s="93" t="n">
        <v>2559000</v>
      </c>
      <c r="I2845" s="92" t="inlineStr">
        <is>
          <t>1월 업무 위탁 수수료 - J콜센터</t>
        </is>
      </c>
      <c r="J2845" s="92" t="inlineStr">
        <is>
          <t>V10016</t>
        </is>
      </c>
      <c r="K2845" s="92" t="inlineStr">
        <is>
          <t>J콜센터</t>
        </is>
      </c>
      <c r="M2845" s="9">
        <f>IF($A2845="","",VALUE($A2845&amp;"")*12+VALUE($B2845&amp;""))</f>
        <v/>
      </c>
      <c r="N2845" s="64">
        <f>IF($A2845="","",IFERROR(INDEX(부서매핑!$C$5:$C$504,MATCH($G2845&amp;"",부서매핑!$A$5:$A$504,0)),"미매핑"))</f>
        <v/>
      </c>
      <c r="O2845" s="9">
        <f>IF($A2845="","",N2845&amp;"|"&amp;$F2845)</f>
        <v/>
      </c>
      <c r="P2845" s="94">
        <f>IF($A2845="",0,$H2845*설정!$C$23)</f>
        <v/>
      </c>
      <c r="Q2845" s="64">
        <f>IF($A2845="","",IF(O2845&lt;&gt;원인분석!$C$9,"",IF(AND(M2845&gt;=원인분석!$C$10,M2845&lt;=원인분석!$C$11),"당기",IF(AND(M2845&gt;=원인분석!$C$12,M2845&lt;=원인분석!$C$13),"비교",""))))</f>
        <v/>
      </c>
      <c r="R2845" s="9">
        <f>IF(Q2845="","",$K2845&amp;"")</f>
        <v/>
      </c>
      <c r="S2845" s="9">
        <f>IF(Q2845="","",IF(MATCH(R2845,$R$5:$R$100000,0)=ROW()-4,ROW(),""))</f>
        <v/>
      </c>
      <c r="T2845" s="9">
        <f>IF(Q2845="당기",ABS(P2845)+ROW()/1000000000,"")</f>
        <v/>
      </c>
      <c r="U2845" s="9">
        <f>IF(Q2845="비교",ABS(P2845)+ROW()/1000000000,"")</f>
        <v/>
      </c>
      <c r="V2845" s="64">
        <f>IF($A2845="","",IF(COUNTIF(변동분석!$E$7:$E$506,O2845)&gt;0,"Y","N"))</f>
        <v/>
      </c>
      <c r="W2845" s="64">
        <f>IF($A2845="","",IFERROR(INDEX(계정매핑!$D$5:$D$504,MATCH($F2845&amp;"",계정매핑!$A$5:$A$504,0)),"미매핑"))</f>
        <v/>
      </c>
      <c r="X2845" s="9">
        <f>IF($A2845="","",$F2845&amp;"")</f>
        <v/>
      </c>
      <c r="Y2845" s="94">
        <f>IF($A2845="",0,IF(AE2845="직접",IF(AF2845="비귀속",$P2845,0),$P2845*(1-AG2845)*IFERROR(INDEX(계정대체기준!$F$20:$F$49,MATCH($N2845,계정대체기준!$A$20:$A$49,0)),1)))</f>
        <v/>
      </c>
      <c r="Z2845" s="94">
        <f>IF($A2845="",0,IF(AE2845="직접",IF(AF2845="신계약비",$P2845,0),$P2845*(1-AG2845)*IFERROR(INDEX(계정대체기준!$C$20:$C$49,MATCH($N2845,계정대체기준!$A$20:$A$49,0)),0)))</f>
        <v/>
      </c>
      <c r="AA2845" s="94">
        <f>IF($A2845="",0,IF(AE2845="직접",IF(OR(AF2845="유지비",AF2845="손해조사비"),$P2845,0),$P2845*(1-AG2845)*IFERROR(INDEX(계정대체기준!$D$20:$D$49,MATCH($N2845,계정대체기준!$A$20:$A$49,0)),0)))</f>
        <v/>
      </c>
      <c r="AB2845" s="94">
        <f>IF($A2845="",0,IF(AE2845="직접",IF(AF2845="수금비",$P2845,0),$P2845*(1-AG2845)*IFERROR(INDEX(계정대체기준!$E$20:$E$49,MATCH($N2845,계정대체기준!$A$20:$A$49,0)),0)))</f>
        <v/>
      </c>
      <c r="AC2845" s="9">
        <f>IF(AND($A2845&lt;&gt;"",M2845=설정!$C$20,Z2845&gt;0),Z2845+ROW()/1000000000,"")</f>
        <v/>
      </c>
      <c r="AD2845" s="94">
        <f>IF($A2845="",0,$P2845*AG2845)</f>
        <v/>
      </c>
      <c r="AE2845" s="64">
        <f>IF($A2845="","",IFERROR(INDEX(계정매핑!$E$5:$E$504,MATCH($F2845&amp;"",계정매핑!$A$5:$A$504,0))&amp;"","공통비"))</f>
        <v/>
      </c>
      <c r="AF2845" s="64">
        <f>IF($A2845="","",IF(AE2845="직접",IFERROR(INDEX(계정매핑!$F$5:$F$504,MATCH($F2845&amp;"",계정매핑!$A$5:$A$504,0))&amp;"","비귀속"),""))</f>
        <v/>
      </c>
      <c r="AG2845" s="96">
        <f>IF($A2845="",0,IF(AND(AE2845&lt;&gt;"직접",IFERROR(INDEX(계정매핑!$G$5:$G$504,MATCH($F2845&amp;"",계정매핑!$A$5:$A$504,0))&amp;"","")="유지비",COUNTIF(계정대체기준!$A$6:$A$15,$N2845)&gt;0),IFERROR(INDEX(계정대체기준!$E$6:$E$15,MATCH(VALUE($A2845&amp;""),계정대체기준!$D$6:$D$15,0)),0),0))</f>
        <v/>
      </c>
      <c r="AH2845" s="64">
        <f>IF($A2845="","",IF(AD2845=0,"",IF(OR(COUNTIF(계정대체기준!$A$77:$A$86,$N2845)&gt;0,ISNUMBER(MATCH($X2845,계정대체기준!$D$77:$D$86,0)),ISNUMBER(MATCH($F2845,계정대체기준!$D$77:$D$86,0))),"Y","N")))</f>
        <v/>
      </c>
    </row>
    <row r="2846">
      <c r="A2846" s="92" t="n">
        <v>2026</v>
      </c>
      <c r="B2846" s="92" t="n">
        <v>1</v>
      </c>
      <c r="C2846" s="92" t="inlineStr">
        <is>
          <t>5100000124</t>
        </is>
      </c>
      <c r="D2846" s="95" t="n">
        <v>46038</v>
      </c>
      <c r="E2846" s="92" t="inlineStr">
        <is>
          <t>KR</t>
        </is>
      </c>
      <c r="F2846" s="92" t="n">
        <v>63001000</v>
      </c>
      <c r="G2846" s="92" t="n">
        <v>1701</v>
      </c>
      <c r="H2846" s="93" t="n">
        <v>24916000</v>
      </c>
      <c r="I2846" s="92" t="inlineStr">
        <is>
          <t>1월 SW 유지보수 - Y소프트</t>
        </is>
      </c>
      <c r="J2846" s="92" t="inlineStr">
        <is>
          <t>V10017</t>
        </is>
      </c>
      <c r="K2846" s="92" t="inlineStr">
        <is>
          <t>Y소프트</t>
        </is>
      </c>
      <c r="M2846" s="9">
        <f>IF($A2846="","",VALUE($A2846&amp;"")*12+VALUE($B2846&amp;""))</f>
        <v/>
      </c>
      <c r="N2846" s="64">
        <f>IF($A2846="","",IFERROR(INDEX(부서매핑!$C$5:$C$504,MATCH($G2846&amp;"",부서매핑!$A$5:$A$504,0)),"미매핑"))</f>
        <v/>
      </c>
      <c r="O2846" s="9">
        <f>IF($A2846="","",N2846&amp;"|"&amp;$F2846)</f>
        <v/>
      </c>
      <c r="P2846" s="94">
        <f>IF($A2846="",0,$H2846*설정!$C$23)</f>
        <v/>
      </c>
      <c r="Q2846" s="64">
        <f>IF($A2846="","",IF(O2846&lt;&gt;원인분석!$C$9,"",IF(AND(M2846&gt;=원인분석!$C$10,M2846&lt;=원인분석!$C$11),"당기",IF(AND(M2846&gt;=원인분석!$C$12,M2846&lt;=원인분석!$C$13),"비교",""))))</f>
        <v/>
      </c>
      <c r="R2846" s="9">
        <f>IF(Q2846="","",$K2846&amp;"")</f>
        <v/>
      </c>
      <c r="S2846" s="9">
        <f>IF(Q2846="","",IF(MATCH(R2846,$R$5:$R$100000,0)=ROW()-4,ROW(),""))</f>
        <v/>
      </c>
      <c r="T2846" s="9">
        <f>IF(Q2846="당기",ABS(P2846)+ROW()/1000000000,"")</f>
        <v/>
      </c>
      <c r="U2846" s="9">
        <f>IF(Q2846="비교",ABS(P2846)+ROW()/1000000000,"")</f>
        <v/>
      </c>
      <c r="V2846" s="64">
        <f>IF($A2846="","",IF(COUNTIF(변동분석!$E$7:$E$506,O2846)&gt;0,"Y","N"))</f>
        <v/>
      </c>
      <c r="W2846" s="64">
        <f>IF($A2846="","",IFERROR(INDEX(계정매핑!$D$5:$D$504,MATCH($F2846&amp;"",계정매핑!$A$5:$A$504,0)),"미매핑"))</f>
        <v/>
      </c>
      <c r="X2846" s="9">
        <f>IF($A2846="","",$F2846&amp;"")</f>
        <v/>
      </c>
      <c r="Y2846" s="94">
        <f>IF($A2846="",0,IF(AE2846="직접",IF(AF2846="비귀속",$P2846,0),$P2846*(1-AG2846)*IFERROR(INDEX(계정대체기준!$F$20:$F$49,MATCH($N2846,계정대체기준!$A$20:$A$49,0)),1)))</f>
        <v/>
      </c>
      <c r="Z2846" s="94">
        <f>IF($A2846="",0,IF(AE2846="직접",IF(AF2846="신계약비",$P2846,0),$P2846*(1-AG2846)*IFERROR(INDEX(계정대체기준!$C$20:$C$49,MATCH($N2846,계정대체기준!$A$20:$A$49,0)),0)))</f>
        <v/>
      </c>
      <c r="AA2846" s="94">
        <f>IF($A2846="",0,IF(AE2846="직접",IF(OR(AF2846="유지비",AF2846="손해조사비"),$P2846,0),$P2846*(1-AG2846)*IFERROR(INDEX(계정대체기준!$D$20:$D$49,MATCH($N2846,계정대체기준!$A$20:$A$49,0)),0)))</f>
        <v/>
      </c>
      <c r="AB2846" s="94">
        <f>IF($A2846="",0,IF(AE2846="직접",IF(AF2846="수금비",$P2846,0),$P2846*(1-AG2846)*IFERROR(INDEX(계정대체기준!$E$20:$E$49,MATCH($N2846,계정대체기준!$A$20:$A$49,0)),0)))</f>
        <v/>
      </c>
      <c r="AC2846" s="9">
        <f>IF(AND($A2846&lt;&gt;"",M2846=설정!$C$20,Z2846&gt;0),Z2846+ROW()/1000000000,"")</f>
        <v/>
      </c>
      <c r="AD2846" s="94">
        <f>IF($A2846="",0,$P2846*AG2846)</f>
        <v/>
      </c>
      <c r="AE2846" s="64">
        <f>IF($A2846="","",IFERROR(INDEX(계정매핑!$E$5:$E$504,MATCH($F2846&amp;"",계정매핑!$A$5:$A$504,0))&amp;"","공통비"))</f>
        <v/>
      </c>
      <c r="AF2846" s="64">
        <f>IF($A2846="","",IF(AE2846="직접",IFERROR(INDEX(계정매핑!$F$5:$F$504,MATCH($F2846&amp;"",계정매핑!$A$5:$A$504,0))&amp;"","비귀속"),""))</f>
        <v/>
      </c>
      <c r="AG2846" s="96">
        <f>IF($A2846="",0,IF(AND(AE2846&lt;&gt;"직접",IFERROR(INDEX(계정매핑!$G$5:$G$504,MATCH($F2846&amp;"",계정매핑!$A$5:$A$504,0))&amp;"","")="유지비",COUNTIF(계정대체기준!$A$6:$A$15,$N2846)&gt;0),IFERROR(INDEX(계정대체기준!$E$6:$E$15,MATCH(VALUE($A2846&amp;""),계정대체기준!$D$6:$D$15,0)),0),0))</f>
        <v/>
      </c>
      <c r="AH2846" s="64">
        <f>IF($A2846="","",IF(AD2846=0,"",IF(OR(COUNTIF(계정대체기준!$A$77:$A$86,$N2846)&gt;0,ISNUMBER(MATCH($X2846,계정대체기준!$D$77:$D$86,0)),ISNUMBER(MATCH($F2846,계정대체기준!$D$77:$D$86,0))),"Y","N")))</f>
        <v/>
      </c>
    </row>
    <row r="2847">
      <c r="A2847" s="92" t="n">
        <v>2026</v>
      </c>
      <c r="B2847" s="92" t="n">
        <v>1</v>
      </c>
      <c r="C2847" s="92" t="inlineStr">
        <is>
          <t>5100000125</t>
        </is>
      </c>
      <c r="D2847" s="95" t="n">
        <v>46039</v>
      </c>
      <c r="E2847" s="92" t="inlineStr">
        <is>
          <t>KR</t>
        </is>
      </c>
      <c r="F2847" s="92" t="n">
        <v>62101000</v>
      </c>
      <c r="G2847" s="92" t="n">
        <v>1301</v>
      </c>
      <c r="H2847" s="93" t="n">
        <v>484000</v>
      </c>
      <c r="I2847" s="92" t="inlineStr">
        <is>
          <t>1월 국내출장 - L여행사</t>
        </is>
      </c>
      <c r="J2847" s="92" t="inlineStr">
        <is>
          <t>V10018</t>
        </is>
      </c>
      <c r="K2847" s="92" t="inlineStr">
        <is>
          <t>L여행사</t>
        </is>
      </c>
      <c r="M2847" s="9">
        <f>IF($A2847="","",VALUE($A2847&amp;"")*12+VALUE($B2847&amp;""))</f>
        <v/>
      </c>
      <c r="N2847" s="64">
        <f>IF($A2847="","",IFERROR(INDEX(부서매핑!$C$5:$C$504,MATCH($G2847&amp;"",부서매핑!$A$5:$A$504,0)),"미매핑"))</f>
        <v/>
      </c>
      <c r="O2847" s="9">
        <f>IF($A2847="","",N2847&amp;"|"&amp;$F2847)</f>
        <v/>
      </c>
      <c r="P2847" s="94">
        <f>IF($A2847="",0,$H2847*설정!$C$23)</f>
        <v/>
      </c>
      <c r="Q2847" s="64">
        <f>IF($A2847="","",IF(O2847&lt;&gt;원인분석!$C$9,"",IF(AND(M2847&gt;=원인분석!$C$10,M2847&lt;=원인분석!$C$11),"당기",IF(AND(M2847&gt;=원인분석!$C$12,M2847&lt;=원인분석!$C$13),"비교",""))))</f>
        <v/>
      </c>
      <c r="R2847" s="9">
        <f>IF(Q2847="","",$K2847&amp;"")</f>
        <v/>
      </c>
      <c r="S2847" s="9">
        <f>IF(Q2847="","",IF(MATCH(R2847,$R$5:$R$100000,0)=ROW()-4,ROW(),""))</f>
        <v/>
      </c>
      <c r="T2847" s="9">
        <f>IF(Q2847="당기",ABS(P2847)+ROW()/1000000000,"")</f>
        <v/>
      </c>
      <c r="U2847" s="9">
        <f>IF(Q2847="비교",ABS(P2847)+ROW()/1000000000,"")</f>
        <v/>
      </c>
      <c r="V2847" s="64">
        <f>IF($A2847="","",IF(COUNTIF(변동분석!$E$7:$E$506,O2847)&gt;0,"Y","N"))</f>
        <v/>
      </c>
      <c r="W2847" s="64">
        <f>IF($A2847="","",IFERROR(INDEX(계정매핑!$D$5:$D$504,MATCH($F2847&amp;"",계정매핑!$A$5:$A$504,0)),"미매핑"))</f>
        <v/>
      </c>
      <c r="X2847" s="9">
        <f>IF($A2847="","",$F2847&amp;"")</f>
        <v/>
      </c>
      <c r="Y2847" s="94">
        <f>IF($A2847="",0,IF(AE2847="직접",IF(AF2847="비귀속",$P2847,0),$P2847*(1-AG2847)*IFERROR(INDEX(계정대체기준!$F$20:$F$49,MATCH($N2847,계정대체기준!$A$20:$A$49,0)),1)))</f>
        <v/>
      </c>
      <c r="Z2847" s="94">
        <f>IF($A2847="",0,IF(AE2847="직접",IF(AF2847="신계약비",$P2847,0),$P2847*(1-AG2847)*IFERROR(INDEX(계정대체기준!$C$20:$C$49,MATCH($N2847,계정대체기준!$A$20:$A$49,0)),0)))</f>
        <v/>
      </c>
      <c r="AA2847" s="94">
        <f>IF($A2847="",0,IF(AE2847="직접",IF(OR(AF2847="유지비",AF2847="손해조사비"),$P2847,0),$P2847*(1-AG2847)*IFERROR(INDEX(계정대체기준!$D$20:$D$49,MATCH($N2847,계정대체기준!$A$20:$A$49,0)),0)))</f>
        <v/>
      </c>
      <c r="AB2847" s="94">
        <f>IF($A2847="",0,IF(AE2847="직접",IF(AF2847="수금비",$P2847,0),$P2847*(1-AG2847)*IFERROR(INDEX(계정대체기준!$E$20:$E$49,MATCH($N2847,계정대체기준!$A$20:$A$49,0)),0)))</f>
        <v/>
      </c>
      <c r="AC2847" s="9">
        <f>IF(AND($A2847&lt;&gt;"",M2847=설정!$C$20,Z2847&gt;0),Z2847+ROW()/1000000000,"")</f>
        <v/>
      </c>
      <c r="AD2847" s="94">
        <f>IF($A2847="",0,$P2847*AG2847)</f>
        <v/>
      </c>
      <c r="AE2847" s="64">
        <f>IF($A2847="","",IFERROR(INDEX(계정매핑!$E$5:$E$504,MATCH($F2847&amp;"",계정매핑!$A$5:$A$504,0))&amp;"","공통비"))</f>
        <v/>
      </c>
      <c r="AF2847" s="64">
        <f>IF($A2847="","",IF(AE2847="직접",IFERROR(INDEX(계정매핑!$F$5:$F$504,MATCH($F2847&amp;"",계정매핑!$A$5:$A$504,0))&amp;"","비귀속"),""))</f>
        <v/>
      </c>
      <c r="AG2847" s="96">
        <f>IF($A2847="",0,IF(AND(AE2847&lt;&gt;"직접",IFERROR(INDEX(계정매핑!$G$5:$G$504,MATCH($F2847&amp;"",계정매핑!$A$5:$A$504,0))&amp;"","")="유지비",COUNTIF(계정대체기준!$A$6:$A$15,$N2847)&gt;0),IFERROR(INDEX(계정대체기준!$E$6:$E$15,MATCH(VALUE($A2847&amp;""),계정대체기준!$D$6:$D$15,0)),0),0))</f>
        <v/>
      </c>
      <c r="AH2847" s="64">
        <f>IF($A2847="","",IF(AD2847=0,"",IF(OR(COUNTIF(계정대체기준!$A$77:$A$86,$N2847)&gt;0,ISNUMBER(MATCH($X2847,계정대체기준!$D$77:$D$86,0)),ISNUMBER(MATCH($F2847,계정대체기준!$D$77:$D$86,0))),"Y","N")))</f>
        <v/>
      </c>
    </row>
    <row r="2848">
      <c r="A2848" s="92" t="n">
        <v>2026</v>
      </c>
      <c r="B2848" s="92" t="n">
        <v>1</v>
      </c>
      <c r="C2848" s="92" t="inlineStr">
        <is>
          <t>5100000126</t>
        </is>
      </c>
      <c r="D2848" s="95" t="n">
        <v>46039</v>
      </c>
      <c r="E2848" s="92" t="inlineStr">
        <is>
          <t>KR</t>
        </is>
      </c>
      <c r="F2848" s="92" t="n">
        <v>62102000</v>
      </c>
      <c r="G2848" s="92" t="n">
        <v>1201</v>
      </c>
      <c r="H2848" s="93" t="n">
        <v>52000</v>
      </c>
      <c r="I2848" s="92" t="inlineStr">
        <is>
          <t>1월 해외출장 - M항공</t>
        </is>
      </c>
      <c r="J2848" s="92" t="inlineStr">
        <is>
          <t>V10001</t>
        </is>
      </c>
      <c r="K2848" s="92" t="inlineStr">
        <is>
          <t>M항공</t>
        </is>
      </c>
      <c r="M2848" s="9">
        <f>IF($A2848="","",VALUE($A2848&amp;"")*12+VALUE($B2848&amp;""))</f>
        <v/>
      </c>
      <c r="N2848" s="64">
        <f>IF($A2848="","",IFERROR(INDEX(부서매핑!$C$5:$C$504,MATCH($G2848&amp;"",부서매핑!$A$5:$A$504,0)),"미매핑"))</f>
        <v/>
      </c>
      <c r="O2848" s="9">
        <f>IF($A2848="","",N2848&amp;"|"&amp;$F2848)</f>
        <v/>
      </c>
      <c r="P2848" s="94">
        <f>IF($A2848="",0,$H2848*설정!$C$23)</f>
        <v/>
      </c>
      <c r="Q2848" s="64">
        <f>IF($A2848="","",IF(O2848&lt;&gt;원인분석!$C$9,"",IF(AND(M2848&gt;=원인분석!$C$10,M2848&lt;=원인분석!$C$11),"당기",IF(AND(M2848&gt;=원인분석!$C$12,M2848&lt;=원인분석!$C$13),"비교",""))))</f>
        <v/>
      </c>
      <c r="R2848" s="9">
        <f>IF(Q2848="","",$K2848&amp;"")</f>
        <v/>
      </c>
      <c r="S2848" s="9">
        <f>IF(Q2848="","",IF(MATCH(R2848,$R$5:$R$100000,0)=ROW()-4,ROW(),""))</f>
        <v/>
      </c>
      <c r="T2848" s="9">
        <f>IF(Q2848="당기",ABS(P2848)+ROW()/1000000000,"")</f>
        <v/>
      </c>
      <c r="U2848" s="9">
        <f>IF(Q2848="비교",ABS(P2848)+ROW()/1000000000,"")</f>
        <v/>
      </c>
      <c r="V2848" s="64">
        <f>IF($A2848="","",IF(COUNTIF(변동분석!$E$7:$E$506,O2848)&gt;0,"Y","N"))</f>
        <v/>
      </c>
      <c r="W2848" s="64">
        <f>IF($A2848="","",IFERROR(INDEX(계정매핑!$D$5:$D$504,MATCH($F2848&amp;"",계정매핑!$A$5:$A$504,0)),"미매핑"))</f>
        <v/>
      </c>
      <c r="X2848" s="9">
        <f>IF($A2848="","",$F2848&amp;"")</f>
        <v/>
      </c>
      <c r="Y2848" s="94">
        <f>IF($A2848="",0,IF(AE2848="직접",IF(AF2848="비귀속",$P2848,0),$P2848*(1-AG2848)*IFERROR(INDEX(계정대체기준!$F$20:$F$49,MATCH($N2848,계정대체기준!$A$20:$A$49,0)),1)))</f>
        <v/>
      </c>
      <c r="Z2848" s="94">
        <f>IF($A2848="",0,IF(AE2848="직접",IF(AF2848="신계약비",$P2848,0),$P2848*(1-AG2848)*IFERROR(INDEX(계정대체기준!$C$20:$C$49,MATCH($N2848,계정대체기준!$A$20:$A$49,0)),0)))</f>
        <v/>
      </c>
      <c r="AA2848" s="94">
        <f>IF($A2848="",0,IF(AE2848="직접",IF(OR(AF2848="유지비",AF2848="손해조사비"),$P2848,0),$P2848*(1-AG2848)*IFERROR(INDEX(계정대체기준!$D$20:$D$49,MATCH($N2848,계정대체기준!$A$20:$A$49,0)),0)))</f>
        <v/>
      </c>
      <c r="AB2848" s="94">
        <f>IF($A2848="",0,IF(AE2848="직접",IF(AF2848="수금비",$P2848,0),$P2848*(1-AG2848)*IFERROR(INDEX(계정대체기준!$E$20:$E$49,MATCH($N2848,계정대체기준!$A$20:$A$49,0)),0)))</f>
        <v/>
      </c>
      <c r="AC2848" s="9">
        <f>IF(AND($A2848&lt;&gt;"",M2848=설정!$C$20,Z2848&gt;0),Z2848+ROW()/1000000000,"")</f>
        <v/>
      </c>
      <c r="AD2848" s="94">
        <f>IF($A2848="",0,$P2848*AG2848)</f>
        <v/>
      </c>
      <c r="AE2848" s="64">
        <f>IF($A2848="","",IFERROR(INDEX(계정매핑!$E$5:$E$504,MATCH($F2848&amp;"",계정매핑!$A$5:$A$504,0))&amp;"","공통비"))</f>
        <v/>
      </c>
      <c r="AF2848" s="64">
        <f>IF($A2848="","",IF(AE2848="직접",IFERROR(INDEX(계정매핑!$F$5:$F$504,MATCH($F2848&amp;"",계정매핑!$A$5:$A$504,0))&amp;"","비귀속"),""))</f>
        <v/>
      </c>
      <c r="AG2848" s="96">
        <f>IF($A2848="",0,IF(AND(AE2848&lt;&gt;"직접",IFERROR(INDEX(계정매핑!$G$5:$G$504,MATCH($F2848&amp;"",계정매핑!$A$5:$A$504,0))&amp;"","")="유지비",COUNTIF(계정대체기준!$A$6:$A$15,$N2848)&gt;0),IFERROR(INDEX(계정대체기준!$E$6:$E$15,MATCH(VALUE($A2848&amp;""),계정대체기준!$D$6:$D$15,0)),0),0))</f>
        <v/>
      </c>
      <c r="AH2848" s="64">
        <f>IF($A2848="","",IF(AD2848=0,"",IF(OR(COUNTIF(계정대체기준!$A$77:$A$86,$N2848)&gt;0,ISNUMBER(MATCH($X2848,계정대체기준!$D$77:$D$86,0)),ISNUMBER(MATCH($F2848,계정대체기준!$D$77:$D$86,0))),"Y","N")))</f>
        <v/>
      </c>
    </row>
    <row r="2849">
      <c r="A2849" s="92" t="n">
        <v>2026</v>
      </c>
      <c r="B2849" s="92" t="n">
        <v>1</v>
      </c>
      <c r="C2849" s="92" t="inlineStr">
        <is>
          <t>5100000127</t>
        </is>
      </c>
      <c r="D2849" s="95" t="n">
        <v>46039</v>
      </c>
      <c r="E2849" s="92" t="inlineStr">
        <is>
          <t>KR</t>
        </is>
      </c>
      <c r="F2849" s="92" t="n">
        <v>62102000</v>
      </c>
      <c r="G2849" s="92" t="n">
        <v>1951</v>
      </c>
      <c r="H2849" s="93" t="n">
        <v>79000</v>
      </c>
      <c r="I2849" s="92" t="inlineStr">
        <is>
          <t>1월 해외출장 - M항공</t>
        </is>
      </c>
      <c r="J2849" s="92" t="inlineStr">
        <is>
          <t>V10001</t>
        </is>
      </c>
      <c r="K2849" s="92" t="inlineStr">
        <is>
          <t>M항공</t>
        </is>
      </c>
      <c r="M2849" s="9">
        <f>IF($A2849="","",VALUE($A2849&amp;"")*12+VALUE($B2849&amp;""))</f>
        <v/>
      </c>
      <c r="N2849" s="64">
        <f>IF($A2849="","",IFERROR(INDEX(부서매핑!$C$5:$C$504,MATCH($G2849&amp;"",부서매핑!$A$5:$A$504,0)),"미매핑"))</f>
        <v/>
      </c>
      <c r="O2849" s="9">
        <f>IF($A2849="","",N2849&amp;"|"&amp;$F2849)</f>
        <v/>
      </c>
      <c r="P2849" s="94">
        <f>IF($A2849="",0,$H2849*설정!$C$23)</f>
        <v/>
      </c>
      <c r="Q2849" s="64">
        <f>IF($A2849="","",IF(O2849&lt;&gt;원인분석!$C$9,"",IF(AND(M2849&gt;=원인분석!$C$10,M2849&lt;=원인분석!$C$11),"당기",IF(AND(M2849&gt;=원인분석!$C$12,M2849&lt;=원인분석!$C$13),"비교",""))))</f>
        <v/>
      </c>
      <c r="R2849" s="9">
        <f>IF(Q2849="","",$K2849&amp;"")</f>
        <v/>
      </c>
      <c r="S2849" s="9">
        <f>IF(Q2849="","",IF(MATCH(R2849,$R$5:$R$100000,0)=ROW()-4,ROW(),""))</f>
        <v/>
      </c>
      <c r="T2849" s="9">
        <f>IF(Q2849="당기",ABS(P2849)+ROW()/1000000000,"")</f>
        <v/>
      </c>
      <c r="U2849" s="9">
        <f>IF(Q2849="비교",ABS(P2849)+ROW()/1000000000,"")</f>
        <v/>
      </c>
      <c r="V2849" s="64">
        <f>IF($A2849="","",IF(COUNTIF(변동분석!$E$7:$E$506,O2849)&gt;0,"Y","N"))</f>
        <v/>
      </c>
      <c r="W2849" s="64">
        <f>IF($A2849="","",IFERROR(INDEX(계정매핑!$D$5:$D$504,MATCH($F2849&amp;"",계정매핑!$A$5:$A$504,0)),"미매핑"))</f>
        <v/>
      </c>
      <c r="X2849" s="9">
        <f>IF($A2849="","",$F2849&amp;"")</f>
        <v/>
      </c>
      <c r="Y2849" s="94">
        <f>IF($A2849="",0,IF(AE2849="직접",IF(AF2849="비귀속",$P2849,0),$P2849*(1-AG2849)*IFERROR(INDEX(계정대체기준!$F$20:$F$49,MATCH($N2849,계정대체기준!$A$20:$A$49,0)),1)))</f>
        <v/>
      </c>
      <c r="Z2849" s="94">
        <f>IF($A2849="",0,IF(AE2849="직접",IF(AF2849="신계약비",$P2849,0),$P2849*(1-AG2849)*IFERROR(INDEX(계정대체기준!$C$20:$C$49,MATCH($N2849,계정대체기준!$A$20:$A$49,0)),0)))</f>
        <v/>
      </c>
      <c r="AA2849" s="94">
        <f>IF($A2849="",0,IF(AE2849="직접",IF(OR(AF2849="유지비",AF2849="손해조사비"),$P2849,0),$P2849*(1-AG2849)*IFERROR(INDEX(계정대체기준!$D$20:$D$49,MATCH($N2849,계정대체기준!$A$20:$A$49,0)),0)))</f>
        <v/>
      </c>
      <c r="AB2849" s="94">
        <f>IF($A2849="",0,IF(AE2849="직접",IF(AF2849="수금비",$P2849,0),$P2849*(1-AG2849)*IFERROR(INDEX(계정대체기준!$E$20:$E$49,MATCH($N2849,계정대체기준!$A$20:$A$49,0)),0)))</f>
        <v/>
      </c>
      <c r="AC2849" s="9">
        <f>IF(AND($A2849&lt;&gt;"",M2849=설정!$C$20,Z2849&gt;0),Z2849+ROW()/1000000000,"")</f>
        <v/>
      </c>
      <c r="AD2849" s="94">
        <f>IF($A2849="",0,$P2849*AG2849)</f>
        <v/>
      </c>
      <c r="AE2849" s="64">
        <f>IF($A2849="","",IFERROR(INDEX(계정매핑!$E$5:$E$504,MATCH($F2849&amp;"",계정매핑!$A$5:$A$504,0))&amp;"","공통비"))</f>
        <v/>
      </c>
      <c r="AF2849" s="64">
        <f>IF($A2849="","",IF(AE2849="직접",IFERROR(INDEX(계정매핑!$F$5:$F$504,MATCH($F2849&amp;"",계정매핑!$A$5:$A$504,0))&amp;"","비귀속"),""))</f>
        <v/>
      </c>
      <c r="AG2849" s="96">
        <f>IF($A2849="",0,IF(AND(AE2849&lt;&gt;"직접",IFERROR(INDEX(계정매핑!$G$5:$G$504,MATCH($F2849&amp;"",계정매핑!$A$5:$A$504,0))&amp;"","")="유지비",COUNTIF(계정대체기준!$A$6:$A$15,$N2849)&gt;0),IFERROR(INDEX(계정대체기준!$E$6:$E$15,MATCH(VALUE($A2849&amp;""),계정대체기준!$D$6:$D$15,0)),0),0))</f>
        <v/>
      </c>
      <c r="AH2849" s="64">
        <f>IF($A2849="","",IF(AD2849=0,"",IF(OR(COUNTIF(계정대체기준!$A$77:$A$86,$N2849)&gt;0,ISNUMBER(MATCH($X2849,계정대체기준!$D$77:$D$86,0)),ISNUMBER(MATCH($F2849,계정대체기준!$D$77:$D$86,0))),"Y","N")))</f>
        <v/>
      </c>
    </row>
    <row r="2850">
      <c r="A2850" s="92" t="n">
        <v>2026</v>
      </c>
      <c r="B2850" s="92" t="n">
        <v>1</v>
      </c>
      <c r="C2850" s="92" t="inlineStr">
        <is>
          <t>5100000128</t>
        </is>
      </c>
      <c r="D2850" s="95" t="n">
        <v>46039</v>
      </c>
      <c r="E2850" s="92" t="inlineStr">
        <is>
          <t>KR</t>
        </is>
      </c>
      <c r="F2850" s="92" t="n">
        <v>62201000</v>
      </c>
      <c r="G2850" s="92" t="n">
        <v>1801</v>
      </c>
      <c r="H2850" s="93" t="n">
        <v>7348000</v>
      </c>
      <c r="I2850" s="92" t="inlineStr">
        <is>
          <t>1월 통신요금 - O텔레콤</t>
        </is>
      </c>
      <c r="J2850" s="92" t="inlineStr">
        <is>
          <t>V10002</t>
        </is>
      </c>
      <c r="K2850" s="92" t="inlineStr">
        <is>
          <t>O텔레콤</t>
        </is>
      </c>
      <c r="M2850" s="9">
        <f>IF($A2850="","",VALUE($A2850&amp;"")*12+VALUE($B2850&amp;""))</f>
        <v/>
      </c>
      <c r="N2850" s="64">
        <f>IF($A2850="","",IFERROR(INDEX(부서매핑!$C$5:$C$504,MATCH($G2850&amp;"",부서매핑!$A$5:$A$504,0)),"미매핑"))</f>
        <v/>
      </c>
      <c r="O2850" s="9">
        <f>IF($A2850="","",N2850&amp;"|"&amp;$F2850)</f>
        <v/>
      </c>
      <c r="P2850" s="94">
        <f>IF($A2850="",0,$H2850*설정!$C$23)</f>
        <v/>
      </c>
      <c r="Q2850" s="64">
        <f>IF($A2850="","",IF(O2850&lt;&gt;원인분석!$C$9,"",IF(AND(M2850&gt;=원인분석!$C$10,M2850&lt;=원인분석!$C$11),"당기",IF(AND(M2850&gt;=원인분석!$C$12,M2850&lt;=원인분석!$C$13),"비교",""))))</f>
        <v/>
      </c>
      <c r="R2850" s="9">
        <f>IF(Q2850="","",$K2850&amp;"")</f>
        <v/>
      </c>
      <c r="S2850" s="9">
        <f>IF(Q2850="","",IF(MATCH(R2850,$R$5:$R$100000,0)=ROW()-4,ROW(),""))</f>
        <v/>
      </c>
      <c r="T2850" s="9">
        <f>IF(Q2850="당기",ABS(P2850)+ROW()/1000000000,"")</f>
        <v/>
      </c>
      <c r="U2850" s="9">
        <f>IF(Q2850="비교",ABS(P2850)+ROW()/1000000000,"")</f>
        <v/>
      </c>
      <c r="V2850" s="64">
        <f>IF($A2850="","",IF(COUNTIF(변동분석!$E$7:$E$506,O2850)&gt;0,"Y","N"))</f>
        <v/>
      </c>
      <c r="W2850" s="64">
        <f>IF($A2850="","",IFERROR(INDEX(계정매핑!$D$5:$D$504,MATCH($F2850&amp;"",계정매핑!$A$5:$A$504,0)),"미매핑"))</f>
        <v/>
      </c>
      <c r="X2850" s="9">
        <f>IF($A2850="","",$F2850&amp;"")</f>
        <v/>
      </c>
      <c r="Y2850" s="94">
        <f>IF($A2850="",0,IF(AE2850="직접",IF(AF2850="비귀속",$P2850,0),$P2850*(1-AG2850)*IFERROR(INDEX(계정대체기준!$F$20:$F$49,MATCH($N2850,계정대체기준!$A$20:$A$49,0)),1)))</f>
        <v/>
      </c>
      <c r="Z2850" s="94">
        <f>IF($A2850="",0,IF(AE2850="직접",IF(AF2850="신계약비",$P2850,0),$P2850*(1-AG2850)*IFERROR(INDEX(계정대체기준!$C$20:$C$49,MATCH($N2850,계정대체기준!$A$20:$A$49,0)),0)))</f>
        <v/>
      </c>
      <c r="AA2850" s="94">
        <f>IF($A2850="",0,IF(AE2850="직접",IF(OR(AF2850="유지비",AF2850="손해조사비"),$P2850,0),$P2850*(1-AG2850)*IFERROR(INDEX(계정대체기준!$D$20:$D$49,MATCH($N2850,계정대체기준!$A$20:$A$49,0)),0)))</f>
        <v/>
      </c>
      <c r="AB2850" s="94">
        <f>IF($A2850="",0,IF(AE2850="직접",IF(AF2850="수금비",$P2850,0),$P2850*(1-AG2850)*IFERROR(INDEX(계정대체기준!$E$20:$E$49,MATCH($N2850,계정대체기준!$A$20:$A$49,0)),0)))</f>
        <v/>
      </c>
      <c r="AC2850" s="9">
        <f>IF(AND($A2850&lt;&gt;"",M2850=설정!$C$20,Z2850&gt;0),Z2850+ROW()/1000000000,"")</f>
        <v/>
      </c>
      <c r="AD2850" s="94">
        <f>IF($A2850="",0,$P2850*AG2850)</f>
        <v/>
      </c>
      <c r="AE2850" s="64">
        <f>IF($A2850="","",IFERROR(INDEX(계정매핑!$E$5:$E$504,MATCH($F2850&amp;"",계정매핑!$A$5:$A$504,0))&amp;"","공통비"))</f>
        <v/>
      </c>
      <c r="AF2850" s="64">
        <f>IF($A2850="","",IF(AE2850="직접",IFERROR(INDEX(계정매핑!$F$5:$F$504,MATCH($F2850&amp;"",계정매핑!$A$5:$A$504,0))&amp;"","비귀속"),""))</f>
        <v/>
      </c>
      <c r="AG2850" s="96">
        <f>IF($A2850="",0,IF(AND(AE2850&lt;&gt;"직접",IFERROR(INDEX(계정매핑!$G$5:$G$504,MATCH($F2850&amp;"",계정매핑!$A$5:$A$504,0))&amp;"","")="유지비",COUNTIF(계정대체기준!$A$6:$A$15,$N2850)&gt;0),IFERROR(INDEX(계정대체기준!$E$6:$E$15,MATCH(VALUE($A2850&amp;""),계정대체기준!$D$6:$D$15,0)),0),0))</f>
        <v/>
      </c>
      <c r="AH2850" s="64">
        <f>IF($A2850="","",IF(AD2850=0,"",IF(OR(COUNTIF(계정대체기준!$A$77:$A$86,$N2850)&gt;0,ISNUMBER(MATCH($X2850,계정대체기준!$D$77:$D$86,0)),ISNUMBER(MATCH($F2850,계정대체기준!$D$77:$D$86,0))),"Y","N")))</f>
        <v/>
      </c>
    </row>
    <row r="2851">
      <c r="A2851" s="92" t="n">
        <v>2026</v>
      </c>
      <c r="B2851" s="92" t="n">
        <v>1</v>
      </c>
      <c r="C2851" s="92" t="inlineStr">
        <is>
          <t>5100000129</t>
        </is>
      </c>
      <c r="D2851" s="95" t="n">
        <v>46039</v>
      </c>
      <c r="E2851" s="92" t="inlineStr">
        <is>
          <t>KR</t>
        </is>
      </c>
      <c r="F2851" s="92" t="n">
        <v>62501000</v>
      </c>
      <c r="G2851" s="92" t="n">
        <v>1301</v>
      </c>
      <c r="H2851" s="93" t="n">
        <v>215000</v>
      </c>
      <c r="I2851" s="92" t="inlineStr">
        <is>
          <t>1월 회의 다과 - T케이터링</t>
        </is>
      </c>
      <c r="J2851" s="92" t="inlineStr">
        <is>
          <t>V10005</t>
        </is>
      </c>
      <c r="K2851" s="92" t="inlineStr">
        <is>
          <t>T케이터링</t>
        </is>
      </c>
      <c r="M2851" s="9">
        <f>IF($A2851="","",VALUE($A2851&amp;"")*12+VALUE($B2851&amp;""))</f>
        <v/>
      </c>
      <c r="N2851" s="64">
        <f>IF($A2851="","",IFERROR(INDEX(부서매핑!$C$5:$C$504,MATCH($G2851&amp;"",부서매핑!$A$5:$A$504,0)),"미매핑"))</f>
        <v/>
      </c>
      <c r="O2851" s="9">
        <f>IF($A2851="","",N2851&amp;"|"&amp;$F2851)</f>
        <v/>
      </c>
      <c r="P2851" s="94">
        <f>IF($A2851="",0,$H2851*설정!$C$23)</f>
        <v/>
      </c>
      <c r="Q2851" s="64">
        <f>IF($A2851="","",IF(O2851&lt;&gt;원인분석!$C$9,"",IF(AND(M2851&gt;=원인분석!$C$10,M2851&lt;=원인분석!$C$11),"당기",IF(AND(M2851&gt;=원인분석!$C$12,M2851&lt;=원인분석!$C$13),"비교",""))))</f>
        <v/>
      </c>
      <c r="R2851" s="9">
        <f>IF(Q2851="","",$K2851&amp;"")</f>
        <v/>
      </c>
      <c r="S2851" s="9">
        <f>IF(Q2851="","",IF(MATCH(R2851,$R$5:$R$100000,0)=ROW()-4,ROW(),""))</f>
        <v/>
      </c>
      <c r="T2851" s="9">
        <f>IF(Q2851="당기",ABS(P2851)+ROW()/1000000000,"")</f>
        <v/>
      </c>
      <c r="U2851" s="9">
        <f>IF(Q2851="비교",ABS(P2851)+ROW()/1000000000,"")</f>
        <v/>
      </c>
      <c r="V2851" s="64">
        <f>IF($A2851="","",IF(COUNTIF(변동분석!$E$7:$E$506,O2851)&gt;0,"Y","N"))</f>
        <v/>
      </c>
      <c r="W2851" s="64">
        <f>IF($A2851="","",IFERROR(INDEX(계정매핑!$D$5:$D$504,MATCH($F2851&amp;"",계정매핑!$A$5:$A$504,0)),"미매핑"))</f>
        <v/>
      </c>
      <c r="X2851" s="9">
        <f>IF($A2851="","",$F2851&amp;"")</f>
        <v/>
      </c>
      <c r="Y2851" s="94">
        <f>IF($A2851="",0,IF(AE2851="직접",IF(AF2851="비귀속",$P2851,0),$P2851*(1-AG2851)*IFERROR(INDEX(계정대체기준!$F$20:$F$49,MATCH($N2851,계정대체기준!$A$20:$A$49,0)),1)))</f>
        <v/>
      </c>
      <c r="Z2851" s="94">
        <f>IF($A2851="",0,IF(AE2851="직접",IF(AF2851="신계약비",$P2851,0),$P2851*(1-AG2851)*IFERROR(INDEX(계정대체기준!$C$20:$C$49,MATCH($N2851,계정대체기준!$A$20:$A$49,0)),0)))</f>
        <v/>
      </c>
      <c r="AA2851" s="94">
        <f>IF($A2851="",0,IF(AE2851="직접",IF(OR(AF2851="유지비",AF2851="손해조사비"),$P2851,0),$P2851*(1-AG2851)*IFERROR(INDEX(계정대체기준!$D$20:$D$49,MATCH($N2851,계정대체기준!$A$20:$A$49,0)),0)))</f>
        <v/>
      </c>
      <c r="AB2851" s="94">
        <f>IF($A2851="",0,IF(AE2851="직접",IF(AF2851="수금비",$P2851,0),$P2851*(1-AG2851)*IFERROR(INDEX(계정대체기준!$E$20:$E$49,MATCH($N2851,계정대체기준!$A$20:$A$49,0)),0)))</f>
        <v/>
      </c>
      <c r="AC2851" s="9">
        <f>IF(AND($A2851&lt;&gt;"",M2851=설정!$C$20,Z2851&gt;0),Z2851+ROW()/1000000000,"")</f>
        <v/>
      </c>
      <c r="AD2851" s="94">
        <f>IF($A2851="",0,$P2851*AG2851)</f>
        <v/>
      </c>
      <c r="AE2851" s="64">
        <f>IF($A2851="","",IFERROR(INDEX(계정매핑!$E$5:$E$504,MATCH($F2851&amp;"",계정매핑!$A$5:$A$504,0))&amp;"","공통비"))</f>
        <v/>
      </c>
      <c r="AF2851" s="64">
        <f>IF($A2851="","",IF(AE2851="직접",IFERROR(INDEX(계정매핑!$F$5:$F$504,MATCH($F2851&amp;"",계정매핑!$A$5:$A$504,0))&amp;"","비귀속"),""))</f>
        <v/>
      </c>
      <c r="AG2851" s="96">
        <f>IF($A2851="",0,IF(AND(AE2851&lt;&gt;"직접",IFERROR(INDEX(계정매핑!$G$5:$G$504,MATCH($F2851&amp;"",계정매핑!$A$5:$A$504,0))&amp;"","")="유지비",COUNTIF(계정대체기준!$A$6:$A$15,$N2851)&gt;0),IFERROR(INDEX(계정대체기준!$E$6:$E$15,MATCH(VALUE($A2851&amp;""),계정대체기준!$D$6:$D$15,0)),0),0))</f>
        <v/>
      </c>
      <c r="AH2851" s="64">
        <f>IF($A2851="","",IF(AD2851=0,"",IF(OR(COUNTIF(계정대체기준!$A$77:$A$86,$N2851)&gt;0,ISNUMBER(MATCH($X2851,계정대체기준!$D$77:$D$86,0)),ISNUMBER(MATCH($F2851,계정대체기준!$D$77:$D$86,0))),"Y","N")))</f>
        <v/>
      </c>
    </row>
    <row r="2852">
      <c r="A2852" s="92" t="n">
        <v>2026</v>
      </c>
      <c r="B2852" s="92" t="n">
        <v>1</v>
      </c>
      <c r="C2852" s="92" t="inlineStr">
        <is>
          <t>5100000130</t>
        </is>
      </c>
      <c r="D2852" s="95" t="n">
        <v>46039</v>
      </c>
      <c r="E2852" s="92" t="inlineStr">
        <is>
          <t>KR</t>
        </is>
      </c>
      <c r="F2852" s="92" t="n">
        <v>62501000</v>
      </c>
      <c r="G2852" s="92" t="n">
        <v>1401</v>
      </c>
      <c r="H2852" s="93" t="n">
        <v>125000</v>
      </c>
      <c r="I2852" s="92" t="inlineStr">
        <is>
          <t>1월 회의 다과 - (법인카드)</t>
        </is>
      </c>
      <c r="J2852" s="92" t="inlineStr">
        <is>
          <t>V10010</t>
        </is>
      </c>
      <c r="K2852" s="92" t="inlineStr">
        <is>
          <t>(법인카드)</t>
        </is>
      </c>
      <c r="M2852" s="9">
        <f>IF($A2852="","",VALUE($A2852&amp;"")*12+VALUE($B2852&amp;""))</f>
        <v/>
      </c>
      <c r="N2852" s="64">
        <f>IF($A2852="","",IFERROR(INDEX(부서매핑!$C$5:$C$504,MATCH($G2852&amp;"",부서매핑!$A$5:$A$504,0)),"미매핑"))</f>
        <v/>
      </c>
      <c r="O2852" s="9">
        <f>IF($A2852="","",N2852&amp;"|"&amp;$F2852)</f>
        <v/>
      </c>
      <c r="P2852" s="94">
        <f>IF($A2852="",0,$H2852*설정!$C$23)</f>
        <v/>
      </c>
      <c r="Q2852" s="64">
        <f>IF($A2852="","",IF(O2852&lt;&gt;원인분석!$C$9,"",IF(AND(M2852&gt;=원인분석!$C$10,M2852&lt;=원인분석!$C$11),"당기",IF(AND(M2852&gt;=원인분석!$C$12,M2852&lt;=원인분석!$C$13),"비교",""))))</f>
        <v/>
      </c>
      <c r="R2852" s="9">
        <f>IF(Q2852="","",$K2852&amp;"")</f>
        <v/>
      </c>
      <c r="S2852" s="9">
        <f>IF(Q2852="","",IF(MATCH(R2852,$R$5:$R$100000,0)=ROW()-4,ROW(),""))</f>
        <v/>
      </c>
      <c r="T2852" s="9">
        <f>IF(Q2852="당기",ABS(P2852)+ROW()/1000000000,"")</f>
        <v/>
      </c>
      <c r="U2852" s="9">
        <f>IF(Q2852="비교",ABS(P2852)+ROW()/1000000000,"")</f>
        <v/>
      </c>
      <c r="V2852" s="64">
        <f>IF($A2852="","",IF(COUNTIF(변동분석!$E$7:$E$506,O2852)&gt;0,"Y","N"))</f>
        <v/>
      </c>
      <c r="W2852" s="64">
        <f>IF($A2852="","",IFERROR(INDEX(계정매핑!$D$5:$D$504,MATCH($F2852&amp;"",계정매핑!$A$5:$A$504,0)),"미매핑"))</f>
        <v/>
      </c>
      <c r="X2852" s="9">
        <f>IF($A2852="","",$F2852&amp;"")</f>
        <v/>
      </c>
      <c r="Y2852" s="94">
        <f>IF($A2852="",0,IF(AE2852="직접",IF(AF2852="비귀속",$P2852,0),$P2852*(1-AG2852)*IFERROR(INDEX(계정대체기준!$F$20:$F$49,MATCH($N2852,계정대체기준!$A$20:$A$49,0)),1)))</f>
        <v/>
      </c>
      <c r="Z2852" s="94">
        <f>IF($A2852="",0,IF(AE2852="직접",IF(AF2852="신계약비",$P2852,0),$P2852*(1-AG2852)*IFERROR(INDEX(계정대체기준!$C$20:$C$49,MATCH($N2852,계정대체기준!$A$20:$A$49,0)),0)))</f>
        <v/>
      </c>
      <c r="AA2852" s="94">
        <f>IF($A2852="",0,IF(AE2852="직접",IF(OR(AF2852="유지비",AF2852="손해조사비"),$P2852,0),$P2852*(1-AG2852)*IFERROR(INDEX(계정대체기준!$D$20:$D$49,MATCH($N2852,계정대체기준!$A$20:$A$49,0)),0)))</f>
        <v/>
      </c>
      <c r="AB2852" s="94">
        <f>IF($A2852="",0,IF(AE2852="직접",IF(AF2852="수금비",$P2852,0),$P2852*(1-AG2852)*IFERROR(INDEX(계정대체기준!$E$20:$E$49,MATCH($N2852,계정대체기준!$A$20:$A$49,0)),0)))</f>
        <v/>
      </c>
      <c r="AC2852" s="9">
        <f>IF(AND($A2852&lt;&gt;"",M2852=설정!$C$20,Z2852&gt;0),Z2852+ROW()/1000000000,"")</f>
        <v/>
      </c>
      <c r="AD2852" s="94">
        <f>IF($A2852="",0,$P2852*AG2852)</f>
        <v/>
      </c>
      <c r="AE2852" s="64">
        <f>IF($A2852="","",IFERROR(INDEX(계정매핑!$E$5:$E$504,MATCH($F2852&amp;"",계정매핑!$A$5:$A$504,0))&amp;"","공통비"))</f>
        <v/>
      </c>
      <c r="AF2852" s="64">
        <f>IF($A2852="","",IF(AE2852="직접",IFERROR(INDEX(계정매핑!$F$5:$F$504,MATCH($F2852&amp;"",계정매핑!$A$5:$A$504,0))&amp;"","비귀속"),""))</f>
        <v/>
      </c>
      <c r="AG2852" s="96">
        <f>IF($A2852="",0,IF(AND(AE2852&lt;&gt;"직접",IFERROR(INDEX(계정매핑!$G$5:$G$504,MATCH($F2852&amp;"",계정매핑!$A$5:$A$504,0))&amp;"","")="유지비",COUNTIF(계정대체기준!$A$6:$A$15,$N2852)&gt;0),IFERROR(INDEX(계정대체기준!$E$6:$E$15,MATCH(VALUE($A2852&amp;""),계정대체기준!$D$6:$D$15,0)),0),0))</f>
        <v/>
      </c>
      <c r="AH2852" s="64">
        <f>IF($A2852="","",IF(AD2852=0,"",IF(OR(COUNTIF(계정대체기준!$A$77:$A$86,$N2852)&gt;0,ISNUMBER(MATCH($X2852,계정대체기준!$D$77:$D$86,0)),ISNUMBER(MATCH($F2852,계정대체기준!$D$77:$D$86,0))),"Y","N")))</f>
        <v/>
      </c>
    </row>
    <row r="2853">
      <c r="A2853" s="92" t="n">
        <v>2026</v>
      </c>
      <c r="B2853" s="92" t="n">
        <v>1</v>
      </c>
      <c r="C2853" s="92" t="inlineStr">
        <is>
          <t>5100000131</t>
        </is>
      </c>
      <c r="D2853" s="95" t="n">
        <v>46039</v>
      </c>
      <c r="E2853" s="92" t="inlineStr">
        <is>
          <t>KR</t>
        </is>
      </c>
      <c r="F2853" s="92" t="n">
        <v>62802000</v>
      </c>
      <c r="G2853" s="92" t="n">
        <v>1301</v>
      </c>
      <c r="H2853" s="93" t="n">
        <v>2397000</v>
      </c>
      <c r="I2853" s="92" t="inlineStr">
        <is>
          <t>1월 위탁교육 - V아카데미</t>
        </is>
      </c>
      <c r="J2853" s="92" t="inlineStr">
        <is>
          <t>V10027</t>
        </is>
      </c>
      <c r="K2853" s="92" t="inlineStr">
        <is>
          <t>V아카데미</t>
        </is>
      </c>
      <c r="M2853" s="9">
        <f>IF($A2853="","",VALUE($A2853&amp;"")*12+VALUE($B2853&amp;""))</f>
        <v/>
      </c>
      <c r="N2853" s="64">
        <f>IF($A2853="","",IFERROR(INDEX(부서매핑!$C$5:$C$504,MATCH($G2853&amp;"",부서매핑!$A$5:$A$504,0)),"미매핑"))</f>
        <v/>
      </c>
      <c r="O2853" s="9">
        <f>IF($A2853="","",N2853&amp;"|"&amp;$F2853)</f>
        <v/>
      </c>
      <c r="P2853" s="94">
        <f>IF($A2853="",0,$H2853*설정!$C$23)</f>
        <v/>
      </c>
      <c r="Q2853" s="64">
        <f>IF($A2853="","",IF(O2853&lt;&gt;원인분석!$C$9,"",IF(AND(M2853&gt;=원인분석!$C$10,M2853&lt;=원인분석!$C$11),"당기",IF(AND(M2853&gt;=원인분석!$C$12,M2853&lt;=원인분석!$C$13),"비교",""))))</f>
        <v/>
      </c>
      <c r="R2853" s="9">
        <f>IF(Q2853="","",$K2853&amp;"")</f>
        <v/>
      </c>
      <c r="S2853" s="9">
        <f>IF(Q2853="","",IF(MATCH(R2853,$R$5:$R$100000,0)=ROW()-4,ROW(),""))</f>
        <v/>
      </c>
      <c r="T2853" s="9">
        <f>IF(Q2853="당기",ABS(P2853)+ROW()/1000000000,"")</f>
        <v/>
      </c>
      <c r="U2853" s="9">
        <f>IF(Q2853="비교",ABS(P2853)+ROW()/1000000000,"")</f>
        <v/>
      </c>
      <c r="V2853" s="64">
        <f>IF($A2853="","",IF(COUNTIF(변동분석!$E$7:$E$506,O2853)&gt;0,"Y","N"))</f>
        <v/>
      </c>
      <c r="W2853" s="64">
        <f>IF($A2853="","",IFERROR(INDEX(계정매핑!$D$5:$D$504,MATCH($F2853&amp;"",계정매핑!$A$5:$A$504,0)),"미매핑"))</f>
        <v/>
      </c>
      <c r="X2853" s="9">
        <f>IF($A2853="","",$F2853&amp;"")</f>
        <v/>
      </c>
      <c r="Y2853" s="94">
        <f>IF($A2853="",0,IF(AE2853="직접",IF(AF2853="비귀속",$P2853,0),$P2853*(1-AG2853)*IFERROR(INDEX(계정대체기준!$F$20:$F$49,MATCH($N2853,계정대체기준!$A$20:$A$49,0)),1)))</f>
        <v/>
      </c>
      <c r="Z2853" s="94">
        <f>IF($A2853="",0,IF(AE2853="직접",IF(AF2853="신계약비",$P2853,0),$P2853*(1-AG2853)*IFERROR(INDEX(계정대체기준!$C$20:$C$49,MATCH($N2853,계정대체기준!$A$20:$A$49,0)),0)))</f>
        <v/>
      </c>
      <c r="AA2853" s="94">
        <f>IF($A2853="",0,IF(AE2853="직접",IF(OR(AF2853="유지비",AF2853="손해조사비"),$P2853,0),$P2853*(1-AG2853)*IFERROR(INDEX(계정대체기준!$D$20:$D$49,MATCH($N2853,계정대체기준!$A$20:$A$49,0)),0)))</f>
        <v/>
      </c>
      <c r="AB2853" s="94">
        <f>IF($A2853="",0,IF(AE2853="직접",IF(AF2853="수금비",$P2853,0),$P2853*(1-AG2853)*IFERROR(INDEX(계정대체기준!$E$20:$E$49,MATCH($N2853,계정대체기준!$A$20:$A$49,0)),0)))</f>
        <v/>
      </c>
      <c r="AC2853" s="9">
        <f>IF(AND($A2853&lt;&gt;"",M2853=설정!$C$20,Z2853&gt;0),Z2853+ROW()/1000000000,"")</f>
        <v/>
      </c>
      <c r="AD2853" s="94">
        <f>IF($A2853="",0,$P2853*AG2853)</f>
        <v/>
      </c>
      <c r="AE2853" s="64">
        <f>IF($A2853="","",IFERROR(INDEX(계정매핑!$E$5:$E$504,MATCH($F2853&amp;"",계정매핑!$A$5:$A$504,0))&amp;"","공통비"))</f>
        <v/>
      </c>
      <c r="AF2853" s="64">
        <f>IF($A2853="","",IF(AE2853="직접",IFERROR(INDEX(계정매핑!$F$5:$F$504,MATCH($F2853&amp;"",계정매핑!$A$5:$A$504,0))&amp;"","비귀속"),""))</f>
        <v/>
      </c>
      <c r="AG2853" s="96">
        <f>IF($A2853="",0,IF(AND(AE2853&lt;&gt;"직접",IFERROR(INDEX(계정매핑!$G$5:$G$504,MATCH($F2853&amp;"",계정매핑!$A$5:$A$504,0))&amp;"","")="유지비",COUNTIF(계정대체기준!$A$6:$A$15,$N2853)&gt;0),IFERROR(INDEX(계정대체기준!$E$6:$E$15,MATCH(VALUE($A2853&amp;""),계정대체기준!$D$6:$D$15,0)),0),0))</f>
        <v/>
      </c>
      <c r="AH2853" s="64">
        <f>IF($A2853="","",IF(AD2853=0,"",IF(OR(COUNTIF(계정대체기준!$A$77:$A$86,$N2853)&gt;0,ISNUMBER(MATCH($X2853,계정대체기준!$D$77:$D$86,0)),ISNUMBER(MATCH($F2853,계정대체기준!$D$77:$D$86,0))),"Y","N")))</f>
        <v/>
      </c>
    </row>
    <row r="2854">
      <c r="A2854" s="92" t="n">
        <v>2026</v>
      </c>
      <c r="B2854" s="92" t="n">
        <v>1</v>
      </c>
      <c r="C2854" s="92" t="inlineStr">
        <is>
          <t>5100000132</t>
        </is>
      </c>
      <c r="D2854" s="95" t="n">
        <v>46039</v>
      </c>
      <c r="E2854" s="92" t="inlineStr">
        <is>
          <t>KR</t>
        </is>
      </c>
      <c r="F2854" s="92" t="n">
        <v>62901000</v>
      </c>
      <c r="G2854" s="92" t="n">
        <v>1401</v>
      </c>
      <c r="H2854" s="93" t="n">
        <v>4566000</v>
      </c>
      <c r="I2854" s="92" t="inlineStr">
        <is>
          <t>1월 자문 수수료 - W컨설팅</t>
        </is>
      </c>
      <c r="J2854" s="92" t="inlineStr">
        <is>
          <t>V10006</t>
        </is>
      </c>
      <c r="K2854" s="92" t="inlineStr">
        <is>
          <t>W컨설팅</t>
        </is>
      </c>
      <c r="M2854" s="9">
        <f>IF($A2854="","",VALUE($A2854&amp;"")*12+VALUE($B2854&amp;""))</f>
        <v/>
      </c>
      <c r="N2854" s="64">
        <f>IF($A2854="","",IFERROR(INDEX(부서매핑!$C$5:$C$504,MATCH($G2854&amp;"",부서매핑!$A$5:$A$504,0)),"미매핑"))</f>
        <v/>
      </c>
      <c r="O2854" s="9">
        <f>IF($A2854="","",N2854&amp;"|"&amp;$F2854)</f>
        <v/>
      </c>
      <c r="P2854" s="94">
        <f>IF($A2854="",0,$H2854*설정!$C$23)</f>
        <v/>
      </c>
      <c r="Q2854" s="64">
        <f>IF($A2854="","",IF(O2854&lt;&gt;원인분석!$C$9,"",IF(AND(M2854&gt;=원인분석!$C$10,M2854&lt;=원인분석!$C$11),"당기",IF(AND(M2854&gt;=원인분석!$C$12,M2854&lt;=원인분석!$C$13),"비교",""))))</f>
        <v/>
      </c>
      <c r="R2854" s="9">
        <f>IF(Q2854="","",$K2854&amp;"")</f>
        <v/>
      </c>
      <c r="S2854" s="9">
        <f>IF(Q2854="","",IF(MATCH(R2854,$R$5:$R$100000,0)=ROW()-4,ROW(),""))</f>
        <v/>
      </c>
      <c r="T2854" s="9">
        <f>IF(Q2854="당기",ABS(P2854)+ROW()/1000000000,"")</f>
        <v/>
      </c>
      <c r="U2854" s="9">
        <f>IF(Q2854="비교",ABS(P2854)+ROW()/1000000000,"")</f>
        <v/>
      </c>
      <c r="V2854" s="64">
        <f>IF($A2854="","",IF(COUNTIF(변동분석!$E$7:$E$506,O2854)&gt;0,"Y","N"))</f>
        <v/>
      </c>
      <c r="W2854" s="64">
        <f>IF($A2854="","",IFERROR(INDEX(계정매핑!$D$5:$D$504,MATCH($F2854&amp;"",계정매핑!$A$5:$A$504,0)),"미매핑"))</f>
        <v/>
      </c>
      <c r="X2854" s="9">
        <f>IF($A2854="","",$F2854&amp;"")</f>
        <v/>
      </c>
      <c r="Y2854" s="94">
        <f>IF($A2854="",0,IF(AE2854="직접",IF(AF2854="비귀속",$P2854,0),$P2854*(1-AG2854)*IFERROR(INDEX(계정대체기준!$F$20:$F$49,MATCH($N2854,계정대체기준!$A$20:$A$49,0)),1)))</f>
        <v/>
      </c>
      <c r="Z2854" s="94">
        <f>IF($A2854="",0,IF(AE2854="직접",IF(AF2854="신계약비",$P2854,0),$P2854*(1-AG2854)*IFERROR(INDEX(계정대체기준!$C$20:$C$49,MATCH($N2854,계정대체기준!$A$20:$A$49,0)),0)))</f>
        <v/>
      </c>
      <c r="AA2854" s="94">
        <f>IF($A2854="",0,IF(AE2854="직접",IF(OR(AF2854="유지비",AF2854="손해조사비"),$P2854,0),$P2854*(1-AG2854)*IFERROR(INDEX(계정대체기준!$D$20:$D$49,MATCH($N2854,계정대체기준!$A$20:$A$49,0)),0)))</f>
        <v/>
      </c>
      <c r="AB2854" s="94">
        <f>IF($A2854="",0,IF(AE2854="직접",IF(AF2854="수금비",$P2854,0),$P2854*(1-AG2854)*IFERROR(INDEX(계정대체기준!$E$20:$E$49,MATCH($N2854,계정대체기준!$A$20:$A$49,0)),0)))</f>
        <v/>
      </c>
      <c r="AC2854" s="9">
        <f>IF(AND($A2854&lt;&gt;"",M2854=설정!$C$20,Z2854&gt;0),Z2854+ROW()/1000000000,"")</f>
        <v/>
      </c>
      <c r="AD2854" s="94">
        <f>IF($A2854="",0,$P2854*AG2854)</f>
        <v/>
      </c>
      <c r="AE2854" s="64">
        <f>IF($A2854="","",IFERROR(INDEX(계정매핑!$E$5:$E$504,MATCH($F2854&amp;"",계정매핑!$A$5:$A$504,0))&amp;"","공통비"))</f>
        <v/>
      </c>
      <c r="AF2854" s="64">
        <f>IF($A2854="","",IF(AE2854="직접",IFERROR(INDEX(계정매핑!$F$5:$F$504,MATCH($F2854&amp;"",계정매핑!$A$5:$A$504,0))&amp;"","비귀속"),""))</f>
        <v/>
      </c>
      <c r="AG2854" s="96">
        <f>IF($A2854="",0,IF(AND(AE2854&lt;&gt;"직접",IFERROR(INDEX(계정매핑!$G$5:$G$504,MATCH($F2854&amp;"",계정매핑!$A$5:$A$504,0))&amp;"","")="유지비",COUNTIF(계정대체기준!$A$6:$A$15,$N2854)&gt;0),IFERROR(INDEX(계정대체기준!$E$6:$E$15,MATCH(VALUE($A2854&amp;""),계정대체기준!$D$6:$D$15,0)),0),0))</f>
        <v/>
      </c>
      <c r="AH2854" s="64">
        <f>IF($A2854="","",IF(AD2854=0,"",IF(OR(COUNTIF(계정대체기준!$A$77:$A$86,$N2854)&gt;0,ISNUMBER(MATCH($X2854,계정대체기준!$D$77:$D$86,0)),ISNUMBER(MATCH($F2854,계정대체기준!$D$77:$D$86,0))),"Y","N")))</f>
        <v/>
      </c>
    </row>
    <row r="2855">
      <c r="A2855" s="92" t="n">
        <v>2026</v>
      </c>
      <c r="B2855" s="92" t="n">
        <v>1</v>
      </c>
      <c r="C2855" s="92" t="inlineStr">
        <is>
          <t>5100000133</t>
        </is>
      </c>
      <c r="D2855" s="95" t="n">
        <v>46040</v>
      </c>
      <c r="E2855" s="92" t="inlineStr">
        <is>
          <t>KR</t>
        </is>
      </c>
      <c r="F2855" s="92" t="n">
        <v>62101000</v>
      </c>
      <c r="G2855" s="92" t="n">
        <v>1401</v>
      </c>
      <c r="H2855" s="93" t="n">
        <v>235000</v>
      </c>
      <c r="I2855" s="92" t="inlineStr">
        <is>
          <t>1월 국내출장 - M항공</t>
        </is>
      </c>
      <c r="J2855" s="92" t="inlineStr">
        <is>
          <t>V10001</t>
        </is>
      </c>
      <c r="K2855" s="92" t="inlineStr">
        <is>
          <t>M항공</t>
        </is>
      </c>
      <c r="M2855" s="9">
        <f>IF($A2855="","",VALUE($A2855&amp;"")*12+VALUE($B2855&amp;""))</f>
        <v/>
      </c>
      <c r="N2855" s="64">
        <f>IF($A2855="","",IFERROR(INDEX(부서매핑!$C$5:$C$504,MATCH($G2855&amp;"",부서매핑!$A$5:$A$504,0)),"미매핑"))</f>
        <v/>
      </c>
      <c r="O2855" s="9">
        <f>IF($A2855="","",N2855&amp;"|"&amp;$F2855)</f>
        <v/>
      </c>
      <c r="P2855" s="94">
        <f>IF($A2855="",0,$H2855*설정!$C$23)</f>
        <v/>
      </c>
      <c r="Q2855" s="64">
        <f>IF($A2855="","",IF(O2855&lt;&gt;원인분석!$C$9,"",IF(AND(M2855&gt;=원인분석!$C$10,M2855&lt;=원인분석!$C$11),"당기",IF(AND(M2855&gt;=원인분석!$C$12,M2855&lt;=원인분석!$C$13),"비교",""))))</f>
        <v/>
      </c>
      <c r="R2855" s="9">
        <f>IF(Q2855="","",$K2855&amp;"")</f>
        <v/>
      </c>
      <c r="S2855" s="9">
        <f>IF(Q2855="","",IF(MATCH(R2855,$R$5:$R$100000,0)=ROW()-4,ROW(),""))</f>
        <v/>
      </c>
      <c r="T2855" s="9">
        <f>IF(Q2855="당기",ABS(P2855)+ROW()/1000000000,"")</f>
        <v/>
      </c>
      <c r="U2855" s="9">
        <f>IF(Q2855="비교",ABS(P2855)+ROW()/1000000000,"")</f>
        <v/>
      </c>
      <c r="V2855" s="64">
        <f>IF($A2855="","",IF(COUNTIF(변동분석!$E$7:$E$506,O2855)&gt;0,"Y","N"))</f>
        <v/>
      </c>
      <c r="W2855" s="64">
        <f>IF($A2855="","",IFERROR(INDEX(계정매핑!$D$5:$D$504,MATCH($F2855&amp;"",계정매핑!$A$5:$A$504,0)),"미매핑"))</f>
        <v/>
      </c>
      <c r="X2855" s="9">
        <f>IF($A2855="","",$F2855&amp;"")</f>
        <v/>
      </c>
      <c r="Y2855" s="94">
        <f>IF($A2855="",0,IF(AE2855="직접",IF(AF2855="비귀속",$P2855,0),$P2855*(1-AG2855)*IFERROR(INDEX(계정대체기준!$F$20:$F$49,MATCH($N2855,계정대체기준!$A$20:$A$49,0)),1)))</f>
        <v/>
      </c>
      <c r="Z2855" s="94">
        <f>IF($A2855="",0,IF(AE2855="직접",IF(AF2855="신계약비",$P2855,0),$P2855*(1-AG2855)*IFERROR(INDEX(계정대체기준!$C$20:$C$49,MATCH($N2855,계정대체기준!$A$20:$A$49,0)),0)))</f>
        <v/>
      </c>
      <c r="AA2855" s="94">
        <f>IF($A2855="",0,IF(AE2855="직접",IF(OR(AF2855="유지비",AF2855="손해조사비"),$P2855,0),$P2855*(1-AG2855)*IFERROR(INDEX(계정대체기준!$D$20:$D$49,MATCH($N2855,계정대체기준!$A$20:$A$49,0)),0)))</f>
        <v/>
      </c>
      <c r="AB2855" s="94">
        <f>IF($A2855="",0,IF(AE2855="직접",IF(AF2855="수금비",$P2855,0),$P2855*(1-AG2855)*IFERROR(INDEX(계정대체기준!$E$20:$E$49,MATCH($N2855,계정대체기준!$A$20:$A$49,0)),0)))</f>
        <v/>
      </c>
      <c r="AC2855" s="9">
        <f>IF(AND($A2855&lt;&gt;"",M2855=설정!$C$20,Z2855&gt;0),Z2855+ROW()/1000000000,"")</f>
        <v/>
      </c>
      <c r="AD2855" s="94">
        <f>IF($A2855="",0,$P2855*AG2855)</f>
        <v/>
      </c>
      <c r="AE2855" s="64">
        <f>IF($A2855="","",IFERROR(INDEX(계정매핑!$E$5:$E$504,MATCH($F2855&amp;"",계정매핑!$A$5:$A$504,0))&amp;"","공통비"))</f>
        <v/>
      </c>
      <c r="AF2855" s="64">
        <f>IF($A2855="","",IF(AE2855="직접",IFERROR(INDEX(계정매핑!$F$5:$F$504,MATCH($F2855&amp;"",계정매핑!$A$5:$A$504,0))&amp;"","비귀속"),""))</f>
        <v/>
      </c>
      <c r="AG2855" s="96">
        <f>IF($A2855="",0,IF(AND(AE2855&lt;&gt;"직접",IFERROR(INDEX(계정매핑!$G$5:$G$504,MATCH($F2855&amp;"",계정매핑!$A$5:$A$504,0))&amp;"","")="유지비",COUNTIF(계정대체기준!$A$6:$A$15,$N2855)&gt;0),IFERROR(INDEX(계정대체기준!$E$6:$E$15,MATCH(VALUE($A2855&amp;""),계정대체기준!$D$6:$D$15,0)),0),0))</f>
        <v/>
      </c>
      <c r="AH2855" s="64">
        <f>IF($A2855="","",IF(AD2855=0,"",IF(OR(COUNTIF(계정대체기준!$A$77:$A$86,$N2855)&gt;0,ISNUMBER(MATCH($X2855,계정대체기준!$D$77:$D$86,0)),ISNUMBER(MATCH($F2855,계정대체기준!$D$77:$D$86,0))),"Y","N")))</f>
        <v/>
      </c>
    </row>
    <row r="2856">
      <c r="A2856" s="92" t="n">
        <v>2026</v>
      </c>
      <c r="B2856" s="92" t="n">
        <v>1</v>
      </c>
      <c r="C2856" s="92" t="inlineStr">
        <is>
          <t>5100000134</t>
        </is>
      </c>
      <c r="D2856" s="95" t="n">
        <v>46040</v>
      </c>
      <c r="E2856" s="92" t="inlineStr">
        <is>
          <t>KR</t>
        </is>
      </c>
      <c r="F2856" s="92" t="n">
        <v>62102000</v>
      </c>
      <c r="G2856" s="92" t="n">
        <v>1951</v>
      </c>
      <c r="H2856" s="93" t="n">
        <v>107000</v>
      </c>
      <c r="I2856" s="92" t="inlineStr">
        <is>
          <t>1월 해외출장 - N호텔</t>
        </is>
      </c>
      <c r="J2856" s="92" t="inlineStr">
        <is>
          <t>V10009</t>
        </is>
      </c>
      <c r="K2856" s="92" t="inlineStr">
        <is>
          <t>N호텔</t>
        </is>
      </c>
      <c r="M2856" s="9">
        <f>IF($A2856="","",VALUE($A2856&amp;"")*12+VALUE($B2856&amp;""))</f>
        <v/>
      </c>
      <c r="N2856" s="64">
        <f>IF($A2856="","",IFERROR(INDEX(부서매핑!$C$5:$C$504,MATCH($G2856&amp;"",부서매핑!$A$5:$A$504,0)),"미매핑"))</f>
        <v/>
      </c>
      <c r="O2856" s="9">
        <f>IF($A2856="","",N2856&amp;"|"&amp;$F2856)</f>
        <v/>
      </c>
      <c r="P2856" s="94">
        <f>IF($A2856="",0,$H2856*설정!$C$23)</f>
        <v/>
      </c>
      <c r="Q2856" s="64">
        <f>IF($A2856="","",IF(O2856&lt;&gt;원인분석!$C$9,"",IF(AND(M2856&gt;=원인분석!$C$10,M2856&lt;=원인분석!$C$11),"당기",IF(AND(M2856&gt;=원인분석!$C$12,M2856&lt;=원인분석!$C$13),"비교",""))))</f>
        <v/>
      </c>
      <c r="R2856" s="9">
        <f>IF(Q2856="","",$K2856&amp;"")</f>
        <v/>
      </c>
      <c r="S2856" s="9">
        <f>IF(Q2856="","",IF(MATCH(R2856,$R$5:$R$100000,0)=ROW()-4,ROW(),""))</f>
        <v/>
      </c>
      <c r="T2856" s="9">
        <f>IF(Q2856="당기",ABS(P2856)+ROW()/1000000000,"")</f>
        <v/>
      </c>
      <c r="U2856" s="9">
        <f>IF(Q2856="비교",ABS(P2856)+ROW()/1000000000,"")</f>
        <v/>
      </c>
      <c r="V2856" s="64">
        <f>IF($A2856="","",IF(COUNTIF(변동분석!$E$7:$E$506,O2856)&gt;0,"Y","N"))</f>
        <v/>
      </c>
      <c r="W2856" s="64">
        <f>IF($A2856="","",IFERROR(INDEX(계정매핑!$D$5:$D$504,MATCH($F2856&amp;"",계정매핑!$A$5:$A$504,0)),"미매핑"))</f>
        <v/>
      </c>
      <c r="X2856" s="9">
        <f>IF($A2856="","",$F2856&amp;"")</f>
        <v/>
      </c>
      <c r="Y2856" s="94">
        <f>IF($A2856="",0,IF(AE2856="직접",IF(AF2856="비귀속",$P2856,0),$P2856*(1-AG2856)*IFERROR(INDEX(계정대체기준!$F$20:$F$49,MATCH($N2856,계정대체기준!$A$20:$A$49,0)),1)))</f>
        <v/>
      </c>
      <c r="Z2856" s="94">
        <f>IF($A2856="",0,IF(AE2856="직접",IF(AF2856="신계약비",$P2856,0),$P2856*(1-AG2856)*IFERROR(INDEX(계정대체기준!$C$20:$C$49,MATCH($N2856,계정대체기준!$A$20:$A$49,0)),0)))</f>
        <v/>
      </c>
      <c r="AA2856" s="94">
        <f>IF($A2856="",0,IF(AE2856="직접",IF(OR(AF2856="유지비",AF2856="손해조사비"),$P2856,0),$P2856*(1-AG2856)*IFERROR(INDEX(계정대체기준!$D$20:$D$49,MATCH($N2856,계정대체기준!$A$20:$A$49,0)),0)))</f>
        <v/>
      </c>
      <c r="AB2856" s="94">
        <f>IF($A2856="",0,IF(AE2856="직접",IF(AF2856="수금비",$P2856,0),$P2856*(1-AG2856)*IFERROR(INDEX(계정대체기준!$E$20:$E$49,MATCH($N2856,계정대체기준!$A$20:$A$49,0)),0)))</f>
        <v/>
      </c>
      <c r="AC2856" s="9">
        <f>IF(AND($A2856&lt;&gt;"",M2856=설정!$C$20,Z2856&gt;0),Z2856+ROW()/1000000000,"")</f>
        <v/>
      </c>
      <c r="AD2856" s="94">
        <f>IF($A2856="",0,$P2856*AG2856)</f>
        <v/>
      </c>
      <c r="AE2856" s="64">
        <f>IF($A2856="","",IFERROR(INDEX(계정매핑!$E$5:$E$504,MATCH($F2856&amp;"",계정매핑!$A$5:$A$504,0))&amp;"","공통비"))</f>
        <v/>
      </c>
      <c r="AF2856" s="64">
        <f>IF($A2856="","",IF(AE2856="직접",IFERROR(INDEX(계정매핑!$F$5:$F$504,MATCH($F2856&amp;"",계정매핑!$A$5:$A$504,0))&amp;"","비귀속"),""))</f>
        <v/>
      </c>
      <c r="AG2856" s="96">
        <f>IF($A2856="",0,IF(AND(AE2856&lt;&gt;"직접",IFERROR(INDEX(계정매핑!$G$5:$G$504,MATCH($F2856&amp;"",계정매핑!$A$5:$A$504,0))&amp;"","")="유지비",COUNTIF(계정대체기준!$A$6:$A$15,$N2856)&gt;0),IFERROR(INDEX(계정대체기준!$E$6:$E$15,MATCH(VALUE($A2856&amp;""),계정대체기준!$D$6:$D$15,0)),0),0))</f>
        <v/>
      </c>
      <c r="AH2856" s="64">
        <f>IF($A2856="","",IF(AD2856=0,"",IF(OR(COUNTIF(계정대체기준!$A$77:$A$86,$N2856)&gt;0,ISNUMBER(MATCH($X2856,계정대체기준!$D$77:$D$86,0)),ISNUMBER(MATCH($F2856,계정대체기준!$D$77:$D$86,0))),"Y","N")))</f>
        <v/>
      </c>
    </row>
    <row r="2857">
      <c r="A2857" s="92" t="n">
        <v>2026</v>
      </c>
      <c r="B2857" s="92" t="n">
        <v>1</v>
      </c>
      <c r="C2857" s="92" t="inlineStr">
        <is>
          <t>5100000135</t>
        </is>
      </c>
      <c r="D2857" s="95" t="n">
        <v>46040</v>
      </c>
      <c r="E2857" s="92" t="inlineStr">
        <is>
          <t>KR</t>
        </is>
      </c>
      <c r="F2857" s="92" t="n">
        <v>62201000</v>
      </c>
      <c r="G2857" s="92" t="n">
        <v>1201</v>
      </c>
      <c r="H2857" s="93" t="n">
        <v>157000</v>
      </c>
      <c r="I2857" s="92" t="inlineStr">
        <is>
          <t>1월 통신요금 - O텔레콤</t>
        </is>
      </c>
      <c r="J2857" s="92" t="inlineStr">
        <is>
          <t>V10002</t>
        </is>
      </c>
      <c r="K2857" s="92" t="inlineStr">
        <is>
          <t>O텔레콤</t>
        </is>
      </c>
      <c r="M2857" s="9">
        <f>IF($A2857="","",VALUE($A2857&amp;"")*12+VALUE($B2857&amp;""))</f>
        <v/>
      </c>
      <c r="N2857" s="64">
        <f>IF($A2857="","",IFERROR(INDEX(부서매핑!$C$5:$C$504,MATCH($G2857&amp;"",부서매핑!$A$5:$A$504,0)),"미매핑"))</f>
        <v/>
      </c>
      <c r="O2857" s="9">
        <f>IF($A2857="","",N2857&amp;"|"&amp;$F2857)</f>
        <v/>
      </c>
      <c r="P2857" s="94">
        <f>IF($A2857="",0,$H2857*설정!$C$23)</f>
        <v/>
      </c>
      <c r="Q2857" s="64">
        <f>IF($A2857="","",IF(O2857&lt;&gt;원인분석!$C$9,"",IF(AND(M2857&gt;=원인분석!$C$10,M2857&lt;=원인분석!$C$11),"당기",IF(AND(M2857&gt;=원인분석!$C$12,M2857&lt;=원인분석!$C$13),"비교",""))))</f>
        <v/>
      </c>
      <c r="R2857" s="9">
        <f>IF(Q2857="","",$K2857&amp;"")</f>
        <v/>
      </c>
      <c r="S2857" s="9">
        <f>IF(Q2857="","",IF(MATCH(R2857,$R$5:$R$100000,0)=ROW()-4,ROW(),""))</f>
        <v/>
      </c>
      <c r="T2857" s="9">
        <f>IF(Q2857="당기",ABS(P2857)+ROW()/1000000000,"")</f>
        <v/>
      </c>
      <c r="U2857" s="9">
        <f>IF(Q2857="비교",ABS(P2857)+ROW()/1000000000,"")</f>
        <v/>
      </c>
      <c r="V2857" s="64">
        <f>IF($A2857="","",IF(COUNTIF(변동분석!$E$7:$E$506,O2857)&gt;0,"Y","N"))</f>
        <v/>
      </c>
      <c r="W2857" s="64">
        <f>IF($A2857="","",IFERROR(INDEX(계정매핑!$D$5:$D$504,MATCH($F2857&amp;"",계정매핑!$A$5:$A$504,0)),"미매핑"))</f>
        <v/>
      </c>
      <c r="X2857" s="9">
        <f>IF($A2857="","",$F2857&amp;"")</f>
        <v/>
      </c>
      <c r="Y2857" s="94">
        <f>IF($A2857="",0,IF(AE2857="직접",IF(AF2857="비귀속",$P2857,0),$P2857*(1-AG2857)*IFERROR(INDEX(계정대체기준!$F$20:$F$49,MATCH($N2857,계정대체기준!$A$20:$A$49,0)),1)))</f>
        <v/>
      </c>
      <c r="Z2857" s="94">
        <f>IF($A2857="",0,IF(AE2857="직접",IF(AF2857="신계약비",$P2857,0),$P2857*(1-AG2857)*IFERROR(INDEX(계정대체기준!$C$20:$C$49,MATCH($N2857,계정대체기준!$A$20:$A$49,0)),0)))</f>
        <v/>
      </c>
      <c r="AA2857" s="94">
        <f>IF($A2857="",0,IF(AE2857="직접",IF(OR(AF2857="유지비",AF2857="손해조사비"),$P2857,0),$P2857*(1-AG2857)*IFERROR(INDEX(계정대체기준!$D$20:$D$49,MATCH($N2857,계정대체기준!$A$20:$A$49,0)),0)))</f>
        <v/>
      </c>
      <c r="AB2857" s="94">
        <f>IF($A2857="",0,IF(AE2857="직접",IF(AF2857="수금비",$P2857,0),$P2857*(1-AG2857)*IFERROR(INDEX(계정대체기준!$E$20:$E$49,MATCH($N2857,계정대체기준!$A$20:$A$49,0)),0)))</f>
        <v/>
      </c>
      <c r="AC2857" s="9">
        <f>IF(AND($A2857&lt;&gt;"",M2857=설정!$C$20,Z2857&gt;0),Z2857+ROW()/1000000000,"")</f>
        <v/>
      </c>
      <c r="AD2857" s="94">
        <f>IF($A2857="",0,$P2857*AG2857)</f>
        <v/>
      </c>
      <c r="AE2857" s="64">
        <f>IF($A2857="","",IFERROR(INDEX(계정매핑!$E$5:$E$504,MATCH($F2857&amp;"",계정매핑!$A$5:$A$504,0))&amp;"","공통비"))</f>
        <v/>
      </c>
      <c r="AF2857" s="64">
        <f>IF($A2857="","",IF(AE2857="직접",IFERROR(INDEX(계정매핑!$F$5:$F$504,MATCH($F2857&amp;"",계정매핑!$A$5:$A$504,0))&amp;"","비귀속"),""))</f>
        <v/>
      </c>
      <c r="AG2857" s="96">
        <f>IF($A2857="",0,IF(AND(AE2857&lt;&gt;"직접",IFERROR(INDEX(계정매핑!$G$5:$G$504,MATCH($F2857&amp;"",계정매핑!$A$5:$A$504,0))&amp;"","")="유지비",COUNTIF(계정대체기준!$A$6:$A$15,$N2857)&gt;0),IFERROR(INDEX(계정대체기준!$E$6:$E$15,MATCH(VALUE($A2857&amp;""),계정대체기준!$D$6:$D$15,0)),0),0))</f>
        <v/>
      </c>
      <c r="AH2857" s="64">
        <f>IF($A2857="","",IF(AD2857=0,"",IF(OR(COUNTIF(계정대체기준!$A$77:$A$86,$N2857)&gt;0,ISNUMBER(MATCH($X2857,계정대체기준!$D$77:$D$86,0)),ISNUMBER(MATCH($F2857,계정대체기준!$D$77:$D$86,0))),"Y","N")))</f>
        <v/>
      </c>
    </row>
    <row r="2858">
      <c r="A2858" s="92" t="n">
        <v>2026</v>
      </c>
      <c r="B2858" s="92" t="n">
        <v>1</v>
      </c>
      <c r="C2858" s="92" t="inlineStr">
        <is>
          <t>5100000136</t>
        </is>
      </c>
      <c r="D2858" s="95" t="n">
        <v>46040</v>
      </c>
      <c r="E2858" s="92" t="inlineStr">
        <is>
          <t>KR</t>
        </is>
      </c>
      <c r="F2858" s="92" t="n">
        <v>62501000</v>
      </c>
      <c r="G2858" s="92" t="n">
        <v>1801</v>
      </c>
      <c r="H2858" s="93" t="n">
        <v>167000</v>
      </c>
      <c r="I2858" s="92" t="inlineStr">
        <is>
          <t>1월 회의 다과 - (법인카드)</t>
        </is>
      </c>
      <c r="J2858" s="92" t="inlineStr">
        <is>
          <t>V10010</t>
        </is>
      </c>
      <c r="K2858" s="92" t="inlineStr">
        <is>
          <t>(법인카드)</t>
        </is>
      </c>
      <c r="M2858" s="9">
        <f>IF($A2858="","",VALUE($A2858&amp;"")*12+VALUE($B2858&amp;""))</f>
        <v/>
      </c>
      <c r="N2858" s="64">
        <f>IF($A2858="","",IFERROR(INDEX(부서매핑!$C$5:$C$504,MATCH($G2858&amp;"",부서매핑!$A$5:$A$504,0)),"미매핑"))</f>
        <v/>
      </c>
      <c r="O2858" s="9">
        <f>IF($A2858="","",N2858&amp;"|"&amp;$F2858)</f>
        <v/>
      </c>
      <c r="P2858" s="94">
        <f>IF($A2858="",0,$H2858*설정!$C$23)</f>
        <v/>
      </c>
      <c r="Q2858" s="64">
        <f>IF($A2858="","",IF(O2858&lt;&gt;원인분석!$C$9,"",IF(AND(M2858&gt;=원인분석!$C$10,M2858&lt;=원인분석!$C$11),"당기",IF(AND(M2858&gt;=원인분석!$C$12,M2858&lt;=원인분석!$C$13),"비교",""))))</f>
        <v/>
      </c>
      <c r="R2858" s="9">
        <f>IF(Q2858="","",$K2858&amp;"")</f>
        <v/>
      </c>
      <c r="S2858" s="9">
        <f>IF(Q2858="","",IF(MATCH(R2858,$R$5:$R$100000,0)=ROW()-4,ROW(),""))</f>
        <v/>
      </c>
      <c r="T2858" s="9">
        <f>IF(Q2858="당기",ABS(P2858)+ROW()/1000000000,"")</f>
        <v/>
      </c>
      <c r="U2858" s="9">
        <f>IF(Q2858="비교",ABS(P2858)+ROW()/1000000000,"")</f>
        <v/>
      </c>
      <c r="V2858" s="64">
        <f>IF($A2858="","",IF(COUNTIF(변동분석!$E$7:$E$506,O2858)&gt;0,"Y","N"))</f>
        <v/>
      </c>
      <c r="W2858" s="64">
        <f>IF($A2858="","",IFERROR(INDEX(계정매핑!$D$5:$D$504,MATCH($F2858&amp;"",계정매핑!$A$5:$A$504,0)),"미매핑"))</f>
        <v/>
      </c>
      <c r="X2858" s="9">
        <f>IF($A2858="","",$F2858&amp;"")</f>
        <v/>
      </c>
      <c r="Y2858" s="94">
        <f>IF($A2858="",0,IF(AE2858="직접",IF(AF2858="비귀속",$P2858,0),$P2858*(1-AG2858)*IFERROR(INDEX(계정대체기준!$F$20:$F$49,MATCH($N2858,계정대체기준!$A$20:$A$49,0)),1)))</f>
        <v/>
      </c>
      <c r="Z2858" s="94">
        <f>IF($A2858="",0,IF(AE2858="직접",IF(AF2858="신계약비",$P2858,0),$P2858*(1-AG2858)*IFERROR(INDEX(계정대체기준!$C$20:$C$49,MATCH($N2858,계정대체기준!$A$20:$A$49,0)),0)))</f>
        <v/>
      </c>
      <c r="AA2858" s="94">
        <f>IF($A2858="",0,IF(AE2858="직접",IF(OR(AF2858="유지비",AF2858="손해조사비"),$P2858,0),$P2858*(1-AG2858)*IFERROR(INDEX(계정대체기준!$D$20:$D$49,MATCH($N2858,계정대체기준!$A$20:$A$49,0)),0)))</f>
        <v/>
      </c>
      <c r="AB2858" s="94">
        <f>IF($A2858="",0,IF(AE2858="직접",IF(AF2858="수금비",$P2858,0),$P2858*(1-AG2858)*IFERROR(INDEX(계정대체기준!$E$20:$E$49,MATCH($N2858,계정대체기준!$A$20:$A$49,0)),0)))</f>
        <v/>
      </c>
      <c r="AC2858" s="9">
        <f>IF(AND($A2858&lt;&gt;"",M2858=설정!$C$20,Z2858&gt;0),Z2858+ROW()/1000000000,"")</f>
        <v/>
      </c>
      <c r="AD2858" s="94">
        <f>IF($A2858="",0,$P2858*AG2858)</f>
        <v/>
      </c>
      <c r="AE2858" s="64">
        <f>IF($A2858="","",IFERROR(INDEX(계정매핑!$E$5:$E$504,MATCH($F2858&amp;"",계정매핑!$A$5:$A$504,0))&amp;"","공통비"))</f>
        <v/>
      </c>
      <c r="AF2858" s="64">
        <f>IF($A2858="","",IF(AE2858="직접",IFERROR(INDEX(계정매핑!$F$5:$F$504,MATCH($F2858&amp;"",계정매핑!$A$5:$A$504,0))&amp;"","비귀속"),""))</f>
        <v/>
      </c>
      <c r="AG2858" s="96">
        <f>IF($A2858="",0,IF(AND(AE2858&lt;&gt;"직접",IFERROR(INDEX(계정매핑!$G$5:$G$504,MATCH($F2858&amp;"",계정매핑!$A$5:$A$504,0))&amp;"","")="유지비",COUNTIF(계정대체기준!$A$6:$A$15,$N2858)&gt;0),IFERROR(INDEX(계정대체기준!$E$6:$E$15,MATCH(VALUE($A2858&amp;""),계정대체기준!$D$6:$D$15,0)),0),0))</f>
        <v/>
      </c>
      <c r="AH2858" s="64">
        <f>IF($A2858="","",IF(AD2858=0,"",IF(OR(COUNTIF(계정대체기준!$A$77:$A$86,$N2858)&gt;0,ISNUMBER(MATCH($X2858,계정대체기준!$D$77:$D$86,0)),ISNUMBER(MATCH($F2858,계정대체기준!$D$77:$D$86,0))),"Y","N")))</f>
        <v/>
      </c>
    </row>
    <row r="2859">
      <c r="A2859" s="92" t="n">
        <v>2026</v>
      </c>
      <c r="B2859" s="92" t="n">
        <v>1</v>
      </c>
      <c r="C2859" s="92" t="inlineStr">
        <is>
          <t>5100000137</t>
        </is>
      </c>
      <c r="D2859" s="95" t="n">
        <v>46040</v>
      </c>
      <c r="E2859" s="92" t="inlineStr">
        <is>
          <t>KR</t>
        </is>
      </c>
      <c r="F2859" s="92" t="n">
        <v>62601000</v>
      </c>
      <c r="G2859" s="92" t="n">
        <v>1501</v>
      </c>
      <c r="H2859" s="93" t="n">
        <v>1477000</v>
      </c>
      <c r="I2859" s="92" t="inlineStr">
        <is>
          <t>1월 업무추진 - (법인카드)</t>
        </is>
      </c>
      <c r="J2859" s="92" t="inlineStr">
        <is>
          <t>V10010</t>
        </is>
      </c>
      <c r="K2859" s="92" t="inlineStr">
        <is>
          <t>(법인카드)</t>
        </is>
      </c>
      <c r="M2859" s="9">
        <f>IF($A2859="","",VALUE($A2859&amp;"")*12+VALUE($B2859&amp;""))</f>
        <v/>
      </c>
      <c r="N2859" s="64">
        <f>IF($A2859="","",IFERROR(INDEX(부서매핑!$C$5:$C$504,MATCH($G2859&amp;"",부서매핑!$A$5:$A$504,0)),"미매핑"))</f>
        <v/>
      </c>
      <c r="O2859" s="9">
        <f>IF($A2859="","",N2859&amp;"|"&amp;$F2859)</f>
        <v/>
      </c>
      <c r="P2859" s="94">
        <f>IF($A2859="",0,$H2859*설정!$C$23)</f>
        <v/>
      </c>
      <c r="Q2859" s="64">
        <f>IF($A2859="","",IF(O2859&lt;&gt;원인분석!$C$9,"",IF(AND(M2859&gt;=원인분석!$C$10,M2859&lt;=원인분석!$C$11),"당기",IF(AND(M2859&gt;=원인분석!$C$12,M2859&lt;=원인분석!$C$13),"비교",""))))</f>
        <v/>
      </c>
      <c r="R2859" s="9">
        <f>IF(Q2859="","",$K2859&amp;"")</f>
        <v/>
      </c>
      <c r="S2859" s="9">
        <f>IF(Q2859="","",IF(MATCH(R2859,$R$5:$R$100000,0)=ROW()-4,ROW(),""))</f>
        <v/>
      </c>
      <c r="T2859" s="9">
        <f>IF(Q2859="당기",ABS(P2859)+ROW()/1000000000,"")</f>
        <v/>
      </c>
      <c r="U2859" s="9">
        <f>IF(Q2859="비교",ABS(P2859)+ROW()/1000000000,"")</f>
        <v/>
      </c>
      <c r="V2859" s="64">
        <f>IF($A2859="","",IF(COUNTIF(변동분석!$E$7:$E$506,O2859)&gt;0,"Y","N"))</f>
        <v/>
      </c>
      <c r="W2859" s="64">
        <f>IF($A2859="","",IFERROR(INDEX(계정매핑!$D$5:$D$504,MATCH($F2859&amp;"",계정매핑!$A$5:$A$504,0)),"미매핑"))</f>
        <v/>
      </c>
      <c r="X2859" s="9">
        <f>IF($A2859="","",$F2859&amp;"")</f>
        <v/>
      </c>
      <c r="Y2859" s="94">
        <f>IF($A2859="",0,IF(AE2859="직접",IF(AF2859="비귀속",$P2859,0),$P2859*(1-AG2859)*IFERROR(INDEX(계정대체기준!$F$20:$F$49,MATCH($N2859,계정대체기준!$A$20:$A$49,0)),1)))</f>
        <v/>
      </c>
      <c r="Z2859" s="94">
        <f>IF($A2859="",0,IF(AE2859="직접",IF(AF2859="신계약비",$P2859,0),$P2859*(1-AG2859)*IFERROR(INDEX(계정대체기준!$C$20:$C$49,MATCH($N2859,계정대체기준!$A$20:$A$49,0)),0)))</f>
        <v/>
      </c>
      <c r="AA2859" s="94">
        <f>IF($A2859="",0,IF(AE2859="직접",IF(OR(AF2859="유지비",AF2859="손해조사비"),$P2859,0),$P2859*(1-AG2859)*IFERROR(INDEX(계정대체기준!$D$20:$D$49,MATCH($N2859,계정대체기준!$A$20:$A$49,0)),0)))</f>
        <v/>
      </c>
      <c r="AB2859" s="94">
        <f>IF($A2859="",0,IF(AE2859="직접",IF(AF2859="수금비",$P2859,0),$P2859*(1-AG2859)*IFERROR(INDEX(계정대체기준!$E$20:$E$49,MATCH($N2859,계정대체기준!$A$20:$A$49,0)),0)))</f>
        <v/>
      </c>
      <c r="AC2859" s="9">
        <f>IF(AND($A2859&lt;&gt;"",M2859=설정!$C$20,Z2859&gt;0),Z2859+ROW()/1000000000,"")</f>
        <v/>
      </c>
      <c r="AD2859" s="94">
        <f>IF($A2859="",0,$P2859*AG2859)</f>
        <v/>
      </c>
      <c r="AE2859" s="64">
        <f>IF($A2859="","",IFERROR(INDEX(계정매핑!$E$5:$E$504,MATCH($F2859&amp;"",계정매핑!$A$5:$A$504,0))&amp;"","공통비"))</f>
        <v/>
      </c>
      <c r="AF2859" s="64">
        <f>IF($A2859="","",IF(AE2859="직접",IFERROR(INDEX(계정매핑!$F$5:$F$504,MATCH($F2859&amp;"",계정매핑!$A$5:$A$504,0))&amp;"","비귀속"),""))</f>
        <v/>
      </c>
      <c r="AG2859" s="96">
        <f>IF($A2859="",0,IF(AND(AE2859&lt;&gt;"직접",IFERROR(INDEX(계정매핑!$G$5:$G$504,MATCH($F2859&amp;"",계정매핑!$A$5:$A$504,0))&amp;"","")="유지비",COUNTIF(계정대체기준!$A$6:$A$15,$N2859)&gt;0),IFERROR(INDEX(계정대체기준!$E$6:$E$15,MATCH(VALUE($A2859&amp;""),계정대체기준!$D$6:$D$15,0)),0),0))</f>
        <v/>
      </c>
      <c r="AH2859" s="64">
        <f>IF($A2859="","",IF(AD2859=0,"",IF(OR(COUNTIF(계정대체기준!$A$77:$A$86,$N2859)&gt;0,ISNUMBER(MATCH($X2859,계정대체기준!$D$77:$D$86,0)),ISNUMBER(MATCH($F2859,계정대체기준!$D$77:$D$86,0))),"Y","N")))</f>
        <v/>
      </c>
    </row>
    <row r="2860">
      <c r="A2860" s="92" t="n">
        <v>2026</v>
      </c>
      <c r="B2860" s="92" t="n">
        <v>1</v>
      </c>
      <c r="C2860" s="92" t="inlineStr">
        <is>
          <t>5100000138</t>
        </is>
      </c>
      <c r="D2860" s="95" t="n">
        <v>46040</v>
      </c>
      <c r="E2860" s="92" t="inlineStr">
        <is>
          <t>KR</t>
        </is>
      </c>
      <c r="F2860" s="92" t="n">
        <v>62901000</v>
      </c>
      <c r="G2860" s="92" t="n">
        <v>1401</v>
      </c>
      <c r="H2860" s="93" t="n">
        <v>6277000</v>
      </c>
      <c r="I2860" s="92" t="inlineStr">
        <is>
          <t>1월 자문 수수료 - K회계법인</t>
        </is>
      </c>
      <c r="J2860" s="92" t="inlineStr">
        <is>
          <t>V10011</t>
        </is>
      </c>
      <c r="K2860" s="92" t="inlineStr">
        <is>
          <t>K회계법인</t>
        </is>
      </c>
      <c r="M2860" s="9">
        <f>IF($A2860="","",VALUE($A2860&amp;"")*12+VALUE($B2860&amp;""))</f>
        <v/>
      </c>
      <c r="N2860" s="64">
        <f>IF($A2860="","",IFERROR(INDEX(부서매핑!$C$5:$C$504,MATCH($G2860&amp;"",부서매핑!$A$5:$A$504,0)),"미매핑"))</f>
        <v/>
      </c>
      <c r="O2860" s="9">
        <f>IF($A2860="","",N2860&amp;"|"&amp;$F2860)</f>
        <v/>
      </c>
      <c r="P2860" s="94">
        <f>IF($A2860="",0,$H2860*설정!$C$23)</f>
        <v/>
      </c>
      <c r="Q2860" s="64">
        <f>IF($A2860="","",IF(O2860&lt;&gt;원인분석!$C$9,"",IF(AND(M2860&gt;=원인분석!$C$10,M2860&lt;=원인분석!$C$11),"당기",IF(AND(M2860&gt;=원인분석!$C$12,M2860&lt;=원인분석!$C$13),"비교",""))))</f>
        <v/>
      </c>
      <c r="R2860" s="9">
        <f>IF(Q2860="","",$K2860&amp;"")</f>
        <v/>
      </c>
      <c r="S2860" s="9">
        <f>IF(Q2860="","",IF(MATCH(R2860,$R$5:$R$100000,0)=ROW()-4,ROW(),""))</f>
        <v/>
      </c>
      <c r="T2860" s="9">
        <f>IF(Q2860="당기",ABS(P2860)+ROW()/1000000000,"")</f>
        <v/>
      </c>
      <c r="U2860" s="9">
        <f>IF(Q2860="비교",ABS(P2860)+ROW()/1000000000,"")</f>
        <v/>
      </c>
      <c r="V2860" s="64">
        <f>IF($A2860="","",IF(COUNTIF(변동분석!$E$7:$E$506,O2860)&gt;0,"Y","N"))</f>
        <v/>
      </c>
      <c r="W2860" s="64">
        <f>IF($A2860="","",IFERROR(INDEX(계정매핑!$D$5:$D$504,MATCH($F2860&amp;"",계정매핑!$A$5:$A$504,0)),"미매핑"))</f>
        <v/>
      </c>
      <c r="X2860" s="9">
        <f>IF($A2860="","",$F2860&amp;"")</f>
        <v/>
      </c>
      <c r="Y2860" s="94">
        <f>IF($A2860="",0,IF(AE2860="직접",IF(AF2860="비귀속",$P2860,0),$P2860*(1-AG2860)*IFERROR(INDEX(계정대체기준!$F$20:$F$49,MATCH($N2860,계정대체기준!$A$20:$A$49,0)),1)))</f>
        <v/>
      </c>
      <c r="Z2860" s="94">
        <f>IF($A2860="",0,IF(AE2860="직접",IF(AF2860="신계약비",$P2860,0),$P2860*(1-AG2860)*IFERROR(INDEX(계정대체기준!$C$20:$C$49,MATCH($N2860,계정대체기준!$A$20:$A$49,0)),0)))</f>
        <v/>
      </c>
      <c r="AA2860" s="94">
        <f>IF($A2860="",0,IF(AE2860="직접",IF(OR(AF2860="유지비",AF2860="손해조사비"),$P2860,0),$P2860*(1-AG2860)*IFERROR(INDEX(계정대체기준!$D$20:$D$49,MATCH($N2860,계정대체기준!$A$20:$A$49,0)),0)))</f>
        <v/>
      </c>
      <c r="AB2860" s="94">
        <f>IF($A2860="",0,IF(AE2860="직접",IF(AF2860="수금비",$P2860,0),$P2860*(1-AG2860)*IFERROR(INDEX(계정대체기준!$E$20:$E$49,MATCH($N2860,계정대체기준!$A$20:$A$49,0)),0)))</f>
        <v/>
      </c>
      <c r="AC2860" s="9">
        <f>IF(AND($A2860&lt;&gt;"",M2860=설정!$C$20,Z2860&gt;0),Z2860+ROW()/1000000000,"")</f>
        <v/>
      </c>
      <c r="AD2860" s="94">
        <f>IF($A2860="",0,$P2860*AG2860)</f>
        <v/>
      </c>
      <c r="AE2860" s="64">
        <f>IF($A2860="","",IFERROR(INDEX(계정매핑!$E$5:$E$504,MATCH($F2860&amp;"",계정매핑!$A$5:$A$504,0))&amp;"","공통비"))</f>
        <v/>
      </c>
      <c r="AF2860" s="64">
        <f>IF($A2860="","",IF(AE2860="직접",IFERROR(INDEX(계정매핑!$F$5:$F$504,MATCH($F2860&amp;"",계정매핑!$A$5:$A$504,0))&amp;"","비귀속"),""))</f>
        <v/>
      </c>
      <c r="AG2860" s="96">
        <f>IF($A2860="",0,IF(AND(AE2860&lt;&gt;"직접",IFERROR(INDEX(계정매핑!$G$5:$G$504,MATCH($F2860&amp;"",계정매핑!$A$5:$A$504,0))&amp;"","")="유지비",COUNTIF(계정대체기준!$A$6:$A$15,$N2860)&gt;0),IFERROR(INDEX(계정대체기준!$E$6:$E$15,MATCH(VALUE($A2860&amp;""),계정대체기준!$D$6:$D$15,0)),0),0))</f>
        <v/>
      </c>
      <c r="AH2860" s="64">
        <f>IF($A2860="","",IF(AD2860=0,"",IF(OR(COUNTIF(계정대체기준!$A$77:$A$86,$N2860)&gt;0,ISNUMBER(MATCH($X2860,계정대체기준!$D$77:$D$86,0)),ISNUMBER(MATCH($F2860,계정대체기준!$D$77:$D$86,0))),"Y","N")))</f>
        <v/>
      </c>
    </row>
    <row r="2861">
      <c r="A2861" s="92" t="n">
        <v>2026</v>
      </c>
      <c r="B2861" s="92" t="n">
        <v>1</v>
      </c>
      <c r="C2861" s="92" t="inlineStr">
        <is>
          <t>5100000139</t>
        </is>
      </c>
      <c r="D2861" s="95" t="n">
        <v>46040</v>
      </c>
      <c r="E2861" s="92" t="inlineStr">
        <is>
          <t>KR</t>
        </is>
      </c>
      <c r="F2861" s="92" t="n">
        <v>63001000</v>
      </c>
      <c r="G2861" s="92" t="n">
        <v>1701</v>
      </c>
      <c r="H2861" s="93" t="n">
        <v>21264000</v>
      </c>
      <c r="I2861" s="92" t="inlineStr">
        <is>
          <t>1월 SW 유지보수 - Z시스템</t>
        </is>
      </c>
      <c r="J2861" s="92" t="inlineStr">
        <is>
          <t>V10012</t>
        </is>
      </c>
      <c r="K2861" s="92" t="inlineStr">
        <is>
          <t>Z시스템</t>
        </is>
      </c>
      <c r="M2861" s="9">
        <f>IF($A2861="","",VALUE($A2861&amp;"")*12+VALUE($B2861&amp;""))</f>
        <v/>
      </c>
      <c r="N2861" s="64">
        <f>IF($A2861="","",IFERROR(INDEX(부서매핑!$C$5:$C$504,MATCH($G2861&amp;"",부서매핑!$A$5:$A$504,0)),"미매핑"))</f>
        <v/>
      </c>
      <c r="O2861" s="9">
        <f>IF($A2861="","",N2861&amp;"|"&amp;$F2861)</f>
        <v/>
      </c>
      <c r="P2861" s="94">
        <f>IF($A2861="",0,$H2861*설정!$C$23)</f>
        <v/>
      </c>
      <c r="Q2861" s="64">
        <f>IF($A2861="","",IF(O2861&lt;&gt;원인분석!$C$9,"",IF(AND(M2861&gt;=원인분석!$C$10,M2861&lt;=원인분석!$C$11),"당기",IF(AND(M2861&gt;=원인분석!$C$12,M2861&lt;=원인분석!$C$13),"비교",""))))</f>
        <v/>
      </c>
      <c r="R2861" s="9">
        <f>IF(Q2861="","",$K2861&amp;"")</f>
        <v/>
      </c>
      <c r="S2861" s="9">
        <f>IF(Q2861="","",IF(MATCH(R2861,$R$5:$R$100000,0)=ROW()-4,ROW(),""))</f>
        <v/>
      </c>
      <c r="T2861" s="9">
        <f>IF(Q2861="당기",ABS(P2861)+ROW()/1000000000,"")</f>
        <v/>
      </c>
      <c r="U2861" s="9">
        <f>IF(Q2861="비교",ABS(P2861)+ROW()/1000000000,"")</f>
        <v/>
      </c>
      <c r="V2861" s="64">
        <f>IF($A2861="","",IF(COUNTIF(변동분석!$E$7:$E$506,O2861)&gt;0,"Y","N"))</f>
        <v/>
      </c>
      <c r="W2861" s="64">
        <f>IF($A2861="","",IFERROR(INDEX(계정매핑!$D$5:$D$504,MATCH($F2861&amp;"",계정매핑!$A$5:$A$504,0)),"미매핑"))</f>
        <v/>
      </c>
      <c r="X2861" s="9">
        <f>IF($A2861="","",$F2861&amp;"")</f>
        <v/>
      </c>
      <c r="Y2861" s="94">
        <f>IF($A2861="",0,IF(AE2861="직접",IF(AF2861="비귀속",$P2861,0),$P2861*(1-AG2861)*IFERROR(INDEX(계정대체기준!$F$20:$F$49,MATCH($N2861,계정대체기준!$A$20:$A$49,0)),1)))</f>
        <v/>
      </c>
      <c r="Z2861" s="94">
        <f>IF($A2861="",0,IF(AE2861="직접",IF(AF2861="신계약비",$P2861,0),$P2861*(1-AG2861)*IFERROR(INDEX(계정대체기준!$C$20:$C$49,MATCH($N2861,계정대체기준!$A$20:$A$49,0)),0)))</f>
        <v/>
      </c>
      <c r="AA2861" s="94">
        <f>IF($A2861="",0,IF(AE2861="직접",IF(OR(AF2861="유지비",AF2861="손해조사비"),$P2861,0),$P2861*(1-AG2861)*IFERROR(INDEX(계정대체기준!$D$20:$D$49,MATCH($N2861,계정대체기준!$A$20:$A$49,0)),0)))</f>
        <v/>
      </c>
      <c r="AB2861" s="94">
        <f>IF($A2861="",0,IF(AE2861="직접",IF(AF2861="수금비",$P2861,0),$P2861*(1-AG2861)*IFERROR(INDEX(계정대체기준!$E$20:$E$49,MATCH($N2861,계정대체기준!$A$20:$A$49,0)),0)))</f>
        <v/>
      </c>
      <c r="AC2861" s="9">
        <f>IF(AND($A2861&lt;&gt;"",M2861=설정!$C$20,Z2861&gt;0),Z2861+ROW()/1000000000,"")</f>
        <v/>
      </c>
      <c r="AD2861" s="94">
        <f>IF($A2861="",0,$P2861*AG2861)</f>
        <v/>
      </c>
      <c r="AE2861" s="64">
        <f>IF($A2861="","",IFERROR(INDEX(계정매핑!$E$5:$E$504,MATCH($F2861&amp;"",계정매핑!$A$5:$A$504,0))&amp;"","공통비"))</f>
        <v/>
      </c>
      <c r="AF2861" s="64">
        <f>IF($A2861="","",IF(AE2861="직접",IFERROR(INDEX(계정매핑!$F$5:$F$504,MATCH($F2861&amp;"",계정매핑!$A$5:$A$504,0))&amp;"","비귀속"),""))</f>
        <v/>
      </c>
      <c r="AG2861" s="96">
        <f>IF($A2861="",0,IF(AND(AE2861&lt;&gt;"직접",IFERROR(INDEX(계정매핑!$G$5:$G$504,MATCH($F2861&amp;"",계정매핑!$A$5:$A$504,0))&amp;"","")="유지비",COUNTIF(계정대체기준!$A$6:$A$15,$N2861)&gt;0),IFERROR(INDEX(계정대체기준!$E$6:$E$15,MATCH(VALUE($A2861&amp;""),계정대체기준!$D$6:$D$15,0)),0),0))</f>
        <v/>
      </c>
      <c r="AH2861" s="64">
        <f>IF($A2861="","",IF(AD2861=0,"",IF(OR(COUNTIF(계정대체기준!$A$77:$A$86,$N2861)&gt;0,ISNUMBER(MATCH($X2861,계정대체기준!$D$77:$D$86,0)),ISNUMBER(MATCH($F2861,계정대체기준!$D$77:$D$86,0))),"Y","N")))</f>
        <v/>
      </c>
    </row>
    <row r="2862">
      <c r="A2862" s="92" t="n">
        <v>2026</v>
      </c>
      <c r="B2862" s="92" t="n">
        <v>1</v>
      </c>
      <c r="C2862" s="92" t="inlineStr">
        <is>
          <t>5100000140</t>
        </is>
      </c>
      <c r="D2862" s="95" t="n">
        <v>46040</v>
      </c>
      <c r="E2862" s="92" t="inlineStr">
        <is>
          <t>KR</t>
        </is>
      </c>
      <c r="F2862" s="92" t="n">
        <v>63002000</v>
      </c>
      <c r="G2862" s="92" t="n">
        <v>1951</v>
      </c>
      <c r="H2862" s="93" t="n">
        <v>7997000</v>
      </c>
      <c r="I2862" s="92" t="inlineStr">
        <is>
          <t>1월 클라우드 사용료 - C클라우드</t>
        </is>
      </c>
      <c r="J2862" s="92" t="inlineStr">
        <is>
          <t>V10026</t>
        </is>
      </c>
      <c r="K2862" s="92" t="inlineStr">
        <is>
          <t>C클라우드</t>
        </is>
      </c>
      <c r="M2862" s="9">
        <f>IF($A2862="","",VALUE($A2862&amp;"")*12+VALUE($B2862&amp;""))</f>
        <v/>
      </c>
      <c r="N2862" s="64">
        <f>IF($A2862="","",IFERROR(INDEX(부서매핑!$C$5:$C$504,MATCH($G2862&amp;"",부서매핑!$A$5:$A$504,0)),"미매핑"))</f>
        <v/>
      </c>
      <c r="O2862" s="9">
        <f>IF($A2862="","",N2862&amp;"|"&amp;$F2862)</f>
        <v/>
      </c>
      <c r="P2862" s="94">
        <f>IF($A2862="",0,$H2862*설정!$C$23)</f>
        <v/>
      </c>
      <c r="Q2862" s="64">
        <f>IF($A2862="","",IF(O2862&lt;&gt;원인분석!$C$9,"",IF(AND(M2862&gt;=원인분석!$C$10,M2862&lt;=원인분석!$C$11),"당기",IF(AND(M2862&gt;=원인분석!$C$12,M2862&lt;=원인분석!$C$13),"비교",""))))</f>
        <v/>
      </c>
      <c r="R2862" s="9">
        <f>IF(Q2862="","",$K2862&amp;"")</f>
        <v/>
      </c>
      <c r="S2862" s="9">
        <f>IF(Q2862="","",IF(MATCH(R2862,$R$5:$R$100000,0)=ROW()-4,ROW(),""))</f>
        <v/>
      </c>
      <c r="T2862" s="9">
        <f>IF(Q2862="당기",ABS(P2862)+ROW()/1000000000,"")</f>
        <v/>
      </c>
      <c r="U2862" s="9">
        <f>IF(Q2862="비교",ABS(P2862)+ROW()/1000000000,"")</f>
        <v/>
      </c>
      <c r="V2862" s="64">
        <f>IF($A2862="","",IF(COUNTIF(변동분석!$E$7:$E$506,O2862)&gt;0,"Y","N"))</f>
        <v/>
      </c>
      <c r="W2862" s="64">
        <f>IF($A2862="","",IFERROR(INDEX(계정매핑!$D$5:$D$504,MATCH($F2862&amp;"",계정매핑!$A$5:$A$504,0)),"미매핑"))</f>
        <v/>
      </c>
      <c r="X2862" s="9">
        <f>IF($A2862="","",$F2862&amp;"")</f>
        <v/>
      </c>
      <c r="Y2862" s="94">
        <f>IF($A2862="",0,IF(AE2862="직접",IF(AF2862="비귀속",$P2862,0),$P2862*(1-AG2862)*IFERROR(INDEX(계정대체기준!$F$20:$F$49,MATCH($N2862,계정대체기준!$A$20:$A$49,0)),1)))</f>
        <v/>
      </c>
      <c r="Z2862" s="94">
        <f>IF($A2862="",0,IF(AE2862="직접",IF(AF2862="신계약비",$P2862,0),$P2862*(1-AG2862)*IFERROR(INDEX(계정대체기준!$C$20:$C$49,MATCH($N2862,계정대체기준!$A$20:$A$49,0)),0)))</f>
        <v/>
      </c>
      <c r="AA2862" s="94">
        <f>IF($A2862="",0,IF(AE2862="직접",IF(OR(AF2862="유지비",AF2862="손해조사비"),$P2862,0),$P2862*(1-AG2862)*IFERROR(INDEX(계정대체기준!$D$20:$D$49,MATCH($N2862,계정대체기준!$A$20:$A$49,0)),0)))</f>
        <v/>
      </c>
      <c r="AB2862" s="94">
        <f>IF($A2862="",0,IF(AE2862="직접",IF(AF2862="수금비",$P2862,0),$P2862*(1-AG2862)*IFERROR(INDEX(계정대체기준!$E$20:$E$49,MATCH($N2862,계정대체기준!$A$20:$A$49,0)),0)))</f>
        <v/>
      </c>
      <c r="AC2862" s="9">
        <f>IF(AND($A2862&lt;&gt;"",M2862=설정!$C$20,Z2862&gt;0),Z2862+ROW()/1000000000,"")</f>
        <v/>
      </c>
      <c r="AD2862" s="94">
        <f>IF($A2862="",0,$P2862*AG2862)</f>
        <v/>
      </c>
      <c r="AE2862" s="64">
        <f>IF($A2862="","",IFERROR(INDEX(계정매핑!$E$5:$E$504,MATCH($F2862&amp;"",계정매핑!$A$5:$A$504,0))&amp;"","공통비"))</f>
        <v/>
      </c>
      <c r="AF2862" s="64">
        <f>IF($A2862="","",IF(AE2862="직접",IFERROR(INDEX(계정매핑!$F$5:$F$504,MATCH($F2862&amp;"",계정매핑!$A$5:$A$504,0))&amp;"","비귀속"),""))</f>
        <v/>
      </c>
      <c r="AG2862" s="96">
        <f>IF($A2862="",0,IF(AND(AE2862&lt;&gt;"직접",IFERROR(INDEX(계정매핑!$G$5:$G$504,MATCH($F2862&amp;"",계정매핑!$A$5:$A$504,0))&amp;"","")="유지비",COUNTIF(계정대체기준!$A$6:$A$15,$N2862)&gt;0),IFERROR(INDEX(계정대체기준!$E$6:$E$15,MATCH(VALUE($A2862&amp;""),계정대체기준!$D$6:$D$15,0)),0),0))</f>
        <v/>
      </c>
      <c r="AH2862" s="64">
        <f>IF($A2862="","",IF(AD2862=0,"",IF(OR(COUNTIF(계정대체기준!$A$77:$A$86,$N2862)&gt;0,ISNUMBER(MATCH($X2862,계정대체기준!$D$77:$D$86,0)),ISNUMBER(MATCH($F2862,계정대체기준!$D$77:$D$86,0))),"Y","N")))</f>
        <v/>
      </c>
    </row>
    <row r="2863">
      <c r="A2863" s="92" t="n">
        <v>2026</v>
      </c>
      <c r="B2863" s="92" t="n">
        <v>1</v>
      </c>
      <c r="C2863" s="92" t="inlineStr">
        <is>
          <t>5100000141</t>
        </is>
      </c>
      <c r="D2863" s="95" t="n">
        <v>46041</v>
      </c>
      <c r="E2863" s="92" t="inlineStr">
        <is>
          <t>KR</t>
        </is>
      </c>
      <c r="F2863" s="92" t="n">
        <v>62201000</v>
      </c>
      <c r="G2863" s="92" t="n">
        <v>1701</v>
      </c>
      <c r="H2863" s="93" t="n">
        <v>3953000</v>
      </c>
      <c r="I2863" s="92" t="inlineStr">
        <is>
          <t>1월 통신요금 - O텔레콤</t>
        </is>
      </c>
      <c r="J2863" s="92" t="inlineStr">
        <is>
          <t>V10002</t>
        </is>
      </c>
      <c r="K2863" s="92" t="inlineStr">
        <is>
          <t>O텔레콤</t>
        </is>
      </c>
      <c r="M2863" s="9">
        <f>IF($A2863="","",VALUE($A2863&amp;"")*12+VALUE($B2863&amp;""))</f>
        <v/>
      </c>
      <c r="N2863" s="64">
        <f>IF($A2863="","",IFERROR(INDEX(부서매핑!$C$5:$C$504,MATCH($G2863&amp;"",부서매핑!$A$5:$A$504,0)),"미매핑"))</f>
        <v/>
      </c>
      <c r="O2863" s="9">
        <f>IF($A2863="","",N2863&amp;"|"&amp;$F2863)</f>
        <v/>
      </c>
      <c r="P2863" s="94">
        <f>IF($A2863="",0,$H2863*설정!$C$23)</f>
        <v/>
      </c>
      <c r="Q2863" s="64">
        <f>IF($A2863="","",IF(O2863&lt;&gt;원인분석!$C$9,"",IF(AND(M2863&gt;=원인분석!$C$10,M2863&lt;=원인분석!$C$11),"당기",IF(AND(M2863&gt;=원인분석!$C$12,M2863&lt;=원인분석!$C$13),"비교",""))))</f>
        <v/>
      </c>
      <c r="R2863" s="9">
        <f>IF(Q2863="","",$K2863&amp;"")</f>
        <v/>
      </c>
      <c r="S2863" s="9">
        <f>IF(Q2863="","",IF(MATCH(R2863,$R$5:$R$100000,0)=ROW()-4,ROW(),""))</f>
        <v/>
      </c>
      <c r="T2863" s="9">
        <f>IF(Q2863="당기",ABS(P2863)+ROW()/1000000000,"")</f>
        <v/>
      </c>
      <c r="U2863" s="9">
        <f>IF(Q2863="비교",ABS(P2863)+ROW()/1000000000,"")</f>
        <v/>
      </c>
      <c r="V2863" s="64">
        <f>IF($A2863="","",IF(COUNTIF(변동분석!$E$7:$E$506,O2863)&gt;0,"Y","N"))</f>
        <v/>
      </c>
      <c r="W2863" s="64">
        <f>IF($A2863="","",IFERROR(INDEX(계정매핑!$D$5:$D$504,MATCH($F2863&amp;"",계정매핑!$A$5:$A$504,0)),"미매핑"))</f>
        <v/>
      </c>
      <c r="X2863" s="9">
        <f>IF($A2863="","",$F2863&amp;"")</f>
        <v/>
      </c>
      <c r="Y2863" s="94">
        <f>IF($A2863="",0,IF(AE2863="직접",IF(AF2863="비귀속",$P2863,0),$P2863*(1-AG2863)*IFERROR(INDEX(계정대체기준!$F$20:$F$49,MATCH($N2863,계정대체기준!$A$20:$A$49,0)),1)))</f>
        <v/>
      </c>
      <c r="Z2863" s="94">
        <f>IF($A2863="",0,IF(AE2863="직접",IF(AF2863="신계약비",$P2863,0),$P2863*(1-AG2863)*IFERROR(INDEX(계정대체기준!$C$20:$C$49,MATCH($N2863,계정대체기준!$A$20:$A$49,0)),0)))</f>
        <v/>
      </c>
      <c r="AA2863" s="94">
        <f>IF($A2863="",0,IF(AE2863="직접",IF(OR(AF2863="유지비",AF2863="손해조사비"),$P2863,0),$P2863*(1-AG2863)*IFERROR(INDEX(계정대체기준!$D$20:$D$49,MATCH($N2863,계정대체기준!$A$20:$A$49,0)),0)))</f>
        <v/>
      </c>
      <c r="AB2863" s="94">
        <f>IF($A2863="",0,IF(AE2863="직접",IF(AF2863="수금비",$P2863,0),$P2863*(1-AG2863)*IFERROR(INDEX(계정대체기준!$E$20:$E$49,MATCH($N2863,계정대체기준!$A$20:$A$49,0)),0)))</f>
        <v/>
      </c>
      <c r="AC2863" s="9">
        <f>IF(AND($A2863&lt;&gt;"",M2863=설정!$C$20,Z2863&gt;0),Z2863+ROW()/1000000000,"")</f>
        <v/>
      </c>
      <c r="AD2863" s="94">
        <f>IF($A2863="",0,$P2863*AG2863)</f>
        <v/>
      </c>
      <c r="AE2863" s="64">
        <f>IF($A2863="","",IFERROR(INDEX(계정매핑!$E$5:$E$504,MATCH($F2863&amp;"",계정매핑!$A$5:$A$504,0))&amp;"","공통비"))</f>
        <v/>
      </c>
      <c r="AF2863" s="64">
        <f>IF($A2863="","",IF(AE2863="직접",IFERROR(INDEX(계정매핑!$F$5:$F$504,MATCH($F2863&amp;"",계정매핑!$A$5:$A$504,0))&amp;"","비귀속"),""))</f>
        <v/>
      </c>
      <c r="AG2863" s="96">
        <f>IF($A2863="",0,IF(AND(AE2863&lt;&gt;"직접",IFERROR(INDEX(계정매핑!$G$5:$G$504,MATCH($F2863&amp;"",계정매핑!$A$5:$A$504,0))&amp;"","")="유지비",COUNTIF(계정대체기준!$A$6:$A$15,$N2863)&gt;0),IFERROR(INDEX(계정대체기준!$E$6:$E$15,MATCH(VALUE($A2863&amp;""),계정대체기준!$D$6:$D$15,0)),0),0))</f>
        <v/>
      </c>
      <c r="AH2863" s="64">
        <f>IF($A2863="","",IF(AD2863=0,"",IF(OR(COUNTIF(계정대체기준!$A$77:$A$86,$N2863)&gt;0,ISNUMBER(MATCH($X2863,계정대체기준!$D$77:$D$86,0)),ISNUMBER(MATCH($F2863,계정대체기준!$D$77:$D$86,0))),"Y","N")))</f>
        <v/>
      </c>
    </row>
    <row r="2864">
      <c r="A2864" s="92" t="n">
        <v>2026</v>
      </c>
      <c r="B2864" s="92" t="n">
        <v>1</v>
      </c>
      <c r="C2864" s="92" t="inlineStr">
        <is>
          <t>5100000142</t>
        </is>
      </c>
      <c r="D2864" s="95" t="n">
        <v>46041</v>
      </c>
      <c r="E2864" s="92" t="inlineStr">
        <is>
          <t>KR</t>
        </is>
      </c>
      <c r="F2864" s="92" t="n">
        <v>62902000</v>
      </c>
      <c r="G2864" s="92" t="n">
        <v>1801</v>
      </c>
      <c r="H2864" s="93" t="n">
        <v>1763000</v>
      </c>
      <c r="I2864" s="92" t="inlineStr">
        <is>
          <t>1월 콜 위탁 수수료(건별)</t>
        </is>
      </c>
      <c r="J2864" s="92" t="inlineStr">
        <is>
          <t>V10016</t>
        </is>
      </c>
      <c r="K2864" s="92" t="inlineStr">
        <is>
          <t>J콜센터</t>
        </is>
      </c>
      <c r="M2864" s="9">
        <f>IF($A2864="","",VALUE($A2864&amp;"")*12+VALUE($B2864&amp;""))</f>
        <v/>
      </c>
      <c r="N2864" s="64">
        <f>IF($A2864="","",IFERROR(INDEX(부서매핑!$C$5:$C$504,MATCH($G2864&amp;"",부서매핑!$A$5:$A$504,0)),"미매핑"))</f>
        <v/>
      </c>
      <c r="O2864" s="9">
        <f>IF($A2864="","",N2864&amp;"|"&amp;$F2864)</f>
        <v/>
      </c>
      <c r="P2864" s="94">
        <f>IF($A2864="",0,$H2864*설정!$C$23)</f>
        <v/>
      </c>
      <c r="Q2864" s="64">
        <f>IF($A2864="","",IF(O2864&lt;&gt;원인분석!$C$9,"",IF(AND(M2864&gt;=원인분석!$C$10,M2864&lt;=원인분석!$C$11),"당기",IF(AND(M2864&gt;=원인분석!$C$12,M2864&lt;=원인분석!$C$13),"비교",""))))</f>
        <v/>
      </c>
      <c r="R2864" s="9">
        <f>IF(Q2864="","",$K2864&amp;"")</f>
        <v/>
      </c>
      <c r="S2864" s="9">
        <f>IF(Q2864="","",IF(MATCH(R2864,$R$5:$R$100000,0)=ROW()-4,ROW(),""))</f>
        <v/>
      </c>
      <c r="T2864" s="9">
        <f>IF(Q2864="당기",ABS(P2864)+ROW()/1000000000,"")</f>
        <v/>
      </c>
      <c r="U2864" s="9">
        <f>IF(Q2864="비교",ABS(P2864)+ROW()/1000000000,"")</f>
        <v/>
      </c>
      <c r="V2864" s="64">
        <f>IF($A2864="","",IF(COUNTIF(변동분석!$E$7:$E$506,O2864)&gt;0,"Y","N"))</f>
        <v/>
      </c>
      <c r="W2864" s="64">
        <f>IF($A2864="","",IFERROR(INDEX(계정매핑!$D$5:$D$504,MATCH($F2864&amp;"",계정매핑!$A$5:$A$504,0)),"미매핑"))</f>
        <v/>
      </c>
      <c r="X2864" s="9">
        <f>IF($A2864="","",$F2864&amp;"")</f>
        <v/>
      </c>
      <c r="Y2864" s="94">
        <f>IF($A2864="",0,IF(AE2864="직접",IF(AF2864="비귀속",$P2864,0),$P2864*(1-AG2864)*IFERROR(INDEX(계정대체기준!$F$20:$F$49,MATCH($N2864,계정대체기준!$A$20:$A$49,0)),1)))</f>
        <v/>
      </c>
      <c r="Z2864" s="94">
        <f>IF($A2864="",0,IF(AE2864="직접",IF(AF2864="신계약비",$P2864,0),$P2864*(1-AG2864)*IFERROR(INDEX(계정대체기준!$C$20:$C$49,MATCH($N2864,계정대체기준!$A$20:$A$49,0)),0)))</f>
        <v/>
      </c>
      <c r="AA2864" s="94">
        <f>IF($A2864="",0,IF(AE2864="직접",IF(OR(AF2864="유지비",AF2864="손해조사비"),$P2864,0),$P2864*(1-AG2864)*IFERROR(INDEX(계정대체기준!$D$20:$D$49,MATCH($N2864,계정대체기준!$A$20:$A$49,0)),0)))</f>
        <v/>
      </c>
      <c r="AB2864" s="94">
        <f>IF($A2864="",0,IF(AE2864="직접",IF(AF2864="수금비",$P2864,0),$P2864*(1-AG2864)*IFERROR(INDEX(계정대체기준!$E$20:$E$49,MATCH($N2864,계정대체기준!$A$20:$A$49,0)),0)))</f>
        <v/>
      </c>
      <c r="AC2864" s="9">
        <f>IF(AND($A2864&lt;&gt;"",M2864=설정!$C$20,Z2864&gt;0),Z2864+ROW()/1000000000,"")</f>
        <v/>
      </c>
      <c r="AD2864" s="94">
        <f>IF($A2864="",0,$P2864*AG2864)</f>
        <v/>
      </c>
      <c r="AE2864" s="64">
        <f>IF($A2864="","",IFERROR(INDEX(계정매핑!$E$5:$E$504,MATCH($F2864&amp;"",계정매핑!$A$5:$A$504,0))&amp;"","공통비"))</f>
        <v/>
      </c>
      <c r="AF2864" s="64">
        <f>IF($A2864="","",IF(AE2864="직접",IFERROR(INDEX(계정매핑!$F$5:$F$504,MATCH($F2864&amp;"",계정매핑!$A$5:$A$504,0))&amp;"","비귀속"),""))</f>
        <v/>
      </c>
      <c r="AG2864" s="96">
        <f>IF($A2864="",0,IF(AND(AE2864&lt;&gt;"직접",IFERROR(INDEX(계정매핑!$G$5:$G$504,MATCH($F2864&amp;"",계정매핑!$A$5:$A$504,0))&amp;"","")="유지비",COUNTIF(계정대체기준!$A$6:$A$15,$N2864)&gt;0),IFERROR(INDEX(계정대체기준!$E$6:$E$15,MATCH(VALUE($A2864&amp;""),계정대체기준!$D$6:$D$15,0)),0),0))</f>
        <v/>
      </c>
      <c r="AH2864" s="64">
        <f>IF($A2864="","",IF(AD2864=0,"",IF(OR(COUNTIF(계정대체기준!$A$77:$A$86,$N2864)&gt;0,ISNUMBER(MATCH($X2864,계정대체기준!$D$77:$D$86,0)),ISNUMBER(MATCH($F2864,계정대체기준!$D$77:$D$86,0))),"Y","N")))</f>
        <v/>
      </c>
    </row>
    <row r="2865">
      <c r="A2865" s="92" t="n">
        <v>2026</v>
      </c>
      <c r="B2865" s="92" t="n">
        <v>1</v>
      </c>
      <c r="C2865" s="92" t="inlineStr">
        <is>
          <t>5100000143</t>
        </is>
      </c>
      <c r="D2865" s="95" t="n">
        <v>46041</v>
      </c>
      <c r="E2865" s="92" t="inlineStr">
        <is>
          <t>KR</t>
        </is>
      </c>
      <c r="F2865" s="92" t="n">
        <v>62902000</v>
      </c>
      <c r="G2865" s="92" t="n">
        <v>1801</v>
      </c>
      <c r="H2865" s="93" t="n">
        <v>1825000</v>
      </c>
      <c r="I2865" s="92" t="inlineStr">
        <is>
          <t>1월 콜 위탁 수수료(건별)</t>
        </is>
      </c>
      <c r="J2865" s="92" t="inlineStr">
        <is>
          <t>V10016</t>
        </is>
      </c>
      <c r="K2865" s="92" t="inlineStr">
        <is>
          <t>J콜센터</t>
        </is>
      </c>
      <c r="M2865" s="9">
        <f>IF($A2865="","",VALUE($A2865&amp;"")*12+VALUE($B2865&amp;""))</f>
        <v/>
      </c>
      <c r="N2865" s="64">
        <f>IF($A2865="","",IFERROR(INDEX(부서매핑!$C$5:$C$504,MATCH($G2865&amp;"",부서매핑!$A$5:$A$504,0)),"미매핑"))</f>
        <v/>
      </c>
      <c r="O2865" s="9">
        <f>IF($A2865="","",N2865&amp;"|"&amp;$F2865)</f>
        <v/>
      </c>
      <c r="P2865" s="94">
        <f>IF($A2865="",0,$H2865*설정!$C$23)</f>
        <v/>
      </c>
      <c r="Q2865" s="64">
        <f>IF($A2865="","",IF(O2865&lt;&gt;원인분석!$C$9,"",IF(AND(M2865&gt;=원인분석!$C$10,M2865&lt;=원인분석!$C$11),"당기",IF(AND(M2865&gt;=원인분석!$C$12,M2865&lt;=원인분석!$C$13),"비교",""))))</f>
        <v/>
      </c>
      <c r="R2865" s="9">
        <f>IF(Q2865="","",$K2865&amp;"")</f>
        <v/>
      </c>
      <c r="S2865" s="9">
        <f>IF(Q2865="","",IF(MATCH(R2865,$R$5:$R$100000,0)=ROW()-4,ROW(),""))</f>
        <v/>
      </c>
      <c r="T2865" s="9">
        <f>IF(Q2865="당기",ABS(P2865)+ROW()/1000000000,"")</f>
        <v/>
      </c>
      <c r="U2865" s="9">
        <f>IF(Q2865="비교",ABS(P2865)+ROW()/1000000000,"")</f>
        <v/>
      </c>
      <c r="V2865" s="64">
        <f>IF($A2865="","",IF(COUNTIF(변동분석!$E$7:$E$506,O2865)&gt;0,"Y","N"))</f>
        <v/>
      </c>
      <c r="W2865" s="64">
        <f>IF($A2865="","",IFERROR(INDEX(계정매핑!$D$5:$D$504,MATCH($F2865&amp;"",계정매핑!$A$5:$A$504,0)),"미매핑"))</f>
        <v/>
      </c>
      <c r="X2865" s="9">
        <f>IF($A2865="","",$F2865&amp;"")</f>
        <v/>
      </c>
      <c r="Y2865" s="94">
        <f>IF($A2865="",0,IF(AE2865="직접",IF(AF2865="비귀속",$P2865,0),$P2865*(1-AG2865)*IFERROR(INDEX(계정대체기준!$F$20:$F$49,MATCH($N2865,계정대체기준!$A$20:$A$49,0)),1)))</f>
        <v/>
      </c>
      <c r="Z2865" s="94">
        <f>IF($A2865="",0,IF(AE2865="직접",IF(AF2865="신계약비",$P2865,0),$P2865*(1-AG2865)*IFERROR(INDEX(계정대체기준!$C$20:$C$49,MATCH($N2865,계정대체기준!$A$20:$A$49,0)),0)))</f>
        <v/>
      </c>
      <c r="AA2865" s="94">
        <f>IF($A2865="",0,IF(AE2865="직접",IF(OR(AF2865="유지비",AF2865="손해조사비"),$P2865,0),$P2865*(1-AG2865)*IFERROR(INDEX(계정대체기준!$D$20:$D$49,MATCH($N2865,계정대체기준!$A$20:$A$49,0)),0)))</f>
        <v/>
      </c>
      <c r="AB2865" s="94">
        <f>IF($A2865="",0,IF(AE2865="직접",IF(AF2865="수금비",$P2865,0),$P2865*(1-AG2865)*IFERROR(INDEX(계정대체기준!$E$20:$E$49,MATCH($N2865,계정대체기준!$A$20:$A$49,0)),0)))</f>
        <v/>
      </c>
      <c r="AC2865" s="9">
        <f>IF(AND($A2865&lt;&gt;"",M2865=설정!$C$20,Z2865&gt;0),Z2865+ROW()/1000000000,"")</f>
        <v/>
      </c>
      <c r="AD2865" s="94">
        <f>IF($A2865="",0,$P2865*AG2865)</f>
        <v/>
      </c>
      <c r="AE2865" s="64">
        <f>IF($A2865="","",IFERROR(INDEX(계정매핑!$E$5:$E$504,MATCH($F2865&amp;"",계정매핑!$A$5:$A$504,0))&amp;"","공통비"))</f>
        <v/>
      </c>
      <c r="AF2865" s="64">
        <f>IF($A2865="","",IF(AE2865="직접",IFERROR(INDEX(계정매핑!$F$5:$F$504,MATCH($F2865&amp;"",계정매핑!$A$5:$A$504,0))&amp;"","비귀속"),""))</f>
        <v/>
      </c>
      <c r="AG2865" s="96">
        <f>IF($A2865="",0,IF(AND(AE2865&lt;&gt;"직접",IFERROR(INDEX(계정매핑!$G$5:$G$504,MATCH($F2865&amp;"",계정매핑!$A$5:$A$504,0))&amp;"","")="유지비",COUNTIF(계정대체기준!$A$6:$A$15,$N2865)&gt;0),IFERROR(INDEX(계정대체기준!$E$6:$E$15,MATCH(VALUE($A2865&amp;""),계정대체기준!$D$6:$D$15,0)),0),0))</f>
        <v/>
      </c>
      <c r="AH2865" s="64">
        <f>IF($A2865="","",IF(AD2865=0,"",IF(OR(COUNTIF(계정대체기준!$A$77:$A$86,$N2865)&gt;0,ISNUMBER(MATCH($X2865,계정대체기준!$D$77:$D$86,0)),ISNUMBER(MATCH($F2865,계정대체기준!$D$77:$D$86,0))),"Y","N")))</f>
        <v/>
      </c>
    </row>
    <row r="2866">
      <c r="A2866" s="92" t="n">
        <v>2026</v>
      </c>
      <c r="B2866" s="92" t="n">
        <v>1</v>
      </c>
      <c r="C2866" s="92" t="inlineStr">
        <is>
          <t>5100000144</t>
        </is>
      </c>
      <c r="D2866" s="95" t="n">
        <v>46041</v>
      </c>
      <c r="E2866" s="92" t="inlineStr">
        <is>
          <t>KR</t>
        </is>
      </c>
      <c r="F2866" s="92" t="n">
        <v>63601000</v>
      </c>
      <c r="G2866" s="92" t="n">
        <v>1801</v>
      </c>
      <c r="H2866" s="93" t="n">
        <v>6917000</v>
      </c>
      <c r="I2866" s="92" t="inlineStr">
        <is>
          <t>1월 손해사정 수수료 - DD손해사정</t>
        </is>
      </c>
      <c r="J2866" s="92" t="inlineStr">
        <is>
          <t>V10032</t>
        </is>
      </c>
      <c r="K2866" s="92" t="inlineStr">
        <is>
          <t>DD손해사정</t>
        </is>
      </c>
      <c r="M2866" s="9">
        <f>IF($A2866="","",VALUE($A2866&amp;"")*12+VALUE($B2866&amp;""))</f>
        <v/>
      </c>
      <c r="N2866" s="64">
        <f>IF($A2866="","",IFERROR(INDEX(부서매핑!$C$5:$C$504,MATCH($G2866&amp;"",부서매핑!$A$5:$A$504,0)),"미매핑"))</f>
        <v/>
      </c>
      <c r="O2866" s="9">
        <f>IF($A2866="","",N2866&amp;"|"&amp;$F2866)</f>
        <v/>
      </c>
      <c r="P2866" s="94">
        <f>IF($A2866="",0,$H2866*설정!$C$23)</f>
        <v/>
      </c>
      <c r="Q2866" s="64">
        <f>IF($A2866="","",IF(O2866&lt;&gt;원인분석!$C$9,"",IF(AND(M2866&gt;=원인분석!$C$10,M2866&lt;=원인분석!$C$11),"당기",IF(AND(M2866&gt;=원인분석!$C$12,M2866&lt;=원인분석!$C$13),"비교",""))))</f>
        <v/>
      </c>
      <c r="R2866" s="9">
        <f>IF(Q2866="","",$K2866&amp;"")</f>
        <v/>
      </c>
      <c r="S2866" s="9">
        <f>IF(Q2866="","",IF(MATCH(R2866,$R$5:$R$100000,0)=ROW()-4,ROW(),""))</f>
        <v/>
      </c>
      <c r="T2866" s="9">
        <f>IF(Q2866="당기",ABS(P2866)+ROW()/1000000000,"")</f>
        <v/>
      </c>
      <c r="U2866" s="9">
        <f>IF(Q2866="비교",ABS(P2866)+ROW()/1000000000,"")</f>
        <v/>
      </c>
      <c r="V2866" s="64">
        <f>IF($A2866="","",IF(COUNTIF(변동분석!$E$7:$E$506,O2866)&gt;0,"Y","N"))</f>
        <v/>
      </c>
      <c r="W2866" s="64">
        <f>IF($A2866="","",IFERROR(INDEX(계정매핑!$D$5:$D$504,MATCH($F2866&amp;"",계정매핑!$A$5:$A$504,0)),"미매핑"))</f>
        <v/>
      </c>
      <c r="X2866" s="9">
        <f>IF($A2866="","",$F2866&amp;"")</f>
        <v/>
      </c>
      <c r="Y2866" s="94">
        <f>IF($A2866="",0,IF(AE2866="직접",IF(AF2866="비귀속",$P2866,0),$P2866*(1-AG2866)*IFERROR(INDEX(계정대체기준!$F$20:$F$49,MATCH($N2866,계정대체기준!$A$20:$A$49,0)),1)))</f>
        <v/>
      </c>
      <c r="Z2866" s="94">
        <f>IF($A2866="",0,IF(AE2866="직접",IF(AF2866="신계약비",$P2866,0),$P2866*(1-AG2866)*IFERROR(INDEX(계정대체기준!$C$20:$C$49,MATCH($N2866,계정대체기준!$A$20:$A$49,0)),0)))</f>
        <v/>
      </c>
      <c r="AA2866" s="94">
        <f>IF($A2866="",0,IF(AE2866="직접",IF(OR(AF2866="유지비",AF2866="손해조사비"),$P2866,0),$P2866*(1-AG2866)*IFERROR(INDEX(계정대체기준!$D$20:$D$49,MATCH($N2866,계정대체기준!$A$20:$A$49,0)),0)))</f>
        <v/>
      </c>
      <c r="AB2866" s="94">
        <f>IF($A2866="",0,IF(AE2866="직접",IF(AF2866="수금비",$P2866,0),$P2866*(1-AG2866)*IFERROR(INDEX(계정대체기준!$E$20:$E$49,MATCH($N2866,계정대체기준!$A$20:$A$49,0)),0)))</f>
        <v/>
      </c>
      <c r="AC2866" s="9">
        <f>IF(AND($A2866&lt;&gt;"",M2866=설정!$C$20,Z2866&gt;0),Z2866+ROW()/1000000000,"")</f>
        <v/>
      </c>
      <c r="AD2866" s="94">
        <f>IF($A2866="",0,$P2866*AG2866)</f>
        <v/>
      </c>
      <c r="AE2866" s="64">
        <f>IF($A2866="","",IFERROR(INDEX(계정매핑!$E$5:$E$504,MATCH($F2866&amp;"",계정매핑!$A$5:$A$504,0))&amp;"","공통비"))</f>
        <v/>
      </c>
      <c r="AF2866" s="64">
        <f>IF($A2866="","",IF(AE2866="직접",IFERROR(INDEX(계정매핑!$F$5:$F$504,MATCH($F2866&amp;"",계정매핑!$A$5:$A$504,0))&amp;"","비귀속"),""))</f>
        <v/>
      </c>
      <c r="AG2866" s="96">
        <f>IF($A2866="",0,IF(AND(AE2866&lt;&gt;"직접",IFERROR(INDEX(계정매핑!$G$5:$G$504,MATCH($F2866&amp;"",계정매핑!$A$5:$A$504,0))&amp;"","")="유지비",COUNTIF(계정대체기준!$A$6:$A$15,$N2866)&gt;0),IFERROR(INDEX(계정대체기준!$E$6:$E$15,MATCH(VALUE($A2866&amp;""),계정대체기준!$D$6:$D$15,0)),0),0))</f>
        <v/>
      </c>
      <c r="AH2866" s="64">
        <f>IF($A2866="","",IF(AD2866=0,"",IF(OR(COUNTIF(계정대체기준!$A$77:$A$86,$N2866)&gt;0,ISNUMBER(MATCH($X2866,계정대체기준!$D$77:$D$86,0)),ISNUMBER(MATCH($F2866,계정대체기준!$D$77:$D$86,0))),"Y","N")))</f>
        <v/>
      </c>
    </row>
    <row r="2867">
      <c r="A2867" s="92" t="n">
        <v>2026</v>
      </c>
      <c r="B2867" s="92" t="n">
        <v>1</v>
      </c>
      <c r="C2867" s="92" t="inlineStr">
        <is>
          <t>5100000145</t>
        </is>
      </c>
      <c r="D2867" s="95" t="n">
        <v>46042</v>
      </c>
      <c r="E2867" s="92" t="inlineStr">
        <is>
          <t>KR</t>
        </is>
      </c>
      <c r="F2867" s="92" t="n">
        <v>62101000</v>
      </c>
      <c r="G2867" s="92" t="n">
        <v>1201</v>
      </c>
      <c r="H2867" s="93" t="n">
        <v>246000</v>
      </c>
      <c r="I2867" s="92" t="inlineStr">
        <is>
          <t>1월 국내출장 - (법인카드)</t>
        </is>
      </c>
      <c r="J2867" s="92" t="inlineStr">
        <is>
          <t>V10010</t>
        </is>
      </c>
      <c r="K2867" s="92" t="inlineStr">
        <is>
          <t>(법인카드)</t>
        </is>
      </c>
      <c r="M2867" s="9">
        <f>IF($A2867="","",VALUE($A2867&amp;"")*12+VALUE($B2867&amp;""))</f>
        <v/>
      </c>
      <c r="N2867" s="64">
        <f>IF($A2867="","",IFERROR(INDEX(부서매핑!$C$5:$C$504,MATCH($G2867&amp;"",부서매핑!$A$5:$A$504,0)),"미매핑"))</f>
        <v/>
      </c>
      <c r="O2867" s="9">
        <f>IF($A2867="","",N2867&amp;"|"&amp;$F2867)</f>
        <v/>
      </c>
      <c r="P2867" s="94">
        <f>IF($A2867="",0,$H2867*설정!$C$23)</f>
        <v/>
      </c>
      <c r="Q2867" s="64">
        <f>IF($A2867="","",IF(O2867&lt;&gt;원인분석!$C$9,"",IF(AND(M2867&gt;=원인분석!$C$10,M2867&lt;=원인분석!$C$11),"당기",IF(AND(M2867&gt;=원인분석!$C$12,M2867&lt;=원인분석!$C$13),"비교",""))))</f>
        <v/>
      </c>
      <c r="R2867" s="9">
        <f>IF(Q2867="","",$K2867&amp;"")</f>
        <v/>
      </c>
      <c r="S2867" s="9">
        <f>IF(Q2867="","",IF(MATCH(R2867,$R$5:$R$100000,0)=ROW()-4,ROW(),""))</f>
        <v/>
      </c>
      <c r="T2867" s="9">
        <f>IF(Q2867="당기",ABS(P2867)+ROW()/1000000000,"")</f>
        <v/>
      </c>
      <c r="U2867" s="9">
        <f>IF(Q2867="비교",ABS(P2867)+ROW()/1000000000,"")</f>
        <v/>
      </c>
      <c r="V2867" s="64">
        <f>IF($A2867="","",IF(COUNTIF(변동분석!$E$7:$E$506,O2867)&gt;0,"Y","N"))</f>
        <v/>
      </c>
      <c r="W2867" s="64">
        <f>IF($A2867="","",IFERROR(INDEX(계정매핑!$D$5:$D$504,MATCH($F2867&amp;"",계정매핑!$A$5:$A$504,0)),"미매핑"))</f>
        <v/>
      </c>
      <c r="X2867" s="9">
        <f>IF($A2867="","",$F2867&amp;"")</f>
        <v/>
      </c>
      <c r="Y2867" s="94">
        <f>IF($A2867="",0,IF(AE2867="직접",IF(AF2867="비귀속",$P2867,0),$P2867*(1-AG2867)*IFERROR(INDEX(계정대체기준!$F$20:$F$49,MATCH($N2867,계정대체기준!$A$20:$A$49,0)),1)))</f>
        <v/>
      </c>
      <c r="Z2867" s="94">
        <f>IF($A2867="",0,IF(AE2867="직접",IF(AF2867="신계약비",$P2867,0),$P2867*(1-AG2867)*IFERROR(INDEX(계정대체기준!$C$20:$C$49,MATCH($N2867,계정대체기준!$A$20:$A$49,0)),0)))</f>
        <v/>
      </c>
      <c r="AA2867" s="94">
        <f>IF($A2867="",0,IF(AE2867="직접",IF(OR(AF2867="유지비",AF2867="손해조사비"),$P2867,0),$P2867*(1-AG2867)*IFERROR(INDEX(계정대체기준!$D$20:$D$49,MATCH($N2867,계정대체기준!$A$20:$A$49,0)),0)))</f>
        <v/>
      </c>
      <c r="AB2867" s="94">
        <f>IF($A2867="",0,IF(AE2867="직접",IF(AF2867="수금비",$P2867,0),$P2867*(1-AG2867)*IFERROR(INDEX(계정대체기준!$E$20:$E$49,MATCH($N2867,계정대체기준!$A$20:$A$49,0)),0)))</f>
        <v/>
      </c>
      <c r="AC2867" s="9">
        <f>IF(AND($A2867&lt;&gt;"",M2867=설정!$C$20,Z2867&gt;0),Z2867+ROW()/1000000000,"")</f>
        <v/>
      </c>
      <c r="AD2867" s="94">
        <f>IF($A2867="",0,$P2867*AG2867)</f>
        <v/>
      </c>
      <c r="AE2867" s="64">
        <f>IF($A2867="","",IFERROR(INDEX(계정매핑!$E$5:$E$504,MATCH($F2867&amp;"",계정매핑!$A$5:$A$504,0))&amp;"","공통비"))</f>
        <v/>
      </c>
      <c r="AF2867" s="64">
        <f>IF($A2867="","",IF(AE2867="직접",IFERROR(INDEX(계정매핑!$F$5:$F$504,MATCH($F2867&amp;"",계정매핑!$A$5:$A$504,0))&amp;"","비귀속"),""))</f>
        <v/>
      </c>
      <c r="AG2867" s="96">
        <f>IF($A2867="",0,IF(AND(AE2867&lt;&gt;"직접",IFERROR(INDEX(계정매핑!$G$5:$G$504,MATCH($F2867&amp;"",계정매핑!$A$5:$A$504,0))&amp;"","")="유지비",COUNTIF(계정대체기준!$A$6:$A$15,$N2867)&gt;0),IFERROR(INDEX(계정대체기준!$E$6:$E$15,MATCH(VALUE($A2867&amp;""),계정대체기준!$D$6:$D$15,0)),0),0))</f>
        <v/>
      </c>
      <c r="AH2867" s="64">
        <f>IF($A2867="","",IF(AD2867=0,"",IF(OR(COUNTIF(계정대체기준!$A$77:$A$86,$N2867)&gt;0,ISNUMBER(MATCH($X2867,계정대체기준!$D$77:$D$86,0)),ISNUMBER(MATCH($F2867,계정대체기준!$D$77:$D$86,0))),"Y","N")))</f>
        <v/>
      </c>
    </row>
    <row r="2868">
      <c r="A2868" s="92" t="n">
        <v>2026</v>
      </c>
      <c r="B2868" s="92" t="n">
        <v>1</v>
      </c>
      <c r="C2868" s="92" t="inlineStr">
        <is>
          <t>5100000146</t>
        </is>
      </c>
      <c r="D2868" s="95" t="n">
        <v>46042</v>
      </c>
      <c r="E2868" s="92" t="inlineStr">
        <is>
          <t>KR</t>
        </is>
      </c>
      <c r="F2868" s="92" t="n">
        <v>62101000</v>
      </c>
      <c r="G2868" s="92" t="n">
        <v>1501</v>
      </c>
      <c r="H2868" s="93" t="n">
        <v>424000</v>
      </c>
      <c r="I2868" s="92" t="inlineStr">
        <is>
          <t>1월 국내출장 - (법인카드)</t>
        </is>
      </c>
      <c r="J2868" s="92" t="inlineStr">
        <is>
          <t>V10010</t>
        </is>
      </c>
      <c r="K2868" s="92" t="inlineStr">
        <is>
          <t>(법인카드)</t>
        </is>
      </c>
      <c r="M2868" s="9">
        <f>IF($A2868="","",VALUE($A2868&amp;"")*12+VALUE($B2868&amp;""))</f>
        <v/>
      </c>
      <c r="N2868" s="64">
        <f>IF($A2868="","",IFERROR(INDEX(부서매핑!$C$5:$C$504,MATCH($G2868&amp;"",부서매핑!$A$5:$A$504,0)),"미매핑"))</f>
        <v/>
      </c>
      <c r="O2868" s="9">
        <f>IF($A2868="","",N2868&amp;"|"&amp;$F2868)</f>
        <v/>
      </c>
      <c r="P2868" s="94">
        <f>IF($A2868="",0,$H2868*설정!$C$23)</f>
        <v/>
      </c>
      <c r="Q2868" s="64">
        <f>IF($A2868="","",IF(O2868&lt;&gt;원인분석!$C$9,"",IF(AND(M2868&gt;=원인분석!$C$10,M2868&lt;=원인분석!$C$11),"당기",IF(AND(M2868&gt;=원인분석!$C$12,M2868&lt;=원인분석!$C$13),"비교",""))))</f>
        <v/>
      </c>
      <c r="R2868" s="9">
        <f>IF(Q2868="","",$K2868&amp;"")</f>
        <v/>
      </c>
      <c r="S2868" s="9">
        <f>IF(Q2868="","",IF(MATCH(R2868,$R$5:$R$100000,0)=ROW()-4,ROW(),""))</f>
        <v/>
      </c>
      <c r="T2868" s="9">
        <f>IF(Q2868="당기",ABS(P2868)+ROW()/1000000000,"")</f>
        <v/>
      </c>
      <c r="U2868" s="9">
        <f>IF(Q2868="비교",ABS(P2868)+ROW()/1000000000,"")</f>
        <v/>
      </c>
      <c r="V2868" s="64">
        <f>IF($A2868="","",IF(COUNTIF(변동분석!$E$7:$E$506,O2868)&gt;0,"Y","N"))</f>
        <v/>
      </c>
      <c r="W2868" s="64">
        <f>IF($A2868="","",IFERROR(INDEX(계정매핑!$D$5:$D$504,MATCH($F2868&amp;"",계정매핑!$A$5:$A$504,0)),"미매핑"))</f>
        <v/>
      </c>
      <c r="X2868" s="9">
        <f>IF($A2868="","",$F2868&amp;"")</f>
        <v/>
      </c>
      <c r="Y2868" s="94">
        <f>IF($A2868="",0,IF(AE2868="직접",IF(AF2868="비귀속",$P2868,0),$P2868*(1-AG2868)*IFERROR(INDEX(계정대체기준!$F$20:$F$49,MATCH($N2868,계정대체기준!$A$20:$A$49,0)),1)))</f>
        <v/>
      </c>
      <c r="Z2868" s="94">
        <f>IF($A2868="",0,IF(AE2868="직접",IF(AF2868="신계약비",$P2868,0),$P2868*(1-AG2868)*IFERROR(INDEX(계정대체기준!$C$20:$C$49,MATCH($N2868,계정대체기준!$A$20:$A$49,0)),0)))</f>
        <v/>
      </c>
      <c r="AA2868" s="94">
        <f>IF($A2868="",0,IF(AE2868="직접",IF(OR(AF2868="유지비",AF2868="손해조사비"),$P2868,0),$P2868*(1-AG2868)*IFERROR(INDEX(계정대체기준!$D$20:$D$49,MATCH($N2868,계정대체기준!$A$20:$A$49,0)),0)))</f>
        <v/>
      </c>
      <c r="AB2868" s="94">
        <f>IF($A2868="",0,IF(AE2868="직접",IF(AF2868="수금비",$P2868,0),$P2868*(1-AG2868)*IFERROR(INDEX(계정대체기준!$E$20:$E$49,MATCH($N2868,계정대체기준!$A$20:$A$49,0)),0)))</f>
        <v/>
      </c>
      <c r="AC2868" s="9">
        <f>IF(AND($A2868&lt;&gt;"",M2868=설정!$C$20,Z2868&gt;0),Z2868+ROW()/1000000000,"")</f>
        <v/>
      </c>
      <c r="AD2868" s="94">
        <f>IF($A2868="",0,$P2868*AG2868)</f>
        <v/>
      </c>
      <c r="AE2868" s="64">
        <f>IF($A2868="","",IFERROR(INDEX(계정매핑!$E$5:$E$504,MATCH($F2868&amp;"",계정매핑!$A$5:$A$504,0))&amp;"","공통비"))</f>
        <v/>
      </c>
      <c r="AF2868" s="64">
        <f>IF($A2868="","",IF(AE2868="직접",IFERROR(INDEX(계정매핑!$F$5:$F$504,MATCH($F2868&amp;"",계정매핑!$A$5:$A$504,0))&amp;"","비귀속"),""))</f>
        <v/>
      </c>
      <c r="AG2868" s="96">
        <f>IF($A2868="",0,IF(AND(AE2868&lt;&gt;"직접",IFERROR(INDEX(계정매핑!$G$5:$G$504,MATCH($F2868&amp;"",계정매핑!$A$5:$A$504,0))&amp;"","")="유지비",COUNTIF(계정대체기준!$A$6:$A$15,$N2868)&gt;0),IFERROR(INDEX(계정대체기준!$E$6:$E$15,MATCH(VALUE($A2868&amp;""),계정대체기준!$D$6:$D$15,0)),0),0))</f>
        <v/>
      </c>
      <c r="AH2868" s="64">
        <f>IF($A2868="","",IF(AD2868=0,"",IF(OR(COUNTIF(계정대체기준!$A$77:$A$86,$N2868)&gt;0,ISNUMBER(MATCH($X2868,계정대체기준!$D$77:$D$86,0)),ISNUMBER(MATCH($F2868,계정대체기준!$D$77:$D$86,0))),"Y","N")))</f>
        <v/>
      </c>
    </row>
    <row r="2869">
      <c r="A2869" s="92" t="n">
        <v>2026</v>
      </c>
      <c r="B2869" s="92" t="n">
        <v>1</v>
      </c>
      <c r="C2869" s="92" t="inlineStr">
        <is>
          <t>5100000147</t>
        </is>
      </c>
      <c r="D2869" s="95" t="n">
        <v>46042</v>
      </c>
      <c r="E2869" s="92" t="inlineStr">
        <is>
          <t>KR</t>
        </is>
      </c>
      <c r="F2869" s="92" t="n">
        <v>62101000</v>
      </c>
      <c r="G2869" s="92" t="n">
        <v>1701</v>
      </c>
      <c r="H2869" s="93" t="n">
        <v>188000</v>
      </c>
      <c r="I2869" s="92" t="inlineStr">
        <is>
          <t>1월 국내출장 - (법인카드)</t>
        </is>
      </c>
      <c r="J2869" s="92" t="inlineStr">
        <is>
          <t>V10010</t>
        </is>
      </c>
      <c r="K2869" s="92" t="inlineStr">
        <is>
          <t>(법인카드)</t>
        </is>
      </c>
      <c r="M2869" s="9">
        <f>IF($A2869="","",VALUE($A2869&amp;"")*12+VALUE($B2869&amp;""))</f>
        <v/>
      </c>
      <c r="N2869" s="64">
        <f>IF($A2869="","",IFERROR(INDEX(부서매핑!$C$5:$C$504,MATCH($G2869&amp;"",부서매핑!$A$5:$A$504,0)),"미매핑"))</f>
        <v/>
      </c>
      <c r="O2869" s="9">
        <f>IF($A2869="","",N2869&amp;"|"&amp;$F2869)</f>
        <v/>
      </c>
      <c r="P2869" s="94">
        <f>IF($A2869="",0,$H2869*설정!$C$23)</f>
        <v/>
      </c>
      <c r="Q2869" s="64">
        <f>IF($A2869="","",IF(O2869&lt;&gt;원인분석!$C$9,"",IF(AND(M2869&gt;=원인분석!$C$10,M2869&lt;=원인분석!$C$11),"당기",IF(AND(M2869&gt;=원인분석!$C$12,M2869&lt;=원인분석!$C$13),"비교",""))))</f>
        <v/>
      </c>
      <c r="R2869" s="9">
        <f>IF(Q2869="","",$K2869&amp;"")</f>
        <v/>
      </c>
      <c r="S2869" s="9">
        <f>IF(Q2869="","",IF(MATCH(R2869,$R$5:$R$100000,0)=ROW()-4,ROW(),""))</f>
        <v/>
      </c>
      <c r="T2869" s="9">
        <f>IF(Q2869="당기",ABS(P2869)+ROW()/1000000000,"")</f>
        <v/>
      </c>
      <c r="U2869" s="9">
        <f>IF(Q2869="비교",ABS(P2869)+ROW()/1000000000,"")</f>
        <v/>
      </c>
      <c r="V2869" s="64">
        <f>IF($A2869="","",IF(COUNTIF(변동분석!$E$7:$E$506,O2869)&gt;0,"Y","N"))</f>
        <v/>
      </c>
      <c r="W2869" s="64">
        <f>IF($A2869="","",IFERROR(INDEX(계정매핑!$D$5:$D$504,MATCH($F2869&amp;"",계정매핑!$A$5:$A$504,0)),"미매핑"))</f>
        <v/>
      </c>
      <c r="X2869" s="9">
        <f>IF($A2869="","",$F2869&amp;"")</f>
        <v/>
      </c>
      <c r="Y2869" s="94">
        <f>IF($A2869="",0,IF(AE2869="직접",IF(AF2869="비귀속",$P2869,0),$P2869*(1-AG2869)*IFERROR(INDEX(계정대체기준!$F$20:$F$49,MATCH($N2869,계정대체기준!$A$20:$A$49,0)),1)))</f>
        <v/>
      </c>
      <c r="Z2869" s="94">
        <f>IF($A2869="",0,IF(AE2869="직접",IF(AF2869="신계약비",$P2869,0),$P2869*(1-AG2869)*IFERROR(INDEX(계정대체기준!$C$20:$C$49,MATCH($N2869,계정대체기준!$A$20:$A$49,0)),0)))</f>
        <v/>
      </c>
      <c r="AA2869" s="94">
        <f>IF($A2869="",0,IF(AE2869="직접",IF(OR(AF2869="유지비",AF2869="손해조사비"),$P2869,0),$P2869*(1-AG2869)*IFERROR(INDEX(계정대체기준!$D$20:$D$49,MATCH($N2869,계정대체기준!$A$20:$A$49,0)),0)))</f>
        <v/>
      </c>
      <c r="AB2869" s="94">
        <f>IF($A2869="",0,IF(AE2869="직접",IF(AF2869="수금비",$P2869,0),$P2869*(1-AG2869)*IFERROR(INDEX(계정대체기준!$E$20:$E$49,MATCH($N2869,계정대체기준!$A$20:$A$49,0)),0)))</f>
        <v/>
      </c>
      <c r="AC2869" s="9">
        <f>IF(AND($A2869&lt;&gt;"",M2869=설정!$C$20,Z2869&gt;0),Z2869+ROW()/1000000000,"")</f>
        <v/>
      </c>
      <c r="AD2869" s="94">
        <f>IF($A2869="",0,$P2869*AG2869)</f>
        <v/>
      </c>
      <c r="AE2869" s="64">
        <f>IF($A2869="","",IFERROR(INDEX(계정매핑!$E$5:$E$504,MATCH($F2869&amp;"",계정매핑!$A$5:$A$504,0))&amp;"","공통비"))</f>
        <v/>
      </c>
      <c r="AF2869" s="64">
        <f>IF($A2869="","",IF(AE2869="직접",IFERROR(INDEX(계정매핑!$F$5:$F$504,MATCH($F2869&amp;"",계정매핑!$A$5:$A$504,0))&amp;"","비귀속"),""))</f>
        <v/>
      </c>
      <c r="AG2869" s="96">
        <f>IF($A2869="",0,IF(AND(AE2869&lt;&gt;"직접",IFERROR(INDEX(계정매핑!$G$5:$G$504,MATCH($F2869&amp;"",계정매핑!$A$5:$A$504,0))&amp;"","")="유지비",COUNTIF(계정대체기준!$A$6:$A$15,$N2869)&gt;0),IFERROR(INDEX(계정대체기준!$E$6:$E$15,MATCH(VALUE($A2869&amp;""),계정대체기준!$D$6:$D$15,0)),0),0))</f>
        <v/>
      </c>
      <c r="AH2869" s="64">
        <f>IF($A2869="","",IF(AD2869=0,"",IF(OR(COUNTIF(계정대체기준!$A$77:$A$86,$N2869)&gt;0,ISNUMBER(MATCH($X2869,계정대체기준!$D$77:$D$86,0)),ISNUMBER(MATCH($F2869,계정대체기준!$D$77:$D$86,0))),"Y","N")))</f>
        <v/>
      </c>
    </row>
    <row r="2870">
      <c r="A2870" s="92" t="n">
        <v>2026</v>
      </c>
      <c r="B2870" s="92" t="n">
        <v>1</v>
      </c>
      <c r="C2870" s="92" t="inlineStr">
        <is>
          <t>5100000148</t>
        </is>
      </c>
      <c r="D2870" s="95" t="n">
        <v>46042</v>
      </c>
      <c r="E2870" s="92" t="inlineStr">
        <is>
          <t>KR</t>
        </is>
      </c>
      <c r="F2870" s="92" t="n">
        <v>62102000</v>
      </c>
      <c r="G2870" s="92" t="n">
        <v>1201</v>
      </c>
      <c r="H2870" s="93" t="n">
        <v>47000</v>
      </c>
      <c r="I2870" s="92" t="inlineStr">
        <is>
          <t>1월 해외출장 - N호텔</t>
        </is>
      </c>
      <c r="J2870" s="92" t="inlineStr">
        <is>
          <t>V10009</t>
        </is>
      </c>
      <c r="K2870" s="92" t="inlineStr">
        <is>
          <t>N호텔</t>
        </is>
      </c>
      <c r="M2870" s="9">
        <f>IF($A2870="","",VALUE($A2870&amp;"")*12+VALUE($B2870&amp;""))</f>
        <v/>
      </c>
      <c r="N2870" s="64">
        <f>IF($A2870="","",IFERROR(INDEX(부서매핑!$C$5:$C$504,MATCH($G2870&amp;"",부서매핑!$A$5:$A$504,0)),"미매핑"))</f>
        <v/>
      </c>
      <c r="O2870" s="9">
        <f>IF($A2870="","",N2870&amp;"|"&amp;$F2870)</f>
        <v/>
      </c>
      <c r="P2870" s="94">
        <f>IF($A2870="",0,$H2870*설정!$C$23)</f>
        <v/>
      </c>
      <c r="Q2870" s="64">
        <f>IF($A2870="","",IF(O2870&lt;&gt;원인분석!$C$9,"",IF(AND(M2870&gt;=원인분석!$C$10,M2870&lt;=원인분석!$C$11),"당기",IF(AND(M2870&gt;=원인분석!$C$12,M2870&lt;=원인분석!$C$13),"비교",""))))</f>
        <v/>
      </c>
      <c r="R2870" s="9">
        <f>IF(Q2870="","",$K2870&amp;"")</f>
        <v/>
      </c>
      <c r="S2870" s="9">
        <f>IF(Q2870="","",IF(MATCH(R2870,$R$5:$R$100000,0)=ROW()-4,ROW(),""))</f>
        <v/>
      </c>
      <c r="T2870" s="9">
        <f>IF(Q2870="당기",ABS(P2870)+ROW()/1000000000,"")</f>
        <v/>
      </c>
      <c r="U2870" s="9">
        <f>IF(Q2870="비교",ABS(P2870)+ROW()/1000000000,"")</f>
        <v/>
      </c>
      <c r="V2870" s="64">
        <f>IF($A2870="","",IF(COUNTIF(변동분석!$E$7:$E$506,O2870)&gt;0,"Y","N"))</f>
        <v/>
      </c>
      <c r="W2870" s="64">
        <f>IF($A2870="","",IFERROR(INDEX(계정매핑!$D$5:$D$504,MATCH($F2870&amp;"",계정매핑!$A$5:$A$504,0)),"미매핑"))</f>
        <v/>
      </c>
      <c r="X2870" s="9">
        <f>IF($A2870="","",$F2870&amp;"")</f>
        <v/>
      </c>
      <c r="Y2870" s="94">
        <f>IF($A2870="",0,IF(AE2870="직접",IF(AF2870="비귀속",$P2870,0),$P2870*(1-AG2870)*IFERROR(INDEX(계정대체기준!$F$20:$F$49,MATCH($N2870,계정대체기준!$A$20:$A$49,0)),1)))</f>
        <v/>
      </c>
      <c r="Z2870" s="94">
        <f>IF($A2870="",0,IF(AE2870="직접",IF(AF2870="신계약비",$P2870,0),$P2870*(1-AG2870)*IFERROR(INDEX(계정대체기준!$C$20:$C$49,MATCH($N2870,계정대체기준!$A$20:$A$49,0)),0)))</f>
        <v/>
      </c>
      <c r="AA2870" s="94">
        <f>IF($A2870="",0,IF(AE2870="직접",IF(OR(AF2870="유지비",AF2870="손해조사비"),$P2870,0),$P2870*(1-AG2870)*IFERROR(INDEX(계정대체기준!$D$20:$D$49,MATCH($N2870,계정대체기준!$A$20:$A$49,0)),0)))</f>
        <v/>
      </c>
      <c r="AB2870" s="94">
        <f>IF($A2870="",0,IF(AE2870="직접",IF(AF2870="수금비",$P2870,0),$P2870*(1-AG2870)*IFERROR(INDEX(계정대체기준!$E$20:$E$49,MATCH($N2870,계정대체기준!$A$20:$A$49,0)),0)))</f>
        <v/>
      </c>
      <c r="AC2870" s="9">
        <f>IF(AND($A2870&lt;&gt;"",M2870=설정!$C$20,Z2870&gt;0),Z2870+ROW()/1000000000,"")</f>
        <v/>
      </c>
      <c r="AD2870" s="94">
        <f>IF($A2870="",0,$P2870*AG2870)</f>
        <v/>
      </c>
      <c r="AE2870" s="64">
        <f>IF($A2870="","",IFERROR(INDEX(계정매핑!$E$5:$E$504,MATCH($F2870&amp;"",계정매핑!$A$5:$A$504,0))&amp;"","공통비"))</f>
        <v/>
      </c>
      <c r="AF2870" s="64">
        <f>IF($A2870="","",IF(AE2870="직접",IFERROR(INDEX(계정매핑!$F$5:$F$504,MATCH($F2870&amp;"",계정매핑!$A$5:$A$504,0))&amp;"","비귀속"),""))</f>
        <v/>
      </c>
      <c r="AG2870" s="96">
        <f>IF($A2870="",0,IF(AND(AE2870&lt;&gt;"직접",IFERROR(INDEX(계정매핑!$G$5:$G$504,MATCH($F2870&amp;"",계정매핑!$A$5:$A$504,0))&amp;"","")="유지비",COUNTIF(계정대체기준!$A$6:$A$15,$N2870)&gt;0),IFERROR(INDEX(계정대체기준!$E$6:$E$15,MATCH(VALUE($A2870&amp;""),계정대체기준!$D$6:$D$15,0)),0),0))</f>
        <v/>
      </c>
      <c r="AH2870" s="64">
        <f>IF($A2870="","",IF(AD2870=0,"",IF(OR(COUNTIF(계정대체기준!$A$77:$A$86,$N2870)&gt;0,ISNUMBER(MATCH($X2870,계정대체기준!$D$77:$D$86,0)),ISNUMBER(MATCH($F2870,계정대체기준!$D$77:$D$86,0))),"Y","N")))</f>
        <v/>
      </c>
    </row>
    <row r="2871">
      <c r="A2871" s="92" t="n">
        <v>2026</v>
      </c>
      <c r="B2871" s="92" t="n">
        <v>1</v>
      </c>
      <c r="C2871" s="92" t="inlineStr">
        <is>
          <t>5100000149</t>
        </is>
      </c>
      <c r="D2871" s="95" t="n">
        <v>46042</v>
      </c>
      <c r="E2871" s="92" t="inlineStr">
        <is>
          <t>KR</t>
        </is>
      </c>
      <c r="F2871" s="92" t="n">
        <v>62102000</v>
      </c>
      <c r="G2871" s="92" t="n">
        <v>1401</v>
      </c>
      <c r="H2871" s="93" t="n">
        <v>61000</v>
      </c>
      <c r="I2871" s="92" t="inlineStr">
        <is>
          <t>1월 해외출장 - M항공</t>
        </is>
      </c>
      <c r="J2871" s="92" t="inlineStr">
        <is>
          <t>V10001</t>
        </is>
      </c>
      <c r="K2871" s="92" t="inlineStr">
        <is>
          <t>M항공</t>
        </is>
      </c>
      <c r="M2871" s="9">
        <f>IF($A2871="","",VALUE($A2871&amp;"")*12+VALUE($B2871&amp;""))</f>
        <v/>
      </c>
      <c r="N2871" s="64">
        <f>IF($A2871="","",IFERROR(INDEX(부서매핑!$C$5:$C$504,MATCH($G2871&amp;"",부서매핑!$A$5:$A$504,0)),"미매핑"))</f>
        <v/>
      </c>
      <c r="O2871" s="9">
        <f>IF($A2871="","",N2871&amp;"|"&amp;$F2871)</f>
        <v/>
      </c>
      <c r="P2871" s="94">
        <f>IF($A2871="",0,$H2871*설정!$C$23)</f>
        <v/>
      </c>
      <c r="Q2871" s="64">
        <f>IF($A2871="","",IF(O2871&lt;&gt;원인분석!$C$9,"",IF(AND(M2871&gt;=원인분석!$C$10,M2871&lt;=원인분석!$C$11),"당기",IF(AND(M2871&gt;=원인분석!$C$12,M2871&lt;=원인분석!$C$13),"비교",""))))</f>
        <v/>
      </c>
      <c r="R2871" s="9">
        <f>IF(Q2871="","",$K2871&amp;"")</f>
        <v/>
      </c>
      <c r="S2871" s="9">
        <f>IF(Q2871="","",IF(MATCH(R2871,$R$5:$R$100000,0)=ROW()-4,ROW(),""))</f>
        <v/>
      </c>
      <c r="T2871" s="9">
        <f>IF(Q2871="당기",ABS(P2871)+ROW()/1000000000,"")</f>
        <v/>
      </c>
      <c r="U2871" s="9">
        <f>IF(Q2871="비교",ABS(P2871)+ROW()/1000000000,"")</f>
        <v/>
      </c>
      <c r="V2871" s="64">
        <f>IF($A2871="","",IF(COUNTIF(변동분석!$E$7:$E$506,O2871)&gt;0,"Y","N"))</f>
        <v/>
      </c>
      <c r="W2871" s="64">
        <f>IF($A2871="","",IFERROR(INDEX(계정매핑!$D$5:$D$504,MATCH($F2871&amp;"",계정매핑!$A$5:$A$504,0)),"미매핑"))</f>
        <v/>
      </c>
      <c r="X2871" s="9">
        <f>IF($A2871="","",$F2871&amp;"")</f>
        <v/>
      </c>
      <c r="Y2871" s="94">
        <f>IF($A2871="",0,IF(AE2871="직접",IF(AF2871="비귀속",$P2871,0),$P2871*(1-AG2871)*IFERROR(INDEX(계정대체기준!$F$20:$F$49,MATCH($N2871,계정대체기준!$A$20:$A$49,0)),1)))</f>
        <v/>
      </c>
      <c r="Z2871" s="94">
        <f>IF($A2871="",0,IF(AE2871="직접",IF(AF2871="신계약비",$P2871,0),$P2871*(1-AG2871)*IFERROR(INDEX(계정대체기준!$C$20:$C$49,MATCH($N2871,계정대체기준!$A$20:$A$49,0)),0)))</f>
        <v/>
      </c>
      <c r="AA2871" s="94">
        <f>IF($A2871="",0,IF(AE2871="직접",IF(OR(AF2871="유지비",AF2871="손해조사비"),$P2871,0),$P2871*(1-AG2871)*IFERROR(INDEX(계정대체기준!$D$20:$D$49,MATCH($N2871,계정대체기준!$A$20:$A$49,0)),0)))</f>
        <v/>
      </c>
      <c r="AB2871" s="94">
        <f>IF($A2871="",0,IF(AE2871="직접",IF(AF2871="수금비",$P2871,0),$P2871*(1-AG2871)*IFERROR(INDEX(계정대체기준!$E$20:$E$49,MATCH($N2871,계정대체기준!$A$20:$A$49,0)),0)))</f>
        <v/>
      </c>
      <c r="AC2871" s="9">
        <f>IF(AND($A2871&lt;&gt;"",M2871=설정!$C$20,Z2871&gt;0),Z2871+ROW()/1000000000,"")</f>
        <v/>
      </c>
      <c r="AD2871" s="94">
        <f>IF($A2871="",0,$P2871*AG2871)</f>
        <v/>
      </c>
      <c r="AE2871" s="64">
        <f>IF($A2871="","",IFERROR(INDEX(계정매핑!$E$5:$E$504,MATCH($F2871&amp;"",계정매핑!$A$5:$A$504,0))&amp;"","공통비"))</f>
        <v/>
      </c>
      <c r="AF2871" s="64">
        <f>IF($A2871="","",IF(AE2871="직접",IFERROR(INDEX(계정매핑!$F$5:$F$504,MATCH($F2871&amp;"",계정매핑!$A$5:$A$504,0))&amp;"","비귀속"),""))</f>
        <v/>
      </c>
      <c r="AG2871" s="96">
        <f>IF($A2871="",0,IF(AND(AE2871&lt;&gt;"직접",IFERROR(INDEX(계정매핑!$G$5:$G$504,MATCH($F2871&amp;"",계정매핑!$A$5:$A$504,0))&amp;"","")="유지비",COUNTIF(계정대체기준!$A$6:$A$15,$N2871)&gt;0),IFERROR(INDEX(계정대체기준!$E$6:$E$15,MATCH(VALUE($A2871&amp;""),계정대체기준!$D$6:$D$15,0)),0),0))</f>
        <v/>
      </c>
      <c r="AH2871" s="64">
        <f>IF($A2871="","",IF(AD2871=0,"",IF(OR(COUNTIF(계정대체기준!$A$77:$A$86,$N2871)&gt;0,ISNUMBER(MATCH($X2871,계정대체기준!$D$77:$D$86,0)),ISNUMBER(MATCH($F2871,계정대체기준!$D$77:$D$86,0))),"Y","N")))</f>
        <v/>
      </c>
    </row>
    <row r="2872">
      <c r="A2872" s="92" t="n">
        <v>2026</v>
      </c>
      <c r="B2872" s="92" t="n">
        <v>1</v>
      </c>
      <c r="C2872" s="92" t="inlineStr">
        <is>
          <t>5100000150</t>
        </is>
      </c>
      <c r="D2872" s="95" t="n">
        <v>46042</v>
      </c>
      <c r="E2872" s="92" t="inlineStr">
        <is>
          <t>KR</t>
        </is>
      </c>
      <c r="F2872" s="92" t="n">
        <v>62201000</v>
      </c>
      <c r="G2872" s="92" t="n">
        <v>1301</v>
      </c>
      <c r="H2872" s="93" t="n">
        <v>138000</v>
      </c>
      <c r="I2872" s="92" t="inlineStr">
        <is>
          <t>1월 통신요금 - O텔레콤</t>
        </is>
      </c>
      <c r="J2872" s="92" t="inlineStr">
        <is>
          <t>V10002</t>
        </is>
      </c>
      <c r="K2872" s="92" t="inlineStr">
        <is>
          <t>O텔레콤</t>
        </is>
      </c>
      <c r="M2872" s="9">
        <f>IF($A2872="","",VALUE($A2872&amp;"")*12+VALUE($B2872&amp;""))</f>
        <v/>
      </c>
      <c r="N2872" s="64">
        <f>IF($A2872="","",IFERROR(INDEX(부서매핑!$C$5:$C$504,MATCH($G2872&amp;"",부서매핑!$A$5:$A$504,0)),"미매핑"))</f>
        <v/>
      </c>
      <c r="O2872" s="9">
        <f>IF($A2872="","",N2872&amp;"|"&amp;$F2872)</f>
        <v/>
      </c>
      <c r="P2872" s="94">
        <f>IF($A2872="",0,$H2872*설정!$C$23)</f>
        <v/>
      </c>
      <c r="Q2872" s="64">
        <f>IF($A2872="","",IF(O2872&lt;&gt;원인분석!$C$9,"",IF(AND(M2872&gt;=원인분석!$C$10,M2872&lt;=원인분석!$C$11),"당기",IF(AND(M2872&gt;=원인분석!$C$12,M2872&lt;=원인분석!$C$13),"비교",""))))</f>
        <v/>
      </c>
      <c r="R2872" s="9">
        <f>IF(Q2872="","",$K2872&amp;"")</f>
        <v/>
      </c>
      <c r="S2872" s="9">
        <f>IF(Q2872="","",IF(MATCH(R2872,$R$5:$R$100000,0)=ROW()-4,ROW(),""))</f>
        <v/>
      </c>
      <c r="T2872" s="9">
        <f>IF(Q2872="당기",ABS(P2872)+ROW()/1000000000,"")</f>
        <v/>
      </c>
      <c r="U2872" s="9">
        <f>IF(Q2872="비교",ABS(P2872)+ROW()/1000000000,"")</f>
        <v/>
      </c>
      <c r="V2872" s="64">
        <f>IF($A2872="","",IF(COUNTIF(변동분석!$E$7:$E$506,O2872)&gt;0,"Y","N"))</f>
        <v/>
      </c>
      <c r="W2872" s="64">
        <f>IF($A2872="","",IFERROR(INDEX(계정매핑!$D$5:$D$504,MATCH($F2872&amp;"",계정매핑!$A$5:$A$504,0)),"미매핑"))</f>
        <v/>
      </c>
      <c r="X2872" s="9">
        <f>IF($A2872="","",$F2872&amp;"")</f>
        <v/>
      </c>
      <c r="Y2872" s="94">
        <f>IF($A2872="",0,IF(AE2872="직접",IF(AF2872="비귀속",$P2872,0),$P2872*(1-AG2872)*IFERROR(INDEX(계정대체기준!$F$20:$F$49,MATCH($N2872,계정대체기준!$A$20:$A$49,0)),1)))</f>
        <v/>
      </c>
      <c r="Z2872" s="94">
        <f>IF($A2872="",0,IF(AE2872="직접",IF(AF2872="신계약비",$P2872,0),$P2872*(1-AG2872)*IFERROR(INDEX(계정대체기준!$C$20:$C$49,MATCH($N2872,계정대체기준!$A$20:$A$49,0)),0)))</f>
        <v/>
      </c>
      <c r="AA2872" s="94">
        <f>IF($A2872="",0,IF(AE2872="직접",IF(OR(AF2872="유지비",AF2872="손해조사비"),$P2872,0),$P2872*(1-AG2872)*IFERROR(INDEX(계정대체기준!$D$20:$D$49,MATCH($N2872,계정대체기준!$A$20:$A$49,0)),0)))</f>
        <v/>
      </c>
      <c r="AB2872" s="94">
        <f>IF($A2872="",0,IF(AE2872="직접",IF(AF2872="수금비",$P2872,0),$P2872*(1-AG2872)*IFERROR(INDEX(계정대체기준!$E$20:$E$49,MATCH($N2872,계정대체기준!$A$20:$A$49,0)),0)))</f>
        <v/>
      </c>
      <c r="AC2872" s="9">
        <f>IF(AND($A2872&lt;&gt;"",M2872=설정!$C$20,Z2872&gt;0),Z2872+ROW()/1000000000,"")</f>
        <v/>
      </c>
      <c r="AD2872" s="94">
        <f>IF($A2872="",0,$P2872*AG2872)</f>
        <v/>
      </c>
      <c r="AE2872" s="64">
        <f>IF($A2872="","",IFERROR(INDEX(계정매핑!$E$5:$E$504,MATCH($F2872&amp;"",계정매핑!$A$5:$A$504,0))&amp;"","공통비"))</f>
        <v/>
      </c>
      <c r="AF2872" s="64">
        <f>IF($A2872="","",IF(AE2872="직접",IFERROR(INDEX(계정매핑!$F$5:$F$504,MATCH($F2872&amp;"",계정매핑!$A$5:$A$504,0))&amp;"","비귀속"),""))</f>
        <v/>
      </c>
      <c r="AG2872" s="96">
        <f>IF($A2872="",0,IF(AND(AE2872&lt;&gt;"직접",IFERROR(INDEX(계정매핑!$G$5:$G$504,MATCH($F2872&amp;"",계정매핑!$A$5:$A$504,0))&amp;"","")="유지비",COUNTIF(계정대체기준!$A$6:$A$15,$N2872)&gt;0),IFERROR(INDEX(계정대체기준!$E$6:$E$15,MATCH(VALUE($A2872&amp;""),계정대체기준!$D$6:$D$15,0)),0),0))</f>
        <v/>
      </c>
      <c r="AH2872" s="64">
        <f>IF($A2872="","",IF(AD2872=0,"",IF(OR(COUNTIF(계정대체기준!$A$77:$A$86,$N2872)&gt;0,ISNUMBER(MATCH($X2872,계정대체기준!$D$77:$D$86,0)),ISNUMBER(MATCH($F2872,계정대체기준!$D$77:$D$86,0))),"Y","N")))</f>
        <v/>
      </c>
    </row>
    <row r="2873">
      <c r="A2873" s="92" t="n">
        <v>2026</v>
      </c>
      <c r="B2873" s="92" t="n">
        <v>1</v>
      </c>
      <c r="C2873" s="92" t="inlineStr">
        <is>
          <t>5100000151</t>
        </is>
      </c>
      <c r="D2873" s="95" t="n">
        <v>46042</v>
      </c>
      <c r="E2873" s="92" t="inlineStr">
        <is>
          <t>KR</t>
        </is>
      </c>
      <c r="F2873" s="92" t="n">
        <v>62301000</v>
      </c>
      <c r="G2873" s="92" t="n">
        <v>1501</v>
      </c>
      <c r="H2873" s="93" t="n">
        <v>247000</v>
      </c>
      <c r="I2873" s="92" t="inlineStr">
        <is>
          <t>1월 소모품 구입 - Q오피스</t>
        </is>
      </c>
      <c r="J2873" s="92" t="inlineStr">
        <is>
          <t>V10003</t>
        </is>
      </c>
      <c r="K2873" s="92" t="inlineStr">
        <is>
          <t>Q오피스</t>
        </is>
      </c>
      <c r="M2873" s="9">
        <f>IF($A2873="","",VALUE($A2873&amp;"")*12+VALUE($B2873&amp;""))</f>
        <v/>
      </c>
      <c r="N2873" s="64">
        <f>IF($A2873="","",IFERROR(INDEX(부서매핑!$C$5:$C$504,MATCH($G2873&amp;"",부서매핑!$A$5:$A$504,0)),"미매핑"))</f>
        <v/>
      </c>
      <c r="O2873" s="9">
        <f>IF($A2873="","",N2873&amp;"|"&amp;$F2873)</f>
        <v/>
      </c>
      <c r="P2873" s="94">
        <f>IF($A2873="",0,$H2873*설정!$C$23)</f>
        <v/>
      </c>
      <c r="Q2873" s="64">
        <f>IF($A2873="","",IF(O2873&lt;&gt;원인분석!$C$9,"",IF(AND(M2873&gt;=원인분석!$C$10,M2873&lt;=원인분석!$C$11),"당기",IF(AND(M2873&gt;=원인분석!$C$12,M2873&lt;=원인분석!$C$13),"비교",""))))</f>
        <v/>
      </c>
      <c r="R2873" s="9">
        <f>IF(Q2873="","",$K2873&amp;"")</f>
        <v/>
      </c>
      <c r="S2873" s="9">
        <f>IF(Q2873="","",IF(MATCH(R2873,$R$5:$R$100000,0)=ROW()-4,ROW(),""))</f>
        <v/>
      </c>
      <c r="T2873" s="9">
        <f>IF(Q2873="당기",ABS(P2873)+ROW()/1000000000,"")</f>
        <v/>
      </c>
      <c r="U2873" s="9">
        <f>IF(Q2873="비교",ABS(P2873)+ROW()/1000000000,"")</f>
        <v/>
      </c>
      <c r="V2873" s="64">
        <f>IF($A2873="","",IF(COUNTIF(변동분석!$E$7:$E$506,O2873)&gt;0,"Y","N"))</f>
        <v/>
      </c>
      <c r="W2873" s="64">
        <f>IF($A2873="","",IFERROR(INDEX(계정매핑!$D$5:$D$504,MATCH($F2873&amp;"",계정매핑!$A$5:$A$504,0)),"미매핑"))</f>
        <v/>
      </c>
      <c r="X2873" s="9">
        <f>IF($A2873="","",$F2873&amp;"")</f>
        <v/>
      </c>
      <c r="Y2873" s="94">
        <f>IF($A2873="",0,IF(AE2873="직접",IF(AF2873="비귀속",$P2873,0),$P2873*(1-AG2873)*IFERROR(INDEX(계정대체기준!$F$20:$F$49,MATCH($N2873,계정대체기준!$A$20:$A$49,0)),1)))</f>
        <v/>
      </c>
      <c r="Z2873" s="94">
        <f>IF($A2873="",0,IF(AE2873="직접",IF(AF2873="신계약비",$P2873,0),$P2873*(1-AG2873)*IFERROR(INDEX(계정대체기준!$C$20:$C$49,MATCH($N2873,계정대체기준!$A$20:$A$49,0)),0)))</f>
        <v/>
      </c>
      <c r="AA2873" s="94">
        <f>IF($A2873="",0,IF(AE2873="직접",IF(OR(AF2873="유지비",AF2873="손해조사비"),$P2873,0),$P2873*(1-AG2873)*IFERROR(INDEX(계정대체기준!$D$20:$D$49,MATCH($N2873,계정대체기준!$A$20:$A$49,0)),0)))</f>
        <v/>
      </c>
      <c r="AB2873" s="94">
        <f>IF($A2873="",0,IF(AE2873="직접",IF(AF2873="수금비",$P2873,0),$P2873*(1-AG2873)*IFERROR(INDEX(계정대체기준!$E$20:$E$49,MATCH($N2873,계정대체기준!$A$20:$A$49,0)),0)))</f>
        <v/>
      </c>
      <c r="AC2873" s="9">
        <f>IF(AND($A2873&lt;&gt;"",M2873=설정!$C$20,Z2873&gt;0),Z2873+ROW()/1000000000,"")</f>
        <v/>
      </c>
      <c r="AD2873" s="94">
        <f>IF($A2873="",0,$P2873*AG2873)</f>
        <v/>
      </c>
      <c r="AE2873" s="64">
        <f>IF($A2873="","",IFERROR(INDEX(계정매핑!$E$5:$E$504,MATCH($F2873&amp;"",계정매핑!$A$5:$A$504,0))&amp;"","공통비"))</f>
        <v/>
      </c>
      <c r="AF2873" s="64">
        <f>IF($A2873="","",IF(AE2873="직접",IFERROR(INDEX(계정매핑!$F$5:$F$504,MATCH($F2873&amp;"",계정매핑!$A$5:$A$504,0))&amp;"","비귀속"),""))</f>
        <v/>
      </c>
      <c r="AG2873" s="96">
        <f>IF($A2873="",0,IF(AND(AE2873&lt;&gt;"직접",IFERROR(INDEX(계정매핑!$G$5:$G$504,MATCH($F2873&amp;"",계정매핑!$A$5:$A$504,0))&amp;"","")="유지비",COUNTIF(계정대체기준!$A$6:$A$15,$N2873)&gt;0),IFERROR(INDEX(계정대체기준!$E$6:$E$15,MATCH(VALUE($A2873&amp;""),계정대체기준!$D$6:$D$15,0)),0),0))</f>
        <v/>
      </c>
      <c r="AH2873" s="64">
        <f>IF($A2873="","",IF(AD2873=0,"",IF(OR(COUNTIF(계정대체기준!$A$77:$A$86,$N2873)&gt;0,ISNUMBER(MATCH($X2873,계정대체기준!$D$77:$D$86,0)),ISNUMBER(MATCH($F2873,계정대체기준!$D$77:$D$86,0))),"Y","N")))</f>
        <v/>
      </c>
    </row>
    <row r="2874">
      <c r="A2874" s="92" t="n">
        <v>2026</v>
      </c>
      <c r="B2874" s="92" t="n">
        <v>1</v>
      </c>
      <c r="C2874" s="92" t="inlineStr">
        <is>
          <t>5100000152</t>
        </is>
      </c>
      <c r="D2874" s="95" t="n">
        <v>46042</v>
      </c>
      <c r="E2874" s="92" t="inlineStr">
        <is>
          <t>KR</t>
        </is>
      </c>
      <c r="F2874" s="92" t="n">
        <v>62301000</v>
      </c>
      <c r="G2874" s="92" t="n">
        <v>1602</v>
      </c>
      <c r="H2874" s="93" t="n">
        <v>245000</v>
      </c>
      <c r="I2874" s="92" t="inlineStr">
        <is>
          <t>1월 소모품 구입 - Q오피스</t>
        </is>
      </c>
      <c r="J2874" s="92" t="inlineStr">
        <is>
          <t>V10003</t>
        </is>
      </c>
      <c r="K2874" s="92" t="inlineStr">
        <is>
          <t>Q오피스</t>
        </is>
      </c>
      <c r="M2874" s="9">
        <f>IF($A2874="","",VALUE($A2874&amp;"")*12+VALUE($B2874&amp;""))</f>
        <v/>
      </c>
      <c r="N2874" s="64">
        <f>IF($A2874="","",IFERROR(INDEX(부서매핑!$C$5:$C$504,MATCH($G2874&amp;"",부서매핑!$A$5:$A$504,0)),"미매핑"))</f>
        <v/>
      </c>
      <c r="O2874" s="9">
        <f>IF($A2874="","",N2874&amp;"|"&amp;$F2874)</f>
        <v/>
      </c>
      <c r="P2874" s="94">
        <f>IF($A2874="",0,$H2874*설정!$C$23)</f>
        <v/>
      </c>
      <c r="Q2874" s="64">
        <f>IF($A2874="","",IF(O2874&lt;&gt;원인분석!$C$9,"",IF(AND(M2874&gt;=원인분석!$C$10,M2874&lt;=원인분석!$C$11),"당기",IF(AND(M2874&gt;=원인분석!$C$12,M2874&lt;=원인분석!$C$13),"비교",""))))</f>
        <v/>
      </c>
      <c r="R2874" s="9">
        <f>IF(Q2874="","",$K2874&amp;"")</f>
        <v/>
      </c>
      <c r="S2874" s="9">
        <f>IF(Q2874="","",IF(MATCH(R2874,$R$5:$R$100000,0)=ROW()-4,ROW(),""))</f>
        <v/>
      </c>
      <c r="T2874" s="9">
        <f>IF(Q2874="당기",ABS(P2874)+ROW()/1000000000,"")</f>
        <v/>
      </c>
      <c r="U2874" s="9">
        <f>IF(Q2874="비교",ABS(P2874)+ROW()/1000000000,"")</f>
        <v/>
      </c>
      <c r="V2874" s="64">
        <f>IF($A2874="","",IF(COUNTIF(변동분석!$E$7:$E$506,O2874)&gt;0,"Y","N"))</f>
        <v/>
      </c>
      <c r="W2874" s="64">
        <f>IF($A2874="","",IFERROR(INDEX(계정매핑!$D$5:$D$504,MATCH($F2874&amp;"",계정매핑!$A$5:$A$504,0)),"미매핑"))</f>
        <v/>
      </c>
      <c r="X2874" s="9">
        <f>IF($A2874="","",$F2874&amp;"")</f>
        <v/>
      </c>
      <c r="Y2874" s="94">
        <f>IF($A2874="",0,IF(AE2874="직접",IF(AF2874="비귀속",$P2874,0),$P2874*(1-AG2874)*IFERROR(INDEX(계정대체기준!$F$20:$F$49,MATCH($N2874,계정대체기준!$A$20:$A$49,0)),1)))</f>
        <v/>
      </c>
      <c r="Z2874" s="94">
        <f>IF($A2874="",0,IF(AE2874="직접",IF(AF2874="신계약비",$P2874,0),$P2874*(1-AG2874)*IFERROR(INDEX(계정대체기준!$C$20:$C$49,MATCH($N2874,계정대체기준!$A$20:$A$49,0)),0)))</f>
        <v/>
      </c>
      <c r="AA2874" s="94">
        <f>IF($A2874="",0,IF(AE2874="직접",IF(OR(AF2874="유지비",AF2874="손해조사비"),$P2874,0),$P2874*(1-AG2874)*IFERROR(INDEX(계정대체기준!$D$20:$D$49,MATCH($N2874,계정대체기준!$A$20:$A$49,0)),0)))</f>
        <v/>
      </c>
      <c r="AB2874" s="94">
        <f>IF($A2874="",0,IF(AE2874="직접",IF(AF2874="수금비",$P2874,0),$P2874*(1-AG2874)*IFERROR(INDEX(계정대체기준!$E$20:$E$49,MATCH($N2874,계정대체기준!$A$20:$A$49,0)),0)))</f>
        <v/>
      </c>
      <c r="AC2874" s="9">
        <f>IF(AND($A2874&lt;&gt;"",M2874=설정!$C$20,Z2874&gt;0),Z2874+ROW()/1000000000,"")</f>
        <v/>
      </c>
      <c r="AD2874" s="94">
        <f>IF($A2874="",0,$P2874*AG2874)</f>
        <v/>
      </c>
      <c r="AE2874" s="64">
        <f>IF($A2874="","",IFERROR(INDEX(계정매핑!$E$5:$E$504,MATCH($F2874&amp;"",계정매핑!$A$5:$A$504,0))&amp;"","공통비"))</f>
        <v/>
      </c>
      <c r="AF2874" s="64">
        <f>IF($A2874="","",IF(AE2874="직접",IFERROR(INDEX(계정매핑!$F$5:$F$504,MATCH($F2874&amp;"",계정매핑!$A$5:$A$504,0))&amp;"","비귀속"),""))</f>
        <v/>
      </c>
      <c r="AG2874" s="96">
        <f>IF($A2874="",0,IF(AND(AE2874&lt;&gt;"직접",IFERROR(INDEX(계정매핑!$G$5:$G$504,MATCH($F2874&amp;"",계정매핑!$A$5:$A$504,0))&amp;"","")="유지비",COUNTIF(계정대체기준!$A$6:$A$15,$N2874)&gt;0),IFERROR(INDEX(계정대체기준!$E$6:$E$15,MATCH(VALUE($A2874&amp;""),계정대체기준!$D$6:$D$15,0)),0),0))</f>
        <v/>
      </c>
      <c r="AH2874" s="64">
        <f>IF($A2874="","",IF(AD2874=0,"",IF(OR(COUNTIF(계정대체기준!$A$77:$A$86,$N2874)&gt;0,ISNUMBER(MATCH($X2874,계정대체기준!$D$77:$D$86,0)),ISNUMBER(MATCH($F2874,계정대체기준!$D$77:$D$86,0))),"Y","N")))</f>
        <v/>
      </c>
    </row>
    <row r="2875">
      <c r="A2875" s="92" t="n">
        <v>2026</v>
      </c>
      <c r="B2875" s="92" t="n">
        <v>1</v>
      </c>
      <c r="C2875" s="92" t="inlineStr">
        <is>
          <t>5100000153</t>
        </is>
      </c>
      <c r="D2875" s="95" t="n">
        <v>46042</v>
      </c>
      <c r="E2875" s="92" t="inlineStr">
        <is>
          <t>KR</t>
        </is>
      </c>
      <c r="F2875" s="92" t="n">
        <v>62401000</v>
      </c>
      <c r="G2875" s="92" t="n">
        <v>1502</v>
      </c>
      <c r="H2875" s="93" t="n">
        <v>2347000</v>
      </c>
      <c r="I2875" s="92" t="inlineStr">
        <is>
          <t>1월 인쇄물 제작 - G인쇄</t>
        </is>
      </c>
      <c r="J2875" s="92" t="inlineStr">
        <is>
          <t>V10004</t>
        </is>
      </c>
      <c r="K2875" s="92" t="inlineStr">
        <is>
          <t>G인쇄</t>
        </is>
      </c>
      <c r="M2875" s="9">
        <f>IF($A2875="","",VALUE($A2875&amp;"")*12+VALUE($B2875&amp;""))</f>
        <v/>
      </c>
      <c r="N2875" s="64">
        <f>IF($A2875="","",IFERROR(INDEX(부서매핑!$C$5:$C$504,MATCH($G2875&amp;"",부서매핑!$A$5:$A$504,0)),"미매핑"))</f>
        <v/>
      </c>
      <c r="O2875" s="9">
        <f>IF($A2875="","",N2875&amp;"|"&amp;$F2875)</f>
        <v/>
      </c>
      <c r="P2875" s="94">
        <f>IF($A2875="",0,$H2875*설정!$C$23)</f>
        <v/>
      </c>
      <c r="Q2875" s="64">
        <f>IF($A2875="","",IF(O2875&lt;&gt;원인분석!$C$9,"",IF(AND(M2875&gt;=원인분석!$C$10,M2875&lt;=원인분석!$C$11),"당기",IF(AND(M2875&gt;=원인분석!$C$12,M2875&lt;=원인분석!$C$13),"비교",""))))</f>
        <v/>
      </c>
      <c r="R2875" s="9">
        <f>IF(Q2875="","",$K2875&amp;"")</f>
        <v/>
      </c>
      <c r="S2875" s="9">
        <f>IF(Q2875="","",IF(MATCH(R2875,$R$5:$R$100000,0)=ROW()-4,ROW(),""))</f>
        <v/>
      </c>
      <c r="T2875" s="9">
        <f>IF(Q2875="당기",ABS(P2875)+ROW()/1000000000,"")</f>
        <v/>
      </c>
      <c r="U2875" s="9">
        <f>IF(Q2875="비교",ABS(P2875)+ROW()/1000000000,"")</f>
        <v/>
      </c>
      <c r="V2875" s="64">
        <f>IF($A2875="","",IF(COUNTIF(변동분석!$E$7:$E$506,O2875)&gt;0,"Y","N"))</f>
        <v/>
      </c>
      <c r="W2875" s="64">
        <f>IF($A2875="","",IFERROR(INDEX(계정매핑!$D$5:$D$504,MATCH($F2875&amp;"",계정매핑!$A$5:$A$504,0)),"미매핑"))</f>
        <v/>
      </c>
      <c r="X2875" s="9">
        <f>IF($A2875="","",$F2875&amp;"")</f>
        <v/>
      </c>
      <c r="Y2875" s="94">
        <f>IF($A2875="",0,IF(AE2875="직접",IF(AF2875="비귀속",$P2875,0),$P2875*(1-AG2875)*IFERROR(INDEX(계정대체기준!$F$20:$F$49,MATCH($N2875,계정대체기준!$A$20:$A$49,0)),1)))</f>
        <v/>
      </c>
      <c r="Z2875" s="94">
        <f>IF($A2875="",0,IF(AE2875="직접",IF(AF2875="신계약비",$P2875,0),$P2875*(1-AG2875)*IFERROR(INDEX(계정대체기준!$C$20:$C$49,MATCH($N2875,계정대체기준!$A$20:$A$49,0)),0)))</f>
        <v/>
      </c>
      <c r="AA2875" s="94">
        <f>IF($A2875="",0,IF(AE2875="직접",IF(OR(AF2875="유지비",AF2875="손해조사비"),$P2875,0),$P2875*(1-AG2875)*IFERROR(INDEX(계정대체기준!$D$20:$D$49,MATCH($N2875,계정대체기준!$A$20:$A$49,0)),0)))</f>
        <v/>
      </c>
      <c r="AB2875" s="94">
        <f>IF($A2875="",0,IF(AE2875="직접",IF(AF2875="수금비",$P2875,0),$P2875*(1-AG2875)*IFERROR(INDEX(계정대체기준!$E$20:$E$49,MATCH($N2875,계정대체기준!$A$20:$A$49,0)),0)))</f>
        <v/>
      </c>
      <c r="AC2875" s="9">
        <f>IF(AND($A2875&lt;&gt;"",M2875=설정!$C$20,Z2875&gt;0),Z2875+ROW()/1000000000,"")</f>
        <v/>
      </c>
      <c r="AD2875" s="94">
        <f>IF($A2875="",0,$P2875*AG2875)</f>
        <v/>
      </c>
      <c r="AE2875" s="64">
        <f>IF($A2875="","",IFERROR(INDEX(계정매핑!$E$5:$E$504,MATCH($F2875&amp;"",계정매핑!$A$5:$A$504,0))&amp;"","공통비"))</f>
        <v/>
      </c>
      <c r="AF2875" s="64">
        <f>IF($A2875="","",IF(AE2875="직접",IFERROR(INDEX(계정매핑!$F$5:$F$504,MATCH($F2875&amp;"",계정매핑!$A$5:$A$504,0))&amp;"","비귀속"),""))</f>
        <v/>
      </c>
      <c r="AG2875" s="96">
        <f>IF($A2875="",0,IF(AND(AE2875&lt;&gt;"직접",IFERROR(INDEX(계정매핑!$G$5:$G$504,MATCH($F2875&amp;"",계정매핑!$A$5:$A$504,0))&amp;"","")="유지비",COUNTIF(계정대체기준!$A$6:$A$15,$N2875)&gt;0),IFERROR(INDEX(계정대체기준!$E$6:$E$15,MATCH(VALUE($A2875&amp;""),계정대체기준!$D$6:$D$15,0)),0),0))</f>
        <v/>
      </c>
      <c r="AH2875" s="64">
        <f>IF($A2875="","",IF(AD2875=0,"",IF(OR(COUNTIF(계정대체기준!$A$77:$A$86,$N2875)&gt;0,ISNUMBER(MATCH($X2875,계정대체기준!$D$77:$D$86,0)),ISNUMBER(MATCH($F2875,계정대체기준!$D$77:$D$86,0))),"Y","N")))</f>
        <v/>
      </c>
    </row>
    <row r="2876">
      <c r="A2876" s="92" t="n">
        <v>2026</v>
      </c>
      <c r="B2876" s="92" t="n">
        <v>1</v>
      </c>
      <c r="C2876" s="92" t="inlineStr">
        <is>
          <t>5100000154</t>
        </is>
      </c>
      <c r="D2876" s="95" t="n">
        <v>46042</v>
      </c>
      <c r="E2876" s="92" t="inlineStr">
        <is>
          <t>KR</t>
        </is>
      </c>
      <c r="F2876" s="92" t="n">
        <v>62501000</v>
      </c>
      <c r="G2876" s="92" t="n">
        <v>1201</v>
      </c>
      <c r="H2876" s="93" t="n">
        <v>145000</v>
      </c>
      <c r="I2876" s="92" t="inlineStr">
        <is>
          <t>1월 회의 다과 - (법인카드)</t>
        </is>
      </c>
      <c r="J2876" s="92" t="inlineStr">
        <is>
          <t>V10010</t>
        </is>
      </c>
      <c r="K2876" s="92" t="inlineStr">
        <is>
          <t>(법인카드)</t>
        </is>
      </c>
      <c r="M2876" s="9">
        <f>IF($A2876="","",VALUE($A2876&amp;"")*12+VALUE($B2876&amp;""))</f>
        <v/>
      </c>
      <c r="N2876" s="64">
        <f>IF($A2876="","",IFERROR(INDEX(부서매핑!$C$5:$C$504,MATCH($G2876&amp;"",부서매핑!$A$5:$A$504,0)),"미매핑"))</f>
        <v/>
      </c>
      <c r="O2876" s="9">
        <f>IF($A2876="","",N2876&amp;"|"&amp;$F2876)</f>
        <v/>
      </c>
      <c r="P2876" s="94">
        <f>IF($A2876="",0,$H2876*설정!$C$23)</f>
        <v/>
      </c>
      <c r="Q2876" s="64">
        <f>IF($A2876="","",IF(O2876&lt;&gt;원인분석!$C$9,"",IF(AND(M2876&gt;=원인분석!$C$10,M2876&lt;=원인분석!$C$11),"당기",IF(AND(M2876&gt;=원인분석!$C$12,M2876&lt;=원인분석!$C$13),"비교",""))))</f>
        <v/>
      </c>
      <c r="R2876" s="9">
        <f>IF(Q2876="","",$K2876&amp;"")</f>
        <v/>
      </c>
      <c r="S2876" s="9">
        <f>IF(Q2876="","",IF(MATCH(R2876,$R$5:$R$100000,0)=ROW()-4,ROW(),""))</f>
        <v/>
      </c>
      <c r="T2876" s="9">
        <f>IF(Q2876="당기",ABS(P2876)+ROW()/1000000000,"")</f>
        <v/>
      </c>
      <c r="U2876" s="9">
        <f>IF(Q2876="비교",ABS(P2876)+ROW()/1000000000,"")</f>
        <v/>
      </c>
      <c r="V2876" s="64">
        <f>IF($A2876="","",IF(COUNTIF(변동분석!$E$7:$E$506,O2876)&gt;0,"Y","N"))</f>
        <v/>
      </c>
      <c r="W2876" s="64">
        <f>IF($A2876="","",IFERROR(INDEX(계정매핑!$D$5:$D$504,MATCH($F2876&amp;"",계정매핑!$A$5:$A$504,0)),"미매핑"))</f>
        <v/>
      </c>
      <c r="X2876" s="9">
        <f>IF($A2876="","",$F2876&amp;"")</f>
        <v/>
      </c>
      <c r="Y2876" s="94">
        <f>IF($A2876="",0,IF(AE2876="직접",IF(AF2876="비귀속",$P2876,0),$P2876*(1-AG2876)*IFERROR(INDEX(계정대체기준!$F$20:$F$49,MATCH($N2876,계정대체기준!$A$20:$A$49,0)),1)))</f>
        <v/>
      </c>
      <c r="Z2876" s="94">
        <f>IF($A2876="",0,IF(AE2876="직접",IF(AF2876="신계약비",$P2876,0),$P2876*(1-AG2876)*IFERROR(INDEX(계정대체기준!$C$20:$C$49,MATCH($N2876,계정대체기준!$A$20:$A$49,0)),0)))</f>
        <v/>
      </c>
      <c r="AA2876" s="94">
        <f>IF($A2876="",0,IF(AE2876="직접",IF(OR(AF2876="유지비",AF2876="손해조사비"),$P2876,0),$P2876*(1-AG2876)*IFERROR(INDEX(계정대체기준!$D$20:$D$49,MATCH($N2876,계정대체기준!$A$20:$A$49,0)),0)))</f>
        <v/>
      </c>
      <c r="AB2876" s="94">
        <f>IF($A2876="",0,IF(AE2876="직접",IF(AF2876="수금비",$P2876,0),$P2876*(1-AG2876)*IFERROR(INDEX(계정대체기준!$E$20:$E$49,MATCH($N2876,계정대체기준!$A$20:$A$49,0)),0)))</f>
        <v/>
      </c>
      <c r="AC2876" s="9">
        <f>IF(AND($A2876&lt;&gt;"",M2876=설정!$C$20,Z2876&gt;0),Z2876+ROW()/1000000000,"")</f>
        <v/>
      </c>
      <c r="AD2876" s="94">
        <f>IF($A2876="",0,$P2876*AG2876)</f>
        <v/>
      </c>
      <c r="AE2876" s="64">
        <f>IF($A2876="","",IFERROR(INDEX(계정매핑!$E$5:$E$504,MATCH($F2876&amp;"",계정매핑!$A$5:$A$504,0))&amp;"","공통비"))</f>
        <v/>
      </c>
      <c r="AF2876" s="64">
        <f>IF($A2876="","",IF(AE2876="직접",IFERROR(INDEX(계정매핑!$F$5:$F$504,MATCH($F2876&amp;"",계정매핑!$A$5:$A$504,0))&amp;"","비귀속"),""))</f>
        <v/>
      </c>
      <c r="AG2876" s="96">
        <f>IF($A2876="",0,IF(AND(AE2876&lt;&gt;"직접",IFERROR(INDEX(계정매핑!$G$5:$G$504,MATCH($F2876&amp;"",계정매핑!$A$5:$A$504,0))&amp;"","")="유지비",COUNTIF(계정대체기준!$A$6:$A$15,$N2876)&gt;0),IFERROR(INDEX(계정대체기준!$E$6:$E$15,MATCH(VALUE($A2876&amp;""),계정대체기준!$D$6:$D$15,0)),0),0))</f>
        <v/>
      </c>
      <c r="AH2876" s="64">
        <f>IF($A2876="","",IF(AD2876=0,"",IF(OR(COUNTIF(계정대체기준!$A$77:$A$86,$N2876)&gt;0,ISNUMBER(MATCH($X2876,계정대체기준!$D$77:$D$86,0)),ISNUMBER(MATCH($F2876,계정대체기준!$D$77:$D$86,0))),"Y","N")))</f>
        <v/>
      </c>
    </row>
    <row r="2877">
      <c r="A2877" s="92" t="n">
        <v>2026</v>
      </c>
      <c r="B2877" s="92" t="n">
        <v>1</v>
      </c>
      <c r="C2877" s="92" t="inlineStr">
        <is>
          <t>5100000155</t>
        </is>
      </c>
      <c r="D2877" s="95" t="n">
        <v>46042</v>
      </c>
      <c r="E2877" s="92" t="inlineStr">
        <is>
          <t>KR</t>
        </is>
      </c>
      <c r="F2877" s="92" t="n">
        <v>62901000</v>
      </c>
      <c r="G2877" s="92" t="n">
        <v>1401</v>
      </c>
      <c r="H2877" s="93" t="n">
        <v>6392000</v>
      </c>
      <c r="I2877" s="92" t="inlineStr">
        <is>
          <t>1월 자문 수수료 - W컨설팅</t>
        </is>
      </c>
      <c r="J2877" s="92" t="inlineStr">
        <is>
          <t>V10006</t>
        </is>
      </c>
      <c r="K2877" s="92" t="inlineStr">
        <is>
          <t>W컨설팅</t>
        </is>
      </c>
      <c r="M2877" s="9">
        <f>IF($A2877="","",VALUE($A2877&amp;"")*12+VALUE($B2877&amp;""))</f>
        <v/>
      </c>
      <c r="N2877" s="64">
        <f>IF($A2877="","",IFERROR(INDEX(부서매핑!$C$5:$C$504,MATCH($G2877&amp;"",부서매핑!$A$5:$A$504,0)),"미매핑"))</f>
        <v/>
      </c>
      <c r="O2877" s="9">
        <f>IF($A2877="","",N2877&amp;"|"&amp;$F2877)</f>
        <v/>
      </c>
      <c r="P2877" s="94">
        <f>IF($A2877="",0,$H2877*설정!$C$23)</f>
        <v/>
      </c>
      <c r="Q2877" s="64">
        <f>IF($A2877="","",IF(O2877&lt;&gt;원인분석!$C$9,"",IF(AND(M2877&gt;=원인분석!$C$10,M2877&lt;=원인분석!$C$11),"당기",IF(AND(M2877&gt;=원인분석!$C$12,M2877&lt;=원인분석!$C$13),"비교",""))))</f>
        <v/>
      </c>
      <c r="R2877" s="9">
        <f>IF(Q2877="","",$K2877&amp;"")</f>
        <v/>
      </c>
      <c r="S2877" s="9">
        <f>IF(Q2877="","",IF(MATCH(R2877,$R$5:$R$100000,0)=ROW()-4,ROW(),""))</f>
        <v/>
      </c>
      <c r="T2877" s="9">
        <f>IF(Q2877="당기",ABS(P2877)+ROW()/1000000000,"")</f>
        <v/>
      </c>
      <c r="U2877" s="9">
        <f>IF(Q2877="비교",ABS(P2877)+ROW()/1000000000,"")</f>
        <v/>
      </c>
      <c r="V2877" s="64">
        <f>IF($A2877="","",IF(COUNTIF(변동분석!$E$7:$E$506,O2877)&gt;0,"Y","N"))</f>
        <v/>
      </c>
      <c r="W2877" s="64">
        <f>IF($A2877="","",IFERROR(INDEX(계정매핑!$D$5:$D$504,MATCH($F2877&amp;"",계정매핑!$A$5:$A$504,0)),"미매핑"))</f>
        <v/>
      </c>
      <c r="X2877" s="9">
        <f>IF($A2877="","",$F2877&amp;"")</f>
        <v/>
      </c>
      <c r="Y2877" s="94">
        <f>IF($A2877="",0,IF(AE2877="직접",IF(AF2877="비귀속",$P2877,0),$P2877*(1-AG2877)*IFERROR(INDEX(계정대체기준!$F$20:$F$49,MATCH($N2877,계정대체기준!$A$20:$A$49,0)),1)))</f>
        <v/>
      </c>
      <c r="Z2877" s="94">
        <f>IF($A2877="",0,IF(AE2877="직접",IF(AF2877="신계약비",$P2877,0),$P2877*(1-AG2877)*IFERROR(INDEX(계정대체기준!$C$20:$C$49,MATCH($N2877,계정대체기준!$A$20:$A$49,0)),0)))</f>
        <v/>
      </c>
      <c r="AA2877" s="94">
        <f>IF($A2877="",0,IF(AE2877="직접",IF(OR(AF2877="유지비",AF2877="손해조사비"),$P2877,0),$P2877*(1-AG2877)*IFERROR(INDEX(계정대체기준!$D$20:$D$49,MATCH($N2877,계정대체기준!$A$20:$A$49,0)),0)))</f>
        <v/>
      </c>
      <c r="AB2877" s="94">
        <f>IF($A2877="",0,IF(AE2877="직접",IF(AF2877="수금비",$P2877,0),$P2877*(1-AG2877)*IFERROR(INDEX(계정대체기준!$E$20:$E$49,MATCH($N2877,계정대체기준!$A$20:$A$49,0)),0)))</f>
        <v/>
      </c>
      <c r="AC2877" s="9">
        <f>IF(AND($A2877&lt;&gt;"",M2877=설정!$C$20,Z2877&gt;0),Z2877+ROW()/1000000000,"")</f>
        <v/>
      </c>
      <c r="AD2877" s="94">
        <f>IF($A2877="",0,$P2877*AG2877)</f>
        <v/>
      </c>
      <c r="AE2877" s="64">
        <f>IF($A2877="","",IFERROR(INDEX(계정매핑!$E$5:$E$504,MATCH($F2877&amp;"",계정매핑!$A$5:$A$504,0))&amp;"","공통비"))</f>
        <v/>
      </c>
      <c r="AF2877" s="64">
        <f>IF($A2877="","",IF(AE2877="직접",IFERROR(INDEX(계정매핑!$F$5:$F$504,MATCH($F2877&amp;"",계정매핑!$A$5:$A$504,0))&amp;"","비귀속"),""))</f>
        <v/>
      </c>
      <c r="AG2877" s="96">
        <f>IF($A2877="",0,IF(AND(AE2877&lt;&gt;"직접",IFERROR(INDEX(계정매핑!$G$5:$G$504,MATCH($F2877&amp;"",계정매핑!$A$5:$A$504,0))&amp;"","")="유지비",COUNTIF(계정대체기준!$A$6:$A$15,$N2877)&gt;0),IFERROR(INDEX(계정대체기준!$E$6:$E$15,MATCH(VALUE($A2877&amp;""),계정대체기준!$D$6:$D$15,0)),0),0))</f>
        <v/>
      </c>
      <c r="AH2877" s="64">
        <f>IF($A2877="","",IF(AD2877=0,"",IF(OR(COUNTIF(계정대체기준!$A$77:$A$86,$N2877)&gt;0,ISNUMBER(MATCH($X2877,계정대체기준!$D$77:$D$86,0)),ISNUMBER(MATCH($F2877,계정대체기준!$D$77:$D$86,0))),"Y","N")))</f>
        <v/>
      </c>
    </row>
    <row r="2878">
      <c r="A2878" s="92" t="n">
        <v>2026</v>
      </c>
      <c r="B2878" s="92" t="n">
        <v>1</v>
      </c>
      <c r="C2878" s="92" t="inlineStr">
        <is>
          <t>5100000156</t>
        </is>
      </c>
      <c r="D2878" s="95" t="n">
        <v>46042</v>
      </c>
      <c r="E2878" s="92" t="inlineStr">
        <is>
          <t>KR</t>
        </is>
      </c>
      <c r="F2878" s="92" t="n">
        <v>63601000</v>
      </c>
      <c r="G2878" s="92" t="n">
        <v>1801</v>
      </c>
      <c r="H2878" s="93" t="n">
        <v>7575000</v>
      </c>
      <c r="I2878" s="92" t="inlineStr">
        <is>
          <t>1월 손해사정 수수료 - DD손해사정</t>
        </is>
      </c>
      <c r="J2878" s="92" t="inlineStr">
        <is>
          <t>V10032</t>
        </is>
      </c>
      <c r="K2878" s="92" t="inlineStr">
        <is>
          <t>DD손해사정</t>
        </is>
      </c>
      <c r="M2878" s="9">
        <f>IF($A2878="","",VALUE($A2878&amp;"")*12+VALUE($B2878&amp;""))</f>
        <v/>
      </c>
      <c r="N2878" s="64">
        <f>IF($A2878="","",IFERROR(INDEX(부서매핑!$C$5:$C$504,MATCH($G2878&amp;"",부서매핑!$A$5:$A$504,0)),"미매핑"))</f>
        <v/>
      </c>
      <c r="O2878" s="9">
        <f>IF($A2878="","",N2878&amp;"|"&amp;$F2878)</f>
        <v/>
      </c>
      <c r="P2878" s="94">
        <f>IF($A2878="",0,$H2878*설정!$C$23)</f>
        <v/>
      </c>
      <c r="Q2878" s="64">
        <f>IF($A2878="","",IF(O2878&lt;&gt;원인분석!$C$9,"",IF(AND(M2878&gt;=원인분석!$C$10,M2878&lt;=원인분석!$C$11),"당기",IF(AND(M2878&gt;=원인분석!$C$12,M2878&lt;=원인분석!$C$13),"비교",""))))</f>
        <v/>
      </c>
      <c r="R2878" s="9">
        <f>IF(Q2878="","",$K2878&amp;"")</f>
        <v/>
      </c>
      <c r="S2878" s="9">
        <f>IF(Q2878="","",IF(MATCH(R2878,$R$5:$R$100000,0)=ROW()-4,ROW(),""))</f>
        <v/>
      </c>
      <c r="T2878" s="9">
        <f>IF(Q2878="당기",ABS(P2878)+ROW()/1000000000,"")</f>
        <v/>
      </c>
      <c r="U2878" s="9">
        <f>IF(Q2878="비교",ABS(P2878)+ROW()/1000000000,"")</f>
        <v/>
      </c>
      <c r="V2878" s="64">
        <f>IF($A2878="","",IF(COUNTIF(변동분석!$E$7:$E$506,O2878)&gt;0,"Y","N"))</f>
        <v/>
      </c>
      <c r="W2878" s="64">
        <f>IF($A2878="","",IFERROR(INDEX(계정매핑!$D$5:$D$504,MATCH($F2878&amp;"",계정매핑!$A$5:$A$504,0)),"미매핑"))</f>
        <v/>
      </c>
      <c r="X2878" s="9">
        <f>IF($A2878="","",$F2878&amp;"")</f>
        <v/>
      </c>
      <c r="Y2878" s="94">
        <f>IF($A2878="",0,IF(AE2878="직접",IF(AF2878="비귀속",$P2878,0),$P2878*(1-AG2878)*IFERROR(INDEX(계정대체기준!$F$20:$F$49,MATCH($N2878,계정대체기준!$A$20:$A$49,0)),1)))</f>
        <v/>
      </c>
      <c r="Z2878" s="94">
        <f>IF($A2878="",0,IF(AE2878="직접",IF(AF2878="신계약비",$P2878,0),$P2878*(1-AG2878)*IFERROR(INDEX(계정대체기준!$C$20:$C$49,MATCH($N2878,계정대체기준!$A$20:$A$49,0)),0)))</f>
        <v/>
      </c>
      <c r="AA2878" s="94">
        <f>IF($A2878="",0,IF(AE2878="직접",IF(OR(AF2878="유지비",AF2878="손해조사비"),$P2878,0),$P2878*(1-AG2878)*IFERROR(INDEX(계정대체기준!$D$20:$D$49,MATCH($N2878,계정대체기준!$A$20:$A$49,0)),0)))</f>
        <v/>
      </c>
      <c r="AB2878" s="94">
        <f>IF($A2878="",0,IF(AE2878="직접",IF(AF2878="수금비",$P2878,0),$P2878*(1-AG2878)*IFERROR(INDEX(계정대체기준!$E$20:$E$49,MATCH($N2878,계정대체기준!$A$20:$A$49,0)),0)))</f>
        <v/>
      </c>
      <c r="AC2878" s="9">
        <f>IF(AND($A2878&lt;&gt;"",M2878=설정!$C$20,Z2878&gt;0),Z2878+ROW()/1000000000,"")</f>
        <v/>
      </c>
      <c r="AD2878" s="94">
        <f>IF($A2878="",0,$P2878*AG2878)</f>
        <v/>
      </c>
      <c r="AE2878" s="64">
        <f>IF($A2878="","",IFERROR(INDEX(계정매핑!$E$5:$E$504,MATCH($F2878&amp;"",계정매핑!$A$5:$A$504,0))&amp;"","공통비"))</f>
        <v/>
      </c>
      <c r="AF2878" s="64">
        <f>IF($A2878="","",IF(AE2878="직접",IFERROR(INDEX(계정매핑!$F$5:$F$504,MATCH($F2878&amp;"",계정매핑!$A$5:$A$504,0))&amp;"","비귀속"),""))</f>
        <v/>
      </c>
      <c r="AG2878" s="96">
        <f>IF($A2878="",0,IF(AND(AE2878&lt;&gt;"직접",IFERROR(INDEX(계정매핑!$G$5:$G$504,MATCH($F2878&amp;"",계정매핑!$A$5:$A$504,0))&amp;"","")="유지비",COUNTIF(계정대체기준!$A$6:$A$15,$N2878)&gt;0),IFERROR(INDEX(계정대체기준!$E$6:$E$15,MATCH(VALUE($A2878&amp;""),계정대체기준!$D$6:$D$15,0)),0),0))</f>
        <v/>
      </c>
      <c r="AH2878" s="64">
        <f>IF($A2878="","",IF(AD2878=0,"",IF(OR(COUNTIF(계정대체기준!$A$77:$A$86,$N2878)&gt;0,ISNUMBER(MATCH($X2878,계정대체기준!$D$77:$D$86,0)),ISNUMBER(MATCH($F2878,계정대체기준!$D$77:$D$86,0))),"Y","N")))</f>
        <v/>
      </c>
    </row>
    <row r="2879">
      <c r="A2879" s="92" t="n">
        <v>2026</v>
      </c>
      <c r="B2879" s="92" t="n">
        <v>1</v>
      </c>
      <c r="C2879" s="92" t="inlineStr">
        <is>
          <t>5100000157</t>
        </is>
      </c>
      <c r="D2879" s="95" t="n">
        <v>46043</v>
      </c>
      <c r="E2879" s="92" t="inlineStr">
        <is>
          <t>KR</t>
        </is>
      </c>
      <c r="F2879" s="92" t="n">
        <v>62102000</v>
      </c>
      <c r="G2879" s="92" t="n">
        <v>1301</v>
      </c>
      <c r="H2879" s="93" t="n">
        <v>73000</v>
      </c>
      <c r="I2879" s="92" t="inlineStr">
        <is>
          <t>1월 해외출장 - M항공</t>
        </is>
      </c>
      <c r="J2879" s="92" t="inlineStr">
        <is>
          <t>V10001</t>
        </is>
      </c>
      <c r="K2879" s="92" t="inlineStr">
        <is>
          <t>M항공</t>
        </is>
      </c>
      <c r="M2879" s="9">
        <f>IF($A2879="","",VALUE($A2879&amp;"")*12+VALUE($B2879&amp;""))</f>
        <v/>
      </c>
      <c r="N2879" s="64">
        <f>IF($A2879="","",IFERROR(INDEX(부서매핑!$C$5:$C$504,MATCH($G2879&amp;"",부서매핑!$A$5:$A$504,0)),"미매핑"))</f>
        <v/>
      </c>
      <c r="O2879" s="9">
        <f>IF($A2879="","",N2879&amp;"|"&amp;$F2879)</f>
        <v/>
      </c>
      <c r="P2879" s="94">
        <f>IF($A2879="",0,$H2879*설정!$C$23)</f>
        <v/>
      </c>
      <c r="Q2879" s="64">
        <f>IF($A2879="","",IF(O2879&lt;&gt;원인분석!$C$9,"",IF(AND(M2879&gt;=원인분석!$C$10,M2879&lt;=원인분석!$C$11),"당기",IF(AND(M2879&gt;=원인분석!$C$12,M2879&lt;=원인분석!$C$13),"비교",""))))</f>
        <v/>
      </c>
      <c r="R2879" s="9">
        <f>IF(Q2879="","",$K2879&amp;"")</f>
        <v/>
      </c>
      <c r="S2879" s="9">
        <f>IF(Q2879="","",IF(MATCH(R2879,$R$5:$R$100000,0)=ROW()-4,ROW(),""))</f>
        <v/>
      </c>
      <c r="T2879" s="9">
        <f>IF(Q2879="당기",ABS(P2879)+ROW()/1000000000,"")</f>
        <v/>
      </c>
      <c r="U2879" s="9">
        <f>IF(Q2879="비교",ABS(P2879)+ROW()/1000000000,"")</f>
        <v/>
      </c>
      <c r="V2879" s="64">
        <f>IF($A2879="","",IF(COUNTIF(변동분석!$E$7:$E$506,O2879)&gt;0,"Y","N"))</f>
        <v/>
      </c>
      <c r="W2879" s="64">
        <f>IF($A2879="","",IFERROR(INDEX(계정매핑!$D$5:$D$504,MATCH($F2879&amp;"",계정매핑!$A$5:$A$504,0)),"미매핑"))</f>
        <v/>
      </c>
      <c r="X2879" s="9">
        <f>IF($A2879="","",$F2879&amp;"")</f>
        <v/>
      </c>
      <c r="Y2879" s="94">
        <f>IF($A2879="",0,IF(AE2879="직접",IF(AF2879="비귀속",$P2879,0),$P2879*(1-AG2879)*IFERROR(INDEX(계정대체기준!$F$20:$F$49,MATCH($N2879,계정대체기준!$A$20:$A$49,0)),1)))</f>
        <v/>
      </c>
      <c r="Z2879" s="94">
        <f>IF($A2879="",0,IF(AE2879="직접",IF(AF2879="신계약비",$P2879,0),$P2879*(1-AG2879)*IFERROR(INDEX(계정대체기준!$C$20:$C$49,MATCH($N2879,계정대체기준!$A$20:$A$49,0)),0)))</f>
        <v/>
      </c>
      <c r="AA2879" s="94">
        <f>IF($A2879="",0,IF(AE2879="직접",IF(OR(AF2879="유지비",AF2879="손해조사비"),$P2879,0),$P2879*(1-AG2879)*IFERROR(INDEX(계정대체기준!$D$20:$D$49,MATCH($N2879,계정대체기준!$A$20:$A$49,0)),0)))</f>
        <v/>
      </c>
      <c r="AB2879" s="94">
        <f>IF($A2879="",0,IF(AE2879="직접",IF(AF2879="수금비",$P2879,0),$P2879*(1-AG2879)*IFERROR(INDEX(계정대체기준!$E$20:$E$49,MATCH($N2879,계정대체기준!$A$20:$A$49,0)),0)))</f>
        <v/>
      </c>
      <c r="AC2879" s="9">
        <f>IF(AND($A2879&lt;&gt;"",M2879=설정!$C$20,Z2879&gt;0),Z2879+ROW()/1000000000,"")</f>
        <v/>
      </c>
      <c r="AD2879" s="94">
        <f>IF($A2879="",0,$P2879*AG2879)</f>
        <v/>
      </c>
      <c r="AE2879" s="64">
        <f>IF($A2879="","",IFERROR(INDEX(계정매핑!$E$5:$E$504,MATCH($F2879&amp;"",계정매핑!$A$5:$A$504,0))&amp;"","공통비"))</f>
        <v/>
      </c>
      <c r="AF2879" s="64">
        <f>IF($A2879="","",IF(AE2879="직접",IFERROR(INDEX(계정매핑!$F$5:$F$504,MATCH($F2879&amp;"",계정매핑!$A$5:$A$504,0))&amp;"","비귀속"),""))</f>
        <v/>
      </c>
      <c r="AG2879" s="96">
        <f>IF($A2879="",0,IF(AND(AE2879&lt;&gt;"직접",IFERROR(INDEX(계정매핑!$G$5:$G$504,MATCH($F2879&amp;"",계정매핑!$A$5:$A$504,0))&amp;"","")="유지비",COUNTIF(계정대체기준!$A$6:$A$15,$N2879)&gt;0),IFERROR(INDEX(계정대체기준!$E$6:$E$15,MATCH(VALUE($A2879&amp;""),계정대체기준!$D$6:$D$15,0)),0),0))</f>
        <v/>
      </c>
      <c r="AH2879" s="64">
        <f>IF($A2879="","",IF(AD2879=0,"",IF(OR(COUNTIF(계정대체기준!$A$77:$A$86,$N2879)&gt;0,ISNUMBER(MATCH($X2879,계정대체기준!$D$77:$D$86,0)),ISNUMBER(MATCH($F2879,계정대체기준!$D$77:$D$86,0))),"Y","N")))</f>
        <v/>
      </c>
    </row>
    <row r="2880">
      <c r="A2880" s="92" t="n">
        <v>2026</v>
      </c>
      <c r="B2880" s="92" t="n">
        <v>1</v>
      </c>
      <c r="C2880" s="92" t="inlineStr">
        <is>
          <t>5100000158</t>
        </is>
      </c>
      <c r="D2880" s="95" t="n">
        <v>46043</v>
      </c>
      <c r="E2880" s="92" t="inlineStr">
        <is>
          <t>KR</t>
        </is>
      </c>
      <c r="F2880" s="92" t="n">
        <v>62102000</v>
      </c>
      <c r="G2880" s="92" t="n">
        <v>1701</v>
      </c>
      <c r="H2880" s="93" t="n">
        <v>78000</v>
      </c>
      <c r="I2880" s="92" t="inlineStr">
        <is>
          <t>1월 해외출장 - M항공</t>
        </is>
      </c>
      <c r="J2880" s="92" t="inlineStr">
        <is>
          <t>V10001</t>
        </is>
      </c>
      <c r="K2880" s="92" t="inlineStr">
        <is>
          <t>M항공</t>
        </is>
      </c>
      <c r="M2880" s="9">
        <f>IF($A2880="","",VALUE($A2880&amp;"")*12+VALUE($B2880&amp;""))</f>
        <v/>
      </c>
      <c r="N2880" s="64">
        <f>IF($A2880="","",IFERROR(INDEX(부서매핑!$C$5:$C$504,MATCH($G2880&amp;"",부서매핑!$A$5:$A$504,0)),"미매핑"))</f>
        <v/>
      </c>
      <c r="O2880" s="9">
        <f>IF($A2880="","",N2880&amp;"|"&amp;$F2880)</f>
        <v/>
      </c>
      <c r="P2880" s="94">
        <f>IF($A2880="",0,$H2880*설정!$C$23)</f>
        <v/>
      </c>
      <c r="Q2880" s="64">
        <f>IF($A2880="","",IF(O2880&lt;&gt;원인분석!$C$9,"",IF(AND(M2880&gt;=원인분석!$C$10,M2880&lt;=원인분석!$C$11),"당기",IF(AND(M2880&gt;=원인분석!$C$12,M2880&lt;=원인분석!$C$13),"비교",""))))</f>
        <v/>
      </c>
      <c r="R2880" s="9">
        <f>IF(Q2880="","",$K2880&amp;"")</f>
        <v/>
      </c>
      <c r="S2880" s="9">
        <f>IF(Q2880="","",IF(MATCH(R2880,$R$5:$R$100000,0)=ROW()-4,ROW(),""))</f>
        <v/>
      </c>
      <c r="T2880" s="9">
        <f>IF(Q2880="당기",ABS(P2880)+ROW()/1000000000,"")</f>
        <v/>
      </c>
      <c r="U2880" s="9">
        <f>IF(Q2880="비교",ABS(P2880)+ROW()/1000000000,"")</f>
        <v/>
      </c>
      <c r="V2880" s="64">
        <f>IF($A2880="","",IF(COUNTIF(변동분석!$E$7:$E$506,O2880)&gt;0,"Y","N"))</f>
        <v/>
      </c>
      <c r="W2880" s="64">
        <f>IF($A2880="","",IFERROR(INDEX(계정매핑!$D$5:$D$504,MATCH($F2880&amp;"",계정매핑!$A$5:$A$504,0)),"미매핑"))</f>
        <v/>
      </c>
      <c r="X2880" s="9">
        <f>IF($A2880="","",$F2880&amp;"")</f>
        <v/>
      </c>
      <c r="Y2880" s="94">
        <f>IF($A2880="",0,IF(AE2880="직접",IF(AF2880="비귀속",$P2880,0),$P2880*(1-AG2880)*IFERROR(INDEX(계정대체기준!$F$20:$F$49,MATCH($N2880,계정대체기준!$A$20:$A$49,0)),1)))</f>
        <v/>
      </c>
      <c r="Z2880" s="94">
        <f>IF($A2880="",0,IF(AE2880="직접",IF(AF2880="신계약비",$P2880,0),$P2880*(1-AG2880)*IFERROR(INDEX(계정대체기준!$C$20:$C$49,MATCH($N2880,계정대체기준!$A$20:$A$49,0)),0)))</f>
        <v/>
      </c>
      <c r="AA2880" s="94">
        <f>IF($A2880="",0,IF(AE2880="직접",IF(OR(AF2880="유지비",AF2880="손해조사비"),$P2880,0),$P2880*(1-AG2880)*IFERROR(INDEX(계정대체기준!$D$20:$D$49,MATCH($N2880,계정대체기준!$A$20:$A$49,0)),0)))</f>
        <v/>
      </c>
      <c r="AB2880" s="94">
        <f>IF($A2880="",0,IF(AE2880="직접",IF(AF2880="수금비",$P2880,0),$P2880*(1-AG2880)*IFERROR(INDEX(계정대체기준!$E$20:$E$49,MATCH($N2880,계정대체기준!$A$20:$A$49,0)),0)))</f>
        <v/>
      </c>
      <c r="AC2880" s="9">
        <f>IF(AND($A2880&lt;&gt;"",M2880=설정!$C$20,Z2880&gt;0),Z2880+ROW()/1000000000,"")</f>
        <v/>
      </c>
      <c r="AD2880" s="94">
        <f>IF($A2880="",0,$P2880*AG2880)</f>
        <v/>
      </c>
      <c r="AE2880" s="64">
        <f>IF($A2880="","",IFERROR(INDEX(계정매핑!$E$5:$E$504,MATCH($F2880&amp;"",계정매핑!$A$5:$A$504,0))&amp;"","공통비"))</f>
        <v/>
      </c>
      <c r="AF2880" s="64">
        <f>IF($A2880="","",IF(AE2880="직접",IFERROR(INDEX(계정매핑!$F$5:$F$504,MATCH($F2880&amp;"",계정매핑!$A$5:$A$504,0))&amp;"","비귀속"),""))</f>
        <v/>
      </c>
      <c r="AG2880" s="96">
        <f>IF($A2880="",0,IF(AND(AE2880&lt;&gt;"직접",IFERROR(INDEX(계정매핑!$G$5:$G$504,MATCH($F2880&amp;"",계정매핑!$A$5:$A$504,0))&amp;"","")="유지비",COUNTIF(계정대체기준!$A$6:$A$15,$N2880)&gt;0),IFERROR(INDEX(계정대체기준!$E$6:$E$15,MATCH(VALUE($A2880&amp;""),계정대체기준!$D$6:$D$15,0)),0),0))</f>
        <v/>
      </c>
      <c r="AH2880" s="64">
        <f>IF($A2880="","",IF(AD2880=0,"",IF(OR(COUNTIF(계정대체기준!$A$77:$A$86,$N2880)&gt;0,ISNUMBER(MATCH($X2880,계정대체기준!$D$77:$D$86,0)),ISNUMBER(MATCH($F2880,계정대체기준!$D$77:$D$86,0))),"Y","N")))</f>
        <v/>
      </c>
    </row>
    <row r="2881">
      <c r="A2881" s="92" t="n">
        <v>2026</v>
      </c>
      <c r="B2881" s="92" t="n">
        <v>1</v>
      </c>
      <c r="C2881" s="92" t="inlineStr">
        <is>
          <t>5100000159</t>
        </is>
      </c>
      <c r="D2881" s="95" t="n">
        <v>46043</v>
      </c>
      <c r="E2881" s="92" t="inlineStr">
        <is>
          <t>KR</t>
        </is>
      </c>
      <c r="F2881" s="92" t="n">
        <v>62102000</v>
      </c>
      <c r="G2881" s="92" t="n">
        <v>1801</v>
      </c>
      <c r="H2881" s="93" t="n">
        <v>64000</v>
      </c>
      <c r="I2881" s="92" t="inlineStr">
        <is>
          <t>1월 해외출장 - N호텔</t>
        </is>
      </c>
      <c r="J2881" s="92" t="inlineStr">
        <is>
          <t>V10009</t>
        </is>
      </c>
      <c r="K2881" s="92" t="inlineStr">
        <is>
          <t>N호텔</t>
        </is>
      </c>
      <c r="M2881" s="9">
        <f>IF($A2881="","",VALUE($A2881&amp;"")*12+VALUE($B2881&amp;""))</f>
        <v/>
      </c>
      <c r="N2881" s="64">
        <f>IF($A2881="","",IFERROR(INDEX(부서매핑!$C$5:$C$504,MATCH($G2881&amp;"",부서매핑!$A$5:$A$504,0)),"미매핑"))</f>
        <v/>
      </c>
      <c r="O2881" s="9">
        <f>IF($A2881="","",N2881&amp;"|"&amp;$F2881)</f>
        <v/>
      </c>
      <c r="P2881" s="94">
        <f>IF($A2881="",0,$H2881*설정!$C$23)</f>
        <v/>
      </c>
      <c r="Q2881" s="64">
        <f>IF($A2881="","",IF(O2881&lt;&gt;원인분석!$C$9,"",IF(AND(M2881&gt;=원인분석!$C$10,M2881&lt;=원인분석!$C$11),"당기",IF(AND(M2881&gt;=원인분석!$C$12,M2881&lt;=원인분석!$C$13),"비교",""))))</f>
        <v/>
      </c>
      <c r="R2881" s="9">
        <f>IF(Q2881="","",$K2881&amp;"")</f>
        <v/>
      </c>
      <c r="S2881" s="9">
        <f>IF(Q2881="","",IF(MATCH(R2881,$R$5:$R$100000,0)=ROW()-4,ROW(),""))</f>
        <v/>
      </c>
      <c r="T2881" s="9">
        <f>IF(Q2881="당기",ABS(P2881)+ROW()/1000000000,"")</f>
        <v/>
      </c>
      <c r="U2881" s="9">
        <f>IF(Q2881="비교",ABS(P2881)+ROW()/1000000000,"")</f>
        <v/>
      </c>
      <c r="V2881" s="64">
        <f>IF($A2881="","",IF(COUNTIF(변동분석!$E$7:$E$506,O2881)&gt;0,"Y","N"))</f>
        <v/>
      </c>
      <c r="W2881" s="64">
        <f>IF($A2881="","",IFERROR(INDEX(계정매핑!$D$5:$D$504,MATCH($F2881&amp;"",계정매핑!$A$5:$A$504,0)),"미매핑"))</f>
        <v/>
      </c>
      <c r="X2881" s="9">
        <f>IF($A2881="","",$F2881&amp;"")</f>
        <v/>
      </c>
      <c r="Y2881" s="94">
        <f>IF($A2881="",0,IF(AE2881="직접",IF(AF2881="비귀속",$P2881,0),$P2881*(1-AG2881)*IFERROR(INDEX(계정대체기준!$F$20:$F$49,MATCH($N2881,계정대체기준!$A$20:$A$49,0)),1)))</f>
        <v/>
      </c>
      <c r="Z2881" s="94">
        <f>IF($A2881="",0,IF(AE2881="직접",IF(AF2881="신계약비",$P2881,0),$P2881*(1-AG2881)*IFERROR(INDEX(계정대체기준!$C$20:$C$49,MATCH($N2881,계정대체기준!$A$20:$A$49,0)),0)))</f>
        <v/>
      </c>
      <c r="AA2881" s="94">
        <f>IF($A2881="",0,IF(AE2881="직접",IF(OR(AF2881="유지비",AF2881="손해조사비"),$P2881,0),$P2881*(1-AG2881)*IFERROR(INDEX(계정대체기준!$D$20:$D$49,MATCH($N2881,계정대체기준!$A$20:$A$49,0)),0)))</f>
        <v/>
      </c>
      <c r="AB2881" s="94">
        <f>IF($A2881="",0,IF(AE2881="직접",IF(AF2881="수금비",$P2881,0),$P2881*(1-AG2881)*IFERROR(INDEX(계정대체기준!$E$20:$E$49,MATCH($N2881,계정대체기준!$A$20:$A$49,0)),0)))</f>
        <v/>
      </c>
      <c r="AC2881" s="9">
        <f>IF(AND($A2881&lt;&gt;"",M2881=설정!$C$20,Z2881&gt;0),Z2881+ROW()/1000000000,"")</f>
        <v/>
      </c>
      <c r="AD2881" s="94">
        <f>IF($A2881="",0,$P2881*AG2881)</f>
        <v/>
      </c>
      <c r="AE2881" s="64">
        <f>IF($A2881="","",IFERROR(INDEX(계정매핑!$E$5:$E$504,MATCH($F2881&amp;"",계정매핑!$A$5:$A$504,0))&amp;"","공통비"))</f>
        <v/>
      </c>
      <c r="AF2881" s="64">
        <f>IF($A2881="","",IF(AE2881="직접",IFERROR(INDEX(계정매핑!$F$5:$F$504,MATCH($F2881&amp;"",계정매핑!$A$5:$A$504,0))&amp;"","비귀속"),""))</f>
        <v/>
      </c>
      <c r="AG2881" s="96">
        <f>IF($A2881="",0,IF(AND(AE2881&lt;&gt;"직접",IFERROR(INDEX(계정매핑!$G$5:$G$504,MATCH($F2881&amp;"",계정매핑!$A$5:$A$504,0))&amp;"","")="유지비",COUNTIF(계정대체기준!$A$6:$A$15,$N2881)&gt;0),IFERROR(INDEX(계정대체기준!$E$6:$E$15,MATCH(VALUE($A2881&amp;""),계정대체기준!$D$6:$D$15,0)),0),0))</f>
        <v/>
      </c>
      <c r="AH2881" s="64">
        <f>IF($A2881="","",IF(AD2881=0,"",IF(OR(COUNTIF(계정대체기준!$A$77:$A$86,$N2881)&gt;0,ISNUMBER(MATCH($X2881,계정대체기준!$D$77:$D$86,0)),ISNUMBER(MATCH($F2881,계정대체기준!$D$77:$D$86,0))),"Y","N")))</f>
        <v/>
      </c>
    </row>
    <row r="2882">
      <c r="A2882" s="92" t="n">
        <v>2026</v>
      </c>
      <c r="B2882" s="92" t="n">
        <v>1</v>
      </c>
      <c r="C2882" s="92" t="inlineStr">
        <is>
          <t>5100000160</t>
        </is>
      </c>
      <c r="D2882" s="95" t="n">
        <v>46043</v>
      </c>
      <c r="E2882" s="92" t="inlineStr">
        <is>
          <t>KR</t>
        </is>
      </c>
      <c r="F2882" s="92" t="n">
        <v>62201000</v>
      </c>
      <c r="G2882" s="92" t="n">
        <v>1951</v>
      </c>
      <c r="H2882" s="93" t="n">
        <v>276000</v>
      </c>
      <c r="I2882" s="92" t="inlineStr">
        <is>
          <t>1월 통신요금 - P통신</t>
        </is>
      </c>
      <c r="J2882" s="92" t="inlineStr">
        <is>
          <t>V10014</t>
        </is>
      </c>
      <c r="K2882" s="92" t="inlineStr">
        <is>
          <t>P통신</t>
        </is>
      </c>
      <c r="M2882" s="9">
        <f>IF($A2882="","",VALUE($A2882&amp;"")*12+VALUE($B2882&amp;""))</f>
        <v/>
      </c>
      <c r="N2882" s="64">
        <f>IF($A2882="","",IFERROR(INDEX(부서매핑!$C$5:$C$504,MATCH($G2882&amp;"",부서매핑!$A$5:$A$504,0)),"미매핑"))</f>
        <v/>
      </c>
      <c r="O2882" s="9">
        <f>IF($A2882="","",N2882&amp;"|"&amp;$F2882)</f>
        <v/>
      </c>
      <c r="P2882" s="94">
        <f>IF($A2882="",0,$H2882*설정!$C$23)</f>
        <v/>
      </c>
      <c r="Q2882" s="64">
        <f>IF($A2882="","",IF(O2882&lt;&gt;원인분석!$C$9,"",IF(AND(M2882&gt;=원인분석!$C$10,M2882&lt;=원인분석!$C$11),"당기",IF(AND(M2882&gt;=원인분석!$C$12,M2882&lt;=원인분석!$C$13),"비교",""))))</f>
        <v/>
      </c>
      <c r="R2882" s="9">
        <f>IF(Q2882="","",$K2882&amp;"")</f>
        <v/>
      </c>
      <c r="S2882" s="9">
        <f>IF(Q2882="","",IF(MATCH(R2882,$R$5:$R$100000,0)=ROW()-4,ROW(),""))</f>
        <v/>
      </c>
      <c r="T2882" s="9">
        <f>IF(Q2882="당기",ABS(P2882)+ROW()/1000000000,"")</f>
        <v/>
      </c>
      <c r="U2882" s="9">
        <f>IF(Q2882="비교",ABS(P2882)+ROW()/1000000000,"")</f>
        <v/>
      </c>
      <c r="V2882" s="64">
        <f>IF($A2882="","",IF(COUNTIF(변동분석!$E$7:$E$506,O2882)&gt;0,"Y","N"))</f>
        <v/>
      </c>
      <c r="W2882" s="64">
        <f>IF($A2882="","",IFERROR(INDEX(계정매핑!$D$5:$D$504,MATCH($F2882&amp;"",계정매핑!$A$5:$A$504,0)),"미매핑"))</f>
        <v/>
      </c>
      <c r="X2882" s="9">
        <f>IF($A2882="","",$F2882&amp;"")</f>
        <v/>
      </c>
      <c r="Y2882" s="94">
        <f>IF($A2882="",0,IF(AE2882="직접",IF(AF2882="비귀속",$P2882,0),$P2882*(1-AG2882)*IFERROR(INDEX(계정대체기준!$F$20:$F$49,MATCH($N2882,계정대체기준!$A$20:$A$49,0)),1)))</f>
        <v/>
      </c>
      <c r="Z2882" s="94">
        <f>IF($A2882="",0,IF(AE2882="직접",IF(AF2882="신계약비",$P2882,0),$P2882*(1-AG2882)*IFERROR(INDEX(계정대체기준!$C$20:$C$49,MATCH($N2882,계정대체기준!$A$20:$A$49,0)),0)))</f>
        <v/>
      </c>
      <c r="AA2882" s="94">
        <f>IF($A2882="",0,IF(AE2882="직접",IF(OR(AF2882="유지비",AF2882="손해조사비"),$P2882,0),$P2882*(1-AG2882)*IFERROR(INDEX(계정대체기준!$D$20:$D$49,MATCH($N2882,계정대체기준!$A$20:$A$49,0)),0)))</f>
        <v/>
      </c>
      <c r="AB2882" s="94">
        <f>IF($A2882="",0,IF(AE2882="직접",IF(AF2882="수금비",$P2882,0),$P2882*(1-AG2882)*IFERROR(INDEX(계정대체기준!$E$20:$E$49,MATCH($N2882,계정대체기준!$A$20:$A$49,0)),0)))</f>
        <v/>
      </c>
      <c r="AC2882" s="9">
        <f>IF(AND($A2882&lt;&gt;"",M2882=설정!$C$20,Z2882&gt;0),Z2882+ROW()/1000000000,"")</f>
        <v/>
      </c>
      <c r="AD2882" s="94">
        <f>IF($A2882="",0,$P2882*AG2882)</f>
        <v/>
      </c>
      <c r="AE2882" s="64">
        <f>IF($A2882="","",IFERROR(INDEX(계정매핑!$E$5:$E$504,MATCH($F2882&amp;"",계정매핑!$A$5:$A$504,0))&amp;"","공통비"))</f>
        <v/>
      </c>
      <c r="AF2882" s="64">
        <f>IF($A2882="","",IF(AE2882="직접",IFERROR(INDEX(계정매핑!$F$5:$F$504,MATCH($F2882&amp;"",계정매핑!$A$5:$A$504,0))&amp;"","비귀속"),""))</f>
        <v/>
      </c>
      <c r="AG2882" s="96">
        <f>IF($A2882="",0,IF(AND(AE2882&lt;&gt;"직접",IFERROR(INDEX(계정매핑!$G$5:$G$504,MATCH($F2882&amp;"",계정매핑!$A$5:$A$504,0))&amp;"","")="유지비",COUNTIF(계정대체기준!$A$6:$A$15,$N2882)&gt;0),IFERROR(INDEX(계정대체기준!$E$6:$E$15,MATCH(VALUE($A2882&amp;""),계정대체기준!$D$6:$D$15,0)),0),0))</f>
        <v/>
      </c>
      <c r="AH2882" s="64">
        <f>IF($A2882="","",IF(AD2882=0,"",IF(OR(COUNTIF(계정대체기준!$A$77:$A$86,$N2882)&gt;0,ISNUMBER(MATCH($X2882,계정대체기준!$D$77:$D$86,0)),ISNUMBER(MATCH($F2882,계정대체기준!$D$77:$D$86,0))),"Y","N")))</f>
        <v/>
      </c>
    </row>
    <row r="2883">
      <c r="A2883" s="92" t="n">
        <v>2026</v>
      </c>
      <c r="B2883" s="92" t="n">
        <v>1</v>
      </c>
      <c r="C2883" s="92" t="inlineStr">
        <is>
          <t>5100000161</t>
        </is>
      </c>
      <c r="D2883" s="95" t="n">
        <v>46043</v>
      </c>
      <c r="E2883" s="92" t="inlineStr">
        <is>
          <t>KR</t>
        </is>
      </c>
      <c r="F2883" s="92" t="n">
        <v>62401000</v>
      </c>
      <c r="G2883" s="92" t="n">
        <v>1401</v>
      </c>
      <c r="H2883" s="93" t="n">
        <v>413000</v>
      </c>
      <c r="I2883" s="92" t="inlineStr">
        <is>
          <t>1월 인쇄물 제작 - G인쇄</t>
        </is>
      </c>
      <c r="J2883" s="92" t="inlineStr">
        <is>
          <t>V10004</t>
        </is>
      </c>
      <c r="K2883" s="92" t="inlineStr">
        <is>
          <t>G인쇄</t>
        </is>
      </c>
      <c r="M2883" s="9">
        <f>IF($A2883="","",VALUE($A2883&amp;"")*12+VALUE($B2883&amp;""))</f>
        <v/>
      </c>
      <c r="N2883" s="64">
        <f>IF($A2883="","",IFERROR(INDEX(부서매핑!$C$5:$C$504,MATCH($G2883&amp;"",부서매핑!$A$5:$A$504,0)),"미매핑"))</f>
        <v/>
      </c>
      <c r="O2883" s="9">
        <f>IF($A2883="","",N2883&amp;"|"&amp;$F2883)</f>
        <v/>
      </c>
      <c r="P2883" s="94">
        <f>IF($A2883="",0,$H2883*설정!$C$23)</f>
        <v/>
      </c>
      <c r="Q2883" s="64">
        <f>IF($A2883="","",IF(O2883&lt;&gt;원인분석!$C$9,"",IF(AND(M2883&gt;=원인분석!$C$10,M2883&lt;=원인분석!$C$11),"당기",IF(AND(M2883&gt;=원인분석!$C$12,M2883&lt;=원인분석!$C$13),"비교",""))))</f>
        <v/>
      </c>
      <c r="R2883" s="9">
        <f>IF(Q2883="","",$K2883&amp;"")</f>
        <v/>
      </c>
      <c r="S2883" s="9">
        <f>IF(Q2883="","",IF(MATCH(R2883,$R$5:$R$100000,0)=ROW()-4,ROW(),""))</f>
        <v/>
      </c>
      <c r="T2883" s="9">
        <f>IF(Q2883="당기",ABS(P2883)+ROW()/1000000000,"")</f>
        <v/>
      </c>
      <c r="U2883" s="9">
        <f>IF(Q2883="비교",ABS(P2883)+ROW()/1000000000,"")</f>
        <v/>
      </c>
      <c r="V2883" s="64">
        <f>IF($A2883="","",IF(COUNTIF(변동분석!$E$7:$E$506,O2883)&gt;0,"Y","N"))</f>
        <v/>
      </c>
      <c r="W2883" s="64">
        <f>IF($A2883="","",IFERROR(INDEX(계정매핑!$D$5:$D$504,MATCH($F2883&amp;"",계정매핑!$A$5:$A$504,0)),"미매핑"))</f>
        <v/>
      </c>
      <c r="X2883" s="9">
        <f>IF($A2883="","",$F2883&amp;"")</f>
        <v/>
      </c>
      <c r="Y2883" s="94">
        <f>IF($A2883="",0,IF(AE2883="직접",IF(AF2883="비귀속",$P2883,0),$P2883*(1-AG2883)*IFERROR(INDEX(계정대체기준!$F$20:$F$49,MATCH($N2883,계정대체기준!$A$20:$A$49,0)),1)))</f>
        <v/>
      </c>
      <c r="Z2883" s="94">
        <f>IF($A2883="",0,IF(AE2883="직접",IF(AF2883="신계약비",$P2883,0),$P2883*(1-AG2883)*IFERROR(INDEX(계정대체기준!$C$20:$C$49,MATCH($N2883,계정대체기준!$A$20:$A$49,0)),0)))</f>
        <v/>
      </c>
      <c r="AA2883" s="94">
        <f>IF($A2883="",0,IF(AE2883="직접",IF(OR(AF2883="유지비",AF2883="손해조사비"),$P2883,0),$P2883*(1-AG2883)*IFERROR(INDEX(계정대체기준!$D$20:$D$49,MATCH($N2883,계정대체기준!$A$20:$A$49,0)),0)))</f>
        <v/>
      </c>
      <c r="AB2883" s="94">
        <f>IF($A2883="",0,IF(AE2883="직접",IF(AF2883="수금비",$P2883,0),$P2883*(1-AG2883)*IFERROR(INDEX(계정대체기준!$E$20:$E$49,MATCH($N2883,계정대체기준!$A$20:$A$49,0)),0)))</f>
        <v/>
      </c>
      <c r="AC2883" s="9">
        <f>IF(AND($A2883&lt;&gt;"",M2883=설정!$C$20,Z2883&gt;0),Z2883+ROW()/1000000000,"")</f>
        <v/>
      </c>
      <c r="AD2883" s="94">
        <f>IF($A2883="",0,$P2883*AG2883)</f>
        <v/>
      </c>
      <c r="AE2883" s="64">
        <f>IF($A2883="","",IFERROR(INDEX(계정매핑!$E$5:$E$504,MATCH($F2883&amp;"",계정매핑!$A$5:$A$504,0))&amp;"","공통비"))</f>
        <v/>
      </c>
      <c r="AF2883" s="64">
        <f>IF($A2883="","",IF(AE2883="직접",IFERROR(INDEX(계정매핑!$F$5:$F$504,MATCH($F2883&amp;"",계정매핑!$A$5:$A$504,0))&amp;"","비귀속"),""))</f>
        <v/>
      </c>
      <c r="AG2883" s="96">
        <f>IF($A2883="",0,IF(AND(AE2883&lt;&gt;"직접",IFERROR(INDEX(계정매핑!$G$5:$G$504,MATCH($F2883&amp;"",계정매핑!$A$5:$A$504,0))&amp;"","")="유지비",COUNTIF(계정대체기준!$A$6:$A$15,$N2883)&gt;0),IFERROR(INDEX(계정대체기준!$E$6:$E$15,MATCH(VALUE($A2883&amp;""),계정대체기준!$D$6:$D$15,0)),0),0))</f>
        <v/>
      </c>
      <c r="AH2883" s="64">
        <f>IF($A2883="","",IF(AD2883=0,"",IF(OR(COUNTIF(계정대체기준!$A$77:$A$86,$N2883)&gt;0,ISNUMBER(MATCH($X2883,계정대체기준!$D$77:$D$86,0)),ISNUMBER(MATCH($F2883,계정대체기준!$D$77:$D$86,0))),"Y","N")))</f>
        <v/>
      </c>
    </row>
    <row r="2884">
      <c r="A2884" s="92" t="n">
        <v>2026</v>
      </c>
      <c r="B2884" s="92" t="n">
        <v>1</v>
      </c>
      <c r="C2884" s="92" t="inlineStr">
        <is>
          <t>5100000162</t>
        </is>
      </c>
      <c r="D2884" s="95" t="n">
        <v>46043</v>
      </c>
      <c r="E2884" s="92" t="inlineStr">
        <is>
          <t>KR</t>
        </is>
      </c>
      <c r="F2884" s="92" t="n">
        <v>62701000</v>
      </c>
      <c r="G2884" s="92" t="n">
        <v>1501</v>
      </c>
      <c r="H2884" s="93" t="n">
        <v>105511000</v>
      </c>
      <c r="I2884" s="92" t="inlineStr">
        <is>
          <t>1월 광고 집행 - E미디어</t>
        </is>
      </c>
      <c r="J2884" s="92" t="inlineStr">
        <is>
          <t>V10033</t>
        </is>
      </c>
      <c r="K2884" s="92" t="inlineStr">
        <is>
          <t>E미디어</t>
        </is>
      </c>
      <c r="M2884" s="9">
        <f>IF($A2884="","",VALUE($A2884&amp;"")*12+VALUE($B2884&amp;""))</f>
        <v/>
      </c>
      <c r="N2884" s="64">
        <f>IF($A2884="","",IFERROR(INDEX(부서매핑!$C$5:$C$504,MATCH($G2884&amp;"",부서매핑!$A$5:$A$504,0)),"미매핑"))</f>
        <v/>
      </c>
      <c r="O2884" s="9">
        <f>IF($A2884="","",N2884&amp;"|"&amp;$F2884)</f>
        <v/>
      </c>
      <c r="P2884" s="94">
        <f>IF($A2884="",0,$H2884*설정!$C$23)</f>
        <v/>
      </c>
      <c r="Q2884" s="64">
        <f>IF($A2884="","",IF(O2884&lt;&gt;원인분석!$C$9,"",IF(AND(M2884&gt;=원인분석!$C$10,M2884&lt;=원인분석!$C$11),"당기",IF(AND(M2884&gt;=원인분석!$C$12,M2884&lt;=원인분석!$C$13),"비교",""))))</f>
        <v/>
      </c>
      <c r="R2884" s="9">
        <f>IF(Q2884="","",$K2884&amp;"")</f>
        <v/>
      </c>
      <c r="S2884" s="9">
        <f>IF(Q2884="","",IF(MATCH(R2884,$R$5:$R$100000,0)=ROW()-4,ROW(),""))</f>
        <v/>
      </c>
      <c r="T2884" s="9">
        <f>IF(Q2884="당기",ABS(P2884)+ROW()/1000000000,"")</f>
        <v/>
      </c>
      <c r="U2884" s="9">
        <f>IF(Q2884="비교",ABS(P2884)+ROW()/1000000000,"")</f>
        <v/>
      </c>
      <c r="V2884" s="64">
        <f>IF($A2884="","",IF(COUNTIF(변동분석!$E$7:$E$506,O2884)&gt;0,"Y","N"))</f>
        <v/>
      </c>
      <c r="W2884" s="64">
        <f>IF($A2884="","",IFERROR(INDEX(계정매핑!$D$5:$D$504,MATCH($F2884&amp;"",계정매핑!$A$5:$A$504,0)),"미매핑"))</f>
        <v/>
      </c>
      <c r="X2884" s="9">
        <f>IF($A2884="","",$F2884&amp;"")</f>
        <v/>
      </c>
      <c r="Y2884" s="94">
        <f>IF($A2884="",0,IF(AE2884="직접",IF(AF2884="비귀속",$P2884,0),$P2884*(1-AG2884)*IFERROR(INDEX(계정대체기준!$F$20:$F$49,MATCH($N2884,계정대체기준!$A$20:$A$49,0)),1)))</f>
        <v/>
      </c>
      <c r="Z2884" s="94">
        <f>IF($A2884="",0,IF(AE2884="직접",IF(AF2884="신계약비",$P2884,0),$P2884*(1-AG2884)*IFERROR(INDEX(계정대체기준!$C$20:$C$49,MATCH($N2884,계정대체기준!$A$20:$A$49,0)),0)))</f>
        <v/>
      </c>
      <c r="AA2884" s="94">
        <f>IF($A2884="",0,IF(AE2884="직접",IF(OR(AF2884="유지비",AF2884="손해조사비"),$P2884,0),$P2884*(1-AG2884)*IFERROR(INDEX(계정대체기준!$D$20:$D$49,MATCH($N2884,계정대체기준!$A$20:$A$49,0)),0)))</f>
        <v/>
      </c>
      <c r="AB2884" s="94">
        <f>IF($A2884="",0,IF(AE2884="직접",IF(AF2884="수금비",$P2884,0),$P2884*(1-AG2884)*IFERROR(INDEX(계정대체기준!$E$20:$E$49,MATCH($N2884,계정대체기준!$A$20:$A$49,0)),0)))</f>
        <v/>
      </c>
      <c r="AC2884" s="9">
        <f>IF(AND($A2884&lt;&gt;"",M2884=설정!$C$20,Z2884&gt;0),Z2884+ROW()/1000000000,"")</f>
        <v/>
      </c>
      <c r="AD2884" s="94">
        <f>IF($A2884="",0,$P2884*AG2884)</f>
        <v/>
      </c>
      <c r="AE2884" s="64">
        <f>IF($A2884="","",IFERROR(INDEX(계정매핑!$E$5:$E$504,MATCH($F2884&amp;"",계정매핑!$A$5:$A$504,0))&amp;"","공통비"))</f>
        <v/>
      </c>
      <c r="AF2884" s="64">
        <f>IF($A2884="","",IF(AE2884="직접",IFERROR(INDEX(계정매핑!$F$5:$F$504,MATCH($F2884&amp;"",계정매핑!$A$5:$A$504,0))&amp;"","비귀속"),""))</f>
        <v/>
      </c>
      <c r="AG2884" s="96">
        <f>IF($A2884="",0,IF(AND(AE2884&lt;&gt;"직접",IFERROR(INDEX(계정매핑!$G$5:$G$504,MATCH($F2884&amp;"",계정매핑!$A$5:$A$504,0))&amp;"","")="유지비",COUNTIF(계정대체기준!$A$6:$A$15,$N2884)&gt;0),IFERROR(INDEX(계정대체기준!$E$6:$E$15,MATCH(VALUE($A2884&amp;""),계정대체기준!$D$6:$D$15,0)),0),0))</f>
        <v/>
      </c>
      <c r="AH2884" s="64">
        <f>IF($A2884="","",IF(AD2884=0,"",IF(OR(COUNTIF(계정대체기준!$A$77:$A$86,$N2884)&gt;0,ISNUMBER(MATCH($X2884,계정대체기준!$D$77:$D$86,0)),ISNUMBER(MATCH($F2884,계정대체기준!$D$77:$D$86,0))),"Y","N")))</f>
        <v/>
      </c>
    </row>
    <row r="2885">
      <c r="A2885" s="92" t="n">
        <v>2026</v>
      </c>
      <c r="B2885" s="92" t="n">
        <v>1</v>
      </c>
      <c r="C2885" s="92" t="inlineStr">
        <is>
          <t>5100000163</t>
        </is>
      </c>
      <c r="D2885" s="95" t="n">
        <v>46043</v>
      </c>
      <c r="E2885" s="92" t="inlineStr">
        <is>
          <t>KR</t>
        </is>
      </c>
      <c r="F2885" s="92" t="n">
        <v>62801000</v>
      </c>
      <c r="G2885" s="92" t="n">
        <v>1301</v>
      </c>
      <c r="H2885" s="93" t="n">
        <v>6002000</v>
      </c>
      <c r="I2885" s="92" t="inlineStr">
        <is>
          <t>1월 사내교육 - U에듀</t>
        </is>
      </c>
      <c r="J2885" s="92" t="inlineStr">
        <is>
          <t>V10031</t>
        </is>
      </c>
      <c r="K2885" s="92" t="inlineStr">
        <is>
          <t>U에듀</t>
        </is>
      </c>
      <c r="M2885" s="9">
        <f>IF($A2885="","",VALUE($A2885&amp;"")*12+VALUE($B2885&amp;""))</f>
        <v/>
      </c>
      <c r="N2885" s="64">
        <f>IF($A2885="","",IFERROR(INDEX(부서매핑!$C$5:$C$504,MATCH($G2885&amp;"",부서매핑!$A$5:$A$504,0)),"미매핑"))</f>
        <v/>
      </c>
      <c r="O2885" s="9">
        <f>IF($A2885="","",N2885&amp;"|"&amp;$F2885)</f>
        <v/>
      </c>
      <c r="P2885" s="94">
        <f>IF($A2885="",0,$H2885*설정!$C$23)</f>
        <v/>
      </c>
      <c r="Q2885" s="64">
        <f>IF($A2885="","",IF(O2885&lt;&gt;원인분석!$C$9,"",IF(AND(M2885&gt;=원인분석!$C$10,M2885&lt;=원인분석!$C$11),"당기",IF(AND(M2885&gt;=원인분석!$C$12,M2885&lt;=원인분석!$C$13),"비교",""))))</f>
        <v/>
      </c>
      <c r="R2885" s="9">
        <f>IF(Q2885="","",$K2885&amp;"")</f>
        <v/>
      </c>
      <c r="S2885" s="9">
        <f>IF(Q2885="","",IF(MATCH(R2885,$R$5:$R$100000,0)=ROW()-4,ROW(),""))</f>
        <v/>
      </c>
      <c r="T2885" s="9">
        <f>IF(Q2885="당기",ABS(P2885)+ROW()/1000000000,"")</f>
        <v/>
      </c>
      <c r="U2885" s="9">
        <f>IF(Q2885="비교",ABS(P2885)+ROW()/1000000000,"")</f>
        <v/>
      </c>
      <c r="V2885" s="64">
        <f>IF($A2885="","",IF(COUNTIF(변동분석!$E$7:$E$506,O2885)&gt;0,"Y","N"))</f>
        <v/>
      </c>
      <c r="W2885" s="64">
        <f>IF($A2885="","",IFERROR(INDEX(계정매핑!$D$5:$D$504,MATCH($F2885&amp;"",계정매핑!$A$5:$A$504,0)),"미매핑"))</f>
        <v/>
      </c>
      <c r="X2885" s="9">
        <f>IF($A2885="","",$F2885&amp;"")</f>
        <v/>
      </c>
      <c r="Y2885" s="94">
        <f>IF($A2885="",0,IF(AE2885="직접",IF(AF2885="비귀속",$P2885,0),$P2885*(1-AG2885)*IFERROR(INDEX(계정대체기준!$F$20:$F$49,MATCH($N2885,계정대체기준!$A$20:$A$49,0)),1)))</f>
        <v/>
      </c>
      <c r="Z2885" s="94">
        <f>IF($A2885="",0,IF(AE2885="직접",IF(AF2885="신계약비",$P2885,0),$P2885*(1-AG2885)*IFERROR(INDEX(계정대체기준!$C$20:$C$49,MATCH($N2885,계정대체기준!$A$20:$A$49,0)),0)))</f>
        <v/>
      </c>
      <c r="AA2885" s="94">
        <f>IF($A2885="",0,IF(AE2885="직접",IF(OR(AF2885="유지비",AF2885="손해조사비"),$P2885,0),$P2885*(1-AG2885)*IFERROR(INDEX(계정대체기준!$D$20:$D$49,MATCH($N2885,계정대체기준!$A$20:$A$49,0)),0)))</f>
        <v/>
      </c>
      <c r="AB2885" s="94">
        <f>IF($A2885="",0,IF(AE2885="직접",IF(AF2885="수금비",$P2885,0),$P2885*(1-AG2885)*IFERROR(INDEX(계정대체기준!$E$20:$E$49,MATCH($N2885,계정대체기준!$A$20:$A$49,0)),0)))</f>
        <v/>
      </c>
      <c r="AC2885" s="9">
        <f>IF(AND($A2885&lt;&gt;"",M2885=설정!$C$20,Z2885&gt;0),Z2885+ROW()/1000000000,"")</f>
        <v/>
      </c>
      <c r="AD2885" s="94">
        <f>IF($A2885="",0,$P2885*AG2885)</f>
        <v/>
      </c>
      <c r="AE2885" s="64">
        <f>IF($A2885="","",IFERROR(INDEX(계정매핑!$E$5:$E$504,MATCH($F2885&amp;"",계정매핑!$A$5:$A$504,0))&amp;"","공통비"))</f>
        <v/>
      </c>
      <c r="AF2885" s="64">
        <f>IF($A2885="","",IF(AE2885="직접",IFERROR(INDEX(계정매핑!$F$5:$F$504,MATCH($F2885&amp;"",계정매핑!$A$5:$A$504,0))&amp;"","비귀속"),""))</f>
        <v/>
      </c>
      <c r="AG2885" s="96">
        <f>IF($A2885="",0,IF(AND(AE2885&lt;&gt;"직접",IFERROR(INDEX(계정매핑!$G$5:$G$504,MATCH($F2885&amp;"",계정매핑!$A$5:$A$504,0))&amp;"","")="유지비",COUNTIF(계정대체기준!$A$6:$A$15,$N2885)&gt;0),IFERROR(INDEX(계정대체기준!$E$6:$E$15,MATCH(VALUE($A2885&amp;""),계정대체기준!$D$6:$D$15,0)),0),0))</f>
        <v/>
      </c>
      <c r="AH2885" s="64">
        <f>IF($A2885="","",IF(AD2885=0,"",IF(OR(COUNTIF(계정대체기준!$A$77:$A$86,$N2885)&gt;0,ISNUMBER(MATCH($X2885,계정대체기준!$D$77:$D$86,0)),ISNUMBER(MATCH($F2885,계정대체기준!$D$77:$D$86,0))),"Y","N")))</f>
        <v/>
      </c>
    </row>
    <row r="2886">
      <c r="A2886" s="92" t="n">
        <v>2026</v>
      </c>
      <c r="B2886" s="92" t="n">
        <v>1</v>
      </c>
      <c r="C2886" s="92" t="inlineStr">
        <is>
          <t>5100000164</t>
        </is>
      </c>
      <c r="D2886" s="95" t="n">
        <v>46043</v>
      </c>
      <c r="E2886" s="92" t="inlineStr">
        <is>
          <t>KR</t>
        </is>
      </c>
      <c r="F2886" s="92" t="n">
        <v>62902000</v>
      </c>
      <c r="G2886" s="92" t="n">
        <v>1801</v>
      </c>
      <c r="H2886" s="93" t="n">
        <v>1785000</v>
      </c>
      <c r="I2886" s="92" t="inlineStr">
        <is>
          <t>1월 콜 위탁 수수료(건별)</t>
        </is>
      </c>
      <c r="J2886" s="92" t="inlineStr">
        <is>
          <t>V10016</t>
        </is>
      </c>
      <c r="K2886" s="92" t="inlineStr">
        <is>
          <t>J콜센터</t>
        </is>
      </c>
      <c r="M2886" s="9">
        <f>IF($A2886="","",VALUE($A2886&amp;"")*12+VALUE($B2886&amp;""))</f>
        <v/>
      </c>
      <c r="N2886" s="64">
        <f>IF($A2886="","",IFERROR(INDEX(부서매핑!$C$5:$C$504,MATCH($G2886&amp;"",부서매핑!$A$5:$A$504,0)),"미매핑"))</f>
        <v/>
      </c>
      <c r="O2886" s="9">
        <f>IF($A2886="","",N2886&amp;"|"&amp;$F2886)</f>
        <v/>
      </c>
      <c r="P2886" s="94">
        <f>IF($A2886="",0,$H2886*설정!$C$23)</f>
        <v/>
      </c>
      <c r="Q2886" s="64">
        <f>IF($A2886="","",IF(O2886&lt;&gt;원인분석!$C$9,"",IF(AND(M2886&gt;=원인분석!$C$10,M2886&lt;=원인분석!$C$11),"당기",IF(AND(M2886&gt;=원인분석!$C$12,M2886&lt;=원인분석!$C$13),"비교",""))))</f>
        <v/>
      </c>
      <c r="R2886" s="9">
        <f>IF(Q2886="","",$K2886&amp;"")</f>
        <v/>
      </c>
      <c r="S2886" s="9">
        <f>IF(Q2886="","",IF(MATCH(R2886,$R$5:$R$100000,0)=ROW()-4,ROW(),""))</f>
        <v/>
      </c>
      <c r="T2886" s="9">
        <f>IF(Q2886="당기",ABS(P2886)+ROW()/1000000000,"")</f>
        <v/>
      </c>
      <c r="U2886" s="9">
        <f>IF(Q2886="비교",ABS(P2886)+ROW()/1000000000,"")</f>
        <v/>
      </c>
      <c r="V2886" s="64">
        <f>IF($A2886="","",IF(COUNTIF(변동분석!$E$7:$E$506,O2886)&gt;0,"Y","N"))</f>
        <v/>
      </c>
      <c r="W2886" s="64">
        <f>IF($A2886="","",IFERROR(INDEX(계정매핑!$D$5:$D$504,MATCH($F2886&amp;"",계정매핑!$A$5:$A$504,0)),"미매핑"))</f>
        <v/>
      </c>
      <c r="X2886" s="9">
        <f>IF($A2886="","",$F2886&amp;"")</f>
        <v/>
      </c>
      <c r="Y2886" s="94">
        <f>IF($A2886="",0,IF(AE2886="직접",IF(AF2886="비귀속",$P2886,0),$P2886*(1-AG2886)*IFERROR(INDEX(계정대체기준!$F$20:$F$49,MATCH($N2886,계정대체기준!$A$20:$A$49,0)),1)))</f>
        <v/>
      </c>
      <c r="Z2886" s="94">
        <f>IF($A2886="",0,IF(AE2886="직접",IF(AF2886="신계약비",$P2886,0),$P2886*(1-AG2886)*IFERROR(INDEX(계정대체기준!$C$20:$C$49,MATCH($N2886,계정대체기준!$A$20:$A$49,0)),0)))</f>
        <v/>
      </c>
      <c r="AA2886" s="94">
        <f>IF($A2886="",0,IF(AE2886="직접",IF(OR(AF2886="유지비",AF2886="손해조사비"),$P2886,0),$P2886*(1-AG2886)*IFERROR(INDEX(계정대체기준!$D$20:$D$49,MATCH($N2886,계정대체기준!$A$20:$A$49,0)),0)))</f>
        <v/>
      </c>
      <c r="AB2886" s="94">
        <f>IF($A2886="",0,IF(AE2886="직접",IF(AF2886="수금비",$P2886,0),$P2886*(1-AG2886)*IFERROR(INDEX(계정대체기준!$E$20:$E$49,MATCH($N2886,계정대체기준!$A$20:$A$49,0)),0)))</f>
        <v/>
      </c>
      <c r="AC2886" s="9">
        <f>IF(AND($A2886&lt;&gt;"",M2886=설정!$C$20,Z2886&gt;0),Z2886+ROW()/1000000000,"")</f>
        <v/>
      </c>
      <c r="AD2886" s="94">
        <f>IF($A2886="",0,$P2886*AG2886)</f>
        <v/>
      </c>
      <c r="AE2886" s="64">
        <f>IF($A2886="","",IFERROR(INDEX(계정매핑!$E$5:$E$504,MATCH($F2886&amp;"",계정매핑!$A$5:$A$504,0))&amp;"","공통비"))</f>
        <v/>
      </c>
      <c r="AF2886" s="64">
        <f>IF($A2886="","",IF(AE2886="직접",IFERROR(INDEX(계정매핑!$F$5:$F$504,MATCH($F2886&amp;"",계정매핑!$A$5:$A$504,0))&amp;"","비귀속"),""))</f>
        <v/>
      </c>
      <c r="AG2886" s="96">
        <f>IF($A2886="",0,IF(AND(AE2886&lt;&gt;"직접",IFERROR(INDEX(계정매핑!$G$5:$G$504,MATCH($F2886&amp;"",계정매핑!$A$5:$A$504,0))&amp;"","")="유지비",COUNTIF(계정대체기준!$A$6:$A$15,$N2886)&gt;0),IFERROR(INDEX(계정대체기준!$E$6:$E$15,MATCH(VALUE($A2886&amp;""),계정대체기준!$D$6:$D$15,0)),0),0))</f>
        <v/>
      </c>
      <c r="AH2886" s="64">
        <f>IF($A2886="","",IF(AD2886=0,"",IF(OR(COUNTIF(계정대체기준!$A$77:$A$86,$N2886)&gt;0,ISNUMBER(MATCH($X2886,계정대체기준!$D$77:$D$86,0)),ISNUMBER(MATCH($F2886,계정대체기준!$D$77:$D$86,0))),"Y","N")))</f>
        <v/>
      </c>
    </row>
    <row r="2887">
      <c r="A2887" s="92" t="n">
        <v>2026</v>
      </c>
      <c r="B2887" s="92" t="n">
        <v>1</v>
      </c>
      <c r="C2887" s="92" t="inlineStr">
        <is>
          <t>5100000165</t>
        </is>
      </c>
      <c r="D2887" s="95" t="n">
        <v>46044</v>
      </c>
      <c r="E2887" s="92" t="inlineStr">
        <is>
          <t>KR</t>
        </is>
      </c>
      <c r="F2887" s="92" t="n">
        <v>62101000</v>
      </c>
      <c r="G2887" s="92" t="n">
        <v>1201</v>
      </c>
      <c r="H2887" s="93" t="n">
        <v>233000</v>
      </c>
      <c r="I2887" s="92" t="inlineStr">
        <is>
          <t>1월 국내출장 - (법인카드)</t>
        </is>
      </c>
      <c r="J2887" s="92" t="inlineStr">
        <is>
          <t>V10010</t>
        </is>
      </c>
      <c r="K2887" s="92" t="inlineStr">
        <is>
          <t>(법인카드)</t>
        </is>
      </c>
      <c r="M2887" s="9">
        <f>IF($A2887="","",VALUE($A2887&amp;"")*12+VALUE($B2887&amp;""))</f>
        <v/>
      </c>
      <c r="N2887" s="64">
        <f>IF($A2887="","",IFERROR(INDEX(부서매핑!$C$5:$C$504,MATCH($G2887&amp;"",부서매핑!$A$5:$A$504,0)),"미매핑"))</f>
        <v/>
      </c>
      <c r="O2887" s="9">
        <f>IF($A2887="","",N2887&amp;"|"&amp;$F2887)</f>
        <v/>
      </c>
      <c r="P2887" s="94">
        <f>IF($A2887="",0,$H2887*설정!$C$23)</f>
        <v/>
      </c>
      <c r="Q2887" s="64">
        <f>IF($A2887="","",IF(O2887&lt;&gt;원인분석!$C$9,"",IF(AND(M2887&gt;=원인분석!$C$10,M2887&lt;=원인분석!$C$11),"당기",IF(AND(M2887&gt;=원인분석!$C$12,M2887&lt;=원인분석!$C$13),"비교",""))))</f>
        <v/>
      </c>
      <c r="R2887" s="9">
        <f>IF(Q2887="","",$K2887&amp;"")</f>
        <v/>
      </c>
      <c r="S2887" s="9">
        <f>IF(Q2887="","",IF(MATCH(R2887,$R$5:$R$100000,0)=ROW()-4,ROW(),""))</f>
        <v/>
      </c>
      <c r="T2887" s="9">
        <f>IF(Q2887="당기",ABS(P2887)+ROW()/1000000000,"")</f>
        <v/>
      </c>
      <c r="U2887" s="9">
        <f>IF(Q2887="비교",ABS(P2887)+ROW()/1000000000,"")</f>
        <v/>
      </c>
      <c r="V2887" s="64">
        <f>IF($A2887="","",IF(COUNTIF(변동분석!$E$7:$E$506,O2887)&gt;0,"Y","N"))</f>
        <v/>
      </c>
      <c r="W2887" s="64">
        <f>IF($A2887="","",IFERROR(INDEX(계정매핑!$D$5:$D$504,MATCH($F2887&amp;"",계정매핑!$A$5:$A$504,0)),"미매핑"))</f>
        <v/>
      </c>
      <c r="X2887" s="9">
        <f>IF($A2887="","",$F2887&amp;"")</f>
        <v/>
      </c>
      <c r="Y2887" s="94">
        <f>IF($A2887="",0,IF(AE2887="직접",IF(AF2887="비귀속",$P2887,0),$P2887*(1-AG2887)*IFERROR(INDEX(계정대체기준!$F$20:$F$49,MATCH($N2887,계정대체기준!$A$20:$A$49,0)),1)))</f>
        <v/>
      </c>
      <c r="Z2887" s="94">
        <f>IF($A2887="",0,IF(AE2887="직접",IF(AF2887="신계약비",$P2887,0),$P2887*(1-AG2887)*IFERROR(INDEX(계정대체기준!$C$20:$C$49,MATCH($N2887,계정대체기준!$A$20:$A$49,0)),0)))</f>
        <v/>
      </c>
      <c r="AA2887" s="94">
        <f>IF($A2887="",0,IF(AE2887="직접",IF(OR(AF2887="유지비",AF2887="손해조사비"),$P2887,0),$P2887*(1-AG2887)*IFERROR(INDEX(계정대체기준!$D$20:$D$49,MATCH($N2887,계정대체기준!$A$20:$A$49,0)),0)))</f>
        <v/>
      </c>
      <c r="AB2887" s="94">
        <f>IF($A2887="",0,IF(AE2887="직접",IF(AF2887="수금비",$P2887,0),$P2887*(1-AG2887)*IFERROR(INDEX(계정대체기준!$E$20:$E$49,MATCH($N2887,계정대체기준!$A$20:$A$49,0)),0)))</f>
        <v/>
      </c>
      <c r="AC2887" s="9">
        <f>IF(AND($A2887&lt;&gt;"",M2887=설정!$C$20,Z2887&gt;0),Z2887+ROW()/1000000000,"")</f>
        <v/>
      </c>
      <c r="AD2887" s="94">
        <f>IF($A2887="",0,$P2887*AG2887)</f>
        <v/>
      </c>
      <c r="AE2887" s="64">
        <f>IF($A2887="","",IFERROR(INDEX(계정매핑!$E$5:$E$504,MATCH($F2887&amp;"",계정매핑!$A$5:$A$504,0))&amp;"","공통비"))</f>
        <v/>
      </c>
      <c r="AF2887" s="64">
        <f>IF($A2887="","",IF(AE2887="직접",IFERROR(INDEX(계정매핑!$F$5:$F$504,MATCH($F2887&amp;"",계정매핑!$A$5:$A$504,0))&amp;"","비귀속"),""))</f>
        <v/>
      </c>
      <c r="AG2887" s="96">
        <f>IF($A2887="",0,IF(AND(AE2887&lt;&gt;"직접",IFERROR(INDEX(계정매핑!$G$5:$G$504,MATCH($F2887&amp;"",계정매핑!$A$5:$A$504,0))&amp;"","")="유지비",COUNTIF(계정대체기준!$A$6:$A$15,$N2887)&gt;0),IFERROR(INDEX(계정대체기준!$E$6:$E$15,MATCH(VALUE($A2887&amp;""),계정대체기준!$D$6:$D$15,0)),0),0))</f>
        <v/>
      </c>
      <c r="AH2887" s="64">
        <f>IF($A2887="","",IF(AD2887=0,"",IF(OR(COUNTIF(계정대체기준!$A$77:$A$86,$N2887)&gt;0,ISNUMBER(MATCH($X2887,계정대체기준!$D$77:$D$86,0)),ISNUMBER(MATCH($F2887,계정대체기준!$D$77:$D$86,0))),"Y","N")))</f>
        <v/>
      </c>
    </row>
    <row r="2888">
      <c r="A2888" s="92" t="n">
        <v>2026</v>
      </c>
      <c r="B2888" s="92" t="n">
        <v>1</v>
      </c>
      <c r="C2888" s="92" t="inlineStr">
        <is>
          <t>5100000166</t>
        </is>
      </c>
      <c r="D2888" s="95" t="n">
        <v>46044</v>
      </c>
      <c r="E2888" s="92" t="inlineStr">
        <is>
          <t>KR</t>
        </is>
      </c>
      <c r="F2888" s="92" t="n">
        <v>62101000</v>
      </c>
      <c r="G2888" s="92" t="n">
        <v>1301</v>
      </c>
      <c r="H2888" s="93" t="n">
        <v>435000</v>
      </c>
      <c r="I2888" s="92" t="inlineStr">
        <is>
          <t>1월 국내출장 - M항공</t>
        </is>
      </c>
      <c r="J2888" s="92" t="inlineStr">
        <is>
          <t>V10001</t>
        </is>
      </c>
      <c r="K2888" s="92" t="inlineStr">
        <is>
          <t>M항공</t>
        </is>
      </c>
      <c r="M2888" s="9">
        <f>IF($A2888="","",VALUE($A2888&amp;"")*12+VALUE($B2888&amp;""))</f>
        <v/>
      </c>
      <c r="N2888" s="64">
        <f>IF($A2888="","",IFERROR(INDEX(부서매핑!$C$5:$C$504,MATCH($G2888&amp;"",부서매핑!$A$5:$A$504,0)),"미매핑"))</f>
        <v/>
      </c>
      <c r="O2888" s="9">
        <f>IF($A2888="","",N2888&amp;"|"&amp;$F2888)</f>
        <v/>
      </c>
      <c r="P2888" s="94">
        <f>IF($A2888="",0,$H2888*설정!$C$23)</f>
        <v/>
      </c>
      <c r="Q2888" s="64">
        <f>IF($A2888="","",IF(O2888&lt;&gt;원인분석!$C$9,"",IF(AND(M2888&gt;=원인분석!$C$10,M2888&lt;=원인분석!$C$11),"당기",IF(AND(M2888&gt;=원인분석!$C$12,M2888&lt;=원인분석!$C$13),"비교",""))))</f>
        <v/>
      </c>
      <c r="R2888" s="9">
        <f>IF(Q2888="","",$K2888&amp;"")</f>
        <v/>
      </c>
      <c r="S2888" s="9">
        <f>IF(Q2888="","",IF(MATCH(R2888,$R$5:$R$100000,0)=ROW()-4,ROW(),""))</f>
        <v/>
      </c>
      <c r="T2888" s="9">
        <f>IF(Q2888="당기",ABS(P2888)+ROW()/1000000000,"")</f>
        <v/>
      </c>
      <c r="U2888" s="9">
        <f>IF(Q2888="비교",ABS(P2888)+ROW()/1000000000,"")</f>
        <v/>
      </c>
      <c r="V2888" s="64">
        <f>IF($A2888="","",IF(COUNTIF(변동분석!$E$7:$E$506,O2888)&gt;0,"Y","N"))</f>
        <v/>
      </c>
      <c r="W2888" s="64">
        <f>IF($A2888="","",IFERROR(INDEX(계정매핑!$D$5:$D$504,MATCH($F2888&amp;"",계정매핑!$A$5:$A$504,0)),"미매핑"))</f>
        <v/>
      </c>
      <c r="X2888" s="9">
        <f>IF($A2888="","",$F2888&amp;"")</f>
        <v/>
      </c>
      <c r="Y2888" s="94">
        <f>IF($A2888="",0,IF(AE2888="직접",IF(AF2888="비귀속",$P2888,0),$P2888*(1-AG2888)*IFERROR(INDEX(계정대체기준!$F$20:$F$49,MATCH($N2888,계정대체기준!$A$20:$A$49,0)),1)))</f>
        <v/>
      </c>
      <c r="Z2888" s="94">
        <f>IF($A2888="",0,IF(AE2888="직접",IF(AF2888="신계약비",$P2888,0),$P2888*(1-AG2888)*IFERROR(INDEX(계정대체기준!$C$20:$C$49,MATCH($N2888,계정대체기준!$A$20:$A$49,0)),0)))</f>
        <v/>
      </c>
      <c r="AA2888" s="94">
        <f>IF($A2888="",0,IF(AE2888="직접",IF(OR(AF2888="유지비",AF2888="손해조사비"),$P2888,0),$P2888*(1-AG2888)*IFERROR(INDEX(계정대체기준!$D$20:$D$49,MATCH($N2888,계정대체기준!$A$20:$A$49,0)),0)))</f>
        <v/>
      </c>
      <c r="AB2888" s="94">
        <f>IF($A2888="",0,IF(AE2888="직접",IF(AF2888="수금비",$P2888,0),$P2888*(1-AG2888)*IFERROR(INDEX(계정대체기준!$E$20:$E$49,MATCH($N2888,계정대체기준!$A$20:$A$49,0)),0)))</f>
        <v/>
      </c>
      <c r="AC2888" s="9">
        <f>IF(AND($A2888&lt;&gt;"",M2888=설정!$C$20,Z2888&gt;0),Z2888+ROW()/1000000000,"")</f>
        <v/>
      </c>
      <c r="AD2888" s="94">
        <f>IF($A2888="",0,$P2888*AG2888)</f>
        <v/>
      </c>
      <c r="AE2888" s="64">
        <f>IF($A2888="","",IFERROR(INDEX(계정매핑!$E$5:$E$504,MATCH($F2888&amp;"",계정매핑!$A$5:$A$504,0))&amp;"","공통비"))</f>
        <v/>
      </c>
      <c r="AF2888" s="64">
        <f>IF($A2888="","",IF(AE2888="직접",IFERROR(INDEX(계정매핑!$F$5:$F$504,MATCH($F2888&amp;"",계정매핑!$A$5:$A$504,0))&amp;"","비귀속"),""))</f>
        <v/>
      </c>
      <c r="AG2888" s="96">
        <f>IF($A2888="",0,IF(AND(AE2888&lt;&gt;"직접",IFERROR(INDEX(계정매핑!$G$5:$G$504,MATCH($F2888&amp;"",계정매핑!$A$5:$A$504,0))&amp;"","")="유지비",COUNTIF(계정대체기준!$A$6:$A$15,$N2888)&gt;0),IFERROR(INDEX(계정대체기준!$E$6:$E$15,MATCH(VALUE($A2888&amp;""),계정대체기준!$D$6:$D$15,0)),0),0))</f>
        <v/>
      </c>
      <c r="AH2888" s="64">
        <f>IF($A2888="","",IF(AD2888=0,"",IF(OR(COUNTIF(계정대체기준!$A$77:$A$86,$N2888)&gt;0,ISNUMBER(MATCH($X2888,계정대체기준!$D$77:$D$86,0)),ISNUMBER(MATCH($F2888,계정대체기준!$D$77:$D$86,0))),"Y","N")))</f>
        <v/>
      </c>
    </row>
    <row r="2889">
      <c r="A2889" s="92" t="n">
        <v>2026</v>
      </c>
      <c r="B2889" s="92" t="n">
        <v>1</v>
      </c>
      <c r="C2889" s="92" t="inlineStr">
        <is>
          <t>5100000167</t>
        </is>
      </c>
      <c r="D2889" s="95" t="n">
        <v>46044</v>
      </c>
      <c r="E2889" s="92" t="inlineStr">
        <is>
          <t>KR</t>
        </is>
      </c>
      <c r="F2889" s="92" t="n">
        <v>62101000</v>
      </c>
      <c r="G2889" s="92" t="n">
        <v>1601</v>
      </c>
      <c r="H2889" s="93" t="n">
        <v>1805000</v>
      </c>
      <c r="I2889" s="92" t="inlineStr">
        <is>
          <t>1월 국내출장 - L여행사</t>
        </is>
      </c>
      <c r="J2889" s="92" t="inlineStr">
        <is>
          <t>V10018</t>
        </is>
      </c>
      <c r="K2889" s="92" t="inlineStr">
        <is>
          <t>L여행사</t>
        </is>
      </c>
      <c r="M2889" s="9">
        <f>IF($A2889="","",VALUE($A2889&amp;"")*12+VALUE($B2889&amp;""))</f>
        <v/>
      </c>
      <c r="N2889" s="64">
        <f>IF($A2889="","",IFERROR(INDEX(부서매핑!$C$5:$C$504,MATCH($G2889&amp;"",부서매핑!$A$5:$A$504,0)),"미매핑"))</f>
        <v/>
      </c>
      <c r="O2889" s="9">
        <f>IF($A2889="","",N2889&amp;"|"&amp;$F2889)</f>
        <v/>
      </c>
      <c r="P2889" s="94">
        <f>IF($A2889="",0,$H2889*설정!$C$23)</f>
        <v/>
      </c>
      <c r="Q2889" s="64">
        <f>IF($A2889="","",IF(O2889&lt;&gt;원인분석!$C$9,"",IF(AND(M2889&gt;=원인분석!$C$10,M2889&lt;=원인분석!$C$11),"당기",IF(AND(M2889&gt;=원인분석!$C$12,M2889&lt;=원인분석!$C$13),"비교",""))))</f>
        <v/>
      </c>
      <c r="R2889" s="9">
        <f>IF(Q2889="","",$K2889&amp;"")</f>
        <v/>
      </c>
      <c r="S2889" s="9">
        <f>IF(Q2889="","",IF(MATCH(R2889,$R$5:$R$100000,0)=ROW()-4,ROW(),""))</f>
        <v/>
      </c>
      <c r="T2889" s="9">
        <f>IF(Q2889="당기",ABS(P2889)+ROW()/1000000000,"")</f>
        <v/>
      </c>
      <c r="U2889" s="9">
        <f>IF(Q2889="비교",ABS(P2889)+ROW()/1000000000,"")</f>
        <v/>
      </c>
      <c r="V2889" s="64">
        <f>IF($A2889="","",IF(COUNTIF(변동분석!$E$7:$E$506,O2889)&gt;0,"Y","N"))</f>
        <v/>
      </c>
      <c r="W2889" s="64">
        <f>IF($A2889="","",IFERROR(INDEX(계정매핑!$D$5:$D$504,MATCH($F2889&amp;"",계정매핑!$A$5:$A$504,0)),"미매핑"))</f>
        <v/>
      </c>
      <c r="X2889" s="9">
        <f>IF($A2889="","",$F2889&amp;"")</f>
        <v/>
      </c>
      <c r="Y2889" s="94">
        <f>IF($A2889="",0,IF(AE2889="직접",IF(AF2889="비귀속",$P2889,0),$P2889*(1-AG2889)*IFERROR(INDEX(계정대체기준!$F$20:$F$49,MATCH($N2889,계정대체기준!$A$20:$A$49,0)),1)))</f>
        <v/>
      </c>
      <c r="Z2889" s="94">
        <f>IF($A2889="",0,IF(AE2889="직접",IF(AF2889="신계약비",$P2889,0),$P2889*(1-AG2889)*IFERROR(INDEX(계정대체기준!$C$20:$C$49,MATCH($N2889,계정대체기준!$A$20:$A$49,0)),0)))</f>
        <v/>
      </c>
      <c r="AA2889" s="94">
        <f>IF($A2889="",0,IF(AE2889="직접",IF(OR(AF2889="유지비",AF2889="손해조사비"),$P2889,0),$P2889*(1-AG2889)*IFERROR(INDEX(계정대체기준!$D$20:$D$49,MATCH($N2889,계정대체기준!$A$20:$A$49,0)),0)))</f>
        <v/>
      </c>
      <c r="AB2889" s="94">
        <f>IF($A2889="",0,IF(AE2889="직접",IF(AF2889="수금비",$P2889,0),$P2889*(1-AG2889)*IFERROR(INDEX(계정대체기준!$E$20:$E$49,MATCH($N2889,계정대체기준!$A$20:$A$49,0)),0)))</f>
        <v/>
      </c>
      <c r="AC2889" s="9">
        <f>IF(AND($A2889&lt;&gt;"",M2889=설정!$C$20,Z2889&gt;0),Z2889+ROW()/1000000000,"")</f>
        <v/>
      </c>
      <c r="AD2889" s="94">
        <f>IF($A2889="",0,$P2889*AG2889)</f>
        <v/>
      </c>
      <c r="AE2889" s="64">
        <f>IF($A2889="","",IFERROR(INDEX(계정매핑!$E$5:$E$504,MATCH($F2889&amp;"",계정매핑!$A$5:$A$504,0))&amp;"","공통비"))</f>
        <v/>
      </c>
      <c r="AF2889" s="64">
        <f>IF($A2889="","",IF(AE2889="직접",IFERROR(INDEX(계정매핑!$F$5:$F$504,MATCH($F2889&amp;"",계정매핑!$A$5:$A$504,0))&amp;"","비귀속"),""))</f>
        <v/>
      </c>
      <c r="AG2889" s="96">
        <f>IF($A2889="",0,IF(AND(AE2889&lt;&gt;"직접",IFERROR(INDEX(계정매핑!$G$5:$G$504,MATCH($F2889&amp;"",계정매핑!$A$5:$A$504,0))&amp;"","")="유지비",COUNTIF(계정대체기준!$A$6:$A$15,$N2889)&gt;0),IFERROR(INDEX(계정대체기준!$E$6:$E$15,MATCH(VALUE($A2889&amp;""),계정대체기준!$D$6:$D$15,0)),0),0))</f>
        <v/>
      </c>
      <c r="AH2889" s="64">
        <f>IF($A2889="","",IF(AD2889=0,"",IF(OR(COUNTIF(계정대체기준!$A$77:$A$86,$N2889)&gt;0,ISNUMBER(MATCH($X2889,계정대체기준!$D$77:$D$86,0)),ISNUMBER(MATCH($F2889,계정대체기준!$D$77:$D$86,0))),"Y","N")))</f>
        <v/>
      </c>
    </row>
    <row r="2890">
      <c r="A2890" s="92" t="n">
        <v>2026</v>
      </c>
      <c r="B2890" s="92" t="n">
        <v>1</v>
      </c>
      <c r="C2890" s="92" t="inlineStr">
        <is>
          <t>5100000168</t>
        </is>
      </c>
      <c r="D2890" s="95" t="n">
        <v>46044</v>
      </c>
      <c r="E2890" s="92" t="inlineStr">
        <is>
          <t>KR</t>
        </is>
      </c>
      <c r="F2890" s="92" t="n">
        <v>62201000</v>
      </c>
      <c r="G2890" s="92" t="n">
        <v>1502</v>
      </c>
      <c r="H2890" s="93" t="n">
        <v>347000</v>
      </c>
      <c r="I2890" s="92" t="inlineStr">
        <is>
          <t>1월 통신요금 - P통신</t>
        </is>
      </c>
      <c r="J2890" s="92" t="inlineStr">
        <is>
          <t>V10014</t>
        </is>
      </c>
      <c r="K2890" s="92" t="inlineStr">
        <is>
          <t>P통신</t>
        </is>
      </c>
      <c r="M2890" s="9">
        <f>IF($A2890="","",VALUE($A2890&amp;"")*12+VALUE($B2890&amp;""))</f>
        <v/>
      </c>
      <c r="N2890" s="64">
        <f>IF($A2890="","",IFERROR(INDEX(부서매핑!$C$5:$C$504,MATCH($G2890&amp;"",부서매핑!$A$5:$A$504,0)),"미매핑"))</f>
        <v/>
      </c>
      <c r="O2890" s="9">
        <f>IF($A2890="","",N2890&amp;"|"&amp;$F2890)</f>
        <v/>
      </c>
      <c r="P2890" s="94">
        <f>IF($A2890="",0,$H2890*설정!$C$23)</f>
        <v/>
      </c>
      <c r="Q2890" s="64">
        <f>IF($A2890="","",IF(O2890&lt;&gt;원인분석!$C$9,"",IF(AND(M2890&gt;=원인분석!$C$10,M2890&lt;=원인분석!$C$11),"당기",IF(AND(M2890&gt;=원인분석!$C$12,M2890&lt;=원인분석!$C$13),"비교",""))))</f>
        <v/>
      </c>
      <c r="R2890" s="9">
        <f>IF(Q2890="","",$K2890&amp;"")</f>
        <v/>
      </c>
      <c r="S2890" s="9">
        <f>IF(Q2890="","",IF(MATCH(R2890,$R$5:$R$100000,0)=ROW()-4,ROW(),""))</f>
        <v/>
      </c>
      <c r="T2890" s="9">
        <f>IF(Q2890="당기",ABS(P2890)+ROW()/1000000000,"")</f>
        <v/>
      </c>
      <c r="U2890" s="9">
        <f>IF(Q2890="비교",ABS(P2890)+ROW()/1000000000,"")</f>
        <v/>
      </c>
      <c r="V2890" s="64">
        <f>IF($A2890="","",IF(COUNTIF(변동분석!$E$7:$E$506,O2890)&gt;0,"Y","N"))</f>
        <v/>
      </c>
      <c r="W2890" s="64">
        <f>IF($A2890="","",IFERROR(INDEX(계정매핑!$D$5:$D$504,MATCH($F2890&amp;"",계정매핑!$A$5:$A$504,0)),"미매핑"))</f>
        <v/>
      </c>
      <c r="X2890" s="9">
        <f>IF($A2890="","",$F2890&amp;"")</f>
        <v/>
      </c>
      <c r="Y2890" s="94">
        <f>IF($A2890="",0,IF(AE2890="직접",IF(AF2890="비귀속",$P2890,0),$P2890*(1-AG2890)*IFERROR(INDEX(계정대체기준!$F$20:$F$49,MATCH($N2890,계정대체기준!$A$20:$A$49,0)),1)))</f>
        <v/>
      </c>
      <c r="Z2890" s="94">
        <f>IF($A2890="",0,IF(AE2890="직접",IF(AF2890="신계약비",$P2890,0),$P2890*(1-AG2890)*IFERROR(INDEX(계정대체기준!$C$20:$C$49,MATCH($N2890,계정대체기준!$A$20:$A$49,0)),0)))</f>
        <v/>
      </c>
      <c r="AA2890" s="94">
        <f>IF($A2890="",0,IF(AE2890="직접",IF(OR(AF2890="유지비",AF2890="손해조사비"),$P2890,0),$P2890*(1-AG2890)*IFERROR(INDEX(계정대체기준!$D$20:$D$49,MATCH($N2890,계정대체기준!$A$20:$A$49,0)),0)))</f>
        <v/>
      </c>
      <c r="AB2890" s="94">
        <f>IF($A2890="",0,IF(AE2890="직접",IF(AF2890="수금비",$P2890,0),$P2890*(1-AG2890)*IFERROR(INDEX(계정대체기준!$E$20:$E$49,MATCH($N2890,계정대체기준!$A$20:$A$49,0)),0)))</f>
        <v/>
      </c>
      <c r="AC2890" s="9">
        <f>IF(AND($A2890&lt;&gt;"",M2890=설정!$C$20,Z2890&gt;0),Z2890+ROW()/1000000000,"")</f>
        <v/>
      </c>
      <c r="AD2890" s="94">
        <f>IF($A2890="",0,$P2890*AG2890)</f>
        <v/>
      </c>
      <c r="AE2890" s="64">
        <f>IF($A2890="","",IFERROR(INDEX(계정매핑!$E$5:$E$504,MATCH($F2890&amp;"",계정매핑!$A$5:$A$504,0))&amp;"","공통비"))</f>
        <v/>
      </c>
      <c r="AF2890" s="64">
        <f>IF($A2890="","",IF(AE2890="직접",IFERROR(INDEX(계정매핑!$F$5:$F$504,MATCH($F2890&amp;"",계정매핑!$A$5:$A$504,0))&amp;"","비귀속"),""))</f>
        <v/>
      </c>
      <c r="AG2890" s="96">
        <f>IF($A2890="",0,IF(AND(AE2890&lt;&gt;"직접",IFERROR(INDEX(계정매핑!$G$5:$G$504,MATCH($F2890&amp;"",계정매핑!$A$5:$A$504,0))&amp;"","")="유지비",COUNTIF(계정대체기준!$A$6:$A$15,$N2890)&gt;0),IFERROR(INDEX(계정대체기준!$E$6:$E$15,MATCH(VALUE($A2890&amp;""),계정대체기준!$D$6:$D$15,0)),0),0))</f>
        <v/>
      </c>
      <c r="AH2890" s="64">
        <f>IF($A2890="","",IF(AD2890=0,"",IF(OR(COUNTIF(계정대체기준!$A$77:$A$86,$N2890)&gt;0,ISNUMBER(MATCH($X2890,계정대체기준!$D$77:$D$86,0)),ISNUMBER(MATCH($F2890,계정대체기준!$D$77:$D$86,0))),"Y","N")))</f>
        <v/>
      </c>
    </row>
    <row r="2891">
      <c r="A2891" s="92" t="n">
        <v>2026</v>
      </c>
      <c r="B2891" s="92" t="n">
        <v>1</v>
      </c>
      <c r="C2891" s="92" t="inlineStr">
        <is>
          <t>5100000169</t>
        </is>
      </c>
      <c r="D2891" s="95" t="n">
        <v>46044</v>
      </c>
      <c r="E2891" s="92" t="inlineStr">
        <is>
          <t>KR</t>
        </is>
      </c>
      <c r="F2891" s="92" t="n">
        <v>62301000</v>
      </c>
      <c r="G2891" s="92" t="n">
        <v>1701</v>
      </c>
      <c r="H2891" s="93" t="n">
        <v>239000</v>
      </c>
      <c r="I2891" s="92" t="inlineStr">
        <is>
          <t>1월 소모품 구입 - Q오피스</t>
        </is>
      </c>
      <c r="J2891" s="92" t="inlineStr">
        <is>
          <t>V10003</t>
        </is>
      </c>
      <c r="K2891" s="92" t="inlineStr">
        <is>
          <t>Q오피스</t>
        </is>
      </c>
      <c r="M2891" s="9">
        <f>IF($A2891="","",VALUE($A2891&amp;"")*12+VALUE($B2891&amp;""))</f>
        <v/>
      </c>
      <c r="N2891" s="64">
        <f>IF($A2891="","",IFERROR(INDEX(부서매핑!$C$5:$C$504,MATCH($G2891&amp;"",부서매핑!$A$5:$A$504,0)),"미매핑"))</f>
        <v/>
      </c>
      <c r="O2891" s="9">
        <f>IF($A2891="","",N2891&amp;"|"&amp;$F2891)</f>
        <v/>
      </c>
      <c r="P2891" s="94">
        <f>IF($A2891="",0,$H2891*설정!$C$23)</f>
        <v/>
      </c>
      <c r="Q2891" s="64">
        <f>IF($A2891="","",IF(O2891&lt;&gt;원인분석!$C$9,"",IF(AND(M2891&gt;=원인분석!$C$10,M2891&lt;=원인분석!$C$11),"당기",IF(AND(M2891&gt;=원인분석!$C$12,M2891&lt;=원인분석!$C$13),"비교",""))))</f>
        <v/>
      </c>
      <c r="R2891" s="9">
        <f>IF(Q2891="","",$K2891&amp;"")</f>
        <v/>
      </c>
      <c r="S2891" s="9">
        <f>IF(Q2891="","",IF(MATCH(R2891,$R$5:$R$100000,0)=ROW()-4,ROW(),""))</f>
        <v/>
      </c>
      <c r="T2891" s="9">
        <f>IF(Q2891="당기",ABS(P2891)+ROW()/1000000000,"")</f>
        <v/>
      </c>
      <c r="U2891" s="9">
        <f>IF(Q2891="비교",ABS(P2891)+ROW()/1000000000,"")</f>
        <v/>
      </c>
      <c r="V2891" s="64">
        <f>IF($A2891="","",IF(COUNTIF(변동분석!$E$7:$E$506,O2891)&gt;0,"Y","N"))</f>
        <v/>
      </c>
      <c r="W2891" s="64">
        <f>IF($A2891="","",IFERROR(INDEX(계정매핑!$D$5:$D$504,MATCH($F2891&amp;"",계정매핑!$A$5:$A$504,0)),"미매핑"))</f>
        <v/>
      </c>
      <c r="X2891" s="9">
        <f>IF($A2891="","",$F2891&amp;"")</f>
        <v/>
      </c>
      <c r="Y2891" s="94">
        <f>IF($A2891="",0,IF(AE2891="직접",IF(AF2891="비귀속",$P2891,0),$P2891*(1-AG2891)*IFERROR(INDEX(계정대체기준!$F$20:$F$49,MATCH($N2891,계정대체기준!$A$20:$A$49,0)),1)))</f>
        <v/>
      </c>
      <c r="Z2891" s="94">
        <f>IF($A2891="",0,IF(AE2891="직접",IF(AF2891="신계약비",$P2891,0),$P2891*(1-AG2891)*IFERROR(INDEX(계정대체기준!$C$20:$C$49,MATCH($N2891,계정대체기준!$A$20:$A$49,0)),0)))</f>
        <v/>
      </c>
      <c r="AA2891" s="94">
        <f>IF($A2891="",0,IF(AE2891="직접",IF(OR(AF2891="유지비",AF2891="손해조사비"),$P2891,0),$P2891*(1-AG2891)*IFERROR(INDEX(계정대체기준!$D$20:$D$49,MATCH($N2891,계정대체기준!$A$20:$A$49,0)),0)))</f>
        <v/>
      </c>
      <c r="AB2891" s="94">
        <f>IF($A2891="",0,IF(AE2891="직접",IF(AF2891="수금비",$P2891,0),$P2891*(1-AG2891)*IFERROR(INDEX(계정대체기준!$E$20:$E$49,MATCH($N2891,계정대체기준!$A$20:$A$49,0)),0)))</f>
        <v/>
      </c>
      <c r="AC2891" s="9">
        <f>IF(AND($A2891&lt;&gt;"",M2891=설정!$C$20,Z2891&gt;0),Z2891+ROW()/1000000000,"")</f>
        <v/>
      </c>
      <c r="AD2891" s="94">
        <f>IF($A2891="",0,$P2891*AG2891)</f>
        <v/>
      </c>
      <c r="AE2891" s="64">
        <f>IF($A2891="","",IFERROR(INDEX(계정매핑!$E$5:$E$504,MATCH($F2891&amp;"",계정매핑!$A$5:$A$504,0))&amp;"","공통비"))</f>
        <v/>
      </c>
      <c r="AF2891" s="64">
        <f>IF($A2891="","",IF(AE2891="직접",IFERROR(INDEX(계정매핑!$F$5:$F$504,MATCH($F2891&amp;"",계정매핑!$A$5:$A$504,0))&amp;"","비귀속"),""))</f>
        <v/>
      </c>
      <c r="AG2891" s="96">
        <f>IF($A2891="",0,IF(AND(AE2891&lt;&gt;"직접",IFERROR(INDEX(계정매핑!$G$5:$G$504,MATCH($F2891&amp;"",계정매핑!$A$5:$A$504,0))&amp;"","")="유지비",COUNTIF(계정대체기준!$A$6:$A$15,$N2891)&gt;0),IFERROR(INDEX(계정대체기준!$E$6:$E$15,MATCH(VALUE($A2891&amp;""),계정대체기준!$D$6:$D$15,0)),0),0))</f>
        <v/>
      </c>
      <c r="AH2891" s="64">
        <f>IF($A2891="","",IF(AD2891=0,"",IF(OR(COUNTIF(계정대체기준!$A$77:$A$86,$N2891)&gt;0,ISNUMBER(MATCH($X2891,계정대체기준!$D$77:$D$86,0)),ISNUMBER(MATCH($F2891,계정대체기준!$D$77:$D$86,0))),"Y","N")))</f>
        <v/>
      </c>
    </row>
    <row r="2892">
      <c r="A2892" s="92" t="n">
        <v>2026</v>
      </c>
      <c r="B2892" s="92" t="n">
        <v>1</v>
      </c>
      <c r="C2892" s="92" t="inlineStr">
        <is>
          <t>5100000170</t>
        </is>
      </c>
      <c r="D2892" s="95" t="n">
        <v>46044</v>
      </c>
      <c r="E2892" s="92" t="inlineStr">
        <is>
          <t>KR</t>
        </is>
      </c>
      <c r="F2892" s="92" t="n">
        <v>62301000</v>
      </c>
      <c r="G2892" s="92" t="n">
        <v>1701</v>
      </c>
      <c r="H2892" s="93" t="n">
        <v>198000</v>
      </c>
      <c r="I2892" s="92" t="inlineStr">
        <is>
          <t>1월 소모품 구입 - R문구</t>
        </is>
      </c>
      <c r="J2892" s="92" t="inlineStr">
        <is>
          <t>V10022</t>
        </is>
      </c>
      <c r="K2892" s="92" t="inlineStr">
        <is>
          <t>R문구</t>
        </is>
      </c>
      <c r="M2892" s="9">
        <f>IF($A2892="","",VALUE($A2892&amp;"")*12+VALUE($B2892&amp;""))</f>
        <v/>
      </c>
      <c r="N2892" s="64">
        <f>IF($A2892="","",IFERROR(INDEX(부서매핑!$C$5:$C$504,MATCH($G2892&amp;"",부서매핑!$A$5:$A$504,0)),"미매핑"))</f>
        <v/>
      </c>
      <c r="O2892" s="9">
        <f>IF($A2892="","",N2892&amp;"|"&amp;$F2892)</f>
        <v/>
      </c>
      <c r="P2892" s="94">
        <f>IF($A2892="",0,$H2892*설정!$C$23)</f>
        <v/>
      </c>
      <c r="Q2892" s="64">
        <f>IF($A2892="","",IF(O2892&lt;&gt;원인분석!$C$9,"",IF(AND(M2892&gt;=원인분석!$C$10,M2892&lt;=원인분석!$C$11),"당기",IF(AND(M2892&gt;=원인분석!$C$12,M2892&lt;=원인분석!$C$13),"비교",""))))</f>
        <v/>
      </c>
      <c r="R2892" s="9">
        <f>IF(Q2892="","",$K2892&amp;"")</f>
        <v/>
      </c>
      <c r="S2892" s="9">
        <f>IF(Q2892="","",IF(MATCH(R2892,$R$5:$R$100000,0)=ROW()-4,ROW(),""))</f>
        <v/>
      </c>
      <c r="T2892" s="9">
        <f>IF(Q2892="당기",ABS(P2892)+ROW()/1000000000,"")</f>
        <v/>
      </c>
      <c r="U2892" s="9">
        <f>IF(Q2892="비교",ABS(P2892)+ROW()/1000000000,"")</f>
        <v/>
      </c>
      <c r="V2892" s="64">
        <f>IF($A2892="","",IF(COUNTIF(변동분석!$E$7:$E$506,O2892)&gt;0,"Y","N"))</f>
        <v/>
      </c>
      <c r="W2892" s="64">
        <f>IF($A2892="","",IFERROR(INDEX(계정매핑!$D$5:$D$504,MATCH($F2892&amp;"",계정매핑!$A$5:$A$504,0)),"미매핑"))</f>
        <v/>
      </c>
      <c r="X2892" s="9">
        <f>IF($A2892="","",$F2892&amp;"")</f>
        <v/>
      </c>
      <c r="Y2892" s="94">
        <f>IF($A2892="",0,IF(AE2892="직접",IF(AF2892="비귀속",$P2892,0),$P2892*(1-AG2892)*IFERROR(INDEX(계정대체기준!$F$20:$F$49,MATCH($N2892,계정대체기준!$A$20:$A$49,0)),1)))</f>
        <v/>
      </c>
      <c r="Z2892" s="94">
        <f>IF($A2892="",0,IF(AE2892="직접",IF(AF2892="신계약비",$P2892,0),$P2892*(1-AG2892)*IFERROR(INDEX(계정대체기준!$C$20:$C$49,MATCH($N2892,계정대체기준!$A$20:$A$49,0)),0)))</f>
        <v/>
      </c>
      <c r="AA2892" s="94">
        <f>IF($A2892="",0,IF(AE2892="직접",IF(OR(AF2892="유지비",AF2892="손해조사비"),$P2892,0),$P2892*(1-AG2892)*IFERROR(INDEX(계정대체기준!$D$20:$D$49,MATCH($N2892,계정대체기준!$A$20:$A$49,0)),0)))</f>
        <v/>
      </c>
      <c r="AB2892" s="94">
        <f>IF($A2892="",0,IF(AE2892="직접",IF(AF2892="수금비",$P2892,0),$P2892*(1-AG2892)*IFERROR(INDEX(계정대체기준!$E$20:$E$49,MATCH($N2892,계정대체기준!$A$20:$A$49,0)),0)))</f>
        <v/>
      </c>
      <c r="AC2892" s="9">
        <f>IF(AND($A2892&lt;&gt;"",M2892=설정!$C$20,Z2892&gt;0),Z2892+ROW()/1000000000,"")</f>
        <v/>
      </c>
      <c r="AD2892" s="94">
        <f>IF($A2892="",0,$P2892*AG2892)</f>
        <v/>
      </c>
      <c r="AE2892" s="64">
        <f>IF($A2892="","",IFERROR(INDEX(계정매핑!$E$5:$E$504,MATCH($F2892&amp;"",계정매핑!$A$5:$A$504,0))&amp;"","공통비"))</f>
        <v/>
      </c>
      <c r="AF2892" s="64">
        <f>IF($A2892="","",IF(AE2892="직접",IFERROR(INDEX(계정매핑!$F$5:$F$504,MATCH($F2892&amp;"",계정매핑!$A$5:$A$504,0))&amp;"","비귀속"),""))</f>
        <v/>
      </c>
      <c r="AG2892" s="96">
        <f>IF($A2892="",0,IF(AND(AE2892&lt;&gt;"직접",IFERROR(INDEX(계정매핑!$G$5:$G$504,MATCH($F2892&amp;"",계정매핑!$A$5:$A$504,0))&amp;"","")="유지비",COUNTIF(계정대체기준!$A$6:$A$15,$N2892)&gt;0),IFERROR(INDEX(계정대체기준!$E$6:$E$15,MATCH(VALUE($A2892&amp;""),계정대체기준!$D$6:$D$15,0)),0),0))</f>
        <v/>
      </c>
      <c r="AH2892" s="64">
        <f>IF($A2892="","",IF(AD2892=0,"",IF(OR(COUNTIF(계정대체기준!$A$77:$A$86,$N2892)&gt;0,ISNUMBER(MATCH($X2892,계정대체기준!$D$77:$D$86,0)),ISNUMBER(MATCH($F2892,계정대체기준!$D$77:$D$86,0))),"Y","N")))</f>
        <v/>
      </c>
    </row>
    <row r="2893">
      <c r="A2893" s="92" t="n">
        <v>2026</v>
      </c>
      <c r="B2893" s="92" t="n">
        <v>1</v>
      </c>
      <c r="C2893" s="92" t="inlineStr">
        <is>
          <t>5100000171</t>
        </is>
      </c>
      <c r="D2893" s="95" t="n">
        <v>46044</v>
      </c>
      <c r="E2893" s="92" t="inlineStr">
        <is>
          <t>KR</t>
        </is>
      </c>
      <c r="F2893" s="92" t="n">
        <v>62401000</v>
      </c>
      <c r="G2893" s="92" t="n">
        <v>1801</v>
      </c>
      <c r="H2893" s="93" t="n">
        <v>1892000</v>
      </c>
      <c r="I2893" s="92" t="inlineStr">
        <is>
          <t>1월 인쇄물 제작 - G인쇄</t>
        </is>
      </c>
      <c r="J2893" s="92" t="inlineStr">
        <is>
          <t>V10004</t>
        </is>
      </c>
      <c r="K2893" s="92" t="inlineStr">
        <is>
          <t>G인쇄</t>
        </is>
      </c>
      <c r="M2893" s="9">
        <f>IF($A2893="","",VALUE($A2893&amp;"")*12+VALUE($B2893&amp;""))</f>
        <v/>
      </c>
      <c r="N2893" s="64">
        <f>IF($A2893="","",IFERROR(INDEX(부서매핑!$C$5:$C$504,MATCH($G2893&amp;"",부서매핑!$A$5:$A$504,0)),"미매핑"))</f>
        <v/>
      </c>
      <c r="O2893" s="9">
        <f>IF($A2893="","",N2893&amp;"|"&amp;$F2893)</f>
        <v/>
      </c>
      <c r="P2893" s="94">
        <f>IF($A2893="",0,$H2893*설정!$C$23)</f>
        <v/>
      </c>
      <c r="Q2893" s="64">
        <f>IF($A2893="","",IF(O2893&lt;&gt;원인분석!$C$9,"",IF(AND(M2893&gt;=원인분석!$C$10,M2893&lt;=원인분석!$C$11),"당기",IF(AND(M2893&gt;=원인분석!$C$12,M2893&lt;=원인분석!$C$13),"비교",""))))</f>
        <v/>
      </c>
      <c r="R2893" s="9">
        <f>IF(Q2893="","",$K2893&amp;"")</f>
        <v/>
      </c>
      <c r="S2893" s="9">
        <f>IF(Q2893="","",IF(MATCH(R2893,$R$5:$R$100000,0)=ROW()-4,ROW(),""))</f>
        <v/>
      </c>
      <c r="T2893" s="9">
        <f>IF(Q2893="당기",ABS(P2893)+ROW()/1000000000,"")</f>
        <v/>
      </c>
      <c r="U2893" s="9">
        <f>IF(Q2893="비교",ABS(P2893)+ROW()/1000000000,"")</f>
        <v/>
      </c>
      <c r="V2893" s="64">
        <f>IF($A2893="","",IF(COUNTIF(변동분석!$E$7:$E$506,O2893)&gt;0,"Y","N"))</f>
        <v/>
      </c>
      <c r="W2893" s="64">
        <f>IF($A2893="","",IFERROR(INDEX(계정매핑!$D$5:$D$504,MATCH($F2893&amp;"",계정매핑!$A$5:$A$504,0)),"미매핑"))</f>
        <v/>
      </c>
      <c r="X2893" s="9">
        <f>IF($A2893="","",$F2893&amp;"")</f>
        <v/>
      </c>
      <c r="Y2893" s="94">
        <f>IF($A2893="",0,IF(AE2893="직접",IF(AF2893="비귀속",$P2893,0),$P2893*(1-AG2893)*IFERROR(INDEX(계정대체기준!$F$20:$F$49,MATCH($N2893,계정대체기준!$A$20:$A$49,0)),1)))</f>
        <v/>
      </c>
      <c r="Z2893" s="94">
        <f>IF($A2893="",0,IF(AE2893="직접",IF(AF2893="신계약비",$P2893,0),$P2893*(1-AG2893)*IFERROR(INDEX(계정대체기준!$C$20:$C$49,MATCH($N2893,계정대체기준!$A$20:$A$49,0)),0)))</f>
        <v/>
      </c>
      <c r="AA2893" s="94">
        <f>IF($A2893="",0,IF(AE2893="직접",IF(OR(AF2893="유지비",AF2893="손해조사비"),$P2893,0),$P2893*(1-AG2893)*IFERROR(INDEX(계정대체기준!$D$20:$D$49,MATCH($N2893,계정대체기준!$A$20:$A$49,0)),0)))</f>
        <v/>
      </c>
      <c r="AB2893" s="94">
        <f>IF($A2893="",0,IF(AE2893="직접",IF(AF2893="수금비",$P2893,0),$P2893*(1-AG2893)*IFERROR(INDEX(계정대체기준!$E$20:$E$49,MATCH($N2893,계정대체기준!$A$20:$A$49,0)),0)))</f>
        <v/>
      </c>
      <c r="AC2893" s="9">
        <f>IF(AND($A2893&lt;&gt;"",M2893=설정!$C$20,Z2893&gt;0),Z2893+ROW()/1000000000,"")</f>
        <v/>
      </c>
      <c r="AD2893" s="94">
        <f>IF($A2893="",0,$P2893*AG2893)</f>
        <v/>
      </c>
      <c r="AE2893" s="64">
        <f>IF($A2893="","",IFERROR(INDEX(계정매핑!$E$5:$E$504,MATCH($F2893&amp;"",계정매핑!$A$5:$A$504,0))&amp;"","공통비"))</f>
        <v/>
      </c>
      <c r="AF2893" s="64">
        <f>IF($A2893="","",IF(AE2893="직접",IFERROR(INDEX(계정매핑!$F$5:$F$504,MATCH($F2893&amp;"",계정매핑!$A$5:$A$504,0))&amp;"","비귀속"),""))</f>
        <v/>
      </c>
      <c r="AG2893" s="96">
        <f>IF($A2893="",0,IF(AND(AE2893&lt;&gt;"직접",IFERROR(INDEX(계정매핑!$G$5:$G$504,MATCH($F2893&amp;"",계정매핑!$A$5:$A$504,0))&amp;"","")="유지비",COUNTIF(계정대체기준!$A$6:$A$15,$N2893)&gt;0),IFERROR(INDEX(계정대체기준!$E$6:$E$15,MATCH(VALUE($A2893&amp;""),계정대체기준!$D$6:$D$15,0)),0),0))</f>
        <v/>
      </c>
      <c r="AH2893" s="64">
        <f>IF($A2893="","",IF(AD2893=0,"",IF(OR(COUNTIF(계정대체기준!$A$77:$A$86,$N2893)&gt;0,ISNUMBER(MATCH($X2893,계정대체기준!$D$77:$D$86,0)),ISNUMBER(MATCH($F2893,계정대체기준!$D$77:$D$86,0))),"Y","N")))</f>
        <v/>
      </c>
    </row>
    <row r="2894">
      <c r="A2894" s="92" t="n">
        <v>2026</v>
      </c>
      <c r="B2894" s="92" t="n">
        <v>1</v>
      </c>
      <c r="C2894" s="92" t="inlineStr">
        <is>
          <t>5100000172</t>
        </is>
      </c>
      <c r="D2894" s="95" t="n">
        <v>46044</v>
      </c>
      <c r="E2894" s="92" t="inlineStr">
        <is>
          <t>KR</t>
        </is>
      </c>
      <c r="F2894" s="92" t="n">
        <v>62801000</v>
      </c>
      <c r="G2894" s="92" t="n">
        <v>1301</v>
      </c>
      <c r="H2894" s="93" t="n">
        <v>7370000</v>
      </c>
      <c r="I2894" s="92" t="inlineStr">
        <is>
          <t>1월 사내교육 - (사내강사료)</t>
        </is>
      </c>
      <c r="J2894" s="92" t="inlineStr">
        <is>
          <t>V10024</t>
        </is>
      </c>
      <c r="K2894" s="92" t="inlineStr">
        <is>
          <t>(사내강사료)</t>
        </is>
      </c>
      <c r="M2894" s="9">
        <f>IF($A2894="","",VALUE($A2894&amp;"")*12+VALUE($B2894&amp;""))</f>
        <v/>
      </c>
      <c r="N2894" s="64">
        <f>IF($A2894="","",IFERROR(INDEX(부서매핑!$C$5:$C$504,MATCH($G2894&amp;"",부서매핑!$A$5:$A$504,0)),"미매핑"))</f>
        <v/>
      </c>
      <c r="O2894" s="9">
        <f>IF($A2894="","",N2894&amp;"|"&amp;$F2894)</f>
        <v/>
      </c>
      <c r="P2894" s="94">
        <f>IF($A2894="",0,$H2894*설정!$C$23)</f>
        <v/>
      </c>
      <c r="Q2894" s="64">
        <f>IF($A2894="","",IF(O2894&lt;&gt;원인분석!$C$9,"",IF(AND(M2894&gt;=원인분석!$C$10,M2894&lt;=원인분석!$C$11),"당기",IF(AND(M2894&gt;=원인분석!$C$12,M2894&lt;=원인분석!$C$13),"비교",""))))</f>
        <v/>
      </c>
      <c r="R2894" s="9">
        <f>IF(Q2894="","",$K2894&amp;"")</f>
        <v/>
      </c>
      <c r="S2894" s="9">
        <f>IF(Q2894="","",IF(MATCH(R2894,$R$5:$R$100000,0)=ROW()-4,ROW(),""))</f>
        <v/>
      </c>
      <c r="T2894" s="9">
        <f>IF(Q2894="당기",ABS(P2894)+ROW()/1000000000,"")</f>
        <v/>
      </c>
      <c r="U2894" s="9">
        <f>IF(Q2894="비교",ABS(P2894)+ROW()/1000000000,"")</f>
        <v/>
      </c>
      <c r="V2894" s="64">
        <f>IF($A2894="","",IF(COUNTIF(변동분석!$E$7:$E$506,O2894)&gt;0,"Y","N"))</f>
        <v/>
      </c>
      <c r="W2894" s="64">
        <f>IF($A2894="","",IFERROR(INDEX(계정매핑!$D$5:$D$504,MATCH($F2894&amp;"",계정매핑!$A$5:$A$504,0)),"미매핑"))</f>
        <v/>
      </c>
      <c r="X2894" s="9">
        <f>IF($A2894="","",$F2894&amp;"")</f>
        <v/>
      </c>
      <c r="Y2894" s="94">
        <f>IF($A2894="",0,IF(AE2894="직접",IF(AF2894="비귀속",$P2894,0),$P2894*(1-AG2894)*IFERROR(INDEX(계정대체기준!$F$20:$F$49,MATCH($N2894,계정대체기준!$A$20:$A$49,0)),1)))</f>
        <v/>
      </c>
      <c r="Z2894" s="94">
        <f>IF($A2894="",0,IF(AE2894="직접",IF(AF2894="신계약비",$P2894,0),$P2894*(1-AG2894)*IFERROR(INDEX(계정대체기준!$C$20:$C$49,MATCH($N2894,계정대체기준!$A$20:$A$49,0)),0)))</f>
        <v/>
      </c>
      <c r="AA2894" s="94">
        <f>IF($A2894="",0,IF(AE2894="직접",IF(OR(AF2894="유지비",AF2894="손해조사비"),$P2894,0),$P2894*(1-AG2894)*IFERROR(INDEX(계정대체기준!$D$20:$D$49,MATCH($N2894,계정대체기준!$A$20:$A$49,0)),0)))</f>
        <v/>
      </c>
      <c r="AB2894" s="94">
        <f>IF($A2894="",0,IF(AE2894="직접",IF(AF2894="수금비",$P2894,0),$P2894*(1-AG2894)*IFERROR(INDEX(계정대체기준!$E$20:$E$49,MATCH($N2894,계정대체기준!$A$20:$A$49,0)),0)))</f>
        <v/>
      </c>
      <c r="AC2894" s="9">
        <f>IF(AND($A2894&lt;&gt;"",M2894=설정!$C$20,Z2894&gt;0),Z2894+ROW()/1000000000,"")</f>
        <v/>
      </c>
      <c r="AD2894" s="94">
        <f>IF($A2894="",0,$P2894*AG2894)</f>
        <v/>
      </c>
      <c r="AE2894" s="64">
        <f>IF($A2894="","",IFERROR(INDEX(계정매핑!$E$5:$E$504,MATCH($F2894&amp;"",계정매핑!$A$5:$A$504,0))&amp;"","공통비"))</f>
        <v/>
      </c>
      <c r="AF2894" s="64">
        <f>IF($A2894="","",IF(AE2894="직접",IFERROR(INDEX(계정매핑!$F$5:$F$504,MATCH($F2894&amp;"",계정매핑!$A$5:$A$504,0))&amp;"","비귀속"),""))</f>
        <v/>
      </c>
      <c r="AG2894" s="96">
        <f>IF($A2894="",0,IF(AND(AE2894&lt;&gt;"직접",IFERROR(INDEX(계정매핑!$G$5:$G$504,MATCH($F2894&amp;"",계정매핑!$A$5:$A$504,0))&amp;"","")="유지비",COUNTIF(계정대체기준!$A$6:$A$15,$N2894)&gt;0),IFERROR(INDEX(계정대체기준!$E$6:$E$15,MATCH(VALUE($A2894&amp;""),계정대체기준!$D$6:$D$15,0)),0),0))</f>
        <v/>
      </c>
      <c r="AH2894" s="64">
        <f>IF($A2894="","",IF(AD2894=0,"",IF(OR(COUNTIF(계정대체기준!$A$77:$A$86,$N2894)&gt;0,ISNUMBER(MATCH($X2894,계정대체기준!$D$77:$D$86,0)),ISNUMBER(MATCH($F2894,계정대체기준!$D$77:$D$86,0))),"Y","N")))</f>
        <v/>
      </c>
    </row>
    <row r="2895">
      <c r="A2895" s="92" t="n">
        <v>2026</v>
      </c>
      <c r="B2895" s="92" t="n">
        <v>1</v>
      </c>
      <c r="C2895" s="92" t="inlineStr">
        <is>
          <t>5100000173</t>
        </is>
      </c>
      <c r="D2895" s="95" t="n">
        <v>46044</v>
      </c>
      <c r="E2895" s="92" t="inlineStr">
        <is>
          <t>KR</t>
        </is>
      </c>
      <c r="F2895" s="92" t="n">
        <v>62802000</v>
      </c>
      <c r="G2895" s="92" t="n">
        <v>1301</v>
      </c>
      <c r="H2895" s="93" t="n">
        <v>2522000</v>
      </c>
      <c r="I2895" s="92" t="inlineStr">
        <is>
          <t>1월 위탁교육 - I교육원</t>
        </is>
      </c>
      <c r="J2895" s="92" t="inlineStr">
        <is>
          <t>V10019</t>
        </is>
      </c>
      <c r="K2895" s="92" t="inlineStr">
        <is>
          <t>I교육원</t>
        </is>
      </c>
      <c r="M2895" s="9">
        <f>IF($A2895="","",VALUE($A2895&amp;"")*12+VALUE($B2895&amp;""))</f>
        <v/>
      </c>
      <c r="N2895" s="64">
        <f>IF($A2895="","",IFERROR(INDEX(부서매핑!$C$5:$C$504,MATCH($G2895&amp;"",부서매핑!$A$5:$A$504,0)),"미매핑"))</f>
        <v/>
      </c>
      <c r="O2895" s="9">
        <f>IF($A2895="","",N2895&amp;"|"&amp;$F2895)</f>
        <v/>
      </c>
      <c r="P2895" s="94">
        <f>IF($A2895="",0,$H2895*설정!$C$23)</f>
        <v/>
      </c>
      <c r="Q2895" s="64">
        <f>IF($A2895="","",IF(O2895&lt;&gt;원인분석!$C$9,"",IF(AND(M2895&gt;=원인분석!$C$10,M2895&lt;=원인분석!$C$11),"당기",IF(AND(M2895&gt;=원인분석!$C$12,M2895&lt;=원인분석!$C$13),"비교",""))))</f>
        <v/>
      </c>
      <c r="R2895" s="9">
        <f>IF(Q2895="","",$K2895&amp;"")</f>
        <v/>
      </c>
      <c r="S2895" s="9">
        <f>IF(Q2895="","",IF(MATCH(R2895,$R$5:$R$100000,0)=ROW()-4,ROW(),""))</f>
        <v/>
      </c>
      <c r="T2895" s="9">
        <f>IF(Q2895="당기",ABS(P2895)+ROW()/1000000000,"")</f>
        <v/>
      </c>
      <c r="U2895" s="9">
        <f>IF(Q2895="비교",ABS(P2895)+ROW()/1000000000,"")</f>
        <v/>
      </c>
      <c r="V2895" s="64">
        <f>IF($A2895="","",IF(COUNTIF(변동분석!$E$7:$E$506,O2895)&gt;0,"Y","N"))</f>
        <v/>
      </c>
      <c r="W2895" s="64">
        <f>IF($A2895="","",IFERROR(INDEX(계정매핑!$D$5:$D$504,MATCH($F2895&amp;"",계정매핑!$A$5:$A$504,0)),"미매핑"))</f>
        <v/>
      </c>
      <c r="X2895" s="9">
        <f>IF($A2895="","",$F2895&amp;"")</f>
        <v/>
      </c>
      <c r="Y2895" s="94">
        <f>IF($A2895="",0,IF(AE2895="직접",IF(AF2895="비귀속",$P2895,0),$P2895*(1-AG2895)*IFERROR(INDEX(계정대체기준!$F$20:$F$49,MATCH($N2895,계정대체기준!$A$20:$A$49,0)),1)))</f>
        <v/>
      </c>
      <c r="Z2895" s="94">
        <f>IF($A2895="",0,IF(AE2895="직접",IF(AF2895="신계약비",$P2895,0),$P2895*(1-AG2895)*IFERROR(INDEX(계정대체기준!$C$20:$C$49,MATCH($N2895,계정대체기준!$A$20:$A$49,0)),0)))</f>
        <v/>
      </c>
      <c r="AA2895" s="94">
        <f>IF($A2895="",0,IF(AE2895="직접",IF(OR(AF2895="유지비",AF2895="손해조사비"),$P2895,0),$P2895*(1-AG2895)*IFERROR(INDEX(계정대체기준!$D$20:$D$49,MATCH($N2895,계정대체기준!$A$20:$A$49,0)),0)))</f>
        <v/>
      </c>
      <c r="AB2895" s="94">
        <f>IF($A2895="",0,IF(AE2895="직접",IF(AF2895="수금비",$P2895,0),$P2895*(1-AG2895)*IFERROR(INDEX(계정대체기준!$E$20:$E$49,MATCH($N2895,계정대체기준!$A$20:$A$49,0)),0)))</f>
        <v/>
      </c>
      <c r="AC2895" s="9">
        <f>IF(AND($A2895&lt;&gt;"",M2895=설정!$C$20,Z2895&gt;0),Z2895+ROW()/1000000000,"")</f>
        <v/>
      </c>
      <c r="AD2895" s="94">
        <f>IF($A2895="",0,$P2895*AG2895)</f>
        <v/>
      </c>
      <c r="AE2895" s="64">
        <f>IF($A2895="","",IFERROR(INDEX(계정매핑!$E$5:$E$504,MATCH($F2895&amp;"",계정매핑!$A$5:$A$504,0))&amp;"","공통비"))</f>
        <v/>
      </c>
      <c r="AF2895" s="64">
        <f>IF($A2895="","",IF(AE2895="직접",IFERROR(INDEX(계정매핑!$F$5:$F$504,MATCH($F2895&amp;"",계정매핑!$A$5:$A$504,0))&amp;"","비귀속"),""))</f>
        <v/>
      </c>
      <c r="AG2895" s="96">
        <f>IF($A2895="",0,IF(AND(AE2895&lt;&gt;"직접",IFERROR(INDEX(계정매핑!$G$5:$G$504,MATCH($F2895&amp;"",계정매핑!$A$5:$A$504,0))&amp;"","")="유지비",COUNTIF(계정대체기준!$A$6:$A$15,$N2895)&gt;0),IFERROR(INDEX(계정대체기준!$E$6:$E$15,MATCH(VALUE($A2895&amp;""),계정대체기준!$D$6:$D$15,0)),0),0))</f>
        <v/>
      </c>
      <c r="AH2895" s="64">
        <f>IF($A2895="","",IF(AD2895=0,"",IF(OR(COUNTIF(계정대체기준!$A$77:$A$86,$N2895)&gt;0,ISNUMBER(MATCH($X2895,계정대체기준!$D$77:$D$86,0)),ISNUMBER(MATCH($F2895,계정대체기준!$D$77:$D$86,0))),"Y","N")))</f>
        <v/>
      </c>
    </row>
    <row r="2896">
      <c r="A2896" s="92" t="n">
        <v>2026</v>
      </c>
      <c r="B2896" s="92" t="n">
        <v>1</v>
      </c>
      <c r="C2896" s="92" t="inlineStr">
        <is>
          <t>5100000174</t>
        </is>
      </c>
      <c r="D2896" s="95" t="n">
        <v>46044</v>
      </c>
      <c r="E2896" s="92" t="inlineStr">
        <is>
          <t>KR</t>
        </is>
      </c>
      <c r="F2896" s="92" t="n">
        <v>62901000</v>
      </c>
      <c r="G2896" s="92" t="n">
        <v>1801</v>
      </c>
      <c r="H2896" s="93" t="n">
        <v>9765000</v>
      </c>
      <c r="I2896" s="92" t="inlineStr">
        <is>
          <t>1월 자문 수수료 - W컨설팅</t>
        </is>
      </c>
      <c r="J2896" s="92" t="inlineStr">
        <is>
          <t>V10006</t>
        </is>
      </c>
      <c r="K2896" s="92" t="inlineStr">
        <is>
          <t>W컨설팅</t>
        </is>
      </c>
      <c r="M2896" s="9">
        <f>IF($A2896="","",VALUE($A2896&amp;"")*12+VALUE($B2896&amp;""))</f>
        <v/>
      </c>
      <c r="N2896" s="64">
        <f>IF($A2896="","",IFERROR(INDEX(부서매핑!$C$5:$C$504,MATCH($G2896&amp;"",부서매핑!$A$5:$A$504,0)),"미매핑"))</f>
        <v/>
      </c>
      <c r="O2896" s="9">
        <f>IF($A2896="","",N2896&amp;"|"&amp;$F2896)</f>
        <v/>
      </c>
      <c r="P2896" s="94">
        <f>IF($A2896="",0,$H2896*설정!$C$23)</f>
        <v/>
      </c>
      <c r="Q2896" s="64">
        <f>IF($A2896="","",IF(O2896&lt;&gt;원인분석!$C$9,"",IF(AND(M2896&gt;=원인분석!$C$10,M2896&lt;=원인분석!$C$11),"당기",IF(AND(M2896&gt;=원인분석!$C$12,M2896&lt;=원인분석!$C$13),"비교",""))))</f>
        <v/>
      </c>
      <c r="R2896" s="9">
        <f>IF(Q2896="","",$K2896&amp;"")</f>
        <v/>
      </c>
      <c r="S2896" s="9">
        <f>IF(Q2896="","",IF(MATCH(R2896,$R$5:$R$100000,0)=ROW()-4,ROW(),""))</f>
        <v/>
      </c>
      <c r="T2896" s="9">
        <f>IF(Q2896="당기",ABS(P2896)+ROW()/1000000000,"")</f>
        <v/>
      </c>
      <c r="U2896" s="9">
        <f>IF(Q2896="비교",ABS(P2896)+ROW()/1000000000,"")</f>
        <v/>
      </c>
      <c r="V2896" s="64">
        <f>IF($A2896="","",IF(COUNTIF(변동분석!$E$7:$E$506,O2896)&gt;0,"Y","N"))</f>
        <v/>
      </c>
      <c r="W2896" s="64">
        <f>IF($A2896="","",IFERROR(INDEX(계정매핑!$D$5:$D$504,MATCH($F2896&amp;"",계정매핑!$A$5:$A$504,0)),"미매핑"))</f>
        <v/>
      </c>
      <c r="X2896" s="9">
        <f>IF($A2896="","",$F2896&amp;"")</f>
        <v/>
      </c>
      <c r="Y2896" s="94">
        <f>IF($A2896="",0,IF(AE2896="직접",IF(AF2896="비귀속",$P2896,0),$P2896*(1-AG2896)*IFERROR(INDEX(계정대체기준!$F$20:$F$49,MATCH($N2896,계정대체기준!$A$20:$A$49,0)),1)))</f>
        <v/>
      </c>
      <c r="Z2896" s="94">
        <f>IF($A2896="",0,IF(AE2896="직접",IF(AF2896="신계약비",$P2896,0),$P2896*(1-AG2896)*IFERROR(INDEX(계정대체기준!$C$20:$C$49,MATCH($N2896,계정대체기준!$A$20:$A$49,0)),0)))</f>
        <v/>
      </c>
      <c r="AA2896" s="94">
        <f>IF($A2896="",0,IF(AE2896="직접",IF(OR(AF2896="유지비",AF2896="손해조사비"),$P2896,0),$P2896*(1-AG2896)*IFERROR(INDEX(계정대체기준!$D$20:$D$49,MATCH($N2896,계정대체기준!$A$20:$A$49,0)),0)))</f>
        <v/>
      </c>
      <c r="AB2896" s="94">
        <f>IF($A2896="",0,IF(AE2896="직접",IF(AF2896="수금비",$P2896,0),$P2896*(1-AG2896)*IFERROR(INDEX(계정대체기준!$E$20:$E$49,MATCH($N2896,계정대체기준!$A$20:$A$49,0)),0)))</f>
        <v/>
      </c>
      <c r="AC2896" s="9">
        <f>IF(AND($A2896&lt;&gt;"",M2896=설정!$C$20,Z2896&gt;0),Z2896+ROW()/1000000000,"")</f>
        <v/>
      </c>
      <c r="AD2896" s="94">
        <f>IF($A2896="",0,$P2896*AG2896)</f>
        <v/>
      </c>
      <c r="AE2896" s="64">
        <f>IF($A2896="","",IFERROR(INDEX(계정매핑!$E$5:$E$504,MATCH($F2896&amp;"",계정매핑!$A$5:$A$504,0))&amp;"","공통비"))</f>
        <v/>
      </c>
      <c r="AF2896" s="64">
        <f>IF($A2896="","",IF(AE2896="직접",IFERROR(INDEX(계정매핑!$F$5:$F$504,MATCH($F2896&amp;"",계정매핑!$A$5:$A$504,0))&amp;"","비귀속"),""))</f>
        <v/>
      </c>
      <c r="AG2896" s="96">
        <f>IF($A2896="",0,IF(AND(AE2896&lt;&gt;"직접",IFERROR(INDEX(계정매핑!$G$5:$G$504,MATCH($F2896&amp;"",계정매핑!$A$5:$A$504,0))&amp;"","")="유지비",COUNTIF(계정대체기준!$A$6:$A$15,$N2896)&gt;0),IFERROR(INDEX(계정대체기준!$E$6:$E$15,MATCH(VALUE($A2896&amp;""),계정대체기준!$D$6:$D$15,0)),0),0))</f>
        <v/>
      </c>
      <c r="AH2896" s="64">
        <f>IF($A2896="","",IF(AD2896=0,"",IF(OR(COUNTIF(계정대체기준!$A$77:$A$86,$N2896)&gt;0,ISNUMBER(MATCH($X2896,계정대체기준!$D$77:$D$86,0)),ISNUMBER(MATCH($F2896,계정대체기준!$D$77:$D$86,0))),"Y","N")))</f>
        <v/>
      </c>
    </row>
    <row r="2897">
      <c r="A2897" s="92" t="n">
        <v>2026</v>
      </c>
      <c r="B2897" s="92" t="n">
        <v>1</v>
      </c>
      <c r="C2897" s="92" t="inlineStr">
        <is>
          <t>5100000175</t>
        </is>
      </c>
      <c r="D2897" s="95" t="n">
        <v>46044</v>
      </c>
      <c r="E2897" s="92" t="inlineStr">
        <is>
          <t>KR</t>
        </is>
      </c>
      <c r="F2897" s="92" t="n">
        <v>62902000</v>
      </c>
      <c r="G2897" s="92" t="n">
        <v>1101</v>
      </c>
      <c r="H2897" s="93" t="n">
        <v>1422000</v>
      </c>
      <c r="I2897" s="92" t="inlineStr">
        <is>
          <t>1월 업무 위탁 수수료 - J콜센터</t>
        </is>
      </c>
      <c r="J2897" s="92" t="inlineStr">
        <is>
          <t>V10016</t>
        </is>
      </c>
      <c r="K2897" s="92" t="inlineStr">
        <is>
          <t>J콜센터</t>
        </is>
      </c>
      <c r="M2897" s="9">
        <f>IF($A2897="","",VALUE($A2897&amp;"")*12+VALUE($B2897&amp;""))</f>
        <v/>
      </c>
      <c r="N2897" s="64">
        <f>IF($A2897="","",IFERROR(INDEX(부서매핑!$C$5:$C$504,MATCH($G2897&amp;"",부서매핑!$A$5:$A$504,0)),"미매핑"))</f>
        <v/>
      </c>
      <c r="O2897" s="9">
        <f>IF($A2897="","",N2897&amp;"|"&amp;$F2897)</f>
        <v/>
      </c>
      <c r="P2897" s="94">
        <f>IF($A2897="",0,$H2897*설정!$C$23)</f>
        <v/>
      </c>
      <c r="Q2897" s="64">
        <f>IF($A2897="","",IF(O2897&lt;&gt;원인분석!$C$9,"",IF(AND(M2897&gt;=원인분석!$C$10,M2897&lt;=원인분석!$C$11),"당기",IF(AND(M2897&gt;=원인분석!$C$12,M2897&lt;=원인분석!$C$13),"비교",""))))</f>
        <v/>
      </c>
      <c r="R2897" s="9">
        <f>IF(Q2897="","",$K2897&amp;"")</f>
        <v/>
      </c>
      <c r="S2897" s="9">
        <f>IF(Q2897="","",IF(MATCH(R2897,$R$5:$R$100000,0)=ROW()-4,ROW(),""))</f>
        <v/>
      </c>
      <c r="T2897" s="9">
        <f>IF(Q2897="당기",ABS(P2897)+ROW()/1000000000,"")</f>
        <v/>
      </c>
      <c r="U2897" s="9">
        <f>IF(Q2897="비교",ABS(P2897)+ROW()/1000000000,"")</f>
        <v/>
      </c>
      <c r="V2897" s="64">
        <f>IF($A2897="","",IF(COUNTIF(변동분석!$E$7:$E$506,O2897)&gt;0,"Y","N"))</f>
        <v/>
      </c>
      <c r="W2897" s="64">
        <f>IF($A2897="","",IFERROR(INDEX(계정매핑!$D$5:$D$504,MATCH($F2897&amp;"",계정매핑!$A$5:$A$504,0)),"미매핑"))</f>
        <v/>
      </c>
      <c r="X2897" s="9">
        <f>IF($A2897="","",$F2897&amp;"")</f>
        <v/>
      </c>
      <c r="Y2897" s="94">
        <f>IF($A2897="",0,IF(AE2897="직접",IF(AF2897="비귀속",$P2897,0),$P2897*(1-AG2897)*IFERROR(INDEX(계정대체기준!$F$20:$F$49,MATCH($N2897,계정대체기준!$A$20:$A$49,0)),1)))</f>
        <v/>
      </c>
      <c r="Z2897" s="94">
        <f>IF($A2897="",0,IF(AE2897="직접",IF(AF2897="신계약비",$P2897,0),$P2897*(1-AG2897)*IFERROR(INDEX(계정대체기준!$C$20:$C$49,MATCH($N2897,계정대체기준!$A$20:$A$49,0)),0)))</f>
        <v/>
      </c>
      <c r="AA2897" s="94">
        <f>IF($A2897="",0,IF(AE2897="직접",IF(OR(AF2897="유지비",AF2897="손해조사비"),$P2897,0),$P2897*(1-AG2897)*IFERROR(INDEX(계정대체기준!$D$20:$D$49,MATCH($N2897,계정대체기준!$A$20:$A$49,0)),0)))</f>
        <v/>
      </c>
      <c r="AB2897" s="94">
        <f>IF($A2897="",0,IF(AE2897="직접",IF(AF2897="수금비",$P2897,0),$P2897*(1-AG2897)*IFERROR(INDEX(계정대체기준!$E$20:$E$49,MATCH($N2897,계정대체기준!$A$20:$A$49,0)),0)))</f>
        <v/>
      </c>
      <c r="AC2897" s="9">
        <f>IF(AND($A2897&lt;&gt;"",M2897=설정!$C$20,Z2897&gt;0),Z2897+ROW()/1000000000,"")</f>
        <v/>
      </c>
      <c r="AD2897" s="94">
        <f>IF($A2897="",0,$P2897*AG2897)</f>
        <v/>
      </c>
      <c r="AE2897" s="64">
        <f>IF($A2897="","",IFERROR(INDEX(계정매핑!$E$5:$E$504,MATCH($F2897&amp;"",계정매핑!$A$5:$A$504,0))&amp;"","공통비"))</f>
        <v/>
      </c>
      <c r="AF2897" s="64">
        <f>IF($A2897="","",IF(AE2897="직접",IFERROR(INDEX(계정매핑!$F$5:$F$504,MATCH($F2897&amp;"",계정매핑!$A$5:$A$504,0))&amp;"","비귀속"),""))</f>
        <v/>
      </c>
      <c r="AG2897" s="96">
        <f>IF($A2897="",0,IF(AND(AE2897&lt;&gt;"직접",IFERROR(INDEX(계정매핑!$G$5:$G$504,MATCH($F2897&amp;"",계정매핑!$A$5:$A$504,0))&amp;"","")="유지비",COUNTIF(계정대체기준!$A$6:$A$15,$N2897)&gt;0),IFERROR(INDEX(계정대체기준!$E$6:$E$15,MATCH(VALUE($A2897&amp;""),계정대체기준!$D$6:$D$15,0)),0),0))</f>
        <v/>
      </c>
      <c r="AH2897" s="64">
        <f>IF($A2897="","",IF(AD2897=0,"",IF(OR(COUNTIF(계정대체기준!$A$77:$A$86,$N2897)&gt;0,ISNUMBER(MATCH($X2897,계정대체기준!$D$77:$D$86,0)),ISNUMBER(MATCH($F2897,계정대체기준!$D$77:$D$86,0))),"Y","N")))</f>
        <v/>
      </c>
    </row>
    <row r="2898">
      <c r="A2898" s="92" t="n">
        <v>2026</v>
      </c>
      <c r="B2898" s="92" t="n">
        <v>1</v>
      </c>
      <c r="C2898" s="92" t="inlineStr">
        <is>
          <t>5100000176</t>
        </is>
      </c>
      <c r="D2898" s="95" t="n">
        <v>46044</v>
      </c>
      <c r="E2898" s="92" t="inlineStr">
        <is>
          <t>KR</t>
        </is>
      </c>
      <c r="F2898" s="92" t="n">
        <v>63501000</v>
      </c>
      <c r="G2898" s="92" t="n">
        <v>1901</v>
      </c>
      <c r="H2898" s="93" t="n">
        <v>518323000</v>
      </c>
      <c r="I2898" s="92" t="inlineStr">
        <is>
          <t>1월 모집수수료 - BB에셋</t>
        </is>
      </c>
      <c r="J2898" s="92" t="inlineStr">
        <is>
          <t>V10013</t>
        </is>
      </c>
      <c r="K2898" s="92" t="inlineStr">
        <is>
          <t>BB에셋</t>
        </is>
      </c>
      <c r="M2898" s="9">
        <f>IF($A2898="","",VALUE($A2898&amp;"")*12+VALUE($B2898&amp;""))</f>
        <v/>
      </c>
      <c r="N2898" s="64">
        <f>IF($A2898="","",IFERROR(INDEX(부서매핑!$C$5:$C$504,MATCH($G2898&amp;"",부서매핑!$A$5:$A$504,0)),"미매핑"))</f>
        <v/>
      </c>
      <c r="O2898" s="9">
        <f>IF($A2898="","",N2898&amp;"|"&amp;$F2898)</f>
        <v/>
      </c>
      <c r="P2898" s="94">
        <f>IF($A2898="",0,$H2898*설정!$C$23)</f>
        <v/>
      </c>
      <c r="Q2898" s="64">
        <f>IF($A2898="","",IF(O2898&lt;&gt;원인분석!$C$9,"",IF(AND(M2898&gt;=원인분석!$C$10,M2898&lt;=원인분석!$C$11),"당기",IF(AND(M2898&gt;=원인분석!$C$12,M2898&lt;=원인분석!$C$13),"비교",""))))</f>
        <v/>
      </c>
      <c r="R2898" s="9">
        <f>IF(Q2898="","",$K2898&amp;"")</f>
        <v/>
      </c>
      <c r="S2898" s="9">
        <f>IF(Q2898="","",IF(MATCH(R2898,$R$5:$R$100000,0)=ROW()-4,ROW(),""))</f>
        <v/>
      </c>
      <c r="T2898" s="9">
        <f>IF(Q2898="당기",ABS(P2898)+ROW()/1000000000,"")</f>
        <v/>
      </c>
      <c r="U2898" s="9">
        <f>IF(Q2898="비교",ABS(P2898)+ROW()/1000000000,"")</f>
        <v/>
      </c>
      <c r="V2898" s="64">
        <f>IF($A2898="","",IF(COUNTIF(변동분석!$E$7:$E$506,O2898)&gt;0,"Y","N"))</f>
        <v/>
      </c>
      <c r="W2898" s="64">
        <f>IF($A2898="","",IFERROR(INDEX(계정매핑!$D$5:$D$504,MATCH($F2898&amp;"",계정매핑!$A$5:$A$504,0)),"미매핑"))</f>
        <v/>
      </c>
      <c r="X2898" s="9">
        <f>IF($A2898="","",$F2898&amp;"")</f>
        <v/>
      </c>
      <c r="Y2898" s="94">
        <f>IF($A2898="",0,IF(AE2898="직접",IF(AF2898="비귀속",$P2898,0),$P2898*(1-AG2898)*IFERROR(INDEX(계정대체기준!$F$20:$F$49,MATCH($N2898,계정대체기준!$A$20:$A$49,0)),1)))</f>
        <v/>
      </c>
      <c r="Z2898" s="94">
        <f>IF($A2898="",0,IF(AE2898="직접",IF(AF2898="신계약비",$P2898,0),$P2898*(1-AG2898)*IFERROR(INDEX(계정대체기준!$C$20:$C$49,MATCH($N2898,계정대체기준!$A$20:$A$49,0)),0)))</f>
        <v/>
      </c>
      <c r="AA2898" s="94">
        <f>IF($A2898="",0,IF(AE2898="직접",IF(OR(AF2898="유지비",AF2898="손해조사비"),$P2898,0),$P2898*(1-AG2898)*IFERROR(INDEX(계정대체기준!$D$20:$D$49,MATCH($N2898,계정대체기준!$A$20:$A$49,0)),0)))</f>
        <v/>
      </c>
      <c r="AB2898" s="94">
        <f>IF($A2898="",0,IF(AE2898="직접",IF(AF2898="수금비",$P2898,0),$P2898*(1-AG2898)*IFERROR(INDEX(계정대체기준!$E$20:$E$49,MATCH($N2898,계정대체기준!$A$20:$A$49,0)),0)))</f>
        <v/>
      </c>
      <c r="AC2898" s="9">
        <f>IF(AND($A2898&lt;&gt;"",M2898=설정!$C$20,Z2898&gt;0),Z2898+ROW()/1000000000,"")</f>
        <v/>
      </c>
      <c r="AD2898" s="94">
        <f>IF($A2898="",0,$P2898*AG2898)</f>
        <v/>
      </c>
      <c r="AE2898" s="64">
        <f>IF($A2898="","",IFERROR(INDEX(계정매핑!$E$5:$E$504,MATCH($F2898&amp;"",계정매핑!$A$5:$A$504,0))&amp;"","공통비"))</f>
        <v/>
      </c>
      <c r="AF2898" s="64">
        <f>IF($A2898="","",IF(AE2898="직접",IFERROR(INDEX(계정매핑!$F$5:$F$504,MATCH($F2898&amp;"",계정매핑!$A$5:$A$504,0))&amp;"","비귀속"),""))</f>
        <v/>
      </c>
      <c r="AG2898" s="96">
        <f>IF($A2898="",0,IF(AND(AE2898&lt;&gt;"직접",IFERROR(INDEX(계정매핑!$G$5:$G$504,MATCH($F2898&amp;"",계정매핑!$A$5:$A$504,0))&amp;"","")="유지비",COUNTIF(계정대체기준!$A$6:$A$15,$N2898)&gt;0),IFERROR(INDEX(계정대체기준!$E$6:$E$15,MATCH(VALUE($A2898&amp;""),계정대체기준!$D$6:$D$15,0)),0),0))</f>
        <v/>
      </c>
      <c r="AH2898" s="64">
        <f>IF($A2898="","",IF(AD2898=0,"",IF(OR(COUNTIF(계정대체기준!$A$77:$A$86,$N2898)&gt;0,ISNUMBER(MATCH($X2898,계정대체기준!$D$77:$D$86,0)),ISNUMBER(MATCH($F2898,계정대체기준!$D$77:$D$86,0))),"Y","N")))</f>
        <v/>
      </c>
    </row>
    <row r="2899">
      <c r="A2899" s="92" t="n">
        <v>2026</v>
      </c>
      <c r="B2899" s="92" t="n">
        <v>1</v>
      </c>
      <c r="C2899" s="92" t="inlineStr">
        <is>
          <t>5100000177</t>
        </is>
      </c>
      <c r="D2899" s="95" t="n">
        <v>46045</v>
      </c>
      <c r="E2899" s="92" t="inlineStr">
        <is>
          <t>KR</t>
        </is>
      </c>
      <c r="F2899" s="92" t="n">
        <v>62102000</v>
      </c>
      <c r="G2899" s="92" t="n">
        <v>1101</v>
      </c>
      <c r="H2899" s="93" t="n">
        <v>124000</v>
      </c>
      <c r="I2899" s="92" t="inlineStr">
        <is>
          <t>1월 해외출장 - M항공</t>
        </is>
      </c>
      <c r="J2899" s="92" t="inlineStr">
        <is>
          <t>V10001</t>
        </is>
      </c>
      <c r="K2899" s="92" t="inlineStr">
        <is>
          <t>M항공</t>
        </is>
      </c>
      <c r="M2899" s="9">
        <f>IF($A2899="","",VALUE($A2899&amp;"")*12+VALUE($B2899&amp;""))</f>
        <v/>
      </c>
      <c r="N2899" s="64">
        <f>IF($A2899="","",IFERROR(INDEX(부서매핑!$C$5:$C$504,MATCH($G2899&amp;"",부서매핑!$A$5:$A$504,0)),"미매핑"))</f>
        <v/>
      </c>
      <c r="O2899" s="9">
        <f>IF($A2899="","",N2899&amp;"|"&amp;$F2899)</f>
        <v/>
      </c>
      <c r="P2899" s="94">
        <f>IF($A2899="",0,$H2899*설정!$C$23)</f>
        <v/>
      </c>
      <c r="Q2899" s="64">
        <f>IF($A2899="","",IF(O2899&lt;&gt;원인분석!$C$9,"",IF(AND(M2899&gt;=원인분석!$C$10,M2899&lt;=원인분석!$C$11),"당기",IF(AND(M2899&gt;=원인분석!$C$12,M2899&lt;=원인분석!$C$13),"비교",""))))</f>
        <v/>
      </c>
      <c r="R2899" s="9">
        <f>IF(Q2899="","",$K2899&amp;"")</f>
        <v/>
      </c>
      <c r="S2899" s="9">
        <f>IF(Q2899="","",IF(MATCH(R2899,$R$5:$R$100000,0)=ROW()-4,ROW(),""))</f>
        <v/>
      </c>
      <c r="T2899" s="9">
        <f>IF(Q2899="당기",ABS(P2899)+ROW()/1000000000,"")</f>
        <v/>
      </c>
      <c r="U2899" s="9">
        <f>IF(Q2899="비교",ABS(P2899)+ROW()/1000000000,"")</f>
        <v/>
      </c>
      <c r="V2899" s="64">
        <f>IF($A2899="","",IF(COUNTIF(변동분석!$E$7:$E$506,O2899)&gt;0,"Y","N"))</f>
        <v/>
      </c>
      <c r="W2899" s="64">
        <f>IF($A2899="","",IFERROR(INDEX(계정매핑!$D$5:$D$504,MATCH($F2899&amp;"",계정매핑!$A$5:$A$504,0)),"미매핑"))</f>
        <v/>
      </c>
      <c r="X2899" s="9">
        <f>IF($A2899="","",$F2899&amp;"")</f>
        <v/>
      </c>
      <c r="Y2899" s="94">
        <f>IF($A2899="",0,IF(AE2899="직접",IF(AF2899="비귀속",$P2899,0),$P2899*(1-AG2899)*IFERROR(INDEX(계정대체기준!$F$20:$F$49,MATCH($N2899,계정대체기준!$A$20:$A$49,0)),1)))</f>
        <v/>
      </c>
      <c r="Z2899" s="94">
        <f>IF($A2899="",0,IF(AE2899="직접",IF(AF2899="신계약비",$P2899,0),$P2899*(1-AG2899)*IFERROR(INDEX(계정대체기준!$C$20:$C$49,MATCH($N2899,계정대체기준!$A$20:$A$49,0)),0)))</f>
        <v/>
      </c>
      <c r="AA2899" s="94">
        <f>IF($A2899="",0,IF(AE2899="직접",IF(OR(AF2899="유지비",AF2899="손해조사비"),$P2899,0),$P2899*(1-AG2899)*IFERROR(INDEX(계정대체기준!$D$20:$D$49,MATCH($N2899,계정대체기준!$A$20:$A$49,0)),0)))</f>
        <v/>
      </c>
      <c r="AB2899" s="94">
        <f>IF($A2899="",0,IF(AE2899="직접",IF(AF2899="수금비",$P2899,0),$P2899*(1-AG2899)*IFERROR(INDEX(계정대체기준!$E$20:$E$49,MATCH($N2899,계정대체기준!$A$20:$A$49,0)),0)))</f>
        <v/>
      </c>
      <c r="AC2899" s="9">
        <f>IF(AND($A2899&lt;&gt;"",M2899=설정!$C$20,Z2899&gt;0),Z2899+ROW()/1000000000,"")</f>
        <v/>
      </c>
      <c r="AD2899" s="94">
        <f>IF($A2899="",0,$P2899*AG2899)</f>
        <v/>
      </c>
      <c r="AE2899" s="64">
        <f>IF($A2899="","",IFERROR(INDEX(계정매핑!$E$5:$E$504,MATCH($F2899&amp;"",계정매핑!$A$5:$A$504,0))&amp;"","공통비"))</f>
        <v/>
      </c>
      <c r="AF2899" s="64">
        <f>IF($A2899="","",IF(AE2899="직접",IFERROR(INDEX(계정매핑!$F$5:$F$504,MATCH($F2899&amp;"",계정매핑!$A$5:$A$504,0))&amp;"","비귀속"),""))</f>
        <v/>
      </c>
      <c r="AG2899" s="96">
        <f>IF($A2899="",0,IF(AND(AE2899&lt;&gt;"직접",IFERROR(INDEX(계정매핑!$G$5:$G$504,MATCH($F2899&amp;"",계정매핑!$A$5:$A$504,0))&amp;"","")="유지비",COUNTIF(계정대체기준!$A$6:$A$15,$N2899)&gt;0),IFERROR(INDEX(계정대체기준!$E$6:$E$15,MATCH(VALUE($A2899&amp;""),계정대체기준!$D$6:$D$15,0)),0),0))</f>
        <v/>
      </c>
      <c r="AH2899" s="64">
        <f>IF($A2899="","",IF(AD2899=0,"",IF(OR(COUNTIF(계정대체기준!$A$77:$A$86,$N2899)&gt;0,ISNUMBER(MATCH($X2899,계정대체기준!$D$77:$D$86,0)),ISNUMBER(MATCH($F2899,계정대체기준!$D$77:$D$86,0))),"Y","N")))</f>
        <v/>
      </c>
    </row>
    <row r="2900">
      <c r="A2900" s="92" t="n">
        <v>2026</v>
      </c>
      <c r="B2900" s="92" t="n">
        <v>1</v>
      </c>
      <c r="C2900" s="92" t="inlineStr">
        <is>
          <t>5100000178</t>
        </is>
      </c>
      <c r="D2900" s="95" t="n">
        <v>46045</v>
      </c>
      <c r="E2900" s="92" t="inlineStr">
        <is>
          <t>KR</t>
        </is>
      </c>
      <c r="F2900" s="92" t="n">
        <v>62201000</v>
      </c>
      <c r="G2900" s="92" t="n">
        <v>1101</v>
      </c>
      <c r="H2900" s="93" t="n">
        <v>302000</v>
      </c>
      <c r="I2900" s="92" t="inlineStr">
        <is>
          <t>1월 통신요금 - P통신</t>
        </is>
      </c>
      <c r="J2900" s="92" t="inlineStr">
        <is>
          <t>V10014</t>
        </is>
      </c>
      <c r="K2900" s="92" t="inlineStr">
        <is>
          <t>P통신</t>
        </is>
      </c>
      <c r="M2900" s="9">
        <f>IF($A2900="","",VALUE($A2900&amp;"")*12+VALUE($B2900&amp;""))</f>
        <v/>
      </c>
      <c r="N2900" s="64">
        <f>IF($A2900="","",IFERROR(INDEX(부서매핑!$C$5:$C$504,MATCH($G2900&amp;"",부서매핑!$A$5:$A$504,0)),"미매핑"))</f>
        <v/>
      </c>
      <c r="O2900" s="9">
        <f>IF($A2900="","",N2900&amp;"|"&amp;$F2900)</f>
        <v/>
      </c>
      <c r="P2900" s="94">
        <f>IF($A2900="",0,$H2900*설정!$C$23)</f>
        <v/>
      </c>
      <c r="Q2900" s="64">
        <f>IF($A2900="","",IF(O2900&lt;&gt;원인분석!$C$9,"",IF(AND(M2900&gt;=원인분석!$C$10,M2900&lt;=원인분석!$C$11),"당기",IF(AND(M2900&gt;=원인분석!$C$12,M2900&lt;=원인분석!$C$13),"비교",""))))</f>
        <v/>
      </c>
      <c r="R2900" s="9">
        <f>IF(Q2900="","",$K2900&amp;"")</f>
        <v/>
      </c>
      <c r="S2900" s="9">
        <f>IF(Q2900="","",IF(MATCH(R2900,$R$5:$R$100000,0)=ROW()-4,ROW(),""))</f>
        <v/>
      </c>
      <c r="T2900" s="9">
        <f>IF(Q2900="당기",ABS(P2900)+ROW()/1000000000,"")</f>
        <v/>
      </c>
      <c r="U2900" s="9">
        <f>IF(Q2900="비교",ABS(P2900)+ROW()/1000000000,"")</f>
        <v/>
      </c>
      <c r="V2900" s="64">
        <f>IF($A2900="","",IF(COUNTIF(변동분석!$E$7:$E$506,O2900)&gt;0,"Y","N"))</f>
        <v/>
      </c>
      <c r="W2900" s="64">
        <f>IF($A2900="","",IFERROR(INDEX(계정매핑!$D$5:$D$504,MATCH($F2900&amp;"",계정매핑!$A$5:$A$504,0)),"미매핑"))</f>
        <v/>
      </c>
      <c r="X2900" s="9">
        <f>IF($A2900="","",$F2900&amp;"")</f>
        <v/>
      </c>
      <c r="Y2900" s="94">
        <f>IF($A2900="",0,IF(AE2900="직접",IF(AF2900="비귀속",$P2900,0),$P2900*(1-AG2900)*IFERROR(INDEX(계정대체기준!$F$20:$F$49,MATCH($N2900,계정대체기준!$A$20:$A$49,0)),1)))</f>
        <v/>
      </c>
      <c r="Z2900" s="94">
        <f>IF($A2900="",0,IF(AE2900="직접",IF(AF2900="신계약비",$P2900,0),$P2900*(1-AG2900)*IFERROR(INDEX(계정대체기준!$C$20:$C$49,MATCH($N2900,계정대체기준!$A$20:$A$49,0)),0)))</f>
        <v/>
      </c>
      <c r="AA2900" s="94">
        <f>IF($A2900="",0,IF(AE2900="직접",IF(OR(AF2900="유지비",AF2900="손해조사비"),$P2900,0),$P2900*(1-AG2900)*IFERROR(INDEX(계정대체기준!$D$20:$D$49,MATCH($N2900,계정대체기준!$A$20:$A$49,0)),0)))</f>
        <v/>
      </c>
      <c r="AB2900" s="94">
        <f>IF($A2900="",0,IF(AE2900="직접",IF(AF2900="수금비",$P2900,0),$P2900*(1-AG2900)*IFERROR(INDEX(계정대체기준!$E$20:$E$49,MATCH($N2900,계정대체기준!$A$20:$A$49,0)),0)))</f>
        <v/>
      </c>
      <c r="AC2900" s="9">
        <f>IF(AND($A2900&lt;&gt;"",M2900=설정!$C$20,Z2900&gt;0),Z2900+ROW()/1000000000,"")</f>
        <v/>
      </c>
      <c r="AD2900" s="94">
        <f>IF($A2900="",0,$P2900*AG2900)</f>
        <v/>
      </c>
      <c r="AE2900" s="64">
        <f>IF($A2900="","",IFERROR(INDEX(계정매핑!$E$5:$E$504,MATCH($F2900&amp;"",계정매핑!$A$5:$A$504,0))&amp;"","공통비"))</f>
        <v/>
      </c>
      <c r="AF2900" s="64">
        <f>IF($A2900="","",IF(AE2900="직접",IFERROR(INDEX(계정매핑!$F$5:$F$504,MATCH($F2900&amp;"",계정매핑!$A$5:$A$504,0))&amp;"","비귀속"),""))</f>
        <v/>
      </c>
      <c r="AG2900" s="96">
        <f>IF($A2900="",0,IF(AND(AE2900&lt;&gt;"직접",IFERROR(INDEX(계정매핑!$G$5:$G$504,MATCH($F2900&amp;"",계정매핑!$A$5:$A$504,0))&amp;"","")="유지비",COUNTIF(계정대체기준!$A$6:$A$15,$N2900)&gt;0),IFERROR(INDEX(계정대체기준!$E$6:$E$15,MATCH(VALUE($A2900&amp;""),계정대체기준!$D$6:$D$15,0)),0),0))</f>
        <v/>
      </c>
      <c r="AH2900" s="64">
        <f>IF($A2900="","",IF(AD2900=0,"",IF(OR(COUNTIF(계정대체기준!$A$77:$A$86,$N2900)&gt;0,ISNUMBER(MATCH($X2900,계정대체기준!$D$77:$D$86,0)),ISNUMBER(MATCH($F2900,계정대체기준!$D$77:$D$86,0))),"Y","N")))</f>
        <v/>
      </c>
    </row>
    <row r="2901">
      <c r="A2901" s="92" t="n">
        <v>2026</v>
      </c>
      <c r="B2901" s="92" t="n">
        <v>1</v>
      </c>
      <c r="C2901" s="92" t="inlineStr">
        <is>
          <t>5100000179</t>
        </is>
      </c>
      <c r="D2901" s="95" t="n">
        <v>46045</v>
      </c>
      <c r="E2901" s="92" t="inlineStr">
        <is>
          <t>KR</t>
        </is>
      </c>
      <c r="F2901" s="92" t="n">
        <v>62201000</v>
      </c>
      <c r="G2901" s="92" t="n">
        <v>1301</v>
      </c>
      <c r="H2901" s="93" t="n">
        <v>164000</v>
      </c>
      <c r="I2901" s="92" t="inlineStr">
        <is>
          <t>1월 통신요금 - O텔레콤</t>
        </is>
      </c>
      <c r="J2901" s="92" t="inlineStr">
        <is>
          <t>V10002</t>
        </is>
      </c>
      <c r="K2901" s="92" t="inlineStr">
        <is>
          <t>O텔레콤</t>
        </is>
      </c>
      <c r="M2901" s="9">
        <f>IF($A2901="","",VALUE($A2901&amp;"")*12+VALUE($B2901&amp;""))</f>
        <v/>
      </c>
      <c r="N2901" s="64">
        <f>IF($A2901="","",IFERROR(INDEX(부서매핑!$C$5:$C$504,MATCH($G2901&amp;"",부서매핑!$A$5:$A$504,0)),"미매핑"))</f>
        <v/>
      </c>
      <c r="O2901" s="9">
        <f>IF($A2901="","",N2901&amp;"|"&amp;$F2901)</f>
        <v/>
      </c>
      <c r="P2901" s="94">
        <f>IF($A2901="",0,$H2901*설정!$C$23)</f>
        <v/>
      </c>
      <c r="Q2901" s="64">
        <f>IF($A2901="","",IF(O2901&lt;&gt;원인분석!$C$9,"",IF(AND(M2901&gt;=원인분석!$C$10,M2901&lt;=원인분석!$C$11),"당기",IF(AND(M2901&gt;=원인분석!$C$12,M2901&lt;=원인분석!$C$13),"비교",""))))</f>
        <v/>
      </c>
      <c r="R2901" s="9">
        <f>IF(Q2901="","",$K2901&amp;"")</f>
        <v/>
      </c>
      <c r="S2901" s="9">
        <f>IF(Q2901="","",IF(MATCH(R2901,$R$5:$R$100000,0)=ROW()-4,ROW(),""))</f>
        <v/>
      </c>
      <c r="T2901" s="9">
        <f>IF(Q2901="당기",ABS(P2901)+ROW()/1000000000,"")</f>
        <v/>
      </c>
      <c r="U2901" s="9">
        <f>IF(Q2901="비교",ABS(P2901)+ROW()/1000000000,"")</f>
        <v/>
      </c>
      <c r="V2901" s="64">
        <f>IF($A2901="","",IF(COUNTIF(변동분석!$E$7:$E$506,O2901)&gt;0,"Y","N"))</f>
        <v/>
      </c>
      <c r="W2901" s="64">
        <f>IF($A2901="","",IFERROR(INDEX(계정매핑!$D$5:$D$504,MATCH($F2901&amp;"",계정매핑!$A$5:$A$504,0)),"미매핑"))</f>
        <v/>
      </c>
      <c r="X2901" s="9">
        <f>IF($A2901="","",$F2901&amp;"")</f>
        <v/>
      </c>
      <c r="Y2901" s="94">
        <f>IF($A2901="",0,IF(AE2901="직접",IF(AF2901="비귀속",$P2901,0),$P2901*(1-AG2901)*IFERROR(INDEX(계정대체기준!$F$20:$F$49,MATCH($N2901,계정대체기준!$A$20:$A$49,0)),1)))</f>
        <v/>
      </c>
      <c r="Z2901" s="94">
        <f>IF($A2901="",0,IF(AE2901="직접",IF(AF2901="신계약비",$P2901,0),$P2901*(1-AG2901)*IFERROR(INDEX(계정대체기준!$C$20:$C$49,MATCH($N2901,계정대체기준!$A$20:$A$49,0)),0)))</f>
        <v/>
      </c>
      <c r="AA2901" s="94">
        <f>IF($A2901="",0,IF(AE2901="직접",IF(OR(AF2901="유지비",AF2901="손해조사비"),$P2901,0),$P2901*(1-AG2901)*IFERROR(INDEX(계정대체기준!$D$20:$D$49,MATCH($N2901,계정대체기준!$A$20:$A$49,0)),0)))</f>
        <v/>
      </c>
      <c r="AB2901" s="94">
        <f>IF($A2901="",0,IF(AE2901="직접",IF(AF2901="수금비",$P2901,0),$P2901*(1-AG2901)*IFERROR(INDEX(계정대체기준!$E$20:$E$49,MATCH($N2901,계정대체기준!$A$20:$A$49,0)),0)))</f>
        <v/>
      </c>
      <c r="AC2901" s="9">
        <f>IF(AND($A2901&lt;&gt;"",M2901=설정!$C$20,Z2901&gt;0),Z2901+ROW()/1000000000,"")</f>
        <v/>
      </c>
      <c r="AD2901" s="94">
        <f>IF($A2901="",0,$P2901*AG2901)</f>
        <v/>
      </c>
      <c r="AE2901" s="64">
        <f>IF($A2901="","",IFERROR(INDEX(계정매핑!$E$5:$E$504,MATCH($F2901&amp;"",계정매핑!$A$5:$A$504,0))&amp;"","공통비"))</f>
        <v/>
      </c>
      <c r="AF2901" s="64">
        <f>IF($A2901="","",IF(AE2901="직접",IFERROR(INDEX(계정매핑!$F$5:$F$504,MATCH($F2901&amp;"",계정매핑!$A$5:$A$504,0))&amp;"","비귀속"),""))</f>
        <v/>
      </c>
      <c r="AG2901" s="96">
        <f>IF($A2901="",0,IF(AND(AE2901&lt;&gt;"직접",IFERROR(INDEX(계정매핑!$G$5:$G$504,MATCH($F2901&amp;"",계정매핑!$A$5:$A$504,0))&amp;"","")="유지비",COUNTIF(계정대체기준!$A$6:$A$15,$N2901)&gt;0),IFERROR(INDEX(계정대체기준!$E$6:$E$15,MATCH(VALUE($A2901&amp;""),계정대체기준!$D$6:$D$15,0)),0),0))</f>
        <v/>
      </c>
      <c r="AH2901" s="64">
        <f>IF($A2901="","",IF(AD2901=0,"",IF(OR(COUNTIF(계정대체기준!$A$77:$A$86,$N2901)&gt;0,ISNUMBER(MATCH($X2901,계정대체기준!$D$77:$D$86,0)),ISNUMBER(MATCH($F2901,계정대체기준!$D$77:$D$86,0))),"Y","N")))</f>
        <v/>
      </c>
    </row>
    <row r="2902">
      <c r="A2902" s="92" t="n">
        <v>2026</v>
      </c>
      <c r="B2902" s="92" t="n">
        <v>1</v>
      </c>
      <c r="C2902" s="92" t="inlineStr">
        <is>
          <t>5100000180</t>
        </is>
      </c>
      <c r="D2902" s="95" t="n">
        <v>46045</v>
      </c>
      <c r="E2902" s="92" t="inlineStr">
        <is>
          <t>KR</t>
        </is>
      </c>
      <c r="F2902" s="92" t="n">
        <v>62201000</v>
      </c>
      <c r="G2902" s="92" t="n">
        <v>1951</v>
      </c>
      <c r="H2902" s="93" t="n">
        <v>142000</v>
      </c>
      <c r="I2902" s="92" t="inlineStr">
        <is>
          <t>1월 통신요금 - O텔레콤</t>
        </is>
      </c>
      <c r="J2902" s="92" t="inlineStr">
        <is>
          <t>V10002</t>
        </is>
      </c>
      <c r="K2902" s="92" t="inlineStr">
        <is>
          <t>O텔레콤</t>
        </is>
      </c>
      <c r="M2902" s="9">
        <f>IF($A2902="","",VALUE($A2902&amp;"")*12+VALUE($B2902&amp;""))</f>
        <v/>
      </c>
      <c r="N2902" s="64">
        <f>IF($A2902="","",IFERROR(INDEX(부서매핑!$C$5:$C$504,MATCH($G2902&amp;"",부서매핑!$A$5:$A$504,0)),"미매핑"))</f>
        <v/>
      </c>
      <c r="O2902" s="9">
        <f>IF($A2902="","",N2902&amp;"|"&amp;$F2902)</f>
        <v/>
      </c>
      <c r="P2902" s="94">
        <f>IF($A2902="",0,$H2902*설정!$C$23)</f>
        <v/>
      </c>
      <c r="Q2902" s="64">
        <f>IF($A2902="","",IF(O2902&lt;&gt;원인분석!$C$9,"",IF(AND(M2902&gt;=원인분석!$C$10,M2902&lt;=원인분석!$C$11),"당기",IF(AND(M2902&gt;=원인분석!$C$12,M2902&lt;=원인분석!$C$13),"비교",""))))</f>
        <v/>
      </c>
      <c r="R2902" s="9">
        <f>IF(Q2902="","",$K2902&amp;"")</f>
        <v/>
      </c>
      <c r="S2902" s="9">
        <f>IF(Q2902="","",IF(MATCH(R2902,$R$5:$R$100000,0)=ROW()-4,ROW(),""))</f>
        <v/>
      </c>
      <c r="T2902" s="9">
        <f>IF(Q2902="당기",ABS(P2902)+ROW()/1000000000,"")</f>
        <v/>
      </c>
      <c r="U2902" s="9">
        <f>IF(Q2902="비교",ABS(P2902)+ROW()/1000000000,"")</f>
        <v/>
      </c>
      <c r="V2902" s="64">
        <f>IF($A2902="","",IF(COUNTIF(변동분석!$E$7:$E$506,O2902)&gt;0,"Y","N"))</f>
        <v/>
      </c>
      <c r="W2902" s="64">
        <f>IF($A2902="","",IFERROR(INDEX(계정매핑!$D$5:$D$504,MATCH($F2902&amp;"",계정매핑!$A$5:$A$504,0)),"미매핑"))</f>
        <v/>
      </c>
      <c r="X2902" s="9">
        <f>IF($A2902="","",$F2902&amp;"")</f>
        <v/>
      </c>
      <c r="Y2902" s="94">
        <f>IF($A2902="",0,IF(AE2902="직접",IF(AF2902="비귀속",$P2902,0),$P2902*(1-AG2902)*IFERROR(INDEX(계정대체기준!$F$20:$F$49,MATCH($N2902,계정대체기준!$A$20:$A$49,0)),1)))</f>
        <v/>
      </c>
      <c r="Z2902" s="94">
        <f>IF($A2902="",0,IF(AE2902="직접",IF(AF2902="신계약비",$P2902,0),$P2902*(1-AG2902)*IFERROR(INDEX(계정대체기준!$C$20:$C$49,MATCH($N2902,계정대체기준!$A$20:$A$49,0)),0)))</f>
        <v/>
      </c>
      <c r="AA2902" s="94">
        <f>IF($A2902="",0,IF(AE2902="직접",IF(OR(AF2902="유지비",AF2902="손해조사비"),$P2902,0),$P2902*(1-AG2902)*IFERROR(INDEX(계정대체기준!$D$20:$D$49,MATCH($N2902,계정대체기준!$A$20:$A$49,0)),0)))</f>
        <v/>
      </c>
      <c r="AB2902" s="94">
        <f>IF($A2902="",0,IF(AE2902="직접",IF(AF2902="수금비",$P2902,0),$P2902*(1-AG2902)*IFERROR(INDEX(계정대체기준!$E$20:$E$49,MATCH($N2902,계정대체기준!$A$20:$A$49,0)),0)))</f>
        <v/>
      </c>
      <c r="AC2902" s="9">
        <f>IF(AND($A2902&lt;&gt;"",M2902=설정!$C$20,Z2902&gt;0),Z2902+ROW()/1000000000,"")</f>
        <v/>
      </c>
      <c r="AD2902" s="94">
        <f>IF($A2902="",0,$P2902*AG2902)</f>
        <v/>
      </c>
      <c r="AE2902" s="64">
        <f>IF($A2902="","",IFERROR(INDEX(계정매핑!$E$5:$E$504,MATCH($F2902&amp;"",계정매핑!$A$5:$A$504,0))&amp;"","공통비"))</f>
        <v/>
      </c>
      <c r="AF2902" s="64">
        <f>IF($A2902="","",IF(AE2902="직접",IFERROR(INDEX(계정매핑!$F$5:$F$504,MATCH($F2902&amp;"",계정매핑!$A$5:$A$504,0))&amp;"","비귀속"),""))</f>
        <v/>
      </c>
      <c r="AG2902" s="96">
        <f>IF($A2902="",0,IF(AND(AE2902&lt;&gt;"직접",IFERROR(INDEX(계정매핑!$G$5:$G$504,MATCH($F2902&amp;"",계정매핑!$A$5:$A$504,0))&amp;"","")="유지비",COUNTIF(계정대체기준!$A$6:$A$15,$N2902)&gt;0),IFERROR(INDEX(계정대체기준!$E$6:$E$15,MATCH(VALUE($A2902&amp;""),계정대체기준!$D$6:$D$15,0)),0),0))</f>
        <v/>
      </c>
      <c r="AH2902" s="64">
        <f>IF($A2902="","",IF(AD2902=0,"",IF(OR(COUNTIF(계정대체기준!$A$77:$A$86,$N2902)&gt;0,ISNUMBER(MATCH($X2902,계정대체기준!$D$77:$D$86,0)),ISNUMBER(MATCH($F2902,계정대체기준!$D$77:$D$86,0))),"Y","N")))</f>
        <v/>
      </c>
    </row>
    <row r="2903">
      <c r="A2903" s="92" t="n">
        <v>2026</v>
      </c>
      <c r="B2903" s="92" t="n">
        <v>1</v>
      </c>
      <c r="C2903" s="92" t="inlineStr">
        <is>
          <t>5100000181</t>
        </is>
      </c>
      <c r="D2903" s="95" t="n">
        <v>46045</v>
      </c>
      <c r="E2903" s="92" t="inlineStr">
        <is>
          <t>KR</t>
        </is>
      </c>
      <c r="F2903" s="92" t="n">
        <v>62301000</v>
      </c>
      <c r="G2903" s="92" t="n">
        <v>1301</v>
      </c>
      <c r="H2903" s="93" t="n">
        <v>314000</v>
      </c>
      <c r="I2903" s="92" t="inlineStr">
        <is>
          <t>1월 소모품 구입 - Q오피스</t>
        </is>
      </c>
      <c r="J2903" s="92" t="inlineStr">
        <is>
          <t>V10003</t>
        </is>
      </c>
      <c r="K2903" s="92" t="inlineStr">
        <is>
          <t>Q오피스</t>
        </is>
      </c>
      <c r="M2903" s="9">
        <f>IF($A2903="","",VALUE($A2903&amp;"")*12+VALUE($B2903&amp;""))</f>
        <v/>
      </c>
      <c r="N2903" s="64">
        <f>IF($A2903="","",IFERROR(INDEX(부서매핑!$C$5:$C$504,MATCH($G2903&amp;"",부서매핑!$A$5:$A$504,0)),"미매핑"))</f>
        <v/>
      </c>
      <c r="O2903" s="9">
        <f>IF($A2903="","",N2903&amp;"|"&amp;$F2903)</f>
        <v/>
      </c>
      <c r="P2903" s="94">
        <f>IF($A2903="",0,$H2903*설정!$C$23)</f>
        <v/>
      </c>
      <c r="Q2903" s="64">
        <f>IF($A2903="","",IF(O2903&lt;&gt;원인분석!$C$9,"",IF(AND(M2903&gt;=원인분석!$C$10,M2903&lt;=원인분석!$C$11),"당기",IF(AND(M2903&gt;=원인분석!$C$12,M2903&lt;=원인분석!$C$13),"비교",""))))</f>
        <v/>
      </c>
      <c r="R2903" s="9">
        <f>IF(Q2903="","",$K2903&amp;"")</f>
        <v/>
      </c>
      <c r="S2903" s="9">
        <f>IF(Q2903="","",IF(MATCH(R2903,$R$5:$R$100000,0)=ROW()-4,ROW(),""))</f>
        <v/>
      </c>
      <c r="T2903" s="9">
        <f>IF(Q2903="당기",ABS(P2903)+ROW()/1000000000,"")</f>
        <v/>
      </c>
      <c r="U2903" s="9">
        <f>IF(Q2903="비교",ABS(P2903)+ROW()/1000000000,"")</f>
        <v/>
      </c>
      <c r="V2903" s="64">
        <f>IF($A2903="","",IF(COUNTIF(변동분석!$E$7:$E$506,O2903)&gt;0,"Y","N"))</f>
        <v/>
      </c>
      <c r="W2903" s="64">
        <f>IF($A2903="","",IFERROR(INDEX(계정매핑!$D$5:$D$504,MATCH($F2903&amp;"",계정매핑!$A$5:$A$504,0)),"미매핑"))</f>
        <v/>
      </c>
      <c r="X2903" s="9">
        <f>IF($A2903="","",$F2903&amp;"")</f>
        <v/>
      </c>
      <c r="Y2903" s="94">
        <f>IF($A2903="",0,IF(AE2903="직접",IF(AF2903="비귀속",$P2903,0),$P2903*(1-AG2903)*IFERROR(INDEX(계정대체기준!$F$20:$F$49,MATCH($N2903,계정대체기준!$A$20:$A$49,0)),1)))</f>
        <v/>
      </c>
      <c r="Z2903" s="94">
        <f>IF($A2903="",0,IF(AE2903="직접",IF(AF2903="신계약비",$P2903,0),$P2903*(1-AG2903)*IFERROR(INDEX(계정대체기준!$C$20:$C$49,MATCH($N2903,계정대체기준!$A$20:$A$49,0)),0)))</f>
        <v/>
      </c>
      <c r="AA2903" s="94">
        <f>IF($A2903="",0,IF(AE2903="직접",IF(OR(AF2903="유지비",AF2903="손해조사비"),$P2903,0),$P2903*(1-AG2903)*IFERROR(INDEX(계정대체기준!$D$20:$D$49,MATCH($N2903,계정대체기준!$A$20:$A$49,0)),0)))</f>
        <v/>
      </c>
      <c r="AB2903" s="94">
        <f>IF($A2903="",0,IF(AE2903="직접",IF(AF2903="수금비",$P2903,0),$P2903*(1-AG2903)*IFERROR(INDEX(계정대체기준!$E$20:$E$49,MATCH($N2903,계정대체기준!$A$20:$A$49,0)),0)))</f>
        <v/>
      </c>
      <c r="AC2903" s="9">
        <f>IF(AND($A2903&lt;&gt;"",M2903=설정!$C$20,Z2903&gt;0),Z2903+ROW()/1000000000,"")</f>
        <v/>
      </c>
      <c r="AD2903" s="94">
        <f>IF($A2903="",0,$P2903*AG2903)</f>
        <v/>
      </c>
      <c r="AE2903" s="64">
        <f>IF($A2903="","",IFERROR(INDEX(계정매핑!$E$5:$E$504,MATCH($F2903&amp;"",계정매핑!$A$5:$A$504,0))&amp;"","공통비"))</f>
        <v/>
      </c>
      <c r="AF2903" s="64">
        <f>IF($A2903="","",IF(AE2903="직접",IFERROR(INDEX(계정매핑!$F$5:$F$504,MATCH($F2903&amp;"",계정매핑!$A$5:$A$504,0))&amp;"","비귀속"),""))</f>
        <v/>
      </c>
      <c r="AG2903" s="96">
        <f>IF($A2903="",0,IF(AND(AE2903&lt;&gt;"직접",IFERROR(INDEX(계정매핑!$G$5:$G$504,MATCH($F2903&amp;"",계정매핑!$A$5:$A$504,0))&amp;"","")="유지비",COUNTIF(계정대체기준!$A$6:$A$15,$N2903)&gt;0),IFERROR(INDEX(계정대체기준!$E$6:$E$15,MATCH(VALUE($A2903&amp;""),계정대체기준!$D$6:$D$15,0)),0),0))</f>
        <v/>
      </c>
      <c r="AH2903" s="64">
        <f>IF($A2903="","",IF(AD2903=0,"",IF(OR(COUNTIF(계정대체기준!$A$77:$A$86,$N2903)&gt;0,ISNUMBER(MATCH($X2903,계정대체기준!$D$77:$D$86,0)),ISNUMBER(MATCH($F2903,계정대체기준!$D$77:$D$86,0))),"Y","N")))</f>
        <v/>
      </c>
    </row>
    <row r="2904">
      <c r="A2904" s="92" t="n">
        <v>2026</v>
      </c>
      <c r="B2904" s="92" t="n">
        <v>1</v>
      </c>
      <c r="C2904" s="92" t="inlineStr">
        <is>
          <t>5100000182</t>
        </is>
      </c>
      <c r="D2904" s="95" t="n">
        <v>46045</v>
      </c>
      <c r="E2904" s="92" t="inlineStr">
        <is>
          <t>KR</t>
        </is>
      </c>
      <c r="F2904" s="92" t="n">
        <v>62902000</v>
      </c>
      <c r="G2904" s="92" t="n">
        <v>1101</v>
      </c>
      <c r="H2904" s="93" t="n">
        <v>1974000</v>
      </c>
      <c r="I2904" s="92" t="inlineStr">
        <is>
          <t>1월 업무 위탁 수수료 - X서비스</t>
        </is>
      </c>
      <c r="J2904" s="92" t="inlineStr">
        <is>
          <t>V10020</t>
        </is>
      </c>
      <c r="K2904" s="92" t="inlineStr">
        <is>
          <t>X서비스</t>
        </is>
      </c>
      <c r="M2904" s="9">
        <f>IF($A2904="","",VALUE($A2904&amp;"")*12+VALUE($B2904&amp;""))</f>
        <v/>
      </c>
      <c r="N2904" s="64">
        <f>IF($A2904="","",IFERROR(INDEX(부서매핑!$C$5:$C$504,MATCH($G2904&amp;"",부서매핑!$A$5:$A$504,0)),"미매핑"))</f>
        <v/>
      </c>
      <c r="O2904" s="9">
        <f>IF($A2904="","",N2904&amp;"|"&amp;$F2904)</f>
        <v/>
      </c>
      <c r="P2904" s="94">
        <f>IF($A2904="",0,$H2904*설정!$C$23)</f>
        <v/>
      </c>
      <c r="Q2904" s="64">
        <f>IF($A2904="","",IF(O2904&lt;&gt;원인분석!$C$9,"",IF(AND(M2904&gt;=원인분석!$C$10,M2904&lt;=원인분석!$C$11),"당기",IF(AND(M2904&gt;=원인분석!$C$12,M2904&lt;=원인분석!$C$13),"비교",""))))</f>
        <v/>
      </c>
      <c r="R2904" s="9">
        <f>IF(Q2904="","",$K2904&amp;"")</f>
        <v/>
      </c>
      <c r="S2904" s="9">
        <f>IF(Q2904="","",IF(MATCH(R2904,$R$5:$R$100000,0)=ROW()-4,ROW(),""))</f>
        <v/>
      </c>
      <c r="T2904" s="9">
        <f>IF(Q2904="당기",ABS(P2904)+ROW()/1000000000,"")</f>
        <v/>
      </c>
      <c r="U2904" s="9">
        <f>IF(Q2904="비교",ABS(P2904)+ROW()/1000000000,"")</f>
        <v/>
      </c>
      <c r="V2904" s="64">
        <f>IF($A2904="","",IF(COUNTIF(변동분석!$E$7:$E$506,O2904)&gt;0,"Y","N"))</f>
        <v/>
      </c>
      <c r="W2904" s="64">
        <f>IF($A2904="","",IFERROR(INDEX(계정매핑!$D$5:$D$504,MATCH($F2904&amp;"",계정매핑!$A$5:$A$504,0)),"미매핑"))</f>
        <v/>
      </c>
      <c r="X2904" s="9">
        <f>IF($A2904="","",$F2904&amp;"")</f>
        <v/>
      </c>
      <c r="Y2904" s="94">
        <f>IF($A2904="",0,IF(AE2904="직접",IF(AF2904="비귀속",$P2904,0),$P2904*(1-AG2904)*IFERROR(INDEX(계정대체기준!$F$20:$F$49,MATCH($N2904,계정대체기준!$A$20:$A$49,0)),1)))</f>
        <v/>
      </c>
      <c r="Z2904" s="94">
        <f>IF($A2904="",0,IF(AE2904="직접",IF(AF2904="신계약비",$P2904,0),$P2904*(1-AG2904)*IFERROR(INDEX(계정대체기준!$C$20:$C$49,MATCH($N2904,계정대체기준!$A$20:$A$49,0)),0)))</f>
        <v/>
      </c>
      <c r="AA2904" s="94">
        <f>IF($A2904="",0,IF(AE2904="직접",IF(OR(AF2904="유지비",AF2904="손해조사비"),$P2904,0),$P2904*(1-AG2904)*IFERROR(INDEX(계정대체기준!$D$20:$D$49,MATCH($N2904,계정대체기준!$A$20:$A$49,0)),0)))</f>
        <v/>
      </c>
      <c r="AB2904" s="94">
        <f>IF($A2904="",0,IF(AE2904="직접",IF(AF2904="수금비",$P2904,0),$P2904*(1-AG2904)*IFERROR(INDEX(계정대체기준!$E$20:$E$49,MATCH($N2904,계정대체기준!$A$20:$A$49,0)),0)))</f>
        <v/>
      </c>
      <c r="AC2904" s="9">
        <f>IF(AND($A2904&lt;&gt;"",M2904=설정!$C$20,Z2904&gt;0),Z2904+ROW()/1000000000,"")</f>
        <v/>
      </c>
      <c r="AD2904" s="94">
        <f>IF($A2904="",0,$P2904*AG2904)</f>
        <v/>
      </c>
      <c r="AE2904" s="64">
        <f>IF($A2904="","",IFERROR(INDEX(계정매핑!$E$5:$E$504,MATCH($F2904&amp;"",계정매핑!$A$5:$A$504,0))&amp;"","공통비"))</f>
        <v/>
      </c>
      <c r="AF2904" s="64">
        <f>IF($A2904="","",IF(AE2904="직접",IFERROR(INDEX(계정매핑!$F$5:$F$504,MATCH($F2904&amp;"",계정매핑!$A$5:$A$504,0))&amp;"","비귀속"),""))</f>
        <v/>
      </c>
      <c r="AG2904" s="96">
        <f>IF($A2904="",0,IF(AND(AE2904&lt;&gt;"직접",IFERROR(INDEX(계정매핑!$G$5:$G$504,MATCH($F2904&amp;"",계정매핑!$A$5:$A$504,0))&amp;"","")="유지비",COUNTIF(계정대체기준!$A$6:$A$15,$N2904)&gt;0),IFERROR(INDEX(계정대체기준!$E$6:$E$15,MATCH(VALUE($A2904&amp;""),계정대체기준!$D$6:$D$15,0)),0),0))</f>
        <v/>
      </c>
      <c r="AH2904" s="64">
        <f>IF($A2904="","",IF(AD2904=0,"",IF(OR(COUNTIF(계정대체기준!$A$77:$A$86,$N2904)&gt;0,ISNUMBER(MATCH($X2904,계정대체기준!$D$77:$D$86,0)),ISNUMBER(MATCH($F2904,계정대체기준!$D$77:$D$86,0))),"Y","N")))</f>
        <v/>
      </c>
    </row>
    <row r="2905">
      <c r="A2905" s="92" t="n">
        <v>2026</v>
      </c>
      <c r="B2905" s="92" t="n">
        <v>1</v>
      </c>
      <c r="C2905" s="92" t="inlineStr">
        <is>
          <t>5100000183</t>
        </is>
      </c>
      <c r="D2905" s="95" t="n">
        <v>46045</v>
      </c>
      <c r="E2905" s="92" t="inlineStr">
        <is>
          <t>KR</t>
        </is>
      </c>
      <c r="F2905" s="92" t="n">
        <v>63501000</v>
      </c>
      <c r="G2905" s="92" t="n">
        <v>1901</v>
      </c>
      <c r="H2905" s="93" t="n">
        <v>334355000</v>
      </c>
      <c r="I2905" s="92" t="inlineStr">
        <is>
          <t>1월 모집수수료 - (전속설계사)</t>
        </is>
      </c>
      <c r="J2905" s="92" t="inlineStr">
        <is>
          <t>V10021</t>
        </is>
      </c>
      <c r="K2905" s="92" t="inlineStr">
        <is>
          <t>(전속설계사)</t>
        </is>
      </c>
      <c r="M2905" s="9">
        <f>IF($A2905="","",VALUE($A2905&amp;"")*12+VALUE($B2905&amp;""))</f>
        <v/>
      </c>
      <c r="N2905" s="64">
        <f>IF($A2905="","",IFERROR(INDEX(부서매핑!$C$5:$C$504,MATCH($G2905&amp;"",부서매핑!$A$5:$A$504,0)),"미매핑"))</f>
        <v/>
      </c>
      <c r="O2905" s="9">
        <f>IF($A2905="","",N2905&amp;"|"&amp;$F2905)</f>
        <v/>
      </c>
      <c r="P2905" s="94">
        <f>IF($A2905="",0,$H2905*설정!$C$23)</f>
        <v/>
      </c>
      <c r="Q2905" s="64">
        <f>IF($A2905="","",IF(O2905&lt;&gt;원인분석!$C$9,"",IF(AND(M2905&gt;=원인분석!$C$10,M2905&lt;=원인분석!$C$11),"당기",IF(AND(M2905&gt;=원인분석!$C$12,M2905&lt;=원인분석!$C$13),"비교",""))))</f>
        <v/>
      </c>
      <c r="R2905" s="9">
        <f>IF(Q2905="","",$K2905&amp;"")</f>
        <v/>
      </c>
      <c r="S2905" s="9">
        <f>IF(Q2905="","",IF(MATCH(R2905,$R$5:$R$100000,0)=ROW()-4,ROW(),""))</f>
        <v/>
      </c>
      <c r="T2905" s="9">
        <f>IF(Q2905="당기",ABS(P2905)+ROW()/1000000000,"")</f>
        <v/>
      </c>
      <c r="U2905" s="9">
        <f>IF(Q2905="비교",ABS(P2905)+ROW()/1000000000,"")</f>
        <v/>
      </c>
      <c r="V2905" s="64">
        <f>IF($A2905="","",IF(COUNTIF(변동분석!$E$7:$E$506,O2905)&gt;0,"Y","N"))</f>
        <v/>
      </c>
      <c r="W2905" s="64">
        <f>IF($A2905="","",IFERROR(INDEX(계정매핑!$D$5:$D$504,MATCH($F2905&amp;"",계정매핑!$A$5:$A$504,0)),"미매핑"))</f>
        <v/>
      </c>
      <c r="X2905" s="9">
        <f>IF($A2905="","",$F2905&amp;"")</f>
        <v/>
      </c>
      <c r="Y2905" s="94">
        <f>IF($A2905="",0,IF(AE2905="직접",IF(AF2905="비귀속",$P2905,0),$P2905*(1-AG2905)*IFERROR(INDEX(계정대체기준!$F$20:$F$49,MATCH($N2905,계정대체기준!$A$20:$A$49,0)),1)))</f>
        <v/>
      </c>
      <c r="Z2905" s="94">
        <f>IF($A2905="",0,IF(AE2905="직접",IF(AF2905="신계약비",$P2905,0),$P2905*(1-AG2905)*IFERROR(INDEX(계정대체기준!$C$20:$C$49,MATCH($N2905,계정대체기준!$A$20:$A$49,0)),0)))</f>
        <v/>
      </c>
      <c r="AA2905" s="94">
        <f>IF($A2905="",0,IF(AE2905="직접",IF(OR(AF2905="유지비",AF2905="손해조사비"),$P2905,0),$P2905*(1-AG2905)*IFERROR(INDEX(계정대체기준!$D$20:$D$49,MATCH($N2905,계정대체기준!$A$20:$A$49,0)),0)))</f>
        <v/>
      </c>
      <c r="AB2905" s="94">
        <f>IF($A2905="",0,IF(AE2905="직접",IF(AF2905="수금비",$P2905,0),$P2905*(1-AG2905)*IFERROR(INDEX(계정대체기준!$E$20:$E$49,MATCH($N2905,계정대체기준!$A$20:$A$49,0)),0)))</f>
        <v/>
      </c>
      <c r="AC2905" s="9">
        <f>IF(AND($A2905&lt;&gt;"",M2905=설정!$C$20,Z2905&gt;0),Z2905+ROW()/1000000000,"")</f>
        <v/>
      </c>
      <c r="AD2905" s="94">
        <f>IF($A2905="",0,$P2905*AG2905)</f>
        <v/>
      </c>
      <c r="AE2905" s="64">
        <f>IF($A2905="","",IFERROR(INDEX(계정매핑!$E$5:$E$504,MATCH($F2905&amp;"",계정매핑!$A$5:$A$504,0))&amp;"","공통비"))</f>
        <v/>
      </c>
      <c r="AF2905" s="64">
        <f>IF($A2905="","",IF(AE2905="직접",IFERROR(INDEX(계정매핑!$F$5:$F$504,MATCH($F2905&amp;"",계정매핑!$A$5:$A$504,0))&amp;"","비귀속"),""))</f>
        <v/>
      </c>
      <c r="AG2905" s="96">
        <f>IF($A2905="",0,IF(AND(AE2905&lt;&gt;"직접",IFERROR(INDEX(계정매핑!$G$5:$G$504,MATCH($F2905&amp;"",계정매핑!$A$5:$A$504,0))&amp;"","")="유지비",COUNTIF(계정대체기준!$A$6:$A$15,$N2905)&gt;0),IFERROR(INDEX(계정대체기준!$E$6:$E$15,MATCH(VALUE($A2905&amp;""),계정대체기준!$D$6:$D$15,0)),0),0))</f>
        <v/>
      </c>
      <c r="AH2905" s="64">
        <f>IF($A2905="","",IF(AD2905=0,"",IF(OR(COUNTIF(계정대체기준!$A$77:$A$86,$N2905)&gt;0,ISNUMBER(MATCH($X2905,계정대체기준!$D$77:$D$86,0)),ISNUMBER(MATCH($F2905,계정대체기준!$D$77:$D$86,0))),"Y","N")))</f>
        <v/>
      </c>
    </row>
    <row r="2906">
      <c r="A2906" s="92" t="n">
        <v>2026</v>
      </c>
      <c r="B2906" s="92" t="n">
        <v>1</v>
      </c>
      <c r="C2906" s="92" t="inlineStr">
        <is>
          <t>5100000184</t>
        </is>
      </c>
      <c r="D2906" s="95" t="n">
        <v>46046</v>
      </c>
      <c r="E2906" s="92" t="inlineStr">
        <is>
          <t>KR</t>
        </is>
      </c>
      <c r="F2906" s="92" t="n">
        <v>62301000</v>
      </c>
      <c r="G2906" s="92" t="n">
        <v>1201</v>
      </c>
      <c r="H2906" s="93" t="n">
        <v>78000</v>
      </c>
      <c r="I2906" s="92" t="inlineStr">
        <is>
          <t>1월 소모품 구입 - Q오피스</t>
        </is>
      </c>
      <c r="J2906" s="92" t="inlineStr">
        <is>
          <t>V10003</t>
        </is>
      </c>
      <c r="K2906" s="92" t="inlineStr">
        <is>
          <t>Q오피스</t>
        </is>
      </c>
      <c r="M2906" s="9">
        <f>IF($A2906="","",VALUE($A2906&amp;"")*12+VALUE($B2906&amp;""))</f>
        <v/>
      </c>
      <c r="N2906" s="64">
        <f>IF($A2906="","",IFERROR(INDEX(부서매핑!$C$5:$C$504,MATCH($G2906&amp;"",부서매핑!$A$5:$A$504,0)),"미매핑"))</f>
        <v/>
      </c>
      <c r="O2906" s="9">
        <f>IF($A2906="","",N2906&amp;"|"&amp;$F2906)</f>
        <v/>
      </c>
      <c r="P2906" s="94">
        <f>IF($A2906="",0,$H2906*설정!$C$23)</f>
        <v/>
      </c>
      <c r="Q2906" s="64">
        <f>IF($A2906="","",IF(O2906&lt;&gt;원인분석!$C$9,"",IF(AND(M2906&gt;=원인분석!$C$10,M2906&lt;=원인분석!$C$11),"당기",IF(AND(M2906&gt;=원인분석!$C$12,M2906&lt;=원인분석!$C$13),"비교",""))))</f>
        <v/>
      </c>
      <c r="R2906" s="9">
        <f>IF(Q2906="","",$K2906&amp;"")</f>
        <v/>
      </c>
      <c r="S2906" s="9">
        <f>IF(Q2906="","",IF(MATCH(R2906,$R$5:$R$100000,0)=ROW()-4,ROW(),""))</f>
        <v/>
      </c>
      <c r="T2906" s="9">
        <f>IF(Q2906="당기",ABS(P2906)+ROW()/1000000000,"")</f>
        <v/>
      </c>
      <c r="U2906" s="9">
        <f>IF(Q2906="비교",ABS(P2906)+ROW()/1000000000,"")</f>
        <v/>
      </c>
      <c r="V2906" s="64">
        <f>IF($A2906="","",IF(COUNTIF(변동분석!$E$7:$E$506,O2906)&gt;0,"Y","N"))</f>
        <v/>
      </c>
      <c r="W2906" s="64">
        <f>IF($A2906="","",IFERROR(INDEX(계정매핑!$D$5:$D$504,MATCH($F2906&amp;"",계정매핑!$A$5:$A$504,0)),"미매핑"))</f>
        <v/>
      </c>
      <c r="X2906" s="9">
        <f>IF($A2906="","",$F2906&amp;"")</f>
        <v/>
      </c>
      <c r="Y2906" s="94">
        <f>IF($A2906="",0,IF(AE2906="직접",IF(AF2906="비귀속",$P2906,0),$P2906*(1-AG2906)*IFERROR(INDEX(계정대체기준!$F$20:$F$49,MATCH($N2906,계정대체기준!$A$20:$A$49,0)),1)))</f>
        <v/>
      </c>
      <c r="Z2906" s="94">
        <f>IF($A2906="",0,IF(AE2906="직접",IF(AF2906="신계약비",$P2906,0),$P2906*(1-AG2906)*IFERROR(INDEX(계정대체기준!$C$20:$C$49,MATCH($N2906,계정대체기준!$A$20:$A$49,0)),0)))</f>
        <v/>
      </c>
      <c r="AA2906" s="94">
        <f>IF($A2906="",0,IF(AE2906="직접",IF(OR(AF2906="유지비",AF2906="손해조사비"),$P2906,0),$P2906*(1-AG2906)*IFERROR(INDEX(계정대체기준!$D$20:$D$49,MATCH($N2906,계정대체기준!$A$20:$A$49,0)),0)))</f>
        <v/>
      </c>
      <c r="AB2906" s="94">
        <f>IF($A2906="",0,IF(AE2906="직접",IF(AF2906="수금비",$P2906,0),$P2906*(1-AG2906)*IFERROR(INDEX(계정대체기준!$E$20:$E$49,MATCH($N2906,계정대체기준!$A$20:$A$49,0)),0)))</f>
        <v/>
      </c>
      <c r="AC2906" s="9">
        <f>IF(AND($A2906&lt;&gt;"",M2906=설정!$C$20,Z2906&gt;0),Z2906+ROW()/1000000000,"")</f>
        <v/>
      </c>
      <c r="AD2906" s="94">
        <f>IF($A2906="",0,$P2906*AG2906)</f>
        <v/>
      </c>
      <c r="AE2906" s="64">
        <f>IF($A2906="","",IFERROR(INDEX(계정매핑!$E$5:$E$504,MATCH($F2906&amp;"",계정매핑!$A$5:$A$504,0))&amp;"","공통비"))</f>
        <v/>
      </c>
      <c r="AF2906" s="64">
        <f>IF($A2906="","",IF(AE2906="직접",IFERROR(INDEX(계정매핑!$F$5:$F$504,MATCH($F2906&amp;"",계정매핑!$A$5:$A$504,0))&amp;"","비귀속"),""))</f>
        <v/>
      </c>
      <c r="AG2906" s="96">
        <f>IF($A2906="",0,IF(AND(AE2906&lt;&gt;"직접",IFERROR(INDEX(계정매핑!$G$5:$G$504,MATCH($F2906&amp;"",계정매핑!$A$5:$A$504,0))&amp;"","")="유지비",COUNTIF(계정대체기준!$A$6:$A$15,$N2906)&gt;0),IFERROR(INDEX(계정대체기준!$E$6:$E$15,MATCH(VALUE($A2906&amp;""),계정대체기준!$D$6:$D$15,0)),0),0))</f>
        <v/>
      </c>
      <c r="AH2906" s="64">
        <f>IF($A2906="","",IF(AD2906=0,"",IF(OR(COUNTIF(계정대체기준!$A$77:$A$86,$N2906)&gt;0,ISNUMBER(MATCH($X2906,계정대체기준!$D$77:$D$86,0)),ISNUMBER(MATCH($F2906,계정대체기준!$D$77:$D$86,0))),"Y","N")))</f>
        <v/>
      </c>
    </row>
    <row r="2907">
      <c r="A2907" s="92" t="n">
        <v>2026</v>
      </c>
      <c r="B2907" s="92" t="n">
        <v>1</v>
      </c>
      <c r="C2907" s="92" t="inlineStr">
        <is>
          <t>5100000185</t>
        </is>
      </c>
      <c r="D2907" s="95" t="n">
        <v>46046</v>
      </c>
      <c r="E2907" s="92" t="inlineStr">
        <is>
          <t>KR</t>
        </is>
      </c>
      <c r="F2907" s="92" t="n">
        <v>62401000</v>
      </c>
      <c r="G2907" s="92" t="n">
        <v>1801</v>
      </c>
      <c r="H2907" s="93" t="n">
        <v>1962000</v>
      </c>
      <c r="I2907" s="92" t="inlineStr">
        <is>
          <t>1월 인쇄물 제작 - S출판</t>
        </is>
      </c>
      <c r="J2907" s="92" t="inlineStr">
        <is>
          <t>V10015</t>
        </is>
      </c>
      <c r="K2907" s="92" t="inlineStr">
        <is>
          <t>S출판</t>
        </is>
      </c>
      <c r="M2907" s="9">
        <f>IF($A2907="","",VALUE($A2907&amp;"")*12+VALUE($B2907&amp;""))</f>
        <v/>
      </c>
      <c r="N2907" s="64">
        <f>IF($A2907="","",IFERROR(INDEX(부서매핑!$C$5:$C$504,MATCH($G2907&amp;"",부서매핑!$A$5:$A$504,0)),"미매핑"))</f>
        <v/>
      </c>
      <c r="O2907" s="9">
        <f>IF($A2907="","",N2907&amp;"|"&amp;$F2907)</f>
        <v/>
      </c>
      <c r="P2907" s="94">
        <f>IF($A2907="",0,$H2907*설정!$C$23)</f>
        <v/>
      </c>
      <c r="Q2907" s="64">
        <f>IF($A2907="","",IF(O2907&lt;&gt;원인분석!$C$9,"",IF(AND(M2907&gt;=원인분석!$C$10,M2907&lt;=원인분석!$C$11),"당기",IF(AND(M2907&gt;=원인분석!$C$12,M2907&lt;=원인분석!$C$13),"비교",""))))</f>
        <v/>
      </c>
      <c r="R2907" s="9">
        <f>IF(Q2907="","",$K2907&amp;"")</f>
        <v/>
      </c>
      <c r="S2907" s="9">
        <f>IF(Q2907="","",IF(MATCH(R2907,$R$5:$R$100000,0)=ROW()-4,ROW(),""))</f>
        <v/>
      </c>
      <c r="T2907" s="9">
        <f>IF(Q2907="당기",ABS(P2907)+ROW()/1000000000,"")</f>
        <v/>
      </c>
      <c r="U2907" s="9">
        <f>IF(Q2907="비교",ABS(P2907)+ROW()/1000000000,"")</f>
        <v/>
      </c>
      <c r="V2907" s="64">
        <f>IF($A2907="","",IF(COUNTIF(변동분석!$E$7:$E$506,O2907)&gt;0,"Y","N"))</f>
        <v/>
      </c>
      <c r="W2907" s="64">
        <f>IF($A2907="","",IFERROR(INDEX(계정매핑!$D$5:$D$504,MATCH($F2907&amp;"",계정매핑!$A$5:$A$504,0)),"미매핑"))</f>
        <v/>
      </c>
      <c r="X2907" s="9">
        <f>IF($A2907="","",$F2907&amp;"")</f>
        <v/>
      </c>
      <c r="Y2907" s="94">
        <f>IF($A2907="",0,IF(AE2907="직접",IF(AF2907="비귀속",$P2907,0),$P2907*(1-AG2907)*IFERROR(INDEX(계정대체기준!$F$20:$F$49,MATCH($N2907,계정대체기준!$A$20:$A$49,0)),1)))</f>
        <v/>
      </c>
      <c r="Z2907" s="94">
        <f>IF($A2907="",0,IF(AE2907="직접",IF(AF2907="신계약비",$P2907,0),$P2907*(1-AG2907)*IFERROR(INDEX(계정대체기준!$C$20:$C$49,MATCH($N2907,계정대체기준!$A$20:$A$49,0)),0)))</f>
        <v/>
      </c>
      <c r="AA2907" s="94">
        <f>IF($A2907="",0,IF(AE2907="직접",IF(OR(AF2907="유지비",AF2907="손해조사비"),$P2907,0),$P2907*(1-AG2907)*IFERROR(INDEX(계정대체기준!$D$20:$D$49,MATCH($N2907,계정대체기준!$A$20:$A$49,0)),0)))</f>
        <v/>
      </c>
      <c r="AB2907" s="94">
        <f>IF($A2907="",0,IF(AE2907="직접",IF(AF2907="수금비",$P2907,0),$P2907*(1-AG2907)*IFERROR(INDEX(계정대체기준!$E$20:$E$49,MATCH($N2907,계정대체기준!$A$20:$A$49,0)),0)))</f>
        <v/>
      </c>
      <c r="AC2907" s="9">
        <f>IF(AND($A2907&lt;&gt;"",M2907=설정!$C$20,Z2907&gt;0),Z2907+ROW()/1000000000,"")</f>
        <v/>
      </c>
      <c r="AD2907" s="94">
        <f>IF($A2907="",0,$P2907*AG2907)</f>
        <v/>
      </c>
      <c r="AE2907" s="64">
        <f>IF($A2907="","",IFERROR(INDEX(계정매핑!$E$5:$E$504,MATCH($F2907&amp;"",계정매핑!$A$5:$A$504,0))&amp;"","공통비"))</f>
        <v/>
      </c>
      <c r="AF2907" s="64">
        <f>IF($A2907="","",IF(AE2907="직접",IFERROR(INDEX(계정매핑!$F$5:$F$504,MATCH($F2907&amp;"",계정매핑!$A$5:$A$504,0))&amp;"","비귀속"),""))</f>
        <v/>
      </c>
      <c r="AG2907" s="96">
        <f>IF($A2907="",0,IF(AND(AE2907&lt;&gt;"직접",IFERROR(INDEX(계정매핑!$G$5:$G$504,MATCH($F2907&amp;"",계정매핑!$A$5:$A$504,0))&amp;"","")="유지비",COUNTIF(계정대체기준!$A$6:$A$15,$N2907)&gt;0),IFERROR(INDEX(계정대체기준!$E$6:$E$15,MATCH(VALUE($A2907&amp;""),계정대체기준!$D$6:$D$15,0)),0),0))</f>
        <v/>
      </c>
      <c r="AH2907" s="64">
        <f>IF($A2907="","",IF(AD2907=0,"",IF(OR(COUNTIF(계정대체기준!$A$77:$A$86,$N2907)&gt;0,ISNUMBER(MATCH($X2907,계정대체기준!$D$77:$D$86,0)),ISNUMBER(MATCH($F2907,계정대체기준!$D$77:$D$86,0))),"Y","N")))</f>
        <v/>
      </c>
    </row>
    <row r="2908">
      <c r="A2908" s="92" t="n">
        <v>2026</v>
      </c>
      <c r="B2908" s="92" t="n">
        <v>1</v>
      </c>
      <c r="C2908" s="92" t="inlineStr">
        <is>
          <t>5100000186</t>
        </is>
      </c>
      <c r="D2908" s="95" t="n">
        <v>46046</v>
      </c>
      <c r="E2908" s="92" t="inlineStr">
        <is>
          <t>KR</t>
        </is>
      </c>
      <c r="F2908" s="92" t="n">
        <v>62501000</v>
      </c>
      <c r="G2908" s="92" t="n">
        <v>1401</v>
      </c>
      <c r="H2908" s="93" t="n">
        <v>222000</v>
      </c>
      <c r="I2908" s="92" t="inlineStr">
        <is>
          <t>1월 회의 다과 - T케이터링</t>
        </is>
      </c>
      <c r="J2908" s="92" t="inlineStr">
        <is>
          <t>V10005</t>
        </is>
      </c>
      <c r="K2908" s="92" t="inlineStr">
        <is>
          <t>T케이터링</t>
        </is>
      </c>
      <c r="M2908" s="9">
        <f>IF($A2908="","",VALUE($A2908&amp;"")*12+VALUE($B2908&amp;""))</f>
        <v/>
      </c>
      <c r="N2908" s="64">
        <f>IF($A2908="","",IFERROR(INDEX(부서매핑!$C$5:$C$504,MATCH($G2908&amp;"",부서매핑!$A$5:$A$504,0)),"미매핑"))</f>
        <v/>
      </c>
      <c r="O2908" s="9">
        <f>IF($A2908="","",N2908&amp;"|"&amp;$F2908)</f>
        <v/>
      </c>
      <c r="P2908" s="94">
        <f>IF($A2908="",0,$H2908*설정!$C$23)</f>
        <v/>
      </c>
      <c r="Q2908" s="64">
        <f>IF($A2908="","",IF(O2908&lt;&gt;원인분석!$C$9,"",IF(AND(M2908&gt;=원인분석!$C$10,M2908&lt;=원인분석!$C$11),"당기",IF(AND(M2908&gt;=원인분석!$C$12,M2908&lt;=원인분석!$C$13),"비교",""))))</f>
        <v/>
      </c>
      <c r="R2908" s="9">
        <f>IF(Q2908="","",$K2908&amp;"")</f>
        <v/>
      </c>
      <c r="S2908" s="9">
        <f>IF(Q2908="","",IF(MATCH(R2908,$R$5:$R$100000,0)=ROW()-4,ROW(),""))</f>
        <v/>
      </c>
      <c r="T2908" s="9">
        <f>IF(Q2908="당기",ABS(P2908)+ROW()/1000000000,"")</f>
        <v/>
      </c>
      <c r="U2908" s="9">
        <f>IF(Q2908="비교",ABS(P2908)+ROW()/1000000000,"")</f>
        <v/>
      </c>
      <c r="V2908" s="64">
        <f>IF($A2908="","",IF(COUNTIF(변동분석!$E$7:$E$506,O2908)&gt;0,"Y","N"))</f>
        <v/>
      </c>
      <c r="W2908" s="64">
        <f>IF($A2908="","",IFERROR(INDEX(계정매핑!$D$5:$D$504,MATCH($F2908&amp;"",계정매핑!$A$5:$A$504,0)),"미매핑"))</f>
        <v/>
      </c>
      <c r="X2908" s="9">
        <f>IF($A2908="","",$F2908&amp;"")</f>
        <v/>
      </c>
      <c r="Y2908" s="94">
        <f>IF($A2908="",0,IF(AE2908="직접",IF(AF2908="비귀속",$P2908,0),$P2908*(1-AG2908)*IFERROR(INDEX(계정대체기준!$F$20:$F$49,MATCH($N2908,계정대체기준!$A$20:$A$49,0)),1)))</f>
        <v/>
      </c>
      <c r="Z2908" s="94">
        <f>IF($A2908="",0,IF(AE2908="직접",IF(AF2908="신계약비",$P2908,0),$P2908*(1-AG2908)*IFERROR(INDEX(계정대체기준!$C$20:$C$49,MATCH($N2908,계정대체기준!$A$20:$A$49,0)),0)))</f>
        <v/>
      </c>
      <c r="AA2908" s="94">
        <f>IF($A2908="",0,IF(AE2908="직접",IF(OR(AF2908="유지비",AF2908="손해조사비"),$P2908,0),$P2908*(1-AG2908)*IFERROR(INDEX(계정대체기준!$D$20:$D$49,MATCH($N2908,계정대체기준!$A$20:$A$49,0)),0)))</f>
        <v/>
      </c>
      <c r="AB2908" s="94">
        <f>IF($A2908="",0,IF(AE2908="직접",IF(AF2908="수금비",$P2908,0),$P2908*(1-AG2908)*IFERROR(INDEX(계정대체기준!$E$20:$E$49,MATCH($N2908,계정대체기준!$A$20:$A$49,0)),0)))</f>
        <v/>
      </c>
      <c r="AC2908" s="9">
        <f>IF(AND($A2908&lt;&gt;"",M2908=설정!$C$20,Z2908&gt;0),Z2908+ROW()/1000000000,"")</f>
        <v/>
      </c>
      <c r="AD2908" s="94">
        <f>IF($A2908="",0,$P2908*AG2908)</f>
        <v/>
      </c>
      <c r="AE2908" s="64">
        <f>IF($A2908="","",IFERROR(INDEX(계정매핑!$E$5:$E$504,MATCH($F2908&amp;"",계정매핑!$A$5:$A$504,0))&amp;"","공통비"))</f>
        <v/>
      </c>
      <c r="AF2908" s="64">
        <f>IF($A2908="","",IF(AE2908="직접",IFERROR(INDEX(계정매핑!$F$5:$F$504,MATCH($F2908&amp;"",계정매핑!$A$5:$A$504,0))&amp;"","비귀속"),""))</f>
        <v/>
      </c>
      <c r="AG2908" s="96">
        <f>IF($A2908="",0,IF(AND(AE2908&lt;&gt;"직접",IFERROR(INDEX(계정매핑!$G$5:$G$504,MATCH($F2908&amp;"",계정매핑!$A$5:$A$504,0))&amp;"","")="유지비",COUNTIF(계정대체기준!$A$6:$A$15,$N2908)&gt;0),IFERROR(INDEX(계정대체기준!$E$6:$E$15,MATCH(VALUE($A2908&amp;""),계정대체기준!$D$6:$D$15,0)),0),0))</f>
        <v/>
      </c>
      <c r="AH2908" s="64">
        <f>IF($A2908="","",IF(AD2908=0,"",IF(OR(COUNTIF(계정대체기준!$A$77:$A$86,$N2908)&gt;0,ISNUMBER(MATCH($X2908,계정대체기준!$D$77:$D$86,0)),ISNUMBER(MATCH($F2908,계정대체기준!$D$77:$D$86,0))),"Y","N")))</f>
        <v/>
      </c>
    </row>
    <row r="2909">
      <c r="A2909" s="92" t="n">
        <v>2026</v>
      </c>
      <c r="B2909" s="92" t="n">
        <v>1</v>
      </c>
      <c r="C2909" s="92" t="inlineStr">
        <is>
          <t>5100000187</t>
        </is>
      </c>
      <c r="D2909" s="95" t="n">
        <v>46046</v>
      </c>
      <c r="E2909" s="92" t="inlineStr">
        <is>
          <t>KR</t>
        </is>
      </c>
      <c r="F2909" s="92" t="n">
        <v>62902000</v>
      </c>
      <c r="G2909" s="92" t="n">
        <v>1101</v>
      </c>
      <c r="H2909" s="93" t="n">
        <v>1827000</v>
      </c>
      <c r="I2909" s="92" t="inlineStr">
        <is>
          <t>1월 업무 위탁 수수료 - X서비스</t>
        </is>
      </c>
      <c r="J2909" s="92" t="inlineStr">
        <is>
          <t>V10020</t>
        </is>
      </c>
      <c r="K2909" s="92" t="inlineStr">
        <is>
          <t>X서비스</t>
        </is>
      </c>
      <c r="M2909" s="9">
        <f>IF($A2909="","",VALUE($A2909&amp;"")*12+VALUE($B2909&amp;""))</f>
        <v/>
      </c>
      <c r="N2909" s="64">
        <f>IF($A2909="","",IFERROR(INDEX(부서매핑!$C$5:$C$504,MATCH($G2909&amp;"",부서매핑!$A$5:$A$504,0)),"미매핑"))</f>
        <v/>
      </c>
      <c r="O2909" s="9">
        <f>IF($A2909="","",N2909&amp;"|"&amp;$F2909)</f>
        <v/>
      </c>
      <c r="P2909" s="94">
        <f>IF($A2909="",0,$H2909*설정!$C$23)</f>
        <v/>
      </c>
      <c r="Q2909" s="64">
        <f>IF($A2909="","",IF(O2909&lt;&gt;원인분석!$C$9,"",IF(AND(M2909&gt;=원인분석!$C$10,M2909&lt;=원인분석!$C$11),"당기",IF(AND(M2909&gt;=원인분석!$C$12,M2909&lt;=원인분석!$C$13),"비교",""))))</f>
        <v/>
      </c>
      <c r="R2909" s="9">
        <f>IF(Q2909="","",$K2909&amp;"")</f>
        <v/>
      </c>
      <c r="S2909" s="9">
        <f>IF(Q2909="","",IF(MATCH(R2909,$R$5:$R$100000,0)=ROW()-4,ROW(),""))</f>
        <v/>
      </c>
      <c r="T2909" s="9">
        <f>IF(Q2909="당기",ABS(P2909)+ROW()/1000000000,"")</f>
        <v/>
      </c>
      <c r="U2909" s="9">
        <f>IF(Q2909="비교",ABS(P2909)+ROW()/1000000000,"")</f>
        <v/>
      </c>
      <c r="V2909" s="64">
        <f>IF($A2909="","",IF(COUNTIF(변동분석!$E$7:$E$506,O2909)&gt;0,"Y","N"))</f>
        <v/>
      </c>
      <c r="W2909" s="64">
        <f>IF($A2909="","",IFERROR(INDEX(계정매핑!$D$5:$D$504,MATCH($F2909&amp;"",계정매핑!$A$5:$A$504,0)),"미매핑"))</f>
        <v/>
      </c>
      <c r="X2909" s="9">
        <f>IF($A2909="","",$F2909&amp;"")</f>
        <v/>
      </c>
      <c r="Y2909" s="94">
        <f>IF($A2909="",0,IF(AE2909="직접",IF(AF2909="비귀속",$P2909,0),$P2909*(1-AG2909)*IFERROR(INDEX(계정대체기준!$F$20:$F$49,MATCH($N2909,계정대체기준!$A$20:$A$49,0)),1)))</f>
        <v/>
      </c>
      <c r="Z2909" s="94">
        <f>IF($A2909="",0,IF(AE2909="직접",IF(AF2909="신계약비",$P2909,0),$P2909*(1-AG2909)*IFERROR(INDEX(계정대체기준!$C$20:$C$49,MATCH($N2909,계정대체기준!$A$20:$A$49,0)),0)))</f>
        <v/>
      </c>
      <c r="AA2909" s="94">
        <f>IF($A2909="",0,IF(AE2909="직접",IF(OR(AF2909="유지비",AF2909="손해조사비"),$P2909,0),$P2909*(1-AG2909)*IFERROR(INDEX(계정대체기준!$D$20:$D$49,MATCH($N2909,계정대체기준!$A$20:$A$49,0)),0)))</f>
        <v/>
      </c>
      <c r="AB2909" s="94">
        <f>IF($A2909="",0,IF(AE2909="직접",IF(AF2909="수금비",$P2909,0),$P2909*(1-AG2909)*IFERROR(INDEX(계정대체기준!$E$20:$E$49,MATCH($N2909,계정대체기준!$A$20:$A$49,0)),0)))</f>
        <v/>
      </c>
      <c r="AC2909" s="9">
        <f>IF(AND($A2909&lt;&gt;"",M2909=설정!$C$20,Z2909&gt;0),Z2909+ROW()/1000000000,"")</f>
        <v/>
      </c>
      <c r="AD2909" s="94">
        <f>IF($A2909="",0,$P2909*AG2909)</f>
        <v/>
      </c>
      <c r="AE2909" s="64">
        <f>IF($A2909="","",IFERROR(INDEX(계정매핑!$E$5:$E$504,MATCH($F2909&amp;"",계정매핑!$A$5:$A$504,0))&amp;"","공통비"))</f>
        <v/>
      </c>
      <c r="AF2909" s="64">
        <f>IF($A2909="","",IF(AE2909="직접",IFERROR(INDEX(계정매핑!$F$5:$F$504,MATCH($F2909&amp;"",계정매핑!$A$5:$A$504,0))&amp;"","비귀속"),""))</f>
        <v/>
      </c>
      <c r="AG2909" s="96">
        <f>IF($A2909="",0,IF(AND(AE2909&lt;&gt;"직접",IFERROR(INDEX(계정매핑!$G$5:$G$504,MATCH($F2909&amp;"",계정매핑!$A$5:$A$504,0))&amp;"","")="유지비",COUNTIF(계정대체기준!$A$6:$A$15,$N2909)&gt;0),IFERROR(INDEX(계정대체기준!$E$6:$E$15,MATCH(VALUE($A2909&amp;""),계정대체기준!$D$6:$D$15,0)),0),0))</f>
        <v/>
      </c>
      <c r="AH2909" s="64">
        <f>IF($A2909="","",IF(AD2909=0,"",IF(OR(COUNTIF(계정대체기준!$A$77:$A$86,$N2909)&gt;0,ISNUMBER(MATCH($X2909,계정대체기준!$D$77:$D$86,0)),ISNUMBER(MATCH($F2909,계정대체기준!$D$77:$D$86,0))),"Y","N")))</f>
        <v/>
      </c>
    </row>
    <row r="2910">
      <c r="A2910" s="92" t="n">
        <v>2026</v>
      </c>
      <c r="B2910" s="92" t="n">
        <v>1</v>
      </c>
      <c r="C2910" s="92" t="inlineStr">
        <is>
          <t>5100000188</t>
        </is>
      </c>
      <c r="D2910" s="95" t="n">
        <v>46046</v>
      </c>
      <c r="E2910" s="92" t="inlineStr">
        <is>
          <t>KR</t>
        </is>
      </c>
      <c r="F2910" s="92" t="n">
        <v>62902000</v>
      </c>
      <c r="G2910" s="92" t="n">
        <v>1951</v>
      </c>
      <c r="H2910" s="93" t="n">
        <v>1538000</v>
      </c>
      <c r="I2910" s="92" t="inlineStr">
        <is>
          <t>1월 업무 위탁 수수료 - X서비스</t>
        </is>
      </c>
      <c r="J2910" s="92" t="inlineStr">
        <is>
          <t>V10020</t>
        </is>
      </c>
      <c r="K2910" s="92" t="inlineStr">
        <is>
          <t>X서비스</t>
        </is>
      </c>
      <c r="M2910" s="9">
        <f>IF($A2910="","",VALUE($A2910&amp;"")*12+VALUE($B2910&amp;""))</f>
        <v/>
      </c>
      <c r="N2910" s="64">
        <f>IF($A2910="","",IFERROR(INDEX(부서매핑!$C$5:$C$504,MATCH($G2910&amp;"",부서매핑!$A$5:$A$504,0)),"미매핑"))</f>
        <v/>
      </c>
      <c r="O2910" s="9">
        <f>IF($A2910="","",N2910&amp;"|"&amp;$F2910)</f>
        <v/>
      </c>
      <c r="P2910" s="94">
        <f>IF($A2910="",0,$H2910*설정!$C$23)</f>
        <v/>
      </c>
      <c r="Q2910" s="64">
        <f>IF($A2910="","",IF(O2910&lt;&gt;원인분석!$C$9,"",IF(AND(M2910&gt;=원인분석!$C$10,M2910&lt;=원인분석!$C$11),"당기",IF(AND(M2910&gt;=원인분석!$C$12,M2910&lt;=원인분석!$C$13),"비교",""))))</f>
        <v/>
      </c>
      <c r="R2910" s="9">
        <f>IF(Q2910="","",$K2910&amp;"")</f>
        <v/>
      </c>
      <c r="S2910" s="9">
        <f>IF(Q2910="","",IF(MATCH(R2910,$R$5:$R$100000,0)=ROW()-4,ROW(),""))</f>
        <v/>
      </c>
      <c r="T2910" s="9">
        <f>IF(Q2910="당기",ABS(P2910)+ROW()/1000000000,"")</f>
        <v/>
      </c>
      <c r="U2910" s="9">
        <f>IF(Q2910="비교",ABS(P2910)+ROW()/1000000000,"")</f>
        <v/>
      </c>
      <c r="V2910" s="64">
        <f>IF($A2910="","",IF(COUNTIF(변동분석!$E$7:$E$506,O2910)&gt;0,"Y","N"))</f>
        <v/>
      </c>
      <c r="W2910" s="64">
        <f>IF($A2910="","",IFERROR(INDEX(계정매핑!$D$5:$D$504,MATCH($F2910&amp;"",계정매핑!$A$5:$A$504,0)),"미매핑"))</f>
        <v/>
      </c>
      <c r="X2910" s="9">
        <f>IF($A2910="","",$F2910&amp;"")</f>
        <v/>
      </c>
      <c r="Y2910" s="94">
        <f>IF($A2910="",0,IF(AE2910="직접",IF(AF2910="비귀속",$P2910,0),$P2910*(1-AG2910)*IFERROR(INDEX(계정대체기준!$F$20:$F$49,MATCH($N2910,계정대체기준!$A$20:$A$49,0)),1)))</f>
        <v/>
      </c>
      <c r="Z2910" s="94">
        <f>IF($A2910="",0,IF(AE2910="직접",IF(AF2910="신계약비",$P2910,0),$P2910*(1-AG2910)*IFERROR(INDEX(계정대체기준!$C$20:$C$49,MATCH($N2910,계정대체기준!$A$20:$A$49,0)),0)))</f>
        <v/>
      </c>
      <c r="AA2910" s="94">
        <f>IF($A2910="",0,IF(AE2910="직접",IF(OR(AF2910="유지비",AF2910="손해조사비"),$P2910,0),$P2910*(1-AG2910)*IFERROR(INDEX(계정대체기준!$D$20:$D$49,MATCH($N2910,계정대체기준!$A$20:$A$49,0)),0)))</f>
        <v/>
      </c>
      <c r="AB2910" s="94">
        <f>IF($A2910="",0,IF(AE2910="직접",IF(AF2910="수금비",$P2910,0),$P2910*(1-AG2910)*IFERROR(INDEX(계정대체기준!$E$20:$E$49,MATCH($N2910,계정대체기준!$A$20:$A$49,0)),0)))</f>
        <v/>
      </c>
      <c r="AC2910" s="9">
        <f>IF(AND($A2910&lt;&gt;"",M2910=설정!$C$20,Z2910&gt;0),Z2910+ROW()/1000000000,"")</f>
        <v/>
      </c>
      <c r="AD2910" s="94">
        <f>IF($A2910="",0,$P2910*AG2910)</f>
        <v/>
      </c>
      <c r="AE2910" s="64">
        <f>IF($A2910="","",IFERROR(INDEX(계정매핑!$E$5:$E$504,MATCH($F2910&amp;"",계정매핑!$A$5:$A$504,0))&amp;"","공통비"))</f>
        <v/>
      </c>
      <c r="AF2910" s="64">
        <f>IF($A2910="","",IF(AE2910="직접",IFERROR(INDEX(계정매핑!$F$5:$F$504,MATCH($F2910&amp;"",계정매핑!$A$5:$A$504,0))&amp;"","비귀속"),""))</f>
        <v/>
      </c>
      <c r="AG2910" s="96">
        <f>IF($A2910="",0,IF(AND(AE2910&lt;&gt;"직접",IFERROR(INDEX(계정매핑!$G$5:$G$504,MATCH($F2910&amp;"",계정매핑!$A$5:$A$504,0))&amp;"","")="유지비",COUNTIF(계정대체기준!$A$6:$A$15,$N2910)&gt;0),IFERROR(INDEX(계정대체기준!$E$6:$E$15,MATCH(VALUE($A2910&amp;""),계정대체기준!$D$6:$D$15,0)),0),0))</f>
        <v/>
      </c>
      <c r="AH2910" s="64">
        <f>IF($A2910="","",IF(AD2910=0,"",IF(OR(COUNTIF(계정대체기준!$A$77:$A$86,$N2910)&gt;0,ISNUMBER(MATCH($X2910,계정대체기준!$D$77:$D$86,0)),ISNUMBER(MATCH($F2910,계정대체기준!$D$77:$D$86,0))),"Y","N")))</f>
        <v/>
      </c>
    </row>
    <row r="2911">
      <c r="A2911" s="92" t="n">
        <v>2026</v>
      </c>
      <c r="B2911" s="92" t="n">
        <v>1</v>
      </c>
      <c r="C2911" s="92" t="inlineStr">
        <is>
          <t>5100000189</t>
        </is>
      </c>
      <c r="D2911" s="95" t="n">
        <v>46047</v>
      </c>
      <c r="E2911" s="92" t="inlineStr">
        <is>
          <t>KR</t>
        </is>
      </c>
      <c r="F2911" s="92" t="n">
        <v>62101000</v>
      </c>
      <c r="G2911" s="92" t="n">
        <v>1101</v>
      </c>
      <c r="H2911" s="93" t="n">
        <v>648000</v>
      </c>
      <c r="I2911" s="92" t="inlineStr">
        <is>
          <t>1월 국내출장 - L여행사</t>
        </is>
      </c>
      <c r="J2911" s="92" t="inlineStr">
        <is>
          <t>V10018</t>
        </is>
      </c>
      <c r="K2911" s="92" t="inlineStr">
        <is>
          <t>L여행사</t>
        </is>
      </c>
      <c r="M2911" s="9">
        <f>IF($A2911="","",VALUE($A2911&amp;"")*12+VALUE($B2911&amp;""))</f>
        <v/>
      </c>
      <c r="N2911" s="64">
        <f>IF($A2911="","",IFERROR(INDEX(부서매핑!$C$5:$C$504,MATCH($G2911&amp;"",부서매핑!$A$5:$A$504,0)),"미매핑"))</f>
        <v/>
      </c>
      <c r="O2911" s="9">
        <f>IF($A2911="","",N2911&amp;"|"&amp;$F2911)</f>
        <v/>
      </c>
      <c r="P2911" s="94">
        <f>IF($A2911="",0,$H2911*설정!$C$23)</f>
        <v/>
      </c>
      <c r="Q2911" s="64">
        <f>IF($A2911="","",IF(O2911&lt;&gt;원인분석!$C$9,"",IF(AND(M2911&gt;=원인분석!$C$10,M2911&lt;=원인분석!$C$11),"당기",IF(AND(M2911&gt;=원인분석!$C$12,M2911&lt;=원인분석!$C$13),"비교",""))))</f>
        <v/>
      </c>
      <c r="R2911" s="9">
        <f>IF(Q2911="","",$K2911&amp;"")</f>
        <v/>
      </c>
      <c r="S2911" s="9">
        <f>IF(Q2911="","",IF(MATCH(R2911,$R$5:$R$100000,0)=ROW()-4,ROW(),""))</f>
        <v/>
      </c>
      <c r="T2911" s="9">
        <f>IF(Q2911="당기",ABS(P2911)+ROW()/1000000000,"")</f>
        <v/>
      </c>
      <c r="U2911" s="9">
        <f>IF(Q2911="비교",ABS(P2911)+ROW()/1000000000,"")</f>
        <v/>
      </c>
      <c r="V2911" s="64">
        <f>IF($A2911="","",IF(COUNTIF(변동분석!$E$7:$E$506,O2911)&gt;0,"Y","N"))</f>
        <v/>
      </c>
      <c r="W2911" s="64">
        <f>IF($A2911="","",IFERROR(INDEX(계정매핑!$D$5:$D$504,MATCH($F2911&amp;"",계정매핑!$A$5:$A$504,0)),"미매핑"))</f>
        <v/>
      </c>
      <c r="X2911" s="9">
        <f>IF($A2911="","",$F2911&amp;"")</f>
        <v/>
      </c>
      <c r="Y2911" s="94">
        <f>IF($A2911="",0,IF(AE2911="직접",IF(AF2911="비귀속",$P2911,0),$P2911*(1-AG2911)*IFERROR(INDEX(계정대체기준!$F$20:$F$49,MATCH($N2911,계정대체기준!$A$20:$A$49,0)),1)))</f>
        <v/>
      </c>
      <c r="Z2911" s="94">
        <f>IF($A2911="",0,IF(AE2911="직접",IF(AF2911="신계약비",$P2911,0),$P2911*(1-AG2911)*IFERROR(INDEX(계정대체기준!$C$20:$C$49,MATCH($N2911,계정대체기준!$A$20:$A$49,0)),0)))</f>
        <v/>
      </c>
      <c r="AA2911" s="94">
        <f>IF($A2911="",0,IF(AE2911="직접",IF(OR(AF2911="유지비",AF2911="손해조사비"),$P2911,0),$P2911*(1-AG2911)*IFERROR(INDEX(계정대체기준!$D$20:$D$49,MATCH($N2911,계정대체기준!$A$20:$A$49,0)),0)))</f>
        <v/>
      </c>
      <c r="AB2911" s="94">
        <f>IF($A2911="",0,IF(AE2911="직접",IF(AF2911="수금비",$P2911,0),$P2911*(1-AG2911)*IFERROR(INDEX(계정대체기준!$E$20:$E$49,MATCH($N2911,계정대체기준!$A$20:$A$49,0)),0)))</f>
        <v/>
      </c>
      <c r="AC2911" s="9">
        <f>IF(AND($A2911&lt;&gt;"",M2911=설정!$C$20,Z2911&gt;0),Z2911+ROW()/1000000000,"")</f>
        <v/>
      </c>
      <c r="AD2911" s="94">
        <f>IF($A2911="",0,$P2911*AG2911)</f>
        <v/>
      </c>
      <c r="AE2911" s="64">
        <f>IF($A2911="","",IFERROR(INDEX(계정매핑!$E$5:$E$504,MATCH($F2911&amp;"",계정매핑!$A$5:$A$504,0))&amp;"","공통비"))</f>
        <v/>
      </c>
      <c r="AF2911" s="64">
        <f>IF($A2911="","",IF(AE2911="직접",IFERROR(INDEX(계정매핑!$F$5:$F$504,MATCH($F2911&amp;"",계정매핑!$A$5:$A$504,0))&amp;"","비귀속"),""))</f>
        <v/>
      </c>
      <c r="AG2911" s="96">
        <f>IF($A2911="",0,IF(AND(AE2911&lt;&gt;"직접",IFERROR(INDEX(계정매핑!$G$5:$G$504,MATCH($F2911&amp;"",계정매핑!$A$5:$A$504,0))&amp;"","")="유지비",COUNTIF(계정대체기준!$A$6:$A$15,$N2911)&gt;0),IFERROR(INDEX(계정대체기준!$E$6:$E$15,MATCH(VALUE($A2911&amp;""),계정대체기준!$D$6:$D$15,0)),0),0))</f>
        <v/>
      </c>
      <c r="AH2911" s="64">
        <f>IF($A2911="","",IF(AD2911=0,"",IF(OR(COUNTIF(계정대체기준!$A$77:$A$86,$N2911)&gt;0,ISNUMBER(MATCH($X2911,계정대체기준!$D$77:$D$86,0)),ISNUMBER(MATCH($F2911,계정대체기준!$D$77:$D$86,0))),"Y","N")))</f>
        <v/>
      </c>
    </row>
    <row r="2912">
      <c r="A2912" s="92" t="n">
        <v>2026</v>
      </c>
      <c r="B2912" s="92" t="n">
        <v>1</v>
      </c>
      <c r="C2912" s="92" t="inlineStr">
        <is>
          <t>5100000190</t>
        </is>
      </c>
      <c r="D2912" s="95" t="n">
        <v>46047</v>
      </c>
      <c r="E2912" s="92" t="inlineStr">
        <is>
          <t>KR</t>
        </is>
      </c>
      <c r="F2912" s="92" t="n">
        <v>62101000</v>
      </c>
      <c r="G2912" s="92" t="n">
        <v>1101</v>
      </c>
      <c r="H2912" s="93" t="n">
        <v>813000</v>
      </c>
      <c r="I2912" s="92" t="inlineStr">
        <is>
          <t>1월 국내출장 - M항공</t>
        </is>
      </c>
      <c r="J2912" s="92" t="inlineStr">
        <is>
          <t>V10001</t>
        </is>
      </c>
      <c r="K2912" s="92" t="inlineStr">
        <is>
          <t>M항공</t>
        </is>
      </c>
      <c r="M2912" s="9">
        <f>IF($A2912="","",VALUE($A2912&amp;"")*12+VALUE($B2912&amp;""))</f>
        <v/>
      </c>
      <c r="N2912" s="64">
        <f>IF($A2912="","",IFERROR(INDEX(부서매핑!$C$5:$C$504,MATCH($G2912&amp;"",부서매핑!$A$5:$A$504,0)),"미매핑"))</f>
        <v/>
      </c>
      <c r="O2912" s="9">
        <f>IF($A2912="","",N2912&amp;"|"&amp;$F2912)</f>
        <v/>
      </c>
      <c r="P2912" s="94">
        <f>IF($A2912="",0,$H2912*설정!$C$23)</f>
        <v/>
      </c>
      <c r="Q2912" s="64">
        <f>IF($A2912="","",IF(O2912&lt;&gt;원인분석!$C$9,"",IF(AND(M2912&gt;=원인분석!$C$10,M2912&lt;=원인분석!$C$11),"당기",IF(AND(M2912&gt;=원인분석!$C$12,M2912&lt;=원인분석!$C$13),"비교",""))))</f>
        <v/>
      </c>
      <c r="R2912" s="9">
        <f>IF(Q2912="","",$K2912&amp;"")</f>
        <v/>
      </c>
      <c r="S2912" s="9">
        <f>IF(Q2912="","",IF(MATCH(R2912,$R$5:$R$100000,0)=ROW()-4,ROW(),""))</f>
        <v/>
      </c>
      <c r="T2912" s="9">
        <f>IF(Q2912="당기",ABS(P2912)+ROW()/1000000000,"")</f>
        <v/>
      </c>
      <c r="U2912" s="9">
        <f>IF(Q2912="비교",ABS(P2912)+ROW()/1000000000,"")</f>
        <v/>
      </c>
      <c r="V2912" s="64">
        <f>IF($A2912="","",IF(COUNTIF(변동분석!$E$7:$E$506,O2912)&gt;0,"Y","N"))</f>
        <v/>
      </c>
      <c r="W2912" s="64">
        <f>IF($A2912="","",IFERROR(INDEX(계정매핑!$D$5:$D$504,MATCH($F2912&amp;"",계정매핑!$A$5:$A$504,0)),"미매핑"))</f>
        <v/>
      </c>
      <c r="X2912" s="9">
        <f>IF($A2912="","",$F2912&amp;"")</f>
        <v/>
      </c>
      <c r="Y2912" s="94">
        <f>IF($A2912="",0,IF(AE2912="직접",IF(AF2912="비귀속",$P2912,0),$P2912*(1-AG2912)*IFERROR(INDEX(계정대체기준!$F$20:$F$49,MATCH($N2912,계정대체기준!$A$20:$A$49,0)),1)))</f>
        <v/>
      </c>
      <c r="Z2912" s="94">
        <f>IF($A2912="",0,IF(AE2912="직접",IF(AF2912="신계약비",$P2912,0),$P2912*(1-AG2912)*IFERROR(INDEX(계정대체기준!$C$20:$C$49,MATCH($N2912,계정대체기준!$A$20:$A$49,0)),0)))</f>
        <v/>
      </c>
      <c r="AA2912" s="94">
        <f>IF($A2912="",0,IF(AE2912="직접",IF(OR(AF2912="유지비",AF2912="손해조사비"),$P2912,0),$P2912*(1-AG2912)*IFERROR(INDEX(계정대체기준!$D$20:$D$49,MATCH($N2912,계정대체기준!$A$20:$A$49,0)),0)))</f>
        <v/>
      </c>
      <c r="AB2912" s="94">
        <f>IF($A2912="",0,IF(AE2912="직접",IF(AF2912="수금비",$P2912,0),$P2912*(1-AG2912)*IFERROR(INDEX(계정대체기준!$E$20:$E$49,MATCH($N2912,계정대체기준!$A$20:$A$49,0)),0)))</f>
        <v/>
      </c>
      <c r="AC2912" s="9">
        <f>IF(AND($A2912&lt;&gt;"",M2912=설정!$C$20,Z2912&gt;0),Z2912+ROW()/1000000000,"")</f>
        <v/>
      </c>
      <c r="AD2912" s="94">
        <f>IF($A2912="",0,$P2912*AG2912)</f>
        <v/>
      </c>
      <c r="AE2912" s="64">
        <f>IF($A2912="","",IFERROR(INDEX(계정매핑!$E$5:$E$504,MATCH($F2912&amp;"",계정매핑!$A$5:$A$504,0))&amp;"","공통비"))</f>
        <v/>
      </c>
      <c r="AF2912" s="64">
        <f>IF($A2912="","",IF(AE2912="직접",IFERROR(INDEX(계정매핑!$F$5:$F$504,MATCH($F2912&amp;"",계정매핑!$A$5:$A$504,0))&amp;"","비귀속"),""))</f>
        <v/>
      </c>
      <c r="AG2912" s="96">
        <f>IF($A2912="",0,IF(AND(AE2912&lt;&gt;"직접",IFERROR(INDEX(계정매핑!$G$5:$G$504,MATCH($F2912&amp;"",계정매핑!$A$5:$A$504,0))&amp;"","")="유지비",COUNTIF(계정대체기준!$A$6:$A$15,$N2912)&gt;0),IFERROR(INDEX(계정대체기준!$E$6:$E$15,MATCH(VALUE($A2912&amp;""),계정대체기준!$D$6:$D$15,0)),0),0))</f>
        <v/>
      </c>
      <c r="AH2912" s="64">
        <f>IF($A2912="","",IF(AD2912=0,"",IF(OR(COUNTIF(계정대체기준!$A$77:$A$86,$N2912)&gt;0,ISNUMBER(MATCH($X2912,계정대체기준!$D$77:$D$86,0)),ISNUMBER(MATCH($F2912,계정대체기준!$D$77:$D$86,0))),"Y","N")))</f>
        <v/>
      </c>
    </row>
    <row r="2913">
      <c r="A2913" s="92" t="n">
        <v>2026</v>
      </c>
      <c r="B2913" s="92" t="n">
        <v>1</v>
      </c>
      <c r="C2913" s="92" t="inlineStr">
        <is>
          <t>5100000191</t>
        </is>
      </c>
      <c r="D2913" s="95" t="n">
        <v>46047</v>
      </c>
      <c r="E2913" s="92" t="inlineStr">
        <is>
          <t>KR</t>
        </is>
      </c>
      <c r="F2913" s="92" t="n">
        <v>62101000</v>
      </c>
      <c r="G2913" s="92" t="n">
        <v>1401</v>
      </c>
      <c r="H2913" s="93" t="n">
        <v>419000</v>
      </c>
      <c r="I2913" s="92" t="inlineStr">
        <is>
          <t>1월 국내출장 - L여행사</t>
        </is>
      </c>
      <c r="J2913" s="92" t="inlineStr">
        <is>
          <t>V10018</t>
        </is>
      </c>
      <c r="K2913" s="92" t="inlineStr">
        <is>
          <t>L여행사</t>
        </is>
      </c>
      <c r="M2913" s="9">
        <f>IF($A2913="","",VALUE($A2913&amp;"")*12+VALUE($B2913&amp;""))</f>
        <v/>
      </c>
      <c r="N2913" s="64">
        <f>IF($A2913="","",IFERROR(INDEX(부서매핑!$C$5:$C$504,MATCH($G2913&amp;"",부서매핑!$A$5:$A$504,0)),"미매핑"))</f>
        <v/>
      </c>
      <c r="O2913" s="9">
        <f>IF($A2913="","",N2913&amp;"|"&amp;$F2913)</f>
        <v/>
      </c>
      <c r="P2913" s="94">
        <f>IF($A2913="",0,$H2913*설정!$C$23)</f>
        <v/>
      </c>
      <c r="Q2913" s="64">
        <f>IF($A2913="","",IF(O2913&lt;&gt;원인분석!$C$9,"",IF(AND(M2913&gt;=원인분석!$C$10,M2913&lt;=원인분석!$C$11),"당기",IF(AND(M2913&gt;=원인분석!$C$12,M2913&lt;=원인분석!$C$13),"비교",""))))</f>
        <v/>
      </c>
      <c r="R2913" s="9">
        <f>IF(Q2913="","",$K2913&amp;"")</f>
        <v/>
      </c>
      <c r="S2913" s="9">
        <f>IF(Q2913="","",IF(MATCH(R2913,$R$5:$R$100000,0)=ROW()-4,ROW(),""))</f>
        <v/>
      </c>
      <c r="T2913" s="9">
        <f>IF(Q2913="당기",ABS(P2913)+ROW()/1000000000,"")</f>
        <v/>
      </c>
      <c r="U2913" s="9">
        <f>IF(Q2913="비교",ABS(P2913)+ROW()/1000000000,"")</f>
        <v/>
      </c>
      <c r="V2913" s="64">
        <f>IF($A2913="","",IF(COUNTIF(변동분석!$E$7:$E$506,O2913)&gt;0,"Y","N"))</f>
        <v/>
      </c>
      <c r="W2913" s="64">
        <f>IF($A2913="","",IFERROR(INDEX(계정매핑!$D$5:$D$504,MATCH($F2913&amp;"",계정매핑!$A$5:$A$504,0)),"미매핑"))</f>
        <v/>
      </c>
      <c r="X2913" s="9">
        <f>IF($A2913="","",$F2913&amp;"")</f>
        <v/>
      </c>
      <c r="Y2913" s="94">
        <f>IF($A2913="",0,IF(AE2913="직접",IF(AF2913="비귀속",$P2913,0),$P2913*(1-AG2913)*IFERROR(INDEX(계정대체기준!$F$20:$F$49,MATCH($N2913,계정대체기준!$A$20:$A$49,0)),1)))</f>
        <v/>
      </c>
      <c r="Z2913" s="94">
        <f>IF($A2913="",0,IF(AE2913="직접",IF(AF2913="신계약비",$P2913,0),$P2913*(1-AG2913)*IFERROR(INDEX(계정대체기준!$C$20:$C$49,MATCH($N2913,계정대체기준!$A$20:$A$49,0)),0)))</f>
        <v/>
      </c>
      <c r="AA2913" s="94">
        <f>IF($A2913="",0,IF(AE2913="직접",IF(OR(AF2913="유지비",AF2913="손해조사비"),$P2913,0),$P2913*(1-AG2913)*IFERROR(INDEX(계정대체기준!$D$20:$D$49,MATCH($N2913,계정대체기준!$A$20:$A$49,0)),0)))</f>
        <v/>
      </c>
      <c r="AB2913" s="94">
        <f>IF($A2913="",0,IF(AE2913="직접",IF(AF2913="수금비",$P2913,0),$P2913*(1-AG2913)*IFERROR(INDEX(계정대체기준!$E$20:$E$49,MATCH($N2913,계정대체기준!$A$20:$A$49,0)),0)))</f>
        <v/>
      </c>
      <c r="AC2913" s="9">
        <f>IF(AND($A2913&lt;&gt;"",M2913=설정!$C$20,Z2913&gt;0),Z2913+ROW()/1000000000,"")</f>
        <v/>
      </c>
      <c r="AD2913" s="94">
        <f>IF($A2913="",0,$P2913*AG2913)</f>
        <v/>
      </c>
      <c r="AE2913" s="64">
        <f>IF($A2913="","",IFERROR(INDEX(계정매핑!$E$5:$E$504,MATCH($F2913&amp;"",계정매핑!$A$5:$A$504,0))&amp;"","공통비"))</f>
        <v/>
      </c>
      <c r="AF2913" s="64">
        <f>IF($A2913="","",IF(AE2913="직접",IFERROR(INDEX(계정매핑!$F$5:$F$504,MATCH($F2913&amp;"",계정매핑!$A$5:$A$504,0))&amp;"","비귀속"),""))</f>
        <v/>
      </c>
      <c r="AG2913" s="96">
        <f>IF($A2913="",0,IF(AND(AE2913&lt;&gt;"직접",IFERROR(INDEX(계정매핑!$G$5:$G$504,MATCH($F2913&amp;"",계정매핑!$A$5:$A$504,0))&amp;"","")="유지비",COUNTIF(계정대체기준!$A$6:$A$15,$N2913)&gt;0),IFERROR(INDEX(계정대체기준!$E$6:$E$15,MATCH(VALUE($A2913&amp;""),계정대체기준!$D$6:$D$15,0)),0),0))</f>
        <v/>
      </c>
      <c r="AH2913" s="64">
        <f>IF($A2913="","",IF(AD2913=0,"",IF(OR(COUNTIF(계정대체기준!$A$77:$A$86,$N2913)&gt;0,ISNUMBER(MATCH($X2913,계정대체기준!$D$77:$D$86,0)),ISNUMBER(MATCH($F2913,계정대체기준!$D$77:$D$86,0))),"Y","N")))</f>
        <v/>
      </c>
    </row>
    <row r="2914">
      <c r="A2914" s="92" t="n">
        <v>2026</v>
      </c>
      <c r="B2914" s="92" t="n">
        <v>1</v>
      </c>
      <c r="C2914" s="92" t="inlineStr">
        <is>
          <t>5100000192</t>
        </is>
      </c>
      <c r="D2914" s="95" t="n">
        <v>46047</v>
      </c>
      <c r="E2914" s="92" t="inlineStr">
        <is>
          <t>KR</t>
        </is>
      </c>
      <c r="F2914" s="92" t="n">
        <v>62102000</v>
      </c>
      <c r="G2914" s="92" t="n">
        <v>1401</v>
      </c>
      <c r="H2914" s="93" t="n">
        <v>115000</v>
      </c>
      <c r="I2914" s="92" t="inlineStr">
        <is>
          <t>1월 해외출장 - N호텔</t>
        </is>
      </c>
      <c r="J2914" s="92" t="inlineStr">
        <is>
          <t>V10009</t>
        </is>
      </c>
      <c r="K2914" s="92" t="inlineStr">
        <is>
          <t>N호텔</t>
        </is>
      </c>
      <c r="M2914" s="9">
        <f>IF($A2914="","",VALUE($A2914&amp;"")*12+VALUE($B2914&amp;""))</f>
        <v/>
      </c>
      <c r="N2914" s="64">
        <f>IF($A2914="","",IFERROR(INDEX(부서매핑!$C$5:$C$504,MATCH($G2914&amp;"",부서매핑!$A$5:$A$504,0)),"미매핑"))</f>
        <v/>
      </c>
      <c r="O2914" s="9">
        <f>IF($A2914="","",N2914&amp;"|"&amp;$F2914)</f>
        <v/>
      </c>
      <c r="P2914" s="94">
        <f>IF($A2914="",0,$H2914*설정!$C$23)</f>
        <v/>
      </c>
      <c r="Q2914" s="64">
        <f>IF($A2914="","",IF(O2914&lt;&gt;원인분석!$C$9,"",IF(AND(M2914&gt;=원인분석!$C$10,M2914&lt;=원인분석!$C$11),"당기",IF(AND(M2914&gt;=원인분석!$C$12,M2914&lt;=원인분석!$C$13),"비교",""))))</f>
        <v/>
      </c>
      <c r="R2914" s="9">
        <f>IF(Q2914="","",$K2914&amp;"")</f>
        <v/>
      </c>
      <c r="S2914" s="9">
        <f>IF(Q2914="","",IF(MATCH(R2914,$R$5:$R$100000,0)=ROW()-4,ROW(),""))</f>
        <v/>
      </c>
      <c r="T2914" s="9">
        <f>IF(Q2914="당기",ABS(P2914)+ROW()/1000000000,"")</f>
        <v/>
      </c>
      <c r="U2914" s="9">
        <f>IF(Q2914="비교",ABS(P2914)+ROW()/1000000000,"")</f>
        <v/>
      </c>
      <c r="V2914" s="64">
        <f>IF($A2914="","",IF(COUNTIF(변동분석!$E$7:$E$506,O2914)&gt;0,"Y","N"))</f>
        <v/>
      </c>
      <c r="W2914" s="64">
        <f>IF($A2914="","",IFERROR(INDEX(계정매핑!$D$5:$D$504,MATCH($F2914&amp;"",계정매핑!$A$5:$A$504,0)),"미매핑"))</f>
        <v/>
      </c>
      <c r="X2914" s="9">
        <f>IF($A2914="","",$F2914&amp;"")</f>
        <v/>
      </c>
      <c r="Y2914" s="94">
        <f>IF($A2914="",0,IF(AE2914="직접",IF(AF2914="비귀속",$P2914,0),$P2914*(1-AG2914)*IFERROR(INDEX(계정대체기준!$F$20:$F$49,MATCH($N2914,계정대체기준!$A$20:$A$49,0)),1)))</f>
        <v/>
      </c>
      <c r="Z2914" s="94">
        <f>IF($A2914="",0,IF(AE2914="직접",IF(AF2914="신계약비",$P2914,0),$P2914*(1-AG2914)*IFERROR(INDEX(계정대체기준!$C$20:$C$49,MATCH($N2914,계정대체기준!$A$20:$A$49,0)),0)))</f>
        <v/>
      </c>
      <c r="AA2914" s="94">
        <f>IF($A2914="",0,IF(AE2914="직접",IF(OR(AF2914="유지비",AF2914="손해조사비"),$P2914,0),$P2914*(1-AG2914)*IFERROR(INDEX(계정대체기준!$D$20:$D$49,MATCH($N2914,계정대체기준!$A$20:$A$49,0)),0)))</f>
        <v/>
      </c>
      <c r="AB2914" s="94">
        <f>IF($A2914="",0,IF(AE2914="직접",IF(AF2914="수금비",$P2914,0),$P2914*(1-AG2914)*IFERROR(INDEX(계정대체기준!$E$20:$E$49,MATCH($N2914,계정대체기준!$A$20:$A$49,0)),0)))</f>
        <v/>
      </c>
      <c r="AC2914" s="9">
        <f>IF(AND($A2914&lt;&gt;"",M2914=설정!$C$20,Z2914&gt;0),Z2914+ROW()/1000000000,"")</f>
        <v/>
      </c>
      <c r="AD2914" s="94">
        <f>IF($A2914="",0,$P2914*AG2914)</f>
        <v/>
      </c>
      <c r="AE2914" s="64">
        <f>IF($A2914="","",IFERROR(INDEX(계정매핑!$E$5:$E$504,MATCH($F2914&amp;"",계정매핑!$A$5:$A$504,0))&amp;"","공통비"))</f>
        <v/>
      </c>
      <c r="AF2914" s="64">
        <f>IF($A2914="","",IF(AE2914="직접",IFERROR(INDEX(계정매핑!$F$5:$F$504,MATCH($F2914&amp;"",계정매핑!$A$5:$A$504,0))&amp;"","비귀속"),""))</f>
        <v/>
      </c>
      <c r="AG2914" s="96">
        <f>IF($A2914="",0,IF(AND(AE2914&lt;&gt;"직접",IFERROR(INDEX(계정매핑!$G$5:$G$504,MATCH($F2914&amp;"",계정매핑!$A$5:$A$504,0))&amp;"","")="유지비",COUNTIF(계정대체기준!$A$6:$A$15,$N2914)&gt;0),IFERROR(INDEX(계정대체기준!$E$6:$E$15,MATCH(VALUE($A2914&amp;""),계정대체기준!$D$6:$D$15,0)),0),0))</f>
        <v/>
      </c>
      <c r="AH2914" s="64">
        <f>IF($A2914="","",IF(AD2914=0,"",IF(OR(COUNTIF(계정대체기준!$A$77:$A$86,$N2914)&gt;0,ISNUMBER(MATCH($X2914,계정대체기준!$D$77:$D$86,0)),ISNUMBER(MATCH($F2914,계정대체기준!$D$77:$D$86,0))),"Y","N")))</f>
        <v/>
      </c>
    </row>
    <row r="2915">
      <c r="A2915" s="92" t="n">
        <v>2026</v>
      </c>
      <c r="B2915" s="92" t="n">
        <v>1</v>
      </c>
      <c r="C2915" s="92" t="inlineStr">
        <is>
          <t>5100000193</t>
        </is>
      </c>
      <c r="D2915" s="95" t="n">
        <v>46047</v>
      </c>
      <c r="E2915" s="92" t="inlineStr">
        <is>
          <t>KR</t>
        </is>
      </c>
      <c r="F2915" s="92" t="n">
        <v>62201000</v>
      </c>
      <c r="G2915" s="92" t="n">
        <v>1201</v>
      </c>
      <c r="H2915" s="93" t="n">
        <v>145000</v>
      </c>
      <c r="I2915" s="92" t="inlineStr">
        <is>
          <t>1월 통신요금 - P통신</t>
        </is>
      </c>
      <c r="J2915" s="92" t="inlineStr">
        <is>
          <t>V10014</t>
        </is>
      </c>
      <c r="K2915" s="92" t="inlineStr">
        <is>
          <t>P통신</t>
        </is>
      </c>
      <c r="M2915" s="9">
        <f>IF($A2915="","",VALUE($A2915&amp;"")*12+VALUE($B2915&amp;""))</f>
        <v/>
      </c>
      <c r="N2915" s="64">
        <f>IF($A2915="","",IFERROR(INDEX(부서매핑!$C$5:$C$504,MATCH($G2915&amp;"",부서매핑!$A$5:$A$504,0)),"미매핑"))</f>
        <v/>
      </c>
      <c r="O2915" s="9">
        <f>IF($A2915="","",N2915&amp;"|"&amp;$F2915)</f>
        <v/>
      </c>
      <c r="P2915" s="94">
        <f>IF($A2915="",0,$H2915*설정!$C$23)</f>
        <v/>
      </c>
      <c r="Q2915" s="64">
        <f>IF($A2915="","",IF(O2915&lt;&gt;원인분석!$C$9,"",IF(AND(M2915&gt;=원인분석!$C$10,M2915&lt;=원인분석!$C$11),"당기",IF(AND(M2915&gt;=원인분석!$C$12,M2915&lt;=원인분석!$C$13),"비교",""))))</f>
        <v/>
      </c>
      <c r="R2915" s="9">
        <f>IF(Q2915="","",$K2915&amp;"")</f>
        <v/>
      </c>
      <c r="S2915" s="9">
        <f>IF(Q2915="","",IF(MATCH(R2915,$R$5:$R$100000,0)=ROW()-4,ROW(),""))</f>
        <v/>
      </c>
      <c r="T2915" s="9">
        <f>IF(Q2915="당기",ABS(P2915)+ROW()/1000000000,"")</f>
        <v/>
      </c>
      <c r="U2915" s="9">
        <f>IF(Q2915="비교",ABS(P2915)+ROW()/1000000000,"")</f>
        <v/>
      </c>
      <c r="V2915" s="64">
        <f>IF($A2915="","",IF(COUNTIF(변동분석!$E$7:$E$506,O2915)&gt;0,"Y","N"))</f>
        <v/>
      </c>
      <c r="W2915" s="64">
        <f>IF($A2915="","",IFERROR(INDEX(계정매핑!$D$5:$D$504,MATCH($F2915&amp;"",계정매핑!$A$5:$A$504,0)),"미매핑"))</f>
        <v/>
      </c>
      <c r="X2915" s="9">
        <f>IF($A2915="","",$F2915&amp;"")</f>
        <v/>
      </c>
      <c r="Y2915" s="94">
        <f>IF($A2915="",0,IF(AE2915="직접",IF(AF2915="비귀속",$P2915,0),$P2915*(1-AG2915)*IFERROR(INDEX(계정대체기준!$F$20:$F$49,MATCH($N2915,계정대체기준!$A$20:$A$49,0)),1)))</f>
        <v/>
      </c>
      <c r="Z2915" s="94">
        <f>IF($A2915="",0,IF(AE2915="직접",IF(AF2915="신계약비",$P2915,0),$P2915*(1-AG2915)*IFERROR(INDEX(계정대체기준!$C$20:$C$49,MATCH($N2915,계정대체기준!$A$20:$A$49,0)),0)))</f>
        <v/>
      </c>
      <c r="AA2915" s="94">
        <f>IF($A2915="",0,IF(AE2915="직접",IF(OR(AF2915="유지비",AF2915="손해조사비"),$P2915,0),$P2915*(1-AG2915)*IFERROR(INDEX(계정대체기준!$D$20:$D$49,MATCH($N2915,계정대체기준!$A$20:$A$49,0)),0)))</f>
        <v/>
      </c>
      <c r="AB2915" s="94">
        <f>IF($A2915="",0,IF(AE2915="직접",IF(AF2915="수금비",$P2915,0),$P2915*(1-AG2915)*IFERROR(INDEX(계정대체기준!$E$20:$E$49,MATCH($N2915,계정대체기준!$A$20:$A$49,0)),0)))</f>
        <v/>
      </c>
      <c r="AC2915" s="9">
        <f>IF(AND($A2915&lt;&gt;"",M2915=설정!$C$20,Z2915&gt;0),Z2915+ROW()/1000000000,"")</f>
        <v/>
      </c>
      <c r="AD2915" s="94">
        <f>IF($A2915="",0,$P2915*AG2915)</f>
        <v/>
      </c>
      <c r="AE2915" s="64">
        <f>IF($A2915="","",IFERROR(INDEX(계정매핑!$E$5:$E$504,MATCH($F2915&amp;"",계정매핑!$A$5:$A$504,0))&amp;"","공통비"))</f>
        <v/>
      </c>
      <c r="AF2915" s="64">
        <f>IF($A2915="","",IF(AE2915="직접",IFERROR(INDEX(계정매핑!$F$5:$F$504,MATCH($F2915&amp;"",계정매핑!$A$5:$A$504,0))&amp;"","비귀속"),""))</f>
        <v/>
      </c>
      <c r="AG2915" s="96">
        <f>IF($A2915="",0,IF(AND(AE2915&lt;&gt;"직접",IFERROR(INDEX(계정매핑!$G$5:$G$504,MATCH($F2915&amp;"",계정매핑!$A$5:$A$504,0))&amp;"","")="유지비",COUNTIF(계정대체기준!$A$6:$A$15,$N2915)&gt;0),IFERROR(INDEX(계정대체기준!$E$6:$E$15,MATCH(VALUE($A2915&amp;""),계정대체기준!$D$6:$D$15,0)),0),0))</f>
        <v/>
      </c>
      <c r="AH2915" s="64">
        <f>IF($A2915="","",IF(AD2915=0,"",IF(OR(COUNTIF(계정대체기준!$A$77:$A$86,$N2915)&gt;0,ISNUMBER(MATCH($X2915,계정대체기준!$D$77:$D$86,0)),ISNUMBER(MATCH($F2915,계정대체기준!$D$77:$D$86,0))),"Y","N")))</f>
        <v/>
      </c>
    </row>
    <row r="2916">
      <c r="A2916" s="92" t="n">
        <v>2026</v>
      </c>
      <c r="B2916" s="92" t="n">
        <v>1</v>
      </c>
      <c r="C2916" s="92" t="inlineStr">
        <is>
          <t>5100000194</t>
        </is>
      </c>
      <c r="D2916" s="95" t="n">
        <v>46047</v>
      </c>
      <c r="E2916" s="92" t="inlineStr">
        <is>
          <t>KR</t>
        </is>
      </c>
      <c r="F2916" s="92" t="n">
        <v>62501000</v>
      </c>
      <c r="G2916" s="92" t="n">
        <v>1101</v>
      </c>
      <c r="H2916" s="93" t="n">
        <v>498000</v>
      </c>
      <c r="I2916" s="92" t="inlineStr">
        <is>
          <t>1월 회의 다과 - T케이터링</t>
        </is>
      </c>
      <c r="J2916" s="92" t="inlineStr">
        <is>
          <t>V10005</t>
        </is>
      </c>
      <c r="K2916" s="92" t="inlineStr">
        <is>
          <t>T케이터링</t>
        </is>
      </c>
      <c r="M2916" s="9">
        <f>IF($A2916="","",VALUE($A2916&amp;"")*12+VALUE($B2916&amp;""))</f>
        <v/>
      </c>
      <c r="N2916" s="64">
        <f>IF($A2916="","",IFERROR(INDEX(부서매핑!$C$5:$C$504,MATCH($G2916&amp;"",부서매핑!$A$5:$A$504,0)),"미매핑"))</f>
        <v/>
      </c>
      <c r="O2916" s="9">
        <f>IF($A2916="","",N2916&amp;"|"&amp;$F2916)</f>
        <v/>
      </c>
      <c r="P2916" s="94">
        <f>IF($A2916="",0,$H2916*설정!$C$23)</f>
        <v/>
      </c>
      <c r="Q2916" s="64">
        <f>IF($A2916="","",IF(O2916&lt;&gt;원인분석!$C$9,"",IF(AND(M2916&gt;=원인분석!$C$10,M2916&lt;=원인분석!$C$11),"당기",IF(AND(M2916&gt;=원인분석!$C$12,M2916&lt;=원인분석!$C$13),"비교",""))))</f>
        <v/>
      </c>
      <c r="R2916" s="9">
        <f>IF(Q2916="","",$K2916&amp;"")</f>
        <v/>
      </c>
      <c r="S2916" s="9">
        <f>IF(Q2916="","",IF(MATCH(R2916,$R$5:$R$100000,0)=ROW()-4,ROW(),""))</f>
        <v/>
      </c>
      <c r="T2916" s="9">
        <f>IF(Q2916="당기",ABS(P2916)+ROW()/1000000000,"")</f>
        <v/>
      </c>
      <c r="U2916" s="9">
        <f>IF(Q2916="비교",ABS(P2916)+ROW()/1000000000,"")</f>
        <v/>
      </c>
      <c r="V2916" s="64">
        <f>IF($A2916="","",IF(COUNTIF(변동분석!$E$7:$E$506,O2916)&gt;0,"Y","N"))</f>
        <v/>
      </c>
      <c r="W2916" s="64">
        <f>IF($A2916="","",IFERROR(INDEX(계정매핑!$D$5:$D$504,MATCH($F2916&amp;"",계정매핑!$A$5:$A$504,0)),"미매핑"))</f>
        <v/>
      </c>
      <c r="X2916" s="9">
        <f>IF($A2916="","",$F2916&amp;"")</f>
        <v/>
      </c>
      <c r="Y2916" s="94">
        <f>IF($A2916="",0,IF(AE2916="직접",IF(AF2916="비귀속",$P2916,0),$P2916*(1-AG2916)*IFERROR(INDEX(계정대체기준!$F$20:$F$49,MATCH($N2916,계정대체기준!$A$20:$A$49,0)),1)))</f>
        <v/>
      </c>
      <c r="Z2916" s="94">
        <f>IF($A2916="",0,IF(AE2916="직접",IF(AF2916="신계약비",$P2916,0),$P2916*(1-AG2916)*IFERROR(INDEX(계정대체기준!$C$20:$C$49,MATCH($N2916,계정대체기준!$A$20:$A$49,0)),0)))</f>
        <v/>
      </c>
      <c r="AA2916" s="94">
        <f>IF($A2916="",0,IF(AE2916="직접",IF(OR(AF2916="유지비",AF2916="손해조사비"),$P2916,0),$P2916*(1-AG2916)*IFERROR(INDEX(계정대체기준!$D$20:$D$49,MATCH($N2916,계정대체기준!$A$20:$A$49,0)),0)))</f>
        <v/>
      </c>
      <c r="AB2916" s="94">
        <f>IF($A2916="",0,IF(AE2916="직접",IF(AF2916="수금비",$P2916,0),$P2916*(1-AG2916)*IFERROR(INDEX(계정대체기준!$E$20:$E$49,MATCH($N2916,계정대체기준!$A$20:$A$49,0)),0)))</f>
        <v/>
      </c>
      <c r="AC2916" s="9">
        <f>IF(AND($A2916&lt;&gt;"",M2916=설정!$C$20,Z2916&gt;0),Z2916+ROW()/1000000000,"")</f>
        <v/>
      </c>
      <c r="AD2916" s="94">
        <f>IF($A2916="",0,$P2916*AG2916)</f>
        <v/>
      </c>
      <c r="AE2916" s="64">
        <f>IF($A2916="","",IFERROR(INDEX(계정매핑!$E$5:$E$504,MATCH($F2916&amp;"",계정매핑!$A$5:$A$504,0))&amp;"","공통비"))</f>
        <v/>
      </c>
      <c r="AF2916" s="64">
        <f>IF($A2916="","",IF(AE2916="직접",IFERROR(INDEX(계정매핑!$F$5:$F$504,MATCH($F2916&amp;"",계정매핑!$A$5:$A$504,0))&amp;"","비귀속"),""))</f>
        <v/>
      </c>
      <c r="AG2916" s="96">
        <f>IF($A2916="",0,IF(AND(AE2916&lt;&gt;"직접",IFERROR(INDEX(계정매핑!$G$5:$G$504,MATCH($F2916&amp;"",계정매핑!$A$5:$A$504,0))&amp;"","")="유지비",COUNTIF(계정대체기준!$A$6:$A$15,$N2916)&gt;0),IFERROR(INDEX(계정대체기준!$E$6:$E$15,MATCH(VALUE($A2916&amp;""),계정대체기준!$D$6:$D$15,0)),0),0))</f>
        <v/>
      </c>
      <c r="AH2916" s="64">
        <f>IF($A2916="","",IF(AD2916=0,"",IF(OR(COUNTIF(계정대체기준!$A$77:$A$86,$N2916)&gt;0,ISNUMBER(MATCH($X2916,계정대체기준!$D$77:$D$86,0)),ISNUMBER(MATCH($F2916,계정대체기준!$D$77:$D$86,0))),"Y","N")))</f>
        <v/>
      </c>
    </row>
    <row r="2917">
      <c r="A2917" s="92" t="n">
        <v>2026</v>
      </c>
      <c r="B2917" s="92" t="n">
        <v>1</v>
      </c>
      <c r="C2917" s="92" t="inlineStr">
        <is>
          <t>5100000195</t>
        </is>
      </c>
      <c r="D2917" s="95" t="n">
        <v>46047</v>
      </c>
      <c r="E2917" s="92" t="inlineStr">
        <is>
          <t>KR</t>
        </is>
      </c>
      <c r="F2917" s="92" t="n">
        <v>62501000</v>
      </c>
      <c r="G2917" s="92" t="n">
        <v>1601</v>
      </c>
      <c r="H2917" s="93" t="n">
        <v>393000</v>
      </c>
      <c r="I2917" s="92" t="inlineStr">
        <is>
          <t>1월 회의 다과 - T케이터링</t>
        </is>
      </c>
      <c r="J2917" s="92" t="inlineStr">
        <is>
          <t>V10005</t>
        </is>
      </c>
      <c r="K2917" s="92" t="inlineStr">
        <is>
          <t>T케이터링</t>
        </is>
      </c>
      <c r="M2917" s="9">
        <f>IF($A2917="","",VALUE($A2917&amp;"")*12+VALUE($B2917&amp;""))</f>
        <v/>
      </c>
      <c r="N2917" s="64">
        <f>IF($A2917="","",IFERROR(INDEX(부서매핑!$C$5:$C$504,MATCH($G2917&amp;"",부서매핑!$A$5:$A$504,0)),"미매핑"))</f>
        <v/>
      </c>
      <c r="O2917" s="9">
        <f>IF($A2917="","",N2917&amp;"|"&amp;$F2917)</f>
        <v/>
      </c>
      <c r="P2917" s="94">
        <f>IF($A2917="",0,$H2917*설정!$C$23)</f>
        <v/>
      </c>
      <c r="Q2917" s="64">
        <f>IF($A2917="","",IF(O2917&lt;&gt;원인분석!$C$9,"",IF(AND(M2917&gt;=원인분석!$C$10,M2917&lt;=원인분석!$C$11),"당기",IF(AND(M2917&gt;=원인분석!$C$12,M2917&lt;=원인분석!$C$13),"비교",""))))</f>
        <v/>
      </c>
      <c r="R2917" s="9">
        <f>IF(Q2917="","",$K2917&amp;"")</f>
        <v/>
      </c>
      <c r="S2917" s="9">
        <f>IF(Q2917="","",IF(MATCH(R2917,$R$5:$R$100000,0)=ROW()-4,ROW(),""))</f>
        <v/>
      </c>
      <c r="T2917" s="9">
        <f>IF(Q2917="당기",ABS(P2917)+ROW()/1000000000,"")</f>
        <v/>
      </c>
      <c r="U2917" s="9">
        <f>IF(Q2917="비교",ABS(P2917)+ROW()/1000000000,"")</f>
        <v/>
      </c>
      <c r="V2917" s="64">
        <f>IF($A2917="","",IF(COUNTIF(변동분석!$E$7:$E$506,O2917)&gt;0,"Y","N"))</f>
        <v/>
      </c>
      <c r="W2917" s="64">
        <f>IF($A2917="","",IFERROR(INDEX(계정매핑!$D$5:$D$504,MATCH($F2917&amp;"",계정매핑!$A$5:$A$504,0)),"미매핑"))</f>
        <v/>
      </c>
      <c r="X2917" s="9">
        <f>IF($A2917="","",$F2917&amp;"")</f>
        <v/>
      </c>
      <c r="Y2917" s="94">
        <f>IF($A2917="",0,IF(AE2917="직접",IF(AF2917="비귀속",$P2917,0),$P2917*(1-AG2917)*IFERROR(INDEX(계정대체기준!$F$20:$F$49,MATCH($N2917,계정대체기준!$A$20:$A$49,0)),1)))</f>
        <v/>
      </c>
      <c r="Z2917" s="94">
        <f>IF($A2917="",0,IF(AE2917="직접",IF(AF2917="신계약비",$P2917,0),$P2917*(1-AG2917)*IFERROR(INDEX(계정대체기준!$C$20:$C$49,MATCH($N2917,계정대체기준!$A$20:$A$49,0)),0)))</f>
        <v/>
      </c>
      <c r="AA2917" s="94">
        <f>IF($A2917="",0,IF(AE2917="직접",IF(OR(AF2917="유지비",AF2917="손해조사비"),$P2917,0),$P2917*(1-AG2917)*IFERROR(INDEX(계정대체기준!$D$20:$D$49,MATCH($N2917,계정대체기준!$A$20:$A$49,0)),0)))</f>
        <v/>
      </c>
      <c r="AB2917" s="94">
        <f>IF($A2917="",0,IF(AE2917="직접",IF(AF2917="수금비",$P2917,0),$P2917*(1-AG2917)*IFERROR(INDEX(계정대체기준!$E$20:$E$49,MATCH($N2917,계정대체기준!$A$20:$A$49,0)),0)))</f>
        <v/>
      </c>
      <c r="AC2917" s="9">
        <f>IF(AND($A2917&lt;&gt;"",M2917=설정!$C$20,Z2917&gt;0),Z2917+ROW()/1000000000,"")</f>
        <v/>
      </c>
      <c r="AD2917" s="94">
        <f>IF($A2917="",0,$P2917*AG2917)</f>
        <v/>
      </c>
      <c r="AE2917" s="64">
        <f>IF($A2917="","",IFERROR(INDEX(계정매핑!$E$5:$E$504,MATCH($F2917&amp;"",계정매핑!$A$5:$A$504,0))&amp;"","공통비"))</f>
        <v/>
      </c>
      <c r="AF2917" s="64">
        <f>IF($A2917="","",IF(AE2917="직접",IFERROR(INDEX(계정매핑!$F$5:$F$504,MATCH($F2917&amp;"",계정매핑!$A$5:$A$504,0))&amp;"","비귀속"),""))</f>
        <v/>
      </c>
      <c r="AG2917" s="96">
        <f>IF($A2917="",0,IF(AND(AE2917&lt;&gt;"직접",IFERROR(INDEX(계정매핑!$G$5:$G$504,MATCH($F2917&amp;"",계정매핑!$A$5:$A$504,0))&amp;"","")="유지비",COUNTIF(계정대체기준!$A$6:$A$15,$N2917)&gt;0),IFERROR(INDEX(계정대체기준!$E$6:$E$15,MATCH(VALUE($A2917&amp;""),계정대체기준!$D$6:$D$15,0)),0),0))</f>
        <v/>
      </c>
      <c r="AH2917" s="64">
        <f>IF($A2917="","",IF(AD2917=0,"",IF(OR(COUNTIF(계정대체기준!$A$77:$A$86,$N2917)&gt;0,ISNUMBER(MATCH($X2917,계정대체기준!$D$77:$D$86,0)),ISNUMBER(MATCH($F2917,계정대체기준!$D$77:$D$86,0))),"Y","N")))</f>
        <v/>
      </c>
    </row>
    <row r="2918">
      <c r="A2918" s="92" t="n">
        <v>2026</v>
      </c>
      <c r="B2918" s="92" t="n">
        <v>1</v>
      </c>
      <c r="C2918" s="92" t="inlineStr">
        <is>
          <t>5100000196</t>
        </is>
      </c>
      <c r="D2918" s="95" t="n">
        <v>46047</v>
      </c>
      <c r="E2918" s="92" t="inlineStr">
        <is>
          <t>KR</t>
        </is>
      </c>
      <c r="F2918" s="92" t="n">
        <v>62501000</v>
      </c>
      <c r="G2918" s="92" t="n">
        <v>1701</v>
      </c>
      <c r="H2918" s="93" t="n">
        <v>185000</v>
      </c>
      <c r="I2918" s="92" t="inlineStr">
        <is>
          <t>1월 회의 다과 - T케이터링</t>
        </is>
      </c>
      <c r="J2918" s="92" t="inlineStr">
        <is>
          <t>V10005</t>
        </is>
      </c>
      <c r="K2918" s="92" t="inlineStr">
        <is>
          <t>T케이터링</t>
        </is>
      </c>
      <c r="M2918" s="9">
        <f>IF($A2918="","",VALUE($A2918&amp;"")*12+VALUE($B2918&amp;""))</f>
        <v/>
      </c>
      <c r="N2918" s="64">
        <f>IF($A2918="","",IFERROR(INDEX(부서매핑!$C$5:$C$504,MATCH($G2918&amp;"",부서매핑!$A$5:$A$504,0)),"미매핑"))</f>
        <v/>
      </c>
      <c r="O2918" s="9">
        <f>IF($A2918="","",N2918&amp;"|"&amp;$F2918)</f>
        <v/>
      </c>
      <c r="P2918" s="94">
        <f>IF($A2918="",0,$H2918*설정!$C$23)</f>
        <v/>
      </c>
      <c r="Q2918" s="64">
        <f>IF($A2918="","",IF(O2918&lt;&gt;원인분석!$C$9,"",IF(AND(M2918&gt;=원인분석!$C$10,M2918&lt;=원인분석!$C$11),"당기",IF(AND(M2918&gt;=원인분석!$C$12,M2918&lt;=원인분석!$C$13),"비교",""))))</f>
        <v/>
      </c>
      <c r="R2918" s="9">
        <f>IF(Q2918="","",$K2918&amp;"")</f>
        <v/>
      </c>
      <c r="S2918" s="9">
        <f>IF(Q2918="","",IF(MATCH(R2918,$R$5:$R$100000,0)=ROW()-4,ROW(),""))</f>
        <v/>
      </c>
      <c r="T2918" s="9">
        <f>IF(Q2918="당기",ABS(P2918)+ROW()/1000000000,"")</f>
        <v/>
      </c>
      <c r="U2918" s="9">
        <f>IF(Q2918="비교",ABS(P2918)+ROW()/1000000000,"")</f>
        <v/>
      </c>
      <c r="V2918" s="64">
        <f>IF($A2918="","",IF(COUNTIF(변동분석!$E$7:$E$506,O2918)&gt;0,"Y","N"))</f>
        <v/>
      </c>
      <c r="W2918" s="64">
        <f>IF($A2918="","",IFERROR(INDEX(계정매핑!$D$5:$D$504,MATCH($F2918&amp;"",계정매핑!$A$5:$A$504,0)),"미매핑"))</f>
        <v/>
      </c>
      <c r="X2918" s="9">
        <f>IF($A2918="","",$F2918&amp;"")</f>
        <v/>
      </c>
      <c r="Y2918" s="94">
        <f>IF($A2918="",0,IF(AE2918="직접",IF(AF2918="비귀속",$P2918,0),$P2918*(1-AG2918)*IFERROR(INDEX(계정대체기준!$F$20:$F$49,MATCH($N2918,계정대체기준!$A$20:$A$49,0)),1)))</f>
        <v/>
      </c>
      <c r="Z2918" s="94">
        <f>IF($A2918="",0,IF(AE2918="직접",IF(AF2918="신계약비",$P2918,0),$P2918*(1-AG2918)*IFERROR(INDEX(계정대체기준!$C$20:$C$49,MATCH($N2918,계정대체기준!$A$20:$A$49,0)),0)))</f>
        <v/>
      </c>
      <c r="AA2918" s="94">
        <f>IF($A2918="",0,IF(AE2918="직접",IF(OR(AF2918="유지비",AF2918="손해조사비"),$P2918,0),$P2918*(1-AG2918)*IFERROR(INDEX(계정대체기준!$D$20:$D$49,MATCH($N2918,계정대체기준!$A$20:$A$49,0)),0)))</f>
        <v/>
      </c>
      <c r="AB2918" s="94">
        <f>IF($A2918="",0,IF(AE2918="직접",IF(AF2918="수금비",$P2918,0),$P2918*(1-AG2918)*IFERROR(INDEX(계정대체기준!$E$20:$E$49,MATCH($N2918,계정대체기준!$A$20:$A$49,0)),0)))</f>
        <v/>
      </c>
      <c r="AC2918" s="9">
        <f>IF(AND($A2918&lt;&gt;"",M2918=설정!$C$20,Z2918&gt;0),Z2918+ROW()/1000000000,"")</f>
        <v/>
      </c>
      <c r="AD2918" s="94">
        <f>IF($A2918="",0,$P2918*AG2918)</f>
        <v/>
      </c>
      <c r="AE2918" s="64">
        <f>IF($A2918="","",IFERROR(INDEX(계정매핑!$E$5:$E$504,MATCH($F2918&amp;"",계정매핑!$A$5:$A$504,0))&amp;"","공통비"))</f>
        <v/>
      </c>
      <c r="AF2918" s="64">
        <f>IF($A2918="","",IF(AE2918="직접",IFERROR(INDEX(계정매핑!$F$5:$F$504,MATCH($F2918&amp;"",계정매핑!$A$5:$A$504,0))&amp;"","비귀속"),""))</f>
        <v/>
      </c>
      <c r="AG2918" s="96">
        <f>IF($A2918="",0,IF(AND(AE2918&lt;&gt;"직접",IFERROR(INDEX(계정매핑!$G$5:$G$504,MATCH($F2918&amp;"",계정매핑!$A$5:$A$504,0))&amp;"","")="유지비",COUNTIF(계정대체기준!$A$6:$A$15,$N2918)&gt;0),IFERROR(INDEX(계정대체기준!$E$6:$E$15,MATCH(VALUE($A2918&amp;""),계정대체기준!$D$6:$D$15,0)),0),0))</f>
        <v/>
      </c>
      <c r="AH2918" s="64">
        <f>IF($A2918="","",IF(AD2918=0,"",IF(OR(COUNTIF(계정대체기준!$A$77:$A$86,$N2918)&gt;0,ISNUMBER(MATCH($X2918,계정대체기준!$D$77:$D$86,0)),ISNUMBER(MATCH($F2918,계정대체기준!$D$77:$D$86,0))),"Y","N")))</f>
        <v/>
      </c>
    </row>
    <row r="2919">
      <c r="A2919" s="92" t="n">
        <v>2026</v>
      </c>
      <c r="B2919" s="92" t="n">
        <v>1</v>
      </c>
      <c r="C2919" s="92" t="inlineStr">
        <is>
          <t>5100000197</t>
        </is>
      </c>
      <c r="D2919" s="95" t="n">
        <v>46047</v>
      </c>
      <c r="E2919" s="92" t="inlineStr">
        <is>
          <t>KR</t>
        </is>
      </c>
      <c r="F2919" s="92" t="n">
        <v>62901000</v>
      </c>
      <c r="G2919" s="92" t="n">
        <v>1101</v>
      </c>
      <c r="H2919" s="93" t="n">
        <v>2176000</v>
      </c>
      <c r="I2919" s="92" t="inlineStr">
        <is>
          <t>1월 자문 수수료 - W컨설팅</t>
        </is>
      </c>
      <c r="J2919" s="92" t="inlineStr">
        <is>
          <t>V10006</t>
        </is>
      </c>
      <c r="K2919" s="92" t="inlineStr">
        <is>
          <t>W컨설팅</t>
        </is>
      </c>
      <c r="M2919" s="9">
        <f>IF($A2919="","",VALUE($A2919&amp;"")*12+VALUE($B2919&amp;""))</f>
        <v/>
      </c>
      <c r="N2919" s="64">
        <f>IF($A2919="","",IFERROR(INDEX(부서매핑!$C$5:$C$504,MATCH($G2919&amp;"",부서매핑!$A$5:$A$504,0)),"미매핑"))</f>
        <v/>
      </c>
      <c r="O2919" s="9">
        <f>IF($A2919="","",N2919&amp;"|"&amp;$F2919)</f>
        <v/>
      </c>
      <c r="P2919" s="94">
        <f>IF($A2919="",0,$H2919*설정!$C$23)</f>
        <v/>
      </c>
      <c r="Q2919" s="64">
        <f>IF($A2919="","",IF(O2919&lt;&gt;원인분석!$C$9,"",IF(AND(M2919&gt;=원인분석!$C$10,M2919&lt;=원인분석!$C$11),"당기",IF(AND(M2919&gt;=원인분석!$C$12,M2919&lt;=원인분석!$C$13),"비교",""))))</f>
        <v/>
      </c>
      <c r="R2919" s="9">
        <f>IF(Q2919="","",$K2919&amp;"")</f>
        <v/>
      </c>
      <c r="S2919" s="9">
        <f>IF(Q2919="","",IF(MATCH(R2919,$R$5:$R$100000,0)=ROW()-4,ROW(),""))</f>
        <v/>
      </c>
      <c r="T2919" s="9">
        <f>IF(Q2919="당기",ABS(P2919)+ROW()/1000000000,"")</f>
        <v/>
      </c>
      <c r="U2919" s="9">
        <f>IF(Q2919="비교",ABS(P2919)+ROW()/1000000000,"")</f>
        <v/>
      </c>
      <c r="V2919" s="64">
        <f>IF($A2919="","",IF(COUNTIF(변동분석!$E$7:$E$506,O2919)&gt;0,"Y","N"))</f>
        <v/>
      </c>
      <c r="W2919" s="64">
        <f>IF($A2919="","",IFERROR(INDEX(계정매핑!$D$5:$D$504,MATCH($F2919&amp;"",계정매핑!$A$5:$A$504,0)),"미매핑"))</f>
        <v/>
      </c>
      <c r="X2919" s="9">
        <f>IF($A2919="","",$F2919&amp;"")</f>
        <v/>
      </c>
      <c r="Y2919" s="94">
        <f>IF($A2919="",0,IF(AE2919="직접",IF(AF2919="비귀속",$P2919,0),$P2919*(1-AG2919)*IFERROR(INDEX(계정대체기준!$F$20:$F$49,MATCH($N2919,계정대체기준!$A$20:$A$49,0)),1)))</f>
        <v/>
      </c>
      <c r="Z2919" s="94">
        <f>IF($A2919="",0,IF(AE2919="직접",IF(AF2919="신계약비",$P2919,0),$P2919*(1-AG2919)*IFERROR(INDEX(계정대체기준!$C$20:$C$49,MATCH($N2919,계정대체기준!$A$20:$A$49,0)),0)))</f>
        <v/>
      </c>
      <c r="AA2919" s="94">
        <f>IF($A2919="",0,IF(AE2919="직접",IF(OR(AF2919="유지비",AF2919="손해조사비"),$P2919,0),$P2919*(1-AG2919)*IFERROR(INDEX(계정대체기준!$D$20:$D$49,MATCH($N2919,계정대체기준!$A$20:$A$49,0)),0)))</f>
        <v/>
      </c>
      <c r="AB2919" s="94">
        <f>IF($A2919="",0,IF(AE2919="직접",IF(AF2919="수금비",$P2919,0),$P2919*(1-AG2919)*IFERROR(INDEX(계정대체기준!$E$20:$E$49,MATCH($N2919,계정대체기준!$A$20:$A$49,0)),0)))</f>
        <v/>
      </c>
      <c r="AC2919" s="9">
        <f>IF(AND($A2919&lt;&gt;"",M2919=설정!$C$20,Z2919&gt;0),Z2919+ROW()/1000000000,"")</f>
        <v/>
      </c>
      <c r="AD2919" s="94">
        <f>IF($A2919="",0,$P2919*AG2919)</f>
        <v/>
      </c>
      <c r="AE2919" s="64">
        <f>IF($A2919="","",IFERROR(INDEX(계정매핑!$E$5:$E$504,MATCH($F2919&amp;"",계정매핑!$A$5:$A$504,0))&amp;"","공통비"))</f>
        <v/>
      </c>
      <c r="AF2919" s="64">
        <f>IF($A2919="","",IF(AE2919="직접",IFERROR(INDEX(계정매핑!$F$5:$F$504,MATCH($F2919&amp;"",계정매핑!$A$5:$A$504,0))&amp;"","비귀속"),""))</f>
        <v/>
      </c>
      <c r="AG2919" s="96">
        <f>IF($A2919="",0,IF(AND(AE2919&lt;&gt;"직접",IFERROR(INDEX(계정매핑!$G$5:$G$504,MATCH($F2919&amp;"",계정매핑!$A$5:$A$504,0))&amp;"","")="유지비",COUNTIF(계정대체기준!$A$6:$A$15,$N2919)&gt;0),IFERROR(INDEX(계정대체기준!$E$6:$E$15,MATCH(VALUE($A2919&amp;""),계정대체기준!$D$6:$D$15,0)),0),0))</f>
        <v/>
      </c>
      <c r="AH2919" s="64">
        <f>IF($A2919="","",IF(AD2919=0,"",IF(OR(COUNTIF(계정대체기준!$A$77:$A$86,$N2919)&gt;0,ISNUMBER(MATCH($X2919,계정대체기준!$D$77:$D$86,0)),ISNUMBER(MATCH($F2919,계정대체기준!$D$77:$D$86,0))),"Y","N")))</f>
        <v/>
      </c>
    </row>
    <row r="2920">
      <c r="A2920" s="92" t="n">
        <v>2026</v>
      </c>
      <c r="B2920" s="92" t="n">
        <v>1</v>
      </c>
      <c r="C2920" s="92" t="inlineStr">
        <is>
          <t>5100000198</t>
        </is>
      </c>
      <c r="D2920" s="95" t="n">
        <v>46047</v>
      </c>
      <c r="E2920" s="92" t="inlineStr">
        <is>
          <t>KR</t>
        </is>
      </c>
      <c r="F2920" s="92" t="n">
        <v>62901000</v>
      </c>
      <c r="G2920" s="92" t="n">
        <v>1951</v>
      </c>
      <c r="H2920" s="93" t="n">
        <v>5274000</v>
      </c>
      <c r="I2920" s="92" t="inlineStr">
        <is>
          <t>1월 자문 수수료 - W컨설팅</t>
        </is>
      </c>
      <c r="J2920" s="92" t="inlineStr">
        <is>
          <t>V10006</t>
        </is>
      </c>
      <c r="K2920" s="92" t="inlineStr">
        <is>
          <t>W컨설팅</t>
        </is>
      </c>
      <c r="M2920" s="9">
        <f>IF($A2920="","",VALUE($A2920&amp;"")*12+VALUE($B2920&amp;""))</f>
        <v/>
      </c>
      <c r="N2920" s="64">
        <f>IF($A2920="","",IFERROR(INDEX(부서매핑!$C$5:$C$504,MATCH($G2920&amp;"",부서매핑!$A$5:$A$504,0)),"미매핑"))</f>
        <v/>
      </c>
      <c r="O2920" s="9">
        <f>IF($A2920="","",N2920&amp;"|"&amp;$F2920)</f>
        <v/>
      </c>
      <c r="P2920" s="94">
        <f>IF($A2920="",0,$H2920*설정!$C$23)</f>
        <v/>
      </c>
      <c r="Q2920" s="64">
        <f>IF($A2920="","",IF(O2920&lt;&gt;원인분석!$C$9,"",IF(AND(M2920&gt;=원인분석!$C$10,M2920&lt;=원인분석!$C$11),"당기",IF(AND(M2920&gt;=원인분석!$C$12,M2920&lt;=원인분석!$C$13),"비교",""))))</f>
        <v/>
      </c>
      <c r="R2920" s="9">
        <f>IF(Q2920="","",$K2920&amp;"")</f>
        <v/>
      </c>
      <c r="S2920" s="9">
        <f>IF(Q2920="","",IF(MATCH(R2920,$R$5:$R$100000,0)=ROW()-4,ROW(),""))</f>
        <v/>
      </c>
      <c r="T2920" s="9">
        <f>IF(Q2920="당기",ABS(P2920)+ROW()/1000000000,"")</f>
        <v/>
      </c>
      <c r="U2920" s="9">
        <f>IF(Q2920="비교",ABS(P2920)+ROW()/1000000000,"")</f>
        <v/>
      </c>
      <c r="V2920" s="64">
        <f>IF($A2920="","",IF(COUNTIF(변동분석!$E$7:$E$506,O2920)&gt;0,"Y","N"))</f>
        <v/>
      </c>
      <c r="W2920" s="64">
        <f>IF($A2920="","",IFERROR(INDEX(계정매핑!$D$5:$D$504,MATCH($F2920&amp;"",계정매핑!$A$5:$A$504,0)),"미매핑"))</f>
        <v/>
      </c>
      <c r="X2920" s="9">
        <f>IF($A2920="","",$F2920&amp;"")</f>
        <v/>
      </c>
      <c r="Y2920" s="94">
        <f>IF($A2920="",0,IF(AE2920="직접",IF(AF2920="비귀속",$P2920,0),$P2920*(1-AG2920)*IFERROR(INDEX(계정대체기준!$F$20:$F$49,MATCH($N2920,계정대체기준!$A$20:$A$49,0)),1)))</f>
        <v/>
      </c>
      <c r="Z2920" s="94">
        <f>IF($A2920="",0,IF(AE2920="직접",IF(AF2920="신계약비",$P2920,0),$P2920*(1-AG2920)*IFERROR(INDEX(계정대체기준!$C$20:$C$49,MATCH($N2920,계정대체기준!$A$20:$A$49,0)),0)))</f>
        <v/>
      </c>
      <c r="AA2920" s="94">
        <f>IF($A2920="",0,IF(AE2920="직접",IF(OR(AF2920="유지비",AF2920="손해조사비"),$P2920,0),$P2920*(1-AG2920)*IFERROR(INDEX(계정대체기준!$D$20:$D$49,MATCH($N2920,계정대체기준!$A$20:$A$49,0)),0)))</f>
        <v/>
      </c>
      <c r="AB2920" s="94">
        <f>IF($A2920="",0,IF(AE2920="직접",IF(AF2920="수금비",$P2920,0),$P2920*(1-AG2920)*IFERROR(INDEX(계정대체기준!$E$20:$E$49,MATCH($N2920,계정대체기준!$A$20:$A$49,0)),0)))</f>
        <v/>
      </c>
      <c r="AC2920" s="9">
        <f>IF(AND($A2920&lt;&gt;"",M2920=설정!$C$20,Z2920&gt;0),Z2920+ROW()/1000000000,"")</f>
        <v/>
      </c>
      <c r="AD2920" s="94">
        <f>IF($A2920="",0,$P2920*AG2920)</f>
        <v/>
      </c>
      <c r="AE2920" s="64">
        <f>IF($A2920="","",IFERROR(INDEX(계정매핑!$E$5:$E$504,MATCH($F2920&amp;"",계정매핑!$A$5:$A$504,0))&amp;"","공통비"))</f>
        <v/>
      </c>
      <c r="AF2920" s="64">
        <f>IF($A2920="","",IF(AE2920="직접",IFERROR(INDEX(계정매핑!$F$5:$F$504,MATCH($F2920&amp;"",계정매핑!$A$5:$A$504,0))&amp;"","비귀속"),""))</f>
        <v/>
      </c>
      <c r="AG2920" s="96">
        <f>IF($A2920="",0,IF(AND(AE2920&lt;&gt;"직접",IFERROR(INDEX(계정매핑!$G$5:$G$504,MATCH($F2920&amp;"",계정매핑!$A$5:$A$504,0))&amp;"","")="유지비",COUNTIF(계정대체기준!$A$6:$A$15,$N2920)&gt;0),IFERROR(INDEX(계정대체기준!$E$6:$E$15,MATCH(VALUE($A2920&amp;""),계정대체기준!$D$6:$D$15,0)),0),0))</f>
        <v/>
      </c>
      <c r="AH2920" s="64">
        <f>IF($A2920="","",IF(AD2920=0,"",IF(OR(COUNTIF(계정대체기준!$A$77:$A$86,$N2920)&gt;0,ISNUMBER(MATCH($X2920,계정대체기준!$D$77:$D$86,0)),ISNUMBER(MATCH($F2920,계정대체기준!$D$77:$D$86,0))),"Y","N")))</f>
        <v/>
      </c>
    </row>
    <row r="2921">
      <c r="A2921" s="92" t="n">
        <v>2026</v>
      </c>
      <c r="B2921" s="92" t="n">
        <v>1</v>
      </c>
      <c r="C2921" s="92" t="inlineStr">
        <is>
          <t>5100000199</t>
        </is>
      </c>
      <c r="D2921" s="95" t="n">
        <v>46047</v>
      </c>
      <c r="E2921" s="92" t="inlineStr">
        <is>
          <t>KR</t>
        </is>
      </c>
      <c r="F2921" s="92" t="n">
        <v>63002000</v>
      </c>
      <c r="G2921" s="92" t="n">
        <v>1701</v>
      </c>
      <c r="H2921" s="93" t="n">
        <v>78000000</v>
      </c>
      <c r="I2921" s="92" t="inlineStr">
        <is>
          <t>1월 클라우드 사용료 - C클라우드</t>
        </is>
      </c>
      <c r="J2921" s="92" t="inlineStr">
        <is>
          <t>V10026</t>
        </is>
      </c>
      <c r="K2921" s="92" t="inlineStr">
        <is>
          <t>C클라우드</t>
        </is>
      </c>
      <c r="M2921" s="9">
        <f>IF($A2921="","",VALUE($A2921&amp;"")*12+VALUE($B2921&amp;""))</f>
        <v/>
      </c>
      <c r="N2921" s="64">
        <f>IF($A2921="","",IFERROR(INDEX(부서매핑!$C$5:$C$504,MATCH($G2921&amp;"",부서매핑!$A$5:$A$504,0)),"미매핑"))</f>
        <v/>
      </c>
      <c r="O2921" s="9">
        <f>IF($A2921="","",N2921&amp;"|"&amp;$F2921)</f>
        <v/>
      </c>
      <c r="P2921" s="94">
        <f>IF($A2921="",0,$H2921*설정!$C$23)</f>
        <v/>
      </c>
      <c r="Q2921" s="64">
        <f>IF($A2921="","",IF(O2921&lt;&gt;원인분석!$C$9,"",IF(AND(M2921&gt;=원인분석!$C$10,M2921&lt;=원인분석!$C$11),"당기",IF(AND(M2921&gt;=원인분석!$C$12,M2921&lt;=원인분석!$C$13),"비교",""))))</f>
        <v/>
      </c>
      <c r="R2921" s="9">
        <f>IF(Q2921="","",$K2921&amp;"")</f>
        <v/>
      </c>
      <c r="S2921" s="9">
        <f>IF(Q2921="","",IF(MATCH(R2921,$R$5:$R$100000,0)=ROW()-4,ROW(),""))</f>
        <v/>
      </c>
      <c r="T2921" s="9">
        <f>IF(Q2921="당기",ABS(P2921)+ROW()/1000000000,"")</f>
        <v/>
      </c>
      <c r="U2921" s="9">
        <f>IF(Q2921="비교",ABS(P2921)+ROW()/1000000000,"")</f>
        <v/>
      </c>
      <c r="V2921" s="64">
        <f>IF($A2921="","",IF(COUNTIF(변동분석!$E$7:$E$506,O2921)&gt;0,"Y","N"))</f>
        <v/>
      </c>
      <c r="W2921" s="64">
        <f>IF($A2921="","",IFERROR(INDEX(계정매핑!$D$5:$D$504,MATCH($F2921&amp;"",계정매핑!$A$5:$A$504,0)),"미매핑"))</f>
        <v/>
      </c>
      <c r="X2921" s="9">
        <f>IF($A2921="","",$F2921&amp;"")</f>
        <v/>
      </c>
      <c r="Y2921" s="94">
        <f>IF($A2921="",0,IF(AE2921="직접",IF(AF2921="비귀속",$P2921,0),$P2921*(1-AG2921)*IFERROR(INDEX(계정대체기준!$F$20:$F$49,MATCH($N2921,계정대체기준!$A$20:$A$49,0)),1)))</f>
        <v/>
      </c>
      <c r="Z2921" s="94">
        <f>IF($A2921="",0,IF(AE2921="직접",IF(AF2921="신계약비",$P2921,0),$P2921*(1-AG2921)*IFERROR(INDEX(계정대체기준!$C$20:$C$49,MATCH($N2921,계정대체기준!$A$20:$A$49,0)),0)))</f>
        <v/>
      </c>
      <c r="AA2921" s="94">
        <f>IF($A2921="",0,IF(AE2921="직접",IF(OR(AF2921="유지비",AF2921="손해조사비"),$P2921,0),$P2921*(1-AG2921)*IFERROR(INDEX(계정대체기준!$D$20:$D$49,MATCH($N2921,계정대체기준!$A$20:$A$49,0)),0)))</f>
        <v/>
      </c>
      <c r="AB2921" s="94">
        <f>IF($A2921="",0,IF(AE2921="직접",IF(AF2921="수금비",$P2921,0),$P2921*(1-AG2921)*IFERROR(INDEX(계정대체기준!$E$20:$E$49,MATCH($N2921,계정대체기준!$A$20:$A$49,0)),0)))</f>
        <v/>
      </c>
      <c r="AC2921" s="9">
        <f>IF(AND($A2921&lt;&gt;"",M2921=설정!$C$20,Z2921&gt;0),Z2921+ROW()/1000000000,"")</f>
        <v/>
      </c>
      <c r="AD2921" s="94">
        <f>IF($A2921="",0,$P2921*AG2921)</f>
        <v/>
      </c>
      <c r="AE2921" s="64">
        <f>IF($A2921="","",IFERROR(INDEX(계정매핑!$E$5:$E$504,MATCH($F2921&amp;"",계정매핑!$A$5:$A$504,0))&amp;"","공통비"))</f>
        <v/>
      </c>
      <c r="AF2921" s="64">
        <f>IF($A2921="","",IF(AE2921="직접",IFERROR(INDEX(계정매핑!$F$5:$F$504,MATCH($F2921&amp;"",계정매핑!$A$5:$A$504,0))&amp;"","비귀속"),""))</f>
        <v/>
      </c>
      <c r="AG2921" s="96">
        <f>IF($A2921="",0,IF(AND(AE2921&lt;&gt;"직접",IFERROR(INDEX(계정매핑!$G$5:$G$504,MATCH($F2921&amp;"",계정매핑!$A$5:$A$504,0))&amp;"","")="유지비",COUNTIF(계정대체기준!$A$6:$A$15,$N2921)&gt;0),IFERROR(INDEX(계정대체기준!$E$6:$E$15,MATCH(VALUE($A2921&amp;""),계정대체기준!$D$6:$D$15,0)),0),0))</f>
        <v/>
      </c>
      <c r="AH2921" s="64">
        <f>IF($A2921="","",IF(AD2921=0,"",IF(OR(COUNTIF(계정대체기준!$A$77:$A$86,$N2921)&gt;0,ISNUMBER(MATCH($X2921,계정대체기준!$D$77:$D$86,0)),ISNUMBER(MATCH($F2921,계정대체기준!$D$77:$D$86,0))),"Y","N")))</f>
        <v/>
      </c>
    </row>
    <row r="2922">
      <c r="A2922" s="92" t="n">
        <v>2026</v>
      </c>
      <c r="B2922" s="92" t="n">
        <v>1</v>
      </c>
      <c r="C2922" s="92" t="inlineStr">
        <is>
          <t>5100000200</t>
        </is>
      </c>
      <c r="D2922" s="95" t="n">
        <v>46048</v>
      </c>
      <c r="E2922" s="92" t="inlineStr">
        <is>
          <t>KR</t>
        </is>
      </c>
      <c r="F2922" s="92" t="n">
        <v>62201000</v>
      </c>
      <c r="G2922" s="92" t="n">
        <v>1401</v>
      </c>
      <c r="H2922" s="93" t="n">
        <v>277000</v>
      </c>
      <c r="I2922" s="92" t="inlineStr">
        <is>
          <t>1월 통신요금 - P통신</t>
        </is>
      </c>
      <c r="J2922" s="92" t="inlineStr">
        <is>
          <t>V10014</t>
        </is>
      </c>
      <c r="K2922" s="92" t="inlineStr">
        <is>
          <t>P통신</t>
        </is>
      </c>
      <c r="M2922" s="9">
        <f>IF($A2922="","",VALUE($A2922&amp;"")*12+VALUE($B2922&amp;""))</f>
        <v/>
      </c>
      <c r="N2922" s="64">
        <f>IF($A2922="","",IFERROR(INDEX(부서매핑!$C$5:$C$504,MATCH($G2922&amp;"",부서매핑!$A$5:$A$504,0)),"미매핑"))</f>
        <v/>
      </c>
      <c r="O2922" s="9">
        <f>IF($A2922="","",N2922&amp;"|"&amp;$F2922)</f>
        <v/>
      </c>
      <c r="P2922" s="94">
        <f>IF($A2922="",0,$H2922*설정!$C$23)</f>
        <v/>
      </c>
      <c r="Q2922" s="64">
        <f>IF($A2922="","",IF(O2922&lt;&gt;원인분석!$C$9,"",IF(AND(M2922&gt;=원인분석!$C$10,M2922&lt;=원인분석!$C$11),"당기",IF(AND(M2922&gt;=원인분석!$C$12,M2922&lt;=원인분석!$C$13),"비교",""))))</f>
        <v/>
      </c>
      <c r="R2922" s="9">
        <f>IF(Q2922="","",$K2922&amp;"")</f>
        <v/>
      </c>
      <c r="S2922" s="9">
        <f>IF(Q2922="","",IF(MATCH(R2922,$R$5:$R$100000,0)=ROW()-4,ROW(),""))</f>
        <v/>
      </c>
      <c r="T2922" s="9">
        <f>IF(Q2922="당기",ABS(P2922)+ROW()/1000000000,"")</f>
        <v/>
      </c>
      <c r="U2922" s="9">
        <f>IF(Q2922="비교",ABS(P2922)+ROW()/1000000000,"")</f>
        <v/>
      </c>
      <c r="V2922" s="64">
        <f>IF($A2922="","",IF(COUNTIF(변동분석!$E$7:$E$506,O2922)&gt;0,"Y","N"))</f>
        <v/>
      </c>
      <c r="W2922" s="64">
        <f>IF($A2922="","",IFERROR(INDEX(계정매핑!$D$5:$D$504,MATCH($F2922&amp;"",계정매핑!$A$5:$A$504,0)),"미매핑"))</f>
        <v/>
      </c>
      <c r="X2922" s="9">
        <f>IF($A2922="","",$F2922&amp;"")</f>
        <v/>
      </c>
      <c r="Y2922" s="94">
        <f>IF($A2922="",0,IF(AE2922="직접",IF(AF2922="비귀속",$P2922,0),$P2922*(1-AG2922)*IFERROR(INDEX(계정대체기준!$F$20:$F$49,MATCH($N2922,계정대체기준!$A$20:$A$49,0)),1)))</f>
        <v/>
      </c>
      <c r="Z2922" s="94">
        <f>IF($A2922="",0,IF(AE2922="직접",IF(AF2922="신계약비",$P2922,0),$P2922*(1-AG2922)*IFERROR(INDEX(계정대체기준!$C$20:$C$49,MATCH($N2922,계정대체기준!$A$20:$A$49,0)),0)))</f>
        <v/>
      </c>
      <c r="AA2922" s="94">
        <f>IF($A2922="",0,IF(AE2922="직접",IF(OR(AF2922="유지비",AF2922="손해조사비"),$P2922,0),$P2922*(1-AG2922)*IFERROR(INDEX(계정대체기준!$D$20:$D$49,MATCH($N2922,계정대체기준!$A$20:$A$49,0)),0)))</f>
        <v/>
      </c>
      <c r="AB2922" s="94">
        <f>IF($A2922="",0,IF(AE2922="직접",IF(AF2922="수금비",$P2922,0),$P2922*(1-AG2922)*IFERROR(INDEX(계정대체기준!$E$20:$E$49,MATCH($N2922,계정대체기준!$A$20:$A$49,0)),0)))</f>
        <v/>
      </c>
      <c r="AC2922" s="9">
        <f>IF(AND($A2922&lt;&gt;"",M2922=설정!$C$20,Z2922&gt;0),Z2922+ROW()/1000000000,"")</f>
        <v/>
      </c>
      <c r="AD2922" s="94">
        <f>IF($A2922="",0,$P2922*AG2922)</f>
        <v/>
      </c>
      <c r="AE2922" s="64">
        <f>IF($A2922="","",IFERROR(INDEX(계정매핑!$E$5:$E$504,MATCH($F2922&amp;"",계정매핑!$A$5:$A$504,0))&amp;"","공통비"))</f>
        <v/>
      </c>
      <c r="AF2922" s="64">
        <f>IF($A2922="","",IF(AE2922="직접",IFERROR(INDEX(계정매핑!$F$5:$F$504,MATCH($F2922&amp;"",계정매핑!$A$5:$A$504,0))&amp;"","비귀속"),""))</f>
        <v/>
      </c>
      <c r="AG2922" s="96">
        <f>IF($A2922="",0,IF(AND(AE2922&lt;&gt;"직접",IFERROR(INDEX(계정매핑!$G$5:$G$504,MATCH($F2922&amp;"",계정매핑!$A$5:$A$504,0))&amp;"","")="유지비",COUNTIF(계정대체기준!$A$6:$A$15,$N2922)&gt;0),IFERROR(INDEX(계정대체기준!$E$6:$E$15,MATCH(VALUE($A2922&amp;""),계정대체기준!$D$6:$D$15,0)),0),0))</f>
        <v/>
      </c>
      <c r="AH2922" s="64">
        <f>IF($A2922="","",IF(AD2922=0,"",IF(OR(COUNTIF(계정대체기준!$A$77:$A$86,$N2922)&gt;0,ISNUMBER(MATCH($X2922,계정대체기준!$D$77:$D$86,0)),ISNUMBER(MATCH($F2922,계정대체기준!$D$77:$D$86,0))),"Y","N")))</f>
        <v/>
      </c>
    </row>
    <row r="2923">
      <c r="A2923" s="92" t="n">
        <v>2026</v>
      </c>
      <c r="B2923" s="92" t="n">
        <v>1</v>
      </c>
      <c r="C2923" s="92" t="inlineStr">
        <is>
          <t>5100000201</t>
        </is>
      </c>
      <c r="D2923" s="95" t="n">
        <v>46048</v>
      </c>
      <c r="E2923" s="92" t="inlineStr">
        <is>
          <t>KR</t>
        </is>
      </c>
      <c r="F2923" s="92" t="n">
        <v>62201000</v>
      </c>
      <c r="G2923" s="92" t="n">
        <v>1501</v>
      </c>
      <c r="H2923" s="93" t="n">
        <v>325000</v>
      </c>
      <c r="I2923" s="92" t="inlineStr">
        <is>
          <t>1월 통신요금 - P통신</t>
        </is>
      </c>
      <c r="J2923" s="92" t="inlineStr">
        <is>
          <t>V10014</t>
        </is>
      </c>
      <c r="K2923" s="92" t="inlineStr">
        <is>
          <t>P통신</t>
        </is>
      </c>
      <c r="M2923" s="9">
        <f>IF($A2923="","",VALUE($A2923&amp;"")*12+VALUE($B2923&amp;""))</f>
        <v/>
      </c>
      <c r="N2923" s="64">
        <f>IF($A2923="","",IFERROR(INDEX(부서매핑!$C$5:$C$504,MATCH($G2923&amp;"",부서매핑!$A$5:$A$504,0)),"미매핑"))</f>
        <v/>
      </c>
      <c r="O2923" s="9">
        <f>IF($A2923="","",N2923&amp;"|"&amp;$F2923)</f>
        <v/>
      </c>
      <c r="P2923" s="94">
        <f>IF($A2923="",0,$H2923*설정!$C$23)</f>
        <v/>
      </c>
      <c r="Q2923" s="64">
        <f>IF($A2923="","",IF(O2923&lt;&gt;원인분석!$C$9,"",IF(AND(M2923&gt;=원인분석!$C$10,M2923&lt;=원인분석!$C$11),"당기",IF(AND(M2923&gt;=원인분석!$C$12,M2923&lt;=원인분석!$C$13),"비교",""))))</f>
        <v/>
      </c>
      <c r="R2923" s="9">
        <f>IF(Q2923="","",$K2923&amp;"")</f>
        <v/>
      </c>
      <c r="S2923" s="9">
        <f>IF(Q2923="","",IF(MATCH(R2923,$R$5:$R$100000,0)=ROW()-4,ROW(),""))</f>
        <v/>
      </c>
      <c r="T2923" s="9">
        <f>IF(Q2923="당기",ABS(P2923)+ROW()/1000000000,"")</f>
        <v/>
      </c>
      <c r="U2923" s="9">
        <f>IF(Q2923="비교",ABS(P2923)+ROW()/1000000000,"")</f>
        <v/>
      </c>
      <c r="V2923" s="64">
        <f>IF($A2923="","",IF(COUNTIF(변동분석!$E$7:$E$506,O2923)&gt;0,"Y","N"))</f>
        <v/>
      </c>
      <c r="W2923" s="64">
        <f>IF($A2923="","",IFERROR(INDEX(계정매핑!$D$5:$D$504,MATCH($F2923&amp;"",계정매핑!$A$5:$A$504,0)),"미매핑"))</f>
        <v/>
      </c>
      <c r="X2923" s="9">
        <f>IF($A2923="","",$F2923&amp;"")</f>
        <v/>
      </c>
      <c r="Y2923" s="94">
        <f>IF($A2923="",0,IF(AE2923="직접",IF(AF2923="비귀속",$P2923,0),$P2923*(1-AG2923)*IFERROR(INDEX(계정대체기준!$F$20:$F$49,MATCH($N2923,계정대체기준!$A$20:$A$49,0)),1)))</f>
        <v/>
      </c>
      <c r="Z2923" s="94">
        <f>IF($A2923="",0,IF(AE2923="직접",IF(AF2923="신계약비",$P2923,0),$P2923*(1-AG2923)*IFERROR(INDEX(계정대체기준!$C$20:$C$49,MATCH($N2923,계정대체기준!$A$20:$A$49,0)),0)))</f>
        <v/>
      </c>
      <c r="AA2923" s="94">
        <f>IF($A2923="",0,IF(AE2923="직접",IF(OR(AF2923="유지비",AF2923="손해조사비"),$P2923,0),$P2923*(1-AG2923)*IFERROR(INDEX(계정대체기준!$D$20:$D$49,MATCH($N2923,계정대체기준!$A$20:$A$49,0)),0)))</f>
        <v/>
      </c>
      <c r="AB2923" s="94">
        <f>IF($A2923="",0,IF(AE2923="직접",IF(AF2923="수금비",$P2923,0),$P2923*(1-AG2923)*IFERROR(INDEX(계정대체기준!$E$20:$E$49,MATCH($N2923,계정대체기준!$A$20:$A$49,0)),0)))</f>
        <v/>
      </c>
      <c r="AC2923" s="9">
        <f>IF(AND($A2923&lt;&gt;"",M2923=설정!$C$20,Z2923&gt;0),Z2923+ROW()/1000000000,"")</f>
        <v/>
      </c>
      <c r="AD2923" s="94">
        <f>IF($A2923="",0,$P2923*AG2923)</f>
        <v/>
      </c>
      <c r="AE2923" s="64">
        <f>IF($A2923="","",IFERROR(INDEX(계정매핑!$E$5:$E$504,MATCH($F2923&amp;"",계정매핑!$A$5:$A$504,0))&amp;"","공통비"))</f>
        <v/>
      </c>
      <c r="AF2923" s="64">
        <f>IF($A2923="","",IF(AE2923="직접",IFERROR(INDEX(계정매핑!$F$5:$F$504,MATCH($F2923&amp;"",계정매핑!$A$5:$A$504,0))&amp;"","비귀속"),""))</f>
        <v/>
      </c>
      <c r="AG2923" s="96">
        <f>IF($A2923="",0,IF(AND(AE2923&lt;&gt;"직접",IFERROR(INDEX(계정매핑!$G$5:$G$504,MATCH($F2923&amp;"",계정매핑!$A$5:$A$504,0))&amp;"","")="유지비",COUNTIF(계정대체기준!$A$6:$A$15,$N2923)&gt;0),IFERROR(INDEX(계정대체기준!$E$6:$E$15,MATCH(VALUE($A2923&amp;""),계정대체기준!$D$6:$D$15,0)),0),0))</f>
        <v/>
      </c>
      <c r="AH2923" s="64">
        <f>IF($A2923="","",IF(AD2923=0,"",IF(OR(COUNTIF(계정대체기준!$A$77:$A$86,$N2923)&gt;0,ISNUMBER(MATCH($X2923,계정대체기준!$D$77:$D$86,0)),ISNUMBER(MATCH($F2923,계정대체기준!$D$77:$D$86,0))),"Y","N")))</f>
        <v/>
      </c>
    </row>
    <row r="2924">
      <c r="A2924" s="92" t="n">
        <v>2026</v>
      </c>
      <c r="B2924" s="92" t="n">
        <v>1</v>
      </c>
      <c r="C2924" s="92" t="inlineStr">
        <is>
          <t>5100000202</t>
        </is>
      </c>
      <c r="D2924" s="95" t="n">
        <v>46048</v>
      </c>
      <c r="E2924" s="92" t="inlineStr">
        <is>
          <t>KR</t>
        </is>
      </c>
      <c r="F2924" s="92" t="n">
        <v>62201000</v>
      </c>
      <c r="G2924" s="92" t="n">
        <v>1701</v>
      </c>
      <c r="H2924" s="93" t="n">
        <v>5004000</v>
      </c>
      <c r="I2924" s="92" t="inlineStr">
        <is>
          <t>1월 통신요금 - O텔레콤</t>
        </is>
      </c>
      <c r="J2924" s="92" t="inlineStr">
        <is>
          <t>V10002</t>
        </is>
      </c>
      <c r="K2924" s="92" t="inlineStr">
        <is>
          <t>O텔레콤</t>
        </is>
      </c>
      <c r="M2924" s="9">
        <f>IF($A2924="","",VALUE($A2924&amp;"")*12+VALUE($B2924&amp;""))</f>
        <v/>
      </c>
      <c r="N2924" s="64">
        <f>IF($A2924="","",IFERROR(INDEX(부서매핑!$C$5:$C$504,MATCH($G2924&amp;"",부서매핑!$A$5:$A$504,0)),"미매핑"))</f>
        <v/>
      </c>
      <c r="O2924" s="9">
        <f>IF($A2924="","",N2924&amp;"|"&amp;$F2924)</f>
        <v/>
      </c>
      <c r="P2924" s="94">
        <f>IF($A2924="",0,$H2924*설정!$C$23)</f>
        <v/>
      </c>
      <c r="Q2924" s="64">
        <f>IF($A2924="","",IF(O2924&lt;&gt;원인분석!$C$9,"",IF(AND(M2924&gt;=원인분석!$C$10,M2924&lt;=원인분석!$C$11),"당기",IF(AND(M2924&gt;=원인분석!$C$12,M2924&lt;=원인분석!$C$13),"비교",""))))</f>
        <v/>
      </c>
      <c r="R2924" s="9">
        <f>IF(Q2924="","",$K2924&amp;"")</f>
        <v/>
      </c>
      <c r="S2924" s="9">
        <f>IF(Q2924="","",IF(MATCH(R2924,$R$5:$R$100000,0)=ROW()-4,ROW(),""))</f>
        <v/>
      </c>
      <c r="T2924" s="9">
        <f>IF(Q2924="당기",ABS(P2924)+ROW()/1000000000,"")</f>
        <v/>
      </c>
      <c r="U2924" s="9">
        <f>IF(Q2924="비교",ABS(P2924)+ROW()/1000000000,"")</f>
        <v/>
      </c>
      <c r="V2924" s="64">
        <f>IF($A2924="","",IF(COUNTIF(변동분석!$E$7:$E$506,O2924)&gt;0,"Y","N"))</f>
        <v/>
      </c>
      <c r="W2924" s="64">
        <f>IF($A2924="","",IFERROR(INDEX(계정매핑!$D$5:$D$504,MATCH($F2924&amp;"",계정매핑!$A$5:$A$504,0)),"미매핑"))</f>
        <v/>
      </c>
      <c r="X2924" s="9">
        <f>IF($A2924="","",$F2924&amp;"")</f>
        <v/>
      </c>
      <c r="Y2924" s="94">
        <f>IF($A2924="",0,IF(AE2924="직접",IF(AF2924="비귀속",$P2924,0),$P2924*(1-AG2924)*IFERROR(INDEX(계정대체기준!$F$20:$F$49,MATCH($N2924,계정대체기준!$A$20:$A$49,0)),1)))</f>
        <v/>
      </c>
      <c r="Z2924" s="94">
        <f>IF($A2924="",0,IF(AE2924="직접",IF(AF2924="신계약비",$P2924,0),$P2924*(1-AG2924)*IFERROR(INDEX(계정대체기준!$C$20:$C$49,MATCH($N2924,계정대체기준!$A$20:$A$49,0)),0)))</f>
        <v/>
      </c>
      <c r="AA2924" s="94">
        <f>IF($A2924="",0,IF(AE2924="직접",IF(OR(AF2924="유지비",AF2924="손해조사비"),$P2924,0),$P2924*(1-AG2924)*IFERROR(INDEX(계정대체기준!$D$20:$D$49,MATCH($N2924,계정대체기준!$A$20:$A$49,0)),0)))</f>
        <v/>
      </c>
      <c r="AB2924" s="94">
        <f>IF($A2924="",0,IF(AE2924="직접",IF(AF2924="수금비",$P2924,0),$P2924*(1-AG2924)*IFERROR(INDEX(계정대체기준!$E$20:$E$49,MATCH($N2924,계정대체기준!$A$20:$A$49,0)),0)))</f>
        <v/>
      </c>
      <c r="AC2924" s="9">
        <f>IF(AND($A2924&lt;&gt;"",M2924=설정!$C$20,Z2924&gt;0),Z2924+ROW()/1000000000,"")</f>
        <v/>
      </c>
      <c r="AD2924" s="94">
        <f>IF($A2924="",0,$P2924*AG2924)</f>
        <v/>
      </c>
      <c r="AE2924" s="64">
        <f>IF($A2924="","",IFERROR(INDEX(계정매핑!$E$5:$E$504,MATCH($F2924&amp;"",계정매핑!$A$5:$A$504,0))&amp;"","공통비"))</f>
        <v/>
      </c>
      <c r="AF2924" s="64">
        <f>IF($A2924="","",IF(AE2924="직접",IFERROR(INDEX(계정매핑!$F$5:$F$504,MATCH($F2924&amp;"",계정매핑!$A$5:$A$504,0))&amp;"","비귀속"),""))</f>
        <v/>
      </c>
      <c r="AG2924" s="96">
        <f>IF($A2924="",0,IF(AND(AE2924&lt;&gt;"직접",IFERROR(INDEX(계정매핑!$G$5:$G$504,MATCH($F2924&amp;"",계정매핑!$A$5:$A$504,0))&amp;"","")="유지비",COUNTIF(계정대체기준!$A$6:$A$15,$N2924)&gt;0),IFERROR(INDEX(계정대체기준!$E$6:$E$15,MATCH(VALUE($A2924&amp;""),계정대체기준!$D$6:$D$15,0)),0),0))</f>
        <v/>
      </c>
      <c r="AH2924" s="64">
        <f>IF($A2924="","",IF(AD2924=0,"",IF(OR(COUNTIF(계정대체기준!$A$77:$A$86,$N2924)&gt;0,ISNUMBER(MATCH($X2924,계정대체기준!$D$77:$D$86,0)),ISNUMBER(MATCH($F2924,계정대체기준!$D$77:$D$86,0))),"Y","N")))</f>
        <v/>
      </c>
    </row>
    <row r="2925">
      <c r="A2925" s="92" t="n">
        <v>2026</v>
      </c>
      <c r="B2925" s="92" t="n">
        <v>1</v>
      </c>
      <c r="C2925" s="92" t="inlineStr">
        <is>
          <t>5100000203</t>
        </is>
      </c>
      <c r="D2925" s="95" t="n">
        <v>46048</v>
      </c>
      <c r="E2925" s="92" t="inlineStr">
        <is>
          <t>KR</t>
        </is>
      </c>
      <c r="F2925" s="92" t="n">
        <v>62301000</v>
      </c>
      <c r="G2925" s="92" t="n">
        <v>1101</v>
      </c>
      <c r="H2925" s="93" t="n">
        <v>224000</v>
      </c>
      <c r="I2925" s="92" t="inlineStr">
        <is>
          <t>1월 소모품 구입 - R문구</t>
        </is>
      </c>
      <c r="J2925" s="92" t="inlineStr">
        <is>
          <t>V10022</t>
        </is>
      </c>
      <c r="K2925" s="92" t="inlineStr">
        <is>
          <t>R문구</t>
        </is>
      </c>
      <c r="M2925" s="9">
        <f>IF($A2925="","",VALUE($A2925&amp;"")*12+VALUE($B2925&amp;""))</f>
        <v/>
      </c>
      <c r="N2925" s="64">
        <f>IF($A2925="","",IFERROR(INDEX(부서매핑!$C$5:$C$504,MATCH($G2925&amp;"",부서매핑!$A$5:$A$504,0)),"미매핑"))</f>
        <v/>
      </c>
      <c r="O2925" s="9">
        <f>IF($A2925="","",N2925&amp;"|"&amp;$F2925)</f>
        <v/>
      </c>
      <c r="P2925" s="94">
        <f>IF($A2925="",0,$H2925*설정!$C$23)</f>
        <v/>
      </c>
      <c r="Q2925" s="64">
        <f>IF($A2925="","",IF(O2925&lt;&gt;원인분석!$C$9,"",IF(AND(M2925&gt;=원인분석!$C$10,M2925&lt;=원인분석!$C$11),"당기",IF(AND(M2925&gt;=원인분석!$C$12,M2925&lt;=원인분석!$C$13),"비교",""))))</f>
        <v/>
      </c>
      <c r="R2925" s="9">
        <f>IF(Q2925="","",$K2925&amp;"")</f>
        <v/>
      </c>
      <c r="S2925" s="9">
        <f>IF(Q2925="","",IF(MATCH(R2925,$R$5:$R$100000,0)=ROW()-4,ROW(),""))</f>
        <v/>
      </c>
      <c r="T2925" s="9">
        <f>IF(Q2925="당기",ABS(P2925)+ROW()/1000000000,"")</f>
        <v/>
      </c>
      <c r="U2925" s="9">
        <f>IF(Q2925="비교",ABS(P2925)+ROW()/1000000000,"")</f>
        <v/>
      </c>
      <c r="V2925" s="64">
        <f>IF($A2925="","",IF(COUNTIF(변동분석!$E$7:$E$506,O2925)&gt;0,"Y","N"))</f>
        <v/>
      </c>
      <c r="W2925" s="64">
        <f>IF($A2925="","",IFERROR(INDEX(계정매핑!$D$5:$D$504,MATCH($F2925&amp;"",계정매핑!$A$5:$A$504,0)),"미매핑"))</f>
        <v/>
      </c>
      <c r="X2925" s="9">
        <f>IF($A2925="","",$F2925&amp;"")</f>
        <v/>
      </c>
      <c r="Y2925" s="94">
        <f>IF($A2925="",0,IF(AE2925="직접",IF(AF2925="비귀속",$P2925,0),$P2925*(1-AG2925)*IFERROR(INDEX(계정대체기준!$F$20:$F$49,MATCH($N2925,계정대체기준!$A$20:$A$49,0)),1)))</f>
        <v/>
      </c>
      <c r="Z2925" s="94">
        <f>IF($A2925="",0,IF(AE2925="직접",IF(AF2925="신계약비",$P2925,0),$P2925*(1-AG2925)*IFERROR(INDEX(계정대체기준!$C$20:$C$49,MATCH($N2925,계정대체기준!$A$20:$A$49,0)),0)))</f>
        <v/>
      </c>
      <c r="AA2925" s="94">
        <f>IF($A2925="",0,IF(AE2925="직접",IF(OR(AF2925="유지비",AF2925="손해조사비"),$P2925,0),$P2925*(1-AG2925)*IFERROR(INDEX(계정대체기준!$D$20:$D$49,MATCH($N2925,계정대체기준!$A$20:$A$49,0)),0)))</f>
        <v/>
      </c>
      <c r="AB2925" s="94">
        <f>IF($A2925="",0,IF(AE2925="직접",IF(AF2925="수금비",$P2925,0),$P2925*(1-AG2925)*IFERROR(INDEX(계정대체기준!$E$20:$E$49,MATCH($N2925,계정대체기준!$A$20:$A$49,0)),0)))</f>
        <v/>
      </c>
      <c r="AC2925" s="9">
        <f>IF(AND($A2925&lt;&gt;"",M2925=설정!$C$20,Z2925&gt;0),Z2925+ROW()/1000000000,"")</f>
        <v/>
      </c>
      <c r="AD2925" s="94">
        <f>IF($A2925="",0,$P2925*AG2925)</f>
        <v/>
      </c>
      <c r="AE2925" s="64">
        <f>IF($A2925="","",IFERROR(INDEX(계정매핑!$E$5:$E$504,MATCH($F2925&amp;"",계정매핑!$A$5:$A$504,0))&amp;"","공통비"))</f>
        <v/>
      </c>
      <c r="AF2925" s="64">
        <f>IF($A2925="","",IF(AE2925="직접",IFERROR(INDEX(계정매핑!$F$5:$F$504,MATCH($F2925&amp;"",계정매핑!$A$5:$A$504,0))&amp;"","비귀속"),""))</f>
        <v/>
      </c>
      <c r="AG2925" s="96">
        <f>IF($A2925="",0,IF(AND(AE2925&lt;&gt;"직접",IFERROR(INDEX(계정매핑!$G$5:$G$504,MATCH($F2925&amp;"",계정매핑!$A$5:$A$504,0))&amp;"","")="유지비",COUNTIF(계정대체기준!$A$6:$A$15,$N2925)&gt;0),IFERROR(INDEX(계정대체기준!$E$6:$E$15,MATCH(VALUE($A2925&amp;""),계정대체기준!$D$6:$D$15,0)),0),0))</f>
        <v/>
      </c>
      <c r="AH2925" s="64">
        <f>IF($A2925="","",IF(AD2925=0,"",IF(OR(COUNTIF(계정대체기준!$A$77:$A$86,$N2925)&gt;0,ISNUMBER(MATCH($X2925,계정대체기준!$D$77:$D$86,0)),ISNUMBER(MATCH($F2925,계정대체기준!$D$77:$D$86,0))),"Y","N")))</f>
        <v/>
      </c>
    </row>
    <row r="2926">
      <c r="A2926" s="92" t="n">
        <v>2026</v>
      </c>
      <c r="B2926" s="92" t="n">
        <v>1</v>
      </c>
      <c r="C2926" s="92" t="inlineStr">
        <is>
          <t>5100000204</t>
        </is>
      </c>
      <c r="D2926" s="95" t="n">
        <v>46048</v>
      </c>
      <c r="E2926" s="92" t="inlineStr">
        <is>
          <t>KR</t>
        </is>
      </c>
      <c r="F2926" s="92" t="n">
        <v>62301000</v>
      </c>
      <c r="G2926" s="92" t="n">
        <v>1301</v>
      </c>
      <c r="H2926" s="93" t="n">
        <v>199000</v>
      </c>
      <c r="I2926" s="92" t="inlineStr">
        <is>
          <t>1월 소모품 구입 - R문구</t>
        </is>
      </c>
      <c r="J2926" s="92" t="inlineStr">
        <is>
          <t>V10022</t>
        </is>
      </c>
      <c r="K2926" s="92" t="inlineStr">
        <is>
          <t>R문구</t>
        </is>
      </c>
      <c r="M2926" s="9">
        <f>IF($A2926="","",VALUE($A2926&amp;"")*12+VALUE($B2926&amp;""))</f>
        <v/>
      </c>
      <c r="N2926" s="64">
        <f>IF($A2926="","",IFERROR(INDEX(부서매핑!$C$5:$C$504,MATCH($G2926&amp;"",부서매핑!$A$5:$A$504,0)),"미매핑"))</f>
        <v/>
      </c>
      <c r="O2926" s="9">
        <f>IF($A2926="","",N2926&amp;"|"&amp;$F2926)</f>
        <v/>
      </c>
      <c r="P2926" s="94">
        <f>IF($A2926="",0,$H2926*설정!$C$23)</f>
        <v/>
      </c>
      <c r="Q2926" s="64">
        <f>IF($A2926="","",IF(O2926&lt;&gt;원인분석!$C$9,"",IF(AND(M2926&gt;=원인분석!$C$10,M2926&lt;=원인분석!$C$11),"당기",IF(AND(M2926&gt;=원인분석!$C$12,M2926&lt;=원인분석!$C$13),"비교",""))))</f>
        <v/>
      </c>
      <c r="R2926" s="9">
        <f>IF(Q2926="","",$K2926&amp;"")</f>
        <v/>
      </c>
      <c r="S2926" s="9">
        <f>IF(Q2926="","",IF(MATCH(R2926,$R$5:$R$100000,0)=ROW()-4,ROW(),""))</f>
        <v/>
      </c>
      <c r="T2926" s="9">
        <f>IF(Q2926="당기",ABS(P2926)+ROW()/1000000000,"")</f>
        <v/>
      </c>
      <c r="U2926" s="9">
        <f>IF(Q2926="비교",ABS(P2926)+ROW()/1000000000,"")</f>
        <v/>
      </c>
      <c r="V2926" s="64">
        <f>IF($A2926="","",IF(COUNTIF(변동분석!$E$7:$E$506,O2926)&gt;0,"Y","N"))</f>
        <v/>
      </c>
      <c r="W2926" s="64">
        <f>IF($A2926="","",IFERROR(INDEX(계정매핑!$D$5:$D$504,MATCH($F2926&amp;"",계정매핑!$A$5:$A$504,0)),"미매핑"))</f>
        <v/>
      </c>
      <c r="X2926" s="9">
        <f>IF($A2926="","",$F2926&amp;"")</f>
        <v/>
      </c>
      <c r="Y2926" s="94">
        <f>IF($A2926="",0,IF(AE2926="직접",IF(AF2926="비귀속",$P2926,0),$P2926*(1-AG2926)*IFERROR(INDEX(계정대체기준!$F$20:$F$49,MATCH($N2926,계정대체기준!$A$20:$A$49,0)),1)))</f>
        <v/>
      </c>
      <c r="Z2926" s="94">
        <f>IF($A2926="",0,IF(AE2926="직접",IF(AF2926="신계약비",$P2926,0),$P2926*(1-AG2926)*IFERROR(INDEX(계정대체기준!$C$20:$C$49,MATCH($N2926,계정대체기준!$A$20:$A$49,0)),0)))</f>
        <v/>
      </c>
      <c r="AA2926" s="94">
        <f>IF($A2926="",0,IF(AE2926="직접",IF(OR(AF2926="유지비",AF2926="손해조사비"),$P2926,0),$P2926*(1-AG2926)*IFERROR(INDEX(계정대체기준!$D$20:$D$49,MATCH($N2926,계정대체기준!$A$20:$A$49,0)),0)))</f>
        <v/>
      </c>
      <c r="AB2926" s="94">
        <f>IF($A2926="",0,IF(AE2926="직접",IF(AF2926="수금비",$P2926,0),$P2926*(1-AG2926)*IFERROR(INDEX(계정대체기준!$E$20:$E$49,MATCH($N2926,계정대체기준!$A$20:$A$49,0)),0)))</f>
        <v/>
      </c>
      <c r="AC2926" s="9">
        <f>IF(AND($A2926&lt;&gt;"",M2926=설정!$C$20,Z2926&gt;0),Z2926+ROW()/1000000000,"")</f>
        <v/>
      </c>
      <c r="AD2926" s="94">
        <f>IF($A2926="",0,$P2926*AG2926)</f>
        <v/>
      </c>
      <c r="AE2926" s="64">
        <f>IF($A2926="","",IFERROR(INDEX(계정매핑!$E$5:$E$504,MATCH($F2926&amp;"",계정매핑!$A$5:$A$504,0))&amp;"","공통비"))</f>
        <v/>
      </c>
      <c r="AF2926" s="64">
        <f>IF($A2926="","",IF(AE2926="직접",IFERROR(INDEX(계정매핑!$F$5:$F$504,MATCH($F2926&amp;"",계정매핑!$A$5:$A$504,0))&amp;"","비귀속"),""))</f>
        <v/>
      </c>
      <c r="AG2926" s="96">
        <f>IF($A2926="",0,IF(AND(AE2926&lt;&gt;"직접",IFERROR(INDEX(계정매핑!$G$5:$G$504,MATCH($F2926&amp;"",계정매핑!$A$5:$A$504,0))&amp;"","")="유지비",COUNTIF(계정대체기준!$A$6:$A$15,$N2926)&gt;0),IFERROR(INDEX(계정대체기준!$E$6:$E$15,MATCH(VALUE($A2926&amp;""),계정대체기준!$D$6:$D$15,0)),0),0))</f>
        <v/>
      </c>
      <c r="AH2926" s="64">
        <f>IF($A2926="","",IF(AD2926=0,"",IF(OR(COUNTIF(계정대체기준!$A$77:$A$86,$N2926)&gt;0,ISNUMBER(MATCH($X2926,계정대체기준!$D$77:$D$86,0)),ISNUMBER(MATCH($F2926,계정대체기준!$D$77:$D$86,0))),"Y","N")))</f>
        <v/>
      </c>
    </row>
    <row r="2927">
      <c r="A2927" s="92" t="n">
        <v>2026</v>
      </c>
      <c r="B2927" s="92" t="n">
        <v>1</v>
      </c>
      <c r="C2927" s="92" t="inlineStr">
        <is>
          <t>5100000205</t>
        </is>
      </c>
      <c r="D2927" s="95" t="n">
        <v>46048</v>
      </c>
      <c r="E2927" s="92" t="inlineStr">
        <is>
          <t>KR</t>
        </is>
      </c>
      <c r="F2927" s="92" t="n">
        <v>62301000</v>
      </c>
      <c r="G2927" s="92" t="n">
        <v>1801</v>
      </c>
      <c r="H2927" s="93" t="n">
        <v>265000</v>
      </c>
      <c r="I2927" s="92" t="inlineStr">
        <is>
          <t>1월 소모품 구입 - Q오피스</t>
        </is>
      </c>
      <c r="J2927" s="92" t="inlineStr">
        <is>
          <t>V10003</t>
        </is>
      </c>
      <c r="K2927" s="92" t="inlineStr">
        <is>
          <t>Q오피스</t>
        </is>
      </c>
      <c r="M2927" s="9">
        <f>IF($A2927="","",VALUE($A2927&amp;"")*12+VALUE($B2927&amp;""))</f>
        <v/>
      </c>
      <c r="N2927" s="64">
        <f>IF($A2927="","",IFERROR(INDEX(부서매핑!$C$5:$C$504,MATCH($G2927&amp;"",부서매핑!$A$5:$A$504,0)),"미매핑"))</f>
        <v/>
      </c>
      <c r="O2927" s="9">
        <f>IF($A2927="","",N2927&amp;"|"&amp;$F2927)</f>
        <v/>
      </c>
      <c r="P2927" s="94">
        <f>IF($A2927="",0,$H2927*설정!$C$23)</f>
        <v/>
      </c>
      <c r="Q2927" s="64">
        <f>IF($A2927="","",IF(O2927&lt;&gt;원인분석!$C$9,"",IF(AND(M2927&gt;=원인분석!$C$10,M2927&lt;=원인분석!$C$11),"당기",IF(AND(M2927&gt;=원인분석!$C$12,M2927&lt;=원인분석!$C$13),"비교",""))))</f>
        <v/>
      </c>
      <c r="R2927" s="9">
        <f>IF(Q2927="","",$K2927&amp;"")</f>
        <v/>
      </c>
      <c r="S2927" s="9">
        <f>IF(Q2927="","",IF(MATCH(R2927,$R$5:$R$100000,0)=ROW()-4,ROW(),""))</f>
        <v/>
      </c>
      <c r="T2927" s="9">
        <f>IF(Q2927="당기",ABS(P2927)+ROW()/1000000000,"")</f>
        <v/>
      </c>
      <c r="U2927" s="9">
        <f>IF(Q2927="비교",ABS(P2927)+ROW()/1000000000,"")</f>
        <v/>
      </c>
      <c r="V2927" s="64">
        <f>IF($A2927="","",IF(COUNTIF(변동분석!$E$7:$E$506,O2927)&gt;0,"Y","N"))</f>
        <v/>
      </c>
      <c r="W2927" s="64">
        <f>IF($A2927="","",IFERROR(INDEX(계정매핑!$D$5:$D$504,MATCH($F2927&amp;"",계정매핑!$A$5:$A$504,0)),"미매핑"))</f>
        <v/>
      </c>
      <c r="X2927" s="9">
        <f>IF($A2927="","",$F2927&amp;"")</f>
        <v/>
      </c>
      <c r="Y2927" s="94">
        <f>IF($A2927="",0,IF(AE2927="직접",IF(AF2927="비귀속",$P2927,0),$P2927*(1-AG2927)*IFERROR(INDEX(계정대체기준!$F$20:$F$49,MATCH($N2927,계정대체기준!$A$20:$A$49,0)),1)))</f>
        <v/>
      </c>
      <c r="Z2927" s="94">
        <f>IF($A2927="",0,IF(AE2927="직접",IF(AF2927="신계약비",$P2927,0),$P2927*(1-AG2927)*IFERROR(INDEX(계정대체기준!$C$20:$C$49,MATCH($N2927,계정대체기준!$A$20:$A$49,0)),0)))</f>
        <v/>
      </c>
      <c r="AA2927" s="94">
        <f>IF($A2927="",0,IF(AE2927="직접",IF(OR(AF2927="유지비",AF2927="손해조사비"),$P2927,0),$P2927*(1-AG2927)*IFERROR(INDEX(계정대체기준!$D$20:$D$49,MATCH($N2927,계정대체기준!$A$20:$A$49,0)),0)))</f>
        <v/>
      </c>
      <c r="AB2927" s="94">
        <f>IF($A2927="",0,IF(AE2927="직접",IF(AF2927="수금비",$P2927,0),$P2927*(1-AG2927)*IFERROR(INDEX(계정대체기준!$E$20:$E$49,MATCH($N2927,계정대체기준!$A$20:$A$49,0)),0)))</f>
        <v/>
      </c>
      <c r="AC2927" s="9">
        <f>IF(AND($A2927&lt;&gt;"",M2927=설정!$C$20,Z2927&gt;0),Z2927+ROW()/1000000000,"")</f>
        <v/>
      </c>
      <c r="AD2927" s="94">
        <f>IF($A2927="",0,$P2927*AG2927)</f>
        <v/>
      </c>
      <c r="AE2927" s="64">
        <f>IF($A2927="","",IFERROR(INDEX(계정매핑!$E$5:$E$504,MATCH($F2927&amp;"",계정매핑!$A$5:$A$504,0))&amp;"","공통비"))</f>
        <v/>
      </c>
      <c r="AF2927" s="64">
        <f>IF($A2927="","",IF(AE2927="직접",IFERROR(INDEX(계정매핑!$F$5:$F$504,MATCH($F2927&amp;"",계정매핑!$A$5:$A$504,0))&amp;"","비귀속"),""))</f>
        <v/>
      </c>
      <c r="AG2927" s="96">
        <f>IF($A2927="",0,IF(AND(AE2927&lt;&gt;"직접",IFERROR(INDEX(계정매핑!$G$5:$G$504,MATCH($F2927&amp;"",계정매핑!$A$5:$A$504,0))&amp;"","")="유지비",COUNTIF(계정대체기준!$A$6:$A$15,$N2927)&gt;0),IFERROR(INDEX(계정대체기준!$E$6:$E$15,MATCH(VALUE($A2927&amp;""),계정대체기준!$D$6:$D$15,0)),0),0))</f>
        <v/>
      </c>
      <c r="AH2927" s="64">
        <f>IF($A2927="","",IF(AD2927=0,"",IF(OR(COUNTIF(계정대체기준!$A$77:$A$86,$N2927)&gt;0,ISNUMBER(MATCH($X2927,계정대체기준!$D$77:$D$86,0)),ISNUMBER(MATCH($F2927,계정대체기준!$D$77:$D$86,0))),"Y","N")))</f>
        <v/>
      </c>
    </row>
    <row r="2928">
      <c r="A2928" s="92" t="n">
        <v>2026</v>
      </c>
      <c r="B2928" s="92" t="n">
        <v>1</v>
      </c>
      <c r="C2928" s="92" t="inlineStr">
        <is>
          <t>5100000206</t>
        </is>
      </c>
      <c r="D2928" s="95" t="n">
        <v>46048</v>
      </c>
      <c r="E2928" s="92" t="inlineStr">
        <is>
          <t>KR</t>
        </is>
      </c>
      <c r="F2928" s="92" t="n">
        <v>62901000</v>
      </c>
      <c r="G2928" s="92" t="n">
        <v>1201</v>
      </c>
      <c r="H2928" s="93" t="n">
        <v>7202000</v>
      </c>
      <c r="I2928" s="92" t="inlineStr">
        <is>
          <t>1월 자문 수수료 - K회계법인</t>
        </is>
      </c>
      <c r="J2928" s="92" t="inlineStr">
        <is>
          <t>V10011</t>
        </is>
      </c>
      <c r="K2928" s="92" t="inlineStr">
        <is>
          <t>K회계법인</t>
        </is>
      </c>
      <c r="M2928" s="9">
        <f>IF($A2928="","",VALUE($A2928&amp;"")*12+VALUE($B2928&amp;""))</f>
        <v/>
      </c>
      <c r="N2928" s="64">
        <f>IF($A2928="","",IFERROR(INDEX(부서매핑!$C$5:$C$504,MATCH($G2928&amp;"",부서매핑!$A$5:$A$504,0)),"미매핑"))</f>
        <v/>
      </c>
      <c r="O2928" s="9">
        <f>IF($A2928="","",N2928&amp;"|"&amp;$F2928)</f>
        <v/>
      </c>
      <c r="P2928" s="94">
        <f>IF($A2928="",0,$H2928*설정!$C$23)</f>
        <v/>
      </c>
      <c r="Q2928" s="64">
        <f>IF($A2928="","",IF(O2928&lt;&gt;원인분석!$C$9,"",IF(AND(M2928&gt;=원인분석!$C$10,M2928&lt;=원인분석!$C$11),"당기",IF(AND(M2928&gt;=원인분석!$C$12,M2928&lt;=원인분석!$C$13),"비교",""))))</f>
        <v/>
      </c>
      <c r="R2928" s="9">
        <f>IF(Q2928="","",$K2928&amp;"")</f>
        <v/>
      </c>
      <c r="S2928" s="9">
        <f>IF(Q2928="","",IF(MATCH(R2928,$R$5:$R$100000,0)=ROW()-4,ROW(),""))</f>
        <v/>
      </c>
      <c r="T2928" s="9">
        <f>IF(Q2928="당기",ABS(P2928)+ROW()/1000000000,"")</f>
        <v/>
      </c>
      <c r="U2928" s="9">
        <f>IF(Q2928="비교",ABS(P2928)+ROW()/1000000000,"")</f>
        <v/>
      </c>
      <c r="V2928" s="64">
        <f>IF($A2928="","",IF(COUNTIF(변동분석!$E$7:$E$506,O2928)&gt;0,"Y","N"))</f>
        <v/>
      </c>
      <c r="W2928" s="64">
        <f>IF($A2928="","",IFERROR(INDEX(계정매핑!$D$5:$D$504,MATCH($F2928&amp;"",계정매핑!$A$5:$A$504,0)),"미매핑"))</f>
        <v/>
      </c>
      <c r="X2928" s="9">
        <f>IF($A2928="","",$F2928&amp;"")</f>
        <v/>
      </c>
      <c r="Y2928" s="94">
        <f>IF($A2928="",0,IF(AE2928="직접",IF(AF2928="비귀속",$P2928,0),$P2928*(1-AG2928)*IFERROR(INDEX(계정대체기준!$F$20:$F$49,MATCH($N2928,계정대체기준!$A$20:$A$49,0)),1)))</f>
        <v/>
      </c>
      <c r="Z2928" s="94">
        <f>IF($A2928="",0,IF(AE2928="직접",IF(AF2928="신계약비",$P2928,0),$P2928*(1-AG2928)*IFERROR(INDEX(계정대체기준!$C$20:$C$49,MATCH($N2928,계정대체기준!$A$20:$A$49,0)),0)))</f>
        <v/>
      </c>
      <c r="AA2928" s="94">
        <f>IF($A2928="",0,IF(AE2928="직접",IF(OR(AF2928="유지비",AF2928="손해조사비"),$P2928,0),$P2928*(1-AG2928)*IFERROR(INDEX(계정대체기준!$D$20:$D$49,MATCH($N2928,계정대체기준!$A$20:$A$49,0)),0)))</f>
        <v/>
      </c>
      <c r="AB2928" s="94">
        <f>IF($A2928="",0,IF(AE2928="직접",IF(AF2928="수금비",$P2928,0),$P2928*(1-AG2928)*IFERROR(INDEX(계정대체기준!$E$20:$E$49,MATCH($N2928,계정대체기준!$A$20:$A$49,0)),0)))</f>
        <v/>
      </c>
      <c r="AC2928" s="9">
        <f>IF(AND($A2928&lt;&gt;"",M2928=설정!$C$20,Z2928&gt;0),Z2928+ROW()/1000000000,"")</f>
        <v/>
      </c>
      <c r="AD2928" s="94">
        <f>IF($A2928="",0,$P2928*AG2928)</f>
        <v/>
      </c>
      <c r="AE2928" s="64">
        <f>IF($A2928="","",IFERROR(INDEX(계정매핑!$E$5:$E$504,MATCH($F2928&amp;"",계정매핑!$A$5:$A$504,0))&amp;"","공통비"))</f>
        <v/>
      </c>
      <c r="AF2928" s="64">
        <f>IF($A2928="","",IF(AE2928="직접",IFERROR(INDEX(계정매핑!$F$5:$F$504,MATCH($F2928&amp;"",계정매핑!$A$5:$A$504,0))&amp;"","비귀속"),""))</f>
        <v/>
      </c>
      <c r="AG2928" s="96">
        <f>IF($A2928="",0,IF(AND(AE2928&lt;&gt;"직접",IFERROR(INDEX(계정매핑!$G$5:$G$504,MATCH($F2928&amp;"",계정매핑!$A$5:$A$504,0))&amp;"","")="유지비",COUNTIF(계정대체기준!$A$6:$A$15,$N2928)&gt;0),IFERROR(INDEX(계정대체기준!$E$6:$E$15,MATCH(VALUE($A2928&amp;""),계정대체기준!$D$6:$D$15,0)),0),0))</f>
        <v/>
      </c>
      <c r="AH2928" s="64">
        <f>IF($A2928="","",IF(AD2928=0,"",IF(OR(COUNTIF(계정대체기준!$A$77:$A$86,$N2928)&gt;0,ISNUMBER(MATCH($X2928,계정대체기준!$D$77:$D$86,0)),ISNUMBER(MATCH($F2928,계정대체기준!$D$77:$D$86,0))),"Y","N")))</f>
        <v/>
      </c>
    </row>
    <row r="2929">
      <c r="A2929" s="92" t="n">
        <v>2026</v>
      </c>
      <c r="B2929" s="92" t="n">
        <v>1</v>
      </c>
      <c r="C2929" s="92" t="inlineStr">
        <is>
          <t>5100000207</t>
        </is>
      </c>
      <c r="D2929" s="95" t="n">
        <v>46048</v>
      </c>
      <c r="E2929" s="92" t="inlineStr">
        <is>
          <t>KR</t>
        </is>
      </c>
      <c r="F2929" s="92" t="n">
        <v>62901000</v>
      </c>
      <c r="G2929" s="92" t="n">
        <v>1801</v>
      </c>
      <c r="H2929" s="93" t="n">
        <v>10325000</v>
      </c>
      <c r="I2929" s="92" t="inlineStr">
        <is>
          <t>1월 자문 수수료 - K회계법인</t>
        </is>
      </c>
      <c r="J2929" s="92" t="inlineStr">
        <is>
          <t>V10011</t>
        </is>
      </c>
      <c r="K2929" s="92" t="inlineStr">
        <is>
          <t>K회계법인</t>
        </is>
      </c>
      <c r="M2929" s="9">
        <f>IF($A2929="","",VALUE($A2929&amp;"")*12+VALUE($B2929&amp;""))</f>
        <v/>
      </c>
      <c r="N2929" s="64">
        <f>IF($A2929="","",IFERROR(INDEX(부서매핑!$C$5:$C$504,MATCH($G2929&amp;"",부서매핑!$A$5:$A$504,0)),"미매핑"))</f>
        <v/>
      </c>
      <c r="O2929" s="9">
        <f>IF($A2929="","",N2929&amp;"|"&amp;$F2929)</f>
        <v/>
      </c>
      <c r="P2929" s="94">
        <f>IF($A2929="",0,$H2929*설정!$C$23)</f>
        <v/>
      </c>
      <c r="Q2929" s="64">
        <f>IF($A2929="","",IF(O2929&lt;&gt;원인분석!$C$9,"",IF(AND(M2929&gt;=원인분석!$C$10,M2929&lt;=원인분석!$C$11),"당기",IF(AND(M2929&gt;=원인분석!$C$12,M2929&lt;=원인분석!$C$13),"비교",""))))</f>
        <v/>
      </c>
      <c r="R2929" s="9">
        <f>IF(Q2929="","",$K2929&amp;"")</f>
        <v/>
      </c>
      <c r="S2929" s="9">
        <f>IF(Q2929="","",IF(MATCH(R2929,$R$5:$R$100000,0)=ROW()-4,ROW(),""))</f>
        <v/>
      </c>
      <c r="T2929" s="9">
        <f>IF(Q2929="당기",ABS(P2929)+ROW()/1000000000,"")</f>
        <v/>
      </c>
      <c r="U2929" s="9">
        <f>IF(Q2929="비교",ABS(P2929)+ROW()/1000000000,"")</f>
        <v/>
      </c>
      <c r="V2929" s="64">
        <f>IF($A2929="","",IF(COUNTIF(변동분석!$E$7:$E$506,O2929)&gt;0,"Y","N"))</f>
        <v/>
      </c>
      <c r="W2929" s="64">
        <f>IF($A2929="","",IFERROR(INDEX(계정매핑!$D$5:$D$504,MATCH($F2929&amp;"",계정매핑!$A$5:$A$504,0)),"미매핑"))</f>
        <v/>
      </c>
      <c r="X2929" s="9">
        <f>IF($A2929="","",$F2929&amp;"")</f>
        <v/>
      </c>
      <c r="Y2929" s="94">
        <f>IF($A2929="",0,IF(AE2929="직접",IF(AF2929="비귀속",$P2929,0),$P2929*(1-AG2929)*IFERROR(INDEX(계정대체기준!$F$20:$F$49,MATCH($N2929,계정대체기준!$A$20:$A$49,0)),1)))</f>
        <v/>
      </c>
      <c r="Z2929" s="94">
        <f>IF($A2929="",0,IF(AE2929="직접",IF(AF2929="신계약비",$P2929,0),$P2929*(1-AG2929)*IFERROR(INDEX(계정대체기준!$C$20:$C$49,MATCH($N2929,계정대체기준!$A$20:$A$49,0)),0)))</f>
        <v/>
      </c>
      <c r="AA2929" s="94">
        <f>IF($A2929="",0,IF(AE2929="직접",IF(OR(AF2929="유지비",AF2929="손해조사비"),$P2929,0),$P2929*(1-AG2929)*IFERROR(INDEX(계정대체기준!$D$20:$D$49,MATCH($N2929,계정대체기준!$A$20:$A$49,0)),0)))</f>
        <v/>
      </c>
      <c r="AB2929" s="94">
        <f>IF($A2929="",0,IF(AE2929="직접",IF(AF2929="수금비",$P2929,0),$P2929*(1-AG2929)*IFERROR(INDEX(계정대체기준!$E$20:$E$49,MATCH($N2929,계정대체기준!$A$20:$A$49,0)),0)))</f>
        <v/>
      </c>
      <c r="AC2929" s="9">
        <f>IF(AND($A2929&lt;&gt;"",M2929=설정!$C$20,Z2929&gt;0),Z2929+ROW()/1000000000,"")</f>
        <v/>
      </c>
      <c r="AD2929" s="94">
        <f>IF($A2929="",0,$P2929*AG2929)</f>
        <v/>
      </c>
      <c r="AE2929" s="64">
        <f>IF($A2929="","",IFERROR(INDEX(계정매핑!$E$5:$E$504,MATCH($F2929&amp;"",계정매핑!$A$5:$A$504,0))&amp;"","공통비"))</f>
        <v/>
      </c>
      <c r="AF2929" s="64">
        <f>IF($A2929="","",IF(AE2929="직접",IFERROR(INDEX(계정매핑!$F$5:$F$504,MATCH($F2929&amp;"",계정매핑!$A$5:$A$504,0))&amp;"","비귀속"),""))</f>
        <v/>
      </c>
      <c r="AG2929" s="96">
        <f>IF($A2929="",0,IF(AND(AE2929&lt;&gt;"직접",IFERROR(INDEX(계정매핑!$G$5:$G$504,MATCH($F2929&amp;"",계정매핑!$A$5:$A$504,0))&amp;"","")="유지비",COUNTIF(계정대체기준!$A$6:$A$15,$N2929)&gt;0),IFERROR(INDEX(계정대체기준!$E$6:$E$15,MATCH(VALUE($A2929&amp;""),계정대체기준!$D$6:$D$15,0)),0),0))</f>
        <v/>
      </c>
      <c r="AH2929" s="64">
        <f>IF($A2929="","",IF(AD2929=0,"",IF(OR(COUNTIF(계정대체기준!$A$77:$A$86,$N2929)&gt;0,ISNUMBER(MATCH($X2929,계정대체기준!$D$77:$D$86,0)),ISNUMBER(MATCH($F2929,계정대체기준!$D$77:$D$86,0))),"Y","N")))</f>
        <v/>
      </c>
    </row>
    <row r="2930">
      <c r="A2930" s="92" t="n">
        <v>2026</v>
      </c>
      <c r="B2930" s="92" t="n">
        <v>1</v>
      </c>
      <c r="C2930" s="92" t="inlineStr">
        <is>
          <t>5100000208</t>
        </is>
      </c>
      <c r="D2930" s="95" t="n">
        <v>46048</v>
      </c>
      <c r="E2930" s="92" t="inlineStr">
        <is>
          <t>KR</t>
        </is>
      </c>
      <c r="F2930" s="92" t="n">
        <v>62901000</v>
      </c>
      <c r="G2930" s="92" t="n">
        <v>1951</v>
      </c>
      <c r="H2930" s="93" t="n">
        <v>6180000</v>
      </c>
      <c r="I2930" s="92" t="inlineStr">
        <is>
          <t>1월 자문 수수료 - K회계법인</t>
        </is>
      </c>
      <c r="J2930" s="92" t="inlineStr">
        <is>
          <t>V10011</t>
        </is>
      </c>
      <c r="K2930" s="92" t="inlineStr">
        <is>
          <t>K회계법인</t>
        </is>
      </c>
      <c r="M2930" s="9">
        <f>IF($A2930="","",VALUE($A2930&amp;"")*12+VALUE($B2930&amp;""))</f>
        <v/>
      </c>
      <c r="N2930" s="64">
        <f>IF($A2930="","",IFERROR(INDEX(부서매핑!$C$5:$C$504,MATCH($G2930&amp;"",부서매핑!$A$5:$A$504,0)),"미매핑"))</f>
        <v/>
      </c>
      <c r="O2930" s="9">
        <f>IF($A2930="","",N2930&amp;"|"&amp;$F2930)</f>
        <v/>
      </c>
      <c r="P2930" s="94">
        <f>IF($A2930="",0,$H2930*설정!$C$23)</f>
        <v/>
      </c>
      <c r="Q2930" s="64">
        <f>IF($A2930="","",IF(O2930&lt;&gt;원인분석!$C$9,"",IF(AND(M2930&gt;=원인분석!$C$10,M2930&lt;=원인분석!$C$11),"당기",IF(AND(M2930&gt;=원인분석!$C$12,M2930&lt;=원인분석!$C$13),"비교",""))))</f>
        <v/>
      </c>
      <c r="R2930" s="9">
        <f>IF(Q2930="","",$K2930&amp;"")</f>
        <v/>
      </c>
      <c r="S2930" s="9">
        <f>IF(Q2930="","",IF(MATCH(R2930,$R$5:$R$100000,0)=ROW()-4,ROW(),""))</f>
        <v/>
      </c>
      <c r="T2930" s="9">
        <f>IF(Q2930="당기",ABS(P2930)+ROW()/1000000000,"")</f>
        <v/>
      </c>
      <c r="U2930" s="9">
        <f>IF(Q2930="비교",ABS(P2930)+ROW()/1000000000,"")</f>
        <v/>
      </c>
      <c r="V2930" s="64">
        <f>IF($A2930="","",IF(COUNTIF(변동분석!$E$7:$E$506,O2930)&gt;0,"Y","N"))</f>
        <v/>
      </c>
      <c r="W2930" s="64">
        <f>IF($A2930="","",IFERROR(INDEX(계정매핑!$D$5:$D$504,MATCH($F2930&amp;"",계정매핑!$A$5:$A$504,0)),"미매핑"))</f>
        <v/>
      </c>
      <c r="X2930" s="9">
        <f>IF($A2930="","",$F2930&amp;"")</f>
        <v/>
      </c>
      <c r="Y2930" s="94">
        <f>IF($A2930="",0,IF(AE2930="직접",IF(AF2930="비귀속",$P2930,0),$P2930*(1-AG2930)*IFERROR(INDEX(계정대체기준!$F$20:$F$49,MATCH($N2930,계정대체기준!$A$20:$A$49,0)),1)))</f>
        <v/>
      </c>
      <c r="Z2930" s="94">
        <f>IF($A2930="",0,IF(AE2930="직접",IF(AF2930="신계약비",$P2930,0),$P2930*(1-AG2930)*IFERROR(INDEX(계정대체기준!$C$20:$C$49,MATCH($N2930,계정대체기준!$A$20:$A$49,0)),0)))</f>
        <v/>
      </c>
      <c r="AA2930" s="94">
        <f>IF($A2930="",0,IF(AE2930="직접",IF(OR(AF2930="유지비",AF2930="손해조사비"),$P2930,0),$P2930*(1-AG2930)*IFERROR(INDEX(계정대체기준!$D$20:$D$49,MATCH($N2930,계정대체기준!$A$20:$A$49,0)),0)))</f>
        <v/>
      </c>
      <c r="AB2930" s="94">
        <f>IF($A2930="",0,IF(AE2930="직접",IF(AF2930="수금비",$P2930,0),$P2930*(1-AG2930)*IFERROR(INDEX(계정대체기준!$E$20:$E$49,MATCH($N2930,계정대체기준!$A$20:$A$49,0)),0)))</f>
        <v/>
      </c>
      <c r="AC2930" s="9">
        <f>IF(AND($A2930&lt;&gt;"",M2930=설정!$C$20,Z2930&gt;0),Z2930+ROW()/1000000000,"")</f>
        <v/>
      </c>
      <c r="AD2930" s="94">
        <f>IF($A2930="",0,$P2930*AG2930)</f>
        <v/>
      </c>
      <c r="AE2930" s="64">
        <f>IF($A2930="","",IFERROR(INDEX(계정매핑!$E$5:$E$504,MATCH($F2930&amp;"",계정매핑!$A$5:$A$504,0))&amp;"","공통비"))</f>
        <v/>
      </c>
      <c r="AF2930" s="64">
        <f>IF($A2930="","",IF(AE2930="직접",IFERROR(INDEX(계정매핑!$F$5:$F$504,MATCH($F2930&amp;"",계정매핑!$A$5:$A$504,0))&amp;"","비귀속"),""))</f>
        <v/>
      </c>
      <c r="AG2930" s="96">
        <f>IF($A2930="",0,IF(AND(AE2930&lt;&gt;"직접",IFERROR(INDEX(계정매핑!$G$5:$G$504,MATCH($F2930&amp;"",계정매핑!$A$5:$A$504,0))&amp;"","")="유지비",COUNTIF(계정대체기준!$A$6:$A$15,$N2930)&gt;0),IFERROR(INDEX(계정대체기준!$E$6:$E$15,MATCH(VALUE($A2930&amp;""),계정대체기준!$D$6:$D$15,0)),0),0))</f>
        <v/>
      </c>
      <c r="AH2930" s="64">
        <f>IF($A2930="","",IF(AD2930=0,"",IF(OR(COUNTIF(계정대체기준!$A$77:$A$86,$N2930)&gt;0,ISNUMBER(MATCH($X2930,계정대체기준!$D$77:$D$86,0)),ISNUMBER(MATCH($F2930,계정대체기준!$D$77:$D$86,0))),"Y","N")))</f>
        <v/>
      </c>
    </row>
    <row r="2931">
      <c r="A2931" s="92" t="n">
        <v>2026</v>
      </c>
      <c r="B2931" s="92" t="n">
        <v>1</v>
      </c>
      <c r="C2931" s="92" t="inlineStr">
        <is>
          <t>5100000209</t>
        </is>
      </c>
      <c r="D2931" s="95" t="n">
        <v>46048</v>
      </c>
      <c r="E2931" s="92" t="inlineStr">
        <is>
          <t>KR</t>
        </is>
      </c>
      <c r="F2931" s="92" t="n">
        <v>62902000</v>
      </c>
      <c r="G2931" s="92" t="n">
        <v>1401</v>
      </c>
      <c r="H2931" s="93" t="n">
        <v>3224000</v>
      </c>
      <c r="I2931" s="92" t="inlineStr">
        <is>
          <t>1월 업무 위탁 수수료 - X서비스</t>
        </is>
      </c>
      <c r="J2931" s="92" t="inlineStr">
        <is>
          <t>V10020</t>
        </is>
      </c>
      <c r="K2931" s="92" t="inlineStr">
        <is>
          <t>X서비스</t>
        </is>
      </c>
      <c r="M2931" s="9">
        <f>IF($A2931="","",VALUE($A2931&amp;"")*12+VALUE($B2931&amp;""))</f>
        <v/>
      </c>
      <c r="N2931" s="64">
        <f>IF($A2931="","",IFERROR(INDEX(부서매핑!$C$5:$C$504,MATCH($G2931&amp;"",부서매핑!$A$5:$A$504,0)),"미매핑"))</f>
        <v/>
      </c>
      <c r="O2931" s="9">
        <f>IF($A2931="","",N2931&amp;"|"&amp;$F2931)</f>
        <v/>
      </c>
      <c r="P2931" s="94">
        <f>IF($A2931="",0,$H2931*설정!$C$23)</f>
        <v/>
      </c>
      <c r="Q2931" s="64">
        <f>IF($A2931="","",IF(O2931&lt;&gt;원인분석!$C$9,"",IF(AND(M2931&gt;=원인분석!$C$10,M2931&lt;=원인분석!$C$11),"당기",IF(AND(M2931&gt;=원인분석!$C$12,M2931&lt;=원인분석!$C$13),"비교",""))))</f>
        <v/>
      </c>
      <c r="R2931" s="9">
        <f>IF(Q2931="","",$K2931&amp;"")</f>
        <v/>
      </c>
      <c r="S2931" s="9">
        <f>IF(Q2931="","",IF(MATCH(R2931,$R$5:$R$100000,0)=ROW()-4,ROW(),""))</f>
        <v/>
      </c>
      <c r="T2931" s="9">
        <f>IF(Q2931="당기",ABS(P2931)+ROW()/1000000000,"")</f>
        <v/>
      </c>
      <c r="U2931" s="9">
        <f>IF(Q2931="비교",ABS(P2931)+ROW()/1000000000,"")</f>
        <v/>
      </c>
      <c r="V2931" s="64">
        <f>IF($A2931="","",IF(COUNTIF(변동분석!$E$7:$E$506,O2931)&gt;0,"Y","N"))</f>
        <v/>
      </c>
      <c r="W2931" s="64">
        <f>IF($A2931="","",IFERROR(INDEX(계정매핑!$D$5:$D$504,MATCH($F2931&amp;"",계정매핑!$A$5:$A$504,0)),"미매핑"))</f>
        <v/>
      </c>
      <c r="X2931" s="9">
        <f>IF($A2931="","",$F2931&amp;"")</f>
        <v/>
      </c>
      <c r="Y2931" s="94">
        <f>IF($A2931="",0,IF(AE2931="직접",IF(AF2931="비귀속",$P2931,0),$P2931*(1-AG2931)*IFERROR(INDEX(계정대체기준!$F$20:$F$49,MATCH($N2931,계정대체기준!$A$20:$A$49,0)),1)))</f>
        <v/>
      </c>
      <c r="Z2931" s="94">
        <f>IF($A2931="",0,IF(AE2931="직접",IF(AF2931="신계약비",$P2931,0),$P2931*(1-AG2931)*IFERROR(INDEX(계정대체기준!$C$20:$C$49,MATCH($N2931,계정대체기준!$A$20:$A$49,0)),0)))</f>
        <v/>
      </c>
      <c r="AA2931" s="94">
        <f>IF($A2931="",0,IF(AE2931="직접",IF(OR(AF2931="유지비",AF2931="손해조사비"),$P2931,0),$P2931*(1-AG2931)*IFERROR(INDEX(계정대체기준!$D$20:$D$49,MATCH($N2931,계정대체기준!$A$20:$A$49,0)),0)))</f>
        <v/>
      </c>
      <c r="AB2931" s="94">
        <f>IF($A2931="",0,IF(AE2931="직접",IF(AF2931="수금비",$P2931,0),$P2931*(1-AG2931)*IFERROR(INDEX(계정대체기준!$E$20:$E$49,MATCH($N2931,계정대체기준!$A$20:$A$49,0)),0)))</f>
        <v/>
      </c>
      <c r="AC2931" s="9">
        <f>IF(AND($A2931&lt;&gt;"",M2931=설정!$C$20,Z2931&gt;0),Z2931+ROW()/1000000000,"")</f>
        <v/>
      </c>
      <c r="AD2931" s="94">
        <f>IF($A2931="",0,$P2931*AG2931)</f>
        <v/>
      </c>
      <c r="AE2931" s="64">
        <f>IF($A2931="","",IFERROR(INDEX(계정매핑!$E$5:$E$504,MATCH($F2931&amp;"",계정매핑!$A$5:$A$504,0))&amp;"","공통비"))</f>
        <v/>
      </c>
      <c r="AF2931" s="64">
        <f>IF($A2931="","",IF(AE2931="직접",IFERROR(INDEX(계정매핑!$F$5:$F$504,MATCH($F2931&amp;"",계정매핑!$A$5:$A$504,0))&amp;"","비귀속"),""))</f>
        <v/>
      </c>
      <c r="AG2931" s="96">
        <f>IF($A2931="",0,IF(AND(AE2931&lt;&gt;"직접",IFERROR(INDEX(계정매핑!$G$5:$G$504,MATCH($F2931&amp;"",계정매핑!$A$5:$A$504,0))&amp;"","")="유지비",COUNTIF(계정대체기준!$A$6:$A$15,$N2931)&gt;0),IFERROR(INDEX(계정대체기준!$E$6:$E$15,MATCH(VALUE($A2931&amp;""),계정대체기준!$D$6:$D$15,0)),0),0))</f>
        <v/>
      </c>
      <c r="AH2931" s="64">
        <f>IF($A2931="","",IF(AD2931=0,"",IF(OR(COUNTIF(계정대체기준!$A$77:$A$86,$N2931)&gt;0,ISNUMBER(MATCH($X2931,계정대체기준!$D$77:$D$86,0)),ISNUMBER(MATCH($F2931,계정대체기준!$D$77:$D$86,0))),"Y","N")))</f>
        <v/>
      </c>
    </row>
    <row r="2932">
      <c r="A2932" s="92" t="n">
        <v>2026</v>
      </c>
      <c r="B2932" s="92" t="n">
        <v>1</v>
      </c>
      <c r="C2932" s="92" t="inlineStr">
        <is>
          <t>5100000210</t>
        </is>
      </c>
      <c r="D2932" s="95" t="n">
        <v>46048</v>
      </c>
      <c r="E2932" s="92" t="inlineStr">
        <is>
          <t>KR</t>
        </is>
      </c>
      <c r="F2932" s="92" t="n">
        <v>62902000</v>
      </c>
      <c r="G2932" s="92" t="n">
        <v>1801</v>
      </c>
      <c r="H2932" s="93" t="n">
        <v>1821000</v>
      </c>
      <c r="I2932" s="92" t="inlineStr">
        <is>
          <t>1월 콜 위탁 수수료(건별)</t>
        </is>
      </c>
      <c r="J2932" s="92" t="inlineStr">
        <is>
          <t>V10016</t>
        </is>
      </c>
      <c r="K2932" s="92" t="inlineStr">
        <is>
          <t>J콜센터</t>
        </is>
      </c>
      <c r="M2932" s="9">
        <f>IF($A2932="","",VALUE($A2932&amp;"")*12+VALUE($B2932&amp;""))</f>
        <v/>
      </c>
      <c r="N2932" s="64">
        <f>IF($A2932="","",IFERROR(INDEX(부서매핑!$C$5:$C$504,MATCH($G2932&amp;"",부서매핑!$A$5:$A$504,0)),"미매핑"))</f>
        <v/>
      </c>
      <c r="O2932" s="9">
        <f>IF($A2932="","",N2932&amp;"|"&amp;$F2932)</f>
        <v/>
      </c>
      <c r="P2932" s="94">
        <f>IF($A2932="",0,$H2932*설정!$C$23)</f>
        <v/>
      </c>
      <c r="Q2932" s="64">
        <f>IF($A2932="","",IF(O2932&lt;&gt;원인분석!$C$9,"",IF(AND(M2932&gt;=원인분석!$C$10,M2932&lt;=원인분석!$C$11),"당기",IF(AND(M2932&gt;=원인분석!$C$12,M2932&lt;=원인분석!$C$13),"비교",""))))</f>
        <v/>
      </c>
      <c r="R2932" s="9">
        <f>IF(Q2932="","",$K2932&amp;"")</f>
        <v/>
      </c>
      <c r="S2932" s="9">
        <f>IF(Q2932="","",IF(MATCH(R2932,$R$5:$R$100000,0)=ROW()-4,ROW(),""))</f>
        <v/>
      </c>
      <c r="T2932" s="9">
        <f>IF(Q2932="당기",ABS(P2932)+ROW()/1000000000,"")</f>
        <v/>
      </c>
      <c r="U2932" s="9">
        <f>IF(Q2932="비교",ABS(P2932)+ROW()/1000000000,"")</f>
        <v/>
      </c>
      <c r="V2932" s="64">
        <f>IF($A2932="","",IF(COUNTIF(변동분석!$E$7:$E$506,O2932)&gt;0,"Y","N"))</f>
        <v/>
      </c>
      <c r="W2932" s="64">
        <f>IF($A2932="","",IFERROR(INDEX(계정매핑!$D$5:$D$504,MATCH($F2932&amp;"",계정매핑!$A$5:$A$504,0)),"미매핑"))</f>
        <v/>
      </c>
      <c r="X2932" s="9">
        <f>IF($A2932="","",$F2932&amp;"")</f>
        <v/>
      </c>
      <c r="Y2932" s="94">
        <f>IF($A2932="",0,IF(AE2932="직접",IF(AF2932="비귀속",$P2932,0),$P2932*(1-AG2932)*IFERROR(INDEX(계정대체기준!$F$20:$F$49,MATCH($N2932,계정대체기준!$A$20:$A$49,0)),1)))</f>
        <v/>
      </c>
      <c r="Z2932" s="94">
        <f>IF($A2932="",0,IF(AE2932="직접",IF(AF2932="신계약비",$P2932,0),$P2932*(1-AG2932)*IFERROR(INDEX(계정대체기준!$C$20:$C$49,MATCH($N2932,계정대체기준!$A$20:$A$49,0)),0)))</f>
        <v/>
      </c>
      <c r="AA2932" s="94">
        <f>IF($A2932="",0,IF(AE2932="직접",IF(OR(AF2932="유지비",AF2932="손해조사비"),$P2932,0),$P2932*(1-AG2932)*IFERROR(INDEX(계정대체기준!$D$20:$D$49,MATCH($N2932,계정대체기준!$A$20:$A$49,0)),0)))</f>
        <v/>
      </c>
      <c r="AB2932" s="94">
        <f>IF($A2932="",0,IF(AE2932="직접",IF(AF2932="수금비",$P2932,0),$P2932*(1-AG2932)*IFERROR(INDEX(계정대체기준!$E$20:$E$49,MATCH($N2932,계정대체기준!$A$20:$A$49,0)),0)))</f>
        <v/>
      </c>
      <c r="AC2932" s="9">
        <f>IF(AND($A2932&lt;&gt;"",M2932=설정!$C$20,Z2932&gt;0),Z2932+ROW()/1000000000,"")</f>
        <v/>
      </c>
      <c r="AD2932" s="94">
        <f>IF($A2932="",0,$P2932*AG2932)</f>
        <v/>
      </c>
      <c r="AE2932" s="64">
        <f>IF($A2932="","",IFERROR(INDEX(계정매핑!$E$5:$E$504,MATCH($F2932&amp;"",계정매핑!$A$5:$A$504,0))&amp;"","공통비"))</f>
        <v/>
      </c>
      <c r="AF2932" s="64">
        <f>IF($A2932="","",IF(AE2932="직접",IFERROR(INDEX(계정매핑!$F$5:$F$504,MATCH($F2932&amp;"",계정매핑!$A$5:$A$504,0))&amp;"","비귀속"),""))</f>
        <v/>
      </c>
      <c r="AG2932" s="96">
        <f>IF($A2932="",0,IF(AND(AE2932&lt;&gt;"직접",IFERROR(INDEX(계정매핑!$G$5:$G$504,MATCH($F2932&amp;"",계정매핑!$A$5:$A$504,0))&amp;"","")="유지비",COUNTIF(계정대체기준!$A$6:$A$15,$N2932)&gt;0),IFERROR(INDEX(계정대체기준!$E$6:$E$15,MATCH(VALUE($A2932&amp;""),계정대체기준!$D$6:$D$15,0)),0),0))</f>
        <v/>
      </c>
      <c r="AH2932" s="64">
        <f>IF($A2932="","",IF(AD2932=0,"",IF(OR(COUNTIF(계정대체기준!$A$77:$A$86,$N2932)&gt;0,ISNUMBER(MATCH($X2932,계정대체기준!$D$77:$D$86,0)),ISNUMBER(MATCH($F2932,계정대체기준!$D$77:$D$86,0))),"Y","N")))</f>
        <v/>
      </c>
    </row>
    <row r="2933">
      <c r="A2933" s="92" t="n">
        <v>2026</v>
      </c>
      <c r="B2933" s="92" t="n">
        <v>1</v>
      </c>
      <c r="C2933" s="92" t="inlineStr">
        <is>
          <t>5100000211</t>
        </is>
      </c>
      <c r="D2933" s="95" t="n">
        <v>46048</v>
      </c>
      <c r="E2933" s="92" t="inlineStr">
        <is>
          <t>KR</t>
        </is>
      </c>
      <c r="F2933" s="92" t="n">
        <v>63201000</v>
      </c>
      <c r="G2933" s="92" t="n">
        <v>1601</v>
      </c>
      <c r="H2933" s="93" t="n">
        <v>6221000</v>
      </c>
      <c r="I2933" s="92" t="inlineStr">
        <is>
          <t>1월 차량 유지 - D정비</t>
        </is>
      </c>
      <c r="J2933" s="92" t="inlineStr">
        <is>
          <t>V10025</t>
        </is>
      </c>
      <c r="K2933" s="92" t="inlineStr">
        <is>
          <t>D정비</t>
        </is>
      </c>
      <c r="M2933" s="9">
        <f>IF($A2933="","",VALUE($A2933&amp;"")*12+VALUE($B2933&amp;""))</f>
        <v/>
      </c>
      <c r="N2933" s="64">
        <f>IF($A2933="","",IFERROR(INDEX(부서매핑!$C$5:$C$504,MATCH($G2933&amp;"",부서매핑!$A$5:$A$504,0)),"미매핑"))</f>
        <v/>
      </c>
      <c r="O2933" s="9">
        <f>IF($A2933="","",N2933&amp;"|"&amp;$F2933)</f>
        <v/>
      </c>
      <c r="P2933" s="94">
        <f>IF($A2933="",0,$H2933*설정!$C$23)</f>
        <v/>
      </c>
      <c r="Q2933" s="64">
        <f>IF($A2933="","",IF(O2933&lt;&gt;원인분석!$C$9,"",IF(AND(M2933&gt;=원인분석!$C$10,M2933&lt;=원인분석!$C$11),"당기",IF(AND(M2933&gt;=원인분석!$C$12,M2933&lt;=원인분석!$C$13),"비교",""))))</f>
        <v/>
      </c>
      <c r="R2933" s="9">
        <f>IF(Q2933="","",$K2933&amp;"")</f>
        <v/>
      </c>
      <c r="S2933" s="9">
        <f>IF(Q2933="","",IF(MATCH(R2933,$R$5:$R$100000,0)=ROW()-4,ROW(),""))</f>
        <v/>
      </c>
      <c r="T2933" s="9">
        <f>IF(Q2933="당기",ABS(P2933)+ROW()/1000000000,"")</f>
        <v/>
      </c>
      <c r="U2933" s="9">
        <f>IF(Q2933="비교",ABS(P2933)+ROW()/1000000000,"")</f>
        <v/>
      </c>
      <c r="V2933" s="64">
        <f>IF($A2933="","",IF(COUNTIF(변동분석!$E$7:$E$506,O2933)&gt;0,"Y","N"))</f>
        <v/>
      </c>
      <c r="W2933" s="64">
        <f>IF($A2933="","",IFERROR(INDEX(계정매핑!$D$5:$D$504,MATCH($F2933&amp;"",계정매핑!$A$5:$A$504,0)),"미매핑"))</f>
        <v/>
      </c>
      <c r="X2933" s="9">
        <f>IF($A2933="","",$F2933&amp;"")</f>
        <v/>
      </c>
      <c r="Y2933" s="94">
        <f>IF($A2933="",0,IF(AE2933="직접",IF(AF2933="비귀속",$P2933,0),$P2933*(1-AG2933)*IFERROR(INDEX(계정대체기준!$F$20:$F$49,MATCH($N2933,계정대체기준!$A$20:$A$49,0)),1)))</f>
        <v/>
      </c>
      <c r="Z2933" s="94">
        <f>IF($A2933="",0,IF(AE2933="직접",IF(AF2933="신계약비",$P2933,0),$P2933*(1-AG2933)*IFERROR(INDEX(계정대체기준!$C$20:$C$49,MATCH($N2933,계정대체기준!$A$20:$A$49,0)),0)))</f>
        <v/>
      </c>
      <c r="AA2933" s="94">
        <f>IF($A2933="",0,IF(AE2933="직접",IF(OR(AF2933="유지비",AF2933="손해조사비"),$P2933,0),$P2933*(1-AG2933)*IFERROR(INDEX(계정대체기준!$D$20:$D$49,MATCH($N2933,계정대체기준!$A$20:$A$49,0)),0)))</f>
        <v/>
      </c>
      <c r="AB2933" s="94">
        <f>IF($A2933="",0,IF(AE2933="직접",IF(AF2933="수금비",$P2933,0),$P2933*(1-AG2933)*IFERROR(INDEX(계정대체기준!$E$20:$E$49,MATCH($N2933,계정대체기준!$A$20:$A$49,0)),0)))</f>
        <v/>
      </c>
      <c r="AC2933" s="9">
        <f>IF(AND($A2933&lt;&gt;"",M2933=설정!$C$20,Z2933&gt;0),Z2933+ROW()/1000000000,"")</f>
        <v/>
      </c>
      <c r="AD2933" s="94">
        <f>IF($A2933="",0,$P2933*AG2933)</f>
        <v/>
      </c>
      <c r="AE2933" s="64">
        <f>IF($A2933="","",IFERROR(INDEX(계정매핑!$E$5:$E$504,MATCH($F2933&amp;"",계정매핑!$A$5:$A$504,0))&amp;"","공통비"))</f>
        <v/>
      </c>
      <c r="AF2933" s="64">
        <f>IF($A2933="","",IF(AE2933="직접",IFERROR(INDEX(계정매핑!$F$5:$F$504,MATCH($F2933&amp;"",계정매핑!$A$5:$A$504,0))&amp;"","비귀속"),""))</f>
        <v/>
      </c>
      <c r="AG2933" s="96">
        <f>IF($A2933="",0,IF(AND(AE2933&lt;&gt;"직접",IFERROR(INDEX(계정매핑!$G$5:$G$504,MATCH($F2933&amp;"",계정매핑!$A$5:$A$504,0))&amp;"","")="유지비",COUNTIF(계정대체기준!$A$6:$A$15,$N2933)&gt;0),IFERROR(INDEX(계정대체기준!$E$6:$E$15,MATCH(VALUE($A2933&amp;""),계정대체기준!$D$6:$D$15,0)),0),0))</f>
        <v/>
      </c>
      <c r="AH2933" s="64">
        <f>IF($A2933="","",IF(AD2933=0,"",IF(OR(COUNTIF(계정대체기준!$A$77:$A$86,$N2933)&gt;0,ISNUMBER(MATCH($X2933,계정대체기준!$D$77:$D$86,0)),ISNUMBER(MATCH($F2933,계정대체기준!$D$77:$D$86,0))),"Y","N")))</f>
        <v/>
      </c>
    </row>
    <row r="2934">
      <c r="A2934" s="92" t="n">
        <v>2026</v>
      </c>
      <c r="B2934" s="92" t="n">
        <v>1</v>
      </c>
      <c r="C2934" s="92" t="inlineStr">
        <is>
          <t>5100000212</t>
        </is>
      </c>
      <c r="D2934" s="95" t="n">
        <v>46048</v>
      </c>
      <c r="E2934" s="92" t="inlineStr">
        <is>
          <t>KR</t>
        </is>
      </c>
      <c r="F2934" s="92" t="n">
        <v>63201000</v>
      </c>
      <c r="G2934" s="92" t="n">
        <v>1601</v>
      </c>
      <c r="H2934" s="93" t="n">
        <v>2036000</v>
      </c>
      <c r="I2934" s="92" t="inlineStr">
        <is>
          <t>1월 차량 유지 - H에너지</t>
        </is>
      </c>
      <c r="J2934" s="92" t="inlineStr">
        <is>
          <t>V10030</t>
        </is>
      </c>
      <c r="K2934" s="92" t="inlineStr">
        <is>
          <t>H에너지</t>
        </is>
      </c>
      <c r="M2934" s="9">
        <f>IF($A2934="","",VALUE($A2934&amp;"")*12+VALUE($B2934&amp;""))</f>
        <v/>
      </c>
      <c r="N2934" s="64">
        <f>IF($A2934="","",IFERROR(INDEX(부서매핑!$C$5:$C$504,MATCH($G2934&amp;"",부서매핑!$A$5:$A$504,0)),"미매핑"))</f>
        <v/>
      </c>
      <c r="O2934" s="9">
        <f>IF($A2934="","",N2934&amp;"|"&amp;$F2934)</f>
        <v/>
      </c>
      <c r="P2934" s="94">
        <f>IF($A2934="",0,$H2934*설정!$C$23)</f>
        <v/>
      </c>
      <c r="Q2934" s="64">
        <f>IF($A2934="","",IF(O2934&lt;&gt;원인분석!$C$9,"",IF(AND(M2934&gt;=원인분석!$C$10,M2934&lt;=원인분석!$C$11),"당기",IF(AND(M2934&gt;=원인분석!$C$12,M2934&lt;=원인분석!$C$13),"비교",""))))</f>
        <v/>
      </c>
      <c r="R2934" s="9">
        <f>IF(Q2934="","",$K2934&amp;"")</f>
        <v/>
      </c>
      <c r="S2934" s="9">
        <f>IF(Q2934="","",IF(MATCH(R2934,$R$5:$R$100000,0)=ROW()-4,ROW(),""))</f>
        <v/>
      </c>
      <c r="T2934" s="9">
        <f>IF(Q2934="당기",ABS(P2934)+ROW()/1000000000,"")</f>
        <v/>
      </c>
      <c r="U2934" s="9">
        <f>IF(Q2934="비교",ABS(P2934)+ROW()/1000000000,"")</f>
        <v/>
      </c>
      <c r="V2934" s="64">
        <f>IF($A2934="","",IF(COUNTIF(변동분석!$E$7:$E$506,O2934)&gt;0,"Y","N"))</f>
        <v/>
      </c>
      <c r="W2934" s="64">
        <f>IF($A2934="","",IFERROR(INDEX(계정매핑!$D$5:$D$504,MATCH($F2934&amp;"",계정매핑!$A$5:$A$504,0)),"미매핑"))</f>
        <v/>
      </c>
      <c r="X2934" s="9">
        <f>IF($A2934="","",$F2934&amp;"")</f>
        <v/>
      </c>
      <c r="Y2934" s="94">
        <f>IF($A2934="",0,IF(AE2934="직접",IF(AF2934="비귀속",$P2934,0),$P2934*(1-AG2934)*IFERROR(INDEX(계정대체기준!$F$20:$F$49,MATCH($N2934,계정대체기준!$A$20:$A$49,0)),1)))</f>
        <v/>
      </c>
      <c r="Z2934" s="94">
        <f>IF($A2934="",0,IF(AE2934="직접",IF(AF2934="신계약비",$P2934,0),$P2934*(1-AG2934)*IFERROR(INDEX(계정대체기준!$C$20:$C$49,MATCH($N2934,계정대체기준!$A$20:$A$49,0)),0)))</f>
        <v/>
      </c>
      <c r="AA2934" s="94">
        <f>IF($A2934="",0,IF(AE2934="직접",IF(OR(AF2934="유지비",AF2934="손해조사비"),$P2934,0),$P2934*(1-AG2934)*IFERROR(INDEX(계정대체기준!$D$20:$D$49,MATCH($N2934,계정대체기준!$A$20:$A$49,0)),0)))</f>
        <v/>
      </c>
      <c r="AB2934" s="94">
        <f>IF($A2934="",0,IF(AE2934="직접",IF(AF2934="수금비",$P2934,0),$P2934*(1-AG2934)*IFERROR(INDEX(계정대체기준!$E$20:$E$49,MATCH($N2934,계정대체기준!$A$20:$A$49,0)),0)))</f>
        <v/>
      </c>
      <c r="AC2934" s="9">
        <f>IF(AND($A2934&lt;&gt;"",M2934=설정!$C$20,Z2934&gt;0),Z2934+ROW()/1000000000,"")</f>
        <v/>
      </c>
      <c r="AD2934" s="94">
        <f>IF($A2934="",0,$P2934*AG2934)</f>
        <v/>
      </c>
      <c r="AE2934" s="64">
        <f>IF($A2934="","",IFERROR(INDEX(계정매핑!$E$5:$E$504,MATCH($F2934&amp;"",계정매핑!$A$5:$A$504,0))&amp;"","공통비"))</f>
        <v/>
      </c>
      <c r="AF2934" s="64">
        <f>IF($A2934="","",IF(AE2934="직접",IFERROR(INDEX(계정매핑!$F$5:$F$504,MATCH($F2934&amp;"",계정매핑!$A$5:$A$504,0))&amp;"","비귀속"),""))</f>
        <v/>
      </c>
      <c r="AG2934" s="96">
        <f>IF($A2934="",0,IF(AND(AE2934&lt;&gt;"직접",IFERROR(INDEX(계정매핑!$G$5:$G$504,MATCH($F2934&amp;"",계정매핑!$A$5:$A$504,0))&amp;"","")="유지비",COUNTIF(계정대체기준!$A$6:$A$15,$N2934)&gt;0),IFERROR(INDEX(계정대체기준!$E$6:$E$15,MATCH(VALUE($A2934&amp;""),계정대체기준!$D$6:$D$15,0)),0),0))</f>
        <v/>
      </c>
      <c r="AH2934" s="64">
        <f>IF($A2934="","",IF(AD2934=0,"",IF(OR(COUNTIF(계정대체기준!$A$77:$A$86,$N2934)&gt;0,ISNUMBER(MATCH($X2934,계정대체기준!$D$77:$D$86,0)),ISNUMBER(MATCH($F2934,계정대체기준!$D$77:$D$86,0))),"Y","N")))</f>
        <v/>
      </c>
    </row>
    <row r="2935">
      <c r="A2935" s="92" t="n">
        <v>2026</v>
      </c>
      <c r="B2935" s="92" t="n">
        <v>1</v>
      </c>
      <c r="C2935" s="92" t="inlineStr">
        <is>
          <t>5100000213</t>
        </is>
      </c>
      <c r="D2935" s="95" t="n">
        <v>46048</v>
      </c>
      <c r="E2935" s="92" t="inlineStr">
        <is>
          <t>KR</t>
        </is>
      </c>
      <c r="F2935" s="92" t="n">
        <v>63501000</v>
      </c>
      <c r="G2935" s="92" t="n">
        <v>1902</v>
      </c>
      <c r="H2935" s="93" t="n">
        <v>323294000</v>
      </c>
      <c r="I2935" s="92" t="inlineStr">
        <is>
          <t>1월 모집수수료 - AA보험대리점</t>
        </is>
      </c>
      <c r="J2935" s="92" t="inlineStr">
        <is>
          <t>V10034</t>
        </is>
      </c>
      <c r="K2935" s="92" t="inlineStr">
        <is>
          <t>AA보험대리점</t>
        </is>
      </c>
      <c r="M2935" s="9">
        <f>IF($A2935="","",VALUE($A2935&amp;"")*12+VALUE($B2935&amp;""))</f>
        <v/>
      </c>
      <c r="N2935" s="64">
        <f>IF($A2935="","",IFERROR(INDEX(부서매핑!$C$5:$C$504,MATCH($G2935&amp;"",부서매핑!$A$5:$A$504,0)),"미매핑"))</f>
        <v/>
      </c>
      <c r="O2935" s="9">
        <f>IF($A2935="","",N2935&amp;"|"&amp;$F2935)</f>
        <v/>
      </c>
      <c r="P2935" s="94">
        <f>IF($A2935="",0,$H2935*설정!$C$23)</f>
        <v/>
      </c>
      <c r="Q2935" s="64">
        <f>IF($A2935="","",IF(O2935&lt;&gt;원인분석!$C$9,"",IF(AND(M2935&gt;=원인분석!$C$10,M2935&lt;=원인분석!$C$11),"당기",IF(AND(M2935&gt;=원인분석!$C$12,M2935&lt;=원인분석!$C$13),"비교",""))))</f>
        <v/>
      </c>
      <c r="R2935" s="9">
        <f>IF(Q2935="","",$K2935&amp;"")</f>
        <v/>
      </c>
      <c r="S2935" s="9">
        <f>IF(Q2935="","",IF(MATCH(R2935,$R$5:$R$100000,0)=ROW()-4,ROW(),""))</f>
        <v/>
      </c>
      <c r="T2935" s="9">
        <f>IF(Q2935="당기",ABS(P2935)+ROW()/1000000000,"")</f>
        <v/>
      </c>
      <c r="U2935" s="9">
        <f>IF(Q2935="비교",ABS(P2935)+ROW()/1000000000,"")</f>
        <v/>
      </c>
      <c r="V2935" s="64">
        <f>IF($A2935="","",IF(COUNTIF(변동분석!$E$7:$E$506,O2935)&gt;0,"Y","N"))</f>
        <v/>
      </c>
      <c r="W2935" s="64">
        <f>IF($A2935="","",IFERROR(INDEX(계정매핑!$D$5:$D$504,MATCH($F2935&amp;"",계정매핑!$A$5:$A$504,0)),"미매핑"))</f>
        <v/>
      </c>
      <c r="X2935" s="9">
        <f>IF($A2935="","",$F2935&amp;"")</f>
        <v/>
      </c>
      <c r="Y2935" s="94">
        <f>IF($A2935="",0,IF(AE2935="직접",IF(AF2935="비귀속",$P2935,0),$P2935*(1-AG2935)*IFERROR(INDEX(계정대체기준!$F$20:$F$49,MATCH($N2935,계정대체기준!$A$20:$A$49,0)),1)))</f>
        <v/>
      </c>
      <c r="Z2935" s="94">
        <f>IF($A2935="",0,IF(AE2935="직접",IF(AF2935="신계약비",$P2935,0),$P2935*(1-AG2935)*IFERROR(INDEX(계정대체기준!$C$20:$C$49,MATCH($N2935,계정대체기준!$A$20:$A$49,0)),0)))</f>
        <v/>
      </c>
      <c r="AA2935" s="94">
        <f>IF($A2935="",0,IF(AE2935="직접",IF(OR(AF2935="유지비",AF2935="손해조사비"),$P2935,0),$P2935*(1-AG2935)*IFERROR(INDEX(계정대체기준!$D$20:$D$49,MATCH($N2935,계정대체기준!$A$20:$A$49,0)),0)))</f>
        <v/>
      </c>
      <c r="AB2935" s="94">
        <f>IF($A2935="",0,IF(AE2935="직접",IF(AF2935="수금비",$P2935,0),$P2935*(1-AG2935)*IFERROR(INDEX(계정대체기준!$E$20:$E$49,MATCH($N2935,계정대체기준!$A$20:$A$49,0)),0)))</f>
        <v/>
      </c>
      <c r="AC2935" s="9">
        <f>IF(AND($A2935&lt;&gt;"",M2935=설정!$C$20,Z2935&gt;0),Z2935+ROW()/1000000000,"")</f>
        <v/>
      </c>
      <c r="AD2935" s="94">
        <f>IF($A2935="",0,$P2935*AG2935)</f>
        <v/>
      </c>
      <c r="AE2935" s="64">
        <f>IF($A2935="","",IFERROR(INDEX(계정매핑!$E$5:$E$504,MATCH($F2935&amp;"",계정매핑!$A$5:$A$504,0))&amp;"","공통비"))</f>
        <v/>
      </c>
      <c r="AF2935" s="64">
        <f>IF($A2935="","",IF(AE2935="직접",IFERROR(INDEX(계정매핑!$F$5:$F$504,MATCH($F2935&amp;"",계정매핑!$A$5:$A$504,0))&amp;"","비귀속"),""))</f>
        <v/>
      </c>
      <c r="AG2935" s="96">
        <f>IF($A2935="",0,IF(AND(AE2935&lt;&gt;"직접",IFERROR(INDEX(계정매핑!$G$5:$G$504,MATCH($F2935&amp;"",계정매핑!$A$5:$A$504,0))&amp;"","")="유지비",COUNTIF(계정대체기준!$A$6:$A$15,$N2935)&gt;0),IFERROR(INDEX(계정대체기준!$E$6:$E$15,MATCH(VALUE($A2935&amp;""),계정대체기준!$D$6:$D$15,0)),0),0))</f>
        <v/>
      </c>
      <c r="AH2935" s="64">
        <f>IF($A2935="","",IF(AD2935=0,"",IF(OR(COUNTIF(계정대체기준!$A$77:$A$86,$N2935)&gt;0,ISNUMBER(MATCH($X2935,계정대체기준!$D$77:$D$86,0)),ISNUMBER(MATCH($F2935,계정대체기준!$D$77:$D$86,0))),"Y","N")))</f>
        <v/>
      </c>
    </row>
    <row r="2936">
      <c r="A2936" s="92" t="n">
        <v>2026</v>
      </c>
      <c r="B2936" s="92" t="n">
        <v>1</v>
      </c>
      <c r="C2936" s="92" t="inlineStr">
        <is>
          <t>5100000214</t>
        </is>
      </c>
      <c r="D2936" s="95" t="n">
        <v>46049</v>
      </c>
      <c r="E2936" s="92" t="inlineStr">
        <is>
          <t>KR</t>
        </is>
      </c>
      <c r="F2936" s="92" t="n">
        <v>62101000</v>
      </c>
      <c r="G2936" s="92" t="n">
        <v>1951</v>
      </c>
      <c r="H2936" s="93" t="n">
        <v>437000</v>
      </c>
      <c r="I2936" s="92" t="inlineStr">
        <is>
          <t>1월 국내출장 - (법인카드)</t>
        </is>
      </c>
      <c r="J2936" s="92" t="inlineStr">
        <is>
          <t>V10010</t>
        </is>
      </c>
      <c r="K2936" s="92" t="inlineStr">
        <is>
          <t>(법인카드)</t>
        </is>
      </c>
      <c r="M2936" s="9">
        <f>IF($A2936="","",VALUE($A2936&amp;"")*12+VALUE($B2936&amp;""))</f>
        <v/>
      </c>
      <c r="N2936" s="64">
        <f>IF($A2936="","",IFERROR(INDEX(부서매핑!$C$5:$C$504,MATCH($G2936&amp;"",부서매핑!$A$5:$A$504,0)),"미매핑"))</f>
        <v/>
      </c>
      <c r="O2936" s="9">
        <f>IF($A2936="","",N2936&amp;"|"&amp;$F2936)</f>
        <v/>
      </c>
      <c r="P2936" s="94">
        <f>IF($A2936="",0,$H2936*설정!$C$23)</f>
        <v/>
      </c>
      <c r="Q2936" s="64">
        <f>IF($A2936="","",IF(O2936&lt;&gt;원인분석!$C$9,"",IF(AND(M2936&gt;=원인분석!$C$10,M2936&lt;=원인분석!$C$11),"당기",IF(AND(M2936&gt;=원인분석!$C$12,M2936&lt;=원인분석!$C$13),"비교",""))))</f>
        <v/>
      </c>
      <c r="R2936" s="9">
        <f>IF(Q2936="","",$K2936&amp;"")</f>
        <v/>
      </c>
      <c r="S2936" s="9">
        <f>IF(Q2936="","",IF(MATCH(R2936,$R$5:$R$100000,0)=ROW()-4,ROW(),""))</f>
        <v/>
      </c>
      <c r="T2936" s="9">
        <f>IF(Q2936="당기",ABS(P2936)+ROW()/1000000000,"")</f>
        <v/>
      </c>
      <c r="U2936" s="9">
        <f>IF(Q2936="비교",ABS(P2936)+ROW()/1000000000,"")</f>
        <v/>
      </c>
      <c r="V2936" s="64">
        <f>IF($A2936="","",IF(COUNTIF(변동분석!$E$7:$E$506,O2936)&gt;0,"Y","N"))</f>
        <v/>
      </c>
      <c r="W2936" s="64">
        <f>IF($A2936="","",IFERROR(INDEX(계정매핑!$D$5:$D$504,MATCH($F2936&amp;"",계정매핑!$A$5:$A$504,0)),"미매핑"))</f>
        <v/>
      </c>
      <c r="X2936" s="9">
        <f>IF($A2936="","",$F2936&amp;"")</f>
        <v/>
      </c>
      <c r="Y2936" s="94">
        <f>IF($A2936="",0,IF(AE2936="직접",IF(AF2936="비귀속",$P2936,0),$P2936*(1-AG2936)*IFERROR(INDEX(계정대체기준!$F$20:$F$49,MATCH($N2936,계정대체기준!$A$20:$A$49,0)),1)))</f>
        <v/>
      </c>
      <c r="Z2936" s="94">
        <f>IF($A2936="",0,IF(AE2936="직접",IF(AF2936="신계약비",$P2936,0),$P2936*(1-AG2936)*IFERROR(INDEX(계정대체기준!$C$20:$C$49,MATCH($N2936,계정대체기준!$A$20:$A$49,0)),0)))</f>
        <v/>
      </c>
      <c r="AA2936" s="94">
        <f>IF($A2936="",0,IF(AE2936="직접",IF(OR(AF2936="유지비",AF2936="손해조사비"),$P2936,0),$P2936*(1-AG2936)*IFERROR(INDEX(계정대체기준!$D$20:$D$49,MATCH($N2936,계정대체기준!$A$20:$A$49,0)),0)))</f>
        <v/>
      </c>
      <c r="AB2936" s="94">
        <f>IF($A2936="",0,IF(AE2936="직접",IF(AF2936="수금비",$P2936,0),$P2936*(1-AG2936)*IFERROR(INDEX(계정대체기준!$E$20:$E$49,MATCH($N2936,계정대체기준!$A$20:$A$49,0)),0)))</f>
        <v/>
      </c>
      <c r="AC2936" s="9">
        <f>IF(AND($A2936&lt;&gt;"",M2936=설정!$C$20,Z2936&gt;0),Z2936+ROW()/1000000000,"")</f>
        <v/>
      </c>
      <c r="AD2936" s="94">
        <f>IF($A2936="",0,$P2936*AG2936)</f>
        <v/>
      </c>
      <c r="AE2936" s="64">
        <f>IF($A2936="","",IFERROR(INDEX(계정매핑!$E$5:$E$504,MATCH($F2936&amp;"",계정매핑!$A$5:$A$504,0))&amp;"","공통비"))</f>
        <v/>
      </c>
      <c r="AF2936" s="64">
        <f>IF($A2936="","",IF(AE2936="직접",IFERROR(INDEX(계정매핑!$F$5:$F$504,MATCH($F2936&amp;"",계정매핑!$A$5:$A$504,0))&amp;"","비귀속"),""))</f>
        <v/>
      </c>
      <c r="AG2936" s="96">
        <f>IF($A2936="",0,IF(AND(AE2936&lt;&gt;"직접",IFERROR(INDEX(계정매핑!$G$5:$G$504,MATCH($F2936&amp;"",계정매핑!$A$5:$A$504,0))&amp;"","")="유지비",COUNTIF(계정대체기준!$A$6:$A$15,$N2936)&gt;0),IFERROR(INDEX(계정대체기준!$E$6:$E$15,MATCH(VALUE($A2936&amp;""),계정대체기준!$D$6:$D$15,0)),0),0))</f>
        <v/>
      </c>
      <c r="AH2936" s="64">
        <f>IF($A2936="","",IF(AD2936=0,"",IF(OR(COUNTIF(계정대체기준!$A$77:$A$86,$N2936)&gt;0,ISNUMBER(MATCH($X2936,계정대체기준!$D$77:$D$86,0)),ISNUMBER(MATCH($F2936,계정대체기준!$D$77:$D$86,0))),"Y","N")))</f>
        <v/>
      </c>
    </row>
    <row r="2937">
      <c r="A2937" s="92" t="n">
        <v>2026</v>
      </c>
      <c r="B2937" s="92" t="n">
        <v>1</v>
      </c>
      <c r="C2937" s="92" t="inlineStr">
        <is>
          <t>5100000215</t>
        </is>
      </c>
      <c r="D2937" s="95" t="n">
        <v>46049</v>
      </c>
      <c r="E2937" s="92" t="inlineStr">
        <is>
          <t>KR</t>
        </is>
      </c>
      <c r="F2937" s="92" t="n">
        <v>62102000</v>
      </c>
      <c r="G2937" s="92" t="n">
        <v>1401</v>
      </c>
      <c r="H2937" s="93" t="n">
        <v>118000</v>
      </c>
      <c r="I2937" s="92" t="inlineStr">
        <is>
          <t>1월 해외출장 - M항공</t>
        </is>
      </c>
      <c r="J2937" s="92" t="inlineStr">
        <is>
          <t>V10001</t>
        </is>
      </c>
      <c r="K2937" s="92" t="inlineStr">
        <is>
          <t>M항공</t>
        </is>
      </c>
      <c r="M2937" s="9">
        <f>IF($A2937="","",VALUE($A2937&amp;"")*12+VALUE($B2937&amp;""))</f>
        <v/>
      </c>
      <c r="N2937" s="64">
        <f>IF($A2937="","",IFERROR(INDEX(부서매핑!$C$5:$C$504,MATCH($G2937&amp;"",부서매핑!$A$5:$A$504,0)),"미매핑"))</f>
        <v/>
      </c>
      <c r="O2937" s="9">
        <f>IF($A2937="","",N2937&amp;"|"&amp;$F2937)</f>
        <v/>
      </c>
      <c r="P2937" s="94">
        <f>IF($A2937="",0,$H2937*설정!$C$23)</f>
        <v/>
      </c>
      <c r="Q2937" s="64">
        <f>IF($A2937="","",IF(O2937&lt;&gt;원인분석!$C$9,"",IF(AND(M2937&gt;=원인분석!$C$10,M2937&lt;=원인분석!$C$11),"당기",IF(AND(M2937&gt;=원인분석!$C$12,M2937&lt;=원인분석!$C$13),"비교",""))))</f>
        <v/>
      </c>
      <c r="R2937" s="9">
        <f>IF(Q2937="","",$K2937&amp;"")</f>
        <v/>
      </c>
      <c r="S2937" s="9">
        <f>IF(Q2937="","",IF(MATCH(R2937,$R$5:$R$100000,0)=ROW()-4,ROW(),""))</f>
        <v/>
      </c>
      <c r="T2937" s="9">
        <f>IF(Q2937="당기",ABS(P2937)+ROW()/1000000000,"")</f>
        <v/>
      </c>
      <c r="U2937" s="9">
        <f>IF(Q2937="비교",ABS(P2937)+ROW()/1000000000,"")</f>
        <v/>
      </c>
      <c r="V2937" s="64">
        <f>IF($A2937="","",IF(COUNTIF(변동분석!$E$7:$E$506,O2937)&gt;0,"Y","N"))</f>
        <v/>
      </c>
      <c r="W2937" s="64">
        <f>IF($A2937="","",IFERROR(INDEX(계정매핑!$D$5:$D$504,MATCH($F2937&amp;"",계정매핑!$A$5:$A$504,0)),"미매핑"))</f>
        <v/>
      </c>
      <c r="X2937" s="9">
        <f>IF($A2937="","",$F2937&amp;"")</f>
        <v/>
      </c>
      <c r="Y2937" s="94">
        <f>IF($A2937="",0,IF(AE2937="직접",IF(AF2937="비귀속",$P2937,0),$P2937*(1-AG2937)*IFERROR(INDEX(계정대체기준!$F$20:$F$49,MATCH($N2937,계정대체기준!$A$20:$A$49,0)),1)))</f>
        <v/>
      </c>
      <c r="Z2937" s="94">
        <f>IF($A2937="",0,IF(AE2937="직접",IF(AF2937="신계약비",$P2937,0),$P2937*(1-AG2937)*IFERROR(INDEX(계정대체기준!$C$20:$C$49,MATCH($N2937,계정대체기준!$A$20:$A$49,0)),0)))</f>
        <v/>
      </c>
      <c r="AA2937" s="94">
        <f>IF($A2937="",0,IF(AE2937="직접",IF(OR(AF2937="유지비",AF2937="손해조사비"),$P2937,0),$P2937*(1-AG2937)*IFERROR(INDEX(계정대체기준!$D$20:$D$49,MATCH($N2937,계정대체기준!$A$20:$A$49,0)),0)))</f>
        <v/>
      </c>
      <c r="AB2937" s="94">
        <f>IF($A2937="",0,IF(AE2937="직접",IF(AF2937="수금비",$P2937,0),$P2937*(1-AG2937)*IFERROR(INDEX(계정대체기준!$E$20:$E$49,MATCH($N2937,계정대체기준!$A$20:$A$49,0)),0)))</f>
        <v/>
      </c>
      <c r="AC2937" s="9">
        <f>IF(AND($A2937&lt;&gt;"",M2937=설정!$C$20,Z2937&gt;0),Z2937+ROW()/1000000000,"")</f>
        <v/>
      </c>
      <c r="AD2937" s="94">
        <f>IF($A2937="",0,$P2937*AG2937)</f>
        <v/>
      </c>
      <c r="AE2937" s="64">
        <f>IF($A2937="","",IFERROR(INDEX(계정매핑!$E$5:$E$504,MATCH($F2937&amp;"",계정매핑!$A$5:$A$504,0))&amp;"","공통비"))</f>
        <v/>
      </c>
      <c r="AF2937" s="64">
        <f>IF($A2937="","",IF(AE2937="직접",IFERROR(INDEX(계정매핑!$F$5:$F$504,MATCH($F2937&amp;"",계정매핑!$A$5:$A$504,0))&amp;"","비귀속"),""))</f>
        <v/>
      </c>
      <c r="AG2937" s="96">
        <f>IF($A2937="",0,IF(AND(AE2937&lt;&gt;"직접",IFERROR(INDEX(계정매핑!$G$5:$G$504,MATCH($F2937&amp;"",계정매핑!$A$5:$A$504,0))&amp;"","")="유지비",COUNTIF(계정대체기준!$A$6:$A$15,$N2937)&gt;0),IFERROR(INDEX(계정대체기준!$E$6:$E$15,MATCH(VALUE($A2937&amp;""),계정대체기준!$D$6:$D$15,0)),0),0))</f>
        <v/>
      </c>
      <c r="AH2937" s="64">
        <f>IF($A2937="","",IF(AD2937=0,"",IF(OR(COUNTIF(계정대체기준!$A$77:$A$86,$N2937)&gt;0,ISNUMBER(MATCH($X2937,계정대체기준!$D$77:$D$86,0)),ISNUMBER(MATCH($F2937,계정대체기준!$D$77:$D$86,0))),"Y","N")))</f>
        <v/>
      </c>
    </row>
    <row r="2938">
      <c r="A2938" s="92" t="n">
        <v>2026</v>
      </c>
      <c r="B2938" s="92" t="n">
        <v>1</v>
      </c>
      <c r="C2938" s="92" t="inlineStr">
        <is>
          <t>5100000216</t>
        </is>
      </c>
      <c r="D2938" s="95" t="n">
        <v>46049</v>
      </c>
      <c r="E2938" s="92" t="inlineStr">
        <is>
          <t>KR</t>
        </is>
      </c>
      <c r="F2938" s="92" t="n">
        <v>62301000</v>
      </c>
      <c r="G2938" s="92" t="n">
        <v>1501</v>
      </c>
      <c r="H2938" s="93" t="n">
        <v>367000</v>
      </c>
      <c r="I2938" s="92" t="inlineStr">
        <is>
          <t>1월 소모품 구입 - R문구</t>
        </is>
      </c>
      <c r="J2938" s="92" t="inlineStr">
        <is>
          <t>V10022</t>
        </is>
      </c>
      <c r="K2938" s="92" t="inlineStr">
        <is>
          <t>R문구</t>
        </is>
      </c>
      <c r="M2938" s="9">
        <f>IF($A2938="","",VALUE($A2938&amp;"")*12+VALUE($B2938&amp;""))</f>
        <v/>
      </c>
      <c r="N2938" s="64">
        <f>IF($A2938="","",IFERROR(INDEX(부서매핑!$C$5:$C$504,MATCH($G2938&amp;"",부서매핑!$A$5:$A$504,0)),"미매핑"))</f>
        <v/>
      </c>
      <c r="O2938" s="9">
        <f>IF($A2938="","",N2938&amp;"|"&amp;$F2938)</f>
        <v/>
      </c>
      <c r="P2938" s="94">
        <f>IF($A2938="",0,$H2938*설정!$C$23)</f>
        <v/>
      </c>
      <c r="Q2938" s="64">
        <f>IF($A2938="","",IF(O2938&lt;&gt;원인분석!$C$9,"",IF(AND(M2938&gt;=원인분석!$C$10,M2938&lt;=원인분석!$C$11),"당기",IF(AND(M2938&gt;=원인분석!$C$12,M2938&lt;=원인분석!$C$13),"비교",""))))</f>
        <v/>
      </c>
      <c r="R2938" s="9">
        <f>IF(Q2938="","",$K2938&amp;"")</f>
        <v/>
      </c>
      <c r="S2938" s="9">
        <f>IF(Q2938="","",IF(MATCH(R2938,$R$5:$R$100000,0)=ROW()-4,ROW(),""))</f>
        <v/>
      </c>
      <c r="T2938" s="9">
        <f>IF(Q2938="당기",ABS(P2938)+ROW()/1000000000,"")</f>
        <v/>
      </c>
      <c r="U2938" s="9">
        <f>IF(Q2938="비교",ABS(P2938)+ROW()/1000000000,"")</f>
        <v/>
      </c>
      <c r="V2938" s="64">
        <f>IF($A2938="","",IF(COUNTIF(변동분석!$E$7:$E$506,O2938)&gt;0,"Y","N"))</f>
        <v/>
      </c>
      <c r="W2938" s="64">
        <f>IF($A2938="","",IFERROR(INDEX(계정매핑!$D$5:$D$504,MATCH($F2938&amp;"",계정매핑!$A$5:$A$504,0)),"미매핑"))</f>
        <v/>
      </c>
      <c r="X2938" s="9">
        <f>IF($A2938="","",$F2938&amp;"")</f>
        <v/>
      </c>
      <c r="Y2938" s="94">
        <f>IF($A2938="",0,IF(AE2938="직접",IF(AF2938="비귀속",$P2938,0),$P2938*(1-AG2938)*IFERROR(INDEX(계정대체기준!$F$20:$F$49,MATCH($N2938,계정대체기준!$A$20:$A$49,0)),1)))</f>
        <v/>
      </c>
      <c r="Z2938" s="94">
        <f>IF($A2938="",0,IF(AE2938="직접",IF(AF2938="신계약비",$P2938,0),$P2938*(1-AG2938)*IFERROR(INDEX(계정대체기준!$C$20:$C$49,MATCH($N2938,계정대체기준!$A$20:$A$49,0)),0)))</f>
        <v/>
      </c>
      <c r="AA2938" s="94">
        <f>IF($A2938="",0,IF(AE2938="직접",IF(OR(AF2938="유지비",AF2938="손해조사비"),$P2938,0),$P2938*(1-AG2938)*IFERROR(INDEX(계정대체기준!$D$20:$D$49,MATCH($N2938,계정대체기준!$A$20:$A$49,0)),0)))</f>
        <v/>
      </c>
      <c r="AB2938" s="94">
        <f>IF($A2938="",0,IF(AE2938="직접",IF(AF2938="수금비",$P2938,0),$P2938*(1-AG2938)*IFERROR(INDEX(계정대체기준!$E$20:$E$49,MATCH($N2938,계정대체기준!$A$20:$A$49,0)),0)))</f>
        <v/>
      </c>
      <c r="AC2938" s="9">
        <f>IF(AND($A2938&lt;&gt;"",M2938=설정!$C$20,Z2938&gt;0),Z2938+ROW()/1000000000,"")</f>
        <v/>
      </c>
      <c r="AD2938" s="94">
        <f>IF($A2938="",0,$P2938*AG2938)</f>
        <v/>
      </c>
      <c r="AE2938" s="64">
        <f>IF($A2938="","",IFERROR(INDEX(계정매핑!$E$5:$E$504,MATCH($F2938&amp;"",계정매핑!$A$5:$A$504,0))&amp;"","공통비"))</f>
        <v/>
      </c>
      <c r="AF2938" s="64">
        <f>IF($A2938="","",IF(AE2938="직접",IFERROR(INDEX(계정매핑!$F$5:$F$504,MATCH($F2938&amp;"",계정매핑!$A$5:$A$504,0))&amp;"","비귀속"),""))</f>
        <v/>
      </c>
      <c r="AG2938" s="96">
        <f>IF($A2938="",0,IF(AND(AE2938&lt;&gt;"직접",IFERROR(INDEX(계정매핑!$G$5:$G$504,MATCH($F2938&amp;"",계정매핑!$A$5:$A$504,0))&amp;"","")="유지비",COUNTIF(계정대체기준!$A$6:$A$15,$N2938)&gt;0),IFERROR(INDEX(계정대체기준!$E$6:$E$15,MATCH(VALUE($A2938&amp;""),계정대체기준!$D$6:$D$15,0)),0),0))</f>
        <v/>
      </c>
      <c r="AH2938" s="64">
        <f>IF($A2938="","",IF(AD2938=0,"",IF(OR(COUNTIF(계정대체기준!$A$77:$A$86,$N2938)&gt;0,ISNUMBER(MATCH($X2938,계정대체기준!$D$77:$D$86,0)),ISNUMBER(MATCH($F2938,계정대체기준!$D$77:$D$86,0))),"Y","N")))</f>
        <v/>
      </c>
    </row>
    <row r="2939">
      <c r="A2939" s="92" t="n">
        <v>2026</v>
      </c>
      <c r="B2939" s="92" t="n">
        <v>1</v>
      </c>
      <c r="C2939" s="92" t="inlineStr">
        <is>
          <t>5100000217</t>
        </is>
      </c>
      <c r="D2939" s="95" t="n">
        <v>46049</v>
      </c>
      <c r="E2939" s="92" t="inlineStr">
        <is>
          <t>KR</t>
        </is>
      </c>
      <c r="F2939" s="92" t="n">
        <v>62301000</v>
      </c>
      <c r="G2939" s="92" t="n">
        <v>1701</v>
      </c>
      <c r="H2939" s="93" t="n">
        <v>121000</v>
      </c>
      <c r="I2939" s="92" t="inlineStr">
        <is>
          <t>1월 소모품 구입 - R문구</t>
        </is>
      </c>
      <c r="J2939" s="92" t="inlineStr">
        <is>
          <t>V10022</t>
        </is>
      </c>
      <c r="K2939" s="92" t="inlineStr">
        <is>
          <t>R문구</t>
        </is>
      </c>
      <c r="M2939" s="9">
        <f>IF($A2939="","",VALUE($A2939&amp;"")*12+VALUE($B2939&amp;""))</f>
        <v/>
      </c>
      <c r="N2939" s="64">
        <f>IF($A2939="","",IFERROR(INDEX(부서매핑!$C$5:$C$504,MATCH($G2939&amp;"",부서매핑!$A$5:$A$504,0)),"미매핑"))</f>
        <v/>
      </c>
      <c r="O2939" s="9">
        <f>IF($A2939="","",N2939&amp;"|"&amp;$F2939)</f>
        <v/>
      </c>
      <c r="P2939" s="94">
        <f>IF($A2939="",0,$H2939*설정!$C$23)</f>
        <v/>
      </c>
      <c r="Q2939" s="64">
        <f>IF($A2939="","",IF(O2939&lt;&gt;원인분석!$C$9,"",IF(AND(M2939&gt;=원인분석!$C$10,M2939&lt;=원인분석!$C$11),"당기",IF(AND(M2939&gt;=원인분석!$C$12,M2939&lt;=원인분석!$C$13),"비교",""))))</f>
        <v/>
      </c>
      <c r="R2939" s="9">
        <f>IF(Q2939="","",$K2939&amp;"")</f>
        <v/>
      </c>
      <c r="S2939" s="9">
        <f>IF(Q2939="","",IF(MATCH(R2939,$R$5:$R$100000,0)=ROW()-4,ROW(),""))</f>
        <v/>
      </c>
      <c r="T2939" s="9">
        <f>IF(Q2939="당기",ABS(P2939)+ROW()/1000000000,"")</f>
        <v/>
      </c>
      <c r="U2939" s="9">
        <f>IF(Q2939="비교",ABS(P2939)+ROW()/1000000000,"")</f>
        <v/>
      </c>
      <c r="V2939" s="64">
        <f>IF($A2939="","",IF(COUNTIF(변동분석!$E$7:$E$506,O2939)&gt;0,"Y","N"))</f>
        <v/>
      </c>
      <c r="W2939" s="64">
        <f>IF($A2939="","",IFERROR(INDEX(계정매핑!$D$5:$D$504,MATCH($F2939&amp;"",계정매핑!$A$5:$A$504,0)),"미매핑"))</f>
        <v/>
      </c>
      <c r="X2939" s="9">
        <f>IF($A2939="","",$F2939&amp;"")</f>
        <v/>
      </c>
      <c r="Y2939" s="94">
        <f>IF($A2939="",0,IF(AE2939="직접",IF(AF2939="비귀속",$P2939,0),$P2939*(1-AG2939)*IFERROR(INDEX(계정대체기준!$F$20:$F$49,MATCH($N2939,계정대체기준!$A$20:$A$49,0)),1)))</f>
        <v/>
      </c>
      <c r="Z2939" s="94">
        <f>IF($A2939="",0,IF(AE2939="직접",IF(AF2939="신계약비",$P2939,0),$P2939*(1-AG2939)*IFERROR(INDEX(계정대체기준!$C$20:$C$49,MATCH($N2939,계정대체기준!$A$20:$A$49,0)),0)))</f>
        <v/>
      </c>
      <c r="AA2939" s="94">
        <f>IF($A2939="",0,IF(AE2939="직접",IF(OR(AF2939="유지비",AF2939="손해조사비"),$P2939,0),$P2939*(1-AG2939)*IFERROR(INDEX(계정대체기준!$D$20:$D$49,MATCH($N2939,계정대체기준!$A$20:$A$49,0)),0)))</f>
        <v/>
      </c>
      <c r="AB2939" s="94">
        <f>IF($A2939="",0,IF(AE2939="직접",IF(AF2939="수금비",$P2939,0),$P2939*(1-AG2939)*IFERROR(INDEX(계정대체기준!$E$20:$E$49,MATCH($N2939,계정대체기준!$A$20:$A$49,0)),0)))</f>
        <v/>
      </c>
      <c r="AC2939" s="9">
        <f>IF(AND($A2939&lt;&gt;"",M2939=설정!$C$20,Z2939&gt;0),Z2939+ROW()/1000000000,"")</f>
        <v/>
      </c>
      <c r="AD2939" s="94">
        <f>IF($A2939="",0,$P2939*AG2939)</f>
        <v/>
      </c>
      <c r="AE2939" s="64">
        <f>IF($A2939="","",IFERROR(INDEX(계정매핑!$E$5:$E$504,MATCH($F2939&amp;"",계정매핑!$A$5:$A$504,0))&amp;"","공통비"))</f>
        <v/>
      </c>
      <c r="AF2939" s="64">
        <f>IF($A2939="","",IF(AE2939="직접",IFERROR(INDEX(계정매핑!$F$5:$F$504,MATCH($F2939&amp;"",계정매핑!$A$5:$A$504,0))&amp;"","비귀속"),""))</f>
        <v/>
      </c>
      <c r="AG2939" s="96">
        <f>IF($A2939="",0,IF(AND(AE2939&lt;&gt;"직접",IFERROR(INDEX(계정매핑!$G$5:$G$504,MATCH($F2939&amp;"",계정매핑!$A$5:$A$504,0))&amp;"","")="유지비",COUNTIF(계정대체기준!$A$6:$A$15,$N2939)&gt;0),IFERROR(INDEX(계정대체기준!$E$6:$E$15,MATCH(VALUE($A2939&amp;""),계정대체기준!$D$6:$D$15,0)),0),0))</f>
        <v/>
      </c>
      <c r="AH2939" s="64">
        <f>IF($A2939="","",IF(AD2939=0,"",IF(OR(COUNTIF(계정대체기준!$A$77:$A$86,$N2939)&gt;0,ISNUMBER(MATCH($X2939,계정대체기준!$D$77:$D$86,0)),ISNUMBER(MATCH($F2939,계정대체기준!$D$77:$D$86,0))),"Y","N")))</f>
        <v/>
      </c>
    </row>
    <row r="2940">
      <c r="A2940" s="92" t="n">
        <v>2026</v>
      </c>
      <c r="B2940" s="92" t="n">
        <v>1</v>
      </c>
      <c r="C2940" s="92" t="inlineStr">
        <is>
          <t>5100000218</t>
        </is>
      </c>
      <c r="D2940" s="95" t="n">
        <v>46049</v>
      </c>
      <c r="E2940" s="92" t="inlineStr">
        <is>
          <t>KR</t>
        </is>
      </c>
      <c r="F2940" s="92" t="n">
        <v>62301000</v>
      </c>
      <c r="G2940" s="92" t="n">
        <v>1801</v>
      </c>
      <c r="H2940" s="93" t="n">
        <v>397000</v>
      </c>
      <c r="I2940" s="92" t="inlineStr">
        <is>
          <t>1월 소모품 구입 - Q오피스</t>
        </is>
      </c>
      <c r="J2940" s="92" t="inlineStr">
        <is>
          <t>V10003</t>
        </is>
      </c>
      <c r="K2940" s="92" t="inlineStr">
        <is>
          <t>Q오피스</t>
        </is>
      </c>
      <c r="M2940" s="9">
        <f>IF($A2940="","",VALUE($A2940&amp;"")*12+VALUE($B2940&amp;""))</f>
        <v/>
      </c>
      <c r="N2940" s="64">
        <f>IF($A2940="","",IFERROR(INDEX(부서매핑!$C$5:$C$504,MATCH($G2940&amp;"",부서매핑!$A$5:$A$504,0)),"미매핑"))</f>
        <v/>
      </c>
      <c r="O2940" s="9">
        <f>IF($A2940="","",N2940&amp;"|"&amp;$F2940)</f>
        <v/>
      </c>
      <c r="P2940" s="94">
        <f>IF($A2940="",0,$H2940*설정!$C$23)</f>
        <v/>
      </c>
      <c r="Q2940" s="64">
        <f>IF($A2940="","",IF(O2940&lt;&gt;원인분석!$C$9,"",IF(AND(M2940&gt;=원인분석!$C$10,M2940&lt;=원인분석!$C$11),"당기",IF(AND(M2940&gt;=원인분석!$C$12,M2940&lt;=원인분석!$C$13),"비교",""))))</f>
        <v/>
      </c>
      <c r="R2940" s="9">
        <f>IF(Q2940="","",$K2940&amp;"")</f>
        <v/>
      </c>
      <c r="S2940" s="9">
        <f>IF(Q2940="","",IF(MATCH(R2940,$R$5:$R$100000,0)=ROW()-4,ROW(),""))</f>
        <v/>
      </c>
      <c r="T2940" s="9">
        <f>IF(Q2940="당기",ABS(P2940)+ROW()/1000000000,"")</f>
        <v/>
      </c>
      <c r="U2940" s="9">
        <f>IF(Q2940="비교",ABS(P2940)+ROW()/1000000000,"")</f>
        <v/>
      </c>
      <c r="V2940" s="64">
        <f>IF($A2940="","",IF(COUNTIF(변동분석!$E$7:$E$506,O2940)&gt;0,"Y","N"))</f>
        <v/>
      </c>
      <c r="W2940" s="64">
        <f>IF($A2940="","",IFERROR(INDEX(계정매핑!$D$5:$D$504,MATCH($F2940&amp;"",계정매핑!$A$5:$A$504,0)),"미매핑"))</f>
        <v/>
      </c>
      <c r="X2940" s="9">
        <f>IF($A2940="","",$F2940&amp;"")</f>
        <v/>
      </c>
      <c r="Y2940" s="94">
        <f>IF($A2940="",0,IF(AE2940="직접",IF(AF2940="비귀속",$P2940,0),$P2940*(1-AG2940)*IFERROR(INDEX(계정대체기준!$F$20:$F$49,MATCH($N2940,계정대체기준!$A$20:$A$49,0)),1)))</f>
        <v/>
      </c>
      <c r="Z2940" s="94">
        <f>IF($A2940="",0,IF(AE2940="직접",IF(AF2940="신계약비",$P2940,0),$P2940*(1-AG2940)*IFERROR(INDEX(계정대체기준!$C$20:$C$49,MATCH($N2940,계정대체기준!$A$20:$A$49,0)),0)))</f>
        <v/>
      </c>
      <c r="AA2940" s="94">
        <f>IF($A2940="",0,IF(AE2940="직접",IF(OR(AF2940="유지비",AF2940="손해조사비"),$P2940,0),$P2940*(1-AG2940)*IFERROR(INDEX(계정대체기준!$D$20:$D$49,MATCH($N2940,계정대체기준!$A$20:$A$49,0)),0)))</f>
        <v/>
      </c>
      <c r="AB2940" s="94">
        <f>IF($A2940="",0,IF(AE2940="직접",IF(AF2940="수금비",$P2940,0),$P2940*(1-AG2940)*IFERROR(INDEX(계정대체기준!$E$20:$E$49,MATCH($N2940,계정대체기준!$A$20:$A$49,0)),0)))</f>
        <v/>
      </c>
      <c r="AC2940" s="9">
        <f>IF(AND($A2940&lt;&gt;"",M2940=설정!$C$20,Z2940&gt;0),Z2940+ROW()/1000000000,"")</f>
        <v/>
      </c>
      <c r="AD2940" s="94">
        <f>IF($A2940="",0,$P2940*AG2940)</f>
        <v/>
      </c>
      <c r="AE2940" s="64">
        <f>IF($A2940="","",IFERROR(INDEX(계정매핑!$E$5:$E$504,MATCH($F2940&amp;"",계정매핑!$A$5:$A$504,0))&amp;"","공통비"))</f>
        <v/>
      </c>
      <c r="AF2940" s="64">
        <f>IF($A2940="","",IF(AE2940="직접",IFERROR(INDEX(계정매핑!$F$5:$F$504,MATCH($F2940&amp;"",계정매핑!$A$5:$A$504,0))&amp;"","비귀속"),""))</f>
        <v/>
      </c>
      <c r="AG2940" s="96">
        <f>IF($A2940="",0,IF(AND(AE2940&lt;&gt;"직접",IFERROR(INDEX(계정매핑!$G$5:$G$504,MATCH($F2940&amp;"",계정매핑!$A$5:$A$504,0))&amp;"","")="유지비",COUNTIF(계정대체기준!$A$6:$A$15,$N2940)&gt;0),IFERROR(INDEX(계정대체기준!$E$6:$E$15,MATCH(VALUE($A2940&amp;""),계정대체기준!$D$6:$D$15,0)),0),0))</f>
        <v/>
      </c>
      <c r="AH2940" s="64">
        <f>IF($A2940="","",IF(AD2940=0,"",IF(OR(COUNTIF(계정대체기준!$A$77:$A$86,$N2940)&gt;0,ISNUMBER(MATCH($X2940,계정대체기준!$D$77:$D$86,0)),ISNUMBER(MATCH($F2940,계정대체기준!$D$77:$D$86,0))),"Y","N")))</f>
        <v/>
      </c>
    </row>
    <row r="2941">
      <c r="A2941" s="92" t="n">
        <v>2026</v>
      </c>
      <c r="B2941" s="92" t="n">
        <v>1</v>
      </c>
      <c r="C2941" s="92" t="inlineStr">
        <is>
          <t>5100000219</t>
        </is>
      </c>
      <c r="D2941" s="95" t="n">
        <v>46049</v>
      </c>
      <c r="E2941" s="92" t="inlineStr">
        <is>
          <t>KR</t>
        </is>
      </c>
      <c r="F2941" s="92" t="n">
        <v>62301000</v>
      </c>
      <c r="G2941" s="92" t="n">
        <v>1801</v>
      </c>
      <c r="H2941" s="93" t="n">
        <v>213000</v>
      </c>
      <c r="I2941" s="92" t="inlineStr">
        <is>
          <t>1월 소모품 구입 - R문구</t>
        </is>
      </c>
      <c r="J2941" s="92" t="inlineStr">
        <is>
          <t>V10022</t>
        </is>
      </c>
      <c r="K2941" s="92" t="inlineStr">
        <is>
          <t>R문구</t>
        </is>
      </c>
      <c r="M2941" s="9">
        <f>IF($A2941="","",VALUE($A2941&amp;"")*12+VALUE($B2941&amp;""))</f>
        <v/>
      </c>
      <c r="N2941" s="64">
        <f>IF($A2941="","",IFERROR(INDEX(부서매핑!$C$5:$C$504,MATCH($G2941&amp;"",부서매핑!$A$5:$A$504,0)),"미매핑"))</f>
        <v/>
      </c>
      <c r="O2941" s="9">
        <f>IF($A2941="","",N2941&amp;"|"&amp;$F2941)</f>
        <v/>
      </c>
      <c r="P2941" s="94">
        <f>IF($A2941="",0,$H2941*설정!$C$23)</f>
        <v/>
      </c>
      <c r="Q2941" s="64">
        <f>IF($A2941="","",IF(O2941&lt;&gt;원인분석!$C$9,"",IF(AND(M2941&gt;=원인분석!$C$10,M2941&lt;=원인분석!$C$11),"당기",IF(AND(M2941&gt;=원인분석!$C$12,M2941&lt;=원인분석!$C$13),"비교",""))))</f>
        <v/>
      </c>
      <c r="R2941" s="9">
        <f>IF(Q2941="","",$K2941&amp;"")</f>
        <v/>
      </c>
      <c r="S2941" s="9">
        <f>IF(Q2941="","",IF(MATCH(R2941,$R$5:$R$100000,0)=ROW()-4,ROW(),""))</f>
        <v/>
      </c>
      <c r="T2941" s="9">
        <f>IF(Q2941="당기",ABS(P2941)+ROW()/1000000000,"")</f>
        <v/>
      </c>
      <c r="U2941" s="9">
        <f>IF(Q2941="비교",ABS(P2941)+ROW()/1000000000,"")</f>
        <v/>
      </c>
      <c r="V2941" s="64">
        <f>IF($A2941="","",IF(COUNTIF(변동분석!$E$7:$E$506,O2941)&gt;0,"Y","N"))</f>
        <v/>
      </c>
      <c r="W2941" s="64">
        <f>IF($A2941="","",IFERROR(INDEX(계정매핑!$D$5:$D$504,MATCH($F2941&amp;"",계정매핑!$A$5:$A$504,0)),"미매핑"))</f>
        <v/>
      </c>
      <c r="X2941" s="9">
        <f>IF($A2941="","",$F2941&amp;"")</f>
        <v/>
      </c>
      <c r="Y2941" s="94">
        <f>IF($A2941="",0,IF(AE2941="직접",IF(AF2941="비귀속",$P2941,0),$P2941*(1-AG2941)*IFERROR(INDEX(계정대체기준!$F$20:$F$49,MATCH($N2941,계정대체기준!$A$20:$A$49,0)),1)))</f>
        <v/>
      </c>
      <c r="Z2941" s="94">
        <f>IF($A2941="",0,IF(AE2941="직접",IF(AF2941="신계약비",$P2941,0),$P2941*(1-AG2941)*IFERROR(INDEX(계정대체기준!$C$20:$C$49,MATCH($N2941,계정대체기준!$A$20:$A$49,0)),0)))</f>
        <v/>
      </c>
      <c r="AA2941" s="94">
        <f>IF($A2941="",0,IF(AE2941="직접",IF(OR(AF2941="유지비",AF2941="손해조사비"),$P2941,0),$P2941*(1-AG2941)*IFERROR(INDEX(계정대체기준!$D$20:$D$49,MATCH($N2941,계정대체기준!$A$20:$A$49,0)),0)))</f>
        <v/>
      </c>
      <c r="AB2941" s="94">
        <f>IF($A2941="",0,IF(AE2941="직접",IF(AF2941="수금비",$P2941,0),$P2941*(1-AG2941)*IFERROR(INDEX(계정대체기준!$E$20:$E$49,MATCH($N2941,계정대체기준!$A$20:$A$49,0)),0)))</f>
        <v/>
      </c>
      <c r="AC2941" s="9">
        <f>IF(AND($A2941&lt;&gt;"",M2941=설정!$C$20,Z2941&gt;0),Z2941+ROW()/1000000000,"")</f>
        <v/>
      </c>
      <c r="AD2941" s="94">
        <f>IF($A2941="",0,$P2941*AG2941)</f>
        <v/>
      </c>
      <c r="AE2941" s="64">
        <f>IF($A2941="","",IFERROR(INDEX(계정매핑!$E$5:$E$504,MATCH($F2941&amp;"",계정매핑!$A$5:$A$504,0))&amp;"","공통비"))</f>
        <v/>
      </c>
      <c r="AF2941" s="64">
        <f>IF($A2941="","",IF(AE2941="직접",IFERROR(INDEX(계정매핑!$F$5:$F$504,MATCH($F2941&amp;"",계정매핑!$A$5:$A$504,0))&amp;"","비귀속"),""))</f>
        <v/>
      </c>
      <c r="AG2941" s="96">
        <f>IF($A2941="",0,IF(AND(AE2941&lt;&gt;"직접",IFERROR(INDEX(계정매핑!$G$5:$G$504,MATCH($F2941&amp;"",계정매핑!$A$5:$A$504,0))&amp;"","")="유지비",COUNTIF(계정대체기준!$A$6:$A$15,$N2941)&gt;0),IFERROR(INDEX(계정대체기준!$E$6:$E$15,MATCH(VALUE($A2941&amp;""),계정대체기준!$D$6:$D$15,0)),0),0))</f>
        <v/>
      </c>
      <c r="AH2941" s="64">
        <f>IF($A2941="","",IF(AD2941=0,"",IF(OR(COUNTIF(계정대체기준!$A$77:$A$86,$N2941)&gt;0,ISNUMBER(MATCH($X2941,계정대체기준!$D$77:$D$86,0)),ISNUMBER(MATCH($F2941,계정대체기준!$D$77:$D$86,0))),"Y","N")))</f>
        <v/>
      </c>
    </row>
    <row r="2942">
      <c r="A2942" s="92" t="n">
        <v>2026</v>
      </c>
      <c r="B2942" s="92" t="n">
        <v>1</v>
      </c>
      <c r="C2942" s="92" t="inlineStr">
        <is>
          <t>5100000220</t>
        </is>
      </c>
      <c r="D2942" s="95" t="n">
        <v>46049</v>
      </c>
      <c r="E2942" s="92" t="inlineStr">
        <is>
          <t>KR</t>
        </is>
      </c>
      <c r="F2942" s="92" t="n">
        <v>62401000</v>
      </c>
      <c r="G2942" s="92" t="n">
        <v>1401</v>
      </c>
      <c r="H2942" s="93" t="n">
        <v>228000</v>
      </c>
      <c r="I2942" s="92" t="inlineStr">
        <is>
          <t>1월 인쇄물 제작 - S출판</t>
        </is>
      </c>
      <c r="J2942" s="92" t="inlineStr">
        <is>
          <t>V10015</t>
        </is>
      </c>
      <c r="K2942" s="92" t="inlineStr">
        <is>
          <t>S출판</t>
        </is>
      </c>
      <c r="M2942" s="9">
        <f>IF($A2942="","",VALUE($A2942&amp;"")*12+VALUE($B2942&amp;""))</f>
        <v/>
      </c>
      <c r="N2942" s="64">
        <f>IF($A2942="","",IFERROR(INDEX(부서매핑!$C$5:$C$504,MATCH($G2942&amp;"",부서매핑!$A$5:$A$504,0)),"미매핑"))</f>
        <v/>
      </c>
      <c r="O2942" s="9">
        <f>IF($A2942="","",N2942&amp;"|"&amp;$F2942)</f>
        <v/>
      </c>
      <c r="P2942" s="94">
        <f>IF($A2942="",0,$H2942*설정!$C$23)</f>
        <v/>
      </c>
      <c r="Q2942" s="64">
        <f>IF($A2942="","",IF(O2942&lt;&gt;원인분석!$C$9,"",IF(AND(M2942&gt;=원인분석!$C$10,M2942&lt;=원인분석!$C$11),"당기",IF(AND(M2942&gt;=원인분석!$C$12,M2942&lt;=원인분석!$C$13),"비교",""))))</f>
        <v/>
      </c>
      <c r="R2942" s="9">
        <f>IF(Q2942="","",$K2942&amp;"")</f>
        <v/>
      </c>
      <c r="S2942" s="9">
        <f>IF(Q2942="","",IF(MATCH(R2942,$R$5:$R$100000,0)=ROW()-4,ROW(),""))</f>
        <v/>
      </c>
      <c r="T2942" s="9">
        <f>IF(Q2942="당기",ABS(P2942)+ROW()/1000000000,"")</f>
        <v/>
      </c>
      <c r="U2942" s="9">
        <f>IF(Q2942="비교",ABS(P2942)+ROW()/1000000000,"")</f>
        <v/>
      </c>
      <c r="V2942" s="64">
        <f>IF($A2942="","",IF(COUNTIF(변동분석!$E$7:$E$506,O2942)&gt;0,"Y","N"))</f>
        <v/>
      </c>
      <c r="W2942" s="64">
        <f>IF($A2942="","",IFERROR(INDEX(계정매핑!$D$5:$D$504,MATCH($F2942&amp;"",계정매핑!$A$5:$A$504,0)),"미매핑"))</f>
        <v/>
      </c>
      <c r="X2942" s="9">
        <f>IF($A2942="","",$F2942&amp;"")</f>
        <v/>
      </c>
      <c r="Y2942" s="94">
        <f>IF($A2942="",0,IF(AE2942="직접",IF(AF2942="비귀속",$P2942,0),$P2942*(1-AG2942)*IFERROR(INDEX(계정대체기준!$F$20:$F$49,MATCH($N2942,계정대체기준!$A$20:$A$49,0)),1)))</f>
        <v/>
      </c>
      <c r="Z2942" s="94">
        <f>IF($A2942="",0,IF(AE2942="직접",IF(AF2942="신계약비",$P2942,0),$P2942*(1-AG2942)*IFERROR(INDEX(계정대체기준!$C$20:$C$49,MATCH($N2942,계정대체기준!$A$20:$A$49,0)),0)))</f>
        <v/>
      </c>
      <c r="AA2942" s="94">
        <f>IF($A2942="",0,IF(AE2942="직접",IF(OR(AF2942="유지비",AF2942="손해조사비"),$P2942,0),$P2942*(1-AG2942)*IFERROR(INDEX(계정대체기준!$D$20:$D$49,MATCH($N2942,계정대체기준!$A$20:$A$49,0)),0)))</f>
        <v/>
      </c>
      <c r="AB2942" s="94">
        <f>IF($A2942="",0,IF(AE2942="직접",IF(AF2942="수금비",$P2942,0),$P2942*(1-AG2942)*IFERROR(INDEX(계정대체기준!$E$20:$E$49,MATCH($N2942,계정대체기준!$A$20:$A$49,0)),0)))</f>
        <v/>
      </c>
      <c r="AC2942" s="9">
        <f>IF(AND($A2942&lt;&gt;"",M2942=설정!$C$20,Z2942&gt;0),Z2942+ROW()/1000000000,"")</f>
        <v/>
      </c>
      <c r="AD2942" s="94">
        <f>IF($A2942="",0,$P2942*AG2942)</f>
        <v/>
      </c>
      <c r="AE2942" s="64">
        <f>IF($A2942="","",IFERROR(INDEX(계정매핑!$E$5:$E$504,MATCH($F2942&amp;"",계정매핑!$A$5:$A$504,0))&amp;"","공통비"))</f>
        <v/>
      </c>
      <c r="AF2942" s="64">
        <f>IF($A2942="","",IF(AE2942="직접",IFERROR(INDEX(계정매핑!$F$5:$F$504,MATCH($F2942&amp;"",계정매핑!$A$5:$A$504,0))&amp;"","비귀속"),""))</f>
        <v/>
      </c>
      <c r="AG2942" s="96">
        <f>IF($A2942="",0,IF(AND(AE2942&lt;&gt;"직접",IFERROR(INDEX(계정매핑!$G$5:$G$504,MATCH($F2942&amp;"",계정매핑!$A$5:$A$504,0))&amp;"","")="유지비",COUNTIF(계정대체기준!$A$6:$A$15,$N2942)&gt;0),IFERROR(INDEX(계정대체기준!$E$6:$E$15,MATCH(VALUE($A2942&amp;""),계정대체기준!$D$6:$D$15,0)),0),0))</f>
        <v/>
      </c>
      <c r="AH2942" s="64">
        <f>IF($A2942="","",IF(AD2942=0,"",IF(OR(COUNTIF(계정대체기준!$A$77:$A$86,$N2942)&gt;0,ISNUMBER(MATCH($X2942,계정대체기준!$D$77:$D$86,0)),ISNUMBER(MATCH($F2942,계정대체기준!$D$77:$D$86,0))),"Y","N")))</f>
        <v/>
      </c>
    </row>
    <row r="2943">
      <c r="A2943" s="92" t="n">
        <v>2026</v>
      </c>
      <c r="B2943" s="92" t="n">
        <v>1</v>
      </c>
      <c r="C2943" s="92" t="inlineStr">
        <is>
          <t>5100000221</t>
        </is>
      </c>
      <c r="D2943" s="95" t="n">
        <v>46049</v>
      </c>
      <c r="E2943" s="92" t="inlineStr">
        <is>
          <t>KR</t>
        </is>
      </c>
      <c r="F2943" s="92" t="n">
        <v>62501000</v>
      </c>
      <c r="G2943" s="92" t="n">
        <v>1501</v>
      </c>
      <c r="H2943" s="93" t="n">
        <v>545000</v>
      </c>
      <c r="I2943" s="92" t="inlineStr">
        <is>
          <t>1월 회의 다과 - (법인카드)</t>
        </is>
      </c>
      <c r="J2943" s="92" t="inlineStr">
        <is>
          <t>V10010</t>
        </is>
      </c>
      <c r="K2943" s="92" t="inlineStr">
        <is>
          <t>(법인카드)</t>
        </is>
      </c>
      <c r="M2943" s="9">
        <f>IF($A2943="","",VALUE($A2943&amp;"")*12+VALUE($B2943&amp;""))</f>
        <v/>
      </c>
      <c r="N2943" s="64">
        <f>IF($A2943="","",IFERROR(INDEX(부서매핑!$C$5:$C$504,MATCH($G2943&amp;"",부서매핑!$A$5:$A$504,0)),"미매핑"))</f>
        <v/>
      </c>
      <c r="O2943" s="9">
        <f>IF($A2943="","",N2943&amp;"|"&amp;$F2943)</f>
        <v/>
      </c>
      <c r="P2943" s="94">
        <f>IF($A2943="",0,$H2943*설정!$C$23)</f>
        <v/>
      </c>
      <c r="Q2943" s="64">
        <f>IF($A2943="","",IF(O2943&lt;&gt;원인분석!$C$9,"",IF(AND(M2943&gt;=원인분석!$C$10,M2943&lt;=원인분석!$C$11),"당기",IF(AND(M2943&gt;=원인분석!$C$12,M2943&lt;=원인분석!$C$13),"비교",""))))</f>
        <v/>
      </c>
      <c r="R2943" s="9">
        <f>IF(Q2943="","",$K2943&amp;"")</f>
        <v/>
      </c>
      <c r="S2943" s="9">
        <f>IF(Q2943="","",IF(MATCH(R2943,$R$5:$R$100000,0)=ROW()-4,ROW(),""))</f>
        <v/>
      </c>
      <c r="T2943" s="9">
        <f>IF(Q2943="당기",ABS(P2943)+ROW()/1000000000,"")</f>
        <v/>
      </c>
      <c r="U2943" s="9">
        <f>IF(Q2943="비교",ABS(P2943)+ROW()/1000000000,"")</f>
        <v/>
      </c>
      <c r="V2943" s="64">
        <f>IF($A2943="","",IF(COUNTIF(변동분석!$E$7:$E$506,O2943)&gt;0,"Y","N"))</f>
        <v/>
      </c>
      <c r="W2943" s="64">
        <f>IF($A2943="","",IFERROR(INDEX(계정매핑!$D$5:$D$504,MATCH($F2943&amp;"",계정매핑!$A$5:$A$504,0)),"미매핑"))</f>
        <v/>
      </c>
      <c r="X2943" s="9">
        <f>IF($A2943="","",$F2943&amp;"")</f>
        <v/>
      </c>
      <c r="Y2943" s="94">
        <f>IF($A2943="",0,IF(AE2943="직접",IF(AF2943="비귀속",$P2943,0),$P2943*(1-AG2943)*IFERROR(INDEX(계정대체기준!$F$20:$F$49,MATCH($N2943,계정대체기준!$A$20:$A$49,0)),1)))</f>
        <v/>
      </c>
      <c r="Z2943" s="94">
        <f>IF($A2943="",0,IF(AE2943="직접",IF(AF2943="신계약비",$P2943,0),$P2943*(1-AG2943)*IFERROR(INDEX(계정대체기준!$C$20:$C$49,MATCH($N2943,계정대체기준!$A$20:$A$49,0)),0)))</f>
        <v/>
      </c>
      <c r="AA2943" s="94">
        <f>IF($A2943="",0,IF(AE2943="직접",IF(OR(AF2943="유지비",AF2943="손해조사비"),$P2943,0),$P2943*(1-AG2943)*IFERROR(INDEX(계정대체기준!$D$20:$D$49,MATCH($N2943,계정대체기준!$A$20:$A$49,0)),0)))</f>
        <v/>
      </c>
      <c r="AB2943" s="94">
        <f>IF($A2943="",0,IF(AE2943="직접",IF(AF2943="수금비",$P2943,0),$P2943*(1-AG2943)*IFERROR(INDEX(계정대체기준!$E$20:$E$49,MATCH($N2943,계정대체기준!$A$20:$A$49,0)),0)))</f>
        <v/>
      </c>
      <c r="AC2943" s="9">
        <f>IF(AND($A2943&lt;&gt;"",M2943=설정!$C$20,Z2943&gt;0),Z2943+ROW()/1000000000,"")</f>
        <v/>
      </c>
      <c r="AD2943" s="94">
        <f>IF($A2943="",0,$P2943*AG2943)</f>
        <v/>
      </c>
      <c r="AE2943" s="64">
        <f>IF($A2943="","",IFERROR(INDEX(계정매핑!$E$5:$E$504,MATCH($F2943&amp;"",계정매핑!$A$5:$A$504,0))&amp;"","공통비"))</f>
        <v/>
      </c>
      <c r="AF2943" s="64">
        <f>IF($A2943="","",IF(AE2943="직접",IFERROR(INDEX(계정매핑!$F$5:$F$504,MATCH($F2943&amp;"",계정매핑!$A$5:$A$504,0))&amp;"","비귀속"),""))</f>
        <v/>
      </c>
      <c r="AG2943" s="96">
        <f>IF($A2943="",0,IF(AND(AE2943&lt;&gt;"직접",IFERROR(INDEX(계정매핑!$G$5:$G$504,MATCH($F2943&amp;"",계정매핑!$A$5:$A$504,0))&amp;"","")="유지비",COUNTIF(계정대체기준!$A$6:$A$15,$N2943)&gt;0),IFERROR(INDEX(계정대체기준!$E$6:$E$15,MATCH(VALUE($A2943&amp;""),계정대체기준!$D$6:$D$15,0)),0),0))</f>
        <v/>
      </c>
      <c r="AH2943" s="64">
        <f>IF($A2943="","",IF(AD2943=0,"",IF(OR(COUNTIF(계정대체기준!$A$77:$A$86,$N2943)&gt;0,ISNUMBER(MATCH($X2943,계정대체기준!$D$77:$D$86,0)),ISNUMBER(MATCH($F2943,계정대체기준!$D$77:$D$86,0))),"Y","N")))</f>
        <v/>
      </c>
    </row>
    <row r="2944">
      <c r="A2944" s="92" t="n">
        <v>2026</v>
      </c>
      <c r="B2944" s="92" t="n">
        <v>1</v>
      </c>
      <c r="C2944" s="92" t="inlineStr">
        <is>
          <t>5100000222</t>
        </is>
      </c>
      <c r="D2944" s="95" t="n">
        <v>46049</v>
      </c>
      <c r="E2944" s="92" t="inlineStr">
        <is>
          <t>KR</t>
        </is>
      </c>
      <c r="F2944" s="92" t="n">
        <v>62601000</v>
      </c>
      <c r="G2944" s="92" t="n">
        <v>1301</v>
      </c>
      <c r="H2944" s="93" t="n">
        <v>856000</v>
      </c>
      <c r="I2944" s="92" t="inlineStr">
        <is>
          <t>1월 업무추진 - (법인카드)</t>
        </is>
      </c>
      <c r="J2944" s="92" t="inlineStr">
        <is>
          <t>V10010</t>
        </is>
      </c>
      <c r="K2944" s="92" t="inlineStr">
        <is>
          <t>(법인카드)</t>
        </is>
      </c>
      <c r="M2944" s="9">
        <f>IF($A2944="","",VALUE($A2944&amp;"")*12+VALUE($B2944&amp;""))</f>
        <v/>
      </c>
      <c r="N2944" s="64">
        <f>IF($A2944="","",IFERROR(INDEX(부서매핑!$C$5:$C$504,MATCH($G2944&amp;"",부서매핑!$A$5:$A$504,0)),"미매핑"))</f>
        <v/>
      </c>
      <c r="O2944" s="9">
        <f>IF($A2944="","",N2944&amp;"|"&amp;$F2944)</f>
        <v/>
      </c>
      <c r="P2944" s="94">
        <f>IF($A2944="",0,$H2944*설정!$C$23)</f>
        <v/>
      </c>
      <c r="Q2944" s="64">
        <f>IF($A2944="","",IF(O2944&lt;&gt;원인분석!$C$9,"",IF(AND(M2944&gt;=원인분석!$C$10,M2944&lt;=원인분석!$C$11),"당기",IF(AND(M2944&gt;=원인분석!$C$12,M2944&lt;=원인분석!$C$13),"비교",""))))</f>
        <v/>
      </c>
      <c r="R2944" s="9">
        <f>IF(Q2944="","",$K2944&amp;"")</f>
        <v/>
      </c>
      <c r="S2944" s="9">
        <f>IF(Q2944="","",IF(MATCH(R2944,$R$5:$R$100000,0)=ROW()-4,ROW(),""))</f>
        <v/>
      </c>
      <c r="T2944" s="9">
        <f>IF(Q2944="당기",ABS(P2944)+ROW()/1000000000,"")</f>
        <v/>
      </c>
      <c r="U2944" s="9">
        <f>IF(Q2944="비교",ABS(P2944)+ROW()/1000000000,"")</f>
        <v/>
      </c>
      <c r="V2944" s="64">
        <f>IF($A2944="","",IF(COUNTIF(변동분석!$E$7:$E$506,O2944)&gt;0,"Y","N"))</f>
        <v/>
      </c>
      <c r="W2944" s="64">
        <f>IF($A2944="","",IFERROR(INDEX(계정매핑!$D$5:$D$504,MATCH($F2944&amp;"",계정매핑!$A$5:$A$504,0)),"미매핑"))</f>
        <v/>
      </c>
      <c r="X2944" s="9">
        <f>IF($A2944="","",$F2944&amp;"")</f>
        <v/>
      </c>
      <c r="Y2944" s="94">
        <f>IF($A2944="",0,IF(AE2944="직접",IF(AF2944="비귀속",$P2944,0),$P2944*(1-AG2944)*IFERROR(INDEX(계정대체기준!$F$20:$F$49,MATCH($N2944,계정대체기준!$A$20:$A$49,0)),1)))</f>
        <v/>
      </c>
      <c r="Z2944" s="94">
        <f>IF($A2944="",0,IF(AE2944="직접",IF(AF2944="신계약비",$P2944,0),$P2944*(1-AG2944)*IFERROR(INDEX(계정대체기준!$C$20:$C$49,MATCH($N2944,계정대체기준!$A$20:$A$49,0)),0)))</f>
        <v/>
      </c>
      <c r="AA2944" s="94">
        <f>IF($A2944="",0,IF(AE2944="직접",IF(OR(AF2944="유지비",AF2944="손해조사비"),$P2944,0),$P2944*(1-AG2944)*IFERROR(INDEX(계정대체기준!$D$20:$D$49,MATCH($N2944,계정대체기준!$A$20:$A$49,0)),0)))</f>
        <v/>
      </c>
      <c r="AB2944" s="94">
        <f>IF($A2944="",0,IF(AE2944="직접",IF(AF2944="수금비",$P2944,0),$P2944*(1-AG2944)*IFERROR(INDEX(계정대체기준!$E$20:$E$49,MATCH($N2944,계정대체기준!$A$20:$A$49,0)),0)))</f>
        <v/>
      </c>
      <c r="AC2944" s="9">
        <f>IF(AND($A2944&lt;&gt;"",M2944=설정!$C$20,Z2944&gt;0),Z2944+ROW()/1000000000,"")</f>
        <v/>
      </c>
      <c r="AD2944" s="94">
        <f>IF($A2944="",0,$P2944*AG2944)</f>
        <v/>
      </c>
      <c r="AE2944" s="64">
        <f>IF($A2944="","",IFERROR(INDEX(계정매핑!$E$5:$E$504,MATCH($F2944&amp;"",계정매핑!$A$5:$A$504,0))&amp;"","공통비"))</f>
        <v/>
      </c>
      <c r="AF2944" s="64">
        <f>IF($A2944="","",IF(AE2944="직접",IFERROR(INDEX(계정매핑!$F$5:$F$504,MATCH($F2944&amp;"",계정매핑!$A$5:$A$504,0))&amp;"","비귀속"),""))</f>
        <v/>
      </c>
      <c r="AG2944" s="96">
        <f>IF($A2944="",0,IF(AND(AE2944&lt;&gt;"직접",IFERROR(INDEX(계정매핑!$G$5:$G$504,MATCH($F2944&amp;"",계정매핑!$A$5:$A$504,0))&amp;"","")="유지비",COUNTIF(계정대체기준!$A$6:$A$15,$N2944)&gt;0),IFERROR(INDEX(계정대체기준!$E$6:$E$15,MATCH(VALUE($A2944&amp;""),계정대체기준!$D$6:$D$15,0)),0),0))</f>
        <v/>
      </c>
      <c r="AH2944" s="64">
        <f>IF($A2944="","",IF(AD2944=0,"",IF(OR(COUNTIF(계정대체기준!$A$77:$A$86,$N2944)&gt;0,ISNUMBER(MATCH($X2944,계정대체기준!$D$77:$D$86,0)),ISNUMBER(MATCH($F2944,계정대체기준!$D$77:$D$86,0))),"Y","N")))</f>
        <v/>
      </c>
    </row>
    <row r="2945">
      <c r="A2945" s="92" t="n">
        <v>2026</v>
      </c>
      <c r="B2945" s="92" t="n">
        <v>1</v>
      </c>
      <c r="C2945" s="92" t="inlineStr">
        <is>
          <t>5100000223</t>
        </is>
      </c>
      <c r="D2945" s="95" t="n">
        <v>46049</v>
      </c>
      <c r="E2945" s="92" t="inlineStr">
        <is>
          <t>KR</t>
        </is>
      </c>
      <c r="F2945" s="92" t="n">
        <v>62901000</v>
      </c>
      <c r="G2945" s="92" t="n">
        <v>1101</v>
      </c>
      <c r="H2945" s="93" t="n">
        <v>2221000</v>
      </c>
      <c r="I2945" s="92" t="inlineStr">
        <is>
          <t>1월 자문 수수료 - W컨설팅</t>
        </is>
      </c>
      <c r="J2945" s="92" t="inlineStr">
        <is>
          <t>V10006</t>
        </is>
      </c>
      <c r="K2945" s="92" t="inlineStr">
        <is>
          <t>W컨설팅</t>
        </is>
      </c>
      <c r="M2945" s="9">
        <f>IF($A2945="","",VALUE($A2945&amp;"")*12+VALUE($B2945&amp;""))</f>
        <v/>
      </c>
      <c r="N2945" s="64">
        <f>IF($A2945="","",IFERROR(INDEX(부서매핑!$C$5:$C$504,MATCH($G2945&amp;"",부서매핑!$A$5:$A$504,0)),"미매핑"))</f>
        <v/>
      </c>
      <c r="O2945" s="9">
        <f>IF($A2945="","",N2945&amp;"|"&amp;$F2945)</f>
        <v/>
      </c>
      <c r="P2945" s="94">
        <f>IF($A2945="",0,$H2945*설정!$C$23)</f>
        <v/>
      </c>
      <c r="Q2945" s="64">
        <f>IF($A2945="","",IF(O2945&lt;&gt;원인분석!$C$9,"",IF(AND(M2945&gt;=원인분석!$C$10,M2945&lt;=원인분석!$C$11),"당기",IF(AND(M2945&gt;=원인분석!$C$12,M2945&lt;=원인분석!$C$13),"비교",""))))</f>
        <v/>
      </c>
      <c r="R2945" s="9">
        <f>IF(Q2945="","",$K2945&amp;"")</f>
        <v/>
      </c>
      <c r="S2945" s="9">
        <f>IF(Q2945="","",IF(MATCH(R2945,$R$5:$R$100000,0)=ROW()-4,ROW(),""))</f>
        <v/>
      </c>
      <c r="T2945" s="9">
        <f>IF(Q2945="당기",ABS(P2945)+ROW()/1000000000,"")</f>
        <v/>
      </c>
      <c r="U2945" s="9">
        <f>IF(Q2945="비교",ABS(P2945)+ROW()/1000000000,"")</f>
        <v/>
      </c>
      <c r="V2945" s="64">
        <f>IF($A2945="","",IF(COUNTIF(변동분석!$E$7:$E$506,O2945)&gt;0,"Y","N"))</f>
        <v/>
      </c>
      <c r="W2945" s="64">
        <f>IF($A2945="","",IFERROR(INDEX(계정매핑!$D$5:$D$504,MATCH($F2945&amp;"",계정매핑!$A$5:$A$504,0)),"미매핑"))</f>
        <v/>
      </c>
      <c r="X2945" s="9">
        <f>IF($A2945="","",$F2945&amp;"")</f>
        <v/>
      </c>
      <c r="Y2945" s="94">
        <f>IF($A2945="",0,IF(AE2945="직접",IF(AF2945="비귀속",$P2945,0),$P2945*(1-AG2945)*IFERROR(INDEX(계정대체기준!$F$20:$F$49,MATCH($N2945,계정대체기준!$A$20:$A$49,0)),1)))</f>
        <v/>
      </c>
      <c r="Z2945" s="94">
        <f>IF($A2945="",0,IF(AE2945="직접",IF(AF2945="신계약비",$P2945,0),$P2945*(1-AG2945)*IFERROR(INDEX(계정대체기준!$C$20:$C$49,MATCH($N2945,계정대체기준!$A$20:$A$49,0)),0)))</f>
        <v/>
      </c>
      <c r="AA2945" s="94">
        <f>IF($A2945="",0,IF(AE2945="직접",IF(OR(AF2945="유지비",AF2945="손해조사비"),$P2945,0),$P2945*(1-AG2945)*IFERROR(INDEX(계정대체기준!$D$20:$D$49,MATCH($N2945,계정대체기준!$A$20:$A$49,0)),0)))</f>
        <v/>
      </c>
      <c r="AB2945" s="94">
        <f>IF($A2945="",0,IF(AE2945="직접",IF(AF2945="수금비",$P2945,0),$P2945*(1-AG2945)*IFERROR(INDEX(계정대체기준!$E$20:$E$49,MATCH($N2945,계정대체기준!$A$20:$A$49,0)),0)))</f>
        <v/>
      </c>
      <c r="AC2945" s="9">
        <f>IF(AND($A2945&lt;&gt;"",M2945=설정!$C$20,Z2945&gt;0),Z2945+ROW()/1000000000,"")</f>
        <v/>
      </c>
      <c r="AD2945" s="94">
        <f>IF($A2945="",0,$P2945*AG2945)</f>
        <v/>
      </c>
      <c r="AE2945" s="64">
        <f>IF($A2945="","",IFERROR(INDEX(계정매핑!$E$5:$E$504,MATCH($F2945&amp;"",계정매핑!$A$5:$A$504,0))&amp;"","공통비"))</f>
        <v/>
      </c>
      <c r="AF2945" s="64">
        <f>IF($A2945="","",IF(AE2945="직접",IFERROR(INDEX(계정매핑!$F$5:$F$504,MATCH($F2945&amp;"",계정매핑!$A$5:$A$504,0))&amp;"","비귀속"),""))</f>
        <v/>
      </c>
      <c r="AG2945" s="96">
        <f>IF($A2945="",0,IF(AND(AE2945&lt;&gt;"직접",IFERROR(INDEX(계정매핑!$G$5:$G$504,MATCH($F2945&amp;"",계정매핑!$A$5:$A$504,0))&amp;"","")="유지비",COUNTIF(계정대체기준!$A$6:$A$15,$N2945)&gt;0),IFERROR(INDEX(계정대체기준!$E$6:$E$15,MATCH(VALUE($A2945&amp;""),계정대체기준!$D$6:$D$15,0)),0),0))</f>
        <v/>
      </c>
      <c r="AH2945" s="64">
        <f>IF($A2945="","",IF(AD2945=0,"",IF(OR(COUNTIF(계정대체기준!$A$77:$A$86,$N2945)&gt;0,ISNUMBER(MATCH($X2945,계정대체기준!$D$77:$D$86,0)),ISNUMBER(MATCH($F2945,계정대체기준!$D$77:$D$86,0))),"Y","N")))</f>
        <v/>
      </c>
    </row>
    <row r="2946">
      <c r="A2946" s="92" t="n">
        <v>2026</v>
      </c>
      <c r="B2946" s="92" t="n">
        <v>1</v>
      </c>
      <c r="C2946" s="92" t="inlineStr">
        <is>
          <t>5100000224</t>
        </is>
      </c>
      <c r="D2946" s="95" t="n">
        <v>46049</v>
      </c>
      <c r="E2946" s="92" t="inlineStr">
        <is>
          <t>KR</t>
        </is>
      </c>
      <c r="F2946" s="92" t="n">
        <v>62901000</v>
      </c>
      <c r="G2946" s="92" t="n">
        <v>1951</v>
      </c>
      <c r="H2946" s="93" t="n">
        <v>7262000</v>
      </c>
      <c r="I2946" s="92" t="inlineStr">
        <is>
          <t>1월 자문 수수료 - K회계법인</t>
        </is>
      </c>
      <c r="J2946" s="92" t="inlineStr">
        <is>
          <t>V10011</t>
        </is>
      </c>
      <c r="K2946" s="92" t="inlineStr">
        <is>
          <t>K회계법인</t>
        </is>
      </c>
      <c r="M2946" s="9">
        <f>IF($A2946="","",VALUE($A2946&amp;"")*12+VALUE($B2946&amp;""))</f>
        <v/>
      </c>
      <c r="N2946" s="64">
        <f>IF($A2946="","",IFERROR(INDEX(부서매핑!$C$5:$C$504,MATCH($G2946&amp;"",부서매핑!$A$5:$A$504,0)),"미매핑"))</f>
        <v/>
      </c>
      <c r="O2946" s="9">
        <f>IF($A2946="","",N2946&amp;"|"&amp;$F2946)</f>
        <v/>
      </c>
      <c r="P2946" s="94">
        <f>IF($A2946="",0,$H2946*설정!$C$23)</f>
        <v/>
      </c>
      <c r="Q2946" s="64">
        <f>IF($A2946="","",IF(O2946&lt;&gt;원인분석!$C$9,"",IF(AND(M2946&gt;=원인분석!$C$10,M2946&lt;=원인분석!$C$11),"당기",IF(AND(M2946&gt;=원인분석!$C$12,M2946&lt;=원인분석!$C$13),"비교",""))))</f>
        <v/>
      </c>
      <c r="R2946" s="9">
        <f>IF(Q2946="","",$K2946&amp;"")</f>
        <v/>
      </c>
      <c r="S2946" s="9">
        <f>IF(Q2946="","",IF(MATCH(R2946,$R$5:$R$100000,0)=ROW()-4,ROW(),""))</f>
        <v/>
      </c>
      <c r="T2946" s="9">
        <f>IF(Q2946="당기",ABS(P2946)+ROW()/1000000000,"")</f>
        <v/>
      </c>
      <c r="U2946" s="9">
        <f>IF(Q2946="비교",ABS(P2946)+ROW()/1000000000,"")</f>
        <v/>
      </c>
      <c r="V2946" s="64">
        <f>IF($A2946="","",IF(COUNTIF(변동분석!$E$7:$E$506,O2946)&gt;0,"Y","N"))</f>
        <v/>
      </c>
      <c r="W2946" s="64">
        <f>IF($A2946="","",IFERROR(INDEX(계정매핑!$D$5:$D$504,MATCH($F2946&amp;"",계정매핑!$A$5:$A$504,0)),"미매핑"))</f>
        <v/>
      </c>
      <c r="X2946" s="9">
        <f>IF($A2946="","",$F2946&amp;"")</f>
        <v/>
      </c>
      <c r="Y2946" s="94">
        <f>IF($A2946="",0,IF(AE2946="직접",IF(AF2946="비귀속",$P2946,0),$P2946*(1-AG2946)*IFERROR(INDEX(계정대체기준!$F$20:$F$49,MATCH($N2946,계정대체기준!$A$20:$A$49,0)),1)))</f>
        <v/>
      </c>
      <c r="Z2946" s="94">
        <f>IF($A2946="",0,IF(AE2946="직접",IF(AF2946="신계약비",$P2946,0),$P2946*(1-AG2946)*IFERROR(INDEX(계정대체기준!$C$20:$C$49,MATCH($N2946,계정대체기준!$A$20:$A$49,0)),0)))</f>
        <v/>
      </c>
      <c r="AA2946" s="94">
        <f>IF($A2946="",0,IF(AE2946="직접",IF(OR(AF2946="유지비",AF2946="손해조사비"),$P2946,0),$P2946*(1-AG2946)*IFERROR(INDEX(계정대체기준!$D$20:$D$49,MATCH($N2946,계정대체기준!$A$20:$A$49,0)),0)))</f>
        <v/>
      </c>
      <c r="AB2946" s="94">
        <f>IF($A2946="",0,IF(AE2946="직접",IF(AF2946="수금비",$P2946,0),$P2946*(1-AG2946)*IFERROR(INDEX(계정대체기준!$E$20:$E$49,MATCH($N2946,계정대체기준!$A$20:$A$49,0)),0)))</f>
        <v/>
      </c>
      <c r="AC2946" s="9">
        <f>IF(AND($A2946&lt;&gt;"",M2946=설정!$C$20,Z2946&gt;0),Z2946+ROW()/1000000000,"")</f>
        <v/>
      </c>
      <c r="AD2946" s="94">
        <f>IF($A2946="",0,$P2946*AG2946)</f>
        <v/>
      </c>
      <c r="AE2946" s="64">
        <f>IF($A2946="","",IFERROR(INDEX(계정매핑!$E$5:$E$504,MATCH($F2946&amp;"",계정매핑!$A$5:$A$504,0))&amp;"","공통비"))</f>
        <v/>
      </c>
      <c r="AF2946" s="64">
        <f>IF($A2946="","",IF(AE2946="직접",IFERROR(INDEX(계정매핑!$F$5:$F$504,MATCH($F2946&amp;"",계정매핑!$A$5:$A$504,0))&amp;"","비귀속"),""))</f>
        <v/>
      </c>
      <c r="AG2946" s="96">
        <f>IF($A2946="",0,IF(AND(AE2946&lt;&gt;"직접",IFERROR(INDEX(계정매핑!$G$5:$G$504,MATCH($F2946&amp;"",계정매핑!$A$5:$A$504,0))&amp;"","")="유지비",COUNTIF(계정대체기준!$A$6:$A$15,$N2946)&gt;0),IFERROR(INDEX(계정대체기준!$E$6:$E$15,MATCH(VALUE($A2946&amp;""),계정대체기준!$D$6:$D$15,0)),0),0))</f>
        <v/>
      </c>
      <c r="AH2946" s="64">
        <f>IF($A2946="","",IF(AD2946=0,"",IF(OR(COUNTIF(계정대체기준!$A$77:$A$86,$N2946)&gt;0,ISNUMBER(MATCH($X2946,계정대체기준!$D$77:$D$86,0)),ISNUMBER(MATCH($F2946,계정대체기준!$D$77:$D$86,0))),"Y","N")))</f>
        <v/>
      </c>
    </row>
    <row r="2947">
      <c r="A2947" s="92" t="n">
        <v>2026</v>
      </c>
      <c r="B2947" s="92" t="n">
        <v>1</v>
      </c>
      <c r="C2947" s="92" t="inlineStr">
        <is>
          <t>5100000225</t>
        </is>
      </c>
      <c r="D2947" s="95" t="n">
        <v>46049</v>
      </c>
      <c r="E2947" s="92" t="inlineStr">
        <is>
          <t>KR</t>
        </is>
      </c>
      <c r="F2947" s="92" t="n">
        <v>62902000</v>
      </c>
      <c r="G2947" s="92" t="n">
        <v>1201</v>
      </c>
      <c r="H2947" s="93" t="n">
        <v>4237000</v>
      </c>
      <c r="I2947" s="92" t="inlineStr">
        <is>
          <t>1월 업무 위탁 수수료 - X서비스</t>
        </is>
      </c>
      <c r="J2947" s="92" t="inlineStr">
        <is>
          <t>V10020</t>
        </is>
      </c>
      <c r="K2947" s="92" t="inlineStr">
        <is>
          <t>X서비스</t>
        </is>
      </c>
      <c r="M2947" s="9">
        <f>IF($A2947="","",VALUE($A2947&amp;"")*12+VALUE($B2947&amp;""))</f>
        <v/>
      </c>
      <c r="N2947" s="64">
        <f>IF($A2947="","",IFERROR(INDEX(부서매핑!$C$5:$C$504,MATCH($G2947&amp;"",부서매핑!$A$5:$A$504,0)),"미매핑"))</f>
        <v/>
      </c>
      <c r="O2947" s="9">
        <f>IF($A2947="","",N2947&amp;"|"&amp;$F2947)</f>
        <v/>
      </c>
      <c r="P2947" s="94">
        <f>IF($A2947="",0,$H2947*설정!$C$23)</f>
        <v/>
      </c>
      <c r="Q2947" s="64">
        <f>IF($A2947="","",IF(O2947&lt;&gt;원인분석!$C$9,"",IF(AND(M2947&gt;=원인분석!$C$10,M2947&lt;=원인분석!$C$11),"당기",IF(AND(M2947&gt;=원인분석!$C$12,M2947&lt;=원인분석!$C$13),"비교",""))))</f>
        <v/>
      </c>
      <c r="R2947" s="9">
        <f>IF(Q2947="","",$K2947&amp;"")</f>
        <v/>
      </c>
      <c r="S2947" s="9">
        <f>IF(Q2947="","",IF(MATCH(R2947,$R$5:$R$100000,0)=ROW()-4,ROW(),""))</f>
        <v/>
      </c>
      <c r="T2947" s="9">
        <f>IF(Q2947="당기",ABS(P2947)+ROW()/1000000000,"")</f>
        <v/>
      </c>
      <c r="U2947" s="9">
        <f>IF(Q2947="비교",ABS(P2947)+ROW()/1000000000,"")</f>
        <v/>
      </c>
      <c r="V2947" s="64">
        <f>IF($A2947="","",IF(COUNTIF(변동분석!$E$7:$E$506,O2947)&gt;0,"Y","N"))</f>
        <v/>
      </c>
      <c r="W2947" s="64">
        <f>IF($A2947="","",IFERROR(INDEX(계정매핑!$D$5:$D$504,MATCH($F2947&amp;"",계정매핑!$A$5:$A$504,0)),"미매핑"))</f>
        <v/>
      </c>
      <c r="X2947" s="9">
        <f>IF($A2947="","",$F2947&amp;"")</f>
        <v/>
      </c>
      <c r="Y2947" s="94">
        <f>IF($A2947="",0,IF(AE2947="직접",IF(AF2947="비귀속",$P2947,0),$P2947*(1-AG2947)*IFERROR(INDEX(계정대체기준!$F$20:$F$49,MATCH($N2947,계정대체기준!$A$20:$A$49,0)),1)))</f>
        <v/>
      </c>
      <c r="Z2947" s="94">
        <f>IF($A2947="",0,IF(AE2947="직접",IF(AF2947="신계약비",$P2947,0),$P2947*(1-AG2947)*IFERROR(INDEX(계정대체기준!$C$20:$C$49,MATCH($N2947,계정대체기준!$A$20:$A$49,0)),0)))</f>
        <v/>
      </c>
      <c r="AA2947" s="94">
        <f>IF($A2947="",0,IF(AE2947="직접",IF(OR(AF2947="유지비",AF2947="손해조사비"),$P2947,0),$P2947*(1-AG2947)*IFERROR(INDEX(계정대체기준!$D$20:$D$49,MATCH($N2947,계정대체기준!$A$20:$A$49,0)),0)))</f>
        <v/>
      </c>
      <c r="AB2947" s="94">
        <f>IF($A2947="",0,IF(AE2947="직접",IF(AF2947="수금비",$P2947,0),$P2947*(1-AG2947)*IFERROR(INDEX(계정대체기준!$E$20:$E$49,MATCH($N2947,계정대체기준!$A$20:$A$49,0)),0)))</f>
        <v/>
      </c>
      <c r="AC2947" s="9">
        <f>IF(AND($A2947&lt;&gt;"",M2947=설정!$C$20,Z2947&gt;0),Z2947+ROW()/1000000000,"")</f>
        <v/>
      </c>
      <c r="AD2947" s="94">
        <f>IF($A2947="",0,$P2947*AG2947)</f>
        <v/>
      </c>
      <c r="AE2947" s="64">
        <f>IF($A2947="","",IFERROR(INDEX(계정매핑!$E$5:$E$504,MATCH($F2947&amp;"",계정매핑!$A$5:$A$504,0))&amp;"","공통비"))</f>
        <v/>
      </c>
      <c r="AF2947" s="64">
        <f>IF($A2947="","",IF(AE2947="직접",IFERROR(INDEX(계정매핑!$F$5:$F$504,MATCH($F2947&amp;"",계정매핑!$A$5:$A$504,0))&amp;"","비귀속"),""))</f>
        <v/>
      </c>
      <c r="AG2947" s="96">
        <f>IF($A2947="",0,IF(AND(AE2947&lt;&gt;"직접",IFERROR(INDEX(계정매핑!$G$5:$G$504,MATCH($F2947&amp;"",계정매핑!$A$5:$A$504,0))&amp;"","")="유지비",COUNTIF(계정대체기준!$A$6:$A$15,$N2947)&gt;0),IFERROR(INDEX(계정대체기준!$E$6:$E$15,MATCH(VALUE($A2947&amp;""),계정대체기준!$D$6:$D$15,0)),0),0))</f>
        <v/>
      </c>
      <c r="AH2947" s="64">
        <f>IF($A2947="","",IF(AD2947=0,"",IF(OR(COUNTIF(계정대체기준!$A$77:$A$86,$N2947)&gt;0,ISNUMBER(MATCH($X2947,계정대체기준!$D$77:$D$86,0)),ISNUMBER(MATCH($F2947,계정대체기준!$D$77:$D$86,0))),"Y","N")))</f>
        <v/>
      </c>
    </row>
    <row r="2948">
      <c r="A2948" s="92" t="n">
        <v>2026</v>
      </c>
      <c r="B2948" s="92" t="n">
        <v>1</v>
      </c>
      <c r="C2948" s="92" t="inlineStr">
        <is>
          <t>5100000226</t>
        </is>
      </c>
      <c r="D2948" s="95" t="n">
        <v>46049</v>
      </c>
      <c r="E2948" s="92" t="inlineStr">
        <is>
          <t>KR</t>
        </is>
      </c>
      <c r="F2948" s="92" t="n">
        <v>62902000</v>
      </c>
      <c r="G2948" s="92" t="n">
        <v>1801</v>
      </c>
      <c r="H2948" s="93" t="n">
        <v>1836000</v>
      </c>
      <c r="I2948" s="92" t="inlineStr">
        <is>
          <t>1월 콜 위탁 수수료(건별)</t>
        </is>
      </c>
      <c r="J2948" s="92" t="inlineStr">
        <is>
          <t>V10016</t>
        </is>
      </c>
      <c r="K2948" s="92" t="inlineStr">
        <is>
          <t>J콜센터</t>
        </is>
      </c>
      <c r="M2948" s="9">
        <f>IF($A2948="","",VALUE($A2948&amp;"")*12+VALUE($B2948&amp;""))</f>
        <v/>
      </c>
      <c r="N2948" s="64">
        <f>IF($A2948="","",IFERROR(INDEX(부서매핑!$C$5:$C$504,MATCH($G2948&amp;"",부서매핑!$A$5:$A$504,0)),"미매핑"))</f>
        <v/>
      </c>
      <c r="O2948" s="9">
        <f>IF($A2948="","",N2948&amp;"|"&amp;$F2948)</f>
        <v/>
      </c>
      <c r="P2948" s="94">
        <f>IF($A2948="",0,$H2948*설정!$C$23)</f>
        <v/>
      </c>
      <c r="Q2948" s="64">
        <f>IF($A2948="","",IF(O2948&lt;&gt;원인분석!$C$9,"",IF(AND(M2948&gt;=원인분석!$C$10,M2948&lt;=원인분석!$C$11),"당기",IF(AND(M2948&gt;=원인분석!$C$12,M2948&lt;=원인분석!$C$13),"비교",""))))</f>
        <v/>
      </c>
      <c r="R2948" s="9">
        <f>IF(Q2948="","",$K2948&amp;"")</f>
        <v/>
      </c>
      <c r="S2948" s="9">
        <f>IF(Q2948="","",IF(MATCH(R2948,$R$5:$R$100000,0)=ROW()-4,ROW(),""))</f>
        <v/>
      </c>
      <c r="T2948" s="9">
        <f>IF(Q2948="당기",ABS(P2948)+ROW()/1000000000,"")</f>
        <v/>
      </c>
      <c r="U2948" s="9">
        <f>IF(Q2948="비교",ABS(P2948)+ROW()/1000000000,"")</f>
        <v/>
      </c>
      <c r="V2948" s="64">
        <f>IF($A2948="","",IF(COUNTIF(변동분석!$E$7:$E$506,O2948)&gt;0,"Y","N"))</f>
        <v/>
      </c>
      <c r="W2948" s="64">
        <f>IF($A2948="","",IFERROR(INDEX(계정매핑!$D$5:$D$504,MATCH($F2948&amp;"",계정매핑!$A$5:$A$504,0)),"미매핑"))</f>
        <v/>
      </c>
      <c r="X2948" s="9">
        <f>IF($A2948="","",$F2948&amp;"")</f>
        <v/>
      </c>
      <c r="Y2948" s="94">
        <f>IF($A2948="",0,IF(AE2948="직접",IF(AF2948="비귀속",$P2948,0),$P2948*(1-AG2948)*IFERROR(INDEX(계정대체기준!$F$20:$F$49,MATCH($N2948,계정대체기준!$A$20:$A$49,0)),1)))</f>
        <v/>
      </c>
      <c r="Z2948" s="94">
        <f>IF($A2948="",0,IF(AE2948="직접",IF(AF2948="신계약비",$P2948,0),$P2948*(1-AG2948)*IFERROR(INDEX(계정대체기준!$C$20:$C$49,MATCH($N2948,계정대체기준!$A$20:$A$49,0)),0)))</f>
        <v/>
      </c>
      <c r="AA2948" s="94">
        <f>IF($A2948="",0,IF(AE2948="직접",IF(OR(AF2948="유지비",AF2948="손해조사비"),$P2948,0),$P2948*(1-AG2948)*IFERROR(INDEX(계정대체기준!$D$20:$D$49,MATCH($N2948,계정대체기준!$A$20:$A$49,0)),0)))</f>
        <v/>
      </c>
      <c r="AB2948" s="94">
        <f>IF($A2948="",0,IF(AE2948="직접",IF(AF2948="수금비",$P2948,0),$P2948*(1-AG2948)*IFERROR(INDEX(계정대체기준!$E$20:$E$49,MATCH($N2948,계정대체기준!$A$20:$A$49,0)),0)))</f>
        <v/>
      </c>
      <c r="AC2948" s="9">
        <f>IF(AND($A2948&lt;&gt;"",M2948=설정!$C$20,Z2948&gt;0),Z2948+ROW()/1000000000,"")</f>
        <v/>
      </c>
      <c r="AD2948" s="94">
        <f>IF($A2948="",0,$P2948*AG2948)</f>
        <v/>
      </c>
      <c r="AE2948" s="64">
        <f>IF($A2948="","",IFERROR(INDEX(계정매핑!$E$5:$E$504,MATCH($F2948&amp;"",계정매핑!$A$5:$A$504,0))&amp;"","공통비"))</f>
        <v/>
      </c>
      <c r="AF2948" s="64">
        <f>IF($A2948="","",IF(AE2948="직접",IFERROR(INDEX(계정매핑!$F$5:$F$504,MATCH($F2948&amp;"",계정매핑!$A$5:$A$504,0))&amp;"","비귀속"),""))</f>
        <v/>
      </c>
      <c r="AG2948" s="96">
        <f>IF($A2948="",0,IF(AND(AE2948&lt;&gt;"직접",IFERROR(INDEX(계정매핑!$G$5:$G$504,MATCH($F2948&amp;"",계정매핑!$A$5:$A$504,0))&amp;"","")="유지비",COUNTIF(계정대체기준!$A$6:$A$15,$N2948)&gt;0),IFERROR(INDEX(계정대체기준!$E$6:$E$15,MATCH(VALUE($A2948&amp;""),계정대체기준!$D$6:$D$15,0)),0),0))</f>
        <v/>
      </c>
      <c r="AH2948" s="64">
        <f>IF($A2948="","",IF(AD2948=0,"",IF(OR(COUNTIF(계정대체기준!$A$77:$A$86,$N2948)&gt;0,ISNUMBER(MATCH($X2948,계정대체기준!$D$77:$D$86,0)),ISNUMBER(MATCH($F2948,계정대체기준!$D$77:$D$86,0))),"Y","N")))</f>
        <v/>
      </c>
    </row>
    <row r="2949">
      <c r="A2949" s="92" t="n">
        <v>2026</v>
      </c>
      <c r="B2949" s="92" t="n">
        <v>2</v>
      </c>
      <c r="C2949" s="92" t="inlineStr">
        <is>
          <t>5100000227</t>
        </is>
      </c>
      <c r="D2949" s="95" t="n">
        <v>46055</v>
      </c>
      <c r="E2949" s="92" t="inlineStr">
        <is>
          <t>KR</t>
        </is>
      </c>
      <c r="F2949" s="92" t="n">
        <v>62101000</v>
      </c>
      <c r="G2949" s="92" t="n">
        <v>1501</v>
      </c>
      <c r="H2949" s="93" t="n">
        <v>663000</v>
      </c>
      <c r="I2949" s="92" t="inlineStr">
        <is>
          <t>2월 국내출장 - (법인카드)</t>
        </is>
      </c>
      <c r="J2949" s="92" t="inlineStr">
        <is>
          <t>V10010</t>
        </is>
      </c>
      <c r="K2949" s="92" t="inlineStr">
        <is>
          <t>(법인카드)</t>
        </is>
      </c>
      <c r="M2949" s="9">
        <f>IF($A2949="","",VALUE($A2949&amp;"")*12+VALUE($B2949&amp;""))</f>
        <v/>
      </c>
      <c r="N2949" s="64">
        <f>IF($A2949="","",IFERROR(INDEX(부서매핑!$C$5:$C$504,MATCH($G2949&amp;"",부서매핑!$A$5:$A$504,0)),"미매핑"))</f>
        <v/>
      </c>
      <c r="O2949" s="9">
        <f>IF($A2949="","",N2949&amp;"|"&amp;$F2949)</f>
        <v/>
      </c>
      <c r="P2949" s="94">
        <f>IF($A2949="",0,$H2949*설정!$C$23)</f>
        <v/>
      </c>
      <c r="Q2949" s="64">
        <f>IF($A2949="","",IF(O2949&lt;&gt;원인분석!$C$9,"",IF(AND(M2949&gt;=원인분석!$C$10,M2949&lt;=원인분석!$C$11),"당기",IF(AND(M2949&gt;=원인분석!$C$12,M2949&lt;=원인분석!$C$13),"비교",""))))</f>
        <v/>
      </c>
      <c r="R2949" s="9">
        <f>IF(Q2949="","",$K2949&amp;"")</f>
        <v/>
      </c>
      <c r="S2949" s="9">
        <f>IF(Q2949="","",IF(MATCH(R2949,$R$5:$R$100000,0)=ROW()-4,ROW(),""))</f>
        <v/>
      </c>
      <c r="T2949" s="9">
        <f>IF(Q2949="당기",ABS(P2949)+ROW()/1000000000,"")</f>
        <v/>
      </c>
      <c r="U2949" s="9">
        <f>IF(Q2949="비교",ABS(P2949)+ROW()/1000000000,"")</f>
        <v/>
      </c>
      <c r="V2949" s="64">
        <f>IF($A2949="","",IF(COUNTIF(변동분석!$E$7:$E$506,O2949)&gt;0,"Y","N"))</f>
        <v/>
      </c>
      <c r="W2949" s="64">
        <f>IF($A2949="","",IFERROR(INDEX(계정매핑!$D$5:$D$504,MATCH($F2949&amp;"",계정매핑!$A$5:$A$504,0)),"미매핑"))</f>
        <v/>
      </c>
      <c r="X2949" s="9">
        <f>IF($A2949="","",$F2949&amp;"")</f>
        <v/>
      </c>
      <c r="Y2949" s="94">
        <f>IF($A2949="",0,IF(AE2949="직접",IF(AF2949="비귀속",$P2949,0),$P2949*(1-AG2949)*IFERROR(INDEX(계정대체기준!$F$20:$F$49,MATCH($N2949,계정대체기준!$A$20:$A$49,0)),1)))</f>
        <v/>
      </c>
      <c r="Z2949" s="94">
        <f>IF($A2949="",0,IF(AE2949="직접",IF(AF2949="신계약비",$P2949,0),$P2949*(1-AG2949)*IFERROR(INDEX(계정대체기준!$C$20:$C$49,MATCH($N2949,계정대체기준!$A$20:$A$49,0)),0)))</f>
        <v/>
      </c>
      <c r="AA2949" s="94">
        <f>IF($A2949="",0,IF(AE2949="직접",IF(OR(AF2949="유지비",AF2949="손해조사비"),$P2949,0),$P2949*(1-AG2949)*IFERROR(INDEX(계정대체기준!$D$20:$D$49,MATCH($N2949,계정대체기준!$A$20:$A$49,0)),0)))</f>
        <v/>
      </c>
      <c r="AB2949" s="94">
        <f>IF($A2949="",0,IF(AE2949="직접",IF(AF2949="수금비",$P2949,0),$P2949*(1-AG2949)*IFERROR(INDEX(계정대체기준!$E$20:$E$49,MATCH($N2949,계정대체기준!$A$20:$A$49,0)),0)))</f>
        <v/>
      </c>
      <c r="AC2949" s="9">
        <f>IF(AND($A2949&lt;&gt;"",M2949=설정!$C$20,Z2949&gt;0),Z2949+ROW()/1000000000,"")</f>
        <v/>
      </c>
      <c r="AD2949" s="94">
        <f>IF($A2949="",0,$P2949*AG2949)</f>
        <v/>
      </c>
      <c r="AE2949" s="64">
        <f>IF($A2949="","",IFERROR(INDEX(계정매핑!$E$5:$E$504,MATCH($F2949&amp;"",계정매핑!$A$5:$A$504,0))&amp;"","공통비"))</f>
        <v/>
      </c>
      <c r="AF2949" s="64">
        <f>IF($A2949="","",IF(AE2949="직접",IFERROR(INDEX(계정매핑!$F$5:$F$504,MATCH($F2949&amp;"",계정매핑!$A$5:$A$504,0))&amp;"","비귀속"),""))</f>
        <v/>
      </c>
      <c r="AG2949" s="96">
        <f>IF($A2949="",0,IF(AND(AE2949&lt;&gt;"직접",IFERROR(INDEX(계정매핑!$G$5:$G$504,MATCH($F2949&amp;"",계정매핑!$A$5:$A$504,0))&amp;"","")="유지비",COUNTIF(계정대체기준!$A$6:$A$15,$N2949)&gt;0),IFERROR(INDEX(계정대체기준!$E$6:$E$15,MATCH(VALUE($A2949&amp;""),계정대체기준!$D$6:$D$15,0)),0),0))</f>
        <v/>
      </c>
      <c r="AH2949" s="64">
        <f>IF($A2949="","",IF(AD2949=0,"",IF(OR(COUNTIF(계정대체기준!$A$77:$A$86,$N2949)&gt;0,ISNUMBER(MATCH($X2949,계정대체기준!$D$77:$D$86,0)),ISNUMBER(MATCH($F2949,계정대체기준!$D$77:$D$86,0))),"Y","N")))</f>
        <v/>
      </c>
    </row>
    <row r="2950">
      <c r="A2950" s="92" t="n">
        <v>2026</v>
      </c>
      <c r="B2950" s="92" t="n">
        <v>2</v>
      </c>
      <c r="C2950" s="92" t="inlineStr">
        <is>
          <t>5100000228</t>
        </is>
      </c>
      <c r="D2950" s="95" t="n">
        <v>46055</v>
      </c>
      <c r="E2950" s="92" t="inlineStr">
        <is>
          <t>KR</t>
        </is>
      </c>
      <c r="F2950" s="92" t="n">
        <v>62102000</v>
      </c>
      <c r="G2950" s="92" t="n">
        <v>1602</v>
      </c>
      <c r="H2950" s="93" t="n">
        <v>381000</v>
      </c>
      <c r="I2950" s="92" t="inlineStr">
        <is>
          <t>2월 해외출장 - M항공</t>
        </is>
      </c>
      <c r="J2950" s="92" t="inlineStr">
        <is>
          <t>V10001</t>
        </is>
      </c>
      <c r="K2950" s="92" t="inlineStr">
        <is>
          <t>M항공</t>
        </is>
      </c>
      <c r="M2950" s="9">
        <f>IF($A2950="","",VALUE($A2950&amp;"")*12+VALUE($B2950&amp;""))</f>
        <v/>
      </c>
      <c r="N2950" s="64">
        <f>IF($A2950="","",IFERROR(INDEX(부서매핑!$C$5:$C$504,MATCH($G2950&amp;"",부서매핑!$A$5:$A$504,0)),"미매핑"))</f>
        <v/>
      </c>
      <c r="O2950" s="9">
        <f>IF($A2950="","",N2950&amp;"|"&amp;$F2950)</f>
        <v/>
      </c>
      <c r="P2950" s="94">
        <f>IF($A2950="",0,$H2950*설정!$C$23)</f>
        <v/>
      </c>
      <c r="Q2950" s="64">
        <f>IF($A2950="","",IF(O2950&lt;&gt;원인분석!$C$9,"",IF(AND(M2950&gt;=원인분석!$C$10,M2950&lt;=원인분석!$C$11),"당기",IF(AND(M2950&gt;=원인분석!$C$12,M2950&lt;=원인분석!$C$13),"비교",""))))</f>
        <v/>
      </c>
      <c r="R2950" s="9">
        <f>IF(Q2950="","",$K2950&amp;"")</f>
        <v/>
      </c>
      <c r="S2950" s="9">
        <f>IF(Q2950="","",IF(MATCH(R2950,$R$5:$R$100000,0)=ROW()-4,ROW(),""))</f>
        <v/>
      </c>
      <c r="T2950" s="9">
        <f>IF(Q2950="당기",ABS(P2950)+ROW()/1000000000,"")</f>
        <v/>
      </c>
      <c r="U2950" s="9">
        <f>IF(Q2950="비교",ABS(P2950)+ROW()/1000000000,"")</f>
        <v/>
      </c>
      <c r="V2950" s="64">
        <f>IF($A2950="","",IF(COUNTIF(변동분석!$E$7:$E$506,O2950)&gt;0,"Y","N"))</f>
        <v/>
      </c>
      <c r="W2950" s="64">
        <f>IF($A2950="","",IFERROR(INDEX(계정매핑!$D$5:$D$504,MATCH($F2950&amp;"",계정매핑!$A$5:$A$504,0)),"미매핑"))</f>
        <v/>
      </c>
      <c r="X2950" s="9">
        <f>IF($A2950="","",$F2950&amp;"")</f>
        <v/>
      </c>
      <c r="Y2950" s="94">
        <f>IF($A2950="",0,IF(AE2950="직접",IF(AF2950="비귀속",$P2950,0),$P2950*(1-AG2950)*IFERROR(INDEX(계정대체기준!$F$20:$F$49,MATCH($N2950,계정대체기준!$A$20:$A$49,0)),1)))</f>
        <v/>
      </c>
      <c r="Z2950" s="94">
        <f>IF($A2950="",0,IF(AE2950="직접",IF(AF2950="신계약비",$P2950,0),$P2950*(1-AG2950)*IFERROR(INDEX(계정대체기준!$C$20:$C$49,MATCH($N2950,계정대체기준!$A$20:$A$49,0)),0)))</f>
        <v/>
      </c>
      <c r="AA2950" s="94">
        <f>IF($A2950="",0,IF(AE2950="직접",IF(OR(AF2950="유지비",AF2950="손해조사비"),$P2950,0),$P2950*(1-AG2950)*IFERROR(INDEX(계정대체기준!$D$20:$D$49,MATCH($N2950,계정대체기준!$A$20:$A$49,0)),0)))</f>
        <v/>
      </c>
      <c r="AB2950" s="94">
        <f>IF($A2950="",0,IF(AE2950="직접",IF(AF2950="수금비",$P2950,0),$P2950*(1-AG2950)*IFERROR(INDEX(계정대체기준!$E$20:$E$49,MATCH($N2950,계정대체기준!$A$20:$A$49,0)),0)))</f>
        <v/>
      </c>
      <c r="AC2950" s="9">
        <f>IF(AND($A2950&lt;&gt;"",M2950=설정!$C$20,Z2950&gt;0),Z2950+ROW()/1000000000,"")</f>
        <v/>
      </c>
      <c r="AD2950" s="94">
        <f>IF($A2950="",0,$P2950*AG2950)</f>
        <v/>
      </c>
      <c r="AE2950" s="64">
        <f>IF($A2950="","",IFERROR(INDEX(계정매핑!$E$5:$E$504,MATCH($F2950&amp;"",계정매핑!$A$5:$A$504,0))&amp;"","공통비"))</f>
        <v/>
      </c>
      <c r="AF2950" s="64">
        <f>IF($A2950="","",IF(AE2950="직접",IFERROR(INDEX(계정매핑!$F$5:$F$504,MATCH($F2950&amp;"",계정매핑!$A$5:$A$504,0))&amp;"","비귀속"),""))</f>
        <v/>
      </c>
      <c r="AG2950" s="96">
        <f>IF($A2950="",0,IF(AND(AE2950&lt;&gt;"직접",IFERROR(INDEX(계정매핑!$G$5:$G$504,MATCH($F2950&amp;"",계정매핑!$A$5:$A$504,0))&amp;"","")="유지비",COUNTIF(계정대체기준!$A$6:$A$15,$N2950)&gt;0),IFERROR(INDEX(계정대체기준!$E$6:$E$15,MATCH(VALUE($A2950&amp;""),계정대체기준!$D$6:$D$15,0)),0),0))</f>
        <v/>
      </c>
      <c r="AH2950" s="64">
        <f>IF($A2950="","",IF(AD2950=0,"",IF(OR(COUNTIF(계정대체기준!$A$77:$A$86,$N2950)&gt;0,ISNUMBER(MATCH($X2950,계정대체기준!$D$77:$D$86,0)),ISNUMBER(MATCH($F2950,계정대체기준!$D$77:$D$86,0))),"Y","N")))</f>
        <v/>
      </c>
    </row>
    <row r="2951">
      <c r="A2951" s="92" t="n">
        <v>2026</v>
      </c>
      <c r="B2951" s="92" t="n">
        <v>2</v>
      </c>
      <c r="C2951" s="92" t="inlineStr">
        <is>
          <t>5100000229</t>
        </is>
      </c>
      <c r="D2951" s="95" t="n">
        <v>46055</v>
      </c>
      <c r="E2951" s="92" t="inlineStr">
        <is>
          <t>KR</t>
        </is>
      </c>
      <c r="F2951" s="92" t="n">
        <v>62301000</v>
      </c>
      <c r="G2951" s="92" t="n">
        <v>1801</v>
      </c>
      <c r="H2951" s="93" t="n">
        <v>412000</v>
      </c>
      <c r="I2951" s="92" t="inlineStr">
        <is>
          <t>2월 소모품 구입 - Q오피스</t>
        </is>
      </c>
      <c r="J2951" s="92" t="inlineStr">
        <is>
          <t>V10003</t>
        </is>
      </c>
      <c r="K2951" s="92" t="inlineStr">
        <is>
          <t>Q오피스</t>
        </is>
      </c>
      <c r="M2951" s="9">
        <f>IF($A2951="","",VALUE($A2951&amp;"")*12+VALUE($B2951&amp;""))</f>
        <v/>
      </c>
      <c r="N2951" s="64">
        <f>IF($A2951="","",IFERROR(INDEX(부서매핑!$C$5:$C$504,MATCH($G2951&amp;"",부서매핑!$A$5:$A$504,0)),"미매핑"))</f>
        <v/>
      </c>
      <c r="O2951" s="9">
        <f>IF($A2951="","",N2951&amp;"|"&amp;$F2951)</f>
        <v/>
      </c>
      <c r="P2951" s="94">
        <f>IF($A2951="",0,$H2951*설정!$C$23)</f>
        <v/>
      </c>
      <c r="Q2951" s="64">
        <f>IF($A2951="","",IF(O2951&lt;&gt;원인분석!$C$9,"",IF(AND(M2951&gt;=원인분석!$C$10,M2951&lt;=원인분석!$C$11),"당기",IF(AND(M2951&gt;=원인분석!$C$12,M2951&lt;=원인분석!$C$13),"비교",""))))</f>
        <v/>
      </c>
      <c r="R2951" s="9">
        <f>IF(Q2951="","",$K2951&amp;"")</f>
        <v/>
      </c>
      <c r="S2951" s="9">
        <f>IF(Q2951="","",IF(MATCH(R2951,$R$5:$R$100000,0)=ROW()-4,ROW(),""))</f>
        <v/>
      </c>
      <c r="T2951" s="9">
        <f>IF(Q2951="당기",ABS(P2951)+ROW()/1000000000,"")</f>
        <v/>
      </c>
      <c r="U2951" s="9">
        <f>IF(Q2951="비교",ABS(P2951)+ROW()/1000000000,"")</f>
        <v/>
      </c>
      <c r="V2951" s="64">
        <f>IF($A2951="","",IF(COUNTIF(변동분석!$E$7:$E$506,O2951)&gt;0,"Y","N"))</f>
        <v/>
      </c>
      <c r="W2951" s="64">
        <f>IF($A2951="","",IFERROR(INDEX(계정매핑!$D$5:$D$504,MATCH($F2951&amp;"",계정매핑!$A$5:$A$504,0)),"미매핑"))</f>
        <v/>
      </c>
      <c r="X2951" s="9">
        <f>IF($A2951="","",$F2951&amp;"")</f>
        <v/>
      </c>
      <c r="Y2951" s="94">
        <f>IF($A2951="",0,IF(AE2951="직접",IF(AF2951="비귀속",$P2951,0),$P2951*(1-AG2951)*IFERROR(INDEX(계정대체기준!$F$20:$F$49,MATCH($N2951,계정대체기준!$A$20:$A$49,0)),1)))</f>
        <v/>
      </c>
      <c r="Z2951" s="94">
        <f>IF($A2951="",0,IF(AE2951="직접",IF(AF2951="신계약비",$P2951,0),$P2951*(1-AG2951)*IFERROR(INDEX(계정대체기준!$C$20:$C$49,MATCH($N2951,계정대체기준!$A$20:$A$49,0)),0)))</f>
        <v/>
      </c>
      <c r="AA2951" s="94">
        <f>IF($A2951="",0,IF(AE2951="직접",IF(OR(AF2951="유지비",AF2951="손해조사비"),$P2951,0),$P2951*(1-AG2951)*IFERROR(INDEX(계정대체기준!$D$20:$D$49,MATCH($N2951,계정대체기준!$A$20:$A$49,0)),0)))</f>
        <v/>
      </c>
      <c r="AB2951" s="94">
        <f>IF($A2951="",0,IF(AE2951="직접",IF(AF2951="수금비",$P2951,0),$P2951*(1-AG2951)*IFERROR(INDEX(계정대체기준!$E$20:$E$49,MATCH($N2951,계정대체기준!$A$20:$A$49,0)),0)))</f>
        <v/>
      </c>
      <c r="AC2951" s="9">
        <f>IF(AND($A2951&lt;&gt;"",M2951=설정!$C$20,Z2951&gt;0),Z2951+ROW()/1000000000,"")</f>
        <v/>
      </c>
      <c r="AD2951" s="94">
        <f>IF($A2951="",0,$P2951*AG2951)</f>
        <v/>
      </c>
      <c r="AE2951" s="64">
        <f>IF($A2951="","",IFERROR(INDEX(계정매핑!$E$5:$E$504,MATCH($F2951&amp;"",계정매핑!$A$5:$A$504,0))&amp;"","공통비"))</f>
        <v/>
      </c>
      <c r="AF2951" s="64">
        <f>IF($A2951="","",IF(AE2951="직접",IFERROR(INDEX(계정매핑!$F$5:$F$504,MATCH($F2951&amp;"",계정매핑!$A$5:$A$504,0))&amp;"","비귀속"),""))</f>
        <v/>
      </c>
      <c r="AG2951" s="96">
        <f>IF($A2951="",0,IF(AND(AE2951&lt;&gt;"직접",IFERROR(INDEX(계정매핑!$G$5:$G$504,MATCH($F2951&amp;"",계정매핑!$A$5:$A$504,0))&amp;"","")="유지비",COUNTIF(계정대체기준!$A$6:$A$15,$N2951)&gt;0),IFERROR(INDEX(계정대체기준!$E$6:$E$15,MATCH(VALUE($A2951&amp;""),계정대체기준!$D$6:$D$15,0)),0),0))</f>
        <v/>
      </c>
      <c r="AH2951" s="64">
        <f>IF($A2951="","",IF(AD2951=0,"",IF(OR(COUNTIF(계정대체기준!$A$77:$A$86,$N2951)&gt;0,ISNUMBER(MATCH($X2951,계정대체기준!$D$77:$D$86,0)),ISNUMBER(MATCH($F2951,계정대체기준!$D$77:$D$86,0))),"Y","N")))</f>
        <v/>
      </c>
    </row>
    <row r="2952">
      <c r="A2952" s="92" t="n">
        <v>2026</v>
      </c>
      <c r="B2952" s="92" t="n">
        <v>2</v>
      </c>
      <c r="C2952" s="92" t="inlineStr">
        <is>
          <t>5100000230</t>
        </is>
      </c>
      <c r="D2952" s="95" t="n">
        <v>46055</v>
      </c>
      <c r="E2952" s="92" t="inlineStr">
        <is>
          <t>KR</t>
        </is>
      </c>
      <c r="F2952" s="92" t="n">
        <v>62401000</v>
      </c>
      <c r="G2952" s="92" t="n">
        <v>1501</v>
      </c>
      <c r="H2952" s="93" t="n">
        <v>3007000</v>
      </c>
      <c r="I2952" s="92" t="inlineStr">
        <is>
          <t>2월 인쇄물 제작 - S출판</t>
        </is>
      </c>
      <c r="J2952" s="92" t="inlineStr">
        <is>
          <t>V10015</t>
        </is>
      </c>
      <c r="K2952" s="92" t="inlineStr">
        <is>
          <t>S출판</t>
        </is>
      </c>
      <c r="M2952" s="9">
        <f>IF($A2952="","",VALUE($A2952&amp;"")*12+VALUE($B2952&amp;""))</f>
        <v/>
      </c>
      <c r="N2952" s="64">
        <f>IF($A2952="","",IFERROR(INDEX(부서매핑!$C$5:$C$504,MATCH($G2952&amp;"",부서매핑!$A$5:$A$504,0)),"미매핑"))</f>
        <v/>
      </c>
      <c r="O2952" s="9">
        <f>IF($A2952="","",N2952&amp;"|"&amp;$F2952)</f>
        <v/>
      </c>
      <c r="P2952" s="94">
        <f>IF($A2952="",0,$H2952*설정!$C$23)</f>
        <v/>
      </c>
      <c r="Q2952" s="64">
        <f>IF($A2952="","",IF(O2952&lt;&gt;원인분석!$C$9,"",IF(AND(M2952&gt;=원인분석!$C$10,M2952&lt;=원인분석!$C$11),"당기",IF(AND(M2952&gt;=원인분석!$C$12,M2952&lt;=원인분석!$C$13),"비교",""))))</f>
        <v/>
      </c>
      <c r="R2952" s="9">
        <f>IF(Q2952="","",$K2952&amp;"")</f>
        <v/>
      </c>
      <c r="S2952" s="9">
        <f>IF(Q2952="","",IF(MATCH(R2952,$R$5:$R$100000,0)=ROW()-4,ROW(),""))</f>
        <v/>
      </c>
      <c r="T2952" s="9">
        <f>IF(Q2952="당기",ABS(P2952)+ROW()/1000000000,"")</f>
        <v/>
      </c>
      <c r="U2952" s="9">
        <f>IF(Q2952="비교",ABS(P2952)+ROW()/1000000000,"")</f>
        <v/>
      </c>
      <c r="V2952" s="64">
        <f>IF($A2952="","",IF(COUNTIF(변동분석!$E$7:$E$506,O2952)&gt;0,"Y","N"))</f>
        <v/>
      </c>
      <c r="W2952" s="64">
        <f>IF($A2952="","",IFERROR(INDEX(계정매핑!$D$5:$D$504,MATCH($F2952&amp;"",계정매핑!$A$5:$A$504,0)),"미매핑"))</f>
        <v/>
      </c>
      <c r="X2952" s="9">
        <f>IF($A2952="","",$F2952&amp;"")</f>
        <v/>
      </c>
      <c r="Y2952" s="94">
        <f>IF($A2952="",0,IF(AE2952="직접",IF(AF2952="비귀속",$P2952,0),$P2952*(1-AG2952)*IFERROR(INDEX(계정대체기준!$F$20:$F$49,MATCH($N2952,계정대체기준!$A$20:$A$49,0)),1)))</f>
        <v/>
      </c>
      <c r="Z2952" s="94">
        <f>IF($A2952="",0,IF(AE2952="직접",IF(AF2952="신계약비",$P2952,0),$P2952*(1-AG2952)*IFERROR(INDEX(계정대체기준!$C$20:$C$49,MATCH($N2952,계정대체기준!$A$20:$A$49,0)),0)))</f>
        <v/>
      </c>
      <c r="AA2952" s="94">
        <f>IF($A2952="",0,IF(AE2952="직접",IF(OR(AF2952="유지비",AF2952="손해조사비"),$P2952,0),$P2952*(1-AG2952)*IFERROR(INDEX(계정대체기준!$D$20:$D$49,MATCH($N2952,계정대체기준!$A$20:$A$49,0)),0)))</f>
        <v/>
      </c>
      <c r="AB2952" s="94">
        <f>IF($A2952="",0,IF(AE2952="직접",IF(AF2952="수금비",$P2952,0),$P2952*(1-AG2952)*IFERROR(INDEX(계정대체기준!$E$20:$E$49,MATCH($N2952,계정대체기준!$A$20:$A$49,0)),0)))</f>
        <v/>
      </c>
      <c r="AC2952" s="9">
        <f>IF(AND($A2952&lt;&gt;"",M2952=설정!$C$20,Z2952&gt;0),Z2952+ROW()/1000000000,"")</f>
        <v/>
      </c>
      <c r="AD2952" s="94">
        <f>IF($A2952="",0,$P2952*AG2952)</f>
        <v/>
      </c>
      <c r="AE2952" s="64">
        <f>IF($A2952="","",IFERROR(INDEX(계정매핑!$E$5:$E$504,MATCH($F2952&amp;"",계정매핑!$A$5:$A$504,0))&amp;"","공통비"))</f>
        <v/>
      </c>
      <c r="AF2952" s="64">
        <f>IF($A2952="","",IF(AE2952="직접",IFERROR(INDEX(계정매핑!$F$5:$F$504,MATCH($F2952&amp;"",계정매핑!$A$5:$A$504,0))&amp;"","비귀속"),""))</f>
        <v/>
      </c>
      <c r="AG2952" s="96">
        <f>IF($A2952="",0,IF(AND(AE2952&lt;&gt;"직접",IFERROR(INDEX(계정매핑!$G$5:$G$504,MATCH($F2952&amp;"",계정매핑!$A$5:$A$504,0))&amp;"","")="유지비",COUNTIF(계정대체기준!$A$6:$A$15,$N2952)&gt;0),IFERROR(INDEX(계정대체기준!$E$6:$E$15,MATCH(VALUE($A2952&amp;""),계정대체기준!$D$6:$D$15,0)),0),0))</f>
        <v/>
      </c>
      <c r="AH2952" s="64">
        <f>IF($A2952="","",IF(AD2952=0,"",IF(OR(COUNTIF(계정대체기준!$A$77:$A$86,$N2952)&gt;0,ISNUMBER(MATCH($X2952,계정대체기준!$D$77:$D$86,0)),ISNUMBER(MATCH($F2952,계정대체기준!$D$77:$D$86,0))),"Y","N")))</f>
        <v/>
      </c>
    </row>
    <row r="2953">
      <c r="A2953" s="92" t="n">
        <v>2026</v>
      </c>
      <c r="B2953" s="92" t="n">
        <v>2</v>
      </c>
      <c r="C2953" s="92" t="inlineStr">
        <is>
          <t>5100000231</t>
        </is>
      </c>
      <c r="D2953" s="95" t="n">
        <v>46055</v>
      </c>
      <c r="E2953" s="92" t="inlineStr">
        <is>
          <t>KR</t>
        </is>
      </c>
      <c r="F2953" s="92" t="n">
        <v>62501000</v>
      </c>
      <c r="G2953" s="92" t="n">
        <v>1401</v>
      </c>
      <c r="H2953" s="93" t="n">
        <v>125000</v>
      </c>
      <c r="I2953" s="92" t="inlineStr">
        <is>
          <t>2월 회의 다과 - (법인카드)</t>
        </is>
      </c>
      <c r="J2953" s="92" t="inlineStr">
        <is>
          <t>V10010</t>
        </is>
      </c>
      <c r="K2953" s="92" t="inlineStr">
        <is>
          <t>(법인카드)</t>
        </is>
      </c>
      <c r="M2953" s="9">
        <f>IF($A2953="","",VALUE($A2953&amp;"")*12+VALUE($B2953&amp;""))</f>
        <v/>
      </c>
      <c r="N2953" s="64">
        <f>IF($A2953="","",IFERROR(INDEX(부서매핑!$C$5:$C$504,MATCH($G2953&amp;"",부서매핑!$A$5:$A$504,0)),"미매핑"))</f>
        <v/>
      </c>
      <c r="O2953" s="9">
        <f>IF($A2953="","",N2953&amp;"|"&amp;$F2953)</f>
        <v/>
      </c>
      <c r="P2953" s="94">
        <f>IF($A2953="",0,$H2953*설정!$C$23)</f>
        <v/>
      </c>
      <c r="Q2953" s="64">
        <f>IF($A2953="","",IF(O2953&lt;&gt;원인분석!$C$9,"",IF(AND(M2953&gt;=원인분석!$C$10,M2953&lt;=원인분석!$C$11),"당기",IF(AND(M2953&gt;=원인분석!$C$12,M2953&lt;=원인분석!$C$13),"비교",""))))</f>
        <v/>
      </c>
      <c r="R2953" s="9">
        <f>IF(Q2953="","",$K2953&amp;"")</f>
        <v/>
      </c>
      <c r="S2953" s="9">
        <f>IF(Q2953="","",IF(MATCH(R2953,$R$5:$R$100000,0)=ROW()-4,ROW(),""))</f>
        <v/>
      </c>
      <c r="T2953" s="9">
        <f>IF(Q2953="당기",ABS(P2953)+ROW()/1000000000,"")</f>
        <v/>
      </c>
      <c r="U2953" s="9">
        <f>IF(Q2953="비교",ABS(P2953)+ROW()/1000000000,"")</f>
        <v/>
      </c>
      <c r="V2953" s="64">
        <f>IF($A2953="","",IF(COUNTIF(변동분석!$E$7:$E$506,O2953)&gt;0,"Y","N"))</f>
        <v/>
      </c>
      <c r="W2953" s="64">
        <f>IF($A2953="","",IFERROR(INDEX(계정매핑!$D$5:$D$504,MATCH($F2953&amp;"",계정매핑!$A$5:$A$504,0)),"미매핑"))</f>
        <v/>
      </c>
      <c r="X2953" s="9">
        <f>IF($A2953="","",$F2953&amp;"")</f>
        <v/>
      </c>
      <c r="Y2953" s="94">
        <f>IF($A2953="",0,IF(AE2953="직접",IF(AF2953="비귀속",$P2953,0),$P2953*(1-AG2953)*IFERROR(INDEX(계정대체기준!$F$20:$F$49,MATCH($N2953,계정대체기준!$A$20:$A$49,0)),1)))</f>
        <v/>
      </c>
      <c r="Z2953" s="94">
        <f>IF($A2953="",0,IF(AE2953="직접",IF(AF2953="신계약비",$P2953,0),$P2953*(1-AG2953)*IFERROR(INDEX(계정대체기준!$C$20:$C$49,MATCH($N2953,계정대체기준!$A$20:$A$49,0)),0)))</f>
        <v/>
      </c>
      <c r="AA2953" s="94">
        <f>IF($A2953="",0,IF(AE2953="직접",IF(OR(AF2953="유지비",AF2953="손해조사비"),$P2953,0),$P2953*(1-AG2953)*IFERROR(INDEX(계정대체기준!$D$20:$D$49,MATCH($N2953,계정대체기준!$A$20:$A$49,0)),0)))</f>
        <v/>
      </c>
      <c r="AB2953" s="94">
        <f>IF($A2953="",0,IF(AE2953="직접",IF(AF2953="수금비",$P2953,0),$P2953*(1-AG2953)*IFERROR(INDEX(계정대체기준!$E$20:$E$49,MATCH($N2953,계정대체기준!$A$20:$A$49,0)),0)))</f>
        <v/>
      </c>
      <c r="AC2953" s="9">
        <f>IF(AND($A2953&lt;&gt;"",M2953=설정!$C$20,Z2953&gt;0),Z2953+ROW()/1000000000,"")</f>
        <v/>
      </c>
      <c r="AD2953" s="94">
        <f>IF($A2953="",0,$P2953*AG2953)</f>
        <v/>
      </c>
      <c r="AE2953" s="64">
        <f>IF($A2953="","",IFERROR(INDEX(계정매핑!$E$5:$E$504,MATCH($F2953&amp;"",계정매핑!$A$5:$A$504,0))&amp;"","공통비"))</f>
        <v/>
      </c>
      <c r="AF2953" s="64">
        <f>IF($A2953="","",IF(AE2953="직접",IFERROR(INDEX(계정매핑!$F$5:$F$504,MATCH($F2953&amp;"",계정매핑!$A$5:$A$504,0))&amp;"","비귀속"),""))</f>
        <v/>
      </c>
      <c r="AG2953" s="96">
        <f>IF($A2953="",0,IF(AND(AE2953&lt;&gt;"직접",IFERROR(INDEX(계정매핑!$G$5:$G$504,MATCH($F2953&amp;"",계정매핑!$A$5:$A$504,0))&amp;"","")="유지비",COUNTIF(계정대체기준!$A$6:$A$15,$N2953)&gt;0),IFERROR(INDEX(계정대체기준!$E$6:$E$15,MATCH(VALUE($A2953&amp;""),계정대체기준!$D$6:$D$15,0)),0),0))</f>
        <v/>
      </c>
      <c r="AH2953" s="64">
        <f>IF($A2953="","",IF(AD2953=0,"",IF(OR(COUNTIF(계정대체기준!$A$77:$A$86,$N2953)&gt;0,ISNUMBER(MATCH($X2953,계정대체기준!$D$77:$D$86,0)),ISNUMBER(MATCH($F2953,계정대체기준!$D$77:$D$86,0))),"Y","N")))</f>
        <v/>
      </c>
    </row>
    <row r="2954">
      <c r="A2954" s="92" t="n">
        <v>2026</v>
      </c>
      <c r="B2954" s="92" t="n">
        <v>2</v>
      </c>
      <c r="C2954" s="92" t="inlineStr">
        <is>
          <t>5100000232</t>
        </is>
      </c>
      <c r="D2954" s="95" t="n">
        <v>46055</v>
      </c>
      <c r="E2954" s="92" t="inlineStr">
        <is>
          <t>KR</t>
        </is>
      </c>
      <c r="F2954" s="92" t="n">
        <v>62902000</v>
      </c>
      <c r="G2954" s="92" t="n">
        <v>1101</v>
      </c>
      <c r="H2954" s="93" t="n">
        <v>1922000</v>
      </c>
      <c r="I2954" s="92" t="inlineStr">
        <is>
          <t>2월 업무 위탁 수수료 - X서비스</t>
        </is>
      </c>
      <c r="J2954" s="92" t="inlineStr">
        <is>
          <t>V10020</t>
        </is>
      </c>
      <c r="K2954" s="92" t="inlineStr">
        <is>
          <t>X서비스</t>
        </is>
      </c>
      <c r="M2954" s="9">
        <f>IF($A2954="","",VALUE($A2954&amp;"")*12+VALUE($B2954&amp;""))</f>
        <v/>
      </c>
      <c r="N2954" s="64">
        <f>IF($A2954="","",IFERROR(INDEX(부서매핑!$C$5:$C$504,MATCH($G2954&amp;"",부서매핑!$A$5:$A$504,0)),"미매핑"))</f>
        <v/>
      </c>
      <c r="O2954" s="9">
        <f>IF($A2954="","",N2954&amp;"|"&amp;$F2954)</f>
        <v/>
      </c>
      <c r="P2954" s="94">
        <f>IF($A2954="",0,$H2954*설정!$C$23)</f>
        <v/>
      </c>
      <c r="Q2954" s="64">
        <f>IF($A2954="","",IF(O2954&lt;&gt;원인분석!$C$9,"",IF(AND(M2954&gt;=원인분석!$C$10,M2954&lt;=원인분석!$C$11),"당기",IF(AND(M2954&gt;=원인분석!$C$12,M2954&lt;=원인분석!$C$13),"비교",""))))</f>
        <v/>
      </c>
      <c r="R2954" s="9">
        <f>IF(Q2954="","",$K2954&amp;"")</f>
        <v/>
      </c>
      <c r="S2954" s="9">
        <f>IF(Q2954="","",IF(MATCH(R2954,$R$5:$R$100000,0)=ROW()-4,ROW(),""))</f>
        <v/>
      </c>
      <c r="T2954" s="9">
        <f>IF(Q2954="당기",ABS(P2954)+ROW()/1000000000,"")</f>
        <v/>
      </c>
      <c r="U2954" s="9">
        <f>IF(Q2954="비교",ABS(P2954)+ROW()/1000000000,"")</f>
        <v/>
      </c>
      <c r="V2954" s="64">
        <f>IF($A2954="","",IF(COUNTIF(변동분석!$E$7:$E$506,O2954)&gt;0,"Y","N"))</f>
        <v/>
      </c>
      <c r="W2954" s="64">
        <f>IF($A2954="","",IFERROR(INDEX(계정매핑!$D$5:$D$504,MATCH($F2954&amp;"",계정매핑!$A$5:$A$504,0)),"미매핑"))</f>
        <v/>
      </c>
      <c r="X2954" s="9">
        <f>IF($A2954="","",$F2954&amp;"")</f>
        <v/>
      </c>
      <c r="Y2954" s="94">
        <f>IF($A2954="",0,IF(AE2954="직접",IF(AF2954="비귀속",$P2954,0),$P2954*(1-AG2954)*IFERROR(INDEX(계정대체기준!$F$20:$F$49,MATCH($N2954,계정대체기준!$A$20:$A$49,0)),1)))</f>
        <v/>
      </c>
      <c r="Z2954" s="94">
        <f>IF($A2954="",0,IF(AE2954="직접",IF(AF2954="신계약비",$P2954,0),$P2954*(1-AG2954)*IFERROR(INDEX(계정대체기준!$C$20:$C$49,MATCH($N2954,계정대체기준!$A$20:$A$49,0)),0)))</f>
        <v/>
      </c>
      <c r="AA2954" s="94">
        <f>IF($A2954="",0,IF(AE2954="직접",IF(OR(AF2954="유지비",AF2954="손해조사비"),$P2954,0),$P2954*(1-AG2954)*IFERROR(INDEX(계정대체기준!$D$20:$D$49,MATCH($N2954,계정대체기준!$A$20:$A$49,0)),0)))</f>
        <v/>
      </c>
      <c r="AB2954" s="94">
        <f>IF($A2954="",0,IF(AE2954="직접",IF(AF2954="수금비",$P2954,0),$P2954*(1-AG2954)*IFERROR(INDEX(계정대체기준!$E$20:$E$49,MATCH($N2954,계정대체기준!$A$20:$A$49,0)),0)))</f>
        <v/>
      </c>
      <c r="AC2954" s="9">
        <f>IF(AND($A2954&lt;&gt;"",M2954=설정!$C$20,Z2954&gt;0),Z2954+ROW()/1000000000,"")</f>
        <v/>
      </c>
      <c r="AD2954" s="94">
        <f>IF($A2954="",0,$P2954*AG2954)</f>
        <v/>
      </c>
      <c r="AE2954" s="64">
        <f>IF($A2954="","",IFERROR(INDEX(계정매핑!$E$5:$E$504,MATCH($F2954&amp;"",계정매핑!$A$5:$A$504,0))&amp;"","공통비"))</f>
        <v/>
      </c>
      <c r="AF2954" s="64">
        <f>IF($A2954="","",IF(AE2954="직접",IFERROR(INDEX(계정매핑!$F$5:$F$504,MATCH($F2954&amp;"",계정매핑!$A$5:$A$504,0))&amp;"","비귀속"),""))</f>
        <v/>
      </c>
      <c r="AG2954" s="96">
        <f>IF($A2954="",0,IF(AND(AE2954&lt;&gt;"직접",IFERROR(INDEX(계정매핑!$G$5:$G$504,MATCH($F2954&amp;"",계정매핑!$A$5:$A$504,0))&amp;"","")="유지비",COUNTIF(계정대체기준!$A$6:$A$15,$N2954)&gt;0),IFERROR(INDEX(계정대체기준!$E$6:$E$15,MATCH(VALUE($A2954&amp;""),계정대체기준!$D$6:$D$15,0)),0),0))</f>
        <v/>
      </c>
      <c r="AH2954" s="64">
        <f>IF($A2954="","",IF(AD2954=0,"",IF(OR(COUNTIF(계정대체기준!$A$77:$A$86,$N2954)&gt;0,ISNUMBER(MATCH($X2954,계정대체기준!$D$77:$D$86,0)),ISNUMBER(MATCH($F2954,계정대체기준!$D$77:$D$86,0))),"Y","N")))</f>
        <v/>
      </c>
    </row>
    <row r="2955">
      <c r="A2955" s="92" t="n">
        <v>2026</v>
      </c>
      <c r="B2955" s="92" t="n">
        <v>2</v>
      </c>
      <c r="C2955" s="92" t="inlineStr">
        <is>
          <t>5100000233</t>
        </is>
      </c>
      <c r="D2955" s="95" t="n">
        <v>46055</v>
      </c>
      <c r="E2955" s="92" t="inlineStr">
        <is>
          <t>KR</t>
        </is>
      </c>
      <c r="F2955" s="92" t="n">
        <v>63101000</v>
      </c>
      <c r="G2955" s="92" t="n">
        <v>1601</v>
      </c>
      <c r="H2955" s="93" t="n">
        <v>3327000</v>
      </c>
      <c r="I2955" s="92" t="inlineStr">
        <is>
          <t>2월 사무실 임차료 - AA빌딩</t>
        </is>
      </c>
      <c r="J2955" s="92" t="inlineStr">
        <is>
          <t>V10007</t>
        </is>
      </c>
      <c r="K2955" s="92" t="inlineStr">
        <is>
          <t>AA빌딩</t>
        </is>
      </c>
      <c r="M2955" s="9">
        <f>IF($A2955="","",VALUE($A2955&amp;"")*12+VALUE($B2955&amp;""))</f>
        <v/>
      </c>
      <c r="N2955" s="64">
        <f>IF($A2955="","",IFERROR(INDEX(부서매핑!$C$5:$C$504,MATCH($G2955&amp;"",부서매핑!$A$5:$A$504,0)),"미매핑"))</f>
        <v/>
      </c>
      <c r="O2955" s="9">
        <f>IF($A2955="","",N2955&amp;"|"&amp;$F2955)</f>
        <v/>
      </c>
      <c r="P2955" s="94">
        <f>IF($A2955="",0,$H2955*설정!$C$23)</f>
        <v/>
      </c>
      <c r="Q2955" s="64">
        <f>IF($A2955="","",IF(O2955&lt;&gt;원인분석!$C$9,"",IF(AND(M2955&gt;=원인분석!$C$10,M2955&lt;=원인분석!$C$11),"당기",IF(AND(M2955&gt;=원인분석!$C$12,M2955&lt;=원인분석!$C$13),"비교",""))))</f>
        <v/>
      </c>
      <c r="R2955" s="9">
        <f>IF(Q2955="","",$K2955&amp;"")</f>
        <v/>
      </c>
      <c r="S2955" s="9">
        <f>IF(Q2955="","",IF(MATCH(R2955,$R$5:$R$100000,0)=ROW()-4,ROW(),""))</f>
        <v/>
      </c>
      <c r="T2955" s="9">
        <f>IF(Q2955="당기",ABS(P2955)+ROW()/1000000000,"")</f>
        <v/>
      </c>
      <c r="U2955" s="9">
        <f>IF(Q2955="비교",ABS(P2955)+ROW()/1000000000,"")</f>
        <v/>
      </c>
      <c r="V2955" s="64">
        <f>IF($A2955="","",IF(COUNTIF(변동분석!$E$7:$E$506,O2955)&gt;0,"Y","N"))</f>
        <v/>
      </c>
      <c r="W2955" s="64">
        <f>IF($A2955="","",IFERROR(INDEX(계정매핑!$D$5:$D$504,MATCH($F2955&amp;"",계정매핑!$A$5:$A$504,0)),"미매핑"))</f>
        <v/>
      </c>
      <c r="X2955" s="9">
        <f>IF($A2955="","",$F2955&amp;"")</f>
        <v/>
      </c>
      <c r="Y2955" s="94">
        <f>IF($A2955="",0,IF(AE2955="직접",IF(AF2955="비귀속",$P2955,0),$P2955*(1-AG2955)*IFERROR(INDEX(계정대체기준!$F$20:$F$49,MATCH($N2955,계정대체기준!$A$20:$A$49,0)),1)))</f>
        <v/>
      </c>
      <c r="Z2955" s="94">
        <f>IF($A2955="",0,IF(AE2955="직접",IF(AF2955="신계약비",$P2955,0),$P2955*(1-AG2955)*IFERROR(INDEX(계정대체기준!$C$20:$C$49,MATCH($N2955,계정대체기준!$A$20:$A$49,0)),0)))</f>
        <v/>
      </c>
      <c r="AA2955" s="94">
        <f>IF($A2955="",0,IF(AE2955="직접",IF(OR(AF2955="유지비",AF2955="손해조사비"),$P2955,0),$P2955*(1-AG2955)*IFERROR(INDEX(계정대체기준!$D$20:$D$49,MATCH($N2955,계정대체기준!$A$20:$A$49,0)),0)))</f>
        <v/>
      </c>
      <c r="AB2955" s="94">
        <f>IF($A2955="",0,IF(AE2955="직접",IF(AF2955="수금비",$P2955,0),$P2955*(1-AG2955)*IFERROR(INDEX(계정대체기준!$E$20:$E$49,MATCH($N2955,계정대체기준!$A$20:$A$49,0)),0)))</f>
        <v/>
      </c>
      <c r="AC2955" s="9">
        <f>IF(AND($A2955&lt;&gt;"",M2955=설정!$C$20,Z2955&gt;0),Z2955+ROW()/1000000000,"")</f>
        <v/>
      </c>
      <c r="AD2955" s="94">
        <f>IF($A2955="",0,$P2955*AG2955)</f>
        <v/>
      </c>
      <c r="AE2955" s="64">
        <f>IF($A2955="","",IFERROR(INDEX(계정매핑!$E$5:$E$504,MATCH($F2955&amp;"",계정매핑!$A$5:$A$504,0))&amp;"","공통비"))</f>
        <v/>
      </c>
      <c r="AF2955" s="64">
        <f>IF($A2955="","",IF(AE2955="직접",IFERROR(INDEX(계정매핑!$F$5:$F$504,MATCH($F2955&amp;"",계정매핑!$A$5:$A$504,0))&amp;"","비귀속"),""))</f>
        <v/>
      </c>
      <c r="AG2955" s="96">
        <f>IF($A2955="",0,IF(AND(AE2955&lt;&gt;"직접",IFERROR(INDEX(계정매핑!$G$5:$G$504,MATCH($F2955&amp;"",계정매핑!$A$5:$A$504,0))&amp;"","")="유지비",COUNTIF(계정대체기준!$A$6:$A$15,$N2955)&gt;0),IFERROR(INDEX(계정대체기준!$E$6:$E$15,MATCH(VALUE($A2955&amp;""),계정대체기준!$D$6:$D$15,0)),0),0))</f>
        <v/>
      </c>
      <c r="AH2955" s="64">
        <f>IF($A2955="","",IF(AD2955=0,"",IF(OR(COUNTIF(계정대체기준!$A$77:$A$86,$N2955)&gt;0,ISNUMBER(MATCH($X2955,계정대체기준!$D$77:$D$86,0)),ISNUMBER(MATCH($F2955,계정대체기준!$D$77:$D$86,0))),"Y","N")))</f>
        <v/>
      </c>
    </row>
    <row r="2956">
      <c r="A2956" s="92" t="n">
        <v>2026</v>
      </c>
      <c r="B2956" s="92" t="n">
        <v>2</v>
      </c>
      <c r="C2956" s="92" t="inlineStr">
        <is>
          <t>5100000234</t>
        </is>
      </c>
      <c r="D2956" s="95" t="n">
        <v>46055</v>
      </c>
      <c r="E2956" s="92" t="inlineStr">
        <is>
          <t>KR</t>
        </is>
      </c>
      <c r="F2956" s="92" t="n">
        <v>63601000</v>
      </c>
      <c r="G2956" s="92" t="n">
        <v>1801</v>
      </c>
      <c r="H2956" s="93" t="n">
        <v>11027000</v>
      </c>
      <c r="I2956" s="92" t="inlineStr">
        <is>
          <t>2월 손해사정 수수료 - DD손해사정</t>
        </is>
      </c>
      <c r="J2956" s="92" t="inlineStr">
        <is>
          <t>V10032</t>
        </is>
      </c>
      <c r="K2956" s="92" t="inlineStr">
        <is>
          <t>DD손해사정</t>
        </is>
      </c>
      <c r="M2956" s="9">
        <f>IF($A2956="","",VALUE($A2956&amp;"")*12+VALUE($B2956&amp;""))</f>
        <v/>
      </c>
      <c r="N2956" s="64">
        <f>IF($A2956="","",IFERROR(INDEX(부서매핑!$C$5:$C$504,MATCH($G2956&amp;"",부서매핑!$A$5:$A$504,0)),"미매핑"))</f>
        <v/>
      </c>
      <c r="O2956" s="9">
        <f>IF($A2956="","",N2956&amp;"|"&amp;$F2956)</f>
        <v/>
      </c>
      <c r="P2956" s="94">
        <f>IF($A2956="",0,$H2956*설정!$C$23)</f>
        <v/>
      </c>
      <c r="Q2956" s="64">
        <f>IF($A2956="","",IF(O2956&lt;&gt;원인분석!$C$9,"",IF(AND(M2956&gt;=원인분석!$C$10,M2956&lt;=원인분석!$C$11),"당기",IF(AND(M2956&gt;=원인분석!$C$12,M2956&lt;=원인분석!$C$13),"비교",""))))</f>
        <v/>
      </c>
      <c r="R2956" s="9">
        <f>IF(Q2956="","",$K2956&amp;"")</f>
        <v/>
      </c>
      <c r="S2956" s="9">
        <f>IF(Q2956="","",IF(MATCH(R2956,$R$5:$R$100000,0)=ROW()-4,ROW(),""))</f>
        <v/>
      </c>
      <c r="T2956" s="9">
        <f>IF(Q2956="당기",ABS(P2956)+ROW()/1000000000,"")</f>
        <v/>
      </c>
      <c r="U2956" s="9">
        <f>IF(Q2956="비교",ABS(P2956)+ROW()/1000000000,"")</f>
        <v/>
      </c>
      <c r="V2956" s="64">
        <f>IF($A2956="","",IF(COUNTIF(변동분석!$E$7:$E$506,O2956)&gt;0,"Y","N"))</f>
        <v/>
      </c>
      <c r="W2956" s="64">
        <f>IF($A2956="","",IFERROR(INDEX(계정매핑!$D$5:$D$504,MATCH($F2956&amp;"",계정매핑!$A$5:$A$504,0)),"미매핑"))</f>
        <v/>
      </c>
      <c r="X2956" s="9">
        <f>IF($A2956="","",$F2956&amp;"")</f>
        <v/>
      </c>
      <c r="Y2956" s="94">
        <f>IF($A2956="",0,IF(AE2956="직접",IF(AF2956="비귀속",$P2956,0),$P2956*(1-AG2956)*IFERROR(INDEX(계정대체기준!$F$20:$F$49,MATCH($N2956,계정대체기준!$A$20:$A$49,0)),1)))</f>
        <v/>
      </c>
      <c r="Z2956" s="94">
        <f>IF($A2956="",0,IF(AE2956="직접",IF(AF2956="신계약비",$P2956,0),$P2956*(1-AG2956)*IFERROR(INDEX(계정대체기준!$C$20:$C$49,MATCH($N2956,계정대체기준!$A$20:$A$49,0)),0)))</f>
        <v/>
      </c>
      <c r="AA2956" s="94">
        <f>IF($A2956="",0,IF(AE2956="직접",IF(OR(AF2956="유지비",AF2956="손해조사비"),$P2956,0),$P2956*(1-AG2956)*IFERROR(INDEX(계정대체기준!$D$20:$D$49,MATCH($N2956,계정대체기준!$A$20:$A$49,0)),0)))</f>
        <v/>
      </c>
      <c r="AB2956" s="94">
        <f>IF($A2956="",0,IF(AE2956="직접",IF(AF2956="수금비",$P2956,0),$P2956*(1-AG2956)*IFERROR(INDEX(계정대체기준!$E$20:$E$49,MATCH($N2956,계정대체기준!$A$20:$A$49,0)),0)))</f>
        <v/>
      </c>
      <c r="AC2956" s="9">
        <f>IF(AND($A2956&lt;&gt;"",M2956=설정!$C$20,Z2956&gt;0),Z2956+ROW()/1000000000,"")</f>
        <v/>
      </c>
      <c r="AD2956" s="94">
        <f>IF($A2956="",0,$P2956*AG2956)</f>
        <v/>
      </c>
      <c r="AE2956" s="64">
        <f>IF($A2956="","",IFERROR(INDEX(계정매핑!$E$5:$E$504,MATCH($F2956&amp;"",계정매핑!$A$5:$A$504,0))&amp;"","공통비"))</f>
        <v/>
      </c>
      <c r="AF2956" s="64">
        <f>IF($A2956="","",IF(AE2956="직접",IFERROR(INDEX(계정매핑!$F$5:$F$504,MATCH($F2956&amp;"",계정매핑!$A$5:$A$504,0))&amp;"","비귀속"),""))</f>
        <v/>
      </c>
      <c r="AG2956" s="96">
        <f>IF($A2956="",0,IF(AND(AE2956&lt;&gt;"직접",IFERROR(INDEX(계정매핑!$G$5:$G$504,MATCH($F2956&amp;"",계정매핑!$A$5:$A$504,0))&amp;"","")="유지비",COUNTIF(계정대체기준!$A$6:$A$15,$N2956)&gt;0),IFERROR(INDEX(계정대체기준!$E$6:$E$15,MATCH(VALUE($A2956&amp;""),계정대체기준!$D$6:$D$15,0)),0),0))</f>
        <v/>
      </c>
      <c r="AH2956" s="64">
        <f>IF($A2956="","",IF(AD2956=0,"",IF(OR(COUNTIF(계정대체기준!$A$77:$A$86,$N2956)&gt;0,ISNUMBER(MATCH($X2956,계정대체기준!$D$77:$D$86,0)),ISNUMBER(MATCH($F2956,계정대체기준!$D$77:$D$86,0))),"Y","N")))</f>
        <v/>
      </c>
    </row>
    <row r="2957">
      <c r="A2957" s="92" t="n">
        <v>2026</v>
      </c>
      <c r="B2957" s="92" t="n">
        <v>2</v>
      </c>
      <c r="C2957" s="92" t="inlineStr">
        <is>
          <t>5100000235</t>
        </is>
      </c>
      <c r="D2957" s="95" t="n">
        <v>46056</v>
      </c>
      <c r="E2957" s="92" t="inlineStr">
        <is>
          <t>KR</t>
        </is>
      </c>
      <c r="F2957" s="92" t="n">
        <v>62101000</v>
      </c>
      <c r="G2957" s="92" t="n">
        <v>1201</v>
      </c>
      <c r="H2957" s="93" t="n">
        <v>240000</v>
      </c>
      <c r="I2957" s="92" t="inlineStr">
        <is>
          <t>2월 국내출장 - M항공</t>
        </is>
      </c>
      <c r="J2957" s="92" t="inlineStr">
        <is>
          <t>V10001</t>
        </is>
      </c>
      <c r="K2957" s="92" t="inlineStr">
        <is>
          <t>M항공</t>
        </is>
      </c>
      <c r="M2957" s="9">
        <f>IF($A2957="","",VALUE($A2957&amp;"")*12+VALUE($B2957&amp;""))</f>
        <v/>
      </c>
      <c r="N2957" s="64">
        <f>IF($A2957="","",IFERROR(INDEX(부서매핑!$C$5:$C$504,MATCH($G2957&amp;"",부서매핑!$A$5:$A$504,0)),"미매핑"))</f>
        <v/>
      </c>
      <c r="O2957" s="9">
        <f>IF($A2957="","",N2957&amp;"|"&amp;$F2957)</f>
        <v/>
      </c>
      <c r="P2957" s="94">
        <f>IF($A2957="",0,$H2957*설정!$C$23)</f>
        <v/>
      </c>
      <c r="Q2957" s="64">
        <f>IF($A2957="","",IF(O2957&lt;&gt;원인분석!$C$9,"",IF(AND(M2957&gt;=원인분석!$C$10,M2957&lt;=원인분석!$C$11),"당기",IF(AND(M2957&gt;=원인분석!$C$12,M2957&lt;=원인분석!$C$13),"비교",""))))</f>
        <v/>
      </c>
      <c r="R2957" s="9">
        <f>IF(Q2957="","",$K2957&amp;"")</f>
        <v/>
      </c>
      <c r="S2957" s="9">
        <f>IF(Q2957="","",IF(MATCH(R2957,$R$5:$R$100000,0)=ROW()-4,ROW(),""))</f>
        <v/>
      </c>
      <c r="T2957" s="9">
        <f>IF(Q2957="당기",ABS(P2957)+ROW()/1000000000,"")</f>
        <v/>
      </c>
      <c r="U2957" s="9">
        <f>IF(Q2957="비교",ABS(P2957)+ROW()/1000000000,"")</f>
        <v/>
      </c>
      <c r="V2957" s="64">
        <f>IF($A2957="","",IF(COUNTIF(변동분석!$E$7:$E$506,O2957)&gt;0,"Y","N"))</f>
        <v/>
      </c>
      <c r="W2957" s="64">
        <f>IF($A2957="","",IFERROR(INDEX(계정매핑!$D$5:$D$504,MATCH($F2957&amp;"",계정매핑!$A$5:$A$504,0)),"미매핑"))</f>
        <v/>
      </c>
      <c r="X2957" s="9">
        <f>IF($A2957="","",$F2957&amp;"")</f>
        <v/>
      </c>
      <c r="Y2957" s="94">
        <f>IF($A2957="",0,IF(AE2957="직접",IF(AF2957="비귀속",$P2957,0),$P2957*(1-AG2957)*IFERROR(INDEX(계정대체기준!$F$20:$F$49,MATCH($N2957,계정대체기준!$A$20:$A$49,0)),1)))</f>
        <v/>
      </c>
      <c r="Z2957" s="94">
        <f>IF($A2957="",0,IF(AE2957="직접",IF(AF2957="신계약비",$P2957,0),$P2957*(1-AG2957)*IFERROR(INDEX(계정대체기준!$C$20:$C$49,MATCH($N2957,계정대체기준!$A$20:$A$49,0)),0)))</f>
        <v/>
      </c>
      <c r="AA2957" s="94">
        <f>IF($A2957="",0,IF(AE2957="직접",IF(OR(AF2957="유지비",AF2957="손해조사비"),$P2957,0),$P2957*(1-AG2957)*IFERROR(INDEX(계정대체기준!$D$20:$D$49,MATCH($N2957,계정대체기준!$A$20:$A$49,0)),0)))</f>
        <v/>
      </c>
      <c r="AB2957" s="94">
        <f>IF($A2957="",0,IF(AE2957="직접",IF(AF2957="수금비",$P2957,0),$P2957*(1-AG2957)*IFERROR(INDEX(계정대체기준!$E$20:$E$49,MATCH($N2957,계정대체기준!$A$20:$A$49,0)),0)))</f>
        <v/>
      </c>
      <c r="AC2957" s="9">
        <f>IF(AND($A2957&lt;&gt;"",M2957=설정!$C$20,Z2957&gt;0),Z2957+ROW()/1000000000,"")</f>
        <v/>
      </c>
      <c r="AD2957" s="94">
        <f>IF($A2957="",0,$P2957*AG2957)</f>
        <v/>
      </c>
      <c r="AE2957" s="64">
        <f>IF($A2957="","",IFERROR(INDEX(계정매핑!$E$5:$E$504,MATCH($F2957&amp;"",계정매핑!$A$5:$A$504,0))&amp;"","공통비"))</f>
        <v/>
      </c>
      <c r="AF2957" s="64">
        <f>IF($A2957="","",IF(AE2957="직접",IFERROR(INDEX(계정매핑!$F$5:$F$504,MATCH($F2957&amp;"",계정매핑!$A$5:$A$504,0))&amp;"","비귀속"),""))</f>
        <v/>
      </c>
      <c r="AG2957" s="96">
        <f>IF($A2957="",0,IF(AND(AE2957&lt;&gt;"직접",IFERROR(INDEX(계정매핑!$G$5:$G$504,MATCH($F2957&amp;"",계정매핑!$A$5:$A$504,0))&amp;"","")="유지비",COUNTIF(계정대체기준!$A$6:$A$15,$N2957)&gt;0),IFERROR(INDEX(계정대체기준!$E$6:$E$15,MATCH(VALUE($A2957&amp;""),계정대체기준!$D$6:$D$15,0)),0),0))</f>
        <v/>
      </c>
      <c r="AH2957" s="64">
        <f>IF($A2957="","",IF(AD2957=0,"",IF(OR(COUNTIF(계정대체기준!$A$77:$A$86,$N2957)&gt;0,ISNUMBER(MATCH($X2957,계정대체기준!$D$77:$D$86,0)),ISNUMBER(MATCH($F2957,계정대체기준!$D$77:$D$86,0))),"Y","N")))</f>
        <v/>
      </c>
    </row>
    <row r="2958">
      <c r="A2958" s="92" t="n">
        <v>2026</v>
      </c>
      <c r="B2958" s="92" t="n">
        <v>2</v>
      </c>
      <c r="C2958" s="92" t="inlineStr">
        <is>
          <t>5100000236</t>
        </is>
      </c>
      <c r="D2958" s="95" t="n">
        <v>46056</v>
      </c>
      <c r="E2958" s="92" t="inlineStr">
        <is>
          <t>KR</t>
        </is>
      </c>
      <c r="F2958" s="92" t="n">
        <v>62101000</v>
      </c>
      <c r="G2958" s="92" t="n">
        <v>1801</v>
      </c>
      <c r="H2958" s="93" t="n">
        <v>108000</v>
      </c>
      <c r="I2958" s="92" t="inlineStr">
        <is>
          <t>2월 국내출장 - (법인카드)</t>
        </is>
      </c>
      <c r="J2958" s="92" t="inlineStr">
        <is>
          <t>V10010</t>
        </is>
      </c>
      <c r="K2958" s="92" t="inlineStr">
        <is>
          <t>(법인카드)</t>
        </is>
      </c>
      <c r="M2958" s="9">
        <f>IF($A2958="","",VALUE($A2958&amp;"")*12+VALUE($B2958&amp;""))</f>
        <v/>
      </c>
      <c r="N2958" s="64">
        <f>IF($A2958="","",IFERROR(INDEX(부서매핑!$C$5:$C$504,MATCH($G2958&amp;"",부서매핑!$A$5:$A$504,0)),"미매핑"))</f>
        <v/>
      </c>
      <c r="O2958" s="9">
        <f>IF($A2958="","",N2958&amp;"|"&amp;$F2958)</f>
        <v/>
      </c>
      <c r="P2958" s="94">
        <f>IF($A2958="",0,$H2958*설정!$C$23)</f>
        <v/>
      </c>
      <c r="Q2958" s="64">
        <f>IF($A2958="","",IF(O2958&lt;&gt;원인분석!$C$9,"",IF(AND(M2958&gt;=원인분석!$C$10,M2958&lt;=원인분석!$C$11),"당기",IF(AND(M2958&gt;=원인분석!$C$12,M2958&lt;=원인분석!$C$13),"비교",""))))</f>
        <v/>
      </c>
      <c r="R2958" s="9">
        <f>IF(Q2958="","",$K2958&amp;"")</f>
        <v/>
      </c>
      <c r="S2958" s="9">
        <f>IF(Q2958="","",IF(MATCH(R2958,$R$5:$R$100000,0)=ROW()-4,ROW(),""))</f>
        <v/>
      </c>
      <c r="T2958" s="9">
        <f>IF(Q2958="당기",ABS(P2958)+ROW()/1000000000,"")</f>
        <v/>
      </c>
      <c r="U2958" s="9">
        <f>IF(Q2958="비교",ABS(P2958)+ROW()/1000000000,"")</f>
        <v/>
      </c>
      <c r="V2958" s="64">
        <f>IF($A2958="","",IF(COUNTIF(변동분석!$E$7:$E$506,O2958)&gt;0,"Y","N"))</f>
        <v/>
      </c>
      <c r="W2958" s="64">
        <f>IF($A2958="","",IFERROR(INDEX(계정매핑!$D$5:$D$504,MATCH($F2958&amp;"",계정매핑!$A$5:$A$504,0)),"미매핑"))</f>
        <v/>
      </c>
      <c r="X2958" s="9">
        <f>IF($A2958="","",$F2958&amp;"")</f>
        <v/>
      </c>
      <c r="Y2958" s="94">
        <f>IF($A2958="",0,IF(AE2958="직접",IF(AF2958="비귀속",$P2958,0),$P2958*(1-AG2958)*IFERROR(INDEX(계정대체기준!$F$20:$F$49,MATCH($N2958,계정대체기준!$A$20:$A$49,0)),1)))</f>
        <v/>
      </c>
      <c r="Z2958" s="94">
        <f>IF($A2958="",0,IF(AE2958="직접",IF(AF2958="신계약비",$P2958,0),$P2958*(1-AG2958)*IFERROR(INDEX(계정대체기준!$C$20:$C$49,MATCH($N2958,계정대체기준!$A$20:$A$49,0)),0)))</f>
        <v/>
      </c>
      <c r="AA2958" s="94">
        <f>IF($A2958="",0,IF(AE2958="직접",IF(OR(AF2958="유지비",AF2958="손해조사비"),$P2958,0),$P2958*(1-AG2958)*IFERROR(INDEX(계정대체기준!$D$20:$D$49,MATCH($N2958,계정대체기준!$A$20:$A$49,0)),0)))</f>
        <v/>
      </c>
      <c r="AB2958" s="94">
        <f>IF($A2958="",0,IF(AE2958="직접",IF(AF2958="수금비",$P2958,0),$P2958*(1-AG2958)*IFERROR(INDEX(계정대체기준!$E$20:$E$49,MATCH($N2958,계정대체기준!$A$20:$A$49,0)),0)))</f>
        <v/>
      </c>
      <c r="AC2958" s="9">
        <f>IF(AND($A2958&lt;&gt;"",M2958=설정!$C$20,Z2958&gt;0),Z2958+ROW()/1000000000,"")</f>
        <v/>
      </c>
      <c r="AD2958" s="94">
        <f>IF($A2958="",0,$P2958*AG2958)</f>
        <v/>
      </c>
      <c r="AE2958" s="64">
        <f>IF($A2958="","",IFERROR(INDEX(계정매핑!$E$5:$E$504,MATCH($F2958&amp;"",계정매핑!$A$5:$A$504,0))&amp;"","공통비"))</f>
        <v/>
      </c>
      <c r="AF2958" s="64">
        <f>IF($A2958="","",IF(AE2958="직접",IFERROR(INDEX(계정매핑!$F$5:$F$504,MATCH($F2958&amp;"",계정매핑!$A$5:$A$504,0))&amp;"","비귀속"),""))</f>
        <v/>
      </c>
      <c r="AG2958" s="96">
        <f>IF($A2958="",0,IF(AND(AE2958&lt;&gt;"직접",IFERROR(INDEX(계정매핑!$G$5:$G$504,MATCH($F2958&amp;"",계정매핑!$A$5:$A$504,0))&amp;"","")="유지비",COUNTIF(계정대체기준!$A$6:$A$15,$N2958)&gt;0),IFERROR(INDEX(계정대체기준!$E$6:$E$15,MATCH(VALUE($A2958&amp;""),계정대체기준!$D$6:$D$15,0)),0),0))</f>
        <v/>
      </c>
      <c r="AH2958" s="64">
        <f>IF($A2958="","",IF(AD2958=0,"",IF(OR(COUNTIF(계정대체기준!$A$77:$A$86,$N2958)&gt;0,ISNUMBER(MATCH($X2958,계정대체기준!$D$77:$D$86,0)),ISNUMBER(MATCH($F2958,계정대체기준!$D$77:$D$86,0))),"Y","N")))</f>
        <v/>
      </c>
    </row>
    <row r="2959">
      <c r="A2959" s="92" t="n">
        <v>2026</v>
      </c>
      <c r="B2959" s="92" t="n">
        <v>2</v>
      </c>
      <c r="C2959" s="92" t="inlineStr">
        <is>
          <t>5100000237</t>
        </is>
      </c>
      <c r="D2959" s="95" t="n">
        <v>46056</v>
      </c>
      <c r="E2959" s="92" t="inlineStr">
        <is>
          <t>KR</t>
        </is>
      </c>
      <c r="F2959" s="92" t="n">
        <v>62102000</v>
      </c>
      <c r="G2959" s="92" t="n">
        <v>1301</v>
      </c>
      <c r="H2959" s="93" t="n">
        <v>103000</v>
      </c>
      <c r="I2959" s="92" t="inlineStr">
        <is>
          <t>2월 해외출장 - M항공</t>
        </is>
      </c>
      <c r="J2959" s="92" t="inlineStr">
        <is>
          <t>V10001</t>
        </is>
      </c>
      <c r="K2959" s="92" t="inlineStr">
        <is>
          <t>M항공</t>
        </is>
      </c>
      <c r="M2959" s="9">
        <f>IF($A2959="","",VALUE($A2959&amp;"")*12+VALUE($B2959&amp;""))</f>
        <v/>
      </c>
      <c r="N2959" s="64">
        <f>IF($A2959="","",IFERROR(INDEX(부서매핑!$C$5:$C$504,MATCH($G2959&amp;"",부서매핑!$A$5:$A$504,0)),"미매핑"))</f>
        <v/>
      </c>
      <c r="O2959" s="9">
        <f>IF($A2959="","",N2959&amp;"|"&amp;$F2959)</f>
        <v/>
      </c>
      <c r="P2959" s="94">
        <f>IF($A2959="",0,$H2959*설정!$C$23)</f>
        <v/>
      </c>
      <c r="Q2959" s="64">
        <f>IF($A2959="","",IF(O2959&lt;&gt;원인분석!$C$9,"",IF(AND(M2959&gt;=원인분석!$C$10,M2959&lt;=원인분석!$C$11),"당기",IF(AND(M2959&gt;=원인분석!$C$12,M2959&lt;=원인분석!$C$13),"비교",""))))</f>
        <v/>
      </c>
      <c r="R2959" s="9">
        <f>IF(Q2959="","",$K2959&amp;"")</f>
        <v/>
      </c>
      <c r="S2959" s="9">
        <f>IF(Q2959="","",IF(MATCH(R2959,$R$5:$R$100000,0)=ROW()-4,ROW(),""))</f>
        <v/>
      </c>
      <c r="T2959" s="9">
        <f>IF(Q2959="당기",ABS(P2959)+ROW()/1000000000,"")</f>
        <v/>
      </c>
      <c r="U2959" s="9">
        <f>IF(Q2959="비교",ABS(P2959)+ROW()/1000000000,"")</f>
        <v/>
      </c>
      <c r="V2959" s="64">
        <f>IF($A2959="","",IF(COUNTIF(변동분석!$E$7:$E$506,O2959)&gt;0,"Y","N"))</f>
        <v/>
      </c>
      <c r="W2959" s="64">
        <f>IF($A2959="","",IFERROR(INDEX(계정매핑!$D$5:$D$504,MATCH($F2959&amp;"",계정매핑!$A$5:$A$504,0)),"미매핑"))</f>
        <v/>
      </c>
      <c r="X2959" s="9">
        <f>IF($A2959="","",$F2959&amp;"")</f>
        <v/>
      </c>
      <c r="Y2959" s="94">
        <f>IF($A2959="",0,IF(AE2959="직접",IF(AF2959="비귀속",$P2959,0),$P2959*(1-AG2959)*IFERROR(INDEX(계정대체기준!$F$20:$F$49,MATCH($N2959,계정대체기준!$A$20:$A$49,0)),1)))</f>
        <v/>
      </c>
      <c r="Z2959" s="94">
        <f>IF($A2959="",0,IF(AE2959="직접",IF(AF2959="신계약비",$P2959,0),$P2959*(1-AG2959)*IFERROR(INDEX(계정대체기준!$C$20:$C$49,MATCH($N2959,계정대체기준!$A$20:$A$49,0)),0)))</f>
        <v/>
      </c>
      <c r="AA2959" s="94">
        <f>IF($A2959="",0,IF(AE2959="직접",IF(OR(AF2959="유지비",AF2959="손해조사비"),$P2959,0),$P2959*(1-AG2959)*IFERROR(INDEX(계정대체기준!$D$20:$D$49,MATCH($N2959,계정대체기준!$A$20:$A$49,0)),0)))</f>
        <v/>
      </c>
      <c r="AB2959" s="94">
        <f>IF($A2959="",0,IF(AE2959="직접",IF(AF2959="수금비",$P2959,0),$P2959*(1-AG2959)*IFERROR(INDEX(계정대체기준!$E$20:$E$49,MATCH($N2959,계정대체기준!$A$20:$A$49,0)),0)))</f>
        <v/>
      </c>
      <c r="AC2959" s="9">
        <f>IF(AND($A2959&lt;&gt;"",M2959=설정!$C$20,Z2959&gt;0),Z2959+ROW()/1000000000,"")</f>
        <v/>
      </c>
      <c r="AD2959" s="94">
        <f>IF($A2959="",0,$P2959*AG2959)</f>
        <v/>
      </c>
      <c r="AE2959" s="64">
        <f>IF($A2959="","",IFERROR(INDEX(계정매핑!$E$5:$E$504,MATCH($F2959&amp;"",계정매핑!$A$5:$A$504,0))&amp;"","공통비"))</f>
        <v/>
      </c>
      <c r="AF2959" s="64">
        <f>IF($A2959="","",IF(AE2959="직접",IFERROR(INDEX(계정매핑!$F$5:$F$504,MATCH($F2959&amp;"",계정매핑!$A$5:$A$504,0))&amp;"","비귀속"),""))</f>
        <v/>
      </c>
      <c r="AG2959" s="96">
        <f>IF($A2959="",0,IF(AND(AE2959&lt;&gt;"직접",IFERROR(INDEX(계정매핑!$G$5:$G$504,MATCH($F2959&amp;"",계정매핑!$A$5:$A$504,0))&amp;"","")="유지비",COUNTIF(계정대체기준!$A$6:$A$15,$N2959)&gt;0),IFERROR(INDEX(계정대체기준!$E$6:$E$15,MATCH(VALUE($A2959&amp;""),계정대체기준!$D$6:$D$15,0)),0),0))</f>
        <v/>
      </c>
      <c r="AH2959" s="64">
        <f>IF($A2959="","",IF(AD2959=0,"",IF(OR(COUNTIF(계정대체기준!$A$77:$A$86,$N2959)&gt;0,ISNUMBER(MATCH($X2959,계정대체기준!$D$77:$D$86,0)),ISNUMBER(MATCH($F2959,계정대체기준!$D$77:$D$86,0))),"Y","N")))</f>
        <v/>
      </c>
    </row>
    <row r="2960">
      <c r="A2960" s="92" t="n">
        <v>2026</v>
      </c>
      <c r="B2960" s="92" t="n">
        <v>2</v>
      </c>
      <c r="C2960" s="92" t="inlineStr">
        <is>
          <t>5100000238</t>
        </is>
      </c>
      <c r="D2960" s="95" t="n">
        <v>46056</v>
      </c>
      <c r="E2960" s="92" t="inlineStr">
        <is>
          <t>KR</t>
        </is>
      </c>
      <c r="F2960" s="92" t="n">
        <v>62201000</v>
      </c>
      <c r="G2960" s="92" t="n">
        <v>1301</v>
      </c>
      <c r="H2960" s="93" t="n">
        <v>128000</v>
      </c>
      <c r="I2960" s="92" t="inlineStr">
        <is>
          <t>2월 통신요금 - P통신</t>
        </is>
      </c>
      <c r="J2960" s="92" t="inlineStr">
        <is>
          <t>V10014</t>
        </is>
      </c>
      <c r="K2960" s="92" t="inlineStr">
        <is>
          <t>P통신</t>
        </is>
      </c>
      <c r="M2960" s="9">
        <f>IF($A2960="","",VALUE($A2960&amp;"")*12+VALUE($B2960&amp;""))</f>
        <v/>
      </c>
      <c r="N2960" s="64">
        <f>IF($A2960="","",IFERROR(INDEX(부서매핑!$C$5:$C$504,MATCH($G2960&amp;"",부서매핑!$A$5:$A$504,0)),"미매핑"))</f>
        <v/>
      </c>
      <c r="O2960" s="9">
        <f>IF($A2960="","",N2960&amp;"|"&amp;$F2960)</f>
        <v/>
      </c>
      <c r="P2960" s="94">
        <f>IF($A2960="",0,$H2960*설정!$C$23)</f>
        <v/>
      </c>
      <c r="Q2960" s="64">
        <f>IF($A2960="","",IF(O2960&lt;&gt;원인분석!$C$9,"",IF(AND(M2960&gt;=원인분석!$C$10,M2960&lt;=원인분석!$C$11),"당기",IF(AND(M2960&gt;=원인분석!$C$12,M2960&lt;=원인분석!$C$13),"비교",""))))</f>
        <v/>
      </c>
      <c r="R2960" s="9">
        <f>IF(Q2960="","",$K2960&amp;"")</f>
        <v/>
      </c>
      <c r="S2960" s="9">
        <f>IF(Q2960="","",IF(MATCH(R2960,$R$5:$R$100000,0)=ROW()-4,ROW(),""))</f>
        <v/>
      </c>
      <c r="T2960" s="9">
        <f>IF(Q2960="당기",ABS(P2960)+ROW()/1000000000,"")</f>
        <v/>
      </c>
      <c r="U2960" s="9">
        <f>IF(Q2960="비교",ABS(P2960)+ROW()/1000000000,"")</f>
        <v/>
      </c>
      <c r="V2960" s="64">
        <f>IF($A2960="","",IF(COUNTIF(변동분석!$E$7:$E$506,O2960)&gt;0,"Y","N"))</f>
        <v/>
      </c>
      <c r="W2960" s="64">
        <f>IF($A2960="","",IFERROR(INDEX(계정매핑!$D$5:$D$504,MATCH($F2960&amp;"",계정매핑!$A$5:$A$504,0)),"미매핑"))</f>
        <v/>
      </c>
      <c r="X2960" s="9">
        <f>IF($A2960="","",$F2960&amp;"")</f>
        <v/>
      </c>
      <c r="Y2960" s="94">
        <f>IF($A2960="",0,IF(AE2960="직접",IF(AF2960="비귀속",$P2960,0),$P2960*(1-AG2960)*IFERROR(INDEX(계정대체기준!$F$20:$F$49,MATCH($N2960,계정대체기준!$A$20:$A$49,0)),1)))</f>
        <v/>
      </c>
      <c r="Z2960" s="94">
        <f>IF($A2960="",0,IF(AE2960="직접",IF(AF2960="신계약비",$P2960,0),$P2960*(1-AG2960)*IFERROR(INDEX(계정대체기준!$C$20:$C$49,MATCH($N2960,계정대체기준!$A$20:$A$49,0)),0)))</f>
        <v/>
      </c>
      <c r="AA2960" s="94">
        <f>IF($A2960="",0,IF(AE2960="직접",IF(OR(AF2960="유지비",AF2960="손해조사비"),$P2960,0),$P2960*(1-AG2960)*IFERROR(INDEX(계정대체기준!$D$20:$D$49,MATCH($N2960,계정대체기준!$A$20:$A$49,0)),0)))</f>
        <v/>
      </c>
      <c r="AB2960" s="94">
        <f>IF($A2960="",0,IF(AE2960="직접",IF(AF2960="수금비",$P2960,0),$P2960*(1-AG2960)*IFERROR(INDEX(계정대체기준!$E$20:$E$49,MATCH($N2960,계정대체기준!$A$20:$A$49,0)),0)))</f>
        <v/>
      </c>
      <c r="AC2960" s="9">
        <f>IF(AND($A2960&lt;&gt;"",M2960=설정!$C$20,Z2960&gt;0),Z2960+ROW()/1000000000,"")</f>
        <v/>
      </c>
      <c r="AD2960" s="94">
        <f>IF($A2960="",0,$P2960*AG2960)</f>
        <v/>
      </c>
      <c r="AE2960" s="64">
        <f>IF($A2960="","",IFERROR(INDEX(계정매핑!$E$5:$E$504,MATCH($F2960&amp;"",계정매핑!$A$5:$A$504,0))&amp;"","공통비"))</f>
        <v/>
      </c>
      <c r="AF2960" s="64">
        <f>IF($A2960="","",IF(AE2960="직접",IFERROR(INDEX(계정매핑!$F$5:$F$504,MATCH($F2960&amp;"",계정매핑!$A$5:$A$504,0))&amp;"","비귀속"),""))</f>
        <v/>
      </c>
      <c r="AG2960" s="96">
        <f>IF($A2960="",0,IF(AND(AE2960&lt;&gt;"직접",IFERROR(INDEX(계정매핑!$G$5:$G$504,MATCH($F2960&amp;"",계정매핑!$A$5:$A$504,0))&amp;"","")="유지비",COUNTIF(계정대체기준!$A$6:$A$15,$N2960)&gt;0),IFERROR(INDEX(계정대체기준!$E$6:$E$15,MATCH(VALUE($A2960&amp;""),계정대체기준!$D$6:$D$15,0)),0),0))</f>
        <v/>
      </c>
      <c r="AH2960" s="64">
        <f>IF($A2960="","",IF(AD2960=0,"",IF(OR(COUNTIF(계정대체기준!$A$77:$A$86,$N2960)&gt;0,ISNUMBER(MATCH($X2960,계정대체기준!$D$77:$D$86,0)),ISNUMBER(MATCH($F2960,계정대체기준!$D$77:$D$86,0))),"Y","N")))</f>
        <v/>
      </c>
    </row>
    <row r="2961">
      <c r="A2961" s="92" t="n">
        <v>2026</v>
      </c>
      <c r="B2961" s="92" t="n">
        <v>2</v>
      </c>
      <c r="C2961" s="92" t="inlineStr">
        <is>
          <t>5100000239</t>
        </is>
      </c>
      <c r="D2961" s="95" t="n">
        <v>46056</v>
      </c>
      <c r="E2961" s="92" t="inlineStr">
        <is>
          <t>KR</t>
        </is>
      </c>
      <c r="F2961" s="92" t="n">
        <v>62201000</v>
      </c>
      <c r="G2961" s="92" t="n">
        <v>1801</v>
      </c>
      <c r="H2961" s="93" t="n">
        <v>6486000</v>
      </c>
      <c r="I2961" s="92" t="inlineStr">
        <is>
          <t>2월 통신요금 - O텔레콤</t>
        </is>
      </c>
      <c r="J2961" s="92" t="inlineStr">
        <is>
          <t>V10002</t>
        </is>
      </c>
      <c r="K2961" s="92" t="inlineStr">
        <is>
          <t>O텔레콤</t>
        </is>
      </c>
      <c r="M2961" s="9">
        <f>IF($A2961="","",VALUE($A2961&amp;"")*12+VALUE($B2961&amp;""))</f>
        <v/>
      </c>
      <c r="N2961" s="64">
        <f>IF($A2961="","",IFERROR(INDEX(부서매핑!$C$5:$C$504,MATCH($G2961&amp;"",부서매핑!$A$5:$A$504,0)),"미매핑"))</f>
        <v/>
      </c>
      <c r="O2961" s="9">
        <f>IF($A2961="","",N2961&amp;"|"&amp;$F2961)</f>
        <v/>
      </c>
      <c r="P2961" s="94">
        <f>IF($A2961="",0,$H2961*설정!$C$23)</f>
        <v/>
      </c>
      <c r="Q2961" s="64">
        <f>IF($A2961="","",IF(O2961&lt;&gt;원인분석!$C$9,"",IF(AND(M2961&gt;=원인분석!$C$10,M2961&lt;=원인분석!$C$11),"당기",IF(AND(M2961&gt;=원인분석!$C$12,M2961&lt;=원인분석!$C$13),"비교",""))))</f>
        <v/>
      </c>
      <c r="R2961" s="9">
        <f>IF(Q2961="","",$K2961&amp;"")</f>
        <v/>
      </c>
      <c r="S2961" s="9">
        <f>IF(Q2961="","",IF(MATCH(R2961,$R$5:$R$100000,0)=ROW()-4,ROW(),""))</f>
        <v/>
      </c>
      <c r="T2961" s="9">
        <f>IF(Q2961="당기",ABS(P2961)+ROW()/1000000000,"")</f>
        <v/>
      </c>
      <c r="U2961" s="9">
        <f>IF(Q2961="비교",ABS(P2961)+ROW()/1000000000,"")</f>
        <v/>
      </c>
      <c r="V2961" s="64">
        <f>IF($A2961="","",IF(COUNTIF(변동분석!$E$7:$E$506,O2961)&gt;0,"Y","N"))</f>
        <v/>
      </c>
      <c r="W2961" s="64">
        <f>IF($A2961="","",IFERROR(INDEX(계정매핑!$D$5:$D$504,MATCH($F2961&amp;"",계정매핑!$A$5:$A$504,0)),"미매핑"))</f>
        <v/>
      </c>
      <c r="X2961" s="9">
        <f>IF($A2961="","",$F2961&amp;"")</f>
        <v/>
      </c>
      <c r="Y2961" s="94">
        <f>IF($A2961="",0,IF(AE2961="직접",IF(AF2961="비귀속",$P2961,0),$P2961*(1-AG2961)*IFERROR(INDEX(계정대체기준!$F$20:$F$49,MATCH($N2961,계정대체기준!$A$20:$A$49,0)),1)))</f>
        <v/>
      </c>
      <c r="Z2961" s="94">
        <f>IF($A2961="",0,IF(AE2961="직접",IF(AF2961="신계약비",$P2961,0),$P2961*(1-AG2961)*IFERROR(INDEX(계정대체기준!$C$20:$C$49,MATCH($N2961,계정대체기준!$A$20:$A$49,0)),0)))</f>
        <v/>
      </c>
      <c r="AA2961" s="94">
        <f>IF($A2961="",0,IF(AE2961="직접",IF(OR(AF2961="유지비",AF2961="손해조사비"),$P2961,0),$P2961*(1-AG2961)*IFERROR(INDEX(계정대체기준!$D$20:$D$49,MATCH($N2961,계정대체기준!$A$20:$A$49,0)),0)))</f>
        <v/>
      </c>
      <c r="AB2961" s="94">
        <f>IF($A2961="",0,IF(AE2961="직접",IF(AF2961="수금비",$P2961,0),$P2961*(1-AG2961)*IFERROR(INDEX(계정대체기준!$E$20:$E$49,MATCH($N2961,계정대체기준!$A$20:$A$49,0)),0)))</f>
        <v/>
      </c>
      <c r="AC2961" s="9">
        <f>IF(AND($A2961&lt;&gt;"",M2961=설정!$C$20,Z2961&gt;0),Z2961+ROW()/1000000000,"")</f>
        <v/>
      </c>
      <c r="AD2961" s="94">
        <f>IF($A2961="",0,$P2961*AG2961)</f>
        <v/>
      </c>
      <c r="AE2961" s="64">
        <f>IF($A2961="","",IFERROR(INDEX(계정매핑!$E$5:$E$504,MATCH($F2961&amp;"",계정매핑!$A$5:$A$504,0))&amp;"","공통비"))</f>
        <v/>
      </c>
      <c r="AF2961" s="64">
        <f>IF($A2961="","",IF(AE2961="직접",IFERROR(INDEX(계정매핑!$F$5:$F$504,MATCH($F2961&amp;"",계정매핑!$A$5:$A$504,0))&amp;"","비귀속"),""))</f>
        <v/>
      </c>
      <c r="AG2961" s="96">
        <f>IF($A2961="",0,IF(AND(AE2961&lt;&gt;"직접",IFERROR(INDEX(계정매핑!$G$5:$G$504,MATCH($F2961&amp;"",계정매핑!$A$5:$A$504,0))&amp;"","")="유지비",COUNTIF(계정대체기준!$A$6:$A$15,$N2961)&gt;0),IFERROR(INDEX(계정대체기준!$E$6:$E$15,MATCH(VALUE($A2961&amp;""),계정대체기준!$D$6:$D$15,0)),0),0))</f>
        <v/>
      </c>
      <c r="AH2961" s="64">
        <f>IF($A2961="","",IF(AD2961=0,"",IF(OR(COUNTIF(계정대체기준!$A$77:$A$86,$N2961)&gt;0,ISNUMBER(MATCH($X2961,계정대체기준!$D$77:$D$86,0)),ISNUMBER(MATCH($F2961,계정대체기준!$D$77:$D$86,0))),"Y","N")))</f>
        <v/>
      </c>
    </row>
    <row r="2962">
      <c r="A2962" s="92" t="n">
        <v>2026</v>
      </c>
      <c r="B2962" s="92" t="n">
        <v>2</v>
      </c>
      <c r="C2962" s="92" t="inlineStr">
        <is>
          <t>5100000240</t>
        </is>
      </c>
      <c r="D2962" s="95" t="n">
        <v>46056</v>
      </c>
      <c r="E2962" s="92" t="inlineStr">
        <is>
          <t>KR</t>
        </is>
      </c>
      <c r="F2962" s="92" t="n">
        <v>62201000</v>
      </c>
      <c r="G2962" s="92" t="n">
        <v>1801</v>
      </c>
      <c r="H2962" s="93" t="n">
        <v>3232000</v>
      </c>
      <c r="I2962" s="92" t="inlineStr">
        <is>
          <t>2월 통신요금 - O텔레콤</t>
        </is>
      </c>
      <c r="J2962" s="92" t="inlineStr">
        <is>
          <t>V10002</t>
        </is>
      </c>
      <c r="K2962" s="92" t="inlineStr">
        <is>
          <t>O텔레콤</t>
        </is>
      </c>
      <c r="M2962" s="9">
        <f>IF($A2962="","",VALUE($A2962&amp;"")*12+VALUE($B2962&amp;""))</f>
        <v/>
      </c>
      <c r="N2962" s="64">
        <f>IF($A2962="","",IFERROR(INDEX(부서매핑!$C$5:$C$504,MATCH($G2962&amp;"",부서매핑!$A$5:$A$504,0)),"미매핑"))</f>
        <v/>
      </c>
      <c r="O2962" s="9">
        <f>IF($A2962="","",N2962&amp;"|"&amp;$F2962)</f>
        <v/>
      </c>
      <c r="P2962" s="94">
        <f>IF($A2962="",0,$H2962*설정!$C$23)</f>
        <v/>
      </c>
      <c r="Q2962" s="64">
        <f>IF($A2962="","",IF(O2962&lt;&gt;원인분석!$C$9,"",IF(AND(M2962&gt;=원인분석!$C$10,M2962&lt;=원인분석!$C$11),"당기",IF(AND(M2962&gt;=원인분석!$C$12,M2962&lt;=원인분석!$C$13),"비교",""))))</f>
        <v/>
      </c>
      <c r="R2962" s="9">
        <f>IF(Q2962="","",$K2962&amp;"")</f>
        <v/>
      </c>
      <c r="S2962" s="9">
        <f>IF(Q2962="","",IF(MATCH(R2962,$R$5:$R$100000,0)=ROW()-4,ROW(),""))</f>
        <v/>
      </c>
      <c r="T2962" s="9">
        <f>IF(Q2962="당기",ABS(P2962)+ROW()/1000000000,"")</f>
        <v/>
      </c>
      <c r="U2962" s="9">
        <f>IF(Q2962="비교",ABS(P2962)+ROW()/1000000000,"")</f>
        <v/>
      </c>
      <c r="V2962" s="64">
        <f>IF($A2962="","",IF(COUNTIF(변동분석!$E$7:$E$506,O2962)&gt;0,"Y","N"))</f>
        <v/>
      </c>
      <c r="W2962" s="64">
        <f>IF($A2962="","",IFERROR(INDEX(계정매핑!$D$5:$D$504,MATCH($F2962&amp;"",계정매핑!$A$5:$A$504,0)),"미매핑"))</f>
        <v/>
      </c>
      <c r="X2962" s="9">
        <f>IF($A2962="","",$F2962&amp;"")</f>
        <v/>
      </c>
      <c r="Y2962" s="94">
        <f>IF($A2962="",0,IF(AE2962="직접",IF(AF2962="비귀속",$P2962,0),$P2962*(1-AG2962)*IFERROR(INDEX(계정대체기준!$F$20:$F$49,MATCH($N2962,계정대체기준!$A$20:$A$49,0)),1)))</f>
        <v/>
      </c>
      <c r="Z2962" s="94">
        <f>IF($A2962="",0,IF(AE2962="직접",IF(AF2962="신계약비",$P2962,0),$P2962*(1-AG2962)*IFERROR(INDEX(계정대체기준!$C$20:$C$49,MATCH($N2962,계정대체기준!$A$20:$A$49,0)),0)))</f>
        <v/>
      </c>
      <c r="AA2962" s="94">
        <f>IF($A2962="",0,IF(AE2962="직접",IF(OR(AF2962="유지비",AF2962="손해조사비"),$P2962,0),$P2962*(1-AG2962)*IFERROR(INDEX(계정대체기준!$D$20:$D$49,MATCH($N2962,계정대체기준!$A$20:$A$49,0)),0)))</f>
        <v/>
      </c>
      <c r="AB2962" s="94">
        <f>IF($A2962="",0,IF(AE2962="직접",IF(AF2962="수금비",$P2962,0),$P2962*(1-AG2962)*IFERROR(INDEX(계정대체기준!$E$20:$E$49,MATCH($N2962,계정대체기준!$A$20:$A$49,0)),0)))</f>
        <v/>
      </c>
      <c r="AC2962" s="9">
        <f>IF(AND($A2962&lt;&gt;"",M2962=설정!$C$20,Z2962&gt;0),Z2962+ROW()/1000000000,"")</f>
        <v/>
      </c>
      <c r="AD2962" s="94">
        <f>IF($A2962="",0,$P2962*AG2962)</f>
        <v/>
      </c>
      <c r="AE2962" s="64">
        <f>IF($A2962="","",IFERROR(INDEX(계정매핑!$E$5:$E$504,MATCH($F2962&amp;"",계정매핑!$A$5:$A$504,0))&amp;"","공통비"))</f>
        <v/>
      </c>
      <c r="AF2962" s="64">
        <f>IF($A2962="","",IF(AE2962="직접",IFERROR(INDEX(계정매핑!$F$5:$F$504,MATCH($F2962&amp;"",계정매핑!$A$5:$A$504,0))&amp;"","비귀속"),""))</f>
        <v/>
      </c>
      <c r="AG2962" s="96">
        <f>IF($A2962="",0,IF(AND(AE2962&lt;&gt;"직접",IFERROR(INDEX(계정매핑!$G$5:$G$504,MATCH($F2962&amp;"",계정매핑!$A$5:$A$504,0))&amp;"","")="유지비",COUNTIF(계정대체기준!$A$6:$A$15,$N2962)&gt;0),IFERROR(INDEX(계정대체기준!$E$6:$E$15,MATCH(VALUE($A2962&amp;""),계정대체기준!$D$6:$D$15,0)),0),0))</f>
        <v/>
      </c>
      <c r="AH2962" s="64">
        <f>IF($A2962="","",IF(AD2962=0,"",IF(OR(COUNTIF(계정대체기준!$A$77:$A$86,$N2962)&gt;0,ISNUMBER(MATCH($X2962,계정대체기준!$D$77:$D$86,0)),ISNUMBER(MATCH($F2962,계정대체기준!$D$77:$D$86,0))),"Y","N")))</f>
        <v/>
      </c>
    </row>
    <row r="2963">
      <c r="A2963" s="92" t="n">
        <v>2026</v>
      </c>
      <c r="B2963" s="92" t="n">
        <v>2</v>
      </c>
      <c r="C2963" s="92" t="inlineStr">
        <is>
          <t>5100000241</t>
        </is>
      </c>
      <c r="D2963" s="95" t="n">
        <v>46056</v>
      </c>
      <c r="E2963" s="92" t="inlineStr">
        <is>
          <t>KR</t>
        </is>
      </c>
      <c r="F2963" s="92" t="n">
        <v>62301000</v>
      </c>
      <c r="G2963" s="92" t="n">
        <v>1301</v>
      </c>
      <c r="H2963" s="93" t="n">
        <v>188000</v>
      </c>
      <c r="I2963" s="92" t="inlineStr">
        <is>
          <t>2월 소모품 구입 - R문구</t>
        </is>
      </c>
      <c r="J2963" s="92" t="inlineStr">
        <is>
          <t>V10022</t>
        </is>
      </c>
      <c r="K2963" s="92" t="inlineStr">
        <is>
          <t>R문구</t>
        </is>
      </c>
      <c r="M2963" s="9">
        <f>IF($A2963="","",VALUE($A2963&amp;"")*12+VALUE($B2963&amp;""))</f>
        <v/>
      </c>
      <c r="N2963" s="64">
        <f>IF($A2963="","",IFERROR(INDEX(부서매핑!$C$5:$C$504,MATCH($G2963&amp;"",부서매핑!$A$5:$A$504,0)),"미매핑"))</f>
        <v/>
      </c>
      <c r="O2963" s="9">
        <f>IF($A2963="","",N2963&amp;"|"&amp;$F2963)</f>
        <v/>
      </c>
      <c r="P2963" s="94">
        <f>IF($A2963="",0,$H2963*설정!$C$23)</f>
        <v/>
      </c>
      <c r="Q2963" s="64">
        <f>IF($A2963="","",IF(O2963&lt;&gt;원인분석!$C$9,"",IF(AND(M2963&gt;=원인분석!$C$10,M2963&lt;=원인분석!$C$11),"당기",IF(AND(M2963&gt;=원인분석!$C$12,M2963&lt;=원인분석!$C$13),"비교",""))))</f>
        <v/>
      </c>
      <c r="R2963" s="9">
        <f>IF(Q2963="","",$K2963&amp;"")</f>
        <v/>
      </c>
      <c r="S2963" s="9">
        <f>IF(Q2963="","",IF(MATCH(R2963,$R$5:$R$100000,0)=ROW()-4,ROW(),""))</f>
        <v/>
      </c>
      <c r="T2963" s="9">
        <f>IF(Q2963="당기",ABS(P2963)+ROW()/1000000000,"")</f>
        <v/>
      </c>
      <c r="U2963" s="9">
        <f>IF(Q2963="비교",ABS(P2963)+ROW()/1000000000,"")</f>
        <v/>
      </c>
      <c r="V2963" s="64">
        <f>IF($A2963="","",IF(COUNTIF(변동분석!$E$7:$E$506,O2963)&gt;0,"Y","N"))</f>
        <v/>
      </c>
      <c r="W2963" s="64">
        <f>IF($A2963="","",IFERROR(INDEX(계정매핑!$D$5:$D$504,MATCH($F2963&amp;"",계정매핑!$A$5:$A$504,0)),"미매핑"))</f>
        <v/>
      </c>
      <c r="X2963" s="9">
        <f>IF($A2963="","",$F2963&amp;"")</f>
        <v/>
      </c>
      <c r="Y2963" s="94">
        <f>IF($A2963="",0,IF(AE2963="직접",IF(AF2963="비귀속",$P2963,0),$P2963*(1-AG2963)*IFERROR(INDEX(계정대체기준!$F$20:$F$49,MATCH($N2963,계정대체기준!$A$20:$A$49,0)),1)))</f>
        <v/>
      </c>
      <c r="Z2963" s="94">
        <f>IF($A2963="",0,IF(AE2963="직접",IF(AF2963="신계약비",$P2963,0),$P2963*(1-AG2963)*IFERROR(INDEX(계정대체기준!$C$20:$C$49,MATCH($N2963,계정대체기준!$A$20:$A$49,0)),0)))</f>
        <v/>
      </c>
      <c r="AA2963" s="94">
        <f>IF($A2963="",0,IF(AE2963="직접",IF(OR(AF2963="유지비",AF2963="손해조사비"),$P2963,0),$P2963*(1-AG2963)*IFERROR(INDEX(계정대체기준!$D$20:$D$49,MATCH($N2963,계정대체기준!$A$20:$A$49,0)),0)))</f>
        <v/>
      </c>
      <c r="AB2963" s="94">
        <f>IF($A2963="",0,IF(AE2963="직접",IF(AF2963="수금비",$P2963,0),$P2963*(1-AG2963)*IFERROR(INDEX(계정대체기준!$E$20:$E$49,MATCH($N2963,계정대체기준!$A$20:$A$49,0)),0)))</f>
        <v/>
      </c>
      <c r="AC2963" s="9">
        <f>IF(AND($A2963&lt;&gt;"",M2963=설정!$C$20,Z2963&gt;0),Z2963+ROW()/1000000000,"")</f>
        <v/>
      </c>
      <c r="AD2963" s="94">
        <f>IF($A2963="",0,$P2963*AG2963)</f>
        <v/>
      </c>
      <c r="AE2963" s="64">
        <f>IF($A2963="","",IFERROR(INDEX(계정매핑!$E$5:$E$504,MATCH($F2963&amp;"",계정매핑!$A$5:$A$504,0))&amp;"","공통비"))</f>
        <v/>
      </c>
      <c r="AF2963" s="64">
        <f>IF($A2963="","",IF(AE2963="직접",IFERROR(INDEX(계정매핑!$F$5:$F$504,MATCH($F2963&amp;"",계정매핑!$A$5:$A$504,0))&amp;"","비귀속"),""))</f>
        <v/>
      </c>
      <c r="AG2963" s="96">
        <f>IF($A2963="",0,IF(AND(AE2963&lt;&gt;"직접",IFERROR(INDEX(계정매핑!$G$5:$G$504,MATCH($F2963&amp;"",계정매핑!$A$5:$A$504,0))&amp;"","")="유지비",COUNTIF(계정대체기준!$A$6:$A$15,$N2963)&gt;0),IFERROR(INDEX(계정대체기준!$E$6:$E$15,MATCH(VALUE($A2963&amp;""),계정대체기준!$D$6:$D$15,0)),0),0))</f>
        <v/>
      </c>
      <c r="AH2963" s="64">
        <f>IF($A2963="","",IF(AD2963=0,"",IF(OR(COUNTIF(계정대체기준!$A$77:$A$86,$N2963)&gt;0,ISNUMBER(MATCH($X2963,계정대체기준!$D$77:$D$86,0)),ISNUMBER(MATCH($F2963,계정대체기준!$D$77:$D$86,0))),"Y","N")))</f>
        <v/>
      </c>
    </row>
    <row r="2964">
      <c r="A2964" s="92" t="n">
        <v>2026</v>
      </c>
      <c r="B2964" s="92" t="n">
        <v>2</v>
      </c>
      <c r="C2964" s="92" t="inlineStr">
        <is>
          <t>5100000242</t>
        </is>
      </c>
      <c r="D2964" s="95" t="n">
        <v>46056</v>
      </c>
      <c r="E2964" s="92" t="inlineStr">
        <is>
          <t>KR</t>
        </is>
      </c>
      <c r="F2964" s="92" t="n">
        <v>62301000</v>
      </c>
      <c r="G2964" s="92" t="n">
        <v>1502</v>
      </c>
      <c r="H2964" s="93" t="n">
        <v>188000</v>
      </c>
      <c r="I2964" s="92" t="inlineStr">
        <is>
          <t>2월 소모품 구입 - R문구</t>
        </is>
      </c>
      <c r="J2964" s="92" t="inlineStr">
        <is>
          <t>V10022</t>
        </is>
      </c>
      <c r="K2964" s="92" t="inlineStr">
        <is>
          <t>R문구</t>
        </is>
      </c>
      <c r="M2964" s="9">
        <f>IF($A2964="","",VALUE($A2964&amp;"")*12+VALUE($B2964&amp;""))</f>
        <v/>
      </c>
      <c r="N2964" s="64">
        <f>IF($A2964="","",IFERROR(INDEX(부서매핑!$C$5:$C$504,MATCH($G2964&amp;"",부서매핑!$A$5:$A$504,0)),"미매핑"))</f>
        <v/>
      </c>
      <c r="O2964" s="9">
        <f>IF($A2964="","",N2964&amp;"|"&amp;$F2964)</f>
        <v/>
      </c>
      <c r="P2964" s="94">
        <f>IF($A2964="",0,$H2964*설정!$C$23)</f>
        <v/>
      </c>
      <c r="Q2964" s="64">
        <f>IF($A2964="","",IF(O2964&lt;&gt;원인분석!$C$9,"",IF(AND(M2964&gt;=원인분석!$C$10,M2964&lt;=원인분석!$C$11),"당기",IF(AND(M2964&gt;=원인분석!$C$12,M2964&lt;=원인분석!$C$13),"비교",""))))</f>
        <v/>
      </c>
      <c r="R2964" s="9">
        <f>IF(Q2964="","",$K2964&amp;"")</f>
        <v/>
      </c>
      <c r="S2964" s="9">
        <f>IF(Q2964="","",IF(MATCH(R2964,$R$5:$R$100000,0)=ROW()-4,ROW(),""))</f>
        <v/>
      </c>
      <c r="T2964" s="9">
        <f>IF(Q2964="당기",ABS(P2964)+ROW()/1000000000,"")</f>
        <v/>
      </c>
      <c r="U2964" s="9">
        <f>IF(Q2964="비교",ABS(P2964)+ROW()/1000000000,"")</f>
        <v/>
      </c>
      <c r="V2964" s="64">
        <f>IF($A2964="","",IF(COUNTIF(변동분석!$E$7:$E$506,O2964)&gt;0,"Y","N"))</f>
        <v/>
      </c>
      <c r="W2964" s="64">
        <f>IF($A2964="","",IFERROR(INDEX(계정매핑!$D$5:$D$504,MATCH($F2964&amp;"",계정매핑!$A$5:$A$504,0)),"미매핑"))</f>
        <v/>
      </c>
      <c r="X2964" s="9">
        <f>IF($A2964="","",$F2964&amp;"")</f>
        <v/>
      </c>
      <c r="Y2964" s="94">
        <f>IF($A2964="",0,IF(AE2964="직접",IF(AF2964="비귀속",$P2964,0),$P2964*(1-AG2964)*IFERROR(INDEX(계정대체기준!$F$20:$F$49,MATCH($N2964,계정대체기준!$A$20:$A$49,0)),1)))</f>
        <v/>
      </c>
      <c r="Z2964" s="94">
        <f>IF($A2964="",0,IF(AE2964="직접",IF(AF2964="신계약비",$P2964,0),$P2964*(1-AG2964)*IFERROR(INDEX(계정대체기준!$C$20:$C$49,MATCH($N2964,계정대체기준!$A$20:$A$49,0)),0)))</f>
        <v/>
      </c>
      <c r="AA2964" s="94">
        <f>IF($A2964="",0,IF(AE2964="직접",IF(OR(AF2964="유지비",AF2964="손해조사비"),$P2964,0),$P2964*(1-AG2964)*IFERROR(INDEX(계정대체기준!$D$20:$D$49,MATCH($N2964,계정대체기준!$A$20:$A$49,0)),0)))</f>
        <v/>
      </c>
      <c r="AB2964" s="94">
        <f>IF($A2964="",0,IF(AE2964="직접",IF(AF2964="수금비",$P2964,0),$P2964*(1-AG2964)*IFERROR(INDEX(계정대체기준!$E$20:$E$49,MATCH($N2964,계정대체기준!$A$20:$A$49,0)),0)))</f>
        <v/>
      </c>
      <c r="AC2964" s="9">
        <f>IF(AND($A2964&lt;&gt;"",M2964=설정!$C$20,Z2964&gt;0),Z2964+ROW()/1000000000,"")</f>
        <v/>
      </c>
      <c r="AD2964" s="94">
        <f>IF($A2964="",0,$P2964*AG2964)</f>
        <v/>
      </c>
      <c r="AE2964" s="64">
        <f>IF($A2964="","",IFERROR(INDEX(계정매핑!$E$5:$E$504,MATCH($F2964&amp;"",계정매핑!$A$5:$A$504,0))&amp;"","공통비"))</f>
        <v/>
      </c>
      <c r="AF2964" s="64">
        <f>IF($A2964="","",IF(AE2964="직접",IFERROR(INDEX(계정매핑!$F$5:$F$504,MATCH($F2964&amp;"",계정매핑!$A$5:$A$504,0))&amp;"","비귀속"),""))</f>
        <v/>
      </c>
      <c r="AG2964" s="96">
        <f>IF($A2964="",0,IF(AND(AE2964&lt;&gt;"직접",IFERROR(INDEX(계정매핑!$G$5:$G$504,MATCH($F2964&amp;"",계정매핑!$A$5:$A$504,0))&amp;"","")="유지비",COUNTIF(계정대체기준!$A$6:$A$15,$N2964)&gt;0),IFERROR(INDEX(계정대체기준!$E$6:$E$15,MATCH(VALUE($A2964&amp;""),계정대체기준!$D$6:$D$15,0)),0),0))</f>
        <v/>
      </c>
      <c r="AH2964" s="64">
        <f>IF($A2964="","",IF(AD2964=0,"",IF(OR(COUNTIF(계정대체기준!$A$77:$A$86,$N2964)&gt;0,ISNUMBER(MATCH($X2964,계정대체기준!$D$77:$D$86,0)),ISNUMBER(MATCH($F2964,계정대체기준!$D$77:$D$86,0))),"Y","N")))</f>
        <v/>
      </c>
    </row>
    <row r="2965">
      <c r="A2965" s="92" t="n">
        <v>2026</v>
      </c>
      <c r="B2965" s="92" t="n">
        <v>2</v>
      </c>
      <c r="C2965" s="92" t="inlineStr">
        <is>
          <t>5100000243</t>
        </is>
      </c>
      <c r="D2965" s="95" t="n">
        <v>46056</v>
      </c>
      <c r="E2965" s="92" t="inlineStr">
        <is>
          <t>KR</t>
        </is>
      </c>
      <c r="F2965" s="92" t="n">
        <v>62501000</v>
      </c>
      <c r="G2965" s="92" t="n">
        <v>1201</v>
      </c>
      <c r="H2965" s="93" t="n">
        <v>141000</v>
      </c>
      <c r="I2965" s="92" t="inlineStr">
        <is>
          <t>2월 회의 다과 - T케이터링</t>
        </is>
      </c>
      <c r="J2965" s="92" t="inlineStr">
        <is>
          <t>V10005</t>
        </is>
      </c>
      <c r="K2965" s="92" t="inlineStr">
        <is>
          <t>T케이터링</t>
        </is>
      </c>
      <c r="M2965" s="9">
        <f>IF($A2965="","",VALUE($A2965&amp;"")*12+VALUE($B2965&amp;""))</f>
        <v/>
      </c>
      <c r="N2965" s="64">
        <f>IF($A2965="","",IFERROR(INDEX(부서매핑!$C$5:$C$504,MATCH($G2965&amp;"",부서매핑!$A$5:$A$504,0)),"미매핑"))</f>
        <v/>
      </c>
      <c r="O2965" s="9">
        <f>IF($A2965="","",N2965&amp;"|"&amp;$F2965)</f>
        <v/>
      </c>
      <c r="P2965" s="94">
        <f>IF($A2965="",0,$H2965*설정!$C$23)</f>
        <v/>
      </c>
      <c r="Q2965" s="64">
        <f>IF($A2965="","",IF(O2965&lt;&gt;원인분석!$C$9,"",IF(AND(M2965&gt;=원인분석!$C$10,M2965&lt;=원인분석!$C$11),"당기",IF(AND(M2965&gt;=원인분석!$C$12,M2965&lt;=원인분석!$C$13),"비교",""))))</f>
        <v/>
      </c>
      <c r="R2965" s="9">
        <f>IF(Q2965="","",$K2965&amp;"")</f>
        <v/>
      </c>
      <c r="S2965" s="9">
        <f>IF(Q2965="","",IF(MATCH(R2965,$R$5:$R$100000,0)=ROW()-4,ROW(),""))</f>
        <v/>
      </c>
      <c r="T2965" s="9">
        <f>IF(Q2965="당기",ABS(P2965)+ROW()/1000000000,"")</f>
        <v/>
      </c>
      <c r="U2965" s="9">
        <f>IF(Q2965="비교",ABS(P2965)+ROW()/1000000000,"")</f>
        <v/>
      </c>
      <c r="V2965" s="64">
        <f>IF($A2965="","",IF(COUNTIF(변동분석!$E$7:$E$506,O2965)&gt;0,"Y","N"))</f>
        <v/>
      </c>
      <c r="W2965" s="64">
        <f>IF($A2965="","",IFERROR(INDEX(계정매핑!$D$5:$D$504,MATCH($F2965&amp;"",계정매핑!$A$5:$A$504,0)),"미매핑"))</f>
        <v/>
      </c>
      <c r="X2965" s="9">
        <f>IF($A2965="","",$F2965&amp;"")</f>
        <v/>
      </c>
      <c r="Y2965" s="94">
        <f>IF($A2965="",0,IF(AE2965="직접",IF(AF2965="비귀속",$P2965,0),$P2965*(1-AG2965)*IFERROR(INDEX(계정대체기준!$F$20:$F$49,MATCH($N2965,계정대체기준!$A$20:$A$49,0)),1)))</f>
        <v/>
      </c>
      <c r="Z2965" s="94">
        <f>IF($A2965="",0,IF(AE2965="직접",IF(AF2965="신계약비",$P2965,0),$P2965*(1-AG2965)*IFERROR(INDEX(계정대체기준!$C$20:$C$49,MATCH($N2965,계정대체기준!$A$20:$A$49,0)),0)))</f>
        <v/>
      </c>
      <c r="AA2965" s="94">
        <f>IF($A2965="",0,IF(AE2965="직접",IF(OR(AF2965="유지비",AF2965="손해조사비"),$P2965,0),$P2965*(1-AG2965)*IFERROR(INDEX(계정대체기준!$D$20:$D$49,MATCH($N2965,계정대체기준!$A$20:$A$49,0)),0)))</f>
        <v/>
      </c>
      <c r="AB2965" s="94">
        <f>IF($A2965="",0,IF(AE2965="직접",IF(AF2965="수금비",$P2965,0),$P2965*(1-AG2965)*IFERROR(INDEX(계정대체기준!$E$20:$E$49,MATCH($N2965,계정대체기준!$A$20:$A$49,0)),0)))</f>
        <v/>
      </c>
      <c r="AC2965" s="9">
        <f>IF(AND($A2965&lt;&gt;"",M2965=설정!$C$20,Z2965&gt;0),Z2965+ROW()/1000000000,"")</f>
        <v/>
      </c>
      <c r="AD2965" s="94">
        <f>IF($A2965="",0,$P2965*AG2965)</f>
        <v/>
      </c>
      <c r="AE2965" s="64">
        <f>IF($A2965="","",IFERROR(INDEX(계정매핑!$E$5:$E$504,MATCH($F2965&amp;"",계정매핑!$A$5:$A$504,0))&amp;"","공통비"))</f>
        <v/>
      </c>
      <c r="AF2965" s="64">
        <f>IF($A2965="","",IF(AE2965="직접",IFERROR(INDEX(계정매핑!$F$5:$F$504,MATCH($F2965&amp;"",계정매핑!$A$5:$A$504,0))&amp;"","비귀속"),""))</f>
        <v/>
      </c>
      <c r="AG2965" s="96">
        <f>IF($A2965="",0,IF(AND(AE2965&lt;&gt;"직접",IFERROR(INDEX(계정매핑!$G$5:$G$504,MATCH($F2965&amp;"",계정매핑!$A$5:$A$504,0))&amp;"","")="유지비",COUNTIF(계정대체기준!$A$6:$A$15,$N2965)&gt;0),IFERROR(INDEX(계정대체기준!$E$6:$E$15,MATCH(VALUE($A2965&amp;""),계정대체기준!$D$6:$D$15,0)),0),0))</f>
        <v/>
      </c>
      <c r="AH2965" s="64">
        <f>IF($A2965="","",IF(AD2965=0,"",IF(OR(COUNTIF(계정대체기준!$A$77:$A$86,$N2965)&gt;0,ISNUMBER(MATCH($X2965,계정대체기준!$D$77:$D$86,0)),ISNUMBER(MATCH($F2965,계정대체기준!$D$77:$D$86,0))),"Y","N")))</f>
        <v/>
      </c>
    </row>
    <row r="2966">
      <c r="A2966" s="92" t="n">
        <v>2026</v>
      </c>
      <c r="B2966" s="92" t="n">
        <v>2</v>
      </c>
      <c r="C2966" s="92" t="inlineStr">
        <is>
          <t>5100000244</t>
        </is>
      </c>
      <c r="D2966" s="95" t="n">
        <v>46056</v>
      </c>
      <c r="E2966" s="92" t="inlineStr">
        <is>
          <t>KR</t>
        </is>
      </c>
      <c r="F2966" s="92" t="n">
        <v>62501000</v>
      </c>
      <c r="G2966" s="92" t="n">
        <v>1502</v>
      </c>
      <c r="H2966" s="93" t="n">
        <v>368000</v>
      </c>
      <c r="I2966" s="92" t="inlineStr">
        <is>
          <t>2월 회의 다과 - (법인카드)</t>
        </is>
      </c>
      <c r="J2966" s="92" t="inlineStr">
        <is>
          <t>V10010</t>
        </is>
      </c>
      <c r="K2966" s="92" t="inlineStr">
        <is>
          <t>(법인카드)</t>
        </is>
      </c>
      <c r="M2966" s="9">
        <f>IF($A2966="","",VALUE($A2966&amp;"")*12+VALUE($B2966&amp;""))</f>
        <v/>
      </c>
      <c r="N2966" s="64">
        <f>IF($A2966="","",IFERROR(INDEX(부서매핑!$C$5:$C$504,MATCH($G2966&amp;"",부서매핑!$A$5:$A$504,0)),"미매핑"))</f>
        <v/>
      </c>
      <c r="O2966" s="9">
        <f>IF($A2966="","",N2966&amp;"|"&amp;$F2966)</f>
        <v/>
      </c>
      <c r="P2966" s="94">
        <f>IF($A2966="",0,$H2966*설정!$C$23)</f>
        <v/>
      </c>
      <c r="Q2966" s="64">
        <f>IF($A2966="","",IF(O2966&lt;&gt;원인분석!$C$9,"",IF(AND(M2966&gt;=원인분석!$C$10,M2966&lt;=원인분석!$C$11),"당기",IF(AND(M2966&gt;=원인분석!$C$12,M2966&lt;=원인분석!$C$13),"비교",""))))</f>
        <v/>
      </c>
      <c r="R2966" s="9">
        <f>IF(Q2966="","",$K2966&amp;"")</f>
        <v/>
      </c>
      <c r="S2966" s="9">
        <f>IF(Q2966="","",IF(MATCH(R2966,$R$5:$R$100000,0)=ROW()-4,ROW(),""))</f>
        <v/>
      </c>
      <c r="T2966" s="9">
        <f>IF(Q2966="당기",ABS(P2966)+ROW()/1000000000,"")</f>
        <v/>
      </c>
      <c r="U2966" s="9">
        <f>IF(Q2966="비교",ABS(P2966)+ROW()/1000000000,"")</f>
        <v/>
      </c>
      <c r="V2966" s="64">
        <f>IF($A2966="","",IF(COUNTIF(변동분석!$E$7:$E$506,O2966)&gt;0,"Y","N"))</f>
        <v/>
      </c>
      <c r="W2966" s="64">
        <f>IF($A2966="","",IFERROR(INDEX(계정매핑!$D$5:$D$504,MATCH($F2966&amp;"",계정매핑!$A$5:$A$504,0)),"미매핑"))</f>
        <v/>
      </c>
      <c r="X2966" s="9">
        <f>IF($A2966="","",$F2966&amp;"")</f>
        <v/>
      </c>
      <c r="Y2966" s="94">
        <f>IF($A2966="",0,IF(AE2966="직접",IF(AF2966="비귀속",$P2966,0),$P2966*(1-AG2966)*IFERROR(INDEX(계정대체기준!$F$20:$F$49,MATCH($N2966,계정대체기준!$A$20:$A$49,0)),1)))</f>
        <v/>
      </c>
      <c r="Z2966" s="94">
        <f>IF($A2966="",0,IF(AE2966="직접",IF(AF2966="신계약비",$P2966,0),$P2966*(1-AG2966)*IFERROR(INDEX(계정대체기준!$C$20:$C$49,MATCH($N2966,계정대체기준!$A$20:$A$49,0)),0)))</f>
        <v/>
      </c>
      <c r="AA2966" s="94">
        <f>IF($A2966="",0,IF(AE2966="직접",IF(OR(AF2966="유지비",AF2966="손해조사비"),$P2966,0),$P2966*(1-AG2966)*IFERROR(INDEX(계정대체기준!$D$20:$D$49,MATCH($N2966,계정대체기준!$A$20:$A$49,0)),0)))</f>
        <v/>
      </c>
      <c r="AB2966" s="94">
        <f>IF($A2966="",0,IF(AE2966="직접",IF(AF2966="수금비",$P2966,0),$P2966*(1-AG2966)*IFERROR(INDEX(계정대체기준!$E$20:$E$49,MATCH($N2966,계정대체기준!$A$20:$A$49,0)),0)))</f>
        <v/>
      </c>
      <c r="AC2966" s="9">
        <f>IF(AND($A2966&lt;&gt;"",M2966=설정!$C$20,Z2966&gt;0),Z2966+ROW()/1000000000,"")</f>
        <v/>
      </c>
      <c r="AD2966" s="94">
        <f>IF($A2966="",0,$P2966*AG2966)</f>
        <v/>
      </c>
      <c r="AE2966" s="64">
        <f>IF($A2966="","",IFERROR(INDEX(계정매핑!$E$5:$E$504,MATCH($F2966&amp;"",계정매핑!$A$5:$A$504,0))&amp;"","공통비"))</f>
        <v/>
      </c>
      <c r="AF2966" s="64">
        <f>IF($A2966="","",IF(AE2966="직접",IFERROR(INDEX(계정매핑!$F$5:$F$504,MATCH($F2966&amp;"",계정매핑!$A$5:$A$504,0))&amp;"","비귀속"),""))</f>
        <v/>
      </c>
      <c r="AG2966" s="96">
        <f>IF($A2966="",0,IF(AND(AE2966&lt;&gt;"직접",IFERROR(INDEX(계정매핑!$G$5:$G$504,MATCH($F2966&amp;"",계정매핑!$A$5:$A$504,0))&amp;"","")="유지비",COUNTIF(계정대체기준!$A$6:$A$15,$N2966)&gt;0),IFERROR(INDEX(계정대체기준!$E$6:$E$15,MATCH(VALUE($A2966&amp;""),계정대체기준!$D$6:$D$15,0)),0),0))</f>
        <v/>
      </c>
      <c r="AH2966" s="64">
        <f>IF($A2966="","",IF(AD2966=0,"",IF(OR(COUNTIF(계정대체기준!$A$77:$A$86,$N2966)&gt;0,ISNUMBER(MATCH($X2966,계정대체기준!$D$77:$D$86,0)),ISNUMBER(MATCH($F2966,계정대체기준!$D$77:$D$86,0))),"Y","N")))</f>
        <v/>
      </c>
    </row>
    <row r="2967">
      <c r="A2967" s="92" t="n">
        <v>2026</v>
      </c>
      <c r="B2967" s="92" t="n">
        <v>2</v>
      </c>
      <c r="C2967" s="92" t="inlineStr">
        <is>
          <t>5100000245</t>
        </is>
      </c>
      <c r="D2967" s="95" t="n">
        <v>46056</v>
      </c>
      <c r="E2967" s="92" t="inlineStr">
        <is>
          <t>KR</t>
        </is>
      </c>
      <c r="F2967" s="92" t="n">
        <v>62501000</v>
      </c>
      <c r="G2967" s="92" t="n">
        <v>1601</v>
      </c>
      <c r="H2967" s="93" t="n">
        <v>265000</v>
      </c>
      <c r="I2967" s="92" t="inlineStr">
        <is>
          <t>2월 회의 다과 - (법인카드)</t>
        </is>
      </c>
      <c r="J2967" s="92" t="inlineStr">
        <is>
          <t>V10010</t>
        </is>
      </c>
      <c r="K2967" s="92" t="inlineStr">
        <is>
          <t>(법인카드)</t>
        </is>
      </c>
      <c r="M2967" s="9">
        <f>IF($A2967="","",VALUE($A2967&amp;"")*12+VALUE($B2967&amp;""))</f>
        <v/>
      </c>
      <c r="N2967" s="64">
        <f>IF($A2967="","",IFERROR(INDEX(부서매핑!$C$5:$C$504,MATCH($G2967&amp;"",부서매핑!$A$5:$A$504,0)),"미매핑"))</f>
        <v/>
      </c>
      <c r="O2967" s="9">
        <f>IF($A2967="","",N2967&amp;"|"&amp;$F2967)</f>
        <v/>
      </c>
      <c r="P2967" s="94">
        <f>IF($A2967="",0,$H2967*설정!$C$23)</f>
        <v/>
      </c>
      <c r="Q2967" s="64">
        <f>IF($A2967="","",IF(O2967&lt;&gt;원인분석!$C$9,"",IF(AND(M2967&gt;=원인분석!$C$10,M2967&lt;=원인분석!$C$11),"당기",IF(AND(M2967&gt;=원인분석!$C$12,M2967&lt;=원인분석!$C$13),"비교",""))))</f>
        <v/>
      </c>
      <c r="R2967" s="9">
        <f>IF(Q2967="","",$K2967&amp;"")</f>
        <v/>
      </c>
      <c r="S2967" s="9">
        <f>IF(Q2967="","",IF(MATCH(R2967,$R$5:$R$100000,0)=ROW()-4,ROW(),""))</f>
        <v/>
      </c>
      <c r="T2967" s="9">
        <f>IF(Q2967="당기",ABS(P2967)+ROW()/1000000000,"")</f>
        <v/>
      </c>
      <c r="U2967" s="9">
        <f>IF(Q2967="비교",ABS(P2967)+ROW()/1000000000,"")</f>
        <v/>
      </c>
      <c r="V2967" s="64">
        <f>IF($A2967="","",IF(COUNTIF(변동분석!$E$7:$E$506,O2967)&gt;0,"Y","N"))</f>
        <v/>
      </c>
      <c r="W2967" s="64">
        <f>IF($A2967="","",IFERROR(INDEX(계정매핑!$D$5:$D$504,MATCH($F2967&amp;"",계정매핑!$A$5:$A$504,0)),"미매핑"))</f>
        <v/>
      </c>
      <c r="X2967" s="9">
        <f>IF($A2967="","",$F2967&amp;"")</f>
        <v/>
      </c>
      <c r="Y2967" s="94">
        <f>IF($A2967="",0,IF(AE2967="직접",IF(AF2967="비귀속",$P2967,0),$P2967*(1-AG2967)*IFERROR(INDEX(계정대체기준!$F$20:$F$49,MATCH($N2967,계정대체기준!$A$20:$A$49,0)),1)))</f>
        <v/>
      </c>
      <c r="Z2967" s="94">
        <f>IF($A2967="",0,IF(AE2967="직접",IF(AF2967="신계약비",$P2967,0),$P2967*(1-AG2967)*IFERROR(INDEX(계정대체기준!$C$20:$C$49,MATCH($N2967,계정대체기준!$A$20:$A$49,0)),0)))</f>
        <v/>
      </c>
      <c r="AA2967" s="94">
        <f>IF($A2967="",0,IF(AE2967="직접",IF(OR(AF2967="유지비",AF2967="손해조사비"),$P2967,0),$P2967*(1-AG2967)*IFERROR(INDEX(계정대체기준!$D$20:$D$49,MATCH($N2967,계정대체기준!$A$20:$A$49,0)),0)))</f>
        <v/>
      </c>
      <c r="AB2967" s="94">
        <f>IF($A2967="",0,IF(AE2967="직접",IF(AF2967="수금비",$P2967,0),$P2967*(1-AG2967)*IFERROR(INDEX(계정대체기준!$E$20:$E$49,MATCH($N2967,계정대체기준!$A$20:$A$49,0)),0)))</f>
        <v/>
      </c>
      <c r="AC2967" s="9">
        <f>IF(AND($A2967&lt;&gt;"",M2967=설정!$C$20,Z2967&gt;0),Z2967+ROW()/1000000000,"")</f>
        <v/>
      </c>
      <c r="AD2967" s="94">
        <f>IF($A2967="",0,$P2967*AG2967)</f>
        <v/>
      </c>
      <c r="AE2967" s="64">
        <f>IF($A2967="","",IFERROR(INDEX(계정매핑!$E$5:$E$504,MATCH($F2967&amp;"",계정매핑!$A$5:$A$504,0))&amp;"","공통비"))</f>
        <v/>
      </c>
      <c r="AF2967" s="64">
        <f>IF($A2967="","",IF(AE2967="직접",IFERROR(INDEX(계정매핑!$F$5:$F$504,MATCH($F2967&amp;"",계정매핑!$A$5:$A$504,0))&amp;"","비귀속"),""))</f>
        <v/>
      </c>
      <c r="AG2967" s="96">
        <f>IF($A2967="",0,IF(AND(AE2967&lt;&gt;"직접",IFERROR(INDEX(계정매핑!$G$5:$G$504,MATCH($F2967&amp;"",계정매핑!$A$5:$A$504,0))&amp;"","")="유지비",COUNTIF(계정대체기준!$A$6:$A$15,$N2967)&gt;0),IFERROR(INDEX(계정대체기준!$E$6:$E$15,MATCH(VALUE($A2967&amp;""),계정대체기준!$D$6:$D$15,0)),0),0))</f>
        <v/>
      </c>
      <c r="AH2967" s="64">
        <f>IF($A2967="","",IF(AD2967=0,"",IF(OR(COUNTIF(계정대체기준!$A$77:$A$86,$N2967)&gt;0,ISNUMBER(MATCH($X2967,계정대체기준!$D$77:$D$86,0)),ISNUMBER(MATCH($F2967,계정대체기준!$D$77:$D$86,0))),"Y","N")))</f>
        <v/>
      </c>
    </row>
    <row r="2968">
      <c r="A2968" s="92" t="n">
        <v>2026</v>
      </c>
      <c r="B2968" s="92" t="n">
        <v>2</v>
      </c>
      <c r="C2968" s="92" t="inlineStr">
        <is>
          <t>5100000246</t>
        </is>
      </c>
      <c r="D2968" s="95" t="n">
        <v>46056</v>
      </c>
      <c r="E2968" s="92" t="inlineStr">
        <is>
          <t>KR</t>
        </is>
      </c>
      <c r="F2968" s="92" t="n">
        <v>62901000</v>
      </c>
      <c r="G2968" s="92" t="n">
        <v>1801</v>
      </c>
      <c r="H2968" s="93" t="n">
        <v>14197000</v>
      </c>
      <c r="I2968" s="92" t="inlineStr">
        <is>
          <t>2월 자문 수수료 - W컨설팅</t>
        </is>
      </c>
      <c r="J2968" s="92" t="inlineStr">
        <is>
          <t>V10006</t>
        </is>
      </c>
      <c r="K2968" s="92" t="inlineStr">
        <is>
          <t>W컨설팅</t>
        </is>
      </c>
      <c r="M2968" s="9">
        <f>IF($A2968="","",VALUE($A2968&amp;"")*12+VALUE($B2968&amp;""))</f>
        <v/>
      </c>
      <c r="N2968" s="64">
        <f>IF($A2968="","",IFERROR(INDEX(부서매핑!$C$5:$C$504,MATCH($G2968&amp;"",부서매핑!$A$5:$A$504,0)),"미매핑"))</f>
        <v/>
      </c>
      <c r="O2968" s="9">
        <f>IF($A2968="","",N2968&amp;"|"&amp;$F2968)</f>
        <v/>
      </c>
      <c r="P2968" s="94">
        <f>IF($A2968="",0,$H2968*설정!$C$23)</f>
        <v/>
      </c>
      <c r="Q2968" s="64">
        <f>IF($A2968="","",IF(O2968&lt;&gt;원인분석!$C$9,"",IF(AND(M2968&gt;=원인분석!$C$10,M2968&lt;=원인분석!$C$11),"당기",IF(AND(M2968&gt;=원인분석!$C$12,M2968&lt;=원인분석!$C$13),"비교",""))))</f>
        <v/>
      </c>
      <c r="R2968" s="9">
        <f>IF(Q2968="","",$K2968&amp;"")</f>
        <v/>
      </c>
      <c r="S2968" s="9">
        <f>IF(Q2968="","",IF(MATCH(R2968,$R$5:$R$100000,0)=ROW()-4,ROW(),""))</f>
        <v/>
      </c>
      <c r="T2968" s="9">
        <f>IF(Q2968="당기",ABS(P2968)+ROW()/1000000000,"")</f>
        <v/>
      </c>
      <c r="U2968" s="9">
        <f>IF(Q2968="비교",ABS(P2968)+ROW()/1000000000,"")</f>
        <v/>
      </c>
      <c r="V2968" s="64">
        <f>IF($A2968="","",IF(COUNTIF(변동분석!$E$7:$E$506,O2968)&gt;0,"Y","N"))</f>
        <v/>
      </c>
      <c r="W2968" s="64">
        <f>IF($A2968="","",IFERROR(INDEX(계정매핑!$D$5:$D$504,MATCH($F2968&amp;"",계정매핑!$A$5:$A$504,0)),"미매핑"))</f>
        <v/>
      </c>
      <c r="X2968" s="9">
        <f>IF($A2968="","",$F2968&amp;"")</f>
        <v/>
      </c>
      <c r="Y2968" s="94">
        <f>IF($A2968="",0,IF(AE2968="직접",IF(AF2968="비귀속",$P2968,0),$P2968*(1-AG2968)*IFERROR(INDEX(계정대체기준!$F$20:$F$49,MATCH($N2968,계정대체기준!$A$20:$A$49,0)),1)))</f>
        <v/>
      </c>
      <c r="Z2968" s="94">
        <f>IF($A2968="",0,IF(AE2968="직접",IF(AF2968="신계약비",$P2968,0),$P2968*(1-AG2968)*IFERROR(INDEX(계정대체기준!$C$20:$C$49,MATCH($N2968,계정대체기준!$A$20:$A$49,0)),0)))</f>
        <v/>
      </c>
      <c r="AA2968" s="94">
        <f>IF($A2968="",0,IF(AE2968="직접",IF(OR(AF2968="유지비",AF2968="손해조사비"),$P2968,0),$P2968*(1-AG2968)*IFERROR(INDEX(계정대체기준!$D$20:$D$49,MATCH($N2968,계정대체기준!$A$20:$A$49,0)),0)))</f>
        <v/>
      </c>
      <c r="AB2968" s="94">
        <f>IF($A2968="",0,IF(AE2968="직접",IF(AF2968="수금비",$P2968,0),$P2968*(1-AG2968)*IFERROR(INDEX(계정대체기준!$E$20:$E$49,MATCH($N2968,계정대체기준!$A$20:$A$49,0)),0)))</f>
        <v/>
      </c>
      <c r="AC2968" s="9">
        <f>IF(AND($A2968&lt;&gt;"",M2968=설정!$C$20,Z2968&gt;0),Z2968+ROW()/1000000000,"")</f>
        <v/>
      </c>
      <c r="AD2968" s="94">
        <f>IF($A2968="",0,$P2968*AG2968)</f>
        <v/>
      </c>
      <c r="AE2968" s="64">
        <f>IF($A2968="","",IFERROR(INDEX(계정매핑!$E$5:$E$504,MATCH($F2968&amp;"",계정매핑!$A$5:$A$504,0))&amp;"","공통비"))</f>
        <v/>
      </c>
      <c r="AF2968" s="64">
        <f>IF($A2968="","",IF(AE2968="직접",IFERROR(INDEX(계정매핑!$F$5:$F$504,MATCH($F2968&amp;"",계정매핑!$A$5:$A$504,0))&amp;"","비귀속"),""))</f>
        <v/>
      </c>
      <c r="AG2968" s="96">
        <f>IF($A2968="",0,IF(AND(AE2968&lt;&gt;"직접",IFERROR(INDEX(계정매핑!$G$5:$G$504,MATCH($F2968&amp;"",계정매핑!$A$5:$A$504,0))&amp;"","")="유지비",COUNTIF(계정대체기준!$A$6:$A$15,$N2968)&gt;0),IFERROR(INDEX(계정대체기준!$E$6:$E$15,MATCH(VALUE($A2968&amp;""),계정대체기준!$D$6:$D$15,0)),0),0))</f>
        <v/>
      </c>
      <c r="AH2968" s="64">
        <f>IF($A2968="","",IF(AD2968=0,"",IF(OR(COUNTIF(계정대체기준!$A$77:$A$86,$N2968)&gt;0,ISNUMBER(MATCH($X2968,계정대체기준!$D$77:$D$86,0)),ISNUMBER(MATCH($F2968,계정대체기준!$D$77:$D$86,0))),"Y","N")))</f>
        <v/>
      </c>
    </row>
    <row r="2969">
      <c r="A2969" s="92" t="n">
        <v>2026</v>
      </c>
      <c r="B2969" s="92" t="n">
        <v>2</v>
      </c>
      <c r="C2969" s="92" t="inlineStr">
        <is>
          <t>5100000247</t>
        </is>
      </c>
      <c r="D2969" s="95" t="n">
        <v>46056</v>
      </c>
      <c r="E2969" s="92" t="inlineStr">
        <is>
          <t>KR</t>
        </is>
      </c>
      <c r="F2969" s="92" t="n">
        <v>62902000</v>
      </c>
      <c r="G2969" s="92" t="n">
        <v>1401</v>
      </c>
      <c r="H2969" s="93" t="n">
        <v>2494000</v>
      </c>
      <c r="I2969" s="92" t="inlineStr">
        <is>
          <t>2월 업무 위탁 수수료 - J콜센터</t>
        </is>
      </c>
      <c r="J2969" s="92" t="inlineStr">
        <is>
          <t>V10016</t>
        </is>
      </c>
      <c r="K2969" s="92" t="inlineStr">
        <is>
          <t>J콜센터</t>
        </is>
      </c>
      <c r="M2969" s="9">
        <f>IF($A2969="","",VALUE($A2969&amp;"")*12+VALUE($B2969&amp;""))</f>
        <v/>
      </c>
      <c r="N2969" s="64">
        <f>IF($A2969="","",IFERROR(INDEX(부서매핑!$C$5:$C$504,MATCH($G2969&amp;"",부서매핑!$A$5:$A$504,0)),"미매핑"))</f>
        <v/>
      </c>
      <c r="O2969" s="9">
        <f>IF($A2969="","",N2969&amp;"|"&amp;$F2969)</f>
        <v/>
      </c>
      <c r="P2969" s="94">
        <f>IF($A2969="",0,$H2969*설정!$C$23)</f>
        <v/>
      </c>
      <c r="Q2969" s="64">
        <f>IF($A2969="","",IF(O2969&lt;&gt;원인분석!$C$9,"",IF(AND(M2969&gt;=원인분석!$C$10,M2969&lt;=원인분석!$C$11),"당기",IF(AND(M2969&gt;=원인분석!$C$12,M2969&lt;=원인분석!$C$13),"비교",""))))</f>
        <v/>
      </c>
      <c r="R2969" s="9">
        <f>IF(Q2969="","",$K2969&amp;"")</f>
        <v/>
      </c>
      <c r="S2969" s="9">
        <f>IF(Q2969="","",IF(MATCH(R2969,$R$5:$R$100000,0)=ROW()-4,ROW(),""))</f>
        <v/>
      </c>
      <c r="T2969" s="9">
        <f>IF(Q2969="당기",ABS(P2969)+ROW()/1000000000,"")</f>
        <v/>
      </c>
      <c r="U2969" s="9">
        <f>IF(Q2969="비교",ABS(P2969)+ROW()/1000000000,"")</f>
        <v/>
      </c>
      <c r="V2969" s="64">
        <f>IF($A2969="","",IF(COUNTIF(변동분석!$E$7:$E$506,O2969)&gt;0,"Y","N"))</f>
        <v/>
      </c>
      <c r="W2969" s="64">
        <f>IF($A2969="","",IFERROR(INDEX(계정매핑!$D$5:$D$504,MATCH($F2969&amp;"",계정매핑!$A$5:$A$504,0)),"미매핑"))</f>
        <v/>
      </c>
      <c r="X2969" s="9">
        <f>IF($A2969="","",$F2969&amp;"")</f>
        <v/>
      </c>
      <c r="Y2969" s="94">
        <f>IF($A2969="",0,IF(AE2969="직접",IF(AF2969="비귀속",$P2969,0),$P2969*(1-AG2969)*IFERROR(INDEX(계정대체기준!$F$20:$F$49,MATCH($N2969,계정대체기준!$A$20:$A$49,0)),1)))</f>
        <v/>
      </c>
      <c r="Z2969" s="94">
        <f>IF($A2969="",0,IF(AE2969="직접",IF(AF2969="신계약비",$P2969,0),$P2969*(1-AG2969)*IFERROR(INDEX(계정대체기준!$C$20:$C$49,MATCH($N2969,계정대체기준!$A$20:$A$49,0)),0)))</f>
        <v/>
      </c>
      <c r="AA2969" s="94">
        <f>IF($A2969="",0,IF(AE2969="직접",IF(OR(AF2969="유지비",AF2969="손해조사비"),$P2969,0),$P2969*(1-AG2969)*IFERROR(INDEX(계정대체기준!$D$20:$D$49,MATCH($N2969,계정대체기준!$A$20:$A$49,0)),0)))</f>
        <v/>
      </c>
      <c r="AB2969" s="94">
        <f>IF($A2969="",0,IF(AE2969="직접",IF(AF2969="수금비",$P2969,0),$P2969*(1-AG2969)*IFERROR(INDEX(계정대체기준!$E$20:$E$49,MATCH($N2969,계정대체기준!$A$20:$A$49,0)),0)))</f>
        <v/>
      </c>
      <c r="AC2969" s="9">
        <f>IF(AND($A2969&lt;&gt;"",M2969=설정!$C$20,Z2969&gt;0),Z2969+ROW()/1000000000,"")</f>
        <v/>
      </c>
      <c r="AD2969" s="94">
        <f>IF($A2969="",0,$P2969*AG2969)</f>
        <v/>
      </c>
      <c r="AE2969" s="64">
        <f>IF($A2969="","",IFERROR(INDEX(계정매핑!$E$5:$E$504,MATCH($F2969&amp;"",계정매핑!$A$5:$A$504,0))&amp;"","공통비"))</f>
        <v/>
      </c>
      <c r="AF2969" s="64">
        <f>IF($A2969="","",IF(AE2969="직접",IFERROR(INDEX(계정매핑!$F$5:$F$504,MATCH($F2969&amp;"",계정매핑!$A$5:$A$504,0))&amp;"","비귀속"),""))</f>
        <v/>
      </c>
      <c r="AG2969" s="96">
        <f>IF($A2969="",0,IF(AND(AE2969&lt;&gt;"직접",IFERROR(INDEX(계정매핑!$G$5:$G$504,MATCH($F2969&amp;"",계정매핑!$A$5:$A$504,0))&amp;"","")="유지비",COUNTIF(계정대체기준!$A$6:$A$15,$N2969)&gt;0),IFERROR(INDEX(계정대체기준!$E$6:$E$15,MATCH(VALUE($A2969&amp;""),계정대체기준!$D$6:$D$15,0)),0),0))</f>
        <v/>
      </c>
      <c r="AH2969" s="64">
        <f>IF($A2969="","",IF(AD2969=0,"",IF(OR(COUNTIF(계정대체기준!$A$77:$A$86,$N2969)&gt;0,ISNUMBER(MATCH($X2969,계정대체기준!$D$77:$D$86,0)),ISNUMBER(MATCH($F2969,계정대체기준!$D$77:$D$86,0))),"Y","N")))</f>
        <v/>
      </c>
    </row>
    <row r="2970">
      <c r="A2970" s="92" t="n">
        <v>2026</v>
      </c>
      <c r="B2970" s="92" t="n">
        <v>2</v>
      </c>
      <c r="C2970" s="92" t="inlineStr">
        <is>
          <t>5100000248</t>
        </is>
      </c>
      <c r="D2970" s="95" t="n">
        <v>46057</v>
      </c>
      <c r="E2970" s="92" t="inlineStr">
        <is>
          <t>KR</t>
        </is>
      </c>
      <c r="F2970" s="92" t="n">
        <v>62101000</v>
      </c>
      <c r="G2970" s="92" t="n">
        <v>1201</v>
      </c>
      <c r="H2970" s="93" t="n">
        <v>189000</v>
      </c>
      <c r="I2970" s="92" t="inlineStr">
        <is>
          <t>2월 국내출장 - M항공</t>
        </is>
      </c>
      <c r="J2970" s="92" t="inlineStr">
        <is>
          <t>V10001</t>
        </is>
      </c>
      <c r="K2970" s="92" t="inlineStr">
        <is>
          <t>M항공</t>
        </is>
      </c>
      <c r="M2970" s="9">
        <f>IF($A2970="","",VALUE($A2970&amp;"")*12+VALUE($B2970&amp;""))</f>
        <v/>
      </c>
      <c r="N2970" s="64">
        <f>IF($A2970="","",IFERROR(INDEX(부서매핑!$C$5:$C$504,MATCH($G2970&amp;"",부서매핑!$A$5:$A$504,0)),"미매핑"))</f>
        <v/>
      </c>
      <c r="O2970" s="9">
        <f>IF($A2970="","",N2970&amp;"|"&amp;$F2970)</f>
        <v/>
      </c>
      <c r="P2970" s="94">
        <f>IF($A2970="",0,$H2970*설정!$C$23)</f>
        <v/>
      </c>
      <c r="Q2970" s="64">
        <f>IF($A2970="","",IF(O2970&lt;&gt;원인분석!$C$9,"",IF(AND(M2970&gt;=원인분석!$C$10,M2970&lt;=원인분석!$C$11),"당기",IF(AND(M2970&gt;=원인분석!$C$12,M2970&lt;=원인분석!$C$13),"비교",""))))</f>
        <v/>
      </c>
      <c r="R2970" s="9">
        <f>IF(Q2970="","",$K2970&amp;"")</f>
        <v/>
      </c>
      <c r="S2970" s="9">
        <f>IF(Q2970="","",IF(MATCH(R2970,$R$5:$R$100000,0)=ROW()-4,ROW(),""))</f>
        <v/>
      </c>
      <c r="T2970" s="9">
        <f>IF(Q2970="당기",ABS(P2970)+ROW()/1000000000,"")</f>
        <v/>
      </c>
      <c r="U2970" s="9">
        <f>IF(Q2970="비교",ABS(P2970)+ROW()/1000000000,"")</f>
        <v/>
      </c>
      <c r="V2970" s="64">
        <f>IF($A2970="","",IF(COUNTIF(변동분석!$E$7:$E$506,O2970)&gt;0,"Y","N"))</f>
        <v/>
      </c>
      <c r="W2970" s="64">
        <f>IF($A2970="","",IFERROR(INDEX(계정매핑!$D$5:$D$504,MATCH($F2970&amp;"",계정매핑!$A$5:$A$504,0)),"미매핑"))</f>
        <v/>
      </c>
      <c r="X2970" s="9">
        <f>IF($A2970="","",$F2970&amp;"")</f>
        <v/>
      </c>
      <c r="Y2970" s="94">
        <f>IF($A2970="",0,IF(AE2970="직접",IF(AF2970="비귀속",$P2970,0),$P2970*(1-AG2970)*IFERROR(INDEX(계정대체기준!$F$20:$F$49,MATCH($N2970,계정대체기준!$A$20:$A$49,0)),1)))</f>
        <v/>
      </c>
      <c r="Z2970" s="94">
        <f>IF($A2970="",0,IF(AE2970="직접",IF(AF2970="신계약비",$P2970,0),$P2970*(1-AG2970)*IFERROR(INDEX(계정대체기준!$C$20:$C$49,MATCH($N2970,계정대체기준!$A$20:$A$49,0)),0)))</f>
        <v/>
      </c>
      <c r="AA2970" s="94">
        <f>IF($A2970="",0,IF(AE2970="직접",IF(OR(AF2970="유지비",AF2970="손해조사비"),$P2970,0),$P2970*(1-AG2970)*IFERROR(INDEX(계정대체기준!$D$20:$D$49,MATCH($N2970,계정대체기준!$A$20:$A$49,0)),0)))</f>
        <v/>
      </c>
      <c r="AB2970" s="94">
        <f>IF($A2970="",0,IF(AE2970="직접",IF(AF2970="수금비",$P2970,0),$P2970*(1-AG2970)*IFERROR(INDEX(계정대체기준!$E$20:$E$49,MATCH($N2970,계정대체기준!$A$20:$A$49,0)),0)))</f>
        <v/>
      </c>
      <c r="AC2970" s="9">
        <f>IF(AND($A2970&lt;&gt;"",M2970=설정!$C$20,Z2970&gt;0),Z2970+ROW()/1000000000,"")</f>
        <v/>
      </c>
      <c r="AD2970" s="94">
        <f>IF($A2970="",0,$P2970*AG2970)</f>
        <v/>
      </c>
      <c r="AE2970" s="64">
        <f>IF($A2970="","",IFERROR(INDEX(계정매핑!$E$5:$E$504,MATCH($F2970&amp;"",계정매핑!$A$5:$A$504,0))&amp;"","공통비"))</f>
        <v/>
      </c>
      <c r="AF2970" s="64">
        <f>IF($A2970="","",IF(AE2970="직접",IFERROR(INDEX(계정매핑!$F$5:$F$504,MATCH($F2970&amp;"",계정매핑!$A$5:$A$504,0))&amp;"","비귀속"),""))</f>
        <v/>
      </c>
      <c r="AG2970" s="96">
        <f>IF($A2970="",0,IF(AND(AE2970&lt;&gt;"직접",IFERROR(INDEX(계정매핑!$G$5:$G$504,MATCH($F2970&amp;"",계정매핑!$A$5:$A$504,0))&amp;"","")="유지비",COUNTIF(계정대체기준!$A$6:$A$15,$N2970)&gt;0),IFERROR(INDEX(계정대체기준!$E$6:$E$15,MATCH(VALUE($A2970&amp;""),계정대체기준!$D$6:$D$15,0)),0),0))</f>
        <v/>
      </c>
      <c r="AH2970" s="64">
        <f>IF($A2970="","",IF(AD2970=0,"",IF(OR(COUNTIF(계정대체기준!$A$77:$A$86,$N2970)&gt;0,ISNUMBER(MATCH($X2970,계정대체기준!$D$77:$D$86,0)),ISNUMBER(MATCH($F2970,계정대체기준!$D$77:$D$86,0))),"Y","N")))</f>
        <v/>
      </c>
    </row>
    <row r="2971">
      <c r="A2971" s="92" t="n">
        <v>2026</v>
      </c>
      <c r="B2971" s="92" t="n">
        <v>2</v>
      </c>
      <c r="C2971" s="92" t="inlineStr">
        <is>
          <t>5100000249</t>
        </is>
      </c>
      <c r="D2971" s="95" t="n">
        <v>46057</v>
      </c>
      <c r="E2971" s="92" t="inlineStr">
        <is>
          <t>KR</t>
        </is>
      </c>
      <c r="F2971" s="92" t="n">
        <v>62101000</v>
      </c>
      <c r="G2971" s="92" t="n">
        <v>1801</v>
      </c>
      <c r="H2971" s="93" t="n">
        <v>126000</v>
      </c>
      <c r="I2971" s="92" t="inlineStr">
        <is>
          <t>2월 국내출장 - M항공</t>
        </is>
      </c>
      <c r="J2971" s="92" t="inlineStr">
        <is>
          <t>V10001</t>
        </is>
      </c>
      <c r="K2971" s="92" t="inlineStr">
        <is>
          <t>M항공</t>
        </is>
      </c>
      <c r="M2971" s="9">
        <f>IF($A2971="","",VALUE($A2971&amp;"")*12+VALUE($B2971&amp;""))</f>
        <v/>
      </c>
      <c r="N2971" s="64">
        <f>IF($A2971="","",IFERROR(INDEX(부서매핑!$C$5:$C$504,MATCH($G2971&amp;"",부서매핑!$A$5:$A$504,0)),"미매핑"))</f>
        <v/>
      </c>
      <c r="O2971" s="9">
        <f>IF($A2971="","",N2971&amp;"|"&amp;$F2971)</f>
        <v/>
      </c>
      <c r="P2971" s="94">
        <f>IF($A2971="",0,$H2971*설정!$C$23)</f>
        <v/>
      </c>
      <c r="Q2971" s="64">
        <f>IF($A2971="","",IF(O2971&lt;&gt;원인분석!$C$9,"",IF(AND(M2971&gt;=원인분석!$C$10,M2971&lt;=원인분석!$C$11),"당기",IF(AND(M2971&gt;=원인분석!$C$12,M2971&lt;=원인분석!$C$13),"비교",""))))</f>
        <v/>
      </c>
      <c r="R2971" s="9">
        <f>IF(Q2971="","",$K2971&amp;"")</f>
        <v/>
      </c>
      <c r="S2971" s="9">
        <f>IF(Q2971="","",IF(MATCH(R2971,$R$5:$R$100000,0)=ROW()-4,ROW(),""))</f>
        <v/>
      </c>
      <c r="T2971" s="9">
        <f>IF(Q2971="당기",ABS(P2971)+ROW()/1000000000,"")</f>
        <v/>
      </c>
      <c r="U2971" s="9">
        <f>IF(Q2971="비교",ABS(P2971)+ROW()/1000000000,"")</f>
        <v/>
      </c>
      <c r="V2971" s="64">
        <f>IF($A2971="","",IF(COUNTIF(변동분석!$E$7:$E$506,O2971)&gt;0,"Y","N"))</f>
        <v/>
      </c>
      <c r="W2971" s="64">
        <f>IF($A2971="","",IFERROR(INDEX(계정매핑!$D$5:$D$504,MATCH($F2971&amp;"",계정매핑!$A$5:$A$504,0)),"미매핑"))</f>
        <v/>
      </c>
      <c r="X2971" s="9">
        <f>IF($A2971="","",$F2971&amp;"")</f>
        <v/>
      </c>
      <c r="Y2971" s="94">
        <f>IF($A2971="",0,IF(AE2971="직접",IF(AF2971="비귀속",$P2971,0),$P2971*(1-AG2971)*IFERROR(INDEX(계정대체기준!$F$20:$F$49,MATCH($N2971,계정대체기준!$A$20:$A$49,0)),1)))</f>
        <v/>
      </c>
      <c r="Z2971" s="94">
        <f>IF($A2971="",0,IF(AE2971="직접",IF(AF2971="신계약비",$P2971,0),$P2971*(1-AG2971)*IFERROR(INDEX(계정대체기준!$C$20:$C$49,MATCH($N2971,계정대체기준!$A$20:$A$49,0)),0)))</f>
        <v/>
      </c>
      <c r="AA2971" s="94">
        <f>IF($A2971="",0,IF(AE2971="직접",IF(OR(AF2971="유지비",AF2971="손해조사비"),$P2971,0),$P2971*(1-AG2971)*IFERROR(INDEX(계정대체기준!$D$20:$D$49,MATCH($N2971,계정대체기준!$A$20:$A$49,0)),0)))</f>
        <v/>
      </c>
      <c r="AB2971" s="94">
        <f>IF($A2971="",0,IF(AE2971="직접",IF(AF2971="수금비",$P2971,0),$P2971*(1-AG2971)*IFERROR(INDEX(계정대체기준!$E$20:$E$49,MATCH($N2971,계정대체기준!$A$20:$A$49,0)),0)))</f>
        <v/>
      </c>
      <c r="AC2971" s="9">
        <f>IF(AND($A2971&lt;&gt;"",M2971=설정!$C$20,Z2971&gt;0),Z2971+ROW()/1000000000,"")</f>
        <v/>
      </c>
      <c r="AD2971" s="94">
        <f>IF($A2971="",0,$P2971*AG2971)</f>
        <v/>
      </c>
      <c r="AE2971" s="64">
        <f>IF($A2971="","",IFERROR(INDEX(계정매핑!$E$5:$E$504,MATCH($F2971&amp;"",계정매핑!$A$5:$A$504,0))&amp;"","공통비"))</f>
        <v/>
      </c>
      <c r="AF2971" s="64">
        <f>IF($A2971="","",IF(AE2971="직접",IFERROR(INDEX(계정매핑!$F$5:$F$504,MATCH($F2971&amp;"",계정매핑!$A$5:$A$504,0))&amp;"","비귀속"),""))</f>
        <v/>
      </c>
      <c r="AG2971" s="96">
        <f>IF($A2971="",0,IF(AND(AE2971&lt;&gt;"직접",IFERROR(INDEX(계정매핑!$G$5:$G$504,MATCH($F2971&amp;"",계정매핑!$A$5:$A$504,0))&amp;"","")="유지비",COUNTIF(계정대체기준!$A$6:$A$15,$N2971)&gt;0),IFERROR(INDEX(계정대체기준!$E$6:$E$15,MATCH(VALUE($A2971&amp;""),계정대체기준!$D$6:$D$15,0)),0),0))</f>
        <v/>
      </c>
      <c r="AH2971" s="64">
        <f>IF($A2971="","",IF(AD2971=0,"",IF(OR(COUNTIF(계정대체기준!$A$77:$A$86,$N2971)&gt;0,ISNUMBER(MATCH($X2971,계정대체기준!$D$77:$D$86,0)),ISNUMBER(MATCH($F2971,계정대체기준!$D$77:$D$86,0))),"Y","N")))</f>
        <v/>
      </c>
    </row>
    <row r="2972">
      <c r="A2972" s="92" t="n">
        <v>2026</v>
      </c>
      <c r="B2972" s="92" t="n">
        <v>2</v>
      </c>
      <c r="C2972" s="92" t="inlineStr">
        <is>
          <t>5100000250</t>
        </is>
      </c>
      <c r="D2972" s="95" t="n">
        <v>46057</v>
      </c>
      <c r="E2972" s="92" t="inlineStr">
        <is>
          <t>KR</t>
        </is>
      </c>
      <c r="F2972" s="92" t="n">
        <v>62102000</v>
      </c>
      <c r="G2972" s="92" t="n">
        <v>1201</v>
      </c>
      <c r="H2972" s="93" t="n">
        <v>39000</v>
      </c>
      <c r="I2972" s="92" t="inlineStr">
        <is>
          <t>2월 해외출장 - M항공</t>
        </is>
      </c>
      <c r="J2972" s="92" t="inlineStr">
        <is>
          <t>V10001</t>
        </is>
      </c>
      <c r="K2972" s="92" t="inlineStr">
        <is>
          <t>M항공</t>
        </is>
      </c>
      <c r="M2972" s="9">
        <f>IF($A2972="","",VALUE($A2972&amp;"")*12+VALUE($B2972&amp;""))</f>
        <v/>
      </c>
      <c r="N2972" s="64">
        <f>IF($A2972="","",IFERROR(INDEX(부서매핑!$C$5:$C$504,MATCH($G2972&amp;"",부서매핑!$A$5:$A$504,0)),"미매핑"))</f>
        <v/>
      </c>
      <c r="O2972" s="9">
        <f>IF($A2972="","",N2972&amp;"|"&amp;$F2972)</f>
        <v/>
      </c>
      <c r="P2972" s="94">
        <f>IF($A2972="",0,$H2972*설정!$C$23)</f>
        <v/>
      </c>
      <c r="Q2972" s="64">
        <f>IF($A2972="","",IF(O2972&lt;&gt;원인분석!$C$9,"",IF(AND(M2972&gt;=원인분석!$C$10,M2972&lt;=원인분석!$C$11),"당기",IF(AND(M2972&gt;=원인분석!$C$12,M2972&lt;=원인분석!$C$13),"비교",""))))</f>
        <v/>
      </c>
      <c r="R2972" s="9">
        <f>IF(Q2972="","",$K2972&amp;"")</f>
        <v/>
      </c>
      <c r="S2972" s="9">
        <f>IF(Q2972="","",IF(MATCH(R2972,$R$5:$R$100000,0)=ROW()-4,ROW(),""))</f>
        <v/>
      </c>
      <c r="T2972" s="9">
        <f>IF(Q2972="당기",ABS(P2972)+ROW()/1000000000,"")</f>
        <v/>
      </c>
      <c r="U2972" s="9">
        <f>IF(Q2972="비교",ABS(P2972)+ROW()/1000000000,"")</f>
        <v/>
      </c>
      <c r="V2972" s="64">
        <f>IF($A2972="","",IF(COUNTIF(변동분석!$E$7:$E$506,O2972)&gt;0,"Y","N"))</f>
        <v/>
      </c>
      <c r="W2972" s="64">
        <f>IF($A2972="","",IFERROR(INDEX(계정매핑!$D$5:$D$504,MATCH($F2972&amp;"",계정매핑!$A$5:$A$504,0)),"미매핑"))</f>
        <v/>
      </c>
      <c r="X2972" s="9">
        <f>IF($A2972="","",$F2972&amp;"")</f>
        <v/>
      </c>
      <c r="Y2972" s="94">
        <f>IF($A2972="",0,IF(AE2972="직접",IF(AF2972="비귀속",$P2972,0),$P2972*(1-AG2972)*IFERROR(INDEX(계정대체기준!$F$20:$F$49,MATCH($N2972,계정대체기준!$A$20:$A$49,0)),1)))</f>
        <v/>
      </c>
      <c r="Z2972" s="94">
        <f>IF($A2972="",0,IF(AE2972="직접",IF(AF2972="신계약비",$P2972,0),$P2972*(1-AG2972)*IFERROR(INDEX(계정대체기준!$C$20:$C$49,MATCH($N2972,계정대체기준!$A$20:$A$49,0)),0)))</f>
        <v/>
      </c>
      <c r="AA2972" s="94">
        <f>IF($A2972="",0,IF(AE2972="직접",IF(OR(AF2972="유지비",AF2972="손해조사비"),$P2972,0),$P2972*(1-AG2972)*IFERROR(INDEX(계정대체기준!$D$20:$D$49,MATCH($N2972,계정대체기준!$A$20:$A$49,0)),0)))</f>
        <v/>
      </c>
      <c r="AB2972" s="94">
        <f>IF($A2972="",0,IF(AE2972="직접",IF(AF2972="수금비",$P2972,0),$P2972*(1-AG2972)*IFERROR(INDEX(계정대체기준!$E$20:$E$49,MATCH($N2972,계정대체기준!$A$20:$A$49,0)),0)))</f>
        <v/>
      </c>
      <c r="AC2972" s="9">
        <f>IF(AND($A2972&lt;&gt;"",M2972=설정!$C$20,Z2972&gt;0),Z2972+ROW()/1000000000,"")</f>
        <v/>
      </c>
      <c r="AD2972" s="94">
        <f>IF($A2972="",0,$P2972*AG2972)</f>
        <v/>
      </c>
      <c r="AE2972" s="64">
        <f>IF($A2972="","",IFERROR(INDEX(계정매핑!$E$5:$E$504,MATCH($F2972&amp;"",계정매핑!$A$5:$A$504,0))&amp;"","공통비"))</f>
        <v/>
      </c>
      <c r="AF2972" s="64">
        <f>IF($A2972="","",IF(AE2972="직접",IFERROR(INDEX(계정매핑!$F$5:$F$504,MATCH($F2972&amp;"",계정매핑!$A$5:$A$504,0))&amp;"","비귀속"),""))</f>
        <v/>
      </c>
      <c r="AG2972" s="96">
        <f>IF($A2972="",0,IF(AND(AE2972&lt;&gt;"직접",IFERROR(INDEX(계정매핑!$G$5:$G$504,MATCH($F2972&amp;"",계정매핑!$A$5:$A$504,0))&amp;"","")="유지비",COUNTIF(계정대체기준!$A$6:$A$15,$N2972)&gt;0),IFERROR(INDEX(계정대체기준!$E$6:$E$15,MATCH(VALUE($A2972&amp;""),계정대체기준!$D$6:$D$15,0)),0),0))</f>
        <v/>
      </c>
      <c r="AH2972" s="64">
        <f>IF($A2972="","",IF(AD2972=0,"",IF(OR(COUNTIF(계정대체기준!$A$77:$A$86,$N2972)&gt;0,ISNUMBER(MATCH($X2972,계정대체기준!$D$77:$D$86,0)),ISNUMBER(MATCH($F2972,계정대체기준!$D$77:$D$86,0))),"Y","N")))</f>
        <v/>
      </c>
    </row>
    <row r="2973">
      <c r="A2973" s="92" t="n">
        <v>2026</v>
      </c>
      <c r="B2973" s="92" t="n">
        <v>2</v>
      </c>
      <c r="C2973" s="92" t="inlineStr">
        <is>
          <t>5100000251</t>
        </is>
      </c>
      <c r="D2973" s="95" t="n">
        <v>46057</v>
      </c>
      <c r="E2973" s="92" t="inlineStr">
        <is>
          <t>KR</t>
        </is>
      </c>
      <c r="F2973" s="92" t="n">
        <v>62102000</v>
      </c>
      <c r="G2973" s="92" t="n">
        <v>1701</v>
      </c>
      <c r="H2973" s="93" t="n">
        <v>67000</v>
      </c>
      <c r="I2973" s="92" t="inlineStr">
        <is>
          <t>2월 해외출장 - M항공</t>
        </is>
      </c>
      <c r="J2973" s="92" t="inlineStr">
        <is>
          <t>V10001</t>
        </is>
      </c>
      <c r="K2973" s="92" t="inlineStr">
        <is>
          <t>M항공</t>
        </is>
      </c>
      <c r="M2973" s="9">
        <f>IF($A2973="","",VALUE($A2973&amp;"")*12+VALUE($B2973&amp;""))</f>
        <v/>
      </c>
      <c r="N2973" s="64">
        <f>IF($A2973="","",IFERROR(INDEX(부서매핑!$C$5:$C$504,MATCH($G2973&amp;"",부서매핑!$A$5:$A$504,0)),"미매핑"))</f>
        <v/>
      </c>
      <c r="O2973" s="9">
        <f>IF($A2973="","",N2973&amp;"|"&amp;$F2973)</f>
        <v/>
      </c>
      <c r="P2973" s="94">
        <f>IF($A2973="",0,$H2973*설정!$C$23)</f>
        <v/>
      </c>
      <c r="Q2973" s="64">
        <f>IF($A2973="","",IF(O2973&lt;&gt;원인분석!$C$9,"",IF(AND(M2973&gt;=원인분석!$C$10,M2973&lt;=원인분석!$C$11),"당기",IF(AND(M2973&gt;=원인분석!$C$12,M2973&lt;=원인분석!$C$13),"비교",""))))</f>
        <v/>
      </c>
      <c r="R2973" s="9">
        <f>IF(Q2973="","",$K2973&amp;"")</f>
        <v/>
      </c>
      <c r="S2973" s="9">
        <f>IF(Q2973="","",IF(MATCH(R2973,$R$5:$R$100000,0)=ROW()-4,ROW(),""))</f>
        <v/>
      </c>
      <c r="T2973" s="9">
        <f>IF(Q2973="당기",ABS(P2973)+ROW()/1000000000,"")</f>
        <v/>
      </c>
      <c r="U2973" s="9">
        <f>IF(Q2973="비교",ABS(P2973)+ROW()/1000000000,"")</f>
        <v/>
      </c>
      <c r="V2973" s="64">
        <f>IF($A2973="","",IF(COUNTIF(변동분석!$E$7:$E$506,O2973)&gt;0,"Y","N"))</f>
        <v/>
      </c>
      <c r="W2973" s="64">
        <f>IF($A2973="","",IFERROR(INDEX(계정매핑!$D$5:$D$504,MATCH($F2973&amp;"",계정매핑!$A$5:$A$504,0)),"미매핑"))</f>
        <v/>
      </c>
      <c r="X2973" s="9">
        <f>IF($A2973="","",$F2973&amp;"")</f>
        <v/>
      </c>
      <c r="Y2973" s="94">
        <f>IF($A2973="",0,IF(AE2973="직접",IF(AF2973="비귀속",$P2973,0),$P2973*(1-AG2973)*IFERROR(INDEX(계정대체기준!$F$20:$F$49,MATCH($N2973,계정대체기준!$A$20:$A$49,0)),1)))</f>
        <v/>
      </c>
      <c r="Z2973" s="94">
        <f>IF($A2973="",0,IF(AE2973="직접",IF(AF2973="신계약비",$P2973,0),$P2973*(1-AG2973)*IFERROR(INDEX(계정대체기준!$C$20:$C$49,MATCH($N2973,계정대체기준!$A$20:$A$49,0)),0)))</f>
        <v/>
      </c>
      <c r="AA2973" s="94">
        <f>IF($A2973="",0,IF(AE2973="직접",IF(OR(AF2973="유지비",AF2973="손해조사비"),$P2973,0),$P2973*(1-AG2973)*IFERROR(INDEX(계정대체기준!$D$20:$D$49,MATCH($N2973,계정대체기준!$A$20:$A$49,0)),0)))</f>
        <v/>
      </c>
      <c r="AB2973" s="94">
        <f>IF($A2973="",0,IF(AE2973="직접",IF(AF2973="수금비",$P2973,0),$P2973*(1-AG2973)*IFERROR(INDEX(계정대체기준!$E$20:$E$49,MATCH($N2973,계정대체기준!$A$20:$A$49,0)),0)))</f>
        <v/>
      </c>
      <c r="AC2973" s="9">
        <f>IF(AND($A2973&lt;&gt;"",M2973=설정!$C$20,Z2973&gt;0),Z2973+ROW()/1000000000,"")</f>
        <v/>
      </c>
      <c r="AD2973" s="94">
        <f>IF($A2973="",0,$P2973*AG2973)</f>
        <v/>
      </c>
      <c r="AE2973" s="64">
        <f>IF($A2973="","",IFERROR(INDEX(계정매핑!$E$5:$E$504,MATCH($F2973&amp;"",계정매핑!$A$5:$A$504,0))&amp;"","공통비"))</f>
        <v/>
      </c>
      <c r="AF2973" s="64">
        <f>IF($A2973="","",IF(AE2973="직접",IFERROR(INDEX(계정매핑!$F$5:$F$504,MATCH($F2973&amp;"",계정매핑!$A$5:$A$504,0))&amp;"","비귀속"),""))</f>
        <v/>
      </c>
      <c r="AG2973" s="96">
        <f>IF($A2973="",0,IF(AND(AE2973&lt;&gt;"직접",IFERROR(INDEX(계정매핑!$G$5:$G$504,MATCH($F2973&amp;"",계정매핑!$A$5:$A$504,0))&amp;"","")="유지비",COUNTIF(계정대체기준!$A$6:$A$15,$N2973)&gt;0),IFERROR(INDEX(계정대체기준!$E$6:$E$15,MATCH(VALUE($A2973&amp;""),계정대체기준!$D$6:$D$15,0)),0),0))</f>
        <v/>
      </c>
      <c r="AH2973" s="64">
        <f>IF($A2973="","",IF(AD2973=0,"",IF(OR(COUNTIF(계정대체기준!$A$77:$A$86,$N2973)&gt;0,ISNUMBER(MATCH($X2973,계정대체기준!$D$77:$D$86,0)),ISNUMBER(MATCH($F2973,계정대체기준!$D$77:$D$86,0))),"Y","N")))</f>
        <v/>
      </c>
    </row>
    <row r="2974">
      <c r="A2974" s="92" t="n">
        <v>2026</v>
      </c>
      <c r="B2974" s="92" t="n">
        <v>2</v>
      </c>
      <c r="C2974" s="92" t="inlineStr">
        <is>
          <t>5100000252</t>
        </is>
      </c>
      <c r="D2974" s="95" t="n">
        <v>46057</v>
      </c>
      <c r="E2974" s="92" t="inlineStr">
        <is>
          <t>KR</t>
        </is>
      </c>
      <c r="F2974" s="92" t="n">
        <v>62102000</v>
      </c>
      <c r="G2974" s="92" t="n">
        <v>1951</v>
      </c>
      <c r="H2974" s="93" t="n">
        <v>55000</v>
      </c>
      <c r="I2974" s="92" t="inlineStr">
        <is>
          <t>2월 해외출장 - N호텔</t>
        </is>
      </c>
      <c r="J2974" s="92" t="inlineStr">
        <is>
          <t>V10009</t>
        </is>
      </c>
      <c r="K2974" s="92" t="inlineStr">
        <is>
          <t>N호텔</t>
        </is>
      </c>
      <c r="M2974" s="9">
        <f>IF($A2974="","",VALUE($A2974&amp;"")*12+VALUE($B2974&amp;""))</f>
        <v/>
      </c>
      <c r="N2974" s="64">
        <f>IF($A2974="","",IFERROR(INDEX(부서매핑!$C$5:$C$504,MATCH($G2974&amp;"",부서매핑!$A$5:$A$504,0)),"미매핑"))</f>
        <v/>
      </c>
      <c r="O2974" s="9">
        <f>IF($A2974="","",N2974&amp;"|"&amp;$F2974)</f>
        <v/>
      </c>
      <c r="P2974" s="94">
        <f>IF($A2974="",0,$H2974*설정!$C$23)</f>
        <v/>
      </c>
      <c r="Q2974" s="64">
        <f>IF($A2974="","",IF(O2974&lt;&gt;원인분석!$C$9,"",IF(AND(M2974&gt;=원인분석!$C$10,M2974&lt;=원인분석!$C$11),"당기",IF(AND(M2974&gt;=원인분석!$C$12,M2974&lt;=원인분석!$C$13),"비교",""))))</f>
        <v/>
      </c>
      <c r="R2974" s="9">
        <f>IF(Q2974="","",$K2974&amp;"")</f>
        <v/>
      </c>
      <c r="S2974" s="9">
        <f>IF(Q2974="","",IF(MATCH(R2974,$R$5:$R$100000,0)=ROW()-4,ROW(),""))</f>
        <v/>
      </c>
      <c r="T2974" s="9">
        <f>IF(Q2974="당기",ABS(P2974)+ROW()/1000000000,"")</f>
        <v/>
      </c>
      <c r="U2974" s="9">
        <f>IF(Q2974="비교",ABS(P2974)+ROW()/1000000000,"")</f>
        <v/>
      </c>
      <c r="V2974" s="64">
        <f>IF($A2974="","",IF(COUNTIF(변동분석!$E$7:$E$506,O2974)&gt;0,"Y","N"))</f>
        <v/>
      </c>
      <c r="W2974" s="64">
        <f>IF($A2974="","",IFERROR(INDEX(계정매핑!$D$5:$D$504,MATCH($F2974&amp;"",계정매핑!$A$5:$A$504,0)),"미매핑"))</f>
        <v/>
      </c>
      <c r="X2974" s="9">
        <f>IF($A2974="","",$F2974&amp;"")</f>
        <v/>
      </c>
      <c r="Y2974" s="94">
        <f>IF($A2974="",0,IF(AE2974="직접",IF(AF2974="비귀속",$P2974,0),$P2974*(1-AG2974)*IFERROR(INDEX(계정대체기준!$F$20:$F$49,MATCH($N2974,계정대체기준!$A$20:$A$49,0)),1)))</f>
        <v/>
      </c>
      <c r="Z2974" s="94">
        <f>IF($A2974="",0,IF(AE2974="직접",IF(AF2974="신계약비",$P2974,0),$P2974*(1-AG2974)*IFERROR(INDEX(계정대체기준!$C$20:$C$49,MATCH($N2974,계정대체기준!$A$20:$A$49,0)),0)))</f>
        <v/>
      </c>
      <c r="AA2974" s="94">
        <f>IF($A2974="",0,IF(AE2974="직접",IF(OR(AF2974="유지비",AF2974="손해조사비"),$P2974,0),$P2974*(1-AG2974)*IFERROR(INDEX(계정대체기준!$D$20:$D$49,MATCH($N2974,계정대체기준!$A$20:$A$49,0)),0)))</f>
        <v/>
      </c>
      <c r="AB2974" s="94">
        <f>IF($A2974="",0,IF(AE2974="직접",IF(AF2974="수금비",$P2974,0),$P2974*(1-AG2974)*IFERROR(INDEX(계정대체기준!$E$20:$E$49,MATCH($N2974,계정대체기준!$A$20:$A$49,0)),0)))</f>
        <v/>
      </c>
      <c r="AC2974" s="9">
        <f>IF(AND($A2974&lt;&gt;"",M2974=설정!$C$20,Z2974&gt;0),Z2974+ROW()/1000000000,"")</f>
        <v/>
      </c>
      <c r="AD2974" s="94">
        <f>IF($A2974="",0,$P2974*AG2974)</f>
        <v/>
      </c>
      <c r="AE2974" s="64">
        <f>IF($A2974="","",IFERROR(INDEX(계정매핑!$E$5:$E$504,MATCH($F2974&amp;"",계정매핑!$A$5:$A$504,0))&amp;"","공통비"))</f>
        <v/>
      </c>
      <c r="AF2974" s="64">
        <f>IF($A2974="","",IF(AE2974="직접",IFERROR(INDEX(계정매핑!$F$5:$F$504,MATCH($F2974&amp;"",계정매핑!$A$5:$A$504,0))&amp;"","비귀속"),""))</f>
        <v/>
      </c>
      <c r="AG2974" s="96">
        <f>IF($A2974="",0,IF(AND(AE2974&lt;&gt;"직접",IFERROR(INDEX(계정매핑!$G$5:$G$504,MATCH($F2974&amp;"",계정매핑!$A$5:$A$504,0))&amp;"","")="유지비",COUNTIF(계정대체기준!$A$6:$A$15,$N2974)&gt;0),IFERROR(INDEX(계정대체기준!$E$6:$E$15,MATCH(VALUE($A2974&amp;""),계정대체기준!$D$6:$D$15,0)),0),0))</f>
        <v/>
      </c>
      <c r="AH2974" s="64">
        <f>IF($A2974="","",IF(AD2974=0,"",IF(OR(COUNTIF(계정대체기준!$A$77:$A$86,$N2974)&gt;0,ISNUMBER(MATCH($X2974,계정대체기준!$D$77:$D$86,0)),ISNUMBER(MATCH($F2974,계정대체기준!$D$77:$D$86,0))),"Y","N")))</f>
        <v/>
      </c>
    </row>
    <row r="2975">
      <c r="A2975" s="92" t="n">
        <v>2026</v>
      </c>
      <c r="B2975" s="92" t="n">
        <v>2</v>
      </c>
      <c r="C2975" s="92" t="inlineStr">
        <is>
          <t>5100000253</t>
        </is>
      </c>
      <c r="D2975" s="95" t="n">
        <v>46057</v>
      </c>
      <c r="E2975" s="92" t="inlineStr">
        <is>
          <t>KR</t>
        </is>
      </c>
      <c r="F2975" s="92" t="n">
        <v>62201000</v>
      </c>
      <c r="G2975" s="92" t="n">
        <v>1501</v>
      </c>
      <c r="H2975" s="93" t="n">
        <v>248000</v>
      </c>
      <c r="I2975" s="92" t="inlineStr">
        <is>
          <t>2월 통신요금 - P통신</t>
        </is>
      </c>
      <c r="J2975" s="92" t="inlineStr">
        <is>
          <t>V10014</t>
        </is>
      </c>
      <c r="K2975" s="92" t="inlineStr">
        <is>
          <t>P통신</t>
        </is>
      </c>
      <c r="M2975" s="9">
        <f>IF($A2975="","",VALUE($A2975&amp;"")*12+VALUE($B2975&amp;""))</f>
        <v/>
      </c>
      <c r="N2975" s="64">
        <f>IF($A2975="","",IFERROR(INDEX(부서매핑!$C$5:$C$504,MATCH($G2975&amp;"",부서매핑!$A$5:$A$504,0)),"미매핑"))</f>
        <v/>
      </c>
      <c r="O2975" s="9">
        <f>IF($A2975="","",N2975&amp;"|"&amp;$F2975)</f>
        <v/>
      </c>
      <c r="P2975" s="94">
        <f>IF($A2975="",0,$H2975*설정!$C$23)</f>
        <v/>
      </c>
      <c r="Q2975" s="64">
        <f>IF($A2975="","",IF(O2975&lt;&gt;원인분석!$C$9,"",IF(AND(M2975&gt;=원인분석!$C$10,M2975&lt;=원인분석!$C$11),"당기",IF(AND(M2975&gt;=원인분석!$C$12,M2975&lt;=원인분석!$C$13),"비교",""))))</f>
        <v/>
      </c>
      <c r="R2975" s="9">
        <f>IF(Q2975="","",$K2975&amp;"")</f>
        <v/>
      </c>
      <c r="S2975" s="9">
        <f>IF(Q2975="","",IF(MATCH(R2975,$R$5:$R$100000,0)=ROW()-4,ROW(),""))</f>
        <v/>
      </c>
      <c r="T2975" s="9">
        <f>IF(Q2975="당기",ABS(P2975)+ROW()/1000000000,"")</f>
        <v/>
      </c>
      <c r="U2975" s="9">
        <f>IF(Q2975="비교",ABS(P2975)+ROW()/1000000000,"")</f>
        <v/>
      </c>
      <c r="V2975" s="64">
        <f>IF($A2975="","",IF(COUNTIF(변동분석!$E$7:$E$506,O2975)&gt;0,"Y","N"))</f>
        <v/>
      </c>
      <c r="W2975" s="64">
        <f>IF($A2975="","",IFERROR(INDEX(계정매핑!$D$5:$D$504,MATCH($F2975&amp;"",계정매핑!$A$5:$A$504,0)),"미매핑"))</f>
        <v/>
      </c>
      <c r="X2975" s="9">
        <f>IF($A2975="","",$F2975&amp;"")</f>
        <v/>
      </c>
      <c r="Y2975" s="94">
        <f>IF($A2975="",0,IF(AE2975="직접",IF(AF2975="비귀속",$P2975,0),$P2975*(1-AG2975)*IFERROR(INDEX(계정대체기준!$F$20:$F$49,MATCH($N2975,계정대체기준!$A$20:$A$49,0)),1)))</f>
        <v/>
      </c>
      <c r="Z2975" s="94">
        <f>IF($A2975="",0,IF(AE2975="직접",IF(AF2975="신계약비",$P2975,0),$P2975*(1-AG2975)*IFERROR(INDEX(계정대체기준!$C$20:$C$49,MATCH($N2975,계정대체기준!$A$20:$A$49,0)),0)))</f>
        <v/>
      </c>
      <c r="AA2975" s="94">
        <f>IF($A2975="",0,IF(AE2975="직접",IF(OR(AF2975="유지비",AF2975="손해조사비"),$P2975,0),$P2975*(1-AG2975)*IFERROR(INDEX(계정대체기준!$D$20:$D$49,MATCH($N2975,계정대체기준!$A$20:$A$49,0)),0)))</f>
        <v/>
      </c>
      <c r="AB2975" s="94">
        <f>IF($A2975="",0,IF(AE2975="직접",IF(AF2975="수금비",$P2975,0),$P2975*(1-AG2975)*IFERROR(INDEX(계정대체기준!$E$20:$E$49,MATCH($N2975,계정대체기준!$A$20:$A$49,0)),0)))</f>
        <v/>
      </c>
      <c r="AC2975" s="9">
        <f>IF(AND($A2975&lt;&gt;"",M2975=설정!$C$20,Z2975&gt;0),Z2975+ROW()/1000000000,"")</f>
        <v/>
      </c>
      <c r="AD2975" s="94">
        <f>IF($A2975="",0,$P2975*AG2975)</f>
        <v/>
      </c>
      <c r="AE2975" s="64">
        <f>IF($A2975="","",IFERROR(INDEX(계정매핑!$E$5:$E$504,MATCH($F2975&amp;"",계정매핑!$A$5:$A$504,0))&amp;"","공통비"))</f>
        <v/>
      </c>
      <c r="AF2975" s="64">
        <f>IF($A2975="","",IF(AE2975="직접",IFERROR(INDEX(계정매핑!$F$5:$F$504,MATCH($F2975&amp;"",계정매핑!$A$5:$A$504,0))&amp;"","비귀속"),""))</f>
        <v/>
      </c>
      <c r="AG2975" s="96">
        <f>IF($A2975="",0,IF(AND(AE2975&lt;&gt;"직접",IFERROR(INDEX(계정매핑!$G$5:$G$504,MATCH($F2975&amp;"",계정매핑!$A$5:$A$504,0))&amp;"","")="유지비",COUNTIF(계정대체기준!$A$6:$A$15,$N2975)&gt;0),IFERROR(INDEX(계정대체기준!$E$6:$E$15,MATCH(VALUE($A2975&amp;""),계정대체기준!$D$6:$D$15,0)),0),0))</f>
        <v/>
      </c>
      <c r="AH2975" s="64">
        <f>IF($A2975="","",IF(AD2975=0,"",IF(OR(COUNTIF(계정대체기준!$A$77:$A$86,$N2975)&gt;0,ISNUMBER(MATCH($X2975,계정대체기준!$D$77:$D$86,0)),ISNUMBER(MATCH($F2975,계정대체기준!$D$77:$D$86,0))),"Y","N")))</f>
        <v/>
      </c>
    </row>
    <row r="2976">
      <c r="A2976" s="92" t="n">
        <v>2026</v>
      </c>
      <c r="B2976" s="92" t="n">
        <v>2</v>
      </c>
      <c r="C2976" s="92" t="inlineStr">
        <is>
          <t>5100000254</t>
        </is>
      </c>
      <c r="D2976" s="95" t="n">
        <v>46057</v>
      </c>
      <c r="E2976" s="92" t="inlineStr">
        <is>
          <t>KR</t>
        </is>
      </c>
      <c r="F2976" s="92" t="n">
        <v>62301000</v>
      </c>
      <c r="G2976" s="92" t="n">
        <v>1801</v>
      </c>
      <c r="H2976" s="93" t="n">
        <v>891000</v>
      </c>
      <c r="I2976" s="92" t="inlineStr">
        <is>
          <t>2월 소모품 구입 - R문구</t>
        </is>
      </c>
      <c r="J2976" s="92" t="inlineStr">
        <is>
          <t>V10022</t>
        </is>
      </c>
      <c r="K2976" s="92" t="inlineStr">
        <is>
          <t>R문구</t>
        </is>
      </c>
      <c r="M2976" s="9">
        <f>IF($A2976="","",VALUE($A2976&amp;"")*12+VALUE($B2976&amp;""))</f>
        <v/>
      </c>
      <c r="N2976" s="64">
        <f>IF($A2976="","",IFERROR(INDEX(부서매핑!$C$5:$C$504,MATCH($G2976&amp;"",부서매핑!$A$5:$A$504,0)),"미매핑"))</f>
        <v/>
      </c>
      <c r="O2976" s="9">
        <f>IF($A2976="","",N2976&amp;"|"&amp;$F2976)</f>
        <v/>
      </c>
      <c r="P2976" s="94">
        <f>IF($A2976="",0,$H2976*설정!$C$23)</f>
        <v/>
      </c>
      <c r="Q2976" s="64">
        <f>IF($A2976="","",IF(O2976&lt;&gt;원인분석!$C$9,"",IF(AND(M2976&gt;=원인분석!$C$10,M2976&lt;=원인분석!$C$11),"당기",IF(AND(M2976&gt;=원인분석!$C$12,M2976&lt;=원인분석!$C$13),"비교",""))))</f>
        <v/>
      </c>
      <c r="R2976" s="9">
        <f>IF(Q2976="","",$K2976&amp;"")</f>
        <v/>
      </c>
      <c r="S2976" s="9">
        <f>IF(Q2976="","",IF(MATCH(R2976,$R$5:$R$100000,0)=ROW()-4,ROW(),""))</f>
        <v/>
      </c>
      <c r="T2976" s="9">
        <f>IF(Q2976="당기",ABS(P2976)+ROW()/1000000000,"")</f>
        <v/>
      </c>
      <c r="U2976" s="9">
        <f>IF(Q2976="비교",ABS(P2976)+ROW()/1000000000,"")</f>
        <v/>
      </c>
      <c r="V2976" s="64">
        <f>IF($A2976="","",IF(COUNTIF(변동분석!$E$7:$E$506,O2976)&gt;0,"Y","N"))</f>
        <v/>
      </c>
      <c r="W2976" s="64">
        <f>IF($A2976="","",IFERROR(INDEX(계정매핑!$D$5:$D$504,MATCH($F2976&amp;"",계정매핑!$A$5:$A$504,0)),"미매핑"))</f>
        <v/>
      </c>
      <c r="X2976" s="9">
        <f>IF($A2976="","",$F2976&amp;"")</f>
        <v/>
      </c>
      <c r="Y2976" s="94">
        <f>IF($A2976="",0,IF(AE2976="직접",IF(AF2976="비귀속",$P2976,0),$P2976*(1-AG2976)*IFERROR(INDEX(계정대체기준!$F$20:$F$49,MATCH($N2976,계정대체기준!$A$20:$A$49,0)),1)))</f>
        <v/>
      </c>
      <c r="Z2976" s="94">
        <f>IF($A2976="",0,IF(AE2976="직접",IF(AF2976="신계약비",$P2976,0),$P2976*(1-AG2976)*IFERROR(INDEX(계정대체기준!$C$20:$C$49,MATCH($N2976,계정대체기준!$A$20:$A$49,0)),0)))</f>
        <v/>
      </c>
      <c r="AA2976" s="94">
        <f>IF($A2976="",0,IF(AE2976="직접",IF(OR(AF2976="유지비",AF2976="손해조사비"),$P2976,0),$P2976*(1-AG2976)*IFERROR(INDEX(계정대체기준!$D$20:$D$49,MATCH($N2976,계정대체기준!$A$20:$A$49,0)),0)))</f>
        <v/>
      </c>
      <c r="AB2976" s="94">
        <f>IF($A2976="",0,IF(AE2976="직접",IF(AF2976="수금비",$P2976,0),$P2976*(1-AG2976)*IFERROR(INDEX(계정대체기준!$E$20:$E$49,MATCH($N2976,계정대체기준!$A$20:$A$49,0)),0)))</f>
        <v/>
      </c>
      <c r="AC2976" s="9">
        <f>IF(AND($A2976&lt;&gt;"",M2976=설정!$C$20,Z2976&gt;0),Z2976+ROW()/1000000000,"")</f>
        <v/>
      </c>
      <c r="AD2976" s="94">
        <f>IF($A2976="",0,$P2976*AG2976)</f>
        <v/>
      </c>
      <c r="AE2976" s="64">
        <f>IF($A2976="","",IFERROR(INDEX(계정매핑!$E$5:$E$504,MATCH($F2976&amp;"",계정매핑!$A$5:$A$504,0))&amp;"","공통비"))</f>
        <v/>
      </c>
      <c r="AF2976" s="64">
        <f>IF($A2976="","",IF(AE2976="직접",IFERROR(INDEX(계정매핑!$F$5:$F$504,MATCH($F2976&amp;"",계정매핑!$A$5:$A$504,0))&amp;"","비귀속"),""))</f>
        <v/>
      </c>
      <c r="AG2976" s="96">
        <f>IF($A2976="",0,IF(AND(AE2976&lt;&gt;"직접",IFERROR(INDEX(계정매핑!$G$5:$G$504,MATCH($F2976&amp;"",계정매핑!$A$5:$A$504,0))&amp;"","")="유지비",COUNTIF(계정대체기준!$A$6:$A$15,$N2976)&gt;0),IFERROR(INDEX(계정대체기준!$E$6:$E$15,MATCH(VALUE($A2976&amp;""),계정대체기준!$D$6:$D$15,0)),0),0))</f>
        <v/>
      </c>
      <c r="AH2976" s="64">
        <f>IF($A2976="","",IF(AD2976=0,"",IF(OR(COUNTIF(계정대체기준!$A$77:$A$86,$N2976)&gt;0,ISNUMBER(MATCH($X2976,계정대체기준!$D$77:$D$86,0)),ISNUMBER(MATCH($F2976,계정대체기준!$D$77:$D$86,0))),"Y","N")))</f>
        <v/>
      </c>
    </row>
    <row r="2977">
      <c r="A2977" s="92" t="n">
        <v>2026</v>
      </c>
      <c r="B2977" s="92" t="n">
        <v>2</v>
      </c>
      <c r="C2977" s="92" t="inlineStr">
        <is>
          <t>5100000255</t>
        </is>
      </c>
      <c r="D2977" s="95" t="n">
        <v>46058</v>
      </c>
      <c r="E2977" s="92" t="inlineStr">
        <is>
          <t>KR</t>
        </is>
      </c>
      <c r="F2977" s="92" t="n">
        <v>62102000</v>
      </c>
      <c r="G2977" s="92" t="n">
        <v>1301</v>
      </c>
      <c r="H2977" s="93" t="n">
        <v>117000</v>
      </c>
      <c r="I2977" s="92" t="inlineStr">
        <is>
          <t>2월 해외출장 - M항공</t>
        </is>
      </c>
      <c r="J2977" s="92" t="inlineStr">
        <is>
          <t>V10001</t>
        </is>
      </c>
      <c r="K2977" s="92" t="inlineStr">
        <is>
          <t>M항공</t>
        </is>
      </c>
      <c r="M2977" s="9">
        <f>IF($A2977="","",VALUE($A2977&amp;"")*12+VALUE($B2977&amp;""))</f>
        <v/>
      </c>
      <c r="N2977" s="64">
        <f>IF($A2977="","",IFERROR(INDEX(부서매핑!$C$5:$C$504,MATCH($G2977&amp;"",부서매핑!$A$5:$A$504,0)),"미매핑"))</f>
        <v/>
      </c>
      <c r="O2977" s="9">
        <f>IF($A2977="","",N2977&amp;"|"&amp;$F2977)</f>
        <v/>
      </c>
      <c r="P2977" s="94">
        <f>IF($A2977="",0,$H2977*설정!$C$23)</f>
        <v/>
      </c>
      <c r="Q2977" s="64">
        <f>IF($A2977="","",IF(O2977&lt;&gt;원인분석!$C$9,"",IF(AND(M2977&gt;=원인분석!$C$10,M2977&lt;=원인분석!$C$11),"당기",IF(AND(M2977&gt;=원인분석!$C$12,M2977&lt;=원인분석!$C$13),"비교",""))))</f>
        <v/>
      </c>
      <c r="R2977" s="9">
        <f>IF(Q2977="","",$K2977&amp;"")</f>
        <v/>
      </c>
      <c r="S2977" s="9">
        <f>IF(Q2977="","",IF(MATCH(R2977,$R$5:$R$100000,0)=ROW()-4,ROW(),""))</f>
        <v/>
      </c>
      <c r="T2977" s="9">
        <f>IF(Q2977="당기",ABS(P2977)+ROW()/1000000000,"")</f>
        <v/>
      </c>
      <c r="U2977" s="9">
        <f>IF(Q2977="비교",ABS(P2977)+ROW()/1000000000,"")</f>
        <v/>
      </c>
      <c r="V2977" s="64">
        <f>IF($A2977="","",IF(COUNTIF(변동분석!$E$7:$E$506,O2977)&gt;0,"Y","N"))</f>
        <v/>
      </c>
      <c r="W2977" s="64">
        <f>IF($A2977="","",IFERROR(INDEX(계정매핑!$D$5:$D$504,MATCH($F2977&amp;"",계정매핑!$A$5:$A$504,0)),"미매핑"))</f>
        <v/>
      </c>
      <c r="X2977" s="9">
        <f>IF($A2977="","",$F2977&amp;"")</f>
        <v/>
      </c>
      <c r="Y2977" s="94">
        <f>IF($A2977="",0,IF(AE2977="직접",IF(AF2977="비귀속",$P2977,0),$P2977*(1-AG2977)*IFERROR(INDEX(계정대체기준!$F$20:$F$49,MATCH($N2977,계정대체기준!$A$20:$A$49,0)),1)))</f>
        <v/>
      </c>
      <c r="Z2977" s="94">
        <f>IF($A2977="",0,IF(AE2977="직접",IF(AF2977="신계약비",$P2977,0),$P2977*(1-AG2977)*IFERROR(INDEX(계정대체기준!$C$20:$C$49,MATCH($N2977,계정대체기준!$A$20:$A$49,0)),0)))</f>
        <v/>
      </c>
      <c r="AA2977" s="94">
        <f>IF($A2977="",0,IF(AE2977="직접",IF(OR(AF2977="유지비",AF2977="손해조사비"),$P2977,0),$P2977*(1-AG2977)*IFERROR(INDEX(계정대체기준!$D$20:$D$49,MATCH($N2977,계정대체기준!$A$20:$A$49,0)),0)))</f>
        <v/>
      </c>
      <c r="AB2977" s="94">
        <f>IF($A2977="",0,IF(AE2977="직접",IF(AF2977="수금비",$P2977,0),$P2977*(1-AG2977)*IFERROR(INDEX(계정대체기준!$E$20:$E$49,MATCH($N2977,계정대체기준!$A$20:$A$49,0)),0)))</f>
        <v/>
      </c>
      <c r="AC2977" s="9">
        <f>IF(AND($A2977&lt;&gt;"",M2977=설정!$C$20,Z2977&gt;0),Z2977+ROW()/1000000000,"")</f>
        <v/>
      </c>
      <c r="AD2977" s="94">
        <f>IF($A2977="",0,$P2977*AG2977)</f>
        <v/>
      </c>
      <c r="AE2977" s="64">
        <f>IF($A2977="","",IFERROR(INDEX(계정매핑!$E$5:$E$504,MATCH($F2977&amp;"",계정매핑!$A$5:$A$504,0))&amp;"","공통비"))</f>
        <v/>
      </c>
      <c r="AF2977" s="64">
        <f>IF($A2977="","",IF(AE2977="직접",IFERROR(INDEX(계정매핑!$F$5:$F$504,MATCH($F2977&amp;"",계정매핑!$A$5:$A$504,0))&amp;"","비귀속"),""))</f>
        <v/>
      </c>
      <c r="AG2977" s="96">
        <f>IF($A2977="",0,IF(AND(AE2977&lt;&gt;"직접",IFERROR(INDEX(계정매핑!$G$5:$G$504,MATCH($F2977&amp;"",계정매핑!$A$5:$A$504,0))&amp;"","")="유지비",COUNTIF(계정대체기준!$A$6:$A$15,$N2977)&gt;0),IFERROR(INDEX(계정대체기준!$E$6:$E$15,MATCH(VALUE($A2977&amp;""),계정대체기준!$D$6:$D$15,0)),0),0))</f>
        <v/>
      </c>
      <c r="AH2977" s="64">
        <f>IF($A2977="","",IF(AD2977=0,"",IF(OR(COUNTIF(계정대체기준!$A$77:$A$86,$N2977)&gt;0,ISNUMBER(MATCH($X2977,계정대체기준!$D$77:$D$86,0)),ISNUMBER(MATCH($F2977,계정대체기준!$D$77:$D$86,0))),"Y","N")))</f>
        <v/>
      </c>
    </row>
    <row r="2978">
      <c r="A2978" s="92" t="n">
        <v>2026</v>
      </c>
      <c r="B2978" s="92" t="n">
        <v>2</v>
      </c>
      <c r="C2978" s="92" t="inlineStr">
        <is>
          <t>5100000256</t>
        </is>
      </c>
      <c r="D2978" s="95" t="n">
        <v>46058</v>
      </c>
      <c r="E2978" s="92" t="inlineStr">
        <is>
          <t>KR</t>
        </is>
      </c>
      <c r="F2978" s="92" t="n">
        <v>62102000</v>
      </c>
      <c r="G2978" s="92" t="n">
        <v>1501</v>
      </c>
      <c r="H2978" s="93" t="n">
        <v>167000</v>
      </c>
      <c r="I2978" s="92" t="inlineStr">
        <is>
          <t>2월 해외출장 - M항공</t>
        </is>
      </c>
      <c r="J2978" s="92" t="inlineStr">
        <is>
          <t>V10001</t>
        </is>
      </c>
      <c r="K2978" s="92" t="inlineStr">
        <is>
          <t>M항공</t>
        </is>
      </c>
      <c r="M2978" s="9">
        <f>IF($A2978="","",VALUE($A2978&amp;"")*12+VALUE($B2978&amp;""))</f>
        <v/>
      </c>
      <c r="N2978" s="64">
        <f>IF($A2978="","",IFERROR(INDEX(부서매핑!$C$5:$C$504,MATCH($G2978&amp;"",부서매핑!$A$5:$A$504,0)),"미매핑"))</f>
        <v/>
      </c>
      <c r="O2978" s="9">
        <f>IF($A2978="","",N2978&amp;"|"&amp;$F2978)</f>
        <v/>
      </c>
      <c r="P2978" s="94">
        <f>IF($A2978="",0,$H2978*설정!$C$23)</f>
        <v/>
      </c>
      <c r="Q2978" s="64">
        <f>IF($A2978="","",IF(O2978&lt;&gt;원인분석!$C$9,"",IF(AND(M2978&gt;=원인분석!$C$10,M2978&lt;=원인분석!$C$11),"당기",IF(AND(M2978&gt;=원인분석!$C$12,M2978&lt;=원인분석!$C$13),"비교",""))))</f>
        <v/>
      </c>
      <c r="R2978" s="9">
        <f>IF(Q2978="","",$K2978&amp;"")</f>
        <v/>
      </c>
      <c r="S2978" s="9">
        <f>IF(Q2978="","",IF(MATCH(R2978,$R$5:$R$100000,0)=ROW()-4,ROW(),""))</f>
        <v/>
      </c>
      <c r="T2978" s="9">
        <f>IF(Q2978="당기",ABS(P2978)+ROW()/1000000000,"")</f>
        <v/>
      </c>
      <c r="U2978" s="9">
        <f>IF(Q2978="비교",ABS(P2978)+ROW()/1000000000,"")</f>
        <v/>
      </c>
      <c r="V2978" s="64">
        <f>IF($A2978="","",IF(COUNTIF(변동분석!$E$7:$E$506,O2978)&gt;0,"Y","N"))</f>
        <v/>
      </c>
      <c r="W2978" s="64">
        <f>IF($A2978="","",IFERROR(INDEX(계정매핑!$D$5:$D$504,MATCH($F2978&amp;"",계정매핑!$A$5:$A$504,0)),"미매핑"))</f>
        <v/>
      </c>
      <c r="X2978" s="9">
        <f>IF($A2978="","",$F2978&amp;"")</f>
        <v/>
      </c>
      <c r="Y2978" s="94">
        <f>IF($A2978="",0,IF(AE2978="직접",IF(AF2978="비귀속",$P2978,0),$P2978*(1-AG2978)*IFERROR(INDEX(계정대체기준!$F$20:$F$49,MATCH($N2978,계정대체기준!$A$20:$A$49,0)),1)))</f>
        <v/>
      </c>
      <c r="Z2978" s="94">
        <f>IF($A2978="",0,IF(AE2978="직접",IF(AF2978="신계약비",$P2978,0),$P2978*(1-AG2978)*IFERROR(INDEX(계정대체기준!$C$20:$C$49,MATCH($N2978,계정대체기준!$A$20:$A$49,0)),0)))</f>
        <v/>
      </c>
      <c r="AA2978" s="94">
        <f>IF($A2978="",0,IF(AE2978="직접",IF(OR(AF2978="유지비",AF2978="손해조사비"),$P2978,0),$P2978*(1-AG2978)*IFERROR(INDEX(계정대체기준!$D$20:$D$49,MATCH($N2978,계정대체기준!$A$20:$A$49,0)),0)))</f>
        <v/>
      </c>
      <c r="AB2978" s="94">
        <f>IF($A2978="",0,IF(AE2978="직접",IF(AF2978="수금비",$P2978,0),$P2978*(1-AG2978)*IFERROR(INDEX(계정대체기준!$E$20:$E$49,MATCH($N2978,계정대체기준!$A$20:$A$49,0)),0)))</f>
        <v/>
      </c>
      <c r="AC2978" s="9">
        <f>IF(AND($A2978&lt;&gt;"",M2978=설정!$C$20,Z2978&gt;0),Z2978+ROW()/1000000000,"")</f>
        <v/>
      </c>
      <c r="AD2978" s="94">
        <f>IF($A2978="",0,$P2978*AG2978)</f>
        <v/>
      </c>
      <c r="AE2978" s="64">
        <f>IF($A2978="","",IFERROR(INDEX(계정매핑!$E$5:$E$504,MATCH($F2978&amp;"",계정매핑!$A$5:$A$504,0))&amp;"","공통비"))</f>
        <v/>
      </c>
      <c r="AF2978" s="64">
        <f>IF($A2978="","",IF(AE2978="직접",IFERROR(INDEX(계정매핑!$F$5:$F$504,MATCH($F2978&amp;"",계정매핑!$A$5:$A$504,0))&amp;"","비귀속"),""))</f>
        <v/>
      </c>
      <c r="AG2978" s="96">
        <f>IF($A2978="",0,IF(AND(AE2978&lt;&gt;"직접",IFERROR(INDEX(계정매핑!$G$5:$G$504,MATCH($F2978&amp;"",계정매핑!$A$5:$A$504,0))&amp;"","")="유지비",COUNTIF(계정대체기준!$A$6:$A$15,$N2978)&gt;0),IFERROR(INDEX(계정대체기준!$E$6:$E$15,MATCH(VALUE($A2978&amp;""),계정대체기준!$D$6:$D$15,0)),0),0))</f>
        <v/>
      </c>
      <c r="AH2978" s="64">
        <f>IF($A2978="","",IF(AD2978=0,"",IF(OR(COUNTIF(계정대체기준!$A$77:$A$86,$N2978)&gt;0,ISNUMBER(MATCH($X2978,계정대체기준!$D$77:$D$86,0)),ISNUMBER(MATCH($F2978,계정대체기준!$D$77:$D$86,0))),"Y","N")))</f>
        <v/>
      </c>
    </row>
    <row r="2979">
      <c r="A2979" s="92" t="n">
        <v>2026</v>
      </c>
      <c r="B2979" s="92" t="n">
        <v>2</v>
      </c>
      <c r="C2979" s="92" t="inlineStr">
        <is>
          <t>5100000257</t>
        </is>
      </c>
      <c r="D2979" s="95" t="n">
        <v>46058</v>
      </c>
      <c r="E2979" s="92" t="inlineStr">
        <is>
          <t>KR</t>
        </is>
      </c>
      <c r="F2979" s="92" t="n">
        <v>62201000</v>
      </c>
      <c r="G2979" s="92" t="n">
        <v>1502</v>
      </c>
      <c r="H2979" s="93" t="n">
        <v>356000</v>
      </c>
      <c r="I2979" s="92" t="inlineStr">
        <is>
          <t>2월 통신요금 - P통신</t>
        </is>
      </c>
      <c r="J2979" s="92" t="inlineStr">
        <is>
          <t>V10014</t>
        </is>
      </c>
      <c r="K2979" s="92" t="inlineStr">
        <is>
          <t>P통신</t>
        </is>
      </c>
      <c r="M2979" s="9">
        <f>IF($A2979="","",VALUE($A2979&amp;"")*12+VALUE($B2979&amp;""))</f>
        <v/>
      </c>
      <c r="N2979" s="64">
        <f>IF($A2979="","",IFERROR(INDEX(부서매핑!$C$5:$C$504,MATCH($G2979&amp;"",부서매핑!$A$5:$A$504,0)),"미매핑"))</f>
        <v/>
      </c>
      <c r="O2979" s="9">
        <f>IF($A2979="","",N2979&amp;"|"&amp;$F2979)</f>
        <v/>
      </c>
      <c r="P2979" s="94">
        <f>IF($A2979="",0,$H2979*설정!$C$23)</f>
        <v/>
      </c>
      <c r="Q2979" s="64">
        <f>IF($A2979="","",IF(O2979&lt;&gt;원인분석!$C$9,"",IF(AND(M2979&gt;=원인분석!$C$10,M2979&lt;=원인분석!$C$11),"당기",IF(AND(M2979&gt;=원인분석!$C$12,M2979&lt;=원인분석!$C$13),"비교",""))))</f>
        <v/>
      </c>
      <c r="R2979" s="9">
        <f>IF(Q2979="","",$K2979&amp;"")</f>
        <v/>
      </c>
      <c r="S2979" s="9">
        <f>IF(Q2979="","",IF(MATCH(R2979,$R$5:$R$100000,0)=ROW()-4,ROW(),""))</f>
        <v/>
      </c>
      <c r="T2979" s="9">
        <f>IF(Q2979="당기",ABS(P2979)+ROW()/1000000000,"")</f>
        <v/>
      </c>
      <c r="U2979" s="9">
        <f>IF(Q2979="비교",ABS(P2979)+ROW()/1000000000,"")</f>
        <v/>
      </c>
      <c r="V2979" s="64">
        <f>IF($A2979="","",IF(COUNTIF(변동분석!$E$7:$E$506,O2979)&gt;0,"Y","N"))</f>
        <v/>
      </c>
      <c r="W2979" s="64">
        <f>IF($A2979="","",IFERROR(INDEX(계정매핑!$D$5:$D$504,MATCH($F2979&amp;"",계정매핑!$A$5:$A$504,0)),"미매핑"))</f>
        <v/>
      </c>
      <c r="X2979" s="9">
        <f>IF($A2979="","",$F2979&amp;"")</f>
        <v/>
      </c>
      <c r="Y2979" s="94">
        <f>IF($A2979="",0,IF(AE2979="직접",IF(AF2979="비귀속",$P2979,0),$P2979*(1-AG2979)*IFERROR(INDEX(계정대체기준!$F$20:$F$49,MATCH($N2979,계정대체기준!$A$20:$A$49,0)),1)))</f>
        <v/>
      </c>
      <c r="Z2979" s="94">
        <f>IF($A2979="",0,IF(AE2979="직접",IF(AF2979="신계약비",$P2979,0),$P2979*(1-AG2979)*IFERROR(INDEX(계정대체기준!$C$20:$C$49,MATCH($N2979,계정대체기준!$A$20:$A$49,0)),0)))</f>
        <v/>
      </c>
      <c r="AA2979" s="94">
        <f>IF($A2979="",0,IF(AE2979="직접",IF(OR(AF2979="유지비",AF2979="손해조사비"),$P2979,0),$P2979*(1-AG2979)*IFERROR(INDEX(계정대체기준!$D$20:$D$49,MATCH($N2979,계정대체기준!$A$20:$A$49,0)),0)))</f>
        <v/>
      </c>
      <c r="AB2979" s="94">
        <f>IF($A2979="",0,IF(AE2979="직접",IF(AF2979="수금비",$P2979,0),$P2979*(1-AG2979)*IFERROR(INDEX(계정대체기준!$E$20:$E$49,MATCH($N2979,계정대체기준!$A$20:$A$49,0)),0)))</f>
        <v/>
      </c>
      <c r="AC2979" s="9">
        <f>IF(AND($A2979&lt;&gt;"",M2979=설정!$C$20,Z2979&gt;0),Z2979+ROW()/1000000000,"")</f>
        <v/>
      </c>
      <c r="AD2979" s="94">
        <f>IF($A2979="",0,$P2979*AG2979)</f>
        <v/>
      </c>
      <c r="AE2979" s="64">
        <f>IF($A2979="","",IFERROR(INDEX(계정매핑!$E$5:$E$504,MATCH($F2979&amp;"",계정매핑!$A$5:$A$504,0))&amp;"","공통비"))</f>
        <v/>
      </c>
      <c r="AF2979" s="64">
        <f>IF($A2979="","",IF(AE2979="직접",IFERROR(INDEX(계정매핑!$F$5:$F$504,MATCH($F2979&amp;"",계정매핑!$A$5:$A$504,0))&amp;"","비귀속"),""))</f>
        <v/>
      </c>
      <c r="AG2979" s="96">
        <f>IF($A2979="",0,IF(AND(AE2979&lt;&gt;"직접",IFERROR(INDEX(계정매핑!$G$5:$G$504,MATCH($F2979&amp;"",계정매핑!$A$5:$A$504,0))&amp;"","")="유지비",COUNTIF(계정대체기준!$A$6:$A$15,$N2979)&gt;0),IFERROR(INDEX(계정대체기준!$E$6:$E$15,MATCH(VALUE($A2979&amp;""),계정대체기준!$D$6:$D$15,0)),0),0))</f>
        <v/>
      </c>
      <c r="AH2979" s="64">
        <f>IF($A2979="","",IF(AD2979=0,"",IF(OR(COUNTIF(계정대체기준!$A$77:$A$86,$N2979)&gt;0,ISNUMBER(MATCH($X2979,계정대체기준!$D$77:$D$86,0)),ISNUMBER(MATCH($F2979,계정대체기준!$D$77:$D$86,0))),"Y","N")))</f>
        <v/>
      </c>
    </row>
    <row r="2980">
      <c r="A2980" s="92" t="n">
        <v>2026</v>
      </c>
      <c r="B2980" s="92" t="n">
        <v>2</v>
      </c>
      <c r="C2980" s="92" t="inlineStr">
        <is>
          <t>5100000258</t>
        </is>
      </c>
      <c r="D2980" s="95" t="n">
        <v>46058</v>
      </c>
      <c r="E2980" s="92" t="inlineStr">
        <is>
          <t>KR</t>
        </is>
      </c>
      <c r="F2980" s="92" t="n">
        <v>62301000</v>
      </c>
      <c r="G2980" s="92" t="n">
        <v>1401</v>
      </c>
      <c r="H2980" s="93" t="n">
        <v>141000</v>
      </c>
      <c r="I2980" s="92" t="inlineStr">
        <is>
          <t>2월 소모품 구입 - Q오피스</t>
        </is>
      </c>
      <c r="J2980" s="92" t="inlineStr">
        <is>
          <t>V10003</t>
        </is>
      </c>
      <c r="K2980" s="92" t="inlineStr">
        <is>
          <t>Q오피스</t>
        </is>
      </c>
      <c r="M2980" s="9">
        <f>IF($A2980="","",VALUE($A2980&amp;"")*12+VALUE($B2980&amp;""))</f>
        <v/>
      </c>
      <c r="N2980" s="64">
        <f>IF($A2980="","",IFERROR(INDEX(부서매핑!$C$5:$C$504,MATCH($G2980&amp;"",부서매핑!$A$5:$A$504,0)),"미매핑"))</f>
        <v/>
      </c>
      <c r="O2980" s="9">
        <f>IF($A2980="","",N2980&amp;"|"&amp;$F2980)</f>
        <v/>
      </c>
      <c r="P2980" s="94">
        <f>IF($A2980="",0,$H2980*설정!$C$23)</f>
        <v/>
      </c>
      <c r="Q2980" s="64">
        <f>IF($A2980="","",IF(O2980&lt;&gt;원인분석!$C$9,"",IF(AND(M2980&gt;=원인분석!$C$10,M2980&lt;=원인분석!$C$11),"당기",IF(AND(M2980&gt;=원인분석!$C$12,M2980&lt;=원인분석!$C$13),"비교",""))))</f>
        <v/>
      </c>
      <c r="R2980" s="9">
        <f>IF(Q2980="","",$K2980&amp;"")</f>
        <v/>
      </c>
      <c r="S2980" s="9">
        <f>IF(Q2980="","",IF(MATCH(R2980,$R$5:$R$100000,0)=ROW()-4,ROW(),""))</f>
        <v/>
      </c>
      <c r="T2980" s="9">
        <f>IF(Q2980="당기",ABS(P2980)+ROW()/1000000000,"")</f>
        <v/>
      </c>
      <c r="U2980" s="9">
        <f>IF(Q2980="비교",ABS(P2980)+ROW()/1000000000,"")</f>
        <v/>
      </c>
      <c r="V2980" s="64">
        <f>IF($A2980="","",IF(COUNTIF(변동분석!$E$7:$E$506,O2980)&gt;0,"Y","N"))</f>
        <v/>
      </c>
      <c r="W2980" s="64">
        <f>IF($A2980="","",IFERROR(INDEX(계정매핑!$D$5:$D$504,MATCH($F2980&amp;"",계정매핑!$A$5:$A$504,0)),"미매핑"))</f>
        <v/>
      </c>
      <c r="X2980" s="9">
        <f>IF($A2980="","",$F2980&amp;"")</f>
        <v/>
      </c>
      <c r="Y2980" s="94">
        <f>IF($A2980="",0,IF(AE2980="직접",IF(AF2980="비귀속",$P2980,0),$P2980*(1-AG2980)*IFERROR(INDEX(계정대체기준!$F$20:$F$49,MATCH($N2980,계정대체기준!$A$20:$A$49,0)),1)))</f>
        <v/>
      </c>
      <c r="Z2980" s="94">
        <f>IF($A2980="",0,IF(AE2980="직접",IF(AF2980="신계약비",$P2980,0),$P2980*(1-AG2980)*IFERROR(INDEX(계정대체기준!$C$20:$C$49,MATCH($N2980,계정대체기준!$A$20:$A$49,0)),0)))</f>
        <v/>
      </c>
      <c r="AA2980" s="94">
        <f>IF($A2980="",0,IF(AE2980="직접",IF(OR(AF2980="유지비",AF2980="손해조사비"),$P2980,0),$P2980*(1-AG2980)*IFERROR(INDEX(계정대체기준!$D$20:$D$49,MATCH($N2980,계정대체기준!$A$20:$A$49,0)),0)))</f>
        <v/>
      </c>
      <c r="AB2980" s="94">
        <f>IF($A2980="",0,IF(AE2980="직접",IF(AF2980="수금비",$P2980,0),$P2980*(1-AG2980)*IFERROR(INDEX(계정대체기준!$E$20:$E$49,MATCH($N2980,계정대체기준!$A$20:$A$49,0)),0)))</f>
        <v/>
      </c>
      <c r="AC2980" s="9">
        <f>IF(AND($A2980&lt;&gt;"",M2980=설정!$C$20,Z2980&gt;0),Z2980+ROW()/1000000000,"")</f>
        <v/>
      </c>
      <c r="AD2980" s="94">
        <f>IF($A2980="",0,$P2980*AG2980)</f>
        <v/>
      </c>
      <c r="AE2980" s="64">
        <f>IF($A2980="","",IFERROR(INDEX(계정매핑!$E$5:$E$504,MATCH($F2980&amp;"",계정매핑!$A$5:$A$504,0))&amp;"","공통비"))</f>
        <v/>
      </c>
      <c r="AF2980" s="64">
        <f>IF($A2980="","",IF(AE2980="직접",IFERROR(INDEX(계정매핑!$F$5:$F$504,MATCH($F2980&amp;"",계정매핑!$A$5:$A$504,0))&amp;"","비귀속"),""))</f>
        <v/>
      </c>
      <c r="AG2980" s="96">
        <f>IF($A2980="",0,IF(AND(AE2980&lt;&gt;"직접",IFERROR(INDEX(계정매핑!$G$5:$G$504,MATCH($F2980&amp;"",계정매핑!$A$5:$A$504,0))&amp;"","")="유지비",COUNTIF(계정대체기준!$A$6:$A$15,$N2980)&gt;0),IFERROR(INDEX(계정대체기준!$E$6:$E$15,MATCH(VALUE($A2980&amp;""),계정대체기준!$D$6:$D$15,0)),0),0))</f>
        <v/>
      </c>
      <c r="AH2980" s="64">
        <f>IF($A2980="","",IF(AD2980=0,"",IF(OR(COUNTIF(계정대체기준!$A$77:$A$86,$N2980)&gt;0,ISNUMBER(MATCH($X2980,계정대체기준!$D$77:$D$86,0)),ISNUMBER(MATCH($F2980,계정대체기준!$D$77:$D$86,0))),"Y","N")))</f>
        <v/>
      </c>
    </row>
    <row r="2981">
      <c r="A2981" s="92" t="n">
        <v>2026</v>
      </c>
      <c r="B2981" s="92" t="n">
        <v>2</v>
      </c>
      <c r="C2981" s="92" t="inlineStr">
        <is>
          <t>5100000259</t>
        </is>
      </c>
      <c r="D2981" s="95" t="n">
        <v>46058</v>
      </c>
      <c r="E2981" s="92" t="inlineStr">
        <is>
          <t>KR</t>
        </is>
      </c>
      <c r="F2981" s="92" t="n">
        <v>62501000</v>
      </c>
      <c r="G2981" s="92" t="n">
        <v>1301</v>
      </c>
      <c r="H2981" s="93" t="n">
        <v>266000</v>
      </c>
      <c r="I2981" s="92" t="inlineStr">
        <is>
          <t>2월 회의 다과 - (법인카드)</t>
        </is>
      </c>
      <c r="J2981" s="92" t="inlineStr">
        <is>
          <t>V10010</t>
        </is>
      </c>
      <c r="K2981" s="92" t="inlineStr">
        <is>
          <t>(법인카드)</t>
        </is>
      </c>
      <c r="M2981" s="9">
        <f>IF($A2981="","",VALUE($A2981&amp;"")*12+VALUE($B2981&amp;""))</f>
        <v/>
      </c>
      <c r="N2981" s="64">
        <f>IF($A2981="","",IFERROR(INDEX(부서매핑!$C$5:$C$504,MATCH($G2981&amp;"",부서매핑!$A$5:$A$504,0)),"미매핑"))</f>
        <v/>
      </c>
      <c r="O2981" s="9">
        <f>IF($A2981="","",N2981&amp;"|"&amp;$F2981)</f>
        <v/>
      </c>
      <c r="P2981" s="94">
        <f>IF($A2981="",0,$H2981*설정!$C$23)</f>
        <v/>
      </c>
      <c r="Q2981" s="64">
        <f>IF($A2981="","",IF(O2981&lt;&gt;원인분석!$C$9,"",IF(AND(M2981&gt;=원인분석!$C$10,M2981&lt;=원인분석!$C$11),"당기",IF(AND(M2981&gt;=원인분석!$C$12,M2981&lt;=원인분석!$C$13),"비교",""))))</f>
        <v/>
      </c>
      <c r="R2981" s="9">
        <f>IF(Q2981="","",$K2981&amp;"")</f>
        <v/>
      </c>
      <c r="S2981" s="9">
        <f>IF(Q2981="","",IF(MATCH(R2981,$R$5:$R$100000,0)=ROW()-4,ROW(),""))</f>
        <v/>
      </c>
      <c r="T2981" s="9">
        <f>IF(Q2981="당기",ABS(P2981)+ROW()/1000000000,"")</f>
        <v/>
      </c>
      <c r="U2981" s="9">
        <f>IF(Q2981="비교",ABS(P2981)+ROW()/1000000000,"")</f>
        <v/>
      </c>
      <c r="V2981" s="64">
        <f>IF($A2981="","",IF(COUNTIF(변동분석!$E$7:$E$506,O2981)&gt;0,"Y","N"))</f>
        <v/>
      </c>
      <c r="W2981" s="64">
        <f>IF($A2981="","",IFERROR(INDEX(계정매핑!$D$5:$D$504,MATCH($F2981&amp;"",계정매핑!$A$5:$A$504,0)),"미매핑"))</f>
        <v/>
      </c>
      <c r="X2981" s="9">
        <f>IF($A2981="","",$F2981&amp;"")</f>
        <v/>
      </c>
      <c r="Y2981" s="94">
        <f>IF($A2981="",0,IF(AE2981="직접",IF(AF2981="비귀속",$P2981,0),$P2981*(1-AG2981)*IFERROR(INDEX(계정대체기준!$F$20:$F$49,MATCH($N2981,계정대체기준!$A$20:$A$49,0)),1)))</f>
        <v/>
      </c>
      <c r="Z2981" s="94">
        <f>IF($A2981="",0,IF(AE2981="직접",IF(AF2981="신계약비",$P2981,0),$P2981*(1-AG2981)*IFERROR(INDEX(계정대체기준!$C$20:$C$49,MATCH($N2981,계정대체기준!$A$20:$A$49,0)),0)))</f>
        <v/>
      </c>
      <c r="AA2981" s="94">
        <f>IF($A2981="",0,IF(AE2981="직접",IF(OR(AF2981="유지비",AF2981="손해조사비"),$P2981,0),$P2981*(1-AG2981)*IFERROR(INDEX(계정대체기준!$D$20:$D$49,MATCH($N2981,계정대체기준!$A$20:$A$49,0)),0)))</f>
        <v/>
      </c>
      <c r="AB2981" s="94">
        <f>IF($A2981="",0,IF(AE2981="직접",IF(AF2981="수금비",$P2981,0),$P2981*(1-AG2981)*IFERROR(INDEX(계정대체기준!$E$20:$E$49,MATCH($N2981,계정대체기준!$A$20:$A$49,0)),0)))</f>
        <v/>
      </c>
      <c r="AC2981" s="9">
        <f>IF(AND($A2981&lt;&gt;"",M2981=설정!$C$20,Z2981&gt;0),Z2981+ROW()/1000000000,"")</f>
        <v/>
      </c>
      <c r="AD2981" s="94">
        <f>IF($A2981="",0,$P2981*AG2981)</f>
        <v/>
      </c>
      <c r="AE2981" s="64">
        <f>IF($A2981="","",IFERROR(INDEX(계정매핑!$E$5:$E$504,MATCH($F2981&amp;"",계정매핑!$A$5:$A$504,0))&amp;"","공통비"))</f>
        <v/>
      </c>
      <c r="AF2981" s="64">
        <f>IF($A2981="","",IF(AE2981="직접",IFERROR(INDEX(계정매핑!$F$5:$F$504,MATCH($F2981&amp;"",계정매핑!$A$5:$A$504,0))&amp;"","비귀속"),""))</f>
        <v/>
      </c>
      <c r="AG2981" s="96">
        <f>IF($A2981="",0,IF(AND(AE2981&lt;&gt;"직접",IFERROR(INDEX(계정매핑!$G$5:$G$504,MATCH($F2981&amp;"",계정매핑!$A$5:$A$504,0))&amp;"","")="유지비",COUNTIF(계정대체기준!$A$6:$A$15,$N2981)&gt;0),IFERROR(INDEX(계정대체기준!$E$6:$E$15,MATCH(VALUE($A2981&amp;""),계정대체기준!$D$6:$D$15,0)),0),0))</f>
        <v/>
      </c>
      <c r="AH2981" s="64">
        <f>IF($A2981="","",IF(AD2981=0,"",IF(OR(COUNTIF(계정대체기준!$A$77:$A$86,$N2981)&gt;0,ISNUMBER(MATCH($X2981,계정대체기준!$D$77:$D$86,0)),ISNUMBER(MATCH($F2981,계정대체기준!$D$77:$D$86,0))),"Y","N")))</f>
        <v/>
      </c>
    </row>
    <row r="2982">
      <c r="A2982" s="92" t="n">
        <v>2026</v>
      </c>
      <c r="B2982" s="92" t="n">
        <v>2</v>
      </c>
      <c r="C2982" s="92" t="inlineStr">
        <is>
          <t>5100000260</t>
        </is>
      </c>
      <c r="D2982" s="95" t="n">
        <v>46058</v>
      </c>
      <c r="E2982" s="92" t="inlineStr">
        <is>
          <t>KR</t>
        </is>
      </c>
      <c r="F2982" s="92" t="n">
        <v>62501000</v>
      </c>
      <c r="G2982" s="92" t="n">
        <v>1602</v>
      </c>
      <c r="H2982" s="93" t="n">
        <v>349000</v>
      </c>
      <c r="I2982" s="92" t="inlineStr">
        <is>
          <t>2월 회의 다과 - (법인카드)</t>
        </is>
      </c>
      <c r="J2982" s="92" t="inlineStr">
        <is>
          <t>V10010</t>
        </is>
      </c>
      <c r="K2982" s="92" t="inlineStr">
        <is>
          <t>(법인카드)</t>
        </is>
      </c>
      <c r="M2982" s="9">
        <f>IF($A2982="","",VALUE($A2982&amp;"")*12+VALUE($B2982&amp;""))</f>
        <v/>
      </c>
      <c r="N2982" s="64">
        <f>IF($A2982="","",IFERROR(INDEX(부서매핑!$C$5:$C$504,MATCH($G2982&amp;"",부서매핑!$A$5:$A$504,0)),"미매핑"))</f>
        <v/>
      </c>
      <c r="O2982" s="9">
        <f>IF($A2982="","",N2982&amp;"|"&amp;$F2982)</f>
        <v/>
      </c>
      <c r="P2982" s="94">
        <f>IF($A2982="",0,$H2982*설정!$C$23)</f>
        <v/>
      </c>
      <c r="Q2982" s="64">
        <f>IF($A2982="","",IF(O2982&lt;&gt;원인분석!$C$9,"",IF(AND(M2982&gt;=원인분석!$C$10,M2982&lt;=원인분석!$C$11),"당기",IF(AND(M2982&gt;=원인분석!$C$12,M2982&lt;=원인분석!$C$13),"비교",""))))</f>
        <v/>
      </c>
      <c r="R2982" s="9">
        <f>IF(Q2982="","",$K2982&amp;"")</f>
        <v/>
      </c>
      <c r="S2982" s="9">
        <f>IF(Q2982="","",IF(MATCH(R2982,$R$5:$R$100000,0)=ROW()-4,ROW(),""))</f>
        <v/>
      </c>
      <c r="T2982" s="9">
        <f>IF(Q2982="당기",ABS(P2982)+ROW()/1000000000,"")</f>
        <v/>
      </c>
      <c r="U2982" s="9">
        <f>IF(Q2982="비교",ABS(P2982)+ROW()/1000000000,"")</f>
        <v/>
      </c>
      <c r="V2982" s="64">
        <f>IF($A2982="","",IF(COUNTIF(변동분석!$E$7:$E$506,O2982)&gt;0,"Y","N"))</f>
        <v/>
      </c>
      <c r="W2982" s="64">
        <f>IF($A2982="","",IFERROR(INDEX(계정매핑!$D$5:$D$504,MATCH($F2982&amp;"",계정매핑!$A$5:$A$504,0)),"미매핑"))</f>
        <v/>
      </c>
      <c r="X2982" s="9">
        <f>IF($A2982="","",$F2982&amp;"")</f>
        <v/>
      </c>
      <c r="Y2982" s="94">
        <f>IF($A2982="",0,IF(AE2982="직접",IF(AF2982="비귀속",$P2982,0),$P2982*(1-AG2982)*IFERROR(INDEX(계정대체기준!$F$20:$F$49,MATCH($N2982,계정대체기준!$A$20:$A$49,0)),1)))</f>
        <v/>
      </c>
      <c r="Z2982" s="94">
        <f>IF($A2982="",0,IF(AE2982="직접",IF(AF2982="신계약비",$P2982,0),$P2982*(1-AG2982)*IFERROR(INDEX(계정대체기준!$C$20:$C$49,MATCH($N2982,계정대체기준!$A$20:$A$49,0)),0)))</f>
        <v/>
      </c>
      <c r="AA2982" s="94">
        <f>IF($A2982="",0,IF(AE2982="직접",IF(OR(AF2982="유지비",AF2982="손해조사비"),$P2982,0),$P2982*(1-AG2982)*IFERROR(INDEX(계정대체기준!$D$20:$D$49,MATCH($N2982,계정대체기준!$A$20:$A$49,0)),0)))</f>
        <v/>
      </c>
      <c r="AB2982" s="94">
        <f>IF($A2982="",0,IF(AE2982="직접",IF(AF2982="수금비",$P2982,0),$P2982*(1-AG2982)*IFERROR(INDEX(계정대체기준!$E$20:$E$49,MATCH($N2982,계정대체기준!$A$20:$A$49,0)),0)))</f>
        <v/>
      </c>
      <c r="AC2982" s="9">
        <f>IF(AND($A2982&lt;&gt;"",M2982=설정!$C$20,Z2982&gt;0),Z2982+ROW()/1000000000,"")</f>
        <v/>
      </c>
      <c r="AD2982" s="94">
        <f>IF($A2982="",0,$P2982*AG2982)</f>
        <v/>
      </c>
      <c r="AE2982" s="64">
        <f>IF($A2982="","",IFERROR(INDEX(계정매핑!$E$5:$E$504,MATCH($F2982&amp;"",계정매핑!$A$5:$A$504,0))&amp;"","공통비"))</f>
        <v/>
      </c>
      <c r="AF2982" s="64">
        <f>IF($A2982="","",IF(AE2982="직접",IFERROR(INDEX(계정매핑!$F$5:$F$504,MATCH($F2982&amp;"",계정매핑!$A$5:$A$504,0))&amp;"","비귀속"),""))</f>
        <v/>
      </c>
      <c r="AG2982" s="96">
        <f>IF($A2982="",0,IF(AND(AE2982&lt;&gt;"직접",IFERROR(INDEX(계정매핑!$G$5:$G$504,MATCH($F2982&amp;"",계정매핑!$A$5:$A$504,0))&amp;"","")="유지비",COUNTIF(계정대체기준!$A$6:$A$15,$N2982)&gt;0),IFERROR(INDEX(계정대체기준!$E$6:$E$15,MATCH(VALUE($A2982&amp;""),계정대체기준!$D$6:$D$15,0)),0),0))</f>
        <v/>
      </c>
      <c r="AH2982" s="64">
        <f>IF($A2982="","",IF(AD2982=0,"",IF(OR(COUNTIF(계정대체기준!$A$77:$A$86,$N2982)&gt;0,ISNUMBER(MATCH($X2982,계정대체기준!$D$77:$D$86,0)),ISNUMBER(MATCH($F2982,계정대체기준!$D$77:$D$86,0))),"Y","N")))</f>
        <v/>
      </c>
    </row>
    <row r="2983">
      <c r="A2983" s="92" t="n">
        <v>2026</v>
      </c>
      <c r="B2983" s="92" t="n">
        <v>2</v>
      </c>
      <c r="C2983" s="92" t="inlineStr">
        <is>
          <t>5100000261</t>
        </is>
      </c>
      <c r="D2983" s="95" t="n">
        <v>46058</v>
      </c>
      <c r="E2983" s="92" t="inlineStr">
        <is>
          <t>KR</t>
        </is>
      </c>
      <c r="F2983" s="92" t="n">
        <v>62801000</v>
      </c>
      <c r="G2983" s="92" t="n">
        <v>1301</v>
      </c>
      <c r="H2983" s="93" t="n">
        <v>3925000</v>
      </c>
      <c r="I2983" s="92" t="inlineStr">
        <is>
          <t>2월 사내교육 - U에듀</t>
        </is>
      </c>
      <c r="J2983" s="92" t="inlineStr">
        <is>
          <t>V10031</t>
        </is>
      </c>
      <c r="K2983" s="92" t="inlineStr">
        <is>
          <t>U에듀</t>
        </is>
      </c>
      <c r="M2983" s="9">
        <f>IF($A2983="","",VALUE($A2983&amp;"")*12+VALUE($B2983&amp;""))</f>
        <v/>
      </c>
      <c r="N2983" s="64">
        <f>IF($A2983="","",IFERROR(INDEX(부서매핑!$C$5:$C$504,MATCH($G2983&amp;"",부서매핑!$A$5:$A$504,0)),"미매핑"))</f>
        <v/>
      </c>
      <c r="O2983" s="9">
        <f>IF($A2983="","",N2983&amp;"|"&amp;$F2983)</f>
        <v/>
      </c>
      <c r="P2983" s="94">
        <f>IF($A2983="",0,$H2983*설정!$C$23)</f>
        <v/>
      </c>
      <c r="Q2983" s="64">
        <f>IF($A2983="","",IF(O2983&lt;&gt;원인분석!$C$9,"",IF(AND(M2983&gt;=원인분석!$C$10,M2983&lt;=원인분석!$C$11),"당기",IF(AND(M2983&gt;=원인분석!$C$12,M2983&lt;=원인분석!$C$13),"비교",""))))</f>
        <v/>
      </c>
      <c r="R2983" s="9">
        <f>IF(Q2983="","",$K2983&amp;"")</f>
        <v/>
      </c>
      <c r="S2983" s="9">
        <f>IF(Q2983="","",IF(MATCH(R2983,$R$5:$R$100000,0)=ROW()-4,ROW(),""))</f>
        <v/>
      </c>
      <c r="T2983" s="9">
        <f>IF(Q2983="당기",ABS(P2983)+ROW()/1000000000,"")</f>
        <v/>
      </c>
      <c r="U2983" s="9">
        <f>IF(Q2983="비교",ABS(P2983)+ROW()/1000000000,"")</f>
        <v/>
      </c>
      <c r="V2983" s="64">
        <f>IF($A2983="","",IF(COUNTIF(변동분석!$E$7:$E$506,O2983)&gt;0,"Y","N"))</f>
        <v/>
      </c>
      <c r="W2983" s="64">
        <f>IF($A2983="","",IFERROR(INDEX(계정매핑!$D$5:$D$504,MATCH($F2983&amp;"",계정매핑!$A$5:$A$504,0)),"미매핑"))</f>
        <v/>
      </c>
      <c r="X2983" s="9">
        <f>IF($A2983="","",$F2983&amp;"")</f>
        <v/>
      </c>
      <c r="Y2983" s="94">
        <f>IF($A2983="",0,IF(AE2983="직접",IF(AF2983="비귀속",$P2983,0),$P2983*(1-AG2983)*IFERROR(INDEX(계정대체기준!$F$20:$F$49,MATCH($N2983,계정대체기준!$A$20:$A$49,0)),1)))</f>
        <v/>
      </c>
      <c r="Z2983" s="94">
        <f>IF($A2983="",0,IF(AE2983="직접",IF(AF2983="신계약비",$P2983,0),$P2983*(1-AG2983)*IFERROR(INDEX(계정대체기준!$C$20:$C$49,MATCH($N2983,계정대체기준!$A$20:$A$49,0)),0)))</f>
        <v/>
      </c>
      <c r="AA2983" s="94">
        <f>IF($A2983="",0,IF(AE2983="직접",IF(OR(AF2983="유지비",AF2983="손해조사비"),$P2983,0),$P2983*(1-AG2983)*IFERROR(INDEX(계정대체기준!$D$20:$D$49,MATCH($N2983,계정대체기준!$A$20:$A$49,0)),0)))</f>
        <v/>
      </c>
      <c r="AB2983" s="94">
        <f>IF($A2983="",0,IF(AE2983="직접",IF(AF2983="수금비",$P2983,0),$P2983*(1-AG2983)*IFERROR(INDEX(계정대체기준!$E$20:$E$49,MATCH($N2983,계정대체기준!$A$20:$A$49,0)),0)))</f>
        <v/>
      </c>
      <c r="AC2983" s="9">
        <f>IF(AND($A2983&lt;&gt;"",M2983=설정!$C$20,Z2983&gt;0),Z2983+ROW()/1000000000,"")</f>
        <v/>
      </c>
      <c r="AD2983" s="94">
        <f>IF($A2983="",0,$P2983*AG2983)</f>
        <v/>
      </c>
      <c r="AE2983" s="64">
        <f>IF($A2983="","",IFERROR(INDEX(계정매핑!$E$5:$E$504,MATCH($F2983&amp;"",계정매핑!$A$5:$A$504,0))&amp;"","공통비"))</f>
        <v/>
      </c>
      <c r="AF2983" s="64">
        <f>IF($A2983="","",IF(AE2983="직접",IFERROR(INDEX(계정매핑!$F$5:$F$504,MATCH($F2983&amp;"",계정매핑!$A$5:$A$504,0))&amp;"","비귀속"),""))</f>
        <v/>
      </c>
      <c r="AG2983" s="96">
        <f>IF($A2983="",0,IF(AND(AE2983&lt;&gt;"직접",IFERROR(INDEX(계정매핑!$G$5:$G$504,MATCH($F2983&amp;"",계정매핑!$A$5:$A$504,0))&amp;"","")="유지비",COUNTIF(계정대체기준!$A$6:$A$15,$N2983)&gt;0),IFERROR(INDEX(계정대체기준!$E$6:$E$15,MATCH(VALUE($A2983&amp;""),계정대체기준!$D$6:$D$15,0)),0),0))</f>
        <v/>
      </c>
      <c r="AH2983" s="64">
        <f>IF($A2983="","",IF(AD2983=0,"",IF(OR(COUNTIF(계정대체기준!$A$77:$A$86,$N2983)&gt;0,ISNUMBER(MATCH($X2983,계정대체기준!$D$77:$D$86,0)),ISNUMBER(MATCH($F2983,계정대체기준!$D$77:$D$86,0))),"Y","N")))</f>
        <v/>
      </c>
    </row>
    <row r="2984">
      <c r="A2984" s="92" t="n">
        <v>2026</v>
      </c>
      <c r="B2984" s="92" t="n">
        <v>2</v>
      </c>
      <c r="C2984" s="92" t="inlineStr">
        <is>
          <t>5100000262</t>
        </is>
      </c>
      <c r="D2984" s="95" t="n">
        <v>46058</v>
      </c>
      <c r="E2984" s="92" t="inlineStr">
        <is>
          <t>KR</t>
        </is>
      </c>
      <c r="F2984" s="92" t="n">
        <v>62902000</v>
      </c>
      <c r="G2984" s="92" t="n">
        <v>1801</v>
      </c>
      <c r="H2984" s="93" t="n">
        <v>1818000</v>
      </c>
      <c r="I2984" s="92" t="inlineStr">
        <is>
          <t>2월 콜 위탁 수수료(건별)</t>
        </is>
      </c>
      <c r="J2984" s="92" t="inlineStr">
        <is>
          <t>V10016</t>
        </is>
      </c>
      <c r="K2984" s="92" t="inlineStr">
        <is>
          <t>J콜센터</t>
        </is>
      </c>
      <c r="M2984" s="9">
        <f>IF($A2984="","",VALUE($A2984&amp;"")*12+VALUE($B2984&amp;""))</f>
        <v/>
      </c>
      <c r="N2984" s="64">
        <f>IF($A2984="","",IFERROR(INDEX(부서매핑!$C$5:$C$504,MATCH($G2984&amp;"",부서매핑!$A$5:$A$504,0)),"미매핑"))</f>
        <v/>
      </c>
      <c r="O2984" s="9">
        <f>IF($A2984="","",N2984&amp;"|"&amp;$F2984)</f>
        <v/>
      </c>
      <c r="P2984" s="94">
        <f>IF($A2984="",0,$H2984*설정!$C$23)</f>
        <v/>
      </c>
      <c r="Q2984" s="64">
        <f>IF($A2984="","",IF(O2984&lt;&gt;원인분석!$C$9,"",IF(AND(M2984&gt;=원인분석!$C$10,M2984&lt;=원인분석!$C$11),"당기",IF(AND(M2984&gt;=원인분석!$C$12,M2984&lt;=원인분석!$C$13),"비교",""))))</f>
        <v/>
      </c>
      <c r="R2984" s="9">
        <f>IF(Q2984="","",$K2984&amp;"")</f>
        <v/>
      </c>
      <c r="S2984" s="9">
        <f>IF(Q2984="","",IF(MATCH(R2984,$R$5:$R$100000,0)=ROW()-4,ROW(),""))</f>
        <v/>
      </c>
      <c r="T2984" s="9">
        <f>IF(Q2984="당기",ABS(P2984)+ROW()/1000000000,"")</f>
        <v/>
      </c>
      <c r="U2984" s="9">
        <f>IF(Q2984="비교",ABS(P2984)+ROW()/1000000000,"")</f>
        <v/>
      </c>
      <c r="V2984" s="64">
        <f>IF($A2984="","",IF(COUNTIF(변동분석!$E$7:$E$506,O2984)&gt;0,"Y","N"))</f>
        <v/>
      </c>
      <c r="W2984" s="64">
        <f>IF($A2984="","",IFERROR(INDEX(계정매핑!$D$5:$D$504,MATCH($F2984&amp;"",계정매핑!$A$5:$A$504,0)),"미매핑"))</f>
        <v/>
      </c>
      <c r="X2984" s="9">
        <f>IF($A2984="","",$F2984&amp;"")</f>
        <v/>
      </c>
      <c r="Y2984" s="94">
        <f>IF($A2984="",0,IF(AE2984="직접",IF(AF2984="비귀속",$P2984,0),$P2984*(1-AG2984)*IFERROR(INDEX(계정대체기준!$F$20:$F$49,MATCH($N2984,계정대체기준!$A$20:$A$49,0)),1)))</f>
        <v/>
      </c>
      <c r="Z2984" s="94">
        <f>IF($A2984="",0,IF(AE2984="직접",IF(AF2984="신계약비",$P2984,0),$P2984*(1-AG2984)*IFERROR(INDEX(계정대체기준!$C$20:$C$49,MATCH($N2984,계정대체기준!$A$20:$A$49,0)),0)))</f>
        <v/>
      </c>
      <c r="AA2984" s="94">
        <f>IF($A2984="",0,IF(AE2984="직접",IF(OR(AF2984="유지비",AF2984="손해조사비"),$P2984,0),$P2984*(1-AG2984)*IFERROR(INDEX(계정대체기준!$D$20:$D$49,MATCH($N2984,계정대체기준!$A$20:$A$49,0)),0)))</f>
        <v/>
      </c>
      <c r="AB2984" s="94">
        <f>IF($A2984="",0,IF(AE2984="직접",IF(AF2984="수금비",$P2984,0),$P2984*(1-AG2984)*IFERROR(INDEX(계정대체기준!$E$20:$E$49,MATCH($N2984,계정대체기준!$A$20:$A$49,0)),0)))</f>
        <v/>
      </c>
      <c r="AC2984" s="9">
        <f>IF(AND($A2984&lt;&gt;"",M2984=설정!$C$20,Z2984&gt;0),Z2984+ROW()/1000000000,"")</f>
        <v/>
      </c>
      <c r="AD2984" s="94">
        <f>IF($A2984="",0,$P2984*AG2984)</f>
        <v/>
      </c>
      <c r="AE2984" s="64">
        <f>IF($A2984="","",IFERROR(INDEX(계정매핑!$E$5:$E$504,MATCH($F2984&amp;"",계정매핑!$A$5:$A$504,0))&amp;"","공통비"))</f>
        <v/>
      </c>
      <c r="AF2984" s="64">
        <f>IF($A2984="","",IF(AE2984="직접",IFERROR(INDEX(계정매핑!$F$5:$F$504,MATCH($F2984&amp;"",계정매핑!$A$5:$A$504,0))&amp;"","비귀속"),""))</f>
        <v/>
      </c>
      <c r="AG2984" s="96">
        <f>IF($A2984="",0,IF(AND(AE2984&lt;&gt;"직접",IFERROR(INDEX(계정매핑!$G$5:$G$504,MATCH($F2984&amp;"",계정매핑!$A$5:$A$504,0))&amp;"","")="유지비",COUNTIF(계정대체기준!$A$6:$A$15,$N2984)&gt;0),IFERROR(INDEX(계정대체기준!$E$6:$E$15,MATCH(VALUE($A2984&amp;""),계정대체기준!$D$6:$D$15,0)),0),0))</f>
        <v/>
      </c>
      <c r="AH2984" s="64">
        <f>IF($A2984="","",IF(AD2984=0,"",IF(OR(COUNTIF(계정대체기준!$A$77:$A$86,$N2984)&gt;0,ISNUMBER(MATCH($X2984,계정대체기준!$D$77:$D$86,0)),ISNUMBER(MATCH($F2984,계정대체기준!$D$77:$D$86,0))),"Y","N")))</f>
        <v/>
      </c>
    </row>
    <row r="2985">
      <c r="A2985" s="92" t="n">
        <v>2026</v>
      </c>
      <c r="B2985" s="92" t="n">
        <v>2</v>
      </c>
      <c r="C2985" s="92" t="inlineStr">
        <is>
          <t>5100000263</t>
        </is>
      </c>
      <c r="D2985" s="95" t="n">
        <v>46058</v>
      </c>
      <c r="E2985" s="92" t="inlineStr">
        <is>
          <t>KR</t>
        </is>
      </c>
      <c r="F2985" s="92" t="n">
        <v>63001000</v>
      </c>
      <c r="G2985" s="92" t="n">
        <v>1951</v>
      </c>
      <c r="H2985" s="93" t="n">
        <v>4563000</v>
      </c>
      <c r="I2985" s="92" t="inlineStr">
        <is>
          <t>2월 SW 유지보수 - Y소프트</t>
        </is>
      </c>
      <c r="J2985" s="92" t="inlineStr">
        <is>
          <t>V10017</t>
        </is>
      </c>
      <c r="K2985" s="92" t="inlineStr">
        <is>
          <t>Y소프트</t>
        </is>
      </c>
      <c r="M2985" s="9">
        <f>IF($A2985="","",VALUE($A2985&amp;"")*12+VALUE($B2985&amp;""))</f>
        <v/>
      </c>
      <c r="N2985" s="64">
        <f>IF($A2985="","",IFERROR(INDEX(부서매핑!$C$5:$C$504,MATCH($G2985&amp;"",부서매핑!$A$5:$A$504,0)),"미매핑"))</f>
        <v/>
      </c>
      <c r="O2985" s="9">
        <f>IF($A2985="","",N2985&amp;"|"&amp;$F2985)</f>
        <v/>
      </c>
      <c r="P2985" s="94">
        <f>IF($A2985="",0,$H2985*설정!$C$23)</f>
        <v/>
      </c>
      <c r="Q2985" s="64">
        <f>IF($A2985="","",IF(O2985&lt;&gt;원인분석!$C$9,"",IF(AND(M2985&gt;=원인분석!$C$10,M2985&lt;=원인분석!$C$11),"당기",IF(AND(M2985&gt;=원인분석!$C$12,M2985&lt;=원인분석!$C$13),"비교",""))))</f>
        <v/>
      </c>
      <c r="R2985" s="9">
        <f>IF(Q2985="","",$K2985&amp;"")</f>
        <v/>
      </c>
      <c r="S2985" s="9">
        <f>IF(Q2985="","",IF(MATCH(R2985,$R$5:$R$100000,0)=ROW()-4,ROW(),""))</f>
        <v/>
      </c>
      <c r="T2985" s="9">
        <f>IF(Q2985="당기",ABS(P2985)+ROW()/1000000000,"")</f>
        <v/>
      </c>
      <c r="U2985" s="9">
        <f>IF(Q2985="비교",ABS(P2985)+ROW()/1000000000,"")</f>
        <v/>
      </c>
      <c r="V2985" s="64">
        <f>IF($A2985="","",IF(COUNTIF(변동분석!$E$7:$E$506,O2985)&gt;0,"Y","N"))</f>
        <v/>
      </c>
      <c r="W2985" s="64">
        <f>IF($A2985="","",IFERROR(INDEX(계정매핑!$D$5:$D$504,MATCH($F2985&amp;"",계정매핑!$A$5:$A$504,0)),"미매핑"))</f>
        <v/>
      </c>
      <c r="X2985" s="9">
        <f>IF($A2985="","",$F2985&amp;"")</f>
        <v/>
      </c>
      <c r="Y2985" s="94">
        <f>IF($A2985="",0,IF(AE2985="직접",IF(AF2985="비귀속",$P2985,0),$P2985*(1-AG2985)*IFERROR(INDEX(계정대체기준!$F$20:$F$49,MATCH($N2985,계정대체기준!$A$20:$A$49,0)),1)))</f>
        <v/>
      </c>
      <c r="Z2985" s="94">
        <f>IF($A2985="",0,IF(AE2985="직접",IF(AF2985="신계약비",$P2985,0),$P2985*(1-AG2985)*IFERROR(INDEX(계정대체기준!$C$20:$C$49,MATCH($N2985,계정대체기준!$A$20:$A$49,0)),0)))</f>
        <v/>
      </c>
      <c r="AA2985" s="94">
        <f>IF($A2985="",0,IF(AE2985="직접",IF(OR(AF2985="유지비",AF2985="손해조사비"),$P2985,0),$P2985*(1-AG2985)*IFERROR(INDEX(계정대체기준!$D$20:$D$49,MATCH($N2985,계정대체기준!$A$20:$A$49,0)),0)))</f>
        <v/>
      </c>
      <c r="AB2985" s="94">
        <f>IF($A2985="",0,IF(AE2985="직접",IF(AF2985="수금비",$P2985,0),$P2985*(1-AG2985)*IFERROR(INDEX(계정대체기준!$E$20:$E$49,MATCH($N2985,계정대체기준!$A$20:$A$49,0)),0)))</f>
        <v/>
      </c>
      <c r="AC2985" s="9">
        <f>IF(AND($A2985&lt;&gt;"",M2985=설정!$C$20,Z2985&gt;0),Z2985+ROW()/1000000000,"")</f>
        <v/>
      </c>
      <c r="AD2985" s="94">
        <f>IF($A2985="",0,$P2985*AG2985)</f>
        <v/>
      </c>
      <c r="AE2985" s="64">
        <f>IF($A2985="","",IFERROR(INDEX(계정매핑!$E$5:$E$504,MATCH($F2985&amp;"",계정매핑!$A$5:$A$504,0))&amp;"","공통비"))</f>
        <v/>
      </c>
      <c r="AF2985" s="64">
        <f>IF($A2985="","",IF(AE2985="직접",IFERROR(INDEX(계정매핑!$F$5:$F$504,MATCH($F2985&amp;"",계정매핑!$A$5:$A$504,0))&amp;"","비귀속"),""))</f>
        <v/>
      </c>
      <c r="AG2985" s="96">
        <f>IF($A2985="",0,IF(AND(AE2985&lt;&gt;"직접",IFERROR(INDEX(계정매핑!$G$5:$G$504,MATCH($F2985&amp;"",계정매핑!$A$5:$A$504,0))&amp;"","")="유지비",COUNTIF(계정대체기준!$A$6:$A$15,$N2985)&gt;0),IFERROR(INDEX(계정대체기준!$E$6:$E$15,MATCH(VALUE($A2985&amp;""),계정대체기준!$D$6:$D$15,0)),0),0))</f>
        <v/>
      </c>
      <c r="AH2985" s="64">
        <f>IF($A2985="","",IF(AD2985=0,"",IF(OR(COUNTIF(계정대체기준!$A$77:$A$86,$N2985)&gt;0,ISNUMBER(MATCH($X2985,계정대체기준!$D$77:$D$86,0)),ISNUMBER(MATCH($F2985,계정대체기준!$D$77:$D$86,0))),"Y","N")))</f>
        <v/>
      </c>
    </row>
    <row r="2986">
      <c r="A2986" s="92" t="n">
        <v>2026</v>
      </c>
      <c r="B2986" s="92" t="n">
        <v>2</v>
      </c>
      <c r="C2986" s="92" t="inlineStr">
        <is>
          <t>5100000264</t>
        </is>
      </c>
      <c r="D2986" s="95" t="n">
        <v>46058</v>
      </c>
      <c r="E2986" s="92" t="inlineStr">
        <is>
          <t>KR</t>
        </is>
      </c>
      <c r="F2986" s="92" t="n">
        <v>63502000</v>
      </c>
      <c r="G2986" s="92" t="n">
        <v>1902</v>
      </c>
      <c r="H2986" s="93" t="n">
        <v>115489000</v>
      </c>
      <c r="I2986" s="92" t="inlineStr">
        <is>
          <t>2월 유지수수료 - (전속설계사)</t>
        </is>
      </c>
      <c r="J2986" s="92" t="inlineStr">
        <is>
          <t>V10021</t>
        </is>
      </c>
      <c r="K2986" s="92" t="inlineStr">
        <is>
          <t>(전속설계사)</t>
        </is>
      </c>
      <c r="M2986" s="9">
        <f>IF($A2986="","",VALUE($A2986&amp;"")*12+VALUE($B2986&amp;""))</f>
        <v/>
      </c>
      <c r="N2986" s="64">
        <f>IF($A2986="","",IFERROR(INDEX(부서매핑!$C$5:$C$504,MATCH($G2986&amp;"",부서매핑!$A$5:$A$504,0)),"미매핑"))</f>
        <v/>
      </c>
      <c r="O2986" s="9">
        <f>IF($A2986="","",N2986&amp;"|"&amp;$F2986)</f>
        <v/>
      </c>
      <c r="P2986" s="94">
        <f>IF($A2986="",0,$H2986*설정!$C$23)</f>
        <v/>
      </c>
      <c r="Q2986" s="64">
        <f>IF($A2986="","",IF(O2986&lt;&gt;원인분석!$C$9,"",IF(AND(M2986&gt;=원인분석!$C$10,M2986&lt;=원인분석!$C$11),"당기",IF(AND(M2986&gt;=원인분석!$C$12,M2986&lt;=원인분석!$C$13),"비교",""))))</f>
        <v/>
      </c>
      <c r="R2986" s="9">
        <f>IF(Q2986="","",$K2986&amp;"")</f>
        <v/>
      </c>
      <c r="S2986" s="9">
        <f>IF(Q2986="","",IF(MATCH(R2986,$R$5:$R$100000,0)=ROW()-4,ROW(),""))</f>
        <v/>
      </c>
      <c r="T2986" s="9">
        <f>IF(Q2986="당기",ABS(P2986)+ROW()/1000000000,"")</f>
        <v/>
      </c>
      <c r="U2986" s="9">
        <f>IF(Q2986="비교",ABS(P2986)+ROW()/1000000000,"")</f>
        <v/>
      </c>
      <c r="V2986" s="64">
        <f>IF($A2986="","",IF(COUNTIF(변동분석!$E$7:$E$506,O2986)&gt;0,"Y","N"))</f>
        <v/>
      </c>
      <c r="W2986" s="64">
        <f>IF($A2986="","",IFERROR(INDEX(계정매핑!$D$5:$D$504,MATCH($F2986&amp;"",계정매핑!$A$5:$A$504,0)),"미매핑"))</f>
        <v/>
      </c>
      <c r="X2986" s="9">
        <f>IF($A2986="","",$F2986&amp;"")</f>
        <v/>
      </c>
      <c r="Y2986" s="94">
        <f>IF($A2986="",0,IF(AE2986="직접",IF(AF2986="비귀속",$P2986,0),$P2986*(1-AG2986)*IFERROR(INDEX(계정대체기준!$F$20:$F$49,MATCH($N2986,계정대체기준!$A$20:$A$49,0)),1)))</f>
        <v/>
      </c>
      <c r="Z2986" s="94">
        <f>IF($A2986="",0,IF(AE2986="직접",IF(AF2986="신계약비",$P2986,0),$P2986*(1-AG2986)*IFERROR(INDEX(계정대체기준!$C$20:$C$49,MATCH($N2986,계정대체기준!$A$20:$A$49,0)),0)))</f>
        <v/>
      </c>
      <c r="AA2986" s="94">
        <f>IF($A2986="",0,IF(AE2986="직접",IF(OR(AF2986="유지비",AF2986="손해조사비"),$P2986,0),$P2986*(1-AG2986)*IFERROR(INDEX(계정대체기준!$D$20:$D$49,MATCH($N2986,계정대체기준!$A$20:$A$49,0)),0)))</f>
        <v/>
      </c>
      <c r="AB2986" s="94">
        <f>IF($A2986="",0,IF(AE2986="직접",IF(AF2986="수금비",$P2986,0),$P2986*(1-AG2986)*IFERROR(INDEX(계정대체기준!$E$20:$E$49,MATCH($N2986,계정대체기준!$A$20:$A$49,0)),0)))</f>
        <v/>
      </c>
      <c r="AC2986" s="9">
        <f>IF(AND($A2986&lt;&gt;"",M2986=설정!$C$20,Z2986&gt;0),Z2986+ROW()/1000000000,"")</f>
        <v/>
      </c>
      <c r="AD2986" s="94">
        <f>IF($A2986="",0,$P2986*AG2986)</f>
        <v/>
      </c>
      <c r="AE2986" s="64">
        <f>IF($A2986="","",IFERROR(INDEX(계정매핑!$E$5:$E$504,MATCH($F2986&amp;"",계정매핑!$A$5:$A$504,0))&amp;"","공통비"))</f>
        <v/>
      </c>
      <c r="AF2986" s="64">
        <f>IF($A2986="","",IF(AE2986="직접",IFERROR(INDEX(계정매핑!$F$5:$F$504,MATCH($F2986&amp;"",계정매핑!$A$5:$A$504,0))&amp;"","비귀속"),""))</f>
        <v/>
      </c>
      <c r="AG2986" s="96">
        <f>IF($A2986="",0,IF(AND(AE2986&lt;&gt;"직접",IFERROR(INDEX(계정매핑!$G$5:$G$504,MATCH($F2986&amp;"",계정매핑!$A$5:$A$504,0))&amp;"","")="유지비",COUNTIF(계정대체기준!$A$6:$A$15,$N2986)&gt;0),IFERROR(INDEX(계정대체기준!$E$6:$E$15,MATCH(VALUE($A2986&amp;""),계정대체기준!$D$6:$D$15,0)),0),0))</f>
        <v/>
      </c>
      <c r="AH2986" s="64">
        <f>IF($A2986="","",IF(AD2986=0,"",IF(OR(COUNTIF(계정대체기준!$A$77:$A$86,$N2986)&gt;0,ISNUMBER(MATCH($X2986,계정대체기준!$D$77:$D$86,0)),ISNUMBER(MATCH($F2986,계정대체기준!$D$77:$D$86,0))),"Y","N")))</f>
        <v/>
      </c>
    </row>
    <row r="2987">
      <c r="A2987" s="92" t="n">
        <v>2026</v>
      </c>
      <c r="B2987" s="92" t="n">
        <v>2</v>
      </c>
      <c r="C2987" s="92" t="inlineStr">
        <is>
          <t>5100000265</t>
        </is>
      </c>
      <c r="D2987" s="95" t="n">
        <v>46059</v>
      </c>
      <c r="E2987" s="92" t="inlineStr">
        <is>
          <t>KR</t>
        </is>
      </c>
      <c r="F2987" s="92" t="n">
        <v>62101000</v>
      </c>
      <c r="G2987" s="92" t="n">
        <v>1401</v>
      </c>
      <c r="H2987" s="93" t="n">
        <v>484000</v>
      </c>
      <c r="I2987" s="92" t="inlineStr">
        <is>
          <t>2월 국내출장 - L여행사</t>
        </is>
      </c>
      <c r="J2987" s="92" t="inlineStr">
        <is>
          <t>V10018</t>
        </is>
      </c>
      <c r="K2987" s="92" t="inlineStr">
        <is>
          <t>L여행사</t>
        </is>
      </c>
      <c r="M2987" s="9">
        <f>IF($A2987="","",VALUE($A2987&amp;"")*12+VALUE($B2987&amp;""))</f>
        <v/>
      </c>
      <c r="N2987" s="64">
        <f>IF($A2987="","",IFERROR(INDEX(부서매핑!$C$5:$C$504,MATCH($G2987&amp;"",부서매핑!$A$5:$A$504,0)),"미매핑"))</f>
        <v/>
      </c>
      <c r="O2987" s="9">
        <f>IF($A2987="","",N2987&amp;"|"&amp;$F2987)</f>
        <v/>
      </c>
      <c r="P2987" s="94">
        <f>IF($A2987="",0,$H2987*설정!$C$23)</f>
        <v/>
      </c>
      <c r="Q2987" s="64">
        <f>IF($A2987="","",IF(O2987&lt;&gt;원인분석!$C$9,"",IF(AND(M2987&gt;=원인분석!$C$10,M2987&lt;=원인분석!$C$11),"당기",IF(AND(M2987&gt;=원인분석!$C$12,M2987&lt;=원인분석!$C$13),"비교",""))))</f>
        <v/>
      </c>
      <c r="R2987" s="9">
        <f>IF(Q2987="","",$K2987&amp;"")</f>
        <v/>
      </c>
      <c r="S2987" s="9">
        <f>IF(Q2987="","",IF(MATCH(R2987,$R$5:$R$100000,0)=ROW()-4,ROW(),""))</f>
        <v/>
      </c>
      <c r="T2987" s="9">
        <f>IF(Q2987="당기",ABS(P2987)+ROW()/1000000000,"")</f>
        <v/>
      </c>
      <c r="U2987" s="9">
        <f>IF(Q2987="비교",ABS(P2987)+ROW()/1000000000,"")</f>
        <v/>
      </c>
      <c r="V2987" s="64">
        <f>IF($A2987="","",IF(COUNTIF(변동분석!$E$7:$E$506,O2987)&gt;0,"Y","N"))</f>
        <v/>
      </c>
      <c r="W2987" s="64">
        <f>IF($A2987="","",IFERROR(INDEX(계정매핑!$D$5:$D$504,MATCH($F2987&amp;"",계정매핑!$A$5:$A$504,0)),"미매핑"))</f>
        <v/>
      </c>
      <c r="X2987" s="9">
        <f>IF($A2987="","",$F2987&amp;"")</f>
        <v/>
      </c>
      <c r="Y2987" s="94">
        <f>IF($A2987="",0,IF(AE2987="직접",IF(AF2987="비귀속",$P2987,0),$P2987*(1-AG2987)*IFERROR(INDEX(계정대체기준!$F$20:$F$49,MATCH($N2987,계정대체기준!$A$20:$A$49,0)),1)))</f>
        <v/>
      </c>
      <c r="Z2987" s="94">
        <f>IF($A2987="",0,IF(AE2987="직접",IF(AF2987="신계약비",$P2987,0),$P2987*(1-AG2987)*IFERROR(INDEX(계정대체기준!$C$20:$C$49,MATCH($N2987,계정대체기준!$A$20:$A$49,0)),0)))</f>
        <v/>
      </c>
      <c r="AA2987" s="94">
        <f>IF($A2987="",0,IF(AE2987="직접",IF(OR(AF2987="유지비",AF2987="손해조사비"),$P2987,0),$P2987*(1-AG2987)*IFERROR(INDEX(계정대체기준!$D$20:$D$49,MATCH($N2987,계정대체기준!$A$20:$A$49,0)),0)))</f>
        <v/>
      </c>
      <c r="AB2987" s="94">
        <f>IF($A2987="",0,IF(AE2987="직접",IF(AF2987="수금비",$P2987,0),$P2987*(1-AG2987)*IFERROR(INDEX(계정대체기준!$E$20:$E$49,MATCH($N2987,계정대체기준!$A$20:$A$49,0)),0)))</f>
        <v/>
      </c>
      <c r="AC2987" s="9">
        <f>IF(AND($A2987&lt;&gt;"",M2987=설정!$C$20,Z2987&gt;0),Z2987+ROW()/1000000000,"")</f>
        <v/>
      </c>
      <c r="AD2987" s="94">
        <f>IF($A2987="",0,$P2987*AG2987)</f>
        <v/>
      </c>
      <c r="AE2987" s="64">
        <f>IF($A2987="","",IFERROR(INDEX(계정매핑!$E$5:$E$504,MATCH($F2987&amp;"",계정매핑!$A$5:$A$504,0))&amp;"","공통비"))</f>
        <v/>
      </c>
      <c r="AF2987" s="64">
        <f>IF($A2987="","",IF(AE2987="직접",IFERROR(INDEX(계정매핑!$F$5:$F$504,MATCH($F2987&amp;"",계정매핑!$A$5:$A$504,0))&amp;"","비귀속"),""))</f>
        <v/>
      </c>
      <c r="AG2987" s="96">
        <f>IF($A2987="",0,IF(AND(AE2987&lt;&gt;"직접",IFERROR(INDEX(계정매핑!$G$5:$G$504,MATCH($F2987&amp;"",계정매핑!$A$5:$A$504,0))&amp;"","")="유지비",COUNTIF(계정대체기준!$A$6:$A$15,$N2987)&gt;0),IFERROR(INDEX(계정대체기준!$E$6:$E$15,MATCH(VALUE($A2987&amp;""),계정대체기준!$D$6:$D$15,0)),0),0))</f>
        <v/>
      </c>
      <c r="AH2987" s="64">
        <f>IF($A2987="","",IF(AD2987=0,"",IF(OR(COUNTIF(계정대체기준!$A$77:$A$86,$N2987)&gt;0,ISNUMBER(MATCH($X2987,계정대체기준!$D$77:$D$86,0)),ISNUMBER(MATCH($F2987,계정대체기준!$D$77:$D$86,0))),"Y","N")))</f>
        <v/>
      </c>
    </row>
    <row r="2988">
      <c r="A2988" s="92" t="n">
        <v>2026</v>
      </c>
      <c r="B2988" s="92" t="n">
        <v>2</v>
      </c>
      <c r="C2988" s="92" t="inlineStr">
        <is>
          <t>5100000266</t>
        </is>
      </c>
      <c r="D2988" s="95" t="n">
        <v>46059</v>
      </c>
      <c r="E2988" s="92" t="inlineStr">
        <is>
          <t>KR</t>
        </is>
      </c>
      <c r="F2988" s="92" t="n">
        <v>62102000</v>
      </c>
      <c r="G2988" s="92" t="n">
        <v>1701</v>
      </c>
      <c r="H2988" s="93" t="n">
        <v>62000</v>
      </c>
      <c r="I2988" s="92" t="inlineStr">
        <is>
          <t>2월 해외출장 - M항공</t>
        </is>
      </c>
      <c r="J2988" s="92" t="inlineStr">
        <is>
          <t>V10001</t>
        </is>
      </c>
      <c r="K2988" s="92" t="inlineStr">
        <is>
          <t>M항공</t>
        </is>
      </c>
      <c r="M2988" s="9">
        <f>IF($A2988="","",VALUE($A2988&amp;"")*12+VALUE($B2988&amp;""))</f>
        <v/>
      </c>
      <c r="N2988" s="64">
        <f>IF($A2988="","",IFERROR(INDEX(부서매핑!$C$5:$C$504,MATCH($G2988&amp;"",부서매핑!$A$5:$A$504,0)),"미매핑"))</f>
        <v/>
      </c>
      <c r="O2988" s="9">
        <f>IF($A2988="","",N2988&amp;"|"&amp;$F2988)</f>
        <v/>
      </c>
      <c r="P2988" s="94">
        <f>IF($A2988="",0,$H2988*설정!$C$23)</f>
        <v/>
      </c>
      <c r="Q2988" s="64">
        <f>IF($A2988="","",IF(O2988&lt;&gt;원인분석!$C$9,"",IF(AND(M2988&gt;=원인분석!$C$10,M2988&lt;=원인분석!$C$11),"당기",IF(AND(M2988&gt;=원인분석!$C$12,M2988&lt;=원인분석!$C$13),"비교",""))))</f>
        <v/>
      </c>
      <c r="R2988" s="9">
        <f>IF(Q2988="","",$K2988&amp;"")</f>
        <v/>
      </c>
      <c r="S2988" s="9">
        <f>IF(Q2988="","",IF(MATCH(R2988,$R$5:$R$100000,0)=ROW()-4,ROW(),""))</f>
        <v/>
      </c>
      <c r="T2988" s="9">
        <f>IF(Q2988="당기",ABS(P2988)+ROW()/1000000000,"")</f>
        <v/>
      </c>
      <c r="U2988" s="9">
        <f>IF(Q2988="비교",ABS(P2988)+ROW()/1000000000,"")</f>
        <v/>
      </c>
      <c r="V2988" s="64">
        <f>IF($A2988="","",IF(COUNTIF(변동분석!$E$7:$E$506,O2988)&gt;0,"Y","N"))</f>
        <v/>
      </c>
      <c r="W2988" s="64">
        <f>IF($A2988="","",IFERROR(INDEX(계정매핑!$D$5:$D$504,MATCH($F2988&amp;"",계정매핑!$A$5:$A$504,0)),"미매핑"))</f>
        <v/>
      </c>
      <c r="X2988" s="9">
        <f>IF($A2988="","",$F2988&amp;"")</f>
        <v/>
      </c>
      <c r="Y2988" s="94">
        <f>IF($A2988="",0,IF(AE2988="직접",IF(AF2988="비귀속",$P2988,0),$P2988*(1-AG2988)*IFERROR(INDEX(계정대체기준!$F$20:$F$49,MATCH($N2988,계정대체기준!$A$20:$A$49,0)),1)))</f>
        <v/>
      </c>
      <c r="Z2988" s="94">
        <f>IF($A2988="",0,IF(AE2988="직접",IF(AF2988="신계약비",$P2988,0),$P2988*(1-AG2988)*IFERROR(INDEX(계정대체기준!$C$20:$C$49,MATCH($N2988,계정대체기준!$A$20:$A$49,0)),0)))</f>
        <v/>
      </c>
      <c r="AA2988" s="94">
        <f>IF($A2988="",0,IF(AE2988="직접",IF(OR(AF2988="유지비",AF2988="손해조사비"),$P2988,0),$P2988*(1-AG2988)*IFERROR(INDEX(계정대체기준!$D$20:$D$49,MATCH($N2988,계정대체기준!$A$20:$A$49,0)),0)))</f>
        <v/>
      </c>
      <c r="AB2988" s="94">
        <f>IF($A2988="",0,IF(AE2988="직접",IF(AF2988="수금비",$P2988,0),$P2988*(1-AG2988)*IFERROR(INDEX(계정대체기준!$E$20:$E$49,MATCH($N2988,계정대체기준!$A$20:$A$49,0)),0)))</f>
        <v/>
      </c>
      <c r="AC2988" s="9">
        <f>IF(AND($A2988&lt;&gt;"",M2988=설정!$C$20,Z2988&gt;0),Z2988+ROW()/1000000000,"")</f>
        <v/>
      </c>
      <c r="AD2988" s="94">
        <f>IF($A2988="",0,$P2988*AG2988)</f>
        <v/>
      </c>
      <c r="AE2988" s="64">
        <f>IF($A2988="","",IFERROR(INDEX(계정매핑!$E$5:$E$504,MATCH($F2988&amp;"",계정매핑!$A$5:$A$504,0))&amp;"","공통비"))</f>
        <v/>
      </c>
      <c r="AF2988" s="64">
        <f>IF($A2988="","",IF(AE2988="직접",IFERROR(INDEX(계정매핑!$F$5:$F$504,MATCH($F2988&amp;"",계정매핑!$A$5:$A$504,0))&amp;"","비귀속"),""))</f>
        <v/>
      </c>
      <c r="AG2988" s="96">
        <f>IF($A2988="",0,IF(AND(AE2988&lt;&gt;"직접",IFERROR(INDEX(계정매핑!$G$5:$G$504,MATCH($F2988&amp;"",계정매핑!$A$5:$A$504,0))&amp;"","")="유지비",COUNTIF(계정대체기준!$A$6:$A$15,$N2988)&gt;0),IFERROR(INDEX(계정대체기준!$E$6:$E$15,MATCH(VALUE($A2988&amp;""),계정대체기준!$D$6:$D$15,0)),0),0))</f>
        <v/>
      </c>
      <c r="AH2988" s="64">
        <f>IF($A2988="","",IF(AD2988=0,"",IF(OR(COUNTIF(계정대체기준!$A$77:$A$86,$N2988)&gt;0,ISNUMBER(MATCH($X2988,계정대체기준!$D$77:$D$86,0)),ISNUMBER(MATCH($F2988,계정대체기준!$D$77:$D$86,0))),"Y","N")))</f>
        <v/>
      </c>
    </row>
    <row r="2989">
      <c r="A2989" s="92" t="n">
        <v>2026</v>
      </c>
      <c r="B2989" s="92" t="n">
        <v>2</v>
      </c>
      <c r="C2989" s="92" t="inlineStr">
        <is>
          <t>5100000267</t>
        </is>
      </c>
      <c r="D2989" s="95" t="n">
        <v>46059</v>
      </c>
      <c r="E2989" s="92" t="inlineStr">
        <is>
          <t>KR</t>
        </is>
      </c>
      <c r="F2989" s="92" t="n">
        <v>62401000</v>
      </c>
      <c r="G2989" s="92" t="n">
        <v>1401</v>
      </c>
      <c r="H2989" s="93" t="n">
        <v>321000</v>
      </c>
      <c r="I2989" s="92" t="inlineStr">
        <is>
          <t>2월 인쇄물 제작 - G인쇄</t>
        </is>
      </c>
      <c r="J2989" s="92" t="inlineStr">
        <is>
          <t>V10004</t>
        </is>
      </c>
      <c r="K2989" s="92" t="inlineStr">
        <is>
          <t>G인쇄</t>
        </is>
      </c>
      <c r="M2989" s="9">
        <f>IF($A2989="","",VALUE($A2989&amp;"")*12+VALUE($B2989&amp;""))</f>
        <v/>
      </c>
      <c r="N2989" s="64">
        <f>IF($A2989="","",IFERROR(INDEX(부서매핑!$C$5:$C$504,MATCH($G2989&amp;"",부서매핑!$A$5:$A$504,0)),"미매핑"))</f>
        <v/>
      </c>
      <c r="O2989" s="9">
        <f>IF($A2989="","",N2989&amp;"|"&amp;$F2989)</f>
        <v/>
      </c>
      <c r="P2989" s="94">
        <f>IF($A2989="",0,$H2989*설정!$C$23)</f>
        <v/>
      </c>
      <c r="Q2989" s="64">
        <f>IF($A2989="","",IF(O2989&lt;&gt;원인분석!$C$9,"",IF(AND(M2989&gt;=원인분석!$C$10,M2989&lt;=원인분석!$C$11),"당기",IF(AND(M2989&gt;=원인분석!$C$12,M2989&lt;=원인분석!$C$13),"비교",""))))</f>
        <v/>
      </c>
      <c r="R2989" s="9">
        <f>IF(Q2989="","",$K2989&amp;"")</f>
        <v/>
      </c>
      <c r="S2989" s="9">
        <f>IF(Q2989="","",IF(MATCH(R2989,$R$5:$R$100000,0)=ROW()-4,ROW(),""))</f>
        <v/>
      </c>
      <c r="T2989" s="9">
        <f>IF(Q2989="당기",ABS(P2989)+ROW()/1000000000,"")</f>
        <v/>
      </c>
      <c r="U2989" s="9">
        <f>IF(Q2989="비교",ABS(P2989)+ROW()/1000000000,"")</f>
        <v/>
      </c>
      <c r="V2989" s="64">
        <f>IF($A2989="","",IF(COUNTIF(변동분석!$E$7:$E$506,O2989)&gt;0,"Y","N"))</f>
        <v/>
      </c>
      <c r="W2989" s="64">
        <f>IF($A2989="","",IFERROR(INDEX(계정매핑!$D$5:$D$504,MATCH($F2989&amp;"",계정매핑!$A$5:$A$504,0)),"미매핑"))</f>
        <v/>
      </c>
      <c r="X2989" s="9">
        <f>IF($A2989="","",$F2989&amp;"")</f>
        <v/>
      </c>
      <c r="Y2989" s="94">
        <f>IF($A2989="",0,IF(AE2989="직접",IF(AF2989="비귀속",$P2989,0),$P2989*(1-AG2989)*IFERROR(INDEX(계정대체기준!$F$20:$F$49,MATCH($N2989,계정대체기준!$A$20:$A$49,0)),1)))</f>
        <v/>
      </c>
      <c r="Z2989" s="94">
        <f>IF($A2989="",0,IF(AE2989="직접",IF(AF2989="신계약비",$P2989,0),$P2989*(1-AG2989)*IFERROR(INDEX(계정대체기준!$C$20:$C$49,MATCH($N2989,계정대체기준!$A$20:$A$49,0)),0)))</f>
        <v/>
      </c>
      <c r="AA2989" s="94">
        <f>IF($A2989="",0,IF(AE2989="직접",IF(OR(AF2989="유지비",AF2989="손해조사비"),$P2989,0),$P2989*(1-AG2989)*IFERROR(INDEX(계정대체기준!$D$20:$D$49,MATCH($N2989,계정대체기준!$A$20:$A$49,0)),0)))</f>
        <v/>
      </c>
      <c r="AB2989" s="94">
        <f>IF($A2989="",0,IF(AE2989="직접",IF(AF2989="수금비",$P2989,0),$P2989*(1-AG2989)*IFERROR(INDEX(계정대체기준!$E$20:$E$49,MATCH($N2989,계정대체기준!$A$20:$A$49,0)),0)))</f>
        <v/>
      </c>
      <c r="AC2989" s="9">
        <f>IF(AND($A2989&lt;&gt;"",M2989=설정!$C$20,Z2989&gt;0),Z2989+ROW()/1000000000,"")</f>
        <v/>
      </c>
      <c r="AD2989" s="94">
        <f>IF($A2989="",0,$P2989*AG2989)</f>
        <v/>
      </c>
      <c r="AE2989" s="64">
        <f>IF($A2989="","",IFERROR(INDEX(계정매핑!$E$5:$E$504,MATCH($F2989&amp;"",계정매핑!$A$5:$A$504,0))&amp;"","공통비"))</f>
        <v/>
      </c>
      <c r="AF2989" s="64">
        <f>IF($A2989="","",IF(AE2989="직접",IFERROR(INDEX(계정매핑!$F$5:$F$504,MATCH($F2989&amp;"",계정매핑!$A$5:$A$504,0))&amp;"","비귀속"),""))</f>
        <v/>
      </c>
      <c r="AG2989" s="96">
        <f>IF($A2989="",0,IF(AND(AE2989&lt;&gt;"직접",IFERROR(INDEX(계정매핑!$G$5:$G$504,MATCH($F2989&amp;"",계정매핑!$A$5:$A$504,0))&amp;"","")="유지비",COUNTIF(계정대체기준!$A$6:$A$15,$N2989)&gt;0),IFERROR(INDEX(계정대체기준!$E$6:$E$15,MATCH(VALUE($A2989&amp;""),계정대체기준!$D$6:$D$15,0)),0),0))</f>
        <v/>
      </c>
      <c r="AH2989" s="64">
        <f>IF($A2989="","",IF(AD2989=0,"",IF(OR(COUNTIF(계정대체기준!$A$77:$A$86,$N2989)&gt;0,ISNUMBER(MATCH($X2989,계정대체기준!$D$77:$D$86,0)),ISNUMBER(MATCH($F2989,계정대체기준!$D$77:$D$86,0))),"Y","N")))</f>
        <v/>
      </c>
    </row>
    <row r="2990">
      <c r="A2990" s="92" t="n">
        <v>2026</v>
      </c>
      <c r="B2990" s="92" t="n">
        <v>2</v>
      </c>
      <c r="C2990" s="92" t="inlineStr">
        <is>
          <t>5100000268</t>
        </is>
      </c>
      <c r="D2990" s="95" t="n">
        <v>46059</v>
      </c>
      <c r="E2990" s="92" t="inlineStr">
        <is>
          <t>KR</t>
        </is>
      </c>
      <c r="F2990" s="92" t="n">
        <v>62401000</v>
      </c>
      <c r="G2990" s="92" t="n">
        <v>1401</v>
      </c>
      <c r="H2990" s="93" t="n">
        <v>301000</v>
      </c>
      <c r="I2990" s="92" t="inlineStr">
        <is>
          <t>2월 인쇄물 제작 - S출판</t>
        </is>
      </c>
      <c r="J2990" s="92" t="inlineStr">
        <is>
          <t>V10015</t>
        </is>
      </c>
      <c r="K2990" s="92" t="inlineStr">
        <is>
          <t>S출판</t>
        </is>
      </c>
      <c r="M2990" s="9">
        <f>IF($A2990="","",VALUE($A2990&amp;"")*12+VALUE($B2990&amp;""))</f>
        <v/>
      </c>
      <c r="N2990" s="64">
        <f>IF($A2990="","",IFERROR(INDEX(부서매핑!$C$5:$C$504,MATCH($G2990&amp;"",부서매핑!$A$5:$A$504,0)),"미매핑"))</f>
        <v/>
      </c>
      <c r="O2990" s="9">
        <f>IF($A2990="","",N2990&amp;"|"&amp;$F2990)</f>
        <v/>
      </c>
      <c r="P2990" s="94">
        <f>IF($A2990="",0,$H2990*설정!$C$23)</f>
        <v/>
      </c>
      <c r="Q2990" s="64">
        <f>IF($A2990="","",IF(O2990&lt;&gt;원인분석!$C$9,"",IF(AND(M2990&gt;=원인분석!$C$10,M2990&lt;=원인분석!$C$11),"당기",IF(AND(M2990&gt;=원인분석!$C$12,M2990&lt;=원인분석!$C$13),"비교",""))))</f>
        <v/>
      </c>
      <c r="R2990" s="9">
        <f>IF(Q2990="","",$K2990&amp;"")</f>
        <v/>
      </c>
      <c r="S2990" s="9">
        <f>IF(Q2990="","",IF(MATCH(R2990,$R$5:$R$100000,0)=ROW()-4,ROW(),""))</f>
        <v/>
      </c>
      <c r="T2990" s="9">
        <f>IF(Q2990="당기",ABS(P2990)+ROW()/1000000000,"")</f>
        <v/>
      </c>
      <c r="U2990" s="9">
        <f>IF(Q2990="비교",ABS(P2990)+ROW()/1000000000,"")</f>
        <v/>
      </c>
      <c r="V2990" s="64">
        <f>IF($A2990="","",IF(COUNTIF(변동분석!$E$7:$E$506,O2990)&gt;0,"Y","N"))</f>
        <v/>
      </c>
      <c r="W2990" s="64">
        <f>IF($A2990="","",IFERROR(INDEX(계정매핑!$D$5:$D$504,MATCH($F2990&amp;"",계정매핑!$A$5:$A$504,0)),"미매핑"))</f>
        <v/>
      </c>
      <c r="X2990" s="9">
        <f>IF($A2990="","",$F2990&amp;"")</f>
        <v/>
      </c>
      <c r="Y2990" s="94">
        <f>IF($A2990="",0,IF(AE2990="직접",IF(AF2990="비귀속",$P2990,0),$P2990*(1-AG2990)*IFERROR(INDEX(계정대체기준!$F$20:$F$49,MATCH($N2990,계정대체기준!$A$20:$A$49,0)),1)))</f>
        <v/>
      </c>
      <c r="Z2990" s="94">
        <f>IF($A2990="",0,IF(AE2990="직접",IF(AF2990="신계약비",$P2990,0),$P2990*(1-AG2990)*IFERROR(INDEX(계정대체기준!$C$20:$C$49,MATCH($N2990,계정대체기준!$A$20:$A$49,0)),0)))</f>
        <v/>
      </c>
      <c r="AA2990" s="94">
        <f>IF($A2990="",0,IF(AE2990="직접",IF(OR(AF2990="유지비",AF2990="손해조사비"),$P2990,0),$P2990*(1-AG2990)*IFERROR(INDEX(계정대체기준!$D$20:$D$49,MATCH($N2990,계정대체기준!$A$20:$A$49,0)),0)))</f>
        <v/>
      </c>
      <c r="AB2990" s="94">
        <f>IF($A2990="",0,IF(AE2990="직접",IF(AF2990="수금비",$P2990,0),$P2990*(1-AG2990)*IFERROR(INDEX(계정대체기준!$E$20:$E$49,MATCH($N2990,계정대체기준!$A$20:$A$49,0)),0)))</f>
        <v/>
      </c>
      <c r="AC2990" s="9">
        <f>IF(AND($A2990&lt;&gt;"",M2990=설정!$C$20,Z2990&gt;0),Z2990+ROW()/1000000000,"")</f>
        <v/>
      </c>
      <c r="AD2990" s="94">
        <f>IF($A2990="",0,$P2990*AG2990)</f>
        <v/>
      </c>
      <c r="AE2990" s="64">
        <f>IF($A2990="","",IFERROR(INDEX(계정매핑!$E$5:$E$504,MATCH($F2990&amp;"",계정매핑!$A$5:$A$504,0))&amp;"","공통비"))</f>
        <v/>
      </c>
      <c r="AF2990" s="64">
        <f>IF($A2990="","",IF(AE2990="직접",IFERROR(INDEX(계정매핑!$F$5:$F$504,MATCH($F2990&amp;"",계정매핑!$A$5:$A$504,0))&amp;"","비귀속"),""))</f>
        <v/>
      </c>
      <c r="AG2990" s="96">
        <f>IF($A2990="",0,IF(AND(AE2990&lt;&gt;"직접",IFERROR(INDEX(계정매핑!$G$5:$G$504,MATCH($F2990&amp;"",계정매핑!$A$5:$A$504,0))&amp;"","")="유지비",COUNTIF(계정대체기준!$A$6:$A$15,$N2990)&gt;0),IFERROR(INDEX(계정대체기준!$E$6:$E$15,MATCH(VALUE($A2990&amp;""),계정대체기준!$D$6:$D$15,0)),0),0))</f>
        <v/>
      </c>
      <c r="AH2990" s="64">
        <f>IF($A2990="","",IF(AD2990=0,"",IF(OR(COUNTIF(계정대체기준!$A$77:$A$86,$N2990)&gt;0,ISNUMBER(MATCH($X2990,계정대체기준!$D$77:$D$86,0)),ISNUMBER(MATCH($F2990,계정대체기준!$D$77:$D$86,0))),"Y","N")))</f>
        <v/>
      </c>
    </row>
    <row r="2991">
      <c r="A2991" s="92" t="n">
        <v>2026</v>
      </c>
      <c r="B2991" s="92" t="n">
        <v>2</v>
      </c>
      <c r="C2991" s="92" t="inlineStr">
        <is>
          <t>5100000269</t>
        </is>
      </c>
      <c r="D2991" s="95" t="n">
        <v>46059</v>
      </c>
      <c r="E2991" s="92" t="inlineStr">
        <is>
          <t>KR</t>
        </is>
      </c>
      <c r="F2991" s="92" t="n">
        <v>62501000</v>
      </c>
      <c r="G2991" s="92" t="n">
        <v>1801</v>
      </c>
      <c r="H2991" s="93" t="n">
        <v>214000</v>
      </c>
      <c r="I2991" s="92" t="inlineStr">
        <is>
          <t>2월 회의 다과 - (법인카드)</t>
        </is>
      </c>
      <c r="J2991" s="92" t="inlineStr">
        <is>
          <t>V10010</t>
        </is>
      </c>
      <c r="K2991" s="92" t="inlineStr">
        <is>
          <t>(법인카드)</t>
        </is>
      </c>
      <c r="M2991" s="9">
        <f>IF($A2991="","",VALUE($A2991&amp;"")*12+VALUE($B2991&amp;""))</f>
        <v/>
      </c>
      <c r="N2991" s="64">
        <f>IF($A2991="","",IFERROR(INDEX(부서매핑!$C$5:$C$504,MATCH($G2991&amp;"",부서매핑!$A$5:$A$504,0)),"미매핑"))</f>
        <v/>
      </c>
      <c r="O2991" s="9">
        <f>IF($A2991="","",N2991&amp;"|"&amp;$F2991)</f>
        <v/>
      </c>
      <c r="P2991" s="94">
        <f>IF($A2991="",0,$H2991*설정!$C$23)</f>
        <v/>
      </c>
      <c r="Q2991" s="64">
        <f>IF($A2991="","",IF(O2991&lt;&gt;원인분석!$C$9,"",IF(AND(M2991&gt;=원인분석!$C$10,M2991&lt;=원인분석!$C$11),"당기",IF(AND(M2991&gt;=원인분석!$C$12,M2991&lt;=원인분석!$C$13),"비교",""))))</f>
        <v/>
      </c>
      <c r="R2991" s="9">
        <f>IF(Q2991="","",$K2991&amp;"")</f>
        <v/>
      </c>
      <c r="S2991" s="9">
        <f>IF(Q2991="","",IF(MATCH(R2991,$R$5:$R$100000,0)=ROW()-4,ROW(),""))</f>
        <v/>
      </c>
      <c r="T2991" s="9">
        <f>IF(Q2991="당기",ABS(P2991)+ROW()/1000000000,"")</f>
        <v/>
      </c>
      <c r="U2991" s="9">
        <f>IF(Q2991="비교",ABS(P2991)+ROW()/1000000000,"")</f>
        <v/>
      </c>
      <c r="V2991" s="64">
        <f>IF($A2991="","",IF(COUNTIF(변동분석!$E$7:$E$506,O2991)&gt;0,"Y","N"))</f>
        <v/>
      </c>
      <c r="W2991" s="64">
        <f>IF($A2991="","",IFERROR(INDEX(계정매핑!$D$5:$D$504,MATCH($F2991&amp;"",계정매핑!$A$5:$A$504,0)),"미매핑"))</f>
        <v/>
      </c>
      <c r="X2991" s="9">
        <f>IF($A2991="","",$F2991&amp;"")</f>
        <v/>
      </c>
      <c r="Y2991" s="94">
        <f>IF($A2991="",0,IF(AE2991="직접",IF(AF2991="비귀속",$P2991,0),$P2991*(1-AG2991)*IFERROR(INDEX(계정대체기준!$F$20:$F$49,MATCH($N2991,계정대체기준!$A$20:$A$49,0)),1)))</f>
        <v/>
      </c>
      <c r="Z2991" s="94">
        <f>IF($A2991="",0,IF(AE2991="직접",IF(AF2991="신계약비",$P2991,0),$P2991*(1-AG2991)*IFERROR(INDEX(계정대체기준!$C$20:$C$49,MATCH($N2991,계정대체기준!$A$20:$A$49,0)),0)))</f>
        <v/>
      </c>
      <c r="AA2991" s="94">
        <f>IF($A2991="",0,IF(AE2991="직접",IF(OR(AF2991="유지비",AF2991="손해조사비"),$P2991,0),$P2991*(1-AG2991)*IFERROR(INDEX(계정대체기준!$D$20:$D$49,MATCH($N2991,계정대체기준!$A$20:$A$49,0)),0)))</f>
        <v/>
      </c>
      <c r="AB2991" s="94">
        <f>IF($A2991="",0,IF(AE2991="직접",IF(AF2991="수금비",$P2991,0),$P2991*(1-AG2991)*IFERROR(INDEX(계정대체기준!$E$20:$E$49,MATCH($N2991,계정대체기준!$A$20:$A$49,0)),0)))</f>
        <v/>
      </c>
      <c r="AC2991" s="9">
        <f>IF(AND($A2991&lt;&gt;"",M2991=설정!$C$20,Z2991&gt;0),Z2991+ROW()/1000000000,"")</f>
        <v/>
      </c>
      <c r="AD2991" s="94">
        <f>IF($A2991="",0,$P2991*AG2991)</f>
        <v/>
      </c>
      <c r="AE2991" s="64">
        <f>IF($A2991="","",IFERROR(INDEX(계정매핑!$E$5:$E$504,MATCH($F2991&amp;"",계정매핑!$A$5:$A$504,0))&amp;"","공통비"))</f>
        <v/>
      </c>
      <c r="AF2991" s="64">
        <f>IF($A2991="","",IF(AE2991="직접",IFERROR(INDEX(계정매핑!$F$5:$F$504,MATCH($F2991&amp;"",계정매핑!$A$5:$A$504,0))&amp;"","비귀속"),""))</f>
        <v/>
      </c>
      <c r="AG2991" s="96">
        <f>IF($A2991="",0,IF(AND(AE2991&lt;&gt;"직접",IFERROR(INDEX(계정매핑!$G$5:$G$504,MATCH($F2991&amp;"",계정매핑!$A$5:$A$504,0))&amp;"","")="유지비",COUNTIF(계정대체기준!$A$6:$A$15,$N2991)&gt;0),IFERROR(INDEX(계정대체기준!$E$6:$E$15,MATCH(VALUE($A2991&amp;""),계정대체기준!$D$6:$D$15,0)),0),0))</f>
        <v/>
      </c>
      <c r="AH2991" s="64">
        <f>IF($A2991="","",IF(AD2991=0,"",IF(OR(COUNTIF(계정대체기준!$A$77:$A$86,$N2991)&gt;0,ISNUMBER(MATCH($X2991,계정대체기준!$D$77:$D$86,0)),ISNUMBER(MATCH($F2991,계정대체기준!$D$77:$D$86,0))),"Y","N")))</f>
        <v/>
      </c>
    </row>
    <row r="2992">
      <c r="A2992" s="92" t="n">
        <v>2026</v>
      </c>
      <c r="B2992" s="92" t="n">
        <v>2</v>
      </c>
      <c r="C2992" s="92" t="inlineStr">
        <is>
          <t>5100000270</t>
        </is>
      </c>
      <c r="D2992" s="95" t="n">
        <v>46059</v>
      </c>
      <c r="E2992" s="92" t="inlineStr">
        <is>
          <t>KR</t>
        </is>
      </c>
      <c r="F2992" s="92" t="n">
        <v>62802000</v>
      </c>
      <c r="G2992" s="92" t="n">
        <v>1301</v>
      </c>
      <c r="H2992" s="93" t="n">
        <v>3585000</v>
      </c>
      <c r="I2992" s="92" t="inlineStr">
        <is>
          <t>2월 위탁교육 - I교육원</t>
        </is>
      </c>
      <c r="J2992" s="92" t="inlineStr">
        <is>
          <t>V10019</t>
        </is>
      </c>
      <c r="K2992" s="92" t="inlineStr">
        <is>
          <t>I교육원</t>
        </is>
      </c>
      <c r="M2992" s="9">
        <f>IF($A2992="","",VALUE($A2992&amp;"")*12+VALUE($B2992&amp;""))</f>
        <v/>
      </c>
      <c r="N2992" s="64">
        <f>IF($A2992="","",IFERROR(INDEX(부서매핑!$C$5:$C$504,MATCH($G2992&amp;"",부서매핑!$A$5:$A$504,0)),"미매핑"))</f>
        <v/>
      </c>
      <c r="O2992" s="9">
        <f>IF($A2992="","",N2992&amp;"|"&amp;$F2992)</f>
        <v/>
      </c>
      <c r="P2992" s="94">
        <f>IF($A2992="",0,$H2992*설정!$C$23)</f>
        <v/>
      </c>
      <c r="Q2992" s="64">
        <f>IF($A2992="","",IF(O2992&lt;&gt;원인분석!$C$9,"",IF(AND(M2992&gt;=원인분석!$C$10,M2992&lt;=원인분석!$C$11),"당기",IF(AND(M2992&gt;=원인분석!$C$12,M2992&lt;=원인분석!$C$13),"비교",""))))</f>
        <v/>
      </c>
      <c r="R2992" s="9">
        <f>IF(Q2992="","",$K2992&amp;"")</f>
        <v/>
      </c>
      <c r="S2992" s="9">
        <f>IF(Q2992="","",IF(MATCH(R2992,$R$5:$R$100000,0)=ROW()-4,ROW(),""))</f>
        <v/>
      </c>
      <c r="T2992" s="9">
        <f>IF(Q2992="당기",ABS(P2992)+ROW()/1000000000,"")</f>
        <v/>
      </c>
      <c r="U2992" s="9">
        <f>IF(Q2992="비교",ABS(P2992)+ROW()/1000000000,"")</f>
        <v/>
      </c>
      <c r="V2992" s="64">
        <f>IF($A2992="","",IF(COUNTIF(변동분석!$E$7:$E$506,O2992)&gt;0,"Y","N"))</f>
        <v/>
      </c>
      <c r="W2992" s="64">
        <f>IF($A2992="","",IFERROR(INDEX(계정매핑!$D$5:$D$504,MATCH($F2992&amp;"",계정매핑!$A$5:$A$504,0)),"미매핑"))</f>
        <v/>
      </c>
      <c r="X2992" s="9">
        <f>IF($A2992="","",$F2992&amp;"")</f>
        <v/>
      </c>
      <c r="Y2992" s="94">
        <f>IF($A2992="",0,IF(AE2992="직접",IF(AF2992="비귀속",$P2992,0),$P2992*(1-AG2992)*IFERROR(INDEX(계정대체기준!$F$20:$F$49,MATCH($N2992,계정대체기준!$A$20:$A$49,0)),1)))</f>
        <v/>
      </c>
      <c r="Z2992" s="94">
        <f>IF($A2992="",0,IF(AE2992="직접",IF(AF2992="신계약비",$P2992,0),$P2992*(1-AG2992)*IFERROR(INDEX(계정대체기준!$C$20:$C$49,MATCH($N2992,계정대체기준!$A$20:$A$49,0)),0)))</f>
        <v/>
      </c>
      <c r="AA2992" s="94">
        <f>IF($A2992="",0,IF(AE2992="직접",IF(OR(AF2992="유지비",AF2992="손해조사비"),$P2992,0),$P2992*(1-AG2992)*IFERROR(INDEX(계정대체기준!$D$20:$D$49,MATCH($N2992,계정대체기준!$A$20:$A$49,0)),0)))</f>
        <v/>
      </c>
      <c r="AB2992" s="94">
        <f>IF($A2992="",0,IF(AE2992="직접",IF(AF2992="수금비",$P2992,0),$P2992*(1-AG2992)*IFERROR(INDEX(계정대체기준!$E$20:$E$49,MATCH($N2992,계정대체기준!$A$20:$A$49,0)),0)))</f>
        <v/>
      </c>
      <c r="AC2992" s="9">
        <f>IF(AND($A2992&lt;&gt;"",M2992=설정!$C$20,Z2992&gt;0),Z2992+ROW()/1000000000,"")</f>
        <v/>
      </c>
      <c r="AD2992" s="94">
        <f>IF($A2992="",0,$P2992*AG2992)</f>
        <v/>
      </c>
      <c r="AE2992" s="64">
        <f>IF($A2992="","",IFERROR(INDEX(계정매핑!$E$5:$E$504,MATCH($F2992&amp;"",계정매핑!$A$5:$A$504,0))&amp;"","공통비"))</f>
        <v/>
      </c>
      <c r="AF2992" s="64">
        <f>IF($A2992="","",IF(AE2992="직접",IFERROR(INDEX(계정매핑!$F$5:$F$504,MATCH($F2992&amp;"",계정매핑!$A$5:$A$504,0))&amp;"","비귀속"),""))</f>
        <v/>
      </c>
      <c r="AG2992" s="96">
        <f>IF($A2992="",0,IF(AND(AE2992&lt;&gt;"직접",IFERROR(INDEX(계정매핑!$G$5:$G$504,MATCH($F2992&amp;"",계정매핑!$A$5:$A$504,0))&amp;"","")="유지비",COUNTIF(계정대체기준!$A$6:$A$15,$N2992)&gt;0),IFERROR(INDEX(계정대체기준!$E$6:$E$15,MATCH(VALUE($A2992&amp;""),계정대체기준!$D$6:$D$15,0)),0),0))</f>
        <v/>
      </c>
      <c r="AH2992" s="64">
        <f>IF($A2992="","",IF(AD2992=0,"",IF(OR(COUNTIF(계정대체기준!$A$77:$A$86,$N2992)&gt;0,ISNUMBER(MATCH($X2992,계정대체기준!$D$77:$D$86,0)),ISNUMBER(MATCH($F2992,계정대체기준!$D$77:$D$86,0))),"Y","N")))</f>
        <v/>
      </c>
    </row>
    <row r="2993">
      <c r="A2993" s="92" t="n">
        <v>2026</v>
      </c>
      <c r="B2993" s="92" t="n">
        <v>2</v>
      </c>
      <c r="C2993" s="92" t="inlineStr">
        <is>
          <t>5100000271</t>
        </is>
      </c>
      <c r="D2993" s="95" t="n">
        <v>46059</v>
      </c>
      <c r="E2993" s="92" t="inlineStr">
        <is>
          <t>KR</t>
        </is>
      </c>
      <c r="F2993" s="92" t="n">
        <v>63601000</v>
      </c>
      <c r="G2993" s="92" t="n">
        <v>1801</v>
      </c>
      <c r="H2993" s="93" t="n">
        <v>9579000</v>
      </c>
      <c r="I2993" s="92" t="inlineStr">
        <is>
          <t>2월 손해사정 수수료 - EE손해사정</t>
        </is>
      </c>
      <c r="J2993" s="92" t="inlineStr">
        <is>
          <t>V10008</t>
        </is>
      </c>
      <c r="K2993" s="92" t="inlineStr">
        <is>
          <t>EE손해사정</t>
        </is>
      </c>
      <c r="M2993" s="9">
        <f>IF($A2993="","",VALUE($A2993&amp;"")*12+VALUE($B2993&amp;""))</f>
        <v/>
      </c>
      <c r="N2993" s="64">
        <f>IF($A2993="","",IFERROR(INDEX(부서매핑!$C$5:$C$504,MATCH($G2993&amp;"",부서매핑!$A$5:$A$504,0)),"미매핑"))</f>
        <v/>
      </c>
      <c r="O2993" s="9">
        <f>IF($A2993="","",N2993&amp;"|"&amp;$F2993)</f>
        <v/>
      </c>
      <c r="P2993" s="94">
        <f>IF($A2993="",0,$H2993*설정!$C$23)</f>
        <v/>
      </c>
      <c r="Q2993" s="64">
        <f>IF($A2993="","",IF(O2993&lt;&gt;원인분석!$C$9,"",IF(AND(M2993&gt;=원인분석!$C$10,M2993&lt;=원인분석!$C$11),"당기",IF(AND(M2993&gt;=원인분석!$C$12,M2993&lt;=원인분석!$C$13),"비교",""))))</f>
        <v/>
      </c>
      <c r="R2993" s="9">
        <f>IF(Q2993="","",$K2993&amp;"")</f>
        <v/>
      </c>
      <c r="S2993" s="9">
        <f>IF(Q2993="","",IF(MATCH(R2993,$R$5:$R$100000,0)=ROW()-4,ROW(),""))</f>
        <v/>
      </c>
      <c r="T2993" s="9">
        <f>IF(Q2993="당기",ABS(P2993)+ROW()/1000000000,"")</f>
        <v/>
      </c>
      <c r="U2993" s="9">
        <f>IF(Q2993="비교",ABS(P2993)+ROW()/1000000000,"")</f>
        <v/>
      </c>
      <c r="V2993" s="64">
        <f>IF($A2993="","",IF(COUNTIF(변동분석!$E$7:$E$506,O2993)&gt;0,"Y","N"))</f>
        <v/>
      </c>
      <c r="W2993" s="64">
        <f>IF($A2993="","",IFERROR(INDEX(계정매핑!$D$5:$D$504,MATCH($F2993&amp;"",계정매핑!$A$5:$A$504,0)),"미매핑"))</f>
        <v/>
      </c>
      <c r="X2993" s="9">
        <f>IF($A2993="","",$F2993&amp;"")</f>
        <v/>
      </c>
      <c r="Y2993" s="94">
        <f>IF($A2993="",0,IF(AE2993="직접",IF(AF2993="비귀속",$P2993,0),$P2993*(1-AG2993)*IFERROR(INDEX(계정대체기준!$F$20:$F$49,MATCH($N2993,계정대체기준!$A$20:$A$49,0)),1)))</f>
        <v/>
      </c>
      <c r="Z2993" s="94">
        <f>IF($A2993="",0,IF(AE2993="직접",IF(AF2993="신계약비",$P2993,0),$P2993*(1-AG2993)*IFERROR(INDEX(계정대체기준!$C$20:$C$49,MATCH($N2993,계정대체기준!$A$20:$A$49,0)),0)))</f>
        <v/>
      </c>
      <c r="AA2993" s="94">
        <f>IF($A2993="",0,IF(AE2993="직접",IF(OR(AF2993="유지비",AF2993="손해조사비"),$P2993,0),$P2993*(1-AG2993)*IFERROR(INDEX(계정대체기준!$D$20:$D$49,MATCH($N2993,계정대체기준!$A$20:$A$49,0)),0)))</f>
        <v/>
      </c>
      <c r="AB2993" s="94">
        <f>IF($A2993="",0,IF(AE2993="직접",IF(AF2993="수금비",$P2993,0),$P2993*(1-AG2993)*IFERROR(INDEX(계정대체기준!$E$20:$E$49,MATCH($N2993,계정대체기준!$A$20:$A$49,0)),0)))</f>
        <v/>
      </c>
      <c r="AC2993" s="9">
        <f>IF(AND($A2993&lt;&gt;"",M2993=설정!$C$20,Z2993&gt;0),Z2993+ROW()/1000000000,"")</f>
        <v/>
      </c>
      <c r="AD2993" s="94">
        <f>IF($A2993="",0,$P2993*AG2993)</f>
        <v/>
      </c>
      <c r="AE2993" s="64">
        <f>IF($A2993="","",IFERROR(INDEX(계정매핑!$E$5:$E$504,MATCH($F2993&amp;"",계정매핑!$A$5:$A$504,0))&amp;"","공통비"))</f>
        <v/>
      </c>
      <c r="AF2993" s="64">
        <f>IF($A2993="","",IF(AE2993="직접",IFERROR(INDEX(계정매핑!$F$5:$F$504,MATCH($F2993&amp;"",계정매핑!$A$5:$A$504,0))&amp;"","비귀속"),""))</f>
        <v/>
      </c>
      <c r="AG2993" s="96">
        <f>IF($A2993="",0,IF(AND(AE2993&lt;&gt;"직접",IFERROR(INDEX(계정매핑!$G$5:$G$504,MATCH($F2993&amp;"",계정매핑!$A$5:$A$504,0))&amp;"","")="유지비",COUNTIF(계정대체기준!$A$6:$A$15,$N2993)&gt;0),IFERROR(INDEX(계정대체기준!$E$6:$E$15,MATCH(VALUE($A2993&amp;""),계정대체기준!$D$6:$D$15,0)),0),0))</f>
        <v/>
      </c>
      <c r="AH2993" s="64">
        <f>IF($A2993="","",IF(AD2993=0,"",IF(OR(COUNTIF(계정대체기준!$A$77:$A$86,$N2993)&gt;0,ISNUMBER(MATCH($X2993,계정대체기준!$D$77:$D$86,0)),ISNUMBER(MATCH($F2993,계정대체기준!$D$77:$D$86,0))),"Y","N")))</f>
        <v/>
      </c>
    </row>
    <row r="2994">
      <c r="A2994" s="92" t="n">
        <v>2026</v>
      </c>
      <c r="B2994" s="92" t="n">
        <v>2</v>
      </c>
      <c r="C2994" s="92" t="inlineStr">
        <is>
          <t>5100000272</t>
        </is>
      </c>
      <c r="D2994" s="95" t="n">
        <v>46060</v>
      </c>
      <c r="E2994" s="92" t="inlineStr">
        <is>
          <t>KR</t>
        </is>
      </c>
      <c r="F2994" s="92" t="n">
        <v>62101000</v>
      </c>
      <c r="G2994" s="92" t="n">
        <v>1301</v>
      </c>
      <c r="H2994" s="93" t="n">
        <v>326000</v>
      </c>
      <c r="I2994" s="92" t="inlineStr">
        <is>
          <t>2월 국내출장 - M항공</t>
        </is>
      </c>
      <c r="J2994" s="92" t="inlineStr">
        <is>
          <t>V10001</t>
        </is>
      </c>
      <c r="K2994" s="92" t="inlineStr">
        <is>
          <t>M항공</t>
        </is>
      </c>
      <c r="M2994" s="9">
        <f>IF($A2994="","",VALUE($A2994&amp;"")*12+VALUE($B2994&amp;""))</f>
        <v/>
      </c>
      <c r="N2994" s="64">
        <f>IF($A2994="","",IFERROR(INDEX(부서매핑!$C$5:$C$504,MATCH($G2994&amp;"",부서매핑!$A$5:$A$504,0)),"미매핑"))</f>
        <v/>
      </c>
      <c r="O2994" s="9">
        <f>IF($A2994="","",N2994&amp;"|"&amp;$F2994)</f>
        <v/>
      </c>
      <c r="P2994" s="94">
        <f>IF($A2994="",0,$H2994*설정!$C$23)</f>
        <v/>
      </c>
      <c r="Q2994" s="64">
        <f>IF($A2994="","",IF(O2994&lt;&gt;원인분석!$C$9,"",IF(AND(M2994&gt;=원인분석!$C$10,M2994&lt;=원인분석!$C$11),"당기",IF(AND(M2994&gt;=원인분석!$C$12,M2994&lt;=원인분석!$C$13),"비교",""))))</f>
        <v/>
      </c>
      <c r="R2994" s="9">
        <f>IF(Q2994="","",$K2994&amp;"")</f>
        <v/>
      </c>
      <c r="S2994" s="9">
        <f>IF(Q2994="","",IF(MATCH(R2994,$R$5:$R$100000,0)=ROW()-4,ROW(),""))</f>
        <v/>
      </c>
      <c r="T2994" s="9">
        <f>IF(Q2994="당기",ABS(P2994)+ROW()/1000000000,"")</f>
        <v/>
      </c>
      <c r="U2994" s="9">
        <f>IF(Q2994="비교",ABS(P2994)+ROW()/1000000000,"")</f>
        <v/>
      </c>
      <c r="V2994" s="64">
        <f>IF($A2994="","",IF(COUNTIF(변동분석!$E$7:$E$506,O2994)&gt;0,"Y","N"))</f>
        <v/>
      </c>
      <c r="W2994" s="64">
        <f>IF($A2994="","",IFERROR(INDEX(계정매핑!$D$5:$D$504,MATCH($F2994&amp;"",계정매핑!$A$5:$A$504,0)),"미매핑"))</f>
        <v/>
      </c>
      <c r="X2994" s="9">
        <f>IF($A2994="","",$F2994&amp;"")</f>
        <v/>
      </c>
      <c r="Y2994" s="94">
        <f>IF($A2994="",0,IF(AE2994="직접",IF(AF2994="비귀속",$P2994,0),$P2994*(1-AG2994)*IFERROR(INDEX(계정대체기준!$F$20:$F$49,MATCH($N2994,계정대체기준!$A$20:$A$49,0)),1)))</f>
        <v/>
      </c>
      <c r="Z2994" s="94">
        <f>IF($A2994="",0,IF(AE2994="직접",IF(AF2994="신계약비",$P2994,0),$P2994*(1-AG2994)*IFERROR(INDEX(계정대체기준!$C$20:$C$49,MATCH($N2994,계정대체기준!$A$20:$A$49,0)),0)))</f>
        <v/>
      </c>
      <c r="AA2994" s="94">
        <f>IF($A2994="",0,IF(AE2994="직접",IF(OR(AF2994="유지비",AF2994="손해조사비"),$P2994,0),$P2994*(1-AG2994)*IFERROR(INDEX(계정대체기준!$D$20:$D$49,MATCH($N2994,계정대체기준!$A$20:$A$49,0)),0)))</f>
        <v/>
      </c>
      <c r="AB2994" s="94">
        <f>IF($A2994="",0,IF(AE2994="직접",IF(AF2994="수금비",$P2994,0),$P2994*(1-AG2994)*IFERROR(INDEX(계정대체기준!$E$20:$E$49,MATCH($N2994,계정대체기준!$A$20:$A$49,0)),0)))</f>
        <v/>
      </c>
      <c r="AC2994" s="9">
        <f>IF(AND($A2994&lt;&gt;"",M2994=설정!$C$20,Z2994&gt;0),Z2994+ROW()/1000000000,"")</f>
        <v/>
      </c>
      <c r="AD2994" s="94">
        <f>IF($A2994="",0,$P2994*AG2994)</f>
        <v/>
      </c>
      <c r="AE2994" s="64">
        <f>IF($A2994="","",IFERROR(INDEX(계정매핑!$E$5:$E$504,MATCH($F2994&amp;"",계정매핑!$A$5:$A$504,0))&amp;"","공통비"))</f>
        <v/>
      </c>
      <c r="AF2994" s="64">
        <f>IF($A2994="","",IF(AE2994="직접",IFERROR(INDEX(계정매핑!$F$5:$F$504,MATCH($F2994&amp;"",계정매핑!$A$5:$A$504,0))&amp;"","비귀속"),""))</f>
        <v/>
      </c>
      <c r="AG2994" s="96">
        <f>IF($A2994="",0,IF(AND(AE2994&lt;&gt;"직접",IFERROR(INDEX(계정매핑!$G$5:$G$504,MATCH($F2994&amp;"",계정매핑!$A$5:$A$504,0))&amp;"","")="유지비",COUNTIF(계정대체기준!$A$6:$A$15,$N2994)&gt;0),IFERROR(INDEX(계정대체기준!$E$6:$E$15,MATCH(VALUE($A2994&amp;""),계정대체기준!$D$6:$D$15,0)),0),0))</f>
        <v/>
      </c>
      <c r="AH2994" s="64">
        <f>IF($A2994="","",IF(AD2994=0,"",IF(OR(COUNTIF(계정대체기준!$A$77:$A$86,$N2994)&gt;0,ISNUMBER(MATCH($X2994,계정대체기준!$D$77:$D$86,0)),ISNUMBER(MATCH($F2994,계정대체기준!$D$77:$D$86,0))),"Y","N")))</f>
        <v/>
      </c>
    </row>
    <row r="2995">
      <c r="A2995" s="92" t="n">
        <v>2026</v>
      </c>
      <c r="B2995" s="92" t="n">
        <v>2</v>
      </c>
      <c r="C2995" s="92" t="inlineStr">
        <is>
          <t>5100000273</t>
        </is>
      </c>
      <c r="D2995" s="95" t="n">
        <v>46060</v>
      </c>
      <c r="E2995" s="92" t="inlineStr">
        <is>
          <t>KR</t>
        </is>
      </c>
      <c r="F2995" s="92" t="n">
        <v>62101000</v>
      </c>
      <c r="G2995" s="92" t="n">
        <v>1502</v>
      </c>
      <c r="H2995" s="93" t="n">
        <v>493000</v>
      </c>
      <c r="I2995" s="92" t="inlineStr">
        <is>
          <t>2월 국내출장 - L여행사</t>
        </is>
      </c>
      <c r="J2995" s="92" t="inlineStr">
        <is>
          <t>V10018</t>
        </is>
      </c>
      <c r="K2995" s="92" t="inlineStr">
        <is>
          <t>L여행사</t>
        </is>
      </c>
      <c r="M2995" s="9">
        <f>IF($A2995="","",VALUE($A2995&amp;"")*12+VALUE($B2995&amp;""))</f>
        <v/>
      </c>
      <c r="N2995" s="64">
        <f>IF($A2995="","",IFERROR(INDEX(부서매핑!$C$5:$C$504,MATCH($G2995&amp;"",부서매핑!$A$5:$A$504,0)),"미매핑"))</f>
        <v/>
      </c>
      <c r="O2995" s="9">
        <f>IF($A2995="","",N2995&amp;"|"&amp;$F2995)</f>
        <v/>
      </c>
      <c r="P2995" s="94">
        <f>IF($A2995="",0,$H2995*설정!$C$23)</f>
        <v/>
      </c>
      <c r="Q2995" s="64">
        <f>IF($A2995="","",IF(O2995&lt;&gt;원인분석!$C$9,"",IF(AND(M2995&gt;=원인분석!$C$10,M2995&lt;=원인분석!$C$11),"당기",IF(AND(M2995&gt;=원인분석!$C$12,M2995&lt;=원인분석!$C$13),"비교",""))))</f>
        <v/>
      </c>
      <c r="R2995" s="9">
        <f>IF(Q2995="","",$K2995&amp;"")</f>
        <v/>
      </c>
      <c r="S2995" s="9">
        <f>IF(Q2995="","",IF(MATCH(R2995,$R$5:$R$100000,0)=ROW()-4,ROW(),""))</f>
        <v/>
      </c>
      <c r="T2995" s="9">
        <f>IF(Q2995="당기",ABS(P2995)+ROW()/1000000000,"")</f>
        <v/>
      </c>
      <c r="U2995" s="9">
        <f>IF(Q2995="비교",ABS(P2995)+ROW()/1000000000,"")</f>
        <v/>
      </c>
      <c r="V2995" s="64">
        <f>IF($A2995="","",IF(COUNTIF(변동분석!$E$7:$E$506,O2995)&gt;0,"Y","N"))</f>
        <v/>
      </c>
      <c r="W2995" s="64">
        <f>IF($A2995="","",IFERROR(INDEX(계정매핑!$D$5:$D$504,MATCH($F2995&amp;"",계정매핑!$A$5:$A$504,0)),"미매핑"))</f>
        <v/>
      </c>
      <c r="X2995" s="9">
        <f>IF($A2995="","",$F2995&amp;"")</f>
        <v/>
      </c>
      <c r="Y2995" s="94">
        <f>IF($A2995="",0,IF(AE2995="직접",IF(AF2995="비귀속",$P2995,0),$P2995*(1-AG2995)*IFERROR(INDEX(계정대체기준!$F$20:$F$49,MATCH($N2995,계정대체기준!$A$20:$A$49,0)),1)))</f>
        <v/>
      </c>
      <c r="Z2995" s="94">
        <f>IF($A2995="",0,IF(AE2995="직접",IF(AF2995="신계약비",$P2995,0),$P2995*(1-AG2995)*IFERROR(INDEX(계정대체기준!$C$20:$C$49,MATCH($N2995,계정대체기준!$A$20:$A$49,0)),0)))</f>
        <v/>
      </c>
      <c r="AA2995" s="94">
        <f>IF($A2995="",0,IF(AE2995="직접",IF(OR(AF2995="유지비",AF2995="손해조사비"),$P2995,0),$P2995*(1-AG2995)*IFERROR(INDEX(계정대체기준!$D$20:$D$49,MATCH($N2995,계정대체기준!$A$20:$A$49,0)),0)))</f>
        <v/>
      </c>
      <c r="AB2995" s="94">
        <f>IF($A2995="",0,IF(AE2995="직접",IF(AF2995="수금비",$P2995,0),$P2995*(1-AG2995)*IFERROR(INDEX(계정대체기준!$E$20:$E$49,MATCH($N2995,계정대체기준!$A$20:$A$49,0)),0)))</f>
        <v/>
      </c>
      <c r="AC2995" s="9">
        <f>IF(AND($A2995&lt;&gt;"",M2995=설정!$C$20,Z2995&gt;0),Z2995+ROW()/1000000000,"")</f>
        <v/>
      </c>
      <c r="AD2995" s="94">
        <f>IF($A2995="",0,$P2995*AG2995)</f>
        <v/>
      </c>
      <c r="AE2995" s="64">
        <f>IF($A2995="","",IFERROR(INDEX(계정매핑!$E$5:$E$504,MATCH($F2995&amp;"",계정매핑!$A$5:$A$504,0))&amp;"","공통비"))</f>
        <v/>
      </c>
      <c r="AF2995" s="64">
        <f>IF($A2995="","",IF(AE2995="직접",IFERROR(INDEX(계정매핑!$F$5:$F$504,MATCH($F2995&amp;"",계정매핑!$A$5:$A$504,0))&amp;"","비귀속"),""))</f>
        <v/>
      </c>
      <c r="AG2995" s="96">
        <f>IF($A2995="",0,IF(AND(AE2995&lt;&gt;"직접",IFERROR(INDEX(계정매핑!$G$5:$G$504,MATCH($F2995&amp;"",계정매핑!$A$5:$A$504,0))&amp;"","")="유지비",COUNTIF(계정대체기준!$A$6:$A$15,$N2995)&gt;0),IFERROR(INDEX(계정대체기준!$E$6:$E$15,MATCH(VALUE($A2995&amp;""),계정대체기준!$D$6:$D$15,0)),0),0))</f>
        <v/>
      </c>
      <c r="AH2995" s="64">
        <f>IF($A2995="","",IF(AD2995=0,"",IF(OR(COUNTIF(계정대체기준!$A$77:$A$86,$N2995)&gt;0,ISNUMBER(MATCH($X2995,계정대체기준!$D$77:$D$86,0)),ISNUMBER(MATCH($F2995,계정대체기준!$D$77:$D$86,0))),"Y","N")))</f>
        <v/>
      </c>
    </row>
    <row r="2996">
      <c r="A2996" s="92" t="n">
        <v>2026</v>
      </c>
      <c r="B2996" s="92" t="n">
        <v>2</v>
      </c>
      <c r="C2996" s="92" t="inlineStr">
        <is>
          <t>5100000274</t>
        </is>
      </c>
      <c r="D2996" s="95" t="n">
        <v>46060</v>
      </c>
      <c r="E2996" s="92" t="inlineStr">
        <is>
          <t>KR</t>
        </is>
      </c>
      <c r="F2996" s="92" t="n">
        <v>62102000</v>
      </c>
      <c r="G2996" s="92" t="n">
        <v>1201</v>
      </c>
      <c r="H2996" s="93" t="n">
        <v>59000</v>
      </c>
      <c r="I2996" s="92" t="inlineStr">
        <is>
          <t>2월 해외출장 - N호텔</t>
        </is>
      </c>
      <c r="J2996" s="92" t="inlineStr">
        <is>
          <t>V10009</t>
        </is>
      </c>
      <c r="K2996" s="92" t="inlineStr">
        <is>
          <t>N호텔</t>
        </is>
      </c>
      <c r="M2996" s="9">
        <f>IF($A2996="","",VALUE($A2996&amp;"")*12+VALUE($B2996&amp;""))</f>
        <v/>
      </c>
      <c r="N2996" s="64">
        <f>IF($A2996="","",IFERROR(INDEX(부서매핑!$C$5:$C$504,MATCH($G2996&amp;"",부서매핑!$A$5:$A$504,0)),"미매핑"))</f>
        <v/>
      </c>
      <c r="O2996" s="9">
        <f>IF($A2996="","",N2996&amp;"|"&amp;$F2996)</f>
        <v/>
      </c>
      <c r="P2996" s="94">
        <f>IF($A2996="",0,$H2996*설정!$C$23)</f>
        <v/>
      </c>
      <c r="Q2996" s="64">
        <f>IF($A2996="","",IF(O2996&lt;&gt;원인분석!$C$9,"",IF(AND(M2996&gt;=원인분석!$C$10,M2996&lt;=원인분석!$C$11),"당기",IF(AND(M2996&gt;=원인분석!$C$12,M2996&lt;=원인분석!$C$13),"비교",""))))</f>
        <v/>
      </c>
      <c r="R2996" s="9">
        <f>IF(Q2996="","",$K2996&amp;"")</f>
        <v/>
      </c>
      <c r="S2996" s="9">
        <f>IF(Q2996="","",IF(MATCH(R2996,$R$5:$R$100000,0)=ROW()-4,ROW(),""))</f>
        <v/>
      </c>
      <c r="T2996" s="9">
        <f>IF(Q2996="당기",ABS(P2996)+ROW()/1000000000,"")</f>
        <v/>
      </c>
      <c r="U2996" s="9">
        <f>IF(Q2996="비교",ABS(P2996)+ROW()/1000000000,"")</f>
        <v/>
      </c>
      <c r="V2996" s="64">
        <f>IF($A2996="","",IF(COUNTIF(변동분석!$E$7:$E$506,O2996)&gt;0,"Y","N"))</f>
        <v/>
      </c>
      <c r="W2996" s="64">
        <f>IF($A2996="","",IFERROR(INDEX(계정매핑!$D$5:$D$504,MATCH($F2996&amp;"",계정매핑!$A$5:$A$504,0)),"미매핑"))</f>
        <v/>
      </c>
      <c r="X2996" s="9">
        <f>IF($A2996="","",$F2996&amp;"")</f>
        <v/>
      </c>
      <c r="Y2996" s="94">
        <f>IF($A2996="",0,IF(AE2996="직접",IF(AF2996="비귀속",$P2996,0),$P2996*(1-AG2996)*IFERROR(INDEX(계정대체기준!$F$20:$F$49,MATCH($N2996,계정대체기준!$A$20:$A$49,0)),1)))</f>
        <v/>
      </c>
      <c r="Z2996" s="94">
        <f>IF($A2996="",0,IF(AE2996="직접",IF(AF2996="신계약비",$P2996,0),$P2996*(1-AG2996)*IFERROR(INDEX(계정대체기준!$C$20:$C$49,MATCH($N2996,계정대체기준!$A$20:$A$49,0)),0)))</f>
        <v/>
      </c>
      <c r="AA2996" s="94">
        <f>IF($A2996="",0,IF(AE2996="직접",IF(OR(AF2996="유지비",AF2996="손해조사비"),$P2996,0),$P2996*(1-AG2996)*IFERROR(INDEX(계정대체기준!$D$20:$D$49,MATCH($N2996,계정대체기준!$A$20:$A$49,0)),0)))</f>
        <v/>
      </c>
      <c r="AB2996" s="94">
        <f>IF($A2996="",0,IF(AE2996="직접",IF(AF2996="수금비",$P2996,0),$P2996*(1-AG2996)*IFERROR(INDEX(계정대체기준!$E$20:$E$49,MATCH($N2996,계정대체기준!$A$20:$A$49,0)),0)))</f>
        <v/>
      </c>
      <c r="AC2996" s="9">
        <f>IF(AND($A2996&lt;&gt;"",M2996=설정!$C$20,Z2996&gt;0),Z2996+ROW()/1000000000,"")</f>
        <v/>
      </c>
      <c r="AD2996" s="94">
        <f>IF($A2996="",0,$P2996*AG2996)</f>
        <v/>
      </c>
      <c r="AE2996" s="64">
        <f>IF($A2996="","",IFERROR(INDEX(계정매핑!$E$5:$E$504,MATCH($F2996&amp;"",계정매핑!$A$5:$A$504,0))&amp;"","공통비"))</f>
        <v/>
      </c>
      <c r="AF2996" s="64">
        <f>IF($A2996="","",IF(AE2996="직접",IFERROR(INDEX(계정매핑!$F$5:$F$504,MATCH($F2996&amp;"",계정매핑!$A$5:$A$504,0))&amp;"","비귀속"),""))</f>
        <v/>
      </c>
      <c r="AG2996" s="96">
        <f>IF($A2996="",0,IF(AND(AE2996&lt;&gt;"직접",IFERROR(INDEX(계정매핑!$G$5:$G$504,MATCH($F2996&amp;"",계정매핑!$A$5:$A$504,0))&amp;"","")="유지비",COUNTIF(계정대체기준!$A$6:$A$15,$N2996)&gt;0),IFERROR(INDEX(계정대체기준!$E$6:$E$15,MATCH(VALUE($A2996&amp;""),계정대체기준!$D$6:$D$15,0)),0),0))</f>
        <v/>
      </c>
      <c r="AH2996" s="64">
        <f>IF($A2996="","",IF(AD2996=0,"",IF(OR(COUNTIF(계정대체기준!$A$77:$A$86,$N2996)&gt;0,ISNUMBER(MATCH($X2996,계정대체기준!$D$77:$D$86,0)),ISNUMBER(MATCH($F2996,계정대체기준!$D$77:$D$86,0))),"Y","N")))</f>
        <v/>
      </c>
    </row>
    <row r="2997">
      <c r="A2997" s="92" t="n">
        <v>2026</v>
      </c>
      <c r="B2997" s="92" t="n">
        <v>2</v>
      </c>
      <c r="C2997" s="92" t="inlineStr">
        <is>
          <t>5100000275</t>
        </is>
      </c>
      <c r="D2997" s="95" t="n">
        <v>46060</v>
      </c>
      <c r="E2997" s="92" t="inlineStr">
        <is>
          <t>KR</t>
        </is>
      </c>
      <c r="F2997" s="92" t="n">
        <v>62201000</v>
      </c>
      <c r="G2997" s="92" t="n">
        <v>1601</v>
      </c>
      <c r="H2997" s="93" t="n">
        <v>582000</v>
      </c>
      <c r="I2997" s="92" t="inlineStr">
        <is>
          <t>2월 통신요금 - O텔레콤</t>
        </is>
      </c>
      <c r="J2997" s="92" t="inlineStr">
        <is>
          <t>V10002</t>
        </is>
      </c>
      <c r="K2997" s="92" t="inlineStr">
        <is>
          <t>O텔레콤</t>
        </is>
      </c>
      <c r="M2997" s="9">
        <f>IF($A2997="","",VALUE($A2997&amp;"")*12+VALUE($B2997&amp;""))</f>
        <v/>
      </c>
      <c r="N2997" s="64">
        <f>IF($A2997="","",IFERROR(INDEX(부서매핑!$C$5:$C$504,MATCH($G2997&amp;"",부서매핑!$A$5:$A$504,0)),"미매핑"))</f>
        <v/>
      </c>
      <c r="O2997" s="9">
        <f>IF($A2997="","",N2997&amp;"|"&amp;$F2997)</f>
        <v/>
      </c>
      <c r="P2997" s="94">
        <f>IF($A2997="",0,$H2997*설정!$C$23)</f>
        <v/>
      </c>
      <c r="Q2997" s="64">
        <f>IF($A2997="","",IF(O2997&lt;&gt;원인분석!$C$9,"",IF(AND(M2997&gt;=원인분석!$C$10,M2997&lt;=원인분석!$C$11),"당기",IF(AND(M2997&gt;=원인분석!$C$12,M2997&lt;=원인분석!$C$13),"비교",""))))</f>
        <v/>
      </c>
      <c r="R2997" s="9">
        <f>IF(Q2997="","",$K2997&amp;"")</f>
        <v/>
      </c>
      <c r="S2997" s="9">
        <f>IF(Q2997="","",IF(MATCH(R2997,$R$5:$R$100000,0)=ROW()-4,ROW(),""))</f>
        <v/>
      </c>
      <c r="T2997" s="9">
        <f>IF(Q2997="당기",ABS(P2997)+ROW()/1000000000,"")</f>
        <v/>
      </c>
      <c r="U2997" s="9">
        <f>IF(Q2997="비교",ABS(P2997)+ROW()/1000000000,"")</f>
        <v/>
      </c>
      <c r="V2997" s="64">
        <f>IF($A2997="","",IF(COUNTIF(변동분석!$E$7:$E$506,O2997)&gt;0,"Y","N"))</f>
        <v/>
      </c>
      <c r="W2997" s="64">
        <f>IF($A2997="","",IFERROR(INDEX(계정매핑!$D$5:$D$504,MATCH($F2997&amp;"",계정매핑!$A$5:$A$504,0)),"미매핑"))</f>
        <v/>
      </c>
      <c r="X2997" s="9">
        <f>IF($A2997="","",$F2997&amp;"")</f>
        <v/>
      </c>
      <c r="Y2997" s="94">
        <f>IF($A2997="",0,IF(AE2997="직접",IF(AF2997="비귀속",$P2997,0),$P2997*(1-AG2997)*IFERROR(INDEX(계정대체기준!$F$20:$F$49,MATCH($N2997,계정대체기준!$A$20:$A$49,0)),1)))</f>
        <v/>
      </c>
      <c r="Z2997" s="94">
        <f>IF($A2997="",0,IF(AE2997="직접",IF(AF2997="신계약비",$P2997,0),$P2997*(1-AG2997)*IFERROR(INDEX(계정대체기준!$C$20:$C$49,MATCH($N2997,계정대체기준!$A$20:$A$49,0)),0)))</f>
        <v/>
      </c>
      <c r="AA2997" s="94">
        <f>IF($A2997="",0,IF(AE2997="직접",IF(OR(AF2997="유지비",AF2997="손해조사비"),$P2997,0),$P2997*(1-AG2997)*IFERROR(INDEX(계정대체기준!$D$20:$D$49,MATCH($N2997,계정대체기준!$A$20:$A$49,0)),0)))</f>
        <v/>
      </c>
      <c r="AB2997" s="94">
        <f>IF($A2997="",0,IF(AE2997="직접",IF(AF2997="수금비",$P2997,0),$P2997*(1-AG2997)*IFERROR(INDEX(계정대체기준!$E$20:$E$49,MATCH($N2997,계정대체기준!$A$20:$A$49,0)),0)))</f>
        <v/>
      </c>
      <c r="AC2997" s="9">
        <f>IF(AND($A2997&lt;&gt;"",M2997=설정!$C$20,Z2997&gt;0),Z2997+ROW()/1000000000,"")</f>
        <v/>
      </c>
      <c r="AD2997" s="94">
        <f>IF($A2997="",0,$P2997*AG2997)</f>
        <v/>
      </c>
      <c r="AE2997" s="64">
        <f>IF($A2997="","",IFERROR(INDEX(계정매핑!$E$5:$E$504,MATCH($F2997&amp;"",계정매핑!$A$5:$A$504,0))&amp;"","공통비"))</f>
        <v/>
      </c>
      <c r="AF2997" s="64">
        <f>IF($A2997="","",IF(AE2997="직접",IFERROR(INDEX(계정매핑!$F$5:$F$504,MATCH($F2997&amp;"",계정매핑!$A$5:$A$504,0))&amp;"","비귀속"),""))</f>
        <v/>
      </c>
      <c r="AG2997" s="96">
        <f>IF($A2997="",0,IF(AND(AE2997&lt;&gt;"직접",IFERROR(INDEX(계정매핑!$G$5:$G$504,MATCH($F2997&amp;"",계정매핑!$A$5:$A$504,0))&amp;"","")="유지비",COUNTIF(계정대체기준!$A$6:$A$15,$N2997)&gt;0),IFERROR(INDEX(계정대체기준!$E$6:$E$15,MATCH(VALUE($A2997&amp;""),계정대체기준!$D$6:$D$15,0)),0),0))</f>
        <v/>
      </c>
      <c r="AH2997" s="64">
        <f>IF($A2997="","",IF(AD2997=0,"",IF(OR(COUNTIF(계정대체기준!$A$77:$A$86,$N2997)&gt;0,ISNUMBER(MATCH($X2997,계정대체기준!$D$77:$D$86,0)),ISNUMBER(MATCH($F2997,계정대체기준!$D$77:$D$86,0))),"Y","N")))</f>
        <v/>
      </c>
    </row>
    <row r="2998">
      <c r="A2998" s="92" t="n">
        <v>2026</v>
      </c>
      <c r="B2998" s="92" t="n">
        <v>2</v>
      </c>
      <c r="C2998" s="92" t="inlineStr">
        <is>
          <t>5100000276</t>
        </is>
      </c>
      <c r="D2998" s="95" t="n">
        <v>46060</v>
      </c>
      <c r="E2998" s="92" t="inlineStr">
        <is>
          <t>KR</t>
        </is>
      </c>
      <c r="F2998" s="92" t="n">
        <v>62901000</v>
      </c>
      <c r="G2998" s="92" t="n">
        <v>1801</v>
      </c>
      <c r="H2998" s="93" t="n">
        <v>8982000</v>
      </c>
      <c r="I2998" s="92" t="inlineStr">
        <is>
          <t>2월 자문 수수료 - K회계법인</t>
        </is>
      </c>
      <c r="J2998" s="92" t="inlineStr">
        <is>
          <t>V10011</t>
        </is>
      </c>
      <c r="K2998" s="92" t="inlineStr">
        <is>
          <t>K회계법인</t>
        </is>
      </c>
      <c r="M2998" s="9">
        <f>IF($A2998="","",VALUE($A2998&amp;"")*12+VALUE($B2998&amp;""))</f>
        <v/>
      </c>
      <c r="N2998" s="64">
        <f>IF($A2998="","",IFERROR(INDEX(부서매핑!$C$5:$C$504,MATCH($G2998&amp;"",부서매핑!$A$5:$A$504,0)),"미매핑"))</f>
        <v/>
      </c>
      <c r="O2998" s="9">
        <f>IF($A2998="","",N2998&amp;"|"&amp;$F2998)</f>
        <v/>
      </c>
      <c r="P2998" s="94">
        <f>IF($A2998="",0,$H2998*설정!$C$23)</f>
        <v/>
      </c>
      <c r="Q2998" s="64">
        <f>IF($A2998="","",IF(O2998&lt;&gt;원인분석!$C$9,"",IF(AND(M2998&gt;=원인분석!$C$10,M2998&lt;=원인분석!$C$11),"당기",IF(AND(M2998&gt;=원인분석!$C$12,M2998&lt;=원인분석!$C$13),"비교",""))))</f>
        <v/>
      </c>
      <c r="R2998" s="9">
        <f>IF(Q2998="","",$K2998&amp;"")</f>
        <v/>
      </c>
      <c r="S2998" s="9">
        <f>IF(Q2998="","",IF(MATCH(R2998,$R$5:$R$100000,0)=ROW()-4,ROW(),""))</f>
        <v/>
      </c>
      <c r="T2998" s="9">
        <f>IF(Q2998="당기",ABS(P2998)+ROW()/1000000000,"")</f>
        <v/>
      </c>
      <c r="U2998" s="9">
        <f>IF(Q2998="비교",ABS(P2998)+ROW()/1000000000,"")</f>
        <v/>
      </c>
      <c r="V2998" s="64">
        <f>IF($A2998="","",IF(COUNTIF(변동분석!$E$7:$E$506,O2998)&gt;0,"Y","N"))</f>
        <v/>
      </c>
      <c r="W2998" s="64">
        <f>IF($A2998="","",IFERROR(INDEX(계정매핑!$D$5:$D$504,MATCH($F2998&amp;"",계정매핑!$A$5:$A$504,0)),"미매핑"))</f>
        <v/>
      </c>
      <c r="X2998" s="9">
        <f>IF($A2998="","",$F2998&amp;"")</f>
        <v/>
      </c>
      <c r="Y2998" s="94">
        <f>IF($A2998="",0,IF(AE2998="직접",IF(AF2998="비귀속",$P2998,0),$P2998*(1-AG2998)*IFERROR(INDEX(계정대체기준!$F$20:$F$49,MATCH($N2998,계정대체기준!$A$20:$A$49,0)),1)))</f>
        <v/>
      </c>
      <c r="Z2998" s="94">
        <f>IF($A2998="",0,IF(AE2998="직접",IF(AF2998="신계약비",$P2998,0),$P2998*(1-AG2998)*IFERROR(INDEX(계정대체기준!$C$20:$C$49,MATCH($N2998,계정대체기준!$A$20:$A$49,0)),0)))</f>
        <v/>
      </c>
      <c r="AA2998" s="94">
        <f>IF($A2998="",0,IF(AE2998="직접",IF(OR(AF2998="유지비",AF2998="손해조사비"),$P2998,0),$P2998*(1-AG2998)*IFERROR(INDEX(계정대체기준!$D$20:$D$49,MATCH($N2998,계정대체기준!$A$20:$A$49,0)),0)))</f>
        <v/>
      </c>
      <c r="AB2998" s="94">
        <f>IF($A2998="",0,IF(AE2998="직접",IF(AF2998="수금비",$P2998,0),$P2998*(1-AG2998)*IFERROR(INDEX(계정대체기준!$E$20:$E$49,MATCH($N2998,계정대체기준!$A$20:$A$49,0)),0)))</f>
        <v/>
      </c>
      <c r="AC2998" s="9">
        <f>IF(AND($A2998&lt;&gt;"",M2998=설정!$C$20,Z2998&gt;0),Z2998+ROW()/1000000000,"")</f>
        <v/>
      </c>
      <c r="AD2998" s="94">
        <f>IF($A2998="",0,$P2998*AG2998)</f>
        <v/>
      </c>
      <c r="AE2998" s="64">
        <f>IF($A2998="","",IFERROR(INDEX(계정매핑!$E$5:$E$504,MATCH($F2998&amp;"",계정매핑!$A$5:$A$504,0))&amp;"","공통비"))</f>
        <v/>
      </c>
      <c r="AF2998" s="64">
        <f>IF($A2998="","",IF(AE2998="직접",IFERROR(INDEX(계정매핑!$F$5:$F$504,MATCH($F2998&amp;"",계정매핑!$A$5:$A$504,0))&amp;"","비귀속"),""))</f>
        <v/>
      </c>
      <c r="AG2998" s="96">
        <f>IF($A2998="",0,IF(AND(AE2998&lt;&gt;"직접",IFERROR(INDEX(계정매핑!$G$5:$G$504,MATCH($F2998&amp;"",계정매핑!$A$5:$A$504,0))&amp;"","")="유지비",COUNTIF(계정대체기준!$A$6:$A$15,$N2998)&gt;0),IFERROR(INDEX(계정대체기준!$E$6:$E$15,MATCH(VALUE($A2998&amp;""),계정대체기준!$D$6:$D$15,0)),0),0))</f>
        <v/>
      </c>
      <c r="AH2998" s="64">
        <f>IF($A2998="","",IF(AD2998=0,"",IF(OR(COUNTIF(계정대체기준!$A$77:$A$86,$N2998)&gt;0,ISNUMBER(MATCH($X2998,계정대체기준!$D$77:$D$86,0)),ISNUMBER(MATCH($F2998,계정대체기준!$D$77:$D$86,0))),"Y","N")))</f>
        <v/>
      </c>
    </row>
    <row r="2999">
      <c r="A2999" s="92" t="n">
        <v>2026</v>
      </c>
      <c r="B2999" s="92" t="n">
        <v>2</v>
      </c>
      <c r="C2999" s="92" t="inlineStr">
        <is>
          <t>5100000277</t>
        </is>
      </c>
      <c r="D2999" s="95" t="n">
        <v>46060</v>
      </c>
      <c r="E2999" s="92" t="inlineStr">
        <is>
          <t>KR</t>
        </is>
      </c>
      <c r="F2999" s="92" t="n">
        <v>62902000</v>
      </c>
      <c r="G2999" s="92" t="n">
        <v>1801</v>
      </c>
      <c r="H2999" s="93" t="n">
        <v>1753000</v>
      </c>
      <c r="I2999" s="92" t="inlineStr">
        <is>
          <t>2월 콜 위탁 수수료(건별)</t>
        </is>
      </c>
      <c r="J2999" s="92" t="inlineStr">
        <is>
          <t>V10016</t>
        </is>
      </c>
      <c r="K2999" s="92" t="inlineStr">
        <is>
          <t>J콜센터</t>
        </is>
      </c>
      <c r="M2999" s="9">
        <f>IF($A2999="","",VALUE($A2999&amp;"")*12+VALUE($B2999&amp;""))</f>
        <v/>
      </c>
      <c r="N2999" s="64">
        <f>IF($A2999="","",IFERROR(INDEX(부서매핑!$C$5:$C$504,MATCH($G2999&amp;"",부서매핑!$A$5:$A$504,0)),"미매핑"))</f>
        <v/>
      </c>
      <c r="O2999" s="9">
        <f>IF($A2999="","",N2999&amp;"|"&amp;$F2999)</f>
        <v/>
      </c>
      <c r="P2999" s="94">
        <f>IF($A2999="",0,$H2999*설정!$C$23)</f>
        <v/>
      </c>
      <c r="Q2999" s="64">
        <f>IF($A2999="","",IF(O2999&lt;&gt;원인분석!$C$9,"",IF(AND(M2999&gt;=원인분석!$C$10,M2999&lt;=원인분석!$C$11),"당기",IF(AND(M2999&gt;=원인분석!$C$12,M2999&lt;=원인분석!$C$13),"비교",""))))</f>
        <v/>
      </c>
      <c r="R2999" s="9">
        <f>IF(Q2999="","",$K2999&amp;"")</f>
        <v/>
      </c>
      <c r="S2999" s="9">
        <f>IF(Q2999="","",IF(MATCH(R2999,$R$5:$R$100000,0)=ROW()-4,ROW(),""))</f>
        <v/>
      </c>
      <c r="T2999" s="9">
        <f>IF(Q2999="당기",ABS(P2999)+ROW()/1000000000,"")</f>
        <v/>
      </c>
      <c r="U2999" s="9">
        <f>IF(Q2999="비교",ABS(P2999)+ROW()/1000000000,"")</f>
        <v/>
      </c>
      <c r="V2999" s="64">
        <f>IF($A2999="","",IF(COUNTIF(변동분석!$E$7:$E$506,O2999)&gt;0,"Y","N"))</f>
        <v/>
      </c>
      <c r="W2999" s="64">
        <f>IF($A2999="","",IFERROR(INDEX(계정매핑!$D$5:$D$504,MATCH($F2999&amp;"",계정매핑!$A$5:$A$504,0)),"미매핑"))</f>
        <v/>
      </c>
      <c r="X2999" s="9">
        <f>IF($A2999="","",$F2999&amp;"")</f>
        <v/>
      </c>
      <c r="Y2999" s="94">
        <f>IF($A2999="",0,IF(AE2999="직접",IF(AF2999="비귀속",$P2999,0),$P2999*(1-AG2999)*IFERROR(INDEX(계정대체기준!$F$20:$F$49,MATCH($N2999,계정대체기준!$A$20:$A$49,0)),1)))</f>
        <v/>
      </c>
      <c r="Z2999" s="94">
        <f>IF($A2999="",0,IF(AE2999="직접",IF(AF2999="신계약비",$P2999,0),$P2999*(1-AG2999)*IFERROR(INDEX(계정대체기준!$C$20:$C$49,MATCH($N2999,계정대체기준!$A$20:$A$49,0)),0)))</f>
        <v/>
      </c>
      <c r="AA2999" s="94">
        <f>IF($A2999="",0,IF(AE2999="직접",IF(OR(AF2999="유지비",AF2999="손해조사비"),$P2999,0),$P2999*(1-AG2999)*IFERROR(INDEX(계정대체기준!$D$20:$D$49,MATCH($N2999,계정대체기준!$A$20:$A$49,0)),0)))</f>
        <v/>
      </c>
      <c r="AB2999" s="94">
        <f>IF($A2999="",0,IF(AE2999="직접",IF(AF2999="수금비",$P2999,0),$P2999*(1-AG2999)*IFERROR(INDEX(계정대체기준!$E$20:$E$49,MATCH($N2999,계정대체기준!$A$20:$A$49,0)),0)))</f>
        <v/>
      </c>
      <c r="AC2999" s="9">
        <f>IF(AND($A2999&lt;&gt;"",M2999=설정!$C$20,Z2999&gt;0),Z2999+ROW()/1000000000,"")</f>
        <v/>
      </c>
      <c r="AD2999" s="94">
        <f>IF($A2999="",0,$P2999*AG2999)</f>
        <v/>
      </c>
      <c r="AE2999" s="64">
        <f>IF($A2999="","",IFERROR(INDEX(계정매핑!$E$5:$E$504,MATCH($F2999&amp;"",계정매핑!$A$5:$A$504,0))&amp;"","공통비"))</f>
        <v/>
      </c>
      <c r="AF2999" s="64">
        <f>IF($A2999="","",IF(AE2999="직접",IFERROR(INDEX(계정매핑!$F$5:$F$504,MATCH($F2999&amp;"",계정매핑!$A$5:$A$504,0))&amp;"","비귀속"),""))</f>
        <v/>
      </c>
      <c r="AG2999" s="96">
        <f>IF($A2999="",0,IF(AND(AE2999&lt;&gt;"직접",IFERROR(INDEX(계정매핑!$G$5:$G$504,MATCH($F2999&amp;"",계정매핑!$A$5:$A$504,0))&amp;"","")="유지비",COUNTIF(계정대체기준!$A$6:$A$15,$N2999)&gt;0),IFERROR(INDEX(계정대체기준!$E$6:$E$15,MATCH(VALUE($A2999&amp;""),계정대체기준!$D$6:$D$15,0)),0),0))</f>
        <v/>
      </c>
      <c r="AH2999" s="64">
        <f>IF($A2999="","",IF(AD2999=0,"",IF(OR(COUNTIF(계정대체기준!$A$77:$A$86,$N2999)&gt;0,ISNUMBER(MATCH($X2999,계정대체기준!$D$77:$D$86,0)),ISNUMBER(MATCH($F2999,계정대체기준!$D$77:$D$86,0))),"Y","N")))</f>
        <v/>
      </c>
    </row>
    <row r="3000">
      <c r="A3000" s="92" t="n">
        <v>2026</v>
      </c>
      <c r="B3000" s="92" t="n">
        <v>2</v>
      </c>
      <c r="C3000" s="92" t="inlineStr">
        <is>
          <t>5100000278</t>
        </is>
      </c>
      <c r="D3000" s="95" t="n">
        <v>46061</v>
      </c>
      <c r="E3000" s="92" t="inlineStr">
        <is>
          <t>KR</t>
        </is>
      </c>
      <c r="F3000" s="92" t="n">
        <v>62101000</v>
      </c>
      <c r="G3000" s="92" t="n">
        <v>1301</v>
      </c>
      <c r="H3000" s="93" t="n">
        <v>425000</v>
      </c>
      <c r="I3000" s="92" t="inlineStr">
        <is>
          <t>2월 국내출장 - (법인카드)</t>
        </is>
      </c>
      <c r="J3000" s="92" t="inlineStr">
        <is>
          <t>V10010</t>
        </is>
      </c>
      <c r="K3000" s="92" t="inlineStr">
        <is>
          <t>(법인카드)</t>
        </is>
      </c>
      <c r="M3000" s="9">
        <f>IF($A3000="","",VALUE($A3000&amp;"")*12+VALUE($B3000&amp;""))</f>
        <v/>
      </c>
      <c r="N3000" s="64">
        <f>IF($A3000="","",IFERROR(INDEX(부서매핑!$C$5:$C$504,MATCH($G3000&amp;"",부서매핑!$A$5:$A$504,0)),"미매핑"))</f>
        <v/>
      </c>
      <c r="O3000" s="9">
        <f>IF($A3000="","",N3000&amp;"|"&amp;$F3000)</f>
        <v/>
      </c>
      <c r="P3000" s="94">
        <f>IF($A3000="",0,$H3000*설정!$C$23)</f>
        <v/>
      </c>
      <c r="Q3000" s="64">
        <f>IF($A3000="","",IF(O3000&lt;&gt;원인분석!$C$9,"",IF(AND(M3000&gt;=원인분석!$C$10,M3000&lt;=원인분석!$C$11),"당기",IF(AND(M3000&gt;=원인분석!$C$12,M3000&lt;=원인분석!$C$13),"비교",""))))</f>
        <v/>
      </c>
      <c r="R3000" s="9">
        <f>IF(Q3000="","",$K3000&amp;"")</f>
        <v/>
      </c>
      <c r="S3000" s="9">
        <f>IF(Q3000="","",IF(MATCH(R3000,$R$5:$R$100000,0)=ROW()-4,ROW(),""))</f>
        <v/>
      </c>
      <c r="T3000" s="9">
        <f>IF(Q3000="당기",ABS(P3000)+ROW()/1000000000,"")</f>
        <v/>
      </c>
      <c r="U3000" s="9">
        <f>IF(Q3000="비교",ABS(P3000)+ROW()/1000000000,"")</f>
        <v/>
      </c>
      <c r="V3000" s="64">
        <f>IF($A3000="","",IF(COUNTIF(변동분석!$E$7:$E$506,O3000)&gt;0,"Y","N"))</f>
        <v/>
      </c>
      <c r="W3000" s="64">
        <f>IF($A3000="","",IFERROR(INDEX(계정매핑!$D$5:$D$504,MATCH($F3000&amp;"",계정매핑!$A$5:$A$504,0)),"미매핑"))</f>
        <v/>
      </c>
      <c r="X3000" s="9">
        <f>IF($A3000="","",$F3000&amp;"")</f>
        <v/>
      </c>
      <c r="Y3000" s="94">
        <f>IF($A3000="",0,IF(AE3000="직접",IF(AF3000="비귀속",$P3000,0),$P3000*(1-AG3000)*IFERROR(INDEX(계정대체기준!$F$20:$F$49,MATCH($N3000,계정대체기준!$A$20:$A$49,0)),1)))</f>
        <v/>
      </c>
      <c r="Z3000" s="94">
        <f>IF($A3000="",0,IF(AE3000="직접",IF(AF3000="신계약비",$P3000,0),$P3000*(1-AG3000)*IFERROR(INDEX(계정대체기준!$C$20:$C$49,MATCH($N3000,계정대체기준!$A$20:$A$49,0)),0)))</f>
        <v/>
      </c>
      <c r="AA3000" s="94">
        <f>IF($A3000="",0,IF(AE3000="직접",IF(OR(AF3000="유지비",AF3000="손해조사비"),$P3000,0),$P3000*(1-AG3000)*IFERROR(INDEX(계정대체기준!$D$20:$D$49,MATCH($N3000,계정대체기준!$A$20:$A$49,0)),0)))</f>
        <v/>
      </c>
      <c r="AB3000" s="94">
        <f>IF($A3000="",0,IF(AE3000="직접",IF(AF3000="수금비",$P3000,0),$P3000*(1-AG3000)*IFERROR(INDEX(계정대체기준!$E$20:$E$49,MATCH($N3000,계정대체기준!$A$20:$A$49,0)),0)))</f>
        <v/>
      </c>
      <c r="AC3000" s="9">
        <f>IF(AND($A3000&lt;&gt;"",M3000=설정!$C$20,Z3000&gt;0),Z3000+ROW()/1000000000,"")</f>
        <v/>
      </c>
      <c r="AD3000" s="94">
        <f>IF($A3000="",0,$P3000*AG3000)</f>
        <v/>
      </c>
      <c r="AE3000" s="64">
        <f>IF($A3000="","",IFERROR(INDEX(계정매핑!$E$5:$E$504,MATCH($F3000&amp;"",계정매핑!$A$5:$A$504,0))&amp;"","공통비"))</f>
        <v/>
      </c>
      <c r="AF3000" s="64">
        <f>IF($A3000="","",IF(AE3000="직접",IFERROR(INDEX(계정매핑!$F$5:$F$504,MATCH($F3000&amp;"",계정매핑!$A$5:$A$504,0))&amp;"","비귀속"),""))</f>
        <v/>
      </c>
      <c r="AG3000" s="96">
        <f>IF($A3000="",0,IF(AND(AE3000&lt;&gt;"직접",IFERROR(INDEX(계정매핑!$G$5:$G$504,MATCH($F3000&amp;"",계정매핑!$A$5:$A$504,0))&amp;"","")="유지비",COUNTIF(계정대체기준!$A$6:$A$15,$N3000)&gt;0),IFERROR(INDEX(계정대체기준!$E$6:$E$15,MATCH(VALUE($A3000&amp;""),계정대체기준!$D$6:$D$15,0)),0),0))</f>
        <v/>
      </c>
      <c r="AH3000" s="64">
        <f>IF($A3000="","",IF(AD3000=0,"",IF(OR(COUNTIF(계정대체기준!$A$77:$A$86,$N3000)&gt;0,ISNUMBER(MATCH($X3000,계정대체기준!$D$77:$D$86,0)),ISNUMBER(MATCH($F3000,계정대체기준!$D$77:$D$86,0))),"Y","N")))</f>
        <v/>
      </c>
    </row>
    <row r="3001">
      <c r="A3001" s="92" t="n">
        <v>2026</v>
      </c>
      <c r="B3001" s="92" t="n">
        <v>2</v>
      </c>
      <c r="C3001" s="92" t="inlineStr">
        <is>
          <t>5100000279</t>
        </is>
      </c>
      <c r="D3001" s="95" t="n">
        <v>46061</v>
      </c>
      <c r="E3001" s="92" t="inlineStr">
        <is>
          <t>KR</t>
        </is>
      </c>
      <c r="F3001" s="92" t="n">
        <v>62101000</v>
      </c>
      <c r="G3001" s="92" t="n">
        <v>1301</v>
      </c>
      <c r="H3001" s="93" t="n">
        <v>376000</v>
      </c>
      <c r="I3001" s="92" t="inlineStr">
        <is>
          <t>2월 국내출장 - (법인카드)</t>
        </is>
      </c>
      <c r="J3001" s="92" t="inlineStr">
        <is>
          <t>V10010</t>
        </is>
      </c>
      <c r="K3001" s="92" t="inlineStr">
        <is>
          <t>(법인카드)</t>
        </is>
      </c>
      <c r="M3001" s="9">
        <f>IF($A3001="","",VALUE($A3001&amp;"")*12+VALUE($B3001&amp;""))</f>
        <v/>
      </c>
      <c r="N3001" s="64">
        <f>IF($A3001="","",IFERROR(INDEX(부서매핑!$C$5:$C$504,MATCH($G3001&amp;"",부서매핑!$A$5:$A$504,0)),"미매핑"))</f>
        <v/>
      </c>
      <c r="O3001" s="9">
        <f>IF($A3001="","",N3001&amp;"|"&amp;$F3001)</f>
        <v/>
      </c>
      <c r="P3001" s="94">
        <f>IF($A3001="",0,$H3001*설정!$C$23)</f>
        <v/>
      </c>
      <c r="Q3001" s="64">
        <f>IF($A3001="","",IF(O3001&lt;&gt;원인분석!$C$9,"",IF(AND(M3001&gt;=원인분석!$C$10,M3001&lt;=원인분석!$C$11),"당기",IF(AND(M3001&gt;=원인분석!$C$12,M3001&lt;=원인분석!$C$13),"비교",""))))</f>
        <v/>
      </c>
      <c r="R3001" s="9">
        <f>IF(Q3001="","",$K3001&amp;"")</f>
        <v/>
      </c>
      <c r="S3001" s="9">
        <f>IF(Q3001="","",IF(MATCH(R3001,$R$5:$R$100000,0)=ROW()-4,ROW(),""))</f>
        <v/>
      </c>
      <c r="T3001" s="9">
        <f>IF(Q3001="당기",ABS(P3001)+ROW()/1000000000,"")</f>
        <v/>
      </c>
      <c r="U3001" s="9">
        <f>IF(Q3001="비교",ABS(P3001)+ROW()/1000000000,"")</f>
        <v/>
      </c>
      <c r="V3001" s="64">
        <f>IF($A3001="","",IF(COUNTIF(변동분석!$E$7:$E$506,O3001)&gt;0,"Y","N"))</f>
        <v/>
      </c>
      <c r="W3001" s="64">
        <f>IF($A3001="","",IFERROR(INDEX(계정매핑!$D$5:$D$504,MATCH($F3001&amp;"",계정매핑!$A$5:$A$504,0)),"미매핑"))</f>
        <v/>
      </c>
      <c r="X3001" s="9">
        <f>IF($A3001="","",$F3001&amp;"")</f>
        <v/>
      </c>
      <c r="Y3001" s="94">
        <f>IF($A3001="",0,IF(AE3001="직접",IF(AF3001="비귀속",$P3001,0),$P3001*(1-AG3001)*IFERROR(INDEX(계정대체기준!$F$20:$F$49,MATCH($N3001,계정대체기준!$A$20:$A$49,0)),1)))</f>
        <v/>
      </c>
      <c r="Z3001" s="94">
        <f>IF($A3001="",0,IF(AE3001="직접",IF(AF3001="신계약비",$P3001,0),$P3001*(1-AG3001)*IFERROR(INDEX(계정대체기준!$C$20:$C$49,MATCH($N3001,계정대체기준!$A$20:$A$49,0)),0)))</f>
        <v/>
      </c>
      <c r="AA3001" s="94">
        <f>IF($A3001="",0,IF(AE3001="직접",IF(OR(AF3001="유지비",AF3001="손해조사비"),$P3001,0),$P3001*(1-AG3001)*IFERROR(INDEX(계정대체기준!$D$20:$D$49,MATCH($N3001,계정대체기준!$A$20:$A$49,0)),0)))</f>
        <v/>
      </c>
      <c r="AB3001" s="94">
        <f>IF($A3001="",0,IF(AE3001="직접",IF(AF3001="수금비",$P3001,0),$P3001*(1-AG3001)*IFERROR(INDEX(계정대체기준!$E$20:$E$49,MATCH($N3001,계정대체기준!$A$20:$A$49,0)),0)))</f>
        <v/>
      </c>
      <c r="AC3001" s="9">
        <f>IF(AND($A3001&lt;&gt;"",M3001=설정!$C$20,Z3001&gt;0),Z3001+ROW()/1000000000,"")</f>
        <v/>
      </c>
      <c r="AD3001" s="94">
        <f>IF($A3001="",0,$P3001*AG3001)</f>
        <v/>
      </c>
      <c r="AE3001" s="64">
        <f>IF($A3001="","",IFERROR(INDEX(계정매핑!$E$5:$E$504,MATCH($F3001&amp;"",계정매핑!$A$5:$A$504,0))&amp;"","공통비"))</f>
        <v/>
      </c>
      <c r="AF3001" s="64">
        <f>IF($A3001="","",IF(AE3001="직접",IFERROR(INDEX(계정매핑!$F$5:$F$504,MATCH($F3001&amp;"",계정매핑!$A$5:$A$504,0))&amp;"","비귀속"),""))</f>
        <v/>
      </c>
      <c r="AG3001" s="96">
        <f>IF($A3001="",0,IF(AND(AE3001&lt;&gt;"직접",IFERROR(INDEX(계정매핑!$G$5:$G$504,MATCH($F3001&amp;"",계정매핑!$A$5:$A$504,0))&amp;"","")="유지비",COUNTIF(계정대체기준!$A$6:$A$15,$N3001)&gt;0),IFERROR(INDEX(계정대체기준!$E$6:$E$15,MATCH(VALUE($A3001&amp;""),계정대체기준!$D$6:$D$15,0)),0),0))</f>
        <v/>
      </c>
      <c r="AH3001" s="64">
        <f>IF($A3001="","",IF(AD3001=0,"",IF(OR(COUNTIF(계정대체기준!$A$77:$A$86,$N3001)&gt;0,ISNUMBER(MATCH($X3001,계정대체기준!$D$77:$D$86,0)),ISNUMBER(MATCH($F3001,계정대체기준!$D$77:$D$86,0))),"Y","N")))</f>
        <v/>
      </c>
    </row>
    <row r="3002">
      <c r="A3002" s="92" t="n">
        <v>2026</v>
      </c>
      <c r="B3002" s="92" t="n">
        <v>2</v>
      </c>
      <c r="C3002" s="92" t="inlineStr">
        <is>
          <t>5100000280</t>
        </is>
      </c>
      <c r="D3002" s="95" t="n">
        <v>46061</v>
      </c>
      <c r="E3002" s="92" t="inlineStr">
        <is>
          <t>KR</t>
        </is>
      </c>
      <c r="F3002" s="92" t="n">
        <v>62102000</v>
      </c>
      <c r="G3002" s="92" t="n">
        <v>1101</v>
      </c>
      <c r="H3002" s="93" t="n">
        <v>216000</v>
      </c>
      <c r="I3002" s="92" t="inlineStr">
        <is>
          <t>2월 해외출장 - N호텔</t>
        </is>
      </c>
      <c r="J3002" s="92" t="inlineStr">
        <is>
          <t>V10009</t>
        </is>
      </c>
      <c r="K3002" s="92" t="inlineStr">
        <is>
          <t>N호텔</t>
        </is>
      </c>
      <c r="M3002" s="9">
        <f>IF($A3002="","",VALUE($A3002&amp;"")*12+VALUE($B3002&amp;""))</f>
        <v/>
      </c>
      <c r="N3002" s="64">
        <f>IF($A3002="","",IFERROR(INDEX(부서매핑!$C$5:$C$504,MATCH($G3002&amp;"",부서매핑!$A$5:$A$504,0)),"미매핑"))</f>
        <v/>
      </c>
      <c r="O3002" s="9">
        <f>IF($A3002="","",N3002&amp;"|"&amp;$F3002)</f>
        <v/>
      </c>
      <c r="P3002" s="94">
        <f>IF($A3002="",0,$H3002*설정!$C$23)</f>
        <v/>
      </c>
      <c r="Q3002" s="64">
        <f>IF($A3002="","",IF(O3002&lt;&gt;원인분석!$C$9,"",IF(AND(M3002&gt;=원인분석!$C$10,M3002&lt;=원인분석!$C$11),"당기",IF(AND(M3002&gt;=원인분석!$C$12,M3002&lt;=원인분석!$C$13),"비교",""))))</f>
        <v/>
      </c>
      <c r="R3002" s="9">
        <f>IF(Q3002="","",$K3002&amp;"")</f>
        <v/>
      </c>
      <c r="S3002" s="9">
        <f>IF(Q3002="","",IF(MATCH(R3002,$R$5:$R$100000,0)=ROW()-4,ROW(),""))</f>
        <v/>
      </c>
      <c r="T3002" s="9">
        <f>IF(Q3002="당기",ABS(P3002)+ROW()/1000000000,"")</f>
        <v/>
      </c>
      <c r="U3002" s="9">
        <f>IF(Q3002="비교",ABS(P3002)+ROW()/1000000000,"")</f>
        <v/>
      </c>
      <c r="V3002" s="64">
        <f>IF($A3002="","",IF(COUNTIF(변동분석!$E$7:$E$506,O3002)&gt;0,"Y","N"))</f>
        <v/>
      </c>
      <c r="W3002" s="64">
        <f>IF($A3002="","",IFERROR(INDEX(계정매핑!$D$5:$D$504,MATCH($F3002&amp;"",계정매핑!$A$5:$A$504,0)),"미매핑"))</f>
        <v/>
      </c>
      <c r="X3002" s="9">
        <f>IF($A3002="","",$F3002&amp;"")</f>
        <v/>
      </c>
      <c r="Y3002" s="94">
        <f>IF($A3002="",0,IF(AE3002="직접",IF(AF3002="비귀속",$P3002,0),$P3002*(1-AG3002)*IFERROR(INDEX(계정대체기준!$F$20:$F$49,MATCH($N3002,계정대체기준!$A$20:$A$49,0)),1)))</f>
        <v/>
      </c>
      <c r="Z3002" s="94">
        <f>IF($A3002="",0,IF(AE3002="직접",IF(AF3002="신계약비",$P3002,0),$P3002*(1-AG3002)*IFERROR(INDEX(계정대체기준!$C$20:$C$49,MATCH($N3002,계정대체기준!$A$20:$A$49,0)),0)))</f>
        <v/>
      </c>
      <c r="AA3002" s="94">
        <f>IF($A3002="",0,IF(AE3002="직접",IF(OR(AF3002="유지비",AF3002="손해조사비"),$P3002,0),$P3002*(1-AG3002)*IFERROR(INDEX(계정대체기준!$D$20:$D$49,MATCH($N3002,계정대체기준!$A$20:$A$49,0)),0)))</f>
        <v/>
      </c>
      <c r="AB3002" s="94">
        <f>IF($A3002="",0,IF(AE3002="직접",IF(AF3002="수금비",$P3002,0),$P3002*(1-AG3002)*IFERROR(INDEX(계정대체기준!$E$20:$E$49,MATCH($N3002,계정대체기준!$A$20:$A$49,0)),0)))</f>
        <v/>
      </c>
      <c r="AC3002" s="9">
        <f>IF(AND($A3002&lt;&gt;"",M3002=설정!$C$20,Z3002&gt;0),Z3002+ROW()/1000000000,"")</f>
        <v/>
      </c>
      <c r="AD3002" s="94">
        <f>IF($A3002="",0,$P3002*AG3002)</f>
        <v/>
      </c>
      <c r="AE3002" s="64">
        <f>IF($A3002="","",IFERROR(INDEX(계정매핑!$E$5:$E$504,MATCH($F3002&amp;"",계정매핑!$A$5:$A$504,0))&amp;"","공통비"))</f>
        <v/>
      </c>
      <c r="AF3002" s="64">
        <f>IF($A3002="","",IF(AE3002="직접",IFERROR(INDEX(계정매핑!$F$5:$F$504,MATCH($F3002&amp;"",계정매핑!$A$5:$A$504,0))&amp;"","비귀속"),""))</f>
        <v/>
      </c>
      <c r="AG3002" s="96">
        <f>IF($A3002="",0,IF(AND(AE3002&lt;&gt;"직접",IFERROR(INDEX(계정매핑!$G$5:$G$504,MATCH($F3002&amp;"",계정매핑!$A$5:$A$504,0))&amp;"","")="유지비",COUNTIF(계정대체기준!$A$6:$A$15,$N3002)&gt;0),IFERROR(INDEX(계정대체기준!$E$6:$E$15,MATCH(VALUE($A3002&amp;""),계정대체기준!$D$6:$D$15,0)),0),0))</f>
        <v/>
      </c>
      <c r="AH3002" s="64">
        <f>IF($A3002="","",IF(AD3002=0,"",IF(OR(COUNTIF(계정대체기준!$A$77:$A$86,$N3002)&gt;0,ISNUMBER(MATCH($X3002,계정대체기준!$D$77:$D$86,0)),ISNUMBER(MATCH($F3002,계정대체기준!$D$77:$D$86,0))),"Y","N")))</f>
        <v/>
      </c>
    </row>
    <row r="3003">
      <c r="A3003" s="92" t="n">
        <v>2026</v>
      </c>
      <c r="B3003" s="92" t="n">
        <v>2</v>
      </c>
      <c r="C3003" s="92" t="inlineStr">
        <is>
          <t>5100000281</t>
        </is>
      </c>
      <c r="D3003" s="95" t="n">
        <v>46061</v>
      </c>
      <c r="E3003" s="92" t="inlineStr">
        <is>
          <t>KR</t>
        </is>
      </c>
      <c r="F3003" s="92" t="n">
        <v>62102000</v>
      </c>
      <c r="G3003" s="92" t="n">
        <v>1801</v>
      </c>
      <c r="H3003" s="93" t="n">
        <v>36000</v>
      </c>
      <c r="I3003" s="92" t="inlineStr">
        <is>
          <t>2월 해외출장 - M항공</t>
        </is>
      </c>
      <c r="J3003" s="92" t="inlineStr">
        <is>
          <t>V10001</t>
        </is>
      </c>
      <c r="K3003" s="92" t="inlineStr">
        <is>
          <t>M항공</t>
        </is>
      </c>
      <c r="M3003" s="9">
        <f>IF($A3003="","",VALUE($A3003&amp;"")*12+VALUE($B3003&amp;""))</f>
        <v/>
      </c>
      <c r="N3003" s="64">
        <f>IF($A3003="","",IFERROR(INDEX(부서매핑!$C$5:$C$504,MATCH($G3003&amp;"",부서매핑!$A$5:$A$504,0)),"미매핑"))</f>
        <v/>
      </c>
      <c r="O3003" s="9">
        <f>IF($A3003="","",N3003&amp;"|"&amp;$F3003)</f>
        <v/>
      </c>
      <c r="P3003" s="94">
        <f>IF($A3003="",0,$H3003*설정!$C$23)</f>
        <v/>
      </c>
      <c r="Q3003" s="64">
        <f>IF($A3003="","",IF(O3003&lt;&gt;원인분석!$C$9,"",IF(AND(M3003&gt;=원인분석!$C$10,M3003&lt;=원인분석!$C$11),"당기",IF(AND(M3003&gt;=원인분석!$C$12,M3003&lt;=원인분석!$C$13),"비교",""))))</f>
        <v/>
      </c>
      <c r="R3003" s="9">
        <f>IF(Q3003="","",$K3003&amp;"")</f>
        <v/>
      </c>
      <c r="S3003" s="9">
        <f>IF(Q3003="","",IF(MATCH(R3003,$R$5:$R$100000,0)=ROW()-4,ROW(),""))</f>
        <v/>
      </c>
      <c r="T3003" s="9">
        <f>IF(Q3003="당기",ABS(P3003)+ROW()/1000000000,"")</f>
        <v/>
      </c>
      <c r="U3003" s="9">
        <f>IF(Q3003="비교",ABS(P3003)+ROW()/1000000000,"")</f>
        <v/>
      </c>
      <c r="V3003" s="64">
        <f>IF($A3003="","",IF(COUNTIF(변동분석!$E$7:$E$506,O3003)&gt;0,"Y","N"))</f>
        <v/>
      </c>
      <c r="W3003" s="64">
        <f>IF($A3003="","",IFERROR(INDEX(계정매핑!$D$5:$D$504,MATCH($F3003&amp;"",계정매핑!$A$5:$A$504,0)),"미매핑"))</f>
        <v/>
      </c>
      <c r="X3003" s="9">
        <f>IF($A3003="","",$F3003&amp;"")</f>
        <v/>
      </c>
      <c r="Y3003" s="94">
        <f>IF($A3003="",0,IF(AE3003="직접",IF(AF3003="비귀속",$P3003,0),$P3003*(1-AG3003)*IFERROR(INDEX(계정대체기준!$F$20:$F$49,MATCH($N3003,계정대체기준!$A$20:$A$49,0)),1)))</f>
        <v/>
      </c>
      <c r="Z3003" s="94">
        <f>IF($A3003="",0,IF(AE3003="직접",IF(AF3003="신계약비",$P3003,0),$P3003*(1-AG3003)*IFERROR(INDEX(계정대체기준!$C$20:$C$49,MATCH($N3003,계정대체기준!$A$20:$A$49,0)),0)))</f>
        <v/>
      </c>
      <c r="AA3003" s="94">
        <f>IF($A3003="",0,IF(AE3003="직접",IF(OR(AF3003="유지비",AF3003="손해조사비"),$P3003,0),$P3003*(1-AG3003)*IFERROR(INDEX(계정대체기준!$D$20:$D$49,MATCH($N3003,계정대체기준!$A$20:$A$49,0)),0)))</f>
        <v/>
      </c>
      <c r="AB3003" s="94">
        <f>IF($A3003="",0,IF(AE3003="직접",IF(AF3003="수금비",$P3003,0),$P3003*(1-AG3003)*IFERROR(INDEX(계정대체기준!$E$20:$E$49,MATCH($N3003,계정대체기준!$A$20:$A$49,0)),0)))</f>
        <v/>
      </c>
      <c r="AC3003" s="9">
        <f>IF(AND($A3003&lt;&gt;"",M3003=설정!$C$20,Z3003&gt;0),Z3003+ROW()/1000000000,"")</f>
        <v/>
      </c>
      <c r="AD3003" s="94">
        <f>IF($A3003="",0,$P3003*AG3003)</f>
        <v/>
      </c>
      <c r="AE3003" s="64">
        <f>IF($A3003="","",IFERROR(INDEX(계정매핑!$E$5:$E$504,MATCH($F3003&amp;"",계정매핑!$A$5:$A$504,0))&amp;"","공통비"))</f>
        <v/>
      </c>
      <c r="AF3003" s="64">
        <f>IF($A3003="","",IF(AE3003="직접",IFERROR(INDEX(계정매핑!$F$5:$F$504,MATCH($F3003&amp;"",계정매핑!$A$5:$A$504,0))&amp;"","비귀속"),""))</f>
        <v/>
      </c>
      <c r="AG3003" s="96">
        <f>IF($A3003="",0,IF(AND(AE3003&lt;&gt;"직접",IFERROR(INDEX(계정매핑!$G$5:$G$504,MATCH($F3003&amp;"",계정매핑!$A$5:$A$504,0))&amp;"","")="유지비",COUNTIF(계정대체기준!$A$6:$A$15,$N3003)&gt;0),IFERROR(INDEX(계정대체기준!$E$6:$E$15,MATCH(VALUE($A3003&amp;""),계정대체기준!$D$6:$D$15,0)),0),0))</f>
        <v/>
      </c>
      <c r="AH3003" s="64">
        <f>IF($A3003="","",IF(AD3003=0,"",IF(OR(COUNTIF(계정대체기준!$A$77:$A$86,$N3003)&gt;0,ISNUMBER(MATCH($X3003,계정대체기준!$D$77:$D$86,0)),ISNUMBER(MATCH($F3003,계정대체기준!$D$77:$D$86,0))),"Y","N")))</f>
        <v/>
      </c>
    </row>
    <row r="3004">
      <c r="A3004" s="92" t="n">
        <v>2026</v>
      </c>
      <c r="B3004" s="92" t="n">
        <v>2</v>
      </c>
      <c r="C3004" s="92" t="inlineStr">
        <is>
          <t>5100000282</t>
        </is>
      </c>
      <c r="D3004" s="95" t="n">
        <v>46061</v>
      </c>
      <c r="E3004" s="92" t="inlineStr">
        <is>
          <t>KR</t>
        </is>
      </c>
      <c r="F3004" s="92" t="n">
        <v>62201000</v>
      </c>
      <c r="G3004" s="92" t="n">
        <v>1201</v>
      </c>
      <c r="H3004" s="93" t="n">
        <v>113000</v>
      </c>
      <c r="I3004" s="92" t="inlineStr">
        <is>
          <t>2월 통신요금 - O텔레콤</t>
        </is>
      </c>
      <c r="J3004" s="92" t="inlineStr">
        <is>
          <t>V10002</t>
        </is>
      </c>
      <c r="K3004" s="92" t="inlineStr">
        <is>
          <t>O텔레콤</t>
        </is>
      </c>
      <c r="M3004" s="9">
        <f>IF($A3004="","",VALUE($A3004&amp;"")*12+VALUE($B3004&amp;""))</f>
        <v/>
      </c>
      <c r="N3004" s="64">
        <f>IF($A3004="","",IFERROR(INDEX(부서매핑!$C$5:$C$504,MATCH($G3004&amp;"",부서매핑!$A$5:$A$504,0)),"미매핑"))</f>
        <v/>
      </c>
      <c r="O3004" s="9">
        <f>IF($A3004="","",N3004&amp;"|"&amp;$F3004)</f>
        <v/>
      </c>
      <c r="P3004" s="94">
        <f>IF($A3004="",0,$H3004*설정!$C$23)</f>
        <v/>
      </c>
      <c r="Q3004" s="64">
        <f>IF($A3004="","",IF(O3004&lt;&gt;원인분석!$C$9,"",IF(AND(M3004&gt;=원인분석!$C$10,M3004&lt;=원인분석!$C$11),"당기",IF(AND(M3004&gt;=원인분석!$C$12,M3004&lt;=원인분석!$C$13),"비교",""))))</f>
        <v/>
      </c>
      <c r="R3004" s="9">
        <f>IF(Q3004="","",$K3004&amp;"")</f>
        <v/>
      </c>
      <c r="S3004" s="9">
        <f>IF(Q3004="","",IF(MATCH(R3004,$R$5:$R$100000,0)=ROW()-4,ROW(),""))</f>
        <v/>
      </c>
      <c r="T3004" s="9">
        <f>IF(Q3004="당기",ABS(P3004)+ROW()/1000000000,"")</f>
        <v/>
      </c>
      <c r="U3004" s="9">
        <f>IF(Q3004="비교",ABS(P3004)+ROW()/1000000000,"")</f>
        <v/>
      </c>
      <c r="V3004" s="64">
        <f>IF($A3004="","",IF(COUNTIF(변동분석!$E$7:$E$506,O3004)&gt;0,"Y","N"))</f>
        <v/>
      </c>
      <c r="W3004" s="64">
        <f>IF($A3004="","",IFERROR(INDEX(계정매핑!$D$5:$D$504,MATCH($F3004&amp;"",계정매핑!$A$5:$A$504,0)),"미매핑"))</f>
        <v/>
      </c>
      <c r="X3004" s="9">
        <f>IF($A3004="","",$F3004&amp;"")</f>
        <v/>
      </c>
      <c r="Y3004" s="94">
        <f>IF($A3004="",0,IF(AE3004="직접",IF(AF3004="비귀속",$P3004,0),$P3004*(1-AG3004)*IFERROR(INDEX(계정대체기준!$F$20:$F$49,MATCH($N3004,계정대체기준!$A$20:$A$49,0)),1)))</f>
        <v/>
      </c>
      <c r="Z3004" s="94">
        <f>IF($A3004="",0,IF(AE3004="직접",IF(AF3004="신계약비",$P3004,0),$P3004*(1-AG3004)*IFERROR(INDEX(계정대체기준!$C$20:$C$49,MATCH($N3004,계정대체기준!$A$20:$A$49,0)),0)))</f>
        <v/>
      </c>
      <c r="AA3004" s="94">
        <f>IF($A3004="",0,IF(AE3004="직접",IF(OR(AF3004="유지비",AF3004="손해조사비"),$P3004,0),$P3004*(1-AG3004)*IFERROR(INDEX(계정대체기준!$D$20:$D$49,MATCH($N3004,계정대체기준!$A$20:$A$49,0)),0)))</f>
        <v/>
      </c>
      <c r="AB3004" s="94">
        <f>IF($A3004="",0,IF(AE3004="직접",IF(AF3004="수금비",$P3004,0),$P3004*(1-AG3004)*IFERROR(INDEX(계정대체기준!$E$20:$E$49,MATCH($N3004,계정대체기준!$A$20:$A$49,0)),0)))</f>
        <v/>
      </c>
      <c r="AC3004" s="9">
        <f>IF(AND($A3004&lt;&gt;"",M3004=설정!$C$20,Z3004&gt;0),Z3004+ROW()/1000000000,"")</f>
        <v/>
      </c>
      <c r="AD3004" s="94">
        <f>IF($A3004="",0,$P3004*AG3004)</f>
        <v/>
      </c>
      <c r="AE3004" s="64">
        <f>IF($A3004="","",IFERROR(INDEX(계정매핑!$E$5:$E$504,MATCH($F3004&amp;"",계정매핑!$A$5:$A$504,0))&amp;"","공통비"))</f>
        <v/>
      </c>
      <c r="AF3004" s="64">
        <f>IF($A3004="","",IF(AE3004="직접",IFERROR(INDEX(계정매핑!$F$5:$F$504,MATCH($F3004&amp;"",계정매핑!$A$5:$A$504,0))&amp;"","비귀속"),""))</f>
        <v/>
      </c>
      <c r="AG3004" s="96">
        <f>IF($A3004="",0,IF(AND(AE3004&lt;&gt;"직접",IFERROR(INDEX(계정매핑!$G$5:$G$504,MATCH($F3004&amp;"",계정매핑!$A$5:$A$504,0))&amp;"","")="유지비",COUNTIF(계정대체기준!$A$6:$A$15,$N3004)&gt;0),IFERROR(INDEX(계정대체기준!$E$6:$E$15,MATCH(VALUE($A3004&amp;""),계정대체기준!$D$6:$D$15,0)),0),0))</f>
        <v/>
      </c>
      <c r="AH3004" s="64">
        <f>IF($A3004="","",IF(AD3004=0,"",IF(OR(COUNTIF(계정대체기준!$A$77:$A$86,$N3004)&gt;0,ISNUMBER(MATCH($X3004,계정대체기준!$D$77:$D$86,0)),ISNUMBER(MATCH($F3004,계정대체기준!$D$77:$D$86,0))),"Y","N")))</f>
        <v/>
      </c>
    </row>
    <row r="3005">
      <c r="A3005" s="92" t="n">
        <v>2026</v>
      </c>
      <c r="B3005" s="92" t="n">
        <v>2</v>
      </c>
      <c r="C3005" s="92" t="inlineStr">
        <is>
          <t>5100000283</t>
        </is>
      </c>
      <c r="D3005" s="95" t="n">
        <v>46061</v>
      </c>
      <c r="E3005" s="92" t="inlineStr">
        <is>
          <t>KR</t>
        </is>
      </c>
      <c r="F3005" s="92" t="n">
        <v>62301000</v>
      </c>
      <c r="G3005" s="92" t="n">
        <v>1201</v>
      </c>
      <c r="H3005" s="93" t="n">
        <v>353000</v>
      </c>
      <c r="I3005" s="92" t="inlineStr">
        <is>
          <t>2월 소모품 구입 - R문구</t>
        </is>
      </c>
      <c r="J3005" s="92" t="inlineStr">
        <is>
          <t>V10022</t>
        </is>
      </c>
      <c r="K3005" s="92" t="inlineStr">
        <is>
          <t>R문구</t>
        </is>
      </c>
      <c r="M3005" s="9">
        <f>IF($A3005="","",VALUE($A3005&amp;"")*12+VALUE($B3005&amp;""))</f>
        <v/>
      </c>
      <c r="N3005" s="64">
        <f>IF($A3005="","",IFERROR(INDEX(부서매핑!$C$5:$C$504,MATCH($G3005&amp;"",부서매핑!$A$5:$A$504,0)),"미매핑"))</f>
        <v/>
      </c>
      <c r="O3005" s="9">
        <f>IF($A3005="","",N3005&amp;"|"&amp;$F3005)</f>
        <v/>
      </c>
      <c r="P3005" s="94">
        <f>IF($A3005="",0,$H3005*설정!$C$23)</f>
        <v/>
      </c>
      <c r="Q3005" s="64">
        <f>IF($A3005="","",IF(O3005&lt;&gt;원인분석!$C$9,"",IF(AND(M3005&gt;=원인분석!$C$10,M3005&lt;=원인분석!$C$11),"당기",IF(AND(M3005&gt;=원인분석!$C$12,M3005&lt;=원인분석!$C$13),"비교",""))))</f>
        <v/>
      </c>
      <c r="R3005" s="9">
        <f>IF(Q3005="","",$K3005&amp;"")</f>
        <v/>
      </c>
      <c r="S3005" s="9">
        <f>IF(Q3005="","",IF(MATCH(R3005,$R$5:$R$100000,0)=ROW()-4,ROW(),""))</f>
        <v/>
      </c>
      <c r="T3005" s="9">
        <f>IF(Q3005="당기",ABS(P3005)+ROW()/1000000000,"")</f>
        <v/>
      </c>
      <c r="U3005" s="9">
        <f>IF(Q3005="비교",ABS(P3005)+ROW()/1000000000,"")</f>
        <v/>
      </c>
      <c r="V3005" s="64">
        <f>IF($A3005="","",IF(COUNTIF(변동분석!$E$7:$E$506,O3005)&gt;0,"Y","N"))</f>
        <v/>
      </c>
      <c r="W3005" s="64">
        <f>IF($A3005="","",IFERROR(INDEX(계정매핑!$D$5:$D$504,MATCH($F3005&amp;"",계정매핑!$A$5:$A$504,0)),"미매핑"))</f>
        <v/>
      </c>
      <c r="X3005" s="9">
        <f>IF($A3005="","",$F3005&amp;"")</f>
        <v/>
      </c>
      <c r="Y3005" s="94">
        <f>IF($A3005="",0,IF(AE3005="직접",IF(AF3005="비귀속",$P3005,0),$P3005*(1-AG3005)*IFERROR(INDEX(계정대체기준!$F$20:$F$49,MATCH($N3005,계정대체기준!$A$20:$A$49,0)),1)))</f>
        <v/>
      </c>
      <c r="Z3005" s="94">
        <f>IF($A3005="",0,IF(AE3005="직접",IF(AF3005="신계약비",$P3005,0),$P3005*(1-AG3005)*IFERROR(INDEX(계정대체기준!$C$20:$C$49,MATCH($N3005,계정대체기준!$A$20:$A$49,0)),0)))</f>
        <v/>
      </c>
      <c r="AA3005" s="94">
        <f>IF($A3005="",0,IF(AE3005="직접",IF(OR(AF3005="유지비",AF3005="손해조사비"),$P3005,0),$P3005*(1-AG3005)*IFERROR(INDEX(계정대체기준!$D$20:$D$49,MATCH($N3005,계정대체기준!$A$20:$A$49,0)),0)))</f>
        <v/>
      </c>
      <c r="AB3005" s="94">
        <f>IF($A3005="",0,IF(AE3005="직접",IF(AF3005="수금비",$P3005,0),$P3005*(1-AG3005)*IFERROR(INDEX(계정대체기준!$E$20:$E$49,MATCH($N3005,계정대체기준!$A$20:$A$49,0)),0)))</f>
        <v/>
      </c>
      <c r="AC3005" s="9">
        <f>IF(AND($A3005&lt;&gt;"",M3005=설정!$C$20,Z3005&gt;0),Z3005+ROW()/1000000000,"")</f>
        <v/>
      </c>
      <c r="AD3005" s="94">
        <f>IF($A3005="",0,$P3005*AG3005)</f>
        <v/>
      </c>
      <c r="AE3005" s="64">
        <f>IF($A3005="","",IFERROR(INDEX(계정매핑!$E$5:$E$504,MATCH($F3005&amp;"",계정매핑!$A$5:$A$504,0))&amp;"","공통비"))</f>
        <v/>
      </c>
      <c r="AF3005" s="64">
        <f>IF($A3005="","",IF(AE3005="직접",IFERROR(INDEX(계정매핑!$F$5:$F$504,MATCH($F3005&amp;"",계정매핑!$A$5:$A$504,0))&amp;"","비귀속"),""))</f>
        <v/>
      </c>
      <c r="AG3005" s="96">
        <f>IF($A3005="",0,IF(AND(AE3005&lt;&gt;"직접",IFERROR(INDEX(계정매핑!$G$5:$G$504,MATCH($F3005&amp;"",계정매핑!$A$5:$A$504,0))&amp;"","")="유지비",COUNTIF(계정대체기준!$A$6:$A$15,$N3005)&gt;0),IFERROR(INDEX(계정대체기준!$E$6:$E$15,MATCH(VALUE($A3005&amp;""),계정대체기준!$D$6:$D$15,0)),0),0))</f>
        <v/>
      </c>
      <c r="AH3005" s="64">
        <f>IF($A3005="","",IF(AD3005=0,"",IF(OR(COUNTIF(계정대체기준!$A$77:$A$86,$N3005)&gt;0,ISNUMBER(MATCH($X3005,계정대체기준!$D$77:$D$86,0)),ISNUMBER(MATCH($F3005,계정대체기준!$D$77:$D$86,0))),"Y","N")))</f>
        <v/>
      </c>
    </row>
    <row r="3006">
      <c r="A3006" s="92" t="n">
        <v>2026</v>
      </c>
      <c r="B3006" s="92" t="n">
        <v>2</v>
      </c>
      <c r="C3006" s="92" t="inlineStr">
        <is>
          <t>5100000284</t>
        </is>
      </c>
      <c r="D3006" s="95" t="n">
        <v>46061</v>
      </c>
      <c r="E3006" s="92" t="inlineStr">
        <is>
          <t>KR</t>
        </is>
      </c>
      <c r="F3006" s="92" t="n">
        <v>62301000</v>
      </c>
      <c r="G3006" s="92" t="n">
        <v>1401</v>
      </c>
      <c r="H3006" s="93" t="n">
        <v>105000</v>
      </c>
      <c r="I3006" s="92" t="inlineStr">
        <is>
          <t>2월 소모품 구입 - R문구</t>
        </is>
      </c>
      <c r="J3006" s="92" t="inlineStr">
        <is>
          <t>V10022</t>
        </is>
      </c>
      <c r="K3006" s="92" t="inlineStr">
        <is>
          <t>R문구</t>
        </is>
      </c>
      <c r="M3006" s="9">
        <f>IF($A3006="","",VALUE($A3006&amp;"")*12+VALUE($B3006&amp;""))</f>
        <v/>
      </c>
      <c r="N3006" s="64">
        <f>IF($A3006="","",IFERROR(INDEX(부서매핑!$C$5:$C$504,MATCH($G3006&amp;"",부서매핑!$A$5:$A$504,0)),"미매핑"))</f>
        <v/>
      </c>
      <c r="O3006" s="9">
        <f>IF($A3006="","",N3006&amp;"|"&amp;$F3006)</f>
        <v/>
      </c>
      <c r="P3006" s="94">
        <f>IF($A3006="",0,$H3006*설정!$C$23)</f>
        <v/>
      </c>
      <c r="Q3006" s="64">
        <f>IF($A3006="","",IF(O3006&lt;&gt;원인분석!$C$9,"",IF(AND(M3006&gt;=원인분석!$C$10,M3006&lt;=원인분석!$C$11),"당기",IF(AND(M3006&gt;=원인분석!$C$12,M3006&lt;=원인분석!$C$13),"비교",""))))</f>
        <v/>
      </c>
      <c r="R3006" s="9">
        <f>IF(Q3006="","",$K3006&amp;"")</f>
        <v/>
      </c>
      <c r="S3006" s="9">
        <f>IF(Q3006="","",IF(MATCH(R3006,$R$5:$R$100000,0)=ROW()-4,ROW(),""))</f>
        <v/>
      </c>
      <c r="T3006" s="9">
        <f>IF(Q3006="당기",ABS(P3006)+ROW()/1000000000,"")</f>
        <v/>
      </c>
      <c r="U3006" s="9">
        <f>IF(Q3006="비교",ABS(P3006)+ROW()/1000000000,"")</f>
        <v/>
      </c>
      <c r="V3006" s="64">
        <f>IF($A3006="","",IF(COUNTIF(변동분석!$E$7:$E$506,O3006)&gt;0,"Y","N"))</f>
        <v/>
      </c>
      <c r="W3006" s="64">
        <f>IF($A3006="","",IFERROR(INDEX(계정매핑!$D$5:$D$504,MATCH($F3006&amp;"",계정매핑!$A$5:$A$504,0)),"미매핑"))</f>
        <v/>
      </c>
      <c r="X3006" s="9">
        <f>IF($A3006="","",$F3006&amp;"")</f>
        <v/>
      </c>
      <c r="Y3006" s="94">
        <f>IF($A3006="",0,IF(AE3006="직접",IF(AF3006="비귀속",$P3006,0),$P3006*(1-AG3006)*IFERROR(INDEX(계정대체기준!$F$20:$F$49,MATCH($N3006,계정대체기준!$A$20:$A$49,0)),1)))</f>
        <v/>
      </c>
      <c r="Z3006" s="94">
        <f>IF($A3006="",0,IF(AE3006="직접",IF(AF3006="신계약비",$P3006,0),$P3006*(1-AG3006)*IFERROR(INDEX(계정대체기준!$C$20:$C$49,MATCH($N3006,계정대체기준!$A$20:$A$49,0)),0)))</f>
        <v/>
      </c>
      <c r="AA3006" s="94">
        <f>IF($A3006="",0,IF(AE3006="직접",IF(OR(AF3006="유지비",AF3006="손해조사비"),$P3006,0),$P3006*(1-AG3006)*IFERROR(INDEX(계정대체기준!$D$20:$D$49,MATCH($N3006,계정대체기준!$A$20:$A$49,0)),0)))</f>
        <v/>
      </c>
      <c r="AB3006" s="94">
        <f>IF($A3006="",0,IF(AE3006="직접",IF(AF3006="수금비",$P3006,0),$P3006*(1-AG3006)*IFERROR(INDEX(계정대체기준!$E$20:$E$49,MATCH($N3006,계정대체기준!$A$20:$A$49,0)),0)))</f>
        <v/>
      </c>
      <c r="AC3006" s="9">
        <f>IF(AND($A3006&lt;&gt;"",M3006=설정!$C$20,Z3006&gt;0),Z3006+ROW()/1000000000,"")</f>
        <v/>
      </c>
      <c r="AD3006" s="94">
        <f>IF($A3006="",0,$P3006*AG3006)</f>
        <v/>
      </c>
      <c r="AE3006" s="64">
        <f>IF($A3006="","",IFERROR(INDEX(계정매핑!$E$5:$E$504,MATCH($F3006&amp;"",계정매핑!$A$5:$A$504,0))&amp;"","공통비"))</f>
        <v/>
      </c>
      <c r="AF3006" s="64">
        <f>IF($A3006="","",IF(AE3006="직접",IFERROR(INDEX(계정매핑!$F$5:$F$504,MATCH($F3006&amp;"",계정매핑!$A$5:$A$504,0))&amp;"","비귀속"),""))</f>
        <v/>
      </c>
      <c r="AG3006" s="96">
        <f>IF($A3006="",0,IF(AND(AE3006&lt;&gt;"직접",IFERROR(INDEX(계정매핑!$G$5:$G$504,MATCH($F3006&amp;"",계정매핑!$A$5:$A$504,0))&amp;"","")="유지비",COUNTIF(계정대체기준!$A$6:$A$15,$N3006)&gt;0),IFERROR(INDEX(계정대체기준!$E$6:$E$15,MATCH(VALUE($A3006&amp;""),계정대체기준!$D$6:$D$15,0)),0),0))</f>
        <v/>
      </c>
      <c r="AH3006" s="64">
        <f>IF($A3006="","",IF(AD3006=0,"",IF(OR(COUNTIF(계정대체기준!$A$77:$A$86,$N3006)&gt;0,ISNUMBER(MATCH($X3006,계정대체기준!$D$77:$D$86,0)),ISNUMBER(MATCH($F3006,계정대체기준!$D$77:$D$86,0))),"Y","N")))</f>
        <v/>
      </c>
    </row>
    <row r="3007">
      <c r="A3007" s="92" t="n">
        <v>2026</v>
      </c>
      <c r="B3007" s="92" t="n">
        <v>2</v>
      </c>
      <c r="C3007" s="92" t="inlineStr">
        <is>
          <t>5100000285</t>
        </is>
      </c>
      <c r="D3007" s="95" t="n">
        <v>46061</v>
      </c>
      <c r="E3007" s="92" t="inlineStr">
        <is>
          <t>KR</t>
        </is>
      </c>
      <c r="F3007" s="92" t="n">
        <v>62401000</v>
      </c>
      <c r="G3007" s="92" t="n">
        <v>1501</v>
      </c>
      <c r="H3007" s="93" t="n">
        <v>2184000</v>
      </c>
      <c r="I3007" s="92" t="inlineStr">
        <is>
          <t>2월 인쇄물 제작 - G인쇄</t>
        </is>
      </c>
      <c r="J3007" s="92" t="inlineStr">
        <is>
          <t>V10004</t>
        </is>
      </c>
      <c r="K3007" s="92" t="inlineStr">
        <is>
          <t>G인쇄</t>
        </is>
      </c>
      <c r="M3007" s="9">
        <f>IF($A3007="","",VALUE($A3007&amp;"")*12+VALUE($B3007&amp;""))</f>
        <v/>
      </c>
      <c r="N3007" s="64">
        <f>IF($A3007="","",IFERROR(INDEX(부서매핑!$C$5:$C$504,MATCH($G3007&amp;"",부서매핑!$A$5:$A$504,0)),"미매핑"))</f>
        <v/>
      </c>
      <c r="O3007" s="9">
        <f>IF($A3007="","",N3007&amp;"|"&amp;$F3007)</f>
        <v/>
      </c>
      <c r="P3007" s="94">
        <f>IF($A3007="",0,$H3007*설정!$C$23)</f>
        <v/>
      </c>
      <c r="Q3007" s="64">
        <f>IF($A3007="","",IF(O3007&lt;&gt;원인분석!$C$9,"",IF(AND(M3007&gt;=원인분석!$C$10,M3007&lt;=원인분석!$C$11),"당기",IF(AND(M3007&gt;=원인분석!$C$12,M3007&lt;=원인분석!$C$13),"비교",""))))</f>
        <v/>
      </c>
      <c r="R3007" s="9">
        <f>IF(Q3007="","",$K3007&amp;"")</f>
        <v/>
      </c>
      <c r="S3007" s="9">
        <f>IF(Q3007="","",IF(MATCH(R3007,$R$5:$R$100000,0)=ROW()-4,ROW(),""))</f>
        <v/>
      </c>
      <c r="T3007" s="9">
        <f>IF(Q3007="당기",ABS(P3007)+ROW()/1000000000,"")</f>
        <v/>
      </c>
      <c r="U3007" s="9">
        <f>IF(Q3007="비교",ABS(P3007)+ROW()/1000000000,"")</f>
        <v/>
      </c>
      <c r="V3007" s="64">
        <f>IF($A3007="","",IF(COUNTIF(변동분석!$E$7:$E$506,O3007)&gt;0,"Y","N"))</f>
        <v/>
      </c>
      <c r="W3007" s="64">
        <f>IF($A3007="","",IFERROR(INDEX(계정매핑!$D$5:$D$504,MATCH($F3007&amp;"",계정매핑!$A$5:$A$504,0)),"미매핑"))</f>
        <v/>
      </c>
      <c r="X3007" s="9">
        <f>IF($A3007="","",$F3007&amp;"")</f>
        <v/>
      </c>
      <c r="Y3007" s="94">
        <f>IF($A3007="",0,IF(AE3007="직접",IF(AF3007="비귀속",$P3007,0),$P3007*(1-AG3007)*IFERROR(INDEX(계정대체기준!$F$20:$F$49,MATCH($N3007,계정대체기준!$A$20:$A$49,0)),1)))</f>
        <v/>
      </c>
      <c r="Z3007" s="94">
        <f>IF($A3007="",0,IF(AE3007="직접",IF(AF3007="신계약비",$P3007,0),$P3007*(1-AG3007)*IFERROR(INDEX(계정대체기준!$C$20:$C$49,MATCH($N3007,계정대체기준!$A$20:$A$49,0)),0)))</f>
        <v/>
      </c>
      <c r="AA3007" s="94">
        <f>IF($A3007="",0,IF(AE3007="직접",IF(OR(AF3007="유지비",AF3007="손해조사비"),$P3007,0),$P3007*(1-AG3007)*IFERROR(INDEX(계정대체기준!$D$20:$D$49,MATCH($N3007,계정대체기준!$A$20:$A$49,0)),0)))</f>
        <v/>
      </c>
      <c r="AB3007" s="94">
        <f>IF($A3007="",0,IF(AE3007="직접",IF(AF3007="수금비",$P3007,0),$P3007*(1-AG3007)*IFERROR(INDEX(계정대체기준!$E$20:$E$49,MATCH($N3007,계정대체기준!$A$20:$A$49,0)),0)))</f>
        <v/>
      </c>
      <c r="AC3007" s="9">
        <f>IF(AND($A3007&lt;&gt;"",M3007=설정!$C$20,Z3007&gt;0),Z3007+ROW()/1000000000,"")</f>
        <v/>
      </c>
      <c r="AD3007" s="94">
        <f>IF($A3007="",0,$P3007*AG3007)</f>
        <v/>
      </c>
      <c r="AE3007" s="64">
        <f>IF($A3007="","",IFERROR(INDEX(계정매핑!$E$5:$E$504,MATCH($F3007&amp;"",계정매핑!$A$5:$A$504,0))&amp;"","공통비"))</f>
        <v/>
      </c>
      <c r="AF3007" s="64">
        <f>IF($A3007="","",IF(AE3007="직접",IFERROR(INDEX(계정매핑!$F$5:$F$504,MATCH($F3007&amp;"",계정매핑!$A$5:$A$504,0))&amp;"","비귀속"),""))</f>
        <v/>
      </c>
      <c r="AG3007" s="96">
        <f>IF($A3007="",0,IF(AND(AE3007&lt;&gt;"직접",IFERROR(INDEX(계정매핑!$G$5:$G$504,MATCH($F3007&amp;"",계정매핑!$A$5:$A$504,0))&amp;"","")="유지비",COUNTIF(계정대체기준!$A$6:$A$15,$N3007)&gt;0),IFERROR(INDEX(계정대체기준!$E$6:$E$15,MATCH(VALUE($A3007&amp;""),계정대체기준!$D$6:$D$15,0)),0),0))</f>
        <v/>
      </c>
      <c r="AH3007" s="64">
        <f>IF($A3007="","",IF(AD3007=0,"",IF(OR(COUNTIF(계정대체기준!$A$77:$A$86,$N3007)&gt;0,ISNUMBER(MATCH($X3007,계정대체기준!$D$77:$D$86,0)),ISNUMBER(MATCH($F3007,계정대체기준!$D$77:$D$86,0))),"Y","N")))</f>
        <v/>
      </c>
    </row>
    <row r="3008">
      <c r="A3008" s="92" t="n">
        <v>2026</v>
      </c>
      <c r="B3008" s="92" t="n">
        <v>2</v>
      </c>
      <c r="C3008" s="92" t="inlineStr">
        <is>
          <t>5100000286</t>
        </is>
      </c>
      <c r="D3008" s="95" t="n">
        <v>46061</v>
      </c>
      <c r="E3008" s="92" t="inlineStr">
        <is>
          <t>KR</t>
        </is>
      </c>
      <c r="F3008" s="92" t="n">
        <v>62901000</v>
      </c>
      <c r="G3008" s="92" t="n">
        <v>1201</v>
      </c>
      <c r="H3008" s="93" t="n">
        <v>7706000</v>
      </c>
      <c r="I3008" s="92" t="inlineStr">
        <is>
          <t>2월 자문 수수료 - K회계법인</t>
        </is>
      </c>
      <c r="J3008" s="92" t="inlineStr">
        <is>
          <t>V10011</t>
        </is>
      </c>
      <c r="K3008" s="92" t="inlineStr">
        <is>
          <t>K회계법인</t>
        </is>
      </c>
      <c r="M3008" s="9">
        <f>IF($A3008="","",VALUE($A3008&amp;"")*12+VALUE($B3008&amp;""))</f>
        <v/>
      </c>
      <c r="N3008" s="64">
        <f>IF($A3008="","",IFERROR(INDEX(부서매핑!$C$5:$C$504,MATCH($G3008&amp;"",부서매핑!$A$5:$A$504,0)),"미매핑"))</f>
        <v/>
      </c>
      <c r="O3008" s="9">
        <f>IF($A3008="","",N3008&amp;"|"&amp;$F3008)</f>
        <v/>
      </c>
      <c r="P3008" s="94">
        <f>IF($A3008="",0,$H3008*설정!$C$23)</f>
        <v/>
      </c>
      <c r="Q3008" s="64">
        <f>IF($A3008="","",IF(O3008&lt;&gt;원인분석!$C$9,"",IF(AND(M3008&gt;=원인분석!$C$10,M3008&lt;=원인분석!$C$11),"당기",IF(AND(M3008&gt;=원인분석!$C$12,M3008&lt;=원인분석!$C$13),"비교",""))))</f>
        <v/>
      </c>
      <c r="R3008" s="9">
        <f>IF(Q3008="","",$K3008&amp;"")</f>
        <v/>
      </c>
      <c r="S3008" s="9">
        <f>IF(Q3008="","",IF(MATCH(R3008,$R$5:$R$100000,0)=ROW()-4,ROW(),""))</f>
        <v/>
      </c>
      <c r="T3008" s="9">
        <f>IF(Q3008="당기",ABS(P3008)+ROW()/1000000000,"")</f>
        <v/>
      </c>
      <c r="U3008" s="9">
        <f>IF(Q3008="비교",ABS(P3008)+ROW()/1000000000,"")</f>
        <v/>
      </c>
      <c r="V3008" s="64">
        <f>IF($A3008="","",IF(COUNTIF(변동분석!$E$7:$E$506,O3008)&gt;0,"Y","N"))</f>
        <v/>
      </c>
      <c r="W3008" s="64">
        <f>IF($A3008="","",IFERROR(INDEX(계정매핑!$D$5:$D$504,MATCH($F3008&amp;"",계정매핑!$A$5:$A$504,0)),"미매핑"))</f>
        <v/>
      </c>
      <c r="X3008" s="9">
        <f>IF($A3008="","",$F3008&amp;"")</f>
        <v/>
      </c>
      <c r="Y3008" s="94">
        <f>IF($A3008="",0,IF(AE3008="직접",IF(AF3008="비귀속",$P3008,0),$P3008*(1-AG3008)*IFERROR(INDEX(계정대체기준!$F$20:$F$49,MATCH($N3008,계정대체기준!$A$20:$A$49,0)),1)))</f>
        <v/>
      </c>
      <c r="Z3008" s="94">
        <f>IF($A3008="",0,IF(AE3008="직접",IF(AF3008="신계약비",$P3008,0),$P3008*(1-AG3008)*IFERROR(INDEX(계정대체기준!$C$20:$C$49,MATCH($N3008,계정대체기준!$A$20:$A$49,0)),0)))</f>
        <v/>
      </c>
      <c r="AA3008" s="94">
        <f>IF($A3008="",0,IF(AE3008="직접",IF(OR(AF3008="유지비",AF3008="손해조사비"),$P3008,0),$P3008*(1-AG3008)*IFERROR(INDEX(계정대체기준!$D$20:$D$49,MATCH($N3008,계정대체기준!$A$20:$A$49,0)),0)))</f>
        <v/>
      </c>
      <c r="AB3008" s="94">
        <f>IF($A3008="",0,IF(AE3008="직접",IF(AF3008="수금비",$P3008,0),$P3008*(1-AG3008)*IFERROR(INDEX(계정대체기준!$E$20:$E$49,MATCH($N3008,계정대체기준!$A$20:$A$49,0)),0)))</f>
        <v/>
      </c>
      <c r="AC3008" s="9">
        <f>IF(AND($A3008&lt;&gt;"",M3008=설정!$C$20,Z3008&gt;0),Z3008+ROW()/1000000000,"")</f>
        <v/>
      </c>
      <c r="AD3008" s="94">
        <f>IF($A3008="",0,$P3008*AG3008)</f>
        <v/>
      </c>
      <c r="AE3008" s="64">
        <f>IF($A3008="","",IFERROR(INDEX(계정매핑!$E$5:$E$504,MATCH($F3008&amp;"",계정매핑!$A$5:$A$504,0))&amp;"","공통비"))</f>
        <v/>
      </c>
      <c r="AF3008" s="64">
        <f>IF($A3008="","",IF(AE3008="직접",IFERROR(INDEX(계정매핑!$F$5:$F$504,MATCH($F3008&amp;"",계정매핑!$A$5:$A$504,0))&amp;"","비귀속"),""))</f>
        <v/>
      </c>
      <c r="AG3008" s="96">
        <f>IF($A3008="",0,IF(AND(AE3008&lt;&gt;"직접",IFERROR(INDEX(계정매핑!$G$5:$G$504,MATCH($F3008&amp;"",계정매핑!$A$5:$A$504,0))&amp;"","")="유지비",COUNTIF(계정대체기준!$A$6:$A$15,$N3008)&gt;0),IFERROR(INDEX(계정대체기준!$E$6:$E$15,MATCH(VALUE($A3008&amp;""),계정대체기준!$D$6:$D$15,0)),0),0))</f>
        <v/>
      </c>
      <c r="AH3008" s="64">
        <f>IF($A3008="","",IF(AD3008=0,"",IF(OR(COUNTIF(계정대체기준!$A$77:$A$86,$N3008)&gt;0,ISNUMBER(MATCH($X3008,계정대체기준!$D$77:$D$86,0)),ISNUMBER(MATCH($F3008,계정대체기준!$D$77:$D$86,0))),"Y","N")))</f>
        <v/>
      </c>
    </row>
    <row r="3009">
      <c r="A3009" s="92" t="n">
        <v>2026</v>
      </c>
      <c r="B3009" s="92" t="n">
        <v>2</v>
      </c>
      <c r="C3009" s="92" t="inlineStr">
        <is>
          <t>5100000287</t>
        </is>
      </c>
      <c r="D3009" s="95" t="n">
        <v>46061</v>
      </c>
      <c r="E3009" s="92" t="inlineStr">
        <is>
          <t>KR</t>
        </is>
      </c>
      <c r="F3009" s="92" t="n">
        <v>62902000</v>
      </c>
      <c r="G3009" s="92" t="n">
        <v>1801</v>
      </c>
      <c r="H3009" s="93" t="n">
        <v>1852000</v>
      </c>
      <c r="I3009" s="92" t="inlineStr">
        <is>
          <t>2월 콜 위탁 수수료(건별)</t>
        </is>
      </c>
      <c r="J3009" s="92" t="inlineStr">
        <is>
          <t>V10016</t>
        </is>
      </c>
      <c r="K3009" s="92" t="inlineStr">
        <is>
          <t>J콜센터</t>
        </is>
      </c>
      <c r="M3009" s="9">
        <f>IF($A3009="","",VALUE($A3009&amp;"")*12+VALUE($B3009&amp;""))</f>
        <v/>
      </c>
      <c r="N3009" s="64">
        <f>IF($A3009="","",IFERROR(INDEX(부서매핑!$C$5:$C$504,MATCH($G3009&amp;"",부서매핑!$A$5:$A$504,0)),"미매핑"))</f>
        <v/>
      </c>
      <c r="O3009" s="9">
        <f>IF($A3009="","",N3009&amp;"|"&amp;$F3009)</f>
        <v/>
      </c>
      <c r="P3009" s="94">
        <f>IF($A3009="",0,$H3009*설정!$C$23)</f>
        <v/>
      </c>
      <c r="Q3009" s="64">
        <f>IF($A3009="","",IF(O3009&lt;&gt;원인분석!$C$9,"",IF(AND(M3009&gt;=원인분석!$C$10,M3009&lt;=원인분석!$C$11),"당기",IF(AND(M3009&gt;=원인분석!$C$12,M3009&lt;=원인분석!$C$13),"비교",""))))</f>
        <v/>
      </c>
      <c r="R3009" s="9">
        <f>IF(Q3009="","",$K3009&amp;"")</f>
        <v/>
      </c>
      <c r="S3009" s="9">
        <f>IF(Q3009="","",IF(MATCH(R3009,$R$5:$R$100000,0)=ROW()-4,ROW(),""))</f>
        <v/>
      </c>
      <c r="T3009" s="9">
        <f>IF(Q3009="당기",ABS(P3009)+ROW()/1000000000,"")</f>
        <v/>
      </c>
      <c r="U3009" s="9">
        <f>IF(Q3009="비교",ABS(P3009)+ROW()/1000000000,"")</f>
        <v/>
      </c>
      <c r="V3009" s="64">
        <f>IF($A3009="","",IF(COUNTIF(변동분석!$E$7:$E$506,O3009)&gt;0,"Y","N"))</f>
        <v/>
      </c>
      <c r="W3009" s="64">
        <f>IF($A3009="","",IFERROR(INDEX(계정매핑!$D$5:$D$504,MATCH($F3009&amp;"",계정매핑!$A$5:$A$504,0)),"미매핑"))</f>
        <v/>
      </c>
      <c r="X3009" s="9">
        <f>IF($A3009="","",$F3009&amp;"")</f>
        <v/>
      </c>
      <c r="Y3009" s="94">
        <f>IF($A3009="",0,IF(AE3009="직접",IF(AF3009="비귀속",$P3009,0),$P3009*(1-AG3009)*IFERROR(INDEX(계정대체기준!$F$20:$F$49,MATCH($N3009,계정대체기준!$A$20:$A$49,0)),1)))</f>
        <v/>
      </c>
      <c r="Z3009" s="94">
        <f>IF($A3009="",0,IF(AE3009="직접",IF(AF3009="신계약비",$P3009,0),$P3009*(1-AG3009)*IFERROR(INDEX(계정대체기준!$C$20:$C$49,MATCH($N3009,계정대체기준!$A$20:$A$49,0)),0)))</f>
        <v/>
      </c>
      <c r="AA3009" s="94">
        <f>IF($A3009="",0,IF(AE3009="직접",IF(OR(AF3009="유지비",AF3009="손해조사비"),$P3009,0),$P3009*(1-AG3009)*IFERROR(INDEX(계정대체기준!$D$20:$D$49,MATCH($N3009,계정대체기준!$A$20:$A$49,0)),0)))</f>
        <v/>
      </c>
      <c r="AB3009" s="94">
        <f>IF($A3009="",0,IF(AE3009="직접",IF(AF3009="수금비",$P3009,0),$P3009*(1-AG3009)*IFERROR(INDEX(계정대체기준!$E$20:$E$49,MATCH($N3009,계정대체기준!$A$20:$A$49,0)),0)))</f>
        <v/>
      </c>
      <c r="AC3009" s="9">
        <f>IF(AND($A3009&lt;&gt;"",M3009=설정!$C$20,Z3009&gt;0),Z3009+ROW()/1000000000,"")</f>
        <v/>
      </c>
      <c r="AD3009" s="94">
        <f>IF($A3009="",0,$P3009*AG3009)</f>
        <v/>
      </c>
      <c r="AE3009" s="64">
        <f>IF($A3009="","",IFERROR(INDEX(계정매핑!$E$5:$E$504,MATCH($F3009&amp;"",계정매핑!$A$5:$A$504,0))&amp;"","공통비"))</f>
        <v/>
      </c>
      <c r="AF3009" s="64">
        <f>IF($A3009="","",IF(AE3009="직접",IFERROR(INDEX(계정매핑!$F$5:$F$504,MATCH($F3009&amp;"",계정매핑!$A$5:$A$504,0))&amp;"","비귀속"),""))</f>
        <v/>
      </c>
      <c r="AG3009" s="96">
        <f>IF($A3009="",0,IF(AND(AE3009&lt;&gt;"직접",IFERROR(INDEX(계정매핑!$G$5:$G$504,MATCH($F3009&amp;"",계정매핑!$A$5:$A$504,0))&amp;"","")="유지비",COUNTIF(계정대체기준!$A$6:$A$15,$N3009)&gt;0),IFERROR(INDEX(계정대체기준!$E$6:$E$15,MATCH(VALUE($A3009&amp;""),계정대체기준!$D$6:$D$15,0)),0),0))</f>
        <v/>
      </c>
      <c r="AH3009" s="64">
        <f>IF($A3009="","",IF(AD3009=0,"",IF(OR(COUNTIF(계정대체기준!$A$77:$A$86,$N3009)&gt;0,ISNUMBER(MATCH($X3009,계정대체기준!$D$77:$D$86,0)),ISNUMBER(MATCH($F3009,계정대체기준!$D$77:$D$86,0))),"Y","N")))</f>
        <v/>
      </c>
    </row>
    <row r="3010">
      <c r="A3010" s="92" t="n">
        <v>2026</v>
      </c>
      <c r="B3010" s="92" t="n">
        <v>2</v>
      </c>
      <c r="C3010" s="92" t="inlineStr">
        <is>
          <t>5100000288</t>
        </is>
      </c>
      <c r="D3010" s="95" t="n">
        <v>46061</v>
      </c>
      <c r="E3010" s="92" t="inlineStr">
        <is>
          <t>KR</t>
        </is>
      </c>
      <c r="F3010" s="92" t="n">
        <v>62902000</v>
      </c>
      <c r="G3010" s="92" t="n">
        <v>1951</v>
      </c>
      <c r="H3010" s="93" t="n">
        <v>4041000</v>
      </c>
      <c r="I3010" s="92" t="inlineStr">
        <is>
          <t>2월 업무 위탁 수수료 - J콜센터</t>
        </is>
      </c>
      <c r="J3010" s="92" t="inlineStr">
        <is>
          <t>V10016</t>
        </is>
      </c>
      <c r="K3010" s="92" t="inlineStr">
        <is>
          <t>J콜센터</t>
        </is>
      </c>
      <c r="M3010" s="9">
        <f>IF($A3010="","",VALUE($A3010&amp;"")*12+VALUE($B3010&amp;""))</f>
        <v/>
      </c>
      <c r="N3010" s="64">
        <f>IF($A3010="","",IFERROR(INDEX(부서매핑!$C$5:$C$504,MATCH($G3010&amp;"",부서매핑!$A$5:$A$504,0)),"미매핑"))</f>
        <v/>
      </c>
      <c r="O3010" s="9">
        <f>IF($A3010="","",N3010&amp;"|"&amp;$F3010)</f>
        <v/>
      </c>
      <c r="P3010" s="94">
        <f>IF($A3010="",0,$H3010*설정!$C$23)</f>
        <v/>
      </c>
      <c r="Q3010" s="64">
        <f>IF($A3010="","",IF(O3010&lt;&gt;원인분석!$C$9,"",IF(AND(M3010&gt;=원인분석!$C$10,M3010&lt;=원인분석!$C$11),"당기",IF(AND(M3010&gt;=원인분석!$C$12,M3010&lt;=원인분석!$C$13),"비교",""))))</f>
        <v/>
      </c>
      <c r="R3010" s="9">
        <f>IF(Q3010="","",$K3010&amp;"")</f>
        <v/>
      </c>
      <c r="S3010" s="9">
        <f>IF(Q3010="","",IF(MATCH(R3010,$R$5:$R$100000,0)=ROW()-4,ROW(),""))</f>
        <v/>
      </c>
      <c r="T3010" s="9">
        <f>IF(Q3010="당기",ABS(P3010)+ROW()/1000000000,"")</f>
        <v/>
      </c>
      <c r="U3010" s="9">
        <f>IF(Q3010="비교",ABS(P3010)+ROW()/1000000000,"")</f>
        <v/>
      </c>
      <c r="V3010" s="64">
        <f>IF($A3010="","",IF(COUNTIF(변동분석!$E$7:$E$506,O3010)&gt;0,"Y","N"))</f>
        <v/>
      </c>
      <c r="W3010" s="64">
        <f>IF($A3010="","",IFERROR(INDEX(계정매핑!$D$5:$D$504,MATCH($F3010&amp;"",계정매핑!$A$5:$A$504,0)),"미매핑"))</f>
        <v/>
      </c>
      <c r="X3010" s="9">
        <f>IF($A3010="","",$F3010&amp;"")</f>
        <v/>
      </c>
      <c r="Y3010" s="94">
        <f>IF($A3010="",0,IF(AE3010="직접",IF(AF3010="비귀속",$P3010,0),$P3010*(1-AG3010)*IFERROR(INDEX(계정대체기준!$F$20:$F$49,MATCH($N3010,계정대체기준!$A$20:$A$49,0)),1)))</f>
        <v/>
      </c>
      <c r="Z3010" s="94">
        <f>IF($A3010="",0,IF(AE3010="직접",IF(AF3010="신계약비",$P3010,0),$P3010*(1-AG3010)*IFERROR(INDEX(계정대체기준!$C$20:$C$49,MATCH($N3010,계정대체기준!$A$20:$A$49,0)),0)))</f>
        <v/>
      </c>
      <c r="AA3010" s="94">
        <f>IF($A3010="",0,IF(AE3010="직접",IF(OR(AF3010="유지비",AF3010="손해조사비"),$P3010,0),$P3010*(1-AG3010)*IFERROR(INDEX(계정대체기준!$D$20:$D$49,MATCH($N3010,계정대체기준!$A$20:$A$49,0)),0)))</f>
        <v/>
      </c>
      <c r="AB3010" s="94">
        <f>IF($A3010="",0,IF(AE3010="직접",IF(AF3010="수금비",$P3010,0),$P3010*(1-AG3010)*IFERROR(INDEX(계정대체기준!$E$20:$E$49,MATCH($N3010,계정대체기준!$A$20:$A$49,0)),0)))</f>
        <v/>
      </c>
      <c r="AC3010" s="9">
        <f>IF(AND($A3010&lt;&gt;"",M3010=설정!$C$20,Z3010&gt;0),Z3010+ROW()/1000000000,"")</f>
        <v/>
      </c>
      <c r="AD3010" s="94">
        <f>IF($A3010="",0,$P3010*AG3010)</f>
        <v/>
      </c>
      <c r="AE3010" s="64">
        <f>IF($A3010="","",IFERROR(INDEX(계정매핑!$E$5:$E$504,MATCH($F3010&amp;"",계정매핑!$A$5:$A$504,0))&amp;"","공통비"))</f>
        <v/>
      </c>
      <c r="AF3010" s="64">
        <f>IF($A3010="","",IF(AE3010="직접",IFERROR(INDEX(계정매핑!$F$5:$F$504,MATCH($F3010&amp;"",계정매핑!$A$5:$A$504,0))&amp;"","비귀속"),""))</f>
        <v/>
      </c>
      <c r="AG3010" s="96">
        <f>IF($A3010="",0,IF(AND(AE3010&lt;&gt;"직접",IFERROR(INDEX(계정매핑!$G$5:$G$504,MATCH($F3010&amp;"",계정매핑!$A$5:$A$504,0))&amp;"","")="유지비",COUNTIF(계정대체기준!$A$6:$A$15,$N3010)&gt;0),IFERROR(INDEX(계정대체기준!$E$6:$E$15,MATCH(VALUE($A3010&amp;""),계정대체기준!$D$6:$D$15,0)),0),0))</f>
        <v/>
      </c>
      <c r="AH3010" s="64">
        <f>IF($A3010="","",IF(AD3010=0,"",IF(OR(COUNTIF(계정대체기준!$A$77:$A$86,$N3010)&gt;0,ISNUMBER(MATCH($X3010,계정대체기준!$D$77:$D$86,0)),ISNUMBER(MATCH($F3010,계정대체기준!$D$77:$D$86,0))),"Y","N")))</f>
        <v/>
      </c>
    </row>
    <row r="3011">
      <c r="A3011" s="92" t="n">
        <v>2026</v>
      </c>
      <c r="B3011" s="92" t="n">
        <v>2</v>
      </c>
      <c r="C3011" s="92" t="inlineStr">
        <is>
          <t>5100000289</t>
        </is>
      </c>
      <c r="D3011" s="95" t="n">
        <v>46061</v>
      </c>
      <c r="E3011" s="92" t="inlineStr">
        <is>
          <t>KR</t>
        </is>
      </c>
      <c r="F3011" s="92" t="n">
        <v>62902000</v>
      </c>
      <c r="G3011" s="92" t="n">
        <v>1951</v>
      </c>
      <c r="H3011" s="93" t="n">
        <v>3660000</v>
      </c>
      <c r="I3011" s="92" t="inlineStr">
        <is>
          <t>2월 업무 위탁 수수료 - X서비스</t>
        </is>
      </c>
      <c r="J3011" s="92" t="inlineStr">
        <is>
          <t>V10020</t>
        </is>
      </c>
      <c r="K3011" s="92" t="inlineStr">
        <is>
          <t>X서비스</t>
        </is>
      </c>
      <c r="M3011" s="9">
        <f>IF($A3011="","",VALUE($A3011&amp;"")*12+VALUE($B3011&amp;""))</f>
        <v/>
      </c>
      <c r="N3011" s="64">
        <f>IF($A3011="","",IFERROR(INDEX(부서매핑!$C$5:$C$504,MATCH($G3011&amp;"",부서매핑!$A$5:$A$504,0)),"미매핑"))</f>
        <v/>
      </c>
      <c r="O3011" s="9">
        <f>IF($A3011="","",N3011&amp;"|"&amp;$F3011)</f>
        <v/>
      </c>
      <c r="P3011" s="94">
        <f>IF($A3011="",0,$H3011*설정!$C$23)</f>
        <v/>
      </c>
      <c r="Q3011" s="64">
        <f>IF($A3011="","",IF(O3011&lt;&gt;원인분석!$C$9,"",IF(AND(M3011&gt;=원인분석!$C$10,M3011&lt;=원인분석!$C$11),"당기",IF(AND(M3011&gt;=원인분석!$C$12,M3011&lt;=원인분석!$C$13),"비교",""))))</f>
        <v/>
      </c>
      <c r="R3011" s="9">
        <f>IF(Q3011="","",$K3011&amp;"")</f>
        <v/>
      </c>
      <c r="S3011" s="9">
        <f>IF(Q3011="","",IF(MATCH(R3011,$R$5:$R$100000,0)=ROW()-4,ROW(),""))</f>
        <v/>
      </c>
      <c r="T3011" s="9">
        <f>IF(Q3011="당기",ABS(P3011)+ROW()/1000000000,"")</f>
        <v/>
      </c>
      <c r="U3011" s="9">
        <f>IF(Q3011="비교",ABS(P3011)+ROW()/1000000000,"")</f>
        <v/>
      </c>
      <c r="V3011" s="64">
        <f>IF($A3011="","",IF(COUNTIF(변동분석!$E$7:$E$506,O3011)&gt;0,"Y","N"))</f>
        <v/>
      </c>
      <c r="W3011" s="64">
        <f>IF($A3011="","",IFERROR(INDEX(계정매핑!$D$5:$D$504,MATCH($F3011&amp;"",계정매핑!$A$5:$A$504,0)),"미매핑"))</f>
        <v/>
      </c>
      <c r="X3011" s="9">
        <f>IF($A3011="","",$F3011&amp;"")</f>
        <v/>
      </c>
      <c r="Y3011" s="94">
        <f>IF($A3011="",0,IF(AE3011="직접",IF(AF3011="비귀속",$P3011,0),$P3011*(1-AG3011)*IFERROR(INDEX(계정대체기준!$F$20:$F$49,MATCH($N3011,계정대체기준!$A$20:$A$49,0)),1)))</f>
        <v/>
      </c>
      <c r="Z3011" s="94">
        <f>IF($A3011="",0,IF(AE3011="직접",IF(AF3011="신계약비",$P3011,0),$P3011*(1-AG3011)*IFERROR(INDEX(계정대체기준!$C$20:$C$49,MATCH($N3011,계정대체기준!$A$20:$A$49,0)),0)))</f>
        <v/>
      </c>
      <c r="AA3011" s="94">
        <f>IF($A3011="",0,IF(AE3011="직접",IF(OR(AF3011="유지비",AF3011="손해조사비"),$P3011,0),$P3011*(1-AG3011)*IFERROR(INDEX(계정대체기준!$D$20:$D$49,MATCH($N3011,계정대체기준!$A$20:$A$49,0)),0)))</f>
        <v/>
      </c>
      <c r="AB3011" s="94">
        <f>IF($A3011="",0,IF(AE3011="직접",IF(AF3011="수금비",$P3011,0),$P3011*(1-AG3011)*IFERROR(INDEX(계정대체기준!$E$20:$E$49,MATCH($N3011,계정대체기준!$A$20:$A$49,0)),0)))</f>
        <v/>
      </c>
      <c r="AC3011" s="9">
        <f>IF(AND($A3011&lt;&gt;"",M3011=설정!$C$20,Z3011&gt;0),Z3011+ROW()/1000000000,"")</f>
        <v/>
      </c>
      <c r="AD3011" s="94">
        <f>IF($A3011="",0,$P3011*AG3011)</f>
        <v/>
      </c>
      <c r="AE3011" s="64">
        <f>IF($A3011="","",IFERROR(INDEX(계정매핑!$E$5:$E$504,MATCH($F3011&amp;"",계정매핑!$A$5:$A$504,0))&amp;"","공통비"))</f>
        <v/>
      </c>
      <c r="AF3011" s="64">
        <f>IF($A3011="","",IF(AE3011="직접",IFERROR(INDEX(계정매핑!$F$5:$F$504,MATCH($F3011&amp;"",계정매핑!$A$5:$A$504,0))&amp;"","비귀속"),""))</f>
        <v/>
      </c>
      <c r="AG3011" s="96">
        <f>IF($A3011="",0,IF(AND(AE3011&lt;&gt;"직접",IFERROR(INDEX(계정매핑!$G$5:$G$504,MATCH($F3011&amp;"",계정매핑!$A$5:$A$504,0))&amp;"","")="유지비",COUNTIF(계정대체기준!$A$6:$A$15,$N3011)&gt;0),IFERROR(INDEX(계정대체기준!$E$6:$E$15,MATCH(VALUE($A3011&amp;""),계정대체기준!$D$6:$D$15,0)),0),0))</f>
        <v/>
      </c>
      <c r="AH3011" s="64">
        <f>IF($A3011="","",IF(AD3011=0,"",IF(OR(COUNTIF(계정대체기준!$A$77:$A$86,$N3011)&gt;0,ISNUMBER(MATCH($X3011,계정대체기준!$D$77:$D$86,0)),ISNUMBER(MATCH($F3011,계정대체기준!$D$77:$D$86,0))),"Y","N")))</f>
        <v/>
      </c>
    </row>
    <row r="3012">
      <c r="A3012" s="92" t="n">
        <v>2026</v>
      </c>
      <c r="B3012" s="92" t="n">
        <v>2</v>
      </c>
      <c r="C3012" s="92" t="inlineStr">
        <is>
          <t>5100000290</t>
        </is>
      </c>
      <c r="D3012" s="95" t="n">
        <v>46062</v>
      </c>
      <c r="E3012" s="92" t="inlineStr">
        <is>
          <t>KR</t>
        </is>
      </c>
      <c r="F3012" s="92" t="n">
        <v>62101000</v>
      </c>
      <c r="G3012" s="92" t="n">
        <v>1951</v>
      </c>
      <c r="H3012" s="93" t="n">
        <v>276000</v>
      </c>
      <c r="I3012" s="92" t="inlineStr">
        <is>
          <t>2월 국내출장 - L여행사</t>
        </is>
      </c>
      <c r="J3012" s="92" t="inlineStr">
        <is>
          <t>V10018</t>
        </is>
      </c>
      <c r="K3012" s="92" t="inlineStr">
        <is>
          <t>L여행사</t>
        </is>
      </c>
      <c r="M3012" s="9">
        <f>IF($A3012="","",VALUE($A3012&amp;"")*12+VALUE($B3012&amp;""))</f>
        <v/>
      </c>
      <c r="N3012" s="64">
        <f>IF($A3012="","",IFERROR(INDEX(부서매핑!$C$5:$C$504,MATCH($G3012&amp;"",부서매핑!$A$5:$A$504,0)),"미매핑"))</f>
        <v/>
      </c>
      <c r="O3012" s="9">
        <f>IF($A3012="","",N3012&amp;"|"&amp;$F3012)</f>
        <v/>
      </c>
      <c r="P3012" s="94">
        <f>IF($A3012="",0,$H3012*설정!$C$23)</f>
        <v/>
      </c>
      <c r="Q3012" s="64">
        <f>IF($A3012="","",IF(O3012&lt;&gt;원인분석!$C$9,"",IF(AND(M3012&gt;=원인분석!$C$10,M3012&lt;=원인분석!$C$11),"당기",IF(AND(M3012&gt;=원인분석!$C$12,M3012&lt;=원인분석!$C$13),"비교",""))))</f>
        <v/>
      </c>
      <c r="R3012" s="9">
        <f>IF(Q3012="","",$K3012&amp;"")</f>
        <v/>
      </c>
      <c r="S3012" s="9">
        <f>IF(Q3012="","",IF(MATCH(R3012,$R$5:$R$100000,0)=ROW()-4,ROW(),""))</f>
        <v/>
      </c>
      <c r="T3012" s="9">
        <f>IF(Q3012="당기",ABS(P3012)+ROW()/1000000000,"")</f>
        <v/>
      </c>
      <c r="U3012" s="9">
        <f>IF(Q3012="비교",ABS(P3012)+ROW()/1000000000,"")</f>
        <v/>
      </c>
      <c r="V3012" s="64">
        <f>IF($A3012="","",IF(COUNTIF(변동분석!$E$7:$E$506,O3012)&gt;0,"Y","N"))</f>
        <v/>
      </c>
      <c r="W3012" s="64">
        <f>IF($A3012="","",IFERROR(INDEX(계정매핑!$D$5:$D$504,MATCH($F3012&amp;"",계정매핑!$A$5:$A$504,0)),"미매핑"))</f>
        <v/>
      </c>
      <c r="X3012" s="9">
        <f>IF($A3012="","",$F3012&amp;"")</f>
        <v/>
      </c>
      <c r="Y3012" s="94">
        <f>IF($A3012="",0,IF(AE3012="직접",IF(AF3012="비귀속",$P3012,0),$P3012*(1-AG3012)*IFERROR(INDEX(계정대체기준!$F$20:$F$49,MATCH($N3012,계정대체기준!$A$20:$A$49,0)),1)))</f>
        <v/>
      </c>
      <c r="Z3012" s="94">
        <f>IF($A3012="",0,IF(AE3012="직접",IF(AF3012="신계약비",$P3012,0),$P3012*(1-AG3012)*IFERROR(INDEX(계정대체기준!$C$20:$C$49,MATCH($N3012,계정대체기준!$A$20:$A$49,0)),0)))</f>
        <v/>
      </c>
      <c r="AA3012" s="94">
        <f>IF($A3012="",0,IF(AE3012="직접",IF(OR(AF3012="유지비",AF3012="손해조사비"),$P3012,0),$P3012*(1-AG3012)*IFERROR(INDEX(계정대체기준!$D$20:$D$49,MATCH($N3012,계정대체기준!$A$20:$A$49,0)),0)))</f>
        <v/>
      </c>
      <c r="AB3012" s="94">
        <f>IF($A3012="",0,IF(AE3012="직접",IF(AF3012="수금비",$P3012,0),$P3012*(1-AG3012)*IFERROR(INDEX(계정대체기준!$E$20:$E$49,MATCH($N3012,계정대체기준!$A$20:$A$49,0)),0)))</f>
        <v/>
      </c>
      <c r="AC3012" s="9">
        <f>IF(AND($A3012&lt;&gt;"",M3012=설정!$C$20,Z3012&gt;0),Z3012+ROW()/1000000000,"")</f>
        <v/>
      </c>
      <c r="AD3012" s="94">
        <f>IF($A3012="",0,$P3012*AG3012)</f>
        <v/>
      </c>
      <c r="AE3012" s="64">
        <f>IF($A3012="","",IFERROR(INDEX(계정매핑!$E$5:$E$504,MATCH($F3012&amp;"",계정매핑!$A$5:$A$504,0))&amp;"","공통비"))</f>
        <v/>
      </c>
      <c r="AF3012" s="64">
        <f>IF($A3012="","",IF(AE3012="직접",IFERROR(INDEX(계정매핑!$F$5:$F$504,MATCH($F3012&amp;"",계정매핑!$A$5:$A$504,0))&amp;"","비귀속"),""))</f>
        <v/>
      </c>
      <c r="AG3012" s="96">
        <f>IF($A3012="",0,IF(AND(AE3012&lt;&gt;"직접",IFERROR(INDEX(계정매핑!$G$5:$G$504,MATCH($F3012&amp;"",계정매핑!$A$5:$A$504,0))&amp;"","")="유지비",COUNTIF(계정대체기준!$A$6:$A$15,$N3012)&gt;0),IFERROR(INDEX(계정대체기준!$E$6:$E$15,MATCH(VALUE($A3012&amp;""),계정대체기준!$D$6:$D$15,0)),0),0))</f>
        <v/>
      </c>
      <c r="AH3012" s="64">
        <f>IF($A3012="","",IF(AD3012=0,"",IF(OR(COUNTIF(계정대체기준!$A$77:$A$86,$N3012)&gt;0,ISNUMBER(MATCH($X3012,계정대체기준!$D$77:$D$86,0)),ISNUMBER(MATCH($F3012,계정대체기준!$D$77:$D$86,0))),"Y","N")))</f>
        <v/>
      </c>
    </row>
    <row r="3013">
      <c r="A3013" s="92" t="n">
        <v>2026</v>
      </c>
      <c r="B3013" s="92" t="n">
        <v>2</v>
      </c>
      <c r="C3013" s="92" t="inlineStr">
        <is>
          <t>5100000291</t>
        </is>
      </c>
      <c r="D3013" s="95" t="n">
        <v>46062</v>
      </c>
      <c r="E3013" s="92" t="inlineStr">
        <is>
          <t>KR</t>
        </is>
      </c>
      <c r="F3013" s="92" t="n">
        <v>62102000</v>
      </c>
      <c r="G3013" s="92" t="n">
        <v>1951</v>
      </c>
      <c r="H3013" s="93" t="n">
        <v>81000</v>
      </c>
      <c r="I3013" s="92" t="inlineStr">
        <is>
          <t>2월 해외출장 - N호텔</t>
        </is>
      </c>
      <c r="J3013" s="92" t="inlineStr">
        <is>
          <t>V10009</t>
        </is>
      </c>
      <c r="K3013" s="92" t="inlineStr">
        <is>
          <t>N호텔</t>
        </is>
      </c>
      <c r="M3013" s="9">
        <f>IF($A3013="","",VALUE($A3013&amp;"")*12+VALUE($B3013&amp;""))</f>
        <v/>
      </c>
      <c r="N3013" s="64">
        <f>IF($A3013="","",IFERROR(INDEX(부서매핑!$C$5:$C$504,MATCH($G3013&amp;"",부서매핑!$A$5:$A$504,0)),"미매핑"))</f>
        <v/>
      </c>
      <c r="O3013" s="9">
        <f>IF($A3013="","",N3013&amp;"|"&amp;$F3013)</f>
        <v/>
      </c>
      <c r="P3013" s="94">
        <f>IF($A3013="",0,$H3013*설정!$C$23)</f>
        <v/>
      </c>
      <c r="Q3013" s="64">
        <f>IF($A3013="","",IF(O3013&lt;&gt;원인분석!$C$9,"",IF(AND(M3013&gt;=원인분석!$C$10,M3013&lt;=원인분석!$C$11),"당기",IF(AND(M3013&gt;=원인분석!$C$12,M3013&lt;=원인분석!$C$13),"비교",""))))</f>
        <v/>
      </c>
      <c r="R3013" s="9">
        <f>IF(Q3013="","",$K3013&amp;"")</f>
        <v/>
      </c>
      <c r="S3013" s="9">
        <f>IF(Q3013="","",IF(MATCH(R3013,$R$5:$R$100000,0)=ROW()-4,ROW(),""))</f>
        <v/>
      </c>
      <c r="T3013" s="9">
        <f>IF(Q3013="당기",ABS(P3013)+ROW()/1000000000,"")</f>
        <v/>
      </c>
      <c r="U3013" s="9">
        <f>IF(Q3013="비교",ABS(P3013)+ROW()/1000000000,"")</f>
        <v/>
      </c>
      <c r="V3013" s="64">
        <f>IF($A3013="","",IF(COUNTIF(변동분석!$E$7:$E$506,O3013)&gt;0,"Y","N"))</f>
        <v/>
      </c>
      <c r="W3013" s="64">
        <f>IF($A3013="","",IFERROR(INDEX(계정매핑!$D$5:$D$504,MATCH($F3013&amp;"",계정매핑!$A$5:$A$504,0)),"미매핑"))</f>
        <v/>
      </c>
      <c r="X3013" s="9">
        <f>IF($A3013="","",$F3013&amp;"")</f>
        <v/>
      </c>
      <c r="Y3013" s="94">
        <f>IF($A3013="",0,IF(AE3013="직접",IF(AF3013="비귀속",$P3013,0),$P3013*(1-AG3013)*IFERROR(INDEX(계정대체기준!$F$20:$F$49,MATCH($N3013,계정대체기준!$A$20:$A$49,0)),1)))</f>
        <v/>
      </c>
      <c r="Z3013" s="94">
        <f>IF($A3013="",0,IF(AE3013="직접",IF(AF3013="신계약비",$P3013,0),$P3013*(1-AG3013)*IFERROR(INDEX(계정대체기준!$C$20:$C$49,MATCH($N3013,계정대체기준!$A$20:$A$49,0)),0)))</f>
        <v/>
      </c>
      <c r="AA3013" s="94">
        <f>IF($A3013="",0,IF(AE3013="직접",IF(OR(AF3013="유지비",AF3013="손해조사비"),$P3013,0),$P3013*(1-AG3013)*IFERROR(INDEX(계정대체기준!$D$20:$D$49,MATCH($N3013,계정대체기준!$A$20:$A$49,0)),0)))</f>
        <v/>
      </c>
      <c r="AB3013" s="94">
        <f>IF($A3013="",0,IF(AE3013="직접",IF(AF3013="수금비",$P3013,0),$P3013*(1-AG3013)*IFERROR(INDEX(계정대체기준!$E$20:$E$49,MATCH($N3013,계정대체기준!$A$20:$A$49,0)),0)))</f>
        <v/>
      </c>
      <c r="AC3013" s="9">
        <f>IF(AND($A3013&lt;&gt;"",M3013=설정!$C$20,Z3013&gt;0),Z3013+ROW()/1000000000,"")</f>
        <v/>
      </c>
      <c r="AD3013" s="94">
        <f>IF($A3013="",0,$P3013*AG3013)</f>
        <v/>
      </c>
      <c r="AE3013" s="64">
        <f>IF($A3013="","",IFERROR(INDEX(계정매핑!$E$5:$E$504,MATCH($F3013&amp;"",계정매핑!$A$5:$A$504,0))&amp;"","공통비"))</f>
        <v/>
      </c>
      <c r="AF3013" s="64">
        <f>IF($A3013="","",IF(AE3013="직접",IFERROR(INDEX(계정매핑!$F$5:$F$504,MATCH($F3013&amp;"",계정매핑!$A$5:$A$504,0))&amp;"","비귀속"),""))</f>
        <v/>
      </c>
      <c r="AG3013" s="96">
        <f>IF($A3013="",0,IF(AND(AE3013&lt;&gt;"직접",IFERROR(INDEX(계정매핑!$G$5:$G$504,MATCH($F3013&amp;"",계정매핑!$A$5:$A$504,0))&amp;"","")="유지비",COUNTIF(계정대체기준!$A$6:$A$15,$N3013)&gt;0),IFERROR(INDEX(계정대체기준!$E$6:$E$15,MATCH(VALUE($A3013&amp;""),계정대체기준!$D$6:$D$15,0)),0),0))</f>
        <v/>
      </c>
      <c r="AH3013" s="64">
        <f>IF($A3013="","",IF(AD3013=0,"",IF(OR(COUNTIF(계정대체기준!$A$77:$A$86,$N3013)&gt;0,ISNUMBER(MATCH($X3013,계정대체기준!$D$77:$D$86,0)),ISNUMBER(MATCH($F3013,계정대체기준!$D$77:$D$86,0))),"Y","N")))</f>
        <v/>
      </c>
    </row>
    <row r="3014">
      <c r="A3014" s="92" t="n">
        <v>2026</v>
      </c>
      <c r="B3014" s="92" t="n">
        <v>2</v>
      </c>
      <c r="C3014" s="92" t="inlineStr">
        <is>
          <t>5100000292</t>
        </is>
      </c>
      <c r="D3014" s="95" t="n">
        <v>46062</v>
      </c>
      <c r="E3014" s="92" t="inlineStr">
        <is>
          <t>KR</t>
        </is>
      </c>
      <c r="F3014" s="92" t="n">
        <v>62201000</v>
      </c>
      <c r="G3014" s="92" t="n">
        <v>1101</v>
      </c>
      <c r="H3014" s="93" t="n">
        <v>153000</v>
      </c>
      <c r="I3014" s="92" t="inlineStr">
        <is>
          <t>2월 통신요금 - P통신</t>
        </is>
      </c>
      <c r="J3014" s="92" t="inlineStr">
        <is>
          <t>V10014</t>
        </is>
      </c>
      <c r="K3014" s="92" t="inlineStr">
        <is>
          <t>P통신</t>
        </is>
      </c>
      <c r="M3014" s="9">
        <f>IF($A3014="","",VALUE($A3014&amp;"")*12+VALUE($B3014&amp;""))</f>
        <v/>
      </c>
      <c r="N3014" s="64">
        <f>IF($A3014="","",IFERROR(INDEX(부서매핑!$C$5:$C$504,MATCH($G3014&amp;"",부서매핑!$A$5:$A$504,0)),"미매핑"))</f>
        <v/>
      </c>
      <c r="O3014" s="9">
        <f>IF($A3014="","",N3014&amp;"|"&amp;$F3014)</f>
        <v/>
      </c>
      <c r="P3014" s="94">
        <f>IF($A3014="",0,$H3014*설정!$C$23)</f>
        <v/>
      </c>
      <c r="Q3014" s="64">
        <f>IF($A3014="","",IF(O3014&lt;&gt;원인분석!$C$9,"",IF(AND(M3014&gt;=원인분석!$C$10,M3014&lt;=원인분석!$C$11),"당기",IF(AND(M3014&gt;=원인분석!$C$12,M3014&lt;=원인분석!$C$13),"비교",""))))</f>
        <v/>
      </c>
      <c r="R3014" s="9">
        <f>IF(Q3014="","",$K3014&amp;"")</f>
        <v/>
      </c>
      <c r="S3014" s="9">
        <f>IF(Q3014="","",IF(MATCH(R3014,$R$5:$R$100000,0)=ROW()-4,ROW(),""))</f>
        <v/>
      </c>
      <c r="T3014" s="9">
        <f>IF(Q3014="당기",ABS(P3014)+ROW()/1000000000,"")</f>
        <v/>
      </c>
      <c r="U3014" s="9">
        <f>IF(Q3014="비교",ABS(P3014)+ROW()/1000000000,"")</f>
        <v/>
      </c>
      <c r="V3014" s="64">
        <f>IF($A3014="","",IF(COUNTIF(변동분석!$E$7:$E$506,O3014)&gt;0,"Y","N"))</f>
        <v/>
      </c>
      <c r="W3014" s="64">
        <f>IF($A3014="","",IFERROR(INDEX(계정매핑!$D$5:$D$504,MATCH($F3014&amp;"",계정매핑!$A$5:$A$504,0)),"미매핑"))</f>
        <v/>
      </c>
      <c r="X3014" s="9">
        <f>IF($A3014="","",$F3014&amp;"")</f>
        <v/>
      </c>
      <c r="Y3014" s="94">
        <f>IF($A3014="",0,IF(AE3014="직접",IF(AF3014="비귀속",$P3014,0),$P3014*(1-AG3014)*IFERROR(INDEX(계정대체기준!$F$20:$F$49,MATCH($N3014,계정대체기준!$A$20:$A$49,0)),1)))</f>
        <v/>
      </c>
      <c r="Z3014" s="94">
        <f>IF($A3014="",0,IF(AE3014="직접",IF(AF3014="신계약비",$P3014,0),$P3014*(1-AG3014)*IFERROR(INDEX(계정대체기준!$C$20:$C$49,MATCH($N3014,계정대체기준!$A$20:$A$49,0)),0)))</f>
        <v/>
      </c>
      <c r="AA3014" s="94">
        <f>IF($A3014="",0,IF(AE3014="직접",IF(OR(AF3014="유지비",AF3014="손해조사비"),$P3014,0),$P3014*(1-AG3014)*IFERROR(INDEX(계정대체기준!$D$20:$D$49,MATCH($N3014,계정대체기준!$A$20:$A$49,0)),0)))</f>
        <v/>
      </c>
      <c r="AB3014" s="94">
        <f>IF($A3014="",0,IF(AE3014="직접",IF(AF3014="수금비",$P3014,0),$P3014*(1-AG3014)*IFERROR(INDEX(계정대체기준!$E$20:$E$49,MATCH($N3014,계정대체기준!$A$20:$A$49,0)),0)))</f>
        <v/>
      </c>
      <c r="AC3014" s="9">
        <f>IF(AND($A3014&lt;&gt;"",M3014=설정!$C$20,Z3014&gt;0),Z3014+ROW()/1000000000,"")</f>
        <v/>
      </c>
      <c r="AD3014" s="94">
        <f>IF($A3014="",0,$P3014*AG3014)</f>
        <v/>
      </c>
      <c r="AE3014" s="64">
        <f>IF($A3014="","",IFERROR(INDEX(계정매핑!$E$5:$E$504,MATCH($F3014&amp;"",계정매핑!$A$5:$A$504,0))&amp;"","공통비"))</f>
        <v/>
      </c>
      <c r="AF3014" s="64">
        <f>IF($A3014="","",IF(AE3014="직접",IFERROR(INDEX(계정매핑!$F$5:$F$504,MATCH($F3014&amp;"",계정매핑!$A$5:$A$504,0))&amp;"","비귀속"),""))</f>
        <v/>
      </c>
      <c r="AG3014" s="96">
        <f>IF($A3014="",0,IF(AND(AE3014&lt;&gt;"직접",IFERROR(INDEX(계정매핑!$G$5:$G$504,MATCH($F3014&amp;"",계정매핑!$A$5:$A$504,0))&amp;"","")="유지비",COUNTIF(계정대체기준!$A$6:$A$15,$N3014)&gt;0),IFERROR(INDEX(계정대체기준!$E$6:$E$15,MATCH(VALUE($A3014&amp;""),계정대체기준!$D$6:$D$15,0)),0),0))</f>
        <v/>
      </c>
      <c r="AH3014" s="64">
        <f>IF($A3014="","",IF(AD3014=0,"",IF(OR(COUNTIF(계정대체기준!$A$77:$A$86,$N3014)&gt;0,ISNUMBER(MATCH($X3014,계정대체기준!$D$77:$D$86,0)),ISNUMBER(MATCH($F3014,계정대체기준!$D$77:$D$86,0))),"Y","N")))</f>
        <v/>
      </c>
    </row>
    <row r="3015">
      <c r="A3015" s="92" t="n">
        <v>2026</v>
      </c>
      <c r="B3015" s="92" t="n">
        <v>2</v>
      </c>
      <c r="C3015" s="92" t="inlineStr">
        <is>
          <t>5100000293</t>
        </is>
      </c>
      <c r="D3015" s="95" t="n">
        <v>46062</v>
      </c>
      <c r="E3015" s="92" t="inlineStr">
        <is>
          <t>KR</t>
        </is>
      </c>
      <c r="F3015" s="92" t="n">
        <v>62201000</v>
      </c>
      <c r="G3015" s="92" t="n">
        <v>1951</v>
      </c>
      <c r="H3015" s="93" t="n">
        <v>582000</v>
      </c>
      <c r="I3015" s="92" t="inlineStr">
        <is>
          <t>2월 통신요금 - P통신</t>
        </is>
      </c>
      <c r="J3015" s="92" t="inlineStr">
        <is>
          <t>V10014</t>
        </is>
      </c>
      <c r="K3015" s="92" t="inlineStr">
        <is>
          <t>P통신</t>
        </is>
      </c>
      <c r="M3015" s="9">
        <f>IF($A3015="","",VALUE($A3015&amp;"")*12+VALUE($B3015&amp;""))</f>
        <v/>
      </c>
      <c r="N3015" s="64">
        <f>IF($A3015="","",IFERROR(INDEX(부서매핑!$C$5:$C$504,MATCH($G3015&amp;"",부서매핑!$A$5:$A$504,0)),"미매핑"))</f>
        <v/>
      </c>
      <c r="O3015" s="9">
        <f>IF($A3015="","",N3015&amp;"|"&amp;$F3015)</f>
        <v/>
      </c>
      <c r="P3015" s="94">
        <f>IF($A3015="",0,$H3015*설정!$C$23)</f>
        <v/>
      </c>
      <c r="Q3015" s="64">
        <f>IF($A3015="","",IF(O3015&lt;&gt;원인분석!$C$9,"",IF(AND(M3015&gt;=원인분석!$C$10,M3015&lt;=원인분석!$C$11),"당기",IF(AND(M3015&gt;=원인분석!$C$12,M3015&lt;=원인분석!$C$13),"비교",""))))</f>
        <v/>
      </c>
      <c r="R3015" s="9">
        <f>IF(Q3015="","",$K3015&amp;"")</f>
        <v/>
      </c>
      <c r="S3015" s="9">
        <f>IF(Q3015="","",IF(MATCH(R3015,$R$5:$R$100000,0)=ROW()-4,ROW(),""))</f>
        <v/>
      </c>
      <c r="T3015" s="9">
        <f>IF(Q3015="당기",ABS(P3015)+ROW()/1000000000,"")</f>
        <v/>
      </c>
      <c r="U3015" s="9">
        <f>IF(Q3015="비교",ABS(P3015)+ROW()/1000000000,"")</f>
        <v/>
      </c>
      <c r="V3015" s="64">
        <f>IF($A3015="","",IF(COUNTIF(변동분석!$E$7:$E$506,O3015)&gt;0,"Y","N"))</f>
        <v/>
      </c>
      <c r="W3015" s="64">
        <f>IF($A3015="","",IFERROR(INDEX(계정매핑!$D$5:$D$504,MATCH($F3015&amp;"",계정매핑!$A$5:$A$504,0)),"미매핑"))</f>
        <v/>
      </c>
      <c r="X3015" s="9">
        <f>IF($A3015="","",$F3015&amp;"")</f>
        <v/>
      </c>
      <c r="Y3015" s="94">
        <f>IF($A3015="",0,IF(AE3015="직접",IF(AF3015="비귀속",$P3015,0),$P3015*(1-AG3015)*IFERROR(INDEX(계정대체기준!$F$20:$F$49,MATCH($N3015,계정대체기준!$A$20:$A$49,0)),1)))</f>
        <v/>
      </c>
      <c r="Z3015" s="94">
        <f>IF($A3015="",0,IF(AE3015="직접",IF(AF3015="신계약비",$P3015,0),$P3015*(1-AG3015)*IFERROR(INDEX(계정대체기준!$C$20:$C$49,MATCH($N3015,계정대체기준!$A$20:$A$49,0)),0)))</f>
        <v/>
      </c>
      <c r="AA3015" s="94">
        <f>IF($A3015="",0,IF(AE3015="직접",IF(OR(AF3015="유지비",AF3015="손해조사비"),$P3015,0),$P3015*(1-AG3015)*IFERROR(INDEX(계정대체기준!$D$20:$D$49,MATCH($N3015,계정대체기준!$A$20:$A$49,0)),0)))</f>
        <v/>
      </c>
      <c r="AB3015" s="94">
        <f>IF($A3015="",0,IF(AE3015="직접",IF(AF3015="수금비",$P3015,0),$P3015*(1-AG3015)*IFERROR(INDEX(계정대체기준!$E$20:$E$49,MATCH($N3015,계정대체기준!$A$20:$A$49,0)),0)))</f>
        <v/>
      </c>
      <c r="AC3015" s="9">
        <f>IF(AND($A3015&lt;&gt;"",M3015=설정!$C$20,Z3015&gt;0),Z3015+ROW()/1000000000,"")</f>
        <v/>
      </c>
      <c r="AD3015" s="94">
        <f>IF($A3015="",0,$P3015*AG3015)</f>
        <v/>
      </c>
      <c r="AE3015" s="64">
        <f>IF($A3015="","",IFERROR(INDEX(계정매핑!$E$5:$E$504,MATCH($F3015&amp;"",계정매핑!$A$5:$A$504,0))&amp;"","공통비"))</f>
        <v/>
      </c>
      <c r="AF3015" s="64">
        <f>IF($A3015="","",IF(AE3015="직접",IFERROR(INDEX(계정매핑!$F$5:$F$504,MATCH($F3015&amp;"",계정매핑!$A$5:$A$504,0))&amp;"","비귀속"),""))</f>
        <v/>
      </c>
      <c r="AG3015" s="96">
        <f>IF($A3015="",0,IF(AND(AE3015&lt;&gt;"직접",IFERROR(INDEX(계정매핑!$G$5:$G$504,MATCH($F3015&amp;"",계정매핑!$A$5:$A$504,0))&amp;"","")="유지비",COUNTIF(계정대체기준!$A$6:$A$15,$N3015)&gt;0),IFERROR(INDEX(계정대체기준!$E$6:$E$15,MATCH(VALUE($A3015&amp;""),계정대체기준!$D$6:$D$15,0)),0),0))</f>
        <v/>
      </c>
      <c r="AH3015" s="64">
        <f>IF($A3015="","",IF(AD3015=0,"",IF(OR(COUNTIF(계정대체기준!$A$77:$A$86,$N3015)&gt;0,ISNUMBER(MATCH($X3015,계정대체기준!$D$77:$D$86,0)),ISNUMBER(MATCH($F3015,계정대체기준!$D$77:$D$86,0))),"Y","N")))</f>
        <v/>
      </c>
    </row>
    <row r="3016">
      <c r="A3016" s="92" t="n">
        <v>2026</v>
      </c>
      <c r="B3016" s="92" t="n">
        <v>2</v>
      </c>
      <c r="C3016" s="92" t="inlineStr">
        <is>
          <t>5100000294</t>
        </is>
      </c>
      <c r="D3016" s="95" t="n">
        <v>46062</v>
      </c>
      <c r="E3016" s="92" t="inlineStr">
        <is>
          <t>KR</t>
        </is>
      </c>
      <c r="F3016" s="92" t="n">
        <v>62301000</v>
      </c>
      <c r="G3016" s="92" t="n">
        <v>1201</v>
      </c>
      <c r="H3016" s="93" t="n">
        <v>193000</v>
      </c>
      <c r="I3016" s="92" t="inlineStr">
        <is>
          <t>2월 소모품 구입 - Q오피스</t>
        </is>
      </c>
      <c r="J3016" s="92" t="inlineStr">
        <is>
          <t>V10003</t>
        </is>
      </c>
      <c r="K3016" s="92" t="inlineStr">
        <is>
          <t>Q오피스</t>
        </is>
      </c>
      <c r="M3016" s="9">
        <f>IF($A3016="","",VALUE($A3016&amp;"")*12+VALUE($B3016&amp;""))</f>
        <v/>
      </c>
      <c r="N3016" s="64">
        <f>IF($A3016="","",IFERROR(INDEX(부서매핑!$C$5:$C$504,MATCH($G3016&amp;"",부서매핑!$A$5:$A$504,0)),"미매핑"))</f>
        <v/>
      </c>
      <c r="O3016" s="9">
        <f>IF($A3016="","",N3016&amp;"|"&amp;$F3016)</f>
        <v/>
      </c>
      <c r="P3016" s="94">
        <f>IF($A3016="",0,$H3016*설정!$C$23)</f>
        <v/>
      </c>
      <c r="Q3016" s="64">
        <f>IF($A3016="","",IF(O3016&lt;&gt;원인분석!$C$9,"",IF(AND(M3016&gt;=원인분석!$C$10,M3016&lt;=원인분석!$C$11),"당기",IF(AND(M3016&gt;=원인분석!$C$12,M3016&lt;=원인분석!$C$13),"비교",""))))</f>
        <v/>
      </c>
      <c r="R3016" s="9">
        <f>IF(Q3016="","",$K3016&amp;"")</f>
        <v/>
      </c>
      <c r="S3016" s="9">
        <f>IF(Q3016="","",IF(MATCH(R3016,$R$5:$R$100000,0)=ROW()-4,ROW(),""))</f>
        <v/>
      </c>
      <c r="T3016" s="9">
        <f>IF(Q3016="당기",ABS(P3016)+ROW()/1000000000,"")</f>
        <v/>
      </c>
      <c r="U3016" s="9">
        <f>IF(Q3016="비교",ABS(P3016)+ROW()/1000000000,"")</f>
        <v/>
      </c>
      <c r="V3016" s="64">
        <f>IF($A3016="","",IF(COUNTIF(변동분석!$E$7:$E$506,O3016)&gt;0,"Y","N"))</f>
        <v/>
      </c>
      <c r="W3016" s="64">
        <f>IF($A3016="","",IFERROR(INDEX(계정매핑!$D$5:$D$504,MATCH($F3016&amp;"",계정매핑!$A$5:$A$504,0)),"미매핑"))</f>
        <v/>
      </c>
      <c r="X3016" s="9">
        <f>IF($A3016="","",$F3016&amp;"")</f>
        <v/>
      </c>
      <c r="Y3016" s="94">
        <f>IF($A3016="",0,IF(AE3016="직접",IF(AF3016="비귀속",$P3016,0),$P3016*(1-AG3016)*IFERROR(INDEX(계정대체기준!$F$20:$F$49,MATCH($N3016,계정대체기준!$A$20:$A$49,0)),1)))</f>
        <v/>
      </c>
      <c r="Z3016" s="94">
        <f>IF($A3016="",0,IF(AE3016="직접",IF(AF3016="신계약비",$P3016,0),$P3016*(1-AG3016)*IFERROR(INDEX(계정대체기준!$C$20:$C$49,MATCH($N3016,계정대체기준!$A$20:$A$49,0)),0)))</f>
        <v/>
      </c>
      <c r="AA3016" s="94">
        <f>IF($A3016="",0,IF(AE3016="직접",IF(OR(AF3016="유지비",AF3016="손해조사비"),$P3016,0),$P3016*(1-AG3016)*IFERROR(INDEX(계정대체기준!$D$20:$D$49,MATCH($N3016,계정대체기준!$A$20:$A$49,0)),0)))</f>
        <v/>
      </c>
      <c r="AB3016" s="94">
        <f>IF($A3016="",0,IF(AE3016="직접",IF(AF3016="수금비",$P3016,0),$P3016*(1-AG3016)*IFERROR(INDEX(계정대체기준!$E$20:$E$49,MATCH($N3016,계정대체기준!$A$20:$A$49,0)),0)))</f>
        <v/>
      </c>
      <c r="AC3016" s="9">
        <f>IF(AND($A3016&lt;&gt;"",M3016=설정!$C$20,Z3016&gt;0),Z3016+ROW()/1000000000,"")</f>
        <v/>
      </c>
      <c r="AD3016" s="94">
        <f>IF($A3016="",0,$P3016*AG3016)</f>
        <v/>
      </c>
      <c r="AE3016" s="64">
        <f>IF($A3016="","",IFERROR(INDEX(계정매핑!$E$5:$E$504,MATCH($F3016&amp;"",계정매핑!$A$5:$A$504,0))&amp;"","공통비"))</f>
        <v/>
      </c>
      <c r="AF3016" s="64">
        <f>IF($A3016="","",IF(AE3016="직접",IFERROR(INDEX(계정매핑!$F$5:$F$504,MATCH($F3016&amp;"",계정매핑!$A$5:$A$504,0))&amp;"","비귀속"),""))</f>
        <v/>
      </c>
      <c r="AG3016" s="96">
        <f>IF($A3016="",0,IF(AND(AE3016&lt;&gt;"직접",IFERROR(INDEX(계정매핑!$G$5:$G$504,MATCH($F3016&amp;"",계정매핑!$A$5:$A$504,0))&amp;"","")="유지비",COUNTIF(계정대체기준!$A$6:$A$15,$N3016)&gt;0),IFERROR(INDEX(계정대체기준!$E$6:$E$15,MATCH(VALUE($A3016&amp;""),계정대체기준!$D$6:$D$15,0)),0),0))</f>
        <v/>
      </c>
      <c r="AH3016" s="64">
        <f>IF($A3016="","",IF(AD3016=0,"",IF(OR(COUNTIF(계정대체기준!$A$77:$A$86,$N3016)&gt;0,ISNUMBER(MATCH($X3016,계정대체기준!$D$77:$D$86,0)),ISNUMBER(MATCH($F3016,계정대체기준!$D$77:$D$86,0))),"Y","N")))</f>
        <v/>
      </c>
    </row>
    <row r="3017">
      <c r="A3017" s="92" t="n">
        <v>2026</v>
      </c>
      <c r="B3017" s="92" t="n">
        <v>2</v>
      </c>
      <c r="C3017" s="92" t="inlineStr">
        <is>
          <t>5100000295</t>
        </is>
      </c>
      <c r="D3017" s="95" t="n">
        <v>46062</v>
      </c>
      <c r="E3017" s="92" t="inlineStr">
        <is>
          <t>KR</t>
        </is>
      </c>
      <c r="F3017" s="92" t="n">
        <v>62301000</v>
      </c>
      <c r="G3017" s="92" t="n">
        <v>1502</v>
      </c>
      <c r="H3017" s="93" t="n">
        <v>245000</v>
      </c>
      <c r="I3017" s="92" t="inlineStr">
        <is>
          <t>2월 소모품 구입 - Q오피스</t>
        </is>
      </c>
      <c r="J3017" s="92" t="inlineStr">
        <is>
          <t>V10003</t>
        </is>
      </c>
      <c r="K3017" s="92" t="inlineStr">
        <is>
          <t>Q오피스</t>
        </is>
      </c>
      <c r="M3017" s="9">
        <f>IF($A3017="","",VALUE($A3017&amp;"")*12+VALUE($B3017&amp;""))</f>
        <v/>
      </c>
      <c r="N3017" s="64">
        <f>IF($A3017="","",IFERROR(INDEX(부서매핑!$C$5:$C$504,MATCH($G3017&amp;"",부서매핑!$A$5:$A$504,0)),"미매핑"))</f>
        <v/>
      </c>
      <c r="O3017" s="9">
        <f>IF($A3017="","",N3017&amp;"|"&amp;$F3017)</f>
        <v/>
      </c>
      <c r="P3017" s="94">
        <f>IF($A3017="",0,$H3017*설정!$C$23)</f>
        <v/>
      </c>
      <c r="Q3017" s="64">
        <f>IF($A3017="","",IF(O3017&lt;&gt;원인분석!$C$9,"",IF(AND(M3017&gt;=원인분석!$C$10,M3017&lt;=원인분석!$C$11),"당기",IF(AND(M3017&gt;=원인분석!$C$12,M3017&lt;=원인분석!$C$13),"비교",""))))</f>
        <v/>
      </c>
      <c r="R3017" s="9">
        <f>IF(Q3017="","",$K3017&amp;"")</f>
        <v/>
      </c>
      <c r="S3017" s="9">
        <f>IF(Q3017="","",IF(MATCH(R3017,$R$5:$R$100000,0)=ROW()-4,ROW(),""))</f>
        <v/>
      </c>
      <c r="T3017" s="9">
        <f>IF(Q3017="당기",ABS(P3017)+ROW()/1000000000,"")</f>
        <v/>
      </c>
      <c r="U3017" s="9">
        <f>IF(Q3017="비교",ABS(P3017)+ROW()/1000000000,"")</f>
        <v/>
      </c>
      <c r="V3017" s="64">
        <f>IF($A3017="","",IF(COUNTIF(변동분석!$E$7:$E$506,O3017)&gt;0,"Y","N"))</f>
        <v/>
      </c>
      <c r="W3017" s="64">
        <f>IF($A3017="","",IFERROR(INDEX(계정매핑!$D$5:$D$504,MATCH($F3017&amp;"",계정매핑!$A$5:$A$504,0)),"미매핑"))</f>
        <v/>
      </c>
      <c r="X3017" s="9">
        <f>IF($A3017="","",$F3017&amp;"")</f>
        <v/>
      </c>
      <c r="Y3017" s="94">
        <f>IF($A3017="",0,IF(AE3017="직접",IF(AF3017="비귀속",$P3017,0),$P3017*(1-AG3017)*IFERROR(INDEX(계정대체기준!$F$20:$F$49,MATCH($N3017,계정대체기준!$A$20:$A$49,0)),1)))</f>
        <v/>
      </c>
      <c r="Z3017" s="94">
        <f>IF($A3017="",0,IF(AE3017="직접",IF(AF3017="신계약비",$P3017,0),$P3017*(1-AG3017)*IFERROR(INDEX(계정대체기준!$C$20:$C$49,MATCH($N3017,계정대체기준!$A$20:$A$49,0)),0)))</f>
        <v/>
      </c>
      <c r="AA3017" s="94">
        <f>IF($A3017="",0,IF(AE3017="직접",IF(OR(AF3017="유지비",AF3017="손해조사비"),$P3017,0),$P3017*(1-AG3017)*IFERROR(INDEX(계정대체기준!$D$20:$D$49,MATCH($N3017,계정대체기준!$A$20:$A$49,0)),0)))</f>
        <v/>
      </c>
      <c r="AB3017" s="94">
        <f>IF($A3017="",0,IF(AE3017="직접",IF(AF3017="수금비",$P3017,0),$P3017*(1-AG3017)*IFERROR(INDEX(계정대체기준!$E$20:$E$49,MATCH($N3017,계정대체기준!$A$20:$A$49,0)),0)))</f>
        <v/>
      </c>
      <c r="AC3017" s="9">
        <f>IF(AND($A3017&lt;&gt;"",M3017=설정!$C$20,Z3017&gt;0),Z3017+ROW()/1000000000,"")</f>
        <v/>
      </c>
      <c r="AD3017" s="94">
        <f>IF($A3017="",0,$P3017*AG3017)</f>
        <v/>
      </c>
      <c r="AE3017" s="64">
        <f>IF($A3017="","",IFERROR(INDEX(계정매핑!$E$5:$E$504,MATCH($F3017&amp;"",계정매핑!$A$5:$A$504,0))&amp;"","공통비"))</f>
        <v/>
      </c>
      <c r="AF3017" s="64">
        <f>IF($A3017="","",IF(AE3017="직접",IFERROR(INDEX(계정매핑!$F$5:$F$504,MATCH($F3017&amp;"",계정매핑!$A$5:$A$504,0))&amp;"","비귀속"),""))</f>
        <v/>
      </c>
      <c r="AG3017" s="96">
        <f>IF($A3017="",0,IF(AND(AE3017&lt;&gt;"직접",IFERROR(INDEX(계정매핑!$G$5:$G$504,MATCH($F3017&amp;"",계정매핑!$A$5:$A$504,0))&amp;"","")="유지비",COUNTIF(계정대체기준!$A$6:$A$15,$N3017)&gt;0),IFERROR(INDEX(계정대체기준!$E$6:$E$15,MATCH(VALUE($A3017&amp;""),계정대체기준!$D$6:$D$15,0)),0),0))</f>
        <v/>
      </c>
      <c r="AH3017" s="64">
        <f>IF($A3017="","",IF(AD3017=0,"",IF(OR(COUNTIF(계정대체기준!$A$77:$A$86,$N3017)&gt;0,ISNUMBER(MATCH($X3017,계정대체기준!$D$77:$D$86,0)),ISNUMBER(MATCH($F3017,계정대체기준!$D$77:$D$86,0))),"Y","N")))</f>
        <v/>
      </c>
    </row>
    <row r="3018">
      <c r="A3018" s="92" t="n">
        <v>2026</v>
      </c>
      <c r="B3018" s="92" t="n">
        <v>2</v>
      </c>
      <c r="C3018" s="92" t="inlineStr">
        <is>
          <t>5100000296</t>
        </is>
      </c>
      <c r="D3018" s="95" t="n">
        <v>46062</v>
      </c>
      <c r="E3018" s="92" t="inlineStr">
        <is>
          <t>KR</t>
        </is>
      </c>
      <c r="F3018" s="92" t="n">
        <v>62301000</v>
      </c>
      <c r="G3018" s="92" t="n">
        <v>1701</v>
      </c>
      <c r="H3018" s="93" t="n">
        <v>253000</v>
      </c>
      <c r="I3018" s="92" t="inlineStr">
        <is>
          <t>2월 소모품 구입 - Q오피스</t>
        </is>
      </c>
      <c r="J3018" s="92" t="inlineStr">
        <is>
          <t>V10003</t>
        </is>
      </c>
      <c r="K3018" s="92" t="inlineStr">
        <is>
          <t>Q오피스</t>
        </is>
      </c>
      <c r="M3018" s="9">
        <f>IF($A3018="","",VALUE($A3018&amp;"")*12+VALUE($B3018&amp;""))</f>
        <v/>
      </c>
      <c r="N3018" s="64">
        <f>IF($A3018="","",IFERROR(INDEX(부서매핑!$C$5:$C$504,MATCH($G3018&amp;"",부서매핑!$A$5:$A$504,0)),"미매핑"))</f>
        <v/>
      </c>
      <c r="O3018" s="9">
        <f>IF($A3018="","",N3018&amp;"|"&amp;$F3018)</f>
        <v/>
      </c>
      <c r="P3018" s="94">
        <f>IF($A3018="",0,$H3018*설정!$C$23)</f>
        <v/>
      </c>
      <c r="Q3018" s="64">
        <f>IF($A3018="","",IF(O3018&lt;&gt;원인분석!$C$9,"",IF(AND(M3018&gt;=원인분석!$C$10,M3018&lt;=원인분석!$C$11),"당기",IF(AND(M3018&gt;=원인분석!$C$12,M3018&lt;=원인분석!$C$13),"비교",""))))</f>
        <v/>
      </c>
      <c r="R3018" s="9">
        <f>IF(Q3018="","",$K3018&amp;"")</f>
        <v/>
      </c>
      <c r="S3018" s="9">
        <f>IF(Q3018="","",IF(MATCH(R3018,$R$5:$R$100000,0)=ROW()-4,ROW(),""))</f>
        <v/>
      </c>
      <c r="T3018" s="9">
        <f>IF(Q3018="당기",ABS(P3018)+ROW()/1000000000,"")</f>
        <v/>
      </c>
      <c r="U3018" s="9">
        <f>IF(Q3018="비교",ABS(P3018)+ROW()/1000000000,"")</f>
        <v/>
      </c>
      <c r="V3018" s="64">
        <f>IF($A3018="","",IF(COUNTIF(변동분석!$E$7:$E$506,O3018)&gt;0,"Y","N"))</f>
        <v/>
      </c>
      <c r="W3018" s="64">
        <f>IF($A3018="","",IFERROR(INDEX(계정매핑!$D$5:$D$504,MATCH($F3018&amp;"",계정매핑!$A$5:$A$504,0)),"미매핑"))</f>
        <v/>
      </c>
      <c r="X3018" s="9">
        <f>IF($A3018="","",$F3018&amp;"")</f>
        <v/>
      </c>
      <c r="Y3018" s="94">
        <f>IF($A3018="",0,IF(AE3018="직접",IF(AF3018="비귀속",$P3018,0),$P3018*(1-AG3018)*IFERROR(INDEX(계정대체기준!$F$20:$F$49,MATCH($N3018,계정대체기준!$A$20:$A$49,0)),1)))</f>
        <v/>
      </c>
      <c r="Z3018" s="94">
        <f>IF($A3018="",0,IF(AE3018="직접",IF(AF3018="신계약비",$P3018,0),$P3018*(1-AG3018)*IFERROR(INDEX(계정대체기준!$C$20:$C$49,MATCH($N3018,계정대체기준!$A$20:$A$49,0)),0)))</f>
        <v/>
      </c>
      <c r="AA3018" s="94">
        <f>IF($A3018="",0,IF(AE3018="직접",IF(OR(AF3018="유지비",AF3018="손해조사비"),$P3018,0),$P3018*(1-AG3018)*IFERROR(INDEX(계정대체기준!$D$20:$D$49,MATCH($N3018,계정대체기준!$A$20:$A$49,0)),0)))</f>
        <v/>
      </c>
      <c r="AB3018" s="94">
        <f>IF($A3018="",0,IF(AE3018="직접",IF(AF3018="수금비",$P3018,0),$P3018*(1-AG3018)*IFERROR(INDEX(계정대체기준!$E$20:$E$49,MATCH($N3018,계정대체기준!$A$20:$A$49,0)),0)))</f>
        <v/>
      </c>
      <c r="AC3018" s="9">
        <f>IF(AND($A3018&lt;&gt;"",M3018=설정!$C$20,Z3018&gt;0),Z3018+ROW()/1000000000,"")</f>
        <v/>
      </c>
      <c r="AD3018" s="94">
        <f>IF($A3018="",0,$P3018*AG3018)</f>
        <v/>
      </c>
      <c r="AE3018" s="64">
        <f>IF($A3018="","",IFERROR(INDEX(계정매핑!$E$5:$E$504,MATCH($F3018&amp;"",계정매핑!$A$5:$A$504,0))&amp;"","공통비"))</f>
        <v/>
      </c>
      <c r="AF3018" s="64">
        <f>IF($A3018="","",IF(AE3018="직접",IFERROR(INDEX(계정매핑!$F$5:$F$504,MATCH($F3018&amp;"",계정매핑!$A$5:$A$504,0))&amp;"","비귀속"),""))</f>
        <v/>
      </c>
      <c r="AG3018" s="96">
        <f>IF($A3018="",0,IF(AND(AE3018&lt;&gt;"직접",IFERROR(INDEX(계정매핑!$G$5:$G$504,MATCH($F3018&amp;"",계정매핑!$A$5:$A$504,0))&amp;"","")="유지비",COUNTIF(계정대체기준!$A$6:$A$15,$N3018)&gt;0),IFERROR(INDEX(계정대체기준!$E$6:$E$15,MATCH(VALUE($A3018&amp;""),계정대체기준!$D$6:$D$15,0)),0),0))</f>
        <v/>
      </c>
      <c r="AH3018" s="64">
        <f>IF($A3018="","",IF(AD3018=0,"",IF(OR(COUNTIF(계정대체기준!$A$77:$A$86,$N3018)&gt;0,ISNUMBER(MATCH($X3018,계정대체기준!$D$77:$D$86,0)),ISNUMBER(MATCH($F3018,계정대체기준!$D$77:$D$86,0))),"Y","N")))</f>
        <v/>
      </c>
    </row>
    <row r="3019">
      <c r="A3019" s="92" t="n">
        <v>2026</v>
      </c>
      <c r="B3019" s="92" t="n">
        <v>2</v>
      </c>
      <c r="C3019" s="92" t="inlineStr">
        <is>
          <t>5100000297</t>
        </is>
      </c>
      <c r="D3019" s="95" t="n">
        <v>46062</v>
      </c>
      <c r="E3019" s="92" t="inlineStr">
        <is>
          <t>KR</t>
        </is>
      </c>
      <c r="F3019" s="92" t="n">
        <v>63001000</v>
      </c>
      <c r="G3019" s="92" t="n">
        <v>1951</v>
      </c>
      <c r="H3019" s="93" t="n">
        <v>5034000</v>
      </c>
      <c r="I3019" s="92" t="inlineStr">
        <is>
          <t>2월 SW 유지보수 - Z시스템</t>
        </is>
      </c>
      <c r="J3019" s="92" t="inlineStr">
        <is>
          <t>V10012</t>
        </is>
      </c>
      <c r="K3019" s="92" t="inlineStr">
        <is>
          <t>Z시스템</t>
        </is>
      </c>
      <c r="M3019" s="9">
        <f>IF($A3019="","",VALUE($A3019&amp;"")*12+VALUE($B3019&amp;""))</f>
        <v/>
      </c>
      <c r="N3019" s="64">
        <f>IF($A3019="","",IFERROR(INDEX(부서매핑!$C$5:$C$504,MATCH($G3019&amp;"",부서매핑!$A$5:$A$504,0)),"미매핑"))</f>
        <v/>
      </c>
      <c r="O3019" s="9">
        <f>IF($A3019="","",N3019&amp;"|"&amp;$F3019)</f>
        <v/>
      </c>
      <c r="P3019" s="94">
        <f>IF($A3019="",0,$H3019*설정!$C$23)</f>
        <v/>
      </c>
      <c r="Q3019" s="64">
        <f>IF($A3019="","",IF(O3019&lt;&gt;원인분석!$C$9,"",IF(AND(M3019&gt;=원인분석!$C$10,M3019&lt;=원인분석!$C$11),"당기",IF(AND(M3019&gt;=원인분석!$C$12,M3019&lt;=원인분석!$C$13),"비교",""))))</f>
        <v/>
      </c>
      <c r="R3019" s="9">
        <f>IF(Q3019="","",$K3019&amp;"")</f>
        <v/>
      </c>
      <c r="S3019" s="9">
        <f>IF(Q3019="","",IF(MATCH(R3019,$R$5:$R$100000,0)=ROW()-4,ROW(),""))</f>
        <v/>
      </c>
      <c r="T3019" s="9">
        <f>IF(Q3019="당기",ABS(P3019)+ROW()/1000000000,"")</f>
        <v/>
      </c>
      <c r="U3019" s="9">
        <f>IF(Q3019="비교",ABS(P3019)+ROW()/1000000000,"")</f>
        <v/>
      </c>
      <c r="V3019" s="64">
        <f>IF($A3019="","",IF(COUNTIF(변동분석!$E$7:$E$506,O3019)&gt;0,"Y","N"))</f>
        <v/>
      </c>
      <c r="W3019" s="64">
        <f>IF($A3019="","",IFERROR(INDEX(계정매핑!$D$5:$D$504,MATCH($F3019&amp;"",계정매핑!$A$5:$A$504,0)),"미매핑"))</f>
        <v/>
      </c>
      <c r="X3019" s="9">
        <f>IF($A3019="","",$F3019&amp;"")</f>
        <v/>
      </c>
      <c r="Y3019" s="94">
        <f>IF($A3019="",0,IF(AE3019="직접",IF(AF3019="비귀속",$P3019,0),$P3019*(1-AG3019)*IFERROR(INDEX(계정대체기준!$F$20:$F$49,MATCH($N3019,계정대체기준!$A$20:$A$49,0)),1)))</f>
        <v/>
      </c>
      <c r="Z3019" s="94">
        <f>IF($A3019="",0,IF(AE3019="직접",IF(AF3019="신계약비",$P3019,0),$P3019*(1-AG3019)*IFERROR(INDEX(계정대체기준!$C$20:$C$49,MATCH($N3019,계정대체기준!$A$20:$A$49,0)),0)))</f>
        <v/>
      </c>
      <c r="AA3019" s="94">
        <f>IF($A3019="",0,IF(AE3019="직접",IF(OR(AF3019="유지비",AF3019="손해조사비"),$P3019,0),$P3019*(1-AG3019)*IFERROR(INDEX(계정대체기준!$D$20:$D$49,MATCH($N3019,계정대체기준!$A$20:$A$49,0)),0)))</f>
        <v/>
      </c>
      <c r="AB3019" s="94">
        <f>IF($A3019="",0,IF(AE3019="직접",IF(AF3019="수금비",$P3019,0),$P3019*(1-AG3019)*IFERROR(INDEX(계정대체기준!$E$20:$E$49,MATCH($N3019,계정대체기준!$A$20:$A$49,0)),0)))</f>
        <v/>
      </c>
      <c r="AC3019" s="9">
        <f>IF(AND($A3019&lt;&gt;"",M3019=설정!$C$20,Z3019&gt;0),Z3019+ROW()/1000000000,"")</f>
        <v/>
      </c>
      <c r="AD3019" s="94">
        <f>IF($A3019="",0,$P3019*AG3019)</f>
        <v/>
      </c>
      <c r="AE3019" s="64">
        <f>IF($A3019="","",IFERROR(INDEX(계정매핑!$E$5:$E$504,MATCH($F3019&amp;"",계정매핑!$A$5:$A$504,0))&amp;"","공통비"))</f>
        <v/>
      </c>
      <c r="AF3019" s="64">
        <f>IF($A3019="","",IF(AE3019="직접",IFERROR(INDEX(계정매핑!$F$5:$F$504,MATCH($F3019&amp;"",계정매핑!$A$5:$A$504,0))&amp;"","비귀속"),""))</f>
        <v/>
      </c>
      <c r="AG3019" s="96">
        <f>IF($A3019="",0,IF(AND(AE3019&lt;&gt;"직접",IFERROR(INDEX(계정매핑!$G$5:$G$504,MATCH($F3019&amp;"",계정매핑!$A$5:$A$504,0))&amp;"","")="유지비",COUNTIF(계정대체기준!$A$6:$A$15,$N3019)&gt;0),IFERROR(INDEX(계정대체기준!$E$6:$E$15,MATCH(VALUE($A3019&amp;""),계정대체기준!$D$6:$D$15,0)),0),0))</f>
        <v/>
      </c>
      <c r="AH3019" s="64">
        <f>IF($A3019="","",IF(AD3019=0,"",IF(OR(COUNTIF(계정대체기준!$A$77:$A$86,$N3019)&gt;0,ISNUMBER(MATCH($X3019,계정대체기준!$D$77:$D$86,0)),ISNUMBER(MATCH($F3019,계정대체기준!$D$77:$D$86,0))),"Y","N")))</f>
        <v/>
      </c>
    </row>
    <row r="3020">
      <c r="A3020" s="92" t="n">
        <v>2026</v>
      </c>
      <c r="B3020" s="92" t="n">
        <v>2</v>
      </c>
      <c r="C3020" s="92" t="inlineStr">
        <is>
          <t>5100000298</t>
        </is>
      </c>
      <c r="D3020" s="95" t="n">
        <v>46062</v>
      </c>
      <c r="E3020" s="92" t="inlineStr">
        <is>
          <t>KR</t>
        </is>
      </c>
      <c r="F3020" s="92" t="n">
        <v>63101000</v>
      </c>
      <c r="G3020" s="92" t="n">
        <v>1602</v>
      </c>
      <c r="H3020" s="93" t="n">
        <v>2523000</v>
      </c>
      <c r="I3020" s="92" t="inlineStr">
        <is>
          <t>2월 사무실 임차료 - BB부동산</t>
        </is>
      </c>
      <c r="J3020" s="92" t="inlineStr">
        <is>
          <t>V10028</t>
        </is>
      </c>
      <c r="K3020" s="92" t="inlineStr">
        <is>
          <t>BB부동산</t>
        </is>
      </c>
      <c r="M3020" s="9">
        <f>IF($A3020="","",VALUE($A3020&amp;"")*12+VALUE($B3020&amp;""))</f>
        <v/>
      </c>
      <c r="N3020" s="64">
        <f>IF($A3020="","",IFERROR(INDEX(부서매핑!$C$5:$C$504,MATCH($G3020&amp;"",부서매핑!$A$5:$A$504,0)),"미매핑"))</f>
        <v/>
      </c>
      <c r="O3020" s="9">
        <f>IF($A3020="","",N3020&amp;"|"&amp;$F3020)</f>
        <v/>
      </c>
      <c r="P3020" s="94">
        <f>IF($A3020="",0,$H3020*설정!$C$23)</f>
        <v/>
      </c>
      <c r="Q3020" s="64">
        <f>IF($A3020="","",IF(O3020&lt;&gt;원인분석!$C$9,"",IF(AND(M3020&gt;=원인분석!$C$10,M3020&lt;=원인분석!$C$11),"당기",IF(AND(M3020&gt;=원인분석!$C$12,M3020&lt;=원인분석!$C$13),"비교",""))))</f>
        <v/>
      </c>
      <c r="R3020" s="9">
        <f>IF(Q3020="","",$K3020&amp;"")</f>
        <v/>
      </c>
      <c r="S3020" s="9">
        <f>IF(Q3020="","",IF(MATCH(R3020,$R$5:$R$100000,0)=ROW()-4,ROW(),""))</f>
        <v/>
      </c>
      <c r="T3020" s="9">
        <f>IF(Q3020="당기",ABS(P3020)+ROW()/1000000000,"")</f>
        <v/>
      </c>
      <c r="U3020" s="9">
        <f>IF(Q3020="비교",ABS(P3020)+ROW()/1000000000,"")</f>
        <v/>
      </c>
      <c r="V3020" s="64">
        <f>IF($A3020="","",IF(COUNTIF(변동분석!$E$7:$E$506,O3020)&gt;0,"Y","N"))</f>
        <v/>
      </c>
      <c r="W3020" s="64">
        <f>IF($A3020="","",IFERROR(INDEX(계정매핑!$D$5:$D$504,MATCH($F3020&amp;"",계정매핑!$A$5:$A$504,0)),"미매핑"))</f>
        <v/>
      </c>
      <c r="X3020" s="9">
        <f>IF($A3020="","",$F3020&amp;"")</f>
        <v/>
      </c>
      <c r="Y3020" s="94">
        <f>IF($A3020="",0,IF(AE3020="직접",IF(AF3020="비귀속",$P3020,0),$P3020*(1-AG3020)*IFERROR(INDEX(계정대체기준!$F$20:$F$49,MATCH($N3020,계정대체기준!$A$20:$A$49,0)),1)))</f>
        <v/>
      </c>
      <c r="Z3020" s="94">
        <f>IF($A3020="",0,IF(AE3020="직접",IF(AF3020="신계약비",$P3020,0),$P3020*(1-AG3020)*IFERROR(INDEX(계정대체기준!$C$20:$C$49,MATCH($N3020,계정대체기준!$A$20:$A$49,0)),0)))</f>
        <v/>
      </c>
      <c r="AA3020" s="94">
        <f>IF($A3020="",0,IF(AE3020="직접",IF(OR(AF3020="유지비",AF3020="손해조사비"),$P3020,0),$P3020*(1-AG3020)*IFERROR(INDEX(계정대체기준!$D$20:$D$49,MATCH($N3020,계정대체기준!$A$20:$A$49,0)),0)))</f>
        <v/>
      </c>
      <c r="AB3020" s="94">
        <f>IF($A3020="",0,IF(AE3020="직접",IF(AF3020="수금비",$P3020,0),$P3020*(1-AG3020)*IFERROR(INDEX(계정대체기준!$E$20:$E$49,MATCH($N3020,계정대체기준!$A$20:$A$49,0)),0)))</f>
        <v/>
      </c>
      <c r="AC3020" s="9">
        <f>IF(AND($A3020&lt;&gt;"",M3020=설정!$C$20,Z3020&gt;0),Z3020+ROW()/1000000000,"")</f>
        <v/>
      </c>
      <c r="AD3020" s="94">
        <f>IF($A3020="",0,$P3020*AG3020)</f>
        <v/>
      </c>
      <c r="AE3020" s="64">
        <f>IF($A3020="","",IFERROR(INDEX(계정매핑!$E$5:$E$504,MATCH($F3020&amp;"",계정매핑!$A$5:$A$504,0))&amp;"","공통비"))</f>
        <v/>
      </c>
      <c r="AF3020" s="64">
        <f>IF($A3020="","",IF(AE3020="직접",IFERROR(INDEX(계정매핑!$F$5:$F$504,MATCH($F3020&amp;"",계정매핑!$A$5:$A$504,0))&amp;"","비귀속"),""))</f>
        <v/>
      </c>
      <c r="AG3020" s="96">
        <f>IF($A3020="",0,IF(AND(AE3020&lt;&gt;"직접",IFERROR(INDEX(계정매핑!$G$5:$G$504,MATCH($F3020&amp;"",계정매핑!$A$5:$A$504,0))&amp;"","")="유지비",COUNTIF(계정대체기준!$A$6:$A$15,$N3020)&gt;0),IFERROR(INDEX(계정대체기준!$E$6:$E$15,MATCH(VALUE($A3020&amp;""),계정대체기준!$D$6:$D$15,0)),0),0))</f>
        <v/>
      </c>
      <c r="AH3020" s="64">
        <f>IF($A3020="","",IF(AD3020=0,"",IF(OR(COUNTIF(계정대체기준!$A$77:$A$86,$N3020)&gt;0,ISNUMBER(MATCH($X3020,계정대체기준!$D$77:$D$86,0)),ISNUMBER(MATCH($F3020,계정대체기준!$D$77:$D$86,0))),"Y","N")))</f>
        <v/>
      </c>
    </row>
    <row r="3021">
      <c r="A3021" s="92" t="n">
        <v>2026</v>
      </c>
      <c r="B3021" s="92" t="n">
        <v>2</v>
      </c>
      <c r="C3021" s="92" t="inlineStr">
        <is>
          <t>5100000299</t>
        </is>
      </c>
      <c r="D3021" s="95" t="n">
        <v>46063</v>
      </c>
      <c r="E3021" s="92" t="inlineStr">
        <is>
          <t>KR</t>
        </is>
      </c>
      <c r="F3021" s="92" t="n">
        <v>62101000</v>
      </c>
      <c r="G3021" s="92" t="n">
        <v>1101</v>
      </c>
      <c r="H3021" s="93" t="n">
        <v>461000</v>
      </c>
      <c r="I3021" s="92" t="inlineStr">
        <is>
          <t>2월 국내출장 - (법인카드)</t>
        </is>
      </c>
      <c r="J3021" s="92" t="inlineStr">
        <is>
          <t>V10010</t>
        </is>
      </c>
      <c r="K3021" s="92" t="inlineStr">
        <is>
          <t>(법인카드)</t>
        </is>
      </c>
      <c r="M3021" s="9">
        <f>IF($A3021="","",VALUE($A3021&amp;"")*12+VALUE($B3021&amp;""))</f>
        <v/>
      </c>
      <c r="N3021" s="64">
        <f>IF($A3021="","",IFERROR(INDEX(부서매핑!$C$5:$C$504,MATCH($G3021&amp;"",부서매핑!$A$5:$A$504,0)),"미매핑"))</f>
        <v/>
      </c>
      <c r="O3021" s="9">
        <f>IF($A3021="","",N3021&amp;"|"&amp;$F3021)</f>
        <v/>
      </c>
      <c r="P3021" s="94">
        <f>IF($A3021="",0,$H3021*설정!$C$23)</f>
        <v/>
      </c>
      <c r="Q3021" s="64">
        <f>IF($A3021="","",IF(O3021&lt;&gt;원인분석!$C$9,"",IF(AND(M3021&gt;=원인분석!$C$10,M3021&lt;=원인분석!$C$11),"당기",IF(AND(M3021&gt;=원인분석!$C$12,M3021&lt;=원인분석!$C$13),"비교",""))))</f>
        <v/>
      </c>
      <c r="R3021" s="9">
        <f>IF(Q3021="","",$K3021&amp;"")</f>
        <v/>
      </c>
      <c r="S3021" s="9">
        <f>IF(Q3021="","",IF(MATCH(R3021,$R$5:$R$100000,0)=ROW()-4,ROW(),""))</f>
        <v/>
      </c>
      <c r="T3021" s="9">
        <f>IF(Q3021="당기",ABS(P3021)+ROW()/1000000000,"")</f>
        <v/>
      </c>
      <c r="U3021" s="9">
        <f>IF(Q3021="비교",ABS(P3021)+ROW()/1000000000,"")</f>
        <v/>
      </c>
      <c r="V3021" s="64">
        <f>IF($A3021="","",IF(COUNTIF(변동분석!$E$7:$E$506,O3021)&gt;0,"Y","N"))</f>
        <v/>
      </c>
      <c r="W3021" s="64">
        <f>IF($A3021="","",IFERROR(INDEX(계정매핑!$D$5:$D$504,MATCH($F3021&amp;"",계정매핑!$A$5:$A$504,0)),"미매핑"))</f>
        <v/>
      </c>
      <c r="X3021" s="9">
        <f>IF($A3021="","",$F3021&amp;"")</f>
        <v/>
      </c>
      <c r="Y3021" s="94">
        <f>IF($A3021="",0,IF(AE3021="직접",IF(AF3021="비귀속",$P3021,0),$P3021*(1-AG3021)*IFERROR(INDEX(계정대체기준!$F$20:$F$49,MATCH($N3021,계정대체기준!$A$20:$A$49,0)),1)))</f>
        <v/>
      </c>
      <c r="Z3021" s="94">
        <f>IF($A3021="",0,IF(AE3021="직접",IF(AF3021="신계약비",$P3021,0),$P3021*(1-AG3021)*IFERROR(INDEX(계정대체기준!$C$20:$C$49,MATCH($N3021,계정대체기준!$A$20:$A$49,0)),0)))</f>
        <v/>
      </c>
      <c r="AA3021" s="94">
        <f>IF($A3021="",0,IF(AE3021="직접",IF(OR(AF3021="유지비",AF3021="손해조사비"),$P3021,0),$P3021*(1-AG3021)*IFERROR(INDEX(계정대체기준!$D$20:$D$49,MATCH($N3021,계정대체기준!$A$20:$A$49,0)),0)))</f>
        <v/>
      </c>
      <c r="AB3021" s="94">
        <f>IF($A3021="",0,IF(AE3021="직접",IF(AF3021="수금비",$P3021,0),$P3021*(1-AG3021)*IFERROR(INDEX(계정대체기준!$E$20:$E$49,MATCH($N3021,계정대체기준!$A$20:$A$49,0)),0)))</f>
        <v/>
      </c>
      <c r="AC3021" s="9">
        <f>IF(AND($A3021&lt;&gt;"",M3021=설정!$C$20,Z3021&gt;0),Z3021+ROW()/1000000000,"")</f>
        <v/>
      </c>
      <c r="AD3021" s="94">
        <f>IF($A3021="",0,$P3021*AG3021)</f>
        <v/>
      </c>
      <c r="AE3021" s="64">
        <f>IF($A3021="","",IFERROR(INDEX(계정매핑!$E$5:$E$504,MATCH($F3021&amp;"",계정매핑!$A$5:$A$504,0))&amp;"","공통비"))</f>
        <v/>
      </c>
      <c r="AF3021" s="64">
        <f>IF($A3021="","",IF(AE3021="직접",IFERROR(INDEX(계정매핑!$F$5:$F$504,MATCH($F3021&amp;"",계정매핑!$A$5:$A$504,0))&amp;"","비귀속"),""))</f>
        <v/>
      </c>
      <c r="AG3021" s="96">
        <f>IF($A3021="",0,IF(AND(AE3021&lt;&gt;"직접",IFERROR(INDEX(계정매핑!$G$5:$G$504,MATCH($F3021&amp;"",계정매핑!$A$5:$A$504,0))&amp;"","")="유지비",COUNTIF(계정대체기준!$A$6:$A$15,$N3021)&gt;0),IFERROR(INDEX(계정대체기준!$E$6:$E$15,MATCH(VALUE($A3021&amp;""),계정대체기준!$D$6:$D$15,0)),0),0))</f>
        <v/>
      </c>
      <c r="AH3021" s="64">
        <f>IF($A3021="","",IF(AD3021=0,"",IF(OR(COUNTIF(계정대체기준!$A$77:$A$86,$N3021)&gt;0,ISNUMBER(MATCH($X3021,계정대체기준!$D$77:$D$86,0)),ISNUMBER(MATCH($F3021,계정대체기준!$D$77:$D$86,0))),"Y","N")))</f>
        <v/>
      </c>
    </row>
    <row r="3022">
      <c r="A3022" s="92" t="n">
        <v>2026</v>
      </c>
      <c r="B3022" s="92" t="n">
        <v>2</v>
      </c>
      <c r="C3022" s="92" t="inlineStr">
        <is>
          <t>5100000300</t>
        </is>
      </c>
      <c r="D3022" s="95" t="n">
        <v>46063</v>
      </c>
      <c r="E3022" s="92" t="inlineStr">
        <is>
          <t>KR</t>
        </is>
      </c>
      <c r="F3022" s="92" t="n">
        <v>62101000</v>
      </c>
      <c r="G3022" s="92" t="n">
        <v>1201</v>
      </c>
      <c r="H3022" s="93" t="n">
        <v>138000</v>
      </c>
      <c r="I3022" s="92" t="inlineStr">
        <is>
          <t>2월 국내출장 - (법인카드)</t>
        </is>
      </c>
      <c r="J3022" s="92" t="inlineStr">
        <is>
          <t>V10010</t>
        </is>
      </c>
      <c r="K3022" s="92" t="inlineStr">
        <is>
          <t>(법인카드)</t>
        </is>
      </c>
      <c r="M3022" s="9">
        <f>IF($A3022="","",VALUE($A3022&amp;"")*12+VALUE($B3022&amp;""))</f>
        <v/>
      </c>
      <c r="N3022" s="64">
        <f>IF($A3022="","",IFERROR(INDEX(부서매핑!$C$5:$C$504,MATCH($G3022&amp;"",부서매핑!$A$5:$A$504,0)),"미매핑"))</f>
        <v/>
      </c>
      <c r="O3022" s="9">
        <f>IF($A3022="","",N3022&amp;"|"&amp;$F3022)</f>
        <v/>
      </c>
      <c r="P3022" s="94">
        <f>IF($A3022="",0,$H3022*설정!$C$23)</f>
        <v/>
      </c>
      <c r="Q3022" s="64">
        <f>IF($A3022="","",IF(O3022&lt;&gt;원인분석!$C$9,"",IF(AND(M3022&gt;=원인분석!$C$10,M3022&lt;=원인분석!$C$11),"당기",IF(AND(M3022&gt;=원인분석!$C$12,M3022&lt;=원인분석!$C$13),"비교",""))))</f>
        <v/>
      </c>
      <c r="R3022" s="9">
        <f>IF(Q3022="","",$K3022&amp;"")</f>
        <v/>
      </c>
      <c r="S3022" s="9">
        <f>IF(Q3022="","",IF(MATCH(R3022,$R$5:$R$100000,0)=ROW()-4,ROW(),""))</f>
        <v/>
      </c>
      <c r="T3022" s="9">
        <f>IF(Q3022="당기",ABS(P3022)+ROW()/1000000000,"")</f>
        <v/>
      </c>
      <c r="U3022" s="9">
        <f>IF(Q3022="비교",ABS(P3022)+ROW()/1000000000,"")</f>
        <v/>
      </c>
      <c r="V3022" s="64">
        <f>IF($A3022="","",IF(COUNTIF(변동분석!$E$7:$E$506,O3022)&gt;0,"Y","N"))</f>
        <v/>
      </c>
      <c r="W3022" s="64">
        <f>IF($A3022="","",IFERROR(INDEX(계정매핑!$D$5:$D$504,MATCH($F3022&amp;"",계정매핑!$A$5:$A$504,0)),"미매핑"))</f>
        <v/>
      </c>
      <c r="X3022" s="9">
        <f>IF($A3022="","",$F3022&amp;"")</f>
        <v/>
      </c>
      <c r="Y3022" s="94">
        <f>IF($A3022="",0,IF(AE3022="직접",IF(AF3022="비귀속",$P3022,0),$P3022*(1-AG3022)*IFERROR(INDEX(계정대체기준!$F$20:$F$49,MATCH($N3022,계정대체기준!$A$20:$A$49,0)),1)))</f>
        <v/>
      </c>
      <c r="Z3022" s="94">
        <f>IF($A3022="",0,IF(AE3022="직접",IF(AF3022="신계약비",$P3022,0),$P3022*(1-AG3022)*IFERROR(INDEX(계정대체기준!$C$20:$C$49,MATCH($N3022,계정대체기준!$A$20:$A$49,0)),0)))</f>
        <v/>
      </c>
      <c r="AA3022" s="94">
        <f>IF($A3022="",0,IF(AE3022="직접",IF(OR(AF3022="유지비",AF3022="손해조사비"),$P3022,0),$P3022*(1-AG3022)*IFERROR(INDEX(계정대체기준!$D$20:$D$49,MATCH($N3022,계정대체기준!$A$20:$A$49,0)),0)))</f>
        <v/>
      </c>
      <c r="AB3022" s="94">
        <f>IF($A3022="",0,IF(AE3022="직접",IF(AF3022="수금비",$P3022,0),$P3022*(1-AG3022)*IFERROR(INDEX(계정대체기준!$E$20:$E$49,MATCH($N3022,계정대체기준!$A$20:$A$49,0)),0)))</f>
        <v/>
      </c>
      <c r="AC3022" s="9">
        <f>IF(AND($A3022&lt;&gt;"",M3022=설정!$C$20,Z3022&gt;0),Z3022+ROW()/1000000000,"")</f>
        <v/>
      </c>
      <c r="AD3022" s="94">
        <f>IF($A3022="",0,$P3022*AG3022)</f>
        <v/>
      </c>
      <c r="AE3022" s="64">
        <f>IF($A3022="","",IFERROR(INDEX(계정매핑!$E$5:$E$504,MATCH($F3022&amp;"",계정매핑!$A$5:$A$504,0))&amp;"","공통비"))</f>
        <v/>
      </c>
      <c r="AF3022" s="64">
        <f>IF($A3022="","",IF(AE3022="직접",IFERROR(INDEX(계정매핑!$F$5:$F$504,MATCH($F3022&amp;"",계정매핑!$A$5:$A$504,0))&amp;"","비귀속"),""))</f>
        <v/>
      </c>
      <c r="AG3022" s="96">
        <f>IF($A3022="",0,IF(AND(AE3022&lt;&gt;"직접",IFERROR(INDEX(계정매핑!$G$5:$G$504,MATCH($F3022&amp;"",계정매핑!$A$5:$A$504,0))&amp;"","")="유지비",COUNTIF(계정대체기준!$A$6:$A$15,$N3022)&gt;0),IFERROR(INDEX(계정대체기준!$E$6:$E$15,MATCH(VALUE($A3022&amp;""),계정대체기준!$D$6:$D$15,0)),0),0))</f>
        <v/>
      </c>
      <c r="AH3022" s="64">
        <f>IF($A3022="","",IF(AD3022=0,"",IF(OR(COUNTIF(계정대체기준!$A$77:$A$86,$N3022)&gt;0,ISNUMBER(MATCH($X3022,계정대체기준!$D$77:$D$86,0)),ISNUMBER(MATCH($F3022,계정대체기준!$D$77:$D$86,0))),"Y","N")))</f>
        <v/>
      </c>
    </row>
    <row r="3023">
      <c r="A3023" s="92" t="n">
        <v>2026</v>
      </c>
      <c r="B3023" s="92" t="n">
        <v>2</v>
      </c>
      <c r="C3023" s="92" t="inlineStr">
        <is>
          <t>5100000301</t>
        </is>
      </c>
      <c r="D3023" s="95" t="n">
        <v>46063</v>
      </c>
      <c r="E3023" s="92" t="inlineStr">
        <is>
          <t>KR</t>
        </is>
      </c>
      <c r="F3023" s="92" t="n">
        <v>62101000</v>
      </c>
      <c r="G3023" s="92" t="n">
        <v>1801</v>
      </c>
      <c r="H3023" s="93" t="n">
        <v>122000</v>
      </c>
      <c r="I3023" s="92" t="inlineStr">
        <is>
          <t>2월 국내출장 - L여행사</t>
        </is>
      </c>
      <c r="J3023" s="92" t="inlineStr">
        <is>
          <t>V10018</t>
        </is>
      </c>
      <c r="K3023" s="92" t="inlineStr">
        <is>
          <t>L여행사</t>
        </is>
      </c>
      <c r="M3023" s="9">
        <f>IF($A3023="","",VALUE($A3023&amp;"")*12+VALUE($B3023&amp;""))</f>
        <v/>
      </c>
      <c r="N3023" s="64">
        <f>IF($A3023="","",IFERROR(INDEX(부서매핑!$C$5:$C$504,MATCH($G3023&amp;"",부서매핑!$A$5:$A$504,0)),"미매핑"))</f>
        <v/>
      </c>
      <c r="O3023" s="9">
        <f>IF($A3023="","",N3023&amp;"|"&amp;$F3023)</f>
        <v/>
      </c>
      <c r="P3023" s="94">
        <f>IF($A3023="",0,$H3023*설정!$C$23)</f>
        <v/>
      </c>
      <c r="Q3023" s="64">
        <f>IF($A3023="","",IF(O3023&lt;&gt;원인분석!$C$9,"",IF(AND(M3023&gt;=원인분석!$C$10,M3023&lt;=원인분석!$C$11),"당기",IF(AND(M3023&gt;=원인분석!$C$12,M3023&lt;=원인분석!$C$13),"비교",""))))</f>
        <v/>
      </c>
      <c r="R3023" s="9">
        <f>IF(Q3023="","",$K3023&amp;"")</f>
        <v/>
      </c>
      <c r="S3023" s="9">
        <f>IF(Q3023="","",IF(MATCH(R3023,$R$5:$R$100000,0)=ROW()-4,ROW(),""))</f>
        <v/>
      </c>
      <c r="T3023" s="9">
        <f>IF(Q3023="당기",ABS(P3023)+ROW()/1000000000,"")</f>
        <v/>
      </c>
      <c r="U3023" s="9">
        <f>IF(Q3023="비교",ABS(P3023)+ROW()/1000000000,"")</f>
        <v/>
      </c>
      <c r="V3023" s="64">
        <f>IF($A3023="","",IF(COUNTIF(변동분석!$E$7:$E$506,O3023)&gt;0,"Y","N"))</f>
        <v/>
      </c>
      <c r="W3023" s="64">
        <f>IF($A3023="","",IFERROR(INDEX(계정매핑!$D$5:$D$504,MATCH($F3023&amp;"",계정매핑!$A$5:$A$504,0)),"미매핑"))</f>
        <v/>
      </c>
      <c r="X3023" s="9">
        <f>IF($A3023="","",$F3023&amp;"")</f>
        <v/>
      </c>
      <c r="Y3023" s="94">
        <f>IF($A3023="",0,IF(AE3023="직접",IF(AF3023="비귀속",$P3023,0),$P3023*(1-AG3023)*IFERROR(INDEX(계정대체기준!$F$20:$F$49,MATCH($N3023,계정대체기준!$A$20:$A$49,0)),1)))</f>
        <v/>
      </c>
      <c r="Z3023" s="94">
        <f>IF($A3023="",0,IF(AE3023="직접",IF(AF3023="신계약비",$P3023,0),$P3023*(1-AG3023)*IFERROR(INDEX(계정대체기준!$C$20:$C$49,MATCH($N3023,계정대체기준!$A$20:$A$49,0)),0)))</f>
        <v/>
      </c>
      <c r="AA3023" s="94">
        <f>IF($A3023="",0,IF(AE3023="직접",IF(OR(AF3023="유지비",AF3023="손해조사비"),$P3023,0),$P3023*(1-AG3023)*IFERROR(INDEX(계정대체기준!$D$20:$D$49,MATCH($N3023,계정대체기준!$A$20:$A$49,0)),0)))</f>
        <v/>
      </c>
      <c r="AB3023" s="94">
        <f>IF($A3023="",0,IF(AE3023="직접",IF(AF3023="수금비",$P3023,0),$P3023*(1-AG3023)*IFERROR(INDEX(계정대체기준!$E$20:$E$49,MATCH($N3023,계정대체기준!$A$20:$A$49,0)),0)))</f>
        <v/>
      </c>
      <c r="AC3023" s="9">
        <f>IF(AND($A3023&lt;&gt;"",M3023=설정!$C$20,Z3023&gt;0),Z3023+ROW()/1000000000,"")</f>
        <v/>
      </c>
      <c r="AD3023" s="94">
        <f>IF($A3023="",0,$P3023*AG3023)</f>
        <v/>
      </c>
      <c r="AE3023" s="64">
        <f>IF($A3023="","",IFERROR(INDEX(계정매핑!$E$5:$E$504,MATCH($F3023&amp;"",계정매핑!$A$5:$A$504,0))&amp;"","공통비"))</f>
        <v/>
      </c>
      <c r="AF3023" s="64">
        <f>IF($A3023="","",IF(AE3023="직접",IFERROR(INDEX(계정매핑!$F$5:$F$504,MATCH($F3023&amp;"",계정매핑!$A$5:$A$504,0))&amp;"","비귀속"),""))</f>
        <v/>
      </c>
      <c r="AG3023" s="96">
        <f>IF($A3023="",0,IF(AND(AE3023&lt;&gt;"직접",IFERROR(INDEX(계정매핑!$G$5:$G$504,MATCH($F3023&amp;"",계정매핑!$A$5:$A$504,0))&amp;"","")="유지비",COUNTIF(계정대체기준!$A$6:$A$15,$N3023)&gt;0),IFERROR(INDEX(계정대체기준!$E$6:$E$15,MATCH(VALUE($A3023&amp;""),계정대체기준!$D$6:$D$15,0)),0),0))</f>
        <v/>
      </c>
      <c r="AH3023" s="64">
        <f>IF($A3023="","",IF(AD3023=0,"",IF(OR(COUNTIF(계정대체기준!$A$77:$A$86,$N3023)&gt;0,ISNUMBER(MATCH($X3023,계정대체기준!$D$77:$D$86,0)),ISNUMBER(MATCH($F3023,계정대체기준!$D$77:$D$86,0))),"Y","N")))</f>
        <v/>
      </c>
    </row>
    <row r="3024">
      <c r="A3024" s="92" t="n">
        <v>2026</v>
      </c>
      <c r="B3024" s="92" t="n">
        <v>2</v>
      </c>
      <c r="C3024" s="92" t="inlineStr">
        <is>
          <t>5100000302</t>
        </is>
      </c>
      <c r="D3024" s="95" t="n">
        <v>46063</v>
      </c>
      <c r="E3024" s="92" t="inlineStr">
        <is>
          <t>KR</t>
        </is>
      </c>
      <c r="F3024" s="92" t="n">
        <v>62102000</v>
      </c>
      <c r="G3024" s="92" t="n">
        <v>1301</v>
      </c>
      <c r="H3024" s="93" t="n">
        <v>58000</v>
      </c>
      <c r="I3024" s="92" t="inlineStr">
        <is>
          <t>2월 해외출장 - N호텔</t>
        </is>
      </c>
      <c r="J3024" s="92" t="inlineStr">
        <is>
          <t>V10009</t>
        </is>
      </c>
      <c r="K3024" s="92" t="inlineStr">
        <is>
          <t>N호텔</t>
        </is>
      </c>
      <c r="M3024" s="9">
        <f>IF($A3024="","",VALUE($A3024&amp;"")*12+VALUE($B3024&amp;""))</f>
        <v/>
      </c>
      <c r="N3024" s="64">
        <f>IF($A3024="","",IFERROR(INDEX(부서매핑!$C$5:$C$504,MATCH($G3024&amp;"",부서매핑!$A$5:$A$504,0)),"미매핑"))</f>
        <v/>
      </c>
      <c r="O3024" s="9">
        <f>IF($A3024="","",N3024&amp;"|"&amp;$F3024)</f>
        <v/>
      </c>
      <c r="P3024" s="94">
        <f>IF($A3024="",0,$H3024*설정!$C$23)</f>
        <v/>
      </c>
      <c r="Q3024" s="64">
        <f>IF($A3024="","",IF(O3024&lt;&gt;원인분석!$C$9,"",IF(AND(M3024&gt;=원인분석!$C$10,M3024&lt;=원인분석!$C$11),"당기",IF(AND(M3024&gt;=원인분석!$C$12,M3024&lt;=원인분석!$C$13),"비교",""))))</f>
        <v/>
      </c>
      <c r="R3024" s="9">
        <f>IF(Q3024="","",$K3024&amp;"")</f>
        <v/>
      </c>
      <c r="S3024" s="9">
        <f>IF(Q3024="","",IF(MATCH(R3024,$R$5:$R$100000,0)=ROW()-4,ROW(),""))</f>
        <v/>
      </c>
      <c r="T3024" s="9">
        <f>IF(Q3024="당기",ABS(P3024)+ROW()/1000000000,"")</f>
        <v/>
      </c>
      <c r="U3024" s="9">
        <f>IF(Q3024="비교",ABS(P3024)+ROW()/1000000000,"")</f>
        <v/>
      </c>
      <c r="V3024" s="64">
        <f>IF($A3024="","",IF(COUNTIF(변동분석!$E$7:$E$506,O3024)&gt;0,"Y","N"))</f>
        <v/>
      </c>
      <c r="W3024" s="64">
        <f>IF($A3024="","",IFERROR(INDEX(계정매핑!$D$5:$D$504,MATCH($F3024&amp;"",계정매핑!$A$5:$A$504,0)),"미매핑"))</f>
        <v/>
      </c>
      <c r="X3024" s="9">
        <f>IF($A3024="","",$F3024&amp;"")</f>
        <v/>
      </c>
      <c r="Y3024" s="94">
        <f>IF($A3024="",0,IF(AE3024="직접",IF(AF3024="비귀속",$P3024,0),$P3024*(1-AG3024)*IFERROR(INDEX(계정대체기준!$F$20:$F$49,MATCH($N3024,계정대체기준!$A$20:$A$49,0)),1)))</f>
        <v/>
      </c>
      <c r="Z3024" s="94">
        <f>IF($A3024="",0,IF(AE3024="직접",IF(AF3024="신계약비",$P3024,0),$P3024*(1-AG3024)*IFERROR(INDEX(계정대체기준!$C$20:$C$49,MATCH($N3024,계정대체기준!$A$20:$A$49,0)),0)))</f>
        <v/>
      </c>
      <c r="AA3024" s="94">
        <f>IF($A3024="",0,IF(AE3024="직접",IF(OR(AF3024="유지비",AF3024="손해조사비"),$P3024,0),$P3024*(1-AG3024)*IFERROR(INDEX(계정대체기준!$D$20:$D$49,MATCH($N3024,계정대체기준!$A$20:$A$49,0)),0)))</f>
        <v/>
      </c>
      <c r="AB3024" s="94">
        <f>IF($A3024="",0,IF(AE3024="직접",IF(AF3024="수금비",$P3024,0),$P3024*(1-AG3024)*IFERROR(INDEX(계정대체기준!$E$20:$E$49,MATCH($N3024,계정대체기준!$A$20:$A$49,0)),0)))</f>
        <v/>
      </c>
      <c r="AC3024" s="9">
        <f>IF(AND($A3024&lt;&gt;"",M3024=설정!$C$20,Z3024&gt;0),Z3024+ROW()/1000000000,"")</f>
        <v/>
      </c>
      <c r="AD3024" s="94">
        <f>IF($A3024="",0,$P3024*AG3024)</f>
        <v/>
      </c>
      <c r="AE3024" s="64">
        <f>IF($A3024="","",IFERROR(INDEX(계정매핑!$E$5:$E$504,MATCH($F3024&amp;"",계정매핑!$A$5:$A$504,0))&amp;"","공통비"))</f>
        <v/>
      </c>
      <c r="AF3024" s="64">
        <f>IF($A3024="","",IF(AE3024="직접",IFERROR(INDEX(계정매핑!$F$5:$F$504,MATCH($F3024&amp;"",계정매핑!$A$5:$A$504,0))&amp;"","비귀속"),""))</f>
        <v/>
      </c>
      <c r="AG3024" s="96">
        <f>IF($A3024="",0,IF(AND(AE3024&lt;&gt;"직접",IFERROR(INDEX(계정매핑!$G$5:$G$504,MATCH($F3024&amp;"",계정매핑!$A$5:$A$504,0))&amp;"","")="유지비",COUNTIF(계정대체기준!$A$6:$A$15,$N3024)&gt;0),IFERROR(INDEX(계정대체기준!$E$6:$E$15,MATCH(VALUE($A3024&amp;""),계정대체기준!$D$6:$D$15,0)),0),0))</f>
        <v/>
      </c>
      <c r="AH3024" s="64">
        <f>IF($A3024="","",IF(AD3024=0,"",IF(OR(COUNTIF(계정대체기준!$A$77:$A$86,$N3024)&gt;0,ISNUMBER(MATCH($X3024,계정대체기준!$D$77:$D$86,0)),ISNUMBER(MATCH($F3024,계정대체기준!$D$77:$D$86,0))),"Y","N")))</f>
        <v/>
      </c>
    </row>
    <row r="3025">
      <c r="A3025" s="92" t="n">
        <v>2026</v>
      </c>
      <c r="B3025" s="92" t="n">
        <v>2</v>
      </c>
      <c r="C3025" s="92" t="inlineStr">
        <is>
          <t>5100000303</t>
        </is>
      </c>
      <c r="D3025" s="95" t="n">
        <v>46063</v>
      </c>
      <c r="E3025" s="92" t="inlineStr">
        <is>
          <t>KR</t>
        </is>
      </c>
      <c r="F3025" s="92" t="n">
        <v>62301000</v>
      </c>
      <c r="G3025" s="92" t="n">
        <v>1701</v>
      </c>
      <c r="H3025" s="93" t="n">
        <v>385000</v>
      </c>
      <c r="I3025" s="92" t="inlineStr">
        <is>
          <t>2월 소모품 구입 - R문구</t>
        </is>
      </c>
      <c r="J3025" s="92" t="inlineStr">
        <is>
          <t>V10022</t>
        </is>
      </c>
      <c r="K3025" s="92" t="inlineStr">
        <is>
          <t>R문구</t>
        </is>
      </c>
      <c r="M3025" s="9">
        <f>IF($A3025="","",VALUE($A3025&amp;"")*12+VALUE($B3025&amp;""))</f>
        <v/>
      </c>
      <c r="N3025" s="64">
        <f>IF($A3025="","",IFERROR(INDEX(부서매핑!$C$5:$C$504,MATCH($G3025&amp;"",부서매핑!$A$5:$A$504,0)),"미매핑"))</f>
        <v/>
      </c>
      <c r="O3025" s="9">
        <f>IF($A3025="","",N3025&amp;"|"&amp;$F3025)</f>
        <v/>
      </c>
      <c r="P3025" s="94">
        <f>IF($A3025="",0,$H3025*설정!$C$23)</f>
        <v/>
      </c>
      <c r="Q3025" s="64">
        <f>IF($A3025="","",IF(O3025&lt;&gt;원인분석!$C$9,"",IF(AND(M3025&gt;=원인분석!$C$10,M3025&lt;=원인분석!$C$11),"당기",IF(AND(M3025&gt;=원인분석!$C$12,M3025&lt;=원인분석!$C$13),"비교",""))))</f>
        <v/>
      </c>
      <c r="R3025" s="9">
        <f>IF(Q3025="","",$K3025&amp;"")</f>
        <v/>
      </c>
      <c r="S3025" s="9">
        <f>IF(Q3025="","",IF(MATCH(R3025,$R$5:$R$100000,0)=ROW()-4,ROW(),""))</f>
        <v/>
      </c>
      <c r="T3025" s="9">
        <f>IF(Q3025="당기",ABS(P3025)+ROW()/1000000000,"")</f>
        <v/>
      </c>
      <c r="U3025" s="9">
        <f>IF(Q3025="비교",ABS(P3025)+ROW()/1000000000,"")</f>
        <v/>
      </c>
      <c r="V3025" s="64">
        <f>IF($A3025="","",IF(COUNTIF(변동분석!$E$7:$E$506,O3025)&gt;0,"Y","N"))</f>
        <v/>
      </c>
      <c r="W3025" s="64">
        <f>IF($A3025="","",IFERROR(INDEX(계정매핑!$D$5:$D$504,MATCH($F3025&amp;"",계정매핑!$A$5:$A$504,0)),"미매핑"))</f>
        <v/>
      </c>
      <c r="X3025" s="9">
        <f>IF($A3025="","",$F3025&amp;"")</f>
        <v/>
      </c>
      <c r="Y3025" s="94">
        <f>IF($A3025="",0,IF(AE3025="직접",IF(AF3025="비귀속",$P3025,0),$P3025*(1-AG3025)*IFERROR(INDEX(계정대체기준!$F$20:$F$49,MATCH($N3025,계정대체기준!$A$20:$A$49,0)),1)))</f>
        <v/>
      </c>
      <c r="Z3025" s="94">
        <f>IF($A3025="",0,IF(AE3025="직접",IF(AF3025="신계약비",$P3025,0),$P3025*(1-AG3025)*IFERROR(INDEX(계정대체기준!$C$20:$C$49,MATCH($N3025,계정대체기준!$A$20:$A$49,0)),0)))</f>
        <v/>
      </c>
      <c r="AA3025" s="94">
        <f>IF($A3025="",0,IF(AE3025="직접",IF(OR(AF3025="유지비",AF3025="손해조사비"),$P3025,0),$P3025*(1-AG3025)*IFERROR(INDEX(계정대체기준!$D$20:$D$49,MATCH($N3025,계정대체기준!$A$20:$A$49,0)),0)))</f>
        <v/>
      </c>
      <c r="AB3025" s="94">
        <f>IF($A3025="",0,IF(AE3025="직접",IF(AF3025="수금비",$P3025,0),$P3025*(1-AG3025)*IFERROR(INDEX(계정대체기준!$E$20:$E$49,MATCH($N3025,계정대체기준!$A$20:$A$49,0)),0)))</f>
        <v/>
      </c>
      <c r="AC3025" s="9">
        <f>IF(AND($A3025&lt;&gt;"",M3025=설정!$C$20,Z3025&gt;0),Z3025+ROW()/1000000000,"")</f>
        <v/>
      </c>
      <c r="AD3025" s="94">
        <f>IF($A3025="",0,$P3025*AG3025)</f>
        <v/>
      </c>
      <c r="AE3025" s="64">
        <f>IF($A3025="","",IFERROR(INDEX(계정매핑!$E$5:$E$504,MATCH($F3025&amp;"",계정매핑!$A$5:$A$504,0))&amp;"","공통비"))</f>
        <v/>
      </c>
      <c r="AF3025" s="64">
        <f>IF($A3025="","",IF(AE3025="직접",IFERROR(INDEX(계정매핑!$F$5:$F$504,MATCH($F3025&amp;"",계정매핑!$A$5:$A$504,0))&amp;"","비귀속"),""))</f>
        <v/>
      </c>
      <c r="AG3025" s="96">
        <f>IF($A3025="",0,IF(AND(AE3025&lt;&gt;"직접",IFERROR(INDEX(계정매핑!$G$5:$G$504,MATCH($F3025&amp;"",계정매핑!$A$5:$A$504,0))&amp;"","")="유지비",COUNTIF(계정대체기준!$A$6:$A$15,$N3025)&gt;0),IFERROR(INDEX(계정대체기준!$E$6:$E$15,MATCH(VALUE($A3025&amp;""),계정대체기준!$D$6:$D$15,0)),0),0))</f>
        <v/>
      </c>
      <c r="AH3025" s="64">
        <f>IF($A3025="","",IF(AD3025=0,"",IF(OR(COUNTIF(계정대체기준!$A$77:$A$86,$N3025)&gt;0,ISNUMBER(MATCH($X3025,계정대체기준!$D$77:$D$86,0)),ISNUMBER(MATCH($F3025,계정대체기준!$D$77:$D$86,0))),"Y","N")))</f>
        <v/>
      </c>
    </row>
    <row r="3026">
      <c r="A3026" s="92" t="n">
        <v>2026</v>
      </c>
      <c r="B3026" s="92" t="n">
        <v>2</v>
      </c>
      <c r="C3026" s="92" t="inlineStr">
        <is>
          <t>5100000304</t>
        </is>
      </c>
      <c r="D3026" s="95" t="n">
        <v>46063</v>
      </c>
      <c r="E3026" s="92" t="inlineStr">
        <is>
          <t>KR</t>
        </is>
      </c>
      <c r="F3026" s="92" t="n">
        <v>62501000</v>
      </c>
      <c r="G3026" s="92" t="n">
        <v>1701</v>
      </c>
      <c r="H3026" s="93" t="n">
        <v>87000</v>
      </c>
      <c r="I3026" s="92" t="inlineStr">
        <is>
          <t>2월 회의 다과 - T케이터링</t>
        </is>
      </c>
      <c r="J3026" s="92" t="inlineStr">
        <is>
          <t>V10005</t>
        </is>
      </c>
      <c r="K3026" s="92" t="inlineStr">
        <is>
          <t>T케이터링</t>
        </is>
      </c>
      <c r="M3026" s="9">
        <f>IF($A3026="","",VALUE($A3026&amp;"")*12+VALUE($B3026&amp;""))</f>
        <v/>
      </c>
      <c r="N3026" s="64">
        <f>IF($A3026="","",IFERROR(INDEX(부서매핑!$C$5:$C$504,MATCH($G3026&amp;"",부서매핑!$A$5:$A$504,0)),"미매핑"))</f>
        <v/>
      </c>
      <c r="O3026" s="9">
        <f>IF($A3026="","",N3026&amp;"|"&amp;$F3026)</f>
        <v/>
      </c>
      <c r="P3026" s="94">
        <f>IF($A3026="",0,$H3026*설정!$C$23)</f>
        <v/>
      </c>
      <c r="Q3026" s="64">
        <f>IF($A3026="","",IF(O3026&lt;&gt;원인분석!$C$9,"",IF(AND(M3026&gt;=원인분석!$C$10,M3026&lt;=원인분석!$C$11),"당기",IF(AND(M3026&gt;=원인분석!$C$12,M3026&lt;=원인분석!$C$13),"비교",""))))</f>
        <v/>
      </c>
      <c r="R3026" s="9">
        <f>IF(Q3026="","",$K3026&amp;"")</f>
        <v/>
      </c>
      <c r="S3026" s="9">
        <f>IF(Q3026="","",IF(MATCH(R3026,$R$5:$R$100000,0)=ROW()-4,ROW(),""))</f>
        <v/>
      </c>
      <c r="T3026" s="9">
        <f>IF(Q3026="당기",ABS(P3026)+ROW()/1000000000,"")</f>
        <v/>
      </c>
      <c r="U3026" s="9">
        <f>IF(Q3026="비교",ABS(P3026)+ROW()/1000000000,"")</f>
        <v/>
      </c>
      <c r="V3026" s="64">
        <f>IF($A3026="","",IF(COUNTIF(변동분석!$E$7:$E$506,O3026)&gt;0,"Y","N"))</f>
        <v/>
      </c>
      <c r="W3026" s="64">
        <f>IF($A3026="","",IFERROR(INDEX(계정매핑!$D$5:$D$504,MATCH($F3026&amp;"",계정매핑!$A$5:$A$504,0)),"미매핑"))</f>
        <v/>
      </c>
      <c r="X3026" s="9">
        <f>IF($A3026="","",$F3026&amp;"")</f>
        <v/>
      </c>
      <c r="Y3026" s="94">
        <f>IF($A3026="",0,IF(AE3026="직접",IF(AF3026="비귀속",$P3026,0),$P3026*(1-AG3026)*IFERROR(INDEX(계정대체기준!$F$20:$F$49,MATCH($N3026,계정대체기준!$A$20:$A$49,0)),1)))</f>
        <v/>
      </c>
      <c r="Z3026" s="94">
        <f>IF($A3026="",0,IF(AE3026="직접",IF(AF3026="신계약비",$P3026,0),$P3026*(1-AG3026)*IFERROR(INDEX(계정대체기준!$C$20:$C$49,MATCH($N3026,계정대체기준!$A$20:$A$49,0)),0)))</f>
        <v/>
      </c>
      <c r="AA3026" s="94">
        <f>IF($A3026="",0,IF(AE3026="직접",IF(OR(AF3026="유지비",AF3026="손해조사비"),$P3026,0),$P3026*(1-AG3026)*IFERROR(INDEX(계정대체기준!$D$20:$D$49,MATCH($N3026,계정대체기준!$A$20:$A$49,0)),0)))</f>
        <v/>
      </c>
      <c r="AB3026" s="94">
        <f>IF($A3026="",0,IF(AE3026="직접",IF(AF3026="수금비",$P3026,0),$P3026*(1-AG3026)*IFERROR(INDEX(계정대체기준!$E$20:$E$49,MATCH($N3026,계정대체기준!$A$20:$A$49,0)),0)))</f>
        <v/>
      </c>
      <c r="AC3026" s="9">
        <f>IF(AND($A3026&lt;&gt;"",M3026=설정!$C$20,Z3026&gt;0),Z3026+ROW()/1000000000,"")</f>
        <v/>
      </c>
      <c r="AD3026" s="94">
        <f>IF($A3026="",0,$P3026*AG3026)</f>
        <v/>
      </c>
      <c r="AE3026" s="64">
        <f>IF($A3026="","",IFERROR(INDEX(계정매핑!$E$5:$E$504,MATCH($F3026&amp;"",계정매핑!$A$5:$A$504,0))&amp;"","공통비"))</f>
        <v/>
      </c>
      <c r="AF3026" s="64">
        <f>IF($A3026="","",IF(AE3026="직접",IFERROR(INDEX(계정매핑!$F$5:$F$504,MATCH($F3026&amp;"",계정매핑!$A$5:$A$504,0))&amp;"","비귀속"),""))</f>
        <v/>
      </c>
      <c r="AG3026" s="96">
        <f>IF($A3026="",0,IF(AND(AE3026&lt;&gt;"직접",IFERROR(INDEX(계정매핑!$G$5:$G$504,MATCH($F3026&amp;"",계정매핑!$A$5:$A$504,0))&amp;"","")="유지비",COUNTIF(계정대체기준!$A$6:$A$15,$N3026)&gt;0),IFERROR(INDEX(계정대체기준!$E$6:$E$15,MATCH(VALUE($A3026&amp;""),계정대체기준!$D$6:$D$15,0)),0),0))</f>
        <v/>
      </c>
      <c r="AH3026" s="64">
        <f>IF($A3026="","",IF(AD3026=0,"",IF(OR(COUNTIF(계정대체기준!$A$77:$A$86,$N3026)&gt;0,ISNUMBER(MATCH($X3026,계정대체기준!$D$77:$D$86,0)),ISNUMBER(MATCH($F3026,계정대체기준!$D$77:$D$86,0))),"Y","N")))</f>
        <v/>
      </c>
    </row>
    <row r="3027">
      <c r="A3027" s="92" t="n">
        <v>2026</v>
      </c>
      <c r="B3027" s="92" t="n">
        <v>2</v>
      </c>
      <c r="C3027" s="92" t="inlineStr">
        <is>
          <t>5100000305</t>
        </is>
      </c>
      <c r="D3027" s="95" t="n">
        <v>46063</v>
      </c>
      <c r="E3027" s="92" t="inlineStr">
        <is>
          <t>KR</t>
        </is>
      </c>
      <c r="F3027" s="92" t="n">
        <v>62901000</v>
      </c>
      <c r="G3027" s="92" t="n">
        <v>1201</v>
      </c>
      <c r="H3027" s="93" t="n">
        <v>3726000</v>
      </c>
      <c r="I3027" s="92" t="inlineStr">
        <is>
          <t>2월 자문 수수료 - W컨설팅</t>
        </is>
      </c>
      <c r="J3027" s="92" t="inlineStr">
        <is>
          <t>V10006</t>
        </is>
      </c>
      <c r="K3027" s="92" t="inlineStr">
        <is>
          <t>W컨설팅</t>
        </is>
      </c>
      <c r="M3027" s="9">
        <f>IF($A3027="","",VALUE($A3027&amp;"")*12+VALUE($B3027&amp;""))</f>
        <v/>
      </c>
      <c r="N3027" s="64">
        <f>IF($A3027="","",IFERROR(INDEX(부서매핑!$C$5:$C$504,MATCH($G3027&amp;"",부서매핑!$A$5:$A$504,0)),"미매핑"))</f>
        <v/>
      </c>
      <c r="O3027" s="9">
        <f>IF($A3027="","",N3027&amp;"|"&amp;$F3027)</f>
        <v/>
      </c>
      <c r="P3027" s="94">
        <f>IF($A3027="",0,$H3027*설정!$C$23)</f>
        <v/>
      </c>
      <c r="Q3027" s="64">
        <f>IF($A3027="","",IF(O3027&lt;&gt;원인분석!$C$9,"",IF(AND(M3027&gt;=원인분석!$C$10,M3027&lt;=원인분석!$C$11),"당기",IF(AND(M3027&gt;=원인분석!$C$12,M3027&lt;=원인분석!$C$13),"비교",""))))</f>
        <v/>
      </c>
      <c r="R3027" s="9">
        <f>IF(Q3027="","",$K3027&amp;"")</f>
        <v/>
      </c>
      <c r="S3027" s="9">
        <f>IF(Q3027="","",IF(MATCH(R3027,$R$5:$R$100000,0)=ROW()-4,ROW(),""))</f>
        <v/>
      </c>
      <c r="T3027" s="9">
        <f>IF(Q3027="당기",ABS(P3027)+ROW()/1000000000,"")</f>
        <v/>
      </c>
      <c r="U3027" s="9">
        <f>IF(Q3027="비교",ABS(P3027)+ROW()/1000000000,"")</f>
        <v/>
      </c>
      <c r="V3027" s="64">
        <f>IF($A3027="","",IF(COUNTIF(변동분석!$E$7:$E$506,O3027)&gt;0,"Y","N"))</f>
        <v/>
      </c>
      <c r="W3027" s="64">
        <f>IF($A3027="","",IFERROR(INDEX(계정매핑!$D$5:$D$504,MATCH($F3027&amp;"",계정매핑!$A$5:$A$504,0)),"미매핑"))</f>
        <v/>
      </c>
      <c r="X3027" s="9">
        <f>IF($A3027="","",$F3027&amp;"")</f>
        <v/>
      </c>
      <c r="Y3027" s="94">
        <f>IF($A3027="",0,IF(AE3027="직접",IF(AF3027="비귀속",$P3027,0),$P3027*(1-AG3027)*IFERROR(INDEX(계정대체기준!$F$20:$F$49,MATCH($N3027,계정대체기준!$A$20:$A$49,0)),1)))</f>
        <v/>
      </c>
      <c r="Z3027" s="94">
        <f>IF($A3027="",0,IF(AE3027="직접",IF(AF3027="신계약비",$P3027,0),$P3027*(1-AG3027)*IFERROR(INDEX(계정대체기준!$C$20:$C$49,MATCH($N3027,계정대체기준!$A$20:$A$49,0)),0)))</f>
        <v/>
      </c>
      <c r="AA3027" s="94">
        <f>IF($A3027="",0,IF(AE3027="직접",IF(OR(AF3027="유지비",AF3027="손해조사비"),$P3027,0),$P3027*(1-AG3027)*IFERROR(INDEX(계정대체기준!$D$20:$D$49,MATCH($N3027,계정대체기준!$A$20:$A$49,0)),0)))</f>
        <v/>
      </c>
      <c r="AB3027" s="94">
        <f>IF($A3027="",0,IF(AE3027="직접",IF(AF3027="수금비",$P3027,0),$P3027*(1-AG3027)*IFERROR(INDEX(계정대체기준!$E$20:$E$49,MATCH($N3027,계정대체기준!$A$20:$A$49,0)),0)))</f>
        <v/>
      </c>
      <c r="AC3027" s="9">
        <f>IF(AND($A3027&lt;&gt;"",M3027=설정!$C$20,Z3027&gt;0),Z3027+ROW()/1000000000,"")</f>
        <v/>
      </c>
      <c r="AD3027" s="94">
        <f>IF($A3027="",0,$P3027*AG3027)</f>
        <v/>
      </c>
      <c r="AE3027" s="64">
        <f>IF($A3027="","",IFERROR(INDEX(계정매핑!$E$5:$E$504,MATCH($F3027&amp;"",계정매핑!$A$5:$A$504,0))&amp;"","공통비"))</f>
        <v/>
      </c>
      <c r="AF3027" s="64">
        <f>IF($A3027="","",IF(AE3027="직접",IFERROR(INDEX(계정매핑!$F$5:$F$504,MATCH($F3027&amp;"",계정매핑!$A$5:$A$504,0))&amp;"","비귀속"),""))</f>
        <v/>
      </c>
      <c r="AG3027" s="96">
        <f>IF($A3027="",0,IF(AND(AE3027&lt;&gt;"직접",IFERROR(INDEX(계정매핑!$G$5:$G$504,MATCH($F3027&amp;"",계정매핑!$A$5:$A$504,0))&amp;"","")="유지비",COUNTIF(계정대체기준!$A$6:$A$15,$N3027)&gt;0),IFERROR(INDEX(계정대체기준!$E$6:$E$15,MATCH(VALUE($A3027&amp;""),계정대체기준!$D$6:$D$15,0)),0),0))</f>
        <v/>
      </c>
      <c r="AH3027" s="64">
        <f>IF($A3027="","",IF(AD3027=0,"",IF(OR(COUNTIF(계정대체기준!$A$77:$A$86,$N3027)&gt;0,ISNUMBER(MATCH($X3027,계정대체기준!$D$77:$D$86,0)),ISNUMBER(MATCH($F3027,계정대체기준!$D$77:$D$86,0))),"Y","N")))</f>
        <v/>
      </c>
    </row>
    <row r="3028">
      <c r="A3028" s="92" t="n">
        <v>2026</v>
      </c>
      <c r="B3028" s="92" t="n">
        <v>2</v>
      </c>
      <c r="C3028" s="92" t="inlineStr">
        <is>
          <t>5100000306</t>
        </is>
      </c>
      <c r="D3028" s="95" t="n">
        <v>46063</v>
      </c>
      <c r="E3028" s="92" t="inlineStr">
        <is>
          <t>KR</t>
        </is>
      </c>
      <c r="F3028" s="92" t="n">
        <v>62901000</v>
      </c>
      <c r="G3028" s="92" t="n">
        <v>1401</v>
      </c>
      <c r="H3028" s="93" t="n">
        <v>8797000</v>
      </c>
      <c r="I3028" s="92" t="inlineStr">
        <is>
          <t>2월 자문 수수료 - W컨설팅</t>
        </is>
      </c>
      <c r="J3028" s="92" t="inlineStr">
        <is>
          <t>V10006</t>
        </is>
      </c>
      <c r="K3028" s="92" t="inlineStr">
        <is>
          <t>W컨설팅</t>
        </is>
      </c>
      <c r="M3028" s="9">
        <f>IF($A3028="","",VALUE($A3028&amp;"")*12+VALUE($B3028&amp;""))</f>
        <v/>
      </c>
      <c r="N3028" s="64">
        <f>IF($A3028="","",IFERROR(INDEX(부서매핑!$C$5:$C$504,MATCH($G3028&amp;"",부서매핑!$A$5:$A$504,0)),"미매핑"))</f>
        <v/>
      </c>
      <c r="O3028" s="9">
        <f>IF($A3028="","",N3028&amp;"|"&amp;$F3028)</f>
        <v/>
      </c>
      <c r="P3028" s="94">
        <f>IF($A3028="",0,$H3028*설정!$C$23)</f>
        <v/>
      </c>
      <c r="Q3028" s="64">
        <f>IF($A3028="","",IF(O3028&lt;&gt;원인분석!$C$9,"",IF(AND(M3028&gt;=원인분석!$C$10,M3028&lt;=원인분석!$C$11),"당기",IF(AND(M3028&gt;=원인분석!$C$12,M3028&lt;=원인분석!$C$13),"비교",""))))</f>
        <v/>
      </c>
      <c r="R3028" s="9">
        <f>IF(Q3028="","",$K3028&amp;"")</f>
        <v/>
      </c>
      <c r="S3028" s="9">
        <f>IF(Q3028="","",IF(MATCH(R3028,$R$5:$R$100000,0)=ROW()-4,ROW(),""))</f>
        <v/>
      </c>
      <c r="T3028" s="9">
        <f>IF(Q3028="당기",ABS(P3028)+ROW()/1000000000,"")</f>
        <v/>
      </c>
      <c r="U3028" s="9">
        <f>IF(Q3028="비교",ABS(P3028)+ROW()/1000000000,"")</f>
        <v/>
      </c>
      <c r="V3028" s="64">
        <f>IF($A3028="","",IF(COUNTIF(변동분석!$E$7:$E$506,O3028)&gt;0,"Y","N"))</f>
        <v/>
      </c>
      <c r="W3028" s="64">
        <f>IF($A3028="","",IFERROR(INDEX(계정매핑!$D$5:$D$504,MATCH($F3028&amp;"",계정매핑!$A$5:$A$504,0)),"미매핑"))</f>
        <v/>
      </c>
      <c r="X3028" s="9">
        <f>IF($A3028="","",$F3028&amp;"")</f>
        <v/>
      </c>
      <c r="Y3028" s="94">
        <f>IF($A3028="",0,IF(AE3028="직접",IF(AF3028="비귀속",$P3028,0),$P3028*(1-AG3028)*IFERROR(INDEX(계정대체기준!$F$20:$F$49,MATCH($N3028,계정대체기준!$A$20:$A$49,0)),1)))</f>
        <v/>
      </c>
      <c r="Z3028" s="94">
        <f>IF($A3028="",0,IF(AE3028="직접",IF(AF3028="신계약비",$P3028,0),$P3028*(1-AG3028)*IFERROR(INDEX(계정대체기준!$C$20:$C$49,MATCH($N3028,계정대체기준!$A$20:$A$49,0)),0)))</f>
        <v/>
      </c>
      <c r="AA3028" s="94">
        <f>IF($A3028="",0,IF(AE3028="직접",IF(OR(AF3028="유지비",AF3028="손해조사비"),$P3028,0),$P3028*(1-AG3028)*IFERROR(INDEX(계정대체기준!$D$20:$D$49,MATCH($N3028,계정대체기준!$A$20:$A$49,0)),0)))</f>
        <v/>
      </c>
      <c r="AB3028" s="94">
        <f>IF($A3028="",0,IF(AE3028="직접",IF(AF3028="수금비",$P3028,0),$P3028*(1-AG3028)*IFERROR(INDEX(계정대체기준!$E$20:$E$49,MATCH($N3028,계정대체기준!$A$20:$A$49,0)),0)))</f>
        <v/>
      </c>
      <c r="AC3028" s="9">
        <f>IF(AND($A3028&lt;&gt;"",M3028=설정!$C$20,Z3028&gt;0),Z3028+ROW()/1000000000,"")</f>
        <v/>
      </c>
      <c r="AD3028" s="94">
        <f>IF($A3028="",0,$P3028*AG3028)</f>
        <v/>
      </c>
      <c r="AE3028" s="64">
        <f>IF($A3028="","",IFERROR(INDEX(계정매핑!$E$5:$E$504,MATCH($F3028&amp;"",계정매핑!$A$5:$A$504,0))&amp;"","공통비"))</f>
        <v/>
      </c>
      <c r="AF3028" s="64">
        <f>IF($A3028="","",IF(AE3028="직접",IFERROR(INDEX(계정매핑!$F$5:$F$504,MATCH($F3028&amp;"",계정매핑!$A$5:$A$504,0))&amp;"","비귀속"),""))</f>
        <v/>
      </c>
      <c r="AG3028" s="96">
        <f>IF($A3028="",0,IF(AND(AE3028&lt;&gt;"직접",IFERROR(INDEX(계정매핑!$G$5:$G$504,MATCH($F3028&amp;"",계정매핑!$A$5:$A$504,0))&amp;"","")="유지비",COUNTIF(계정대체기준!$A$6:$A$15,$N3028)&gt;0),IFERROR(INDEX(계정대체기준!$E$6:$E$15,MATCH(VALUE($A3028&amp;""),계정대체기준!$D$6:$D$15,0)),0),0))</f>
        <v/>
      </c>
      <c r="AH3028" s="64">
        <f>IF($A3028="","",IF(AD3028=0,"",IF(OR(COUNTIF(계정대체기준!$A$77:$A$86,$N3028)&gt;0,ISNUMBER(MATCH($X3028,계정대체기준!$D$77:$D$86,0)),ISNUMBER(MATCH($F3028,계정대체기준!$D$77:$D$86,0))),"Y","N")))</f>
        <v/>
      </c>
    </row>
    <row r="3029">
      <c r="A3029" s="92" t="n">
        <v>2026</v>
      </c>
      <c r="B3029" s="92" t="n">
        <v>2</v>
      </c>
      <c r="C3029" s="92" t="inlineStr">
        <is>
          <t>5100000307</t>
        </is>
      </c>
      <c r="D3029" s="95" t="n">
        <v>46063</v>
      </c>
      <c r="E3029" s="92" t="inlineStr">
        <is>
          <t>KR</t>
        </is>
      </c>
      <c r="F3029" s="92" t="n">
        <v>63001000</v>
      </c>
      <c r="G3029" s="92" t="n">
        <v>1701</v>
      </c>
      <c r="H3029" s="93" t="n">
        <v>22299000</v>
      </c>
      <c r="I3029" s="92" t="inlineStr">
        <is>
          <t>2월 SW 유지보수 - Z시스템</t>
        </is>
      </c>
      <c r="J3029" s="92" t="inlineStr">
        <is>
          <t>V10012</t>
        </is>
      </c>
      <c r="K3029" s="92" t="inlineStr">
        <is>
          <t>Z시스템</t>
        </is>
      </c>
      <c r="M3029" s="9">
        <f>IF($A3029="","",VALUE($A3029&amp;"")*12+VALUE($B3029&amp;""))</f>
        <v/>
      </c>
      <c r="N3029" s="64">
        <f>IF($A3029="","",IFERROR(INDEX(부서매핑!$C$5:$C$504,MATCH($G3029&amp;"",부서매핑!$A$5:$A$504,0)),"미매핑"))</f>
        <v/>
      </c>
      <c r="O3029" s="9">
        <f>IF($A3029="","",N3029&amp;"|"&amp;$F3029)</f>
        <v/>
      </c>
      <c r="P3029" s="94">
        <f>IF($A3029="",0,$H3029*설정!$C$23)</f>
        <v/>
      </c>
      <c r="Q3029" s="64">
        <f>IF($A3029="","",IF(O3029&lt;&gt;원인분석!$C$9,"",IF(AND(M3029&gt;=원인분석!$C$10,M3029&lt;=원인분석!$C$11),"당기",IF(AND(M3029&gt;=원인분석!$C$12,M3029&lt;=원인분석!$C$13),"비교",""))))</f>
        <v/>
      </c>
      <c r="R3029" s="9">
        <f>IF(Q3029="","",$K3029&amp;"")</f>
        <v/>
      </c>
      <c r="S3029" s="9">
        <f>IF(Q3029="","",IF(MATCH(R3029,$R$5:$R$100000,0)=ROW()-4,ROW(),""))</f>
        <v/>
      </c>
      <c r="T3029" s="9">
        <f>IF(Q3029="당기",ABS(P3029)+ROW()/1000000000,"")</f>
        <v/>
      </c>
      <c r="U3029" s="9">
        <f>IF(Q3029="비교",ABS(P3029)+ROW()/1000000000,"")</f>
        <v/>
      </c>
      <c r="V3029" s="64">
        <f>IF($A3029="","",IF(COUNTIF(변동분석!$E$7:$E$506,O3029)&gt;0,"Y","N"))</f>
        <v/>
      </c>
      <c r="W3029" s="64">
        <f>IF($A3029="","",IFERROR(INDEX(계정매핑!$D$5:$D$504,MATCH($F3029&amp;"",계정매핑!$A$5:$A$504,0)),"미매핑"))</f>
        <v/>
      </c>
      <c r="X3029" s="9">
        <f>IF($A3029="","",$F3029&amp;"")</f>
        <v/>
      </c>
      <c r="Y3029" s="94">
        <f>IF($A3029="",0,IF(AE3029="직접",IF(AF3029="비귀속",$P3029,0),$P3029*(1-AG3029)*IFERROR(INDEX(계정대체기준!$F$20:$F$49,MATCH($N3029,계정대체기준!$A$20:$A$49,0)),1)))</f>
        <v/>
      </c>
      <c r="Z3029" s="94">
        <f>IF($A3029="",0,IF(AE3029="직접",IF(AF3029="신계약비",$P3029,0),$P3029*(1-AG3029)*IFERROR(INDEX(계정대체기준!$C$20:$C$49,MATCH($N3029,계정대체기준!$A$20:$A$49,0)),0)))</f>
        <v/>
      </c>
      <c r="AA3029" s="94">
        <f>IF($A3029="",0,IF(AE3029="직접",IF(OR(AF3029="유지비",AF3029="손해조사비"),$P3029,0),$P3029*(1-AG3029)*IFERROR(INDEX(계정대체기준!$D$20:$D$49,MATCH($N3029,계정대체기준!$A$20:$A$49,0)),0)))</f>
        <v/>
      </c>
      <c r="AB3029" s="94">
        <f>IF($A3029="",0,IF(AE3029="직접",IF(AF3029="수금비",$P3029,0),$P3029*(1-AG3029)*IFERROR(INDEX(계정대체기준!$E$20:$E$49,MATCH($N3029,계정대체기준!$A$20:$A$49,0)),0)))</f>
        <v/>
      </c>
      <c r="AC3029" s="9">
        <f>IF(AND($A3029&lt;&gt;"",M3029=설정!$C$20,Z3029&gt;0),Z3029+ROW()/1000000000,"")</f>
        <v/>
      </c>
      <c r="AD3029" s="94">
        <f>IF($A3029="",0,$P3029*AG3029)</f>
        <v/>
      </c>
      <c r="AE3029" s="64">
        <f>IF($A3029="","",IFERROR(INDEX(계정매핑!$E$5:$E$504,MATCH($F3029&amp;"",계정매핑!$A$5:$A$504,0))&amp;"","공통비"))</f>
        <v/>
      </c>
      <c r="AF3029" s="64">
        <f>IF($A3029="","",IF(AE3029="직접",IFERROR(INDEX(계정매핑!$F$5:$F$504,MATCH($F3029&amp;"",계정매핑!$A$5:$A$504,0))&amp;"","비귀속"),""))</f>
        <v/>
      </c>
      <c r="AG3029" s="96">
        <f>IF($A3029="",0,IF(AND(AE3029&lt;&gt;"직접",IFERROR(INDEX(계정매핑!$G$5:$G$504,MATCH($F3029&amp;"",계정매핑!$A$5:$A$504,0))&amp;"","")="유지비",COUNTIF(계정대체기준!$A$6:$A$15,$N3029)&gt;0),IFERROR(INDEX(계정대체기준!$E$6:$E$15,MATCH(VALUE($A3029&amp;""),계정대체기준!$D$6:$D$15,0)),0),0))</f>
        <v/>
      </c>
      <c r="AH3029" s="64">
        <f>IF($A3029="","",IF(AD3029=0,"",IF(OR(COUNTIF(계정대체기준!$A$77:$A$86,$N3029)&gt;0,ISNUMBER(MATCH($X3029,계정대체기준!$D$77:$D$86,0)),ISNUMBER(MATCH($F3029,계정대체기준!$D$77:$D$86,0))),"Y","N")))</f>
        <v/>
      </c>
    </row>
    <row r="3030">
      <c r="A3030" s="92" t="n">
        <v>2026</v>
      </c>
      <c r="B3030" s="92" t="n">
        <v>2</v>
      </c>
      <c r="C3030" s="92" t="inlineStr">
        <is>
          <t>5100000308</t>
        </is>
      </c>
      <c r="D3030" s="95" t="n">
        <v>46063</v>
      </c>
      <c r="E3030" s="92" t="inlineStr">
        <is>
          <t>KR</t>
        </is>
      </c>
      <c r="F3030" s="92" t="n">
        <v>63001000</v>
      </c>
      <c r="G3030" s="92" t="n">
        <v>1701</v>
      </c>
      <c r="H3030" s="93" t="n">
        <v>25975000</v>
      </c>
      <c r="I3030" s="92" t="inlineStr">
        <is>
          <t>2월 SW 유지보수 - Z시스템</t>
        </is>
      </c>
      <c r="J3030" s="92" t="inlineStr">
        <is>
          <t>V10012</t>
        </is>
      </c>
      <c r="K3030" s="92" t="inlineStr">
        <is>
          <t>Z시스템</t>
        </is>
      </c>
      <c r="M3030" s="9">
        <f>IF($A3030="","",VALUE($A3030&amp;"")*12+VALUE($B3030&amp;""))</f>
        <v/>
      </c>
      <c r="N3030" s="64">
        <f>IF($A3030="","",IFERROR(INDEX(부서매핑!$C$5:$C$504,MATCH($G3030&amp;"",부서매핑!$A$5:$A$504,0)),"미매핑"))</f>
        <v/>
      </c>
      <c r="O3030" s="9">
        <f>IF($A3030="","",N3030&amp;"|"&amp;$F3030)</f>
        <v/>
      </c>
      <c r="P3030" s="94">
        <f>IF($A3030="",0,$H3030*설정!$C$23)</f>
        <v/>
      </c>
      <c r="Q3030" s="64">
        <f>IF($A3030="","",IF(O3030&lt;&gt;원인분석!$C$9,"",IF(AND(M3030&gt;=원인분석!$C$10,M3030&lt;=원인분석!$C$11),"당기",IF(AND(M3030&gt;=원인분석!$C$12,M3030&lt;=원인분석!$C$13),"비교",""))))</f>
        <v/>
      </c>
      <c r="R3030" s="9">
        <f>IF(Q3030="","",$K3030&amp;"")</f>
        <v/>
      </c>
      <c r="S3030" s="9">
        <f>IF(Q3030="","",IF(MATCH(R3030,$R$5:$R$100000,0)=ROW()-4,ROW(),""))</f>
        <v/>
      </c>
      <c r="T3030" s="9">
        <f>IF(Q3030="당기",ABS(P3030)+ROW()/1000000000,"")</f>
        <v/>
      </c>
      <c r="U3030" s="9">
        <f>IF(Q3030="비교",ABS(P3030)+ROW()/1000000000,"")</f>
        <v/>
      </c>
      <c r="V3030" s="64">
        <f>IF($A3030="","",IF(COUNTIF(변동분석!$E$7:$E$506,O3030)&gt;0,"Y","N"))</f>
        <v/>
      </c>
      <c r="W3030" s="64">
        <f>IF($A3030="","",IFERROR(INDEX(계정매핑!$D$5:$D$504,MATCH($F3030&amp;"",계정매핑!$A$5:$A$504,0)),"미매핑"))</f>
        <v/>
      </c>
      <c r="X3030" s="9">
        <f>IF($A3030="","",$F3030&amp;"")</f>
        <v/>
      </c>
      <c r="Y3030" s="94">
        <f>IF($A3030="",0,IF(AE3030="직접",IF(AF3030="비귀속",$P3030,0),$P3030*(1-AG3030)*IFERROR(INDEX(계정대체기준!$F$20:$F$49,MATCH($N3030,계정대체기준!$A$20:$A$49,0)),1)))</f>
        <v/>
      </c>
      <c r="Z3030" s="94">
        <f>IF($A3030="",0,IF(AE3030="직접",IF(AF3030="신계약비",$P3030,0),$P3030*(1-AG3030)*IFERROR(INDEX(계정대체기준!$C$20:$C$49,MATCH($N3030,계정대체기준!$A$20:$A$49,0)),0)))</f>
        <v/>
      </c>
      <c r="AA3030" s="94">
        <f>IF($A3030="",0,IF(AE3030="직접",IF(OR(AF3030="유지비",AF3030="손해조사비"),$P3030,0),$P3030*(1-AG3030)*IFERROR(INDEX(계정대체기준!$D$20:$D$49,MATCH($N3030,계정대체기준!$A$20:$A$49,0)),0)))</f>
        <v/>
      </c>
      <c r="AB3030" s="94">
        <f>IF($A3030="",0,IF(AE3030="직접",IF(AF3030="수금비",$P3030,0),$P3030*(1-AG3030)*IFERROR(INDEX(계정대체기준!$E$20:$E$49,MATCH($N3030,계정대체기준!$A$20:$A$49,0)),0)))</f>
        <v/>
      </c>
      <c r="AC3030" s="9">
        <f>IF(AND($A3030&lt;&gt;"",M3030=설정!$C$20,Z3030&gt;0),Z3030+ROW()/1000000000,"")</f>
        <v/>
      </c>
      <c r="AD3030" s="94">
        <f>IF($A3030="",0,$P3030*AG3030)</f>
        <v/>
      </c>
      <c r="AE3030" s="64">
        <f>IF($A3030="","",IFERROR(INDEX(계정매핑!$E$5:$E$504,MATCH($F3030&amp;"",계정매핑!$A$5:$A$504,0))&amp;"","공통비"))</f>
        <v/>
      </c>
      <c r="AF3030" s="64">
        <f>IF($A3030="","",IF(AE3030="직접",IFERROR(INDEX(계정매핑!$F$5:$F$504,MATCH($F3030&amp;"",계정매핑!$A$5:$A$504,0))&amp;"","비귀속"),""))</f>
        <v/>
      </c>
      <c r="AG3030" s="96">
        <f>IF($A3030="",0,IF(AND(AE3030&lt;&gt;"직접",IFERROR(INDEX(계정매핑!$G$5:$G$504,MATCH($F3030&amp;"",계정매핑!$A$5:$A$504,0))&amp;"","")="유지비",COUNTIF(계정대체기준!$A$6:$A$15,$N3030)&gt;0),IFERROR(INDEX(계정대체기준!$E$6:$E$15,MATCH(VALUE($A3030&amp;""),계정대체기준!$D$6:$D$15,0)),0),0))</f>
        <v/>
      </c>
      <c r="AH3030" s="64">
        <f>IF($A3030="","",IF(AD3030=0,"",IF(OR(COUNTIF(계정대체기준!$A$77:$A$86,$N3030)&gt;0,ISNUMBER(MATCH($X3030,계정대체기준!$D$77:$D$86,0)),ISNUMBER(MATCH($F3030,계정대체기준!$D$77:$D$86,0))),"Y","N")))</f>
        <v/>
      </c>
    </row>
    <row r="3031">
      <c r="A3031" s="92" t="n">
        <v>2026</v>
      </c>
      <c r="B3031" s="92" t="n">
        <v>2</v>
      </c>
      <c r="C3031" s="92" t="inlineStr">
        <is>
          <t>5100000309</t>
        </is>
      </c>
      <c r="D3031" s="95" t="n">
        <v>46064</v>
      </c>
      <c r="E3031" s="92" t="inlineStr">
        <is>
          <t>KR</t>
        </is>
      </c>
      <c r="F3031" s="92" t="n">
        <v>62101000</v>
      </c>
      <c r="G3031" s="92" t="n">
        <v>1502</v>
      </c>
      <c r="H3031" s="93" t="n">
        <v>674000</v>
      </c>
      <c r="I3031" s="92" t="inlineStr">
        <is>
          <t>2월 국내출장 - M항공</t>
        </is>
      </c>
      <c r="J3031" s="92" t="inlineStr">
        <is>
          <t>V10001</t>
        </is>
      </c>
      <c r="K3031" s="92" t="inlineStr">
        <is>
          <t>M항공</t>
        </is>
      </c>
      <c r="M3031" s="9">
        <f>IF($A3031="","",VALUE($A3031&amp;"")*12+VALUE($B3031&amp;""))</f>
        <v/>
      </c>
      <c r="N3031" s="64">
        <f>IF($A3031="","",IFERROR(INDEX(부서매핑!$C$5:$C$504,MATCH($G3031&amp;"",부서매핑!$A$5:$A$504,0)),"미매핑"))</f>
        <v/>
      </c>
      <c r="O3031" s="9">
        <f>IF($A3031="","",N3031&amp;"|"&amp;$F3031)</f>
        <v/>
      </c>
      <c r="P3031" s="94">
        <f>IF($A3031="",0,$H3031*설정!$C$23)</f>
        <v/>
      </c>
      <c r="Q3031" s="64">
        <f>IF($A3031="","",IF(O3031&lt;&gt;원인분석!$C$9,"",IF(AND(M3031&gt;=원인분석!$C$10,M3031&lt;=원인분석!$C$11),"당기",IF(AND(M3031&gt;=원인분석!$C$12,M3031&lt;=원인분석!$C$13),"비교",""))))</f>
        <v/>
      </c>
      <c r="R3031" s="9">
        <f>IF(Q3031="","",$K3031&amp;"")</f>
        <v/>
      </c>
      <c r="S3031" s="9">
        <f>IF(Q3031="","",IF(MATCH(R3031,$R$5:$R$100000,0)=ROW()-4,ROW(),""))</f>
        <v/>
      </c>
      <c r="T3031" s="9">
        <f>IF(Q3031="당기",ABS(P3031)+ROW()/1000000000,"")</f>
        <v/>
      </c>
      <c r="U3031" s="9">
        <f>IF(Q3031="비교",ABS(P3031)+ROW()/1000000000,"")</f>
        <v/>
      </c>
      <c r="V3031" s="64">
        <f>IF($A3031="","",IF(COUNTIF(변동분석!$E$7:$E$506,O3031)&gt;0,"Y","N"))</f>
        <v/>
      </c>
      <c r="W3031" s="64">
        <f>IF($A3031="","",IFERROR(INDEX(계정매핑!$D$5:$D$504,MATCH($F3031&amp;"",계정매핑!$A$5:$A$504,0)),"미매핑"))</f>
        <v/>
      </c>
      <c r="X3031" s="9">
        <f>IF($A3031="","",$F3031&amp;"")</f>
        <v/>
      </c>
      <c r="Y3031" s="94">
        <f>IF($A3031="",0,IF(AE3031="직접",IF(AF3031="비귀속",$P3031,0),$P3031*(1-AG3031)*IFERROR(INDEX(계정대체기준!$F$20:$F$49,MATCH($N3031,계정대체기준!$A$20:$A$49,0)),1)))</f>
        <v/>
      </c>
      <c r="Z3031" s="94">
        <f>IF($A3031="",0,IF(AE3031="직접",IF(AF3031="신계약비",$P3031,0),$P3031*(1-AG3031)*IFERROR(INDEX(계정대체기준!$C$20:$C$49,MATCH($N3031,계정대체기준!$A$20:$A$49,0)),0)))</f>
        <v/>
      </c>
      <c r="AA3031" s="94">
        <f>IF($A3031="",0,IF(AE3031="직접",IF(OR(AF3031="유지비",AF3031="손해조사비"),$P3031,0),$P3031*(1-AG3031)*IFERROR(INDEX(계정대체기준!$D$20:$D$49,MATCH($N3031,계정대체기준!$A$20:$A$49,0)),0)))</f>
        <v/>
      </c>
      <c r="AB3031" s="94">
        <f>IF($A3031="",0,IF(AE3031="직접",IF(AF3031="수금비",$P3031,0),$P3031*(1-AG3031)*IFERROR(INDEX(계정대체기준!$E$20:$E$49,MATCH($N3031,계정대체기준!$A$20:$A$49,0)),0)))</f>
        <v/>
      </c>
      <c r="AC3031" s="9">
        <f>IF(AND($A3031&lt;&gt;"",M3031=설정!$C$20,Z3031&gt;0),Z3031+ROW()/1000000000,"")</f>
        <v/>
      </c>
      <c r="AD3031" s="94">
        <f>IF($A3031="",0,$P3031*AG3031)</f>
        <v/>
      </c>
      <c r="AE3031" s="64">
        <f>IF($A3031="","",IFERROR(INDEX(계정매핑!$E$5:$E$504,MATCH($F3031&amp;"",계정매핑!$A$5:$A$504,0))&amp;"","공통비"))</f>
        <v/>
      </c>
      <c r="AF3031" s="64">
        <f>IF($A3031="","",IF(AE3031="직접",IFERROR(INDEX(계정매핑!$F$5:$F$504,MATCH($F3031&amp;"",계정매핑!$A$5:$A$504,0))&amp;"","비귀속"),""))</f>
        <v/>
      </c>
      <c r="AG3031" s="96">
        <f>IF($A3031="",0,IF(AND(AE3031&lt;&gt;"직접",IFERROR(INDEX(계정매핑!$G$5:$G$504,MATCH($F3031&amp;"",계정매핑!$A$5:$A$504,0))&amp;"","")="유지비",COUNTIF(계정대체기준!$A$6:$A$15,$N3031)&gt;0),IFERROR(INDEX(계정대체기준!$E$6:$E$15,MATCH(VALUE($A3031&amp;""),계정대체기준!$D$6:$D$15,0)),0),0))</f>
        <v/>
      </c>
      <c r="AH3031" s="64">
        <f>IF($A3031="","",IF(AD3031=0,"",IF(OR(COUNTIF(계정대체기준!$A$77:$A$86,$N3031)&gt;0,ISNUMBER(MATCH($X3031,계정대체기준!$D$77:$D$86,0)),ISNUMBER(MATCH($F3031,계정대체기준!$D$77:$D$86,0))),"Y","N")))</f>
        <v/>
      </c>
    </row>
    <row r="3032">
      <c r="A3032" s="92" t="n">
        <v>2026</v>
      </c>
      <c r="B3032" s="92" t="n">
        <v>2</v>
      </c>
      <c r="C3032" s="92" t="inlineStr">
        <is>
          <t>5100000310</t>
        </is>
      </c>
      <c r="D3032" s="95" t="n">
        <v>46064</v>
      </c>
      <c r="E3032" s="92" t="inlineStr">
        <is>
          <t>KR</t>
        </is>
      </c>
      <c r="F3032" s="92" t="n">
        <v>62101000</v>
      </c>
      <c r="G3032" s="92" t="n">
        <v>1601</v>
      </c>
      <c r="H3032" s="93" t="n">
        <v>1855000</v>
      </c>
      <c r="I3032" s="92" t="inlineStr">
        <is>
          <t>2월 국내출장 - (법인카드)</t>
        </is>
      </c>
      <c r="J3032" s="92" t="inlineStr">
        <is>
          <t>V10010</t>
        </is>
      </c>
      <c r="K3032" s="92" t="inlineStr">
        <is>
          <t>(법인카드)</t>
        </is>
      </c>
      <c r="M3032" s="9">
        <f>IF($A3032="","",VALUE($A3032&amp;"")*12+VALUE($B3032&amp;""))</f>
        <v/>
      </c>
      <c r="N3032" s="64">
        <f>IF($A3032="","",IFERROR(INDEX(부서매핑!$C$5:$C$504,MATCH($G3032&amp;"",부서매핑!$A$5:$A$504,0)),"미매핑"))</f>
        <v/>
      </c>
      <c r="O3032" s="9">
        <f>IF($A3032="","",N3032&amp;"|"&amp;$F3032)</f>
        <v/>
      </c>
      <c r="P3032" s="94">
        <f>IF($A3032="",0,$H3032*설정!$C$23)</f>
        <v/>
      </c>
      <c r="Q3032" s="64">
        <f>IF($A3032="","",IF(O3032&lt;&gt;원인분석!$C$9,"",IF(AND(M3032&gt;=원인분석!$C$10,M3032&lt;=원인분석!$C$11),"당기",IF(AND(M3032&gt;=원인분석!$C$12,M3032&lt;=원인분석!$C$13),"비교",""))))</f>
        <v/>
      </c>
      <c r="R3032" s="9">
        <f>IF(Q3032="","",$K3032&amp;"")</f>
        <v/>
      </c>
      <c r="S3032" s="9">
        <f>IF(Q3032="","",IF(MATCH(R3032,$R$5:$R$100000,0)=ROW()-4,ROW(),""))</f>
        <v/>
      </c>
      <c r="T3032" s="9">
        <f>IF(Q3032="당기",ABS(P3032)+ROW()/1000000000,"")</f>
        <v/>
      </c>
      <c r="U3032" s="9">
        <f>IF(Q3032="비교",ABS(P3032)+ROW()/1000000000,"")</f>
        <v/>
      </c>
      <c r="V3032" s="64">
        <f>IF($A3032="","",IF(COUNTIF(변동분석!$E$7:$E$506,O3032)&gt;0,"Y","N"))</f>
        <v/>
      </c>
      <c r="W3032" s="64">
        <f>IF($A3032="","",IFERROR(INDEX(계정매핑!$D$5:$D$504,MATCH($F3032&amp;"",계정매핑!$A$5:$A$504,0)),"미매핑"))</f>
        <v/>
      </c>
      <c r="X3032" s="9">
        <f>IF($A3032="","",$F3032&amp;"")</f>
        <v/>
      </c>
      <c r="Y3032" s="94">
        <f>IF($A3032="",0,IF(AE3032="직접",IF(AF3032="비귀속",$P3032,0),$P3032*(1-AG3032)*IFERROR(INDEX(계정대체기준!$F$20:$F$49,MATCH($N3032,계정대체기준!$A$20:$A$49,0)),1)))</f>
        <v/>
      </c>
      <c r="Z3032" s="94">
        <f>IF($A3032="",0,IF(AE3032="직접",IF(AF3032="신계약비",$P3032,0),$P3032*(1-AG3032)*IFERROR(INDEX(계정대체기준!$C$20:$C$49,MATCH($N3032,계정대체기준!$A$20:$A$49,0)),0)))</f>
        <v/>
      </c>
      <c r="AA3032" s="94">
        <f>IF($A3032="",0,IF(AE3032="직접",IF(OR(AF3032="유지비",AF3032="손해조사비"),$P3032,0),$P3032*(1-AG3032)*IFERROR(INDEX(계정대체기준!$D$20:$D$49,MATCH($N3032,계정대체기준!$A$20:$A$49,0)),0)))</f>
        <v/>
      </c>
      <c r="AB3032" s="94">
        <f>IF($A3032="",0,IF(AE3032="직접",IF(AF3032="수금비",$P3032,0),$P3032*(1-AG3032)*IFERROR(INDEX(계정대체기준!$E$20:$E$49,MATCH($N3032,계정대체기준!$A$20:$A$49,0)),0)))</f>
        <v/>
      </c>
      <c r="AC3032" s="9">
        <f>IF(AND($A3032&lt;&gt;"",M3032=설정!$C$20,Z3032&gt;0),Z3032+ROW()/1000000000,"")</f>
        <v/>
      </c>
      <c r="AD3032" s="94">
        <f>IF($A3032="",0,$P3032*AG3032)</f>
        <v/>
      </c>
      <c r="AE3032" s="64">
        <f>IF($A3032="","",IFERROR(INDEX(계정매핑!$E$5:$E$504,MATCH($F3032&amp;"",계정매핑!$A$5:$A$504,0))&amp;"","공통비"))</f>
        <v/>
      </c>
      <c r="AF3032" s="64">
        <f>IF($A3032="","",IF(AE3032="직접",IFERROR(INDEX(계정매핑!$F$5:$F$504,MATCH($F3032&amp;"",계정매핑!$A$5:$A$504,0))&amp;"","비귀속"),""))</f>
        <v/>
      </c>
      <c r="AG3032" s="96">
        <f>IF($A3032="",0,IF(AND(AE3032&lt;&gt;"직접",IFERROR(INDEX(계정매핑!$G$5:$G$504,MATCH($F3032&amp;"",계정매핑!$A$5:$A$504,0))&amp;"","")="유지비",COUNTIF(계정대체기준!$A$6:$A$15,$N3032)&gt;0),IFERROR(INDEX(계정대체기준!$E$6:$E$15,MATCH(VALUE($A3032&amp;""),계정대체기준!$D$6:$D$15,0)),0),0))</f>
        <v/>
      </c>
      <c r="AH3032" s="64">
        <f>IF($A3032="","",IF(AD3032=0,"",IF(OR(COUNTIF(계정대체기준!$A$77:$A$86,$N3032)&gt;0,ISNUMBER(MATCH($X3032,계정대체기준!$D$77:$D$86,0)),ISNUMBER(MATCH($F3032,계정대체기준!$D$77:$D$86,0))),"Y","N")))</f>
        <v/>
      </c>
    </row>
    <row r="3033">
      <c r="A3033" s="92" t="n">
        <v>2026</v>
      </c>
      <c r="B3033" s="92" t="n">
        <v>2</v>
      </c>
      <c r="C3033" s="92" t="inlineStr">
        <is>
          <t>5100000311</t>
        </is>
      </c>
      <c r="D3033" s="95" t="n">
        <v>46064</v>
      </c>
      <c r="E3033" s="92" t="inlineStr">
        <is>
          <t>KR</t>
        </is>
      </c>
      <c r="F3033" s="92" t="n">
        <v>62201000</v>
      </c>
      <c r="G3033" s="92" t="n">
        <v>1601</v>
      </c>
      <c r="H3033" s="93" t="n">
        <v>524000</v>
      </c>
      <c r="I3033" s="92" t="inlineStr">
        <is>
          <t>2월 통신요금 - P통신</t>
        </is>
      </c>
      <c r="J3033" s="92" t="inlineStr">
        <is>
          <t>V10014</t>
        </is>
      </c>
      <c r="K3033" s="92" t="inlineStr">
        <is>
          <t>P통신</t>
        </is>
      </c>
      <c r="M3033" s="9">
        <f>IF($A3033="","",VALUE($A3033&amp;"")*12+VALUE($B3033&amp;""))</f>
        <v/>
      </c>
      <c r="N3033" s="64">
        <f>IF($A3033="","",IFERROR(INDEX(부서매핑!$C$5:$C$504,MATCH($G3033&amp;"",부서매핑!$A$5:$A$504,0)),"미매핑"))</f>
        <v/>
      </c>
      <c r="O3033" s="9">
        <f>IF($A3033="","",N3033&amp;"|"&amp;$F3033)</f>
        <v/>
      </c>
      <c r="P3033" s="94">
        <f>IF($A3033="",0,$H3033*설정!$C$23)</f>
        <v/>
      </c>
      <c r="Q3033" s="64">
        <f>IF($A3033="","",IF(O3033&lt;&gt;원인분석!$C$9,"",IF(AND(M3033&gt;=원인분석!$C$10,M3033&lt;=원인분석!$C$11),"당기",IF(AND(M3033&gt;=원인분석!$C$12,M3033&lt;=원인분석!$C$13),"비교",""))))</f>
        <v/>
      </c>
      <c r="R3033" s="9">
        <f>IF(Q3033="","",$K3033&amp;"")</f>
        <v/>
      </c>
      <c r="S3033" s="9">
        <f>IF(Q3033="","",IF(MATCH(R3033,$R$5:$R$100000,0)=ROW()-4,ROW(),""))</f>
        <v/>
      </c>
      <c r="T3033" s="9">
        <f>IF(Q3033="당기",ABS(P3033)+ROW()/1000000000,"")</f>
        <v/>
      </c>
      <c r="U3033" s="9">
        <f>IF(Q3033="비교",ABS(P3033)+ROW()/1000000000,"")</f>
        <v/>
      </c>
      <c r="V3033" s="64">
        <f>IF($A3033="","",IF(COUNTIF(변동분석!$E$7:$E$506,O3033)&gt;0,"Y","N"))</f>
        <v/>
      </c>
      <c r="W3033" s="64">
        <f>IF($A3033="","",IFERROR(INDEX(계정매핑!$D$5:$D$504,MATCH($F3033&amp;"",계정매핑!$A$5:$A$504,0)),"미매핑"))</f>
        <v/>
      </c>
      <c r="X3033" s="9">
        <f>IF($A3033="","",$F3033&amp;"")</f>
        <v/>
      </c>
      <c r="Y3033" s="94">
        <f>IF($A3033="",0,IF(AE3033="직접",IF(AF3033="비귀속",$P3033,0),$P3033*(1-AG3033)*IFERROR(INDEX(계정대체기준!$F$20:$F$49,MATCH($N3033,계정대체기준!$A$20:$A$49,0)),1)))</f>
        <v/>
      </c>
      <c r="Z3033" s="94">
        <f>IF($A3033="",0,IF(AE3033="직접",IF(AF3033="신계약비",$P3033,0),$P3033*(1-AG3033)*IFERROR(INDEX(계정대체기준!$C$20:$C$49,MATCH($N3033,계정대체기준!$A$20:$A$49,0)),0)))</f>
        <v/>
      </c>
      <c r="AA3033" s="94">
        <f>IF($A3033="",0,IF(AE3033="직접",IF(OR(AF3033="유지비",AF3033="손해조사비"),$P3033,0),$P3033*(1-AG3033)*IFERROR(INDEX(계정대체기준!$D$20:$D$49,MATCH($N3033,계정대체기준!$A$20:$A$49,0)),0)))</f>
        <v/>
      </c>
      <c r="AB3033" s="94">
        <f>IF($A3033="",0,IF(AE3033="직접",IF(AF3033="수금비",$P3033,0),$P3033*(1-AG3033)*IFERROR(INDEX(계정대체기준!$E$20:$E$49,MATCH($N3033,계정대체기준!$A$20:$A$49,0)),0)))</f>
        <v/>
      </c>
      <c r="AC3033" s="9">
        <f>IF(AND($A3033&lt;&gt;"",M3033=설정!$C$20,Z3033&gt;0),Z3033+ROW()/1000000000,"")</f>
        <v/>
      </c>
      <c r="AD3033" s="94">
        <f>IF($A3033="",0,$P3033*AG3033)</f>
        <v/>
      </c>
      <c r="AE3033" s="64">
        <f>IF($A3033="","",IFERROR(INDEX(계정매핑!$E$5:$E$504,MATCH($F3033&amp;"",계정매핑!$A$5:$A$504,0))&amp;"","공통비"))</f>
        <v/>
      </c>
      <c r="AF3033" s="64">
        <f>IF($A3033="","",IF(AE3033="직접",IFERROR(INDEX(계정매핑!$F$5:$F$504,MATCH($F3033&amp;"",계정매핑!$A$5:$A$504,0))&amp;"","비귀속"),""))</f>
        <v/>
      </c>
      <c r="AG3033" s="96">
        <f>IF($A3033="",0,IF(AND(AE3033&lt;&gt;"직접",IFERROR(INDEX(계정매핑!$G$5:$G$504,MATCH($F3033&amp;"",계정매핑!$A$5:$A$504,0))&amp;"","")="유지비",COUNTIF(계정대체기준!$A$6:$A$15,$N3033)&gt;0),IFERROR(INDEX(계정대체기준!$E$6:$E$15,MATCH(VALUE($A3033&amp;""),계정대체기준!$D$6:$D$15,0)),0),0))</f>
        <v/>
      </c>
      <c r="AH3033" s="64">
        <f>IF($A3033="","",IF(AD3033=0,"",IF(OR(COUNTIF(계정대체기준!$A$77:$A$86,$N3033)&gt;0,ISNUMBER(MATCH($X3033,계정대체기준!$D$77:$D$86,0)),ISNUMBER(MATCH($F3033,계정대체기준!$D$77:$D$86,0))),"Y","N")))</f>
        <v/>
      </c>
    </row>
    <row r="3034">
      <c r="A3034" s="92" t="n">
        <v>2026</v>
      </c>
      <c r="B3034" s="92" t="n">
        <v>2</v>
      </c>
      <c r="C3034" s="92" t="inlineStr">
        <is>
          <t>5100000312</t>
        </is>
      </c>
      <c r="D3034" s="95" t="n">
        <v>46064</v>
      </c>
      <c r="E3034" s="92" t="inlineStr">
        <is>
          <t>KR</t>
        </is>
      </c>
      <c r="F3034" s="92" t="n">
        <v>62201000</v>
      </c>
      <c r="G3034" s="92" t="n">
        <v>1701</v>
      </c>
      <c r="H3034" s="93" t="n">
        <v>3466000</v>
      </c>
      <c r="I3034" s="92" t="inlineStr">
        <is>
          <t>2월 통신요금 - P통신</t>
        </is>
      </c>
      <c r="J3034" s="92" t="inlineStr">
        <is>
          <t>V10014</t>
        </is>
      </c>
      <c r="K3034" s="92" t="inlineStr">
        <is>
          <t>P통신</t>
        </is>
      </c>
      <c r="M3034" s="9">
        <f>IF($A3034="","",VALUE($A3034&amp;"")*12+VALUE($B3034&amp;""))</f>
        <v/>
      </c>
      <c r="N3034" s="64">
        <f>IF($A3034="","",IFERROR(INDEX(부서매핑!$C$5:$C$504,MATCH($G3034&amp;"",부서매핑!$A$5:$A$504,0)),"미매핑"))</f>
        <v/>
      </c>
      <c r="O3034" s="9">
        <f>IF($A3034="","",N3034&amp;"|"&amp;$F3034)</f>
        <v/>
      </c>
      <c r="P3034" s="94">
        <f>IF($A3034="",0,$H3034*설정!$C$23)</f>
        <v/>
      </c>
      <c r="Q3034" s="64">
        <f>IF($A3034="","",IF(O3034&lt;&gt;원인분석!$C$9,"",IF(AND(M3034&gt;=원인분석!$C$10,M3034&lt;=원인분석!$C$11),"당기",IF(AND(M3034&gt;=원인분석!$C$12,M3034&lt;=원인분석!$C$13),"비교",""))))</f>
        <v/>
      </c>
      <c r="R3034" s="9">
        <f>IF(Q3034="","",$K3034&amp;"")</f>
        <v/>
      </c>
      <c r="S3034" s="9">
        <f>IF(Q3034="","",IF(MATCH(R3034,$R$5:$R$100000,0)=ROW()-4,ROW(),""))</f>
        <v/>
      </c>
      <c r="T3034" s="9">
        <f>IF(Q3034="당기",ABS(P3034)+ROW()/1000000000,"")</f>
        <v/>
      </c>
      <c r="U3034" s="9">
        <f>IF(Q3034="비교",ABS(P3034)+ROW()/1000000000,"")</f>
        <v/>
      </c>
      <c r="V3034" s="64">
        <f>IF($A3034="","",IF(COUNTIF(변동분석!$E$7:$E$506,O3034)&gt;0,"Y","N"))</f>
        <v/>
      </c>
      <c r="W3034" s="64">
        <f>IF($A3034="","",IFERROR(INDEX(계정매핑!$D$5:$D$504,MATCH($F3034&amp;"",계정매핑!$A$5:$A$504,0)),"미매핑"))</f>
        <v/>
      </c>
      <c r="X3034" s="9">
        <f>IF($A3034="","",$F3034&amp;"")</f>
        <v/>
      </c>
      <c r="Y3034" s="94">
        <f>IF($A3034="",0,IF(AE3034="직접",IF(AF3034="비귀속",$P3034,0),$P3034*(1-AG3034)*IFERROR(INDEX(계정대체기준!$F$20:$F$49,MATCH($N3034,계정대체기준!$A$20:$A$49,0)),1)))</f>
        <v/>
      </c>
      <c r="Z3034" s="94">
        <f>IF($A3034="",0,IF(AE3034="직접",IF(AF3034="신계약비",$P3034,0),$P3034*(1-AG3034)*IFERROR(INDEX(계정대체기준!$C$20:$C$49,MATCH($N3034,계정대체기준!$A$20:$A$49,0)),0)))</f>
        <v/>
      </c>
      <c r="AA3034" s="94">
        <f>IF($A3034="",0,IF(AE3034="직접",IF(OR(AF3034="유지비",AF3034="손해조사비"),$P3034,0),$P3034*(1-AG3034)*IFERROR(INDEX(계정대체기준!$D$20:$D$49,MATCH($N3034,계정대체기준!$A$20:$A$49,0)),0)))</f>
        <v/>
      </c>
      <c r="AB3034" s="94">
        <f>IF($A3034="",0,IF(AE3034="직접",IF(AF3034="수금비",$P3034,0),$P3034*(1-AG3034)*IFERROR(INDEX(계정대체기준!$E$20:$E$49,MATCH($N3034,계정대체기준!$A$20:$A$49,0)),0)))</f>
        <v/>
      </c>
      <c r="AC3034" s="9">
        <f>IF(AND($A3034&lt;&gt;"",M3034=설정!$C$20,Z3034&gt;0),Z3034+ROW()/1000000000,"")</f>
        <v/>
      </c>
      <c r="AD3034" s="94">
        <f>IF($A3034="",0,$P3034*AG3034)</f>
        <v/>
      </c>
      <c r="AE3034" s="64">
        <f>IF($A3034="","",IFERROR(INDEX(계정매핑!$E$5:$E$504,MATCH($F3034&amp;"",계정매핑!$A$5:$A$504,0))&amp;"","공통비"))</f>
        <v/>
      </c>
      <c r="AF3034" s="64">
        <f>IF($A3034="","",IF(AE3034="직접",IFERROR(INDEX(계정매핑!$F$5:$F$504,MATCH($F3034&amp;"",계정매핑!$A$5:$A$504,0))&amp;"","비귀속"),""))</f>
        <v/>
      </c>
      <c r="AG3034" s="96">
        <f>IF($A3034="",0,IF(AND(AE3034&lt;&gt;"직접",IFERROR(INDEX(계정매핑!$G$5:$G$504,MATCH($F3034&amp;"",계정매핑!$A$5:$A$504,0))&amp;"","")="유지비",COUNTIF(계정대체기준!$A$6:$A$15,$N3034)&gt;0),IFERROR(INDEX(계정대체기준!$E$6:$E$15,MATCH(VALUE($A3034&amp;""),계정대체기준!$D$6:$D$15,0)),0),0))</f>
        <v/>
      </c>
      <c r="AH3034" s="64">
        <f>IF($A3034="","",IF(AD3034=0,"",IF(OR(COUNTIF(계정대체기준!$A$77:$A$86,$N3034)&gt;0,ISNUMBER(MATCH($X3034,계정대체기준!$D$77:$D$86,0)),ISNUMBER(MATCH($F3034,계정대체기준!$D$77:$D$86,0))),"Y","N")))</f>
        <v/>
      </c>
    </row>
    <row r="3035">
      <c r="A3035" s="92" t="n">
        <v>2026</v>
      </c>
      <c r="B3035" s="92" t="n">
        <v>2</v>
      </c>
      <c r="C3035" s="92" t="inlineStr">
        <is>
          <t>5100000313</t>
        </is>
      </c>
      <c r="D3035" s="95" t="n">
        <v>46064</v>
      </c>
      <c r="E3035" s="92" t="inlineStr">
        <is>
          <t>KR</t>
        </is>
      </c>
      <c r="F3035" s="92" t="n">
        <v>62201000</v>
      </c>
      <c r="G3035" s="92" t="n">
        <v>1801</v>
      </c>
      <c r="H3035" s="93" t="n">
        <v>6720000</v>
      </c>
      <c r="I3035" s="92" t="inlineStr">
        <is>
          <t>2월 통신요금 - P통신</t>
        </is>
      </c>
      <c r="J3035" s="92" t="inlineStr">
        <is>
          <t>V10014</t>
        </is>
      </c>
      <c r="K3035" s="92" t="inlineStr">
        <is>
          <t>P통신</t>
        </is>
      </c>
      <c r="M3035" s="9">
        <f>IF($A3035="","",VALUE($A3035&amp;"")*12+VALUE($B3035&amp;""))</f>
        <v/>
      </c>
      <c r="N3035" s="64">
        <f>IF($A3035="","",IFERROR(INDEX(부서매핑!$C$5:$C$504,MATCH($G3035&amp;"",부서매핑!$A$5:$A$504,0)),"미매핑"))</f>
        <v/>
      </c>
      <c r="O3035" s="9">
        <f>IF($A3035="","",N3035&amp;"|"&amp;$F3035)</f>
        <v/>
      </c>
      <c r="P3035" s="94">
        <f>IF($A3035="",0,$H3035*설정!$C$23)</f>
        <v/>
      </c>
      <c r="Q3035" s="64">
        <f>IF($A3035="","",IF(O3035&lt;&gt;원인분석!$C$9,"",IF(AND(M3035&gt;=원인분석!$C$10,M3035&lt;=원인분석!$C$11),"당기",IF(AND(M3035&gt;=원인분석!$C$12,M3035&lt;=원인분석!$C$13),"비교",""))))</f>
        <v/>
      </c>
      <c r="R3035" s="9">
        <f>IF(Q3035="","",$K3035&amp;"")</f>
        <v/>
      </c>
      <c r="S3035" s="9">
        <f>IF(Q3035="","",IF(MATCH(R3035,$R$5:$R$100000,0)=ROW()-4,ROW(),""))</f>
        <v/>
      </c>
      <c r="T3035" s="9">
        <f>IF(Q3035="당기",ABS(P3035)+ROW()/1000000000,"")</f>
        <v/>
      </c>
      <c r="U3035" s="9">
        <f>IF(Q3035="비교",ABS(P3035)+ROW()/1000000000,"")</f>
        <v/>
      </c>
      <c r="V3035" s="64">
        <f>IF($A3035="","",IF(COUNTIF(변동분석!$E$7:$E$506,O3035)&gt;0,"Y","N"))</f>
        <v/>
      </c>
      <c r="W3035" s="64">
        <f>IF($A3035="","",IFERROR(INDEX(계정매핑!$D$5:$D$504,MATCH($F3035&amp;"",계정매핑!$A$5:$A$504,0)),"미매핑"))</f>
        <v/>
      </c>
      <c r="X3035" s="9">
        <f>IF($A3035="","",$F3035&amp;"")</f>
        <v/>
      </c>
      <c r="Y3035" s="94">
        <f>IF($A3035="",0,IF(AE3035="직접",IF(AF3035="비귀속",$P3035,0),$P3035*(1-AG3035)*IFERROR(INDEX(계정대체기준!$F$20:$F$49,MATCH($N3035,계정대체기준!$A$20:$A$49,0)),1)))</f>
        <v/>
      </c>
      <c r="Z3035" s="94">
        <f>IF($A3035="",0,IF(AE3035="직접",IF(AF3035="신계약비",$P3035,0),$P3035*(1-AG3035)*IFERROR(INDEX(계정대체기준!$C$20:$C$49,MATCH($N3035,계정대체기준!$A$20:$A$49,0)),0)))</f>
        <v/>
      </c>
      <c r="AA3035" s="94">
        <f>IF($A3035="",0,IF(AE3035="직접",IF(OR(AF3035="유지비",AF3035="손해조사비"),$P3035,0),$P3035*(1-AG3035)*IFERROR(INDEX(계정대체기준!$D$20:$D$49,MATCH($N3035,계정대체기준!$A$20:$A$49,0)),0)))</f>
        <v/>
      </c>
      <c r="AB3035" s="94">
        <f>IF($A3035="",0,IF(AE3035="직접",IF(AF3035="수금비",$P3035,0),$P3035*(1-AG3035)*IFERROR(INDEX(계정대체기준!$E$20:$E$49,MATCH($N3035,계정대체기준!$A$20:$A$49,0)),0)))</f>
        <v/>
      </c>
      <c r="AC3035" s="9">
        <f>IF(AND($A3035&lt;&gt;"",M3035=설정!$C$20,Z3035&gt;0),Z3035+ROW()/1000000000,"")</f>
        <v/>
      </c>
      <c r="AD3035" s="94">
        <f>IF($A3035="",0,$P3035*AG3035)</f>
        <v/>
      </c>
      <c r="AE3035" s="64">
        <f>IF($A3035="","",IFERROR(INDEX(계정매핑!$E$5:$E$504,MATCH($F3035&amp;"",계정매핑!$A$5:$A$504,0))&amp;"","공통비"))</f>
        <v/>
      </c>
      <c r="AF3035" s="64">
        <f>IF($A3035="","",IF(AE3035="직접",IFERROR(INDEX(계정매핑!$F$5:$F$504,MATCH($F3035&amp;"",계정매핑!$A$5:$A$504,0))&amp;"","비귀속"),""))</f>
        <v/>
      </c>
      <c r="AG3035" s="96">
        <f>IF($A3035="",0,IF(AND(AE3035&lt;&gt;"직접",IFERROR(INDEX(계정매핑!$G$5:$G$504,MATCH($F3035&amp;"",계정매핑!$A$5:$A$504,0))&amp;"","")="유지비",COUNTIF(계정대체기준!$A$6:$A$15,$N3035)&gt;0),IFERROR(INDEX(계정대체기준!$E$6:$E$15,MATCH(VALUE($A3035&amp;""),계정대체기준!$D$6:$D$15,0)),0),0))</f>
        <v/>
      </c>
      <c r="AH3035" s="64">
        <f>IF($A3035="","",IF(AD3035=0,"",IF(OR(COUNTIF(계정대체기준!$A$77:$A$86,$N3035)&gt;0,ISNUMBER(MATCH($X3035,계정대체기준!$D$77:$D$86,0)),ISNUMBER(MATCH($F3035,계정대체기준!$D$77:$D$86,0))),"Y","N")))</f>
        <v/>
      </c>
    </row>
    <row r="3036">
      <c r="A3036" s="92" t="n">
        <v>2026</v>
      </c>
      <c r="B3036" s="92" t="n">
        <v>2</v>
      </c>
      <c r="C3036" s="92" t="inlineStr">
        <is>
          <t>5100000314</t>
        </is>
      </c>
      <c r="D3036" s="95" t="n">
        <v>46064</v>
      </c>
      <c r="E3036" s="92" t="inlineStr">
        <is>
          <t>KR</t>
        </is>
      </c>
      <c r="F3036" s="92" t="n">
        <v>62301000</v>
      </c>
      <c r="G3036" s="92" t="n">
        <v>1601</v>
      </c>
      <c r="H3036" s="93" t="n">
        <v>429000</v>
      </c>
      <c r="I3036" s="92" t="inlineStr">
        <is>
          <t>2월 소모품 구입 - R문구</t>
        </is>
      </c>
      <c r="J3036" s="92" t="inlineStr">
        <is>
          <t>V10022</t>
        </is>
      </c>
      <c r="K3036" s="92" t="inlineStr">
        <is>
          <t>R문구</t>
        </is>
      </c>
      <c r="M3036" s="9">
        <f>IF($A3036="","",VALUE($A3036&amp;"")*12+VALUE($B3036&amp;""))</f>
        <v/>
      </c>
      <c r="N3036" s="64">
        <f>IF($A3036="","",IFERROR(INDEX(부서매핑!$C$5:$C$504,MATCH($G3036&amp;"",부서매핑!$A$5:$A$504,0)),"미매핑"))</f>
        <v/>
      </c>
      <c r="O3036" s="9">
        <f>IF($A3036="","",N3036&amp;"|"&amp;$F3036)</f>
        <v/>
      </c>
      <c r="P3036" s="94">
        <f>IF($A3036="",0,$H3036*설정!$C$23)</f>
        <v/>
      </c>
      <c r="Q3036" s="64">
        <f>IF($A3036="","",IF(O3036&lt;&gt;원인분석!$C$9,"",IF(AND(M3036&gt;=원인분석!$C$10,M3036&lt;=원인분석!$C$11),"당기",IF(AND(M3036&gt;=원인분석!$C$12,M3036&lt;=원인분석!$C$13),"비교",""))))</f>
        <v/>
      </c>
      <c r="R3036" s="9">
        <f>IF(Q3036="","",$K3036&amp;"")</f>
        <v/>
      </c>
      <c r="S3036" s="9">
        <f>IF(Q3036="","",IF(MATCH(R3036,$R$5:$R$100000,0)=ROW()-4,ROW(),""))</f>
        <v/>
      </c>
      <c r="T3036" s="9">
        <f>IF(Q3036="당기",ABS(P3036)+ROW()/1000000000,"")</f>
        <v/>
      </c>
      <c r="U3036" s="9">
        <f>IF(Q3036="비교",ABS(P3036)+ROW()/1000000000,"")</f>
        <v/>
      </c>
      <c r="V3036" s="64">
        <f>IF($A3036="","",IF(COUNTIF(변동분석!$E$7:$E$506,O3036)&gt;0,"Y","N"))</f>
        <v/>
      </c>
      <c r="W3036" s="64">
        <f>IF($A3036="","",IFERROR(INDEX(계정매핑!$D$5:$D$504,MATCH($F3036&amp;"",계정매핑!$A$5:$A$504,0)),"미매핑"))</f>
        <v/>
      </c>
      <c r="X3036" s="9">
        <f>IF($A3036="","",$F3036&amp;"")</f>
        <v/>
      </c>
      <c r="Y3036" s="94">
        <f>IF($A3036="",0,IF(AE3036="직접",IF(AF3036="비귀속",$P3036,0),$P3036*(1-AG3036)*IFERROR(INDEX(계정대체기준!$F$20:$F$49,MATCH($N3036,계정대체기준!$A$20:$A$49,0)),1)))</f>
        <v/>
      </c>
      <c r="Z3036" s="94">
        <f>IF($A3036="",0,IF(AE3036="직접",IF(AF3036="신계약비",$P3036,0),$P3036*(1-AG3036)*IFERROR(INDEX(계정대체기준!$C$20:$C$49,MATCH($N3036,계정대체기준!$A$20:$A$49,0)),0)))</f>
        <v/>
      </c>
      <c r="AA3036" s="94">
        <f>IF($A3036="",0,IF(AE3036="직접",IF(OR(AF3036="유지비",AF3036="손해조사비"),$P3036,0),$P3036*(1-AG3036)*IFERROR(INDEX(계정대체기준!$D$20:$D$49,MATCH($N3036,계정대체기준!$A$20:$A$49,0)),0)))</f>
        <v/>
      </c>
      <c r="AB3036" s="94">
        <f>IF($A3036="",0,IF(AE3036="직접",IF(AF3036="수금비",$P3036,0),$P3036*(1-AG3036)*IFERROR(INDEX(계정대체기준!$E$20:$E$49,MATCH($N3036,계정대체기준!$A$20:$A$49,0)),0)))</f>
        <v/>
      </c>
      <c r="AC3036" s="9">
        <f>IF(AND($A3036&lt;&gt;"",M3036=설정!$C$20,Z3036&gt;0),Z3036+ROW()/1000000000,"")</f>
        <v/>
      </c>
      <c r="AD3036" s="94">
        <f>IF($A3036="",0,$P3036*AG3036)</f>
        <v/>
      </c>
      <c r="AE3036" s="64">
        <f>IF($A3036="","",IFERROR(INDEX(계정매핑!$E$5:$E$504,MATCH($F3036&amp;"",계정매핑!$A$5:$A$504,0))&amp;"","공통비"))</f>
        <v/>
      </c>
      <c r="AF3036" s="64">
        <f>IF($A3036="","",IF(AE3036="직접",IFERROR(INDEX(계정매핑!$F$5:$F$504,MATCH($F3036&amp;"",계정매핑!$A$5:$A$504,0))&amp;"","비귀속"),""))</f>
        <v/>
      </c>
      <c r="AG3036" s="96">
        <f>IF($A3036="",0,IF(AND(AE3036&lt;&gt;"직접",IFERROR(INDEX(계정매핑!$G$5:$G$504,MATCH($F3036&amp;"",계정매핑!$A$5:$A$504,0))&amp;"","")="유지비",COUNTIF(계정대체기준!$A$6:$A$15,$N3036)&gt;0),IFERROR(INDEX(계정대체기준!$E$6:$E$15,MATCH(VALUE($A3036&amp;""),계정대체기준!$D$6:$D$15,0)),0),0))</f>
        <v/>
      </c>
      <c r="AH3036" s="64">
        <f>IF($A3036="","",IF(AD3036=0,"",IF(OR(COUNTIF(계정대체기준!$A$77:$A$86,$N3036)&gt;0,ISNUMBER(MATCH($X3036,계정대체기준!$D$77:$D$86,0)),ISNUMBER(MATCH($F3036,계정대체기준!$D$77:$D$86,0))),"Y","N")))</f>
        <v/>
      </c>
    </row>
    <row r="3037">
      <c r="A3037" s="92" t="n">
        <v>2026</v>
      </c>
      <c r="B3037" s="92" t="n">
        <v>2</v>
      </c>
      <c r="C3037" s="92" t="inlineStr">
        <is>
          <t>5100000315</t>
        </is>
      </c>
      <c r="D3037" s="95" t="n">
        <v>46064</v>
      </c>
      <c r="E3037" s="92" t="inlineStr">
        <is>
          <t>KR</t>
        </is>
      </c>
      <c r="F3037" s="92" t="n">
        <v>62501000</v>
      </c>
      <c r="G3037" s="92" t="n">
        <v>1501</v>
      </c>
      <c r="H3037" s="93" t="n">
        <v>196000</v>
      </c>
      <c r="I3037" s="92" t="inlineStr">
        <is>
          <t>2월 회의 다과 - T케이터링</t>
        </is>
      </c>
      <c r="J3037" s="92" t="inlineStr">
        <is>
          <t>V10005</t>
        </is>
      </c>
      <c r="K3037" s="92" t="inlineStr">
        <is>
          <t>T케이터링</t>
        </is>
      </c>
      <c r="M3037" s="9">
        <f>IF($A3037="","",VALUE($A3037&amp;"")*12+VALUE($B3037&amp;""))</f>
        <v/>
      </c>
      <c r="N3037" s="64">
        <f>IF($A3037="","",IFERROR(INDEX(부서매핑!$C$5:$C$504,MATCH($G3037&amp;"",부서매핑!$A$5:$A$504,0)),"미매핑"))</f>
        <v/>
      </c>
      <c r="O3037" s="9">
        <f>IF($A3037="","",N3037&amp;"|"&amp;$F3037)</f>
        <v/>
      </c>
      <c r="P3037" s="94">
        <f>IF($A3037="",0,$H3037*설정!$C$23)</f>
        <v/>
      </c>
      <c r="Q3037" s="64">
        <f>IF($A3037="","",IF(O3037&lt;&gt;원인분석!$C$9,"",IF(AND(M3037&gt;=원인분석!$C$10,M3037&lt;=원인분석!$C$11),"당기",IF(AND(M3037&gt;=원인분석!$C$12,M3037&lt;=원인분석!$C$13),"비교",""))))</f>
        <v/>
      </c>
      <c r="R3037" s="9">
        <f>IF(Q3037="","",$K3037&amp;"")</f>
        <v/>
      </c>
      <c r="S3037" s="9">
        <f>IF(Q3037="","",IF(MATCH(R3037,$R$5:$R$100000,0)=ROW()-4,ROW(),""))</f>
        <v/>
      </c>
      <c r="T3037" s="9">
        <f>IF(Q3037="당기",ABS(P3037)+ROW()/1000000000,"")</f>
        <v/>
      </c>
      <c r="U3037" s="9">
        <f>IF(Q3037="비교",ABS(P3037)+ROW()/1000000000,"")</f>
        <v/>
      </c>
      <c r="V3037" s="64">
        <f>IF($A3037="","",IF(COUNTIF(변동분석!$E$7:$E$506,O3037)&gt;0,"Y","N"))</f>
        <v/>
      </c>
      <c r="W3037" s="64">
        <f>IF($A3037="","",IFERROR(INDEX(계정매핑!$D$5:$D$504,MATCH($F3037&amp;"",계정매핑!$A$5:$A$504,0)),"미매핑"))</f>
        <v/>
      </c>
      <c r="X3037" s="9">
        <f>IF($A3037="","",$F3037&amp;"")</f>
        <v/>
      </c>
      <c r="Y3037" s="94">
        <f>IF($A3037="",0,IF(AE3037="직접",IF(AF3037="비귀속",$P3037,0),$P3037*(1-AG3037)*IFERROR(INDEX(계정대체기준!$F$20:$F$49,MATCH($N3037,계정대체기준!$A$20:$A$49,0)),1)))</f>
        <v/>
      </c>
      <c r="Z3037" s="94">
        <f>IF($A3037="",0,IF(AE3037="직접",IF(AF3037="신계약비",$P3037,0),$P3037*(1-AG3037)*IFERROR(INDEX(계정대체기준!$C$20:$C$49,MATCH($N3037,계정대체기준!$A$20:$A$49,0)),0)))</f>
        <v/>
      </c>
      <c r="AA3037" s="94">
        <f>IF($A3037="",0,IF(AE3037="직접",IF(OR(AF3037="유지비",AF3037="손해조사비"),$P3037,0),$P3037*(1-AG3037)*IFERROR(INDEX(계정대체기준!$D$20:$D$49,MATCH($N3037,계정대체기준!$A$20:$A$49,0)),0)))</f>
        <v/>
      </c>
      <c r="AB3037" s="94">
        <f>IF($A3037="",0,IF(AE3037="직접",IF(AF3037="수금비",$P3037,0),$P3037*(1-AG3037)*IFERROR(INDEX(계정대체기준!$E$20:$E$49,MATCH($N3037,계정대체기준!$A$20:$A$49,0)),0)))</f>
        <v/>
      </c>
      <c r="AC3037" s="9">
        <f>IF(AND($A3037&lt;&gt;"",M3037=설정!$C$20,Z3037&gt;0),Z3037+ROW()/1000000000,"")</f>
        <v/>
      </c>
      <c r="AD3037" s="94">
        <f>IF($A3037="",0,$P3037*AG3037)</f>
        <v/>
      </c>
      <c r="AE3037" s="64">
        <f>IF($A3037="","",IFERROR(INDEX(계정매핑!$E$5:$E$504,MATCH($F3037&amp;"",계정매핑!$A$5:$A$504,0))&amp;"","공통비"))</f>
        <v/>
      </c>
      <c r="AF3037" s="64">
        <f>IF($A3037="","",IF(AE3037="직접",IFERROR(INDEX(계정매핑!$F$5:$F$504,MATCH($F3037&amp;"",계정매핑!$A$5:$A$504,0))&amp;"","비귀속"),""))</f>
        <v/>
      </c>
      <c r="AG3037" s="96">
        <f>IF($A3037="",0,IF(AND(AE3037&lt;&gt;"직접",IFERROR(INDEX(계정매핑!$G$5:$G$504,MATCH($F3037&amp;"",계정매핑!$A$5:$A$504,0))&amp;"","")="유지비",COUNTIF(계정대체기준!$A$6:$A$15,$N3037)&gt;0),IFERROR(INDEX(계정대체기준!$E$6:$E$15,MATCH(VALUE($A3037&amp;""),계정대체기준!$D$6:$D$15,0)),0),0))</f>
        <v/>
      </c>
      <c r="AH3037" s="64">
        <f>IF($A3037="","",IF(AD3037=0,"",IF(OR(COUNTIF(계정대체기준!$A$77:$A$86,$N3037)&gt;0,ISNUMBER(MATCH($X3037,계정대체기준!$D$77:$D$86,0)),ISNUMBER(MATCH($F3037,계정대체기준!$D$77:$D$86,0))),"Y","N")))</f>
        <v/>
      </c>
    </row>
    <row r="3038">
      <c r="A3038" s="92" t="n">
        <v>2026</v>
      </c>
      <c r="B3038" s="92" t="n">
        <v>2</v>
      </c>
      <c r="C3038" s="92" t="inlineStr">
        <is>
          <t>5100000316</t>
        </is>
      </c>
      <c r="D3038" s="95" t="n">
        <v>46064</v>
      </c>
      <c r="E3038" s="92" t="inlineStr">
        <is>
          <t>KR</t>
        </is>
      </c>
      <c r="F3038" s="92" t="n">
        <v>62601000</v>
      </c>
      <c r="G3038" s="92" t="n">
        <v>1101</v>
      </c>
      <c r="H3038" s="93" t="n">
        <v>2126000</v>
      </c>
      <c r="I3038" s="92" t="inlineStr">
        <is>
          <t>2월 업무추진 - (법인카드)</t>
        </is>
      </c>
      <c r="J3038" s="92" t="inlineStr">
        <is>
          <t>V10010</t>
        </is>
      </c>
      <c r="K3038" s="92" t="inlineStr">
        <is>
          <t>(법인카드)</t>
        </is>
      </c>
      <c r="M3038" s="9">
        <f>IF($A3038="","",VALUE($A3038&amp;"")*12+VALUE($B3038&amp;""))</f>
        <v/>
      </c>
      <c r="N3038" s="64">
        <f>IF($A3038="","",IFERROR(INDEX(부서매핑!$C$5:$C$504,MATCH($G3038&amp;"",부서매핑!$A$5:$A$504,0)),"미매핑"))</f>
        <v/>
      </c>
      <c r="O3038" s="9">
        <f>IF($A3038="","",N3038&amp;"|"&amp;$F3038)</f>
        <v/>
      </c>
      <c r="P3038" s="94">
        <f>IF($A3038="",0,$H3038*설정!$C$23)</f>
        <v/>
      </c>
      <c r="Q3038" s="64">
        <f>IF($A3038="","",IF(O3038&lt;&gt;원인분석!$C$9,"",IF(AND(M3038&gt;=원인분석!$C$10,M3038&lt;=원인분석!$C$11),"당기",IF(AND(M3038&gt;=원인분석!$C$12,M3038&lt;=원인분석!$C$13),"비교",""))))</f>
        <v/>
      </c>
      <c r="R3038" s="9">
        <f>IF(Q3038="","",$K3038&amp;"")</f>
        <v/>
      </c>
      <c r="S3038" s="9">
        <f>IF(Q3038="","",IF(MATCH(R3038,$R$5:$R$100000,0)=ROW()-4,ROW(),""))</f>
        <v/>
      </c>
      <c r="T3038" s="9">
        <f>IF(Q3038="당기",ABS(P3038)+ROW()/1000000000,"")</f>
        <v/>
      </c>
      <c r="U3038" s="9">
        <f>IF(Q3038="비교",ABS(P3038)+ROW()/1000000000,"")</f>
        <v/>
      </c>
      <c r="V3038" s="64">
        <f>IF($A3038="","",IF(COUNTIF(변동분석!$E$7:$E$506,O3038)&gt;0,"Y","N"))</f>
        <v/>
      </c>
      <c r="W3038" s="64">
        <f>IF($A3038="","",IFERROR(INDEX(계정매핑!$D$5:$D$504,MATCH($F3038&amp;"",계정매핑!$A$5:$A$504,0)),"미매핑"))</f>
        <v/>
      </c>
      <c r="X3038" s="9">
        <f>IF($A3038="","",$F3038&amp;"")</f>
        <v/>
      </c>
      <c r="Y3038" s="94">
        <f>IF($A3038="",0,IF(AE3038="직접",IF(AF3038="비귀속",$P3038,0),$P3038*(1-AG3038)*IFERROR(INDEX(계정대체기준!$F$20:$F$49,MATCH($N3038,계정대체기준!$A$20:$A$49,0)),1)))</f>
        <v/>
      </c>
      <c r="Z3038" s="94">
        <f>IF($A3038="",0,IF(AE3038="직접",IF(AF3038="신계약비",$P3038,0),$P3038*(1-AG3038)*IFERROR(INDEX(계정대체기준!$C$20:$C$49,MATCH($N3038,계정대체기준!$A$20:$A$49,0)),0)))</f>
        <v/>
      </c>
      <c r="AA3038" s="94">
        <f>IF($A3038="",0,IF(AE3038="직접",IF(OR(AF3038="유지비",AF3038="손해조사비"),$P3038,0),$P3038*(1-AG3038)*IFERROR(INDEX(계정대체기준!$D$20:$D$49,MATCH($N3038,계정대체기준!$A$20:$A$49,0)),0)))</f>
        <v/>
      </c>
      <c r="AB3038" s="94">
        <f>IF($A3038="",0,IF(AE3038="직접",IF(AF3038="수금비",$P3038,0),$P3038*(1-AG3038)*IFERROR(INDEX(계정대체기준!$E$20:$E$49,MATCH($N3038,계정대체기준!$A$20:$A$49,0)),0)))</f>
        <v/>
      </c>
      <c r="AC3038" s="9">
        <f>IF(AND($A3038&lt;&gt;"",M3038=설정!$C$20,Z3038&gt;0),Z3038+ROW()/1000000000,"")</f>
        <v/>
      </c>
      <c r="AD3038" s="94">
        <f>IF($A3038="",0,$P3038*AG3038)</f>
        <v/>
      </c>
      <c r="AE3038" s="64">
        <f>IF($A3038="","",IFERROR(INDEX(계정매핑!$E$5:$E$504,MATCH($F3038&amp;"",계정매핑!$A$5:$A$504,0))&amp;"","공통비"))</f>
        <v/>
      </c>
      <c r="AF3038" s="64">
        <f>IF($A3038="","",IF(AE3038="직접",IFERROR(INDEX(계정매핑!$F$5:$F$504,MATCH($F3038&amp;"",계정매핑!$A$5:$A$504,0))&amp;"","비귀속"),""))</f>
        <v/>
      </c>
      <c r="AG3038" s="96">
        <f>IF($A3038="",0,IF(AND(AE3038&lt;&gt;"직접",IFERROR(INDEX(계정매핑!$G$5:$G$504,MATCH($F3038&amp;"",계정매핑!$A$5:$A$504,0))&amp;"","")="유지비",COUNTIF(계정대체기준!$A$6:$A$15,$N3038)&gt;0),IFERROR(INDEX(계정대체기준!$E$6:$E$15,MATCH(VALUE($A3038&amp;""),계정대체기준!$D$6:$D$15,0)),0),0))</f>
        <v/>
      </c>
      <c r="AH3038" s="64">
        <f>IF($A3038="","",IF(AD3038=0,"",IF(OR(COUNTIF(계정대체기준!$A$77:$A$86,$N3038)&gt;0,ISNUMBER(MATCH($X3038,계정대체기준!$D$77:$D$86,0)),ISNUMBER(MATCH($F3038,계정대체기준!$D$77:$D$86,0))),"Y","N")))</f>
        <v/>
      </c>
    </row>
    <row r="3039">
      <c r="A3039" s="92" t="n">
        <v>2026</v>
      </c>
      <c r="B3039" s="92" t="n">
        <v>2</v>
      </c>
      <c r="C3039" s="92" t="inlineStr">
        <is>
          <t>5100000317</t>
        </is>
      </c>
      <c r="D3039" s="95" t="n">
        <v>46064</v>
      </c>
      <c r="E3039" s="92" t="inlineStr">
        <is>
          <t>KR</t>
        </is>
      </c>
      <c r="F3039" s="92" t="n">
        <v>62802000</v>
      </c>
      <c r="G3039" s="92" t="n">
        <v>1301</v>
      </c>
      <c r="H3039" s="93" t="n">
        <v>3784000</v>
      </c>
      <c r="I3039" s="92" t="inlineStr">
        <is>
          <t>2월 위탁교육 - I교육원</t>
        </is>
      </c>
      <c r="J3039" s="92" t="inlineStr">
        <is>
          <t>V10019</t>
        </is>
      </c>
      <c r="K3039" s="92" t="inlineStr">
        <is>
          <t>I교육원</t>
        </is>
      </c>
      <c r="M3039" s="9">
        <f>IF($A3039="","",VALUE($A3039&amp;"")*12+VALUE($B3039&amp;""))</f>
        <v/>
      </c>
      <c r="N3039" s="64">
        <f>IF($A3039="","",IFERROR(INDEX(부서매핑!$C$5:$C$504,MATCH($G3039&amp;"",부서매핑!$A$5:$A$504,0)),"미매핑"))</f>
        <v/>
      </c>
      <c r="O3039" s="9">
        <f>IF($A3039="","",N3039&amp;"|"&amp;$F3039)</f>
        <v/>
      </c>
      <c r="P3039" s="94">
        <f>IF($A3039="",0,$H3039*설정!$C$23)</f>
        <v/>
      </c>
      <c r="Q3039" s="64">
        <f>IF($A3039="","",IF(O3039&lt;&gt;원인분석!$C$9,"",IF(AND(M3039&gt;=원인분석!$C$10,M3039&lt;=원인분석!$C$11),"당기",IF(AND(M3039&gt;=원인분석!$C$12,M3039&lt;=원인분석!$C$13),"비교",""))))</f>
        <v/>
      </c>
      <c r="R3039" s="9">
        <f>IF(Q3039="","",$K3039&amp;"")</f>
        <v/>
      </c>
      <c r="S3039" s="9">
        <f>IF(Q3039="","",IF(MATCH(R3039,$R$5:$R$100000,0)=ROW()-4,ROW(),""))</f>
        <v/>
      </c>
      <c r="T3039" s="9">
        <f>IF(Q3039="당기",ABS(P3039)+ROW()/1000000000,"")</f>
        <v/>
      </c>
      <c r="U3039" s="9">
        <f>IF(Q3039="비교",ABS(P3039)+ROW()/1000000000,"")</f>
        <v/>
      </c>
      <c r="V3039" s="64">
        <f>IF($A3039="","",IF(COUNTIF(변동분석!$E$7:$E$506,O3039)&gt;0,"Y","N"))</f>
        <v/>
      </c>
      <c r="W3039" s="64">
        <f>IF($A3039="","",IFERROR(INDEX(계정매핑!$D$5:$D$504,MATCH($F3039&amp;"",계정매핑!$A$5:$A$504,0)),"미매핑"))</f>
        <v/>
      </c>
      <c r="X3039" s="9">
        <f>IF($A3039="","",$F3039&amp;"")</f>
        <v/>
      </c>
      <c r="Y3039" s="94">
        <f>IF($A3039="",0,IF(AE3039="직접",IF(AF3039="비귀속",$P3039,0),$P3039*(1-AG3039)*IFERROR(INDEX(계정대체기준!$F$20:$F$49,MATCH($N3039,계정대체기준!$A$20:$A$49,0)),1)))</f>
        <v/>
      </c>
      <c r="Z3039" s="94">
        <f>IF($A3039="",0,IF(AE3039="직접",IF(AF3039="신계약비",$P3039,0),$P3039*(1-AG3039)*IFERROR(INDEX(계정대체기준!$C$20:$C$49,MATCH($N3039,계정대체기준!$A$20:$A$49,0)),0)))</f>
        <v/>
      </c>
      <c r="AA3039" s="94">
        <f>IF($A3039="",0,IF(AE3039="직접",IF(OR(AF3039="유지비",AF3039="손해조사비"),$P3039,0),$P3039*(1-AG3039)*IFERROR(INDEX(계정대체기준!$D$20:$D$49,MATCH($N3039,계정대체기준!$A$20:$A$49,0)),0)))</f>
        <v/>
      </c>
      <c r="AB3039" s="94">
        <f>IF($A3039="",0,IF(AE3039="직접",IF(AF3039="수금비",$P3039,0),$P3039*(1-AG3039)*IFERROR(INDEX(계정대체기준!$E$20:$E$49,MATCH($N3039,계정대체기준!$A$20:$A$49,0)),0)))</f>
        <v/>
      </c>
      <c r="AC3039" s="9">
        <f>IF(AND($A3039&lt;&gt;"",M3039=설정!$C$20,Z3039&gt;0),Z3039+ROW()/1000000000,"")</f>
        <v/>
      </c>
      <c r="AD3039" s="94">
        <f>IF($A3039="",0,$P3039*AG3039)</f>
        <v/>
      </c>
      <c r="AE3039" s="64">
        <f>IF($A3039="","",IFERROR(INDEX(계정매핑!$E$5:$E$504,MATCH($F3039&amp;"",계정매핑!$A$5:$A$504,0))&amp;"","공통비"))</f>
        <v/>
      </c>
      <c r="AF3039" s="64">
        <f>IF($A3039="","",IF(AE3039="직접",IFERROR(INDEX(계정매핑!$F$5:$F$504,MATCH($F3039&amp;"",계정매핑!$A$5:$A$504,0))&amp;"","비귀속"),""))</f>
        <v/>
      </c>
      <c r="AG3039" s="96">
        <f>IF($A3039="",0,IF(AND(AE3039&lt;&gt;"직접",IFERROR(INDEX(계정매핑!$G$5:$G$504,MATCH($F3039&amp;"",계정매핑!$A$5:$A$504,0))&amp;"","")="유지비",COUNTIF(계정대체기준!$A$6:$A$15,$N3039)&gt;0),IFERROR(INDEX(계정대체기준!$E$6:$E$15,MATCH(VALUE($A3039&amp;""),계정대체기준!$D$6:$D$15,0)),0),0))</f>
        <v/>
      </c>
      <c r="AH3039" s="64">
        <f>IF($A3039="","",IF(AD3039=0,"",IF(OR(COUNTIF(계정대체기준!$A$77:$A$86,$N3039)&gt;0,ISNUMBER(MATCH($X3039,계정대체기준!$D$77:$D$86,0)),ISNUMBER(MATCH($F3039,계정대체기준!$D$77:$D$86,0))),"Y","N")))</f>
        <v/>
      </c>
    </row>
    <row r="3040">
      <c r="A3040" s="92" t="n">
        <v>2026</v>
      </c>
      <c r="B3040" s="92" t="n">
        <v>2</v>
      </c>
      <c r="C3040" s="92" t="inlineStr">
        <is>
          <t>5100000318</t>
        </is>
      </c>
      <c r="D3040" s="95" t="n">
        <v>46064</v>
      </c>
      <c r="E3040" s="92" t="inlineStr">
        <is>
          <t>KR</t>
        </is>
      </c>
      <c r="F3040" s="92" t="n">
        <v>62902000</v>
      </c>
      <c r="G3040" s="92" t="n">
        <v>1801</v>
      </c>
      <c r="H3040" s="93" t="n">
        <v>3000000</v>
      </c>
      <c r="I3040" s="92" t="inlineStr">
        <is>
          <t>2월 업무 위탁 수수료 - X서비스</t>
        </is>
      </c>
      <c r="J3040" s="92" t="inlineStr">
        <is>
          <t>V10020</t>
        </is>
      </c>
      <c r="K3040" s="92" t="inlineStr">
        <is>
          <t>X서비스</t>
        </is>
      </c>
      <c r="M3040" s="9">
        <f>IF($A3040="","",VALUE($A3040&amp;"")*12+VALUE($B3040&amp;""))</f>
        <v/>
      </c>
      <c r="N3040" s="64">
        <f>IF($A3040="","",IFERROR(INDEX(부서매핑!$C$5:$C$504,MATCH($G3040&amp;"",부서매핑!$A$5:$A$504,0)),"미매핑"))</f>
        <v/>
      </c>
      <c r="O3040" s="9">
        <f>IF($A3040="","",N3040&amp;"|"&amp;$F3040)</f>
        <v/>
      </c>
      <c r="P3040" s="94">
        <f>IF($A3040="",0,$H3040*설정!$C$23)</f>
        <v/>
      </c>
      <c r="Q3040" s="64">
        <f>IF($A3040="","",IF(O3040&lt;&gt;원인분석!$C$9,"",IF(AND(M3040&gt;=원인분석!$C$10,M3040&lt;=원인분석!$C$11),"당기",IF(AND(M3040&gt;=원인분석!$C$12,M3040&lt;=원인분석!$C$13),"비교",""))))</f>
        <v/>
      </c>
      <c r="R3040" s="9">
        <f>IF(Q3040="","",$K3040&amp;"")</f>
        <v/>
      </c>
      <c r="S3040" s="9">
        <f>IF(Q3040="","",IF(MATCH(R3040,$R$5:$R$100000,0)=ROW()-4,ROW(),""))</f>
        <v/>
      </c>
      <c r="T3040" s="9">
        <f>IF(Q3040="당기",ABS(P3040)+ROW()/1000000000,"")</f>
        <v/>
      </c>
      <c r="U3040" s="9">
        <f>IF(Q3040="비교",ABS(P3040)+ROW()/1000000000,"")</f>
        <v/>
      </c>
      <c r="V3040" s="64">
        <f>IF($A3040="","",IF(COUNTIF(변동분석!$E$7:$E$506,O3040)&gt;0,"Y","N"))</f>
        <v/>
      </c>
      <c r="W3040" s="64">
        <f>IF($A3040="","",IFERROR(INDEX(계정매핑!$D$5:$D$504,MATCH($F3040&amp;"",계정매핑!$A$5:$A$504,0)),"미매핑"))</f>
        <v/>
      </c>
      <c r="X3040" s="9">
        <f>IF($A3040="","",$F3040&amp;"")</f>
        <v/>
      </c>
      <c r="Y3040" s="94">
        <f>IF($A3040="",0,IF(AE3040="직접",IF(AF3040="비귀속",$P3040,0),$P3040*(1-AG3040)*IFERROR(INDEX(계정대체기준!$F$20:$F$49,MATCH($N3040,계정대체기준!$A$20:$A$49,0)),1)))</f>
        <v/>
      </c>
      <c r="Z3040" s="94">
        <f>IF($A3040="",0,IF(AE3040="직접",IF(AF3040="신계약비",$P3040,0),$P3040*(1-AG3040)*IFERROR(INDEX(계정대체기준!$C$20:$C$49,MATCH($N3040,계정대체기준!$A$20:$A$49,0)),0)))</f>
        <v/>
      </c>
      <c r="AA3040" s="94">
        <f>IF($A3040="",0,IF(AE3040="직접",IF(OR(AF3040="유지비",AF3040="손해조사비"),$P3040,0),$P3040*(1-AG3040)*IFERROR(INDEX(계정대체기준!$D$20:$D$49,MATCH($N3040,계정대체기준!$A$20:$A$49,0)),0)))</f>
        <v/>
      </c>
      <c r="AB3040" s="94">
        <f>IF($A3040="",0,IF(AE3040="직접",IF(AF3040="수금비",$P3040,0),$P3040*(1-AG3040)*IFERROR(INDEX(계정대체기준!$E$20:$E$49,MATCH($N3040,계정대체기준!$A$20:$A$49,0)),0)))</f>
        <v/>
      </c>
      <c r="AC3040" s="9">
        <f>IF(AND($A3040&lt;&gt;"",M3040=설정!$C$20,Z3040&gt;0),Z3040+ROW()/1000000000,"")</f>
        <v/>
      </c>
      <c r="AD3040" s="94">
        <f>IF($A3040="",0,$P3040*AG3040)</f>
        <v/>
      </c>
      <c r="AE3040" s="64">
        <f>IF($A3040="","",IFERROR(INDEX(계정매핑!$E$5:$E$504,MATCH($F3040&amp;"",계정매핑!$A$5:$A$504,0))&amp;"","공통비"))</f>
        <v/>
      </c>
      <c r="AF3040" s="64">
        <f>IF($A3040="","",IF(AE3040="직접",IFERROR(INDEX(계정매핑!$F$5:$F$504,MATCH($F3040&amp;"",계정매핑!$A$5:$A$504,0))&amp;"","비귀속"),""))</f>
        <v/>
      </c>
      <c r="AG3040" s="96">
        <f>IF($A3040="",0,IF(AND(AE3040&lt;&gt;"직접",IFERROR(INDEX(계정매핑!$G$5:$G$504,MATCH($F3040&amp;"",계정매핑!$A$5:$A$504,0))&amp;"","")="유지비",COUNTIF(계정대체기준!$A$6:$A$15,$N3040)&gt;0),IFERROR(INDEX(계정대체기준!$E$6:$E$15,MATCH(VALUE($A3040&amp;""),계정대체기준!$D$6:$D$15,0)),0),0))</f>
        <v/>
      </c>
      <c r="AH3040" s="64">
        <f>IF($A3040="","",IF(AD3040=0,"",IF(OR(COUNTIF(계정대체기준!$A$77:$A$86,$N3040)&gt;0,ISNUMBER(MATCH($X3040,계정대체기준!$D$77:$D$86,0)),ISNUMBER(MATCH($F3040,계정대체기준!$D$77:$D$86,0))),"Y","N")))</f>
        <v/>
      </c>
    </row>
    <row r="3041">
      <c r="A3041" s="92" t="n">
        <v>2026</v>
      </c>
      <c r="B3041" s="92" t="n">
        <v>2</v>
      </c>
      <c r="C3041" s="92" t="inlineStr">
        <is>
          <t>5100000319</t>
        </is>
      </c>
      <c r="D3041" s="95" t="n">
        <v>46065</v>
      </c>
      <c r="E3041" s="92" t="inlineStr">
        <is>
          <t>KR</t>
        </is>
      </c>
      <c r="F3041" s="92" t="n">
        <v>62101000</v>
      </c>
      <c r="G3041" s="92" t="n">
        <v>1602</v>
      </c>
      <c r="H3041" s="93" t="n">
        <v>1487000</v>
      </c>
      <c r="I3041" s="92" t="inlineStr">
        <is>
          <t>2월 국내출장 - (법인카드)</t>
        </is>
      </c>
      <c r="J3041" s="92" t="inlineStr">
        <is>
          <t>V10010</t>
        </is>
      </c>
      <c r="K3041" s="92" t="inlineStr">
        <is>
          <t>(법인카드)</t>
        </is>
      </c>
      <c r="M3041" s="9">
        <f>IF($A3041="","",VALUE($A3041&amp;"")*12+VALUE($B3041&amp;""))</f>
        <v/>
      </c>
      <c r="N3041" s="64">
        <f>IF($A3041="","",IFERROR(INDEX(부서매핑!$C$5:$C$504,MATCH($G3041&amp;"",부서매핑!$A$5:$A$504,0)),"미매핑"))</f>
        <v/>
      </c>
      <c r="O3041" s="9">
        <f>IF($A3041="","",N3041&amp;"|"&amp;$F3041)</f>
        <v/>
      </c>
      <c r="P3041" s="94">
        <f>IF($A3041="",0,$H3041*설정!$C$23)</f>
        <v/>
      </c>
      <c r="Q3041" s="64">
        <f>IF($A3041="","",IF(O3041&lt;&gt;원인분석!$C$9,"",IF(AND(M3041&gt;=원인분석!$C$10,M3041&lt;=원인분석!$C$11),"당기",IF(AND(M3041&gt;=원인분석!$C$12,M3041&lt;=원인분석!$C$13),"비교",""))))</f>
        <v/>
      </c>
      <c r="R3041" s="9">
        <f>IF(Q3041="","",$K3041&amp;"")</f>
        <v/>
      </c>
      <c r="S3041" s="9">
        <f>IF(Q3041="","",IF(MATCH(R3041,$R$5:$R$100000,0)=ROW()-4,ROW(),""))</f>
        <v/>
      </c>
      <c r="T3041" s="9">
        <f>IF(Q3041="당기",ABS(P3041)+ROW()/1000000000,"")</f>
        <v/>
      </c>
      <c r="U3041" s="9">
        <f>IF(Q3041="비교",ABS(P3041)+ROW()/1000000000,"")</f>
        <v/>
      </c>
      <c r="V3041" s="64">
        <f>IF($A3041="","",IF(COUNTIF(변동분석!$E$7:$E$506,O3041)&gt;0,"Y","N"))</f>
        <v/>
      </c>
      <c r="W3041" s="64">
        <f>IF($A3041="","",IFERROR(INDEX(계정매핑!$D$5:$D$504,MATCH($F3041&amp;"",계정매핑!$A$5:$A$504,0)),"미매핑"))</f>
        <v/>
      </c>
      <c r="X3041" s="9">
        <f>IF($A3041="","",$F3041&amp;"")</f>
        <v/>
      </c>
      <c r="Y3041" s="94">
        <f>IF($A3041="",0,IF(AE3041="직접",IF(AF3041="비귀속",$P3041,0),$P3041*(1-AG3041)*IFERROR(INDEX(계정대체기준!$F$20:$F$49,MATCH($N3041,계정대체기준!$A$20:$A$49,0)),1)))</f>
        <v/>
      </c>
      <c r="Z3041" s="94">
        <f>IF($A3041="",0,IF(AE3041="직접",IF(AF3041="신계약비",$P3041,0),$P3041*(1-AG3041)*IFERROR(INDEX(계정대체기준!$C$20:$C$49,MATCH($N3041,계정대체기준!$A$20:$A$49,0)),0)))</f>
        <v/>
      </c>
      <c r="AA3041" s="94">
        <f>IF($A3041="",0,IF(AE3041="직접",IF(OR(AF3041="유지비",AF3041="손해조사비"),$P3041,0),$P3041*(1-AG3041)*IFERROR(INDEX(계정대체기준!$D$20:$D$49,MATCH($N3041,계정대체기준!$A$20:$A$49,0)),0)))</f>
        <v/>
      </c>
      <c r="AB3041" s="94">
        <f>IF($A3041="",0,IF(AE3041="직접",IF(AF3041="수금비",$P3041,0),$P3041*(1-AG3041)*IFERROR(INDEX(계정대체기준!$E$20:$E$49,MATCH($N3041,계정대체기준!$A$20:$A$49,0)),0)))</f>
        <v/>
      </c>
      <c r="AC3041" s="9">
        <f>IF(AND($A3041&lt;&gt;"",M3041=설정!$C$20,Z3041&gt;0),Z3041+ROW()/1000000000,"")</f>
        <v/>
      </c>
      <c r="AD3041" s="94">
        <f>IF($A3041="",0,$P3041*AG3041)</f>
        <v/>
      </c>
      <c r="AE3041" s="64">
        <f>IF($A3041="","",IFERROR(INDEX(계정매핑!$E$5:$E$504,MATCH($F3041&amp;"",계정매핑!$A$5:$A$504,0))&amp;"","공통비"))</f>
        <v/>
      </c>
      <c r="AF3041" s="64">
        <f>IF($A3041="","",IF(AE3041="직접",IFERROR(INDEX(계정매핑!$F$5:$F$504,MATCH($F3041&amp;"",계정매핑!$A$5:$A$504,0))&amp;"","비귀속"),""))</f>
        <v/>
      </c>
      <c r="AG3041" s="96">
        <f>IF($A3041="",0,IF(AND(AE3041&lt;&gt;"직접",IFERROR(INDEX(계정매핑!$G$5:$G$504,MATCH($F3041&amp;"",계정매핑!$A$5:$A$504,0))&amp;"","")="유지비",COUNTIF(계정대체기준!$A$6:$A$15,$N3041)&gt;0),IFERROR(INDEX(계정대체기준!$E$6:$E$15,MATCH(VALUE($A3041&amp;""),계정대체기준!$D$6:$D$15,0)),0),0))</f>
        <v/>
      </c>
      <c r="AH3041" s="64">
        <f>IF($A3041="","",IF(AD3041=0,"",IF(OR(COUNTIF(계정대체기준!$A$77:$A$86,$N3041)&gt;0,ISNUMBER(MATCH($X3041,계정대체기준!$D$77:$D$86,0)),ISNUMBER(MATCH($F3041,계정대체기준!$D$77:$D$86,0))),"Y","N")))</f>
        <v/>
      </c>
    </row>
    <row r="3042">
      <c r="A3042" s="92" t="n">
        <v>2026</v>
      </c>
      <c r="B3042" s="92" t="n">
        <v>2</v>
      </c>
      <c r="C3042" s="92" t="inlineStr">
        <is>
          <t>5100000320</t>
        </is>
      </c>
      <c r="D3042" s="95" t="n">
        <v>46065</v>
      </c>
      <c r="E3042" s="92" t="inlineStr">
        <is>
          <t>KR</t>
        </is>
      </c>
      <c r="F3042" s="92" t="n">
        <v>62101000</v>
      </c>
      <c r="G3042" s="92" t="n">
        <v>1701</v>
      </c>
      <c r="H3042" s="93" t="n">
        <v>222000</v>
      </c>
      <c r="I3042" s="92" t="inlineStr">
        <is>
          <t>2월 국내출장 - (법인카드)</t>
        </is>
      </c>
      <c r="J3042" s="92" t="inlineStr">
        <is>
          <t>V10010</t>
        </is>
      </c>
      <c r="K3042" s="92" t="inlineStr">
        <is>
          <t>(법인카드)</t>
        </is>
      </c>
      <c r="M3042" s="9">
        <f>IF($A3042="","",VALUE($A3042&amp;"")*12+VALUE($B3042&amp;""))</f>
        <v/>
      </c>
      <c r="N3042" s="64">
        <f>IF($A3042="","",IFERROR(INDEX(부서매핑!$C$5:$C$504,MATCH($G3042&amp;"",부서매핑!$A$5:$A$504,0)),"미매핑"))</f>
        <v/>
      </c>
      <c r="O3042" s="9">
        <f>IF($A3042="","",N3042&amp;"|"&amp;$F3042)</f>
        <v/>
      </c>
      <c r="P3042" s="94">
        <f>IF($A3042="",0,$H3042*설정!$C$23)</f>
        <v/>
      </c>
      <c r="Q3042" s="64">
        <f>IF($A3042="","",IF(O3042&lt;&gt;원인분석!$C$9,"",IF(AND(M3042&gt;=원인분석!$C$10,M3042&lt;=원인분석!$C$11),"당기",IF(AND(M3042&gt;=원인분석!$C$12,M3042&lt;=원인분석!$C$13),"비교",""))))</f>
        <v/>
      </c>
      <c r="R3042" s="9">
        <f>IF(Q3042="","",$K3042&amp;"")</f>
        <v/>
      </c>
      <c r="S3042" s="9">
        <f>IF(Q3042="","",IF(MATCH(R3042,$R$5:$R$100000,0)=ROW()-4,ROW(),""))</f>
        <v/>
      </c>
      <c r="T3042" s="9">
        <f>IF(Q3042="당기",ABS(P3042)+ROW()/1000000000,"")</f>
        <v/>
      </c>
      <c r="U3042" s="9">
        <f>IF(Q3042="비교",ABS(P3042)+ROW()/1000000000,"")</f>
        <v/>
      </c>
      <c r="V3042" s="64">
        <f>IF($A3042="","",IF(COUNTIF(변동분석!$E$7:$E$506,O3042)&gt;0,"Y","N"))</f>
        <v/>
      </c>
      <c r="W3042" s="64">
        <f>IF($A3042="","",IFERROR(INDEX(계정매핑!$D$5:$D$504,MATCH($F3042&amp;"",계정매핑!$A$5:$A$504,0)),"미매핑"))</f>
        <v/>
      </c>
      <c r="X3042" s="9">
        <f>IF($A3042="","",$F3042&amp;"")</f>
        <v/>
      </c>
      <c r="Y3042" s="94">
        <f>IF($A3042="",0,IF(AE3042="직접",IF(AF3042="비귀속",$P3042,0),$P3042*(1-AG3042)*IFERROR(INDEX(계정대체기준!$F$20:$F$49,MATCH($N3042,계정대체기준!$A$20:$A$49,0)),1)))</f>
        <v/>
      </c>
      <c r="Z3042" s="94">
        <f>IF($A3042="",0,IF(AE3042="직접",IF(AF3042="신계약비",$P3042,0),$P3042*(1-AG3042)*IFERROR(INDEX(계정대체기준!$C$20:$C$49,MATCH($N3042,계정대체기준!$A$20:$A$49,0)),0)))</f>
        <v/>
      </c>
      <c r="AA3042" s="94">
        <f>IF($A3042="",0,IF(AE3042="직접",IF(OR(AF3042="유지비",AF3042="손해조사비"),$P3042,0),$P3042*(1-AG3042)*IFERROR(INDEX(계정대체기준!$D$20:$D$49,MATCH($N3042,계정대체기준!$A$20:$A$49,0)),0)))</f>
        <v/>
      </c>
      <c r="AB3042" s="94">
        <f>IF($A3042="",0,IF(AE3042="직접",IF(AF3042="수금비",$P3042,0),$P3042*(1-AG3042)*IFERROR(INDEX(계정대체기준!$E$20:$E$49,MATCH($N3042,계정대체기준!$A$20:$A$49,0)),0)))</f>
        <v/>
      </c>
      <c r="AC3042" s="9">
        <f>IF(AND($A3042&lt;&gt;"",M3042=설정!$C$20,Z3042&gt;0),Z3042+ROW()/1000000000,"")</f>
        <v/>
      </c>
      <c r="AD3042" s="94">
        <f>IF($A3042="",0,$P3042*AG3042)</f>
        <v/>
      </c>
      <c r="AE3042" s="64">
        <f>IF($A3042="","",IFERROR(INDEX(계정매핑!$E$5:$E$504,MATCH($F3042&amp;"",계정매핑!$A$5:$A$504,0))&amp;"","공통비"))</f>
        <v/>
      </c>
      <c r="AF3042" s="64">
        <f>IF($A3042="","",IF(AE3042="직접",IFERROR(INDEX(계정매핑!$F$5:$F$504,MATCH($F3042&amp;"",계정매핑!$A$5:$A$504,0))&amp;"","비귀속"),""))</f>
        <v/>
      </c>
      <c r="AG3042" s="96">
        <f>IF($A3042="",0,IF(AND(AE3042&lt;&gt;"직접",IFERROR(INDEX(계정매핑!$G$5:$G$504,MATCH($F3042&amp;"",계정매핑!$A$5:$A$504,0))&amp;"","")="유지비",COUNTIF(계정대체기준!$A$6:$A$15,$N3042)&gt;0),IFERROR(INDEX(계정대체기준!$E$6:$E$15,MATCH(VALUE($A3042&amp;""),계정대체기준!$D$6:$D$15,0)),0),0))</f>
        <v/>
      </c>
      <c r="AH3042" s="64">
        <f>IF($A3042="","",IF(AD3042=0,"",IF(OR(COUNTIF(계정대체기준!$A$77:$A$86,$N3042)&gt;0,ISNUMBER(MATCH($X3042,계정대체기준!$D$77:$D$86,0)),ISNUMBER(MATCH($F3042,계정대체기준!$D$77:$D$86,0))),"Y","N")))</f>
        <v/>
      </c>
    </row>
    <row r="3043">
      <c r="A3043" s="92" t="n">
        <v>2026</v>
      </c>
      <c r="B3043" s="92" t="n">
        <v>2</v>
      </c>
      <c r="C3043" s="92" t="inlineStr">
        <is>
          <t>5100000321</t>
        </is>
      </c>
      <c r="D3043" s="95" t="n">
        <v>46065</v>
      </c>
      <c r="E3043" s="92" t="inlineStr">
        <is>
          <t>KR</t>
        </is>
      </c>
      <c r="F3043" s="92" t="n">
        <v>62201000</v>
      </c>
      <c r="G3043" s="92" t="n">
        <v>1301</v>
      </c>
      <c r="H3043" s="93" t="n">
        <v>254000</v>
      </c>
      <c r="I3043" s="92" t="inlineStr">
        <is>
          <t>2월 통신요금 - P통신</t>
        </is>
      </c>
      <c r="J3043" s="92" t="inlineStr">
        <is>
          <t>V10014</t>
        </is>
      </c>
      <c r="K3043" s="92" t="inlineStr">
        <is>
          <t>P통신</t>
        </is>
      </c>
      <c r="M3043" s="9">
        <f>IF($A3043="","",VALUE($A3043&amp;"")*12+VALUE($B3043&amp;""))</f>
        <v/>
      </c>
      <c r="N3043" s="64">
        <f>IF($A3043="","",IFERROR(INDEX(부서매핑!$C$5:$C$504,MATCH($G3043&amp;"",부서매핑!$A$5:$A$504,0)),"미매핑"))</f>
        <v/>
      </c>
      <c r="O3043" s="9">
        <f>IF($A3043="","",N3043&amp;"|"&amp;$F3043)</f>
        <v/>
      </c>
      <c r="P3043" s="94">
        <f>IF($A3043="",0,$H3043*설정!$C$23)</f>
        <v/>
      </c>
      <c r="Q3043" s="64">
        <f>IF($A3043="","",IF(O3043&lt;&gt;원인분석!$C$9,"",IF(AND(M3043&gt;=원인분석!$C$10,M3043&lt;=원인분석!$C$11),"당기",IF(AND(M3043&gt;=원인분석!$C$12,M3043&lt;=원인분석!$C$13),"비교",""))))</f>
        <v/>
      </c>
      <c r="R3043" s="9">
        <f>IF(Q3043="","",$K3043&amp;"")</f>
        <v/>
      </c>
      <c r="S3043" s="9">
        <f>IF(Q3043="","",IF(MATCH(R3043,$R$5:$R$100000,0)=ROW()-4,ROW(),""))</f>
        <v/>
      </c>
      <c r="T3043" s="9">
        <f>IF(Q3043="당기",ABS(P3043)+ROW()/1000000000,"")</f>
        <v/>
      </c>
      <c r="U3043" s="9">
        <f>IF(Q3043="비교",ABS(P3043)+ROW()/1000000000,"")</f>
        <v/>
      </c>
      <c r="V3043" s="64">
        <f>IF($A3043="","",IF(COUNTIF(변동분석!$E$7:$E$506,O3043)&gt;0,"Y","N"))</f>
        <v/>
      </c>
      <c r="W3043" s="64">
        <f>IF($A3043="","",IFERROR(INDEX(계정매핑!$D$5:$D$504,MATCH($F3043&amp;"",계정매핑!$A$5:$A$504,0)),"미매핑"))</f>
        <v/>
      </c>
      <c r="X3043" s="9">
        <f>IF($A3043="","",$F3043&amp;"")</f>
        <v/>
      </c>
      <c r="Y3043" s="94">
        <f>IF($A3043="",0,IF(AE3043="직접",IF(AF3043="비귀속",$P3043,0),$P3043*(1-AG3043)*IFERROR(INDEX(계정대체기준!$F$20:$F$49,MATCH($N3043,계정대체기준!$A$20:$A$49,0)),1)))</f>
        <v/>
      </c>
      <c r="Z3043" s="94">
        <f>IF($A3043="",0,IF(AE3043="직접",IF(AF3043="신계약비",$P3043,0),$P3043*(1-AG3043)*IFERROR(INDEX(계정대체기준!$C$20:$C$49,MATCH($N3043,계정대체기준!$A$20:$A$49,0)),0)))</f>
        <v/>
      </c>
      <c r="AA3043" s="94">
        <f>IF($A3043="",0,IF(AE3043="직접",IF(OR(AF3043="유지비",AF3043="손해조사비"),$P3043,0),$P3043*(1-AG3043)*IFERROR(INDEX(계정대체기준!$D$20:$D$49,MATCH($N3043,계정대체기준!$A$20:$A$49,0)),0)))</f>
        <v/>
      </c>
      <c r="AB3043" s="94">
        <f>IF($A3043="",0,IF(AE3043="직접",IF(AF3043="수금비",$P3043,0),$P3043*(1-AG3043)*IFERROR(INDEX(계정대체기준!$E$20:$E$49,MATCH($N3043,계정대체기준!$A$20:$A$49,0)),0)))</f>
        <v/>
      </c>
      <c r="AC3043" s="9">
        <f>IF(AND($A3043&lt;&gt;"",M3043=설정!$C$20,Z3043&gt;0),Z3043+ROW()/1000000000,"")</f>
        <v/>
      </c>
      <c r="AD3043" s="94">
        <f>IF($A3043="",0,$P3043*AG3043)</f>
        <v/>
      </c>
      <c r="AE3043" s="64">
        <f>IF($A3043="","",IFERROR(INDEX(계정매핑!$E$5:$E$504,MATCH($F3043&amp;"",계정매핑!$A$5:$A$504,0))&amp;"","공통비"))</f>
        <v/>
      </c>
      <c r="AF3043" s="64">
        <f>IF($A3043="","",IF(AE3043="직접",IFERROR(INDEX(계정매핑!$F$5:$F$504,MATCH($F3043&amp;"",계정매핑!$A$5:$A$504,0))&amp;"","비귀속"),""))</f>
        <v/>
      </c>
      <c r="AG3043" s="96">
        <f>IF($A3043="",0,IF(AND(AE3043&lt;&gt;"직접",IFERROR(INDEX(계정매핑!$G$5:$G$504,MATCH($F3043&amp;"",계정매핑!$A$5:$A$504,0))&amp;"","")="유지비",COUNTIF(계정대체기준!$A$6:$A$15,$N3043)&gt;0),IFERROR(INDEX(계정대체기준!$E$6:$E$15,MATCH(VALUE($A3043&amp;""),계정대체기준!$D$6:$D$15,0)),0),0))</f>
        <v/>
      </c>
      <c r="AH3043" s="64">
        <f>IF($A3043="","",IF(AD3043=0,"",IF(OR(COUNTIF(계정대체기준!$A$77:$A$86,$N3043)&gt;0,ISNUMBER(MATCH($X3043,계정대체기준!$D$77:$D$86,0)),ISNUMBER(MATCH($F3043,계정대체기준!$D$77:$D$86,0))),"Y","N")))</f>
        <v/>
      </c>
    </row>
    <row r="3044">
      <c r="A3044" s="92" t="n">
        <v>2026</v>
      </c>
      <c r="B3044" s="92" t="n">
        <v>2</v>
      </c>
      <c r="C3044" s="92" t="inlineStr">
        <is>
          <t>5100000322</t>
        </is>
      </c>
      <c r="D3044" s="95" t="n">
        <v>46065</v>
      </c>
      <c r="E3044" s="92" t="inlineStr">
        <is>
          <t>KR</t>
        </is>
      </c>
      <c r="F3044" s="92" t="n">
        <v>62201000</v>
      </c>
      <c r="G3044" s="92" t="n">
        <v>1701</v>
      </c>
      <c r="H3044" s="93" t="n">
        <v>6537000</v>
      </c>
      <c r="I3044" s="92" t="inlineStr">
        <is>
          <t>2월 통신요금 - O텔레콤</t>
        </is>
      </c>
      <c r="J3044" s="92" t="inlineStr">
        <is>
          <t>V10002</t>
        </is>
      </c>
      <c r="K3044" s="92" t="inlineStr">
        <is>
          <t>O텔레콤</t>
        </is>
      </c>
      <c r="M3044" s="9">
        <f>IF($A3044="","",VALUE($A3044&amp;"")*12+VALUE($B3044&amp;""))</f>
        <v/>
      </c>
      <c r="N3044" s="64">
        <f>IF($A3044="","",IFERROR(INDEX(부서매핑!$C$5:$C$504,MATCH($G3044&amp;"",부서매핑!$A$5:$A$504,0)),"미매핑"))</f>
        <v/>
      </c>
      <c r="O3044" s="9">
        <f>IF($A3044="","",N3044&amp;"|"&amp;$F3044)</f>
        <v/>
      </c>
      <c r="P3044" s="94">
        <f>IF($A3044="",0,$H3044*설정!$C$23)</f>
        <v/>
      </c>
      <c r="Q3044" s="64">
        <f>IF($A3044="","",IF(O3044&lt;&gt;원인분석!$C$9,"",IF(AND(M3044&gt;=원인분석!$C$10,M3044&lt;=원인분석!$C$11),"당기",IF(AND(M3044&gt;=원인분석!$C$12,M3044&lt;=원인분석!$C$13),"비교",""))))</f>
        <v/>
      </c>
      <c r="R3044" s="9">
        <f>IF(Q3044="","",$K3044&amp;"")</f>
        <v/>
      </c>
      <c r="S3044" s="9">
        <f>IF(Q3044="","",IF(MATCH(R3044,$R$5:$R$100000,0)=ROW()-4,ROW(),""))</f>
        <v/>
      </c>
      <c r="T3044" s="9">
        <f>IF(Q3044="당기",ABS(P3044)+ROW()/1000000000,"")</f>
        <v/>
      </c>
      <c r="U3044" s="9">
        <f>IF(Q3044="비교",ABS(P3044)+ROW()/1000000000,"")</f>
        <v/>
      </c>
      <c r="V3044" s="64">
        <f>IF($A3044="","",IF(COUNTIF(변동분석!$E$7:$E$506,O3044)&gt;0,"Y","N"))</f>
        <v/>
      </c>
      <c r="W3044" s="64">
        <f>IF($A3044="","",IFERROR(INDEX(계정매핑!$D$5:$D$504,MATCH($F3044&amp;"",계정매핑!$A$5:$A$504,0)),"미매핑"))</f>
        <v/>
      </c>
      <c r="X3044" s="9">
        <f>IF($A3044="","",$F3044&amp;"")</f>
        <v/>
      </c>
      <c r="Y3044" s="94">
        <f>IF($A3044="",0,IF(AE3044="직접",IF(AF3044="비귀속",$P3044,0),$P3044*(1-AG3044)*IFERROR(INDEX(계정대체기준!$F$20:$F$49,MATCH($N3044,계정대체기준!$A$20:$A$49,0)),1)))</f>
        <v/>
      </c>
      <c r="Z3044" s="94">
        <f>IF($A3044="",0,IF(AE3044="직접",IF(AF3044="신계약비",$P3044,0),$P3044*(1-AG3044)*IFERROR(INDEX(계정대체기준!$C$20:$C$49,MATCH($N3044,계정대체기준!$A$20:$A$49,0)),0)))</f>
        <v/>
      </c>
      <c r="AA3044" s="94">
        <f>IF($A3044="",0,IF(AE3044="직접",IF(OR(AF3044="유지비",AF3044="손해조사비"),$P3044,0),$P3044*(1-AG3044)*IFERROR(INDEX(계정대체기준!$D$20:$D$49,MATCH($N3044,계정대체기준!$A$20:$A$49,0)),0)))</f>
        <v/>
      </c>
      <c r="AB3044" s="94">
        <f>IF($A3044="",0,IF(AE3044="직접",IF(AF3044="수금비",$P3044,0),$P3044*(1-AG3044)*IFERROR(INDEX(계정대체기준!$E$20:$E$49,MATCH($N3044,계정대체기준!$A$20:$A$49,0)),0)))</f>
        <v/>
      </c>
      <c r="AC3044" s="9">
        <f>IF(AND($A3044&lt;&gt;"",M3044=설정!$C$20,Z3044&gt;0),Z3044+ROW()/1000000000,"")</f>
        <v/>
      </c>
      <c r="AD3044" s="94">
        <f>IF($A3044="",0,$P3044*AG3044)</f>
        <v/>
      </c>
      <c r="AE3044" s="64">
        <f>IF($A3044="","",IFERROR(INDEX(계정매핑!$E$5:$E$504,MATCH($F3044&amp;"",계정매핑!$A$5:$A$504,0))&amp;"","공통비"))</f>
        <v/>
      </c>
      <c r="AF3044" s="64">
        <f>IF($A3044="","",IF(AE3044="직접",IFERROR(INDEX(계정매핑!$F$5:$F$504,MATCH($F3044&amp;"",계정매핑!$A$5:$A$504,0))&amp;"","비귀속"),""))</f>
        <v/>
      </c>
      <c r="AG3044" s="96">
        <f>IF($A3044="",0,IF(AND(AE3044&lt;&gt;"직접",IFERROR(INDEX(계정매핑!$G$5:$G$504,MATCH($F3044&amp;"",계정매핑!$A$5:$A$504,0))&amp;"","")="유지비",COUNTIF(계정대체기준!$A$6:$A$15,$N3044)&gt;0),IFERROR(INDEX(계정대체기준!$E$6:$E$15,MATCH(VALUE($A3044&amp;""),계정대체기준!$D$6:$D$15,0)),0),0))</f>
        <v/>
      </c>
      <c r="AH3044" s="64">
        <f>IF($A3044="","",IF(AD3044=0,"",IF(OR(COUNTIF(계정대체기준!$A$77:$A$86,$N3044)&gt;0,ISNUMBER(MATCH($X3044,계정대체기준!$D$77:$D$86,0)),ISNUMBER(MATCH($F3044,계정대체기준!$D$77:$D$86,0))),"Y","N")))</f>
        <v/>
      </c>
    </row>
    <row r="3045">
      <c r="A3045" s="92" t="n">
        <v>2026</v>
      </c>
      <c r="B3045" s="92" t="n">
        <v>2</v>
      </c>
      <c r="C3045" s="92" t="inlineStr">
        <is>
          <t>5100000323</t>
        </is>
      </c>
      <c r="D3045" s="95" t="n">
        <v>46065</v>
      </c>
      <c r="E3045" s="92" t="inlineStr">
        <is>
          <t>KR</t>
        </is>
      </c>
      <c r="F3045" s="92" t="n">
        <v>62301000</v>
      </c>
      <c r="G3045" s="92" t="n">
        <v>1301</v>
      </c>
      <c r="H3045" s="93" t="n">
        <v>371000</v>
      </c>
      <c r="I3045" s="92" t="inlineStr">
        <is>
          <t>2월 소모품 구입 - Q오피스</t>
        </is>
      </c>
      <c r="J3045" s="92" t="inlineStr">
        <is>
          <t>V10003</t>
        </is>
      </c>
      <c r="K3045" s="92" t="inlineStr">
        <is>
          <t>Q오피스</t>
        </is>
      </c>
      <c r="M3045" s="9">
        <f>IF($A3045="","",VALUE($A3045&amp;"")*12+VALUE($B3045&amp;""))</f>
        <v/>
      </c>
      <c r="N3045" s="64">
        <f>IF($A3045="","",IFERROR(INDEX(부서매핑!$C$5:$C$504,MATCH($G3045&amp;"",부서매핑!$A$5:$A$504,0)),"미매핑"))</f>
        <v/>
      </c>
      <c r="O3045" s="9">
        <f>IF($A3045="","",N3045&amp;"|"&amp;$F3045)</f>
        <v/>
      </c>
      <c r="P3045" s="94">
        <f>IF($A3045="",0,$H3045*설정!$C$23)</f>
        <v/>
      </c>
      <c r="Q3045" s="64">
        <f>IF($A3045="","",IF(O3045&lt;&gt;원인분석!$C$9,"",IF(AND(M3045&gt;=원인분석!$C$10,M3045&lt;=원인분석!$C$11),"당기",IF(AND(M3045&gt;=원인분석!$C$12,M3045&lt;=원인분석!$C$13),"비교",""))))</f>
        <v/>
      </c>
      <c r="R3045" s="9">
        <f>IF(Q3045="","",$K3045&amp;"")</f>
        <v/>
      </c>
      <c r="S3045" s="9">
        <f>IF(Q3045="","",IF(MATCH(R3045,$R$5:$R$100000,0)=ROW()-4,ROW(),""))</f>
        <v/>
      </c>
      <c r="T3045" s="9">
        <f>IF(Q3045="당기",ABS(P3045)+ROW()/1000000000,"")</f>
        <v/>
      </c>
      <c r="U3045" s="9">
        <f>IF(Q3045="비교",ABS(P3045)+ROW()/1000000000,"")</f>
        <v/>
      </c>
      <c r="V3045" s="64">
        <f>IF($A3045="","",IF(COUNTIF(변동분석!$E$7:$E$506,O3045)&gt;0,"Y","N"))</f>
        <v/>
      </c>
      <c r="W3045" s="64">
        <f>IF($A3045="","",IFERROR(INDEX(계정매핑!$D$5:$D$504,MATCH($F3045&amp;"",계정매핑!$A$5:$A$504,0)),"미매핑"))</f>
        <v/>
      </c>
      <c r="X3045" s="9">
        <f>IF($A3045="","",$F3045&amp;"")</f>
        <v/>
      </c>
      <c r="Y3045" s="94">
        <f>IF($A3045="",0,IF(AE3045="직접",IF(AF3045="비귀속",$P3045,0),$P3045*(1-AG3045)*IFERROR(INDEX(계정대체기준!$F$20:$F$49,MATCH($N3045,계정대체기준!$A$20:$A$49,0)),1)))</f>
        <v/>
      </c>
      <c r="Z3045" s="94">
        <f>IF($A3045="",0,IF(AE3045="직접",IF(AF3045="신계약비",$P3045,0),$P3045*(1-AG3045)*IFERROR(INDEX(계정대체기준!$C$20:$C$49,MATCH($N3045,계정대체기준!$A$20:$A$49,0)),0)))</f>
        <v/>
      </c>
      <c r="AA3045" s="94">
        <f>IF($A3045="",0,IF(AE3045="직접",IF(OR(AF3045="유지비",AF3045="손해조사비"),$P3045,0),$P3045*(1-AG3045)*IFERROR(INDEX(계정대체기준!$D$20:$D$49,MATCH($N3045,계정대체기준!$A$20:$A$49,0)),0)))</f>
        <v/>
      </c>
      <c r="AB3045" s="94">
        <f>IF($A3045="",0,IF(AE3045="직접",IF(AF3045="수금비",$P3045,0),$P3045*(1-AG3045)*IFERROR(INDEX(계정대체기준!$E$20:$E$49,MATCH($N3045,계정대체기준!$A$20:$A$49,0)),0)))</f>
        <v/>
      </c>
      <c r="AC3045" s="9">
        <f>IF(AND($A3045&lt;&gt;"",M3045=설정!$C$20,Z3045&gt;0),Z3045+ROW()/1000000000,"")</f>
        <v/>
      </c>
      <c r="AD3045" s="94">
        <f>IF($A3045="",0,$P3045*AG3045)</f>
        <v/>
      </c>
      <c r="AE3045" s="64">
        <f>IF($A3045="","",IFERROR(INDEX(계정매핑!$E$5:$E$504,MATCH($F3045&amp;"",계정매핑!$A$5:$A$504,0))&amp;"","공통비"))</f>
        <v/>
      </c>
      <c r="AF3045" s="64">
        <f>IF($A3045="","",IF(AE3045="직접",IFERROR(INDEX(계정매핑!$F$5:$F$504,MATCH($F3045&amp;"",계정매핑!$A$5:$A$504,0))&amp;"","비귀속"),""))</f>
        <v/>
      </c>
      <c r="AG3045" s="96">
        <f>IF($A3045="",0,IF(AND(AE3045&lt;&gt;"직접",IFERROR(INDEX(계정매핑!$G$5:$G$504,MATCH($F3045&amp;"",계정매핑!$A$5:$A$504,0))&amp;"","")="유지비",COUNTIF(계정대체기준!$A$6:$A$15,$N3045)&gt;0),IFERROR(INDEX(계정대체기준!$E$6:$E$15,MATCH(VALUE($A3045&amp;""),계정대체기준!$D$6:$D$15,0)),0),0))</f>
        <v/>
      </c>
      <c r="AH3045" s="64">
        <f>IF($A3045="","",IF(AD3045=0,"",IF(OR(COUNTIF(계정대체기준!$A$77:$A$86,$N3045)&gt;0,ISNUMBER(MATCH($X3045,계정대체기준!$D$77:$D$86,0)),ISNUMBER(MATCH($F3045,계정대체기준!$D$77:$D$86,0))),"Y","N")))</f>
        <v/>
      </c>
    </row>
    <row r="3046">
      <c r="A3046" s="92" t="n">
        <v>2026</v>
      </c>
      <c r="B3046" s="92" t="n">
        <v>2</v>
      </c>
      <c r="C3046" s="92" t="inlineStr">
        <is>
          <t>5100000324</t>
        </is>
      </c>
      <c r="D3046" s="95" t="n">
        <v>46065</v>
      </c>
      <c r="E3046" s="92" t="inlineStr">
        <is>
          <t>KR</t>
        </is>
      </c>
      <c r="F3046" s="92" t="n">
        <v>62301000</v>
      </c>
      <c r="G3046" s="92" t="n">
        <v>1601</v>
      </c>
      <c r="H3046" s="93" t="n">
        <v>315000</v>
      </c>
      <c r="I3046" s="92" t="inlineStr">
        <is>
          <t>2월 소모품 구입 - Q오피스</t>
        </is>
      </c>
      <c r="J3046" s="92" t="inlineStr">
        <is>
          <t>V10003</t>
        </is>
      </c>
      <c r="K3046" s="92" t="inlineStr">
        <is>
          <t>Q오피스</t>
        </is>
      </c>
      <c r="M3046" s="9">
        <f>IF($A3046="","",VALUE($A3046&amp;"")*12+VALUE($B3046&amp;""))</f>
        <v/>
      </c>
      <c r="N3046" s="64">
        <f>IF($A3046="","",IFERROR(INDEX(부서매핑!$C$5:$C$504,MATCH($G3046&amp;"",부서매핑!$A$5:$A$504,0)),"미매핑"))</f>
        <v/>
      </c>
      <c r="O3046" s="9">
        <f>IF($A3046="","",N3046&amp;"|"&amp;$F3046)</f>
        <v/>
      </c>
      <c r="P3046" s="94">
        <f>IF($A3046="",0,$H3046*설정!$C$23)</f>
        <v/>
      </c>
      <c r="Q3046" s="64">
        <f>IF($A3046="","",IF(O3046&lt;&gt;원인분석!$C$9,"",IF(AND(M3046&gt;=원인분석!$C$10,M3046&lt;=원인분석!$C$11),"당기",IF(AND(M3046&gt;=원인분석!$C$12,M3046&lt;=원인분석!$C$13),"비교",""))))</f>
        <v/>
      </c>
      <c r="R3046" s="9">
        <f>IF(Q3046="","",$K3046&amp;"")</f>
        <v/>
      </c>
      <c r="S3046" s="9">
        <f>IF(Q3046="","",IF(MATCH(R3046,$R$5:$R$100000,0)=ROW()-4,ROW(),""))</f>
        <v/>
      </c>
      <c r="T3046" s="9">
        <f>IF(Q3046="당기",ABS(P3046)+ROW()/1000000000,"")</f>
        <v/>
      </c>
      <c r="U3046" s="9">
        <f>IF(Q3046="비교",ABS(P3046)+ROW()/1000000000,"")</f>
        <v/>
      </c>
      <c r="V3046" s="64">
        <f>IF($A3046="","",IF(COUNTIF(변동분석!$E$7:$E$506,O3046)&gt;0,"Y","N"))</f>
        <v/>
      </c>
      <c r="W3046" s="64">
        <f>IF($A3046="","",IFERROR(INDEX(계정매핑!$D$5:$D$504,MATCH($F3046&amp;"",계정매핑!$A$5:$A$504,0)),"미매핑"))</f>
        <v/>
      </c>
      <c r="X3046" s="9">
        <f>IF($A3046="","",$F3046&amp;"")</f>
        <v/>
      </c>
      <c r="Y3046" s="94">
        <f>IF($A3046="",0,IF(AE3046="직접",IF(AF3046="비귀속",$P3046,0),$P3046*(1-AG3046)*IFERROR(INDEX(계정대체기준!$F$20:$F$49,MATCH($N3046,계정대체기준!$A$20:$A$49,0)),1)))</f>
        <v/>
      </c>
      <c r="Z3046" s="94">
        <f>IF($A3046="",0,IF(AE3046="직접",IF(AF3046="신계약비",$P3046,0),$P3046*(1-AG3046)*IFERROR(INDEX(계정대체기준!$C$20:$C$49,MATCH($N3046,계정대체기준!$A$20:$A$49,0)),0)))</f>
        <v/>
      </c>
      <c r="AA3046" s="94">
        <f>IF($A3046="",0,IF(AE3046="직접",IF(OR(AF3046="유지비",AF3046="손해조사비"),$P3046,0),$P3046*(1-AG3046)*IFERROR(INDEX(계정대체기준!$D$20:$D$49,MATCH($N3046,계정대체기준!$A$20:$A$49,0)),0)))</f>
        <v/>
      </c>
      <c r="AB3046" s="94">
        <f>IF($A3046="",0,IF(AE3046="직접",IF(AF3046="수금비",$P3046,0),$P3046*(1-AG3046)*IFERROR(INDEX(계정대체기준!$E$20:$E$49,MATCH($N3046,계정대체기준!$A$20:$A$49,0)),0)))</f>
        <v/>
      </c>
      <c r="AC3046" s="9">
        <f>IF(AND($A3046&lt;&gt;"",M3046=설정!$C$20,Z3046&gt;0),Z3046+ROW()/1000000000,"")</f>
        <v/>
      </c>
      <c r="AD3046" s="94">
        <f>IF($A3046="",0,$P3046*AG3046)</f>
        <v/>
      </c>
      <c r="AE3046" s="64">
        <f>IF($A3046="","",IFERROR(INDEX(계정매핑!$E$5:$E$504,MATCH($F3046&amp;"",계정매핑!$A$5:$A$504,0))&amp;"","공통비"))</f>
        <v/>
      </c>
      <c r="AF3046" s="64">
        <f>IF($A3046="","",IF(AE3046="직접",IFERROR(INDEX(계정매핑!$F$5:$F$504,MATCH($F3046&amp;"",계정매핑!$A$5:$A$504,0))&amp;"","비귀속"),""))</f>
        <v/>
      </c>
      <c r="AG3046" s="96">
        <f>IF($A3046="",0,IF(AND(AE3046&lt;&gt;"직접",IFERROR(INDEX(계정매핑!$G$5:$G$504,MATCH($F3046&amp;"",계정매핑!$A$5:$A$504,0))&amp;"","")="유지비",COUNTIF(계정대체기준!$A$6:$A$15,$N3046)&gt;0),IFERROR(INDEX(계정대체기준!$E$6:$E$15,MATCH(VALUE($A3046&amp;""),계정대체기준!$D$6:$D$15,0)),0),0))</f>
        <v/>
      </c>
      <c r="AH3046" s="64">
        <f>IF($A3046="","",IF(AD3046=0,"",IF(OR(COUNTIF(계정대체기준!$A$77:$A$86,$N3046)&gt;0,ISNUMBER(MATCH($X3046,계정대체기준!$D$77:$D$86,0)),ISNUMBER(MATCH($F3046,계정대체기준!$D$77:$D$86,0))),"Y","N")))</f>
        <v/>
      </c>
    </row>
    <row r="3047">
      <c r="A3047" s="92" t="n">
        <v>2026</v>
      </c>
      <c r="B3047" s="92" t="n">
        <v>2</v>
      </c>
      <c r="C3047" s="92" t="inlineStr">
        <is>
          <t>5100000325</t>
        </is>
      </c>
      <c r="D3047" s="95" t="n">
        <v>46065</v>
      </c>
      <c r="E3047" s="92" t="inlineStr">
        <is>
          <t>KR</t>
        </is>
      </c>
      <c r="F3047" s="92" t="n">
        <v>63201000</v>
      </c>
      <c r="G3047" s="92" t="n">
        <v>1601</v>
      </c>
      <c r="H3047" s="93" t="n">
        <v>5726000</v>
      </c>
      <c r="I3047" s="92" t="inlineStr">
        <is>
          <t>2월 차량 유지 - D정비</t>
        </is>
      </c>
      <c r="J3047" s="92" t="inlineStr">
        <is>
          <t>V10025</t>
        </is>
      </c>
      <c r="K3047" s="92" t="inlineStr">
        <is>
          <t>D정비</t>
        </is>
      </c>
      <c r="M3047" s="9">
        <f>IF($A3047="","",VALUE($A3047&amp;"")*12+VALUE($B3047&amp;""))</f>
        <v/>
      </c>
      <c r="N3047" s="64">
        <f>IF($A3047="","",IFERROR(INDEX(부서매핑!$C$5:$C$504,MATCH($G3047&amp;"",부서매핑!$A$5:$A$504,0)),"미매핑"))</f>
        <v/>
      </c>
      <c r="O3047" s="9">
        <f>IF($A3047="","",N3047&amp;"|"&amp;$F3047)</f>
        <v/>
      </c>
      <c r="P3047" s="94">
        <f>IF($A3047="",0,$H3047*설정!$C$23)</f>
        <v/>
      </c>
      <c r="Q3047" s="64">
        <f>IF($A3047="","",IF(O3047&lt;&gt;원인분석!$C$9,"",IF(AND(M3047&gt;=원인분석!$C$10,M3047&lt;=원인분석!$C$11),"당기",IF(AND(M3047&gt;=원인분석!$C$12,M3047&lt;=원인분석!$C$13),"비교",""))))</f>
        <v/>
      </c>
      <c r="R3047" s="9">
        <f>IF(Q3047="","",$K3047&amp;"")</f>
        <v/>
      </c>
      <c r="S3047" s="9">
        <f>IF(Q3047="","",IF(MATCH(R3047,$R$5:$R$100000,0)=ROW()-4,ROW(),""))</f>
        <v/>
      </c>
      <c r="T3047" s="9">
        <f>IF(Q3047="당기",ABS(P3047)+ROW()/1000000000,"")</f>
        <v/>
      </c>
      <c r="U3047" s="9">
        <f>IF(Q3047="비교",ABS(P3047)+ROW()/1000000000,"")</f>
        <v/>
      </c>
      <c r="V3047" s="64">
        <f>IF($A3047="","",IF(COUNTIF(변동분석!$E$7:$E$506,O3047)&gt;0,"Y","N"))</f>
        <v/>
      </c>
      <c r="W3047" s="64">
        <f>IF($A3047="","",IFERROR(INDEX(계정매핑!$D$5:$D$504,MATCH($F3047&amp;"",계정매핑!$A$5:$A$504,0)),"미매핑"))</f>
        <v/>
      </c>
      <c r="X3047" s="9">
        <f>IF($A3047="","",$F3047&amp;"")</f>
        <v/>
      </c>
      <c r="Y3047" s="94">
        <f>IF($A3047="",0,IF(AE3047="직접",IF(AF3047="비귀속",$P3047,0),$P3047*(1-AG3047)*IFERROR(INDEX(계정대체기준!$F$20:$F$49,MATCH($N3047,계정대체기준!$A$20:$A$49,0)),1)))</f>
        <v/>
      </c>
      <c r="Z3047" s="94">
        <f>IF($A3047="",0,IF(AE3047="직접",IF(AF3047="신계약비",$P3047,0),$P3047*(1-AG3047)*IFERROR(INDEX(계정대체기준!$C$20:$C$49,MATCH($N3047,계정대체기준!$A$20:$A$49,0)),0)))</f>
        <v/>
      </c>
      <c r="AA3047" s="94">
        <f>IF($A3047="",0,IF(AE3047="직접",IF(OR(AF3047="유지비",AF3047="손해조사비"),$P3047,0),$P3047*(1-AG3047)*IFERROR(INDEX(계정대체기준!$D$20:$D$49,MATCH($N3047,계정대체기준!$A$20:$A$49,0)),0)))</f>
        <v/>
      </c>
      <c r="AB3047" s="94">
        <f>IF($A3047="",0,IF(AE3047="직접",IF(AF3047="수금비",$P3047,0),$P3047*(1-AG3047)*IFERROR(INDEX(계정대체기준!$E$20:$E$49,MATCH($N3047,계정대체기준!$A$20:$A$49,0)),0)))</f>
        <v/>
      </c>
      <c r="AC3047" s="9">
        <f>IF(AND($A3047&lt;&gt;"",M3047=설정!$C$20,Z3047&gt;0),Z3047+ROW()/1000000000,"")</f>
        <v/>
      </c>
      <c r="AD3047" s="94">
        <f>IF($A3047="",0,$P3047*AG3047)</f>
        <v/>
      </c>
      <c r="AE3047" s="64">
        <f>IF($A3047="","",IFERROR(INDEX(계정매핑!$E$5:$E$504,MATCH($F3047&amp;"",계정매핑!$A$5:$A$504,0))&amp;"","공통비"))</f>
        <v/>
      </c>
      <c r="AF3047" s="64">
        <f>IF($A3047="","",IF(AE3047="직접",IFERROR(INDEX(계정매핑!$F$5:$F$504,MATCH($F3047&amp;"",계정매핑!$A$5:$A$504,0))&amp;"","비귀속"),""))</f>
        <v/>
      </c>
      <c r="AG3047" s="96">
        <f>IF($A3047="",0,IF(AND(AE3047&lt;&gt;"직접",IFERROR(INDEX(계정매핑!$G$5:$G$504,MATCH($F3047&amp;"",계정매핑!$A$5:$A$504,0))&amp;"","")="유지비",COUNTIF(계정대체기준!$A$6:$A$15,$N3047)&gt;0),IFERROR(INDEX(계정대체기준!$E$6:$E$15,MATCH(VALUE($A3047&amp;""),계정대체기준!$D$6:$D$15,0)),0),0))</f>
        <v/>
      </c>
      <c r="AH3047" s="64">
        <f>IF($A3047="","",IF(AD3047=0,"",IF(OR(COUNTIF(계정대체기준!$A$77:$A$86,$N3047)&gt;0,ISNUMBER(MATCH($X3047,계정대체기준!$D$77:$D$86,0)),ISNUMBER(MATCH($F3047,계정대체기준!$D$77:$D$86,0))),"Y","N")))</f>
        <v/>
      </c>
    </row>
    <row r="3048">
      <c r="A3048" s="92" t="n">
        <v>2026</v>
      </c>
      <c r="B3048" s="92" t="n">
        <v>2</v>
      </c>
      <c r="C3048" s="92" t="inlineStr">
        <is>
          <t>5100000326</t>
        </is>
      </c>
      <c r="D3048" s="95" t="n">
        <v>46065</v>
      </c>
      <c r="E3048" s="92" t="inlineStr">
        <is>
          <t>KR</t>
        </is>
      </c>
      <c r="F3048" s="92" t="n">
        <v>63501000</v>
      </c>
      <c r="G3048" s="92" t="n">
        <v>1901</v>
      </c>
      <c r="H3048" s="93" t="n">
        <v>321142000</v>
      </c>
      <c r="I3048" s="92" t="inlineStr">
        <is>
          <t>2월 모집수수료 - (전속설계사)</t>
        </is>
      </c>
      <c r="J3048" s="92" t="inlineStr">
        <is>
          <t>V10021</t>
        </is>
      </c>
      <c r="K3048" s="92" t="inlineStr">
        <is>
          <t>(전속설계사)</t>
        </is>
      </c>
      <c r="M3048" s="9">
        <f>IF($A3048="","",VALUE($A3048&amp;"")*12+VALUE($B3048&amp;""))</f>
        <v/>
      </c>
      <c r="N3048" s="64">
        <f>IF($A3048="","",IFERROR(INDEX(부서매핑!$C$5:$C$504,MATCH($G3048&amp;"",부서매핑!$A$5:$A$504,0)),"미매핑"))</f>
        <v/>
      </c>
      <c r="O3048" s="9">
        <f>IF($A3048="","",N3048&amp;"|"&amp;$F3048)</f>
        <v/>
      </c>
      <c r="P3048" s="94">
        <f>IF($A3048="",0,$H3048*설정!$C$23)</f>
        <v/>
      </c>
      <c r="Q3048" s="64">
        <f>IF($A3048="","",IF(O3048&lt;&gt;원인분석!$C$9,"",IF(AND(M3048&gt;=원인분석!$C$10,M3048&lt;=원인분석!$C$11),"당기",IF(AND(M3048&gt;=원인분석!$C$12,M3048&lt;=원인분석!$C$13),"비교",""))))</f>
        <v/>
      </c>
      <c r="R3048" s="9">
        <f>IF(Q3048="","",$K3048&amp;"")</f>
        <v/>
      </c>
      <c r="S3048" s="9">
        <f>IF(Q3048="","",IF(MATCH(R3048,$R$5:$R$100000,0)=ROW()-4,ROW(),""))</f>
        <v/>
      </c>
      <c r="T3048" s="9">
        <f>IF(Q3048="당기",ABS(P3048)+ROW()/1000000000,"")</f>
        <v/>
      </c>
      <c r="U3048" s="9">
        <f>IF(Q3048="비교",ABS(P3048)+ROW()/1000000000,"")</f>
        <v/>
      </c>
      <c r="V3048" s="64">
        <f>IF($A3048="","",IF(COUNTIF(변동분석!$E$7:$E$506,O3048)&gt;0,"Y","N"))</f>
        <v/>
      </c>
      <c r="W3048" s="64">
        <f>IF($A3048="","",IFERROR(INDEX(계정매핑!$D$5:$D$504,MATCH($F3048&amp;"",계정매핑!$A$5:$A$504,0)),"미매핑"))</f>
        <v/>
      </c>
      <c r="X3048" s="9">
        <f>IF($A3048="","",$F3048&amp;"")</f>
        <v/>
      </c>
      <c r="Y3048" s="94">
        <f>IF($A3048="",0,IF(AE3048="직접",IF(AF3048="비귀속",$P3048,0),$P3048*(1-AG3048)*IFERROR(INDEX(계정대체기준!$F$20:$F$49,MATCH($N3048,계정대체기준!$A$20:$A$49,0)),1)))</f>
        <v/>
      </c>
      <c r="Z3048" s="94">
        <f>IF($A3048="",0,IF(AE3048="직접",IF(AF3048="신계약비",$P3048,0),$P3048*(1-AG3048)*IFERROR(INDEX(계정대체기준!$C$20:$C$49,MATCH($N3048,계정대체기준!$A$20:$A$49,0)),0)))</f>
        <v/>
      </c>
      <c r="AA3048" s="94">
        <f>IF($A3048="",0,IF(AE3048="직접",IF(OR(AF3048="유지비",AF3048="손해조사비"),$P3048,0),$P3048*(1-AG3048)*IFERROR(INDEX(계정대체기준!$D$20:$D$49,MATCH($N3048,계정대체기준!$A$20:$A$49,0)),0)))</f>
        <v/>
      </c>
      <c r="AB3048" s="94">
        <f>IF($A3048="",0,IF(AE3048="직접",IF(AF3048="수금비",$P3048,0),$P3048*(1-AG3048)*IFERROR(INDEX(계정대체기준!$E$20:$E$49,MATCH($N3048,계정대체기준!$A$20:$A$49,0)),0)))</f>
        <v/>
      </c>
      <c r="AC3048" s="9">
        <f>IF(AND($A3048&lt;&gt;"",M3048=설정!$C$20,Z3048&gt;0),Z3048+ROW()/1000000000,"")</f>
        <v/>
      </c>
      <c r="AD3048" s="94">
        <f>IF($A3048="",0,$P3048*AG3048)</f>
        <v/>
      </c>
      <c r="AE3048" s="64">
        <f>IF($A3048="","",IFERROR(INDEX(계정매핑!$E$5:$E$504,MATCH($F3048&amp;"",계정매핑!$A$5:$A$504,0))&amp;"","공통비"))</f>
        <v/>
      </c>
      <c r="AF3048" s="64">
        <f>IF($A3048="","",IF(AE3048="직접",IFERROR(INDEX(계정매핑!$F$5:$F$504,MATCH($F3048&amp;"",계정매핑!$A$5:$A$504,0))&amp;"","비귀속"),""))</f>
        <v/>
      </c>
      <c r="AG3048" s="96">
        <f>IF($A3048="",0,IF(AND(AE3048&lt;&gt;"직접",IFERROR(INDEX(계정매핑!$G$5:$G$504,MATCH($F3048&amp;"",계정매핑!$A$5:$A$504,0))&amp;"","")="유지비",COUNTIF(계정대체기준!$A$6:$A$15,$N3048)&gt;0),IFERROR(INDEX(계정대체기준!$E$6:$E$15,MATCH(VALUE($A3048&amp;""),계정대체기준!$D$6:$D$15,0)),0),0))</f>
        <v/>
      </c>
      <c r="AH3048" s="64">
        <f>IF($A3048="","",IF(AD3048=0,"",IF(OR(COUNTIF(계정대체기준!$A$77:$A$86,$N3048)&gt;0,ISNUMBER(MATCH($X3048,계정대체기준!$D$77:$D$86,0)),ISNUMBER(MATCH($F3048,계정대체기준!$D$77:$D$86,0))),"Y","N")))</f>
        <v/>
      </c>
    </row>
    <row r="3049">
      <c r="A3049" s="92" t="n">
        <v>2026</v>
      </c>
      <c r="B3049" s="92" t="n">
        <v>2</v>
      </c>
      <c r="C3049" s="92" t="inlineStr">
        <is>
          <t>5100000327</t>
        </is>
      </c>
      <c r="D3049" s="95" t="n">
        <v>46066</v>
      </c>
      <c r="E3049" s="92" t="inlineStr">
        <is>
          <t>KR</t>
        </is>
      </c>
      <c r="F3049" s="92" t="n">
        <v>62101000</v>
      </c>
      <c r="G3049" s="92" t="n">
        <v>1101</v>
      </c>
      <c r="H3049" s="93" t="n">
        <v>681000</v>
      </c>
      <c r="I3049" s="92" t="inlineStr">
        <is>
          <t>2월 국내출장 - (법인카드)</t>
        </is>
      </c>
      <c r="J3049" s="92" t="inlineStr">
        <is>
          <t>V10010</t>
        </is>
      </c>
      <c r="K3049" s="92" t="inlineStr">
        <is>
          <t>(법인카드)</t>
        </is>
      </c>
      <c r="M3049" s="9">
        <f>IF($A3049="","",VALUE($A3049&amp;"")*12+VALUE($B3049&amp;""))</f>
        <v/>
      </c>
      <c r="N3049" s="64">
        <f>IF($A3049="","",IFERROR(INDEX(부서매핑!$C$5:$C$504,MATCH($G3049&amp;"",부서매핑!$A$5:$A$504,0)),"미매핑"))</f>
        <v/>
      </c>
      <c r="O3049" s="9">
        <f>IF($A3049="","",N3049&amp;"|"&amp;$F3049)</f>
        <v/>
      </c>
      <c r="P3049" s="94">
        <f>IF($A3049="",0,$H3049*설정!$C$23)</f>
        <v/>
      </c>
      <c r="Q3049" s="64">
        <f>IF($A3049="","",IF(O3049&lt;&gt;원인분석!$C$9,"",IF(AND(M3049&gt;=원인분석!$C$10,M3049&lt;=원인분석!$C$11),"당기",IF(AND(M3049&gt;=원인분석!$C$12,M3049&lt;=원인분석!$C$13),"비교",""))))</f>
        <v/>
      </c>
      <c r="R3049" s="9">
        <f>IF(Q3049="","",$K3049&amp;"")</f>
        <v/>
      </c>
      <c r="S3049" s="9">
        <f>IF(Q3049="","",IF(MATCH(R3049,$R$5:$R$100000,0)=ROW()-4,ROW(),""))</f>
        <v/>
      </c>
      <c r="T3049" s="9">
        <f>IF(Q3049="당기",ABS(P3049)+ROW()/1000000000,"")</f>
        <v/>
      </c>
      <c r="U3049" s="9">
        <f>IF(Q3049="비교",ABS(P3049)+ROW()/1000000000,"")</f>
        <v/>
      </c>
      <c r="V3049" s="64">
        <f>IF($A3049="","",IF(COUNTIF(변동분석!$E$7:$E$506,O3049)&gt;0,"Y","N"))</f>
        <v/>
      </c>
      <c r="W3049" s="64">
        <f>IF($A3049="","",IFERROR(INDEX(계정매핑!$D$5:$D$504,MATCH($F3049&amp;"",계정매핑!$A$5:$A$504,0)),"미매핑"))</f>
        <v/>
      </c>
      <c r="X3049" s="9">
        <f>IF($A3049="","",$F3049&amp;"")</f>
        <v/>
      </c>
      <c r="Y3049" s="94">
        <f>IF($A3049="",0,IF(AE3049="직접",IF(AF3049="비귀속",$P3049,0),$P3049*(1-AG3049)*IFERROR(INDEX(계정대체기준!$F$20:$F$49,MATCH($N3049,계정대체기준!$A$20:$A$49,0)),1)))</f>
        <v/>
      </c>
      <c r="Z3049" s="94">
        <f>IF($A3049="",0,IF(AE3049="직접",IF(AF3049="신계약비",$P3049,0),$P3049*(1-AG3049)*IFERROR(INDEX(계정대체기준!$C$20:$C$49,MATCH($N3049,계정대체기준!$A$20:$A$49,0)),0)))</f>
        <v/>
      </c>
      <c r="AA3049" s="94">
        <f>IF($A3049="",0,IF(AE3049="직접",IF(OR(AF3049="유지비",AF3049="손해조사비"),$P3049,0),$P3049*(1-AG3049)*IFERROR(INDEX(계정대체기준!$D$20:$D$49,MATCH($N3049,계정대체기준!$A$20:$A$49,0)),0)))</f>
        <v/>
      </c>
      <c r="AB3049" s="94">
        <f>IF($A3049="",0,IF(AE3049="직접",IF(AF3049="수금비",$P3049,0),$P3049*(1-AG3049)*IFERROR(INDEX(계정대체기준!$E$20:$E$49,MATCH($N3049,계정대체기준!$A$20:$A$49,0)),0)))</f>
        <v/>
      </c>
      <c r="AC3049" s="9">
        <f>IF(AND($A3049&lt;&gt;"",M3049=설정!$C$20,Z3049&gt;0),Z3049+ROW()/1000000000,"")</f>
        <v/>
      </c>
      <c r="AD3049" s="94">
        <f>IF($A3049="",0,$P3049*AG3049)</f>
        <v/>
      </c>
      <c r="AE3049" s="64">
        <f>IF($A3049="","",IFERROR(INDEX(계정매핑!$E$5:$E$504,MATCH($F3049&amp;"",계정매핑!$A$5:$A$504,0))&amp;"","공통비"))</f>
        <v/>
      </c>
      <c r="AF3049" s="64">
        <f>IF($A3049="","",IF(AE3049="직접",IFERROR(INDEX(계정매핑!$F$5:$F$504,MATCH($F3049&amp;"",계정매핑!$A$5:$A$504,0))&amp;"","비귀속"),""))</f>
        <v/>
      </c>
      <c r="AG3049" s="96">
        <f>IF($A3049="",0,IF(AND(AE3049&lt;&gt;"직접",IFERROR(INDEX(계정매핑!$G$5:$G$504,MATCH($F3049&amp;"",계정매핑!$A$5:$A$504,0))&amp;"","")="유지비",COUNTIF(계정대체기준!$A$6:$A$15,$N3049)&gt;0),IFERROR(INDEX(계정대체기준!$E$6:$E$15,MATCH(VALUE($A3049&amp;""),계정대체기준!$D$6:$D$15,0)),0),0))</f>
        <v/>
      </c>
      <c r="AH3049" s="64">
        <f>IF($A3049="","",IF(AD3049=0,"",IF(OR(COUNTIF(계정대체기준!$A$77:$A$86,$N3049)&gt;0,ISNUMBER(MATCH($X3049,계정대체기준!$D$77:$D$86,0)),ISNUMBER(MATCH($F3049,계정대체기준!$D$77:$D$86,0))),"Y","N")))</f>
        <v/>
      </c>
    </row>
    <row r="3050">
      <c r="A3050" s="92" t="n">
        <v>2026</v>
      </c>
      <c r="B3050" s="92" t="n">
        <v>2</v>
      </c>
      <c r="C3050" s="92" t="inlineStr">
        <is>
          <t>5100000328</t>
        </is>
      </c>
      <c r="D3050" s="95" t="n">
        <v>46066</v>
      </c>
      <c r="E3050" s="92" t="inlineStr">
        <is>
          <t>KR</t>
        </is>
      </c>
      <c r="F3050" s="92" t="n">
        <v>62101000</v>
      </c>
      <c r="G3050" s="92" t="n">
        <v>1401</v>
      </c>
      <c r="H3050" s="93" t="n">
        <v>540000</v>
      </c>
      <c r="I3050" s="92" t="inlineStr">
        <is>
          <t>2월 국내출장 - (법인카드)</t>
        </is>
      </c>
      <c r="J3050" s="92" t="inlineStr">
        <is>
          <t>V10010</t>
        </is>
      </c>
      <c r="K3050" s="92" t="inlineStr">
        <is>
          <t>(법인카드)</t>
        </is>
      </c>
      <c r="M3050" s="9">
        <f>IF($A3050="","",VALUE($A3050&amp;"")*12+VALUE($B3050&amp;""))</f>
        <v/>
      </c>
      <c r="N3050" s="64">
        <f>IF($A3050="","",IFERROR(INDEX(부서매핑!$C$5:$C$504,MATCH($G3050&amp;"",부서매핑!$A$5:$A$504,0)),"미매핑"))</f>
        <v/>
      </c>
      <c r="O3050" s="9">
        <f>IF($A3050="","",N3050&amp;"|"&amp;$F3050)</f>
        <v/>
      </c>
      <c r="P3050" s="94">
        <f>IF($A3050="",0,$H3050*설정!$C$23)</f>
        <v/>
      </c>
      <c r="Q3050" s="64">
        <f>IF($A3050="","",IF(O3050&lt;&gt;원인분석!$C$9,"",IF(AND(M3050&gt;=원인분석!$C$10,M3050&lt;=원인분석!$C$11),"당기",IF(AND(M3050&gt;=원인분석!$C$12,M3050&lt;=원인분석!$C$13),"비교",""))))</f>
        <v/>
      </c>
      <c r="R3050" s="9">
        <f>IF(Q3050="","",$K3050&amp;"")</f>
        <v/>
      </c>
      <c r="S3050" s="9">
        <f>IF(Q3050="","",IF(MATCH(R3050,$R$5:$R$100000,0)=ROW()-4,ROW(),""))</f>
        <v/>
      </c>
      <c r="T3050" s="9">
        <f>IF(Q3050="당기",ABS(P3050)+ROW()/1000000000,"")</f>
        <v/>
      </c>
      <c r="U3050" s="9">
        <f>IF(Q3050="비교",ABS(P3050)+ROW()/1000000000,"")</f>
        <v/>
      </c>
      <c r="V3050" s="64">
        <f>IF($A3050="","",IF(COUNTIF(변동분석!$E$7:$E$506,O3050)&gt;0,"Y","N"))</f>
        <v/>
      </c>
      <c r="W3050" s="64">
        <f>IF($A3050="","",IFERROR(INDEX(계정매핑!$D$5:$D$504,MATCH($F3050&amp;"",계정매핑!$A$5:$A$504,0)),"미매핑"))</f>
        <v/>
      </c>
      <c r="X3050" s="9">
        <f>IF($A3050="","",$F3050&amp;"")</f>
        <v/>
      </c>
      <c r="Y3050" s="94">
        <f>IF($A3050="",0,IF(AE3050="직접",IF(AF3050="비귀속",$P3050,0),$P3050*(1-AG3050)*IFERROR(INDEX(계정대체기준!$F$20:$F$49,MATCH($N3050,계정대체기준!$A$20:$A$49,0)),1)))</f>
        <v/>
      </c>
      <c r="Z3050" s="94">
        <f>IF($A3050="",0,IF(AE3050="직접",IF(AF3050="신계약비",$P3050,0),$P3050*(1-AG3050)*IFERROR(INDEX(계정대체기준!$C$20:$C$49,MATCH($N3050,계정대체기준!$A$20:$A$49,0)),0)))</f>
        <v/>
      </c>
      <c r="AA3050" s="94">
        <f>IF($A3050="",0,IF(AE3050="직접",IF(OR(AF3050="유지비",AF3050="손해조사비"),$P3050,0),$P3050*(1-AG3050)*IFERROR(INDEX(계정대체기준!$D$20:$D$49,MATCH($N3050,계정대체기준!$A$20:$A$49,0)),0)))</f>
        <v/>
      </c>
      <c r="AB3050" s="94">
        <f>IF($A3050="",0,IF(AE3050="직접",IF(AF3050="수금비",$P3050,0),$P3050*(1-AG3050)*IFERROR(INDEX(계정대체기준!$E$20:$E$49,MATCH($N3050,계정대체기준!$A$20:$A$49,0)),0)))</f>
        <v/>
      </c>
      <c r="AC3050" s="9">
        <f>IF(AND($A3050&lt;&gt;"",M3050=설정!$C$20,Z3050&gt;0),Z3050+ROW()/1000000000,"")</f>
        <v/>
      </c>
      <c r="AD3050" s="94">
        <f>IF($A3050="",0,$P3050*AG3050)</f>
        <v/>
      </c>
      <c r="AE3050" s="64">
        <f>IF($A3050="","",IFERROR(INDEX(계정매핑!$E$5:$E$504,MATCH($F3050&amp;"",계정매핑!$A$5:$A$504,0))&amp;"","공통비"))</f>
        <v/>
      </c>
      <c r="AF3050" s="64">
        <f>IF($A3050="","",IF(AE3050="직접",IFERROR(INDEX(계정매핑!$F$5:$F$504,MATCH($F3050&amp;"",계정매핑!$A$5:$A$504,0))&amp;"","비귀속"),""))</f>
        <v/>
      </c>
      <c r="AG3050" s="96">
        <f>IF($A3050="",0,IF(AND(AE3050&lt;&gt;"직접",IFERROR(INDEX(계정매핑!$G$5:$G$504,MATCH($F3050&amp;"",계정매핑!$A$5:$A$504,0))&amp;"","")="유지비",COUNTIF(계정대체기준!$A$6:$A$15,$N3050)&gt;0),IFERROR(INDEX(계정대체기준!$E$6:$E$15,MATCH(VALUE($A3050&amp;""),계정대체기준!$D$6:$D$15,0)),0),0))</f>
        <v/>
      </c>
      <c r="AH3050" s="64">
        <f>IF($A3050="","",IF(AD3050=0,"",IF(OR(COUNTIF(계정대체기준!$A$77:$A$86,$N3050)&gt;0,ISNUMBER(MATCH($X3050,계정대체기준!$D$77:$D$86,0)),ISNUMBER(MATCH($F3050,계정대체기준!$D$77:$D$86,0))),"Y","N")))</f>
        <v/>
      </c>
    </row>
    <row r="3051">
      <c r="A3051" s="92" t="n">
        <v>2026</v>
      </c>
      <c r="B3051" s="92" t="n">
        <v>2</v>
      </c>
      <c r="C3051" s="92" t="inlineStr">
        <is>
          <t>5100000329</t>
        </is>
      </c>
      <c r="D3051" s="95" t="n">
        <v>46066</v>
      </c>
      <c r="E3051" s="92" t="inlineStr">
        <is>
          <t>KR</t>
        </is>
      </c>
      <c r="F3051" s="92" t="n">
        <v>62101000</v>
      </c>
      <c r="G3051" s="92" t="n">
        <v>1701</v>
      </c>
      <c r="H3051" s="93" t="n">
        <v>210000</v>
      </c>
      <c r="I3051" s="92" t="inlineStr">
        <is>
          <t>2월 국내출장 - M항공</t>
        </is>
      </c>
      <c r="J3051" s="92" t="inlineStr">
        <is>
          <t>V10001</t>
        </is>
      </c>
      <c r="K3051" s="92" t="inlineStr">
        <is>
          <t>M항공</t>
        </is>
      </c>
      <c r="M3051" s="9">
        <f>IF($A3051="","",VALUE($A3051&amp;"")*12+VALUE($B3051&amp;""))</f>
        <v/>
      </c>
      <c r="N3051" s="64">
        <f>IF($A3051="","",IFERROR(INDEX(부서매핑!$C$5:$C$504,MATCH($G3051&amp;"",부서매핑!$A$5:$A$504,0)),"미매핑"))</f>
        <v/>
      </c>
      <c r="O3051" s="9">
        <f>IF($A3051="","",N3051&amp;"|"&amp;$F3051)</f>
        <v/>
      </c>
      <c r="P3051" s="94">
        <f>IF($A3051="",0,$H3051*설정!$C$23)</f>
        <v/>
      </c>
      <c r="Q3051" s="64">
        <f>IF($A3051="","",IF(O3051&lt;&gt;원인분석!$C$9,"",IF(AND(M3051&gt;=원인분석!$C$10,M3051&lt;=원인분석!$C$11),"당기",IF(AND(M3051&gt;=원인분석!$C$12,M3051&lt;=원인분석!$C$13),"비교",""))))</f>
        <v/>
      </c>
      <c r="R3051" s="9">
        <f>IF(Q3051="","",$K3051&amp;"")</f>
        <v/>
      </c>
      <c r="S3051" s="9">
        <f>IF(Q3051="","",IF(MATCH(R3051,$R$5:$R$100000,0)=ROW()-4,ROW(),""))</f>
        <v/>
      </c>
      <c r="T3051" s="9">
        <f>IF(Q3051="당기",ABS(P3051)+ROW()/1000000000,"")</f>
        <v/>
      </c>
      <c r="U3051" s="9">
        <f>IF(Q3051="비교",ABS(P3051)+ROW()/1000000000,"")</f>
        <v/>
      </c>
      <c r="V3051" s="64">
        <f>IF($A3051="","",IF(COUNTIF(변동분석!$E$7:$E$506,O3051)&gt;0,"Y","N"))</f>
        <v/>
      </c>
      <c r="W3051" s="64">
        <f>IF($A3051="","",IFERROR(INDEX(계정매핑!$D$5:$D$504,MATCH($F3051&amp;"",계정매핑!$A$5:$A$504,0)),"미매핑"))</f>
        <v/>
      </c>
      <c r="X3051" s="9">
        <f>IF($A3051="","",$F3051&amp;"")</f>
        <v/>
      </c>
      <c r="Y3051" s="94">
        <f>IF($A3051="",0,IF(AE3051="직접",IF(AF3051="비귀속",$P3051,0),$P3051*(1-AG3051)*IFERROR(INDEX(계정대체기준!$F$20:$F$49,MATCH($N3051,계정대체기준!$A$20:$A$49,0)),1)))</f>
        <v/>
      </c>
      <c r="Z3051" s="94">
        <f>IF($A3051="",0,IF(AE3051="직접",IF(AF3051="신계약비",$P3051,0),$P3051*(1-AG3051)*IFERROR(INDEX(계정대체기준!$C$20:$C$49,MATCH($N3051,계정대체기준!$A$20:$A$49,0)),0)))</f>
        <v/>
      </c>
      <c r="AA3051" s="94">
        <f>IF($A3051="",0,IF(AE3051="직접",IF(OR(AF3051="유지비",AF3051="손해조사비"),$P3051,0),$P3051*(1-AG3051)*IFERROR(INDEX(계정대체기준!$D$20:$D$49,MATCH($N3051,계정대체기준!$A$20:$A$49,0)),0)))</f>
        <v/>
      </c>
      <c r="AB3051" s="94">
        <f>IF($A3051="",0,IF(AE3051="직접",IF(AF3051="수금비",$P3051,0),$P3051*(1-AG3051)*IFERROR(INDEX(계정대체기준!$E$20:$E$49,MATCH($N3051,계정대체기준!$A$20:$A$49,0)),0)))</f>
        <v/>
      </c>
      <c r="AC3051" s="9">
        <f>IF(AND($A3051&lt;&gt;"",M3051=설정!$C$20,Z3051&gt;0),Z3051+ROW()/1000000000,"")</f>
        <v/>
      </c>
      <c r="AD3051" s="94">
        <f>IF($A3051="",0,$P3051*AG3051)</f>
        <v/>
      </c>
      <c r="AE3051" s="64">
        <f>IF($A3051="","",IFERROR(INDEX(계정매핑!$E$5:$E$504,MATCH($F3051&amp;"",계정매핑!$A$5:$A$504,0))&amp;"","공통비"))</f>
        <v/>
      </c>
      <c r="AF3051" s="64">
        <f>IF($A3051="","",IF(AE3051="직접",IFERROR(INDEX(계정매핑!$F$5:$F$504,MATCH($F3051&amp;"",계정매핑!$A$5:$A$504,0))&amp;"","비귀속"),""))</f>
        <v/>
      </c>
      <c r="AG3051" s="96">
        <f>IF($A3051="",0,IF(AND(AE3051&lt;&gt;"직접",IFERROR(INDEX(계정매핑!$G$5:$G$504,MATCH($F3051&amp;"",계정매핑!$A$5:$A$504,0))&amp;"","")="유지비",COUNTIF(계정대체기준!$A$6:$A$15,$N3051)&gt;0),IFERROR(INDEX(계정대체기준!$E$6:$E$15,MATCH(VALUE($A3051&amp;""),계정대체기준!$D$6:$D$15,0)),0),0))</f>
        <v/>
      </c>
      <c r="AH3051" s="64">
        <f>IF($A3051="","",IF(AD3051=0,"",IF(OR(COUNTIF(계정대체기준!$A$77:$A$86,$N3051)&gt;0,ISNUMBER(MATCH($X3051,계정대체기준!$D$77:$D$86,0)),ISNUMBER(MATCH($F3051,계정대체기준!$D$77:$D$86,0))),"Y","N")))</f>
        <v/>
      </c>
    </row>
    <row r="3052">
      <c r="A3052" s="92" t="n">
        <v>2026</v>
      </c>
      <c r="B3052" s="92" t="n">
        <v>2</v>
      </c>
      <c r="C3052" s="92" t="inlineStr">
        <is>
          <t>5100000330</t>
        </is>
      </c>
      <c r="D3052" s="95" t="n">
        <v>46066</v>
      </c>
      <c r="E3052" s="92" t="inlineStr">
        <is>
          <t>KR</t>
        </is>
      </c>
      <c r="F3052" s="92" t="n">
        <v>62101000</v>
      </c>
      <c r="G3052" s="92" t="n">
        <v>1951</v>
      </c>
      <c r="H3052" s="93" t="n">
        <v>268000</v>
      </c>
      <c r="I3052" s="92" t="inlineStr">
        <is>
          <t>2월 국내출장 - L여행사</t>
        </is>
      </c>
      <c r="J3052" s="92" t="inlineStr">
        <is>
          <t>V10018</t>
        </is>
      </c>
      <c r="K3052" s="92" t="inlineStr">
        <is>
          <t>L여행사</t>
        </is>
      </c>
      <c r="M3052" s="9">
        <f>IF($A3052="","",VALUE($A3052&amp;"")*12+VALUE($B3052&amp;""))</f>
        <v/>
      </c>
      <c r="N3052" s="64">
        <f>IF($A3052="","",IFERROR(INDEX(부서매핑!$C$5:$C$504,MATCH($G3052&amp;"",부서매핑!$A$5:$A$504,0)),"미매핑"))</f>
        <v/>
      </c>
      <c r="O3052" s="9">
        <f>IF($A3052="","",N3052&amp;"|"&amp;$F3052)</f>
        <v/>
      </c>
      <c r="P3052" s="94">
        <f>IF($A3052="",0,$H3052*설정!$C$23)</f>
        <v/>
      </c>
      <c r="Q3052" s="64">
        <f>IF($A3052="","",IF(O3052&lt;&gt;원인분석!$C$9,"",IF(AND(M3052&gt;=원인분석!$C$10,M3052&lt;=원인분석!$C$11),"당기",IF(AND(M3052&gt;=원인분석!$C$12,M3052&lt;=원인분석!$C$13),"비교",""))))</f>
        <v/>
      </c>
      <c r="R3052" s="9">
        <f>IF(Q3052="","",$K3052&amp;"")</f>
        <v/>
      </c>
      <c r="S3052" s="9">
        <f>IF(Q3052="","",IF(MATCH(R3052,$R$5:$R$100000,0)=ROW()-4,ROW(),""))</f>
        <v/>
      </c>
      <c r="T3052" s="9">
        <f>IF(Q3052="당기",ABS(P3052)+ROW()/1000000000,"")</f>
        <v/>
      </c>
      <c r="U3052" s="9">
        <f>IF(Q3052="비교",ABS(P3052)+ROW()/1000000000,"")</f>
        <v/>
      </c>
      <c r="V3052" s="64">
        <f>IF($A3052="","",IF(COUNTIF(변동분석!$E$7:$E$506,O3052)&gt;0,"Y","N"))</f>
        <v/>
      </c>
      <c r="W3052" s="64">
        <f>IF($A3052="","",IFERROR(INDEX(계정매핑!$D$5:$D$504,MATCH($F3052&amp;"",계정매핑!$A$5:$A$504,0)),"미매핑"))</f>
        <v/>
      </c>
      <c r="X3052" s="9">
        <f>IF($A3052="","",$F3052&amp;"")</f>
        <v/>
      </c>
      <c r="Y3052" s="94">
        <f>IF($A3052="",0,IF(AE3052="직접",IF(AF3052="비귀속",$P3052,0),$P3052*(1-AG3052)*IFERROR(INDEX(계정대체기준!$F$20:$F$49,MATCH($N3052,계정대체기준!$A$20:$A$49,0)),1)))</f>
        <v/>
      </c>
      <c r="Z3052" s="94">
        <f>IF($A3052="",0,IF(AE3052="직접",IF(AF3052="신계약비",$P3052,0),$P3052*(1-AG3052)*IFERROR(INDEX(계정대체기준!$C$20:$C$49,MATCH($N3052,계정대체기준!$A$20:$A$49,0)),0)))</f>
        <v/>
      </c>
      <c r="AA3052" s="94">
        <f>IF($A3052="",0,IF(AE3052="직접",IF(OR(AF3052="유지비",AF3052="손해조사비"),$P3052,0),$P3052*(1-AG3052)*IFERROR(INDEX(계정대체기준!$D$20:$D$49,MATCH($N3052,계정대체기준!$A$20:$A$49,0)),0)))</f>
        <v/>
      </c>
      <c r="AB3052" s="94">
        <f>IF($A3052="",0,IF(AE3052="직접",IF(AF3052="수금비",$P3052,0),$P3052*(1-AG3052)*IFERROR(INDEX(계정대체기준!$E$20:$E$49,MATCH($N3052,계정대체기준!$A$20:$A$49,0)),0)))</f>
        <v/>
      </c>
      <c r="AC3052" s="9">
        <f>IF(AND($A3052&lt;&gt;"",M3052=설정!$C$20,Z3052&gt;0),Z3052+ROW()/1000000000,"")</f>
        <v/>
      </c>
      <c r="AD3052" s="94">
        <f>IF($A3052="",0,$P3052*AG3052)</f>
        <v/>
      </c>
      <c r="AE3052" s="64">
        <f>IF($A3052="","",IFERROR(INDEX(계정매핑!$E$5:$E$504,MATCH($F3052&amp;"",계정매핑!$A$5:$A$504,0))&amp;"","공통비"))</f>
        <v/>
      </c>
      <c r="AF3052" s="64">
        <f>IF($A3052="","",IF(AE3052="직접",IFERROR(INDEX(계정매핑!$F$5:$F$504,MATCH($F3052&amp;"",계정매핑!$A$5:$A$504,0))&amp;"","비귀속"),""))</f>
        <v/>
      </c>
      <c r="AG3052" s="96">
        <f>IF($A3052="",0,IF(AND(AE3052&lt;&gt;"직접",IFERROR(INDEX(계정매핑!$G$5:$G$504,MATCH($F3052&amp;"",계정매핑!$A$5:$A$504,0))&amp;"","")="유지비",COUNTIF(계정대체기준!$A$6:$A$15,$N3052)&gt;0),IFERROR(INDEX(계정대체기준!$E$6:$E$15,MATCH(VALUE($A3052&amp;""),계정대체기준!$D$6:$D$15,0)),0),0))</f>
        <v/>
      </c>
      <c r="AH3052" s="64">
        <f>IF($A3052="","",IF(AD3052=0,"",IF(OR(COUNTIF(계정대체기준!$A$77:$A$86,$N3052)&gt;0,ISNUMBER(MATCH($X3052,계정대체기준!$D$77:$D$86,0)),ISNUMBER(MATCH($F3052,계정대체기준!$D$77:$D$86,0))),"Y","N")))</f>
        <v/>
      </c>
    </row>
    <row r="3053">
      <c r="A3053" s="92" t="n">
        <v>2026</v>
      </c>
      <c r="B3053" s="92" t="n">
        <v>2</v>
      </c>
      <c r="C3053" s="92" t="inlineStr">
        <is>
          <t>5100000331</t>
        </is>
      </c>
      <c r="D3053" s="95" t="n">
        <v>46066</v>
      </c>
      <c r="E3053" s="92" t="inlineStr">
        <is>
          <t>KR</t>
        </is>
      </c>
      <c r="F3053" s="92" t="n">
        <v>62201000</v>
      </c>
      <c r="G3053" s="92" t="n">
        <v>1101</v>
      </c>
      <c r="H3053" s="93" t="n">
        <v>155000</v>
      </c>
      <c r="I3053" s="92" t="inlineStr">
        <is>
          <t>2월 통신요금 - P통신</t>
        </is>
      </c>
      <c r="J3053" s="92" t="inlineStr">
        <is>
          <t>V10014</t>
        </is>
      </c>
      <c r="K3053" s="92" t="inlineStr">
        <is>
          <t>P통신</t>
        </is>
      </c>
      <c r="M3053" s="9">
        <f>IF($A3053="","",VALUE($A3053&amp;"")*12+VALUE($B3053&amp;""))</f>
        <v/>
      </c>
      <c r="N3053" s="64">
        <f>IF($A3053="","",IFERROR(INDEX(부서매핑!$C$5:$C$504,MATCH($G3053&amp;"",부서매핑!$A$5:$A$504,0)),"미매핑"))</f>
        <v/>
      </c>
      <c r="O3053" s="9">
        <f>IF($A3053="","",N3053&amp;"|"&amp;$F3053)</f>
        <v/>
      </c>
      <c r="P3053" s="94">
        <f>IF($A3053="",0,$H3053*설정!$C$23)</f>
        <v/>
      </c>
      <c r="Q3053" s="64">
        <f>IF($A3053="","",IF(O3053&lt;&gt;원인분석!$C$9,"",IF(AND(M3053&gt;=원인분석!$C$10,M3053&lt;=원인분석!$C$11),"당기",IF(AND(M3053&gt;=원인분석!$C$12,M3053&lt;=원인분석!$C$13),"비교",""))))</f>
        <v/>
      </c>
      <c r="R3053" s="9">
        <f>IF(Q3053="","",$K3053&amp;"")</f>
        <v/>
      </c>
      <c r="S3053" s="9">
        <f>IF(Q3053="","",IF(MATCH(R3053,$R$5:$R$100000,0)=ROW()-4,ROW(),""))</f>
        <v/>
      </c>
      <c r="T3053" s="9">
        <f>IF(Q3053="당기",ABS(P3053)+ROW()/1000000000,"")</f>
        <v/>
      </c>
      <c r="U3053" s="9">
        <f>IF(Q3053="비교",ABS(P3053)+ROW()/1000000000,"")</f>
        <v/>
      </c>
      <c r="V3053" s="64">
        <f>IF($A3053="","",IF(COUNTIF(변동분석!$E$7:$E$506,O3053)&gt;0,"Y","N"))</f>
        <v/>
      </c>
      <c r="W3053" s="64">
        <f>IF($A3053="","",IFERROR(INDEX(계정매핑!$D$5:$D$504,MATCH($F3053&amp;"",계정매핑!$A$5:$A$504,0)),"미매핑"))</f>
        <v/>
      </c>
      <c r="X3053" s="9">
        <f>IF($A3053="","",$F3053&amp;"")</f>
        <v/>
      </c>
      <c r="Y3053" s="94">
        <f>IF($A3053="",0,IF(AE3053="직접",IF(AF3053="비귀속",$P3053,0),$P3053*(1-AG3053)*IFERROR(INDEX(계정대체기준!$F$20:$F$49,MATCH($N3053,계정대체기준!$A$20:$A$49,0)),1)))</f>
        <v/>
      </c>
      <c r="Z3053" s="94">
        <f>IF($A3053="",0,IF(AE3053="직접",IF(AF3053="신계약비",$P3053,0),$P3053*(1-AG3053)*IFERROR(INDEX(계정대체기준!$C$20:$C$49,MATCH($N3053,계정대체기준!$A$20:$A$49,0)),0)))</f>
        <v/>
      </c>
      <c r="AA3053" s="94">
        <f>IF($A3053="",0,IF(AE3053="직접",IF(OR(AF3053="유지비",AF3053="손해조사비"),$P3053,0),$P3053*(1-AG3053)*IFERROR(INDEX(계정대체기준!$D$20:$D$49,MATCH($N3053,계정대체기준!$A$20:$A$49,0)),0)))</f>
        <v/>
      </c>
      <c r="AB3053" s="94">
        <f>IF($A3053="",0,IF(AE3053="직접",IF(AF3053="수금비",$P3053,0),$P3053*(1-AG3053)*IFERROR(INDEX(계정대체기준!$E$20:$E$49,MATCH($N3053,계정대체기준!$A$20:$A$49,0)),0)))</f>
        <v/>
      </c>
      <c r="AC3053" s="9">
        <f>IF(AND($A3053&lt;&gt;"",M3053=설정!$C$20,Z3053&gt;0),Z3053+ROW()/1000000000,"")</f>
        <v/>
      </c>
      <c r="AD3053" s="94">
        <f>IF($A3053="",0,$P3053*AG3053)</f>
        <v/>
      </c>
      <c r="AE3053" s="64">
        <f>IF($A3053="","",IFERROR(INDEX(계정매핑!$E$5:$E$504,MATCH($F3053&amp;"",계정매핑!$A$5:$A$504,0))&amp;"","공통비"))</f>
        <v/>
      </c>
      <c r="AF3053" s="64">
        <f>IF($A3053="","",IF(AE3053="직접",IFERROR(INDEX(계정매핑!$F$5:$F$504,MATCH($F3053&amp;"",계정매핑!$A$5:$A$504,0))&amp;"","비귀속"),""))</f>
        <v/>
      </c>
      <c r="AG3053" s="96">
        <f>IF($A3053="",0,IF(AND(AE3053&lt;&gt;"직접",IFERROR(INDEX(계정매핑!$G$5:$G$504,MATCH($F3053&amp;"",계정매핑!$A$5:$A$504,0))&amp;"","")="유지비",COUNTIF(계정대체기준!$A$6:$A$15,$N3053)&gt;0),IFERROR(INDEX(계정대체기준!$E$6:$E$15,MATCH(VALUE($A3053&amp;""),계정대체기준!$D$6:$D$15,0)),0),0))</f>
        <v/>
      </c>
      <c r="AH3053" s="64">
        <f>IF($A3053="","",IF(AD3053=0,"",IF(OR(COUNTIF(계정대체기준!$A$77:$A$86,$N3053)&gt;0,ISNUMBER(MATCH($X3053,계정대체기준!$D$77:$D$86,0)),ISNUMBER(MATCH($F3053,계정대체기준!$D$77:$D$86,0))),"Y","N")))</f>
        <v/>
      </c>
    </row>
    <row r="3054">
      <c r="A3054" s="92" t="n">
        <v>2026</v>
      </c>
      <c r="B3054" s="92" t="n">
        <v>2</v>
      </c>
      <c r="C3054" s="92" t="inlineStr">
        <is>
          <t>5100000332</t>
        </is>
      </c>
      <c r="D3054" s="95" t="n">
        <v>46066</v>
      </c>
      <c r="E3054" s="92" t="inlineStr">
        <is>
          <t>KR</t>
        </is>
      </c>
      <c r="F3054" s="92" t="n">
        <v>62201000</v>
      </c>
      <c r="G3054" s="92" t="n">
        <v>1301</v>
      </c>
      <c r="H3054" s="93" t="n">
        <v>235000</v>
      </c>
      <c r="I3054" s="92" t="inlineStr">
        <is>
          <t>2월 통신요금 - O텔레콤</t>
        </is>
      </c>
      <c r="J3054" s="92" t="inlineStr">
        <is>
          <t>V10002</t>
        </is>
      </c>
      <c r="K3054" s="92" t="inlineStr">
        <is>
          <t>O텔레콤</t>
        </is>
      </c>
      <c r="M3054" s="9">
        <f>IF($A3054="","",VALUE($A3054&amp;"")*12+VALUE($B3054&amp;""))</f>
        <v/>
      </c>
      <c r="N3054" s="64">
        <f>IF($A3054="","",IFERROR(INDEX(부서매핑!$C$5:$C$504,MATCH($G3054&amp;"",부서매핑!$A$5:$A$504,0)),"미매핑"))</f>
        <v/>
      </c>
      <c r="O3054" s="9">
        <f>IF($A3054="","",N3054&amp;"|"&amp;$F3054)</f>
        <v/>
      </c>
      <c r="P3054" s="94">
        <f>IF($A3054="",0,$H3054*설정!$C$23)</f>
        <v/>
      </c>
      <c r="Q3054" s="64">
        <f>IF($A3054="","",IF(O3054&lt;&gt;원인분석!$C$9,"",IF(AND(M3054&gt;=원인분석!$C$10,M3054&lt;=원인분석!$C$11),"당기",IF(AND(M3054&gt;=원인분석!$C$12,M3054&lt;=원인분석!$C$13),"비교",""))))</f>
        <v/>
      </c>
      <c r="R3054" s="9">
        <f>IF(Q3054="","",$K3054&amp;"")</f>
        <v/>
      </c>
      <c r="S3054" s="9">
        <f>IF(Q3054="","",IF(MATCH(R3054,$R$5:$R$100000,0)=ROW()-4,ROW(),""))</f>
        <v/>
      </c>
      <c r="T3054" s="9">
        <f>IF(Q3054="당기",ABS(P3054)+ROW()/1000000000,"")</f>
        <v/>
      </c>
      <c r="U3054" s="9">
        <f>IF(Q3054="비교",ABS(P3054)+ROW()/1000000000,"")</f>
        <v/>
      </c>
      <c r="V3054" s="64">
        <f>IF($A3054="","",IF(COUNTIF(변동분석!$E$7:$E$506,O3054)&gt;0,"Y","N"))</f>
        <v/>
      </c>
      <c r="W3054" s="64">
        <f>IF($A3054="","",IFERROR(INDEX(계정매핑!$D$5:$D$504,MATCH($F3054&amp;"",계정매핑!$A$5:$A$504,0)),"미매핑"))</f>
        <v/>
      </c>
      <c r="X3054" s="9">
        <f>IF($A3054="","",$F3054&amp;"")</f>
        <v/>
      </c>
      <c r="Y3054" s="94">
        <f>IF($A3054="",0,IF(AE3054="직접",IF(AF3054="비귀속",$P3054,0),$P3054*(1-AG3054)*IFERROR(INDEX(계정대체기준!$F$20:$F$49,MATCH($N3054,계정대체기준!$A$20:$A$49,0)),1)))</f>
        <v/>
      </c>
      <c r="Z3054" s="94">
        <f>IF($A3054="",0,IF(AE3054="직접",IF(AF3054="신계약비",$P3054,0),$P3054*(1-AG3054)*IFERROR(INDEX(계정대체기준!$C$20:$C$49,MATCH($N3054,계정대체기준!$A$20:$A$49,0)),0)))</f>
        <v/>
      </c>
      <c r="AA3054" s="94">
        <f>IF($A3054="",0,IF(AE3054="직접",IF(OR(AF3054="유지비",AF3054="손해조사비"),$P3054,0),$P3054*(1-AG3054)*IFERROR(INDEX(계정대체기준!$D$20:$D$49,MATCH($N3054,계정대체기준!$A$20:$A$49,0)),0)))</f>
        <v/>
      </c>
      <c r="AB3054" s="94">
        <f>IF($A3054="",0,IF(AE3054="직접",IF(AF3054="수금비",$P3054,0),$P3054*(1-AG3054)*IFERROR(INDEX(계정대체기준!$E$20:$E$49,MATCH($N3054,계정대체기준!$A$20:$A$49,0)),0)))</f>
        <v/>
      </c>
      <c r="AC3054" s="9">
        <f>IF(AND($A3054&lt;&gt;"",M3054=설정!$C$20,Z3054&gt;0),Z3054+ROW()/1000000000,"")</f>
        <v/>
      </c>
      <c r="AD3054" s="94">
        <f>IF($A3054="",0,$P3054*AG3054)</f>
        <v/>
      </c>
      <c r="AE3054" s="64">
        <f>IF($A3054="","",IFERROR(INDEX(계정매핑!$E$5:$E$504,MATCH($F3054&amp;"",계정매핑!$A$5:$A$504,0))&amp;"","공통비"))</f>
        <v/>
      </c>
      <c r="AF3054" s="64">
        <f>IF($A3054="","",IF(AE3054="직접",IFERROR(INDEX(계정매핑!$F$5:$F$504,MATCH($F3054&amp;"",계정매핑!$A$5:$A$504,0))&amp;"","비귀속"),""))</f>
        <v/>
      </c>
      <c r="AG3054" s="96">
        <f>IF($A3054="",0,IF(AND(AE3054&lt;&gt;"직접",IFERROR(INDEX(계정매핑!$G$5:$G$504,MATCH($F3054&amp;"",계정매핑!$A$5:$A$504,0))&amp;"","")="유지비",COUNTIF(계정대체기준!$A$6:$A$15,$N3054)&gt;0),IFERROR(INDEX(계정대체기준!$E$6:$E$15,MATCH(VALUE($A3054&amp;""),계정대체기준!$D$6:$D$15,0)),0),0))</f>
        <v/>
      </c>
      <c r="AH3054" s="64">
        <f>IF($A3054="","",IF(AD3054=0,"",IF(OR(COUNTIF(계정대체기준!$A$77:$A$86,$N3054)&gt;0,ISNUMBER(MATCH($X3054,계정대체기준!$D$77:$D$86,0)),ISNUMBER(MATCH($F3054,계정대체기준!$D$77:$D$86,0))),"Y","N")))</f>
        <v/>
      </c>
    </row>
    <row r="3055">
      <c r="A3055" s="92" t="n">
        <v>2026</v>
      </c>
      <c r="B3055" s="92" t="n">
        <v>2</v>
      </c>
      <c r="C3055" s="92" t="inlineStr">
        <is>
          <t>5100000333</t>
        </is>
      </c>
      <c r="D3055" s="95" t="n">
        <v>46066</v>
      </c>
      <c r="E3055" s="92" t="inlineStr">
        <is>
          <t>KR</t>
        </is>
      </c>
      <c r="F3055" s="92" t="n">
        <v>62201000</v>
      </c>
      <c r="G3055" s="92" t="n">
        <v>1602</v>
      </c>
      <c r="H3055" s="93" t="n">
        <v>615000</v>
      </c>
      <c r="I3055" s="92" t="inlineStr">
        <is>
          <t>2월 통신요금 - P통신</t>
        </is>
      </c>
      <c r="J3055" s="92" t="inlineStr">
        <is>
          <t>V10014</t>
        </is>
      </c>
      <c r="K3055" s="92" t="inlineStr">
        <is>
          <t>P통신</t>
        </is>
      </c>
      <c r="M3055" s="9">
        <f>IF($A3055="","",VALUE($A3055&amp;"")*12+VALUE($B3055&amp;""))</f>
        <v/>
      </c>
      <c r="N3055" s="64">
        <f>IF($A3055="","",IFERROR(INDEX(부서매핑!$C$5:$C$504,MATCH($G3055&amp;"",부서매핑!$A$5:$A$504,0)),"미매핑"))</f>
        <v/>
      </c>
      <c r="O3055" s="9">
        <f>IF($A3055="","",N3055&amp;"|"&amp;$F3055)</f>
        <v/>
      </c>
      <c r="P3055" s="94">
        <f>IF($A3055="",0,$H3055*설정!$C$23)</f>
        <v/>
      </c>
      <c r="Q3055" s="64">
        <f>IF($A3055="","",IF(O3055&lt;&gt;원인분석!$C$9,"",IF(AND(M3055&gt;=원인분석!$C$10,M3055&lt;=원인분석!$C$11),"당기",IF(AND(M3055&gt;=원인분석!$C$12,M3055&lt;=원인분석!$C$13),"비교",""))))</f>
        <v/>
      </c>
      <c r="R3055" s="9">
        <f>IF(Q3055="","",$K3055&amp;"")</f>
        <v/>
      </c>
      <c r="S3055" s="9">
        <f>IF(Q3055="","",IF(MATCH(R3055,$R$5:$R$100000,0)=ROW()-4,ROW(),""))</f>
        <v/>
      </c>
      <c r="T3055" s="9">
        <f>IF(Q3055="당기",ABS(P3055)+ROW()/1000000000,"")</f>
        <v/>
      </c>
      <c r="U3055" s="9">
        <f>IF(Q3055="비교",ABS(P3055)+ROW()/1000000000,"")</f>
        <v/>
      </c>
      <c r="V3055" s="64">
        <f>IF($A3055="","",IF(COUNTIF(변동분석!$E$7:$E$506,O3055)&gt;0,"Y","N"))</f>
        <v/>
      </c>
      <c r="W3055" s="64">
        <f>IF($A3055="","",IFERROR(INDEX(계정매핑!$D$5:$D$504,MATCH($F3055&amp;"",계정매핑!$A$5:$A$504,0)),"미매핑"))</f>
        <v/>
      </c>
      <c r="X3055" s="9">
        <f>IF($A3055="","",$F3055&amp;"")</f>
        <v/>
      </c>
      <c r="Y3055" s="94">
        <f>IF($A3055="",0,IF(AE3055="직접",IF(AF3055="비귀속",$P3055,0),$P3055*(1-AG3055)*IFERROR(INDEX(계정대체기준!$F$20:$F$49,MATCH($N3055,계정대체기준!$A$20:$A$49,0)),1)))</f>
        <v/>
      </c>
      <c r="Z3055" s="94">
        <f>IF($A3055="",0,IF(AE3055="직접",IF(AF3055="신계약비",$P3055,0),$P3055*(1-AG3055)*IFERROR(INDEX(계정대체기준!$C$20:$C$49,MATCH($N3055,계정대체기준!$A$20:$A$49,0)),0)))</f>
        <v/>
      </c>
      <c r="AA3055" s="94">
        <f>IF($A3055="",0,IF(AE3055="직접",IF(OR(AF3055="유지비",AF3055="손해조사비"),$P3055,0),$P3055*(1-AG3055)*IFERROR(INDEX(계정대체기준!$D$20:$D$49,MATCH($N3055,계정대체기준!$A$20:$A$49,0)),0)))</f>
        <v/>
      </c>
      <c r="AB3055" s="94">
        <f>IF($A3055="",0,IF(AE3055="직접",IF(AF3055="수금비",$P3055,0),$P3055*(1-AG3055)*IFERROR(INDEX(계정대체기준!$E$20:$E$49,MATCH($N3055,계정대체기준!$A$20:$A$49,0)),0)))</f>
        <v/>
      </c>
      <c r="AC3055" s="9">
        <f>IF(AND($A3055&lt;&gt;"",M3055=설정!$C$20,Z3055&gt;0),Z3055+ROW()/1000000000,"")</f>
        <v/>
      </c>
      <c r="AD3055" s="94">
        <f>IF($A3055="",0,$P3055*AG3055)</f>
        <v/>
      </c>
      <c r="AE3055" s="64">
        <f>IF($A3055="","",IFERROR(INDEX(계정매핑!$E$5:$E$504,MATCH($F3055&amp;"",계정매핑!$A$5:$A$504,0))&amp;"","공통비"))</f>
        <v/>
      </c>
      <c r="AF3055" s="64">
        <f>IF($A3055="","",IF(AE3055="직접",IFERROR(INDEX(계정매핑!$F$5:$F$504,MATCH($F3055&amp;"",계정매핑!$A$5:$A$504,0))&amp;"","비귀속"),""))</f>
        <v/>
      </c>
      <c r="AG3055" s="96">
        <f>IF($A3055="",0,IF(AND(AE3055&lt;&gt;"직접",IFERROR(INDEX(계정매핑!$G$5:$G$504,MATCH($F3055&amp;"",계정매핑!$A$5:$A$504,0))&amp;"","")="유지비",COUNTIF(계정대체기준!$A$6:$A$15,$N3055)&gt;0),IFERROR(INDEX(계정대체기준!$E$6:$E$15,MATCH(VALUE($A3055&amp;""),계정대체기준!$D$6:$D$15,0)),0),0))</f>
        <v/>
      </c>
      <c r="AH3055" s="64">
        <f>IF($A3055="","",IF(AD3055=0,"",IF(OR(COUNTIF(계정대체기준!$A$77:$A$86,$N3055)&gt;0,ISNUMBER(MATCH($X3055,계정대체기준!$D$77:$D$86,0)),ISNUMBER(MATCH($F3055,계정대체기준!$D$77:$D$86,0))),"Y","N")))</f>
        <v/>
      </c>
    </row>
    <row r="3056">
      <c r="A3056" s="92" t="n">
        <v>2026</v>
      </c>
      <c r="B3056" s="92" t="n">
        <v>2</v>
      </c>
      <c r="C3056" s="92" t="inlineStr">
        <is>
          <t>5100000334</t>
        </is>
      </c>
      <c r="D3056" s="95" t="n">
        <v>46066</v>
      </c>
      <c r="E3056" s="92" t="inlineStr">
        <is>
          <t>KR</t>
        </is>
      </c>
      <c r="F3056" s="92" t="n">
        <v>62501000</v>
      </c>
      <c r="G3056" s="92" t="n">
        <v>1201</v>
      </c>
      <c r="H3056" s="93" t="n">
        <v>141000</v>
      </c>
      <c r="I3056" s="92" t="inlineStr">
        <is>
          <t>2월 회의 다과 - T케이터링</t>
        </is>
      </c>
      <c r="J3056" s="92" t="inlineStr">
        <is>
          <t>V10005</t>
        </is>
      </c>
      <c r="K3056" s="92" t="inlineStr">
        <is>
          <t>T케이터링</t>
        </is>
      </c>
      <c r="M3056" s="9">
        <f>IF($A3056="","",VALUE($A3056&amp;"")*12+VALUE($B3056&amp;""))</f>
        <v/>
      </c>
      <c r="N3056" s="64">
        <f>IF($A3056="","",IFERROR(INDEX(부서매핑!$C$5:$C$504,MATCH($G3056&amp;"",부서매핑!$A$5:$A$504,0)),"미매핑"))</f>
        <v/>
      </c>
      <c r="O3056" s="9">
        <f>IF($A3056="","",N3056&amp;"|"&amp;$F3056)</f>
        <v/>
      </c>
      <c r="P3056" s="94">
        <f>IF($A3056="",0,$H3056*설정!$C$23)</f>
        <v/>
      </c>
      <c r="Q3056" s="64">
        <f>IF($A3056="","",IF(O3056&lt;&gt;원인분석!$C$9,"",IF(AND(M3056&gt;=원인분석!$C$10,M3056&lt;=원인분석!$C$11),"당기",IF(AND(M3056&gt;=원인분석!$C$12,M3056&lt;=원인분석!$C$13),"비교",""))))</f>
        <v/>
      </c>
      <c r="R3056" s="9">
        <f>IF(Q3056="","",$K3056&amp;"")</f>
        <v/>
      </c>
      <c r="S3056" s="9">
        <f>IF(Q3056="","",IF(MATCH(R3056,$R$5:$R$100000,0)=ROW()-4,ROW(),""))</f>
        <v/>
      </c>
      <c r="T3056" s="9">
        <f>IF(Q3056="당기",ABS(P3056)+ROW()/1000000000,"")</f>
        <v/>
      </c>
      <c r="U3056" s="9">
        <f>IF(Q3056="비교",ABS(P3056)+ROW()/1000000000,"")</f>
        <v/>
      </c>
      <c r="V3056" s="64">
        <f>IF($A3056="","",IF(COUNTIF(변동분석!$E$7:$E$506,O3056)&gt;0,"Y","N"))</f>
        <v/>
      </c>
      <c r="W3056" s="64">
        <f>IF($A3056="","",IFERROR(INDEX(계정매핑!$D$5:$D$504,MATCH($F3056&amp;"",계정매핑!$A$5:$A$504,0)),"미매핑"))</f>
        <v/>
      </c>
      <c r="X3056" s="9">
        <f>IF($A3056="","",$F3056&amp;"")</f>
        <v/>
      </c>
      <c r="Y3056" s="94">
        <f>IF($A3056="",0,IF(AE3056="직접",IF(AF3056="비귀속",$P3056,0),$P3056*(1-AG3056)*IFERROR(INDEX(계정대체기준!$F$20:$F$49,MATCH($N3056,계정대체기준!$A$20:$A$49,0)),1)))</f>
        <v/>
      </c>
      <c r="Z3056" s="94">
        <f>IF($A3056="",0,IF(AE3056="직접",IF(AF3056="신계약비",$P3056,0),$P3056*(1-AG3056)*IFERROR(INDEX(계정대체기준!$C$20:$C$49,MATCH($N3056,계정대체기준!$A$20:$A$49,0)),0)))</f>
        <v/>
      </c>
      <c r="AA3056" s="94">
        <f>IF($A3056="",0,IF(AE3056="직접",IF(OR(AF3056="유지비",AF3056="손해조사비"),$P3056,0),$P3056*(1-AG3056)*IFERROR(INDEX(계정대체기준!$D$20:$D$49,MATCH($N3056,계정대체기준!$A$20:$A$49,0)),0)))</f>
        <v/>
      </c>
      <c r="AB3056" s="94">
        <f>IF($A3056="",0,IF(AE3056="직접",IF(AF3056="수금비",$P3056,0),$P3056*(1-AG3056)*IFERROR(INDEX(계정대체기준!$E$20:$E$49,MATCH($N3056,계정대체기준!$A$20:$A$49,0)),0)))</f>
        <v/>
      </c>
      <c r="AC3056" s="9">
        <f>IF(AND($A3056&lt;&gt;"",M3056=설정!$C$20,Z3056&gt;0),Z3056+ROW()/1000000000,"")</f>
        <v/>
      </c>
      <c r="AD3056" s="94">
        <f>IF($A3056="",0,$P3056*AG3056)</f>
        <v/>
      </c>
      <c r="AE3056" s="64">
        <f>IF($A3056="","",IFERROR(INDEX(계정매핑!$E$5:$E$504,MATCH($F3056&amp;"",계정매핑!$A$5:$A$504,0))&amp;"","공통비"))</f>
        <v/>
      </c>
      <c r="AF3056" s="64">
        <f>IF($A3056="","",IF(AE3056="직접",IFERROR(INDEX(계정매핑!$F$5:$F$504,MATCH($F3056&amp;"",계정매핑!$A$5:$A$504,0))&amp;"","비귀속"),""))</f>
        <v/>
      </c>
      <c r="AG3056" s="96">
        <f>IF($A3056="",0,IF(AND(AE3056&lt;&gt;"직접",IFERROR(INDEX(계정매핑!$G$5:$G$504,MATCH($F3056&amp;"",계정매핑!$A$5:$A$504,0))&amp;"","")="유지비",COUNTIF(계정대체기준!$A$6:$A$15,$N3056)&gt;0),IFERROR(INDEX(계정대체기준!$E$6:$E$15,MATCH(VALUE($A3056&amp;""),계정대체기준!$D$6:$D$15,0)),0),0))</f>
        <v/>
      </c>
      <c r="AH3056" s="64">
        <f>IF($A3056="","",IF(AD3056=0,"",IF(OR(COUNTIF(계정대체기준!$A$77:$A$86,$N3056)&gt;0,ISNUMBER(MATCH($X3056,계정대체기준!$D$77:$D$86,0)),ISNUMBER(MATCH($F3056,계정대체기준!$D$77:$D$86,0))),"Y","N")))</f>
        <v/>
      </c>
    </row>
    <row r="3057">
      <c r="A3057" s="92" t="n">
        <v>2026</v>
      </c>
      <c r="B3057" s="92" t="n">
        <v>2</v>
      </c>
      <c r="C3057" s="92" t="inlineStr">
        <is>
          <t>5100000335</t>
        </is>
      </c>
      <c r="D3057" s="95" t="n">
        <v>46066</v>
      </c>
      <c r="E3057" s="92" t="inlineStr">
        <is>
          <t>KR</t>
        </is>
      </c>
      <c r="F3057" s="92" t="n">
        <v>62701000</v>
      </c>
      <c r="G3057" s="92" t="n">
        <v>1501</v>
      </c>
      <c r="H3057" s="93" t="n">
        <v>60742000</v>
      </c>
      <c r="I3057" s="92" t="inlineStr">
        <is>
          <t>2월 광고 집행 - F애드</t>
        </is>
      </c>
      <c r="J3057" s="92" t="inlineStr">
        <is>
          <t>V10023</t>
        </is>
      </c>
      <c r="K3057" s="92" t="inlineStr">
        <is>
          <t>F애드</t>
        </is>
      </c>
      <c r="M3057" s="9">
        <f>IF($A3057="","",VALUE($A3057&amp;"")*12+VALUE($B3057&amp;""))</f>
        <v/>
      </c>
      <c r="N3057" s="64">
        <f>IF($A3057="","",IFERROR(INDEX(부서매핑!$C$5:$C$504,MATCH($G3057&amp;"",부서매핑!$A$5:$A$504,0)),"미매핑"))</f>
        <v/>
      </c>
      <c r="O3057" s="9">
        <f>IF($A3057="","",N3057&amp;"|"&amp;$F3057)</f>
        <v/>
      </c>
      <c r="P3057" s="94">
        <f>IF($A3057="",0,$H3057*설정!$C$23)</f>
        <v/>
      </c>
      <c r="Q3057" s="64">
        <f>IF($A3057="","",IF(O3057&lt;&gt;원인분석!$C$9,"",IF(AND(M3057&gt;=원인분석!$C$10,M3057&lt;=원인분석!$C$11),"당기",IF(AND(M3057&gt;=원인분석!$C$12,M3057&lt;=원인분석!$C$13),"비교",""))))</f>
        <v/>
      </c>
      <c r="R3057" s="9">
        <f>IF(Q3057="","",$K3057&amp;"")</f>
        <v/>
      </c>
      <c r="S3057" s="9">
        <f>IF(Q3057="","",IF(MATCH(R3057,$R$5:$R$100000,0)=ROW()-4,ROW(),""))</f>
        <v/>
      </c>
      <c r="T3057" s="9">
        <f>IF(Q3057="당기",ABS(P3057)+ROW()/1000000000,"")</f>
        <v/>
      </c>
      <c r="U3057" s="9">
        <f>IF(Q3057="비교",ABS(P3057)+ROW()/1000000000,"")</f>
        <v/>
      </c>
      <c r="V3057" s="64">
        <f>IF($A3057="","",IF(COUNTIF(변동분석!$E$7:$E$506,O3057)&gt;0,"Y","N"))</f>
        <v/>
      </c>
      <c r="W3057" s="64">
        <f>IF($A3057="","",IFERROR(INDEX(계정매핑!$D$5:$D$504,MATCH($F3057&amp;"",계정매핑!$A$5:$A$504,0)),"미매핑"))</f>
        <v/>
      </c>
      <c r="X3057" s="9">
        <f>IF($A3057="","",$F3057&amp;"")</f>
        <v/>
      </c>
      <c r="Y3057" s="94">
        <f>IF($A3057="",0,IF(AE3057="직접",IF(AF3057="비귀속",$P3057,0),$P3057*(1-AG3057)*IFERROR(INDEX(계정대체기준!$F$20:$F$49,MATCH($N3057,계정대체기준!$A$20:$A$49,0)),1)))</f>
        <v/>
      </c>
      <c r="Z3057" s="94">
        <f>IF($A3057="",0,IF(AE3057="직접",IF(AF3057="신계약비",$P3057,0),$P3057*(1-AG3057)*IFERROR(INDEX(계정대체기준!$C$20:$C$49,MATCH($N3057,계정대체기준!$A$20:$A$49,0)),0)))</f>
        <v/>
      </c>
      <c r="AA3057" s="94">
        <f>IF($A3057="",0,IF(AE3057="직접",IF(OR(AF3057="유지비",AF3057="손해조사비"),$P3057,0),$P3057*(1-AG3057)*IFERROR(INDEX(계정대체기준!$D$20:$D$49,MATCH($N3057,계정대체기준!$A$20:$A$49,0)),0)))</f>
        <v/>
      </c>
      <c r="AB3057" s="94">
        <f>IF($A3057="",0,IF(AE3057="직접",IF(AF3057="수금비",$P3057,0),$P3057*(1-AG3057)*IFERROR(INDEX(계정대체기준!$E$20:$E$49,MATCH($N3057,계정대체기준!$A$20:$A$49,0)),0)))</f>
        <v/>
      </c>
      <c r="AC3057" s="9">
        <f>IF(AND($A3057&lt;&gt;"",M3057=설정!$C$20,Z3057&gt;0),Z3057+ROW()/1000000000,"")</f>
        <v/>
      </c>
      <c r="AD3057" s="94">
        <f>IF($A3057="",0,$P3057*AG3057)</f>
        <v/>
      </c>
      <c r="AE3057" s="64">
        <f>IF($A3057="","",IFERROR(INDEX(계정매핑!$E$5:$E$504,MATCH($F3057&amp;"",계정매핑!$A$5:$A$504,0))&amp;"","공통비"))</f>
        <v/>
      </c>
      <c r="AF3057" s="64">
        <f>IF($A3057="","",IF(AE3057="직접",IFERROR(INDEX(계정매핑!$F$5:$F$504,MATCH($F3057&amp;"",계정매핑!$A$5:$A$504,0))&amp;"","비귀속"),""))</f>
        <v/>
      </c>
      <c r="AG3057" s="96">
        <f>IF($A3057="",0,IF(AND(AE3057&lt;&gt;"직접",IFERROR(INDEX(계정매핑!$G$5:$G$504,MATCH($F3057&amp;"",계정매핑!$A$5:$A$504,0))&amp;"","")="유지비",COUNTIF(계정대체기준!$A$6:$A$15,$N3057)&gt;0),IFERROR(INDEX(계정대체기준!$E$6:$E$15,MATCH(VALUE($A3057&amp;""),계정대체기준!$D$6:$D$15,0)),0),0))</f>
        <v/>
      </c>
      <c r="AH3057" s="64">
        <f>IF($A3057="","",IF(AD3057=0,"",IF(OR(COUNTIF(계정대체기준!$A$77:$A$86,$N3057)&gt;0,ISNUMBER(MATCH($X3057,계정대체기준!$D$77:$D$86,0)),ISNUMBER(MATCH($F3057,계정대체기준!$D$77:$D$86,0))),"Y","N")))</f>
        <v/>
      </c>
    </row>
    <row r="3058">
      <c r="A3058" s="92" t="n">
        <v>2026</v>
      </c>
      <c r="B3058" s="92" t="n">
        <v>2</v>
      </c>
      <c r="C3058" s="92" t="inlineStr">
        <is>
          <t>5100000336</t>
        </is>
      </c>
      <c r="D3058" s="95" t="n">
        <v>46066</v>
      </c>
      <c r="E3058" s="92" t="inlineStr">
        <is>
          <t>KR</t>
        </is>
      </c>
      <c r="F3058" s="92" t="n">
        <v>62902000</v>
      </c>
      <c r="G3058" s="92" t="n">
        <v>1101</v>
      </c>
      <c r="H3058" s="93" t="n">
        <v>1508000</v>
      </c>
      <c r="I3058" s="92" t="inlineStr">
        <is>
          <t>2월 업무 위탁 수수료 - J콜센터</t>
        </is>
      </c>
      <c r="J3058" s="92" t="inlineStr">
        <is>
          <t>V10016</t>
        </is>
      </c>
      <c r="K3058" s="92" t="inlineStr">
        <is>
          <t>J콜센터</t>
        </is>
      </c>
      <c r="M3058" s="9">
        <f>IF($A3058="","",VALUE($A3058&amp;"")*12+VALUE($B3058&amp;""))</f>
        <v/>
      </c>
      <c r="N3058" s="64">
        <f>IF($A3058="","",IFERROR(INDEX(부서매핑!$C$5:$C$504,MATCH($G3058&amp;"",부서매핑!$A$5:$A$504,0)),"미매핑"))</f>
        <v/>
      </c>
      <c r="O3058" s="9">
        <f>IF($A3058="","",N3058&amp;"|"&amp;$F3058)</f>
        <v/>
      </c>
      <c r="P3058" s="94">
        <f>IF($A3058="",0,$H3058*설정!$C$23)</f>
        <v/>
      </c>
      <c r="Q3058" s="64">
        <f>IF($A3058="","",IF(O3058&lt;&gt;원인분석!$C$9,"",IF(AND(M3058&gt;=원인분석!$C$10,M3058&lt;=원인분석!$C$11),"당기",IF(AND(M3058&gt;=원인분석!$C$12,M3058&lt;=원인분석!$C$13),"비교",""))))</f>
        <v/>
      </c>
      <c r="R3058" s="9">
        <f>IF(Q3058="","",$K3058&amp;"")</f>
        <v/>
      </c>
      <c r="S3058" s="9">
        <f>IF(Q3058="","",IF(MATCH(R3058,$R$5:$R$100000,0)=ROW()-4,ROW(),""))</f>
        <v/>
      </c>
      <c r="T3058" s="9">
        <f>IF(Q3058="당기",ABS(P3058)+ROW()/1000000000,"")</f>
        <v/>
      </c>
      <c r="U3058" s="9">
        <f>IF(Q3058="비교",ABS(P3058)+ROW()/1000000000,"")</f>
        <v/>
      </c>
      <c r="V3058" s="64">
        <f>IF($A3058="","",IF(COUNTIF(변동분석!$E$7:$E$506,O3058)&gt;0,"Y","N"))</f>
        <v/>
      </c>
      <c r="W3058" s="64">
        <f>IF($A3058="","",IFERROR(INDEX(계정매핑!$D$5:$D$504,MATCH($F3058&amp;"",계정매핑!$A$5:$A$504,0)),"미매핑"))</f>
        <v/>
      </c>
      <c r="X3058" s="9">
        <f>IF($A3058="","",$F3058&amp;"")</f>
        <v/>
      </c>
      <c r="Y3058" s="94">
        <f>IF($A3058="",0,IF(AE3058="직접",IF(AF3058="비귀속",$P3058,0),$P3058*(1-AG3058)*IFERROR(INDEX(계정대체기준!$F$20:$F$49,MATCH($N3058,계정대체기준!$A$20:$A$49,0)),1)))</f>
        <v/>
      </c>
      <c r="Z3058" s="94">
        <f>IF($A3058="",0,IF(AE3058="직접",IF(AF3058="신계약비",$P3058,0),$P3058*(1-AG3058)*IFERROR(INDEX(계정대체기준!$C$20:$C$49,MATCH($N3058,계정대체기준!$A$20:$A$49,0)),0)))</f>
        <v/>
      </c>
      <c r="AA3058" s="94">
        <f>IF($A3058="",0,IF(AE3058="직접",IF(OR(AF3058="유지비",AF3058="손해조사비"),$P3058,0),$P3058*(1-AG3058)*IFERROR(INDEX(계정대체기준!$D$20:$D$49,MATCH($N3058,계정대체기준!$A$20:$A$49,0)),0)))</f>
        <v/>
      </c>
      <c r="AB3058" s="94">
        <f>IF($A3058="",0,IF(AE3058="직접",IF(AF3058="수금비",$P3058,0),$P3058*(1-AG3058)*IFERROR(INDEX(계정대체기준!$E$20:$E$49,MATCH($N3058,계정대체기준!$A$20:$A$49,0)),0)))</f>
        <v/>
      </c>
      <c r="AC3058" s="9">
        <f>IF(AND($A3058&lt;&gt;"",M3058=설정!$C$20,Z3058&gt;0),Z3058+ROW()/1000000000,"")</f>
        <v/>
      </c>
      <c r="AD3058" s="94">
        <f>IF($A3058="",0,$P3058*AG3058)</f>
        <v/>
      </c>
      <c r="AE3058" s="64">
        <f>IF($A3058="","",IFERROR(INDEX(계정매핑!$E$5:$E$504,MATCH($F3058&amp;"",계정매핑!$A$5:$A$504,0))&amp;"","공통비"))</f>
        <v/>
      </c>
      <c r="AF3058" s="64">
        <f>IF($A3058="","",IF(AE3058="직접",IFERROR(INDEX(계정매핑!$F$5:$F$504,MATCH($F3058&amp;"",계정매핑!$A$5:$A$504,0))&amp;"","비귀속"),""))</f>
        <v/>
      </c>
      <c r="AG3058" s="96">
        <f>IF($A3058="",0,IF(AND(AE3058&lt;&gt;"직접",IFERROR(INDEX(계정매핑!$G$5:$G$504,MATCH($F3058&amp;"",계정매핑!$A$5:$A$504,0))&amp;"","")="유지비",COUNTIF(계정대체기준!$A$6:$A$15,$N3058)&gt;0),IFERROR(INDEX(계정대체기준!$E$6:$E$15,MATCH(VALUE($A3058&amp;""),계정대체기준!$D$6:$D$15,0)),0),0))</f>
        <v/>
      </c>
      <c r="AH3058" s="64">
        <f>IF($A3058="","",IF(AD3058=0,"",IF(OR(COUNTIF(계정대체기준!$A$77:$A$86,$N3058)&gt;0,ISNUMBER(MATCH($X3058,계정대체기준!$D$77:$D$86,0)),ISNUMBER(MATCH($F3058,계정대체기준!$D$77:$D$86,0))),"Y","N")))</f>
        <v/>
      </c>
    </row>
    <row r="3059">
      <c r="A3059" s="92" t="n">
        <v>2026</v>
      </c>
      <c r="B3059" s="92" t="n">
        <v>2</v>
      </c>
      <c r="C3059" s="92" t="inlineStr">
        <is>
          <t>5100000337</t>
        </is>
      </c>
      <c r="D3059" s="95" t="n">
        <v>46066</v>
      </c>
      <c r="E3059" s="92" t="inlineStr">
        <is>
          <t>KR</t>
        </is>
      </c>
      <c r="F3059" s="92" t="n">
        <v>62902000</v>
      </c>
      <c r="G3059" s="92" t="n">
        <v>1101</v>
      </c>
      <c r="H3059" s="93" t="n">
        <v>1960000</v>
      </c>
      <c r="I3059" s="92" t="inlineStr">
        <is>
          <t>2월 업무 위탁 수수료 - X서비스</t>
        </is>
      </c>
      <c r="J3059" s="92" t="inlineStr">
        <is>
          <t>V10020</t>
        </is>
      </c>
      <c r="K3059" s="92" t="inlineStr">
        <is>
          <t>X서비스</t>
        </is>
      </c>
      <c r="M3059" s="9">
        <f>IF($A3059="","",VALUE($A3059&amp;"")*12+VALUE($B3059&amp;""))</f>
        <v/>
      </c>
      <c r="N3059" s="64">
        <f>IF($A3059="","",IFERROR(INDEX(부서매핑!$C$5:$C$504,MATCH($G3059&amp;"",부서매핑!$A$5:$A$504,0)),"미매핑"))</f>
        <v/>
      </c>
      <c r="O3059" s="9">
        <f>IF($A3059="","",N3059&amp;"|"&amp;$F3059)</f>
        <v/>
      </c>
      <c r="P3059" s="94">
        <f>IF($A3059="",0,$H3059*설정!$C$23)</f>
        <v/>
      </c>
      <c r="Q3059" s="64">
        <f>IF($A3059="","",IF(O3059&lt;&gt;원인분석!$C$9,"",IF(AND(M3059&gt;=원인분석!$C$10,M3059&lt;=원인분석!$C$11),"당기",IF(AND(M3059&gt;=원인분석!$C$12,M3059&lt;=원인분석!$C$13),"비교",""))))</f>
        <v/>
      </c>
      <c r="R3059" s="9">
        <f>IF(Q3059="","",$K3059&amp;"")</f>
        <v/>
      </c>
      <c r="S3059" s="9">
        <f>IF(Q3059="","",IF(MATCH(R3059,$R$5:$R$100000,0)=ROW()-4,ROW(),""))</f>
        <v/>
      </c>
      <c r="T3059" s="9">
        <f>IF(Q3059="당기",ABS(P3059)+ROW()/1000000000,"")</f>
        <v/>
      </c>
      <c r="U3059" s="9">
        <f>IF(Q3059="비교",ABS(P3059)+ROW()/1000000000,"")</f>
        <v/>
      </c>
      <c r="V3059" s="64">
        <f>IF($A3059="","",IF(COUNTIF(변동분석!$E$7:$E$506,O3059)&gt;0,"Y","N"))</f>
        <v/>
      </c>
      <c r="W3059" s="64">
        <f>IF($A3059="","",IFERROR(INDEX(계정매핑!$D$5:$D$504,MATCH($F3059&amp;"",계정매핑!$A$5:$A$504,0)),"미매핑"))</f>
        <v/>
      </c>
      <c r="X3059" s="9">
        <f>IF($A3059="","",$F3059&amp;"")</f>
        <v/>
      </c>
      <c r="Y3059" s="94">
        <f>IF($A3059="",0,IF(AE3059="직접",IF(AF3059="비귀속",$P3059,0),$P3059*(1-AG3059)*IFERROR(INDEX(계정대체기준!$F$20:$F$49,MATCH($N3059,계정대체기준!$A$20:$A$49,0)),1)))</f>
        <v/>
      </c>
      <c r="Z3059" s="94">
        <f>IF($A3059="",0,IF(AE3059="직접",IF(AF3059="신계약비",$P3059,0),$P3059*(1-AG3059)*IFERROR(INDEX(계정대체기준!$C$20:$C$49,MATCH($N3059,계정대체기준!$A$20:$A$49,0)),0)))</f>
        <v/>
      </c>
      <c r="AA3059" s="94">
        <f>IF($A3059="",0,IF(AE3059="직접",IF(OR(AF3059="유지비",AF3059="손해조사비"),$P3059,0),$P3059*(1-AG3059)*IFERROR(INDEX(계정대체기준!$D$20:$D$49,MATCH($N3059,계정대체기준!$A$20:$A$49,0)),0)))</f>
        <v/>
      </c>
      <c r="AB3059" s="94">
        <f>IF($A3059="",0,IF(AE3059="직접",IF(AF3059="수금비",$P3059,0),$P3059*(1-AG3059)*IFERROR(INDEX(계정대체기준!$E$20:$E$49,MATCH($N3059,계정대체기준!$A$20:$A$49,0)),0)))</f>
        <v/>
      </c>
      <c r="AC3059" s="9">
        <f>IF(AND($A3059&lt;&gt;"",M3059=설정!$C$20,Z3059&gt;0),Z3059+ROW()/1000000000,"")</f>
        <v/>
      </c>
      <c r="AD3059" s="94">
        <f>IF($A3059="",0,$P3059*AG3059)</f>
        <v/>
      </c>
      <c r="AE3059" s="64">
        <f>IF($A3059="","",IFERROR(INDEX(계정매핑!$E$5:$E$504,MATCH($F3059&amp;"",계정매핑!$A$5:$A$504,0))&amp;"","공통비"))</f>
        <v/>
      </c>
      <c r="AF3059" s="64">
        <f>IF($A3059="","",IF(AE3059="직접",IFERROR(INDEX(계정매핑!$F$5:$F$504,MATCH($F3059&amp;"",계정매핑!$A$5:$A$504,0))&amp;"","비귀속"),""))</f>
        <v/>
      </c>
      <c r="AG3059" s="96">
        <f>IF($A3059="",0,IF(AND(AE3059&lt;&gt;"직접",IFERROR(INDEX(계정매핑!$G$5:$G$504,MATCH($F3059&amp;"",계정매핑!$A$5:$A$504,0))&amp;"","")="유지비",COUNTIF(계정대체기준!$A$6:$A$15,$N3059)&gt;0),IFERROR(INDEX(계정대체기준!$E$6:$E$15,MATCH(VALUE($A3059&amp;""),계정대체기준!$D$6:$D$15,0)),0),0))</f>
        <v/>
      </c>
      <c r="AH3059" s="64">
        <f>IF($A3059="","",IF(AD3059=0,"",IF(OR(COUNTIF(계정대체기준!$A$77:$A$86,$N3059)&gt;0,ISNUMBER(MATCH($X3059,계정대체기준!$D$77:$D$86,0)),ISNUMBER(MATCH($F3059,계정대체기준!$D$77:$D$86,0))),"Y","N")))</f>
        <v/>
      </c>
    </row>
    <row r="3060">
      <c r="A3060" s="92" t="n">
        <v>2026</v>
      </c>
      <c r="B3060" s="92" t="n">
        <v>2</v>
      </c>
      <c r="C3060" s="92" t="inlineStr">
        <is>
          <t>5100000338</t>
        </is>
      </c>
      <c r="D3060" s="95" t="n">
        <v>46066</v>
      </c>
      <c r="E3060" s="92" t="inlineStr">
        <is>
          <t>KR</t>
        </is>
      </c>
      <c r="F3060" s="92" t="n">
        <v>62902000</v>
      </c>
      <c r="G3060" s="92" t="n">
        <v>1201</v>
      </c>
      <c r="H3060" s="93" t="n">
        <v>3583000</v>
      </c>
      <c r="I3060" s="92" t="inlineStr">
        <is>
          <t>2월 업무 위탁 수수료 - X서비스</t>
        </is>
      </c>
      <c r="J3060" s="92" t="inlineStr">
        <is>
          <t>V10020</t>
        </is>
      </c>
      <c r="K3060" s="92" t="inlineStr">
        <is>
          <t>X서비스</t>
        </is>
      </c>
      <c r="M3060" s="9">
        <f>IF($A3060="","",VALUE($A3060&amp;"")*12+VALUE($B3060&amp;""))</f>
        <v/>
      </c>
      <c r="N3060" s="64">
        <f>IF($A3060="","",IFERROR(INDEX(부서매핑!$C$5:$C$504,MATCH($G3060&amp;"",부서매핑!$A$5:$A$504,0)),"미매핑"))</f>
        <v/>
      </c>
      <c r="O3060" s="9">
        <f>IF($A3060="","",N3060&amp;"|"&amp;$F3060)</f>
        <v/>
      </c>
      <c r="P3060" s="94">
        <f>IF($A3060="",0,$H3060*설정!$C$23)</f>
        <v/>
      </c>
      <c r="Q3060" s="64">
        <f>IF($A3060="","",IF(O3060&lt;&gt;원인분석!$C$9,"",IF(AND(M3060&gt;=원인분석!$C$10,M3060&lt;=원인분석!$C$11),"당기",IF(AND(M3060&gt;=원인분석!$C$12,M3060&lt;=원인분석!$C$13),"비교",""))))</f>
        <v/>
      </c>
      <c r="R3060" s="9">
        <f>IF(Q3060="","",$K3060&amp;"")</f>
        <v/>
      </c>
      <c r="S3060" s="9">
        <f>IF(Q3060="","",IF(MATCH(R3060,$R$5:$R$100000,0)=ROW()-4,ROW(),""))</f>
        <v/>
      </c>
      <c r="T3060" s="9">
        <f>IF(Q3060="당기",ABS(P3060)+ROW()/1000000000,"")</f>
        <v/>
      </c>
      <c r="U3060" s="9">
        <f>IF(Q3060="비교",ABS(P3060)+ROW()/1000000000,"")</f>
        <v/>
      </c>
      <c r="V3060" s="64">
        <f>IF($A3060="","",IF(COUNTIF(변동분석!$E$7:$E$506,O3060)&gt;0,"Y","N"))</f>
        <v/>
      </c>
      <c r="W3060" s="64">
        <f>IF($A3060="","",IFERROR(INDEX(계정매핑!$D$5:$D$504,MATCH($F3060&amp;"",계정매핑!$A$5:$A$504,0)),"미매핑"))</f>
        <v/>
      </c>
      <c r="X3060" s="9">
        <f>IF($A3060="","",$F3060&amp;"")</f>
        <v/>
      </c>
      <c r="Y3060" s="94">
        <f>IF($A3060="",0,IF(AE3060="직접",IF(AF3060="비귀속",$P3060,0),$P3060*(1-AG3060)*IFERROR(INDEX(계정대체기준!$F$20:$F$49,MATCH($N3060,계정대체기준!$A$20:$A$49,0)),1)))</f>
        <v/>
      </c>
      <c r="Z3060" s="94">
        <f>IF($A3060="",0,IF(AE3060="직접",IF(AF3060="신계약비",$P3060,0),$P3060*(1-AG3060)*IFERROR(INDEX(계정대체기준!$C$20:$C$49,MATCH($N3060,계정대체기준!$A$20:$A$49,0)),0)))</f>
        <v/>
      </c>
      <c r="AA3060" s="94">
        <f>IF($A3060="",0,IF(AE3060="직접",IF(OR(AF3060="유지비",AF3060="손해조사비"),$P3060,0),$P3060*(1-AG3060)*IFERROR(INDEX(계정대체기준!$D$20:$D$49,MATCH($N3060,계정대체기준!$A$20:$A$49,0)),0)))</f>
        <v/>
      </c>
      <c r="AB3060" s="94">
        <f>IF($A3060="",0,IF(AE3060="직접",IF(AF3060="수금비",$P3060,0),$P3060*(1-AG3060)*IFERROR(INDEX(계정대체기준!$E$20:$E$49,MATCH($N3060,계정대체기준!$A$20:$A$49,0)),0)))</f>
        <v/>
      </c>
      <c r="AC3060" s="9">
        <f>IF(AND($A3060&lt;&gt;"",M3060=설정!$C$20,Z3060&gt;0),Z3060+ROW()/1000000000,"")</f>
        <v/>
      </c>
      <c r="AD3060" s="94">
        <f>IF($A3060="",0,$P3060*AG3060)</f>
        <v/>
      </c>
      <c r="AE3060" s="64">
        <f>IF($A3060="","",IFERROR(INDEX(계정매핑!$E$5:$E$504,MATCH($F3060&amp;"",계정매핑!$A$5:$A$504,0))&amp;"","공통비"))</f>
        <v/>
      </c>
      <c r="AF3060" s="64">
        <f>IF($A3060="","",IF(AE3060="직접",IFERROR(INDEX(계정매핑!$F$5:$F$504,MATCH($F3060&amp;"",계정매핑!$A$5:$A$504,0))&amp;"","비귀속"),""))</f>
        <v/>
      </c>
      <c r="AG3060" s="96">
        <f>IF($A3060="",0,IF(AND(AE3060&lt;&gt;"직접",IFERROR(INDEX(계정매핑!$G$5:$G$504,MATCH($F3060&amp;"",계정매핑!$A$5:$A$504,0))&amp;"","")="유지비",COUNTIF(계정대체기준!$A$6:$A$15,$N3060)&gt;0),IFERROR(INDEX(계정대체기준!$E$6:$E$15,MATCH(VALUE($A3060&amp;""),계정대체기준!$D$6:$D$15,0)),0),0))</f>
        <v/>
      </c>
      <c r="AH3060" s="64">
        <f>IF($A3060="","",IF(AD3060=0,"",IF(OR(COUNTIF(계정대체기준!$A$77:$A$86,$N3060)&gt;0,ISNUMBER(MATCH($X3060,계정대체기준!$D$77:$D$86,0)),ISNUMBER(MATCH($F3060,계정대체기준!$D$77:$D$86,0))),"Y","N")))</f>
        <v/>
      </c>
    </row>
    <row r="3061">
      <c r="A3061" s="92" t="n">
        <v>2026</v>
      </c>
      <c r="B3061" s="92" t="n">
        <v>2</v>
      </c>
      <c r="C3061" s="92" t="inlineStr">
        <is>
          <t>5100000339</t>
        </is>
      </c>
      <c r="D3061" s="95" t="n">
        <v>46066</v>
      </c>
      <c r="E3061" s="92" t="inlineStr">
        <is>
          <t>KR</t>
        </is>
      </c>
      <c r="F3061" s="92" t="n">
        <v>62902000</v>
      </c>
      <c r="G3061" s="92" t="n">
        <v>1801</v>
      </c>
      <c r="H3061" s="93" t="n">
        <v>1806000</v>
      </c>
      <c r="I3061" s="92" t="inlineStr">
        <is>
          <t>2월 콜 위탁 수수료(건별)</t>
        </is>
      </c>
      <c r="J3061" s="92" t="inlineStr">
        <is>
          <t>V10016</t>
        </is>
      </c>
      <c r="K3061" s="92" t="inlineStr">
        <is>
          <t>J콜센터</t>
        </is>
      </c>
      <c r="M3061" s="9">
        <f>IF($A3061="","",VALUE($A3061&amp;"")*12+VALUE($B3061&amp;""))</f>
        <v/>
      </c>
      <c r="N3061" s="64">
        <f>IF($A3061="","",IFERROR(INDEX(부서매핑!$C$5:$C$504,MATCH($G3061&amp;"",부서매핑!$A$5:$A$504,0)),"미매핑"))</f>
        <v/>
      </c>
      <c r="O3061" s="9">
        <f>IF($A3061="","",N3061&amp;"|"&amp;$F3061)</f>
        <v/>
      </c>
      <c r="P3061" s="94">
        <f>IF($A3061="",0,$H3061*설정!$C$23)</f>
        <v/>
      </c>
      <c r="Q3061" s="64">
        <f>IF($A3061="","",IF(O3061&lt;&gt;원인분석!$C$9,"",IF(AND(M3061&gt;=원인분석!$C$10,M3061&lt;=원인분석!$C$11),"당기",IF(AND(M3061&gt;=원인분석!$C$12,M3061&lt;=원인분석!$C$13),"비교",""))))</f>
        <v/>
      </c>
      <c r="R3061" s="9">
        <f>IF(Q3061="","",$K3061&amp;"")</f>
        <v/>
      </c>
      <c r="S3061" s="9">
        <f>IF(Q3061="","",IF(MATCH(R3061,$R$5:$R$100000,0)=ROW()-4,ROW(),""))</f>
        <v/>
      </c>
      <c r="T3061" s="9">
        <f>IF(Q3061="당기",ABS(P3061)+ROW()/1000000000,"")</f>
        <v/>
      </c>
      <c r="U3061" s="9">
        <f>IF(Q3061="비교",ABS(P3061)+ROW()/1000000000,"")</f>
        <v/>
      </c>
      <c r="V3061" s="64">
        <f>IF($A3061="","",IF(COUNTIF(변동분석!$E$7:$E$506,O3061)&gt;0,"Y","N"))</f>
        <v/>
      </c>
      <c r="W3061" s="64">
        <f>IF($A3061="","",IFERROR(INDEX(계정매핑!$D$5:$D$504,MATCH($F3061&amp;"",계정매핑!$A$5:$A$504,0)),"미매핑"))</f>
        <v/>
      </c>
      <c r="X3061" s="9">
        <f>IF($A3061="","",$F3061&amp;"")</f>
        <v/>
      </c>
      <c r="Y3061" s="94">
        <f>IF($A3061="",0,IF(AE3061="직접",IF(AF3061="비귀속",$P3061,0),$P3061*(1-AG3061)*IFERROR(INDEX(계정대체기준!$F$20:$F$49,MATCH($N3061,계정대체기준!$A$20:$A$49,0)),1)))</f>
        <v/>
      </c>
      <c r="Z3061" s="94">
        <f>IF($A3061="",0,IF(AE3061="직접",IF(AF3061="신계약비",$P3061,0),$P3061*(1-AG3061)*IFERROR(INDEX(계정대체기준!$C$20:$C$49,MATCH($N3061,계정대체기준!$A$20:$A$49,0)),0)))</f>
        <v/>
      </c>
      <c r="AA3061" s="94">
        <f>IF($A3061="",0,IF(AE3061="직접",IF(OR(AF3061="유지비",AF3061="손해조사비"),$P3061,0),$P3061*(1-AG3061)*IFERROR(INDEX(계정대체기준!$D$20:$D$49,MATCH($N3061,계정대체기준!$A$20:$A$49,0)),0)))</f>
        <v/>
      </c>
      <c r="AB3061" s="94">
        <f>IF($A3061="",0,IF(AE3061="직접",IF(AF3061="수금비",$P3061,0),$P3061*(1-AG3061)*IFERROR(INDEX(계정대체기준!$E$20:$E$49,MATCH($N3061,계정대체기준!$A$20:$A$49,0)),0)))</f>
        <v/>
      </c>
      <c r="AC3061" s="9">
        <f>IF(AND($A3061&lt;&gt;"",M3061=설정!$C$20,Z3061&gt;0),Z3061+ROW()/1000000000,"")</f>
        <v/>
      </c>
      <c r="AD3061" s="94">
        <f>IF($A3061="",0,$P3061*AG3061)</f>
        <v/>
      </c>
      <c r="AE3061" s="64">
        <f>IF($A3061="","",IFERROR(INDEX(계정매핑!$E$5:$E$504,MATCH($F3061&amp;"",계정매핑!$A$5:$A$504,0))&amp;"","공통비"))</f>
        <v/>
      </c>
      <c r="AF3061" s="64">
        <f>IF($A3061="","",IF(AE3061="직접",IFERROR(INDEX(계정매핑!$F$5:$F$504,MATCH($F3061&amp;"",계정매핑!$A$5:$A$504,0))&amp;"","비귀속"),""))</f>
        <v/>
      </c>
      <c r="AG3061" s="96">
        <f>IF($A3061="",0,IF(AND(AE3061&lt;&gt;"직접",IFERROR(INDEX(계정매핑!$G$5:$G$504,MATCH($F3061&amp;"",계정매핑!$A$5:$A$504,0))&amp;"","")="유지비",COUNTIF(계정대체기준!$A$6:$A$15,$N3061)&gt;0),IFERROR(INDEX(계정대체기준!$E$6:$E$15,MATCH(VALUE($A3061&amp;""),계정대체기준!$D$6:$D$15,0)),0),0))</f>
        <v/>
      </c>
      <c r="AH3061" s="64">
        <f>IF($A3061="","",IF(AD3061=0,"",IF(OR(COUNTIF(계정대체기준!$A$77:$A$86,$N3061)&gt;0,ISNUMBER(MATCH($X3061,계정대체기준!$D$77:$D$86,0)),ISNUMBER(MATCH($F3061,계정대체기준!$D$77:$D$86,0))),"Y","N")))</f>
        <v/>
      </c>
    </row>
    <row r="3062">
      <c r="A3062" s="92" t="n">
        <v>2026</v>
      </c>
      <c r="B3062" s="92" t="n">
        <v>2</v>
      </c>
      <c r="C3062" s="92" t="inlineStr">
        <is>
          <t>5100000340</t>
        </is>
      </c>
      <c r="D3062" s="95" t="n">
        <v>46066</v>
      </c>
      <c r="E3062" s="92" t="inlineStr">
        <is>
          <t>KR</t>
        </is>
      </c>
      <c r="F3062" s="92" t="n">
        <v>62902000</v>
      </c>
      <c r="G3062" s="92" t="n">
        <v>1801</v>
      </c>
      <c r="H3062" s="93" t="n">
        <v>1832000</v>
      </c>
      <c r="I3062" s="92" t="inlineStr">
        <is>
          <t>2월 콜 위탁 수수료(건별)</t>
        </is>
      </c>
      <c r="J3062" s="92" t="inlineStr">
        <is>
          <t>V10016</t>
        </is>
      </c>
      <c r="K3062" s="92" t="inlineStr">
        <is>
          <t>J콜센터</t>
        </is>
      </c>
      <c r="M3062" s="9">
        <f>IF($A3062="","",VALUE($A3062&amp;"")*12+VALUE($B3062&amp;""))</f>
        <v/>
      </c>
      <c r="N3062" s="64">
        <f>IF($A3062="","",IFERROR(INDEX(부서매핑!$C$5:$C$504,MATCH($G3062&amp;"",부서매핑!$A$5:$A$504,0)),"미매핑"))</f>
        <v/>
      </c>
      <c r="O3062" s="9">
        <f>IF($A3062="","",N3062&amp;"|"&amp;$F3062)</f>
        <v/>
      </c>
      <c r="P3062" s="94">
        <f>IF($A3062="",0,$H3062*설정!$C$23)</f>
        <v/>
      </c>
      <c r="Q3062" s="64">
        <f>IF($A3062="","",IF(O3062&lt;&gt;원인분석!$C$9,"",IF(AND(M3062&gt;=원인분석!$C$10,M3062&lt;=원인분석!$C$11),"당기",IF(AND(M3062&gt;=원인분석!$C$12,M3062&lt;=원인분석!$C$13),"비교",""))))</f>
        <v/>
      </c>
      <c r="R3062" s="9">
        <f>IF(Q3062="","",$K3062&amp;"")</f>
        <v/>
      </c>
      <c r="S3062" s="9">
        <f>IF(Q3062="","",IF(MATCH(R3062,$R$5:$R$100000,0)=ROW()-4,ROW(),""))</f>
        <v/>
      </c>
      <c r="T3062" s="9">
        <f>IF(Q3062="당기",ABS(P3062)+ROW()/1000000000,"")</f>
        <v/>
      </c>
      <c r="U3062" s="9">
        <f>IF(Q3062="비교",ABS(P3062)+ROW()/1000000000,"")</f>
        <v/>
      </c>
      <c r="V3062" s="64">
        <f>IF($A3062="","",IF(COUNTIF(변동분석!$E$7:$E$506,O3062)&gt;0,"Y","N"))</f>
        <v/>
      </c>
      <c r="W3062" s="64">
        <f>IF($A3062="","",IFERROR(INDEX(계정매핑!$D$5:$D$504,MATCH($F3062&amp;"",계정매핑!$A$5:$A$504,0)),"미매핑"))</f>
        <v/>
      </c>
      <c r="X3062" s="9">
        <f>IF($A3062="","",$F3062&amp;"")</f>
        <v/>
      </c>
      <c r="Y3062" s="94">
        <f>IF($A3062="",0,IF(AE3062="직접",IF(AF3062="비귀속",$P3062,0),$P3062*(1-AG3062)*IFERROR(INDEX(계정대체기준!$F$20:$F$49,MATCH($N3062,계정대체기준!$A$20:$A$49,0)),1)))</f>
        <v/>
      </c>
      <c r="Z3062" s="94">
        <f>IF($A3062="",0,IF(AE3062="직접",IF(AF3062="신계약비",$P3062,0),$P3062*(1-AG3062)*IFERROR(INDEX(계정대체기준!$C$20:$C$49,MATCH($N3062,계정대체기준!$A$20:$A$49,0)),0)))</f>
        <v/>
      </c>
      <c r="AA3062" s="94">
        <f>IF($A3062="",0,IF(AE3062="직접",IF(OR(AF3062="유지비",AF3062="손해조사비"),$P3062,0),$P3062*(1-AG3062)*IFERROR(INDEX(계정대체기준!$D$20:$D$49,MATCH($N3062,계정대체기준!$A$20:$A$49,0)),0)))</f>
        <v/>
      </c>
      <c r="AB3062" s="94">
        <f>IF($A3062="",0,IF(AE3062="직접",IF(AF3062="수금비",$P3062,0),$P3062*(1-AG3062)*IFERROR(INDEX(계정대체기준!$E$20:$E$49,MATCH($N3062,계정대체기준!$A$20:$A$49,0)),0)))</f>
        <v/>
      </c>
      <c r="AC3062" s="9">
        <f>IF(AND($A3062&lt;&gt;"",M3062=설정!$C$20,Z3062&gt;0),Z3062+ROW()/1000000000,"")</f>
        <v/>
      </c>
      <c r="AD3062" s="94">
        <f>IF($A3062="",0,$P3062*AG3062)</f>
        <v/>
      </c>
      <c r="AE3062" s="64">
        <f>IF($A3062="","",IFERROR(INDEX(계정매핑!$E$5:$E$504,MATCH($F3062&amp;"",계정매핑!$A$5:$A$504,0))&amp;"","공통비"))</f>
        <v/>
      </c>
      <c r="AF3062" s="64">
        <f>IF($A3062="","",IF(AE3062="직접",IFERROR(INDEX(계정매핑!$F$5:$F$504,MATCH($F3062&amp;"",계정매핑!$A$5:$A$504,0))&amp;"","비귀속"),""))</f>
        <v/>
      </c>
      <c r="AG3062" s="96">
        <f>IF($A3062="",0,IF(AND(AE3062&lt;&gt;"직접",IFERROR(INDEX(계정매핑!$G$5:$G$504,MATCH($F3062&amp;"",계정매핑!$A$5:$A$504,0))&amp;"","")="유지비",COUNTIF(계정대체기준!$A$6:$A$15,$N3062)&gt;0),IFERROR(INDEX(계정대체기준!$E$6:$E$15,MATCH(VALUE($A3062&amp;""),계정대체기준!$D$6:$D$15,0)),0),0))</f>
        <v/>
      </c>
      <c r="AH3062" s="64">
        <f>IF($A3062="","",IF(AD3062=0,"",IF(OR(COUNTIF(계정대체기준!$A$77:$A$86,$N3062)&gt;0,ISNUMBER(MATCH($X3062,계정대체기준!$D$77:$D$86,0)),ISNUMBER(MATCH($F3062,계정대체기준!$D$77:$D$86,0))),"Y","N")))</f>
        <v/>
      </c>
    </row>
    <row r="3063">
      <c r="A3063" s="92" t="n">
        <v>2026</v>
      </c>
      <c r="B3063" s="92" t="n">
        <v>2</v>
      </c>
      <c r="C3063" s="92" t="inlineStr">
        <is>
          <t>5100000341</t>
        </is>
      </c>
      <c r="D3063" s="95" t="n">
        <v>46066</v>
      </c>
      <c r="E3063" s="92" t="inlineStr">
        <is>
          <t>KR</t>
        </is>
      </c>
      <c r="F3063" s="92" t="n">
        <v>62902000</v>
      </c>
      <c r="G3063" s="92" t="n">
        <v>1801</v>
      </c>
      <c r="H3063" s="93" t="n">
        <v>1822000</v>
      </c>
      <c r="I3063" s="92" t="inlineStr">
        <is>
          <t>2월 콜 위탁 수수료(건별)</t>
        </is>
      </c>
      <c r="J3063" s="92" t="inlineStr">
        <is>
          <t>V10016</t>
        </is>
      </c>
      <c r="K3063" s="92" t="inlineStr">
        <is>
          <t>J콜센터</t>
        </is>
      </c>
      <c r="M3063" s="9">
        <f>IF($A3063="","",VALUE($A3063&amp;"")*12+VALUE($B3063&amp;""))</f>
        <v/>
      </c>
      <c r="N3063" s="64">
        <f>IF($A3063="","",IFERROR(INDEX(부서매핑!$C$5:$C$504,MATCH($G3063&amp;"",부서매핑!$A$5:$A$504,0)),"미매핑"))</f>
        <v/>
      </c>
      <c r="O3063" s="9">
        <f>IF($A3063="","",N3063&amp;"|"&amp;$F3063)</f>
        <v/>
      </c>
      <c r="P3063" s="94">
        <f>IF($A3063="",0,$H3063*설정!$C$23)</f>
        <v/>
      </c>
      <c r="Q3063" s="64">
        <f>IF($A3063="","",IF(O3063&lt;&gt;원인분석!$C$9,"",IF(AND(M3063&gt;=원인분석!$C$10,M3063&lt;=원인분석!$C$11),"당기",IF(AND(M3063&gt;=원인분석!$C$12,M3063&lt;=원인분석!$C$13),"비교",""))))</f>
        <v/>
      </c>
      <c r="R3063" s="9">
        <f>IF(Q3063="","",$K3063&amp;"")</f>
        <v/>
      </c>
      <c r="S3063" s="9">
        <f>IF(Q3063="","",IF(MATCH(R3063,$R$5:$R$100000,0)=ROW()-4,ROW(),""))</f>
        <v/>
      </c>
      <c r="T3063" s="9">
        <f>IF(Q3063="당기",ABS(P3063)+ROW()/1000000000,"")</f>
        <v/>
      </c>
      <c r="U3063" s="9">
        <f>IF(Q3063="비교",ABS(P3063)+ROW()/1000000000,"")</f>
        <v/>
      </c>
      <c r="V3063" s="64">
        <f>IF($A3063="","",IF(COUNTIF(변동분석!$E$7:$E$506,O3063)&gt;0,"Y","N"))</f>
        <v/>
      </c>
      <c r="W3063" s="64">
        <f>IF($A3063="","",IFERROR(INDEX(계정매핑!$D$5:$D$504,MATCH($F3063&amp;"",계정매핑!$A$5:$A$504,0)),"미매핑"))</f>
        <v/>
      </c>
      <c r="X3063" s="9">
        <f>IF($A3063="","",$F3063&amp;"")</f>
        <v/>
      </c>
      <c r="Y3063" s="94">
        <f>IF($A3063="",0,IF(AE3063="직접",IF(AF3063="비귀속",$P3063,0),$P3063*(1-AG3063)*IFERROR(INDEX(계정대체기준!$F$20:$F$49,MATCH($N3063,계정대체기준!$A$20:$A$49,0)),1)))</f>
        <v/>
      </c>
      <c r="Z3063" s="94">
        <f>IF($A3063="",0,IF(AE3063="직접",IF(AF3063="신계약비",$P3063,0),$P3063*(1-AG3063)*IFERROR(INDEX(계정대체기준!$C$20:$C$49,MATCH($N3063,계정대체기준!$A$20:$A$49,0)),0)))</f>
        <v/>
      </c>
      <c r="AA3063" s="94">
        <f>IF($A3063="",0,IF(AE3063="직접",IF(OR(AF3063="유지비",AF3063="손해조사비"),$P3063,0),$P3063*(1-AG3063)*IFERROR(INDEX(계정대체기준!$D$20:$D$49,MATCH($N3063,계정대체기준!$A$20:$A$49,0)),0)))</f>
        <v/>
      </c>
      <c r="AB3063" s="94">
        <f>IF($A3063="",0,IF(AE3063="직접",IF(AF3063="수금비",$P3063,0),$P3063*(1-AG3063)*IFERROR(INDEX(계정대체기준!$E$20:$E$49,MATCH($N3063,계정대체기준!$A$20:$A$49,0)),0)))</f>
        <v/>
      </c>
      <c r="AC3063" s="9">
        <f>IF(AND($A3063&lt;&gt;"",M3063=설정!$C$20,Z3063&gt;0),Z3063+ROW()/1000000000,"")</f>
        <v/>
      </c>
      <c r="AD3063" s="94">
        <f>IF($A3063="",0,$P3063*AG3063)</f>
        <v/>
      </c>
      <c r="AE3063" s="64">
        <f>IF($A3063="","",IFERROR(INDEX(계정매핑!$E$5:$E$504,MATCH($F3063&amp;"",계정매핑!$A$5:$A$504,0))&amp;"","공통비"))</f>
        <v/>
      </c>
      <c r="AF3063" s="64">
        <f>IF($A3063="","",IF(AE3063="직접",IFERROR(INDEX(계정매핑!$F$5:$F$504,MATCH($F3063&amp;"",계정매핑!$A$5:$A$504,0))&amp;"","비귀속"),""))</f>
        <v/>
      </c>
      <c r="AG3063" s="96">
        <f>IF($A3063="",0,IF(AND(AE3063&lt;&gt;"직접",IFERROR(INDEX(계정매핑!$G$5:$G$504,MATCH($F3063&amp;"",계정매핑!$A$5:$A$504,0))&amp;"","")="유지비",COUNTIF(계정대체기준!$A$6:$A$15,$N3063)&gt;0),IFERROR(INDEX(계정대체기준!$E$6:$E$15,MATCH(VALUE($A3063&amp;""),계정대체기준!$D$6:$D$15,0)),0),0))</f>
        <v/>
      </c>
      <c r="AH3063" s="64">
        <f>IF($A3063="","",IF(AD3063=0,"",IF(OR(COUNTIF(계정대체기준!$A$77:$A$86,$N3063)&gt;0,ISNUMBER(MATCH($X3063,계정대체기준!$D$77:$D$86,0)),ISNUMBER(MATCH($F3063,계정대체기준!$D$77:$D$86,0))),"Y","N")))</f>
        <v/>
      </c>
    </row>
    <row r="3064">
      <c r="A3064" s="92" t="n">
        <v>2026</v>
      </c>
      <c r="B3064" s="92" t="n">
        <v>2</v>
      </c>
      <c r="C3064" s="92" t="inlineStr">
        <is>
          <t>5100000342</t>
        </is>
      </c>
      <c r="D3064" s="95" t="n">
        <v>46067</v>
      </c>
      <c r="E3064" s="92" t="inlineStr">
        <is>
          <t>KR</t>
        </is>
      </c>
      <c r="F3064" s="92" t="n">
        <v>62101000</v>
      </c>
      <c r="G3064" s="92" t="n">
        <v>1701</v>
      </c>
      <c r="H3064" s="93" t="n">
        <v>212000</v>
      </c>
      <c r="I3064" s="92" t="inlineStr">
        <is>
          <t>2월 국내출장 - M항공</t>
        </is>
      </c>
      <c r="J3064" s="92" t="inlineStr">
        <is>
          <t>V10001</t>
        </is>
      </c>
      <c r="K3064" s="92" t="inlineStr">
        <is>
          <t>M항공</t>
        </is>
      </c>
      <c r="M3064" s="9">
        <f>IF($A3064="","",VALUE($A3064&amp;"")*12+VALUE($B3064&amp;""))</f>
        <v/>
      </c>
      <c r="N3064" s="64">
        <f>IF($A3064="","",IFERROR(INDEX(부서매핑!$C$5:$C$504,MATCH($G3064&amp;"",부서매핑!$A$5:$A$504,0)),"미매핑"))</f>
        <v/>
      </c>
      <c r="O3064" s="9">
        <f>IF($A3064="","",N3064&amp;"|"&amp;$F3064)</f>
        <v/>
      </c>
      <c r="P3064" s="94">
        <f>IF($A3064="",0,$H3064*설정!$C$23)</f>
        <v/>
      </c>
      <c r="Q3064" s="64">
        <f>IF($A3064="","",IF(O3064&lt;&gt;원인분석!$C$9,"",IF(AND(M3064&gt;=원인분석!$C$10,M3064&lt;=원인분석!$C$11),"당기",IF(AND(M3064&gt;=원인분석!$C$12,M3064&lt;=원인분석!$C$13),"비교",""))))</f>
        <v/>
      </c>
      <c r="R3064" s="9">
        <f>IF(Q3064="","",$K3064&amp;"")</f>
        <v/>
      </c>
      <c r="S3064" s="9">
        <f>IF(Q3064="","",IF(MATCH(R3064,$R$5:$R$100000,0)=ROW()-4,ROW(),""))</f>
        <v/>
      </c>
      <c r="T3064" s="9">
        <f>IF(Q3064="당기",ABS(P3064)+ROW()/1000000000,"")</f>
        <v/>
      </c>
      <c r="U3064" s="9">
        <f>IF(Q3064="비교",ABS(P3064)+ROW()/1000000000,"")</f>
        <v/>
      </c>
      <c r="V3064" s="64">
        <f>IF($A3064="","",IF(COUNTIF(변동분석!$E$7:$E$506,O3064)&gt;0,"Y","N"))</f>
        <v/>
      </c>
      <c r="W3064" s="64">
        <f>IF($A3064="","",IFERROR(INDEX(계정매핑!$D$5:$D$504,MATCH($F3064&amp;"",계정매핑!$A$5:$A$504,0)),"미매핑"))</f>
        <v/>
      </c>
      <c r="X3064" s="9">
        <f>IF($A3064="","",$F3064&amp;"")</f>
        <v/>
      </c>
      <c r="Y3064" s="94">
        <f>IF($A3064="",0,IF(AE3064="직접",IF(AF3064="비귀속",$P3064,0),$P3064*(1-AG3064)*IFERROR(INDEX(계정대체기준!$F$20:$F$49,MATCH($N3064,계정대체기준!$A$20:$A$49,0)),1)))</f>
        <v/>
      </c>
      <c r="Z3064" s="94">
        <f>IF($A3064="",0,IF(AE3064="직접",IF(AF3064="신계약비",$P3064,0),$P3064*(1-AG3064)*IFERROR(INDEX(계정대체기준!$C$20:$C$49,MATCH($N3064,계정대체기준!$A$20:$A$49,0)),0)))</f>
        <v/>
      </c>
      <c r="AA3064" s="94">
        <f>IF($A3064="",0,IF(AE3064="직접",IF(OR(AF3064="유지비",AF3064="손해조사비"),$P3064,0),$P3064*(1-AG3064)*IFERROR(INDEX(계정대체기준!$D$20:$D$49,MATCH($N3064,계정대체기준!$A$20:$A$49,0)),0)))</f>
        <v/>
      </c>
      <c r="AB3064" s="94">
        <f>IF($A3064="",0,IF(AE3064="직접",IF(AF3064="수금비",$P3064,0),$P3064*(1-AG3064)*IFERROR(INDEX(계정대체기준!$E$20:$E$49,MATCH($N3064,계정대체기준!$A$20:$A$49,0)),0)))</f>
        <v/>
      </c>
      <c r="AC3064" s="9">
        <f>IF(AND($A3064&lt;&gt;"",M3064=설정!$C$20,Z3064&gt;0),Z3064+ROW()/1000000000,"")</f>
        <v/>
      </c>
      <c r="AD3064" s="94">
        <f>IF($A3064="",0,$P3064*AG3064)</f>
        <v/>
      </c>
      <c r="AE3064" s="64">
        <f>IF($A3064="","",IFERROR(INDEX(계정매핑!$E$5:$E$504,MATCH($F3064&amp;"",계정매핑!$A$5:$A$504,0))&amp;"","공통비"))</f>
        <v/>
      </c>
      <c r="AF3064" s="64">
        <f>IF($A3064="","",IF(AE3064="직접",IFERROR(INDEX(계정매핑!$F$5:$F$504,MATCH($F3064&amp;"",계정매핑!$A$5:$A$504,0))&amp;"","비귀속"),""))</f>
        <v/>
      </c>
      <c r="AG3064" s="96">
        <f>IF($A3064="",0,IF(AND(AE3064&lt;&gt;"직접",IFERROR(INDEX(계정매핑!$G$5:$G$504,MATCH($F3064&amp;"",계정매핑!$A$5:$A$504,0))&amp;"","")="유지비",COUNTIF(계정대체기준!$A$6:$A$15,$N3064)&gt;0),IFERROR(INDEX(계정대체기준!$E$6:$E$15,MATCH(VALUE($A3064&amp;""),계정대체기준!$D$6:$D$15,0)),0),0))</f>
        <v/>
      </c>
      <c r="AH3064" s="64">
        <f>IF($A3064="","",IF(AD3064=0,"",IF(OR(COUNTIF(계정대체기준!$A$77:$A$86,$N3064)&gt;0,ISNUMBER(MATCH($X3064,계정대체기준!$D$77:$D$86,0)),ISNUMBER(MATCH($F3064,계정대체기준!$D$77:$D$86,0))),"Y","N")))</f>
        <v/>
      </c>
    </row>
    <row r="3065">
      <c r="A3065" s="92" t="n">
        <v>2026</v>
      </c>
      <c r="B3065" s="92" t="n">
        <v>2</v>
      </c>
      <c r="C3065" s="92" t="inlineStr">
        <is>
          <t>5100000343</t>
        </is>
      </c>
      <c r="D3065" s="95" t="n">
        <v>46067</v>
      </c>
      <c r="E3065" s="92" t="inlineStr">
        <is>
          <t>KR</t>
        </is>
      </c>
      <c r="F3065" s="92" t="n">
        <v>62102000</v>
      </c>
      <c r="G3065" s="92" t="n">
        <v>1401</v>
      </c>
      <c r="H3065" s="93" t="n">
        <v>130000</v>
      </c>
      <c r="I3065" s="92" t="inlineStr">
        <is>
          <t>2월 해외출장 - N호텔</t>
        </is>
      </c>
      <c r="J3065" s="92" t="inlineStr">
        <is>
          <t>V10009</t>
        </is>
      </c>
      <c r="K3065" s="92" t="inlineStr">
        <is>
          <t>N호텔</t>
        </is>
      </c>
      <c r="M3065" s="9">
        <f>IF($A3065="","",VALUE($A3065&amp;"")*12+VALUE($B3065&amp;""))</f>
        <v/>
      </c>
      <c r="N3065" s="64">
        <f>IF($A3065="","",IFERROR(INDEX(부서매핑!$C$5:$C$504,MATCH($G3065&amp;"",부서매핑!$A$5:$A$504,0)),"미매핑"))</f>
        <v/>
      </c>
      <c r="O3065" s="9">
        <f>IF($A3065="","",N3065&amp;"|"&amp;$F3065)</f>
        <v/>
      </c>
      <c r="P3065" s="94">
        <f>IF($A3065="",0,$H3065*설정!$C$23)</f>
        <v/>
      </c>
      <c r="Q3065" s="64">
        <f>IF($A3065="","",IF(O3065&lt;&gt;원인분석!$C$9,"",IF(AND(M3065&gt;=원인분석!$C$10,M3065&lt;=원인분석!$C$11),"당기",IF(AND(M3065&gt;=원인분석!$C$12,M3065&lt;=원인분석!$C$13),"비교",""))))</f>
        <v/>
      </c>
      <c r="R3065" s="9">
        <f>IF(Q3065="","",$K3065&amp;"")</f>
        <v/>
      </c>
      <c r="S3065" s="9">
        <f>IF(Q3065="","",IF(MATCH(R3065,$R$5:$R$100000,0)=ROW()-4,ROW(),""))</f>
        <v/>
      </c>
      <c r="T3065" s="9">
        <f>IF(Q3065="당기",ABS(P3065)+ROW()/1000000000,"")</f>
        <v/>
      </c>
      <c r="U3065" s="9">
        <f>IF(Q3065="비교",ABS(P3065)+ROW()/1000000000,"")</f>
        <v/>
      </c>
      <c r="V3065" s="64">
        <f>IF($A3065="","",IF(COUNTIF(변동분석!$E$7:$E$506,O3065)&gt;0,"Y","N"))</f>
        <v/>
      </c>
      <c r="W3065" s="64">
        <f>IF($A3065="","",IFERROR(INDEX(계정매핑!$D$5:$D$504,MATCH($F3065&amp;"",계정매핑!$A$5:$A$504,0)),"미매핑"))</f>
        <v/>
      </c>
      <c r="X3065" s="9">
        <f>IF($A3065="","",$F3065&amp;"")</f>
        <v/>
      </c>
      <c r="Y3065" s="94">
        <f>IF($A3065="",0,IF(AE3065="직접",IF(AF3065="비귀속",$P3065,0),$P3065*(1-AG3065)*IFERROR(INDEX(계정대체기준!$F$20:$F$49,MATCH($N3065,계정대체기준!$A$20:$A$49,0)),1)))</f>
        <v/>
      </c>
      <c r="Z3065" s="94">
        <f>IF($A3065="",0,IF(AE3065="직접",IF(AF3065="신계약비",$P3065,0),$P3065*(1-AG3065)*IFERROR(INDEX(계정대체기준!$C$20:$C$49,MATCH($N3065,계정대체기준!$A$20:$A$49,0)),0)))</f>
        <v/>
      </c>
      <c r="AA3065" s="94">
        <f>IF($A3065="",0,IF(AE3065="직접",IF(OR(AF3065="유지비",AF3065="손해조사비"),$P3065,0),$P3065*(1-AG3065)*IFERROR(INDEX(계정대체기준!$D$20:$D$49,MATCH($N3065,계정대체기준!$A$20:$A$49,0)),0)))</f>
        <v/>
      </c>
      <c r="AB3065" s="94">
        <f>IF($A3065="",0,IF(AE3065="직접",IF(AF3065="수금비",$P3065,0),$P3065*(1-AG3065)*IFERROR(INDEX(계정대체기준!$E$20:$E$49,MATCH($N3065,계정대체기준!$A$20:$A$49,0)),0)))</f>
        <v/>
      </c>
      <c r="AC3065" s="9">
        <f>IF(AND($A3065&lt;&gt;"",M3065=설정!$C$20,Z3065&gt;0),Z3065+ROW()/1000000000,"")</f>
        <v/>
      </c>
      <c r="AD3065" s="94">
        <f>IF($A3065="",0,$P3065*AG3065)</f>
        <v/>
      </c>
      <c r="AE3065" s="64">
        <f>IF($A3065="","",IFERROR(INDEX(계정매핑!$E$5:$E$504,MATCH($F3065&amp;"",계정매핑!$A$5:$A$504,0))&amp;"","공통비"))</f>
        <v/>
      </c>
      <c r="AF3065" s="64">
        <f>IF($A3065="","",IF(AE3065="직접",IFERROR(INDEX(계정매핑!$F$5:$F$504,MATCH($F3065&amp;"",계정매핑!$A$5:$A$504,0))&amp;"","비귀속"),""))</f>
        <v/>
      </c>
      <c r="AG3065" s="96">
        <f>IF($A3065="",0,IF(AND(AE3065&lt;&gt;"직접",IFERROR(INDEX(계정매핑!$G$5:$G$504,MATCH($F3065&amp;"",계정매핑!$A$5:$A$504,0))&amp;"","")="유지비",COUNTIF(계정대체기준!$A$6:$A$15,$N3065)&gt;0),IFERROR(INDEX(계정대체기준!$E$6:$E$15,MATCH(VALUE($A3065&amp;""),계정대체기준!$D$6:$D$15,0)),0),0))</f>
        <v/>
      </c>
      <c r="AH3065" s="64">
        <f>IF($A3065="","",IF(AD3065=0,"",IF(OR(COUNTIF(계정대체기준!$A$77:$A$86,$N3065)&gt;0,ISNUMBER(MATCH($X3065,계정대체기준!$D$77:$D$86,0)),ISNUMBER(MATCH($F3065,계정대체기준!$D$77:$D$86,0))),"Y","N")))</f>
        <v/>
      </c>
    </row>
    <row r="3066">
      <c r="A3066" s="92" t="n">
        <v>2026</v>
      </c>
      <c r="B3066" s="92" t="n">
        <v>2</v>
      </c>
      <c r="C3066" s="92" t="inlineStr">
        <is>
          <t>5100000344</t>
        </is>
      </c>
      <c r="D3066" s="95" t="n">
        <v>46067</v>
      </c>
      <c r="E3066" s="92" t="inlineStr">
        <is>
          <t>KR</t>
        </is>
      </c>
      <c r="F3066" s="92" t="n">
        <v>62201000</v>
      </c>
      <c r="G3066" s="92" t="n">
        <v>1101</v>
      </c>
      <c r="H3066" s="93" t="n">
        <v>172000</v>
      </c>
      <c r="I3066" s="92" t="inlineStr">
        <is>
          <t>2월 통신요금 - O텔레콤</t>
        </is>
      </c>
      <c r="J3066" s="92" t="inlineStr">
        <is>
          <t>V10002</t>
        </is>
      </c>
      <c r="K3066" s="92" t="inlineStr">
        <is>
          <t>O텔레콤</t>
        </is>
      </c>
      <c r="M3066" s="9">
        <f>IF($A3066="","",VALUE($A3066&amp;"")*12+VALUE($B3066&amp;""))</f>
        <v/>
      </c>
      <c r="N3066" s="64">
        <f>IF($A3066="","",IFERROR(INDEX(부서매핑!$C$5:$C$504,MATCH($G3066&amp;"",부서매핑!$A$5:$A$504,0)),"미매핑"))</f>
        <v/>
      </c>
      <c r="O3066" s="9">
        <f>IF($A3066="","",N3066&amp;"|"&amp;$F3066)</f>
        <v/>
      </c>
      <c r="P3066" s="94">
        <f>IF($A3066="",0,$H3066*설정!$C$23)</f>
        <v/>
      </c>
      <c r="Q3066" s="64">
        <f>IF($A3066="","",IF(O3066&lt;&gt;원인분석!$C$9,"",IF(AND(M3066&gt;=원인분석!$C$10,M3066&lt;=원인분석!$C$11),"당기",IF(AND(M3066&gt;=원인분석!$C$12,M3066&lt;=원인분석!$C$13),"비교",""))))</f>
        <v/>
      </c>
      <c r="R3066" s="9">
        <f>IF(Q3066="","",$K3066&amp;"")</f>
        <v/>
      </c>
      <c r="S3066" s="9">
        <f>IF(Q3066="","",IF(MATCH(R3066,$R$5:$R$100000,0)=ROW()-4,ROW(),""))</f>
        <v/>
      </c>
      <c r="T3066" s="9">
        <f>IF(Q3066="당기",ABS(P3066)+ROW()/1000000000,"")</f>
        <v/>
      </c>
      <c r="U3066" s="9">
        <f>IF(Q3066="비교",ABS(P3066)+ROW()/1000000000,"")</f>
        <v/>
      </c>
      <c r="V3066" s="64">
        <f>IF($A3066="","",IF(COUNTIF(변동분석!$E$7:$E$506,O3066)&gt;0,"Y","N"))</f>
        <v/>
      </c>
      <c r="W3066" s="64">
        <f>IF($A3066="","",IFERROR(INDEX(계정매핑!$D$5:$D$504,MATCH($F3066&amp;"",계정매핑!$A$5:$A$504,0)),"미매핑"))</f>
        <v/>
      </c>
      <c r="X3066" s="9">
        <f>IF($A3066="","",$F3066&amp;"")</f>
        <v/>
      </c>
      <c r="Y3066" s="94">
        <f>IF($A3066="",0,IF(AE3066="직접",IF(AF3066="비귀속",$P3066,0),$P3066*(1-AG3066)*IFERROR(INDEX(계정대체기준!$F$20:$F$49,MATCH($N3066,계정대체기준!$A$20:$A$49,0)),1)))</f>
        <v/>
      </c>
      <c r="Z3066" s="94">
        <f>IF($A3066="",0,IF(AE3066="직접",IF(AF3066="신계약비",$P3066,0),$P3066*(1-AG3066)*IFERROR(INDEX(계정대체기준!$C$20:$C$49,MATCH($N3066,계정대체기준!$A$20:$A$49,0)),0)))</f>
        <v/>
      </c>
      <c r="AA3066" s="94">
        <f>IF($A3066="",0,IF(AE3066="직접",IF(OR(AF3066="유지비",AF3066="손해조사비"),$P3066,0),$P3066*(1-AG3066)*IFERROR(INDEX(계정대체기준!$D$20:$D$49,MATCH($N3066,계정대체기준!$A$20:$A$49,0)),0)))</f>
        <v/>
      </c>
      <c r="AB3066" s="94">
        <f>IF($A3066="",0,IF(AE3066="직접",IF(AF3066="수금비",$P3066,0),$P3066*(1-AG3066)*IFERROR(INDEX(계정대체기준!$E$20:$E$49,MATCH($N3066,계정대체기준!$A$20:$A$49,0)),0)))</f>
        <v/>
      </c>
      <c r="AC3066" s="9">
        <f>IF(AND($A3066&lt;&gt;"",M3066=설정!$C$20,Z3066&gt;0),Z3066+ROW()/1000000000,"")</f>
        <v/>
      </c>
      <c r="AD3066" s="94">
        <f>IF($A3066="",0,$P3066*AG3066)</f>
        <v/>
      </c>
      <c r="AE3066" s="64">
        <f>IF($A3066="","",IFERROR(INDEX(계정매핑!$E$5:$E$504,MATCH($F3066&amp;"",계정매핑!$A$5:$A$504,0))&amp;"","공통비"))</f>
        <v/>
      </c>
      <c r="AF3066" s="64">
        <f>IF($A3066="","",IF(AE3066="직접",IFERROR(INDEX(계정매핑!$F$5:$F$504,MATCH($F3066&amp;"",계정매핑!$A$5:$A$504,0))&amp;"","비귀속"),""))</f>
        <v/>
      </c>
      <c r="AG3066" s="96">
        <f>IF($A3066="",0,IF(AND(AE3066&lt;&gt;"직접",IFERROR(INDEX(계정매핑!$G$5:$G$504,MATCH($F3066&amp;"",계정매핑!$A$5:$A$504,0))&amp;"","")="유지비",COUNTIF(계정대체기준!$A$6:$A$15,$N3066)&gt;0),IFERROR(INDEX(계정대체기준!$E$6:$E$15,MATCH(VALUE($A3066&amp;""),계정대체기준!$D$6:$D$15,0)),0),0))</f>
        <v/>
      </c>
      <c r="AH3066" s="64">
        <f>IF($A3066="","",IF(AD3066=0,"",IF(OR(COUNTIF(계정대체기준!$A$77:$A$86,$N3066)&gt;0,ISNUMBER(MATCH($X3066,계정대체기준!$D$77:$D$86,0)),ISNUMBER(MATCH($F3066,계정대체기준!$D$77:$D$86,0))),"Y","N")))</f>
        <v/>
      </c>
    </row>
    <row r="3067">
      <c r="A3067" s="92" t="n">
        <v>2026</v>
      </c>
      <c r="B3067" s="92" t="n">
        <v>2</v>
      </c>
      <c r="C3067" s="92" t="inlineStr">
        <is>
          <t>5100000345</t>
        </is>
      </c>
      <c r="D3067" s="95" t="n">
        <v>46067</v>
      </c>
      <c r="E3067" s="92" t="inlineStr">
        <is>
          <t>KR</t>
        </is>
      </c>
      <c r="F3067" s="92" t="n">
        <v>62201000</v>
      </c>
      <c r="G3067" s="92" t="n">
        <v>1401</v>
      </c>
      <c r="H3067" s="93" t="n">
        <v>289000</v>
      </c>
      <c r="I3067" s="92" t="inlineStr">
        <is>
          <t>2월 통신요금 - O텔레콤</t>
        </is>
      </c>
      <c r="J3067" s="92" t="inlineStr">
        <is>
          <t>V10002</t>
        </is>
      </c>
      <c r="K3067" s="92" t="inlineStr">
        <is>
          <t>O텔레콤</t>
        </is>
      </c>
      <c r="M3067" s="9">
        <f>IF($A3067="","",VALUE($A3067&amp;"")*12+VALUE($B3067&amp;""))</f>
        <v/>
      </c>
      <c r="N3067" s="64">
        <f>IF($A3067="","",IFERROR(INDEX(부서매핑!$C$5:$C$504,MATCH($G3067&amp;"",부서매핑!$A$5:$A$504,0)),"미매핑"))</f>
        <v/>
      </c>
      <c r="O3067" s="9">
        <f>IF($A3067="","",N3067&amp;"|"&amp;$F3067)</f>
        <v/>
      </c>
      <c r="P3067" s="94">
        <f>IF($A3067="",0,$H3067*설정!$C$23)</f>
        <v/>
      </c>
      <c r="Q3067" s="64">
        <f>IF($A3067="","",IF(O3067&lt;&gt;원인분석!$C$9,"",IF(AND(M3067&gt;=원인분석!$C$10,M3067&lt;=원인분석!$C$11),"당기",IF(AND(M3067&gt;=원인분석!$C$12,M3067&lt;=원인분석!$C$13),"비교",""))))</f>
        <v/>
      </c>
      <c r="R3067" s="9">
        <f>IF(Q3067="","",$K3067&amp;"")</f>
        <v/>
      </c>
      <c r="S3067" s="9">
        <f>IF(Q3067="","",IF(MATCH(R3067,$R$5:$R$100000,0)=ROW()-4,ROW(),""))</f>
        <v/>
      </c>
      <c r="T3067" s="9">
        <f>IF(Q3067="당기",ABS(P3067)+ROW()/1000000000,"")</f>
        <v/>
      </c>
      <c r="U3067" s="9">
        <f>IF(Q3067="비교",ABS(P3067)+ROW()/1000000000,"")</f>
        <v/>
      </c>
      <c r="V3067" s="64">
        <f>IF($A3067="","",IF(COUNTIF(변동분석!$E$7:$E$506,O3067)&gt;0,"Y","N"))</f>
        <v/>
      </c>
      <c r="W3067" s="64">
        <f>IF($A3067="","",IFERROR(INDEX(계정매핑!$D$5:$D$504,MATCH($F3067&amp;"",계정매핑!$A$5:$A$504,0)),"미매핑"))</f>
        <v/>
      </c>
      <c r="X3067" s="9">
        <f>IF($A3067="","",$F3067&amp;"")</f>
        <v/>
      </c>
      <c r="Y3067" s="94">
        <f>IF($A3067="",0,IF(AE3067="직접",IF(AF3067="비귀속",$P3067,0),$P3067*(1-AG3067)*IFERROR(INDEX(계정대체기준!$F$20:$F$49,MATCH($N3067,계정대체기준!$A$20:$A$49,0)),1)))</f>
        <v/>
      </c>
      <c r="Z3067" s="94">
        <f>IF($A3067="",0,IF(AE3067="직접",IF(AF3067="신계약비",$P3067,0),$P3067*(1-AG3067)*IFERROR(INDEX(계정대체기준!$C$20:$C$49,MATCH($N3067,계정대체기준!$A$20:$A$49,0)),0)))</f>
        <v/>
      </c>
      <c r="AA3067" s="94">
        <f>IF($A3067="",0,IF(AE3067="직접",IF(OR(AF3067="유지비",AF3067="손해조사비"),$P3067,0),$P3067*(1-AG3067)*IFERROR(INDEX(계정대체기준!$D$20:$D$49,MATCH($N3067,계정대체기준!$A$20:$A$49,0)),0)))</f>
        <v/>
      </c>
      <c r="AB3067" s="94">
        <f>IF($A3067="",0,IF(AE3067="직접",IF(AF3067="수금비",$P3067,0),$P3067*(1-AG3067)*IFERROR(INDEX(계정대체기준!$E$20:$E$49,MATCH($N3067,계정대체기준!$A$20:$A$49,0)),0)))</f>
        <v/>
      </c>
      <c r="AC3067" s="9">
        <f>IF(AND($A3067&lt;&gt;"",M3067=설정!$C$20,Z3067&gt;0),Z3067+ROW()/1000000000,"")</f>
        <v/>
      </c>
      <c r="AD3067" s="94">
        <f>IF($A3067="",0,$P3067*AG3067)</f>
        <v/>
      </c>
      <c r="AE3067" s="64">
        <f>IF($A3067="","",IFERROR(INDEX(계정매핑!$E$5:$E$504,MATCH($F3067&amp;"",계정매핑!$A$5:$A$504,0))&amp;"","공통비"))</f>
        <v/>
      </c>
      <c r="AF3067" s="64">
        <f>IF($A3067="","",IF(AE3067="직접",IFERROR(INDEX(계정매핑!$F$5:$F$504,MATCH($F3067&amp;"",계정매핑!$A$5:$A$504,0))&amp;"","비귀속"),""))</f>
        <v/>
      </c>
      <c r="AG3067" s="96">
        <f>IF($A3067="",0,IF(AND(AE3067&lt;&gt;"직접",IFERROR(INDEX(계정매핑!$G$5:$G$504,MATCH($F3067&amp;"",계정매핑!$A$5:$A$504,0))&amp;"","")="유지비",COUNTIF(계정대체기준!$A$6:$A$15,$N3067)&gt;0),IFERROR(INDEX(계정대체기준!$E$6:$E$15,MATCH(VALUE($A3067&amp;""),계정대체기준!$D$6:$D$15,0)),0),0))</f>
        <v/>
      </c>
      <c r="AH3067" s="64">
        <f>IF($A3067="","",IF(AD3067=0,"",IF(OR(COUNTIF(계정대체기준!$A$77:$A$86,$N3067)&gt;0,ISNUMBER(MATCH($X3067,계정대체기준!$D$77:$D$86,0)),ISNUMBER(MATCH($F3067,계정대체기준!$D$77:$D$86,0))),"Y","N")))</f>
        <v/>
      </c>
    </row>
    <row r="3068">
      <c r="A3068" s="92" t="n">
        <v>2026</v>
      </c>
      <c r="B3068" s="92" t="n">
        <v>2</v>
      </c>
      <c r="C3068" s="92" t="inlineStr">
        <is>
          <t>5100000346</t>
        </is>
      </c>
      <c r="D3068" s="95" t="n">
        <v>46067</v>
      </c>
      <c r="E3068" s="92" t="inlineStr">
        <is>
          <t>KR</t>
        </is>
      </c>
      <c r="F3068" s="92" t="n">
        <v>62201000</v>
      </c>
      <c r="G3068" s="92" t="n">
        <v>1401</v>
      </c>
      <c r="H3068" s="93" t="n">
        <v>279000</v>
      </c>
      <c r="I3068" s="92" t="inlineStr">
        <is>
          <t>2월 통신요금 - P통신</t>
        </is>
      </c>
      <c r="J3068" s="92" t="inlineStr">
        <is>
          <t>V10014</t>
        </is>
      </c>
      <c r="K3068" s="92" t="inlineStr">
        <is>
          <t>P통신</t>
        </is>
      </c>
      <c r="M3068" s="9">
        <f>IF($A3068="","",VALUE($A3068&amp;"")*12+VALUE($B3068&amp;""))</f>
        <v/>
      </c>
      <c r="N3068" s="64">
        <f>IF($A3068="","",IFERROR(INDEX(부서매핑!$C$5:$C$504,MATCH($G3068&amp;"",부서매핑!$A$5:$A$504,0)),"미매핑"))</f>
        <v/>
      </c>
      <c r="O3068" s="9">
        <f>IF($A3068="","",N3068&amp;"|"&amp;$F3068)</f>
        <v/>
      </c>
      <c r="P3068" s="94">
        <f>IF($A3068="",0,$H3068*설정!$C$23)</f>
        <v/>
      </c>
      <c r="Q3068" s="64">
        <f>IF($A3068="","",IF(O3068&lt;&gt;원인분석!$C$9,"",IF(AND(M3068&gt;=원인분석!$C$10,M3068&lt;=원인분석!$C$11),"당기",IF(AND(M3068&gt;=원인분석!$C$12,M3068&lt;=원인분석!$C$13),"비교",""))))</f>
        <v/>
      </c>
      <c r="R3068" s="9">
        <f>IF(Q3068="","",$K3068&amp;"")</f>
        <v/>
      </c>
      <c r="S3068" s="9">
        <f>IF(Q3068="","",IF(MATCH(R3068,$R$5:$R$100000,0)=ROW()-4,ROW(),""))</f>
        <v/>
      </c>
      <c r="T3068" s="9">
        <f>IF(Q3068="당기",ABS(P3068)+ROW()/1000000000,"")</f>
        <v/>
      </c>
      <c r="U3068" s="9">
        <f>IF(Q3068="비교",ABS(P3068)+ROW()/1000000000,"")</f>
        <v/>
      </c>
      <c r="V3068" s="64">
        <f>IF($A3068="","",IF(COUNTIF(변동분석!$E$7:$E$506,O3068)&gt;0,"Y","N"))</f>
        <v/>
      </c>
      <c r="W3068" s="64">
        <f>IF($A3068="","",IFERROR(INDEX(계정매핑!$D$5:$D$504,MATCH($F3068&amp;"",계정매핑!$A$5:$A$504,0)),"미매핑"))</f>
        <v/>
      </c>
      <c r="X3068" s="9">
        <f>IF($A3068="","",$F3068&amp;"")</f>
        <v/>
      </c>
      <c r="Y3068" s="94">
        <f>IF($A3068="",0,IF(AE3068="직접",IF(AF3068="비귀속",$P3068,0),$P3068*(1-AG3068)*IFERROR(INDEX(계정대체기준!$F$20:$F$49,MATCH($N3068,계정대체기준!$A$20:$A$49,0)),1)))</f>
        <v/>
      </c>
      <c r="Z3068" s="94">
        <f>IF($A3068="",0,IF(AE3068="직접",IF(AF3068="신계약비",$P3068,0),$P3068*(1-AG3068)*IFERROR(INDEX(계정대체기준!$C$20:$C$49,MATCH($N3068,계정대체기준!$A$20:$A$49,0)),0)))</f>
        <v/>
      </c>
      <c r="AA3068" s="94">
        <f>IF($A3068="",0,IF(AE3068="직접",IF(OR(AF3068="유지비",AF3068="손해조사비"),$P3068,0),$P3068*(1-AG3068)*IFERROR(INDEX(계정대체기준!$D$20:$D$49,MATCH($N3068,계정대체기준!$A$20:$A$49,0)),0)))</f>
        <v/>
      </c>
      <c r="AB3068" s="94">
        <f>IF($A3068="",0,IF(AE3068="직접",IF(AF3068="수금비",$P3068,0),$P3068*(1-AG3068)*IFERROR(INDEX(계정대체기준!$E$20:$E$49,MATCH($N3068,계정대체기준!$A$20:$A$49,0)),0)))</f>
        <v/>
      </c>
      <c r="AC3068" s="9">
        <f>IF(AND($A3068&lt;&gt;"",M3068=설정!$C$20,Z3068&gt;0),Z3068+ROW()/1000000000,"")</f>
        <v/>
      </c>
      <c r="AD3068" s="94">
        <f>IF($A3068="",0,$P3068*AG3068)</f>
        <v/>
      </c>
      <c r="AE3068" s="64">
        <f>IF($A3068="","",IFERROR(INDEX(계정매핑!$E$5:$E$504,MATCH($F3068&amp;"",계정매핑!$A$5:$A$504,0))&amp;"","공통비"))</f>
        <v/>
      </c>
      <c r="AF3068" s="64">
        <f>IF($A3068="","",IF(AE3068="직접",IFERROR(INDEX(계정매핑!$F$5:$F$504,MATCH($F3068&amp;"",계정매핑!$A$5:$A$504,0))&amp;"","비귀속"),""))</f>
        <v/>
      </c>
      <c r="AG3068" s="96">
        <f>IF($A3068="",0,IF(AND(AE3068&lt;&gt;"직접",IFERROR(INDEX(계정매핑!$G$5:$G$504,MATCH($F3068&amp;"",계정매핑!$A$5:$A$504,0))&amp;"","")="유지비",COUNTIF(계정대체기준!$A$6:$A$15,$N3068)&gt;0),IFERROR(INDEX(계정대체기준!$E$6:$E$15,MATCH(VALUE($A3068&amp;""),계정대체기준!$D$6:$D$15,0)),0),0))</f>
        <v/>
      </c>
      <c r="AH3068" s="64">
        <f>IF($A3068="","",IF(AD3068=0,"",IF(OR(COUNTIF(계정대체기준!$A$77:$A$86,$N3068)&gt;0,ISNUMBER(MATCH($X3068,계정대체기준!$D$77:$D$86,0)),ISNUMBER(MATCH($F3068,계정대체기준!$D$77:$D$86,0))),"Y","N")))</f>
        <v/>
      </c>
    </row>
    <row r="3069">
      <c r="A3069" s="92" t="n">
        <v>2026</v>
      </c>
      <c r="B3069" s="92" t="n">
        <v>2</v>
      </c>
      <c r="C3069" s="92" t="inlineStr">
        <is>
          <t>5100000347</t>
        </is>
      </c>
      <c r="D3069" s="95" t="n">
        <v>46067</v>
      </c>
      <c r="E3069" s="92" t="inlineStr">
        <is>
          <t>KR</t>
        </is>
      </c>
      <c r="F3069" s="92" t="n">
        <v>62301000</v>
      </c>
      <c r="G3069" s="92" t="n">
        <v>1101</v>
      </c>
      <c r="H3069" s="93" t="n">
        <v>156000</v>
      </c>
      <c r="I3069" s="92" t="inlineStr">
        <is>
          <t>2월 소모품 구입 - Q오피스</t>
        </is>
      </c>
      <c r="J3069" s="92" t="inlineStr">
        <is>
          <t>V10003</t>
        </is>
      </c>
      <c r="K3069" s="92" t="inlineStr">
        <is>
          <t>Q오피스</t>
        </is>
      </c>
      <c r="M3069" s="9">
        <f>IF($A3069="","",VALUE($A3069&amp;"")*12+VALUE($B3069&amp;""))</f>
        <v/>
      </c>
      <c r="N3069" s="64">
        <f>IF($A3069="","",IFERROR(INDEX(부서매핑!$C$5:$C$504,MATCH($G3069&amp;"",부서매핑!$A$5:$A$504,0)),"미매핑"))</f>
        <v/>
      </c>
      <c r="O3069" s="9">
        <f>IF($A3069="","",N3069&amp;"|"&amp;$F3069)</f>
        <v/>
      </c>
      <c r="P3069" s="94">
        <f>IF($A3069="",0,$H3069*설정!$C$23)</f>
        <v/>
      </c>
      <c r="Q3069" s="64">
        <f>IF($A3069="","",IF(O3069&lt;&gt;원인분석!$C$9,"",IF(AND(M3069&gt;=원인분석!$C$10,M3069&lt;=원인분석!$C$11),"당기",IF(AND(M3069&gt;=원인분석!$C$12,M3069&lt;=원인분석!$C$13),"비교",""))))</f>
        <v/>
      </c>
      <c r="R3069" s="9">
        <f>IF(Q3069="","",$K3069&amp;"")</f>
        <v/>
      </c>
      <c r="S3069" s="9">
        <f>IF(Q3069="","",IF(MATCH(R3069,$R$5:$R$100000,0)=ROW()-4,ROW(),""))</f>
        <v/>
      </c>
      <c r="T3069" s="9">
        <f>IF(Q3069="당기",ABS(P3069)+ROW()/1000000000,"")</f>
        <v/>
      </c>
      <c r="U3069" s="9">
        <f>IF(Q3069="비교",ABS(P3069)+ROW()/1000000000,"")</f>
        <v/>
      </c>
      <c r="V3069" s="64">
        <f>IF($A3069="","",IF(COUNTIF(변동분석!$E$7:$E$506,O3069)&gt;0,"Y","N"))</f>
        <v/>
      </c>
      <c r="W3069" s="64">
        <f>IF($A3069="","",IFERROR(INDEX(계정매핑!$D$5:$D$504,MATCH($F3069&amp;"",계정매핑!$A$5:$A$504,0)),"미매핑"))</f>
        <v/>
      </c>
      <c r="X3069" s="9">
        <f>IF($A3069="","",$F3069&amp;"")</f>
        <v/>
      </c>
      <c r="Y3069" s="94">
        <f>IF($A3069="",0,IF(AE3069="직접",IF(AF3069="비귀속",$P3069,0),$P3069*(1-AG3069)*IFERROR(INDEX(계정대체기준!$F$20:$F$49,MATCH($N3069,계정대체기준!$A$20:$A$49,0)),1)))</f>
        <v/>
      </c>
      <c r="Z3069" s="94">
        <f>IF($A3069="",0,IF(AE3069="직접",IF(AF3069="신계약비",$P3069,0),$P3069*(1-AG3069)*IFERROR(INDEX(계정대체기준!$C$20:$C$49,MATCH($N3069,계정대체기준!$A$20:$A$49,0)),0)))</f>
        <v/>
      </c>
      <c r="AA3069" s="94">
        <f>IF($A3069="",0,IF(AE3069="직접",IF(OR(AF3069="유지비",AF3069="손해조사비"),$P3069,0),$P3069*(1-AG3069)*IFERROR(INDEX(계정대체기준!$D$20:$D$49,MATCH($N3069,계정대체기준!$A$20:$A$49,0)),0)))</f>
        <v/>
      </c>
      <c r="AB3069" s="94">
        <f>IF($A3069="",0,IF(AE3069="직접",IF(AF3069="수금비",$P3069,0),$P3069*(1-AG3069)*IFERROR(INDEX(계정대체기준!$E$20:$E$49,MATCH($N3069,계정대체기준!$A$20:$A$49,0)),0)))</f>
        <v/>
      </c>
      <c r="AC3069" s="9">
        <f>IF(AND($A3069&lt;&gt;"",M3069=설정!$C$20,Z3069&gt;0),Z3069+ROW()/1000000000,"")</f>
        <v/>
      </c>
      <c r="AD3069" s="94">
        <f>IF($A3069="",0,$P3069*AG3069)</f>
        <v/>
      </c>
      <c r="AE3069" s="64">
        <f>IF($A3069="","",IFERROR(INDEX(계정매핑!$E$5:$E$504,MATCH($F3069&amp;"",계정매핑!$A$5:$A$504,0))&amp;"","공통비"))</f>
        <v/>
      </c>
      <c r="AF3069" s="64">
        <f>IF($A3069="","",IF(AE3069="직접",IFERROR(INDEX(계정매핑!$F$5:$F$504,MATCH($F3069&amp;"",계정매핑!$A$5:$A$504,0))&amp;"","비귀속"),""))</f>
        <v/>
      </c>
      <c r="AG3069" s="96">
        <f>IF($A3069="",0,IF(AND(AE3069&lt;&gt;"직접",IFERROR(INDEX(계정매핑!$G$5:$G$504,MATCH($F3069&amp;"",계정매핑!$A$5:$A$504,0))&amp;"","")="유지비",COUNTIF(계정대체기준!$A$6:$A$15,$N3069)&gt;0),IFERROR(INDEX(계정대체기준!$E$6:$E$15,MATCH(VALUE($A3069&amp;""),계정대체기준!$D$6:$D$15,0)),0),0))</f>
        <v/>
      </c>
      <c r="AH3069" s="64">
        <f>IF($A3069="","",IF(AD3069=0,"",IF(OR(COUNTIF(계정대체기준!$A$77:$A$86,$N3069)&gt;0,ISNUMBER(MATCH($X3069,계정대체기준!$D$77:$D$86,0)),ISNUMBER(MATCH($F3069,계정대체기준!$D$77:$D$86,0))),"Y","N")))</f>
        <v/>
      </c>
    </row>
    <row r="3070">
      <c r="A3070" s="92" t="n">
        <v>2026</v>
      </c>
      <c r="B3070" s="92" t="n">
        <v>2</v>
      </c>
      <c r="C3070" s="92" t="inlineStr">
        <is>
          <t>5100000348</t>
        </is>
      </c>
      <c r="D3070" s="95" t="n">
        <v>46067</v>
      </c>
      <c r="E3070" s="92" t="inlineStr">
        <is>
          <t>KR</t>
        </is>
      </c>
      <c r="F3070" s="92" t="n">
        <v>62301000</v>
      </c>
      <c r="G3070" s="92" t="n">
        <v>1301</v>
      </c>
      <c r="H3070" s="93" t="n">
        <v>228000</v>
      </c>
      <c r="I3070" s="92" t="inlineStr">
        <is>
          <t>2월 소모품 구입 - R문구</t>
        </is>
      </c>
      <c r="J3070" s="92" t="inlineStr">
        <is>
          <t>V10022</t>
        </is>
      </c>
      <c r="K3070" s="92" t="inlineStr">
        <is>
          <t>R문구</t>
        </is>
      </c>
      <c r="M3070" s="9">
        <f>IF($A3070="","",VALUE($A3070&amp;"")*12+VALUE($B3070&amp;""))</f>
        <v/>
      </c>
      <c r="N3070" s="64">
        <f>IF($A3070="","",IFERROR(INDEX(부서매핑!$C$5:$C$504,MATCH($G3070&amp;"",부서매핑!$A$5:$A$504,0)),"미매핑"))</f>
        <v/>
      </c>
      <c r="O3070" s="9">
        <f>IF($A3070="","",N3070&amp;"|"&amp;$F3070)</f>
        <v/>
      </c>
      <c r="P3070" s="94">
        <f>IF($A3070="",0,$H3070*설정!$C$23)</f>
        <v/>
      </c>
      <c r="Q3070" s="64">
        <f>IF($A3070="","",IF(O3070&lt;&gt;원인분석!$C$9,"",IF(AND(M3070&gt;=원인분석!$C$10,M3070&lt;=원인분석!$C$11),"당기",IF(AND(M3070&gt;=원인분석!$C$12,M3070&lt;=원인분석!$C$13),"비교",""))))</f>
        <v/>
      </c>
      <c r="R3070" s="9">
        <f>IF(Q3070="","",$K3070&amp;"")</f>
        <v/>
      </c>
      <c r="S3070" s="9">
        <f>IF(Q3070="","",IF(MATCH(R3070,$R$5:$R$100000,0)=ROW()-4,ROW(),""))</f>
        <v/>
      </c>
      <c r="T3070" s="9">
        <f>IF(Q3070="당기",ABS(P3070)+ROW()/1000000000,"")</f>
        <v/>
      </c>
      <c r="U3070" s="9">
        <f>IF(Q3070="비교",ABS(P3070)+ROW()/1000000000,"")</f>
        <v/>
      </c>
      <c r="V3070" s="64">
        <f>IF($A3070="","",IF(COUNTIF(변동분석!$E$7:$E$506,O3070)&gt;0,"Y","N"))</f>
        <v/>
      </c>
      <c r="W3070" s="64">
        <f>IF($A3070="","",IFERROR(INDEX(계정매핑!$D$5:$D$504,MATCH($F3070&amp;"",계정매핑!$A$5:$A$504,0)),"미매핑"))</f>
        <v/>
      </c>
      <c r="X3070" s="9">
        <f>IF($A3070="","",$F3070&amp;"")</f>
        <v/>
      </c>
      <c r="Y3070" s="94">
        <f>IF($A3070="",0,IF(AE3070="직접",IF(AF3070="비귀속",$P3070,0),$P3070*(1-AG3070)*IFERROR(INDEX(계정대체기준!$F$20:$F$49,MATCH($N3070,계정대체기준!$A$20:$A$49,0)),1)))</f>
        <v/>
      </c>
      <c r="Z3070" s="94">
        <f>IF($A3070="",0,IF(AE3070="직접",IF(AF3070="신계약비",$P3070,0),$P3070*(1-AG3070)*IFERROR(INDEX(계정대체기준!$C$20:$C$49,MATCH($N3070,계정대체기준!$A$20:$A$49,0)),0)))</f>
        <v/>
      </c>
      <c r="AA3070" s="94">
        <f>IF($A3070="",0,IF(AE3070="직접",IF(OR(AF3070="유지비",AF3070="손해조사비"),$P3070,0),$P3070*(1-AG3070)*IFERROR(INDEX(계정대체기준!$D$20:$D$49,MATCH($N3070,계정대체기준!$A$20:$A$49,0)),0)))</f>
        <v/>
      </c>
      <c r="AB3070" s="94">
        <f>IF($A3070="",0,IF(AE3070="직접",IF(AF3070="수금비",$P3070,0),$P3070*(1-AG3070)*IFERROR(INDEX(계정대체기준!$E$20:$E$49,MATCH($N3070,계정대체기준!$A$20:$A$49,0)),0)))</f>
        <v/>
      </c>
      <c r="AC3070" s="9">
        <f>IF(AND($A3070&lt;&gt;"",M3070=설정!$C$20,Z3070&gt;0),Z3070+ROW()/1000000000,"")</f>
        <v/>
      </c>
      <c r="AD3070" s="94">
        <f>IF($A3070="",0,$P3070*AG3070)</f>
        <v/>
      </c>
      <c r="AE3070" s="64">
        <f>IF($A3070="","",IFERROR(INDEX(계정매핑!$E$5:$E$504,MATCH($F3070&amp;"",계정매핑!$A$5:$A$504,0))&amp;"","공통비"))</f>
        <v/>
      </c>
      <c r="AF3070" s="64">
        <f>IF($A3070="","",IF(AE3070="직접",IFERROR(INDEX(계정매핑!$F$5:$F$504,MATCH($F3070&amp;"",계정매핑!$A$5:$A$504,0))&amp;"","비귀속"),""))</f>
        <v/>
      </c>
      <c r="AG3070" s="96">
        <f>IF($A3070="",0,IF(AND(AE3070&lt;&gt;"직접",IFERROR(INDEX(계정매핑!$G$5:$G$504,MATCH($F3070&amp;"",계정매핑!$A$5:$A$504,0))&amp;"","")="유지비",COUNTIF(계정대체기준!$A$6:$A$15,$N3070)&gt;0),IFERROR(INDEX(계정대체기준!$E$6:$E$15,MATCH(VALUE($A3070&amp;""),계정대체기준!$D$6:$D$15,0)),0),0))</f>
        <v/>
      </c>
      <c r="AH3070" s="64">
        <f>IF($A3070="","",IF(AD3070=0,"",IF(OR(COUNTIF(계정대체기준!$A$77:$A$86,$N3070)&gt;0,ISNUMBER(MATCH($X3070,계정대체기준!$D$77:$D$86,0)),ISNUMBER(MATCH($F3070,계정대체기준!$D$77:$D$86,0))),"Y","N")))</f>
        <v/>
      </c>
    </row>
    <row r="3071">
      <c r="A3071" s="92" t="n">
        <v>2026</v>
      </c>
      <c r="B3071" s="92" t="n">
        <v>2</v>
      </c>
      <c r="C3071" s="92" t="inlineStr">
        <is>
          <t>5100000349</t>
        </is>
      </c>
      <c r="D3071" s="95" t="n">
        <v>46067</v>
      </c>
      <c r="E3071" s="92" t="inlineStr">
        <is>
          <t>KR</t>
        </is>
      </c>
      <c r="F3071" s="92" t="n">
        <v>62802000</v>
      </c>
      <c r="G3071" s="92" t="n">
        <v>1301</v>
      </c>
      <c r="H3071" s="93" t="n">
        <v>3995000</v>
      </c>
      <c r="I3071" s="92" t="inlineStr">
        <is>
          <t>2월 위탁교육 - V아카데미</t>
        </is>
      </c>
      <c r="J3071" s="92" t="inlineStr">
        <is>
          <t>V10027</t>
        </is>
      </c>
      <c r="K3071" s="92" t="inlineStr">
        <is>
          <t>V아카데미</t>
        </is>
      </c>
      <c r="M3071" s="9">
        <f>IF($A3071="","",VALUE($A3071&amp;"")*12+VALUE($B3071&amp;""))</f>
        <v/>
      </c>
      <c r="N3071" s="64">
        <f>IF($A3071="","",IFERROR(INDEX(부서매핑!$C$5:$C$504,MATCH($G3071&amp;"",부서매핑!$A$5:$A$504,0)),"미매핑"))</f>
        <v/>
      </c>
      <c r="O3071" s="9">
        <f>IF($A3071="","",N3071&amp;"|"&amp;$F3071)</f>
        <v/>
      </c>
      <c r="P3071" s="94">
        <f>IF($A3071="",0,$H3071*설정!$C$23)</f>
        <v/>
      </c>
      <c r="Q3071" s="64">
        <f>IF($A3071="","",IF(O3071&lt;&gt;원인분석!$C$9,"",IF(AND(M3071&gt;=원인분석!$C$10,M3071&lt;=원인분석!$C$11),"당기",IF(AND(M3071&gt;=원인분석!$C$12,M3071&lt;=원인분석!$C$13),"비교",""))))</f>
        <v/>
      </c>
      <c r="R3071" s="9">
        <f>IF(Q3071="","",$K3071&amp;"")</f>
        <v/>
      </c>
      <c r="S3071" s="9">
        <f>IF(Q3071="","",IF(MATCH(R3071,$R$5:$R$100000,0)=ROW()-4,ROW(),""))</f>
        <v/>
      </c>
      <c r="T3071" s="9">
        <f>IF(Q3071="당기",ABS(P3071)+ROW()/1000000000,"")</f>
        <v/>
      </c>
      <c r="U3071" s="9">
        <f>IF(Q3071="비교",ABS(P3071)+ROW()/1000000000,"")</f>
        <v/>
      </c>
      <c r="V3071" s="64">
        <f>IF($A3071="","",IF(COUNTIF(변동분석!$E$7:$E$506,O3071)&gt;0,"Y","N"))</f>
        <v/>
      </c>
      <c r="W3071" s="64">
        <f>IF($A3071="","",IFERROR(INDEX(계정매핑!$D$5:$D$504,MATCH($F3071&amp;"",계정매핑!$A$5:$A$504,0)),"미매핑"))</f>
        <v/>
      </c>
      <c r="X3071" s="9">
        <f>IF($A3071="","",$F3071&amp;"")</f>
        <v/>
      </c>
      <c r="Y3071" s="94">
        <f>IF($A3071="",0,IF(AE3071="직접",IF(AF3071="비귀속",$P3071,0),$P3071*(1-AG3071)*IFERROR(INDEX(계정대체기준!$F$20:$F$49,MATCH($N3071,계정대체기준!$A$20:$A$49,0)),1)))</f>
        <v/>
      </c>
      <c r="Z3071" s="94">
        <f>IF($A3071="",0,IF(AE3071="직접",IF(AF3071="신계약비",$P3071,0),$P3071*(1-AG3071)*IFERROR(INDEX(계정대체기준!$C$20:$C$49,MATCH($N3071,계정대체기준!$A$20:$A$49,0)),0)))</f>
        <v/>
      </c>
      <c r="AA3071" s="94">
        <f>IF($A3071="",0,IF(AE3071="직접",IF(OR(AF3071="유지비",AF3071="손해조사비"),$P3071,0),$P3071*(1-AG3071)*IFERROR(INDEX(계정대체기준!$D$20:$D$49,MATCH($N3071,계정대체기준!$A$20:$A$49,0)),0)))</f>
        <v/>
      </c>
      <c r="AB3071" s="94">
        <f>IF($A3071="",0,IF(AE3071="직접",IF(AF3071="수금비",$P3071,0),$P3071*(1-AG3071)*IFERROR(INDEX(계정대체기준!$E$20:$E$49,MATCH($N3071,계정대체기준!$A$20:$A$49,0)),0)))</f>
        <v/>
      </c>
      <c r="AC3071" s="9">
        <f>IF(AND($A3071&lt;&gt;"",M3071=설정!$C$20,Z3071&gt;0),Z3071+ROW()/1000000000,"")</f>
        <v/>
      </c>
      <c r="AD3071" s="94">
        <f>IF($A3071="",0,$P3071*AG3071)</f>
        <v/>
      </c>
      <c r="AE3071" s="64">
        <f>IF($A3071="","",IFERROR(INDEX(계정매핑!$E$5:$E$504,MATCH($F3071&amp;"",계정매핑!$A$5:$A$504,0))&amp;"","공통비"))</f>
        <v/>
      </c>
      <c r="AF3071" s="64">
        <f>IF($A3071="","",IF(AE3071="직접",IFERROR(INDEX(계정매핑!$F$5:$F$504,MATCH($F3071&amp;"",계정매핑!$A$5:$A$504,0))&amp;"","비귀속"),""))</f>
        <v/>
      </c>
      <c r="AG3071" s="96">
        <f>IF($A3071="",0,IF(AND(AE3071&lt;&gt;"직접",IFERROR(INDEX(계정매핑!$G$5:$G$504,MATCH($F3071&amp;"",계정매핑!$A$5:$A$504,0))&amp;"","")="유지비",COUNTIF(계정대체기준!$A$6:$A$15,$N3071)&gt;0),IFERROR(INDEX(계정대체기준!$E$6:$E$15,MATCH(VALUE($A3071&amp;""),계정대체기준!$D$6:$D$15,0)),0),0))</f>
        <v/>
      </c>
      <c r="AH3071" s="64">
        <f>IF($A3071="","",IF(AD3071=0,"",IF(OR(COUNTIF(계정대체기준!$A$77:$A$86,$N3071)&gt;0,ISNUMBER(MATCH($X3071,계정대체기준!$D$77:$D$86,0)),ISNUMBER(MATCH($F3071,계정대체기준!$D$77:$D$86,0))),"Y","N")))</f>
        <v/>
      </c>
    </row>
    <row r="3072">
      <c r="A3072" s="92" t="n">
        <v>2026</v>
      </c>
      <c r="B3072" s="92" t="n">
        <v>2</v>
      </c>
      <c r="C3072" s="92" t="inlineStr">
        <is>
          <t>5100000350</t>
        </is>
      </c>
      <c r="D3072" s="95" t="n">
        <v>46067</v>
      </c>
      <c r="E3072" s="92" t="inlineStr">
        <is>
          <t>KR</t>
        </is>
      </c>
      <c r="F3072" s="92" t="n">
        <v>62901000</v>
      </c>
      <c r="G3072" s="92" t="n">
        <v>1101</v>
      </c>
      <c r="H3072" s="93" t="n">
        <v>3027000</v>
      </c>
      <c r="I3072" s="92" t="inlineStr">
        <is>
          <t>2월 자문 수수료 - W컨설팅</t>
        </is>
      </c>
      <c r="J3072" s="92" t="inlineStr">
        <is>
          <t>V10006</t>
        </is>
      </c>
      <c r="K3072" s="92" t="inlineStr">
        <is>
          <t>W컨설팅</t>
        </is>
      </c>
      <c r="M3072" s="9">
        <f>IF($A3072="","",VALUE($A3072&amp;"")*12+VALUE($B3072&amp;""))</f>
        <v/>
      </c>
      <c r="N3072" s="64">
        <f>IF($A3072="","",IFERROR(INDEX(부서매핑!$C$5:$C$504,MATCH($G3072&amp;"",부서매핑!$A$5:$A$504,0)),"미매핑"))</f>
        <v/>
      </c>
      <c r="O3072" s="9">
        <f>IF($A3072="","",N3072&amp;"|"&amp;$F3072)</f>
        <v/>
      </c>
      <c r="P3072" s="94">
        <f>IF($A3072="",0,$H3072*설정!$C$23)</f>
        <v/>
      </c>
      <c r="Q3072" s="64">
        <f>IF($A3072="","",IF(O3072&lt;&gt;원인분석!$C$9,"",IF(AND(M3072&gt;=원인분석!$C$10,M3072&lt;=원인분석!$C$11),"당기",IF(AND(M3072&gt;=원인분석!$C$12,M3072&lt;=원인분석!$C$13),"비교",""))))</f>
        <v/>
      </c>
      <c r="R3072" s="9">
        <f>IF(Q3072="","",$K3072&amp;"")</f>
        <v/>
      </c>
      <c r="S3072" s="9">
        <f>IF(Q3072="","",IF(MATCH(R3072,$R$5:$R$100000,0)=ROW()-4,ROW(),""))</f>
        <v/>
      </c>
      <c r="T3072" s="9">
        <f>IF(Q3072="당기",ABS(P3072)+ROW()/1000000000,"")</f>
        <v/>
      </c>
      <c r="U3072" s="9">
        <f>IF(Q3072="비교",ABS(P3072)+ROW()/1000000000,"")</f>
        <v/>
      </c>
      <c r="V3072" s="64">
        <f>IF($A3072="","",IF(COUNTIF(변동분석!$E$7:$E$506,O3072)&gt;0,"Y","N"))</f>
        <v/>
      </c>
      <c r="W3072" s="64">
        <f>IF($A3072="","",IFERROR(INDEX(계정매핑!$D$5:$D$504,MATCH($F3072&amp;"",계정매핑!$A$5:$A$504,0)),"미매핑"))</f>
        <v/>
      </c>
      <c r="X3072" s="9">
        <f>IF($A3072="","",$F3072&amp;"")</f>
        <v/>
      </c>
      <c r="Y3072" s="94">
        <f>IF($A3072="",0,IF(AE3072="직접",IF(AF3072="비귀속",$P3072,0),$P3072*(1-AG3072)*IFERROR(INDEX(계정대체기준!$F$20:$F$49,MATCH($N3072,계정대체기준!$A$20:$A$49,0)),1)))</f>
        <v/>
      </c>
      <c r="Z3072" s="94">
        <f>IF($A3072="",0,IF(AE3072="직접",IF(AF3072="신계약비",$P3072,0),$P3072*(1-AG3072)*IFERROR(INDEX(계정대체기준!$C$20:$C$49,MATCH($N3072,계정대체기준!$A$20:$A$49,0)),0)))</f>
        <v/>
      </c>
      <c r="AA3072" s="94">
        <f>IF($A3072="",0,IF(AE3072="직접",IF(OR(AF3072="유지비",AF3072="손해조사비"),$P3072,0),$P3072*(1-AG3072)*IFERROR(INDEX(계정대체기준!$D$20:$D$49,MATCH($N3072,계정대체기준!$A$20:$A$49,0)),0)))</f>
        <v/>
      </c>
      <c r="AB3072" s="94">
        <f>IF($A3072="",0,IF(AE3072="직접",IF(AF3072="수금비",$P3072,0),$P3072*(1-AG3072)*IFERROR(INDEX(계정대체기준!$E$20:$E$49,MATCH($N3072,계정대체기준!$A$20:$A$49,0)),0)))</f>
        <v/>
      </c>
      <c r="AC3072" s="9">
        <f>IF(AND($A3072&lt;&gt;"",M3072=설정!$C$20,Z3072&gt;0),Z3072+ROW()/1000000000,"")</f>
        <v/>
      </c>
      <c r="AD3072" s="94">
        <f>IF($A3072="",0,$P3072*AG3072)</f>
        <v/>
      </c>
      <c r="AE3072" s="64">
        <f>IF($A3072="","",IFERROR(INDEX(계정매핑!$E$5:$E$504,MATCH($F3072&amp;"",계정매핑!$A$5:$A$504,0))&amp;"","공통비"))</f>
        <v/>
      </c>
      <c r="AF3072" s="64">
        <f>IF($A3072="","",IF(AE3072="직접",IFERROR(INDEX(계정매핑!$F$5:$F$504,MATCH($F3072&amp;"",계정매핑!$A$5:$A$504,0))&amp;"","비귀속"),""))</f>
        <v/>
      </c>
      <c r="AG3072" s="96">
        <f>IF($A3072="",0,IF(AND(AE3072&lt;&gt;"직접",IFERROR(INDEX(계정매핑!$G$5:$G$504,MATCH($F3072&amp;"",계정매핑!$A$5:$A$504,0))&amp;"","")="유지비",COUNTIF(계정대체기준!$A$6:$A$15,$N3072)&gt;0),IFERROR(INDEX(계정대체기준!$E$6:$E$15,MATCH(VALUE($A3072&amp;""),계정대체기준!$D$6:$D$15,0)),0),0))</f>
        <v/>
      </c>
      <c r="AH3072" s="64">
        <f>IF($A3072="","",IF(AD3072=0,"",IF(OR(COUNTIF(계정대체기준!$A$77:$A$86,$N3072)&gt;0,ISNUMBER(MATCH($X3072,계정대체기준!$D$77:$D$86,0)),ISNUMBER(MATCH($F3072,계정대체기준!$D$77:$D$86,0))),"Y","N")))</f>
        <v/>
      </c>
    </row>
    <row r="3073">
      <c r="A3073" s="92" t="n">
        <v>2026</v>
      </c>
      <c r="B3073" s="92" t="n">
        <v>2</v>
      </c>
      <c r="C3073" s="92" t="inlineStr">
        <is>
          <t>5100000351</t>
        </is>
      </c>
      <c r="D3073" s="95" t="n">
        <v>46067</v>
      </c>
      <c r="E3073" s="92" t="inlineStr">
        <is>
          <t>KR</t>
        </is>
      </c>
      <c r="F3073" s="92" t="n">
        <v>62901000</v>
      </c>
      <c r="G3073" s="92" t="n">
        <v>1951</v>
      </c>
      <c r="H3073" s="93" t="n">
        <v>7600000</v>
      </c>
      <c r="I3073" s="92" t="inlineStr">
        <is>
          <t>2월 자문 수수료 - K회계법인</t>
        </is>
      </c>
      <c r="J3073" s="92" t="inlineStr">
        <is>
          <t>V10011</t>
        </is>
      </c>
      <c r="K3073" s="92" t="inlineStr">
        <is>
          <t>K회계법인</t>
        </is>
      </c>
      <c r="M3073" s="9">
        <f>IF($A3073="","",VALUE($A3073&amp;"")*12+VALUE($B3073&amp;""))</f>
        <v/>
      </c>
      <c r="N3073" s="64">
        <f>IF($A3073="","",IFERROR(INDEX(부서매핑!$C$5:$C$504,MATCH($G3073&amp;"",부서매핑!$A$5:$A$504,0)),"미매핑"))</f>
        <v/>
      </c>
      <c r="O3073" s="9">
        <f>IF($A3073="","",N3073&amp;"|"&amp;$F3073)</f>
        <v/>
      </c>
      <c r="P3073" s="94">
        <f>IF($A3073="",0,$H3073*설정!$C$23)</f>
        <v/>
      </c>
      <c r="Q3073" s="64">
        <f>IF($A3073="","",IF(O3073&lt;&gt;원인분석!$C$9,"",IF(AND(M3073&gt;=원인분석!$C$10,M3073&lt;=원인분석!$C$11),"당기",IF(AND(M3073&gt;=원인분석!$C$12,M3073&lt;=원인분석!$C$13),"비교",""))))</f>
        <v/>
      </c>
      <c r="R3073" s="9">
        <f>IF(Q3073="","",$K3073&amp;"")</f>
        <v/>
      </c>
      <c r="S3073" s="9">
        <f>IF(Q3073="","",IF(MATCH(R3073,$R$5:$R$100000,0)=ROW()-4,ROW(),""))</f>
        <v/>
      </c>
      <c r="T3073" s="9">
        <f>IF(Q3073="당기",ABS(P3073)+ROW()/1000000000,"")</f>
        <v/>
      </c>
      <c r="U3073" s="9">
        <f>IF(Q3073="비교",ABS(P3073)+ROW()/1000000000,"")</f>
        <v/>
      </c>
      <c r="V3073" s="64">
        <f>IF($A3073="","",IF(COUNTIF(변동분석!$E$7:$E$506,O3073)&gt;0,"Y","N"))</f>
        <v/>
      </c>
      <c r="W3073" s="64">
        <f>IF($A3073="","",IFERROR(INDEX(계정매핑!$D$5:$D$504,MATCH($F3073&amp;"",계정매핑!$A$5:$A$504,0)),"미매핑"))</f>
        <v/>
      </c>
      <c r="X3073" s="9">
        <f>IF($A3073="","",$F3073&amp;"")</f>
        <v/>
      </c>
      <c r="Y3073" s="94">
        <f>IF($A3073="",0,IF(AE3073="직접",IF(AF3073="비귀속",$P3073,0),$P3073*(1-AG3073)*IFERROR(INDEX(계정대체기준!$F$20:$F$49,MATCH($N3073,계정대체기준!$A$20:$A$49,0)),1)))</f>
        <v/>
      </c>
      <c r="Z3073" s="94">
        <f>IF($A3073="",0,IF(AE3073="직접",IF(AF3073="신계약비",$P3073,0),$P3073*(1-AG3073)*IFERROR(INDEX(계정대체기준!$C$20:$C$49,MATCH($N3073,계정대체기준!$A$20:$A$49,0)),0)))</f>
        <v/>
      </c>
      <c r="AA3073" s="94">
        <f>IF($A3073="",0,IF(AE3073="직접",IF(OR(AF3073="유지비",AF3073="손해조사비"),$P3073,0),$P3073*(1-AG3073)*IFERROR(INDEX(계정대체기준!$D$20:$D$49,MATCH($N3073,계정대체기준!$A$20:$A$49,0)),0)))</f>
        <v/>
      </c>
      <c r="AB3073" s="94">
        <f>IF($A3073="",0,IF(AE3073="직접",IF(AF3073="수금비",$P3073,0),$P3073*(1-AG3073)*IFERROR(INDEX(계정대체기준!$E$20:$E$49,MATCH($N3073,계정대체기준!$A$20:$A$49,0)),0)))</f>
        <v/>
      </c>
      <c r="AC3073" s="9">
        <f>IF(AND($A3073&lt;&gt;"",M3073=설정!$C$20,Z3073&gt;0),Z3073+ROW()/1000000000,"")</f>
        <v/>
      </c>
      <c r="AD3073" s="94">
        <f>IF($A3073="",0,$P3073*AG3073)</f>
        <v/>
      </c>
      <c r="AE3073" s="64">
        <f>IF($A3073="","",IFERROR(INDEX(계정매핑!$E$5:$E$504,MATCH($F3073&amp;"",계정매핑!$A$5:$A$504,0))&amp;"","공통비"))</f>
        <v/>
      </c>
      <c r="AF3073" s="64">
        <f>IF($A3073="","",IF(AE3073="직접",IFERROR(INDEX(계정매핑!$F$5:$F$504,MATCH($F3073&amp;"",계정매핑!$A$5:$A$504,0))&amp;"","비귀속"),""))</f>
        <v/>
      </c>
      <c r="AG3073" s="96">
        <f>IF($A3073="",0,IF(AND(AE3073&lt;&gt;"직접",IFERROR(INDEX(계정매핑!$G$5:$G$504,MATCH($F3073&amp;"",계정매핑!$A$5:$A$504,0))&amp;"","")="유지비",COUNTIF(계정대체기준!$A$6:$A$15,$N3073)&gt;0),IFERROR(INDEX(계정대체기준!$E$6:$E$15,MATCH(VALUE($A3073&amp;""),계정대체기준!$D$6:$D$15,0)),0),0))</f>
        <v/>
      </c>
      <c r="AH3073" s="64">
        <f>IF($A3073="","",IF(AD3073=0,"",IF(OR(COUNTIF(계정대체기준!$A$77:$A$86,$N3073)&gt;0,ISNUMBER(MATCH($X3073,계정대체기준!$D$77:$D$86,0)),ISNUMBER(MATCH($F3073,계정대체기준!$D$77:$D$86,0))),"Y","N")))</f>
        <v/>
      </c>
    </row>
    <row r="3074">
      <c r="A3074" s="92" t="n">
        <v>2026</v>
      </c>
      <c r="B3074" s="92" t="n">
        <v>2</v>
      </c>
      <c r="C3074" s="92" t="inlineStr">
        <is>
          <t>5100000352</t>
        </is>
      </c>
      <c r="D3074" s="95" t="n">
        <v>46067</v>
      </c>
      <c r="E3074" s="92" t="inlineStr">
        <is>
          <t>KR</t>
        </is>
      </c>
      <c r="F3074" s="92" t="n">
        <v>63201000</v>
      </c>
      <c r="G3074" s="92" t="n">
        <v>1602</v>
      </c>
      <c r="H3074" s="93" t="n">
        <v>1967000</v>
      </c>
      <c r="I3074" s="92" t="inlineStr">
        <is>
          <t>2월 차량 유지 - H에너지</t>
        </is>
      </c>
      <c r="J3074" s="92" t="inlineStr">
        <is>
          <t>V10030</t>
        </is>
      </c>
      <c r="K3074" s="92" t="inlineStr">
        <is>
          <t>H에너지</t>
        </is>
      </c>
      <c r="M3074" s="9">
        <f>IF($A3074="","",VALUE($A3074&amp;"")*12+VALUE($B3074&amp;""))</f>
        <v/>
      </c>
      <c r="N3074" s="64">
        <f>IF($A3074="","",IFERROR(INDEX(부서매핑!$C$5:$C$504,MATCH($G3074&amp;"",부서매핑!$A$5:$A$504,0)),"미매핑"))</f>
        <v/>
      </c>
      <c r="O3074" s="9">
        <f>IF($A3074="","",N3074&amp;"|"&amp;$F3074)</f>
        <v/>
      </c>
      <c r="P3074" s="94">
        <f>IF($A3074="",0,$H3074*설정!$C$23)</f>
        <v/>
      </c>
      <c r="Q3074" s="64">
        <f>IF($A3074="","",IF(O3074&lt;&gt;원인분석!$C$9,"",IF(AND(M3074&gt;=원인분석!$C$10,M3074&lt;=원인분석!$C$11),"당기",IF(AND(M3074&gt;=원인분석!$C$12,M3074&lt;=원인분석!$C$13),"비교",""))))</f>
        <v/>
      </c>
      <c r="R3074" s="9">
        <f>IF(Q3074="","",$K3074&amp;"")</f>
        <v/>
      </c>
      <c r="S3074" s="9">
        <f>IF(Q3074="","",IF(MATCH(R3074,$R$5:$R$100000,0)=ROW()-4,ROW(),""))</f>
        <v/>
      </c>
      <c r="T3074" s="9">
        <f>IF(Q3074="당기",ABS(P3074)+ROW()/1000000000,"")</f>
        <v/>
      </c>
      <c r="U3074" s="9">
        <f>IF(Q3074="비교",ABS(P3074)+ROW()/1000000000,"")</f>
        <v/>
      </c>
      <c r="V3074" s="64">
        <f>IF($A3074="","",IF(COUNTIF(변동분석!$E$7:$E$506,O3074)&gt;0,"Y","N"))</f>
        <v/>
      </c>
      <c r="W3074" s="64">
        <f>IF($A3074="","",IFERROR(INDEX(계정매핑!$D$5:$D$504,MATCH($F3074&amp;"",계정매핑!$A$5:$A$504,0)),"미매핑"))</f>
        <v/>
      </c>
      <c r="X3074" s="9">
        <f>IF($A3074="","",$F3074&amp;"")</f>
        <v/>
      </c>
      <c r="Y3074" s="94">
        <f>IF($A3074="",0,IF(AE3074="직접",IF(AF3074="비귀속",$P3074,0),$P3074*(1-AG3074)*IFERROR(INDEX(계정대체기준!$F$20:$F$49,MATCH($N3074,계정대체기준!$A$20:$A$49,0)),1)))</f>
        <v/>
      </c>
      <c r="Z3074" s="94">
        <f>IF($A3074="",0,IF(AE3074="직접",IF(AF3074="신계약비",$P3074,0),$P3074*(1-AG3074)*IFERROR(INDEX(계정대체기준!$C$20:$C$49,MATCH($N3074,계정대체기준!$A$20:$A$49,0)),0)))</f>
        <v/>
      </c>
      <c r="AA3074" s="94">
        <f>IF($A3074="",0,IF(AE3074="직접",IF(OR(AF3074="유지비",AF3074="손해조사비"),$P3074,0),$P3074*(1-AG3074)*IFERROR(INDEX(계정대체기준!$D$20:$D$49,MATCH($N3074,계정대체기준!$A$20:$A$49,0)),0)))</f>
        <v/>
      </c>
      <c r="AB3074" s="94">
        <f>IF($A3074="",0,IF(AE3074="직접",IF(AF3074="수금비",$P3074,0),$P3074*(1-AG3074)*IFERROR(INDEX(계정대체기준!$E$20:$E$49,MATCH($N3074,계정대체기준!$A$20:$A$49,0)),0)))</f>
        <v/>
      </c>
      <c r="AC3074" s="9">
        <f>IF(AND($A3074&lt;&gt;"",M3074=설정!$C$20,Z3074&gt;0),Z3074+ROW()/1000000000,"")</f>
        <v/>
      </c>
      <c r="AD3074" s="94">
        <f>IF($A3074="",0,$P3074*AG3074)</f>
        <v/>
      </c>
      <c r="AE3074" s="64">
        <f>IF($A3074="","",IFERROR(INDEX(계정매핑!$E$5:$E$504,MATCH($F3074&amp;"",계정매핑!$A$5:$A$504,0))&amp;"","공통비"))</f>
        <v/>
      </c>
      <c r="AF3074" s="64">
        <f>IF($A3074="","",IF(AE3074="직접",IFERROR(INDEX(계정매핑!$F$5:$F$504,MATCH($F3074&amp;"",계정매핑!$A$5:$A$504,0))&amp;"","비귀속"),""))</f>
        <v/>
      </c>
      <c r="AG3074" s="96">
        <f>IF($A3074="",0,IF(AND(AE3074&lt;&gt;"직접",IFERROR(INDEX(계정매핑!$G$5:$G$504,MATCH($F3074&amp;"",계정매핑!$A$5:$A$504,0))&amp;"","")="유지비",COUNTIF(계정대체기준!$A$6:$A$15,$N3074)&gt;0),IFERROR(INDEX(계정대체기준!$E$6:$E$15,MATCH(VALUE($A3074&amp;""),계정대체기준!$D$6:$D$15,0)),0),0))</f>
        <v/>
      </c>
      <c r="AH3074" s="64">
        <f>IF($A3074="","",IF(AD3074=0,"",IF(OR(COUNTIF(계정대체기준!$A$77:$A$86,$N3074)&gt;0,ISNUMBER(MATCH($X3074,계정대체기준!$D$77:$D$86,0)),ISNUMBER(MATCH($F3074,계정대체기준!$D$77:$D$86,0))),"Y","N")))</f>
        <v/>
      </c>
    </row>
    <row r="3075">
      <c r="A3075" s="92" t="n">
        <v>2026</v>
      </c>
      <c r="B3075" s="92" t="n">
        <v>2</v>
      </c>
      <c r="C3075" s="92" t="inlineStr">
        <is>
          <t>5100000353</t>
        </is>
      </c>
      <c r="D3075" s="95" t="n">
        <v>46068</v>
      </c>
      <c r="E3075" s="92" t="inlineStr">
        <is>
          <t>KR</t>
        </is>
      </c>
      <c r="F3075" s="92" t="n">
        <v>62101000</v>
      </c>
      <c r="G3075" s="92" t="n">
        <v>1951</v>
      </c>
      <c r="H3075" s="93" t="n">
        <v>160000</v>
      </c>
      <c r="I3075" s="92" t="inlineStr">
        <is>
          <t>2월 국내출장 - M항공</t>
        </is>
      </c>
      <c r="J3075" s="92" t="inlineStr">
        <is>
          <t>V10001</t>
        </is>
      </c>
      <c r="K3075" s="92" t="inlineStr">
        <is>
          <t>M항공</t>
        </is>
      </c>
      <c r="M3075" s="9">
        <f>IF($A3075="","",VALUE($A3075&amp;"")*12+VALUE($B3075&amp;""))</f>
        <v/>
      </c>
      <c r="N3075" s="64">
        <f>IF($A3075="","",IFERROR(INDEX(부서매핑!$C$5:$C$504,MATCH($G3075&amp;"",부서매핑!$A$5:$A$504,0)),"미매핑"))</f>
        <v/>
      </c>
      <c r="O3075" s="9">
        <f>IF($A3075="","",N3075&amp;"|"&amp;$F3075)</f>
        <v/>
      </c>
      <c r="P3075" s="94">
        <f>IF($A3075="",0,$H3075*설정!$C$23)</f>
        <v/>
      </c>
      <c r="Q3075" s="64">
        <f>IF($A3075="","",IF(O3075&lt;&gt;원인분석!$C$9,"",IF(AND(M3075&gt;=원인분석!$C$10,M3075&lt;=원인분석!$C$11),"당기",IF(AND(M3075&gt;=원인분석!$C$12,M3075&lt;=원인분석!$C$13),"비교",""))))</f>
        <v/>
      </c>
      <c r="R3075" s="9">
        <f>IF(Q3075="","",$K3075&amp;"")</f>
        <v/>
      </c>
      <c r="S3075" s="9">
        <f>IF(Q3075="","",IF(MATCH(R3075,$R$5:$R$100000,0)=ROW()-4,ROW(),""))</f>
        <v/>
      </c>
      <c r="T3075" s="9">
        <f>IF(Q3075="당기",ABS(P3075)+ROW()/1000000000,"")</f>
        <v/>
      </c>
      <c r="U3075" s="9">
        <f>IF(Q3075="비교",ABS(P3075)+ROW()/1000000000,"")</f>
        <v/>
      </c>
      <c r="V3075" s="64">
        <f>IF($A3075="","",IF(COUNTIF(변동분석!$E$7:$E$506,O3075)&gt;0,"Y","N"))</f>
        <v/>
      </c>
      <c r="W3075" s="64">
        <f>IF($A3075="","",IFERROR(INDEX(계정매핑!$D$5:$D$504,MATCH($F3075&amp;"",계정매핑!$A$5:$A$504,0)),"미매핑"))</f>
        <v/>
      </c>
      <c r="X3075" s="9">
        <f>IF($A3075="","",$F3075&amp;"")</f>
        <v/>
      </c>
      <c r="Y3075" s="94">
        <f>IF($A3075="",0,IF(AE3075="직접",IF(AF3075="비귀속",$P3075,0),$P3075*(1-AG3075)*IFERROR(INDEX(계정대체기준!$F$20:$F$49,MATCH($N3075,계정대체기준!$A$20:$A$49,0)),1)))</f>
        <v/>
      </c>
      <c r="Z3075" s="94">
        <f>IF($A3075="",0,IF(AE3075="직접",IF(AF3075="신계약비",$P3075,0),$P3075*(1-AG3075)*IFERROR(INDEX(계정대체기준!$C$20:$C$49,MATCH($N3075,계정대체기준!$A$20:$A$49,0)),0)))</f>
        <v/>
      </c>
      <c r="AA3075" s="94">
        <f>IF($A3075="",0,IF(AE3075="직접",IF(OR(AF3075="유지비",AF3075="손해조사비"),$P3075,0),$P3075*(1-AG3075)*IFERROR(INDEX(계정대체기준!$D$20:$D$49,MATCH($N3075,계정대체기준!$A$20:$A$49,0)),0)))</f>
        <v/>
      </c>
      <c r="AB3075" s="94">
        <f>IF($A3075="",0,IF(AE3075="직접",IF(AF3075="수금비",$P3075,0),$P3075*(1-AG3075)*IFERROR(INDEX(계정대체기준!$E$20:$E$49,MATCH($N3075,계정대체기준!$A$20:$A$49,0)),0)))</f>
        <v/>
      </c>
      <c r="AC3075" s="9">
        <f>IF(AND($A3075&lt;&gt;"",M3075=설정!$C$20,Z3075&gt;0),Z3075+ROW()/1000000000,"")</f>
        <v/>
      </c>
      <c r="AD3075" s="94">
        <f>IF($A3075="",0,$P3075*AG3075)</f>
        <v/>
      </c>
      <c r="AE3075" s="64">
        <f>IF($A3075="","",IFERROR(INDEX(계정매핑!$E$5:$E$504,MATCH($F3075&amp;"",계정매핑!$A$5:$A$504,0))&amp;"","공통비"))</f>
        <v/>
      </c>
      <c r="AF3075" s="64">
        <f>IF($A3075="","",IF(AE3075="직접",IFERROR(INDEX(계정매핑!$F$5:$F$504,MATCH($F3075&amp;"",계정매핑!$A$5:$A$504,0))&amp;"","비귀속"),""))</f>
        <v/>
      </c>
      <c r="AG3075" s="96">
        <f>IF($A3075="",0,IF(AND(AE3075&lt;&gt;"직접",IFERROR(INDEX(계정매핑!$G$5:$G$504,MATCH($F3075&amp;"",계정매핑!$A$5:$A$504,0))&amp;"","")="유지비",COUNTIF(계정대체기준!$A$6:$A$15,$N3075)&gt;0),IFERROR(INDEX(계정대체기준!$E$6:$E$15,MATCH(VALUE($A3075&amp;""),계정대체기준!$D$6:$D$15,0)),0),0))</f>
        <v/>
      </c>
      <c r="AH3075" s="64">
        <f>IF($A3075="","",IF(AD3075=0,"",IF(OR(COUNTIF(계정대체기준!$A$77:$A$86,$N3075)&gt;0,ISNUMBER(MATCH($X3075,계정대체기준!$D$77:$D$86,0)),ISNUMBER(MATCH($F3075,계정대체기준!$D$77:$D$86,0))),"Y","N")))</f>
        <v/>
      </c>
    </row>
    <row r="3076">
      <c r="A3076" s="92" t="n">
        <v>2026</v>
      </c>
      <c r="B3076" s="92" t="n">
        <v>2</v>
      </c>
      <c r="C3076" s="92" t="inlineStr">
        <is>
          <t>5100000354</t>
        </is>
      </c>
      <c r="D3076" s="95" t="n">
        <v>46068</v>
      </c>
      <c r="E3076" s="92" t="inlineStr">
        <is>
          <t>KR</t>
        </is>
      </c>
      <c r="F3076" s="92" t="n">
        <v>62201000</v>
      </c>
      <c r="G3076" s="92" t="n">
        <v>1201</v>
      </c>
      <c r="H3076" s="93" t="n">
        <v>167000</v>
      </c>
      <c r="I3076" s="92" t="inlineStr">
        <is>
          <t>2월 통신요금 - O텔레콤</t>
        </is>
      </c>
      <c r="J3076" s="92" t="inlineStr">
        <is>
          <t>V10002</t>
        </is>
      </c>
      <c r="K3076" s="92" t="inlineStr">
        <is>
          <t>O텔레콤</t>
        </is>
      </c>
      <c r="M3076" s="9">
        <f>IF($A3076="","",VALUE($A3076&amp;"")*12+VALUE($B3076&amp;""))</f>
        <v/>
      </c>
      <c r="N3076" s="64">
        <f>IF($A3076="","",IFERROR(INDEX(부서매핑!$C$5:$C$504,MATCH($G3076&amp;"",부서매핑!$A$5:$A$504,0)),"미매핑"))</f>
        <v/>
      </c>
      <c r="O3076" s="9">
        <f>IF($A3076="","",N3076&amp;"|"&amp;$F3076)</f>
        <v/>
      </c>
      <c r="P3076" s="94">
        <f>IF($A3076="",0,$H3076*설정!$C$23)</f>
        <v/>
      </c>
      <c r="Q3076" s="64">
        <f>IF($A3076="","",IF(O3076&lt;&gt;원인분석!$C$9,"",IF(AND(M3076&gt;=원인분석!$C$10,M3076&lt;=원인분석!$C$11),"당기",IF(AND(M3076&gt;=원인분석!$C$12,M3076&lt;=원인분석!$C$13),"비교",""))))</f>
        <v/>
      </c>
      <c r="R3076" s="9">
        <f>IF(Q3076="","",$K3076&amp;"")</f>
        <v/>
      </c>
      <c r="S3076" s="9">
        <f>IF(Q3076="","",IF(MATCH(R3076,$R$5:$R$100000,0)=ROW()-4,ROW(),""))</f>
        <v/>
      </c>
      <c r="T3076" s="9">
        <f>IF(Q3076="당기",ABS(P3076)+ROW()/1000000000,"")</f>
        <v/>
      </c>
      <c r="U3076" s="9">
        <f>IF(Q3076="비교",ABS(P3076)+ROW()/1000000000,"")</f>
        <v/>
      </c>
      <c r="V3076" s="64">
        <f>IF($A3076="","",IF(COUNTIF(변동분석!$E$7:$E$506,O3076)&gt;0,"Y","N"))</f>
        <v/>
      </c>
      <c r="W3076" s="64">
        <f>IF($A3076="","",IFERROR(INDEX(계정매핑!$D$5:$D$504,MATCH($F3076&amp;"",계정매핑!$A$5:$A$504,0)),"미매핑"))</f>
        <v/>
      </c>
      <c r="X3076" s="9">
        <f>IF($A3076="","",$F3076&amp;"")</f>
        <v/>
      </c>
      <c r="Y3076" s="94">
        <f>IF($A3076="",0,IF(AE3076="직접",IF(AF3076="비귀속",$P3076,0),$P3076*(1-AG3076)*IFERROR(INDEX(계정대체기준!$F$20:$F$49,MATCH($N3076,계정대체기준!$A$20:$A$49,0)),1)))</f>
        <v/>
      </c>
      <c r="Z3076" s="94">
        <f>IF($A3076="",0,IF(AE3076="직접",IF(AF3076="신계약비",$P3076,0),$P3076*(1-AG3076)*IFERROR(INDEX(계정대체기준!$C$20:$C$49,MATCH($N3076,계정대체기준!$A$20:$A$49,0)),0)))</f>
        <v/>
      </c>
      <c r="AA3076" s="94">
        <f>IF($A3076="",0,IF(AE3076="직접",IF(OR(AF3076="유지비",AF3076="손해조사비"),$P3076,0),$P3076*(1-AG3076)*IFERROR(INDEX(계정대체기준!$D$20:$D$49,MATCH($N3076,계정대체기준!$A$20:$A$49,0)),0)))</f>
        <v/>
      </c>
      <c r="AB3076" s="94">
        <f>IF($A3076="",0,IF(AE3076="직접",IF(AF3076="수금비",$P3076,0),$P3076*(1-AG3076)*IFERROR(INDEX(계정대체기준!$E$20:$E$49,MATCH($N3076,계정대체기준!$A$20:$A$49,0)),0)))</f>
        <v/>
      </c>
      <c r="AC3076" s="9">
        <f>IF(AND($A3076&lt;&gt;"",M3076=설정!$C$20,Z3076&gt;0),Z3076+ROW()/1000000000,"")</f>
        <v/>
      </c>
      <c r="AD3076" s="94">
        <f>IF($A3076="",0,$P3076*AG3076)</f>
        <v/>
      </c>
      <c r="AE3076" s="64">
        <f>IF($A3076="","",IFERROR(INDEX(계정매핑!$E$5:$E$504,MATCH($F3076&amp;"",계정매핑!$A$5:$A$504,0))&amp;"","공통비"))</f>
        <v/>
      </c>
      <c r="AF3076" s="64">
        <f>IF($A3076="","",IF(AE3076="직접",IFERROR(INDEX(계정매핑!$F$5:$F$504,MATCH($F3076&amp;"",계정매핑!$A$5:$A$504,0))&amp;"","비귀속"),""))</f>
        <v/>
      </c>
      <c r="AG3076" s="96">
        <f>IF($A3076="",0,IF(AND(AE3076&lt;&gt;"직접",IFERROR(INDEX(계정매핑!$G$5:$G$504,MATCH($F3076&amp;"",계정매핑!$A$5:$A$504,0))&amp;"","")="유지비",COUNTIF(계정대체기준!$A$6:$A$15,$N3076)&gt;0),IFERROR(INDEX(계정대체기준!$E$6:$E$15,MATCH(VALUE($A3076&amp;""),계정대체기준!$D$6:$D$15,0)),0),0))</f>
        <v/>
      </c>
      <c r="AH3076" s="64">
        <f>IF($A3076="","",IF(AD3076=0,"",IF(OR(COUNTIF(계정대체기준!$A$77:$A$86,$N3076)&gt;0,ISNUMBER(MATCH($X3076,계정대체기준!$D$77:$D$86,0)),ISNUMBER(MATCH($F3076,계정대체기준!$D$77:$D$86,0))),"Y","N")))</f>
        <v/>
      </c>
    </row>
    <row r="3077">
      <c r="A3077" s="92" t="n">
        <v>2026</v>
      </c>
      <c r="B3077" s="92" t="n">
        <v>2</v>
      </c>
      <c r="C3077" s="92" t="inlineStr">
        <is>
          <t>5100000355</t>
        </is>
      </c>
      <c r="D3077" s="95" t="n">
        <v>46068</v>
      </c>
      <c r="E3077" s="92" t="inlineStr">
        <is>
          <t>KR</t>
        </is>
      </c>
      <c r="F3077" s="92" t="n">
        <v>62201000</v>
      </c>
      <c r="G3077" s="92" t="n">
        <v>1601</v>
      </c>
      <c r="H3077" s="93" t="n">
        <v>333000</v>
      </c>
      <c r="I3077" s="92" t="inlineStr">
        <is>
          <t>2월 통신요금 - O텔레콤</t>
        </is>
      </c>
      <c r="J3077" s="92" t="inlineStr">
        <is>
          <t>V10002</t>
        </is>
      </c>
      <c r="K3077" s="92" t="inlineStr">
        <is>
          <t>O텔레콤</t>
        </is>
      </c>
      <c r="M3077" s="9">
        <f>IF($A3077="","",VALUE($A3077&amp;"")*12+VALUE($B3077&amp;""))</f>
        <v/>
      </c>
      <c r="N3077" s="64">
        <f>IF($A3077="","",IFERROR(INDEX(부서매핑!$C$5:$C$504,MATCH($G3077&amp;"",부서매핑!$A$5:$A$504,0)),"미매핑"))</f>
        <v/>
      </c>
      <c r="O3077" s="9">
        <f>IF($A3077="","",N3077&amp;"|"&amp;$F3077)</f>
        <v/>
      </c>
      <c r="P3077" s="94">
        <f>IF($A3077="",0,$H3077*설정!$C$23)</f>
        <v/>
      </c>
      <c r="Q3077" s="64">
        <f>IF($A3077="","",IF(O3077&lt;&gt;원인분석!$C$9,"",IF(AND(M3077&gt;=원인분석!$C$10,M3077&lt;=원인분석!$C$11),"당기",IF(AND(M3077&gt;=원인분석!$C$12,M3077&lt;=원인분석!$C$13),"비교",""))))</f>
        <v/>
      </c>
      <c r="R3077" s="9">
        <f>IF(Q3077="","",$K3077&amp;"")</f>
        <v/>
      </c>
      <c r="S3077" s="9">
        <f>IF(Q3077="","",IF(MATCH(R3077,$R$5:$R$100000,0)=ROW()-4,ROW(),""))</f>
        <v/>
      </c>
      <c r="T3077" s="9">
        <f>IF(Q3077="당기",ABS(P3077)+ROW()/1000000000,"")</f>
        <v/>
      </c>
      <c r="U3077" s="9">
        <f>IF(Q3077="비교",ABS(P3077)+ROW()/1000000000,"")</f>
        <v/>
      </c>
      <c r="V3077" s="64">
        <f>IF($A3077="","",IF(COUNTIF(변동분석!$E$7:$E$506,O3077)&gt;0,"Y","N"))</f>
        <v/>
      </c>
      <c r="W3077" s="64">
        <f>IF($A3077="","",IFERROR(INDEX(계정매핑!$D$5:$D$504,MATCH($F3077&amp;"",계정매핑!$A$5:$A$504,0)),"미매핑"))</f>
        <v/>
      </c>
      <c r="X3077" s="9">
        <f>IF($A3077="","",$F3077&amp;"")</f>
        <v/>
      </c>
      <c r="Y3077" s="94">
        <f>IF($A3077="",0,IF(AE3077="직접",IF(AF3077="비귀속",$P3077,0),$P3077*(1-AG3077)*IFERROR(INDEX(계정대체기준!$F$20:$F$49,MATCH($N3077,계정대체기준!$A$20:$A$49,0)),1)))</f>
        <v/>
      </c>
      <c r="Z3077" s="94">
        <f>IF($A3077="",0,IF(AE3077="직접",IF(AF3077="신계약비",$P3077,0),$P3077*(1-AG3077)*IFERROR(INDEX(계정대체기준!$C$20:$C$49,MATCH($N3077,계정대체기준!$A$20:$A$49,0)),0)))</f>
        <v/>
      </c>
      <c r="AA3077" s="94">
        <f>IF($A3077="",0,IF(AE3077="직접",IF(OR(AF3077="유지비",AF3077="손해조사비"),$P3077,0),$P3077*(1-AG3077)*IFERROR(INDEX(계정대체기준!$D$20:$D$49,MATCH($N3077,계정대체기준!$A$20:$A$49,0)),0)))</f>
        <v/>
      </c>
      <c r="AB3077" s="94">
        <f>IF($A3077="",0,IF(AE3077="직접",IF(AF3077="수금비",$P3077,0),$P3077*(1-AG3077)*IFERROR(INDEX(계정대체기준!$E$20:$E$49,MATCH($N3077,계정대체기준!$A$20:$A$49,0)),0)))</f>
        <v/>
      </c>
      <c r="AC3077" s="9">
        <f>IF(AND($A3077&lt;&gt;"",M3077=설정!$C$20,Z3077&gt;0),Z3077+ROW()/1000000000,"")</f>
        <v/>
      </c>
      <c r="AD3077" s="94">
        <f>IF($A3077="",0,$P3077*AG3077)</f>
        <v/>
      </c>
      <c r="AE3077" s="64">
        <f>IF($A3077="","",IFERROR(INDEX(계정매핑!$E$5:$E$504,MATCH($F3077&amp;"",계정매핑!$A$5:$A$504,0))&amp;"","공통비"))</f>
        <v/>
      </c>
      <c r="AF3077" s="64">
        <f>IF($A3077="","",IF(AE3077="직접",IFERROR(INDEX(계정매핑!$F$5:$F$504,MATCH($F3077&amp;"",계정매핑!$A$5:$A$504,0))&amp;"","비귀속"),""))</f>
        <v/>
      </c>
      <c r="AG3077" s="96">
        <f>IF($A3077="",0,IF(AND(AE3077&lt;&gt;"직접",IFERROR(INDEX(계정매핑!$G$5:$G$504,MATCH($F3077&amp;"",계정매핑!$A$5:$A$504,0))&amp;"","")="유지비",COUNTIF(계정대체기준!$A$6:$A$15,$N3077)&gt;0),IFERROR(INDEX(계정대체기준!$E$6:$E$15,MATCH(VALUE($A3077&amp;""),계정대체기준!$D$6:$D$15,0)),0),0))</f>
        <v/>
      </c>
      <c r="AH3077" s="64">
        <f>IF($A3077="","",IF(AD3077=0,"",IF(OR(COUNTIF(계정대체기준!$A$77:$A$86,$N3077)&gt;0,ISNUMBER(MATCH($X3077,계정대체기준!$D$77:$D$86,0)),ISNUMBER(MATCH($F3077,계정대체기준!$D$77:$D$86,0))),"Y","N")))</f>
        <v/>
      </c>
    </row>
    <row r="3078">
      <c r="A3078" s="92" t="n">
        <v>2026</v>
      </c>
      <c r="B3078" s="92" t="n">
        <v>2</v>
      </c>
      <c r="C3078" s="92" t="inlineStr">
        <is>
          <t>5100000356</t>
        </is>
      </c>
      <c r="D3078" s="95" t="n">
        <v>46068</v>
      </c>
      <c r="E3078" s="92" t="inlineStr">
        <is>
          <t>KR</t>
        </is>
      </c>
      <c r="F3078" s="92" t="n">
        <v>62301000</v>
      </c>
      <c r="G3078" s="92" t="n">
        <v>1101</v>
      </c>
      <c r="H3078" s="93" t="n">
        <v>169000</v>
      </c>
      <c r="I3078" s="92" t="inlineStr">
        <is>
          <t>2월 소모품 구입 - Q오피스</t>
        </is>
      </c>
      <c r="J3078" s="92" t="inlineStr">
        <is>
          <t>V10003</t>
        </is>
      </c>
      <c r="K3078" s="92" t="inlineStr">
        <is>
          <t>Q오피스</t>
        </is>
      </c>
      <c r="M3078" s="9">
        <f>IF($A3078="","",VALUE($A3078&amp;"")*12+VALUE($B3078&amp;""))</f>
        <v/>
      </c>
      <c r="N3078" s="64">
        <f>IF($A3078="","",IFERROR(INDEX(부서매핑!$C$5:$C$504,MATCH($G3078&amp;"",부서매핑!$A$5:$A$504,0)),"미매핑"))</f>
        <v/>
      </c>
      <c r="O3078" s="9">
        <f>IF($A3078="","",N3078&amp;"|"&amp;$F3078)</f>
        <v/>
      </c>
      <c r="P3078" s="94">
        <f>IF($A3078="",0,$H3078*설정!$C$23)</f>
        <v/>
      </c>
      <c r="Q3078" s="64">
        <f>IF($A3078="","",IF(O3078&lt;&gt;원인분석!$C$9,"",IF(AND(M3078&gt;=원인분석!$C$10,M3078&lt;=원인분석!$C$11),"당기",IF(AND(M3078&gt;=원인분석!$C$12,M3078&lt;=원인분석!$C$13),"비교",""))))</f>
        <v/>
      </c>
      <c r="R3078" s="9">
        <f>IF(Q3078="","",$K3078&amp;"")</f>
        <v/>
      </c>
      <c r="S3078" s="9">
        <f>IF(Q3078="","",IF(MATCH(R3078,$R$5:$R$100000,0)=ROW()-4,ROW(),""))</f>
        <v/>
      </c>
      <c r="T3078" s="9">
        <f>IF(Q3078="당기",ABS(P3078)+ROW()/1000000000,"")</f>
        <v/>
      </c>
      <c r="U3078" s="9">
        <f>IF(Q3078="비교",ABS(P3078)+ROW()/1000000000,"")</f>
        <v/>
      </c>
      <c r="V3078" s="64">
        <f>IF($A3078="","",IF(COUNTIF(변동분석!$E$7:$E$506,O3078)&gt;0,"Y","N"))</f>
        <v/>
      </c>
      <c r="W3078" s="64">
        <f>IF($A3078="","",IFERROR(INDEX(계정매핑!$D$5:$D$504,MATCH($F3078&amp;"",계정매핑!$A$5:$A$504,0)),"미매핑"))</f>
        <v/>
      </c>
      <c r="X3078" s="9">
        <f>IF($A3078="","",$F3078&amp;"")</f>
        <v/>
      </c>
      <c r="Y3078" s="94">
        <f>IF($A3078="",0,IF(AE3078="직접",IF(AF3078="비귀속",$P3078,0),$P3078*(1-AG3078)*IFERROR(INDEX(계정대체기준!$F$20:$F$49,MATCH($N3078,계정대체기준!$A$20:$A$49,0)),1)))</f>
        <v/>
      </c>
      <c r="Z3078" s="94">
        <f>IF($A3078="",0,IF(AE3078="직접",IF(AF3078="신계약비",$P3078,0),$P3078*(1-AG3078)*IFERROR(INDEX(계정대체기준!$C$20:$C$49,MATCH($N3078,계정대체기준!$A$20:$A$49,0)),0)))</f>
        <v/>
      </c>
      <c r="AA3078" s="94">
        <f>IF($A3078="",0,IF(AE3078="직접",IF(OR(AF3078="유지비",AF3078="손해조사비"),$P3078,0),$P3078*(1-AG3078)*IFERROR(INDEX(계정대체기준!$D$20:$D$49,MATCH($N3078,계정대체기준!$A$20:$A$49,0)),0)))</f>
        <v/>
      </c>
      <c r="AB3078" s="94">
        <f>IF($A3078="",0,IF(AE3078="직접",IF(AF3078="수금비",$P3078,0),$P3078*(1-AG3078)*IFERROR(INDEX(계정대체기준!$E$20:$E$49,MATCH($N3078,계정대체기준!$A$20:$A$49,0)),0)))</f>
        <v/>
      </c>
      <c r="AC3078" s="9">
        <f>IF(AND($A3078&lt;&gt;"",M3078=설정!$C$20,Z3078&gt;0),Z3078+ROW()/1000000000,"")</f>
        <v/>
      </c>
      <c r="AD3078" s="94">
        <f>IF($A3078="",0,$P3078*AG3078)</f>
        <v/>
      </c>
      <c r="AE3078" s="64">
        <f>IF($A3078="","",IFERROR(INDEX(계정매핑!$E$5:$E$504,MATCH($F3078&amp;"",계정매핑!$A$5:$A$504,0))&amp;"","공통비"))</f>
        <v/>
      </c>
      <c r="AF3078" s="64">
        <f>IF($A3078="","",IF(AE3078="직접",IFERROR(INDEX(계정매핑!$F$5:$F$504,MATCH($F3078&amp;"",계정매핑!$A$5:$A$504,0))&amp;"","비귀속"),""))</f>
        <v/>
      </c>
      <c r="AG3078" s="96">
        <f>IF($A3078="",0,IF(AND(AE3078&lt;&gt;"직접",IFERROR(INDEX(계정매핑!$G$5:$G$504,MATCH($F3078&amp;"",계정매핑!$A$5:$A$504,0))&amp;"","")="유지비",COUNTIF(계정대체기준!$A$6:$A$15,$N3078)&gt;0),IFERROR(INDEX(계정대체기준!$E$6:$E$15,MATCH(VALUE($A3078&amp;""),계정대체기준!$D$6:$D$15,0)),0),0))</f>
        <v/>
      </c>
      <c r="AH3078" s="64">
        <f>IF($A3078="","",IF(AD3078=0,"",IF(OR(COUNTIF(계정대체기준!$A$77:$A$86,$N3078)&gt;0,ISNUMBER(MATCH($X3078,계정대체기준!$D$77:$D$86,0)),ISNUMBER(MATCH($F3078,계정대체기준!$D$77:$D$86,0))),"Y","N")))</f>
        <v/>
      </c>
    </row>
    <row r="3079">
      <c r="A3079" s="92" t="n">
        <v>2026</v>
      </c>
      <c r="B3079" s="92" t="n">
        <v>2</v>
      </c>
      <c r="C3079" s="92" t="inlineStr">
        <is>
          <t>5100000357</t>
        </is>
      </c>
      <c r="D3079" s="95" t="n">
        <v>46068</v>
      </c>
      <c r="E3079" s="92" t="inlineStr">
        <is>
          <t>KR</t>
        </is>
      </c>
      <c r="F3079" s="92" t="n">
        <v>62301000</v>
      </c>
      <c r="G3079" s="92" t="n">
        <v>1401</v>
      </c>
      <c r="H3079" s="93" t="n">
        <v>123000</v>
      </c>
      <c r="I3079" s="92" t="inlineStr">
        <is>
          <t>2월 소모품 구입 - R문구</t>
        </is>
      </c>
      <c r="J3079" s="92" t="inlineStr">
        <is>
          <t>V10022</t>
        </is>
      </c>
      <c r="K3079" s="92" t="inlineStr">
        <is>
          <t>R문구</t>
        </is>
      </c>
      <c r="M3079" s="9">
        <f>IF($A3079="","",VALUE($A3079&amp;"")*12+VALUE($B3079&amp;""))</f>
        <v/>
      </c>
      <c r="N3079" s="64">
        <f>IF($A3079="","",IFERROR(INDEX(부서매핑!$C$5:$C$504,MATCH($G3079&amp;"",부서매핑!$A$5:$A$504,0)),"미매핑"))</f>
        <v/>
      </c>
      <c r="O3079" s="9">
        <f>IF($A3079="","",N3079&amp;"|"&amp;$F3079)</f>
        <v/>
      </c>
      <c r="P3079" s="94">
        <f>IF($A3079="",0,$H3079*설정!$C$23)</f>
        <v/>
      </c>
      <c r="Q3079" s="64">
        <f>IF($A3079="","",IF(O3079&lt;&gt;원인분석!$C$9,"",IF(AND(M3079&gt;=원인분석!$C$10,M3079&lt;=원인분석!$C$11),"당기",IF(AND(M3079&gt;=원인분석!$C$12,M3079&lt;=원인분석!$C$13),"비교",""))))</f>
        <v/>
      </c>
      <c r="R3079" s="9">
        <f>IF(Q3079="","",$K3079&amp;"")</f>
        <v/>
      </c>
      <c r="S3079" s="9">
        <f>IF(Q3079="","",IF(MATCH(R3079,$R$5:$R$100000,0)=ROW()-4,ROW(),""))</f>
        <v/>
      </c>
      <c r="T3079" s="9">
        <f>IF(Q3079="당기",ABS(P3079)+ROW()/1000000000,"")</f>
        <v/>
      </c>
      <c r="U3079" s="9">
        <f>IF(Q3079="비교",ABS(P3079)+ROW()/1000000000,"")</f>
        <v/>
      </c>
      <c r="V3079" s="64">
        <f>IF($A3079="","",IF(COUNTIF(변동분석!$E$7:$E$506,O3079)&gt;0,"Y","N"))</f>
        <v/>
      </c>
      <c r="W3079" s="64">
        <f>IF($A3079="","",IFERROR(INDEX(계정매핑!$D$5:$D$504,MATCH($F3079&amp;"",계정매핑!$A$5:$A$504,0)),"미매핑"))</f>
        <v/>
      </c>
      <c r="X3079" s="9">
        <f>IF($A3079="","",$F3079&amp;"")</f>
        <v/>
      </c>
      <c r="Y3079" s="94">
        <f>IF($A3079="",0,IF(AE3079="직접",IF(AF3079="비귀속",$P3079,0),$P3079*(1-AG3079)*IFERROR(INDEX(계정대체기준!$F$20:$F$49,MATCH($N3079,계정대체기준!$A$20:$A$49,0)),1)))</f>
        <v/>
      </c>
      <c r="Z3079" s="94">
        <f>IF($A3079="",0,IF(AE3079="직접",IF(AF3079="신계약비",$P3079,0),$P3079*(1-AG3079)*IFERROR(INDEX(계정대체기준!$C$20:$C$49,MATCH($N3079,계정대체기준!$A$20:$A$49,0)),0)))</f>
        <v/>
      </c>
      <c r="AA3079" s="94">
        <f>IF($A3079="",0,IF(AE3079="직접",IF(OR(AF3079="유지비",AF3079="손해조사비"),$P3079,0),$P3079*(1-AG3079)*IFERROR(INDEX(계정대체기준!$D$20:$D$49,MATCH($N3079,계정대체기준!$A$20:$A$49,0)),0)))</f>
        <v/>
      </c>
      <c r="AB3079" s="94">
        <f>IF($A3079="",0,IF(AE3079="직접",IF(AF3079="수금비",$P3079,0),$P3079*(1-AG3079)*IFERROR(INDEX(계정대체기준!$E$20:$E$49,MATCH($N3079,계정대체기준!$A$20:$A$49,0)),0)))</f>
        <v/>
      </c>
      <c r="AC3079" s="9">
        <f>IF(AND($A3079&lt;&gt;"",M3079=설정!$C$20,Z3079&gt;0),Z3079+ROW()/1000000000,"")</f>
        <v/>
      </c>
      <c r="AD3079" s="94">
        <f>IF($A3079="",0,$P3079*AG3079)</f>
        <v/>
      </c>
      <c r="AE3079" s="64">
        <f>IF($A3079="","",IFERROR(INDEX(계정매핑!$E$5:$E$504,MATCH($F3079&amp;"",계정매핑!$A$5:$A$504,0))&amp;"","공통비"))</f>
        <v/>
      </c>
      <c r="AF3079" s="64">
        <f>IF($A3079="","",IF(AE3079="직접",IFERROR(INDEX(계정매핑!$F$5:$F$504,MATCH($F3079&amp;"",계정매핑!$A$5:$A$504,0))&amp;"","비귀속"),""))</f>
        <v/>
      </c>
      <c r="AG3079" s="96">
        <f>IF($A3079="",0,IF(AND(AE3079&lt;&gt;"직접",IFERROR(INDEX(계정매핑!$G$5:$G$504,MATCH($F3079&amp;"",계정매핑!$A$5:$A$504,0))&amp;"","")="유지비",COUNTIF(계정대체기준!$A$6:$A$15,$N3079)&gt;0),IFERROR(INDEX(계정대체기준!$E$6:$E$15,MATCH(VALUE($A3079&amp;""),계정대체기준!$D$6:$D$15,0)),0),0))</f>
        <v/>
      </c>
      <c r="AH3079" s="64">
        <f>IF($A3079="","",IF(AD3079=0,"",IF(OR(COUNTIF(계정대체기준!$A$77:$A$86,$N3079)&gt;0,ISNUMBER(MATCH($X3079,계정대체기준!$D$77:$D$86,0)),ISNUMBER(MATCH($F3079,계정대체기준!$D$77:$D$86,0))),"Y","N")))</f>
        <v/>
      </c>
    </row>
    <row r="3080">
      <c r="A3080" s="92" t="n">
        <v>2026</v>
      </c>
      <c r="B3080" s="92" t="n">
        <v>2</v>
      </c>
      <c r="C3080" s="92" t="inlineStr">
        <is>
          <t>5100000358</t>
        </is>
      </c>
      <c r="D3080" s="95" t="n">
        <v>46068</v>
      </c>
      <c r="E3080" s="92" t="inlineStr">
        <is>
          <t>KR</t>
        </is>
      </c>
      <c r="F3080" s="92" t="n">
        <v>62501000</v>
      </c>
      <c r="G3080" s="92" t="n">
        <v>1801</v>
      </c>
      <c r="H3080" s="93" t="n">
        <v>186000</v>
      </c>
      <c r="I3080" s="92" t="inlineStr">
        <is>
          <t>2월 회의 다과 - T케이터링</t>
        </is>
      </c>
      <c r="J3080" s="92" t="inlineStr">
        <is>
          <t>V10005</t>
        </is>
      </c>
      <c r="K3080" s="92" t="inlineStr">
        <is>
          <t>T케이터링</t>
        </is>
      </c>
      <c r="M3080" s="9">
        <f>IF($A3080="","",VALUE($A3080&amp;"")*12+VALUE($B3080&amp;""))</f>
        <v/>
      </c>
      <c r="N3080" s="64">
        <f>IF($A3080="","",IFERROR(INDEX(부서매핑!$C$5:$C$504,MATCH($G3080&amp;"",부서매핑!$A$5:$A$504,0)),"미매핑"))</f>
        <v/>
      </c>
      <c r="O3080" s="9">
        <f>IF($A3080="","",N3080&amp;"|"&amp;$F3080)</f>
        <v/>
      </c>
      <c r="P3080" s="94">
        <f>IF($A3080="",0,$H3080*설정!$C$23)</f>
        <v/>
      </c>
      <c r="Q3080" s="64">
        <f>IF($A3080="","",IF(O3080&lt;&gt;원인분석!$C$9,"",IF(AND(M3080&gt;=원인분석!$C$10,M3080&lt;=원인분석!$C$11),"당기",IF(AND(M3080&gt;=원인분석!$C$12,M3080&lt;=원인분석!$C$13),"비교",""))))</f>
        <v/>
      </c>
      <c r="R3080" s="9">
        <f>IF(Q3080="","",$K3080&amp;"")</f>
        <v/>
      </c>
      <c r="S3080" s="9">
        <f>IF(Q3080="","",IF(MATCH(R3080,$R$5:$R$100000,0)=ROW()-4,ROW(),""))</f>
        <v/>
      </c>
      <c r="T3080" s="9">
        <f>IF(Q3080="당기",ABS(P3080)+ROW()/1000000000,"")</f>
        <v/>
      </c>
      <c r="U3080" s="9">
        <f>IF(Q3080="비교",ABS(P3080)+ROW()/1000000000,"")</f>
        <v/>
      </c>
      <c r="V3080" s="64">
        <f>IF($A3080="","",IF(COUNTIF(변동분석!$E$7:$E$506,O3080)&gt;0,"Y","N"))</f>
        <v/>
      </c>
      <c r="W3080" s="64">
        <f>IF($A3080="","",IFERROR(INDEX(계정매핑!$D$5:$D$504,MATCH($F3080&amp;"",계정매핑!$A$5:$A$504,0)),"미매핑"))</f>
        <v/>
      </c>
      <c r="X3080" s="9">
        <f>IF($A3080="","",$F3080&amp;"")</f>
        <v/>
      </c>
      <c r="Y3080" s="94">
        <f>IF($A3080="",0,IF(AE3080="직접",IF(AF3080="비귀속",$P3080,0),$P3080*(1-AG3080)*IFERROR(INDEX(계정대체기준!$F$20:$F$49,MATCH($N3080,계정대체기준!$A$20:$A$49,0)),1)))</f>
        <v/>
      </c>
      <c r="Z3080" s="94">
        <f>IF($A3080="",0,IF(AE3080="직접",IF(AF3080="신계약비",$P3080,0),$P3080*(1-AG3080)*IFERROR(INDEX(계정대체기준!$C$20:$C$49,MATCH($N3080,계정대체기준!$A$20:$A$49,0)),0)))</f>
        <v/>
      </c>
      <c r="AA3080" s="94">
        <f>IF($A3080="",0,IF(AE3080="직접",IF(OR(AF3080="유지비",AF3080="손해조사비"),$P3080,0),$P3080*(1-AG3080)*IFERROR(INDEX(계정대체기준!$D$20:$D$49,MATCH($N3080,계정대체기준!$A$20:$A$49,0)),0)))</f>
        <v/>
      </c>
      <c r="AB3080" s="94">
        <f>IF($A3080="",0,IF(AE3080="직접",IF(AF3080="수금비",$P3080,0),$P3080*(1-AG3080)*IFERROR(INDEX(계정대체기준!$E$20:$E$49,MATCH($N3080,계정대체기준!$A$20:$A$49,0)),0)))</f>
        <v/>
      </c>
      <c r="AC3080" s="9">
        <f>IF(AND($A3080&lt;&gt;"",M3080=설정!$C$20,Z3080&gt;0),Z3080+ROW()/1000000000,"")</f>
        <v/>
      </c>
      <c r="AD3080" s="94">
        <f>IF($A3080="",0,$P3080*AG3080)</f>
        <v/>
      </c>
      <c r="AE3080" s="64">
        <f>IF($A3080="","",IFERROR(INDEX(계정매핑!$E$5:$E$504,MATCH($F3080&amp;"",계정매핑!$A$5:$A$504,0))&amp;"","공통비"))</f>
        <v/>
      </c>
      <c r="AF3080" s="64">
        <f>IF($A3080="","",IF(AE3080="직접",IFERROR(INDEX(계정매핑!$F$5:$F$504,MATCH($F3080&amp;"",계정매핑!$A$5:$A$504,0))&amp;"","비귀속"),""))</f>
        <v/>
      </c>
      <c r="AG3080" s="96">
        <f>IF($A3080="",0,IF(AND(AE3080&lt;&gt;"직접",IFERROR(INDEX(계정매핑!$G$5:$G$504,MATCH($F3080&amp;"",계정매핑!$A$5:$A$504,0))&amp;"","")="유지비",COUNTIF(계정대체기준!$A$6:$A$15,$N3080)&gt;0),IFERROR(INDEX(계정대체기준!$E$6:$E$15,MATCH(VALUE($A3080&amp;""),계정대체기준!$D$6:$D$15,0)),0),0))</f>
        <v/>
      </c>
      <c r="AH3080" s="64">
        <f>IF($A3080="","",IF(AD3080=0,"",IF(OR(COUNTIF(계정대체기준!$A$77:$A$86,$N3080)&gt;0,ISNUMBER(MATCH($X3080,계정대체기준!$D$77:$D$86,0)),ISNUMBER(MATCH($F3080,계정대체기준!$D$77:$D$86,0))),"Y","N")))</f>
        <v/>
      </c>
    </row>
    <row r="3081">
      <c r="A3081" s="92" t="n">
        <v>2026</v>
      </c>
      <c r="B3081" s="92" t="n">
        <v>2</v>
      </c>
      <c r="C3081" s="92" t="inlineStr">
        <is>
          <t>5100000359</t>
        </is>
      </c>
      <c r="D3081" s="95" t="n">
        <v>46068</v>
      </c>
      <c r="E3081" s="92" t="inlineStr">
        <is>
          <t>KR</t>
        </is>
      </c>
      <c r="F3081" s="92" t="n">
        <v>62901000</v>
      </c>
      <c r="G3081" s="92" t="n">
        <v>1101</v>
      </c>
      <c r="H3081" s="93" t="n">
        <v>4402000</v>
      </c>
      <c r="I3081" s="92" t="inlineStr">
        <is>
          <t>2월 자문 수수료 - W컨설팅</t>
        </is>
      </c>
      <c r="J3081" s="92" t="inlineStr">
        <is>
          <t>V10006</t>
        </is>
      </c>
      <c r="K3081" s="92" t="inlineStr">
        <is>
          <t>W컨설팅</t>
        </is>
      </c>
      <c r="M3081" s="9">
        <f>IF($A3081="","",VALUE($A3081&amp;"")*12+VALUE($B3081&amp;""))</f>
        <v/>
      </c>
      <c r="N3081" s="64">
        <f>IF($A3081="","",IFERROR(INDEX(부서매핑!$C$5:$C$504,MATCH($G3081&amp;"",부서매핑!$A$5:$A$504,0)),"미매핑"))</f>
        <v/>
      </c>
      <c r="O3081" s="9">
        <f>IF($A3081="","",N3081&amp;"|"&amp;$F3081)</f>
        <v/>
      </c>
      <c r="P3081" s="94">
        <f>IF($A3081="",0,$H3081*설정!$C$23)</f>
        <v/>
      </c>
      <c r="Q3081" s="64">
        <f>IF($A3081="","",IF(O3081&lt;&gt;원인분석!$C$9,"",IF(AND(M3081&gt;=원인분석!$C$10,M3081&lt;=원인분석!$C$11),"당기",IF(AND(M3081&gt;=원인분석!$C$12,M3081&lt;=원인분석!$C$13),"비교",""))))</f>
        <v/>
      </c>
      <c r="R3081" s="9">
        <f>IF(Q3081="","",$K3081&amp;"")</f>
        <v/>
      </c>
      <c r="S3081" s="9">
        <f>IF(Q3081="","",IF(MATCH(R3081,$R$5:$R$100000,0)=ROW()-4,ROW(),""))</f>
        <v/>
      </c>
      <c r="T3081" s="9">
        <f>IF(Q3081="당기",ABS(P3081)+ROW()/1000000000,"")</f>
        <v/>
      </c>
      <c r="U3081" s="9">
        <f>IF(Q3081="비교",ABS(P3081)+ROW()/1000000000,"")</f>
        <v/>
      </c>
      <c r="V3081" s="64">
        <f>IF($A3081="","",IF(COUNTIF(변동분석!$E$7:$E$506,O3081)&gt;0,"Y","N"))</f>
        <v/>
      </c>
      <c r="W3081" s="64">
        <f>IF($A3081="","",IFERROR(INDEX(계정매핑!$D$5:$D$504,MATCH($F3081&amp;"",계정매핑!$A$5:$A$504,0)),"미매핑"))</f>
        <v/>
      </c>
      <c r="X3081" s="9">
        <f>IF($A3081="","",$F3081&amp;"")</f>
        <v/>
      </c>
      <c r="Y3081" s="94">
        <f>IF($A3081="",0,IF(AE3081="직접",IF(AF3081="비귀속",$P3081,0),$P3081*(1-AG3081)*IFERROR(INDEX(계정대체기준!$F$20:$F$49,MATCH($N3081,계정대체기준!$A$20:$A$49,0)),1)))</f>
        <v/>
      </c>
      <c r="Z3081" s="94">
        <f>IF($A3081="",0,IF(AE3081="직접",IF(AF3081="신계약비",$P3081,0),$P3081*(1-AG3081)*IFERROR(INDEX(계정대체기준!$C$20:$C$49,MATCH($N3081,계정대체기준!$A$20:$A$49,0)),0)))</f>
        <v/>
      </c>
      <c r="AA3081" s="94">
        <f>IF($A3081="",0,IF(AE3081="직접",IF(OR(AF3081="유지비",AF3081="손해조사비"),$P3081,0),$P3081*(1-AG3081)*IFERROR(INDEX(계정대체기준!$D$20:$D$49,MATCH($N3081,계정대체기준!$A$20:$A$49,0)),0)))</f>
        <v/>
      </c>
      <c r="AB3081" s="94">
        <f>IF($A3081="",0,IF(AE3081="직접",IF(AF3081="수금비",$P3081,0),$P3081*(1-AG3081)*IFERROR(INDEX(계정대체기준!$E$20:$E$49,MATCH($N3081,계정대체기준!$A$20:$A$49,0)),0)))</f>
        <v/>
      </c>
      <c r="AC3081" s="9">
        <f>IF(AND($A3081&lt;&gt;"",M3081=설정!$C$20,Z3081&gt;0),Z3081+ROW()/1000000000,"")</f>
        <v/>
      </c>
      <c r="AD3081" s="94">
        <f>IF($A3081="",0,$P3081*AG3081)</f>
        <v/>
      </c>
      <c r="AE3081" s="64">
        <f>IF($A3081="","",IFERROR(INDEX(계정매핑!$E$5:$E$504,MATCH($F3081&amp;"",계정매핑!$A$5:$A$504,0))&amp;"","공통비"))</f>
        <v/>
      </c>
      <c r="AF3081" s="64">
        <f>IF($A3081="","",IF(AE3081="직접",IFERROR(INDEX(계정매핑!$F$5:$F$504,MATCH($F3081&amp;"",계정매핑!$A$5:$A$504,0))&amp;"","비귀속"),""))</f>
        <v/>
      </c>
      <c r="AG3081" s="96">
        <f>IF($A3081="",0,IF(AND(AE3081&lt;&gt;"직접",IFERROR(INDEX(계정매핑!$G$5:$G$504,MATCH($F3081&amp;"",계정매핑!$A$5:$A$504,0))&amp;"","")="유지비",COUNTIF(계정대체기준!$A$6:$A$15,$N3081)&gt;0),IFERROR(INDEX(계정대체기준!$E$6:$E$15,MATCH(VALUE($A3081&amp;""),계정대체기준!$D$6:$D$15,0)),0),0))</f>
        <v/>
      </c>
      <c r="AH3081" s="64">
        <f>IF($A3081="","",IF(AD3081=0,"",IF(OR(COUNTIF(계정대체기준!$A$77:$A$86,$N3081)&gt;0,ISNUMBER(MATCH($X3081,계정대체기준!$D$77:$D$86,0)),ISNUMBER(MATCH($F3081,계정대체기준!$D$77:$D$86,0))),"Y","N")))</f>
        <v/>
      </c>
    </row>
    <row r="3082">
      <c r="A3082" s="92" t="n">
        <v>2026</v>
      </c>
      <c r="B3082" s="92" t="n">
        <v>2</v>
      </c>
      <c r="C3082" s="92" t="inlineStr">
        <is>
          <t>5100000360</t>
        </is>
      </c>
      <c r="D3082" s="95" t="n">
        <v>46068</v>
      </c>
      <c r="E3082" s="92" t="inlineStr">
        <is>
          <t>KR</t>
        </is>
      </c>
      <c r="F3082" s="92" t="n">
        <v>62902000</v>
      </c>
      <c r="G3082" s="92" t="n">
        <v>1401</v>
      </c>
      <c r="H3082" s="93" t="n">
        <v>2164000</v>
      </c>
      <c r="I3082" s="92" t="inlineStr">
        <is>
          <t>2월 업무 위탁 수수료 - X서비스</t>
        </is>
      </c>
      <c r="J3082" s="92" t="inlineStr">
        <is>
          <t>V10020</t>
        </is>
      </c>
      <c r="K3082" s="92" t="inlineStr">
        <is>
          <t>X서비스</t>
        </is>
      </c>
      <c r="M3082" s="9">
        <f>IF($A3082="","",VALUE($A3082&amp;"")*12+VALUE($B3082&amp;""))</f>
        <v/>
      </c>
      <c r="N3082" s="64">
        <f>IF($A3082="","",IFERROR(INDEX(부서매핑!$C$5:$C$504,MATCH($G3082&amp;"",부서매핑!$A$5:$A$504,0)),"미매핑"))</f>
        <v/>
      </c>
      <c r="O3082" s="9">
        <f>IF($A3082="","",N3082&amp;"|"&amp;$F3082)</f>
        <v/>
      </c>
      <c r="P3082" s="94">
        <f>IF($A3082="",0,$H3082*설정!$C$23)</f>
        <v/>
      </c>
      <c r="Q3082" s="64">
        <f>IF($A3082="","",IF(O3082&lt;&gt;원인분석!$C$9,"",IF(AND(M3082&gt;=원인분석!$C$10,M3082&lt;=원인분석!$C$11),"당기",IF(AND(M3082&gt;=원인분석!$C$12,M3082&lt;=원인분석!$C$13),"비교",""))))</f>
        <v/>
      </c>
      <c r="R3082" s="9">
        <f>IF(Q3082="","",$K3082&amp;"")</f>
        <v/>
      </c>
      <c r="S3082" s="9">
        <f>IF(Q3082="","",IF(MATCH(R3082,$R$5:$R$100000,0)=ROW()-4,ROW(),""))</f>
        <v/>
      </c>
      <c r="T3082" s="9">
        <f>IF(Q3082="당기",ABS(P3082)+ROW()/1000000000,"")</f>
        <v/>
      </c>
      <c r="U3082" s="9">
        <f>IF(Q3082="비교",ABS(P3082)+ROW()/1000000000,"")</f>
        <v/>
      </c>
      <c r="V3082" s="64">
        <f>IF($A3082="","",IF(COUNTIF(변동분석!$E$7:$E$506,O3082)&gt;0,"Y","N"))</f>
        <v/>
      </c>
      <c r="W3082" s="64">
        <f>IF($A3082="","",IFERROR(INDEX(계정매핑!$D$5:$D$504,MATCH($F3082&amp;"",계정매핑!$A$5:$A$504,0)),"미매핑"))</f>
        <v/>
      </c>
      <c r="X3082" s="9">
        <f>IF($A3082="","",$F3082&amp;"")</f>
        <v/>
      </c>
      <c r="Y3082" s="94">
        <f>IF($A3082="",0,IF(AE3082="직접",IF(AF3082="비귀속",$P3082,0),$P3082*(1-AG3082)*IFERROR(INDEX(계정대체기준!$F$20:$F$49,MATCH($N3082,계정대체기준!$A$20:$A$49,0)),1)))</f>
        <v/>
      </c>
      <c r="Z3082" s="94">
        <f>IF($A3082="",0,IF(AE3082="직접",IF(AF3082="신계약비",$P3082,0),$P3082*(1-AG3082)*IFERROR(INDEX(계정대체기준!$C$20:$C$49,MATCH($N3082,계정대체기준!$A$20:$A$49,0)),0)))</f>
        <v/>
      </c>
      <c r="AA3082" s="94">
        <f>IF($A3082="",0,IF(AE3082="직접",IF(OR(AF3082="유지비",AF3082="손해조사비"),$P3082,0),$P3082*(1-AG3082)*IFERROR(INDEX(계정대체기준!$D$20:$D$49,MATCH($N3082,계정대체기준!$A$20:$A$49,0)),0)))</f>
        <v/>
      </c>
      <c r="AB3082" s="94">
        <f>IF($A3082="",0,IF(AE3082="직접",IF(AF3082="수금비",$P3082,0),$P3082*(1-AG3082)*IFERROR(INDEX(계정대체기준!$E$20:$E$49,MATCH($N3082,계정대체기준!$A$20:$A$49,0)),0)))</f>
        <v/>
      </c>
      <c r="AC3082" s="9">
        <f>IF(AND($A3082&lt;&gt;"",M3082=설정!$C$20,Z3082&gt;0),Z3082+ROW()/1000000000,"")</f>
        <v/>
      </c>
      <c r="AD3082" s="94">
        <f>IF($A3082="",0,$P3082*AG3082)</f>
        <v/>
      </c>
      <c r="AE3082" s="64">
        <f>IF($A3082="","",IFERROR(INDEX(계정매핑!$E$5:$E$504,MATCH($F3082&amp;"",계정매핑!$A$5:$A$504,0))&amp;"","공통비"))</f>
        <v/>
      </c>
      <c r="AF3082" s="64">
        <f>IF($A3082="","",IF(AE3082="직접",IFERROR(INDEX(계정매핑!$F$5:$F$504,MATCH($F3082&amp;"",계정매핑!$A$5:$A$504,0))&amp;"","비귀속"),""))</f>
        <v/>
      </c>
      <c r="AG3082" s="96">
        <f>IF($A3082="",0,IF(AND(AE3082&lt;&gt;"직접",IFERROR(INDEX(계정매핑!$G$5:$G$504,MATCH($F3082&amp;"",계정매핑!$A$5:$A$504,0))&amp;"","")="유지비",COUNTIF(계정대체기준!$A$6:$A$15,$N3082)&gt;0),IFERROR(INDEX(계정대체기준!$E$6:$E$15,MATCH(VALUE($A3082&amp;""),계정대체기준!$D$6:$D$15,0)),0),0))</f>
        <v/>
      </c>
      <c r="AH3082" s="64">
        <f>IF($A3082="","",IF(AD3082=0,"",IF(OR(COUNTIF(계정대체기준!$A$77:$A$86,$N3082)&gt;0,ISNUMBER(MATCH($X3082,계정대체기준!$D$77:$D$86,0)),ISNUMBER(MATCH($F3082,계정대체기준!$D$77:$D$86,0))),"Y","N")))</f>
        <v/>
      </c>
    </row>
    <row r="3083">
      <c r="A3083" s="92" t="n">
        <v>2026</v>
      </c>
      <c r="B3083" s="92" t="n">
        <v>2</v>
      </c>
      <c r="C3083" s="92" t="inlineStr">
        <is>
          <t>5100000361</t>
        </is>
      </c>
      <c r="D3083" s="95" t="n">
        <v>46068</v>
      </c>
      <c r="E3083" s="92" t="inlineStr">
        <is>
          <t>KR</t>
        </is>
      </c>
      <c r="F3083" s="92" t="n">
        <v>62902000</v>
      </c>
      <c r="G3083" s="92" t="n">
        <v>1801</v>
      </c>
      <c r="H3083" s="93" t="n">
        <v>1798000</v>
      </c>
      <c r="I3083" s="92" t="inlineStr">
        <is>
          <t>2월 콜 위탁 수수료(건별)</t>
        </is>
      </c>
      <c r="J3083" s="92" t="inlineStr">
        <is>
          <t>V10016</t>
        </is>
      </c>
      <c r="K3083" s="92" t="inlineStr">
        <is>
          <t>J콜센터</t>
        </is>
      </c>
      <c r="M3083" s="9">
        <f>IF($A3083="","",VALUE($A3083&amp;"")*12+VALUE($B3083&amp;""))</f>
        <v/>
      </c>
      <c r="N3083" s="64">
        <f>IF($A3083="","",IFERROR(INDEX(부서매핑!$C$5:$C$504,MATCH($G3083&amp;"",부서매핑!$A$5:$A$504,0)),"미매핑"))</f>
        <v/>
      </c>
      <c r="O3083" s="9">
        <f>IF($A3083="","",N3083&amp;"|"&amp;$F3083)</f>
        <v/>
      </c>
      <c r="P3083" s="94">
        <f>IF($A3083="",0,$H3083*설정!$C$23)</f>
        <v/>
      </c>
      <c r="Q3083" s="64">
        <f>IF($A3083="","",IF(O3083&lt;&gt;원인분석!$C$9,"",IF(AND(M3083&gt;=원인분석!$C$10,M3083&lt;=원인분석!$C$11),"당기",IF(AND(M3083&gt;=원인분석!$C$12,M3083&lt;=원인분석!$C$13),"비교",""))))</f>
        <v/>
      </c>
      <c r="R3083" s="9">
        <f>IF(Q3083="","",$K3083&amp;"")</f>
        <v/>
      </c>
      <c r="S3083" s="9">
        <f>IF(Q3083="","",IF(MATCH(R3083,$R$5:$R$100000,0)=ROW()-4,ROW(),""))</f>
        <v/>
      </c>
      <c r="T3083" s="9">
        <f>IF(Q3083="당기",ABS(P3083)+ROW()/1000000000,"")</f>
        <v/>
      </c>
      <c r="U3083" s="9">
        <f>IF(Q3083="비교",ABS(P3083)+ROW()/1000000000,"")</f>
        <v/>
      </c>
      <c r="V3083" s="64">
        <f>IF($A3083="","",IF(COUNTIF(변동분석!$E$7:$E$506,O3083)&gt;0,"Y","N"))</f>
        <v/>
      </c>
      <c r="W3083" s="64">
        <f>IF($A3083="","",IFERROR(INDEX(계정매핑!$D$5:$D$504,MATCH($F3083&amp;"",계정매핑!$A$5:$A$504,0)),"미매핑"))</f>
        <v/>
      </c>
      <c r="X3083" s="9">
        <f>IF($A3083="","",$F3083&amp;"")</f>
        <v/>
      </c>
      <c r="Y3083" s="94">
        <f>IF($A3083="",0,IF(AE3083="직접",IF(AF3083="비귀속",$P3083,0),$P3083*(1-AG3083)*IFERROR(INDEX(계정대체기준!$F$20:$F$49,MATCH($N3083,계정대체기준!$A$20:$A$49,0)),1)))</f>
        <v/>
      </c>
      <c r="Z3083" s="94">
        <f>IF($A3083="",0,IF(AE3083="직접",IF(AF3083="신계약비",$P3083,0),$P3083*(1-AG3083)*IFERROR(INDEX(계정대체기준!$C$20:$C$49,MATCH($N3083,계정대체기준!$A$20:$A$49,0)),0)))</f>
        <v/>
      </c>
      <c r="AA3083" s="94">
        <f>IF($A3083="",0,IF(AE3083="직접",IF(OR(AF3083="유지비",AF3083="손해조사비"),$P3083,0),$P3083*(1-AG3083)*IFERROR(INDEX(계정대체기준!$D$20:$D$49,MATCH($N3083,계정대체기준!$A$20:$A$49,0)),0)))</f>
        <v/>
      </c>
      <c r="AB3083" s="94">
        <f>IF($A3083="",0,IF(AE3083="직접",IF(AF3083="수금비",$P3083,0),$P3083*(1-AG3083)*IFERROR(INDEX(계정대체기준!$E$20:$E$49,MATCH($N3083,계정대체기준!$A$20:$A$49,0)),0)))</f>
        <v/>
      </c>
      <c r="AC3083" s="9">
        <f>IF(AND($A3083&lt;&gt;"",M3083=설정!$C$20,Z3083&gt;0),Z3083+ROW()/1000000000,"")</f>
        <v/>
      </c>
      <c r="AD3083" s="94">
        <f>IF($A3083="",0,$P3083*AG3083)</f>
        <v/>
      </c>
      <c r="AE3083" s="64">
        <f>IF($A3083="","",IFERROR(INDEX(계정매핑!$E$5:$E$504,MATCH($F3083&amp;"",계정매핑!$A$5:$A$504,0))&amp;"","공통비"))</f>
        <v/>
      </c>
      <c r="AF3083" s="64">
        <f>IF($A3083="","",IF(AE3083="직접",IFERROR(INDEX(계정매핑!$F$5:$F$504,MATCH($F3083&amp;"",계정매핑!$A$5:$A$504,0))&amp;"","비귀속"),""))</f>
        <v/>
      </c>
      <c r="AG3083" s="96">
        <f>IF($A3083="",0,IF(AND(AE3083&lt;&gt;"직접",IFERROR(INDEX(계정매핑!$G$5:$G$504,MATCH($F3083&amp;"",계정매핑!$A$5:$A$504,0))&amp;"","")="유지비",COUNTIF(계정대체기준!$A$6:$A$15,$N3083)&gt;0),IFERROR(INDEX(계정대체기준!$E$6:$E$15,MATCH(VALUE($A3083&amp;""),계정대체기준!$D$6:$D$15,0)),0),0))</f>
        <v/>
      </c>
      <c r="AH3083" s="64">
        <f>IF($A3083="","",IF(AD3083=0,"",IF(OR(COUNTIF(계정대체기준!$A$77:$A$86,$N3083)&gt;0,ISNUMBER(MATCH($X3083,계정대체기준!$D$77:$D$86,0)),ISNUMBER(MATCH($F3083,계정대체기준!$D$77:$D$86,0))),"Y","N")))</f>
        <v/>
      </c>
    </row>
    <row r="3084">
      <c r="A3084" s="92" t="n">
        <v>2026</v>
      </c>
      <c r="B3084" s="92" t="n">
        <v>2</v>
      </c>
      <c r="C3084" s="92" t="inlineStr">
        <is>
          <t>5100000362</t>
        </is>
      </c>
      <c r="D3084" s="95" t="n">
        <v>46068</v>
      </c>
      <c r="E3084" s="92" t="inlineStr">
        <is>
          <t>KR</t>
        </is>
      </c>
      <c r="F3084" s="92" t="n">
        <v>63001000</v>
      </c>
      <c r="G3084" s="92" t="n">
        <v>1701</v>
      </c>
      <c r="H3084" s="93" t="n">
        <v>20492000</v>
      </c>
      <c r="I3084" s="92" t="inlineStr">
        <is>
          <t>2월 SW 유지보수 - Y소프트</t>
        </is>
      </c>
      <c r="J3084" s="92" t="inlineStr">
        <is>
          <t>V10017</t>
        </is>
      </c>
      <c r="K3084" s="92" t="inlineStr">
        <is>
          <t>Y소프트</t>
        </is>
      </c>
      <c r="M3084" s="9">
        <f>IF($A3084="","",VALUE($A3084&amp;"")*12+VALUE($B3084&amp;""))</f>
        <v/>
      </c>
      <c r="N3084" s="64">
        <f>IF($A3084="","",IFERROR(INDEX(부서매핑!$C$5:$C$504,MATCH($G3084&amp;"",부서매핑!$A$5:$A$504,0)),"미매핑"))</f>
        <v/>
      </c>
      <c r="O3084" s="9">
        <f>IF($A3084="","",N3084&amp;"|"&amp;$F3084)</f>
        <v/>
      </c>
      <c r="P3084" s="94">
        <f>IF($A3084="",0,$H3084*설정!$C$23)</f>
        <v/>
      </c>
      <c r="Q3084" s="64">
        <f>IF($A3084="","",IF(O3084&lt;&gt;원인분석!$C$9,"",IF(AND(M3084&gt;=원인분석!$C$10,M3084&lt;=원인분석!$C$11),"당기",IF(AND(M3084&gt;=원인분석!$C$12,M3084&lt;=원인분석!$C$13),"비교",""))))</f>
        <v/>
      </c>
      <c r="R3084" s="9">
        <f>IF(Q3084="","",$K3084&amp;"")</f>
        <v/>
      </c>
      <c r="S3084" s="9">
        <f>IF(Q3084="","",IF(MATCH(R3084,$R$5:$R$100000,0)=ROW()-4,ROW(),""))</f>
        <v/>
      </c>
      <c r="T3084" s="9">
        <f>IF(Q3084="당기",ABS(P3084)+ROW()/1000000000,"")</f>
        <v/>
      </c>
      <c r="U3084" s="9">
        <f>IF(Q3084="비교",ABS(P3084)+ROW()/1000000000,"")</f>
        <v/>
      </c>
      <c r="V3084" s="64">
        <f>IF($A3084="","",IF(COUNTIF(변동분석!$E$7:$E$506,O3084)&gt;0,"Y","N"))</f>
        <v/>
      </c>
      <c r="W3084" s="64">
        <f>IF($A3084="","",IFERROR(INDEX(계정매핑!$D$5:$D$504,MATCH($F3084&amp;"",계정매핑!$A$5:$A$504,0)),"미매핑"))</f>
        <v/>
      </c>
      <c r="X3084" s="9">
        <f>IF($A3084="","",$F3084&amp;"")</f>
        <v/>
      </c>
      <c r="Y3084" s="94">
        <f>IF($A3084="",0,IF(AE3084="직접",IF(AF3084="비귀속",$P3084,0),$P3084*(1-AG3084)*IFERROR(INDEX(계정대체기준!$F$20:$F$49,MATCH($N3084,계정대체기준!$A$20:$A$49,0)),1)))</f>
        <v/>
      </c>
      <c r="Z3084" s="94">
        <f>IF($A3084="",0,IF(AE3084="직접",IF(AF3084="신계약비",$P3084,0),$P3084*(1-AG3084)*IFERROR(INDEX(계정대체기준!$C$20:$C$49,MATCH($N3084,계정대체기준!$A$20:$A$49,0)),0)))</f>
        <v/>
      </c>
      <c r="AA3084" s="94">
        <f>IF($A3084="",0,IF(AE3084="직접",IF(OR(AF3084="유지비",AF3084="손해조사비"),$P3084,0),$P3084*(1-AG3084)*IFERROR(INDEX(계정대체기준!$D$20:$D$49,MATCH($N3084,계정대체기준!$A$20:$A$49,0)),0)))</f>
        <v/>
      </c>
      <c r="AB3084" s="94">
        <f>IF($A3084="",0,IF(AE3084="직접",IF(AF3084="수금비",$P3084,0),$P3084*(1-AG3084)*IFERROR(INDEX(계정대체기준!$E$20:$E$49,MATCH($N3084,계정대체기준!$A$20:$A$49,0)),0)))</f>
        <v/>
      </c>
      <c r="AC3084" s="9">
        <f>IF(AND($A3084&lt;&gt;"",M3084=설정!$C$20,Z3084&gt;0),Z3084+ROW()/1000000000,"")</f>
        <v/>
      </c>
      <c r="AD3084" s="94">
        <f>IF($A3084="",0,$P3084*AG3084)</f>
        <v/>
      </c>
      <c r="AE3084" s="64">
        <f>IF($A3084="","",IFERROR(INDEX(계정매핑!$E$5:$E$504,MATCH($F3084&amp;"",계정매핑!$A$5:$A$504,0))&amp;"","공통비"))</f>
        <v/>
      </c>
      <c r="AF3084" s="64">
        <f>IF($A3084="","",IF(AE3084="직접",IFERROR(INDEX(계정매핑!$F$5:$F$504,MATCH($F3084&amp;"",계정매핑!$A$5:$A$504,0))&amp;"","비귀속"),""))</f>
        <v/>
      </c>
      <c r="AG3084" s="96">
        <f>IF($A3084="",0,IF(AND(AE3084&lt;&gt;"직접",IFERROR(INDEX(계정매핑!$G$5:$G$504,MATCH($F3084&amp;"",계정매핑!$A$5:$A$504,0))&amp;"","")="유지비",COUNTIF(계정대체기준!$A$6:$A$15,$N3084)&gt;0),IFERROR(INDEX(계정대체기준!$E$6:$E$15,MATCH(VALUE($A3084&amp;""),계정대체기준!$D$6:$D$15,0)),0),0))</f>
        <v/>
      </c>
      <c r="AH3084" s="64">
        <f>IF($A3084="","",IF(AD3084=0,"",IF(OR(COUNTIF(계정대체기준!$A$77:$A$86,$N3084)&gt;0,ISNUMBER(MATCH($X3084,계정대체기준!$D$77:$D$86,0)),ISNUMBER(MATCH($F3084,계정대체기준!$D$77:$D$86,0))),"Y","N")))</f>
        <v/>
      </c>
    </row>
    <row r="3085">
      <c r="A3085" s="92" t="n">
        <v>2026</v>
      </c>
      <c r="B3085" s="92" t="n">
        <v>2</v>
      </c>
      <c r="C3085" s="92" t="inlineStr">
        <is>
          <t>5100000363</t>
        </is>
      </c>
      <c r="D3085" s="95" t="n">
        <v>46068</v>
      </c>
      <c r="E3085" s="92" t="inlineStr">
        <is>
          <t>KR</t>
        </is>
      </c>
      <c r="F3085" s="92" t="n">
        <v>63501000</v>
      </c>
      <c r="G3085" s="92" t="n">
        <v>1902</v>
      </c>
      <c r="H3085" s="93" t="n">
        <v>255986000</v>
      </c>
      <c r="I3085" s="92" t="inlineStr">
        <is>
          <t>2월 모집수수료 - (전속설계사)</t>
        </is>
      </c>
      <c r="J3085" s="92" t="inlineStr">
        <is>
          <t>V10021</t>
        </is>
      </c>
      <c r="K3085" s="92" t="inlineStr">
        <is>
          <t>(전속설계사)</t>
        </is>
      </c>
      <c r="M3085" s="9">
        <f>IF($A3085="","",VALUE($A3085&amp;"")*12+VALUE($B3085&amp;""))</f>
        <v/>
      </c>
      <c r="N3085" s="64">
        <f>IF($A3085="","",IFERROR(INDEX(부서매핑!$C$5:$C$504,MATCH($G3085&amp;"",부서매핑!$A$5:$A$504,0)),"미매핑"))</f>
        <v/>
      </c>
      <c r="O3085" s="9">
        <f>IF($A3085="","",N3085&amp;"|"&amp;$F3085)</f>
        <v/>
      </c>
      <c r="P3085" s="94">
        <f>IF($A3085="",0,$H3085*설정!$C$23)</f>
        <v/>
      </c>
      <c r="Q3085" s="64">
        <f>IF($A3085="","",IF(O3085&lt;&gt;원인분석!$C$9,"",IF(AND(M3085&gt;=원인분석!$C$10,M3085&lt;=원인분석!$C$11),"당기",IF(AND(M3085&gt;=원인분석!$C$12,M3085&lt;=원인분석!$C$13),"비교",""))))</f>
        <v/>
      </c>
      <c r="R3085" s="9">
        <f>IF(Q3085="","",$K3085&amp;"")</f>
        <v/>
      </c>
      <c r="S3085" s="9">
        <f>IF(Q3085="","",IF(MATCH(R3085,$R$5:$R$100000,0)=ROW()-4,ROW(),""))</f>
        <v/>
      </c>
      <c r="T3085" s="9">
        <f>IF(Q3085="당기",ABS(P3085)+ROW()/1000000000,"")</f>
        <v/>
      </c>
      <c r="U3085" s="9">
        <f>IF(Q3085="비교",ABS(P3085)+ROW()/1000000000,"")</f>
        <v/>
      </c>
      <c r="V3085" s="64">
        <f>IF($A3085="","",IF(COUNTIF(변동분석!$E$7:$E$506,O3085)&gt;0,"Y","N"))</f>
        <v/>
      </c>
      <c r="W3085" s="64">
        <f>IF($A3085="","",IFERROR(INDEX(계정매핑!$D$5:$D$504,MATCH($F3085&amp;"",계정매핑!$A$5:$A$504,0)),"미매핑"))</f>
        <v/>
      </c>
      <c r="X3085" s="9">
        <f>IF($A3085="","",$F3085&amp;"")</f>
        <v/>
      </c>
      <c r="Y3085" s="94">
        <f>IF($A3085="",0,IF(AE3085="직접",IF(AF3085="비귀속",$P3085,0),$P3085*(1-AG3085)*IFERROR(INDEX(계정대체기준!$F$20:$F$49,MATCH($N3085,계정대체기준!$A$20:$A$49,0)),1)))</f>
        <v/>
      </c>
      <c r="Z3085" s="94">
        <f>IF($A3085="",0,IF(AE3085="직접",IF(AF3085="신계약비",$P3085,0),$P3085*(1-AG3085)*IFERROR(INDEX(계정대체기준!$C$20:$C$49,MATCH($N3085,계정대체기준!$A$20:$A$49,0)),0)))</f>
        <v/>
      </c>
      <c r="AA3085" s="94">
        <f>IF($A3085="",0,IF(AE3085="직접",IF(OR(AF3085="유지비",AF3085="손해조사비"),$P3085,0),$P3085*(1-AG3085)*IFERROR(INDEX(계정대체기준!$D$20:$D$49,MATCH($N3085,계정대체기준!$A$20:$A$49,0)),0)))</f>
        <v/>
      </c>
      <c r="AB3085" s="94">
        <f>IF($A3085="",0,IF(AE3085="직접",IF(AF3085="수금비",$P3085,0),$P3085*(1-AG3085)*IFERROR(INDEX(계정대체기준!$E$20:$E$49,MATCH($N3085,계정대체기준!$A$20:$A$49,0)),0)))</f>
        <v/>
      </c>
      <c r="AC3085" s="9">
        <f>IF(AND($A3085&lt;&gt;"",M3085=설정!$C$20,Z3085&gt;0),Z3085+ROW()/1000000000,"")</f>
        <v/>
      </c>
      <c r="AD3085" s="94">
        <f>IF($A3085="",0,$P3085*AG3085)</f>
        <v/>
      </c>
      <c r="AE3085" s="64">
        <f>IF($A3085="","",IFERROR(INDEX(계정매핑!$E$5:$E$504,MATCH($F3085&amp;"",계정매핑!$A$5:$A$504,0))&amp;"","공통비"))</f>
        <v/>
      </c>
      <c r="AF3085" s="64">
        <f>IF($A3085="","",IF(AE3085="직접",IFERROR(INDEX(계정매핑!$F$5:$F$504,MATCH($F3085&amp;"",계정매핑!$A$5:$A$504,0))&amp;"","비귀속"),""))</f>
        <v/>
      </c>
      <c r="AG3085" s="96">
        <f>IF($A3085="",0,IF(AND(AE3085&lt;&gt;"직접",IFERROR(INDEX(계정매핑!$G$5:$G$504,MATCH($F3085&amp;"",계정매핑!$A$5:$A$504,0))&amp;"","")="유지비",COUNTIF(계정대체기준!$A$6:$A$15,$N3085)&gt;0),IFERROR(INDEX(계정대체기준!$E$6:$E$15,MATCH(VALUE($A3085&amp;""),계정대체기준!$D$6:$D$15,0)),0),0))</f>
        <v/>
      </c>
      <c r="AH3085" s="64">
        <f>IF($A3085="","",IF(AD3085=0,"",IF(OR(COUNTIF(계정대체기준!$A$77:$A$86,$N3085)&gt;0,ISNUMBER(MATCH($X3085,계정대체기준!$D$77:$D$86,0)),ISNUMBER(MATCH($F3085,계정대체기준!$D$77:$D$86,0))),"Y","N")))</f>
        <v/>
      </c>
    </row>
    <row r="3086">
      <c r="A3086" s="92" t="n">
        <v>2026</v>
      </c>
      <c r="B3086" s="92" t="n">
        <v>2</v>
      </c>
      <c r="C3086" s="92" t="inlineStr">
        <is>
          <t>5100000364</t>
        </is>
      </c>
      <c r="D3086" s="95" t="n">
        <v>46069</v>
      </c>
      <c r="E3086" s="92" t="inlineStr">
        <is>
          <t>KR</t>
        </is>
      </c>
      <c r="F3086" s="92" t="n">
        <v>62102000</v>
      </c>
      <c r="G3086" s="92" t="n">
        <v>1801</v>
      </c>
      <c r="H3086" s="93" t="n">
        <v>20000</v>
      </c>
      <c r="I3086" s="92" t="inlineStr">
        <is>
          <t>2월 해외출장 - M항공</t>
        </is>
      </c>
      <c r="J3086" s="92" t="inlineStr">
        <is>
          <t>V10001</t>
        </is>
      </c>
      <c r="K3086" s="92" t="inlineStr">
        <is>
          <t>M항공</t>
        </is>
      </c>
      <c r="M3086" s="9">
        <f>IF($A3086="","",VALUE($A3086&amp;"")*12+VALUE($B3086&amp;""))</f>
        <v/>
      </c>
      <c r="N3086" s="64">
        <f>IF($A3086="","",IFERROR(INDEX(부서매핑!$C$5:$C$504,MATCH($G3086&amp;"",부서매핑!$A$5:$A$504,0)),"미매핑"))</f>
        <v/>
      </c>
      <c r="O3086" s="9">
        <f>IF($A3086="","",N3086&amp;"|"&amp;$F3086)</f>
        <v/>
      </c>
      <c r="P3086" s="94">
        <f>IF($A3086="",0,$H3086*설정!$C$23)</f>
        <v/>
      </c>
      <c r="Q3086" s="64">
        <f>IF($A3086="","",IF(O3086&lt;&gt;원인분석!$C$9,"",IF(AND(M3086&gt;=원인분석!$C$10,M3086&lt;=원인분석!$C$11),"당기",IF(AND(M3086&gt;=원인분석!$C$12,M3086&lt;=원인분석!$C$13),"비교",""))))</f>
        <v/>
      </c>
      <c r="R3086" s="9">
        <f>IF(Q3086="","",$K3086&amp;"")</f>
        <v/>
      </c>
      <c r="S3086" s="9">
        <f>IF(Q3086="","",IF(MATCH(R3086,$R$5:$R$100000,0)=ROW()-4,ROW(),""))</f>
        <v/>
      </c>
      <c r="T3086" s="9">
        <f>IF(Q3086="당기",ABS(P3086)+ROW()/1000000000,"")</f>
        <v/>
      </c>
      <c r="U3086" s="9">
        <f>IF(Q3086="비교",ABS(P3086)+ROW()/1000000000,"")</f>
        <v/>
      </c>
      <c r="V3086" s="64">
        <f>IF($A3086="","",IF(COUNTIF(변동분석!$E$7:$E$506,O3086)&gt;0,"Y","N"))</f>
        <v/>
      </c>
      <c r="W3086" s="64">
        <f>IF($A3086="","",IFERROR(INDEX(계정매핑!$D$5:$D$504,MATCH($F3086&amp;"",계정매핑!$A$5:$A$504,0)),"미매핑"))</f>
        <v/>
      </c>
      <c r="X3086" s="9">
        <f>IF($A3086="","",$F3086&amp;"")</f>
        <v/>
      </c>
      <c r="Y3086" s="94">
        <f>IF($A3086="",0,IF(AE3086="직접",IF(AF3086="비귀속",$P3086,0),$P3086*(1-AG3086)*IFERROR(INDEX(계정대체기준!$F$20:$F$49,MATCH($N3086,계정대체기준!$A$20:$A$49,0)),1)))</f>
        <v/>
      </c>
      <c r="Z3086" s="94">
        <f>IF($A3086="",0,IF(AE3086="직접",IF(AF3086="신계약비",$P3086,0),$P3086*(1-AG3086)*IFERROR(INDEX(계정대체기준!$C$20:$C$49,MATCH($N3086,계정대체기준!$A$20:$A$49,0)),0)))</f>
        <v/>
      </c>
      <c r="AA3086" s="94">
        <f>IF($A3086="",0,IF(AE3086="직접",IF(OR(AF3086="유지비",AF3086="손해조사비"),$P3086,0),$P3086*(1-AG3086)*IFERROR(INDEX(계정대체기준!$D$20:$D$49,MATCH($N3086,계정대체기준!$A$20:$A$49,0)),0)))</f>
        <v/>
      </c>
      <c r="AB3086" s="94">
        <f>IF($A3086="",0,IF(AE3086="직접",IF(AF3086="수금비",$P3086,0),$P3086*(1-AG3086)*IFERROR(INDEX(계정대체기준!$E$20:$E$49,MATCH($N3086,계정대체기준!$A$20:$A$49,0)),0)))</f>
        <v/>
      </c>
      <c r="AC3086" s="9">
        <f>IF(AND($A3086&lt;&gt;"",M3086=설정!$C$20,Z3086&gt;0),Z3086+ROW()/1000000000,"")</f>
        <v/>
      </c>
      <c r="AD3086" s="94">
        <f>IF($A3086="",0,$P3086*AG3086)</f>
        <v/>
      </c>
      <c r="AE3086" s="64">
        <f>IF($A3086="","",IFERROR(INDEX(계정매핑!$E$5:$E$504,MATCH($F3086&amp;"",계정매핑!$A$5:$A$504,0))&amp;"","공통비"))</f>
        <v/>
      </c>
      <c r="AF3086" s="64">
        <f>IF($A3086="","",IF(AE3086="직접",IFERROR(INDEX(계정매핑!$F$5:$F$504,MATCH($F3086&amp;"",계정매핑!$A$5:$A$504,0))&amp;"","비귀속"),""))</f>
        <v/>
      </c>
      <c r="AG3086" s="96">
        <f>IF($A3086="",0,IF(AND(AE3086&lt;&gt;"직접",IFERROR(INDEX(계정매핑!$G$5:$G$504,MATCH($F3086&amp;"",계정매핑!$A$5:$A$504,0))&amp;"","")="유지비",COUNTIF(계정대체기준!$A$6:$A$15,$N3086)&gt;0),IFERROR(INDEX(계정대체기준!$E$6:$E$15,MATCH(VALUE($A3086&amp;""),계정대체기준!$D$6:$D$15,0)),0),0))</f>
        <v/>
      </c>
      <c r="AH3086" s="64">
        <f>IF($A3086="","",IF(AD3086=0,"",IF(OR(COUNTIF(계정대체기준!$A$77:$A$86,$N3086)&gt;0,ISNUMBER(MATCH($X3086,계정대체기준!$D$77:$D$86,0)),ISNUMBER(MATCH($F3086,계정대체기준!$D$77:$D$86,0))),"Y","N")))</f>
        <v/>
      </c>
    </row>
    <row r="3087">
      <c r="A3087" s="92" t="n">
        <v>2026</v>
      </c>
      <c r="B3087" s="92" t="n">
        <v>2</v>
      </c>
      <c r="C3087" s="92" t="inlineStr">
        <is>
          <t>5100000365</t>
        </is>
      </c>
      <c r="D3087" s="95" t="n">
        <v>46069</v>
      </c>
      <c r="E3087" s="92" t="inlineStr">
        <is>
          <t>KR</t>
        </is>
      </c>
      <c r="F3087" s="92" t="n">
        <v>62201000</v>
      </c>
      <c r="G3087" s="92" t="n">
        <v>1201</v>
      </c>
      <c r="H3087" s="93" t="n">
        <v>140000</v>
      </c>
      <c r="I3087" s="92" t="inlineStr">
        <is>
          <t>2월 통신요금 - P통신</t>
        </is>
      </c>
      <c r="J3087" s="92" t="inlineStr">
        <is>
          <t>V10014</t>
        </is>
      </c>
      <c r="K3087" s="92" t="inlineStr">
        <is>
          <t>P통신</t>
        </is>
      </c>
      <c r="M3087" s="9">
        <f>IF($A3087="","",VALUE($A3087&amp;"")*12+VALUE($B3087&amp;""))</f>
        <v/>
      </c>
      <c r="N3087" s="64">
        <f>IF($A3087="","",IFERROR(INDEX(부서매핑!$C$5:$C$504,MATCH($G3087&amp;"",부서매핑!$A$5:$A$504,0)),"미매핑"))</f>
        <v/>
      </c>
      <c r="O3087" s="9">
        <f>IF($A3087="","",N3087&amp;"|"&amp;$F3087)</f>
        <v/>
      </c>
      <c r="P3087" s="94">
        <f>IF($A3087="",0,$H3087*설정!$C$23)</f>
        <v/>
      </c>
      <c r="Q3087" s="64">
        <f>IF($A3087="","",IF(O3087&lt;&gt;원인분석!$C$9,"",IF(AND(M3087&gt;=원인분석!$C$10,M3087&lt;=원인분석!$C$11),"당기",IF(AND(M3087&gt;=원인분석!$C$12,M3087&lt;=원인분석!$C$13),"비교",""))))</f>
        <v/>
      </c>
      <c r="R3087" s="9">
        <f>IF(Q3087="","",$K3087&amp;"")</f>
        <v/>
      </c>
      <c r="S3087" s="9">
        <f>IF(Q3087="","",IF(MATCH(R3087,$R$5:$R$100000,0)=ROW()-4,ROW(),""))</f>
        <v/>
      </c>
      <c r="T3087" s="9">
        <f>IF(Q3087="당기",ABS(P3087)+ROW()/1000000000,"")</f>
        <v/>
      </c>
      <c r="U3087" s="9">
        <f>IF(Q3087="비교",ABS(P3087)+ROW()/1000000000,"")</f>
        <v/>
      </c>
      <c r="V3087" s="64">
        <f>IF($A3087="","",IF(COUNTIF(변동분석!$E$7:$E$506,O3087)&gt;0,"Y","N"))</f>
        <v/>
      </c>
      <c r="W3087" s="64">
        <f>IF($A3087="","",IFERROR(INDEX(계정매핑!$D$5:$D$504,MATCH($F3087&amp;"",계정매핑!$A$5:$A$504,0)),"미매핑"))</f>
        <v/>
      </c>
      <c r="X3087" s="9">
        <f>IF($A3087="","",$F3087&amp;"")</f>
        <v/>
      </c>
      <c r="Y3087" s="94">
        <f>IF($A3087="",0,IF(AE3087="직접",IF(AF3087="비귀속",$P3087,0),$P3087*(1-AG3087)*IFERROR(INDEX(계정대체기준!$F$20:$F$49,MATCH($N3087,계정대체기준!$A$20:$A$49,0)),1)))</f>
        <v/>
      </c>
      <c r="Z3087" s="94">
        <f>IF($A3087="",0,IF(AE3087="직접",IF(AF3087="신계약비",$P3087,0),$P3087*(1-AG3087)*IFERROR(INDEX(계정대체기준!$C$20:$C$49,MATCH($N3087,계정대체기준!$A$20:$A$49,0)),0)))</f>
        <v/>
      </c>
      <c r="AA3087" s="94">
        <f>IF($A3087="",0,IF(AE3087="직접",IF(OR(AF3087="유지비",AF3087="손해조사비"),$P3087,0),$P3087*(1-AG3087)*IFERROR(INDEX(계정대체기준!$D$20:$D$49,MATCH($N3087,계정대체기준!$A$20:$A$49,0)),0)))</f>
        <v/>
      </c>
      <c r="AB3087" s="94">
        <f>IF($A3087="",0,IF(AE3087="직접",IF(AF3087="수금비",$P3087,0),$P3087*(1-AG3087)*IFERROR(INDEX(계정대체기준!$E$20:$E$49,MATCH($N3087,계정대체기준!$A$20:$A$49,0)),0)))</f>
        <v/>
      </c>
      <c r="AC3087" s="9">
        <f>IF(AND($A3087&lt;&gt;"",M3087=설정!$C$20,Z3087&gt;0),Z3087+ROW()/1000000000,"")</f>
        <v/>
      </c>
      <c r="AD3087" s="94">
        <f>IF($A3087="",0,$P3087*AG3087)</f>
        <v/>
      </c>
      <c r="AE3087" s="64">
        <f>IF($A3087="","",IFERROR(INDEX(계정매핑!$E$5:$E$504,MATCH($F3087&amp;"",계정매핑!$A$5:$A$504,0))&amp;"","공통비"))</f>
        <v/>
      </c>
      <c r="AF3087" s="64">
        <f>IF($A3087="","",IF(AE3087="직접",IFERROR(INDEX(계정매핑!$F$5:$F$504,MATCH($F3087&amp;"",계정매핑!$A$5:$A$504,0))&amp;"","비귀속"),""))</f>
        <v/>
      </c>
      <c r="AG3087" s="96">
        <f>IF($A3087="",0,IF(AND(AE3087&lt;&gt;"직접",IFERROR(INDEX(계정매핑!$G$5:$G$504,MATCH($F3087&amp;"",계정매핑!$A$5:$A$504,0))&amp;"","")="유지비",COUNTIF(계정대체기준!$A$6:$A$15,$N3087)&gt;0),IFERROR(INDEX(계정대체기준!$E$6:$E$15,MATCH(VALUE($A3087&amp;""),계정대체기준!$D$6:$D$15,0)),0),0))</f>
        <v/>
      </c>
      <c r="AH3087" s="64">
        <f>IF($A3087="","",IF(AD3087=0,"",IF(OR(COUNTIF(계정대체기준!$A$77:$A$86,$N3087)&gt;0,ISNUMBER(MATCH($X3087,계정대체기준!$D$77:$D$86,0)),ISNUMBER(MATCH($F3087,계정대체기준!$D$77:$D$86,0))),"Y","N")))</f>
        <v/>
      </c>
    </row>
    <row r="3088">
      <c r="A3088" s="92" t="n">
        <v>2026</v>
      </c>
      <c r="B3088" s="92" t="n">
        <v>2</v>
      </c>
      <c r="C3088" s="92" t="inlineStr">
        <is>
          <t>5100000366</t>
        </is>
      </c>
      <c r="D3088" s="95" t="n">
        <v>46069</v>
      </c>
      <c r="E3088" s="92" t="inlineStr">
        <is>
          <t>KR</t>
        </is>
      </c>
      <c r="F3088" s="92" t="n">
        <v>62501000</v>
      </c>
      <c r="G3088" s="92" t="n">
        <v>1201</v>
      </c>
      <c r="H3088" s="93" t="n">
        <v>200000</v>
      </c>
      <c r="I3088" s="92" t="inlineStr">
        <is>
          <t>2월 회의 다과 - (법인카드)</t>
        </is>
      </c>
      <c r="J3088" s="92" t="inlineStr">
        <is>
          <t>V10010</t>
        </is>
      </c>
      <c r="K3088" s="92" t="inlineStr">
        <is>
          <t>(법인카드)</t>
        </is>
      </c>
      <c r="M3088" s="9">
        <f>IF($A3088="","",VALUE($A3088&amp;"")*12+VALUE($B3088&amp;""))</f>
        <v/>
      </c>
      <c r="N3088" s="64">
        <f>IF($A3088="","",IFERROR(INDEX(부서매핑!$C$5:$C$504,MATCH($G3088&amp;"",부서매핑!$A$5:$A$504,0)),"미매핑"))</f>
        <v/>
      </c>
      <c r="O3088" s="9">
        <f>IF($A3088="","",N3088&amp;"|"&amp;$F3088)</f>
        <v/>
      </c>
      <c r="P3088" s="94">
        <f>IF($A3088="",0,$H3088*설정!$C$23)</f>
        <v/>
      </c>
      <c r="Q3088" s="64">
        <f>IF($A3088="","",IF(O3088&lt;&gt;원인분석!$C$9,"",IF(AND(M3088&gt;=원인분석!$C$10,M3088&lt;=원인분석!$C$11),"당기",IF(AND(M3088&gt;=원인분석!$C$12,M3088&lt;=원인분석!$C$13),"비교",""))))</f>
        <v/>
      </c>
      <c r="R3088" s="9">
        <f>IF(Q3088="","",$K3088&amp;"")</f>
        <v/>
      </c>
      <c r="S3088" s="9">
        <f>IF(Q3088="","",IF(MATCH(R3088,$R$5:$R$100000,0)=ROW()-4,ROW(),""))</f>
        <v/>
      </c>
      <c r="T3088" s="9">
        <f>IF(Q3088="당기",ABS(P3088)+ROW()/1000000000,"")</f>
        <v/>
      </c>
      <c r="U3088" s="9">
        <f>IF(Q3088="비교",ABS(P3088)+ROW()/1000000000,"")</f>
        <v/>
      </c>
      <c r="V3088" s="64">
        <f>IF($A3088="","",IF(COUNTIF(변동분석!$E$7:$E$506,O3088)&gt;0,"Y","N"))</f>
        <v/>
      </c>
      <c r="W3088" s="64">
        <f>IF($A3088="","",IFERROR(INDEX(계정매핑!$D$5:$D$504,MATCH($F3088&amp;"",계정매핑!$A$5:$A$504,0)),"미매핑"))</f>
        <v/>
      </c>
      <c r="X3088" s="9">
        <f>IF($A3088="","",$F3088&amp;"")</f>
        <v/>
      </c>
      <c r="Y3088" s="94">
        <f>IF($A3088="",0,IF(AE3088="직접",IF(AF3088="비귀속",$P3088,0),$P3088*(1-AG3088)*IFERROR(INDEX(계정대체기준!$F$20:$F$49,MATCH($N3088,계정대체기준!$A$20:$A$49,0)),1)))</f>
        <v/>
      </c>
      <c r="Z3088" s="94">
        <f>IF($A3088="",0,IF(AE3088="직접",IF(AF3088="신계약비",$P3088,0),$P3088*(1-AG3088)*IFERROR(INDEX(계정대체기준!$C$20:$C$49,MATCH($N3088,계정대체기준!$A$20:$A$49,0)),0)))</f>
        <v/>
      </c>
      <c r="AA3088" s="94">
        <f>IF($A3088="",0,IF(AE3088="직접",IF(OR(AF3088="유지비",AF3088="손해조사비"),$P3088,0),$P3088*(1-AG3088)*IFERROR(INDEX(계정대체기준!$D$20:$D$49,MATCH($N3088,계정대체기준!$A$20:$A$49,0)),0)))</f>
        <v/>
      </c>
      <c r="AB3088" s="94">
        <f>IF($A3088="",0,IF(AE3088="직접",IF(AF3088="수금비",$P3088,0),$P3088*(1-AG3088)*IFERROR(INDEX(계정대체기준!$E$20:$E$49,MATCH($N3088,계정대체기준!$A$20:$A$49,0)),0)))</f>
        <v/>
      </c>
      <c r="AC3088" s="9">
        <f>IF(AND($A3088&lt;&gt;"",M3088=설정!$C$20,Z3088&gt;0),Z3088+ROW()/1000000000,"")</f>
        <v/>
      </c>
      <c r="AD3088" s="94">
        <f>IF($A3088="",0,$P3088*AG3088)</f>
        <v/>
      </c>
      <c r="AE3088" s="64">
        <f>IF($A3088="","",IFERROR(INDEX(계정매핑!$E$5:$E$504,MATCH($F3088&amp;"",계정매핑!$A$5:$A$504,0))&amp;"","공통비"))</f>
        <v/>
      </c>
      <c r="AF3088" s="64">
        <f>IF($A3088="","",IF(AE3088="직접",IFERROR(INDEX(계정매핑!$F$5:$F$504,MATCH($F3088&amp;"",계정매핑!$A$5:$A$504,0))&amp;"","비귀속"),""))</f>
        <v/>
      </c>
      <c r="AG3088" s="96">
        <f>IF($A3088="",0,IF(AND(AE3088&lt;&gt;"직접",IFERROR(INDEX(계정매핑!$G$5:$G$504,MATCH($F3088&amp;"",계정매핑!$A$5:$A$504,0))&amp;"","")="유지비",COUNTIF(계정대체기준!$A$6:$A$15,$N3088)&gt;0),IFERROR(INDEX(계정대체기준!$E$6:$E$15,MATCH(VALUE($A3088&amp;""),계정대체기준!$D$6:$D$15,0)),0),0))</f>
        <v/>
      </c>
      <c r="AH3088" s="64">
        <f>IF($A3088="","",IF(AD3088=0,"",IF(OR(COUNTIF(계정대체기준!$A$77:$A$86,$N3088)&gt;0,ISNUMBER(MATCH($X3088,계정대체기준!$D$77:$D$86,0)),ISNUMBER(MATCH($F3088,계정대체기준!$D$77:$D$86,0))),"Y","N")))</f>
        <v/>
      </c>
    </row>
    <row r="3089">
      <c r="A3089" s="92" t="n">
        <v>2026</v>
      </c>
      <c r="B3089" s="92" t="n">
        <v>2</v>
      </c>
      <c r="C3089" s="92" t="inlineStr">
        <is>
          <t>5100000367</t>
        </is>
      </c>
      <c r="D3089" s="95" t="n">
        <v>46069</v>
      </c>
      <c r="E3089" s="92" t="inlineStr">
        <is>
          <t>KR</t>
        </is>
      </c>
      <c r="F3089" s="92" t="n">
        <v>62501000</v>
      </c>
      <c r="G3089" s="92" t="n">
        <v>1602</v>
      </c>
      <c r="H3089" s="93" t="n">
        <v>254000</v>
      </c>
      <c r="I3089" s="92" t="inlineStr">
        <is>
          <t>2월 회의 다과 - T케이터링</t>
        </is>
      </c>
      <c r="J3089" s="92" t="inlineStr">
        <is>
          <t>V10005</t>
        </is>
      </c>
      <c r="K3089" s="92" t="inlineStr">
        <is>
          <t>T케이터링</t>
        </is>
      </c>
      <c r="M3089" s="9">
        <f>IF($A3089="","",VALUE($A3089&amp;"")*12+VALUE($B3089&amp;""))</f>
        <v/>
      </c>
      <c r="N3089" s="64">
        <f>IF($A3089="","",IFERROR(INDEX(부서매핑!$C$5:$C$504,MATCH($G3089&amp;"",부서매핑!$A$5:$A$504,0)),"미매핑"))</f>
        <v/>
      </c>
      <c r="O3089" s="9">
        <f>IF($A3089="","",N3089&amp;"|"&amp;$F3089)</f>
        <v/>
      </c>
      <c r="P3089" s="94">
        <f>IF($A3089="",0,$H3089*설정!$C$23)</f>
        <v/>
      </c>
      <c r="Q3089" s="64">
        <f>IF($A3089="","",IF(O3089&lt;&gt;원인분석!$C$9,"",IF(AND(M3089&gt;=원인분석!$C$10,M3089&lt;=원인분석!$C$11),"당기",IF(AND(M3089&gt;=원인분석!$C$12,M3089&lt;=원인분석!$C$13),"비교",""))))</f>
        <v/>
      </c>
      <c r="R3089" s="9">
        <f>IF(Q3089="","",$K3089&amp;"")</f>
        <v/>
      </c>
      <c r="S3089" s="9">
        <f>IF(Q3089="","",IF(MATCH(R3089,$R$5:$R$100000,0)=ROW()-4,ROW(),""))</f>
        <v/>
      </c>
      <c r="T3089" s="9">
        <f>IF(Q3089="당기",ABS(P3089)+ROW()/1000000000,"")</f>
        <v/>
      </c>
      <c r="U3089" s="9">
        <f>IF(Q3089="비교",ABS(P3089)+ROW()/1000000000,"")</f>
        <v/>
      </c>
      <c r="V3089" s="64">
        <f>IF($A3089="","",IF(COUNTIF(변동분석!$E$7:$E$506,O3089)&gt;0,"Y","N"))</f>
        <v/>
      </c>
      <c r="W3089" s="64">
        <f>IF($A3089="","",IFERROR(INDEX(계정매핑!$D$5:$D$504,MATCH($F3089&amp;"",계정매핑!$A$5:$A$504,0)),"미매핑"))</f>
        <v/>
      </c>
      <c r="X3089" s="9">
        <f>IF($A3089="","",$F3089&amp;"")</f>
        <v/>
      </c>
      <c r="Y3089" s="94">
        <f>IF($A3089="",0,IF(AE3089="직접",IF(AF3089="비귀속",$P3089,0),$P3089*(1-AG3089)*IFERROR(INDEX(계정대체기준!$F$20:$F$49,MATCH($N3089,계정대체기준!$A$20:$A$49,0)),1)))</f>
        <v/>
      </c>
      <c r="Z3089" s="94">
        <f>IF($A3089="",0,IF(AE3089="직접",IF(AF3089="신계약비",$P3089,0),$P3089*(1-AG3089)*IFERROR(INDEX(계정대체기준!$C$20:$C$49,MATCH($N3089,계정대체기준!$A$20:$A$49,0)),0)))</f>
        <v/>
      </c>
      <c r="AA3089" s="94">
        <f>IF($A3089="",0,IF(AE3089="직접",IF(OR(AF3089="유지비",AF3089="손해조사비"),$P3089,0),$P3089*(1-AG3089)*IFERROR(INDEX(계정대체기준!$D$20:$D$49,MATCH($N3089,계정대체기준!$A$20:$A$49,0)),0)))</f>
        <v/>
      </c>
      <c r="AB3089" s="94">
        <f>IF($A3089="",0,IF(AE3089="직접",IF(AF3089="수금비",$P3089,0),$P3089*(1-AG3089)*IFERROR(INDEX(계정대체기준!$E$20:$E$49,MATCH($N3089,계정대체기준!$A$20:$A$49,0)),0)))</f>
        <v/>
      </c>
      <c r="AC3089" s="9">
        <f>IF(AND($A3089&lt;&gt;"",M3089=설정!$C$20,Z3089&gt;0),Z3089+ROW()/1000000000,"")</f>
        <v/>
      </c>
      <c r="AD3089" s="94">
        <f>IF($A3089="",0,$P3089*AG3089)</f>
        <v/>
      </c>
      <c r="AE3089" s="64">
        <f>IF($A3089="","",IFERROR(INDEX(계정매핑!$E$5:$E$504,MATCH($F3089&amp;"",계정매핑!$A$5:$A$504,0))&amp;"","공통비"))</f>
        <v/>
      </c>
      <c r="AF3089" s="64">
        <f>IF($A3089="","",IF(AE3089="직접",IFERROR(INDEX(계정매핑!$F$5:$F$504,MATCH($F3089&amp;"",계정매핑!$A$5:$A$504,0))&amp;"","비귀속"),""))</f>
        <v/>
      </c>
      <c r="AG3089" s="96">
        <f>IF($A3089="",0,IF(AND(AE3089&lt;&gt;"직접",IFERROR(INDEX(계정매핑!$G$5:$G$504,MATCH($F3089&amp;"",계정매핑!$A$5:$A$504,0))&amp;"","")="유지비",COUNTIF(계정대체기준!$A$6:$A$15,$N3089)&gt;0),IFERROR(INDEX(계정대체기준!$E$6:$E$15,MATCH(VALUE($A3089&amp;""),계정대체기준!$D$6:$D$15,0)),0),0))</f>
        <v/>
      </c>
      <c r="AH3089" s="64">
        <f>IF($A3089="","",IF(AD3089=0,"",IF(OR(COUNTIF(계정대체기준!$A$77:$A$86,$N3089)&gt;0,ISNUMBER(MATCH($X3089,계정대체기준!$D$77:$D$86,0)),ISNUMBER(MATCH($F3089,계정대체기준!$D$77:$D$86,0))),"Y","N")))</f>
        <v/>
      </c>
    </row>
    <row r="3090">
      <c r="A3090" s="92" t="n">
        <v>2026</v>
      </c>
      <c r="B3090" s="92" t="n">
        <v>2</v>
      </c>
      <c r="C3090" s="92" t="inlineStr">
        <is>
          <t>5100000368</t>
        </is>
      </c>
      <c r="D3090" s="95" t="n">
        <v>46069</v>
      </c>
      <c r="E3090" s="92" t="inlineStr">
        <is>
          <t>KR</t>
        </is>
      </c>
      <c r="F3090" s="92" t="n">
        <v>62801000</v>
      </c>
      <c r="G3090" s="92" t="n">
        <v>1301</v>
      </c>
      <c r="H3090" s="93" t="n">
        <v>5223000</v>
      </c>
      <c r="I3090" s="92" t="inlineStr">
        <is>
          <t>2월 사내교육 - (사내강사료)</t>
        </is>
      </c>
      <c r="J3090" s="92" t="inlineStr">
        <is>
          <t>V10024</t>
        </is>
      </c>
      <c r="K3090" s="92" t="inlineStr">
        <is>
          <t>(사내강사료)</t>
        </is>
      </c>
      <c r="M3090" s="9">
        <f>IF($A3090="","",VALUE($A3090&amp;"")*12+VALUE($B3090&amp;""))</f>
        <v/>
      </c>
      <c r="N3090" s="64">
        <f>IF($A3090="","",IFERROR(INDEX(부서매핑!$C$5:$C$504,MATCH($G3090&amp;"",부서매핑!$A$5:$A$504,0)),"미매핑"))</f>
        <v/>
      </c>
      <c r="O3090" s="9">
        <f>IF($A3090="","",N3090&amp;"|"&amp;$F3090)</f>
        <v/>
      </c>
      <c r="P3090" s="94">
        <f>IF($A3090="",0,$H3090*설정!$C$23)</f>
        <v/>
      </c>
      <c r="Q3090" s="64">
        <f>IF($A3090="","",IF(O3090&lt;&gt;원인분석!$C$9,"",IF(AND(M3090&gt;=원인분석!$C$10,M3090&lt;=원인분석!$C$11),"당기",IF(AND(M3090&gt;=원인분석!$C$12,M3090&lt;=원인분석!$C$13),"비교",""))))</f>
        <v/>
      </c>
      <c r="R3090" s="9">
        <f>IF(Q3090="","",$K3090&amp;"")</f>
        <v/>
      </c>
      <c r="S3090" s="9">
        <f>IF(Q3090="","",IF(MATCH(R3090,$R$5:$R$100000,0)=ROW()-4,ROW(),""))</f>
        <v/>
      </c>
      <c r="T3090" s="9">
        <f>IF(Q3090="당기",ABS(P3090)+ROW()/1000000000,"")</f>
        <v/>
      </c>
      <c r="U3090" s="9">
        <f>IF(Q3090="비교",ABS(P3090)+ROW()/1000000000,"")</f>
        <v/>
      </c>
      <c r="V3090" s="64">
        <f>IF($A3090="","",IF(COUNTIF(변동분석!$E$7:$E$506,O3090)&gt;0,"Y","N"))</f>
        <v/>
      </c>
      <c r="W3090" s="64">
        <f>IF($A3090="","",IFERROR(INDEX(계정매핑!$D$5:$D$504,MATCH($F3090&amp;"",계정매핑!$A$5:$A$504,0)),"미매핑"))</f>
        <v/>
      </c>
      <c r="X3090" s="9">
        <f>IF($A3090="","",$F3090&amp;"")</f>
        <v/>
      </c>
      <c r="Y3090" s="94">
        <f>IF($A3090="",0,IF(AE3090="직접",IF(AF3090="비귀속",$P3090,0),$P3090*(1-AG3090)*IFERROR(INDEX(계정대체기준!$F$20:$F$49,MATCH($N3090,계정대체기준!$A$20:$A$49,0)),1)))</f>
        <v/>
      </c>
      <c r="Z3090" s="94">
        <f>IF($A3090="",0,IF(AE3090="직접",IF(AF3090="신계약비",$P3090,0),$P3090*(1-AG3090)*IFERROR(INDEX(계정대체기준!$C$20:$C$49,MATCH($N3090,계정대체기준!$A$20:$A$49,0)),0)))</f>
        <v/>
      </c>
      <c r="AA3090" s="94">
        <f>IF($A3090="",0,IF(AE3090="직접",IF(OR(AF3090="유지비",AF3090="손해조사비"),$P3090,0),$P3090*(1-AG3090)*IFERROR(INDEX(계정대체기준!$D$20:$D$49,MATCH($N3090,계정대체기준!$A$20:$A$49,0)),0)))</f>
        <v/>
      </c>
      <c r="AB3090" s="94">
        <f>IF($A3090="",0,IF(AE3090="직접",IF(AF3090="수금비",$P3090,0),$P3090*(1-AG3090)*IFERROR(INDEX(계정대체기준!$E$20:$E$49,MATCH($N3090,계정대체기준!$A$20:$A$49,0)),0)))</f>
        <v/>
      </c>
      <c r="AC3090" s="9">
        <f>IF(AND($A3090&lt;&gt;"",M3090=설정!$C$20,Z3090&gt;0),Z3090+ROW()/1000000000,"")</f>
        <v/>
      </c>
      <c r="AD3090" s="94">
        <f>IF($A3090="",0,$P3090*AG3090)</f>
        <v/>
      </c>
      <c r="AE3090" s="64">
        <f>IF($A3090="","",IFERROR(INDEX(계정매핑!$E$5:$E$504,MATCH($F3090&amp;"",계정매핑!$A$5:$A$504,0))&amp;"","공통비"))</f>
        <v/>
      </c>
      <c r="AF3090" s="64">
        <f>IF($A3090="","",IF(AE3090="직접",IFERROR(INDEX(계정매핑!$F$5:$F$504,MATCH($F3090&amp;"",계정매핑!$A$5:$A$504,0))&amp;"","비귀속"),""))</f>
        <v/>
      </c>
      <c r="AG3090" s="96">
        <f>IF($A3090="",0,IF(AND(AE3090&lt;&gt;"직접",IFERROR(INDEX(계정매핑!$G$5:$G$504,MATCH($F3090&amp;"",계정매핑!$A$5:$A$504,0))&amp;"","")="유지비",COUNTIF(계정대체기준!$A$6:$A$15,$N3090)&gt;0),IFERROR(INDEX(계정대체기준!$E$6:$E$15,MATCH(VALUE($A3090&amp;""),계정대체기준!$D$6:$D$15,0)),0),0))</f>
        <v/>
      </c>
      <c r="AH3090" s="64">
        <f>IF($A3090="","",IF(AD3090=0,"",IF(OR(COUNTIF(계정대체기준!$A$77:$A$86,$N3090)&gt;0,ISNUMBER(MATCH($X3090,계정대체기준!$D$77:$D$86,0)),ISNUMBER(MATCH($F3090,계정대체기준!$D$77:$D$86,0))),"Y","N")))</f>
        <v/>
      </c>
    </row>
    <row r="3091">
      <c r="A3091" s="92" t="n">
        <v>2026</v>
      </c>
      <c r="B3091" s="92" t="n">
        <v>2</v>
      </c>
      <c r="C3091" s="92" t="inlineStr">
        <is>
          <t>5100000369</t>
        </is>
      </c>
      <c r="D3091" s="95" t="n">
        <v>46069</v>
      </c>
      <c r="E3091" s="92" t="inlineStr">
        <is>
          <t>KR</t>
        </is>
      </c>
      <c r="F3091" s="92" t="n">
        <v>62902000</v>
      </c>
      <c r="G3091" s="92" t="n">
        <v>1801</v>
      </c>
      <c r="H3091" s="93" t="n">
        <v>1816000</v>
      </c>
      <c r="I3091" s="92" t="inlineStr">
        <is>
          <t>2월 콜 위탁 수수료(건별)</t>
        </is>
      </c>
      <c r="J3091" s="92" t="inlineStr">
        <is>
          <t>V10016</t>
        </is>
      </c>
      <c r="K3091" s="92" t="inlineStr">
        <is>
          <t>J콜센터</t>
        </is>
      </c>
      <c r="M3091" s="9">
        <f>IF($A3091="","",VALUE($A3091&amp;"")*12+VALUE($B3091&amp;""))</f>
        <v/>
      </c>
      <c r="N3091" s="64">
        <f>IF($A3091="","",IFERROR(INDEX(부서매핑!$C$5:$C$504,MATCH($G3091&amp;"",부서매핑!$A$5:$A$504,0)),"미매핑"))</f>
        <v/>
      </c>
      <c r="O3091" s="9">
        <f>IF($A3091="","",N3091&amp;"|"&amp;$F3091)</f>
        <v/>
      </c>
      <c r="P3091" s="94">
        <f>IF($A3091="",0,$H3091*설정!$C$23)</f>
        <v/>
      </c>
      <c r="Q3091" s="64">
        <f>IF($A3091="","",IF(O3091&lt;&gt;원인분석!$C$9,"",IF(AND(M3091&gt;=원인분석!$C$10,M3091&lt;=원인분석!$C$11),"당기",IF(AND(M3091&gt;=원인분석!$C$12,M3091&lt;=원인분석!$C$13),"비교",""))))</f>
        <v/>
      </c>
      <c r="R3091" s="9">
        <f>IF(Q3091="","",$K3091&amp;"")</f>
        <v/>
      </c>
      <c r="S3091" s="9">
        <f>IF(Q3091="","",IF(MATCH(R3091,$R$5:$R$100000,0)=ROW()-4,ROW(),""))</f>
        <v/>
      </c>
      <c r="T3091" s="9">
        <f>IF(Q3091="당기",ABS(P3091)+ROW()/1000000000,"")</f>
        <v/>
      </c>
      <c r="U3091" s="9">
        <f>IF(Q3091="비교",ABS(P3091)+ROW()/1000000000,"")</f>
        <v/>
      </c>
      <c r="V3091" s="64">
        <f>IF($A3091="","",IF(COUNTIF(변동분석!$E$7:$E$506,O3091)&gt;0,"Y","N"))</f>
        <v/>
      </c>
      <c r="W3091" s="64">
        <f>IF($A3091="","",IFERROR(INDEX(계정매핑!$D$5:$D$504,MATCH($F3091&amp;"",계정매핑!$A$5:$A$504,0)),"미매핑"))</f>
        <v/>
      </c>
      <c r="X3091" s="9">
        <f>IF($A3091="","",$F3091&amp;"")</f>
        <v/>
      </c>
      <c r="Y3091" s="94">
        <f>IF($A3091="",0,IF(AE3091="직접",IF(AF3091="비귀속",$P3091,0),$P3091*(1-AG3091)*IFERROR(INDEX(계정대체기준!$F$20:$F$49,MATCH($N3091,계정대체기준!$A$20:$A$49,0)),1)))</f>
        <v/>
      </c>
      <c r="Z3091" s="94">
        <f>IF($A3091="",0,IF(AE3091="직접",IF(AF3091="신계약비",$P3091,0),$P3091*(1-AG3091)*IFERROR(INDEX(계정대체기준!$C$20:$C$49,MATCH($N3091,계정대체기준!$A$20:$A$49,0)),0)))</f>
        <v/>
      </c>
      <c r="AA3091" s="94">
        <f>IF($A3091="",0,IF(AE3091="직접",IF(OR(AF3091="유지비",AF3091="손해조사비"),$P3091,0),$P3091*(1-AG3091)*IFERROR(INDEX(계정대체기준!$D$20:$D$49,MATCH($N3091,계정대체기준!$A$20:$A$49,0)),0)))</f>
        <v/>
      </c>
      <c r="AB3091" s="94">
        <f>IF($A3091="",0,IF(AE3091="직접",IF(AF3091="수금비",$P3091,0),$P3091*(1-AG3091)*IFERROR(INDEX(계정대체기준!$E$20:$E$49,MATCH($N3091,계정대체기준!$A$20:$A$49,0)),0)))</f>
        <v/>
      </c>
      <c r="AC3091" s="9">
        <f>IF(AND($A3091&lt;&gt;"",M3091=설정!$C$20,Z3091&gt;0),Z3091+ROW()/1000000000,"")</f>
        <v/>
      </c>
      <c r="AD3091" s="94">
        <f>IF($A3091="",0,$P3091*AG3091)</f>
        <v/>
      </c>
      <c r="AE3091" s="64">
        <f>IF($A3091="","",IFERROR(INDEX(계정매핑!$E$5:$E$504,MATCH($F3091&amp;"",계정매핑!$A$5:$A$504,0))&amp;"","공통비"))</f>
        <v/>
      </c>
      <c r="AF3091" s="64">
        <f>IF($A3091="","",IF(AE3091="직접",IFERROR(INDEX(계정매핑!$F$5:$F$504,MATCH($F3091&amp;"",계정매핑!$A$5:$A$504,0))&amp;"","비귀속"),""))</f>
        <v/>
      </c>
      <c r="AG3091" s="96">
        <f>IF($A3091="",0,IF(AND(AE3091&lt;&gt;"직접",IFERROR(INDEX(계정매핑!$G$5:$G$504,MATCH($F3091&amp;"",계정매핑!$A$5:$A$504,0))&amp;"","")="유지비",COUNTIF(계정대체기준!$A$6:$A$15,$N3091)&gt;0),IFERROR(INDEX(계정대체기준!$E$6:$E$15,MATCH(VALUE($A3091&amp;""),계정대체기준!$D$6:$D$15,0)),0),0))</f>
        <v/>
      </c>
      <c r="AH3091" s="64">
        <f>IF($A3091="","",IF(AD3091=0,"",IF(OR(COUNTIF(계정대체기준!$A$77:$A$86,$N3091)&gt;0,ISNUMBER(MATCH($X3091,계정대체기준!$D$77:$D$86,0)),ISNUMBER(MATCH($F3091,계정대체기준!$D$77:$D$86,0))),"Y","N")))</f>
        <v/>
      </c>
    </row>
    <row r="3092">
      <c r="A3092" s="92" t="n">
        <v>2026</v>
      </c>
      <c r="B3092" s="92" t="n">
        <v>2</v>
      </c>
      <c r="C3092" s="92" t="inlineStr">
        <is>
          <t>5100000370</t>
        </is>
      </c>
      <c r="D3092" s="95" t="n">
        <v>46070</v>
      </c>
      <c r="E3092" s="92" t="inlineStr">
        <is>
          <t>KR</t>
        </is>
      </c>
      <c r="F3092" s="92" t="n">
        <v>62101000</v>
      </c>
      <c r="G3092" s="92" t="n">
        <v>1101</v>
      </c>
      <c r="H3092" s="93" t="n">
        <v>635000</v>
      </c>
      <c r="I3092" s="92" t="inlineStr">
        <is>
          <t>2월 국내출장 - L여행사</t>
        </is>
      </c>
      <c r="J3092" s="92" t="inlineStr">
        <is>
          <t>V10018</t>
        </is>
      </c>
      <c r="K3092" s="92" t="inlineStr">
        <is>
          <t>L여행사</t>
        </is>
      </c>
      <c r="M3092" s="9">
        <f>IF($A3092="","",VALUE($A3092&amp;"")*12+VALUE($B3092&amp;""))</f>
        <v/>
      </c>
      <c r="N3092" s="64">
        <f>IF($A3092="","",IFERROR(INDEX(부서매핑!$C$5:$C$504,MATCH($G3092&amp;"",부서매핑!$A$5:$A$504,0)),"미매핑"))</f>
        <v/>
      </c>
      <c r="O3092" s="9">
        <f>IF($A3092="","",N3092&amp;"|"&amp;$F3092)</f>
        <v/>
      </c>
      <c r="P3092" s="94">
        <f>IF($A3092="",0,$H3092*설정!$C$23)</f>
        <v/>
      </c>
      <c r="Q3092" s="64">
        <f>IF($A3092="","",IF(O3092&lt;&gt;원인분석!$C$9,"",IF(AND(M3092&gt;=원인분석!$C$10,M3092&lt;=원인분석!$C$11),"당기",IF(AND(M3092&gt;=원인분석!$C$12,M3092&lt;=원인분석!$C$13),"비교",""))))</f>
        <v/>
      </c>
      <c r="R3092" s="9">
        <f>IF(Q3092="","",$K3092&amp;"")</f>
        <v/>
      </c>
      <c r="S3092" s="9">
        <f>IF(Q3092="","",IF(MATCH(R3092,$R$5:$R$100000,0)=ROW()-4,ROW(),""))</f>
        <v/>
      </c>
      <c r="T3092" s="9">
        <f>IF(Q3092="당기",ABS(P3092)+ROW()/1000000000,"")</f>
        <v/>
      </c>
      <c r="U3092" s="9">
        <f>IF(Q3092="비교",ABS(P3092)+ROW()/1000000000,"")</f>
        <v/>
      </c>
      <c r="V3092" s="64">
        <f>IF($A3092="","",IF(COUNTIF(변동분석!$E$7:$E$506,O3092)&gt;0,"Y","N"))</f>
        <v/>
      </c>
      <c r="W3092" s="64">
        <f>IF($A3092="","",IFERROR(INDEX(계정매핑!$D$5:$D$504,MATCH($F3092&amp;"",계정매핑!$A$5:$A$504,0)),"미매핑"))</f>
        <v/>
      </c>
      <c r="X3092" s="9">
        <f>IF($A3092="","",$F3092&amp;"")</f>
        <v/>
      </c>
      <c r="Y3092" s="94">
        <f>IF($A3092="",0,IF(AE3092="직접",IF(AF3092="비귀속",$P3092,0),$P3092*(1-AG3092)*IFERROR(INDEX(계정대체기준!$F$20:$F$49,MATCH($N3092,계정대체기준!$A$20:$A$49,0)),1)))</f>
        <v/>
      </c>
      <c r="Z3092" s="94">
        <f>IF($A3092="",0,IF(AE3092="직접",IF(AF3092="신계약비",$P3092,0),$P3092*(1-AG3092)*IFERROR(INDEX(계정대체기준!$C$20:$C$49,MATCH($N3092,계정대체기준!$A$20:$A$49,0)),0)))</f>
        <v/>
      </c>
      <c r="AA3092" s="94">
        <f>IF($A3092="",0,IF(AE3092="직접",IF(OR(AF3092="유지비",AF3092="손해조사비"),$P3092,0),$P3092*(1-AG3092)*IFERROR(INDEX(계정대체기준!$D$20:$D$49,MATCH($N3092,계정대체기준!$A$20:$A$49,0)),0)))</f>
        <v/>
      </c>
      <c r="AB3092" s="94">
        <f>IF($A3092="",0,IF(AE3092="직접",IF(AF3092="수금비",$P3092,0),$P3092*(1-AG3092)*IFERROR(INDEX(계정대체기준!$E$20:$E$49,MATCH($N3092,계정대체기준!$A$20:$A$49,0)),0)))</f>
        <v/>
      </c>
      <c r="AC3092" s="9">
        <f>IF(AND($A3092&lt;&gt;"",M3092=설정!$C$20,Z3092&gt;0),Z3092+ROW()/1000000000,"")</f>
        <v/>
      </c>
      <c r="AD3092" s="94">
        <f>IF($A3092="",0,$P3092*AG3092)</f>
        <v/>
      </c>
      <c r="AE3092" s="64">
        <f>IF($A3092="","",IFERROR(INDEX(계정매핑!$E$5:$E$504,MATCH($F3092&amp;"",계정매핑!$A$5:$A$504,0))&amp;"","공통비"))</f>
        <v/>
      </c>
      <c r="AF3092" s="64">
        <f>IF($A3092="","",IF(AE3092="직접",IFERROR(INDEX(계정매핑!$F$5:$F$504,MATCH($F3092&amp;"",계정매핑!$A$5:$A$504,0))&amp;"","비귀속"),""))</f>
        <v/>
      </c>
      <c r="AG3092" s="96">
        <f>IF($A3092="",0,IF(AND(AE3092&lt;&gt;"직접",IFERROR(INDEX(계정매핑!$G$5:$G$504,MATCH($F3092&amp;"",계정매핑!$A$5:$A$504,0))&amp;"","")="유지비",COUNTIF(계정대체기준!$A$6:$A$15,$N3092)&gt;0),IFERROR(INDEX(계정대체기준!$E$6:$E$15,MATCH(VALUE($A3092&amp;""),계정대체기준!$D$6:$D$15,0)),0),0))</f>
        <v/>
      </c>
      <c r="AH3092" s="64">
        <f>IF($A3092="","",IF(AD3092=0,"",IF(OR(COUNTIF(계정대체기준!$A$77:$A$86,$N3092)&gt;0,ISNUMBER(MATCH($X3092,계정대체기준!$D$77:$D$86,0)),ISNUMBER(MATCH($F3092,계정대체기준!$D$77:$D$86,0))),"Y","N")))</f>
        <v/>
      </c>
    </row>
    <row r="3093">
      <c r="A3093" s="92" t="n">
        <v>2026</v>
      </c>
      <c r="B3093" s="92" t="n">
        <v>2</v>
      </c>
      <c r="C3093" s="92" t="inlineStr">
        <is>
          <t>5100000371</t>
        </is>
      </c>
      <c r="D3093" s="95" t="n">
        <v>46070</v>
      </c>
      <c r="E3093" s="92" t="inlineStr">
        <is>
          <t>KR</t>
        </is>
      </c>
      <c r="F3093" s="92" t="n">
        <v>62101000</v>
      </c>
      <c r="G3093" s="92" t="n">
        <v>1951</v>
      </c>
      <c r="H3093" s="93" t="n">
        <v>304000</v>
      </c>
      <c r="I3093" s="92" t="inlineStr">
        <is>
          <t>2월 국내출장 - (법인카드)</t>
        </is>
      </c>
      <c r="J3093" s="92" t="inlineStr">
        <is>
          <t>V10010</t>
        </is>
      </c>
      <c r="K3093" s="92" t="inlineStr">
        <is>
          <t>(법인카드)</t>
        </is>
      </c>
      <c r="M3093" s="9">
        <f>IF($A3093="","",VALUE($A3093&amp;"")*12+VALUE($B3093&amp;""))</f>
        <v/>
      </c>
      <c r="N3093" s="64">
        <f>IF($A3093="","",IFERROR(INDEX(부서매핑!$C$5:$C$504,MATCH($G3093&amp;"",부서매핑!$A$5:$A$504,0)),"미매핑"))</f>
        <v/>
      </c>
      <c r="O3093" s="9">
        <f>IF($A3093="","",N3093&amp;"|"&amp;$F3093)</f>
        <v/>
      </c>
      <c r="P3093" s="94">
        <f>IF($A3093="",0,$H3093*설정!$C$23)</f>
        <v/>
      </c>
      <c r="Q3093" s="64">
        <f>IF($A3093="","",IF(O3093&lt;&gt;원인분석!$C$9,"",IF(AND(M3093&gt;=원인분석!$C$10,M3093&lt;=원인분석!$C$11),"당기",IF(AND(M3093&gt;=원인분석!$C$12,M3093&lt;=원인분석!$C$13),"비교",""))))</f>
        <v/>
      </c>
      <c r="R3093" s="9">
        <f>IF(Q3093="","",$K3093&amp;"")</f>
        <v/>
      </c>
      <c r="S3093" s="9">
        <f>IF(Q3093="","",IF(MATCH(R3093,$R$5:$R$100000,0)=ROW()-4,ROW(),""))</f>
        <v/>
      </c>
      <c r="T3093" s="9">
        <f>IF(Q3093="당기",ABS(P3093)+ROW()/1000000000,"")</f>
        <v/>
      </c>
      <c r="U3093" s="9">
        <f>IF(Q3093="비교",ABS(P3093)+ROW()/1000000000,"")</f>
        <v/>
      </c>
      <c r="V3093" s="64">
        <f>IF($A3093="","",IF(COUNTIF(변동분석!$E$7:$E$506,O3093)&gt;0,"Y","N"))</f>
        <v/>
      </c>
      <c r="W3093" s="64">
        <f>IF($A3093="","",IFERROR(INDEX(계정매핑!$D$5:$D$504,MATCH($F3093&amp;"",계정매핑!$A$5:$A$504,0)),"미매핑"))</f>
        <v/>
      </c>
      <c r="X3093" s="9">
        <f>IF($A3093="","",$F3093&amp;"")</f>
        <v/>
      </c>
      <c r="Y3093" s="94">
        <f>IF($A3093="",0,IF(AE3093="직접",IF(AF3093="비귀속",$P3093,0),$P3093*(1-AG3093)*IFERROR(INDEX(계정대체기준!$F$20:$F$49,MATCH($N3093,계정대체기준!$A$20:$A$49,0)),1)))</f>
        <v/>
      </c>
      <c r="Z3093" s="94">
        <f>IF($A3093="",0,IF(AE3093="직접",IF(AF3093="신계약비",$P3093,0),$P3093*(1-AG3093)*IFERROR(INDEX(계정대체기준!$C$20:$C$49,MATCH($N3093,계정대체기준!$A$20:$A$49,0)),0)))</f>
        <v/>
      </c>
      <c r="AA3093" s="94">
        <f>IF($A3093="",0,IF(AE3093="직접",IF(OR(AF3093="유지비",AF3093="손해조사비"),$P3093,0),$P3093*(1-AG3093)*IFERROR(INDEX(계정대체기준!$D$20:$D$49,MATCH($N3093,계정대체기준!$A$20:$A$49,0)),0)))</f>
        <v/>
      </c>
      <c r="AB3093" s="94">
        <f>IF($A3093="",0,IF(AE3093="직접",IF(AF3093="수금비",$P3093,0),$P3093*(1-AG3093)*IFERROR(INDEX(계정대체기준!$E$20:$E$49,MATCH($N3093,계정대체기준!$A$20:$A$49,0)),0)))</f>
        <v/>
      </c>
      <c r="AC3093" s="9">
        <f>IF(AND($A3093&lt;&gt;"",M3093=설정!$C$20,Z3093&gt;0),Z3093+ROW()/1000000000,"")</f>
        <v/>
      </c>
      <c r="AD3093" s="94">
        <f>IF($A3093="",0,$P3093*AG3093)</f>
        <v/>
      </c>
      <c r="AE3093" s="64">
        <f>IF($A3093="","",IFERROR(INDEX(계정매핑!$E$5:$E$504,MATCH($F3093&amp;"",계정매핑!$A$5:$A$504,0))&amp;"","공통비"))</f>
        <v/>
      </c>
      <c r="AF3093" s="64">
        <f>IF($A3093="","",IF(AE3093="직접",IFERROR(INDEX(계정매핑!$F$5:$F$504,MATCH($F3093&amp;"",계정매핑!$A$5:$A$504,0))&amp;"","비귀속"),""))</f>
        <v/>
      </c>
      <c r="AG3093" s="96">
        <f>IF($A3093="",0,IF(AND(AE3093&lt;&gt;"직접",IFERROR(INDEX(계정매핑!$G$5:$G$504,MATCH($F3093&amp;"",계정매핑!$A$5:$A$504,0))&amp;"","")="유지비",COUNTIF(계정대체기준!$A$6:$A$15,$N3093)&gt;0),IFERROR(INDEX(계정대체기준!$E$6:$E$15,MATCH(VALUE($A3093&amp;""),계정대체기준!$D$6:$D$15,0)),0),0))</f>
        <v/>
      </c>
      <c r="AH3093" s="64">
        <f>IF($A3093="","",IF(AD3093=0,"",IF(OR(COUNTIF(계정대체기준!$A$77:$A$86,$N3093)&gt;0,ISNUMBER(MATCH($X3093,계정대체기준!$D$77:$D$86,0)),ISNUMBER(MATCH($F3093,계정대체기준!$D$77:$D$86,0))),"Y","N")))</f>
        <v/>
      </c>
    </row>
    <row r="3094">
      <c r="A3094" s="92" t="n">
        <v>2026</v>
      </c>
      <c r="B3094" s="92" t="n">
        <v>2</v>
      </c>
      <c r="C3094" s="92" t="inlineStr">
        <is>
          <t>5100000372</t>
        </is>
      </c>
      <c r="D3094" s="95" t="n">
        <v>46070</v>
      </c>
      <c r="E3094" s="92" t="inlineStr">
        <is>
          <t>KR</t>
        </is>
      </c>
      <c r="F3094" s="92" t="n">
        <v>62102000</v>
      </c>
      <c r="G3094" s="92" t="n">
        <v>1201</v>
      </c>
      <c r="H3094" s="93" t="n">
        <v>86000</v>
      </c>
      <c r="I3094" s="92" t="inlineStr">
        <is>
          <t>2월 해외출장 - M항공</t>
        </is>
      </c>
      <c r="J3094" s="92" t="inlineStr">
        <is>
          <t>V10001</t>
        </is>
      </c>
      <c r="K3094" s="92" t="inlineStr">
        <is>
          <t>M항공</t>
        </is>
      </c>
      <c r="M3094" s="9">
        <f>IF($A3094="","",VALUE($A3094&amp;"")*12+VALUE($B3094&amp;""))</f>
        <v/>
      </c>
      <c r="N3094" s="64">
        <f>IF($A3094="","",IFERROR(INDEX(부서매핑!$C$5:$C$504,MATCH($G3094&amp;"",부서매핑!$A$5:$A$504,0)),"미매핑"))</f>
        <v/>
      </c>
      <c r="O3094" s="9">
        <f>IF($A3094="","",N3094&amp;"|"&amp;$F3094)</f>
        <v/>
      </c>
      <c r="P3094" s="94">
        <f>IF($A3094="",0,$H3094*설정!$C$23)</f>
        <v/>
      </c>
      <c r="Q3094" s="64">
        <f>IF($A3094="","",IF(O3094&lt;&gt;원인분석!$C$9,"",IF(AND(M3094&gt;=원인분석!$C$10,M3094&lt;=원인분석!$C$11),"당기",IF(AND(M3094&gt;=원인분석!$C$12,M3094&lt;=원인분석!$C$13),"비교",""))))</f>
        <v/>
      </c>
      <c r="R3094" s="9">
        <f>IF(Q3094="","",$K3094&amp;"")</f>
        <v/>
      </c>
      <c r="S3094" s="9">
        <f>IF(Q3094="","",IF(MATCH(R3094,$R$5:$R$100000,0)=ROW()-4,ROW(),""))</f>
        <v/>
      </c>
      <c r="T3094" s="9">
        <f>IF(Q3094="당기",ABS(P3094)+ROW()/1000000000,"")</f>
        <v/>
      </c>
      <c r="U3094" s="9">
        <f>IF(Q3094="비교",ABS(P3094)+ROW()/1000000000,"")</f>
        <v/>
      </c>
      <c r="V3094" s="64">
        <f>IF($A3094="","",IF(COUNTIF(변동분석!$E$7:$E$506,O3094)&gt;0,"Y","N"))</f>
        <v/>
      </c>
      <c r="W3094" s="64">
        <f>IF($A3094="","",IFERROR(INDEX(계정매핑!$D$5:$D$504,MATCH($F3094&amp;"",계정매핑!$A$5:$A$504,0)),"미매핑"))</f>
        <v/>
      </c>
      <c r="X3094" s="9">
        <f>IF($A3094="","",$F3094&amp;"")</f>
        <v/>
      </c>
      <c r="Y3094" s="94">
        <f>IF($A3094="",0,IF(AE3094="직접",IF(AF3094="비귀속",$P3094,0),$P3094*(1-AG3094)*IFERROR(INDEX(계정대체기준!$F$20:$F$49,MATCH($N3094,계정대체기준!$A$20:$A$49,0)),1)))</f>
        <v/>
      </c>
      <c r="Z3094" s="94">
        <f>IF($A3094="",0,IF(AE3094="직접",IF(AF3094="신계약비",$P3094,0),$P3094*(1-AG3094)*IFERROR(INDEX(계정대체기준!$C$20:$C$49,MATCH($N3094,계정대체기준!$A$20:$A$49,0)),0)))</f>
        <v/>
      </c>
      <c r="AA3094" s="94">
        <f>IF($A3094="",0,IF(AE3094="직접",IF(OR(AF3094="유지비",AF3094="손해조사비"),$P3094,0),$P3094*(1-AG3094)*IFERROR(INDEX(계정대체기준!$D$20:$D$49,MATCH($N3094,계정대체기준!$A$20:$A$49,0)),0)))</f>
        <v/>
      </c>
      <c r="AB3094" s="94">
        <f>IF($A3094="",0,IF(AE3094="직접",IF(AF3094="수금비",$P3094,0),$P3094*(1-AG3094)*IFERROR(INDEX(계정대체기준!$E$20:$E$49,MATCH($N3094,계정대체기준!$A$20:$A$49,0)),0)))</f>
        <v/>
      </c>
      <c r="AC3094" s="9">
        <f>IF(AND($A3094&lt;&gt;"",M3094=설정!$C$20,Z3094&gt;0),Z3094+ROW()/1000000000,"")</f>
        <v/>
      </c>
      <c r="AD3094" s="94">
        <f>IF($A3094="",0,$P3094*AG3094)</f>
        <v/>
      </c>
      <c r="AE3094" s="64">
        <f>IF($A3094="","",IFERROR(INDEX(계정매핑!$E$5:$E$504,MATCH($F3094&amp;"",계정매핑!$A$5:$A$504,0))&amp;"","공통비"))</f>
        <v/>
      </c>
      <c r="AF3094" s="64">
        <f>IF($A3094="","",IF(AE3094="직접",IFERROR(INDEX(계정매핑!$F$5:$F$504,MATCH($F3094&amp;"",계정매핑!$A$5:$A$504,0))&amp;"","비귀속"),""))</f>
        <v/>
      </c>
      <c r="AG3094" s="96">
        <f>IF($A3094="",0,IF(AND(AE3094&lt;&gt;"직접",IFERROR(INDEX(계정매핑!$G$5:$G$504,MATCH($F3094&amp;"",계정매핑!$A$5:$A$504,0))&amp;"","")="유지비",COUNTIF(계정대체기준!$A$6:$A$15,$N3094)&gt;0),IFERROR(INDEX(계정대체기준!$E$6:$E$15,MATCH(VALUE($A3094&amp;""),계정대체기준!$D$6:$D$15,0)),0),0))</f>
        <v/>
      </c>
      <c r="AH3094" s="64">
        <f>IF($A3094="","",IF(AD3094=0,"",IF(OR(COUNTIF(계정대체기준!$A$77:$A$86,$N3094)&gt;0,ISNUMBER(MATCH($X3094,계정대체기준!$D$77:$D$86,0)),ISNUMBER(MATCH($F3094,계정대체기준!$D$77:$D$86,0))),"Y","N")))</f>
        <v/>
      </c>
    </row>
    <row r="3095">
      <c r="A3095" s="92" t="n">
        <v>2026</v>
      </c>
      <c r="B3095" s="92" t="n">
        <v>2</v>
      </c>
      <c r="C3095" s="92" t="inlineStr">
        <is>
          <t>5100000373</t>
        </is>
      </c>
      <c r="D3095" s="95" t="n">
        <v>46070</v>
      </c>
      <c r="E3095" s="92" t="inlineStr">
        <is>
          <t>KR</t>
        </is>
      </c>
      <c r="F3095" s="92" t="n">
        <v>62102000</v>
      </c>
      <c r="G3095" s="92" t="n">
        <v>1401</v>
      </c>
      <c r="H3095" s="93" t="n">
        <v>189000</v>
      </c>
      <c r="I3095" s="92" t="inlineStr">
        <is>
          <t>2월 해외출장 - M항공</t>
        </is>
      </c>
      <c r="J3095" s="92" t="inlineStr">
        <is>
          <t>V10001</t>
        </is>
      </c>
      <c r="K3095" s="92" t="inlineStr">
        <is>
          <t>M항공</t>
        </is>
      </c>
      <c r="M3095" s="9">
        <f>IF($A3095="","",VALUE($A3095&amp;"")*12+VALUE($B3095&amp;""))</f>
        <v/>
      </c>
      <c r="N3095" s="64">
        <f>IF($A3095="","",IFERROR(INDEX(부서매핑!$C$5:$C$504,MATCH($G3095&amp;"",부서매핑!$A$5:$A$504,0)),"미매핑"))</f>
        <v/>
      </c>
      <c r="O3095" s="9">
        <f>IF($A3095="","",N3095&amp;"|"&amp;$F3095)</f>
        <v/>
      </c>
      <c r="P3095" s="94">
        <f>IF($A3095="",0,$H3095*설정!$C$23)</f>
        <v/>
      </c>
      <c r="Q3095" s="64">
        <f>IF($A3095="","",IF(O3095&lt;&gt;원인분석!$C$9,"",IF(AND(M3095&gt;=원인분석!$C$10,M3095&lt;=원인분석!$C$11),"당기",IF(AND(M3095&gt;=원인분석!$C$12,M3095&lt;=원인분석!$C$13),"비교",""))))</f>
        <v/>
      </c>
      <c r="R3095" s="9">
        <f>IF(Q3095="","",$K3095&amp;"")</f>
        <v/>
      </c>
      <c r="S3095" s="9">
        <f>IF(Q3095="","",IF(MATCH(R3095,$R$5:$R$100000,0)=ROW()-4,ROW(),""))</f>
        <v/>
      </c>
      <c r="T3095" s="9">
        <f>IF(Q3095="당기",ABS(P3095)+ROW()/1000000000,"")</f>
        <v/>
      </c>
      <c r="U3095" s="9">
        <f>IF(Q3095="비교",ABS(P3095)+ROW()/1000000000,"")</f>
        <v/>
      </c>
      <c r="V3095" s="64">
        <f>IF($A3095="","",IF(COUNTIF(변동분석!$E$7:$E$506,O3095)&gt;0,"Y","N"))</f>
        <v/>
      </c>
      <c r="W3095" s="64">
        <f>IF($A3095="","",IFERROR(INDEX(계정매핑!$D$5:$D$504,MATCH($F3095&amp;"",계정매핑!$A$5:$A$504,0)),"미매핑"))</f>
        <v/>
      </c>
      <c r="X3095" s="9">
        <f>IF($A3095="","",$F3095&amp;"")</f>
        <v/>
      </c>
      <c r="Y3095" s="94">
        <f>IF($A3095="",0,IF(AE3095="직접",IF(AF3095="비귀속",$P3095,0),$P3095*(1-AG3095)*IFERROR(INDEX(계정대체기준!$F$20:$F$49,MATCH($N3095,계정대체기준!$A$20:$A$49,0)),1)))</f>
        <v/>
      </c>
      <c r="Z3095" s="94">
        <f>IF($A3095="",0,IF(AE3095="직접",IF(AF3095="신계약비",$P3095,0),$P3095*(1-AG3095)*IFERROR(INDEX(계정대체기준!$C$20:$C$49,MATCH($N3095,계정대체기준!$A$20:$A$49,0)),0)))</f>
        <v/>
      </c>
      <c r="AA3095" s="94">
        <f>IF($A3095="",0,IF(AE3095="직접",IF(OR(AF3095="유지비",AF3095="손해조사비"),$P3095,0),$P3095*(1-AG3095)*IFERROR(INDEX(계정대체기준!$D$20:$D$49,MATCH($N3095,계정대체기준!$A$20:$A$49,0)),0)))</f>
        <v/>
      </c>
      <c r="AB3095" s="94">
        <f>IF($A3095="",0,IF(AE3095="직접",IF(AF3095="수금비",$P3095,0),$P3095*(1-AG3095)*IFERROR(INDEX(계정대체기준!$E$20:$E$49,MATCH($N3095,계정대체기준!$A$20:$A$49,0)),0)))</f>
        <v/>
      </c>
      <c r="AC3095" s="9">
        <f>IF(AND($A3095&lt;&gt;"",M3095=설정!$C$20,Z3095&gt;0),Z3095+ROW()/1000000000,"")</f>
        <v/>
      </c>
      <c r="AD3095" s="94">
        <f>IF($A3095="",0,$P3095*AG3095)</f>
        <v/>
      </c>
      <c r="AE3095" s="64">
        <f>IF($A3095="","",IFERROR(INDEX(계정매핑!$E$5:$E$504,MATCH($F3095&amp;"",계정매핑!$A$5:$A$504,0))&amp;"","공통비"))</f>
        <v/>
      </c>
      <c r="AF3095" s="64">
        <f>IF($A3095="","",IF(AE3095="직접",IFERROR(INDEX(계정매핑!$F$5:$F$504,MATCH($F3095&amp;"",계정매핑!$A$5:$A$504,0))&amp;"","비귀속"),""))</f>
        <v/>
      </c>
      <c r="AG3095" s="96">
        <f>IF($A3095="",0,IF(AND(AE3095&lt;&gt;"직접",IFERROR(INDEX(계정매핑!$G$5:$G$504,MATCH($F3095&amp;"",계정매핑!$A$5:$A$504,0))&amp;"","")="유지비",COUNTIF(계정대체기준!$A$6:$A$15,$N3095)&gt;0),IFERROR(INDEX(계정대체기준!$E$6:$E$15,MATCH(VALUE($A3095&amp;""),계정대체기준!$D$6:$D$15,0)),0),0))</f>
        <v/>
      </c>
      <c r="AH3095" s="64">
        <f>IF($A3095="","",IF(AD3095=0,"",IF(OR(COUNTIF(계정대체기준!$A$77:$A$86,$N3095)&gt;0,ISNUMBER(MATCH($X3095,계정대체기준!$D$77:$D$86,0)),ISNUMBER(MATCH($F3095,계정대체기준!$D$77:$D$86,0))),"Y","N")))</f>
        <v/>
      </c>
    </row>
    <row r="3096">
      <c r="A3096" s="92" t="n">
        <v>2026</v>
      </c>
      <c r="B3096" s="92" t="n">
        <v>2</v>
      </c>
      <c r="C3096" s="92" t="inlineStr">
        <is>
          <t>5100000374</t>
        </is>
      </c>
      <c r="D3096" s="95" t="n">
        <v>46070</v>
      </c>
      <c r="E3096" s="92" t="inlineStr">
        <is>
          <t>KR</t>
        </is>
      </c>
      <c r="F3096" s="92" t="n">
        <v>62401000</v>
      </c>
      <c r="G3096" s="92" t="n">
        <v>1401</v>
      </c>
      <c r="H3096" s="93" t="n">
        <v>326000</v>
      </c>
      <c r="I3096" s="92" t="inlineStr">
        <is>
          <t>2월 인쇄물 제작 - G인쇄</t>
        </is>
      </c>
      <c r="J3096" s="92" t="inlineStr">
        <is>
          <t>V10004</t>
        </is>
      </c>
      <c r="K3096" s="92" t="inlineStr">
        <is>
          <t>G인쇄</t>
        </is>
      </c>
      <c r="M3096" s="9">
        <f>IF($A3096="","",VALUE($A3096&amp;"")*12+VALUE($B3096&amp;""))</f>
        <v/>
      </c>
      <c r="N3096" s="64">
        <f>IF($A3096="","",IFERROR(INDEX(부서매핑!$C$5:$C$504,MATCH($G3096&amp;"",부서매핑!$A$5:$A$504,0)),"미매핑"))</f>
        <v/>
      </c>
      <c r="O3096" s="9">
        <f>IF($A3096="","",N3096&amp;"|"&amp;$F3096)</f>
        <v/>
      </c>
      <c r="P3096" s="94">
        <f>IF($A3096="",0,$H3096*설정!$C$23)</f>
        <v/>
      </c>
      <c r="Q3096" s="64">
        <f>IF($A3096="","",IF(O3096&lt;&gt;원인분석!$C$9,"",IF(AND(M3096&gt;=원인분석!$C$10,M3096&lt;=원인분석!$C$11),"당기",IF(AND(M3096&gt;=원인분석!$C$12,M3096&lt;=원인분석!$C$13),"비교",""))))</f>
        <v/>
      </c>
      <c r="R3096" s="9">
        <f>IF(Q3096="","",$K3096&amp;"")</f>
        <v/>
      </c>
      <c r="S3096" s="9">
        <f>IF(Q3096="","",IF(MATCH(R3096,$R$5:$R$100000,0)=ROW()-4,ROW(),""))</f>
        <v/>
      </c>
      <c r="T3096" s="9">
        <f>IF(Q3096="당기",ABS(P3096)+ROW()/1000000000,"")</f>
        <v/>
      </c>
      <c r="U3096" s="9">
        <f>IF(Q3096="비교",ABS(P3096)+ROW()/1000000000,"")</f>
        <v/>
      </c>
      <c r="V3096" s="64">
        <f>IF($A3096="","",IF(COUNTIF(변동분석!$E$7:$E$506,O3096)&gt;0,"Y","N"))</f>
        <v/>
      </c>
      <c r="W3096" s="64">
        <f>IF($A3096="","",IFERROR(INDEX(계정매핑!$D$5:$D$504,MATCH($F3096&amp;"",계정매핑!$A$5:$A$504,0)),"미매핑"))</f>
        <v/>
      </c>
      <c r="X3096" s="9">
        <f>IF($A3096="","",$F3096&amp;"")</f>
        <v/>
      </c>
      <c r="Y3096" s="94">
        <f>IF($A3096="",0,IF(AE3096="직접",IF(AF3096="비귀속",$P3096,0),$P3096*(1-AG3096)*IFERROR(INDEX(계정대체기준!$F$20:$F$49,MATCH($N3096,계정대체기준!$A$20:$A$49,0)),1)))</f>
        <v/>
      </c>
      <c r="Z3096" s="94">
        <f>IF($A3096="",0,IF(AE3096="직접",IF(AF3096="신계약비",$P3096,0),$P3096*(1-AG3096)*IFERROR(INDEX(계정대체기준!$C$20:$C$49,MATCH($N3096,계정대체기준!$A$20:$A$49,0)),0)))</f>
        <v/>
      </c>
      <c r="AA3096" s="94">
        <f>IF($A3096="",0,IF(AE3096="직접",IF(OR(AF3096="유지비",AF3096="손해조사비"),$P3096,0),$P3096*(1-AG3096)*IFERROR(INDEX(계정대체기준!$D$20:$D$49,MATCH($N3096,계정대체기준!$A$20:$A$49,0)),0)))</f>
        <v/>
      </c>
      <c r="AB3096" s="94">
        <f>IF($A3096="",0,IF(AE3096="직접",IF(AF3096="수금비",$P3096,0),$P3096*(1-AG3096)*IFERROR(INDEX(계정대체기준!$E$20:$E$49,MATCH($N3096,계정대체기준!$A$20:$A$49,0)),0)))</f>
        <v/>
      </c>
      <c r="AC3096" s="9">
        <f>IF(AND($A3096&lt;&gt;"",M3096=설정!$C$20,Z3096&gt;0),Z3096+ROW()/1000000000,"")</f>
        <v/>
      </c>
      <c r="AD3096" s="94">
        <f>IF($A3096="",0,$P3096*AG3096)</f>
        <v/>
      </c>
      <c r="AE3096" s="64">
        <f>IF($A3096="","",IFERROR(INDEX(계정매핑!$E$5:$E$504,MATCH($F3096&amp;"",계정매핑!$A$5:$A$504,0))&amp;"","공통비"))</f>
        <v/>
      </c>
      <c r="AF3096" s="64">
        <f>IF($A3096="","",IF(AE3096="직접",IFERROR(INDEX(계정매핑!$F$5:$F$504,MATCH($F3096&amp;"",계정매핑!$A$5:$A$504,0))&amp;"","비귀속"),""))</f>
        <v/>
      </c>
      <c r="AG3096" s="96">
        <f>IF($A3096="",0,IF(AND(AE3096&lt;&gt;"직접",IFERROR(INDEX(계정매핑!$G$5:$G$504,MATCH($F3096&amp;"",계정매핑!$A$5:$A$504,0))&amp;"","")="유지비",COUNTIF(계정대체기준!$A$6:$A$15,$N3096)&gt;0),IFERROR(INDEX(계정대체기준!$E$6:$E$15,MATCH(VALUE($A3096&amp;""),계정대체기준!$D$6:$D$15,0)),0),0))</f>
        <v/>
      </c>
      <c r="AH3096" s="64">
        <f>IF($A3096="","",IF(AD3096=0,"",IF(OR(COUNTIF(계정대체기준!$A$77:$A$86,$N3096)&gt;0,ISNUMBER(MATCH($X3096,계정대체기준!$D$77:$D$86,0)),ISNUMBER(MATCH($F3096,계정대체기준!$D$77:$D$86,0))),"Y","N")))</f>
        <v/>
      </c>
    </row>
    <row r="3097">
      <c r="A3097" s="92" t="n">
        <v>2026</v>
      </c>
      <c r="B3097" s="92" t="n">
        <v>2</v>
      </c>
      <c r="C3097" s="92" t="inlineStr">
        <is>
          <t>5100000375</t>
        </is>
      </c>
      <c r="D3097" s="95" t="n">
        <v>46070</v>
      </c>
      <c r="E3097" s="92" t="inlineStr">
        <is>
          <t>KR</t>
        </is>
      </c>
      <c r="F3097" s="92" t="n">
        <v>62501000</v>
      </c>
      <c r="G3097" s="92" t="n">
        <v>1101</v>
      </c>
      <c r="H3097" s="93" t="n">
        <v>434000</v>
      </c>
      <c r="I3097" s="92" t="inlineStr">
        <is>
          <t>2월 회의 다과 - T케이터링</t>
        </is>
      </c>
      <c r="J3097" s="92" t="inlineStr">
        <is>
          <t>V10005</t>
        </is>
      </c>
      <c r="K3097" s="92" t="inlineStr">
        <is>
          <t>T케이터링</t>
        </is>
      </c>
      <c r="M3097" s="9">
        <f>IF($A3097="","",VALUE($A3097&amp;"")*12+VALUE($B3097&amp;""))</f>
        <v/>
      </c>
      <c r="N3097" s="64">
        <f>IF($A3097="","",IFERROR(INDEX(부서매핑!$C$5:$C$504,MATCH($G3097&amp;"",부서매핑!$A$5:$A$504,0)),"미매핑"))</f>
        <v/>
      </c>
      <c r="O3097" s="9">
        <f>IF($A3097="","",N3097&amp;"|"&amp;$F3097)</f>
        <v/>
      </c>
      <c r="P3097" s="94">
        <f>IF($A3097="",0,$H3097*설정!$C$23)</f>
        <v/>
      </c>
      <c r="Q3097" s="64">
        <f>IF($A3097="","",IF(O3097&lt;&gt;원인분석!$C$9,"",IF(AND(M3097&gt;=원인분석!$C$10,M3097&lt;=원인분석!$C$11),"당기",IF(AND(M3097&gt;=원인분석!$C$12,M3097&lt;=원인분석!$C$13),"비교",""))))</f>
        <v/>
      </c>
      <c r="R3097" s="9">
        <f>IF(Q3097="","",$K3097&amp;"")</f>
        <v/>
      </c>
      <c r="S3097" s="9">
        <f>IF(Q3097="","",IF(MATCH(R3097,$R$5:$R$100000,0)=ROW()-4,ROW(),""))</f>
        <v/>
      </c>
      <c r="T3097" s="9">
        <f>IF(Q3097="당기",ABS(P3097)+ROW()/1000000000,"")</f>
        <v/>
      </c>
      <c r="U3097" s="9">
        <f>IF(Q3097="비교",ABS(P3097)+ROW()/1000000000,"")</f>
        <v/>
      </c>
      <c r="V3097" s="64">
        <f>IF($A3097="","",IF(COUNTIF(변동분석!$E$7:$E$506,O3097)&gt;0,"Y","N"))</f>
        <v/>
      </c>
      <c r="W3097" s="64">
        <f>IF($A3097="","",IFERROR(INDEX(계정매핑!$D$5:$D$504,MATCH($F3097&amp;"",계정매핑!$A$5:$A$504,0)),"미매핑"))</f>
        <v/>
      </c>
      <c r="X3097" s="9">
        <f>IF($A3097="","",$F3097&amp;"")</f>
        <v/>
      </c>
      <c r="Y3097" s="94">
        <f>IF($A3097="",0,IF(AE3097="직접",IF(AF3097="비귀속",$P3097,0),$P3097*(1-AG3097)*IFERROR(INDEX(계정대체기준!$F$20:$F$49,MATCH($N3097,계정대체기준!$A$20:$A$49,0)),1)))</f>
        <v/>
      </c>
      <c r="Z3097" s="94">
        <f>IF($A3097="",0,IF(AE3097="직접",IF(AF3097="신계약비",$P3097,0),$P3097*(1-AG3097)*IFERROR(INDEX(계정대체기준!$C$20:$C$49,MATCH($N3097,계정대체기준!$A$20:$A$49,0)),0)))</f>
        <v/>
      </c>
      <c r="AA3097" s="94">
        <f>IF($A3097="",0,IF(AE3097="직접",IF(OR(AF3097="유지비",AF3097="손해조사비"),$P3097,0),$P3097*(1-AG3097)*IFERROR(INDEX(계정대체기준!$D$20:$D$49,MATCH($N3097,계정대체기준!$A$20:$A$49,0)),0)))</f>
        <v/>
      </c>
      <c r="AB3097" s="94">
        <f>IF($A3097="",0,IF(AE3097="직접",IF(AF3097="수금비",$P3097,0),$P3097*(1-AG3097)*IFERROR(INDEX(계정대체기준!$E$20:$E$49,MATCH($N3097,계정대체기준!$A$20:$A$49,0)),0)))</f>
        <v/>
      </c>
      <c r="AC3097" s="9">
        <f>IF(AND($A3097&lt;&gt;"",M3097=설정!$C$20,Z3097&gt;0),Z3097+ROW()/1000000000,"")</f>
        <v/>
      </c>
      <c r="AD3097" s="94">
        <f>IF($A3097="",0,$P3097*AG3097)</f>
        <v/>
      </c>
      <c r="AE3097" s="64">
        <f>IF($A3097="","",IFERROR(INDEX(계정매핑!$E$5:$E$504,MATCH($F3097&amp;"",계정매핑!$A$5:$A$504,0))&amp;"","공통비"))</f>
        <v/>
      </c>
      <c r="AF3097" s="64">
        <f>IF($A3097="","",IF(AE3097="직접",IFERROR(INDEX(계정매핑!$F$5:$F$504,MATCH($F3097&amp;"",계정매핑!$A$5:$A$504,0))&amp;"","비귀속"),""))</f>
        <v/>
      </c>
      <c r="AG3097" s="96">
        <f>IF($A3097="",0,IF(AND(AE3097&lt;&gt;"직접",IFERROR(INDEX(계정매핑!$G$5:$G$504,MATCH($F3097&amp;"",계정매핑!$A$5:$A$504,0))&amp;"","")="유지비",COUNTIF(계정대체기준!$A$6:$A$15,$N3097)&gt;0),IFERROR(INDEX(계정대체기준!$E$6:$E$15,MATCH(VALUE($A3097&amp;""),계정대체기준!$D$6:$D$15,0)),0),0))</f>
        <v/>
      </c>
      <c r="AH3097" s="64">
        <f>IF($A3097="","",IF(AD3097=0,"",IF(OR(COUNTIF(계정대체기준!$A$77:$A$86,$N3097)&gt;0,ISNUMBER(MATCH($X3097,계정대체기준!$D$77:$D$86,0)),ISNUMBER(MATCH($F3097,계정대체기준!$D$77:$D$86,0))),"Y","N")))</f>
        <v/>
      </c>
    </row>
    <row r="3098">
      <c r="A3098" s="92" t="n">
        <v>2026</v>
      </c>
      <c r="B3098" s="92" t="n">
        <v>2</v>
      </c>
      <c r="C3098" s="92" t="inlineStr">
        <is>
          <t>5100000376</t>
        </is>
      </c>
      <c r="D3098" s="95" t="n">
        <v>46070</v>
      </c>
      <c r="E3098" s="92" t="inlineStr">
        <is>
          <t>KR</t>
        </is>
      </c>
      <c r="F3098" s="92" t="n">
        <v>62501000</v>
      </c>
      <c r="G3098" s="92" t="n">
        <v>1701</v>
      </c>
      <c r="H3098" s="93" t="n">
        <v>56000</v>
      </c>
      <c r="I3098" s="92" t="inlineStr">
        <is>
          <t>2월 회의 다과 - (법인카드)</t>
        </is>
      </c>
      <c r="J3098" s="92" t="inlineStr">
        <is>
          <t>V10010</t>
        </is>
      </c>
      <c r="K3098" s="92" t="inlineStr">
        <is>
          <t>(법인카드)</t>
        </is>
      </c>
      <c r="M3098" s="9">
        <f>IF($A3098="","",VALUE($A3098&amp;"")*12+VALUE($B3098&amp;""))</f>
        <v/>
      </c>
      <c r="N3098" s="64">
        <f>IF($A3098="","",IFERROR(INDEX(부서매핑!$C$5:$C$504,MATCH($G3098&amp;"",부서매핑!$A$5:$A$504,0)),"미매핑"))</f>
        <v/>
      </c>
      <c r="O3098" s="9">
        <f>IF($A3098="","",N3098&amp;"|"&amp;$F3098)</f>
        <v/>
      </c>
      <c r="P3098" s="94">
        <f>IF($A3098="",0,$H3098*설정!$C$23)</f>
        <v/>
      </c>
      <c r="Q3098" s="64">
        <f>IF($A3098="","",IF(O3098&lt;&gt;원인분석!$C$9,"",IF(AND(M3098&gt;=원인분석!$C$10,M3098&lt;=원인분석!$C$11),"당기",IF(AND(M3098&gt;=원인분석!$C$12,M3098&lt;=원인분석!$C$13),"비교",""))))</f>
        <v/>
      </c>
      <c r="R3098" s="9">
        <f>IF(Q3098="","",$K3098&amp;"")</f>
        <v/>
      </c>
      <c r="S3098" s="9">
        <f>IF(Q3098="","",IF(MATCH(R3098,$R$5:$R$100000,0)=ROW()-4,ROW(),""))</f>
        <v/>
      </c>
      <c r="T3098" s="9">
        <f>IF(Q3098="당기",ABS(P3098)+ROW()/1000000000,"")</f>
        <v/>
      </c>
      <c r="U3098" s="9">
        <f>IF(Q3098="비교",ABS(P3098)+ROW()/1000000000,"")</f>
        <v/>
      </c>
      <c r="V3098" s="64">
        <f>IF($A3098="","",IF(COUNTIF(변동분석!$E$7:$E$506,O3098)&gt;0,"Y","N"))</f>
        <v/>
      </c>
      <c r="W3098" s="64">
        <f>IF($A3098="","",IFERROR(INDEX(계정매핑!$D$5:$D$504,MATCH($F3098&amp;"",계정매핑!$A$5:$A$504,0)),"미매핑"))</f>
        <v/>
      </c>
      <c r="X3098" s="9">
        <f>IF($A3098="","",$F3098&amp;"")</f>
        <v/>
      </c>
      <c r="Y3098" s="94">
        <f>IF($A3098="",0,IF(AE3098="직접",IF(AF3098="비귀속",$P3098,0),$P3098*(1-AG3098)*IFERROR(INDEX(계정대체기준!$F$20:$F$49,MATCH($N3098,계정대체기준!$A$20:$A$49,0)),1)))</f>
        <v/>
      </c>
      <c r="Z3098" s="94">
        <f>IF($A3098="",0,IF(AE3098="직접",IF(AF3098="신계약비",$P3098,0),$P3098*(1-AG3098)*IFERROR(INDEX(계정대체기준!$C$20:$C$49,MATCH($N3098,계정대체기준!$A$20:$A$49,0)),0)))</f>
        <v/>
      </c>
      <c r="AA3098" s="94">
        <f>IF($A3098="",0,IF(AE3098="직접",IF(OR(AF3098="유지비",AF3098="손해조사비"),$P3098,0),$P3098*(1-AG3098)*IFERROR(INDEX(계정대체기준!$D$20:$D$49,MATCH($N3098,계정대체기준!$A$20:$A$49,0)),0)))</f>
        <v/>
      </c>
      <c r="AB3098" s="94">
        <f>IF($A3098="",0,IF(AE3098="직접",IF(AF3098="수금비",$P3098,0),$P3098*(1-AG3098)*IFERROR(INDEX(계정대체기준!$E$20:$E$49,MATCH($N3098,계정대체기준!$A$20:$A$49,0)),0)))</f>
        <v/>
      </c>
      <c r="AC3098" s="9">
        <f>IF(AND($A3098&lt;&gt;"",M3098=설정!$C$20,Z3098&gt;0),Z3098+ROW()/1000000000,"")</f>
        <v/>
      </c>
      <c r="AD3098" s="94">
        <f>IF($A3098="",0,$P3098*AG3098)</f>
        <v/>
      </c>
      <c r="AE3098" s="64">
        <f>IF($A3098="","",IFERROR(INDEX(계정매핑!$E$5:$E$504,MATCH($F3098&amp;"",계정매핑!$A$5:$A$504,0))&amp;"","공통비"))</f>
        <v/>
      </c>
      <c r="AF3098" s="64">
        <f>IF($A3098="","",IF(AE3098="직접",IFERROR(INDEX(계정매핑!$F$5:$F$504,MATCH($F3098&amp;"",계정매핑!$A$5:$A$504,0))&amp;"","비귀속"),""))</f>
        <v/>
      </c>
      <c r="AG3098" s="96">
        <f>IF($A3098="",0,IF(AND(AE3098&lt;&gt;"직접",IFERROR(INDEX(계정매핑!$G$5:$G$504,MATCH($F3098&amp;"",계정매핑!$A$5:$A$504,0))&amp;"","")="유지비",COUNTIF(계정대체기준!$A$6:$A$15,$N3098)&gt;0),IFERROR(INDEX(계정대체기준!$E$6:$E$15,MATCH(VALUE($A3098&amp;""),계정대체기준!$D$6:$D$15,0)),0),0))</f>
        <v/>
      </c>
      <c r="AH3098" s="64">
        <f>IF($A3098="","",IF(AD3098=0,"",IF(OR(COUNTIF(계정대체기준!$A$77:$A$86,$N3098)&gt;0,ISNUMBER(MATCH($X3098,계정대체기준!$D$77:$D$86,0)),ISNUMBER(MATCH($F3098,계정대체기준!$D$77:$D$86,0))),"Y","N")))</f>
        <v/>
      </c>
    </row>
    <row r="3099">
      <c r="A3099" s="92" t="n">
        <v>2026</v>
      </c>
      <c r="B3099" s="92" t="n">
        <v>2</v>
      </c>
      <c r="C3099" s="92" t="inlineStr">
        <is>
          <t>5100000377</t>
        </is>
      </c>
      <c r="D3099" s="95" t="n">
        <v>46070</v>
      </c>
      <c r="E3099" s="92" t="inlineStr">
        <is>
          <t>KR</t>
        </is>
      </c>
      <c r="F3099" s="92" t="n">
        <v>62601000</v>
      </c>
      <c r="G3099" s="92" t="n">
        <v>1301</v>
      </c>
      <c r="H3099" s="93" t="n">
        <v>1604000</v>
      </c>
      <c r="I3099" s="92" t="inlineStr">
        <is>
          <t>2월 업무추진 - (법인카드)</t>
        </is>
      </c>
      <c r="J3099" s="92" t="inlineStr">
        <is>
          <t>V10010</t>
        </is>
      </c>
      <c r="K3099" s="92" t="inlineStr">
        <is>
          <t>(법인카드)</t>
        </is>
      </c>
      <c r="M3099" s="9">
        <f>IF($A3099="","",VALUE($A3099&amp;"")*12+VALUE($B3099&amp;""))</f>
        <v/>
      </c>
      <c r="N3099" s="64">
        <f>IF($A3099="","",IFERROR(INDEX(부서매핑!$C$5:$C$504,MATCH($G3099&amp;"",부서매핑!$A$5:$A$504,0)),"미매핑"))</f>
        <v/>
      </c>
      <c r="O3099" s="9">
        <f>IF($A3099="","",N3099&amp;"|"&amp;$F3099)</f>
        <v/>
      </c>
      <c r="P3099" s="94">
        <f>IF($A3099="",0,$H3099*설정!$C$23)</f>
        <v/>
      </c>
      <c r="Q3099" s="64">
        <f>IF($A3099="","",IF(O3099&lt;&gt;원인분석!$C$9,"",IF(AND(M3099&gt;=원인분석!$C$10,M3099&lt;=원인분석!$C$11),"당기",IF(AND(M3099&gt;=원인분석!$C$12,M3099&lt;=원인분석!$C$13),"비교",""))))</f>
        <v/>
      </c>
      <c r="R3099" s="9">
        <f>IF(Q3099="","",$K3099&amp;"")</f>
        <v/>
      </c>
      <c r="S3099" s="9">
        <f>IF(Q3099="","",IF(MATCH(R3099,$R$5:$R$100000,0)=ROW()-4,ROW(),""))</f>
        <v/>
      </c>
      <c r="T3099" s="9">
        <f>IF(Q3099="당기",ABS(P3099)+ROW()/1000000000,"")</f>
        <v/>
      </c>
      <c r="U3099" s="9">
        <f>IF(Q3099="비교",ABS(P3099)+ROW()/1000000000,"")</f>
        <v/>
      </c>
      <c r="V3099" s="64">
        <f>IF($A3099="","",IF(COUNTIF(변동분석!$E$7:$E$506,O3099)&gt;0,"Y","N"))</f>
        <v/>
      </c>
      <c r="W3099" s="64">
        <f>IF($A3099="","",IFERROR(INDEX(계정매핑!$D$5:$D$504,MATCH($F3099&amp;"",계정매핑!$A$5:$A$504,0)),"미매핑"))</f>
        <v/>
      </c>
      <c r="X3099" s="9">
        <f>IF($A3099="","",$F3099&amp;"")</f>
        <v/>
      </c>
      <c r="Y3099" s="94">
        <f>IF($A3099="",0,IF(AE3099="직접",IF(AF3099="비귀속",$P3099,0),$P3099*(1-AG3099)*IFERROR(INDEX(계정대체기준!$F$20:$F$49,MATCH($N3099,계정대체기준!$A$20:$A$49,0)),1)))</f>
        <v/>
      </c>
      <c r="Z3099" s="94">
        <f>IF($A3099="",0,IF(AE3099="직접",IF(AF3099="신계약비",$P3099,0),$P3099*(1-AG3099)*IFERROR(INDEX(계정대체기준!$C$20:$C$49,MATCH($N3099,계정대체기준!$A$20:$A$49,0)),0)))</f>
        <v/>
      </c>
      <c r="AA3099" s="94">
        <f>IF($A3099="",0,IF(AE3099="직접",IF(OR(AF3099="유지비",AF3099="손해조사비"),$P3099,0),$P3099*(1-AG3099)*IFERROR(INDEX(계정대체기준!$D$20:$D$49,MATCH($N3099,계정대체기준!$A$20:$A$49,0)),0)))</f>
        <v/>
      </c>
      <c r="AB3099" s="94">
        <f>IF($A3099="",0,IF(AE3099="직접",IF(AF3099="수금비",$P3099,0),$P3099*(1-AG3099)*IFERROR(INDEX(계정대체기준!$E$20:$E$49,MATCH($N3099,계정대체기준!$A$20:$A$49,0)),0)))</f>
        <v/>
      </c>
      <c r="AC3099" s="9">
        <f>IF(AND($A3099&lt;&gt;"",M3099=설정!$C$20,Z3099&gt;0),Z3099+ROW()/1000000000,"")</f>
        <v/>
      </c>
      <c r="AD3099" s="94">
        <f>IF($A3099="",0,$P3099*AG3099)</f>
        <v/>
      </c>
      <c r="AE3099" s="64">
        <f>IF($A3099="","",IFERROR(INDEX(계정매핑!$E$5:$E$504,MATCH($F3099&amp;"",계정매핑!$A$5:$A$504,0))&amp;"","공통비"))</f>
        <v/>
      </c>
      <c r="AF3099" s="64">
        <f>IF($A3099="","",IF(AE3099="직접",IFERROR(INDEX(계정매핑!$F$5:$F$504,MATCH($F3099&amp;"",계정매핑!$A$5:$A$504,0))&amp;"","비귀속"),""))</f>
        <v/>
      </c>
      <c r="AG3099" s="96">
        <f>IF($A3099="",0,IF(AND(AE3099&lt;&gt;"직접",IFERROR(INDEX(계정매핑!$G$5:$G$504,MATCH($F3099&amp;"",계정매핑!$A$5:$A$504,0))&amp;"","")="유지비",COUNTIF(계정대체기준!$A$6:$A$15,$N3099)&gt;0),IFERROR(INDEX(계정대체기준!$E$6:$E$15,MATCH(VALUE($A3099&amp;""),계정대체기준!$D$6:$D$15,0)),0),0))</f>
        <v/>
      </c>
      <c r="AH3099" s="64">
        <f>IF($A3099="","",IF(AD3099=0,"",IF(OR(COUNTIF(계정대체기준!$A$77:$A$86,$N3099)&gt;0,ISNUMBER(MATCH($X3099,계정대체기준!$D$77:$D$86,0)),ISNUMBER(MATCH($F3099,계정대체기준!$D$77:$D$86,0))),"Y","N")))</f>
        <v/>
      </c>
    </row>
    <row r="3100">
      <c r="A3100" s="92" t="n">
        <v>2026</v>
      </c>
      <c r="B3100" s="92" t="n">
        <v>2</v>
      </c>
      <c r="C3100" s="92" t="inlineStr">
        <is>
          <t>5100000378</t>
        </is>
      </c>
      <c r="D3100" s="95" t="n">
        <v>46070</v>
      </c>
      <c r="E3100" s="92" t="inlineStr">
        <is>
          <t>KR</t>
        </is>
      </c>
      <c r="F3100" s="92" t="n">
        <v>62901000</v>
      </c>
      <c r="G3100" s="92" t="n">
        <v>1401</v>
      </c>
      <c r="H3100" s="93" t="n">
        <v>4502000</v>
      </c>
      <c r="I3100" s="92" t="inlineStr">
        <is>
          <t>2월 자문 수수료 - K회계법인</t>
        </is>
      </c>
      <c r="J3100" s="92" t="inlineStr">
        <is>
          <t>V10011</t>
        </is>
      </c>
      <c r="K3100" s="92" t="inlineStr">
        <is>
          <t>K회계법인</t>
        </is>
      </c>
      <c r="M3100" s="9">
        <f>IF($A3100="","",VALUE($A3100&amp;"")*12+VALUE($B3100&amp;""))</f>
        <v/>
      </c>
      <c r="N3100" s="64">
        <f>IF($A3100="","",IFERROR(INDEX(부서매핑!$C$5:$C$504,MATCH($G3100&amp;"",부서매핑!$A$5:$A$504,0)),"미매핑"))</f>
        <v/>
      </c>
      <c r="O3100" s="9">
        <f>IF($A3100="","",N3100&amp;"|"&amp;$F3100)</f>
        <v/>
      </c>
      <c r="P3100" s="94">
        <f>IF($A3100="",0,$H3100*설정!$C$23)</f>
        <v/>
      </c>
      <c r="Q3100" s="64">
        <f>IF($A3100="","",IF(O3100&lt;&gt;원인분석!$C$9,"",IF(AND(M3100&gt;=원인분석!$C$10,M3100&lt;=원인분석!$C$11),"당기",IF(AND(M3100&gt;=원인분석!$C$12,M3100&lt;=원인분석!$C$13),"비교",""))))</f>
        <v/>
      </c>
      <c r="R3100" s="9">
        <f>IF(Q3100="","",$K3100&amp;"")</f>
        <v/>
      </c>
      <c r="S3100" s="9">
        <f>IF(Q3100="","",IF(MATCH(R3100,$R$5:$R$100000,0)=ROW()-4,ROW(),""))</f>
        <v/>
      </c>
      <c r="T3100" s="9">
        <f>IF(Q3100="당기",ABS(P3100)+ROW()/1000000000,"")</f>
        <v/>
      </c>
      <c r="U3100" s="9">
        <f>IF(Q3100="비교",ABS(P3100)+ROW()/1000000000,"")</f>
        <v/>
      </c>
      <c r="V3100" s="64">
        <f>IF($A3100="","",IF(COUNTIF(변동분석!$E$7:$E$506,O3100)&gt;0,"Y","N"))</f>
        <v/>
      </c>
      <c r="W3100" s="64">
        <f>IF($A3100="","",IFERROR(INDEX(계정매핑!$D$5:$D$504,MATCH($F3100&amp;"",계정매핑!$A$5:$A$504,0)),"미매핑"))</f>
        <v/>
      </c>
      <c r="X3100" s="9">
        <f>IF($A3100="","",$F3100&amp;"")</f>
        <v/>
      </c>
      <c r="Y3100" s="94">
        <f>IF($A3100="",0,IF(AE3100="직접",IF(AF3100="비귀속",$P3100,0),$P3100*(1-AG3100)*IFERROR(INDEX(계정대체기준!$F$20:$F$49,MATCH($N3100,계정대체기준!$A$20:$A$49,0)),1)))</f>
        <v/>
      </c>
      <c r="Z3100" s="94">
        <f>IF($A3100="",0,IF(AE3100="직접",IF(AF3100="신계약비",$P3100,0),$P3100*(1-AG3100)*IFERROR(INDEX(계정대체기준!$C$20:$C$49,MATCH($N3100,계정대체기준!$A$20:$A$49,0)),0)))</f>
        <v/>
      </c>
      <c r="AA3100" s="94">
        <f>IF($A3100="",0,IF(AE3100="직접",IF(OR(AF3100="유지비",AF3100="손해조사비"),$P3100,0),$P3100*(1-AG3100)*IFERROR(INDEX(계정대체기준!$D$20:$D$49,MATCH($N3100,계정대체기준!$A$20:$A$49,0)),0)))</f>
        <v/>
      </c>
      <c r="AB3100" s="94">
        <f>IF($A3100="",0,IF(AE3100="직접",IF(AF3100="수금비",$P3100,0),$P3100*(1-AG3100)*IFERROR(INDEX(계정대체기준!$E$20:$E$49,MATCH($N3100,계정대체기준!$A$20:$A$49,0)),0)))</f>
        <v/>
      </c>
      <c r="AC3100" s="9">
        <f>IF(AND($A3100&lt;&gt;"",M3100=설정!$C$20,Z3100&gt;0),Z3100+ROW()/1000000000,"")</f>
        <v/>
      </c>
      <c r="AD3100" s="94">
        <f>IF($A3100="",0,$P3100*AG3100)</f>
        <v/>
      </c>
      <c r="AE3100" s="64">
        <f>IF($A3100="","",IFERROR(INDEX(계정매핑!$E$5:$E$504,MATCH($F3100&amp;"",계정매핑!$A$5:$A$504,0))&amp;"","공통비"))</f>
        <v/>
      </c>
      <c r="AF3100" s="64">
        <f>IF($A3100="","",IF(AE3100="직접",IFERROR(INDEX(계정매핑!$F$5:$F$504,MATCH($F3100&amp;"",계정매핑!$A$5:$A$504,0))&amp;"","비귀속"),""))</f>
        <v/>
      </c>
      <c r="AG3100" s="96">
        <f>IF($A3100="",0,IF(AND(AE3100&lt;&gt;"직접",IFERROR(INDEX(계정매핑!$G$5:$G$504,MATCH($F3100&amp;"",계정매핑!$A$5:$A$504,0))&amp;"","")="유지비",COUNTIF(계정대체기준!$A$6:$A$15,$N3100)&gt;0),IFERROR(INDEX(계정대체기준!$E$6:$E$15,MATCH(VALUE($A3100&amp;""),계정대체기준!$D$6:$D$15,0)),0),0))</f>
        <v/>
      </c>
      <c r="AH3100" s="64">
        <f>IF($A3100="","",IF(AD3100=0,"",IF(OR(COUNTIF(계정대체기준!$A$77:$A$86,$N3100)&gt;0,ISNUMBER(MATCH($X3100,계정대체기준!$D$77:$D$86,0)),ISNUMBER(MATCH($F3100,계정대체기준!$D$77:$D$86,0))),"Y","N")))</f>
        <v/>
      </c>
    </row>
    <row r="3101">
      <c r="A3101" s="92" t="n">
        <v>2026</v>
      </c>
      <c r="B3101" s="92" t="n">
        <v>2</v>
      </c>
      <c r="C3101" s="92" t="inlineStr">
        <is>
          <t>5100000379</t>
        </is>
      </c>
      <c r="D3101" s="95" t="n">
        <v>46070</v>
      </c>
      <c r="E3101" s="92" t="inlineStr">
        <is>
          <t>KR</t>
        </is>
      </c>
      <c r="F3101" s="92" t="n">
        <v>62902000</v>
      </c>
      <c r="G3101" s="92" t="n">
        <v>1201</v>
      </c>
      <c r="H3101" s="93" t="n">
        <v>3574000</v>
      </c>
      <c r="I3101" s="92" t="inlineStr">
        <is>
          <t>2월 업무 위탁 수수료 - J콜센터</t>
        </is>
      </c>
      <c r="J3101" s="92" t="inlineStr">
        <is>
          <t>V10016</t>
        </is>
      </c>
      <c r="K3101" s="92" t="inlineStr">
        <is>
          <t>J콜센터</t>
        </is>
      </c>
      <c r="M3101" s="9">
        <f>IF($A3101="","",VALUE($A3101&amp;"")*12+VALUE($B3101&amp;""))</f>
        <v/>
      </c>
      <c r="N3101" s="64">
        <f>IF($A3101="","",IFERROR(INDEX(부서매핑!$C$5:$C$504,MATCH($G3101&amp;"",부서매핑!$A$5:$A$504,0)),"미매핑"))</f>
        <v/>
      </c>
      <c r="O3101" s="9">
        <f>IF($A3101="","",N3101&amp;"|"&amp;$F3101)</f>
        <v/>
      </c>
      <c r="P3101" s="94">
        <f>IF($A3101="",0,$H3101*설정!$C$23)</f>
        <v/>
      </c>
      <c r="Q3101" s="64">
        <f>IF($A3101="","",IF(O3101&lt;&gt;원인분석!$C$9,"",IF(AND(M3101&gt;=원인분석!$C$10,M3101&lt;=원인분석!$C$11),"당기",IF(AND(M3101&gt;=원인분석!$C$12,M3101&lt;=원인분석!$C$13),"비교",""))))</f>
        <v/>
      </c>
      <c r="R3101" s="9">
        <f>IF(Q3101="","",$K3101&amp;"")</f>
        <v/>
      </c>
      <c r="S3101" s="9">
        <f>IF(Q3101="","",IF(MATCH(R3101,$R$5:$R$100000,0)=ROW()-4,ROW(),""))</f>
        <v/>
      </c>
      <c r="T3101" s="9">
        <f>IF(Q3101="당기",ABS(P3101)+ROW()/1000000000,"")</f>
        <v/>
      </c>
      <c r="U3101" s="9">
        <f>IF(Q3101="비교",ABS(P3101)+ROW()/1000000000,"")</f>
        <v/>
      </c>
      <c r="V3101" s="64">
        <f>IF($A3101="","",IF(COUNTIF(변동분석!$E$7:$E$506,O3101)&gt;0,"Y","N"))</f>
        <v/>
      </c>
      <c r="W3101" s="64">
        <f>IF($A3101="","",IFERROR(INDEX(계정매핑!$D$5:$D$504,MATCH($F3101&amp;"",계정매핑!$A$5:$A$504,0)),"미매핑"))</f>
        <v/>
      </c>
      <c r="X3101" s="9">
        <f>IF($A3101="","",$F3101&amp;"")</f>
        <v/>
      </c>
      <c r="Y3101" s="94">
        <f>IF($A3101="",0,IF(AE3101="직접",IF(AF3101="비귀속",$P3101,0),$P3101*(1-AG3101)*IFERROR(INDEX(계정대체기준!$F$20:$F$49,MATCH($N3101,계정대체기준!$A$20:$A$49,0)),1)))</f>
        <v/>
      </c>
      <c r="Z3101" s="94">
        <f>IF($A3101="",0,IF(AE3101="직접",IF(AF3101="신계약비",$P3101,0),$P3101*(1-AG3101)*IFERROR(INDEX(계정대체기준!$C$20:$C$49,MATCH($N3101,계정대체기준!$A$20:$A$49,0)),0)))</f>
        <v/>
      </c>
      <c r="AA3101" s="94">
        <f>IF($A3101="",0,IF(AE3101="직접",IF(OR(AF3101="유지비",AF3101="손해조사비"),$P3101,0),$P3101*(1-AG3101)*IFERROR(INDEX(계정대체기준!$D$20:$D$49,MATCH($N3101,계정대체기준!$A$20:$A$49,0)),0)))</f>
        <v/>
      </c>
      <c r="AB3101" s="94">
        <f>IF($A3101="",0,IF(AE3101="직접",IF(AF3101="수금비",$P3101,0),$P3101*(1-AG3101)*IFERROR(INDEX(계정대체기준!$E$20:$E$49,MATCH($N3101,계정대체기준!$A$20:$A$49,0)),0)))</f>
        <v/>
      </c>
      <c r="AC3101" s="9">
        <f>IF(AND($A3101&lt;&gt;"",M3101=설정!$C$20,Z3101&gt;0),Z3101+ROW()/1000000000,"")</f>
        <v/>
      </c>
      <c r="AD3101" s="94">
        <f>IF($A3101="",0,$P3101*AG3101)</f>
        <v/>
      </c>
      <c r="AE3101" s="64">
        <f>IF($A3101="","",IFERROR(INDEX(계정매핑!$E$5:$E$504,MATCH($F3101&amp;"",계정매핑!$A$5:$A$504,0))&amp;"","공통비"))</f>
        <v/>
      </c>
      <c r="AF3101" s="64">
        <f>IF($A3101="","",IF(AE3101="직접",IFERROR(INDEX(계정매핑!$F$5:$F$504,MATCH($F3101&amp;"",계정매핑!$A$5:$A$504,0))&amp;"","비귀속"),""))</f>
        <v/>
      </c>
      <c r="AG3101" s="96">
        <f>IF($A3101="",0,IF(AND(AE3101&lt;&gt;"직접",IFERROR(INDEX(계정매핑!$G$5:$G$504,MATCH($F3101&amp;"",계정매핑!$A$5:$A$504,0))&amp;"","")="유지비",COUNTIF(계정대체기준!$A$6:$A$15,$N3101)&gt;0),IFERROR(INDEX(계정대체기준!$E$6:$E$15,MATCH(VALUE($A3101&amp;""),계정대체기준!$D$6:$D$15,0)),0),0))</f>
        <v/>
      </c>
      <c r="AH3101" s="64">
        <f>IF($A3101="","",IF(AD3101=0,"",IF(OR(COUNTIF(계정대체기준!$A$77:$A$86,$N3101)&gt;0,ISNUMBER(MATCH($X3101,계정대체기준!$D$77:$D$86,0)),ISNUMBER(MATCH($F3101,계정대체기준!$D$77:$D$86,0))),"Y","N")))</f>
        <v/>
      </c>
    </row>
    <row r="3102">
      <c r="A3102" s="92" t="n">
        <v>2026</v>
      </c>
      <c r="B3102" s="92" t="n">
        <v>2</v>
      </c>
      <c r="C3102" s="92" t="inlineStr">
        <is>
          <t>5100000380</t>
        </is>
      </c>
      <c r="D3102" s="95" t="n">
        <v>46070</v>
      </c>
      <c r="E3102" s="92" t="inlineStr">
        <is>
          <t>KR</t>
        </is>
      </c>
      <c r="F3102" s="92" t="n">
        <v>63601000</v>
      </c>
      <c r="G3102" s="92" t="n">
        <v>1801</v>
      </c>
      <c r="H3102" s="93" t="n">
        <v>9755000</v>
      </c>
      <c r="I3102" s="92" t="inlineStr">
        <is>
          <t>2월 손해사정 수수료 - DD손해사정</t>
        </is>
      </c>
      <c r="J3102" s="92" t="inlineStr">
        <is>
          <t>V10032</t>
        </is>
      </c>
      <c r="K3102" s="92" t="inlineStr">
        <is>
          <t>DD손해사정</t>
        </is>
      </c>
      <c r="M3102" s="9">
        <f>IF($A3102="","",VALUE($A3102&amp;"")*12+VALUE($B3102&amp;""))</f>
        <v/>
      </c>
      <c r="N3102" s="64">
        <f>IF($A3102="","",IFERROR(INDEX(부서매핑!$C$5:$C$504,MATCH($G3102&amp;"",부서매핑!$A$5:$A$504,0)),"미매핑"))</f>
        <v/>
      </c>
      <c r="O3102" s="9">
        <f>IF($A3102="","",N3102&amp;"|"&amp;$F3102)</f>
        <v/>
      </c>
      <c r="P3102" s="94">
        <f>IF($A3102="",0,$H3102*설정!$C$23)</f>
        <v/>
      </c>
      <c r="Q3102" s="64">
        <f>IF($A3102="","",IF(O3102&lt;&gt;원인분석!$C$9,"",IF(AND(M3102&gt;=원인분석!$C$10,M3102&lt;=원인분석!$C$11),"당기",IF(AND(M3102&gt;=원인분석!$C$12,M3102&lt;=원인분석!$C$13),"비교",""))))</f>
        <v/>
      </c>
      <c r="R3102" s="9">
        <f>IF(Q3102="","",$K3102&amp;"")</f>
        <v/>
      </c>
      <c r="S3102" s="9">
        <f>IF(Q3102="","",IF(MATCH(R3102,$R$5:$R$100000,0)=ROW()-4,ROW(),""))</f>
        <v/>
      </c>
      <c r="T3102" s="9">
        <f>IF(Q3102="당기",ABS(P3102)+ROW()/1000000000,"")</f>
        <v/>
      </c>
      <c r="U3102" s="9">
        <f>IF(Q3102="비교",ABS(P3102)+ROW()/1000000000,"")</f>
        <v/>
      </c>
      <c r="V3102" s="64">
        <f>IF($A3102="","",IF(COUNTIF(변동분석!$E$7:$E$506,O3102)&gt;0,"Y","N"))</f>
        <v/>
      </c>
      <c r="W3102" s="64">
        <f>IF($A3102="","",IFERROR(INDEX(계정매핑!$D$5:$D$504,MATCH($F3102&amp;"",계정매핑!$A$5:$A$504,0)),"미매핑"))</f>
        <v/>
      </c>
      <c r="X3102" s="9">
        <f>IF($A3102="","",$F3102&amp;"")</f>
        <v/>
      </c>
      <c r="Y3102" s="94">
        <f>IF($A3102="",0,IF(AE3102="직접",IF(AF3102="비귀속",$P3102,0),$P3102*(1-AG3102)*IFERROR(INDEX(계정대체기준!$F$20:$F$49,MATCH($N3102,계정대체기준!$A$20:$A$49,0)),1)))</f>
        <v/>
      </c>
      <c r="Z3102" s="94">
        <f>IF($A3102="",0,IF(AE3102="직접",IF(AF3102="신계약비",$P3102,0),$P3102*(1-AG3102)*IFERROR(INDEX(계정대체기준!$C$20:$C$49,MATCH($N3102,계정대체기준!$A$20:$A$49,0)),0)))</f>
        <v/>
      </c>
      <c r="AA3102" s="94">
        <f>IF($A3102="",0,IF(AE3102="직접",IF(OR(AF3102="유지비",AF3102="손해조사비"),$P3102,0),$P3102*(1-AG3102)*IFERROR(INDEX(계정대체기준!$D$20:$D$49,MATCH($N3102,계정대체기준!$A$20:$A$49,0)),0)))</f>
        <v/>
      </c>
      <c r="AB3102" s="94">
        <f>IF($A3102="",0,IF(AE3102="직접",IF(AF3102="수금비",$P3102,0),$P3102*(1-AG3102)*IFERROR(INDEX(계정대체기준!$E$20:$E$49,MATCH($N3102,계정대체기준!$A$20:$A$49,0)),0)))</f>
        <v/>
      </c>
      <c r="AC3102" s="9">
        <f>IF(AND($A3102&lt;&gt;"",M3102=설정!$C$20,Z3102&gt;0),Z3102+ROW()/1000000000,"")</f>
        <v/>
      </c>
      <c r="AD3102" s="94">
        <f>IF($A3102="",0,$P3102*AG3102)</f>
        <v/>
      </c>
      <c r="AE3102" s="64">
        <f>IF($A3102="","",IFERROR(INDEX(계정매핑!$E$5:$E$504,MATCH($F3102&amp;"",계정매핑!$A$5:$A$504,0))&amp;"","공통비"))</f>
        <v/>
      </c>
      <c r="AF3102" s="64">
        <f>IF($A3102="","",IF(AE3102="직접",IFERROR(INDEX(계정매핑!$F$5:$F$504,MATCH($F3102&amp;"",계정매핑!$A$5:$A$504,0))&amp;"","비귀속"),""))</f>
        <v/>
      </c>
      <c r="AG3102" s="96">
        <f>IF($A3102="",0,IF(AND(AE3102&lt;&gt;"직접",IFERROR(INDEX(계정매핑!$G$5:$G$504,MATCH($F3102&amp;"",계정매핑!$A$5:$A$504,0))&amp;"","")="유지비",COUNTIF(계정대체기준!$A$6:$A$15,$N3102)&gt;0),IFERROR(INDEX(계정대체기준!$E$6:$E$15,MATCH(VALUE($A3102&amp;""),계정대체기준!$D$6:$D$15,0)),0),0))</f>
        <v/>
      </c>
      <c r="AH3102" s="64">
        <f>IF($A3102="","",IF(AD3102=0,"",IF(OR(COUNTIF(계정대체기준!$A$77:$A$86,$N3102)&gt;0,ISNUMBER(MATCH($X3102,계정대체기준!$D$77:$D$86,0)),ISNUMBER(MATCH($F3102,계정대체기준!$D$77:$D$86,0))),"Y","N")))</f>
        <v/>
      </c>
    </row>
    <row r="3103">
      <c r="A3103" s="92" t="n">
        <v>2026</v>
      </c>
      <c r="B3103" s="92" t="n">
        <v>2</v>
      </c>
      <c r="C3103" s="92" t="inlineStr">
        <is>
          <t>5100000381</t>
        </is>
      </c>
      <c r="D3103" s="95" t="n">
        <v>46071</v>
      </c>
      <c r="E3103" s="92" t="inlineStr">
        <is>
          <t>KR</t>
        </is>
      </c>
      <c r="F3103" s="92" t="n">
        <v>62101000</v>
      </c>
      <c r="G3103" s="92" t="n">
        <v>1501</v>
      </c>
      <c r="H3103" s="93" t="n">
        <v>638000</v>
      </c>
      <c r="I3103" s="92" t="inlineStr">
        <is>
          <t>2월 국내출장 - L여행사</t>
        </is>
      </c>
      <c r="J3103" s="92" t="inlineStr">
        <is>
          <t>V10018</t>
        </is>
      </c>
      <c r="K3103" s="92" t="inlineStr">
        <is>
          <t>L여행사</t>
        </is>
      </c>
      <c r="M3103" s="9">
        <f>IF($A3103="","",VALUE($A3103&amp;"")*12+VALUE($B3103&amp;""))</f>
        <v/>
      </c>
      <c r="N3103" s="64">
        <f>IF($A3103="","",IFERROR(INDEX(부서매핑!$C$5:$C$504,MATCH($G3103&amp;"",부서매핑!$A$5:$A$504,0)),"미매핑"))</f>
        <v/>
      </c>
      <c r="O3103" s="9">
        <f>IF($A3103="","",N3103&amp;"|"&amp;$F3103)</f>
        <v/>
      </c>
      <c r="P3103" s="94">
        <f>IF($A3103="",0,$H3103*설정!$C$23)</f>
        <v/>
      </c>
      <c r="Q3103" s="64">
        <f>IF($A3103="","",IF(O3103&lt;&gt;원인분석!$C$9,"",IF(AND(M3103&gt;=원인분석!$C$10,M3103&lt;=원인분석!$C$11),"당기",IF(AND(M3103&gt;=원인분석!$C$12,M3103&lt;=원인분석!$C$13),"비교",""))))</f>
        <v/>
      </c>
      <c r="R3103" s="9">
        <f>IF(Q3103="","",$K3103&amp;"")</f>
        <v/>
      </c>
      <c r="S3103" s="9">
        <f>IF(Q3103="","",IF(MATCH(R3103,$R$5:$R$100000,0)=ROW()-4,ROW(),""))</f>
        <v/>
      </c>
      <c r="T3103" s="9">
        <f>IF(Q3103="당기",ABS(P3103)+ROW()/1000000000,"")</f>
        <v/>
      </c>
      <c r="U3103" s="9">
        <f>IF(Q3103="비교",ABS(P3103)+ROW()/1000000000,"")</f>
        <v/>
      </c>
      <c r="V3103" s="64">
        <f>IF($A3103="","",IF(COUNTIF(변동분석!$E$7:$E$506,O3103)&gt;0,"Y","N"))</f>
        <v/>
      </c>
      <c r="W3103" s="64">
        <f>IF($A3103="","",IFERROR(INDEX(계정매핑!$D$5:$D$504,MATCH($F3103&amp;"",계정매핑!$A$5:$A$504,0)),"미매핑"))</f>
        <v/>
      </c>
      <c r="X3103" s="9">
        <f>IF($A3103="","",$F3103&amp;"")</f>
        <v/>
      </c>
      <c r="Y3103" s="94">
        <f>IF($A3103="",0,IF(AE3103="직접",IF(AF3103="비귀속",$P3103,0),$P3103*(1-AG3103)*IFERROR(INDEX(계정대체기준!$F$20:$F$49,MATCH($N3103,계정대체기준!$A$20:$A$49,0)),1)))</f>
        <v/>
      </c>
      <c r="Z3103" s="94">
        <f>IF($A3103="",0,IF(AE3103="직접",IF(AF3103="신계약비",$P3103,0),$P3103*(1-AG3103)*IFERROR(INDEX(계정대체기준!$C$20:$C$49,MATCH($N3103,계정대체기준!$A$20:$A$49,0)),0)))</f>
        <v/>
      </c>
      <c r="AA3103" s="94">
        <f>IF($A3103="",0,IF(AE3103="직접",IF(OR(AF3103="유지비",AF3103="손해조사비"),$P3103,0),$P3103*(1-AG3103)*IFERROR(INDEX(계정대체기준!$D$20:$D$49,MATCH($N3103,계정대체기준!$A$20:$A$49,0)),0)))</f>
        <v/>
      </c>
      <c r="AB3103" s="94">
        <f>IF($A3103="",0,IF(AE3103="직접",IF(AF3103="수금비",$P3103,0),$P3103*(1-AG3103)*IFERROR(INDEX(계정대체기준!$E$20:$E$49,MATCH($N3103,계정대체기준!$A$20:$A$49,0)),0)))</f>
        <v/>
      </c>
      <c r="AC3103" s="9">
        <f>IF(AND($A3103&lt;&gt;"",M3103=설정!$C$20,Z3103&gt;0),Z3103+ROW()/1000000000,"")</f>
        <v/>
      </c>
      <c r="AD3103" s="94">
        <f>IF($A3103="",0,$P3103*AG3103)</f>
        <v/>
      </c>
      <c r="AE3103" s="64">
        <f>IF($A3103="","",IFERROR(INDEX(계정매핑!$E$5:$E$504,MATCH($F3103&amp;"",계정매핑!$A$5:$A$504,0))&amp;"","공통비"))</f>
        <v/>
      </c>
      <c r="AF3103" s="64">
        <f>IF($A3103="","",IF(AE3103="직접",IFERROR(INDEX(계정매핑!$F$5:$F$504,MATCH($F3103&amp;"",계정매핑!$A$5:$A$504,0))&amp;"","비귀속"),""))</f>
        <v/>
      </c>
      <c r="AG3103" s="96">
        <f>IF($A3103="",0,IF(AND(AE3103&lt;&gt;"직접",IFERROR(INDEX(계정매핑!$G$5:$G$504,MATCH($F3103&amp;"",계정매핑!$A$5:$A$504,0))&amp;"","")="유지비",COUNTIF(계정대체기준!$A$6:$A$15,$N3103)&gt;0),IFERROR(INDEX(계정대체기준!$E$6:$E$15,MATCH(VALUE($A3103&amp;""),계정대체기준!$D$6:$D$15,0)),0),0))</f>
        <v/>
      </c>
      <c r="AH3103" s="64">
        <f>IF($A3103="","",IF(AD3103=0,"",IF(OR(COUNTIF(계정대체기준!$A$77:$A$86,$N3103)&gt;0,ISNUMBER(MATCH($X3103,계정대체기준!$D$77:$D$86,0)),ISNUMBER(MATCH($F3103,계정대체기준!$D$77:$D$86,0))),"Y","N")))</f>
        <v/>
      </c>
    </row>
    <row r="3104">
      <c r="A3104" s="92" t="n">
        <v>2026</v>
      </c>
      <c r="B3104" s="92" t="n">
        <v>2</v>
      </c>
      <c r="C3104" s="92" t="inlineStr">
        <is>
          <t>5100000382</t>
        </is>
      </c>
      <c r="D3104" s="95" t="n">
        <v>46071</v>
      </c>
      <c r="E3104" s="92" t="inlineStr">
        <is>
          <t>KR</t>
        </is>
      </c>
      <c r="F3104" s="92" t="n">
        <v>62102000</v>
      </c>
      <c r="G3104" s="92" t="n">
        <v>1101</v>
      </c>
      <c r="H3104" s="93" t="n">
        <v>191000</v>
      </c>
      <c r="I3104" s="92" t="inlineStr">
        <is>
          <t>2월 해외출장 - M항공</t>
        </is>
      </c>
      <c r="J3104" s="92" t="inlineStr">
        <is>
          <t>V10001</t>
        </is>
      </c>
      <c r="K3104" s="92" t="inlineStr">
        <is>
          <t>M항공</t>
        </is>
      </c>
      <c r="M3104" s="9">
        <f>IF($A3104="","",VALUE($A3104&amp;"")*12+VALUE($B3104&amp;""))</f>
        <v/>
      </c>
      <c r="N3104" s="64">
        <f>IF($A3104="","",IFERROR(INDEX(부서매핑!$C$5:$C$504,MATCH($G3104&amp;"",부서매핑!$A$5:$A$504,0)),"미매핑"))</f>
        <v/>
      </c>
      <c r="O3104" s="9">
        <f>IF($A3104="","",N3104&amp;"|"&amp;$F3104)</f>
        <v/>
      </c>
      <c r="P3104" s="94">
        <f>IF($A3104="",0,$H3104*설정!$C$23)</f>
        <v/>
      </c>
      <c r="Q3104" s="64">
        <f>IF($A3104="","",IF(O3104&lt;&gt;원인분석!$C$9,"",IF(AND(M3104&gt;=원인분석!$C$10,M3104&lt;=원인분석!$C$11),"당기",IF(AND(M3104&gt;=원인분석!$C$12,M3104&lt;=원인분석!$C$13),"비교",""))))</f>
        <v/>
      </c>
      <c r="R3104" s="9">
        <f>IF(Q3104="","",$K3104&amp;"")</f>
        <v/>
      </c>
      <c r="S3104" s="9">
        <f>IF(Q3104="","",IF(MATCH(R3104,$R$5:$R$100000,0)=ROW()-4,ROW(),""))</f>
        <v/>
      </c>
      <c r="T3104" s="9">
        <f>IF(Q3104="당기",ABS(P3104)+ROW()/1000000000,"")</f>
        <v/>
      </c>
      <c r="U3104" s="9">
        <f>IF(Q3104="비교",ABS(P3104)+ROW()/1000000000,"")</f>
        <v/>
      </c>
      <c r="V3104" s="64">
        <f>IF($A3104="","",IF(COUNTIF(변동분석!$E$7:$E$506,O3104)&gt;0,"Y","N"))</f>
        <v/>
      </c>
      <c r="W3104" s="64">
        <f>IF($A3104="","",IFERROR(INDEX(계정매핑!$D$5:$D$504,MATCH($F3104&amp;"",계정매핑!$A$5:$A$504,0)),"미매핑"))</f>
        <v/>
      </c>
      <c r="X3104" s="9">
        <f>IF($A3104="","",$F3104&amp;"")</f>
        <v/>
      </c>
      <c r="Y3104" s="94">
        <f>IF($A3104="",0,IF(AE3104="직접",IF(AF3104="비귀속",$P3104,0),$P3104*(1-AG3104)*IFERROR(INDEX(계정대체기준!$F$20:$F$49,MATCH($N3104,계정대체기준!$A$20:$A$49,0)),1)))</f>
        <v/>
      </c>
      <c r="Z3104" s="94">
        <f>IF($A3104="",0,IF(AE3104="직접",IF(AF3104="신계약비",$P3104,0),$P3104*(1-AG3104)*IFERROR(INDEX(계정대체기준!$C$20:$C$49,MATCH($N3104,계정대체기준!$A$20:$A$49,0)),0)))</f>
        <v/>
      </c>
      <c r="AA3104" s="94">
        <f>IF($A3104="",0,IF(AE3104="직접",IF(OR(AF3104="유지비",AF3104="손해조사비"),$P3104,0),$P3104*(1-AG3104)*IFERROR(INDEX(계정대체기준!$D$20:$D$49,MATCH($N3104,계정대체기준!$A$20:$A$49,0)),0)))</f>
        <v/>
      </c>
      <c r="AB3104" s="94">
        <f>IF($A3104="",0,IF(AE3104="직접",IF(AF3104="수금비",$P3104,0),$P3104*(1-AG3104)*IFERROR(INDEX(계정대체기준!$E$20:$E$49,MATCH($N3104,계정대체기준!$A$20:$A$49,0)),0)))</f>
        <v/>
      </c>
      <c r="AC3104" s="9">
        <f>IF(AND($A3104&lt;&gt;"",M3104=설정!$C$20,Z3104&gt;0),Z3104+ROW()/1000000000,"")</f>
        <v/>
      </c>
      <c r="AD3104" s="94">
        <f>IF($A3104="",0,$P3104*AG3104)</f>
        <v/>
      </c>
      <c r="AE3104" s="64">
        <f>IF($A3104="","",IFERROR(INDEX(계정매핑!$E$5:$E$504,MATCH($F3104&amp;"",계정매핑!$A$5:$A$504,0))&amp;"","공통비"))</f>
        <v/>
      </c>
      <c r="AF3104" s="64">
        <f>IF($A3104="","",IF(AE3104="직접",IFERROR(INDEX(계정매핑!$F$5:$F$504,MATCH($F3104&amp;"",계정매핑!$A$5:$A$504,0))&amp;"","비귀속"),""))</f>
        <v/>
      </c>
      <c r="AG3104" s="96">
        <f>IF($A3104="",0,IF(AND(AE3104&lt;&gt;"직접",IFERROR(INDEX(계정매핑!$G$5:$G$504,MATCH($F3104&amp;"",계정매핑!$A$5:$A$504,0))&amp;"","")="유지비",COUNTIF(계정대체기준!$A$6:$A$15,$N3104)&gt;0),IFERROR(INDEX(계정대체기준!$E$6:$E$15,MATCH(VALUE($A3104&amp;""),계정대체기준!$D$6:$D$15,0)),0),0))</f>
        <v/>
      </c>
      <c r="AH3104" s="64">
        <f>IF($A3104="","",IF(AD3104=0,"",IF(OR(COUNTIF(계정대체기준!$A$77:$A$86,$N3104)&gt;0,ISNUMBER(MATCH($X3104,계정대체기준!$D$77:$D$86,0)),ISNUMBER(MATCH($F3104,계정대체기준!$D$77:$D$86,0))),"Y","N")))</f>
        <v/>
      </c>
    </row>
    <row r="3105">
      <c r="A3105" s="92" t="n">
        <v>2026</v>
      </c>
      <c r="B3105" s="92" t="n">
        <v>2</v>
      </c>
      <c r="C3105" s="92" t="inlineStr">
        <is>
          <t>5100000383</t>
        </is>
      </c>
      <c r="D3105" s="95" t="n">
        <v>46071</v>
      </c>
      <c r="E3105" s="92" t="inlineStr">
        <is>
          <t>KR</t>
        </is>
      </c>
      <c r="F3105" s="92" t="n">
        <v>62102000</v>
      </c>
      <c r="G3105" s="92" t="n">
        <v>1602</v>
      </c>
      <c r="H3105" s="93" t="n">
        <v>392000</v>
      </c>
      <c r="I3105" s="92" t="inlineStr">
        <is>
          <t>2월 해외출장 - N호텔</t>
        </is>
      </c>
      <c r="J3105" s="92" t="inlineStr">
        <is>
          <t>V10009</t>
        </is>
      </c>
      <c r="K3105" s="92" t="inlineStr">
        <is>
          <t>N호텔</t>
        </is>
      </c>
      <c r="M3105" s="9">
        <f>IF($A3105="","",VALUE($A3105&amp;"")*12+VALUE($B3105&amp;""))</f>
        <v/>
      </c>
      <c r="N3105" s="64">
        <f>IF($A3105="","",IFERROR(INDEX(부서매핑!$C$5:$C$504,MATCH($G3105&amp;"",부서매핑!$A$5:$A$504,0)),"미매핑"))</f>
        <v/>
      </c>
      <c r="O3105" s="9">
        <f>IF($A3105="","",N3105&amp;"|"&amp;$F3105)</f>
        <v/>
      </c>
      <c r="P3105" s="94">
        <f>IF($A3105="",0,$H3105*설정!$C$23)</f>
        <v/>
      </c>
      <c r="Q3105" s="64">
        <f>IF($A3105="","",IF(O3105&lt;&gt;원인분석!$C$9,"",IF(AND(M3105&gt;=원인분석!$C$10,M3105&lt;=원인분석!$C$11),"당기",IF(AND(M3105&gt;=원인분석!$C$12,M3105&lt;=원인분석!$C$13),"비교",""))))</f>
        <v/>
      </c>
      <c r="R3105" s="9">
        <f>IF(Q3105="","",$K3105&amp;"")</f>
        <v/>
      </c>
      <c r="S3105" s="9">
        <f>IF(Q3105="","",IF(MATCH(R3105,$R$5:$R$100000,0)=ROW()-4,ROW(),""))</f>
        <v/>
      </c>
      <c r="T3105" s="9">
        <f>IF(Q3105="당기",ABS(P3105)+ROW()/1000000000,"")</f>
        <v/>
      </c>
      <c r="U3105" s="9">
        <f>IF(Q3105="비교",ABS(P3105)+ROW()/1000000000,"")</f>
        <v/>
      </c>
      <c r="V3105" s="64">
        <f>IF($A3105="","",IF(COUNTIF(변동분석!$E$7:$E$506,O3105)&gt;0,"Y","N"))</f>
        <v/>
      </c>
      <c r="W3105" s="64">
        <f>IF($A3105="","",IFERROR(INDEX(계정매핑!$D$5:$D$504,MATCH($F3105&amp;"",계정매핑!$A$5:$A$504,0)),"미매핑"))</f>
        <v/>
      </c>
      <c r="X3105" s="9">
        <f>IF($A3105="","",$F3105&amp;"")</f>
        <v/>
      </c>
      <c r="Y3105" s="94">
        <f>IF($A3105="",0,IF(AE3105="직접",IF(AF3105="비귀속",$P3105,0),$P3105*(1-AG3105)*IFERROR(INDEX(계정대체기준!$F$20:$F$49,MATCH($N3105,계정대체기준!$A$20:$A$49,0)),1)))</f>
        <v/>
      </c>
      <c r="Z3105" s="94">
        <f>IF($A3105="",0,IF(AE3105="직접",IF(AF3105="신계약비",$P3105,0),$P3105*(1-AG3105)*IFERROR(INDEX(계정대체기준!$C$20:$C$49,MATCH($N3105,계정대체기준!$A$20:$A$49,0)),0)))</f>
        <v/>
      </c>
      <c r="AA3105" s="94">
        <f>IF($A3105="",0,IF(AE3105="직접",IF(OR(AF3105="유지비",AF3105="손해조사비"),$P3105,0),$P3105*(1-AG3105)*IFERROR(INDEX(계정대체기준!$D$20:$D$49,MATCH($N3105,계정대체기준!$A$20:$A$49,0)),0)))</f>
        <v/>
      </c>
      <c r="AB3105" s="94">
        <f>IF($A3105="",0,IF(AE3105="직접",IF(AF3105="수금비",$P3105,0),$P3105*(1-AG3105)*IFERROR(INDEX(계정대체기준!$E$20:$E$49,MATCH($N3105,계정대체기준!$A$20:$A$49,0)),0)))</f>
        <v/>
      </c>
      <c r="AC3105" s="9">
        <f>IF(AND($A3105&lt;&gt;"",M3105=설정!$C$20,Z3105&gt;0),Z3105+ROW()/1000000000,"")</f>
        <v/>
      </c>
      <c r="AD3105" s="94">
        <f>IF($A3105="",0,$P3105*AG3105)</f>
        <v/>
      </c>
      <c r="AE3105" s="64">
        <f>IF($A3105="","",IFERROR(INDEX(계정매핑!$E$5:$E$504,MATCH($F3105&amp;"",계정매핑!$A$5:$A$504,0))&amp;"","공통비"))</f>
        <v/>
      </c>
      <c r="AF3105" s="64">
        <f>IF($A3105="","",IF(AE3105="직접",IFERROR(INDEX(계정매핑!$F$5:$F$504,MATCH($F3105&amp;"",계정매핑!$A$5:$A$504,0))&amp;"","비귀속"),""))</f>
        <v/>
      </c>
      <c r="AG3105" s="96">
        <f>IF($A3105="",0,IF(AND(AE3105&lt;&gt;"직접",IFERROR(INDEX(계정매핑!$G$5:$G$504,MATCH($F3105&amp;"",계정매핑!$A$5:$A$504,0))&amp;"","")="유지비",COUNTIF(계정대체기준!$A$6:$A$15,$N3105)&gt;0),IFERROR(INDEX(계정대체기준!$E$6:$E$15,MATCH(VALUE($A3105&amp;""),계정대체기준!$D$6:$D$15,0)),0),0))</f>
        <v/>
      </c>
      <c r="AH3105" s="64">
        <f>IF($A3105="","",IF(AD3105=0,"",IF(OR(COUNTIF(계정대체기준!$A$77:$A$86,$N3105)&gt;0,ISNUMBER(MATCH($X3105,계정대체기준!$D$77:$D$86,0)),ISNUMBER(MATCH($F3105,계정대체기준!$D$77:$D$86,0))),"Y","N")))</f>
        <v/>
      </c>
    </row>
    <row r="3106">
      <c r="A3106" s="92" t="n">
        <v>2026</v>
      </c>
      <c r="B3106" s="92" t="n">
        <v>2</v>
      </c>
      <c r="C3106" s="92" t="inlineStr">
        <is>
          <t>5100000384</t>
        </is>
      </c>
      <c r="D3106" s="95" t="n">
        <v>46071</v>
      </c>
      <c r="E3106" s="92" t="inlineStr">
        <is>
          <t>KR</t>
        </is>
      </c>
      <c r="F3106" s="92" t="n">
        <v>62102000</v>
      </c>
      <c r="G3106" s="92" t="n">
        <v>1801</v>
      </c>
      <c r="H3106" s="93" t="n">
        <v>33000</v>
      </c>
      <c r="I3106" s="92" t="inlineStr">
        <is>
          <t>2월 해외출장 - N호텔</t>
        </is>
      </c>
      <c r="J3106" s="92" t="inlineStr">
        <is>
          <t>V10009</t>
        </is>
      </c>
      <c r="K3106" s="92" t="inlineStr">
        <is>
          <t>N호텔</t>
        </is>
      </c>
      <c r="M3106" s="9">
        <f>IF($A3106="","",VALUE($A3106&amp;"")*12+VALUE($B3106&amp;""))</f>
        <v/>
      </c>
      <c r="N3106" s="64">
        <f>IF($A3106="","",IFERROR(INDEX(부서매핑!$C$5:$C$504,MATCH($G3106&amp;"",부서매핑!$A$5:$A$504,0)),"미매핑"))</f>
        <v/>
      </c>
      <c r="O3106" s="9">
        <f>IF($A3106="","",N3106&amp;"|"&amp;$F3106)</f>
        <v/>
      </c>
      <c r="P3106" s="94">
        <f>IF($A3106="",0,$H3106*설정!$C$23)</f>
        <v/>
      </c>
      <c r="Q3106" s="64">
        <f>IF($A3106="","",IF(O3106&lt;&gt;원인분석!$C$9,"",IF(AND(M3106&gt;=원인분석!$C$10,M3106&lt;=원인분석!$C$11),"당기",IF(AND(M3106&gt;=원인분석!$C$12,M3106&lt;=원인분석!$C$13),"비교",""))))</f>
        <v/>
      </c>
      <c r="R3106" s="9">
        <f>IF(Q3106="","",$K3106&amp;"")</f>
        <v/>
      </c>
      <c r="S3106" s="9">
        <f>IF(Q3106="","",IF(MATCH(R3106,$R$5:$R$100000,0)=ROW()-4,ROW(),""))</f>
        <v/>
      </c>
      <c r="T3106" s="9">
        <f>IF(Q3106="당기",ABS(P3106)+ROW()/1000000000,"")</f>
        <v/>
      </c>
      <c r="U3106" s="9">
        <f>IF(Q3106="비교",ABS(P3106)+ROW()/1000000000,"")</f>
        <v/>
      </c>
      <c r="V3106" s="64">
        <f>IF($A3106="","",IF(COUNTIF(변동분석!$E$7:$E$506,O3106)&gt;0,"Y","N"))</f>
        <v/>
      </c>
      <c r="W3106" s="64">
        <f>IF($A3106="","",IFERROR(INDEX(계정매핑!$D$5:$D$504,MATCH($F3106&amp;"",계정매핑!$A$5:$A$504,0)),"미매핑"))</f>
        <v/>
      </c>
      <c r="X3106" s="9">
        <f>IF($A3106="","",$F3106&amp;"")</f>
        <v/>
      </c>
      <c r="Y3106" s="94">
        <f>IF($A3106="",0,IF(AE3106="직접",IF(AF3106="비귀속",$P3106,0),$P3106*(1-AG3106)*IFERROR(INDEX(계정대체기준!$F$20:$F$49,MATCH($N3106,계정대체기준!$A$20:$A$49,0)),1)))</f>
        <v/>
      </c>
      <c r="Z3106" s="94">
        <f>IF($A3106="",0,IF(AE3106="직접",IF(AF3106="신계약비",$P3106,0),$P3106*(1-AG3106)*IFERROR(INDEX(계정대체기준!$C$20:$C$49,MATCH($N3106,계정대체기준!$A$20:$A$49,0)),0)))</f>
        <v/>
      </c>
      <c r="AA3106" s="94">
        <f>IF($A3106="",0,IF(AE3106="직접",IF(OR(AF3106="유지비",AF3106="손해조사비"),$P3106,0),$P3106*(1-AG3106)*IFERROR(INDEX(계정대체기준!$D$20:$D$49,MATCH($N3106,계정대체기준!$A$20:$A$49,0)),0)))</f>
        <v/>
      </c>
      <c r="AB3106" s="94">
        <f>IF($A3106="",0,IF(AE3106="직접",IF(AF3106="수금비",$P3106,0),$P3106*(1-AG3106)*IFERROR(INDEX(계정대체기준!$E$20:$E$49,MATCH($N3106,계정대체기준!$A$20:$A$49,0)),0)))</f>
        <v/>
      </c>
      <c r="AC3106" s="9">
        <f>IF(AND($A3106&lt;&gt;"",M3106=설정!$C$20,Z3106&gt;0),Z3106+ROW()/1000000000,"")</f>
        <v/>
      </c>
      <c r="AD3106" s="94">
        <f>IF($A3106="",0,$P3106*AG3106)</f>
        <v/>
      </c>
      <c r="AE3106" s="64">
        <f>IF($A3106="","",IFERROR(INDEX(계정매핑!$E$5:$E$504,MATCH($F3106&amp;"",계정매핑!$A$5:$A$504,0))&amp;"","공통비"))</f>
        <v/>
      </c>
      <c r="AF3106" s="64">
        <f>IF($A3106="","",IF(AE3106="직접",IFERROR(INDEX(계정매핑!$F$5:$F$504,MATCH($F3106&amp;"",계정매핑!$A$5:$A$504,0))&amp;"","비귀속"),""))</f>
        <v/>
      </c>
      <c r="AG3106" s="96">
        <f>IF($A3106="",0,IF(AND(AE3106&lt;&gt;"직접",IFERROR(INDEX(계정매핑!$G$5:$G$504,MATCH($F3106&amp;"",계정매핑!$A$5:$A$504,0))&amp;"","")="유지비",COUNTIF(계정대체기준!$A$6:$A$15,$N3106)&gt;0),IFERROR(INDEX(계정대체기준!$E$6:$E$15,MATCH(VALUE($A3106&amp;""),계정대체기준!$D$6:$D$15,0)),0),0))</f>
        <v/>
      </c>
      <c r="AH3106" s="64">
        <f>IF($A3106="","",IF(AD3106=0,"",IF(OR(COUNTIF(계정대체기준!$A$77:$A$86,$N3106)&gt;0,ISNUMBER(MATCH($X3106,계정대체기준!$D$77:$D$86,0)),ISNUMBER(MATCH($F3106,계정대체기준!$D$77:$D$86,0))),"Y","N")))</f>
        <v/>
      </c>
    </row>
    <row r="3107">
      <c r="A3107" s="92" t="n">
        <v>2026</v>
      </c>
      <c r="B3107" s="92" t="n">
        <v>2</v>
      </c>
      <c r="C3107" s="92" t="inlineStr">
        <is>
          <t>5100000385</t>
        </is>
      </c>
      <c r="D3107" s="95" t="n">
        <v>46071</v>
      </c>
      <c r="E3107" s="92" t="inlineStr">
        <is>
          <t>KR</t>
        </is>
      </c>
      <c r="F3107" s="92" t="n">
        <v>62401000</v>
      </c>
      <c r="G3107" s="92" t="n">
        <v>1801</v>
      </c>
      <c r="H3107" s="93" t="n">
        <v>2073000</v>
      </c>
      <c r="I3107" s="92" t="inlineStr">
        <is>
          <t>2월 인쇄물 제작 - G인쇄</t>
        </is>
      </c>
      <c r="J3107" s="92" t="inlineStr">
        <is>
          <t>V10004</t>
        </is>
      </c>
      <c r="K3107" s="92" t="inlineStr">
        <is>
          <t>G인쇄</t>
        </is>
      </c>
      <c r="M3107" s="9">
        <f>IF($A3107="","",VALUE($A3107&amp;"")*12+VALUE($B3107&amp;""))</f>
        <v/>
      </c>
      <c r="N3107" s="64">
        <f>IF($A3107="","",IFERROR(INDEX(부서매핑!$C$5:$C$504,MATCH($G3107&amp;"",부서매핑!$A$5:$A$504,0)),"미매핑"))</f>
        <v/>
      </c>
      <c r="O3107" s="9">
        <f>IF($A3107="","",N3107&amp;"|"&amp;$F3107)</f>
        <v/>
      </c>
      <c r="P3107" s="94">
        <f>IF($A3107="",0,$H3107*설정!$C$23)</f>
        <v/>
      </c>
      <c r="Q3107" s="64">
        <f>IF($A3107="","",IF(O3107&lt;&gt;원인분석!$C$9,"",IF(AND(M3107&gt;=원인분석!$C$10,M3107&lt;=원인분석!$C$11),"당기",IF(AND(M3107&gt;=원인분석!$C$12,M3107&lt;=원인분석!$C$13),"비교",""))))</f>
        <v/>
      </c>
      <c r="R3107" s="9">
        <f>IF(Q3107="","",$K3107&amp;"")</f>
        <v/>
      </c>
      <c r="S3107" s="9">
        <f>IF(Q3107="","",IF(MATCH(R3107,$R$5:$R$100000,0)=ROW()-4,ROW(),""))</f>
        <v/>
      </c>
      <c r="T3107" s="9">
        <f>IF(Q3107="당기",ABS(P3107)+ROW()/1000000000,"")</f>
        <v/>
      </c>
      <c r="U3107" s="9">
        <f>IF(Q3107="비교",ABS(P3107)+ROW()/1000000000,"")</f>
        <v/>
      </c>
      <c r="V3107" s="64">
        <f>IF($A3107="","",IF(COUNTIF(변동분석!$E$7:$E$506,O3107)&gt;0,"Y","N"))</f>
        <v/>
      </c>
      <c r="W3107" s="64">
        <f>IF($A3107="","",IFERROR(INDEX(계정매핑!$D$5:$D$504,MATCH($F3107&amp;"",계정매핑!$A$5:$A$504,0)),"미매핑"))</f>
        <v/>
      </c>
      <c r="X3107" s="9">
        <f>IF($A3107="","",$F3107&amp;"")</f>
        <v/>
      </c>
      <c r="Y3107" s="94">
        <f>IF($A3107="",0,IF(AE3107="직접",IF(AF3107="비귀속",$P3107,0),$P3107*(1-AG3107)*IFERROR(INDEX(계정대체기준!$F$20:$F$49,MATCH($N3107,계정대체기준!$A$20:$A$49,0)),1)))</f>
        <v/>
      </c>
      <c r="Z3107" s="94">
        <f>IF($A3107="",0,IF(AE3107="직접",IF(AF3107="신계약비",$P3107,0),$P3107*(1-AG3107)*IFERROR(INDEX(계정대체기준!$C$20:$C$49,MATCH($N3107,계정대체기준!$A$20:$A$49,0)),0)))</f>
        <v/>
      </c>
      <c r="AA3107" s="94">
        <f>IF($A3107="",0,IF(AE3107="직접",IF(OR(AF3107="유지비",AF3107="손해조사비"),$P3107,0),$P3107*(1-AG3107)*IFERROR(INDEX(계정대체기준!$D$20:$D$49,MATCH($N3107,계정대체기준!$A$20:$A$49,0)),0)))</f>
        <v/>
      </c>
      <c r="AB3107" s="94">
        <f>IF($A3107="",0,IF(AE3107="직접",IF(AF3107="수금비",$P3107,0),$P3107*(1-AG3107)*IFERROR(INDEX(계정대체기준!$E$20:$E$49,MATCH($N3107,계정대체기준!$A$20:$A$49,0)),0)))</f>
        <v/>
      </c>
      <c r="AC3107" s="9">
        <f>IF(AND($A3107&lt;&gt;"",M3107=설정!$C$20,Z3107&gt;0),Z3107+ROW()/1000000000,"")</f>
        <v/>
      </c>
      <c r="AD3107" s="94">
        <f>IF($A3107="",0,$P3107*AG3107)</f>
        <v/>
      </c>
      <c r="AE3107" s="64">
        <f>IF($A3107="","",IFERROR(INDEX(계정매핑!$E$5:$E$504,MATCH($F3107&amp;"",계정매핑!$A$5:$A$504,0))&amp;"","공통비"))</f>
        <v/>
      </c>
      <c r="AF3107" s="64">
        <f>IF($A3107="","",IF(AE3107="직접",IFERROR(INDEX(계정매핑!$F$5:$F$504,MATCH($F3107&amp;"",계정매핑!$A$5:$A$504,0))&amp;"","비귀속"),""))</f>
        <v/>
      </c>
      <c r="AG3107" s="96">
        <f>IF($A3107="",0,IF(AND(AE3107&lt;&gt;"직접",IFERROR(INDEX(계정매핑!$G$5:$G$504,MATCH($F3107&amp;"",계정매핑!$A$5:$A$504,0))&amp;"","")="유지비",COUNTIF(계정대체기준!$A$6:$A$15,$N3107)&gt;0),IFERROR(INDEX(계정대체기준!$E$6:$E$15,MATCH(VALUE($A3107&amp;""),계정대체기준!$D$6:$D$15,0)),0),0))</f>
        <v/>
      </c>
      <c r="AH3107" s="64">
        <f>IF($A3107="","",IF(AD3107=0,"",IF(OR(COUNTIF(계정대체기준!$A$77:$A$86,$N3107)&gt;0,ISNUMBER(MATCH($X3107,계정대체기준!$D$77:$D$86,0)),ISNUMBER(MATCH($F3107,계정대체기준!$D$77:$D$86,0))),"Y","N")))</f>
        <v/>
      </c>
    </row>
    <row r="3108">
      <c r="A3108" s="92" t="n">
        <v>2026</v>
      </c>
      <c r="B3108" s="92" t="n">
        <v>2</v>
      </c>
      <c r="C3108" s="92" t="inlineStr">
        <is>
          <t>5100000386</t>
        </is>
      </c>
      <c r="D3108" s="95" t="n">
        <v>46071</v>
      </c>
      <c r="E3108" s="92" t="inlineStr">
        <is>
          <t>KR</t>
        </is>
      </c>
      <c r="F3108" s="92" t="n">
        <v>62501000</v>
      </c>
      <c r="G3108" s="92" t="n">
        <v>1602</v>
      </c>
      <c r="H3108" s="93" t="n">
        <v>342000</v>
      </c>
      <c r="I3108" s="92" t="inlineStr">
        <is>
          <t>2월 회의 다과 - T케이터링</t>
        </is>
      </c>
      <c r="J3108" s="92" t="inlineStr">
        <is>
          <t>V10005</t>
        </is>
      </c>
      <c r="K3108" s="92" t="inlineStr">
        <is>
          <t>T케이터링</t>
        </is>
      </c>
      <c r="M3108" s="9">
        <f>IF($A3108="","",VALUE($A3108&amp;"")*12+VALUE($B3108&amp;""))</f>
        <v/>
      </c>
      <c r="N3108" s="64">
        <f>IF($A3108="","",IFERROR(INDEX(부서매핑!$C$5:$C$504,MATCH($G3108&amp;"",부서매핑!$A$5:$A$504,0)),"미매핑"))</f>
        <v/>
      </c>
      <c r="O3108" s="9">
        <f>IF($A3108="","",N3108&amp;"|"&amp;$F3108)</f>
        <v/>
      </c>
      <c r="P3108" s="94">
        <f>IF($A3108="",0,$H3108*설정!$C$23)</f>
        <v/>
      </c>
      <c r="Q3108" s="64">
        <f>IF($A3108="","",IF(O3108&lt;&gt;원인분석!$C$9,"",IF(AND(M3108&gt;=원인분석!$C$10,M3108&lt;=원인분석!$C$11),"당기",IF(AND(M3108&gt;=원인분석!$C$12,M3108&lt;=원인분석!$C$13),"비교",""))))</f>
        <v/>
      </c>
      <c r="R3108" s="9">
        <f>IF(Q3108="","",$K3108&amp;"")</f>
        <v/>
      </c>
      <c r="S3108" s="9">
        <f>IF(Q3108="","",IF(MATCH(R3108,$R$5:$R$100000,0)=ROW()-4,ROW(),""))</f>
        <v/>
      </c>
      <c r="T3108" s="9">
        <f>IF(Q3108="당기",ABS(P3108)+ROW()/1000000000,"")</f>
        <v/>
      </c>
      <c r="U3108" s="9">
        <f>IF(Q3108="비교",ABS(P3108)+ROW()/1000000000,"")</f>
        <v/>
      </c>
      <c r="V3108" s="64">
        <f>IF($A3108="","",IF(COUNTIF(변동분석!$E$7:$E$506,O3108)&gt;0,"Y","N"))</f>
        <v/>
      </c>
      <c r="W3108" s="64">
        <f>IF($A3108="","",IFERROR(INDEX(계정매핑!$D$5:$D$504,MATCH($F3108&amp;"",계정매핑!$A$5:$A$504,0)),"미매핑"))</f>
        <v/>
      </c>
      <c r="X3108" s="9">
        <f>IF($A3108="","",$F3108&amp;"")</f>
        <v/>
      </c>
      <c r="Y3108" s="94">
        <f>IF($A3108="",0,IF(AE3108="직접",IF(AF3108="비귀속",$P3108,0),$P3108*(1-AG3108)*IFERROR(INDEX(계정대체기준!$F$20:$F$49,MATCH($N3108,계정대체기준!$A$20:$A$49,0)),1)))</f>
        <v/>
      </c>
      <c r="Z3108" s="94">
        <f>IF($A3108="",0,IF(AE3108="직접",IF(AF3108="신계약비",$P3108,0),$P3108*(1-AG3108)*IFERROR(INDEX(계정대체기준!$C$20:$C$49,MATCH($N3108,계정대체기준!$A$20:$A$49,0)),0)))</f>
        <v/>
      </c>
      <c r="AA3108" s="94">
        <f>IF($A3108="",0,IF(AE3108="직접",IF(OR(AF3108="유지비",AF3108="손해조사비"),$P3108,0),$P3108*(1-AG3108)*IFERROR(INDEX(계정대체기준!$D$20:$D$49,MATCH($N3108,계정대체기준!$A$20:$A$49,0)),0)))</f>
        <v/>
      </c>
      <c r="AB3108" s="94">
        <f>IF($A3108="",0,IF(AE3108="직접",IF(AF3108="수금비",$P3108,0),$P3108*(1-AG3108)*IFERROR(INDEX(계정대체기준!$E$20:$E$49,MATCH($N3108,계정대체기준!$A$20:$A$49,0)),0)))</f>
        <v/>
      </c>
      <c r="AC3108" s="9">
        <f>IF(AND($A3108&lt;&gt;"",M3108=설정!$C$20,Z3108&gt;0),Z3108+ROW()/1000000000,"")</f>
        <v/>
      </c>
      <c r="AD3108" s="94">
        <f>IF($A3108="",0,$P3108*AG3108)</f>
        <v/>
      </c>
      <c r="AE3108" s="64">
        <f>IF($A3108="","",IFERROR(INDEX(계정매핑!$E$5:$E$504,MATCH($F3108&amp;"",계정매핑!$A$5:$A$504,0))&amp;"","공통비"))</f>
        <v/>
      </c>
      <c r="AF3108" s="64">
        <f>IF($A3108="","",IF(AE3108="직접",IFERROR(INDEX(계정매핑!$F$5:$F$504,MATCH($F3108&amp;"",계정매핑!$A$5:$A$504,0))&amp;"","비귀속"),""))</f>
        <v/>
      </c>
      <c r="AG3108" s="96">
        <f>IF($A3108="",0,IF(AND(AE3108&lt;&gt;"직접",IFERROR(INDEX(계정매핑!$G$5:$G$504,MATCH($F3108&amp;"",계정매핑!$A$5:$A$504,0))&amp;"","")="유지비",COUNTIF(계정대체기준!$A$6:$A$15,$N3108)&gt;0),IFERROR(INDEX(계정대체기준!$E$6:$E$15,MATCH(VALUE($A3108&amp;""),계정대체기준!$D$6:$D$15,0)),0),0))</f>
        <v/>
      </c>
      <c r="AH3108" s="64">
        <f>IF($A3108="","",IF(AD3108=0,"",IF(OR(COUNTIF(계정대체기준!$A$77:$A$86,$N3108)&gt;0,ISNUMBER(MATCH($X3108,계정대체기준!$D$77:$D$86,0)),ISNUMBER(MATCH($F3108,계정대체기준!$D$77:$D$86,0))),"Y","N")))</f>
        <v/>
      </c>
    </row>
    <row r="3109">
      <c r="A3109" s="92" t="n">
        <v>2026</v>
      </c>
      <c r="B3109" s="92" t="n">
        <v>2</v>
      </c>
      <c r="C3109" s="92" t="inlineStr">
        <is>
          <t>5100000387</t>
        </is>
      </c>
      <c r="D3109" s="95" t="n">
        <v>46071</v>
      </c>
      <c r="E3109" s="92" t="inlineStr">
        <is>
          <t>KR</t>
        </is>
      </c>
      <c r="F3109" s="92" t="n">
        <v>62501000</v>
      </c>
      <c r="G3109" s="92" t="n">
        <v>1701</v>
      </c>
      <c r="H3109" s="93" t="n">
        <v>77000</v>
      </c>
      <c r="I3109" s="92" t="inlineStr">
        <is>
          <t>2월 회의 다과 - (법인카드)</t>
        </is>
      </c>
      <c r="J3109" s="92" t="inlineStr">
        <is>
          <t>V10010</t>
        </is>
      </c>
      <c r="K3109" s="92" t="inlineStr">
        <is>
          <t>(법인카드)</t>
        </is>
      </c>
      <c r="M3109" s="9">
        <f>IF($A3109="","",VALUE($A3109&amp;"")*12+VALUE($B3109&amp;""))</f>
        <v/>
      </c>
      <c r="N3109" s="64">
        <f>IF($A3109="","",IFERROR(INDEX(부서매핑!$C$5:$C$504,MATCH($G3109&amp;"",부서매핑!$A$5:$A$504,0)),"미매핑"))</f>
        <v/>
      </c>
      <c r="O3109" s="9">
        <f>IF($A3109="","",N3109&amp;"|"&amp;$F3109)</f>
        <v/>
      </c>
      <c r="P3109" s="94">
        <f>IF($A3109="",0,$H3109*설정!$C$23)</f>
        <v/>
      </c>
      <c r="Q3109" s="64">
        <f>IF($A3109="","",IF(O3109&lt;&gt;원인분석!$C$9,"",IF(AND(M3109&gt;=원인분석!$C$10,M3109&lt;=원인분석!$C$11),"당기",IF(AND(M3109&gt;=원인분석!$C$12,M3109&lt;=원인분석!$C$13),"비교",""))))</f>
        <v/>
      </c>
      <c r="R3109" s="9">
        <f>IF(Q3109="","",$K3109&amp;"")</f>
        <v/>
      </c>
      <c r="S3109" s="9">
        <f>IF(Q3109="","",IF(MATCH(R3109,$R$5:$R$100000,0)=ROW()-4,ROW(),""))</f>
        <v/>
      </c>
      <c r="T3109" s="9">
        <f>IF(Q3109="당기",ABS(P3109)+ROW()/1000000000,"")</f>
        <v/>
      </c>
      <c r="U3109" s="9">
        <f>IF(Q3109="비교",ABS(P3109)+ROW()/1000000000,"")</f>
        <v/>
      </c>
      <c r="V3109" s="64">
        <f>IF($A3109="","",IF(COUNTIF(변동분석!$E$7:$E$506,O3109)&gt;0,"Y","N"))</f>
        <v/>
      </c>
      <c r="W3109" s="64">
        <f>IF($A3109="","",IFERROR(INDEX(계정매핑!$D$5:$D$504,MATCH($F3109&amp;"",계정매핑!$A$5:$A$504,0)),"미매핑"))</f>
        <v/>
      </c>
      <c r="X3109" s="9">
        <f>IF($A3109="","",$F3109&amp;"")</f>
        <v/>
      </c>
      <c r="Y3109" s="94">
        <f>IF($A3109="",0,IF(AE3109="직접",IF(AF3109="비귀속",$P3109,0),$P3109*(1-AG3109)*IFERROR(INDEX(계정대체기준!$F$20:$F$49,MATCH($N3109,계정대체기준!$A$20:$A$49,0)),1)))</f>
        <v/>
      </c>
      <c r="Z3109" s="94">
        <f>IF($A3109="",0,IF(AE3109="직접",IF(AF3109="신계약비",$P3109,0),$P3109*(1-AG3109)*IFERROR(INDEX(계정대체기준!$C$20:$C$49,MATCH($N3109,계정대체기준!$A$20:$A$49,0)),0)))</f>
        <v/>
      </c>
      <c r="AA3109" s="94">
        <f>IF($A3109="",0,IF(AE3109="직접",IF(OR(AF3109="유지비",AF3109="손해조사비"),$P3109,0),$P3109*(1-AG3109)*IFERROR(INDEX(계정대체기준!$D$20:$D$49,MATCH($N3109,계정대체기준!$A$20:$A$49,0)),0)))</f>
        <v/>
      </c>
      <c r="AB3109" s="94">
        <f>IF($A3109="",0,IF(AE3109="직접",IF(AF3109="수금비",$P3109,0),$P3109*(1-AG3109)*IFERROR(INDEX(계정대체기준!$E$20:$E$49,MATCH($N3109,계정대체기준!$A$20:$A$49,0)),0)))</f>
        <v/>
      </c>
      <c r="AC3109" s="9">
        <f>IF(AND($A3109&lt;&gt;"",M3109=설정!$C$20,Z3109&gt;0),Z3109+ROW()/1000000000,"")</f>
        <v/>
      </c>
      <c r="AD3109" s="94">
        <f>IF($A3109="",0,$P3109*AG3109)</f>
        <v/>
      </c>
      <c r="AE3109" s="64">
        <f>IF($A3109="","",IFERROR(INDEX(계정매핑!$E$5:$E$504,MATCH($F3109&amp;"",계정매핑!$A$5:$A$504,0))&amp;"","공통비"))</f>
        <v/>
      </c>
      <c r="AF3109" s="64">
        <f>IF($A3109="","",IF(AE3109="직접",IFERROR(INDEX(계정매핑!$F$5:$F$504,MATCH($F3109&amp;"",계정매핑!$A$5:$A$504,0))&amp;"","비귀속"),""))</f>
        <v/>
      </c>
      <c r="AG3109" s="96">
        <f>IF($A3109="",0,IF(AND(AE3109&lt;&gt;"직접",IFERROR(INDEX(계정매핑!$G$5:$G$504,MATCH($F3109&amp;"",계정매핑!$A$5:$A$504,0))&amp;"","")="유지비",COUNTIF(계정대체기준!$A$6:$A$15,$N3109)&gt;0),IFERROR(INDEX(계정대체기준!$E$6:$E$15,MATCH(VALUE($A3109&amp;""),계정대체기준!$D$6:$D$15,0)),0),0))</f>
        <v/>
      </c>
      <c r="AH3109" s="64">
        <f>IF($A3109="","",IF(AD3109=0,"",IF(OR(COUNTIF(계정대체기준!$A$77:$A$86,$N3109)&gt;0,ISNUMBER(MATCH($X3109,계정대체기준!$D$77:$D$86,0)),ISNUMBER(MATCH($F3109,계정대체기준!$D$77:$D$86,0))),"Y","N")))</f>
        <v/>
      </c>
    </row>
    <row r="3110">
      <c r="A3110" s="92" t="n">
        <v>2026</v>
      </c>
      <c r="B3110" s="92" t="n">
        <v>2</v>
      </c>
      <c r="C3110" s="92" t="inlineStr">
        <is>
          <t>5100000388</t>
        </is>
      </c>
      <c r="D3110" s="95" t="n">
        <v>46071</v>
      </c>
      <c r="E3110" s="92" t="inlineStr">
        <is>
          <t>KR</t>
        </is>
      </c>
      <c r="F3110" s="92" t="n">
        <v>62501000</v>
      </c>
      <c r="G3110" s="92" t="n">
        <v>1701</v>
      </c>
      <c r="H3110" s="93" t="n">
        <v>92000</v>
      </c>
      <c r="I3110" s="92" t="inlineStr">
        <is>
          <t>2월 회의 다과 - T케이터링</t>
        </is>
      </c>
      <c r="J3110" s="92" t="inlineStr">
        <is>
          <t>V10005</t>
        </is>
      </c>
      <c r="K3110" s="92" t="inlineStr">
        <is>
          <t>T케이터링</t>
        </is>
      </c>
      <c r="M3110" s="9">
        <f>IF($A3110="","",VALUE($A3110&amp;"")*12+VALUE($B3110&amp;""))</f>
        <v/>
      </c>
      <c r="N3110" s="64">
        <f>IF($A3110="","",IFERROR(INDEX(부서매핑!$C$5:$C$504,MATCH($G3110&amp;"",부서매핑!$A$5:$A$504,0)),"미매핑"))</f>
        <v/>
      </c>
      <c r="O3110" s="9">
        <f>IF($A3110="","",N3110&amp;"|"&amp;$F3110)</f>
        <v/>
      </c>
      <c r="P3110" s="94">
        <f>IF($A3110="",0,$H3110*설정!$C$23)</f>
        <v/>
      </c>
      <c r="Q3110" s="64">
        <f>IF($A3110="","",IF(O3110&lt;&gt;원인분석!$C$9,"",IF(AND(M3110&gt;=원인분석!$C$10,M3110&lt;=원인분석!$C$11),"당기",IF(AND(M3110&gt;=원인분석!$C$12,M3110&lt;=원인분석!$C$13),"비교",""))))</f>
        <v/>
      </c>
      <c r="R3110" s="9">
        <f>IF(Q3110="","",$K3110&amp;"")</f>
        <v/>
      </c>
      <c r="S3110" s="9">
        <f>IF(Q3110="","",IF(MATCH(R3110,$R$5:$R$100000,0)=ROW()-4,ROW(),""))</f>
        <v/>
      </c>
      <c r="T3110" s="9">
        <f>IF(Q3110="당기",ABS(P3110)+ROW()/1000000000,"")</f>
        <v/>
      </c>
      <c r="U3110" s="9">
        <f>IF(Q3110="비교",ABS(P3110)+ROW()/1000000000,"")</f>
        <v/>
      </c>
      <c r="V3110" s="64">
        <f>IF($A3110="","",IF(COUNTIF(변동분석!$E$7:$E$506,O3110)&gt;0,"Y","N"))</f>
        <v/>
      </c>
      <c r="W3110" s="64">
        <f>IF($A3110="","",IFERROR(INDEX(계정매핑!$D$5:$D$504,MATCH($F3110&amp;"",계정매핑!$A$5:$A$504,0)),"미매핑"))</f>
        <v/>
      </c>
      <c r="X3110" s="9">
        <f>IF($A3110="","",$F3110&amp;"")</f>
        <v/>
      </c>
      <c r="Y3110" s="94">
        <f>IF($A3110="",0,IF(AE3110="직접",IF(AF3110="비귀속",$P3110,0),$P3110*(1-AG3110)*IFERROR(INDEX(계정대체기준!$F$20:$F$49,MATCH($N3110,계정대체기준!$A$20:$A$49,0)),1)))</f>
        <v/>
      </c>
      <c r="Z3110" s="94">
        <f>IF($A3110="",0,IF(AE3110="직접",IF(AF3110="신계약비",$P3110,0),$P3110*(1-AG3110)*IFERROR(INDEX(계정대체기준!$C$20:$C$49,MATCH($N3110,계정대체기준!$A$20:$A$49,0)),0)))</f>
        <v/>
      </c>
      <c r="AA3110" s="94">
        <f>IF($A3110="",0,IF(AE3110="직접",IF(OR(AF3110="유지비",AF3110="손해조사비"),$P3110,0),$P3110*(1-AG3110)*IFERROR(INDEX(계정대체기준!$D$20:$D$49,MATCH($N3110,계정대체기준!$A$20:$A$49,0)),0)))</f>
        <v/>
      </c>
      <c r="AB3110" s="94">
        <f>IF($A3110="",0,IF(AE3110="직접",IF(AF3110="수금비",$P3110,0),$P3110*(1-AG3110)*IFERROR(INDEX(계정대체기준!$E$20:$E$49,MATCH($N3110,계정대체기준!$A$20:$A$49,0)),0)))</f>
        <v/>
      </c>
      <c r="AC3110" s="9">
        <f>IF(AND($A3110&lt;&gt;"",M3110=설정!$C$20,Z3110&gt;0),Z3110+ROW()/1000000000,"")</f>
        <v/>
      </c>
      <c r="AD3110" s="94">
        <f>IF($A3110="",0,$P3110*AG3110)</f>
        <v/>
      </c>
      <c r="AE3110" s="64">
        <f>IF($A3110="","",IFERROR(INDEX(계정매핑!$E$5:$E$504,MATCH($F3110&amp;"",계정매핑!$A$5:$A$504,0))&amp;"","공통비"))</f>
        <v/>
      </c>
      <c r="AF3110" s="64">
        <f>IF($A3110="","",IF(AE3110="직접",IFERROR(INDEX(계정매핑!$F$5:$F$504,MATCH($F3110&amp;"",계정매핑!$A$5:$A$504,0))&amp;"","비귀속"),""))</f>
        <v/>
      </c>
      <c r="AG3110" s="96">
        <f>IF($A3110="",0,IF(AND(AE3110&lt;&gt;"직접",IFERROR(INDEX(계정매핑!$G$5:$G$504,MATCH($F3110&amp;"",계정매핑!$A$5:$A$504,0))&amp;"","")="유지비",COUNTIF(계정대체기준!$A$6:$A$15,$N3110)&gt;0),IFERROR(INDEX(계정대체기준!$E$6:$E$15,MATCH(VALUE($A3110&amp;""),계정대체기준!$D$6:$D$15,0)),0),0))</f>
        <v/>
      </c>
      <c r="AH3110" s="64">
        <f>IF($A3110="","",IF(AD3110=0,"",IF(OR(COUNTIF(계정대체기준!$A$77:$A$86,$N3110)&gt;0,ISNUMBER(MATCH($X3110,계정대체기준!$D$77:$D$86,0)),ISNUMBER(MATCH($F3110,계정대체기준!$D$77:$D$86,0))),"Y","N")))</f>
        <v/>
      </c>
    </row>
    <row r="3111">
      <c r="A3111" s="92" t="n">
        <v>2026</v>
      </c>
      <c r="B3111" s="92" t="n">
        <v>2</v>
      </c>
      <c r="C3111" s="92" t="inlineStr">
        <is>
          <t>5100000389</t>
        </is>
      </c>
      <c r="D3111" s="95" t="n">
        <v>46071</v>
      </c>
      <c r="E3111" s="92" t="inlineStr">
        <is>
          <t>KR</t>
        </is>
      </c>
      <c r="F3111" s="92" t="n">
        <v>62601000</v>
      </c>
      <c r="G3111" s="92" t="n">
        <v>1101</v>
      </c>
      <c r="H3111" s="93" t="n">
        <v>1503000</v>
      </c>
      <c r="I3111" s="92" t="inlineStr">
        <is>
          <t>2월 업무추진 - (법인카드)</t>
        </is>
      </c>
      <c r="J3111" s="92" t="inlineStr">
        <is>
          <t>V10010</t>
        </is>
      </c>
      <c r="K3111" s="92" t="inlineStr">
        <is>
          <t>(법인카드)</t>
        </is>
      </c>
      <c r="M3111" s="9">
        <f>IF($A3111="","",VALUE($A3111&amp;"")*12+VALUE($B3111&amp;""))</f>
        <v/>
      </c>
      <c r="N3111" s="64">
        <f>IF($A3111="","",IFERROR(INDEX(부서매핑!$C$5:$C$504,MATCH($G3111&amp;"",부서매핑!$A$5:$A$504,0)),"미매핑"))</f>
        <v/>
      </c>
      <c r="O3111" s="9">
        <f>IF($A3111="","",N3111&amp;"|"&amp;$F3111)</f>
        <v/>
      </c>
      <c r="P3111" s="94">
        <f>IF($A3111="",0,$H3111*설정!$C$23)</f>
        <v/>
      </c>
      <c r="Q3111" s="64">
        <f>IF($A3111="","",IF(O3111&lt;&gt;원인분석!$C$9,"",IF(AND(M3111&gt;=원인분석!$C$10,M3111&lt;=원인분석!$C$11),"당기",IF(AND(M3111&gt;=원인분석!$C$12,M3111&lt;=원인분석!$C$13),"비교",""))))</f>
        <v/>
      </c>
      <c r="R3111" s="9">
        <f>IF(Q3111="","",$K3111&amp;"")</f>
        <v/>
      </c>
      <c r="S3111" s="9">
        <f>IF(Q3111="","",IF(MATCH(R3111,$R$5:$R$100000,0)=ROW()-4,ROW(),""))</f>
        <v/>
      </c>
      <c r="T3111" s="9">
        <f>IF(Q3111="당기",ABS(P3111)+ROW()/1000000000,"")</f>
        <v/>
      </c>
      <c r="U3111" s="9">
        <f>IF(Q3111="비교",ABS(P3111)+ROW()/1000000000,"")</f>
        <v/>
      </c>
      <c r="V3111" s="64">
        <f>IF($A3111="","",IF(COUNTIF(변동분석!$E$7:$E$506,O3111)&gt;0,"Y","N"))</f>
        <v/>
      </c>
      <c r="W3111" s="64">
        <f>IF($A3111="","",IFERROR(INDEX(계정매핑!$D$5:$D$504,MATCH($F3111&amp;"",계정매핑!$A$5:$A$504,0)),"미매핑"))</f>
        <v/>
      </c>
      <c r="X3111" s="9">
        <f>IF($A3111="","",$F3111&amp;"")</f>
        <v/>
      </c>
      <c r="Y3111" s="94">
        <f>IF($A3111="",0,IF(AE3111="직접",IF(AF3111="비귀속",$P3111,0),$P3111*(1-AG3111)*IFERROR(INDEX(계정대체기준!$F$20:$F$49,MATCH($N3111,계정대체기준!$A$20:$A$49,0)),1)))</f>
        <v/>
      </c>
      <c r="Z3111" s="94">
        <f>IF($A3111="",0,IF(AE3111="직접",IF(AF3111="신계약비",$P3111,0),$P3111*(1-AG3111)*IFERROR(INDEX(계정대체기준!$C$20:$C$49,MATCH($N3111,계정대체기준!$A$20:$A$49,0)),0)))</f>
        <v/>
      </c>
      <c r="AA3111" s="94">
        <f>IF($A3111="",0,IF(AE3111="직접",IF(OR(AF3111="유지비",AF3111="손해조사비"),$P3111,0),$P3111*(1-AG3111)*IFERROR(INDEX(계정대체기준!$D$20:$D$49,MATCH($N3111,계정대체기준!$A$20:$A$49,0)),0)))</f>
        <v/>
      </c>
      <c r="AB3111" s="94">
        <f>IF($A3111="",0,IF(AE3111="직접",IF(AF3111="수금비",$P3111,0),$P3111*(1-AG3111)*IFERROR(INDEX(계정대체기준!$E$20:$E$49,MATCH($N3111,계정대체기준!$A$20:$A$49,0)),0)))</f>
        <v/>
      </c>
      <c r="AC3111" s="9">
        <f>IF(AND($A3111&lt;&gt;"",M3111=설정!$C$20,Z3111&gt;0),Z3111+ROW()/1000000000,"")</f>
        <v/>
      </c>
      <c r="AD3111" s="94">
        <f>IF($A3111="",0,$P3111*AG3111)</f>
        <v/>
      </c>
      <c r="AE3111" s="64">
        <f>IF($A3111="","",IFERROR(INDEX(계정매핑!$E$5:$E$504,MATCH($F3111&amp;"",계정매핑!$A$5:$A$504,0))&amp;"","공통비"))</f>
        <v/>
      </c>
      <c r="AF3111" s="64">
        <f>IF($A3111="","",IF(AE3111="직접",IFERROR(INDEX(계정매핑!$F$5:$F$504,MATCH($F3111&amp;"",계정매핑!$A$5:$A$504,0))&amp;"","비귀속"),""))</f>
        <v/>
      </c>
      <c r="AG3111" s="96">
        <f>IF($A3111="",0,IF(AND(AE3111&lt;&gt;"직접",IFERROR(INDEX(계정매핑!$G$5:$G$504,MATCH($F3111&amp;"",계정매핑!$A$5:$A$504,0))&amp;"","")="유지비",COUNTIF(계정대체기준!$A$6:$A$15,$N3111)&gt;0),IFERROR(INDEX(계정대체기준!$E$6:$E$15,MATCH(VALUE($A3111&amp;""),계정대체기준!$D$6:$D$15,0)),0),0))</f>
        <v/>
      </c>
      <c r="AH3111" s="64">
        <f>IF($A3111="","",IF(AD3111=0,"",IF(OR(COUNTIF(계정대체기준!$A$77:$A$86,$N3111)&gt;0,ISNUMBER(MATCH($X3111,계정대체기준!$D$77:$D$86,0)),ISNUMBER(MATCH($F3111,계정대체기준!$D$77:$D$86,0))),"Y","N")))</f>
        <v/>
      </c>
    </row>
    <row r="3112">
      <c r="A3112" s="92" t="n">
        <v>2026</v>
      </c>
      <c r="B3112" s="92" t="n">
        <v>2</v>
      </c>
      <c r="C3112" s="92" t="inlineStr">
        <is>
          <t>5100000390</t>
        </is>
      </c>
      <c r="D3112" s="95" t="n">
        <v>46071</v>
      </c>
      <c r="E3112" s="92" t="inlineStr">
        <is>
          <t>KR</t>
        </is>
      </c>
      <c r="F3112" s="92" t="n">
        <v>62902000</v>
      </c>
      <c r="G3112" s="92" t="n">
        <v>1201</v>
      </c>
      <c r="H3112" s="93" t="n">
        <v>3053000</v>
      </c>
      <c r="I3112" s="92" t="inlineStr">
        <is>
          <t>2월 업무 위탁 수수료 - X서비스</t>
        </is>
      </c>
      <c r="J3112" s="92" t="inlineStr">
        <is>
          <t>V10020</t>
        </is>
      </c>
      <c r="K3112" s="92" t="inlineStr">
        <is>
          <t>X서비스</t>
        </is>
      </c>
      <c r="M3112" s="9">
        <f>IF($A3112="","",VALUE($A3112&amp;"")*12+VALUE($B3112&amp;""))</f>
        <v/>
      </c>
      <c r="N3112" s="64">
        <f>IF($A3112="","",IFERROR(INDEX(부서매핑!$C$5:$C$504,MATCH($G3112&amp;"",부서매핑!$A$5:$A$504,0)),"미매핑"))</f>
        <v/>
      </c>
      <c r="O3112" s="9">
        <f>IF($A3112="","",N3112&amp;"|"&amp;$F3112)</f>
        <v/>
      </c>
      <c r="P3112" s="94">
        <f>IF($A3112="",0,$H3112*설정!$C$23)</f>
        <v/>
      </c>
      <c r="Q3112" s="64">
        <f>IF($A3112="","",IF(O3112&lt;&gt;원인분석!$C$9,"",IF(AND(M3112&gt;=원인분석!$C$10,M3112&lt;=원인분석!$C$11),"당기",IF(AND(M3112&gt;=원인분석!$C$12,M3112&lt;=원인분석!$C$13),"비교",""))))</f>
        <v/>
      </c>
      <c r="R3112" s="9">
        <f>IF(Q3112="","",$K3112&amp;"")</f>
        <v/>
      </c>
      <c r="S3112" s="9">
        <f>IF(Q3112="","",IF(MATCH(R3112,$R$5:$R$100000,0)=ROW()-4,ROW(),""))</f>
        <v/>
      </c>
      <c r="T3112" s="9">
        <f>IF(Q3112="당기",ABS(P3112)+ROW()/1000000000,"")</f>
        <v/>
      </c>
      <c r="U3112" s="9">
        <f>IF(Q3112="비교",ABS(P3112)+ROW()/1000000000,"")</f>
        <v/>
      </c>
      <c r="V3112" s="64">
        <f>IF($A3112="","",IF(COUNTIF(변동분석!$E$7:$E$506,O3112)&gt;0,"Y","N"))</f>
        <v/>
      </c>
      <c r="W3112" s="64">
        <f>IF($A3112="","",IFERROR(INDEX(계정매핑!$D$5:$D$504,MATCH($F3112&amp;"",계정매핑!$A$5:$A$504,0)),"미매핑"))</f>
        <v/>
      </c>
      <c r="X3112" s="9">
        <f>IF($A3112="","",$F3112&amp;"")</f>
        <v/>
      </c>
      <c r="Y3112" s="94">
        <f>IF($A3112="",0,IF(AE3112="직접",IF(AF3112="비귀속",$P3112,0),$P3112*(1-AG3112)*IFERROR(INDEX(계정대체기준!$F$20:$F$49,MATCH($N3112,계정대체기준!$A$20:$A$49,0)),1)))</f>
        <v/>
      </c>
      <c r="Z3112" s="94">
        <f>IF($A3112="",0,IF(AE3112="직접",IF(AF3112="신계약비",$P3112,0),$P3112*(1-AG3112)*IFERROR(INDEX(계정대체기준!$C$20:$C$49,MATCH($N3112,계정대체기준!$A$20:$A$49,0)),0)))</f>
        <v/>
      </c>
      <c r="AA3112" s="94">
        <f>IF($A3112="",0,IF(AE3112="직접",IF(OR(AF3112="유지비",AF3112="손해조사비"),$P3112,0),$P3112*(1-AG3112)*IFERROR(INDEX(계정대체기준!$D$20:$D$49,MATCH($N3112,계정대체기준!$A$20:$A$49,0)),0)))</f>
        <v/>
      </c>
      <c r="AB3112" s="94">
        <f>IF($A3112="",0,IF(AE3112="직접",IF(AF3112="수금비",$P3112,0),$P3112*(1-AG3112)*IFERROR(INDEX(계정대체기준!$E$20:$E$49,MATCH($N3112,계정대체기준!$A$20:$A$49,0)),0)))</f>
        <v/>
      </c>
      <c r="AC3112" s="9">
        <f>IF(AND($A3112&lt;&gt;"",M3112=설정!$C$20,Z3112&gt;0),Z3112+ROW()/1000000000,"")</f>
        <v/>
      </c>
      <c r="AD3112" s="94">
        <f>IF($A3112="",0,$P3112*AG3112)</f>
        <v/>
      </c>
      <c r="AE3112" s="64">
        <f>IF($A3112="","",IFERROR(INDEX(계정매핑!$E$5:$E$504,MATCH($F3112&amp;"",계정매핑!$A$5:$A$504,0))&amp;"","공통비"))</f>
        <v/>
      </c>
      <c r="AF3112" s="64">
        <f>IF($A3112="","",IF(AE3112="직접",IFERROR(INDEX(계정매핑!$F$5:$F$504,MATCH($F3112&amp;"",계정매핑!$A$5:$A$504,0))&amp;"","비귀속"),""))</f>
        <v/>
      </c>
      <c r="AG3112" s="96">
        <f>IF($A3112="",0,IF(AND(AE3112&lt;&gt;"직접",IFERROR(INDEX(계정매핑!$G$5:$G$504,MATCH($F3112&amp;"",계정매핑!$A$5:$A$504,0))&amp;"","")="유지비",COUNTIF(계정대체기준!$A$6:$A$15,$N3112)&gt;0),IFERROR(INDEX(계정대체기준!$E$6:$E$15,MATCH(VALUE($A3112&amp;""),계정대체기준!$D$6:$D$15,0)),0),0))</f>
        <v/>
      </c>
      <c r="AH3112" s="64">
        <f>IF($A3112="","",IF(AD3112=0,"",IF(OR(COUNTIF(계정대체기준!$A$77:$A$86,$N3112)&gt;0,ISNUMBER(MATCH($X3112,계정대체기준!$D$77:$D$86,0)),ISNUMBER(MATCH($F3112,계정대체기준!$D$77:$D$86,0))),"Y","N")))</f>
        <v/>
      </c>
    </row>
    <row r="3113">
      <c r="A3113" s="92" t="n">
        <v>2026</v>
      </c>
      <c r="B3113" s="92" t="n">
        <v>2</v>
      </c>
      <c r="C3113" s="92" t="inlineStr">
        <is>
          <t>5100000391</t>
        </is>
      </c>
      <c r="D3113" s="95" t="n">
        <v>46071</v>
      </c>
      <c r="E3113" s="92" t="inlineStr">
        <is>
          <t>KR</t>
        </is>
      </c>
      <c r="F3113" s="92" t="n">
        <v>63502000</v>
      </c>
      <c r="G3113" s="92" t="n">
        <v>1902</v>
      </c>
      <c r="H3113" s="93" t="n">
        <v>140395000</v>
      </c>
      <c r="I3113" s="92" t="inlineStr">
        <is>
          <t>2월 유지수수료 - CC금융서비스</t>
        </is>
      </c>
      <c r="J3113" s="92" t="inlineStr">
        <is>
          <t>V10029</t>
        </is>
      </c>
      <c r="K3113" s="92" t="inlineStr">
        <is>
          <t>CC금융서비스</t>
        </is>
      </c>
      <c r="M3113" s="9">
        <f>IF($A3113="","",VALUE($A3113&amp;"")*12+VALUE($B3113&amp;""))</f>
        <v/>
      </c>
      <c r="N3113" s="64">
        <f>IF($A3113="","",IFERROR(INDEX(부서매핑!$C$5:$C$504,MATCH($G3113&amp;"",부서매핑!$A$5:$A$504,0)),"미매핑"))</f>
        <v/>
      </c>
      <c r="O3113" s="9">
        <f>IF($A3113="","",N3113&amp;"|"&amp;$F3113)</f>
        <v/>
      </c>
      <c r="P3113" s="94">
        <f>IF($A3113="",0,$H3113*설정!$C$23)</f>
        <v/>
      </c>
      <c r="Q3113" s="64">
        <f>IF($A3113="","",IF(O3113&lt;&gt;원인분석!$C$9,"",IF(AND(M3113&gt;=원인분석!$C$10,M3113&lt;=원인분석!$C$11),"당기",IF(AND(M3113&gt;=원인분석!$C$12,M3113&lt;=원인분석!$C$13),"비교",""))))</f>
        <v/>
      </c>
      <c r="R3113" s="9">
        <f>IF(Q3113="","",$K3113&amp;"")</f>
        <v/>
      </c>
      <c r="S3113" s="9">
        <f>IF(Q3113="","",IF(MATCH(R3113,$R$5:$R$100000,0)=ROW()-4,ROW(),""))</f>
        <v/>
      </c>
      <c r="T3113" s="9">
        <f>IF(Q3113="당기",ABS(P3113)+ROW()/1000000000,"")</f>
        <v/>
      </c>
      <c r="U3113" s="9">
        <f>IF(Q3113="비교",ABS(P3113)+ROW()/1000000000,"")</f>
        <v/>
      </c>
      <c r="V3113" s="64">
        <f>IF($A3113="","",IF(COUNTIF(변동분석!$E$7:$E$506,O3113)&gt;0,"Y","N"))</f>
        <v/>
      </c>
      <c r="W3113" s="64">
        <f>IF($A3113="","",IFERROR(INDEX(계정매핑!$D$5:$D$504,MATCH($F3113&amp;"",계정매핑!$A$5:$A$504,0)),"미매핑"))</f>
        <v/>
      </c>
      <c r="X3113" s="9">
        <f>IF($A3113="","",$F3113&amp;"")</f>
        <v/>
      </c>
      <c r="Y3113" s="94">
        <f>IF($A3113="",0,IF(AE3113="직접",IF(AF3113="비귀속",$P3113,0),$P3113*(1-AG3113)*IFERROR(INDEX(계정대체기준!$F$20:$F$49,MATCH($N3113,계정대체기준!$A$20:$A$49,0)),1)))</f>
        <v/>
      </c>
      <c r="Z3113" s="94">
        <f>IF($A3113="",0,IF(AE3113="직접",IF(AF3113="신계약비",$P3113,0),$P3113*(1-AG3113)*IFERROR(INDEX(계정대체기준!$C$20:$C$49,MATCH($N3113,계정대체기준!$A$20:$A$49,0)),0)))</f>
        <v/>
      </c>
      <c r="AA3113" s="94">
        <f>IF($A3113="",0,IF(AE3113="직접",IF(OR(AF3113="유지비",AF3113="손해조사비"),$P3113,0),$P3113*(1-AG3113)*IFERROR(INDEX(계정대체기준!$D$20:$D$49,MATCH($N3113,계정대체기준!$A$20:$A$49,0)),0)))</f>
        <v/>
      </c>
      <c r="AB3113" s="94">
        <f>IF($A3113="",0,IF(AE3113="직접",IF(AF3113="수금비",$P3113,0),$P3113*(1-AG3113)*IFERROR(INDEX(계정대체기준!$E$20:$E$49,MATCH($N3113,계정대체기준!$A$20:$A$49,0)),0)))</f>
        <v/>
      </c>
      <c r="AC3113" s="9">
        <f>IF(AND($A3113&lt;&gt;"",M3113=설정!$C$20,Z3113&gt;0),Z3113+ROW()/1000000000,"")</f>
        <v/>
      </c>
      <c r="AD3113" s="94">
        <f>IF($A3113="",0,$P3113*AG3113)</f>
        <v/>
      </c>
      <c r="AE3113" s="64">
        <f>IF($A3113="","",IFERROR(INDEX(계정매핑!$E$5:$E$504,MATCH($F3113&amp;"",계정매핑!$A$5:$A$504,0))&amp;"","공통비"))</f>
        <v/>
      </c>
      <c r="AF3113" s="64">
        <f>IF($A3113="","",IF(AE3113="직접",IFERROR(INDEX(계정매핑!$F$5:$F$504,MATCH($F3113&amp;"",계정매핑!$A$5:$A$504,0))&amp;"","비귀속"),""))</f>
        <v/>
      </c>
      <c r="AG3113" s="96">
        <f>IF($A3113="",0,IF(AND(AE3113&lt;&gt;"직접",IFERROR(INDEX(계정매핑!$G$5:$G$504,MATCH($F3113&amp;"",계정매핑!$A$5:$A$504,0))&amp;"","")="유지비",COUNTIF(계정대체기준!$A$6:$A$15,$N3113)&gt;0),IFERROR(INDEX(계정대체기준!$E$6:$E$15,MATCH(VALUE($A3113&amp;""),계정대체기준!$D$6:$D$15,0)),0),0))</f>
        <v/>
      </c>
      <c r="AH3113" s="64">
        <f>IF($A3113="","",IF(AD3113=0,"",IF(OR(COUNTIF(계정대체기준!$A$77:$A$86,$N3113)&gt;0,ISNUMBER(MATCH($X3113,계정대체기준!$D$77:$D$86,0)),ISNUMBER(MATCH($F3113,계정대체기준!$D$77:$D$86,0))),"Y","N")))</f>
        <v/>
      </c>
    </row>
    <row r="3114">
      <c r="A3114" s="92" t="n">
        <v>2026</v>
      </c>
      <c r="B3114" s="92" t="n">
        <v>2</v>
      </c>
      <c r="C3114" s="92" t="inlineStr">
        <is>
          <t>5100000392</t>
        </is>
      </c>
      <c r="D3114" s="95" t="n">
        <v>46072</v>
      </c>
      <c r="E3114" s="92" t="inlineStr">
        <is>
          <t>KR</t>
        </is>
      </c>
      <c r="F3114" s="92" t="n">
        <v>62101000</v>
      </c>
      <c r="G3114" s="92" t="n">
        <v>1951</v>
      </c>
      <c r="H3114" s="93" t="n">
        <v>263000</v>
      </c>
      <c r="I3114" s="92" t="inlineStr">
        <is>
          <t>2월 국내출장 - M항공</t>
        </is>
      </c>
      <c r="J3114" s="92" t="inlineStr">
        <is>
          <t>V10001</t>
        </is>
      </c>
      <c r="K3114" s="92" t="inlineStr">
        <is>
          <t>M항공</t>
        </is>
      </c>
      <c r="M3114" s="9">
        <f>IF($A3114="","",VALUE($A3114&amp;"")*12+VALUE($B3114&amp;""))</f>
        <v/>
      </c>
      <c r="N3114" s="64">
        <f>IF($A3114="","",IFERROR(INDEX(부서매핑!$C$5:$C$504,MATCH($G3114&amp;"",부서매핑!$A$5:$A$504,0)),"미매핑"))</f>
        <v/>
      </c>
      <c r="O3114" s="9">
        <f>IF($A3114="","",N3114&amp;"|"&amp;$F3114)</f>
        <v/>
      </c>
      <c r="P3114" s="94">
        <f>IF($A3114="",0,$H3114*설정!$C$23)</f>
        <v/>
      </c>
      <c r="Q3114" s="64">
        <f>IF($A3114="","",IF(O3114&lt;&gt;원인분석!$C$9,"",IF(AND(M3114&gt;=원인분석!$C$10,M3114&lt;=원인분석!$C$11),"당기",IF(AND(M3114&gt;=원인분석!$C$12,M3114&lt;=원인분석!$C$13),"비교",""))))</f>
        <v/>
      </c>
      <c r="R3114" s="9">
        <f>IF(Q3114="","",$K3114&amp;"")</f>
        <v/>
      </c>
      <c r="S3114" s="9">
        <f>IF(Q3114="","",IF(MATCH(R3114,$R$5:$R$100000,0)=ROW()-4,ROW(),""))</f>
        <v/>
      </c>
      <c r="T3114" s="9">
        <f>IF(Q3114="당기",ABS(P3114)+ROW()/1000000000,"")</f>
        <v/>
      </c>
      <c r="U3114" s="9">
        <f>IF(Q3114="비교",ABS(P3114)+ROW()/1000000000,"")</f>
        <v/>
      </c>
      <c r="V3114" s="64">
        <f>IF($A3114="","",IF(COUNTIF(변동분석!$E$7:$E$506,O3114)&gt;0,"Y","N"))</f>
        <v/>
      </c>
      <c r="W3114" s="64">
        <f>IF($A3114="","",IFERROR(INDEX(계정매핑!$D$5:$D$504,MATCH($F3114&amp;"",계정매핑!$A$5:$A$504,0)),"미매핑"))</f>
        <v/>
      </c>
      <c r="X3114" s="9">
        <f>IF($A3114="","",$F3114&amp;"")</f>
        <v/>
      </c>
      <c r="Y3114" s="94">
        <f>IF($A3114="",0,IF(AE3114="직접",IF(AF3114="비귀속",$P3114,0),$P3114*(1-AG3114)*IFERROR(INDEX(계정대체기준!$F$20:$F$49,MATCH($N3114,계정대체기준!$A$20:$A$49,0)),1)))</f>
        <v/>
      </c>
      <c r="Z3114" s="94">
        <f>IF($A3114="",0,IF(AE3114="직접",IF(AF3114="신계약비",$P3114,0),$P3114*(1-AG3114)*IFERROR(INDEX(계정대체기준!$C$20:$C$49,MATCH($N3114,계정대체기준!$A$20:$A$49,0)),0)))</f>
        <v/>
      </c>
      <c r="AA3114" s="94">
        <f>IF($A3114="",0,IF(AE3114="직접",IF(OR(AF3114="유지비",AF3114="손해조사비"),$P3114,0),$P3114*(1-AG3114)*IFERROR(INDEX(계정대체기준!$D$20:$D$49,MATCH($N3114,계정대체기준!$A$20:$A$49,0)),0)))</f>
        <v/>
      </c>
      <c r="AB3114" s="94">
        <f>IF($A3114="",0,IF(AE3114="직접",IF(AF3114="수금비",$P3114,0),$P3114*(1-AG3114)*IFERROR(INDEX(계정대체기준!$E$20:$E$49,MATCH($N3114,계정대체기준!$A$20:$A$49,0)),0)))</f>
        <v/>
      </c>
      <c r="AC3114" s="9">
        <f>IF(AND($A3114&lt;&gt;"",M3114=설정!$C$20,Z3114&gt;0),Z3114+ROW()/1000000000,"")</f>
        <v/>
      </c>
      <c r="AD3114" s="94">
        <f>IF($A3114="",0,$P3114*AG3114)</f>
        <v/>
      </c>
      <c r="AE3114" s="64">
        <f>IF($A3114="","",IFERROR(INDEX(계정매핑!$E$5:$E$504,MATCH($F3114&amp;"",계정매핑!$A$5:$A$504,0))&amp;"","공통비"))</f>
        <v/>
      </c>
      <c r="AF3114" s="64">
        <f>IF($A3114="","",IF(AE3114="직접",IFERROR(INDEX(계정매핑!$F$5:$F$504,MATCH($F3114&amp;"",계정매핑!$A$5:$A$504,0))&amp;"","비귀속"),""))</f>
        <v/>
      </c>
      <c r="AG3114" s="96">
        <f>IF($A3114="",0,IF(AND(AE3114&lt;&gt;"직접",IFERROR(INDEX(계정매핑!$G$5:$G$504,MATCH($F3114&amp;"",계정매핑!$A$5:$A$504,0))&amp;"","")="유지비",COUNTIF(계정대체기준!$A$6:$A$15,$N3114)&gt;0),IFERROR(INDEX(계정대체기준!$E$6:$E$15,MATCH(VALUE($A3114&amp;""),계정대체기준!$D$6:$D$15,0)),0),0))</f>
        <v/>
      </c>
      <c r="AH3114" s="64">
        <f>IF($A3114="","",IF(AD3114=0,"",IF(OR(COUNTIF(계정대체기준!$A$77:$A$86,$N3114)&gt;0,ISNUMBER(MATCH($X3114,계정대체기준!$D$77:$D$86,0)),ISNUMBER(MATCH($F3114,계정대체기준!$D$77:$D$86,0))),"Y","N")))</f>
        <v/>
      </c>
    </row>
    <row r="3115">
      <c r="A3115" s="92" t="n">
        <v>2026</v>
      </c>
      <c r="B3115" s="92" t="n">
        <v>2</v>
      </c>
      <c r="C3115" s="92" t="inlineStr">
        <is>
          <t>5100000393</t>
        </is>
      </c>
      <c r="D3115" s="95" t="n">
        <v>46072</v>
      </c>
      <c r="E3115" s="92" t="inlineStr">
        <is>
          <t>KR</t>
        </is>
      </c>
      <c r="F3115" s="92" t="n">
        <v>62201000</v>
      </c>
      <c r="G3115" s="92" t="n">
        <v>1951</v>
      </c>
      <c r="H3115" s="93" t="n">
        <v>327000</v>
      </c>
      <c r="I3115" s="92" t="inlineStr">
        <is>
          <t>2월 통신요금 - O텔레콤</t>
        </is>
      </c>
      <c r="J3115" s="92" t="inlineStr">
        <is>
          <t>V10002</t>
        </is>
      </c>
      <c r="K3115" s="92" t="inlineStr">
        <is>
          <t>O텔레콤</t>
        </is>
      </c>
      <c r="M3115" s="9">
        <f>IF($A3115="","",VALUE($A3115&amp;"")*12+VALUE($B3115&amp;""))</f>
        <v/>
      </c>
      <c r="N3115" s="64">
        <f>IF($A3115="","",IFERROR(INDEX(부서매핑!$C$5:$C$504,MATCH($G3115&amp;"",부서매핑!$A$5:$A$504,0)),"미매핑"))</f>
        <v/>
      </c>
      <c r="O3115" s="9">
        <f>IF($A3115="","",N3115&amp;"|"&amp;$F3115)</f>
        <v/>
      </c>
      <c r="P3115" s="94">
        <f>IF($A3115="",0,$H3115*설정!$C$23)</f>
        <v/>
      </c>
      <c r="Q3115" s="64">
        <f>IF($A3115="","",IF(O3115&lt;&gt;원인분석!$C$9,"",IF(AND(M3115&gt;=원인분석!$C$10,M3115&lt;=원인분석!$C$11),"당기",IF(AND(M3115&gt;=원인분석!$C$12,M3115&lt;=원인분석!$C$13),"비교",""))))</f>
        <v/>
      </c>
      <c r="R3115" s="9">
        <f>IF(Q3115="","",$K3115&amp;"")</f>
        <v/>
      </c>
      <c r="S3115" s="9">
        <f>IF(Q3115="","",IF(MATCH(R3115,$R$5:$R$100000,0)=ROW()-4,ROW(),""))</f>
        <v/>
      </c>
      <c r="T3115" s="9">
        <f>IF(Q3115="당기",ABS(P3115)+ROW()/1000000000,"")</f>
        <v/>
      </c>
      <c r="U3115" s="9">
        <f>IF(Q3115="비교",ABS(P3115)+ROW()/1000000000,"")</f>
        <v/>
      </c>
      <c r="V3115" s="64">
        <f>IF($A3115="","",IF(COUNTIF(변동분석!$E$7:$E$506,O3115)&gt;0,"Y","N"))</f>
        <v/>
      </c>
      <c r="W3115" s="64">
        <f>IF($A3115="","",IFERROR(INDEX(계정매핑!$D$5:$D$504,MATCH($F3115&amp;"",계정매핑!$A$5:$A$504,0)),"미매핑"))</f>
        <v/>
      </c>
      <c r="X3115" s="9">
        <f>IF($A3115="","",$F3115&amp;"")</f>
        <v/>
      </c>
      <c r="Y3115" s="94">
        <f>IF($A3115="",0,IF(AE3115="직접",IF(AF3115="비귀속",$P3115,0),$P3115*(1-AG3115)*IFERROR(INDEX(계정대체기준!$F$20:$F$49,MATCH($N3115,계정대체기준!$A$20:$A$49,0)),1)))</f>
        <v/>
      </c>
      <c r="Z3115" s="94">
        <f>IF($A3115="",0,IF(AE3115="직접",IF(AF3115="신계약비",$P3115,0),$P3115*(1-AG3115)*IFERROR(INDEX(계정대체기준!$C$20:$C$49,MATCH($N3115,계정대체기준!$A$20:$A$49,0)),0)))</f>
        <v/>
      </c>
      <c r="AA3115" s="94">
        <f>IF($A3115="",0,IF(AE3115="직접",IF(OR(AF3115="유지비",AF3115="손해조사비"),$P3115,0),$P3115*(1-AG3115)*IFERROR(INDEX(계정대체기준!$D$20:$D$49,MATCH($N3115,계정대체기준!$A$20:$A$49,0)),0)))</f>
        <v/>
      </c>
      <c r="AB3115" s="94">
        <f>IF($A3115="",0,IF(AE3115="직접",IF(AF3115="수금비",$P3115,0),$P3115*(1-AG3115)*IFERROR(INDEX(계정대체기준!$E$20:$E$49,MATCH($N3115,계정대체기준!$A$20:$A$49,0)),0)))</f>
        <v/>
      </c>
      <c r="AC3115" s="9">
        <f>IF(AND($A3115&lt;&gt;"",M3115=설정!$C$20,Z3115&gt;0),Z3115+ROW()/1000000000,"")</f>
        <v/>
      </c>
      <c r="AD3115" s="94">
        <f>IF($A3115="",0,$P3115*AG3115)</f>
        <v/>
      </c>
      <c r="AE3115" s="64">
        <f>IF($A3115="","",IFERROR(INDEX(계정매핑!$E$5:$E$504,MATCH($F3115&amp;"",계정매핑!$A$5:$A$504,0))&amp;"","공통비"))</f>
        <v/>
      </c>
      <c r="AF3115" s="64">
        <f>IF($A3115="","",IF(AE3115="직접",IFERROR(INDEX(계정매핑!$F$5:$F$504,MATCH($F3115&amp;"",계정매핑!$A$5:$A$504,0))&amp;"","비귀속"),""))</f>
        <v/>
      </c>
      <c r="AG3115" s="96">
        <f>IF($A3115="",0,IF(AND(AE3115&lt;&gt;"직접",IFERROR(INDEX(계정매핑!$G$5:$G$504,MATCH($F3115&amp;"",계정매핑!$A$5:$A$504,0))&amp;"","")="유지비",COUNTIF(계정대체기준!$A$6:$A$15,$N3115)&gt;0),IFERROR(INDEX(계정대체기준!$E$6:$E$15,MATCH(VALUE($A3115&amp;""),계정대체기준!$D$6:$D$15,0)),0),0))</f>
        <v/>
      </c>
      <c r="AH3115" s="64">
        <f>IF($A3115="","",IF(AD3115=0,"",IF(OR(COUNTIF(계정대체기준!$A$77:$A$86,$N3115)&gt;0,ISNUMBER(MATCH($X3115,계정대체기준!$D$77:$D$86,0)),ISNUMBER(MATCH($F3115,계정대체기준!$D$77:$D$86,0))),"Y","N")))</f>
        <v/>
      </c>
    </row>
    <row r="3116">
      <c r="A3116" s="92" t="n">
        <v>2026</v>
      </c>
      <c r="B3116" s="92" t="n">
        <v>2</v>
      </c>
      <c r="C3116" s="92" t="inlineStr">
        <is>
          <t>5100000394</t>
        </is>
      </c>
      <c r="D3116" s="95" t="n">
        <v>46072</v>
      </c>
      <c r="E3116" s="92" t="inlineStr">
        <is>
          <t>KR</t>
        </is>
      </c>
      <c r="F3116" s="92" t="n">
        <v>62301000</v>
      </c>
      <c r="G3116" s="92" t="n">
        <v>1502</v>
      </c>
      <c r="H3116" s="93" t="n">
        <v>172000</v>
      </c>
      <c r="I3116" s="92" t="inlineStr">
        <is>
          <t>2월 소모품 구입 - Q오피스</t>
        </is>
      </c>
      <c r="J3116" s="92" t="inlineStr">
        <is>
          <t>V10003</t>
        </is>
      </c>
      <c r="K3116" s="92" t="inlineStr">
        <is>
          <t>Q오피스</t>
        </is>
      </c>
      <c r="M3116" s="9">
        <f>IF($A3116="","",VALUE($A3116&amp;"")*12+VALUE($B3116&amp;""))</f>
        <v/>
      </c>
      <c r="N3116" s="64">
        <f>IF($A3116="","",IFERROR(INDEX(부서매핑!$C$5:$C$504,MATCH($G3116&amp;"",부서매핑!$A$5:$A$504,0)),"미매핑"))</f>
        <v/>
      </c>
      <c r="O3116" s="9">
        <f>IF($A3116="","",N3116&amp;"|"&amp;$F3116)</f>
        <v/>
      </c>
      <c r="P3116" s="94">
        <f>IF($A3116="",0,$H3116*설정!$C$23)</f>
        <v/>
      </c>
      <c r="Q3116" s="64">
        <f>IF($A3116="","",IF(O3116&lt;&gt;원인분석!$C$9,"",IF(AND(M3116&gt;=원인분석!$C$10,M3116&lt;=원인분석!$C$11),"당기",IF(AND(M3116&gt;=원인분석!$C$12,M3116&lt;=원인분석!$C$13),"비교",""))))</f>
        <v/>
      </c>
      <c r="R3116" s="9">
        <f>IF(Q3116="","",$K3116&amp;"")</f>
        <v/>
      </c>
      <c r="S3116" s="9">
        <f>IF(Q3116="","",IF(MATCH(R3116,$R$5:$R$100000,0)=ROW()-4,ROW(),""))</f>
        <v/>
      </c>
      <c r="T3116" s="9">
        <f>IF(Q3116="당기",ABS(P3116)+ROW()/1000000000,"")</f>
        <v/>
      </c>
      <c r="U3116" s="9">
        <f>IF(Q3116="비교",ABS(P3116)+ROW()/1000000000,"")</f>
        <v/>
      </c>
      <c r="V3116" s="64">
        <f>IF($A3116="","",IF(COUNTIF(변동분석!$E$7:$E$506,O3116)&gt;0,"Y","N"))</f>
        <v/>
      </c>
      <c r="W3116" s="64">
        <f>IF($A3116="","",IFERROR(INDEX(계정매핑!$D$5:$D$504,MATCH($F3116&amp;"",계정매핑!$A$5:$A$504,0)),"미매핑"))</f>
        <v/>
      </c>
      <c r="X3116" s="9">
        <f>IF($A3116="","",$F3116&amp;"")</f>
        <v/>
      </c>
      <c r="Y3116" s="94">
        <f>IF($A3116="",0,IF(AE3116="직접",IF(AF3116="비귀속",$P3116,0),$P3116*(1-AG3116)*IFERROR(INDEX(계정대체기준!$F$20:$F$49,MATCH($N3116,계정대체기준!$A$20:$A$49,0)),1)))</f>
        <v/>
      </c>
      <c r="Z3116" s="94">
        <f>IF($A3116="",0,IF(AE3116="직접",IF(AF3116="신계약비",$P3116,0),$P3116*(1-AG3116)*IFERROR(INDEX(계정대체기준!$C$20:$C$49,MATCH($N3116,계정대체기준!$A$20:$A$49,0)),0)))</f>
        <v/>
      </c>
      <c r="AA3116" s="94">
        <f>IF($A3116="",0,IF(AE3116="직접",IF(OR(AF3116="유지비",AF3116="손해조사비"),$P3116,0),$P3116*(1-AG3116)*IFERROR(INDEX(계정대체기준!$D$20:$D$49,MATCH($N3116,계정대체기준!$A$20:$A$49,0)),0)))</f>
        <v/>
      </c>
      <c r="AB3116" s="94">
        <f>IF($A3116="",0,IF(AE3116="직접",IF(AF3116="수금비",$P3116,0),$P3116*(1-AG3116)*IFERROR(INDEX(계정대체기준!$E$20:$E$49,MATCH($N3116,계정대체기준!$A$20:$A$49,0)),0)))</f>
        <v/>
      </c>
      <c r="AC3116" s="9">
        <f>IF(AND($A3116&lt;&gt;"",M3116=설정!$C$20,Z3116&gt;0),Z3116+ROW()/1000000000,"")</f>
        <v/>
      </c>
      <c r="AD3116" s="94">
        <f>IF($A3116="",0,$P3116*AG3116)</f>
        <v/>
      </c>
      <c r="AE3116" s="64">
        <f>IF($A3116="","",IFERROR(INDEX(계정매핑!$E$5:$E$504,MATCH($F3116&amp;"",계정매핑!$A$5:$A$504,0))&amp;"","공통비"))</f>
        <v/>
      </c>
      <c r="AF3116" s="64">
        <f>IF($A3116="","",IF(AE3116="직접",IFERROR(INDEX(계정매핑!$F$5:$F$504,MATCH($F3116&amp;"",계정매핑!$A$5:$A$504,0))&amp;"","비귀속"),""))</f>
        <v/>
      </c>
      <c r="AG3116" s="96">
        <f>IF($A3116="",0,IF(AND(AE3116&lt;&gt;"직접",IFERROR(INDEX(계정매핑!$G$5:$G$504,MATCH($F3116&amp;"",계정매핑!$A$5:$A$504,0))&amp;"","")="유지비",COUNTIF(계정대체기준!$A$6:$A$15,$N3116)&gt;0),IFERROR(INDEX(계정대체기준!$E$6:$E$15,MATCH(VALUE($A3116&amp;""),계정대체기준!$D$6:$D$15,0)),0),0))</f>
        <v/>
      </c>
      <c r="AH3116" s="64">
        <f>IF($A3116="","",IF(AD3116=0,"",IF(OR(COUNTIF(계정대체기준!$A$77:$A$86,$N3116)&gt;0,ISNUMBER(MATCH($X3116,계정대체기준!$D$77:$D$86,0)),ISNUMBER(MATCH($F3116,계정대체기준!$D$77:$D$86,0))),"Y","N")))</f>
        <v/>
      </c>
    </row>
    <row r="3117">
      <c r="A3117" s="92" t="n">
        <v>2026</v>
      </c>
      <c r="B3117" s="92" t="n">
        <v>2</v>
      </c>
      <c r="C3117" s="92" t="inlineStr">
        <is>
          <t>5100000395</t>
        </is>
      </c>
      <c r="D3117" s="95" t="n">
        <v>46072</v>
      </c>
      <c r="E3117" s="92" t="inlineStr">
        <is>
          <t>KR</t>
        </is>
      </c>
      <c r="F3117" s="92" t="n">
        <v>62901000</v>
      </c>
      <c r="G3117" s="92" t="n">
        <v>1201</v>
      </c>
      <c r="H3117" s="93" t="n">
        <v>7914000</v>
      </c>
      <c r="I3117" s="92" t="inlineStr">
        <is>
          <t>2월 자문 수수료 - K회계법인</t>
        </is>
      </c>
      <c r="J3117" s="92" t="inlineStr">
        <is>
          <t>V10011</t>
        </is>
      </c>
      <c r="K3117" s="92" t="inlineStr">
        <is>
          <t>K회계법인</t>
        </is>
      </c>
      <c r="M3117" s="9">
        <f>IF($A3117="","",VALUE($A3117&amp;"")*12+VALUE($B3117&amp;""))</f>
        <v/>
      </c>
      <c r="N3117" s="64">
        <f>IF($A3117="","",IFERROR(INDEX(부서매핑!$C$5:$C$504,MATCH($G3117&amp;"",부서매핑!$A$5:$A$504,0)),"미매핑"))</f>
        <v/>
      </c>
      <c r="O3117" s="9">
        <f>IF($A3117="","",N3117&amp;"|"&amp;$F3117)</f>
        <v/>
      </c>
      <c r="P3117" s="94">
        <f>IF($A3117="",0,$H3117*설정!$C$23)</f>
        <v/>
      </c>
      <c r="Q3117" s="64">
        <f>IF($A3117="","",IF(O3117&lt;&gt;원인분석!$C$9,"",IF(AND(M3117&gt;=원인분석!$C$10,M3117&lt;=원인분석!$C$11),"당기",IF(AND(M3117&gt;=원인분석!$C$12,M3117&lt;=원인분석!$C$13),"비교",""))))</f>
        <v/>
      </c>
      <c r="R3117" s="9">
        <f>IF(Q3117="","",$K3117&amp;"")</f>
        <v/>
      </c>
      <c r="S3117" s="9">
        <f>IF(Q3117="","",IF(MATCH(R3117,$R$5:$R$100000,0)=ROW()-4,ROW(),""))</f>
        <v/>
      </c>
      <c r="T3117" s="9">
        <f>IF(Q3117="당기",ABS(P3117)+ROW()/1000000000,"")</f>
        <v/>
      </c>
      <c r="U3117" s="9">
        <f>IF(Q3117="비교",ABS(P3117)+ROW()/1000000000,"")</f>
        <v/>
      </c>
      <c r="V3117" s="64">
        <f>IF($A3117="","",IF(COUNTIF(변동분석!$E$7:$E$506,O3117)&gt;0,"Y","N"))</f>
        <v/>
      </c>
      <c r="W3117" s="64">
        <f>IF($A3117="","",IFERROR(INDEX(계정매핑!$D$5:$D$504,MATCH($F3117&amp;"",계정매핑!$A$5:$A$504,0)),"미매핑"))</f>
        <v/>
      </c>
      <c r="X3117" s="9">
        <f>IF($A3117="","",$F3117&amp;"")</f>
        <v/>
      </c>
      <c r="Y3117" s="94">
        <f>IF($A3117="",0,IF(AE3117="직접",IF(AF3117="비귀속",$P3117,0),$P3117*(1-AG3117)*IFERROR(INDEX(계정대체기준!$F$20:$F$49,MATCH($N3117,계정대체기준!$A$20:$A$49,0)),1)))</f>
        <v/>
      </c>
      <c r="Z3117" s="94">
        <f>IF($A3117="",0,IF(AE3117="직접",IF(AF3117="신계약비",$P3117,0),$P3117*(1-AG3117)*IFERROR(INDEX(계정대체기준!$C$20:$C$49,MATCH($N3117,계정대체기준!$A$20:$A$49,0)),0)))</f>
        <v/>
      </c>
      <c r="AA3117" s="94">
        <f>IF($A3117="",0,IF(AE3117="직접",IF(OR(AF3117="유지비",AF3117="손해조사비"),$P3117,0),$P3117*(1-AG3117)*IFERROR(INDEX(계정대체기준!$D$20:$D$49,MATCH($N3117,계정대체기준!$A$20:$A$49,0)),0)))</f>
        <v/>
      </c>
      <c r="AB3117" s="94">
        <f>IF($A3117="",0,IF(AE3117="직접",IF(AF3117="수금비",$P3117,0),$P3117*(1-AG3117)*IFERROR(INDEX(계정대체기준!$E$20:$E$49,MATCH($N3117,계정대체기준!$A$20:$A$49,0)),0)))</f>
        <v/>
      </c>
      <c r="AC3117" s="9">
        <f>IF(AND($A3117&lt;&gt;"",M3117=설정!$C$20,Z3117&gt;0),Z3117+ROW()/1000000000,"")</f>
        <v/>
      </c>
      <c r="AD3117" s="94">
        <f>IF($A3117="",0,$P3117*AG3117)</f>
        <v/>
      </c>
      <c r="AE3117" s="64">
        <f>IF($A3117="","",IFERROR(INDEX(계정매핑!$E$5:$E$504,MATCH($F3117&amp;"",계정매핑!$A$5:$A$504,0))&amp;"","공통비"))</f>
        <v/>
      </c>
      <c r="AF3117" s="64">
        <f>IF($A3117="","",IF(AE3117="직접",IFERROR(INDEX(계정매핑!$F$5:$F$504,MATCH($F3117&amp;"",계정매핑!$A$5:$A$504,0))&amp;"","비귀속"),""))</f>
        <v/>
      </c>
      <c r="AG3117" s="96">
        <f>IF($A3117="",0,IF(AND(AE3117&lt;&gt;"직접",IFERROR(INDEX(계정매핑!$G$5:$G$504,MATCH($F3117&amp;"",계정매핑!$A$5:$A$504,0))&amp;"","")="유지비",COUNTIF(계정대체기준!$A$6:$A$15,$N3117)&gt;0),IFERROR(INDEX(계정대체기준!$E$6:$E$15,MATCH(VALUE($A3117&amp;""),계정대체기준!$D$6:$D$15,0)),0),0))</f>
        <v/>
      </c>
      <c r="AH3117" s="64">
        <f>IF($A3117="","",IF(AD3117=0,"",IF(OR(COUNTIF(계정대체기준!$A$77:$A$86,$N3117)&gt;0,ISNUMBER(MATCH($X3117,계정대체기준!$D$77:$D$86,0)),ISNUMBER(MATCH($F3117,계정대체기준!$D$77:$D$86,0))),"Y","N")))</f>
        <v/>
      </c>
    </row>
    <row r="3118">
      <c r="A3118" s="92" t="n">
        <v>2026</v>
      </c>
      <c r="B3118" s="92" t="n">
        <v>2</v>
      </c>
      <c r="C3118" s="92" t="inlineStr">
        <is>
          <t>5100000396</t>
        </is>
      </c>
      <c r="D3118" s="95" t="n">
        <v>46072</v>
      </c>
      <c r="E3118" s="92" t="inlineStr">
        <is>
          <t>KR</t>
        </is>
      </c>
      <c r="F3118" s="92" t="n">
        <v>62901000</v>
      </c>
      <c r="G3118" s="92" t="n">
        <v>1951</v>
      </c>
      <c r="H3118" s="93" t="n">
        <v>11468000</v>
      </c>
      <c r="I3118" s="92" t="inlineStr">
        <is>
          <t>2월 자문 수수료 - W컨설팅</t>
        </is>
      </c>
      <c r="J3118" s="92" t="inlineStr">
        <is>
          <t>V10006</t>
        </is>
      </c>
      <c r="K3118" s="92" t="inlineStr">
        <is>
          <t>W컨설팅</t>
        </is>
      </c>
      <c r="M3118" s="9">
        <f>IF($A3118="","",VALUE($A3118&amp;"")*12+VALUE($B3118&amp;""))</f>
        <v/>
      </c>
      <c r="N3118" s="64">
        <f>IF($A3118="","",IFERROR(INDEX(부서매핑!$C$5:$C$504,MATCH($G3118&amp;"",부서매핑!$A$5:$A$504,0)),"미매핑"))</f>
        <v/>
      </c>
      <c r="O3118" s="9">
        <f>IF($A3118="","",N3118&amp;"|"&amp;$F3118)</f>
        <v/>
      </c>
      <c r="P3118" s="94">
        <f>IF($A3118="",0,$H3118*설정!$C$23)</f>
        <v/>
      </c>
      <c r="Q3118" s="64">
        <f>IF($A3118="","",IF(O3118&lt;&gt;원인분석!$C$9,"",IF(AND(M3118&gt;=원인분석!$C$10,M3118&lt;=원인분석!$C$11),"당기",IF(AND(M3118&gt;=원인분석!$C$12,M3118&lt;=원인분석!$C$13),"비교",""))))</f>
        <v/>
      </c>
      <c r="R3118" s="9">
        <f>IF(Q3118="","",$K3118&amp;"")</f>
        <v/>
      </c>
      <c r="S3118" s="9">
        <f>IF(Q3118="","",IF(MATCH(R3118,$R$5:$R$100000,0)=ROW()-4,ROW(),""))</f>
        <v/>
      </c>
      <c r="T3118" s="9">
        <f>IF(Q3118="당기",ABS(P3118)+ROW()/1000000000,"")</f>
        <v/>
      </c>
      <c r="U3118" s="9">
        <f>IF(Q3118="비교",ABS(P3118)+ROW()/1000000000,"")</f>
        <v/>
      </c>
      <c r="V3118" s="64">
        <f>IF($A3118="","",IF(COUNTIF(변동분석!$E$7:$E$506,O3118)&gt;0,"Y","N"))</f>
        <v/>
      </c>
      <c r="W3118" s="64">
        <f>IF($A3118="","",IFERROR(INDEX(계정매핑!$D$5:$D$504,MATCH($F3118&amp;"",계정매핑!$A$5:$A$504,0)),"미매핑"))</f>
        <v/>
      </c>
      <c r="X3118" s="9">
        <f>IF($A3118="","",$F3118&amp;"")</f>
        <v/>
      </c>
      <c r="Y3118" s="94">
        <f>IF($A3118="",0,IF(AE3118="직접",IF(AF3118="비귀속",$P3118,0),$P3118*(1-AG3118)*IFERROR(INDEX(계정대체기준!$F$20:$F$49,MATCH($N3118,계정대체기준!$A$20:$A$49,0)),1)))</f>
        <v/>
      </c>
      <c r="Z3118" s="94">
        <f>IF($A3118="",0,IF(AE3118="직접",IF(AF3118="신계약비",$P3118,0),$P3118*(1-AG3118)*IFERROR(INDEX(계정대체기준!$C$20:$C$49,MATCH($N3118,계정대체기준!$A$20:$A$49,0)),0)))</f>
        <v/>
      </c>
      <c r="AA3118" s="94">
        <f>IF($A3118="",0,IF(AE3118="직접",IF(OR(AF3118="유지비",AF3118="손해조사비"),$P3118,0),$P3118*(1-AG3118)*IFERROR(INDEX(계정대체기준!$D$20:$D$49,MATCH($N3118,계정대체기준!$A$20:$A$49,0)),0)))</f>
        <v/>
      </c>
      <c r="AB3118" s="94">
        <f>IF($A3118="",0,IF(AE3118="직접",IF(AF3118="수금비",$P3118,0),$P3118*(1-AG3118)*IFERROR(INDEX(계정대체기준!$E$20:$E$49,MATCH($N3118,계정대체기준!$A$20:$A$49,0)),0)))</f>
        <v/>
      </c>
      <c r="AC3118" s="9">
        <f>IF(AND($A3118&lt;&gt;"",M3118=설정!$C$20,Z3118&gt;0),Z3118+ROW()/1000000000,"")</f>
        <v/>
      </c>
      <c r="AD3118" s="94">
        <f>IF($A3118="",0,$P3118*AG3118)</f>
        <v/>
      </c>
      <c r="AE3118" s="64">
        <f>IF($A3118="","",IFERROR(INDEX(계정매핑!$E$5:$E$504,MATCH($F3118&amp;"",계정매핑!$A$5:$A$504,0))&amp;"","공통비"))</f>
        <v/>
      </c>
      <c r="AF3118" s="64">
        <f>IF($A3118="","",IF(AE3118="직접",IFERROR(INDEX(계정매핑!$F$5:$F$504,MATCH($F3118&amp;"",계정매핑!$A$5:$A$504,0))&amp;"","비귀속"),""))</f>
        <v/>
      </c>
      <c r="AG3118" s="96">
        <f>IF($A3118="",0,IF(AND(AE3118&lt;&gt;"직접",IFERROR(INDEX(계정매핑!$G$5:$G$504,MATCH($F3118&amp;"",계정매핑!$A$5:$A$504,0))&amp;"","")="유지비",COUNTIF(계정대체기준!$A$6:$A$15,$N3118)&gt;0),IFERROR(INDEX(계정대체기준!$E$6:$E$15,MATCH(VALUE($A3118&amp;""),계정대체기준!$D$6:$D$15,0)),0),0))</f>
        <v/>
      </c>
      <c r="AH3118" s="64">
        <f>IF($A3118="","",IF(AD3118=0,"",IF(OR(COUNTIF(계정대체기준!$A$77:$A$86,$N3118)&gt;0,ISNUMBER(MATCH($X3118,계정대체기준!$D$77:$D$86,0)),ISNUMBER(MATCH($F3118,계정대체기준!$D$77:$D$86,0))),"Y","N")))</f>
        <v/>
      </c>
    </row>
    <row r="3119">
      <c r="A3119" s="92" t="n">
        <v>2026</v>
      </c>
      <c r="B3119" s="92" t="n">
        <v>2</v>
      </c>
      <c r="C3119" s="92" t="inlineStr">
        <is>
          <t>5100000397</t>
        </is>
      </c>
      <c r="D3119" s="95" t="n">
        <v>46072</v>
      </c>
      <c r="E3119" s="92" t="inlineStr">
        <is>
          <t>KR</t>
        </is>
      </c>
      <c r="F3119" s="92" t="n">
        <v>63501000</v>
      </c>
      <c r="G3119" s="92" t="n">
        <v>1902</v>
      </c>
      <c r="H3119" s="93" t="n">
        <v>320280000</v>
      </c>
      <c r="I3119" s="92" t="inlineStr">
        <is>
          <t>2월 모집수수료 - AA보험대리점</t>
        </is>
      </c>
      <c r="J3119" s="92" t="inlineStr">
        <is>
          <t>V10034</t>
        </is>
      </c>
      <c r="K3119" s="92" t="inlineStr">
        <is>
          <t>AA보험대리점</t>
        </is>
      </c>
      <c r="M3119" s="9">
        <f>IF($A3119="","",VALUE($A3119&amp;"")*12+VALUE($B3119&amp;""))</f>
        <v/>
      </c>
      <c r="N3119" s="64">
        <f>IF($A3119="","",IFERROR(INDEX(부서매핑!$C$5:$C$504,MATCH($G3119&amp;"",부서매핑!$A$5:$A$504,0)),"미매핑"))</f>
        <v/>
      </c>
      <c r="O3119" s="9">
        <f>IF($A3119="","",N3119&amp;"|"&amp;$F3119)</f>
        <v/>
      </c>
      <c r="P3119" s="94">
        <f>IF($A3119="",0,$H3119*설정!$C$23)</f>
        <v/>
      </c>
      <c r="Q3119" s="64">
        <f>IF($A3119="","",IF(O3119&lt;&gt;원인분석!$C$9,"",IF(AND(M3119&gt;=원인분석!$C$10,M3119&lt;=원인분석!$C$11),"당기",IF(AND(M3119&gt;=원인분석!$C$12,M3119&lt;=원인분석!$C$13),"비교",""))))</f>
        <v/>
      </c>
      <c r="R3119" s="9">
        <f>IF(Q3119="","",$K3119&amp;"")</f>
        <v/>
      </c>
      <c r="S3119" s="9">
        <f>IF(Q3119="","",IF(MATCH(R3119,$R$5:$R$100000,0)=ROW()-4,ROW(),""))</f>
        <v/>
      </c>
      <c r="T3119" s="9">
        <f>IF(Q3119="당기",ABS(P3119)+ROW()/1000000000,"")</f>
        <v/>
      </c>
      <c r="U3119" s="9">
        <f>IF(Q3119="비교",ABS(P3119)+ROW()/1000000000,"")</f>
        <v/>
      </c>
      <c r="V3119" s="64">
        <f>IF($A3119="","",IF(COUNTIF(변동분석!$E$7:$E$506,O3119)&gt;0,"Y","N"))</f>
        <v/>
      </c>
      <c r="W3119" s="64">
        <f>IF($A3119="","",IFERROR(INDEX(계정매핑!$D$5:$D$504,MATCH($F3119&amp;"",계정매핑!$A$5:$A$504,0)),"미매핑"))</f>
        <v/>
      </c>
      <c r="X3119" s="9">
        <f>IF($A3119="","",$F3119&amp;"")</f>
        <v/>
      </c>
      <c r="Y3119" s="94">
        <f>IF($A3119="",0,IF(AE3119="직접",IF(AF3119="비귀속",$P3119,0),$P3119*(1-AG3119)*IFERROR(INDEX(계정대체기준!$F$20:$F$49,MATCH($N3119,계정대체기준!$A$20:$A$49,0)),1)))</f>
        <v/>
      </c>
      <c r="Z3119" s="94">
        <f>IF($A3119="",0,IF(AE3119="직접",IF(AF3119="신계약비",$P3119,0),$P3119*(1-AG3119)*IFERROR(INDEX(계정대체기준!$C$20:$C$49,MATCH($N3119,계정대체기준!$A$20:$A$49,0)),0)))</f>
        <v/>
      </c>
      <c r="AA3119" s="94">
        <f>IF($A3119="",0,IF(AE3119="직접",IF(OR(AF3119="유지비",AF3119="손해조사비"),$P3119,0),$P3119*(1-AG3119)*IFERROR(INDEX(계정대체기준!$D$20:$D$49,MATCH($N3119,계정대체기준!$A$20:$A$49,0)),0)))</f>
        <v/>
      </c>
      <c r="AB3119" s="94">
        <f>IF($A3119="",0,IF(AE3119="직접",IF(AF3119="수금비",$P3119,0),$P3119*(1-AG3119)*IFERROR(INDEX(계정대체기준!$E$20:$E$49,MATCH($N3119,계정대체기준!$A$20:$A$49,0)),0)))</f>
        <v/>
      </c>
      <c r="AC3119" s="9">
        <f>IF(AND($A3119&lt;&gt;"",M3119=설정!$C$20,Z3119&gt;0),Z3119+ROW()/1000000000,"")</f>
        <v/>
      </c>
      <c r="AD3119" s="94">
        <f>IF($A3119="",0,$P3119*AG3119)</f>
        <v/>
      </c>
      <c r="AE3119" s="64">
        <f>IF($A3119="","",IFERROR(INDEX(계정매핑!$E$5:$E$504,MATCH($F3119&amp;"",계정매핑!$A$5:$A$504,0))&amp;"","공통비"))</f>
        <v/>
      </c>
      <c r="AF3119" s="64">
        <f>IF($A3119="","",IF(AE3119="직접",IFERROR(INDEX(계정매핑!$F$5:$F$504,MATCH($F3119&amp;"",계정매핑!$A$5:$A$504,0))&amp;"","비귀속"),""))</f>
        <v/>
      </c>
      <c r="AG3119" s="96">
        <f>IF($A3119="",0,IF(AND(AE3119&lt;&gt;"직접",IFERROR(INDEX(계정매핑!$G$5:$G$504,MATCH($F3119&amp;"",계정매핑!$A$5:$A$504,0))&amp;"","")="유지비",COUNTIF(계정대체기준!$A$6:$A$15,$N3119)&gt;0),IFERROR(INDEX(계정대체기준!$E$6:$E$15,MATCH(VALUE($A3119&amp;""),계정대체기준!$D$6:$D$15,0)),0),0))</f>
        <v/>
      </c>
      <c r="AH3119" s="64">
        <f>IF($A3119="","",IF(AD3119=0,"",IF(OR(COUNTIF(계정대체기준!$A$77:$A$86,$N3119)&gt;0,ISNUMBER(MATCH($X3119,계정대체기준!$D$77:$D$86,0)),ISNUMBER(MATCH($F3119,계정대체기준!$D$77:$D$86,0))),"Y","N")))</f>
        <v/>
      </c>
    </row>
    <row r="3120">
      <c r="A3120" s="92" t="n">
        <v>2026</v>
      </c>
      <c r="B3120" s="92" t="n">
        <v>2</v>
      </c>
      <c r="C3120" s="92" t="inlineStr">
        <is>
          <t>5100000398</t>
        </is>
      </c>
      <c r="D3120" s="95" t="n">
        <v>46073</v>
      </c>
      <c r="E3120" s="92" t="inlineStr">
        <is>
          <t>KR</t>
        </is>
      </c>
      <c r="F3120" s="92" t="n">
        <v>62101000</v>
      </c>
      <c r="G3120" s="92" t="n">
        <v>1401</v>
      </c>
      <c r="H3120" s="93" t="n">
        <v>353000</v>
      </c>
      <c r="I3120" s="92" t="inlineStr">
        <is>
          <t>2월 국내출장 - M항공</t>
        </is>
      </c>
      <c r="J3120" s="92" t="inlineStr">
        <is>
          <t>V10001</t>
        </is>
      </c>
      <c r="K3120" s="92" t="inlineStr">
        <is>
          <t>M항공</t>
        </is>
      </c>
      <c r="M3120" s="9">
        <f>IF($A3120="","",VALUE($A3120&amp;"")*12+VALUE($B3120&amp;""))</f>
        <v/>
      </c>
      <c r="N3120" s="64">
        <f>IF($A3120="","",IFERROR(INDEX(부서매핑!$C$5:$C$504,MATCH($G3120&amp;"",부서매핑!$A$5:$A$504,0)),"미매핑"))</f>
        <v/>
      </c>
      <c r="O3120" s="9">
        <f>IF($A3120="","",N3120&amp;"|"&amp;$F3120)</f>
        <v/>
      </c>
      <c r="P3120" s="94">
        <f>IF($A3120="",0,$H3120*설정!$C$23)</f>
        <v/>
      </c>
      <c r="Q3120" s="64">
        <f>IF($A3120="","",IF(O3120&lt;&gt;원인분석!$C$9,"",IF(AND(M3120&gt;=원인분석!$C$10,M3120&lt;=원인분석!$C$11),"당기",IF(AND(M3120&gt;=원인분석!$C$12,M3120&lt;=원인분석!$C$13),"비교",""))))</f>
        <v/>
      </c>
      <c r="R3120" s="9">
        <f>IF(Q3120="","",$K3120&amp;"")</f>
        <v/>
      </c>
      <c r="S3120" s="9">
        <f>IF(Q3120="","",IF(MATCH(R3120,$R$5:$R$100000,0)=ROW()-4,ROW(),""))</f>
        <v/>
      </c>
      <c r="T3120" s="9">
        <f>IF(Q3120="당기",ABS(P3120)+ROW()/1000000000,"")</f>
        <v/>
      </c>
      <c r="U3120" s="9">
        <f>IF(Q3120="비교",ABS(P3120)+ROW()/1000000000,"")</f>
        <v/>
      </c>
      <c r="V3120" s="64">
        <f>IF($A3120="","",IF(COUNTIF(변동분석!$E$7:$E$506,O3120)&gt;0,"Y","N"))</f>
        <v/>
      </c>
      <c r="W3120" s="64">
        <f>IF($A3120="","",IFERROR(INDEX(계정매핑!$D$5:$D$504,MATCH($F3120&amp;"",계정매핑!$A$5:$A$504,0)),"미매핑"))</f>
        <v/>
      </c>
      <c r="X3120" s="9">
        <f>IF($A3120="","",$F3120&amp;"")</f>
        <v/>
      </c>
      <c r="Y3120" s="94">
        <f>IF($A3120="",0,IF(AE3120="직접",IF(AF3120="비귀속",$P3120,0),$P3120*(1-AG3120)*IFERROR(INDEX(계정대체기준!$F$20:$F$49,MATCH($N3120,계정대체기준!$A$20:$A$49,0)),1)))</f>
        <v/>
      </c>
      <c r="Z3120" s="94">
        <f>IF($A3120="",0,IF(AE3120="직접",IF(AF3120="신계약비",$P3120,0),$P3120*(1-AG3120)*IFERROR(INDEX(계정대체기준!$C$20:$C$49,MATCH($N3120,계정대체기준!$A$20:$A$49,0)),0)))</f>
        <v/>
      </c>
      <c r="AA3120" s="94">
        <f>IF($A3120="",0,IF(AE3120="직접",IF(OR(AF3120="유지비",AF3120="손해조사비"),$P3120,0),$P3120*(1-AG3120)*IFERROR(INDEX(계정대체기준!$D$20:$D$49,MATCH($N3120,계정대체기준!$A$20:$A$49,0)),0)))</f>
        <v/>
      </c>
      <c r="AB3120" s="94">
        <f>IF($A3120="",0,IF(AE3120="직접",IF(AF3120="수금비",$P3120,0),$P3120*(1-AG3120)*IFERROR(INDEX(계정대체기준!$E$20:$E$49,MATCH($N3120,계정대체기준!$A$20:$A$49,0)),0)))</f>
        <v/>
      </c>
      <c r="AC3120" s="9">
        <f>IF(AND($A3120&lt;&gt;"",M3120=설정!$C$20,Z3120&gt;0),Z3120+ROW()/1000000000,"")</f>
        <v/>
      </c>
      <c r="AD3120" s="94">
        <f>IF($A3120="",0,$P3120*AG3120)</f>
        <v/>
      </c>
      <c r="AE3120" s="64">
        <f>IF($A3120="","",IFERROR(INDEX(계정매핑!$E$5:$E$504,MATCH($F3120&amp;"",계정매핑!$A$5:$A$504,0))&amp;"","공통비"))</f>
        <v/>
      </c>
      <c r="AF3120" s="64">
        <f>IF($A3120="","",IF(AE3120="직접",IFERROR(INDEX(계정매핑!$F$5:$F$504,MATCH($F3120&amp;"",계정매핑!$A$5:$A$504,0))&amp;"","비귀속"),""))</f>
        <v/>
      </c>
      <c r="AG3120" s="96">
        <f>IF($A3120="",0,IF(AND(AE3120&lt;&gt;"직접",IFERROR(INDEX(계정매핑!$G$5:$G$504,MATCH($F3120&amp;"",계정매핑!$A$5:$A$504,0))&amp;"","")="유지비",COUNTIF(계정대체기준!$A$6:$A$15,$N3120)&gt;0),IFERROR(INDEX(계정대체기준!$E$6:$E$15,MATCH(VALUE($A3120&amp;""),계정대체기준!$D$6:$D$15,0)),0),0))</f>
        <v/>
      </c>
      <c r="AH3120" s="64">
        <f>IF($A3120="","",IF(AD3120=0,"",IF(OR(COUNTIF(계정대체기준!$A$77:$A$86,$N3120)&gt;0,ISNUMBER(MATCH($X3120,계정대체기준!$D$77:$D$86,0)),ISNUMBER(MATCH($F3120,계정대체기준!$D$77:$D$86,0))),"Y","N")))</f>
        <v/>
      </c>
    </row>
    <row r="3121">
      <c r="A3121" s="92" t="n">
        <v>2026</v>
      </c>
      <c r="B3121" s="92" t="n">
        <v>2</v>
      </c>
      <c r="C3121" s="92" t="inlineStr">
        <is>
          <t>5100000399</t>
        </is>
      </c>
      <c r="D3121" s="95" t="n">
        <v>46073</v>
      </c>
      <c r="E3121" s="92" t="inlineStr">
        <is>
          <t>KR</t>
        </is>
      </c>
      <c r="F3121" s="92" t="n">
        <v>62101000</v>
      </c>
      <c r="G3121" s="92" t="n">
        <v>1602</v>
      </c>
      <c r="H3121" s="93" t="n">
        <v>1152000</v>
      </c>
      <c r="I3121" s="92" t="inlineStr">
        <is>
          <t>2월 국내출장 - M항공</t>
        </is>
      </c>
      <c r="J3121" s="92" t="inlineStr">
        <is>
          <t>V10001</t>
        </is>
      </c>
      <c r="K3121" s="92" t="inlineStr">
        <is>
          <t>M항공</t>
        </is>
      </c>
      <c r="M3121" s="9">
        <f>IF($A3121="","",VALUE($A3121&amp;"")*12+VALUE($B3121&amp;""))</f>
        <v/>
      </c>
      <c r="N3121" s="64">
        <f>IF($A3121="","",IFERROR(INDEX(부서매핑!$C$5:$C$504,MATCH($G3121&amp;"",부서매핑!$A$5:$A$504,0)),"미매핑"))</f>
        <v/>
      </c>
      <c r="O3121" s="9">
        <f>IF($A3121="","",N3121&amp;"|"&amp;$F3121)</f>
        <v/>
      </c>
      <c r="P3121" s="94">
        <f>IF($A3121="",0,$H3121*설정!$C$23)</f>
        <v/>
      </c>
      <c r="Q3121" s="64">
        <f>IF($A3121="","",IF(O3121&lt;&gt;원인분석!$C$9,"",IF(AND(M3121&gt;=원인분석!$C$10,M3121&lt;=원인분석!$C$11),"당기",IF(AND(M3121&gt;=원인분석!$C$12,M3121&lt;=원인분석!$C$13),"비교",""))))</f>
        <v/>
      </c>
      <c r="R3121" s="9">
        <f>IF(Q3121="","",$K3121&amp;"")</f>
        <v/>
      </c>
      <c r="S3121" s="9">
        <f>IF(Q3121="","",IF(MATCH(R3121,$R$5:$R$100000,0)=ROW()-4,ROW(),""))</f>
        <v/>
      </c>
      <c r="T3121" s="9">
        <f>IF(Q3121="당기",ABS(P3121)+ROW()/1000000000,"")</f>
        <v/>
      </c>
      <c r="U3121" s="9">
        <f>IF(Q3121="비교",ABS(P3121)+ROW()/1000000000,"")</f>
        <v/>
      </c>
      <c r="V3121" s="64">
        <f>IF($A3121="","",IF(COUNTIF(변동분석!$E$7:$E$506,O3121)&gt;0,"Y","N"))</f>
        <v/>
      </c>
      <c r="W3121" s="64">
        <f>IF($A3121="","",IFERROR(INDEX(계정매핑!$D$5:$D$504,MATCH($F3121&amp;"",계정매핑!$A$5:$A$504,0)),"미매핑"))</f>
        <v/>
      </c>
      <c r="X3121" s="9">
        <f>IF($A3121="","",$F3121&amp;"")</f>
        <v/>
      </c>
      <c r="Y3121" s="94">
        <f>IF($A3121="",0,IF(AE3121="직접",IF(AF3121="비귀속",$P3121,0),$P3121*(1-AG3121)*IFERROR(INDEX(계정대체기준!$F$20:$F$49,MATCH($N3121,계정대체기준!$A$20:$A$49,0)),1)))</f>
        <v/>
      </c>
      <c r="Z3121" s="94">
        <f>IF($A3121="",0,IF(AE3121="직접",IF(AF3121="신계약비",$P3121,0),$P3121*(1-AG3121)*IFERROR(INDEX(계정대체기준!$C$20:$C$49,MATCH($N3121,계정대체기준!$A$20:$A$49,0)),0)))</f>
        <v/>
      </c>
      <c r="AA3121" s="94">
        <f>IF($A3121="",0,IF(AE3121="직접",IF(OR(AF3121="유지비",AF3121="손해조사비"),$P3121,0),$P3121*(1-AG3121)*IFERROR(INDEX(계정대체기준!$D$20:$D$49,MATCH($N3121,계정대체기준!$A$20:$A$49,0)),0)))</f>
        <v/>
      </c>
      <c r="AB3121" s="94">
        <f>IF($A3121="",0,IF(AE3121="직접",IF(AF3121="수금비",$P3121,0),$P3121*(1-AG3121)*IFERROR(INDEX(계정대체기준!$E$20:$E$49,MATCH($N3121,계정대체기준!$A$20:$A$49,0)),0)))</f>
        <v/>
      </c>
      <c r="AC3121" s="9">
        <f>IF(AND($A3121&lt;&gt;"",M3121=설정!$C$20,Z3121&gt;0),Z3121+ROW()/1000000000,"")</f>
        <v/>
      </c>
      <c r="AD3121" s="94">
        <f>IF($A3121="",0,$P3121*AG3121)</f>
        <v/>
      </c>
      <c r="AE3121" s="64">
        <f>IF($A3121="","",IFERROR(INDEX(계정매핑!$E$5:$E$504,MATCH($F3121&amp;"",계정매핑!$A$5:$A$504,0))&amp;"","공통비"))</f>
        <v/>
      </c>
      <c r="AF3121" s="64">
        <f>IF($A3121="","",IF(AE3121="직접",IFERROR(INDEX(계정매핑!$F$5:$F$504,MATCH($F3121&amp;"",계정매핑!$A$5:$A$504,0))&amp;"","비귀속"),""))</f>
        <v/>
      </c>
      <c r="AG3121" s="96">
        <f>IF($A3121="",0,IF(AND(AE3121&lt;&gt;"직접",IFERROR(INDEX(계정매핑!$G$5:$G$504,MATCH($F3121&amp;"",계정매핑!$A$5:$A$504,0))&amp;"","")="유지비",COUNTIF(계정대체기준!$A$6:$A$15,$N3121)&gt;0),IFERROR(INDEX(계정대체기준!$E$6:$E$15,MATCH(VALUE($A3121&amp;""),계정대체기준!$D$6:$D$15,0)),0),0))</f>
        <v/>
      </c>
      <c r="AH3121" s="64">
        <f>IF($A3121="","",IF(AD3121=0,"",IF(OR(COUNTIF(계정대체기준!$A$77:$A$86,$N3121)&gt;0,ISNUMBER(MATCH($X3121,계정대체기준!$D$77:$D$86,0)),ISNUMBER(MATCH($F3121,계정대체기준!$D$77:$D$86,0))),"Y","N")))</f>
        <v/>
      </c>
    </row>
    <row r="3122">
      <c r="A3122" s="92" t="n">
        <v>2026</v>
      </c>
      <c r="B3122" s="92" t="n">
        <v>2</v>
      </c>
      <c r="C3122" s="92" t="inlineStr">
        <is>
          <t>5100000400</t>
        </is>
      </c>
      <c r="D3122" s="95" t="n">
        <v>46073</v>
      </c>
      <c r="E3122" s="92" t="inlineStr">
        <is>
          <t>KR</t>
        </is>
      </c>
      <c r="F3122" s="92" t="n">
        <v>62101000</v>
      </c>
      <c r="G3122" s="92" t="n">
        <v>1701</v>
      </c>
      <c r="H3122" s="93" t="n">
        <v>290000</v>
      </c>
      <c r="I3122" s="92" t="inlineStr">
        <is>
          <t>2월 국내출장 - L여행사</t>
        </is>
      </c>
      <c r="J3122" s="92" t="inlineStr">
        <is>
          <t>V10018</t>
        </is>
      </c>
      <c r="K3122" s="92" t="inlineStr">
        <is>
          <t>L여행사</t>
        </is>
      </c>
      <c r="M3122" s="9">
        <f>IF($A3122="","",VALUE($A3122&amp;"")*12+VALUE($B3122&amp;""))</f>
        <v/>
      </c>
      <c r="N3122" s="64">
        <f>IF($A3122="","",IFERROR(INDEX(부서매핑!$C$5:$C$504,MATCH($G3122&amp;"",부서매핑!$A$5:$A$504,0)),"미매핑"))</f>
        <v/>
      </c>
      <c r="O3122" s="9">
        <f>IF($A3122="","",N3122&amp;"|"&amp;$F3122)</f>
        <v/>
      </c>
      <c r="P3122" s="94">
        <f>IF($A3122="",0,$H3122*설정!$C$23)</f>
        <v/>
      </c>
      <c r="Q3122" s="64">
        <f>IF($A3122="","",IF(O3122&lt;&gt;원인분석!$C$9,"",IF(AND(M3122&gt;=원인분석!$C$10,M3122&lt;=원인분석!$C$11),"당기",IF(AND(M3122&gt;=원인분석!$C$12,M3122&lt;=원인분석!$C$13),"비교",""))))</f>
        <v/>
      </c>
      <c r="R3122" s="9">
        <f>IF(Q3122="","",$K3122&amp;"")</f>
        <v/>
      </c>
      <c r="S3122" s="9">
        <f>IF(Q3122="","",IF(MATCH(R3122,$R$5:$R$100000,0)=ROW()-4,ROW(),""))</f>
        <v/>
      </c>
      <c r="T3122" s="9">
        <f>IF(Q3122="당기",ABS(P3122)+ROW()/1000000000,"")</f>
        <v/>
      </c>
      <c r="U3122" s="9">
        <f>IF(Q3122="비교",ABS(P3122)+ROW()/1000000000,"")</f>
        <v/>
      </c>
      <c r="V3122" s="64">
        <f>IF($A3122="","",IF(COUNTIF(변동분석!$E$7:$E$506,O3122)&gt;0,"Y","N"))</f>
        <v/>
      </c>
      <c r="W3122" s="64">
        <f>IF($A3122="","",IFERROR(INDEX(계정매핑!$D$5:$D$504,MATCH($F3122&amp;"",계정매핑!$A$5:$A$504,0)),"미매핑"))</f>
        <v/>
      </c>
      <c r="X3122" s="9">
        <f>IF($A3122="","",$F3122&amp;"")</f>
        <v/>
      </c>
      <c r="Y3122" s="94">
        <f>IF($A3122="",0,IF(AE3122="직접",IF(AF3122="비귀속",$P3122,0),$P3122*(1-AG3122)*IFERROR(INDEX(계정대체기준!$F$20:$F$49,MATCH($N3122,계정대체기준!$A$20:$A$49,0)),1)))</f>
        <v/>
      </c>
      <c r="Z3122" s="94">
        <f>IF($A3122="",0,IF(AE3122="직접",IF(AF3122="신계약비",$P3122,0),$P3122*(1-AG3122)*IFERROR(INDEX(계정대체기준!$C$20:$C$49,MATCH($N3122,계정대체기준!$A$20:$A$49,0)),0)))</f>
        <v/>
      </c>
      <c r="AA3122" s="94">
        <f>IF($A3122="",0,IF(AE3122="직접",IF(OR(AF3122="유지비",AF3122="손해조사비"),$P3122,0),$P3122*(1-AG3122)*IFERROR(INDEX(계정대체기준!$D$20:$D$49,MATCH($N3122,계정대체기준!$A$20:$A$49,0)),0)))</f>
        <v/>
      </c>
      <c r="AB3122" s="94">
        <f>IF($A3122="",0,IF(AE3122="직접",IF(AF3122="수금비",$P3122,0),$P3122*(1-AG3122)*IFERROR(INDEX(계정대체기준!$E$20:$E$49,MATCH($N3122,계정대체기준!$A$20:$A$49,0)),0)))</f>
        <v/>
      </c>
      <c r="AC3122" s="9">
        <f>IF(AND($A3122&lt;&gt;"",M3122=설정!$C$20,Z3122&gt;0),Z3122+ROW()/1000000000,"")</f>
        <v/>
      </c>
      <c r="AD3122" s="94">
        <f>IF($A3122="",0,$P3122*AG3122)</f>
        <v/>
      </c>
      <c r="AE3122" s="64">
        <f>IF($A3122="","",IFERROR(INDEX(계정매핑!$E$5:$E$504,MATCH($F3122&amp;"",계정매핑!$A$5:$A$504,0))&amp;"","공통비"))</f>
        <v/>
      </c>
      <c r="AF3122" s="64">
        <f>IF($A3122="","",IF(AE3122="직접",IFERROR(INDEX(계정매핑!$F$5:$F$504,MATCH($F3122&amp;"",계정매핑!$A$5:$A$504,0))&amp;"","비귀속"),""))</f>
        <v/>
      </c>
      <c r="AG3122" s="96">
        <f>IF($A3122="",0,IF(AND(AE3122&lt;&gt;"직접",IFERROR(INDEX(계정매핑!$G$5:$G$504,MATCH($F3122&amp;"",계정매핑!$A$5:$A$504,0))&amp;"","")="유지비",COUNTIF(계정대체기준!$A$6:$A$15,$N3122)&gt;0),IFERROR(INDEX(계정대체기준!$E$6:$E$15,MATCH(VALUE($A3122&amp;""),계정대체기준!$D$6:$D$15,0)),0),0))</f>
        <v/>
      </c>
      <c r="AH3122" s="64">
        <f>IF($A3122="","",IF(AD3122=0,"",IF(OR(COUNTIF(계정대체기준!$A$77:$A$86,$N3122)&gt;0,ISNUMBER(MATCH($X3122,계정대체기준!$D$77:$D$86,0)),ISNUMBER(MATCH($F3122,계정대체기준!$D$77:$D$86,0))),"Y","N")))</f>
        <v/>
      </c>
    </row>
    <row r="3123">
      <c r="A3123" s="92" t="n">
        <v>2026</v>
      </c>
      <c r="B3123" s="92" t="n">
        <v>2</v>
      </c>
      <c r="C3123" s="92" t="inlineStr">
        <is>
          <t>5100000401</t>
        </is>
      </c>
      <c r="D3123" s="95" t="n">
        <v>46073</v>
      </c>
      <c r="E3123" s="92" t="inlineStr">
        <is>
          <t>KR</t>
        </is>
      </c>
      <c r="F3123" s="92" t="n">
        <v>62102000</v>
      </c>
      <c r="G3123" s="92" t="n">
        <v>1501</v>
      </c>
      <c r="H3123" s="93" t="n">
        <v>142000</v>
      </c>
      <c r="I3123" s="92" t="inlineStr">
        <is>
          <t>2월 해외출장 - M항공</t>
        </is>
      </c>
      <c r="J3123" s="92" t="inlineStr">
        <is>
          <t>V10001</t>
        </is>
      </c>
      <c r="K3123" s="92" t="inlineStr">
        <is>
          <t>M항공</t>
        </is>
      </c>
      <c r="M3123" s="9">
        <f>IF($A3123="","",VALUE($A3123&amp;"")*12+VALUE($B3123&amp;""))</f>
        <v/>
      </c>
      <c r="N3123" s="64">
        <f>IF($A3123="","",IFERROR(INDEX(부서매핑!$C$5:$C$504,MATCH($G3123&amp;"",부서매핑!$A$5:$A$504,0)),"미매핑"))</f>
        <v/>
      </c>
      <c r="O3123" s="9">
        <f>IF($A3123="","",N3123&amp;"|"&amp;$F3123)</f>
        <v/>
      </c>
      <c r="P3123" s="94">
        <f>IF($A3123="",0,$H3123*설정!$C$23)</f>
        <v/>
      </c>
      <c r="Q3123" s="64">
        <f>IF($A3123="","",IF(O3123&lt;&gt;원인분석!$C$9,"",IF(AND(M3123&gt;=원인분석!$C$10,M3123&lt;=원인분석!$C$11),"당기",IF(AND(M3123&gt;=원인분석!$C$12,M3123&lt;=원인분석!$C$13),"비교",""))))</f>
        <v/>
      </c>
      <c r="R3123" s="9">
        <f>IF(Q3123="","",$K3123&amp;"")</f>
        <v/>
      </c>
      <c r="S3123" s="9">
        <f>IF(Q3123="","",IF(MATCH(R3123,$R$5:$R$100000,0)=ROW()-4,ROW(),""))</f>
        <v/>
      </c>
      <c r="T3123" s="9">
        <f>IF(Q3123="당기",ABS(P3123)+ROW()/1000000000,"")</f>
        <v/>
      </c>
      <c r="U3123" s="9">
        <f>IF(Q3123="비교",ABS(P3123)+ROW()/1000000000,"")</f>
        <v/>
      </c>
      <c r="V3123" s="64">
        <f>IF($A3123="","",IF(COUNTIF(변동분석!$E$7:$E$506,O3123)&gt;0,"Y","N"))</f>
        <v/>
      </c>
      <c r="W3123" s="64">
        <f>IF($A3123="","",IFERROR(INDEX(계정매핑!$D$5:$D$504,MATCH($F3123&amp;"",계정매핑!$A$5:$A$504,0)),"미매핑"))</f>
        <v/>
      </c>
      <c r="X3123" s="9">
        <f>IF($A3123="","",$F3123&amp;"")</f>
        <v/>
      </c>
      <c r="Y3123" s="94">
        <f>IF($A3123="",0,IF(AE3123="직접",IF(AF3123="비귀속",$P3123,0),$P3123*(1-AG3123)*IFERROR(INDEX(계정대체기준!$F$20:$F$49,MATCH($N3123,계정대체기준!$A$20:$A$49,0)),1)))</f>
        <v/>
      </c>
      <c r="Z3123" s="94">
        <f>IF($A3123="",0,IF(AE3123="직접",IF(AF3123="신계약비",$P3123,0),$P3123*(1-AG3123)*IFERROR(INDEX(계정대체기준!$C$20:$C$49,MATCH($N3123,계정대체기준!$A$20:$A$49,0)),0)))</f>
        <v/>
      </c>
      <c r="AA3123" s="94">
        <f>IF($A3123="",0,IF(AE3123="직접",IF(OR(AF3123="유지비",AF3123="손해조사비"),$P3123,0),$P3123*(1-AG3123)*IFERROR(INDEX(계정대체기준!$D$20:$D$49,MATCH($N3123,계정대체기준!$A$20:$A$49,0)),0)))</f>
        <v/>
      </c>
      <c r="AB3123" s="94">
        <f>IF($A3123="",0,IF(AE3123="직접",IF(AF3123="수금비",$P3123,0),$P3123*(1-AG3123)*IFERROR(INDEX(계정대체기준!$E$20:$E$49,MATCH($N3123,계정대체기준!$A$20:$A$49,0)),0)))</f>
        <v/>
      </c>
      <c r="AC3123" s="9">
        <f>IF(AND($A3123&lt;&gt;"",M3123=설정!$C$20,Z3123&gt;0),Z3123+ROW()/1000000000,"")</f>
        <v/>
      </c>
      <c r="AD3123" s="94">
        <f>IF($A3123="",0,$P3123*AG3123)</f>
        <v/>
      </c>
      <c r="AE3123" s="64">
        <f>IF($A3123="","",IFERROR(INDEX(계정매핑!$E$5:$E$504,MATCH($F3123&amp;"",계정매핑!$A$5:$A$504,0))&amp;"","공통비"))</f>
        <v/>
      </c>
      <c r="AF3123" s="64">
        <f>IF($A3123="","",IF(AE3123="직접",IFERROR(INDEX(계정매핑!$F$5:$F$504,MATCH($F3123&amp;"",계정매핑!$A$5:$A$504,0))&amp;"","비귀속"),""))</f>
        <v/>
      </c>
      <c r="AG3123" s="96">
        <f>IF($A3123="",0,IF(AND(AE3123&lt;&gt;"직접",IFERROR(INDEX(계정매핑!$G$5:$G$504,MATCH($F3123&amp;"",계정매핑!$A$5:$A$504,0))&amp;"","")="유지비",COUNTIF(계정대체기준!$A$6:$A$15,$N3123)&gt;0),IFERROR(INDEX(계정대체기준!$E$6:$E$15,MATCH(VALUE($A3123&amp;""),계정대체기준!$D$6:$D$15,0)),0),0))</f>
        <v/>
      </c>
      <c r="AH3123" s="64">
        <f>IF($A3123="","",IF(AD3123=0,"",IF(OR(COUNTIF(계정대체기준!$A$77:$A$86,$N3123)&gt;0,ISNUMBER(MATCH($X3123,계정대체기준!$D$77:$D$86,0)),ISNUMBER(MATCH($F3123,계정대체기준!$D$77:$D$86,0))),"Y","N")))</f>
        <v/>
      </c>
    </row>
    <row r="3124">
      <c r="A3124" s="92" t="n">
        <v>2026</v>
      </c>
      <c r="B3124" s="92" t="n">
        <v>2</v>
      </c>
      <c r="C3124" s="92" t="inlineStr">
        <is>
          <t>5100000402</t>
        </is>
      </c>
      <c r="D3124" s="95" t="n">
        <v>46073</v>
      </c>
      <c r="E3124" s="92" t="inlineStr">
        <is>
          <t>KR</t>
        </is>
      </c>
      <c r="F3124" s="92" t="n">
        <v>62102000</v>
      </c>
      <c r="G3124" s="92" t="n">
        <v>1501</v>
      </c>
      <c r="H3124" s="93" t="n">
        <v>161000</v>
      </c>
      <c r="I3124" s="92" t="inlineStr">
        <is>
          <t>2월 해외출장 - N호텔</t>
        </is>
      </c>
      <c r="J3124" s="92" t="inlineStr">
        <is>
          <t>V10009</t>
        </is>
      </c>
      <c r="K3124" s="92" t="inlineStr">
        <is>
          <t>N호텔</t>
        </is>
      </c>
      <c r="M3124" s="9">
        <f>IF($A3124="","",VALUE($A3124&amp;"")*12+VALUE($B3124&amp;""))</f>
        <v/>
      </c>
      <c r="N3124" s="64">
        <f>IF($A3124="","",IFERROR(INDEX(부서매핑!$C$5:$C$504,MATCH($G3124&amp;"",부서매핑!$A$5:$A$504,0)),"미매핑"))</f>
        <v/>
      </c>
      <c r="O3124" s="9">
        <f>IF($A3124="","",N3124&amp;"|"&amp;$F3124)</f>
        <v/>
      </c>
      <c r="P3124" s="94">
        <f>IF($A3124="",0,$H3124*설정!$C$23)</f>
        <v/>
      </c>
      <c r="Q3124" s="64">
        <f>IF($A3124="","",IF(O3124&lt;&gt;원인분석!$C$9,"",IF(AND(M3124&gt;=원인분석!$C$10,M3124&lt;=원인분석!$C$11),"당기",IF(AND(M3124&gt;=원인분석!$C$12,M3124&lt;=원인분석!$C$13),"비교",""))))</f>
        <v/>
      </c>
      <c r="R3124" s="9">
        <f>IF(Q3124="","",$K3124&amp;"")</f>
        <v/>
      </c>
      <c r="S3124" s="9">
        <f>IF(Q3124="","",IF(MATCH(R3124,$R$5:$R$100000,0)=ROW()-4,ROW(),""))</f>
        <v/>
      </c>
      <c r="T3124" s="9">
        <f>IF(Q3124="당기",ABS(P3124)+ROW()/1000000000,"")</f>
        <v/>
      </c>
      <c r="U3124" s="9">
        <f>IF(Q3124="비교",ABS(P3124)+ROW()/1000000000,"")</f>
        <v/>
      </c>
      <c r="V3124" s="64">
        <f>IF($A3124="","",IF(COUNTIF(변동분석!$E$7:$E$506,O3124)&gt;0,"Y","N"))</f>
        <v/>
      </c>
      <c r="W3124" s="64">
        <f>IF($A3124="","",IFERROR(INDEX(계정매핑!$D$5:$D$504,MATCH($F3124&amp;"",계정매핑!$A$5:$A$504,0)),"미매핑"))</f>
        <v/>
      </c>
      <c r="X3124" s="9">
        <f>IF($A3124="","",$F3124&amp;"")</f>
        <v/>
      </c>
      <c r="Y3124" s="94">
        <f>IF($A3124="",0,IF(AE3124="직접",IF(AF3124="비귀속",$P3124,0),$P3124*(1-AG3124)*IFERROR(INDEX(계정대체기준!$F$20:$F$49,MATCH($N3124,계정대체기준!$A$20:$A$49,0)),1)))</f>
        <v/>
      </c>
      <c r="Z3124" s="94">
        <f>IF($A3124="",0,IF(AE3124="직접",IF(AF3124="신계약비",$P3124,0),$P3124*(1-AG3124)*IFERROR(INDEX(계정대체기준!$C$20:$C$49,MATCH($N3124,계정대체기준!$A$20:$A$49,0)),0)))</f>
        <v/>
      </c>
      <c r="AA3124" s="94">
        <f>IF($A3124="",0,IF(AE3124="직접",IF(OR(AF3124="유지비",AF3124="손해조사비"),$P3124,0),$P3124*(1-AG3124)*IFERROR(INDEX(계정대체기준!$D$20:$D$49,MATCH($N3124,계정대체기준!$A$20:$A$49,0)),0)))</f>
        <v/>
      </c>
      <c r="AB3124" s="94">
        <f>IF($A3124="",0,IF(AE3124="직접",IF(AF3124="수금비",$P3124,0),$P3124*(1-AG3124)*IFERROR(INDEX(계정대체기준!$E$20:$E$49,MATCH($N3124,계정대체기준!$A$20:$A$49,0)),0)))</f>
        <v/>
      </c>
      <c r="AC3124" s="9">
        <f>IF(AND($A3124&lt;&gt;"",M3124=설정!$C$20,Z3124&gt;0),Z3124+ROW()/1000000000,"")</f>
        <v/>
      </c>
      <c r="AD3124" s="94">
        <f>IF($A3124="",0,$P3124*AG3124)</f>
        <v/>
      </c>
      <c r="AE3124" s="64">
        <f>IF($A3124="","",IFERROR(INDEX(계정매핑!$E$5:$E$504,MATCH($F3124&amp;"",계정매핑!$A$5:$A$504,0))&amp;"","공통비"))</f>
        <v/>
      </c>
      <c r="AF3124" s="64">
        <f>IF($A3124="","",IF(AE3124="직접",IFERROR(INDEX(계정매핑!$F$5:$F$504,MATCH($F3124&amp;"",계정매핑!$A$5:$A$504,0))&amp;"","비귀속"),""))</f>
        <v/>
      </c>
      <c r="AG3124" s="96">
        <f>IF($A3124="",0,IF(AND(AE3124&lt;&gt;"직접",IFERROR(INDEX(계정매핑!$G$5:$G$504,MATCH($F3124&amp;"",계정매핑!$A$5:$A$504,0))&amp;"","")="유지비",COUNTIF(계정대체기준!$A$6:$A$15,$N3124)&gt;0),IFERROR(INDEX(계정대체기준!$E$6:$E$15,MATCH(VALUE($A3124&amp;""),계정대체기준!$D$6:$D$15,0)),0),0))</f>
        <v/>
      </c>
      <c r="AH3124" s="64">
        <f>IF($A3124="","",IF(AD3124=0,"",IF(OR(COUNTIF(계정대체기준!$A$77:$A$86,$N3124)&gt;0,ISNUMBER(MATCH($X3124,계정대체기준!$D$77:$D$86,0)),ISNUMBER(MATCH($F3124,계정대체기준!$D$77:$D$86,0))),"Y","N")))</f>
        <v/>
      </c>
    </row>
    <row r="3125">
      <c r="A3125" s="92" t="n">
        <v>2026</v>
      </c>
      <c r="B3125" s="92" t="n">
        <v>2</v>
      </c>
      <c r="C3125" s="92" t="inlineStr">
        <is>
          <t>5100000403</t>
        </is>
      </c>
      <c r="D3125" s="95" t="n">
        <v>46073</v>
      </c>
      <c r="E3125" s="92" t="inlineStr">
        <is>
          <t>KR</t>
        </is>
      </c>
      <c r="F3125" s="92" t="n">
        <v>62102000</v>
      </c>
      <c r="G3125" s="92" t="n">
        <v>1701</v>
      </c>
      <c r="H3125" s="93" t="n">
        <v>42000</v>
      </c>
      <c r="I3125" s="92" t="inlineStr">
        <is>
          <t>2월 해외출장 - N호텔</t>
        </is>
      </c>
      <c r="J3125" s="92" t="inlineStr">
        <is>
          <t>V10009</t>
        </is>
      </c>
      <c r="K3125" s="92" t="inlineStr">
        <is>
          <t>N호텔</t>
        </is>
      </c>
      <c r="M3125" s="9">
        <f>IF($A3125="","",VALUE($A3125&amp;"")*12+VALUE($B3125&amp;""))</f>
        <v/>
      </c>
      <c r="N3125" s="64">
        <f>IF($A3125="","",IFERROR(INDEX(부서매핑!$C$5:$C$504,MATCH($G3125&amp;"",부서매핑!$A$5:$A$504,0)),"미매핑"))</f>
        <v/>
      </c>
      <c r="O3125" s="9">
        <f>IF($A3125="","",N3125&amp;"|"&amp;$F3125)</f>
        <v/>
      </c>
      <c r="P3125" s="94">
        <f>IF($A3125="",0,$H3125*설정!$C$23)</f>
        <v/>
      </c>
      <c r="Q3125" s="64">
        <f>IF($A3125="","",IF(O3125&lt;&gt;원인분석!$C$9,"",IF(AND(M3125&gt;=원인분석!$C$10,M3125&lt;=원인분석!$C$11),"당기",IF(AND(M3125&gt;=원인분석!$C$12,M3125&lt;=원인분석!$C$13),"비교",""))))</f>
        <v/>
      </c>
      <c r="R3125" s="9">
        <f>IF(Q3125="","",$K3125&amp;"")</f>
        <v/>
      </c>
      <c r="S3125" s="9">
        <f>IF(Q3125="","",IF(MATCH(R3125,$R$5:$R$100000,0)=ROW()-4,ROW(),""))</f>
        <v/>
      </c>
      <c r="T3125" s="9">
        <f>IF(Q3125="당기",ABS(P3125)+ROW()/1000000000,"")</f>
        <v/>
      </c>
      <c r="U3125" s="9">
        <f>IF(Q3125="비교",ABS(P3125)+ROW()/1000000000,"")</f>
        <v/>
      </c>
      <c r="V3125" s="64">
        <f>IF($A3125="","",IF(COUNTIF(변동분석!$E$7:$E$506,O3125)&gt;0,"Y","N"))</f>
        <v/>
      </c>
      <c r="W3125" s="64">
        <f>IF($A3125="","",IFERROR(INDEX(계정매핑!$D$5:$D$504,MATCH($F3125&amp;"",계정매핑!$A$5:$A$504,0)),"미매핑"))</f>
        <v/>
      </c>
      <c r="X3125" s="9">
        <f>IF($A3125="","",$F3125&amp;"")</f>
        <v/>
      </c>
      <c r="Y3125" s="94">
        <f>IF($A3125="",0,IF(AE3125="직접",IF(AF3125="비귀속",$P3125,0),$P3125*(1-AG3125)*IFERROR(INDEX(계정대체기준!$F$20:$F$49,MATCH($N3125,계정대체기준!$A$20:$A$49,0)),1)))</f>
        <v/>
      </c>
      <c r="Z3125" s="94">
        <f>IF($A3125="",0,IF(AE3125="직접",IF(AF3125="신계약비",$P3125,0),$P3125*(1-AG3125)*IFERROR(INDEX(계정대체기준!$C$20:$C$49,MATCH($N3125,계정대체기준!$A$20:$A$49,0)),0)))</f>
        <v/>
      </c>
      <c r="AA3125" s="94">
        <f>IF($A3125="",0,IF(AE3125="직접",IF(OR(AF3125="유지비",AF3125="손해조사비"),$P3125,0),$P3125*(1-AG3125)*IFERROR(INDEX(계정대체기준!$D$20:$D$49,MATCH($N3125,계정대체기준!$A$20:$A$49,0)),0)))</f>
        <v/>
      </c>
      <c r="AB3125" s="94">
        <f>IF($A3125="",0,IF(AE3125="직접",IF(AF3125="수금비",$P3125,0),$P3125*(1-AG3125)*IFERROR(INDEX(계정대체기준!$E$20:$E$49,MATCH($N3125,계정대체기준!$A$20:$A$49,0)),0)))</f>
        <v/>
      </c>
      <c r="AC3125" s="9">
        <f>IF(AND($A3125&lt;&gt;"",M3125=설정!$C$20,Z3125&gt;0),Z3125+ROW()/1000000000,"")</f>
        <v/>
      </c>
      <c r="AD3125" s="94">
        <f>IF($A3125="",0,$P3125*AG3125)</f>
        <v/>
      </c>
      <c r="AE3125" s="64">
        <f>IF($A3125="","",IFERROR(INDEX(계정매핑!$E$5:$E$504,MATCH($F3125&amp;"",계정매핑!$A$5:$A$504,0))&amp;"","공통비"))</f>
        <v/>
      </c>
      <c r="AF3125" s="64">
        <f>IF($A3125="","",IF(AE3125="직접",IFERROR(INDEX(계정매핑!$F$5:$F$504,MATCH($F3125&amp;"",계정매핑!$A$5:$A$504,0))&amp;"","비귀속"),""))</f>
        <v/>
      </c>
      <c r="AG3125" s="96">
        <f>IF($A3125="",0,IF(AND(AE3125&lt;&gt;"직접",IFERROR(INDEX(계정매핑!$G$5:$G$504,MATCH($F3125&amp;"",계정매핑!$A$5:$A$504,0))&amp;"","")="유지비",COUNTIF(계정대체기준!$A$6:$A$15,$N3125)&gt;0),IFERROR(INDEX(계정대체기준!$E$6:$E$15,MATCH(VALUE($A3125&amp;""),계정대체기준!$D$6:$D$15,0)),0),0))</f>
        <v/>
      </c>
      <c r="AH3125" s="64">
        <f>IF($A3125="","",IF(AD3125=0,"",IF(OR(COUNTIF(계정대체기준!$A$77:$A$86,$N3125)&gt;0,ISNUMBER(MATCH($X3125,계정대체기준!$D$77:$D$86,0)),ISNUMBER(MATCH($F3125,계정대체기준!$D$77:$D$86,0))),"Y","N")))</f>
        <v/>
      </c>
    </row>
    <row r="3126">
      <c r="A3126" s="92" t="n">
        <v>2026</v>
      </c>
      <c r="B3126" s="92" t="n">
        <v>2</v>
      </c>
      <c r="C3126" s="92" t="inlineStr">
        <is>
          <t>5100000404</t>
        </is>
      </c>
      <c r="D3126" s="95" t="n">
        <v>46073</v>
      </c>
      <c r="E3126" s="92" t="inlineStr">
        <is>
          <t>KR</t>
        </is>
      </c>
      <c r="F3126" s="92" t="n">
        <v>62501000</v>
      </c>
      <c r="G3126" s="92" t="n">
        <v>1101</v>
      </c>
      <c r="H3126" s="93" t="n">
        <v>357000</v>
      </c>
      <c r="I3126" s="92" t="inlineStr">
        <is>
          <t>2월 회의 다과 - (법인카드)</t>
        </is>
      </c>
      <c r="J3126" s="92" t="inlineStr">
        <is>
          <t>V10010</t>
        </is>
      </c>
      <c r="K3126" s="92" t="inlineStr">
        <is>
          <t>(법인카드)</t>
        </is>
      </c>
      <c r="M3126" s="9">
        <f>IF($A3126="","",VALUE($A3126&amp;"")*12+VALUE($B3126&amp;""))</f>
        <v/>
      </c>
      <c r="N3126" s="64">
        <f>IF($A3126="","",IFERROR(INDEX(부서매핑!$C$5:$C$504,MATCH($G3126&amp;"",부서매핑!$A$5:$A$504,0)),"미매핑"))</f>
        <v/>
      </c>
      <c r="O3126" s="9">
        <f>IF($A3126="","",N3126&amp;"|"&amp;$F3126)</f>
        <v/>
      </c>
      <c r="P3126" s="94">
        <f>IF($A3126="",0,$H3126*설정!$C$23)</f>
        <v/>
      </c>
      <c r="Q3126" s="64">
        <f>IF($A3126="","",IF(O3126&lt;&gt;원인분석!$C$9,"",IF(AND(M3126&gt;=원인분석!$C$10,M3126&lt;=원인분석!$C$11),"당기",IF(AND(M3126&gt;=원인분석!$C$12,M3126&lt;=원인분석!$C$13),"비교",""))))</f>
        <v/>
      </c>
      <c r="R3126" s="9">
        <f>IF(Q3126="","",$K3126&amp;"")</f>
        <v/>
      </c>
      <c r="S3126" s="9">
        <f>IF(Q3126="","",IF(MATCH(R3126,$R$5:$R$100000,0)=ROW()-4,ROW(),""))</f>
        <v/>
      </c>
      <c r="T3126" s="9">
        <f>IF(Q3126="당기",ABS(P3126)+ROW()/1000000000,"")</f>
        <v/>
      </c>
      <c r="U3126" s="9">
        <f>IF(Q3126="비교",ABS(P3126)+ROW()/1000000000,"")</f>
        <v/>
      </c>
      <c r="V3126" s="64">
        <f>IF($A3126="","",IF(COUNTIF(변동분석!$E$7:$E$506,O3126)&gt;0,"Y","N"))</f>
        <v/>
      </c>
      <c r="W3126" s="64">
        <f>IF($A3126="","",IFERROR(INDEX(계정매핑!$D$5:$D$504,MATCH($F3126&amp;"",계정매핑!$A$5:$A$504,0)),"미매핑"))</f>
        <v/>
      </c>
      <c r="X3126" s="9">
        <f>IF($A3126="","",$F3126&amp;"")</f>
        <v/>
      </c>
      <c r="Y3126" s="94">
        <f>IF($A3126="",0,IF(AE3126="직접",IF(AF3126="비귀속",$P3126,0),$P3126*(1-AG3126)*IFERROR(INDEX(계정대체기준!$F$20:$F$49,MATCH($N3126,계정대체기준!$A$20:$A$49,0)),1)))</f>
        <v/>
      </c>
      <c r="Z3126" s="94">
        <f>IF($A3126="",0,IF(AE3126="직접",IF(AF3126="신계약비",$P3126,0),$P3126*(1-AG3126)*IFERROR(INDEX(계정대체기준!$C$20:$C$49,MATCH($N3126,계정대체기준!$A$20:$A$49,0)),0)))</f>
        <v/>
      </c>
      <c r="AA3126" s="94">
        <f>IF($A3126="",0,IF(AE3126="직접",IF(OR(AF3126="유지비",AF3126="손해조사비"),$P3126,0),$P3126*(1-AG3126)*IFERROR(INDEX(계정대체기준!$D$20:$D$49,MATCH($N3126,계정대체기준!$A$20:$A$49,0)),0)))</f>
        <v/>
      </c>
      <c r="AB3126" s="94">
        <f>IF($A3126="",0,IF(AE3126="직접",IF(AF3126="수금비",$P3126,0),$P3126*(1-AG3126)*IFERROR(INDEX(계정대체기준!$E$20:$E$49,MATCH($N3126,계정대체기준!$A$20:$A$49,0)),0)))</f>
        <v/>
      </c>
      <c r="AC3126" s="9">
        <f>IF(AND($A3126&lt;&gt;"",M3126=설정!$C$20,Z3126&gt;0),Z3126+ROW()/1000000000,"")</f>
        <v/>
      </c>
      <c r="AD3126" s="94">
        <f>IF($A3126="",0,$P3126*AG3126)</f>
        <v/>
      </c>
      <c r="AE3126" s="64">
        <f>IF($A3126="","",IFERROR(INDEX(계정매핑!$E$5:$E$504,MATCH($F3126&amp;"",계정매핑!$A$5:$A$504,0))&amp;"","공통비"))</f>
        <v/>
      </c>
      <c r="AF3126" s="64">
        <f>IF($A3126="","",IF(AE3126="직접",IFERROR(INDEX(계정매핑!$F$5:$F$504,MATCH($F3126&amp;"",계정매핑!$A$5:$A$504,0))&amp;"","비귀속"),""))</f>
        <v/>
      </c>
      <c r="AG3126" s="96">
        <f>IF($A3126="",0,IF(AND(AE3126&lt;&gt;"직접",IFERROR(INDEX(계정매핑!$G$5:$G$504,MATCH($F3126&amp;"",계정매핑!$A$5:$A$504,0))&amp;"","")="유지비",COUNTIF(계정대체기준!$A$6:$A$15,$N3126)&gt;0),IFERROR(INDEX(계정대체기준!$E$6:$E$15,MATCH(VALUE($A3126&amp;""),계정대체기준!$D$6:$D$15,0)),0),0))</f>
        <v/>
      </c>
      <c r="AH3126" s="64">
        <f>IF($A3126="","",IF(AD3126=0,"",IF(OR(COUNTIF(계정대체기준!$A$77:$A$86,$N3126)&gt;0,ISNUMBER(MATCH($X3126,계정대체기준!$D$77:$D$86,0)),ISNUMBER(MATCH($F3126,계정대체기준!$D$77:$D$86,0))),"Y","N")))</f>
        <v/>
      </c>
    </row>
    <row r="3127">
      <c r="A3127" s="92" t="n">
        <v>2026</v>
      </c>
      <c r="B3127" s="92" t="n">
        <v>2</v>
      </c>
      <c r="C3127" s="92" t="inlineStr">
        <is>
          <t>5100000405</t>
        </is>
      </c>
      <c r="D3127" s="95" t="n">
        <v>46073</v>
      </c>
      <c r="E3127" s="92" t="inlineStr">
        <is>
          <t>KR</t>
        </is>
      </c>
      <c r="F3127" s="92" t="n">
        <v>62501000</v>
      </c>
      <c r="G3127" s="92" t="n">
        <v>1401</v>
      </c>
      <c r="H3127" s="93" t="n">
        <v>223000</v>
      </c>
      <c r="I3127" s="92" t="inlineStr">
        <is>
          <t>2월 회의 다과 - (법인카드)</t>
        </is>
      </c>
      <c r="J3127" s="92" t="inlineStr">
        <is>
          <t>V10010</t>
        </is>
      </c>
      <c r="K3127" s="92" t="inlineStr">
        <is>
          <t>(법인카드)</t>
        </is>
      </c>
      <c r="M3127" s="9">
        <f>IF($A3127="","",VALUE($A3127&amp;"")*12+VALUE($B3127&amp;""))</f>
        <v/>
      </c>
      <c r="N3127" s="64">
        <f>IF($A3127="","",IFERROR(INDEX(부서매핑!$C$5:$C$504,MATCH($G3127&amp;"",부서매핑!$A$5:$A$504,0)),"미매핑"))</f>
        <v/>
      </c>
      <c r="O3127" s="9">
        <f>IF($A3127="","",N3127&amp;"|"&amp;$F3127)</f>
        <v/>
      </c>
      <c r="P3127" s="94">
        <f>IF($A3127="",0,$H3127*설정!$C$23)</f>
        <v/>
      </c>
      <c r="Q3127" s="64">
        <f>IF($A3127="","",IF(O3127&lt;&gt;원인분석!$C$9,"",IF(AND(M3127&gt;=원인분석!$C$10,M3127&lt;=원인분석!$C$11),"당기",IF(AND(M3127&gt;=원인분석!$C$12,M3127&lt;=원인분석!$C$13),"비교",""))))</f>
        <v/>
      </c>
      <c r="R3127" s="9">
        <f>IF(Q3127="","",$K3127&amp;"")</f>
        <v/>
      </c>
      <c r="S3127" s="9">
        <f>IF(Q3127="","",IF(MATCH(R3127,$R$5:$R$100000,0)=ROW()-4,ROW(),""))</f>
        <v/>
      </c>
      <c r="T3127" s="9">
        <f>IF(Q3127="당기",ABS(P3127)+ROW()/1000000000,"")</f>
        <v/>
      </c>
      <c r="U3127" s="9">
        <f>IF(Q3127="비교",ABS(P3127)+ROW()/1000000000,"")</f>
        <v/>
      </c>
      <c r="V3127" s="64">
        <f>IF($A3127="","",IF(COUNTIF(변동분석!$E$7:$E$506,O3127)&gt;0,"Y","N"))</f>
        <v/>
      </c>
      <c r="W3127" s="64">
        <f>IF($A3127="","",IFERROR(INDEX(계정매핑!$D$5:$D$504,MATCH($F3127&amp;"",계정매핑!$A$5:$A$504,0)),"미매핑"))</f>
        <v/>
      </c>
      <c r="X3127" s="9">
        <f>IF($A3127="","",$F3127&amp;"")</f>
        <v/>
      </c>
      <c r="Y3127" s="94">
        <f>IF($A3127="",0,IF(AE3127="직접",IF(AF3127="비귀속",$P3127,0),$P3127*(1-AG3127)*IFERROR(INDEX(계정대체기준!$F$20:$F$49,MATCH($N3127,계정대체기준!$A$20:$A$49,0)),1)))</f>
        <v/>
      </c>
      <c r="Z3127" s="94">
        <f>IF($A3127="",0,IF(AE3127="직접",IF(AF3127="신계약비",$P3127,0),$P3127*(1-AG3127)*IFERROR(INDEX(계정대체기준!$C$20:$C$49,MATCH($N3127,계정대체기준!$A$20:$A$49,0)),0)))</f>
        <v/>
      </c>
      <c r="AA3127" s="94">
        <f>IF($A3127="",0,IF(AE3127="직접",IF(OR(AF3127="유지비",AF3127="손해조사비"),$P3127,0),$P3127*(1-AG3127)*IFERROR(INDEX(계정대체기준!$D$20:$D$49,MATCH($N3127,계정대체기준!$A$20:$A$49,0)),0)))</f>
        <v/>
      </c>
      <c r="AB3127" s="94">
        <f>IF($A3127="",0,IF(AE3127="직접",IF(AF3127="수금비",$P3127,0),$P3127*(1-AG3127)*IFERROR(INDEX(계정대체기준!$E$20:$E$49,MATCH($N3127,계정대체기준!$A$20:$A$49,0)),0)))</f>
        <v/>
      </c>
      <c r="AC3127" s="9">
        <f>IF(AND($A3127&lt;&gt;"",M3127=설정!$C$20,Z3127&gt;0),Z3127+ROW()/1000000000,"")</f>
        <v/>
      </c>
      <c r="AD3127" s="94">
        <f>IF($A3127="",0,$P3127*AG3127)</f>
        <v/>
      </c>
      <c r="AE3127" s="64">
        <f>IF($A3127="","",IFERROR(INDEX(계정매핑!$E$5:$E$504,MATCH($F3127&amp;"",계정매핑!$A$5:$A$504,0))&amp;"","공통비"))</f>
        <v/>
      </c>
      <c r="AF3127" s="64">
        <f>IF($A3127="","",IF(AE3127="직접",IFERROR(INDEX(계정매핑!$F$5:$F$504,MATCH($F3127&amp;"",계정매핑!$A$5:$A$504,0))&amp;"","비귀속"),""))</f>
        <v/>
      </c>
      <c r="AG3127" s="96">
        <f>IF($A3127="",0,IF(AND(AE3127&lt;&gt;"직접",IFERROR(INDEX(계정매핑!$G$5:$G$504,MATCH($F3127&amp;"",계정매핑!$A$5:$A$504,0))&amp;"","")="유지비",COUNTIF(계정대체기준!$A$6:$A$15,$N3127)&gt;0),IFERROR(INDEX(계정대체기준!$E$6:$E$15,MATCH(VALUE($A3127&amp;""),계정대체기준!$D$6:$D$15,0)),0),0))</f>
        <v/>
      </c>
      <c r="AH3127" s="64">
        <f>IF($A3127="","",IF(AD3127=0,"",IF(OR(COUNTIF(계정대체기준!$A$77:$A$86,$N3127)&gt;0,ISNUMBER(MATCH($X3127,계정대체기준!$D$77:$D$86,0)),ISNUMBER(MATCH($F3127,계정대체기준!$D$77:$D$86,0))),"Y","N")))</f>
        <v/>
      </c>
    </row>
    <row r="3128">
      <c r="A3128" s="92" t="n">
        <v>2026</v>
      </c>
      <c r="B3128" s="92" t="n">
        <v>2</v>
      </c>
      <c r="C3128" s="92" t="inlineStr">
        <is>
          <t>5100000406</t>
        </is>
      </c>
      <c r="D3128" s="95" t="n">
        <v>46073</v>
      </c>
      <c r="E3128" s="92" t="inlineStr">
        <is>
          <t>KR</t>
        </is>
      </c>
      <c r="F3128" s="92" t="n">
        <v>62601000</v>
      </c>
      <c r="G3128" s="92" t="n">
        <v>1502</v>
      </c>
      <c r="H3128" s="93" t="n">
        <v>2366000</v>
      </c>
      <c r="I3128" s="92" t="inlineStr">
        <is>
          <t>2월 업무추진 - (법인카드)</t>
        </is>
      </c>
      <c r="J3128" s="92" t="inlineStr">
        <is>
          <t>V10010</t>
        </is>
      </c>
      <c r="K3128" s="92" t="inlineStr">
        <is>
          <t>(법인카드)</t>
        </is>
      </c>
      <c r="M3128" s="9">
        <f>IF($A3128="","",VALUE($A3128&amp;"")*12+VALUE($B3128&amp;""))</f>
        <v/>
      </c>
      <c r="N3128" s="64">
        <f>IF($A3128="","",IFERROR(INDEX(부서매핑!$C$5:$C$504,MATCH($G3128&amp;"",부서매핑!$A$5:$A$504,0)),"미매핑"))</f>
        <v/>
      </c>
      <c r="O3128" s="9">
        <f>IF($A3128="","",N3128&amp;"|"&amp;$F3128)</f>
        <v/>
      </c>
      <c r="P3128" s="94">
        <f>IF($A3128="",0,$H3128*설정!$C$23)</f>
        <v/>
      </c>
      <c r="Q3128" s="64">
        <f>IF($A3128="","",IF(O3128&lt;&gt;원인분석!$C$9,"",IF(AND(M3128&gt;=원인분석!$C$10,M3128&lt;=원인분석!$C$11),"당기",IF(AND(M3128&gt;=원인분석!$C$12,M3128&lt;=원인분석!$C$13),"비교",""))))</f>
        <v/>
      </c>
      <c r="R3128" s="9">
        <f>IF(Q3128="","",$K3128&amp;"")</f>
        <v/>
      </c>
      <c r="S3128" s="9">
        <f>IF(Q3128="","",IF(MATCH(R3128,$R$5:$R$100000,0)=ROW()-4,ROW(),""))</f>
        <v/>
      </c>
      <c r="T3128" s="9">
        <f>IF(Q3128="당기",ABS(P3128)+ROW()/1000000000,"")</f>
        <v/>
      </c>
      <c r="U3128" s="9">
        <f>IF(Q3128="비교",ABS(P3128)+ROW()/1000000000,"")</f>
        <v/>
      </c>
      <c r="V3128" s="64">
        <f>IF($A3128="","",IF(COUNTIF(변동분석!$E$7:$E$506,O3128)&gt;0,"Y","N"))</f>
        <v/>
      </c>
      <c r="W3128" s="64">
        <f>IF($A3128="","",IFERROR(INDEX(계정매핑!$D$5:$D$504,MATCH($F3128&amp;"",계정매핑!$A$5:$A$504,0)),"미매핑"))</f>
        <v/>
      </c>
      <c r="X3128" s="9">
        <f>IF($A3128="","",$F3128&amp;"")</f>
        <v/>
      </c>
      <c r="Y3128" s="94">
        <f>IF($A3128="",0,IF(AE3128="직접",IF(AF3128="비귀속",$P3128,0),$P3128*(1-AG3128)*IFERROR(INDEX(계정대체기준!$F$20:$F$49,MATCH($N3128,계정대체기준!$A$20:$A$49,0)),1)))</f>
        <v/>
      </c>
      <c r="Z3128" s="94">
        <f>IF($A3128="",0,IF(AE3128="직접",IF(AF3128="신계약비",$P3128,0),$P3128*(1-AG3128)*IFERROR(INDEX(계정대체기준!$C$20:$C$49,MATCH($N3128,계정대체기준!$A$20:$A$49,0)),0)))</f>
        <v/>
      </c>
      <c r="AA3128" s="94">
        <f>IF($A3128="",0,IF(AE3128="직접",IF(OR(AF3128="유지비",AF3128="손해조사비"),$P3128,0),$P3128*(1-AG3128)*IFERROR(INDEX(계정대체기준!$D$20:$D$49,MATCH($N3128,계정대체기준!$A$20:$A$49,0)),0)))</f>
        <v/>
      </c>
      <c r="AB3128" s="94">
        <f>IF($A3128="",0,IF(AE3128="직접",IF(AF3128="수금비",$P3128,0),$P3128*(1-AG3128)*IFERROR(INDEX(계정대체기준!$E$20:$E$49,MATCH($N3128,계정대체기준!$A$20:$A$49,0)),0)))</f>
        <v/>
      </c>
      <c r="AC3128" s="9">
        <f>IF(AND($A3128&lt;&gt;"",M3128=설정!$C$20,Z3128&gt;0),Z3128+ROW()/1000000000,"")</f>
        <v/>
      </c>
      <c r="AD3128" s="94">
        <f>IF($A3128="",0,$P3128*AG3128)</f>
        <v/>
      </c>
      <c r="AE3128" s="64">
        <f>IF($A3128="","",IFERROR(INDEX(계정매핑!$E$5:$E$504,MATCH($F3128&amp;"",계정매핑!$A$5:$A$504,0))&amp;"","공통비"))</f>
        <v/>
      </c>
      <c r="AF3128" s="64">
        <f>IF($A3128="","",IF(AE3128="직접",IFERROR(INDEX(계정매핑!$F$5:$F$504,MATCH($F3128&amp;"",계정매핑!$A$5:$A$504,0))&amp;"","비귀속"),""))</f>
        <v/>
      </c>
      <c r="AG3128" s="96">
        <f>IF($A3128="",0,IF(AND(AE3128&lt;&gt;"직접",IFERROR(INDEX(계정매핑!$G$5:$G$504,MATCH($F3128&amp;"",계정매핑!$A$5:$A$504,0))&amp;"","")="유지비",COUNTIF(계정대체기준!$A$6:$A$15,$N3128)&gt;0),IFERROR(INDEX(계정대체기준!$E$6:$E$15,MATCH(VALUE($A3128&amp;""),계정대체기준!$D$6:$D$15,0)),0),0))</f>
        <v/>
      </c>
      <c r="AH3128" s="64">
        <f>IF($A3128="","",IF(AD3128=0,"",IF(OR(COUNTIF(계정대체기준!$A$77:$A$86,$N3128)&gt;0,ISNUMBER(MATCH($X3128,계정대체기준!$D$77:$D$86,0)),ISNUMBER(MATCH($F3128,계정대체기준!$D$77:$D$86,0))),"Y","N")))</f>
        <v/>
      </c>
    </row>
    <row r="3129">
      <c r="A3129" s="92" t="n">
        <v>2026</v>
      </c>
      <c r="B3129" s="92" t="n">
        <v>2</v>
      </c>
      <c r="C3129" s="92" t="inlineStr">
        <is>
          <t>5100000407</t>
        </is>
      </c>
      <c r="D3129" s="95" t="n">
        <v>46073</v>
      </c>
      <c r="E3129" s="92" t="inlineStr">
        <is>
          <t>KR</t>
        </is>
      </c>
      <c r="F3129" s="92" t="n">
        <v>62901000</v>
      </c>
      <c r="G3129" s="92" t="n">
        <v>1401</v>
      </c>
      <c r="H3129" s="93" t="n">
        <v>4983000</v>
      </c>
      <c r="I3129" s="92" t="inlineStr">
        <is>
          <t>2월 자문 수수료 - W컨설팅</t>
        </is>
      </c>
      <c r="J3129" s="92" t="inlineStr">
        <is>
          <t>V10006</t>
        </is>
      </c>
      <c r="K3129" s="92" t="inlineStr">
        <is>
          <t>W컨설팅</t>
        </is>
      </c>
      <c r="M3129" s="9">
        <f>IF($A3129="","",VALUE($A3129&amp;"")*12+VALUE($B3129&amp;""))</f>
        <v/>
      </c>
      <c r="N3129" s="64">
        <f>IF($A3129="","",IFERROR(INDEX(부서매핑!$C$5:$C$504,MATCH($G3129&amp;"",부서매핑!$A$5:$A$504,0)),"미매핑"))</f>
        <v/>
      </c>
      <c r="O3129" s="9">
        <f>IF($A3129="","",N3129&amp;"|"&amp;$F3129)</f>
        <v/>
      </c>
      <c r="P3129" s="94">
        <f>IF($A3129="",0,$H3129*설정!$C$23)</f>
        <v/>
      </c>
      <c r="Q3129" s="64">
        <f>IF($A3129="","",IF(O3129&lt;&gt;원인분석!$C$9,"",IF(AND(M3129&gt;=원인분석!$C$10,M3129&lt;=원인분석!$C$11),"당기",IF(AND(M3129&gt;=원인분석!$C$12,M3129&lt;=원인분석!$C$13),"비교",""))))</f>
        <v/>
      </c>
      <c r="R3129" s="9">
        <f>IF(Q3129="","",$K3129&amp;"")</f>
        <v/>
      </c>
      <c r="S3129" s="9">
        <f>IF(Q3129="","",IF(MATCH(R3129,$R$5:$R$100000,0)=ROW()-4,ROW(),""))</f>
        <v/>
      </c>
      <c r="T3129" s="9">
        <f>IF(Q3129="당기",ABS(P3129)+ROW()/1000000000,"")</f>
        <v/>
      </c>
      <c r="U3129" s="9">
        <f>IF(Q3129="비교",ABS(P3129)+ROW()/1000000000,"")</f>
        <v/>
      </c>
      <c r="V3129" s="64">
        <f>IF($A3129="","",IF(COUNTIF(변동분석!$E$7:$E$506,O3129)&gt;0,"Y","N"))</f>
        <v/>
      </c>
      <c r="W3129" s="64">
        <f>IF($A3129="","",IFERROR(INDEX(계정매핑!$D$5:$D$504,MATCH($F3129&amp;"",계정매핑!$A$5:$A$504,0)),"미매핑"))</f>
        <v/>
      </c>
      <c r="X3129" s="9">
        <f>IF($A3129="","",$F3129&amp;"")</f>
        <v/>
      </c>
      <c r="Y3129" s="94">
        <f>IF($A3129="",0,IF(AE3129="직접",IF(AF3129="비귀속",$P3129,0),$P3129*(1-AG3129)*IFERROR(INDEX(계정대체기준!$F$20:$F$49,MATCH($N3129,계정대체기준!$A$20:$A$49,0)),1)))</f>
        <v/>
      </c>
      <c r="Z3129" s="94">
        <f>IF($A3129="",0,IF(AE3129="직접",IF(AF3129="신계약비",$P3129,0),$P3129*(1-AG3129)*IFERROR(INDEX(계정대체기준!$C$20:$C$49,MATCH($N3129,계정대체기준!$A$20:$A$49,0)),0)))</f>
        <v/>
      </c>
      <c r="AA3129" s="94">
        <f>IF($A3129="",0,IF(AE3129="직접",IF(OR(AF3129="유지비",AF3129="손해조사비"),$P3129,0),$P3129*(1-AG3129)*IFERROR(INDEX(계정대체기준!$D$20:$D$49,MATCH($N3129,계정대체기준!$A$20:$A$49,0)),0)))</f>
        <v/>
      </c>
      <c r="AB3129" s="94">
        <f>IF($A3129="",0,IF(AE3129="직접",IF(AF3129="수금비",$P3129,0),$P3129*(1-AG3129)*IFERROR(INDEX(계정대체기준!$E$20:$E$49,MATCH($N3129,계정대체기준!$A$20:$A$49,0)),0)))</f>
        <v/>
      </c>
      <c r="AC3129" s="9">
        <f>IF(AND($A3129&lt;&gt;"",M3129=설정!$C$20,Z3129&gt;0),Z3129+ROW()/1000000000,"")</f>
        <v/>
      </c>
      <c r="AD3129" s="94">
        <f>IF($A3129="",0,$P3129*AG3129)</f>
        <v/>
      </c>
      <c r="AE3129" s="64">
        <f>IF($A3129="","",IFERROR(INDEX(계정매핑!$E$5:$E$504,MATCH($F3129&amp;"",계정매핑!$A$5:$A$504,0))&amp;"","공통비"))</f>
        <v/>
      </c>
      <c r="AF3129" s="64">
        <f>IF($A3129="","",IF(AE3129="직접",IFERROR(INDEX(계정매핑!$F$5:$F$504,MATCH($F3129&amp;"",계정매핑!$A$5:$A$504,0))&amp;"","비귀속"),""))</f>
        <v/>
      </c>
      <c r="AG3129" s="96">
        <f>IF($A3129="",0,IF(AND(AE3129&lt;&gt;"직접",IFERROR(INDEX(계정매핑!$G$5:$G$504,MATCH($F3129&amp;"",계정매핑!$A$5:$A$504,0))&amp;"","")="유지비",COUNTIF(계정대체기준!$A$6:$A$15,$N3129)&gt;0),IFERROR(INDEX(계정대체기준!$E$6:$E$15,MATCH(VALUE($A3129&amp;""),계정대체기준!$D$6:$D$15,0)),0),0))</f>
        <v/>
      </c>
      <c r="AH3129" s="64">
        <f>IF($A3129="","",IF(AD3129=0,"",IF(OR(COUNTIF(계정대체기준!$A$77:$A$86,$N3129)&gt;0,ISNUMBER(MATCH($X3129,계정대체기준!$D$77:$D$86,0)),ISNUMBER(MATCH($F3129,계정대체기준!$D$77:$D$86,0))),"Y","N")))</f>
        <v/>
      </c>
    </row>
    <row r="3130">
      <c r="A3130" s="92" t="n">
        <v>2026</v>
      </c>
      <c r="B3130" s="92" t="n">
        <v>2</v>
      </c>
      <c r="C3130" s="92" t="inlineStr">
        <is>
          <t>5100000408</t>
        </is>
      </c>
      <c r="D3130" s="95" t="n">
        <v>46073</v>
      </c>
      <c r="E3130" s="92" t="inlineStr">
        <is>
          <t>KR</t>
        </is>
      </c>
      <c r="F3130" s="92" t="n">
        <v>63002000</v>
      </c>
      <c r="G3130" s="92" t="n">
        <v>1951</v>
      </c>
      <c r="H3130" s="93" t="n">
        <v>2583000</v>
      </c>
      <c r="I3130" s="92" t="inlineStr">
        <is>
          <t>2월 클라우드 사용료 - C클라우드</t>
        </is>
      </c>
      <c r="J3130" s="92" t="inlineStr">
        <is>
          <t>V10026</t>
        </is>
      </c>
      <c r="K3130" s="92" t="inlineStr">
        <is>
          <t>C클라우드</t>
        </is>
      </c>
      <c r="M3130" s="9">
        <f>IF($A3130="","",VALUE($A3130&amp;"")*12+VALUE($B3130&amp;""))</f>
        <v/>
      </c>
      <c r="N3130" s="64">
        <f>IF($A3130="","",IFERROR(INDEX(부서매핑!$C$5:$C$504,MATCH($G3130&amp;"",부서매핑!$A$5:$A$504,0)),"미매핑"))</f>
        <v/>
      </c>
      <c r="O3130" s="9">
        <f>IF($A3130="","",N3130&amp;"|"&amp;$F3130)</f>
        <v/>
      </c>
      <c r="P3130" s="94">
        <f>IF($A3130="",0,$H3130*설정!$C$23)</f>
        <v/>
      </c>
      <c r="Q3130" s="64">
        <f>IF($A3130="","",IF(O3130&lt;&gt;원인분석!$C$9,"",IF(AND(M3130&gt;=원인분석!$C$10,M3130&lt;=원인분석!$C$11),"당기",IF(AND(M3130&gt;=원인분석!$C$12,M3130&lt;=원인분석!$C$13),"비교",""))))</f>
        <v/>
      </c>
      <c r="R3130" s="9">
        <f>IF(Q3130="","",$K3130&amp;"")</f>
        <v/>
      </c>
      <c r="S3130" s="9">
        <f>IF(Q3130="","",IF(MATCH(R3130,$R$5:$R$100000,0)=ROW()-4,ROW(),""))</f>
        <v/>
      </c>
      <c r="T3130" s="9">
        <f>IF(Q3130="당기",ABS(P3130)+ROW()/1000000000,"")</f>
        <v/>
      </c>
      <c r="U3130" s="9">
        <f>IF(Q3130="비교",ABS(P3130)+ROW()/1000000000,"")</f>
        <v/>
      </c>
      <c r="V3130" s="64">
        <f>IF($A3130="","",IF(COUNTIF(변동분석!$E$7:$E$506,O3130)&gt;0,"Y","N"))</f>
        <v/>
      </c>
      <c r="W3130" s="64">
        <f>IF($A3130="","",IFERROR(INDEX(계정매핑!$D$5:$D$504,MATCH($F3130&amp;"",계정매핑!$A$5:$A$504,0)),"미매핑"))</f>
        <v/>
      </c>
      <c r="X3130" s="9">
        <f>IF($A3130="","",$F3130&amp;"")</f>
        <v/>
      </c>
      <c r="Y3130" s="94">
        <f>IF($A3130="",0,IF(AE3130="직접",IF(AF3130="비귀속",$P3130,0),$P3130*(1-AG3130)*IFERROR(INDEX(계정대체기준!$F$20:$F$49,MATCH($N3130,계정대체기준!$A$20:$A$49,0)),1)))</f>
        <v/>
      </c>
      <c r="Z3130" s="94">
        <f>IF($A3130="",0,IF(AE3130="직접",IF(AF3130="신계약비",$P3130,0),$P3130*(1-AG3130)*IFERROR(INDEX(계정대체기준!$C$20:$C$49,MATCH($N3130,계정대체기준!$A$20:$A$49,0)),0)))</f>
        <v/>
      </c>
      <c r="AA3130" s="94">
        <f>IF($A3130="",0,IF(AE3130="직접",IF(OR(AF3130="유지비",AF3130="손해조사비"),$P3130,0),$P3130*(1-AG3130)*IFERROR(INDEX(계정대체기준!$D$20:$D$49,MATCH($N3130,계정대체기준!$A$20:$A$49,0)),0)))</f>
        <v/>
      </c>
      <c r="AB3130" s="94">
        <f>IF($A3130="",0,IF(AE3130="직접",IF(AF3130="수금비",$P3130,0),$P3130*(1-AG3130)*IFERROR(INDEX(계정대체기준!$E$20:$E$49,MATCH($N3130,계정대체기준!$A$20:$A$49,0)),0)))</f>
        <v/>
      </c>
      <c r="AC3130" s="9">
        <f>IF(AND($A3130&lt;&gt;"",M3130=설정!$C$20,Z3130&gt;0),Z3130+ROW()/1000000000,"")</f>
        <v/>
      </c>
      <c r="AD3130" s="94">
        <f>IF($A3130="",0,$P3130*AG3130)</f>
        <v/>
      </c>
      <c r="AE3130" s="64">
        <f>IF($A3130="","",IFERROR(INDEX(계정매핑!$E$5:$E$504,MATCH($F3130&amp;"",계정매핑!$A$5:$A$504,0))&amp;"","공통비"))</f>
        <v/>
      </c>
      <c r="AF3130" s="64">
        <f>IF($A3130="","",IF(AE3130="직접",IFERROR(INDEX(계정매핑!$F$5:$F$504,MATCH($F3130&amp;"",계정매핑!$A$5:$A$504,0))&amp;"","비귀속"),""))</f>
        <v/>
      </c>
      <c r="AG3130" s="96">
        <f>IF($A3130="",0,IF(AND(AE3130&lt;&gt;"직접",IFERROR(INDEX(계정매핑!$G$5:$G$504,MATCH($F3130&amp;"",계정매핑!$A$5:$A$504,0))&amp;"","")="유지비",COUNTIF(계정대체기준!$A$6:$A$15,$N3130)&gt;0),IFERROR(INDEX(계정대체기준!$E$6:$E$15,MATCH(VALUE($A3130&amp;""),계정대체기준!$D$6:$D$15,0)),0),0))</f>
        <v/>
      </c>
      <c r="AH3130" s="64">
        <f>IF($A3130="","",IF(AD3130=0,"",IF(OR(COUNTIF(계정대체기준!$A$77:$A$86,$N3130)&gt;0,ISNUMBER(MATCH($X3130,계정대체기준!$D$77:$D$86,0)),ISNUMBER(MATCH($F3130,계정대체기준!$D$77:$D$86,0))),"Y","N")))</f>
        <v/>
      </c>
    </row>
    <row r="3131">
      <c r="A3131" s="92" t="n">
        <v>2026</v>
      </c>
      <c r="B3131" s="92" t="n">
        <v>2</v>
      </c>
      <c r="C3131" s="92" t="inlineStr">
        <is>
          <t>5100000409</t>
        </is>
      </c>
      <c r="D3131" s="95" t="n">
        <v>46073</v>
      </c>
      <c r="E3131" s="92" t="inlineStr">
        <is>
          <t>KR</t>
        </is>
      </c>
      <c r="F3131" s="92" t="n">
        <v>63101000</v>
      </c>
      <c r="G3131" s="92" t="n">
        <v>1601</v>
      </c>
      <c r="H3131" s="93" t="n">
        <v>5001000</v>
      </c>
      <c r="I3131" s="92" t="inlineStr">
        <is>
          <t>2월 사무실 임차료 - AA빌딩</t>
        </is>
      </c>
      <c r="J3131" s="92" t="inlineStr">
        <is>
          <t>V10007</t>
        </is>
      </c>
      <c r="K3131" s="92" t="inlineStr">
        <is>
          <t>AA빌딩</t>
        </is>
      </c>
      <c r="M3131" s="9">
        <f>IF($A3131="","",VALUE($A3131&amp;"")*12+VALUE($B3131&amp;""))</f>
        <v/>
      </c>
      <c r="N3131" s="64">
        <f>IF($A3131="","",IFERROR(INDEX(부서매핑!$C$5:$C$504,MATCH($G3131&amp;"",부서매핑!$A$5:$A$504,0)),"미매핑"))</f>
        <v/>
      </c>
      <c r="O3131" s="9">
        <f>IF($A3131="","",N3131&amp;"|"&amp;$F3131)</f>
        <v/>
      </c>
      <c r="P3131" s="94">
        <f>IF($A3131="",0,$H3131*설정!$C$23)</f>
        <v/>
      </c>
      <c r="Q3131" s="64">
        <f>IF($A3131="","",IF(O3131&lt;&gt;원인분석!$C$9,"",IF(AND(M3131&gt;=원인분석!$C$10,M3131&lt;=원인분석!$C$11),"당기",IF(AND(M3131&gt;=원인분석!$C$12,M3131&lt;=원인분석!$C$13),"비교",""))))</f>
        <v/>
      </c>
      <c r="R3131" s="9">
        <f>IF(Q3131="","",$K3131&amp;"")</f>
        <v/>
      </c>
      <c r="S3131" s="9">
        <f>IF(Q3131="","",IF(MATCH(R3131,$R$5:$R$100000,0)=ROW()-4,ROW(),""))</f>
        <v/>
      </c>
      <c r="T3131" s="9">
        <f>IF(Q3131="당기",ABS(P3131)+ROW()/1000000000,"")</f>
        <v/>
      </c>
      <c r="U3131" s="9">
        <f>IF(Q3131="비교",ABS(P3131)+ROW()/1000000000,"")</f>
        <v/>
      </c>
      <c r="V3131" s="64">
        <f>IF($A3131="","",IF(COUNTIF(변동분석!$E$7:$E$506,O3131)&gt;0,"Y","N"))</f>
        <v/>
      </c>
      <c r="W3131" s="64">
        <f>IF($A3131="","",IFERROR(INDEX(계정매핑!$D$5:$D$504,MATCH($F3131&amp;"",계정매핑!$A$5:$A$504,0)),"미매핑"))</f>
        <v/>
      </c>
      <c r="X3131" s="9">
        <f>IF($A3131="","",$F3131&amp;"")</f>
        <v/>
      </c>
      <c r="Y3131" s="94">
        <f>IF($A3131="",0,IF(AE3131="직접",IF(AF3131="비귀속",$P3131,0),$P3131*(1-AG3131)*IFERROR(INDEX(계정대체기준!$F$20:$F$49,MATCH($N3131,계정대체기준!$A$20:$A$49,0)),1)))</f>
        <v/>
      </c>
      <c r="Z3131" s="94">
        <f>IF($A3131="",0,IF(AE3131="직접",IF(AF3131="신계약비",$P3131,0),$P3131*(1-AG3131)*IFERROR(INDEX(계정대체기준!$C$20:$C$49,MATCH($N3131,계정대체기준!$A$20:$A$49,0)),0)))</f>
        <v/>
      </c>
      <c r="AA3131" s="94">
        <f>IF($A3131="",0,IF(AE3131="직접",IF(OR(AF3131="유지비",AF3131="손해조사비"),$P3131,0),$P3131*(1-AG3131)*IFERROR(INDEX(계정대체기준!$D$20:$D$49,MATCH($N3131,계정대체기준!$A$20:$A$49,0)),0)))</f>
        <v/>
      </c>
      <c r="AB3131" s="94">
        <f>IF($A3131="",0,IF(AE3131="직접",IF(AF3131="수금비",$P3131,0),$P3131*(1-AG3131)*IFERROR(INDEX(계정대체기준!$E$20:$E$49,MATCH($N3131,계정대체기준!$A$20:$A$49,0)),0)))</f>
        <v/>
      </c>
      <c r="AC3131" s="9">
        <f>IF(AND($A3131&lt;&gt;"",M3131=설정!$C$20,Z3131&gt;0),Z3131+ROW()/1000000000,"")</f>
        <v/>
      </c>
      <c r="AD3131" s="94">
        <f>IF($A3131="",0,$P3131*AG3131)</f>
        <v/>
      </c>
      <c r="AE3131" s="64">
        <f>IF($A3131="","",IFERROR(INDEX(계정매핑!$E$5:$E$504,MATCH($F3131&amp;"",계정매핑!$A$5:$A$504,0))&amp;"","공통비"))</f>
        <v/>
      </c>
      <c r="AF3131" s="64">
        <f>IF($A3131="","",IF(AE3131="직접",IFERROR(INDEX(계정매핑!$F$5:$F$504,MATCH($F3131&amp;"",계정매핑!$A$5:$A$504,0))&amp;"","비귀속"),""))</f>
        <v/>
      </c>
      <c r="AG3131" s="96">
        <f>IF($A3131="",0,IF(AND(AE3131&lt;&gt;"직접",IFERROR(INDEX(계정매핑!$G$5:$G$504,MATCH($F3131&amp;"",계정매핑!$A$5:$A$504,0))&amp;"","")="유지비",COUNTIF(계정대체기준!$A$6:$A$15,$N3131)&gt;0),IFERROR(INDEX(계정대체기준!$E$6:$E$15,MATCH(VALUE($A3131&amp;""),계정대체기준!$D$6:$D$15,0)),0),0))</f>
        <v/>
      </c>
      <c r="AH3131" s="64">
        <f>IF($A3131="","",IF(AD3131=0,"",IF(OR(COUNTIF(계정대체기준!$A$77:$A$86,$N3131)&gt;0,ISNUMBER(MATCH($X3131,계정대체기준!$D$77:$D$86,0)),ISNUMBER(MATCH($F3131,계정대체기준!$D$77:$D$86,0))),"Y","N")))</f>
        <v/>
      </c>
    </row>
    <row r="3132">
      <c r="A3132" s="92" t="n">
        <v>2026</v>
      </c>
      <c r="B3132" s="92" t="n">
        <v>2</v>
      </c>
      <c r="C3132" s="92" t="inlineStr">
        <is>
          <t>5100000410</t>
        </is>
      </c>
      <c r="D3132" s="95" t="n">
        <v>46073</v>
      </c>
      <c r="E3132" s="92" t="inlineStr">
        <is>
          <t>KR</t>
        </is>
      </c>
      <c r="F3132" s="92" t="n">
        <v>63501000</v>
      </c>
      <c r="G3132" s="92" t="n">
        <v>1901</v>
      </c>
      <c r="H3132" s="93" t="n">
        <v>361903000</v>
      </c>
      <c r="I3132" s="92" t="inlineStr">
        <is>
          <t>2월 모집수수료 - BB에셋</t>
        </is>
      </c>
      <c r="J3132" s="92" t="inlineStr">
        <is>
          <t>V10013</t>
        </is>
      </c>
      <c r="K3132" s="92" t="inlineStr">
        <is>
          <t>BB에셋</t>
        </is>
      </c>
      <c r="M3132" s="9">
        <f>IF($A3132="","",VALUE($A3132&amp;"")*12+VALUE($B3132&amp;""))</f>
        <v/>
      </c>
      <c r="N3132" s="64">
        <f>IF($A3132="","",IFERROR(INDEX(부서매핑!$C$5:$C$504,MATCH($G3132&amp;"",부서매핑!$A$5:$A$504,0)),"미매핑"))</f>
        <v/>
      </c>
      <c r="O3132" s="9">
        <f>IF($A3132="","",N3132&amp;"|"&amp;$F3132)</f>
        <v/>
      </c>
      <c r="P3132" s="94">
        <f>IF($A3132="",0,$H3132*설정!$C$23)</f>
        <v/>
      </c>
      <c r="Q3132" s="64">
        <f>IF($A3132="","",IF(O3132&lt;&gt;원인분석!$C$9,"",IF(AND(M3132&gt;=원인분석!$C$10,M3132&lt;=원인분석!$C$11),"당기",IF(AND(M3132&gt;=원인분석!$C$12,M3132&lt;=원인분석!$C$13),"비교",""))))</f>
        <v/>
      </c>
      <c r="R3132" s="9">
        <f>IF(Q3132="","",$K3132&amp;"")</f>
        <v/>
      </c>
      <c r="S3132" s="9">
        <f>IF(Q3132="","",IF(MATCH(R3132,$R$5:$R$100000,0)=ROW()-4,ROW(),""))</f>
        <v/>
      </c>
      <c r="T3132" s="9">
        <f>IF(Q3132="당기",ABS(P3132)+ROW()/1000000000,"")</f>
        <v/>
      </c>
      <c r="U3132" s="9">
        <f>IF(Q3132="비교",ABS(P3132)+ROW()/1000000000,"")</f>
        <v/>
      </c>
      <c r="V3132" s="64">
        <f>IF($A3132="","",IF(COUNTIF(변동분석!$E$7:$E$506,O3132)&gt;0,"Y","N"))</f>
        <v/>
      </c>
      <c r="W3132" s="64">
        <f>IF($A3132="","",IFERROR(INDEX(계정매핑!$D$5:$D$504,MATCH($F3132&amp;"",계정매핑!$A$5:$A$504,0)),"미매핑"))</f>
        <v/>
      </c>
      <c r="X3132" s="9">
        <f>IF($A3132="","",$F3132&amp;"")</f>
        <v/>
      </c>
      <c r="Y3132" s="94">
        <f>IF($A3132="",0,IF(AE3132="직접",IF(AF3132="비귀속",$P3132,0),$P3132*(1-AG3132)*IFERROR(INDEX(계정대체기준!$F$20:$F$49,MATCH($N3132,계정대체기준!$A$20:$A$49,0)),1)))</f>
        <v/>
      </c>
      <c r="Z3132" s="94">
        <f>IF($A3132="",0,IF(AE3132="직접",IF(AF3132="신계약비",$P3132,0),$P3132*(1-AG3132)*IFERROR(INDEX(계정대체기준!$C$20:$C$49,MATCH($N3132,계정대체기준!$A$20:$A$49,0)),0)))</f>
        <v/>
      </c>
      <c r="AA3132" s="94">
        <f>IF($A3132="",0,IF(AE3132="직접",IF(OR(AF3132="유지비",AF3132="손해조사비"),$P3132,0),$P3132*(1-AG3132)*IFERROR(INDEX(계정대체기준!$D$20:$D$49,MATCH($N3132,계정대체기준!$A$20:$A$49,0)),0)))</f>
        <v/>
      </c>
      <c r="AB3132" s="94">
        <f>IF($A3132="",0,IF(AE3132="직접",IF(AF3132="수금비",$P3132,0),$P3132*(1-AG3132)*IFERROR(INDEX(계정대체기준!$E$20:$E$49,MATCH($N3132,계정대체기준!$A$20:$A$49,0)),0)))</f>
        <v/>
      </c>
      <c r="AC3132" s="9">
        <f>IF(AND($A3132&lt;&gt;"",M3132=설정!$C$20,Z3132&gt;0),Z3132+ROW()/1000000000,"")</f>
        <v/>
      </c>
      <c r="AD3132" s="94">
        <f>IF($A3132="",0,$P3132*AG3132)</f>
        <v/>
      </c>
      <c r="AE3132" s="64">
        <f>IF($A3132="","",IFERROR(INDEX(계정매핑!$E$5:$E$504,MATCH($F3132&amp;"",계정매핑!$A$5:$A$504,0))&amp;"","공통비"))</f>
        <v/>
      </c>
      <c r="AF3132" s="64">
        <f>IF($A3132="","",IF(AE3132="직접",IFERROR(INDEX(계정매핑!$F$5:$F$504,MATCH($F3132&amp;"",계정매핑!$A$5:$A$504,0))&amp;"","비귀속"),""))</f>
        <v/>
      </c>
      <c r="AG3132" s="96">
        <f>IF($A3132="",0,IF(AND(AE3132&lt;&gt;"직접",IFERROR(INDEX(계정매핑!$G$5:$G$504,MATCH($F3132&amp;"",계정매핑!$A$5:$A$504,0))&amp;"","")="유지비",COUNTIF(계정대체기준!$A$6:$A$15,$N3132)&gt;0),IFERROR(INDEX(계정대체기준!$E$6:$E$15,MATCH(VALUE($A3132&amp;""),계정대체기준!$D$6:$D$15,0)),0),0))</f>
        <v/>
      </c>
      <c r="AH3132" s="64">
        <f>IF($A3132="","",IF(AD3132=0,"",IF(OR(COUNTIF(계정대체기준!$A$77:$A$86,$N3132)&gt;0,ISNUMBER(MATCH($X3132,계정대체기준!$D$77:$D$86,0)),ISNUMBER(MATCH($F3132,계정대체기준!$D$77:$D$86,0))),"Y","N")))</f>
        <v/>
      </c>
    </row>
    <row r="3133">
      <c r="A3133" s="92" t="n">
        <v>2026</v>
      </c>
      <c r="B3133" s="92" t="n">
        <v>2</v>
      </c>
      <c r="C3133" s="92" t="inlineStr">
        <is>
          <t>5100000411</t>
        </is>
      </c>
      <c r="D3133" s="95" t="n">
        <v>46074</v>
      </c>
      <c r="E3133" s="92" t="inlineStr">
        <is>
          <t>KR</t>
        </is>
      </c>
      <c r="F3133" s="92" t="n">
        <v>62201000</v>
      </c>
      <c r="G3133" s="92" t="n">
        <v>1201</v>
      </c>
      <c r="H3133" s="93" t="n">
        <v>113000</v>
      </c>
      <c r="I3133" s="92" t="inlineStr">
        <is>
          <t>2월 통신요금 - P통신</t>
        </is>
      </c>
      <c r="J3133" s="92" t="inlineStr">
        <is>
          <t>V10014</t>
        </is>
      </c>
      <c r="K3133" s="92" t="inlineStr">
        <is>
          <t>P통신</t>
        </is>
      </c>
      <c r="M3133" s="9">
        <f>IF($A3133="","",VALUE($A3133&amp;"")*12+VALUE($B3133&amp;""))</f>
        <v/>
      </c>
      <c r="N3133" s="64">
        <f>IF($A3133="","",IFERROR(INDEX(부서매핑!$C$5:$C$504,MATCH($G3133&amp;"",부서매핑!$A$5:$A$504,0)),"미매핑"))</f>
        <v/>
      </c>
      <c r="O3133" s="9">
        <f>IF($A3133="","",N3133&amp;"|"&amp;$F3133)</f>
        <v/>
      </c>
      <c r="P3133" s="94">
        <f>IF($A3133="",0,$H3133*설정!$C$23)</f>
        <v/>
      </c>
      <c r="Q3133" s="64">
        <f>IF($A3133="","",IF(O3133&lt;&gt;원인분석!$C$9,"",IF(AND(M3133&gt;=원인분석!$C$10,M3133&lt;=원인분석!$C$11),"당기",IF(AND(M3133&gt;=원인분석!$C$12,M3133&lt;=원인분석!$C$13),"비교",""))))</f>
        <v/>
      </c>
      <c r="R3133" s="9">
        <f>IF(Q3133="","",$K3133&amp;"")</f>
        <v/>
      </c>
      <c r="S3133" s="9">
        <f>IF(Q3133="","",IF(MATCH(R3133,$R$5:$R$100000,0)=ROW()-4,ROW(),""))</f>
        <v/>
      </c>
      <c r="T3133" s="9">
        <f>IF(Q3133="당기",ABS(P3133)+ROW()/1000000000,"")</f>
        <v/>
      </c>
      <c r="U3133" s="9">
        <f>IF(Q3133="비교",ABS(P3133)+ROW()/1000000000,"")</f>
        <v/>
      </c>
      <c r="V3133" s="64">
        <f>IF($A3133="","",IF(COUNTIF(변동분석!$E$7:$E$506,O3133)&gt;0,"Y","N"))</f>
        <v/>
      </c>
      <c r="W3133" s="64">
        <f>IF($A3133="","",IFERROR(INDEX(계정매핑!$D$5:$D$504,MATCH($F3133&amp;"",계정매핑!$A$5:$A$504,0)),"미매핑"))</f>
        <v/>
      </c>
      <c r="X3133" s="9">
        <f>IF($A3133="","",$F3133&amp;"")</f>
        <v/>
      </c>
      <c r="Y3133" s="94">
        <f>IF($A3133="",0,IF(AE3133="직접",IF(AF3133="비귀속",$P3133,0),$P3133*(1-AG3133)*IFERROR(INDEX(계정대체기준!$F$20:$F$49,MATCH($N3133,계정대체기준!$A$20:$A$49,0)),1)))</f>
        <v/>
      </c>
      <c r="Z3133" s="94">
        <f>IF($A3133="",0,IF(AE3133="직접",IF(AF3133="신계약비",$P3133,0),$P3133*(1-AG3133)*IFERROR(INDEX(계정대체기준!$C$20:$C$49,MATCH($N3133,계정대체기준!$A$20:$A$49,0)),0)))</f>
        <v/>
      </c>
      <c r="AA3133" s="94">
        <f>IF($A3133="",0,IF(AE3133="직접",IF(OR(AF3133="유지비",AF3133="손해조사비"),$P3133,0),$P3133*(1-AG3133)*IFERROR(INDEX(계정대체기준!$D$20:$D$49,MATCH($N3133,계정대체기준!$A$20:$A$49,0)),0)))</f>
        <v/>
      </c>
      <c r="AB3133" s="94">
        <f>IF($A3133="",0,IF(AE3133="직접",IF(AF3133="수금비",$P3133,0),$P3133*(1-AG3133)*IFERROR(INDEX(계정대체기준!$E$20:$E$49,MATCH($N3133,계정대체기준!$A$20:$A$49,0)),0)))</f>
        <v/>
      </c>
      <c r="AC3133" s="9">
        <f>IF(AND($A3133&lt;&gt;"",M3133=설정!$C$20,Z3133&gt;0),Z3133+ROW()/1000000000,"")</f>
        <v/>
      </c>
      <c r="AD3133" s="94">
        <f>IF($A3133="",0,$P3133*AG3133)</f>
        <v/>
      </c>
      <c r="AE3133" s="64">
        <f>IF($A3133="","",IFERROR(INDEX(계정매핑!$E$5:$E$504,MATCH($F3133&amp;"",계정매핑!$A$5:$A$504,0))&amp;"","공통비"))</f>
        <v/>
      </c>
      <c r="AF3133" s="64">
        <f>IF($A3133="","",IF(AE3133="직접",IFERROR(INDEX(계정매핑!$F$5:$F$504,MATCH($F3133&amp;"",계정매핑!$A$5:$A$504,0))&amp;"","비귀속"),""))</f>
        <v/>
      </c>
      <c r="AG3133" s="96">
        <f>IF($A3133="",0,IF(AND(AE3133&lt;&gt;"직접",IFERROR(INDEX(계정매핑!$G$5:$G$504,MATCH($F3133&amp;"",계정매핑!$A$5:$A$504,0))&amp;"","")="유지비",COUNTIF(계정대체기준!$A$6:$A$15,$N3133)&gt;0),IFERROR(INDEX(계정대체기준!$E$6:$E$15,MATCH(VALUE($A3133&amp;""),계정대체기준!$D$6:$D$15,0)),0),0))</f>
        <v/>
      </c>
      <c r="AH3133" s="64">
        <f>IF($A3133="","",IF(AD3133=0,"",IF(OR(COUNTIF(계정대체기준!$A$77:$A$86,$N3133)&gt;0,ISNUMBER(MATCH($X3133,계정대체기준!$D$77:$D$86,0)),ISNUMBER(MATCH($F3133,계정대체기준!$D$77:$D$86,0))),"Y","N")))</f>
        <v/>
      </c>
    </row>
    <row r="3134">
      <c r="A3134" s="92" t="n">
        <v>2026</v>
      </c>
      <c r="B3134" s="92" t="n">
        <v>2</v>
      </c>
      <c r="C3134" s="92" t="inlineStr">
        <is>
          <t>5100000412</t>
        </is>
      </c>
      <c r="D3134" s="95" t="n">
        <v>46074</v>
      </c>
      <c r="E3134" s="92" t="inlineStr">
        <is>
          <t>KR</t>
        </is>
      </c>
      <c r="F3134" s="92" t="n">
        <v>62201000</v>
      </c>
      <c r="G3134" s="92" t="n">
        <v>1701</v>
      </c>
      <c r="H3134" s="93" t="n">
        <v>3235000</v>
      </c>
      <c r="I3134" s="92" t="inlineStr">
        <is>
          <t>2월 통신요금 - O텔레콤</t>
        </is>
      </c>
      <c r="J3134" s="92" t="inlineStr">
        <is>
          <t>V10002</t>
        </is>
      </c>
      <c r="K3134" s="92" t="inlineStr">
        <is>
          <t>O텔레콤</t>
        </is>
      </c>
      <c r="M3134" s="9">
        <f>IF($A3134="","",VALUE($A3134&amp;"")*12+VALUE($B3134&amp;""))</f>
        <v/>
      </c>
      <c r="N3134" s="64">
        <f>IF($A3134="","",IFERROR(INDEX(부서매핑!$C$5:$C$504,MATCH($G3134&amp;"",부서매핑!$A$5:$A$504,0)),"미매핑"))</f>
        <v/>
      </c>
      <c r="O3134" s="9">
        <f>IF($A3134="","",N3134&amp;"|"&amp;$F3134)</f>
        <v/>
      </c>
      <c r="P3134" s="94">
        <f>IF($A3134="",0,$H3134*설정!$C$23)</f>
        <v/>
      </c>
      <c r="Q3134" s="64">
        <f>IF($A3134="","",IF(O3134&lt;&gt;원인분석!$C$9,"",IF(AND(M3134&gt;=원인분석!$C$10,M3134&lt;=원인분석!$C$11),"당기",IF(AND(M3134&gt;=원인분석!$C$12,M3134&lt;=원인분석!$C$13),"비교",""))))</f>
        <v/>
      </c>
      <c r="R3134" s="9">
        <f>IF(Q3134="","",$K3134&amp;"")</f>
        <v/>
      </c>
      <c r="S3134" s="9">
        <f>IF(Q3134="","",IF(MATCH(R3134,$R$5:$R$100000,0)=ROW()-4,ROW(),""))</f>
        <v/>
      </c>
      <c r="T3134" s="9">
        <f>IF(Q3134="당기",ABS(P3134)+ROW()/1000000000,"")</f>
        <v/>
      </c>
      <c r="U3134" s="9">
        <f>IF(Q3134="비교",ABS(P3134)+ROW()/1000000000,"")</f>
        <v/>
      </c>
      <c r="V3134" s="64">
        <f>IF($A3134="","",IF(COUNTIF(변동분석!$E$7:$E$506,O3134)&gt;0,"Y","N"))</f>
        <v/>
      </c>
      <c r="W3134" s="64">
        <f>IF($A3134="","",IFERROR(INDEX(계정매핑!$D$5:$D$504,MATCH($F3134&amp;"",계정매핑!$A$5:$A$504,0)),"미매핑"))</f>
        <v/>
      </c>
      <c r="X3134" s="9">
        <f>IF($A3134="","",$F3134&amp;"")</f>
        <v/>
      </c>
      <c r="Y3134" s="94">
        <f>IF($A3134="",0,IF(AE3134="직접",IF(AF3134="비귀속",$P3134,0),$P3134*(1-AG3134)*IFERROR(INDEX(계정대체기준!$F$20:$F$49,MATCH($N3134,계정대체기준!$A$20:$A$49,0)),1)))</f>
        <v/>
      </c>
      <c r="Z3134" s="94">
        <f>IF($A3134="",0,IF(AE3134="직접",IF(AF3134="신계약비",$P3134,0),$P3134*(1-AG3134)*IFERROR(INDEX(계정대체기준!$C$20:$C$49,MATCH($N3134,계정대체기준!$A$20:$A$49,0)),0)))</f>
        <v/>
      </c>
      <c r="AA3134" s="94">
        <f>IF($A3134="",0,IF(AE3134="직접",IF(OR(AF3134="유지비",AF3134="손해조사비"),$P3134,0),$P3134*(1-AG3134)*IFERROR(INDEX(계정대체기준!$D$20:$D$49,MATCH($N3134,계정대체기준!$A$20:$A$49,0)),0)))</f>
        <v/>
      </c>
      <c r="AB3134" s="94">
        <f>IF($A3134="",0,IF(AE3134="직접",IF(AF3134="수금비",$P3134,0),$P3134*(1-AG3134)*IFERROR(INDEX(계정대체기준!$E$20:$E$49,MATCH($N3134,계정대체기준!$A$20:$A$49,0)),0)))</f>
        <v/>
      </c>
      <c r="AC3134" s="9">
        <f>IF(AND($A3134&lt;&gt;"",M3134=설정!$C$20,Z3134&gt;0),Z3134+ROW()/1000000000,"")</f>
        <v/>
      </c>
      <c r="AD3134" s="94">
        <f>IF($A3134="",0,$P3134*AG3134)</f>
        <v/>
      </c>
      <c r="AE3134" s="64">
        <f>IF($A3134="","",IFERROR(INDEX(계정매핑!$E$5:$E$504,MATCH($F3134&amp;"",계정매핑!$A$5:$A$504,0))&amp;"","공통비"))</f>
        <v/>
      </c>
      <c r="AF3134" s="64">
        <f>IF($A3134="","",IF(AE3134="직접",IFERROR(INDEX(계정매핑!$F$5:$F$504,MATCH($F3134&amp;"",계정매핑!$A$5:$A$504,0))&amp;"","비귀속"),""))</f>
        <v/>
      </c>
      <c r="AG3134" s="96">
        <f>IF($A3134="",0,IF(AND(AE3134&lt;&gt;"직접",IFERROR(INDEX(계정매핑!$G$5:$G$504,MATCH($F3134&amp;"",계정매핑!$A$5:$A$504,0))&amp;"","")="유지비",COUNTIF(계정대체기준!$A$6:$A$15,$N3134)&gt;0),IFERROR(INDEX(계정대체기준!$E$6:$E$15,MATCH(VALUE($A3134&amp;""),계정대체기준!$D$6:$D$15,0)),0),0))</f>
        <v/>
      </c>
      <c r="AH3134" s="64">
        <f>IF($A3134="","",IF(AD3134=0,"",IF(OR(COUNTIF(계정대체기준!$A$77:$A$86,$N3134)&gt;0,ISNUMBER(MATCH($X3134,계정대체기준!$D$77:$D$86,0)),ISNUMBER(MATCH($F3134,계정대체기준!$D$77:$D$86,0))),"Y","N")))</f>
        <v/>
      </c>
    </row>
    <row r="3135">
      <c r="A3135" s="92" t="n">
        <v>2026</v>
      </c>
      <c r="B3135" s="92" t="n">
        <v>2</v>
      </c>
      <c r="C3135" s="92" t="inlineStr">
        <is>
          <t>5100000413</t>
        </is>
      </c>
      <c r="D3135" s="95" t="n">
        <v>46074</v>
      </c>
      <c r="E3135" s="92" t="inlineStr">
        <is>
          <t>KR</t>
        </is>
      </c>
      <c r="F3135" s="92" t="n">
        <v>62701000</v>
      </c>
      <c r="G3135" s="92" t="n">
        <v>1501</v>
      </c>
      <c r="H3135" s="93" t="n">
        <v>51821000</v>
      </c>
      <c r="I3135" s="92" t="inlineStr">
        <is>
          <t>2월 광고 집행 - F애드</t>
        </is>
      </c>
      <c r="J3135" s="92" t="inlineStr">
        <is>
          <t>V10023</t>
        </is>
      </c>
      <c r="K3135" s="92" t="inlineStr">
        <is>
          <t>F애드</t>
        </is>
      </c>
      <c r="M3135" s="9">
        <f>IF($A3135="","",VALUE($A3135&amp;"")*12+VALUE($B3135&amp;""))</f>
        <v/>
      </c>
      <c r="N3135" s="64">
        <f>IF($A3135="","",IFERROR(INDEX(부서매핑!$C$5:$C$504,MATCH($G3135&amp;"",부서매핑!$A$5:$A$504,0)),"미매핑"))</f>
        <v/>
      </c>
      <c r="O3135" s="9">
        <f>IF($A3135="","",N3135&amp;"|"&amp;$F3135)</f>
        <v/>
      </c>
      <c r="P3135" s="94">
        <f>IF($A3135="",0,$H3135*설정!$C$23)</f>
        <v/>
      </c>
      <c r="Q3135" s="64">
        <f>IF($A3135="","",IF(O3135&lt;&gt;원인분석!$C$9,"",IF(AND(M3135&gt;=원인분석!$C$10,M3135&lt;=원인분석!$C$11),"당기",IF(AND(M3135&gt;=원인분석!$C$12,M3135&lt;=원인분석!$C$13),"비교",""))))</f>
        <v/>
      </c>
      <c r="R3135" s="9">
        <f>IF(Q3135="","",$K3135&amp;"")</f>
        <v/>
      </c>
      <c r="S3135" s="9">
        <f>IF(Q3135="","",IF(MATCH(R3135,$R$5:$R$100000,0)=ROW()-4,ROW(),""))</f>
        <v/>
      </c>
      <c r="T3135" s="9">
        <f>IF(Q3135="당기",ABS(P3135)+ROW()/1000000000,"")</f>
        <v/>
      </c>
      <c r="U3135" s="9">
        <f>IF(Q3135="비교",ABS(P3135)+ROW()/1000000000,"")</f>
        <v/>
      </c>
      <c r="V3135" s="64">
        <f>IF($A3135="","",IF(COUNTIF(변동분석!$E$7:$E$506,O3135)&gt;0,"Y","N"))</f>
        <v/>
      </c>
      <c r="W3135" s="64">
        <f>IF($A3135="","",IFERROR(INDEX(계정매핑!$D$5:$D$504,MATCH($F3135&amp;"",계정매핑!$A$5:$A$504,0)),"미매핑"))</f>
        <v/>
      </c>
      <c r="X3135" s="9">
        <f>IF($A3135="","",$F3135&amp;"")</f>
        <v/>
      </c>
      <c r="Y3135" s="94">
        <f>IF($A3135="",0,IF(AE3135="직접",IF(AF3135="비귀속",$P3135,0),$P3135*(1-AG3135)*IFERROR(INDEX(계정대체기준!$F$20:$F$49,MATCH($N3135,계정대체기준!$A$20:$A$49,0)),1)))</f>
        <v/>
      </c>
      <c r="Z3135" s="94">
        <f>IF($A3135="",0,IF(AE3135="직접",IF(AF3135="신계약비",$P3135,0),$P3135*(1-AG3135)*IFERROR(INDEX(계정대체기준!$C$20:$C$49,MATCH($N3135,계정대체기준!$A$20:$A$49,0)),0)))</f>
        <v/>
      </c>
      <c r="AA3135" s="94">
        <f>IF($A3135="",0,IF(AE3135="직접",IF(OR(AF3135="유지비",AF3135="손해조사비"),$P3135,0),$P3135*(1-AG3135)*IFERROR(INDEX(계정대체기준!$D$20:$D$49,MATCH($N3135,계정대체기준!$A$20:$A$49,0)),0)))</f>
        <v/>
      </c>
      <c r="AB3135" s="94">
        <f>IF($A3135="",0,IF(AE3135="직접",IF(AF3135="수금비",$P3135,0),$P3135*(1-AG3135)*IFERROR(INDEX(계정대체기준!$E$20:$E$49,MATCH($N3135,계정대체기준!$A$20:$A$49,0)),0)))</f>
        <v/>
      </c>
      <c r="AC3135" s="9">
        <f>IF(AND($A3135&lt;&gt;"",M3135=설정!$C$20,Z3135&gt;0),Z3135+ROW()/1000000000,"")</f>
        <v/>
      </c>
      <c r="AD3135" s="94">
        <f>IF($A3135="",0,$P3135*AG3135)</f>
        <v/>
      </c>
      <c r="AE3135" s="64">
        <f>IF($A3135="","",IFERROR(INDEX(계정매핑!$E$5:$E$504,MATCH($F3135&amp;"",계정매핑!$A$5:$A$504,0))&amp;"","공통비"))</f>
        <v/>
      </c>
      <c r="AF3135" s="64">
        <f>IF($A3135="","",IF(AE3135="직접",IFERROR(INDEX(계정매핑!$F$5:$F$504,MATCH($F3135&amp;"",계정매핑!$A$5:$A$504,0))&amp;"","비귀속"),""))</f>
        <v/>
      </c>
      <c r="AG3135" s="96">
        <f>IF($A3135="",0,IF(AND(AE3135&lt;&gt;"직접",IFERROR(INDEX(계정매핑!$G$5:$G$504,MATCH($F3135&amp;"",계정매핑!$A$5:$A$504,0))&amp;"","")="유지비",COUNTIF(계정대체기준!$A$6:$A$15,$N3135)&gt;0),IFERROR(INDEX(계정대체기준!$E$6:$E$15,MATCH(VALUE($A3135&amp;""),계정대체기준!$D$6:$D$15,0)),0),0))</f>
        <v/>
      </c>
      <c r="AH3135" s="64">
        <f>IF($A3135="","",IF(AD3135=0,"",IF(OR(COUNTIF(계정대체기준!$A$77:$A$86,$N3135)&gt;0,ISNUMBER(MATCH($X3135,계정대체기준!$D$77:$D$86,0)),ISNUMBER(MATCH($F3135,계정대체기준!$D$77:$D$86,0))),"Y","N")))</f>
        <v/>
      </c>
    </row>
    <row r="3136">
      <c r="A3136" s="92" t="n">
        <v>2026</v>
      </c>
      <c r="B3136" s="92" t="n">
        <v>2</v>
      </c>
      <c r="C3136" s="92" t="inlineStr">
        <is>
          <t>5100000414</t>
        </is>
      </c>
      <c r="D3136" s="95" t="n">
        <v>46074</v>
      </c>
      <c r="E3136" s="92" t="inlineStr">
        <is>
          <t>KR</t>
        </is>
      </c>
      <c r="F3136" s="92" t="n">
        <v>62801000</v>
      </c>
      <c r="G3136" s="92" t="n">
        <v>1301</v>
      </c>
      <c r="H3136" s="93" t="n">
        <v>5227000</v>
      </c>
      <c r="I3136" s="92" t="inlineStr">
        <is>
          <t>2월 사내교육 - U에듀</t>
        </is>
      </c>
      <c r="J3136" s="92" t="inlineStr">
        <is>
          <t>V10031</t>
        </is>
      </c>
      <c r="K3136" s="92" t="inlineStr">
        <is>
          <t>U에듀</t>
        </is>
      </c>
      <c r="M3136" s="9">
        <f>IF($A3136="","",VALUE($A3136&amp;"")*12+VALUE($B3136&amp;""))</f>
        <v/>
      </c>
      <c r="N3136" s="64">
        <f>IF($A3136="","",IFERROR(INDEX(부서매핑!$C$5:$C$504,MATCH($G3136&amp;"",부서매핑!$A$5:$A$504,0)),"미매핑"))</f>
        <v/>
      </c>
      <c r="O3136" s="9">
        <f>IF($A3136="","",N3136&amp;"|"&amp;$F3136)</f>
        <v/>
      </c>
      <c r="P3136" s="94">
        <f>IF($A3136="",0,$H3136*설정!$C$23)</f>
        <v/>
      </c>
      <c r="Q3136" s="64">
        <f>IF($A3136="","",IF(O3136&lt;&gt;원인분석!$C$9,"",IF(AND(M3136&gt;=원인분석!$C$10,M3136&lt;=원인분석!$C$11),"당기",IF(AND(M3136&gt;=원인분석!$C$12,M3136&lt;=원인분석!$C$13),"비교",""))))</f>
        <v/>
      </c>
      <c r="R3136" s="9">
        <f>IF(Q3136="","",$K3136&amp;"")</f>
        <v/>
      </c>
      <c r="S3136" s="9">
        <f>IF(Q3136="","",IF(MATCH(R3136,$R$5:$R$100000,0)=ROW()-4,ROW(),""))</f>
        <v/>
      </c>
      <c r="T3136" s="9">
        <f>IF(Q3136="당기",ABS(P3136)+ROW()/1000000000,"")</f>
        <v/>
      </c>
      <c r="U3136" s="9">
        <f>IF(Q3136="비교",ABS(P3136)+ROW()/1000000000,"")</f>
        <v/>
      </c>
      <c r="V3136" s="64">
        <f>IF($A3136="","",IF(COUNTIF(변동분석!$E$7:$E$506,O3136)&gt;0,"Y","N"))</f>
        <v/>
      </c>
      <c r="W3136" s="64">
        <f>IF($A3136="","",IFERROR(INDEX(계정매핑!$D$5:$D$504,MATCH($F3136&amp;"",계정매핑!$A$5:$A$504,0)),"미매핑"))</f>
        <v/>
      </c>
      <c r="X3136" s="9">
        <f>IF($A3136="","",$F3136&amp;"")</f>
        <v/>
      </c>
      <c r="Y3136" s="94">
        <f>IF($A3136="",0,IF(AE3136="직접",IF(AF3136="비귀속",$P3136,0),$P3136*(1-AG3136)*IFERROR(INDEX(계정대체기준!$F$20:$F$49,MATCH($N3136,계정대체기준!$A$20:$A$49,0)),1)))</f>
        <v/>
      </c>
      <c r="Z3136" s="94">
        <f>IF($A3136="",0,IF(AE3136="직접",IF(AF3136="신계약비",$P3136,0),$P3136*(1-AG3136)*IFERROR(INDEX(계정대체기준!$C$20:$C$49,MATCH($N3136,계정대체기준!$A$20:$A$49,0)),0)))</f>
        <v/>
      </c>
      <c r="AA3136" s="94">
        <f>IF($A3136="",0,IF(AE3136="직접",IF(OR(AF3136="유지비",AF3136="손해조사비"),$P3136,0),$P3136*(1-AG3136)*IFERROR(INDEX(계정대체기준!$D$20:$D$49,MATCH($N3136,계정대체기준!$A$20:$A$49,0)),0)))</f>
        <v/>
      </c>
      <c r="AB3136" s="94">
        <f>IF($A3136="",0,IF(AE3136="직접",IF(AF3136="수금비",$P3136,0),$P3136*(1-AG3136)*IFERROR(INDEX(계정대체기준!$E$20:$E$49,MATCH($N3136,계정대체기준!$A$20:$A$49,0)),0)))</f>
        <v/>
      </c>
      <c r="AC3136" s="9">
        <f>IF(AND($A3136&lt;&gt;"",M3136=설정!$C$20,Z3136&gt;0),Z3136+ROW()/1000000000,"")</f>
        <v/>
      </c>
      <c r="AD3136" s="94">
        <f>IF($A3136="",0,$P3136*AG3136)</f>
        <v/>
      </c>
      <c r="AE3136" s="64">
        <f>IF($A3136="","",IFERROR(INDEX(계정매핑!$E$5:$E$504,MATCH($F3136&amp;"",계정매핑!$A$5:$A$504,0))&amp;"","공통비"))</f>
        <v/>
      </c>
      <c r="AF3136" s="64">
        <f>IF($A3136="","",IF(AE3136="직접",IFERROR(INDEX(계정매핑!$F$5:$F$504,MATCH($F3136&amp;"",계정매핑!$A$5:$A$504,0))&amp;"","비귀속"),""))</f>
        <v/>
      </c>
      <c r="AG3136" s="96">
        <f>IF($A3136="",0,IF(AND(AE3136&lt;&gt;"직접",IFERROR(INDEX(계정매핑!$G$5:$G$504,MATCH($F3136&amp;"",계정매핑!$A$5:$A$504,0))&amp;"","")="유지비",COUNTIF(계정대체기준!$A$6:$A$15,$N3136)&gt;0),IFERROR(INDEX(계정대체기준!$E$6:$E$15,MATCH(VALUE($A3136&amp;""),계정대체기준!$D$6:$D$15,0)),0),0))</f>
        <v/>
      </c>
      <c r="AH3136" s="64">
        <f>IF($A3136="","",IF(AD3136=0,"",IF(OR(COUNTIF(계정대체기준!$A$77:$A$86,$N3136)&gt;0,ISNUMBER(MATCH($X3136,계정대체기준!$D$77:$D$86,0)),ISNUMBER(MATCH($F3136,계정대체기준!$D$77:$D$86,0))),"Y","N")))</f>
        <v/>
      </c>
    </row>
    <row r="3137">
      <c r="A3137" s="92" t="n">
        <v>2026</v>
      </c>
      <c r="B3137" s="92" t="n">
        <v>2</v>
      </c>
      <c r="C3137" s="92" t="inlineStr">
        <is>
          <t>5100000415</t>
        </is>
      </c>
      <c r="D3137" s="95" t="n">
        <v>46075</v>
      </c>
      <c r="E3137" s="92" t="inlineStr">
        <is>
          <t>KR</t>
        </is>
      </c>
      <c r="F3137" s="92" t="n">
        <v>62101000</v>
      </c>
      <c r="G3137" s="92" t="n">
        <v>1201</v>
      </c>
      <c r="H3137" s="93" t="n">
        <v>251000</v>
      </c>
      <c r="I3137" s="92" t="inlineStr">
        <is>
          <t>2월 국내출장 - L여행사</t>
        </is>
      </c>
      <c r="J3137" s="92" t="inlineStr">
        <is>
          <t>V10018</t>
        </is>
      </c>
      <c r="K3137" s="92" t="inlineStr">
        <is>
          <t>L여행사</t>
        </is>
      </c>
      <c r="M3137" s="9">
        <f>IF($A3137="","",VALUE($A3137&amp;"")*12+VALUE($B3137&amp;""))</f>
        <v/>
      </c>
      <c r="N3137" s="64">
        <f>IF($A3137="","",IFERROR(INDEX(부서매핑!$C$5:$C$504,MATCH($G3137&amp;"",부서매핑!$A$5:$A$504,0)),"미매핑"))</f>
        <v/>
      </c>
      <c r="O3137" s="9">
        <f>IF($A3137="","",N3137&amp;"|"&amp;$F3137)</f>
        <v/>
      </c>
      <c r="P3137" s="94">
        <f>IF($A3137="",0,$H3137*설정!$C$23)</f>
        <v/>
      </c>
      <c r="Q3137" s="64">
        <f>IF($A3137="","",IF(O3137&lt;&gt;원인분석!$C$9,"",IF(AND(M3137&gt;=원인분석!$C$10,M3137&lt;=원인분석!$C$11),"당기",IF(AND(M3137&gt;=원인분석!$C$12,M3137&lt;=원인분석!$C$13),"비교",""))))</f>
        <v/>
      </c>
      <c r="R3137" s="9">
        <f>IF(Q3137="","",$K3137&amp;"")</f>
        <v/>
      </c>
      <c r="S3137" s="9">
        <f>IF(Q3137="","",IF(MATCH(R3137,$R$5:$R$100000,0)=ROW()-4,ROW(),""))</f>
        <v/>
      </c>
      <c r="T3137" s="9">
        <f>IF(Q3137="당기",ABS(P3137)+ROW()/1000000000,"")</f>
        <v/>
      </c>
      <c r="U3137" s="9">
        <f>IF(Q3137="비교",ABS(P3137)+ROW()/1000000000,"")</f>
        <v/>
      </c>
      <c r="V3137" s="64">
        <f>IF($A3137="","",IF(COUNTIF(변동분석!$E$7:$E$506,O3137)&gt;0,"Y","N"))</f>
        <v/>
      </c>
      <c r="W3137" s="64">
        <f>IF($A3137="","",IFERROR(INDEX(계정매핑!$D$5:$D$504,MATCH($F3137&amp;"",계정매핑!$A$5:$A$504,0)),"미매핑"))</f>
        <v/>
      </c>
      <c r="X3137" s="9">
        <f>IF($A3137="","",$F3137&amp;"")</f>
        <v/>
      </c>
      <c r="Y3137" s="94">
        <f>IF($A3137="",0,IF(AE3137="직접",IF(AF3137="비귀속",$P3137,0),$P3137*(1-AG3137)*IFERROR(INDEX(계정대체기준!$F$20:$F$49,MATCH($N3137,계정대체기준!$A$20:$A$49,0)),1)))</f>
        <v/>
      </c>
      <c r="Z3137" s="94">
        <f>IF($A3137="",0,IF(AE3137="직접",IF(AF3137="신계약비",$P3137,0),$P3137*(1-AG3137)*IFERROR(INDEX(계정대체기준!$C$20:$C$49,MATCH($N3137,계정대체기준!$A$20:$A$49,0)),0)))</f>
        <v/>
      </c>
      <c r="AA3137" s="94">
        <f>IF($A3137="",0,IF(AE3137="직접",IF(OR(AF3137="유지비",AF3137="손해조사비"),$P3137,0),$P3137*(1-AG3137)*IFERROR(INDEX(계정대체기준!$D$20:$D$49,MATCH($N3137,계정대체기준!$A$20:$A$49,0)),0)))</f>
        <v/>
      </c>
      <c r="AB3137" s="94">
        <f>IF($A3137="",0,IF(AE3137="직접",IF(AF3137="수금비",$P3137,0),$P3137*(1-AG3137)*IFERROR(INDEX(계정대체기준!$E$20:$E$49,MATCH($N3137,계정대체기준!$A$20:$A$49,0)),0)))</f>
        <v/>
      </c>
      <c r="AC3137" s="9">
        <f>IF(AND($A3137&lt;&gt;"",M3137=설정!$C$20,Z3137&gt;0),Z3137+ROW()/1000000000,"")</f>
        <v/>
      </c>
      <c r="AD3137" s="94">
        <f>IF($A3137="",0,$P3137*AG3137)</f>
        <v/>
      </c>
      <c r="AE3137" s="64">
        <f>IF($A3137="","",IFERROR(INDEX(계정매핑!$E$5:$E$504,MATCH($F3137&amp;"",계정매핑!$A$5:$A$504,0))&amp;"","공통비"))</f>
        <v/>
      </c>
      <c r="AF3137" s="64">
        <f>IF($A3137="","",IF(AE3137="직접",IFERROR(INDEX(계정매핑!$F$5:$F$504,MATCH($F3137&amp;"",계정매핑!$A$5:$A$504,0))&amp;"","비귀속"),""))</f>
        <v/>
      </c>
      <c r="AG3137" s="96">
        <f>IF($A3137="",0,IF(AND(AE3137&lt;&gt;"직접",IFERROR(INDEX(계정매핑!$G$5:$G$504,MATCH($F3137&amp;"",계정매핑!$A$5:$A$504,0))&amp;"","")="유지비",COUNTIF(계정대체기준!$A$6:$A$15,$N3137)&gt;0),IFERROR(INDEX(계정대체기준!$E$6:$E$15,MATCH(VALUE($A3137&amp;""),계정대체기준!$D$6:$D$15,0)),0),0))</f>
        <v/>
      </c>
      <c r="AH3137" s="64">
        <f>IF($A3137="","",IF(AD3137=0,"",IF(OR(COUNTIF(계정대체기준!$A$77:$A$86,$N3137)&gt;0,ISNUMBER(MATCH($X3137,계정대체기준!$D$77:$D$86,0)),ISNUMBER(MATCH($F3137,계정대체기준!$D$77:$D$86,0))),"Y","N")))</f>
        <v/>
      </c>
    </row>
    <row r="3138">
      <c r="A3138" s="92" t="n">
        <v>2026</v>
      </c>
      <c r="B3138" s="92" t="n">
        <v>2</v>
      </c>
      <c r="C3138" s="92" t="inlineStr">
        <is>
          <t>5100000416</t>
        </is>
      </c>
      <c r="D3138" s="95" t="n">
        <v>46075</v>
      </c>
      <c r="E3138" s="92" t="inlineStr">
        <is>
          <t>KR</t>
        </is>
      </c>
      <c r="F3138" s="92" t="n">
        <v>62101000</v>
      </c>
      <c r="G3138" s="92" t="n">
        <v>1401</v>
      </c>
      <c r="H3138" s="93" t="n">
        <v>642000</v>
      </c>
      <c r="I3138" s="92" t="inlineStr">
        <is>
          <t>2월 국내출장 - (법인카드)</t>
        </is>
      </c>
      <c r="J3138" s="92" t="inlineStr">
        <is>
          <t>V10010</t>
        </is>
      </c>
      <c r="K3138" s="92" t="inlineStr">
        <is>
          <t>(법인카드)</t>
        </is>
      </c>
      <c r="M3138" s="9">
        <f>IF($A3138="","",VALUE($A3138&amp;"")*12+VALUE($B3138&amp;""))</f>
        <v/>
      </c>
      <c r="N3138" s="64">
        <f>IF($A3138="","",IFERROR(INDEX(부서매핑!$C$5:$C$504,MATCH($G3138&amp;"",부서매핑!$A$5:$A$504,0)),"미매핑"))</f>
        <v/>
      </c>
      <c r="O3138" s="9">
        <f>IF($A3138="","",N3138&amp;"|"&amp;$F3138)</f>
        <v/>
      </c>
      <c r="P3138" s="94">
        <f>IF($A3138="",0,$H3138*설정!$C$23)</f>
        <v/>
      </c>
      <c r="Q3138" s="64">
        <f>IF($A3138="","",IF(O3138&lt;&gt;원인분석!$C$9,"",IF(AND(M3138&gt;=원인분석!$C$10,M3138&lt;=원인분석!$C$11),"당기",IF(AND(M3138&gt;=원인분석!$C$12,M3138&lt;=원인분석!$C$13),"비교",""))))</f>
        <v/>
      </c>
      <c r="R3138" s="9">
        <f>IF(Q3138="","",$K3138&amp;"")</f>
        <v/>
      </c>
      <c r="S3138" s="9">
        <f>IF(Q3138="","",IF(MATCH(R3138,$R$5:$R$100000,0)=ROW()-4,ROW(),""))</f>
        <v/>
      </c>
      <c r="T3138" s="9">
        <f>IF(Q3138="당기",ABS(P3138)+ROW()/1000000000,"")</f>
        <v/>
      </c>
      <c r="U3138" s="9">
        <f>IF(Q3138="비교",ABS(P3138)+ROW()/1000000000,"")</f>
        <v/>
      </c>
      <c r="V3138" s="64">
        <f>IF($A3138="","",IF(COUNTIF(변동분석!$E$7:$E$506,O3138)&gt;0,"Y","N"))</f>
        <v/>
      </c>
      <c r="W3138" s="64">
        <f>IF($A3138="","",IFERROR(INDEX(계정매핑!$D$5:$D$504,MATCH($F3138&amp;"",계정매핑!$A$5:$A$504,0)),"미매핑"))</f>
        <v/>
      </c>
      <c r="X3138" s="9">
        <f>IF($A3138="","",$F3138&amp;"")</f>
        <v/>
      </c>
      <c r="Y3138" s="94">
        <f>IF($A3138="",0,IF(AE3138="직접",IF(AF3138="비귀속",$P3138,0),$P3138*(1-AG3138)*IFERROR(INDEX(계정대체기준!$F$20:$F$49,MATCH($N3138,계정대체기준!$A$20:$A$49,0)),1)))</f>
        <v/>
      </c>
      <c r="Z3138" s="94">
        <f>IF($A3138="",0,IF(AE3138="직접",IF(AF3138="신계약비",$P3138,0),$P3138*(1-AG3138)*IFERROR(INDEX(계정대체기준!$C$20:$C$49,MATCH($N3138,계정대체기준!$A$20:$A$49,0)),0)))</f>
        <v/>
      </c>
      <c r="AA3138" s="94">
        <f>IF($A3138="",0,IF(AE3138="직접",IF(OR(AF3138="유지비",AF3138="손해조사비"),$P3138,0),$P3138*(1-AG3138)*IFERROR(INDEX(계정대체기준!$D$20:$D$49,MATCH($N3138,계정대체기준!$A$20:$A$49,0)),0)))</f>
        <v/>
      </c>
      <c r="AB3138" s="94">
        <f>IF($A3138="",0,IF(AE3138="직접",IF(AF3138="수금비",$P3138,0),$P3138*(1-AG3138)*IFERROR(INDEX(계정대체기준!$E$20:$E$49,MATCH($N3138,계정대체기준!$A$20:$A$49,0)),0)))</f>
        <v/>
      </c>
      <c r="AC3138" s="9">
        <f>IF(AND($A3138&lt;&gt;"",M3138=설정!$C$20,Z3138&gt;0),Z3138+ROW()/1000000000,"")</f>
        <v/>
      </c>
      <c r="AD3138" s="94">
        <f>IF($A3138="",0,$P3138*AG3138)</f>
        <v/>
      </c>
      <c r="AE3138" s="64">
        <f>IF($A3138="","",IFERROR(INDEX(계정매핑!$E$5:$E$504,MATCH($F3138&amp;"",계정매핑!$A$5:$A$504,0))&amp;"","공통비"))</f>
        <v/>
      </c>
      <c r="AF3138" s="64">
        <f>IF($A3138="","",IF(AE3138="직접",IFERROR(INDEX(계정매핑!$F$5:$F$504,MATCH($F3138&amp;"",계정매핑!$A$5:$A$504,0))&amp;"","비귀속"),""))</f>
        <v/>
      </c>
      <c r="AG3138" s="96">
        <f>IF($A3138="",0,IF(AND(AE3138&lt;&gt;"직접",IFERROR(INDEX(계정매핑!$G$5:$G$504,MATCH($F3138&amp;"",계정매핑!$A$5:$A$504,0))&amp;"","")="유지비",COUNTIF(계정대체기준!$A$6:$A$15,$N3138)&gt;0),IFERROR(INDEX(계정대체기준!$E$6:$E$15,MATCH(VALUE($A3138&amp;""),계정대체기준!$D$6:$D$15,0)),0),0))</f>
        <v/>
      </c>
      <c r="AH3138" s="64">
        <f>IF($A3138="","",IF(AD3138=0,"",IF(OR(COUNTIF(계정대체기준!$A$77:$A$86,$N3138)&gt;0,ISNUMBER(MATCH($X3138,계정대체기준!$D$77:$D$86,0)),ISNUMBER(MATCH($F3138,계정대체기준!$D$77:$D$86,0))),"Y","N")))</f>
        <v/>
      </c>
    </row>
    <row r="3139">
      <c r="A3139" s="92" t="n">
        <v>2026</v>
      </c>
      <c r="B3139" s="92" t="n">
        <v>2</v>
      </c>
      <c r="C3139" s="92" t="inlineStr">
        <is>
          <t>5100000417</t>
        </is>
      </c>
      <c r="D3139" s="95" t="n">
        <v>46075</v>
      </c>
      <c r="E3139" s="92" t="inlineStr">
        <is>
          <t>KR</t>
        </is>
      </c>
      <c r="F3139" s="92" t="n">
        <v>62101000</v>
      </c>
      <c r="G3139" s="92" t="n">
        <v>1801</v>
      </c>
      <c r="H3139" s="93" t="n">
        <v>109000</v>
      </c>
      <c r="I3139" s="92" t="inlineStr">
        <is>
          <t>2월 국내출장 - (법인카드)</t>
        </is>
      </c>
      <c r="J3139" s="92" t="inlineStr">
        <is>
          <t>V10010</t>
        </is>
      </c>
      <c r="K3139" s="92" t="inlineStr">
        <is>
          <t>(법인카드)</t>
        </is>
      </c>
      <c r="M3139" s="9">
        <f>IF($A3139="","",VALUE($A3139&amp;"")*12+VALUE($B3139&amp;""))</f>
        <v/>
      </c>
      <c r="N3139" s="64">
        <f>IF($A3139="","",IFERROR(INDEX(부서매핑!$C$5:$C$504,MATCH($G3139&amp;"",부서매핑!$A$5:$A$504,0)),"미매핑"))</f>
        <v/>
      </c>
      <c r="O3139" s="9">
        <f>IF($A3139="","",N3139&amp;"|"&amp;$F3139)</f>
        <v/>
      </c>
      <c r="P3139" s="94">
        <f>IF($A3139="",0,$H3139*설정!$C$23)</f>
        <v/>
      </c>
      <c r="Q3139" s="64">
        <f>IF($A3139="","",IF(O3139&lt;&gt;원인분석!$C$9,"",IF(AND(M3139&gt;=원인분석!$C$10,M3139&lt;=원인분석!$C$11),"당기",IF(AND(M3139&gt;=원인분석!$C$12,M3139&lt;=원인분석!$C$13),"비교",""))))</f>
        <v/>
      </c>
      <c r="R3139" s="9">
        <f>IF(Q3139="","",$K3139&amp;"")</f>
        <v/>
      </c>
      <c r="S3139" s="9">
        <f>IF(Q3139="","",IF(MATCH(R3139,$R$5:$R$100000,0)=ROW()-4,ROW(),""))</f>
        <v/>
      </c>
      <c r="T3139" s="9">
        <f>IF(Q3139="당기",ABS(P3139)+ROW()/1000000000,"")</f>
        <v/>
      </c>
      <c r="U3139" s="9">
        <f>IF(Q3139="비교",ABS(P3139)+ROW()/1000000000,"")</f>
        <v/>
      </c>
      <c r="V3139" s="64">
        <f>IF($A3139="","",IF(COUNTIF(변동분석!$E$7:$E$506,O3139)&gt;0,"Y","N"))</f>
        <v/>
      </c>
      <c r="W3139" s="64">
        <f>IF($A3139="","",IFERROR(INDEX(계정매핑!$D$5:$D$504,MATCH($F3139&amp;"",계정매핑!$A$5:$A$504,0)),"미매핑"))</f>
        <v/>
      </c>
      <c r="X3139" s="9">
        <f>IF($A3139="","",$F3139&amp;"")</f>
        <v/>
      </c>
      <c r="Y3139" s="94">
        <f>IF($A3139="",0,IF(AE3139="직접",IF(AF3139="비귀속",$P3139,0),$P3139*(1-AG3139)*IFERROR(INDEX(계정대체기준!$F$20:$F$49,MATCH($N3139,계정대체기준!$A$20:$A$49,0)),1)))</f>
        <v/>
      </c>
      <c r="Z3139" s="94">
        <f>IF($A3139="",0,IF(AE3139="직접",IF(AF3139="신계약비",$P3139,0),$P3139*(1-AG3139)*IFERROR(INDEX(계정대체기준!$C$20:$C$49,MATCH($N3139,계정대체기준!$A$20:$A$49,0)),0)))</f>
        <v/>
      </c>
      <c r="AA3139" s="94">
        <f>IF($A3139="",0,IF(AE3139="직접",IF(OR(AF3139="유지비",AF3139="손해조사비"),$P3139,0),$P3139*(1-AG3139)*IFERROR(INDEX(계정대체기준!$D$20:$D$49,MATCH($N3139,계정대체기준!$A$20:$A$49,0)),0)))</f>
        <v/>
      </c>
      <c r="AB3139" s="94">
        <f>IF($A3139="",0,IF(AE3139="직접",IF(AF3139="수금비",$P3139,0),$P3139*(1-AG3139)*IFERROR(INDEX(계정대체기준!$E$20:$E$49,MATCH($N3139,계정대체기준!$A$20:$A$49,0)),0)))</f>
        <v/>
      </c>
      <c r="AC3139" s="9">
        <f>IF(AND($A3139&lt;&gt;"",M3139=설정!$C$20,Z3139&gt;0),Z3139+ROW()/1000000000,"")</f>
        <v/>
      </c>
      <c r="AD3139" s="94">
        <f>IF($A3139="",0,$P3139*AG3139)</f>
        <v/>
      </c>
      <c r="AE3139" s="64">
        <f>IF($A3139="","",IFERROR(INDEX(계정매핑!$E$5:$E$504,MATCH($F3139&amp;"",계정매핑!$A$5:$A$504,0))&amp;"","공통비"))</f>
        <v/>
      </c>
      <c r="AF3139" s="64">
        <f>IF($A3139="","",IF(AE3139="직접",IFERROR(INDEX(계정매핑!$F$5:$F$504,MATCH($F3139&amp;"",계정매핑!$A$5:$A$504,0))&amp;"","비귀속"),""))</f>
        <v/>
      </c>
      <c r="AG3139" s="96">
        <f>IF($A3139="",0,IF(AND(AE3139&lt;&gt;"직접",IFERROR(INDEX(계정매핑!$G$5:$G$504,MATCH($F3139&amp;"",계정매핑!$A$5:$A$504,0))&amp;"","")="유지비",COUNTIF(계정대체기준!$A$6:$A$15,$N3139)&gt;0),IFERROR(INDEX(계정대체기준!$E$6:$E$15,MATCH(VALUE($A3139&amp;""),계정대체기준!$D$6:$D$15,0)),0),0))</f>
        <v/>
      </c>
      <c r="AH3139" s="64">
        <f>IF($A3139="","",IF(AD3139=0,"",IF(OR(COUNTIF(계정대체기준!$A$77:$A$86,$N3139)&gt;0,ISNUMBER(MATCH($X3139,계정대체기준!$D$77:$D$86,0)),ISNUMBER(MATCH($F3139,계정대체기준!$D$77:$D$86,0))),"Y","N")))</f>
        <v/>
      </c>
    </row>
    <row r="3140">
      <c r="A3140" s="92" t="n">
        <v>2026</v>
      </c>
      <c r="B3140" s="92" t="n">
        <v>2</v>
      </c>
      <c r="C3140" s="92" t="inlineStr">
        <is>
          <t>5100000418</t>
        </is>
      </c>
      <c r="D3140" s="95" t="n">
        <v>46075</v>
      </c>
      <c r="E3140" s="92" t="inlineStr">
        <is>
          <t>KR</t>
        </is>
      </c>
      <c r="F3140" s="92" t="n">
        <v>62101000</v>
      </c>
      <c r="G3140" s="92" t="n">
        <v>1951</v>
      </c>
      <c r="H3140" s="93" t="n">
        <v>269000</v>
      </c>
      <c r="I3140" s="92" t="inlineStr">
        <is>
          <t>2월 국내출장 - (법인카드)</t>
        </is>
      </c>
      <c r="J3140" s="92" t="inlineStr">
        <is>
          <t>V10010</t>
        </is>
      </c>
      <c r="K3140" s="92" t="inlineStr">
        <is>
          <t>(법인카드)</t>
        </is>
      </c>
      <c r="M3140" s="9">
        <f>IF($A3140="","",VALUE($A3140&amp;"")*12+VALUE($B3140&amp;""))</f>
        <v/>
      </c>
      <c r="N3140" s="64">
        <f>IF($A3140="","",IFERROR(INDEX(부서매핑!$C$5:$C$504,MATCH($G3140&amp;"",부서매핑!$A$5:$A$504,0)),"미매핑"))</f>
        <v/>
      </c>
      <c r="O3140" s="9">
        <f>IF($A3140="","",N3140&amp;"|"&amp;$F3140)</f>
        <v/>
      </c>
      <c r="P3140" s="94">
        <f>IF($A3140="",0,$H3140*설정!$C$23)</f>
        <v/>
      </c>
      <c r="Q3140" s="64">
        <f>IF($A3140="","",IF(O3140&lt;&gt;원인분석!$C$9,"",IF(AND(M3140&gt;=원인분석!$C$10,M3140&lt;=원인분석!$C$11),"당기",IF(AND(M3140&gt;=원인분석!$C$12,M3140&lt;=원인분석!$C$13),"비교",""))))</f>
        <v/>
      </c>
      <c r="R3140" s="9">
        <f>IF(Q3140="","",$K3140&amp;"")</f>
        <v/>
      </c>
      <c r="S3140" s="9">
        <f>IF(Q3140="","",IF(MATCH(R3140,$R$5:$R$100000,0)=ROW()-4,ROW(),""))</f>
        <v/>
      </c>
      <c r="T3140" s="9">
        <f>IF(Q3140="당기",ABS(P3140)+ROW()/1000000000,"")</f>
        <v/>
      </c>
      <c r="U3140" s="9">
        <f>IF(Q3140="비교",ABS(P3140)+ROW()/1000000000,"")</f>
        <v/>
      </c>
      <c r="V3140" s="64">
        <f>IF($A3140="","",IF(COUNTIF(변동분석!$E$7:$E$506,O3140)&gt;0,"Y","N"))</f>
        <v/>
      </c>
      <c r="W3140" s="64">
        <f>IF($A3140="","",IFERROR(INDEX(계정매핑!$D$5:$D$504,MATCH($F3140&amp;"",계정매핑!$A$5:$A$504,0)),"미매핑"))</f>
        <v/>
      </c>
      <c r="X3140" s="9">
        <f>IF($A3140="","",$F3140&amp;"")</f>
        <v/>
      </c>
      <c r="Y3140" s="94">
        <f>IF($A3140="",0,IF(AE3140="직접",IF(AF3140="비귀속",$P3140,0),$P3140*(1-AG3140)*IFERROR(INDEX(계정대체기준!$F$20:$F$49,MATCH($N3140,계정대체기준!$A$20:$A$49,0)),1)))</f>
        <v/>
      </c>
      <c r="Z3140" s="94">
        <f>IF($A3140="",0,IF(AE3140="직접",IF(AF3140="신계약비",$P3140,0),$P3140*(1-AG3140)*IFERROR(INDEX(계정대체기준!$C$20:$C$49,MATCH($N3140,계정대체기준!$A$20:$A$49,0)),0)))</f>
        <v/>
      </c>
      <c r="AA3140" s="94">
        <f>IF($A3140="",0,IF(AE3140="직접",IF(OR(AF3140="유지비",AF3140="손해조사비"),$P3140,0),$P3140*(1-AG3140)*IFERROR(INDEX(계정대체기준!$D$20:$D$49,MATCH($N3140,계정대체기준!$A$20:$A$49,0)),0)))</f>
        <v/>
      </c>
      <c r="AB3140" s="94">
        <f>IF($A3140="",0,IF(AE3140="직접",IF(AF3140="수금비",$P3140,0),$P3140*(1-AG3140)*IFERROR(INDEX(계정대체기준!$E$20:$E$49,MATCH($N3140,계정대체기준!$A$20:$A$49,0)),0)))</f>
        <v/>
      </c>
      <c r="AC3140" s="9">
        <f>IF(AND($A3140&lt;&gt;"",M3140=설정!$C$20,Z3140&gt;0),Z3140+ROW()/1000000000,"")</f>
        <v/>
      </c>
      <c r="AD3140" s="94">
        <f>IF($A3140="",0,$P3140*AG3140)</f>
        <v/>
      </c>
      <c r="AE3140" s="64">
        <f>IF($A3140="","",IFERROR(INDEX(계정매핑!$E$5:$E$504,MATCH($F3140&amp;"",계정매핑!$A$5:$A$504,0))&amp;"","공통비"))</f>
        <v/>
      </c>
      <c r="AF3140" s="64">
        <f>IF($A3140="","",IF(AE3140="직접",IFERROR(INDEX(계정매핑!$F$5:$F$504,MATCH($F3140&amp;"",계정매핑!$A$5:$A$504,0))&amp;"","비귀속"),""))</f>
        <v/>
      </c>
      <c r="AG3140" s="96">
        <f>IF($A3140="",0,IF(AND(AE3140&lt;&gt;"직접",IFERROR(INDEX(계정매핑!$G$5:$G$504,MATCH($F3140&amp;"",계정매핑!$A$5:$A$504,0))&amp;"","")="유지비",COUNTIF(계정대체기준!$A$6:$A$15,$N3140)&gt;0),IFERROR(INDEX(계정대체기준!$E$6:$E$15,MATCH(VALUE($A3140&amp;""),계정대체기준!$D$6:$D$15,0)),0),0))</f>
        <v/>
      </c>
      <c r="AH3140" s="64">
        <f>IF($A3140="","",IF(AD3140=0,"",IF(OR(COUNTIF(계정대체기준!$A$77:$A$86,$N3140)&gt;0,ISNUMBER(MATCH($X3140,계정대체기준!$D$77:$D$86,0)),ISNUMBER(MATCH($F3140,계정대체기준!$D$77:$D$86,0))),"Y","N")))</f>
        <v/>
      </c>
    </row>
    <row r="3141">
      <c r="A3141" s="92" t="n">
        <v>2026</v>
      </c>
      <c r="B3141" s="92" t="n">
        <v>2</v>
      </c>
      <c r="C3141" s="92" t="inlineStr">
        <is>
          <t>5100000419</t>
        </is>
      </c>
      <c r="D3141" s="95" t="n">
        <v>46075</v>
      </c>
      <c r="E3141" s="92" t="inlineStr">
        <is>
          <t>KR</t>
        </is>
      </c>
      <c r="F3141" s="92" t="n">
        <v>62102000</v>
      </c>
      <c r="G3141" s="92" t="n">
        <v>1951</v>
      </c>
      <c r="H3141" s="93" t="n">
        <v>43000</v>
      </c>
      <c r="I3141" s="92" t="inlineStr">
        <is>
          <t>2월 해외출장 - M항공</t>
        </is>
      </c>
      <c r="J3141" s="92" t="inlineStr">
        <is>
          <t>V10001</t>
        </is>
      </c>
      <c r="K3141" s="92" t="inlineStr">
        <is>
          <t>M항공</t>
        </is>
      </c>
      <c r="M3141" s="9">
        <f>IF($A3141="","",VALUE($A3141&amp;"")*12+VALUE($B3141&amp;""))</f>
        <v/>
      </c>
      <c r="N3141" s="64">
        <f>IF($A3141="","",IFERROR(INDEX(부서매핑!$C$5:$C$504,MATCH($G3141&amp;"",부서매핑!$A$5:$A$504,0)),"미매핑"))</f>
        <v/>
      </c>
      <c r="O3141" s="9">
        <f>IF($A3141="","",N3141&amp;"|"&amp;$F3141)</f>
        <v/>
      </c>
      <c r="P3141" s="94">
        <f>IF($A3141="",0,$H3141*설정!$C$23)</f>
        <v/>
      </c>
      <c r="Q3141" s="64">
        <f>IF($A3141="","",IF(O3141&lt;&gt;원인분석!$C$9,"",IF(AND(M3141&gt;=원인분석!$C$10,M3141&lt;=원인분석!$C$11),"당기",IF(AND(M3141&gt;=원인분석!$C$12,M3141&lt;=원인분석!$C$13),"비교",""))))</f>
        <v/>
      </c>
      <c r="R3141" s="9">
        <f>IF(Q3141="","",$K3141&amp;"")</f>
        <v/>
      </c>
      <c r="S3141" s="9">
        <f>IF(Q3141="","",IF(MATCH(R3141,$R$5:$R$100000,0)=ROW()-4,ROW(),""))</f>
        <v/>
      </c>
      <c r="T3141" s="9">
        <f>IF(Q3141="당기",ABS(P3141)+ROW()/1000000000,"")</f>
        <v/>
      </c>
      <c r="U3141" s="9">
        <f>IF(Q3141="비교",ABS(P3141)+ROW()/1000000000,"")</f>
        <v/>
      </c>
      <c r="V3141" s="64">
        <f>IF($A3141="","",IF(COUNTIF(변동분석!$E$7:$E$506,O3141)&gt;0,"Y","N"))</f>
        <v/>
      </c>
      <c r="W3141" s="64">
        <f>IF($A3141="","",IFERROR(INDEX(계정매핑!$D$5:$D$504,MATCH($F3141&amp;"",계정매핑!$A$5:$A$504,0)),"미매핑"))</f>
        <v/>
      </c>
      <c r="X3141" s="9">
        <f>IF($A3141="","",$F3141&amp;"")</f>
        <v/>
      </c>
      <c r="Y3141" s="94">
        <f>IF($A3141="",0,IF(AE3141="직접",IF(AF3141="비귀속",$P3141,0),$P3141*(1-AG3141)*IFERROR(INDEX(계정대체기준!$F$20:$F$49,MATCH($N3141,계정대체기준!$A$20:$A$49,0)),1)))</f>
        <v/>
      </c>
      <c r="Z3141" s="94">
        <f>IF($A3141="",0,IF(AE3141="직접",IF(AF3141="신계약비",$P3141,0),$P3141*(1-AG3141)*IFERROR(INDEX(계정대체기준!$C$20:$C$49,MATCH($N3141,계정대체기준!$A$20:$A$49,0)),0)))</f>
        <v/>
      </c>
      <c r="AA3141" s="94">
        <f>IF($A3141="",0,IF(AE3141="직접",IF(OR(AF3141="유지비",AF3141="손해조사비"),$P3141,0),$P3141*(1-AG3141)*IFERROR(INDEX(계정대체기준!$D$20:$D$49,MATCH($N3141,계정대체기준!$A$20:$A$49,0)),0)))</f>
        <v/>
      </c>
      <c r="AB3141" s="94">
        <f>IF($A3141="",0,IF(AE3141="직접",IF(AF3141="수금비",$P3141,0),$P3141*(1-AG3141)*IFERROR(INDEX(계정대체기준!$E$20:$E$49,MATCH($N3141,계정대체기준!$A$20:$A$49,0)),0)))</f>
        <v/>
      </c>
      <c r="AC3141" s="9">
        <f>IF(AND($A3141&lt;&gt;"",M3141=설정!$C$20,Z3141&gt;0),Z3141+ROW()/1000000000,"")</f>
        <v/>
      </c>
      <c r="AD3141" s="94">
        <f>IF($A3141="",0,$P3141*AG3141)</f>
        <v/>
      </c>
      <c r="AE3141" s="64">
        <f>IF($A3141="","",IFERROR(INDEX(계정매핑!$E$5:$E$504,MATCH($F3141&amp;"",계정매핑!$A$5:$A$504,0))&amp;"","공통비"))</f>
        <v/>
      </c>
      <c r="AF3141" s="64">
        <f>IF($A3141="","",IF(AE3141="직접",IFERROR(INDEX(계정매핑!$F$5:$F$504,MATCH($F3141&amp;"",계정매핑!$A$5:$A$504,0))&amp;"","비귀속"),""))</f>
        <v/>
      </c>
      <c r="AG3141" s="96">
        <f>IF($A3141="",0,IF(AND(AE3141&lt;&gt;"직접",IFERROR(INDEX(계정매핑!$G$5:$G$504,MATCH($F3141&amp;"",계정매핑!$A$5:$A$504,0))&amp;"","")="유지비",COUNTIF(계정대체기준!$A$6:$A$15,$N3141)&gt;0),IFERROR(INDEX(계정대체기준!$E$6:$E$15,MATCH(VALUE($A3141&amp;""),계정대체기준!$D$6:$D$15,0)),0),0))</f>
        <v/>
      </c>
      <c r="AH3141" s="64">
        <f>IF($A3141="","",IF(AD3141=0,"",IF(OR(COUNTIF(계정대체기준!$A$77:$A$86,$N3141)&gt;0,ISNUMBER(MATCH($X3141,계정대체기준!$D$77:$D$86,0)),ISNUMBER(MATCH($F3141,계정대체기준!$D$77:$D$86,0))),"Y","N")))</f>
        <v/>
      </c>
    </row>
    <row r="3142">
      <c r="A3142" s="92" t="n">
        <v>2026</v>
      </c>
      <c r="B3142" s="92" t="n">
        <v>2</v>
      </c>
      <c r="C3142" s="92" t="inlineStr">
        <is>
          <t>5100000420</t>
        </is>
      </c>
      <c r="D3142" s="95" t="n">
        <v>46075</v>
      </c>
      <c r="E3142" s="92" t="inlineStr">
        <is>
          <t>KR</t>
        </is>
      </c>
      <c r="F3142" s="92" t="n">
        <v>62201000</v>
      </c>
      <c r="G3142" s="92" t="n">
        <v>1501</v>
      </c>
      <c r="H3142" s="93" t="n">
        <v>369000</v>
      </c>
      <c r="I3142" s="92" t="inlineStr">
        <is>
          <t>2월 통신요금 - O텔레콤</t>
        </is>
      </c>
      <c r="J3142" s="92" t="inlineStr">
        <is>
          <t>V10002</t>
        </is>
      </c>
      <c r="K3142" s="92" t="inlineStr">
        <is>
          <t>O텔레콤</t>
        </is>
      </c>
      <c r="M3142" s="9">
        <f>IF($A3142="","",VALUE($A3142&amp;"")*12+VALUE($B3142&amp;""))</f>
        <v/>
      </c>
      <c r="N3142" s="64">
        <f>IF($A3142="","",IFERROR(INDEX(부서매핑!$C$5:$C$504,MATCH($G3142&amp;"",부서매핑!$A$5:$A$504,0)),"미매핑"))</f>
        <v/>
      </c>
      <c r="O3142" s="9">
        <f>IF($A3142="","",N3142&amp;"|"&amp;$F3142)</f>
        <v/>
      </c>
      <c r="P3142" s="94">
        <f>IF($A3142="",0,$H3142*설정!$C$23)</f>
        <v/>
      </c>
      <c r="Q3142" s="64">
        <f>IF($A3142="","",IF(O3142&lt;&gt;원인분석!$C$9,"",IF(AND(M3142&gt;=원인분석!$C$10,M3142&lt;=원인분석!$C$11),"당기",IF(AND(M3142&gt;=원인분석!$C$12,M3142&lt;=원인분석!$C$13),"비교",""))))</f>
        <v/>
      </c>
      <c r="R3142" s="9">
        <f>IF(Q3142="","",$K3142&amp;"")</f>
        <v/>
      </c>
      <c r="S3142" s="9">
        <f>IF(Q3142="","",IF(MATCH(R3142,$R$5:$R$100000,0)=ROW()-4,ROW(),""))</f>
        <v/>
      </c>
      <c r="T3142" s="9">
        <f>IF(Q3142="당기",ABS(P3142)+ROW()/1000000000,"")</f>
        <v/>
      </c>
      <c r="U3142" s="9">
        <f>IF(Q3142="비교",ABS(P3142)+ROW()/1000000000,"")</f>
        <v/>
      </c>
      <c r="V3142" s="64">
        <f>IF($A3142="","",IF(COUNTIF(변동분석!$E$7:$E$506,O3142)&gt;0,"Y","N"))</f>
        <v/>
      </c>
      <c r="W3142" s="64">
        <f>IF($A3142="","",IFERROR(INDEX(계정매핑!$D$5:$D$504,MATCH($F3142&amp;"",계정매핑!$A$5:$A$504,0)),"미매핑"))</f>
        <v/>
      </c>
      <c r="X3142" s="9">
        <f>IF($A3142="","",$F3142&amp;"")</f>
        <v/>
      </c>
      <c r="Y3142" s="94">
        <f>IF($A3142="",0,IF(AE3142="직접",IF(AF3142="비귀속",$P3142,0),$P3142*(1-AG3142)*IFERROR(INDEX(계정대체기준!$F$20:$F$49,MATCH($N3142,계정대체기준!$A$20:$A$49,0)),1)))</f>
        <v/>
      </c>
      <c r="Z3142" s="94">
        <f>IF($A3142="",0,IF(AE3142="직접",IF(AF3142="신계약비",$P3142,0),$P3142*(1-AG3142)*IFERROR(INDEX(계정대체기준!$C$20:$C$49,MATCH($N3142,계정대체기준!$A$20:$A$49,0)),0)))</f>
        <v/>
      </c>
      <c r="AA3142" s="94">
        <f>IF($A3142="",0,IF(AE3142="직접",IF(OR(AF3142="유지비",AF3142="손해조사비"),$P3142,0),$P3142*(1-AG3142)*IFERROR(INDEX(계정대체기준!$D$20:$D$49,MATCH($N3142,계정대체기준!$A$20:$A$49,0)),0)))</f>
        <v/>
      </c>
      <c r="AB3142" s="94">
        <f>IF($A3142="",0,IF(AE3142="직접",IF(AF3142="수금비",$P3142,0),$P3142*(1-AG3142)*IFERROR(INDEX(계정대체기준!$E$20:$E$49,MATCH($N3142,계정대체기준!$A$20:$A$49,0)),0)))</f>
        <v/>
      </c>
      <c r="AC3142" s="9">
        <f>IF(AND($A3142&lt;&gt;"",M3142=설정!$C$20,Z3142&gt;0),Z3142+ROW()/1000000000,"")</f>
        <v/>
      </c>
      <c r="AD3142" s="94">
        <f>IF($A3142="",0,$P3142*AG3142)</f>
        <v/>
      </c>
      <c r="AE3142" s="64">
        <f>IF($A3142="","",IFERROR(INDEX(계정매핑!$E$5:$E$504,MATCH($F3142&amp;"",계정매핑!$A$5:$A$504,0))&amp;"","공통비"))</f>
        <v/>
      </c>
      <c r="AF3142" s="64">
        <f>IF($A3142="","",IF(AE3142="직접",IFERROR(INDEX(계정매핑!$F$5:$F$504,MATCH($F3142&amp;"",계정매핑!$A$5:$A$504,0))&amp;"","비귀속"),""))</f>
        <v/>
      </c>
      <c r="AG3142" s="96">
        <f>IF($A3142="",0,IF(AND(AE3142&lt;&gt;"직접",IFERROR(INDEX(계정매핑!$G$5:$G$504,MATCH($F3142&amp;"",계정매핑!$A$5:$A$504,0))&amp;"","")="유지비",COUNTIF(계정대체기준!$A$6:$A$15,$N3142)&gt;0),IFERROR(INDEX(계정대체기준!$E$6:$E$15,MATCH(VALUE($A3142&amp;""),계정대체기준!$D$6:$D$15,0)),0),0))</f>
        <v/>
      </c>
      <c r="AH3142" s="64">
        <f>IF($A3142="","",IF(AD3142=0,"",IF(OR(COUNTIF(계정대체기준!$A$77:$A$86,$N3142)&gt;0,ISNUMBER(MATCH($X3142,계정대체기준!$D$77:$D$86,0)),ISNUMBER(MATCH($F3142,계정대체기준!$D$77:$D$86,0))),"Y","N")))</f>
        <v/>
      </c>
    </row>
    <row r="3143">
      <c r="A3143" s="92" t="n">
        <v>2026</v>
      </c>
      <c r="B3143" s="92" t="n">
        <v>2</v>
      </c>
      <c r="C3143" s="92" t="inlineStr">
        <is>
          <t>5100000421</t>
        </is>
      </c>
      <c r="D3143" s="95" t="n">
        <v>46075</v>
      </c>
      <c r="E3143" s="92" t="inlineStr">
        <is>
          <t>KR</t>
        </is>
      </c>
      <c r="F3143" s="92" t="n">
        <v>62301000</v>
      </c>
      <c r="G3143" s="92" t="n">
        <v>1701</v>
      </c>
      <c r="H3143" s="93" t="n">
        <v>214000</v>
      </c>
      <c r="I3143" s="92" t="inlineStr">
        <is>
          <t>2월 소모품 구입 - Q오피스</t>
        </is>
      </c>
      <c r="J3143" s="92" t="inlineStr">
        <is>
          <t>V10003</t>
        </is>
      </c>
      <c r="K3143" s="92" t="inlineStr">
        <is>
          <t>Q오피스</t>
        </is>
      </c>
      <c r="M3143" s="9">
        <f>IF($A3143="","",VALUE($A3143&amp;"")*12+VALUE($B3143&amp;""))</f>
        <v/>
      </c>
      <c r="N3143" s="64">
        <f>IF($A3143="","",IFERROR(INDEX(부서매핑!$C$5:$C$504,MATCH($G3143&amp;"",부서매핑!$A$5:$A$504,0)),"미매핑"))</f>
        <v/>
      </c>
      <c r="O3143" s="9">
        <f>IF($A3143="","",N3143&amp;"|"&amp;$F3143)</f>
        <v/>
      </c>
      <c r="P3143" s="94">
        <f>IF($A3143="",0,$H3143*설정!$C$23)</f>
        <v/>
      </c>
      <c r="Q3143" s="64">
        <f>IF($A3143="","",IF(O3143&lt;&gt;원인분석!$C$9,"",IF(AND(M3143&gt;=원인분석!$C$10,M3143&lt;=원인분석!$C$11),"당기",IF(AND(M3143&gt;=원인분석!$C$12,M3143&lt;=원인분석!$C$13),"비교",""))))</f>
        <v/>
      </c>
      <c r="R3143" s="9">
        <f>IF(Q3143="","",$K3143&amp;"")</f>
        <v/>
      </c>
      <c r="S3143" s="9">
        <f>IF(Q3143="","",IF(MATCH(R3143,$R$5:$R$100000,0)=ROW()-4,ROW(),""))</f>
        <v/>
      </c>
      <c r="T3143" s="9">
        <f>IF(Q3143="당기",ABS(P3143)+ROW()/1000000000,"")</f>
        <v/>
      </c>
      <c r="U3143" s="9">
        <f>IF(Q3143="비교",ABS(P3143)+ROW()/1000000000,"")</f>
        <v/>
      </c>
      <c r="V3143" s="64">
        <f>IF($A3143="","",IF(COUNTIF(변동분석!$E$7:$E$506,O3143)&gt;0,"Y","N"))</f>
        <v/>
      </c>
      <c r="W3143" s="64">
        <f>IF($A3143="","",IFERROR(INDEX(계정매핑!$D$5:$D$504,MATCH($F3143&amp;"",계정매핑!$A$5:$A$504,0)),"미매핑"))</f>
        <v/>
      </c>
      <c r="X3143" s="9">
        <f>IF($A3143="","",$F3143&amp;"")</f>
        <v/>
      </c>
      <c r="Y3143" s="94">
        <f>IF($A3143="",0,IF(AE3143="직접",IF(AF3143="비귀속",$P3143,0),$P3143*(1-AG3143)*IFERROR(INDEX(계정대체기준!$F$20:$F$49,MATCH($N3143,계정대체기준!$A$20:$A$49,0)),1)))</f>
        <v/>
      </c>
      <c r="Z3143" s="94">
        <f>IF($A3143="",0,IF(AE3143="직접",IF(AF3143="신계약비",$P3143,0),$P3143*(1-AG3143)*IFERROR(INDEX(계정대체기준!$C$20:$C$49,MATCH($N3143,계정대체기준!$A$20:$A$49,0)),0)))</f>
        <v/>
      </c>
      <c r="AA3143" s="94">
        <f>IF($A3143="",0,IF(AE3143="직접",IF(OR(AF3143="유지비",AF3143="손해조사비"),$P3143,0),$P3143*(1-AG3143)*IFERROR(INDEX(계정대체기준!$D$20:$D$49,MATCH($N3143,계정대체기준!$A$20:$A$49,0)),0)))</f>
        <v/>
      </c>
      <c r="AB3143" s="94">
        <f>IF($A3143="",0,IF(AE3143="직접",IF(AF3143="수금비",$P3143,0),$P3143*(1-AG3143)*IFERROR(INDEX(계정대체기준!$E$20:$E$49,MATCH($N3143,계정대체기준!$A$20:$A$49,0)),0)))</f>
        <v/>
      </c>
      <c r="AC3143" s="9">
        <f>IF(AND($A3143&lt;&gt;"",M3143=설정!$C$20,Z3143&gt;0),Z3143+ROW()/1000000000,"")</f>
        <v/>
      </c>
      <c r="AD3143" s="94">
        <f>IF($A3143="",0,$P3143*AG3143)</f>
        <v/>
      </c>
      <c r="AE3143" s="64">
        <f>IF($A3143="","",IFERROR(INDEX(계정매핑!$E$5:$E$504,MATCH($F3143&amp;"",계정매핑!$A$5:$A$504,0))&amp;"","공통비"))</f>
        <v/>
      </c>
      <c r="AF3143" s="64">
        <f>IF($A3143="","",IF(AE3143="직접",IFERROR(INDEX(계정매핑!$F$5:$F$504,MATCH($F3143&amp;"",계정매핑!$A$5:$A$504,0))&amp;"","비귀속"),""))</f>
        <v/>
      </c>
      <c r="AG3143" s="96">
        <f>IF($A3143="",0,IF(AND(AE3143&lt;&gt;"직접",IFERROR(INDEX(계정매핑!$G$5:$G$504,MATCH($F3143&amp;"",계정매핑!$A$5:$A$504,0))&amp;"","")="유지비",COUNTIF(계정대체기준!$A$6:$A$15,$N3143)&gt;0),IFERROR(INDEX(계정대체기준!$E$6:$E$15,MATCH(VALUE($A3143&amp;""),계정대체기준!$D$6:$D$15,0)),0),0))</f>
        <v/>
      </c>
      <c r="AH3143" s="64">
        <f>IF($A3143="","",IF(AD3143=0,"",IF(OR(COUNTIF(계정대체기준!$A$77:$A$86,$N3143)&gt;0,ISNUMBER(MATCH($X3143,계정대체기준!$D$77:$D$86,0)),ISNUMBER(MATCH($F3143,계정대체기준!$D$77:$D$86,0))),"Y","N")))</f>
        <v/>
      </c>
    </row>
    <row r="3144">
      <c r="A3144" s="92" t="n">
        <v>2026</v>
      </c>
      <c r="B3144" s="92" t="n">
        <v>2</v>
      </c>
      <c r="C3144" s="92" t="inlineStr">
        <is>
          <t>5100000422</t>
        </is>
      </c>
      <c r="D3144" s="95" t="n">
        <v>46075</v>
      </c>
      <c r="E3144" s="92" t="inlineStr">
        <is>
          <t>KR</t>
        </is>
      </c>
      <c r="F3144" s="92" t="n">
        <v>62901000</v>
      </c>
      <c r="G3144" s="92" t="n">
        <v>1101</v>
      </c>
      <c r="H3144" s="93" t="n">
        <v>3411000</v>
      </c>
      <c r="I3144" s="92" t="inlineStr">
        <is>
          <t>2월 자문 수수료 - K회계법인</t>
        </is>
      </c>
      <c r="J3144" s="92" t="inlineStr">
        <is>
          <t>V10011</t>
        </is>
      </c>
      <c r="K3144" s="92" t="inlineStr">
        <is>
          <t>K회계법인</t>
        </is>
      </c>
      <c r="M3144" s="9">
        <f>IF($A3144="","",VALUE($A3144&amp;"")*12+VALUE($B3144&amp;""))</f>
        <v/>
      </c>
      <c r="N3144" s="64">
        <f>IF($A3144="","",IFERROR(INDEX(부서매핑!$C$5:$C$504,MATCH($G3144&amp;"",부서매핑!$A$5:$A$504,0)),"미매핑"))</f>
        <v/>
      </c>
      <c r="O3144" s="9">
        <f>IF($A3144="","",N3144&amp;"|"&amp;$F3144)</f>
        <v/>
      </c>
      <c r="P3144" s="94">
        <f>IF($A3144="",0,$H3144*설정!$C$23)</f>
        <v/>
      </c>
      <c r="Q3144" s="64">
        <f>IF($A3144="","",IF(O3144&lt;&gt;원인분석!$C$9,"",IF(AND(M3144&gt;=원인분석!$C$10,M3144&lt;=원인분석!$C$11),"당기",IF(AND(M3144&gt;=원인분석!$C$12,M3144&lt;=원인분석!$C$13),"비교",""))))</f>
        <v/>
      </c>
      <c r="R3144" s="9">
        <f>IF(Q3144="","",$K3144&amp;"")</f>
        <v/>
      </c>
      <c r="S3144" s="9">
        <f>IF(Q3144="","",IF(MATCH(R3144,$R$5:$R$100000,0)=ROW()-4,ROW(),""))</f>
        <v/>
      </c>
      <c r="T3144" s="9">
        <f>IF(Q3144="당기",ABS(P3144)+ROW()/1000000000,"")</f>
        <v/>
      </c>
      <c r="U3144" s="9">
        <f>IF(Q3144="비교",ABS(P3144)+ROW()/1000000000,"")</f>
        <v/>
      </c>
      <c r="V3144" s="64">
        <f>IF($A3144="","",IF(COUNTIF(변동분석!$E$7:$E$506,O3144)&gt;0,"Y","N"))</f>
        <v/>
      </c>
      <c r="W3144" s="64">
        <f>IF($A3144="","",IFERROR(INDEX(계정매핑!$D$5:$D$504,MATCH($F3144&amp;"",계정매핑!$A$5:$A$504,0)),"미매핑"))</f>
        <v/>
      </c>
      <c r="X3144" s="9">
        <f>IF($A3144="","",$F3144&amp;"")</f>
        <v/>
      </c>
      <c r="Y3144" s="94">
        <f>IF($A3144="",0,IF(AE3144="직접",IF(AF3144="비귀속",$P3144,0),$P3144*(1-AG3144)*IFERROR(INDEX(계정대체기준!$F$20:$F$49,MATCH($N3144,계정대체기준!$A$20:$A$49,0)),1)))</f>
        <v/>
      </c>
      <c r="Z3144" s="94">
        <f>IF($A3144="",0,IF(AE3144="직접",IF(AF3144="신계약비",$P3144,0),$P3144*(1-AG3144)*IFERROR(INDEX(계정대체기준!$C$20:$C$49,MATCH($N3144,계정대체기준!$A$20:$A$49,0)),0)))</f>
        <v/>
      </c>
      <c r="AA3144" s="94">
        <f>IF($A3144="",0,IF(AE3144="직접",IF(OR(AF3144="유지비",AF3144="손해조사비"),$P3144,0),$P3144*(1-AG3144)*IFERROR(INDEX(계정대체기준!$D$20:$D$49,MATCH($N3144,계정대체기준!$A$20:$A$49,0)),0)))</f>
        <v/>
      </c>
      <c r="AB3144" s="94">
        <f>IF($A3144="",0,IF(AE3144="직접",IF(AF3144="수금비",$P3144,0),$P3144*(1-AG3144)*IFERROR(INDEX(계정대체기준!$E$20:$E$49,MATCH($N3144,계정대체기준!$A$20:$A$49,0)),0)))</f>
        <v/>
      </c>
      <c r="AC3144" s="9">
        <f>IF(AND($A3144&lt;&gt;"",M3144=설정!$C$20,Z3144&gt;0),Z3144+ROW()/1000000000,"")</f>
        <v/>
      </c>
      <c r="AD3144" s="94">
        <f>IF($A3144="",0,$P3144*AG3144)</f>
        <v/>
      </c>
      <c r="AE3144" s="64">
        <f>IF($A3144="","",IFERROR(INDEX(계정매핑!$E$5:$E$504,MATCH($F3144&amp;"",계정매핑!$A$5:$A$504,0))&amp;"","공통비"))</f>
        <v/>
      </c>
      <c r="AF3144" s="64">
        <f>IF($A3144="","",IF(AE3144="직접",IFERROR(INDEX(계정매핑!$F$5:$F$504,MATCH($F3144&amp;"",계정매핑!$A$5:$A$504,0))&amp;"","비귀속"),""))</f>
        <v/>
      </c>
      <c r="AG3144" s="96">
        <f>IF($A3144="",0,IF(AND(AE3144&lt;&gt;"직접",IFERROR(INDEX(계정매핑!$G$5:$G$504,MATCH($F3144&amp;"",계정매핑!$A$5:$A$504,0))&amp;"","")="유지비",COUNTIF(계정대체기준!$A$6:$A$15,$N3144)&gt;0),IFERROR(INDEX(계정대체기준!$E$6:$E$15,MATCH(VALUE($A3144&amp;""),계정대체기준!$D$6:$D$15,0)),0),0))</f>
        <v/>
      </c>
      <c r="AH3144" s="64">
        <f>IF($A3144="","",IF(AD3144=0,"",IF(OR(COUNTIF(계정대체기준!$A$77:$A$86,$N3144)&gt;0,ISNUMBER(MATCH($X3144,계정대체기준!$D$77:$D$86,0)),ISNUMBER(MATCH($F3144,계정대체기준!$D$77:$D$86,0))),"Y","N")))</f>
        <v/>
      </c>
    </row>
    <row r="3145">
      <c r="A3145" s="92" t="n">
        <v>2026</v>
      </c>
      <c r="B3145" s="92" t="n">
        <v>2</v>
      </c>
      <c r="C3145" s="92" t="inlineStr">
        <is>
          <t>5100000423</t>
        </is>
      </c>
      <c r="D3145" s="95" t="n">
        <v>46075</v>
      </c>
      <c r="E3145" s="92" t="inlineStr">
        <is>
          <t>KR</t>
        </is>
      </c>
      <c r="F3145" s="92" t="n">
        <v>63002000</v>
      </c>
      <c r="G3145" s="92" t="n">
        <v>1951</v>
      </c>
      <c r="H3145" s="93" t="n">
        <v>5301000</v>
      </c>
      <c r="I3145" s="92" t="inlineStr">
        <is>
          <t>2월 클라우드 사용료 - C클라우드</t>
        </is>
      </c>
      <c r="J3145" s="92" t="inlineStr">
        <is>
          <t>V10026</t>
        </is>
      </c>
      <c r="K3145" s="92" t="inlineStr">
        <is>
          <t>C클라우드</t>
        </is>
      </c>
      <c r="M3145" s="9">
        <f>IF($A3145="","",VALUE($A3145&amp;"")*12+VALUE($B3145&amp;""))</f>
        <v/>
      </c>
      <c r="N3145" s="64">
        <f>IF($A3145="","",IFERROR(INDEX(부서매핑!$C$5:$C$504,MATCH($G3145&amp;"",부서매핑!$A$5:$A$504,0)),"미매핑"))</f>
        <v/>
      </c>
      <c r="O3145" s="9">
        <f>IF($A3145="","",N3145&amp;"|"&amp;$F3145)</f>
        <v/>
      </c>
      <c r="P3145" s="94">
        <f>IF($A3145="",0,$H3145*설정!$C$23)</f>
        <v/>
      </c>
      <c r="Q3145" s="64">
        <f>IF($A3145="","",IF(O3145&lt;&gt;원인분석!$C$9,"",IF(AND(M3145&gt;=원인분석!$C$10,M3145&lt;=원인분석!$C$11),"당기",IF(AND(M3145&gt;=원인분석!$C$12,M3145&lt;=원인분석!$C$13),"비교",""))))</f>
        <v/>
      </c>
      <c r="R3145" s="9">
        <f>IF(Q3145="","",$K3145&amp;"")</f>
        <v/>
      </c>
      <c r="S3145" s="9">
        <f>IF(Q3145="","",IF(MATCH(R3145,$R$5:$R$100000,0)=ROW()-4,ROW(),""))</f>
        <v/>
      </c>
      <c r="T3145" s="9">
        <f>IF(Q3145="당기",ABS(P3145)+ROW()/1000000000,"")</f>
        <v/>
      </c>
      <c r="U3145" s="9">
        <f>IF(Q3145="비교",ABS(P3145)+ROW()/1000000000,"")</f>
        <v/>
      </c>
      <c r="V3145" s="64">
        <f>IF($A3145="","",IF(COUNTIF(변동분석!$E$7:$E$506,O3145)&gt;0,"Y","N"))</f>
        <v/>
      </c>
      <c r="W3145" s="64">
        <f>IF($A3145="","",IFERROR(INDEX(계정매핑!$D$5:$D$504,MATCH($F3145&amp;"",계정매핑!$A$5:$A$504,0)),"미매핑"))</f>
        <v/>
      </c>
      <c r="X3145" s="9">
        <f>IF($A3145="","",$F3145&amp;"")</f>
        <v/>
      </c>
      <c r="Y3145" s="94">
        <f>IF($A3145="",0,IF(AE3145="직접",IF(AF3145="비귀속",$P3145,0),$P3145*(1-AG3145)*IFERROR(INDEX(계정대체기준!$F$20:$F$49,MATCH($N3145,계정대체기준!$A$20:$A$49,0)),1)))</f>
        <v/>
      </c>
      <c r="Z3145" s="94">
        <f>IF($A3145="",0,IF(AE3145="직접",IF(AF3145="신계약비",$P3145,0),$P3145*(1-AG3145)*IFERROR(INDEX(계정대체기준!$C$20:$C$49,MATCH($N3145,계정대체기준!$A$20:$A$49,0)),0)))</f>
        <v/>
      </c>
      <c r="AA3145" s="94">
        <f>IF($A3145="",0,IF(AE3145="직접",IF(OR(AF3145="유지비",AF3145="손해조사비"),$P3145,0),$P3145*(1-AG3145)*IFERROR(INDEX(계정대체기준!$D$20:$D$49,MATCH($N3145,계정대체기준!$A$20:$A$49,0)),0)))</f>
        <v/>
      </c>
      <c r="AB3145" s="94">
        <f>IF($A3145="",0,IF(AE3145="직접",IF(AF3145="수금비",$P3145,0),$P3145*(1-AG3145)*IFERROR(INDEX(계정대체기준!$E$20:$E$49,MATCH($N3145,계정대체기준!$A$20:$A$49,0)),0)))</f>
        <v/>
      </c>
      <c r="AC3145" s="9">
        <f>IF(AND($A3145&lt;&gt;"",M3145=설정!$C$20,Z3145&gt;0),Z3145+ROW()/1000000000,"")</f>
        <v/>
      </c>
      <c r="AD3145" s="94">
        <f>IF($A3145="",0,$P3145*AG3145)</f>
        <v/>
      </c>
      <c r="AE3145" s="64">
        <f>IF($A3145="","",IFERROR(INDEX(계정매핑!$E$5:$E$504,MATCH($F3145&amp;"",계정매핑!$A$5:$A$504,0))&amp;"","공통비"))</f>
        <v/>
      </c>
      <c r="AF3145" s="64">
        <f>IF($A3145="","",IF(AE3145="직접",IFERROR(INDEX(계정매핑!$F$5:$F$504,MATCH($F3145&amp;"",계정매핑!$A$5:$A$504,0))&amp;"","비귀속"),""))</f>
        <v/>
      </c>
      <c r="AG3145" s="96">
        <f>IF($A3145="",0,IF(AND(AE3145&lt;&gt;"직접",IFERROR(INDEX(계정매핑!$G$5:$G$504,MATCH($F3145&amp;"",계정매핑!$A$5:$A$504,0))&amp;"","")="유지비",COUNTIF(계정대체기준!$A$6:$A$15,$N3145)&gt;0),IFERROR(INDEX(계정대체기준!$E$6:$E$15,MATCH(VALUE($A3145&amp;""),계정대체기준!$D$6:$D$15,0)),0),0))</f>
        <v/>
      </c>
      <c r="AH3145" s="64">
        <f>IF($A3145="","",IF(AD3145=0,"",IF(OR(COUNTIF(계정대체기준!$A$77:$A$86,$N3145)&gt;0,ISNUMBER(MATCH($X3145,계정대체기준!$D$77:$D$86,0)),ISNUMBER(MATCH($F3145,계정대체기준!$D$77:$D$86,0))),"Y","N")))</f>
        <v/>
      </c>
    </row>
    <row r="3146">
      <c r="A3146" s="92" t="n">
        <v>2026</v>
      </c>
      <c r="B3146" s="92" t="n">
        <v>2</v>
      </c>
      <c r="C3146" s="92" t="inlineStr">
        <is>
          <t>5100000424</t>
        </is>
      </c>
      <c r="D3146" s="95" t="n">
        <v>46075</v>
      </c>
      <c r="E3146" s="92" t="inlineStr">
        <is>
          <t>KR</t>
        </is>
      </c>
      <c r="F3146" s="92" t="n">
        <v>63101000</v>
      </c>
      <c r="G3146" s="92" t="n">
        <v>1601</v>
      </c>
      <c r="H3146" s="93" t="n">
        <v>3295000</v>
      </c>
      <c r="I3146" s="92" t="inlineStr">
        <is>
          <t>2월 사무실 임차료 - BB부동산</t>
        </is>
      </c>
      <c r="J3146" s="92" t="inlineStr">
        <is>
          <t>V10028</t>
        </is>
      </c>
      <c r="K3146" s="92" t="inlineStr">
        <is>
          <t>BB부동산</t>
        </is>
      </c>
      <c r="M3146" s="9">
        <f>IF($A3146="","",VALUE($A3146&amp;"")*12+VALUE($B3146&amp;""))</f>
        <v/>
      </c>
      <c r="N3146" s="64">
        <f>IF($A3146="","",IFERROR(INDEX(부서매핑!$C$5:$C$504,MATCH($G3146&amp;"",부서매핑!$A$5:$A$504,0)),"미매핑"))</f>
        <v/>
      </c>
      <c r="O3146" s="9">
        <f>IF($A3146="","",N3146&amp;"|"&amp;$F3146)</f>
        <v/>
      </c>
      <c r="P3146" s="94">
        <f>IF($A3146="",0,$H3146*설정!$C$23)</f>
        <v/>
      </c>
      <c r="Q3146" s="64">
        <f>IF($A3146="","",IF(O3146&lt;&gt;원인분석!$C$9,"",IF(AND(M3146&gt;=원인분석!$C$10,M3146&lt;=원인분석!$C$11),"당기",IF(AND(M3146&gt;=원인분석!$C$12,M3146&lt;=원인분석!$C$13),"비교",""))))</f>
        <v/>
      </c>
      <c r="R3146" s="9">
        <f>IF(Q3146="","",$K3146&amp;"")</f>
        <v/>
      </c>
      <c r="S3146" s="9">
        <f>IF(Q3146="","",IF(MATCH(R3146,$R$5:$R$100000,0)=ROW()-4,ROW(),""))</f>
        <v/>
      </c>
      <c r="T3146" s="9">
        <f>IF(Q3146="당기",ABS(P3146)+ROW()/1000000000,"")</f>
        <v/>
      </c>
      <c r="U3146" s="9">
        <f>IF(Q3146="비교",ABS(P3146)+ROW()/1000000000,"")</f>
        <v/>
      </c>
      <c r="V3146" s="64">
        <f>IF($A3146="","",IF(COUNTIF(변동분석!$E$7:$E$506,O3146)&gt;0,"Y","N"))</f>
        <v/>
      </c>
      <c r="W3146" s="64">
        <f>IF($A3146="","",IFERROR(INDEX(계정매핑!$D$5:$D$504,MATCH($F3146&amp;"",계정매핑!$A$5:$A$504,0)),"미매핑"))</f>
        <v/>
      </c>
      <c r="X3146" s="9">
        <f>IF($A3146="","",$F3146&amp;"")</f>
        <v/>
      </c>
      <c r="Y3146" s="94">
        <f>IF($A3146="",0,IF(AE3146="직접",IF(AF3146="비귀속",$P3146,0),$P3146*(1-AG3146)*IFERROR(INDEX(계정대체기준!$F$20:$F$49,MATCH($N3146,계정대체기준!$A$20:$A$49,0)),1)))</f>
        <v/>
      </c>
      <c r="Z3146" s="94">
        <f>IF($A3146="",0,IF(AE3146="직접",IF(AF3146="신계약비",$P3146,0),$P3146*(1-AG3146)*IFERROR(INDEX(계정대체기준!$C$20:$C$49,MATCH($N3146,계정대체기준!$A$20:$A$49,0)),0)))</f>
        <v/>
      </c>
      <c r="AA3146" s="94">
        <f>IF($A3146="",0,IF(AE3146="직접",IF(OR(AF3146="유지비",AF3146="손해조사비"),$P3146,0),$P3146*(1-AG3146)*IFERROR(INDEX(계정대체기준!$D$20:$D$49,MATCH($N3146,계정대체기준!$A$20:$A$49,0)),0)))</f>
        <v/>
      </c>
      <c r="AB3146" s="94">
        <f>IF($A3146="",0,IF(AE3146="직접",IF(AF3146="수금비",$P3146,0),$P3146*(1-AG3146)*IFERROR(INDEX(계정대체기준!$E$20:$E$49,MATCH($N3146,계정대체기준!$A$20:$A$49,0)),0)))</f>
        <v/>
      </c>
      <c r="AC3146" s="9">
        <f>IF(AND($A3146&lt;&gt;"",M3146=설정!$C$20,Z3146&gt;0),Z3146+ROW()/1000000000,"")</f>
        <v/>
      </c>
      <c r="AD3146" s="94">
        <f>IF($A3146="",0,$P3146*AG3146)</f>
        <v/>
      </c>
      <c r="AE3146" s="64">
        <f>IF($A3146="","",IFERROR(INDEX(계정매핑!$E$5:$E$504,MATCH($F3146&amp;"",계정매핑!$A$5:$A$504,0))&amp;"","공통비"))</f>
        <v/>
      </c>
      <c r="AF3146" s="64">
        <f>IF($A3146="","",IF(AE3146="직접",IFERROR(INDEX(계정매핑!$F$5:$F$504,MATCH($F3146&amp;"",계정매핑!$A$5:$A$504,0))&amp;"","비귀속"),""))</f>
        <v/>
      </c>
      <c r="AG3146" s="96">
        <f>IF($A3146="",0,IF(AND(AE3146&lt;&gt;"직접",IFERROR(INDEX(계정매핑!$G$5:$G$504,MATCH($F3146&amp;"",계정매핑!$A$5:$A$504,0))&amp;"","")="유지비",COUNTIF(계정대체기준!$A$6:$A$15,$N3146)&gt;0),IFERROR(INDEX(계정대체기준!$E$6:$E$15,MATCH(VALUE($A3146&amp;""),계정대체기준!$D$6:$D$15,0)),0),0))</f>
        <v/>
      </c>
      <c r="AH3146" s="64">
        <f>IF($A3146="","",IF(AD3146=0,"",IF(OR(COUNTIF(계정대체기준!$A$77:$A$86,$N3146)&gt;0,ISNUMBER(MATCH($X3146,계정대체기준!$D$77:$D$86,0)),ISNUMBER(MATCH($F3146,계정대체기준!$D$77:$D$86,0))),"Y","N")))</f>
        <v/>
      </c>
    </row>
    <row r="3147">
      <c r="A3147" s="92" t="n">
        <v>2026</v>
      </c>
      <c r="B3147" s="92" t="n">
        <v>2</v>
      </c>
      <c r="C3147" s="92" t="inlineStr">
        <is>
          <t>5100000425</t>
        </is>
      </c>
      <c r="D3147" s="95" t="n">
        <v>46076</v>
      </c>
      <c r="E3147" s="92" t="inlineStr">
        <is>
          <t>KR</t>
        </is>
      </c>
      <c r="F3147" s="92" t="n">
        <v>62101000</v>
      </c>
      <c r="G3147" s="92" t="n">
        <v>1101</v>
      </c>
      <c r="H3147" s="93" t="n">
        <v>579000</v>
      </c>
      <c r="I3147" s="92" t="inlineStr">
        <is>
          <t>2월 국내출장 - M항공</t>
        </is>
      </c>
      <c r="J3147" s="92" t="inlineStr">
        <is>
          <t>V10001</t>
        </is>
      </c>
      <c r="K3147" s="92" t="inlineStr">
        <is>
          <t>M항공</t>
        </is>
      </c>
      <c r="M3147" s="9">
        <f>IF($A3147="","",VALUE($A3147&amp;"")*12+VALUE($B3147&amp;""))</f>
        <v/>
      </c>
      <c r="N3147" s="64">
        <f>IF($A3147="","",IFERROR(INDEX(부서매핑!$C$5:$C$504,MATCH($G3147&amp;"",부서매핑!$A$5:$A$504,0)),"미매핑"))</f>
        <v/>
      </c>
      <c r="O3147" s="9">
        <f>IF($A3147="","",N3147&amp;"|"&amp;$F3147)</f>
        <v/>
      </c>
      <c r="P3147" s="94">
        <f>IF($A3147="",0,$H3147*설정!$C$23)</f>
        <v/>
      </c>
      <c r="Q3147" s="64">
        <f>IF($A3147="","",IF(O3147&lt;&gt;원인분석!$C$9,"",IF(AND(M3147&gt;=원인분석!$C$10,M3147&lt;=원인분석!$C$11),"당기",IF(AND(M3147&gt;=원인분석!$C$12,M3147&lt;=원인분석!$C$13),"비교",""))))</f>
        <v/>
      </c>
      <c r="R3147" s="9">
        <f>IF(Q3147="","",$K3147&amp;"")</f>
        <v/>
      </c>
      <c r="S3147" s="9">
        <f>IF(Q3147="","",IF(MATCH(R3147,$R$5:$R$100000,0)=ROW()-4,ROW(),""))</f>
        <v/>
      </c>
      <c r="T3147" s="9">
        <f>IF(Q3147="당기",ABS(P3147)+ROW()/1000000000,"")</f>
        <v/>
      </c>
      <c r="U3147" s="9">
        <f>IF(Q3147="비교",ABS(P3147)+ROW()/1000000000,"")</f>
        <v/>
      </c>
      <c r="V3147" s="64">
        <f>IF($A3147="","",IF(COUNTIF(변동분석!$E$7:$E$506,O3147)&gt;0,"Y","N"))</f>
        <v/>
      </c>
      <c r="W3147" s="64">
        <f>IF($A3147="","",IFERROR(INDEX(계정매핑!$D$5:$D$504,MATCH($F3147&amp;"",계정매핑!$A$5:$A$504,0)),"미매핑"))</f>
        <v/>
      </c>
      <c r="X3147" s="9">
        <f>IF($A3147="","",$F3147&amp;"")</f>
        <v/>
      </c>
      <c r="Y3147" s="94">
        <f>IF($A3147="",0,IF(AE3147="직접",IF(AF3147="비귀속",$P3147,0),$P3147*(1-AG3147)*IFERROR(INDEX(계정대체기준!$F$20:$F$49,MATCH($N3147,계정대체기준!$A$20:$A$49,0)),1)))</f>
        <v/>
      </c>
      <c r="Z3147" s="94">
        <f>IF($A3147="",0,IF(AE3147="직접",IF(AF3147="신계약비",$P3147,0),$P3147*(1-AG3147)*IFERROR(INDEX(계정대체기준!$C$20:$C$49,MATCH($N3147,계정대체기준!$A$20:$A$49,0)),0)))</f>
        <v/>
      </c>
      <c r="AA3147" s="94">
        <f>IF($A3147="",0,IF(AE3147="직접",IF(OR(AF3147="유지비",AF3147="손해조사비"),$P3147,0),$P3147*(1-AG3147)*IFERROR(INDEX(계정대체기준!$D$20:$D$49,MATCH($N3147,계정대체기준!$A$20:$A$49,0)),0)))</f>
        <v/>
      </c>
      <c r="AB3147" s="94">
        <f>IF($A3147="",0,IF(AE3147="직접",IF(AF3147="수금비",$P3147,0),$P3147*(1-AG3147)*IFERROR(INDEX(계정대체기준!$E$20:$E$49,MATCH($N3147,계정대체기준!$A$20:$A$49,0)),0)))</f>
        <v/>
      </c>
      <c r="AC3147" s="9">
        <f>IF(AND($A3147&lt;&gt;"",M3147=설정!$C$20,Z3147&gt;0),Z3147+ROW()/1000000000,"")</f>
        <v/>
      </c>
      <c r="AD3147" s="94">
        <f>IF($A3147="",0,$P3147*AG3147)</f>
        <v/>
      </c>
      <c r="AE3147" s="64">
        <f>IF($A3147="","",IFERROR(INDEX(계정매핑!$E$5:$E$504,MATCH($F3147&amp;"",계정매핑!$A$5:$A$504,0))&amp;"","공통비"))</f>
        <v/>
      </c>
      <c r="AF3147" s="64">
        <f>IF($A3147="","",IF(AE3147="직접",IFERROR(INDEX(계정매핑!$F$5:$F$504,MATCH($F3147&amp;"",계정매핑!$A$5:$A$504,0))&amp;"","비귀속"),""))</f>
        <v/>
      </c>
      <c r="AG3147" s="96">
        <f>IF($A3147="",0,IF(AND(AE3147&lt;&gt;"직접",IFERROR(INDEX(계정매핑!$G$5:$G$504,MATCH($F3147&amp;"",계정매핑!$A$5:$A$504,0))&amp;"","")="유지비",COUNTIF(계정대체기준!$A$6:$A$15,$N3147)&gt;0),IFERROR(INDEX(계정대체기준!$E$6:$E$15,MATCH(VALUE($A3147&amp;""),계정대체기준!$D$6:$D$15,0)),0),0))</f>
        <v/>
      </c>
      <c r="AH3147" s="64">
        <f>IF($A3147="","",IF(AD3147=0,"",IF(OR(COUNTIF(계정대체기준!$A$77:$A$86,$N3147)&gt;0,ISNUMBER(MATCH($X3147,계정대체기준!$D$77:$D$86,0)),ISNUMBER(MATCH($F3147,계정대체기준!$D$77:$D$86,0))),"Y","N")))</f>
        <v/>
      </c>
    </row>
    <row r="3148">
      <c r="A3148" s="92" t="n">
        <v>2026</v>
      </c>
      <c r="B3148" s="92" t="n">
        <v>2</v>
      </c>
      <c r="C3148" s="92" t="inlineStr">
        <is>
          <t>5100000426</t>
        </is>
      </c>
      <c r="D3148" s="95" t="n">
        <v>46076</v>
      </c>
      <c r="E3148" s="92" t="inlineStr">
        <is>
          <t>KR</t>
        </is>
      </c>
      <c r="F3148" s="92" t="n">
        <v>62102000</v>
      </c>
      <c r="G3148" s="92" t="n">
        <v>1602</v>
      </c>
      <c r="H3148" s="93" t="n">
        <v>244000</v>
      </c>
      <c r="I3148" s="92" t="inlineStr">
        <is>
          <t>2월 해외출장 - N호텔</t>
        </is>
      </c>
      <c r="J3148" s="92" t="inlineStr">
        <is>
          <t>V10009</t>
        </is>
      </c>
      <c r="K3148" s="92" t="inlineStr">
        <is>
          <t>N호텔</t>
        </is>
      </c>
      <c r="M3148" s="9">
        <f>IF($A3148="","",VALUE($A3148&amp;"")*12+VALUE($B3148&amp;""))</f>
        <v/>
      </c>
      <c r="N3148" s="64">
        <f>IF($A3148="","",IFERROR(INDEX(부서매핑!$C$5:$C$504,MATCH($G3148&amp;"",부서매핑!$A$5:$A$504,0)),"미매핑"))</f>
        <v/>
      </c>
      <c r="O3148" s="9">
        <f>IF($A3148="","",N3148&amp;"|"&amp;$F3148)</f>
        <v/>
      </c>
      <c r="P3148" s="94">
        <f>IF($A3148="",0,$H3148*설정!$C$23)</f>
        <v/>
      </c>
      <c r="Q3148" s="64">
        <f>IF($A3148="","",IF(O3148&lt;&gt;원인분석!$C$9,"",IF(AND(M3148&gt;=원인분석!$C$10,M3148&lt;=원인분석!$C$11),"당기",IF(AND(M3148&gt;=원인분석!$C$12,M3148&lt;=원인분석!$C$13),"비교",""))))</f>
        <v/>
      </c>
      <c r="R3148" s="9">
        <f>IF(Q3148="","",$K3148&amp;"")</f>
        <v/>
      </c>
      <c r="S3148" s="9">
        <f>IF(Q3148="","",IF(MATCH(R3148,$R$5:$R$100000,0)=ROW()-4,ROW(),""))</f>
        <v/>
      </c>
      <c r="T3148" s="9">
        <f>IF(Q3148="당기",ABS(P3148)+ROW()/1000000000,"")</f>
        <v/>
      </c>
      <c r="U3148" s="9">
        <f>IF(Q3148="비교",ABS(P3148)+ROW()/1000000000,"")</f>
        <v/>
      </c>
      <c r="V3148" s="64">
        <f>IF($A3148="","",IF(COUNTIF(변동분석!$E$7:$E$506,O3148)&gt;0,"Y","N"))</f>
        <v/>
      </c>
      <c r="W3148" s="64">
        <f>IF($A3148="","",IFERROR(INDEX(계정매핑!$D$5:$D$504,MATCH($F3148&amp;"",계정매핑!$A$5:$A$504,0)),"미매핑"))</f>
        <v/>
      </c>
      <c r="X3148" s="9">
        <f>IF($A3148="","",$F3148&amp;"")</f>
        <v/>
      </c>
      <c r="Y3148" s="94">
        <f>IF($A3148="",0,IF(AE3148="직접",IF(AF3148="비귀속",$P3148,0),$P3148*(1-AG3148)*IFERROR(INDEX(계정대체기준!$F$20:$F$49,MATCH($N3148,계정대체기준!$A$20:$A$49,0)),1)))</f>
        <v/>
      </c>
      <c r="Z3148" s="94">
        <f>IF($A3148="",0,IF(AE3148="직접",IF(AF3148="신계약비",$P3148,0),$P3148*(1-AG3148)*IFERROR(INDEX(계정대체기준!$C$20:$C$49,MATCH($N3148,계정대체기준!$A$20:$A$49,0)),0)))</f>
        <v/>
      </c>
      <c r="AA3148" s="94">
        <f>IF($A3148="",0,IF(AE3148="직접",IF(OR(AF3148="유지비",AF3148="손해조사비"),$P3148,0),$P3148*(1-AG3148)*IFERROR(INDEX(계정대체기준!$D$20:$D$49,MATCH($N3148,계정대체기준!$A$20:$A$49,0)),0)))</f>
        <v/>
      </c>
      <c r="AB3148" s="94">
        <f>IF($A3148="",0,IF(AE3148="직접",IF(AF3148="수금비",$P3148,0),$P3148*(1-AG3148)*IFERROR(INDEX(계정대체기준!$E$20:$E$49,MATCH($N3148,계정대체기준!$A$20:$A$49,0)),0)))</f>
        <v/>
      </c>
      <c r="AC3148" s="9">
        <f>IF(AND($A3148&lt;&gt;"",M3148=설정!$C$20,Z3148&gt;0),Z3148+ROW()/1000000000,"")</f>
        <v/>
      </c>
      <c r="AD3148" s="94">
        <f>IF($A3148="",0,$P3148*AG3148)</f>
        <v/>
      </c>
      <c r="AE3148" s="64">
        <f>IF($A3148="","",IFERROR(INDEX(계정매핑!$E$5:$E$504,MATCH($F3148&amp;"",계정매핑!$A$5:$A$504,0))&amp;"","공통비"))</f>
        <v/>
      </c>
      <c r="AF3148" s="64">
        <f>IF($A3148="","",IF(AE3148="직접",IFERROR(INDEX(계정매핑!$F$5:$F$504,MATCH($F3148&amp;"",계정매핑!$A$5:$A$504,0))&amp;"","비귀속"),""))</f>
        <v/>
      </c>
      <c r="AG3148" s="96">
        <f>IF($A3148="",0,IF(AND(AE3148&lt;&gt;"직접",IFERROR(INDEX(계정매핑!$G$5:$G$504,MATCH($F3148&amp;"",계정매핑!$A$5:$A$504,0))&amp;"","")="유지비",COUNTIF(계정대체기준!$A$6:$A$15,$N3148)&gt;0),IFERROR(INDEX(계정대체기준!$E$6:$E$15,MATCH(VALUE($A3148&amp;""),계정대체기준!$D$6:$D$15,0)),0),0))</f>
        <v/>
      </c>
      <c r="AH3148" s="64">
        <f>IF($A3148="","",IF(AD3148=0,"",IF(OR(COUNTIF(계정대체기준!$A$77:$A$86,$N3148)&gt;0,ISNUMBER(MATCH($X3148,계정대체기준!$D$77:$D$86,0)),ISNUMBER(MATCH($F3148,계정대체기준!$D$77:$D$86,0))),"Y","N")))</f>
        <v/>
      </c>
    </row>
    <row r="3149">
      <c r="A3149" s="92" t="n">
        <v>2026</v>
      </c>
      <c r="B3149" s="92" t="n">
        <v>2</v>
      </c>
      <c r="C3149" s="92" t="inlineStr">
        <is>
          <t>5100000427</t>
        </is>
      </c>
      <c r="D3149" s="95" t="n">
        <v>46076</v>
      </c>
      <c r="E3149" s="92" t="inlineStr">
        <is>
          <t>KR</t>
        </is>
      </c>
      <c r="F3149" s="92" t="n">
        <v>62102000</v>
      </c>
      <c r="G3149" s="92" t="n">
        <v>1801</v>
      </c>
      <c r="H3149" s="93" t="n">
        <v>22000</v>
      </c>
      <c r="I3149" s="92" t="inlineStr">
        <is>
          <t>2월 해외출장 - N호텔</t>
        </is>
      </c>
      <c r="J3149" s="92" t="inlineStr">
        <is>
          <t>V10009</t>
        </is>
      </c>
      <c r="K3149" s="92" t="inlineStr">
        <is>
          <t>N호텔</t>
        </is>
      </c>
      <c r="M3149" s="9">
        <f>IF($A3149="","",VALUE($A3149&amp;"")*12+VALUE($B3149&amp;""))</f>
        <v/>
      </c>
      <c r="N3149" s="64">
        <f>IF($A3149="","",IFERROR(INDEX(부서매핑!$C$5:$C$504,MATCH($G3149&amp;"",부서매핑!$A$5:$A$504,0)),"미매핑"))</f>
        <v/>
      </c>
      <c r="O3149" s="9">
        <f>IF($A3149="","",N3149&amp;"|"&amp;$F3149)</f>
        <v/>
      </c>
      <c r="P3149" s="94">
        <f>IF($A3149="",0,$H3149*설정!$C$23)</f>
        <v/>
      </c>
      <c r="Q3149" s="64">
        <f>IF($A3149="","",IF(O3149&lt;&gt;원인분석!$C$9,"",IF(AND(M3149&gt;=원인분석!$C$10,M3149&lt;=원인분석!$C$11),"당기",IF(AND(M3149&gt;=원인분석!$C$12,M3149&lt;=원인분석!$C$13),"비교",""))))</f>
        <v/>
      </c>
      <c r="R3149" s="9">
        <f>IF(Q3149="","",$K3149&amp;"")</f>
        <v/>
      </c>
      <c r="S3149" s="9">
        <f>IF(Q3149="","",IF(MATCH(R3149,$R$5:$R$100000,0)=ROW()-4,ROW(),""))</f>
        <v/>
      </c>
      <c r="T3149" s="9">
        <f>IF(Q3149="당기",ABS(P3149)+ROW()/1000000000,"")</f>
        <v/>
      </c>
      <c r="U3149" s="9">
        <f>IF(Q3149="비교",ABS(P3149)+ROW()/1000000000,"")</f>
        <v/>
      </c>
      <c r="V3149" s="64">
        <f>IF($A3149="","",IF(COUNTIF(변동분석!$E$7:$E$506,O3149)&gt;0,"Y","N"))</f>
        <v/>
      </c>
      <c r="W3149" s="64">
        <f>IF($A3149="","",IFERROR(INDEX(계정매핑!$D$5:$D$504,MATCH($F3149&amp;"",계정매핑!$A$5:$A$504,0)),"미매핑"))</f>
        <v/>
      </c>
      <c r="X3149" s="9">
        <f>IF($A3149="","",$F3149&amp;"")</f>
        <v/>
      </c>
      <c r="Y3149" s="94">
        <f>IF($A3149="",0,IF(AE3149="직접",IF(AF3149="비귀속",$P3149,0),$P3149*(1-AG3149)*IFERROR(INDEX(계정대체기준!$F$20:$F$49,MATCH($N3149,계정대체기준!$A$20:$A$49,0)),1)))</f>
        <v/>
      </c>
      <c r="Z3149" s="94">
        <f>IF($A3149="",0,IF(AE3149="직접",IF(AF3149="신계약비",$P3149,0),$P3149*(1-AG3149)*IFERROR(INDEX(계정대체기준!$C$20:$C$49,MATCH($N3149,계정대체기준!$A$20:$A$49,0)),0)))</f>
        <v/>
      </c>
      <c r="AA3149" s="94">
        <f>IF($A3149="",0,IF(AE3149="직접",IF(OR(AF3149="유지비",AF3149="손해조사비"),$P3149,0),$P3149*(1-AG3149)*IFERROR(INDEX(계정대체기준!$D$20:$D$49,MATCH($N3149,계정대체기준!$A$20:$A$49,0)),0)))</f>
        <v/>
      </c>
      <c r="AB3149" s="94">
        <f>IF($A3149="",0,IF(AE3149="직접",IF(AF3149="수금비",$P3149,0),$P3149*(1-AG3149)*IFERROR(INDEX(계정대체기준!$E$20:$E$49,MATCH($N3149,계정대체기준!$A$20:$A$49,0)),0)))</f>
        <v/>
      </c>
      <c r="AC3149" s="9">
        <f>IF(AND($A3149&lt;&gt;"",M3149=설정!$C$20,Z3149&gt;0),Z3149+ROW()/1000000000,"")</f>
        <v/>
      </c>
      <c r="AD3149" s="94">
        <f>IF($A3149="",0,$P3149*AG3149)</f>
        <v/>
      </c>
      <c r="AE3149" s="64">
        <f>IF($A3149="","",IFERROR(INDEX(계정매핑!$E$5:$E$504,MATCH($F3149&amp;"",계정매핑!$A$5:$A$504,0))&amp;"","공통비"))</f>
        <v/>
      </c>
      <c r="AF3149" s="64">
        <f>IF($A3149="","",IF(AE3149="직접",IFERROR(INDEX(계정매핑!$F$5:$F$504,MATCH($F3149&amp;"",계정매핑!$A$5:$A$504,0))&amp;"","비귀속"),""))</f>
        <v/>
      </c>
      <c r="AG3149" s="96">
        <f>IF($A3149="",0,IF(AND(AE3149&lt;&gt;"직접",IFERROR(INDEX(계정매핑!$G$5:$G$504,MATCH($F3149&amp;"",계정매핑!$A$5:$A$504,0))&amp;"","")="유지비",COUNTIF(계정대체기준!$A$6:$A$15,$N3149)&gt;0),IFERROR(INDEX(계정대체기준!$E$6:$E$15,MATCH(VALUE($A3149&amp;""),계정대체기준!$D$6:$D$15,0)),0),0))</f>
        <v/>
      </c>
      <c r="AH3149" s="64">
        <f>IF($A3149="","",IF(AD3149=0,"",IF(OR(COUNTIF(계정대체기준!$A$77:$A$86,$N3149)&gt;0,ISNUMBER(MATCH($X3149,계정대체기준!$D$77:$D$86,0)),ISNUMBER(MATCH($F3149,계정대체기준!$D$77:$D$86,0))),"Y","N")))</f>
        <v/>
      </c>
    </row>
    <row r="3150">
      <c r="A3150" s="92" t="n">
        <v>2026</v>
      </c>
      <c r="B3150" s="92" t="n">
        <v>2</v>
      </c>
      <c r="C3150" s="92" t="inlineStr">
        <is>
          <t>5100000428</t>
        </is>
      </c>
      <c r="D3150" s="95" t="n">
        <v>46076</v>
      </c>
      <c r="E3150" s="92" t="inlineStr">
        <is>
          <t>KR</t>
        </is>
      </c>
      <c r="F3150" s="92" t="n">
        <v>62102000</v>
      </c>
      <c r="G3150" s="92" t="n">
        <v>1951</v>
      </c>
      <c r="H3150" s="93" t="n">
        <v>81000</v>
      </c>
      <c r="I3150" s="92" t="inlineStr">
        <is>
          <t>2월 해외출장 - M항공</t>
        </is>
      </c>
      <c r="J3150" s="92" t="inlineStr">
        <is>
          <t>V10001</t>
        </is>
      </c>
      <c r="K3150" s="92" t="inlineStr">
        <is>
          <t>M항공</t>
        </is>
      </c>
      <c r="M3150" s="9">
        <f>IF($A3150="","",VALUE($A3150&amp;"")*12+VALUE($B3150&amp;""))</f>
        <v/>
      </c>
      <c r="N3150" s="64">
        <f>IF($A3150="","",IFERROR(INDEX(부서매핑!$C$5:$C$504,MATCH($G3150&amp;"",부서매핑!$A$5:$A$504,0)),"미매핑"))</f>
        <v/>
      </c>
      <c r="O3150" s="9">
        <f>IF($A3150="","",N3150&amp;"|"&amp;$F3150)</f>
        <v/>
      </c>
      <c r="P3150" s="94">
        <f>IF($A3150="",0,$H3150*설정!$C$23)</f>
        <v/>
      </c>
      <c r="Q3150" s="64">
        <f>IF($A3150="","",IF(O3150&lt;&gt;원인분석!$C$9,"",IF(AND(M3150&gt;=원인분석!$C$10,M3150&lt;=원인분석!$C$11),"당기",IF(AND(M3150&gt;=원인분석!$C$12,M3150&lt;=원인분석!$C$13),"비교",""))))</f>
        <v/>
      </c>
      <c r="R3150" s="9">
        <f>IF(Q3150="","",$K3150&amp;"")</f>
        <v/>
      </c>
      <c r="S3150" s="9">
        <f>IF(Q3150="","",IF(MATCH(R3150,$R$5:$R$100000,0)=ROW()-4,ROW(),""))</f>
        <v/>
      </c>
      <c r="T3150" s="9">
        <f>IF(Q3150="당기",ABS(P3150)+ROW()/1000000000,"")</f>
        <v/>
      </c>
      <c r="U3150" s="9">
        <f>IF(Q3150="비교",ABS(P3150)+ROW()/1000000000,"")</f>
        <v/>
      </c>
      <c r="V3150" s="64">
        <f>IF($A3150="","",IF(COUNTIF(변동분석!$E$7:$E$506,O3150)&gt;0,"Y","N"))</f>
        <v/>
      </c>
      <c r="W3150" s="64">
        <f>IF($A3150="","",IFERROR(INDEX(계정매핑!$D$5:$D$504,MATCH($F3150&amp;"",계정매핑!$A$5:$A$504,0)),"미매핑"))</f>
        <v/>
      </c>
      <c r="X3150" s="9">
        <f>IF($A3150="","",$F3150&amp;"")</f>
        <v/>
      </c>
      <c r="Y3150" s="94">
        <f>IF($A3150="",0,IF(AE3150="직접",IF(AF3150="비귀속",$P3150,0),$P3150*(1-AG3150)*IFERROR(INDEX(계정대체기준!$F$20:$F$49,MATCH($N3150,계정대체기준!$A$20:$A$49,0)),1)))</f>
        <v/>
      </c>
      <c r="Z3150" s="94">
        <f>IF($A3150="",0,IF(AE3150="직접",IF(AF3150="신계약비",$P3150,0),$P3150*(1-AG3150)*IFERROR(INDEX(계정대체기준!$C$20:$C$49,MATCH($N3150,계정대체기준!$A$20:$A$49,0)),0)))</f>
        <v/>
      </c>
      <c r="AA3150" s="94">
        <f>IF($A3150="",0,IF(AE3150="직접",IF(OR(AF3150="유지비",AF3150="손해조사비"),$P3150,0),$P3150*(1-AG3150)*IFERROR(INDEX(계정대체기준!$D$20:$D$49,MATCH($N3150,계정대체기준!$A$20:$A$49,0)),0)))</f>
        <v/>
      </c>
      <c r="AB3150" s="94">
        <f>IF($A3150="",0,IF(AE3150="직접",IF(AF3150="수금비",$P3150,0),$P3150*(1-AG3150)*IFERROR(INDEX(계정대체기준!$E$20:$E$49,MATCH($N3150,계정대체기준!$A$20:$A$49,0)),0)))</f>
        <v/>
      </c>
      <c r="AC3150" s="9">
        <f>IF(AND($A3150&lt;&gt;"",M3150=설정!$C$20,Z3150&gt;0),Z3150+ROW()/1000000000,"")</f>
        <v/>
      </c>
      <c r="AD3150" s="94">
        <f>IF($A3150="",0,$P3150*AG3150)</f>
        <v/>
      </c>
      <c r="AE3150" s="64">
        <f>IF($A3150="","",IFERROR(INDEX(계정매핑!$E$5:$E$504,MATCH($F3150&amp;"",계정매핑!$A$5:$A$504,0))&amp;"","공통비"))</f>
        <v/>
      </c>
      <c r="AF3150" s="64">
        <f>IF($A3150="","",IF(AE3150="직접",IFERROR(INDEX(계정매핑!$F$5:$F$504,MATCH($F3150&amp;"",계정매핑!$A$5:$A$504,0))&amp;"","비귀속"),""))</f>
        <v/>
      </c>
      <c r="AG3150" s="96">
        <f>IF($A3150="",0,IF(AND(AE3150&lt;&gt;"직접",IFERROR(INDEX(계정매핑!$G$5:$G$504,MATCH($F3150&amp;"",계정매핑!$A$5:$A$504,0))&amp;"","")="유지비",COUNTIF(계정대체기준!$A$6:$A$15,$N3150)&gt;0),IFERROR(INDEX(계정대체기준!$E$6:$E$15,MATCH(VALUE($A3150&amp;""),계정대체기준!$D$6:$D$15,0)),0),0))</f>
        <v/>
      </c>
      <c r="AH3150" s="64">
        <f>IF($A3150="","",IF(AD3150=0,"",IF(OR(COUNTIF(계정대체기준!$A$77:$A$86,$N3150)&gt;0,ISNUMBER(MATCH($X3150,계정대체기준!$D$77:$D$86,0)),ISNUMBER(MATCH($F3150,계정대체기준!$D$77:$D$86,0))),"Y","N")))</f>
        <v/>
      </c>
    </row>
    <row r="3151">
      <c r="A3151" s="92" t="n">
        <v>2026</v>
      </c>
      <c r="B3151" s="92" t="n">
        <v>2</v>
      </c>
      <c r="C3151" s="92" t="inlineStr">
        <is>
          <t>5100000429</t>
        </is>
      </c>
      <c r="D3151" s="95" t="n">
        <v>46076</v>
      </c>
      <c r="E3151" s="92" t="inlineStr">
        <is>
          <t>KR</t>
        </is>
      </c>
      <c r="F3151" s="92" t="n">
        <v>62501000</v>
      </c>
      <c r="G3151" s="92" t="n">
        <v>1401</v>
      </c>
      <c r="H3151" s="93" t="n">
        <v>128000</v>
      </c>
      <c r="I3151" s="92" t="inlineStr">
        <is>
          <t>2월 회의 다과 - T케이터링</t>
        </is>
      </c>
      <c r="J3151" s="92" t="inlineStr">
        <is>
          <t>V10005</t>
        </is>
      </c>
      <c r="K3151" s="92" t="inlineStr">
        <is>
          <t>T케이터링</t>
        </is>
      </c>
      <c r="M3151" s="9">
        <f>IF($A3151="","",VALUE($A3151&amp;"")*12+VALUE($B3151&amp;""))</f>
        <v/>
      </c>
      <c r="N3151" s="64">
        <f>IF($A3151="","",IFERROR(INDEX(부서매핑!$C$5:$C$504,MATCH($G3151&amp;"",부서매핑!$A$5:$A$504,0)),"미매핑"))</f>
        <v/>
      </c>
      <c r="O3151" s="9">
        <f>IF($A3151="","",N3151&amp;"|"&amp;$F3151)</f>
        <v/>
      </c>
      <c r="P3151" s="94">
        <f>IF($A3151="",0,$H3151*설정!$C$23)</f>
        <v/>
      </c>
      <c r="Q3151" s="64">
        <f>IF($A3151="","",IF(O3151&lt;&gt;원인분석!$C$9,"",IF(AND(M3151&gt;=원인분석!$C$10,M3151&lt;=원인분석!$C$11),"당기",IF(AND(M3151&gt;=원인분석!$C$12,M3151&lt;=원인분석!$C$13),"비교",""))))</f>
        <v/>
      </c>
      <c r="R3151" s="9">
        <f>IF(Q3151="","",$K3151&amp;"")</f>
        <v/>
      </c>
      <c r="S3151" s="9">
        <f>IF(Q3151="","",IF(MATCH(R3151,$R$5:$R$100000,0)=ROW()-4,ROW(),""))</f>
        <v/>
      </c>
      <c r="T3151" s="9">
        <f>IF(Q3151="당기",ABS(P3151)+ROW()/1000000000,"")</f>
        <v/>
      </c>
      <c r="U3151" s="9">
        <f>IF(Q3151="비교",ABS(P3151)+ROW()/1000000000,"")</f>
        <v/>
      </c>
      <c r="V3151" s="64">
        <f>IF($A3151="","",IF(COUNTIF(변동분석!$E$7:$E$506,O3151)&gt;0,"Y","N"))</f>
        <v/>
      </c>
      <c r="W3151" s="64">
        <f>IF($A3151="","",IFERROR(INDEX(계정매핑!$D$5:$D$504,MATCH($F3151&amp;"",계정매핑!$A$5:$A$504,0)),"미매핑"))</f>
        <v/>
      </c>
      <c r="X3151" s="9">
        <f>IF($A3151="","",$F3151&amp;"")</f>
        <v/>
      </c>
      <c r="Y3151" s="94">
        <f>IF($A3151="",0,IF(AE3151="직접",IF(AF3151="비귀속",$P3151,0),$P3151*(1-AG3151)*IFERROR(INDEX(계정대체기준!$F$20:$F$49,MATCH($N3151,계정대체기준!$A$20:$A$49,0)),1)))</f>
        <v/>
      </c>
      <c r="Z3151" s="94">
        <f>IF($A3151="",0,IF(AE3151="직접",IF(AF3151="신계약비",$P3151,0),$P3151*(1-AG3151)*IFERROR(INDEX(계정대체기준!$C$20:$C$49,MATCH($N3151,계정대체기준!$A$20:$A$49,0)),0)))</f>
        <v/>
      </c>
      <c r="AA3151" s="94">
        <f>IF($A3151="",0,IF(AE3151="직접",IF(OR(AF3151="유지비",AF3151="손해조사비"),$P3151,0),$P3151*(1-AG3151)*IFERROR(INDEX(계정대체기준!$D$20:$D$49,MATCH($N3151,계정대체기준!$A$20:$A$49,0)),0)))</f>
        <v/>
      </c>
      <c r="AB3151" s="94">
        <f>IF($A3151="",0,IF(AE3151="직접",IF(AF3151="수금비",$P3151,0),$P3151*(1-AG3151)*IFERROR(INDEX(계정대체기준!$E$20:$E$49,MATCH($N3151,계정대체기준!$A$20:$A$49,0)),0)))</f>
        <v/>
      </c>
      <c r="AC3151" s="9">
        <f>IF(AND($A3151&lt;&gt;"",M3151=설정!$C$20,Z3151&gt;0),Z3151+ROW()/1000000000,"")</f>
        <v/>
      </c>
      <c r="AD3151" s="94">
        <f>IF($A3151="",0,$P3151*AG3151)</f>
        <v/>
      </c>
      <c r="AE3151" s="64">
        <f>IF($A3151="","",IFERROR(INDEX(계정매핑!$E$5:$E$504,MATCH($F3151&amp;"",계정매핑!$A$5:$A$504,0))&amp;"","공통비"))</f>
        <v/>
      </c>
      <c r="AF3151" s="64">
        <f>IF($A3151="","",IF(AE3151="직접",IFERROR(INDEX(계정매핑!$F$5:$F$504,MATCH($F3151&amp;"",계정매핑!$A$5:$A$504,0))&amp;"","비귀속"),""))</f>
        <v/>
      </c>
      <c r="AG3151" s="96">
        <f>IF($A3151="",0,IF(AND(AE3151&lt;&gt;"직접",IFERROR(INDEX(계정매핑!$G$5:$G$504,MATCH($F3151&amp;"",계정매핑!$A$5:$A$504,0))&amp;"","")="유지비",COUNTIF(계정대체기준!$A$6:$A$15,$N3151)&gt;0),IFERROR(INDEX(계정대체기준!$E$6:$E$15,MATCH(VALUE($A3151&amp;""),계정대체기준!$D$6:$D$15,0)),0),0))</f>
        <v/>
      </c>
      <c r="AH3151" s="64">
        <f>IF($A3151="","",IF(AD3151=0,"",IF(OR(COUNTIF(계정대체기준!$A$77:$A$86,$N3151)&gt;0,ISNUMBER(MATCH($X3151,계정대체기준!$D$77:$D$86,0)),ISNUMBER(MATCH($F3151,계정대체기준!$D$77:$D$86,0))),"Y","N")))</f>
        <v/>
      </c>
    </row>
    <row r="3152">
      <c r="A3152" s="92" t="n">
        <v>2026</v>
      </c>
      <c r="B3152" s="92" t="n">
        <v>2</v>
      </c>
      <c r="C3152" s="92" t="inlineStr">
        <is>
          <t>5100000430</t>
        </is>
      </c>
      <c r="D3152" s="95" t="n">
        <v>46076</v>
      </c>
      <c r="E3152" s="92" t="inlineStr">
        <is>
          <t>KR</t>
        </is>
      </c>
      <c r="F3152" s="92" t="n">
        <v>62501000</v>
      </c>
      <c r="G3152" s="92" t="n">
        <v>1502</v>
      </c>
      <c r="H3152" s="93" t="n">
        <v>186000</v>
      </c>
      <c r="I3152" s="92" t="inlineStr">
        <is>
          <t>2월 회의 다과 - (법인카드)</t>
        </is>
      </c>
      <c r="J3152" s="92" t="inlineStr">
        <is>
          <t>V10010</t>
        </is>
      </c>
      <c r="K3152" s="92" t="inlineStr">
        <is>
          <t>(법인카드)</t>
        </is>
      </c>
      <c r="M3152" s="9">
        <f>IF($A3152="","",VALUE($A3152&amp;"")*12+VALUE($B3152&amp;""))</f>
        <v/>
      </c>
      <c r="N3152" s="64">
        <f>IF($A3152="","",IFERROR(INDEX(부서매핑!$C$5:$C$504,MATCH($G3152&amp;"",부서매핑!$A$5:$A$504,0)),"미매핑"))</f>
        <v/>
      </c>
      <c r="O3152" s="9">
        <f>IF($A3152="","",N3152&amp;"|"&amp;$F3152)</f>
        <v/>
      </c>
      <c r="P3152" s="94">
        <f>IF($A3152="",0,$H3152*설정!$C$23)</f>
        <v/>
      </c>
      <c r="Q3152" s="64">
        <f>IF($A3152="","",IF(O3152&lt;&gt;원인분석!$C$9,"",IF(AND(M3152&gt;=원인분석!$C$10,M3152&lt;=원인분석!$C$11),"당기",IF(AND(M3152&gt;=원인분석!$C$12,M3152&lt;=원인분석!$C$13),"비교",""))))</f>
        <v/>
      </c>
      <c r="R3152" s="9">
        <f>IF(Q3152="","",$K3152&amp;"")</f>
        <v/>
      </c>
      <c r="S3152" s="9">
        <f>IF(Q3152="","",IF(MATCH(R3152,$R$5:$R$100000,0)=ROW()-4,ROW(),""))</f>
        <v/>
      </c>
      <c r="T3152" s="9">
        <f>IF(Q3152="당기",ABS(P3152)+ROW()/1000000000,"")</f>
        <v/>
      </c>
      <c r="U3152" s="9">
        <f>IF(Q3152="비교",ABS(P3152)+ROW()/1000000000,"")</f>
        <v/>
      </c>
      <c r="V3152" s="64">
        <f>IF($A3152="","",IF(COUNTIF(변동분석!$E$7:$E$506,O3152)&gt;0,"Y","N"))</f>
        <v/>
      </c>
      <c r="W3152" s="64">
        <f>IF($A3152="","",IFERROR(INDEX(계정매핑!$D$5:$D$504,MATCH($F3152&amp;"",계정매핑!$A$5:$A$504,0)),"미매핑"))</f>
        <v/>
      </c>
      <c r="X3152" s="9">
        <f>IF($A3152="","",$F3152&amp;"")</f>
        <v/>
      </c>
      <c r="Y3152" s="94">
        <f>IF($A3152="",0,IF(AE3152="직접",IF(AF3152="비귀속",$P3152,0),$P3152*(1-AG3152)*IFERROR(INDEX(계정대체기준!$F$20:$F$49,MATCH($N3152,계정대체기준!$A$20:$A$49,0)),1)))</f>
        <v/>
      </c>
      <c r="Z3152" s="94">
        <f>IF($A3152="",0,IF(AE3152="직접",IF(AF3152="신계약비",$P3152,0),$P3152*(1-AG3152)*IFERROR(INDEX(계정대체기준!$C$20:$C$49,MATCH($N3152,계정대체기준!$A$20:$A$49,0)),0)))</f>
        <v/>
      </c>
      <c r="AA3152" s="94">
        <f>IF($A3152="",0,IF(AE3152="직접",IF(OR(AF3152="유지비",AF3152="손해조사비"),$P3152,0),$P3152*(1-AG3152)*IFERROR(INDEX(계정대체기준!$D$20:$D$49,MATCH($N3152,계정대체기준!$A$20:$A$49,0)),0)))</f>
        <v/>
      </c>
      <c r="AB3152" s="94">
        <f>IF($A3152="",0,IF(AE3152="직접",IF(AF3152="수금비",$P3152,0),$P3152*(1-AG3152)*IFERROR(INDEX(계정대체기준!$E$20:$E$49,MATCH($N3152,계정대체기준!$A$20:$A$49,0)),0)))</f>
        <v/>
      </c>
      <c r="AC3152" s="9">
        <f>IF(AND($A3152&lt;&gt;"",M3152=설정!$C$20,Z3152&gt;0),Z3152+ROW()/1000000000,"")</f>
        <v/>
      </c>
      <c r="AD3152" s="94">
        <f>IF($A3152="",0,$P3152*AG3152)</f>
        <v/>
      </c>
      <c r="AE3152" s="64">
        <f>IF($A3152="","",IFERROR(INDEX(계정매핑!$E$5:$E$504,MATCH($F3152&amp;"",계정매핑!$A$5:$A$504,0))&amp;"","공통비"))</f>
        <v/>
      </c>
      <c r="AF3152" s="64">
        <f>IF($A3152="","",IF(AE3152="직접",IFERROR(INDEX(계정매핑!$F$5:$F$504,MATCH($F3152&amp;"",계정매핑!$A$5:$A$504,0))&amp;"","비귀속"),""))</f>
        <v/>
      </c>
      <c r="AG3152" s="96">
        <f>IF($A3152="",0,IF(AND(AE3152&lt;&gt;"직접",IFERROR(INDEX(계정매핑!$G$5:$G$504,MATCH($F3152&amp;"",계정매핑!$A$5:$A$504,0))&amp;"","")="유지비",COUNTIF(계정대체기준!$A$6:$A$15,$N3152)&gt;0),IFERROR(INDEX(계정대체기준!$E$6:$E$15,MATCH(VALUE($A3152&amp;""),계정대체기준!$D$6:$D$15,0)),0),0))</f>
        <v/>
      </c>
      <c r="AH3152" s="64">
        <f>IF($A3152="","",IF(AD3152=0,"",IF(OR(COUNTIF(계정대체기준!$A$77:$A$86,$N3152)&gt;0,ISNUMBER(MATCH($X3152,계정대체기준!$D$77:$D$86,0)),ISNUMBER(MATCH($F3152,계정대체기준!$D$77:$D$86,0))),"Y","N")))</f>
        <v/>
      </c>
    </row>
    <row r="3153">
      <c r="A3153" s="92" t="n">
        <v>2026</v>
      </c>
      <c r="B3153" s="92" t="n">
        <v>2</v>
      </c>
      <c r="C3153" s="92" t="inlineStr">
        <is>
          <t>5100000431</t>
        </is>
      </c>
      <c r="D3153" s="95" t="n">
        <v>46076</v>
      </c>
      <c r="E3153" s="92" t="inlineStr">
        <is>
          <t>KR</t>
        </is>
      </c>
      <c r="F3153" s="92" t="n">
        <v>62601000</v>
      </c>
      <c r="G3153" s="92" t="n">
        <v>1602</v>
      </c>
      <c r="H3153" s="93" t="n">
        <v>3194000</v>
      </c>
      <c r="I3153" s="92" t="inlineStr">
        <is>
          <t>2월 업무추진 - (법인카드)</t>
        </is>
      </c>
      <c r="J3153" s="92" t="inlineStr">
        <is>
          <t>V10010</t>
        </is>
      </c>
      <c r="K3153" s="92" t="inlineStr">
        <is>
          <t>(법인카드)</t>
        </is>
      </c>
      <c r="M3153" s="9">
        <f>IF($A3153="","",VALUE($A3153&amp;"")*12+VALUE($B3153&amp;""))</f>
        <v/>
      </c>
      <c r="N3153" s="64">
        <f>IF($A3153="","",IFERROR(INDEX(부서매핑!$C$5:$C$504,MATCH($G3153&amp;"",부서매핑!$A$5:$A$504,0)),"미매핑"))</f>
        <v/>
      </c>
      <c r="O3153" s="9">
        <f>IF($A3153="","",N3153&amp;"|"&amp;$F3153)</f>
        <v/>
      </c>
      <c r="P3153" s="94">
        <f>IF($A3153="",0,$H3153*설정!$C$23)</f>
        <v/>
      </c>
      <c r="Q3153" s="64">
        <f>IF($A3153="","",IF(O3153&lt;&gt;원인분석!$C$9,"",IF(AND(M3153&gt;=원인분석!$C$10,M3153&lt;=원인분석!$C$11),"당기",IF(AND(M3153&gt;=원인분석!$C$12,M3153&lt;=원인분석!$C$13),"비교",""))))</f>
        <v/>
      </c>
      <c r="R3153" s="9">
        <f>IF(Q3153="","",$K3153&amp;"")</f>
        <v/>
      </c>
      <c r="S3153" s="9">
        <f>IF(Q3153="","",IF(MATCH(R3153,$R$5:$R$100000,0)=ROW()-4,ROW(),""))</f>
        <v/>
      </c>
      <c r="T3153" s="9">
        <f>IF(Q3153="당기",ABS(P3153)+ROW()/1000000000,"")</f>
        <v/>
      </c>
      <c r="U3153" s="9">
        <f>IF(Q3153="비교",ABS(P3153)+ROW()/1000000000,"")</f>
        <v/>
      </c>
      <c r="V3153" s="64">
        <f>IF($A3153="","",IF(COUNTIF(변동분석!$E$7:$E$506,O3153)&gt;0,"Y","N"))</f>
        <v/>
      </c>
      <c r="W3153" s="64">
        <f>IF($A3153="","",IFERROR(INDEX(계정매핑!$D$5:$D$504,MATCH($F3153&amp;"",계정매핑!$A$5:$A$504,0)),"미매핑"))</f>
        <v/>
      </c>
      <c r="X3153" s="9">
        <f>IF($A3153="","",$F3153&amp;"")</f>
        <v/>
      </c>
      <c r="Y3153" s="94">
        <f>IF($A3153="",0,IF(AE3153="직접",IF(AF3153="비귀속",$P3153,0),$P3153*(1-AG3153)*IFERROR(INDEX(계정대체기준!$F$20:$F$49,MATCH($N3153,계정대체기준!$A$20:$A$49,0)),1)))</f>
        <v/>
      </c>
      <c r="Z3153" s="94">
        <f>IF($A3153="",0,IF(AE3153="직접",IF(AF3153="신계약비",$P3153,0),$P3153*(1-AG3153)*IFERROR(INDEX(계정대체기준!$C$20:$C$49,MATCH($N3153,계정대체기준!$A$20:$A$49,0)),0)))</f>
        <v/>
      </c>
      <c r="AA3153" s="94">
        <f>IF($A3153="",0,IF(AE3153="직접",IF(OR(AF3153="유지비",AF3153="손해조사비"),$P3153,0),$P3153*(1-AG3153)*IFERROR(INDEX(계정대체기준!$D$20:$D$49,MATCH($N3153,계정대체기준!$A$20:$A$49,0)),0)))</f>
        <v/>
      </c>
      <c r="AB3153" s="94">
        <f>IF($A3153="",0,IF(AE3153="직접",IF(AF3153="수금비",$P3153,0),$P3153*(1-AG3153)*IFERROR(INDEX(계정대체기준!$E$20:$E$49,MATCH($N3153,계정대체기준!$A$20:$A$49,0)),0)))</f>
        <v/>
      </c>
      <c r="AC3153" s="9">
        <f>IF(AND($A3153&lt;&gt;"",M3153=설정!$C$20,Z3153&gt;0),Z3153+ROW()/1000000000,"")</f>
        <v/>
      </c>
      <c r="AD3153" s="94">
        <f>IF($A3153="",0,$P3153*AG3153)</f>
        <v/>
      </c>
      <c r="AE3153" s="64">
        <f>IF($A3153="","",IFERROR(INDEX(계정매핑!$E$5:$E$504,MATCH($F3153&amp;"",계정매핑!$A$5:$A$504,0))&amp;"","공통비"))</f>
        <v/>
      </c>
      <c r="AF3153" s="64">
        <f>IF($A3153="","",IF(AE3153="직접",IFERROR(INDEX(계정매핑!$F$5:$F$504,MATCH($F3153&amp;"",계정매핑!$A$5:$A$504,0))&amp;"","비귀속"),""))</f>
        <v/>
      </c>
      <c r="AG3153" s="96">
        <f>IF($A3153="",0,IF(AND(AE3153&lt;&gt;"직접",IFERROR(INDEX(계정매핑!$G$5:$G$504,MATCH($F3153&amp;"",계정매핑!$A$5:$A$504,0))&amp;"","")="유지비",COUNTIF(계정대체기준!$A$6:$A$15,$N3153)&gt;0),IFERROR(INDEX(계정대체기준!$E$6:$E$15,MATCH(VALUE($A3153&amp;""),계정대체기준!$D$6:$D$15,0)),0),0))</f>
        <v/>
      </c>
      <c r="AH3153" s="64">
        <f>IF($A3153="","",IF(AD3153=0,"",IF(OR(COUNTIF(계정대체기준!$A$77:$A$86,$N3153)&gt;0,ISNUMBER(MATCH($X3153,계정대체기준!$D$77:$D$86,0)),ISNUMBER(MATCH($F3153,계정대체기준!$D$77:$D$86,0))),"Y","N")))</f>
        <v/>
      </c>
    </row>
    <row r="3154">
      <c r="A3154" s="92" t="n">
        <v>2026</v>
      </c>
      <c r="B3154" s="92" t="n">
        <v>2</v>
      </c>
      <c r="C3154" s="92" t="inlineStr">
        <is>
          <t>5100000432</t>
        </is>
      </c>
      <c r="D3154" s="95" t="n">
        <v>46077</v>
      </c>
      <c r="E3154" s="92" t="inlineStr">
        <is>
          <t>KR</t>
        </is>
      </c>
      <c r="F3154" s="92" t="n">
        <v>62101000</v>
      </c>
      <c r="G3154" s="92" t="n">
        <v>1201</v>
      </c>
      <c r="H3154" s="93" t="n">
        <v>204000</v>
      </c>
      <c r="I3154" s="92" t="inlineStr">
        <is>
          <t>2월 국내출장 - (법인카드)</t>
        </is>
      </c>
      <c r="J3154" s="92" t="inlineStr">
        <is>
          <t>V10010</t>
        </is>
      </c>
      <c r="K3154" s="92" t="inlineStr">
        <is>
          <t>(법인카드)</t>
        </is>
      </c>
      <c r="M3154" s="9">
        <f>IF($A3154="","",VALUE($A3154&amp;"")*12+VALUE($B3154&amp;""))</f>
        <v/>
      </c>
      <c r="N3154" s="64">
        <f>IF($A3154="","",IFERROR(INDEX(부서매핑!$C$5:$C$504,MATCH($G3154&amp;"",부서매핑!$A$5:$A$504,0)),"미매핑"))</f>
        <v/>
      </c>
      <c r="O3154" s="9">
        <f>IF($A3154="","",N3154&amp;"|"&amp;$F3154)</f>
        <v/>
      </c>
      <c r="P3154" s="94">
        <f>IF($A3154="",0,$H3154*설정!$C$23)</f>
        <v/>
      </c>
      <c r="Q3154" s="64">
        <f>IF($A3154="","",IF(O3154&lt;&gt;원인분석!$C$9,"",IF(AND(M3154&gt;=원인분석!$C$10,M3154&lt;=원인분석!$C$11),"당기",IF(AND(M3154&gt;=원인분석!$C$12,M3154&lt;=원인분석!$C$13),"비교",""))))</f>
        <v/>
      </c>
      <c r="R3154" s="9">
        <f>IF(Q3154="","",$K3154&amp;"")</f>
        <v/>
      </c>
      <c r="S3154" s="9">
        <f>IF(Q3154="","",IF(MATCH(R3154,$R$5:$R$100000,0)=ROW()-4,ROW(),""))</f>
        <v/>
      </c>
      <c r="T3154" s="9">
        <f>IF(Q3154="당기",ABS(P3154)+ROW()/1000000000,"")</f>
        <v/>
      </c>
      <c r="U3154" s="9">
        <f>IF(Q3154="비교",ABS(P3154)+ROW()/1000000000,"")</f>
        <v/>
      </c>
      <c r="V3154" s="64">
        <f>IF($A3154="","",IF(COUNTIF(변동분석!$E$7:$E$506,O3154)&gt;0,"Y","N"))</f>
        <v/>
      </c>
      <c r="W3154" s="64">
        <f>IF($A3154="","",IFERROR(INDEX(계정매핑!$D$5:$D$504,MATCH($F3154&amp;"",계정매핑!$A$5:$A$504,0)),"미매핑"))</f>
        <v/>
      </c>
      <c r="X3154" s="9">
        <f>IF($A3154="","",$F3154&amp;"")</f>
        <v/>
      </c>
      <c r="Y3154" s="94">
        <f>IF($A3154="",0,IF(AE3154="직접",IF(AF3154="비귀속",$P3154,0),$P3154*(1-AG3154)*IFERROR(INDEX(계정대체기준!$F$20:$F$49,MATCH($N3154,계정대체기준!$A$20:$A$49,0)),1)))</f>
        <v/>
      </c>
      <c r="Z3154" s="94">
        <f>IF($A3154="",0,IF(AE3154="직접",IF(AF3154="신계약비",$P3154,0),$P3154*(1-AG3154)*IFERROR(INDEX(계정대체기준!$C$20:$C$49,MATCH($N3154,계정대체기준!$A$20:$A$49,0)),0)))</f>
        <v/>
      </c>
      <c r="AA3154" s="94">
        <f>IF($A3154="",0,IF(AE3154="직접",IF(OR(AF3154="유지비",AF3154="손해조사비"),$P3154,0),$P3154*(1-AG3154)*IFERROR(INDEX(계정대체기준!$D$20:$D$49,MATCH($N3154,계정대체기준!$A$20:$A$49,0)),0)))</f>
        <v/>
      </c>
      <c r="AB3154" s="94">
        <f>IF($A3154="",0,IF(AE3154="직접",IF(AF3154="수금비",$P3154,0),$P3154*(1-AG3154)*IFERROR(INDEX(계정대체기준!$E$20:$E$49,MATCH($N3154,계정대체기준!$A$20:$A$49,0)),0)))</f>
        <v/>
      </c>
      <c r="AC3154" s="9">
        <f>IF(AND($A3154&lt;&gt;"",M3154=설정!$C$20,Z3154&gt;0),Z3154+ROW()/1000000000,"")</f>
        <v/>
      </c>
      <c r="AD3154" s="94">
        <f>IF($A3154="",0,$P3154*AG3154)</f>
        <v/>
      </c>
      <c r="AE3154" s="64">
        <f>IF($A3154="","",IFERROR(INDEX(계정매핑!$E$5:$E$504,MATCH($F3154&amp;"",계정매핑!$A$5:$A$504,0))&amp;"","공통비"))</f>
        <v/>
      </c>
      <c r="AF3154" s="64">
        <f>IF($A3154="","",IF(AE3154="직접",IFERROR(INDEX(계정매핑!$F$5:$F$504,MATCH($F3154&amp;"",계정매핑!$A$5:$A$504,0))&amp;"","비귀속"),""))</f>
        <v/>
      </c>
      <c r="AG3154" s="96">
        <f>IF($A3154="",0,IF(AND(AE3154&lt;&gt;"직접",IFERROR(INDEX(계정매핑!$G$5:$G$504,MATCH($F3154&amp;"",계정매핑!$A$5:$A$504,0))&amp;"","")="유지비",COUNTIF(계정대체기준!$A$6:$A$15,$N3154)&gt;0),IFERROR(INDEX(계정대체기준!$E$6:$E$15,MATCH(VALUE($A3154&amp;""),계정대체기준!$D$6:$D$15,0)),0),0))</f>
        <v/>
      </c>
      <c r="AH3154" s="64">
        <f>IF($A3154="","",IF(AD3154=0,"",IF(OR(COUNTIF(계정대체기준!$A$77:$A$86,$N3154)&gt;0,ISNUMBER(MATCH($X3154,계정대체기준!$D$77:$D$86,0)),ISNUMBER(MATCH($F3154,계정대체기준!$D$77:$D$86,0))),"Y","N")))</f>
        <v/>
      </c>
    </row>
    <row r="3155">
      <c r="A3155" s="92" t="n">
        <v>2026</v>
      </c>
      <c r="B3155" s="92" t="n">
        <v>2</v>
      </c>
      <c r="C3155" s="92" t="inlineStr">
        <is>
          <t>5100000433</t>
        </is>
      </c>
      <c r="D3155" s="95" t="n">
        <v>46077</v>
      </c>
      <c r="E3155" s="92" t="inlineStr">
        <is>
          <t>KR</t>
        </is>
      </c>
      <c r="F3155" s="92" t="n">
        <v>63501000</v>
      </c>
      <c r="G3155" s="92" t="n">
        <v>1901</v>
      </c>
      <c r="H3155" s="93" t="n">
        <v>238202000</v>
      </c>
      <c r="I3155" s="92" t="inlineStr">
        <is>
          <t>2월 모집수수료 - BB에셋</t>
        </is>
      </c>
      <c r="J3155" s="92" t="inlineStr">
        <is>
          <t>V10013</t>
        </is>
      </c>
      <c r="K3155" s="92" t="inlineStr">
        <is>
          <t>BB에셋</t>
        </is>
      </c>
      <c r="M3155" s="9">
        <f>IF($A3155="","",VALUE($A3155&amp;"")*12+VALUE($B3155&amp;""))</f>
        <v/>
      </c>
      <c r="N3155" s="64">
        <f>IF($A3155="","",IFERROR(INDEX(부서매핑!$C$5:$C$504,MATCH($G3155&amp;"",부서매핑!$A$5:$A$504,0)),"미매핑"))</f>
        <v/>
      </c>
      <c r="O3155" s="9">
        <f>IF($A3155="","",N3155&amp;"|"&amp;$F3155)</f>
        <v/>
      </c>
      <c r="P3155" s="94">
        <f>IF($A3155="",0,$H3155*설정!$C$23)</f>
        <v/>
      </c>
      <c r="Q3155" s="64">
        <f>IF($A3155="","",IF(O3155&lt;&gt;원인분석!$C$9,"",IF(AND(M3155&gt;=원인분석!$C$10,M3155&lt;=원인분석!$C$11),"당기",IF(AND(M3155&gt;=원인분석!$C$12,M3155&lt;=원인분석!$C$13),"비교",""))))</f>
        <v/>
      </c>
      <c r="R3155" s="9">
        <f>IF(Q3155="","",$K3155&amp;"")</f>
        <v/>
      </c>
      <c r="S3155" s="9">
        <f>IF(Q3155="","",IF(MATCH(R3155,$R$5:$R$100000,0)=ROW()-4,ROW(),""))</f>
        <v/>
      </c>
      <c r="T3155" s="9">
        <f>IF(Q3155="당기",ABS(P3155)+ROW()/1000000000,"")</f>
        <v/>
      </c>
      <c r="U3155" s="9">
        <f>IF(Q3155="비교",ABS(P3155)+ROW()/1000000000,"")</f>
        <v/>
      </c>
      <c r="V3155" s="64">
        <f>IF($A3155="","",IF(COUNTIF(변동분석!$E$7:$E$506,O3155)&gt;0,"Y","N"))</f>
        <v/>
      </c>
      <c r="W3155" s="64">
        <f>IF($A3155="","",IFERROR(INDEX(계정매핑!$D$5:$D$504,MATCH($F3155&amp;"",계정매핑!$A$5:$A$504,0)),"미매핑"))</f>
        <v/>
      </c>
      <c r="X3155" s="9">
        <f>IF($A3155="","",$F3155&amp;"")</f>
        <v/>
      </c>
      <c r="Y3155" s="94">
        <f>IF($A3155="",0,IF(AE3155="직접",IF(AF3155="비귀속",$P3155,0),$P3155*(1-AG3155)*IFERROR(INDEX(계정대체기준!$F$20:$F$49,MATCH($N3155,계정대체기준!$A$20:$A$49,0)),1)))</f>
        <v/>
      </c>
      <c r="Z3155" s="94">
        <f>IF($A3155="",0,IF(AE3155="직접",IF(AF3155="신계약비",$P3155,0),$P3155*(1-AG3155)*IFERROR(INDEX(계정대체기준!$C$20:$C$49,MATCH($N3155,계정대체기준!$A$20:$A$49,0)),0)))</f>
        <v/>
      </c>
      <c r="AA3155" s="94">
        <f>IF($A3155="",0,IF(AE3155="직접",IF(OR(AF3155="유지비",AF3155="손해조사비"),$P3155,0),$P3155*(1-AG3155)*IFERROR(INDEX(계정대체기준!$D$20:$D$49,MATCH($N3155,계정대체기준!$A$20:$A$49,0)),0)))</f>
        <v/>
      </c>
      <c r="AB3155" s="94">
        <f>IF($A3155="",0,IF(AE3155="직접",IF(AF3155="수금비",$P3155,0),$P3155*(1-AG3155)*IFERROR(INDEX(계정대체기준!$E$20:$E$49,MATCH($N3155,계정대체기준!$A$20:$A$49,0)),0)))</f>
        <v/>
      </c>
      <c r="AC3155" s="9">
        <f>IF(AND($A3155&lt;&gt;"",M3155=설정!$C$20,Z3155&gt;0),Z3155+ROW()/1000000000,"")</f>
        <v/>
      </c>
      <c r="AD3155" s="94">
        <f>IF($A3155="",0,$P3155*AG3155)</f>
        <v/>
      </c>
      <c r="AE3155" s="64">
        <f>IF($A3155="","",IFERROR(INDEX(계정매핑!$E$5:$E$504,MATCH($F3155&amp;"",계정매핑!$A$5:$A$504,0))&amp;"","공통비"))</f>
        <v/>
      </c>
      <c r="AF3155" s="64">
        <f>IF($A3155="","",IF(AE3155="직접",IFERROR(INDEX(계정매핑!$F$5:$F$504,MATCH($F3155&amp;"",계정매핑!$A$5:$A$504,0))&amp;"","비귀속"),""))</f>
        <v/>
      </c>
      <c r="AG3155" s="96">
        <f>IF($A3155="",0,IF(AND(AE3155&lt;&gt;"직접",IFERROR(INDEX(계정매핑!$G$5:$G$504,MATCH($F3155&amp;"",계정매핑!$A$5:$A$504,0))&amp;"","")="유지비",COUNTIF(계정대체기준!$A$6:$A$15,$N3155)&gt;0),IFERROR(INDEX(계정대체기준!$E$6:$E$15,MATCH(VALUE($A3155&amp;""),계정대체기준!$D$6:$D$15,0)),0),0))</f>
        <v/>
      </c>
      <c r="AH3155" s="64">
        <f>IF($A3155="","",IF(AD3155=0,"",IF(OR(COUNTIF(계정대체기준!$A$77:$A$86,$N3155)&gt;0,ISNUMBER(MATCH($X3155,계정대체기준!$D$77:$D$86,0)),ISNUMBER(MATCH($F3155,계정대체기준!$D$77:$D$86,0))),"Y","N")))</f>
        <v/>
      </c>
    </row>
    <row r="3156">
      <c r="A3156" s="92" t="n">
        <v>2026</v>
      </c>
      <c r="B3156" s="92" t="n">
        <v>2</v>
      </c>
      <c r="C3156" s="92" t="inlineStr">
        <is>
          <t>5100000434</t>
        </is>
      </c>
      <c r="D3156" s="95" t="n">
        <v>46078</v>
      </c>
      <c r="E3156" s="92" t="inlineStr">
        <is>
          <t>KR</t>
        </is>
      </c>
      <c r="F3156" s="92" t="n">
        <v>62101000</v>
      </c>
      <c r="G3156" s="92" t="n">
        <v>1201</v>
      </c>
      <c r="H3156" s="93" t="n">
        <v>148000</v>
      </c>
      <c r="I3156" s="92" t="inlineStr">
        <is>
          <t>2월 국내출장 - L여행사</t>
        </is>
      </c>
      <c r="J3156" s="92" t="inlineStr">
        <is>
          <t>V10018</t>
        </is>
      </c>
      <c r="K3156" s="92" t="inlineStr">
        <is>
          <t>L여행사</t>
        </is>
      </c>
      <c r="M3156" s="9">
        <f>IF($A3156="","",VALUE($A3156&amp;"")*12+VALUE($B3156&amp;""))</f>
        <v/>
      </c>
      <c r="N3156" s="64">
        <f>IF($A3156="","",IFERROR(INDEX(부서매핑!$C$5:$C$504,MATCH($G3156&amp;"",부서매핑!$A$5:$A$504,0)),"미매핑"))</f>
        <v/>
      </c>
      <c r="O3156" s="9">
        <f>IF($A3156="","",N3156&amp;"|"&amp;$F3156)</f>
        <v/>
      </c>
      <c r="P3156" s="94">
        <f>IF($A3156="",0,$H3156*설정!$C$23)</f>
        <v/>
      </c>
      <c r="Q3156" s="64">
        <f>IF($A3156="","",IF(O3156&lt;&gt;원인분석!$C$9,"",IF(AND(M3156&gt;=원인분석!$C$10,M3156&lt;=원인분석!$C$11),"당기",IF(AND(M3156&gt;=원인분석!$C$12,M3156&lt;=원인분석!$C$13),"비교",""))))</f>
        <v/>
      </c>
      <c r="R3156" s="9">
        <f>IF(Q3156="","",$K3156&amp;"")</f>
        <v/>
      </c>
      <c r="S3156" s="9">
        <f>IF(Q3156="","",IF(MATCH(R3156,$R$5:$R$100000,0)=ROW()-4,ROW(),""))</f>
        <v/>
      </c>
      <c r="T3156" s="9">
        <f>IF(Q3156="당기",ABS(P3156)+ROW()/1000000000,"")</f>
        <v/>
      </c>
      <c r="U3156" s="9">
        <f>IF(Q3156="비교",ABS(P3156)+ROW()/1000000000,"")</f>
        <v/>
      </c>
      <c r="V3156" s="64">
        <f>IF($A3156="","",IF(COUNTIF(변동분석!$E$7:$E$506,O3156)&gt;0,"Y","N"))</f>
        <v/>
      </c>
      <c r="W3156" s="64">
        <f>IF($A3156="","",IFERROR(INDEX(계정매핑!$D$5:$D$504,MATCH($F3156&amp;"",계정매핑!$A$5:$A$504,0)),"미매핑"))</f>
        <v/>
      </c>
      <c r="X3156" s="9">
        <f>IF($A3156="","",$F3156&amp;"")</f>
        <v/>
      </c>
      <c r="Y3156" s="94">
        <f>IF($A3156="",0,IF(AE3156="직접",IF(AF3156="비귀속",$P3156,0),$P3156*(1-AG3156)*IFERROR(INDEX(계정대체기준!$F$20:$F$49,MATCH($N3156,계정대체기준!$A$20:$A$49,0)),1)))</f>
        <v/>
      </c>
      <c r="Z3156" s="94">
        <f>IF($A3156="",0,IF(AE3156="직접",IF(AF3156="신계약비",$P3156,0),$P3156*(1-AG3156)*IFERROR(INDEX(계정대체기준!$C$20:$C$49,MATCH($N3156,계정대체기준!$A$20:$A$49,0)),0)))</f>
        <v/>
      </c>
      <c r="AA3156" s="94">
        <f>IF($A3156="",0,IF(AE3156="직접",IF(OR(AF3156="유지비",AF3156="손해조사비"),$P3156,0),$P3156*(1-AG3156)*IFERROR(INDEX(계정대체기준!$D$20:$D$49,MATCH($N3156,계정대체기준!$A$20:$A$49,0)),0)))</f>
        <v/>
      </c>
      <c r="AB3156" s="94">
        <f>IF($A3156="",0,IF(AE3156="직접",IF(AF3156="수금비",$P3156,0),$P3156*(1-AG3156)*IFERROR(INDEX(계정대체기준!$E$20:$E$49,MATCH($N3156,계정대체기준!$A$20:$A$49,0)),0)))</f>
        <v/>
      </c>
      <c r="AC3156" s="9">
        <f>IF(AND($A3156&lt;&gt;"",M3156=설정!$C$20,Z3156&gt;0),Z3156+ROW()/1000000000,"")</f>
        <v/>
      </c>
      <c r="AD3156" s="94">
        <f>IF($A3156="",0,$P3156*AG3156)</f>
        <v/>
      </c>
      <c r="AE3156" s="64">
        <f>IF($A3156="","",IFERROR(INDEX(계정매핑!$E$5:$E$504,MATCH($F3156&amp;"",계정매핑!$A$5:$A$504,0))&amp;"","공통비"))</f>
        <v/>
      </c>
      <c r="AF3156" s="64">
        <f>IF($A3156="","",IF(AE3156="직접",IFERROR(INDEX(계정매핑!$F$5:$F$504,MATCH($F3156&amp;"",계정매핑!$A$5:$A$504,0))&amp;"","비귀속"),""))</f>
        <v/>
      </c>
      <c r="AG3156" s="96">
        <f>IF($A3156="",0,IF(AND(AE3156&lt;&gt;"직접",IFERROR(INDEX(계정매핑!$G$5:$G$504,MATCH($F3156&amp;"",계정매핑!$A$5:$A$504,0))&amp;"","")="유지비",COUNTIF(계정대체기준!$A$6:$A$15,$N3156)&gt;0),IFERROR(INDEX(계정대체기준!$E$6:$E$15,MATCH(VALUE($A3156&amp;""),계정대체기준!$D$6:$D$15,0)),0),0))</f>
        <v/>
      </c>
      <c r="AH3156" s="64">
        <f>IF($A3156="","",IF(AD3156=0,"",IF(OR(COUNTIF(계정대체기준!$A$77:$A$86,$N3156)&gt;0,ISNUMBER(MATCH($X3156,계정대체기준!$D$77:$D$86,0)),ISNUMBER(MATCH($F3156,계정대체기준!$D$77:$D$86,0))),"Y","N")))</f>
        <v/>
      </c>
    </row>
    <row r="3157">
      <c r="A3157" s="92" t="n">
        <v>2026</v>
      </c>
      <c r="B3157" s="92" t="n">
        <v>2</v>
      </c>
      <c r="C3157" s="92" t="inlineStr">
        <is>
          <t>5100000435</t>
        </is>
      </c>
      <c r="D3157" s="95" t="n">
        <v>46078</v>
      </c>
      <c r="E3157" s="92" t="inlineStr">
        <is>
          <t>KR</t>
        </is>
      </c>
      <c r="F3157" s="92" t="n">
        <v>62101000</v>
      </c>
      <c r="G3157" s="92" t="n">
        <v>1301</v>
      </c>
      <c r="H3157" s="93" t="n">
        <v>204000</v>
      </c>
      <c r="I3157" s="92" t="inlineStr">
        <is>
          <t>2월 국내출장 - M항공</t>
        </is>
      </c>
      <c r="J3157" s="92" t="inlineStr">
        <is>
          <t>V10001</t>
        </is>
      </c>
      <c r="K3157" s="92" t="inlineStr">
        <is>
          <t>M항공</t>
        </is>
      </c>
      <c r="M3157" s="9">
        <f>IF($A3157="","",VALUE($A3157&amp;"")*12+VALUE($B3157&amp;""))</f>
        <v/>
      </c>
      <c r="N3157" s="64">
        <f>IF($A3157="","",IFERROR(INDEX(부서매핑!$C$5:$C$504,MATCH($G3157&amp;"",부서매핑!$A$5:$A$504,0)),"미매핑"))</f>
        <v/>
      </c>
      <c r="O3157" s="9">
        <f>IF($A3157="","",N3157&amp;"|"&amp;$F3157)</f>
        <v/>
      </c>
      <c r="P3157" s="94">
        <f>IF($A3157="",0,$H3157*설정!$C$23)</f>
        <v/>
      </c>
      <c r="Q3157" s="64">
        <f>IF($A3157="","",IF(O3157&lt;&gt;원인분석!$C$9,"",IF(AND(M3157&gt;=원인분석!$C$10,M3157&lt;=원인분석!$C$11),"당기",IF(AND(M3157&gt;=원인분석!$C$12,M3157&lt;=원인분석!$C$13),"비교",""))))</f>
        <v/>
      </c>
      <c r="R3157" s="9">
        <f>IF(Q3157="","",$K3157&amp;"")</f>
        <v/>
      </c>
      <c r="S3157" s="9">
        <f>IF(Q3157="","",IF(MATCH(R3157,$R$5:$R$100000,0)=ROW()-4,ROW(),""))</f>
        <v/>
      </c>
      <c r="T3157" s="9">
        <f>IF(Q3157="당기",ABS(P3157)+ROW()/1000000000,"")</f>
        <v/>
      </c>
      <c r="U3157" s="9">
        <f>IF(Q3157="비교",ABS(P3157)+ROW()/1000000000,"")</f>
        <v/>
      </c>
      <c r="V3157" s="64">
        <f>IF($A3157="","",IF(COUNTIF(변동분석!$E$7:$E$506,O3157)&gt;0,"Y","N"))</f>
        <v/>
      </c>
      <c r="W3157" s="64">
        <f>IF($A3157="","",IFERROR(INDEX(계정매핑!$D$5:$D$504,MATCH($F3157&amp;"",계정매핑!$A$5:$A$504,0)),"미매핑"))</f>
        <v/>
      </c>
      <c r="X3157" s="9">
        <f>IF($A3157="","",$F3157&amp;"")</f>
        <v/>
      </c>
      <c r="Y3157" s="94">
        <f>IF($A3157="",0,IF(AE3157="직접",IF(AF3157="비귀속",$P3157,0),$P3157*(1-AG3157)*IFERROR(INDEX(계정대체기준!$F$20:$F$49,MATCH($N3157,계정대체기준!$A$20:$A$49,0)),1)))</f>
        <v/>
      </c>
      <c r="Z3157" s="94">
        <f>IF($A3157="",0,IF(AE3157="직접",IF(AF3157="신계약비",$P3157,0),$P3157*(1-AG3157)*IFERROR(INDEX(계정대체기준!$C$20:$C$49,MATCH($N3157,계정대체기준!$A$20:$A$49,0)),0)))</f>
        <v/>
      </c>
      <c r="AA3157" s="94">
        <f>IF($A3157="",0,IF(AE3157="직접",IF(OR(AF3157="유지비",AF3157="손해조사비"),$P3157,0),$P3157*(1-AG3157)*IFERROR(INDEX(계정대체기준!$D$20:$D$49,MATCH($N3157,계정대체기준!$A$20:$A$49,0)),0)))</f>
        <v/>
      </c>
      <c r="AB3157" s="94">
        <f>IF($A3157="",0,IF(AE3157="직접",IF(AF3157="수금비",$P3157,0),$P3157*(1-AG3157)*IFERROR(INDEX(계정대체기준!$E$20:$E$49,MATCH($N3157,계정대체기준!$A$20:$A$49,0)),0)))</f>
        <v/>
      </c>
      <c r="AC3157" s="9">
        <f>IF(AND($A3157&lt;&gt;"",M3157=설정!$C$20,Z3157&gt;0),Z3157+ROW()/1000000000,"")</f>
        <v/>
      </c>
      <c r="AD3157" s="94">
        <f>IF($A3157="",0,$P3157*AG3157)</f>
        <v/>
      </c>
      <c r="AE3157" s="64">
        <f>IF($A3157="","",IFERROR(INDEX(계정매핑!$E$5:$E$504,MATCH($F3157&amp;"",계정매핑!$A$5:$A$504,0))&amp;"","공통비"))</f>
        <v/>
      </c>
      <c r="AF3157" s="64">
        <f>IF($A3157="","",IF(AE3157="직접",IFERROR(INDEX(계정매핑!$F$5:$F$504,MATCH($F3157&amp;"",계정매핑!$A$5:$A$504,0))&amp;"","비귀속"),""))</f>
        <v/>
      </c>
      <c r="AG3157" s="96">
        <f>IF($A3157="",0,IF(AND(AE3157&lt;&gt;"직접",IFERROR(INDEX(계정매핑!$G$5:$G$504,MATCH($F3157&amp;"",계정매핑!$A$5:$A$504,0))&amp;"","")="유지비",COUNTIF(계정대체기준!$A$6:$A$15,$N3157)&gt;0),IFERROR(INDEX(계정대체기준!$E$6:$E$15,MATCH(VALUE($A3157&amp;""),계정대체기준!$D$6:$D$15,0)),0),0))</f>
        <v/>
      </c>
      <c r="AH3157" s="64">
        <f>IF($A3157="","",IF(AD3157=0,"",IF(OR(COUNTIF(계정대체기준!$A$77:$A$86,$N3157)&gt;0,ISNUMBER(MATCH($X3157,계정대체기준!$D$77:$D$86,0)),ISNUMBER(MATCH($F3157,계정대체기준!$D$77:$D$86,0))),"Y","N")))</f>
        <v/>
      </c>
    </row>
    <row r="3158">
      <c r="A3158" s="92" t="n">
        <v>2026</v>
      </c>
      <c r="B3158" s="92" t="n">
        <v>2</v>
      </c>
      <c r="C3158" s="92" t="inlineStr">
        <is>
          <t>5100000436</t>
        </is>
      </c>
      <c r="D3158" s="95" t="n">
        <v>46078</v>
      </c>
      <c r="E3158" s="92" t="inlineStr">
        <is>
          <t>KR</t>
        </is>
      </c>
      <c r="F3158" s="92" t="n">
        <v>62101000</v>
      </c>
      <c r="G3158" s="92" t="n">
        <v>1601</v>
      </c>
      <c r="H3158" s="93" t="n">
        <v>1633000</v>
      </c>
      <c r="I3158" s="92" t="inlineStr">
        <is>
          <t>2월 국내출장 - L여행사</t>
        </is>
      </c>
      <c r="J3158" s="92" t="inlineStr">
        <is>
          <t>V10018</t>
        </is>
      </c>
      <c r="K3158" s="92" t="inlineStr">
        <is>
          <t>L여행사</t>
        </is>
      </c>
      <c r="M3158" s="9">
        <f>IF($A3158="","",VALUE($A3158&amp;"")*12+VALUE($B3158&amp;""))</f>
        <v/>
      </c>
      <c r="N3158" s="64">
        <f>IF($A3158="","",IFERROR(INDEX(부서매핑!$C$5:$C$504,MATCH($G3158&amp;"",부서매핑!$A$5:$A$504,0)),"미매핑"))</f>
        <v/>
      </c>
      <c r="O3158" s="9">
        <f>IF($A3158="","",N3158&amp;"|"&amp;$F3158)</f>
        <v/>
      </c>
      <c r="P3158" s="94">
        <f>IF($A3158="",0,$H3158*설정!$C$23)</f>
        <v/>
      </c>
      <c r="Q3158" s="64">
        <f>IF($A3158="","",IF(O3158&lt;&gt;원인분석!$C$9,"",IF(AND(M3158&gt;=원인분석!$C$10,M3158&lt;=원인분석!$C$11),"당기",IF(AND(M3158&gt;=원인분석!$C$12,M3158&lt;=원인분석!$C$13),"비교",""))))</f>
        <v/>
      </c>
      <c r="R3158" s="9">
        <f>IF(Q3158="","",$K3158&amp;"")</f>
        <v/>
      </c>
      <c r="S3158" s="9">
        <f>IF(Q3158="","",IF(MATCH(R3158,$R$5:$R$100000,0)=ROW()-4,ROW(),""))</f>
        <v/>
      </c>
      <c r="T3158" s="9">
        <f>IF(Q3158="당기",ABS(P3158)+ROW()/1000000000,"")</f>
        <v/>
      </c>
      <c r="U3158" s="9">
        <f>IF(Q3158="비교",ABS(P3158)+ROW()/1000000000,"")</f>
        <v/>
      </c>
      <c r="V3158" s="64">
        <f>IF($A3158="","",IF(COUNTIF(변동분석!$E$7:$E$506,O3158)&gt;0,"Y","N"))</f>
        <v/>
      </c>
      <c r="W3158" s="64">
        <f>IF($A3158="","",IFERROR(INDEX(계정매핑!$D$5:$D$504,MATCH($F3158&amp;"",계정매핑!$A$5:$A$504,0)),"미매핑"))</f>
        <v/>
      </c>
      <c r="X3158" s="9">
        <f>IF($A3158="","",$F3158&amp;"")</f>
        <v/>
      </c>
      <c r="Y3158" s="94">
        <f>IF($A3158="",0,IF(AE3158="직접",IF(AF3158="비귀속",$P3158,0),$P3158*(1-AG3158)*IFERROR(INDEX(계정대체기준!$F$20:$F$49,MATCH($N3158,계정대체기준!$A$20:$A$49,0)),1)))</f>
        <v/>
      </c>
      <c r="Z3158" s="94">
        <f>IF($A3158="",0,IF(AE3158="직접",IF(AF3158="신계약비",$P3158,0),$P3158*(1-AG3158)*IFERROR(INDEX(계정대체기준!$C$20:$C$49,MATCH($N3158,계정대체기준!$A$20:$A$49,0)),0)))</f>
        <v/>
      </c>
      <c r="AA3158" s="94">
        <f>IF($A3158="",0,IF(AE3158="직접",IF(OR(AF3158="유지비",AF3158="손해조사비"),$P3158,0),$P3158*(1-AG3158)*IFERROR(INDEX(계정대체기준!$D$20:$D$49,MATCH($N3158,계정대체기준!$A$20:$A$49,0)),0)))</f>
        <v/>
      </c>
      <c r="AB3158" s="94">
        <f>IF($A3158="",0,IF(AE3158="직접",IF(AF3158="수금비",$P3158,0),$P3158*(1-AG3158)*IFERROR(INDEX(계정대체기준!$E$20:$E$49,MATCH($N3158,계정대체기준!$A$20:$A$49,0)),0)))</f>
        <v/>
      </c>
      <c r="AC3158" s="9">
        <f>IF(AND($A3158&lt;&gt;"",M3158=설정!$C$20,Z3158&gt;0),Z3158+ROW()/1000000000,"")</f>
        <v/>
      </c>
      <c r="AD3158" s="94">
        <f>IF($A3158="",0,$P3158*AG3158)</f>
        <v/>
      </c>
      <c r="AE3158" s="64">
        <f>IF($A3158="","",IFERROR(INDEX(계정매핑!$E$5:$E$504,MATCH($F3158&amp;"",계정매핑!$A$5:$A$504,0))&amp;"","공통비"))</f>
        <v/>
      </c>
      <c r="AF3158" s="64">
        <f>IF($A3158="","",IF(AE3158="직접",IFERROR(INDEX(계정매핑!$F$5:$F$504,MATCH($F3158&amp;"",계정매핑!$A$5:$A$504,0))&amp;"","비귀속"),""))</f>
        <v/>
      </c>
      <c r="AG3158" s="96">
        <f>IF($A3158="",0,IF(AND(AE3158&lt;&gt;"직접",IFERROR(INDEX(계정매핑!$G$5:$G$504,MATCH($F3158&amp;"",계정매핑!$A$5:$A$504,0))&amp;"","")="유지비",COUNTIF(계정대체기준!$A$6:$A$15,$N3158)&gt;0),IFERROR(INDEX(계정대체기준!$E$6:$E$15,MATCH(VALUE($A3158&amp;""),계정대체기준!$D$6:$D$15,0)),0),0))</f>
        <v/>
      </c>
      <c r="AH3158" s="64">
        <f>IF($A3158="","",IF(AD3158=0,"",IF(OR(COUNTIF(계정대체기준!$A$77:$A$86,$N3158)&gt;0,ISNUMBER(MATCH($X3158,계정대체기준!$D$77:$D$86,0)),ISNUMBER(MATCH($F3158,계정대체기준!$D$77:$D$86,0))),"Y","N")))</f>
        <v/>
      </c>
    </row>
    <row r="3159">
      <c r="A3159" s="92" t="n">
        <v>2026</v>
      </c>
      <c r="B3159" s="92" t="n">
        <v>2</v>
      </c>
      <c r="C3159" s="92" t="inlineStr">
        <is>
          <t>5100000437</t>
        </is>
      </c>
      <c r="D3159" s="95" t="n">
        <v>46078</v>
      </c>
      <c r="E3159" s="92" t="inlineStr">
        <is>
          <t>KR</t>
        </is>
      </c>
      <c r="F3159" s="92" t="n">
        <v>62201000</v>
      </c>
      <c r="G3159" s="92" t="n">
        <v>1101</v>
      </c>
      <c r="H3159" s="93" t="n">
        <v>225000</v>
      </c>
      <c r="I3159" s="92" t="inlineStr">
        <is>
          <t>2월 통신요금 - O텔레콤</t>
        </is>
      </c>
      <c r="J3159" s="92" t="inlineStr">
        <is>
          <t>V10002</t>
        </is>
      </c>
      <c r="K3159" s="92" t="inlineStr">
        <is>
          <t>O텔레콤</t>
        </is>
      </c>
      <c r="M3159" s="9">
        <f>IF($A3159="","",VALUE($A3159&amp;"")*12+VALUE($B3159&amp;""))</f>
        <v/>
      </c>
      <c r="N3159" s="64">
        <f>IF($A3159="","",IFERROR(INDEX(부서매핑!$C$5:$C$504,MATCH($G3159&amp;"",부서매핑!$A$5:$A$504,0)),"미매핑"))</f>
        <v/>
      </c>
      <c r="O3159" s="9">
        <f>IF($A3159="","",N3159&amp;"|"&amp;$F3159)</f>
        <v/>
      </c>
      <c r="P3159" s="94">
        <f>IF($A3159="",0,$H3159*설정!$C$23)</f>
        <v/>
      </c>
      <c r="Q3159" s="64">
        <f>IF($A3159="","",IF(O3159&lt;&gt;원인분석!$C$9,"",IF(AND(M3159&gt;=원인분석!$C$10,M3159&lt;=원인분석!$C$11),"당기",IF(AND(M3159&gt;=원인분석!$C$12,M3159&lt;=원인분석!$C$13),"비교",""))))</f>
        <v/>
      </c>
      <c r="R3159" s="9">
        <f>IF(Q3159="","",$K3159&amp;"")</f>
        <v/>
      </c>
      <c r="S3159" s="9">
        <f>IF(Q3159="","",IF(MATCH(R3159,$R$5:$R$100000,0)=ROW()-4,ROW(),""))</f>
        <v/>
      </c>
      <c r="T3159" s="9">
        <f>IF(Q3159="당기",ABS(P3159)+ROW()/1000000000,"")</f>
        <v/>
      </c>
      <c r="U3159" s="9">
        <f>IF(Q3159="비교",ABS(P3159)+ROW()/1000000000,"")</f>
        <v/>
      </c>
      <c r="V3159" s="64">
        <f>IF($A3159="","",IF(COUNTIF(변동분석!$E$7:$E$506,O3159)&gt;0,"Y","N"))</f>
        <v/>
      </c>
      <c r="W3159" s="64">
        <f>IF($A3159="","",IFERROR(INDEX(계정매핑!$D$5:$D$504,MATCH($F3159&amp;"",계정매핑!$A$5:$A$504,0)),"미매핑"))</f>
        <v/>
      </c>
      <c r="X3159" s="9">
        <f>IF($A3159="","",$F3159&amp;"")</f>
        <v/>
      </c>
      <c r="Y3159" s="94">
        <f>IF($A3159="",0,IF(AE3159="직접",IF(AF3159="비귀속",$P3159,0),$P3159*(1-AG3159)*IFERROR(INDEX(계정대체기준!$F$20:$F$49,MATCH($N3159,계정대체기준!$A$20:$A$49,0)),1)))</f>
        <v/>
      </c>
      <c r="Z3159" s="94">
        <f>IF($A3159="",0,IF(AE3159="직접",IF(AF3159="신계약비",$P3159,0),$P3159*(1-AG3159)*IFERROR(INDEX(계정대체기준!$C$20:$C$49,MATCH($N3159,계정대체기준!$A$20:$A$49,0)),0)))</f>
        <v/>
      </c>
      <c r="AA3159" s="94">
        <f>IF($A3159="",0,IF(AE3159="직접",IF(OR(AF3159="유지비",AF3159="손해조사비"),$P3159,0),$P3159*(1-AG3159)*IFERROR(INDEX(계정대체기준!$D$20:$D$49,MATCH($N3159,계정대체기준!$A$20:$A$49,0)),0)))</f>
        <v/>
      </c>
      <c r="AB3159" s="94">
        <f>IF($A3159="",0,IF(AE3159="직접",IF(AF3159="수금비",$P3159,0),$P3159*(1-AG3159)*IFERROR(INDEX(계정대체기준!$E$20:$E$49,MATCH($N3159,계정대체기준!$A$20:$A$49,0)),0)))</f>
        <v/>
      </c>
      <c r="AC3159" s="9">
        <f>IF(AND($A3159&lt;&gt;"",M3159=설정!$C$20,Z3159&gt;0),Z3159+ROW()/1000000000,"")</f>
        <v/>
      </c>
      <c r="AD3159" s="94">
        <f>IF($A3159="",0,$P3159*AG3159)</f>
        <v/>
      </c>
      <c r="AE3159" s="64">
        <f>IF($A3159="","",IFERROR(INDEX(계정매핑!$E$5:$E$504,MATCH($F3159&amp;"",계정매핑!$A$5:$A$504,0))&amp;"","공통비"))</f>
        <v/>
      </c>
      <c r="AF3159" s="64">
        <f>IF($A3159="","",IF(AE3159="직접",IFERROR(INDEX(계정매핑!$F$5:$F$504,MATCH($F3159&amp;"",계정매핑!$A$5:$A$504,0))&amp;"","비귀속"),""))</f>
        <v/>
      </c>
      <c r="AG3159" s="96">
        <f>IF($A3159="",0,IF(AND(AE3159&lt;&gt;"직접",IFERROR(INDEX(계정매핑!$G$5:$G$504,MATCH($F3159&amp;"",계정매핑!$A$5:$A$504,0))&amp;"","")="유지비",COUNTIF(계정대체기준!$A$6:$A$15,$N3159)&gt;0),IFERROR(INDEX(계정대체기준!$E$6:$E$15,MATCH(VALUE($A3159&amp;""),계정대체기준!$D$6:$D$15,0)),0),0))</f>
        <v/>
      </c>
      <c r="AH3159" s="64">
        <f>IF($A3159="","",IF(AD3159=0,"",IF(OR(COUNTIF(계정대체기준!$A$77:$A$86,$N3159)&gt;0,ISNUMBER(MATCH($X3159,계정대체기준!$D$77:$D$86,0)),ISNUMBER(MATCH($F3159,계정대체기준!$D$77:$D$86,0))),"Y","N")))</f>
        <v/>
      </c>
    </row>
    <row r="3160">
      <c r="A3160" s="92" t="n">
        <v>2026</v>
      </c>
      <c r="B3160" s="92" t="n">
        <v>2</v>
      </c>
      <c r="C3160" s="92" t="inlineStr">
        <is>
          <t>5100000438</t>
        </is>
      </c>
      <c r="D3160" s="95" t="n">
        <v>46078</v>
      </c>
      <c r="E3160" s="92" t="inlineStr">
        <is>
          <t>KR</t>
        </is>
      </c>
      <c r="F3160" s="92" t="n">
        <v>62301000</v>
      </c>
      <c r="G3160" s="92" t="n">
        <v>1101</v>
      </c>
      <c r="H3160" s="93" t="n">
        <v>176000</v>
      </c>
      <c r="I3160" s="92" t="inlineStr">
        <is>
          <t>2월 소모품 구입 - R문구</t>
        </is>
      </c>
      <c r="J3160" s="92" t="inlineStr">
        <is>
          <t>V10022</t>
        </is>
      </c>
      <c r="K3160" s="92" t="inlineStr">
        <is>
          <t>R문구</t>
        </is>
      </c>
      <c r="M3160" s="9">
        <f>IF($A3160="","",VALUE($A3160&amp;"")*12+VALUE($B3160&amp;""))</f>
        <v/>
      </c>
      <c r="N3160" s="64">
        <f>IF($A3160="","",IFERROR(INDEX(부서매핑!$C$5:$C$504,MATCH($G3160&amp;"",부서매핑!$A$5:$A$504,0)),"미매핑"))</f>
        <v/>
      </c>
      <c r="O3160" s="9">
        <f>IF($A3160="","",N3160&amp;"|"&amp;$F3160)</f>
        <v/>
      </c>
      <c r="P3160" s="94">
        <f>IF($A3160="",0,$H3160*설정!$C$23)</f>
        <v/>
      </c>
      <c r="Q3160" s="64">
        <f>IF($A3160="","",IF(O3160&lt;&gt;원인분석!$C$9,"",IF(AND(M3160&gt;=원인분석!$C$10,M3160&lt;=원인분석!$C$11),"당기",IF(AND(M3160&gt;=원인분석!$C$12,M3160&lt;=원인분석!$C$13),"비교",""))))</f>
        <v/>
      </c>
      <c r="R3160" s="9">
        <f>IF(Q3160="","",$K3160&amp;"")</f>
        <v/>
      </c>
      <c r="S3160" s="9">
        <f>IF(Q3160="","",IF(MATCH(R3160,$R$5:$R$100000,0)=ROW()-4,ROW(),""))</f>
        <v/>
      </c>
      <c r="T3160" s="9">
        <f>IF(Q3160="당기",ABS(P3160)+ROW()/1000000000,"")</f>
        <v/>
      </c>
      <c r="U3160" s="9">
        <f>IF(Q3160="비교",ABS(P3160)+ROW()/1000000000,"")</f>
        <v/>
      </c>
      <c r="V3160" s="64">
        <f>IF($A3160="","",IF(COUNTIF(변동분석!$E$7:$E$506,O3160)&gt;0,"Y","N"))</f>
        <v/>
      </c>
      <c r="W3160" s="64">
        <f>IF($A3160="","",IFERROR(INDEX(계정매핑!$D$5:$D$504,MATCH($F3160&amp;"",계정매핑!$A$5:$A$504,0)),"미매핑"))</f>
        <v/>
      </c>
      <c r="X3160" s="9">
        <f>IF($A3160="","",$F3160&amp;"")</f>
        <v/>
      </c>
      <c r="Y3160" s="94">
        <f>IF($A3160="",0,IF(AE3160="직접",IF(AF3160="비귀속",$P3160,0),$P3160*(1-AG3160)*IFERROR(INDEX(계정대체기준!$F$20:$F$49,MATCH($N3160,계정대체기준!$A$20:$A$49,0)),1)))</f>
        <v/>
      </c>
      <c r="Z3160" s="94">
        <f>IF($A3160="",0,IF(AE3160="직접",IF(AF3160="신계약비",$P3160,0),$P3160*(1-AG3160)*IFERROR(INDEX(계정대체기준!$C$20:$C$49,MATCH($N3160,계정대체기준!$A$20:$A$49,0)),0)))</f>
        <v/>
      </c>
      <c r="AA3160" s="94">
        <f>IF($A3160="",0,IF(AE3160="직접",IF(OR(AF3160="유지비",AF3160="손해조사비"),$P3160,0),$P3160*(1-AG3160)*IFERROR(INDEX(계정대체기준!$D$20:$D$49,MATCH($N3160,계정대체기준!$A$20:$A$49,0)),0)))</f>
        <v/>
      </c>
      <c r="AB3160" s="94">
        <f>IF($A3160="",0,IF(AE3160="직접",IF(AF3160="수금비",$P3160,0),$P3160*(1-AG3160)*IFERROR(INDEX(계정대체기준!$E$20:$E$49,MATCH($N3160,계정대체기준!$A$20:$A$49,0)),0)))</f>
        <v/>
      </c>
      <c r="AC3160" s="9">
        <f>IF(AND($A3160&lt;&gt;"",M3160=설정!$C$20,Z3160&gt;0),Z3160+ROW()/1000000000,"")</f>
        <v/>
      </c>
      <c r="AD3160" s="94">
        <f>IF($A3160="",0,$P3160*AG3160)</f>
        <v/>
      </c>
      <c r="AE3160" s="64">
        <f>IF($A3160="","",IFERROR(INDEX(계정매핑!$E$5:$E$504,MATCH($F3160&amp;"",계정매핑!$A$5:$A$504,0))&amp;"","공통비"))</f>
        <v/>
      </c>
      <c r="AF3160" s="64">
        <f>IF($A3160="","",IF(AE3160="직접",IFERROR(INDEX(계정매핑!$F$5:$F$504,MATCH($F3160&amp;"",계정매핑!$A$5:$A$504,0))&amp;"","비귀속"),""))</f>
        <v/>
      </c>
      <c r="AG3160" s="96">
        <f>IF($A3160="",0,IF(AND(AE3160&lt;&gt;"직접",IFERROR(INDEX(계정매핑!$G$5:$G$504,MATCH($F3160&amp;"",계정매핑!$A$5:$A$504,0))&amp;"","")="유지비",COUNTIF(계정대체기준!$A$6:$A$15,$N3160)&gt;0),IFERROR(INDEX(계정대체기준!$E$6:$E$15,MATCH(VALUE($A3160&amp;""),계정대체기준!$D$6:$D$15,0)),0),0))</f>
        <v/>
      </c>
      <c r="AH3160" s="64">
        <f>IF($A3160="","",IF(AD3160=0,"",IF(OR(COUNTIF(계정대체기준!$A$77:$A$86,$N3160)&gt;0,ISNUMBER(MATCH($X3160,계정대체기준!$D$77:$D$86,0)),ISNUMBER(MATCH($F3160,계정대체기준!$D$77:$D$86,0))),"Y","N")))</f>
        <v/>
      </c>
    </row>
    <row r="3161">
      <c r="A3161" s="92" t="n">
        <v>2026</v>
      </c>
      <c r="B3161" s="92" t="n">
        <v>2</v>
      </c>
      <c r="C3161" s="92" t="inlineStr">
        <is>
          <t>5100000439</t>
        </is>
      </c>
      <c r="D3161" s="95" t="n">
        <v>46078</v>
      </c>
      <c r="E3161" s="92" t="inlineStr">
        <is>
          <t>KR</t>
        </is>
      </c>
      <c r="F3161" s="92" t="n">
        <v>62501000</v>
      </c>
      <c r="G3161" s="92" t="n">
        <v>1301</v>
      </c>
      <c r="H3161" s="93" t="n">
        <v>189000</v>
      </c>
      <c r="I3161" s="92" t="inlineStr">
        <is>
          <t>2월 회의 다과 - T케이터링</t>
        </is>
      </c>
      <c r="J3161" s="92" t="inlineStr">
        <is>
          <t>V10005</t>
        </is>
      </c>
      <c r="K3161" s="92" t="inlineStr">
        <is>
          <t>T케이터링</t>
        </is>
      </c>
      <c r="M3161" s="9">
        <f>IF($A3161="","",VALUE($A3161&amp;"")*12+VALUE($B3161&amp;""))</f>
        <v/>
      </c>
      <c r="N3161" s="64">
        <f>IF($A3161="","",IFERROR(INDEX(부서매핑!$C$5:$C$504,MATCH($G3161&amp;"",부서매핑!$A$5:$A$504,0)),"미매핑"))</f>
        <v/>
      </c>
      <c r="O3161" s="9">
        <f>IF($A3161="","",N3161&amp;"|"&amp;$F3161)</f>
        <v/>
      </c>
      <c r="P3161" s="94">
        <f>IF($A3161="",0,$H3161*설정!$C$23)</f>
        <v/>
      </c>
      <c r="Q3161" s="64">
        <f>IF($A3161="","",IF(O3161&lt;&gt;원인분석!$C$9,"",IF(AND(M3161&gt;=원인분석!$C$10,M3161&lt;=원인분석!$C$11),"당기",IF(AND(M3161&gt;=원인분석!$C$12,M3161&lt;=원인분석!$C$13),"비교",""))))</f>
        <v/>
      </c>
      <c r="R3161" s="9">
        <f>IF(Q3161="","",$K3161&amp;"")</f>
        <v/>
      </c>
      <c r="S3161" s="9">
        <f>IF(Q3161="","",IF(MATCH(R3161,$R$5:$R$100000,0)=ROW()-4,ROW(),""))</f>
        <v/>
      </c>
      <c r="T3161" s="9">
        <f>IF(Q3161="당기",ABS(P3161)+ROW()/1000000000,"")</f>
        <v/>
      </c>
      <c r="U3161" s="9">
        <f>IF(Q3161="비교",ABS(P3161)+ROW()/1000000000,"")</f>
        <v/>
      </c>
      <c r="V3161" s="64">
        <f>IF($A3161="","",IF(COUNTIF(변동분석!$E$7:$E$506,O3161)&gt;0,"Y","N"))</f>
        <v/>
      </c>
      <c r="W3161" s="64">
        <f>IF($A3161="","",IFERROR(INDEX(계정매핑!$D$5:$D$504,MATCH($F3161&amp;"",계정매핑!$A$5:$A$504,0)),"미매핑"))</f>
        <v/>
      </c>
      <c r="X3161" s="9">
        <f>IF($A3161="","",$F3161&amp;"")</f>
        <v/>
      </c>
      <c r="Y3161" s="94">
        <f>IF($A3161="",0,IF(AE3161="직접",IF(AF3161="비귀속",$P3161,0),$P3161*(1-AG3161)*IFERROR(INDEX(계정대체기준!$F$20:$F$49,MATCH($N3161,계정대체기준!$A$20:$A$49,0)),1)))</f>
        <v/>
      </c>
      <c r="Z3161" s="94">
        <f>IF($A3161="",0,IF(AE3161="직접",IF(AF3161="신계약비",$P3161,0),$P3161*(1-AG3161)*IFERROR(INDEX(계정대체기준!$C$20:$C$49,MATCH($N3161,계정대체기준!$A$20:$A$49,0)),0)))</f>
        <v/>
      </c>
      <c r="AA3161" s="94">
        <f>IF($A3161="",0,IF(AE3161="직접",IF(OR(AF3161="유지비",AF3161="손해조사비"),$P3161,0),$P3161*(1-AG3161)*IFERROR(INDEX(계정대체기준!$D$20:$D$49,MATCH($N3161,계정대체기준!$A$20:$A$49,0)),0)))</f>
        <v/>
      </c>
      <c r="AB3161" s="94">
        <f>IF($A3161="",0,IF(AE3161="직접",IF(AF3161="수금비",$P3161,0),$P3161*(1-AG3161)*IFERROR(INDEX(계정대체기준!$E$20:$E$49,MATCH($N3161,계정대체기준!$A$20:$A$49,0)),0)))</f>
        <v/>
      </c>
      <c r="AC3161" s="9">
        <f>IF(AND($A3161&lt;&gt;"",M3161=설정!$C$20,Z3161&gt;0),Z3161+ROW()/1000000000,"")</f>
        <v/>
      </c>
      <c r="AD3161" s="94">
        <f>IF($A3161="",0,$P3161*AG3161)</f>
        <v/>
      </c>
      <c r="AE3161" s="64">
        <f>IF($A3161="","",IFERROR(INDEX(계정매핑!$E$5:$E$504,MATCH($F3161&amp;"",계정매핑!$A$5:$A$504,0))&amp;"","공통비"))</f>
        <v/>
      </c>
      <c r="AF3161" s="64">
        <f>IF($A3161="","",IF(AE3161="직접",IFERROR(INDEX(계정매핑!$F$5:$F$504,MATCH($F3161&amp;"",계정매핑!$A$5:$A$504,0))&amp;"","비귀속"),""))</f>
        <v/>
      </c>
      <c r="AG3161" s="96">
        <f>IF($A3161="",0,IF(AND(AE3161&lt;&gt;"직접",IFERROR(INDEX(계정매핑!$G$5:$G$504,MATCH($F3161&amp;"",계정매핑!$A$5:$A$504,0))&amp;"","")="유지비",COUNTIF(계정대체기준!$A$6:$A$15,$N3161)&gt;0),IFERROR(INDEX(계정대체기준!$E$6:$E$15,MATCH(VALUE($A3161&amp;""),계정대체기준!$D$6:$D$15,0)),0),0))</f>
        <v/>
      </c>
      <c r="AH3161" s="64">
        <f>IF($A3161="","",IF(AD3161=0,"",IF(OR(COUNTIF(계정대체기준!$A$77:$A$86,$N3161)&gt;0,ISNUMBER(MATCH($X3161,계정대체기준!$D$77:$D$86,0)),ISNUMBER(MATCH($F3161,계정대체기준!$D$77:$D$86,0))),"Y","N")))</f>
        <v/>
      </c>
    </row>
    <row r="3162">
      <c r="A3162" s="92" t="n">
        <v>2026</v>
      </c>
      <c r="B3162" s="92" t="n">
        <v>2</v>
      </c>
      <c r="C3162" s="92" t="inlineStr">
        <is>
          <t>5100000440</t>
        </is>
      </c>
      <c r="D3162" s="95" t="n">
        <v>46078</v>
      </c>
      <c r="E3162" s="92" t="inlineStr">
        <is>
          <t>KR</t>
        </is>
      </c>
      <c r="F3162" s="92" t="n">
        <v>62901000</v>
      </c>
      <c r="G3162" s="92" t="n">
        <v>1801</v>
      </c>
      <c r="H3162" s="93" t="n">
        <v>11596000</v>
      </c>
      <c r="I3162" s="92" t="inlineStr">
        <is>
          <t>2월 자문 수수료 - W컨설팅</t>
        </is>
      </c>
      <c r="J3162" s="92" t="inlineStr">
        <is>
          <t>V10006</t>
        </is>
      </c>
      <c r="K3162" s="92" t="inlineStr">
        <is>
          <t>W컨설팅</t>
        </is>
      </c>
      <c r="M3162" s="9">
        <f>IF($A3162="","",VALUE($A3162&amp;"")*12+VALUE($B3162&amp;""))</f>
        <v/>
      </c>
      <c r="N3162" s="64">
        <f>IF($A3162="","",IFERROR(INDEX(부서매핑!$C$5:$C$504,MATCH($G3162&amp;"",부서매핑!$A$5:$A$504,0)),"미매핑"))</f>
        <v/>
      </c>
      <c r="O3162" s="9">
        <f>IF($A3162="","",N3162&amp;"|"&amp;$F3162)</f>
        <v/>
      </c>
      <c r="P3162" s="94">
        <f>IF($A3162="",0,$H3162*설정!$C$23)</f>
        <v/>
      </c>
      <c r="Q3162" s="64">
        <f>IF($A3162="","",IF(O3162&lt;&gt;원인분석!$C$9,"",IF(AND(M3162&gt;=원인분석!$C$10,M3162&lt;=원인분석!$C$11),"당기",IF(AND(M3162&gt;=원인분석!$C$12,M3162&lt;=원인분석!$C$13),"비교",""))))</f>
        <v/>
      </c>
      <c r="R3162" s="9">
        <f>IF(Q3162="","",$K3162&amp;"")</f>
        <v/>
      </c>
      <c r="S3162" s="9">
        <f>IF(Q3162="","",IF(MATCH(R3162,$R$5:$R$100000,0)=ROW()-4,ROW(),""))</f>
        <v/>
      </c>
      <c r="T3162" s="9">
        <f>IF(Q3162="당기",ABS(P3162)+ROW()/1000000000,"")</f>
        <v/>
      </c>
      <c r="U3162" s="9">
        <f>IF(Q3162="비교",ABS(P3162)+ROW()/1000000000,"")</f>
        <v/>
      </c>
      <c r="V3162" s="64">
        <f>IF($A3162="","",IF(COUNTIF(변동분석!$E$7:$E$506,O3162)&gt;0,"Y","N"))</f>
        <v/>
      </c>
      <c r="W3162" s="64">
        <f>IF($A3162="","",IFERROR(INDEX(계정매핑!$D$5:$D$504,MATCH($F3162&amp;"",계정매핑!$A$5:$A$504,0)),"미매핑"))</f>
        <v/>
      </c>
      <c r="X3162" s="9">
        <f>IF($A3162="","",$F3162&amp;"")</f>
        <v/>
      </c>
      <c r="Y3162" s="94">
        <f>IF($A3162="",0,IF(AE3162="직접",IF(AF3162="비귀속",$P3162,0),$P3162*(1-AG3162)*IFERROR(INDEX(계정대체기준!$F$20:$F$49,MATCH($N3162,계정대체기준!$A$20:$A$49,0)),1)))</f>
        <v/>
      </c>
      <c r="Z3162" s="94">
        <f>IF($A3162="",0,IF(AE3162="직접",IF(AF3162="신계약비",$P3162,0),$P3162*(1-AG3162)*IFERROR(INDEX(계정대체기준!$C$20:$C$49,MATCH($N3162,계정대체기준!$A$20:$A$49,0)),0)))</f>
        <v/>
      </c>
      <c r="AA3162" s="94">
        <f>IF($A3162="",0,IF(AE3162="직접",IF(OR(AF3162="유지비",AF3162="손해조사비"),$P3162,0),$P3162*(1-AG3162)*IFERROR(INDEX(계정대체기준!$D$20:$D$49,MATCH($N3162,계정대체기준!$A$20:$A$49,0)),0)))</f>
        <v/>
      </c>
      <c r="AB3162" s="94">
        <f>IF($A3162="",0,IF(AE3162="직접",IF(AF3162="수금비",$P3162,0),$P3162*(1-AG3162)*IFERROR(INDEX(계정대체기준!$E$20:$E$49,MATCH($N3162,계정대체기준!$A$20:$A$49,0)),0)))</f>
        <v/>
      </c>
      <c r="AC3162" s="9">
        <f>IF(AND($A3162&lt;&gt;"",M3162=설정!$C$20,Z3162&gt;0),Z3162+ROW()/1000000000,"")</f>
        <v/>
      </c>
      <c r="AD3162" s="94">
        <f>IF($A3162="",0,$P3162*AG3162)</f>
        <v/>
      </c>
      <c r="AE3162" s="64">
        <f>IF($A3162="","",IFERROR(INDEX(계정매핑!$E$5:$E$504,MATCH($F3162&amp;"",계정매핑!$A$5:$A$504,0))&amp;"","공통비"))</f>
        <v/>
      </c>
      <c r="AF3162" s="64">
        <f>IF($A3162="","",IF(AE3162="직접",IFERROR(INDEX(계정매핑!$F$5:$F$504,MATCH($F3162&amp;"",계정매핑!$A$5:$A$504,0))&amp;"","비귀속"),""))</f>
        <v/>
      </c>
      <c r="AG3162" s="96">
        <f>IF($A3162="",0,IF(AND(AE3162&lt;&gt;"직접",IFERROR(INDEX(계정매핑!$G$5:$G$504,MATCH($F3162&amp;"",계정매핑!$A$5:$A$504,0))&amp;"","")="유지비",COUNTIF(계정대체기준!$A$6:$A$15,$N3162)&gt;0),IFERROR(INDEX(계정대체기준!$E$6:$E$15,MATCH(VALUE($A3162&amp;""),계정대체기준!$D$6:$D$15,0)),0),0))</f>
        <v/>
      </c>
      <c r="AH3162" s="64">
        <f>IF($A3162="","",IF(AD3162=0,"",IF(OR(COUNTIF(계정대체기준!$A$77:$A$86,$N3162)&gt;0,ISNUMBER(MATCH($X3162,계정대체기준!$D$77:$D$86,0)),ISNUMBER(MATCH($F3162,계정대체기준!$D$77:$D$86,0))),"Y","N")))</f>
        <v/>
      </c>
    </row>
    <row r="3163">
      <c r="A3163" s="92" t="n">
        <v>2026</v>
      </c>
      <c r="B3163" s="92" t="n">
        <v>2</v>
      </c>
      <c r="C3163" s="92" t="inlineStr">
        <is>
          <t>5100000441</t>
        </is>
      </c>
      <c r="D3163" s="95" t="n">
        <v>46078</v>
      </c>
      <c r="E3163" s="92" t="inlineStr">
        <is>
          <t>KR</t>
        </is>
      </c>
      <c r="F3163" s="92" t="n">
        <v>63001000</v>
      </c>
      <c r="G3163" s="92" t="n">
        <v>1701</v>
      </c>
      <c r="H3163" s="93" t="n">
        <v>22784000</v>
      </c>
      <c r="I3163" s="92" t="inlineStr">
        <is>
          <t>2월 SW 유지보수 - Y소프트</t>
        </is>
      </c>
      <c r="J3163" s="92" t="inlineStr">
        <is>
          <t>V10017</t>
        </is>
      </c>
      <c r="K3163" s="92" t="inlineStr">
        <is>
          <t>Y소프트</t>
        </is>
      </c>
      <c r="M3163" s="9">
        <f>IF($A3163="","",VALUE($A3163&amp;"")*12+VALUE($B3163&amp;""))</f>
        <v/>
      </c>
      <c r="N3163" s="64">
        <f>IF($A3163="","",IFERROR(INDEX(부서매핑!$C$5:$C$504,MATCH($G3163&amp;"",부서매핑!$A$5:$A$504,0)),"미매핑"))</f>
        <v/>
      </c>
      <c r="O3163" s="9">
        <f>IF($A3163="","",N3163&amp;"|"&amp;$F3163)</f>
        <v/>
      </c>
      <c r="P3163" s="94">
        <f>IF($A3163="",0,$H3163*설정!$C$23)</f>
        <v/>
      </c>
      <c r="Q3163" s="64">
        <f>IF($A3163="","",IF(O3163&lt;&gt;원인분석!$C$9,"",IF(AND(M3163&gt;=원인분석!$C$10,M3163&lt;=원인분석!$C$11),"당기",IF(AND(M3163&gt;=원인분석!$C$12,M3163&lt;=원인분석!$C$13),"비교",""))))</f>
        <v/>
      </c>
      <c r="R3163" s="9">
        <f>IF(Q3163="","",$K3163&amp;"")</f>
        <v/>
      </c>
      <c r="S3163" s="9">
        <f>IF(Q3163="","",IF(MATCH(R3163,$R$5:$R$100000,0)=ROW()-4,ROW(),""))</f>
        <v/>
      </c>
      <c r="T3163" s="9">
        <f>IF(Q3163="당기",ABS(P3163)+ROW()/1000000000,"")</f>
        <v/>
      </c>
      <c r="U3163" s="9">
        <f>IF(Q3163="비교",ABS(P3163)+ROW()/1000000000,"")</f>
        <v/>
      </c>
      <c r="V3163" s="64">
        <f>IF($A3163="","",IF(COUNTIF(변동분석!$E$7:$E$506,O3163)&gt;0,"Y","N"))</f>
        <v/>
      </c>
      <c r="W3163" s="64">
        <f>IF($A3163="","",IFERROR(INDEX(계정매핑!$D$5:$D$504,MATCH($F3163&amp;"",계정매핑!$A$5:$A$504,0)),"미매핑"))</f>
        <v/>
      </c>
      <c r="X3163" s="9">
        <f>IF($A3163="","",$F3163&amp;"")</f>
        <v/>
      </c>
      <c r="Y3163" s="94">
        <f>IF($A3163="",0,IF(AE3163="직접",IF(AF3163="비귀속",$P3163,0),$P3163*(1-AG3163)*IFERROR(INDEX(계정대체기준!$F$20:$F$49,MATCH($N3163,계정대체기준!$A$20:$A$49,0)),1)))</f>
        <v/>
      </c>
      <c r="Z3163" s="94">
        <f>IF($A3163="",0,IF(AE3163="직접",IF(AF3163="신계약비",$P3163,0),$P3163*(1-AG3163)*IFERROR(INDEX(계정대체기준!$C$20:$C$49,MATCH($N3163,계정대체기준!$A$20:$A$49,0)),0)))</f>
        <v/>
      </c>
      <c r="AA3163" s="94">
        <f>IF($A3163="",0,IF(AE3163="직접",IF(OR(AF3163="유지비",AF3163="손해조사비"),$P3163,0),$P3163*(1-AG3163)*IFERROR(INDEX(계정대체기준!$D$20:$D$49,MATCH($N3163,계정대체기준!$A$20:$A$49,0)),0)))</f>
        <v/>
      </c>
      <c r="AB3163" s="94">
        <f>IF($A3163="",0,IF(AE3163="직접",IF(AF3163="수금비",$P3163,0),$P3163*(1-AG3163)*IFERROR(INDEX(계정대체기준!$E$20:$E$49,MATCH($N3163,계정대체기준!$A$20:$A$49,0)),0)))</f>
        <v/>
      </c>
      <c r="AC3163" s="9">
        <f>IF(AND($A3163&lt;&gt;"",M3163=설정!$C$20,Z3163&gt;0),Z3163+ROW()/1000000000,"")</f>
        <v/>
      </c>
      <c r="AD3163" s="94">
        <f>IF($A3163="",0,$P3163*AG3163)</f>
        <v/>
      </c>
      <c r="AE3163" s="64">
        <f>IF($A3163="","",IFERROR(INDEX(계정매핑!$E$5:$E$504,MATCH($F3163&amp;"",계정매핑!$A$5:$A$504,0))&amp;"","공통비"))</f>
        <v/>
      </c>
      <c r="AF3163" s="64">
        <f>IF($A3163="","",IF(AE3163="직접",IFERROR(INDEX(계정매핑!$F$5:$F$504,MATCH($F3163&amp;"",계정매핑!$A$5:$A$504,0))&amp;"","비귀속"),""))</f>
        <v/>
      </c>
      <c r="AG3163" s="96">
        <f>IF($A3163="",0,IF(AND(AE3163&lt;&gt;"직접",IFERROR(INDEX(계정매핑!$G$5:$G$504,MATCH($F3163&amp;"",계정매핑!$A$5:$A$504,0))&amp;"","")="유지비",COUNTIF(계정대체기준!$A$6:$A$15,$N3163)&gt;0),IFERROR(INDEX(계정대체기준!$E$6:$E$15,MATCH(VALUE($A3163&amp;""),계정대체기준!$D$6:$D$15,0)),0),0))</f>
        <v/>
      </c>
      <c r="AH3163" s="64">
        <f>IF($A3163="","",IF(AD3163=0,"",IF(OR(COUNTIF(계정대체기준!$A$77:$A$86,$N3163)&gt;0,ISNUMBER(MATCH($X3163,계정대체기준!$D$77:$D$86,0)),ISNUMBER(MATCH($F3163,계정대체기준!$D$77:$D$86,0))),"Y","N")))</f>
        <v/>
      </c>
    </row>
    <row r="3164">
      <c r="A3164" s="92" t="n">
        <v>2026</v>
      </c>
      <c r="B3164" s="92" t="n">
        <v>2</v>
      </c>
      <c r="C3164" s="92" t="inlineStr">
        <is>
          <t>5100000442</t>
        </is>
      </c>
      <c r="D3164" s="95" t="n">
        <v>46078</v>
      </c>
      <c r="E3164" s="92" t="inlineStr">
        <is>
          <t>KR</t>
        </is>
      </c>
      <c r="F3164" s="92" t="n">
        <v>63002000</v>
      </c>
      <c r="G3164" s="92" t="n">
        <v>1701</v>
      </c>
      <c r="H3164" s="93" t="n">
        <v>79000000</v>
      </c>
      <c r="I3164" s="92" t="inlineStr">
        <is>
          <t>2월 클라우드 사용료 - C클라우드</t>
        </is>
      </c>
      <c r="J3164" s="92" t="inlineStr">
        <is>
          <t>V10026</t>
        </is>
      </c>
      <c r="K3164" s="92" t="inlineStr">
        <is>
          <t>C클라우드</t>
        </is>
      </c>
      <c r="M3164" s="9">
        <f>IF($A3164="","",VALUE($A3164&amp;"")*12+VALUE($B3164&amp;""))</f>
        <v/>
      </c>
      <c r="N3164" s="64">
        <f>IF($A3164="","",IFERROR(INDEX(부서매핑!$C$5:$C$504,MATCH($G3164&amp;"",부서매핑!$A$5:$A$504,0)),"미매핑"))</f>
        <v/>
      </c>
      <c r="O3164" s="9">
        <f>IF($A3164="","",N3164&amp;"|"&amp;$F3164)</f>
        <v/>
      </c>
      <c r="P3164" s="94">
        <f>IF($A3164="",0,$H3164*설정!$C$23)</f>
        <v/>
      </c>
      <c r="Q3164" s="64">
        <f>IF($A3164="","",IF(O3164&lt;&gt;원인분석!$C$9,"",IF(AND(M3164&gt;=원인분석!$C$10,M3164&lt;=원인분석!$C$11),"당기",IF(AND(M3164&gt;=원인분석!$C$12,M3164&lt;=원인분석!$C$13),"비교",""))))</f>
        <v/>
      </c>
      <c r="R3164" s="9">
        <f>IF(Q3164="","",$K3164&amp;"")</f>
        <v/>
      </c>
      <c r="S3164" s="9">
        <f>IF(Q3164="","",IF(MATCH(R3164,$R$5:$R$100000,0)=ROW()-4,ROW(),""))</f>
        <v/>
      </c>
      <c r="T3164" s="9">
        <f>IF(Q3164="당기",ABS(P3164)+ROW()/1000000000,"")</f>
        <v/>
      </c>
      <c r="U3164" s="9">
        <f>IF(Q3164="비교",ABS(P3164)+ROW()/1000000000,"")</f>
        <v/>
      </c>
      <c r="V3164" s="64">
        <f>IF($A3164="","",IF(COUNTIF(변동분석!$E$7:$E$506,O3164)&gt;0,"Y","N"))</f>
        <v/>
      </c>
      <c r="W3164" s="64">
        <f>IF($A3164="","",IFERROR(INDEX(계정매핑!$D$5:$D$504,MATCH($F3164&amp;"",계정매핑!$A$5:$A$504,0)),"미매핑"))</f>
        <v/>
      </c>
      <c r="X3164" s="9">
        <f>IF($A3164="","",$F3164&amp;"")</f>
        <v/>
      </c>
      <c r="Y3164" s="94">
        <f>IF($A3164="",0,IF(AE3164="직접",IF(AF3164="비귀속",$P3164,0),$P3164*(1-AG3164)*IFERROR(INDEX(계정대체기준!$F$20:$F$49,MATCH($N3164,계정대체기준!$A$20:$A$49,0)),1)))</f>
        <v/>
      </c>
      <c r="Z3164" s="94">
        <f>IF($A3164="",0,IF(AE3164="직접",IF(AF3164="신계약비",$P3164,0),$P3164*(1-AG3164)*IFERROR(INDEX(계정대체기준!$C$20:$C$49,MATCH($N3164,계정대체기준!$A$20:$A$49,0)),0)))</f>
        <v/>
      </c>
      <c r="AA3164" s="94">
        <f>IF($A3164="",0,IF(AE3164="직접",IF(OR(AF3164="유지비",AF3164="손해조사비"),$P3164,0),$P3164*(1-AG3164)*IFERROR(INDEX(계정대체기준!$D$20:$D$49,MATCH($N3164,계정대체기준!$A$20:$A$49,0)),0)))</f>
        <v/>
      </c>
      <c r="AB3164" s="94">
        <f>IF($A3164="",0,IF(AE3164="직접",IF(AF3164="수금비",$P3164,0),$P3164*(1-AG3164)*IFERROR(INDEX(계정대체기준!$E$20:$E$49,MATCH($N3164,계정대체기준!$A$20:$A$49,0)),0)))</f>
        <v/>
      </c>
      <c r="AC3164" s="9">
        <f>IF(AND($A3164&lt;&gt;"",M3164=설정!$C$20,Z3164&gt;0),Z3164+ROW()/1000000000,"")</f>
        <v/>
      </c>
      <c r="AD3164" s="94">
        <f>IF($A3164="",0,$P3164*AG3164)</f>
        <v/>
      </c>
      <c r="AE3164" s="64">
        <f>IF($A3164="","",IFERROR(INDEX(계정매핑!$E$5:$E$504,MATCH($F3164&amp;"",계정매핑!$A$5:$A$504,0))&amp;"","공통비"))</f>
        <v/>
      </c>
      <c r="AF3164" s="64">
        <f>IF($A3164="","",IF(AE3164="직접",IFERROR(INDEX(계정매핑!$F$5:$F$504,MATCH($F3164&amp;"",계정매핑!$A$5:$A$504,0))&amp;"","비귀속"),""))</f>
        <v/>
      </c>
      <c r="AG3164" s="96">
        <f>IF($A3164="",0,IF(AND(AE3164&lt;&gt;"직접",IFERROR(INDEX(계정매핑!$G$5:$G$504,MATCH($F3164&amp;"",계정매핑!$A$5:$A$504,0))&amp;"","")="유지비",COUNTIF(계정대체기준!$A$6:$A$15,$N3164)&gt;0),IFERROR(INDEX(계정대체기준!$E$6:$E$15,MATCH(VALUE($A3164&amp;""),계정대체기준!$D$6:$D$15,0)),0),0))</f>
        <v/>
      </c>
      <c r="AH3164" s="64">
        <f>IF($A3164="","",IF(AD3164=0,"",IF(OR(COUNTIF(계정대체기준!$A$77:$A$86,$N3164)&gt;0,ISNUMBER(MATCH($X3164,계정대체기준!$D$77:$D$86,0)),ISNUMBER(MATCH($F3164,계정대체기준!$D$77:$D$86,0))),"Y","N")))</f>
        <v/>
      </c>
    </row>
    <row r="3165">
      <c r="A3165" s="92" t="n">
        <v>2026</v>
      </c>
      <c r="B3165" s="92" t="n">
        <v>2</v>
      </c>
      <c r="C3165" s="92" t="inlineStr">
        <is>
          <t>5100000443</t>
        </is>
      </c>
      <c r="D3165" s="95" t="n">
        <v>46079</v>
      </c>
      <c r="E3165" s="92" t="inlineStr">
        <is>
          <t>KR</t>
        </is>
      </c>
      <c r="F3165" s="92" t="n">
        <v>62101000</v>
      </c>
      <c r="G3165" s="92" t="n">
        <v>1801</v>
      </c>
      <c r="H3165" s="93" t="n">
        <v>158000</v>
      </c>
      <c r="I3165" s="92" t="inlineStr">
        <is>
          <t>2월 국내출장 - L여행사</t>
        </is>
      </c>
      <c r="J3165" s="92" t="inlineStr">
        <is>
          <t>V10018</t>
        </is>
      </c>
      <c r="K3165" s="92" t="inlineStr">
        <is>
          <t>L여행사</t>
        </is>
      </c>
      <c r="M3165" s="9">
        <f>IF($A3165="","",VALUE($A3165&amp;"")*12+VALUE($B3165&amp;""))</f>
        <v/>
      </c>
      <c r="N3165" s="64">
        <f>IF($A3165="","",IFERROR(INDEX(부서매핑!$C$5:$C$504,MATCH($G3165&amp;"",부서매핑!$A$5:$A$504,0)),"미매핑"))</f>
        <v/>
      </c>
      <c r="O3165" s="9">
        <f>IF($A3165="","",N3165&amp;"|"&amp;$F3165)</f>
        <v/>
      </c>
      <c r="P3165" s="94">
        <f>IF($A3165="",0,$H3165*설정!$C$23)</f>
        <v/>
      </c>
      <c r="Q3165" s="64">
        <f>IF($A3165="","",IF(O3165&lt;&gt;원인분석!$C$9,"",IF(AND(M3165&gt;=원인분석!$C$10,M3165&lt;=원인분석!$C$11),"당기",IF(AND(M3165&gt;=원인분석!$C$12,M3165&lt;=원인분석!$C$13),"비교",""))))</f>
        <v/>
      </c>
      <c r="R3165" s="9">
        <f>IF(Q3165="","",$K3165&amp;"")</f>
        <v/>
      </c>
      <c r="S3165" s="9">
        <f>IF(Q3165="","",IF(MATCH(R3165,$R$5:$R$100000,0)=ROW()-4,ROW(),""))</f>
        <v/>
      </c>
      <c r="T3165" s="9">
        <f>IF(Q3165="당기",ABS(P3165)+ROW()/1000000000,"")</f>
        <v/>
      </c>
      <c r="U3165" s="9">
        <f>IF(Q3165="비교",ABS(P3165)+ROW()/1000000000,"")</f>
        <v/>
      </c>
      <c r="V3165" s="64">
        <f>IF($A3165="","",IF(COUNTIF(변동분석!$E$7:$E$506,O3165)&gt;0,"Y","N"))</f>
        <v/>
      </c>
      <c r="W3165" s="64">
        <f>IF($A3165="","",IFERROR(INDEX(계정매핑!$D$5:$D$504,MATCH($F3165&amp;"",계정매핑!$A$5:$A$504,0)),"미매핑"))</f>
        <v/>
      </c>
      <c r="X3165" s="9">
        <f>IF($A3165="","",$F3165&amp;"")</f>
        <v/>
      </c>
      <c r="Y3165" s="94">
        <f>IF($A3165="",0,IF(AE3165="직접",IF(AF3165="비귀속",$P3165,0),$P3165*(1-AG3165)*IFERROR(INDEX(계정대체기준!$F$20:$F$49,MATCH($N3165,계정대체기준!$A$20:$A$49,0)),1)))</f>
        <v/>
      </c>
      <c r="Z3165" s="94">
        <f>IF($A3165="",0,IF(AE3165="직접",IF(AF3165="신계약비",$P3165,0),$P3165*(1-AG3165)*IFERROR(INDEX(계정대체기준!$C$20:$C$49,MATCH($N3165,계정대체기준!$A$20:$A$49,0)),0)))</f>
        <v/>
      </c>
      <c r="AA3165" s="94">
        <f>IF($A3165="",0,IF(AE3165="직접",IF(OR(AF3165="유지비",AF3165="손해조사비"),$P3165,0),$P3165*(1-AG3165)*IFERROR(INDEX(계정대체기준!$D$20:$D$49,MATCH($N3165,계정대체기준!$A$20:$A$49,0)),0)))</f>
        <v/>
      </c>
      <c r="AB3165" s="94">
        <f>IF($A3165="",0,IF(AE3165="직접",IF(AF3165="수금비",$P3165,0),$P3165*(1-AG3165)*IFERROR(INDEX(계정대체기준!$E$20:$E$49,MATCH($N3165,계정대체기준!$A$20:$A$49,0)),0)))</f>
        <v/>
      </c>
      <c r="AC3165" s="9">
        <f>IF(AND($A3165&lt;&gt;"",M3165=설정!$C$20,Z3165&gt;0),Z3165+ROW()/1000000000,"")</f>
        <v/>
      </c>
      <c r="AD3165" s="94">
        <f>IF($A3165="",0,$P3165*AG3165)</f>
        <v/>
      </c>
      <c r="AE3165" s="64">
        <f>IF($A3165="","",IFERROR(INDEX(계정매핑!$E$5:$E$504,MATCH($F3165&amp;"",계정매핑!$A$5:$A$504,0))&amp;"","공통비"))</f>
        <v/>
      </c>
      <c r="AF3165" s="64">
        <f>IF($A3165="","",IF(AE3165="직접",IFERROR(INDEX(계정매핑!$F$5:$F$504,MATCH($F3165&amp;"",계정매핑!$A$5:$A$504,0))&amp;"","비귀속"),""))</f>
        <v/>
      </c>
      <c r="AG3165" s="96">
        <f>IF($A3165="",0,IF(AND(AE3165&lt;&gt;"직접",IFERROR(INDEX(계정매핑!$G$5:$G$504,MATCH($F3165&amp;"",계정매핑!$A$5:$A$504,0))&amp;"","")="유지비",COUNTIF(계정대체기준!$A$6:$A$15,$N3165)&gt;0),IFERROR(INDEX(계정대체기준!$E$6:$E$15,MATCH(VALUE($A3165&amp;""),계정대체기준!$D$6:$D$15,0)),0),0))</f>
        <v/>
      </c>
      <c r="AH3165" s="64">
        <f>IF($A3165="","",IF(AD3165=0,"",IF(OR(COUNTIF(계정대체기준!$A$77:$A$86,$N3165)&gt;0,ISNUMBER(MATCH($X3165,계정대체기준!$D$77:$D$86,0)),ISNUMBER(MATCH($F3165,계정대체기준!$D$77:$D$86,0))),"Y","N")))</f>
        <v/>
      </c>
    </row>
    <row r="3166">
      <c r="A3166" s="92" t="n">
        <v>2026</v>
      </c>
      <c r="B3166" s="92" t="n">
        <v>2</v>
      </c>
      <c r="C3166" s="92" t="inlineStr">
        <is>
          <t>5100000444</t>
        </is>
      </c>
      <c r="D3166" s="95" t="n">
        <v>46079</v>
      </c>
      <c r="E3166" s="92" t="inlineStr">
        <is>
          <t>KR</t>
        </is>
      </c>
      <c r="F3166" s="92" t="n">
        <v>62101000</v>
      </c>
      <c r="G3166" s="92" t="n">
        <v>1801</v>
      </c>
      <c r="H3166" s="93" t="n">
        <v>111000</v>
      </c>
      <c r="I3166" s="92" t="inlineStr">
        <is>
          <t>2월 국내출장 - M항공</t>
        </is>
      </c>
      <c r="J3166" s="92" t="inlineStr">
        <is>
          <t>V10001</t>
        </is>
      </c>
      <c r="K3166" s="92" t="inlineStr">
        <is>
          <t>M항공</t>
        </is>
      </c>
      <c r="M3166" s="9">
        <f>IF($A3166="","",VALUE($A3166&amp;"")*12+VALUE($B3166&amp;""))</f>
        <v/>
      </c>
      <c r="N3166" s="64">
        <f>IF($A3166="","",IFERROR(INDEX(부서매핑!$C$5:$C$504,MATCH($G3166&amp;"",부서매핑!$A$5:$A$504,0)),"미매핑"))</f>
        <v/>
      </c>
      <c r="O3166" s="9">
        <f>IF($A3166="","",N3166&amp;"|"&amp;$F3166)</f>
        <v/>
      </c>
      <c r="P3166" s="94">
        <f>IF($A3166="",0,$H3166*설정!$C$23)</f>
        <v/>
      </c>
      <c r="Q3166" s="64">
        <f>IF($A3166="","",IF(O3166&lt;&gt;원인분석!$C$9,"",IF(AND(M3166&gt;=원인분석!$C$10,M3166&lt;=원인분석!$C$11),"당기",IF(AND(M3166&gt;=원인분석!$C$12,M3166&lt;=원인분석!$C$13),"비교",""))))</f>
        <v/>
      </c>
      <c r="R3166" s="9">
        <f>IF(Q3166="","",$K3166&amp;"")</f>
        <v/>
      </c>
      <c r="S3166" s="9">
        <f>IF(Q3166="","",IF(MATCH(R3166,$R$5:$R$100000,0)=ROW()-4,ROW(),""))</f>
        <v/>
      </c>
      <c r="T3166" s="9">
        <f>IF(Q3166="당기",ABS(P3166)+ROW()/1000000000,"")</f>
        <v/>
      </c>
      <c r="U3166" s="9">
        <f>IF(Q3166="비교",ABS(P3166)+ROW()/1000000000,"")</f>
        <v/>
      </c>
      <c r="V3166" s="64">
        <f>IF($A3166="","",IF(COUNTIF(변동분석!$E$7:$E$506,O3166)&gt;0,"Y","N"))</f>
        <v/>
      </c>
      <c r="W3166" s="64">
        <f>IF($A3166="","",IFERROR(INDEX(계정매핑!$D$5:$D$504,MATCH($F3166&amp;"",계정매핑!$A$5:$A$504,0)),"미매핑"))</f>
        <v/>
      </c>
      <c r="X3166" s="9">
        <f>IF($A3166="","",$F3166&amp;"")</f>
        <v/>
      </c>
      <c r="Y3166" s="94">
        <f>IF($A3166="",0,IF(AE3166="직접",IF(AF3166="비귀속",$P3166,0),$P3166*(1-AG3166)*IFERROR(INDEX(계정대체기준!$F$20:$F$49,MATCH($N3166,계정대체기준!$A$20:$A$49,0)),1)))</f>
        <v/>
      </c>
      <c r="Z3166" s="94">
        <f>IF($A3166="",0,IF(AE3166="직접",IF(AF3166="신계약비",$P3166,0),$P3166*(1-AG3166)*IFERROR(INDEX(계정대체기준!$C$20:$C$49,MATCH($N3166,계정대체기준!$A$20:$A$49,0)),0)))</f>
        <v/>
      </c>
      <c r="AA3166" s="94">
        <f>IF($A3166="",0,IF(AE3166="직접",IF(OR(AF3166="유지비",AF3166="손해조사비"),$P3166,0),$P3166*(1-AG3166)*IFERROR(INDEX(계정대체기준!$D$20:$D$49,MATCH($N3166,계정대체기준!$A$20:$A$49,0)),0)))</f>
        <v/>
      </c>
      <c r="AB3166" s="94">
        <f>IF($A3166="",0,IF(AE3166="직접",IF(AF3166="수금비",$P3166,0),$P3166*(1-AG3166)*IFERROR(INDEX(계정대체기준!$E$20:$E$49,MATCH($N3166,계정대체기준!$A$20:$A$49,0)),0)))</f>
        <v/>
      </c>
      <c r="AC3166" s="9">
        <f>IF(AND($A3166&lt;&gt;"",M3166=설정!$C$20,Z3166&gt;0),Z3166+ROW()/1000000000,"")</f>
        <v/>
      </c>
      <c r="AD3166" s="94">
        <f>IF($A3166="",0,$P3166*AG3166)</f>
        <v/>
      </c>
      <c r="AE3166" s="64">
        <f>IF($A3166="","",IFERROR(INDEX(계정매핑!$E$5:$E$504,MATCH($F3166&amp;"",계정매핑!$A$5:$A$504,0))&amp;"","공통비"))</f>
        <v/>
      </c>
      <c r="AF3166" s="64">
        <f>IF($A3166="","",IF(AE3166="직접",IFERROR(INDEX(계정매핑!$F$5:$F$504,MATCH($F3166&amp;"",계정매핑!$A$5:$A$504,0))&amp;"","비귀속"),""))</f>
        <v/>
      </c>
      <c r="AG3166" s="96">
        <f>IF($A3166="",0,IF(AND(AE3166&lt;&gt;"직접",IFERROR(INDEX(계정매핑!$G$5:$G$504,MATCH($F3166&amp;"",계정매핑!$A$5:$A$504,0))&amp;"","")="유지비",COUNTIF(계정대체기준!$A$6:$A$15,$N3166)&gt;0),IFERROR(INDEX(계정대체기준!$E$6:$E$15,MATCH(VALUE($A3166&amp;""),계정대체기준!$D$6:$D$15,0)),0),0))</f>
        <v/>
      </c>
      <c r="AH3166" s="64">
        <f>IF($A3166="","",IF(AD3166=0,"",IF(OR(COUNTIF(계정대체기준!$A$77:$A$86,$N3166)&gt;0,ISNUMBER(MATCH($X3166,계정대체기준!$D$77:$D$86,0)),ISNUMBER(MATCH($F3166,계정대체기준!$D$77:$D$86,0))),"Y","N")))</f>
        <v/>
      </c>
    </row>
    <row r="3167">
      <c r="A3167" s="92" t="n">
        <v>2026</v>
      </c>
      <c r="B3167" s="92" t="n">
        <v>2</v>
      </c>
      <c r="C3167" s="92" t="inlineStr">
        <is>
          <t>5100000445</t>
        </is>
      </c>
      <c r="D3167" s="95" t="n">
        <v>46079</v>
      </c>
      <c r="E3167" s="92" t="inlineStr">
        <is>
          <t>KR</t>
        </is>
      </c>
      <c r="F3167" s="92" t="n">
        <v>62401000</v>
      </c>
      <c r="G3167" s="92" t="n">
        <v>1801</v>
      </c>
      <c r="H3167" s="93" t="n">
        <v>1731000</v>
      </c>
      <c r="I3167" s="92" t="inlineStr">
        <is>
          <t>2월 인쇄물 제작 - S출판</t>
        </is>
      </c>
      <c r="J3167" s="92" t="inlineStr">
        <is>
          <t>V10015</t>
        </is>
      </c>
      <c r="K3167" s="92" t="inlineStr">
        <is>
          <t>S출판</t>
        </is>
      </c>
      <c r="M3167" s="9">
        <f>IF($A3167="","",VALUE($A3167&amp;"")*12+VALUE($B3167&amp;""))</f>
        <v/>
      </c>
      <c r="N3167" s="64">
        <f>IF($A3167="","",IFERROR(INDEX(부서매핑!$C$5:$C$504,MATCH($G3167&amp;"",부서매핑!$A$5:$A$504,0)),"미매핑"))</f>
        <v/>
      </c>
      <c r="O3167" s="9">
        <f>IF($A3167="","",N3167&amp;"|"&amp;$F3167)</f>
        <v/>
      </c>
      <c r="P3167" s="94">
        <f>IF($A3167="",0,$H3167*설정!$C$23)</f>
        <v/>
      </c>
      <c r="Q3167" s="64">
        <f>IF($A3167="","",IF(O3167&lt;&gt;원인분석!$C$9,"",IF(AND(M3167&gt;=원인분석!$C$10,M3167&lt;=원인분석!$C$11),"당기",IF(AND(M3167&gt;=원인분석!$C$12,M3167&lt;=원인분석!$C$13),"비교",""))))</f>
        <v/>
      </c>
      <c r="R3167" s="9">
        <f>IF(Q3167="","",$K3167&amp;"")</f>
        <v/>
      </c>
      <c r="S3167" s="9">
        <f>IF(Q3167="","",IF(MATCH(R3167,$R$5:$R$100000,0)=ROW()-4,ROW(),""))</f>
        <v/>
      </c>
      <c r="T3167" s="9">
        <f>IF(Q3167="당기",ABS(P3167)+ROW()/1000000000,"")</f>
        <v/>
      </c>
      <c r="U3167" s="9">
        <f>IF(Q3167="비교",ABS(P3167)+ROW()/1000000000,"")</f>
        <v/>
      </c>
      <c r="V3167" s="64">
        <f>IF($A3167="","",IF(COUNTIF(변동분석!$E$7:$E$506,O3167)&gt;0,"Y","N"))</f>
        <v/>
      </c>
      <c r="W3167" s="64">
        <f>IF($A3167="","",IFERROR(INDEX(계정매핑!$D$5:$D$504,MATCH($F3167&amp;"",계정매핑!$A$5:$A$504,0)),"미매핑"))</f>
        <v/>
      </c>
      <c r="X3167" s="9">
        <f>IF($A3167="","",$F3167&amp;"")</f>
        <v/>
      </c>
      <c r="Y3167" s="94">
        <f>IF($A3167="",0,IF(AE3167="직접",IF(AF3167="비귀속",$P3167,0),$P3167*(1-AG3167)*IFERROR(INDEX(계정대체기준!$F$20:$F$49,MATCH($N3167,계정대체기준!$A$20:$A$49,0)),1)))</f>
        <v/>
      </c>
      <c r="Z3167" s="94">
        <f>IF($A3167="",0,IF(AE3167="직접",IF(AF3167="신계약비",$P3167,0),$P3167*(1-AG3167)*IFERROR(INDEX(계정대체기준!$C$20:$C$49,MATCH($N3167,계정대체기준!$A$20:$A$49,0)),0)))</f>
        <v/>
      </c>
      <c r="AA3167" s="94">
        <f>IF($A3167="",0,IF(AE3167="직접",IF(OR(AF3167="유지비",AF3167="손해조사비"),$P3167,0),$P3167*(1-AG3167)*IFERROR(INDEX(계정대체기준!$D$20:$D$49,MATCH($N3167,계정대체기준!$A$20:$A$49,0)),0)))</f>
        <v/>
      </c>
      <c r="AB3167" s="94">
        <f>IF($A3167="",0,IF(AE3167="직접",IF(AF3167="수금비",$P3167,0),$P3167*(1-AG3167)*IFERROR(INDEX(계정대체기준!$E$20:$E$49,MATCH($N3167,계정대체기준!$A$20:$A$49,0)),0)))</f>
        <v/>
      </c>
      <c r="AC3167" s="9">
        <f>IF(AND($A3167&lt;&gt;"",M3167=설정!$C$20,Z3167&gt;0),Z3167+ROW()/1000000000,"")</f>
        <v/>
      </c>
      <c r="AD3167" s="94">
        <f>IF($A3167="",0,$P3167*AG3167)</f>
        <v/>
      </c>
      <c r="AE3167" s="64">
        <f>IF($A3167="","",IFERROR(INDEX(계정매핑!$E$5:$E$504,MATCH($F3167&amp;"",계정매핑!$A$5:$A$504,0))&amp;"","공통비"))</f>
        <v/>
      </c>
      <c r="AF3167" s="64">
        <f>IF($A3167="","",IF(AE3167="직접",IFERROR(INDEX(계정매핑!$F$5:$F$504,MATCH($F3167&amp;"",계정매핑!$A$5:$A$504,0))&amp;"","비귀속"),""))</f>
        <v/>
      </c>
      <c r="AG3167" s="96">
        <f>IF($A3167="",0,IF(AND(AE3167&lt;&gt;"직접",IFERROR(INDEX(계정매핑!$G$5:$G$504,MATCH($F3167&amp;"",계정매핑!$A$5:$A$504,0))&amp;"","")="유지비",COUNTIF(계정대체기준!$A$6:$A$15,$N3167)&gt;0),IFERROR(INDEX(계정대체기준!$E$6:$E$15,MATCH(VALUE($A3167&amp;""),계정대체기준!$D$6:$D$15,0)),0),0))</f>
        <v/>
      </c>
      <c r="AH3167" s="64">
        <f>IF($A3167="","",IF(AD3167=0,"",IF(OR(COUNTIF(계정대체기준!$A$77:$A$86,$N3167)&gt;0,ISNUMBER(MATCH($X3167,계정대체기준!$D$77:$D$86,0)),ISNUMBER(MATCH($F3167,계정대체기준!$D$77:$D$86,0))),"Y","N")))</f>
        <v/>
      </c>
    </row>
    <row r="3168">
      <c r="A3168" s="92" t="n">
        <v>2026</v>
      </c>
      <c r="B3168" s="92" t="n">
        <v>2</v>
      </c>
      <c r="C3168" s="92" t="inlineStr">
        <is>
          <t>5100000446</t>
        </is>
      </c>
      <c r="D3168" s="95" t="n">
        <v>46079</v>
      </c>
      <c r="E3168" s="92" t="inlineStr">
        <is>
          <t>KR</t>
        </is>
      </c>
      <c r="F3168" s="92" t="n">
        <v>62501000</v>
      </c>
      <c r="G3168" s="92" t="n">
        <v>1301</v>
      </c>
      <c r="H3168" s="93" t="n">
        <v>214000</v>
      </c>
      <c r="I3168" s="92" t="inlineStr">
        <is>
          <t>2월 회의 다과 - (법인카드)</t>
        </is>
      </c>
      <c r="J3168" s="92" t="inlineStr">
        <is>
          <t>V10010</t>
        </is>
      </c>
      <c r="K3168" s="92" t="inlineStr">
        <is>
          <t>(법인카드)</t>
        </is>
      </c>
      <c r="M3168" s="9">
        <f>IF($A3168="","",VALUE($A3168&amp;"")*12+VALUE($B3168&amp;""))</f>
        <v/>
      </c>
      <c r="N3168" s="64">
        <f>IF($A3168="","",IFERROR(INDEX(부서매핑!$C$5:$C$504,MATCH($G3168&amp;"",부서매핑!$A$5:$A$504,0)),"미매핑"))</f>
        <v/>
      </c>
      <c r="O3168" s="9">
        <f>IF($A3168="","",N3168&amp;"|"&amp;$F3168)</f>
        <v/>
      </c>
      <c r="P3168" s="94">
        <f>IF($A3168="",0,$H3168*설정!$C$23)</f>
        <v/>
      </c>
      <c r="Q3168" s="64">
        <f>IF($A3168="","",IF(O3168&lt;&gt;원인분석!$C$9,"",IF(AND(M3168&gt;=원인분석!$C$10,M3168&lt;=원인분석!$C$11),"당기",IF(AND(M3168&gt;=원인분석!$C$12,M3168&lt;=원인분석!$C$13),"비교",""))))</f>
        <v/>
      </c>
      <c r="R3168" s="9">
        <f>IF(Q3168="","",$K3168&amp;"")</f>
        <v/>
      </c>
      <c r="S3168" s="9">
        <f>IF(Q3168="","",IF(MATCH(R3168,$R$5:$R$100000,0)=ROW()-4,ROW(),""))</f>
        <v/>
      </c>
      <c r="T3168" s="9">
        <f>IF(Q3168="당기",ABS(P3168)+ROW()/1000000000,"")</f>
        <v/>
      </c>
      <c r="U3168" s="9">
        <f>IF(Q3168="비교",ABS(P3168)+ROW()/1000000000,"")</f>
        <v/>
      </c>
      <c r="V3168" s="64">
        <f>IF($A3168="","",IF(COUNTIF(변동분석!$E$7:$E$506,O3168)&gt;0,"Y","N"))</f>
        <v/>
      </c>
      <c r="W3168" s="64">
        <f>IF($A3168="","",IFERROR(INDEX(계정매핑!$D$5:$D$504,MATCH($F3168&amp;"",계정매핑!$A$5:$A$504,0)),"미매핑"))</f>
        <v/>
      </c>
      <c r="X3168" s="9">
        <f>IF($A3168="","",$F3168&amp;"")</f>
        <v/>
      </c>
      <c r="Y3168" s="94">
        <f>IF($A3168="",0,IF(AE3168="직접",IF(AF3168="비귀속",$P3168,0),$P3168*(1-AG3168)*IFERROR(INDEX(계정대체기준!$F$20:$F$49,MATCH($N3168,계정대체기준!$A$20:$A$49,0)),1)))</f>
        <v/>
      </c>
      <c r="Z3168" s="94">
        <f>IF($A3168="",0,IF(AE3168="직접",IF(AF3168="신계약비",$P3168,0),$P3168*(1-AG3168)*IFERROR(INDEX(계정대체기준!$C$20:$C$49,MATCH($N3168,계정대체기준!$A$20:$A$49,0)),0)))</f>
        <v/>
      </c>
      <c r="AA3168" s="94">
        <f>IF($A3168="",0,IF(AE3168="직접",IF(OR(AF3168="유지비",AF3168="손해조사비"),$P3168,0),$P3168*(1-AG3168)*IFERROR(INDEX(계정대체기준!$D$20:$D$49,MATCH($N3168,계정대체기준!$A$20:$A$49,0)),0)))</f>
        <v/>
      </c>
      <c r="AB3168" s="94">
        <f>IF($A3168="",0,IF(AE3168="직접",IF(AF3168="수금비",$P3168,0),$P3168*(1-AG3168)*IFERROR(INDEX(계정대체기준!$E$20:$E$49,MATCH($N3168,계정대체기준!$A$20:$A$49,0)),0)))</f>
        <v/>
      </c>
      <c r="AC3168" s="9">
        <f>IF(AND($A3168&lt;&gt;"",M3168=설정!$C$20,Z3168&gt;0),Z3168+ROW()/1000000000,"")</f>
        <v/>
      </c>
      <c r="AD3168" s="94">
        <f>IF($A3168="",0,$P3168*AG3168)</f>
        <v/>
      </c>
      <c r="AE3168" s="64">
        <f>IF($A3168="","",IFERROR(INDEX(계정매핑!$E$5:$E$504,MATCH($F3168&amp;"",계정매핑!$A$5:$A$504,0))&amp;"","공통비"))</f>
        <v/>
      </c>
      <c r="AF3168" s="64">
        <f>IF($A3168="","",IF(AE3168="직접",IFERROR(INDEX(계정매핑!$F$5:$F$504,MATCH($F3168&amp;"",계정매핑!$A$5:$A$504,0))&amp;"","비귀속"),""))</f>
        <v/>
      </c>
      <c r="AG3168" s="96">
        <f>IF($A3168="",0,IF(AND(AE3168&lt;&gt;"직접",IFERROR(INDEX(계정매핑!$G$5:$G$504,MATCH($F3168&amp;"",계정매핑!$A$5:$A$504,0))&amp;"","")="유지비",COUNTIF(계정대체기준!$A$6:$A$15,$N3168)&gt;0),IFERROR(INDEX(계정대체기준!$E$6:$E$15,MATCH(VALUE($A3168&amp;""),계정대체기준!$D$6:$D$15,0)),0),0))</f>
        <v/>
      </c>
      <c r="AH3168" s="64">
        <f>IF($A3168="","",IF(AD3168=0,"",IF(OR(COUNTIF(계정대체기준!$A$77:$A$86,$N3168)&gt;0,ISNUMBER(MATCH($X3168,계정대체기준!$D$77:$D$86,0)),ISNUMBER(MATCH($F3168,계정대체기준!$D$77:$D$86,0))),"Y","N")))</f>
        <v/>
      </c>
    </row>
    <row r="3169">
      <c r="A3169" s="92" t="n">
        <v>2026</v>
      </c>
      <c r="B3169" s="92" t="n">
        <v>2</v>
      </c>
      <c r="C3169" s="92" t="inlineStr">
        <is>
          <t>5100000447</t>
        </is>
      </c>
      <c r="D3169" s="95" t="n">
        <v>46079</v>
      </c>
      <c r="E3169" s="92" t="inlineStr">
        <is>
          <t>KR</t>
        </is>
      </c>
      <c r="F3169" s="92" t="n">
        <v>62501000</v>
      </c>
      <c r="G3169" s="92" t="n">
        <v>1502</v>
      </c>
      <c r="H3169" s="93" t="n">
        <v>225000</v>
      </c>
      <c r="I3169" s="92" t="inlineStr">
        <is>
          <t>2월 회의 다과 - T케이터링</t>
        </is>
      </c>
      <c r="J3169" s="92" t="inlineStr">
        <is>
          <t>V10005</t>
        </is>
      </c>
      <c r="K3169" s="92" t="inlineStr">
        <is>
          <t>T케이터링</t>
        </is>
      </c>
      <c r="M3169" s="9">
        <f>IF($A3169="","",VALUE($A3169&amp;"")*12+VALUE($B3169&amp;""))</f>
        <v/>
      </c>
      <c r="N3169" s="64">
        <f>IF($A3169="","",IFERROR(INDEX(부서매핑!$C$5:$C$504,MATCH($G3169&amp;"",부서매핑!$A$5:$A$504,0)),"미매핑"))</f>
        <v/>
      </c>
      <c r="O3169" s="9">
        <f>IF($A3169="","",N3169&amp;"|"&amp;$F3169)</f>
        <v/>
      </c>
      <c r="P3169" s="94">
        <f>IF($A3169="",0,$H3169*설정!$C$23)</f>
        <v/>
      </c>
      <c r="Q3169" s="64">
        <f>IF($A3169="","",IF(O3169&lt;&gt;원인분석!$C$9,"",IF(AND(M3169&gt;=원인분석!$C$10,M3169&lt;=원인분석!$C$11),"당기",IF(AND(M3169&gt;=원인분석!$C$12,M3169&lt;=원인분석!$C$13),"비교",""))))</f>
        <v/>
      </c>
      <c r="R3169" s="9">
        <f>IF(Q3169="","",$K3169&amp;"")</f>
        <v/>
      </c>
      <c r="S3169" s="9">
        <f>IF(Q3169="","",IF(MATCH(R3169,$R$5:$R$100000,0)=ROW()-4,ROW(),""))</f>
        <v/>
      </c>
      <c r="T3169" s="9">
        <f>IF(Q3169="당기",ABS(P3169)+ROW()/1000000000,"")</f>
        <v/>
      </c>
      <c r="U3169" s="9">
        <f>IF(Q3169="비교",ABS(P3169)+ROW()/1000000000,"")</f>
        <v/>
      </c>
      <c r="V3169" s="64">
        <f>IF($A3169="","",IF(COUNTIF(변동분석!$E$7:$E$506,O3169)&gt;0,"Y","N"))</f>
        <v/>
      </c>
      <c r="W3169" s="64">
        <f>IF($A3169="","",IFERROR(INDEX(계정매핑!$D$5:$D$504,MATCH($F3169&amp;"",계정매핑!$A$5:$A$504,0)),"미매핑"))</f>
        <v/>
      </c>
      <c r="X3169" s="9">
        <f>IF($A3169="","",$F3169&amp;"")</f>
        <v/>
      </c>
      <c r="Y3169" s="94">
        <f>IF($A3169="",0,IF(AE3169="직접",IF(AF3169="비귀속",$P3169,0),$P3169*(1-AG3169)*IFERROR(INDEX(계정대체기준!$F$20:$F$49,MATCH($N3169,계정대체기준!$A$20:$A$49,0)),1)))</f>
        <v/>
      </c>
      <c r="Z3169" s="94">
        <f>IF($A3169="",0,IF(AE3169="직접",IF(AF3169="신계약비",$P3169,0),$P3169*(1-AG3169)*IFERROR(INDEX(계정대체기준!$C$20:$C$49,MATCH($N3169,계정대체기준!$A$20:$A$49,0)),0)))</f>
        <v/>
      </c>
      <c r="AA3169" s="94">
        <f>IF($A3169="",0,IF(AE3169="직접",IF(OR(AF3169="유지비",AF3169="손해조사비"),$P3169,0),$P3169*(1-AG3169)*IFERROR(INDEX(계정대체기준!$D$20:$D$49,MATCH($N3169,계정대체기준!$A$20:$A$49,0)),0)))</f>
        <v/>
      </c>
      <c r="AB3169" s="94">
        <f>IF($A3169="",0,IF(AE3169="직접",IF(AF3169="수금비",$P3169,0),$P3169*(1-AG3169)*IFERROR(INDEX(계정대체기준!$E$20:$E$49,MATCH($N3169,계정대체기준!$A$20:$A$49,0)),0)))</f>
        <v/>
      </c>
      <c r="AC3169" s="9">
        <f>IF(AND($A3169&lt;&gt;"",M3169=설정!$C$20,Z3169&gt;0),Z3169+ROW()/1000000000,"")</f>
        <v/>
      </c>
      <c r="AD3169" s="94">
        <f>IF($A3169="",0,$P3169*AG3169)</f>
        <v/>
      </c>
      <c r="AE3169" s="64">
        <f>IF($A3169="","",IFERROR(INDEX(계정매핑!$E$5:$E$504,MATCH($F3169&amp;"",계정매핑!$A$5:$A$504,0))&amp;"","공통비"))</f>
        <v/>
      </c>
      <c r="AF3169" s="64">
        <f>IF($A3169="","",IF(AE3169="직접",IFERROR(INDEX(계정매핑!$F$5:$F$504,MATCH($F3169&amp;"",계정매핑!$A$5:$A$504,0))&amp;"","비귀속"),""))</f>
        <v/>
      </c>
      <c r="AG3169" s="96">
        <f>IF($A3169="",0,IF(AND(AE3169&lt;&gt;"직접",IFERROR(INDEX(계정매핑!$G$5:$G$504,MATCH($F3169&amp;"",계정매핑!$A$5:$A$504,0))&amp;"","")="유지비",COUNTIF(계정대체기준!$A$6:$A$15,$N3169)&gt;0),IFERROR(INDEX(계정대체기준!$E$6:$E$15,MATCH(VALUE($A3169&amp;""),계정대체기준!$D$6:$D$15,0)),0),0))</f>
        <v/>
      </c>
      <c r="AH3169" s="64">
        <f>IF($A3169="","",IF(AD3169=0,"",IF(OR(COUNTIF(계정대체기준!$A$77:$A$86,$N3169)&gt;0,ISNUMBER(MATCH($X3169,계정대체기준!$D$77:$D$86,0)),ISNUMBER(MATCH($F3169,계정대체기준!$D$77:$D$86,0))),"Y","N")))</f>
        <v/>
      </c>
    </row>
    <row r="3170">
      <c r="A3170" s="92" t="n">
        <v>2026</v>
      </c>
      <c r="B3170" s="92" t="n">
        <v>2</v>
      </c>
      <c r="C3170" s="92" t="inlineStr">
        <is>
          <t>5100000448</t>
        </is>
      </c>
      <c r="D3170" s="95" t="n">
        <v>46079</v>
      </c>
      <c r="E3170" s="92" t="inlineStr">
        <is>
          <t>KR</t>
        </is>
      </c>
      <c r="F3170" s="92" t="n">
        <v>62701000</v>
      </c>
      <c r="G3170" s="92" t="n">
        <v>1501</v>
      </c>
      <c r="H3170" s="93" t="n">
        <v>33989000</v>
      </c>
      <c r="I3170" s="92" t="inlineStr">
        <is>
          <t>2월 광고 집행 - E미디어</t>
        </is>
      </c>
      <c r="J3170" s="92" t="inlineStr">
        <is>
          <t>V10033</t>
        </is>
      </c>
      <c r="K3170" s="92" t="inlineStr">
        <is>
          <t>E미디어</t>
        </is>
      </c>
      <c r="M3170" s="9">
        <f>IF($A3170="","",VALUE($A3170&amp;"")*12+VALUE($B3170&amp;""))</f>
        <v/>
      </c>
      <c r="N3170" s="64">
        <f>IF($A3170="","",IFERROR(INDEX(부서매핑!$C$5:$C$504,MATCH($G3170&amp;"",부서매핑!$A$5:$A$504,0)),"미매핑"))</f>
        <v/>
      </c>
      <c r="O3170" s="9">
        <f>IF($A3170="","",N3170&amp;"|"&amp;$F3170)</f>
        <v/>
      </c>
      <c r="P3170" s="94">
        <f>IF($A3170="",0,$H3170*설정!$C$23)</f>
        <v/>
      </c>
      <c r="Q3170" s="64">
        <f>IF($A3170="","",IF(O3170&lt;&gt;원인분석!$C$9,"",IF(AND(M3170&gt;=원인분석!$C$10,M3170&lt;=원인분석!$C$11),"당기",IF(AND(M3170&gt;=원인분석!$C$12,M3170&lt;=원인분석!$C$13),"비교",""))))</f>
        <v/>
      </c>
      <c r="R3170" s="9">
        <f>IF(Q3170="","",$K3170&amp;"")</f>
        <v/>
      </c>
      <c r="S3170" s="9">
        <f>IF(Q3170="","",IF(MATCH(R3170,$R$5:$R$100000,0)=ROW()-4,ROW(),""))</f>
        <v/>
      </c>
      <c r="T3170" s="9">
        <f>IF(Q3170="당기",ABS(P3170)+ROW()/1000000000,"")</f>
        <v/>
      </c>
      <c r="U3170" s="9">
        <f>IF(Q3170="비교",ABS(P3170)+ROW()/1000000000,"")</f>
        <v/>
      </c>
      <c r="V3170" s="64">
        <f>IF($A3170="","",IF(COUNTIF(변동분석!$E$7:$E$506,O3170)&gt;0,"Y","N"))</f>
        <v/>
      </c>
      <c r="W3170" s="64">
        <f>IF($A3170="","",IFERROR(INDEX(계정매핑!$D$5:$D$504,MATCH($F3170&amp;"",계정매핑!$A$5:$A$504,0)),"미매핑"))</f>
        <v/>
      </c>
      <c r="X3170" s="9">
        <f>IF($A3170="","",$F3170&amp;"")</f>
        <v/>
      </c>
      <c r="Y3170" s="94">
        <f>IF($A3170="",0,IF(AE3170="직접",IF(AF3170="비귀속",$P3170,0),$P3170*(1-AG3170)*IFERROR(INDEX(계정대체기준!$F$20:$F$49,MATCH($N3170,계정대체기준!$A$20:$A$49,0)),1)))</f>
        <v/>
      </c>
      <c r="Z3170" s="94">
        <f>IF($A3170="",0,IF(AE3170="직접",IF(AF3170="신계약비",$P3170,0),$P3170*(1-AG3170)*IFERROR(INDEX(계정대체기준!$C$20:$C$49,MATCH($N3170,계정대체기준!$A$20:$A$49,0)),0)))</f>
        <v/>
      </c>
      <c r="AA3170" s="94">
        <f>IF($A3170="",0,IF(AE3170="직접",IF(OR(AF3170="유지비",AF3170="손해조사비"),$P3170,0),$P3170*(1-AG3170)*IFERROR(INDEX(계정대체기준!$D$20:$D$49,MATCH($N3170,계정대체기준!$A$20:$A$49,0)),0)))</f>
        <v/>
      </c>
      <c r="AB3170" s="94">
        <f>IF($A3170="",0,IF(AE3170="직접",IF(AF3170="수금비",$P3170,0),$P3170*(1-AG3170)*IFERROR(INDEX(계정대체기준!$E$20:$E$49,MATCH($N3170,계정대체기준!$A$20:$A$49,0)),0)))</f>
        <v/>
      </c>
      <c r="AC3170" s="9">
        <f>IF(AND($A3170&lt;&gt;"",M3170=설정!$C$20,Z3170&gt;0),Z3170+ROW()/1000000000,"")</f>
        <v/>
      </c>
      <c r="AD3170" s="94">
        <f>IF($A3170="",0,$P3170*AG3170)</f>
        <v/>
      </c>
      <c r="AE3170" s="64">
        <f>IF($A3170="","",IFERROR(INDEX(계정매핑!$E$5:$E$504,MATCH($F3170&amp;"",계정매핑!$A$5:$A$504,0))&amp;"","공통비"))</f>
        <v/>
      </c>
      <c r="AF3170" s="64">
        <f>IF($A3170="","",IF(AE3170="직접",IFERROR(INDEX(계정매핑!$F$5:$F$504,MATCH($F3170&amp;"",계정매핑!$A$5:$A$504,0))&amp;"","비귀속"),""))</f>
        <v/>
      </c>
      <c r="AG3170" s="96">
        <f>IF($A3170="",0,IF(AND(AE3170&lt;&gt;"직접",IFERROR(INDEX(계정매핑!$G$5:$G$504,MATCH($F3170&amp;"",계정매핑!$A$5:$A$504,0))&amp;"","")="유지비",COUNTIF(계정대체기준!$A$6:$A$15,$N3170)&gt;0),IFERROR(INDEX(계정대체기준!$E$6:$E$15,MATCH(VALUE($A3170&amp;""),계정대체기준!$D$6:$D$15,0)),0),0))</f>
        <v/>
      </c>
      <c r="AH3170" s="64">
        <f>IF($A3170="","",IF(AD3170=0,"",IF(OR(COUNTIF(계정대체기준!$A$77:$A$86,$N3170)&gt;0,ISNUMBER(MATCH($X3170,계정대체기준!$D$77:$D$86,0)),ISNUMBER(MATCH($F3170,계정대체기준!$D$77:$D$86,0))),"Y","N")))</f>
        <v/>
      </c>
    </row>
    <row r="3171">
      <c r="A3171" s="92" t="n">
        <v>2026</v>
      </c>
      <c r="B3171" s="92" t="n">
        <v>2</v>
      </c>
      <c r="C3171" s="92" t="inlineStr">
        <is>
          <t>5100000449</t>
        </is>
      </c>
      <c r="D3171" s="95" t="n">
        <v>46079</v>
      </c>
      <c r="E3171" s="92" t="inlineStr">
        <is>
          <t>KR</t>
        </is>
      </c>
      <c r="F3171" s="92" t="n">
        <v>62701000</v>
      </c>
      <c r="G3171" s="92" t="n">
        <v>1501</v>
      </c>
      <c r="H3171" s="93" t="n">
        <v>43448000</v>
      </c>
      <c r="I3171" s="92" t="inlineStr">
        <is>
          <t>2월 광고 집행 - E미디어</t>
        </is>
      </c>
      <c r="J3171" s="92" t="inlineStr">
        <is>
          <t>V10033</t>
        </is>
      </c>
      <c r="K3171" s="92" t="inlineStr">
        <is>
          <t>E미디어</t>
        </is>
      </c>
      <c r="M3171" s="9">
        <f>IF($A3171="","",VALUE($A3171&amp;"")*12+VALUE($B3171&amp;""))</f>
        <v/>
      </c>
      <c r="N3171" s="64">
        <f>IF($A3171="","",IFERROR(INDEX(부서매핑!$C$5:$C$504,MATCH($G3171&amp;"",부서매핑!$A$5:$A$504,0)),"미매핑"))</f>
        <v/>
      </c>
      <c r="O3171" s="9">
        <f>IF($A3171="","",N3171&amp;"|"&amp;$F3171)</f>
        <v/>
      </c>
      <c r="P3171" s="94">
        <f>IF($A3171="",0,$H3171*설정!$C$23)</f>
        <v/>
      </c>
      <c r="Q3171" s="64">
        <f>IF($A3171="","",IF(O3171&lt;&gt;원인분석!$C$9,"",IF(AND(M3171&gt;=원인분석!$C$10,M3171&lt;=원인분석!$C$11),"당기",IF(AND(M3171&gt;=원인분석!$C$12,M3171&lt;=원인분석!$C$13),"비교",""))))</f>
        <v/>
      </c>
      <c r="R3171" s="9">
        <f>IF(Q3171="","",$K3171&amp;"")</f>
        <v/>
      </c>
      <c r="S3171" s="9">
        <f>IF(Q3171="","",IF(MATCH(R3171,$R$5:$R$100000,0)=ROW()-4,ROW(),""))</f>
        <v/>
      </c>
      <c r="T3171" s="9">
        <f>IF(Q3171="당기",ABS(P3171)+ROW()/1000000000,"")</f>
        <v/>
      </c>
      <c r="U3171" s="9">
        <f>IF(Q3171="비교",ABS(P3171)+ROW()/1000000000,"")</f>
        <v/>
      </c>
      <c r="V3171" s="64">
        <f>IF($A3171="","",IF(COUNTIF(변동분석!$E$7:$E$506,O3171)&gt;0,"Y","N"))</f>
        <v/>
      </c>
      <c r="W3171" s="64">
        <f>IF($A3171="","",IFERROR(INDEX(계정매핑!$D$5:$D$504,MATCH($F3171&amp;"",계정매핑!$A$5:$A$504,0)),"미매핑"))</f>
        <v/>
      </c>
      <c r="X3171" s="9">
        <f>IF($A3171="","",$F3171&amp;"")</f>
        <v/>
      </c>
      <c r="Y3171" s="94">
        <f>IF($A3171="",0,IF(AE3171="직접",IF(AF3171="비귀속",$P3171,0),$P3171*(1-AG3171)*IFERROR(INDEX(계정대체기준!$F$20:$F$49,MATCH($N3171,계정대체기준!$A$20:$A$49,0)),1)))</f>
        <v/>
      </c>
      <c r="Z3171" s="94">
        <f>IF($A3171="",0,IF(AE3171="직접",IF(AF3171="신계약비",$P3171,0),$P3171*(1-AG3171)*IFERROR(INDEX(계정대체기준!$C$20:$C$49,MATCH($N3171,계정대체기준!$A$20:$A$49,0)),0)))</f>
        <v/>
      </c>
      <c r="AA3171" s="94">
        <f>IF($A3171="",0,IF(AE3171="직접",IF(OR(AF3171="유지비",AF3171="손해조사비"),$P3171,0),$P3171*(1-AG3171)*IFERROR(INDEX(계정대체기준!$D$20:$D$49,MATCH($N3171,계정대체기준!$A$20:$A$49,0)),0)))</f>
        <v/>
      </c>
      <c r="AB3171" s="94">
        <f>IF($A3171="",0,IF(AE3171="직접",IF(AF3171="수금비",$P3171,0),$P3171*(1-AG3171)*IFERROR(INDEX(계정대체기준!$E$20:$E$49,MATCH($N3171,계정대체기준!$A$20:$A$49,0)),0)))</f>
        <v/>
      </c>
      <c r="AC3171" s="9">
        <f>IF(AND($A3171&lt;&gt;"",M3171=설정!$C$20,Z3171&gt;0),Z3171+ROW()/1000000000,"")</f>
        <v/>
      </c>
      <c r="AD3171" s="94">
        <f>IF($A3171="",0,$P3171*AG3171)</f>
        <v/>
      </c>
      <c r="AE3171" s="64">
        <f>IF($A3171="","",IFERROR(INDEX(계정매핑!$E$5:$E$504,MATCH($F3171&amp;"",계정매핑!$A$5:$A$504,0))&amp;"","공통비"))</f>
        <v/>
      </c>
      <c r="AF3171" s="64">
        <f>IF($A3171="","",IF(AE3171="직접",IFERROR(INDEX(계정매핑!$F$5:$F$504,MATCH($F3171&amp;"",계정매핑!$A$5:$A$504,0))&amp;"","비귀속"),""))</f>
        <v/>
      </c>
      <c r="AG3171" s="96">
        <f>IF($A3171="",0,IF(AND(AE3171&lt;&gt;"직접",IFERROR(INDEX(계정매핑!$G$5:$G$504,MATCH($F3171&amp;"",계정매핑!$A$5:$A$504,0))&amp;"","")="유지비",COUNTIF(계정대체기준!$A$6:$A$15,$N3171)&gt;0),IFERROR(INDEX(계정대체기준!$E$6:$E$15,MATCH(VALUE($A3171&amp;""),계정대체기준!$D$6:$D$15,0)),0),0))</f>
        <v/>
      </c>
      <c r="AH3171" s="64">
        <f>IF($A3171="","",IF(AD3171=0,"",IF(OR(COUNTIF(계정대체기준!$A$77:$A$86,$N3171)&gt;0,ISNUMBER(MATCH($X3171,계정대체기준!$D$77:$D$86,0)),ISNUMBER(MATCH($F3171,계정대체기준!$D$77:$D$86,0))),"Y","N")))</f>
        <v/>
      </c>
    </row>
    <row r="3172">
      <c r="A3172" s="92" t="n">
        <v>2026</v>
      </c>
      <c r="B3172" s="92" t="n">
        <v>2</v>
      </c>
      <c r="C3172" s="92" t="inlineStr">
        <is>
          <t>5100000450</t>
        </is>
      </c>
      <c r="D3172" s="95" t="n">
        <v>46079</v>
      </c>
      <c r="E3172" s="92" t="inlineStr">
        <is>
          <t>KR</t>
        </is>
      </c>
      <c r="F3172" s="92" t="n">
        <v>62902000</v>
      </c>
      <c r="G3172" s="92" t="n">
        <v>1401</v>
      </c>
      <c r="H3172" s="93" t="n">
        <v>2492000</v>
      </c>
      <c r="I3172" s="92" t="inlineStr">
        <is>
          <t>2월 업무 위탁 수수료 - J콜센터</t>
        </is>
      </c>
      <c r="J3172" s="92" t="inlineStr">
        <is>
          <t>V10016</t>
        </is>
      </c>
      <c r="K3172" s="92" t="inlineStr">
        <is>
          <t>J콜센터</t>
        </is>
      </c>
      <c r="M3172" s="9">
        <f>IF($A3172="","",VALUE($A3172&amp;"")*12+VALUE($B3172&amp;""))</f>
        <v/>
      </c>
      <c r="N3172" s="64">
        <f>IF($A3172="","",IFERROR(INDEX(부서매핑!$C$5:$C$504,MATCH($G3172&amp;"",부서매핑!$A$5:$A$504,0)),"미매핑"))</f>
        <v/>
      </c>
      <c r="O3172" s="9">
        <f>IF($A3172="","",N3172&amp;"|"&amp;$F3172)</f>
        <v/>
      </c>
      <c r="P3172" s="94">
        <f>IF($A3172="",0,$H3172*설정!$C$23)</f>
        <v/>
      </c>
      <c r="Q3172" s="64">
        <f>IF($A3172="","",IF(O3172&lt;&gt;원인분석!$C$9,"",IF(AND(M3172&gt;=원인분석!$C$10,M3172&lt;=원인분석!$C$11),"당기",IF(AND(M3172&gt;=원인분석!$C$12,M3172&lt;=원인분석!$C$13),"비교",""))))</f>
        <v/>
      </c>
      <c r="R3172" s="9">
        <f>IF(Q3172="","",$K3172&amp;"")</f>
        <v/>
      </c>
      <c r="S3172" s="9">
        <f>IF(Q3172="","",IF(MATCH(R3172,$R$5:$R$100000,0)=ROW()-4,ROW(),""))</f>
        <v/>
      </c>
      <c r="T3172" s="9">
        <f>IF(Q3172="당기",ABS(P3172)+ROW()/1000000000,"")</f>
        <v/>
      </c>
      <c r="U3172" s="9">
        <f>IF(Q3172="비교",ABS(P3172)+ROW()/1000000000,"")</f>
        <v/>
      </c>
      <c r="V3172" s="64">
        <f>IF($A3172="","",IF(COUNTIF(변동분석!$E$7:$E$506,O3172)&gt;0,"Y","N"))</f>
        <v/>
      </c>
      <c r="W3172" s="64">
        <f>IF($A3172="","",IFERROR(INDEX(계정매핑!$D$5:$D$504,MATCH($F3172&amp;"",계정매핑!$A$5:$A$504,0)),"미매핑"))</f>
        <v/>
      </c>
      <c r="X3172" s="9">
        <f>IF($A3172="","",$F3172&amp;"")</f>
        <v/>
      </c>
      <c r="Y3172" s="94">
        <f>IF($A3172="",0,IF(AE3172="직접",IF(AF3172="비귀속",$P3172,0),$P3172*(1-AG3172)*IFERROR(INDEX(계정대체기준!$F$20:$F$49,MATCH($N3172,계정대체기준!$A$20:$A$49,0)),1)))</f>
        <v/>
      </c>
      <c r="Z3172" s="94">
        <f>IF($A3172="",0,IF(AE3172="직접",IF(AF3172="신계약비",$P3172,0),$P3172*(1-AG3172)*IFERROR(INDEX(계정대체기준!$C$20:$C$49,MATCH($N3172,계정대체기준!$A$20:$A$49,0)),0)))</f>
        <v/>
      </c>
      <c r="AA3172" s="94">
        <f>IF($A3172="",0,IF(AE3172="직접",IF(OR(AF3172="유지비",AF3172="손해조사비"),$P3172,0),$P3172*(1-AG3172)*IFERROR(INDEX(계정대체기준!$D$20:$D$49,MATCH($N3172,계정대체기준!$A$20:$A$49,0)),0)))</f>
        <v/>
      </c>
      <c r="AB3172" s="94">
        <f>IF($A3172="",0,IF(AE3172="직접",IF(AF3172="수금비",$P3172,0),$P3172*(1-AG3172)*IFERROR(INDEX(계정대체기준!$E$20:$E$49,MATCH($N3172,계정대체기준!$A$20:$A$49,0)),0)))</f>
        <v/>
      </c>
      <c r="AC3172" s="9">
        <f>IF(AND($A3172&lt;&gt;"",M3172=설정!$C$20,Z3172&gt;0),Z3172+ROW()/1000000000,"")</f>
        <v/>
      </c>
      <c r="AD3172" s="94">
        <f>IF($A3172="",0,$P3172*AG3172)</f>
        <v/>
      </c>
      <c r="AE3172" s="64">
        <f>IF($A3172="","",IFERROR(INDEX(계정매핑!$E$5:$E$504,MATCH($F3172&amp;"",계정매핑!$A$5:$A$504,0))&amp;"","공통비"))</f>
        <v/>
      </c>
      <c r="AF3172" s="64">
        <f>IF($A3172="","",IF(AE3172="직접",IFERROR(INDEX(계정매핑!$F$5:$F$504,MATCH($F3172&amp;"",계정매핑!$A$5:$A$504,0))&amp;"","비귀속"),""))</f>
        <v/>
      </c>
      <c r="AG3172" s="96">
        <f>IF($A3172="",0,IF(AND(AE3172&lt;&gt;"직접",IFERROR(INDEX(계정매핑!$G$5:$G$504,MATCH($F3172&amp;"",계정매핑!$A$5:$A$504,0))&amp;"","")="유지비",COUNTIF(계정대체기준!$A$6:$A$15,$N3172)&gt;0),IFERROR(INDEX(계정대체기준!$E$6:$E$15,MATCH(VALUE($A3172&amp;""),계정대체기준!$D$6:$D$15,0)),0),0))</f>
        <v/>
      </c>
      <c r="AH3172" s="64">
        <f>IF($A3172="","",IF(AD3172=0,"",IF(OR(COUNTIF(계정대체기준!$A$77:$A$86,$N3172)&gt;0,ISNUMBER(MATCH($X3172,계정대체기준!$D$77:$D$86,0)),ISNUMBER(MATCH($F3172,계정대체기준!$D$77:$D$86,0))),"Y","N")))</f>
        <v/>
      </c>
    </row>
    <row r="3173">
      <c r="A3173" s="92" t="n">
        <v>2026</v>
      </c>
      <c r="B3173" s="92" t="n">
        <v>2</v>
      </c>
      <c r="C3173" s="92" t="inlineStr">
        <is>
          <t>5100000451</t>
        </is>
      </c>
      <c r="D3173" s="95" t="n">
        <v>46079</v>
      </c>
      <c r="E3173" s="92" t="inlineStr">
        <is>
          <t>KR</t>
        </is>
      </c>
      <c r="F3173" s="92" t="n">
        <v>62902000</v>
      </c>
      <c r="G3173" s="92" t="n">
        <v>1801</v>
      </c>
      <c r="H3173" s="93" t="n">
        <v>1804000</v>
      </c>
      <c r="I3173" s="92" t="inlineStr">
        <is>
          <t>2월 콜 위탁 수수료(건별)</t>
        </is>
      </c>
      <c r="J3173" s="92" t="inlineStr">
        <is>
          <t>V10016</t>
        </is>
      </c>
      <c r="K3173" s="92" t="inlineStr">
        <is>
          <t>J콜센터</t>
        </is>
      </c>
      <c r="M3173" s="9">
        <f>IF($A3173="","",VALUE($A3173&amp;"")*12+VALUE($B3173&amp;""))</f>
        <v/>
      </c>
      <c r="N3173" s="64">
        <f>IF($A3173="","",IFERROR(INDEX(부서매핑!$C$5:$C$504,MATCH($G3173&amp;"",부서매핑!$A$5:$A$504,0)),"미매핑"))</f>
        <v/>
      </c>
      <c r="O3173" s="9">
        <f>IF($A3173="","",N3173&amp;"|"&amp;$F3173)</f>
        <v/>
      </c>
      <c r="P3173" s="94">
        <f>IF($A3173="",0,$H3173*설정!$C$23)</f>
        <v/>
      </c>
      <c r="Q3173" s="64">
        <f>IF($A3173="","",IF(O3173&lt;&gt;원인분석!$C$9,"",IF(AND(M3173&gt;=원인분석!$C$10,M3173&lt;=원인분석!$C$11),"당기",IF(AND(M3173&gt;=원인분석!$C$12,M3173&lt;=원인분석!$C$13),"비교",""))))</f>
        <v/>
      </c>
      <c r="R3173" s="9">
        <f>IF(Q3173="","",$K3173&amp;"")</f>
        <v/>
      </c>
      <c r="S3173" s="9">
        <f>IF(Q3173="","",IF(MATCH(R3173,$R$5:$R$100000,0)=ROW()-4,ROW(),""))</f>
        <v/>
      </c>
      <c r="T3173" s="9">
        <f>IF(Q3173="당기",ABS(P3173)+ROW()/1000000000,"")</f>
        <v/>
      </c>
      <c r="U3173" s="9">
        <f>IF(Q3173="비교",ABS(P3173)+ROW()/1000000000,"")</f>
        <v/>
      </c>
      <c r="V3173" s="64">
        <f>IF($A3173="","",IF(COUNTIF(변동분석!$E$7:$E$506,O3173)&gt;0,"Y","N"))</f>
        <v/>
      </c>
      <c r="W3173" s="64">
        <f>IF($A3173="","",IFERROR(INDEX(계정매핑!$D$5:$D$504,MATCH($F3173&amp;"",계정매핑!$A$5:$A$504,0)),"미매핑"))</f>
        <v/>
      </c>
      <c r="X3173" s="9">
        <f>IF($A3173="","",$F3173&amp;"")</f>
        <v/>
      </c>
      <c r="Y3173" s="94">
        <f>IF($A3173="",0,IF(AE3173="직접",IF(AF3173="비귀속",$P3173,0),$P3173*(1-AG3173)*IFERROR(INDEX(계정대체기준!$F$20:$F$49,MATCH($N3173,계정대체기준!$A$20:$A$49,0)),1)))</f>
        <v/>
      </c>
      <c r="Z3173" s="94">
        <f>IF($A3173="",0,IF(AE3173="직접",IF(AF3173="신계약비",$P3173,0),$P3173*(1-AG3173)*IFERROR(INDEX(계정대체기준!$C$20:$C$49,MATCH($N3173,계정대체기준!$A$20:$A$49,0)),0)))</f>
        <v/>
      </c>
      <c r="AA3173" s="94">
        <f>IF($A3173="",0,IF(AE3173="직접",IF(OR(AF3173="유지비",AF3173="손해조사비"),$P3173,0),$P3173*(1-AG3173)*IFERROR(INDEX(계정대체기준!$D$20:$D$49,MATCH($N3173,계정대체기준!$A$20:$A$49,0)),0)))</f>
        <v/>
      </c>
      <c r="AB3173" s="94">
        <f>IF($A3173="",0,IF(AE3173="직접",IF(AF3173="수금비",$P3173,0),$P3173*(1-AG3173)*IFERROR(INDEX(계정대체기준!$E$20:$E$49,MATCH($N3173,계정대체기준!$A$20:$A$49,0)),0)))</f>
        <v/>
      </c>
      <c r="AC3173" s="9">
        <f>IF(AND($A3173&lt;&gt;"",M3173=설정!$C$20,Z3173&gt;0),Z3173+ROW()/1000000000,"")</f>
        <v/>
      </c>
      <c r="AD3173" s="94">
        <f>IF($A3173="",0,$P3173*AG3173)</f>
        <v/>
      </c>
      <c r="AE3173" s="64">
        <f>IF($A3173="","",IFERROR(INDEX(계정매핑!$E$5:$E$504,MATCH($F3173&amp;"",계정매핑!$A$5:$A$504,0))&amp;"","공통비"))</f>
        <v/>
      </c>
      <c r="AF3173" s="64">
        <f>IF($A3173="","",IF(AE3173="직접",IFERROR(INDEX(계정매핑!$F$5:$F$504,MATCH($F3173&amp;"",계정매핑!$A$5:$A$504,0))&amp;"","비귀속"),""))</f>
        <v/>
      </c>
      <c r="AG3173" s="96">
        <f>IF($A3173="",0,IF(AND(AE3173&lt;&gt;"직접",IFERROR(INDEX(계정매핑!$G$5:$G$504,MATCH($F3173&amp;"",계정매핑!$A$5:$A$504,0))&amp;"","")="유지비",COUNTIF(계정대체기준!$A$6:$A$15,$N3173)&gt;0),IFERROR(INDEX(계정대체기준!$E$6:$E$15,MATCH(VALUE($A3173&amp;""),계정대체기준!$D$6:$D$15,0)),0),0))</f>
        <v/>
      </c>
      <c r="AH3173" s="64">
        <f>IF($A3173="","",IF(AD3173=0,"",IF(OR(COUNTIF(계정대체기준!$A$77:$A$86,$N3173)&gt;0,ISNUMBER(MATCH($X3173,계정대체기준!$D$77:$D$86,0)),ISNUMBER(MATCH($F3173,계정대체기준!$D$77:$D$86,0))),"Y","N")))</f>
        <v/>
      </c>
    </row>
    <row r="3174">
      <c r="A3174" s="92" t="n">
        <v>2026</v>
      </c>
      <c r="B3174" s="92" t="n">
        <v>2</v>
      </c>
      <c r="C3174" s="92" t="inlineStr">
        <is>
          <t>5100000452</t>
        </is>
      </c>
      <c r="D3174" s="95" t="n">
        <v>46079</v>
      </c>
      <c r="E3174" s="92" t="inlineStr">
        <is>
          <t>KR</t>
        </is>
      </c>
      <c r="F3174" s="92" t="n">
        <v>63501000</v>
      </c>
      <c r="G3174" s="92" t="n">
        <v>1901</v>
      </c>
      <c r="H3174" s="93" t="n">
        <v>285617000</v>
      </c>
      <c r="I3174" s="92" t="inlineStr">
        <is>
          <t>2월 모집수수료 - AA보험대리점</t>
        </is>
      </c>
      <c r="J3174" s="92" t="inlineStr">
        <is>
          <t>V10034</t>
        </is>
      </c>
      <c r="K3174" s="92" t="inlineStr">
        <is>
          <t>AA보험대리점</t>
        </is>
      </c>
      <c r="M3174" s="9">
        <f>IF($A3174="","",VALUE($A3174&amp;"")*12+VALUE($B3174&amp;""))</f>
        <v/>
      </c>
      <c r="N3174" s="64">
        <f>IF($A3174="","",IFERROR(INDEX(부서매핑!$C$5:$C$504,MATCH($G3174&amp;"",부서매핑!$A$5:$A$504,0)),"미매핑"))</f>
        <v/>
      </c>
      <c r="O3174" s="9">
        <f>IF($A3174="","",N3174&amp;"|"&amp;$F3174)</f>
        <v/>
      </c>
      <c r="P3174" s="94">
        <f>IF($A3174="",0,$H3174*설정!$C$23)</f>
        <v/>
      </c>
      <c r="Q3174" s="64">
        <f>IF($A3174="","",IF(O3174&lt;&gt;원인분석!$C$9,"",IF(AND(M3174&gt;=원인분석!$C$10,M3174&lt;=원인분석!$C$11),"당기",IF(AND(M3174&gt;=원인분석!$C$12,M3174&lt;=원인분석!$C$13),"비교",""))))</f>
        <v/>
      </c>
      <c r="R3174" s="9">
        <f>IF(Q3174="","",$K3174&amp;"")</f>
        <v/>
      </c>
      <c r="S3174" s="9">
        <f>IF(Q3174="","",IF(MATCH(R3174,$R$5:$R$100000,0)=ROW()-4,ROW(),""))</f>
        <v/>
      </c>
      <c r="T3174" s="9">
        <f>IF(Q3174="당기",ABS(P3174)+ROW()/1000000000,"")</f>
        <v/>
      </c>
      <c r="U3174" s="9">
        <f>IF(Q3174="비교",ABS(P3174)+ROW()/1000000000,"")</f>
        <v/>
      </c>
      <c r="V3174" s="64">
        <f>IF($A3174="","",IF(COUNTIF(변동분석!$E$7:$E$506,O3174)&gt;0,"Y","N"))</f>
        <v/>
      </c>
      <c r="W3174" s="64">
        <f>IF($A3174="","",IFERROR(INDEX(계정매핑!$D$5:$D$504,MATCH($F3174&amp;"",계정매핑!$A$5:$A$504,0)),"미매핑"))</f>
        <v/>
      </c>
      <c r="X3174" s="9">
        <f>IF($A3174="","",$F3174&amp;"")</f>
        <v/>
      </c>
      <c r="Y3174" s="94">
        <f>IF($A3174="",0,IF(AE3174="직접",IF(AF3174="비귀속",$P3174,0),$P3174*(1-AG3174)*IFERROR(INDEX(계정대체기준!$F$20:$F$49,MATCH($N3174,계정대체기준!$A$20:$A$49,0)),1)))</f>
        <v/>
      </c>
      <c r="Z3174" s="94">
        <f>IF($A3174="",0,IF(AE3174="직접",IF(AF3174="신계약비",$P3174,0),$P3174*(1-AG3174)*IFERROR(INDEX(계정대체기준!$C$20:$C$49,MATCH($N3174,계정대체기준!$A$20:$A$49,0)),0)))</f>
        <v/>
      </c>
      <c r="AA3174" s="94">
        <f>IF($A3174="",0,IF(AE3174="직접",IF(OR(AF3174="유지비",AF3174="손해조사비"),$P3174,0),$P3174*(1-AG3174)*IFERROR(INDEX(계정대체기준!$D$20:$D$49,MATCH($N3174,계정대체기준!$A$20:$A$49,0)),0)))</f>
        <v/>
      </c>
      <c r="AB3174" s="94">
        <f>IF($A3174="",0,IF(AE3174="직접",IF(AF3174="수금비",$P3174,0),$P3174*(1-AG3174)*IFERROR(INDEX(계정대체기준!$E$20:$E$49,MATCH($N3174,계정대체기준!$A$20:$A$49,0)),0)))</f>
        <v/>
      </c>
      <c r="AC3174" s="9">
        <f>IF(AND($A3174&lt;&gt;"",M3174=설정!$C$20,Z3174&gt;0),Z3174+ROW()/1000000000,"")</f>
        <v/>
      </c>
      <c r="AD3174" s="94">
        <f>IF($A3174="",0,$P3174*AG3174)</f>
        <v/>
      </c>
      <c r="AE3174" s="64">
        <f>IF($A3174="","",IFERROR(INDEX(계정매핑!$E$5:$E$504,MATCH($F3174&amp;"",계정매핑!$A$5:$A$504,0))&amp;"","공통비"))</f>
        <v/>
      </c>
      <c r="AF3174" s="64">
        <f>IF($A3174="","",IF(AE3174="직접",IFERROR(INDEX(계정매핑!$F$5:$F$504,MATCH($F3174&amp;"",계정매핑!$A$5:$A$504,0))&amp;"","비귀속"),""))</f>
        <v/>
      </c>
      <c r="AG3174" s="96">
        <f>IF($A3174="",0,IF(AND(AE3174&lt;&gt;"직접",IFERROR(INDEX(계정매핑!$G$5:$G$504,MATCH($F3174&amp;"",계정매핑!$A$5:$A$504,0))&amp;"","")="유지비",COUNTIF(계정대체기준!$A$6:$A$15,$N3174)&gt;0),IFERROR(INDEX(계정대체기준!$E$6:$E$15,MATCH(VALUE($A3174&amp;""),계정대체기준!$D$6:$D$15,0)),0),0))</f>
        <v/>
      </c>
      <c r="AH3174" s="64">
        <f>IF($A3174="","",IF(AD3174=0,"",IF(OR(COUNTIF(계정대체기준!$A$77:$A$86,$N3174)&gt;0,ISNUMBER(MATCH($X3174,계정대체기준!$D$77:$D$86,0)),ISNUMBER(MATCH($F3174,계정대체기준!$D$77:$D$86,0))),"Y","N")))</f>
        <v/>
      </c>
    </row>
    <row r="3175">
      <c r="A3175" s="92" t="n">
        <v>2026</v>
      </c>
      <c r="B3175" s="92" t="n">
        <v>2</v>
      </c>
      <c r="C3175" s="92" t="inlineStr">
        <is>
          <t>5100000453</t>
        </is>
      </c>
      <c r="D3175" s="95" t="n">
        <v>46079</v>
      </c>
      <c r="E3175" s="92" t="inlineStr">
        <is>
          <t>KR</t>
        </is>
      </c>
      <c r="F3175" s="92" t="n">
        <v>63502000</v>
      </c>
      <c r="G3175" s="92" t="n">
        <v>1901</v>
      </c>
      <c r="H3175" s="93" t="n">
        <v>188287000</v>
      </c>
      <c r="I3175" s="92" t="inlineStr">
        <is>
          <t>2월 유지수수료 - CC금융서비스</t>
        </is>
      </c>
      <c r="J3175" s="92" t="inlineStr">
        <is>
          <t>V10029</t>
        </is>
      </c>
      <c r="K3175" s="92" t="inlineStr">
        <is>
          <t>CC금융서비스</t>
        </is>
      </c>
      <c r="M3175" s="9">
        <f>IF($A3175="","",VALUE($A3175&amp;"")*12+VALUE($B3175&amp;""))</f>
        <v/>
      </c>
      <c r="N3175" s="64">
        <f>IF($A3175="","",IFERROR(INDEX(부서매핑!$C$5:$C$504,MATCH($G3175&amp;"",부서매핑!$A$5:$A$504,0)),"미매핑"))</f>
        <v/>
      </c>
      <c r="O3175" s="9">
        <f>IF($A3175="","",N3175&amp;"|"&amp;$F3175)</f>
        <v/>
      </c>
      <c r="P3175" s="94">
        <f>IF($A3175="",0,$H3175*설정!$C$23)</f>
        <v/>
      </c>
      <c r="Q3175" s="64">
        <f>IF($A3175="","",IF(O3175&lt;&gt;원인분석!$C$9,"",IF(AND(M3175&gt;=원인분석!$C$10,M3175&lt;=원인분석!$C$11),"당기",IF(AND(M3175&gt;=원인분석!$C$12,M3175&lt;=원인분석!$C$13),"비교",""))))</f>
        <v/>
      </c>
      <c r="R3175" s="9">
        <f>IF(Q3175="","",$K3175&amp;"")</f>
        <v/>
      </c>
      <c r="S3175" s="9">
        <f>IF(Q3175="","",IF(MATCH(R3175,$R$5:$R$100000,0)=ROW()-4,ROW(),""))</f>
        <v/>
      </c>
      <c r="T3175" s="9">
        <f>IF(Q3175="당기",ABS(P3175)+ROW()/1000000000,"")</f>
        <v/>
      </c>
      <c r="U3175" s="9">
        <f>IF(Q3175="비교",ABS(P3175)+ROW()/1000000000,"")</f>
        <v/>
      </c>
      <c r="V3175" s="64">
        <f>IF($A3175="","",IF(COUNTIF(변동분석!$E$7:$E$506,O3175)&gt;0,"Y","N"))</f>
        <v/>
      </c>
      <c r="W3175" s="64">
        <f>IF($A3175="","",IFERROR(INDEX(계정매핑!$D$5:$D$504,MATCH($F3175&amp;"",계정매핑!$A$5:$A$504,0)),"미매핑"))</f>
        <v/>
      </c>
      <c r="X3175" s="9">
        <f>IF($A3175="","",$F3175&amp;"")</f>
        <v/>
      </c>
      <c r="Y3175" s="94">
        <f>IF($A3175="",0,IF(AE3175="직접",IF(AF3175="비귀속",$P3175,0),$P3175*(1-AG3175)*IFERROR(INDEX(계정대체기준!$F$20:$F$49,MATCH($N3175,계정대체기준!$A$20:$A$49,0)),1)))</f>
        <v/>
      </c>
      <c r="Z3175" s="94">
        <f>IF($A3175="",0,IF(AE3175="직접",IF(AF3175="신계약비",$P3175,0),$P3175*(1-AG3175)*IFERROR(INDEX(계정대체기준!$C$20:$C$49,MATCH($N3175,계정대체기준!$A$20:$A$49,0)),0)))</f>
        <v/>
      </c>
      <c r="AA3175" s="94">
        <f>IF($A3175="",0,IF(AE3175="직접",IF(OR(AF3175="유지비",AF3175="손해조사비"),$P3175,0),$P3175*(1-AG3175)*IFERROR(INDEX(계정대체기준!$D$20:$D$49,MATCH($N3175,계정대체기준!$A$20:$A$49,0)),0)))</f>
        <v/>
      </c>
      <c r="AB3175" s="94">
        <f>IF($A3175="",0,IF(AE3175="직접",IF(AF3175="수금비",$P3175,0),$P3175*(1-AG3175)*IFERROR(INDEX(계정대체기준!$E$20:$E$49,MATCH($N3175,계정대체기준!$A$20:$A$49,0)),0)))</f>
        <v/>
      </c>
      <c r="AC3175" s="9">
        <f>IF(AND($A3175&lt;&gt;"",M3175=설정!$C$20,Z3175&gt;0),Z3175+ROW()/1000000000,"")</f>
        <v/>
      </c>
      <c r="AD3175" s="94">
        <f>IF($A3175="",0,$P3175*AG3175)</f>
        <v/>
      </c>
      <c r="AE3175" s="64">
        <f>IF($A3175="","",IFERROR(INDEX(계정매핑!$E$5:$E$504,MATCH($F3175&amp;"",계정매핑!$A$5:$A$504,0))&amp;"","공통비"))</f>
        <v/>
      </c>
      <c r="AF3175" s="64">
        <f>IF($A3175="","",IF(AE3175="직접",IFERROR(INDEX(계정매핑!$F$5:$F$504,MATCH($F3175&amp;"",계정매핑!$A$5:$A$504,0))&amp;"","비귀속"),""))</f>
        <v/>
      </c>
      <c r="AG3175" s="96">
        <f>IF($A3175="",0,IF(AND(AE3175&lt;&gt;"직접",IFERROR(INDEX(계정매핑!$G$5:$G$504,MATCH($F3175&amp;"",계정매핑!$A$5:$A$504,0))&amp;"","")="유지비",COUNTIF(계정대체기준!$A$6:$A$15,$N3175)&gt;0),IFERROR(INDEX(계정대체기준!$E$6:$E$15,MATCH(VALUE($A3175&amp;""),계정대체기준!$D$6:$D$15,0)),0),0))</f>
        <v/>
      </c>
      <c r="AH3175" s="64">
        <f>IF($A3175="","",IF(AD3175=0,"",IF(OR(COUNTIF(계정대체기준!$A$77:$A$86,$N3175)&gt;0,ISNUMBER(MATCH($X3175,계정대체기준!$D$77:$D$86,0)),ISNUMBER(MATCH($F3175,계정대체기준!$D$77:$D$86,0))),"Y","N")))</f>
        <v/>
      </c>
    </row>
    <row r="3176">
      <c r="A3176" s="92" t="n">
        <v>2026</v>
      </c>
      <c r="B3176" s="92" t="n">
        <v>2</v>
      </c>
      <c r="C3176" s="92" t="inlineStr">
        <is>
          <t>5100000454</t>
        </is>
      </c>
      <c r="D3176" s="95" t="n">
        <v>46080</v>
      </c>
      <c r="E3176" s="92" t="inlineStr">
        <is>
          <t>KR</t>
        </is>
      </c>
      <c r="F3176" s="92" t="n">
        <v>62101000</v>
      </c>
      <c r="G3176" s="92" t="n">
        <v>1301</v>
      </c>
      <c r="H3176" s="93" t="n">
        <v>235000</v>
      </c>
      <c r="I3176" s="92" t="inlineStr">
        <is>
          <t>2월 국내출장 - L여행사</t>
        </is>
      </c>
      <c r="J3176" s="92" t="inlineStr">
        <is>
          <t>V10018</t>
        </is>
      </c>
      <c r="K3176" s="92" t="inlineStr">
        <is>
          <t>L여행사</t>
        </is>
      </c>
      <c r="M3176" s="9">
        <f>IF($A3176="","",VALUE($A3176&amp;"")*12+VALUE($B3176&amp;""))</f>
        <v/>
      </c>
      <c r="N3176" s="64">
        <f>IF($A3176="","",IFERROR(INDEX(부서매핑!$C$5:$C$504,MATCH($G3176&amp;"",부서매핑!$A$5:$A$504,0)),"미매핑"))</f>
        <v/>
      </c>
      <c r="O3176" s="9">
        <f>IF($A3176="","",N3176&amp;"|"&amp;$F3176)</f>
        <v/>
      </c>
      <c r="P3176" s="94">
        <f>IF($A3176="",0,$H3176*설정!$C$23)</f>
        <v/>
      </c>
      <c r="Q3176" s="64">
        <f>IF($A3176="","",IF(O3176&lt;&gt;원인분석!$C$9,"",IF(AND(M3176&gt;=원인분석!$C$10,M3176&lt;=원인분석!$C$11),"당기",IF(AND(M3176&gt;=원인분석!$C$12,M3176&lt;=원인분석!$C$13),"비교",""))))</f>
        <v/>
      </c>
      <c r="R3176" s="9">
        <f>IF(Q3176="","",$K3176&amp;"")</f>
        <v/>
      </c>
      <c r="S3176" s="9">
        <f>IF(Q3176="","",IF(MATCH(R3176,$R$5:$R$100000,0)=ROW()-4,ROW(),""))</f>
        <v/>
      </c>
      <c r="T3176" s="9">
        <f>IF(Q3176="당기",ABS(P3176)+ROW()/1000000000,"")</f>
        <v/>
      </c>
      <c r="U3176" s="9">
        <f>IF(Q3176="비교",ABS(P3176)+ROW()/1000000000,"")</f>
        <v/>
      </c>
      <c r="V3176" s="64">
        <f>IF($A3176="","",IF(COUNTIF(변동분석!$E$7:$E$506,O3176)&gt;0,"Y","N"))</f>
        <v/>
      </c>
      <c r="W3176" s="64">
        <f>IF($A3176="","",IFERROR(INDEX(계정매핑!$D$5:$D$504,MATCH($F3176&amp;"",계정매핑!$A$5:$A$504,0)),"미매핑"))</f>
        <v/>
      </c>
      <c r="X3176" s="9">
        <f>IF($A3176="","",$F3176&amp;"")</f>
        <v/>
      </c>
      <c r="Y3176" s="94">
        <f>IF($A3176="",0,IF(AE3176="직접",IF(AF3176="비귀속",$P3176,0),$P3176*(1-AG3176)*IFERROR(INDEX(계정대체기준!$F$20:$F$49,MATCH($N3176,계정대체기준!$A$20:$A$49,0)),1)))</f>
        <v/>
      </c>
      <c r="Z3176" s="94">
        <f>IF($A3176="",0,IF(AE3176="직접",IF(AF3176="신계약비",$P3176,0),$P3176*(1-AG3176)*IFERROR(INDEX(계정대체기준!$C$20:$C$49,MATCH($N3176,계정대체기준!$A$20:$A$49,0)),0)))</f>
        <v/>
      </c>
      <c r="AA3176" s="94">
        <f>IF($A3176="",0,IF(AE3176="직접",IF(OR(AF3176="유지비",AF3176="손해조사비"),$P3176,0),$P3176*(1-AG3176)*IFERROR(INDEX(계정대체기준!$D$20:$D$49,MATCH($N3176,계정대체기준!$A$20:$A$49,0)),0)))</f>
        <v/>
      </c>
      <c r="AB3176" s="94">
        <f>IF($A3176="",0,IF(AE3176="직접",IF(AF3176="수금비",$P3176,0),$P3176*(1-AG3176)*IFERROR(INDEX(계정대체기준!$E$20:$E$49,MATCH($N3176,계정대체기준!$A$20:$A$49,0)),0)))</f>
        <v/>
      </c>
      <c r="AC3176" s="9">
        <f>IF(AND($A3176&lt;&gt;"",M3176=설정!$C$20,Z3176&gt;0),Z3176+ROW()/1000000000,"")</f>
        <v/>
      </c>
      <c r="AD3176" s="94">
        <f>IF($A3176="",0,$P3176*AG3176)</f>
        <v/>
      </c>
      <c r="AE3176" s="64">
        <f>IF($A3176="","",IFERROR(INDEX(계정매핑!$E$5:$E$504,MATCH($F3176&amp;"",계정매핑!$A$5:$A$504,0))&amp;"","공통비"))</f>
        <v/>
      </c>
      <c r="AF3176" s="64">
        <f>IF($A3176="","",IF(AE3176="직접",IFERROR(INDEX(계정매핑!$F$5:$F$504,MATCH($F3176&amp;"",계정매핑!$A$5:$A$504,0))&amp;"","비귀속"),""))</f>
        <v/>
      </c>
      <c r="AG3176" s="96">
        <f>IF($A3176="",0,IF(AND(AE3176&lt;&gt;"직접",IFERROR(INDEX(계정매핑!$G$5:$G$504,MATCH($F3176&amp;"",계정매핑!$A$5:$A$504,0))&amp;"","")="유지비",COUNTIF(계정대체기준!$A$6:$A$15,$N3176)&gt;0),IFERROR(INDEX(계정대체기준!$E$6:$E$15,MATCH(VALUE($A3176&amp;""),계정대체기준!$D$6:$D$15,0)),0),0))</f>
        <v/>
      </c>
      <c r="AH3176" s="64">
        <f>IF($A3176="","",IF(AD3176=0,"",IF(OR(COUNTIF(계정대체기준!$A$77:$A$86,$N3176)&gt;0,ISNUMBER(MATCH($X3176,계정대체기준!$D$77:$D$86,0)),ISNUMBER(MATCH($F3176,계정대체기준!$D$77:$D$86,0))),"Y","N")))</f>
        <v/>
      </c>
    </row>
    <row r="3177">
      <c r="A3177" s="92" t="n">
        <v>2026</v>
      </c>
      <c r="B3177" s="92" t="n">
        <v>2</v>
      </c>
      <c r="C3177" s="92" t="inlineStr">
        <is>
          <t>5100000455</t>
        </is>
      </c>
      <c r="D3177" s="95" t="n">
        <v>46080</v>
      </c>
      <c r="E3177" s="92" t="inlineStr">
        <is>
          <t>KR</t>
        </is>
      </c>
      <c r="F3177" s="92" t="n">
        <v>62301000</v>
      </c>
      <c r="G3177" s="92" t="n">
        <v>1601</v>
      </c>
      <c r="H3177" s="93" t="n">
        <v>207000</v>
      </c>
      <c r="I3177" s="92" t="inlineStr">
        <is>
          <t>2월 소모품 구입 - Q오피스</t>
        </is>
      </c>
      <c r="J3177" s="92" t="inlineStr">
        <is>
          <t>V10003</t>
        </is>
      </c>
      <c r="K3177" s="92" t="inlineStr">
        <is>
          <t>Q오피스</t>
        </is>
      </c>
      <c r="M3177" s="9">
        <f>IF($A3177="","",VALUE($A3177&amp;"")*12+VALUE($B3177&amp;""))</f>
        <v/>
      </c>
      <c r="N3177" s="64">
        <f>IF($A3177="","",IFERROR(INDEX(부서매핑!$C$5:$C$504,MATCH($G3177&amp;"",부서매핑!$A$5:$A$504,0)),"미매핑"))</f>
        <v/>
      </c>
      <c r="O3177" s="9">
        <f>IF($A3177="","",N3177&amp;"|"&amp;$F3177)</f>
        <v/>
      </c>
      <c r="P3177" s="94">
        <f>IF($A3177="",0,$H3177*설정!$C$23)</f>
        <v/>
      </c>
      <c r="Q3177" s="64">
        <f>IF($A3177="","",IF(O3177&lt;&gt;원인분석!$C$9,"",IF(AND(M3177&gt;=원인분석!$C$10,M3177&lt;=원인분석!$C$11),"당기",IF(AND(M3177&gt;=원인분석!$C$12,M3177&lt;=원인분석!$C$13),"비교",""))))</f>
        <v/>
      </c>
      <c r="R3177" s="9">
        <f>IF(Q3177="","",$K3177&amp;"")</f>
        <v/>
      </c>
      <c r="S3177" s="9">
        <f>IF(Q3177="","",IF(MATCH(R3177,$R$5:$R$100000,0)=ROW()-4,ROW(),""))</f>
        <v/>
      </c>
      <c r="T3177" s="9">
        <f>IF(Q3177="당기",ABS(P3177)+ROW()/1000000000,"")</f>
        <v/>
      </c>
      <c r="U3177" s="9">
        <f>IF(Q3177="비교",ABS(P3177)+ROW()/1000000000,"")</f>
        <v/>
      </c>
      <c r="V3177" s="64">
        <f>IF($A3177="","",IF(COUNTIF(변동분석!$E$7:$E$506,O3177)&gt;0,"Y","N"))</f>
        <v/>
      </c>
      <c r="W3177" s="64">
        <f>IF($A3177="","",IFERROR(INDEX(계정매핑!$D$5:$D$504,MATCH($F3177&amp;"",계정매핑!$A$5:$A$504,0)),"미매핑"))</f>
        <v/>
      </c>
      <c r="X3177" s="9">
        <f>IF($A3177="","",$F3177&amp;"")</f>
        <v/>
      </c>
      <c r="Y3177" s="94">
        <f>IF($A3177="",0,IF(AE3177="직접",IF(AF3177="비귀속",$P3177,0),$P3177*(1-AG3177)*IFERROR(INDEX(계정대체기준!$F$20:$F$49,MATCH($N3177,계정대체기준!$A$20:$A$49,0)),1)))</f>
        <v/>
      </c>
      <c r="Z3177" s="94">
        <f>IF($A3177="",0,IF(AE3177="직접",IF(AF3177="신계약비",$P3177,0),$P3177*(1-AG3177)*IFERROR(INDEX(계정대체기준!$C$20:$C$49,MATCH($N3177,계정대체기준!$A$20:$A$49,0)),0)))</f>
        <v/>
      </c>
      <c r="AA3177" s="94">
        <f>IF($A3177="",0,IF(AE3177="직접",IF(OR(AF3177="유지비",AF3177="손해조사비"),$P3177,0),$P3177*(1-AG3177)*IFERROR(INDEX(계정대체기준!$D$20:$D$49,MATCH($N3177,계정대체기준!$A$20:$A$49,0)),0)))</f>
        <v/>
      </c>
      <c r="AB3177" s="94">
        <f>IF($A3177="",0,IF(AE3177="직접",IF(AF3177="수금비",$P3177,0),$P3177*(1-AG3177)*IFERROR(INDEX(계정대체기준!$E$20:$E$49,MATCH($N3177,계정대체기준!$A$20:$A$49,0)),0)))</f>
        <v/>
      </c>
      <c r="AC3177" s="9">
        <f>IF(AND($A3177&lt;&gt;"",M3177=설정!$C$20,Z3177&gt;0),Z3177+ROW()/1000000000,"")</f>
        <v/>
      </c>
      <c r="AD3177" s="94">
        <f>IF($A3177="",0,$P3177*AG3177)</f>
        <v/>
      </c>
      <c r="AE3177" s="64">
        <f>IF($A3177="","",IFERROR(INDEX(계정매핑!$E$5:$E$504,MATCH($F3177&amp;"",계정매핑!$A$5:$A$504,0))&amp;"","공통비"))</f>
        <v/>
      </c>
      <c r="AF3177" s="64">
        <f>IF($A3177="","",IF(AE3177="직접",IFERROR(INDEX(계정매핑!$F$5:$F$504,MATCH($F3177&amp;"",계정매핑!$A$5:$A$504,0))&amp;"","비귀속"),""))</f>
        <v/>
      </c>
      <c r="AG3177" s="96">
        <f>IF($A3177="",0,IF(AND(AE3177&lt;&gt;"직접",IFERROR(INDEX(계정매핑!$G$5:$G$504,MATCH($F3177&amp;"",계정매핑!$A$5:$A$504,0))&amp;"","")="유지비",COUNTIF(계정대체기준!$A$6:$A$15,$N3177)&gt;0),IFERROR(INDEX(계정대체기준!$E$6:$E$15,MATCH(VALUE($A3177&amp;""),계정대체기준!$D$6:$D$15,0)),0),0))</f>
        <v/>
      </c>
      <c r="AH3177" s="64">
        <f>IF($A3177="","",IF(AD3177=0,"",IF(OR(COUNTIF(계정대체기준!$A$77:$A$86,$N3177)&gt;0,ISNUMBER(MATCH($X3177,계정대체기준!$D$77:$D$86,0)),ISNUMBER(MATCH($F3177,계정대체기준!$D$77:$D$86,0))),"Y","N")))</f>
        <v/>
      </c>
    </row>
    <row r="3178">
      <c r="A3178" s="92" t="n">
        <v>2026</v>
      </c>
      <c r="B3178" s="92" t="n">
        <v>2</v>
      </c>
      <c r="C3178" s="92" t="inlineStr">
        <is>
          <t>5100000456</t>
        </is>
      </c>
      <c r="D3178" s="95" t="n">
        <v>46080</v>
      </c>
      <c r="E3178" s="92" t="inlineStr">
        <is>
          <t>KR</t>
        </is>
      </c>
      <c r="F3178" s="92" t="n">
        <v>62401000</v>
      </c>
      <c r="G3178" s="92" t="n">
        <v>1801</v>
      </c>
      <c r="H3178" s="93" t="n">
        <v>2248000</v>
      </c>
      <c r="I3178" s="92" t="inlineStr">
        <is>
          <t>2월 인쇄물 제작 - S출판</t>
        </is>
      </c>
      <c r="J3178" s="92" t="inlineStr">
        <is>
          <t>V10015</t>
        </is>
      </c>
      <c r="K3178" s="92" t="inlineStr">
        <is>
          <t>S출판</t>
        </is>
      </c>
      <c r="M3178" s="9">
        <f>IF($A3178="","",VALUE($A3178&amp;"")*12+VALUE($B3178&amp;""))</f>
        <v/>
      </c>
      <c r="N3178" s="64">
        <f>IF($A3178="","",IFERROR(INDEX(부서매핑!$C$5:$C$504,MATCH($G3178&amp;"",부서매핑!$A$5:$A$504,0)),"미매핑"))</f>
        <v/>
      </c>
      <c r="O3178" s="9">
        <f>IF($A3178="","",N3178&amp;"|"&amp;$F3178)</f>
        <v/>
      </c>
      <c r="P3178" s="94">
        <f>IF($A3178="",0,$H3178*설정!$C$23)</f>
        <v/>
      </c>
      <c r="Q3178" s="64">
        <f>IF($A3178="","",IF(O3178&lt;&gt;원인분석!$C$9,"",IF(AND(M3178&gt;=원인분석!$C$10,M3178&lt;=원인분석!$C$11),"당기",IF(AND(M3178&gt;=원인분석!$C$12,M3178&lt;=원인분석!$C$13),"비교",""))))</f>
        <v/>
      </c>
      <c r="R3178" s="9">
        <f>IF(Q3178="","",$K3178&amp;"")</f>
        <v/>
      </c>
      <c r="S3178" s="9">
        <f>IF(Q3178="","",IF(MATCH(R3178,$R$5:$R$100000,0)=ROW()-4,ROW(),""))</f>
        <v/>
      </c>
      <c r="T3178" s="9">
        <f>IF(Q3178="당기",ABS(P3178)+ROW()/1000000000,"")</f>
        <v/>
      </c>
      <c r="U3178" s="9">
        <f>IF(Q3178="비교",ABS(P3178)+ROW()/1000000000,"")</f>
        <v/>
      </c>
      <c r="V3178" s="64">
        <f>IF($A3178="","",IF(COUNTIF(변동분석!$E$7:$E$506,O3178)&gt;0,"Y","N"))</f>
        <v/>
      </c>
      <c r="W3178" s="64">
        <f>IF($A3178="","",IFERROR(INDEX(계정매핑!$D$5:$D$504,MATCH($F3178&amp;"",계정매핑!$A$5:$A$504,0)),"미매핑"))</f>
        <v/>
      </c>
      <c r="X3178" s="9">
        <f>IF($A3178="","",$F3178&amp;"")</f>
        <v/>
      </c>
      <c r="Y3178" s="94">
        <f>IF($A3178="",0,IF(AE3178="직접",IF(AF3178="비귀속",$P3178,0),$P3178*(1-AG3178)*IFERROR(INDEX(계정대체기준!$F$20:$F$49,MATCH($N3178,계정대체기준!$A$20:$A$49,0)),1)))</f>
        <v/>
      </c>
      <c r="Z3178" s="94">
        <f>IF($A3178="",0,IF(AE3178="직접",IF(AF3178="신계약비",$P3178,0),$P3178*(1-AG3178)*IFERROR(INDEX(계정대체기준!$C$20:$C$49,MATCH($N3178,계정대체기준!$A$20:$A$49,0)),0)))</f>
        <v/>
      </c>
      <c r="AA3178" s="94">
        <f>IF($A3178="",0,IF(AE3178="직접",IF(OR(AF3178="유지비",AF3178="손해조사비"),$P3178,0),$P3178*(1-AG3178)*IFERROR(INDEX(계정대체기준!$D$20:$D$49,MATCH($N3178,계정대체기준!$A$20:$A$49,0)),0)))</f>
        <v/>
      </c>
      <c r="AB3178" s="94">
        <f>IF($A3178="",0,IF(AE3178="직접",IF(AF3178="수금비",$P3178,0),$P3178*(1-AG3178)*IFERROR(INDEX(계정대체기준!$E$20:$E$49,MATCH($N3178,계정대체기준!$A$20:$A$49,0)),0)))</f>
        <v/>
      </c>
      <c r="AC3178" s="9">
        <f>IF(AND($A3178&lt;&gt;"",M3178=설정!$C$20,Z3178&gt;0),Z3178+ROW()/1000000000,"")</f>
        <v/>
      </c>
      <c r="AD3178" s="94">
        <f>IF($A3178="",0,$P3178*AG3178)</f>
        <v/>
      </c>
      <c r="AE3178" s="64">
        <f>IF($A3178="","",IFERROR(INDEX(계정매핑!$E$5:$E$504,MATCH($F3178&amp;"",계정매핑!$A$5:$A$504,0))&amp;"","공통비"))</f>
        <v/>
      </c>
      <c r="AF3178" s="64">
        <f>IF($A3178="","",IF(AE3178="직접",IFERROR(INDEX(계정매핑!$F$5:$F$504,MATCH($F3178&amp;"",계정매핑!$A$5:$A$504,0))&amp;"","비귀속"),""))</f>
        <v/>
      </c>
      <c r="AG3178" s="96">
        <f>IF($A3178="",0,IF(AND(AE3178&lt;&gt;"직접",IFERROR(INDEX(계정매핑!$G$5:$G$504,MATCH($F3178&amp;"",계정매핑!$A$5:$A$504,0))&amp;"","")="유지비",COUNTIF(계정대체기준!$A$6:$A$15,$N3178)&gt;0),IFERROR(INDEX(계정대체기준!$E$6:$E$15,MATCH(VALUE($A3178&amp;""),계정대체기준!$D$6:$D$15,0)),0),0))</f>
        <v/>
      </c>
      <c r="AH3178" s="64">
        <f>IF($A3178="","",IF(AD3178=0,"",IF(OR(COUNTIF(계정대체기준!$A$77:$A$86,$N3178)&gt;0,ISNUMBER(MATCH($X3178,계정대체기준!$D$77:$D$86,0)),ISNUMBER(MATCH($F3178,계정대체기준!$D$77:$D$86,0))),"Y","N")))</f>
        <v/>
      </c>
    </row>
    <row r="3179">
      <c r="A3179" s="92" t="n">
        <v>2026</v>
      </c>
      <c r="B3179" s="92" t="n">
        <v>2</v>
      </c>
      <c r="C3179" s="92" t="inlineStr">
        <is>
          <t>5100000457</t>
        </is>
      </c>
      <c r="D3179" s="95" t="n">
        <v>46080</v>
      </c>
      <c r="E3179" s="92" t="inlineStr">
        <is>
          <t>KR</t>
        </is>
      </c>
      <c r="F3179" s="92" t="n">
        <v>62902000</v>
      </c>
      <c r="G3179" s="92" t="n">
        <v>1401</v>
      </c>
      <c r="H3179" s="93" t="n">
        <v>1417000</v>
      </c>
      <c r="I3179" s="92" t="inlineStr">
        <is>
          <t>2월 업무 위탁 수수료 - X서비스</t>
        </is>
      </c>
      <c r="J3179" s="92" t="inlineStr">
        <is>
          <t>V10020</t>
        </is>
      </c>
      <c r="K3179" s="92" t="inlineStr">
        <is>
          <t>X서비스</t>
        </is>
      </c>
      <c r="M3179" s="9">
        <f>IF($A3179="","",VALUE($A3179&amp;"")*12+VALUE($B3179&amp;""))</f>
        <v/>
      </c>
      <c r="N3179" s="64">
        <f>IF($A3179="","",IFERROR(INDEX(부서매핑!$C$5:$C$504,MATCH($G3179&amp;"",부서매핑!$A$5:$A$504,0)),"미매핑"))</f>
        <v/>
      </c>
      <c r="O3179" s="9">
        <f>IF($A3179="","",N3179&amp;"|"&amp;$F3179)</f>
        <v/>
      </c>
      <c r="P3179" s="94">
        <f>IF($A3179="",0,$H3179*설정!$C$23)</f>
        <v/>
      </c>
      <c r="Q3179" s="64">
        <f>IF($A3179="","",IF(O3179&lt;&gt;원인분석!$C$9,"",IF(AND(M3179&gt;=원인분석!$C$10,M3179&lt;=원인분석!$C$11),"당기",IF(AND(M3179&gt;=원인분석!$C$12,M3179&lt;=원인분석!$C$13),"비교",""))))</f>
        <v/>
      </c>
      <c r="R3179" s="9">
        <f>IF(Q3179="","",$K3179&amp;"")</f>
        <v/>
      </c>
      <c r="S3179" s="9">
        <f>IF(Q3179="","",IF(MATCH(R3179,$R$5:$R$100000,0)=ROW()-4,ROW(),""))</f>
        <v/>
      </c>
      <c r="T3179" s="9">
        <f>IF(Q3179="당기",ABS(P3179)+ROW()/1000000000,"")</f>
        <v/>
      </c>
      <c r="U3179" s="9">
        <f>IF(Q3179="비교",ABS(P3179)+ROW()/1000000000,"")</f>
        <v/>
      </c>
      <c r="V3179" s="64">
        <f>IF($A3179="","",IF(COUNTIF(변동분석!$E$7:$E$506,O3179)&gt;0,"Y","N"))</f>
        <v/>
      </c>
      <c r="W3179" s="64">
        <f>IF($A3179="","",IFERROR(INDEX(계정매핑!$D$5:$D$504,MATCH($F3179&amp;"",계정매핑!$A$5:$A$504,0)),"미매핑"))</f>
        <v/>
      </c>
      <c r="X3179" s="9">
        <f>IF($A3179="","",$F3179&amp;"")</f>
        <v/>
      </c>
      <c r="Y3179" s="94">
        <f>IF($A3179="",0,IF(AE3179="직접",IF(AF3179="비귀속",$P3179,0),$P3179*(1-AG3179)*IFERROR(INDEX(계정대체기준!$F$20:$F$49,MATCH($N3179,계정대체기준!$A$20:$A$49,0)),1)))</f>
        <v/>
      </c>
      <c r="Z3179" s="94">
        <f>IF($A3179="",0,IF(AE3179="직접",IF(AF3179="신계약비",$P3179,0),$P3179*(1-AG3179)*IFERROR(INDEX(계정대체기준!$C$20:$C$49,MATCH($N3179,계정대체기준!$A$20:$A$49,0)),0)))</f>
        <v/>
      </c>
      <c r="AA3179" s="94">
        <f>IF($A3179="",0,IF(AE3179="직접",IF(OR(AF3179="유지비",AF3179="손해조사비"),$P3179,0),$P3179*(1-AG3179)*IFERROR(INDEX(계정대체기준!$D$20:$D$49,MATCH($N3179,계정대체기준!$A$20:$A$49,0)),0)))</f>
        <v/>
      </c>
      <c r="AB3179" s="94">
        <f>IF($A3179="",0,IF(AE3179="직접",IF(AF3179="수금비",$P3179,0),$P3179*(1-AG3179)*IFERROR(INDEX(계정대체기준!$E$20:$E$49,MATCH($N3179,계정대체기준!$A$20:$A$49,0)),0)))</f>
        <v/>
      </c>
      <c r="AC3179" s="9">
        <f>IF(AND($A3179&lt;&gt;"",M3179=설정!$C$20,Z3179&gt;0),Z3179+ROW()/1000000000,"")</f>
        <v/>
      </c>
      <c r="AD3179" s="94">
        <f>IF($A3179="",0,$P3179*AG3179)</f>
        <v/>
      </c>
      <c r="AE3179" s="64">
        <f>IF($A3179="","",IFERROR(INDEX(계정매핑!$E$5:$E$504,MATCH($F3179&amp;"",계정매핑!$A$5:$A$504,0))&amp;"","공통비"))</f>
        <v/>
      </c>
      <c r="AF3179" s="64">
        <f>IF($A3179="","",IF(AE3179="직접",IFERROR(INDEX(계정매핑!$F$5:$F$504,MATCH($F3179&amp;"",계정매핑!$A$5:$A$504,0))&amp;"","비귀속"),""))</f>
        <v/>
      </c>
      <c r="AG3179" s="96">
        <f>IF($A3179="",0,IF(AND(AE3179&lt;&gt;"직접",IFERROR(INDEX(계정매핑!$G$5:$G$504,MATCH($F3179&amp;"",계정매핑!$A$5:$A$504,0))&amp;"","")="유지비",COUNTIF(계정대체기준!$A$6:$A$15,$N3179)&gt;0),IFERROR(INDEX(계정대체기준!$E$6:$E$15,MATCH(VALUE($A3179&amp;""),계정대체기준!$D$6:$D$15,0)),0),0))</f>
        <v/>
      </c>
      <c r="AH3179" s="64">
        <f>IF($A3179="","",IF(AD3179=0,"",IF(OR(COUNTIF(계정대체기준!$A$77:$A$86,$N3179)&gt;0,ISNUMBER(MATCH($X3179,계정대체기준!$D$77:$D$86,0)),ISNUMBER(MATCH($F3179,계정대체기준!$D$77:$D$86,0))),"Y","N")))</f>
        <v/>
      </c>
    </row>
    <row r="3180">
      <c r="A3180" s="92" t="n">
        <v>2026</v>
      </c>
      <c r="B3180" s="92" t="n">
        <v>2</v>
      </c>
      <c r="C3180" s="92" t="inlineStr">
        <is>
          <t>5100000458</t>
        </is>
      </c>
      <c r="D3180" s="95" t="n">
        <v>46080</v>
      </c>
      <c r="E3180" s="92" t="inlineStr">
        <is>
          <t>KR</t>
        </is>
      </c>
      <c r="F3180" s="92" t="n">
        <v>62902000</v>
      </c>
      <c r="G3180" s="92" t="n">
        <v>1801</v>
      </c>
      <c r="H3180" s="93" t="n">
        <v>1798000</v>
      </c>
      <c r="I3180" s="92" t="inlineStr">
        <is>
          <t>2월 콜 위탁 수수료(건별)</t>
        </is>
      </c>
      <c r="J3180" s="92" t="inlineStr">
        <is>
          <t>V10016</t>
        </is>
      </c>
      <c r="K3180" s="92" t="inlineStr">
        <is>
          <t>J콜센터</t>
        </is>
      </c>
      <c r="M3180" s="9">
        <f>IF($A3180="","",VALUE($A3180&amp;"")*12+VALUE($B3180&amp;""))</f>
        <v/>
      </c>
      <c r="N3180" s="64">
        <f>IF($A3180="","",IFERROR(INDEX(부서매핑!$C$5:$C$504,MATCH($G3180&amp;"",부서매핑!$A$5:$A$504,0)),"미매핑"))</f>
        <v/>
      </c>
      <c r="O3180" s="9">
        <f>IF($A3180="","",N3180&amp;"|"&amp;$F3180)</f>
        <v/>
      </c>
      <c r="P3180" s="94">
        <f>IF($A3180="",0,$H3180*설정!$C$23)</f>
        <v/>
      </c>
      <c r="Q3180" s="64">
        <f>IF($A3180="","",IF(O3180&lt;&gt;원인분석!$C$9,"",IF(AND(M3180&gt;=원인분석!$C$10,M3180&lt;=원인분석!$C$11),"당기",IF(AND(M3180&gt;=원인분석!$C$12,M3180&lt;=원인분석!$C$13),"비교",""))))</f>
        <v/>
      </c>
      <c r="R3180" s="9">
        <f>IF(Q3180="","",$K3180&amp;"")</f>
        <v/>
      </c>
      <c r="S3180" s="9">
        <f>IF(Q3180="","",IF(MATCH(R3180,$R$5:$R$100000,0)=ROW()-4,ROW(),""))</f>
        <v/>
      </c>
      <c r="T3180" s="9">
        <f>IF(Q3180="당기",ABS(P3180)+ROW()/1000000000,"")</f>
        <v/>
      </c>
      <c r="U3180" s="9">
        <f>IF(Q3180="비교",ABS(P3180)+ROW()/1000000000,"")</f>
        <v/>
      </c>
      <c r="V3180" s="64">
        <f>IF($A3180="","",IF(COUNTIF(변동분석!$E$7:$E$506,O3180)&gt;0,"Y","N"))</f>
        <v/>
      </c>
      <c r="W3180" s="64">
        <f>IF($A3180="","",IFERROR(INDEX(계정매핑!$D$5:$D$504,MATCH($F3180&amp;"",계정매핑!$A$5:$A$504,0)),"미매핑"))</f>
        <v/>
      </c>
      <c r="X3180" s="9">
        <f>IF($A3180="","",$F3180&amp;"")</f>
        <v/>
      </c>
      <c r="Y3180" s="94">
        <f>IF($A3180="",0,IF(AE3180="직접",IF(AF3180="비귀속",$P3180,0),$P3180*(1-AG3180)*IFERROR(INDEX(계정대체기준!$F$20:$F$49,MATCH($N3180,계정대체기준!$A$20:$A$49,0)),1)))</f>
        <v/>
      </c>
      <c r="Z3180" s="94">
        <f>IF($A3180="",0,IF(AE3180="직접",IF(AF3180="신계약비",$P3180,0),$P3180*(1-AG3180)*IFERROR(INDEX(계정대체기준!$C$20:$C$49,MATCH($N3180,계정대체기준!$A$20:$A$49,0)),0)))</f>
        <v/>
      </c>
      <c r="AA3180" s="94">
        <f>IF($A3180="",0,IF(AE3180="직접",IF(OR(AF3180="유지비",AF3180="손해조사비"),$P3180,0),$P3180*(1-AG3180)*IFERROR(INDEX(계정대체기준!$D$20:$D$49,MATCH($N3180,계정대체기준!$A$20:$A$49,0)),0)))</f>
        <v/>
      </c>
      <c r="AB3180" s="94">
        <f>IF($A3180="",0,IF(AE3180="직접",IF(AF3180="수금비",$P3180,0),$P3180*(1-AG3180)*IFERROR(INDEX(계정대체기준!$E$20:$E$49,MATCH($N3180,계정대체기준!$A$20:$A$49,0)),0)))</f>
        <v/>
      </c>
      <c r="AC3180" s="9">
        <f>IF(AND($A3180&lt;&gt;"",M3180=설정!$C$20,Z3180&gt;0),Z3180+ROW()/1000000000,"")</f>
        <v/>
      </c>
      <c r="AD3180" s="94">
        <f>IF($A3180="",0,$P3180*AG3180)</f>
        <v/>
      </c>
      <c r="AE3180" s="64">
        <f>IF($A3180="","",IFERROR(INDEX(계정매핑!$E$5:$E$504,MATCH($F3180&amp;"",계정매핑!$A$5:$A$504,0))&amp;"","공통비"))</f>
        <v/>
      </c>
      <c r="AF3180" s="64">
        <f>IF($A3180="","",IF(AE3180="직접",IFERROR(INDEX(계정매핑!$F$5:$F$504,MATCH($F3180&amp;"",계정매핑!$A$5:$A$504,0))&amp;"","비귀속"),""))</f>
        <v/>
      </c>
      <c r="AG3180" s="96">
        <f>IF($A3180="",0,IF(AND(AE3180&lt;&gt;"직접",IFERROR(INDEX(계정매핑!$G$5:$G$504,MATCH($F3180&amp;"",계정매핑!$A$5:$A$504,0))&amp;"","")="유지비",COUNTIF(계정대체기준!$A$6:$A$15,$N3180)&gt;0),IFERROR(INDEX(계정대체기준!$E$6:$E$15,MATCH(VALUE($A3180&amp;""),계정대체기준!$D$6:$D$15,0)),0),0))</f>
        <v/>
      </c>
      <c r="AH3180" s="64">
        <f>IF($A3180="","",IF(AD3180=0,"",IF(OR(COUNTIF(계정대체기준!$A$77:$A$86,$N3180)&gt;0,ISNUMBER(MATCH($X3180,계정대체기준!$D$77:$D$86,0)),ISNUMBER(MATCH($F3180,계정대체기준!$D$77:$D$86,0))),"Y","N")))</f>
        <v/>
      </c>
    </row>
    <row r="3181">
      <c r="A3181" s="92" t="n">
        <v>2026</v>
      </c>
      <c r="B3181" s="92" t="n">
        <v>3</v>
      </c>
      <c r="C3181" s="92" t="inlineStr">
        <is>
          <t>5100000459</t>
        </is>
      </c>
      <c r="D3181" s="95" t="n">
        <v>46083</v>
      </c>
      <c r="E3181" s="92" t="inlineStr">
        <is>
          <t>KR</t>
        </is>
      </c>
      <c r="F3181" s="92" t="n">
        <v>62102000</v>
      </c>
      <c r="G3181" s="92" t="n">
        <v>1301</v>
      </c>
      <c r="H3181" s="93" t="n">
        <v>143000</v>
      </c>
      <c r="I3181" s="92" t="inlineStr">
        <is>
          <t>3월 해외출장 - M항공</t>
        </is>
      </c>
      <c r="J3181" s="92" t="inlineStr">
        <is>
          <t>V10001</t>
        </is>
      </c>
      <c r="K3181" s="92" t="inlineStr">
        <is>
          <t>M항공</t>
        </is>
      </c>
      <c r="M3181" s="9">
        <f>IF($A3181="","",VALUE($A3181&amp;"")*12+VALUE($B3181&amp;""))</f>
        <v/>
      </c>
      <c r="N3181" s="64">
        <f>IF($A3181="","",IFERROR(INDEX(부서매핑!$C$5:$C$504,MATCH($G3181&amp;"",부서매핑!$A$5:$A$504,0)),"미매핑"))</f>
        <v/>
      </c>
      <c r="O3181" s="9">
        <f>IF($A3181="","",N3181&amp;"|"&amp;$F3181)</f>
        <v/>
      </c>
      <c r="P3181" s="94">
        <f>IF($A3181="",0,$H3181*설정!$C$23)</f>
        <v/>
      </c>
      <c r="Q3181" s="64">
        <f>IF($A3181="","",IF(O3181&lt;&gt;원인분석!$C$9,"",IF(AND(M3181&gt;=원인분석!$C$10,M3181&lt;=원인분석!$C$11),"당기",IF(AND(M3181&gt;=원인분석!$C$12,M3181&lt;=원인분석!$C$13),"비교",""))))</f>
        <v/>
      </c>
      <c r="R3181" s="9">
        <f>IF(Q3181="","",$K3181&amp;"")</f>
        <v/>
      </c>
      <c r="S3181" s="9">
        <f>IF(Q3181="","",IF(MATCH(R3181,$R$5:$R$100000,0)=ROW()-4,ROW(),""))</f>
        <v/>
      </c>
      <c r="T3181" s="9">
        <f>IF(Q3181="당기",ABS(P3181)+ROW()/1000000000,"")</f>
        <v/>
      </c>
      <c r="U3181" s="9">
        <f>IF(Q3181="비교",ABS(P3181)+ROW()/1000000000,"")</f>
        <v/>
      </c>
      <c r="V3181" s="64">
        <f>IF($A3181="","",IF(COUNTIF(변동분석!$E$7:$E$506,O3181)&gt;0,"Y","N"))</f>
        <v/>
      </c>
      <c r="W3181" s="64">
        <f>IF($A3181="","",IFERROR(INDEX(계정매핑!$D$5:$D$504,MATCH($F3181&amp;"",계정매핑!$A$5:$A$504,0)),"미매핑"))</f>
        <v/>
      </c>
      <c r="X3181" s="9">
        <f>IF($A3181="","",$F3181&amp;"")</f>
        <v/>
      </c>
      <c r="Y3181" s="94">
        <f>IF($A3181="",0,IF(AE3181="직접",IF(AF3181="비귀속",$P3181,0),$P3181*(1-AG3181)*IFERROR(INDEX(계정대체기준!$F$20:$F$49,MATCH($N3181,계정대체기준!$A$20:$A$49,0)),1)))</f>
        <v/>
      </c>
      <c r="Z3181" s="94">
        <f>IF($A3181="",0,IF(AE3181="직접",IF(AF3181="신계약비",$P3181,0),$P3181*(1-AG3181)*IFERROR(INDEX(계정대체기준!$C$20:$C$49,MATCH($N3181,계정대체기준!$A$20:$A$49,0)),0)))</f>
        <v/>
      </c>
      <c r="AA3181" s="94">
        <f>IF($A3181="",0,IF(AE3181="직접",IF(OR(AF3181="유지비",AF3181="손해조사비"),$P3181,0),$P3181*(1-AG3181)*IFERROR(INDEX(계정대체기준!$D$20:$D$49,MATCH($N3181,계정대체기준!$A$20:$A$49,0)),0)))</f>
        <v/>
      </c>
      <c r="AB3181" s="94">
        <f>IF($A3181="",0,IF(AE3181="직접",IF(AF3181="수금비",$P3181,0),$P3181*(1-AG3181)*IFERROR(INDEX(계정대체기준!$E$20:$E$49,MATCH($N3181,계정대체기준!$A$20:$A$49,0)),0)))</f>
        <v/>
      </c>
      <c r="AC3181" s="9">
        <f>IF(AND($A3181&lt;&gt;"",M3181=설정!$C$20,Z3181&gt;0),Z3181+ROW()/1000000000,"")</f>
        <v/>
      </c>
      <c r="AD3181" s="94">
        <f>IF($A3181="",0,$P3181*AG3181)</f>
        <v/>
      </c>
      <c r="AE3181" s="64">
        <f>IF($A3181="","",IFERROR(INDEX(계정매핑!$E$5:$E$504,MATCH($F3181&amp;"",계정매핑!$A$5:$A$504,0))&amp;"","공통비"))</f>
        <v/>
      </c>
      <c r="AF3181" s="64">
        <f>IF($A3181="","",IF(AE3181="직접",IFERROR(INDEX(계정매핑!$F$5:$F$504,MATCH($F3181&amp;"",계정매핑!$A$5:$A$504,0))&amp;"","비귀속"),""))</f>
        <v/>
      </c>
      <c r="AG3181" s="96">
        <f>IF($A3181="",0,IF(AND(AE3181&lt;&gt;"직접",IFERROR(INDEX(계정매핑!$G$5:$G$504,MATCH($F3181&amp;"",계정매핑!$A$5:$A$504,0))&amp;"","")="유지비",COUNTIF(계정대체기준!$A$6:$A$15,$N3181)&gt;0),IFERROR(INDEX(계정대체기준!$E$6:$E$15,MATCH(VALUE($A3181&amp;""),계정대체기준!$D$6:$D$15,0)),0),0))</f>
        <v/>
      </c>
      <c r="AH3181" s="64">
        <f>IF($A3181="","",IF(AD3181=0,"",IF(OR(COUNTIF(계정대체기준!$A$77:$A$86,$N3181)&gt;0,ISNUMBER(MATCH($X3181,계정대체기준!$D$77:$D$86,0)),ISNUMBER(MATCH($F3181,계정대체기준!$D$77:$D$86,0))),"Y","N")))</f>
        <v/>
      </c>
    </row>
    <row r="3182">
      <c r="A3182" s="92" t="n">
        <v>2026</v>
      </c>
      <c r="B3182" s="92" t="n">
        <v>3</v>
      </c>
      <c r="C3182" s="92" t="inlineStr">
        <is>
          <t>5100000460</t>
        </is>
      </c>
      <c r="D3182" s="95" t="n">
        <v>46083</v>
      </c>
      <c r="E3182" s="92" t="inlineStr">
        <is>
          <t>KR</t>
        </is>
      </c>
      <c r="F3182" s="92" t="n">
        <v>62201000</v>
      </c>
      <c r="G3182" s="92" t="n">
        <v>1801</v>
      </c>
      <c r="H3182" s="93" t="n">
        <v>6664000</v>
      </c>
      <c r="I3182" s="92" t="inlineStr">
        <is>
          <t>3월 통신요금 - P통신</t>
        </is>
      </c>
      <c r="J3182" s="92" t="inlineStr">
        <is>
          <t>V10014</t>
        </is>
      </c>
      <c r="K3182" s="92" t="inlineStr">
        <is>
          <t>P통신</t>
        </is>
      </c>
      <c r="M3182" s="9">
        <f>IF($A3182="","",VALUE($A3182&amp;"")*12+VALUE($B3182&amp;""))</f>
        <v/>
      </c>
      <c r="N3182" s="64">
        <f>IF($A3182="","",IFERROR(INDEX(부서매핑!$C$5:$C$504,MATCH($G3182&amp;"",부서매핑!$A$5:$A$504,0)),"미매핑"))</f>
        <v/>
      </c>
      <c r="O3182" s="9">
        <f>IF($A3182="","",N3182&amp;"|"&amp;$F3182)</f>
        <v/>
      </c>
      <c r="P3182" s="94">
        <f>IF($A3182="",0,$H3182*설정!$C$23)</f>
        <v/>
      </c>
      <c r="Q3182" s="64">
        <f>IF($A3182="","",IF(O3182&lt;&gt;원인분석!$C$9,"",IF(AND(M3182&gt;=원인분석!$C$10,M3182&lt;=원인분석!$C$11),"당기",IF(AND(M3182&gt;=원인분석!$C$12,M3182&lt;=원인분석!$C$13),"비교",""))))</f>
        <v/>
      </c>
      <c r="R3182" s="9">
        <f>IF(Q3182="","",$K3182&amp;"")</f>
        <v/>
      </c>
      <c r="S3182" s="9">
        <f>IF(Q3182="","",IF(MATCH(R3182,$R$5:$R$100000,0)=ROW()-4,ROW(),""))</f>
        <v/>
      </c>
      <c r="T3182" s="9">
        <f>IF(Q3182="당기",ABS(P3182)+ROW()/1000000000,"")</f>
        <v/>
      </c>
      <c r="U3182" s="9">
        <f>IF(Q3182="비교",ABS(P3182)+ROW()/1000000000,"")</f>
        <v/>
      </c>
      <c r="V3182" s="64">
        <f>IF($A3182="","",IF(COUNTIF(변동분석!$E$7:$E$506,O3182)&gt;0,"Y","N"))</f>
        <v/>
      </c>
      <c r="W3182" s="64">
        <f>IF($A3182="","",IFERROR(INDEX(계정매핑!$D$5:$D$504,MATCH($F3182&amp;"",계정매핑!$A$5:$A$504,0)),"미매핑"))</f>
        <v/>
      </c>
      <c r="X3182" s="9">
        <f>IF($A3182="","",$F3182&amp;"")</f>
        <v/>
      </c>
      <c r="Y3182" s="94">
        <f>IF($A3182="",0,IF(AE3182="직접",IF(AF3182="비귀속",$P3182,0),$P3182*(1-AG3182)*IFERROR(INDEX(계정대체기준!$F$20:$F$49,MATCH($N3182,계정대체기준!$A$20:$A$49,0)),1)))</f>
        <v/>
      </c>
      <c r="Z3182" s="94">
        <f>IF($A3182="",0,IF(AE3182="직접",IF(AF3182="신계약비",$P3182,0),$P3182*(1-AG3182)*IFERROR(INDEX(계정대체기준!$C$20:$C$49,MATCH($N3182,계정대체기준!$A$20:$A$49,0)),0)))</f>
        <v/>
      </c>
      <c r="AA3182" s="94">
        <f>IF($A3182="",0,IF(AE3182="직접",IF(OR(AF3182="유지비",AF3182="손해조사비"),$P3182,0),$P3182*(1-AG3182)*IFERROR(INDEX(계정대체기준!$D$20:$D$49,MATCH($N3182,계정대체기준!$A$20:$A$49,0)),0)))</f>
        <v/>
      </c>
      <c r="AB3182" s="94">
        <f>IF($A3182="",0,IF(AE3182="직접",IF(AF3182="수금비",$P3182,0),$P3182*(1-AG3182)*IFERROR(INDEX(계정대체기준!$E$20:$E$49,MATCH($N3182,계정대체기준!$A$20:$A$49,0)),0)))</f>
        <v/>
      </c>
      <c r="AC3182" s="9">
        <f>IF(AND($A3182&lt;&gt;"",M3182=설정!$C$20,Z3182&gt;0),Z3182+ROW()/1000000000,"")</f>
        <v/>
      </c>
      <c r="AD3182" s="94">
        <f>IF($A3182="",0,$P3182*AG3182)</f>
        <v/>
      </c>
      <c r="AE3182" s="64">
        <f>IF($A3182="","",IFERROR(INDEX(계정매핑!$E$5:$E$504,MATCH($F3182&amp;"",계정매핑!$A$5:$A$504,0))&amp;"","공통비"))</f>
        <v/>
      </c>
      <c r="AF3182" s="64">
        <f>IF($A3182="","",IF(AE3182="직접",IFERROR(INDEX(계정매핑!$F$5:$F$504,MATCH($F3182&amp;"",계정매핑!$A$5:$A$504,0))&amp;"","비귀속"),""))</f>
        <v/>
      </c>
      <c r="AG3182" s="96">
        <f>IF($A3182="",0,IF(AND(AE3182&lt;&gt;"직접",IFERROR(INDEX(계정매핑!$G$5:$G$504,MATCH($F3182&amp;"",계정매핑!$A$5:$A$504,0))&amp;"","")="유지비",COUNTIF(계정대체기준!$A$6:$A$15,$N3182)&gt;0),IFERROR(INDEX(계정대체기준!$E$6:$E$15,MATCH(VALUE($A3182&amp;""),계정대체기준!$D$6:$D$15,0)),0),0))</f>
        <v/>
      </c>
      <c r="AH3182" s="64">
        <f>IF($A3182="","",IF(AD3182=0,"",IF(OR(COUNTIF(계정대체기준!$A$77:$A$86,$N3182)&gt;0,ISNUMBER(MATCH($X3182,계정대체기준!$D$77:$D$86,0)),ISNUMBER(MATCH($F3182,계정대체기준!$D$77:$D$86,0))),"Y","N")))</f>
        <v/>
      </c>
    </row>
    <row r="3183">
      <c r="A3183" s="92" t="n">
        <v>2026</v>
      </c>
      <c r="B3183" s="92" t="n">
        <v>3</v>
      </c>
      <c r="C3183" s="92" t="inlineStr">
        <is>
          <t>5100000461</t>
        </is>
      </c>
      <c r="D3183" s="95" t="n">
        <v>46083</v>
      </c>
      <c r="E3183" s="92" t="inlineStr">
        <is>
          <t>KR</t>
        </is>
      </c>
      <c r="F3183" s="92" t="n">
        <v>62501000</v>
      </c>
      <c r="G3183" s="92" t="n">
        <v>1602</v>
      </c>
      <c r="H3183" s="93" t="n">
        <v>206000</v>
      </c>
      <c r="I3183" s="92" t="inlineStr">
        <is>
          <t>3월 회의 다과 - (법인카드)</t>
        </is>
      </c>
      <c r="J3183" s="92" t="inlineStr">
        <is>
          <t>V10010</t>
        </is>
      </c>
      <c r="K3183" s="92" t="inlineStr">
        <is>
          <t>(법인카드)</t>
        </is>
      </c>
      <c r="M3183" s="9">
        <f>IF($A3183="","",VALUE($A3183&amp;"")*12+VALUE($B3183&amp;""))</f>
        <v/>
      </c>
      <c r="N3183" s="64">
        <f>IF($A3183="","",IFERROR(INDEX(부서매핑!$C$5:$C$504,MATCH($G3183&amp;"",부서매핑!$A$5:$A$504,0)),"미매핑"))</f>
        <v/>
      </c>
      <c r="O3183" s="9">
        <f>IF($A3183="","",N3183&amp;"|"&amp;$F3183)</f>
        <v/>
      </c>
      <c r="P3183" s="94">
        <f>IF($A3183="",0,$H3183*설정!$C$23)</f>
        <v/>
      </c>
      <c r="Q3183" s="64">
        <f>IF($A3183="","",IF(O3183&lt;&gt;원인분석!$C$9,"",IF(AND(M3183&gt;=원인분석!$C$10,M3183&lt;=원인분석!$C$11),"당기",IF(AND(M3183&gt;=원인분석!$C$12,M3183&lt;=원인분석!$C$13),"비교",""))))</f>
        <v/>
      </c>
      <c r="R3183" s="9">
        <f>IF(Q3183="","",$K3183&amp;"")</f>
        <v/>
      </c>
      <c r="S3183" s="9">
        <f>IF(Q3183="","",IF(MATCH(R3183,$R$5:$R$100000,0)=ROW()-4,ROW(),""))</f>
        <v/>
      </c>
      <c r="T3183" s="9">
        <f>IF(Q3183="당기",ABS(P3183)+ROW()/1000000000,"")</f>
        <v/>
      </c>
      <c r="U3183" s="9">
        <f>IF(Q3183="비교",ABS(P3183)+ROW()/1000000000,"")</f>
        <v/>
      </c>
      <c r="V3183" s="64">
        <f>IF($A3183="","",IF(COUNTIF(변동분석!$E$7:$E$506,O3183)&gt;0,"Y","N"))</f>
        <v/>
      </c>
      <c r="W3183" s="64">
        <f>IF($A3183="","",IFERROR(INDEX(계정매핑!$D$5:$D$504,MATCH($F3183&amp;"",계정매핑!$A$5:$A$504,0)),"미매핑"))</f>
        <v/>
      </c>
      <c r="X3183" s="9">
        <f>IF($A3183="","",$F3183&amp;"")</f>
        <v/>
      </c>
      <c r="Y3183" s="94">
        <f>IF($A3183="",0,IF(AE3183="직접",IF(AF3183="비귀속",$P3183,0),$P3183*(1-AG3183)*IFERROR(INDEX(계정대체기준!$F$20:$F$49,MATCH($N3183,계정대체기준!$A$20:$A$49,0)),1)))</f>
        <v/>
      </c>
      <c r="Z3183" s="94">
        <f>IF($A3183="",0,IF(AE3183="직접",IF(AF3183="신계약비",$P3183,0),$P3183*(1-AG3183)*IFERROR(INDEX(계정대체기준!$C$20:$C$49,MATCH($N3183,계정대체기준!$A$20:$A$49,0)),0)))</f>
        <v/>
      </c>
      <c r="AA3183" s="94">
        <f>IF($A3183="",0,IF(AE3183="직접",IF(OR(AF3183="유지비",AF3183="손해조사비"),$P3183,0),$P3183*(1-AG3183)*IFERROR(INDEX(계정대체기준!$D$20:$D$49,MATCH($N3183,계정대체기준!$A$20:$A$49,0)),0)))</f>
        <v/>
      </c>
      <c r="AB3183" s="94">
        <f>IF($A3183="",0,IF(AE3183="직접",IF(AF3183="수금비",$P3183,0),$P3183*(1-AG3183)*IFERROR(INDEX(계정대체기준!$E$20:$E$49,MATCH($N3183,계정대체기준!$A$20:$A$49,0)),0)))</f>
        <v/>
      </c>
      <c r="AC3183" s="9">
        <f>IF(AND($A3183&lt;&gt;"",M3183=설정!$C$20,Z3183&gt;0),Z3183+ROW()/1000000000,"")</f>
        <v/>
      </c>
      <c r="AD3183" s="94">
        <f>IF($A3183="",0,$P3183*AG3183)</f>
        <v/>
      </c>
      <c r="AE3183" s="64">
        <f>IF($A3183="","",IFERROR(INDEX(계정매핑!$E$5:$E$504,MATCH($F3183&amp;"",계정매핑!$A$5:$A$504,0))&amp;"","공통비"))</f>
        <v/>
      </c>
      <c r="AF3183" s="64">
        <f>IF($A3183="","",IF(AE3183="직접",IFERROR(INDEX(계정매핑!$F$5:$F$504,MATCH($F3183&amp;"",계정매핑!$A$5:$A$504,0))&amp;"","비귀속"),""))</f>
        <v/>
      </c>
      <c r="AG3183" s="96">
        <f>IF($A3183="",0,IF(AND(AE3183&lt;&gt;"직접",IFERROR(INDEX(계정매핑!$G$5:$G$504,MATCH($F3183&amp;"",계정매핑!$A$5:$A$504,0))&amp;"","")="유지비",COUNTIF(계정대체기준!$A$6:$A$15,$N3183)&gt;0),IFERROR(INDEX(계정대체기준!$E$6:$E$15,MATCH(VALUE($A3183&amp;""),계정대체기준!$D$6:$D$15,0)),0),0))</f>
        <v/>
      </c>
      <c r="AH3183" s="64">
        <f>IF($A3183="","",IF(AD3183=0,"",IF(OR(COUNTIF(계정대체기준!$A$77:$A$86,$N3183)&gt;0,ISNUMBER(MATCH($X3183,계정대체기준!$D$77:$D$86,0)),ISNUMBER(MATCH($F3183,계정대체기준!$D$77:$D$86,0))),"Y","N")))</f>
        <v/>
      </c>
    </row>
    <row r="3184">
      <c r="A3184" s="92" t="n">
        <v>2026</v>
      </c>
      <c r="B3184" s="92" t="n">
        <v>3</v>
      </c>
      <c r="C3184" s="92" t="inlineStr">
        <is>
          <t>5100000462</t>
        </is>
      </c>
      <c r="D3184" s="95" t="n">
        <v>46084</v>
      </c>
      <c r="E3184" s="92" t="inlineStr">
        <is>
          <t>KR</t>
        </is>
      </c>
      <c r="F3184" s="92" t="n">
        <v>62301000</v>
      </c>
      <c r="G3184" s="92" t="n">
        <v>1401</v>
      </c>
      <c r="H3184" s="93" t="n">
        <v>149000</v>
      </c>
      <c r="I3184" s="92" t="inlineStr">
        <is>
          <t>3월 소모품 구입 - Q오피스</t>
        </is>
      </c>
      <c r="J3184" s="92" t="inlineStr">
        <is>
          <t>V10003</t>
        </is>
      </c>
      <c r="K3184" s="92" t="inlineStr">
        <is>
          <t>Q오피스</t>
        </is>
      </c>
      <c r="M3184" s="9">
        <f>IF($A3184="","",VALUE($A3184&amp;"")*12+VALUE($B3184&amp;""))</f>
        <v/>
      </c>
      <c r="N3184" s="64">
        <f>IF($A3184="","",IFERROR(INDEX(부서매핑!$C$5:$C$504,MATCH($G3184&amp;"",부서매핑!$A$5:$A$504,0)),"미매핑"))</f>
        <v/>
      </c>
      <c r="O3184" s="9">
        <f>IF($A3184="","",N3184&amp;"|"&amp;$F3184)</f>
        <v/>
      </c>
      <c r="P3184" s="94">
        <f>IF($A3184="",0,$H3184*설정!$C$23)</f>
        <v/>
      </c>
      <c r="Q3184" s="64">
        <f>IF($A3184="","",IF(O3184&lt;&gt;원인분석!$C$9,"",IF(AND(M3184&gt;=원인분석!$C$10,M3184&lt;=원인분석!$C$11),"당기",IF(AND(M3184&gt;=원인분석!$C$12,M3184&lt;=원인분석!$C$13),"비교",""))))</f>
        <v/>
      </c>
      <c r="R3184" s="9">
        <f>IF(Q3184="","",$K3184&amp;"")</f>
        <v/>
      </c>
      <c r="S3184" s="9">
        <f>IF(Q3184="","",IF(MATCH(R3184,$R$5:$R$100000,0)=ROW()-4,ROW(),""))</f>
        <v/>
      </c>
      <c r="T3184" s="9">
        <f>IF(Q3184="당기",ABS(P3184)+ROW()/1000000000,"")</f>
        <v/>
      </c>
      <c r="U3184" s="9">
        <f>IF(Q3184="비교",ABS(P3184)+ROW()/1000000000,"")</f>
        <v/>
      </c>
      <c r="V3184" s="64">
        <f>IF($A3184="","",IF(COUNTIF(변동분석!$E$7:$E$506,O3184)&gt;0,"Y","N"))</f>
        <v/>
      </c>
      <c r="W3184" s="64">
        <f>IF($A3184="","",IFERROR(INDEX(계정매핑!$D$5:$D$504,MATCH($F3184&amp;"",계정매핑!$A$5:$A$504,0)),"미매핑"))</f>
        <v/>
      </c>
      <c r="X3184" s="9">
        <f>IF($A3184="","",$F3184&amp;"")</f>
        <v/>
      </c>
      <c r="Y3184" s="94">
        <f>IF($A3184="",0,IF(AE3184="직접",IF(AF3184="비귀속",$P3184,0),$P3184*(1-AG3184)*IFERROR(INDEX(계정대체기준!$F$20:$F$49,MATCH($N3184,계정대체기준!$A$20:$A$49,0)),1)))</f>
        <v/>
      </c>
      <c r="Z3184" s="94">
        <f>IF($A3184="",0,IF(AE3184="직접",IF(AF3184="신계약비",$P3184,0),$P3184*(1-AG3184)*IFERROR(INDEX(계정대체기준!$C$20:$C$49,MATCH($N3184,계정대체기준!$A$20:$A$49,0)),0)))</f>
        <v/>
      </c>
      <c r="AA3184" s="94">
        <f>IF($A3184="",0,IF(AE3184="직접",IF(OR(AF3184="유지비",AF3184="손해조사비"),$P3184,0),$P3184*(1-AG3184)*IFERROR(INDEX(계정대체기준!$D$20:$D$49,MATCH($N3184,계정대체기준!$A$20:$A$49,0)),0)))</f>
        <v/>
      </c>
      <c r="AB3184" s="94">
        <f>IF($A3184="",0,IF(AE3184="직접",IF(AF3184="수금비",$P3184,0),$P3184*(1-AG3184)*IFERROR(INDEX(계정대체기준!$E$20:$E$49,MATCH($N3184,계정대체기준!$A$20:$A$49,0)),0)))</f>
        <v/>
      </c>
      <c r="AC3184" s="9">
        <f>IF(AND($A3184&lt;&gt;"",M3184=설정!$C$20,Z3184&gt;0),Z3184+ROW()/1000000000,"")</f>
        <v/>
      </c>
      <c r="AD3184" s="94">
        <f>IF($A3184="",0,$P3184*AG3184)</f>
        <v/>
      </c>
      <c r="AE3184" s="64">
        <f>IF($A3184="","",IFERROR(INDEX(계정매핑!$E$5:$E$504,MATCH($F3184&amp;"",계정매핑!$A$5:$A$504,0))&amp;"","공통비"))</f>
        <v/>
      </c>
      <c r="AF3184" s="64">
        <f>IF($A3184="","",IF(AE3184="직접",IFERROR(INDEX(계정매핑!$F$5:$F$504,MATCH($F3184&amp;"",계정매핑!$A$5:$A$504,0))&amp;"","비귀속"),""))</f>
        <v/>
      </c>
      <c r="AG3184" s="96">
        <f>IF($A3184="",0,IF(AND(AE3184&lt;&gt;"직접",IFERROR(INDEX(계정매핑!$G$5:$G$504,MATCH($F3184&amp;"",계정매핑!$A$5:$A$504,0))&amp;"","")="유지비",COUNTIF(계정대체기준!$A$6:$A$15,$N3184)&gt;0),IFERROR(INDEX(계정대체기준!$E$6:$E$15,MATCH(VALUE($A3184&amp;""),계정대체기준!$D$6:$D$15,0)),0),0))</f>
        <v/>
      </c>
      <c r="AH3184" s="64">
        <f>IF($A3184="","",IF(AD3184=0,"",IF(OR(COUNTIF(계정대체기준!$A$77:$A$86,$N3184)&gt;0,ISNUMBER(MATCH($X3184,계정대체기준!$D$77:$D$86,0)),ISNUMBER(MATCH($F3184,계정대체기준!$D$77:$D$86,0))),"Y","N")))</f>
        <v/>
      </c>
    </row>
    <row r="3185">
      <c r="A3185" s="92" t="n">
        <v>2026</v>
      </c>
      <c r="B3185" s="92" t="n">
        <v>3</v>
      </c>
      <c r="C3185" s="92" t="inlineStr">
        <is>
          <t>5100000463</t>
        </is>
      </c>
      <c r="D3185" s="95" t="n">
        <v>46084</v>
      </c>
      <c r="E3185" s="92" t="inlineStr">
        <is>
          <t>KR</t>
        </is>
      </c>
      <c r="F3185" s="92" t="n">
        <v>62601000</v>
      </c>
      <c r="G3185" s="92" t="n">
        <v>1602</v>
      </c>
      <c r="H3185" s="93" t="n">
        <v>1918000</v>
      </c>
      <c r="I3185" s="92" t="inlineStr">
        <is>
          <t>3월 업무추진 - (법인카드)</t>
        </is>
      </c>
      <c r="J3185" s="92" t="inlineStr">
        <is>
          <t>V10010</t>
        </is>
      </c>
      <c r="K3185" s="92" t="inlineStr">
        <is>
          <t>(법인카드)</t>
        </is>
      </c>
      <c r="M3185" s="9">
        <f>IF($A3185="","",VALUE($A3185&amp;"")*12+VALUE($B3185&amp;""))</f>
        <v/>
      </c>
      <c r="N3185" s="64">
        <f>IF($A3185="","",IFERROR(INDEX(부서매핑!$C$5:$C$504,MATCH($G3185&amp;"",부서매핑!$A$5:$A$504,0)),"미매핑"))</f>
        <v/>
      </c>
      <c r="O3185" s="9">
        <f>IF($A3185="","",N3185&amp;"|"&amp;$F3185)</f>
        <v/>
      </c>
      <c r="P3185" s="94">
        <f>IF($A3185="",0,$H3185*설정!$C$23)</f>
        <v/>
      </c>
      <c r="Q3185" s="64">
        <f>IF($A3185="","",IF(O3185&lt;&gt;원인분석!$C$9,"",IF(AND(M3185&gt;=원인분석!$C$10,M3185&lt;=원인분석!$C$11),"당기",IF(AND(M3185&gt;=원인분석!$C$12,M3185&lt;=원인분석!$C$13),"비교",""))))</f>
        <v/>
      </c>
      <c r="R3185" s="9">
        <f>IF(Q3185="","",$K3185&amp;"")</f>
        <v/>
      </c>
      <c r="S3185" s="9">
        <f>IF(Q3185="","",IF(MATCH(R3185,$R$5:$R$100000,0)=ROW()-4,ROW(),""))</f>
        <v/>
      </c>
      <c r="T3185" s="9">
        <f>IF(Q3185="당기",ABS(P3185)+ROW()/1000000000,"")</f>
        <v/>
      </c>
      <c r="U3185" s="9">
        <f>IF(Q3185="비교",ABS(P3185)+ROW()/1000000000,"")</f>
        <v/>
      </c>
      <c r="V3185" s="64">
        <f>IF($A3185="","",IF(COUNTIF(변동분석!$E$7:$E$506,O3185)&gt;0,"Y","N"))</f>
        <v/>
      </c>
      <c r="W3185" s="64">
        <f>IF($A3185="","",IFERROR(INDEX(계정매핑!$D$5:$D$504,MATCH($F3185&amp;"",계정매핑!$A$5:$A$504,0)),"미매핑"))</f>
        <v/>
      </c>
      <c r="X3185" s="9">
        <f>IF($A3185="","",$F3185&amp;"")</f>
        <v/>
      </c>
      <c r="Y3185" s="94">
        <f>IF($A3185="",0,IF(AE3185="직접",IF(AF3185="비귀속",$P3185,0),$P3185*(1-AG3185)*IFERROR(INDEX(계정대체기준!$F$20:$F$49,MATCH($N3185,계정대체기준!$A$20:$A$49,0)),1)))</f>
        <v/>
      </c>
      <c r="Z3185" s="94">
        <f>IF($A3185="",0,IF(AE3185="직접",IF(AF3185="신계약비",$P3185,0),$P3185*(1-AG3185)*IFERROR(INDEX(계정대체기준!$C$20:$C$49,MATCH($N3185,계정대체기준!$A$20:$A$49,0)),0)))</f>
        <v/>
      </c>
      <c r="AA3185" s="94">
        <f>IF($A3185="",0,IF(AE3185="직접",IF(OR(AF3185="유지비",AF3185="손해조사비"),$P3185,0),$P3185*(1-AG3185)*IFERROR(INDEX(계정대체기준!$D$20:$D$49,MATCH($N3185,계정대체기준!$A$20:$A$49,0)),0)))</f>
        <v/>
      </c>
      <c r="AB3185" s="94">
        <f>IF($A3185="",0,IF(AE3185="직접",IF(AF3185="수금비",$P3185,0),$P3185*(1-AG3185)*IFERROR(INDEX(계정대체기준!$E$20:$E$49,MATCH($N3185,계정대체기준!$A$20:$A$49,0)),0)))</f>
        <v/>
      </c>
      <c r="AC3185" s="9">
        <f>IF(AND($A3185&lt;&gt;"",M3185=설정!$C$20,Z3185&gt;0),Z3185+ROW()/1000000000,"")</f>
        <v/>
      </c>
      <c r="AD3185" s="94">
        <f>IF($A3185="",0,$P3185*AG3185)</f>
        <v/>
      </c>
      <c r="AE3185" s="64">
        <f>IF($A3185="","",IFERROR(INDEX(계정매핑!$E$5:$E$504,MATCH($F3185&amp;"",계정매핑!$A$5:$A$504,0))&amp;"","공통비"))</f>
        <v/>
      </c>
      <c r="AF3185" s="64">
        <f>IF($A3185="","",IF(AE3185="직접",IFERROR(INDEX(계정매핑!$F$5:$F$504,MATCH($F3185&amp;"",계정매핑!$A$5:$A$504,0))&amp;"","비귀속"),""))</f>
        <v/>
      </c>
      <c r="AG3185" s="96">
        <f>IF($A3185="",0,IF(AND(AE3185&lt;&gt;"직접",IFERROR(INDEX(계정매핑!$G$5:$G$504,MATCH($F3185&amp;"",계정매핑!$A$5:$A$504,0))&amp;"","")="유지비",COUNTIF(계정대체기준!$A$6:$A$15,$N3185)&gt;0),IFERROR(INDEX(계정대체기준!$E$6:$E$15,MATCH(VALUE($A3185&amp;""),계정대체기준!$D$6:$D$15,0)),0),0))</f>
        <v/>
      </c>
      <c r="AH3185" s="64">
        <f>IF($A3185="","",IF(AD3185=0,"",IF(OR(COUNTIF(계정대체기준!$A$77:$A$86,$N3185)&gt;0,ISNUMBER(MATCH($X3185,계정대체기준!$D$77:$D$86,0)),ISNUMBER(MATCH($F3185,계정대체기준!$D$77:$D$86,0))),"Y","N")))</f>
        <v/>
      </c>
    </row>
    <row r="3186">
      <c r="A3186" s="92" t="n">
        <v>2026</v>
      </c>
      <c r="B3186" s="92" t="n">
        <v>3</v>
      </c>
      <c r="C3186" s="92" t="inlineStr">
        <is>
          <t>5100000464</t>
        </is>
      </c>
      <c r="D3186" s="95" t="n">
        <v>46084</v>
      </c>
      <c r="E3186" s="92" t="inlineStr">
        <is>
          <t>KR</t>
        </is>
      </c>
      <c r="F3186" s="92" t="n">
        <v>62901000</v>
      </c>
      <c r="G3186" s="92" t="n">
        <v>1201</v>
      </c>
      <c r="H3186" s="93" t="n">
        <v>6259000</v>
      </c>
      <c r="I3186" s="92" t="inlineStr">
        <is>
          <t>3월 자문 수수료 - K회계법인</t>
        </is>
      </c>
      <c r="J3186" s="92" t="inlineStr">
        <is>
          <t>V10011</t>
        </is>
      </c>
      <c r="K3186" s="92" t="inlineStr">
        <is>
          <t>K회계법인</t>
        </is>
      </c>
      <c r="M3186" s="9">
        <f>IF($A3186="","",VALUE($A3186&amp;"")*12+VALUE($B3186&amp;""))</f>
        <v/>
      </c>
      <c r="N3186" s="64">
        <f>IF($A3186="","",IFERROR(INDEX(부서매핑!$C$5:$C$504,MATCH($G3186&amp;"",부서매핑!$A$5:$A$504,0)),"미매핑"))</f>
        <v/>
      </c>
      <c r="O3186" s="9">
        <f>IF($A3186="","",N3186&amp;"|"&amp;$F3186)</f>
        <v/>
      </c>
      <c r="P3186" s="94">
        <f>IF($A3186="",0,$H3186*설정!$C$23)</f>
        <v/>
      </c>
      <c r="Q3186" s="64">
        <f>IF($A3186="","",IF(O3186&lt;&gt;원인분석!$C$9,"",IF(AND(M3186&gt;=원인분석!$C$10,M3186&lt;=원인분석!$C$11),"당기",IF(AND(M3186&gt;=원인분석!$C$12,M3186&lt;=원인분석!$C$13),"비교",""))))</f>
        <v/>
      </c>
      <c r="R3186" s="9">
        <f>IF(Q3186="","",$K3186&amp;"")</f>
        <v/>
      </c>
      <c r="S3186" s="9">
        <f>IF(Q3186="","",IF(MATCH(R3186,$R$5:$R$100000,0)=ROW()-4,ROW(),""))</f>
        <v/>
      </c>
      <c r="T3186" s="9">
        <f>IF(Q3186="당기",ABS(P3186)+ROW()/1000000000,"")</f>
        <v/>
      </c>
      <c r="U3186" s="9">
        <f>IF(Q3186="비교",ABS(P3186)+ROW()/1000000000,"")</f>
        <v/>
      </c>
      <c r="V3186" s="64">
        <f>IF($A3186="","",IF(COUNTIF(변동분석!$E$7:$E$506,O3186)&gt;0,"Y","N"))</f>
        <v/>
      </c>
      <c r="W3186" s="64">
        <f>IF($A3186="","",IFERROR(INDEX(계정매핑!$D$5:$D$504,MATCH($F3186&amp;"",계정매핑!$A$5:$A$504,0)),"미매핑"))</f>
        <v/>
      </c>
      <c r="X3186" s="9">
        <f>IF($A3186="","",$F3186&amp;"")</f>
        <v/>
      </c>
      <c r="Y3186" s="94">
        <f>IF($A3186="",0,IF(AE3186="직접",IF(AF3186="비귀속",$P3186,0),$P3186*(1-AG3186)*IFERROR(INDEX(계정대체기준!$F$20:$F$49,MATCH($N3186,계정대체기준!$A$20:$A$49,0)),1)))</f>
        <v/>
      </c>
      <c r="Z3186" s="94">
        <f>IF($A3186="",0,IF(AE3186="직접",IF(AF3186="신계약비",$P3186,0),$P3186*(1-AG3186)*IFERROR(INDEX(계정대체기준!$C$20:$C$49,MATCH($N3186,계정대체기준!$A$20:$A$49,0)),0)))</f>
        <v/>
      </c>
      <c r="AA3186" s="94">
        <f>IF($A3186="",0,IF(AE3186="직접",IF(OR(AF3186="유지비",AF3186="손해조사비"),$P3186,0),$P3186*(1-AG3186)*IFERROR(INDEX(계정대체기준!$D$20:$D$49,MATCH($N3186,계정대체기준!$A$20:$A$49,0)),0)))</f>
        <v/>
      </c>
      <c r="AB3186" s="94">
        <f>IF($A3186="",0,IF(AE3186="직접",IF(AF3186="수금비",$P3186,0),$P3186*(1-AG3186)*IFERROR(INDEX(계정대체기준!$E$20:$E$49,MATCH($N3186,계정대체기준!$A$20:$A$49,0)),0)))</f>
        <v/>
      </c>
      <c r="AC3186" s="9">
        <f>IF(AND($A3186&lt;&gt;"",M3186=설정!$C$20,Z3186&gt;0),Z3186+ROW()/1000000000,"")</f>
        <v/>
      </c>
      <c r="AD3186" s="94">
        <f>IF($A3186="",0,$P3186*AG3186)</f>
        <v/>
      </c>
      <c r="AE3186" s="64">
        <f>IF($A3186="","",IFERROR(INDEX(계정매핑!$E$5:$E$504,MATCH($F3186&amp;"",계정매핑!$A$5:$A$504,0))&amp;"","공통비"))</f>
        <v/>
      </c>
      <c r="AF3186" s="64">
        <f>IF($A3186="","",IF(AE3186="직접",IFERROR(INDEX(계정매핑!$F$5:$F$504,MATCH($F3186&amp;"",계정매핑!$A$5:$A$504,0))&amp;"","비귀속"),""))</f>
        <v/>
      </c>
      <c r="AG3186" s="96">
        <f>IF($A3186="",0,IF(AND(AE3186&lt;&gt;"직접",IFERROR(INDEX(계정매핑!$G$5:$G$504,MATCH($F3186&amp;"",계정매핑!$A$5:$A$504,0))&amp;"","")="유지비",COUNTIF(계정대체기준!$A$6:$A$15,$N3186)&gt;0),IFERROR(INDEX(계정대체기준!$E$6:$E$15,MATCH(VALUE($A3186&amp;""),계정대체기준!$D$6:$D$15,0)),0),0))</f>
        <v/>
      </c>
      <c r="AH3186" s="64">
        <f>IF($A3186="","",IF(AD3186=0,"",IF(OR(COUNTIF(계정대체기준!$A$77:$A$86,$N3186)&gt;0,ISNUMBER(MATCH($X3186,계정대체기준!$D$77:$D$86,0)),ISNUMBER(MATCH($F3186,계정대체기준!$D$77:$D$86,0))),"Y","N")))</f>
        <v/>
      </c>
    </row>
    <row r="3187">
      <c r="A3187" s="92" t="n">
        <v>2026</v>
      </c>
      <c r="B3187" s="92" t="n">
        <v>3</v>
      </c>
      <c r="C3187" s="92" t="inlineStr">
        <is>
          <t>5100000465</t>
        </is>
      </c>
      <c r="D3187" s="95" t="n">
        <v>46084</v>
      </c>
      <c r="E3187" s="92" t="inlineStr">
        <is>
          <t>KR</t>
        </is>
      </c>
      <c r="F3187" s="92" t="n">
        <v>62902000</v>
      </c>
      <c r="G3187" s="92" t="n">
        <v>1801</v>
      </c>
      <c r="H3187" s="93" t="n">
        <v>1825000</v>
      </c>
      <c r="I3187" s="92" t="inlineStr">
        <is>
          <t>3월 콜 위탁 수수료(건별)</t>
        </is>
      </c>
      <c r="J3187" s="92" t="inlineStr">
        <is>
          <t>V10016</t>
        </is>
      </c>
      <c r="K3187" s="92" t="inlineStr">
        <is>
          <t>J콜센터</t>
        </is>
      </c>
      <c r="M3187" s="9">
        <f>IF($A3187="","",VALUE($A3187&amp;"")*12+VALUE($B3187&amp;""))</f>
        <v/>
      </c>
      <c r="N3187" s="64">
        <f>IF($A3187="","",IFERROR(INDEX(부서매핑!$C$5:$C$504,MATCH($G3187&amp;"",부서매핑!$A$5:$A$504,0)),"미매핑"))</f>
        <v/>
      </c>
      <c r="O3187" s="9">
        <f>IF($A3187="","",N3187&amp;"|"&amp;$F3187)</f>
        <v/>
      </c>
      <c r="P3187" s="94">
        <f>IF($A3187="",0,$H3187*설정!$C$23)</f>
        <v/>
      </c>
      <c r="Q3187" s="64">
        <f>IF($A3187="","",IF(O3187&lt;&gt;원인분석!$C$9,"",IF(AND(M3187&gt;=원인분석!$C$10,M3187&lt;=원인분석!$C$11),"당기",IF(AND(M3187&gt;=원인분석!$C$12,M3187&lt;=원인분석!$C$13),"비교",""))))</f>
        <v/>
      </c>
      <c r="R3187" s="9">
        <f>IF(Q3187="","",$K3187&amp;"")</f>
        <v/>
      </c>
      <c r="S3187" s="9">
        <f>IF(Q3187="","",IF(MATCH(R3187,$R$5:$R$100000,0)=ROW()-4,ROW(),""))</f>
        <v/>
      </c>
      <c r="T3187" s="9">
        <f>IF(Q3187="당기",ABS(P3187)+ROW()/1000000000,"")</f>
        <v/>
      </c>
      <c r="U3187" s="9">
        <f>IF(Q3187="비교",ABS(P3187)+ROW()/1000000000,"")</f>
        <v/>
      </c>
      <c r="V3187" s="64">
        <f>IF($A3187="","",IF(COUNTIF(변동분석!$E$7:$E$506,O3187)&gt;0,"Y","N"))</f>
        <v/>
      </c>
      <c r="W3187" s="64">
        <f>IF($A3187="","",IFERROR(INDEX(계정매핑!$D$5:$D$504,MATCH($F3187&amp;"",계정매핑!$A$5:$A$504,0)),"미매핑"))</f>
        <v/>
      </c>
      <c r="X3187" s="9">
        <f>IF($A3187="","",$F3187&amp;"")</f>
        <v/>
      </c>
      <c r="Y3187" s="94">
        <f>IF($A3187="",0,IF(AE3187="직접",IF(AF3187="비귀속",$P3187,0),$P3187*(1-AG3187)*IFERROR(INDEX(계정대체기준!$F$20:$F$49,MATCH($N3187,계정대체기준!$A$20:$A$49,0)),1)))</f>
        <v/>
      </c>
      <c r="Z3187" s="94">
        <f>IF($A3187="",0,IF(AE3187="직접",IF(AF3187="신계약비",$P3187,0),$P3187*(1-AG3187)*IFERROR(INDEX(계정대체기준!$C$20:$C$49,MATCH($N3187,계정대체기준!$A$20:$A$49,0)),0)))</f>
        <v/>
      </c>
      <c r="AA3187" s="94">
        <f>IF($A3187="",0,IF(AE3187="직접",IF(OR(AF3187="유지비",AF3187="손해조사비"),$P3187,0),$P3187*(1-AG3187)*IFERROR(INDEX(계정대체기준!$D$20:$D$49,MATCH($N3187,계정대체기준!$A$20:$A$49,0)),0)))</f>
        <v/>
      </c>
      <c r="AB3187" s="94">
        <f>IF($A3187="",0,IF(AE3187="직접",IF(AF3187="수금비",$P3187,0),$P3187*(1-AG3187)*IFERROR(INDEX(계정대체기준!$E$20:$E$49,MATCH($N3187,계정대체기준!$A$20:$A$49,0)),0)))</f>
        <v/>
      </c>
      <c r="AC3187" s="9">
        <f>IF(AND($A3187&lt;&gt;"",M3187=설정!$C$20,Z3187&gt;0),Z3187+ROW()/1000000000,"")</f>
        <v/>
      </c>
      <c r="AD3187" s="94">
        <f>IF($A3187="",0,$P3187*AG3187)</f>
        <v/>
      </c>
      <c r="AE3187" s="64">
        <f>IF($A3187="","",IFERROR(INDEX(계정매핑!$E$5:$E$504,MATCH($F3187&amp;"",계정매핑!$A$5:$A$504,0))&amp;"","공통비"))</f>
        <v/>
      </c>
      <c r="AF3187" s="64">
        <f>IF($A3187="","",IF(AE3187="직접",IFERROR(INDEX(계정매핑!$F$5:$F$504,MATCH($F3187&amp;"",계정매핑!$A$5:$A$504,0))&amp;"","비귀속"),""))</f>
        <v/>
      </c>
      <c r="AG3187" s="96">
        <f>IF($A3187="",0,IF(AND(AE3187&lt;&gt;"직접",IFERROR(INDEX(계정매핑!$G$5:$G$504,MATCH($F3187&amp;"",계정매핑!$A$5:$A$504,0))&amp;"","")="유지비",COUNTIF(계정대체기준!$A$6:$A$15,$N3187)&gt;0),IFERROR(INDEX(계정대체기준!$E$6:$E$15,MATCH(VALUE($A3187&amp;""),계정대체기준!$D$6:$D$15,0)),0),0))</f>
        <v/>
      </c>
      <c r="AH3187" s="64">
        <f>IF($A3187="","",IF(AD3187=0,"",IF(OR(COUNTIF(계정대체기준!$A$77:$A$86,$N3187)&gt;0,ISNUMBER(MATCH($X3187,계정대체기준!$D$77:$D$86,0)),ISNUMBER(MATCH($F3187,계정대체기준!$D$77:$D$86,0))),"Y","N")))</f>
        <v/>
      </c>
    </row>
    <row r="3188">
      <c r="A3188" s="92" t="n">
        <v>2026</v>
      </c>
      <c r="B3188" s="92" t="n">
        <v>3</v>
      </c>
      <c r="C3188" s="92" t="inlineStr">
        <is>
          <t>5100000466</t>
        </is>
      </c>
      <c r="D3188" s="95" t="n">
        <v>46084</v>
      </c>
      <c r="E3188" s="92" t="inlineStr">
        <is>
          <t>KR</t>
        </is>
      </c>
      <c r="F3188" s="92" t="n">
        <v>63501000</v>
      </c>
      <c r="G3188" s="92" t="n">
        <v>1902</v>
      </c>
      <c r="H3188" s="93" t="n">
        <v>472705000</v>
      </c>
      <c r="I3188" s="92" t="inlineStr">
        <is>
          <t>3월 모집수수료 - BB에셋</t>
        </is>
      </c>
      <c r="J3188" s="92" t="inlineStr">
        <is>
          <t>V10013</t>
        </is>
      </c>
      <c r="K3188" s="92" t="inlineStr">
        <is>
          <t>BB에셋</t>
        </is>
      </c>
      <c r="M3188" s="9">
        <f>IF($A3188="","",VALUE($A3188&amp;"")*12+VALUE($B3188&amp;""))</f>
        <v/>
      </c>
      <c r="N3188" s="64">
        <f>IF($A3188="","",IFERROR(INDEX(부서매핑!$C$5:$C$504,MATCH($G3188&amp;"",부서매핑!$A$5:$A$504,0)),"미매핑"))</f>
        <v/>
      </c>
      <c r="O3188" s="9">
        <f>IF($A3188="","",N3188&amp;"|"&amp;$F3188)</f>
        <v/>
      </c>
      <c r="P3188" s="94">
        <f>IF($A3188="",0,$H3188*설정!$C$23)</f>
        <v/>
      </c>
      <c r="Q3188" s="64">
        <f>IF($A3188="","",IF(O3188&lt;&gt;원인분석!$C$9,"",IF(AND(M3188&gt;=원인분석!$C$10,M3188&lt;=원인분석!$C$11),"당기",IF(AND(M3188&gt;=원인분석!$C$12,M3188&lt;=원인분석!$C$13),"비교",""))))</f>
        <v/>
      </c>
      <c r="R3188" s="9">
        <f>IF(Q3188="","",$K3188&amp;"")</f>
        <v/>
      </c>
      <c r="S3188" s="9">
        <f>IF(Q3188="","",IF(MATCH(R3188,$R$5:$R$100000,0)=ROW()-4,ROW(),""))</f>
        <v/>
      </c>
      <c r="T3188" s="9">
        <f>IF(Q3188="당기",ABS(P3188)+ROW()/1000000000,"")</f>
        <v/>
      </c>
      <c r="U3188" s="9">
        <f>IF(Q3188="비교",ABS(P3188)+ROW()/1000000000,"")</f>
        <v/>
      </c>
      <c r="V3188" s="64">
        <f>IF($A3188="","",IF(COUNTIF(변동분석!$E$7:$E$506,O3188)&gt;0,"Y","N"))</f>
        <v/>
      </c>
      <c r="W3188" s="64">
        <f>IF($A3188="","",IFERROR(INDEX(계정매핑!$D$5:$D$504,MATCH($F3188&amp;"",계정매핑!$A$5:$A$504,0)),"미매핑"))</f>
        <v/>
      </c>
      <c r="X3188" s="9">
        <f>IF($A3188="","",$F3188&amp;"")</f>
        <v/>
      </c>
      <c r="Y3188" s="94">
        <f>IF($A3188="",0,IF(AE3188="직접",IF(AF3188="비귀속",$P3188,0),$P3188*(1-AG3188)*IFERROR(INDEX(계정대체기준!$F$20:$F$49,MATCH($N3188,계정대체기준!$A$20:$A$49,0)),1)))</f>
        <v/>
      </c>
      <c r="Z3188" s="94">
        <f>IF($A3188="",0,IF(AE3188="직접",IF(AF3188="신계약비",$P3188,0),$P3188*(1-AG3188)*IFERROR(INDEX(계정대체기준!$C$20:$C$49,MATCH($N3188,계정대체기준!$A$20:$A$49,0)),0)))</f>
        <v/>
      </c>
      <c r="AA3188" s="94">
        <f>IF($A3188="",0,IF(AE3188="직접",IF(OR(AF3188="유지비",AF3188="손해조사비"),$P3188,0),$P3188*(1-AG3188)*IFERROR(INDEX(계정대체기준!$D$20:$D$49,MATCH($N3188,계정대체기준!$A$20:$A$49,0)),0)))</f>
        <v/>
      </c>
      <c r="AB3188" s="94">
        <f>IF($A3188="",0,IF(AE3188="직접",IF(AF3188="수금비",$P3188,0),$P3188*(1-AG3188)*IFERROR(INDEX(계정대체기준!$E$20:$E$49,MATCH($N3188,계정대체기준!$A$20:$A$49,0)),0)))</f>
        <v/>
      </c>
      <c r="AC3188" s="9">
        <f>IF(AND($A3188&lt;&gt;"",M3188=설정!$C$20,Z3188&gt;0),Z3188+ROW()/1000000000,"")</f>
        <v/>
      </c>
      <c r="AD3188" s="94">
        <f>IF($A3188="",0,$P3188*AG3188)</f>
        <v/>
      </c>
      <c r="AE3188" s="64">
        <f>IF($A3188="","",IFERROR(INDEX(계정매핑!$E$5:$E$504,MATCH($F3188&amp;"",계정매핑!$A$5:$A$504,0))&amp;"","공통비"))</f>
        <v/>
      </c>
      <c r="AF3188" s="64">
        <f>IF($A3188="","",IF(AE3188="직접",IFERROR(INDEX(계정매핑!$F$5:$F$504,MATCH($F3188&amp;"",계정매핑!$A$5:$A$504,0))&amp;"","비귀속"),""))</f>
        <v/>
      </c>
      <c r="AG3188" s="96">
        <f>IF($A3188="",0,IF(AND(AE3188&lt;&gt;"직접",IFERROR(INDEX(계정매핑!$G$5:$G$504,MATCH($F3188&amp;"",계정매핑!$A$5:$A$504,0))&amp;"","")="유지비",COUNTIF(계정대체기준!$A$6:$A$15,$N3188)&gt;0),IFERROR(INDEX(계정대체기준!$E$6:$E$15,MATCH(VALUE($A3188&amp;""),계정대체기준!$D$6:$D$15,0)),0),0))</f>
        <v/>
      </c>
      <c r="AH3188" s="64">
        <f>IF($A3188="","",IF(AD3188=0,"",IF(OR(COUNTIF(계정대체기준!$A$77:$A$86,$N3188)&gt;0,ISNUMBER(MATCH($X3188,계정대체기준!$D$77:$D$86,0)),ISNUMBER(MATCH($F3188,계정대체기준!$D$77:$D$86,0))),"Y","N")))</f>
        <v/>
      </c>
    </row>
    <row r="3189">
      <c r="A3189" s="92" t="n">
        <v>2026</v>
      </c>
      <c r="B3189" s="92" t="n">
        <v>3</v>
      </c>
      <c r="C3189" s="92" t="inlineStr">
        <is>
          <t>5100000467</t>
        </is>
      </c>
      <c r="D3189" s="95" t="n">
        <v>46085</v>
      </c>
      <c r="E3189" s="92" t="inlineStr">
        <is>
          <t>KR</t>
        </is>
      </c>
      <c r="F3189" s="92" t="n">
        <v>62101000</v>
      </c>
      <c r="G3189" s="92" t="n">
        <v>1501</v>
      </c>
      <c r="H3189" s="93" t="n">
        <v>706000</v>
      </c>
      <c r="I3189" s="92" t="inlineStr">
        <is>
          <t>3월 국내출장 - L여행사</t>
        </is>
      </c>
      <c r="J3189" s="92" t="inlineStr">
        <is>
          <t>V10018</t>
        </is>
      </c>
      <c r="K3189" s="92" t="inlineStr">
        <is>
          <t>L여행사</t>
        </is>
      </c>
      <c r="M3189" s="9">
        <f>IF($A3189="","",VALUE($A3189&amp;"")*12+VALUE($B3189&amp;""))</f>
        <v/>
      </c>
      <c r="N3189" s="64">
        <f>IF($A3189="","",IFERROR(INDEX(부서매핑!$C$5:$C$504,MATCH($G3189&amp;"",부서매핑!$A$5:$A$504,0)),"미매핑"))</f>
        <v/>
      </c>
      <c r="O3189" s="9">
        <f>IF($A3189="","",N3189&amp;"|"&amp;$F3189)</f>
        <v/>
      </c>
      <c r="P3189" s="94">
        <f>IF($A3189="",0,$H3189*설정!$C$23)</f>
        <v/>
      </c>
      <c r="Q3189" s="64">
        <f>IF($A3189="","",IF(O3189&lt;&gt;원인분석!$C$9,"",IF(AND(M3189&gt;=원인분석!$C$10,M3189&lt;=원인분석!$C$11),"당기",IF(AND(M3189&gt;=원인분석!$C$12,M3189&lt;=원인분석!$C$13),"비교",""))))</f>
        <v/>
      </c>
      <c r="R3189" s="9">
        <f>IF(Q3189="","",$K3189&amp;"")</f>
        <v/>
      </c>
      <c r="S3189" s="9">
        <f>IF(Q3189="","",IF(MATCH(R3189,$R$5:$R$100000,0)=ROW()-4,ROW(),""))</f>
        <v/>
      </c>
      <c r="T3189" s="9">
        <f>IF(Q3189="당기",ABS(P3189)+ROW()/1000000000,"")</f>
        <v/>
      </c>
      <c r="U3189" s="9">
        <f>IF(Q3189="비교",ABS(P3189)+ROW()/1000000000,"")</f>
        <v/>
      </c>
      <c r="V3189" s="64">
        <f>IF($A3189="","",IF(COUNTIF(변동분석!$E$7:$E$506,O3189)&gt;0,"Y","N"))</f>
        <v/>
      </c>
      <c r="W3189" s="64">
        <f>IF($A3189="","",IFERROR(INDEX(계정매핑!$D$5:$D$504,MATCH($F3189&amp;"",계정매핑!$A$5:$A$504,0)),"미매핑"))</f>
        <v/>
      </c>
      <c r="X3189" s="9">
        <f>IF($A3189="","",$F3189&amp;"")</f>
        <v/>
      </c>
      <c r="Y3189" s="94">
        <f>IF($A3189="",0,IF(AE3189="직접",IF(AF3189="비귀속",$P3189,0),$P3189*(1-AG3189)*IFERROR(INDEX(계정대체기준!$F$20:$F$49,MATCH($N3189,계정대체기준!$A$20:$A$49,0)),1)))</f>
        <v/>
      </c>
      <c r="Z3189" s="94">
        <f>IF($A3189="",0,IF(AE3189="직접",IF(AF3189="신계약비",$P3189,0),$P3189*(1-AG3189)*IFERROR(INDEX(계정대체기준!$C$20:$C$49,MATCH($N3189,계정대체기준!$A$20:$A$49,0)),0)))</f>
        <v/>
      </c>
      <c r="AA3189" s="94">
        <f>IF($A3189="",0,IF(AE3189="직접",IF(OR(AF3189="유지비",AF3189="손해조사비"),$P3189,0),$P3189*(1-AG3189)*IFERROR(INDEX(계정대체기준!$D$20:$D$49,MATCH($N3189,계정대체기준!$A$20:$A$49,0)),0)))</f>
        <v/>
      </c>
      <c r="AB3189" s="94">
        <f>IF($A3189="",0,IF(AE3189="직접",IF(AF3189="수금비",$P3189,0),$P3189*(1-AG3189)*IFERROR(INDEX(계정대체기준!$E$20:$E$49,MATCH($N3189,계정대체기준!$A$20:$A$49,0)),0)))</f>
        <v/>
      </c>
      <c r="AC3189" s="9">
        <f>IF(AND($A3189&lt;&gt;"",M3189=설정!$C$20,Z3189&gt;0),Z3189+ROW()/1000000000,"")</f>
        <v/>
      </c>
      <c r="AD3189" s="94">
        <f>IF($A3189="",0,$P3189*AG3189)</f>
        <v/>
      </c>
      <c r="AE3189" s="64">
        <f>IF($A3189="","",IFERROR(INDEX(계정매핑!$E$5:$E$504,MATCH($F3189&amp;"",계정매핑!$A$5:$A$504,0))&amp;"","공통비"))</f>
        <v/>
      </c>
      <c r="AF3189" s="64">
        <f>IF($A3189="","",IF(AE3189="직접",IFERROR(INDEX(계정매핑!$F$5:$F$504,MATCH($F3189&amp;"",계정매핑!$A$5:$A$504,0))&amp;"","비귀속"),""))</f>
        <v/>
      </c>
      <c r="AG3189" s="96">
        <f>IF($A3189="",0,IF(AND(AE3189&lt;&gt;"직접",IFERROR(INDEX(계정매핑!$G$5:$G$504,MATCH($F3189&amp;"",계정매핑!$A$5:$A$504,0))&amp;"","")="유지비",COUNTIF(계정대체기준!$A$6:$A$15,$N3189)&gt;0),IFERROR(INDEX(계정대체기준!$E$6:$E$15,MATCH(VALUE($A3189&amp;""),계정대체기준!$D$6:$D$15,0)),0),0))</f>
        <v/>
      </c>
      <c r="AH3189" s="64">
        <f>IF($A3189="","",IF(AD3189=0,"",IF(OR(COUNTIF(계정대체기준!$A$77:$A$86,$N3189)&gt;0,ISNUMBER(MATCH($X3189,계정대체기준!$D$77:$D$86,0)),ISNUMBER(MATCH($F3189,계정대체기준!$D$77:$D$86,0))),"Y","N")))</f>
        <v/>
      </c>
    </row>
    <row r="3190">
      <c r="A3190" s="92" t="n">
        <v>2026</v>
      </c>
      <c r="B3190" s="92" t="n">
        <v>3</v>
      </c>
      <c r="C3190" s="92" t="inlineStr">
        <is>
          <t>5100000468</t>
        </is>
      </c>
      <c r="D3190" s="95" t="n">
        <v>46085</v>
      </c>
      <c r="E3190" s="92" t="inlineStr">
        <is>
          <t>KR</t>
        </is>
      </c>
      <c r="F3190" s="92" t="n">
        <v>62101000</v>
      </c>
      <c r="G3190" s="92" t="n">
        <v>1501</v>
      </c>
      <c r="H3190" s="93" t="n">
        <v>447000</v>
      </c>
      <c r="I3190" s="92" t="inlineStr">
        <is>
          <t>3월 국내출장 - (법인카드)</t>
        </is>
      </c>
      <c r="J3190" s="92" t="inlineStr">
        <is>
          <t>V10010</t>
        </is>
      </c>
      <c r="K3190" s="92" t="inlineStr">
        <is>
          <t>(법인카드)</t>
        </is>
      </c>
      <c r="M3190" s="9">
        <f>IF($A3190="","",VALUE($A3190&amp;"")*12+VALUE($B3190&amp;""))</f>
        <v/>
      </c>
      <c r="N3190" s="64">
        <f>IF($A3190="","",IFERROR(INDEX(부서매핑!$C$5:$C$504,MATCH($G3190&amp;"",부서매핑!$A$5:$A$504,0)),"미매핑"))</f>
        <v/>
      </c>
      <c r="O3190" s="9">
        <f>IF($A3190="","",N3190&amp;"|"&amp;$F3190)</f>
        <v/>
      </c>
      <c r="P3190" s="94">
        <f>IF($A3190="",0,$H3190*설정!$C$23)</f>
        <v/>
      </c>
      <c r="Q3190" s="64">
        <f>IF($A3190="","",IF(O3190&lt;&gt;원인분석!$C$9,"",IF(AND(M3190&gt;=원인분석!$C$10,M3190&lt;=원인분석!$C$11),"당기",IF(AND(M3190&gt;=원인분석!$C$12,M3190&lt;=원인분석!$C$13),"비교",""))))</f>
        <v/>
      </c>
      <c r="R3190" s="9">
        <f>IF(Q3190="","",$K3190&amp;"")</f>
        <v/>
      </c>
      <c r="S3190" s="9">
        <f>IF(Q3190="","",IF(MATCH(R3190,$R$5:$R$100000,0)=ROW()-4,ROW(),""))</f>
        <v/>
      </c>
      <c r="T3190" s="9">
        <f>IF(Q3190="당기",ABS(P3190)+ROW()/1000000000,"")</f>
        <v/>
      </c>
      <c r="U3190" s="9">
        <f>IF(Q3190="비교",ABS(P3190)+ROW()/1000000000,"")</f>
        <v/>
      </c>
      <c r="V3190" s="64">
        <f>IF($A3190="","",IF(COUNTIF(변동분석!$E$7:$E$506,O3190)&gt;0,"Y","N"))</f>
        <v/>
      </c>
      <c r="W3190" s="64">
        <f>IF($A3190="","",IFERROR(INDEX(계정매핑!$D$5:$D$504,MATCH($F3190&amp;"",계정매핑!$A$5:$A$504,0)),"미매핑"))</f>
        <v/>
      </c>
      <c r="X3190" s="9">
        <f>IF($A3190="","",$F3190&amp;"")</f>
        <v/>
      </c>
      <c r="Y3190" s="94">
        <f>IF($A3190="",0,IF(AE3190="직접",IF(AF3190="비귀속",$P3190,0),$P3190*(1-AG3190)*IFERROR(INDEX(계정대체기준!$F$20:$F$49,MATCH($N3190,계정대체기준!$A$20:$A$49,0)),1)))</f>
        <v/>
      </c>
      <c r="Z3190" s="94">
        <f>IF($A3190="",0,IF(AE3190="직접",IF(AF3190="신계약비",$P3190,0),$P3190*(1-AG3190)*IFERROR(INDEX(계정대체기준!$C$20:$C$49,MATCH($N3190,계정대체기준!$A$20:$A$49,0)),0)))</f>
        <v/>
      </c>
      <c r="AA3190" s="94">
        <f>IF($A3190="",0,IF(AE3190="직접",IF(OR(AF3190="유지비",AF3190="손해조사비"),$P3190,0),$P3190*(1-AG3190)*IFERROR(INDEX(계정대체기준!$D$20:$D$49,MATCH($N3190,계정대체기준!$A$20:$A$49,0)),0)))</f>
        <v/>
      </c>
      <c r="AB3190" s="94">
        <f>IF($A3190="",0,IF(AE3190="직접",IF(AF3190="수금비",$P3190,0),$P3190*(1-AG3190)*IFERROR(INDEX(계정대체기준!$E$20:$E$49,MATCH($N3190,계정대체기준!$A$20:$A$49,0)),0)))</f>
        <v/>
      </c>
      <c r="AC3190" s="9">
        <f>IF(AND($A3190&lt;&gt;"",M3190=설정!$C$20,Z3190&gt;0),Z3190+ROW()/1000000000,"")</f>
        <v/>
      </c>
      <c r="AD3190" s="94">
        <f>IF($A3190="",0,$P3190*AG3190)</f>
        <v/>
      </c>
      <c r="AE3190" s="64">
        <f>IF($A3190="","",IFERROR(INDEX(계정매핑!$E$5:$E$504,MATCH($F3190&amp;"",계정매핑!$A$5:$A$504,0))&amp;"","공통비"))</f>
        <v/>
      </c>
      <c r="AF3190" s="64">
        <f>IF($A3190="","",IF(AE3190="직접",IFERROR(INDEX(계정매핑!$F$5:$F$504,MATCH($F3190&amp;"",계정매핑!$A$5:$A$504,0))&amp;"","비귀속"),""))</f>
        <v/>
      </c>
      <c r="AG3190" s="96">
        <f>IF($A3190="",0,IF(AND(AE3190&lt;&gt;"직접",IFERROR(INDEX(계정매핑!$G$5:$G$504,MATCH($F3190&amp;"",계정매핑!$A$5:$A$504,0))&amp;"","")="유지비",COUNTIF(계정대체기준!$A$6:$A$15,$N3190)&gt;0),IFERROR(INDEX(계정대체기준!$E$6:$E$15,MATCH(VALUE($A3190&amp;""),계정대체기준!$D$6:$D$15,0)),0),0))</f>
        <v/>
      </c>
      <c r="AH3190" s="64">
        <f>IF($A3190="","",IF(AD3190=0,"",IF(OR(COUNTIF(계정대체기준!$A$77:$A$86,$N3190)&gt;0,ISNUMBER(MATCH($X3190,계정대체기준!$D$77:$D$86,0)),ISNUMBER(MATCH($F3190,계정대체기준!$D$77:$D$86,0))),"Y","N")))</f>
        <v/>
      </c>
    </row>
    <row r="3191">
      <c r="A3191" s="92" t="n">
        <v>2026</v>
      </c>
      <c r="B3191" s="92" t="n">
        <v>3</v>
      </c>
      <c r="C3191" s="92" t="inlineStr">
        <is>
          <t>5100000469</t>
        </is>
      </c>
      <c r="D3191" s="95" t="n">
        <v>46085</v>
      </c>
      <c r="E3191" s="92" t="inlineStr">
        <is>
          <t>KR</t>
        </is>
      </c>
      <c r="F3191" s="92" t="n">
        <v>62101000</v>
      </c>
      <c r="G3191" s="92" t="n">
        <v>1701</v>
      </c>
      <c r="H3191" s="93" t="n">
        <v>204000</v>
      </c>
      <c r="I3191" s="92" t="inlineStr">
        <is>
          <t>3월 국내출장 - L여행사</t>
        </is>
      </c>
      <c r="J3191" s="92" t="inlineStr">
        <is>
          <t>V10018</t>
        </is>
      </c>
      <c r="K3191" s="92" t="inlineStr">
        <is>
          <t>L여행사</t>
        </is>
      </c>
      <c r="M3191" s="9">
        <f>IF($A3191="","",VALUE($A3191&amp;"")*12+VALUE($B3191&amp;""))</f>
        <v/>
      </c>
      <c r="N3191" s="64">
        <f>IF($A3191="","",IFERROR(INDEX(부서매핑!$C$5:$C$504,MATCH($G3191&amp;"",부서매핑!$A$5:$A$504,0)),"미매핑"))</f>
        <v/>
      </c>
      <c r="O3191" s="9">
        <f>IF($A3191="","",N3191&amp;"|"&amp;$F3191)</f>
        <v/>
      </c>
      <c r="P3191" s="94">
        <f>IF($A3191="",0,$H3191*설정!$C$23)</f>
        <v/>
      </c>
      <c r="Q3191" s="64">
        <f>IF($A3191="","",IF(O3191&lt;&gt;원인분석!$C$9,"",IF(AND(M3191&gt;=원인분석!$C$10,M3191&lt;=원인분석!$C$11),"당기",IF(AND(M3191&gt;=원인분석!$C$12,M3191&lt;=원인분석!$C$13),"비교",""))))</f>
        <v/>
      </c>
      <c r="R3191" s="9">
        <f>IF(Q3191="","",$K3191&amp;"")</f>
        <v/>
      </c>
      <c r="S3191" s="9">
        <f>IF(Q3191="","",IF(MATCH(R3191,$R$5:$R$100000,0)=ROW()-4,ROW(),""))</f>
        <v/>
      </c>
      <c r="T3191" s="9">
        <f>IF(Q3191="당기",ABS(P3191)+ROW()/1000000000,"")</f>
        <v/>
      </c>
      <c r="U3191" s="9">
        <f>IF(Q3191="비교",ABS(P3191)+ROW()/1000000000,"")</f>
        <v/>
      </c>
      <c r="V3191" s="64">
        <f>IF($A3191="","",IF(COUNTIF(변동분석!$E$7:$E$506,O3191)&gt;0,"Y","N"))</f>
        <v/>
      </c>
      <c r="W3191" s="64">
        <f>IF($A3191="","",IFERROR(INDEX(계정매핑!$D$5:$D$504,MATCH($F3191&amp;"",계정매핑!$A$5:$A$504,0)),"미매핑"))</f>
        <v/>
      </c>
      <c r="X3191" s="9">
        <f>IF($A3191="","",$F3191&amp;"")</f>
        <v/>
      </c>
      <c r="Y3191" s="94">
        <f>IF($A3191="",0,IF(AE3191="직접",IF(AF3191="비귀속",$P3191,0),$P3191*(1-AG3191)*IFERROR(INDEX(계정대체기준!$F$20:$F$49,MATCH($N3191,계정대체기준!$A$20:$A$49,0)),1)))</f>
        <v/>
      </c>
      <c r="Z3191" s="94">
        <f>IF($A3191="",0,IF(AE3191="직접",IF(AF3191="신계약비",$P3191,0),$P3191*(1-AG3191)*IFERROR(INDEX(계정대체기준!$C$20:$C$49,MATCH($N3191,계정대체기준!$A$20:$A$49,0)),0)))</f>
        <v/>
      </c>
      <c r="AA3191" s="94">
        <f>IF($A3191="",0,IF(AE3191="직접",IF(OR(AF3191="유지비",AF3191="손해조사비"),$P3191,0),$P3191*(1-AG3191)*IFERROR(INDEX(계정대체기준!$D$20:$D$49,MATCH($N3191,계정대체기준!$A$20:$A$49,0)),0)))</f>
        <v/>
      </c>
      <c r="AB3191" s="94">
        <f>IF($A3191="",0,IF(AE3191="직접",IF(AF3191="수금비",$P3191,0),$P3191*(1-AG3191)*IFERROR(INDEX(계정대체기준!$E$20:$E$49,MATCH($N3191,계정대체기준!$A$20:$A$49,0)),0)))</f>
        <v/>
      </c>
      <c r="AC3191" s="9">
        <f>IF(AND($A3191&lt;&gt;"",M3191=설정!$C$20,Z3191&gt;0),Z3191+ROW()/1000000000,"")</f>
        <v/>
      </c>
      <c r="AD3191" s="94">
        <f>IF($A3191="",0,$P3191*AG3191)</f>
        <v/>
      </c>
      <c r="AE3191" s="64">
        <f>IF($A3191="","",IFERROR(INDEX(계정매핑!$E$5:$E$504,MATCH($F3191&amp;"",계정매핑!$A$5:$A$504,0))&amp;"","공통비"))</f>
        <v/>
      </c>
      <c r="AF3191" s="64">
        <f>IF($A3191="","",IF(AE3191="직접",IFERROR(INDEX(계정매핑!$F$5:$F$504,MATCH($F3191&amp;"",계정매핑!$A$5:$A$504,0))&amp;"","비귀속"),""))</f>
        <v/>
      </c>
      <c r="AG3191" s="96">
        <f>IF($A3191="",0,IF(AND(AE3191&lt;&gt;"직접",IFERROR(INDEX(계정매핑!$G$5:$G$504,MATCH($F3191&amp;"",계정매핑!$A$5:$A$504,0))&amp;"","")="유지비",COUNTIF(계정대체기준!$A$6:$A$15,$N3191)&gt;0),IFERROR(INDEX(계정대체기준!$E$6:$E$15,MATCH(VALUE($A3191&amp;""),계정대체기준!$D$6:$D$15,0)),0),0))</f>
        <v/>
      </c>
      <c r="AH3191" s="64">
        <f>IF($A3191="","",IF(AD3191=0,"",IF(OR(COUNTIF(계정대체기준!$A$77:$A$86,$N3191)&gt;0,ISNUMBER(MATCH($X3191,계정대체기준!$D$77:$D$86,0)),ISNUMBER(MATCH($F3191,계정대체기준!$D$77:$D$86,0))),"Y","N")))</f>
        <v/>
      </c>
    </row>
    <row r="3192">
      <c r="A3192" s="92" t="n">
        <v>2026</v>
      </c>
      <c r="B3192" s="92" t="n">
        <v>3</v>
      </c>
      <c r="C3192" s="92" t="inlineStr">
        <is>
          <t>5100000470</t>
        </is>
      </c>
      <c r="D3192" s="95" t="n">
        <v>46085</v>
      </c>
      <c r="E3192" s="92" t="inlineStr">
        <is>
          <t>KR</t>
        </is>
      </c>
      <c r="F3192" s="92" t="n">
        <v>62101000</v>
      </c>
      <c r="G3192" s="92" t="n">
        <v>1951</v>
      </c>
      <c r="H3192" s="93" t="n">
        <v>385000</v>
      </c>
      <c r="I3192" s="92" t="inlineStr">
        <is>
          <t>3월 국내출장 - (법인카드)</t>
        </is>
      </c>
      <c r="J3192" s="92" t="inlineStr">
        <is>
          <t>V10010</t>
        </is>
      </c>
      <c r="K3192" s="92" t="inlineStr">
        <is>
          <t>(법인카드)</t>
        </is>
      </c>
      <c r="M3192" s="9">
        <f>IF($A3192="","",VALUE($A3192&amp;"")*12+VALUE($B3192&amp;""))</f>
        <v/>
      </c>
      <c r="N3192" s="64">
        <f>IF($A3192="","",IFERROR(INDEX(부서매핑!$C$5:$C$504,MATCH($G3192&amp;"",부서매핑!$A$5:$A$504,0)),"미매핑"))</f>
        <v/>
      </c>
      <c r="O3192" s="9">
        <f>IF($A3192="","",N3192&amp;"|"&amp;$F3192)</f>
        <v/>
      </c>
      <c r="P3192" s="94">
        <f>IF($A3192="",0,$H3192*설정!$C$23)</f>
        <v/>
      </c>
      <c r="Q3192" s="64">
        <f>IF($A3192="","",IF(O3192&lt;&gt;원인분석!$C$9,"",IF(AND(M3192&gt;=원인분석!$C$10,M3192&lt;=원인분석!$C$11),"당기",IF(AND(M3192&gt;=원인분석!$C$12,M3192&lt;=원인분석!$C$13),"비교",""))))</f>
        <v/>
      </c>
      <c r="R3192" s="9">
        <f>IF(Q3192="","",$K3192&amp;"")</f>
        <v/>
      </c>
      <c r="S3192" s="9">
        <f>IF(Q3192="","",IF(MATCH(R3192,$R$5:$R$100000,0)=ROW()-4,ROW(),""))</f>
        <v/>
      </c>
      <c r="T3192" s="9">
        <f>IF(Q3192="당기",ABS(P3192)+ROW()/1000000000,"")</f>
        <v/>
      </c>
      <c r="U3192" s="9">
        <f>IF(Q3192="비교",ABS(P3192)+ROW()/1000000000,"")</f>
        <v/>
      </c>
      <c r="V3192" s="64">
        <f>IF($A3192="","",IF(COUNTIF(변동분석!$E$7:$E$506,O3192)&gt;0,"Y","N"))</f>
        <v/>
      </c>
      <c r="W3192" s="64">
        <f>IF($A3192="","",IFERROR(INDEX(계정매핑!$D$5:$D$504,MATCH($F3192&amp;"",계정매핑!$A$5:$A$504,0)),"미매핑"))</f>
        <v/>
      </c>
      <c r="X3192" s="9">
        <f>IF($A3192="","",$F3192&amp;"")</f>
        <v/>
      </c>
      <c r="Y3192" s="94">
        <f>IF($A3192="",0,IF(AE3192="직접",IF(AF3192="비귀속",$P3192,0),$P3192*(1-AG3192)*IFERROR(INDEX(계정대체기준!$F$20:$F$49,MATCH($N3192,계정대체기준!$A$20:$A$49,0)),1)))</f>
        <v/>
      </c>
      <c r="Z3192" s="94">
        <f>IF($A3192="",0,IF(AE3192="직접",IF(AF3192="신계약비",$P3192,0),$P3192*(1-AG3192)*IFERROR(INDEX(계정대체기준!$C$20:$C$49,MATCH($N3192,계정대체기준!$A$20:$A$49,0)),0)))</f>
        <v/>
      </c>
      <c r="AA3192" s="94">
        <f>IF($A3192="",0,IF(AE3192="직접",IF(OR(AF3192="유지비",AF3192="손해조사비"),$P3192,0),$P3192*(1-AG3192)*IFERROR(INDEX(계정대체기준!$D$20:$D$49,MATCH($N3192,계정대체기준!$A$20:$A$49,0)),0)))</f>
        <v/>
      </c>
      <c r="AB3192" s="94">
        <f>IF($A3192="",0,IF(AE3192="직접",IF(AF3192="수금비",$P3192,0),$P3192*(1-AG3192)*IFERROR(INDEX(계정대체기준!$E$20:$E$49,MATCH($N3192,계정대체기준!$A$20:$A$49,0)),0)))</f>
        <v/>
      </c>
      <c r="AC3192" s="9">
        <f>IF(AND($A3192&lt;&gt;"",M3192=설정!$C$20,Z3192&gt;0),Z3192+ROW()/1000000000,"")</f>
        <v/>
      </c>
      <c r="AD3192" s="94">
        <f>IF($A3192="",0,$P3192*AG3192)</f>
        <v/>
      </c>
      <c r="AE3192" s="64">
        <f>IF($A3192="","",IFERROR(INDEX(계정매핑!$E$5:$E$504,MATCH($F3192&amp;"",계정매핑!$A$5:$A$504,0))&amp;"","공통비"))</f>
        <v/>
      </c>
      <c r="AF3192" s="64">
        <f>IF($A3192="","",IF(AE3192="직접",IFERROR(INDEX(계정매핑!$F$5:$F$504,MATCH($F3192&amp;"",계정매핑!$A$5:$A$504,0))&amp;"","비귀속"),""))</f>
        <v/>
      </c>
      <c r="AG3192" s="96">
        <f>IF($A3192="",0,IF(AND(AE3192&lt;&gt;"직접",IFERROR(INDEX(계정매핑!$G$5:$G$504,MATCH($F3192&amp;"",계정매핑!$A$5:$A$504,0))&amp;"","")="유지비",COUNTIF(계정대체기준!$A$6:$A$15,$N3192)&gt;0),IFERROR(INDEX(계정대체기준!$E$6:$E$15,MATCH(VALUE($A3192&amp;""),계정대체기준!$D$6:$D$15,0)),0),0))</f>
        <v/>
      </c>
      <c r="AH3192" s="64">
        <f>IF($A3192="","",IF(AD3192=0,"",IF(OR(COUNTIF(계정대체기준!$A$77:$A$86,$N3192)&gt;0,ISNUMBER(MATCH($X3192,계정대체기준!$D$77:$D$86,0)),ISNUMBER(MATCH($F3192,계정대체기준!$D$77:$D$86,0))),"Y","N")))</f>
        <v/>
      </c>
    </row>
    <row r="3193">
      <c r="A3193" s="92" t="n">
        <v>2026</v>
      </c>
      <c r="B3193" s="92" t="n">
        <v>3</v>
      </c>
      <c r="C3193" s="92" t="inlineStr">
        <is>
          <t>5100000471</t>
        </is>
      </c>
      <c r="D3193" s="95" t="n">
        <v>46085</v>
      </c>
      <c r="E3193" s="92" t="inlineStr">
        <is>
          <t>KR</t>
        </is>
      </c>
      <c r="F3193" s="92" t="n">
        <v>62201000</v>
      </c>
      <c r="G3193" s="92" t="n">
        <v>1101</v>
      </c>
      <c r="H3193" s="93" t="n">
        <v>233000</v>
      </c>
      <c r="I3193" s="92" t="inlineStr">
        <is>
          <t>3월 통신요금 - P통신</t>
        </is>
      </c>
      <c r="J3193" s="92" t="inlineStr">
        <is>
          <t>V10014</t>
        </is>
      </c>
      <c r="K3193" s="92" t="inlineStr">
        <is>
          <t>P통신</t>
        </is>
      </c>
      <c r="M3193" s="9">
        <f>IF($A3193="","",VALUE($A3193&amp;"")*12+VALUE($B3193&amp;""))</f>
        <v/>
      </c>
      <c r="N3193" s="64">
        <f>IF($A3193="","",IFERROR(INDEX(부서매핑!$C$5:$C$504,MATCH($G3193&amp;"",부서매핑!$A$5:$A$504,0)),"미매핑"))</f>
        <v/>
      </c>
      <c r="O3193" s="9">
        <f>IF($A3193="","",N3193&amp;"|"&amp;$F3193)</f>
        <v/>
      </c>
      <c r="P3193" s="94">
        <f>IF($A3193="",0,$H3193*설정!$C$23)</f>
        <v/>
      </c>
      <c r="Q3193" s="64">
        <f>IF($A3193="","",IF(O3193&lt;&gt;원인분석!$C$9,"",IF(AND(M3193&gt;=원인분석!$C$10,M3193&lt;=원인분석!$C$11),"당기",IF(AND(M3193&gt;=원인분석!$C$12,M3193&lt;=원인분석!$C$13),"비교",""))))</f>
        <v/>
      </c>
      <c r="R3193" s="9">
        <f>IF(Q3193="","",$K3193&amp;"")</f>
        <v/>
      </c>
      <c r="S3193" s="9">
        <f>IF(Q3193="","",IF(MATCH(R3193,$R$5:$R$100000,0)=ROW()-4,ROW(),""))</f>
        <v/>
      </c>
      <c r="T3193" s="9">
        <f>IF(Q3193="당기",ABS(P3193)+ROW()/1000000000,"")</f>
        <v/>
      </c>
      <c r="U3193" s="9">
        <f>IF(Q3193="비교",ABS(P3193)+ROW()/1000000000,"")</f>
        <v/>
      </c>
      <c r="V3193" s="64">
        <f>IF($A3193="","",IF(COUNTIF(변동분석!$E$7:$E$506,O3193)&gt;0,"Y","N"))</f>
        <v/>
      </c>
      <c r="W3193" s="64">
        <f>IF($A3193="","",IFERROR(INDEX(계정매핑!$D$5:$D$504,MATCH($F3193&amp;"",계정매핑!$A$5:$A$504,0)),"미매핑"))</f>
        <v/>
      </c>
      <c r="X3193" s="9">
        <f>IF($A3193="","",$F3193&amp;"")</f>
        <v/>
      </c>
      <c r="Y3193" s="94">
        <f>IF($A3193="",0,IF(AE3193="직접",IF(AF3193="비귀속",$P3193,0),$P3193*(1-AG3193)*IFERROR(INDEX(계정대체기준!$F$20:$F$49,MATCH($N3193,계정대체기준!$A$20:$A$49,0)),1)))</f>
        <v/>
      </c>
      <c r="Z3193" s="94">
        <f>IF($A3193="",0,IF(AE3193="직접",IF(AF3193="신계약비",$P3193,0),$P3193*(1-AG3193)*IFERROR(INDEX(계정대체기준!$C$20:$C$49,MATCH($N3193,계정대체기준!$A$20:$A$49,0)),0)))</f>
        <v/>
      </c>
      <c r="AA3193" s="94">
        <f>IF($A3193="",0,IF(AE3193="직접",IF(OR(AF3193="유지비",AF3193="손해조사비"),$P3193,0),$P3193*(1-AG3193)*IFERROR(INDEX(계정대체기준!$D$20:$D$49,MATCH($N3193,계정대체기준!$A$20:$A$49,0)),0)))</f>
        <v/>
      </c>
      <c r="AB3193" s="94">
        <f>IF($A3193="",0,IF(AE3193="직접",IF(AF3193="수금비",$P3193,0),$P3193*(1-AG3193)*IFERROR(INDEX(계정대체기준!$E$20:$E$49,MATCH($N3193,계정대체기준!$A$20:$A$49,0)),0)))</f>
        <v/>
      </c>
      <c r="AC3193" s="9">
        <f>IF(AND($A3193&lt;&gt;"",M3193=설정!$C$20,Z3193&gt;0),Z3193+ROW()/1000000000,"")</f>
        <v/>
      </c>
      <c r="AD3193" s="94">
        <f>IF($A3193="",0,$P3193*AG3193)</f>
        <v/>
      </c>
      <c r="AE3193" s="64">
        <f>IF($A3193="","",IFERROR(INDEX(계정매핑!$E$5:$E$504,MATCH($F3193&amp;"",계정매핑!$A$5:$A$504,0))&amp;"","공통비"))</f>
        <v/>
      </c>
      <c r="AF3193" s="64">
        <f>IF($A3193="","",IF(AE3193="직접",IFERROR(INDEX(계정매핑!$F$5:$F$504,MATCH($F3193&amp;"",계정매핑!$A$5:$A$504,0))&amp;"","비귀속"),""))</f>
        <v/>
      </c>
      <c r="AG3193" s="96">
        <f>IF($A3193="",0,IF(AND(AE3193&lt;&gt;"직접",IFERROR(INDEX(계정매핑!$G$5:$G$504,MATCH($F3193&amp;"",계정매핑!$A$5:$A$504,0))&amp;"","")="유지비",COUNTIF(계정대체기준!$A$6:$A$15,$N3193)&gt;0),IFERROR(INDEX(계정대체기준!$E$6:$E$15,MATCH(VALUE($A3193&amp;""),계정대체기준!$D$6:$D$15,0)),0),0))</f>
        <v/>
      </c>
      <c r="AH3193" s="64">
        <f>IF($A3193="","",IF(AD3193=0,"",IF(OR(COUNTIF(계정대체기준!$A$77:$A$86,$N3193)&gt;0,ISNUMBER(MATCH($X3193,계정대체기준!$D$77:$D$86,0)),ISNUMBER(MATCH($F3193,계정대체기준!$D$77:$D$86,0))),"Y","N")))</f>
        <v/>
      </c>
    </row>
    <row r="3194">
      <c r="A3194" s="92" t="n">
        <v>2026</v>
      </c>
      <c r="B3194" s="92" t="n">
        <v>3</v>
      </c>
      <c r="C3194" s="92" t="inlineStr">
        <is>
          <t>5100000472</t>
        </is>
      </c>
      <c r="D3194" s="95" t="n">
        <v>46085</v>
      </c>
      <c r="E3194" s="92" t="inlineStr">
        <is>
          <t>KR</t>
        </is>
      </c>
      <c r="F3194" s="92" t="n">
        <v>62301000</v>
      </c>
      <c r="G3194" s="92" t="n">
        <v>1301</v>
      </c>
      <c r="H3194" s="93" t="n">
        <v>299000</v>
      </c>
      <c r="I3194" s="92" t="inlineStr">
        <is>
          <t>3월 소모품 구입 - Q오피스</t>
        </is>
      </c>
      <c r="J3194" s="92" t="inlineStr">
        <is>
          <t>V10003</t>
        </is>
      </c>
      <c r="K3194" s="92" t="inlineStr">
        <is>
          <t>Q오피스</t>
        </is>
      </c>
      <c r="M3194" s="9">
        <f>IF($A3194="","",VALUE($A3194&amp;"")*12+VALUE($B3194&amp;""))</f>
        <v/>
      </c>
      <c r="N3194" s="64">
        <f>IF($A3194="","",IFERROR(INDEX(부서매핑!$C$5:$C$504,MATCH($G3194&amp;"",부서매핑!$A$5:$A$504,0)),"미매핑"))</f>
        <v/>
      </c>
      <c r="O3194" s="9">
        <f>IF($A3194="","",N3194&amp;"|"&amp;$F3194)</f>
        <v/>
      </c>
      <c r="P3194" s="94">
        <f>IF($A3194="",0,$H3194*설정!$C$23)</f>
        <v/>
      </c>
      <c r="Q3194" s="64">
        <f>IF($A3194="","",IF(O3194&lt;&gt;원인분석!$C$9,"",IF(AND(M3194&gt;=원인분석!$C$10,M3194&lt;=원인분석!$C$11),"당기",IF(AND(M3194&gt;=원인분석!$C$12,M3194&lt;=원인분석!$C$13),"비교",""))))</f>
        <v/>
      </c>
      <c r="R3194" s="9">
        <f>IF(Q3194="","",$K3194&amp;"")</f>
        <v/>
      </c>
      <c r="S3194" s="9">
        <f>IF(Q3194="","",IF(MATCH(R3194,$R$5:$R$100000,0)=ROW()-4,ROW(),""))</f>
        <v/>
      </c>
      <c r="T3194" s="9">
        <f>IF(Q3194="당기",ABS(P3194)+ROW()/1000000000,"")</f>
        <v/>
      </c>
      <c r="U3194" s="9">
        <f>IF(Q3194="비교",ABS(P3194)+ROW()/1000000000,"")</f>
        <v/>
      </c>
      <c r="V3194" s="64">
        <f>IF($A3194="","",IF(COUNTIF(변동분석!$E$7:$E$506,O3194)&gt;0,"Y","N"))</f>
        <v/>
      </c>
      <c r="W3194" s="64">
        <f>IF($A3194="","",IFERROR(INDEX(계정매핑!$D$5:$D$504,MATCH($F3194&amp;"",계정매핑!$A$5:$A$504,0)),"미매핑"))</f>
        <v/>
      </c>
      <c r="X3194" s="9">
        <f>IF($A3194="","",$F3194&amp;"")</f>
        <v/>
      </c>
      <c r="Y3194" s="94">
        <f>IF($A3194="",0,IF(AE3194="직접",IF(AF3194="비귀속",$P3194,0),$P3194*(1-AG3194)*IFERROR(INDEX(계정대체기준!$F$20:$F$49,MATCH($N3194,계정대체기준!$A$20:$A$49,0)),1)))</f>
        <v/>
      </c>
      <c r="Z3194" s="94">
        <f>IF($A3194="",0,IF(AE3194="직접",IF(AF3194="신계약비",$P3194,0),$P3194*(1-AG3194)*IFERROR(INDEX(계정대체기준!$C$20:$C$49,MATCH($N3194,계정대체기준!$A$20:$A$49,0)),0)))</f>
        <v/>
      </c>
      <c r="AA3194" s="94">
        <f>IF($A3194="",0,IF(AE3194="직접",IF(OR(AF3194="유지비",AF3194="손해조사비"),$P3194,0),$P3194*(1-AG3194)*IFERROR(INDEX(계정대체기준!$D$20:$D$49,MATCH($N3194,계정대체기준!$A$20:$A$49,0)),0)))</f>
        <v/>
      </c>
      <c r="AB3194" s="94">
        <f>IF($A3194="",0,IF(AE3194="직접",IF(AF3194="수금비",$P3194,0),$P3194*(1-AG3194)*IFERROR(INDEX(계정대체기준!$E$20:$E$49,MATCH($N3194,계정대체기준!$A$20:$A$49,0)),0)))</f>
        <v/>
      </c>
      <c r="AC3194" s="9">
        <f>IF(AND($A3194&lt;&gt;"",M3194=설정!$C$20,Z3194&gt;0),Z3194+ROW()/1000000000,"")</f>
        <v/>
      </c>
      <c r="AD3194" s="94">
        <f>IF($A3194="",0,$P3194*AG3194)</f>
        <v/>
      </c>
      <c r="AE3194" s="64">
        <f>IF($A3194="","",IFERROR(INDEX(계정매핑!$E$5:$E$504,MATCH($F3194&amp;"",계정매핑!$A$5:$A$504,0))&amp;"","공통비"))</f>
        <v/>
      </c>
      <c r="AF3194" s="64">
        <f>IF($A3194="","",IF(AE3194="직접",IFERROR(INDEX(계정매핑!$F$5:$F$504,MATCH($F3194&amp;"",계정매핑!$A$5:$A$504,0))&amp;"","비귀속"),""))</f>
        <v/>
      </c>
      <c r="AG3194" s="96">
        <f>IF($A3194="",0,IF(AND(AE3194&lt;&gt;"직접",IFERROR(INDEX(계정매핑!$G$5:$G$504,MATCH($F3194&amp;"",계정매핑!$A$5:$A$504,0))&amp;"","")="유지비",COUNTIF(계정대체기준!$A$6:$A$15,$N3194)&gt;0),IFERROR(INDEX(계정대체기준!$E$6:$E$15,MATCH(VALUE($A3194&amp;""),계정대체기준!$D$6:$D$15,0)),0),0))</f>
        <v/>
      </c>
      <c r="AH3194" s="64">
        <f>IF($A3194="","",IF(AD3194=0,"",IF(OR(COUNTIF(계정대체기준!$A$77:$A$86,$N3194)&gt;0,ISNUMBER(MATCH($X3194,계정대체기준!$D$77:$D$86,0)),ISNUMBER(MATCH($F3194,계정대체기준!$D$77:$D$86,0))),"Y","N")))</f>
        <v/>
      </c>
    </row>
    <row r="3195">
      <c r="A3195" s="92" t="n">
        <v>2026</v>
      </c>
      <c r="B3195" s="92" t="n">
        <v>3</v>
      </c>
      <c r="C3195" s="92" t="inlineStr">
        <is>
          <t>5100000473</t>
        </is>
      </c>
      <c r="D3195" s="95" t="n">
        <v>46085</v>
      </c>
      <c r="E3195" s="92" t="inlineStr">
        <is>
          <t>KR</t>
        </is>
      </c>
      <c r="F3195" s="92" t="n">
        <v>62301000</v>
      </c>
      <c r="G3195" s="92" t="n">
        <v>1401</v>
      </c>
      <c r="H3195" s="93" t="n">
        <v>115000</v>
      </c>
      <c r="I3195" s="92" t="inlineStr">
        <is>
          <t>3월 소모품 구입 - R문구</t>
        </is>
      </c>
      <c r="J3195" s="92" t="inlineStr">
        <is>
          <t>V10022</t>
        </is>
      </c>
      <c r="K3195" s="92" t="inlineStr">
        <is>
          <t>R문구</t>
        </is>
      </c>
      <c r="M3195" s="9">
        <f>IF($A3195="","",VALUE($A3195&amp;"")*12+VALUE($B3195&amp;""))</f>
        <v/>
      </c>
      <c r="N3195" s="64">
        <f>IF($A3195="","",IFERROR(INDEX(부서매핑!$C$5:$C$504,MATCH($G3195&amp;"",부서매핑!$A$5:$A$504,0)),"미매핑"))</f>
        <v/>
      </c>
      <c r="O3195" s="9">
        <f>IF($A3195="","",N3195&amp;"|"&amp;$F3195)</f>
        <v/>
      </c>
      <c r="P3195" s="94">
        <f>IF($A3195="",0,$H3195*설정!$C$23)</f>
        <v/>
      </c>
      <c r="Q3195" s="64">
        <f>IF($A3195="","",IF(O3195&lt;&gt;원인분석!$C$9,"",IF(AND(M3195&gt;=원인분석!$C$10,M3195&lt;=원인분석!$C$11),"당기",IF(AND(M3195&gt;=원인분석!$C$12,M3195&lt;=원인분석!$C$13),"비교",""))))</f>
        <v/>
      </c>
      <c r="R3195" s="9">
        <f>IF(Q3195="","",$K3195&amp;"")</f>
        <v/>
      </c>
      <c r="S3195" s="9">
        <f>IF(Q3195="","",IF(MATCH(R3195,$R$5:$R$100000,0)=ROW()-4,ROW(),""))</f>
        <v/>
      </c>
      <c r="T3195" s="9">
        <f>IF(Q3195="당기",ABS(P3195)+ROW()/1000000000,"")</f>
        <v/>
      </c>
      <c r="U3195" s="9">
        <f>IF(Q3195="비교",ABS(P3195)+ROW()/1000000000,"")</f>
        <v/>
      </c>
      <c r="V3195" s="64">
        <f>IF($A3195="","",IF(COUNTIF(변동분석!$E$7:$E$506,O3195)&gt;0,"Y","N"))</f>
        <v/>
      </c>
      <c r="W3195" s="64">
        <f>IF($A3195="","",IFERROR(INDEX(계정매핑!$D$5:$D$504,MATCH($F3195&amp;"",계정매핑!$A$5:$A$504,0)),"미매핑"))</f>
        <v/>
      </c>
      <c r="X3195" s="9">
        <f>IF($A3195="","",$F3195&amp;"")</f>
        <v/>
      </c>
      <c r="Y3195" s="94">
        <f>IF($A3195="",0,IF(AE3195="직접",IF(AF3195="비귀속",$P3195,0),$P3195*(1-AG3195)*IFERROR(INDEX(계정대체기준!$F$20:$F$49,MATCH($N3195,계정대체기준!$A$20:$A$49,0)),1)))</f>
        <v/>
      </c>
      <c r="Z3195" s="94">
        <f>IF($A3195="",0,IF(AE3195="직접",IF(AF3195="신계약비",$P3195,0),$P3195*(1-AG3195)*IFERROR(INDEX(계정대체기준!$C$20:$C$49,MATCH($N3195,계정대체기준!$A$20:$A$49,0)),0)))</f>
        <v/>
      </c>
      <c r="AA3195" s="94">
        <f>IF($A3195="",0,IF(AE3195="직접",IF(OR(AF3195="유지비",AF3195="손해조사비"),$P3195,0),$P3195*(1-AG3195)*IFERROR(INDEX(계정대체기준!$D$20:$D$49,MATCH($N3195,계정대체기준!$A$20:$A$49,0)),0)))</f>
        <v/>
      </c>
      <c r="AB3195" s="94">
        <f>IF($A3195="",0,IF(AE3195="직접",IF(AF3195="수금비",$P3195,0),$P3195*(1-AG3195)*IFERROR(INDEX(계정대체기준!$E$20:$E$49,MATCH($N3195,계정대체기준!$A$20:$A$49,0)),0)))</f>
        <v/>
      </c>
      <c r="AC3195" s="9">
        <f>IF(AND($A3195&lt;&gt;"",M3195=설정!$C$20,Z3195&gt;0),Z3195+ROW()/1000000000,"")</f>
        <v/>
      </c>
      <c r="AD3195" s="94">
        <f>IF($A3195="",0,$P3195*AG3195)</f>
        <v/>
      </c>
      <c r="AE3195" s="64">
        <f>IF($A3195="","",IFERROR(INDEX(계정매핑!$E$5:$E$504,MATCH($F3195&amp;"",계정매핑!$A$5:$A$504,0))&amp;"","공통비"))</f>
        <v/>
      </c>
      <c r="AF3195" s="64">
        <f>IF($A3195="","",IF(AE3195="직접",IFERROR(INDEX(계정매핑!$F$5:$F$504,MATCH($F3195&amp;"",계정매핑!$A$5:$A$504,0))&amp;"","비귀속"),""))</f>
        <v/>
      </c>
      <c r="AG3195" s="96">
        <f>IF($A3195="",0,IF(AND(AE3195&lt;&gt;"직접",IFERROR(INDEX(계정매핑!$G$5:$G$504,MATCH($F3195&amp;"",계정매핑!$A$5:$A$504,0))&amp;"","")="유지비",COUNTIF(계정대체기준!$A$6:$A$15,$N3195)&gt;0),IFERROR(INDEX(계정대체기준!$E$6:$E$15,MATCH(VALUE($A3195&amp;""),계정대체기준!$D$6:$D$15,0)),0),0))</f>
        <v/>
      </c>
      <c r="AH3195" s="64">
        <f>IF($A3195="","",IF(AD3195=0,"",IF(OR(COUNTIF(계정대체기준!$A$77:$A$86,$N3195)&gt;0,ISNUMBER(MATCH($X3195,계정대체기준!$D$77:$D$86,0)),ISNUMBER(MATCH($F3195,계정대체기준!$D$77:$D$86,0))),"Y","N")))</f>
        <v/>
      </c>
    </row>
    <row r="3196">
      <c r="A3196" s="92" t="n">
        <v>2026</v>
      </c>
      <c r="B3196" s="92" t="n">
        <v>3</v>
      </c>
      <c r="C3196" s="92" t="inlineStr">
        <is>
          <t>5100000474</t>
        </is>
      </c>
      <c r="D3196" s="95" t="n">
        <v>46085</v>
      </c>
      <c r="E3196" s="92" t="inlineStr">
        <is>
          <t>KR</t>
        </is>
      </c>
      <c r="F3196" s="92" t="n">
        <v>62501000</v>
      </c>
      <c r="G3196" s="92" t="n">
        <v>1201</v>
      </c>
      <c r="H3196" s="93" t="n">
        <v>178000</v>
      </c>
      <c r="I3196" s="92" t="inlineStr">
        <is>
          <t>3월 회의 다과 - (법인카드)</t>
        </is>
      </c>
      <c r="J3196" s="92" t="inlineStr">
        <is>
          <t>V10010</t>
        </is>
      </c>
      <c r="K3196" s="92" t="inlineStr">
        <is>
          <t>(법인카드)</t>
        </is>
      </c>
      <c r="M3196" s="9">
        <f>IF($A3196="","",VALUE($A3196&amp;"")*12+VALUE($B3196&amp;""))</f>
        <v/>
      </c>
      <c r="N3196" s="64">
        <f>IF($A3196="","",IFERROR(INDEX(부서매핑!$C$5:$C$504,MATCH($G3196&amp;"",부서매핑!$A$5:$A$504,0)),"미매핑"))</f>
        <v/>
      </c>
      <c r="O3196" s="9">
        <f>IF($A3196="","",N3196&amp;"|"&amp;$F3196)</f>
        <v/>
      </c>
      <c r="P3196" s="94">
        <f>IF($A3196="",0,$H3196*설정!$C$23)</f>
        <v/>
      </c>
      <c r="Q3196" s="64">
        <f>IF($A3196="","",IF(O3196&lt;&gt;원인분석!$C$9,"",IF(AND(M3196&gt;=원인분석!$C$10,M3196&lt;=원인분석!$C$11),"당기",IF(AND(M3196&gt;=원인분석!$C$12,M3196&lt;=원인분석!$C$13),"비교",""))))</f>
        <v/>
      </c>
      <c r="R3196" s="9">
        <f>IF(Q3196="","",$K3196&amp;"")</f>
        <v/>
      </c>
      <c r="S3196" s="9">
        <f>IF(Q3196="","",IF(MATCH(R3196,$R$5:$R$100000,0)=ROW()-4,ROW(),""))</f>
        <v/>
      </c>
      <c r="T3196" s="9">
        <f>IF(Q3196="당기",ABS(P3196)+ROW()/1000000000,"")</f>
        <v/>
      </c>
      <c r="U3196" s="9">
        <f>IF(Q3196="비교",ABS(P3196)+ROW()/1000000000,"")</f>
        <v/>
      </c>
      <c r="V3196" s="64">
        <f>IF($A3196="","",IF(COUNTIF(변동분석!$E$7:$E$506,O3196)&gt;0,"Y","N"))</f>
        <v/>
      </c>
      <c r="W3196" s="64">
        <f>IF($A3196="","",IFERROR(INDEX(계정매핑!$D$5:$D$504,MATCH($F3196&amp;"",계정매핑!$A$5:$A$504,0)),"미매핑"))</f>
        <v/>
      </c>
      <c r="X3196" s="9">
        <f>IF($A3196="","",$F3196&amp;"")</f>
        <v/>
      </c>
      <c r="Y3196" s="94">
        <f>IF($A3196="",0,IF(AE3196="직접",IF(AF3196="비귀속",$P3196,0),$P3196*(1-AG3196)*IFERROR(INDEX(계정대체기준!$F$20:$F$49,MATCH($N3196,계정대체기준!$A$20:$A$49,0)),1)))</f>
        <v/>
      </c>
      <c r="Z3196" s="94">
        <f>IF($A3196="",0,IF(AE3196="직접",IF(AF3196="신계약비",$P3196,0),$P3196*(1-AG3196)*IFERROR(INDEX(계정대체기준!$C$20:$C$49,MATCH($N3196,계정대체기준!$A$20:$A$49,0)),0)))</f>
        <v/>
      </c>
      <c r="AA3196" s="94">
        <f>IF($A3196="",0,IF(AE3196="직접",IF(OR(AF3196="유지비",AF3196="손해조사비"),$P3196,0),$P3196*(1-AG3196)*IFERROR(INDEX(계정대체기준!$D$20:$D$49,MATCH($N3196,계정대체기준!$A$20:$A$49,0)),0)))</f>
        <v/>
      </c>
      <c r="AB3196" s="94">
        <f>IF($A3196="",0,IF(AE3196="직접",IF(AF3196="수금비",$P3196,0),$P3196*(1-AG3196)*IFERROR(INDEX(계정대체기준!$E$20:$E$49,MATCH($N3196,계정대체기준!$A$20:$A$49,0)),0)))</f>
        <v/>
      </c>
      <c r="AC3196" s="9">
        <f>IF(AND($A3196&lt;&gt;"",M3196=설정!$C$20,Z3196&gt;0),Z3196+ROW()/1000000000,"")</f>
        <v/>
      </c>
      <c r="AD3196" s="94">
        <f>IF($A3196="",0,$P3196*AG3196)</f>
        <v/>
      </c>
      <c r="AE3196" s="64">
        <f>IF($A3196="","",IFERROR(INDEX(계정매핑!$E$5:$E$504,MATCH($F3196&amp;"",계정매핑!$A$5:$A$504,0))&amp;"","공통비"))</f>
        <v/>
      </c>
      <c r="AF3196" s="64">
        <f>IF($A3196="","",IF(AE3196="직접",IFERROR(INDEX(계정매핑!$F$5:$F$504,MATCH($F3196&amp;"",계정매핑!$A$5:$A$504,0))&amp;"","비귀속"),""))</f>
        <v/>
      </c>
      <c r="AG3196" s="96">
        <f>IF($A3196="",0,IF(AND(AE3196&lt;&gt;"직접",IFERROR(INDEX(계정매핑!$G$5:$G$504,MATCH($F3196&amp;"",계정매핑!$A$5:$A$504,0))&amp;"","")="유지비",COUNTIF(계정대체기준!$A$6:$A$15,$N3196)&gt;0),IFERROR(INDEX(계정대체기준!$E$6:$E$15,MATCH(VALUE($A3196&amp;""),계정대체기준!$D$6:$D$15,0)),0),0))</f>
        <v/>
      </c>
      <c r="AH3196" s="64">
        <f>IF($A3196="","",IF(AD3196=0,"",IF(OR(COUNTIF(계정대체기준!$A$77:$A$86,$N3196)&gt;0,ISNUMBER(MATCH($X3196,계정대체기준!$D$77:$D$86,0)),ISNUMBER(MATCH($F3196,계정대체기준!$D$77:$D$86,0))),"Y","N")))</f>
        <v/>
      </c>
    </row>
    <row r="3197">
      <c r="A3197" s="92" t="n">
        <v>2026</v>
      </c>
      <c r="B3197" s="92" t="n">
        <v>3</v>
      </c>
      <c r="C3197" s="92" t="inlineStr">
        <is>
          <t>5100000475</t>
        </is>
      </c>
      <c r="D3197" s="95" t="n">
        <v>46085</v>
      </c>
      <c r="E3197" s="92" t="inlineStr">
        <is>
          <t>KR</t>
        </is>
      </c>
      <c r="F3197" s="92" t="n">
        <v>62501000</v>
      </c>
      <c r="G3197" s="92" t="n">
        <v>1502</v>
      </c>
      <c r="H3197" s="93" t="n">
        <v>405000</v>
      </c>
      <c r="I3197" s="92" t="inlineStr">
        <is>
          <t>3월 회의 다과 - (법인카드)</t>
        </is>
      </c>
      <c r="J3197" s="92" t="inlineStr">
        <is>
          <t>V10010</t>
        </is>
      </c>
      <c r="K3197" s="92" t="inlineStr">
        <is>
          <t>(법인카드)</t>
        </is>
      </c>
      <c r="M3197" s="9">
        <f>IF($A3197="","",VALUE($A3197&amp;"")*12+VALUE($B3197&amp;""))</f>
        <v/>
      </c>
      <c r="N3197" s="64">
        <f>IF($A3197="","",IFERROR(INDEX(부서매핑!$C$5:$C$504,MATCH($G3197&amp;"",부서매핑!$A$5:$A$504,0)),"미매핑"))</f>
        <v/>
      </c>
      <c r="O3197" s="9">
        <f>IF($A3197="","",N3197&amp;"|"&amp;$F3197)</f>
        <v/>
      </c>
      <c r="P3197" s="94">
        <f>IF($A3197="",0,$H3197*설정!$C$23)</f>
        <v/>
      </c>
      <c r="Q3197" s="64">
        <f>IF($A3197="","",IF(O3197&lt;&gt;원인분석!$C$9,"",IF(AND(M3197&gt;=원인분석!$C$10,M3197&lt;=원인분석!$C$11),"당기",IF(AND(M3197&gt;=원인분석!$C$12,M3197&lt;=원인분석!$C$13),"비교",""))))</f>
        <v/>
      </c>
      <c r="R3197" s="9">
        <f>IF(Q3197="","",$K3197&amp;"")</f>
        <v/>
      </c>
      <c r="S3197" s="9">
        <f>IF(Q3197="","",IF(MATCH(R3197,$R$5:$R$100000,0)=ROW()-4,ROW(),""))</f>
        <v/>
      </c>
      <c r="T3197" s="9">
        <f>IF(Q3197="당기",ABS(P3197)+ROW()/1000000000,"")</f>
        <v/>
      </c>
      <c r="U3197" s="9">
        <f>IF(Q3197="비교",ABS(P3197)+ROW()/1000000000,"")</f>
        <v/>
      </c>
      <c r="V3197" s="64">
        <f>IF($A3197="","",IF(COUNTIF(변동분석!$E$7:$E$506,O3197)&gt;0,"Y","N"))</f>
        <v/>
      </c>
      <c r="W3197" s="64">
        <f>IF($A3197="","",IFERROR(INDEX(계정매핑!$D$5:$D$504,MATCH($F3197&amp;"",계정매핑!$A$5:$A$504,0)),"미매핑"))</f>
        <v/>
      </c>
      <c r="X3197" s="9">
        <f>IF($A3197="","",$F3197&amp;"")</f>
        <v/>
      </c>
      <c r="Y3197" s="94">
        <f>IF($A3197="",0,IF(AE3197="직접",IF(AF3197="비귀속",$P3197,0),$P3197*(1-AG3197)*IFERROR(INDEX(계정대체기준!$F$20:$F$49,MATCH($N3197,계정대체기준!$A$20:$A$49,0)),1)))</f>
        <v/>
      </c>
      <c r="Z3197" s="94">
        <f>IF($A3197="",0,IF(AE3197="직접",IF(AF3197="신계약비",$P3197,0),$P3197*(1-AG3197)*IFERROR(INDEX(계정대체기준!$C$20:$C$49,MATCH($N3197,계정대체기준!$A$20:$A$49,0)),0)))</f>
        <v/>
      </c>
      <c r="AA3197" s="94">
        <f>IF($A3197="",0,IF(AE3197="직접",IF(OR(AF3197="유지비",AF3197="손해조사비"),$P3197,0),$P3197*(1-AG3197)*IFERROR(INDEX(계정대체기준!$D$20:$D$49,MATCH($N3197,계정대체기준!$A$20:$A$49,0)),0)))</f>
        <v/>
      </c>
      <c r="AB3197" s="94">
        <f>IF($A3197="",0,IF(AE3197="직접",IF(AF3197="수금비",$P3197,0),$P3197*(1-AG3197)*IFERROR(INDEX(계정대체기준!$E$20:$E$49,MATCH($N3197,계정대체기준!$A$20:$A$49,0)),0)))</f>
        <v/>
      </c>
      <c r="AC3197" s="9">
        <f>IF(AND($A3197&lt;&gt;"",M3197=설정!$C$20,Z3197&gt;0),Z3197+ROW()/1000000000,"")</f>
        <v/>
      </c>
      <c r="AD3197" s="94">
        <f>IF($A3197="",0,$P3197*AG3197)</f>
        <v/>
      </c>
      <c r="AE3197" s="64">
        <f>IF($A3197="","",IFERROR(INDEX(계정매핑!$E$5:$E$504,MATCH($F3197&amp;"",계정매핑!$A$5:$A$504,0))&amp;"","공통비"))</f>
        <v/>
      </c>
      <c r="AF3197" s="64">
        <f>IF($A3197="","",IF(AE3197="직접",IFERROR(INDEX(계정매핑!$F$5:$F$504,MATCH($F3197&amp;"",계정매핑!$A$5:$A$504,0))&amp;"","비귀속"),""))</f>
        <v/>
      </c>
      <c r="AG3197" s="96">
        <f>IF($A3197="",0,IF(AND(AE3197&lt;&gt;"직접",IFERROR(INDEX(계정매핑!$G$5:$G$504,MATCH($F3197&amp;"",계정매핑!$A$5:$A$504,0))&amp;"","")="유지비",COUNTIF(계정대체기준!$A$6:$A$15,$N3197)&gt;0),IFERROR(INDEX(계정대체기준!$E$6:$E$15,MATCH(VALUE($A3197&amp;""),계정대체기준!$D$6:$D$15,0)),0),0))</f>
        <v/>
      </c>
      <c r="AH3197" s="64">
        <f>IF($A3197="","",IF(AD3197=0,"",IF(OR(COUNTIF(계정대체기준!$A$77:$A$86,$N3197)&gt;0,ISNUMBER(MATCH($X3197,계정대체기준!$D$77:$D$86,0)),ISNUMBER(MATCH($F3197,계정대체기준!$D$77:$D$86,0))),"Y","N")))</f>
        <v/>
      </c>
    </row>
    <row r="3198">
      <c r="A3198" s="92" t="n">
        <v>2026</v>
      </c>
      <c r="B3198" s="92" t="n">
        <v>3</v>
      </c>
      <c r="C3198" s="92" t="inlineStr">
        <is>
          <t>5100000476</t>
        </is>
      </c>
      <c r="D3198" s="95" t="n">
        <v>46085</v>
      </c>
      <c r="E3198" s="92" t="inlineStr">
        <is>
          <t>KR</t>
        </is>
      </c>
      <c r="F3198" s="92" t="n">
        <v>62601000</v>
      </c>
      <c r="G3198" s="92" t="n">
        <v>1601</v>
      </c>
      <c r="H3198" s="93" t="n">
        <v>1208000</v>
      </c>
      <c r="I3198" s="92" t="inlineStr">
        <is>
          <t>3월 업무추진 - (법인카드)</t>
        </is>
      </c>
      <c r="J3198" s="92" t="inlineStr">
        <is>
          <t>V10010</t>
        </is>
      </c>
      <c r="K3198" s="92" t="inlineStr">
        <is>
          <t>(법인카드)</t>
        </is>
      </c>
      <c r="M3198" s="9">
        <f>IF($A3198="","",VALUE($A3198&amp;"")*12+VALUE($B3198&amp;""))</f>
        <v/>
      </c>
      <c r="N3198" s="64">
        <f>IF($A3198="","",IFERROR(INDEX(부서매핑!$C$5:$C$504,MATCH($G3198&amp;"",부서매핑!$A$5:$A$504,0)),"미매핑"))</f>
        <v/>
      </c>
      <c r="O3198" s="9">
        <f>IF($A3198="","",N3198&amp;"|"&amp;$F3198)</f>
        <v/>
      </c>
      <c r="P3198" s="94">
        <f>IF($A3198="",0,$H3198*설정!$C$23)</f>
        <v/>
      </c>
      <c r="Q3198" s="64">
        <f>IF($A3198="","",IF(O3198&lt;&gt;원인분석!$C$9,"",IF(AND(M3198&gt;=원인분석!$C$10,M3198&lt;=원인분석!$C$11),"당기",IF(AND(M3198&gt;=원인분석!$C$12,M3198&lt;=원인분석!$C$13),"비교",""))))</f>
        <v/>
      </c>
      <c r="R3198" s="9">
        <f>IF(Q3198="","",$K3198&amp;"")</f>
        <v/>
      </c>
      <c r="S3198" s="9">
        <f>IF(Q3198="","",IF(MATCH(R3198,$R$5:$R$100000,0)=ROW()-4,ROW(),""))</f>
        <v/>
      </c>
      <c r="T3198" s="9">
        <f>IF(Q3198="당기",ABS(P3198)+ROW()/1000000000,"")</f>
        <v/>
      </c>
      <c r="U3198" s="9">
        <f>IF(Q3198="비교",ABS(P3198)+ROW()/1000000000,"")</f>
        <v/>
      </c>
      <c r="V3198" s="64">
        <f>IF($A3198="","",IF(COUNTIF(변동분석!$E$7:$E$506,O3198)&gt;0,"Y","N"))</f>
        <v/>
      </c>
      <c r="W3198" s="64">
        <f>IF($A3198="","",IFERROR(INDEX(계정매핑!$D$5:$D$504,MATCH($F3198&amp;"",계정매핑!$A$5:$A$504,0)),"미매핑"))</f>
        <v/>
      </c>
      <c r="X3198" s="9">
        <f>IF($A3198="","",$F3198&amp;"")</f>
        <v/>
      </c>
      <c r="Y3198" s="94">
        <f>IF($A3198="",0,IF(AE3198="직접",IF(AF3198="비귀속",$P3198,0),$P3198*(1-AG3198)*IFERROR(INDEX(계정대체기준!$F$20:$F$49,MATCH($N3198,계정대체기준!$A$20:$A$49,0)),1)))</f>
        <v/>
      </c>
      <c r="Z3198" s="94">
        <f>IF($A3198="",0,IF(AE3198="직접",IF(AF3198="신계약비",$P3198,0),$P3198*(1-AG3198)*IFERROR(INDEX(계정대체기준!$C$20:$C$49,MATCH($N3198,계정대체기준!$A$20:$A$49,0)),0)))</f>
        <v/>
      </c>
      <c r="AA3198" s="94">
        <f>IF($A3198="",0,IF(AE3198="직접",IF(OR(AF3198="유지비",AF3198="손해조사비"),$P3198,0),$P3198*(1-AG3198)*IFERROR(INDEX(계정대체기준!$D$20:$D$49,MATCH($N3198,계정대체기준!$A$20:$A$49,0)),0)))</f>
        <v/>
      </c>
      <c r="AB3198" s="94">
        <f>IF($A3198="",0,IF(AE3198="직접",IF(AF3198="수금비",$P3198,0),$P3198*(1-AG3198)*IFERROR(INDEX(계정대체기준!$E$20:$E$49,MATCH($N3198,계정대체기준!$A$20:$A$49,0)),0)))</f>
        <v/>
      </c>
      <c r="AC3198" s="9">
        <f>IF(AND($A3198&lt;&gt;"",M3198=설정!$C$20,Z3198&gt;0),Z3198+ROW()/1000000000,"")</f>
        <v/>
      </c>
      <c r="AD3198" s="94">
        <f>IF($A3198="",0,$P3198*AG3198)</f>
        <v/>
      </c>
      <c r="AE3198" s="64">
        <f>IF($A3198="","",IFERROR(INDEX(계정매핑!$E$5:$E$504,MATCH($F3198&amp;"",계정매핑!$A$5:$A$504,0))&amp;"","공통비"))</f>
        <v/>
      </c>
      <c r="AF3198" s="64">
        <f>IF($A3198="","",IF(AE3198="직접",IFERROR(INDEX(계정매핑!$F$5:$F$504,MATCH($F3198&amp;"",계정매핑!$A$5:$A$504,0))&amp;"","비귀속"),""))</f>
        <v/>
      </c>
      <c r="AG3198" s="96">
        <f>IF($A3198="",0,IF(AND(AE3198&lt;&gt;"직접",IFERROR(INDEX(계정매핑!$G$5:$G$504,MATCH($F3198&amp;"",계정매핑!$A$5:$A$504,0))&amp;"","")="유지비",COUNTIF(계정대체기준!$A$6:$A$15,$N3198)&gt;0),IFERROR(INDEX(계정대체기준!$E$6:$E$15,MATCH(VALUE($A3198&amp;""),계정대체기준!$D$6:$D$15,0)),0),0))</f>
        <v/>
      </c>
      <c r="AH3198" s="64">
        <f>IF($A3198="","",IF(AD3198=0,"",IF(OR(COUNTIF(계정대체기준!$A$77:$A$86,$N3198)&gt;0,ISNUMBER(MATCH($X3198,계정대체기준!$D$77:$D$86,0)),ISNUMBER(MATCH($F3198,계정대체기준!$D$77:$D$86,0))),"Y","N")))</f>
        <v/>
      </c>
    </row>
    <row r="3199">
      <c r="A3199" s="92" t="n">
        <v>2026</v>
      </c>
      <c r="B3199" s="92" t="n">
        <v>3</v>
      </c>
      <c r="C3199" s="92" t="inlineStr">
        <is>
          <t>5100000477</t>
        </is>
      </c>
      <c r="D3199" s="95" t="n">
        <v>46085</v>
      </c>
      <c r="E3199" s="92" t="inlineStr">
        <is>
          <t>KR</t>
        </is>
      </c>
      <c r="F3199" s="92" t="n">
        <v>62701000</v>
      </c>
      <c r="G3199" s="92" t="n">
        <v>1501</v>
      </c>
      <c r="H3199" s="93" t="n">
        <v>50734000</v>
      </c>
      <c r="I3199" s="92" t="inlineStr">
        <is>
          <t>3월 광고 집행 - F애드</t>
        </is>
      </c>
      <c r="J3199" s="92" t="inlineStr">
        <is>
          <t>V10023</t>
        </is>
      </c>
      <c r="K3199" s="92" t="inlineStr">
        <is>
          <t>F애드</t>
        </is>
      </c>
      <c r="M3199" s="9">
        <f>IF($A3199="","",VALUE($A3199&amp;"")*12+VALUE($B3199&amp;""))</f>
        <v/>
      </c>
      <c r="N3199" s="64">
        <f>IF($A3199="","",IFERROR(INDEX(부서매핑!$C$5:$C$504,MATCH($G3199&amp;"",부서매핑!$A$5:$A$504,0)),"미매핑"))</f>
        <v/>
      </c>
      <c r="O3199" s="9">
        <f>IF($A3199="","",N3199&amp;"|"&amp;$F3199)</f>
        <v/>
      </c>
      <c r="P3199" s="94">
        <f>IF($A3199="",0,$H3199*설정!$C$23)</f>
        <v/>
      </c>
      <c r="Q3199" s="64">
        <f>IF($A3199="","",IF(O3199&lt;&gt;원인분석!$C$9,"",IF(AND(M3199&gt;=원인분석!$C$10,M3199&lt;=원인분석!$C$11),"당기",IF(AND(M3199&gt;=원인분석!$C$12,M3199&lt;=원인분석!$C$13),"비교",""))))</f>
        <v/>
      </c>
      <c r="R3199" s="9">
        <f>IF(Q3199="","",$K3199&amp;"")</f>
        <v/>
      </c>
      <c r="S3199" s="9">
        <f>IF(Q3199="","",IF(MATCH(R3199,$R$5:$R$100000,0)=ROW()-4,ROW(),""))</f>
        <v/>
      </c>
      <c r="T3199" s="9">
        <f>IF(Q3199="당기",ABS(P3199)+ROW()/1000000000,"")</f>
        <v/>
      </c>
      <c r="U3199" s="9">
        <f>IF(Q3199="비교",ABS(P3199)+ROW()/1000000000,"")</f>
        <v/>
      </c>
      <c r="V3199" s="64">
        <f>IF($A3199="","",IF(COUNTIF(변동분석!$E$7:$E$506,O3199)&gt;0,"Y","N"))</f>
        <v/>
      </c>
      <c r="W3199" s="64">
        <f>IF($A3199="","",IFERROR(INDEX(계정매핑!$D$5:$D$504,MATCH($F3199&amp;"",계정매핑!$A$5:$A$504,0)),"미매핑"))</f>
        <v/>
      </c>
      <c r="X3199" s="9">
        <f>IF($A3199="","",$F3199&amp;"")</f>
        <v/>
      </c>
      <c r="Y3199" s="94">
        <f>IF($A3199="",0,IF(AE3199="직접",IF(AF3199="비귀속",$P3199,0),$P3199*(1-AG3199)*IFERROR(INDEX(계정대체기준!$F$20:$F$49,MATCH($N3199,계정대체기준!$A$20:$A$49,0)),1)))</f>
        <v/>
      </c>
      <c r="Z3199" s="94">
        <f>IF($A3199="",0,IF(AE3199="직접",IF(AF3199="신계약비",$P3199,0),$P3199*(1-AG3199)*IFERROR(INDEX(계정대체기준!$C$20:$C$49,MATCH($N3199,계정대체기준!$A$20:$A$49,0)),0)))</f>
        <v/>
      </c>
      <c r="AA3199" s="94">
        <f>IF($A3199="",0,IF(AE3199="직접",IF(OR(AF3199="유지비",AF3199="손해조사비"),$P3199,0),$P3199*(1-AG3199)*IFERROR(INDEX(계정대체기준!$D$20:$D$49,MATCH($N3199,계정대체기준!$A$20:$A$49,0)),0)))</f>
        <v/>
      </c>
      <c r="AB3199" s="94">
        <f>IF($A3199="",0,IF(AE3199="직접",IF(AF3199="수금비",$P3199,0),$P3199*(1-AG3199)*IFERROR(INDEX(계정대체기준!$E$20:$E$49,MATCH($N3199,계정대체기준!$A$20:$A$49,0)),0)))</f>
        <v/>
      </c>
      <c r="AC3199" s="9">
        <f>IF(AND($A3199&lt;&gt;"",M3199=설정!$C$20,Z3199&gt;0),Z3199+ROW()/1000000000,"")</f>
        <v/>
      </c>
      <c r="AD3199" s="94">
        <f>IF($A3199="",0,$P3199*AG3199)</f>
        <v/>
      </c>
      <c r="AE3199" s="64">
        <f>IF($A3199="","",IFERROR(INDEX(계정매핑!$E$5:$E$504,MATCH($F3199&amp;"",계정매핑!$A$5:$A$504,0))&amp;"","공통비"))</f>
        <v/>
      </c>
      <c r="AF3199" s="64">
        <f>IF($A3199="","",IF(AE3199="직접",IFERROR(INDEX(계정매핑!$F$5:$F$504,MATCH($F3199&amp;"",계정매핑!$A$5:$A$504,0))&amp;"","비귀속"),""))</f>
        <v/>
      </c>
      <c r="AG3199" s="96">
        <f>IF($A3199="",0,IF(AND(AE3199&lt;&gt;"직접",IFERROR(INDEX(계정매핑!$G$5:$G$504,MATCH($F3199&amp;"",계정매핑!$A$5:$A$504,0))&amp;"","")="유지비",COUNTIF(계정대체기준!$A$6:$A$15,$N3199)&gt;0),IFERROR(INDEX(계정대체기준!$E$6:$E$15,MATCH(VALUE($A3199&amp;""),계정대체기준!$D$6:$D$15,0)),0),0))</f>
        <v/>
      </c>
      <c r="AH3199" s="64">
        <f>IF($A3199="","",IF(AD3199=0,"",IF(OR(COUNTIF(계정대체기준!$A$77:$A$86,$N3199)&gt;0,ISNUMBER(MATCH($X3199,계정대체기준!$D$77:$D$86,0)),ISNUMBER(MATCH($F3199,계정대체기준!$D$77:$D$86,0))),"Y","N")))</f>
        <v/>
      </c>
    </row>
    <row r="3200">
      <c r="A3200" s="92" t="n">
        <v>2026</v>
      </c>
      <c r="B3200" s="92" t="n">
        <v>3</v>
      </c>
      <c r="C3200" s="92" t="inlineStr">
        <is>
          <t>5100000478</t>
        </is>
      </c>
      <c r="D3200" s="95" t="n">
        <v>46085</v>
      </c>
      <c r="E3200" s="92" t="inlineStr">
        <is>
          <t>KR</t>
        </is>
      </c>
      <c r="F3200" s="92" t="n">
        <v>63502000</v>
      </c>
      <c r="G3200" s="92" t="n">
        <v>1901</v>
      </c>
      <c r="H3200" s="93" t="n">
        <v>202816000</v>
      </c>
      <c r="I3200" s="92" t="inlineStr">
        <is>
          <t>3월 유지수수료 - (전속설계사)</t>
        </is>
      </c>
      <c r="J3200" s="92" t="inlineStr">
        <is>
          <t>V10021</t>
        </is>
      </c>
      <c r="K3200" s="92" t="inlineStr">
        <is>
          <t>(전속설계사)</t>
        </is>
      </c>
      <c r="M3200" s="9">
        <f>IF($A3200="","",VALUE($A3200&amp;"")*12+VALUE($B3200&amp;""))</f>
        <v/>
      </c>
      <c r="N3200" s="64">
        <f>IF($A3200="","",IFERROR(INDEX(부서매핑!$C$5:$C$504,MATCH($G3200&amp;"",부서매핑!$A$5:$A$504,0)),"미매핑"))</f>
        <v/>
      </c>
      <c r="O3200" s="9">
        <f>IF($A3200="","",N3200&amp;"|"&amp;$F3200)</f>
        <v/>
      </c>
      <c r="P3200" s="94">
        <f>IF($A3200="",0,$H3200*설정!$C$23)</f>
        <v/>
      </c>
      <c r="Q3200" s="64">
        <f>IF($A3200="","",IF(O3200&lt;&gt;원인분석!$C$9,"",IF(AND(M3200&gt;=원인분석!$C$10,M3200&lt;=원인분석!$C$11),"당기",IF(AND(M3200&gt;=원인분석!$C$12,M3200&lt;=원인분석!$C$13),"비교",""))))</f>
        <v/>
      </c>
      <c r="R3200" s="9">
        <f>IF(Q3200="","",$K3200&amp;"")</f>
        <v/>
      </c>
      <c r="S3200" s="9">
        <f>IF(Q3200="","",IF(MATCH(R3200,$R$5:$R$100000,0)=ROW()-4,ROW(),""))</f>
        <v/>
      </c>
      <c r="T3200" s="9">
        <f>IF(Q3200="당기",ABS(P3200)+ROW()/1000000000,"")</f>
        <v/>
      </c>
      <c r="U3200" s="9">
        <f>IF(Q3200="비교",ABS(P3200)+ROW()/1000000000,"")</f>
        <v/>
      </c>
      <c r="V3200" s="64">
        <f>IF($A3200="","",IF(COUNTIF(변동분석!$E$7:$E$506,O3200)&gt;0,"Y","N"))</f>
        <v/>
      </c>
      <c r="W3200" s="64">
        <f>IF($A3200="","",IFERROR(INDEX(계정매핑!$D$5:$D$504,MATCH($F3200&amp;"",계정매핑!$A$5:$A$504,0)),"미매핑"))</f>
        <v/>
      </c>
      <c r="X3200" s="9">
        <f>IF($A3200="","",$F3200&amp;"")</f>
        <v/>
      </c>
      <c r="Y3200" s="94">
        <f>IF($A3200="",0,IF(AE3200="직접",IF(AF3200="비귀속",$P3200,0),$P3200*(1-AG3200)*IFERROR(INDEX(계정대체기준!$F$20:$F$49,MATCH($N3200,계정대체기준!$A$20:$A$49,0)),1)))</f>
        <v/>
      </c>
      <c r="Z3200" s="94">
        <f>IF($A3200="",0,IF(AE3200="직접",IF(AF3200="신계약비",$P3200,0),$P3200*(1-AG3200)*IFERROR(INDEX(계정대체기준!$C$20:$C$49,MATCH($N3200,계정대체기준!$A$20:$A$49,0)),0)))</f>
        <v/>
      </c>
      <c r="AA3200" s="94">
        <f>IF($A3200="",0,IF(AE3200="직접",IF(OR(AF3200="유지비",AF3200="손해조사비"),$P3200,0),$P3200*(1-AG3200)*IFERROR(INDEX(계정대체기준!$D$20:$D$49,MATCH($N3200,계정대체기준!$A$20:$A$49,0)),0)))</f>
        <v/>
      </c>
      <c r="AB3200" s="94">
        <f>IF($A3200="",0,IF(AE3200="직접",IF(AF3200="수금비",$P3200,0),$P3200*(1-AG3200)*IFERROR(INDEX(계정대체기준!$E$20:$E$49,MATCH($N3200,계정대체기준!$A$20:$A$49,0)),0)))</f>
        <v/>
      </c>
      <c r="AC3200" s="9">
        <f>IF(AND($A3200&lt;&gt;"",M3200=설정!$C$20,Z3200&gt;0),Z3200+ROW()/1000000000,"")</f>
        <v/>
      </c>
      <c r="AD3200" s="94">
        <f>IF($A3200="",0,$P3200*AG3200)</f>
        <v/>
      </c>
      <c r="AE3200" s="64">
        <f>IF($A3200="","",IFERROR(INDEX(계정매핑!$E$5:$E$504,MATCH($F3200&amp;"",계정매핑!$A$5:$A$504,0))&amp;"","공통비"))</f>
        <v/>
      </c>
      <c r="AF3200" s="64">
        <f>IF($A3200="","",IF(AE3200="직접",IFERROR(INDEX(계정매핑!$F$5:$F$504,MATCH($F3200&amp;"",계정매핑!$A$5:$A$504,0))&amp;"","비귀속"),""))</f>
        <v/>
      </c>
      <c r="AG3200" s="96">
        <f>IF($A3200="",0,IF(AND(AE3200&lt;&gt;"직접",IFERROR(INDEX(계정매핑!$G$5:$G$504,MATCH($F3200&amp;"",계정매핑!$A$5:$A$504,0))&amp;"","")="유지비",COUNTIF(계정대체기준!$A$6:$A$15,$N3200)&gt;0),IFERROR(INDEX(계정대체기준!$E$6:$E$15,MATCH(VALUE($A3200&amp;""),계정대체기준!$D$6:$D$15,0)),0),0))</f>
        <v/>
      </c>
      <c r="AH3200" s="64">
        <f>IF($A3200="","",IF(AD3200=0,"",IF(OR(COUNTIF(계정대체기준!$A$77:$A$86,$N3200)&gt;0,ISNUMBER(MATCH($X3200,계정대체기준!$D$77:$D$86,0)),ISNUMBER(MATCH($F3200,계정대체기준!$D$77:$D$86,0))),"Y","N")))</f>
        <v/>
      </c>
    </row>
    <row r="3201">
      <c r="A3201" s="92" t="n">
        <v>2026</v>
      </c>
      <c r="B3201" s="92" t="n">
        <v>3</v>
      </c>
      <c r="C3201" s="92" t="inlineStr">
        <is>
          <t>5100000479</t>
        </is>
      </c>
      <c r="D3201" s="95" t="n">
        <v>46085</v>
      </c>
      <c r="E3201" s="92" t="inlineStr">
        <is>
          <t>KR</t>
        </is>
      </c>
      <c r="F3201" s="92" t="n">
        <v>63502000</v>
      </c>
      <c r="G3201" s="92" t="n">
        <v>1902</v>
      </c>
      <c r="H3201" s="93" t="n">
        <v>241039000</v>
      </c>
      <c r="I3201" s="92" t="inlineStr">
        <is>
          <t>3월 유지수수료 - CC금융서비스</t>
        </is>
      </c>
      <c r="J3201" s="92" t="inlineStr">
        <is>
          <t>V10029</t>
        </is>
      </c>
      <c r="K3201" s="92" t="inlineStr">
        <is>
          <t>CC금융서비스</t>
        </is>
      </c>
      <c r="M3201" s="9">
        <f>IF($A3201="","",VALUE($A3201&amp;"")*12+VALUE($B3201&amp;""))</f>
        <v/>
      </c>
      <c r="N3201" s="64">
        <f>IF($A3201="","",IFERROR(INDEX(부서매핑!$C$5:$C$504,MATCH($G3201&amp;"",부서매핑!$A$5:$A$504,0)),"미매핑"))</f>
        <v/>
      </c>
      <c r="O3201" s="9">
        <f>IF($A3201="","",N3201&amp;"|"&amp;$F3201)</f>
        <v/>
      </c>
      <c r="P3201" s="94">
        <f>IF($A3201="",0,$H3201*설정!$C$23)</f>
        <v/>
      </c>
      <c r="Q3201" s="64">
        <f>IF($A3201="","",IF(O3201&lt;&gt;원인분석!$C$9,"",IF(AND(M3201&gt;=원인분석!$C$10,M3201&lt;=원인분석!$C$11),"당기",IF(AND(M3201&gt;=원인분석!$C$12,M3201&lt;=원인분석!$C$13),"비교",""))))</f>
        <v/>
      </c>
      <c r="R3201" s="9">
        <f>IF(Q3201="","",$K3201&amp;"")</f>
        <v/>
      </c>
      <c r="S3201" s="9">
        <f>IF(Q3201="","",IF(MATCH(R3201,$R$5:$R$100000,0)=ROW()-4,ROW(),""))</f>
        <v/>
      </c>
      <c r="T3201" s="9">
        <f>IF(Q3201="당기",ABS(P3201)+ROW()/1000000000,"")</f>
        <v/>
      </c>
      <c r="U3201" s="9">
        <f>IF(Q3201="비교",ABS(P3201)+ROW()/1000000000,"")</f>
        <v/>
      </c>
      <c r="V3201" s="64">
        <f>IF($A3201="","",IF(COUNTIF(변동분석!$E$7:$E$506,O3201)&gt;0,"Y","N"))</f>
        <v/>
      </c>
      <c r="W3201" s="64">
        <f>IF($A3201="","",IFERROR(INDEX(계정매핑!$D$5:$D$504,MATCH($F3201&amp;"",계정매핑!$A$5:$A$504,0)),"미매핑"))</f>
        <v/>
      </c>
      <c r="X3201" s="9">
        <f>IF($A3201="","",$F3201&amp;"")</f>
        <v/>
      </c>
      <c r="Y3201" s="94">
        <f>IF($A3201="",0,IF(AE3201="직접",IF(AF3201="비귀속",$P3201,0),$P3201*(1-AG3201)*IFERROR(INDEX(계정대체기준!$F$20:$F$49,MATCH($N3201,계정대체기준!$A$20:$A$49,0)),1)))</f>
        <v/>
      </c>
      <c r="Z3201" s="94">
        <f>IF($A3201="",0,IF(AE3201="직접",IF(AF3201="신계약비",$P3201,0),$P3201*(1-AG3201)*IFERROR(INDEX(계정대체기준!$C$20:$C$49,MATCH($N3201,계정대체기준!$A$20:$A$49,0)),0)))</f>
        <v/>
      </c>
      <c r="AA3201" s="94">
        <f>IF($A3201="",0,IF(AE3201="직접",IF(OR(AF3201="유지비",AF3201="손해조사비"),$P3201,0),$P3201*(1-AG3201)*IFERROR(INDEX(계정대체기준!$D$20:$D$49,MATCH($N3201,계정대체기준!$A$20:$A$49,0)),0)))</f>
        <v/>
      </c>
      <c r="AB3201" s="94">
        <f>IF($A3201="",0,IF(AE3201="직접",IF(AF3201="수금비",$P3201,0),$P3201*(1-AG3201)*IFERROR(INDEX(계정대체기준!$E$20:$E$49,MATCH($N3201,계정대체기준!$A$20:$A$49,0)),0)))</f>
        <v/>
      </c>
      <c r="AC3201" s="9">
        <f>IF(AND($A3201&lt;&gt;"",M3201=설정!$C$20,Z3201&gt;0),Z3201+ROW()/1000000000,"")</f>
        <v/>
      </c>
      <c r="AD3201" s="94">
        <f>IF($A3201="",0,$P3201*AG3201)</f>
        <v/>
      </c>
      <c r="AE3201" s="64">
        <f>IF($A3201="","",IFERROR(INDEX(계정매핑!$E$5:$E$504,MATCH($F3201&amp;"",계정매핑!$A$5:$A$504,0))&amp;"","공통비"))</f>
        <v/>
      </c>
      <c r="AF3201" s="64">
        <f>IF($A3201="","",IF(AE3201="직접",IFERROR(INDEX(계정매핑!$F$5:$F$504,MATCH($F3201&amp;"",계정매핑!$A$5:$A$504,0))&amp;"","비귀속"),""))</f>
        <v/>
      </c>
      <c r="AG3201" s="96">
        <f>IF($A3201="",0,IF(AND(AE3201&lt;&gt;"직접",IFERROR(INDEX(계정매핑!$G$5:$G$504,MATCH($F3201&amp;"",계정매핑!$A$5:$A$504,0))&amp;"","")="유지비",COUNTIF(계정대체기준!$A$6:$A$15,$N3201)&gt;0),IFERROR(INDEX(계정대체기준!$E$6:$E$15,MATCH(VALUE($A3201&amp;""),계정대체기준!$D$6:$D$15,0)),0),0))</f>
        <v/>
      </c>
      <c r="AH3201" s="64">
        <f>IF($A3201="","",IF(AD3201=0,"",IF(OR(COUNTIF(계정대체기준!$A$77:$A$86,$N3201)&gt;0,ISNUMBER(MATCH($X3201,계정대체기준!$D$77:$D$86,0)),ISNUMBER(MATCH($F3201,계정대체기준!$D$77:$D$86,0))),"Y","N")))</f>
        <v/>
      </c>
    </row>
    <row r="3202">
      <c r="A3202" s="92" t="n">
        <v>2026</v>
      </c>
      <c r="B3202" s="92" t="n">
        <v>3</v>
      </c>
      <c r="C3202" s="92" t="inlineStr">
        <is>
          <t>5100000480</t>
        </is>
      </c>
      <c r="D3202" s="95" t="n">
        <v>46086</v>
      </c>
      <c r="E3202" s="92" t="inlineStr">
        <is>
          <t>KR</t>
        </is>
      </c>
      <c r="F3202" s="92" t="n">
        <v>62101000</v>
      </c>
      <c r="G3202" s="92" t="n">
        <v>1801</v>
      </c>
      <c r="H3202" s="93" t="n">
        <v>202000</v>
      </c>
      <c r="I3202" s="92" t="inlineStr">
        <is>
          <t>3월 국내출장 - (법인카드)</t>
        </is>
      </c>
      <c r="J3202" s="92" t="inlineStr">
        <is>
          <t>V10010</t>
        </is>
      </c>
      <c r="K3202" s="92" t="inlineStr">
        <is>
          <t>(법인카드)</t>
        </is>
      </c>
      <c r="M3202" s="9">
        <f>IF($A3202="","",VALUE($A3202&amp;"")*12+VALUE($B3202&amp;""))</f>
        <v/>
      </c>
      <c r="N3202" s="64">
        <f>IF($A3202="","",IFERROR(INDEX(부서매핑!$C$5:$C$504,MATCH($G3202&amp;"",부서매핑!$A$5:$A$504,0)),"미매핑"))</f>
        <v/>
      </c>
      <c r="O3202" s="9">
        <f>IF($A3202="","",N3202&amp;"|"&amp;$F3202)</f>
        <v/>
      </c>
      <c r="P3202" s="94">
        <f>IF($A3202="",0,$H3202*설정!$C$23)</f>
        <v/>
      </c>
      <c r="Q3202" s="64">
        <f>IF($A3202="","",IF(O3202&lt;&gt;원인분석!$C$9,"",IF(AND(M3202&gt;=원인분석!$C$10,M3202&lt;=원인분석!$C$11),"당기",IF(AND(M3202&gt;=원인분석!$C$12,M3202&lt;=원인분석!$C$13),"비교",""))))</f>
        <v/>
      </c>
      <c r="R3202" s="9">
        <f>IF(Q3202="","",$K3202&amp;"")</f>
        <v/>
      </c>
      <c r="S3202" s="9">
        <f>IF(Q3202="","",IF(MATCH(R3202,$R$5:$R$100000,0)=ROW()-4,ROW(),""))</f>
        <v/>
      </c>
      <c r="T3202" s="9">
        <f>IF(Q3202="당기",ABS(P3202)+ROW()/1000000000,"")</f>
        <v/>
      </c>
      <c r="U3202" s="9">
        <f>IF(Q3202="비교",ABS(P3202)+ROW()/1000000000,"")</f>
        <v/>
      </c>
      <c r="V3202" s="64">
        <f>IF($A3202="","",IF(COUNTIF(변동분석!$E$7:$E$506,O3202)&gt;0,"Y","N"))</f>
        <v/>
      </c>
      <c r="W3202" s="64">
        <f>IF($A3202="","",IFERROR(INDEX(계정매핑!$D$5:$D$504,MATCH($F3202&amp;"",계정매핑!$A$5:$A$504,0)),"미매핑"))</f>
        <v/>
      </c>
      <c r="X3202" s="9">
        <f>IF($A3202="","",$F3202&amp;"")</f>
        <v/>
      </c>
      <c r="Y3202" s="94">
        <f>IF($A3202="",0,IF(AE3202="직접",IF(AF3202="비귀속",$P3202,0),$P3202*(1-AG3202)*IFERROR(INDEX(계정대체기준!$F$20:$F$49,MATCH($N3202,계정대체기준!$A$20:$A$49,0)),1)))</f>
        <v/>
      </c>
      <c r="Z3202" s="94">
        <f>IF($A3202="",0,IF(AE3202="직접",IF(AF3202="신계약비",$P3202,0),$P3202*(1-AG3202)*IFERROR(INDEX(계정대체기준!$C$20:$C$49,MATCH($N3202,계정대체기준!$A$20:$A$49,0)),0)))</f>
        <v/>
      </c>
      <c r="AA3202" s="94">
        <f>IF($A3202="",0,IF(AE3202="직접",IF(OR(AF3202="유지비",AF3202="손해조사비"),$P3202,0),$P3202*(1-AG3202)*IFERROR(INDEX(계정대체기준!$D$20:$D$49,MATCH($N3202,계정대체기준!$A$20:$A$49,0)),0)))</f>
        <v/>
      </c>
      <c r="AB3202" s="94">
        <f>IF($A3202="",0,IF(AE3202="직접",IF(AF3202="수금비",$P3202,0),$P3202*(1-AG3202)*IFERROR(INDEX(계정대체기준!$E$20:$E$49,MATCH($N3202,계정대체기준!$A$20:$A$49,0)),0)))</f>
        <v/>
      </c>
      <c r="AC3202" s="9">
        <f>IF(AND($A3202&lt;&gt;"",M3202=설정!$C$20,Z3202&gt;0),Z3202+ROW()/1000000000,"")</f>
        <v/>
      </c>
      <c r="AD3202" s="94">
        <f>IF($A3202="",0,$P3202*AG3202)</f>
        <v/>
      </c>
      <c r="AE3202" s="64">
        <f>IF($A3202="","",IFERROR(INDEX(계정매핑!$E$5:$E$504,MATCH($F3202&amp;"",계정매핑!$A$5:$A$504,0))&amp;"","공통비"))</f>
        <v/>
      </c>
      <c r="AF3202" s="64">
        <f>IF($A3202="","",IF(AE3202="직접",IFERROR(INDEX(계정매핑!$F$5:$F$504,MATCH($F3202&amp;"",계정매핑!$A$5:$A$504,0))&amp;"","비귀속"),""))</f>
        <v/>
      </c>
      <c r="AG3202" s="96">
        <f>IF($A3202="",0,IF(AND(AE3202&lt;&gt;"직접",IFERROR(INDEX(계정매핑!$G$5:$G$504,MATCH($F3202&amp;"",계정매핑!$A$5:$A$504,0))&amp;"","")="유지비",COUNTIF(계정대체기준!$A$6:$A$15,$N3202)&gt;0),IFERROR(INDEX(계정대체기준!$E$6:$E$15,MATCH(VALUE($A3202&amp;""),계정대체기준!$D$6:$D$15,0)),0),0))</f>
        <v/>
      </c>
      <c r="AH3202" s="64">
        <f>IF($A3202="","",IF(AD3202=0,"",IF(OR(COUNTIF(계정대체기준!$A$77:$A$86,$N3202)&gt;0,ISNUMBER(MATCH($X3202,계정대체기준!$D$77:$D$86,0)),ISNUMBER(MATCH($F3202,계정대체기준!$D$77:$D$86,0))),"Y","N")))</f>
        <v/>
      </c>
    </row>
    <row r="3203">
      <c r="A3203" s="92" t="n">
        <v>2026</v>
      </c>
      <c r="B3203" s="92" t="n">
        <v>3</v>
      </c>
      <c r="C3203" s="92" t="inlineStr">
        <is>
          <t>5100000481</t>
        </is>
      </c>
      <c r="D3203" s="95" t="n">
        <v>46086</v>
      </c>
      <c r="E3203" s="92" t="inlineStr">
        <is>
          <t>KR</t>
        </is>
      </c>
      <c r="F3203" s="92" t="n">
        <v>62102000</v>
      </c>
      <c r="G3203" s="92" t="n">
        <v>1401</v>
      </c>
      <c r="H3203" s="93" t="n">
        <v>237000</v>
      </c>
      <c r="I3203" s="92" t="inlineStr">
        <is>
          <t>3월 해외출장 - N호텔</t>
        </is>
      </c>
      <c r="J3203" s="92" t="inlineStr">
        <is>
          <t>V10009</t>
        </is>
      </c>
      <c r="K3203" s="92" t="inlineStr">
        <is>
          <t>N호텔</t>
        </is>
      </c>
      <c r="M3203" s="9">
        <f>IF($A3203="","",VALUE($A3203&amp;"")*12+VALUE($B3203&amp;""))</f>
        <v/>
      </c>
      <c r="N3203" s="64">
        <f>IF($A3203="","",IFERROR(INDEX(부서매핑!$C$5:$C$504,MATCH($G3203&amp;"",부서매핑!$A$5:$A$504,0)),"미매핑"))</f>
        <v/>
      </c>
      <c r="O3203" s="9">
        <f>IF($A3203="","",N3203&amp;"|"&amp;$F3203)</f>
        <v/>
      </c>
      <c r="P3203" s="94">
        <f>IF($A3203="",0,$H3203*설정!$C$23)</f>
        <v/>
      </c>
      <c r="Q3203" s="64">
        <f>IF($A3203="","",IF(O3203&lt;&gt;원인분석!$C$9,"",IF(AND(M3203&gt;=원인분석!$C$10,M3203&lt;=원인분석!$C$11),"당기",IF(AND(M3203&gt;=원인분석!$C$12,M3203&lt;=원인분석!$C$13),"비교",""))))</f>
        <v/>
      </c>
      <c r="R3203" s="9">
        <f>IF(Q3203="","",$K3203&amp;"")</f>
        <v/>
      </c>
      <c r="S3203" s="9">
        <f>IF(Q3203="","",IF(MATCH(R3203,$R$5:$R$100000,0)=ROW()-4,ROW(),""))</f>
        <v/>
      </c>
      <c r="T3203" s="9">
        <f>IF(Q3203="당기",ABS(P3203)+ROW()/1000000000,"")</f>
        <v/>
      </c>
      <c r="U3203" s="9">
        <f>IF(Q3203="비교",ABS(P3203)+ROW()/1000000000,"")</f>
        <v/>
      </c>
      <c r="V3203" s="64">
        <f>IF($A3203="","",IF(COUNTIF(변동분석!$E$7:$E$506,O3203)&gt;0,"Y","N"))</f>
        <v/>
      </c>
      <c r="W3203" s="64">
        <f>IF($A3203="","",IFERROR(INDEX(계정매핑!$D$5:$D$504,MATCH($F3203&amp;"",계정매핑!$A$5:$A$504,0)),"미매핑"))</f>
        <v/>
      </c>
      <c r="X3203" s="9">
        <f>IF($A3203="","",$F3203&amp;"")</f>
        <v/>
      </c>
      <c r="Y3203" s="94">
        <f>IF($A3203="",0,IF(AE3203="직접",IF(AF3203="비귀속",$P3203,0),$P3203*(1-AG3203)*IFERROR(INDEX(계정대체기준!$F$20:$F$49,MATCH($N3203,계정대체기준!$A$20:$A$49,0)),1)))</f>
        <v/>
      </c>
      <c r="Z3203" s="94">
        <f>IF($A3203="",0,IF(AE3203="직접",IF(AF3203="신계약비",$P3203,0),$P3203*(1-AG3203)*IFERROR(INDEX(계정대체기준!$C$20:$C$49,MATCH($N3203,계정대체기준!$A$20:$A$49,0)),0)))</f>
        <v/>
      </c>
      <c r="AA3203" s="94">
        <f>IF($A3203="",0,IF(AE3203="직접",IF(OR(AF3203="유지비",AF3203="손해조사비"),$P3203,0),$P3203*(1-AG3203)*IFERROR(INDEX(계정대체기준!$D$20:$D$49,MATCH($N3203,계정대체기준!$A$20:$A$49,0)),0)))</f>
        <v/>
      </c>
      <c r="AB3203" s="94">
        <f>IF($A3203="",0,IF(AE3203="직접",IF(AF3203="수금비",$P3203,0),$P3203*(1-AG3203)*IFERROR(INDEX(계정대체기준!$E$20:$E$49,MATCH($N3203,계정대체기준!$A$20:$A$49,0)),0)))</f>
        <v/>
      </c>
      <c r="AC3203" s="9">
        <f>IF(AND($A3203&lt;&gt;"",M3203=설정!$C$20,Z3203&gt;0),Z3203+ROW()/1000000000,"")</f>
        <v/>
      </c>
      <c r="AD3203" s="94">
        <f>IF($A3203="",0,$P3203*AG3203)</f>
        <v/>
      </c>
      <c r="AE3203" s="64">
        <f>IF($A3203="","",IFERROR(INDEX(계정매핑!$E$5:$E$504,MATCH($F3203&amp;"",계정매핑!$A$5:$A$504,0))&amp;"","공통비"))</f>
        <v/>
      </c>
      <c r="AF3203" s="64">
        <f>IF($A3203="","",IF(AE3203="직접",IFERROR(INDEX(계정매핑!$F$5:$F$504,MATCH($F3203&amp;"",계정매핑!$A$5:$A$504,0))&amp;"","비귀속"),""))</f>
        <v/>
      </c>
      <c r="AG3203" s="96">
        <f>IF($A3203="",0,IF(AND(AE3203&lt;&gt;"직접",IFERROR(INDEX(계정매핑!$G$5:$G$504,MATCH($F3203&amp;"",계정매핑!$A$5:$A$504,0))&amp;"","")="유지비",COUNTIF(계정대체기준!$A$6:$A$15,$N3203)&gt;0),IFERROR(INDEX(계정대체기준!$E$6:$E$15,MATCH(VALUE($A3203&amp;""),계정대체기준!$D$6:$D$15,0)),0),0))</f>
        <v/>
      </c>
      <c r="AH3203" s="64">
        <f>IF($A3203="","",IF(AD3203=0,"",IF(OR(COUNTIF(계정대체기준!$A$77:$A$86,$N3203)&gt;0,ISNUMBER(MATCH($X3203,계정대체기준!$D$77:$D$86,0)),ISNUMBER(MATCH($F3203,계정대체기준!$D$77:$D$86,0))),"Y","N")))</f>
        <v/>
      </c>
    </row>
    <row r="3204">
      <c r="A3204" s="92" t="n">
        <v>2026</v>
      </c>
      <c r="B3204" s="92" t="n">
        <v>3</v>
      </c>
      <c r="C3204" s="92" t="inlineStr">
        <is>
          <t>5100000482</t>
        </is>
      </c>
      <c r="D3204" s="95" t="n">
        <v>46086</v>
      </c>
      <c r="E3204" s="92" t="inlineStr">
        <is>
          <t>KR</t>
        </is>
      </c>
      <c r="F3204" s="92" t="n">
        <v>62102000</v>
      </c>
      <c r="G3204" s="92" t="n">
        <v>1701</v>
      </c>
      <c r="H3204" s="93" t="n">
        <v>37000</v>
      </c>
      <c r="I3204" s="92" t="inlineStr">
        <is>
          <t>3월 해외출장 - N호텔</t>
        </is>
      </c>
      <c r="J3204" s="92" t="inlineStr">
        <is>
          <t>V10009</t>
        </is>
      </c>
      <c r="K3204" s="92" t="inlineStr">
        <is>
          <t>N호텔</t>
        </is>
      </c>
      <c r="M3204" s="9">
        <f>IF($A3204="","",VALUE($A3204&amp;"")*12+VALUE($B3204&amp;""))</f>
        <v/>
      </c>
      <c r="N3204" s="64">
        <f>IF($A3204="","",IFERROR(INDEX(부서매핑!$C$5:$C$504,MATCH($G3204&amp;"",부서매핑!$A$5:$A$504,0)),"미매핑"))</f>
        <v/>
      </c>
      <c r="O3204" s="9">
        <f>IF($A3204="","",N3204&amp;"|"&amp;$F3204)</f>
        <v/>
      </c>
      <c r="P3204" s="94">
        <f>IF($A3204="",0,$H3204*설정!$C$23)</f>
        <v/>
      </c>
      <c r="Q3204" s="64">
        <f>IF($A3204="","",IF(O3204&lt;&gt;원인분석!$C$9,"",IF(AND(M3204&gt;=원인분석!$C$10,M3204&lt;=원인분석!$C$11),"당기",IF(AND(M3204&gt;=원인분석!$C$12,M3204&lt;=원인분석!$C$13),"비교",""))))</f>
        <v/>
      </c>
      <c r="R3204" s="9">
        <f>IF(Q3204="","",$K3204&amp;"")</f>
        <v/>
      </c>
      <c r="S3204" s="9">
        <f>IF(Q3204="","",IF(MATCH(R3204,$R$5:$R$100000,0)=ROW()-4,ROW(),""))</f>
        <v/>
      </c>
      <c r="T3204" s="9">
        <f>IF(Q3204="당기",ABS(P3204)+ROW()/1000000000,"")</f>
        <v/>
      </c>
      <c r="U3204" s="9">
        <f>IF(Q3204="비교",ABS(P3204)+ROW()/1000000000,"")</f>
        <v/>
      </c>
      <c r="V3204" s="64">
        <f>IF($A3204="","",IF(COUNTIF(변동분석!$E$7:$E$506,O3204)&gt;0,"Y","N"))</f>
        <v/>
      </c>
      <c r="W3204" s="64">
        <f>IF($A3204="","",IFERROR(INDEX(계정매핑!$D$5:$D$504,MATCH($F3204&amp;"",계정매핑!$A$5:$A$504,0)),"미매핑"))</f>
        <v/>
      </c>
      <c r="X3204" s="9">
        <f>IF($A3204="","",$F3204&amp;"")</f>
        <v/>
      </c>
      <c r="Y3204" s="94">
        <f>IF($A3204="",0,IF(AE3204="직접",IF(AF3204="비귀속",$P3204,0),$P3204*(1-AG3204)*IFERROR(INDEX(계정대체기준!$F$20:$F$49,MATCH($N3204,계정대체기준!$A$20:$A$49,0)),1)))</f>
        <v/>
      </c>
      <c r="Z3204" s="94">
        <f>IF($A3204="",0,IF(AE3204="직접",IF(AF3204="신계약비",$P3204,0),$P3204*(1-AG3204)*IFERROR(INDEX(계정대체기준!$C$20:$C$49,MATCH($N3204,계정대체기준!$A$20:$A$49,0)),0)))</f>
        <v/>
      </c>
      <c r="AA3204" s="94">
        <f>IF($A3204="",0,IF(AE3204="직접",IF(OR(AF3204="유지비",AF3204="손해조사비"),$P3204,0),$P3204*(1-AG3204)*IFERROR(INDEX(계정대체기준!$D$20:$D$49,MATCH($N3204,계정대체기준!$A$20:$A$49,0)),0)))</f>
        <v/>
      </c>
      <c r="AB3204" s="94">
        <f>IF($A3204="",0,IF(AE3204="직접",IF(AF3204="수금비",$P3204,0),$P3204*(1-AG3204)*IFERROR(INDEX(계정대체기준!$E$20:$E$49,MATCH($N3204,계정대체기준!$A$20:$A$49,0)),0)))</f>
        <v/>
      </c>
      <c r="AC3204" s="9">
        <f>IF(AND($A3204&lt;&gt;"",M3204=설정!$C$20,Z3204&gt;0),Z3204+ROW()/1000000000,"")</f>
        <v/>
      </c>
      <c r="AD3204" s="94">
        <f>IF($A3204="",0,$P3204*AG3204)</f>
        <v/>
      </c>
      <c r="AE3204" s="64">
        <f>IF($A3204="","",IFERROR(INDEX(계정매핑!$E$5:$E$504,MATCH($F3204&amp;"",계정매핑!$A$5:$A$504,0))&amp;"","공통비"))</f>
        <v/>
      </c>
      <c r="AF3204" s="64">
        <f>IF($A3204="","",IF(AE3204="직접",IFERROR(INDEX(계정매핑!$F$5:$F$504,MATCH($F3204&amp;"",계정매핑!$A$5:$A$504,0))&amp;"","비귀속"),""))</f>
        <v/>
      </c>
      <c r="AG3204" s="96">
        <f>IF($A3204="",0,IF(AND(AE3204&lt;&gt;"직접",IFERROR(INDEX(계정매핑!$G$5:$G$504,MATCH($F3204&amp;"",계정매핑!$A$5:$A$504,0))&amp;"","")="유지비",COUNTIF(계정대체기준!$A$6:$A$15,$N3204)&gt;0),IFERROR(INDEX(계정대체기준!$E$6:$E$15,MATCH(VALUE($A3204&amp;""),계정대체기준!$D$6:$D$15,0)),0),0))</f>
        <v/>
      </c>
      <c r="AH3204" s="64">
        <f>IF($A3204="","",IF(AD3204=0,"",IF(OR(COUNTIF(계정대체기준!$A$77:$A$86,$N3204)&gt;0,ISNUMBER(MATCH($X3204,계정대체기준!$D$77:$D$86,0)),ISNUMBER(MATCH($F3204,계정대체기준!$D$77:$D$86,0))),"Y","N")))</f>
        <v/>
      </c>
    </row>
    <row r="3205">
      <c r="A3205" s="92" t="n">
        <v>2026</v>
      </c>
      <c r="B3205" s="92" t="n">
        <v>3</v>
      </c>
      <c r="C3205" s="92" t="inlineStr">
        <is>
          <t>5100000483</t>
        </is>
      </c>
      <c r="D3205" s="95" t="n">
        <v>46086</v>
      </c>
      <c r="E3205" s="92" t="inlineStr">
        <is>
          <t>KR</t>
        </is>
      </c>
      <c r="F3205" s="92" t="n">
        <v>62102000</v>
      </c>
      <c r="G3205" s="92" t="n">
        <v>1801</v>
      </c>
      <c r="H3205" s="93" t="n">
        <v>70000</v>
      </c>
      <c r="I3205" s="92" t="inlineStr">
        <is>
          <t>3월 해외출장 - M항공</t>
        </is>
      </c>
      <c r="J3205" s="92" t="inlineStr">
        <is>
          <t>V10001</t>
        </is>
      </c>
      <c r="K3205" s="92" t="inlineStr">
        <is>
          <t>M항공</t>
        </is>
      </c>
      <c r="M3205" s="9">
        <f>IF($A3205="","",VALUE($A3205&amp;"")*12+VALUE($B3205&amp;""))</f>
        <v/>
      </c>
      <c r="N3205" s="64">
        <f>IF($A3205="","",IFERROR(INDEX(부서매핑!$C$5:$C$504,MATCH($G3205&amp;"",부서매핑!$A$5:$A$504,0)),"미매핑"))</f>
        <v/>
      </c>
      <c r="O3205" s="9">
        <f>IF($A3205="","",N3205&amp;"|"&amp;$F3205)</f>
        <v/>
      </c>
      <c r="P3205" s="94">
        <f>IF($A3205="",0,$H3205*설정!$C$23)</f>
        <v/>
      </c>
      <c r="Q3205" s="64">
        <f>IF($A3205="","",IF(O3205&lt;&gt;원인분석!$C$9,"",IF(AND(M3205&gt;=원인분석!$C$10,M3205&lt;=원인분석!$C$11),"당기",IF(AND(M3205&gt;=원인분석!$C$12,M3205&lt;=원인분석!$C$13),"비교",""))))</f>
        <v/>
      </c>
      <c r="R3205" s="9">
        <f>IF(Q3205="","",$K3205&amp;"")</f>
        <v/>
      </c>
      <c r="S3205" s="9">
        <f>IF(Q3205="","",IF(MATCH(R3205,$R$5:$R$100000,0)=ROW()-4,ROW(),""))</f>
        <v/>
      </c>
      <c r="T3205" s="9">
        <f>IF(Q3205="당기",ABS(P3205)+ROW()/1000000000,"")</f>
        <v/>
      </c>
      <c r="U3205" s="9">
        <f>IF(Q3205="비교",ABS(P3205)+ROW()/1000000000,"")</f>
        <v/>
      </c>
      <c r="V3205" s="64">
        <f>IF($A3205="","",IF(COUNTIF(변동분석!$E$7:$E$506,O3205)&gt;0,"Y","N"))</f>
        <v/>
      </c>
      <c r="W3205" s="64">
        <f>IF($A3205="","",IFERROR(INDEX(계정매핑!$D$5:$D$504,MATCH($F3205&amp;"",계정매핑!$A$5:$A$504,0)),"미매핑"))</f>
        <v/>
      </c>
      <c r="X3205" s="9">
        <f>IF($A3205="","",$F3205&amp;"")</f>
        <v/>
      </c>
      <c r="Y3205" s="94">
        <f>IF($A3205="",0,IF(AE3205="직접",IF(AF3205="비귀속",$P3205,0),$P3205*(1-AG3205)*IFERROR(INDEX(계정대체기준!$F$20:$F$49,MATCH($N3205,계정대체기준!$A$20:$A$49,0)),1)))</f>
        <v/>
      </c>
      <c r="Z3205" s="94">
        <f>IF($A3205="",0,IF(AE3205="직접",IF(AF3205="신계약비",$P3205,0),$P3205*(1-AG3205)*IFERROR(INDEX(계정대체기준!$C$20:$C$49,MATCH($N3205,계정대체기준!$A$20:$A$49,0)),0)))</f>
        <v/>
      </c>
      <c r="AA3205" s="94">
        <f>IF($A3205="",0,IF(AE3205="직접",IF(OR(AF3205="유지비",AF3205="손해조사비"),$P3205,0),$P3205*(1-AG3205)*IFERROR(INDEX(계정대체기준!$D$20:$D$49,MATCH($N3205,계정대체기준!$A$20:$A$49,0)),0)))</f>
        <v/>
      </c>
      <c r="AB3205" s="94">
        <f>IF($A3205="",0,IF(AE3205="직접",IF(AF3205="수금비",$P3205,0),$P3205*(1-AG3205)*IFERROR(INDEX(계정대체기준!$E$20:$E$49,MATCH($N3205,계정대체기준!$A$20:$A$49,0)),0)))</f>
        <v/>
      </c>
      <c r="AC3205" s="9">
        <f>IF(AND($A3205&lt;&gt;"",M3205=설정!$C$20,Z3205&gt;0),Z3205+ROW()/1000000000,"")</f>
        <v/>
      </c>
      <c r="AD3205" s="94">
        <f>IF($A3205="",0,$P3205*AG3205)</f>
        <v/>
      </c>
      <c r="AE3205" s="64">
        <f>IF($A3205="","",IFERROR(INDEX(계정매핑!$E$5:$E$504,MATCH($F3205&amp;"",계정매핑!$A$5:$A$504,0))&amp;"","공통비"))</f>
        <v/>
      </c>
      <c r="AF3205" s="64">
        <f>IF($A3205="","",IF(AE3205="직접",IFERROR(INDEX(계정매핑!$F$5:$F$504,MATCH($F3205&amp;"",계정매핑!$A$5:$A$504,0))&amp;"","비귀속"),""))</f>
        <v/>
      </c>
      <c r="AG3205" s="96">
        <f>IF($A3205="",0,IF(AND(AE3205&lt;&gt;"직접",IFERROR(INDEX(계정매핑!$G$5:$G$504,MATCH($F3205&amp;"",계정매핑!$A$5:$A$504,0))&amp;"","")="유지비",COUNTIF(계정대체기준!$A$6:$A$15,$N3205)&gt;0),IFERROR(INDEX(계정대체기준!$E$6:$E$15,MATCH(VALUE($A3205&amp;""),계정대체기준!$D$6:$D$15,0)),0),0))</f>
        <v/>
      </c>
      <c r="AH3205" s="64">
        <f>IF($A3205="","",IF(AD3205=0,"",IF(OR(COUNTIF(계정대체기준!$A$77:$A$86,$N3205)&gt;0,ISNUMBER(MATCH($X3205,계정대체기준!$D$77:$D$86,0)),ISNUMBER(MATCH($F3205,계정대체기준!$D$77:$D$86,0))),"Y","N")))</f>
        <v/>
      </c>
    </row>
    <row r="3206">
      <c r="A3206" s="92" t="n">
        <v>2026</v>
      </c>
      <c r="B3206" s="92" t="n">
        <v>3</v>
      </c>
      <c r="C3206" s="92" t="inlineStr">
        <is>
          <t>5100000484</t>
        </is>
      </c>
      <c r="D3206" s="95" t="n">
        <v>46086</v>
      </c>
      <c r="E3206" s="92" t="inlineStr">
        <is>
          <t>KR</t>
        </is>
      </c>
      <c r="F3206" s="92" t="n">
        <v>62102000</v>
      </c>
      <c r="G3206" s="92" t="n">
        <v>1951</v>
      </c>
      <c r="H3206" s="93" t="n">
        <v>59000</v>
      </c>
      <c r="I3206" s="92" t="inlineStr">
        <is>
          <t>3월 해외출장 - N호텔</t>
        </is>
      </c>
      <c r="J3206" s="92" t="inlineStr">
        <is>
          <t>V10009</t>
        </is>
      </c>
      <c r="K3206" s="92" t="inlineStr">
        <is>
          <t>N호텔</t>
        </is>
      </c>
      <c r="M3206" s="9">
        <f>IF($A3206="","",VALUE($A3206&amp;"")*12+VALUE($B3206&amp;""))</f>
        <v/>
      </c>
      <c r="N3206" s="64">
        <f>IF($A3206="","",IFERROR(INDEX(부서매핑!$C$5:$C$504,MATCH($G3206&amp;"",부서매핑!$A$5:$A$504,0)),"미매핑"))</f>
        <v/>
      </c>
      <c r="O3206" s="9">
        <f>IF($A3206="","",N3206&amp;"|"&amp;$F3206)</f>
        <v/>
      </c>
      <c r="P3206" s="94">
        <f>IF($A3206="",0,$H3206*설정!$C$23)</f>
        <v/>
      </c>
      <c r="Q3206" s="64">
        <f>IF($A3206="","",IF(O3206&lt;&gt;원인분석!$C$9,"",IF(AND(M3206&gt;=원인분석!$C$10,M3206&lt;=원인분석!$C$11),"당기",IF(AND(M3206&gt;=원인분석!$C$12,M3206&lt;=원인분석!$C$13),"비교",""))))</f>
        <v/>
      </c>
      <c r="R3206" s="9">
        <f>IF(Q3206="","",$K3206&amp;"")</f>
        <v/>
      </c>
      <c r="S3206" s="9">
        <f>IF(Q3206="","",IF(MATCH(R3206,$R$5:$R$100000,0)=ROW()-4,ROW(),""))</f>
        <v/>
      </c>
      <c r="T3206" s="9">
        <f>IF(Q3206="당기",ABS(P3206)+ROW()/1000000000,"")</f>
        <v/>
      </c>
      <c r="U3206" s="9">
        <f>IF(Q3206="비교",ABS(P3206)+ROW()/1000000000,"")</f>
        <v/>
      </c>
      <c r="V3206" s="64">
        <f>IF($A3206="","",IF(COUNTIF(변동분석!$E$7:$E$506,O3206)&gt;0,"Y","N"))</f>
        <v/>
      </c>
      <c r="W3206" s="64">
        <f>IF($A3206="","",IFERROR(INDEX(계정매핑!$D$5:$D$504,MATCH($F3206&amp;"",계정매핑!$A$5:$A$504,0)),"미매핑"))</f>
        <v/>
      </c>
      <c r="X3206" s="9">
        <f>IF($A3206="","",$F3206&amp;"")</f>
        <v/>
      </c>
      <c r="Y3206" s="94">
        <f>IF($A3206="",0,IF(AE3206="직접",IF(AF3206="비귀속",$P3206,0),$P3206*(1-AG3206)*IFERROR(INDEX(계정대체기준!$F$20:$F$49,MATCH($N3206,계정대체기준!$A$20:$A$49,0)),1)))</f>
        <v/>
      </c>
      <c r="Z3206" s="94">
        <f>IF($A3206="",0,IF(AE3206="직접",IF(AF3206="신계약비",$P3206,0),$P3206*(1-AG3206)*IFERROR(INDEX(계정대체기준!$C$20:$C$49,MATCH($N3206,계정대체기준!$A$20:$A$49,0)),0)))</f>
        <v/>
      </c>
      <c r="AA3206" s="94">
        <f>IF($A3206="",0,IF(AE3206="직접",IF(OR(AF3206="유지비",AF3206="손해조사비"),$P3206,0),$P3206*(1-AG3206)*IFERROR(INDEX(계정대체기준!$D$20:$D$49,MATCH($N3206,계정대체기준!$A$20:$A$49,0)),0)))</f>
        <v/>
      </c>
      <c r="AB3206" s="94">
        <f>IF($A3206="",0,IF(AE3206="직접",IF(AF3206="수금비",$P3206,0),$P3206*(1-AG3206)*IFERROR(INDEX(계정대체기준!$E$20:$E$49,MATCH($N3206,계정대체기준!$A$20:$A$49,0)),0)))</f>
        <v/>
      </c>
      <c r="AC3206" s="9">
        <f>IF(AND($A3206&lt;&gt;"",M3206=설정!$C$20,Z3206&gt;0),Z3206+ROW()/1000000000,"")</f>
        <v/>
      </c>
      <c r="AD3206" s="94">
        <f>IF($A3206="",0,$P3206*AG3206)</f>
        <v/>
      </c>
      <c r="AE3206" s="64">
        <f>IF($A3206="","",IFERROR(INDEX(계정매핑!$E$5:$E$504,MATCH($F3206&amp;"",계정매핑!$A$5:$A$504,0))&amp;"","공통비"))</f>
        <v/>
      </c>
      <c r="AF3206" s="64">
        <f>IF($A3206="","",IF(AE3206="직접",IFERROR(INDEX(계정매핑!$F$5:$F$504,MATCH($F3206&amp;"",계정매핑!$A$5:$A$504,0))&amp;"","비귀속"),""))</f>
        <v/>
      </c>
      <c r="AG3206" s="96">
        <f>IF($A3206="",0,IF(AND(AE3206&lt;&gt;"직접",IFERROR(INDEX(계정매핑!$G$5:$G$504,MATCH($F3206&amp;"",계정매핑!$A$5:$A$504,0))&amp;"","")="유지비",COUNTIF(계정대체기준!$A$6:$A$15,$N3206)&gt;0),IFERROR(INDEX(계정대체기준!$E$6:$E$15,MATCH(VALUE($A3206&amp;""),계정대체기준!$D$6:$D$15,0)),0),0))</f>
        <v/>
      </c>
      <c r="AH3206" s="64">
        <f>IF($A3206="","",IF(AD3206=0,"",IF(OR(COUNTIF(계정대체기준!$A$77:$A$86,$N3206)&gt;0,ISNUMBER(MATCH($X3206,계정대체기준!$D$77:$D$86,0)),ISNUMBER(MATCH($F3206,계정대체기준!$D$77:$D$86,0))),"Y","N")))</f>
        <v/>
      </c>
    </row>
    <row r="3207">
      <c r="A3207" s="92" t="n">
        <v>2026</v>
      </c>
      <c r="B3207" s="92" t="n">
        <v>3</v>
      </c>
      <c r="C3207" s="92" t="inlineStr">
        <is>
          <t>5100000485</t>
        </is>
      </c>
      <c r="D3207" s="95" t="n">
        <v>46086</v>
      </c>
      <c r="E3207" s="92" t="inlineStr">
        <is>
          <t>KR</t>
        </is>
      </c>
      <c r="F3207" s="92" t="n">
        <v>62201000</v>
      </c>
      <c r="G3207" s="92" t="n">
        <v>1501</v>
      </c>
      <c r="H3207" s="93" t="n">
        <v>365000</v>
      </c>
      <c r="I3207" s="92" t="inlineStr">
        <is>
          <t>3월 통신요금 - O텔레콤</t>
        </is>
      </c>
      <c r="J3207" s="92" t="inlineStr">
        <is>
          <t>V10002</t>
        </is>
      </c>
      <c r="K3207" s="92" t="inlineStr">
        <is>
          <t>O텔레콤</t>
        </is>
      </c>
      <c r="M3207" s="9">
        <f>IF($A3207="","",VALUE($A3207&amp;"")*12+VALUE($B3207&amp;""))</f>
        <v/>
      </c>
      <c r="N3207" s="64">
        <f>IF($A3207="","",IFERROR(INDEX(부서매핑!$C$5:$C$504,MATCH($G3207&amp;"",부서매핑!$A$5:$A$504,0)),"미매핑"))</f>
        <v/>
      </c>
      <c r="O3207" s="9">
        <f>IF($A3207="","",N3207&amp;"|"&amp;$F3207)</f>
        <v/>
      </c>
      <c r="P3207" s="94">
        <f>IF($A3207="",0,$H3207*설정!$C$23)</f>
        <v/>
      </c>
      <c r="Q3207" s="64">
        <f>IF($A3207="","",IF(O3207&lt;&gt;원인분석!$C$9,"",IF(AND(M3207&gt;=원인분석!$C$10,M3207&lt;=원인분석!$C$11),"당기",IF(AND(M3207&gt;=원인분석!$C$12,M3207&lt;=원인분석!$C$13),"비교",""))))</f>
        <v/>
      </c>
      <c r="R3207" s="9">
        <f>IF(Q3207="","",$K3207&amp;"")</f>
        <v/>
      </c>
      <c r="S3207" s="9">
        <f>IF(Q3207="","",IF(MATCH(R3207,$R$5:$R$100000,0)=ROW()-4,ROW(),""))</f>
        <v/>
      </c>
      <c r="T3207" s="9">
        <f>IF(Q3207="당기",ABS(P3207)+ROW()/1000000000,"")</f>
        <v/>
      </c>
      <c r="U3207" s="9">
        <f>IF(Q3207="비교",ABS(P3207)+ROW()/1000000000,"")</f>
        <v/>
      </c>
      <c r="V3207" s="64">
        <f>IF($A3207="","",IF(COUNTIF(변동분석!$E$7:$E$506,O3207)&gt;0,"Y","N"))</f>
        <v/>
      </c>
      <c r="W3207" s="64">
        <f>IF($A3207="","",IFERROR(INDEX(계정매핑!$D$5:$D$504,MATCH($F3207&amp;"",계정매핑!$A$5:$A$504,0)),"미매핑"))</f>
        <v/>
      </c>
      <c r="X3207" s="9">
        <f>IF($A3207="","",$F3207&amp;"")</f>
        <v/>
      </c>
      <c r="Y3207" s="94">
        <f>IF($A3207="",0,IF(AE3207="직접",IF(AF3207="비귀속",$P3207,0),$P3207*(1-AG3207)*IFERROR(INDEX(계정대체기준!$F$20:$F$49,MATCH($N3207,계정대체기준!$A$20:$A$49,0)),1)))</f>
        <v/>
      </c>
      <c r="Z3207" s="94">
        <f>IF($A3207="",0,IF(AE3207="직접",IF(AF3207="신계약비",$P3207,0),$P3207*(1-AG3207)*IFERROR(INDEX(계정대체기준!$C$20:$C$49,MATCH($N3207,계정대체기준!$A$20:$A$49,0)),0)))</f>
        <v/>
      </c>
      <c r="AA3207" s="94">
        <f>IF($A3207="",0,IF(AE3207="직접",IF(OR(AF3207="유지비",AF3207="손해조사비"),$P3207,0),$P3207*(1-AG3207)*IFERROR(INDEX(계정대체기준!$D$20:$D$49,MATCH($N3207,계정대체기준!$A$20:$A$49,0)),0)))</f>
        <v/>
      </c>
      <c r="AB3207" s="94">
        <f>IF($A3207="",0,IF(AE3207="직접",IF(AF3207="수금비",$P3207,0),$P3207*(1-AG3207)*IFERROR(INDEX(계정대체기준!$E$20:$E$49,MATCH($N3207,계정대체기준!$A$20:$A$49,0)),0)))</f>
        <v/>
      </c>
      <c r="AC3207" s="9">
        <f>IF(AND($A3207&lt;&gt;"",M3207=설정!$C$20,Z3207&gt;0),Z3207+ROW()/1000000000,"")</f>
        <v/>
      </c>
      <c r="AD3207" s="94">
        <f>IF($A3207="",0,$P3207*AG3207)</f>
        <v/>
      </c>
      <c r="AE3207" s="64">
        <f>IF($A3207="","",IFERROR(INDEX(계정매핑!$E$5:$E$504,MATCH($F3207&amp;"",계정매핑!$A$5:$A$504,0))&amp;"","공통비"))</f>
        <v/>
      </c>
      <c r="AF3207" s="64">
        <f>IF($A3207="","",IF(AE3207="직접",IFERROR(INDEX(계정매핑!$F$5:$F$504,MATCH($F3207&amp;"",계정매핑!$A$5:$A$504,0))&amp;"","비귀속"),""))</f>
        <v/>
      </c>
      <c r="AG3207" s="96">
        <f>IF($A3207="",0,IF(AND(AE3207&lt;&gt;"직접",IFERROR(INDEX(계정매핑!$G$5:$G$504,MATCH($F3207&amp;"",계정매핑!$A$5:$A$504,0))&amp;"","")="유지비",COUNTIF(계정대체기준!$A$6:$A$15,$N3207)&gt;0),IFERROR(INDEX(계정대체기준!$E$6:$E$15,MATCH(VALUE($A3207&amp;""),계정대체기준!$D$6:$D$15,0)),0),0))</f>
        <v/>
      </c>
      <c r="AH3207" s="64">
        <f>IF($A3207="","",IF(AD3207=0,"",IF(OR(COUNTIF(계정대체기준!$A$77:$A$86,$N3207)&gt;0,ISNUMBER(MATCH($X3207,계정대체기준!$D$77:$D$86,0)),ISNUMBER(MATCH($F3207,계정대체기준!$D$77:$D$86,0))),"Y","N")))</f>
        <v/>
      </c>
    </row>
    <row r="3208">
      <c r="A3208" s="92" t="n">
        <v>2026</v>
      </c>
      <c r="B3208" s="92" t="n">
        <v>3</v>
      </c>
      <c r="C3208" s="92" t="inlineStr">
        <is>
          <t>5100000486</t>
        </is>
      </c>
      <c r="D3208" s="95" t="n">
        <v>46086</v>
      </c>
      <c r="E3208" s="92" t="inlineStr">
        <is>
          <t>KR</t>
        </is>
      </c>
      <c r="F3208" s="92" t="n">
        <v>62201000</v>
      </c>
      <c r="G3208" s="92" t="n">
        <v>1601</v>
      </c>
      <c r="H3208" s="93" t="n">
        <v>678000</v>
      </c>
      <c r="I3208" s="92" t="inlineStr">
        <is>
          <t>3월 통신요금 - P통신</t>
        </is>
      </c>
      <c r="J3208" s="92" t="inlineStr">
        <is>
          <t>V10014</t>
        </is>
      </c>
      <c r="K3208" s="92" t="inlineStr">
        <is>
          <t>P통신</t>
        </is>
      </c>
      <c r="M3208" s="9">
        <f>IF($A3208="","",VALUE($A3208&amp;"")*12+VALUE($B3208&amp;""))</f>
        <v/>
      </c>
      <c r="N3208" s="64">
        <f>IF($A3208="","",IFERROR(INDEX(부서매핑!$C$5:$C$504,MATCH($G3208&amp;"",부서매핑!$A$5:$A$504,0)),"미매핑"))</f>
        <v/>
      </c>
      <c r="O3208" s="9">
        <f>IF($A3208="","",N3208&amp;"|"&amp;$F3208)</f>
        <v/>
      </c>
      <c r="P3208" s="94">
        <f>IF($A3208="",0,$H3208*설정!$C$23)</f>
        <v/>
      </c>
      <c r="Q3208" s="64">
        <f>IF($A3208="","",IF(O3208&lt;&gt;원인분석!$C$9,"",IF(AND(M3208&gt;=원인분석!$C$10,M3208&lt;=원인분석!$C$11),"당기",IF(AND(M3208&gt;=원인분석!$C$12,M3208&lt;=원인분석!$C$13),"비교",""))))</f>
        <v/>
      </c>
      <c r="R3208" s="9">
        <f>IF(Q3208="","",$K3208&amp;"")</f>
        <v/>
      </c>
      <c r="S3208" s="9">
        <f>IF(Q3208="","",IF(MATCH(R3208,$R$5:$R$100000,0)=ROW()-4,ROW(),""))</f>
        <v/>
      </c>
      <c r="T3208" s="9">
        <f>IF(Q3208="당기",ABS(P3208)+ROW()/1000000000,"")</f>
        <v/>
      </c>
      <c r="U3208" s="9">
        <f>IF(Q3208="비교",ABS(P3208)+ROW()/1000000000,"")</f>
        <v/>
      </c>
      <c r="V3208" s="64">
        <f>IF($A3208="","",IF(COUNTIF(변동분석!$E$7:$E$506,O3208)&gt;0,"Y","N"))</f>
        <v/>
      </c>
      <c r="W3208" s="64">
        <f>IF($A3208="","",IFERROR(INDEX(계정매핑!$D$5:$D$504,MATCH($F3208&amp;"",계정매핑!$A$5:$A$504,0)),"미매핑"))</f>
        <v/>
      </c>
      <c r="X3208" s="9">
        <f>IF($A3208="","",$F3208&amp;"")</f>
        <v/>
      </c>
      <c r="Y3208" s="94">
        <f>IF($A3208="",0,IF(AE3208="직접",IF(AF3208="비귀속",$P3208,0),$P3208*(1-AG3208)*IFERROR(INDEX(계정대체기준!$F$20:$F$49,MATCH($N3208,계정대체기준!$A$20:$A$49,0)),1)))</f>
        <v/>
      </c>
      <c r="Z3208" s="94">
        <f>IF($A3208="",0,IF(AE3208="직접",IF(AF3208="신계약비",$P3208,0),$P3208*(1-AG3208)*IFERROR(INDEX(계정대체기준!$C$20:$C$49,MATCH($N3208,계정대체기준!$A$20:$A$49,0)),0)))</f>
        <v/>
      </c>
      <c r="AA3208" s="94">
        <f>IF($A3208="",0,IF(AE3208="직접",IF(OR(AF3208="유지비",AF3208="손해조사비"),$P3208,0),$P3208*(1-AG3208)*IFERROR(INDEX(계정대체기준!$D$20:$D$49,MATCH($N3208,계정대체기준!$A$20:$A$49,0)),0)))</f>
        <v/>
      </c>
      <c r="AB3208" s="94">
        <f>IF($A3208="",0,IF(AE3208="직접",IF(AF3208="수금비",$P3208,0),$P3208*(1-AG3208)*IFERROR(INDEX(계정대체기준!$E$20:$E$49,MATCH($N3208,계정대체기준!$A$20:$A$49,0)),0)))</f>
        <v/>
      </c>
      <c r="AC3208" s="9">
        <f>IF(AND($A3208&lt;&gt;"",M3208=설정!$C$20,Z3208&gt;0),Z3208+ROW()/1000000000,"")</f>
        <v/>
      </c>
      <c r="AD3208" s="94">
        <f>IF($A3208="",0,$P3208*AG3208)</f>
        <v/>
      </c>
      <c r="AE3208" s="64">
        <f>IF($A3208="","",IFERROR(INDEX(계정매핑!$E$5:$E$504,MATCH($F3208&amp;"",계정매핑!$A$5:$A$504,0))&amp;"","공통비"))</f>
        <v/>
      </c>
      <c r="AF3208" s="64">
        <f>IF($A3208="","",IF(AE3208="직접",IFERROR(INDEX(계정매핑!$F$5:$F$504,MATCH($F3208&amp;"",계정매핑!$A$5:$A$504,0))&amp;"","비귀속"),""))</f>
        <v/>
      </c>
      <c r="AG3208" s="96">
        <f>IF($A3208="",0,IF(AND(AE3208&lt;&gt;"직접",IFERROR(INDEX(계정매핑!$G$5:$G$504,MATCH($F3208&amp;"",계정매핑!$A$5:$A$504,0))&amp;"","")="유지비",COUNTIF(계정대체기준!$A$6:$A$15,$N3208)&gt;0),IFERROR(INDEX(계정대체기준!$E$6:$E$15,MATCH(VALUE($A3208&amp;""),계정대체기준!$D$6:$D$15,0)),0),0))</f>
        <v/>
      </c>
      <c r="AH3208" s="64">
        <f>IF($A3208="","",IF(AD3208=0,"",IF(OR(COUNTIF(계정대체기준!$A$77:$A$86,$N3208)&gt;0,ISNUMBER(MATCH($X3208,계정대체기준!$D$77:$D$86,0)),ISNUMBER(MATCH($F3208,계정대체기준!$D$77:$D$86,0))),"Y","N")))</f>
        <v/>
      </c>
    </row>
    <row r="3209">
      <c r="A3209" s="92" t="n">
        <v>2026</v>
      </c>
      <c r="B3209" s="92" t="n">
        <v>3</v>
      </c>
      <c r="C3209" s="92" t="inlineStr">
        <is>
          <t>5100000487</t>
        </is>
      </c>
      <c r="D3209" s="95" t="n">
        <v>46086</v>
      </c>
      <c r="E3209" s="92" t="inlineStr">
        <is>
          <t>KR</t>
        </is>
      </c>
      <c r="F3209" s="92" t="n">
        <v>62301000</v>
      </c>
      <c r="G3209" s="92" t="n">
        <v>1101</v>
      </c>
      <c r="H3209" s="93" t="n">
        <v>230000</v>
      </c>
      <c r="I3209" s="92" t="inlineStr">
        <is>
          <t>3월 소모품 구입 - R문구</t>
        </is>
      </c>
      <c r="J3209" s="92" t="inlineStr">
        <is>
          <t>V10022</t>
        </is>
      </c>
      <c r="K3209" s="92" t="inlineStr">
        <is>
          <t>R문구</t>
        </is>
      </c>
      <c r="M3209" s="9">
        <f>IF($A3209="","",VALUE($A3209&amp;"")*12+VALUE($B3209&amp;""))</f>
        <v/>
      </c>
      <c r="N3209" s="64">
        <f>IF($A3209="","",IFERROR(INDEX(부서매핑!$C$5:$C$504,MATCH($G3209&amp;"",부서매핑!$A$5:$A$504,0)),"미매핑"))</f>
        <v/>
      </c>
      <c r="O3209" s="9">
        <f>IF($A3209="","",N3209&amp;"|"&amp;$F3209)</f>
        <v/>
      </c>
      <c r="P3209" s="94">
        <f>IF($A3209="",0,$H3209*설정!$C$23)</f>
        <v/>
      </c>
      <c r="Q3209" s="64">
        <f>IF($A3209="","",IF(O3209&lt;&gt;원인분석!$C$9,"",IF(AND(M3209&gt;=원인분석!$C$10,M3209&lt;=원인분석!$C$11),"당기",IF(AND(M3209&gt;=원인분석!$C$12,M3209&lt;=원인분석!$C$13),"비교",""))))</f>
        <v/>
      </c>
      <c r="R3209" s="9">
        <f>IF(Q3209="","",$K3209&amp;"")</f>
        <v/>
      </c>
      <c r="S3209" s="9">
        <f>IF(Q3209="","",IF(MATCH(R3209,$R$5:$R$100000,0)=ROW()-4,ROW(),""))</f>
        <v/>
      </c>
      <c r="T3209" s="9">
        <f>IF(Q3209="당기",ABS(P3209)+ROW()/1000000000,"")</f>
        <v/>
      </c>
      <c r="U3209" s="9">
        <f>IF(Q3209="비교",ABS(P3209)+ROW()/1000000000,"")</f>
        <v/>
      </c>
      <c r="V3209" s="64">
        <f>IF($A3209="","",IF(COUNTIF(변동분석!$E$7:$E$506,O3209)&gt;0,"Y","N"))</f>
        <v/>
      </c>
      <c r="W3209" s="64">
        <f>IF($A3209="","",IFERROR(INDEX(계정매핑!$D$5:$D$504,MATCH($F3209&amp;"",계정매핑!$A$5:$A$504,0)),"미매핑"))</f>
        <v/>
      </c>
      <c r="X3209" s="9">
        <f>IF($A3209="","",$F3209&amp;"")</f>
        <v/>
      </c>
      <c r="Y3209" s="94">
        <f>IF($A3209="",0,IF(AE3209="직접",IF(AF3209="비귀속",$P3209,0),$P3209*(1-AG3209)*IFERROR(INDEX(계정대체기준!$F$20:$F$49,MATCH($N3209,계정대체기준!$A$20:$A$49,0)),1)))</f>
        <v/>
      </c>
      <c r="Z3209" s="94">
        <f>IF($A3209="",0,IF(AE3209="직접",IF(AF3209="신계약비",$P3209,0),$P3209*(1-AG3209)*IFERROR(INDEX(계정대체기준!$C$20:$C$49,MATCH($N3209,계정대체기준!$A$20:$A$49,0)),0)))</f>
        <v/>
      </c>
      <c r="AA3209" s="94">
        <f>IF($A3209="",0,IF(AE3209="직접",IF(OR(AF3209="유지비",AF3209="손해조사비"),$P3209,0),$P3209*(1-AG3209)*IFERROR(INDEX(계정대체기준!$D$20:$D$49,MATCH($N3209,계정대체기준!$A$20:$A$49,0)),0)))</f>
        <v/>
      </c>
      <c r="AB3209" s="94">
        <f>IF($A3209="",0,IF(AE3209="직접",IF(AF3209="수금비",$P3209,0),$P3209*(1-AG3209)*IFERROR(INDEX(계정대체기준!$E$20:$E$49,MATCH($N3209,계정대체기준!$A$20:$A$49,0)),0)))</f>
        <v/>
      </c>
      <c r="AC3209" s="9">
        <f>IF(AND($A3209&lt;&gt;"",M3209=설정!$C$20,Z3209&gt;0),Z3209+ROW()/1000000000,"")</f>
        <v/>
      </c>
      <c r="AD3209" s="94">
        <f>IF($A3209="",0,$P3209*AG3209)</f>
        <v/>
      </c>
      <c r="AE3209" s="64">
        <f>IF($A3209="","",IFERROR(INDEX(계정매핑!$E$5:$E$504,MATCH($F3209&amp;"",계정매핑!$A$5:$A$504,0))&amp;"","공통비"))</f>
        <v/>
      </c>
      <c r="AF3209" s="64">
        <f>IF($A3209="","",IF(AE3209="직접",IFERROR(INDEX(계정매핑!$F$5:$F$504,MATCH($F3209&amp;"",계정매핑!$A$5:$A$504,0))&amp;"","비귀속"),""))</f>
        <v/>
      </c>
      <c r="AG3209" s="96">
        <f>IF($A3209="",0,IF(AND(AE3209&lt;&gt;"직접",IFERROR(INDEX(계정매핑!$G$5:$G$504,MATCH($F3209&amp;"",계정매핑!$A$5:$A$504,0))&amp;"","")="유지비",COUNTIF(계정대체기준!$A$6:$A$15,$N3209)&gt;0),IFERROR(INDEX(계정대체기준!$E$6:$E$15,MATCH(VALUE($A3209&amp;""),계정대체기준!$D$6:$D$15,0)),0),0))</f>
        <v/>
      </c>
      <c r="AH3209" s="64">
        <f>IF($A3209="","",IF(AD3209=0,"",IF(OR(COUNTIF(계정대체기준!$A$77:$A$86,$N3209)&gt;0,ISNUMBER(MATCH($X3209,계정대체기준!$D$77:$D$86,0)),ISNUMBER(MATCH($F3209,계정대체기준!$D$77:$D$86,0))),"Y","N")))</f>
        <v/>
      </c>
    </row>
    <row r="3210">
      <c r="A3210" s="92" t="n">
        <v>2026</v>
      </c>
      <c r="B3210" s="92" t="n">
        <v>3</v>
      </c>
      <c r="C3210" s="92" t="inlineStr">
        <is>
          <t>5100000488</t>
        </is>
      </c>
      <c r="D3210" s="95" t="n">
        <v>46086</v>
      </c>
      <c r="E3210" s="92" t="inlineStr">
        <is>
          <t>KR</t>
        </is>
      </c>
      <c r="F3210" s="92" t="n">
        <v>62301000</v>
      </c>
      <c r="G3210" s="92" t="n">
        <v>1301</v>
      </c>
      <c r="H3210" s="93" t="n">
        <v>154000</v>
      </c>
      <c r="I3210" s="92" t="inlineStr">
        <is>
          <t>3월 소모품 구입 - Q오피스</t>
        </is>
      </c>
      <c r="J3210" s="92" t="inlineStr">
        <is>
          <t>V10003</t>
        </is>
      </c>
      <c r="K3210" s="92" t="inlineStr">
        <is>
          <t>Q오피스</t>
        </is>
      </c>
      <c r="M3210" s="9">
        <f>IF($A3210="","",VALUE($A3210&amp;"")*12+VALUE($B3210&amp;""))</f>
        <v/>
      </c>
      <c r="N3210" s="64">
        <f>IF($A3210="","",IFERROR(INDEX(부서매핑!$C$5:$C$504,MATCH($G3210&amp;"",부서매핑!$A$5:$A$504,0)),"미매핑"))</f>
        <v/>
      </c>
      <c r="O3210" s="9">
        <f>IF($A3210="","",N3210&amp;"|"&amp;$F3210)</f>
        <v/>
      </c>
      <c r="P3210" s="94">
        <f>IF($A3210="",0,$H3210*설정!$C$23)</f>
        <v/>
      </c>
      <c r="Q3210" s="64">
        <f>IF($A3210="","",IF(O3210&lt;&gt;원인분석!$C$9,"",IF(AND(M3210&gt;=원인분석!$C$10,M3210&lt;=원인분석!$C$11),"당기",IF(AND(M3210&gt;=원인분석!$C$12,M3210&lt;=원인분석!$C$13),"비교",""))))</f>
        <v/>
      </c>
      <c r="R3210" s="9">
        <f>IF(Q3210="","",$K3210&amp;"")</f>
        <v/>
      </c>
      <c r="S3210" s="9">
        <f>IF(Q3210="","",IF(MATCH(R3210,$R$5:$R$100000,0)=ROW()-4,ROW(),""))</f>
        <v/>
      </c>
      <c r="T3210" s="9">
        <f>IF(Q3210="당기",ABS(P3210)+ROW()/1000000000,"")</f>
        <v/>
      </c>
      <c r="U3210" s="9">
        <f>IF(Q3210="비교",ABS(P3210)+ROW()/1000000000,"")</f>
        <v/>
      </c>
      <c r="V3210" s="64">
        <f>IF($A3210="","",IF(COUNTIF(변동분석!$E$7:$E$506,O3210)&gt;0,"Y","N"))</f>
        <v/>
      </c>
      <c r="W3210" s="64">
        <f>IF($A3210="","",IFERROR(INDEX(계정매핑!$D$5:$D$504,MATCH($F3210&amp;"",계정매핑!$A$5:$A$504,0)),"미매핑"))</f>
        <v/>
      </c>
      <c r="X3210" s="9">
        <f>IF($A3210="","",$F3210&amp;"")</f>
        <v/>
      </c>
      <c r="Y3210" s="94">
        <f>IF($A3210="",0,IF(AE3210="직접",IF(AF3210="비귀속",$P3210,0),$P3210*(1-AG3210)*IFERROR(INDEX(계정대체기준!$F$20:$F$49,MATCH($N3210,계정대체기준!$A$20:$A$49,0)),1)))</f>
        <v/>
      </c>
      <c r="Z3210" s="94">
        <f>IF($A3210="",0,IF(AE3210="직접",IF(AF3210="신계약비",$P3210,0),$P3210*(1-AG3210)*IFERROR(INDEX(계정대체기준!$C$20:$C$49,MATCH($N3210,계정대체기준!$A$20:$A$49,0)),0)))</f>
        <v/>
      </c>
      <c r="AA3210" s="94">
        <f>IF($A3210="",0,IF(AE3210="직접",IF(OR(AF3210="유지비",AF3210="손해조사비"),$P3210,0),$P3210*(1-AG3210)*IFERROR(INDEX(계정대체기준!$D$20:$D$49,MATCH($N3210,계정대체기준!$A$20:$A$49,0)),0)))</f>
        <v/>
      </c>
      <c r="AB3210" s="94">
        <f>IF($A3210="",0,IF(AE3210="직접",IF(AF3210="수금비",$P3210,0),$P3210*(1-AG3210)*IFERROR(INDEX(계정대체기준!$E$20:$E$49,MATCH($N3210,계정대체기준!$A$20:$A$49,0)),0)))</f>
        <v/>
      </c>
      <c r="AC3210" s="9">
        <f>IF(AND($A3210&lt;&gt;"",M3210=설정!$C$20,Z3210&gt;0),Z3210+ROW()/1000000000,"")</f>
        <v/>
      </c>
      <c r="AD3210" s="94">
        <f>IF($A3210="",0,$P3210*AG3210)</f>
        <v/>
      </c>
      <c r="AE3210" s="64">
        <f>IF($A3210="","",IFERROR(INDEX(계정매핑!$E$5:$E$504,MATCH($F3210&amp;"",계정매핑!$A$5:$A$504,0))&amp;"","공통비"))</f>
        <v/>
      </c>
      <c r="AF3210" s="64">
        <f>IF($A3210="","",IF(AE3210="직접",IFERROR(INDEX(계정매핑!$F$5:$F$504,MATCH($F3210&amp;"",계정매핑!$A$5:$A$504,0))&amp;"","비귀속"),""))</f>
        <v/>
      </c>
      <c r="AG3210" s="96">
        <f>IF($A3210="",0,IF(AND(AE3210&lt;&gt;"직접",IFERROR(INDEX(계정매핑!$G$5:$G$504,MATCH($F3210&amp;"",계정매핑!$A$5:$A$504,0))&amp;"","")="유지비",COUNTIF(계정대체기준!$A$6:$A$15,$N3210)&gt;0),IFERROR(INDEX(계정대체기준!$E$6:$E$15,MATCH(VALUE($A3210&amp;""),계정대체기준!$D$6:$D$15,0)),0),0))</f>
        <v/>
      </c>
      <c r="AH3210" s="64">
        <f>IF($A3210="","",IF(AD3210=0,"",IF(OR(COUNTIF(계정대체기준!$A$77:$A$86,$N3210)&gt;0,ISNUMBER(MATCH($X3210,계정대체기준!$D$77:$D$86,0)),ISNUMBER(MATCH($F3210,계정대체기준!$D$77:$D$86,0))),"Y","N")))</f>
        <v/>
      </c>
    </row>
    <row r="3211">
      <c r="A3211" s="92" t="n">
        <v>2026</v>
      </c>
      <c r="B3211" s="92" t="n">
        <v>3</v>
      </c>
      <c r="C3211" s="92" t="inlineStr">
        <is>
          <t>5100000489</t>
        </is>
      </c>
      <c r="D3211" s="95" t="n">
        <v>46086</v>
      </c>
      <c r="E3211" s="92" t="inlineStr">
        <is>
          <t>KR</t>
        </is>
      </c>
      <c r="F3211" s="92" t="n">
        <v>62301000</v>
      </c>
      <c r="G3211" s="92" t="n">
        <v>1801</v>
      </c>
      <c r="H3211" s="93" t="n">
        <v>251000</v>
      </c>
      <c r="I3211" s="92" t="inlineStr">
        <is>
          <t>3월 소모품 구입 - R문구</t>
        </is>
      </c>
      <c r="J3211" s="92" t="inlineStr">
        <is>
          <t>V10022</t>
        </is>
      </c>
      <c r="K3211" s="92" t="inlineStr">
        <is>
          <t>R문구</t>
        </is>
      </c>
      <c r="M3211" s="9">
        <f>IF($A3211="","",VALUE($A3211&amp;"")*12+VALUE($B3211&amp;""))</f>
        <v/>
      </c>
      <c r="N3211" s="64">
        <f>IF($A3211="","",IFERROR(INDEX(부서매핑!$C$5:$C$504,MATCH($G3211&amp;"",부서매핑!$A$5:$A$504,0)),"미매핑"))</f>
        <v/>
      </c>
      <c r="O3211" s="9">
        <f>IF($A3211="","",N3211&amp;"|"&amp;$F3211)</f>
        <v/>
      </c>
      <c r="P3211" s="94">
        <f>IF($A3211="",0,$H3211*설정!$C$23)</f>
        <v/>
      </c>
      <c r="Q3211" s="64">
        <f>IF($A3211="","",IF(O3211&lt;&gt;원인분석!$C$9,"",IF(AND(M3211&gt;=원인분석!$C$10,M3211&lt;=원인분석!$C$11),"당기",IF(AND(M3211&gt;=원인분석!$C$12,M3211&lt;=원인분석!$C$13),"비교",""))))</f>
        <v/>
      </c>
      <c r="R3211" s="9">
        <f>IF(Q3211="","",$K3211&amp;"")</f>
        <v/>
      </c>
      <c r="S3211" s="9">
        <f>IF(Q3211="","",IF(MATCH(R3211,$R$5:$R$100000,0)=ROW()-4,ROW(),""))</f>
        <v/>
      </c>
      <c r="T3211" s="9">
        <f>IF(Q3211="당기",ABS(P3211)+ROW()/1000000000,"")</f>
        <v/>
      </c>
      <c r="U3211" s="9">
        <f>IF(Q3211="비교",ABS(P3211)+ROW()/1000000000,"")</f>
        <v/>
      </c>
      <c r="V3211" s="64">
        <f>IF($A3211="","",IF(COUNTIF(변동분석!$E$7:$E$506,O3211)&gt;0,"Y","N"))</f>
        <v/>
      </c>
      <c r="W3211" s="64">
        <f>IF($A3211="","",IFERROR(INDEX(계정매핑!$D$5:$D$504,MATCH($F3211&amp;"",계정매핑!$A$5:$A$504,0)),"미매핑"))</f>
        <v/>
      </c>
      <c r="X3211" s="9">
        <f>IF($A3211="","",$F3211&amp;"")</f>
        <v/>
      </c>
      <c r="Y3211" s="94">
        <f>IF($A3211="",0,IF(AE3211="직접",IF(AF3211="비귀속",$P3211,0),$P3211*(1-AG3211)*IFERROR(INDEX(계정대체기준!$F$20:$F$49,MATCH($N3211,계정대체기준!$A$20:$A$49,0)),1)))</f>
        <v/>
      </c>
      <c r="Z3211" s="94">
        <f>IF($A3211="",0,IF(AE3211="직접",IF(AF3211="신계약비",$P3211,0),$P3211*(1-AG3211)*IFERROR(INDEX(계정대체기준!$C$20:$C$49,MATCH($N3211,계정대체기준!$A$20:$A$49,0)),0)))</f>
        <v/>
      </c>
      <c r="AA3211" s="94">
        <f>IF($A3211="",0,IF(AE3211="직접",IF(OR(AF3211="유지비",AF3211="손해조사비"),$P3211,0),$P3211*(1-AG3211)*IFERROR(INDEX(계정대체기준!$D$20:$D$49,MATCH($N3211,계정대체기준!$A$20:$A$49,0)),0)))</f>
        <v/>
      </c>
      <c r="AB3211" s="94">
        <f>IF($A3211="",0,IF(AE3211="직접",IF(AF3211="수금비",$P3211,0),$P3211*(1-AG3211)*IFERROR(INDEX(계정대체기준!$E$20:$E$49,MATCH($N3211,계정대체기준!$A$20:$A$49,0)),0)))</f>
        <v/>
      </c>
      <c r="AC3211" s="9">
        <f>IF(AND($A3211&lt;&gt;"",M3211=설정!$C$20,Z3211&gt;0),Z3211+ROW()/1000000000,"")</f>
        <v/>
      </c>
      <c r="AD3211" s="94">
        <f>IF($A3211="",0,$P3211*AG3211)</f>
        <v/>
      </c>
      <c r="AE3211" s="64">
        <f>IF($A3211="","",IFERROR(INDEX(계정매핑!$E$5:$E$504,MATCH($F3211&amp;"",계정매핑!$A$5:$A$504,0))&amp;"","공통비"))</f>
        <v/>
      </c>
      <c r="AF3211" s="64">
        <f>IF($A3211="","",IF(AE3211="직접",IFERROR(INDEX(계정매핑!$F$5:$F$504,MATCH($F3211&amp;"",계정매핑!$A$5:$A$504,0))&amp;"","비귀속"),""))</f>
        <v/>
      </c>
      <c r="AG3211" s="96">
        <f>IF($A3211="",0,IF(AND(AE3211&lt;&gt;"직접",IFERROR(INDEX(계정매핑!$G$5:$G$504,MATCH($F3211&amp;"",계정매핑!$A$5:$A$504,0))&amp;"","")="유지비",COUNTIF(계정대체기준!$A$6:$A$15,$N3211)&gt;0),IFERROR(INDEX(계정대체기준!$E$6:$E$15,MATCH(VALUE($A3211&amp;""),계정대체기준!$D$6:$D$15,0)),0),0))</f>
        <v/>
      </c>
      <c r="AH3211" s="64">
        <f>IF($A3211="","",IF(AD3211=0,"",IF(OR(COUNTIF(계정대체기준!$A$77:$A$86,$N3211)&gt;0,ISNUMBER(MATCH($X3211,계정대체기준!$D$77:$D$86,0)),ISNUMBER(MATCH($F3211,계정대체기준!$D$77:$D$86,0))),"Y","N")))</f>
        <v/>
      </c>
    </row>
    <row r="3212">
      <c r="A3212" s="92" t="n">
        <v>2026</v>
      </c>
      <c r="B3212" s="92" t="n">
        <v>3</v>
      </c>
      <c r="C3212" s="92" t="inlineStr">
        <is>
          <t>5100000490</t>
        </is>
      </c>
      <c r="D3212" s="95" t="n">
        <v>46086</v>
      </c>
      <c r="E3212" s="92" t="inlineStr">
        <is>
          <t>KR</t>
        </is>
      </c>
      <c r="F3212" s="92" t="n">
        <v>62501000</v>
      </c>
      <c r="G3212" s="92" t="n">
        <v>1601</v>
      </c>
      <c r="H3212" s="93" t="n">
        <v>377000</v>
      </c>
      <c r="I3212" s="92" t="inlineStr">
        <is>
          <t>3월 회의 다과 - T케이터링</t>
        </is>
      </c>
      <c r="J3212" s="92" t="inlineStr">
        <is>
          <t>V10005</t>
        </is>
      </c>
      <c r="K3212" s="92" t="inlineStr">
        <is>
          <t>T케이터링</t>
        </is>
      </c>
      <c r="M3212" s="9">
        <f>IF($A3212="","",VALUE($A3212&amp;"")*12+VALUE($B3212&amp;""))</f>
        <v/>
      </c>
      <c r="N3212" s="64">
        <f>IF($A3212="","",IFERROR(INDEX(부서매핑!$C$5:$C$504,MATCH($G3212&amp;"",부서매핑!$A$5:$A$504,0)),"미매핑"))</f>
        <v/>
      </c>
      <c r="O3212" s="9">
        <f>IF($A3212="","",N3212&amp;"|"&amp;$F3212)</f>
        <v/>
      </c>
      <c r="P3212" s="94">
        <f>IF($A3212="",0,$H3212*설정!$C$23)</f>
        <v/>
      </c>
      <c r="Q3212" s="64">
        <f>IF($A3212="","",IF(O3212&lt;&gt;원인분석!$C$9,"",IF(AND(M3212&gt;=원인분석!$C$10,M3212&lt;=원인분석!$C$11),"당기",IF(AND(M3212&gt;=원인분석!$C$12,M3212&lt;=원인분석!$C$13),"비교",""))))</f>
        <v/>
      </c>
      <c r="R3212" s="9">
        <f>IF(Q3212="","",$K3212&amp;"")</f>
        <v/>
      </c>
      <c r="S3212" s="9">
        <f>IF(Q3212="","",IF(MATCH(R3212,$R$5:$R$100000,0)=ROW()-4,ROW(),""))</f>
        <v/>
      </c>
      <c r="T3212" s="9">
        <f>IF(Q3212="당기",ABS(P3212)+ROW()/1000000000,"")</f>
        <v/>
      </c>
      <c r="U3212" s="9">
        <f>IF(Q3212="비교",ABS(P3212)+ROW()/1000000000,"")</f>
        <v/>
      </c>
      <c r="V3212" s="64">
        <f>IF($A3212="","",IF(COUNTIF(변동분석!$E$7:$E$506,O3212)&gt;0,"Y","N"))</f>
        <v/>
      </c>
      <c r="W3212" s="64">
        <f>IF($A3212="","",IFERROR(INDEX(계정매핑!$D$5:$D$504,MATCH($F3212&amp;"",계정매핑!$A$5:$A$504,0)),"미매핑"))</f>
        <v/>
      </c>
      <c r="X3212" s="9">
        <f>IF($A3212="","",$F3212&amp;"")</f>
        <v/>
      </c>
      <c r="Y3212" s="94">
        <f>IF($A3212="",0,IF(AE3212="직접",IF(AF3212="비귀속",$P3212,0),$P3212*(1-AG3212)*IFERROR(INDEX(계정대체기준!$F$20:$F$49,MATCH($N3212,계정대체기준!$A$20:$A$49,0)),1)))</f>
        <v/>
      </c>
      <c r="Z3212" s="94">
        <f>IF($A3212="",0,IF(AE3212="직접",IF(AF3212="신계약비",$P3212,0),$P3212*(1-AG3212)*IFERROR(INDEX(계정대체기준!$C$20:$C$49,MATCH($N3212,계정대체기준!$A$20:$A$49,0)),0)))</f>
        <v/>
      </c>
      <c r="AA3212" s="94">
        <f>IF($A3212="",0,IF(AE3212="직접",IF(OR(AF3212="유지비",AF3212="손해조사비"),$P3212,0),$P3212*(1-AG3212)*IFERROR(INDEX(계정대체기준!$D$20:$D$49,MATCH($N3212,계정대체기준!$A$20:$A$49,0)),0)))</f>
        <v/>
      </c>
      <c r="AB3212" s="94">
        <f>IF($A3212="",0,IF(AE3212="직접",IF(AF3212="수금비",$P3212,0),$P3212*(1-AG3212)*IFERROR(INDEX(계정대체기준!$E$20:$E$49,MATCH($N3212,계정대체기준!$A$20:$A$49,0)),0)))</f>
        <v/>
      </c>
      <c r="AC3212" s="9">
        <f>IF(AND($A3212&lt;&gt;"",M3212=설정!$C$20,Z3212&gt;0),Z3212+ROW()/1000000000,"")</f>
        <v/>
      </c>
      <c r="AD3212" s="94">
        <f>IF($A3212="",0,$P3212*AG3212)</f>
        <v/>
      </c>
      <c r="AE3212" s="64">
        <f>IF($A3212="","",IFERROR(INDEX(계정매핑!$E$5:$E$504,MATCH($F3212&amp;"",계정매핑!$A$5:$A$504,0))&amp;"","공통비"))</f>
        <v/>
      </c>
      <c r="AF3212" s="64">
        <f>IF($A3212="","",IF(AE3212="직접",IFERROR(INDEX(계정매핑!$F$5:$F$504,MATCH($F3212&amp;"",계정매핑!$A$5:$A$504,0))&amp;"","비귀속"),""))</f>
        <v/>
      </c>
      <c r="AG3212" s="96">
        <f>IF($A3212="",0,IF(AND(AE3212&lt;&gt;"직접",IFERROR(INDEX(계정매핑!$G$5:$G$504,MATCH($F3212&amp;"",계정매핑!$A$5:$A$504,0))&amp;"","")="유지비",COUNTIF(계정대체기준!$A$6:$A$15,$N3212)&gt;0),IFERROR(INDEX(계정대체기준!$E$6:$E$15,MATCH(VALUE($A3212&amp;""),계정대체기준!$D$6:$D$15,0)),0),0))</f>
        <v/>
      </c>
      <c r="AH3212" s="64">
        <f>IF($A3212="","",IF(AD3212=0,"",IF(OR(COUNTIF(계정대체기준!$A$77:$A$86,$N3212)&gt;0,ISNUMBER(MATCH($X3212,계정대체기준!$D$77:$D$86,0)),ISNUMBER(MATCH($F3212,계정대체기준!$D$77:$D$86,0))),"Y","N")))</f>
        <v/>
      </c>
    </row>
    <row r="3213">
      <c r="A3213" s="92" t="n">
        <v>2026</v>
      </c>
      <c r="B3213" s="92" t="n">
        <v>3</v>
      </c>
      <c r="C3213" s="92" t="inlineStr">
        <is>
          <t>5100000491</t>
        </is>
      </c>
      <c r="D3213" s="95" t="n">
        <v>46086</v>
      </c>
      <c r="E3213" s="92" t="inlineStr">
        <is>
          <t>KR</t>
        </is>
      </c>
      <c r="F3213" s="92" t="n">
        <v>62902000</v>
      </c>
      <c r="G3213" s="92" t="n">
        <v>1101</v>
      </c>
      <c r="H3213" s="93" t="n">
        <v>1250000</v>
      </c>
      <c r="I3213" s="92" t="inlineStr">
        <is>
          <t>3월 업무 위탁 수수료 - X서비스</t>
        </is>
      </c>
      <c r="J3213" s="92" t="inlineStr">
        <is>
          <t>V10020</t>
        </is>
      </c>
      <c r="K3213" s="92" t="inlineStr">
        <is>
          <t>X서비스</t>
        </is>
      </c>
      <c r="M3213" s="9">
        <f>IF($A3213="","",VALUE($A3213&amp;"")*12+VALUE($B3213&amp;""))</f>
        <v/>
      </c>
      <c r="N3213" s="64">
        <f>IF($A3213="","",IFERROR(INDEX(부서매핑!$C$5:$C$504,MATCH($G3213&amp;"",부서매핑!$A$5:$A$504,0)),"미매핑"))</f>
        <v/>
      </c>
      <c r="O3213" s="9">
        <f>IF($A3213="","",N3213&amp;"|"&amp;$F3213)</f>
        <v/>
      </c>
      <c r="P3213" s="94">
        <f>IF($A3213="",0,$H3213*설정!$C$23)</f>
        <v/>
      </c>
      <c r="Q3213" s="64">
        <f>IF($A3213="","",IF(O3213&lt;&gt;원인분석!$C$9,"",IF(AND(M3213&gt;=원인분석!$C$10,M3213&lt;=원인분석!$C$11),"당기",IF(AND(M3213&gt;=원인분석!$C$12,M3213&lt;=원인분석!$C$13),"비교",""))))</f>
        <v/>
      </c>
      <c r="R3213" s="9">
        <f>IF(Q3213="","",$K3213&amp;"")</f>
        <v/>
      </c>
      <c r="S3213" s="9">
        <f>IF(Q3213="","",IF(MATCH(R3213,$R$5:$R$100000,0)=ROW()-4,ROW(),""))</f>
        <v/>
      </c>
      <c r="T3213" s="9">
        <f>IF(Q3213="당기",ABS(P3213)+ROW()/1000000000,"")</f>
        <v/>
      </c>
      <c r="U3213" s="9">
        <f>IF(Q3213="비교",ABS(P3213)+ROW()/1000000000,"")</f>
        <v/>
      </c>
      <c r="V3213" s="64">
        <f>IF($A3213="","",IF(COUNTIF(변동분석!$E$7:$E$506,O3213)&gt;0,"Y","N"))</f>
        <v/>
      </c>
      <c r="W3213" s="64">
        <f>IF($A3213="","",IFERROR(INDEX(계정매핑!$D$5:$D$504,MATCH($F3213&amp;"",계정매핑!$A$5:$A$504,0)),"미매핑"))</f>
        <v/>
      </c>
      <c r="X3213" s="9">
        <f>IF($A3213="","",$F3213&amp;"")</f>
        <v/>
      </c>
      <c r="Y3213" s="94">
        <f>IF($A3213="",0,IF(AE3213="직접",IF(AF3213="비귀속",$P3213,0),$P3213*(1-AG3213)*IFERROR(INDEX(계정대체기준!$F$20:$F$49,MATCH($N3213,계정대체기준!$A$20:$A$49,0)),1)))</f>
        <v/>
      </c>
      <c r="Z3213" s="94">
        <f>IF($A3213="",0,IF(AE3213="직접",IF(AF3213="신계약비",$P3213,0),$P3213*(1-AG3213)*IFERROR(INDEX(계정대체기준!$C$20:$C$49,MATCH($N3213,계정대체기준!$A$20:$A$49,0)),0)))</f>
        <v/>
      </c>
      <c r="AA3213" s="94">
        <f>IF($A3213="",0,IF(AE3213="직접",IF(OR(AF3213="유지비",AF3213="손해조사비"),$P3213,0),$P3213*(1-AG3213)*IFERROR(INDEX(계정대체기준!$D$20:$D$49,MATCH($N3213,계정대체기준!$A$20:$A$49,0)),0)))</f>
        <v/>
      </c>
      <c r="AB3213" s="94">
        <f>IF($A3213="",0,IF(AE3213="직접",IF(AF3213="수금비",$P3213,0),$P3213*(1-AG3213)*IFERROR(INDEX(계정대체기준!$E$20:$E$49,MATCH($N3213,계정대체기준!$A$20:$A$49,0)),0)))</f>
        <v/>
      </c>
      <c r="AC3213" s="9">
        <f>IF(AND($A3213&lt;&gt;"",M3213=설정!$C$20,Z3213&gt;0),Z3213+ROW()/1000000000,"")</f>
        <v/>
      </c>
      <c r="AD3213" s="94">
        <f>IF($A3213="",0,$P3213*AG3213)</f>
        <v/>
      </c>
      <c r="AE3213" s="64">
        <f>IF($A3213="","",IFERROR(INDEX(계정매핑!$E$5:$E$504,MATCH($F3213&amp;"",계정매핑!$A$5:$A$504,0))&amp;"","공통비"))</f>
        <v/>
      </c>
      <c r="AF3213" s="64">
        <f>IF($A3213="","",IF(AE3213="직접",IFERROR(INDEX(계정매핑!$F$5:$F$504,MATCH($F3213&amp;"",계정매핑!$A$5:$A$504,0))&amp;"","비귀속"),""))</f>
        <v/>
      </c>
      <c r="AG3213" s="96">
        <f>IF($A3213="",0,IF(AND(AE3213&lt;&gt;"직접",IFERROR(INDEX(계정매핑!$G$5:$G$504,MATCH($F3213&amp;"",계정매핑!$A$5:$A$504,0))&amp;"","")="유지비",COUNTIF(계정대체기준!$A$6:$A$15,$N3213)&gt;0),IFERROR(INDEX(계정대체기준!$E$6:$E$15,MATCH(VALUE($A3213&amp;""),계정대체기준!$D$6:$D$15,0)),0),0))</f>
        <v/>
      </c>
      <c r="AH3213" s="64">
        <f>IF($A3213="","",IF(AD3213=0,"",IF(OR(COUNTIF(계정대체기준!$A$77:$A$86,$N3213)&gt;0,ISNUMBER(MATCH($X3213,계정대체기준!$D$77:$D$86,0)),ISNUMBER(MATCH($F3213,계정대체기준!$D$77:$D$86,0))),"Y","N")))</f>
        <v/>
      </c>
    </row>
    <row r="3214">
      <c r="A3214" s="92" t="n">
        <v>2026</v>
      </c>
      <c r="B3214" s="92" t="n">
        <v>3</v>
      </c>
      <c r="C3214" s="92" t="inlineStr">
        <is>
          <t>5100000492</t>
        </is>
      </c>
      <c r="D3214" s="95" t="n">
        <v>46086</v>
      </c>
      <c r="E3214" s="92" t="inlineStr">
        <is>
          <t>KR</t>
        </is>
      </c>
      <c r="F3214" s="92" t="n">
        <v>62902000</v>
      </c>
      <c r="G3214" s="92" t="n">
        <v>1201</v>
      </c>
      <c r="H3214" s="93" t="n">
        <v>4997000</v>
      </c>
      <c r="I3214" s="92" t="inlineStr">
        <is>
          <t>3월 업무 위탁 수수료 - J콜센터</t>
        </is>
      </c>
      <c r="J3214" s="92" t="inlineStr">
        <is>
          <t>V10016</t>
        </is>
      </c>
      <c r="K3214" s="92" t="inlineStr">
        <is>
          <t>J콜센터</t>
        </is>
      </c>
      <c r="M3214" s="9">
        <f>IF($A3214="","",VALUE($A3214&amp;"")*12+VALUE($B3214&amp;""))</f>
        <v/>
      </c>
      <c r="N3214" s="64">
        <f>IF($A3214="","",IFERROR(INDEX(부서매핑!$C$5:$C$504,MATCH($G3214&amp;"",부서매핑!$A$5:$A$504,0)),"미매핑"))</f>
        <v/>
      </c>
      <c r="O3214" s="9">
        <f>IF($A3214="","",N3214&amp;"|"&amp;$F3214)</f>
        <v/>
      </c>
      <c r="P3214" s="94">
        <f>IF($A3214="",0,$H3214*설정!$C$23)</f>
        <v/>
      </c>
      <c r="Q3214" s="64">
        <f>IF($A3214="","",IF(O3214&lt;&gt;원인분석!$C$9,"",IF(AND(M3214&gt;=원인분석!$C$10,M3214&lt;=원인분석!$C$11),"당기",IF(AND(M3214&gt;=원인분석!$C$12,M3214&lt;=원인분석!$C$13),"비교",""))))</f>
        <v/>
      </c>
      <c r="R3214" s="9">
        <f>IF(Q3214="","",$K3214&amp;"")</f>
        <v/>
      </c>
      <c r="S3214" s="9">
        <f>IF(Q3214="","",IF(MATCH(R3214,$R$5:$R$100000,0)=ROW()-4,ROW(),""))</f>
        <v/>
      </c>
      <c r="T3214" s="9">
        <f>IF(Q3214="당기",ABS(P3214)+ROW()/1000000000,"")</f>
        <v/>
      </c>
      <c r="U3214" s="9">
        <f>IF(Q3214="비교",ABS(P3214)+ROW()/1000000000,"")</f>
        <v/>
      </c>
      <c r="V3214" s="64">
        <f>IF($A3214="","",IF(COUNTIF(변동분석!$E$7:$E$506,O3214)&gt;0,"Y","N"))</f>
        <v/>
      </c>
      <c r="W3214" s="64">
        <f>IF($A3214="","",IFERROR(INDEX(계정매핑!$D$5:$D$504,MATCH($F3214&amp;"",계정매핑!$A$5:$A$504,0)),"미매핑"))</f>
        <v/>
      </c>
      <c r="X3214" s="9">
        <f>IF($A3214="","",$F3214&amp;"")</f>
        <v/>
      </c>
      <c r="Y3214" s="94">
        <f>IF($A3214="",0,IF(AE3214="직접",IF(AF3214="비귀속",$P3214,0),$P3214*(1-AG3214)*IFERROR(INDEX(계정대체기준!$F$20:$F$49,MATCH($N3214,계정대체기준!$A$20:$A$49,0)),1)))</f>
        <v/>
      </c>
      <c r="Z3214" s="94">
        <f>IF($A3214="",0,IF(AE3214="직접",IF(AF3214="신계약비",$P3214,0),$P3214*(1-AG3214)*IFERROR(INDEX(계정대체기준!$C$20:$C$49,MATCH($N3214,계정대체기준!$A$20:$A$49,0)),0)))</f>
        <v/>
      </c>
      <c r="AA3214" s="94">
        <f>IF($A3214="",0,IF(AE3214="직접",IF(OR(AF3214="유지비",AF3214="손해조사비"),$P3214,0),$P3214*(1-AG3214)*IFERROR(INDEX(계정대체기준!$D$20:$D$49,MATCH($N3214,계정대체기준!$A$20:$A$49,0)),0)))</f>
        <v/>
      </c>
      <c r="AB3214" s="94">
        <f>IF($A3214="",0,IF(AE3214="직접",IF(AF3214="수금비",$P3214,0),$P3214*(1-AG3214)*IFERROR(INDEX(계정대체기준!$E$20:$E$49,MATCH($N3214,계정대체기준!$A$20:$A$49,0)),0)))</f>
        <v/>
      </c>
      <c r="AC3214" s="9">
        <f>IF(AND($A3214&lt;&gt;"",M3214=설정!$C$20,Z3214&gt;0),Z3214+ROW()/1000000000,"")</f>
        <v/>
      </c>
      <c r="AD3214" s="94">
        <f>IF($A3214="",0,$P3214*AG3214)</f>
        <v/>
      </c>
      <c r="AE3214" s="64">
        <f>IF($A3214="","",IFERROR(INDEX(계정매핑!$E$5:$E$504,MATCH($F3214&amp;"",계정매핑!$A$5:$A$504,0))&amp;"","공통비"))</f>
        <v/>
      </c>
      <c r="AF3214" s="64">
        <f>IF($A3214="","",IF(AE3214="직접",IFERROR(INDEX(계정매핑!$F$5:$F$504,MATCH($F3214&amp;"",계정매핑!$A$5:$A$504,0))&amp;"","비귀속"),""))</f>
        <v/>
      </c>
      <c r="AG3214" s="96">
        <f>IF($A3214="",0,IF(AND(AE3214&lt;&gt;"직접",IFERROR(INDEX(계정매핑!$G$5:$G$504,MATCH($F3214&amp;"",계정매핑!$A$5:$A$504,0))&amp;"","")="유지비",COUNTIF(계정대체기준!$A$6:$A$15,$N3214)&gt;0),IFERROR(INDEX(계정대체기준!$E$6:$E$15,MATCH(VALUE($A3214&amp;""),계정대체기준!$D$6:$D$15,0)),0),0))</f>
        <v/>
      </c>
      <c r="AH3214" s="64">
        <f>IF($A3214="","",IF(AD3214=0,"",IF(OR(COUNTIF(계정대체기준!$A$77:$A$86,$N3214)&gt;0,ISNUMBER(MATCH($X3214,계정대체기준!$D$77:$D$86,0)),ISNUMBER(MATCH($F3214,계정대체기준!$D$77:$D$86,0))),"Y","N")))</f>
        <v/>
      </c>
    </row>
    <row r="3215">
      <c r="A3215" s="92" t="n">
        <v>2026</v>
      </c>
      <c r="B3215" s="92" t="n">
        <v>3</v>
      </c>
      <c r="C3215" s="92" t="inlineStr">
        <is>
          <t>5100000493</t>
        </is>
      </c>
      <c r="D3215" s="95" t="n">
        <v>46086</v>
      </c>
      <c r="E3215" s="92" t="inlineStr">
        <is>
          <t>KR</t>
        </is>
      </c>
      <c r="F3215" s="92" t="n">
        <v>62902000</v>
      </c>
      <c r="G3215" s="92" t="n">
        <v>1401</v>
      </c>
      <c r="H3215" s="93" t="n">
        <v>1582000</v>
      </c>
      <c r="I3215" s="92" t="inlineStr">
        <is>
          <t>3월 업무 위탁 수수료 - J콜센터</t>
        </is>
      </c>
      <c r="J3215" s="92" t="inlineStr">
        <is>
          <t>V10016</t>
        </is>
      </c>
      <c r="K3215" s="92" t="inlineStr">
        <is>
          <t>J콜센터</t>
        </is>
      </c>
      <c r="M3215" s="9">
        <f>IF($A3215="","",VALUE($A3215&amp;"")*12+VALUE($B3215&amp;""))</f>
        <v/>
      </c>
      <c r="N3215" s="64">
        <f>IF($A3215="","",IFERROR(INDEX(부서매핑!$C$5:$C$504,MATCH($G3215&amp;"",부서매핑!$A$5:$A$504,0)),"미매핑"))</f>
        <v/>
      </c>
      <c r="O3215" s="9">
        <f>IF($A3215="","",N3215&amp;"|"&amp;$F3215)</f>
        <v/>
      </c>
      <c r="P3215" s="94">
        <f>IF($A3215="",0,$H3215*설정!$C$23)</f>
        <v/>
      </c>
      <c r="Q3215" s="64">
        <f>IF($A3215="","",IF(O3215&lt;&gt;원인분석!$C$9,"",IF(AND(M3215&gt;=원인분석!$C$10,M3215&lt;=원인분석!$C$11),"당기",IF(AND(M3215&gt;=원인분석!$C$12,M3215&lt;=원인분석!$C$13),"비교",""))))</f>
        <v/>
      </c>
      <c r="R3215" s="9">
        <f>IF(Q3215="","",$K3215&amp;"")</f>
        <v/>
      </c>
      <c r="S3215" s="9">
        <f>IF(Q3215="","",IF(MATCH(R3215,$R$5:$R$100000,0)=ROW()-4,ROW(),""))</f>
        <v/>
      </c>
      <c r="T3215" s="9">
        <f>IF(Q3215="당기",ABS(P3215)+ROW()/1000000000,"")</f>
        <v/>
      </c>
      <c r="U3215" s="9">
        <f>IF(Q3215="비교",ABS(P3215)+ROW()/1000000000,"")</f>
        <v/>
      </c>
      <c r="V3215" s="64">
        <f>IF($A3215="","",IF(COUNTIF(변동분석!$E$7:$E$506,O3215)&gt;0,"Y","N"))</f>
        <v/>
      </c>
      <c r="W3215" s="64">
        <f>IF($A3215="","",IFERROR(INDEX(계정매핑!$D$5:$D$504,MATCH($F3215&amp;"",계정매핑!$A$5:$A$504,0)),"미매핑"))</f>
        <v/>
      </c>
      <c r="X3215" s="9">
        <f>IF($A3215="","",$F3215&amp;"")</f>
        <v/>
      </c>
      <c r="Y3215" s="94">
        <f>IF($A3215="",0,IF(AE3215="직접",IF(AF3215="비귀속",$P3215,0),$P3215*(1-AG3215)*IFERROR(INDEX(계정대체기준!$F$20:$F$49,MATCH($N3215,계정대체기준!$A$20:$A$49,0)),1)))</f>
        <v/>
      </c>
      <c r="Z3215" s="94">
        <f>IF($A3215="",0,IF(AE3215="직접",IF(AF3215="신계약비",$P3215,0),$P3215*(1-AG3215)*IFERROR(INDEX(계정대체기준!$C$20:$C$49,MATCH($N3215,계정대체기준!$A$20:$A$49,0)),0)))</f>
        <v/>
      </c>
      <c r="AA3215" s="94">
        <f>IF($A3215="",0,IF(AE3215="직접",IF(OR(AF3215="유지비",AF3215="손해조사비"),$P3215,0),$P3215*(1-AG3215)*IFERROR(INDEX(계정대체기준!$D$20:$D$49,MATCH($N3215,계정대체기준!$A$20:$A$49,0)),0)))</f>
        <v/>
      </c>
      <c r="AB3215" s="94">
        <f>IF($A3215="",0,IF(AE3215="직접",IF(AF3215="수금비",$P3215,0),$P3215*(1-AG3215)*IFERROR(INDEX(계정대체기준!$E$20:$E$49,MATCH($N3215,계정대체기준!$A$20:$A$49,0)),0)))</f>
        <v/>
      </c>
      <c r="AC3215" s="9">
        <f>IF(AND($A3215&lt;&gt;"",M3215=설정!$C$20,Z3215&gt;0),Z3215+ROW()/1000000000,"")</f>
        <v/>
      </c>
      <c r="AD3215" s="94">
        <f>IF($A3215="",0,$P3215*AG3215)</f>
        <v/>
      </c>
      <c r="AE3215" s="64">
        <f>IF($A3215="","",IFERROR(INDEX(계정매핑!$E$5:$E$504,MATCH($F3215&amp;"",계정매핑!$A$5:$A$504,0))&amp;"","공통비"))</f>
        <v/>
      </c>
      <c r="AF3215" s="64">
        <f>IF($A3215="","",IF(AE3215="직접",IFERROR(INDEX(계정매핑!$F$5:$F$504,MATCH($F3215&amp;"",계정매핑!$A$5:$A$504,0))&amp;"","비귀속"),""))</f>
        <v/>
      </c>
      <c r="AG3215" s="96">
        <f>IF($A3215="",0,IF(AND(AE3215&lt;&gt;"직접",IFERROR(INDEX(계정매핑!$G$5:$G$504,MATCH($F3215&amp;"",계정매핑!$A$5:$A$504,0))&amp;"","")="유지비",COUNTIF(계정대체기준!$A$6:$A$15,$N3215)&gt;0),IFERROR(INDEX(계정대체기준!$E$6:$E$15,MATCH(VALUE($A3215&amp;""),계정대체기준!$D$6:$D$15,0)),0),0))</f>
        <v/>
      </c>
      <c r="AH3215" s="64">
        <f>IF($A3215="","",IF(AD3215=0,"",IF(OR(COUNTIF(계정대체기준!$A$77:$A$86,$N3215)&gt;0,ISNUMBER(MATCH($X3215,계정대체기준!$D$77:$D$86,0)),ISNUMBER(MATCH($F3215,계정대체기준!$D$77:$D$86,0))),"Y","N")))</f>
        <v/>
      </c>
    </row>
    <row r="3216">
      <c r="A3216" s="92" t="n">
        <v>2026</v>
      </c>
      <c r="B3216" s="92" t="n">
        <v>3</v>
      </c>
      <c r="C3216" s="92" t="inlineStr">
        <is>
          <t>5100000494</t>
        </is>
      </c>
      <c r="D3216" s="95" t="n">
        <v>46086</v>
      </c>
      <c r="E3216" s="92" t="inlineStr">
        <is>
          <t>KR</t>
        </is>
      </c>
      <c r="F3216" s="92" t="n">
        <v>62902000</v>
      </c>
      <c r="G3216" s="92" t="n">
        <v>1801</v>
      </c>
      <c r="H3216" s="93" t="n">
        <v>1752000</v>
      </c>
      <c r="I3216" s="92" t="inlineStr">
        <is>
          <t>3월 콜 위탁 수수료(건별)</t>
        </is>
      </c>
      <c r="J3216" s="92" t="inlineStr">
        <is>
          <t>V10016</t>
        </is>
      </c>
      <c r="K3216" s="92" t="inlineStr">
        <is>
          <t>J콜센터</t>
        </is>
      </c>
      <c r="M3216" s="9">
        <f>IF($A3216="","",VALUE($A3216&amp;"")*12+VALUE($B3216&amp;""))</f>
        <v/>
      </c>
      <c r="N3216" s="64">
        <f>IF($A3216="","",IFERROR(INDEX(부서매핑!$C$5:$C$504,MATCH($G3216&amp;"",부서매핑!$A$5:$A$504,0)),"미매핑"))</f>
        <v/>
      </c>
      <c r="O3216" s="9">
        <f>IF($A3216="","",N3216&amp;"|"&amp;$F3216)</f>
        <v/>
      </c>
      <c r="P3216" s="94">
        <f>IF($A3216="",0,$H3216*설정!$C$23)</f>
        <v/>
      </c>
      <c r="Q3216" s="64">
        <f>IF($A3216="","",IF(O3216&lt;&gt;원인분석!$C$9,"",IF(AND(M3216&gt;=원인분석!$C$10,M3216&lt;=원인분석!$C$11),"당기",IF(AND(M3216&gt;=원인분석!$C$12,M3216&lt;=원인분석!$C$13),"비교",""))))</f>
        <v/>
      </c>
      <c r="R3216" s="9">
        <f>IF(Q3216="","",$K3216&amp;"")</f>
        <v/>
      </c>
      <c r="S3216" s="9">
        <f>IF(Q3216="","",IF(MATCH(R3216,$R$5:$R$100000,0)=ROW()-4,ROW(),""))</f>
        <v/>
      </c>
      <c r="T3216" s="9">
        <f>IF(Q3216="당기",ABS(P3216)+ROW()/1000000000,"")</f>
        <v/>
      </c>
      <c r="U3216" s="9">
        <f>IF(Q3216="비교",ABS(P3216)+ROW()/1000000000,"")</f>
        <v/>
      </c>
      <c r="V3216" s="64">
        <f>IF($A3216="","",IF(COUNTIF(변동분석!$E$7:$E$506,O3216)&gt;0,"Y","N"))</f>
        <v/>
      </c>
      <c r="W3216" s="64">
        <f>IF($A3216="","",IFERROR(INDEX(계정매핑!$D$5:$D$504,MATCH($F3216&amp;"",계정매핑!$A$5:$A$504,0)),"미매핑"))</f>
        <v/>
      </c>
      <c r="X3216" s="9">
        <f>IF($A3216="","",$F3216&amp;"")</f>
        <v/>
      </c>
      <c r="Y3216" s="94">
        <f>IF($A3216="",0,IF(AE3216="직접",IF(AF3216="비귀속",$P3216,0),$P3216*(1-AG3216)*IFERROR(INDEX(계정대체기준!$F$20:$F$49,MATCH($N3216,계정대체기준!$A$20:$A$49,0)),1)))</f>
        <v/>
      </c>
      <c r="Z3216" s="94">
        <f>IF($A3216="",0,IF(AE3216="직접",IF(AF3216="신계약비",$P3216,0),$P3216*(1-AG3216)*IFERROR(INDEX(계정대체기준!$C$20:$C$49,MATCH($N3216,계정대체기준!$A$20:$A$49,0)),0)))</f>
        <v/>
      </c>
      <c r="AA3216" s="94">
        <f>IF($A3216="",0,IF(AE3216="직접",IF(OR(AF3216="유지비",AF3216="손해조사비"),$P3216,0),$P3216*(1-AG3216)*IFERROR(INDEX(계정대체기준!$D$20:$D$49,MATCH($N3216,계정대체기준!$A$20:$A$49,0)),0)))</f>
        <v/>
      </c>
      <c r="AB3216" s="94">
        <f>IF($A3216="",0,IF(AE3216="직접",IF(AF3216="수금비",$P3216,0),$P3216*(1-AG3216)*IFERROR(INDEX(계정대체기준!$E$20:$E$49,MATCH($N3216,계정대체기준!$A$20:$A$49,0)),0)))</f>
        <v/>
      </c>
      <c r="AC3216" s="9">
        <f>IF(AND($A3216&lt;&gt;"",M3216=설정!$C$20,Z3216&gt;0),Z3216+ROW()/1000000000,"")</f>
        <v/>
      </c>
      <c r="AD3216" s="94">
        <f>IF($A3216="",0,$P3216*AG3216)</f>
        <v/>
      </c>
      <c r="AE3216" s="64">
        <f>IF($A3216="","",IFERROR(INDEX(계정매핑!$E$5:$E$504,MATCH($F3216&amp;"",계정매핑!$A$5:$A$504,0))&amp;"","공통비"))</f>
        <v/>
      </c>
      <c r="AF3216" s="64">
        <f>IF($A3216="","",IF(AE3216="직접",IFERROR(INDEX(계정매핑!$F$5:$F$504,MATCH($F3216&amp;"",계정매핑!$A$5:$A$504,0))&amp;"","비귀속"),""))</f>
        <v/>
      </c>
      <c r="AG3216" s="96">
        <f>IF($A3216="",0,IF(AND(AE3216&lt;&gt;"직접",IFERROR(INDEX(계정매핑!$G$5:$G$504,MATCH($F3216&amp;"",계정매핑!$A$5:$A$504,0))&amp;"","")="유지비",COUNTIF(계정대체기준!$A$6:$A$15,$N3216)&gt;0),IFERROR(INDEX(계정대체기준!$E$6:$E$15,MATCH(VALUE($A3216&amp;""),계정대체기준!$D$6:$D$15,0)),0),0))</f>
        <v/>
      </c>
      <c r="AH3216" s="64">
        <f>IF($A3216="","",IF(AD3216=0,"",IF(OR(COUNTIF(계정대체기준!$A$77:$A$86,$N3216)&gt;0,ISNUMBER(MATCH($X3216,계정대체기준!$D$77:$D$86,0)),ISNUMBER(MATCH($F3216,계정대체기준!$D$77:$D$86,0))),"Y","N")))</f>
        <v/>
      </c>
    </row>
    <row r="3217">
      <c r="A3217" s="92" t="n">
        <v>2026</v>
      </c>
      <c r="B3217" s="92" t="n">
        <v>3</v>
      </c>
      <c r="C3217" s="92" t="inlineStr">
        <is>
          <t>5100000495</t>
        </is>
      </c>
      <c r="D3217" s="95" t="n">
        <v>46087</v>
      </c>
      <c r="E3217" s="92" t="inlineStr">
        <is>
          <t>KR</t>
        </is>
      </c>
      <c r="F3217" s="92" t="n">
        <v>62101000</v>
      </c>
      <c r="G3217" s="92" t="n">
        <v>1201</v>
      </c>
      <c r="H3217" s="93" t="n">
        <v>299000</v>
      </c>
      <c r="I3217" s="92" t="inlineStr">
        <is>
          <t>3월 국내출장 - (법인카드)</t>
        </is>
      </c>
      <c r="J3217" s="92" t="inlineStr">
        <is>
          <t>V10010</t>
        </is>
      </c>
      <c r="K3217" s="92" t="inlineStr">
        <is>
          <t>(법인카드)</t>
        </is>
      </c>
      <c r="M3217" s="9">
        <f>IF($A3217="","",VALUE($A3217&amp;"")*12+VALUE($B3217&amp;""))</f>
        <v/>
      </c>
      <c r="N3217" s="64">
        <f>IF($A3217="","",IFERROR(INDEX(부서매핑!$C$5:$C$504,MATCH($G3217&amp;"",부서매핑!$A$5:$A$504,0)),"미매핑"))</f>
        <v/>
      </c>
      <c r="O3217" s="9">
        <f>IF($A3217="","",N3217&amp;"|"&amp;$F3217)</f>
        <v/>
      </c>
      <c r="P3217" s="94">
        <f>IF($A3217="",0,$H3217*설정!$C$23)</f>
        <v/>
      </c>
      <c r="Q3217" s="64">
        <f>IF($A3217="","",IF(O3217&lt;&gt;원인분석!$C$9,"",IF(AND(M3217&gt;=원인분석!$C$10,M3217&lt;=원인분석!$C$11),"당기",IF(AND(M3217&gt;=원인분석!$C$12,M3217&lt;=원인분석!$C$13),"비교",""))))</f>
        <v/>
      </c>
      <c r="R3217" s="9">
        <f>IF(Q3217="","",$K3217&amp;"")</f>
        <v/>
      </c>
      <c r="S3217" s="9">
        <f>IF(Q3217="","",IF(MATCH(R3217,$R$5:$R$100000,0)=ROW()-4,ROW(),""))</f>
        <v/>
      </c>
      <c r="T3217" s="9">
        <f>IF(Q3217="당기",ABS(P3217)+ROW()/1000000000,"")</f>
        <v/>
      </c>
      <c r="U3217" s="9">
        <f>IF(Q3217="비교",ABS(P3217)+ROW()/1000000000,"")</f>
        <v/>
      </c>
      <c r="V3217" s="64">
        <f>IF($A3217="","",IF(COUNTIF(변동분석!$E$7:$E$506,O3217)&gt;0,"Y","N"))</f>
        <v/>
      </c>
      <c r="W3217" s="64">
        <f>IF($A3217="","",IFERROR(INDEX(계정매핑!$D$5:$D$504,MATCH($F3217&amp;"",계정매핑!$A$5:$A$504,0)),"미매핑"))</f>
        <v/>
      </c>
      <c r="X3217" s="9">
        <f>IF($A3217="","",$F3217&amp;"")</f>
        <v/>
      </c>
      <c r="Y3217" s="94">
        <f>IF($A3217="",0,IF(AE3217="직접",IF(AF3217="비귀속",$P3217,0),$P3217*(1-AG3217)*IFERROR(INDEX(계정대체기준!$F$20:$F$49,MATCH($N3217,계정대체기준!$A$20:$A$49,0)),1)))</f>
        <v/>
      </c>
      <c r="Z3217" s="94">
        <f>IF($A3217="",0,IF(AE3217="직접",IF(AF3217="신계약비",$P3217,0),$P3217*(1-AG3217)*IFERROR(INDEX(계정대체기준!$C$20:$C$49,MATCH($N3217,계정대체기준!$A$20:$A$49,0)),0)))</f>
        <v/>
      </c>
      <c r="AA3217" s="94">
        <f>IF($A3217="",0,IF(AE3217="직접",IF(OR(AF3217="유지비",AF3217="손해조사비"),$P3217,0),$P3217*(1-AG3217)*IFERROR(INDEX(계정대체기준!$D$20:$D$49,MATCH($N3217,계정대체기준!$A$20:$A$49,0)),0)))</f>
        <v/>
      </c>
      <c r="AB3217" s="94">
        <f>IF($A3217="",0,IF(AE3217="직접",IF(AF3217="수금비",$P3217,0),$P3217*(1-AG3217)*IFERROR(INDEX(계정대체기준!$E$20:$E$49,MATCH($N3217,계정대체기준!$A$20:$A$49,0)),0)))</f>
        <v/>
      </c>
      <c r="AC3217" s="9">
        <f>IF(AND($A3217&lt;&gt;"",M3217=설정!$C$20,Z3217&gt;0),Z3217+ROW()/1000000000,"")</f>
        <v/>
      </c>
      <c r="AD3217" s="94">
        <f>IF($A3217="",0,$P3217*AG3217)</f>
        <v/>
      </c>
      <c r="AE3217" s="64">
        <f>IF($A3217="","",IFERROR(INDEX(계정매핑!$E$5:$E$504,MATCH($F3217&amp;"",계정매핑!$A$5:$A$504,0))&amp;"","공통비"))</f>
        <v/>
      </c>
      <c r="AF3217" s="64">
        <f>IF($A3217="","",IF(AE3217="직접",IFERROR(INDEX(계정매핑!$F$5:$F$504,MATCH($F3217&amp;"",계정매핑!$A$5:$A$504,0))&amp;"","비귀속"),""))</f>
        <v/>
      </c>
      <c r="AG3217" s="96">
        <f>IF($A3217="",0,IF(AND(AE3217&lt;&gt;"직접",IFERROR(INDEX(계정매핑!$G$5:$G$504,MATCH($F3217&amp;"",계정매핑!$A$5:$A$504,0))&amp;"","")="유지비",COUNTIF(계정대체기준!$A$6:$A$15,$N3217)&gt;0),IFERROR(INDEX(계정대체기준!$E$6:$E$15,MATCH(VALUE($A3217&amp;""),계정대체기준!$D$6:$D$15,0)),0),0))</f>
        <v/>
      </c>
      <c r="AH3217" s="64">
        <f>IF($A3217="","",IF(AD3217=0,"",IF(OR(COUNTIF(계정대체기준!$A$77:$A$86,$N3217)&gt;0,ISNUMBER(MATCH($X3217,계정대체기준!$D$77:$D$86,0)),ISNUMBER(MATCH($F3217,계정대체기준!$D$77:$D$86,0))),"Y","N")))</f>
        <v/>
      </c>
    </row>
    <row r="3218">
      <c r="A3218" s="92" t="n">
        <v>2026</v>
      </c>
      <c r="B3218" s="92" t="n">
        <v>3</v>
      </c>
      <c r="C3218" s="92" t="inlineStr">
        <is>
          <t>5100000496</t>
        </is>
      </c>
      <c r="D3218" s="95" t="n">
        <v>46087</v>
      </c>
      <c r="E3218" s="92" t="inlineStr">
        <is>
          <t>KR</t>
        </is>
      </c>
      <c r="F3218" s="92" t="n">
        <v>62101000</v>
      </c>
      <c r="G3218" s="92" t="n">
        <v>1401</v>
      </c>
      <c r="H3218" s="93" t="n">
        <v>399000</v>
      </c>
      <c r="I3218" s="92" t="inlineStr">
        <is>
          <t>3월 국내출장 - L여행사</t>
        </is>
      </c>
      <c r="J3218" s="92" t="inlineStr">
        <is>
          <t>V10018</t>
        </is>
      </c>
      <c r="K3218" s="92" t="inlineStr">
        <is>
          <t>L여행사</t>
        </is>
      </c>
      <c r="M3218" s="9">
        <f>IF($A3218="","",VALUE($A3218&amp;"")*12+VALUE($B3218&amp;""))</f>
        <v/>
      </c>
      <c r="N3218" s="64">
        <f>IF($A3218="","",IFERROR(INDEX(부서매핑!$C$5:$C$504,MATCH($G3218&amp;"",부서매핑!$A$5:$A$504,0)),"미매핑"))</f>
        <v/>
      </c>
      <c r="O3218" s="9">
        <f>IF($A3218="","",N3218&amp;"|"&amp;$F3218)</f>
        <v/>
      </c>
      <c r="P3218" s="94">
        <f>IF($A3218="",0,$H3218*설정!$C$23)</f>
        <v/>
      </c>
      <c r="Q3218" s="64">
        <f>IF($A3218="","",IF(O3218&lt;&gt;원인분석!$C$9,"",IF(AND(M3218&gt;=원인분석!$C$10,M3218&lt;=원인분석!$C$11),"당기",IF(AND(M3218&gt;=원인분석!$C$12,M3218&lt;=원인분석!$C$13),"비교",""))))</f>
        <v/>
      </c>
      <c r="R3218" s="9">
        <f>IF(Q3218="","",$K3218&amp;"")</f>
        <v/>
      </c>
      <c r="S3218" s="9">
        <f>IF(Q3218="","",IF(MATCH(R3218,$R$5:$R$100000,0)=ROW()-4,ROW(),""))</f>
        <v/>
      </c>
      <c r="T3218" s="9">
        <f>IF(Q3218="당기",ABS(P3218)+ROW()/1000000000,"")</f>
        <v/>
      </c>
      <c r="U3218" s="9">
        <f>IF(Q3218="비교",ABS(P3218)+ROW()/1000000000,"")</f>
        <v/>
      </c>
      <c r="V3218" s="64">
        <f>IF($A3218="","",IF(COUNTIF(변동분석!$E$7:$E$506,O3218)&gt;0,"Y","N"))</f>
        <v/>
      </c>
      <c r="W3218" s="64">
        <f>IF($A3218="","",IFERROR(INDEX(계정매핑!$D$5:$D$504,MATCH($F3218&amp;"",계정매핑!$A$5:$A$504,0)),"미매핑"))</f>
        <v/>
      </c>
      <c r="X3218" s="9">
        <f>IF($A3218="","",$F3218&amp;"")</f>
        <v/>
      </c>
      <c r="Y3218" s="94">
        <f>IF($A3218="",0,IF(AE3218="직접",IF(AF3218="비귀속",$P3218,0),$P3218*(1-AG3218)*IFERROR(INDEX(계정대체기준!$F$20:$F$49,MATCH($N3218,계정대체기준!$A$20:$A$49,0)),1)))</f>
        <v/>
      </c>
      <c r="Z3218" s="94">
        <f>IF($A3218="",0,IF(AE3218="직접",IF(AF3218="신계약비",$P3218,0),$P3218*(1-AG3218)*IFERROR(INDEX(계정대체기준!$C$20:$C$49,MATCH($N3218,계정대체기준!$A$20:$A$49,0)),0)))</f>
        <v/>
      </c>
      <c r="AA3218" s="94">
        <f>IF($A3218="",0,IF(AE3218="직접",IF(OR(AF3218="유지비",AF3218="손해조사비"),$P3218,0),$P3218*(1-AG3218)*IFERROR(INDEX(계정대체기준!$D$20:$D$49,MATCH($N3218,계정대체기준!$A$20:$A$49,0)),0)))</f>
        <v/>
      </c>
      <c r="AB3218" s="94">
        <f>IF($A3218="",0,IF(AE3218="직접",IF(AF3218="수금비",$P3218,0),$P3218*(1-AG3218)*IFERROR(INDEX(계정대체기준!$E$20:$E$49,MATCH($N3218,계정대체기준!$A$20:$A$49,0)),0)))</f>
        <v/>
      </c>
      <c r="AC3218" s="9">
        <f>IF(AND($A3218&lt;&gt;"",M3218=설정!$C$20,Z3218&gt;0),Z3218+ROW()/1000000000,"")</f>
        <v/>
      </c>
      <c r="AD3218" s="94">
        <f>IF($A3218="",0,$P3218*AG3218)</f>
        <v/>
      </c>
      <c r="AE3218" s="64">
        <f>IF($A3218="","",IFERROR(INDEX(계정매핑!$E$5:$E$504,MATCH($F3218&amp;"",계정매핑!$A$5:$A$504,0))&amp;"","공통비"))</f>
        <v/>
      </c>
      <c r="AF3218" s="64">
        <f>IF($A3218="","",IF(AE3218="직접",IFERROR(INDEX(계정매핑!$F$5:$F$504,MATCH($F3218&amp;"",계정매핑!$A$5:$A$504,0))&amp;"","비귀속"),""))</f>
        <v/>
      </c>
      <c r="AG3218" s="96">
        <f>IF($A3218="",0,IF(AND(AE3218&lt;&gt;"직접",IFERROR(INDEX(계정매핑!$G$5:$G$504,MATCH($F3218&amp;"",계정매핑!$A$5:$A$504,0))&amp;"","")="유지비",COUNTIF(계정대체기준!$A$6:$A$15,$N3218)&gt;0),IFERROR(INDEX(계정대체기준!$E$6:$E$15,MATCH(VALUE($A3218&amp;""),계정대체기준!$D$6:$D$15,0)),0),0))</f>
        <v/>
      </c>
      <c r="AH3218" s="64">
        <f>IF($A3218="","",IF(AD3218=0,"",IF(OR(COUNTIF(계정대체기준!$A$77:$A$86,$N3218)&gt;0,ISNUMBER(MATCH($X3218,계정대체기준!$D$77:$D$86,0)),ISNUMBER(MATCH($F3218,계정대체기준!$D$77:$D$86,0))),"Y","N")))</f>
        <v/>
      </c>
    </row>
    <row r="3219">
      <c r="A3219" s="92" t="n">
        <v>2026</v>
      </c>
      <c r="B3219" s="92" t="n">
        <v>3</v>
      </c>
      <c r="C3219" s="92" t="inlineStr">
        <is>
          <t>5100000497</t>
        </is>
      </c>
      <c r="D3219" s="95" t="n">
        <v>46087</v>
      </c>
      <c r="E3219" s="92" t="inlineStr">
        <is>
          <t>KR</t>
        </is>
      </c>
      <c r="F3219" s="92" t="n">
        <v>62201000</v>
      </c>
      <c r="G3219" s="92" t="n">
        <v>1101</v>
      </c>
      <c r="H3219" s="93" t="n">
        <v>305000</v>
      </c>
      <c r="I3219" s="92" t="inlineStr">
        <is>
          <t>3월 통신요금 - O텔레콤</t>
        </is>
      </c>
      <c r="J3219" s="92" t="inlineStr">
        <is>
          <t>V10002</t>
        </is>
      </c>
      <c r="K3219" s="92" t="inlineStr">
        <is>
          <t>O텔레콤</t>
        </is>
      </c>
      <c r="M3219" s="9">
        <f>IF($A3219="","",VALUE($A3219&amp;"")*12+VALUE($B3219&amp;""))</f>
        <v/>
      </c>
      <c r="N3219" s="64">
        <f>IF($A3219="","",IFERROR(INDEX(부서매핑!$C$5:$C$504,MATCH($G3219&amp;"",부서매핑!$A$5:$A$504,0)),"미매핑"))</f>
        <v/>
      </c>
      <c r="O3219" s="9">
        <f>IF($A3219="","",N3219&amp;"|"&amp;$F3219)</f>
        <v/>
      </c>
      <c r="P3219" s="94">
        <f>IF($A3219="",0,$H3219*설정!$C$23)</f>
        <v/>
      </c>
      <c r="Q3219" s="64">
        <f>IF($A3219="","",IF(O3219&lt;&gt;원인분석!$C$9,"",IF(AND(M3219&gt;=원인분석!$C$10,M3219&lt;=원인분석!$C$11),"당기",IF(AND(M3219&gt;=원인분석!$C$12,M3219&lt;=원인분석!$C$13),"비교",""))))</f>
        <v/>
      </c>
      <c r="R3219" s="9">
        <f>IF(Q3219="","",$K3219&amp;"")</f>
        <v/>
      </c>
      <c r="S3219" s="9">
        <f>IF(Q3219="","",IF(MATCH(R3219,$R$5:$R$100000,0)=ROW()-4,ROW(),""))</f>
        <v/>
      </c>
      <c r="T3219" s="9">
        <f>IF(Q3219="당기",ABS(P3219)+ROW()/1000000000,"")</f>
        <v/>
      </c>
      <c r="U3219" s="9">
        <f>IF(Q3219="비교",ABS(P3219)+ROW()/1000000000,"")</f>
        <v/>
      </c>
      <c r="V3219" s="64">
        <f>IF($A3219="","",IF(COUNTIF(변동분석!$E$7:$E$506,O3219)&gt;0,"Y","N"))</f>
        <v/>
      </c>
      <c r="W3219" s="64">
        <f>IF($A3219="","",IFERROR(INDEX(계정매핑!$D$5:$D$504,MATCH($F3219&amp;"",계정매핑!$A$5:$A$504,0)),"미매핑"))</f>
        <v/>
      </c>
      <c r="X3219" s="9">
        <f>IF($A3219="","",$F3219&amp;"")</f>
        <v/>
      </c>
      <c r="Y3219" s="94">
        <f>IF($A3219="",0,IF(AE3219="직접",IF(AF3219="비귀속",$P3219,0),$P3219*(1-AG3219)*IFERROR(INDEX(계정대체기준!$F$20:$F$49,MATCH($N3219,계정대체기준!$A$20:$A$49,0)),1)))</f>
        <v/>
      </c>
      <c r="Z3219" s="94">
        <f>IF($A3219="",0,IF(AE3219="직접",IF(AF3219="신계약비",$P3219,0),$P3219*(1-AG3219)*IFERROR(INDEX(계정대체기준!$C$20:$C$49,MATCH($N3219,계정대체기준!$A$20:$A$49,0)),0)))</f>
        <v/>
      </c>
      <c r="AA3219" s="94">
        <f>IF($A3219="",0,IF(AE3219="직접",IF(OR(AF3219="유지비",AF3219="손해조사비"),$P3219,0),$P3219*(1-AG3219)*IFERROR(INDEX(계정대체기준!$D$20:$D$49,MATCH($N3219,계정대체기준!$A$20:$A$49,0)),0)))</f>
        <v/>
      </c>
      <c r="AB3219" s="94">
        <f>IF($A3219="",0,IF(AE3219="직접",IF(AF3219="수금비",$P3219,0),$P3219*(1-AG3219)*IFERROR(INDEX(계정대체기준!$E$20:$E$49,MATCH($N3219,계정대체기준!$A$20:$A$49,0)),0)))</f>
        <v/>
      </c>
      <c r="AC3219" s="9">
        <f>IF(AND($A3219&lt;&gt;"",M3219=설정!$C$20,Z3219&gt;0),Z3219+ROW()/1000000000,"")</f>
        <v/>
      </c>
      <c r="AD3219" s="94">
        <f>IF($A3219="",0,$P3219*AG3219)</f>
        <v/>
      </c>
      <c r="AE3219" s="64">
        <f>IF($A3219="","",IFERROR(INDEX(계정매핑!$E$5:$E$504,MATCH($F3219&amp;"",계정매핑!$A$5:$A$504,0))&amp;"","공통비"))</f>
        <v/>
      </c>
      <c r="AF3219" s="64">
        <f>IF($A3219="","",IF(AE3219="직접",IFERROR(INDEX(계정매핑!$F$5:$F$504,MATCH($F3219&amp;"",계정매핑!$A$5:$A$504,0))&amp;"","비귀속"),""))</f>
        <v/>
      </c>
      <c r="AG3219" s="96">
        <f>IF($A3219="",0,IF(AND(AE3219&lt;&gt;"직접",IFERROR(INDEX(계정매핑!$G$5:$G$504,MATCH($F3219&amp;"",계정매핑!$A$5:$A$504,0))&amp;"","")="유지비",COUNTIF(계정대체기준!$A$6:$A$15,$N3219)&gt;0),IFERROR(INDEX(계정대체기준!$E$6:$E$15,MATCH(VALUE($A3219&amp;""),계정대체기준!$D$6:$D$15,0)),0),0))</f>
        <v/>
      </c>
      <c r="AH3219" s="64">
        <f>IF($A3219="","",IF(AD3219=0,"",IF(OR(COUNTIF(계정대체기준!$A$77:$A$86,$N3219)&gt;0,ISNUMBER(MATCH($X3219,계정대체기준!$D$77:$D$86,0)),ISNUMBER(MATCH($F3219,계정대체기준!$D$77:$D$86,0))),"Y","N")))</f>
        <v/>
      </c>
    </row>
    <row r="3220">
      <c r="A3220" s="92" t="n">
        <v>2026</v>
      </c>
      <c r="B3220" s="92" t="n">
        <v>3</v>
      </c>
      <c r="C3220" s="92" t="inlineStr">
        <is>
          <t>5100000498</t>
        </is>
      </c>
      <c r="D3220" s="95" t="n">
        <v>46087</v>
      </c>
      <c r="E3220" s="92" t="inlineStr">
        <is>
          <t>KR</t>
        </is>
      </c>
      <c r="F3220" s="92" t="n">
        <v>62201000</v>
      </c>
      <c r="G3220" s="92" t="n">
        <v>1701</v>
      </c>
      <c r="H3220" s="93" t="n">
        <v>3800000</v>
      </c>
      <c r="I3220" s="92" t="inlineStr">
        <is>
          <t>3월 통신요금 - P통신</t>
        </is>
      </c>
      <c r="J3220" s="92" t="inlineStr">
        <is>
          <t>V10014</t>
        </is>
      </c>
      <c r="K3220" s="92" t="inlineStr">
        <is>
          <t>P통신</t>
        </is>
      </c>
      <c r="M3220" s="9">
        <f>IF($A3220="","",VALUE($A3220&amp;"")*12+VALUE($B3220&amp;""))</f>
        <v/>
      </c>
      <c r="N3220" s="64">
        <f>IF($A3220="","",IFERROR(INDEX(부서매핑!$C$5:$C$504,MATCH($G3220&amp;"",부서매핑!$A$5:$A$504,0)),"미매핑"))</f>
        <v/>
      </c>
      <c r="O3220" s="9">
        <f>IF($A3220="","",N3220&amp;"|"&amp;$F3220)</f>
        <v/>
      </c>
      <c r="P3220" s="94">
        <f>IF($A3220="",0,$H3220*설정!$C$23)</f>
        <v/>
      </c>
      <c r="Q3220" s="64">
        <f>IF($A3220="","",IF(O3220&lt;&gt;원인분석!$C$9,"",IF(AND(M3220&gt;=원인분석!$C$10,M3220&lt;=원인분석!$C$11),"당기",IF(AND(M3220&gt;=원인분석!$C$12,M3220&lt;=원인분석!$C$13),"비교",""))))</f>
        <v/>
      </c>
      <c r="R3220" s="9">
        <f>IF(Q3220="","",$K3220&amp;"")</f>
        <v/>
      </c>
      <c r="S3220" s="9">
        <f>IF(Q3220="","",IF(MATCH(R3220,$R$5:$R$100000,0)=ROW()-4,ROW(),""))</f>
        <v/>
      </c>
      <c r="T3220" s="9">
        <f>IF(Q3220="당기",ABS(P3220)+ROW()/1000000000,"")</f>
        <v/>
      </c>
      <c r="U3220" s="9">
        <f>IF(Q3220="비교",ABS(P3220)+ROW()/1000000000,"")</f>
        <v/>
      </c>
      <c r="V3220" s="64">
        <f>IF($A3220="","",IF(COUNTIF(변동분석!$E$7:$E$506,O3220)&gt;0,"Y","N"))</f>
        <v/>
      </c>
      <c r="W3220" s="64">
        <f>IF($A3220="","",IFERROR(INDEX(계정매핑!$D$5:$D$504,MATCH($F3220&amp;"",계정매핑!$A$5:$A$504,0)),"미매핑"))</f>
        <v/>
      </c>
      <c r="X3220" s="9">
        <f>IF($A3220="","",$F3220&amp;"")</f>
        <v/>
      </c>
      <c r="Y3220" s="94">
        <f>IF($A3220="",0,IF(AE3220="직접",IF(AF3220="비귀속",$P3220,0),$P3220*(1-AG3220)*IFERROR(INDEX(계정대체기준!$F$20:$F$49,MATCH($N3220,계정대체기준!$A$20:$A$49,0)),1)))</f>
        <v/>
      </c>
      <c r="Z3220" s="94">
        <f>IF($A3220="",0,IF(AE3220="직접",IF(AF3220="신계약비",$P3220,0),$P3220*(1-AG3220)*IFERROR(INDEX(계정대체기준!$C$20:$C$49,MATCH($N3220,계정대체기준!$A$20:$A$49,0)),0)))</f>
        <v/>
      </c>
      <c r="AA3220" s="94">
        <f>IF($A3220="",0,IF(AE3220="직접",IF(OR(AF3220="유지비",AF3220="손해조사비"),$P3220,0),$P3220*(1-AG3220)*IFERROR(INDEX(계정대체기준!$D$20:$D$49,MATCH($N3220,계정대체기준!$A$20:$A$49,0)),0)))</f>
        <v/>
      </c>
      <c r="AB3220" s="94">
        <f>IF($A3220="",0,IF(AE3220="직접",IF(AF3220="수금비",$P3220,0),$P3220*(1-AG3220)*IFERROR(INDEX(계정대체기준!$E$20:$E$49,MATCH($N3220,계정대체기준!$A$20:$A$49,0)),0)))</f>
        <v/>
      </c>
      <c r="AC3220" s="9">
        <f>IF(AND($A3220&lt;&gt;"",M3220=설정!$C$20,Z3220&gt;0),Z3220+ROW()/1000000000,"")</f>
        <v/>
      </c>
      <c r="AD3220" s="94">
        <f>IF($A3220="",0,$P3220*AG3220)</f>
        <v/>
      </c>
      <c r="AE3220" s="64">
        <f>IF($A3220="","",IFERROR(INDEX(계정매핑!$E$5:$E$504,MATCH($F3220&amp;"",계정매핑!$A$5:$A$504,0))&amp;"","공통비"))</f>
        <v/>
      </c>
      <c r="AF3220" s="64">
        <f>IF($A3220="","",IF(AE3220="직접",IFERROR(INDEX(계정매핑!$F$5:$F$504,MATCH($F3220&amp;"",계정매핑!$A$5:$A$504,0))&amp;"","비귀속"),""))</f>
        <v/>
      </c>
      <c r="AG3220" s="96">
        <f>IF($A3220="",0,IF(AND(AE3220&lt;&gt;"직접",IFERROR(INDEX(계정매핑!$G$5:$G$504,MATCH($F3220&amp;"",계정매핑!$A$5:$A$504,0))&amp;"","")="유지비",COUNTIF(계정대체기준!$A$6:$A$15,$N3220)&gt;0),IFERROR(INDEX(계정대체기준!$E$6:$E$15,MATCH(VALUE($A3220&amp;""),계정대체기준!$D$6:$D$15,0)),0),0))</f>
        <v/>
      </c>
      <c r="AH3220" s="64">
        <f>IF($A3220="","",IF(AD3220=0,"",IF(OR(COUNTIF(계정대체기준!$A$77:$A$86,$N3220)&gt;0,ISNUMBER(MATCH($X3220,계정대체기준!$D$77:$D$86,0)),ISNUMBER(MATCH($F3220,계정대체기준!$D$77:$D$86,0))),"Y","N")))</f>
        <v/>
      </c>
    </row>
    <row r="3221">
      <c r="A3221" s="92" t="n">
        <v>2026</v>
      </c>
      <c r="B3221" s="92" t="n">
        <v>3</v>
      </c>
      <c r="C3221" s="92" t="inlineStr">
        <is>
          <t>5100000499</t>
        </is>
      </c>
      <c r="D3221" s="95" t="n">
        <v>46087</v>
      </c>
      <c r="E3221" s="92" t="inlineStr">
        <is>
          <t>KR</t>
        </is>
      </c>
      <c r="F3221" s="92" t="n">
        <v>62802000</v>
      </c>
      <c r="G3221" s="92" t="n">
        <v>1301</v>
      </c>
      <c r="H3221" s="93" t="n">
        <v>2910000</v>
      </c>
      <c r="I3221" s="92" t="inlineStr">
        <is>
          <t>3월 위탁교육 - I교육원</t>
        </is>
      </c>
      <c r="J3221" s="92" t="inlineStr">
        <is>
          <t>V10019</t>
        </is>
      </c>
      <c r="K3221" s="92" t="inlineStr">
        <is>
          <t>I교육원</t>
        </is>
      </c>
      <c r="M3221" s="9">
        <f>IF($A3221="","",VALUE($A3221&amp;"")*12+VALUE($B3221&amp;""))</f>
        <v/>
      </c>
      <c r="N3221" s="64">
        <f>IF($A3221="","",IFERROR(INDEX(부서매핑!$C$5:$C$504,MATCH($G3221&amp;"",부서매핑!$A$5:$A$504,0)),"미매핑"))</f>
        <v/>
      </c>
      <c r="O3221" s="9">
        <f>IF($A3221="","",N3221&amp;"|"&amp;$F3221)</f>
        <v/>
      </c>
      <c r="P3221" s="94">
        <f>IF($A3221="",0,$H3221*설정!$C$23)</f>
        <v/>
      </c>
      <c r="Q3221" s="64">
        <f>IF($A3221="","",IF(O3221&lt;&gt;원인분석!$C$9,"",IF(AND(M3221&gt;=원인분석!$C$10,M3221&lt;=원인분석!$C$11),"당기",IF(AND(M3221&gt;=원인분석!$C$12,M3221&lt;=원인분석!$C$13),"비교",""))))</f>
        <v/>
      </c>
      <c r="R3221" s="9">
        <f>IF(Q3221="","",$K3221&amp;"")</f>
        <v/>
      </c>
      <c r="S3221" s="9">
        <f>IF(Q3221="","",IF(MATCH(R3221,$R$5:$R$100000,0)=ROW()-4,ROW(),""))</f>
        <v/>
      </c>
      <c r="T3221" s="9">
        <f>IF(Q3221="당기",ABS(P3221)+ROW()/1000000000,"")</f>
        <v/>
      </c>
      <c r="U3221" s="9">
        <f>IF(Q3221="비교",ABS(P3221)+ROW()/1000000000,"")</f>
        <v/>
      </c>
      <c r="V3221" s="64">
        <f>IF($A3221="","",IF(COUNTIF(변동분석!$E$7:$E$506,O3221)&gt;0,"Y","N"))</f>
        <v/>
      </c>
      <c r="W3221" s="64">
        <f>IF($A3221="","",IFERROR(INDEX(계정매핑!$D$5:$D$504,MATCH($F3221&amp;"",계정매핑!$A$5:$A$504,0)),"미매핑"))</f>
        <v/>
      </c>
      <c r="X3221" s="9">
        <f>IF($A3221="","",$F3221&amp;"")</f>
        <v/>
      </c>
      <c r="Y3221" s="94">
        <f>IF($A3221="",0,IF(AE3221="직접",IF(AF3221="비귀속",$P3221,0),$P3221*(1-AG3221)*IFERROR(INDEX(계정대체기준!$F$20:$F$49,MATCH($N3221,계정대체기준!$A$20:$A$49,0)),1)))</f>
        <v/>
      </c>
      <c r="Z3221" s="94">
        <f>IF($A3221="",0,IF(AE3221="직접",IF(AF3221="신계약비",$P3221,0),$P3221*(1-AG3221)*IFERROR(INDEX(계정대체기준!$C$20:$C$49,MATCH($N3221,계정대체기준!$A$20:$A$49,0)),0)))</f>
        <v/>
      </c>
      <c r="AA3221" s="94">
        <f>IF($A3221="",0,IF(AE3221="직접",IF(OR(AF3221="유지비",AF3221="손해조사비"),$P3221,0),$P3221*(1-AG3221)*IFERROR(INDEX(계정대체기준!$D$20:$D$49,MATCH($N3221,계정대체기준!$A$20:$A$49,0)),0)))</f>
        <v/>
      </c>
      <c r="AB3221" s="94">
        <f>IF($A3221="",0,IF(AE3221="직접",IF(AF3221="수금비",$P3221,0),$P3221*(1-AG3221)*IFERROR(INDEX(계정대체기준!$E$20:$E$49,MATCH($N3221,계정대체기준!$A$20:$A$49,0)),0)))</f>
        <v/>
      </c>
      <c r="AC3221" s="9">
        <f>IF(AND($A3221&lt;&gt;"",M3221=설정!$C$20,Z3221&gt;0),Z3221+ROW()/1000000000,"")</f>
        <v/>
      </c>
      <c r="AD3221" s="94">
        <f>IF($A3221="",0,$P3221*AG3221)</f>
        <v/>
      </c>
      <c r="AE3221" s="64">
        <f>IF($A3221="","",IFERROR(INDEX(계정매핑!$E$5:$E$504,MATCH($F3221&amp;"",계정매핑!$A$5:$A$504,0))&amp;"","공통비"))</f>
        <v/>
      </c>
      <c r="AF3221" s="64">
        <f>IF($A3221="","",IF(AE3221="직접",IFERROR(INDEX(계정매핑!$F$5:$F$504,MATCH($F3221&amp;"",계정매핑!$A$5:$A$504,0))&amp;"","비귀속"),""))</f>
        <v/>
      </c>
      <c r="AG3221" s="96">
        <f>IF($A3221="",0,IF(AND(AE3221&lt;&gt;"직접",IFERROR(INDEX(계정매핑!$G$5:$G$504,MATCH($F3221&amp;"",계정매핑!$A$5:$A$504,0))&amp;"","")="유지비",COUNTIF(계정대체기준!$A$6:$A$15,$N3221)&gt;0),IFERROR(INDEX(계정대체기준!$E$6:$E$15,MATCH(VALUE($A3221&amp;""),계정대체기준!$D$6:$D$15,0)),0),0))</f>
        <v/>
      </c>
      <c r="AH3221" s="64">
        <f>IF($A3221="","",IF(AD3221=0,"",IF(OR(COUNTIF(계정대체기준!$A$77:$A$86,$N3221)&gt;0,ISNUMBER(MATCH($X3221,계정대체기준!$D$77:$D$86,0)),ISNUMBER(MATCH($F3221,계정대체기준!$D$77:$D$86,0))),"Y","N")))</f>
        <v/>
      </c>
    </row>
    <row r="3222">
      <c r="A3222" s="92" t="n">
        <v>2026</v>
      </c>
      <c r="B3222" s="92" t="n">
        <v>3</v>
      </c>
      <c r="C3222" s="92" t="inlineStr">
        <is>
          <t>5100000500</t>
        </is>
      </c>
      <c r="D3222" s="95" t="n">
        <v>46087</v>
      </c>
      <c r="E3222" s="92" t="inlineStr">
        <is>
          <t>KR</t>
        </is>
      </c>
      <c r="F3222" s="92" t="n">
        <v>62902000</v>
      </c>
      <c r="G3222" s="92" t="n">
        <v>1101</v>
      </c>
      <c r="H3222" s="93" t="n">
        <v>1011000</v>
      </c>
      <c r="I3222" s="92" t="inlineStr">
        <is>
          <t>3월 업무 위탁 수수료 - X서비스</t>
        </is>
      </c>
      <c r="J3222" s="92" t="inlineStr">
        <is>
          <t>V10020</t>
        </is>
      </c>
      <c r="K3222" s="92" t="inlineStr">
        <is>
          <t>X서비스</t>
        </is>
      </c>
      <c r="M3222" s="9">
        <f>IF($A3222="","",VALUE($A3222&amp;"")*12+VALUE($B3222&amp;""))</f>
        <v/>
      </c>
      <c r="N3222" s="64">
        <f>IF($A3222="","",IFERROR(INDEX(부서매핑!$C$5:$C$504,MATCH($G3222&amp;"",부서매핑!$A$5:$A$504,0)),"미매핑"))</f>
        <v/>
      </c>
      <c r="O3222" s="9">
        <f>IF($A3222="","",N3222&amp;"|"&amp;$F3222)</f>
        <v/>
      </c>
      <c r="P3222" s="94">
        <f>IF($A3222="",0,$H3222*설정!$C$23)</f>
        <v/>
      </c>
      <c r="Q3222" s="64">
        <f>IF($A3222="","",IF(O3222&lt;&gt;원인분석!$C$9,"",IF(AND(M3222&gt;=원인분석!$C$10,M3222&lt;=원인분석!$C$11),"당기",IF(AND(M3222&gt;=원인분석!$C$12,M3222&lt;=원인분석!$C$13),"비교",""))))</f>
        <v/>
      </c>
      <c r="R3222" s="9">
        <f>IF(Q3222="","",$K3222&amp;"")</f>
        <v/>
      </c>
      <c r="S3222" s="9">
        <f>IF(Q3222="","",IF(MATCH(R3222,$R$5:$R$100000,0)=ROW()-4,ROW(),""))</f>
        <v/>
      </c>
      <c r="T3222" s="9">
        <f>IF(Q3222="당기",ABS(P3222)+ROW()/1000000000,"")</f>
        <v/>
      </c>
      <c r="U3222" s="9">
        <f>IF(Q3222="비교",ABS(P3222)+ROW()/1000000000,"")</f>
        <v/>
      </c>
      <c r="V3222" s="64">
        <f>IF($A3222="","",IF(COUNTIF(변동분석!$E$7:$E$506,O3222)&gt;0,"Y","N"))</f>
        <v/>
      </c>
      <c r="W3222" s="64">
        <f>IF($A3222="","",IFERROR(INDEX(계정매핑!$D$5:$D$504,MATCH($F3222&amp;"",계정매핑!$A$5:$A$504,0)),"미매핑"))</f>
        <v/>
      </c>
      <c r="X3222" s="9">
        <f>IF($A3222="","",$F3222&amp;"")</f>
        <v/>
      </c>
      <c r="Y3222" s="94">
        <f>IF($A3222="",0,IF(AE3222="직접",IF(AF3222="비귀속",$P3222,0),$P3222*(1-AG3222)*IFERROR(INDEX(계정대체기준!$F$20:$F$49,MATCH($N3222,계정대체기준!$A$20:$A$49,0)),1)))</f>
        <v/>
      </c>
      <c r="Z3222" s="94">
        <f>IF($A3222="",0,IF(AE3222="직접",IF(AF3222="신계약비",$P3222,0),$P3222*(1-AG3222)*IFERROR(INDEX(계정대체기준!$C$20:$C$49,MATCH($N3222,계정대체기준!$A$20:$A$49,0)),0)))</f>
        <v/>
      </c>
      <c r="AA3222" s="94">
        <f>IF($A3222="",0,IF(AE3222="직접",IF(OR(AF3222="유지비",AF3222="손해조사비"),$P3222,0),$P3222*(1-AG3222)*IFERROR(INDEX(계정대체기준!$D$20:$D$49,MATCH($N3222,계정대체기준!$A$20:$A$49,0)),0)))</f>
        <v/>
      </c>
      <c r="AB3222" s="94">
        <f>IF($A3222="",0,IF(AE3222="직접",IF(AF3222="수금비",$P3222,0),$P3222*(1-AG3222)*IFERROR(INDEX(계정대체기준!$E$20:$E$49,MATCH($N3222,계정대체기준!$A$20:$A$49,0)),0)))</f>
        <v/>
      </c>
      <c r="AC3222" s="9">
        <f>IF(AND($A3222&lt;&gt;"",M3222=설정!$C$20,Z3222&gt;0),Z3222+ROW()/1000000000,"")</f>
        <v/>
      </c>
      <c r="AD3222" s="94">
        <f>IF($A3222="",0,$P3222*AG3222)</f>
        <v/>
      </c>
      <c r="AE3222" s="64">
        <f>IF($A3222="","",IFERROR(INDEX(계정매핑!$E$5:$E$504,MATCH($F3222&amp;"",계정매핑!$A$5:$A$504,0))&amp;"","공통비"))</f>
        <v/>
      </c>
      <c r="AF3222" s="64">
        <f>IF($A3222="","",IF(AE3222="직접",IFERROR(INDEX(계정매핑!$F$5:$F$504,MATCH($F3222&amp;"",계정매핑!$A$5:$A$504,0))&amp;"","비귀속"),""))</f>
        <v/>
      </c>
      <c r="AG3222" s="96">
        <f>IF($A3222="",0,IF(AND(AE3222&lt;&gt;"직접",IFERROR(INDEX(계정매핑!$G$5:$G$504,MATCH($F3222&amp;"",계정매핑!$A$5:$A$504,0))&amp;"","")="유지비",COUNTIF(계정대체기준!$A$6:$A$15,$N3222)&gt;0),IFERROR(INDEX(계정대체기준!$E$6:$E$15,MATCH(VALUE($A3222&amp;""),계정대체기준!$D$6:$D$15,0)),0),0))</f>
        <v/>
      </c>
      <c r="AH3222" s="64">
        <f>IF($A3222="","",IF(AD3222=0,"",IF(OR(COUNTIF(계정대체기준!$A$77:$A$86,$N3222)&gt;0,ISNUMBER(MATCH($X3222,계정대체기준!$D$77:$D$86,0)),ISNUMBER(MATCH($F3222,계정대체기준!$D$77:$D$86,0))),"Y","N")))</f>
        <v/>
      </c>
    </row>
    <row r="3223">
      <c r="A3223" s="92" t="n">
        <v>2026</v>
      </c>
      <c r="B3223" s="92" t="n">
        <v>3</v>
      </c>
      <c r="C3223" s="92" t="inlineStr">
        <is>
          <t>5100000501</t>
        </is>
      </c>
      <c r="D3223" s="95" t="n">
        <v>46087</v>
      </c>
      <c r="E3223" s="92" t="inlineStr">
        <is>
          <t>KR</t>
        </is>
      </c>
      <c r="F3223" s="92" t="n">
        <v>62902000</v>
      </c>
      <c r="G3223" s="92" t="n">
        <v>1401</v>
      </c>
      <c r="H3223" s="93" t="n">
        <v>1752000</v>
      </c>
      <c r="I3223" s="92" t="inlineStr">
        <is>
          <t>3월 업무 위탁 수수료 - J콜센터</t>
        </is>
      </c>
      <c r="J3223" s="92" t="inlineStr">
        <is>
          <t>V10016</t>
        </is>
      </c>
      <c r="K3223" s="92" t="inlineStr">
        <is>
          <t>J콜센터</t>
        </is>
      </c>
      <c r="M3223" s="9">
        <f>IF($A3223="","",VALUE($A3223&amp;"")*12+VALUE($B3223&amp;""))</f>
        <v/>
      </c>
      <c r="N3223" s="64">
        <f>IF($A3223="","",IFERROR(INDEX(부서매핑!$C$5:$C$504,MATCH($G3223&amp;"",부서매핑!$A$5:$A$504,0)),"미매핑"))</f>
        <v/>
      </c>
      <c r="O3223" s="9">
        <f>IF($A3223="","",N3223&amp;"|"&amp;$F3223)</f>
        <v/>
      </c>
      <c r="P3223" s="94">
        <f>IF($A3223="",0,$H3223*설정!$C$23)</f>
        <v/>
      </c>
      <c r="Q3223" s="64">
        <f>IF($A3223="","",IF(O3223&lt;&gt;원인분석!$C$9,"",IF(AND(M3223&gt;=원인분석!$C$10,M3223&lt;=원인분석!$C$11),"당기",IF(AND(M3223&gt;=원인분석!$C$12,M3223&lt;=원인분석!$C$13),"비교",""))))</f>
        <v/>
      </c>
      <c r="R3223" s="9">
        <f>IF(Q3223="","",$K3223&amp;"")</f>
        <v/>
      </c>
      <c r="S3223" s="9">
        <f>IF(Q3223="","",IF(MATCH(R3223,$R$5:$R$100000,0)=ROW()-4,ROW(),""))</f>
        <v/>
      </c>
      <c r="T3223" s="9">
        <f>IF(Q3223="당기",ABS(P3223)+ROW()/1000000000,"")</f>
        <v/>
      </c>
      <c r="U3223" s="9">
        <f>IF(Q3223="비교",ABS(P3223)+ROW()/1000000000,"")</f>
        <v/>
      </c>
      <c r="V3223" s="64">
        <f>IF($A3223="","",IF(COUNTIF(변동분석!$E$7:$E$506,O3223)&gt;0,"Y","N"))</f>
        <v/>
      </c>
      <c r="W3223" s="64">
        <f>IF($A3223="","",IFERROR(INDEX(계정매핑!$D$5:$D$504,MATCH($F3223&amp;"",계정매핑!$A$5:$A$504,0)),"미매핑"))</f>
        <v/>
      </c>
      <c r="X3223" s="9">
        <f>IF($A3223="","",$F3223&amp;"")</f>
        <v/>
      </c>
      <c r="Y3223" s="94">
        <f>IF($A3223="",0,IF(AE3223="직접",IF(AF3223="비귀속",$P3223,0),$P3223*(1-AG3223)*IFERROR(INDEX(계정대체기준!$F$20:$F$49,MATCH($N3223,계정대체기준!$A$20:$A$49,0)),1)))</f>
        <v/>
      </c>
      <c r="Z3223" s="94">
        <f>IF($A3223="",0,IF(AE3223="직접",IF(AF3223="신계약비",$P3223,0),$P3223*(1-AG3223)*IFERROR(INDEX(계정대체기준!$C$20:$C$49,MATCH($N3223,계정대체기준!$A$20:$A$49,0)),0)))</f>
        <v/>
      </c>
      <c r="AA3223" s="94">
        <f>IF($A3223="",0,IF(AE3223="직접",IF(OR(AF3223="유지비",AF3223="손해조사비"),$P3223,0),$P3223*(1-AG3223)*IFERROR(INDEX(계정대체기준!$D$20:$D$49,MATCH($N3223,계정대체기준!$A$20:$A$49,0)),0)))</f>
        <v/>
      </c>
      <c r="AB3223" s="94">
        <f>IF($A3223="",0,IF(AE3223="직접",IF(AF3223="수금비",$P3223,0),$P3223*(1-AG3223)*IFERROR(INDEX(계정대체기준!$E$20:$E$49,MATCH($N3223,계정대체기준!$A$20:$A$49,0)),0)))</f>
        <v/>
      </c>
      <c r="AC3223" s="9">
        <f>IF(AND($A3223&lt;&gt;"",M3223=설정!$C$20,Z3223&gt;0),Z3223+ROW()/1000000000,"")</f>
        <v/>
      </c>
      <c r="AD3223" s="94">
        <f>IF($A3223="",0,$P3223*AG3223)</f>
        <v/>
      </c>
      <c r="AE3223" s="64">
        <f>IF($A3223="","",IFERROR(INDEX(계정매핑!$E$5:$E$504,MATCH($F3223&amp;"",계정매핑!$A$5:$A$504,0))&amp;"","공통비"))</f>
        <v/>
      </c>
      <c r="AF3223" s="64">
        <f>IF($A3223="","",IF(AE3223="직접",IFERROR(INDEX(계정매핑!$F$5:$F$504,MATCH($F3223&amp;"",계정매핑!$A$5:$A$504,0))&amp;"","비귀속"),""))</f>
        <v/>
      </c>
      <c r="AG3223" s="96">
        <f>IF($A3223="",0,IF(AND(AE3223&lt;&gt;"직접",IFERROR(INDEX(계정매핑!$G$5:$G$504,MATCH($F3223&amp;"",계정매핑!$A$5:$A$504,0))&amp;"","")="유지비",COUNTIF(계정대체기준!$A$6:$A$15,$N3223)&gt;0),IFERROR(INDEX(계정대체기준!$E$6:$E$15,MATCH(VALUE($A3223&amp;""),계정대체기준!$D$6:$D$15,0)),0),0))</f>
        <v/>
      </c>
      <c r="AH3223" s="64">
        <f>IF($A3223="","",IF(AD3223=0,"",IF(OR(COUNTIF(계정대체기준!$A$77:$A$86,$N3223)&gt;0,ISNUMBER(MATCH($X3223,계정대체기준!$D$77:$D$86,0)),ISNUMBER(MATCH($F3223,계정대체기준!$D$77:$D$86,0))),"Y","N")))</f>
        <v/>
      </c>
    </row>
    <row r="3224">
      <c r="A3224" s="92" t="n">
        <v>2026</v>
      </c>
      <c r="B3224" s="92" t="n">
        <v>3</v>
      </c>
      <c r="C3224" s="92" t="inlineStr">
        <is>
          <t>5100000502</t>
        </is>
      </c>
      <c r="D3224" s="95" t="n">
        <v>46088</v>
      </c>
      <c r="E3224" s="92" t="inlineStr">
        <is>
          <t>KR</t>
        </is>
      </c>
      <c r="F3224" s="92" t="n">
        <v>62101000</v>
      </c>
      <c r="G3224" s="92" t="n">
        <v>1401</v>
      </c>
      <c r="H3224" s="93" t="n">
        <v>433000</v>
      </c>
      <c r="I3224" s="92" t="inlineStr">
        <is>
          <t>3월 국내출장 - M항공</t>
        </is>
      </c>
      <c r="J3224" s="92" t="inlineStr">
        <is>
          <t>V10001</t>
        </is>
      </c>
      <c r="K3224" s="92" t="inlineStr">
        <is>
          <t>M항공</t>
        </is>
      </c>
      <c r="M3224" s="9">
        <f>IF($A3224="","",VALUE($A3224&amp;"")*12+VALUE($B3224&amp;""))</f>
        <v/>
      </c>
      <c r="N3224" s="64">
        <f>IF($A3224="","",IFERROR(INDEX(부서매핑!$C$5:$C$504,MATCH($G3224&amp;"",부서매핑!$A$5:$A$504,0)),"미매핑"))</f>
        <v/>
      </c>
      <c r="O3224" s="9">
        <f>IF($A3224="","",N3224&amp;"|"&amp;$F3224)</f>
        <v/>
      </c>
      <c r="P3224" s="94">
        <f>IF($A3224="",0,$H3224*설정!$C$23)</f>
        <v/>
      </c>
      <c r="Q3224" s="64">
        <f>IF($A3224="","",IF(O3224&lt;&gt;원인분석!$C$9,"",IF(AND(M3224&gt;=원인분석!$C$10,M3224&lt;=원인분석!$C$11),"당기",IF(AND(M3224&gt;=원인분석!$C$12,M3224&lt;=원인분석!$C$13),"비교",""))))</f>
        <v/>
      </c>
      <c r="R3224" s="9">
        <f>IF(Q3224="","",$K3224&amp;"")</f>
        <v/>
      </c>
      <c r="S3224" s="9">
        <f>IF(Q3224="","",IF(MATCH(R3224,$R$5:$R$100000,0)=ROW()-4,ROW(),""))</f>
        <v/>
      </c>
      <c r="T3224" s="9">
        <f>IF(Q3224="당기",ABS(P3224)+ROW()/1000000000,"")</f>
        <v/>
      </c>
      <c r="U3224" s="9">
        <f>IF(Q3224="비교",ABS(P3224)+ROW()/1000000000,"")</f>
        <v/>
      </c>
      <c r="V3224" s="64">
        <f>IF($A3224="","",IF(COUNTIF(변동분석!$E$7:$E$506,O3224)&gt;0,"Y","N"))</f>
        <v/>
      </c>
      <c r="W3224" s="64">
        <f>IF($A3224="","",IFERROR(INDEX(계정매핑!$D$5:$D$504,MATCH($F3224&amp;"",계정매핑!$A$5:$A$504,0)),"미매핑"))</f>
        <v/>
      </c>
      <c r="X3224" s="9">
        <f>IF($A3224="","",$F3224&amp;"")</f>
        <v/>
      </c>
      <c r="Y3224" s="94">
        <f>IF($A3224="",0,IF(AE3224="직접",IF(AF3224="비귀속",$P3224,0),$P3224*(1-AG3224)*IFERROR(INDEX(계정대체기준!$F$20:$F$49,MATCH($N3224,계정대체기준!$A$20:$A$49,0)),1)))</f>
        <v/>
      </c>
      <c r="Z3224" s="94">
        <f>IF($A3224="",0,IF(AE3224="직접",IF(AF3224="신계약비",$P3224,0),$P3224*(1-AG3224)*IFERROR(INDEX(계정대체기준!$C$20:$C$49,MATCH($N3224,계정대체기준!$A$20:$A$49,0)),0)))</f>
        <v/>
      </c>
      <c r="AA3224" s="94">
        <f>IF($A3224="",0,IF(AE3224="직접",IF(OR(AF3224="유지비",AF3224="손해조사비"),$P3224,0),$P3224*(1-AG3224)*IFERROR(INDEX(계정대체기준!$D$20:$D$49,MATCH($N3224,계정대체기준!$A$20:$A$49,0)),0)))</f>
        <v/>
      </c>
      <c r="AB3224" s="94">
        <f>IF($A3224="",0,IF(AE3224="직접",IF(AF3224="수금비",$P3224,0),$P3224*(1-AG3224)*IFERROR(INDEX(계정대체기준!$E$20:$E$49,MATCH($N3224,계정대체기준!$A$20:$A$49,0)),0)))</f>
        <v/>
      </c>
      <c r="AC3224" s="9">
        <f>IF(AND($A3224&lt;&gt;"",M3224=설정!$C$20,Z3224&gt;0),Z3224+ROW()/1000000000,"")</f>
        <v/>
      </c>
      <c r="AD3224" s="94">
        <f>IF($A3224="",0,$P3224*AG3224)</f>
        <v/>
      </c>
      <c r="AE3224" s="64">
        <f>IF($A3224="","",IFERROR(INDEX(계정매핑!$E$5:$E$504,MATCH($F3224&amp;"",계정매핑!$A$5:$A$504,0))&amp;"","공통비"))</f>
        <v/>
      </c>
      <c r="AF3224" s="64">
        <f>IF($A3224="","",IF(AE3224="직접",IFERROR(INDEX(계정매핑!$F$5:$F$504,MATCH($F3224&amp;"",계정매핑!$A$5:$A$504,0))&amp;"","비귀속"),""))</f>
        <v/>
      </c>
      <c r="AG3224" s="96">
        <f>IF($A3224="",0,IF(AND(AE3224&lt;&gt;"직접",IFERROR(INDEX(계정매핑!$G$5:$G$504,MATCH($F3224&amp;"",계정매핑!$A$5:$A$504,0))&amp;"","")="유지비",COUNTIF(계정대체기준!$A$6:$A$15,$N3224)&gt;0),IFERROR(INDEX(계정대체기준!$E$6:$E$15,MATCH(VALUE($A3224&amp;""),계정대체기준!$D$6:$D$15,0)),0),0))</f>
        <v/>
      </c>
      <c r="AH3224" s="64">
        <f>IF($A3224="","",IF(AD3224=0,"",IF(OR(COUNTIF(계정대체기준!$A$77:$A$86,$N3224)&gt;0,ISNUMBER(MATCH($X3224,계정대체기준!$D$77:$D$86,0)),ISNUMBER(MATCH($F3224,계정대체기준!$D$77:$D$86,0))),"Y","N")))</f>
        <v/>
      </c>
    </row>
    <row r="3225">
      <c r="A3225" s="92" t="n">
        <v>2026</v>
      </c>
      <c r="B3225" s="92" t="n">
        <v>3</v>
      </c>
      <c r="C3225" s="92" t="inlineStr">
        <is>
          <t>5100000503</t>
        </is>
      </c>
      <c r="D3225" s="95" t="n">
        <v>46088</v>
      </c>
      <c r="E3225" s="92" t="inlineStr">
        <is>
          <t>KR</t>
        </is>
      </c>
      <c r="F3225" s="92" t="n">
        <v>62101000</v>
      </c>
      <c r="G3225" s="92" t="n">
        <v>1701</v>
      </c>
      <c r="H3225" s="93" t="n">
        <v>261000</v>
      </c>
      <c r="I3225" s="92" t="inlineStr">
        <is>
          <t>3월 국내출장 - (법인카드)</t>
        </is>
      </c>
      <c r="J3225" s="92" t="inlineStr">
        <is>
          <t>V10010</t>
        </is>
      </c>
      <c r="K3225" s="92" t="inlineStr">
        <is>
          <t>(법인카드)</t>
        </is>
      </c>
      <c r="M3225" s="9">
        <f>IF($A3225="","",VALUE($A3225&amp;"")*12+VALUE($B3225&amp;""))</f>
        <v/>
      </c>
      <c r="N3225" s="64">
        <f>IF($A3225="","",IFERROR(INDEX(부서매핑!$C$5:$C$504,MATCH($G3225&amp;"",부서매핑!$A$5:$A$504,0)),"미매핑"))</f>
        <v/>
      </c>
      <c r="O3225" s="9">
        <f>IF($A3225="","",N3225&amp;"|"&amp;$F3225)</f>
        <v/>
      </c>
      <c r="P3225" s="94">
        <f>IF($A3225="",0,$H3225*설정!$C$23)</f>
        <v/>
      </c>
      <c r="Q3225" s="64">
        <f>IF($A3225="","",IF(O3225&lt;&gt;원인분석!$C$9,"",IF(AND(M3225&gt;=원인분석!$C$10,M3225&lt;=원인분석!$C$11),"당기",IF(AND(M3225&gt;=원인분석!$C$12,M3225&lt;=원인분석!$C$13),"비교",""))))</f>
        <v/>
      </c>
      <c r="R3225" s="9">
        <f>IF(Q3225="","",$K3225&amp;"")</f>
        <v/>
      </c>
      <c r="S3225" s="9">
        <f>IF(Q3225="","",IF(MATCH(R3225,$R$5:$R$100000,0)=ROW()-4,ROW(),""))</f>
        <v/>
      </c>
      <c r="T3225" s="9">
        <f>IF(Q3225="당기",ABS(P3225)+ROW()/1000000000,"")</f>
        <v/>
      </c>
      <c r="U3225" s="9">
        <f>IF(Q3225="비교",ABS(P3225)+ROW()/1000000000,"")</f>
        <v/>
      </c>
      <c r="V3225" s="64">
        <f>IF($A3225="","",IF(COUNTIF(변동분석!$E$7:$E$506,O3225)&gt;0,"Y","N"))</f>
        <v/>
      </c>
      <c r="W3225" s="64">
        <f>IF($A3225="","",IFERROR(INDEX(계정매핑!$D$5:$D$504,MATCH($F3225&amp;"",계정매핑!$A$5:$A$504,0)),"미매핑"))</f>
        <v/>
      </c>
      <c r="X3225" s="9">
        <f>IF($A3225="","",$F3225&amp;"")</f>
        <v/>
      </c>
      <c r="Y3225" s="94">
        <f>IF($A3225="",0,IF(AE3225="직접",IF(AF3225="비귀속",$P3225,0),$P3225*(1-AG3225)*IFERROR(INDEX(계정대체기준!$F$20:$F$49,MATCH($N3225,계정대체기준!$A$20:$A$49,0)),1)))</f>
        <v/>
      </c>
      <c r="Z3225" s="94">
        <f>IF($A3225="",0,IF(AE3225="직접",IF(AF3225="신계약비",$P3225,0),$P3225*(1-AG3225)*IFERROR(INDEX(계정대체기준!$C$20:$C$49,MATCH($N3225,계정대체기준!$A$20:$A$49,0)),0)))</f>
        <v/>
      </c>
      <c r="AA3225" s="94">
        <f>IF($A3225="",0,IF(AE3225="직접",IF(OR(AF3225="유지비",AF3225="손해조사비"),$P3225,0),$P3225*(1-AG3225)*IFERROR(INDEX(계정대체기준!$D$20:$D$49,MATCH($N3225,계정대체기준!$A$20:$A$49,0)),0)))</f>
        <v/>
      </c>
      <c r="AB3225" s="94">
        <f>IF($A3225="",0,IF(AE3225="직접",IF(AF3225="수금비",$P3225,0),$P3225*(1-AG3225)*IFERROR(INDEX(계정대체기준!$E$20:$E$49,MATCH($N3225,계정대체기준!$A$20:$A$49,0)),0)))</f>
        <v/>
      </c>
      <c r="AC3225" s="9">
        <f>IF(AND($A3225&lt;&gt;"",M3225=설정!$C$20,Z3225&gt;0),Z3225+ROW()/1000000000,"")</f>
        <v/>
      </c>
      <c r="AD3225" s="94">
        <f>IF($A3225="",0,$P3225*AG3225)</f>
        <v/>
      </c>
      <c r="AE3225" s="64">
        <f>IF($A3225="","",IFERROR(INDEX(계정매핑!$E$5:$E$504,MATCH($F3225&amp;"",계정매핑!$A$5:$A$504,0))&amp;"","공통비"))</f>
        <v/>
      </c>
      <c r="AF3225" s="64">
        <f>IF($A3225="","",IF(AE3225="직접",IFERROR(INDEX(계정매핑!$F$5:$F$504,MATCH($F3225&amp;"",계정매핑!$A$5:$A$504,0))&amp;"","비귀속"),""))</f>
        <v/>
      </c>
      <c r="AG3225" s="96">
        <f>IF($A3225="",0,IF(AND(AE3225&lt;&gt;"직접",IFERROR(INDEX(계정매핑!$G$5:$G$504,MATCH($F3225&amp;"",계정매핑!$A$5:$A$504,0))&amp;"","")="유지비",COUNTIF(계정대체기준!$A$6:$A$15,$N3225)&gt;0),IFERROR(INDEX(계정대체기준!$E$6:$E$15,MATCH(VALUE($A3225&amp;""),계정대체기준!$D$6:$D$15,0)),0),0))</f>
        <v/>
      </c>
      <c r="AH3225" s="64">
        <f>IF($A3225="","",IF(AD3225=0,"",IF(OR(COUNTIF(계정대체기준!$A$77:$A$86,$N3225)&gt;0,ISNUMBER(MATCH($X3225,계정대체기준!$D$77:$D$86,0)),ISNUMBER(MATCH($F3225,계정대체기준!$D$77:$D$86,0))),"Y","N")))</f>
        <v/>
      </c>
    </row>
    <row r="3226">
      <c r="A3226" s="92" t="n">
        <v>2026</v>
      </c>
      <c r="B3226" s="92" t="n">
        <v>3</v>
      </c>
      <c r="C3226" s="92" t="inlineStr">
        <is>
          <t>5100000504</t>
        </is>
      </c>
      <c r="D3226" s="95" t="n">
        <v>46088</v>
      </c>
      <c r="E3226" s="92" t="inlineStr">
        <is>
          <t>KR</t>
        </is>
      </c>
      <c r="F3226" s="92" t="n">
        <v>62201000</v>
      </c>
      <c r="G3226" s="92" t="n">
        <v>1601</v>
      </c>
      <c r="H3226" s="93" t="n">
        <v>651000</v>
      </c>
      <c r="I3226" s="92" t="inlineStr">
        <is>
          <t>3월 통신요금 - O텔레콤</t>
        </is>
      </c>
      <c r="J3226" s="92" t="inlineStr">
        <is>
          <t>V10002</t>
        </is>
      </c>
      <c r="K3226" s="92" t="inlineStr">
        <is>
          <t>O텔레콤</t>
        </is>
      </c>
      <c r="M3226" s="9">
        <f>IF($A3226="","",VALUE($A3226&amp;"")*12+VALUE($B3226&amp;""))</f>
        <v/>
      </c>
      <c r="N3226" s="64">
        <f>IF($A3226="","",IFERROR(INDEX(부서매핑!$C$5:$C$504,MATCH($G3226&amp;"",부서매핑!$A$5:$A$504,0)),"미매핑"))</f>
        <v/>
      </c>
      <c r="O3226" s="9">
        <f>IF($A3226="","",N3226&amp;"|"&amp;$F3226)</f>
        <v/>
      </c>
      <c r="P3226" s="94">
        <f>IF($A3226="",0,$H3226*설정!$C$23)</f>
        <v/>
      </c>
      <c r="Q3226" s="64">
        <f>IF($A3226="","",IF(O3226&lt;&gt;원인분석!$C$9,"",IF(AND(M3226&gt;=원인분석!$C$10,M3226&lt;=원인분석!$C$11),"당기",IF(AND(M3226&gt;=원인분석!$C$12,M3226&lt;=원인분석!$C$13),"비교",""))))</f>
        <v/>
      </c>
      <c r="R3226" s="9">
        <f>IF(Q3226="","",$K3226&amp;"")</f>
        <v/>
      </c>
      <c r="S3226" s="9">
        <f>IF(Q3226="","",IF(MATCH(R3226,$R$5:$R$100000,0)=ROW()-4,ROW(),""))</f>
        <v/>
      </c>
      <c r="T3226" s="9">
        <f>IF(Q3226="당기",ABS(P3226)+ROW()/1000000000,"")</f>
        <v/>
      </c>
      <c r="U3226" s="9">
        <f>IF(Q3226="비교",ABS(P3226)+ROW()/1000000000,"")</f>
        <v/>
      </c>
      <c r="V3226" s="64">
        <f>IF($A3226="","",IF(COUNTIF(변동분석!$E$7:$E$506,O3226)&gt;0,"Y","N"))</f>
        <v/>
      </c>
      <c r="W3226" s="64">
        <f>IF($A3226="","",IFERROR(INDEX(계정매핑!$D$5:$D$504,MATCH($F3226&amp;"",계정매핑!$A$5:$A$504,0)),"미매핑"))</f>
        <v/>
      </c>
      <c r="X3226" s="9">
        <f>IF($A3226="","",$F3226&amp;"")</f>
        <v/>
      </c>
      <c r="Y3226" s="94">
        <f>IF($A3226="",0,IF(AE3226="직접",IF(AF3226="비귀속",$P3226,0),$P3226*(1-AG3226)*IFERROR(INDEX(계정대체기준!$F$20:$F$49,MATCH($N3226,계정대체기준!$A$20:$A$49,0)),1)))</f>
        <v/>
      </c>
      <c r="Z3226" s="94">
        <f>IF($A3226="",0,IF(AE3226="직접",IF(AF3226="신계약비",$P3226,0),$P3226*(1-AG3226)*IFERROR(INDEX(계정대체기준!$C$20:$C$49,MATCH($N3226,계정대체기준!$A$20:$A$49,0)),0)))</f>
        <v/>
      </c>
      <c r="AA3226" s="94">
        <f>IF($A3226="",0,IF(AE3226="직접",IF(OR(AF3226="유지비",AF3226="손해조사비"),$P3226,0),$P3226*(1-AG3226)*IFERROR(INDEX(계정대체기준!$D$20:$D$49,MATCH($N3226,계정대체기준!$A$20:$A$49,0)),0)))</f>
        <v/>
      </c>
      <c r="AB3226" s="94">
        <f>IF($A3226="",0,IF(AE3226="직접",IF(AF3226="수금비",$P3226,0),$P3226*(1-AG3226)*IFERROR(INDEX(계정대체기준!$E$20:$E$49,MATCH($N3226,계정대체기준!$A$20:$A$49,0)),0)))</f>
        <v/>
      </c>
      <c r="AC3226" s="9">
        <f>IF(AND($A3226&lt;&gt;"",M3226=설정!$C$20,Z3226&gt;0),Z3226+ROW()/1000000000,"")</f>
        <v/>
      </c>
      <c r="AD3226" s="94">
        <f>IF($A3226="",0,$P3226*AG3226)</f>
        <v/>
      </c>
      <c r="AE3226" s="64">
        <f>IF($A3226="","",IFERROR(INDEX(계정매핑!$E$5:$E$504,MATCH($F3226&amp;"",계정매핑!$A$5:$A$504,0))&amp;"","공통비"))</f>
        <v/>
      </c>
      <c r="AF3226" s="64">
        <f>IF($A3226="","",IF(AE3226="직접",IFERROR(INDEX(계정매핑!$F$5:$F$504,MATCH($F3226&amp;"",계정매핑!$A$5:$A$504,0))&amp;"","비귀속"),""))</f>
        <v/>
      </c>
      <c r="AG3226" s="96">
        <f>IF($A3226="",0,IF(AND(AE3226&lt;&gt;"직접",IFERROR(INDEX(계정매핑!$G$5:$G$504,MATCH($F3226&amp;"",계정매핑!$A$5:$A$504,0))&amp;"","")="유지비",COUNTIF(계정대체기준!$A$6:$A$15,$N3226)&gt;0),IFERROR(INDEX(계정대체기준!$E$6:$E$15,MATCH(VALUE($A3226&amp;""),계정대체기준!$D$6:$D$15,0)),0),0))</f>
        <v/>
      </c>
      <c r="AH3226" s="64">
        <f>IF($A3226="","",IF(AD3226=0,"",IF(OR(COUNTIF(계정대체기준!$A$77:$A$86,$N3226)&gt;0,ISNUMBER(MATCH($X3226,계정대체기준!$D$77:$D$86,0)),ISNUMBER(MATCH($F3226,계정대체기준!$D$77:$D$86,0))),"Y","N")))</f>
        <v/>
      </c>
    </row>
    <row r="3227">
      <c r="A3227" s="92" t="n">
        <v>2026</v>
      </c>
      <c r="B3227" s="92" t="n">
        <v>3</v>
      </c>
      <c r="C3227" s="92" t="inlineStr">
        <is>
          <t>5100000505</t>
        </is>
      </c>
      <c r="D3227" s="95" t="n">
        <v>46088</v>
      </c>
      <c r="E3227" s="92" t="inlineStr">
        <is>
          <t>KR</t>
        </is>
      </c>
      <c r="F3227" s="92" t="n">
        <v>62201000</v>
      </c>
      <c r="G3227" s="92" t="n">
        <v>1951</v>
      </c>
      <c r="H3227" s="93" t="n">
        <v>486000</v>
      </c>
      <c r="I3227" s="92" t="inlineStr">
        <is>
          <t>3월 통신요금 - P통신</t>
        </is>
      </c>
      <c r="J3227" s="92" t="inlineStr">
        <is>
          <t>V10014</t>
        </is>
      </c>
      <c r="K3227" s="92" t="inlineStr">
        <is>
          <t>P통신</t>
        </is>
      </c>
      <c r="M3227" s="9">
        <f>IF($A3227="","",VALUE($A3227&amp;"")*12+VALUE($B3227&amp;""))</f>
        <v/>
      </c>
      <c r="N3227" s="64">
        <f>IF($A3227="","",IFERROR(INDEX(부서매핑!$C$5:$C$504,MATCH($G3227&amp;"",부서매핑!$A$5:$A$504,0)),"미매핑"))</f>
        <v/>
      </c>
      <c r="O3227" s="9">
        <f>IF($A3227="","",N3227&amp;"|"&amp;$F3227)</f>
        <v/>
      </c>
      <c r="P3227" s="94">
        <f>IF($A3227="",0,$H3227*설정!$C$23)</f>
        <v/>
      </c>
      <c r="Q3227" s="64">
        <f>IF($A3227="","",IF(O3227&lt;&gt;원인분석!$C$9,"",IF(AND(M3227&gt;=원인분석!$C$10,M3227&lt;=원인분석!$C$11),"당기",IF(AND(M3227&gt;=원인분석!$C$12,M3227&lt;=원인분석!$C$13),"비교",""))))</f>
        <v/>
      </c>
      <c r="R3227" s="9">
        <f>IF(Q3227="","",$K3227&amp;"")</f>
        <v/>
      </c>
      <c r="S3227" s="9">
        <f>IF(Q3227="","",IF(MATCH(R3227,$R$5:$R$100000,0)=ROW()-4,ROW(),""))</f>
        <v/>
      </c>
      <c r="T3227" s="9">
        <f>IF(Q3227="당기",ABS(P3227)+ROW()/1000000000,"")</f>
        <v/>
      </c>
      <c r="U3227" s="9">
        <f>IF(Q3227="비교",ABS(P3227)+ROW()/1000000000,"")</f>
        <v/>
      </c>
      <c r="V3227" s="64">
        <f>IF($A3227="","",IF(COUNTIF(변동분석!$E$7:$E$506,O3227)&gt;0,"Y","N"))</f>
        <v/>
      </c>
      <c r="W3227" s="64">
        <f>IF($A3227="","",IFERROR(INDEX(계정매핑!$D$5:$D$504,MATCH($F3227&amp;"",계정매핑!$A$5:$A$504,0)),"미매핑"))</f>
        <v/>
      </c>
      <c r="X3227" s="9">
        <f>IF($A3227="","",$F3227&amp;"")</f>
        <v/>
      </c>
      <c r="Y3227" s="94">
        <f>IF($A3227="",0,IF(AE3227="직접",IF(AF3227="비귀속",$P3227,0),$P3227*(1-AG3227)*IFERROR(INDEX(계정대체기준!$F$20:$F$49,MATCH($N3227,계정대체기준!$A$20:$A$49,0)),1)))</f>
        <v/>
      </c>
      <c r="Z3227" s="94">
        <f>IF($A3227="",0,IF(AE3227="직접",IF(AF3227="신계약비",$P3227,0),$P3227*(1-AG3227)*IFERROR(INDEX(계정대체기준!$C$20:$C$49,MATCH($N3227,계정대체기준!$A$20:$A$49,0)),0)))</f>
        <v/>
      </c>
      <c r="AA3227" s="94">
        <f>IF($A3227="",0,IF(AE3227="직접",IF(OR(AF3227="유지비",AF3227="손해조사비"),$P3227,0),$P3227*(1-AG3227)*IFERROR(INDEX(계정대체기준!$D$20:$D$49,MATCH($N3227,계정대체기준!$A$20:$A$49,0)),0)))</f>
        <v/>
      </c>
      <c r="AB3227" s="94">
        <f>IF($A3227="",0,IF(AE3227="직접",IF(AF3227="수금비",$P3227,0),$P3227*(1-AG3227)*IFERROR(INDEX(계정대체기준!$E$20:$E$49,MATCH($N3227,계정대체기준!$A$20:$A$49,0)),0)))</f>
        <v/>
      </c>
      <c r="AC3227" s="9">
        <f>IF(AND($A3227&lt;&gt;"",M3227=설정!$C$20,Z3227&gt;0),Z3227+ROW()/1000000000,"")</f>
        <v/>
      </c>
      <c r="AD3227" s="94">
        <f>IF($A3227="",0,$P3227*AG3227)</f>
        <v/>
      </c>
      <c r="AE3227" s="64">
        <f>IF($A3227="","",IFERROR(INDEX(계정매핑!$E$5:$E$504,MATCH($F3227&amp;"",계정매핑!$A$5:$A$504,0))&amp;"","공통비"))</f>
        <v/>
      </c>
      <c r="AF3227" s="64">
        <f>IF($A3227="","",IF(AE3227="직접",IFERROR(INDEX(계정매핑!$F$5:$F$504,MATCH($F3227&amp;"",계정매핑!$A$5:$A$504,0))&amp;"","비귀속"),""))</f>
        <v/>
      </c>
      <c r="AG3227" s="96">
        <f>IF($A3227="",0,IF(AND(AE3227&lt;&gt;"직접",IFERROR(INDEX(계정매핑!$G$5:$G$504,MATCH($F3227&amp;"",계정매핑!$A$5:$A$504,0))&amp;"","")="유지비",COUNTIF(계정대체기준!$A$6:$A$15,$N3227)&gt;0),IFERROR(INDEX(계정대체기준!$E$6:$E$15,MATCH(VALUE($A3227&amp;""),계정대체기준!$D$6:$D$15,0)),0),0))</f>
        <v/>
      </c>
      <c r="AH3227" s="64">
        <f>IF($A3227="","",IF(AD3227=0,"",IF(OR(COUNTIF(계정대체기준!$A$77:$A$86,$N3227)&gt;0,ISNUMBER(MATCH($X3227,계정대체기준!$D$77:$D$86,0)),ISNUMBER(MATCH($F3227,계정대체기준!$D$77:$D$86,0))),"Y","N")))</f>
        <v/>
      </c>
    </row>
    <row r="3228">
      <c r="A3228" s="92" t="n">
        <v>2026</v>
      </c>
      <c r="B3228" s="92" t="n">
        <v>3</v>
      </c>
      <c r="C3228" s="92" t="inlineStr">
        <is>
          <t>5100000506</t>
        </is>
      </c>
      <c r="D3228" s="95" t="n">
        <v>46088</v>
      </c>
      <c r="E3228" s="92" t="inlineStr">
        <is>
          <t>KR</t>
        </is>
      </c>
      <c r="F3228" s="92" t="n">
        <v>62301000</v>
      </c>
      <c r="G3228" s="92" t="n">
        <v>1201</v>
      </c>
      <c r="H3228" s="93" t="n">
        <v>240000</v>
      </c>
      <c r="I3228" s="92" t="inlineStr">
        <is>
          <t>3월 소모품 구입 - R문구</t>
        </is>
      </c>
      <c r="J3228" s="92" t="inlineStr">
        <is>
          <t>V10022</t>
        </is>
      </c>
      <c r="K3228" s="92" t="inlineStr">
        <is>
          <t>R문구</t>
        </is>
      </c>
      <c r="M3228" s="9">
        <f>IF($A3228="","",VALUE($A3228&amp;"")*12+VALUE($B3228&amp;""))</f>
        <v/>
      </c>
      <c r="N3228" s="64">
        <f>IF($A3228="","",IFERROR(INDEX(부서매핑!$C$5:$C$504,MATCH($G3228&amp;"",부서매핑!$A$5:$A$504,0)),"미매핑"))</f>
        <v/>
      </c>
      <c r="O3228" s="9">
        <f>IF($A3228="","",N3228&amp;"|"&amp;$F3228)</f>
        <v/>
      </c>
      <c r="P3228" s="94">
        <f>IF($A3228="",0,$H3228*설정!$C$23)</f>
        <v/>
      </c>
      <c r="Q3228" s="64">
        <f>IF($A3228="","",IF(O3228&lt;&gt;원인분석!$C$9,"",IF(AND(M3228&gt;=원인분석!$C$10,M3228&lt;=원인분석!$C$11),"당기",IF(AND(M3228&gt;=원인분석!$C$12,M3228&lt;=원인분석!$C$13),"비교",""))))</f>
        <v/>
      </c>
      <c r="R3228" s="9">
        <f>IF(Q3228="","",$K3228&amp;"")</f>
        <v/>
      </c>
      <c r="S3228" s="9">
        <f>IF(Q3228="","",IF(MATCH(R3228,$R$5:$R$100000,0)=ROW()-4,ROW(),""))</f>
        <v/>
      </c>
      <c r="T3228" s="9">
        <f>IF(Q3228="당기",ABS(P3228)+ROW()/1000000000,"")</f>
        <v/>
      </c>
      <c r="U3228" s="9">
        <f>IF(Q3228="비교",ABS(P3228)+ROW()/1000000000,"")</f>
        <v/>
      </c>
      <c r="V3228" s="64">
        <f>IF($A3228="","",IF(COUNTIF(변동분석!$E$7:$E$506,O3228)&gt;0,"Y","N"))</f>
        <v/>
      </c>
      <c r="W3228" s="64">
        <f>IF($A3228="","",IFERROR(INDEX(계정매핑!$D$5:$D$504,MATCH($F3228&amp;"",계정매핑!$A$5:$A$504,0)),"미매핑"))</f>
        <v/>
      </c>
      <c r="X3228" s="9">
        <f>IF($A3228="","",$F3228&amp;"")</f>
        <v/>
      </c>
      <c r="Y3228" s="94">
        <f>IF($A3228="",0,IF(AE3228="직접",IF(AF3228="비귀속",$P3228,0),$P3228*(1-AG3228)*IFERROR(INDEX(계정대체기준!$F$20:$F$49,MATCH($N3228,계정대체기준!$A$20:$A$49,0)),1)))</f>
        <v/>
      </c>
      <c r="Z3228" s="94">
        <f>IF($A3228="",0,IF(AE3228="직접",IF(AF3228="신계약비",$P3228,0),$P3228*(1-AG3228)*IFERROR(INDEX(계정대체기준!$C$20:$C$49,MATCH($N3228,계정대체기준!$A$20:$A$49,0)),0)))</f>
        <v/>
      </c>
      <c r="AA3228" s="94">
        <f>IF($A3228="",0,IF(AE3228="직접",IF(OR(AF3228="유지비",AF3228="손해조사비"),$P3228,0),$P3228*(1-AG3228)*IFERROR(INDEX(계정대체기준!$D$20:$D$49,MATCH($N3228,계정대체기준!$A$20:$A$49,0)),0)))</f>
        <v/>
      </c>
      <c r="AB3228" s="94">
        <f>IF($A3228="",0,IF(AE3228="직접",IF(AF3228="수금비",$P3228,0),$P3228*(1-AG3228)*IFERROR(INDEX(계정대체기준!$E$20:$E$49,MATCH($N3228,계정대체기준!$A$20:$A$49,0)),0)))</f>
        <v/>
      </c>
      <c r="AC3228" s="9">
        <f>IF(AND($A3228&lt;&gt;"",M3228=설정!$C$20,Z3228&gt;0),Z3228+ROW()/1000000000,"")</f>
        <v/>
      </c>
      <c r="AD3228" s="94">
        <f>IF($A3228="",0,$P3228*AG3228)</f>
        <v/>
      </c>
      <c r="AE3228" s="64">
        <f>IF($A3228="","",IFERROR(INDEX(계정매핑!$E$5:$E$504,MATCH($F3228&amp;"",계정매핑!$A$5:$A$504,0))&amp;"","공통비"))</f>
        <v/>
      </c>
      <c r="AF3228" s="64">
        <f>IF($A3228="","",IF(AE3228="직접",IFERROR(INDEX(계정매핑!$F$5:$F$504,MATCH($F3228&amp;"",계정매핑!$A$5:$A$504,0))&amp;"","비귀속"),""))</f>
        <v/>
      </c>
      <c r="AG3228" s="96">
        <f>IF($A3228="",0,IF(AND(AE3228&lt;&gt;"직접",IFERROR(INDEX(계정매핑!$G$5:$G$504,MATCH($F3228&amp;"",계정매핑!$A$5:$A$504,0))&amp;"","")="유지비",COUNTIF(계정대체기준!$A$6:$A$15,$N3228)&gt;0),IFERROR(INDEX(계정대체기준!$E$6:$E$15,MATCH(VALUE($A3228&amp;""),계정대체기준!$D$6:$D$15,0)),0),0))</f>
        <v/>
      </c>
      <c r="AH3228" s="64">
        <f>IF($A3228="","",IF(AD3228=0,"",IF(OR(COUNTIF(계정대체기준!$A$77:$A$86,$N3228)&gt;0,ISNUMBER(MATCH($X3228,계정대체기준!$D$77:$D$86,0)),ISNUMBER(MATCH($F3228,계정대체기준!$D$77:$D$86,0))),"Y","N")))</f>
        <v/>
      </c>
    </row>
    <row r="3229">
      <c r="A3229" s="92" t="n">
        <v>2026</v>
      </c>
      <c r="B3229" s="92" t="n">
        <v>3</v>
      </c>
      <c r="C3229" s="92" t="inlineStr">
        <is>
          <t>5100000507</t>
        </is>
      </c>
      <c r="D3229" s="95" t="n">
        <v>46088</v>
      </c>
      <c r="E3229" s="92" t="inlineStr">
        <is>
          <t>KR</t>
        </is>
      </c>
      <c r="F3229" s="92" t="n">
        <v>62301000</v>
      </c>
      <c r="G3229" s="92" t="n">
        <v>1701</v>
      </c>
      <c r="H3229" s="93" t="n">
        <v>252000</v>
      </c>
      <c r="I3229" s="92" t="inlineStr">
        <is>
          <t>3월 소모품 구입 - Q오피스</t>
        </is>
      </c>
      <c r="J3229" s="92" t="inlineStr">
        <is>
          <t>V10003</t>
        </is>
      </c>
      <c r="K3229" s="92" t="inlineStr">
        <is>
          <t>Q오피스</t>
        </is>
      </c>
      <c r="M3229" s="9">
        <f>IF($A3229="","",VALUE($A3229&amp;"")*12+VALUE($B3229&amp;""))</f>
        <v/>
      </c>
      <c r="N3229" s="64">
        <f>IF($A3229="","",IFERROR(INDEX(부서매핑!$C$5:$C$504,MATCH($G3229&amp;"",부서매핑!$A$5:$A$504,0)),"미매핑"))</f>
        <v/>
      </c>
      <c r="O3229" s="9">
        <f>IF($A3229="","",N3229&amp;"|"&amp;$F3229)</f>
        <v/>
      </c>
      <c r="P3229" s="94">
        <f>IF($A3229="",0,$H3229*설정!$C$23)</f>
        <v/>
      </c>
      <c r="Q3229" s="64">
        <f>IF($A3229="","",IF(O3229&lt;&gt;원인분석!$C$9,"",IF(AND(M3229&gt;=원인분석!$C$10,M3229&lt;=원인분석!$C$11),"당기",IF(AND(M3229&gt;=원인분석!$C$12,M3229&lt;=원인분석!$C$13),"비교",""))))</f>
        <v/>
      </c>
      <c r="R3229" s="9">
        <f>IF(Q3229="","",$K3229&amp;"")</f>
        <v/>
      </c>
      <c r="S3229" s="9">
        <f>IF(Q3229="","",IF(MATCH(R3229,$R$5:$R$100000,0)=ROW()-4,ROW(),""))</f>
        <v/>
      </c>
      <c r="T3229" s="9">
        <f>IF(Q3229="당기",ABS(P3229)+ROW()/1000000000,"")</f>
        <v/>
      </c>
      <c r="U3229" s="9">
        <f>IF(Q3229="비교",ABS(P3229)+ROW()/1000000000,"")</f>
        <v/>
      </c>
      <c r="V3229" s="64">
        <f>IF($A3229="","",IF(COUNTIF(변동분석!$E$7:$E$506,O3229)&gt;0,"Y","N"))</f>
        <v/>
      </c>
      <c r="W3229" s="64">
        <f>IF($A3229="","",IFERROR(INDEX(계정매핑!$D$5:$D$504,MATCH($F3229&amp;"",계정매핑!$A$5:$A$504,0)),"미매핑"))</f>
        <v/>
      </c>
      <c r="X3229" s="9">
        <f>IF($A3229="","",$F3229&amp;"")</f>
        <v/>
      </c>
      <c r="Y3229" s="94">
        <f>IF($A3229="",0,IF(AE3229="직접",IF(AF3229="비귀속",$P3229,0),$P3229*(1-AG3229)*IFERROR(INDEX(계정대체기준!$F$20:$F$49,MATCH($N3229,계정대체기준!$A$20:$A$49,0)),1)))</f>
        <v/>
      </c>
      <c r="Z3229" s="94">
        <f>IF($A3229="",0,IF(AE3229="직접",IF(AF3229="신계약비",$P3229,0),$P3229*(1-AG3229)*IFERROR(INDEX(계정대체기준!$C$20:$C$49,MATCH($N3229,계정대체기준!$A$20:$A$49,0)),0)))</f>
        <v/>
      </c>
      <c r="AA3229" s="94">
        <f>IF($A3229="",0,IF(AE3229="직접",IF(OR(AF3229="유지비",AF3229="손해조사비"),$P3229,0),$P3229*(1-AG3229)*IFERROR(INDEX(계정대체기준!$D$20:$D$49,MATCH($N3229,계정대체기준!$A$20:$A$49,0)),0)))</f>
        <v/>
      </c>
      <c r="AB3229" s="94">
        <f>IF($A3229="",0,IF(AE3229="직접",IF(AF3229="수금비",$P3229,0),$P3229*(1-AG3229)*IFERROR(INDEX(계정대체기준!$E$20:$E$49,MATCH($N3229,계정대체기준!$A$20:$A$49,0)),0)))</f>
        <v/>
      </c>
      <c r="AC3229" s="9">
        <f>IF(AND($A3229&lt;&gt;"",M3229=설정!$C$20,Z3229&gt;0),Z3229+ROW()/1000000000,"")</f>
        <v/>
      </c>
      <c r="AD3229" s="94">
        <f>IF($A3229="",0,$P3229*AG3229)</f>
        <v/>
      </c>
      <c r="AE3229" s="64">
        <f>IF($A3229="","",IFERROR(INDEX(계정매핑!$E$5:$E$504,MATCH($F3229&amp;"",계정매핑!$A$5:$A$504,0))&amp;"","공통비"))</f>
        <v/>
      </c>
      <c r="AF3229" s="64">
        <f>IF($A3229="","",IF(AE3229="직접",IFERROR(INDEX(계정매핑!$F$5:$F$504,MATCH($F3229&amp;"",계정매핑!$A$5:$A$504,0))&amp;"","비귀속"),""))</f>
        <v/>
      </c>
      <c r="AG3229" s="96">
        <f>IF($A3229="",0,IF(AND(AE3229&lt;&gt;"직접",IFERROR(INDEX(계정매핑!$G$5:$G$504,MATCH($F3229&amp;"",계정매핑!$A$5:$A$504,0))&amp;"","")="유지비",COUNTIF(계정대체기준!$A$6:$A$15,$N3229)&gt;0),IFERROR(INDEX(계정대체기준!$E$6:$E$15,MATCH(VALUE($A3229&amp;""),계정대체기준!$D$6:$D$15,0)),0),0))</f>
        <v/>
      </c>
      <c r="AH3229" s="64">
        <f>IF($A3229="","",IF(AD3229=0,"",IF(OR(COUNTIF(계정대체기준!$A$77:$A$86,$N3229)&gt;0,ISNUMBER(MATCH($X3229,계정대체기준!$D$77:$D$86,0)),ISNUMBER(MATCH($F3229,계정대체기준!$D$77:$D$86,0))),"Y","N")))</f>
        <v/>
      </c>
    </row>
    <row r="3230">
      <c r="A3230" s="92" t="n">
        <v>2026</v>
      </c>
      <c r="B3230" s="92" t="n">
        <v>3</v>
      </c>
      <c r="C3230" s="92" t="inlineStr">
        <is>
          <t>5100000508</t>
        </is>
      </c>
      <c r="D3230" s="95" t="n">
        <v>46088</v>
      </c>
      <c r="E3230" s="92" t="inlineStr">
        <is>
          <t>KR</t>
        </is>
      </c>
      <c r="F3230" s="92" t="n">
        <v>62501000</v>
      </c>
      <c r="G3230" s="92" t="n">
        <v>1701</v>
      </c>
      <c r="H3230" s="93" t="n">
        <v>119000</v>
      </c>
      <c r="I3230" s="92" t="inlineStr">
        <is>
          <t>3월 회의 다과 - (법인카드)</t>
        </is>
      </c>
      <c r="J3230" s="92" t="inlineStr">
        <is>
          <t>V10010</t>
        </is>
      </c>
      <c r="K3230" s="92" t="inlineStr">
        <is>
          <t>(법인카드)</t>
        </is>
      </c>
      <c r="M3230" s="9">
        <f>IF($A3230="","",VALUE($A3230&amp;"")*12+VALUE($B3230&amp;""))</f>
        <v/>
      </c>
      <c r="N3230" s="64">
        <f>IF($A3230="","",IFERROR(INDEX(부서매핑!$C$5:$C$504,MATCH($G3230&amp;"",부서매핑!$A$5:$A$504,0)),"미매핑"))</f>
        <v/>
      </c>
      <c r="O3230" s="9">
        <f>IF($A3230="","",N3230&amp;"|"&amp;$F3230)</f>
        <v/>
      </c>
      <c r="P3230" s="94">
        <f>IF($A3230="",0,$H3230*설정!$C$23)</f>
        <v/>
      </c>
      <c r="Q3230" s="64">
        <f>IF($A3230="","",IF(O3230&lt;&gt;원인분석!$C$9,"",IF(AND(M3230&gt;=원인분석!$C$10,M3230&lt;=원인분석!$C$11),"당기",IF(AND(M3230&gt;=원인분석!$C$12,M3230&lt;=원인분석!$C$13),"비교",""))))</f>
        <v/>
      </c>
      <c r="R3230" s="9">
        <f>IF(Q3230="","",$K3230&amp;"")</f>
        <v/>
      </c>
      <c r="S3230" s="9">
        <f>IF(Q3230="","",IF(MATCH(R3230,$R$5:$R$100000,0)=ROW()-4,ROW(),""))</f>
        <v/>
      </c>
      <c r="T3230" s="9">
        <f>IF(Q3230="당기",ABS(P3230)+ROW()/1000000000,"")</f>
        <v/>
      </c>
      <c r="U3230" s="9">
        <f>IF(Q3230="비교",ABS(P3230)+ROW()/1000000000,"")</f>
        <v/>
      </c>
      <c r="V3230" s="64">
        <f>IF($A3230="","",IF(COUNTIF(변동분석!$E$7:$E$506,O3230)&gt;0,"Y","N"))</f>
        <v/>
      </c>
      <c r="W3230" s="64">
        <f>IF($A3230="","",IFERROR(INDEX(계정매핑!$D$5:$D$504,MATCH($F3230&amp;"",계정매핑!$A$5:$A$504,0)),"미매핑"))</f>
        <v/>
      </c>
      <c r="X3230" s="9">
        <f>IF($A3230="","",$F3230&amp;"")</f>
        <v/>
      </c>
      <c r="Y3230" s="94">
        <f>IF($A3230="",0,IF(AE3230="직접",IF(AF3230="비귀속",$P3230,0),$P3230*(1-AG3230)*IFERROR(INDEX(계정대체기준!$F$20:$F$49,MATCH($N3230,계정대체기준!$A$20:$A$49,0)),1)))</f>
        <v/>
      </c>
      <c r="Z3230" s="94">
        <f>IF($A3230="",0,IF(AE3230="직접",IF(AF3230="신계약비",$P3230,0),$P3230*(1-AG3230)*IFERROR(INDEX(계정대체기준!$C$20:$C$49,MATCH($N3230,계정대체기준!$A$20:$A$49,0)),0)))</f>
        <v/>
      </c>
      <c r="AA3230" s="94">
        <f>IF($A3230="",0,IF(AE3230="직접",IF(OR(AF3230="유지비",AF3230="손해조사비"),$P3230,0),$P3230*(1-AG3230)*IFERROR(INDEX(계정대체기준!$D$20:$D$49,MATCH($N3230,계정대체기준!$A$20:$A$49,0)),0)))</f>
        <v/>
      </c>
      <c r="AB3230" s="94">
        <f>IF($A3230="",0,IF(AE3230="직접",IF(AF3230="수금비",$P3230,0),$P3230*(1-AG3230)*IFERROR(INDEX(계정대체기준!$E$20:$E$49,MATCH($N3230,계정대체기준!$A$20:$A$49,0)),0)))</f>
        <v/>
      </c>
      <c r="AC3230" s="9">
        <f>IF(AND($A3230&lt;&gt;"",M3230=설정!$C$20,Z3230&gt;0),Z3230+ROW()/1000000000,"")</f>
        <v/>
      </c>
      <c r="AD3230" s="94">
        <f>IF($A3230="",0,$P3230*AG3230)</f>
        <v/>
      </c>
      <c r="AE3230" s="64">
        <f>IF($A3230="","",IFERROR(INDEX(계정매핑!$E$5:$E$504,MATCH($F3230&amp;"",계정매핑!$A$5:$A$504,0))&amp;"","공통비"))</f>
        <v/>
      </c>
      <c r="AF3230" s="64">
        <f>IF($A3230="","",IF(AE3230="직접",IFERROR(INDEX(계정매핑!$F$5:$F$504,MATCH($F3230&amp;"",계정매핑!$A$5:$A$504,0))&amp;"","비귀속"),""))</f>
        <v/>
      </c>
      <c r="AG3230" s="96">
        <f>IF($A3230="",0,IF(AND(AE3230&lt;&gt;"직접",IFERROR(INDEX(계정매핑!$G$5:$G$504,MATCH($F3230&amp;"",계정매핑!$A$5:$A$504,0))&amp;"","")="유지비",COUNTIF(계정대체기준!$A$6:$A$15,$N3230)&gt;0),IFERROR(INDEX(계정대체기준!$E$6:$E$15,MATCH(VALUE($A3230&amp;""),계정대체기준!$D$6:$D$15,0)),0),0))</f>
        <v/>
      </c>
      <c r="AH3230" s="64">
        <f>IF($A3230="","",IF(AD3230=0,"",IF(OR(COUNTIF(계정대체기준!$A$77:$A$86,$N3230)&gt;0,ISNUMBER(MATCH($X3230,계정대체기준!$D$77:$D$86,0)),ISNUMBER(MATCH($F3230,계정대체기준!$D$77:$D$86,0))),"Y","N")))</f>
        <v/>
      </c>
    </row>
    <row r="3231">
      <c r="A3231" s="92" t="n">
        <v>2026</v>
      </c>
      <c r="B3231" s="92" t="n">
        <v>3</v>
      </c>
      <c r="C3231" s="92" t="inlineStr">
        <is>
          <t>5100000509</t>
        </is>
      </c>
      <c r="D3231" s="95" t="n">
        <v>46088</v>
      </c>
      <c r="E3231" s="92" t="inlineStr">
        <is>
          <t>KR</t>
        </is>
      </c>
      <c r="F3231" s="92" t="n">
        <v>62501000</v>
      </c>
      <c r="G3231" s="92" t="n">
        <v>1701</v>
      </c>
      <c r="H3231" s="93" t="n">
        <v>133000</v>
      </c>
      <c r="I3231" s="92" t="inlineStr">
        <is>
          <t>3월 회의 다과 - T케이터링</t>
        </is>
      </c>
      <c r="J3231" s="92" t="inlineStr">
        <is>
          <t>V10005</t>
        </is>
      </c>
      <c r="K3231" s="92" t="inlineStr">
        <is>
          <t>T케이터링</t>
        </is>
      </c>
      <c r="M3231" s="9">
        <f>IF($A3231="","",VALUE($A3231&amp;"")*12+VALUE($B3231&amp;""))</f>
        <v/>
      </c>
      <c r="N3231" s="64">
        <f>IF($A3231="","",IFERROR(INDEX(부서매핑!$C$5:$C$504,MATCH($G3231&amp;"",부서매핑!$A$5:$A$504,0)),"미매핑"))</f>
        <v/>
      </c>
      <c r="O3231" s="9">
        <f>IF($A3231="","",N3231&amp;"|"&amp;$F3231)</f>
        <v/>
      </c>
      <c r="P3231" s="94">
        <f>IF($A3231="",0,$H3231*설정!$C$23)</f>
        <v/>
      </c>
      <c r="Q3231" s="64">
        <f>IF($A3231="","",IF(O3231&lt;&gt;원인분석!$C$9,"",IF(AND(M3231&gt;=원인분석!$C$10,M3231&lt;=원인분석!$C$11),"당기",IF(AND(M3231&gt;=원인분석!$C$12,M3231&lt;=원인분석!$C$13),"비교",""))))</f>
        <v/>
      </c>
      <c r="R3231" s="9">
        <f>IF(Q3231="","",$K3231&amp;"")</f>
        <v/>
      </c>
      <c r="S3231" s="9">
        <f>IF(Q3231="","",IF(MATCH(R3231,$R$5:$R$100000,0)=ROW()-4,ROW(),""))</f>
        <v/>
      </c>
      <c r="T3231" s="9">
        <f>IF(Q3231="당기",ABS(P3231)+ROW()/1000000000,"")</f>
        <v/>
      </c>
      <c r="U3231" s="9">
        <f>IF(Q3231="비교",ABS(P3231)+ROW()/1000000000,"")</f>
        <v/>
      </c>
      <c r="V3231" s="64">
        <f>IF($A3231="","",IF(COUNTIF(변동분석!$E$7:$E$506,O3231)&gt;0,"Y","N"))</f>
        <v/>
      </c>
      <c r="W3231" s="64">
        <f>IF($A3231="","",IFERROR(INDEX(계정매핑!$D$5:$D$504,MATCH($F3231&amp;"",계정매핑!$A$5:$A$504,0)),"미매핑"))</f>
        <v/>
      </c>
      <c r="X3231" s="9">
        <f>IF($A3231="","",$F3231&amp;"")</f>
        <v/>
      </c>
      <c r="Y3231" s="94">
        <f>IF($A3231="",0,IF(AE3231="직접",IF(AF3231="비귀속",$P3231,0),$P3231*(1-AG3231)*IFERROR(INDEX(계정대체기준!$F$20:$F$49,MATCH($N3231,계정대체기준!$A$20:$A$49,0)),1)))</f>
        <v/>
      </c>
      <c r="Z3231" s="94">
        <f>IF($A3231="",0,IF(AE3231="직접",IF(AF3231="신계약비",$P3231,0),$P3231*(1-AG3231)*IFERROR(INDEX(계정대체기준!$C$20:$C$49,MATCH($N3231,계정대체기준!$A$20:$A$49,0)),0)))</f>
        <v/>
      </c>
      <c r="AA3231" s="94">
        <f>IF($A3231="",0,IF(AE3231="직접",IF(OR(AF3231="유지비",AF3231="손해조사비"),$P3231,0),$P3231*(1-AG3231)*IFERROR(INDEX(계정대체기준!$D$20:$D$49,MATCH($N3231,계정대체기준!$A$20:$A$49,0)),0)))</f>
        <v/>
      </c>
      <c r="AB3231" s="94">
        <f>IF($A3231="",0,IF(AE3231="직접",IF(AF3231="수금비",$P3231,0),$P3231*(1-AG3231)*IFERROR(INDEX(계정대체기준!$E$20:$E$49,MATCH($N3231,계정대체기준!$A$20:$A$49,0)),0)))</f>
        <v/>
      </c>
      <c r="AC3231" s="9">
        <f>IF(AND($A3231&lt;&gt;"",M3231=설정!$C$20,Z3231&gt;0),Z3231+ROW()/1000000000,"")</f>
        <v/>
      </c>
      <c r="AD3231" s="94">
        <f>IF($A3231="",0,$P3231*AG3231)</f>
        <v/>
      </c>
      <c r="AE3231" s="64">
        <f>IF($A3231="","",IFERROR(INDEX(계정매핑!$E$5:$E$504,MATCH($F3231&amp;"",계정매핑!$A$5:$A$504,0))&amp;"","공통비"))</f>
        <v/>
      </c>
      <c r="AF3231" s="64">
        <f>IF($A3231="","",IF(AE3231="직접",IFERROR(INDEX(계정매핑!$F$5:$F$504,MATCH($F3231&amp;"",계정매핑!$A$5:$A$504,0))&amp;"","비귀속"),""))</f>
        <v/>
      </c>
      <c r="AG3231" s="96">
        <f>IF($A3231="",0,IF(AND(AE3231&lt;&gt;"직접",IFERROR(INDEX(계정매핑!$G$5:$G$504,MATCH($F3231&amp;"",계정매핑!$A$5:$A$504,0))&amp;"","")="유지비",COUNTIF(계정대체기준!$A$6:$A$15,$N3231)&gt;0),IFERROR(INDEX(계정대체기준!$E$6:$E$15,MATCH(VALUE($A3231&amp;""),계정대체기준!$D$6:$D$15,0)),0),0))</f>
        <v/>
      </c>
      <c r="AH3231" s="64">
        <f>IF($A3231="","",IF(AD3231=0,"",IF(OR(COUNTIF(계정대체기준!$A$77:$A$86,$N3231)&gt;0,ISNUMBER(MATCH($X3231,계정대체기준!$D$77:$D$86,0)),ISNUMBER(MATCH($F3231,계정대체기준!$D$77:$D$86,0))),"Y","N")))</f>
        <v/>
      </c>
    </row>
    <row r="3232">
      <c r="A3232" s="92" t="n">
        <v>2026</v>
      </c>
      <c r="B3232" s="92" t="n">
        <v>3</v>
      </c>
      <c r="C3232" s="92" t="inlineStr">
        <is>
          <t>5100000510</t>
        </is>
      </c>
      <c r="D3232" s="95" t="n">
        <v>46088</v>
      </c>
      <c r="E3232" s="92" t="inlineStr">
        <is>
          <t>KR</t>
        </is>
      </c>
      <c r="F3232" s="92" t="n">
        <v>62901000</v>
      </c>
      <c r="G3232" s="92" t="n">
        <v>1101</v>
      </c>
      <c r="H3232" s="93" t="n">
        <v>4364000</v>
      </c>
      <c r="I3232" s="92" t="inlineStr">
        <is>
          <t>3월 자문 수수료 - K회계법인</t>
        </is>
      </c>
      <c r="J3232" s="92" t="inlineStr">
        <is>
          <t>V10011</t>
        </is>
      </c>
      <c r="K3232" s="92" t="inlineStr">
        <is>
          <t>K회계법인</t>
        </is>
      </c>
      <c r="M3232" s="9">
        <f>IF($A3232="","",VALUE($A3232&amp;"")*12+VALUE($B3232&amp;""))</f>
        <v/>
      </c>
      <c r="N3232" s="64">
        <f>IF($A3232="","",IFERROR(INDEX(부서매핑!$C$5:$C$504,MATCH($G3232&amp;"",부서매핑!$A$5:$A$504,0)),"미매핑"))</f>
        <v/>
      </c>
      <c r="O3232" s="9">
        <f>IF($A3232="","",N3232&amp;"|"&amp;$F3232)</f>
        <v/>
      </c>
      <c r="P3232" s="94">
        <f>IF($A3232="",0,$H3232*설정!$C$23)</f>
        <v/>
      </c>
      <c r="Q3232" s="64">
        <f>IF($A3232="","",IF(O3232&lt;&gt;원인분석!$C$9,"",IF(AND(M3232&gt;=원인분석!$C$10,M3232&lt;=원인분석!$C$11),"당기",IF(AND(M3232&gt;=원인분석!$C$12,M3232&lt;=원인분석!$C$13),"비교",""))))</f>
        <v/>
      </c>
      <c r="R3232" s="9">
        <f>IF(Q3232="","",$K3232&amp;"")</f>
        <v/>
      </c>
      <c r="S3232" s="9">
        <f>IF(Q3232="","",IF(MATCH(R3232,$R$5:$R$100000,0)=ROW()-4,ROW(),""))</f>
        <v/>
      </c>
      <c r="T3232" s="9">
        <f>IF(Q3232="당기",ABS(P3232)+ROW()/1000000000,"")</f>
        <v/>
      </c>
      <c r="U3232" s="9">
        <f>IF(Q3232="비교",ABS(P3232)+ROW()/1000000000,"")</f>
        <v/>
      </c>
      <c r="V3232" s="64">
        <f>IF($A3232="","",IF(COUNTIF(변동분석!$E$7:$E$506,O3232)&gt;0,"Y","N"))</f>
        <v/>
      </c>
      <c r="W3232" s="64">
        <f>IF($A3232="","",IFERROR(INDEX(계정매핑!$D$5:$D$504,MATCH($F3232&amp;"",계정매핑!$A$5:$A$504,0)),"미매핑"))</f>
        <v/>
      </c>
      <c r="X3232" s="9">
        <f>IF($A3232="","",$F3232&amp;"")</f>
        <v/>
      </c>
      <c r="Y3232" s="94">
        <f>IF($A3232="",0,IF(AE3232="직접",IF(AF3232="비귀속",$P3232,0),$P3232*(1-AG3232)*IFERROR(INDEX(계정대체기준!$F$20:$F$49,MATCH($N3232,계정대체기준!$A$20:$A$49,0)),1)))</f>
        <v/>
      </c>
      <c r="Z3232" s="94">
        <f>IF($A3232="",0,IF(AE3232="직접",IF(AF3232="신계약비",$P3232,0),$P3232*(1-AG3232)*IFERROR(INDEX(계정대체기준!$C$20:$C$49,MATCH($N3232,계정대체기준!$A$20:$A$49,0)),0)))</f>
        <v/>
      </c>
      <c r="AA3232" s="94">
        <f>IF($A3232="",0,IF(AE3232="직접",IF(OR(AF3232="유지비",AF3232="손해조사비"),$P3232,0),$P3232*(1-AG3232)*IFERROR(INDEX(계정대체기준!$D$20:$D$49,MATCH($N3232,계정대체기준!$A$20:$A$49,0)),0)))</f>
        <v/>
      </c>
      <c r="AB3232" s="94">
        <f>IF($A3232="",0,IF(AE3232="직접",IF(AF3232="수금비",$P3232,0),$P3232*(1-AG3232)*IFERROR(INDEX(계정대체기준!$E$20:$E$49,MATCH($N3232,계정대체기준!$A$20:$A$49,0)),0)))</f>
        <v/>
      </c>
      <c r="AC3232" s="9">
        <f>IF(AND($A3232&lt;&gt;"",M3232=설정!$C$20,Z3232&gt;0),Z3232+ROW()/1000000000,"")</f>
        <v/>
      </c>
      <c r="AD3232" s="94">
        <f>IF($A3232="",0,$P3232*AG3232)</f>
        <v/>
      </c>
      <c r="AE3232" s="64">
        <f>IF($A3232="","",IFERROR(INDEX(계정매핑!$E$5:$E$504,MATCH($F3232&amp;"",계정매핑!$A$5:$A$504,0))&amp;"","공통비"))</f>
        <v/>
      </c>
      <c r="AF3232" s="64">
        <f>IF($A3232="","",IF(AE3232="직접",IFERROR(INDEX(계정매핑!$F$5:$F$504,MATCH($F3232&amp;"",계정매핑!$A$5:$A$504,0))&amp;"","비귀속"),""))</f>
        <v/>
      </c>
      <c r="AG3232" s="96">
        <f>IF($A3232="",0,IF(AND(AE3232&lt;&gt;"직접",IFERROR(INDEX(계정매핑!$G$5:$G$504,MATCH($F3232&amp;"",계정매핑!$A$5:$A$504,0))&amp;"","")="유지비",COUNTIF(계정대체기준!$A$6:$A$15,$N3232)&gt;0),IFERROR(INDEX(계정대체기준!$E$6:$E$15,MATCH(VALUE($A3232&amp;""),계정대체기준!$D$6:$D$15,0)),0),0))</f>
        <v/>
      </c>
      <c r="AH3232" s="64">
        <f>IF($A3232="","",IF(AD3232=0,"",IF(OR(COUNTIF(계정대체기준!$A$77:$A$86,$N3232)&gt;0,ISNUMBER(MATCH($X3232,계정대체기준!$D$77:$D$86,0)),ISNUMBER(MATCH($F3232,계정대체기준!$D$77:$D$86,0))),"Y","N")))</f>
        <v/>
      </c>
    </row>
    <row r="3233">
      <c r="A3233" s="92" t="n">
        <v>2026</v>
      </c>
      <c r="B3233" s="92" t="n">
        <v>3</v>
      </c>
      <c r="C3233" s="92" t="inlineStr">
        <is>
          <t>5100000511</t>
        </is>
      </c>
      <c r="D3233" s="95" t="n">
        <v>46089</v>
      </c>
      <c r="E3233" s="92" t="inlineStr">
        <is>
          <t>KR</t>
        </is>
      </c>
      <c r="F3233" s="92" t="n">
        <v>62101000</v>
      </c>
      <c r="G3233" s="92" t="n">
        <v>1101</v>
      </c>
      <c r="H3233" s="93" t="n">
        <v>460000</v>
      </c>
      <c r="I3233" s="92" t="inlineStr">
        <is>
          <t>3월 국내출장 - (법인카드)</t>
        </is>
      </c>
      <c r="J3233" s="92" t="inlineStr">
        <is>
          <t>V10010</t>
        </is>
      </c>
      <c r="K3233" s="92" t="inlineStr">
        <is>
          <t>(법인카드)</t>
        </is>
      </c>
      <c r="M3233" s="9">
        <f>IF($A3233="","",VALUE($A3233&amp;"")*12+VALUE($B3233&amp;""))</f>
        <v/>
      </c>
      <c r="N3233" s="64">
        <f>IF($A3233="","",IFERROR(INDEX(부서매핑!$C$5:$C$504,MATCH($G3233&amp;"",부서매핑!$A$5:$A$504,0)),"미매핑"))</f>
        <v/>
      </c>
      <c r="O3233" s="9">
        <f>IF($A3233="","",N3233&amp;"|"&amp;$F3233)</f>
        <v/>
      </c>
      <c r="P3233" s="94">
        <f>IF($A3233="",0,$H3233*설정!$C$23)</f>
        <v/>
      </c>
      <c r="Q3233" s="64">
        <f>IF($A3233="","",IF(O3233&lt;&gt;원인분석!$C$9,"",IF(AND(M3233&gt;=원인분석!$C$10,M3233&lt;=원인분석!$C$11),"당기",IF(AND(M3233&gt;=원인분석!$C$12,M3233&lt;=원인분석!$C$13),"비교",""))))</f>
        <v/>
      </c>
      <c r="R3233" s="9">
        <f>IF(Q3233="","",$K3233&amp;"")</f>
        <v/>
      </c>
      <c r="S3233" s="9">
        <f>IF(Q3233="","",IF(MATCH(R3233,$R$5:$R$100000,0)=ROW()-4,ROW(),""))</f>
        <v/>
      </c>
      <c r="T3233" s="9">
        <f>IF(Q3233="당기",ABS(P3233)+ROW()/1000000000,"")</f>
        <v/>
      </c>
      <c r="U3233" s="9">
        <f>IF(Q3233="비교",ABS(P3233)+ROW()/1000000000,"")</f>
        <v/>
      </c>
      <c r="V3233" s="64">
        <f>IF($A3233="","",IF(COUNTIF(변동분석!$E$7:$E$506,O3233)&gt;0,"Y","N"))</f>
        <v/>
      </c>
      <c r="W3233" s="64">
        <f>IF($A3233="","",IFERROR(INDEX(계정매핑!$D$5:$D$504,MATCH($F3233&amp;"",계정매핑!$A$5:$A$504,0)),"미매핑"))</f>
        <v/>
      </c>
      <c r="X3233" s="9">
        <f>IF($A3233="","",$F3233&amp;"")</f>
        <v/>
      </c>
      <c r="Y3233" s="94">
        <f>IF($A3233="",0,IF(AE3233="직접",IF(AF3233="비귀속",$P3233,0),$P3233*(1-AG3233)*IFERROR(INDEX(계정대체기준!$F$20:$F$49,MATCH($N3233,계정대체기준!$A$20:$A$49,0)),1)))</f>
        <v/>
      </c>
      <c r="Z3233" s="94">
        <f>IF($A3233="",0,IF(AE3233="직접",IF(AF3233="신계약비",$P3233,0),$P3233*(1-AG3233)*IFERROR(INDEX(계정대체기준!$C$20:$C$49,MATCH($N3233,계정대체기준!$A$20:$A$49,0)),0)))</f>
        <v/>
      </c>
      <c r="AA3233" s="94">
        <f>IF($A3233="",0,IF(AE3233="직접",IF(OR(AF3233="유지비",AF3233="손해조사비"),$P3233,0),$P3233*(1-AG3233)*IFERROR(INDEX(계정대체기준!$D$20:$D$49,MATCH($N3233,계정대체기준!$A$20:$A$49,0)),0)))</f>
        <v/>
      </c>
      <c r="AB3233" s="94">
        <f>IF($A3233="",0,IF(AE3233="직접",IF(AF3233="수금비",$P3233,0),$P3233*(1-AG3233)*IFERROR(INDEX(계정대체기준!$E$20:$E$49,MATCH($N3233,계정대체기준!$A$20:$A$49,0)),0)))</f>
        <v/>
      </c>
      <c r="AC3233" s="9">
        <f>IF(AND($A3233&lt;&gt;"",M3233=설정!$C$20,Z3233&gt;0),Z3233+ROW()/1000000000,"")</f>
        <v/>
      </c>
      <c r="AD3233" s="94">
        <f>IF($A3233="",0,$P3233*AG3233)</f>
        <v/>
      </c>
      <c r="AE3233" s="64">
        <f>IF($A3233="","",IFERROR(INDEX(계정매핑!$E$5:$E$504,MATCH($F3233&amp;"",계정매핑!$A$5:$A$504,0))&amp;"","공통비"))</f>
        <v/>
      </c>
      <c r="AF3233" s="64">
        <f>IF($A3233="","",IF(AE3233="직접",IFERROR(INDEX(계정매핑!$F$5:$F$504,MATCH($F3233&amp;"",계정매핑!$A$5:$A$504,0))&amp;"","비귀속"),""))</f>
        <v/>
      </c>
      <c r="AG3233" s="96">
        <f>IF($A3233="",0,IF(AND(AE3233&lt;&gt;"직접",IFERROR(INDEX(계정매핑!$G$5:$G$504,MATCH($F3233&amp;"",계정매핑!$A$5:$A$504,0))&amp;"","")="유지비",COUNTIF(계정대체기준!$A$6:$A$15,$N3233)&gt;0),IFERROR(INDEX(계정대체기준!$E$6:$E$15,MATCH(VALUE($A3233&amp;""),계정대체기준!$D$6:$D$15,0)),0),0))</f>
        <v/>
      </c>
      <c r="AH3233" s="64">
        <f>IF($A3233="","",IF(AD3233=0,"",IF(OR(COUNTIF(계정대체기준!$A$77:$A$86,$N3233)&gt;0,ISNUMBER(MATCH($X3233,계정대체기준!$D$77:$D$86,0)),ISNUMBER(MATCH($F3233,계정대체기준!$D$77:$D$86,0))),"Y","N")))</f>
        <v/>
      </c>
    </row>
    <row r="3234">
      <c r="A3234" s="92" t="n">
        <v>2026</v>
      </c>
      <c r="B3234" s="92" t="n">
        <v>3</v>
      </c>
      <c r="C3234" s="92" t="inlineStr">
        <is>
          <t>5100000512</t>
        </is>
      </c>
      <c r="D3234" s="95" t="n">
        <v>46089</v>
      </c>
      <c r="E3234" s="92" t="inlineStr">
        <is>
          <t>KR</t>
        </is>
      </c>
      <c r="F3234" s="92" t="n">
        <v>62101000</v>
      </c>
      <c r="G3234" s="92" t="n">
        <v>1601</v>
      </c>
      <c r="H3234" s="93" t="n">
        <v>1452000</v>
      </c>
      <c r="I3234" s="92" t="inlineStr">
        <is>
          <t>3월 국내출장 - (법인카드)</t>
        </is>
      </c>
      <c r="J3234" s="92" t="inlineStr">
        <is>
          <t>V10010</t>
        </is>
      </c>
      <c r="K3234" s="92" t="inlineStr">
        <is>
          <t>(법인카드)</t>
        </is>
      </c>
      <c r="M3234" s="9">
        <f>IF($A3234="","",VALUE($A3234&amp;"")*12+VALUE($B3234&amp;""))</f>
        <v/>
      </c>
      <c r="N3234" s="64">
        <f>IF($A3234="","",IFERROR(INDEX(부서매핑!$C$5:$C$504,MATCH($G3234&amp;"",부서매핑!$A$5:$A$504,0)),"미매핑"))</f>
        <v/>
      </c>
      <c r="O3234" s="9">
        <f>IF($A3234="","",N3234&amp;"|"&amp;$F3234)</f>
        <v/>
      </c>
      <c r="P3234" s="94">
        <f>IF($A3234="",0,$H3234*설정!$C$23)</f>
        <v/>
      </c>
      <c r="Q3234" s="64">
        <f>IF($A3234="","",IF(O3234&lt;&gt;원인분석!$C$9,"",IF(AND(M3234&gt;=원인분석!$C$10,M3234&lt;=원인분석!$C$11),"당기",IF(AND(M3234&gt;=원인분석!$C$12,M3234&lt;=원인분석!$C$13),"비교",""))))</f>
        <v/>
      </c>
      <c r="R3234" s="9">
        <f>IF(Q3234="","",$K3234&amp;"")</f>
        <v/>
      </c>
      <c r="S3234" s="9">
        <f>IF(Q3234="","",IF(MATCH(R3234,$R$5:$R$100000,0)=ROW()-4,ROW(),""))</f>
        <v/>
      </c>
      <c r="T3234" s="9">
        <f>IF(Q3234="당기",ABS(P3234)+ROW()/1000000000,"")</f>
        <v/>
      </c>
      <c r="U3234" s="9">
        <f>IF(Q3234="비교",ABS(P3234)+ROW()/1000000000,"")</f>
        <v/>
      </c>
      <c r="V3234" s="64">
        <f>IF($A3234="","",IF(COUNTIF(변동분석!$E$7:$E$506,O3234)&gt;0,"Y","N"))</f>
        <v/>
      </c>
      <c r="W3234" s="64">
        <f>IF($A3234="","",IFERROR(INDEX(계정매핑!$D$5:$D$504,MATCH($F3234&amp;"",계정매핑!$A$5:$A$504,0)),"미매핑"))</f>
        <v/>
      </c>
      <c r="X3234" s="9">
        <f>IF($A3234="","",$F3234&amp;"")</f>
        <v/>
      </c>
      <c r="Y3234" s="94">
        <f>IF($A3234="",0,IF(AE3234="직접",IF(AF3234="비귀속",$P3234,0),$P3234*(1-AG3234)*IFERROR(INDEX(계정대체기준!$F$20:$F$49,MATCH($N3234,계정대체기준!$A$20:$A$49,0)),1)))</f>
        <v/>
      </c>
      <c r="Z3234" s="94">
        <f>IF($A3234="",0,IF(AE3234="직접",IF(AF3234="신계약비",$P3234,0),$P3234*(1-AG3234)*IFERROR(INDEX(계정대체기준!$C$20:$C$49,MATCH($N3234,계정대체기준!$A$20:$A$49,0)),0)))</f>
        <v/>
      </c>
      <c r="AA3234" s="94">
        <f>IF($A3234="",0,IF(AE3234="직접",IF(OR(AF3234="유지비",AF3234="손해조사비"),$P3234,0),$P3234*(1-AG3234)*IFERROR(INDEX(계정대체기준!$D$20:$D$49,MATCH($N3234,계정대체기준!$A$20:$A$49,0)),0)))</f>
        <v/>
      </c>
      <c r="AB3234" s="94">
        <f>IF($A3234="",0,IF(AE3234="직접",IF(AF3234="수금비",$P3234,0),$P3234*(1-AG3234)*IFERROR(INDEX(계정대체기준!$E$20:$E$49,MATCH($N3234,계정대체기준!$A$20:$A$49,0)),0)))</f>
        <v/>
      </c>
      <c r="AC3234" s="9">
        <f>IF(AND($A3234&lt;&gt;"",M3234=설정!$C$20,Z3234&gt;0),Z3234+ROW()/1000000000,"")</f>
        <v/>
      </c>
      <c r="AD3234" s="94">
        <f>IF($A3234="",0,$P3234*AG3234)</f>
        <v/>
      </c>
      <c r="AE3234" s="64">
        <f>IF($A3234="","",IFERROR(INDEX(계정매핑!$E$5:$E$504,MATCH($F3234&amp;"",계정매핑!$A$5:$A$504,0))&amp;"","공통비"))</f>
        <v/>
      </c>
      <c r="AF3234" s="64">
        <f>IF($A3234="","",IF(AE3234="직접",IFERROR(INDEX(계정매핑!$F$5:$F$504,MATCH($F3234&amp;"",계정매핑!$A$5:$A$504,0))&amp;"","비귀속"),""))</f>
        <v/>
      </c>
      <c r="AG3234" s="96">
        <f>IF($A3234="",0,IF(AND(AE3234&lt;&gt;"직접",IFERROR(INDEX(계정매핑!$G$5:$G$504,MATCH($F3234&amp;"",계정매핑!$A$5:$A$504,0))&amp;"","")="유지비",COUNTIF(계정대체기준!$A$6:$A$15,$N3234)&gt;0),IFERROR(INDEX(계정대체기준!$E$6:$E$15,MATCH(VALUE($A3234&amp;""),계정대체기준!$D$6:$D$15,0)),0),0))</f>
        <v/>
      </c>
      <c r="AH3234" s="64">
        <f>IF($A3234="","",IF(AD3234=0,"",IF(OR(COUNTIF(계정대체기준!$A$77:$A$86,$N3234)&gt;0,ISNUMBER(MATCH($X3234,계정대체기준!$D$77:$D$86,0)),ISNUMBER(MATCH($F3234,계정대체기준!$D$77:$D$86,0))),"Y","N")))</f>
        <v/>
      </c>
    </row>
    <row r="3235">
      <c r="A3235" s="92" t="n">
        <v>2026</v>
      </c>
      <c r="B3235" s="92" t="n">
        <v>3</v>
      </c>
      <c r="C3235" s="92" t="inlineStr">
        <is>
          <t>5100000513</t>
        </is>
      </c>
      <c r="D3235" s="95" t="n">
        <v>46089</v>
      </c>
      <c r="E3235" s="92" t="inlineStr">
        <is>
          <t>KR</t>
        </is>
      </c>
      <c r="F3235" s="92" t="n">
        <v>62101000</v>
      </c>
      <c r="G3235" s="92" t="n">
        <v>1602</v>
      </c>
      <c r="H3235" s="93" t="n">
        <v>1447000</v>
      </c>
      <c r="I3235" s="92" t="inlineStr">
        <is>
          <t>3월 국내출장 - L여행사</t>
        </is>
      </c>
      <c r="J3235" s="92" t="inlineStr">
        <is>
          <t>V10018</t>
        </is>
      </c>
      <c r="K3235" s="92" t="inlineStr">
        <is>
          <t>L여행사</t>
        </is>
      </c>
      <c r="M3235" s="9">
        <f>IF($A3235="","",VALUE($A3235&amp;"")*12+VALUE($B3235&amp;""))</f>
        <v/>
      </c>
      <c r="N3235" s="64">
        <f>IF($A3235="","",IFERROR(INDEX(부서매핑!$C$5:$C$504,MATCH($G3235&amp;"",부서매핑!$A$5:$A$504,0)),"미매핑"))</f>
        <v/>
      </c>
      <c r="O3235" s="9">
        <f>IF($A3235="","",N3235&amp;"|"&amp;$F3235)</f>
        <v/>
      </c>
      <c r="P3235" s="94">
        <f>IF($A3235="",0,$H3235*설정!$C$23)</f>
        <v/>
      </c>
      <c r="Q3235" s="64">
        <f>IF($A3235="","",IF(O3235&lt;&gt;원인분석!$C$9,"",IF(AND(M3235&gt;=원인분석!$C$10,M3235&lt;=원인분석!$C$11),"당기",IF(AND(M3235&gt;=원인분석!$C$12,M3235&lt;=원인분석!$C$13),"비교",""))))</f>
        <v/>
      </c>
      <c r="R3235" s="9">
        <f>IF(Q3235="","",$K3235&amp;"")</f>
        <v/>
      </c>
      <c r="S3235" s="9">
        <f>IF(Q3235="","",IF(MATCH(R3235,$R$5:$R$100000,0)=ROW()-4,ROW(),""))</f>
        <v/>
      </c>
      <c r="T3235" s="9">
        <f>IF(Q3235="당기",ABS(P3235)+ROW()/1000000000,"")</f>
        <v/>
      </c>
      <c r="U3235" s="9">
        <f>IF(Q3235="비교",ABS(P3235)+ROW()/1000000000,"")</f>
        <v/>
      </c>
      <c r="V3235" s="64">
        <f>IF($A3235="","",IF(COUNTIF(변동분석!$E$7:$E$506,O3235)&gt;0,"Y","N"))</f>
        <v/>
      </c>
      <c r="W3235" s="64">
        <f>IF($A3235="","",IFERROR(INDEX(계정매핑!$D$5:$D$504,MATCH($F3235&amp;"",계정매핑!$A$5:$A$504,0)),"미매핑"))</f>
        <v/>
      </c>
      <c r="X3235" s="9">
        <f>IF($A3235="","",$F3235&amp;"")</f>
        <v/>
      </c>
      <c r="Y3235" s="94">
        <f>IF($A3235="",0,IF(AE3235="직접",IF(AF3235="비귀속",$P3235,0),$P3235*(1-AG3235)*IFERROR(INDEX(계정대체기준!$F$20:$F$49,MATCH($N3235,계정대체기준!$A$20:$A$49,0)),1)))</f>
        <v/>
      </c>
      <c r="Z3235" s="94">
        <f>IF($A3235="",0,IF(AE3235="직접",IF(AF3235="신계약비",$P3235,0),$P3235*(1-AG3235)*IFERROR(INDEX(계정대체기준!$C$20:$C$49,MATCH($N3235,계정대체기준!$A$20:$A$49,0)),0)))</f>
        <v/>
      </c>
      <c r="AA3235" s="94">
        <f>IF($A3235="",0,IF(AE3235="직접",IF(OR(AF3235="유지비",AF3235="손해조사비"),$P3235,0),$P3235*(1-AG3235)*IFERROR(INDEX(계정대체기준!$D$20:$D$49,MATCH($N3235,계정대체기준!$A$20:$A$49,0)),0)))</f>
        <v/>
      </c>
      <c r="AB3235" s="94">
        <f>IF($A3235="",0,IF(AE3235="직접",IF(AF3235="수금비",$P3235,0),$P3235*(1-AG3235)*IFERROR(INDEX(계정대체기준!$E$20:$E$49,MATCH($N3235,계정대체기준!$A$20:$A$49,0)),0)))</f>
        <v/>
      </c>
      <c r="AC3235" s="9">
        <f>IF(AND($A3235&lt;&gt;"",M3235=설정!$C$20,Z3235&gt;0),Z3235+ROW()/1000000000,"")</f>
        <v/>
      </c>
      <c r="AD3235" s="94">
        <f>IF($A3235="",0,$P3235*AG3235)</f>
        <v/>
      </c>
      <c r="AE3235" s="64">
        <f>IF($A3235="","",IFERROR(INDEX(계정매핑!$E$5:$E$504,MATCH($F3235&amp;"",계정매핑!$A$5:$A$504,0))&amp;"","공통비"))</f>
        <v/>
      </c>
      <c r="AF3235" s="64">
        <f>IF($A3235="","",IF(AE3235="직접",IFERROR(INDEX(계정매핑!$F$5:$F$504,MATCH($F3235&amp;"",계정매핑!$A$5:$A$504,0))&amp;"","비귀속"),""))</f>
        <v/>
      </c>
      <c r="AG3235" s="96">
        <f>IF($A3235="",0,IF(AND(AE3235&lt;&gt;"직접",IFERROR(INDEX(계정매핑!$G$5:$G$504,MATCH($F3235&amp;"",계정매핑!$A$5:$A$504,0))&amp;"","")="유지비",COUNTIF(계정대체기준!$A$6:$A$15,$N3235)&gt;0),IFERROR(INDEX(계정대체기준!$E$6:$E$15,MATCH(VALUE($A3235&amp;""),계정대체기준!$D$6:$D$15,0)),0),0))</f>
        <v/>
      </c>
      <c r="AH3235" s="64">
        <f>IF($A3235="","",IF(AD3235=0,"",IF(OR(COUNTIF(계정대체기준!$A$77:$A$86,$N3235)&gt;0,ISNUMBER(MATCH($X3235,계정대체기준!$D$77:$D$86,0)),ISNUMBER(MATCH($F3235,계정대체기준!$D$77:$D$86,0))),"Y","N")))</f>
        <v/>
      </c>
    </row>
    <row r="3236">
      <c r="A3236" s="92" t="n">
        <v>2026</v>
      </c>
      <c r="B3236" s="92" t="n">
        <v>3</v>
      </c>
      <c r="C3236" s="92" t="inlineStr">
        <is>
          <t>5100000514</t>
        </is>
      </c>
      <c r="D3236" s="95" t="n">
        <v>46089</v>
      </c>
      <c r="E3236" s="92" t="inlineStr">
        <is>
          <t>KR</t>
        </is>
      </c>
      <c r="F3236" s="92" t="n">
        <v>62102000</v>
      </c>
      <c r="G3236" s="92" t="n">
        <v>1101</v>
      </c>
      <c r="H3236" s="93" t="n">
        <v>194000</v>
      </c>
      <c r="I3236" s="92" t="inlineStr">
        <is>
          <t>3월 해외출장 - N호텔</t>
        </is>
      </c>
      <c r="J3236" s="92" t="inlineStr">
        <is>
          <t>V10009</t>
        </is>
      </c>
      <c r="K3236" s="92" t="inlineStr">
        <is>
          <t>N호텔</t>
        </is>
      </c>
      <c r="M3236" s="9">
        <f>IF($A3236="","",VALUE($A3236&amp;"")*12+VALUE($B3236&amp;""))</f>
        <v/>
      </c>
      <c r="N3236" s="64">
        <f>IF($A3236="","",IFERROR(INDEX(부서매핑!$C$5:$C$504,MATCH($G3236&amp;"",부서매핑!$A$5:$A$504,0)),"미매핑"))</f>
        <v/>
      </c>
      <c r="O3236" s="9">
        <f>IF($A3236="","",N3236&amp;"|"&amp;$F3236)</f>
        <v/>
      </c>
      <c r="P3236" s="94">
        <f>IF($A3236="",0,$H3236*설정!$C$23)</f>
        <v/>
      </c>
      <c r="Q3236" s="64">
        <f>IF($A3236="","",IF(O3236&lt;&gt;원인분석!$C$9,"",IF(AND(M3236&gt;=원인분석!$C$10,M3236&lt;=원인분석!$C$11),"당기",IF(AND(M3236&gt;=원인분석!$C$12,M3236&lt;=원인분석!$C$13),"비교",""))))</f>
        <v/>
      </c>
      <c r="R3236" s="9">
        <f>IF(Q3236="","",$K3236&amp;"")</f>
        <v/>
      </c>
      <c r="S3236" s="9">
        <f>IF(Q3236="","",IF(MATCH(R3236,$R$5:$R$100000,0)=ROW()-4,ROW(),""))</f>
        <v/>
      </c>
      <c r="T3236" s="9">
        <f>IF(Q3236="당기",ABS(P3236)+ROW()/1000000000,"")</f>
        <v/>
      </c>
      <c r="U3236" s="9">
        <f>IF(Q3236="비교",ABS(P3236)+ROW()/1000000000,"")</f>
        <v/>
      </c>
      <c r="V3236" s="64">
        <f>IF($A3236="","",IF(COUNTIF(변동분석!$E$7:$E$506,O3236)&gt;0,"Y","N"))</f>
        <v/>
      </c>
      <c r="W3236" s="64">
        <f>IF($A3236="","",IFERROR(INDEX(계정매핑!$D$5:$D$504,MATCH($F3236&amp;"",계정매핑!$A$5:$A$504,0)),"미매핑"))</f>
        <v/>
      </c>
      <c r="X3236" s="9">
        <f>IF($A3236="","",$F3236&amp;"")</f>
        <v/>
      </c>
      <c r="Y3236" s="94">
        <f>IF($A3236="",0,IF(AE3236="직접",IF(AF3236="비귀속",$P3236,0),$P3236*(1-AG3236)*IFERROR(INDEX(계정대체기준!$F$20:$F$49,MATCH($N3236,계정대체기준!$A$20:$A$49,0)),1)))</f>
        <v/>
      </c>
      <c r="Z3236" s="94">
        <f>IF($A3236="",0,IF(AE3236="직접",IF(AF3236="신계약비",$P3236,0),$P3236*(1-AG3236)*IFERROR(INDEX(계정대체기준!$C$20:$C$49,MATCH($N3236,계정대체기준!$A$20:$A$49,0)),0)))</f>
        <v/>
      </c>
      <c r="AA3236" s="94">
        <f>IF($A3236="",0,IF(AE3236="직접",IF(OR(AF3236="유지비",AF3236="손해조사비"),$P3236,0),$P3236*(1-AG3236)*IFERROR(INDEX(계정대체기준!$D$20:$D$49,MATCH($N3236,계정대체기준!$A$20:$A$49,0)),0)))</f>
        <v/>
      </c>
      <c r="AB3236" s="94">
        <f>IF($A3236="",0,IF(AE3236="직접",IF(AF3236="수금비",$P3236,0),$P3236*(1-AG3236)*IFERROR(INDEX(계정대체기준!$E$20:$E$49,MATCH($N3236,계정대체기준!$A$20:$A$49,0)),0)))</f>
        <v/>
      </c>
      <c r="AC3236" s="9">
        <f>IF(AND($A3236&lt;&gt;"",M3236=설정!$C$20,Z3236&gt;0),Z3236+ROW()/1000000000,"")</f>
        <v/>
      </c>
      <c r="AD3236" s="94">
        <f>IF($A3236="",0,$P3236*AG3236)</f>
        <v/>
      </c>
      <c r="AE3236" s="64">
        <f>IF($A3236="","",IFERROR(INDEX(계정매핑!$E$5:$E$504,MATCH($F3236&amp;"",계정매핑!$A$5:$A$504,0))&amp;"","공통비"))</f>
        <v/>
      </c>
      <c r="AF3236" s="64">
        <f>IF($A3236="","",IF(AE3236="직접",IFERROR(INDEX(계정매핑!$F$5:$F$504,MATCH($F3236&amp;"",계정매핑!$A$5:$A$504,0))&amp;"","비귀속"),""))</f>
        <v/>
      </c>
      <c r="AG3236" s="96">
        <f>IF($A3236="",0,IF(AND(AE3236&lt;&gt;"직접",IFERROR(INDEX(계정매핑!$G$5:$G$504,MATCH($F3236&amp;"",계정매핑!$A$5:$A$504,0))&amp;"","")="유지비",COUNTIF(계정대체기준!$A$6:$A$15,$N3236)&gt;0),IFERROR(INDEX(계정대체기준!$E$6:$E$15,MATCH(VALUE($A3236&amp;""),계정대체기준!$D$6:$D$15,0)),0),0))</f>
        <v/>
      </c>
      <c r="AH3236" s="64">
        <f>IF($A3236="","",IF(AD3236=0,"",IF(OR(COUNTIF(계정대체기준!$A$77:$A$86,$N3236)&gt;0,ISNUMBER(MATCH($X3236,계정대체기준!$D$77:$D$86,0)),ISNUMBER(MATCH($F3236,계정대체기준!$D$77:$D$86,0))),"Y","N")))</f>
        <v/>
      </c>
    </row>
    <row r="3237">
      <c r="A3237" s="92" t="n">
        <v>2026</v>
      </c>
      <c r="B3237" s="92" t="n">
        <v>3</v>
      </c>
      <c r="C3237" s="92" t="inlineStr">
        <is>
          <t>5100000515</t>
        </is>
      </c>
      <c r="D3237" s="95" t="n">
        <v>46089</v>
      </c>
      <c r="E3237" s="92" t="inlineStr">
        <is>
          <t>KR</t>
        </is>
      </c>
      <c r="F3237" s="92" t="n">
        <v>62102000</v>
      </c>
      <c r="G3237" s="92" t="n">
        <v>1951</v>
      </c>
      <c r="H3237" s="93" t="n">
        <v>58000</v>
      </c>
      <c r="I3237" s="92" t="inlineStr">
        <is>
          <t>3월 해외출장 - M항공</t>
        </is>
      </c>
      <c r="J3237" s="92" t="inlineStr">
        <is>
          <t>V10001</t>
        </is>
      </c>
      <c r="K3237" s="92" t="inlineStr">
        <is>
          <t>M항공</t>
        </is>
      </c>
      <c r="M3237" s="9">
        <f>IF($A3237="","",VALUE($A3237&amp;"")*12+VALUE($B3237&amp;""))</f>
        <v/>
      </c>
      <c r="N3237" s="64">
        <f>IF($A3237="","",IFERROR(INDEX(부서매핑!$C$5:$C$504,MATCH($G3237&amp;"",부서매핑!$A$5:$A$504,0)),"미매핑"))</f>
        <v/>
      </c>
      <c r="O3237" s="9">
        <f>IF($A3237="","",N3237&amp;"|"&amp;$F3237)</f>
        <v/>
      </c>
      <c r="P3237" s="94">
        <f>IF($A3237="",0,$H3237*설정!$C$23)</f>
        <v/>
      </c>
      <c r="Q3237" s="64">
        <f>IF($A3237="","",IF(O3237&lt;&gt;원인분석!$C$9,"",IF(AND(M3237&gt;=원인분석!$C$10,M3237&lt;=원인분석!$C$11),"당기",IF(AND(M3237&gt;=원인분석!$C$12,M3237&lt;=원인분석!$C$13),"비교",""))))</f>
        <v/>
      </c>
      <c r="R3237" s="9">
        <f>IF(Q3237="","",$K3237&amp;"")</f>
        <v/>
      </c>
      <c r="S3237" s="9">
        <f>IF(Q3237="","",IF(MATCH(R3237,$R$5:$R$100000,0)=ROW()-4,ROW(),""))</f>
        <v/>
      </c>
      <c r="T3237" s="9">
        <f>IF(Q3237="당기",ABS(P3237)+ROW()/1000000000,"")</f>
        <v/>
      </c>
      <c r="U3237" s="9">
        <f>IF(Q3237="비교",ABS(P3237)+ROW()/1000000000,"")</f>
        <v/>
      </c>
      <c r="V3237" s="64">
        <f>IF($A3237="","",IF(COUNTIF(변동분석!$E$7:$E$506,O3237)&gt;0,"Y","N"))</f>
        <v/>
      </c>
      <c r="W3237" s="64">
        <f>IF($A3237="","",IFERROR(INDEX(계정매핑!$D$5:$D$504,MATCH($F3237&amp;"",계정매핑!$A$5:$A$504,0)),"미매핑"))</f>
        <v/>
      </c>
      <c r="X3237" s="9">
        <f>IF($A3237="","",$F3237&amp;"")</f>
        <v/>
      </c>
      <c r="Y3237" s="94">
        <f>IF($A3237="",0,IF(AE3237="직접",IF(AF3237="비귀속",$P3237,0),$P3237*(1-AG3237)*IFERROR(INDEX(계정대체기준!$F$20:$F$49,MATCH($N3237,계정대체기준!$A$20:$A$49,0)),1)))</f>
        <v/>
      </c>
      <c r="Z3237" s="94">
        <f>IF($A3237="",0,IF(AE3237="직접",IF(AF3237="신계약비",$P3237,0),$P3237*(1-AG3237)*IFERROR(INDEX(계정대체기준!$C$20:$C$49,MATCH($N3237,계정대체기준!$A$20:$A$49,0)),0)))</f>
        <v/>
      </c>
      <c r="AA3237" s="94">
        <f>IF($A3237="",0,IF(AE3237="직접",IF(OR(AF3237="유지비",AF3237="손해조사비"),$P3237,0),$P3237*(1-AG3237)*IFERROR(INDEX(계정대체기준!$D$20:$D$49,MATCH($N3237,계정대체기준!$A$20:$A$49,0)),0)))</f>
        <v/>
      </c>
      <c r="AB3237" s="94">
        <f>IF($A3237="",0,IF(AE3237="직접",IF(AF3237="수금비",$P3237,0),$P3237*(1-AG3237)*IFERROR(INDEX(계정대체기준!$E$20:$E$49,MATCH($N3237,계정대체기준!$A$20:$A$49,0)),0)))</f>
        <v/>
      </c>
      <c r="AC3237" s="9">
        <f>IF(AND($A3237&lt;&gt;"",M3237=설정!$C$20,Z3237&gt;0),Z3237+ROW()/1000000000,"")</f>
        <v/>
      </c>
      <c r="AD3237" s="94">
        <f>IF($A3237="",0,$P3237*AG3237)</f>
        <v/>
      </c>
      <c r="AE3237" s="64">
        <f>IF($A3237="","",IFERROR(INDEX(계정매핑!$E$5:$E$504,MATCH($F3237&amp;"",계정매핑!$A$5:$A$504,0))&amp;"","공통비"))</f>
        <v/>
      </c>
      <c r="AF3237" s="64">
        <f>IF($A3237="","",IF(AE3237="직접",IFERROR(INDEX(계정매핑!$F$5:$F$504,MATCH($F3237&amp;"",계정매핑!$A$5:$A$504,0))&amp;"","비귀속"),""))</f>
        <v/>
      </c>
      <c r="AG3237" s="96">
        <f>IF($A3237="",0,IF(AND(AE3237&lt;&gt;"직접",IFERROR(INDEX(계정매핑!$G$5:$G$504,MATCH($F3237&amp;"",계정매핑!$A$5:$A$504,0))&amp;"","")="유지비",COUNTIF(계정대체기준!$A$6:$A$15,$N3237)&gt;0),IFERROR(INDEX(계정대체기준!$E$6:$E$15,MATCH(VALUE($A3237&amp;""),계정대체기준!$D$6:$D$15,0)),0),0))</f>
        <v/>
      </c>
      <c r="AH3237" s="64">
        <f>IF($A3237="","",IF(AD3237=0,"",IF(OR(COUNTIF(계정대체기준!$A$77:$A$86,$N3237)&gt;0,ISNUMBER(MATCH($X3237,계정대체기준!$D$77:$D$86,0)),ISNUMBER(MATCH($F3237,계정대체기준!$D$77:$D$86,0))),"Y","N")))</f>
        <v/>
      </c>
    </row>
    <row r="3238">
      <c r="A3238" s="92" t="n">
        <v>2026</v>
      </c>
      <c r="B3238" s="92" t="n">
        <v>3</v>
      </c>
      <c r="C3238" s="92" t="inlineStr">
        <is>
          <t>5100000516</t>
        </is>
      </c>
      <c r="D3238" s="95" t="n">
        <v>46089</v>
      </c>
      <c r="E3238" s="92" t="inlineStr">
        <is>
          <t>KR</t>
        </is>
      </c>
      <c r="F3238" s="92" t="n">
        <v>62501000</v>
      </c>
      <c r="G3238" s="92" t="n">
        <v>1801</v>
      </c>
      <c r="H3238" s="93" t="n">
        <v>226000</v>
      </c>
      <c r="I3238" s="92" t="inlineStr">
        <is>
          <t>3월 회의 다과 - (법인카드)</t>
        </is>
      </c>
      <c r="J3238" s="92" t="inlineStr">
        <is>
          <t>V10010</t>
        </is>
      </c>
      <c r="K3238" s="92" t="inlineStr">
        <is>
          <t>(법인카드)</t>
        </is>
      </c>
      <c r="M3238" s="9">
        <f>IF($A3238="","",VALUE($A3238&amp;"")*12+VALUE($B3238&amp;""))</f>
        <v/>
      </c>
      <c r="N3238" s="64">
        <f>IF($A3238="","",IFERROR(INDEX(부서매핑!$C$5:$C$504,MATCH($G3238&amp;"",부서매핑!$A$5:$A$504,0)),"미매핑"))</f>
        <v/>
      </c>
      <c r="O3238" s="9">
        <f>IF($A3238="","",N3238&amp;"|"&amp;$F3238)</f>
        <v/>
      </c>
      <c r="P3238" s="94">
        <f>IF($A3238="",0,$H3238*설정!$C$23)</f>
        <v/>
      </c>
      <c r="Q3238" s="64">
        <f>IF($A3238="","",IF(O3238&lt;&gt;원인분석!$C$9,"",IF(AND(M3238&gt;=원인분석!$C$10,M3238&lt;=원인분석!$C$11),"당기",IF(AND(M3238&gt;=원인분석!$C$12,M3238&lt;=원인분석!$C$13),"비교",""))))</f>
        <v/>
      </c>
      <c r="R3238" s="9">
        <f>IF(Q3238="","",$K3238&amp;"")</f>
        <v/>
      </c>
      <c r="S3238" s="9">
        <f>IF(Q3238="","",IF(MATCH(R3238,$R$5:$R$100000,0)=ROW()-4,ROW(),""))</f>
        <v/>
      </c>
      <c r="T3238" s="9">
        <f>IF(Q3238="당기",ABS(P3238)+ROW()/1000000000,"")</f>
        <v/>
      </c>
      <c r="U3238" s="9">
        <f>IF(Q3238="비교",ABS(P3238)+ROW()/1000000000,"")</f>
        <v/>
      </c>
      <c r="V3238" s="64">
        <f>IF($A3238="","",IF(COUNTIF(변동분석!$E$7:$E$506,O3238)&gt;0,"Y","N"))</f>
        <v/>
      </c>
      <c r="W3238" s="64">
        <f>IF($A3238="","",IFERROR(INDEX(계정매핑!$D$5:$D$504,MATCH($F3238&amp;"",계정매핑!$A$5:$A$504,0)),"미매핑"))</f>
        <v/>
      </c>
      <c r="X3238" s="9">
        <f>IF($A3238="","",$F3238&amp;"")</f>
        <v/>
      </c>
      <c r="Y3238" s="94">
        <f>IF($A3238="",0,IF(AE3238="직접",IF(AF3238="비귀속",$P3238,0),$P3238*(1-AG3238)*IFERROR(INDEX(계정대체기준!$F$20:$F$49,MATCH($N3238,계정대체기준!$A$20:$A$49,0)),1)))</f>
        <v/>
      </c>
      <c r="Z3238" s="94">
        <f>IF($A3238="",0,IF(AE3238="직접",IF(AF3238="신계약비",$P3238,0),$P3238*(1-AG3238)*IFERROR(INDEX(계정대체기준!$C$20:$C$49,MATCH($N3238,계정대체기준!$A$20:$A$49,0)),0)))</f>
        <v/>
      </c>
      <c r="AA3238" s="94">
        <f>IF($A3238="",0,IF(AE3238="직접",IF(OR(AF3238="유지비",AF3238="손해조사비"),$P3238,0),$P3238*(1-AG3238)*IFERROR(INDEX(계정대체기준!$D$20:$D$49,MATCH($N3238,계정대체기준!$A$20:$A$49,0)),0)))</f>
        <v/>
      </c>
      <c r="AB3238" s="94">
        <f>IF($A3238="",0,IF(AE3238="직접",IF(AF3238="수금비",$P3238,0),$P3238*(1-AG3238)*IFERROR(INDEX(계정대체기준!$E$20:$E$49,MATCH($N3238,계정대체기준!$A$20:$A$49,0)),0)))</f>
        <v/>
      </c>
      <c r="AC3238" s="9">
        <f>IF(AND($A3238&lt;&gt;"",M3238=설정!$C$20,Z3238&gt;0),Z3238+ROW()/1000000000,"")</f>
        <v/>
      </c>
      <c r="AD3238" s="94">
        <f>IF($A3238="",0,$P3238*AG3238)</f>
        <v/>
      </c>
      <c r="AE3238" s="64">
        <f>IF($A3238="","",IFERROR(INDEX(계정매핑!$E$5:$E$504,MATCH($F3238&amp;"",계정매핑!$A$5:$A$504,0))&amp;"","공통비"))</f>
        <v/>
      </c>
      <c r="AF3238" s="64">
        <f>IF($A3238="","",IF(AE3238="직접",IFERROR(INDEX(계정매핑!$F$5:$F$504,MATCH($F3238&amp;"",계정매핑!$A$5:$A$504,0))&amp;"","비귀속"),""))</f>
        <v/>
      </c>
      <c r="AG3238" s="96">
        <f>IF($A3238="",0,IF(AND(AE3238&lt;&gt;"직접",IFERROR(INDEX(계정매핑!$G$5:$G$504,MATCH($F3238&amp;"",계정매핑!$A$5:$A$504,0))&amp;"","")="유지비",COUNTIF(계정대체기준!$A$6:$A$15,$N3238)&gt;0),IFERROR(INDEX(계정대체기준!$E$6:$E$15,MATCH(VALUE($A3238&amp;""),계정대체기준!$D$6:$D$15,0)),0),0))</f>
        <v/>
      </c>
      <c r="AH3238" s="64">
        <f>IF($A3238="","",IF(AD3238=0,"",IF(OR(COUNTIF(계정대체기준!$A$77:$A$86,$N3238)&gt;0,ISNUMBER(MATCH($X3238,계정대체기준!$D$77:$D$86,0)),ISNUMBER(MATCH($F3238,계정대체기준!$D$77:$D$86,0))),"Y","N")))</f>
        <v/>
      </c>
    </row>
    <row r="3239">
      <c r="A3239" s="92" t="n">
        <v>2026</v>
      </c>
      <c r="B3239" s="92" t="n">
        <v>3</v>
      </c>
      <c r="C3239" s="92" t="inlineStr">
        <is>
          <t>5100000517</t>
        </is>
      </c>
      <c r="D3239" s="95" t="n">
        <v>46089</v>
      </c>
      <c r="E3239" s="92" t="inlineStr">
        <is>
          <t>KR</t>
        </is>
      </c>
      <c r="F3239" s="92" t="n">
        <v>62802000</v>
      </c>
      <c r="G3239" s="92" t="n">
        <v>1301</v>
      </c>
      <c r="H3239" s="93" t="n">
        <v>2204000</v>
      </c>
      <c r="I3239" s="92" t="inlineStr">
        <is>
          <t>3월 위탁교육 - I교육원</t>
        </is>
      </c>
      <c r="J3239" s="92" t="inlineStr">
        <is>
          <t>V10019</t>
        </is>
      </c>
      <c r="K3239" s="92" t="inlineStr">
        <is>
          <t>I교육원</t>
        </is>
      </c>
      <c r="M3239" s="9">
        <f>IF($A3239="","",VALUE($A3239&amp;"")*12+VALUE($B3239&amp;""))</f>
        <v/>
      </c>
      <c r="N3239" s="64">
        <f>IF($A3239="","",IFERROR(INDEX(부서매핑!$C$5:$C$504,MATCH($G3239&amp;"",부서매핑!$A$5:$A$504,0)),"미매핑"))</f>
        <v/>
      </c>
      <c r="O3239" s="9">
        <f>IF($A3239="","",N3239&amp;"|"&amp;$F3239)</f>
        <v/>
      </c>
      <c r="P3239" s="94">
        <f>IF($A3239="",0,$H3239*설정!$C$23)</f>
        <v/>
      </c>
      <c r="Q3239" s="64">
        <f>IF($A3239="","",IF(O3239&lt;&gt;원인분석!$C$9,"",IF(AND(M3239&gt;=원인분석!$C$10,M3239&lt;=원인분석!$C$11),"당기",IF(AND(M3239&gt;=원인분석!$C$12,M3239&lt;=원인분석!$C$13),"비교",""))))</f>
        <v/>
      </c>
      <c r="R3239" s="9">
        <f>IF(Q3239="","",$K3239&amp;"")</f>
        <v/>
      </c>
      <c r="S3239" s="9">
        <f>IF(Q3239="","",IF(MATCH(R3239,$R$5:$R$100000,0)=ROW()-4,ROW(),""))</f>
        <v/>
      </c>
      <c r="T3239" s="9">
        <f>IF(Q3239="당기",ABS(P3239)+ROW()/1000000000,"")</f>
        <v/>
      </c>
      <c r="U3239" s="9">
        <f>IF(Q3239="비교",ABS(P3239)+ROW()/1000000000,"")</f>
        <v/>
      </c>
      <c r="V3239" s="64">
        <f>IF($A3239="","",IF(COUNTIF(변동분석!$E$7:$E$506,O3239)&gt;0,"Y","N"))</f>
        <v/>
      </c>
      <c r="W3239" s="64">
        <f>IF($A3239="","",IFERROR(INDEX(계정매핑!$D$5:$D$504,MATCH($F3239&amp;"",계정매핑!$A$5:$A$504,0)),"미매핑"))</f>
        <v/>
      </c>
      <c r="X3239" s="9">
        <f>IF($A3239="","",$F3239&amp;"")</f>
        <v/>
      </c>
      <c r="Y3239" s="94">
        <f>IF($A3239="",0,IF(AE3239="직접",IF(AF3239="비귀속",$P3239,0),$P3239*(1-AG3239)*IFERROR(INDEX(계정대체기준!$F$20:$F$49,MATCH($N3239,계정대체기준!$A$20:$A$49,0)),1)))</f>
        <v/>
      </c>
      <c r="Z3239" s="94">
        <f>IF($A3239="",0,IF(AE3239="직접",IF(AF3239="신계약비",$P3239,0),$P3239*(1-AG3239)*IFERROR(INDEX(계정대체기준!$C$20:$C$49,MATCH($N3239,계정대체기준!$A$20:$A$49,0)),0)))</f>
        <v/>
      </c>
      <c r="AA3239" s="94">
        <f>IF($A3239="",0,IF(AE3239="직접",IF(OR(AF3239="유지비",AF3239="손해조사비"),$P3239,0),$P3239*(1-AG3239)*IFERROR(INDEX(계정대체기준!$D$20:$D$49,MATCH($N3239,계정대체기준!$A$20:$A$49,0)),0)))</f>
        <v/>
      </c>
      <c r="AB3239" s="94">
        <f>IF($A3239="",0,IF(AE3239="직접",IF(AF3239="수금비",$P3239,0),$P3239*(1-AG3239)*IFERROR(INDEX(계정대체기준!$E$20:$E$49,MATCH($N3239,계정대체기준!$A$20:$A$49,0)),0)))</f>
        <v/>
      </c>
      <c r="AC3239" s="9">
        <f>IF(AND($A3239&lt;&gt;"",M3239=설정!$C$20,Z3239&gt;0),Z3239+ROW()/1000000000,"")</f>
        <v/>
      </c>
      <c r="AD3239" s="94">
        <f>IF($A3239="",0,$P3239*AG3239)</f>
        <v/>
      </c>
      <c r="AE3239" s="64">
        <f>IF($A3239="","",IFERROR(INDEX(계정매핑!$E$5:$E$504,MATCH($F3239&amp;"",계정매핑!$A$5:$A$504,0))&amp;"","공통비"))</f>
        <v/>
      </c>
      <c r="AF3239" s="64">
        <f>IF($A3239="","",IF(AE3239="직접",IFERROR(INDEX(계정매핑!$F$5:$F$504,MATCH($F3239&amp;"",계정매핑!$A$5:$A$504,0))&amp;"","비귀속"),""))</f>
        <v/>
      </c>
      <c r="AG3239" s="96">
        <f>IF($A3239="",0,IF(AND(AE3239&lt;&gt;"직접",IFERROR(INDEX(계정매핑!$G$5:$G$504,MATCH($F3239&amp;"",계정매핑!$A$5:$A$504,0))&amp;"","")="유지비",COUNTIF(계정대체기준!$A$6:$A$15,$N3239)&gt;0),IFERROR(INDEX(계정대체기준!$E$6:$E$15,MATCH(VALUE($A3239&amp;""),계정대체기준!$D$6:$D$15,0)),0),0))</f>
        <v/>
      </c>
      <c r="AH3239" s="64">
        <f>IF($A3239="","",IF(AD3239=0,"",IF(OR(COUNTIF(계정대체기준!$A$77:$A$86,$N3239)&gt;0,ISNUMBER(MATCH($X3239,계정대체기준!$D$77:$D$86,0)),ISNUMBER(MATCH($F3239,계정대체기준!$D$77:$D$86,0))),"Y","N")))</f>
        <v/>
      </c>
    </row>
    <row r="3240">
      <c r="A3240" s="92" t="n">
        <v>2026</v>
      </c>
      <c r="B3240" s="92" t="n">
        <v>3</v>
      </c>
      <c r="C3240" s="92" t="inlineStr">
        <is>
          <t>5100000518</t>
        </is>
      </c>
      <c r="D3240" s="95" t="n">
        <v>46089</v>
      </c>
      <c r="E3240" s="92" t="inlineStr">
        <is>
          <t>KR</t>
        </is>
      </c>
      <c r="F3240" s="92" t="n">
        <v>62901000</v>
      </c>
      <c r="G3240" s="92" t="n">
        <v>1801</v>
      </c>
      <c r="H3240" s="93" t="n">
        <v>12465000</v>
      </c>
      <c r="I3240" s="92" t="inlineStr">
        <is>
          <t>3월 자문 수수료 - K회계법인</t>
        </is>
      </c>
      <c r="J3240" s="92" t="inlineStr">
        <is>
          <t>V10011</t>
        </is>
      </c>
      <c r="K3240" s="92" t="inlineStr">
        <is>
          <t>K회계법인</t>
        </is>
      </c>
      <c r="M3240" s="9">
        <f>IF($A3240="","",VALUE($A3240&amp;"")*12+VALUE($B3240&amp;""))</f>
        <v/>
      </c>
      <c r="N3240" s="64">
        <f>IF($A3240="","",IFERROR(INDEX(부서매핑!$C$5:$C$504,MATCH($G3240&amp;"",부서매핑!$A$5:$A$504,0)),"미매핑"))</f>
        <v/>
      </c>
      <c r="O3240" s="9">
        <f>IF($A3240="","",N3240&amp;"|"&amp;$F3240)</f>
        <v/>
      </c>
      <c r="P3240" s="94">
        <f>IF($A3240="",0,$H3240*설정!$C$23)</f>
        <v/>
      </c>
      <c r="Q3240" s="64">
        <f>IF($A3240="","",IF(O3240&lt;&gt;원인분석!$C$9,"",IF(AND(M3240&gt;=원인분석!$C$10,M3240&lt;=원인분석!$C$11),"당기",IF(AND(M3240&gt;=원인분석!$C$12,M3240&lt;=원인분석!$C$13),"비교",""))))</f>
        <v/>
      </c>
      <c r="R3240" s="9">
        <f>IF(Q3240="","",$K3240&amp;"")</f>
        <v/>
      </c>
      <c r="S3240" s="9">
        <f>IF(Q3240="","",IF(MATCH(R3240,$R$5:$R$100000,0)=ROW()-4,ROW(),""))</f>
        <v/>
      </c>
      <c r="T3240" s="9">
        <f>IF(Q3240="당기",ABS(P3240)+ROW()/1000000000,"")</f>
        <v/>
      </c>
      <c r="U3240" s="9">
        <f>IF(Q3240="비교",ABS(P3240)+ROW()/1000000000,"")</f>
        <v/>
      </c>
      <c r="V3240" s="64">
        <f>IF($A3240="","",IF(COUNTIF(변동분석!$E$7:$E$506,O3240)&gt;0,"Y","N"))</f>
        <v/>
      </c>
      <c r="W3240" s="64">
        <f>IF($A3240="","",IFERROR(INDEX(계정매핑!$D$5:$D$504,MATCH($F3240&amp;"",계정매핑!$A$5:$A$504,0)),"미매핑"))</f>
        <v/>
      </c>
      <c r="X3240" s="9">
        <f>IF($A3240="","",$F3240&amp;"")</f>
        <v/>
      </c>
      <c r="Y3240" s="94">
        <f>IF($A3240="",0,IF(AE3240="직접",IF(AF3240="비귀속",$P3240,0),$P3240*(1-AG3240)*IFERROR(INDEX(계정대체기준!$F$20:$F$49,MATCH($N3240,계정대체기준!$A$20:$A$49,0)),1)))</f>
        <v/>
      </c>
      <c r="Z3240" s="94">
        <f>IF($A3240="",0,IF(AE3240="직접",IF(AF3240="신계약비",$P3240,0),$P3240*(1-AG3240)*IFERROR(INDEX(계정대체기준!$C$20:$C$49,MATCH($N3240,계정대체기준!$A$20:$A$49,0)),0)))</f>
        <v/>
      </c>
      <c r="AA3240" s="94">
        <f>IF($A3240="",0,IF(AE3240="직접",IF(OR(AF3240="유지비",AF3240="손해조사비"),$P3240,0),$P3240*(1-AG3240)*IFERROR(INDEX(계정대체기준!$D$20:$D$49,MATCH($N3240,계정대체기준!$A$20:$A$49,0)),0)))</f>
        <v/>
      </c>
      <c r="AB3240" s="94">
        <f>IF($A3240="",0,IF(AE3240="직접",IF(AF3240="수금비",$P3240,0),$P3240*(1-AG3240)*IFERROR(INDEX(계정대체기준!$E$20:$E$49,MATCH($N3240,계정대체기준!$A$20:$A$49,0)),0)))</f>
        <v/>
      </c>
      <c r="AC3240" s="9">
        <f>IF(AND($A3240&lt;&gt;"",M3240=설정!$C$20,Z3240&gt;0),Z3240+ROW()/1000000000,"")</f>
        <v/>
      </c>
      <c r="AD3240" s="94">
        <f>IF($A3240="",0,$P3240*AG3240)</f>
        <v/>
      </c>
      <c r="AE3240" s="64">
        <f>IF($A3240="","",IFERROR(INDEX(계정매핑!$E$5:$E$504,MATCH($F3240&amp;"",계정매핑!$A$5:$A$504,0))&amp;"","공통비"))</f>
        <v/>
      </c>
      <c r="AF3240" s="64">
        <f>IF($A3240="","",IF(AE3240="직접",IFERROR(INDEX(계정매핑!$F$5:$F$504,MATCH($F3240&amp;"",계정매핑!$A$5:$A$504,0))&amp;"","비귀속"),""))</f>
        <v/>
      </c>
      <c r="AG3240" s="96">
        <f>IF($A3240="",0,IF(AND(AE3240&lt;&gt;"직접",IFERROR(INDEX(계정매핑!$G$5:$G$504,MATCH($F3240&amp;"",계정매핑!$A$5:$A$504,0))&amp;"","")="유지비",COUNTIF(계정대체기준!$A$6:$A$15,$N3240)&gt;0),IFERROR(INDEX(계정대체기준!$E$6:$E$15,MATCH(VALUE($A3240&amp;""),계정대체기준!$D$6:$D$15,0)),0),0))</f>
        <v/>
      </c>
      <c r="AH3240" s="64">
        <f>IF($A3240="","",IF(AD3240=0,"",IF(OR(COUNTIF(계정대체기준!$A$77:$A$86,$N3240)&gt;0,ISNUMBER(MATCH($X3240,계정대체기준!$D$77:$D$86,0)),ISNUMBER(MATCH($F3240,계정대체기준!$D$77:$D$86,0))),"Y","N")))</f>
        <v/>
      </c>
    </row>
    <row r="3241">
      <c r="A3241" s="92" t="n">
        <v>2026</v>
      </c>
      <c r="B3241" s="92" t="n">
        <v>3</v>
      </c>
      <c r="C3241" s="92" t="inlineStr">
        <is>
          <t>5100000519</t>
        </is>
      </c>
      <c r="D3241" s="95" t="n">
        <v>46089</v>
      </c>
      <c r="E3241" s="92" t="inlineStr">
        <is>
          <t>KR</t>
        </is>
      </c>
      <c r="F3241" s="92" t="n">
        <v>62901000</v>
      </c>
      <c r="G3241" s="92" t="n">
        <v>1801</v>
      </c>
      <c r="H3241" s="93" t="n">
        <v>18571000</v>
      </c>
      <c r="I3241" s="92" t="inlineStr">
        <is>
          <t>3월 자문 수수료 - W컨설팅</t>
        </is>
      </c>
      <c r="J3241" s="92" t="inlineStr">
        <is>
          <t>V10006</t>
        </is>
      </c>
      <c r="K3241" s="92" t="inlineStr">
        <is>
          <t>W컨설팅</t>
        </is>
      </c>
      <c r="M3241" s="9">
        <f>IF($A3241="","",VALUE($A3241&amp;"")*12+VALUE($B3241&amp;""))</f>
        <v/>
      </c>
      <c r="N3241" s="64">
        <f>IF($A3241="","",IFERROR(INDEX(부서매핑!$C$5:$C$504,MATCH($G3241&amp;"",부서매핑!$A$5:$A$504,0)),"미매핑"))</f>
        <v/>
      </c>
      <c r="O3241" s="9">
        <f>IF($A3241="","",N3241&amp;"|"&amp;$F3241)</f>
        <v/>
      </c>
      <c r="P3241" s="94">
        <f>IF($A3241="",0,$H3241*설정!$C$23)</f>
        <v/>
      </c>
      <c r="Q3241" s="64">
        <f>IF($A3241="","",IF(O3241&lt;&gt;원인분석!$C$9,"",IF(AND(M3241&gt;=원인분석!$C$10,M3241&lt;=원인분석!$C$11),"당기",IF(AND(M3241&gt;=원인분석!$C$12,M3241&lt;=원인분석!$C$13),"비교",""))))</f>
        <v/>
      </c>
      <c r="R3241" s="9">
        <f>IF(Q3241="","",$K3241&amp;"")</f>
        <v/>
      </c>
      <c r="S3241" s="9">
        <f>IF(Q3241="","",IF(MATCH(R3241,$R$5:$R$100000,0)=ROW()-4,ROW(),""))</f>
        <v/>
      </c>
      <c r="T3241" s="9">
        <f>IF(Q3241="당기",ABS(P3241)+ROW()/1000000000,"")</f>
        <v/>
      </c>
      <c r="U3241" s="9">
        <f>IF(Q3241="비교",ABS(P3241)+ROW()/1000000000,"")</f>
        <v/>
      </c>
      <c r="V3241" s="64">
        <f>IF($A3241="","",IF(COUNTIF(변동분석!$E$7:$E$506,O3241)&gt;0,"Y","N"))</f>
        <v/>
      </c>
      <c r="W3241" s="64">
        <f>IF($A3241="","",IFERROR(INDEX(계정매핑!$D$5:$D$504,MATCH($F3241&amp;"",계정매핑!$A$5:$A$504,0)),"미매핑"))</f>
        <v/>
      </c>
      <c r="X3241" s="9">
        <f>IF($A3241="","",$F3241&amp;"")</f>
        <v/>
      </c>
      <c r="Y3241" s="94">
        <f>IF($A3241="",0,IF(AE3241="직접",IF(AF3241="비귀속",$P3241,0),$P3241*(1-AG3241)*IFERROR(INDEX(계정대체기준!$F$20:$F$49,MATCH($N3241,계정대체기준!$A$20:$A$49,0)),1)))</f>
        <v/>
      </c>
      <c r="Z3241" s="94">
        <f>IF($A3241="",0,IF(AE3241="직접",IF(AF3241="신계약비",$P3241,0),$P3241*(1-AG3241)*IFERROR(INDEX(계정대체기준!$C$20:$C$49,MATCH($N3241,계정대체기준!$A$20:$A$49,0)),0)))</f>
        <v/>
      </c>
      <c r="AA3241" s="94">
        <f>IF($A3241="",0,IF(AE3241="직접",IF(OR(AF3241="유지비",AF3241="손해조사비"),$P3241,0),$P3241*(1-AG3241)*IFERROR(INDEX(계정대체기준!$D$20:$D$49,MATCH($N3241,계정대체기준!$A$20:$A$49,0)),0)))</f>
        <v/>
      </c>
      <c r="AB3241" s="94">
        <f>IF($A3241="",0,IF(AE3241="직접",IF(AF3241="수금비",$P3241,0),$P3241*(1-AG3241)*IFERROR(INDEX(계정대체기준!$E$20:$E$49,MATCH($N3241,계정대체기준!$A$20:$A$49,0)),0)))</f>
        <v/>
      </c>
      <c r="AC3241" s="9">
        <f>IF(AND($A3241&lt;&gt;"",M3241=설정!$C$20,Z3241&gt;0),Z3241+ROW()/1000000000,"")</f>
        <v/>
      </c>
      <c r="AD3241" s="94">
        <f>IF($A3241="",0,$P3241*AG3241)</f>
        <v/>
      </c>
      <c r="AE3241" s="64">
        <f>IF($A3241="","",IFERROR(INDEX(계정매핑!$E$5:$E$504,MATCH($F3241&amp;"",계정매핑!$A$5:$A$504,0))&amp;"","공통비"))</f>
        <v/>
      </c>
      <c r="AF3241" s="64">
        <f>IF($A3241="","",IF(AE3241="직접",IFERROR(INDEX(계정매핑!$F$5:$F$504,MATCH($F3241&amp;"",계정매핑!$A$5:$A$504,0))&amp;"","비귀속"),""))</f>
        <v/>
      </c>
      <c r="AG3241" s="96">
        <f>IF($A3241="",0,IF(AND(AE3241&lt;&gt;"직접",IFERROR(INDEX(계정매핑!$G$5:$G$504,MATCH($F3241&amp;"",계정매핑!$A$5:$A$504,0))&amp;"","")="유지비",COUNTIF(계정대체기준!$A$6:$A$15,$N3241)&gt;0),IFERROR(INDEX(계정대체기준!$E$6:$E$15,MATCH(VALUE($A3241&amp;""),계정대체기준!$D$6:$D$15,0)),0),0))</f>
        <v/>
      </c>
      <c r="AH3241" s="64">
        <f>IF($A3241="","",IF(AD3241=0,"",IF(OR(COUNTIF(계정대체기준!$A$77:$A$86,$N3241)&gt;0,ISNUMBER(MATCH($X3241,계정대체기준!$D$77:$D$86,0)),ISNUMBER(MATCH($F3241,계정대체기준!$D$77:$D$86,0))),"Y","N")))</f>
        <v/>
      </c>
    </row>
    <row r="3242">
      <c r="A3242" s="92" t="n">
        <v>2026</v>
      </c>
      <c r="B3242" s="92" t="n">
        <v>3</v>
      </c>
      <c r="C3242" s="92" t="inlineStr">
        <is>
          <t>5100000520</t>
        </is>
      </c>
      <c r="D3242" s="95" t="n">
        <v>46089</v>
      </c>
      <c r="E3242" s="92" t="inlineStr">
        <is>
          <t>KR</t>
        </is>
      </c>
      <c r="F3242" s="92" t="n">
        <v>62902000</v>
      </c>
      <c r="G3242" s="92" t="n">
        <v>1801</v>
      </c>
      <c r="H3242" s="93" t="n">
        <v>1789000</v>
      </c>
      <c r="I3242" s="92" t="inlineStr">
        <is>
          <t>3월 콜 위탁 수수료(건별)</t>
        </is>
      </c>
      <c r="J3242" s="92" t="inlineStr">
        <is>
          <t>V10016</t>
        </is>
      </c>
      <c r="K3242" s="92" t="inlineStr">
        <is>
          <t>J콜센터</t>
        </is>
      </c>
      <c r="M3242" s="9">
        <f>IF($A3242="","",VALUE($A3242&amp;"")*12+VALUE($B3242&amp;""))</f>
        <v/>
      </c>
      <c r="N3242" s="64">
        <f>IF($A3242="","",IFERROR(INDEX(부서매핑!$C$5:$C$504,MATCH($G3242&amp;"",부서매핑!$A$5:$A$504,0)),"미매핑"))</f>
        <v/>
      </c>
      <c r="O3242" s="9">
        <f>IF($A3242="","",N3242&amp;"|"&amp;$F3242)</f>
        <v/>
      </c>
      <c r="P3242" s="94">
        <f>IF($A3242="",0,$H3242*설정!$C$23)</f>
        <v/>
      </c>
      <c r="Q3242" s="64">
        <f>IF($A3242="","",IF(O3242&lt;&gt;원인분석!$C$9,"",IF(AND(M3242&gt;=원인분석!$C$10,M3242&lt;=원인분석!$C$11),"당기",IF(AND(M3242&gt;=원인분석!$C$12,M3242&lt;=원인분석!$C$13),"비교",""))))</f>
        <v/>
      </c>
      <c r="R3242" s="9">
        <f>IF(Q3242="","",$K3242&amp;"")</f>
        <v/>
      </c>
      <c r="S3242" s="9">
        <f>IF(Q3242="","",IF(MATCH(R3242,$R$5:$R$100000,0)=ROW()-4,ROW(),""))</f>
        <v/>
      </c>
      <c r="T3242" s="9">
        <f>IF(Q3242="당기",ABS(P3242)+ROW()/1000000000,"")</f>
        <v/>
      </c>
      <c r="U3242" s="9">
        <f>IF(Q3242="비교",ABS(P3242)+ROW()/1000000000,"")</f>
        <v/>
      </c>
      <c r="V3242" s="64">
        <f>IF($A3242="","",IF(COUNTIF(변동분석!$E$7:$E$506,O3242)&gt;0,"Y","N"))</f>
        <v/>
      </c>
      <c r="W3242" s="64">
        <f>IF($A3242="","",IFERROR(INDEX(계정매핑!$D$5:$D$504,MATCH($F3242&amp;"",계정매핑!$A$5:$A$504,0)),"미매핑"))</f>
        <v/>
      </c>
      <c r="X3242" s="9">
        <f>IF($A3242="","",$F3242&amp;"")</f>
        <v/>
      </c>
      <c r="Y3242" s="94">
        <f>IF($A3242="",0,IF(AE3242="직접",IF(AF3242="비귀속",$P3242,0),$P3242*(1-AG3242)*IFERROR(INDEX(계정대체기준!$F$20:$F$49,MATCH($N3242,계정대체기준!$A$20:$A$49,0)),1)))</f>
        <v/>
      </c>
      <c r="Z3242" s="94">
        <f>IF($A3242="",0,IF(AE3242="직접",IF(AF3242="신계약비",$P3242,0),$P3242*(1-AG3242)*IFERROR(INDEX(계정대체기준!$C$20:$C$49,MATCH($N3242,계정대체기준!$A$20:$A$49,0)),0)))</f>
        <v/>
      </c>
      <c r="AA3242" s="94">
        <f>IF($A3242="",0,IF(AE3242="직접",IF(OR(AF3242="유지비",AF3242="손해조사비"),$P3242,0),$P3242*(1-AG3242)*IFERROR(INDEX(계정대체기준!$D$20:$D$49,MATCH($N3242,계정대체기준!$A$20:$A$49,0)),0)))</f>
        <v/>
      </c>
      <c r="AB3242" s="94">
        <f>IF($A3242="",0,IF(AE3242="직접",IF(AF3242="수금비",$P3242,0),$P3242*(1-AG3242)*IFERROR(INDEX(계정대체기준!$E$20:$E$49,MATCH($N3242,계정대체기준!$A$20:$A$49,0)),0)))</f>
        <v/>
      </c>
      <c r="AC3242" s="9">
        <f>IF(AND($A3242&lt;&gt;"",M3242=설정!$C$20,Z3242&gt;0),Z3242+ROW()/1000000000,"")</f>
        <v/>
      </c>
      <c r="AD3242" s="94">
        <f>IF($A3242="",0,$P3242*AG3242)</f>
        <v/>
      </c>
      <c r="AE3242" s="64">
        <f>IF($A3242="","",IFERROR(INDEX(계정매핑!$E$5:$E$504,MATCH($F3242&amp;"",계정매핑!$A$5:$A$504,0))&amp;"","공통비"))</f>
        <v/>
      </c>
      <c r="AF3242" s="64">
        <f>IF($A3242="","",IF(AE3242="직접",IFERROR(INDEX(계정매핑!$F$5:$F$504,MATCH($F3242&amp;"",계정매핑!$A$5:$A$504,0))&amp;"","비귀속"),""))</f>
        <v/>
      </c>
      <c r="AG3242" s="96">
        <f>IF($A3242="",0,IF(AND(AE3242&lt;&gt;"직접",IFERROR(INDEX(계정매핑!$G$5:$G$504,MATCH($F3242&amp;"",계정매핑!$A$5:$A$504,0))&amp;"","")="유지비",COUNTIF(계정대체기준!$A$6:$A$15,$N3242)&gt;0),IFERROR(INDEX(계정대체기준!$E$6:$E$15,MATCH(VALUE($A3242&amp;""),계정대체기준!$D$6:$D$15,0)),0),0))</f>
        <v/>
      </c>
      <c r="AH3242" s="64">
        <f>IF($A3242="","",IF(AD3242=0,"",IF(OR(COUNTIF(계정대체기준!$A$77:$A$86,$N3242)&gt;0,ISNUMBER(MATCH($X3242,계정대체기준!$D$77:$D$86,0)),ISNUMBER(MATCH($F3242,계정대체기준!$D$77:$D$86,0))),"Y","N")))</f>
        <v/>
      </c>
    </row>
    <row r="3243">
      <c r="A3243" s="92" t="n">
        <v>2026</v>
      </c>
      <c r="B3243" s="92" t="n">
        <v>3</v>
      </c>
      <c r="C3243" s="92" t="inlineStr">
        <is>
          <t>5100000521</t>
        </is>
      </c>
      <c r="D3243" s="95" t="n">
        <v>46089</v>
      </c>
      <c r="E3243" s="92" t="inlineStr">
        <is>
          <t>KR</t>
        </is>
      </c>
      <c r="F3243" s="92" t="n">
        <v>62902000</v>
      </c>
      <c r="G3243" s="92" t="n">
        <v>1951</v>
      </c>
      <c r="H3243" s="93" t="n">
        <v>4610000</v>
      </c>
      <c r="I3243" s="92" t="inlineStr">
        <is>
          <t>3월 업무 위탁 수수료 - J콜센터</t>
        </is>
      </c>
      <c r="J3243" s="92" t="inlineStr">
        <is>
          <t>V10016</t>
        </is>
      </c>
      <c r="K3243" s="92" t="inlineStr">
        <is>
          <t>J콜센터</t>
        </is>
      </c>
      <c r="M3243" s="9">
        <f>IF($A3243="","",VALUE($A3243&amp;"")*12+VALUE($B3243&amp;""))</f>
        <v/>
      </c>
      <c r="N3243" s="64">
        <f>IF($A3243="","",IFERROR(INDEX(부서매핑!$C$5:$C$504,MATCH($G3243&amp;"",부서매핑!$A$5:$A$504,0)),"미매핑"))</f>
        <v/>
      </c>
      <c r="O3243" s="9">
        <f>IF($A3243="","",N3243&amp;"|"&amp;$F3243)</f>
        <v/>
      </c>
      <c r="P3243" s="94">
        <f>IF($A3243="",0,$H3243*설정!$C$23)</f>
        <v/>
      </c>
      <c r="Q3243" s="64">
        <f>IF($A3243="","",IF(O3243&lt;&gt;원인분석!$C$9,"",IF(AND(M3243&gt;=원인분석!$C$10,M3243&lt;=원인분석!$C$11),"당기",IF(AND(M3243&gt;=원인분석!$C$12,M3243&lt;=원인분석!$C$13),"비교",""))))</f>
        <v/>
      </c>
      <c r="R3243" s="9">
        <f>IF(Q3243="","",$K3243&amp;"")</f>
        <v/>
      </c>
      <c r="S3243" s="9">
        <f>IF(Q3243="","",IF(MATCH(R3243,$R$5:$R$100000,0)=ROW()-4,ROW(),""))</f>
        <v/>
      </c>
      <c r="T3243" s="9">
        <f>IF(Q3243="당기",ABS(P3243)+ROW()/1000000000,"")</f>
        <v/>
      </c>
      <c r="U3243" s="9">
        <f>IF(Q3243="비교",ABS(P3243)+ROW()/1000000000,"")</f>
        <v/>
      </c>
      <c r="V3243" s="64">
        <f>IF($A3243="","",IF(COUNTIF(변동분석!$E$7:$E$506,O3243)&gt;0,"Y","N"))</f>
        <v/>
      </c>
      <c r="W3243" s="64">
        <f>IF($A3243="","",IFERROR(INDEX(계정매핑!$D$5:$D$504,MATCH($F3243&amp;"",계정매핑!$A$5:$A$504,0)),"미매핑"))</f>
        <v/>
      </c>
      <c r="X3243" s="9">
        <f>IF($A3243="","",$F3243&amp;"")</f>
        <v/>
      </c>
      <c r="Y3243" s="94">
        <f>IF($A3243="",0,IF(AE3243="직접",IF(AF3243="비귀속",$P3243,0),$P3243*(1-AG3243)*IFERROR(INDEX(계정대체기준!$F$20:$F$49,MATCH($N3243,계정대체기준!$A$20:$A$49,0)),1)))</f>
        <v/>
      </c>
      <c r="Z3243" s="94">
        <f>IF($A3243="",0,IF(AE3243="직접",IF(AF3243="신계약비",$P3243,0),$P3243*(1-AG3243)*IFERROR(INDEX(계정대체기준!$C$20:$C$49,MATCH($N3243,계정대체기준!$A$20:$A$49,0)),0)))</f>
        <v/>
      </c>
      <c r="AA3243" s="94">
        <f>IF($A3243="",0,IF(AE3243="직접",IF(OR(AF3243="유지비",AF3243="손해조사비"),$P3243,0),$P3243*(1-AG3243)*IFERROR(INDEX(계정대체기준!$D$20:$D$49,MATCH($N3243,계정대체기준!$A$20:$A$49,0)),0)))</f>
        <v/>
      </c>
      <c r="AB3243" s="94">
        <f>IF($A3243="",0,IF(AE3243="직접",IF(AF3243="수금비",$P3243,0),$P3243*(1-AG3243)*IFERROR(INDEX(계정대체기준!$E$20:$E$49,MATCH($N3243,계정대체기준!$A$20:$A$49,0)),0)))</f>
        <v/>
      </c>
      <c r="AC3243" s="9">
        <f>IF(AND($A3243&lt;&gt;"",M3243=설정!$C$20,Z3243&gt;0),Z3243+ROW()/1000000000,"")</f>
        <v/>
      </c>
      <c r="AD3243" s="94">
        <f>IF($A3243="",0,$P3243*AG3243)</f>
        <v/>
      </c>
      <c r="AE3243" s="64">
        <f>IF($A3243="","",IFERROR(INDEX(계정매핑!$E$5:$E$504,MATCH($F3243&amp;"",계정매핑!$A$5:$A$504,0))&amp;"","공통비"))</f>
        <v/>
      </c>
      <c r="AF3243" s="64">
        <f>IF($A3243="","",IF(AE3243="직접",IFERROR(INDEX(계정매핑!$F$5:$F$504,MATCH($F3243&amp;"",계정매핑!$A$5:$A$504,0))&amp;"","비귀속"),""))</f>
        <v/>
      </c>
      <c r="AG3243" s="96">
        <f>IF($A3243="",0,IF(AND(AE3243&lt;&gt;"직접",IFERROR(INDEX(계정매핑!$G$5:$G$504,MATCH($F3243&amp;"",계정매핑!$A$5:$A$504,0))&amp;"","")="유지비",COUNTIF(계정대체기준!$A$6:$A$15,$N3243)&gt;0),IFERROR(INDEX(계정대체기준!$E$6:$E$15,MATCH(VALUE($A3243&amp;""),계정대체기준!$D$6:$D$15,0)),0),0))</f>
        <v/>
      </c>
      <c r="AH3243" s="64">
        <f>IF($A3243="","",IF(AD3243=0,"",IF(OR(COUNTIF(계정대체기준!$A$77:$A$86,$N3243)&gt;0,ISNUMBER(MATCH($X3243,계정대체기준!$D$77:$D$86,0)),ISNUMBER(MATCH($F3243,계정대체기준!$D$77:$D$86,0))),"Y","N")))</f>
        <v/>
      </c>
    </row>
    <row r="3244">
      <c r="A3244" s="92" t="n">
        <v>2026</v>
      </c>
      <c r="B3244" s="92" t="n">
        <v>3</v>
      </c>
      <c r="C3244" s="92" t="inlineStr">
        <is>
          <t>5100000522</t>
        </is>
      </c>
      <c r="D3244" s="95" t="n">
        <v>46090</v>
      </c>
      <c r="E3244" s="92" t="inlineStr">
        <is>
          <t>KR</t>
        </is>
      </c>
      <c r="F3244" s="92" t="n">
        <v>62101000</v>
      </c>
      <c r="G3244" s="92" t="n">
        <v>1701</v>
      </c>
      <c r="H3244" s="93" t="n">
        <v>236000</v>
      </c>
      <c r="I3244" s="92" t="inlineStr">
        <is>
          <t>3월 국내출장 - M항공</t>
        </is>
      </c>
      <c r="J3244" s="92" t="inlineStr">
        <is>
          <t>V10001</t>
        </is>
      </c>
      <c r="K3244" s="92" t="inlineStr">
        <is>
          <t>M항공</t>
        </is>
      </c>
      <c r="M3244" s="9">
        <f>IF($A3244="","",VALUE($A3244&amp;"")*12+VALUE($B3244&amp;""))</f>
        <v/>
      </c>
      <c r="N3244" s="64">
        <f>IF($A3244="","",IFERROR(INDEX(부서매핑!$C$5:$C$504,MATCH($G3244&amp;"",부서매핑!$A$5:$A$504,0)),"미매핑"))</f>
        <v/>
      </c>
      <c r="O3244" s="9">
        <f>IF($A3244="","",N3244&amp;"|"&amp;$F3244)</f>
        <v/>
      </c>
      <c r="P3244" s="94">
        <f>IF($A3244="",0,$H3244*설정!$C$23)</f>
        <v/>
      </c>
      <c r="Q3244" s="64">
        <f>IF($A3244="","",IF(O3244&lt;&gt;원인분석!$C$9,"",IF(AND(M3244&gt;=원인분석!$C$10,M3244&lt;=원인분석!$C$11),"당기",IF(AND(M3244&gt;=원인분석!$C$12,M3244&lt;=원인분석!$C$13),"비교",""))))</f>
        <v/>
      </c>
      <c r="R3244" s="9">
        <f>IF(Q3244="","",$K3244&amp;"")</f>
        <v/>
      </c>
      <c r="S3244" s="9">
        <f>IF(Q3244="","",IF(MATCH(R3244,$R$5:$R$100000,0)=ROW()-4,ROW(),""))</f>
        <v/>
      </c>
      <c r="T3244" s="9">
        <f>IF(Q3244="당기",ABS(P3244)+ROW()/1000000000,"")</f>
        <v/>
      </c>
      <c r="U3244" s="9">
        <f>IF(Q3244="비교",ABS(P3244)+ROW()/1000000000,"")</f>
        <v/>
      </c>
      <c r="V3244" s="64">
        <f>IF($A3244="","",IF(COUNTIF(변동분석!$E$7:$E$506,O3244)&gt;0,"Y","N"))</f>
        <v/>
      </c>
      <c r="W3244" s="64">
        <f>IF($A3244="","",IFERROR(INDEX(계정매핑!$D$5:$D$504,MATCH($F3244&amp;"",계정매핑!$A$5:$A$504,0)),"미매핑"))</f>
        <v/>
      </c>
      <c r="X3244" s="9">
        <f>IF($A3244="","",$F3244&amp;"")</f>
        <v/>
      </c>
      <c r="Y3244" s="94">
        <f>IF($A3244="",0,IF(AE3244="직접",IF(AF3244="비귀속",$P3244,0),$P3244*(1-AG3244)*IFERROR(INDEX(계정대체기준!$F$20:$F$49,MATCH($N3244,계정대체기준!$A$20:$A$49,0)),1)))</f>
        <v/>
      </c>
      <c r="Z3244" s="94">
        <f>IF($A3244="",0,IF(AE3244="직접",IF(AF3244="신계약비",$P3244,0),$P3244*(1-AG3244)*IFERROR(INDEX(계정대체기준!$C$20:$C$49,MATCH($N3244,계정대체기준!$A$20:$A$49,0)),0)))</f>
        <v/>
      </c>
      <c r="AA3244" s="94">
        <f>IF($A3244="",0,IF(AE3244="직접",IF(OR(AF3244="유지비",AF3244="손해조사비"),$P3244,0),$P3244*(1-AG3244)*IFERROR(INDEX(계정대체기준!$D$20:$D$49,MATCH($N3244,계정대체기준!$A$20:$A$49,0)),0)))</f>
        <v/>
      </c>
      <c r="AB3244" s="94">
        <f>IF($A3244="",0,IF(AE3244="직접",IF(AF3244="수금비",$P3244,0),$P3244*(1-AG3244)*IFERROR(INDEX(계정대체기준!$E$20:$E$49,MATCH($N3244,계정대체기준!$A$20:$A$49,0)),0)))</f>
        <v/>
      </c>
      <c r="AC3244" s="9">
        <f>IF(AND($A3244&lt;&gt;"",M3244=설정!$C$20,Z3244&gt;0),Z3244+ROW()/1000000000,"")</f>
        <v/>
      </c>
      <c r="AD3244" s="94">
        <f>IF($A3244="",0,$P3244*AG3244)</f>
        <v/>
      </c>
      <c r="AE3244" s="64">
        <f>IF($A3244="","",IFERROR(INDEX(계정매핑!$E$5:$E$504,MATCH($F3244&amp;"",계정매핑!$A$5:$A$504,0))&amp;"","공통비"))</f>
        <v/>
      </c>
      <c r="AF3244" s="64">
        <f>IF($A3244="","",IF(AE3244="직접",IFERROR(INDEX(계정매핑!$F$5:$F$504,MATCH($F3244&amp;"",계정매핑!$A$5:$A$504,0))&amp;"","비귀속"),""))</f>
        <v/>
      </c>
      <c r="AG3244" s="96">
        <f>IF($A3244="",0,IF(AND(AE3244&lt;&gt;"직접",IFERROR(INDEX(계정매핑!$G$5:$G$504,MATCH($F3244&amp;"",계정매핑!$A$5:$A$504,0))&amp;"","")="유지비",COUNTIF(계정대체기준!$A$6:$A$15,$N3244)&gt;0),IFERROR(INDEX(계정대체기준!$E$6:$E$15,MATCH(VALUE($A3244&amp;""),계정대체기준!$D$6:$D$15,0)),0),0))</f>
        <v/>
      </c>
      <c r="AH3244" s="64">
        <f>IF($A3244="","",IF(AD3244=0,"",IF(OR(COUNTIF(계정대체기준!$A$77:$A$86,$N3244)&gt;0,ISNUMBER(MATCH($X3244,계정대체기준!$D$77:$D$86,0)),ISNUMBER(MATCH($F3244,계정대체기준!$D$77:$D$86,0))),"Y","N")))</f>
        <v/>
      </c>
    </row>
    <row r="3245">
      <c r="A3245" s="92" t="n">
        <v>2026</v>
      </c>
      <c r="B3245" s="92" t="n">
        <v>3</v>
      </c>
      <c r="C3245" s="92" t="inlineStr">
        <is>
          <t>5100000523</t>
        </is>
      </c>
      <c r="D3245" s="95" t="n">
        <v>46090</v>
      </c>
      <c r="E3245" s="92" t="inlineStr">
        <is>
          <t>KR</t>
        </is>
      </c>
      <c r="F3245" s="92" t="n">
        <v>62101000</v>
      </c>
      <c r="G3245" s="92" t="n">
        <v>1801</v>
      </c>
      <c r="H3245" s="93" t="n">
        <v>220000</v>
      </c>
      <c r="I3245" s="92" t="inlineStr">
        <is>
          <t>3월 국내출장 - M항공</t>
        </is>
      </c>
      <c r="J3245" s="92" t="inlineStr">
        <is>
          <t>V10001</t>
        </is>
      </c>
      <c r="K3245" s="92" t="inlineStr">
        <is>
          <t>M항공</t>
        </is>
      </c>
      <c r="M3245" s="9">
        <f>IF($A3245="","",VALUE($A3245&amp;"")*12+VALUE($B3245&amp;""))</f>
        <v/>
      </c>
      <c r="N3245" s="64">
        <f>IF($A3245="","",IFERROR(INDEX(부서매핑!$C$5:$C$504,MATCH($G3245&amp;"",부서매핑!$A$5:$A$504,0)),"미매핑"))</f>
        <v/>
      </c>
      <c r="O3245" s="9">
        <f>IF($A3245="","",N3245&amp;"|"&amp;$F3245)</f>
        <v/>
      </c>
      <c r="P3245" s="94">
        <f>IF($A3245="",0,$H3245*설정!$C$23)</f>
        <v/>
      </c>
      <c r="Q3245" s="64">
        <f>IF($A3245="","",IF(O3245&lt;&gt;원인분석!$C$9,"",IF(AND(M3245&gt;=원인분석!$C$10,M3245&lt;=원인분석!$C$11),"당기",IF(AND(M3245&gt;=원인분석!$C$12,M3245&lt;=원인분석!$C$13),"비교",""))))</f>
        <v/>
      </c>
      <c r="R3245" s="9">
        <f>IF(Q3245="","",$K3245&amp;"")</f>
        <v/>
      </c>
      <c r="S3245" s="9">
        <f>IF(Q3245="","",IF(MATCH(R3245,$R$5:$R$100000,0)=ROW()-4,ROW(),""))</f>
        <v/>
      </c>
      <c r="T3245" s="9">
        <f>IF(Q3245="당기",ABS(P3245)+ROW()/1000000000,"")</f>
        <v/>
      </c>
      <c r="U3245" s="9">
        <f>IF(Q3245="비교",ABS(P3245)+ROW()/1000000000,"")</f>
        <v/>
      </c>
      <c r="V3245" s="64">
        <f>IF($A3245="","",IF(COUNTIF(변동분석!$E$7:$E$506,O3245)&gt;0,"Y","N"))</f>
        <v/>
      </c>
      <c r="W3245" s="64">
        <f>IF($A3245="","",IFERROR(INDEX(계정매핑!$D$5:$D$504,MATCH($F3245&amp;"",계정매핑!$A$5:$A$504,0)),"미매핑"))</f>
        <v/>
      </c>
      <c r="X3245" s="9">
        <f>IF($A3245="","",$F3245&amp;"")</f>
        <v/>
      </c>
      <c r="Y3245" s="94">
        <f>IF($A3245="",0,IF(AE3245="직접",IF(AF3245="비귀속",$P3245,0),$P3245*(1-AG3245)*IFERROR(INDEX(계정대체기준!$F$20:$F$49,MATCH($N3245,계정대체기준!$A$20:$A$49,0)),1)))</f>
        <v/>
      </c>
      <c r="Z3245" s="94">
        <f>IF($A3245="",0,IF(AE3245="직접",IF(AF3245="신계약비",$P3245,0),$P3245*(1-AG3245)*IFERROR(INDEX(계정대체기준!$C$20:$C$49,MATCH($N3245,계정대체기준!$A$20:$A$49,0)),0)))</f>
        <v/>
      </c>
      <c r="AA3245" s="94">
        <f>IF($A3245="",0,IF(AE3245="직접",IF(OR(AF3245="유지비",AF3245="손해조사비"),$P3245,0),$P3245*(1-AG3245)*IFERROR(INDEX(계정대체기준!$D$20:$D$49,MATCH($N3245,계정대체기준!$A$20:$A$49,0)),0)))</f>
        <v/>
      </c>
      <c r="AB3245" s="94">
        <f>IF($A3245="",0,IF(AE3245="직접",IF(AF3245="수금비",$P3245,0),$P3245*(1-AG3245)*IFERROR(INDEX(계정대체기준!$E$20:$E$49,MATCH($N3245,계정대체기준!$A$20:$A$49,0)),0)))</f>
        <v/>
      </c>
      <c r="AC3245" s="9">
        <f>IF(AND($A3245&lt;&gt;"",M3245=설정!$C$20,Z3245&gt;0),Z3245+ROW()/1000000000,"")</f>
        <v/>
      </c>
      <c r="AD3245" s="94">
        <f>IF($A3245="",0,$P3245*AG3245)</f>
        <v/>
      </c>
      <c r="AE3245" s="64">
        <f>IF($A3245="","",IFERROR(INDEX(계정매핑!$E$5:$E$504,MATCH($F3245&amp;"",계정매핑!$A$5:$A$504,0))&amp;"","공통비"))</f>
        <v/>
      </c>
      <c r="AF3245" s="64">
        <f>IF($A3245="","",IF(AE3245="직접",IFERROR(INDEX(계정매핑!$F$5:$F$504,MATCH($F3245&amp;"",계정매핑!$A$5:$A$504,0))&amp;"","비귀속"),""))</f>
        <v/>
      </c>
      <c r="AG3245" s="96">
        <f>IF($A3245="",0,IF(AND(AE3245&lt;&gt;"직접",IFERROR(INDEX(계정매핑!$G$5:$G$504,MATCH($F3245&amp;"",계정매핑!$A$5:$A$504,0))&amp;"","")="유지비",COUNTIF(계정대체기준!$A$6:$A$15,$N3245)&gt;0),IFERROR(INDEX(계정대체기준!$E$6:$E$15,MATCH(VALUE($A3245&amp;""),계정대체기준!$D$6:$D$15,0)),0),0))</f>
        <v/>
      </c>
      <c r="AH3245" s="64">
        <f>IF($A3245="","",IF(AD3245=0,"",IF(OR(COUNTIF(계정대체기준!$A$77:$A$86,$N3245)&gt;0,ISNUMBER(MATCH($X3245,계정대체기준!$D$77:$D$86,0)),ISNUMBER(MATCH($F3245,계정대체기준!$D$77:$D$86,0))),"Y","N")))</f>
        <v/>
      </c>
    </row>
    <row r="3246">
      <c r="A3246" s="92" t="n">
        <v>2026</v>
      </c>
      <c r="B3246" s="92" t="n">
        <v>3</v>
      </c>
      <c r="C3246" s="92" t="inlineStr">
        <is>
          <t>5100000524</t>
        </is>
      </c>
      <c r="D3246" s="95" t="n">
        <v>46090</v>
      </c>
      <c r="E3246" s="92" t="inlineStr">
        <is>
          <t>KR</t>
        </is>
      </c>
      <c r="F3246" s="92" t="n">
        <v>62101000</v>
      </c>
      <c r="G3246" s="92" t="n">
        <v>1951</v>
      </c>
      <c r="H3246" s="93" t="n">
        <v>307000</v>
      </c>
      <c r="I3246" s="92" t="inlineStr">
        <is>
          <t>3월 국내출장 - M항공</t>
        </is>
      </c>
      <c r="J3246" s="92" t="inlineStr">
        <is>
          <t>V10001</t>
        </is>
      </c>
      <c r="K3246" s="92" t="inlineStr">
        <is>
          <t>M항공</t>
        </is>
      </c>
      <c r="M3246" s="9">
        <f>IF($A3246="","",VALUE($A3246&amp;"")*12+VALUE($B3246&amp;""))</f>
        <v/>
      </c>
      <c r="N3246" s="64">
        <f>IF($A3246="","",IFERROR(INDEX(부서매핑!$C$5:$C$504,MATCH($G3246&amp;"",부서매핑!$A$5:$A$504,0)),"미매핑"))</f>
        <v/>
      </c>
      <c r="O3246" s="9">
        <f>IF($A3246="","",N3246&amp;"|"&amp;$F3246)</f>
        <v/>
      </c>
      <c r="P3246" s="94">
        <f>IF($A3246="",0,$H3246*설정!$C$23)</f>
        <v/>
      </c>
      <c r="Q3246" s="64">
        <f>IF($A3246="","",IF(O3246&lt;&gt;원인분석!$C$9,"",IF(AND(M3246&gt;=원인분석!$C$10,M3246&lt;=원인분석!$C$11),"당기",IF(AND(M3246&gt;=원인분석!$C$12,M3246&lt;=원인분석!$C$13),"비교",""))))</f>
        <v/>
      </c>
      <c r="R3246" s="9">
        <f>IF(Q3246="","",$K3246&amp;"")</f>
        <v/>
      </c>
      <c r="S3246" s="9">
        <f>IF(Q3246="","",IF(MATCH(R3246,$R$5:$R$100000,0)=ROW()-4,ROW(),""))</f>
        <v/>
      </c>
      <c r="T3246" s="9">
        <f>IF(Q3246="당기",ABS(P3246)+ROW()/1000000000,"")</f>
        <v/>
      </c>
      <c r="U3246" s="9">
        <f>IF(Q3246="비교",ABS(P3246)+ROW()/1000000000,"")</f>
        <v/>
      </c>
      <c r="V3246" s="64">
        <f>IF($A3246="","",IF(COUNTIF(변동분석!$E$7:$E$506,O3246)&gt;0,"Y","N"))</f>
        <v/>
      </c>
      <c r="W3246" s="64">
        <f>IF($A3246="","",IFERROR(INDEX(계정매핑!$D$5:$D$504,MATCH($F3246&amp;"",계정매핑!$A$5:$A$504,0)),"미매핑"))</f>
        <v/>
      </c>
      <c r="X3246" s="9">
        <f>IF($A3246="","",$F3246&amp;"")</f>
        <v/>
      </c>
      <c r="Y3246" s="94">
        <f>IF($A3246="",0,IF(AE3246="직접",IF(AF3246="비귀속",$P3246,0),$P3246*(1-AG3246)*IFERROR(INDEX(계정대체기준!$F$20:$F$49,MATCH($N3246,계정대체기준!$A$20:$A$49,0)),1)))</f>
        <v/>
      </c>
      <c r="Z3246" s="94">
        <f>IF($A3246="",0,IF(AE3246="직접",IF(AF3246="신계약비",$P3246,0),$P3246*(1-AG3246)*IFERROR(INDEX(계정대체기준!$C$20:$C$49,MATCH($N3246,계정대체기준!$A$20:$A$49,0)),0)))</f>
        <v/>
      </c>
      <c r="AA3246" s="94">
        <f>IF($A3246="",0,IF(AE3246="직접",IF(OR(AF3246="유지비",AF3246="손해조사비"),$P3246,0),$P3246*(1-AG3246)*IFERROR(INDEX(계정대체기준!$D$20:$D$49,MATCH($N3246,계정대체기준!$A$20:$A$49,0)),0)))</f>
        <v/>
      </c>
      <c r="AB3246" s="94">
        <f>IF($A3246="",0,IF(AE3246="직접",IF(AF3246="수금비",$P3246,0),$P3246*(1-AG3246)*IFERROR(INDEX(계정대체기준!$E$20:$E$49,MATCH($N3246,계정대체기준!$A$20:$A$49,0)),0)))</f>
        <v/>
      </c>
      <c r="AC3246" s="9">
        <f>IF(AND($A3246&lt;&gt;"",M3246=설정!$C$20,Z3246&gt;0),Z3246+ROW()/1000000000,"")</f>
        <v/>
      </c>
      <c r="AD3246" s="94">
        <f>IF($A3246="",0,$P3246*AG3246)</f>
        <v/>
      </c>
      <c r="AE3246" s="64">
        <f>IF($A3246="","",IFERROR(INDEX(계정매핑!$E$5:$E$504,MATCH($F3246&amp;"",계정매핑!$A$5:$A$504,0))&amp;"","공통비"))</f>
        <v/>
      </c>
      <c r="AF3246" s="64">
        <f>IF($A3246="","",IF(AE3246="직접",IFERROR(INDEX(계정매핑!$F$5:$F$504,MATCH($F3246&amp;"",계정매핑!$A$5:$A$504,0))&amp;"","비귀속"),""))</f>
        <v/>
      </c>
      <c r="AG3246" s="96">
        <f>IF($A3246="",0,IF(AND(AE3246&lt;&gt;"직접",IFERROR(INDEX(계정매핑!$G$5:$G$504,MATCH($F3246&amp;"",계정매핑!$A$5:$A$504,0))&amp;"","")="유지비",COUNTIF(계정대체기준!$A$6:$A$15,$N3246)&gt;0),IFERROR(INDEX(계정대체기준!$E$6:$E$15,MATCH(VALUE($A3246&amp;""),계정대체기준!$D$6:$D$15,0)),0),0))</f>
        <v/>
      </c>
      <c r="AH3246" s="64">
        <f>IF($A3246="","",IF(AD3246=0,"",IF(OR(COUNTIF(계정대체기준!$A$77:$A$86,$N3246)&gt;0,ISNUMBER(MATCH($X3246,계정대체기준!$D$77:$D$86,0)),ISNUMBER(MATCH($F3246,계정대체기준!$D$77:$D$86,0))),"Y","N")))</f>
        <v/>
      </c>
    </row>
    <row r="3247">
      <c r="A3247" s="92" t="n">
        <v>2026</v>
      </c>
      <c r="B3247" s="92" t="n">
        <v>3</v>
      </c>
      <c r="C3247" s="92" t="inlineStr">
        <is>
          <t>5100000525</t>
        </is>
      </c>
      <c r="D3247" s="95" t="n">
        <v>46090</v>
      </c>
      <c r="E3247" s="92" t="inlineStr">
        <is>
          <t>KR</t>
        </is>
      </c>
      <c r="F3247" s="92" t="n">
        <v>62102000</v>
      </c>
      <c r="G3247" s="92" t="n">
        <v>1501</v>
      </c>
      <c r="H3247" s="93" t="n">
        <v>170000</v>
      </c>
      <c r="I3247" s="92" t="inlineStr">
        <is>
          <t>3월 해외출장 - N호텔</t>
        </is>
      </c>
      <c r="J3247" s="92" t="inlineStr">
        <is>
          <t>V10009</t>
        </is>
      </c>
      <c r="K3247" s="92" t="inlineStr">
        <is>
          <t>N호텔</t>
        </is>
      </c>
      <c r="M3247" s="9">
        <f>IF($A3247="","",VALUE($A3247&amp;"")*12+VALUE($B3247&amp;""))</f>
        <v/>
      </c>
      <c r="N3247" s="64">
        <f>IF($A3247="","",IFERROR(INDEX(부서매핑!$C$5:$C$504,MATCH($G3247&amp;"",부서매핑!$A$5:$A$504,0)),"미매핑"))</f>
        <v/>
      </c>
      <c r="O3247" s="9">
        <f>IF($A3247="","",N3247&amp;"|"&amp;$F3247)</f>
        <v/>
      </c>
      <c r="P3247" s="94">
        <f>IF($A3247="",0,$H3247*설정!$C$23)</f>
        <v/>
      </c>
      <c r="Q3247" s="64">
        <f>IF($A3247="","",IF(O3247&lt;&gt;원인분석!$C$9,"",IF(AND(M3247&gt;=원인분석!$C$10,M3247&lt;=원인분석!$C$11),"당기",IF(AND(M3247&gt;=원인분석!$C$12,M3247&lt;=원인분석!$C$13),"비교",""))))</f>
        <v/>
      </c>
      <c r="R3247" s="9">
        <f>IF(Q3247="","",$K3247&amp;"")</f>
        <v/>
      </c>
      <c r="S3247" s="9">
        <f>IF(Q3247="","",IF(MATCH(R3247,$R$5:$R$100000,0)=ROW()-4,ROW(),""))</f>
        <v/>
      </c>
      <c r="T3247" s="9">
        <f>IF(Q3247="당기",ABS(P3247)+ROW()/1000000000,"")</f>
        <v/>
      </c>
      <c r="U3247" s="9">
        <f>IF(Q3247="비교",ABS(P3247)+ROW()/1000000000,"")</f>
        <v/>
      </c>
      <c r="V3247" s="64">
        <f>IF($A3247="","",IF(COUNTIF(변동분석!$E$7:$E$506,O3247)&gt;0,"Y","N"))</f>
        <v/>
      </c>
      <c r="W3247" s="64">
        <f>IF($A3247="","",IFERROR(INDEX(계정매핑!$D$5:$D$504,MATCH($F3247&amp;"",계정매핑!$A$5:$A$504,0)),"미매핑"))</f>
        <v/>
      </c>
      <c r="X3247" s="9">
        <f>IF($A3247="","",$F3247&amp;"")</f>
        <v/>
      </c>
      <c r="Y3247" s="94">
        <f>IF($A3247="",0,IF(AE3247="직접",IF(AF3247="비귀속",$P3247,0),$P3247*(1-AG3247)*IFERROR(INDEX(계정대체기준!$F$20:$F$49,MATCH($N3247,계정대체기준!$A$20:$A$49,0)),1)))</f>
        <v/>
      </c>
      <c r="Z3247" s="94">
        <f>IF($A3247="",0,IF(AE3247="직접",IF(AF3247="신계약비",$P3247,0),$P3247*(1-AG3247)*IFERROR(INDEX(계정대체기준!$C$20:$C$49,MATCH($N3247,계정대체기준!$A$20:$A$49,0)),0)))</f>
        <v/>
      </c>
      <c r="AA3247" s="94">
        <f>IF($A3247="",0,IF(AE3247="직접",IF(OR(AF3247="유지비",AF3247="손해조사비"),$P3247,0),$P3247*(1-AG3247)*IFERROR(INDEX(계정대체기준!$D$20:$D$49,MATCH($N3247,계정대체기준!$A$20:$A$49,0)),0)))</f>
        <v/>
      </c>
      <c r="AB3247" s="94">
        <f>IF($A3247="",0,IF(AE3247="직접",IF(AF3247="수금비",$P3247,0),$P3247*(1-AG3247)*IFERROR(INDEX(계정대체기준!$E$20:$E$49,MATCH($N3247,계정대체기준!$A$20:$A$49,0)),0)))</f>
        <v/>
      </c>
      <c r="AC3247" s="9">
        <f>IF(AND($A3247&lt;&gt;"",M3247=설정!$C$20,Z3247&gt;0),Z3247+ROW()/1000000000,"")</f>
        <v/>
      </c>
      <c r="AD3247" s="94">
        <f>IF($A3247="",0,$P3247*AG3247)</f>
        <v/>
      </c>
      <c r="AE3247" s="64">
        <f>IF($A3247="","",IFERROR(INDEX(계정매핑!$E$5:$E$504,MATCH($F3247&amp;"",계정매핑!$A$5:$A$504,0))&amp;"","공통비"))</f>
        <v/>
      </c>
      <c r="AF3247" s="64">
        <f>IF($A3247="","",IF(AE3247="직접",IFERROR(INDEX(계정매핑!$F$5:$F$504,MATCH($F3247&amp;"",계정매핑!$A$5:$A$504,0))&amp;"","비귀속"),""))</f>
        <v/>
      </c>
      <c r="AG3247" s="96">
        <f>IF($A3247="",0,IF(AND(AE3247&lt;&gt;"직접",IFERROR(INDEX(계정매핑!$G$5:$G$504,MATCH($F3247&amp;"",계정매핑!$A$5:$A$504,0))&amp;"","")="유지비",COUNTIF(계정대체기준!$A$6:$A$15,$N3247)&gt;0),IFERROR(INDEX(계정대체기준!$E$6:$E$15,MATCH(VALUE($A3247&amp;""),계정대체기준!$D$6:$D$15,0)),0),0))</f>
        <v/>
      </c>
      <c r="AH3247" s="64">
        <f>IF($A3247="","",IF(AD3247=0,"",IF(OR(COUNTIF(계정대체기준!$A$77:$A$86,$N3247)&gt;0,ISNUMBER(MATCH($X3247,계정대체기준!$D$77:$D$86,0)),ISNUMBER(MATCH($F3247,계정대체기준!$D$77:$D$86,0))),"Y","N")))</f>
        <v/>
      </c>
    </row>
    <row r="3248">
      <c r="A3248" s="92" t="n">
        <v>2026</v>
      </c>
      <c r="B3248" s="92" t="n">
        <v>3</v>
      </c>
      <c r="C3248" s="92" t="inlineStr">
        <is>
          <t>5100000526</t>
        </is>
      </c>
      <c r="D3248" s="95" t="n">
        <v>46090</v>
      </c>
      <c r="E3248" s="92" t="inlineStr">
        <is>
          <t>KR</t>
        </is>
      </c>
      <c r="F3248" s="92" t="n">
        <v>62102000</v>
      </c>
      <c r="G3248" s="92" t="n">
        <v>1502</v>
      </c>
      <c r="H3248" s="93" t="n">
        <v>179000</v>
      </c>
      <c r="I3248" s="92" t="inlineStr">
        <is>
          <t>3월 해외출장 - N호텔</t>
        </is>
      </c>
      <c r="J3248" s="92" t="inlineStr">
        <is>
          <t>V10009</t>
        </is>
      </c>
      <c r="K3248" s="92" t="inlineStr">
        <is>
          <t>N호텔</t>
        </is>
      </c>
      <c r="M3248" s="9">
        <f>IF($A3248="","",VALUE($A3248&amp;"")*12+VALUE($B3248&amp;""))</f>
        <v/>
      </c>
      <c r="N3248" s="64">
        <f>IF($A3248="","",IFERROR(INDEX(부서매핑!$C$5:$C$504,MATCH($G3248&amp;"",부서매핑!$A$5:$A$504,0)),"미매핑"))</f>
        <v/>
      </c>
      <c r="O3248" s="9">
        <f>IF($A3248="","",N3248&amp;"|"&amp;$F3248)</f>
        <v/>
      </c>
      <c r="P3248" s="94">
        <f>IF($A3248="",0,$H3248*설정!$C$23)</f>
        <v/>
      </c>
      <c r="Q3248" s="64">
        <f>IF($A3248="","",IF(O3248&lt;&gt;원인분석!$C$9,"",IF(AND(M3248&gt;=원인분석!$C$10,M3248&lt;=원인분석!$C$11),"당기",IF(AND(M3248&gt;=원인분석!$C$12,M3248&lt;=원인분석!$C$13),"비교",""))))</f>
        <v/>
      </c>
      <c r="R3248" s="9">
        <f>IF(Q3248="","",$K3248&amp;"")</f>
        <v/>
      </c>
      <c r="S3248" s="9">
        <f>IF(Q3248="","",IF(MATCH(R3248,$R$5:$R$100000,0)=ROW()-4,ROW(),""))</f>
        <v/>
      </c>
      <c r="T3248" s="9">
        <f>IF(Q3248="당기",ABS(P3248)+ROW()/1000000000,"")</f>
        <v/>
      </c>
      <c r="U3248" s="9">
        <f>IF(Q3248="비교",ABS(P3248)+ROW()/1000000000,"")</f>
        <v/>
      </c>
      <c r="V3248" s="64">
        <f>IF($A3248="","",IF(COUNTIF(변동분석!$E$7:$E$506,O3248)&gt;0,"Y","N"))</f>
        <v/>
      </c>
      <c r="W3248" s="64">
        <f>IF($A3248="","",IFERROR(INDEX(계정매핑!$D$5:$D$504,MATCH($F3248&amp;"",계정매핑!$A$5:$A$504,0)),"미매핑"))</f>
        <v/>
      </c>
      <c r="X3248" s="9">
        <f>IF($A3248="","",$F3248&amp;"")</f>
        <v/>
      </c>
      <c r="Y3248" s="94">
        <f>IF($A3248="",0,IF(AE3248="직접",IF(AF3248="비귀속",$P3248,0),$P3248*(1-AG3248)*IFERROR(INDEX(계정대체기준!$F$20:$F$49,MATCH($N3248,계정대체기준!$A$20:$A$49,0)),1)))</f>
        <v/>
      </c>
      <c r="Z3248" s="94">
        <f>IF($A3248="",0,IF(AE3248="직접",IF(AF3248="신계약비",$P3248,0),$P3248*(1-AG3248)*IFERROR(INDEX(계정대체기준!$C$20:$C$49,MATCH($N3248,계정대체기준!$A$20:$A$49,0)),0)))</f>
        <v/>
      </c>
      <c r="AA3248" s="94">
        <f>IF($A3248="",0,IF(AE3248="직접",IF(OR(AF3248="유지비",AF3248="손해조사비"),$P3248,0),$P3248*(1-AG3248)*IFERROR(INDEX(계정대체기준!$D$20:$D$49,MATCH($N3248,계정대체기준!$A$20:$A$49,0)),0)))</f>
        <v/>
      </c>
      <c r="AB3248" s="94">
        <f>IF($A3248="",0,IF(AE3248="직접",IF(AF3248="수금비",$P3248,0),$P3248*(1-AG3248)*IFERROR(INDEX(계정대체기준!$E$20:$E$49,MATCH($N3248,계정대체기준!$A$20:$A$49,0)),0)))</f>
        <v/>
      </c>
      <c r="AC3248" s="9">
        <f>IF(AND($A3248&lt;&gt;"",M3248=설정!$C$20,Z3248&gt;0),Z3248+ROW()/1000000000,"")</f>
        <v/>
      </c>
      <c r="AD3248" s="94">
        <f>IF($A3248="",0,$P3248*AG3248)</f>
        <v/>
      </c>
      <c r="AE3248" s="64">
        <f>IF($A3248="","",IFERROR(INDEX(계정매핑!$E$5:$E$504,MATCH($F3248&amp;"",계정매핑!$A$5:$A$504,0))&amp;"","공통비"))</f>
        <v/>
      </c>
      <c r="AF3248" s="64">
        <f>IF($A3248="","",IF(AE3248="직접",IFERROR(INDEX(계정매핑!$F$5:$F$504,MATCH($F3248&amp;"",계정매핑!$A$5:$A$504,0))&amp;"","비귀속"),""))</f>
        <v/>
      </c>
      <c r="AG3248" s="96">
        <f>IF($A3248="",0,IF(AND(AE3248&lt;&gt;"직접",IFERROR(INDEX(계정매핑!$G$5:$G$504,MATCH($F3248&amp;"",계정매핑!$A$5:$A$504,0))&amp;"","")="유지비",COUNTIF(계정대체기준!$A$6:$A$15,$N3248)&gt;0),IFERROR(INDEX(계정대체기준!$E$6:$E$15,MATCH(VALUE($A3248&amp;""),계정대체기준!$D$6:$D$15,0)),0),0))</f>
        <v/>
      </c>
      <c r="AH3248" s="64">
        <f>IF($A3248="","",IF(AD3248=0,"",IF(OR(COUNTIF(계정대체기준!$A$77:$A$86,$N3248)&gt;0,ISNUMBER(MATCH($X3248,계정대체기준!$D$77:$D$86,0)),ISNUMBER(MATCH($F3248,계정대체기준!$D$77:$D$86,0))),"Y","N")))</f>
        <v/>
      </c>
    </row>
    <row r="3249">
      <c r="A3249" s="92" t="n">
        <v>2026</v>
      </c>
      <c r="B3249" s="92" t="n">
        <v>3</v>
      </c>
      <c r="C3249" s="92" t="inlineStr">
        <is>
          <t>5100000527</t>
        </is>
      </c>
      <c r="D3249" s="95" t="n">
        <v>46090</v>
      </c>
      <c r="E3249" s="92" t="inlineStr">
        <is>
          <t>KR</t>
        </is>
      </c>
      <c r="F3249" s="92" t="n">
        <v>62201000</v>
      </c>
      <c r="G3249" s="92" t="n">
        <v>1201</v>
      </c>
      <c r="H3249" s="93" t="n">
        <v>109000</v>
      </c>
      <c r="I3249" s="92" t="inlineStr">
        <is>
          <t>3월 통신요금 - O텔레콤</t>
        </is>
      </c>
      <c r="J3249" s="92" t="inlineStr">
        <is>
          <t>V10002</t>
        </is>
      </c>
      <c r="K3249" s="92" t="inlineStr">
        <is>
          <t>O텔레콤</t>
        </is>
      </c>
      <c r="M3249" s="9">
        <f>IF($A3249="","",VALUE($A3249&amp;"")*12+VALUE($B3249&amp;""))</f>
        <v/>
      </c>
      <c r="N3249" s="64">
        <f>IF($A3249="","",IFERROR(INDEX(부서매핑!$C$5:$C$504,MATCH($G3249&amp;"",부서매핑!$A$5:$A$504,0)),"미매핑"))</f>
        <v/>
      </c>
      <c r="O3249" s="9">
        <f>IF($A3249="","",N3249&amp;"|"&amp;$F3249)</f>
        <v/>
      </c>
      <c r="P3249" s="94">
        <f>IF($A3249="",0,$H3249*설정!$C$23)</f>
        <v/>
      </c>
      <c r="Q3249" s="64">
        <f>IF($A3249="","",IF(O3249&lt;&gt;원인분석!$C$9,"",IF(AND(M3249&gt;=원인분석!$C$10,M3249&lt;=원인분석!$C$11),"당기",IF(AND(M3249&gt;=원인분석!$C$12,M3249&lt;=원인분석!$C$13),"비교",""))))</f>
        <v/>
      </c>
      <c r="R3249" s="9">
        <f>IF(Q3249="","",$K3249&amp;"")</f>
        <v/>
      </c>
      <c r="S3249" s="9">
        <f>IF(Q3249="","",IF(MATCH(R3249,$R$5:$R$100000,0)=ROW()-4,ROW(),""))</f>
        <v/>
      </c>
      <c r="T3249" s="9">
        <f>IF(Q3249="당기",ABS(P3249)+ROW()/1000000000,"")</f>
        <v/>
      </c>
      <c r="U3249" s="9">
        <f>IF(Q3249="비교",ABS(P3249)+ROW()/1000000000,"")</f>
        <v/>
      </c>
      <c r="V3249" s="64">
        <f>IF($A3249="","",IF(COUNTIF(변동분석!$E$7:$E$506,O3249)&gt;0,"Y","N"))</f>
        <v/>
      </c>
      <c r="W3249" s="64">
        <f>IF($A3249="","",IFERROR(INDEX(계정매핑!$D$5:$D$504,MATCH($F3249&amp;"",계정매핑!$A$5:$A$504,0)),"미매핑"))</f>
        <v/>
      </c>
      <c r="X3249" s="9">
        <f>IF($A3249="","",$F3249&amp;"")</f>
        <v/>
      </c>
      <c r="Y3249" s="94">
        <f>IF($A3249="",0,IF(AE3249="직접",IF(AF3249="비귀속",$P3249,0),$P3249*(1-AG3249)*IFERROR(INDEX(계정대체기준!$F$20:$F$49,MATCH($N3249,계정대체기준!$A$20:$A$49,0)),1)))</f>
        <v/>
      </c>
      <c r="Z3249" s="94">
        <f>IF($A3249="",0,IF(AE3249="직접",IF(AF3249="신계약비",$P3249,0),$P3249*(1-AG3249)*IFERROR(INDEX(계정대체기준!$C$20:$C$49,MATCH($N3249,계정대체기준!$A$20:$A$49,0)),0)))</f>
        <v/>
      </c>
      <c r="AA3249" s="94">
        <f>IF($A3249="",0,IF(AE3249="직접",IF(OR(AF3249="유지비",AF3249="손해조사비"),$P3249,0),$P3249*(1-AG3249)*IFERROR(INDEX(계정대체기준!$D$20:$D$49,MATCH($N3249,계정대체기준!$A$20:$A$49,0)),0)))</f>
        <v/>
      </c>
      <c r="AB3249" s="94">
        <f>IF($A3249="",0,IF(AE3249="직접",IF(AF3249="수금비",$P3249,0),$P3249*(1-AG3249)*IFERROR(INDEX(계정대체기준!$E$20:$E$49,MATCH($N3249,계정대체기준!$A$20:$A$49,0)),0)))</f>
        <v/>
      </c>
      <c r="AC3249" s="9">
        <f>IF(AND($A3249&lt;&gt;"",M3249=설정!$C$20,Z3249&gt;0),Z3249+ROW()/1000000000,"")</f>
        <v/>
      </c>
      <c r="AD3249" s="94">
        <f>IF($A3249="",0,$P3249*AG3249)</f>
        <v/>
      </c>
      <c r="AE3249" s="64">
        <f>IF($A3249="","",IFERROR(INDEX(계정매핑!$E$5:$E$504,MATCH($F3249&amp;"",계정매핑!$A$5:$A$504,0))&amp;"","공통비"))</f>
        <v/>
      </c>
      <c r="AF3249" s="64">
        <f>IF($A3249="","",IF(AE3249="직접",IFERROR(INDEX(계정매핑!$F$5:$F$504,MATCH($F3249&amp;"",계정매핑!$A$5:$A$504,0))&amp;"","비귀속"),""))</f>
        <v/>
      </c>
      <c r="AG3249" s="96">
        <f>IF($A3249="",0,IF(AND(AE3249&lt;&gt;"직접",IFERROR(INDEX(계정매핑!$G$5:$G$504,MATCH($F3249&amp;"",계정매핑!$A$5:$A$504,0))&amp;"","")="유지비",COUNTIF(계정대체기준!$A$6:$A$15,$N3249)&gt;0),IFERROR(INDEX(계정대체기준!$E$6:$E$15,MATCH(VALUE($A3249&amp;""),계정대체기준!$D$6:$D$15,0)),0),0))</f>
        <v/>
      </c>
      <c r="AH3249" s="64">
        <f>IF($A3249="","",IF(AD3249=0,"",IF(OR(COUNTIF(계정대체기준!$A$77:$A$86,$N3249)&gt;0,ISNUMBER(MATCH($X3249,계정대체기준!$D$77:$D$86,0)),ISNUMBER(MATCH($F3249,계정대체기준!$D$77:$D$86,0))),"Y","N")))</f>
        <v/>
      </c>
    </row>
    <row r="3250">
      <c r="A3250" s="92" t="n">
        <v>2026</v>
      </c>
      <c r="B3250" s="92" t="n">
        <v>3</v>
      </c>
      <c r="C3250" s="92" t="inlineStr">
        <is>
          <t>5100000528</t>
        </is>
      </c>
      <c r="D3250" s="95" t="n">
        <v>46090</v>
      </c>
      <c r="E3250" s="92" t="inlineStr">
        <is>
          <t>KR</t>
        </is>
      </c>
      <c r="F3250" s="92" t="n">
        <v>62201000</v>
      </c>
      <c r="G3250" s="92" t="n">
        <v>1801</v>
      </c>
      <c r="H3250" s="93" t="n">
        <v>5847000</v>
      </c>
      <c r="I3250" s="92" t="inlineStr">
        <is>
          <t>3월 통신요금 - O텔레콤</t>
        </is>
      </c>
      <c r="J3250" s="92" t="inlineStr">
        <is>
          <t>V10002</t>
        </is>
      </c>
      <c r="K3250" s="92" t="inlineStr">
        <is>
          <t>O텔레콤</t>
        </is>
      </c>
      <c r="M3250" s="9">
        <f>IF($A3250="","",VALUE($A3250&amp;"")*12+VALUE($B3250&amp;""))</f>
        <v/>
      </c>
      <c r="N3250" s="64">
        <f>IF($A3250="","",IFERROR(INDEX(부서매핑!$C$5:$C$504,MATCH($G3250&amp;"",부서매핑!$A$5:$A$504,0)),"미매핑"))</f>
        <v/>
      </c>
      <c r="O3250" s="9">
        <f>IF($A3250="","",N3250&amp;"|"&amp;$F3250)</f>
        <v/>
      </c>
      <c r="P3250" s="94">
        <f>IF($A3250="",0,$H3250*설정!$C$23)</f>
        <v/>
      </c>
      <c r="Q3250" s="64">
        <f>IF($A3250="","",IF(O3250&lt;&gt;원인분석!$C$9,"",IF(AND(M3250&gt;=원인분석!$C$10,M3250&lt;=원인분석!$C$11),"당기",IF(AND(M3250&gt;=원인분석!$C$12,M3250&lt;=원인분석!$C$13),"비교",""))))</f>
        <v/>
      </c>
      <c r="R3250" s="9">
        <f>IF(Q3250="","",$K3250&amp;"")</f>
        <v/>
      </c>
      <c r="S3250" s="9">
        <f>IF(Q3250="","",IF(MATCH(R3250,$R$5:$R$100000,0)=ROW()-4,ROW(),""))</f>
        <v/>
      </c>
      <c r="T3250" s="9">
        <f>IF(Q3250="당기",ABS(P3250)+ROW()/1000000000,"")</f>
        <v/>
      </c>
      <c r="U3250" s="9">
        <f>IF(Q3250="비교",ABS(P3250)+ROW()/1000000000,"")</f>
        <v/>
      </c>
      <c r="V3250" s="64">
        <f>IF($A3250="","",IF(COUNTIF(변동분석!$E$7:$E$506,O3250)&gt;0,"Y","N"))</f>
        <v/>
      </c>
      <c r="W3250" s="64">
        <f>IF($A3250="","",IFERROR(INDEX(계정매핑!$D$5:$D$504,MATCH($F3250&amp;"",계정매핑!$A$5:$A$504,0)),"미매핑"))</f>
        <v/>
      </c>
      <c r="X3250" s="9">
        <f>IF($A3250="","",$F3250&amp;"")</f>
        <v/>
      </c>
      <c r="Y3250" s="94">
        <f>IF($A3250="",0,IF(AE3250="직접",IF(AF3250="비귀속",$P3250,0),$P3250*(1-AG3250)*IFERROR(INDEX(계정대체기준!$F$20:$F$49,MATCH($N3250,계정대체기준!$A$20:$A$49,0)),1)))</f>
        <v/>
      </c>
      <c r="Z3250" s="94">
        <f>IF($A3250="",0,IF(AE3250="직접",IF(AF3250="신계약비",$P3250,0),$P3250*(1-AG3250)*IFERROR(INDEX(계정대체기준!$C$20:$C$49,MATCH($N3250,계정대체기준!$A$20:$A$49,0)),0)))</f>
        <v/>
      </c>
      <c r="AA3250" s="94">
        <f>IF($A3250="",0,IF(AE3250="직접",IF(OR(AF3250="유지비",AF3250="손해조사비"),$P3250,0),$P3250*(1-AG3250)*IFERROR(INDEX(계정대체기준!$D$20:$D$49,MATCH($N3250,계정대체기준!$A$20:$A$49,0)),0)))</f>
        <v/>
      </c>
      <c r="AB3250" s="94">
        <f>IF($A3250="",0,IF(AE3250="직접",IF(AF3250="수금비",$P3250,0),$P3250*(1-AG3250)*IFERROR(INDEX(계정대체기준!$E$20:$E$49,MATCH($N3250,계정대체기준!$A$20:$A$49,0)),0)))</f>
        <v/>
      </c>
      <c r="AC3250" s="9">
        <f>IF(AND($A3250&lt;&gt;"",M3250=설정!$C$20,Z3250&gt;0),Z3250+ROW()/1000000000,"")</f>
        <v/>
      </c>
      <c r="AD3250" s="94">
        <f>IF($A3250="",0,$P3250*AG3250)</f>
        <v/>
      </c>
      <c r="AE3250" s="64">
        <f>IF($A3250="","",IFERROR(INDEX(계정매핑!$E$5:$E$504,MATCH($F3250&amp;"",계정매핑!$A$5:$A$504,0))&amp;"","공통비"))</f>
        <v/>
      </c>
      <c r="AF3250" s="64">
        <f>IF($A3250="","",IF(AE3250="직접",IFERROR(INDEX(계정매핑!$F$5:$F$504,MATCH($F3250&amp;"",계정매핑!$A$5:$A$504,0))&amp;"","비귀속"),""))</f>
        <v/>
      </c>
      <c r="AG3250" s="96">
        <f>IF($A3250="",0,IF(AND(AE3250&lt;&gt;"직접",IFERROR(INDEX(계정매핑!$G$5:$G$504,MATCH($F3250&amp;"",계정매핑!$A$5:$A$504,0))&amp;"","")="유지비",COUNTIF(계정대체기준!$A$6:$A$15,$N3250)&gt;0),IFERROR(INDEX(계정대체기준!$E$6:$E$15,MATCH(VALUE($A3250&amp;""),계정대체기준!$D$6:$D$15,0)),0),0))</f>
        <v/>
      </c>
      <c r="AH3250" s="64">
        <f>IF($A3250="","",IF(AD3250=0,"",IF(OR(COUNTIF(계정대체기준!$A$77:$A$86,$N3250)&gt;0,ISNUMBER(MATCH($X3250,계정대체기준!$D$77:$D$86,0)),ISNUMBER(MATCH($F3250,계정대체기준!$D$77:$D$86,0))),"Y","N")))</f>
        <v/>
      </c>
    </row>
    <row r="3251">
      <c r="A3251" s="92" t="n">
        <v>2026</v>
      </c>
      <c r="B3251" s="92" t="n">
        <v>3</v>
      </c>
      <c r="C3251" s="92" t="inlineStr">
        <is>
          <t>5100000529</t>
        </is>
      </c>
      <c r="D3251" s="95" t="n">
        <v>46090</v>
      </c>
      <c r="E3251" s="92" t="inlineStr">
        <is>
          <t>KR</t>
        </is>
      </c>
      <c r="F3251" s="92" t="n">
        <v>62301000</v>
      </c>
      <c r="G3251" s="92" t="n">
        <v>1602</v>
      </c>
      <c r="H3251" s="93" t="n">
        <v>412000</v>
      </c>
      <c r="I3251" s="92" t="inlineStr">
        <is>
          <t>3월 소모품 구입 - Q오피스</t>
        </is>
      </c>
      <c r="J3251" s="92" t="inlineStr">
        <is>
          <t>V10003</t>
        </is>
      </c>
      <c r="K3251" s="92" t="inlineStr">
        <is>
          <t>Q오피스</t>
        </is>
      </c>
      <c r="M3251" s="9">
        <f>IF($A3251="","",VALUE($A3251&amp;"")*12+VALUE($B3251&amp;""))</f>
        <v/>
      </c>
      <c r="N3251" s="64">
        <f>IF($A3251="","",IFERROR(INDEX(부서매핑!$C$5:$C$504,MATCH($G3251&amp;"",부서매핑!$A$5:$A$504,0)),"미매핑"))</f>
        <v/>
      </c>
      <c r="O3251" s="9">
        <f>IF($A3251="","",N3251&amp;"|"&amp;$F3251)</f>
        <v/>
      </c>
      <c r="P3251" s="94">
        <f>IF($A3251="",0,$H3251*설정!$C$23)</f>
        <v/>
      </c>
      <c r="Q3251" s="64">
        <f>IF($A3251="","",IF(O3251&lt;&gt;원인분석!$C$9,"",IF(AND(M3251&gt;=원인분석!$C$10,M3251&lt;=원인분석!$C$11),"당기",IF(AND(M3251&gt;=원인분석!$C$12,M3251&lt;=원인분석!$C$13),"비교",""))))</f>
        <v/>
      </c>
      <c r="R3251" s="9">
        <f>IF(Q3251="","",$K3251&amp;"")</f>
        <v/>
      </c>
      <c r="S3251" s="9">
        <f>IF(Q3251="","",IF(MATCH(R3251,$R$5:$R$100000,0)=ROW()-4,ROW(),""))</f>
        <v/>
      </c>
      <c r="T3251" s="9">
        <f>IF(Q3251="당기",ABS(P3251)+ROW()/1000000000,"")</f>
        <v/>
      </c>
      <c r="U3251" s="9">
        <f>IF(Q3251="비교",ABS(P3251)+ROW()/1000000000,"")</f>
        <v/>
      </c>
      <c r="V3251" s="64">
        <f>IF($A3251="","",IF(COUNTIF(변동분석!$E$7:$E$506,O3251)&gt;0,"Y","N"))</f>
        <v/>
      </c>
      <c r="W3251" s="64">
        <f>IF($A3251="","",IFERROR(INDEX(계정매핑!$D$5:$D$504,MATCH($F3251&amp;"",계정매핑!$A$5:$A$504,0)),"미매핑"))</f>
        <v/>
      </c>
      <c r="X3251" s="9">
        <f>IF($A3251="","",$F3251&amp;"")</f>
        <v/>
      </c>
      <c r="Y3251" s="94">
        <f>IF($A3251="",0,IF(AE3251="직접",IF(AF3251="비귀속",$P3251,0),$P3251*(1-AG3251)*IFERROR(INDEX(계정대체기준!$F$20:$F$49,MATCH($N3251,계정대체기준!$A$20:$A$49,0)),1)))</f>
        <v/>
      </c>
      <c r="Z3251" s="94">
        <f>IF($A3251="",0,IF(AE3251="직접",IF(AF3251="신계약비",$P3251,0),$P3251*(1-AG3251)*IFERROR(INDEX(계정대체기준!$C$20:$C$49,MATCH($N3251,계정대체기준!$A$20:$A$49,0)),0)))</f>
        <v/>
      </c>
      <c r="AA3251" s="94">
        <f>IF($A3251="",0,IF(AE3251="직접",IF(OR(AF3251="유지비",AF3251="손해조사비"),$P3251,0),$P3251*(1-AG3251)*IFERROR(INDEX(계정대체기준!$D$20:$D$49,MATCH($N3251,계정대체기준!$A$20:$A$49,0)),0)))</f>
        <v/>
      </c>
      <c r="AB3251" s="94">
        <f>IF($A3251="",0,IF(AE3251="직접",IF(AF3251="수금비",$P3251,0),$P3251*(1-AG3251)*IFERROR(INDEX(계정대체기준!$E$20:$E$49,MATCH($N3251,계정대체기준!$A$20:$A$49,0)),0)))</f>
        <v/>
      </c>
      <c r="AC3251" s="9">
        <f>IF(AND($A3251&lt;&gt;"",M3251=설정!$C$20,Z3251&gt;0),Z3251+ROW()/1000000000,"")</f>
        <v/>
      </c>
      <c r="AD3251" s="94">
        <f>IF($A3251="",0,$P3251*AG3251)</f>
        <v/>
      </c>
      <c r="AE3251" s="64">
        <f>IF($A3251="","",IFERROR(INDEX(계정매핑!$E$5:$E$504,MATCH($F3251&amp;"",계정매핑!$A$5:$A$504,0))&amp;"","공통비"))</f>
        <v/>
      </c>
      <c r="AF3251" s="64">
        <f>IF($A3251="","",IF(AE3251="직접",IFERROR(INDEX(계정매핑!$F$5:$F$504,MATCH($F3251&amp;"",계정매핑!$A$5:$A$504,0))&amp;"","비귀속"),""))</f>
        <v/>
      </c>
      <c r="AG3251" s="96">
        <f>IF($A3251="",0,IF(AND(AE3251&lt;&gt;"직접",IFERROR(INDEX(계정매핑!$G$5:$G$504,MATCH($F3251&amp;"",계정매핑!$A$5:$A$504,0))&amp;"","")="유지비",COUNTIF(계정대체기준!$A$6:$A$15,$N3251)&gt;0),IFERROR(INDEX(계정대체기준!$E$6:$E$15,MATCH(VALUE($A3251&amp;""),계정대체기준!$D$6:$D$15,0)),0),0))</f>
        <v/>
      </c>
      <c r="AH3251" s="64">
        <f>IF($A3251="","",IF(AD3251=0,"",IF(OR(COUNTIF(계정대체기준!$A$77:$A$86,$N3251)&gt;0,ISNUMBER(MATCH($X3251,계정대체기준!$D$77:$D$86,0)),ISNUMBER(MATCH($F3251,계정대체기준!$D$77:$D$86,0))),"Y","N")))</f>
        <v/>
      </c>
    </row>
    <row r="3252">
      <c r="A3252" s="92" t="n">
        <v>2026</v>
      </c>
      <c r="B3252" s="92" t="n">
        <v>3</v>
      </c>
      <c r="C3252" s="92" t="inlineStr">
        <is>
          <t>5100000530</t>
        </is>
      </c>
      <c r="D3252" s="95" t="n">
        <v>46090</v>
      </c>
      <c r="E3252" s="92" t="inlineStr">
        <is>
          <t>KR</t>
        </is>
      </c>
      <c r="F3252" s="92" t="n">
        <v>62601000</v>
      </c>
      <c r="G3252" s="92" t="n">
        <v>1501</v>
      </c>
      <c r="H3252" s="93" t="n">
        <v>1199000</v>
      </c>
      <c r="I3252" s="92" t="inlineStr">
        <is>
          <t>3월 업무추진 - (법인카드)</t>
        </is>
      </c>
      <c r="J3252" s="92" t="inlineStr">
        <is>
          <t>V10010</t>
        </is>
      </c>
      <c r="K3252" s="92" t="inlineStr">
        <is>
          <t>(법인카드)</t>
        </is>
      </c>
      <c r="M3252" s="9">
        <f>IF($A3252="","",VALUE($A3252&amp;"")*12+VALUE($B3252&amp;""))</f>
        <v/>
      </c>
      <c r="N3252" s="64">
        <f>IF($A3252="","",IFERROR(INDEX(부서매핑!$C$5:$C$504,MATCH($G3252&amp;"",부서매핑!$A$5:$A$504,0)),"미매핑"))</f>
        <v/>
      </c>
      <c r="O3252" s="9">
        <f>IF($A3252="","",N3252&amp;"|"&amp;$F3252)</f>
        <v/>
      </c>
      <c r="P3252" s="94">
        <f>IF($A3252="",0,$H3252*설정!$C$23)</f>
        <v/>
      </c>
      <c r="Q3252" s="64">
        <f>IF($A3252="","",IF(O3252&lt;&gt;원인분석!$C$9,"",IF(AND(M3252&gt;=원인분석!$C$10,M3252&lt;=원인분석!$C$11),"당기",IF(AND(M3252&gt;=원인분석!$C$12,M3252&lt;=원인분석!$C$13),"비교",""))))</f>
        <v/>
      </c>
      <c r="R3252" s="9">
        <f>IF(Q3252="","",$K3252&amp;"")</f>
        <v/>
      </c>
      <c r="S3252" s="9">
        <f>IF(Q3252="","",IF(MATCH(R3252,$R$5:$R$100000,0)=ROW()-4,ROW(),""))</f>
        <v/>
      </c>
      <c r="T3252" s="9">
        <f>IF(Q3252="당기",ABS(P3252)+ROW()/1000000000,"")</f>
        <v/>
      </c>
      <c r="U3252" s="9">
        <f>IF(Q3252="비교",ABS(P3252)+ROW()/1000000000,"")</f>
        <v/>
      </c>
      <c r="V3252" s="64">
        <f>IF($A3252="","",IF(COUNTIF(변동분석!$E$7:$E$506,O3252)&gt;0,"Y","N"))</f>
        <v/>
      </c>
      <c r="W3252" s="64">
        <f>IF($A3252="","",IFERROR(INDEX(계정매핑!$D$5:$D$504,MATCH($F3252&amp;"",계정매핑!$A$5:$A$504,0)),"미매핑"))</f>
        <v/>
      </c>
      <c r="X3252" s="9">
        <f>IF($A3252="","",$F3252&amp;"")</f>
        <v/>
      </c>
      <c r="Y3252" s="94">
        <f>IF($A3252="",0,IF(AE3252="직접",IF(AF3252="비귀속",$P3252,0),$P3252*(1-AG3252)*IFERROR(INDEX(계정대체기준!$F$20:$F$49,MATCH($N3252,계정대체기준!$A$20:$A$49,0)),1)))</f>
        <v/>
      </c>
      <c r="Z3252" s="94">
        <f>IF($A3252="",0,IF(AE3252="직접",IF(AF3252="신계약비",$P3252,0),$P3252*(1-AG3252)*IFERROR(INDEX(계정대체기준!$C$20:$C$49,MATCH($N3252,계정대체기준!$A$20:$A$49,0)),0)))</f>
        <v/>
      </c>
      <c r="AA3252" s="94">
        <f>IF($A3252="",0,IF(AE3252="직접",IF(OR(AF3252="유지비",AF3252="손해조사비"),$P3252,0),$P3252*(1-AG3252)*IFERROR(INDEX(계정대체기준!$D$20:$D$49,MATCH($N3252,계정대체기준!$A$20:$A$49,0)),0)))</f>
        <v/>
      </c>
      <c r="AB3252" s="94">
        <f>IF($A3252="",0,IF(AE3252="직접",IF(AF3252="수금비",$P3252,0),$P3252*(1-AG3252)*IFERROR(INDEX(계정대체기준!$E$20:$E$49,MATCH($N3252,계정대체기준!$A$20:$A$49,0)),0)))</f>
        <v/>
      </c>
      <c r="AC3252" s="9">
        <f>IF(AND($A3252&lt;&gt;"",M3252=설정!$C$20,Z3252&gt;0),Z3252+ROW()/1000000000,"")</f>
        <v/>
      </c>
      <c r="AD3252" s="94">
        <f>IF($A3252="",0,$P3252*AG3252)</f>
        <v/>
      </c>
      <c r="AE3252" s="64">
        <f>IF($A3252="","",IFERROR(INDEX(계정매핑!$E$5:$E$504,MATCH($F3252&amp;"",계정매핑!$A$5:$A$504,0))&amp;"","공통비"))</f>
        <v/>
      </c>
      <c r="AF3252" s="64">
        <f>IF($A3252="","",IF(AE3252="직접",IFERROR(INDEX(계정매핑!$F$5:$F$504,MATCH($F3252&amp;"",계정매핑!$A$5:$A$504,0))&amp;"","비귀속"),""))</f>
        <v/>
      </c>
      <c r="AG3252" s="96">
        <f>IF($A3252="",0,IF(AND(AE3252&lt;&gt;"직접",IFERROR(INDEX(계정매핑!$G$5:$G$504,MATCH($F3252&amp;"",계정매핑!$A$5:$A$504,0))&amp;"","")="유지비",COUNTIF(계정대체기준!$A$6:$A$15,$N3252)&gt;0),IFERROR(INDEX(계정대체기준!$E$6:$E$15,MATCH(VALUE($A3252&amp;""),계정대체기준!$D$6:$D$15,0)),0),0))</f>
        <v/>
      </c>
      <c r="AH3252" s="64">
        <f>IF($A3252="","",IF(AD3252=0,"",IF(OR(COUNTIF(계정대체기준!$A$77:$A$86,$N3252)&gt;0,ISNUMBER(MATCH($X3252,계정대체기준!$D$77:$D$86,0)),ISNUMBER(MATCH($F3252,계정대체기준!$D$77:$D$86,0))),"Y","N")))</f>
        <v/>
      </c>
    </row>
    <row r="3253">
      <c r="A3253" s="92" t="n">
        <v>2026</v>
      </c>
      <c r="B3253" s="92" t="n">
        <v>3</v>
      </c>
      <c r="C3253" s="92" t="inlineStr">
        <is>
          <t>5100000531</t>
        </is>
      </c>
      <c r="D3253" s="95" t="n">
        <v>46090</v>
      </c>
      <c r="E3253" s="92" t="inlineStr">
        <is>
          <t>KR</t>
        </is>
      </c>
      <c r="F3253" s="92" t="n">
        <v>62902000</v>
      </c>
      <c r="G3253" s="92" t="n">
        <v>1201</v>
      </c>
      <c r="H3253" s="93" t="n">
        <v>2604000</v>
      </c>
      <c r="I3253" s="92" t="inlineStr">
        <is>
          <t>3월 업무 위탁 수수료 - J콜센터</t>
        </is>
      </c>
      <c r="J3253" s="92" t="inlineStr">
        <is>
          <t>V10016</t>
        </is>
      </c>
      <c r="K3253" s="92" t="inlineStr">
        <is>
          <t>J콜센터</t>
        </is>
      </c>
      <c r="M3253" s="9">
        <f>IF($A3253="","",VALUE($A3253&amp;"")*12+VALUE($B3253&amp;""))</f>
        <v/>
      </c>
      <c r="N3253" s="64">
        <f>IF($A3253="","",IFERROR(INDEX(부서매핑!$C$5:$C$504,MATCH($G3253&amp;"",부서매핑!$A$5:$A$504,0)),"미매핑"))</f>
        <v/>
      </c>
      <c r="O3253" s="9">
        <f>IF($A3253="","",N3253&amp;"|"&amp;$F3253)</f>
        <v/>
      </c>
      <c r="P3253" s="94">
        <f>IF($A3253="",0,$H3253*설정!$C$23)</f>
        <v/>
      </c>
      <c r="Q3253" s="64">
        <f>IF($A3253="","",IF(O3253&lt;&gt;원인분석!$C$9,"",IF(AND(M3253&gt;=원인분석!$C$10,M3253&lt;=원인분석!$C$11),"당기",IF(AND(M3253&gt;=원인분석!$C$12,M3253&lt;=원인분석!$C$13),"비교",""))))</f>
        <v/>
      </c>
      <c r="R3253" s="9">
        <f>IF(Q3253="","",$K3253&amp;"")</f>
        <v/>
      </c>
      <c r="S3253" s="9">
        <f>IF(Q3253="","",IF(MATCH(R3253,$R$5:$R$100000,0)=ROW()-4,ROW(),""))</f>
        <v/>
      </c>
      <c r="T3253" s="9">
        <f>IF(Q3253="당기",ABS(P3253)+ROW()/1000000000,"")</f>
        <v/>
      </c>
      <c r="U3253" s="9">
        <f>IF(Q3253="비교",ABS(P3253)+ROW()/1000000000,"")</f>
        <v/>
      </c>
      <c r="V3253" s="64">
        <f>IF($A3253="","",IF(COUNTIF(변동분석!$E$7:$E$506,O3253)&gt;0,"Y","N"))</f>
        <v/>
      </c>
      <c r="W3253" s="64">
        <f>IF($A3253="","",IFERROR(INDEX(계정매핑!$D$5:$D$504,MATCH($F3253&amp;"",계정매핑!$A$5:$A$504,0)),"미매핑"))</f>
        <v/>
      </c>
      <c r="X3253" s="9">
        <f>IF($A3253="","",$F3253&amp;"")</f>
        <v/>
      </c>
      <c r="Y3253" s="94">
        <f>IF($A3253="",0,IF(AE3253="직접",IF(AF3253="비귀속",$P3253,0),$P3253*(1-AG3253)*IFERROR(INDEX(계정대체기준!$F$20:$F$49,MATCH($N3253,계정대체기준!$A$20:$A$49,0)),1)))</f>
        <v/>
      </c>
      <c r="Z3253" s="94">
        <f>IF($A3253="",0,IF(AE3253="직접",IF(AF3253="신계약비",$P3253,0),$P3253*(1-AG3253)*IFERROR(INDEX(계정대체기준!$C$20:$C$49,MATCH($N3253,계정대체기준!$A$20:$A$49,0)),0)))</f>
        <v/>
      </c>
      <c r="AA3253" s="94">
        <f>IF($A3253="",0,IF(AE3253="직접",IF(OR(AF3253="유지비",AF3253="손해조사비"),$P3253,0),$P3253*(1-AG3253)*IFERROR(INDEX(계정대체기준!$D$20:$D$49,MATCH($N3253,계정대체기준!$A$20:$A$49,0)),0)))</f>
        <v/>
      </c>
      <c r="AB3253" s="94">
        <f>IF($A3253="",0,IF(AE3253="직접",IF(AF3253="수금비",$P3253,0),$P3253*(1-AG3253)*IFERROR(INDEX(계정대체기준!$E$20:$E$49,MATCH($N3253,계정대체기준!$A$20:$A$49,0)),0)))</f>
        <v/>
      </c>
      <c r="AC3253" s="9">
        <f>IF(AND($A3253&lt;&gt;"",M3253=설정!$C$20,Z3253&gt;0),Z3253+ROW()/1000000000,"")</f>
        <v/>
      </c>
      <c r="AD3253" s="94">
        <f>IF($A3253="",0,$P3253*AG3253)</f>
        <v/>
      </c>
      <c r="AE3253" s="64">
        <f>IF($A3253="","",IFERROR(INDEX(계정매핑!$E$5:$E$504,MATCH($F3253&amp;"",계정매핑!$A$5:$A$504,0))&amp;"","공통비"))</f>
        <v/>
      </c>
      <c r="AF3253" s="64">
        <f>IF($A3253="","",IF(AE3253="직접",IFERROR(INDEX(계정매핑!$F$5:$F$504,MATCH($F3253&amp;"",계정매핑!$A$5:$A$504,0))&amp;"","비귀속"),""))</f>
        <v/>
      </c>
      <c r="AG3253" s="96">
        <f>IF($A3253="",0,IF(AND(AE3253&lt;&gt;"직접",IFERROR(INDEX(계정매핑!$G$5:$G$504,MATCH($F3253&amp;"",계정매핑!$A$5:$A$504,0))&amp;"","")="유지비",COUNTIF(계정대체기준!$A$6:$A$15,$N3253)&gt;0),IFERROR(INDEX(계정대체기준!$E$6:$E$15,MATCH(VALUE($A3253&amp;""),계정대체기준!$D$6:$D$15,0)),0),0))</f>
        <v/>
      </c>
      <c r="AH3253" s="64">
        <f>IF($A3253="","",IF(AD3253=0,"",IF(OR(COUNTIF(계정대체기준!$A$77:$A$86,$N3253)&gt;0,ISNUMBER(MATCH($X3253,계정대체기준!$D$77:$D$86,0)),ISNUMBER(MATCH($F3253,계정대체기준!$D$77:$D$86,0))),"Y","N")))</f>
        <v/>
      </c>
    </row>
    <row r="3254">
      <c r="A3254" s="92" t="n">
        <v>2026</v>
      </c>
      <c r="B3254" s="92" t="n">
        <v>3</v>
      </c>
      <c r="C3254" s="92" t="inlineStr">
        <is>
          <t>5100000532</t>
        </is>
      </c>
      <c r="D3254" s="95" t="n">
        <v>46090</v>
      </c>
      <c r="E3254" s="92" t="inlineStr">
        <is>
          <t>KR</t>
        </is>
      </c>
      <c r="F3254" s="92" t="n">
        <v>62902000</v>
      </c>
      <c r="G3254" s="92" t="n">
        <v>1801</v>
      </c>
      <c r="H3254" s="93" t="n">
        <v>1822000</v>
      </c>
      <c r="I3254" s="92" t="inlineStr">
        <is>
          <t>3월 콜 위탁 수수료(건별)</t>
        </is>
      </c>
      <c r="J3254" s="92" t="inlineStr">
        <is>
          <t>V10016</t>
        </is>
      </c>
      <c r="K3254" s="92" t="inlineStr">
        <is>
          <t>J콜센터</t>
        </is>
      </c>
      <c r="M3254" s="9">
        <f>IF($A3254="","",VALUE($A3254&amp;"")*12+VALUE($B3254&amp;""))</f>
        <v/>
      </c>
      <c r="N3254" s="64">
        <f>IF($A3254="","",IFERROR(INDEX(부서매핑!$C$5:$C$504,MATCH($G3254&amp;"",부서매핑!$A$5:$A$504,0)),"미매핑"))</f>
        <v/>
      </c>
      <c r="O3254" s="9">
        <f>IF($A3254="","",N3254&amp;"|"&amp;$F3254)</f>
        <v/>
      </c>
      <c r="P3254" s="94">
        <f>IF($A3254="",0,$H3254*설정!$C$23)</f>
        <v/>
      </c>
      <c r="Q3254" s="64">
        <f>IF($A3254="","",IF(O3254&lt;&gt;원인분석!$C$9,"",IF(AND(M3254&gt;=원인분석!$C$10,M3254&lt;=원인분석!$C$11),"당기",IF(AND(M3254&gt;=원인분석!$C$12,M3254&lt;=원인분석!$C$13),"비교",""))))</f>
        <v/>
      </c>
      <c r="R3254" s="9">
        <f>IF(Q3254="","",$K3254&amp;"")</f>
        <v/>
      </c>
      <c r="S3254" s="9">
        <f>IF(Q3254="","",IF(MATCH(R3254,$R$5:$R$100000,0)=ROW()-4,ROW(),""))</f>
        <v/>
      </c>
      <c r="T3254" s="9">
        <f>IF(Q3254="당기",ABS(P3254)+ROW()/1000000000,"")</f>
        <v/>
      </c>
      <c r="U3254" s="9">
        <f>IF(Q3254="비교",ABS(P3254)+ROW()/1000000000,"")</f>
        <v/>
      </c>
      <c r="V3254" s="64">
        <f>IF($A3254="","",IF(COUNTIF(변동분석!$E$7:$E$506,O3254)&gt;0,"Y","N"))</f>
        <v/>
      </c>
      <c r="W3254" s="64">
        <f>IF($A3254="","",IFERROR(INDEX(계정매핑!$D$5:$D$504,MATCH($F3254&amp;"",계정매핑!$A$5:$A$504,0)),"미매핑"))</f>
        <v/>
      </c>
      <c r="X3254" s="9">
        <f>IF($A3254="","",$F3254&amp;"")</f>
        <v/>
      </c>
      <c r="Y3254" s="94">
        <f>IF($A3254="",0,IF(AE3254="직접",IF(AF3254="비귀속",$P3254,0),$P3254*(1-AG3254)*IFERROR(INDEX(계정대체기준!$F$20:$F$49,MATCH($N3254,계정대체기준!$A$20:$A$49,0)),1)))</f>
        <v/>
      </c>
      <c r="Z3254" s="94">
        <f>IF($A3254="",0,IF(AE3254="직접",IF(AF3254="신계약비",$P3254,0),$P3254*(1-AG3254)*IFERROR(INDEX(계정대체기준!$C$20:$C$49,MATCH($N3254,계정대체기준!$A$20:$A$49,0)),0)))</f>
        <v/>
      </c>
      <c r="AA3254" s="94">
        <f>IF($A3254="",0,IF(AE3254="직접",IF(OR(AF3254="유지비",AF3254="손해조사비"),$P3254,0),$P3254*(1-AG3254)*IFERROR(INDEX(계정대체기준!$D$20:$D$49,MATCH($N3254,계정대체기준!$A$20:$A$49,0)),0)))</f>
        <v/>
      </c>
      <c r="AB3254" s="94">
        <f>IF($A3254="",0,IF(AE3254="직접",IF(AF3254="수금비",$P3254,0),$P3254*(1-AG3254)*IFERROR(INDEX(계정대체기준!$E$20:$E$49,MATCH($N3254,계정대체기준!$A$20:$A$49,0)),0)))</f>
        <v/>
      </c>
      <c r="AC3254" s="9">
        <f>IF(AND($A3254&lt;&gt;"",M3254=설정!$C$20,Z3254&gt;0),Z3254+ROW()/1000000000,"")</f>
        <v/>
      </c>
      <c r="AD3254" s="94">
        <f>IF($A3254="",0,$P3254*AG3254)</f>
        <v/>
      </c>
      <c r="AE3254" s="64">
        <f>IF($A3254="","",IFERROR(INDEX(계정매핑!$E$5:$E$504,MATCH($F3254&amp;"",계정매핑!$A$5:$A$504,0))&amp;"","공통비"))</f>
        <v/>
      </c>
      <c r="AF3254" s="64">
        <f>IF($A3254="","",IF(AE3254="직접",IFERROR(INDEX(계정매핑!$F$5:$F$504,MATCH($F3254&amp;"",계정매핑!$A$5:$A$504,0))&amp;"","비귀속"),""))</f>
        <v/>
      </c>
      <c r="AG3254" s="96">
        <f>IF($A3254="",0,IF(AND(AE3254&lt;&gt;"직접",IFERROR(INDEX(계정매핑!$G$5:$G$504,MATCH($F3254&amp;"",계정매핑!$A$5:$A$504,0))&amp;"","")="유지비",COUNTIF(계정대체기준!$A$6:$A$15,$N3254)&gt;0),IFERROR(INDEX(계정대체기준!$E$6:$E$15,MATCH(VALUE($A3254&amp;""),계정대체기준!$D$6:$D$15,0)),0),0))</f>
        <v/>
      </c>
      <c r="AH3254" s="64">
        <f>IF($A3254="","",IF(AD3254=0,"",IF(OR(COUNTIF(계정대체기준!$A$77:$A$86,$N3254)&gt;0,ISNUMBER(MATCH($X3254,계정대체기준!$D$77:$D$86,0)),ISNUMBER(MATCH($F3254,계정대체기준!$D$77:$D$86,0))),"Y","N")))</f>
        <v/>
      </c>
    </row>
    <row r="3255">
      <c r="A3255" s="92" t="n">
        <v>2026</v>
      </c>
      <c r="B3255" s="92" t="n">
        <v>3</v>
      </c>
      <c r="C3255" s="92" t="inlineStr">
        <is>
          <t>5100000533</t>
        </is>
      </c>
      <c r="D3255" s="95" t="n">
        <v>46090</v>
      </c>
      <c r="E3255" s="92" t="inlineStr">
        <is>
          <t>KR</t>
        </is>
      </c>
      <c r="F3255" s="92" t="n">
        <v>63001000</v>
      </c>
      <c r="G3255" s="92" t="n">
        <v>1701</v>
      </c>
      <c r="H3255" s="93" t="n">
        <v>37159000</v>
      </c>
      <c r="I3255" s="92" t="inlineStr">
        <is>
          <t>3월 SW 유지보수 - Z시스템</t>
        </is>
      </c>
      <c r="J3255" s="92" t="inlineStr">
        <is>
          <t>V10012</t>
        </is>
      </c>
      <c r="K3255" s="92" t="inlineStr">
        <is>
          <t>Z시스템</t>
        </is>
      </c>
      <c r="M3255" s="9">
        <f>IF($A3255="","",VALUE($A3255&amp;"")*12+VALUE($B3255&amp;""))</f>
        <v/>
      </c>
      <c r="N3255" s="64">
        <f>IF($A3255="","",IFERROR(INDEX(부서매핑!$C$5:$C$504,MATCH($G3255&amp;"",부서매핑!$A$5:$A$504,0)),"미매핑"))</f>
        <v/>
      </c>
      <c r="O3255" s="9">
        <f>IF($A3255="","",N3255&amp;"|"&amp;$F3255)</f>
        <v/>
      </c>
      <c r="P3255" s="94">
        <f>IF($A3255="",0,$H3255*설정!$C$23)</f>
        <v/>
      </c>
      <c r="Q3255" s="64">
        <f>IF($A3255="","",IF(O3255&lt;&gt;원인분석!$C$9,"",IF(AND(M3255&gt;=원인분석!$C$10,M3255&lt;=원인분석!$C$11),"당기",IF(AND(M3255&gt;=원인분석!$C$12,M3255&lt;=원인분석!$C$13),"비교",""))))</f>
        <v/>
      </c>
      <c r="R3255" s="9">
        <f>IF(Q3255="","",$K3255&amp;"")</f>
        <v/>
      </c>
      <c r="S3255" s="9">
        <f>IF(Q3255="","",IF(MATCH(R3255,$R$5:$R$100000,0)=ROW()-4,ROW(),""))</f>
        <v/>
      </c>
      <c r="T3255" s="9">
        <f>IF(Q3255="당기",ABS(P3255)+ROW()/1000000000,"")</f>
        <v/>
      </c>
      <c r="U3255" s="9">
        <f>IF(Q3255="비교",ABS(P3255)+ROW()/1000000000,"")</f>
        <v/>
      </c>
      <c r="V3255" s="64">
        <f>IF($A3255="","",IF(COUNTIF(변동분석!$E$7:$E$506,O3255)&gt;0,"Y","N"))</f>
        <v/>
      </c>
      <c r="W3255" s="64">
        <f>IF($A3255="","",IFERROR(INDEX(계정매핑!$D$5:$D$504,MATCH($F3255&amp;"",계정매핑!$A$5:$A$504,0)),"미매핑"))</f>
        <v/>
      </c>
      <c r="X3255" s="9">
        <f>IF($A3255="","",$F3255&amp;"")</f>
        <v/>
      </c>
      <c r="Y3255" s="94">
        <f>IF($A3255="",0,IF(AE3255="직접",IF(AF3255="비귀속",$P3255,0),$P3255*(1-AG3255)*IFERROR(INDEX(계정대체기준!$F$20:$F$49,MATCH($N3255,계정대체기준!$A$20:$A$49,0)),1)))</f>
        <v/>
      </c>
      <c r="Z3255" s="94">
        <f>IF($A3255="",0,IF(AE3255="직접",IF(AF3255="신계약비",$P3255,0),$P3255*(1-AG3255)*IFERROR(INDEX(계정대체기준!$C$20:$C$49,MATCH($N3255,계정대체기준!$A$20:$A$49,0)),0)))</f>
        <v/>
      </c>
      <c r="AA3255" s="94">
        <f>IF($A3255="",0,IF(AE3255="직접",IF(OR(AF3255="유지비",AF3255="손해조사비"),$P3255,0),$P3255*(1-AG3255)*IFERROR(INDEX(계정대체기준!$D$20:$D$49,MATCH($N3255,계정대체기준!$A$20:$A$49,0)),0)))</f>
        <v/>
      </c>
      <c r="AB3255" s="94">
        <f>IF($A3255="",0,IF(AE3255="직접",IF(AF3255="수금비",$P3255,0),$P3255*(1-AG3255)*IFERROR(INDEX(계정대체기준!$E$20:$E$49,MATCH($N3255,계정대체기준!$A$20:$A$49,0)),0)))</f>
        <v/>
      </c>
      <c r="AC3255" s="9">
        <f>IF(AND($A3255&lt;&gt;"",M3255=설정!$C$20,Z3255&gt;0),Z3255+ROW()/1000000000,"")</f>
        <v/>
      </c>
      <c r="AD3255" s="94">
        <f>IF($A3255="",0,$P3255*AG3255)</f>
        <v/>
      </c>
      <c r="AE3255" s="64">
        <f>IF($A3255="","",IFERROR(INDEX(계정매핑!$E$5:$E$504,MATCH($F3255&amp;"",계정매핑!$A$5:$A$504,0))&amp;"","공통비"))</f>
        <v/>
      </c>
      <c r="AF3255" s="64">
        <f>IF($A3255="","",IF(AE3255="직접",IFERROR(INDEX(계정매핑!$F$5:$F$504,MATCH($F3255&amp;"",계정매핑!$A$5:$A$504,0))&amp;"","비귀속"),""))</f>
        <v/>
      </c>
      <c r="AG3255" s="96">
        <f>IF($A3255="",0,IF(AND(AE3255&lt;&gt;"직접",IFERROR(INDEX(계정매핑!$G$5:$G$504,MATCH($F3255&amp;"",계정매핑!$A$5:$A$504,0))&amp;"","")="유지비",COUNTIF(계정대체기준!$A$6:$A$15,$N3255)&gt;0),IFERROR(INDEX(계정대체기준!$E$6:$E$15,MATCH(VALUE($A3255&amp;""),계정대체기준!$D$6:$D$15,0)),0),0))</f>
        <v/>
      </c>
      <c r="AH3255" s="64">
        <f>IF($A3255="","",IF(AD3255=0,"",IF(OR(COUNTIF(계정대체기준!$A$77:$A$86,$N3255)&gt;0,ISNUMBER(MATCH($X3255,계정대체기준!$D$77:$D$86,0)),ISNUMBER(MATCH($F3255,계정대체기준!$D$77:$D$86,0))),"Y","N")))</f>
        <v/>
      </c>
    </row>
    <row r="3256">
      <c r="A3256" s="92" t="n">
        <v>2026</v>
      </c>
      <c r="B3256" s="92" t="n">
        <v>3</v>
      </c>
      <c r="C3256" s="92" t="inlineStr">
        <is>
          <t>5100000534</t>
        </is>
      </c>
      <c r="D3256" s="95" t="n">
        <v>46090</v>
      </c>
      <c r="E3256" s="92" t="inlineStr">
        <is>
          <t>KR</t>
        </is>
      </c>
      <c r="F3256" s="92" t="n">
        <v>63501000</v>
      </c>
      <c r="G3256" s="92" t="n">
        <v>1901</v>
      </c>
      <c r="H3256" s="93" t="n">
        <v>368580000</v>
      </c>
      <c r="I3256" s="92" t="inlineStr">
        <is>
          <t>3월 모집수수료 - BB에셋</t>
        </is>
      </c>
      <c r="J3256" s="92" t="inlineStr">
        <is>
          <t>V10013</t>
        </is>
      </c>
      <c r="K3256" s="92" t="inlineStr">
        <is>
          <t>BB에셋</t>
        </is>
      </c>
      <c r="M3256" s="9">
        <f>IF($A3256="","",VALUE($A3256&amp;"")*12+VALUE($B3256&amp;""))</f>
        <v/>
      </c>
      <c r="N3256" s="64">
        <f>IF($A3256="","",IFERROR(INDEX(부서매핑!$C$5:$C$504,MATCH($G3256&amp;"",부서매핑!$A$5:$A$504,0)),"미매핑"))</f>
        <v/>
      </c>
      <c r="O3256" s="9">
        <f>IF($A3256="","",N3256&amp;"|"&amp;$F3256)</f>
        <v/>
      </c>
      <c r="P3256" s="94">
        <f>IF($A3256="",0,$H3256*설정!$C$23)</f>
        <v/>
      </c>
      <c r="Q3256" s="64">
        <f>IF($A3256="","",IF(O3256&lt;&gt;원인분석!$C$9,"",IF(AND(M3256&gt;=원인분석!$C$10,M3256&lt;=원인분석!$C$11),"당기",IF(AND(M3256&gt;=원인분석!$C$12,M3256&lt;=원인분석!$C$13),"비교",""))))</f>
        <v/>
      </c>
      <c r="R3256" s="9">
        <f>IF(Q3256="","",$K3256&amp;"")</f>
        <v/>
      </c>
      <c r="S3256" s="9">
        <f>IF(Q3256="","",IF(MATCH(R3256,$R$5:$R$100000,0)=ROW()-4,ROW(),""))</f>
        <v/>
      </c>
      <c r="T3256" s="9">
        <f>IF(Q3256="당기",ABS(P3256)+ROW()/1000000000,"")</f>
        <v/>
      </c>
      <c r="U3256" s="9">
        <f>IF(Q3256="비교",ABS(P3256)+ROW()/1000000000,"")</f>
        <v/>
      </c>
      <c r="V3256" s="64">
        <f>IF($A3256="","",IF(COUNTIF(변동분석!$E$7:$E$506,O3256)&gt;0,"Y","N"))</f>
        <v/>
      </c>
      <c r="W3256" s="64">
        <f>IF($A3256="","",IFERROR(INDEX(계정매핑!$D$5:$D$504,MATCH($F3256&amp;"",계정매핑!$A$5:$A$504,0)),"미매핑"))</f>
        <v/>
      </c>
      <c r="X3256" s="9">
        <f>IF($A3256="","",$F3256&amp;"")</f>
        <v/>
      </c>
      <c r="Y3256" s="94">
        <f>IF($A3256="",0,IF(AE3256="직접",IF(AF3256="비귀속",$P3256,0),$P3256*(1-AG3256)*IFERROR(INDEX(계정대체기준!$F$20:$F$49,MATCH($N3256,계정대체기준!$A$20:$A$49,0)),1)))</f>
        <v/>
      </c>
      <c r="Z3256" s="94">
        <f>IF($A3256="",0,IF(AE3256="직접",IF(AF3256="신계약비",$P3256,0),$P3256*(1-AG3256)*IFERROR(INDEX(계정대체기준!$C$20:$C$49,MATCH($N3256,계정대체기준!$A$20:$A$49,0)),0)))</f>
        <v/>
      </c>
      <c r="AA3256" s="94">
        <f>IF($A3256="",0,IF(AE3256="직접",IF(OR(AF3256="유지비",AF3256="손해조사비"),$P3256,0),$P3256*(1-AG3256)*IFERROR(INDEX(계정대체기준!$D$20:$D$49,MATCH($N3256,계정대체기준!$A$20:$A$49,0)),0)))</f>
        <v/>
      </c>
      <c r="AB3256" s="94">
        <f>IF($A3256="",0,IF(AE3256="직접",IF(AF3256="수금비",$P3256,0),$P3256*(1-AG3256)*IFERROR(INDEX(계정대체기준!$E$20:$E$49,MATCH($N3256,계정대체기준!$A$20:$A$49,0)),0)))</f>
        <v/>
      </c>
      <c r="AC3256" s="9">
        <f>IF(AND($A3256&lt;&gt;"",M3256=설정!$C$20,Z3256&gt;0),Z3256+ROW()/1000000000,"")</f>
        <v/>
      </c>
      <c r="AD3256" s="94">
        <f>IF($A3256="",0,$P3256*AG3256)</f>
        <v/>
      </c>
      <c r="AE3256" s="64">
        <f>IF($A3256="","",IFERROR(INDEX(계정매핑!$E$5:$E$504,MATCH($F3256&amp;"",계정매핑!$A$5:$A$504,0))&amp;"","공통비"))</f>
        <v/>
      </c>
      <c r="AF3256" s="64">
        <f>IF($A3256="","",IF(AE3256="직접",IFERROR(INDEX(계정매핑!$F$5:$F$504,MATCH($F3256&amp;"",계정매핑!$A$5:$A$504,0))&amp;"","비귀속"),""))</f>
        <v/>
      </c>
      <c r="AG3256" s="96">
        <f>IF($A3256="",0,IF(AND(AE3256&lt;&gt;"직접",IFERROR(INDEX(계정매핑!$G$5:$G$504,MATCH($F3256&amp;"",계정매핑!$A$5:$A$504,0))&amp;"","")="유지비",COUNTIF(계정대체기준!$A$6:$A$15,$N3256)&gt;0),IFERROR(INDEX(계정대체기준!$E$6:$E$15,MATCH(VALUE($A3256&amp;""),계정대체기준!$D$6:$D$15,0)),0),0))</f>
        <v/>
      </c>
      <c r="AH3256" s="64">
        <f>IF($A3256="","",IF(AD3256=0,"",IF(OR(COUNTIF(계정대체기준!$A$77:$A$86,$N3256)&gt;0,ISNUMBER(MATCH($X3256,계정대체기준!$D$77:$D$86,0)),ISNUMBER(MATCH($F3256,계정대체기준!$D$77:$D$86,0))),"Y","N")))</f>
        <v/>
      </c>
    </row>
    <row r="3257">
      <c r="A3257" s="92" t="n">
        <v>2026</v>
      </c>
      <c r="B3257" s="92" t="n">
        <v>3</v>
      </c>
      <c r="C3257" s="92" t="inlineStr">
        <is>
          <t>5100000535</t>
        </is>
      </c>
      <c r="D3257" s="95" t="n">
        <v>46091</v>
      </c>
      <c r="E3257" s="92" t="inlineStr">
        <is>
          <t>KR</t>
        </is>
      </c>
      <c r="F3257" s="92" t="n">
        <v>62101000</v>
      </c>
      <c r="G3257" s="92" t="n">
        <v>1301</v>
      </c>
      <c r="H3257" s="93" t="n">
        <v>272000</v>
      </c>
      <c r="I3257" s="92" t="inlineStr">
        <is>
          <t>3월 국내출장 - L여행사</t>
        </is>
      </c>
      <c r="J3257" s="92" t="inlineStr">
        <is>
          <t>V10018</t>
        </is>
      </c>
      <c r="K3257" s="92" t="inlineStr">
        <is>
          <t>L여행사</t>
        </is>
      </c>
      <c r="M3257" s="9">
        <f>IF($A3257="","",VALUE($A3257&amp;"")*12+VALUE($B3257&amp;""))</f>
        <v/>
      </c>
      <c r="N3257" s="64">
        <f>IF($A3257="","",IFERROR(INDEX(부서매핑!$C$5:$C$504,MATCH($G3257&amp;"",부서매핑!$A$5:$A$504,0)),"미매핑"))</f>
        <v/>
      </c>
      <c r="O3257" s="9">
        <f>IF($A3257="","",N3257&amp;"|"&amp;$F3257)</f>
        <v/>
      </c>
      <c r="P3257" s="94">
        <f>IF($A3257="",0,$H3257*설정!$C$23)</f>
        <v/>
      </c>
      <c r="Q3257" s="64">
        <f>IF($A3257="","",IF(O3257&lt;&gt;원인분석!$C$9,"",IF(AND(M3257&gt;=원인분석!$C$10,M3257&lt;=원인분석!$C$11),"당기",IF(AND(M3257&gt;=원인분석!$C$12,M3257&lt;=원인분석!$C$13),"비교",""))))</f>
        <v/>
      </c>
      <c r="R3257" s="9">
        <f>IF(Q3257="","",$K3257&amp;"")</f>
        <v/>
      </c>
      <c r="S3257" s="9">
        <f>IF(Q3257="","",IF(MATCH(R3257,$R$5:$R$100000,0)=ROW()-4,ROW(),""))</f>
        <v/>
      </c>
      <c r="T3257" s="9">
        <f>IF(Q3257="당기",ABS(P3257)+ROW()/1000000000,"")</f>
        <v/>
      </c>
      <c r="U3257" s="9">
        <f>IF(Q3257="비교",ABS(P3257)+ROW()/1000000000,"")</f>
        <v/>
      </c>
      <c r="V3257" s="64">
        <f>IF($A3257="","",IF(COUNTIF(변동분석!$E$7:$E$506,O3257)&gt;0,"Y","N"))</f>
        <v/>
      </c>
      <c r="W3257" s="64">
        <f>IF($A3257="","",IFERROR(INDEX(계정매핑!$D$5:$D$504,MATCH($F3257&amp;"",계정매핑!$A$5:$A$504,0)),"미매핑"))</f>
        <v/>
      </c>
      <c r="X3257" s="9">
        <f>IF($A3257="","",$F3257&amp;"")</f>
        <v/>
      </c>
      <c r="Y3257" s="94">
        <f>IF($A3257="",0,IF(AE3257="직접",IF(AF3257="비귀속",$P3257,0),$P3257*(1-AG3257)*IFERROR(INDEX(계정대체기준!$F$20:$F$49,MATCH($N3257,계정대체기준!$A$20:$A$49,0)),1)))</f>
        <v/>
      </c>
      <c r="Z3257" s="94">
        <f>IF($A3257="",0,IF(AE3257="직접",IF(AF3257="신계약비",$P3257,0),$P3257*(1-AG3257)*IFERROR(INDEX(계정대체기준!$C$20:$C$49,MATCH($N3257,계정대체기준!$A$20:$A$49,0)),0)))</f>
        <v/>
      </c>
      <c r="AA3257" s="94">
        <f>IF($A3257="",0,IF(AE3257="직접",IF(OR(AF3257="유지비",AF3257="손해조사비"),$P3257,0),$P3257*(1-AG3257)*IFERROR(INDEX(계정대체기준!$D$20:$D$49,MATCH($N3257,계정대체기준!$A$20:$A$49,0)),0)))</f>
        <v/>
      </c>
      <c r="AB3257" s="94">
        <f>IF($A3257="",0,IF(AE3257="직접",IF(AF3257="수금비",$P3257,0),$P3257*(1-AG3257)*IFERROR(INDEX(계정대체기준!$E$20:$E$49,MATCH($N3257,계정대체기준!$A$20:$A$49,0)),0)))</f>
        <v/>
      </c>
      <c r="AC3257" s="9">
        <f>IF(AND($A3257&lt;&gt;"",M3257=설정!$C$20,Z3257&gt;0),Z3257+ROW()/1000000000,"")</f>
        <v/>
      </c>
      <c r="AD3257" s="94">
        <f>IF($A3257="",0,$P3257*AG3257)</f>
        <v/>
      </c>
      <c r="AE3257" s="64">
        <f>IF($A3257="","",IFERROR(INDEX(계정매핑!$E$5:$E$504,MATCH($F3257&amp;"",계정매핑!$A$5:$A$504,0))&amp;"","공통비"))</f>
        <v/>
      </c>
      <c r="AF3257" s="64">
        <f>IF($A3257="","",IF(AE3257="직접",IFERROR(INDEX(계정매핑!$F$5:$F$504,MATCH($F3257&amp;"",계정매핑!$A$5:$A$504,0))&amp;"","비귀속"),""))</f>
        <v/>
      </c>
      <c r="AG3257" s="96">
        <f>IF($A3257="",0,IF(AND(AE3257&lt;&gt;"직접",IFERROR(INDEX(계정매핑!$G$5:$G$504,MATCH($F3257&amp;"",계정매핑!$A$5:$A$504,0))&amp;"","")="유지비",COUNTIF(계정대체기준!$A$6:$A$15,$N3257)&gt;0),IFERROR(INDEX(계정대체기준!$E$6:$E$15,MATCH(VALUE($A3257&amp;""),계정대체기준!$D$6:$D$15,0)),0),0))</f>
        <v/>
      </c>
      <c r="AH3257" s="64">
        <f>IF($A3257="","",IF(AD3257=0,"",IF(OR(COUNTIF(계정대체기준!$A$77:$A$86,$N3257)&gt;0,ISNUMBER(MATCH($X3257,계정대체기준!$D$77:$D$86,0)),ISNUMBER(MATCH($F3257,계정대체기준!$D$77:$D$86,0))),"Y","N")))</f>
        <v/>
      </c>
    </row>
    <row r="3258">
      <c r="A3258" s="92" t="n">
        <v>2026</v>
      </c>
      <c r="B3258" s="92" t="n">
        <v>3</v>
      </c>
      <c r="C3258" s="92" t="inlineStr">
        <is>
          <t>5100000536</t>
        </is>
      </c>
      <c r="D3258" s="95" t="n">
        <v>46091</v>
      </c>
      <c r="E3258" s="92" t="inlineStr">
        <is>
          <t>KR</t>
        </is>
      </c>
      <c r="F3258" s="92" t="n">
        <v>62102000</v>
      </c>
      <c r="G3258" s="92" t="n">
        <v>1401</v>
      </c>
      <c r="H3258" s="93" t="n">
        <v>106000</v>
      </c>
      <c r="I3258" s="92" t="inlineStr">
        <is>
          <t>3월 해외출장 - M항공</t>
        </is>
      </c>
      <c r="J3258" s="92" t="inlineStr">
        <is>
          <t>V10001</t>
        </is>
      </c>
      <c r="K3258" s="92" t="inlineStr">
        <is>
          <t>M항공</t>
        </is>
      </c>
      <c r="M3258" s="9">
        <f>IF($A3258="","",VALUE($A3258&amp;"")*12+VALUE($B3258&amp;""))</f>
        <v/>
      </c>
      <c r="N3258" s="64">
        <f>IF($A3258="","",IFERROR(INDEX(부서매핑!$C$5:$C$504,MATCH($G3258&amp;"",부서매핑!$A$5:$A$504,0)),"미매핑"))</f>
        <v/>
      </c>
      <c r="O3258" s="9">
        <f>IF($A3258="","",N3258&amp;"|"&amp;$F3258)</f>
        <v/>
      </c>
      <c r="P3258" s="94">
        <f>IF($A3258="",0,$H3258*설정!$C$23)</f>
        <v/>
      </c>
      <c r="Q3258" s="64">
        <f>IF($A3258="","",IF(O3258&lt;&gt;원인분석!$C$9,"",IF(AND(M3258&gt;=원인분석!$C$10,M3258&lt;=원인분석!$C$11),"당기",IF(AND(M3258&gt;=원인분석!$C$12,M3258&lt;=원인분석!$C$13),"비교",""))))</f>
        <v/>
      </c>
      <c r="R3258" s="9">
        <f>IF(Q3258="","",$K3258&amp;"")</f>
        <v/>
      </c>
      <c r="S3258" s="9">
        <f>IF(Q3258="","",IF(MATCH(R3258,$R$5:$R$100000,0)=ROW()-4,ROW(),""))</f>
        <v/>
      </c>
      <c r="T3258" s="9">
        <f>IF(Q3258="당기",ABS(P3258)+ROW()/1000000000,"")</f>
        <v/>
      </c>
      <c r="U3258" s="9">
        <f>IF(Q3258="비교",ABS(P3258)+ROW()/1000000000,"")</f>
        <v/>
      </c>
      <c r="V3258" s="64">
        <f>IF($A3258="","",IF(COUNTIF(변동분석!$E$7:$E$506,O3258)&gt;0,"Y","N"))</f>
        <v/>
      </c>
      <c r="W3258" s="64">
        <f>IF($A3258="","",IFERROR(INDEX(계정매핑!$D$5:$D$504,MATCH($F3258&amp;"",계정매핑!$A$5:$A$504,0)),"미매핑"))</f>
        <v/>
      </c>
      <c r="X3258" s="9">
        <f>IF($A3258="","",$F3258&amp;"")</f>
        <v/>
      </c>
      <c r="Y3258" s="94">
        <f>IF($A3258="",0,IF(AE3258="직접",IF(AF3258="비귀속",$P3258,0),$P3258*(1-AG3258)*IFERROR(INDEX(계정대체기준!$F$20:$F$49,MATCH($N3258,계정대체기준!$A$20:$A$49,0)),1)))</f>
        <v/>
      </c>
      <c r="Z3258" s="94">
        <f>IF($A3258="",0,IF(AE3258="직접",IF(AF3258="신계약비",$P3258,0),$P3258*(1-AG3258)*IFERROR(INDEX(계정대체기준!$C$20:$C$49,MATCH($N3258,계정대체기준!$A$20:$A$49,0)),0)))</f>
        <v/>
      </c>
      <c r="AA3258" s="94">
        <f>IF($A3258="",0,IF(AE3258="직접",IF(OR(AF3258="유지비",AF3258="손해조사비"),$P3258,0),$P3258*(1-AG3258)*IFERROR(INDEX(계정대체기준!$D$20:$D$49,MATCH($N3258,계정대체기준!$A$20:$A$49,0)),0)))</f>
        <v/>
      </c>
      <c r="AB3258" s="94">
        <f>IF($A3258="",0,IF(AE3258="직접",IF(AF3258="수금비",$P3258,0),$P3258*(1-AG3258)*IFERROR(INDEX(계정대체기준!$E$20:$E$49,MATCH($N3258,계정대체기준!$A$20:$A$49,0)),0)))</f>
        <v/>
      </c>
      <c r="AC3258" s="9">
        <f>IF(AND($A3258&lt;&gt;"",M3258=설정!$C$20,Z3258&gt;0),Z3258+ROW()/1000000000,"")</f>
        <v/>
      </c>
      <c r="AD3258" s="94">
        <f>IF($A3258="",0,$P3258*AG3258)</f>
        <v/>
      </c>
      <c r="AE3258" s="64">
        <f>IF($A3258="","",IFERROR(INDEX(계정매핑!$E$5:$E$504,MATCH($F3258&amp;"",계정매핑!$A$5:$A$504,0))&amp;"","공통비"))</f>
        <v/>
      </c>
      <c r="AF3258" s="64">
        <f>IF($A3258="","",IF(AE3258="직접",IFERROR(INDEX(계정매핑!$F$5:$F$504,MATCH($F3258&amp;"",계정매핑!$A$5:$A$504,0))&amp;"","비귀속"),""))</f>
        <v/>
      </c>
      <c r="AG3258" s="96">
        <f>IF($A3258="",0,IF(AND(AE3258&lt;&gt;"직접",IFERROR(INDEX(계정매핑!$G$5:$G$504,MATCH($F3258&amp;"",계정매핑!$A$5:$A$504,0))&amp;"","")="유지비",COUNTIF(계정대체기준!$A$6:$A$15,$N3258)&gt;0),IFERROR(INDEX(계정대체기준!$E$6:$E$15,MATCH(VALUE($A3258&amp;""),계정대체기준!$D$6:$D$15,0)),0),0))</f>
        <v/>
      </c>
      <c r="AH3258" s="64">
        <f>IF($A3258="","",IF(AD3258=0,"",IF(OR(COUNTIF(계정대체기준!$A$77:$A$86,$N3258)&gt;0,ISNUMBER(MATCH($X3258,계정대체기준!$D$77:$D$86,0)),ISNUMBER(MATCH($F3258,계정대체기준!$D$77:$D$86,0))),"Y","N")))</f>
        <v/>
      </c>
    </row>
    <row r="3259">
      <c r="A3259" s="92" t="n">
        <v>2026</v>
      </c>
      <c r="B3259" s="92" t="n">
        <v>3</v>
      </c>
      <c r="C3259" s="92" t="inlineStr">
        <is>
          <t>5100000537</t>
        </is>
      </c>
      <c r="D3259" s="95" t="n">
        <v>46091</v>
      </c>
      <c r="E3259" s="92" t="inlineStr">
        <is>
          <t>KR</t>
        </is>
      </c>
      <c r="F3259" s="92" t="n">
        <v>62201000</v>
      </c>
      <c r="G3259" s="92" t="n">
        <v>1301</v>
      </c>
      <c r="H3259" s="93" t="n">
        <v>199000</v>
      </c>
      <c r="I3259" s="92" t="inlineStr">
        <is>
          <t>3월 통신요금 - P통신</t>
        </is>
      </c>
      <c r="J3259" s="92" t="inlineStr">
        <is>
          <t>V10014</t>
        </is>
      </c>
      <c r="K3259" s="92" t="inlineStr">
        <is>
          <t>P통신</t>
        </is>
      </c>
      <c r="M3259" s="9">
        <f>IF($A3259="","",VALUE($A3259&amp;"")*12+VALUE($B3259&amp;""))</f>
        <v/>
      </c>
      <c r="N3259" s="64">
        <f>IF($A3259="","",IFERROR(INDEX(부서매핑!$C$5:$C$504,MATCH($G3259&amp;"",부서매핑!$A$5:$A$504,0)),"미매핑"))</f>
        <v/>
      </c>
      <c r="O3259" s="9">
        <f>IF($A3259="","",N3259&amp;"|"&amp;$F3259)</f>
        <v/>
      </c>
      <c r="P3259" s="94">
        <f>IF($A3259="",0,$H3259*설정!$C$23)</f>
        <v/>
      </c>
      <c r="Q3259" s="64">
        <f>IF($A3259="","",IF(O3259&lt;&gt;원인분석!$C$9,"",IF(AND(M3259&gt;=원인분석!$C$10,M3259&lt;=원인분석!$C$11),"당기",IF(AND(M3259&gt;=원인분석!$C$12,M3259&lt;=원인분석!$C$13),"비교",""))))</f>
        <v/>
      </c>
      <c r="R3259" s="9">
        <f>IF(Q3259="","",$K3259&amp;"")</f>
        <v/>
      </c>
      <c r="S3259" s="9">
        <f>IF(Q3259="","",IF(MATCH(R3259,$R$5:$R$100000,0)=ROW()-4,ROW(),""))</f>
        <v/>
      </c>
      <c r="T3259" s="9">
        <f>IF(Q3259="당기",ABS(P3259)+ROW()/1000000000,"")</f>
        <v/>
      </c>
      <c r="U3259" s="9">
        <f>IF(Q3259="비교",ABS(P3259)+ROW()/1000000000,"")</f>
        <v/>
      </c>
      <c r="V3259" s="64">
        <f>IF($A3259="","",IF(COUNTIF(변동분석!$E$7:$E$506,O3259)&gt;0,"Y","N"))</f>
        <v/>
      </c>
      <c r="W3259" s="64">
        <f>IF($A3259="","",IFERROR(INDEX(계정매핑!$D$5:$D$504,MATCH($F3259&amp;"",계정매핑!$A$5:$A$504,0)),"미매핑"))</f>
        <v/>
      </c>
      <c r="X3259" s="9">
        <f>IF($A3259="","",$F3259&amp;"")</f>
        <v/>
      </c>
      <c r="Y3259" s="94">
        <f>IF($A3259="",0,IF(AE3259="직접",IF(AF3259="비귀속",$P3259,0),$P3259*(1-AG3259)*IFERROR(INDEX(계정대체기준!$F$20:$F$49,MATCH($N3259,계정대체기준!$A$20:$A$49,0)),1)))</f>
        <v/>
      </c>
      <c r="Z3259" s="94">
        <f>IF($A3259="",0,IF(AE3259="직접",IF(AF3259="신계약비",$P3259,0),$P3259*(1-AG3259)*IFERROR(INDEX(계정대체기준!$C$20:$C$49,MATCH($N3259,계정대체기준!$A$20:$A$49,0)),0)))</f>
        <v/>
      </c>
      <c r="AA3259" s="94">
        <f>IF($A3259="",0,IF(AE3259="직접",IF(OR(AF3259="유지비",AF3259="손해조사비"),$P3259,0),$P3259*(1-AG3259)*IFERROR(INDEX(계정대체기준!$D$20:$D$49,MATCH($N3259,계정대체기준!$A$20:$A$49,0)),0)))</f>
        <v/>
      </c>
      <c r="AB3259" s="94">
        <f>IF($A3259="",0,IF(AE3259="직접",IF(AF3259="수금비",$P3259,0),$P3259*(1-AG3259)*IFERROR(INDEX(계정대체기준!$E$20:$E$49,MATCH($N3259,계정대체기준!$A$20:$A$49,0)),0)))</f>
        <v/>
      </c>
      <c r="AC3259" s="9">
        <f>IF(AND($A3259&lt;&gt;"",M3259=설정!$C$20,Z3259&gt;0),Z3259+ROW()/1000000000,"")</f>
        <v/>
      </c>
      <c r="AD3259" s="94">
        <f>IF($A3259="",0,$P3259*AG3259)</f>
        <v/>
      </c>
      <c r="AE3259" s="64">
        <f>IF($A3259="","",IFERROR(INDEX(계정매핑!$E$5:$E$504,MATCH($F3259&amp;"",계정매핑!$A$5:$A$504,0))&amp;"","공통비"))</f>
        <v/>
      </c>
      <c r="AF3259" s="64">
        <f>IF($A3259="","",IF(AE3259="직접",IFERROR(INDEX(계정매핑!$F$5:$F$504,MATCH($F3259&amp;"",계정매핑!$A$5:$A$504,0))&amp;"","비귀속"),""))</f>
        <v/>
      </c>
      <c r="AG3259" s="96">
        <f>IF($A3259="",0,IF(AND(AE3259&lt;&gt;"직접",IFERROR(INDEX(계정매핑!$G$5:$G$504,MATCH($F3259&amp;"",계정매핑!$A$5:$A$504,0))&amp;"","")="유지비",COUNTIF(계정대체기준!$A$6:$A$15,$N3259)&gt;0),IFERROR(INDEX(계정대체기준!$E$6:$E$15,MATCH(VALUE($A3259&amp;""),계정대체기준!$D$6:$D$15,0)),0),0))</f>
        <v/>
      </c>
      <c r="AH3259" s="64">
        <f>IF($A3259="","",IF(AD3259=0,"",IF(OR(COUNTIF(계정대체기준!$A$77:$A$86,$N3259)&gt;0,ISNUMBER(MATCH($X3259,계정대체기준!$D$77:$D$86,0)),ISNUMBER(MATCH($F3259,계정대체기준!$D$77:$D$86,0))),"Y","N")))</f>
        <v/>
      </c>
    </row>
    <row r="3260">
      <c r="A3260" s="92" t="n">
        <v>2026</v>
      </c>
      <c r="B3260" s="92" t="n">
        <v>3</v>
      </c>
      <c r="C3260" s="92" t="inlineStr">
        <is>
          <t>5100000538</t>
        </is>
      </c>
      <c r="D3260" s="95" t="n">
        <v>46091</v>
      </c>
      <c r="E3260" s="92" t="inlineStr">
        <is>
          <t>KR</t>
        </is>
      </c>
      <c r="F3260" s="92" t="n">
        <v>62201000</v>
      </c>
      <c r="G3260" s="92" t="n">
        <v>1602</v>
      </c>
      <c r="H3260" s="93" t="n">
        <v>697000</v>
      </c>
      <c r="I3260" s="92" t="inlineStr">
        <is>
          <t>3월 통신요금 - P통신</t>
        </is>
      </c>
      <c r="J3260" s="92" t="inlineStr">
        <is>
          <t>V10014</t>
        </is>
      </c>
      <c r="K3260" s="92" t="inlineStr">
        <is>
          <t>P통신</t>
        </is>
      </c>
      <c r="M3260" s="9">
        <f>IF($A3260="","",VALUE($A3260&amp;"")*12+VALUE($B3260&amp;""))</f>
        <v/>
      </c>
      <c r="N3260" s="64">
        <f>IF($A3260="","",IFERROR(INDEX(부서매핑!$C$5:$C$504,MATCH($G3260&amp;"",부서매핑!$A$5:$A$504,0)),"미매핑"))</f>
        <v/>
      </c>
      <c r="O3260" s="9">
        <f>IF($A3260="","",N3260&amp;"|"&amp;$F3260)</f>
        <v/>
      </c>
      <c r="P3260" s="94">
        <f>IF($A3260="",0,$H3260*설정!$C$23)</f>
        <v/>
      </c>
      <c r="Q3260" s="64">
        <f>IF($A3260="","",IF(O3260&lt;&gt;원인분석!$C$9,"",IF(AND(M3260&gt;=원인분석!$C$10,M3260&lt;=원인분석!$C$11),"당기",IF(AND(M3260&gt;=원인분석!$C$12,M3260&lt;=원인분석!$C$13),"비교",""))))</f>
        <v/>
      </c>
      <c r="R3260" s="9">
        <f>IF(Q3260="","",$K3260&amp;"")</f>
        <v/>
      </c>
      <c r="S3260" s="9">
        <f>IF(Q3260="","",IF(MATCH(R3260,$R$5:$R$100000,0)=ROW()-4,ROW(),""))</f>
        <v/>
      </c>
      <c r="T3260" s="9">
        <f>IF(Q3260="당기",ABS(P3260)+ROW()/1000000000,"")</f>
        <v/>
      </c>
      <c r="U3260" s="9">
        <f>IF(Q3260="비교",ABS(P3260)+ROW()/1000000000,"")</f>
        <v/>
      </c>
      <c r="V3260" s="64">
        <f>IF($A3260="","",IF(COUNTIF(변동분석!$E$7:$E$506,O3260)&gt;0,"Y","N"))</f>
        <v/>
      </c>
      <c r="W3260" s="64">
        <f>IF($A3260="","",IFERROR(INDEX(계정매핑!$D$5:$D$504,MATCH($F3260&amp;"",계정매핑!$A$5:$A$504,0)),"미매핑"))</f>
        <v/>
      </c>
      <c r="X3260" s="9">
        <f>IF($A3260="","",$F3260&amp;"")</f>
        <v/>
      </c>
      <c r="Y3260" s="94">
        <f>IF($A3260="",0,IF(AE3260="직접",IF(AF3260="비귀속",$P3260,0),$P3260*(1-AG3260)*IFERROR(INDEX(계정대체기준!$F$20:$F$49,MATCH($N3260,계정대체기준!$A$20:$A$49,0)),1)))</f>
        <v/>
      </c>
      <c r="Z3260" s="94">
        <f>IF($A3260="",0,IF(AE3260="직접",IF(AF3260="신계약비",$P3260,0),$P3260*(1-AG3260)*IFERROR(INDEX(계정대체기준!$C$20:$C$49,MATCH($N3260,계정대체기준!$A$20:$A$49,0)),0)))</f>
        <v/>
      </c>
      <c r="AA3260" s="94">
        <f>IF($A3260="",0,IF(AE3260="직접",IF(OR(AF3260="유지비",AF3260="손해조사비"),$P3260,0),$P3260*(1-AG3260)*IFERROR(INDEX(계정대체기준!$D$20:$D$49,MATCH($N3260,계정대체기준!$A$20:$A$49,0)),0)))</f>
        <v/>
      </c>
      <c r="AB3260" s="94">
        <f>IF($A3260="",0,IF(AE3260="직접",IF(AF3260="수금비",$P3260,0),$P3260*(1-AG3260)*IFERROR(INDEX(계정대체기준!$E$20:$E$49,MATCH($N3260,계정대체기준!$A$20:$A$49,0)),0)))</f>
        <v/>
      </c>
      <c r="AC3260" s="9">
        <f>IF(AND($A3260&lt;&gt;"",M3260=설정!$C$20,Z3260&gt;0),Z3260+ROW()/1000000000,"")</f>
        <v/>
      </c>
      <c r="AD3260" s="94">
        <f>IF($A3260="",0,$P3260*AG3260)</f>
        <v/>
      </c>
      <c r="AE3260" s="64">
        <f>IF($A3260="","",IFERROR(INDEX(계정매핑!$E$5:$E$504,MATCH($F3260&amp;"",계정매핑!$A$5:$A$504,0))&amp;"","공통비"))</f>
        <v/>
      </c>
      <c r="AF3260" s="64">
        <f>IF($A3260="","",IF(AE3260="직접",IFERROR(INDEX(계정매핑!$F$5:$F$504,MATCH($F3260&amp;"",계정매핑!$A$5:$A$504,0))&amp;"","비귀속"),""))</f>
        <v/>
      </c>
      <c r="AG3260" s="96">
        <f>IF($A3260="",0,IF(AND(AE3260&lt;&gt;"직접",IFERROR(INDEX(계정매핑!$G$5:$G$504,MATCH($F3260&amp;"",계정매핑!$A$5:$A$504,0))&amp;"","")="유지비",COUNTIF(계정대체기준!$A$6:$A$15,$N3260)&gt;0),IFERROR(INDEX(계정대체기준!$E$6:$E$15,MATCH(VALUE($A3260&amp;""),계정대체기준!$D$6:$D$15,0)),0),0))</f>
        <v/>
      </c>
      <c r="AH3260" s="64">
        <f>IF($A3260="","",IF(AD3260=0,"",IF(OR(COUNTIF(계정대체기준!$A$77:$A$86,$N3260)&gt;0,ISNUMBER(MATCH($X3260,계정대체기준!$D$77:$D$86,0)),ISNUMBER(MATCH($F3260,계정대체기준!$D$77:$D$86,0))),"Y","N")))</f>
        <v/>
      </c>
    </row>
    <row r="3261">
      <c r="A3261" s="92" t="n">
        <v>2026</v>
      </c>
      <c r="B3261" s="92" t="n">
        <v>3</v>
      </c>
      <c r="C3261" s="92" t="inlineStr">
        <is>
          <t>5100000539</t>
        </is>
      </c>
      <c r="D3261" s="95" t="n">
        <v>46091</v>
      </c>
      <c r="E3261" s="92" t="inlineStr">
        <is>
          <t>KR</t>
        </is>
      </c>
      <c r="F3261" s="92" t="n">
        <v>62301000</v>
      </c>
      <c r="G3261" s="92" t="n">
        <v>1801</v>
      </c>
      <c r="H3261" s="93" t="n">
        <v>196000</v>
      </c>
      <c r="I3261" s="92" t="inlineStr">
        <is>
          <t>3월 소모품 구입 - Q오피스</t>
        </is>
      </c>
      <c r="J3261" s="92" t="inlineStr">
        <is>
          <t>V10003</t>
        </is>
      </c>
      <c r="K3261" s="92" t="inlineStr">
        <is>
          <t>Q오피스</t>
        </is>
      </c>
      <c r="M3261" s="9">
        <f>IF($A3261="","",VALUE($A3261&amp;"")*12+VALUE($B3261&amp;""))</f>
        <v/>
      </c>
      <c r="N3261" s="64">
        <f>IF($A3261="","",IFERROR(INDEX(부서매핑!$C$5:$C$504,MATCH($G3261&amp;"",부서매핑!$A$5:$A$504,0)),"미매핑"))</f>
        <v/>
      </c>
      <c r="O3261" s="9">
        <f>IF($A3261="","",N3261&amp;"|"&amp;$F3261)</f>
        <v/>
      </c>
      <c r="P3261" s="94">
        <f>IF($A3261="",0,$H3261*설정!$C$23)</f>
        <v/>
      </c>
      <c r="Q3261" s="64">
        <f>IF($A3261="","",IF(O3261&lt;&gt;원인분석!$C$9,"",IF(AND(M3261&gt;=원인분석!$C$10,M3261&lt;=원인분석!$C$11),"당기",IF(AND(M3261&gt;=원인분석!$C$12,M3261&lt;=원인분석!$C$13),"비교",""))))</f>
        <v/>
      </c>
      <c r="R3261" s="9">
        <f>IF(Q3261="","",$K3261&amp;"")</f>
        <v/>
      </c>
      <c r="S3261" s="9">
        <f>IF(Q3261="","",IF(MATCH(R3261,$R$5:$R$100000,0)=ROW()-4,ROW(),""))</f>
        <v/>
      </c>
      <c r="T3261" s="9">
        <f>IF(Q3261="당기",ABS(P3261)+ROW()/1000000000,"")</f>
        <v/>
      </c>
      <c r="U3261" s="9">
        <f>IF(Q3261="비교",ABS(P3261)+ROW()/1000000000,"")</f>
        <v/>
      </c>
      <c r="V3261" s="64">
        <f>IF($A3261="","",IF(COUNTIF(변동분석!$E$7:$E$506,O3261)&gt;0,"Y","N"))</f>
        <v/>
      </c>
      <c r="W3261" s="64">
        <f>IF($A3261="","",IFERROR(INDEX(계정매핑!$D$5:$D$504,MATCH($F3261&amp;"",계정매핑!$A$5:$A$504,0)),"미매핑"))</f>
        <v/>
      </c>
      <c r="X3261" s="9">
        <f>IF($A3261="","",$F3261&amp;"")</f>
        <v/>
      </c>
      <c r="Y3261" s="94">
        <f>IF($A3261="",0,IF(AE3261="직접",IF(AF3261="비귀속",$P3261,0),$P3261*(1-AG3261)*IFERROR(INDEX(계정대체기준!$F$20:$F$49,MATCH($N3261,계정대체기준!$A$20:$A$49,0)),1)))</f>
        <v/>
      </c>
      <c r="Z3261" s="94">
        <f>IF($A3261="",0,IF(AE3261="직접",IF(AF3261="신계약비",$P3261,0),$P3261*(1-AG3261)*IFERROR(INDEX(계정대체기준!$C$20:$C$49,MATCH($N3261,계정대체기준!$A$20:$A$49,0)),0)))</f>
        <v/>
      </c>
      <c r="AA3261" s="94">
        <f>IF($A3261="",0,IF(AE3261="직접",IF(OR(AF3261="유지비",AF3261="손해조사비"),$P3261,0),$P3261*(1-AG3261)*IFERROR(INDEX(계정대체기준!$D$20:$D$49,MATCH($N3261,계정대체기준!$A$20:$A$49,0)),0)))</f>
        <v/>
      </c>
      <c r="AB3261" s="94">
        <f>IF($A3261="",0,IF(AE3261="직접",IF(AF3261="수금비",$P3261,0),$P3261*(1-AG3261)*IFERROR(INDEX(계정대체기준!$E$20:$E$49,MATCH($N3261,계정대체기준!$A$20:$A$49,0)),0)))</f>
        <v/>
      </c>
      <c r="AC3261" s="9">
        <f>IF(AND($A3261&lt;&gt;"",M3261=설정!$C$20,Z3261&gt;0),Z3261+ROW()/1000000000,"")</f>
        <v/>
      </c>
      <c r="AD3261" s="94">
        <f>IF($A3261="",0,$P3261*AG3261)</f>
        <v/>
      </c>
      <c r="AE3261" s="64">
        <f>IF($A3261="","",IFERROR(INDEX(계정매핑!$E$5:$E$504,MATCH($F3261&amp;"",계정매핑!$A$5:$A$504,0))&amp;"","공통비"))</f>
        <v/>
      </c>
      <c r="AF3261" s="64">
        <f>IF($A3261="","",IF(AE3261="직접",IFERROR(INDEX(계정매핑!$F$5:$F$504,MATCH($F3261&amp;"",계정매핑!$A$5:$A$504,0))&amp;"","비귀속"),""))</f>
        <v/>
      </c>
      <c r="AG3261" s="96">
        <f>IF($A3261="",0,IF(AND(AE3261&lt;&gt;"직접",IFERROR(INDEX(계정매핑!$G$5:$G$504,MATCH($F3261&amp;"",계정매핑!$A$5:$A$504,0))&amp;"","")="유지비",COUNTIF(계정대체기준!$A$6:$A$15,$N3261)&gt;0),IFERROR(INDEX(계정대체기준!$E$6:$E$15,MATCH(VALUE($A3261&amp;""),계정대체기준!$D$6:$D$15,0)),0),0))</f>
        <v/>
      </c>
      <c r="AH3261" s="64">
        <f>IF($A3261="","",IF(AD3261=0,"",IF(OR(COUNTIF(계정대체기준!$A$77:$A$86,$N3261)&gt;0,ISNUMBER(MATCH($X3261,계정대체기준!$D$77:$D$86,0)),ISNUMBER(MATCH($F3261,계정대체기준!$D$77:$D$86,0))),"Y","N")))</f>
        <v/>
      </c>
    </row>
    <row r="3262">
      <c r="A3262" s="92" t="n">
        <v>2026</v>
      </c>
      <c r="B3262" s="92" t="n">
        <v>3</v>
      </c>
      <c r="C3262" s="92" t="inlineStr">
        <is>
          <t>5100000540</t>
        </is>
      </c>
      <c r="D3262" s="95" t="n">
        <v>46091</v>
      </c>
      <c r="E3262" s="92" t="inlineStr">
        <is>
          <t>KR</t>
        </is>
      </c>
      <c r="F3262" s="92" t="n">
        <v>62901000</v>
      </c>
      <c r="G3262" s="92" t="n">
        <v>1101</v>
      </c>
      <c r="H3262" s="93" t="n">
        <v>3021000</v>
      </c>
      <c r="I3262" s="92" t="inlineStr">
        <is>
          <t>3월 자문 수수료 - W컨설팅</t>
        </is>
      </c>
      <c r="J3262" s="92" t="inlineStr">
        <is>
          <t>V10006</t>
        </is>
      </c>
      <c r="K3262" s="92" t="inlineStr">
        <is>
          <t>W컨설팅</t>
        </is>
      </c>
      <c r="M3262" s="9">
        <f>IF($A3262="","",VALUE($A3262&amp;"")*12+VALUE($B3262&amp;""))</f>
        <v/>
      </c>
      <c r="N3262" s="64">
        <f>IF($A3262="","",IFERROR(INDEX(부서매핑!$C$5:$C$504,MATCH($G3262&amp;"",부서매핑!$A$5:$A$504,0)),"미매핑"))</f>
        <v/>
      </c>
      <c r="O3262" s="9">
        <f>IF($A3262="","",N3262&amp;"|"&amp;$F3262)</f>
        <v/>
      </c>
      <c r="P3262" s="94">
        <f>IF($A3262="",0,$H3262*설정!$C$23)</f>
        <v/>
      </c>
      <c r="Q3262" s="64">
        <f>IF($A3262="","",IF(O3262&lt;&gt;원인분석!$C$9,"",IF(AND(M3262&gt;=원인분석!$C$10,M3262&lt;=원인분석!$C$11),"당기",IF(AND(M3262&gt;=원인분석!$C$12,M3262&lt;=원인분석!$C$13),"비교",""))))</f>
        <v/>
      </c>
      <c r="R3262" s="9">
        <f>IF(Q3262="","",$K3262&amp;"")</f>
        <v/>
      </c>
      <c r="S3262" s="9">
        <f>IF(Q3262="","",IF(MATCH(R3262,$R$5:$R$100000,0)=ROW()-4,ROW(),""))</f>
        <v/>
      </c>
      <c r="T3262" s="9">
        <f>IF(Q3262="당기",ABS(P3262)+ROW()/1000000000,"")</f>
        <v/>
      </c>
      <c r="U3262" s="9">
        <f>IF(Q3262="비교",ABS(P3262)+ROW()/1000000000,"")</f>
        <v/>
      </c>
      <c r="V3262" s="64">
        <f>IF($A3262="","",IF(COUNTIF(변동분석!$E$7:$E$506,O3262)&gt;0,"Y","N"))</f>
        <v/>
      </c>
      <c r="W3262" s="64">
        <f>IF($A3262="","",IFERROR(INDEX(계정매핑!$D$5:$D$504,MATCH($F3262&amp;"",계정매핑!$A$5:$A$504,0)),"미매핑"))</f>
        <v/>
      </c>
      <c r="X3262" s="9">
        <f>IF($A3262="","",$F3262&amp;"")</f>
        <v/>
      </c>
      <c r="Y3262" s="94">
        <f>IF($A3262="",0,IF(AE3262="직접",IF(AF3262="비귀속",$P3262,0),$P3262*(1-AG3262)*IFERROR(INDEX(계정대체기준!$F$20:$F$49,MATCH($N3262,계정대체기준!$A$20:$A$49,0)),1)))</f>
        <v/>
      </c>
      <c r="Z3262" s="94">
        <f>IF($A3262="",0,IF(AE3262="직접",IF(AF3262="신계약비",$P3262,0),$P3262*(1-AG3262)*IFERROR(INDEX(계정대체기준!$C$20:$C$49,MATCH($N3262,계정대체기준!$A$20:$A$49,0)),0)))</f>
        <v/>
      </c>
      <c r="AA3262" s="94">
        <f>IF($A3262="",0,IF(AE3262="직접",IF(OR(AF3262="유지비",AF3262="손해조사비"),$P3262,0),$P3262*(1-AG3262)*IFERROR(INDEX(계정대체기준!$D$20:$D$49,MATCH($N3262,계정대체기준!$A$20:$A$49,0)),0)))</f>
        <v/>
      </c>
      <c r="AB3262" s="94">
        <f>IF($A3262="",0,IF(AE3262="직접",IF(AF3262="수금비",$P3262,0),$P3262*(1-AG3262)*IFERROR(INDEX(계정대체기준!$E$20:$E$49,MATCH($N3262,계정대체기준!$A$20:$A$49,0)),0)))</f>
        <v/>
      </c>
      <c r="AC3262" s="9">
        <f>IF(AND($A3262&lt;&gt;"",M3262=설정!$C$20,Z3262&gt;0),Z3262+ROW()/1000000000,"")</f>
        <v/>
      </c>
      <c r="AD3262" s="94">
        <f>IF($A3262="",0,$P3262*AG3262)</f>
        <v/>
      </c>
      <c r="AE3262" s="64">
        <f>IF($A3262="","",IFERROR(INDEX(계정매핑!$E$5:$E$504,MATCH($F3262&amp;"",계정매핑!$A$5:$A$504,0))&amp;"","공통비"))</f>
        <v/>
      </c>
      <c r="AF3262" s="64">
        <f>IF($A3262="","",IF(AE3262="직접",IFERROR(INDEX(계정매핑!$F$5:$F$504,MATCH($F3262&amp;"",계정매핑!$A$5:$A$504,0))&amp;"","비귀속"),""))</f>
        <v/>
      </c>
      <c r="AG3262" s="96">
        <f>IF($A3262="",0,IF(AND(AE3262&lt;&gt;"직접",IFERROR(INDEX(계정매핑!$G$5:$G$504,MATCH($F3262&amp;"",계정매핑!$A$5:$A$504,0))&amp;"","")="유지비",COUNTIF(계정대체기준!$A$6:$A$15,$N3262)&gt;0),IFERROR(INDEX(계정대체기준!$E$6:$E$15,MATCH(VALUE($A3262&amp;""),계정대체기준!$D$6:$D$15,0)),0),0))</f>
        <v/>
      </c>
      <c r="AH3262" s="64">
        <f>IF($A3262="","",IF(AD3262=0,"",IF(OR(COUNTIF(계정대체기준!$A$77:$A$86,$N3262)&gt;0,ISNUMBER(MATCH($X3262,계정대체기준!$D$77:$D$86,0)),ISNUMBER(MATCH($F3262,계정대체기준!$D$77:$D$86,0))),"Y","N")))</f>
        <v/>
      </c>
    </row>
    <row r="3263">
      <c r="A3263" s="92" t="n">
        <v>2026</v>
      </c>
      <c r="B3263" s="92" t="n">
        <v>3</v>
      </c>
      <c r="C3263" s="92" t="inlineStr">
        <is>
          <t>5100000541</t>
        </is>
      </c>
      <c r="D3263" s="95" t="n">
        <v>46091</v>
      </c>
      <c r="E3263" s="92" t="inlineStr">
        <is>
          <t>KR</t>
        </is>
      </c>
      <c r="F3263" s="92" t="n">
        <v>62902000</v>
      </c>
      <c r="G3263" s="92" t="n">
        <v>1401</v>
      </c>
      <c r="H3263" s="93" t="n">
        <v>1353000</v>
      </c>
      <c r="I3263" s="92" t="inlineStr">
        <is>
          <t>3월 업무 위탁 수수료 - X서비스</t>
        </is>
      </c>
      <c r="J3263" s="92" t="inlineStr">
        <is>
          <t>V10020</t>
        </is>
      </c>
      <c r="K3263" s="92" t="inlineStr">
        <is>
          <t>X서비스</t>
        </is>
      </c>
      <c r="M3263" s="9">
        <f>IF($A3263="","",VALUE($A3263&amp;"")*12+VALUE($B3263&amp;""))</f>
        <v/>
      </c>
      <c r="N3263" s="64">
        <f>IF($A3263="","",IFERROR(INDEX(부서매핑!$C$5:$C$504,MATCH($G3263&amp;"",부서매핑!$A$5:$A$504,0)),"미매핑"))</f>
        <v/>
      </c>
      <c r="O3263" s="9">
        <f>IF($A3263="","",N3263&amp;"|"&amp;$F3263)</f>
        <v/>
      </c>
      <c r="P3263" s="94">
        <f>IF($A3263="",0,$H3263*설정!$C$23)</f>
        <v/>
      </c>
      <c r="Q3263" s="64">
        <f>IF($A3263="","",IF(O3263&lt;&gt;원인분석!$C$9,"",IF(AND(M3263&gt;=원인분석!$C$10,M3263&lt;=원인분석!$C$11),"당기",IF(AND(M3263&gt;=원인분석!$C$12,M3263&lt;=원인분석!$C$13),"비교",""))))</f>
        <v/>
      </c>
      <c r="R3263" s="9">
        <f>IF(Q3263="","",$K3263&amp;"")</f>
        <v/>
      </c>
      <c r="S3263" s="9">
        <f>IF(Q3263="","",IF(MATCH(R3263,$R$5:$R$100000,0)=ROW()-4,ROW(),""))</f>
        <v/>
      </c>
      <c r="T3263" s="9">
        <f>IF(Q3263="당기",ABS(P3263)+ROW()/1000000000,"")</f>
        <v/>
      </c>
      <c r="U3263" s="9">
        <f>IF(Q3263="비교",ABS(P3263)+ROW()/1000000000,"")</f>
        <v/>
      </c>
      <c r="V3263" s="64">
        <f>IF($A3263="","",IF(COUNTIF(변동분석!$E$7:$E$506,O3263)&gt;0,"Y","N"))</f>
        <v/>
      </c>
      <c r="W3263" s="64">
        <f>IF($A3263="","",IFERROR(INDEX(계정매핑!$D$5:$D$504,MATCH($F3263&amp;"",계정매핑!$A$5:$A$504,0)),"미매핑"))</f>
        <v/>
      </c>
      <c r="X3263" s="9">
        <f>IF($A3263="","",$F3263&amp;"")</f>
        <v/>
      </c>
      <c r="Y3263" s="94">
        <f>IF($A3263="",0,IF(AE3263="직접",IF(AF3263="비귀속",$P3263,0),$P3263*(1-AG3263)*IFERROR(INDEX(계정대체기준!$F$20:$F$49,MATCH($N3263,계정대체기준!$A$20:$A$49,0)),1)))</f>
        <v/>
      </c>
      <c r="Z3263" s="94">
        <f>IF($A3263="",0,IF(AE3263="직접",IF(AF3263="신계약비",$P3263,0),$P3263*(1-AG3263)*IFERROR(INDEX(계정대체기준!$C$20:$C$49,MATCH($N3263,계정대체기준!$A$20:$A$49,0)),0)))</f>
        <v/>
      </c>
      <c r="AA3263" s="94">
        <f>IF($A3263="",0,IF(AE3263="직접",IF(OR(AF3263="유지비",AF3263="손해조사비"),$P3263,0),$P3263*(1-AG3263)*IFERROR(INDEX(계정대체기준!$D$20:$D$49,MATCH($N3263,계정대체기준!$A$20:$A$49,0)),0)))</f>
        <v/>
      </c>
      <c r="AB3263" s="94">
        <f>IF($A3263="",0,IF(AE3263="직접",IF(AF3263="수금비",$P3263,0),$P3263*(1-AG3263)*IFERROR(INDEX(계정대체기준!$E$20:$E$49,MATCH($N3263,계정대체기준!$A$20:$A$49,0)),0)))</f>
        <v/>
      </c>
      <c r="AC3263" s="9">
        <f>IF(AND($A3263&lt;&gt;"",M3263=설정!$C$20,Z3263&gt;0),Z3263+ROW()/1000000000,"")</f>
        <v/>
      </c>
      <c r="AD3263" s="94">
        <f>IF($A3263="",0,$P3263*AG3263)</f>
        <v/>
      </c>
      <c r="AE3263" s="64">
        <f>IF($A3263="","",IFERROR(INDEX(계정매핑!$E$5:$E$504,MATCH($F3263&amp;"",계정매핑!$A$5:$A$504,0))&amp;"","공통비"))</f>
        <v/>
      </c>
      <c r="AF3263" s="64">
        <f>IF($A3263="","",IF(AE3263="직접",IFERROR(INDEX(계정매핑!$F$5:$F$504,MATCH($F3263&amp;"",계정매핑!$A$5:$A$504,0))&amp;"","비귀속"),""))</f>
        <v/>
      </c>
      <c r="AG3263" s="96">
        <f>IF($A3263="",0,IF(AND(AE3263&lt;&gt;"직접",IFERROR(INDEX(계정매핑!$G$5:$G$504,MATCH($F3263&amp;"",계정매핑!$A$5:$A$504,0))&amp;"","")="유지비",COUNTIF(계정대체기준!$A$6:$A$15,$N3263)&gt;0),IFERROR(INDEX(계정대체기준!$E$6:$E$15,MATCH(VALUE($A3263&amp;""),계정대체기준!$D$6:$D$15,0)),0),0))</f>
        <v/>
      </c>
      <c r="AH3263" s="64">
        <f>IF($A3263="","",IF(AD3263=0,"",IF(OR(COUNTIF(계정대체기준!$A$77:$A$86,$N3263)&gt;0,ISNUMBER(MATCH($X3263,계정대체기준!$D$77:$D$86,0)),ISNUMBER(MATCH($F3263,계정대체기준!$D$77:$D$86,0))),"Y","N")))</f>
        <v/>
      </c>
    </row>
    <row r="3264">
      <c r="A3264" s="92" t="n">
        <v>2026</v>
      </c>
      <c r="B3264" s="92" t="n">
        <v>3</v>
      </c>
      <c r="C3264" s="92" t="inlineStr">
        <is>
          <t>5100000542</t>
        </is>
      </c>
      <c r="D3264" s="95" t="n">
        <v>46092</v>
      </c>
      <c r="E3264" s="92" t="inlineStr">
        <is>
          <t>KR</t>
        </is>
      </c>
      <c r="F3264" s="92" t="n">
        <v>62101000</v>
      </c>
      <c r="G3264" s="92" t="n">
        <v>1951</v>
      </c>
      <c r="H3264" s="93" t="n">
        <v>411000</v>
      </c>
      <c r="I3264" s="92" t="inlineStr">
        <is>
          <t>3월 국내출장 - L여행사</t>
        </is>
      </c>
      <c r="J3264" s="92" t="inlineStr">
        <is>
          <t>V10018</t>
        </is>
      </c>
      <c r="K3264" s="92" t="inlineStr">
        <is>
          <t>L여행사</t>
        </is>
      </c>
      <c r="M3264" s="9">
        <f>IF($A3264="","",VALUE($A3264&amp;"")*12+VALUE($B3264&amp;""))</f>
        <v/>
      </c>
      <c r="N3264" s="64">
        <f>IF($A3264="","",IFERROR(INDEX(부서매핑!$C$5:$C$504,MATCH($G3264&amp;"",부서매핑!$A$5:$A$504,0)),"미매핑"))</f>
        <v/>
      </c>
      <c r="O3264" s="9">
        <f>IF($A3264="","",N3264&amp;"|"&amp;$F3264)</f>
        <v/>
      </c>
      <c r="P3264" s="94">
        <f>IF($A3264="",0,$H3264*설정!$C$23)</f>
        <v/>
      </c>
      <c r="Q3264" s="64">
        <f>IF($A3264="","",IF(O3264&lt;&gt;원인분석!$C$9,"",IF(AND(M3264&gt;=원인분석!$C$10,M3264&lt;=원인분석!$C$11),"당기",IF(AND(M3264&gt;=원인분석!$C$12,M3264&lt;=원인분석!$C$13),"비교",""))))</f>
        <v/>
      </c>
      <c r="R3264" s="9">
        <f>IF(Q3264="","",$K3264&amp;"")</f>
        <v/>
      </c>
      <c r="S3264" s="9">
        <f>IF(Q3264="","",IF(MATCH(R3264,$R$5:$R$100000,0)=ROW()-4,ROW(),""))</f>
        <v/>
      </c>
      <c r="T3264" s="9">
        <f>IF(Q3264="당기",ABS(P3264)+ROW()/1000000000,"")</f>
        <v/>
      </c>
      <c r="U3264" s="9">
        <f>IF(Q3264="비교",ABS(P3264)+ROW()/1000000000,"")</f>
        <v/>
      </c>
      <c r="V3264" s="64">
        <f>IF($A3264="","",IF(COUNTIF(변동분석!$E$7:$E$506,O3264)&gt;0,"Y","N"))</f>
        <v/>
      </c>
      <c r="W3264" s="64">
        <f>IF($A3264="","",IFERROR(INDEX(계정매핑!$D$5:$D$504,MATCH($F3264&amp;"",계정매핑!$A$5:$A$504,0)),"미매핑"))</f>
        <v/>
      </c>
      <c r="X3264" s="9">
        <f>IF($A3264="","",$F3264&amp;"")</f>
        <v/>
      </c>
      <c r="Y3264" s="94">
        <f>IF($A3264="",0,IF(AE3264="직접",IF(AF3264="비귀속",$P3264,0),$P3264*(1-AG3264)*IFERROR(INDEX(계정대체기준!$F$20:$F$49,MATCH($N3264,계정대체기준!$A$20:$A$49,0)),1)))</f>
        <v/>
      </c>
      <c r="Z3264" s="94">
        <f>IF($A3264="",0,IF(AE3264="직접",IF(AF3264="신계약비",$P3264,0),$P3264*(1-AG3264)*IFERROR(INDEX(계정대체기준!$C$20:$C$49,MATCH($N3264,계정대체기준!$A$20:$A$49,0)),0)))</f>
        <v/>
      </c>
      <c r="AA3264" s="94">
        <f>IF($A3264="",0,IF(AE3264="직접",IF(OR(AF3264="유지비",AF3264="손해조사비"),$P3264,0),$P3264*(1-AG3264)*IFERROR(INDEX(계정대체기준!$D$20:$D$49,MATCH($N3264,계정대체기준!$A$20:$A$49,0)),0)))</f>
        <v/>
      </c>
      <c r="AB3264" s="94">
        <f>IF($A3264="",0,IF(AE3264="직접",IF(AF3264="수금비",$P3264,0),$P3264*(1-AG3264)*IFERROR(INDEX(계정대체기준!$E$20:$E$49,MATCH($N3264,계정대체기준!$A$20:$A$49,0)),0)))</f>
        <v/>
      </c>
      <c r="AC3264" s="9">
        <f>IF(AND($A3264&lt;&gt;"",M3264=설정!$C$20,Z3264&gt;0),Z3264+ROW()/1000000000,"")</f>
        <v/>
      </c>
      <c r="AD3264" s="94">
        <f>IF($A3264="",0,$P3264*AG3264)</f>
        <v/>
      </c>
      <c r="AE3264" s="64">
        <f>IF($A3264="","",IFERROR(INDEX(계정매핑!$E$5:$E$504,MATCH($F3264&amp;"",계정매핑!$A$5:$A$504,0))&amp;"","공통비"))</f>
        <v/>
      </c>
      <c r="AF3264" s="64">
        <f>IF($A3264="","",IF(AE3264="직접",IFERROR(INDEX(계정매핑!$F$5:$F$504,MATCH($F3264&amp;"",계정매핑!$A$5:$A$504,0))&amp;"","비귀속"),""))</f>
        <v/>
      </c>
      <c r="AG3264" s="96">
        <f>IF($A3264="",0,IF(AND(AE3264&lt;&gt;"직접",IFERROR(INDEX(계정매핑!$G$5:$G$504,MATCH($F3264&amp;"",계정매핑!$A$5:$A$504,0))&amp;"","")="유지비",COUNTIF(계정대체기준!$A$6:$A$15,$N3264)&gt;0),IFERROR(INDEX(계정대체기준!$E$6:$E$15,MATCH(VALUE($A3264&amp;""),계정대체기준!$D$6:$D$15,0)),0),0))</f>
        <v/>
      </c>
      <c r="AH3264" s="64">
        <f>IF($A3264="","",IF(AD3264=0,"",IF(OR(COUNTIF(계정대체기준!$A$77:$A$86,$N3264)&gt;0,ISNUMBER(MATCH($X3264,계정대체기준!$D$77:$D$86,0)),ISNUMBER(MATCH($F3264,계정대체기준!$D$77:$D$86,0))),"Y","N")))</f>
        <v/>
      </c>
    </row>
    <row r="3265">
      <c r="A3265" s="92" t="n">
        <v>2026</v>
      </c>
      <c r="B3265" s="92" t="n">
        <v>3</v>
      </c>
      <c r="C3265" s="92" t="inlineStr">
        <is>
          <t>5100000543</t>
        </is>
      </c>
      <c r="D3265" s="95" t="n">
        <v>46092</v>
      </c>
      <c r="E3265" s="92" t="inlineStr">
        <is>
          <t>KR</t>
        </is>
      </c>
      <c r="F3265" s="92" t="n">
        <v>62102000</v>
      </c>
      <c r="G3265" s="92" t="n">
        <v>1701</v>
      </c>
      <c r="H3265" s="93" t="n">
        <v>37000</v>
      </c>
      <c r="I3265" s="92" t="inlineStr">
        <is>
          <t>3월 해외출장 - M항공</t>
        </is>
      </c>
      <c r="J3265" s="92" t="inlineStr">
        <is>
          <t>V10001</t>
        </is>
      </c>
      <c r="K3265" s="92" t="inlineStr">
        <is>
          <t>M항공</t>
        </is>
      </c>
      <c r="M3265" s="9">
        <f>IF($A3265="","",VALUE($A3265&amp;"")*12+VALUE($B3265&amp;""))</f>
        <v/>
      </c>
      <c r="N3265" s="64">
        <f>IF($A3265="","",IFERROR(INDEX(부서매핑!$C$5:$C$504,MATCH($G3265&amp;"",부서매핑!$A$5:$A$504,0)),"미매핑"))</f>
        <v/>
      </c>
      <c r="O3265" s="9">
        <f>IF($A3265="","",N3265&amp;"|"&amp;$F3265)</f>
        <v/>
      </c>
      <c r="P3265" s="94">
        <f>IF($A3265="",0,$H3265*설정!$C$23)</f>
        <v/>
      </c>
      <c r="Q3265" s="64">
        <f>IF($A3265="","",IF(O3265&lt;&gt;원인분석!$C$9,"",IF(AND(M3265&gt;=원인분석!$C$10,M3265&lt;=원인분석!$C$11),"당기",IF(AND(M3265&gt;=원인분석!$C$12,M3265&lt;=원인분석!$C$13),"비교",""))))</f>
        <v/>
      </c>
      <c r="R3265" s="9">
        <f>IF(Q3265="","",$K3265&amp;"")</f>
        <v/>
      </c>
      <c r="S3265" s="9">
        <f>IF(Q3265="","",IF(MATCH(R3265,$R$5:$R$100000,0)=ROW()-4,ROW(),""))</f>
        <v/>
      </c>
      <c r="T3265" s="9">
        <f>IF(Q3265="당기",ABS(P3265)+ROW()/1000000000,"")</f>
        <v/>
      </c>
      <c r="U3265" s="9">
        <f>IF(Q3265="비교",ABS(P3265)+ROW()/1000000000,"")</f>
        <v/>
      </c>
      <c r="V3265" s="64">
        <f>IF($A3265="","",IF(COUNTIF(변동분석!$E$7:$E$506,O3265)&gt;0,"Y","N"))</f>
        <v/>
      </c>
      <c r="W3265" s="64">
        <f>IF($A3265="","",IFERROR(INDEX(계정매핑!$D$5:$D$504,MATCH($F3265&amp;"",계정매핑!$A$5:$A$504,0)),"미매핑"))</f>
        <v/>
      </c>
      <c r="X3265" s="9">
        <f>IF($A3265="","",$F3265&amp;"")</f>
        <v/>
      </c>
      <c r="Y3265" s="94">
        <f>IF($A3265="",0,IF(AE3265="직접",IF(AF3265="비귀속",$P3265,0),$P3265*(1-AG3265)*IFERROR(INDEX(계정대체기준!$F$20:$F$49,MATCH($N3265,계정대체기준!$A$20:$A$49,0)),1)))</f>
        <v/>
      </c>
      <c r="Z3265" s="94">
        <f>IF($A3265="",0,IF(AE3265="직접",IF(AF3265="신계약비",$P3265,0),$P3265*(1-AG3265)*IFERROR(INDEX(계정대체기준!$C$20:$C$49,MATCH($N3265,계정대체기준!$A$20:$A$49,0)),0)))</f>
        <v/>
      </c>
      <c r="AA3265" s="94">
        <f>IF($A3265="",0,IF(AE3265="직접",IF(OR(AF3265="유지비",AF3265="손해조사비"),$P3265,0),$P3265*(1-AG3265)*IFERROR(INDEX(계정대체기준!$D$20:$D$49,MATCH($N3265,계정대체기준!$A$20:$A$49,0)),0)))</f>
        <v/>
      </c>
      <c r="AB3265" s="94">
        <f>IF($A3265="",0,IF(AE3265="직접",IF(AF3265="수금비",$P3265,0),$P3265*(1-AG3265)*IFERROR(INDEX(계정대체기준!$E$20:$E$49,MATCH($N3265,계정대체기준!$A$20:$A$49,0)),0)))</f>
        <v/>
      </c>
      <c r="AC3265" s="9">
        <f>IF(AND($A3265&lt;&gt;"",M3265=설정!$C$20,Z3265&gt;0),Z3265+ROW()/1000000000,"")</f>
        <v/>
      </c>
      <c r="AD3265" s="94">
        <f>IF($A3265="",0,$P3265*AG3265)</f>
        <v/>
      </c>
      <c r="AE3265" s="64">
        <f>IF($A3265="","",IFERROR(INDEX(계정매핑!$E$5:$E$504,MATCH($F3265&amp;"",계정매핑!$A$5:$A$504,0))&amp;"","공통비"))</f>
        <v/>
      </c>
      <c r="AF3265" s="64">
        <f>IF($A3265="","",IF(AE3265="직접",IFERROR(INDEX(계정매핑!$F$5:$F$504,MATCH($F3265&amp;"",계정매핑!$A$5:$A$504,0))&amp;"","비귀속"),""))</f>
        <v/>
      </c>
      <c r="AG3265" s="96">
        <f>IF($A3265="",0,IF(AND(AE3265&lt;&gt;"직접",IFERROR(INDEX(계정매핑!$G$5:$G$504,MATCH($F3265&amp;"",계정매핑!$A$5:$A$504,0))&amp;"","")="유지비",COUNTIF(계정대체기준!$A$6:$A$15,$N3265)&gt;0),IFERROR(INDEX(계정대체기준!$E$6:$E$15,MATCH(VALUE($A3265&amp;""),계정대체기준!$D$6:$D$15,0)),0),0))</f>
        <v/>
      </c>
      <c r="AH3265" s="64">
        <f>IF($A3265="","",IF(AD3265=0,"",IF(OR(COUNTIF(계정대체기준!$A$77:$A$86,$N3265)&gt;0,ISNUMBER(MATCH($X3265,계정대체기준!$D$77:$D$86,0)),ISNUMBER(MATCH($F3265,계정대체기준!$D$77:$D$86,0))),"Y","N")))</f>
        <v/>
      </c>
    </row>
    <row r="3266">
      <c r="A3266" s="92" t="n">
        <v>2026</v>
      </c>
      <c r="B3266" s="92" t="n">
        <v>3</v>
      </c>
      <c r="C3266" s="92" t="inlineStr">
        <is>
          <t>5100000544</t>
        </is>
      </c>
      <c r="D3266" s="95" t="n">
        <v>46092</v>
      </c>
      <c r="E3266" s="92" t="inlineStr">
        <is>
          <t>KR</t>
        </is>
      </c>
      <c r="F3266" s="92" t="n">
        <v>62301000</v>
      </c>
      <c r="G3266" s="92" t="n">
        <v>1101</v>
      </c>
      <c r="H3266" s="93" t="n">
        <v>247000</v>
      </c>
      <c r="I3266" s="92" t="inlineStr">
        <is>
          <t>3월 소모품 구입 - Q오피스</t>
        </is>
      </c>
      <c r="J3266" s="92" t="inlineStr">
        <is>
          <t>V10003</t>
        </is>
      </c>
      <c r="K3266" s="92" t="inlineStr">
        <is>
          <t>Q오피스</t>
        </is>
      </c>
      <c r="M3266" s="9">
        <f>IF($A3266="","",VALUE($A3266&amp;"")*12+VALUE($B3266&amp;""))</f>
        <v/>
      </c>
      <c r="N3266" s="64">
        <f>IF($A3266="","",IFERROR(INDEX(부서매핑!$C$5:$C$504,MATCH($G3266&amp;"",부서매핑!$A$5:$A$504,0)),"미매핑"))</f>
        <v/>
      </c>
      <c r="O3266" s="9">
        <f>IF($A3266="","",N3266&amp;"|"&amp;$F3266)</f>
        <v/>
      </c>
      <c r="P3266" s="94">
        <f>IF($A3266="",0,$H3266*설정!$C$23)</f>
        <v/>
      </c>
      <c r="Q3266" s="64">
        <f>IF($A3266="","",IF(O3266&lt;&gt;원인분석!$C$9,"",IF(AND(M3266&gt;=원인분석!$C$10,M3266&lt;=원인분석!$C$11),"당기",IF(AND(M3266&gt;=원인분석!$C$12,M3266&lt;=원인분석!$C$13),"비교",""))))</f>
        <v/>
      </c>
      <c r="R3266" s="9">
        <f>IF(Q3266="","",$K3266&amp;"")</f>
        <v/>
      </c>
      <c r="S3266" s="9">
        <f>IF(Q3266="","",IF(MATCH(R3266,$R$5:$R$100000,0)=ROW()-4,ROW(),""))</f>
        <v/>
      </c>
      <c r="T3266" s="9">
        <f>IF(Q3266="당기",ABS(P3266)+ROW()/1000000000,"")</f>
        <v/>
      </c>
      <c r="U3266" s="9">
        <f>IF(Q3266="비교",ABS(P3266)+ROW()/1000000000,"")</f>
        <v/>
      </c>
      <c r="V3266" s="64">
        <f>IF($A3266="","",IF(COUNTIF(변동분석!$E$7:$E$506,O3266)&gt;0,"Y","N"))</f>
        <v/>
      </c>
      <c r="W3266" s="64">
        <f>IF($A3266="","",IFERROR(INDEX(계정매핑!$D$5:$D$504,MATCH($F3266&amp;"",계정매핑!$A$5:$A$504,0)),"미매핑"))</f>
        <v/>
      </c>
      <c r="X3266" s="9">
        <f>IF($A3266="","",$F3266&amp;"")</f>
        <v/>
      </c>
      <c r="Y3266" s="94">
        <f>IF($A3266="",0,IF(AE3266="직접",IF(AF3266="비귀속",$P3266,0),$P3266*(1-AG3266)*IFERROR(INDEX(계정대체기준!$F$20:$F$49,MATCH($N3266,계정대체기준!$A$20:$A$49,0)),1)))</f>
        <v/>
      </c>
      <c r="Z3266" s="94">
        <f>IF($A3266="",0,IF(AE3266="직접",IF(AF3266="신계약비",$P3266,0),$P3266*(1-AG3266)*IFERROR(INDEX(계정대체기준!$C$20:$C$49,MATCH($N3266,계정대체기준!$A$20:$A$49,0)),0)))</f>
        <v/>
      </c>
      <c r="AA3266" s="94">
        <f>IF($A3266="",0,IF(AE3266="직접",IF(OR(AF3266="유지비",AF3266="손해조사비"),$P3266,0),$P3266*(1-AG3266)*IFERROR(INDEX(계정대체기준!$D$20:$D$49,MATCH($N3266,계정대체기준!$A$20:$A$49,0)),0)))</f>
        <v/>
      </c>
      <c r="AB3266" s="94">
        <f>IF($A3266="",0,IF(AE3266="직접",IF(AF3266="수금비",$P3266,0),$P3266*(1-AG3266)*IFERROR(INDEX(계정대체기준!$E$20:$E$49,MATCH($N3266,계정대체기준!$A$20:$A$49,0)),0)))</f>
        <v/>
      </c>
      <c r="AC3266" s="9">
        <f>IF(AND($A3266&lt;&gt;"",M3266=설정!$C$20,Z3266&gt;0),Z3266+ROW()/1000000000,"")</f>
        <v/>
      </c>
      <c r="AD3266" s="94">
        <f>IF($A3266="",0,$P3266*AG3266)</f>
        <v/>
      </c>
      <c r="AE3266" s="64">
        <f>IF($A3266="","",IFERROR(INDEX(계정매핑!$E$5:$E$504,MATCH($F3266&amp;"",계정매핑!$A$5:$A$504,0))&amp;"","공통비"))</f>
        <v/>
      </c>
      <c r="AF3266" s="64">
        <f>IF($A3266="","",IF(AE3266="직접",IFERROR(INDEX(계정매핑!$F$5:$F$504,MATCH($F3266&amp;"",계정매핑!$A$5:$A$504,0))&amp;"","비귀속"),""))</f>
        <v/>
      </c>
      <c r="AG3266" s="96">
        <f>IF($A3266="",0,IF(AND(AE3266&lt;&gt;"직접",IFERROR(INDEX(계정매핑!$G$5:$G$504,MATCH($F3266&amp;"",계정매핑!$A$5:$A$504,0))&amp;"","")="유지비",COUNTIF(계정대체기준!$A$6:$A$15,$N3266)&gt;0),IFERROR(INDEX(계정대체기준!$E$6:$E$15,MATCH(VALUE($A3266&amp;""),계정대체기준!$D$6:$D$15,0)),0),0))</f>
        <v/>
      </c>
      <c r="AH3266" s="64">
        <f>IF($A3266="","",IF(AD3266=0,"",IF(OR(COUNTIF(계정대체기준!$A$77:$A$86,$N3266)&gt;0,ISNUMBER(MATCH($X3266,계정대체기준!$D$77:$D$86,0)),ISNUMBER(MATCH($F3266,계정대체기준!$D$77:$D$86,0))),"Y","N")))</f>
        <v/>
      </c>
    </row>
    <row r="3267">
      <c r="A3267" s="92" t="n">
        <v>2026</v>
      </c>
      <c r="B3267" s="92" t="n">
        <v>3</v>
      </c>
      <c r="C3267" s="92" t="inlineStr">
        <is>
          <t>5100000545</t>
        </is>
      </c>
      <c r="D3267" s="95" t="n">
        <v>46092</v>
      </c>
      <c r="E3267" s="92" t="inlineStr">
        <is>
          <t>KR</t>
        </is>
      </c>
      <c r="F3267" s="92" t="n">
        <v>62901000</v>
      </c>
      <c r="G3267" s="92" t="n">
        <v>1951</v>
      </c>
      <c r="H3267" s="93" t="n">
        <v>3870000</v>
      </c>
      <c r="I3267" s="92" t="inlineStr">
        <is>
          <t>3월 자문 수수료 - K회계법인</t>
        </is>
      </c>
      <c r="J3267" s="92" t="inlineStr">
        <is>
          <t>V10011</t>
        </is>
      </c>
      <c r="K3267" s="92" t="inlineStr">
        <is>
          <t>K회계법인</t>
        </is>
      </c>
      <c r="M3267" s="9">
        <f>IF($A3267="","",VALUE($A3267&amp;"")*12+VALUE($B3267&amp;""))</f>
        <v/>
      </c>
      <c r="N3267" s="64">
        <f>IF($A3267="","",IFERROR(INDEX(부서매핑!$C$5:$C$504,MATCH($G3267&amp;"",부서매핑!$A$5:$A$504,0)),"미매핑"))</f>
        <v/>
      </c>
      <c r="O3267" s="9">
        <f>IF($A3267="","",N3267&amp;"|"&amp;$F3267)</f>
        <v/>
      </c>
      <c r="P3267" s="94">
        <f>IF($A3267="",0,$H3267*설정!$C$23)</f>
        <v/>
      </c>
      <c r="Q3267" s="64">
        <f>IF($A3267="","",IF(O3267&lt;&gt;원인분석!$C$9,"",IF(AND(M3267&gt;=원인분석!$C$10,M3267&lt;=원인분석!$C$11),"당기",IF(AND(M3267&gt;=원인분석!$C$12,M3267&lt;=원인분석!$C$13),"비교",""))))</f>
        <v/>
      </c>
      <c r="R3267" s="9">
        <f>IF(Q3267="","",$K3267&amp;"")</f>
        <v/>
      </c>
      <c r="S3267" s="9">
        <f>IF(Q3267="","",IF(MATCH(R3267,$R$5:$R$100000,0)=ROW()-4,ROW(),""))</f>
        <v/>
      </c>
      <c r="T3267" s="9">
        <f>IF(Q3267="당기",ABS(P3267)+ROW()/1000000000,"")</f>
        <v/>
      </c>
      <c r="U3267" s="9">
        <f>IF(Q3267="비교",ABS(P3267)+ROW()/1000000000,"")</f>
        <v/>
      </c>
      <c r="V3267" s="64">
        <f>IF($A3267="","",IF(COUNTIF(변동분석!$E$7:$E$506,O3267)&gt;0,"Y","N"))</f>
        <v/>
      </c>
      <c r="W3267" s="64">
        <f>IF($A3267="","",IFERROR(INDEX(계정매핑!$D$5:$D$504,MATCH($F3267&amp;"",계정매핑!$A$5:$A$504,0)),"미매핑"))</f>
        <v/>
      </c>
      <c r="X3267" s="9">
        <f>IF($A3267="","",$F3267&amp;"")</f>
        <v/>
      </c>
      <c r="Y3267" s="94">
        <f>IF($A3267="",0,IF(AE3267="직접",IF(AF3267="비귀속",$P3267,0),$P3267*(1-AG3267)*IFERROR(INDEX(계정대체기준!$F$20:$F$49,MATCH($N3267,계정대체기준!$A$20:$A$49,0)),1)))</f>
        <v/>
      </c>
      <c r="Z3267" s="94">
        <f>IF($A3267="",0,IF(AE3267="직접",IF(AF3267="신계약비",$P3267,0),$P3267*(1-AG3267)*IFERROR(INDEX(계정대체기준!$C$20:$C$49,MATCH($N3267,계정대체기준!$A$20:$A$49,0)),0)))</f>
        <v/>
      </c>
      <c r="AA3267" s="94">
        <f>IF($A3267="",0,IF(AE3267="직접",IF(OR(AF3267="유지비",AF3267="손해조사비"),$P3267,0),$P3267*(1-AG3267)*IFERROR(INDEX(계정대체기준!$D$20:$D$49,MATCH($N3267,계정대체기준!$A$20:$A$49,0)),0)))</f>
        <v/>
      </c>
      <c r="AB3267" s="94">
        <f>IF($A3267="",0,IF(AE3267="직접",IF(AF3267="수금비",$P3267,0),$P3267*(1-AG3267)*IFERROR(INDEX(계정대체기준!$E$20:$E$49,MATCH($N3267,계정대체기준!$A$20:$A$49,0)),0)))</f>
        <v/>
      </c>
      <c r="AC3267" s="9">
        <f>IF(AND($A3267&lt;&gt;"",M3267=설정!$C$20,Z3267&gt;0),Z3267+ROW()/1000000000,"")</f>
        <v/>
      </c>
      <c r="AD3267" s="94">
        <f>IF($A3267="",0,$P3267*AG3267)</f>
        <v/>
      </c>
      <c r="AE3267" s="64">
        <f>IF($A3267="","",IFERROR(INDEX(계정매핑!$E$5:$E$504,MATCH($F3267&amp;"",계정매핑!$A$5:$A$504,0))&amp;"","공통비"))</f>
        <v/>
      </c>
      <c r="AF3267" s="64">
        <f>IF($A3267="","",IF(AE3267="직접",IFERROR(INDEX(계정매핑!$F$5:$F$504,MATCH($F3267&amp;"",계정매핑!$A$5:$A$504,0))&amp;"","비귀속"),""))</f>
        <v/>
      </c>
      <c r="AG3267" s="96">
        <f>IF($A3267="",0,IF(AND(AE3267&lt;&gt;"직접",IFERROR(INDEX(계정매핑!$G$5:$G$504,MATCH($F3267&amp;"",계정매핑!$A$5:$A$504,0))&amp;"","")="유지비",COUNTIF(계정대체기준!$A$6:$A$15,$N3267)&gt;0),IFERROR(INDEX(계정대체기준!$E$6:$E$15,MATCH(VALUE($A3267&amp;""),계정대체기준!$D$6:$D$15,0)),0),0))</f>
        <v/>
      </c>
      <c r="AH3267" s="64">
        <f>IF($A3267="","",IF(AD3267=0,"",IF(OR(COUNTIF(계정대체기준!$A$77:$A$86,$N3267)&gt;0,ISNUMBER(MATCH($X3267,계정대체기준!$D$77:$D$86,0)),ISNUMBER(MATCH($F3267,계정대체기준!$D$77:$D$86,0))),"Y","N")))</f>
        <v/>
      </c>
    </row>
    <row r="3268">
      <c r="A3268" s="92" t="n">
        <v>2026</v>
      </c>
      <c r="B3268" s="92" t="n">
        <v>3</v>
      </c>
      <c r="C3268" s="92" t="inlineStr">
        <is>
          <t>5100000546</t>
        </is>
      </c>
      <c r="D3268" s="95" t="n">
        <v>46092</v>
      </c>
      <c r="E3268" s="92" t="inlineStr">
        <is>
          <t>KR</t>
        </is>
      </c>
      <c r="F3268" s="92" t="n">
        <v>63501000</v>
      </c>
      <c r="G3268" s="92" t="n">
        <v>1901</v>
      </c>
      <c r="H3268" s="93" t="n">
        <v>463057000</v>
      </c>
      <c r="I3268" s="92" t="inlineStr">
        <is>
          <t>3월 모집수수료 - AA보험대리점</t>
        </is>
      </c>
      <c r="J3268" s="92" t="inlineStr">
        <is>
          <t>V10034</t>
        </is>
      </c>
      <c r="K3268" s="92" t="inlineStr">
        <is>
          <t>AA보험대리점</t>
        </is>
      </c>
      <c r="M3268" s="9">
        <f>IF($A3268="","",VALUE($A3268&amp;"")*12+VALUE($B3268&amp;""))</f>
        <v/>
      </c>
      <c r="N3268" s="64">
        <f>IF($A3268="","",IFERROR(INDEX(부서매핑!$C$5:$C$504,MATCH($G3268&amp;"",부서매핑!$A$5:$A$504,0)),"미매핑"))</f>
        <v/>
      </c>
      <c r="O3268" s="9">
        <f>IF($A3268="","",N3268&amp;"|"&amp;$F3268)</f>
        <v/>
      </c>
      <c r="P3268" s="94">
        <f>IF($A3268="",0,$H3268*설정!$C$23)</f>
        <v/>
      </c>
      <c r="Q3268" s="64">
        <f>IF($A3268="","",IF(O3268&lt;&gt;원인분석!$C$9,"",IF(AND(M3268&gt;=원인분석!$C$10,M3268&lt;=원인분석!$C$11),"당기",IF(AND(M3268&gt;=원인분석!$C$12,M3268&lt;=원인분석!$C$13),"비교",""))))</f>
        <v/>
      </c>
      <c r="R3268" s="9">
        <f>IF(Q3268="","",$K3268&amp;"")</f>
        <v/>
      </c>
      <c r="S3268" s="9">
        <f>IF(Q3268="","",IF(MATCH(R3268,$R$5:$R$100000,0)=ROW()-4,ROW(),""))</f>
        <v/>
      </c>
      <c r="T3268" s="9">
        <f>IF(Q3268="당기",ABS(P3268)+ROW()/1000000000,"")</f>
        <v/>
      </c>
      <c r="U3268" s="9">
        <f>IF(Q3268="비교",ABS(P3268)+ROW()/1000000000,"")</f>
        <v/>
      </c>
      <c r="V3268" s="64">
        <f>IF($A3268="","",IF(COUNTIF(변동분석!$E$7:$E$506,O3268)&gt;0,"Y","N"))</f>
        <v/>
      </c>
      <c r="W3268" s="64">
        <f>IF($A3268="","",IFERROR(INDEX(계정매핑!$D$5:$D$504,MATCH($F3268&amp;"",계정매핑!$A$5:$A$504,0)),"미매핑"))</f>
        <v/>
      </c>
      <c r="X3268" s="9">
        <f>IF($A3268="","",$F3268&amp;"")</f>
        <v/>
      </c>
      <c r="Y3268" s="94">
        <f>IF($A3268="",0,IF(AE3268="직접",IF(AF3268="비귀속",$P3268,0),$P3268*(1-AG3268)*IFERROR(INDEX(계정대체기준!$F$20:$F$49,MATCH($N3268,계정대체기준!$A$20:$A$49,0)),1)))</f>
        <v/>
      </c>
      <c r="Z3268" s="94">
        <f>IF($A3268="",0,IF(AE3268="직접",IF(AF3268="신계약비",$P3268,0),$P3268*(1-AG3268)*IFERROR(INDEX(계정대체기준!$C$20:$C$49,MATCH($N3268,계정대체기준!$A$20:$A$49,0)),0)))</f>
        <v/>
      </c>
      <c r="AA3268" s="94">
        <f>IF($A3268="",0,IF(AE3268="직접",IF(OR(AF3268="유지비",AF3268="손해조사비"),$P3268,0),$P3268*(1-AG3268)*IFERROR(INDEX(계정대체기준!$D$20:$D$49,MATCH($N3268,계정대체기준!$A$20:$A$49,0)),0)))</f>
        <v/>
      </c>
      <c r="AB3268" s="94">
        <f>IF($A3268="",0,IF(AE3268="직접",IF(AF3268="수금비",$P3268,0),$P3268*(1-AG3268)*IFERROR(INDEX(계정대체기준!$E$20:$E$49,MATCH($N3268,계정대체기준!$A$20:$A$49,0)),0)))</f>
        <v/>
      </c>
      <c r="AC3268" s="9">
        <f>IF(AND($A3268&lt;&gt;"",M3268=설정!$C$20,Z3268&gt;0),Z3268+ROW()/1000000000,"")</f>
        <v/>
      </c>
      <c r="AD3268" s="94">
        <f>IF($A3268="",0,$P3268*AG3268)</f>
        <v/>
      </c>
      <c r="AE3268" s="64">
        <f>IF($A3268="","",IFERROR(INDEX(계정매핑!$E$5:$E$504,MATCH($F3268&amp;"",계정매핑!$A$5:$A$504,0))&amp;"","공통비"))</f>
        <v/>
      </c>
      <c r="AF3268" s="64">
        <f>IF($A3268="","",IF(AE3268="직접",IFERROR(INDEX(계정매핑!$F$5:$F$504,MATCH($F3268&amp;"",계정매핑!$A$5:$A$504,0))&amp;"","비귀속"),""))</f>
        <v/>
      </c>
      <c r="AG3268" s="96">
        <f>IF($A3268="",0,IF(AND(AE3268&lt;&gt;"직접",IFERROR(INDEX(계정매핑!$G$5:$G$504,MATCH($F3268&amp;"",계정매핑!$A$5:$A$504,0))&amp;"","")="유지비",COUNTIF(계정대체기준!$A$6:$A$15,$N3268)&gt;0),IFERROR(INDEX(계정대체기준!$E$6:$E$15,MATCH(VALUE($A3268&amp;""),계정대체기준!$D$6:$D$15,0)),0),0))</f>
        <v/>
      </c>
      <c r="AH3268" s="64">
        <f>IF($A3268="","",IF(AD3268=0,"",IF(OR(COUNTIF(계정대체기준!$A$77:$A$86,$N3268)&gt;0,ISNUMBER(MATCH($X3268,계정대체기준!$D$77:$D$86,0)),ISNUMBER(MATCH($F3268,계정대체기준!$D$77:$D$86,0))),"Y","N")))</f>
        <v/>
      </c>
    </row>
    <row r="3269">
      <c r="A3269" s="92" t="n">
        <v>2026</v>
      </c>
      <c r="B3269" s="92" t="n">
        <v>3</v>
      </c>
      <c r="C3269" s="92" t="inlineStr">
        <is>
          <t>5100000547</t>
        </is>
      </c>
      <c r="D3269" s="95" t="n">
        <v>46093</v>
      </c>
      <c r="E3269" s="92" t="inlineStr">
        <is>
          <t>KR</t>
        </is>
      </c>
      <c r="F3269" s="92" t="n">
        <v>62101000</v>
      </c>
      <c r="G3269" s="92" t="n">
        <v>1501</v>
      </c>
      <c r="H3269" s="93" t="n">
        <v>397000</v>
      </c>
      <c r="I3269" s="92" t="inlineStr">
        <is>
          <t>3월 국내출장 - L여행사</t>
        </is>
      </c>
      <c r="J3269" s="92" t="inlineStr">
        <is>
          <t>V10018</t>
        </is>
      </c>
      <c r="K3269" s="92" t="inlineStr">
        <is>
          <t>L여행사</t>
        </is>
      </c>
      <c r="M3269" s="9">
        <f>IF($A3269="","",VALUE($A3269&amp;"")*12+VALUE($B3269&amp;""))</f>
        <v/>
      </c>
      <c r="N3269" s="64">
        <f>IF($A3269="","",IFERROR(INDEX(부서매핑!$C$5:$C$504,MATCH($G3269&amp;"",부서매핑!$A$5:$A$504,0)),"미매핑"))</f>
        <v/>
      </c>
      <c r="O3269" s="9">
        <f>IF($A3269="","",N3269&amp;"|"&amp;$F3269)</f>
        <v/>
      </c>
      <c r="P3269" s="94">
        <f>IF($A3269="",0,$H3269*설정!$C$23)</f>
        <v/>
      </c>
      <c r="Q3269" s="64">
        <f>IF($A3269="","",IF(O3269&lt;&gt;원인분석!$C$9,"",IF(AND(M3269&gt;=원인분석!$C$10,M3269&lt;=원인분석!$C$11),"당기",IF(AND(M3269&gt;=원인분석!$C$12,M3269&lt;=원인분석!$C$13),"비교",""))))</f>
        <v/>
      </c>
      <c r="R3269" s="9">
        <f>IF(Q3269="","",$K3269&amp;"")</f>
        <v/>
      </c>
      <c r="S3269" s="9">
        <f>IF(Q3269="","",IF(MATCH(R3269,$R$5:$R$100000,0)=ROW()-4,ROW(),""))</f>
        <v/>
      </c>
      <c r="T3269" s="9">
        <f>IF(Q3269="당기",ABS(P3269)+ROW()/1000000000,"")</f>
        <v/>
      </c>
      <c r="U3269" s="9">
        <f>IF(Q3269="비교",ABS(P3269)+ROW()/1000000000,"")</f>
        <v/>
      </c>
      <c r="V3269" s="64">
        <f>IF($A3269="","",IF(COUNTIF(변동분석!$E$7:$E$506,O3269)&gt;0,"Y","N"))</f>
        <v/>
      </c>
      <c r="W3269" s="64">
        <f>IF($A3269="","",IFERROR(INDEX(계정매핑!$D$5:$D$504,MATCH($F3269&amp;"",계정매핑!$A$5:$A$504,0)),"미매핑"))</f>
        <v/>
      </c>
      <c r="X3269" s="9">
        <f>IF($A3269="","",$F3269&amp;"")</f>
        <v/>
      </c>
      <c r="Y3269" s="94">
        <f>IF($A3269="",0,IF(AE3269="직접",IF(AF3269="비귀속",$P3269,0),$P3269*(1-AG3269)*IFERROR(INDEX(계정대체기준!$F$20:$F$49,MATCH($N3269,계정대체기준!$A$20:$A$49,0)),1)))</f>
        <v/>
      </c>
      <c r="Z3269" s="94">
        <f>IF($A3269="",0,IF(AE3269="직접",IF(AF3269="신계약비",$P3269,0),$P3269*(1-AG3269)*IFERROR(INDEX(계정대체기준!$C$20:$C$49,MATCH($N3269,계정대체기준!$A$20:$A$49,0)),0)))</f>
        <v/>
      </c>
      <c r="AA3269" s="94">
        <f>IF($A3269="",0,IF(AE3269="직접",IF(OR(AF3269="유지비",AF3269="손해조사비"),$P3269,0),$P3269*(1-AG3269)*IFERROR(INDEX(계정대체기준!$D$20:$D$49,MATCH($N3269,계정대체기준!$A$20:$A$49,0)),0)))</f>
        <v/>
      </c>
      <c r="AB3269" s="94">
        <f>IF($A3269="",0,IF(AE3269="직접",IF(AF3269="수금비",$P3269,0),$P3269*(1-AG3269)*IFERROR(INDEX(계정대체기준!$E$20:$E$49,MATCH($N3269,계정대체기준!$A$20:$A$49,0)),0)))</f>
        <v/>
      </c>
      <c r="AC3269" s="9">
        <f>IF(AND($A3269&lt;&gt;"",M3269=설정!$C$20,Z3269&gt;0),Z3269+ROW()/1000000000,"")</f>
        <v/>
      </c>
      <c r="AD3269" s="94">
        <f>IF($A3269="",0,$P3269*AG3269)</f>
        <v/>
      </c>
      <c r="AE3269" s="64">
        <f>IF($A3269="","",IFERROR(INDEX(계정매핑!$E$5:$E$504,MATCH($F3269&amp;"",계정매핑!$A$5:$A$504,0))&amp;"","공통비"))</f>
        <v/>
      </c>
      <c r="AF3269" s="64">
        <f>IF($A3269="","",IF(AE3269="직접",IFERROR(INDEX(계정매핑!$F$5:$F$504,MATCH($F3269&amp;"",계정매핑!$A$5:$A$504,0))&amp;"","비귀속"),""))</f>
        <v/>
      </c>
      <c r="AG3269" s="96">
        <f>IF($A3269="",0,IF(AND(AE3269&lt;&gt;"직접",IFERROR(INDEX(계정매핑!$G$5:$G$504,MATCH($F3269&amp;"",계정매핑!$A$5:$A$504,0))&amp;"","")="유지비",COUNTIF(계정대체기준!$A$6:$A$15,$N3269)&gt;0),IFERROR(INDEX(계정대체기준!$E$6:$E$15,MATCH(VALUE($A3269&amp;""),계정대체기준!$D$6:$D$15,0)),0),0))</f>
        <v/>
      </c>
      <c r="AH3269" s="64">
        <f>IF($A3269="","",IF(AD3269=0,"",IF(OR(COUNTIF(계정대체기준!$A$77:$A$86,$N3269)&gt;0,ISNUMBER(MATCH($X3269,계정대체기준!$D$77:$D$86,0)),ISNUMBER(MATCH($F3269,계정대체기준!$D$77:$D$86,0))),"Y","N")))</f>
        <v/>
      </c>
    </row>
    <row r="3270">
      <c r="A3270" s="92" t="n">
        <v>2026</v>
      </c>
      <c r="B3270" s="92" t="n">
        <v>3</v>
      </c>
      <c r="C3270" s="92" t="inlineStr">
        <is>
          <t>5100000548</t>
        </is>
      </c>
      <c r="D3270" s="95" t="n">
        <v>46093</v>
      </c>
      <c r="E3270" s="92" t="inlineStr">
        <is>
          <t>KR</t>
        </is>
      </c>
      <c r="F3270" s="92" t="n">
        <v>62102000</v>
      </c>
      <c r="G3270" s="92" t="n">
        <v>1801</v>
      </c>
      <c r="H3270" s="93" t="n">
        <v>65000</v>
      </c>
      <c r="I3270" s="92" t="inlineStr">
        <is>
          <t>3월 해외출장 - N호텔</t>
        </is>
      </c>
      <c r="J3270" s="92" t="inlineStr">
        <is>
          <t>V10009</t>
        </is>
      </c>
      <c r="K3270" s="92" t="inlineStr">
        <is>
          <t>N호텔</t>
        </is>
      </c>
      <c r="M3270" s="9">
        <f>IF($A3270="","",VALUE($A3270&amp;"")*12+VALUE($B3270&amp;""))</f>
        <v/>
      </c>
      <c r="N3270" s="64">
        <f>IF($A3270="","",IFERROR(INDEX(부서매핑!$C$5:$C$504,MATCH($G3270&amp;"",부서매핑!$A$5:$A$504,0)),"미매핑"))</f>
        <v/>
      </c>
      <c r="O3270" s="9">
        <f>IF($A3270="","",N3270&amp;"|"&amp;$F3270)</f>
        <v/>
      </c>
      <c r="P3270" s="94">
        <f>IF($A3270="",0,$H3270*설정!$C$23)</f>
        <v/>
      </c>
      <c r="Q3270" s="64">
        <f>IF($A3270="","",IF(O3270&lt;&gt;원인분석!$C$9,"",IF(AND(M3270&gt;=원인분석!$C$10,M3270&lt;=원인분석!$C$11),"당기",IF(AND(M3270&gt;=원인분석!$C$12,M3270&lt;=원인분석!$C$13),"비교",""))))</f>
        <v/>
      </c>
      <c r="R3270" s="9">
        <f>IF(Q3270="","",$K3270&amp;"")</f>
        <v/>
      </c>
      <c r="S3270" s="9">
        <f>IF(Q3270="","",IF(MATCH(R3270,$R$5:$R$100000,0)=ROW()-4,ROW(),""))</f>
        <v/>
      </c>
      <c r="T3270" s="9">
        <f>IF(Q3270="당기",ABS(P3270)+ROW()/1000000000,"")</f>
        <v/>
      </c>
      <c r="U3270" s="9">
        <f>IF(Q3270="비교",ABS(P3270)+ROW()/1000000000,"")</f>
        <v/>
      </c>
      <c r="V3270" s="64">
        <f>IF($A3270="","",IF(COUNTIF(변동분석!$E$7:$E$506,O3270)&gt;0,"Y","N"))</f>
        <v/>
      </c>
      <c r="W3270" s="64">
        <f>IF($A3270="","",IFERROR(INDEX(계정매핑!$D$5:$D$504,MATCH($F3270&amp;"",계정매핑!$A$5:$A$504,0)),"미매핑"))</f>
        <v/>
      </c>
      <c r="X3270" s="9">
        <f>IF($A3270="","",$F3270&amp;"")</f>
        <v/>
      </c>
      <c r="Y3270" s="94">
        <f>IF($A3270="",0,IF(AE3270="직접",IF(AF3270="비귀속",$P3270,0),$P3270*(1-AG3270)*IFERROR(INDEX(계정대체기준!$F$20:$F$49,MATCH($N3270,계정대체기준!$A$20:$A$49,0)),1)))</f>
        <v/>
      </c>
      <c r="Z3270" s="94">
        <f>IF($A3270="",0,IF(AE3270="직접",IF(AF3270="신계약비",$P3270,0),$P3270*(1-AG3270)*IFERROR(INDEX(계정대체기준!$C$20:$C$49,MATCH($N3270,계정대체기준!$A$20:$A$49,0)),0)))</f>
        <v/>
      </c>
      <c r="AA3270" s="94">
        <f>IF($A3270="",0,IF(AE3270="직접",IF(OR(AF3270="유지비",AF3270="손해조사비"),$P3270,0),$P3270*(1-AG3270)*IFERROR(INDEX(계정대체기준!$D$20:$D$49,MATCH($N3270,계정대체기준!$A$20:$A$49,0)),0)))</f>
        <v/>
      </c>
      <c r="AB3270" s="94">
        <f>IF($A3270="",0,IF(AE3270="직접",IF(AF3270="수금비",$P3270,0),$P3270*(1-AG3270)*IFERROR(INDEX(계정대체기준!$E$20:$E$49,MATCH($N3270,계정대체기준!$A$20:$A$49,0)),0)))</f>
        <v/>
      </c>
      <c r="AC3270" s="9">
        <f>IF(AND($A3270&lt;&gt;"",M3270=설정!$C$20,Z3270&gt;0),Z3270+ROW()/1000000000,"")</f>
        <v/>
      </c>
      <c r="AD3270" s="94">
        <f>IF($A3270="",0,$P3270*AG3270)</f>
        <v/>
      </c>
      <c r="AE3270" s="64">
        <f>IF($A3270="","",IFERROR(INDEX(계정매핑!$E$5:$E$504,MATCH($F3270&amp;"",계정매핑!$A$5:$A$504,0))&amp;"","공통비"))</f>
        <v/>
      </c>
      <c r="AF3270" s="64">
        <f>IF($A3270="","",IF(AE3270="직접",IFERROR(INDEX(계정매핑!$F$5:$F$504,MATCH($F3270&amp;"",계정매핑!$A$5:$A$504,0))&amp;"","비귀속"),""))</f>
        <v/>
      </c>
      <c r="AG3270" s="96">
        <f>IF($A3270="",0,IF(AND(AE3270&lt;&gt;"직접",IFERROR(INDEX(계정매핑!$G$5:$G$504,MATCH($F3270&amp;"",계정매핑!$A$5:$A$504,0))&amp;"","")="유지비",COUNTIF(계정대체기준!$A$6:$A$15,$N3270)&gt;0),IFERROR(INDEX(계정대체기준!$E$6:$E$15,MATCH(VALUE($A3270&amp;""),계정대체기준!$D$6:$D$15,0)),0),0))</f>
        <v/>
      </c>
      <c r="AH3270" s="64">
        <f>IF($A3270="","",IF(AD3270=0,"",IF(OR(COUNTIF(계정대체기준!$A$77:$A$86,$N3270)&gt;0,ISNUMBER(MATCH($X3270,계정대체기준!$D$77:$D$86,0)),ISNUMBER(MATCH($F3270,계정대체기준!$D$77:$D$86,0))),"Y","N")))</f>
        <v/>
      </c>
    </row>
    <row r="3271">
      <c r="A3271" s="92" t="n">
        <v>2026</v>
      </c>
      <c r="B3271" s="92" t="n">
        <v>3</v>
      </c>
      <c r="C3271" s="92" t="inlineStr">
        <is>
          <t>5100000549</t>
        </is>
      </c>
      <c r="D3271" s="95" t="n">
        <v>46093</v>
      </c>
      <c r="E3271" s="92" t="inlineStr">
        <is>
          <t>KR</t>
        </is>
      </c>
      <c r="F3271" s="92" t="n">
        <v>62201000</v>
      </c>
      <c r="G3271" s="92" t="n">
        <v>1401</v>
      </c>
      <c r="H3271" s="93" t="n">
        <v>253000</v>
      </c>
      <c r="I3271" s="92" t="inlineStr">
        <is>
          <t>3월 통신요금 - P통신</t>
        </is>
      </c>
      <c r="J3271" s="92" t="inlineStr">
        <is>
          <t>V10014</t>
        </is>
      </c>
      <c r="K3271" s="92" t="inlineStr">
        <is>
          <t>P통신</t>
        </is>
      </c>
      <c r="M3271" s="9">
        <f>IF($A3271="","",VALUE($A3271&amp;"")*12+VALUE($B3271&amp;""))</f>
        <v/>
      </c>
      <c r="N3271" s="64">
        <f>IF($A3271="","",IFERROR(INDEX(부서매핑!$C$5:$C$504,MATCH($G3271&amp;"",부서매핑!$A$5:$A$504,0)),"미매핑"))</f>
        <v/>
      </c>
      <c r="O3271" s="9">
        <f>IF($A3271="","",N3271&amp;"|"&amp;$F3271)</f>
        <v/>
      </c>
      <c r="P3271" s="94">
        <f>IF($A3271="",0,$H3271*설정!$C$23)</f>
        <v/>
      </c>
      <c r="Q3271" s="64">
        <f>IF($A3271="","",IF(O3271&lt;&gt;원인분석!$C$9,"",IF(AND(M3271&gt;=원인분석!$C$10,M3271&lt;=원인분석!$C$11),"당기",IF(AND(M3271&gt;=원인분석!$C$12,M3271&lt;=원인분석!$C$13),"비교",""))))</f>
        <v/>
      </c>
      <c r="R3271" s="9">
        <f>IF(Q3271="","",$K3271&amp;"")</f>
        <v/>
      </c>
      <c r="S3271" s="9">
        <f>IF(Q3271="","",IF(MATCH(R3271,$R$5:$R$100000,0)=ROW()-4,ROW(),""))</f>
        <v/>
      </c>
      <c r="T3271" s="9">
        <f>IF(Q3271="당기",ABS(P3271)+ROW()/1000000000,"")</f>
        <v/>
      </c>
      <c r="U3271" s="9">
        <f>IF(Q3271="비교",ABS(P3271)+ROW()/1000000000,"")</f>
        <v/>
      </c>
      <c r="V3271" s="64">
        <f>IF($A3271="","",IF(COUNTIF(변동분석!$E$7:$E$506,O3271)&gt;0,"Y","N"))</f>
        <v/>
      </c>
      <c r="W3271" s="64">
        <f>IF($A3271="","",IFERROR(INDEX(계정매핑!$D$5:$D$504,MATCH($F3271&amp;"",계정매핑!$A$5:$A$504,0)),"미매핑"))</f>
        <v/>
      </c>
      <c r="X3271" s="9">
        <f>IF($A3271="","",$F3271&amp;"")</f>
        <v/>
      </c>
      <c r="Y3271" s="94">
        <f>IF($A3271="",0,IF(AE3271="직접",IF(AF3271="비귀속",$P3271,0),$P3271*(1-AG3271)*IFERROR(INDEX(계정대체기준!$F$20:$F$49,MATCH($N3271,계정대체기준!$A$20:$A$49,0)),1)))</f>
        <v/>
      </c>
      <c r="Z3271" s="94">
        <f>IF($A3271="",0,IF(AE3271="직접",IF(AF3271="신계약비",$P3271,0),$P3271*(1-AG3271)*IFERROR(INDEX(계정대체기준!$C$20:$C$49,MATCH($N3271,계정대체기준!$A$20:$A$49,0)),0)))</f>
        <v/>
      </c>
      <c r="AA3271" s="94">
        <f>IF($A3271="",0,IF(AE3271="직접",IF(OR(AF3271="유지비",AF3271="손해조사비"),$P3271,0),$P3271*(1-AG3271)*IFERROR(INDEX(계정대체기준!$D$20:$D$49,MATCH($N3271,계정대체기준!$A$20:$A$49,0)),0)))</f>
        <v/>
      </c>
      <c r="AB3271" s="94">
        <f>IF($A3271="",0,IF(AE3271="직접",IF(AF3271="수금비",$P3271,0),$P3271*(1-AG3271)*IFERROR(INDEX(계정대체기준!$E$20:$E$49,MATCH($N3271,계정대체기준!$A$20:$A$49,0)),0)))</f>
        <v/>
      </c>
      <c r="AC3271" s="9">
        <f>IF(AND($A3271&lt;&gt;"",M3271=설정!$C$20,Z3271&gt;0),Z3271+ROW()/1000000000,"")</f>
        <v/>
      </c>
      <c r="AD3271" s="94">
        <f>IF($A3271="",0,$P3271*AG3271)</f>
        <v/>
      </c>
      <c r="AE3271" s="64">
        <f>IF($A3271="","",IFERROR(INDEX(계정매핑!$E$5:$E$504,MATCH($F3271&amp;"",계정매핑!$A$5:$A$504,0))&amp;"","공통비"))</f>
        <v/>
      </c>
      <c r="AF3271" s="64">
        <f>IF($A3271="","",IF(AE3271="직접",IFERROR(INDEX(계정매핑!$F$5:$F$504,MATCH($F3271&amp;"",계정매핑!$A$5:$A$504,0))&amp;"","비귀속"),""))</f>
        <v/>
      </c>
      <c r="AG3271" s="96">
        <f>IF($A3271="",0,IF(AND(AE3271&lt;&gt;"직접",IFERROR(INDEX(계정매핑!$G$5:$G$504,MATCH($F3271&amp;"",계정매핑!$A$5:$A$504,0))&amp;"","")="유지비",COUNTIF(계정대체기준!$A$6:$A$15,$N3271)&gt;0),IFERROR(INDEX(계정대체기준!$E$6:$E$15,MATCH(VALUE($A3271&amp;""),계정대체기준!$D$6:$D$15,0)),0),0))</f>
        <v/>
      </c>
      <c r="AH3271" s="64">
        <f>IF($A3271="","",IF(AD3271=0,"",IF(OR(COUNTIF(계정대체기준!$A$77:$A$86,$N3271)&gt;0,ISNUMBER(MATCH($X3271,계정대체기준!$D$77:$D$86,0)),ISNUMBER(MATCH($F3271,계정대체기준!$D$77:$D$86,0))),"Y","N")))</f>
        <v/>
      </c>
    </row>
    <row r="3272">
      <c r="A3272" s="92" t="n">
        <v>2026</v>
      </c>
      <c r="B3272" s="92" t="n">
        <v>3</v>
      </c>
      <c r="C3272" s="92" t="inlineStr">
        <is>
          <t>5100000550</t>
        </is>
      </c>
      <c r="D3272" s="95" t="n">
        <v>46093</v>
      </c>
      <c r="E3272" s="92" t="inlineStr">
        <is>
          <t>KR</t>
        </is>
      </c>
      <c r="F3272" s="92" t="n">
        <v>62801000</v>
      </c>
      <c r="G3272" s="92" t="n">
        <v>1301</v>
      </c>
      <c r="H3272" s="93" t="n">
        <v>2749000</v>
      </c>
      <c r="I3272" s="92" t="inlineStr">
        <is>
          <t>3월 사내교육 - U에듀</t>
        </is>
      </c>
      <c r="J3272" s="92" t="inlineStr">
        <is>
          <t>V10031</t>
        </is>
      </c>
      <c r="K3272" s="92" t="inlineStr">
        <is>
          <t>U에듀</t>
        </is>
      </c>
      <c r="M3272" s="9">
        <f>IF($A3272="","",VALUE($A3272&amp;"")*12+VALUE($B3272&amp;""))</f>
        <v/>
      </c>
      <c r="N3272" s="64">
        <f>IF($A3272="","",IFERROR(INDEX(부서매핑!$C$5:$C$504,MATCH($G3272&amp;"",부서매핑!$A$5:$A$504,0)),"미매핑"))</f>
        <v/>
      </c>
      <c r="O3272" s="9">
        <f>IF($A3272="","",N3272&amp;"|"&amp;$F3272)</f>
        <v/>
      </c>
      <c r="P3272" s="94">
        <f>IF($A3272="",0,$H3272*설정!$C$23)</f>
        <v/>
      </c>
      <c r="Q3272" s="64">
        <f>IF($A3272="","",IF(O3272&lt;&gt;원인분석!$C$9,"",IF(AND(M3272&gt;=원인분석!$C$10,M3272&lt;=원인분석!$C$11),"당기",IF(AND(M3272&gt;=원인분석!$C$12,M3272&lt;=원인분석!$C$13),"비교",""))))</f>
        <v/>
      </c>
      <c r="R3272" s="9">
        <f>IF(Q3272="","",$K3272&amp;"")</f>
        <v/>
      </c>
      <c r="S3272" s="9">
        <f>IF(Q3272="","",IF(MATCH(R3272,$R$5:$R$100000,0)=ROW()-4,ROW(),""))</f>
        <v/>
      </c>
      <c r="T3272" s="9">
        <f>IF(Q3272="당기",ABS(P3272)+ROW()/1000000000,"")</f>
        <v/>
      </c>
      <c r="U3272" s="9">
        <f>IF(Q3272="비교",ABS(P3272)+ROW()/1000000000,"")</f>
        <v/>
      </c>
      <c r="V3272" s="64">
        <f>IF($A3272="","",IF(COUNTIF(변동분석!$E$7:$E$506,O3272)&gt;0,"Y","N"))</f>
        <v/>
      </c>
      <c r="W3272" s="64">
        <f>IF($A3272="","",IFERROR(INDEX(계정매핑!$D$5:$D$504,MATCH($F3272&amp;"",계정매핑!$A$5:$A$504,0)),"미매핑"))</f>
        <v/>
      </c>
      <c r="X3272" s="9">
        <f>IF($A3272="","",$F3272&amp;"")</f>
        <v/>
      </c>
      <c r="Y3272" s="94">
        <f>IF($A3272="",0,IF(AE3272="직접",IF(AF3272="비귀속",$P3272,0),$P3272*(1-AG3272)*IFERROR(INDEX(계정대체기준!$F$20:$F$49,MATCH($N3272,계정대체기준!$A$20:$A$49,0)),1)))</f>
        <v/>
      </c>
      <c r="Z3272" s="94">
        <f>IF($A3272="",0,IF(AE3272="직접",IF(AF3272="신계약비",$P3272,0),$P3272*(1-AG3272)*IFERROR(INDEX(계정대체기준!$C$20:$C$49,MATCH($N3272,계정대체기준!$A$20:$A$49,0)),0)))</f>
        <v/>
      </c>
      <c r="AA3272" s="94">
        <f>IF($A3272="",0,IF(AE3272="직접",IF(OR(AF3272="유지비",AF3272="손해조사비"),$P3272,0),$P3272*(1-AG3272)*IFERROR(INDEX(계정대체기준!$D$20:$D$49,MATCH($N3272,계정대체기준!$A$20:$A$49,0)),0)))</f>
        <v/>
      </c>
      <c r="AB3272" s="94">
        <f>IF($A3272="",0,IF(AE3272="직접",IF(AF3272="수금비",$P3272,0),$P3272*(1-AG3272)*IFERROR(INDEX(계정대체기준!$E$20:$E$49,MATCH($N3272,계정대체기준!$A$20:$A$49,0)),0)))</f>
        <v/>
      </c>
      <c r="AC3272" s="9">
        <f>IF(AND($A3272&lt;&gt;"",M3272=설정!$C$20,Z3272&gt;0),Z3272+ROW()/1000000000,"")</f>
        <v/>
      </c>
      <c r="AD3272" s="94">
        <f>IF($A3272="",0,$P3272*AG3272)</f>
        <v/>
      </c>
      <c r="AE3272" s="64">
        <f>IF($A3272="","",IFERROR(INDEX(계정매핑!$E$5:$E$504,MATCH($F3272&amp;"",계정매핑!$A$5:$A$504,0))&amp;"","공통비"))</f>
        <v/>
      </c>
      <c r="AF3272" s="64">
        <f>IF($A3272="","",IF(AE3272="직접",IFERROR(INDEX(계정매핑!$F$5:$F$504,MATCH($F3272&amp;"",계정매핑!$A$5:$A$504,0))&amp;"","비귀속"),""))</f>
        <v/>
      </c>
      <c r="AG3272" s="96">
        <f>IF($A3272="",0,IF(AND(AE3272&lt;&gt;"직접",IFERROR(INDEX(계정매핑!$G$5:$G$504,MATCH($F3272&amp;"",계정매핑!$A$5:$A$504,0))&amp;"","")="유지비",COUNTIF(계정대체기준!$A$6:$A$15,$N3272)&gt;0),IFERROR(INDEX(계정대체기준!$E$6:$E$15,MATCH(VALUE($A3272&amp;""),계정대체기준!$D$6:$D$15,0)),0),0))</f>
        <v/>
      </c>
      <c r="AH3272" s="64">
        <f>IF($A3272="","",IF(AD3272=0,"",IF(OR(COUNTIF(계정대체기준!$A$77:$A$86,$N3272)&gt;0,ISNUMBER(MATCH($X3272,계정대체기준!$D$77:$D$86,0)),ISNUMBER(MATCH($F3272,계정대체기준!$D$77:$D$86,0))),"Y","N")))</f>
        <v/>
      </c>
    </row>
    <row r="3273">
      <c r="A3273" s="92" t="n">
        <v>2026</v>
      </c>
      <c r="B3273" s="92" t="n">
        <v>3</v>
      </c>
      <c r="C3273" s="92" t="inlineStr">
        <is>
          <t>5100000551</t>
        </is>
      </c>
      <c r="D3273" s="95" t="n">
        <v>46093</v>
      </c>
      <c r="E3273" s="92" t="inlineStr">
        <is>
          <t>KR</t>
        </is>
      </c>
      <c r="F3273" s="92" t="n">
        <v>62801000</v>
      </c>
      <c r="G3273" s="92" t="n">
        <v>1301</v>
      </c>
      <c r="H3273" s="93" t="n">
        <v>3758000</v>
      </c>
      <c r="I3273" s="92" t="inlineStr">
        <is>
          <t>3월 사내교육 - U에듀</t>
        </is>
      </c>
      <c r="J3273" s="92" t="inlineStr">
        <is>
          <t>V10031</t>
        </is>
      </c>
      <c r="K3273" s="92" t="inlineStr">
        <is>
          <t>U에듀</t>
        </is>
      </c>
      <c r="M3273" s="9">
        <f>IF($A3273="","",VALUE($A3273&amp;"")*12+VALUE($B3273&amp;""))</f>
        <v/>
      </c>
      <c r="N3273" s="64">
        <f>IF($A3273="","",IFERROR(INDEX(부서매핑!$C$5:$C$504,MATCH($G3273&amp;"",부서매핑!$A$5:$A$504,0)),"미매핑"))</f>
        <v/>
      </c>
      <c r="O3273" s="9">
        <f>IF($A3273="","",N3273&amp;"|"&amp;$F3273)</f>
        <v/>
      </c>
      <c r="P3273" s="94">
        <f>IF($A3273="",0,$H3273*설정!$C$23)</f>
        <v/>
      </c>
      <c r="Q3273" s="64">
        <f>IF($A3273="","",IF(O3273&lt;&gt;원인분석!$C$9,"",IF(AND(M3273&gt;=원인분석!$C$10,M3273&lt;=원인분석!$C$11),"당기",IF(AND(M3273&gt;=원인분석!$C$12,M3273&lt;=원인분석!$C$13),"비교",""))))</f>
        <v/>
      </c>
      <c r="R3273" s="9">
        <f>IF(Q3273="","",$K3273&amp;"")</f>
        <v/>
      </c>
      <c r="S3273" s="9">
        <f>IF(Q3273="","",IF(MATCH(R3273,$R$5:$R$100000,0)=ROW()-4,ROW(),""))</f>
        <v/>
      </c>
      <c r="T3273" s="9">
        <f>IF(Q3273="당기",ABS(P3273)+ROW()/1000000000,"")</f>
        <v/>
      </c>
      <c r="U3273" s="9">
        <f>IF(Q3273="비교",ABS(P3273)+ROW()/1000000000,"")</f>
        <v/>
      </c>
      <c r="V3273" s="64">
        <f>IF($A3273="","",IF(COUNTIF(변동분석!$E$7:$E$506,O3273)&gt;0,"Y","N"))</f>
        <v/>
      </c>
      <c r="W3273" s="64">
        <f>IF($A3273="","",IFERROR(INDEX(계정매핑!$D$5:$D$504,MATCH($F3273&amp;"",계정매핑!$A$5:$A$504,0)),"미매핑"))</f>
        <v/>
      </c>
      <c r="X3273" s="9">
        <f>IF($A3273="","",$F3273&amp;"")</f>
        <v/>
      </c>
      <c r="Y3273" s="94">
        <f>IF($A3273="",0,IF(AE3273="직접",IF(AF3273="비귀속",$P3273,0),$P3273*(1-AG3273)*IFERROR(INDEX(계정대체기준!$F$20:$F$49,MATCH($N3273,계정대체기준!$A$20:$A$49,0)),1)))</f>
        <v/>
      </c>
      <c r="Z3273" s="94">
        <f>IF($A3273="",0,IF(AE3273="직접",IF(AF3273="신계약비",$P3273,0),$P3273*(1-AG3273)*IFERROR(INDEX(계정대체기준!$C$20:$C$49,MATCH($N3273,계정대체기준!$A$20:$A$49,0)),0)))</f>
        <v/>
      </c>
      <c r="AA3273" s="94">
        <f>IF($A3273="",0,IF(AE3273="직접",IF(OR(AF3273="유지비",AF3273="손해조사비"),$P3273,0),$P3273*(1-AG3273)*IFERROR(INDEX(계정대체기준!$D$20:$D$49,MATCH($N3273,계정대체기준!$A$20:$A$49,0)),0)))</f>
        <v/>
      </c>
      <c r="AB3273" s="94">
        <f>IF($A3273="",0,IF(AE3273="직접",IF(AF3273="수금비",$P3273,0),$P3273*(1-AG3273)*IFERROR(INDEX(계정대체기준!$E$20:$E$49,MATCH($N3273,계정대체기준!$A$20:$A$49,0)),0)))</f>
        <v/>
      </c>
      <c r="AC3273" s="9">
        <f>IF(AND($A3273&lt;&gt;"",M3273=설정!$C$20,Z3273&gt;0),Z3273+ROW()/1000000000,"")</f>
        <v/>
      </c>
      <c r="AD3273" s="94">
        <f>IF($A3273="",0,$P3273*AG3273)</f>
        <v/>
      </c>
      <c r="AE3273" s="64">
        <f>IF($A3273="","",IFERROR(INDEX(계정매핑!$E$5:$E$504,MATCH($F3273&amp;"",계정매핑!$A$5:$A$504,0))&amp;"","공통비"))</f>
        <v/>
      </c>
      <c r="AF3273" s="64">
        <f>IF($A3273="","",IF(AE3273="직접",IFERROR(INDEX(계정매핑!$F$5:$F$504,MATCH($F3273&amp;"",계정매핑!$A$5:$A$504,0))&amp;"","비귀속"),""))</f>
        <v/>
      </c>
      <c r="AG3273" s="96">
        <f>IF($A3273="",0,IF(AND(AE3273&lt;&gt;"직접",IFERROR(INDEX(계정매핑!$G$5:$G$504,MATCH($F3273&amp;"",계정매핑!$A$5:$A$504,0))&amp;"","")="유지비",COUNTIF(계정대체기준!$A$6:$A$15,$N3273)&gt;0),IFERROR(INDEX(계정대체기준!$E$6:$E$15,MATCH(VALUE($A3273&amp;""),계정대체기준!$D$6:$D$15,0)),0),0))</f>
        <v/>
      </c>
      <c r="AH3273" s="64">
        <f>IF($A3273="","",IF(AD3273=0,"",IF(OR(COUNTIF(계정대체기준!$A$77:$A$86,$N3273)&gt;0,ISNUMBER(MATCH($X3273,계정대체기준!$D$77:$D$86,0)),ISNUMBER(MATCH($F3273,계정대체기준!$D$77:$D$86,0))),"Y","N")))</f>
        <v/>
      </c>
    </row>
    <row r="3274">
      <c r="A3274" s="92" t="n">
        <v>2026</v>
      </c>
      <c r="B3274" s="92" t="n">
        <v>3</v>
      </c>
      <c r="C3274" s="92" t="inlineStr">
        <is>
          <t>5100000552</t>
        </is>
      </c>
      <c r="D3274" s="95" t="n">
        <v>46093</v>
      </c>
      <c r="E3274" s="92" t="inlineStr">
        <is>
          <t>KR</t>
        </is>
      </c>
      <c r="F3274" s="92" t="n">
        <v>62902000</v>
      </c>
      <c r="G3274" s="92" t="n">
        <v>1801</v>
      </c>
      <c r="H3274" s="93" t="n">
        <v>1847000</v>
      </c>
      <c r="I3274" s="92" t="inlineStr">
        <is>
          <t>3월 콜 위탁 수수료(건별)</t>
        </is>
      </c>
      <c r="J3274" s="92" t="inlineStr">
        <is>
          <t>V10016</t>
        </is>
      </c>
      <c r="K3274" s="92" t="inlineStr">
        <is>
          <t>J콜센터</t>
        </is>
      </c>
      <c r="M3274" s="9">
        <f>IF($A3274="","",VALUE($A3274&amp;"")*12+VALUE($B3274&amp;""))</f>
        <v/>
      </c>
      <c r="N3274" s="64">
        <f>IF($A3274="","",IFERROR(INDEX(부서매핑!$C$5:$C$504,MATCH($G3274&amp;"",부서매핑!$A$5:$A$504,0)),"미매핑"))</f>
        <v/>
      </c>
      <c r="O3274" s="9">
        <f>IF($A3274="","",N3274&amp;"|"&amp;$F3274)</f>
        <v/>
      </c>
      <c r="P3274" s="94">
        <f>IF($A3274="",0,$H3274*설정!$C$23)</f>
        <v/>
      </c>
      <c r="Q3274" s="64">
        <f>IF($A3274="","",IF(O3274&lt;&gt;원인분석!$C$9,"",IF(AND(M3274&gt;=원인분석!$C$10,M3274&lt;=원인분석!$C$11),"당기",IF(AND(M3274&gt;=원인분석!$C$12,M3274&lt;=원인분석!$C$13),"비교",""))))</f>
        <v/>
      </c>
      <c r="R3274" s="9">
        <f>IF(Q3274="","",$K3274&amp;"")</f>
        <v/>
      </c>
      <c r="S3274" s="9">
        <f>IF(Q3274="","",IF(MATCH(R3274,$R$5:$R$100000,0)=ROW()-4,ROW(),""))</f>
        <v/>
      </c>
      <c r="T3274" s="9">
        <f>IF(Q3274="당기",ABS(P3274)+ROW()/1000000000,"")</f>
        <v/>
      </c>
      <c r="U3274" s="9">
        <f>IF(Q3274="비교",ABS(P3274)+ROW()/1000000000,"")</f>
        <v/>
      </c>
      <c r="V3274" s="64">
        <f>IF($A3274="","",IF(COUNTIF(변동분석!$E$7:$E$506,O3274)&gt;0,"Y","N"))</f>
        <v/>
      </c>
      <c r="W3274" s="64">
        <f>IF($A3274="","",IFERROR(INDEX(계정매핑!$D$5:$D$504,MATCH($F3274&amp;"",계정매핑!$A$5:$A$504,0)),"미매핑"))</f>
        <v/>
      </c>
      <c r="X3274" s="9">
        <f>IF($A3274="","",$F3274&amp;"")</f>
        <v/>
      </c>
      <c r="Y3274" s="94">
        <f>IF($A3274="",0,IF(AE3274="직접",IF(AF3274="비귀속",$P3274,0),$P3274*(1-AG3274)*IFERROR(INDEX(계정대체기준!$F$20:$F$49,MATCH($N3274,계정대체기준!$A$20:$A$49,0)),1)))</f>
        <v/>
      </c>
      <c r="Z3274" s="94">
        <f>IF($A3274="",0,IF(AE3274="직접",IF(AF3274="신계약비",$P3274,0),$P3274*(1-AG3274)*IFERROR(INDEX(계정대체기준!$C$20:$C$49,MATCH($N3274,계정대체기준!$A$20:$A$49,0)),0)))</f>
        <v/>
      </c>
      <c r="AA3274" s="94">
        <f>IF($A3274="",0,IF(AE3274="직접",IF(OR(AF3274="유지비",AF3274="손해조사비"),$P3274,0),$P3274*(1-AG3274)*IFERROR(INDEX(계정대체기준!$D$20:$D$49,MATCH($N3274,계정대체기준!$A$20:$A$49,0)),0)))</f>
        <v/>
      </c>
      <c r="AB3274" s="94">
        <f>IF($A3274="",0,IF(AE3274="직접",IF(AF3274="수금비",$P3274,0),$P3274*(1-AG3274)*IFERROR(INDEX(계정대체기준!$E$20:$E$49,MATCH($N3274,계정대체기준!$A$20:$A$49,0)),0)))</f>
        <v/>
      </c>
      <c r="AC3274" s="9">
        <f>IF(AND($A3274&lt;&gt;"",M3274=설정!$C$20,Z3274&gt;0),Z3274+ROW()/1000000000,"")</f>
        <v/>
      </c>
      <c r="AD3274" s="94">
        <f>IF($A3274="",0,$P3274*AG3274)</f>
        <v/>
      </c>
      <c r="AE3274" s="64">
        <f>IF($A3274="","",IFERROR(INDEX(계정매핑!$E$5:$E$504,MATCH($F3274&amp;"",계정매핑!$A$5:$A$504,0))&amp;"","공통비"))</f>
        <v/>
      </c>
      <c r="AF3274" s="64">
        <f>IF($A3274="","",IF(AE3274="직접",IFERROR(INDEX(계정매핑!$F$5:$F$504,MATCH($F3274&amp;"",계정매핑!$A$5:$A$504,0))&amp;"","비귀속"),""))</f>
        <v/>
      </c>
      <c r="AG3274" s="96">
        <f>IF($A3274="",0,IF(AND(AE3274&lt;&gt;"직접",IFERROR(INDEX(계정매핑!$G$5:$G$504,MATCH($F3274&amp;"",계정매핑!$A$5:$A$504,0))&amp;"","")="유지비",COUNTIF(계정대체기준!$A$6:$A$15,$N3274)&gt;0),IFERROR(INDEX(계정대체기준!$E$6:$E$15,MATCH(VALUE($A3274&amp;""),계정대체기준!$D$6:$D$15,0)),0),0))</f>
        <v/>
      </c>
      <c r="AH3274" s="64">
        <f>IF($A3274="","",IF(AD3274=0,"",IF(OR(COUNTIF(계정대체기준!$A$77:$A$86,$N3274)&gt;0,ISNUMBER(MATCH($X3274,계정대체기준!$D$77:$D$86,0)),ISNUMBER(MATCH($F3274,계정대체기준!$D$77:$D$86,0))),"Y","N")))</f>
        <v/>
      </c>
    </row>
    <row r="3275">
      <c r="A3275" s="92" t="n">
        <v>2026</v>
      </c>
      <c r="B3275" s="92" t="n">
        <v>3</v>
      </c>
      <c r="C3275" s="92" t="inlineStr">
        <is>
          <t>5100000553</t>
        </is>
      </c>
      <c r="D3275" s="95" t="n">
        <v>46093</v>
      </c>
      <c r="E3275" s="92" t="inlineStr">
        <is>
          <t>KR</t>
        </is>
      </c>
      <c r="F3275" s="92" t="n">
        <v>63001000</v>
      </c>
      <c r="G3275" s="92" t="n">
        <v>1701</v>
      </c>
      <c r="H3275" s="93" t="n">
        <v>41761000</v>
      </c>
      <c r="I3275" s="92" t="inlineStr">
        <is>
          <t>3월 SW 유지보수 - Y소프트</t>
        </is>
      </c>
      <c r="J3275" s="92" t="inlineStr">
        <is>
          <t>V10017</t>
        </is>
      </c>
      <c r="K3275" s="92" t="inlineStr">
        <is>
          <t>Y소프트</t>
        </is>
      </c>
      <c r="M3275" s="9">
        <f>IF($A3275="","",VALUE($A3275&amp;"")*12+VALUE($B3275&amp;""))</f>
        <v/>
      </c>
      <c r="N3275" s="64">
        <f>IF($A3275="","",IFERROR(INDEX(부서매핑!$C$5:$C$504,MATCH($G3275&amp;"",부서매핑!$A$5:$A$504,0)),"미매핑"))</f>
        <v/>
      </c>
      <c r="O3275" s="9">
        <f>IF($A3275="","",N3275&amp;"|"&amp;$F3275)</f>
        <v/>
      </c>
      <c r="P3275" s="94">
        <f>IF($A3275="",0,$H3275*설정!$C$23)</f>
        <v/>
      </c>
      <c r="Q3275" s="64">
        <f>IF($A3275="","",IF(O3275&lt;&gt;원인분석!$C$9,"",IF(AND(M3275&gt;=원인분석!$C$10,M3275&lt;=원인분석!$C$11),"당기",IF(AND(M3275&gt;=원인분석!$C$12,M3275&lt;=원인분석!$C$13),"비교",""))))</f>
        <v/>
      </c>
      <c r="R3275" s="9">
        <f>IF(Q3275="","",$K3275&amp;"")</f>
        <v/>
      </c>
      <c r="S3275" s="9">
        <f>IF(Q3275="","",IF(MATCH(R3275,$R$5:$R$100000,0)=ROW()-4,ROW(),""))</f>
        <v/>
      </c>
      <c r="T3275" s="9">
        <f>IF(Q3275="당기",ABS(P3275)+ROW()/1000000000,"")</f>
        <v/>
      </c>
      <c r="U3275" s="9">
        <f>IF(Q3275="비교",ABS(P3275)+ROW()/1000000000,"")</f>
        <v/>
      </c>
      <c r="V3275" s="64">
        <f>IF($A3275="","",IF(COUNTIF(변동분석!$E$7:$E$506,O3275)&gt;0,"Y","N"))</f>
        <v/>
      </c>
      <c r="W3275" s="64">
        <f>IF($A3275="","",IFERROR(INDEX(계정매핑!$D$5:$D$504,MATCH($F3275&amp;"",계정매핑!$A$5:$A$504,0)),"미매핑"))</f>
        <v/>
      </c>
      <c r="X3275" s="9">
        <f>IF($A3275="","",$F3275&amp;"")</f>
        <v/>
      </c>
      <c r="Y3275" s="94">
        <f>IF($A3275="",0,IF(AE3275="직접",IF(AF3275="비귀속",$P3275,0),$P3275*(1-AG3275)*IFERROR(INDEX(계정대체기준!$F$20:$F$49,MATCH($N3275,계정대체기준!$A$20:$A$49,0)),1)))</f>
        <v/>
      </c>
      <c r="Z3275" s="94">
        <f>IF($A3275="",0,IF(AE3275="직접",IF(AF3275="신계약비",$P3275,0),$P3275*(1-AG3275)*IFERROR(INDEX(계정대체기준!$C$20:$C$49,MATCH($N3275,계정대체기준!$A$20:$A$49,0)),0)))</f>
        <v/>
      </c>
      <c r="AA3275" s="94">
        <f>IF($A3275="",0,IF(AE3275="직접",IF(OR(AF3275="유지비",AF3275="손해조사비"),$P3275,0),$P3275*(1-AG3275)*IFERROR(INDEX(계정대체기준!$D$20:$D$49,MATCH($N3275,계정대체기준!$A$20:$A$49,0)),0)))</f>
        <v/>
      </c>
      <c r="AB3275" s="94">
        <f>IF($A3275="",0,IF(AE3275="직접",IF(AF3275="수금비",$P3275,0),$P3275*(1-AG3275)*IFERROR(INDEX(계정대체기준!$E$20:$E$49,MATCH($N3275,계정대체기준!$A$20:$A$49,0)),0)))</f>
        <v/>
      </c>
      <c r="AC3275" s="9">
        <f>IF(AND($A3275&lt;&gt;"",M3275=설정!$C$20,Z3275&gt;0),Z3275+ROW()/1000000000,"")</f>
        <v/>
      </c>
      <c r="AD3275" s="94">
        <f>IF($A3275="",0,$P3275*AG3275)</f>
        <v/>
      </c>
      <c r="AE3275" s="64">
        <f>IF($A3275="","",IFERROR(INDEX(계정매핑!$E$5:$E$504,MATCH($F3275&amp;"",계정매핑!$A$5:$A$504,0))&amp;"","공통비"))</f>
        <v/>
      </c>
      <c r="AF3275" s="64">
        <f>IF($A3275="","",IF(AE3275="직접",IFERROR(INDEX(계정매핑!$F$5:$F$504,MATCH($F3275&amp;"",계정매핑!$A$5:$A$504,0))&amp;"","비귀속"),""))</f>
        <v/>
      </c>
      <c r="AG3275" s="96">
        <f>IF($A3275="",0,IF(AND(AE3275&lt;&gt;"직접",IFERROR(INDEX(계정매핑!$G$5:$G$504,MATCH($F3275&amp;"",계정매핑!$A$5:$A$504,0))&amp;"","")="유지비",COUNTIF(계정대체기준!$A$6:$A$15,$N3275)&gt;0),IFERROR(INDEX(계정대체기준!$E$6:$E$15,MATCH(VALUE($A3275&amp;""),계정대체기준!$D$6:$D$15,0)),0),0))</f>
        <v/>
      </c>
      <c r="AH3275" s="64">
        <f>IF($A3275="","",IF(AD3275=0,"",IF(OR(COUNTIF(계정대체기준!$A$77:$A$86,$N3275)&gt;0,ISNUMBER(MATCH($X3275,계정대체기준!$D$77:$D$86,0)),ISNUMBER(MATCH($F3275,계정대체기준!$D$77:$D$86,0))),"Y","N")))</f>
        <v/>
      </c>
    </row>
    <row r="3276">
      <c r="A3276" s="92" t="n">
        <v>2026</v>
      </c>
      <c r="B3276" s="92" t="n">
        <v>3</v>
      </c>
      <c r="C3276" s="92" t="inlineStr">
        <is>
          <t>5100000554</t>
        </is>
      </c>
      <c r="D3276" s="95" t="n">
        <v>46094</v>
      </c>
      <c r="E3276" s="92" t="inlineStr">
        <is>
          <t>KR</t>
        </is>
      </c>
      <c r="F3276" s="92" t="n">
        <v>62102000</v>
      </c>
      <c r="G3276" s="92" t="n">
        <v>1201</v>
      </c>
      <c r="H3276" s="93" t="n">
        <v>61000</v>
      </c>
      <c r="I3276" s="92" t="inlineStr">
        <is>
          <t>3월 해외출장 - N호텔</t>
        </is>
      </c>
      <c r="J3276" s="92" t="inlineStr">
        <is>
          <t>V10009</t>
        </is>
      </c>
      <c r="K3276" s="92" t="inlineStr">
        <is>
          <t>N호텔</t>
        </is>
      </c>
      <c r="M3276" s="9">
        <f>IF($A3276="","",VALUE($A3276&amp;"")*12+VALUE($B3276&amp;""))</f>
        <v/>
      </c>
      <c r="N3276" s="64">
        <f>IF($A3276="","",IFERROR(INDEX(부서매핑!$C$5:$C$504,MATCH($G3276&amp;"",부서매핑!$A$5:$A$504,0)),"미매핑"))</f>
        <v/>
      </c>
      <c r="O3276" s="9">
        <f>IF($A3276="","",N3276&amp;"|"&amp;$F3276)</f>
        <v/>
      </c>
      <c r="P3276" s="94">
        <f>IF($A3276="",0,$H3276*설정!$C$23)</f>
        <v/>
      </c>
      <c r="Q3276" s="64">
        <f>IF($A3276="","",IF(O3276&lt;&gt;원인분석!$C$9,"",IF(AND(M3276&gt;=원인분석!$C$10,M3276&lt;=원인분석!$C$11),"당기",IF(AND(M3276&gt;=원인분석!$C$12,M3276&lt;=원인분석!$C$13),"비교",""))))</f>
        <v/>
      </c>
      <c r="R3276" s="9">
        <f>IF(Q3276="","",$K3276&amp;"")</f>
        <v/>
      </c>
      <c r="S3276" s="9">
        <f>IF(Q3276="","",IF(MATCH(R3276,$R$5:$R$100000,0)=ROW()-4,ROW(),""))</f>
        <v/>
      </c>
      <c r="T3276" s="9">
        <f>IF(Q3276="당기",ABS(P3276)+ROW()/1000000000,"")</f>
        <v/>
      </c>
      <c r="U3276" s="9">
        <f>IF(Q3276="비교",ABS(P3276)+ROW()/1000000000,"")</f>
        <v/>
      </c>
      <c r="V3276" s="64">
        <f>IF($A3276="","",IF(COUNTIF(변동분석!$E$7:$E$506,O3276)&gt;0,"Y","N"))</f>
        <v/>
      </c>
      <c r="W3276" s="64">
        <f>IF($A3276="","",IFERROR(INDEX(계정매핑!$D$5:$D$504,MATCH($F3276&amp;"",계정매핑!$A$5:$A$504,0)),"미매핑"))</f>
        <v/>
      </c>
      <c r="X3276" s="9">
        <f>IF($A3276="","",$F3276&amp;"")</f>
        <v/>
      </c>
      <c r="Y3276" s="94">
        <f>IF($A3276="",0,IF(AE3276="직접",IF(AF3276="비귀속",$P3276,0),$P3276*(1-AG3276)*IFERROR(INDEX(계정대체기준!$F$20:$F$49,MATCH($N3276,계정대체기준!$A$20:$A$49,0)),1)))</f>
        <v/>
      </c>
      <c r="Z3276" s="94">
        <f>IF($A3276="",0,IF(AE3276="직접",IF(AF3276="신계약비",$P3276,0),$P3276*(1-AG3276)*IFERROR(INDEX(계정대체기준!$C$20:$C$49,MATCH($N3276,계정대체기준!$A$20:$A$49,0)),0)))</f>
        <v/>
      </c>
      <c r="AA3276" s="94">
        <f>IF($A3276="",0,IF(AE3276="직접",IF(OR(AF3276="유지비",AF3276="손해조사비"),$P3276,0),$P3276*(1-AG3276)*IFERROR(INDEX(계정대체기준!$D$20:$D$49,MATCH($N3276,계정대체기준!$A$20:$A$49,0)),0)))</f>
        <v/>
      </c>
      <c r="AB3276" s="94">
        <f>IF($A3276="",0,IF(AE3276="직접",IF(AF3276="수금비",$P3276,0),$P3276*(1-AG3276)*IFERROR(INDEX(계정대체기준!$E$20:$E$49,MATCH($N3276,계정대체기준!$A$20:$A$49,0)),0)))</f>
        <v/>
      </c>
      <c r="AC3276" s="9">
        <f>IF(AND($A3276&lt;&gt;"",M3276=설정!$C$20,Z3276&gt;0),Z3276+ROW()/1000000000,"")</f>
        <v/>
      </c>
      <c r="AD3276" s="94">
        <f>IF($A3276="",0,$P3276*AG3276)</f>
        <v/>
      </c>
      <c r="AE3276" s="64">
        <f>IF($A3276="","",IFERROR(INDEX(계정매핑!$E$5:$E$504,MATCH($F3276&amp;"",계정매핑!$A$5:$A$504,0))&amp;"","공통비"))</f>
        <v/>
      </c>
      <c r="AF3276" s="64">
        <f>IF($A3276="","",IF(AE3276="직접",IFERROR(INDEX(계정매핑!$F$5:$F$504,MATCH($F3276&amp;"",계정매핑!$A$5:$A$504,0))&amp;"","비귀속"),""))</f>
        <v/>
      </c>
      <c r="AG3276" s="96">
        <f>IF($A3276="",0,IF(AND(AE3276&lt;&gt;"직접",IFERROR(INDEX(계정매핑!$G$5:$G$504,MATCH($F3276&amp;"",계정매핑!$A$5:$A$504,0))&amp;"","")="유지비",COUNTIF(계정대체기준!$A$6:$A$15,$N3276)&gt;0),IFERROR(INDEX(계정대체기준!$E$6:$E$15,MATCH(VALUE($A3276&amp;""),계정대체기준!$D$6:$D$15,0)),0),0))</f>
        <v/>
      </c>
      <c r="AH3276" s="64">
        <f>IF($A3276="","",IF(AD3276=0,"",IF(OR(COUNTIF(계정대체기준!$A$77:$A$86,$N3276)&gt;0,ISNUMBER(MATCH($X3276,계정대체기준!$D$77:$D$86,0)),ISNUMBER(MATCH($F3276,계정대체기준!$D$77:$D$86,0))),"Y","N")))</f>
        <v/>
      </c>
    </row>
    <row r="3277">
      <c r="A3277" s="92" t="n">
        <v>2026</v>
      </c>
      <c r="B3277" s="92" t="n">
        <v>3</v>
      </c>
      <c r="C3277" s="92" t="inlineStr">
        <is>
          <t>5100000555</t>
        </is>
      </c>
      <c r="D3277" s="95" t="n">
        <v>46094</v>
      </c>
      <c r="E3277" s="92" t="inlineStr">
        <is>
          <t>KR</t>
        </is>
      </c>
      <c r="F3277" s="92" t="n">
        <v>62102000</v>
      </c>
      <c r="G3277" s="92" t="n">
        <v>1951</v>
      </c>
      <c r="H3277" s="93" t="n">
        <v>95000</v>
      </c>
      <c r="I3277" s="92" t="inlineStr">
        <is>
          <t>3월 해외출장 - M항공</t>
        </is>
      </c>
      <c r="J3277" s="92" t="inlineStr">
        <is>
          <t>V10001</t>
        </is>
      </c>
      <c r="K3277" s="92" t="inlineStr">
        <is>
          <t>M항공</t>
        </is>
      </c>
      <c r="M3277" s="9">
        <f>IF($A3277="","",VALUE($A3277&amp;"")*12+VALUE($B3277&amp;""))</f>
        <v/>
      </c>
      <c r="N3277" s="64">
        <f>IF($A3277="","",IFERROR(INDEX(부서매핑!$C$5:$C$504,MATCH($G3277&amp;"",부서매핑!$A$5:$A$504,0)),"미매핑"))</f>
        <v/>
      </c>
      <c r="O3277" s="9">
        <f>IF($A3277="","",N3277&amp;"|"&amp;$F3277)</f>
        <v/>
      </c>
      <c r="P3277" s="94">
        <f>IF($A3277="",0,$H3277*설정!$C$23)</f>
        <v/>
      </c>
      <c r="Q3277" s="64">
        <f>IF($A3277="","",IF(O3277&lt;&gt;원인분석!$C$9,"",IF(AND(M3277&gt;=원인분석!$C$10,M3277&lt;=원인분석!$C$11),"당기",IF(AND(M3277&gt;=원인분석!$C$12,M3277&lt;=원인분석!$C$13),"비교",""))))</f>
        <v/>
      </c>
      <c r="R3277" s="9">
        <f>IF(Q3277="","",$K3277&amp;"")</f>
        <v/>
      </c>
      <c r="S3277" s="9">
        <f>IF(Q3277="","",IF(MATCH(R3277,$R$5:$R$100000,0)=ROW()-4,ROW(),""))</f>
        <v/>
      </c>
      <c r="T3277" s="9">
        <f>IF(Q3277="당기",ABS(P3277)+ROW()/1000000000,"")</f>
        <v/>
      </c>
      <c r="U3277" s="9">
        <f>IF(Q3277="비교",ABS(P3277)+ROW()/1000000000,"")</f>
        <v/>
      </c>
      <c r="V3277" s="64">
        <f>IF($A3277="","",IF(COUNTIF(변동분석!$E$7:$E$506,O3277)&gt;0,"Y","N"))</f>
        <v/>
      </c>
      <c r="W3277" s="64">
        <f>IF($A3277="","",IFERROR(INDEX(계정매핑!$D$5:$D$504,MATCH($F3277&amp;"",계정매핑!$A$5:$A$504,0)),"미매핑"))</f>
        <v/>
      </c>
      <c r="X3277" s="9">
        <f>IF($A3277="","",$F3277&amp;"")</f>
        <v/>
      </c>
      <c r="Y3277" s="94">
        <f>IF($A3277="",0,IF(AE3277="직접",IF(AF3277="비귀속",$P3277,0),$P3277*(1-AG3277)*IFERROR(INDEX(계정대체기준!$F$20:$F$49,MATCH($N3277,계정대체기준!$A$20:$A$49,0)),1)))</f>
        <v/>
      </c>
      <c r="Z3277" s="94">
        <f>IF($A3277="",0,IF(AE3277="직접",IF(AF3277="신계약비",$P3277,0),$P3277*(1-AG3277)*IFERROR(INDEX(계정대체기준!$C$20:$C$49,MATCH($N3277,계정대체기준!$A$20:$A$49,0)),0)))</f>
        <v/>
      </c>
      <c r="AA3277" s="94">
        <f>IF($A3277="",0,IF(AE3277="직접",IF(OR(AF3277="유지비",AF3277="손해조사비"),$P3277,0),$P3277*(1-AG3277)*IFERROR(INDEX(계정대체기준!$D$20:$D$49,MATCH($N3277,계정대체기준!$A$20:$A$49,0)),0)))</f>
        <v/>
      </c>
      <c r="AB3277" s="94">
        <f>IF($A3277="",0,IF(AE3277="직접",IF(AF3277="수금비",$P3277,0),$P3277*(1-AG3277)*IFERROR(INDEX(계정대체기준!$E$20:$E$49,MATCH($N3277,계정대체기준!$A$20:$A$49,0)),0)))</f>
        <v/>
      </c>
      <c r="AC3277" s="9">
        <f>IF(AND($A3277&lt;&gt;"",M3277=설정!$C$20,Z3277&gt;0),Z3277+ROW()/1000000000,"")</f>
        <v/>
      </c>
      <c r="AD3277" s="94">
        <f>IF($A3277="",0,$P3277*AG3277)</f>
        <v/>
      </c>
      <c r="AE3277" s="64">
        <f>IF($A3277="","",IFERROR(INDEX(계정매핑!$E$5:$E$504,MATCH($F3277&amp;"",계정매핑!$A$5:$A$504,0))&amp;"","공통비"))</f>
        <v/>
      </c>
      <c r="AF3277" s="64">
        <f>IF($A3277="","",IF(AE3277="직접",IFERROR(INDEX(계정매핑!$F$5:$F$504,MATCH($F3277&amp;"",계정매핑!$A$5:$A$504,0))&amp;"","비귀속"),""))</f>
        <v/>
      </c>
      <c r="AG3277" s="96">
        <f>IF($A3277="",0,IF(AND(AE3277&lt;&gt;"직접",IFERROR(INDEX(계정매핑!$G$5:$G$504,MATCH($F3277&amp;"",계정매핑!$A$5:$A$504,0))&amp;"","")="유지비",COUNTIF(계정대체기준!$A$6:$A$15,$N3277)&gt;0),IFERROR(INDEX(계정대체기준!$E$6:$E$15,MATCH(VALUE($A3277&amp;""),계정대체기준!$D$6:$D$15,0)),0),0))</f>
        <v/>
      </c>
      <c r="AH3277" s="64">
        <f>IF($A3277="","",IF(AD3277=0,"",IF(OR(COUNTIF(계정대체기준!$A$77:$A$86,$N3277)&gt;0,ISNUMBER(MATCH($X3277,계정대체기준!$D$77:$D$86,0)),ISNUMBER(MATCH($F3277,계정대체기준!$D$77:$D$86,0))),"Y","N")))</f>
        <v/>
      </c>
    </row>
    <row r="3278">
      <c r="A3278" s="92" t="n">
        <v>2026</v>
      </c>
      <c r="B3278" s="92" t="n">
        <v>3</v>
      </c>
      <c r="C3278" s="92" t="inlineStr">
        <is>
          <t>5100000556</t>
        </is>
      </c>
      <c r="D3278" s="95" t="n">
        <v>46094</v>
      </c>
      <c r="E3278" s="92" t="inlineStr">
        <is>
          <t>KR</t>
        </is>
      </c>
      <c r="F3278" s="92" t="n">
        <v>62201000</v>
      </c>
      <c r="G3278" s="92" t="n">
        <v>1301</v>
      </c>
      <c r="H3278" s="93" t="n">
        <v>165000</v>
      </c>
      <c r="I3278" s="92" t="inlineStr">
        <is>
          <t>3월 통신요금 - O텔레콤</t>
        </is>
      </c>
      <c r="J3278" s="92" t="inlineStr">
        <is>
          <t>V10002</t>
        </is>
      </c>
      <c r="K3278" s="92" t="inlineStr">
        <is>
          <t>O텔레콤</t>
        </is>
      </c>
      <c r="M3278" s="9">
        <f>IF($A3278="","",VALUE($A3278&amp;"")*12+VALUE($B3278&amp;""))</f>
        <v/>
      </c>
      <c r="N3278" s="64">
        <f>IF($A3278="","",IFERROR(INDEX(부서매핑!$C$5:$C$504,MATCH($G3278&amp;"",부서매핑!$A$5:$A$504,0)),"미매핑"))</f>
        <v/>
      </c>
      <c r="O3278" s="9">
        <f>IF($A3278="","",N3278&amp;"|"&amp;$F3278)</f>
        <v/>
      </c>
      <c r="P3278" s="94">
        <f>IF($A3278="",0,$H3278*설정!$C$23)</f>
        <v/>
      </c>
      <c r="Q3278" s="64">
        <f>IF($A3278="","",IF(O3278&lt;&gt;원인분석!$C$9,"",IF(AND(M3278&gt;=원인분석!$C$10,M3278&lt;=원인분석!$C$11),"당기",IF(AND(M3278&gt;=원인분석!$C$12,M3278&lt;=원인분석!$C$13),"비교",""))))</f>
        <v/>
      </c>
      <c r="R3278" s="9">
        <f>IF(Q3278="","",$K3278&amp;"")</f>
        <v/>
      </c>
      <c r="S3278" s="9">
        <f>IF(Q3278="","",IF(MATCH(R3278,$R$5:$R$100000,0)=ROW()-4,ROW(),""))</f>
        <v/>
      </c>
      <c r="T3278" s="9">
        <f>IF(Q3278="당기",ABS(P3278)+ROW()/1000000000,"")</f>
        <v/>
      </c>
      <c r="U3278" s="9">
        <f>IF(Q3278="비교",ABS(P3278)+ROW()/1000000000,"")</f>
        <v/>
      </c>
      <c r="V3278" s="64">
        <f>IF($A3278="","",IF(COUNTIF(변동분석!$E$7:$E$506,O3278)&gt;0,"Y","N"))</f>
        <v/>
      </c>
      <c r="W3278" s="64">
        <f>IF($A3278="","",IFERROR(INDEX(계정매핑!$D$5:$D$504,MATCH($F3278&amp;"",계정매핑!$A$5:$A$504,0)),"미매핑"))</f>
        <v/>
      </c>
      <c r="X3278" s="9">
        <f>IF($A3278="","",$F3278&amp;"")</f>
        <v/>
      </c>
      <c r="Y3278" s="94">
        <f>IF($A3278="",0,IF(AE3278="직접",IF(AF3278="비귀속",$P3278,0),$P3278*(1-AG3278)*IFERROR(INDEX(계정대체기준!$F$20:$F$49,MATCH($N3278,계정대체기준!$A$20:$A$49,0)),1)))</f>
        <v/>
      </c>
      <c r="Z3278" s="94">
        <f>IF($A3278="",0,IF(AE3278="직접",IF(AF3278="신계약비",$P3278,0),$P3278*(1-AG3278)*IFERROR(INDEX(계정대체기준!$C$20:$C$49,MATCH($N3278,계정대체기준!$A$20:$A$49,0)),0)))</f>
        <v/>
      </c>
      <c r="AA3278" s="94">
        <f>IF($A3278="",0,IF(AE3278="직접",IF(OR(AF3278="유지비",AF3278="손해조사비"),$P3278,0),$P3278*(1-AG3278)*IFERROR(INDEX(계정대체기준!$D$20:$D$49,MATCH($N3278,계정대체기준!$A$20:$A$49,0)),0)))</f>
        <v/>
      </c>
      <c r="AB3278" s="94">
        <f>IF($A3278="",0,IF(AE3278="직접",IF(AF3278="수금비",$P3278,0),$P3278*(1-AG3278)*IFERROR(INDEX(계정대체기준!$E$20:$E$49,MATCH($N3278,계정대체기준!$A$20:$A$49,0)),0)))</f>
        <v/>
      </c>
      <c r="AC3278" s="9">
        <f>IF(AND($A3278&lt;&gt;"",M3278=설정!$C$20,Z3278&gt;0),Z3278+ROW()/1000000000,"")</f>
        <v/>
      </c>
      <c r="AD3278" s="94">
        <f>IF($A3278="",0,$P3278*AG3278)</f>
        <v/>
      </c>
      <c r="AE3278" s="64">
        <f>IF($A3278="","",IFERROR(INDEX(계정매핑!$E$5:$E$504,MATCH($F3278&amp;"",계정매핑!$A$5:$A$504,0))&amp;"","공통비"))</f>
        <v/>
      </c>
      <c r="AF3278" s="64">
        <f>IF($A3278="","",IF(AE3278="직접",IFERROR(INDEX(계정매핑!$F$5:$F$504,MATCH($F3278&amp;"",계정매핑!$A$5:$A$504,0))&amp;"","비귀속"),""))</f>
        <v/>
      </c>
      <c r="AG3278" s="96">
        <f>IF($A3278="",0,IF(AND(AE3278&lt;&gt;"직접",IFERROR(INDEX(계정매핑!$G$5:$G$504,MATCH($F3278&amp;"",계정매핑!$A$5:$A$504,0))&amp;"","")="유지비",COUNTIF(계정대체기준!$A$6:$A$15,$N3278)&gt;0),IFERROR(INDEX(계정대체기준!$E$6:$E$15,MATCH(VALUE($A3278&amp;""),계정대체기준!$D$6:$D$15,0)),0),0))</f>
        <v/>
      </c>
      <c r="AH3278" s="64">
        <f>IF($A3278="","",IF(AD3278=0,"",IF(OR(COUNTIF(계정대체기준!$A$77:$A$86,$N3278)&gt;0,ISNUMBER(MATCH($X3278,계정대체기준!$D$77:$D$86,0)),ISNUMBER(MATCH($F3278,계정대체기준!$D$77:$D$86,0))),"Y","N")))</f>
        <v/>
      </c>
    </row>
    <row r="3279">
      <c r="A3279" s="92" t="n">
        <v>2026</v>
      </c>
      <c r="B3279" s="92" t="n">
        <v>3</v>
      </c>
      <c r="C3279" s="92" t="inlineStr">
        <is>
          <t>5100000557</t>
        </is>
      </c>
      <c r="D3279" s="95" t="n">
        <v>46094</v>
      </c>
      <c r="E3279" s="92" t="inlineStr">
        <is>
          <t>KR</t>
        </is>
      </c>
      <c r="F3279" s="92" t="n">
        <v>62201000</v>
      </c>
      <c r="G3279" s="92" t="n">
        <v>1401</v>
      </c>
      <c r="H3279" s="93" t="n">
        <v>159000</v>
      </c>
      <c r="I3279" s="92" t="inlineStr">
        <is>
          <t>3월 통신요금 - O텔레콤</t>
        </is>
      </c>
      <c r="J3279" s="92" t="inlineStr">
        <is>
          <t>V10002</t>
        </is>
      </c>
      <c r="K3279" s="92" t="inlineStr">
        <is>
          <t>O텔레콤</t>
        </is>
      </c>
      <c r="M3279" s="9">
        <f>IF($A3279="","",VALUE($A3279&amp;"")*12+VALUE($B3279&amp;""))</f>
        <v/>
      </c>
      <c r="N3279" s="64">
        <f>IF($A3279="","",IFERROR(INDEX(부서매핑!$C$5:$C$504,MATCH($G3279&amp;"",부서매핑!$A$5:$A$504,0)),"미매핑"))</f>
        <v/>
      </c>
      <c r="O3279" s="9">
        <f>IF($A3279="","",N3279&amp;"|"&amp;$F3279)</f>
        <v/>
      </c>
      <c r="P3279" s="94">
        <f>IF($A3279="",0,$H3279*설정!$C$23)</f>
        <v/>
      </c>
      <c r="Q3279" s="64">
        <f>IF($A3279="","",IF(O3279&lt;&gt;원인분석!$C$9,"",IF(AND(M3279&gt;=원인분석!$C$10,M3279&lt;=원인분석!$C$11),"당기",IF(AND(M3279&gt;=원인분석!$C$12,M3279&lt;=원인분석!$C$13),"비교",""))))</f>
        <v/>
      </c>
      <c r="R3279" s="9">
        <f>IF(Q3279="","",$K3279&amp;"")</f>
        <v/>
      </c>
      <c r="S3279" s="9">
        <f>IF(Q3279="","",IF(MATCH(R3279,$R$5:$R$100000,0)=ROW()-4,ROW(),""))</f>
        <v/>
      </c>
      <c r="T3279" s="9">
        <f>IF(Q3279="당기",ABS(P3279)+ROW()/1000000000,"")</f>
        <v/>
      </c>
      <c r="U3279" s="9">
        <f>IF(Q3279="비교",ABS(P3279)+ROW()/1000000000,"")</f>
        <v/>
      </c>
      <c r="V3279" s="64">
        <f>IF($A3279="","",IF(COUNTIF(변동분석!$E$7:$E$506,O3279)&gt;0,"Y","N"))</f>
        <v/>
      </c>
      <c r="W3279" s="64">
        <f>IF($A3279="","",IFERROR(INDEX(계정매핑!$D$5:$D$504,MATCH($F3279&amp;"",계정매핑!$A$5:$A$504,0)),"미매핑"))</f>
        <v/>
      </c>
      <c r="X3279" s="9">
        <f>IF($A3279="","",$F3279&amp;"")</f>
        <v/>
      </c>
      <c r="Y3279" s="94">
        <f>IF($A3279="",0,IF(AE3279="직접",IF(AF3279="비귀속",$P3279,0),$P3279*(1-AG3279)*IFERROR(INDEX(계정대체기준!$F$20:$F$49,MATCH($N3279,계정대체기준!$A$20:$A$49,0)),1)))</f>
        <v/>
      </c>
      <c r="Z3279" s="94">
        <f>IF($A3279="",0,IF(AE3279="직접",IF(AF3279="신계약비",$P3279,0),$P3279*(1-AG3279)*IFERROR(INDEX(계정대체기준!$C$20:$C$49,MATCH($N3279,계정대체기준!$A$20:$A$49,0)),0)))</f>
        <v/>
      </c>
      <c r="AA3279" s="94">
        <f>IF($A3279="",0,IF(AE3279="직접",IF(OR(AF3279="유지비",AF3279="손해조사비"),$P3279,0),$P3279*(1-AG3279)*IFERROR(INDEX(계정대체기준!$D$20:$D$49,MATCH($N3279,계정대체기준!$A$20:$A$49,0)),0)))</f>
        <v/>
      </c>
      <c r="AB3279" s="94">
        <f>IF($A3279="",0,IF(AE3279="직접",IF(AF3279="수금비",$P3279,0),$P3279*(1-AG3279)*IFERROR(INDEX(계정대체기준!$E$20:$E$49,MATCH($N3279,계정대체기준!$A$20:$A$49,0)),0)))</f>
        <v/>
      </c>
      <c r="AC3279" s="9">
        <f>IF(AND($A3279&lt;&gt;"",M3279=설정!$C$20,Z3279&gt;0),Z3279+ROW()/1000000000,"")</f>
        <v/>
      </c>
      <c r="AD3279" s="94">
        <f>IF($A3279="",0,$P3279*AG3279)</f>
        <v/>
      </c>
      <c r="AE3279" s="64">
        <f>IF($A3279="","",IFERROR(INDEX(계정매핑!$E$5:$E$504,MATCH($F3279&amp;"",계정매핑!$A$5:$A$504,0))&amp;"","공통비"))</f>
        <v/>
      </c>
      <c r="AF3279" s="64">
        <f>IF($A3279="","",IF(AE3279="직접",IFERROR(INDEX(계정매핑!$F$5:$F$504,MATCH($F3279&amp;"",계정매핑!$A$5:$A$504,0))&amp;"","비귀속"),""))</f>
        <v/>
      </c>
      <c r="AG3279" s="96">
        <f>IF($A3279="",0,IF(AND(AE3279&lt;&gt;"직접",IFERROR(INDEX(계정매핑!$G$5:$G$504,MATCH($F3279&amp;"",계정매핑!$A$5:$A$504,0))&amp;"","")="유지비",COUNTIF(계정대체기준!$A$6:$A$15,$N3279)&gt;0),IFERROR(INDEX(계정대체기준!$E$6:$E$15,MATCH(VALUE($A3279&amp;""),계정대체기준!$D$6:$D$15,0)),0),0))</f>
        <v/>
      </c>
      <c r="AH3279" s="64">
        <f>IF($A3279="","",IF(AD3279=0,"",IF(OR(COUNTIF(계정대체기준!$A$77:$A$86,$N3279)&gt;0,ISNUMBER(MATCH($X3279,계정대체기준!$D$77:$D$86,0)),ISNUMBER(MATCH($F3279,계정대체기준!$D$77:$D$86,0))),"Y","N")))</f>
        <v/>
      </c>
    </row>
    <row r="3280">
      <c r="A3280" s="92" t="n">
        <v>2026</v>
      </c>
      <c r="B3280" s="92" t="n">
        <v>3</v>
      </c>
      <c r="C3280" s="92" t="inlineStr">
        <is>
          <t>5100000558</t>
        </is>
      </c>
      <c r="D3280" s="95" t="n">
        <v>46094</v>
      </c>
      <c r="E3280" s="92" t="inlineStr">
        <is>
          <t>KR</t>
        </is>
      </c>
      <c r="F3280" s="92" t="n">
        <v>62401000</v>
      </c>
      <c r="G3280" s="92" t="n">
        <v>1401</v>
      </c>
      <c r="H3280" s="93" t="n">
        <v>418000</v>
      </c>
      <c r="I3280" s="92" t="inlineStr">
        <is>
          <t>3월 인쇄물 제작 - G인쇄</t>
        </is>
      </c>
      <c r="J3280" s="92" t="inlineStr">
        <is>
          <t>V10004</t>
        </is>
      </c>
      <c r="K3280" s="92" t="inlineStr">
        <is>
          <t>G인쇄</t>
        </is>
      </c>
      <c r="M3280" s="9">
        <f>IF($A3280="","",VALUE($A3280&amp;"")*12+VALUE($B3280&amp;""))</f>
        <v/>
      </c>
      <c r="N3280" s="64">
        <f>IF($A3280="","",IFERROR(INDEX(부서매핑!$C$5:$C$504,MATCH($G3280&amp;"",부서매핑!$A$5:$A$504,0)),"미매핑"))</f>
        <v/>
      </c>
      <c r="O3280" s="9">
        <f>IF($A3280="","",N3280&amp;"|"&amp;$F3280)</f>
        <v/>
      </c>
      <c r="P3280" s="94">
        <f>IF($A3280="",0,$H3280*설정!$C$23)</f>
        <v/>
      </c>
      <c r="Q3280" s="64">
        <f>IF($A3280="","",IF(O3280&lt;&gt;원인분석!$C$9,"",IF(AND(M3280&gt;=원인분석!$C$10,M3280&lt;=원인분석!$C$11),"당기",IF(AND(M3280&gt;=원인분석!$C$12,M3280&lt;=원인분석!$C$13),"비교",""))))</f>
        <v/>
      </c>
      <c r="R3280" s="9">
        <f>IF(Q3280="","",$K3280&amp;"")</f>
        <v/>
      </c>
      <c r="S3280" s="9">
        <f>IF(Q3280="","",IF(MATCH(R3280,$R$5:$R$100000,0)=ROW()-4,ROW(),""))</f>
        <v/>
      </c>
      <c r="T3280" s="9">
        <f>IF(Q3280="당기",ABS(P3280)+ROW()/1000000000,"")</f>
        <v/>
      </c>
      <c r="U3280" s="9">
        <f>IF(Q3280="비교",ABS(P3280)+ROW()/1000000000,"")</f>
        <v/>
      </c>
      <c r="V3280" s="64">
        <f>IF($A3280="","",IF(COUNTIF(변동분석!$E$7:$E$506,O3280)&gt;0,"Y","N"))</f>
        <v/>
      </c>
      <c r="W3280" s="64">
        <f>IF($A3280="","",IFERROR(INDEX(계정매핑!$D$5:$D$504,MATCH($F3280&amp;"",계정매핑!$A$5:$A$504,0)),"미매핑"))</f>
        <v/>
      </c>
      <c r="X3280" s="9">
        <f>IF($A3280="","",$F3280&amp;"")</f>
        <v/>
      </c>
      <c r="Y3280" s="94">
        <f>IF($A3280="",0,IF(AE3280="직접",IF(AF3280="비귀속",$P3280,0),$P3280*(1-AG3280)*IFERROR(INDEX(계정대체기준!$F$20:$F$49,MATCH($N3280,계정대체기준!$A$20:$A$49,0)),1)))</f>
        <v/>
      </c>
      <c r="Z3280" s="94">
        <f>IF($A3280="",0,IF(AE3280="직접",IF(AF3280="신계약비",$P3280,0),$P3280*(1-AG3280)*IFERROR(INDEX(계정대체기준!$C$20:$C$49,MATCH($N3280,계정대체기준!$A$20:$A$49,0)),0)))</f>
        <v/>
      </c>
      <c r="AA3280" s="94">
        <f>IF($A3280="",0,IF(AE3280="직접",IF(OR(AF3280="유지비",AF3280="손해조사비"),$P3280,0),$P3280*(1-AG3280)*IFERROR(INDEX(계정대체기준!$D$20:$D$49,MATCH($N3280,계정대체기준!$A$20:$A$49,0)),0)))</f>
        <v/>
      </c>
      <c r="AB3280" s="94">
        <f>IF($A3280="",0,IF(AE3280="직접",IF(AF3280="수금비",$P3280,0),$P3280*(1-AG3280)*IFERROR(INDEX(계정대체기준!$E$20:$E$49,MATCH($N3280,계정대체기준!$A$20:$A$49,0)),0)))</f>
        <v/>
      </c>
      <c r="AC3280" s="9">
        <f>IF(AND($A3280&lt;&gt;"",M3280=설정!$C$20,Z3280&gt;0),Z3280+ROW()/1000000000,"")</f>
        <v/>
      </c>
      <c r="AD3280" s="94">
        <f>IF($A3280="",0,$P3280*AG3280)</f>
        <v/>
      </c>
      <c r="AE3280" s="64">
        <f>IF($A3280="","",IFERROR(INDEX(계정매핑!$E$5:$E$504,MATCH($F3280&amp;"",계정매핑!$A$5:$A$504,0))&amp;"","공통비"))</f>
        <v/>
      </c>
      <c r="AF3280" s="64">
        <f>IF($A3280="","",IF(AE3280="직접",IFERROR(INDEX(계정매핑!$F$5:$F$504,MATCH($F3280&amp;"",계정매핑!$A$5:$A$504,0))&amp;"","비귀속"),""))</f>
        <v/>
      </c>
      <c r="AG3280" s="96">
        <f>IF($A3280="",0,IF(AND(AE3280&lt;&gt;"직접",IFERROR(INDEX(계정매핑!$G$5:$G$504,MATCH($F3280&amp;"",계정매핑!$A$5:$A$504,0))&amp;"","")="유지비",COUNTIF(계정대체기준!$A$6:$A$15,$N3280)&gt;0),IFERROR(INDEX(계정대체기준!$E$6:$E$15,MATCH(VALUE($A3280&amp;""),계정대체기준!$D$6:$D$15,0)),0),0))</f>
        <v/>
      </c>
      <c r="AH3280" s="64">
        <f>IF($A3280="","",IF(AD3280=0,"",IF(OR(COUNTIF(계정대체기준!$A$77:$A$86,$N3280)&gt;0,ISNUMBER(MATCH($X3280,계정대체기준!$D$77:$D$86,0)),ISNUMBER(MATCH($F3280,계정대체기준!$D$77:$D$86,0))),"Y","N")))</f>
        <v/>
      </c>
    </row>
    <row r="3281">
      <c r="A3281" s="92" t="n">
        <v>2026</v>
      </c>
      <c r="B3281" s="92" t="n">
        <v>3</v>
      </c>
      <c r="C3281" s="92" t="inlineStr">
        <is>
          <t>5100000559</t>
        </is>
      </c>
      <c r="D3281" s="95" t="n">
        <v>46094</v>
      </c>
      <c r="E3281" s="92" t="inlineStr">
        <is>
          <t>KR</t>
        </is>
      </c>
      <c r="F3281" s="92" t="n">
        <v>62501000</v>
      </c>
      <c r="G3281" s="92" t="n">
        <v>1201</v>
      </c>
      <c r="H3281" s="93" t="n">
        <v>208000</v>
      </c>
      <c r="I3281" s="92" t="inlineStr">
        <is>
          <t>3월 회의 다과 - T케이터링</t>
        </is>
      </c>
      <c r="J3281" s="92" t="inlineStr">
        <is>
          <t>V10005</t>
        </is>
      </c>
      <c r="K3281" s="92" t="inlineStr">
        <is>
          <t>T케이터링</t>
        </is>
      </c>
      <c r="M3281" s="9">
        <f>IF($A3281="","",VALUE($A3281&amp;"")*12+VALUE($B3281&amp;""))</f>
        <v/>
      </c>
      <c r="N3281" s="64">
        <f>IF($A3281="","",IFERROR(INDEX(부서매핑!$C$5:$C$504,MATCH($G3281&amp;"",부서매핑!$A$5:$A$504,0)),"미매핑"))</f>
        <v/>
      </c>
      <c r="O3281" s="9">
        <f>IF($A3281="","",N3281&amp;"|"&amp;$F3281)</f>
        <v/>
      </c>
      <c r="P3281" s="94">
        <f>IF($A3281="",0,$H3281*설정!$C$23)</f>
        <v/>
      </c>
      <c r="Q3281" s="64">
        <f>IF($A3281="","",IF(O3281&lt;&gt;원인분석!$C$9,"",IF(AND(M3281&gt;=원인분석!$C$10,M3281&lt;=원인분석!$C$11),"당기",IF(AND(M3281&gt;=원인분석!$C$12,M3281&lt;=원인분석!$C$13),"비교",""))))</f>
        <v/>
      </c>
      <c r="R3281" s="9">
        <f>IF(Q3281="","",$K3281&amp;"")</f>
        <v/>
      </c>
      <c r="S3281" s="9">
        <f>IF(Q3281="","",IF(MATCH(R3281,$R$5:$R$100000,0)=ROW()-4,ROW(),""))</f>
        <v/>
      </c>
      <c r="T3281" s="9">
        <f>IF(Q3281="당기",ABS(P3281)+ROW()/1000000000,"")</f>
        <v/>
      </c>
      <c r="U3281" s="9">
        <f>IF(Q3281="비교",ABS(P3281)+ROW()/1000000000,"")</f>
        <v/>
      </c>
      <c r="V3281" s="64">
        <f>IF($A3281="","",IF(COUNTIF(변동분석!$E$7:$E$506,O3281)&gt;0,"Y","N"))</f>
        <v/>
      </c>
      <c r="W3281" s="64">
        <f>IF($A3281="","",IFERROR(INDEX(계정매핑!$D$5:$D$504,MATCH($F3281&amp;"",계정매핑!$A$5:$A$504,0)),"미매핑"))</f>
        <v/>
      </c>
      <c r="X3281" s="9">
        <f>IF($A3281="","",$F3281&amp;"")</f>
        <v/>
      </c>
      <c r="Y3281" s="94">
        <f>IF($A3281="",0,IF(AE3281="직접",IF(AF3281="비귀속",$P3281,0),$P3281*(1-AG3281)*IFERROR(INDEX(계정대체기준!$F$20:$F$49,MATCH($N3281,계정대체기준!$A$20:$A$49,0)),1)))</f>
        <v/>
      </c>
      <c r="Z3281" s="94">
        <f>IF($A3281="",0,IF(AE3281="직접",IF(AF3281="신계약비",$P3281,0),$P3281*(1-AG3281)*IFERROR(INDEX(계정대체기준!$C$20:$C$49,MATCH($N3281,계정대체기준!$A$20:$A$49,0)),0)))</f>
        <v/>
      </c>
      <c r="AA3281" s="94">
        <f>IF($A3281="",0,IF(AE3281="직접",IF(OR(AF3281="유지비",AF3281="손해조사비"),$P3281,0),$P3281*(1-AG3281)*IFERROR(INDEX(계정대체기준!$D$20:$D$49,MATCH($N3281,계정대체기준!$A$20:$A$49,0)),0)))</f>
        <v/>
      </c>
      <c r="AB3281" s="94">
        <f>IF($A3281="",0,IF(AE3281="직접",IF(AF3281="수금비",$P3281,0),$P3281*(1-AG3281)*IFERROR(INDEX(계정대체기준!$E$20:$E$49,MATCH($N3281,계정대체기준!$A$20:$A$49,0)),0)))</f>
        <v/>
      </c>
      <c r="AC3281" s="9">
        <f>IF(AND($A3281&lt;&gt;"",M3281=설정!$C$20,Z3281&gt;0),Z3281+ROW()/1000000000,"")</f>
        <v/>
      </c>
      <c r="AD3281" s="94">
        <f>IF($A3281="",0,$P3281*AG3281)</f>
        <v/>
      </c>
      <c r="AE3281" s="64">
        <f>IF($A3281="","",IFERROR(INDEX(계정매핑!$E$5:$E$504,MATCH($F3281&amp;"",계정매핑!$A$5:$A$504,0))&amp;"","공통비"))</f>
        <v/>
      </c>
      <c r="AF3281" s="64">
        <f>IF($A3281="","",IF(AE3281="직접",IFERROR(INDEX(계정매핑!$F$5:$F$504,MATCH($F3281&amp;"",계정매핑!$A$5:$A$504,0))&amp;"","비귀속"),""))</f>
        <v/>
      </c>
      <c r="AG3281" s="96">
        <f>IF($A3281="",0,IF(AND(AE3281&lt;&gt;"직접",IFERROR(INDEX(계정매핑!$G$5:$G$504,MATCH($F3281&amp;"",계정매핑!$A$5:$A$504,0))&amp;"","")="유지비",COUNTIF(계정대체기준!$A$6:$A$15,$N3281)&gt;0),IFERROR(INDEX(계정대체기준!$E$6:$E$15,MATCH(VALUE($A3281&amp;""),계정대체기준!$D$6:$D$15,0)),0),0))</f>
        <v/>
      </c>
      <c r="AH3281" s="64">
        <f>IF($A3281="","",IF(AD3281=0,"",IF(OR(COUNTIF(계정대체기준!$A$77:$A$86,$N3281)&gt;0,ISNUMBER(MATCH($X3281,계정대체기준!$D$77:$D$86,0)),ISNUMBER(MATCH($F3281,계정대체기준!$D$77:$D$86,0))),"Y","N")))</f>
        <v/>
      </c>
    </row>
    <row r="3282">
      <c r="A3282" s="92" t="n">
        <v>2026</v>
      </c>
      <c r="B3282" s="92" t="n">
        <v>3</v>
      </c>
      <c r="C3282" s="92" t="inlineStr">
        <is>
          <t>5100000560</t>
        </is>
      </c>
      <c r="D3282" s="95" t="n">
        <v>46094</v>
      </c>
      <c r="E3282" s="92" t="inlineStr">
        <is>
          <t>KR</t>
        </is>
      </c>
      <c r="F3282" s="92" t="n">
        <v>62902000</v>
      </c>
      <c r="G3282" s="92" t="n">
        <v>1101</v>
      </c>
      <c r="H3282" s="93" t="n">
        <v>1870000</v>
      </c>
      <c r="I3282" s="92" t="inlineStr">
        <is>
          <t>3월 업무 위탁 수수료 - J콜센터</t>
        </is>
      </c>
      <c r="J3282" s="92" t="inlineStr">
        <is>
          <t>V10016</t>
        </is>
      </c>
      <c r="K3282" s="92" t="inlineStr">
        <is>
          <t>J콜센터</t>
        </is>
      </c>
      <c r="M3282" s="9">
        <f>IF($A3282="","",VALUE($A3282&amp;"")*12+VALUE($B3282&amp;""))</f>
        <v/>
      </c>
      <c r="N3282" s="64">
        <f>IF($A3282="","",IFERROR(INDEX(부서매핑!$C$5:$C$504,MATCH($G3282&amp;"",부서매핑!$A$5:$A$504,0)),"미매핑"))</f>
        <v/>
      </c>
      <c r="O3282" s="9">
        <f>IF($A3282="","",N3282&amp;"|"&amp;$F3282)</f>
        <v/>
      </c>
      <c r="P3282" s="94">
        <f>IF($A3282="",0,$H3282*설정!$C$23)</f>
        <v/>
      </c>
      <c r="Q3282" s="64">
        <f>IF($A3282="","",IF(O3282&lt;&gt;원인분석!$C$9,"",IF(AND(M3282&gt;=원인분석!$C$10,M3282&lt;=원인분석!$C$11),"당기",IF(AND(M3282&gt;=원인분석!$C$12,M3282&lt;=원인분석!$C$13),"비교",""))))</f>
        <v/>
      </c>
      <c r="R3282" s="9">
        <f>IF(Q3282="","",$K3282&amp;"")</f>
        <v/>
      </c>
      <c r="S3282" s="9">
        <f>IF(Q3282="","",IF(MATCH(R3282,$R$5:$R$100000,0)=ROW()-4,ROW(),""))</f>
        <v/>
      </c>
      <c r="T3282" s="9">
        <f>IF(Q3282="당기",ABS(P3282)+ROW()/1000000000,"")</f>
        <v/>
      </c>
      <c r="U3282" s="9">
        <f>IF(Q3282="비교",ABS(P3282)+ROW()/1000000000,"")</f>
        <v/>
      </c>
      <c r="V3282" s="64">
        <f>IF($A3282="","",IF(COUNTIF(변동분석!$E$7:$E$506,O3282)&gt;0,"Y","N"))</f>
        <v/>
      </c>
      <c r="W3282" s="64">
        <f>IF($A3282="","",IFERROR(INDEX(계정매핑!$D$5:$D$504,MATCH($F3282&amp;"",계정매핑!$A$5:$A$504,0)),"미매핑"))</f>
        <v/>
      </c>
      <c r="X3282" s="9">
        <f>IF($A3282="","",$F3282&amp;"")</f>
        <v/>
      </c>
      <c r="Y3282" s="94">
        <f>IF($A3282="",0,IF(AE3282="직접",IF(AF3282="비귀속",$P3282,0),$P3282*(1-AG3282)*IFERROR(INDEX(계정대체기준!$F$20:$F$49,MATCH($N3282,계정대체기준!$A$20:$A$49,0)),1)))</f>
        <v/>
      </c>
      <c r="Z3282" s="94">
        <f>IF($A3282="",0,IF(AE3282="직접",IF(AF3282="신계약비",$P3282,0),$P3282*(1-AG3282)*IFERROR(INDEX(계정대체기준!$C$20:$C$49,MATCH($N3282,계정대체기준!$A$20:$A$49,0)),0)))</f>
        <v/>
      </c>
      <c r="AA3282" s="94">
        <f>IF($A3282="",0,IF(AE3282="직접",IF(OR(AF3282="유지비",AF3282="손해조사비"),$P3282,0),$P3282*(1-AG3282)*IFERROR(INDEX(계정대체기준!$D$20:$D$49,MATCH($N3282,계정대체기준!$A$20:$A$49,0)),0)))</f>
        <v/>
      </c>
      <c r="AB3282" s="94">
        <f>IF($A3282="",0,IF(AE3282="직접",IF(AF3282="수금비",$P3282,0),$P3282*(1-AG3282)*IFERROR(INDEX(계정대체기준!$E$20:$E$49,MATCH($N3282,계정대체기준!$A$20:$A$49,0)),0)))</f>
        <v/>
      </c>
      <c r="AC3282" s="9">
        <f>IF(AND($A3282&lt;&gt;"",M3282=설정!$C$20,Z3282&gt;0),Z3282+ROW()/1000000000,"")</f>
        <v/>
      </c>
      <c r="AD3282" s="94">
        <f>IF($A3282="",0,$P3282*AG3282)</f>
        <v/>
      </c>
      <c r="AE3282" s="64">
        <f>IF($A3282="","",IFERROR(INDEX(계정매핑!$E$5:$E$504,MATCH($F3282&amp;"",계정매핑!$A$5:$A$504,0))&amp;"","공통비"))</f>
        <v/>
      </c>
      <c r="AF3282" s="64">
        <f>IF($A3282="","",IF(AE3282="직접",IFERROR(INDEX(계정매핑!$F$5:$F$504,MATCH($F3282&amp;"",계정매핑!$A$5:$A$504,0))&amp;"","비귀속"),""))</f>
        <v/>
      </c>
      <c r="AG3282" s="96">
        <f>IF($A3282="",0,IF(AND(AE3282&lt;&gt;"직접",IFERROR(INDEX(계정매핑!$G$5:$G$504,MATCH($F3282&amp;"",계정매핑!$A$5:$A$504,0))&amp;"","")="유지비",COUNTIF(계정대체기준!$A$6:$A$15,$N3282)&gt;0),IFERROR(INDEX(계정대체기준!$E$6:$E$15,MATCH(VALUE($A3282&amp;""),계정대체기준!$D$6:$D$15,0)),0),0))</f>
        <v/>
      </c>
      <c r="AH3282" s="64">
        <f>IF($A3282="","",IF(AD3282=0,"",IF(OR(COUNTIF(계정대체기준!$A$77:$A$86,$N3282)&gt;0,ISNUMBER(MATCH($X3282,계정대체기준!$D$77:$D$86,0)),ISNUMBER(MATCH($F3282,계정대체기준!$D$77:$D$86,0))),"Y","N")))</f>
        <v/>
      </c>
    </row>
    <row r="3283">
      <c r="A3283" s="92" t="n">
        <v>2026</v>
      </c>
      <c r="B3283" s="92" t="n">
        <v>3</v>
      </c>
      <c r="C3283" s="92" t="inlineStr">
        <is>
          <t>5100000561</t>
        </is>
      </c>
      <c r="D3283" s="95" t="n">
        <v>46094</v>
      </c>
      <c r="E3283" s="92" t="inlineStr">
        <is>
          <t>KR</t>
        </is>
      </c>
      <c r="F3283" s="92" t="n">
        <v>62902000</v>
      </c>
      <c r="G3283" s="92" t="n">
        <v>1801</v>
      </c>
      <c r="H3283" s="93" t="n">
        <v>1754000</v>
      </c>
      <c r="I3283" s="92" t="inlineStr">
        <is>
          <t>3월 콜 위탁 수수료(건별)</t>
        </is>
      </c>
      <c r="J3283" s="92" t="inlineStr">
        <is>
          <t>V10016</t>
        </is>
      </c>
      <c r="K3283" s="92" t="inlineStr">
        <is>
          <t>J콜센터</t>
        </is>
      </c>
      <c r="M3283" s="9">
        <f>IF($A3283="","",VALUE($A3283&amp;"")*12+VALUE($B3283&amp;""))</f>
        <v/>
      </c>
      <c r="N3283" s="64">
        <f>IF($A3283="","",IFERROR(INDEX(부서매핑!$C$5:$C$504,MATCH($G3283&amp;"",부서매핑!$A$5:$A$504,0)),"미매핑"))</f>
        <v/>
      </c>
      <c r="O3283" s="9">
        <f>IF($A3283="","",N3283&amp;"|"&amp;$F3283)</f>
        <v/>
      </c>
      <c r="P3283" s="94">
        <f>IF($A3283="",0,$H3283*설정!$C$23)</f>
        <v/>
      </c>
      <c r="Q3283" s="64">
        <f>IF($A3283="","",IF(O3283&lt;&gt;원인분석!$C$9,"",IF(AND(M3283&gt;=원인분석!$C$10,M3283&lt;=원인분석!$C$11),"당기",IF(AND(M3283&gt;=원인분석!$C$12,M3283&lt;=원인분석!$C$13),"비교",""))))</f>
        <v/>
      </c>
      <c r="R3283" s="9">
        <f>IF(Q3283="","",$K3283&amp;"")</f>
        <v/>
      </c>
      <c r="S3283" s="9">
        <f>IF(Q3283="","",IF(MATCH(R3283,$R$5:$R$100000,0)=ROW()-4,ROW(),""))</f>
        <v/>
      </c>
      <c r="T3283" s="9">
        <f>IF(Q3283="당기",ABS(P3283)+ROW()/1000000000,"")</f>
        <v/>
      </c>
      <c r="U3283" s="9">
        <f>IF(Q3283="비교",ABS(P3283)+ROW()/1000000000,"")</f>
        <v/>
      </c>
      <c r="V3283" s="64">
        <f>IF($A3283="","",IF(COUNTIF(변동분석!$E$7:$E$506,O3283)&gt;0,"Y","N"))</f>
        <v/>
      </c>
      <c r="W3283" s="64">
        <f>IF($A3283="","",IFERROR(INDEX(계정매핑!$D$5:$D$504,MATCH($F3283&amp;"",계정매핑!$A$5:$A$504,0)),"미매핑"))</f>
        <v/>
      </c>
      <c r="X3283" s="9">
        <f>IF($A3283="","",$F3283&amp;"")</f>
        <v/>
      </c>
      <c r="Y3283" s="94">
        <f>IF($A3283="",0,IF(AE3283="직접",IF(AF3283="비귀속",$P3283,0),$P3283*(1-AG3283)*IFERROR(INDEX(계정대체기준!$F$20:$F$49,MATCH($N3283,계정대체기준!$A$20:$A$49,0)),1)))</f>
        <v/>
      </c>
      <c r="Z3283" s="94">
        <f>IF($A3283="",0,IF(AE3283="직접",IF(AF3283="신계약비",$P3283,0),$P3283*(1-AG3283)*IFERROR(INDEX(계정대체기준!$C$20:$C$49,MATCH($N3283,계정대체기준!$A$20:$A$49,0)),0)))</f>
        <v/>
      </c>
      <c r="AA3283" s="94">
        <f>IF($A3283="",0,IF(AE3283="직접",IF(OR(AF3283="유지비",AF3283="손해조사비"),$P3283,0),$P3283*(1-AG3283)*IFERROR(INDEX(계정대체기준!$D$20:$D$49,MATCH($N3283,계정대체기준!$A$20:$A$49,0)),0)))</f>
        <v/>
      </c>
      <c r="AB3283" s="94">
        <f>IF($A3283="",0,IF(AE3283="직접",IF(AF3283="수금비",$P3283,0),$P3283*(1-AG3283)*IFERROR(INDEX(계정대체기준!$E$20:$E$49,MATCH($N3283,계정대체기준!$A$20:$A$49,0)),0)))</f>
        <v/>
      </c>
      <c r="AC3283" s="9">
        <f>IF(AND($A3283&lt;&gt;"",M3283=설정!$C$20,Z3283&gt;0),Z3283+ROW()/1000000000,"")</f>
        <v/>
      </c>
      <c r="AD3283" s="94">
        <f>IF($A3283="",0,$P3283*AG3283)</f>
        <v/>
      </c>
      <c r="AE3283" s="64">
        <f>IF($A3283="","",IFERROR(INDEX(계정매핑!$E$5:$E$504,MATCH($F3283&amp;"",계정매핑!$A$5:$A$504,0))&amp;"","공통비"))</f>
        <v/>
      </c>
      <c r="AF3283" s="64">
        <f>IF($A3283="","",IF(AE3283="직접",IFERROR(INDEX(계정매핑!$F$5:$F$504,MATCH($F3283&amp;"",계정매핑!$A$5:$A$504,0))&amp;"","비귀속"),""))</f>
        <v/>
      </c>
      <c r="AG3283" s="96">
        <f>IF($A3283="",0,IF(AND(AE3283&lt;&gt;"직접",IFERROR(INDEX(계정매핑!$G$5:$G$504,MATCH($F3283&amp;"",계정매핑!$A$5:$A$504,0))&amp;"","")="유지비",COUNTIF(계정대체기준!$A$6:$A$15,$N3283)&gt;0),IFERROR(INDEX(계정대체기준!$E$6:$E$15,MATCH(VALUE($A3283&amp;""),계정대체기준!$D$6:$D$15,0)),0),0))</f>
        <v/>
      </c>
      <c r="AH3283" s="64">
        <f>IF($A3283="","",IF(AD3283=0,"",IF(OR(COUNTIF(계정대체기준!$A$77:$A$86,$N3283)&gt;0,ISNUMBER(MATCH($X3283,계정대체기준!$D$77:$D$86,0)),ISNUMBER(MATCH($F3283,계정대체기준!$D$77:$D$86,0))),"Y","N")))</f>
        <v/>
      </c>
    </row>
    <row r="3284">
      <c r="A3284" s="92" t="n">
        <v>2026</v>
      </c>
      <c r="B3284" s="92" t="n">
        <v>3</v>
      </c>
      <c r="C3284" s="92" t="inlineStr">
        <is>
          <t>5100000562</t>
        </is>
      </c>
      <c r="D3284" s="95" t="n">
        <v>46094</v>
      </c>
      <c r="E3284" s="92" t="inlineStr">
        <is>
          <t>KR</t>
        </is>
      </c>
      <c r="F3284" s="92" t="n">
        <v>63001000</v>
      </c>
      <c r="G3284" s="92" t="n">
        <v>1951</v>
      </c>
      <c r="H3284" s="93" t="n">
        <v>3213000</v>
      </c>
      <c r="I3284" s="92" t="inlineStr">
        <is>
          <t>3월 SW 유지보수 - Y소프트</t>
        </is>
      </c>
      <c r="J3284" s="92" t="inlineStr">
        <is>
          <t>V10017</t>
        </is>
      </c>
      <c r="K3284" s="92" t="inlineStr">
        <is>
          <t>Y소프트</t>
        </is>
      </c>
      <c r="M3284" s="9">
        <f>IF($A3284="","",VALUE($A3284&amp;"")*12+VALUE($B3284&amp;""))</f>
        <v/>
      </c>
      <c r="N3284" s="64">
        <f>IF($A3284="","",IFERROR(INDEX(부서매핑!$C$5:$C$504,MATCH($G3284&amp;"",부서매핑!$A$5:$A$504,0)),"미매핑"))</f>
        <v/>
      </c>
      <c r="O3284" s="9">
        <f>IF($A3284="","",N3284&amp;"|"&amp;$F3284)</f>
        <v/>
      </c>
      <c r="P3284" s="94">
        <f>IF($A3284="",0,$H3284*설정!$C$23)</f>
        <v/>
      </c>
      <c r="Q3284" s="64">
        <f>IF($A3284="","",IF(O3284&lt;&gt;원인분석!$C$9,"",IF(AND(M3284&gt;=원인분석!$C$10,M3284&lt;=원인분석!$C$11),"당기",IF(AND(M3284&gt;=원인분석!$C$12,M3284&lt;=원인분석!$C$13),"비교",""))))</f>
        <v/>
      </c>
      <c r="R3284" s="9">
        <f>IF(Q3284="","",$K3284&amp;"")</f>
        <v/>
      </c>
      <c r="S3284" s="9">
        <f>IF(Q3284="","",IF(MATCH(R3284,$R$5:$R$100000,0)=ROW()-4,ROW(),""))</f>
        <v/>
      </c>
      <c r="T3284" s="9">
        <f>IF(Q3284="당기",ABS(P3284)+ROW()/1000000000,"")</f>
        <v/>
      </c>
      <c r="U3284" s="9">
        <f>IF(Q3284="비교",ABS(P3284)+ROW()/1000000000,"")</f>
        <v/>
      </c>
      <c r="V3284" s="64">
        <f>IF($A3284="","",IF(COUNTIF(변동분석!$E$7:$E$506,O3284)&gt;0,"Y","N"))</f>
        <v/>
      </c>
      <c r="W3284" s="64">
        <f>IF($A3284="","",IFERROR(INDEX(계정매핑!$D$5:$D$504,MATCH($F3284&amp;"",계정매핑!$A$5:$A$504,0)),"미매핑"))</f>
        <v/>
      </c>
      <c r="X3284" s="9">
        <f>IF($A3284="","",$F3284&amp;"")</f>
        <v/>
      </c>
      <c r="Y3284" s="94">
        <f>IF($A3284="",0,IF(AE3284="직접",IF(AF3284="비귀속",$P3284,0),$P3284*(1-AG3284)*IFERROR(INDEX(계정대체기준!$F$20:$F$49,MATCH($N3284,계정대체기준!$A$20:$A$49,0)),1)))</f>
        <v/>
      </c>
      <c r="Z3284" s="94">
        <f>IF($A3284="",0,IF(AE3284="직접",IF(AF3284="신계약비",$P3284,0),$P3284*(1-AG3284)*IFERROR(INDEX(계정대체기준!$C$20:$C$49,MATCH($N3284,계정대체기준!$A$20:$A$49,0)),0)))</f>
        <v/>
      </c>
      <c r="AA3284" s="94">
        <f>IF($A3284="",0,IF(AE3284="직접",IF(OR(AF3284="유지비",AF3284="손해조사비"),$P3284,0),$P3284*(1-AG3284)*IFERROR(INDEX(계정대체기준!$D$20:$D$49,MATCH($N3284,계정대체기준!$A$20:$A$49,0)),0)))</f>
        <v/>
      </c>
      <c r="AB3284" s="94">
        <f>IF($A3284="",0,IF(AE3284="직접",IF(AF3284="수금비",$P3284,0),$P3284*(1-AG3284)*IFERROR(INDEX(계정대체기준!$E$20:$E$49,MATCH($N3284,계정대체기준!$A$20:$A$49,0)),0)))</f>
        <v/>
      </c>
      <c r="AC3284" s="9">
        <f>IF(AND($A3284&lt;&gt;"",M3284=설정!$C$20,Z3284&gt;0),Z3284+ROW()/1000000000,"")</f>
        <v/>
      </c>
      <c r="AD3284" s="94">
        <f>IF($A3284="",0,$P3284*AG3284)</f>
        <v/>
      </c>
      <c r="AE3284" s="64">
        <f>IF($A3284="","",IFERROR(INDEX(계정매핑!$E$5:$E$504,MATCH($F3284&amp;"",계정매핑!$A$5:$A$504,0))&amp;"","공통비"))</f>
        <v/>
      </c>
      <c r="AF3284" s="64">
        <f>IF($A3284="","",IF(AE3284="직접",IFERROR(INDEX(계정매핑!$F$5:$F$504,MATCH($F3284&amp;"",계정매핑!$A$5:$A$504,0))&amp;"","비귀속"),""))</f>
        <v/>
      </c>
      <c r="AG3284" s="96">
        <f>IF($A3284="",0,IF(AND(AE3284&lt;&gt;"직접",IFERROR(INDEX(계정매핑!$G$5:$G$504,MATCH($F3284&amp;"",계정매핑!$A$5:$A$504,0))&amp;"","")="유지비",COUNTIF(계정대체기준!$A$6:$A$15,$N3284)&gt;0),IFERROR(INDEX(계정대체기준!$E$6:$E$15,MATCH(VALUE($A3284&amp;""),계정대체기준!$D$6:$D$15,0)),0),0))</f>
        <v/>
      </c>
      <c r="AH3284" s="64">
        <f>IF($A3284="","",IF(AD3284=0,"",IF(OR(COUNTIF(계정대체기준!$A$77:$A$86,$N3284)&gt;0,ISNUMBER(MATCH($X3284,계정대체기준!$D$77:$D$86,0)),ISNUMBER(MATCH($F3284,계정대체기준!$D$77:$D$86,0))),"Y","N")))</f>
        <v/>
      </c>
    </row>
    <row r="3285">
      <c r="A3285" s="92" t="n">
        <v>2026</v>
      </c>
      <c r="B3285" s="92" t="n">
        <v>3</v>
      </c>
      <c r="C3285" s="92" t="inlineStr">
        <is>
          <t>5100000563</t>
        </is>
      </c>
      <c r="D3285" s="95" t="n">
        <v>46095</v>
      </c>
      <c r="E3285" s="92" t="inlineStr">
        <is>
          <t>KR</t>
        </is>
      </c>
      <c r="F3285" s="92" t="n">
        <v>62101000</v>
      </c>
      <c r="G3285" s="92" t="n">
        <v>1502</v>
      </c>
      <c r="H3285" s="93" t="n">
        <v>694000</v>
      </c>
      <c r="I3285" s="92" t="inlineStr">
        <is>
          <t>3월 국내출장 - M항공</t>
        </is>
      </c>
      <c r="J3285" s="92" t="inlineStr">
        <is>
          <t>V10001</t>
        </is>
      </c>
      <c r="K3285" s="92" t="inlineStr">
        <is>
          <t>M항공</t>
        </is>
      </c>
      <c r="M3285" s="9">
        <f>IF($A3285="","",VALUE($A3285&amp;"")*12+VALUE($B3285&amp;""))</f>
        <v/>
      </c>
      <c r="N3285" s="64">
        <f>IF($A3285="","",IFERROR(INDEX(부서매핑!$C$5:$C$504,MATCH($G3285&amp;"",부서매핑!$A$5:$A$504,0)),"미매핑"))</f>
        <v/>
      </c>
      <c r="O3285" s="9">
        <f>IF($A3285="","",N3285&amp;"|"&amp;$F3285)</f>
        <v/>
      </c>
      <c r="P3285" s="94">
        <f>IF($A3285="",0,$H3285*설정!$C$23)</f>
        <v/>
      </c>
      <c r="Q3285" s="64">
        <f>IF($A3285="","",IF(O3285&lt;&gt;원인분석!$C$9,"",IF(AND(M3285&gt;=원인분석!$C$10,M3285&lt;=원인분석!$C$11),"당기",IF(AND(M3285&gt;=원인분석!$C$12,M3285&lt;=원인분석!$C$13),"비교",""))))</f>
        <v/>
      </c>
      <c r="R3285" s="9">
        <f>IF(Q3285="","",$K3285&amp;"")</f>
        <v/>
      </c>
      <c r="S3285" s="9">
        <f>IF(Q3285="","",IF(MATCH(R3285,$R$5:$R$100000,0)=ROW()-4,ROW(),""))</f>
        <v/>
      </c>
      <c r="T3285" s="9">
        <f>IF(Q3285="당기",ABS(P3285)+ROW()/1000000000,"")</f>
        <v/>
      </c>
      <c r="U3285" s="9">
        <f>IF(Q3285="비교",ABS(P3285)+ROW()/1000000000,"")</f>
        <v/>
      </c>
      <c r="V3285" s="64">
        <f>IF($A3285="","",IF(COUNTIF(변동분석!$E$7:$E$506,O3285)&gt;0,"Y","N"))</f>
        <v/>
      </c>
      <c r="W3285" s="64">
        <f>IF($A3285="","",IFERROR(INDEX(계정매핑!$D$5:$D$504,MATCH($F3285&amp;"",계정매핑!$A$5:$A$504,0)),"미매핑"))</f>
        <v/>
      </c>
      <c r="X3285" s="9">
        <f>IF($A3285="","",$F3285&amp;"")</f>
        <v/>
      </c>
      <c r="Y3285" s="94">
        <f>IF($A3285="",0,IF(AE3285="직접",IF(AF3285="비귀속",$P3285,0),$P3285*(1-AG3285)*IFERROR(INDEX(계정대체기준!$F$20:$F$49,MATCH($N3285,계정대체기준!$A$20:$A$49,0)),1)))</f>
        <v/>
      </c>
      <c r="Z3285" s="94">
        <f>IF($A3285="",0,IF(AE3285="직접",IF(AF3285="신계약비",$P3285,0),$P3285*(1-AG3285)*IFERROR(INDEX(계정대체기준!$C$20:$C$49,MATCH($N3285,계정대체기준!$A$20:$A$49,0)),0)))</f>
        <v/>
      </c>
      <c r="AA3285" s="94">
        <f>IF($A3285="",0,IF(AE3285="직접",IF(OR(AF3285="유지비",AF3285="손해조사비"),$P3285,0),$P3285*(1-AG3285)*IFERROR(INDEX(계정대체기준!$D$20:$D$49,MATCH($N3285,계정대체기준!$A$20:$A$49,0)),0)))</f>
        <v/>
      </c>
      <c r="AB3285" s="94">
        <f>IF($A3285="",0,IF(AE3285="직접",IF(AF3285="수금비",$P3285,0),$P3285*(1-AG3285)*IFERROR(INDEX(계정대체기준!$E$20:$E$49,MATCH($N3285,계정대체기준!$A$20:$A$49,0)),0)))</f>
        <v/>
      </c>
      <c r="AC3285" s="9">
        <f>IF(AND($A3285&lt;&gt;"",M3285=설정!$C$20,Z3285&gt;0),Z3285+ROW()/1000000000,"")</f>
        <v/>
      </c>
      <c r="AD3285" s="94">
        <f>IF($A3285="",0,$P3285*AG3285)</f>
        <v/>
      </c>
      <c r="AE3285" s="64">
        <f>IF($A3285="","",IFERROR(INDEX(계정매핑!$E$5:$E$504,MATCH($F3285&amp;"",계정매핑!$A$5:$A$504,0))&amp;"","공통비"))</f>
        <v/>
      </c>
      <c r="AF3285" s="64">
        <f>IF($A3285="","",IF(AE3285="직접",IFERROR(INDEX(계정매핑!$F$5:$F$504,MATCH($F3285&amp;"",계정매핑!$A$5:$A$504,0))&amp;"","비귀속"),""))</f>
        <v/>
      </c>
      <c r="AG3285" s="96">
        <f>IF($A3285="",0,IF(AND(AE3285&lt;&gt;"직접",IFERROR(INDEX(계정매핑!$G$5:$G$504,MATCH($F3285&amp;"",계정매핑!$A$5:$A$504,0))&amp;"","")="유지비",COUNTIF(계정대체기준!$A$6:$A$15,$N3285)&gt;0),IFERROR(INDEX(계정대체기준!$E$6:$E$15,MATCH(VALUE($A3285&amp;""),계정대체기준!$D$6:$D$15,0)),0),0))</f>
        <v/>
      </c>
      <c r="AH3285" s="64">
        <f>IF($A3285="","",IF(AD3285=0,"",IF(OR(COUNTIF(계정대체기준!$A$77:$A$86,$N3285)&gt;0,ISNUMBER(MATCH($X3285,계정대체기준!$D$77:$D$86,0)),ISNUMBER(MATCH($F3285,계정대체기준!$D$77:$D$86,0))),"Y","N")))</f>
        <v/>
      </c>
    </row>
    <row r="3286">
      <c r="A3286" s="92" t="n">
        <v>2026</v>
      </c>
      <c r="B3286" s="92" t="n">
        <v>3</v>
      </c>
      <c r="C3286" s="92" t="inlineStr">
        <is>
          <t>5100000564</t>
        </is>
      </c>
      <c r="D3286" s="95" t="n">
        <v>46095</v>
      </c>
      <c r="E3286" s="92" t="inlineStr">
        <is>
          <t>KR</t>
        </is>
      </c>
      <c r="F3286" s="92" t="n">
        <v>62102000</v>
      </c>
      <c r="G3286" s="92" t="n">
        <v>1301</v>
      </c>
      <c r="H3286" s="93" t="n">
        <v>69000</v>
      </c>
      <c r="I3286" s="92" t="inlineStr">
        <is>
          <t>3월 해외출장 - M항공</t>
        </is>
      </c>
      <c r="J3286" s="92" t="inlineStr">
        <is>
          <t>V10001</t>
        </is>
      </c>
      <c r="K3286" s="92" t="inlineStr">
        <is>
          <t>M항공</t>
        </is>
      </c>
      <c r="M3286" s="9">
        <f>IF($A3286="","",VALUE($A3286&amp;"")*12+VALUE($B3286&amp;""))</f>
        <v/>
      </c>
      <c r="N3286" s="64">
        <f>IF($A3286="","",IFERROR(INDEX(부서매핑!$C$5:$C$504,MATCH($G3286&amp;"",부서매핑!$A$5:$A$504,0)),"미매핑"))</f>
        <v/>
      </c>
      <c r="O3286" s="9">
        <f>IF($A3286="","",N3286&amp;"|"&amp;$F3286)</f>
        <v/>
      </c>
      <c r="P3286" s="94">
        <f>IF($A3286="",0,$H3286*설정!$C$23)</f>
        <v/>
      </c>
      <c r="Q3286" s="64">
        <f>IF($A3286="","",IF(O3286&lt;&gt;원인분석!$C$9,"",IF(AND(M3286&gt;=원인분석!$C$10,M3286&lt;=원인분석!$C$11),"당기",IF(AND(M3286&gt;=원인분석!$C$12,M3286&lt;=원인분석!$C$13),"비교",""))))</f>
        <v/>
      </c>
      <c r="R3286" s="9">
        <f>IF(Q3286="","",$K3286&amp;"")</f>
        <v/>
      </c>
      <c r="S3286" s="9">
        <f>IF(Q3286="","",IF(MATCH(R3286,$R$5:$R$100000,0)=ROW()-4,ROW(),""))</f>
        <v/>
      </c>
      <c r="T3286" s="9">
        <f>IF(Q3286="당기",ABS(P3286)+ROW()/1000000000,"")</f>
        <v/>
      </c>
      <c r="U3286" s="9">
        <f>IF(Q3286="비교",ABS(P3286)+ROW()/1000000000,"")</f>
        <v/>
      </c>
      <c r="V3286" s="64">
        <f>IF($A3286="","",IF(COUNTIF(변동분석!$E$7:$E$506,O3286)&gt;0,"Y","N"))</f>
        <v/>
      </c>
      <c r="W3286" s="64">
        <f>IF($A3286="","",IFERROR(INDEX(계정매핑!$D$5:$D$504,MATCH($F3286&amp;"",계정매핑!$A$5:$A$504,0)),"미매핑"))</f>
        <v/>
      </c>
      <c r="X3286" s="9">
        <f>IF($A3286="","",$F3286&amp;"")</f>
        <v/>
      </c>
      <c r="Y3286" s="94">
        <f>IF($A3286="",0,IF(AE3286="직접",IF(AF3286="비귀속",$P3286,0),$P3286*(1-AG3286)*IFERROR(INDEX(계정대체기준!$F$20:$F$49,MATCH($N3286,계정대체기준!$A$20:$A$49,0)),1)))</f>
        <v/>
      </c>
      <c r="Z3286" s="94">
        <f>IF($A3286="",0,IF(AE3286="직접",IF(AF3286="신계약비",$P3286,0),$P3286*(1-AG3286)*IFERROR(INDEX(계정대체기준!$C$20:$C$49,MATCH($N3286,계정대체기준!$A$20:$A$49,0)),0)))</f>
        <v/>
      </c>
      <c r="AA3286" s="94">
        <f>IF($A3286="",0,IF(AE3286="직접",IF(OR(AF3286="유지비",AF3286="손해조사비"),$P3286,0),$P3286*(1-AG3286)*IFERROR(INDEX(계정대체기준!$D$20:$D$49,MATCH($N3286,계정대체기준!$A$20:$A$49,0)),0)))</f>
        <v/>
      </c>
      <c r="AB3286" s="94">
        <f>IF($A3286="",0,IF(AE3286="직접",IF(AF3286="수금비",$P3286,0),$P3286*(1-AG3286)*IFERROR(INDEX(계정대체기준!$E$20:$E$49,MATCH($N3286,계정대체기준!$A$20:$A$49,0)),0)))</f>
        <v/>
      </c>
      <c r="AC3286" s="9">
        <f>IF(AND($A3286&lt;&gt;"",M3286=설정!$C$20,Z3286&gt;0),Z3286+ROW()/1000000000,"")</f>
        <v/>
      </c>
      <c r="AD3286" s="94">
        <f>IF($A3286="",0,$P3286*AG3286)</f>
        <v/>
      </c>
      <c r="AE3286" s="64">
        <f>IF($A3286="","",IFERROR(INDEX(계정매핑!$E$5:$E$504,MATCH($F3286&amp;"",계정매핑!$A$5:$A$504,0))&amp;"","공통비"))</f>
        <v/>
      </c>
      <c r="AF3286" s="64">
        <f>IF($A3286="","",IF(AE3286="직접",IFERROR(INDEX(계정매핑!$F$5:$F$504,MATCH($F3286&amp;"",계정매핑!$A$5:$A$504,0))&amp;"","비귀속"),""))</f>
        <v/>
      </c>
      <c r="AG3286" s="96">
        <f>IF($A3286="",0,IF(AND(AE3286&lt;&gt;"직접",IFERROR(INDEX(계정매핑!$G$5:$G$504,MATCH($F3286&amp;"",계정매핑!$A$5:$A$504,0))&amp;"","")="유지비",COUNTIF(계정대체기준!$A$6:$A$15,$N3286)&gt;0),IFERROR(INDEX(계정대체기준!$E$6:$E$15,MATCH(VALUE($A3286&amp;""),계정대체기준!$D$6:$D$15,0)),0),0))</f>
        <v/>
      </c>
      <c r="AH3286" s="64">
        <f>IF($A3286="","",IF(AD3286=0,"",IF(OR(COUNTIF(계정대체기준!$A$77:$A$86,$N3286)&gt;0,ISNUMBER(MATCH($X3286,계정대체기준!$D$77:$D$86,0)),ISNUMBER(MATCH($F3286,계정대체기준!$D$77:$D$86,0))),"Y","N")))</f>
        <v/>
      </c>
    </row>
    <row r="3287">
      <c r="A3287" s="92" t="n">
        <v>2026</v>
      </c>
      <c r="B3287" s="92" t="n">
        <v>3</v>
      </c>
      <c r="C3287" s="92" t="inlineStr">
        <is>
          <t>5100000565</t>
        </is>
      </c>
      <c r="D3287" s="95" t="n">
        <v>46095</v>
      </c>
      <c r="E3287" s="92" t="inlineStr">
        <is>
          <t>KR</t>
        </is>
      </c>
      <c r="F3287" s="92" t="n">
        <v>62201000</v>
      </c>
      <c r="G3287" s="92" t="n">
        <v>1801</v>
      </c>
      <c r="H3287" s="93" t="n">
        <v>4237000</v>
      </c>
      <c r="I3287" s="92" t="inlineStr">
        <is>
          <t>3월 통신요금 - O텔레콤</t>
        </is>
      </c>
      <c r="J3287" s="92" t="inlineStr">
        <is>
          <t>V10002</t>
        </is>
      </c>
      <c r="K3287" s="92" t="inlineStr">
        <is>
          <t>O텔레콤</t>
        </is>
      </c>
      <c r="M3287" s="9">
        <f>IF($A3287="","",VALUE($A3287&amp;"")*12+VALUE($B3287&amp;""))</f>
        <v/>
      </c>
      <c r="N3287" s="64">
        <f>IF($A3287="","",IFERROR(INDEX(부서매핑!$C$5:$C$504,MATCH($G3287&amp;"",부서매핑!$A$5:$A$504,0)),"미매핑"))</f>
        <v/>
      </c>
      <c r="O3287" s="9">
        <f>IF($A3287="","",N3287&amp;"|"&amp;$F3287)</f>
        <v/>
      </c>
      <c r="P3287" s="94">
        <f>IF($A3287="",0,$H3287*설정!$C$23)</f>
        <v/>
      </c>
      <c r="Q3287" s="64">
        <f>IF($A3287="","",IF(O3287&lt;&gt;원인분석!$C$9,"",IF(AND(M3287&gt;=원인분석!$C$10,M3287&lt;=원인분석!$C$11),"당기",IF(AND(M3287&gt;=원인분석!$C$12,M3287&lt;=원인분석!$C$13),"비교",""))))</f>
        <v/>
      </c>
      <c r="R3287" s="9">
        <f>IF(Q3287="","",$K3287&amp;"")</f>
        <v/>
      </c>
      <c r="S3287" s="9">
        <f>IF(Q3287="","",IF(MATCH(R3287,$R$5:$R$100000,0)=ROW()-4,ROW(),""))</f>
        <v/>
      </c>
      <c r="T3287" s="9">
        <f>IF(Q3287="당기",ABS(P3287)+ROW()/1000000000,"")</f>
        <v/>
      </c>
      <c r="U3287" s="9">
        <f>IF(Q3287="비교",ABS(P3287)+ROW()/1000000000,"")</f>
        <v/>
      </c>
      <c r="V3287" s="64">
        <f>IF($A3287="","",IF(COUNTIF(변동분석!$E$7:$E$506,O3287)&gt;0,"Y","N"))</f>
        <v/>
      </c>
      <c r="W3287" s="64">
        <f>IF($A3287="","",IFERROR(INDEX(계정매핑!$D$5:$D$504,MATCH($F3287&amp;"",계정매핑!$A$5:$A$504,0)),"미매핑"))</f>
        <v/>
      </c>
      <c r="X3287" s="9">
        <f>IF($A3287="","",$F3287&amp;"")</f>
        <v/>
      </c>
      <c r="Y3287" s="94">
        <f>IF($A3287="",0,IF(AE3287="직접",IF(AF3287="비귀속",$P3287,0),$P3287*(1-AG3287)*IFERROR(INDEX(계정대체기준!$F$20:$F$49,MATCH($N3287,계정대체기준!$A$20:$A$49,0)),1)))</f>
        <v/>
      </c>
      <c r="Z3287" s="94">
        <f>IF($A3287="",0,IF(AE3287="직접",IF(AF3287="신계약비",$P3287,0),$P3287*(1-AG3287)*IFERROR(INDEX(계정대체기준!$C$20:$C$49,MATCH($N3287,계정대체기준!$A$20:$A$49,0)),0)))</f>
        <v/>
      </c>
      <c r="AA3287" s="94">
        <f>IF($A3287="",0,IF(AE3287="직접",IF(OR(AF3287="유지비",AF3287="손해조사비"),$P3287,0),$P3287*(1-AG3287)*IFERROR(INDEX(계정대체기준!$D$20:$D$49,MATCH($N3287,계정대체기준!$A$20:$A$49,0)),0)))</f>
        <v/>
      </c>
      <c r="AB3287" s="94">
        <f>IF($A3287="",0,IF(AE3287="직접",IF(AF3287="수금비",$P3287,0),$P3287*(1-AG3287)*IFERROR(INDEX(계정대체기준!$E$20:$E$49,MATCH($N3287,계정대체기준!$A$20:$A$49,0)),0)))</f>
        <v/>
      </c>
      <c r="AC3287" s="9">
        <f>IF(AND($A3287&lt;&gt;"",M3287=설정!$C$20,Z3287&gt;0),Z3287+ROW()/1000000000,"")</f>
        <v/>
      </c>
      <c r="AD3287" s="94">
        <f>IF($A3287="",0,$P3287*AG3287)</f>
        <v/>
      </c>
      <c r="AE3287" s="64">
        <f>IF($A3287="","",IFERROR(INDEX(계정매핑!$E$5:$E$504,MATCH($F3287&amp;"",계정매핑!$A$5:$A$504,0))&amp;"","공통비"))</f>
        <v/>
      </c>
      <c r="AF3287" s="64">
        <f>IF($A3287="","",IF(AE3287="직접",IFERROR(INDEX(계정매핑!$F$5:$F$504,MATCH($F3287&amp;"",계정매핑!$A$5:$A$504,0))&amp;"","비귀속"),""))</f>
        <v/>
      </c>
      <c r="AG3287" s="96">
        <f>IF($A3287="",0,IF(AND(AE3287&lt;&gt;"직접",IFERROR(INDEX(계정매핑!$G$5:$G$504,MATCH($F3287&amp;"",계정매핑!$A$5:$A$504,0))&amp;"","")="유지비",COUNTIF(계정대체기준!$A$6:$A$15,$N3287)&gt;0),IFERROR(INDEX(계정대체기준!$E$6:$E$15,MATCH(VALUE($A3287&amp;""),계정대체기준!$D$6:$D$15,0)),0),0))</f>
        <v/>
      </c>
      <c r="AH3287" s="64">
        <f>IF($A3287="","",IF(AD3287=0,"",IF(OR(COUNTIF(계정대체기준!$A$77:$A$86,$N3287)&gt;0,ISNUMBER(MATCH($X3287,계정대체기준!$D$77:$D$86,0)),ISNUMBER(MATCH($F3287,계정대체기준!$D$77:$D$86,0))),"Y","N")))</f>
        <v/>
      </c>
    </row>
    <row r="3288">
      <c r="A3288" s="92" t="n">
        <v>2026</v>
      </c>
      <c r="B3288" s="92" t="n">
        <v>3</v>
      </c>
      <c r="C3288" s="92" t="inlineStr">
        <is>
          <t>5100000566</t>
        </is>
      </c>
      <c r="D3288" s="95" t="n">
        <v>46095</v>
      </c>
      <c r="E3288" s="92" t="inlineStr">
        <is>
          <t>KR</t>
        </is>
      </c>
      <c r="F3288" s="92" t="n">
        <v>62301000</v>
      </c>
      <c r="G3288" s="92" t="n">
        <v>1502</v>
      </c>
      <c r="H3288" s="93" t="n">
        <v>181000</v>
      </c>
      <c r="I3288" s="92" t="inlineStr">
        <is>
          <t>3월 소모품 구입 - R문구</t>
        </is>
      </c>
      <c r="J3288" s="92" t="inlineStr">
        <is>
          <t>V10022</t>
        </is>
      </c>
      <c r="K3288" s="92" t="inlineStr">
        <is>
          <t>R문구</t>
        </is>
      </c>
      <c r="M3288" s="9">
        <f>IF($A3288="","",VALUE($A3288&amp;"")*12+VALUE($B3288&amp;""))</f>
        <v/>
      </c>
      <c r="N3288" s="64">
        <f>IF($A3288="","",IFERROR(INDEX(부서매핑!$C$5:$C$504,MATCH($G3288&amp;"",부서매핑!$A$5:$A$504,0)),"미매핑"))</f>
        <v/>
      </c>
      <c r="O3288" s="9">
        <f>IF($A3288="","",N3288&amp;"|"&amp;$F3288)</f>
        <v/>
      </c>
      <c r="P3288" s="94">
        <f>IF($A3288="",0,$H3288*설정!$C$23)</f>
        <v/>
      </c>
      <c r="Q3288" s="64">
        <f>IF($A3288="","",IF(O3288&lt;&gt;원인분석!$C$9,"",IF(AND(M3288&gt;=원인분석!$C$10,M3288&lt;=원인분석!$C$11),"당기",IF(AND(M3288&gt;=원인분석!$C$12,M3288&lt;=원인분석!$C$13),"비교",""))))</f>
        <v/>
      </c>
      <c r="R3288" s="9">
        <f>IF(Q3288="","",$K3288&amp;"")</f>
        <v/>
      </c>
      <c r="S3288" s="9">
        <f>IF(Q3288="","",IF(MATCH(R3288,$R$5:$R$100000,0)=ROW()-4,ROW(),""))</f>
        <v/>
      </c>
      <c r="T3288" s="9">
        <f>IF(Q3288="당기",ABS(P3288)+ROW()/1000000000,"")</f>
        <v/>
      </c>
      <c r="U3288" s="9">
        <f>IF(Q3288="비교",ABS(P3288)+ROW()/1000000000,"")</f>
        <v/>
      </c>
      <c r="V3288" s="64">
        <f>IF($A3288="","",IF(COUNTIF(변동분석!$E$7:$E$506,O3288)&gt;0,"Y","N"))</f>
        <v/>
      </c>
      <c r="W3288" s="64">
        <f>IF($A3288="","",IFERROR(INDEX(계정매핑!$D$5:$D$504,MATCH($F3288&amp;"",계정매핑!$A$5:$A$504,0)),"미매핑"))</f>
        <v/>
      </c>
      <c r="X3288" s="9">
        <f>IF($A3288="","",$F3288&amp;"")</f>
        <v/>
      </c>
      <c r="Y3288" s="94">
        <f>IF($A3288="",0,IF(AE3288="직접",IF(AF3288="비귀속",$P3288,0),$P3288*(1-AG3288)*IFERROR(INDEX(계정대체기준!$F$20:$F$49,MATCH($N3288,계정대체기준!$A$20:$A$49,0)),1)))</f>
        <v/>
      </c>
      <c r="Z3288" s="94">
        <f>IF($A3288="",0,IF(AE3288="직접",IF(AF3288="신계약비",$P3288,0),$P3288*(1-AG3288)*IFERROR(INDEX(계정대체기준!$C$20:$C$49,MATCH($N3288,계정대체기준!$A$20:$A$49,0)),0)))</f>
        <v/>
      </c>
      <c r="AA3288" s="94">
        <f>IF($A3288="",0,IF(AE3288="직접",IF(OR(AF3288="유지비",AF3288="손해조사비"),$P3288,0),$P3288*(1-AG3288)*IFERROR(INDEX(계정대체기준!$D$20:$D$49,MATCH($N3288,계정대체기준!$A$20:$A$49,0)),0)))</f>
        <v/>
      </c>
      <c r="AB3288" s="94">
        <f>IF($A3288="",0,IF(AE3288="직접",IF(AF3288="수금비",$P3288,0),$P3288*(1-AG3288)*IFERROR(INDEX(계정대체기준!$E$20:$E$49,MATCH($N3288,계정대체기준!$A$20:$A$49,0)),0)))</f>
        <v/>
      </c>
      <c r="AC3288" s="9">
        <f>IF(AND($A3288&lt;&gt;"",M3288=설정!$C$20,Z3288&gt;0),Z3288+ROW()/1000000000,"")</f>
        <v/>
      </c>
      <c r="AD3288" s="94">
        <f>IF($A3288="",0,$P3288*AG3288)</f>
        <v/>
      </c>
      <c r="AE3288" s="64">
        <f>IF($A3288="","",IFERROR(INDEX(계정매핑!$E$5:$E$504,MATCH($F3288&amp;"",계정매핑!$A$5:$A$504,0))&amp;"","공통비"))</f>
        <v/>
      </c>
      <c r="AF3288" s="64">
        <f>IF($A3288="","",IF(AE3288="직접",IFERROR(INDEX(계정매핑!$F$5:$F$504,MATCH($F3288&amp;"",계정매핑!$A$5:$A$504,0))&amp;"","비귀속"),""))</f>
        <v/>
      </c>
      <c r="AG3288" s="96">
        <f>IF($A3288="",0,IF(AND(AE3288&lt;&gt;"직접",IFERROR(INDEX(계정매핑!$G$5:$G$504,MATCH($F3288&amp;"",계정매핑!$A$5:$A$504,0))&amp;"","")="유지비",COUNTIF(계정대체기준!$A$6:$A$15,$N3288)&gt;0),IFERROR(INDEX(계정대체기준!$E$6:$E$15,MATCH(VALUE($A3288&amp;""),계정대체기준!$D$6:$D$15,0)),0),0))</f>
        <v/>
      </c>
      <c r="AH3288" s="64">
        <f>IF($A3288="","",IF(AD3288=0,"",IF(OR(COUNTIF(계정대체기준!$A$77:$A$86,$N3288)&gt;0,ISNUMBER(MATCH($X3288,계정대체기준!$D$77:$D$86,0)),ISNUMBER(MATCH($F3288,계정대체기준!$D$77:$D$86,0))),"Y","N")))</f>
        <v/>
      </c>
    </row>
    <row r="3289">
      <c r="A3289" s="92" t="n">
        <v>2026</v>
      </c>
      <c r="B3289" s="92" t="n">
        <v>3</v>
      </c>
      <c r="C3289" s="92" t="inlineStr">
        <is>
          <t>5100000567</t>
        </is>
      </c>
      <c r="D3289" s="95" t="n">
        <v>46095</v>
      </c>
      <c r="E3289" s="92" t="inlineStr">
        <is>
          <t>KR</t>
        </is>
      </c>
      <c r="F3289" s="92" t="n">
        <v>62301000</v>
      </c>
      <c r="G3289" s="92" t="n">
        <v>1602</v>
      </c>
      <c r="H3289" s="93" t="n">
        <v>293000</v>
      </c>
      <c r="I3289" s="92" t="inlineStr">
        <is>
          <t>3월 소모품 구입 - R문구</t>
        </is>
      </c>
      <c r="J3289" s="92" t="inlineStr">
        <is>
          <t>V10022</t>
        </is>
      </c>
      <c r="K3289" s="92" t="inlineStr">
        <is>
          <t>R문구</t>
        </is>
      </c>
      <c r="M3289" s="9">
        <f>IF($A3289="","",VALUE($A3289&amp;"")*12+VALUE($B3289&amp;""))</f>
        <v/>
      </c>
      <c r="N3289" s="64">
        <f>IF($A3289="","",IFERROR(INDEX(부서매핑!$C$5:$C$504,MATCH($G3289&amp;"",부서매핑!$A$5:$A$504,0)),"미매핑"))</f>
        <v/>
      </c>
      <c r="O3289" s="9">
        <f>IF($A3289="","",N3289&amp;"|"&amp;$F3289)</f>
        <v/>
      </c>
      <c r="P3289" s="94">
        <f>IF($A3289="",0,$H3289*설정!$C$23)</f>
        <v/>
      </c>
      <c r="Q3289" s="64">
        <f>IF($A3289="","",IF(O3289&lt;&gt;원인분석!$C$9,"",IF(AND(M3289&gt;=원인분석!$C$10,M3289&lt;=원인분석!$C$11),"당기",IF(AND(M3289&gt;=원인분석!$C$12,M3289&lt;=원인분석!$C$13),"비교",""))))</f>
        <v/>
      </c>
      <c r="R3289" s="9">
        <f>IF(Q3289="","",$K3289&amp;"")</f>
        <v/>
      </c>
      <c r="S3289" s="9">
        <f>IF(Q3289="","",IF(MATCH(R3289,$R$5:$R$100000,0)=ROW()-4,ROW(),""))</f>
        <v/>
      </c>
      <c r="T3289" s="9">
        <f>IF(Q3289="당기",ABS(P3289)+ROW()/1000000000,"")</f>
        <v/>
      </c>
      <c r="U3289" s="9">
        <f>IF(Q3289="비교",ABS(P3289)+ROW()/1000000000,"")</f>
        <v/>
      </c>
      <c r="V3289" s="64">
        <f>IF($A3289="","",IF(COUNTIF(변동분석!$E$7:$E$506,O3289)&gt;0,"Y","N"))</f>
        <v/>
      </c>
      <c r="W3289" s="64">
        <f>IF($A3289="","",IFERROR(INDEX(계정매핑!$D$5:$D$504,MATCH($F3289&amp;"",계정매핑!$A$5:$A$504,0)),"미매핑"))</f>
        <v/>
      </c>
      <c r="X3289" s="9">
        <f>IF($A3289="","",$F3289&amp;"")</f>
        <v/>
      </c>
      <c r="Y3289" s="94">
        <f>IF($A3289="",0,IF(AE3289="직접",IF(AF3289="비귀속",$P3289,0),$P3289*(1-AG3289)*IFERROR(INDEX(계정대체기준!$F$20:$F$49,MATCH($N3289,계정대체기준!$A$20:$A$49,0)),1)))</f>
        <v/>
      </c>
      <c r="Z3289" s="94">
        <f>IF($A3289="",0,IF(AE3289="직접",IF(AF3289="신계약비",$P3289,0),$P3289*(1-AG3289)*IFERROR(INDEX(계정대체기준!$C$20:$C$49,MATCH($N3289,계정대체기준!$A$20:$A$49,0)),0)))</f>
        <v/>
      </c>
      <c r="AA3289" s="94">
        <f>IF($A3289="",0,IF(AE3289="직접",IF(OR(AF3289="유지비",AF3289="손해조사비"),$P3289,0),$P3289*(1-AG3289)*IFERROR(INDEX(계정대체기준!$D$20:$D$49,MATCH($N3289,계정대체기준!$A$20:$A$49,0)),0)))</f>
        <v/>
      </c>
      <c r="AB3289" s="94">
        <f>IF($A3289="",0,IF(AE3289="직접",IF(AF3289="수금비",$P3289,0),$P3289*(1-AG3289)*IFERROR(INDEX(계정대체기준!$E$20:$E$49,MATCH($N3289,계정대체기준!$A$20:$A$49,0)),0)))</f>
        <v/>
      </c>
      <c r="AC3289" s="9">
        <f>IF(AND($A3289&lt;&gt;"",M3289=설정!$C$20,Z3289&gt;0),Z3289+ROW()/1000000000,"")</f>
        <v/>
      </c>
      <c r="AD3289" s="94">
        <f>IF($A3289="",0,$P3289*AG3289)</f>
        <v/>
      </c>
      <c r="AE3289" s="64">
        <f>IF($A3289="","",IFERROR(INDEX(계정매핑!$E$5:$E$504,MATCH($F3289&amp;"",계정매핑!$A$5:$A$504,0))&amp;"","공통비"))</f>
        <v/>
      </c>
      <c r="AF3289" s="64">
        <f>IF($A3289="","",IF(AE3289="직접",IFERROR(INDEX(계정매핑!$F$5:$F$504,MATCH($F3289&amp;"",계정매핑!$A$5:$A$504,0))&amp;"","비귀속"),""))</f>
        <v/>
      </c>
      <c r="AG3289" s="96">
        <f>IF($A3289="",0,IF(AND(AE3289&lt;&gt;"직접",IFERROR(INDEX(계정매핑!$G$5:$G$504,MATCH($F3289&amp;"",계정매핑!$A$5:$A$504,0))&amp;"","")="유지비",COUNTIF(계정대체기준!$A$6:$A$15,$N3289)&gt;0),IFERROR(INDEX(계정대체기준!$E$6:$E$15,MATCH(VALUE($A3289&amp;""),계정대체기준!$D$6:$D$15,0)),0),0))</f>
        <v/>
      </c>
      <c r="AH3289" s="64">
        <f>IF($A3289="","",IF(AD3289=0,"",IF(OR(COUNTIF(계정대체기준!$A$77:$A$86,$N3289)&gt;0,ISNUMBER(MATCH($X3289,계정대체기준!$D$77:$D$86,0)),ISNUMBER(MATCH($F3289,계정대체기준!$D$77:$D$86,0))),"Y","N")))</f>
        <v/>
      </c>
    </row>
    <row r="3290">
      <c r="A3290" s="92" t="n">
        <v>2026</v>
      </c>
      <c r="B3290" s="92" t="n">
        <v>3</v>
      </c>
      <c r="C3290" s="92" t="inlineStr">
        <is>
          <t>5100000568</t>
        </is>
      </c>
      <c r="D3290" s="95" t="n">
        <v>46095</v>
      </c>
      <c r="E3290" s="92" t="inlineStr">
        <is>
          <t>KR</t>
        </is>
      </c>
      <c r="F3290" s="92" t="n">
        <v>62401000</v>
      </c>
      <c r="G3290" s="92" t="n">
        <v>1501</v>
      </c>
      <c r="H3290" s="93" t="n">
        <v>2101000</v>
      </c>
      <c r="I3290" s="92" t="inlineStr">
        <is>
          <t>3월 인쇄물 제작 - S출판</t>
        </is>
      </c>
      <c r="J3290" s="92" t="inlineStr">
        <is>
          <t>V10015</t>
        </is>
      </c>
      <c r="K3290" s="92" t="inlineStr">
        <is>
          <t>S출판</t>
        </is>
      </c>
      <c r="M3290" s="9">
        <f>IF($A3290="","",VALUE($A3290&amp;"")*12+VALUE($B3290&amp;""))</f>
        <v/>
      </c>
      <c r="N3290" s="64">
        <f>IF($A3290="","",IFERROR(INDEX(부서매핑!$C$5:$C$504,MATCH($G3290&amp;"",부서매핑!$A$5:$A$504,0)),"미매핑"))</f>
        <v/>
      </c>
      <c r="O3290" s="9">
        <f>IF($A3290="","",N3290&amp;"|"&amp;$F3290)</f>
        <v/>
      </c>
      <c r="P3290" s="94">
        <f>IF($A3290="",0,$H3290*설정!$C$23)</f>
        <v/>
      </c>
      <c r="Q3290" s="64">
        <f>IF($A3290="","",IF(O3290&lt;&gt;원인분석!$C$9,"",IF(AND(M3290&gt;=원인분석!$C$10,M3290&lt;=원인분석!$C$11),"당기",IF(AND(M3290&gt;=원인분석!$C$12,M3290&lt;=원인분석!$C$13),"비교",""))))</f>
        <v/>
      </c>
      <c r="R3290" s="9">
        <f>IF(Q3290="","",$K3290&amp;"")</f>
        <v/>
      </c>
      <c r="S3290" s="9">
        <f>IF(Q3290="","",IF(MATCH(R3290,$R$5:$R$100000,0)=ROW()-4,ROW(),""))</f>
        <v/>
      </c>
      <c r="T3290" s="9">
        <f>IF(Q3290="당기",ABS(P3290)+ROW()/1000000000,"")</f>
        <v/>
      </c>
      <c r="U3290" s="9">
        <f>IF(Q3290="비교",ABS(P3290)+ROW()/1000000000,"")</f>
        <v/>
      </c>
      <c r="V3290" s="64">
        <f>IF($A3290="","",IF(COUNTIF(변동분석!$E$7:$E$506,O3290)&gt;0,"Y","N"))</f>
        <v/>
      </c>
      <c r="W3290" s="64">
        <f>IF($A3290="","",IFERROR(INDEX(계정매핑!$D$5:$D$504,MATCH($F3290&amp;"",계정매핑!$A$5:$A$504,0)),"미매핑"))</f>
        <v/>
      </c>
      <c r="X3290" s="9">
        <f>IF($A3290="","",$F3290&amp;"")</f>
        <v/>
      </c>
      <c r="Y3290" s="94">
        <f>IF($A3290="",0,IF(AE3290="직접",IF(AF3290="비귀속",$P3290,0),$P3290*(1-AG3290)*IFERROR(INDEX(계정대체기준!$F$20:$F$49,MATCH($N3290,계정대체기준!$A$20:$A$49,0)),1)))</f>
        <v/>
      </c>
      <c r="Z3290" s="94">
        <f>IF($A3290="",0,IF(AE3290="직접",IF(AF3290="신계약비",$P3290,0),$P3290*(1-AG3290)*IFERROR(INDEX(계정대체기준!$C$20:$C$49,MATCH($N3290,계정대체기준!$A$20:$A$49,0)),0)))</f>
        <v/>
      </c>
      <c r="AA3290" s="94">
        <f>IF($A3290="",0,IF(AE3290="직접",IF(OR(AF3290="유지비",AF3290="손해조사비"),$P3290,0),$P3290*(1-AG3290)*IFERROR(INDEX(계정대체기준!$D$20:$D$49,MATCH($N3290,계정대체기준!$A$20:$A$49,0)),0)))</f>
        <v/>
      </c>
      <c r="AB3290" s="94">
        <f>IF($A3290="",0,IF(AE3290="직접",IF(AF3290="수금비",$P3290,0),$P3290*(1-AG3290)*IFERROR(INDEX(계정대체기준!$E$20:$E$49,MATCH($N3290,계정대체기준!$A$20:$A$49,0)),0)))</f>
        <v/>
      </c>
      <c r="AC3290" s="9">
        <f>IF(AND($A3290&lt;&gt;"",M3290=설정!$C$20,Z3290&gt;0),Z3290+ROW()/1000000000,"")</f>
        <v/>
      </c>
      <c r="AD3290" s="94">
        <f>IF($A3290="",0,$P3290*AG3290)</f>
        <v/>
      </c>
      <c r="AE3290" s="64">
        <f>IF($A3290="","",IFERROR(INDEX(계정매핑!$E$5:$E$504,MATCH($F3290&amp;"",계정매핑!$A$5:$A$504,0))&amp;"","공통비"))</f>
        <v/>
      </c>
      <c r="AF3290" s="64">
        <f>IF($A3290="","",IF(AE3290="직접",IFERROR(INDEX(계정매핑!$F$5:$F$504,MATCH($F3290&amp;"",계정매핑!$A$5:$A$504,0))&amp;"","비귀속"),""))</f>
        <v/>
      </c>
      <c r="AG3290" s="96">
        <f>IF($A3290="",0,IF(AND(AE3290&lt;&gt;"직접",IFERROR(INDEX(계정매핑!$G$5:$G$504,MATCH($F3290&amp;"",계정매핑!$A$5:$A$504,0))&amp;"","")="유지비",COUNTIF(계정대체기준!$A$6:$A$15,$N3290)&gt;0),IFERROR(INDEX(계정대체기준!$E$6:$E$15,MATCH(VALUE($A3290&amp;""),계정대체기준!$D$6:$D$15,0)),0),0))</f>
        <v/>
      </c>
      <c r="AH3290" s="64">
        <f>IF($A3290="","",IF(AD3290=0,"",IF(OR(COUNTIF(계정대체기준!$A$77:$A$86,$N3290)&gt;0,ISNUMBER(MATCH($X3290,계정대체기준!$D$77:$D$86,0)),ISNUMBER(MATCH($F3290,계정대체기준!$D$77:$D$86,0))),"Y","N")))</f>
        <v/>
      </c>
    </row>
    <row r="3291">
      <c r="A3291" s="92" t="n">
        <v>2026</v>
      </c>
      <c r="B3291" s="92" t="n">
        <v>3</v>
      </c>
      <c r="C3291" s="92" t="inlineStr">
        <is>
          <t>5100000569</t>
        </is>
      </c>
      <c r="D3291" s="95" t="n">
        <v>46095</v>
      </c>
      <c r="E3291" s="92" t="inlineStr">
        <is>
          <t>KR</t>
        </is>
      </c>
      <c r="F3291" s="92" t="n">
        <v>62501000</v>
      </c>
      <c r="G3291" s="92" t="n">
        <v>1401</v>
      </c>
      <c r="H3291" s="93" t="n">
        <v>189000</v>
      </c>
      <c r="I3291" s="92" t="inlineStr">
        <is>
          <t>3월 회의 다과 - (법인카드)</t>
        </is>
      </c>
      <c r="J3291" s="92" t="inlineStr">
        <is>
          <t>V10010</t>
        </is>
      </c>
      <c r="K3291" s="92" t="inlineStr">
        <is>
          <t>(법인카드)</t>
        </is>
      </c>
      <c r="M3291" s="9">
        <f>IF($A3291="","",VALUE($A3291&amp;"")*12+VALUE($B3291&amp;""))</f>
        <v/>
      </c>
      <c r="N3291" s="64">
        <f>IF($A3291="","",IFERROR(INDEX(부서매핑!$C$5:$C$504,MATCH($G3291&amp;"",부서매핑!$A$5:$A$504,0)),"미매핑"))</f>
        <v/>
      </c>
      <c r="O3291" s="9">
        <f>IF($A3291="","",N3291&amp;"|"&amp;$F3291)</f>
        <v/>
      </c>
      <c r="P3291" s="94">
        <f>IF($A3291="",0,$H3291*설정!$C$23)</f>
        <v/>
      </c>
      <c r="Q3291" s="64">
        <f>IF($A3291="","",IF(O3291&lt;&gt;원인분석!$C$9,"",IF(AND(M3291&gt;=원인분석!$C$10,M3291&lt;=원인분석!$C$11),"당기",IF(AND(M3291&gt;=원인분석!$C$12,M3291&lt;=원인분석!$C$13),"비교",""))))</f>
        <v/>
      </c>
      <c r="R3291" s="9">
        <f>IF(Q3291="","",$K3291&amp;"")</f>
        <v/>
      </c>
      <c r="S3291" s="9">
        <f>IF(Q3291="","",IF(MATCH(R3291,$R$5:$R$100000,0)=ROW()-4,ROW(),""))</f>
        <v/>
      </c>
      <c r="T3291" s="9">
        <f>IF(Q3291="당기",ABS(P3291)+ROW()/1000000000,"")</f>
        <v/>
      </c>
      <c r="U3291" s="9">
        <f>IF(Q3291="비교",ABS(P3291)+ROW()/1000000000,"")</f>
        <v/>
      </c>
      <c r="V3291" s="64">
        <f>IF($A3291="","",IF(COUNTIF(변동분석!$E$7:$E$506,O3291)&gt;0,"Y","N"))</f>
        <v/>
      </c>
      <c r="W3291" s="64">
        <f>IF($A3291="","",IFERROR(INDEX(계정매핑!$D$5:$D$504,MATCH($F3291&amp;"",계정매핑!$A$5:$A$504,0)),"미매핑"))</f>
        <v/>
      </c>
      <c r="X3291" s="9">
        <f>IF($A3291="","",$F3291&amp;"")</f>
        <v/>
      </c>
      <c r="Y3291" s="94">
        <f>IF($A3291="",0,IF(AE3291="직접",IF(AF3291="비귀속",$P3291,0),$P3291*(1-AG3291)*IFERROR(INDEX(계정대체기준!$F$20:$F$49,MATCH($N3291,계정대체기준!$A$20:$A$49,0)),1)))</f>
        <v/>
      </c>
      <c r="Z3291" s="94">
        <f>IF($A3291="",0,IF(AE3291="직접",IF(AF3291="신계약비",$P3291,0),$P3291*(1-AG3291)*IFERROR(INDEX(계정대체기준!$C$20:$C$49,MATCH($N3291,계정대체기준!$A$20:$A$49,0)),0)))</f>
        <v/>
      </c>
      <c r="AA3291" s="94">
        <f>IF($A3291="",0,IF(AE3291="직접",IF(OR(AF3291="유지비",AF3291="손해조사비"),$P3291,0),$P3291*(1-AG3291)*IFERROR(INDEX(계정대체기준!$D$20:$D$49,MATCH($N3291,계정대체기준!$A$20:$A$49,0)),0)))</f>
        <v/>
      </c>
      <c r="AB3291" s="94">
        <f>IF($A3291="",0,IF(AE3291="직접",IF(AF3291="수금비",$P3291,0),$P3291*(1-AG3291)*IFERROR(INDEX(계정대체기준!$E$20:$E$49,MATCH($N3291,계정대체기준!$A$20:$A$49,0)),0)))</f>
        <v/>
      </c>
      <c r="AC3291" s="9">
        <f>IF(AND($A3291&lt;&gt;"",M3291=설정!$C$20,Z3291&gt;0),Z3291+ROW()/1000000000,"")</f>
        <v/>
      </c>
      <c r="AD3291" s="94">
        <f>IF($A3291="",0,$P3291*AG3291)</f>
        <v/>
      </c>
      <c r="AE3291" s="64">
        <f>IF($A3291="","",IFERROR(INDEX(계정매핑!$E$5:$E$504,MATCH($F3291&amp;"",계정매핑!$A$5:$A$504,0))&amp;"","공통비"))</f>
        <v/>
      </c>
      <c r="AF3291" s="64">
        <f>IF($A3291="","",IF(AE3291="직접",IFERROR(INDEX(계정매핑!$F$5:$F$504,MATCH($F3291&amp;"",계정매핑!$A$5:$A$504,0))&amp;"","비귀속"),""))</f>
        <v/>
      </c>
      <c r="AG3291" s="96">
        <f>IF($A3291="",0,IF(AND(AE3291&lt;&gt;"직접",IFERROR(INDEX(계정매핑!$G$5:$G$504,MATCH($F3291&amp;"",계정매핑!$A$5:$A$504,0))&amp;"","")="유지비",COUNTIF(계정대체기준!$A$6:$A$15,$N3291)&gt;0),IFERROR(INDEX(계정대체기준!$E$6:$E$15,MATCH(VALUE($A3291&amp;""),계정대체기준!$D$6:$D$15,0)),0),0))</f>
        <v/>
      </c>
      <c r="AH3291" s="64">
        <f>IF($A3291="","",IF(AD3291=0,"",IF(OR(COUNTIF(계정대체기준!$A$77:$A$86,$N3291)&gt;0,ISNUMBER(MATCH($X3291,계정대체기준!$D$77:$D$86,0)),ISNUMBER(MATCH($F3291,계정대체기준!$D$77:$D$86,0))),"Y","N")))</f>
        <v/>
      </c>
    </row>
    <row r="3292">
      <c r="A3292" s="92" t="n">
        <v>2026</v>
      </c>
      <c r="B3292" s="92" t="n">
        <v>3</v>
      </c>
      <c r="C3292" s="92" t="inlineStr">
        <is>
          <t>5100000570</t>
        </is>
      </c>
      <c r="D3292" s="95" t="n">
        <v>46095</v>
      </c>
      <c r="E3292" s="92" t="inlineStr">
        <is>
          <t>KR</t>
        </is>
      </c>
      <c r="F3292" s="92" t="n">
        <v>62501000</v>
      </c>
      <c r="G3292" s="92" t="n">
        <v>1501</v>
      </c>
      <c r="H3292" s="93" t="n">
        <v>573000</v>
      </c>
      <c r="I3292" s="92" t="inlineStr">
        <is>
          <t>3월 회의 다과 - T케이터링</t>
        </is>
      </c>
      <c r="J3292" s="92" t="inlineStr">
        <is>
          <t>V10005</t>
        </is>
      </c>
      <c r="K3292" s="92" t="inlineStr">
        <is>
          <t>T케이터링</t>
        </is>
      </c>
      <c r="M3292" s="9">
        <f>IF($A3292="","",VALUE($A3292&amp;"")*12+VALUE($B3292&amp;""))</f>
        <v/>
      </c>
      <c r="N3292" s="64">
        <f>IF($A3292="","",IFERROR(INDEX(부서매핑!$C$5:$C$504,MATCH($G3292&amp;"",부서매핑!$A$5:$A$504,0)),"미매핑"))</f>
        <v/>
      </c>
      <c r="O3292" s="9">
        <f>IF($A3292="","",N3292&amp;"|"&amp;$F3292)</f>
        <v/>
      </c>
      <c r="P3292" s="94">
        <f>IF($A3292="",0,$H3292*설정!$C$23)</f>
        <v/>
      </c>
      <c r="Q3292" s="64">
        <f>IF($A3292="","",IF(O3292&lt;&gt;원인분석!$C$9,"",IF(AND(M3292&gt;=원인분석!$C$10,M3292&lt;=원인분석!$C$11),"당기",IF(AND(M3292&gt;=원인분석!$C$12,M3292&lt;=원인분석!$C$13),"비교",""))))</f>
        <v/>
      </c>
      <c r="R3292" s="9">
        <f>IF(Q3292="","",$K3292&amp;"")</f>
        <v/>
      </c>
      <c r="S3292" s="9">
        <f>IF(Q3292="","",IF(MATCH(R3292,$R$5:$R$100000,0)=ROW()-4,ROW(),""))</f>
        <v/>
      </c>
      <c r="T3292" s="9">
        <f>IF(Q3292="당기",ABS(P3292)+ROW()/1000000000,"")</f>
        <v/>
      </c>
      <c r="U3292" s="9">
        <f>IF(Q3292="비교",ABS(P3292)+ROW()/1000000000,"")</f>
        <v/>
      </c>
      <c r="V3292" s="64">
        <f>IF($A3292="","",IF(COUNTIF(변동분석!$E$7:$E$506,O3292)&gt;0,"Y","N"))</f>
        <v/>
      </c>
      <c r="W3292" s="64">
        <f>IF($A3292="","",IFERROR(INDEX(계정매핑!$D$5:$D$504,MATCH($F3292&amp;"",계정매핑!$A$5:$A$504,0)),"미매핑"))</f>
        <v/>
      </c>
      <c r="X3292" s="9">
        <f>IF($A3292="","",$F3292&amp;"")</f>
        <v/>
      </c>
      <c r="Y3292" s="94">
        <f>IF($A3292="",0,IF(AE3292="직접",IF(AF3292="비귀속",$P3292,0),$P3292*(1-AG3292)*IFERROR(INDEX(계정대체기준!$F$20:$F$49,MATCH($N3292,계정대체기준!$A$20:$A$49,0)),1)))</f>
        <v/>
      </c>
      <c r="Z3292" s="94">
        <f>IF($A3292="",0,IF(AE3292="직접",IF(AF3292="신계약비",$P3292,0),$P3292*(1-AG3292)*IFERROR(INDEX(계정대체기준!$C$20:$C$49,MATCH($N3292,계정대체기준!$A$20:$A$49,0)),0)))</f>
        <v/>
      </c>
      <c r="AA3292" s="94">
        <f>IF($A3292="",0,IF(AE3292="직접",IF(OR(AF3292="유지비",AF3292="손해조사비"),$P3292,0),$P3292*(1-AG3292)*IFERROR(INDEX(계정대체기준!$D$20:$D$49,MATCH($N3292,계정대체기준!$A$20:$A$49,0)),0)))</f>
        <v/>
      </c>
      <c r="AB3292" s="94">
        <f>IF($A3292="",0,IF(AE3292="직접",IF(AF3292="수금비",$P3292,0),$P3292*(1-AG3292)*IFERROR(INDEX(계정대체기준!$E$20:$E$49,MATCH($N3292,계정대체기준!$A$20:$A$49,0)),0)))</f>
        <v/>
      </c>
      <c r="AC3292" s="9">
        <f>IF(AND($A3292&lt;&gt;"",M3292=설정!$C$20,Z3292&gt;0),Z3292+ROW()/1000000000,"")</f>
        <v/>
      </c>
      <c r="AD3292" s="94">
        <f>IF($A3292="",0,$P3292*AG3292)</f>
        <v/>
      </c>
      <c r="AE3292" s="64">
        <f>IF($A3292="","",IFERROR(INDEX(계정매핑!$E$5:$E$504,MATCH($F3292&amp;"",계정매핑!$A$5:$A$504,0))&amp;"","공통비"))</f>
        <v/>
      </c>
      <c r="AF3292" s="64">
        <f>IF($A3292="","",IF(AE3292="직접",IFERROR(INDEX(계정매핑!$F$5:$F$504,MATCH($F3292&amp;"",계정매핑!$A$5:$A$504,0))&amp;"","비귀속"),""))</f>
        <v/>
      </c>
      <c r="AG3292" s="96">
        <f>IF($A3292="",0,IF(AND(AE3292&lt;&gt;"직접",IFERROR(INDEX(계정매핑!$G$5:$G$504,MATCH($F3292&amp;"",계정매핑!$A$5:$A$504,0))&amp;"","")="유지비",COUNTIF(계정대체기준!$A$6:$A$15,$N3292)&gt;0),IFERROR(INDEX(계정대체기준!$E$6:$E$15,MATCH(VALUE($A3292&amp;""),계정대체기준!$D$6:$D$15,0)),0),0))</f>
        <v/>
      </c>
      <c r="AH3292" s="64">
        <f>IF($A3292="","",IF(AD3292=0,"",IF(OR(COUNTIF(계정대체기준!$A$77:$A$86,$N3292)&gt;0,ISNUMBER(MATCH($X3292,계정대체기준!$D$77:$D$86,0)),ISNUMBER(MATCH($F3292,계정대체기준!$D$77:$D$86,0))),"Y","N")))</f>
        <v/>
      </c>
    </row>
    <row r="3293">
      <c r="A3293" s="92" t="n">
        <v>2026</v>
      </c>
      <c r="B3293" s="92" t="n">
        <v>3</v>
      </c>
      <c r="C3293" s="92" t="inlineStr">
        <is>
          <t>5100000571</t>
        </is>
      </c>
      <c r="D3293" s="95" t="n">
        <v>46095</v>
      </c>
      <c r="E3293" s="92" t="inlineStr">
        <is>
          <t>KR</t>
        </is>
      </c>
      <c r="F3293" s="92" t="n">
        <v>62501000</v>
      </c>
      <c r="G3293" s="92" t="n">
        <v>1601</v>
      </c>
      <c r="H3293" s="93" t="n">
        <v>434000</v>
      </c>
      <c r="I3293" s="92" t="inlineStr">
        <is>
          <t>3월 회의 다과 - T케이터링</t>
        </is>
      </c>
      <c r="J3293" s="92" t="inlineStr">
        <is>
          <t>V10005</t>
        </is>
      </c>
      <c r="K3293" s="92" t="inlineStr">
        <is>
          <t>T케이터링</t>
        </is>
      </c>
      <c r="M3293" s="9">
        <f>IF($A3293="","",VALUE($A3293&amp;"")*12+VALUE($B3293&amp;""))</f>
        <v/>
      </c>
      <c r="N3293" s="64">
        <f>IF($A3293="","",IFERROR(INDEX(부서매핑!$C$5:$C$504,MATCH($G3293&amp;"",부서매핑!$A$5:$A$504,0)),"미매핑"))</f>
        <v/>
      </c>
      <c r="O3293" s="9">
        <f>IF($A3293="","",N3293&amp;"|"&amp;$F3293)</f>
        <v/>
      </c>
      <c r="P3293" s="94">
        <f>IF($A3293="",0,$H3293*설정!$C$23)</f>
        <v/>
      </c>
      <c r="Q3293" s="64">
        <f>IF($A3293="","",IF(O3293&lt;&gt;원인분석!$C$9,"",IF(AND(M3293&gt;=원인분석!$C$10,M3293&lt;=원인분석!$C$11),"당기",IF(AND(M3293&gt;=원인분석!$C$12,M3293&lt;=원인분석!$C$13),"비교",""))))</f>
        <v/>
      </c>
      <c r="R3293" s="9">
        <f>IF(Q3293="","",$K3293&amp;"")</f>
        <v/>
      </c>
      <c r="S3293" s="9">
        <f>IF(Q3293="","",IF(MATCH(R3293,$R$5:$R$100000,0)=ROW()-4,ROW(),""))</f>
        <v/>
      </c>
      <c r="T3293" s="9">
        <f>IF(Q3293="당기",ABS(P3293)+ROW()/1000000000,"")</f>
        <v/>
      </c>
      <c r="U3293" s="9">
        <f>IF(Q3293="비교",ABS(P3293)+ROW()/1000000000,"")</f>
        <v/>
      </c>
      <c r="V3293" s="64">
        <f>IF($A3293="","",IF(COUNTIF(변동분석!$E$7:$E$506,O3293)&gt;0,"Y","N"))</f>
        <v/>
      </c>
      <c r="W3293" s="64">
        <f>IF($A3293="","",IFERROR(INDEX(계정매핑!$D$5:$D$504,MATCH($F3293&amp;"",계정매핑!$A$5:$A$504,0)),"미매핑"))</f>
        <v/>
      </c>
      <c r="X3293" s="9">
        <f>IF($A3293="","",$F3293&amp;"")</f>
        <v/>
      </c>
      <c r="Y3293" s="94">
        <f>IF($A3293="",0,IF(AE3293="직접",IF(AF3293="비귀속",$P3293,0),$P3293*(1-AG3293)*IFERROR(INDEX(계정대체기준!$F$20:$F$49,MATCH($N3293,계정대체기준!$A$20:$A$49,0)),1)))</f>
        <v/>
      </c>
      <c r="Z3293" s="94">
        <f>IF($A3293="",0,IF(AE3293="직접",IF(AF3293="신계약비",$P3293,0),$P3293*(1-AG3293)*IFERROR(INDEX(계정대체기준!$C$20:$C$49,MATCH($N3293,계정대체기준!$A$20:$A$49,0)),0)))</f>
        <v/>
      </c>
      <c r="AA3293" s="94">
        <f>IF($A3293="",0,IF(AE3293="직접",IF(OR(AF3293="유지비",AF3293="손해조사비"),$P3293,0),$P3293*(1-AG3293)*IFERROR(INDEX(계정대체기준!$D$20:$D$49,MATCH($N3293,계정대체기준!$A$20:$A$49,0)),0)))</f>
        <v/>
      </c>
      <c r="AB3293" s="94">
        <f>IF($A3293="",0,IF(AE3293="직접",IF(AF3293="수금비",$P3293,0),$P3293*(1-AG3293)*IFERROR(INDEX(계정대체기준!$E$20:$E$49,MATCH($N3293,계정대체기준!$A$20:$A$49,0)),0)))</f>
        <v/>
      </c>
      <c r="AC3293" s="9">
        <f>IF(AND($A3293&lt;&gt;"",M3293=설정!$C$20,Z3293&gt;0),Z3293+ROW()/1000000000,"")</f>
        <v/>
      </c>
      <c r="AD3293" s="94">
        <f>IF($A3293="",0,$P3293*AG3293)</f>
        <v/>
      </c>
      <c r="AE3293" s="64">
        <f>IF($A3293="","",IFERROR(INDEX(계정매핑!$E$5:$E$504,MATCH($F3293&amp;"",계정매핑!$A$5:$A$504,0))&amp;"","공통비"))</f>
        <v/>
      </c>
      <c r="AF3293" s="64">
        <f>IF($A3293="","",IF(AE3293="직접",IFERROR(INDEX(계정매핑!$F$5:$F$504,MATCH($F3293&amp;"",계정매핑!$A$5:$A$504,0))&amp;"","비귀속"),""))</f>
        <v/>
      </c>
      <c r="AG3293" s="96">
        <f>IF($A3293="",0,IF(AND(AE3293&lt;&gt;"직접",IFERROR(INDEX(계정매핑!$G$5:$G$504,MATCH($F3293&amp;"",계정매핑!$A$5:$A$504,0))&amp;"","")="유지비",COUNTIF(계정대체기준!$A$6:$A$15,$N3293)&gt;0),IFERROR(INDEX(계정대체기준!$E$6:$E$15,MATCH(VALUE($A3293&amp;""),계정대체기준!$D$6:$D$15,0)),0),0))</f>
        <v/>
      </c>
      <c r="AH3293" s="64">
        <f>IF($A3293="","",IF(AD3293=0,"",IF(OR(COUNTIF(계정대체기준!$A$77:$A$86,$N3293)&gt;0,ISNUMBER(MATCH($X3293,계정대체기준!$D$77:$D$86,0)),ISNUMBER(MATCH($F3293,계정대체기준!$D$77:$D$86,0))),"Y","N")))</f>
        <v/>
      </c>
    </row>
    <row r="3294">
      <c r="A3294" s="92" t="n">
        <v>2026</v>
      </c>
      <c r="B3294" s="92" t="n">
        <v>3</v>
      </c>
      <c r="C3294" s="92" t="inlineStr">
        <is>
          <t>5100000572</t>
        </is>
      </c>
      <c r="D3294" s="95" t="n">
        <v>46095</v>
      </c>
      <c r="E3294" s="92" t="inlineStr">
        <is>
          <t>KR</t>
        </is>
      </c>
      <c r="F3294" s="92" t="n">
        <v>62701000</v>
      </c>
      <c r="G3294" s="92" t="n">
        <v>1301</v>
      </c>
      <c r="H3294" s="93" t="n">
        <v>4800000</v>
      </c>
      <c r="I3294" s="92" t="inlineStr">
        <is>
          <t>경력직 채용공고</t>
        </is>
      </c>
      <c r="J3294" s="92" t="inlineStr">
        <is>
          <t>V10035</t>
        </is>
      </c>
      <c r="K3294" s="92" t="inlineStr">
        <is>
          <t>LL채용</t>
        </is>
      </c>
      <c r="M3294" s="9">
        <f>IF($A3294="","",VALUE($A3294&amp;"")*12+VALUE($B3294&amp;""))</f>
        <v/>
      </c>
      <c r="N3294" s="64">
        <f>IF($A3294="","",IFERROR(INDEX(부서매핑!$C$5:$C$504,MATCH($G3294&amp;"",부서매핑!$A$5:$A$504,0)),"미매핑"))</f>
        <v/>
      </c>
      <c r="O3294" s="9">
        <f>IF($A3294="","",N3294&amp;"|"&amp;$F3294)</f>
        <v/>
      </c>
      <c r="P3294" s="94">
        <f>IF($A3294="",0,$H3294*설정!$C$23)</f>
        <v/>
      </c>
      <c r="Q3294" s="64">
        <f>IF($A3294="","",IF(O3294&lt;&gt;원인분석!$C$9,"",IF(AND(M3294&gt;=원인분석!$C$10,M3294&lt;=원인분석!$C$11),"당기",IF(AND(M3294&gt;=원인분석!$C$12,M3294&lt;=원인분석!$C$13),"비교",""))))</f>
        <v/>
      </c>
      <c r="R3294" s="9">
        <f>IF(Q3294="","",$K3294&amp;"")</f>
        <v/>
      </c>
      <c r="S3294" s="9">
        <f>IF(Q3294="","",IF(MATCH(R3294,$R$5:$R$100000,0)=ROW()-4,ROW(),""))</f>
        <v/>
      </c>
      <c r="T3294" s="9">
        <f>IF(Q3294="당기",ABS(P3294)+ROW()/1000000000,"")</f>
        <v/>
      </c>
      <c r="U3294" s="9">
        <f>IF(Q3294="비교",ABS(P3294)+ROW()/1000000000,"")</f>
        <v/>
      </c>
      <c r="V3294" s="64">
        <f>IF($A3294="","",IF(COUNTIF(변동분석!$E$7:$E$506,O3294)&gt;0,"Y","N"))</f>
        <v/>
      </c>
      <c r="W3294" s="64">
        <f>IF($A3294="","",IFERROR(INDEX(계정매핑!$D$5:$D$504,MATCH($F3294&amp;"",계정매핑!$A$5:$A$504,0)),"미매핑"))</f>
        <v/>
      </c>
      <c r="X3294" s="9">
        <f>IF($A3294="","",$F3294&amp;"")</f>
        <v/>
      </c>
      <c r="Y3294" s="94">
        <f>IF($A3294="",0,IF(AE3294="직접",IF(AF3294="비귀속",$P3294,0),$P3294*(1-AG3294)*IFERROR(INDEX(계정대체기준!$F$20:$F$49,MATCH($N3294,계정대체기준!$A$20:$A$49,0)),1)))</f>
        <v/>
      </c>
      <c r="Z3294" s="94">
        <f>IF($A3294="",0,IF(AE3294="직접",IF(AF3294="신계약비",$P3294,0),$P3294*(1-AG3294)*IFERROR(INDEX(계정대체기준!$C$20:$C$49,MATCH($N3294,계정대체기준!$A$20:$A$49,0)),0)))</f>
        <v/>
      </c>
      <c r="AA3294" s="94">
        <f>IF($A3294="",0,IF(AE3294="직접",IF(OR(AF3294="유지비",AF3294="손해조사비"),$P3294,0),$P3294*(1-AG3294)*IFERROR(INDEX(계정대체기준!$D$20:$D$49,MATCH($N3294,계정대체기준!$A$20:$A$49,0)),0)))</f>
        <v/>
      </c>
      <c r="AB3294" s="94">
        <f>IF($A3294="",0,IF(AE3294="직접",IF(AF3294="수금비",$P3294,0),$P3294*(1-AG3294)*IFERROR(INDEX(계정대체기준!$E$20:$E$49,MATCH($N3294,계정대체기준!$A$20:$A$49,0)),0)))</f>
        <v/>
      </c>
      <c r="AC3294" s="9">
        <f>IF(AND($A3294&lt;&gt;"",M3294=설정!$C$20,Z3294&gt;0),Z3294+ROW()/1000000000,"")</f>
        <v/>
      </c>
      <c r="AD3294" s="94">
        <f>IF($A3294="",0,$P3294*AG3294)</f>
        <v/>
      </c>
      <c r="AE3294" s="64">
        <f>IF($A3294="","",IFERROR(INDEX(계정매핑!$E$5:$E$504,MATCH($F3294&amp;"",계정매핑!$A$5:$A$504,0))&amp;"","공통비"))</f>
        <v/>
      </c>
      <c r="AF3294" s="64">
        <f>IF($A3294="","",IF(AE3294="직접",IFERROR(INDEX(계정매핑!$F$5:$F$504,MATCH($F3294&amp;"",계정매핑!$A$5:$A$504,0))&amp;"","비귀속"),""))</f>
        <v/>
      </c>
      <c r="AG3294" s="96">
        <f>IF($A3294="",0,IF(AND(AE3294&lt;&gt;"직접",IFERROR(INDEX(계정매핑!$G$5:$G$504,MATCH($F3294&amp;"",계정매핑!$A$5:$A$504,0))&amp;"","")="유지비",COUNTIF(계정대체기준!$A$6:$A$15,$N3294)&gt;0),IFERROR(INDEX(계정대체기준!$E$6:$E$15,MATCH(VALUE($A3294&amp;""),계정대체기준!$D$6:$D$15,0)),0),0))</f>
        <v/>
      </c>
      <c r="AH3294" s="64">
        <f>IF($A3294="","",IF(AD3294=0,"",IF(OR(COUNTIF(계정대체기준!$A$77:$A$86,$N3294)&gt;0,ISNUMBER(MATCH($X3294,계정대체기준!$D$77:$D$86,0)),ISNUMBER(MATCH($F3294,계정대체기준!$D$77:$D$86,0))),"Y","N")))</f>
        <v/>
      </c>
    </row>
    <row r="3295">
      <c r="A3295" s="92" t="n">
        <v>2026</v>
      </c>
      <c r="B3295" s="92" t="n">
        <v>3</v>
      </c>
      <c r="C3295" s="92" t="inlineStr">
        <is>
          <t>5100000573</t>
        </is>
      </c>
      <c r="D3295" s="95" t="n">
        <v>46095</v>
      </c>
      <c r="E3295" s="92" t="inlineStr">
        <is>
          <t>KR</t>
        </is>
      </c>
      <c r="F3295" s="92" t="n">
        <v>62902000</v>
      </c>
      <c r="G3295" s="92" t="n">
        <v>1801</v>
      </c>
      <c r="H3295" s="93" t="n">
        <v>1778000</v>
      </c>
      <c r="I3295" s="92" t="inlineStr">
        <is>
          <t>3월 콜 위탁 수수료(건별)</t>
        </is>
      </c>
      <c r="J3295" s="92" t="inlineStr">
        <is>
          <t>V10016</t>
        </is>
      </c>
      <c r="K3295" s="92" t="inlineStr">
        <is>
          <t>J콜센터</t>
        </is>
      </c>
      <c r="M3295" s="9">
        <f>IF($A3295="","",VALUE($A3295&amp;"")*12+VALUE($B3295&amp;""))</f>
        <v/>
      </c>
      <c r="N3295" s="64">
        <f>IF($A3295="","",IFERROR(INDEX(부서매핑!$C$5:$C$504,MATCH($G3295&amp;"",부서매핑!$A$5:$A$504,0)),"미매핑"))</f>
        <v/>
      </c>
      <c r="O3295" s="9">
        <f>IF($A3295="","",N3295&amp;"|"&amp;$F3295)</f>
        <v/>
      </c>
      <c r="P3295" s="94">
        <f>IF($A3295="",0,$H3295*설정!$C$23)</f>
        <v/>
      </c>
      <c r="Q3295" s="64">
        <f>IF($A3295="","",IF(O3295&lt;&gt;원인분석!$C$9,"",IF(AND(M3295&gt;=원인분석!$C$10,M3295&lt;=원인분석!$C$11),"당기",IF(AND(M3295&gt;=원인분석!$C$12,M3295&lt;=원인분석!$C$13),"비교",""))))</f>
        <v/>
      </c>
      <c r="R3295" s="9">
        <f>IF(Q3295="","",$K3295&amp;"")</f>
        <v/>
      </c>
      <c r="S3295" s="9">
        <f>IF(Q3295="","",IF(MATCH(R3295,$R$5:$R$100000,0)=ROW()-4,ROW(),""))</f>
        <v/>
      </c>
      <c r="T3295" s="9">
        <f>IF(Q3295="당기",ABS(P3295)+ROW()/1000000000,"")</f>
        <v/>
      </c>
      <c r="U3295" s="9">
        <f>IF(Q3295="비교",ABS(P3295)+ROW()/1000000000,"")</f>
        <v/>
      </c>
      <c r="V3295" s="64">
        <f>IF($A3295="","",IF(COUNTIF(변동분석!$E$7:$E$506,O3295)&gt;0,"Y","N"))</f>
        <v/>
      </c>
      <c r="W3295" s="64">
        <f>IF($A3295="","",IFERROR(INDEX(계정매핑!$D$5:$D$504,MATCH($F3295&amp;"",계정매핑!$A$5:$A$504,0)),"미매핑"))</f>
        <v/>
      </c>
      <c r="X3295" s="9">
        <f>IF($A3295="","",$F3295&amp;"")</f>
        <v/>
      </c>
      <c r="Y3295" s="94">
        <f>IF($A3295="",0,IF(AE3295="직접",IF(AF3295="비귀속",$P3295,0),$P3295*(1-AG3295)*IFERROR(INDEX(계정대체기준!$F$20:$F$49,MATCH($N3295,계정대체기준!$A$20:$A$49,0)),1)))</f>
        <v/>
      </c>
      <c r="Z3295" s="94">
        <f>IF($A3295="",0,IF(AE3295="직접",IF(AF3295="신계약비",$P3295,0),$P3295*(1-AG3295)*IFERROR(INDEX(계정대체기준!$C$20:$C$49,MATCH($N3295,계정대체기준!$A$20:$A$49,0)),0)))</f>
        <v/>
      </c>
      <c r="AA3295" s="94">
        <f>IF($A3295="",0,IF(AE3295="직접",IF(OR(AF3295="유지비",AF3295="손해조사비"),$P3295,0),$P3295*(1-AG3295)*IFERROR(INDEX(계정대체기준!$D$20:$D$49,MATCH($N3295,계정대체기준!$A$20:$A$49,0)),0)))</f>
        <v/>
      </c>
      <c r="AB3295" s="94">
        <f>IF($A3295="",0,IF(AE3295="직접",IF(AF3295="수금비",$P3295,0),$P3295*(1-AG3295)*IFERROR(INDEX(계정대체기준!$E$20:$E$49,MATCH($N3295,계정대체기준!$A$20:$A$49,0)),0)))</f>
        <v/>
      </c>
      <c r="AC3295" s="9">
        <f>IF(AND($A3295&lt;&gt;"",M3295=설정!$C$20,Z3295&gt;0),Z3295+ROW()/1000000000,"")</f>
        <v/>
      </c>
      <c r="AD3295" s="94">
        <f>IF($A3295="",0,$P3295*AG3295)</f>
        <v/>
      </c>
      <c r="AE3295" s="64">
        <f>IF($A3295="","",IFERROR(INDEX(계정매핑!$E$5:$E$504,MATCH($F3295&amp;"",계정매핑!$A$5:$A$504,0))&amp;"","공통비"))</f>
        <v/>
      </c>
      <c r="AF3295" s="64">
        <f>IF($A3295="","",IF(AE3295="직접",IFERROR(INDEX(계정매핑!$F$5:$F$504,MATCH($F3295&amp;"",계정매핑!$A$5:$A$504,0))&amp;"","비귀속"),""))</f>
        <v/>
      </c>
      <c r="AG3295" s="96">
        <f>IF($A3295="",0,IF(AND(AE3295&lt;&gt;"직접",IFERROR(INDEX(계정매핑!$G$5:$G$504,MATCH($F3295&amp;"",계정매핑!$A$5:$A$504,0))&amp;"","")="유지비",COUNTIF(계정대체기준!$A$6:$A$15,$N3295)&gt;0),IFERROR(INDEX(계정대체기준!$E$6:$E$15,MATCH(VALUE($A3295&amp;""),계정대체기준!$D$6:$D$15,0)),0),0))</f>
        <v/>
      </c>
      <c r="AH3295" s="64">
        <f>IF($A3295="","",IF(AD3295=0,"",IF(OR(COUNTIF(계정대체기준!$A$77:$A$86,$N3295)&gt;0,ISNUMBER(MATCH($X3295,계정대체기준!$D$77:$D$86,0)),ISNUMBER(MATCH($F3295,계정대체기준!$D$77:$D$86,0))),"Y","N")))</f>
        <v/>
      </c>
    </row>
    <row r="3296">
      <c r="A3296" s="92" t="n">
        <v>2026</v>
      </c>
      <c r="B3296" s="92" t="n">
        <v>3</v>
      </c>
      <c r="C3296" s="92" t="inlineStr">
        <is>
          <t>5100000574</t>
        </is>
      </c>
      <c r="D3296" s="95" t="n">
        <v>46096</v>
      </c>
      <c r="E3296" s="92" t="inlineStr">
        <is>
          <t>KR</t>
        </is>
      </c>
      <c r="F3296" s="92" t="n">
        <v>62102000</v>
      </c>
      <c r="G3296" s="92" t="n">
        <v>1701</v>
      </c>
      <c r="H3296" s="93" t="n">
        <v>31000</v>
      </c>
      <c r="I3296" s="92" t="inlineStr">
        <is>
          <t>3월 해외출장 - N호텔</t>
        </is>
      </c>
      <c r="J3296" s="92" t="inlineStr">
        <is>
          <t>V10009</t>
        </is>
      </c>
      <c r="K3296" s="92" t="inlineStr">
        <is>
          <t>N호텔</t>
        </is>
      </c>
      <c r="M3296" s="9">
        <f>IF($A3296="","",VALUE($A3296&amp;"")*12+VALUE($B3296&amp;""))</f>
        <v/>
      </c>
      <c r="N3296" s="64">
        <f>IF($A3296="","",IFERROR(INDEX(부서매핑!$C$5:$C$504,MATCH($G3296&amp;"",부서매핑!$A$5:$A$504,0)),"미매핑"))</f>
        <v/>
      </c>
      <c r="O3296" s="9">
        <f>IF($A3296="","",N3296&amp;"|"&amp;$F3296)</f>
        <v/>
      </c>
      <c r="P3296" s="94">
        <f>IF($A3296="",0,$H3296*설정!$C$23)</f>
        <v/>
      </c>
      <c r="Q3296" s="64">
        <f>IF($A3296="","",IF(O3296&lt;&gt;원인분석!$C$9,"",IF(AND(M3296&gt;=원인분석!$C$10,M3296&lt;=원인분석!$C$11),"당기",IF(AND(M3296&gt;=원인분석!$C$12,M3296&lt;=원인분석!$C$13),"비교",""))))</f>
        <v/>
      </c>
      <c r="R3296" s="9">
        <f>IF(Q3296="","",$K3296&amp;"")</f>
        <v/>
      </c>
      <c r="S3296" s="9">
        <f>IF(Q3296="","",IF(MATCH(R3296,$R$5:$R$100000,0)=ROW()-4,ROW(),""))</f>
        <v/>
      </c>
      <c r="T3296" s="9">
        <f>IF(Q3296="당기",ABS(P3296)+ROW()/1000000000,"")</f>
        <v/>
      </c>
      <c r="U3296" s="9">
        <f>IF(Q3296="비교",ABS(P3296)+ROW()/1000000000,"")</f>
        <v/>
      </c>
      <c r="V3296" s="64">
        <f>IF($A3296="","",IF(COUNTIF(변동분석!$E$7:$E$506,O3296)&gt;0,"Y","N"))</f>
        <v/>
      </c>
      <c r="W3296" s="64">
        <f>IF($A3296="","",IFERROR(INDEX(계정매핑!$D$5:$D$504,MATCH($F3296&amp;"",계정매핑!$A$5:$A$504,0)),"미매핑"))</f>
        <v/>
      </c>
      <c r="X3296" s="9">
        <f>IF($A3296="","",$F3296&amp;"")</f>
        <v/>
      </c>
      <c r="Y3296" s="94">
        <f>IF($A3296="",0,IF(AE3296="직접",IF(AF3296="비귀속",$P3296,0),$P3296*(1-AG3296)*IFERROR(INDEX(계정대체기준!$F$20:$F$49,MATCH($N3296,계정대체기준!$A$20:$A$49,0)),1)))</f>
        <v/>
      </c>
      <c r="Z3296" s="94">
        <f>IF($A3296="",0,IF(AE3296="직접",IF(AF3296="신계약비",$P3296,0),$P3296*(1-AG3296)*IFERROR(INDEX(계정대체기준!$C$20:$C$49,MATCH($N3296,계정대체기준!$A$20:$A$49,0)),0)))</f>
        <v/>
      </c>
      <c r="AA3296" s="94">
        <f>IF($A3296="",0,IF(AE3296="직접",IF(OR(AF3296="유지비",AF3296="손해조사비"),$P3296,0),$P3296*(1-AG3296)*IFERROR(INDEX(계정대체기준!$D$20:$D$49,MATCH($N3296,계정대체기준!$A$20:$A$49,0)),0)))</f>
        <v/>
      </c>
      <c r="AB3296" s="94">
        <f>IF($A3296="",0,IF(AE3296="직접",IF(AF3296="수금비",$P3296,0),$P3296*(1-AG3296)*IFERROR(INDEX(계정대체기준!$E$20:$E$49,MATCH($N3296,계정대체기준!$A$20:$A$49,0)),0)))</f>
        <v/>
      </c>
      <c r="AC3296" s="9">
        <f>IF(AND($A3296&lt;&gt;"",M3296=설정!$C$20,Z3296&gt;0),Z3296+ROW()/1000000000,"")</f>
        <v/>
      </c>
      <c r="AD3296" s="94">
        <f>IF($A3296="",0,$P3296*AG3296)</f>
        <v/>
      </c>
      <c r="AE3296" s="64">
        <f>IF($A3296="","",IFERROR(INDEX(계정매핑!$E$5:$E$504,MATCH($F3296&amp;"",계정매핑!$A$5:$A$504,0))&amp;"","공통비"))</f>
        <v/>
      </c>
      <c r="AF3296" s="64">
        <f>IF($A3296="","",IF(AE3296="직접",IFERROR(INDEX(계정매핑!$F$5:$F$504,MATCH($F3296&amp;"",계정매핑!$A$5:$A$504,0))&amp;"","비귀속"),""))</f>
        <v/>
      </c>
      <c r="AG3296" s="96">
        <f>IF($A3296="",0,IF(AND(AE3296&lt;&gt;"직접",IFERROR(INDEX(계정매핑!$G$5:$G$504,MATCH($F3296&amp;"",계정매핑!$A$5:$A$504,0))&amp;"","")="유지비",COUNTIF(계정대체기준!$A$6:$A$15,$N3296)&gt;0),IFERROR(INDEX(계정대체기준!$E$6:$E$15,MATCH(VALUE($A3296&amp;""),계정대체기준!$D$6:$D$15,0)),0),0))</f>
        <v/>
      </c>
      <c r="AH3296" s="64">
        <f>IF($A3296="","",IF(AD3296=0,"",IF(OR(COUNTIF(계정대체기준!$A$77:$A$86,$N3296)&gt;0,ISNUMBER(MATCH($X3296,계정대체기준!$D$77:$D$86,0)),ISNUMBER(MATCH($F3296,계정대체기준!$D$77:$D$86,0))),"Y","N")))</f>
        <v/>
      </c>
    </row>
    <row r="3297">
      <c r="A3297" s="92" t="n">
        <v>2026</v>
      </c>
      <c r="B3297" s="92" t="n">
        <v>3</v>
      </c>
      <c r="C3297" s="92" t="inlineStr">
        <is>
          <t>5100000575</t>
        </is>
      </c>
      <c r="D3297" s="95" t="n">
        <v>46096</v>
      </c>
      <c r="E3297" s="92" t="inlineStr">
        <is>
          <t>KR</t>
        </is>
      </c>
      <c r="F3297" s="92" t="n">
        <v>62102000</v>
      </c>
      <c r="G3297" s="92" t="n">
        <v>1951</v>
      </c>
      <c r="H3297" s="93" t="n">
        <v>58000</v>
      </c>
      <c r="I3297" s="92" t="inlineStr">
        <is>
          <t>3월 해외출장 - N호텔</t>
        </is>
      </c>
      <c r="J3297" s="92" t="inlineStr">
        <is>
          <t>V10009</t>
        </is>
      </c>
      <c r="K3297" s="92" t="inlineStr">
        <is>
          <t>N호텔</t>
        </is>
      </c>
      <c r="M3297" s="9">
        <f>IF($A3297="","",VALUE($A3297&amp;"")*12+VALUE($B3297&amp;""))</f>
        <v/>
      </c>
      <c r="N3297" s="64">
        <f>IF($A3297="","",IFERROR(INDEX(부서매핑!$C$5:$C$504,MATCH($G3297&amp;"",부서매핑!$A$5:$A$504,0)),"미매핑"))</f>
        <v/>
      </c>
      <c r="O3297" s="9">
        <f>IF($A3297="","",N3297&amp;"|"&amp;$F3297)</f>
        <v/>
      </c>
      <c r="P3297" s="94">
        <f>IF($A3297="",0,$H3297*설정!$C$23)</f>
        <v/>
      </c>
      <c r="Q3297" s="64">
        <f>IF($A3297="","",IF(O3297&lt;&gt;원인분석!$C$9,"",IF(AND(M3297&gt;=원인분석!$C$10,M3297&lt;=원인분석!$C$11),"당기",IF(AND(M3297&gt;=원인분석!$C$12,M3297&lt;=원인분석!$C$13),"비교",""))))</f>
        <v/>
      </c>
      <c r="R3297" s="9">
        <f>IF(Q3297="","",$K3297&amp;"")</f>
        <v/>
      </c>
      <c r="S3297" s="9">
        <f>IF(Q3297="","",IF(MATCH(R3297,$R$5:$R$100000,0)=ROW()-4,ROW(),""))</f>
        <v/>
      </c>
      <c r="T3297" s="9">
        <f>IF(Q3297="당기",ABS(P3297)+ROW()/1000000000,"")</f>
        <v/>
      </c>
      <c r="U3297" s="9">
        <f>IF(Q3297="비교",ABS(P3297)+ROW()/1000000000,"")</f>
        <v/>
      </c>
      <c r="V3297" s="64">
        <f>IF($A3297="","",IF(COUNTIF(변동분석!$E$7:$E$506,O3297)&gt;0,"Y","N"))</f>
        <v/>
      </c>
      <c r="W3297" s="64">
        <f>IF($A3297="","",IFERROR(INDEX(계정매핑!$D$5:$D$504,MATCH($F3297&amp;"",계정매핑!$A$5:$A$504,0)),"미매핑"))</f>
        <v/>
      </c>
      <c r="X3297" s="9">
        <f>IF($A3297="","",$F3297&amp;"")</f>
        <v/>
      </c>
      <c r="Y3297" s="94">
        <f>IF($A3297="",0,IF(AE3297="직접",IF(AF3297="비귀속",$P3297,0),$P3297*(1-AG3297)*IFERROR(INDEX(계정대체기준!$F$20:$F$49,MATCH($N3297,계정대체기준!$A$20:$A$49,0)),1)))</f>
        <v/>
      </c>
      <c r="Z3297" s="94">
        <f>IF($A3297="",0,IF(AE3297="직접",IF(AF3297="신계약비",$P3297,0),$P3297*(1-AG3297)*IFERROR(INDEX(계정대체기준!$C$20:$C$49,MATCH($N3297,계정대체기준!$A$20:$A$49,0)),0)))</f>
        <v/>
      </c>
      <c r="AA3297" s="94">
        <f>IF($A3297="",0,IF(AE3297="직접",IF(OR(AF3297="유지비",AF3297="손해조사비"),$P3297,0),$P3297*(1-AG3297)*IFERROR(INDEX(계정대체기준!$D$20:$D$49,MATCH($N3297,계정대체기준!$A$20:$A$49,0)),0)))</f>
        <v/>
      </c>
      <c r="AB3297" s="94">
        <f>IF($A3297="",0,IF(AE3297="직접",IF(AF3297="수금비",$P3297,0),$P3297*(1-AG3297)*IFERROR(INDEX(계정대체기준!$E$20:$E$49,MATCH($N3297,계정대체기준!$A$20:$A$49,0)),0)))</f>
        <v/>
      </c>
      <c r="AC3297" s="9">
        <f>IF(AND($A3297&lt;&gt;"",M3297=설정!$C$20,Z3297&gt;0),Z3297+ROW()/1000000000,"")</f>
        <v/>
      </c>
      <c r="AD3297" s="94">
        <f>IF($A3297="",0,$P3297*AG3297)</f>
        <v/>
      </c>
      <c r="AE3297" s="64">
        <f>IF($A3297="","",IFERROR(INDEX(계정매핑!$E$5:$E$504,MATCH($F3297&amp;"",계정매핑!$A$5:$A$504,0))&amp;"","공통비"))</f>
        <v/>
      </c>
      <c r="AF3297" s="64">
        <f>IF($A3297="","",IF(AE3297="직접",IFERROR(INDEX(계정매핑!$F$5:$F$504,MATCH($F3297&amp;"",계정매핑!$A$5:$A$504,0))&amp;"","비귀속"),""))</f>
        <v/>
      </c>
      <c r="AG3297" s="96">
        <f>IF($A3297="",0,IF(AND(AE3297&lt;&gt;"직접",IFERROR(INDEX(계정매핑!$G$5:$G$504,MATCH($F3297&amp;"",계정매핑!$A$5:$A$504,0))&amp;"","")="유지비",COUNTIF(계정대체기준!$A$6:$A$15,$N3297)&gt;0),IFERROR(INDEX(계정대체기준!$E$6:$E$15,MATCH(VALUE($A3297&amp;""),계정대체기준!$D$6:$D$15,0)),0),0))</f>
        <v/>
      </c>
      <c r="AH3297" s="64">
        <f>IF($A3297="","",IF(AD3297=0,"",IF(OR(COUNTIF(계정대체기준!$A$77:$A$86,$N3297)&gt;0,ISNUMBER(MATCH($X3297,계정대체기준!$D$77:$D$86,0)),ISNUMBER(MATCH($F3297,계정대체기준!$D$77:$D$86,0))),"Y","N")))</f>
        <v/>
      </c>
    </row>
    <row r="3298">
      <c r="A3298" s="92" t="n">
        <v>2026</v>
      </c>
      <c r="B3298" s="92" t="n">
        <v>3</v>
      </c>
      <c r="C3298" s="92" t="inlineStr">
        <is>
          <t>5100000576</t>
        </is>
      </c>
      <c r="D3298" s="95" t="n">
        <v>46096</v>
      </c>
      <c r="E3298" s="92" t="inlineStr">
        <is>
          <t>KR</t>
        </is>
      </c>
      <c r="F3298" s="92" t="n">
        <v>62201000</v>
      </c>
      <c r="G3298" s="92" t="n">
        <v>1301</v>
      </c>
      <c r="H3298" s="93" t="n">
        <v>200000</v>
      </c>
      <c r="I3298" s="92" t="inlineStr">
        <is>
          <t>3월 통신요금 - P통신</t>
        </is>
      </c>
      <c r="J3298" s="92" t="inlineStr">
        <is>
          <t>V10014</t>
        </is>
      </c>
      <c r="K3298" s="92" t="inlineStr">
        <is>
          <t>P통신</t>
        </is>
      </c>
      <c r="M3298" s="9">
        <f>IF($A3298="","",VALUE($A3298&amp;"")*12+VALUE($B3298&amp;""))</f>
        <v/>
      </c>
      <c r="N3298" s="64">
        <f>IF($A3298="","",IFERROR(INDEX(부서매핑!$C$5:$C$504,MATCH($G3298&amp;"",부서매핑!$A$5:$A$504,0)),"미매핑"))</f>
        <v/>
      </c>
      <c r="O3298" s="9">
        <f>IF($A3298="","",N3298&amp;"|"&amp;$F3298)</f>
        <v/>
      </c>
      <c r="P3298" s="94">
        <f>IF($A3298="",0,$H3298*설정!$C$23)</f>
        <v/>
      </c>
      <c r="Q3298" s="64">
        <f>IF($A3298="","",IF(O3298&lt;&gt;원인분석!$C$9,"",IF(AND(M3298&gt;=원인분석!$C$10,M3298&lt;=원인분석!$C$11),"당기",IF(AND(M3298&gt;=원인분석!$C$12,M3298&lt;=원인분석!$C$13),"비교",""))))</f>
        <v/>
      </c>
      <c r="R3298" s="9">
        <f>IF(Q3298="","",$K3298&amp;"")</f>
        <v/>
      </c>
      <c r="S3298" s="9">
        <f>IF(Q3298="","",IF(MATCH(R3298,$R$5:$R$100000,0)=ROW()-4,ROW(),""))</f>
        <v/>
      </c>
      <c r="T3298" s="9">
        <f>IF(Q3298="당기",ABS(P3298)+ROW()/1000000000,"")</f>
        <v/>
      </c>
      <c r="U3298" s="9">
        <f>IF(Q3298="비교",ABS(P3298)+ROW()/1000000000,"")</f>
        <v/>
      </c>
      <c r="V3298" s="64">
        <f>IF($A3298="","",IF(COUNTIF(변동분석!$E$7:$E$506,O3298)&gt;0,"Y","N"))</f>
        <v/>
      </c>
      <c r="W3298" s="64">
        <f>IF($A3298="","",IFERROR(INDEX(계정매핑!$D$5:$D$504,MATCH($F3298&amp;"",계정매핑!$A$5:$A$504,0)),"미매핑"))</f>
        <v/>
      </c>
      <c r="X3298" s="9">
        <f>IF($A3298="","",$F3298&amp;"")</f>
        <v/>
      </c>
      <c r="Y3298" s="94">
        <f>IF($A3298="",0,IF(AE3298="직접",IF(AF3298="비귀속",$P3298,0),$P3298*(1-AG3298)*IFERROR(INDEX(계정대체기준!$F$20:$F$49,MATCH($N3298,계정대체기준!$A$20:$A$49,0)),1)))</f>
        <v/>
      </c>
      <c r="Z3298" s="94">
        <f>IF($A3298="",0,IF(AE3298="직접",IF(AF3298="신계약비",$P3298,0),$P3298*(1-AG3298)*IFERROR(INDEX(계정대체기준!$C$20:$C$49,MATCH($N3298,계정대체기준!$A$20:$A$49,0)),0)))</f>
        <v/>
      </c>
      <c r="AA3298" s="94">
        <f>IF($A3298="",0,IF(AE3298="직접",IF(OR(AF3298="유지비",AF3298="손해조사비"),$P3298,0),$P3298*(1-AG3298)*IFERROR(INDEX(계정대체기준!$D$20:$D$49,MATCH($N3298,계정대체기준!$A$20:$A$49,0)),0)))</f>
        <v/>
      </c>
      <c r="AB3298" s="94">
        <f>IF($A3298="",0,IF(AE3298="직접",IF(AF3298="수금비",$P3298,0),$P3298*(1-AG3298)*IFERROR(INDEX(계정대체기준!$E$20:$E$49,MATCH($N3298,계정대체기준!$A$20:$A$49,0)),0)))</f>
        <v/>
      </c>
      <c r="AC3298" s="9">
        <f>IF(AND($A3298&lt;&gt;"",M3298=설정!$C$20,Z3298&gt;0),Z3298+ROW()/1000000000,"")</f>
        <v/>
      </c>
      <c r="AD3298" s="94">
        <f>IF($A3298="",0,$P3298*AG3298)</f>
        <v/>
      </c>
      <c r="AE3298" s="64">
        <f>IF($A3298="","",IFERROR(INDEX(계정매핑!$E$5:$E$504,MATCH($F3298&amp;"",계정매핑!$A$5:$A$504,0))&amp;"","공통비"))</f>
        <v/>
      </c>
      <c r="AF3298" s="64">
        <f>IF($A3298="","",IF(AE3298="직접",IFERROR(INDEX(계정매핑!$F$5:$F$504,MATCH($F3298&amp;"",계정매핑!$A$5:$A$504,0))&amp;"","비귀속"),""))</f>
        <v/>
      </c>
      <c r="AG3298" s="96">
        <f>IF($A3298="",0,IF(AND(AE3298&lt;&gt;"직접",IFERROR(INDEX(계정매핑!$G$5:$G$504,MATCH($F3298&amp;"",계정매핑!$A$5:$A$504,0))&amp;"","")="유지비",COUNTIF(계정대체기준!$A$6:$A$15,$N3298)&gt;0),IFERROR(INDEX(계정대체기준!$E$6:$E$15,MATCH(VALUE($A3298&amp;""),계정대체기준!$D$6:$D$15,0)),0),0))</f>
        <v/>
      </c>
      <c r="AH3298" s="64">
        <f>IF($A3298="","",IF(AD3298=0,"",IF(OR(COUNTIF(계정대체기준!$A$77:$A$86,$N3298)&gt;0,ISNUMBER(MATCH($X3298,계정대체기준!$D$77:$D$86,0)),ISNUMBER(MATCH($F3298,계정대체기준!$D$77:$D$86,0))),"Y","N")))</f>
        <v/>
      </c>
    </row>
    <row r="3299">
      <c r="A3299" s="92" t="n">
        <v>2026</v>
      </c>
      <c r="B3299" s="92" t="n">
        <v>3</v>
      </c>
      <c r="C3299" s="92" t="inlineStr">
        <is>
          <t>5100000577</t>
        </is>
      </c>
      <c r="D3299" s="95" t="n">
        <v>46096</v>
      </c>
      <c r="E3299" s="92" t="inlineStr">
        <is>
          <t>KR</t>
        </is>
      </c>
      <c r="F3299" s="92" t="n">
        <v>62301000</v>
      </c>
      <c r="G3299" s="92" t="n">
        <v>1401</v>
      </c>
      <c r="H3299" s="93" t="n">
        <v>74000</v>
      </c>
      <c r="I3299" s="92" t="inlineStr">
        <is>
          <t>3월 소모품 구입 - Q오피스</t>
        </is>
      </c>
      <c r="J3299" s="92" t="inlineStr">
        <is>
          <t>V10003</t>
        </is>
      </c>
      <c r="K3299" s="92" t="inlineStr">
        <is>
          <t>Q오피스</t>
        </is>
      </c>
      <c r="M3299" s="9">
        <f>IF($A3299="","",VALUE($A3299&amp;"")*12+VALUE($B3299&amp;""))</f>
        <v/>
      </c>
      <c r="N3299" s="64">
        <f>IF($A3299="","",IFERROR(INDEX(부서매핑!$C$5:$C$504,MATCH($G3299&amp;"",부서매핑!$A$5:$A$504,0)),"미매핑"))</f>
        <v/>
      </c>
      <c r="O3299" s="9">
        <f>IF($A3299="","",N3299&amp;"|"&amp;$F3299)</f>
        <v/>
      </c>
      <c r="P3299" s="94">
        <f>IF($A3299="",0,$H3299*설정!$C$23)</f>
        <v/>
      </c>
      <c r="Q3299" s="64">
        <f>IF($A3299="","",IF(O3299&lt;&gt;원인분석!$C$9,"",IF(AND(M3299&gt;=원인분석!$C$10,M3299&lt;=원인분석!$C$11),"당기",IF(AND(M3299&gt;=원인분석!$C$12,M3299&lt;=원인분석!$C$13),"비교",""))))</f>
        <v/>
      </c>
      <c r="R3299" s="9">
        <f>IF(Q3299="","",$K3299&amp;"")</f>
        <v/>
      </c>
      <c r="S3299" s="9">
        <f>IF(Q3299="","",IF(MATCH(R3299,$R$5:$R$100000,0)=ROW()-4,ROW(),""))</f>
        <v/>
      </c>
      <c r="T3299" s="9">
        <f>IF(Q3299="당기",ABS(P3299)+ROW()/1000000000,"")</f>
        <v/>
      </c>
      <c r="U3299" s="9">
        <f>IF(Q3299="비교",ABS(P3299)+ROW()/1000000000,"")</f>
        <v/>
      </c>
      <c r="V3299" s="64">
        <f>IF($A3299="","",IF(COUNTIF(변동분석!$E$7:$E$506,O3299)&gt;0,"Y","N"))</f>
        <v/>
      </c>
      <c r="W3299" s="64">
        <f>IF($A3299="","",IFERROR(INDEX(계정매핑!$D$5:$D$504,MATCH($F3299&amp;"",계정매핑!$A$5:$A$504,0)),"미매핑"))</f>
        <v/>
      </c>
      <c r="X3299" s="9">
        <f>IF($A3299="","",$F3299&amp;"")</f>
        <v/>
      </c>
      <c r="Y3299" s="94">
        <f>IF($A3299="",0,IF(AE3299="직접",IF(AF3299="비귀속",$P3299,0),$P3299*(1-AG3299)*IFERROR(INDEX(계정대체기준!$F$20:$F$49,MATCH($N3299,계정대체기준!$A$20:$A$49,0)),1)))</f>
        <v/>
      </c>
      <c r="Z3299" s="94">
        <f>IF($A3299="",0,IF(AE3299="직접",IF(AF3299="신계약비",$P3299,0),$P3299*(1-AG3299)*IFERROR(INDEX(계정대체기준!$C$20:$C$49,MATCH($N3299,계정대체기준!$A$20:$A$49,0)),0)))</f>
        <v/>
      </c>
      <c r="AA3299" s="94">
        <f>IF($A3299="",0,IF(AE3299="직접",IF(OR(AF3299="유지비",AF3299="손해조사비"),$P3299,0),$P3299*(1-AG3299)*IFERROR(INDEX(계정대체기준!$D$20:$D$49,MATCH($N3299,계정대체기준!$A$20:$A$49,0)),0)))</f>
        <v/>
      </c>
      <c r="AB3299" s="94">
        <f>IF($A3299="",0,IF(AE3299="직접",IF(AF3299="수금비",$P3299,0),$P3299*(1-AG3299)*IFERROR(INDEX(계정대체기준!$E$20:$E$49,MATCH($N3299,계정대체기준!$A$20:$A$49,0)),0)))</f>
        <v/>
      </c>
      <c r="AC3299" s="9">
        <f>IF(AND($A3299&lt;&gt;"",M3299=설정!$C$20,Z3299&gt;0),Z3299+ROW()/1000000000,"")</f>
        <v/>
      </c>
      <c r="AD3299" s="94">
        <f>IF($A3299="",0,$P3299*AG3299)</f>
        <v/>
      </c>
      <c r="AE3299" s="64">
        <f>IF($A3299="","",IFERROR(INDEX(계정매핑!$E$5:$E$504,MATCH($F3299&amp;"",계정매핑!$A$5:$A$504,0))&amp;"","공통비"))</f>
        <v/>
      </c>
      <c r="AF3299" s="64">
        <f>IF($A3299="","",IF(AE3299="직접",IFERROR(INDEX(계정매핑!$F$5:$F$504,MATCH($F3299&amp;"",계정매핑!$A$5:$A$504,0))&amp;"","비귀속"),""))</f>
        <v/>
      </c>
      <c r="AG3299" s="96">
        <f>IF($A3299="",0,IF(AND(AE3299&lt;&gt;"직접",IFERROR(INDEX(계정매핑!$G$5:$G$504,MATCH($F3299&amp;"",계정매핑!$A$5:$A$504,0))&amp;"","")="유지비",COUNTIF(계정대체기준!$A$6:$A$15,$N3299)&gt;0),IFERROR(INDEX(계정대체기준!$E$6:$E$15,MATCH(VALUE($A3299&amp;""),계정대체기준!$D$6:$D$15,0)),0),0))</f>
        <v/>
      </c>
      <c r="AH3299" s="64">
        <f>IF($A3299="","",IF(AD3299=0,"",IF(OR(COUNTIF(계정대체기준!$A$77:$A$86,$N3299)&gt;0,ISNUMBER(MATCH($X3299,계정대체기준!$D$77:$D$86,0)),ISNUMBER(MATCH($F3299,계정대체기준!$D$77:$D$86,0))),"Y","N")))</f>
        <v/>
      </c>
    </row>
    <row r="3300">
      <c r="A3300" s="92" t="n">
        <v>2026</v>
      </c>
      <c r="B3300" s="92" t="n">
        <v>3</v>
      </c>
      <c r="C3300" s="92" t="inlineStr">
        <is>
          <t>5100000578</t>
        </is>
      </c>
      <c r="D3300" s="95" t="n">
        <v>46096</v>
      </c>
      <c r="E3300" s="92" t="inlineStr">
        <is>
          <t>KR</t>
        </is>
      </c>
      <c r="F3300" s="92" t="n">
        <v>62301000</v>
      </c>
      <c r="G3300" s="92" t="n">
        <v>1501</v>
      </c>
      <c r="H3300" s="93" t="n">
        <v>227000</v>
      </c>
      <c r="I3300" s="92" t="inlineStr">
        <is>
          <t>3월 소모품 구입 - Q오피스</t>
        </is>
      </c>
      <c r="J3300" s="92" t="inlineStr">
        <is>
          <t>V10003</t>
        </is>
      </c>
      <c r="K3300" s="92" t="inlineStr">
        <is>
          <t>Q오피스</t>
        </is>
      </c>
      <c r="M3300" s="9">
        <f>IF($A3300="","",VALUE($A3300&amp;"")*12+VALUE($B3300&amp;""))</f>
        <v/>
      </c>
      <c r="N3300" s="64">
        <f>IF($A3300="","",IFERROR(INDEX(부서매핑!$C$5:$C$504,MATCH($G3300&amp;"",부서매핑!$A$5:$A$504,0)),"미매핑"))</f>
        <v/>
      </c>
      <c r="O3300" s="9">
        <f>IF($A3300="","",N3300&amp;"|"&amp;$F3300)</f>
        <v/>
      </c>
      <c r="P3300" s="94">
        <f>IF($A3300="",0,$H3300*설정!$C$23)</f>
        <v/>
      </c>
      <c r="Q3300" s="64">
        <f>IF($A3300="","",IF(O3300&lt;&gt;원인분석!$C$9,"",IF(AND(M3300&gt;=원인분석!$C$10,M3300&lt;=원인분석!$C$11),"당기",IF(AND(M3300&gt;=원인분석!$C$12,M3300&lt;=원인분석!$C$13),"비교",""))))</f>
        <v/>
      </c>
      <c r="R3300" s="9">
        <f>IF(Q3300="","",$K3300&amp;"")</f>
        <v/>
      </c>
      <c r="S3300" s="9">
        <f>IF(Q3300="","",IF(MATCH(R3300,$R$5:$R$100000,0)=ROW()-4,ROW(),""))</f>
        <v/>
      </c>
      <c r="T3300" s="9">
        <f>IF(Q3300="당기",ABS(P3300)+ROW()/1000000000,"")</f>
        <v/>
      </c>
      <c r="U3300" s="9">
        <f>IF(Q3300="비교",ABS(P3300)+ROW()/1000000000,"")</f>
        <v/>
      </c>
      <c r="V3300" s="64">
        <f>IF($A3300="","",IF(COUNTIF(변동분석!$E$7:$E$506,O3300)&gt;0,"Y","N"))</f>
        <v/>
      </c>
      <c r="W3300" s="64">
        <f>IF($A3300="","",IFERROR(INDEX(계정매핑!$D$5:$D$504,MATCH($F3300&amp;"",계정매핑!$A$5:$A$504,0)),"미매핑"))</f>
        <v/>
      </c>
      <c r="X3300" s="9">
        <f>IF($A3300="","",$F3300&amp;"")</f>
        <v/>
      </c>
      <c r="Y3300" s="94">
        <f>IF($A3300="",0,IF(AE3300="직접",IF(AF3300="비귀속",$P3300,0),$P3300*(1-AG3300)*IFERROR(INDEX(계정대체기준!$F$20:$F$49,MATCH($N3300,계정대체기준!$A$20:$A$49,0)),1)))</f>
        <v/>
      </c>
      <c r="Z3300" s="94">
        <f>IF($A3300="",0,IF(AE3300="직접",IF(AF3300="신계약비",$P3300,0),$P3300*(1-AG3300)*IFERROR(INDEX(계정대체기준!$C$20:$C$49,MATCH($N3300,계정대체기준!$A$20:$A$49,0)),0)))</f>
        <v/>
      </c>
      <c r="AA3300" s="94">
        <f>IF($A3300="",0,IF(AE3300="직접",IF(OR(AF3300="유지비",AF3300="손해조사비"),$P3300,0),$P3300*(1-AG3300)*IFERROR(INDEX(계정대체기준!$D$20:$D$49,MATCH($N3300,계정대체기준!$A$20:$A$49,0)),0)))</f>
        <v/>
      </c>
      <c r="AB3300" s="94">
        <f>IF($A3300="",0,IF(AE3300="직접",IF(AF3300="수금비",$P3300,0),$P3300*(1-AG3300)*IFERROR(INDEX(계정대체기준!$E$20:$E$49,MATCH($N3300,계정대체기준!$A$20:$A$49,0)),0)))</f>
        <v/>
      </c>
      <c r="AC3300" s="9">
        <f>IF(AND($A3300&lt;&gt;"",M3300=설정!$C$20,Z3300&gt;0),Z3300+ROW()/1000000000,"")</f>
        <v/>
      </c>
      <c r="AD3300" s="94">
        <f>IF($A3300="",0,$P3300*AG3300)</f>
        <v/>
      </c>
      <c r="AE3300" s="64">
        <f>IF($A3300="","",IFERROR(INDEX(계정매핑!$E$5:$E$504,MATCH($F3300&amp;"",계정매핑!$A$5:$A$504,0))&amp;"","공통비"))</f>
        <v/>
      </c>
      <c r="AF3300" s="64">
        <f>IF($A3300="","",IF(AE3300="직접",IFERROR(INDEX(계정매핑!$F$5:$F$504,MATCH($F3300&amp;"",계정매핑!$A$5:$A$504,0))&amp;"","비귀속"),""))</f>
        <v/>
      </c>
      <c r="AG3300" s="96">
        <f>IF($A3300="",0,IF(AND(AE3300&lt;&gt;"직접",IFERROR(INDEX(계정매핑!$G$5:$G$504,MATCH($F3300&amp;"",계정매핑!$A$5:$A$504,0))&amp;"","")="유지비",COUNTIF(계정대체기준!$A$6:$A$15,$N3300)&gt;0),IFERROR(INDEX(계정대체기준!$E$6:$E$15,MATCH(VALUE($A3300&amp;""),계정대체기준!$D$6:$D$15,0)),0),0))</f>
        <v/>
      </c>
      <c r="AH3300" s="64">
        <f>IF($A3300="","",IF(AD3300=0,"",IF(OR(COUNTIF(계정대체기준!$A$77:$A$86,$N3300)&gt;0,ISNUMBER(MATCH($X3300,계정대체기준!$D$77:$D$86,0)),ISNUMBER(MATCH($F3300,계정대체기준!$D$77:$D$86,0))),"Y","N")))</f>
        <v/>
      </c>
    </row>
    <row r="3301">
      <c r="A3301" s="92" t="n">
        <v>2026</v>
      </c>
      <c r="B3301" s="92" t="n">
        <v>3</v>
      </c>
      <c r="C3301" s="92" t="inlineStr">
        <is>
          <t>5100000579</t>
        </is>
      </c>
      <c r="D3301" s="95" t="n">
        <v>46096</v>
      </c>
      <c r="E3301" s="92" t="inlineStr">
        <is>
          <t>KR</t>
        </is>
      </c>
      <c r="F3301" s="92" t="n">
        <v>62301000</v>
      </c>
      <c r="G3301" s="92" t="n">
        <v>1602</v>
      </c>
      <c r="H3301" s="93" t="n">
        <v>296000</v>
      </c>
      <c r="I3301" s="92" t="inlineStr">
        <is>
          <t>3월 소모품 구입 - Q오피스</t>
        </is>
      </c>
      <c r="J3301" s="92" t="inlineStr">
        <is>
          <t>V10003</t>
        </is>
      </c>
      <c r="K3301" s="92" t="inlineStr">
        <is>
          <t>Q오피스</t>
        </is>
      </c>
      <c r="M3301" s="9">
        <f>IF($A3301="","",VALUE($A3301&amp;"")*12+VALUE($B3301&amp;""))</f>
        <v/>
      </c>
      <c r="N3301" s="64">
        <f>IF($A3301="","",IFERROR(INDEX(부서매핑!$C$5:$C$504,MATCH($G3301&amp;"",부서매핑!$A$5:$A$504,0)),"미매핑"))</f>
        <v/>
      </c>
      <c r="O3301" s="9">
        <f>IF($A3301="","",N3301&amp;"|"&amp;$F3301)</f>
        <v/>
      </c>
      <c r="P3301" s="94">
        <f>IF($A3301="",0,$H3301*설정!$C$23)</f>
        <v/>
      </c>
      <c r="Q3301" s="64">
        <f>IF($A3301="","",IF(O3301&lt;&gt;원인분석!$C$9,"",IF(AND(M3301&gt;=원인분석!$C$10,M3301&lt;=원인분석!$C$11),"당기",IF(AND(M3301&gt;=원인분석!$C$12,M3301&lt;=원인분석!$C$13),"비교",""))))</f>
        <v/>
      </c>
      <c r="R3301" s="9">
        <f>IF(Q3301="","",$K3301&amp;"")</f>
        <v/>
      </c>
      <c r="S3301" s="9">
        <f>IF(Q3301="","",IF(MATCH(R3301,$R$5:$R$100000,0)=ROW()-4,ROW(),""))</f>
        <v/>
      </c>
      <c r="T3301" s="9">
        <f>IF(Q3301="당기",ABS(P3301)+ROW()/1000000000,"")</f>
        <v/>
      </c>
      <c r="U3301" s="9">
        <f>IF(Q3301="비교",ABS(P3301)+ROW()/1000000000,"")</f>
        <v/>
      </c>
      <c r="V3301" s="64">
        <f>IF($A3301="","",IF(COUNTIF(변동분석!$E$7:$E$506,O3301)&gt;0,"Y","N"))</f>
        <v/>
      </c>
      <c r="W3301" s="64">
        <f>IF($A3301="","",IFERROR(INDEX(계정매핑!$D$5:$D$504,MATCH($F3301&amp;"",계정매핑!$A$5:$A$504,0)),"미매핑"))</f>
        <v/>
      </c>
      <c r="X3301" s="9">
        <f>IF($A3301="","",$F3301&amp;"")</f>
        <v/>
      </c>
      <c r="Y3301" s="94">
        <f>IF($A3301="",0,IF(AE3301="직접",IF(AF3301="비귀속",$P3301,0),$P3301*(1-AG3301)*IFERROR(INDEX(계정대체기준!$F$20:$F$49,MATCH($N3301,계정대체기준!$A$20:$A$49,0)),1)))</f>
        <v/>
      </c>
      <c r="Z3301" s="94">
        <f>IF($A3301="",0,IF(AE3301="직접",IF(AF3301="신계약비",$P3301,0),$P3301*(1-AG3301)*IFERROR(INDEX(계정대체기준!$C$20:$C$49,MATCH($N3301,계정대체기준!$A$20:$A$49,0)),0)))</f>
        <v/>
      </c>
      <c r="AA3301" s="94">
        <f>IF($A3301="",0,IF(AE3301="직접",IF(OR(AF3301="유지비",AF3301="손해조사비"),$P3301,0),$P3301*(1-AG3301)*IFERROR(INDEX(계정대체기준!$D$20:$D$49,MATCH($N3301,계정대체기준!$A$20:$A$49,0)),0)))</f>
        <v/>
      </c>
      <c r="AB3301" s="94">
        <f>IF($A3301="",0,IF(AE3301="직접",IF(AF3301="수금비",$P3301,0),$P3301*(1-AG3301)*IFERROR(INDEX(계정대체기준!$E$20:$E$49,MATCH($N3301,계정대체기준!$A$20:$A$49,0)),0)))</f>
        <v/>
      </c>
      <c r="AC3301" s="9">
        <f>IF(AND($A3301&lt;&gt;"",M3301=설정!$C$20,Z3301&gt;0),Z3301+ROW()/1000000000,"")</f>
        <v/>
      </c>
      <c r="AD3301" s="94">
        <f>IF($A3301="",0,$P3301*AG3301)</f>
        <v/>
      </c>
      <c r="AE3301" s="64">
        <f>IF($A3301="","",IFERROR(INDEX(계정매핑!$E$5:$E$504,MATCH($F3301&amp;"",계정매핑!$A$5:$A$504,0))&amp;"","공통비"))</f>
        <v/>
      </c>
      <c r="AF3301" s="64">
        <f>IF($A3301="","",IF(AE3301="직접",IFERROR(INDEX(계정매핑!$F$5:$F$504,MATCH($F3301&amp;"",계정매핑!$A$5:$A$504,0))&amp;"","비귀속"),""))</f>
        <v/>
      </c>
      <c r="AG3301" s="96">
        <f>IF($A3301="",0,IF(AND(AE3301&lt;&gt;"직접",IFERROR(INDEX(계정매핑!$G$5:$G$504,MATCH($F3301&amp;"",계정매핑!$A$5:$A$504,0))&amp;"","")="유지비",COUNTIF(계정대체기준!$A$6:$A$15,$N3301)&gt;0),IFERROR(INDEX(계정대체기준!$E$6:$E$15,MATCH(VALUE($A3301&amp;""),계정대체기준!$D$6:$D$15,0)),0),0))</f>
        <v/>
      </c>
      <c r="AH3301" s="64">
        <f>IF($A3301="","",IF(AD3301=0,"",IF(OR(COUNTIF(계정대체기준!$A$77:$A$86,$N3301)&gt;0,ISNUMBER(MATCH($X3301,계정대체기준!$D$77:$D$86,0)),ISNUMBER(MATCH($F3301,계정대체기준!$D$77:$D$86,0))),"Y","N")))</f>
        <v/>
      </c>
    </row>
    <row r="3302">
      <c r="A3302" s="92" t="n">
        <v>2026</v>
      </c>
      <c r="B3302" s="92" t="n">
        <v>3</v>
      </c>
      <c r="C3302" s="92" t="inlineStr">
        <is>
          <t>5100000580</t>
        </is>
      </c>
      <c r="D3302" s="95" t="n">
        <v>46096</v>
      </c>
      <c r="E3302" s="92" t="inlineStr">
        <is>
          <t>KR</t>
        </is>
      </c>
      <c r="F3302" s="92" t="n">
        <v>62701000</v>
      </c>
      <c r="G3302" s="92" t="n">
        <v>1501</v>
      </c>
      <c r="H3302" s="93" t="n">
        <v>54706000</v>
      </c>
      <c r="I3302" s="92" t="inlineStr">
        <is>
          <t>3월 광고 집행 - E미디어</t>
        </is>
      </c>
      <c r="J3302" s="92" t="inlineStr">
        <is>
          <t>V10033</t>
        </is>
      </c>
      <c r="K3302" s="92" t="inlineStr">
        <is>
          <t>E미디어</t>
        </is>
      </c>
      <c r="M3302" s="9">
        <f>IF($A3302="","",VALUE($A3302&amp;"")*12+VALUE($B3302&amp;""))</f>
        <v/>
      </c>
      <c r="N3302" s="64">
        <f>IF($A3302="","",IFERROR(INDEX(부서매핑!$C$5:$C$504,MATCH($G3302&amp;"",부서매핑!$A$5:$A$504,0)),"미매핑"))</f>
        <v/>
      </c>
      <c r="O3302" s="9">
        <f>IF($A3302="","",N3302&amp;"|"&amp;$F3302)</f>
        <v/>
      </c>
      <c r="P3302" s="94">
        <f>IF($A3302="",0,$H3302*설정!$C$23)</f>
        <v/>
      </c>
      <c r="Q3302" s="64">
        <f>IF($A3302="","",IF(O3302&lt;&gt;원인분석!$C$9,"",IF(AND(M3302&gt;=원인분석!$C$10,M3302&lt;=원인분석!$C$11),"당기",IF(AND(M3302&gt;=원인분석!$C$12,M3302&lt;=원인분석!$C$13),"비교",""))))</f>
        <v/>
      </c>
      <c r="R3302" s="9">
        <f>IF(Q3302="","",$K3302&amp;"")</f>
        <v/>
      </c>
      <c r="S3302" s="9">
        <f>IF(Q3302="","",IF(MATCH(R3302,$R$5:$R$100000,0)=ROW()-4,ROW(),""))</f>
        <v/>
      </c>
      <c r="T3302" s="9">
        <f>IF(Q3302="당기",ABS(P3302)+ROW()/1000000000,"")</f>
        <v/>
      </c>
      <c r="U3302" s="9">
        <f>IF(Q3302="비교",ABS(P3302)+ROW()/1000000000,"")</f>
        <v/>
      </c>
      <c r="V3302" s="64">
        <f>IF($A3302="","",IF(COUNTIF(변동분석!$E$7:$E$506,O3302)&gt;0,"Y","N"))</f>
        <v/>
      </c>
      <c r="W3302" s="64">
        <f>IF($A3302="","",IFERROR(INDEX(계정매핑!$D$5:$D$504,MATCH($F3302&amp;"",계정매핑!$A$5:$A$504,0)),"미매핑"))</f>
        <v/>
      </c>
      <c r="X3302" s="9">
        <f>IF($A3302="","",$F3302&amp;"")</f>
        <v/>
      </c>
      <c r="Y3302" s="94">
        <f>IF($A3302="",0,IF(AE3302="직접",IF(AF3302="비귀속",$P3302,0),$P3302*(1-AG3302)*IFERROR(INDEX(계정대체기준!$F$20:$F$49,MATCH($N3302,계정대체기준!$A$20:$A$49,0)),1)))</f>
        <v/>
      </c>
      <c r="Z3302" s="94">
        <f>IF($A3302="",0,IF(AE3302="직접",IF(AF3302="신계약비",$P3302,0),$P3302*(1-AG3302)*IFERROR(INDEX(계정대체기준!$C$20:$C$49,MATCH($N3302,계정대체기준!$A$20:$A$49,0)),0)))</f>
        <v/>
      </c>
      <c r="AA3302" s="94">
        <f>IF($A3302="",0,IF(AE3302="직접",IF(OR(AF3302="유지비",AF3302="손해조사비"),$P3302,0),$P3302*(1-AG3302)*IFERROR(INDEX(계정대체기준!$D$20:$D$49,MATCH($N3302,계정대체기준!$A$20:$A$49,0)),0)))</f>
        <v/>
      </c>
      <c r="AB3302" s="94">
        <f>IF($A3302="",0,IF(AE3302="직접",IF(AF3302="수금비",$P3302,0),$P3302*(1-AG3302)*IFERROR(INDEX(계정대체기준!$E$20:$E$49,MATCH($N3302,계정대체기준!$A$20:$A$49,0)),0)))</f>
        <v/>
      </c>
      <c r="AC3302" s="9">
        <f>IF(AND($A3302&lt;&gt;"",M3302=설정!$C$20,Z3302&gt;0),Z3302+ROW()/1000000000,"")</f>
        <v/>
      </c>
      <c r="AD3302" s="94">
        <f>IF($A3302="",0,$P3302*AG3302)</f>
        <v/>
      </c>
      <c r="AE3302" s="64">
        <f>IF($A3302="","",IFERROR(INDEX(계정매핑!$E$5:$E$504,MATCH($F3302&amp;"",계정매핑!$A$5:$A$504,0))&amp;"","공통비"))</f>
        <v/>
      </c>
      <c r="AF3302" s="64">
        <f>IF($A3302="","",IF(AE3302="직접",IFERROR(INDEX(계정매핑!$F$5:$F$504,MATCH($F3302&amp;"",계정매핑!$A$5:$A$504,0))&amp;"","비귀속"),""))</f>
        <v/>
      </c>
      <c r="AG3302" s="96">
        <f>IF($A3302="",0,IF(AND(AE3302&lt;&gt;"직접",IFERROR(INDEX(계정매핑!$G$5:$G$504,MATCH($F3302&amp;"",계정매핑!$A$5:$A$504,0))&amp;"","")="유지비",COUNTIF(계정대체기준!$A$6:$A$15,$N3302)&gt;0),IFERROR(INDEX(계정대체기준!$E$6:$E$15,MATCH(VALUE($A3302&amp;""),계정대체기준!$D$6:$D$15,0)),0),0))</f>
        <v/>
      </c>
      <c r="AH3302" s="64">
        <f>IF($A3302="","",IF(AD3302=0,"",IF(OR(COUNTIF(계정대체기준!$A$77:$A$86,$N3302)&gt;0,ISNUMBER(MATCH($X3302,계정대체기준!$D$77:$D$86,0)),ISNUMBER(MATCH($F3302,계정대체기준!$D$77:$D$86,0))),"Y","N")))</f>
        <v/>
      </c>
    </row>
    <row r="3303">
      <c r="A3303" s="92" t="n">
        <v>2026</v>
      </c>
      <c r="B3303" s="92" t="n">
        <v>3</v>
      </c>
      <c r="C3303" s="92" t="inlineStr">
        <is>
          <t>5100000581</t>
        </is>
      </c>
      <c r="D3303" s="95" t="n">
        <v>46096</v>
      </c>
      <c r="E3303" s="92" t="inlineStr">
        <is>
          <t>KR</t>
        </is>
      </c>
      <c r="F3303" s="92" t="n">
        <v>62902000</v>
      </c>
      <c r="G3303" s="92" t="n">
        <v>1101</v>
      </c>
      <c r="H3303" s="93" t="n">
        <v>1169000</v>
      </c>
      <c r="I3303" s="92" t="inlineStr">
        <is>
          <t>3월 업무 위탁 수수료 - J콜센터</t>
        </is>
      </c>
      <c r="J3303" s="92" t="inlineStr">
        <is>
          <t>V10016</t>
        </is>
      </c>
      <c r="K3303" s="92" t="inlineStr">
        <is>
          <t>J콜센터</t>
        </is>
      </c>
      <c r="M3303" s="9">
        <f>IF($A3303="","",VALUE($A3303&amp;"")*12+VALUE($B3303&amp;""))</f>
        <v/>
      </c>
      <c r="N3303" s="64">
        <f>IF($A3303="","",IFERROR(INDEX(부서매핑!$C$5:$C$504,MATCH($G3303&amp;"",부서매핑!$A$5:$A$504,0)),"미매핑"))</f>
        <v/>
      </c>
      <c r="O3303" s="9">
        <f>IF($A3303="","",N3303&amp;"|"&amp;$F3303)</f>
        <v/>
      </c>
      <c r="P3303" s="94">
        <f>IF($A3303="",0,$H3303*설정!$C$23)</f>
        <v/>
      </c>
      <c r="Q3303" s="64">
        <f>IF($A3303="","",IF(O3303&lt;&gt;원인분석!$C$9,"",IF(AND(M3303&gt;=원인분석!$C$10,M3303&lt;=원인분석!$C$11),"당기",IF(AND(M3303&gt;=원인분석!$C$12,M3303&lt;=원인분석!$C$13),"비교",""))))</f>
        <v/>
      </c>
      <c r="R3303" s="9">
        <f>IF(Q3303="","",$K3303&amp;"")</f>
        <v/>
      </c>
      <c r="S3303" s="9">
        <f>IF(Q3303="","",IF(MATCH(R3303,$R$5:$R$100000,0)=ROW()-4,ROW(),""))</f>
        <v/>
      </c>
      <c r="T3303" s="9">
        <f>IF(Q3303="당기",ABS(P3303)+ROW()/1000000000,"")</f>
        <v/>
      </c>
      <c r="U3303" s="9">
        <f>IF(Q3303="비교",ABS(P3303)+ROW()/1000000000,"")</f>
        <v/>
      </c>
      <c r="V3303" s="64">
        <f>IF($A3303="","",IF(COUNTIF(변동분석!$E$7:$E$506,O3303)&gt;0,"Y","N"))</f>
        <v/>
      </c>
      <c r="W3303" s="64">
        <f>IF($A3303="","",IFERROR(INDEX(계정매핑!$D$5:$D$504,MATCH($F3303&amp;"",계정매핑!$A$5:$A$504,0)),"미매핑"))</f>
        <v/>
      </c>
      <c r="X3303" s="9">
        <f>IF($A3303="","",$F3303&amp;"")</f>
        <v/>
      </c>
      <c r="Y3303" s="94">
        <f>IF($A3303="",0,IF(AE3303="직접",IF(AF3303="비귀속",$P3303,0),$P3303*(1-AG3303)*IFERROR(INDEX(계정대체기준!$F$20:$F$49,MATCH($N3303,계정대체기준!$A$20:$A$49,0)),1)))</f>
        <v/>
      </c>
      <c r="Z3303" s="94">
        <f>IF($A3303="",0,IF(AE3303="직접",IF(AF3303="신계약비",$P3303,0),$P3303*(1-AG3303)*IFERROR(INDEX(계정대체기준!$C$20:$C$49,MATCH($N3303,계정대체기준!$A$20:$A$49,0)),0)))</f>
        <v/>
      </c>
      <c r="AA3303" s="94">
        <f>IF($A3303="",0,IF(AE3303="직접",IF(OR(AF3303="유지비",AF3303="손해조사비"),$P3303,0),$P3303*(1-AG3303)*IFERROR(INDEX(계정대체기준!$D$20:$D$49,MATCH($N3303,계정대체기준!$A$20:$A$49,0)),0)))</f>
        <v/>
      </c>
      <c r="AB3303" s="94">
        <f>IF($A3303="",0,IF(AE3303="직접",IF(AF3303="수금비",$P3303,0),$P3303*(1-AG3303)*IFERROR(INDEX(계정대체기준!$E$20:$E$49,MATCH($N3303,계정대체기준!$A$20:$A$49,0)),0)))</f>
        <v/>
      </c>
      <c r="AC3303" s="9">
        <f>IF(AND($A3303&lt;&gt;"",M3303=설정!$C$20,Z3303&gt;0),Z3303+ROW()/1000000000,"")</f>
        <v/>
      </c>
      <c r="AD3303" s="94">
        <f>IF($A3303="",0,$P3303*AG3303)</f>
        <v/>
      </c>
      <c r="AE3303" s="64">
        <f>IF($A3303="","",IFERROR(INDEX(계정매핑!$E$5:$E$504,MATCH($F3303&amp;"",계정매핑!$A$5:$A$504,0))&amp;"","공통비"))</f>
        <v/>
      </c>
      <c r="AF3303" s="64">
        <f>IF($A3303="","",IF(AE3303="직접",IFERROR(INDEX(계정매핑!$F$5:$F$504,MATCH($F3303&amp;"",계정매핑!$A$5:$A$504,0))&amp;"","비귀속"),""))</f>
        <v/>
      </c>
      <c r="AG3303" s="96">
        <f>IF($A3303="",0,IF(AND(AE3303&lt;&gt;"직접",IFERROR(INDEX(계정매핑!$G$5:$G$504,MATCH($F3303&amp;"",계정매핑!$A$5:$A$504,0))&amp;"","")="유지비",COUNTIF(계정대체기준!$A$6:$A$15,$N3303)&gt;0),IFERROR(INDEX(계정대체기준!$E$6:$E$15,MATCH(VALUE($A3303&amp;""),계정대체기준!$D$6:$D$15,0)),0),0))</f>
        <v/>
      </c>
      <c r="AH3303" s="64">
        <f>IF($A3303="","",IF(AD3303=0,"",IF(OR(COUNTIF(계정대체기준!$A$77:$A$86,$N3303)&gt;0,ISNUMBER(MATCH($X3303,계정대체기준!$D$77:$D$86,0)),ISNUMBER(MATCH($F3303,계정대체기준!$D$77:$D$86,0))),"Y","N")))</f>
        <v/>
      </c>
    </row>
    <row r="3304">
      <c r="A3304" s="92" t="n">
        <v>2026</v>
      </c>
      <c r="B3304" s="92" t="n">
        <v>3</v>
      </c>
      <c r="C3304" s="92" t="inlineStr">
        <is>
          <t>5100000582</t>
        </is>
      </c>
      <c r="D3304" s="95" t="n">
        <v>46096</v>
      </c>
      <c r="E3304" s="92" t="inlineStr">
        <is>
          <t>KR</t>
        </is>
      </c>
      <c r="F3304" s="92" t="n">
        <v>62902000</v>
      </c>
      <c r="G3304" s="92" t="n">
        <v>1401</v>
      </c>
      <c r="H3304" s="93" t="n">
        <v>2306000</v>
      </c>
      <c r="I3304" s="92" t="inlineStr">
        <is>
          <t>3월 업무 위탁 수수료 - X서비스</t>
        </is>
      </c>
      <c r="J3304" s="92" t="inlineStr">
        <is>
          <t>V10020</t>
        </is>
      </c>
      <c r="K3304" s="92" t="inlineStr">
        <is>
          <t>X서비스</t>
        </is>
      </c>
      <c r="M3304" s="9">
        <f>IF($A3304="","",VALUE($A3304&amp;"")*12+VALUE($B3304&amp;""))</f>
        <v/>
      </c>
      <c r="N3304" s="64">
        <f>IF($A3304="","",IFERROR(INDEX(부서매핑!$C$5:$C$504,MATCH($G3304&amp;"",부서매핑!$A$5:$A$504,0)),"미매핑"))</f>
        <v/>
      </c>
      <c r="O3304" s="9">
        <f>IF($A3304="","",N3304&amp;"|"&amp;$F3304)</f>
        <v/>
      </c>
      <c r="P3304" s="94">
        <f>IF($A3304="",0,$H3304*설정!$C$23)</f>
        <v/>
      </c>
      <c r="Q3304" s="64">
        <f>IF($A3304="","",IF(O3304&lt;&gt;원인분석!$C$9,"",IF(AND(M3304&gt;=원인분석!$C$10,M3304&lt;=원인분석!$C$11),"당기",IF(AND(M3304&gt;=원인분석!$C$12,M3304&lt;=원인분석!$C$13),"비교",""))))</f>
        <v/>
      </c>
      <c r="R3304" s="9">
        <f>IF(Q3304="","",$K3304&amp;"")</f>
        <v/>
      </c>
      <c r="S3304" s="9">
        <f>IF(Q3304="","",IF(MATCH(R3304,$R$5:$R$100000,0)=ROW()-4,ROW(),""))</f>
        <v/>
      </c>
      <c r="T3304" s="9">
        <f>IF(Q3304="당기",ABS(P3304)+ROW()/1000000000,"")</f>
        <v/>
      </c>
      <c r="U3304" s="9">
        <f>IF(Q3304="비교",ABS(P3304)+ROW()/1000000000,"")</f>
        <v/>
      </c>
      <c r="V3304" s="64">
        <f>IF($A3304="","",IF(COUNTIF(변동분석!$E$7:$E$506,O3304)&gt;0,"Y","N"))</f>
        <v/>
      </c>
      <c r="W3304" s="64">
        <f>IF($A3304="","",IFERROR(INDEX(계정매핑!$D$5:$D$504,MATCH($F3304&amp;"",계정매핑!$A$5:$A$504,0)),"미매핑"))</f>
        <v/>
      </c>
      <c r="X3304" s="9">
        <f>IF($A3304="","",$F3304&amp;"")</f>
        <v/>
      </c>
      <c r="Y3304" s="94">
        <f>IF($A3304="",0,IF(AE3304="직접",IF(AF3304="비귀속",$P3304,0),$P3304*(1-AG3304)*IFERROR(INDEX(계정대체기준!$F$20:$F$49,MATCH($N3304,계정대체기준!$A$20:$A$49,0)),1)))</f>
        <v/>
      </c>
      <c r="Z3304" s="94">
        <f>IF($A3304="",0,IF(AE3304="직접",IF(AF3304="신계약비",$P3304,0),$P3304*(1-AG3304)*IFERROR(INDEX(계정대체기준!$C$20:$C$49,MATCH($N3304,계정대체기준!$A$20:$A$49,0)),0)))</f>
        <v/>
      </c>
      <c r="AA3304" s="94">
        <f>IF($A3304="",0,IF(AE3304="직접",IF(OR(AF3304="유지비",AF3304="손해조사비"),$P3304,0),$P3304*(1-AG3304)*IFERROR(INDEX(계정대체기준!$D$20:$D$49,MATCH($N3304,계정대체기준!$A$20:$A$49,0)),0)))</f>
        <v/>
      </c>
      <c r="AB3304" s="94">
        <f>IF($A3304="",0,IF(AE3304="직접",IF(AF3304="수금비",$P3304,0),$P3304*(1-AG3304)*IFERROR(INDEX(계정대체기준!$E$20:$E$49,MATCH($N3304,계정대체기준!$A$20:$A$49,0)),0)))</f>
        <v/>
      </c>
      <c r="AC3304" s="9">
        <f>IF(AND($A3304&lt;&gt;"",M3304=설정!$C$20,Z3304&gt;0),Z3304+ROW()/1000000000,"")</f>
        <v/>
      </c>
      <c r="AD3304" s="94">
        <f>IF($A3304="",0,$P3304*AG3304)</f>
        <v/>
      </c>
      <c r="AE3304" s="64">
        <f>IF($A3304="","",IFERROR(INDEX(계정매핑!$E$5:$E$504,MATCH($F3304&amp;"",계정매핑!$A$5:$A$504,0))&amp;"","공통비"))</f>
        <v/>
      </c>
      <c r="AF3304" s="64">
        <f>IF($A3304="","",IF(AE3304="직접",IFERROR(INDEX(계정매핑!$F$5:$F$504,MATCH($F3304&amp;"",계정매핑!$A$5:$A$504,0))&amp;"","비귀속"),""))</f>
        <v/>
      </c>
      <c r="AG3304" s="96">
        <f>IF($A3304="",0,IF(AND(AE3304&lt;&gt;"직접",IFERROR(INDEX(계정매핑!$G$5:$G$504,MATCH($F3304&amp;"",계정매핑!$A$5:$A$504,0))&amp;"","")="유지비",COUNTIF(계정대체기준!$A$6:$A$15,$N3304)&gt;0),IFERROR(INDEX(계정대체기준!$E$6:$E$15,MATCH(VALUE($A3304&amp;""),계정대체기준!$D$6:$D$15,0)),0),0))</f>
        <v/>
      </c>
      <c r="AH3304" s="64">
        <f>IF($A3304="","",IF(AD3304=0,"",IF(OR(COUNTIF(계정대체기준!$A$77:$A$86,$N3304)&gt;0,ISNUMBER(MATCH($X3304,계정대체기준!$D$77:$D$86,0)),ISNUMBER(MATCH($F3304,계정대체기준!$D$77:$D$86,0))),"Y","N")))</f>
        <v/>
      </c>
    </row>
    <row r="3305">
      <c r="A3305" s="92" t="n">
        <v>2026</v>
      </c>
      <c r="B3305" s="92" t="n">
        <v>3</v>
      </c>
      <c r="C3305" s="92" t="inlineStr">
        <is>
          <t>5100000583</t>
        </is>
      </c>
      <c r="D3305" s="95" t="n">
        <v>46096</v>
      </c>
      <c r="E3305" s="92" t="inlineStr">
        <is>
          <t>KR</t>
        </is>
      </c>
      <c r="F3305" s="92" t="n">
        <v>63601000</v>
      </c>
      <c r="G3305" s="92" t="n">
        <v>1801</v>
      </c>
      <c r="H3305" s="93" t="n">
        <v>8909000</v>
      </c>
      <c r="I3305" s="92" t="inlineStr">
        <is>
          <t>3월 손해사정 수수료 - EE손해사정</t>
        </is>
      </c>
      <c r="J3305" s="92" t="inlineStr">
        <is>
          <t>V10008</t>
        </is>
      </c>
      <c r="K3305" s="92" t="inlineStr">
        <is>
          <t>EE손해사정</t>
        </is>
      </c>
      <c r="M3305" s="9">
        <f>IF($A3305="","",VALUE($A3305&amp;"")*12+VALUE($B3305&amp;""))</f>
        <v/>
      </c>
      <c r="N3305" s="64">
        <f>IF($A3305="","",IFERROR(INDEX(부서매핑!$C$5:$C$504,MATCH($G3305&amp;"",부서매핑!$A$5:$A$504,0)),"미매핑"))</f>
        <v/>
      </c>
      <c r="O3305" s="9">
        <f>IF($A3305="","",N3305&amp;"|"&amp;$F3305)</f>
        <v/>
      </c>
      <c r="P3305" s="94">
        <f>IF($A3305="",0,$H3305*설정!$C$23)</f>
        <v/>
      </c>
      <c r="Q3305" s="64">
        <f>IF($A3305="","",IF(O3305&lt;&gt;원인분석!$C$9,"",IF(AND(M3305&gt;=원인분석!$C$10,M3305&lt;=원인분석!$C$11),"당기",IF(AND(M3305&gt;=원인분석!$C$12,M3305&lt;=원인분석!$C$13),"비교",""))))</f>
        <v/>
      </c>
      <c r="R3305" s="9">
        <f>IF(Q3305="","",$K3305&amp;"")</f>
        <v/>
      </c>
      <c r="S3305" s="9">
        <f>IF(Q3305="","",IF(MATCH(R3305,$R$5:$R$100000,0)=ROW()-4,ROW(),""))</f>
        <v/>
      </c>
      <c r="T3305" s="9">
        <f>IF(Q3305="당기",ABS(P3305)+ROW()/1000000000,"")</f>
        <v/>
      </c>
      <c r="U3305" s="9">
        <f>IF(Q3305="비교",ABS(P3305)+ROW()/1000000000,"")</f>
        <v/>
      </c>
      <c r="V3305" s="64">
        <f>IF($A3305="","",IF(COUNTIF(변동분석!$E$7:$E$506,O3305)&gt;0,"Y","N"))</f>
        <v/>
      </c>
      <c r="W3305" s="64">
        <f>IF($A3305="","",IFERROR(INDEX(계정매핑!$D$5:$D$504,MATCH($F3305&amp;"",계정매핑!$A$5:$A$504,0)),"미매핑"))</f>
        <v/>
      </c>
      <c r="X3305" s="9">
        <f>IF($A3305="","",$F3305&amp;"")</f>
        <v/>
      </c>
      <c r="Y3305" s="94">
        <f>IF($A3305="",0,IF(AE3305="직접",IF(AF3305="비귀속",$P3305,0),$P3305*(1-AG3305)*IFERROR(INDEX(계정대체기준!$F$20:$F$49,MATCH($N3305,계정대체기준!$A$20:$A$49,0)),1)))</f>
        <v/>
      </c>
      <c r="Z3305" s="94">
        <f>IF($A3305="",0,IF(AE3305="직접",IF(AF3305="신계약비",$P3305,0),$P3305*(1-AG3305)*IFERROR(INDEX(계정대체기준!$C$20:$C$49,MATCH($N3305,계정대체기준!$A$20:$A$49,0)),0)))</f>
        <v/>
      </c>
      <c r="AA3305" s="94">
        <f>IF($A3305="",0,IF(AE3305="직접",IF(OR(AF3305="유지비",AF3305="손해조사비"),$P3305,0),$P3305*(1-AG3305)*IFERROR(INDEX(계정대체기준!$D$20:$D$49,MATCH($N3305,계정대체기준!$A$20:$A$49,0)),0)))</f>
        <v/>
      </c>
      <c r="AB3305" s="94">
        <f>IF($A3305="",0,IF(AE3305="직접",IF(AF3305="수금비",$P3305,0),$P3305*(1-AG3305)*IFERROR(INDEX(계정대체기준!$E$20:$E$49,MATCH($N3305,계정대체기준!$A$20:$A$49,0)),0)))</f>
        <v/>
      </c>
      <c r="AC3305" s="9">
        <f>IF(AND($A3305&lt;&gt;"",M3305=설정!$C$20,Z3305&gt;0),Z3305+ROW()/1000000000,"")</f>
        <v/>
      </c>
      <c r="AD3305" s="94">
        <f>IF($A3305="",0,$P3305*AG3305)</f>
        <v/>
      </c>
      <c r="AE3305" s="64">
        <f>IF($A3305="","",IFERROR(INDEX(계정매핑!$E$5:$E$504,MATCH($F3305&amp;"",계정매핑!$A$5:$A$504,0))&amp;"","공통비"))</f>
        <v/>
      </c>
      <c r="AF3305" s="64">
        <f>IF($A3305="","",IF(AE3305="직접",IFERROR(INDEX(계정매핑!$F$5:$F$504,MATCH($F3305&amp;"",계정매핑!$A$5:$A$504,0))&amp;"","비귀속"),""))</f>
        <v/>
      </c>
      <c r="AG3305" s="96">
        <f>IF($A3305="",0,IF(AND(AE3305&lt;&gt;"직접",IFERROR(INDEX(계정매핑!$G$5:$G$504,MATCH($F3305&amp;"",계정매핑!$A$5:$A$504,0))&amp;"","")="유지비",COUNTIF(계정대체기준!$A$6:$A$15,$N3305)&gt;0),IFERROR(INDEX(계정대체기준!$E$6:$E$15,MATCH(VALUE($A3305&amp;""),계정대체기준!$D$6:$D$15,0)),0),0))</f>
        <v/>
      </c>
      <c r="AH3305" s="64">
        <f>IF($A3305="","",IF(AD3305=0,"",IF(OR(COUNTIF(계정대체기준!$A$77:$A$86,$N3305)&gt;0,ISNUMBER(MATCH($X3305,계정대체기준!$D$77:$D$86,0)),ISNUMBER(MATCH($F3305,계정대체기준!$D$77:$D$86,0))),"Y","N")))</f>
        <v/>
      </c>
    </row>
    <row r="3306">
      <c r="A3306" s="92" t="n">
        <v>2026</v>
      </c>
      <c r="B3306" s="92" t="n">
        <v>3</v>
      </c>
      <c r="C3306" s="92" t="inlineStr">
        <is>
          <t>5100000584</t>
        </is>
      </c>
      <c r="D3306" s="95" t="n">
        <v>46097</v>
      </c>
      <c r="E3306" s="92" t="inlineStr">
        <is>
          <t>KR</t>
        </is>
      </c>
      <c r="F3306" s="92" t="n">
        <v>62101000</v>
      </c>
      <c r="G3306" s="92" t="n">
        <v>1401</v>
      </c>
      <c r="H3306" s="93" t="n">
        <v>444000</v>
      </c>
      <c r="I3306" s="92" t="inlineStr">
        <is>
          <t>3월 국내출장 - M항공</t>
        </is>
      </c>
      <c r="J3306" s="92" t="inlineStr">
        <is>
          <t>V10001</t>
        </is>
      </c>
      <c r="K3306" s="92" t="inlineStr">
        <is>
          <t>M항공</t>
        </is>
      </c>
      <c r="M3306" s="9">
        <f>IF($A3306="","",VALUE($A3306&amp;"")*12+VALUE($B3306&amp;""))</f>
        <v/>
      </c>
      <c r="N3306" s="64">
        <f>IF($A3306="","",IFERROR(INDEX(부서매핑!$C$5:$C$504,MATCH($G3306&amp;"",부서매핑!$A$5:$A$504,0)),"미매핑"))</f>
        <v/>
      </c>
      <c r="O3306" s="9">
        <f>IF($A3306="","",N3306&amp;"|"&amp;$F3306)</f>
        <v/>
      </c>
      <c r="P3306" s="94">
        <f>IF($A3306="",0,$H3306*설정!$C$23)</f>
        <v/>
      </c>
      <c r="Q3306" s="64">
        <f>IF($A3306="","",IF(O3306&lt;&gt;원인분석!$C$9,"",IF(AND(M3306&gt;=원인분석!$C$10,M3306&lt;=원인분석!$C$11),"당기",IF(AND(M3306&gt;=원인분석!$C$12,M3306&lt;=원인분석!$C$13),"비교",""))))</f>
        <v/>
      </c>
      <c r="R3306" s="9">
        <f>IF(Q3306="","",$K3306&amp;"")</f>
        <v/>
      </c>
      <c r="S3306" s="9">
        <f>IF(Q3306="","",IF(MATCH(R3306,$R$5:$R$100000,0)=ROW()-4,ROW(),""))</f>
        <v/>
      </c>
      <c r="T3306" s="9">
        <f>IF(Q3306="당기",ABS(P3306)+ROW()/1000000000,"")</f>
        <v/>
      </c>
      <c r="U3306" s="9">
        <f>IF(Q3306="비교",ABS(P3306)+ROW()/1000000000,"")</f>
        <v/>
      </c>
      <c r="V3306" s="64">
        <f>IF($A3306="","",IF(COUNTIF(변동분석!$E$7:$E$506,O3306)&gt;0,"Y","N"))</f>
        <v/>
      </c>
      <c r="W3306" s="64">
        <f>IF($A3306="","",IFERROR(INDEX(계정매핑!$D$5:$D$504,MATCH($F3306&amp;"",계정매핑!$A$5:$A$504,0)),"미매핑"))</f>
        <v/>
      </c>
      <c r="X3306" s="9">
        <f>IF($A3306="","",$F3306&amp;"")</f>
        <v/>
      </c>
      <c r="Y3306" s="94">
        <f>IF($A3306="",0,IF(AE3306="직접",IF(AF3306="비귀속",$P3306,0),$P3306*(1-AG3306)*IFERROR(INDEX(계정대체기준!$F$20:$F$49,MATCH($N3306,계정대체기준!$A$20:$A$49,0)),1)))</f>
        <v/>
      </c>
      <c r="Z3306" s="94">
        <f>IF($A3306="",0,IF(AE3306="직접",IF(AF3306="신계약비",$P3306,0),$P3306*(1-AG3306)*IFERROR(INDEX(계정대체기준!$C$20:$C$49,MATCH($N3306,계정대체기준!$A$20:$A$49,0)),0)))</f>
        <v/>
      </c>
      <c r="AA3306" s="94">
        <f>IF($A3306="",0,IF(AE3306="직접",IF(OR(AF3306="유지비",AF3306="손해조사비"),$P3306,0),$P3306*(1-AG3306)*IFERROR(INDEX(계정대체기준!$D$20:$D$49,MATCH($N3306,계정대체기준!$A$20:$A$49,0)),0)))</f>
        <v/>
      </c>
      <c r="AB3306" s="94">
        <f>IF($A3306="",0,IF(AE3306="직접",IF(AF3306="수금비",$P3306,0),$P3306*(1-AG3306)*IFERROR(INDEX(계정대체기준!$E$20:$E$49,MATCH($N3306,계정대체기준!$A$20:$A$49,0)),0)))</f>
        <v/>
      </c>
      <c r="AC3306" s="9">
        <f>IF(AND($A3306&lt;&gt;"",M3306=설정!$C$20,Z3306&gt;0),Z3306+ROW()/1000000000,"")</f>
        <v/>
      </c>
      <c r="AD3306" s="94">
        <f>IF($A3306="",0,$P3306*AG3306)</f>
        <v/>
      </c>
      <c r="AE3306" s="64">
        <f>IF($A3306="","",IFERROR(INDEX(계정매핑!$E$5:$E$504,MATCH($F3306&amp;"",계정매핑!$A$5:$A$504,0))&amp;"","공통비"))</f>
        <v/>
      </c>
      <c r="AF3306" s="64">
        <f>IF($A3306="","",IF(AE3306="직접",IFERROR(INDEX(계정매핑!$F$5:$F$504,MATCH($F3306&amp;"",계정매핑!$A$5:$A$504,0))&amp;"","비귀속"),""))</f>
        <v/>
      </c>
      <c r="AG3306" s="96">
        <f>IF($A3306="",0,IF(AND(AE3306&lt;&gt;"직접",IFERROR(INDEX(계정매핑!$G$5:$G$504,MATCH($F3306&amp;"",계정매핑!$A$5:$A$504,0))&amp;"","")="유지비",COUNTIF(계정대체기준!$A$6:$A$15,$N3306)&gt;0),IFERROR(INDEX(계정대체기준!$E$6:$E$15,MATCH(VALUE($A3306&amp;""),계정대체기준!$D$6:$D$15,0)),0),0))</f>
        <v/>
      </c>
      <c r="AH3306" s="64">
        <f>IF($A3306="","",IF(AD3306=0,"",IF(OR(COUNTIF(계정대체기준!$A$77:$A$86,$N3306)&gt;0,ISNUMBER(MATCH($X3306,계정대체기준!$D$77:$D$86,0)),ISNUMBER(MATCH($F3306,계정대체기준!$D$77:$D$86,0))),"Y","N")))</f>
        <v/>
      </c>
    </row>
    <row r="3307">
      <c r="A3307" s="92" t="n">
        <v>2026</v>
      </c>
      <c r="B3307" s="92" t="n">
        <v>3</v>
      </c>
      <c r="C3307" s="92" t="inlineStr">
        <is>
          <t>5100000585</t>
        </is>
      </c>
      <c r="D3307" s="95" t="n">
        <v>46097</v>
      </c>
      <c r="E3307" s="92" t="inlineStr">
        <is>
          <t>KR</t>
        </is>
      </c>
      <c r="F3307" s="92" t="n">
        <v>62102000</v>
      </c>
      <c r="G3307" s="92" t="n">
        <v>1602</v>
      </c>
      <c r="H3307" s="93" t="n">
        <v>702000</v>
      </c>
      <c r="I3307" s="92" t="inlineStr">
        <is>
          <t>3월 해외출장 - M항공</t>
        </is>
      </c>
      <c r="J3307" s="92" t="inlineStr">
        <is>
          <t>V10001</t>
        </is>
      </c>
      <c r="K3307" s="92" t="inlineStr">
        <is>
          <t>M항공</t>
        </is>
      </c>
      <c r="M3307" s="9">
        <f>IF($A3307="","",VALUE($A3307&amp;"")*12+VALUE($B3307&amp;""))</f>
        <v/>
      </c>
      <c r="N3307" s="64">
        <f>IF($A3307="","",IFERROR(INDEX(부서매핑!$C$5:$C$504,MATCH($G3307&amp;"",부서매핑!$A$5:$A$504,0)),"미매핑"))</f>
        <v/>
      </c>
      <c r="O3307" s="9">
        <f>IF($A3307="","",N3307&amp;"|"&amp;$F3307)</f>
        <v/>
      </c>
      <c r="P3307" s="94">
        <f>IF($A3307="",0,$H3307*설정!$C$23)</f>
        <v/>
      </c>
      <c r="Q3307" s="64">
        <f>IF($A3307="","",IF(O3307&lt;&gt;원인분석!$C$9,"",IF(AND(M3307&gt;=원인분석!$C$10,M3307&lt;=원인분석!$C$11),"당기",IF(AND(M3307&gt;=원인분석!$C$12,M3307&lt;=원인분석!$C$13),"비교",""))))</f>
        <v/>
      </c>
      <c r="R3307" s="9">
        <f>IF(Q3307="","",$K3307&amp;"")</f>
        <v/>
      </c>
      <c r="S3307" s="9">
        <f>IF(Q3307="","",IF(MATCH(R3307,$R$5:$R$100000,0)=ROW()-4,ROW(),""))</f>
        <v/>
      </c>
      <c r="T3307" s="9">
        <f>IF(Q3307="당기",ABS(P3307)+ROW()/1000000000,"")</f>
        <v/>
      </c>
      <c r="U3307" s="9">
        <f>IF(Q3307="비교",ABS(P3307)+ROW()/1000000000,"")</f>
        <v/>
      </c>
      <c r="V3307" s="64">
        <f>IF($A3307="","",IF(COUNTIF(변동분석!$E$7:$E$506,O3307)&gt;0,"Y","N"))</f>
        <v/>
      </c>
      <c r="W3307" s="64">
        <f>IF($A3307="","",IFERROR(INDEX(계정매핑!$D$5:$D$504,MATCH($F3307&amp;"",계정매핑!$A$5:$A$504,0)),"미매핑"))</f>
        <v/>
      </c>
      <c r="X3307" s="9">
        <f>IF($A3307="","",$F3307&amp;"")</f>
        <v/>
      </c>
      <c r="Y3307" s="94">
        <f>IF($A3307="",0,IF(AE3307="직접",IF(AF3307="비귀속",$P3307,0),$P3307*(1-AG3307)*IFERROR(INDEX(계정대체기준!$F$20:$F$49,MATCH($N3307,계정대체기준!$A$20:$A$49,0)),1)))</f>
        <v/>
      </c>
      <c r="Z3307" s="94">
        <f>IF($A3307="",0,IF(AE3307="직접",IF(AF3307="신계약비",$P3307,0),$P3307*(1-AG3307)*IFERROR(INDEX(계정대체기준!$C$20:$C$49,MATCH($N3307,계정대체기준!$A$20:$A$49,0)),0)))</f>
        <v/>
      </c>
      <c r="AA3307" s="94">
        <f>IF($A3307="",0,IF(AE3307="직접",IF(OR(AF3307="유지비",AF3307="손해조사비"),$P3307,0),$P3307*(1-AG3307)*IFERROR(INDEX(계정대체기준!$D$20:$D$49,MATCH($N3307,계정대체기준!$A$20:$A$49,0)),0)))</f>
        <v/>
      </c>
      <c r="AB3307" s="94">
        <f>IF($A3307="",0,IF(AE3307="직접",IF(AF3307="수금비",$P3307,0),$P3307*(1-AG3307)*IFERROR(INDEX(계정대체기준!$E$20:$E$49,MATCH($N3307,계정대체기준!$A$20:$A$49,0)),0)))</f>
        <v/>
      </c>
      <c r="AC3307" s="9">
        <f>IF(AND($A3307&lt;&gt;"",M3307=설정!$C$20,Z3307&gt;0),Z3307+ROW()/1000000000,"")</f>
        <v/>
      </c>
      <c r="AD3307" s="94">
        <f>IF($A3307="",0,$P3307*AG3307)</f>
        <v/>
      </c>
      <c r="AE3307" s="64">
        <f>IF($A3307="","",IFERROR(INDEX(계정매핑!$E$5:$E$504,MATCH($F3307&amp;"",계정매핑!$A$5:$A$504,0))&amp;"","공통비"))</f>
        <v/>
      </c>
      <c r="AF3307" s="64">
        <f>IF($A3307="","",IF(AE3307="직접",IFERROR(INDEX(계정매핑!$F$5:$F$504,MATCH($F3307&amp;"",계정매핑!$A$5:$A$504,0))&amp;"","비귀속"),""))</f>
        <v/>
      </c>
      <c r="AG3307" s="96">
        <f>IF($A3307="",0,IF(AND(AE3307&lt;&gt;"직접",IFERROR(INDEX(계정매핑!$G$5:$G$504,MATCH($F3307&amp;"",계정매핑!$A$5:$A$504,0))&amp;"","")="유지비",COUNTIF(계정대체기준!$A$6:$A$15,$N3307)&gt;0),IFERROR(INDEX(계정대체기준!$E$6:$E$15,MATCH(VALUE($A3307&amp;""),계정대체기준!$D$6:$D$15,0)),0),0))</f>
        <v/>
      </c>
      <c r="AH3307" s="64">
        <f>IF($A3307="","",IF(AD3307=0,"",IF(OR(COUNTIF(계정대체기준!$A$77:$A$86,$N3307)&gt;0,ISNUMBER(MATCH($X3307,계정대체기준!$D$77:$D$86,0)),ISNUMBER(MATCH($F3307,계정대체기준!$D$77:$D$86,0))),"Y","N")))</f>
        <v/>
      </c>
    </row>
    <row r="3308">
      <c r="A3308" s="92" t="n">
        <v>2026</v>
      </c>
      <c r="B3308" s="92" t="n">
        <v>3</v>
      </c>
      <c r="C3308" s="92" t="inlineStr">
        <is>
          <t>5100000586</t>
        </is>
      </c>
      <c r="D3308" s="95" t="n">
        <v>46097</v>
      </c>
      <c r="E3308" s="92" t="inlineStr">
        <is>
          <t>KR</t>
        </is>
      </c>
      <c r="F3308" s="92" t="n">
        <v>62201000</v>
      </c>
      <c r="G3308" s="92" t="n">
        <v>1401</v>
      </c>
      <c r="H3308" s="93" t="n">
        <v>140000</v>
      </c>
      <c r="I3308" s="92" t="inlineStr">
        <is>
          <t>3월 통신요금 - O텔레콤</t>
        </is>
      </c>
      <c r="J3308" s="92" t="inlineStr">
        <is>
          <t>V10002</t>
        </is>
      </c>
      <c r="K3308" s="92" t="inlineStr">
        <is>
          <t>O텔레콤</t>
        </is>
      </c>
      <c r="M3308" s="9">
        <f>IF($A3308="","",VALUE($A3308&amp;"")*12+VALUE($B3308&amp;""))</f>
        <v/>
      </c>
      <c r="N3308" s="64">
        <f>IF($A3308="","",IFERROR(INDEX(부서매핑!$C$5:$C$504,MATCH($G3308&amp;"",부서매핑!$A$5:$A$504,0)),"미매핑"))</f>
        <v/>
      </c>
      <c r="O3308" s="9">
        <f>IF($A3308="","",N3308&amp;"|"&amp;$F3308)</f>
        <v/>
      </c>
      <c r="P3308" s="94">
        <f>IF($A3308="",0,$H3308*설정!$C$23)</f>
        <v/>
      </c>
      <c r="Q3308" s="64">
        <f>IF($A3308="","",IF(O3308&lt;&gt;원인분석!$C$9,"",IF(AND(M3308&gt;=원인분석!$C$10,M3308&lt;=원인분석!$C$11),"당기",IF(AND(M3308&gt;=원인분석!$C$12,M3308&lt;=원인분석!$C$13),"비교",""))))</f>
        <v/>
      </c>
      <c r="R3308" s="9">
        <f>IF(Q3308="","",$K3308&amp;"")</f>
        <v/>
      </c>
      <c r="S3308" s="9">
        <f>IF(Q3308="","",IF(MATCH(R3308,$R$5:$R$100000,0)=ROW()-4,ROW(),""))</f>
        <v/>
      </c>
      <c r="T3308" s="9">
        <f>IF(Q3308="당기",ABS(P3308)+ROW()/1000000000,"")</f>
        <v/>
      </c>
      <c r="U3308" s="9">
        <f>IF(Q3308="비교",ABS(P3308)+ROW()/1000000000,"")</f>
        <v/>
      </c>
      <c r="V3308" s="64">
        <f>IF($A3308="","",IF(COUNTIF(변동분석!$E$7:$E$506,O3308)&gt;0,"Y","N"))</f>
        <v/>
      </c>
      <c r="W3308" s="64">
        <f>IF($A3308="","",IFERROR(INDEX(계정매핑!$D$5:$D$504,MATCH($F3308&amp;"",계정매핑!$A$5:$A$504,0)),"미매핑"))</f>
        <v/>
      </c>
      <c r="X3308" s="9">
        <f>IF($A3308="","",$F3308&amp;"")</f>
        <v/>
      </c>
      <c r="Y3308" s="94">
        <f>IF($A3308="",0,IF(AE3308="직접",IF(AF3308="비귀속",$P3308,0),$P3308*(1-AG3308)*IFERROR(INDEX(계정대체기준!$F$20:$F$49,MATCH($N3308,계정대체기준!$A$20:$A$49,0)),1)))</f>
        <v/>
      </c>
      <c r="Z3308" s="94">
        <f>IF($A3308="",0,IF(AE3308="직접",IF(AF3308="신계약비",$P3308,0),$P3308*(1-AG3308)*IFERROR(INDEX(계정대체기준!$C$20:$C$49,MATCH($N3308,계정대체기준!$A$20:$A$49,0)),0)))</f>
        <v/>
      </c>
      <c r="AA3308" s="94">
        <f>IF($A3308="",0,IF(AE3308="직접",IF(OR(AF3308="유지비",AF3308="손해조사비"),$P3308,0),$P3308*(1-AG3308)*IFERROR(INDEX(계정대체기준!$D$20:$D$49,MATCH($N3308,계정대체기준!$A$20:$A$49,0)),0)))</f>
        <v/>
      </c>
      <c r="AB3308" s="94">
        <f>IF($A3308="",0,IF(AE3308="직접",IF(AF3308="수금비",$P3308,0),$P3308*(1-AG3308)*IFERROR(INDEX(계정대체기준!$E$20:$E$49,MATCH($N3308,계정대체기준!$A$20:$A$49,0)),0)))</f>
        <v/>
      </c>
      <c r="AC3308" s="9">
        <f>IF(AND($A3308&lt;&gt;"",M3308=설정!$C$20,Z3308&gt;0),Z3308+ROW()/1000000000,"")</f>
        <v/>
      </c>
      <c r="AD3308" s="94">
        <f>IF($A3308="",0,$P3308*AG3308)</f>
        <v/>
      </c>
      <c r="AE3308" s="64">
        <f>IF($A3308="","",IFERROR(INDEX(계정매핑!$E$5:$E$504,MATCH($F3308&amp;"",계정매핑!$A$5:$A$504,0))&amp;"","공통비"))</f>
        <v/>
      </c>
      <c r="AF3308" s="64">
        <f>IF($A3308="","",IF(AE3308="직접",IFERROR(INDEX(계정매핑!$F$5:$F$504,MATCH($F3308&amp;"",계정매핑!$A$5:$A$504,0))&amp;"","비귀속"),""))</f>
        <v/>
      </c>
      <c r="AG3308" s="96">
        <f>IF($A3308="",0,IF(AND(AE3308&lt;&gt;"직접",IFERROR(INDEX(계정매핑!$G$5:$G$504,MATCH($F3308&amp;"",계정매핑!$A$5:$A$504,0))&amp;"","")="유지비",COUNTIF(계정대체기준!$A$6:$A$15,$N3308)&gt;0),IFERROR(INDEX(계정대체기준!$E$6:$E$15,MATCH(VALUE($A3308&amp;""),계정대체기준!$D$6:$D$15,0)),0),0))</f>
        <v/>
      </c>
      <c r="AH3308" s="64">
        <f>IF($A3308="","",IF(AD3308=0,"",IF(OR(COUNTIF(계정대체기준!$A$77:$A$86,$N3308)&gt;0,ISNUMBER(MATCH($X3308,계정대체기준!$D$77:$D$86,0)),ISNUMBER(MATCH($F3308,계정대체기준!$D$77:$D$86,0))),"Y","N")))</f>
        <v/>
      </c>
    </row>
    <row r="3309">
      <c r="A3309" s="92" t="n">
        <v>2026</v>
      </c>
      <c r="B3309" s="92" t="n">
        <v>3</v>
      </c>
      <c r="C3309" s="92" t="inlineStr">
        <is>
          <t>5100000587</t>
        </is>
      </c>
      <c r="D3309" s="95" t="n">
        <v>46097</v>
      </c>
      <c r="E3309" s="92" t="inlineStr">
        <is>
          <t>KR</t>
        </is>
      </c>
      <c r="F3309" s="92" t="n">
        <v>62201000</v>
      </c>
      <c r="G3309" s="92" t="n">
        <v>1501</v>
      </c>
      <c r="H3309" s="93" t="n">
        <v>250000</v>
      </c>
      <c r="I3309" s="92" t="inlineStr">
        <is>
          <t>3월 통신요금 - O텔레콤</t>
        </is>
      </c>
      <c r="J3309" s="92" t="inlineStr">
        <is>
          <t>V10002</t>
        </is>
      </c>
      <c r="K3309" s="92" t="inlineStr">
        <is>
          <t>O텔레콤</t>
        </is>
      </c>
      <c r="M3309" s="9">
        <f>IF($A3309="","",VALUE($A3309&amp;"")*12+VALUE($B3309&amp;""))</f>
        <v/>
      </c>
      <c r="N3309" s="64">
        <f>IF($A3309="","",IFERROR(INDEX(부서매핑!$C$5:$C$504,MATCH($G3309&amp;"",부서매핑!$A$5:$A$504,0)),"미매핑"))</f>
        <v/>
      </c>
      <c r="O3309" s="9">
        <f>IF($A3309="","",N3309&amp;"|"&amp;$F3309)</f>
        <v/>
      </c>
      <c r="P3309" s="94">
        <f>IF($A3309="",0,$H3309*설정!$C$23)</f>
        <v/>
      </c>
      <c r="Q3309" s="64">
        <f>IF($A3309="","",IF(O3309&lt;&gt;원인분석!$C$9,"",IF(AND(M3309&gt;=원인분석!$C$10,M3309&lt;=원인분석!$C$11),"당기",IF(AND(M3309&gt;=원인분석!$C$12,M3309&lt;=원인분석!$C$13),"비교",""))))</f>
        <v/>
      </c>
      <c r="R3309" s="9">
        <f>IF(Q3309="","",$K3309&amp;"")</f>
        <v/>
      </c>
      <c r="S3309" s="9">
        <f>IF(Q3309="","",IF(MATCH(R3309,$R$5:$R$100000,0)=ROW()-4,ROW(),""))</f>
        <v/>
      </c>
      <c r="T3309" s="9">
        <f>IF(Q3309="당기",ABS(P3309)+ROW()/1000000000,"")</f>
        <v/>
      </c>
      <c r="U3309" s="9">
        <f>IF(Q3309="비교",ABS(P3309)+ROW()/1000000000,"")</f>
        <v/>
      </c>
      <c r="V3309" s="64">
        <f>IF($A3309="","",IF(COUNTIF(변동분석!$E$7:$E$506,O3309)&gt;0,"Y","N"))</f>
        <v/>
      </c>
      <c r="W3309" s="64">
        <f>IF($A3309="","",IFERROR(INDEX(계정매핑!$D$5:$D$504,MATCH($F3309&amp;"",계정매핑!$A$5:$A$504,0)),"미매핑"))</f>
        <v/>
      </c>
      <c r="X3309" s="9">
        <f>IF($A3309="","",$F3309&amp;"")</f>
        <v/>
      </c>
      <c r="Y3309" s="94">
        <f>IF($A3309="",0,IF(AE3309="직접",IF(AF3309="비귀속",$P3309,0),$P3309*(1-AG3309)*IFERROR(INDEX(계정대체기준!$F$20:$F$49,MATCH($N3309,계정대체기준!$A$20:$A$49,0)),1)))</f>
        <v/>
      </c>
      <c r="Z3309" s="94">
        <f>IF($A3309="",0,IF(AE3309="직접",IF(AF3309="신계약비",$P3309,0),$P3309*(1-AG3309)*IFERROR(INDEX(계정대체기준!$C$20:$C$49,MATCH($N3309,계정대체기준!$A$20:$A$49,0)),0)))</f>
        <v/>
      </c>
      <c r="AA3309" s="94">
        <f>IF($A3309="",0,IF(AE3309="직접",IF(OR(AF3309="유지비",AF3309="손해조사비"),$P3309,0),$P3309*(1-AG3309)*IFERROR(INDEX(계정대체기준!$D$20:$D$49,MATCH($N3309,계정대체기준!$A$20:$A$49,0)),0)))</f>
        <v/>
      </c>
      <c r="AB3309" s="94">
        <f>IF($A3309="",0,IF(AE3309="직접",IF(AF3309="수금비",$P3309,0),$P3309*(1-AG3309)*IFERROR(INDEX(계정대체기준!$E$20:$E$49,MATCH($N3309,계정대체기준!$A$20:$A$49,0)),0)))</f>
        <v/>
      </c>
      <c r="AC3309" s="9">
        <f>IF(AND($A3309&lt;&gt;"",M3309=설정!$C$20,Z3309&gt;0),Z3309+ROW()/1000000000,"")</f>
        <v/>
      </c>
      <c r="AD3309" s="94">
        <f>IF($A3309="",0,$P3309*AG3309)</f>
        <v/>
      </c>
      <c r="AE3309" s="64">
        <f>IF($A3309="","",IFERROR(INDEX(계정매핑!$E$5:$E$504,MATCH($F3309&amp;"",계정매핑!$A$5:$A$504,0))&amp;"","공통비"))</f>
        <v/>
      </c>
      <c r="AF3309" s="64">
        <f>IF($A3309="","",IF(AE3309="직접",IFERROR(INDEX(계정매핑!$F$5:$F$504,MATCH($F3309&amp;"",계정매핑!$A$5:$A$504,0))&amp;"","비귀속"),""))</f>
        <v/>
      </c>
      <c r="AG3309" s="96">
        <f>IF($A3309="",0,IF(AND(AE3309&lt;&gt;"직접",IFERROR(INDEX(계정매핑!$G$5:$G$504,MATCH($F3309&amp;"",계정매핑!$A$5:$A$504,0))&amp;"","")="유지비",COUNTIF(계정대체기준!$A$6:$A$15,$N3309)&gt;0),IFERROR(INDEX(계정대체기준!$E$6:$E$15,MATCH(VALUE($A3309&amp;""),계정대체기준!$D$6:$D$15,0)),0),0))</f>
        <v/>
      </c>
      <c r="AH3309" s="64">
        <f>IF($A3309="","",IF(AD3309=0,"",IF(OR(COUNTIF(계정대체기준!$A$77:$A$86,$N3309)&gt;0,ISNUMBER(MATCH($X3309,계정대체기준!$D$77:$D$86,0)),ISNUMBER(MATCH($F3309,계정대체기준!$D$77:$D$86,0))),"Y","N")))</f>
        <v/>
      </c>
    </row>
    <row r="3310">
      <c r="A3310" s="92" t="n">
        <v>2026</v>
      </c>
      <c r="B3310" s="92" t="n">
        <v>3</v>
      </c>
      <c r="C3310" s="92" t="inlineStr">
        <is>
          <t>5100000588</t>
        </is>
      </c>
      <c r="D3310" s="95" t="n">
        <v>46097</v>
      </c>
      <c r="E3310" s="92" t="inlineStr">
        <is>
          <t>KR</t>
        </is>
      </c>
      <c r="F3310" s="92" t="n">
        <v>62401000</v>
      </c>
      <c r="G3310" s="92" t="n">
        <v>1502</v>
      </c>
      <c r="H3310" s="93" t="n">
        <v>3574000</v>
      </c>
      <c r="I3310" s="92" t="inlineStr">
        <is>
          <t>3월 인쇄물 제작 - G인쇄</t>
        </is>
      </c>
      <c r="J3310" s="92" t="inlineStr">
        <is>
          <t>V10004</t>
        </is>
      </c>
      <c r="K3310" s="92" t="inlineStr">
        <is>
          <t>G인쇄</t>
        </is>
      </c>
      <c r="M3310" s="9">
        <f>IF($A3310="","",VALUE($A3310&amp;"")*12+VALUE($B3310&amp;""))</f>
        <v/>
      </c>
      <c r="N3310" s="64">
        <f>IF($A3310="","",IFERROR(INDEX(부서매핑!$C$5:$C$504,MATCH($G3310&amp;"",부서매핑!$A$5:$A$504,0)),"미매핑"))</f>
        <v/>
      </c>
      <c r="O3310" s="9">
        <f>IF($A3310="","",N3310&amp;"|"&amp;$F3310)</f>
        <v/>
      </c>
      <c r="P3310" s="94">
        <f>IF($A3310="",0,$H3310*설정!$C$23)</f>
        <v/>
      </c>
      <c r="Q3310" s="64">
        <f>IF($A3310="","",IF(O3310&lt;&gt;원인분석!$C$9,"",IF(AND(M3310&gt;=원인분석!$C$10,M3310&lt;=원인분석!$C$11),"당기",IF(AND(M3310&gt;=원인분석!$C$12,M3310&lt;=원인분석!$C$13),"비교",""))))</f>
        <v/>
      </c>
      <c r="R3310" s="9">
        <f>IF(Q3310="","",$K3310&amp;"")</f>
        <v/>
      </c>
      <c r="S3310" s="9">
        <f>IF(Q3310="","",IF(MATCH(R3310,$R$5:$R$100000,0)=ROW()-4,ROW(),""))</f>
        <v/>
      </c>
      <c r="T3310" s="9">
        <f>IF(Q3310="당기",ABS(P3310)+ROW()/1000000000,"")</f>
        <v/>
      </c>
      <c r="U3310" s="9">
        <f>IF(Q3310="비교",ABS(P3310)+ROW()/1000000000,"")</f>
        <v/>
      </c>
      <c r="V3310" s="64">
        <f>IF($A3310="","",IF(COUNTIF(변동분석!$E$7:$E$506,O3310)&gt;0,"Y","N"))</f>
        <v/>
      </c>
      <c r="W3310" s="64">
        <f>IF($A3310="","",IFERROR(INDEX(계정매핑!$D$5:$D$504,MATCH($F3310&amp;"",계정매핑!$A$5:$A$504,0)),"미매핑"))</f>
        <v/>
      </c>
      <c r="X3310" s="9">
        <f>IF($A3310="","",$F3310&amp;"")</f>
        <v/>
      </c>
      <c r="Y3310" s="94">
        <f>IF($A3310="",0,IF(AE3310="직접",IF(AF3310="비귀속",$P3310,0),$P3310*(1-AG3310)*IFERROR(INDEX(계정대체기준!$F$20:$F$49,MATCH($N3310,계정대체기준!$A$20:$A$49,0)),1)))</f>
        <v/>
      </c>
      <c r="Z3310" s="94">
        <f>IF($A3310="",0,IF(AE3310="직접",IF(AF3310="신계약비",$P3310,0),$P3310*(1-AG3310)*IFERROR(INDEX(계정대체기준!$C$20:$C$49,MATCH($N3310,계정대체기준!$A$20:$A$49,0)),0)))</f>
        <v/>
      </c>
      <c r="AA3310" s="94">
        <f>IF($A3310="",0,IF(AE3310="직접",IF(OR(AF3310="유지비",AF3310="손해조사비"),$P3310,0),$P3310*(1-AG3310)*IFERROR(INDEX(계정대체기준!$D$20:$D$49,MATCH($N3310,계정대체기준!$A$20:$A$49,0)),0)))</f>
        <v/>
      </c>
      <c r="AB3310" s="94">
        <f>IF($A3310="",0,IF(AE3310="직접",IF(AF3310="수금비",$P3310,0),$P3310*(1-AG3310)*IFERROR(INDEX(계정대체기준!$E$20:$E$49,MATCH($N3310,계정대체기준!$A$20:$A$49,0)),0)))</f>
        <v/>
      </c>
      <c r="AC3310" s="9">
        <f>IF(AND($A3310&lt;&gt;"",M3310=설정!$C$20,Z3310&gt;0),Z3310+ROW()/1000000000,"")</f>
        <v/>
      </c>
      <c r="AD3310" s="94">
        <f>IF($A3310="",0,$P3310*AG3310)</f>
        <v/>
      </c>
      <c r="AE3310" s="64">
        <f>IF($A3310="","",IFERROR(INDEX(계정매핑!$E$5:$E$504,MATCH($F3310&amp;"",계정매핑!$A$5:$A$504,0))&amp;"","공통비"))</f>
        <v/>
      </c>
      <c r="AF3310" s="64">
        <f>IF($A3310="","",IF(AE3310="직접",IFERROR(INDEX(계정매핑!$F$5:$F$504,MATCH($F3310&amp;"",계정매핑!$A$5:$A$504,0))&amp;"","비귀속"),""))</f>
        <v/>
      </c>
      <c r="AG3310" s="96">
        <f>IF($A3310="",0,IF(AND(AE3310&lt;&gt;"직접",IFERROR(INDEX(계정매핑!$G$5:$G$504,MATCH($F3310&amp;"",계정매핑!$A$5:$A$504,0))&amp;"","")="유지비",COUNTIF(계정대체기준!$A$6:$A$15,$N3310)&gt;0),IFERROR(INDEX(계정대체기준!$E$6:$E$15,MATCH(VALUE($A3310&amp;""),계정대체기준!$D$6:$D$15,0)),0),0))</f>
        <v/>
      </c>
      <c r="AH3310" s="64">
        <f>IF($A3310="","",IF(AD3310=0,"",IF(OR(COUNTIF(계정대체기준!$A$77:$A$86,$N3310)&gt;0,ISNUMBER(MATCH($X3310,계정대체기준!$D$77:$D$86,0)),ISNUMBER(MATCH($F3310,계정대체기준!$D$77:$D$86,0))),"Y","N")))</f>
        <v/>
      </c>
    </row>
    <row r="3311">
      <c r="A3311" s="92" t="n">
        <v>2026</v>
      </c>
      <c r="B3311" s="92" t="n">
        <v>3</v>
      </c>
      <c r="C3311" s="92" t="inlineStr">
        <is>
          <t>5100000589</t>
        </is>
      </c>
      <c r="D3311" s="95" t="n">
        <v>46097</v>
      </c>
      <c r="E3311" s="92" t="inlineStr">
        <is>
          <t>KR</t>
        </is>
      </c>
      <c r="F3311" s="92" t="n">
        <v>62401000</v>
      </c>
      <c r="G3311" s="92" t="n">
        <v>1801</v>
      </c>
      <c r="H3311" s="93" t="n">
        <v>2435000</v>
      </c>
      <c r="I3311" s="92" t="inlineStr">
        <is>
          <t>3월 인쇄물 제작 - S출판</t>
        </is>
      </c>
      <c r="J3311" s="92" t="inlineStr">
        <is>
          <t>V10015</t>
        </is>
      </c>
      <c r="K3311" s="92" t="inlineStr">
        <is>
          <t>S출판</t>
        </is>
      </c>
      <c r="M3311" s="9">
        <f>IF($A3311="","",VALUE($A3311&amp;"")*12+VALUE($B3311&amp;""))</f>
        <v/>
      </c>
      <c r="N3311" s="64">
        <f>IF($A3311="","",IFERROR(INDEX(부서매핑!$C$5:$C$504,MATCH($G3311&amp;"",부서매핑!$A$5:$A$504,0)),"미매핑"))</f>
        <v/>
      </c>
      <c r="O3311" s="9">
        <f>IF($A3311="","",N3311&amp;"|"&amp;$F3311)</f>
        <v/>
      </c>
      <c r="P3311" s="94">
        <f>IF($A3311="",0,$H3311*설정!$C$23)</f>
        <v/>
      </c>
      <c r="Q3311" s="64">
        <f>IF($A3311="","",IF(O3311&lt;&gt;원인분석!$C$9,"",IF(AND(M3311&gt;=원인분석!$C$10,M3311&lt;=원인분석!$C$11),"당기",IF(AND(M3311&gt;=원인분석!$C$12,M3311&lt;=원인분석!$C$13),"비교",""))))</f>
        <v/>
      </c>
      <c r="R3311" s="9">
        <f>IF(Q3311="","",$K3311&amp;"")</f>
        <v/>
      </c>
      <c r="S3311" s="9">
        <f>IF(Q3311="","",IF(MATCH(R3311,$R$5:$R$100000,0)=ROW()-4,ROW(),""))</f>
        <v/>
      </c>
      <c r="T3311" s="9">
        <f>IF(Q3311="당기",ABS(P3311)+ROW()/1000000000,"")</f>
        <v/>
      </c>
      <c r="U3311" s="9">
        <f>IF(Q3311="비교",ABS(P3311)+ROW()/1000000000,"")</f>
        <v/>
      </c>
      <c r="V3311" s="64">
        <f>IF($A3311="","",IF(COUNTIF(변동분석!$E$7:$E$506,O3311)&gt;0,"Y","N"))</f>
        <v/>
      </c>
      <c r="W3311" s="64">
        <f>IF($A3311="","",IFERROR(INDEX(계정매핑!$D$5:$D$504,MATCH($F3311&amp;"",계정매핑!$A$5:$A$504,0)),"미매핑"))</f>
        <v/>
      </c>
      <c r="X3311" s="9">
        <f>IF($A3311="","",$F3311&amp;"")</f>
        <v/>
      </c>
      <c r="Y3311" s="94">
        <f>IF($A3311="",0,IF(AE3311="직접",IF(AF3311="비귀속",$P3311,0),$P3311*(1-AG3311)*IFERROR(INDEX(계정대체기준!$F$20:$F$49,MATCH($N3311,계정대체기준!$A$20:$A$49,0)),1)))</f>
        <v/>
      </c>
      <c r="Z3311" s="94">
        <f>IF($A3311="",0,IF(AE3311="직접",IF(AF3311="신계약비",$P3311,0),$P3311*(1-AG3311)*IFERROR(INDEX(계정대체기준!$C$20:$C$49,MATCH($N3311,계정대체기준!$A$20:$A$49,0)),0)))</f>
        <v/>
      </c>
      <c r="AA3311" s="94">
        <f>IF($A3311="",0,IF(AE3311="직접",IF(OR(AF3311="유지비",AF3311="손해조사비"),$P3311,0),$P3311*(1-AG3311)*IFERROR(INDEX(계정대체기준!$D$20:$D$49,MATCH($N3311,계정대체기준!$A$20:$A$49,0)),0)))</f>
        <v/>
      </c>
      <c r="AB3311" s="94">
        <f>IF($A3311="",0,IF(AE3311="직접",IF(AF3311="수금비",$P3311,0),$P3311*(1-AG3311)*IFERROR(INDEX(계정대체기준!$E$20:$E$49,MATCH($N3311,계정대체기준!$A$20:$A$49,0)),0)))</f>
        <v/>
      </c>
      <c r="AC3311" s="9">
        <f>IF(AND($A3311&lt;&gt;"",M3311=설정!$C$20,Z3311&gt;0),Z3311+ROW()/1000000000,"")</f>
        <v/>
      </c>
      <c r="AD3311" s="94">
        <f>IF($A3311="",0,$P3311*AG3311)</f>
        <v/>
      </c>
      <c r="AE3311" s="64">
        <f>IF($A3311="","",IFERROR(INDEX(계정매핑!$E$5:$E$504,MATCH($F3311&amp;"",계정매핑!$A$5:$A$504,0))&amp;"","공통비"))</f>
        <v/>
      </c>
      <c r="AF3311" s="64">
        <f>IF($A3311="","",IF(AE3311="직접",IFERROR(INDEX(계정매핑!$F$5:$F$504,MATCH($F3311&amp;"",계정매핑!$A$5:$A$504,0))&amp;"","비귀속"),""))</f>
        <v/>
      </c>
      <c r="AG3311" s="96">
        <f>IF($A3311="",0,IF(AND(AE3311&lt;&gt;"직접",IFERROR(INDEX(계정매핑!$G$5:$G$504,MATCH($F3311&amp;"",계정매핑!$A$5:$A$504,0))&amp;"","")="유지비",COUNTIF(계정대체기준!$A$6:$A$15,$N3311)&gt;0),IFERROR(INDEX(계정대체기준!$E$6:$E$15,MATCH(VALUE($A3311&amp;""),계정대체기준!$D$6:$D$15,0)),0),0))</f>
        <v/>
      </c>
      <c r="AH3311" s="64">
        <f>IF($A3311="","",IF(AD3311=0,"",IF(OR(COUNTIF(계정대체기준!$A$77:$A$86,$N3311)&gt;0,ISNUMBER(MATCH($X3311,계정대체기준!$D$77:$D$86,0)),ISNUMBER(MATCH($F3311,계정대체기준!$D$77:$D$86,0))),"Y","N")))</f>
        <v/>
      </c>
    </row>
    <row r="3312">
      <c r="A3312" s="92" t="n">
        <v>2026</v>
      </c>
      <c r="B3312" s="92" t="n">
        <v>3</v>
      </c>
      <c r="C3312" s="92" t="inlineStr">
        <is>
          <t>5100000590</t>
        </is>
      </c>
      <c r="D3312" s="95" t="n">
        <v>46097</v>
      </c>
      <c r="E3312" s="92" t="inlineStr">
        <is>
          <t>KR</t>
        </is>
      </c>
      <c r="F3312" s="92" t="n">
        <v>63501000</v>
      </c>
      <c r="G3312" s="92" t="n">
        <v>1901</v>
      </c>
      <c r="H3312" s="93" t="n">
        <v>474488000</v>
      </c>
      <c r="I3312" s="92" t="inlineStr">
        <is>
          <t>3월 모집수수료 - (전속설계사)</t>
        </is>
      </c>
      <c r="J3312" s="92" t="inlineStr">
        <is>
          <t>V10021</t>
        </is>
      </c>
      <c r="K3312" s="92" t="inlineStr">
        <is>
          <t>(전속설계사)</t>
        </is>
      </c>
      <c r="M3312" s="9">
        <f>IF($A3312="","",VALUE($A3312&amp;"")*12+VALUE($B3312&amp;""))</f>
        <v/>
      </c>
      <c r="N3312" s="64">
        <f>IF($A3312="","",IFERROR(INDEX(부서매핑!$C$5:$C$504,MATCH($G3312&amp;"",부서매핑!$A$5:$A$504,0)),"미매핑"))</f>
        <v/>
      </c>
      <c r="O3312" s="9">
        <f>IF($A3312="","",N3312&amp;"|"&amp;$F3312)</f>
        <v/>
      </c>
      <c r="P3312" s="94">
        <f>IF($A3312="",0,$H3312*설정!$C$23)</f>
        <v/>
      </c>
      <c r="Q3312" s="64">
        <f>IF($A3312="","",IF(O3312&lt;&gt;원인분석!$C$9,"",IF(AND(M3312&gt;=원인분석!$C$10,M3312&lt;=원인분석!$C$11),"당기",IF(AND(M3312&gt;=원인분석!$C$12,M3312&lt;=원인분석!$C$13),"비교",""))))</f>
        <v/>
      </c>
      <c r="R3312" s="9">
        <f>IF(Q3312="","",$K3312&amp;"")</f>
        <v/>
      </c>
      <c r="S3312" s="9">
        <f>IF(Q3312="","",IF(MATCH(R3312,$R$5:$R$100000,0)=ROW()-4,ROW(),""))</f>
        <v/>
      </c>
      <c r="T3312" s="9">
        <f>IF(Q3312="당기",ABS(P3312)+ROW()/1000000000,"")</f>
        <v/>
      </c>
      <c r="U3312" s="9">
        <f>IF(Q3312="비교",ABS(P3312)+ROW()/1000000000,"")</f>
        <v/>
      </c>
      <c r="V3312" s="64">
        <f>IF($A3312="","",IF(COUNTIF(변동분석!$E$7:$E$506,O3312)&gt;0,"Y","N"))</f>
        <v/>
      </c>
      <c r="W3312" s="64">
        <f>IF($A3312="","",IFERROR(INDEX(계정매핑!$D$5:$D$504,MATCH($F3312&amp;"",계정매핑!$A$5:$A$504,0)),"미매핑"))</f>
        <v/>
      </c>
      <c r="X3312" s="9">
        <f>IF($A3312="","",$F3312&amp;"")</f>
        <v/>
      </c>
      <c r="Y3312" s="94">
        <f>IF($A3312="",0,IF(AE3312="직접",IF(AF3312="비귀속",$P3312,0),$P3312*(1-AG3312)*IFERROR(INDEX(계정대체기준!$F$20:$F$49,MATCH($N3312,계정대체기준!$A$20:$A$49,0)),1)))</f>
        <v/>
      </c>
      <c r="Z3312" s="94">
        <f>IF($A3312="",0,IF(AE3312="직접",IF(AF3312="신계약비",$P3312,0),$P3312*(1-AG3312)*IFERROR(INDEX(계정대체기준!$C$20:$C$49,MATCH($N3312,계정대체기준!$A$20:$A$49,0)),0)))</f>
        <v/>
      </c>
      <c r="AA3312" s="94">
        <f>IF($A3312="",0,IF(AE3312="직접",IF(OR(AF3312="유지비",AF3312="손해조사비"),$P3312,0),$P3312*(1-AG3312)*IFERROR(INDEX(계정대체기준!$D$20:$D$49,MATCH($N3312,계정대체기준!$A$20:$A$49,0)),0)))</f>
        <v/>
      </c>
      <c r="AB3312" s="94">
        <f>IF($A3312="",0,IF(AE3312="직접",IF(AF3312="수금비",$P3312,0),$P3312*(1-AG3312)*IFERROR(INDEX(계정대체기준!$E$20:$E$49,MATCH($N3312,계정대체기준!$A$20:$A$49,0)),0)))</f>
        <v/>
      </c>
      <c r="AC3312" s="9">
        <f>IF(AND($A3312&lt;&gt;"",M3312=설정!$C$20,Z3312&gt;0),Z3312+ROW()/1000000000,"")</f>
        <v/>
      </c>
      <c r="AD3312" s="94">
        <f>IF($A3312="",0,$P3312*AG3312)</f>
        <v/>
      </c>
      <c r="AE3312" s="64">
        <f>IF($A3312="","",IFERROR(INDEX(계정매핑!$E$5:$E$504,MATCH($F3312&amp;"",계정매핑!$A$5:$A$504,0))&amp;"","공통비"))</f>
        <v/>
      </c>
      <c r="AF3312" s="64">
        <f>IF($A3312="","",IF(AE3312="직접",IFERROR(INDEX(계정매핑!$F$5:$F$504,MATCH($F3312&amp;"",계정매핑!$A$5:$A$504,0))&amp;"","비귀속"),""))</f>
        <v/>
      </c>
      <c r="AG3312" s="96">
        <f>IF($A3312="",0,IF(AND(AE3312&lt;&gt;"직접",IFERROR(INDEX(계정매핑!$G$5:$G$504,MATCH($F3312&amp;"",계정매핑!$A$5:$A$504,0))&amp;"","")="유지비",COUNTIF(계정대체기준!$A$6:$A$15,$N3312)&gt;0),IFERROR(INDEX(계정대체기준!$E$6:$E$15,MATCH(VALUE($A3312&amp;""),계정대체기준!$D$6:$D$15,0)),0),0))</f>
        <v/>
      </c>
      <c r="AH3312" s="64">
        <f>IF($A3312="","",IF(AD3312=0,"",IF(OR(COUNTIF(계정대체기준!$A$77:$A$86,$N3312)&gt;0,ISNUMBER(MATCH($X3312,계정대체기준!$D$77:$D$86,0)),ISNUMBER(MATCH($F3312,계정대체기준!$D$77:$D$86,0))),"Y","N")))</f>
        <v/>
      </c>
    </row>
    <row r="3313">
      <c r="A3313" s="92" t="n">
        <v>2026</v>
      </c>
      <c r="B3313" s="92" t="n">
        <v>3</v>
      </c>
      <c r="C3313" s="92" t="inlineStr">
        <is>
          <t>5100000591</t>
        </is>
      </c>
      <c r="D3313" s="95" t="n">
        <v>46098</v>
      </c>
      <c r="E3313" s="92" t="inlineStr">
        <is>
          <t>KR</t>
        </is>
      </c>
      <c r="F3313" s="92" t="n">
        <v>62102000</v>
      </c>
      <c r="G3313" s="92" t="n">
        <v>1201</v>
      </c>
      <c r="H3313" s="93" t="n">
        <v>55000</v>
      </c>
      <c r="I3313" s="92" t="inlineStr">
        <is>
          <t>3월 해외출장 - M항공</t>
        </is>
      </c>
      <c r="J3313" s="92" t="inlineStr">
        <is>
          <t>V10001</t>
        </is>
      </c>
      <c r="K3313" s="92" t="inlineStr">
        <is>
          <t>M항공</t>
        </is>
      </c>
      <c r="M3313" s="9">
        <f>IF($A3313="","",VALUE($A3313&amp;"")*12+VALUE($B3313&amp;""))</f>
        <v/>
      </c>
      <c r="N3313" s="64">
        <f>IF($A3313="","",IFERROR(INDEX(부서매핑!$C$5:$C$504,MATCH($G3313&amp;"",부서매핑!$A$5:$A$504,0)),"미매핑"))</f>
        <v/>
      </c>
      <c r="O3313" s="9">
        <f>IF($A3313="","",N3313&amp;"|"&amp;$F3313)</f>
        <v/>
      </c>
      <c r="P3313" s="94">
        <f>IF($A3313="",0,$H3313*설정!$C$23)</f>
        <v/>
      </c>
      <c r="Q3313" s="64">
        <f>IF($A3313="","",IF(O3313&lt;&gt;원인분석!$C$9,"",IF(AND(M3313&gt;=원인분석!$C$10,M3313&lt;=원인분석!$C$11),"당기",IF(AND(M3313&gt;=원인분석!$C$12,M3313&lt;=원인분석!$C$13),"비교",""))))</f>
        <v/>
      </c>
      <c r="R3313" s="9">
        <f>IF(Q3313="","",$K3313&amp;"")</f>
        <v/>
      </c>
      <c r="S3313" s="9">
        <f>IF(Q3313="","",IF(MATCH(R3313,$R$5:$R$100000,0)=ROW()-4,ROW(),""))</f>
        <v/>
      </c>
      <c r="T3313" s="9">
        <f>IF(Q3313="당기",ABS(P3313)+ROW()/1000000000,"")</f>
        <v/>
      </c>
      <c r="U3313" s="9">
        <f>IF(Q3313="비교",ABS(P3313)+ROW()/1000000000,"")</f>
        <v/>
      </c>
      <c r="V3313" s="64">
        <f>IF($A3313="","",IF(COUNTIF(변동분석!$E$7:$E$506,O3313)&gt;0,"Y","N"))</f>
        <v/>
      </c>
      <c r="W3313" s="64">
        <f>IF($A3313="","",IFERROR(INDEX(계정매핑!$D$5:$D$504,MATCH($F3313&amp;"",계정매핑!$A$5:$A$504,0)),"미매핑"))</f>
        <v/>
      </c>
      <c r="X3313" s="9">
        <f>IF($A3313="","",$F3313&amp;"")</f>
        <v/>
      </c>
      <c r="Y3313" s="94">
        <f>IF($A3313="",0,IF(AE3313="직접",IF(AF3313="비귀속",$P3313,0),$P3313*(1-AG3313)*IFERROR(INDEX(계정대체기준!$F$20:$F$49,MATCH($N3313,계정대체기준!$A$20:$A$49,0)),1)))</f>
        <v/>
      </c>
      <c r="Z3313" s="94">
        <f>IF($A3313="",0,IF(AE3313="직접",IF(AF3313="신계약비",$P3313,0),$P3313*(1-AG3313)*IFERROR(INDEX(계정대체기준!$C$20:$C$49,MATCH($N3313,계정대체기준!$A$20:$A$49,0)),0)))</f>
        <v/>
      </c>
      <c r="AA3313" s="94">
        <f>IF($A3313="",0,IF(AE3313="직접",IF(OR(AF3313="유지비",AF3313="손해조사비"),$P3313,0),$P3313*(1-AG3313)*IFERROR(INDEX(계정대체기준!$D$20:$D$49,MATCH($N3313,계정대체기준!$A$20:$A$49,0)),0)))</f>
        <v/>
      </c>
      <c r="AB3313" s="94">
        <f>IF($A3313="",0,IF(AE3313="직접",IF(AF3313="수금비",$P3313,0),$P3313*(1-AG3313)*IFERROR(INDEX(계정대체기준!$E$20:$E$49,MATCH($N3313,계정대체기준!$A$20:$A$49,0)),0)))</f>
        <v/>
      </c>
      <c r="AC3313" s="9">
        <f>IF(AND($A3313&lt;&gt;"",M3313=설정!$C$20,Z3313&gt;0),Z3313+ROW()/1000000000,"")</f>
        <v/>
      </c>
      <c r="AD3313" s="94">
        <f>IF($A3313="",0,$P3313*AG3313)</f>
        <v/>
      </c>
      <c r="AE3313" s="64">
        <f>IF($A3313="","",IFERROR(INDEX(계정매핑!$E$5:$E$504,MATCH($F3313&amp;"",계정매핑!$A$5:$A$504,0))&amp;"","공통비"))</f>
        <v/>
      </c>
      <c r="AF3313" s="64">
        <f>IF($A3313="","",IF(AE3313="직접",IFERROR(INDEX(계정매핑!$F$5:$F$504,MATCH($F3313&amp;"",계정매핑!$A$5:$A$504,0))&amp;"","비귀속"),""))</f>
        <v/>
      </c>
      <c r="AG3313" s="96">
        <f>IF($A3313="",0,IF(AND(AE3313&lt;&gt;"직접",IFERROR(INDEX(계정매핑!$G$5:$G$504,MATCH($F3313&amp;"",계정매핑!$A$5:$A$504,0))&amp;"","")="유지비",COUNTIF(계정대체기준!$A$6:$A$15,$N3313)&gt;0),IFERROR(INDEX(계정대체기준!$E$6:$E$15,MATCH(VALUE($A3313&amp;""),계정대체기준!$D$6:$D$15,0)),0),0))</f>
        <v/>
      </c>
      <c r="AH3313" s="64">
        <f>IF($A3313="","",IF(AD3313=0,"",IF(OR(COUNTIF(계정대체기준!$A$77:$A$86,$N3313)&gt;0,ISNUMBER(MATCH($X3313,계정대체기준!$D$77:$D$86,0)),ISNUMBER(MATCH($F3313,계정대체기준!$D$77:$D$86,0))),"Y","N")))</f>
        <v/>
      </c>
    </row>
    <row r="3314">
      <c r="A3314" s="92" t="n">
        <v>2026</v>
      </c>
      <c r="B3314" s="92" t="n">
        <v>3</v>
      </c>
      <c r="C3314" s="92" t="inlineStr">
        <is>
          <t>5100000592</t>
        </is>
      </c>
      <c r="D3314" s="95" t="n">
        <v>46098</v>
      </c>
      <c r="E3314" s="92" t="inlineStr">
        <is>
          <t>KR</t>
        </is>
      </c>
      <c r="F3314" s="92" t="n">
        <v>62102000</v>
      </c>
      <c r="G3314" s="92" t="n">
        <v>1301</v>
      </c>
      <c r="H3314" s="93" t="n">
        <v>82000</v>
      </c>
      <c r="I3314" s="92" t="inlineStr">
        <is>
          <t>3월 해외출장 - N호텔</t>
        </is>
      </c>
      <c r="J3314" s="92" t="inlineStr">
        <is>
          <t>V10009</t>
        </is>
      </c>
      <c r="K3314" s="92" t="inlineStr">
        <is>
          <t>N호텔</t>
        </is>
      </c>
      <c r="M3314" s="9">
        <f>IF($A3314="","",VALUE($A3314&amp;"")*12+VALUE($B3314&amp;""))</f>
        <v/>
      </c>
      <c r="N3314" s="64">
        <f>IF($A3314="","",IFERROR(INDEX(부서매핑!$C$5:$C$504,MATCH($G3314&amp;"",부서매핑!$A$5:$A$504,0)),"미매핑"))</f>
        <v/>
      </c>
      <c r="O3314" s="9">
        <f>IF($A3314="","",N3314&amp;"|"&amp;$F3314)</f>
        <v/>
      </c>
      <c r="P3314" s="94">
        <f>IF($A3314="",0,$H3314*설정!$C$23)</f>
        <v/>
      </c>
      <c r="Q3314" s="64">
        <f>IF($A3314="","",IF(O3314&lt;&gt;원인분석!$C$9,"",IF(AND(M3314&gt;=원인분석!$C$10,M3314&lt;=원인분석!$C$11),"당기",IF(AND(M3314&gt;=원인분석!$C$12,M3314&lt;=원인분석!$C$13),"비교",""))))</f>
        <v/>
      </c>
      <c r="R3314" s="9">
        <f>IF(Q3314="","",$K3314&amp;"")</f>
        <v/>
      </c>
      <c r="S3314" s="9">
        <f>IF(Q3314="","",IF(MATCH(R3314,$R$5:$R$100000,0)=ROW()-4,ROW(),""))</f>
        <v/>
      </c>
      <c r="T3314" s="9">
        <f>IF(Q3314="당기",ABS(P3314)+ROW()/1000000000,"")</f>
        <v/>
      </c>
      <c r="U3314" s="9">
        <f>IF(Q3314="비교",ABS(P3314)+ROW()/1000000000,"")</f>
        <v/>
      </c>
      <c r="V3314" s="64">
        <f>IF($A3314="","",IF(COUNTIF(변동분석!$E$7:$E$506,O3314)&gt;0,"Y","N"))</f>
        <v/>
      </c>
      <c r="W3314" s="64">
        <f>IF($A3314="","",IFERROR(INDEX(계정매핑!$D$5:$D$504,MATCH($F3314&amp;"",계정매핑!$A$5:$A$504,0)),"미매핑"))</f>
        <v/>
      </c>
      <c r="X3314" s="9">
        <f>IF($A3314="","",$F3314&amp;"")</f>
        <v/>
      </c>
      <c r="Y3314" s="94">
        <f>IF($A3314="",0,IF(AE3314="직접",IF(AF3314="비귀속",$P3314,0),$P3314*(1-AG3314)*IFERROR(INDEX(계정대체기준!$F$20:$F$49,MATCH($N3314,계정대체기준!$A$20:$A$49,0)),1)))</f>
        <v/>
      </c>
      <c r="Z3314" s="94">
        <f>IF($A3314="",0,IF(AE3314="직접",IF(AF3314="신계약비",$P3314,0),$P3314*(1-AG3314)*IFERROR(INDEX(계정대체기준!$C$20:$C$49,MATCH($N3314,계정대체기준!$A$20:$A$49,0)),0)))</f>
        <v/>
      </c>
      <c r="AA3314" s="94">
        <f>IF($A3314="",0,IF(AE3314="직접",IF(OR(AF3314="유지비",AF3314="손해조사비"),$P3314,0),$P3314*(1-AG3314)*IFERROR(INDEX(계정대체기준!$D$20:$D$49,MATCH($N3314,계정대체기준!$A$20:$A$49,0)),0)))</f>
        <v/>
      </c>
      <c r="AB3314" s="94">
        <f>IF($A3314="",0,IF(AE3314="직접",IF(AF3314="수금비",$P3314,0),$P3314*(1-AG3314)*IFERROR(INDEX(계정대체기준!$E$20:$E$49,MATCH($N3314,계정대체기준!$A$20:$A$49,0)),0)))</f>
        <v/>
      </c>
      <c r="AC3314" s="9">
        <f>IF(AND($A3314&lt;&gt;"",M3314=설정!$C$20,Z3314&gt;0),Z3314+ROW()/1000000000,"")</f>
        <v/>
      </c>
      <c r="AD3314" s="94">
        <f>IF($A3314="",0,$P3314*AG3314)</f>
        <v/>
      </c>
      <c r="AE3314" s="64">
        <f>IF($A3314="","",IFERROR(INDEX(계정매핑!$E$5:$E$504,MATCH($F3314&amp;"",계정매핑!$A$5:$A$504,0))&amp;"","공통비"))</f>
        <v/>
      </c>
      <c r="AF3314" s="64">
        <f>IF($A3314="","",IF(AE3314="직접",IFERROR(INDEX(계정매핑!$F$5:$F$504,MATCH($F3314&amp;"",계정매핑!$A$5:$A$504,0))&amp;"","비귀속"),""))</f>
        <v/>
      </c>
      <c r="AG3314" s="96">
        <f>IF($A3314="",0,IF(AND(AE3314&lt;&gt;"직접",IFERROR(INDEX(계정매핑!$G$5:$G$504,MATCH($F3314&amp;"",계정매핑!$A$5:$A$504,0))&amp;"","")="유지비",COUNTIF(계정대체기준!$A$6:$A$15,$N3314)&gt;0),IFERROR(INDEX(계정대체기준!$E$6:$E$15,MATCH(VALUE($A3314&amp;""),계정대체기준!$D$6:$D$15,0)),0),0))</f>
        <v/>
      </c>
      <c r="AH3314" s="64">
        <f>IF($A3314="","",IF(AD3314=0,"",IF(OR(COUNTIF(계정대체기준!$A$77:$A$86,$N3314)&gt;0,ISNUMBER(MATCH($X3314,계정대체기준!$D$77:$D$86,0)),ISNUMBER(MATCH($F3314,계정대체기준!$D$77:$D$86,0))),"Y","N")))</f>
        <v/>
      </c>
    </row>
    <row r="3315">
      <c r="A3315" s="92" t="n">
        <v>2026</v>
      </c>
      <c r="B3315" s="92" t="n">
        <v>3</v>
      </c>
      <c r="C3315" s="92" t="inlineStr">
        <is>
          <t>5100000593</t>
        </is>
      </c>
      <c r="D3315" s="95" t="n">
        <v>46098</v>
      </c>
      <c r="E3315" s="92" t="inlineStr">
        <is>
          <t>KR</t>
        </is>
      </c>
      <c r="F3315" s="92" t="n">
        <v>62102000</v>
      </c>
      <c r="G3315" s="92" t="n">
        <v>1701</v>
      </c>
      <c r="H3315" s="93" t="n">
        <v>42000</v>
      </c>
      <c r="I3315" s="92" t="inlineStr">
        <is>
          <t>3월 해외출장 - M항공</t>
        </is>
      </c>
      <c r="J3315" s="92" t="inlineStr">
        <is>
          <t>V10001</t>
        </is>
      </c>
      <c r="K3315" s="92" t="inlineStr">
        <is>
          <t>M항공</t>
        </is>
      </c>
      <c r="M3315" s="9">
        <f>IF($A3315="","",VALUE($A3315&amp;"")*12+VALUE($B3315&amp;""))</f>
        <v/>
      </c>
      <c r="N3315" s="64">
        <f>IF($A3315="","",IFERROR(INDEX(부서매핑!$C$5:$C$504,MATCH($G3315&amp;"",부서매핑!$A$5:$A$504,0)),"미매핑"))</f>
        <v/>
      </c>
      <c r="O3315" s="9">
        <f>IF($A3315="","",N3315&amp;"|"&amp;$F3315)</f>
        <v/>
      </c>
      <c r="P3315" s="94">
        <f>IF($A3315="",0,$H3315*설정!$C$23)</f>
        <v/>
      </c>
      <c r="Q3315" s="64">
        <f>IF($A3315="","",IF(O3315&lt;&gt;원인분석!$C$9,"",IF(AND(M3315&gt;=원인분석!$C$10,M3315&lt;=원인분석!$C$11),"당기",IF(AND(M3315&gt;=원인분석!$C$12,M3315&lt;=원인분석!$C$13),"비교",""))))</f>
        <v/>
      </c>
      <c r="R3315" s="9">
        <f>IF(Q3315="","",$K3315&amp;"")</f>
        <v/>
      </c>
      <c r="S3315" s="9">
        <f>IF(Q3315="","",IF(MATCH(R3315,$R$5:$R$100000,0)=ROW()-4,ROW(),""))</f>
        <v/>
      </c>
      <c r="T3315" s="9">
        <f>IF(Q3315="당기",ABS(P3315)+ROW()/1000000000,"")</f>
        <v/>
      </c>
      <c r="U3315" s="9">
        <f>IF(Q3315="비교",ABS(P3315)+ROW()/1000000000,"")</f>
        <v/>
      </c>
      <c r="V3315" s="64">
        <f>IF($A3315="","",IF(COUNTIF(변동분석!$E$7:$E$506,O3315)&gt;0,"Y","N"))</f>
        <v/>
      </c>
      <c r="W3315" s="64">
        <f>IF($A3315="","",IFERROR(INDEX(계정매핑!$D$5:$D$504,MATCH($F3315&amp;"",계정매핑!$A$5:$A$504,0)),"미매핑"))</f>
        <v/>
      </c>
      <c r="X3315" s="9">
        <f>IF($A3315="","",$F3315&amp;"")</f>
        <v/>
      </c>
      <c r="Y3315" s="94">
        <f>IF($A3315="",0,IF(AE3315="직접",IF(AF3315="비귀속",$P3315,0),$P3315*(1-AG3315)*IFERROR(INDEX(계정대체기준!$F$20:$F$49,MATCH($N3315,계정대체기준!$A$20:$A$49,0)),1)))</f>
        <v/>
      </c>
      <c r="Z3315" s="94">
        <f>IF($A3315="",0,IF(AE3315="직접",IF(AF3315="신계약비",$P3315,0),$P3315*(1-AG3315)*IFERROR(INDEX(계정대체기준!$C$20:$C$49,MATCH($N3315,계정대체기준!$A$20:$A$49,0)),0)))</f>
        <v/>
      </c>
      <c r="AA3315" s="94">
        <f>IF($A3315="",0,IF(AE3315="직접",IF(OR(AF3315="유지비",AF3315="손해조사비"),$P3315,0),$P3315*(1-AG3315)*IFERROR(INDEX(계정대체기준!$D$20:$D$49,MATCH($N3315,계정대체기준!$A$20:$A$49,0)),0)))</f>
        <v/>
      </c>
      <c r="AB3315" s="94">
        <f>IF($A3315="",0,IF(AE3315="직접",IF(AF3315="수금비",$P3315,0),$P3315*(1-AG3315)*IFERROR(INDEX(계정대체기준!$E$20:$E$49,MATCH($N3315,계정대체기준!$A$20:$A$49,0)),0)))</f>
        <v/>
      </c>
      <c r="AC3315" s="9">
        <f>IF(AND($A3315&lt;&gt;"",M3315=설정!$C$20,Z3315&gt;0),Z3315+ROW()/1000000000,"")</f>
        <v/>
      </c>
      <c r="AD3315" s="94">
        <f>IF($A3315="",0,$P3315*AG3315)</f>
        <v/>
      </c>
      <c r="AE3315" s="64">
        <f>IF($A3315="","",IFERROR(INDEX(계정매핑!$E$5:$E$504,MATCH($F3315&amp;"",계정매핑!$A$5:$A$504,0))&amp;"","공통비"))</f>
        <v/>
      </c>
      <c r="AF3315" s="64">
        <f>IF($A3315="","",IF(AE3315="직접",IFERROR(INDEX(계정매핑!$F$5:$F$504,MATCH($F3315&amp;"",계정매핑!$A$5:$A$504,0))&amp;"","비귀속"),""))</f>
        <v/>
      </c>
      <c r="AG3315" s="96">
        <f>IF($A3315="",0,IF(AND(AE3315&lt;&gt;"직접",IFERROR(INDEX(계정매핑!$G$5:$G$504,MATCH($F3315&amp;"",계정매핑!$A$5:$A$504,0))&amp;"","")="유지비",COUNTIF(계정대체기준!$A$6:$A$15,$N3315)&gt;0),IFERROR(INDEX(계정대체기준!$E$6:$E$15,MATCH(VALUE($A3315&amp;""),계정대체기준!$D$6:$D$15,0)),0),0))</f>
        <v/>
      </c>
      <c r="AH3315" s="64">
        <f>IF($A3315="","",IF(AD3315=0,"",IF(OR(COUNTIF(계정대체기준!$A$77:$A$86,$N3315)&gt;0,ISNUMBER(MATCH($X3315,계정대체기준!$D$77:$D$86,0)),ISNUMBER(MATCH($F3315,계정대체기준!$D$77:$D$86,0))),"Y","N")))</f>
        <v/>
      </c>
    </row>
    <row r="3316">
      <c r="A3316" s="92" t="n">
        <v>2026</v>
      </c>
      <c r="B3316" s="92" t="n">
        <v>3</v>
      </c>
      <c r="C3316" s="92" t="inlineStr">
        <is>
          <t>5100000594</t>
        </is>
      </c>
      <c r="D3316" s="95" t="n">
        <v>46098</v>
      </c>
      <c r="E3316" s="92" t="inlineStr">
        <is>
          <t>KR</t>
        </is>
      </c>
      <c r="F3316" s="92" t="n">
        <v>62501000</v>
      </c>
      <c r="G3316" s="92" t="n">
        <v>1301</v>
      </c>
      <c r="H3316" s="93" t="n">
        <v>204000</v>
      </c>
      <c r="I3316" s="92" t="inlineStr">
        <is>
          <t>3월 회의 다과 - T케이터링</t>
        </is>
      </c>
      <c r="J3316" s="92" t="inlineStr">
        <is>
          <t>V10005</t>
        </is>
      </c>
      <c r="K3316" s="92" t="inlineStr">
        <is>
          <t>T케이터링</t>
        </is>
      </c>
      <c r="M3316" s="9">
        <f>IF($A3316="","",VALUE($A3316&amp;"")*12+VALUE($B3316&amp;""))</f>
        <v/>
      </c>
      <c r="N3316" s="64">
        <f>IF($A3316="","",IFERROR(INDEX(부서매핑!$C$5:$C$504,MATCH($G3316&amp;"",부서매핑!$A$5:$A$504,0)),"미매핑"))</f>
        <v/>
      </c>
      <c r="O3316" s="9">
        <f>IF($A3316="","",N3316&amp;"|"&amp;$F3316)</f>
        <v/>
      </c>
      <c r="P3316" s="94">
        <f>IF($A3316="",0,$H3316*설정!$C$23)</f>
        <v/>
      </c>
      <c r="Q3316" s="64">
        <f>IF($A3316="","",IF(O3316&lt;&gt;원인분석!$C$9,"",IF(AND(M3316&gt;=원인분석!$C$10,M3316&lt;=원인분석!$C$11),"당기",IF(AND(M3316&gt;=원인분석!$C$12,M3316&lt;=원인분석!$C$13),"비교",""))))</f>
        <v/>
      </c>
      <c r="R3316" s="9">
        <f>IF(Q3316="","",$K3316&amp;"")</f>
        <v/>
      </c>
      <c r="S3316" s="9">
        <f>IF(Q3316="","",IF(MATCH(R3316,$R$5:$R$100000,0)=ROW()-4,ROW(),""))</f>
        <v/>
      </c>
      <c r="T3316" s="9">
        <f>IF(Q3316="당기",ABS(P3316)+ROW()/1000000000,"")</f>
        <v/>
      </c>
      <c r="U3316" s="9">
        <f>IF(Q3316="비교",ABS(P3316)+ROW()/1000000000,"")</f>
        <v/>
      </c>
      <c r="V3316" s="64">
        <f>IF($A3316="","",IF(COUNTIF(변동분석!$E$7:$E$506,O3316)&gt;0,"Y","N"))</f>
        <v/>
      </c>
      <c r="W3316" s="64">
        <f>IF($A3316="","",IFERROR(INDEX(계정매핑!$D$5:$D$504,MATCH($F3316&amp;"",계정매핑!$A$5:$A$504,0)),"미매핑"))</f>
        <v/>
      </c>
      <c r="X3316" s="9">
        <f>IF($A3316="","",$F3316&amp;"")</f>
        <v/>
      </c>
      <c r="Y3316" s="94">
        <f>IF($A3316="",0,IF(AE3316="직접",IF(AF3316="비귀속",$P3316,0),$P3316*(1-AG3316)*IFERROR(INDEX(계정대체기준!$F$20:$F$49,MATCH($N3316,계정대체기준!$A$20:$A$49,0)),1)))</f>
        <v/>
      </c>
      <c r="Z3316" s="94">
        <f>IF($A3316="",0,IF(AE3316="직접",IF(AF3316="신계약비",$P3316,0),$P3316*(1-AG3316)*IFERROR(INDEX(계정대체기준!$C$20:$C$49,MATCH($N3316,계정대체기준!$A$20:$A$49,0)),0)))</f>
        <v/>
      </c>
      <c r="AA3316" s="94">
        <f>IF($A3316="",0,IF(AE3316="직접",IF(OR(AF3316="유지비",AF3316="손해조사비"),$P3316,0),$P3316*(1-AG3316)*IFERROR(INDEX(계정대체기준!$D$20:$D$49,MATCH($N3316,계정대체기준!$A$20:$A$49,0)),0)))</f>
        <v/>
      </c>
      <c r="AB3316" s="94">
        <f>IF($A3316="",0,IF(AE3316="직접",IF(AF3316="수금비",$P3316,0),$P3316*(1-AG3316)*IFERROR(INDEX(계정대체기준!$E$20:$E$49,MATCH($N3316,계정대체기준!$A$20:$A$49,0)),0)))</f>
        <v/>
      </c>
      <c r="AC3316" s="9">
        <f>IF(AND($A3316&lt;&gt;"",M3316=설정!$C$20,Z3316&gt;0),Z3316+ROW()/1000000000,"")</f>
        <v/>
      </c>
      <c r="AD3316" s="94">
        <f>IF($A3316="",0,$P3316*AG3316)</f>
        <v/>
      </c>
      <c r="AE3316" s="64">
        <f>IF($A3316="","",IFERROR(INDEX(계정매핑!$E$5:$E$504,MATCH($F3316&amp;"",계정매핑!$A$5:$A$504,0))&amp;"","공통비"))</f>
        <v/>
      </c>
      <c r="AF3316" s="64">
        <f>IF($A3316="","",IF(AE3316="직접",IFERROR(INDEX(계정매핑!$F$5:$F$504,MATCH($F3316&amp;"",계정매핑!$A$5:$A$504,0))&amp;"","비귀속"),""))</f>
        <v/>
      </c>
      <c r="AG3316" s="96">
        <f>IF($A3316="",0,IF(AND(AE3316&lt;&gt;"직접",IFERROR(INDEX(계정매핑!$G$5:$G$504,MATCH($F3316&amp;"",계정매핑!$A$5:$A$504,0))&amp;"","")="유지비",COUNTIF(계정대체기준!$A$6:$A$15,$N3316)&gt;0),IFERROR(INDEX(계정대체기준!$E$6:$E$15,MATCH(VALUE($A3316&amp;""),계정대체기준!$D$6:$D$15,0)),0),0))</f>
        <v/>
      </c>
      <c r="AH3316" s="64">
        <f>IF($A3316="","",IF(AD3316=0,"",IF(OR(COUNTIF(계정대체기준!$A$77:$A$86,$N3316)&gt;0,ISNUMBER(MATCH($X3316,계정대체기준!$D$77:$D$86,0)),ISNUMBER(MATCH($F3316,계정대체기준!$D$77:$D$86,0))),"Y","N")))</f>
        <v/>
      </c>
    </row>
    <row r="3317">
      <c r="A3317" s="92" t="n">
        <v>2026</v>
      </c>
      <c r="B3317" s="92" t="n">
        <v>3</v>
      </c>
      <c r="C3317" s="92" t="inlineStr">
        <is>
          <t>5100000595</t>
        </is>
      </c>
      <c r="D3317" s="95" t="n">
        <v>46098</v>
      </c>
      <c r="E3317" s="92" t="inlineStr">
        <is>
          <t>KR</t>
        </is>
      </c>
      <c r="F3317" s="92" t="n">
        <v>62501000</v>
      </c>
      <c r="G3317" s="92" t="n">
        <v>1401</v>
      </c>
      <c r="H3317" s="93" t="n">
        <v>357000</v>
      </c>
      <c r="I3317" s="92" t="inlineStr">
        <is>
          <t>3월 회의 다과 - T케이터링</t>
        </is>
      </c>
      <c r="J3317" s="92" t="inlineStr">
        <is>
          <t>V10005</t>
        </is>
      </c>
      <c r="K3317" s="92" t="inlineStr">
        <is>
          <t>T케이터링</t>
        </is>
      </c>
      <c r="M3317" s="9">
        <f>IF($A3317="","",VALUE($A3317&amp;"")*12+VALUE($B3317&amp;""))</f>
        <v/>
      </c>
      <c r="N3317" s="64">
        <f>IF($A3317="","",IFERROR(INDEX(부서매핑!$C$5:$C$504,MATCH($G3317&amp;"",부서매핑!$A$5:$A$504,0)),"미매핑"))</f>
        <v/>
      </c>
      <c r="O3317" s="9">
        <f>IF($A3317="","",N3317&amp;"|"&amp;$F3317)</f>
        <v/>
      </c>
      <c r="P3317" s="94">
        <f>IF($A3317="",0,$H3317*설정!$C$23)</f>
        <v/>
      </c>
      <c r="Q3317" s="64">
        <f>IF($A3317="","",IF(O3317&lt;&gt;원인분석!$C$9,"",IF(AND(M3317&gt;=원인분석!$C$10,M3317&lt;=원인분석!$C$11),"당기",IF(AND(M3317&gt;=원인분석!$C$12,M3317&lt;=원인분석!$C$13),"비교",""))))</f>
        <v/>
      </c>
      <c r="R3317" s="9">
        <f>IF(Q3317="","",$K3317&amp;"")</f>
        <v/>
      </c>
      <c r="S3317" s="9">
        <f>IF(Q3317="","",IF(MATCH(R3317,$R$5:$R$100000,0)=ROW()-4,ROW(),""))</f>
        <v/>
      </c>
      <c r="T3317" s="9">
        <f>IF(Q3317="당기",ABS(P3317)+ROW()/1000000000,"")</f>
        <v/>
      </c>
      <c r="U3317" s="9">
        <f>IF(Q3317="비교",ABS(P3317)+ROW()/1000000000,"")</f>
        <v/>
      </c>
      <c r="V3317" s="64">
        <f>IF($A3317="","",IF(COUNTIF(변동분석!$E$7:$E$506,O3317)&gt;0,"Y","N"))</f>
        <v/>
      </c>
      <c r="W3317" s="64">
        <f>IF($A3317="","",IFERROR(INDEX(계정매핑!$D$5:$D$504,MATCH($F3317&amp;"",계정매핑!$A$5:$A$504,0)),"미매핑"))</f>
        <v/>
      </c>
      <c r="X3317" s="9">
        <f>IF($A3317="","",$F3317&amp;"")</f>
        <v/>
      </c>
      <c r="Y3317" s="94">
        <f>IF($A3317="",0,IF(AE3317="직접",IF(AF3317="비귀속",$P3317,0),$P3317*(1-AG3317)*IFERROR(INDEX(계정대체기준!$F$20:$F$49,MATCH($N3317,계정대체기준!$A$20:$A$49,0)),1)))</f>
        <v/>
      </c>
      <c r="Z3317" s="94">
        <f>IF($A3317="",0,IF(AE3317="직접",IF(AF3317="신계약비",$P3317,0),$P3317*(1-AG3317)*IFERROR(INDEX(계정대체기준!$C$20:$C$49,MATCH($N3317,계정대체기준!$A$20:$A$49,0)),0)))</f>
        <v/>
      </c>
      <c r="AA3317" s="94">
        <f>IF($A3317="",0,IF(AE3317="직접",IF(OR(AF3317="유지비",AF3317="손해조사비"),$P3317,0),$P3317*(1-AG3317)*IFERROR(INDEX(계정대체기준!$D$20:$D$49,MATCH($N3317,계정대체기준!$A$20:$A$49,0)),0)))</f>
        <v/>
      </c>
      <c r="AB3317" s="94">
        <f>IF($A3317="",0,IF(AE3317="직접",IF(AF3317="수금비",$P3317,0),$P3317*(1-AG3317)*IFERROR(INDEX(계정대체기준!$E$20:$E$49,MATCH($N3317,계정대체기준!$A$20:$A$49,0)),0)))</f>
        <v/>
      </c>
      <c r="AC3317" s="9">
        <f>IF(AND($A3317&lt;&gt;"",M3317=설정!$C$20,Z3317&gt;0),Z3317+ROW()/1000000000,"")</f>
        <v/>
      </c>
      <c r="AD3317" s="94">
        <f>IF($A3317="",0,$P3317*AG3317)</f>
        <v/>
      </c>
      <c r="AE3317" s="64">
        <f>IF($A3317="","",IFERROR(INDEX(계정매핑!$E$5:$E$504,MATCH($F3317&amp;"",계정매핑!$A$5:$A$504,0))&amp;"","공통비"))</f>
        <v/>
      </c>
      <c r="AF3317" s="64">
        <f>IF($A3317="","",IF(AE3317="직접",IFERROR(INDEX(계정매핑!$F$5:$F$504,MATCH($F3317&amp;"",계정매핑!$A$5:$A$504,0))&amp;"","비귀속"),""))</f>
        <v/>
      </c>
      <c r="AG3317" s="96">
        <f>IF($A3317="",0,IF(AND(AE3317&lt;&gt;"직접",IFERROR(INDEX(계정매핑!$G$5:$G$504,MATCH($F3317&amp;"",계정매핑!$A$5:$A$504,0))&amp;"","")="유지비",COUNTIF(계정대체기준!$A$6:$A$15,$N3317)&gt;0),IFERROR(INDEX(계정대체기준!$E$6:$E$15,MATCH(VALUE($A3317&amp;""),계정대체기준!$D$6:$D$15,0)),0),0))</f>
        <v/>
      </c>
      <c r="AH3317" s="64">
        <f>IF($A3317="","",IF(AD3317=0,"",IF(OR(COUNTIF(계정대체기준!$A$77:$A$86,$N3317)&gt;0,ISNUMBER(MATCH($X3317,계정대체기준!$D$77:$D$86,0)),ISNUMBER(MATCH($F3317,계정대체기준!$D$77:$D$86,0))),"Y","N")))</f>
        <v/>
      </c>
    </row>
    <row r="3318">
      <c r="A3318" s="92" t="n">
        <v>2026</v>
      </c>
      <c r="B3318" s="92" t="n">
        <v>3</v>
      </c>
      <c r="C3318" s="92" t="inlineStr">
        <is>
          <t>5100000596</t>
        </is>
      </c>
      <c r="D3318" s="95" t="n">
        <v>46098</v>
      </c>
      <c r="E3318" s="92" t="inlineStr">
        <is>
          <t>KR</t>
        </is>
      </c>
      <c r="F3318" s="92" t="n">
        <v>62902000</v>
      </c>
      <c r="G3318" s="92" t="n">
        <v>1801</v>
      </c>
      <c r="H3318" s="93" t="n">
        <v>1853000</v>
      </c>
      <c r="I3318" s="92" t="inlineStr">
        <is>
          <t>3월 콜 위탁 수수료(건별)</t>
        </is>
      </c>
      <c r="J3318" s="92" t="inlineStr">
        <is>
          <t>V10016</t>
        </is>
      </c>
      <c r="K3318" s="92" t="inlineStr">
        <is>
          <t>J콜센터</t>
        </is>
      </c>
      <c r="M3318" s="9">
        <f>IF($A3318="","",VALUE($A3318&amp;"")*12+VALUE($B3318&amp;""))</f>
        <v/>
      </c>
      <c r="N3318" s="64">
        <f>IF($A3318="","",IFERROR(INDEX(부서매핑!$C$5:$C$504,MATCH($G3318&amp;"",부서매핑!$A$5:$A$504,0)),"미매핑"))</f>
        <v/>
      </c>
      <c r="O3318" s="9">
        <f>IF($A3318="","",N3318&amp;"|"&amp;$F3318)</f>
        <v/>
      </c>
      <c r="P3318" s="94">
        <f>IF($A3318="",0,$H3318*설정!$C$23)</f>
        <v/>
      </c>
      <c r="Q3318" s="64">
        <f>IF($A3318="","",IF(O3318&lt;&gt;원인분석!$C$9,"",IF(AND(M3318&gt;=원인분석!$C$10,M3318&lt;=원인분석!$C$11),"당기",IF(AND(M3318&gt;=원인분석!$C$12,M3318&lt;=원인분석!$C$13),"비교",""))))</f>
        <v/>
      </c>
      <c r="R3318" s="9">
        <f>IF(Q3318="","",$K3318&amp;"")</f>
        <v/>
      </c>
      <c r="S3318" s="9">
        <f>IF(Q3318="","",IF(MATCH(R3318,$R$5:$R$100000,0)=ROW()-4,ROW(),""))</f>
        <v/>
      </c>
      <c r="T3318" s="9">
        <f>IF(Q3318="당기",ABS(P3318)+ROW()/1000000000,"")</f>
        <v/>
      </c>
      <c r="U3318" s="9">
        <f>IF(Q3318="비교",ABS(P3318)+ROW()/1000000000,"")</f>
        <v/>
      </c>
      <c r="V3318" s="64">
        <f>IF($A3318="","",IF(COUNTIF(변동분석!$E$7:$E$506,O3318)&gt;0,"Y","N"))</f>
        <v/>
      </c>
      <c r="W3318" s="64">
        <f>IF($A3318="","",IFERROR(INDEX(계정매핑!$D$5:$D$504,MATCH($F3318&amp;"",계정매핑!$A$5:$A$504,0)),"미매핑"))</f>
        <v/>
      </c>
      <c r="X3318" s="9">
        <f>IF($A3318="","",$F3318&amp;"")</f>
        <v/>
      </c>
      <c r="Y3318" s="94">
        <f>IF($A3318="",0,IF(AE3318="직접",IF(AF3318="비귀속",$P3318,0),$P3318*(1-AG3318)*IFERROR(INDEX(계정대체기준!$F$20:$F$49,MATCH($N3318,계정대체기준!$A$20:$A$49,0)),1)))</f>
        <v/>
      </c>
      <c r="Z3318" s="94">
        <f>IF($A3318="",0,IF(AE3318="직접",IF(AF3318="신계약비",$P3318,0),$P3318*(1-AG3318)*IFERROR(INDEX(계정대체기준!$C$20:$C$49,MATCH($N3318,계정대체기준!$A$20:$A$49,0)),0)))</f>
        <v/>
      </c>
      <c r="AA3318" s="94">
        <f>IF($A3318="",0,IF(AE3318="직접",IF(OR(AF3318="유지비",AF3318="손해조사비"),$P3318,0),$P3318*(1-AG3318)*IFERROR(INDEX(계정대체기준!$D$20:$D$49,MATCH($N3318,계정대체기준!$A$20:$A$49,0)),0)))</f>
        <v/>
      </c>
      <c r="AB3318" s="94">
        <f>IF($A3318="",0,IF(AE3318="직접",IF(AF3318="수금비",$P3318,0),$P3318*(1-AG3318)*IFERROR(INDEX(계정대체기준!$E$20:$E$49,MATCH($N3318,계정대체기준!$A$20:$A$49,0)),0)))</f>
        <v/>
      </c>
      <c r="AC3318" s="9">
        <f>IF(AND($A3318&lt;&gt;"",M3318=설정!$C$20,Z3318&gt;0),Z3318+ROW()/1000000000,"")</f>
        <v/>
      </c>
      <c r="AD3318" s="94">
        <f>IF($A3318="",0,$P3318*AG3318)</f>
        <v/>
      </c>
      <c r="AE3318" s="64">
        <f>IF($A3318="","",IFERROR(INDEX(계정매핑!$E$5:$E$504,MATCH($F3318&amp;"",계정매핑!$A$5:$A$504,0))&amp;"","공통비"))</f>
        <v/>
      </c>
      <c r="AF3318" s="64">
        <f>IF($A3318="","",IF(AE3318="직접",IFERROR(INDEX(계정매핑!$F$5:$F$504,MATCH($F3318&amp;"",계정매핑!$A$5:$A$504,0))&amp;"","비귀속"),""))</f>
        <v/>
      </c>
      <c r="AG3318" s="96">
        <f>IF($A3318="",0,IF(AND(AE3318&lt;&gt;"직접",IFERROR(INDEX(계정매핑!$G$5:$G$504,MATCH($F3318&amp;"",계정매핑!$A$5:$A$504,0))&amp;"","")="유지비",COUNTIF(계정대체기준!$A$6:$A$15,$N3318)&gt;0),IFERROR(INDEX(계정대체기준!$E$6:$E$15,MATCH(VALUE($A3318&amp;""),계정대체기준!$D$6:$D$15,0)),0),0))</f>
        <v/>
      </c>
      <c r="AH3318" s="64">
        <f>IF($A3318="","",IF(AD3318=0,"",IF(OR(COUNTIF(계정대체기준!$A$77:$A$86,$N3318)&gt;0,ISNUMBER(MATCH($X3318,계정대체기준!$D$77:$D$86,0)),ISNUMBER(MATCH($F3318,계정대체기준!$D$77:$D$86,0))),"Y","N")))</f>
        <v/>
      </c>
    </row>
    <row r="3319">
      <c r="A3319" s="92" t="n">
        <v>2026</v>
      </c>
      <c r="B3319" s="92" t="n">
        <v>3</v>
      </c>
      <c r="C3319" s="92" t="inlineStr">
        <is>
          <t>5100000597</t>
        </is>
      </c>
      <c r="D3319" s="95" t="n">
        <v>46098</v>
      </c>
      <c r="E3319" s="92" t="inlineStr">
        <is>
          <t>KR</t>
        </is>
      </c>
      <c r="F3319" s="92" t="n">
        <v>63001000</v>
      </c>
      <c r="G3319" s="92" t="n">
        <v>1951</v>
      </c>
      <c r="H3319" s="93" t="n">
        <v>2282000</v>
      </c>
      <c r="I3319" s="92" t="inlineStr">
        <is>
          <t>3월 SW 유지보수 - Z시스템</t>
        </is>
      </c>
      <c r="J3319" s="92" t="inlineStr">
        <is>
          <t>V10012</t>
        </is>
      </c>
      <c r="K3319" s="92" t="inlineStr">
        <is>
          <t>Z시스템</t>
        </is>
      </c>
      <c r="M3319" s="9">
        <f>IF($A3319="","",VALUE($A3319&amp;"")*12+VALUE($B3319&amp;""))</f>
        <v/>
      </c>
      <c r="N3319" s="64">
        <f>IF($A3319="","",IFERROR(INDEX(부서매핑!$C$5:$C$504,MATCH($G3319&amp;"",부서매핑!$A$5:$A$504,0)),"미매핑"))</f>
        <v/>
      </c>
      <c r="O3319" s="9">
        <f>IF($A3319="","",N3319&amp;"|"&amp;$F3319)</f>
        <v/>
      </c>
      <c r="P3319" s="94">
        <f>IF($A3319="",0,$H3319*설정!$C$23)</f>
        <v/>
      </c>
      <c r="Q3319" s="64">
        <f>IF($A3319="","",IF(O3319&lt;&gt;원인분석!$C$9,"",IF(AND(M3319&gt;=원인분석!$C$10,M3319&lt;=원인분석!$C$11),"당기",IF(AND(M3319&gt;=원인분석!$C$12,M3319&lt;=원인분석!$C$13),"비교",""))))</f>
        <v/>
      </c>
      <c r="R3319" s="9">
        <f>IF(Q3319="","",$K3319&amp;"")</f>
        <v/>
      </c>
      <c r="S3319" s="9">
        <f>IF(Q3319="","",IF(MATCH(R3319,$R$5:$R$100000,0)=ROW()-4,ROW(),""))</f>
        <v/>
      </c>
      <c r="T3319" s="9">
        <f>IF(Q3319="당기",ABS(P3319)+ROW()/1000000000,"")</f>
        <v/>
      </c>
      <c r="U3319" s="9">
        <f>IF(Q3319="비교",ABS(P3319)+ROW()/1000000000,"")</f>
        <v/>
      </c>
      <c r="V3319" s="64">
        <f>IF($A3319="","",IF(COUNTIF(변동분석!$E$7:$E$506,O3319)&gt;0,"Y","N"))</f>
        <v/>
      </c>
      <c r="W3319" s="64">
        <f>IF($A3319="","",IFERROR(INDEX(계정매핑!$D$5:$D$504,MATCH($F3319&amp;"",계정매핑!$A$5:$A$504,0)),"미매핑"))</f>
        <v/>
      </c>
      <c r="X3319" s="9">
        <f>IF($A3319="","",$F3319&amp;"")</f>
        <v/>
      </c>
      <c r="Y3319" s="94">
        <f>IF($A3319="",0,IF(AE3319="직접",IF(AF3319="비귀속",$P3319,0),$P3319*(1-AG3319)*IFERROR(INDEX(계정대체기준!$F$20:$F$49,MATCH($N3319,계정대체기준!$A$20:$A$49,0)),1)))</f>
        <v/>
      </c>
      <c r="Z3319" s="94">
        <f>IF($A3319="",0,IF(AE3319="직접",IF(AF3319="신계약비",$P3319,0),$P3319*(1-AG3319)*IFERROR(INDEX(계정대체기준!$C$20:$C$49,MATCH($N3319,계정대체기준!$A$20:$A$49,0)),0)))</f>
        <v/>
      </c>
      <c r="AA3319" s="94">
        <f>IF($A3319="",0,IF(AE3319="직접",IF(OR(AF3319="유지비",AF3319="손해조사비"),$P3319,0),$P3319*(1-AG3319)*IFERROR(INDEX(계정대체기준!$D$20:$D$49,MATCH($N3319,계정대체기준!$A$20:$A$49,0)),0)))</f>
        <v/>
      </c>
      <c r="AB3319" s="94">
        <f>IF($A3319="",0,IF(AE3319="직접",IF(AF3319="수금비",$P3319,0),$P3319*(1-AG3319)*IFERROR(INDEX(계정대체기준!$E$20:$E$49,MATCH($N3319,계정대체기준!$A$20:$A$49,0)),0)))</f>
        <v/>
      </c>
      <c r="AC3319" s="9">
        <f>IF(AND($A3319&lt;&gt;"",M3319=설정!$C$20,Z3319&gt;0),Z3319+ROW()/1000000000,"")</f>
        <v/>
      </c>
      <c r="AD3319" s="94">
        <f>IF($A3319="",0,$P3319*AG3319)</f>
        <v/>
      </c>
      <c r="AE3319" s="64">
        <f>IF($A3319="","",IFERROR(INDEX(계정매핑!$E$5:$E$504,MATCH($F3319&amp;"",계정매핑!$A$5:$A$504,0))&amp;"","공통비"))</f>
        <v/>
      </c>
      <c r="AF3319" s="64">
        <f>IF($A3319="","",IF(AE3319="직접",IFERROR(INDEX(계정매핑!$F$5:$F$504,MATCH($F3319&amp;"",계정매핑!$A$5:$A$504,0))&amp;"","비귀속"),""))</f>
        <v/>
      </c>
      <c r="AG3319" s="96">
        <f>IF($A3319="",0,IF(AND(AE3319&lt;&gt;"직접",IFERROR(INDEX(계정매핑!$G$5:$G$504,MATCH($F3319&amp;"",계정매핑!$A$5:$A$504,0))&amp;"","")="유지비",COUNTIF(계정대체기준!$A$6:$A$15,$N3319)&gt;0),IFERROR(INDEX(계정대체기준!$E$6:$E$15,MATCH(VALUE($A3319&amp;""),계정대체기준!$D$6:$D$15,0)),0),0))</f>
        <v/>
      </c>
      <c r="AH3319" s="64">
        <f>IF($A3319="","",IF(AD3319=0,"",IF(OR(COUNTIF(계정대체기준!$A$77:$A$86,$N3319)&gt;0,ISNUMBER(MATCH($X3319,계정대체기준!$D$77:$D$86,0)),ISNUMBER(MATCH($F3319,계정대체기준!$D$77:$D$86,0))),"Y","N")))</f>
        <v/>
      </c>
    </row>
    <row r="3320">
      <c r="A3320" s="92" t="n">
        <v>2026</v>
      </c>
      <c r="B3320" s="92" t="n">
        <v>3</v>
      </c>
      <c r="C3320" s="92" t="inlineStr">
        <is>
          <t>5100000598</t>
        </is>
      </c>
      <c r="D3320" s="95" t="n">
        <v>46098</v>
      </c>
      <c r="E3320" s="92" t="inlineStr">
        <is>
          <t>KR</t>
        </is>
      </c>
      <c r="F3320" s="92" t="n">
        <v>63201000</v>
      </c>
      <c r="G3320" s="92" t="n">
        <v>1601</v>
      </c>
      <c r="H3320" s="93" t="n">
        <v>6142000</v>
      </c>
      <c r="I3320" s="92" t="inlineStr">
        <is>
          <t>3월 차량 유지 - D정비</t>
        </is>
      </c>
      <c r="J3320" s="92" t="inlineStr">
        <is>
          <t>V10025</t>
        </is>
      </c>
      <c r="K3320" s="92" t="inlineStr">
        <is>
          <t>D정비</t>
        </is>
      </c>
      <c r="M3320" s="9">
        <f>IF($A3320="","",VALUE($A3320&amp;"")*12+VALUE($B3320&amp;""))</f>
        <v/>
      </c>
      <c r="N3320" s="64">
        <f>IF($A3320="","",IFERROR(INDEX(부서매핑!$C$5:$C$504,MATCH($G3320&amp;"",부서매핑!$A$5:$A$504,0)),"미매핑"))</f>
        <v/>
      </c>
      <c r="O3320" s="9">
        <f>IF($A3320="","",N3320&amp;"|"&amp;$F3320)</f>
        <v/>
      </c>
      <c r="P3320" s="94">
        <f>IF($A3320="",0,$H3320*설정!$C$23)</f>
        <v/>
      </c>
      <c r="Q3320" s="64">
        <f>IF($A3320="","",IF(O3320&lt;&gt;원인분석!$C$9,"",IF(AND(M3320&gt;=원인분석!$C$10,M3320&lt;=원인분석!$C$11),"당기",IF(AND(M3320&gt;=원인분석!$C$12,M3320&lt;=원인분석!$C$13),"비교",""))))</f>
        <v/>
      </c>
      <c r="R3320" s="9">
        <f>IF(Q3320="","",$K3320&amp;"")</f>
        <v/>
      </c>
      <c r="S3320" s="9">
        <f>IF(Q3320="","",IF(MATCH(R3320,$R$5:$R$100000,0)=ROW()-4,ROW(),""))</f>
        <v/>
      </c>
      <c r="T3320" s="9">
        <f>IF(Q3320="당기",ABS(P3320)+ROW()/1000000000,"")</f>
        <v/>
      </c>
      <c r="U3320" s="9">
        <f>IF(Q3320="비교",ABS(P3320)+ROW()/1000000000,"")</f>
        <v/>
      </c>
      <c r="V3320" s="64">
        <f>IF($A3320="","",IF(COUNTIF(변동분석!$E$7:$E$506,O3320)&gt;0,"Y","N"))</f>
        <v/>
      </c>
      <c r="W3320" s="64">
        <f>IF($A3320="","",IFERROR(INDEX(계정매핑!$D$5:$D$504,MATCH($F3320&amp;"",계정매핑!$A$5:$A$504,0)),"미매핑"))</f>
        <v/>
      </c>
      <c r="X3320" s="9">
        <f>IF($A3320="","",$F3320&amp;"")</f>
        <v/>
      </c>
      <c r="Y3320" s="94">
        <f>IF($A3320="",0,IF(AE3320="직접",IF(AF3320="비귀속",$P3320,0),$P3320*(1-AG3320)*IFERROR(INDEX(계정대체기준!$F$20:$F$49,MATCH($N3320,계정대체기준!$A$20:$A$49,0)),1)))</f>
        <v/>
      </c>
      <c r="Z3320" s="94">
        <f>IF($A3320="",0,IF(AE3320="직접",IF(AF3320="신계약비",$P3320,0),$P3320*(1-AG3320)*IFERROR(INDEX(계정대체기준!$C$20:$C$49,MATCH($N3320,계정대체기준!$A$20:$A$49,0)),0)))</f>
        <v/>
      </c>
      <c r="AA3320" s="94">
        <f>IF($A3320="",0,IF(AE3320="직접",IF(OR(AF3320="유지비",AF3320="손해조사비"),$P3320,0),$P3320*(1-AG3320)*IFERROR(INDEX(계정대체기준!$D$20:$D$49,MATCH($N3320,계정대체기준!$A$20:$A$49,0)),0)))</f>
        <v/>
      </c>
      <c r="AB3320" s="94">
        <f>IF($A3320="",0,IF(AE3320="직접",IF(AF3320="수금비",$P3320,0),$P3320*(1-AG3320)*IFERROR(INDEX(계정대체기준!$E$20:$E$49,MATCH($N3320,계정대체기준!$A$20:$A$49,0)),0)))</f>
        <v/>
      </c>
      <c r="AC3320" s="9">
        <f>IF(AND($A3320&lt;&gt;"",M3320=설정!$C$20,Z3320&gt;0),Z3320+ROW()/1000000000,"")</f>
        <v/>
      </c>
      <c r="AD3320" s="94">
        <f>IF($A3320="",0,$P3320*AG3320)</f>
        <v/>
      </c>
      <c r="AE3320" s="64">
        <f>IF($A3320="","",IFERROR(INDEX(계정매핑!$E$5:$E$504,MATCH($F3320&amp;"",계정매핑!$A$5:$A$504,0))&amp;"","공통비"))</f>
        <v/>
      </c>
      <c r="AF3320" s="64">
        <f>IF($A3320="","",IF(AE3320="직접",IFERROR(INDEX(계정매핑!$F$5:$F$504,MATCH($F3320&amp;"",계정매핑!$A$5:$A$504,0))&amp;"","비귀속"),""))</f>
        <v/>
      </c>
      <c r="AG3320" s="96">
        <f>IF($A3320="",0,IF(AND(AE3320&lt;&gt;"직접",IFERROR(INDEX(계정매핑!$G$5:$G$504,MATCH($F3320&amp;"",계정매핑!$A$5:$A$504,0))&amp;"","")="유지비",COUNTIF(계정대체기준!$A$6:$A$15,$N3320)&gt;0),IFERROR(INDEX(계정대체기준!$E$6:$E$15,MATCH(VALUE($A3320&amp;""),계정대체기준!$D$6:$D$15,0)),0),0))</f>
        <v/>
      </c>
      <c r="AH3320" s="64">
        <f>IF($A3320="","",IF(AD3320=0,"",IF(OR(COUNTIF(계정대체기준!$A$77:$A$86,$N3320)&gt;0,ISNUMBER(MATCH($X3320,계정대체기준!$D$77:$D$86,0)),ISNUMBER(MATCH($F3320,계정대체기준!$D$77:$D$86,0))),"Y","N")))</f>
        <v/>
      </c>
    </row>
    <row r="3321">
      <c r="A3321" s="92" t="n">
        <v>2026</v>
      </c>
      <c r="B3321" s="92" t="n">
        <v>3</v>
      </c>
      <c r="C3321" s="92" t="inlineStr">
        <is>
          <t>5100000599</t>
        </is>
      </c>
      <c r="D3321" s="95" t="n">
        <v>46098</v>
      </c>
      <c r="E3321" s="92" t="inlineStr">
        <is>
          <t>KR</t>
        </is>
      </c>
      <c r="F3321" s="92" t="n">
        <v>63601000</v>
      </c>
      <c r="G3321" s="92" t="n">
        <v>1801</v>
      </c>
      <c r="H3321" s="93" t="n">
        <v>8978000</v>
      </c>
      <c r="I3321" s="92" t="inlineStr">
        <is>
          <t>3월 손해사정 수수료 - DD손해사정</t>
        </is>
      </c>
      <c r="J3321" s="92" t="inlineStr">
        <is>
          <t>V10032</t>
        </is>
      </c>
      <c r="K3321" s="92" t="inlineStr">
        <is>
          <t>DD손해사정</t>
        </is>
      </c>
      <c r="M3321" s="9">
        <f>IF($A3321="","",VALUE($A3321&amp;"")*12+VALUE($B3321&amp;""))</f>
        <v/>
      </c>
      <c r="N3321" s="64">
        <f>IF($A3321="","",IFERROR(INDEX(부서매핑!$C$5:$C$504,MATCH($G3321&amp;"",부서매핑!$A$5:$A$504,0)),"미매핑"))</f>
        <v/>
      </c>
      <c r="O3321" s="9">
        <f>IF($A3321="","",N3321&amp;"|"&amp;$F3321)</f>
        <v/>
      </c>
      <c r="P3321" s="94">
        <f>IF($A3321="",0,$H3321*설정!$C$23)</f>
        <v/>
      </c>
      <c r="Q3321" s="64">
        <f>IF($A3321="","",IF(O3321&lt;&gt;원인분석!$C$9,"",IF(AND(M3321&gt;=원인분석!$C$10,M3321&lt;=원인분석!$C$11),"당기",IF(AND(M3321&gt;=원인분석!$C$12,M3321&lt;=원인분석!$C$13),"비교",""))))</f>
        <v/>
      </c>
      <c r="R3321" s="9">
        <f>IF(Q3321="","",$K3321&amp;"")</f>
        <v/>
      </c>
      <c r="S3321" s="9">
        <f>IF(Q3321="","",IF(MATCH(R3321,$R$5:$R$100000,0)=ROW()-4,ROW(),""))</f>
        <v/>
      </c>
      <c r="T3321" s="9">
        <f>IF(Q3321="당기",ABS(P3321)+ROW()/1000000000,"")</f>
        <v/>
      </c>
      <c r="U3321" s="9">
        <f>IF(Q3321="비교",ABS(P3321)+ROW()/1000000000,"")</f>
        <v/>
      </c>
      <c r="V3321" s="64">
        <f>IF($A3321="","",IF(COUNTIF(변동분석!$E$7:$E$506,O3321)&gt;0,"Y","N"))</f>
        <v/>
      </c>
      <c r="W3321" s="64">
        <f>IF($A3321="","",IFERROR(INDEX(계정매핑!$D$5:$D$504,MATCH($F3321&amp;"",계정매핑!$A$5:$A$504,0)),"미매핑"))</f>
        <v/>
      </c>
      <c r="X3321" s="9">
        <f>IF($A3321="","",$F3321&amp;"")</f>
        <v/>
      </c>
      <c r="Y3321" s="94">
        <f>IF($A3321="",0,IF(AE3321="직접",IF(AF3321="비귀속",$P3321,0),$P3321*(1-AG3321)*IFERROR(INDEX(계정대체기준!$F$20:$F$49,MATCH($N3321,계정대체기준!$A$20:$A$49,0)),1)))</f>
        <v/>
      </c>
      <c r="Z3321" s="94">
        <f>IF($A3321="",0,IF(AE3321="직접",IF(AF3321="신계약비",$P3321,0),$P3321*(1-AG3321)*IFERROR(INDEX(계정대체기준!$C$20:$C$49,MATCH($N3321,계정대체기준!$A$20:$A$49,0)),0)))</f>
        <v/>
      </c>
      <c r="AA3321" s="94">
        <f>IF($A3321="",0,IF(AE3321="직접",IF(OR(AF3321="유지비",AF3321="손해조사비"),$P3321,0),$P3321*(1-AG3321)*IFERROR(INDEX(계정대체기준!$D$20:$D$49,MATCH($N3321,계정대체기준!$A$20:$A$49,0)),0)))</f>
        <v/>
      </c>
      <c r="AB3321" s="94">
        <f>IF($A3321="",0,IF(AE3321="직접",IF(AF3321="수금비",$P3321,0),$P3321*(1-AG3321)*IFERROR(INDEX(계정대체기준!$E$20:$E$49,MATCH($N3321,계정대체기준!$A$20:$A$49,0)),0)))</f>
        <v/>
      </c>
      <c r="AC3321" s="9">
        <f>IF(AND($A3321&lt;&gt;"",M3321=설정!$C$20,Z3321&gt;0),Z3321+ROW()/1000000000,"")</f>
        <v/>
      </c>
      <c r="AD3321" s="94">
        <f>IF($A3321="",0,$P3321*AG3321)</f>
        <v/>
      </c>
      <c r="AE3321" s="64">
        <f>IF($A3321="","",IFERROR(INDEX(계정매핑!$E$5:$E$504,MATCH($F3321&amp;"",계정매핑!$A$5:$A$504,0))&amp;"","공통비"))</f>
        <v/>
      </c>
      <c r="AF3321" s="64">
        <f>IF($A3321="","",IF(AE3321="직접",IFERROR(INDEX(계정매핑!$F$5:$F$504,MATCH($F3321&amp;"",계정매핑!$A$5:$A$504,0))&amp;"","비귀속"),""))</f>
        <v/>
      </c>
      <c r="AG3321" s="96">
        <f>IF($A3321="",0,IF(AND(AE3321&lt;&gt;"직접",IFERROR(INDEX(계정매핑!$G$5:$G$504,MATCH($F3321&amp;"",계정매핑!$A$5:$A$504,0))&amp;"","")="유지비",COUNTIF(계정대체기준!$A$6:$A$15,$N3321)&gt;0),IFERROR(INDEX(계정대체기준!$E$6:$E$15,MATCH(VALUE($A3321&amp;""),계정대체기준!$D$6:$D$15,0)),0),0))</f>
        <v/>
      </c>
      <c r="AH3321" s="64">
        <f>IF($A3321="","",IF(AD3321=0,"",IF(OR(COUNTIF(계정대체기준!$A$77:$A$86,$N3321)&gt;0,ISNUMBER(MATCH($X3321,계정대체기준!$D$77:$D$86,0)),ISNUMBER(MATCH($F3321,계정대체기준!$D$77:$D$86,0))),"Y","N")))</f>
        <v/>
      </c>
    </row>
    <row r="3322">
      <c r="A3322" s="92" t="n">
        <v>2026</v>
      </c>
      <c r="B3322" s="92" t="n">
        <v>3</v>
      </c>
      <c r="C3322" s="92" t="inlineStr">
        <is>
          <t>5100000600</t>
        </is>
      </c>
      <c r="D3322" s="95" t="n">
        <v>46099</v>
      </c>
      <c r="E3322" s="92" t="inlineStr">
        <is>
          <t>KR</t>
        </is>
      </c>
      <c r="F3322" s="92" t="n">
        <v>62101000</v>
      </c>
      <c r="G3322" s="92" t="n">
        <v>1401</v>
      </c>
      <c r="H3322" s="93" t="n">
        <v>254000</v>
      </c>
      <c r="I3322" s="92" t="inlineStr">
        <is>
          <t>3월 국내출장 - L여행사</t>
        </is>
      </c>
      <c r="J3322" s="92" t="inlineStr">
        <is>
          <t>V10018</t>
        </is>
      </c>
      <c r="K3322" s="92" t="inlineStr">
        <is>
          <t>L여행사</t>
        </is>
      </c>
      <c r="M3322" s="9">
        <f>IF($A3322="","",VALUE($A3322&amp;"")*12+VALUE($B3322&amp;""))</f>
        <v/>
      </c>
      <c r="N3322" s="64">
        <f>IF($A3322="","",IFERROR(INDEX(부서매핑!$C$5:$C$504,MATCH($G3322&amp;"",부서매핑!$A$5:$A$504,0)),"미매핑"))</f>
        <v/>
      </c>
      <c r="O3322" s="9">
        <f>IF($A3322="","",N3322&amp;"|"&amp;$F3322)</f>
        <v/>
      </c>
      <c r="P3322" s="94">
        <f>IF($A3322="",0,$H3322*설정!$C$23)</f>
        <v/>
      </c>
      <c r="Q3322" s="64">
        <f>IF($A3322="","",IF(O3322&lt;&gt;원인분석!$C$9,"",IF(AND(M3322&gt;=원인분석!$C$10,M3322&lt;=원인분석!$C$11),"당기",IF(AND(M3322&gt;=원인분석!$C$12,M3322&lt;=원인분석!$C$13),"비교",""))))</f>
        <v/>
      </c>
      <c r="R3322" s="9">
        <f>IF(Q3322="","",$K3322&amp;"")</f>
        <v/>
      </c>
      <c r="S3322" s="9">
        <f>IF(Q3322="","",IF(MATCH(R3322,$R$5:$R$100000,0)=ROW()-4,ROW(),""))</f>
        <v/>
      </c>
      <c r="T3322" s="9">
        <f>IF(Q3322="당기",ABS(P3322)+ROW()/1000000000,"")</f>
        <v/>
      </c>
      <c r="U3322" s="9">
        <f>IF(Q3322="비교",ABS(P3322)+ROW()/1000000000,"")</f>
        <v/>
      </c>
      <c r="V3322" s="64">
        <f>IF($A3322="","",IF(COUNTIF(변동분석!$E$7:$E$506,O3322)&gt;0,"Y","N"))</f>
        <v/>
      </c>
      <c r="W3322" s="64">
        <f>IF($A3322="","",IFERROR(INDEX(계정매핑!$D$5:$D$504,MATCH($F3322&amp;"",계정매핑!$A$5:$A$504,0)),"미매핑"))</f>
        <v/>
      </c>
      <c r="X3322" s="9">
        <f>IF($A3322="","",$F3322&amp;"")</f>
        <v/>
      </c>
      <c r="Y3322" s="94">
        <f>IF($A3322="",0,IF(AE3322="직접",IF(AF3322="비귀속",$P3322,0),$P3322*(1-AG3322)*IFERROR(INDEX(계정대체기준!$F$20:$F$49,MATCH($N3322,계정대체기준!$A$20:$A$49,0)),1)))</f>
        <v/>
      </c>
      <c r="Z3322" s="94">
        <f>IF($A3322="",0,IF(AE3322="직접",IF(AF3322="신계약비",$P3322,0),$P3322*(1-AG3322)*IFERROR(INDEX(계정대체기준!$C$20:$C$49,MATCH($N3322,계정대체기준!$A$20:$A$49,0)),0)))</f>
        <v/>
      </c>
      <c r="AA3322" s="94">
        <f>IF($A3322="",0,IF(AE3322="직접",IF(OR(AF3322="유지비",AF3322="손해조사비"),$P3322,0),$P3322*(1-AG3322)*IFERROR(INDEX(계정대체기준!$D$20:$D$49,MATCH($N3322,계정대체기준!$A$20:$A$49,0)),0)))</f>
        <v/>
      </c>
      <c r="AB3322" s="94">
        <f>IF($A3322="",0,IF(AE3322="직접",IF(AF3322="수금비",$P3322,0),$P3322*(1-AG3322)*IFERROR(INDEX(계정대체기준!$E$20:$E$49,MATCH($N3322,계정대체기준!$A$20:$A$49,0)),0)))</f>
        <v/>
      </c>
      <c r="AC3322" s="9">
        <f>IF(AND($A3322&lt;&gt;"",M3322=설정!$C$20,Z3322&gt;0),Z3322+ROW()/1000000000,"")</f>
        <v/>
      </c>
      <c r="AD3322" s="94">
        <f>IF($A3322="",0,$P3322*AG3322)</f>
        <v/>
      </c>
      <c r="AE3322" s="64">
        <f>IF($A3322="","",IFERROR(INDEX(계정매핑!$E$5:$E$504,MATCH($F3322&amp;"",계정매핑!$A$5:$A$504,0))&amp;"","공통비"))</f>
        <v/>
      </c>
      <c r="AF3322" s="64">
        <f>IF($A3322="","",IF(AE3322="직접",IFERROR(INDEX(계정매핑!$F$5:$F$504,MATCH($F3322&amp;"",계정매핑!$A$5:$A$504,0))&amp;"","비귀속"),""))</f>
        <v/>
      </c>
      <c r="AG3322" s="96">
        <f>IF($A3322="",0,IF(AND(AE3322&lt;&gt;"직접",IFERROR(INDEX(계정매핑!$G$5:$G$504,MATCH($F3322&amp;"",계정매핑!$A$5:$A$504,0))&amp;"","")="유지비",COUNTIF(계정대체기준!$A$6:$A$15,$N3322)&gt;0),IFERROR(INDEX(계정대체기준!$E$6:$E$15,MATCH(VALUE($A3322&amp;""),계정대체기준!$D$6:$D$15,0)),0),0))</f>
        <v/>
      </c>
      <c r="AH3322" s="64">
        <f>IF($A3322="","",IF(AD3322=0,"",IF(OR(COUNTIF(계정대체기준!$A$77:$A$86,$N3322)&gt;0,ISNUMBER(MATCH($X3322,계정대체기준!$D$77:$D$86,0)),ISNUMBER(MATCH($F3322,계정대체기준!$D$77:$D$86,0))),"Y","N")))</f>
        <v/>
      </c>
    </row>
    <row r="3323">
      <c r="A3323" s="92" t="n">
        <v>2026</v>
      </c>
      <c r="B3323" s="92" t="n">
        <v>3</v>
      </c>
      <c r="C3323" s="92" t="inlineStr">
        <is>
          <t>5100000601</t>
        </is>
      </c>
      <c r="D3323" s="95" t="n">
        <v>46099</v>
      </c>
      <c r="E3323" s="92" t="inlineStr">
        <is>
          <t>KR</t>
        </is>
      </c>
      <c r="F3323" s="92" t="n">
        <v>62101000</v>
      </c>
      <c r="G3323" s="92" t="n">
        <v>1951</v>
      </c>
      <c r="H3323" s="93" t="n">
        <v>361000</v>
      </c>
      <c r="I3323" s="92" t="inlineStr">
        <is>
          <t>3월 국내출장 - L여행사</t>
        </is>
      </c>
      <c r="J3323" s="92" t="inlineStr">
        <is>
          <t>V10018</t>
        </is>
      </c>
      <c r="K3323" s="92" t="inlineStr">
        <is>
          <t>L여행사</t>
        </is>
      </c>
      <c r="M3323" s="9">
        <f>IF($A3323="","",VALUE($A3323&amp;"")*12+VALUE($B3323&amp;""))</f>
        <v/>
      </c>
      <c r="N3323" s="64">
        <f>IF($A3323="","",IFERROR(INDEX(부서매핑!$C$5:$C$504,MATCH($G3323&amp;"",부서매핑!$A$5:$A$504,0)),"미매핑"))</f>
        <v/>
      </c>
      <c r="O3323" s="9">
        <f>IF($A3323="","",N3323&amp;"|"&amp;$F3323)</f>
        <v/>
      </c>
      <c r="P3323" s="94">
        <f>IF($A3323="",0,$H3323*설정!$C$23)</f>
        <v/>
      </c>
      <c r="Q3323" s="64">
        <f>IF($A3323="","",IF(O3323&lt;&gt;원인분석!$C$9,"",IF(AND(M3323&gt;=원인분석!$C$10,M3323&lt;=원인분석!$C$11),"당기",IF(AND(M3323&gt;=원인분석!$C$12,M3323&lt;=원인분석!$C$13),"비교",""))))</f>
        <v/>
      </c>
      <c r="R3323" s="9">
        <f>IF(Q3323="","",$K3323&amp;"")</f>
        <v/>
      </c>
      <c r="S3323" s="9">
        <f>IF(Q3323="","",IF(MATCH(R3323,$R$5:$R$100000,0)=ROW()-4,ROW(),""))</f>
        <v/>
      </c>
      <c r="T3323" s="9">
        <f>IF(Q3323="당기",ABS(P3323)+ROW()/1000000000,"")</f>
        <v/>
      </c>
      <c r="U3323" s="9">
        <f>IF(Q3323="비교",ABS(P3323)+ROW()/1000000000,"")</f>
        <v/>
      </c>
      <c r="V3323" s="64">
        <f>IF($A3323="","",IF(COUNTIF(변동분석!$E$7:$E$506,O3323)&gt;0,"Y","N"))</f>
        <v/>
      </c>
      <c r="W3323" s="64">
        <f>IF($A3323="","",IFERROR(INDEX(계정매핑!$D$5:$D$504,MATCH($F3323&amp;"",계정매핑!$A$5:$A$504,0)),"미매핑"))</f>
        <v/>
      </c>
      <c r="X3323" s="9">
        <f>IF($A3323="","",$F3323&amp;"")</f>
        <v/>
      </c>
      <c r="Y3323" s="94">
        <f>IF($A3323="",0,IF(AE3323="직접",IF(AF3323="비귀속",$P3323,0),$P3323*(1-AG3323)*IFERROR(INDEX(계정대체기준!$F$20:$F$49,MATCH($N3323,계정대체기준!$A$20:$A$49,0)),1)))</f>
        <v/>
      </c>
      <c r="Z3323" s="94">
        <f>IF($A3323="",0,IF(AE3323="직접",IF(AF3323="신계약비",$P3323,0),$P3323*(1-AG3323)*IFERROR(INDEX(계정대체기준!$C$20:$C$49,MATCH($N3323,계정대체기준!$A$20:$A$49,0)),0)))</f>
        <v/>
      </c>
      <c r="AA3323" s="94">
        <f>IF($A3323="",0,IF(AE3323="직접",IF(OR(AF3323="유지비",AF3323="손해조사비"),$P3323,0),$P3323*(1-AG3323)*IFERROR(INDEX(계정대체기준!$D$20:$D$49,MATCH($N3323,계정대체기준!$A$20:$A$49,0)),0)))</f>
        <v/>
      </c>
      <c r="AB3323" s="94">
        <f>IF($A3323="",0,IF(AE3323="직접",IF(AF3323="수금비",$P3323,0),$P3323*(1-AG3323)*IFERROR(INDEX(계정대체기준!$E$20:$E$49,MATCH($N3323,계정대체기준!$A$20:$A$49,0)),0)))</f>
        <v/>
      </c>
      <c r="AC3323" s="9">
        <f>IF(AND($A3323&lt;&gt;"",M3323=설정!$C$20,Z3323&gt;0),Z3323+ROW()/1000000000,"")</f>
        <v/>
      </c>
      <c r="AD3323" s="94">
        <f>IF($A3323="",0,$P3323*AG3323)</f>
        <v/>
      </c>
      <c r="AE3323" s="64">
        <f>IF($A3323="","",IFERROR(INDEX(계정매핑!$E$5:$E$504,MATCH($F3323&amp;"",계정매핑!$A$5:$A$504,0))&amp;"","공통비"))</f>
        <v/>
      </c>
      <c r="AF3323" s="64">
        <f>IF($A3323="","",IF(AE3323="직접",IFERROR(INDEX(계정매핑!$F$5:$F$504,MATCH($F3323&amp;"",계정매핑!$A$5:$A$504,0))&amp;"","비귀속"),""))</f>
        <v/>
      </c>
      <c r="AG3323" s="96">
        <f>IF($A3323="",0,IF(AND(AE3323&lt;&gt;"직접",IFERROR(INDEX(계정매핑!$G$5:$G$504,MATCH($F3323&amp;"",계정매핑!$A$5:$A$504,0))&amp;"","")="유지비",COUNTIF(계정대체기준!$A$6:$A$15,$N3323)&gt;0),IFERROR(INDEX(계정대체기준!$E$6:$E$15,MATCH(VALUE($A3323&amp;""),계정대체기준!$D$6:$D$15,0)),0),0))</f>
        <v/>
      </c>
      <c r="AH3323" s="64">
        <f>IF($A3323="","",IF(AD3323=0,"",IF(OR(COUNTIF(계정대체기준!$A$77:$A$86,$N3323)&gt;0,ISNUMBER(MATCH($X3323,계정대체기준!$D$77:$D$86,0)),ISNUMBER(MATCH($F3323,계정대체기준!$D$77:$D$86,0))),"Y","N")))</f>
        <v/>
      </c>
    </row>
    <row r="3324">
      <c r="A3324" s="92" t="n">
        <v>2026</v>
      </c>
      <c r="B3324" s="92" t="n">
        <v>3</v>
      </c>
      <c r="C3324" s="92" t="inlineStr">
        <is>
          <t>5100000602</t>
        </is>
      </c>
      <c r="D3324" s="95" t="n">
        <v>46099</v>
      </c>
      <c r="E3324" s="92" t="inlineStr">
        <is>
          <t>KR</t>
        </is>
      </c>
      <c r="F3324" s="92" t="n">
        <v>62501000</v>
      </c>
      <c r="G3324" s="92" t="n">
        <v>1101</v>
      </c>
      <c r="H3324" s="93" t="n">
        <v>215000</v>
      </c>
      <c r="I3324" s="92" t="inlineStr">
        <is>
          <t>3월 회의 다과 - (법인카드)</t>
        </is>
      </c>
      <c r="J3324" s="92" t="inlineStr">
        <is>
          <t>V10010</t>
        </is>
      </c>
      <c r="K3324" s="92" t="inlineStr">
        <is>
          <t>(법인카드)</t>
        </is>
      </c>
      <c r="M3324" s="9">
        <f>IF($A3324="","",VALUE($A3324&amp;"")*12+VALUE($B3324&amp;""))</f>
        <v/>
      </c>
      <c r="N3324" s="64">
        <f>IF($A3324="","",IFERROR(INDEX(부서매핑!$C$5:$C$504,MATCH($G3324&amp;"",부서매핑!$A$5:$A$504,0)),"미매핑"))</f>
        <v/>
      </c>
      <c r="O3324" s="9">
        <f>IF($A3324="","",N3324&amp;"|"&amp;$F3324)</f>
        <v/>
      </c>
      <c r="P3324" s="94">
        <f>IF($A3324="",0,$H3324*설정!$C$23)</f>
        <v/>
      </c>
      <c r="Q3324" s="64">
        <f>IF($A3324="","",IF(O3324&lt;&gt;원인분석!$C$9,"",IF(AND(M3324&gt;=원인분석!$C$10,M3324&lt;=원인분석!$C$11),"당기",IF(AND(M3324&gt;=원인분석!$C$12,M3324&lt;=원인분석!$C$13),"비교",""))))</f>
        <v/>
      </c>
      <c r="R3324" s="9">
        <f>IF(Q3324="","",$K3324&amp;"")</f>
        <v/>
      </c>
      <c r="S3324" s="9">
        <f>IF(Q3324="","",IF(MATCH(R3324,$R$5:$R$100000,0)=ROW()-4,ROW(),""))</f>
        <v/>
      </c>
      <c r="T3324" s="9">
        <f>IF(Q3324="당기",ABS(P3324)+ROW()/1000000000,"")</f>
        <v/>
      </c>
      <c r="U3324" s="9">
        <f>IF(Q3324="비교",ABS(P3324)+ROW()/1000000000,"")</f>
        <v/>
      </c>
      <c r="V3324" s="64">
        <f>IF($A3324="","",IF(COUNTIF(변동분석!$E$7:$E$506,O3324)&gt;0,"Y","N"))</f>
        <v/>
      </c>
      <c r="W3324" s="64">
        <f>IF($A3324="","",IFERROR(INDEX(계정매핑!$D$5:$D$504,MATCH($F3324&amp;"",계정매핑!$A$5:$A$504,0)),"미매핑"))</f>
        <v/>
      </c>
      <c r="X3324" s="9">
        <f>IF($A3324="","",$F3324&amp;"")</f>
        <v/>
      </c>
      <c r="Y3324" s="94">
        <f>IF($A3324="",0,IF(AE3324="직접",IF(AF3324="비귀속",$P3324,0),$P3324*(1-AG3324)*IFERROR(INDEX(계정대체기준!$F$20:$F$49,MATCH($N3324,계정대체기준!$A$20:$A$49,0)),1)))</f>
        <v/>
      </c>
      <c r="Z3324" s="94">
        <f>IF($A3324="",0,IF(AE3324="직접",IF(AF3324="신계약비",$P3324,0),$P3324*(1-AG3324)*IFERROR(INDEX(계정대체기준!$C$20:$C$49,MATCH($N3324,계정대체기준!$A$20:$A$49,0)),0)))</f>
        <v/>
      </c>
      <c r="AA3324" s="94">
        <f>IF($A3324="",0,IF(AE3324="직접",IF(OR(AF3324="유지비",AF3324="손해조사비"),$P3324,0),$P3324*(1-AG3324)*IFERROR(INDEX(계정대체기준!$D$20:$D$49,MATCH($N3324,계정대체기준!$A$20:$A$49,0)),0)))</f>
        <v/>
      </c>
      <c r="AB3324" s="94">
        <f>IF($A3324="",0,IF(AE3324="직접",IF(AF3324="수금비",$P3324,0),$P3324*(1-AG3324)*IFERROR(INDEX(계정대체기준!$E$20:$E$49,MATCH($N3324,계정대체기준!$A$20:$A$49,0)),0)))</f>
        <v/>
      </c>
      <c r="AC3324" s="9">
        <f>IF(AND($A3324&lt;&gt;"",M3324=설정!$C$20,Z3324&gt;0),Z3324+ROW()/1000000000,"")</f>
        <v/>
      </c>
      <c r="AD3324" s="94">
        <f>IF($A3324="",0,$P3324*AG3324)</f>
        <v/>
      </c>
      <c r="AE3324" s="64">
        <f>IF($A3324="","",IFERROR(INDEX(계정매핑!$E$5:$E$504,MATCH($F3324&amp;"",계정매핑!$A$5:$A$504,0))&amp;"","공통비"))</f>
        <v/>
      </c>
      <c r="AF3324" s="64">
        <f>IF($A3324="","",IF(AE3324="직접",IFERROR(INDEX(계정매핑!$F$5:$F$504,MATCH($F3324&amp;"",계정매핑!$A$5:$A$504,0))&amp;"","비귀속"),""))</f>
        <v/>
      </c>
      <c r="AG3324" s="96">
        <f>IF($A3324="",0,IF(AND(AE3324&lt;&gt;"직접",IFERROR(INDEX(계정매핑!$G$5:$G$504,MATCH($F3324&amp;"",계정매핑!$A$5:$A$504,0))&amp;"","")="유지비",COUNTIF(계정대체기준!$A$6:$A$15,$N3324)&gt;0),IFERROR(INDEX(계정대체기준!$E$6:$E$15,MATCH(VALUE($A3324&amp;""),계정대체기준!$D$6:$D$15,0)),0),0))</f>
        <v/>
      </c>
      <c r="AH3324" s="64">
        <f>IF($A3324="","",IF(AD3324=0,"",IF(OR(COUNTIF(계정대체기준!$A$77:$A$86,$N3324)&gt;0,ISNUMBER(MATCH($X3324,계정대체기준!$D$77:$D$86,0)),ISNUMBER(MATCH($F3324,계정대체기준!$D$77:$D$86,0))),"Y","N")))</f>
        <v/>
      </c>
    </row>
    <row r="3325">
      <c r="A3325" s="92" t="n">
        <v>2026</v>
      </c>
      <c r="B3325" s="92" t="n">
        <v>3</v>
      </c>
      <c r="C3325" s="92" t="inlineStr">
        <is>
          <t>5100000603</t>
        </is>
      </c>
      <c r="D3325" s="95" t="n">
        <v>46099</v>
      </c>
      <c r="E3325" s="92" t="inlineStr">
        <is>
          <t>KR</t>
        </is>
      </c>
      <c r="F3325" s="92" t="n">
        <v>62501000</v>
      </c>
      <c r="G3325" s="92" t="n">
        <v>1301</v>
      </c>
      <c r="H3325" s="93" t="n">
        <v>240000</v>
      </c>
      <c r="I3325" s="92" t="inlineStr">
        <is>
          <t>3월 회의 다과 - (법인카드)</t>
        </is>
      </c>
      <c r="J3325" s="92" t="inlineStr">
        <is>
          <t>V10010</t>
        </is>
      </c>
      <c r="K3325" s="92" t="inlineStr">
        <is>
          <t>(법인카드)</t>
        </is>
      </c>
      <c r="M3325" s="9">
        <f>IF($A3325="","",VALUE($A3325&amp;"")*12+VALUE($B3325&amp;""))</f>
        <v/>
      </c>
      <c r="N3325" s="64">
        <f>IF($A3325="","",IFERROR(INDEX(부서매핑!$C$5:$C$504,MATCH($G3325&amp;"",부서매핑!$A$5:$A$504,0)),"미매핑"))</f>
        <v/>
      </c>
      <c r="O3325" s="9">
        <f>IF($A3325="","",N3325&amp;"|"&amp;$F3325)</f>
        <v/>
      </c>
      <c r="P3325" s="94">
        <f>IF($A3325="",0,$H3325*설정!$C$23)</f>
        <v/>
      </c>
      <c r="Q3325" s="64">
        <f>IF($A3325="","",IF(O3325&lt;&gt;원인분석!$C$9,"",IF(AND(M3325&gt;=원인분석!$C$10,M3325&lt;=원인분석!$C$11),"당기",IF(AND(M3325&gt;=원인분석!$C$12,M3325&lt;=원인분석!$C$13),"비교",""))))</f>
        <v/>
      </c>
      <c r="R3325" s="9">
        <f>IF(Q3325="","",$K3325&amp;"")</f>
        <v/>
      </c>
      <c r="S3325" s="9">
        <f>IF(Q3325="","",IF(MATCH(R3325,$R$5:$R$100000,0)=ROW()-4,ROW(),""))</f>
        <v/>
      </c>
      <c r="T3325" s="9">
        <f>IF(Q3325="당기",ABS(P3325)+ROW()/1000000000,"")</f>
        <v/>
      </c>
      <c r="U3325" s="9">
        <f>IF(Q3325="비교",ABS(P3325)+ROW()/1000000000,"")</f>
        <v/>
      </c>
      <c r="V3325" s="64">
        <f>IF($A3325="","",IF(COUNTIF(변동분석!$E$7:$E$506,O3325)&gt;0,"Y","N"))</f>
        <v/>
      </c>
      <c r="W3325" s="64">
        <f>IF($A3325="","",IFERROR(INDEX(계정매핑!$D$5:$D$504,MATCH($F3325&amp;"",계정매핑!$A$5:$A$504,0)),"미매핑"))</f>
        <v/>
      </c>
      <c r="X3325" s="9">
        <f>IF($A3325="","",$F3325&amp;"")</f>
        <v/>
      </c>
      <c r="Y3325" s="94">
        <f>IF($A3325="",0,IF(AE3325="직접",IF(AF3325="비귀속",$P3325,0),$P3325*(1-AG3325)*IFERROR(INDEX(계정대체기준!$F$20:$F$49,MATCH($N3325,계정대체기준!$A$20:$A$49,0)),1)))</f>
        <v/>
      </c>
      <c r="Z3325" s="94">
        <f>IF($A3325="",0,IF(AE3325="직접",IF(AF3325="신계약비",$P3325,0),$P3325*(1-AG3325)*IFERROR(INDEX(계정대체기준!$C$20:$C$49,MATCH($N3325,계정대체기준!$A$20:$A$49,0)),0)))</f>
        <v/>
      </c>
      <c r="AA3325" s="94">
        <f>IF($A3325="",0,IF(AE3325="직접",IF(OR(AF3325="유지비",AF3325="손해조사비"),$P3325,0),$P3325*(1-AG3325)*IFERROR(INDEX(계정대체기준!$D$20:$D$49,MATCH($N3325,계정대체기준!$A$20:$A$49,0)),0)))</f>
        <v/>
      </c>
      <c r="AB3325" s="94">
        <f>IF($A3325="",0,IF(AE3325="직접",IF(AF3325="수금비",$P3325,0),$P3325*(1-AG3325)*IFERROR(INDEX(계정대체기준!$E$20:$E$49,MATCH($N3325,계정대체기준!$A$20:$A$49,0)),0)))</f>
        <v/>
      </c>
      <c r="AC3325" s="9">
        <f>IF(AND($A3325&lt;&gt;"",M3325=설정!$C$20,Z3325&gt;0),Z3325+ROW()/1000000000,"")</f>
        <v/>
      </c>
      <c r="AD3325" s="94">
        <f>IF($A3325="",0,$P3325*AG3325)</f>
        <v/>
      </c>
      <c r="AE3325" s="64">
        <f>IF($A3325="","",IFERROR(INDEX(계정매핑!$E$5:$E$504,MATCH($F3325&amp;"",계정매핑!$A$5:$A$504,0))&amp;"","공통비"))</f>
        <v/>
      </c>
      <c r="AF3325" s="64">
        <f>IF($A3325="","",IF(AE3325="직접",IFERROR(INDEX(계정매핑!$F$5:$F$504,MATCH($F3325&amp;"",계정매핑!$A$5:$A$504,0))&amp;"","비귀속"),""))</f>
        <v/>
      </c>
      <c r="AG3325" s="96">
        <f>IF($A3325="",0,IF(AND(AE3325&lt;&gt;"직접",IFERROR(INDEX(계정매핑!$G$5:$G$504,MATCH($F3325&amp;"",계정매핑!$A$5:$A$504,0))&amp;"","")="유지비",COUNTIF(계정대체기준!$A$6:$A$15,$N3325)&gt;0),IFERROR(INDEX(계정대체기준!$E$6:$E$15,MATCH(VALUE($A3325&amp;""),계정대체기준!$D$6:$D$15,0)),0),0))</f>
        <v/>
      </c>
      <c r="AH3325" s="64">
        <f>IF($A3325="","",IF(AD3325=0,"",IF(OR(COUNTIF(계정대체기준!$A$77:$A$86,$N3325)&gt;0,ISNUMBER(MATCH($X3325,계정대체기준!$D$77:$D$86,0)),ISNUMBER(MATCH($F3325,계정대체기준!$D$77:$D$86,0))),"Y","N")))</f>
        <v/>
      </c>
    </row>
    <row r="3326">
      <c r="A3326" s="92" t="n">
        <v>2026</v>
      </c>
      <c r="B3326" s="92" t="n">
        <v>3</v>
      </c>
      <c r="C3326" s="92" t="inlineStr">
        <is>
          <t>5100000604</t>
        </is>
      </c>
      <c r="D3326" s="95" t="n">
        <v>46099</v>
      </c>
      <c r="E3326" s="92" t="inlineStr">
        <is>
          <t>KR</t>
        </is>
      </c>
      <c r="F3326" s="92" t="n">
        <v>62601000</v>
      </c>
      <c r="G3326" s="92" t="n">
        <v>1101</v>
      </c>
      <c r="H3326" s="93" t="n">
        <v>3442000</v>
      </c>
      <c r="I3326" s="92" t="inlineStr">
        <is>
          <t>3월 업무추진 - (법인카드)</t>
        </is>
      </c>
      <c r="J3326" s="92" t="inlineStr">
        <is>
          <t>V10010</t>
        </is>
      </c>
      <c r="K3326" s="92" t="inlineStr">
        <is>
          <t>(법인카드)</t>
        </is>
      </c>
      <c r="M3326" s="9">
        <f>IF($A3326="","",VALUE($A3326&amp;"")*12+VALUE($B3326&amp;""))</f>
        <v/>
      </c>
      <c r="N3326" s="64">
        <f>IF($A3326="","",IFERROR(INDEX(부서매핑!$C$5:$C$504,MATCH($G3326&amp;"",부서매핑!$A$5:$A$504,0)),"미매핑"))</f>
        <v/>
      </c>
      <c r="O3326" s="9">
        <f>IF($A3326="","",N3326&amp;"|"&amp;$F3326)</f>
        <v/>
      </c>
      <c r="P3326" s="94">
        <f>IF($A3326="",0,$H3326*설정!$C$23)</f>
        <v/>
      </c>
      <c r="Q3326" s="64">
        <f>IF($A3326="","",IF(O3326&lt;&gt;원인분석!$C$9,"",IF(AND(M3326&gt;=원인분석!$C$10,M3326&lt;=원인분석!$C$11),"당기",IF(AND(M3326&gt;=원인분석!$C$12,M3326&lt;=원인분석!$C$13),"비교",""))))</f>
        <v/>
      </c>
      <c r="R3326" s="9">
        <f>IF(Q3326="","",$K3326&amp;"")</f>
        <v/>
      </c>
      <c r="S3326" s="9">
        <f>IF(Q3326="","",IF(MATCH(R3326,$R$5:$R$100000,0)=ROW()-4,ROW(),""))</f>
        <v/>
      </c>
      <c r="T3326" s="9">
        <f>IF(Q3326="당기",ABS(P3326)+ROW()/1000000000,"")</f>
        <v/>
      </c>
      <c r="U3326" s="9">
        <f>IF(Q3326="비교",ABS(P3326)+ROW()/1000000000,"")</f>
        <v/>
      </c>
      <c r="V3326" s="64">
        <f>IF($A3326="","",IF(COUNTIF(변동분석!$E$7:$E$506,O3326)&gt;0,"Y","N"))</f>
        <v/>
      </c>
      <c r="W3326" s="64">
        <f>IF($A3326="","",IFERROR(INDEX(계정매핑!$D$5:$D$504,MATCH($F3326&amp;"",계정매핑!$A$5:$A$504,0)),"미매핑"))</f>
        <v/>
      </c>
      <c r="X3326" s="9">
        <f>IF($A3326="","",$F3326&amp;"")</f>
        <v/>
      </c>
      <c r="Y3326" s="94">
        <f>IF($A3326="",0,IF(AE3326="직접",IF(AF3326="비귀속",$P3326,0),$P3326*(1-AG3326)*IFERROR(INDEX(계정대체기준!$F$20:$F$49,MATCH($N3326,계정대체기준!$A$20:$A$49,0)),1)))</f>
        <v/>
      </c>
      <c r="Z3326" s="94">
        <f>IF($A3326="",0,IF(AE3326="직접",IF(AF3326="신계약비",$P3326,0),$P3326*(1-AG3326)*IFERROR(INDEX(계정대체기준!$C$20:$C$49,MATCH($N3326,계정대체기준!$A$20:$A$49,0)),0)))</f>
        <v/>
      </c>
      <c r="AA3326" s="94">
        <f>IF($A3326="",0,IF(AE3326="직접",IF(OR(AF3326="유지비",AF3326="손해조사비"),$P3326,0),$P3326*(1-AG3326)*IFERROR(INDEX(계정대체기준!$D$20:$D$49,MATCH($N3326,계정대체기준!$A$20:$A$49,0)),0)))</f>
        <v/>
      </c>
      <c r="AB3326" s="94">
        <f>IF($A3326="",0,IF(AE3326="직접",IF(AF3326="수금비",$P3326,0),$P3326*(1-AG3326)*IFERROR(INDEX(계정대체기준!$E$20:$E$49,MATCH($N3326,계정대체기준!$A$20:$A$49,0)),0)))</f>
        <v/>
      </c>
      <c r="AC3326" s="9">
        <f>IF(AND($A3326&lt;&gt;"",M3326=설정!$C$20,Z3326&gt;0),Z3326+ROW()/1000000000,"")</f>
        <v/>
      </c>
      <c r="AD3326" s="94">
        <f>IF($A3326="",0,$P3326*AG3326)</f>
        <v/>
      </c>
      <c r="AE3326" s="64">
        <f>IF($A3326="","",IFERROR(INDEX(계정매핑!$E$5:$E$504,MATCH($F3326&amp;"",계정매핑!$A$5:$A$504,0))&amp;"","공통비"))</f>
        <v/>
      </c>
      <c r="AF3326" s="64">
        <f>IF($A3326="","",IF(AE3326="직접",IFERROR(INDEX(계정매핑!$F$5:$F$504,MATCH($F3326&amp;"",계정매핑!$A$5:$A$504,0))&amp;"","비귀속"),""))</f>
        <v/>
      </c>
      <c r="AG3326" s="96">
        <f>IF($A3326="",0,IF(AND(AE3326&lt;&gt;"직접",IFERROR(INDEX(계정매핑!$G$5:$G$504,MATCH($F3326&amp;"",계정매핑!$A$5:$A$504,0))&amp;"","")="유지비",COUNTIF(계정대체기준!$A$6:$A$15,$N3326)&gt;0),IFERROR(INDEX(계정대체기준!$E$6:$E$15,MATCH(VALUE($A3326&amp;""),계정대체기준!$D$6:$D$15,0)),0),0))</f>
        <v/>
      </c>
      <c r="AH3326" s="64">
        <f>IF($A3326="","",IF(AD3326=0,"",IF(OR(COUNTIF(계정대체기준!$A$77:$A$86,$N3326)&gt;0,ISNUMBER(MATCH($X3326,계정대체기준!$D$77:$D$86,0)),ISNUMBER(MATCH($F3326,계정대체기준!$D$77:$D$86,0))),"Y","N")))</f>
        <v/>
      </c>
    </row>
    <row r="3327">
      <c r="A3327" s="92" t="n">
        <v>2026</v>
      </c>
      <c r="B3327" s="92" t="n">
        <v>3</v>
      </c>
      <c r="C3327" s="92" t="inlineStr">
        <is>
          <t>5100000605</t>
        </is>
      </c>
      <c r="D3327" s="95" t="n">
        <v>46099</v>
      </c>
      <c r="E3327" s="92" t="inlineStr">
        <is>
          <t>KR</t>
        </is>
      </c>
      <c r="F3327" s="92" t="n">
        <v>62802000</v>
      </c>
      <c r="G3327" s="92" t="n">
        <v>1301</v>
      </c>
      <c r="H3327" s="93" t="n">
        <v>1619000</v>
      </c>
      <c r="I3327" s="92" t="inlineStr">
        <is>
          <t>3월 위탁교육 - V아카데미</t>
        </is>
      </c>
      <c r="J3327" s="92" t="inlineStr">
        <is>
          <t>V10027</t>
        </is>
      </c>
      <c r="K3327" s="92" t="inlineStr">
        <is>
          <t>V아카데미</t>
        </is>
      </c>
      <c r="M3327" s="9">
        <f>IF($A3327="","",VALUE($A3327&amp;"")*12+VALUE($B3327&amp;""))</f>
        <v/>
      </c>
      <c r="N3327" s="64">
        <f>IF($A3327="","",IFERROR(INDEX(부서매핑!$C$5:$C$504,MATCH($G3327&amp;"",부서매핑!$A$5:$A$504,0)),"미매핑"))</f>
        <v/>
      </c>
      <c r="O3327" s="9">
        <f>IF($A3327="","",N3327&amp;"|"&amp;$F3327)</f>
        <v/>
      </c>
      <c r="P3327" s="94">
        <f>IF($A3327="",0,$H3327*설정!$C$23)</f>
        <v/>
      </c>
      <c r="Q3327" s="64">
        <f>IF($A3327="","",IF(O3327&lt;&gt;원인분석!$C$9,"",IF(AND(M3327&gt;=원인분석!$C$10,M3327&lt;=원인분석!$C$11),"당기",IF(AND(M3327&gt;=원인분석!$C$12,M3327&lt;=원인분석!$C$13),"비교",""))))</f>
        <v/>
      </c>
      <c r="R3327" s="9">
        <f>IF(Q3327="","",$K3327&amp;"")</f>
        <v/>
      </c>
      <c r="S3327" s="9">
        <f>IF(Q3327="","",IF(MATCH(R3327,$R$5:$R$100000,0)=ROW()-4,ROW(),""))</f>
        <v/>
      </c>
      <c r="T3327" s="9">
        <f>IF(Q3327="당기",ABS(P3327)+ROW()/1000000000,"")</f>
        <v/>
      </c>
      <c r="U3327" s="9">
        <f>IF(Q3327="비교",ABS(P3327)+ROW()/1000000000,"")</f>
        <v/>
      </c>
      <c r="V3327" s="64">
        <f>IF($A3327="","",IF(COUNTIF(변동분석!$E$7:$E$506,O3327)&gt;0,"Y","N"))</f>
        <v/>
      </c>
      <c r="W3327" s="64">
        <f>IF($A3327="","",IFERROR(INDEX(계정매핑!$D$5:$D$504,MATCH($F3327&amp;"",계정매핑!$A$5:$A$504,0)),"미매핑"))</f>
        <v/>
      </c>
      <c r="X3327" s="9">
        <f>IF($A3327="","",$F3327&amp;"")</f>
        <v/>
      </c>
      <c r="Y3327" s="94">
        <f>IF($A3327="",0,IF(AE3327="직접",IF(AF3327="비귀속",$P3327,0),$P3327*(1-AG3327)*IFERROR(INDEX(계정대체기준!$F$20:$F$49,MATCH($N3327,계정대체기준!$A$20:$A$49,0)),1)))</f>
        <v/>
      </c>
      <c r="Z3327" s="94">
        <f>IF($A3327="",0,IF(AE3327="직접",IF(AF3327="신계약비",$P3327,0),$P3327*(1-AG3327)*IFERROR(INDEX(계정대체기준!$C$20:$C$49,MATCH($N3327,계정대체기준!$A$20:$A$49,0)),0)))</f>
        <v/>
      </c>
      <c r="AA3327" s="94">
        <f>IF($A3327="",0,IF(AE3327="직접",IF(OR(AF3327="유지비",AF3327="손해조사비"),$P3327,0),$P3327*(1-AG3327)*IFERROR(INDEX(계정대체기준!$D$20:$D$49,MATCH($N3327,계정대체기준!$A$20:$A$49,0)),0)))</f>
        <v/>
      </c>
      <c r="AB3327" s="94">
        <f>IF($A3327="",0,IF(AE3327="직접",IF(AF3327="수금비",$P3327,0),$P3327*(1-AG3327)*IFERROR(INDEX(계정대체기준!$E$20:$E$49,MATCH($N3327,계정대체기준!$A$20:$A$49,0)),0)))</f>
        <v/>
      </c>
      <c r="AC3327" s="9">
        <f>IF(AND($A3327&lt;&gt;"",M3327=설정!$C$20,Z3327&gt;0),Z3327+ROW()/1000000000,"")</f>
        <v/>
      </c>
      <c r="AD3327" s="94">
        <f>IF($A3327="",0,$P3327*AG3327)</f>
        <v/>
      </c>
      <c r="AE3327" s="64">
        <f>IF($A3327="","",IFERROR(INDEX(계정매핑!$E$5:$E$504,MATCH($F3327&amp;"",계정매핑!$A$5:$A$504,0))&amp;"","공통비"))</f>
        <v/>
      </c>
      <c r="AF3327" s="64">
        <f>IF($A3327="","",IF(AE3327="직접",IFERROR(INDEX(계정매핑!$F$5:$F$504,MATCH($F3327&amp;"",계정매핑!$A$5:$A$504,0))&amp;"","비귀속"),""))</f>
        <v/>
      </c>
      <c r="AG3327" s="96">
        <f>IF($A3327="",0,IF(AND(AE3327&lt;&gt;"직접",IFERROR(INDEX(계정매핑!$G$5:$G$504,MATCH($F3327&amp;"",계정매핑!$A$5:$A$504,0))&amp;"","")="유지비",COUNTIF(계정대체기준!$A$6:$A$15,$N3327)&gt;0),IFERROR(INDEX(계정대체기준!$E$6:$E$15,MATCH(VALUE($A3327&amp;""),계정대체기준!$D$6:$D$15,0)),0),0))</f>
        <v/>
      </c>
      <c r="AH3327" s="64">
        <f>IF($A3327="","",IF(AD3327=0,"",IF(OR(COUNTIF(계정대체기준!$A$77:$A$86,$N3327)&gt;0,ISNUMBER(MATCH($X3327,계정대체기준!$D$77:$D$86,0)),ISNUMBER(MATCH($F3327,계정대체기준!$D$77:$D$86,0))),"Y","N")))</f>
        <v/>
      </c>
    </row>
    <row r="3328">
      <c r="A3328" s="92" t="n">
        <v>2026</v>
      </c>
      <c r="B3328" s="92" t="n">
        <v>3</v>
      </c>
      <c r="C3328" s="92" t="inlineStr">
        <is>
          <t>5100000606</t>
        </is>
      </c>
      <c r="D3328" s="95" t="n">
        <v>46099</v>
      </c>
      <c r="E3328" s="92" t="inlineStr">
        <is>
          <t>KR</t>
        </is>
      </c>
      <c r="F3328" s="92" t="n">
        <v>62902000</v>
      </c>
      <c r="G3328" s="92" t="n">
        <v>1801</v>
      </c>
      <c r="H3328" s="93" t="n">
        <v>1801000</v>
      </c>
      <c r="I3328" s="92" t="inlineStr">
        <is>
          <t>3월 콜 위탁 수수료(건별)</t>
        </is>
      </c>
      <c r="J3328" s="92" t="inlineStr">
        <is>
          <t>V10016</t>
        </is>
      </c>
      <c r="K3328" s="92" t="inlineStr">
        <is>
          <t>J콜센터</t>
        </is>
      </c>
      <c r="M3328" s="9">
        <f>IF($A3328="","",VALUE($A3328&amp;"")*12+VALUE($B3328&amp;""))</f>
        <v/>
      </c>
      <c r="N3328" s="64">
        <f>IF($A3328="","",IFERROR(INDEX(부서매핑!$C$5:$C$504,MATCH($G3328&amp;"",부서매핑!$A$5:$A$504,0)),"미매핑"))</f>
        <v/>
      </c>
      <c r="O3328" s="9">
        <f>IF($A3328="","",N3328&amp;"|"&amp;$F3328)</f>
        <v/>
      </c>
      <c r="P3328" s="94">
        <f>IF($A3328="",0,$H3328*설정!$C$23)</f>
        <v/>
      </c>
      <c r="Q3328" s="64">
        <f>IF($A3328="","",IF(O3328&lt;&gt;원인분석!$C$9,"",IF(AND(M3328&gt;=원인분석!$C$10,M3328&lt;=원인분석!$C$11),"당기",IF(AND(M3328&gt;=원인분석!$C$12,M3328&lt;=원인분석!$C$13),"비교",""))))</f>
        <v/>
      </c>
      <c r="R3328" s="9">
        <f>IF(Q3328="","",$K3328&amp;"")</f>
        <v/>
      </c>
      <c r="S3328" s="9">
        <f>IF(Q3328="","",IF(MATCH(R3328,$R$5:$R$100000,0)=ROW()-4,ROW(),""))</f>
        <v/>
      </c>
      <c r="T3328" s="9">
        <f>IF(Q3328="당기",ABS(P3328)+ROW()/1000000000,"")</f>
        <v/>
      </c>
      <c r="U3328" s="9">
        <f>IF(Q3328="비교",ABS(P3328)+ROW()/1000000000,"")</f>
        <v/>
      </c>
      <c r="V3328" s="64">
        <f>IF($A3328="","",IF(COUNTIF(변동분석!$E$7:$E$506,O3328)&gt;0,"Y","N"))</f>
        <v/>
      </c>
      <c r="W3328" s="64">
        <f>IF($A3328="","",IFERROR(INDEX(계정매핑!$D$5:$D$504,MATCH($F3328&amp;"",계정매핑!$A$5:$A$504,0)),"미매핑"))</f>
        <v/>
      </c>
      <c r="X3328" s="9">
        <f>IF($A3328="","",$F3328&amp;"")</f>
        <v/>
      </c>
      <c r="Y3328" s="94">
        <f>IF($A3328="",0,IF(AE3328="직접",IF(AF3328="비귀속",$P3328,0),$P3328*(1-AG3328)*IFERROR(INDEX(계정대체기준!$F$20:$F$49,MATCH($N3328,계정대체기준!$A$20:$A$49,0)),1)))</f>
        <v/>
      </c>
      <c r="Z3328" s="94">
        <f>IF($A3328="",0,IF(AE3328="직접",IF(AF3328="신계약비",$P3328,0),$P3328*(1-AG3328)*IFERROR(INDEX(계정대체기준!$C$20:$C$49,MATCH($N3328,계정대체기준!$A$20:$A$49,0)),0)))</f>
        <v/>
      </c>
      <c r="AA3328" s="94">
        <f>IF($A3328="",0,IF(AE3328="직접",IF(OR(AF3328="유지비",AF3328="손해조사비"),$P3328,0),$P3328*(1-AG3328)*IFERROR(INDEX(계정대체기준!$D$20:$D$49,MATCH($N3328,계정대체기준!$A$20:$A$49,0)),0)))</f>
        <v/>
      </c>
      <c r="AB3328" s="94">
        <f>IF($A3328="",0,IF(AE3328="직접",IF(AF3328="수금비",$P3328,0),$P3328*(1-AG3328)*IFERROR(INDEX(계정대체기준!$E$20:$E$49,MATCH($N3328,계정대체기준!$A$20:$A$49,0)),0)))</f>
        <v/>
      </c>
      <c r="AC3328" s="9">
        <f>IF(AND($A3328&lt;&gt;"",M3328=설정!$C$20,Z3328&gt;0),Z3328+ROW()/1000000000,"")</f>
        <v/>
      </c>
      <c r="AD3328" s="94">
        <f>IF($A3328="",0,$P3328*AG3328)</f>
        <v/>
      </c>
      <c r="AE3328" s="64">
        <f>IF($A3328="","",IFERROR(INDEX(계정매핑!$E$5:$E$504,MATCH($F3328&amp;"",계정매핑!$A$5:$A$504,0))&amp;"","공통비"))</f>
        <v/>
      </c>
      <c r="AF3328" s="64">
        <f>IF($A3328="","",IF(AE3328="직접",IFERROR(INDEX(계정매핑!$F$5:$F$504,MATCH($F3328&amp;"",계정매핑!$A$5:$A$504,0))&amp;"","비귀속"),""))</f>
        <v/>
      </c>
      <c r="AG3328" s="96">
        <f>IF($A3328="",0,IF(AND(AE3328&lt;&gt;"직접",IFERROR(INDEX(계정매핑!$G$5:$G$504,MATCH($F3328&amp;"",계정매핑!$A$5:$A$504,0))&amp;"","")="유지비",COUNTIF(계정대체기준!$A$6:$A$15,$N3328)&gt;0),IFERROR(INDEX(계정대체기준!$E$6:$E$15,MATCH(VALUE($A3328&amp;""),계정대체기준!$D$6:$D$15,0)),0),0))</f>
        <v/>
      </c>
      <c r="AH3328" s="64">
        <f>IF($A3328="","",IF(AD3328=0,"",IF(OR(COUNTIF(계정대체기준!$A$77:$A$86,$N3328)&gt;0,ISNUMBER(MATCH($X3328,계정대체기준!$D$77:$D$86,0)),ISNUMBER(MATCH($F3328,계정대체기준!$D$77:$D$86,0))),"Y","N")))</f>
        <v/>
      </c>
    </row>
    <row r="3329">
      <c r="A3329" s="92" t="n">
        <v>2026</v>
      </c>
      <c r="B3329" s="92" t="n">
        <v>3</v>
      </c>
      <c r="C3329" s="92" t="inlineStr">
        <is>
          <t>5100000607</t>
        </is>
      </c>
      <c r="D3329" s="95" t="n">
        <v>46099</v>
      </c>
      <c r="E3329" s="92" t="inlineStr">
        <is>
          <t>KR</t>
        </is>
      </c>
      <c r="F3329" s="92" t="n">
        <v>63001000</v>
      </c>
      <c r="G3329" s="92" t="n">
        <v>1701</v>
      </c>
      <c r="H3329" s="93" t="n">
        <v>22019000</v>
      </c>
      <c r="I3329" s="92" t="inlineStr">
        <is>
          <t>3월 SW 유지보수 - Z시스템</t>
        </is>
      </c>
      <c r="J3329" s="92" t="inlineStr">
        <is>
          <t>V10012</t>
        </is>
      </c>
      <c r="K3329" s="92" t="inlineStr">
        <is>
          <t>Z시스템</t>
        </is>
      </c>
      <c r="M3329" s="9">
        <f>IF($A3329="","",VALUE($A3329&amp;"")*12+VALUE($B3329&amp;""))</f>
        <v/>
      </c>
      <c r="N3329" s="64">
        <f>IF($A3329="","",IFERROR(INDEX(부서매핑!$C$5:$C$504,MATCH($G3329&amp;"",부서매핑!$A$5:$A$504,0)),"미매핑"))</f>
        <v/>
      </c>
      <c r="O3329" s="9">
        <f>IF($A3329="","",N3329&amp;"|"&amp;$F3329)</f>
        <v/>
      </c>
      <c r="P3329" s="94">
        <f>IF($A3329="",0,$H3329*설정!$C$23)</f>
        <v/>
      </c>
      <c r="Q3329" s="64">
        <f>IF($A3329="","",IF(O3329&lt;&gt;원인분석!$C$9,"",IF(AND(M3329&gt;=원인분석!$C$10,M3329&lt;=원인분석!$C$11),"당기",IF(AND(M3329&gt;=원인분석!$C$12,M3329&lt;=원인분석!$C$13),"비교",""))))</f>
        <v/>
      </c>
      <c r="R3329" s="9">
        <f>IF(Q3329="","",$K3329&amp;"")</f>
        <v/>
      </c>
      <c r="S3329" s="9">
        <f>IF(Q3329="","",IF(MATCH(R3329,$R$5:$R$100000,0)=ROW()-4,ROW(),""))</f>
        <v/>
      </c>
      <c r="T3329" s="9">
        <f>IF(Q3329="당기",ABS(P3329)+ROW()/1000000000,"")</f>
        <v/>
      </c>
      <c r="U3329" s="9">
        <f>IF(Q3329="비교",ABS(P3329)+ROW()/1000000000,"")</f>
        <v/>
      </c>
      <c r="V3329" s="64">
        <f>IF($A3329="","",IF(COUNTIF(변동분석!$E$7:$E$506,O3329)&gt;0,"Y","N"))</f>
        <v/>
      </c>
      <c r="W3329" s="64">
        <f>IF($A3329="","",IFERROR(INDEX(계정매핑!$D$5:$D$504,MATCH($F3329&amp;"",계정매핑!$A$5:$A$504,0)),"미매핑"))</f>
        <v/>
      </c>
      <c r="X3329" s="9">
        <f>IF($A3329="","",$F3329&amp;"")</f>
        <v/>
      </c>
      <c r="Y3329" s="94">
        <f>IF($A3329="",0,IF(AE3329="직접",IF(AF3329="비귀속",$P3329,0),$P3329*(1-AG3329)*IFERROR(INDEX(계정대체기준!$F$20:$F$49,MATCH($N3329,계정대체기준!$A$20:$A$49,0)),1)))</f>
        <v/>
      </c>
      <c r="Z3329" s="94">
        <f>IF($A3329="",0,IF(AE3329="직접",IF(AF3329="신계약비",$P3329,0),$P3329*(1-AG3329)*IFERROR(INDEX(계정대체기준!$C$20:$C$49,MATCH($N3329,계정대체기준!$A$20:$A$49,0)),0)))</f>
        <v/>
      </c>
      <c r="AA3329" s="94">
        <f>IF($A3329="",0,IF(AE3329="직접",IF(OR(AF3329="유지비",AF3329="손해조사비"),$P3329,0),$P3329*(1-AG3329)*IFERROR(INDEX(계정대체기준!$D$20:$D$49,MATCH($N3329,계정대체기준!$A$20:$A$49,0)),0)))</f>
        <v/>
      </c>
      <c r="AB3329" s="94">
        <f>IF($A3329="",0,IF(AE3329="직접",IF(AF3329="수금비",$P3329,0),$P3329*(1-AG3329)*IFERROR(INDEX(계정대체기준!$E$20:$E$49,MATCH($N3329,계정대체기준!$A$20:$A$49,0)),0)))</f>
        <v/>
      </c>
      <c r="AC3329" s="9">
        <f>IF(AND($A3329&lt;&gt;"",M3329=설정!$C$20,Z3329&gt;0),Z3329+ROW()/1000000000,"")</f>
        <v/>
      </c>
      <c r="AD3329" s="94">
        <f>IF($A3329="",0,$P3329*AG3329)</f>
        <v/>
      </c>
      <c r="AE3329" s="64">
        <f>IF($A3329="","",IFERROR(INDEX(계정매핑!$E$5:$E$504,MATCH($F3329&amp;"",계정매핑!$A$5:$A$504,0))&amp;"","공통비"))</f>
        <v/>
      </c>
      <c r="AF3329" s="64">
        <f>IF($A3329="","",IF(AE3329="직접",IFERROR(INDEX(계정매핑!$F$5:$F$504,MATCH($F3329&amp;"",계정매핑!$A$5:$A$504,0))&amp;"","비귀속"),""))</f>
        <v/>
      </c>
      <c r="AG3329" s="96">
        <f>IF($A3329="",0,IF(AND(AE3329&lt;&gt;"직접",IFERROR(INDEX(계정매핑!$G$5:$G$504,MATCH($F3329&amp;"",계정매핑!$A$5:$A$504,0))&amp;"","")="유지비",COUNTIF(계정대체기준!$A$6:$A$15,$N3329)&gt;0),IFERROR(INDEX(계정대체기준!$E$6:$E$15,MATCH(VALUE($A3329&amp;""),계정대체기준!$D$6:$D$15,0)),0),0))</f>
        <v/>
      </c>
      <c r="AH3329" s="64">
        <f>IF($A3329="","",IF(AD3329=0,"",IF(OR(COUNTIF(계정대체기준!$A$77:$A$86,$N3329)&gt;0,ISNUMBER(MATCH($X3329,계정대체기준!$D$77:$D$86,0)),ISNUMBER(MATCH($F3329,계정대체기준!$D$77:$D$86,0))),"Y","N")))</f>
        <v/>
      </c>
    </row>
    <row r="3330">
      <c r="A3330" s="92" t="n">
        <v>2026</v>
      </c>
      <c r="B3330" s="92" t="n">
        <v>3</v>
      </c>
      <c r="C3330" s="92" t="inlineStr">
        <is>
          <t>5100000608</t>
        </is>
      </c>
      <c r="D3330" s="95" t="n">
        <v>46100</v>
      </c>
      <c r="E3330" s="92" t="inlineStr">
        <is>
          <t>KR</t>
        </is>
      </c>
      <c r="F3330" s="92" t="n">
        <v>62101000</v>
      </c>
      <c r="G3330" s="92" t="n">
        <v>1301</v>
      </c>
      <c r="H3330" s="93" t="n">
        <v>373000</v>
      </c>
      <c r="I3330" s="92" t="inlineStr">
        <is>
          <t>3월 국내출장 - M항공</t>
        </is>
      </c>
      <c r="J3330" s="92" t="inlineStr">
        <is>
          <t>V10001</t>
        </is>
      </c>
      <c r="K3330" s="92" t="inlineStr">
        <is>
          <t>M항공</t>
        </is>
      </c>
      <c r="M3330" s="9">
        <f>IF($A3330="","",VALUE($A3330&amp;"")*12+VALUE($B3330&amp;""))</f>
        <v/>
      </c>
      <c r="N3330" s="64">
        <f>IF($A3330="","",IFERROR(INDEX(부서매핑!$C$5:$C$504,MATCH($G3330&amp;"",부서매핑!$A$5:$A$504,0)),"미매핑"))</f>
        <v/>
      </c>
      <c r="O3330" s="9">
        <f>IF($A3330="","",N3330&amp;"|"&amp;$F3330)</f>
        <v/>
      </c>
      <c r="P3330" s="94">
        <f>IF($A3330="",0,$H3330*설정!$C$23)</f>
        <v/>
      </c>
      <c r="Q3330" s="64">
        <f>IF($A3330="","",IF(O3330&lt;&gt;원인분석!$C$9,"",IF(AND(M3330&gt;=원인분석!$C$10,M3330&lt;=원인분석!$C$11),"당기",IF(AND(M3330&gt;=원인분석!$C$12,M3330&lt;=원인분석!$C$13),"비교",""))))</f>
        <v/>
      </c>
      <c r="R3330" s="9">
        <f>IF(Q3330="","",$K3330&amp;"")</f>
        <v/>
      </c>
      <c r="S3330" s="9">
        <f>IF(Q3330="","",IF(MATCH(R3330,$R$5:$R$100000,0)=ROW()-4,ROW(),""))</f>
        <v/>
      </c>
      <c r="T3330" s="9">
        <f>IF(Q3330="당기",ABS(P3330)+ROW()/1000000000,"")</f>
        <v/>
      </c>
      <c r="U3330" s="9">
        <f>IF(Q3330="비교",ABS(P3330)+ROW()/1000000000,"")</f>
        <v/>
      </c>
      <c r="V3330" s="64">
        <f>IF($A3330="","",IF(COUNTIF(변동분석!$E$7:$E$506,O3330)&gt;0,"Y","N"))</f>
        <v/>
      </c>
      <c r="W3330" s="64">
        <f>IF($A3330="","",IFERROR(INDEX(계정매핑!$D$5:$D$504,MATCH($F3330&amp;"",계정매핑!$A$5:$A$504,0)),"미매핑"))</f>
        <v/>
      </c>
      <c r="X3330" s="9">
        <f>IF($A3330="","",$F3330&amp;"")</f>
        <v/>
      </c>
      <c r="Y3330" s="94">
        <f>IF($A3330="",0,IF(AE3330="직접",IF(AF3330="비귀속",$P3330,0),$P3330*(1-AG3330)*IFERROR(INDEX(계정대체기준!$F$20:$F$49,MATCH($N3330,계정대체기준!$A$20:$A$49,0)),1)))</f>
        <v/>
      </c>
      <c r="Z3330" s="94">
        <f>IF($A3330="",0,IF(AE3330="직접",IF(AF3330="신계약비",$P3330,0),$P3330*(1-AG3330)*IFERROR(INDEX(계정대체기준!$C$20:$C$49,MATCH($N3330,계정대체기준!$A$20:$A$49,0)),0)))</f>
        <v/>
      </c>
      <c r="AA3330" s="94">
        <f>IF($A3330="",0,IF(AE3330="직접",IF(OR(AF3330="유지비",AF3330="손해조사비"),$P3330,0),$P3330*(1-AG3330)*IFERROR(INDEX(계정대체기준!$D$20:$D$49,MATCH($N3330,계정대체기준!$A$20:$A$49,0)),0)))</f>
        <v/>
      </c>
      <c r="AB3330" s="94">
        <f>IF($A3330="",0,IF(AE3330="직접",IF(AF3330="수금비",$P3330,0),$P3330*(1-AG3330)*IFERROR(INDEX(계정대체기준!$E$20:$E$49,MATCH($N3330,계정대체기준!$A$20:$A$49,0)),0)))</f>
        <v/>
      </c>
      <c r="AC3330" s="9">
        <f>IF(AND($A3330&lt;&gt;"",M3330=설정!$C$20,Z3330&gt;0),Z3330+ROW()/1000000000,"")</f>
        <v/>
      </c>
      <c r="AD3330" s="94">
        <f>IF($A3330="",0,$P3330*AG3330)</f>
        <v/>
      </c>
      <c r="AE3330" s="64">
        <f>IF($A3330="","",IFERROR(INDEX(계정매핑!$E$5:$E$504,MATCH($F3330&amp;"",계정매핑!$A$5:$A$504,0))&amp;"","공통비"))</f>
        <v/>
      </c>
      <c r="AF3330" s="64">
        <f>IF($A3330="","",IF(AE3330="직접",IFERROR(INDEX(계정매핑!$F$5:$F$504,MATCH($F3330&amp;"",계정매핑!$A$5:$A$504,0))&amp;"","비귀속"),""))</f>
        <v/>
      </c>
      <c r="AG3330" s="96">
        <f>IF($A3330="",0,IF(AND(AE3330&lt;&gt;"직접",IFERROR(INDEX(계정매핑!$G$5:$G$504,MATCH($F3330&amp;"",계정매핑!$A$5:$A$504,0))&amp;"","")="유지비",COUNTIF(계정대체기준!$A$6:$A$15,$N3330)&gt;0),IFERROR(INDEX(계정대체기준!$E$6:$E$15,MATCH(VALUE($A3330&amp;""),계정대체기준!$D$6:$D$15,0)),0),0))</f>
        <v/>
      </c>
      <c r="AH3330" s="64">
        <f>IF($A3330="","",IF(AD3330=0,"",IF(OR(COUNTIF(계정대체기준!$A$77:$A$86,$N3330)&gt;0,ISNUMBER(MATCH($X3330,계정대체기준!$D$77:$D$86,0)),ISNUMBER(MATCH($F3330,계정대체기준!$D$77:$D$86,0))),"Y","N")))</f>
        <v/>
      </c>
    </row>
    <row r="3331">
      <c r="A3331" s="92" t="n">
        <v>2026</v>
      </c>
      <c r="B3331" s="92" t="n">
        <v>3</v>
      </c>
      <c r="C3331" s="92" t="inlineStr">
        <is>
          <t>5100000609</t>
        </is>
      </c>
      <c r="D3331" s="95" t="n">
        <v>46100</v>
      </c>
      <c r="E3331" s="92" t="inlineStr">
        <is>
          <t>KR</t>
        </is>
      </c>
      <c r="F3331" s="92" t="n">
        <v>62301000</v>
      </c>
      <c r="G3331" s="92" t="n">
        <v>1701</v>
      </c>
      <c r="H3331" s="93" t="n">
        <v>291000</v>
      </c>
      <c r="I3331" s="92" t="inlineStr">
        <is>
          <t>3월 소모품 구입 - Q오피스</t>
        </is>
      </c>
      <c r="J3331" s="92" t="inlineStr">
        <is>
          <t>V10003</t>
        </is>
      </c>
      <c r="K3331" s="92" t="inlineStr">
        <is>
          <t>Q오피스</t>
        </is>
      </c>
      <c r="M3331" s="9">
        <f>IF($A3331="","",VALUE($A3331&amp;"")*12+VALUE($B3331&amp;""))</f>
        <v/>
      </c>
      <c r="N3331" s="64">
        <f>IF($A3331="","",IFERROR(INDEX(부서매핑!$C$5:$C$504,MATCH($G3331&amp;"",부서매핑!$A$5:$A$504,0)),"미매핑"))</f>
        <v/>
      </c>
      <c r="O3331" s="9">
        <f>IF($A3331="","",N3331&amp;"|"&amp;$F3331)</f>
        <v/>
      </c>
      <c r="P3331" s="94">
        <f>IF($A3331="",0,$H3331*설정!$C$23)</f>
        <v/>
      </c>
      <c r="Q3331" s="64">
        <f>IF($A3331="","",IF(O3331&lt;&gt;원인분석!$C$9,"",IF(AND(M3331&gt;=원인분석!$C$10,M3331&lt;=원인분석!$C$11),"당기",IF(AND(M3331&gt;=원인분석!$C$12,M3331&lt;=원인분석!$C$13),"비교",""))))</f>
        <v/>
      </c>
      <c r="R3331" s="9">
        <f>IF(Q3331="","",$K3331&amp;"")</f>
        <v/>
      </c>
      <c r="S3331" s="9">
        <f>IF(Q3331="","",IF(MATCH(R3331,$R$5:$R$100000,0)=ROW()-4,ROW(),""))</f>
        <v/>
      </c>
      <c r="T3331" s="9">
        <f>IF(Q3331="당기",ABS(P3331)+ROW()/1000000000,"")</f>
        <v/>
      </c>
      <c r="U3331" s="9">
        <f>IF(Q3331="비교",ABS(P3331)+ROW()/1000000000,"")</f>
        <v/>
      </c>
      <c r="V3331" s="64">
        <f>IF($A3331="","",IF(COUNTIF(변동분석!$E$7:$E$506,O3331)&gt;0,"Y","N"))</f>
        <v/>
      </c>
      <c r="W3331" s="64">
        <f>IF($A3331="","",IFERROR(INDEX(계정매핑!$D$5:$D$504,MATCH($F3331&amp;"",계정매핑!$A$5:$A$504,0)),"미매핑"))</f>
        <v/>
      </c>
      <c r="X3331" s="9">
        <f>IF($A3331="","",$F3331&amp;"")</f>
        <v/>
      </c>
      <c r="Y3331" s="94">
        <f>IF($A3331="",0,IF(AE3331="직접",IF(AF3331="비귀속",$P3331,0),$P3331*(1-AG3331)*IFERROR(INDEX(계정대체기준!$F$20:$F$49,MATCH($N3331,계정대체기준!$A$20:$A$49,0)),1)))</f>
        <v/>
      </c>
      <c r="Z3331" s="94">
        <f>IF($A3331="",0,IF(AE3331="직접",IF(AF3331="신계약비",$P3331,0),$P3331*(1-AG3331)*IFERROR(INDEX(계정대체기준!$C$20:$C$49,MATCH($N3331,계정대체기준!$A$20:$A$49,0)),0)))</f>
        <v/>
      </c>
      <c r="AA3331" s="94">
        <f>IF($A3331="",0,IF(AE3331="직접",IF(OR(AF3331="유지비",AF3331="손해조사비"),$P3331,0),$P3331*(1-AG3331)*IFERROR(INDEX(계정대체기준!$D$20:$D$49,MATCH($N3331,계정대체기준!$A$20:$A$49,0)),0)))</f>
        <v/>
      </c>
      <c r="AB3331" s="94">
        <f>IF($A3331="",0,IF(AE3331="직접",IF(AF3331="수금비",$P3331,0),$P3331*(1-AG3331)*IFERROR(INDEX(계정대체기준!$E$20:$E$49,MATCH($N3331,계정대체기준!$A$20:$A$49,0)),0)))</f>
        <v/>
      </c>
      <c r="AC3331" s="9">
        <f>IF(AND($A3331&lt;&gt;"",M3331=설정!$C$20,Z3331&gt;0),Z3331+ROW()/1000000000,"")</f>
        <v/>
      </c>
      <c r="AD3331" s="94">
        <f>IF($A3331="",0,$P3331*AG3331)</f>
        <v/>
      </c>
      <c r="AE3331" s="64">
        <f>IF($A3331="","",IFERROR(INDEX(계정매핑!$E$5:$E$504,MATCH($F3331&amp;"",계정매핑!$A$5:$A$504,0))&amp;"","공통비"))</f>
        <v/>
      </c>
      <c r="AF3331" s="64">
        <f>IF($A3331="","",IF(AE3331="직접",IFERROR(INDEX(계정매핑!$F$5:$F$504,MATCH($F3331&amp;"",계정매핑!$A$5:$A$504,0))&amp;"","비귀속"),""))</f>
        <v/>
      </c>
      <c r="AG3331" s="96">
        <f>IF($A3331="",0,IF(AND(AE3331&lt;&gt;"직접",IFERROR(INDEX(계정매핑!$G$5:$G$504,MATCH($F3331&amp;"",계정매핑!$A$5:$A$504,0))&amp;"","")="유지비",COUNTIF(계정대체기준!$A$6:$A$15,$N3331)&gt;0),IFERROR(INDEX(계정대체기준!$E$6:$E$15,MATCH(VALUE($A3331&amp;""),계정대체기준!$D$6:$D$15,0)),0),0))</f>
        <v/>
      </c>
      <c r="AH3331" s="64">
        <f>IF($A3331="","",IF(AD3331=0,"",IF(OR(COUNTIF(계정대체기준!$A$77:$A$86,$N3331)&gt;0,ISNUMBER(MATCH($X3331,계정대체기준!$D$77:$D$86,0)),ISNUMBER(MATCH($F3331,계정대체기준!$D$77:$D$86,0))),"Y","N")))</f>
        <v/>
      </c>
    </row>
    <row r="3332">
      <c r="A3332" s="92" t="n">
        <v>2026</v>
      </c>
      <c r="B3332" s="92" t="n">
        <v>3</v>
      </c>
      <c r="C3332" s="92" t="inlineStr">
        <is>
          <t>5100000610</t>
        </is>
      </c>
      <c r="D3332" s="95" t="n">
        <v>46100</v>
      </c>
      <c r="E3332" s="92" t="inlineStr">
        <is>
          <t>KR</t>
        </is>
      </c>
      <c r="F3332" s="92" t="n">
        <v>62301000</v>
      </c>
      <c r="G3332" s="92" t="n">
        <v>1701</v>
      </c>
      <c r="H3332" s="93" t="n">
        <v>365000</v>
      </c>
      <c r="I3332" s="92" t="inlineStr">
        <is>
          <t>3월 소모품 구입 - R문구</t>
        </is>
      </c>
      <c r="J3332" s="92" t="inlineStr">
        <is>
          <t>V10022</t>
        </is>
      </c>
      <c r="K3332" s="92" t="inlineStr">
        <is>
          <t>R문구</t>
        </is>
      </c>
      <c r="M3332" s="9">
        <f>IF($A3332="","",VALUE($A3332&amp;"")*12+VALUE($B3332&amp;""))</f>
        <v/>
      </c>
      <c r="N3332" s="64">
        <f>IF($A3332="","",IFERROR(INDEX(부서매핑!$C$5:$C$504,MATCH($G3332&amp;"",부서매핑!$A$5:$A$504,0)),"미매핑"))</f>
        <v/>
      </c>
      <c r="O3332" s="9">
        <f>IF($A3332="","",N3332&amp;"|"&amp;$F3332)</f>
        <v/>
      </c>
      <c r="P3332" s="94">
        <f>IF($A3332="",0,$H3332*설정!$C$23)</f>
        <v/>
      </c>
      <c r="Q3332" s="64">
        <f>IF($A3332="","",IF(O3332&lt;&gt;원인분석!$C$9,"",IF(AND(M3332&gt;=원인분석!$C$10,M3332&lt;=원인분석!$C$11),"당기",IF(AND(M3332&gt;=원인분석!$C$12,M3332&lt;=원인분석!$C$13),"비교",""))))</f>
        <v/>
      </c>
      <c r="R3332" s="9">
        <f>IF(Q3332="","",$K3332&amp;"")</f>
        <v/>
      </c>
      <c r="S3332" s="9">
        <f>IF(Q3332="","",IF(MATCH(R3332,$R$5:$R$100000,0)=ROW()-4,ROW(),""))</f>
        <v/>
      </c>
      <c r="T3332" s="9">
        <f>IF(Q3332="당기",ABS(P3332)+ROW()/1000000000,"")</f>
        <v/>
      </c>
      <c r="U3332" s="9">
        <f>IF(Q3332="비교",ABS(P3332)+ROW()/1000000000,"")</f>
        <v/>
      </c>
      <c r="V3332" s="64">
        <f>IF($A3332="","",IF(COUNTIF(변동분석!$E$7:$E$506,O3332)&gt;0,"Y","N"))</f>
        <v/>
      </c>
      <c r="W3332" s="64">
        <f>IF($A3332="","",IFERROR(INDEX(계정매핑!$D$5:$D$504,MATCH($F3332&amp;"",계정매핑!$A$5:$A$504,0)),"미매핑"))</f>
        <v/>
      </c>
      <c r="X3332" s="9">
        <f>IF($A3332="","",$F3332&amp;"")</f>
        <v/>
      </c>
      <c r="Y3332" s="94">
        <f>IF($A3332="",0,IF(AE3332="직접",IF(AF3332="비귀속",$P3332,0),$P3332*(1-AG3332)*IFERROR(INDEX(계정대체기준!$F$20:$F$49,MATCH($N3332,계정대체기준!$A$20:$A$49,0)),1)))</f>
        <v/>
      </c>
      <c r="Z3332" s="94">
        <f>IF($A3332="",0,IF(AE3332="직접",IF(AF3332="신계약비",$P3332,0),$P3332*(1-AG3332)*IFERROR(INDEX(계정대체기준!$C$20:$C$49,MATCH($N3332,계정대체기준!$A$20:$A$49,0)),0)))</f>
        <v/>
      </c>
      <c r="AA3332" s="94">
        <f>IF($A3332="",0,IF(AE3332="직접",IF(OR(AF3332="유지비",AF3332="손해조사비"),$P3332,0),$P3332*(1-AG3332)*IFERROR(INDEX(계정대체기준!$D$20:$D$49,MATCH($N3332,계정대체기준!$A$20:$A$49,0)),0)))</f>
        <v/>
      </c>
      <c r="AB3332" s="94">
        <f>IF($A3332="",0,IF(AE3332="직접",IF(AF3332="수금비",$P3332,0),$P3332*(1-AG3332)*IFERROR(INDEX(계정대체기준!$E$20:$E$49,MATCH($N3332,계정대체기준!$A$20:$A$49,0)),0)))</f>
        <v/>
      </c>
      <c r="AC3332" s="9">
        <f>IF(AND($A3332&lt;&gt;"",M3332=설정!$C$20,Z3332&gt;0),Z3332+ROW()/1000000000,"")</f>
        <v/>
      </c>
      <c r="AD3332" s="94">
        <f>IF($A3332="",0,$P3332*AG3332)</f>
        <v/>
      </c>
      <c r="AE3332" s="64">
        <f>IF($A3332="","",IFERROR(INDEX(계정매핑!$E$5:$E$504,MATCH($F3332&amp;"",계정매핑!$A$5:$A$504,0))&amp;"","공통비"))</f>
        <v/>
      </c>
      <c r="AF3332" s="64">
        <f>IF($A3332="","",IF(AE3332="직접",IFERROR(INDEX(계정매핑!$F$5:$F$504,MATCH($F3332&amp;"",계정매핑!$A$5:$A$504,0))&amp;"","비귀속"),""))</f>
        <v/>
      </c>
      <c r="AG3332" s="96">
        <f>IF($A3332="",0,IF(AND(AE3332&lt;&gt;"직접",IFERROR(INDEX(계정매핑!$G$5:$G$504,MATCH($F3332&amp;"",계정매핑!$A$5:$A$504,0))&amp;"","")="유지비",COUNTIF(계정대체기준!$A$6:$A$15,$N3332)&gt;0),IFERROR(INDEX(계정대체기준!$E$6:$E$15,MATCH(VALUE($A3332&amp;""),계정대체기준!$D$6:$D$15,0)),0),0))</f>
        <v/>
      </c>
      <c r="AH3332" s="64">
        <f>IF($A3332="","",IF(AD3332=0,"",IF(OR(COUNTIF(계정대체기준!$A$77:$A$86,$N3332)&gt;0,ISNUMBER(MATCH($X3332,계정대체기준!$D$77:$D$86,0)),ISNUMBER(MATCH($F3332,계정대체기준!$D$77:$D$86,0))),"Y","N")))</f>
        <v/>
      </c>
    </row>
    <row r="3333">
      <c r="A3333" s="92" t="n">
        <v>2026</v>
      </c>
      <c r="B3333" s="92" t="n">
        <v>3</v>
      </c>
      <c r="C3333" s="92" t="inlineStr">
        <is>
          <t>5100000611</t>
        </is>
      </c>
      <c r="D3333" s="95" t="n">
        <v>46100</v>
      </c>
      <c r="E3333" s="92" t="inlineStr">
        <is>
          <t>KR</t>
        </is>
      </c>
      <c r="F3333" s="92" t="n">
        <v>62501000</v>
      </c>
      <c r="G3333" s="92" t="n">
        <v>1101</v>
      </c>
      <c r="H3333" s="93" t="n">
        <v>178000</v>
      </c>
      <c r="I3333" s="92" t="inlineStr">
        <is>
          <t>3월 회의 다과 - T케이터링</t>
        </is>
      </c>
      <c r="J3333" s="92" t="inlineStr">
        <is>
          <t>V10005</t>
        </is>
      </c>
      <c r="K3333" s="92" t="inlineStr">
        <is>
          <t>T케이터링</t>
        </is>
      </c>
      <c r="M3333" s="9">
        <f>IF($A3333="","",VALUE($A3333&amp;"")*12+VALUE($B3333&amp;""))</f>
        <v/>
      </c>
      <c r="N3333" s="64">
        <f>IF($A3333="","",IFERROR(INDEX(부서매핑!$C$5:$C$504,MATCH($G3333&amp;"",부서매핑!$A$5:$A$504,0)),"미매핑"))</f>
        <v/>
      </c>
      <c r="O3333" s="9">
        <f>IF($A3333="","",N3333&amp;"|"&amp;$F3333)</f>
        <v/>
      </c>
      <c r="P3333" s="94">
        <f>IF($A3333="",0,$H3333*설정!$C$23)</f>
        <v/>
      </c>
      <c r="Q3333" s="64">
        <f>IF($A3333="","",IF(O3333&lt;&gt;원인분석!$C$9,"",IF(AND(M3333&gt;=원인분석!$C$10,M3333&lt;=원인분석!$C$11),"당기",IF(AND(M3333&gt;=원인분석!$C$12,M3333&lt;=원인분석!$C$13),"비교",""))))</f>
        <v/>
      </c>
      <c r="R3333" s="9">
        <f>IF(Q3333="","",$K3333&amp;"")</f>
        <v/>
      </c>
      <c r="S3333" s="9">
        <f>IF(Q3333="","",IF(MATCH(R3333,$R$5:$R$100000,0)=ROW()-4,ROW(),""))</f>
        <v/>
      </c>
      <c r="T3333" s="9">
        <f>IF(Q3333="당기",ABS(P3333)+ROW()/1000000000,"")</f>
        <v/>
      </c>
      <c r="U3333" s="9">
        <f>IF(Q3333="비교",ABS(P3333)+ROW()/1000000000,"")</f>
        <v/>
      </c>
      <c r="V3333" s="64">
        <f>IF($A3333="","",IF(COUNTIF(변동분석!$E$7:$E$506,O3333)&gt;0,"Y","N"))</f>
        <v/>
      </c>
      <c r="W3333" s="64">
        <f>IF($A3333="","",IFERROR(INDEX(계정매핑!$D$5:$D$504,MATCH($F3333&amp;"",계정매핑!$A$5:$A$504,0)),"미매핑"))</f>
        <v/>
      </c>
      <c r="X3333" s="9">
        <f>IF($A3333="","",$F3333&amp;"")</f>
        <v/>
      </c>
      <c r="Y3333" s="94">
        <f>IF($A3333="",0,IF(AE3333="직접",IF(AF3333="비귀속",$P3333,0),$P3333*(1-AG3333)*IFERROR(INDEX(계정대체기준!$F$20:$F$49,MATCH($N3333,계정대체기준!$A$20:$A$49,0)),1)))</f>
        <v/>
      </c>
      <c r="Z3333" s="94">
        <f>IF($A3333="",0,IF(AE3333="직접",IF(AF3333="신계약비",$P3333,0),$P3333*(1-AG3333)*IFERROR(INDEX(계정대체기준!$C$20:$C$49,MATCH($N3333,계정대체기준!$A$20:$A$49,0)),0)))</f>
        <v/>
      </c>
      <c r="AA3333" s="94">
        <f>IF($A3333="",0,IF(AE3333="직접",IF(OR(AF3333="유지비",AF3333="손해조사비"),$P3333,0),$P3333*(1-AG3333)*IFERROR(INDEX(계정대체기준!$D$20:$D$49,MATCH($N3333,계정대체기준!$A$20:$A$49,0)),0)))</f>
        <v/>
      </c>
      <c r="AB3333" s="94">
        <f>IF($A3333="",0,IF(AE3333="직접",IF(AF3333="수금비",$P3333,0),$P3333*(1-AG3333)*IFERROR(INDEX(계정대체기준!$E$20:$E$49,MATCH($N3333,계정대체기준!$A$20:$A$49,0)),0)))</f>
        <v/>
      </c>
      <c r="AC3333" s="9">
        <f>IF(AND($A3333&lt;&gt;"",M3333=설정!$C$20,Z3333&gt;0),Z3333+ROW()/1000000000,"")</f>
        <v/>
      </c>
      <c r="AD3333" s="94">
        <f>IF($A3333="",0,$P3333*AG3333)</f>
        <v/>
      </c>
      <c r="AE3333" s="64">
        <f>IF($A3333="","",IFERROR(INDEX(계정매핑!$E$5:$E$504,MATCH($F3333&amp;"",계정매핑!$A$5:$A$504,0))&amp;"","공통비"))</f>
        <v/>
      </c>
      <c r="AF3333" s="64">
        <f>IF($A3333="","",IF(AE3333="직접",IFERROR(INDEX(계정매핑!$F$5:$F$504,MATCH($F3333&amp;"",계정매핑!$A$5:$A$504,0))&amp;"","비귀속"),""))</f>
        <v/>
      </c>
      <c r="AG3333" s="96">
        <f>IF($A3333="",0,IF(AND(AE3333&lt;&gt;"직접",IFERROR(INDEX(계정매핑!$G$5:$G$504,MATCH($F3333&amp;"",계정매핑!$A$5:$A$504,0))&amp;"","")="유지비",COUNTIF(계정대체기준!$A$6:$A$15,$N3333)&gt;0),IFERROR(INDEX(계정대체기준!$E$6:$E$15,MATCH(VALUE($A3333&amp;""),계정대체기준!$D$6:$D$15,0)),0),0))</f>
        <v/>
      </c>
      <c r="AH3333" s="64">
        <f>IF($A3333="","",IF(AD3333=0,"",IF(OR(COUNTIF(계정대체기준!$A$77:$A$86,$N3333)&gt;0,ISNUMBER(MATCH($X3333,계정대체기준!$D$77:$D$86,0)),ISNUMBER(MATCH($F3333,계정대체기준!$D$77:$D$86,0))),"Y","N")))</f>
        <v/>
      </c>
    </row>
    <row r="3334">
      <c r="A3334" s="92" t="n">
        <v>2026</v>
      </c>
      <c r="B3334" s="92" t="n">
        <v>3</v>
      </c>
      <c r="C3334" s="92" t="inlineStr">
        <is>
          <t>5100000612</t>
        </is>
      </c>
      <c r="D3334" s="95" t="n">
        <v>46100</v>
      </c>
      <c r="E3334" s="92" t="inlineStr">
        <is>
          <t>KR</t>
        </is>
      </c>
      <c r="F3334" s="92" t="n">
        <v>62901000</v>
      </c>
      <c r="G3334" s="92" t="n">
        <v>1101</v>
      </c>
      <c r="H3334" s="93" t="n">
        <v>5221000</v>
      </c>
      <c r="I3334" s="92" t="inlineStr">
        <is>
          <t>3월 자문 수수료 - K회계법인</t>
        </is>
      </c>
      <c r="J3334" s="92" t="inlineStr">
        <is>
          <t>V10011</t>
        </is>
      </c>
      <c r="K3334" s="92" t="inlineStr">
        <is>
          <t>K회계법인</t>
        </is>
      </c>
      <c r="M3334" s="9">
        <f>IF($A3334="","",VALUE($A3334&amp;"")*12+VALUE($B3334&amp;""))</f>
        <v/>
      </c>
      <c r="N3334" s="64">
        <f>IF($A3334="","",IFERROR(INDEX(부서매핑!$C$5:$C$504,MATCH($G3334&amp;"",부서매핑!$A$5:$A$504,0)),"미매핑"))</f>
        <v/>
      </c>
      <c r="O3334" s="9">
        <f>IF($A3334="","",N3334&amp;"|"&amp;$F3334)</f>
        <v/>
      </c>
      <c r="P3334" s="94">
        <f>IF($A3334="",0,$H3334*설정!$C$23)</f>
        <v/>
      </c>
      <c r="Q3334" s="64">
        <f>IF($A3334="","",IF(O3334&lt;&gt;원인분석!$C$9,"",IF(AND(M3334&gt;=원인분석!$C$10,M3334&lt;=원인분석!$C$11),"당기",IF(AND(M3334&gt;=원인분석!$C$12,M3334&lt;=원인분석!$C$13),"비교",""))))</f>
        <v/>
      </c>
      <c r="R3334" s="9">
        <f>IF(Q3334="","",$K3334&amp;"")</f>
        <v/>
      </c>
      <c r="S3334" s="9">
        <f>IF(Q3334="","",IF(MATCH(R3334,$R$5:$R$100000,0)=ROW()-4,ROW(),""))</f>
        <v/>
      </c>
      <c r="T3334" s="9">
        <f>IF(Q3334="당기",ABS(P3334)+ROW()/1000000000,"")</f>
        <v/>
      </c>
      <c r="U3334" s="9">
        <f>IF(Q3334="비교",ABS(P3334)+ROW()/1000000000,"")</f>
        <v/>
      </c>
      <c r="V3334" s="64">
        <f>IF($A3334="","",IF(COUNTIF(변동분석!$E$7:$E$506,O3334)&gt;0,"Y","N"))</f>
        <v/>
      </c>
      <c r="W3334" s="64">
        <f>IF($A3334="","",IFERROR(INDEX(계정매핑!$D$5:$D$504,MATCH($F3334&amp;"",계정매핑!$A$5:$A$504,0)),"미매핑"))</f>
        <v/>
      </c>
      <c r="X3334" s="9">
        <f>IF($A3334="","",$F3334&amp;"")</f>
        <v/>
      </c>
      <c r="Y3334" s="94">
        <f>IF($A3334="",0,IF(AE3334="직접",IF(AF3334="비귀속",$P3334,0),$P3334*(1-AG3334)*IFERROR(INDEX(계정대체기준!$F$20:$F$49,MATCH($N3334,계정대체기준!$A$20:$A$49,0)),1)))</f>
        <v/>
      </c>
      <c r="Z3334" s="94">
        <f>IF($A3334="",0,IF(AE3334="직접",IF(AF3334="신계약비",$P3334,0),$P3334*(1-AG3334)*IFERROR(INDEX(계정대체기준!$C$20:$C$49,MATCH($N3334,계정대체기준!$A$20:$A$49,0)),0)))</f>
        <v/>
      </c>
      <c r="AA3334" s="94">
        <f>IF($A3334="",0,IF(AE3334="직접",IF(OR(AF3334="유지비",AF3334="손해조사비"),$P3334,0),$P3334*(1-AG3334)*IFERROR(INDEX(계정대체기준!$D$20:$D$49,MATCH($N3334,계정대체기준!$A$20:$A$49,0)),0)))</f>
        <v/>
      </c>
      <c r="AB3334" s="94">
        <f>IF($A3334="",0,IF(AE3334="직접",IF(AF3334="수금비",$P3334,0),$P3334*(1-AG3334)*IFERROR(INDEX(계정대체기준!$E$20:$E$49,MATCH($N3334,계정대체기준!$A$20:$A$49,0)),0)))</f>
        <v/>
      </c>
      <c r="AC3334" s="9">
        <f>IF(AND($A3334&lt;&gt;"",M3334=설정!$C$20,Z3334&gt;0),Z3334+ROW()/1000000000,"")</f>
        <v/>
      </c>
      <c r="AD3334" s="94">
        <f>IF($A3334="",0,$P3334*AG3334)</f>
        <v/>
      </c>
      <c r="AE3334" s="64">
        <f>IF($A3334="","",IFERROR(INDEX(계정매핑!$E$5:$E$504,MATCH($F3334&amp;"",계정매핑!$A$5:$A$504,0))&amp;"","공통비"))</f>
        <v/>
      </c>
      <c r="AF3334" s="64">
        <f>IF($A3334="","",IF(AE3334="직접",IFERROR(INDEX(계정매핑!$F$5:$F$504,MATCH($F3334&amp;"",계정매핑!$A$5:$A$504,0))&amp;"","비귀속"),""))</f>
        <v/>
      </c>
      <c r="AG3334" s="96">
        <f>IF($A3334="",0,IF(AND(AE3334&lt;&gt;"직접",IFERROR(INDEX(계정매핑!$G$5:$G$504,MATCH($F3334&amp;"",계정매핑!$A$5:$A$504,0))&amp;"","")="유지비",COUNTIF(계정대체기준!$A$6:$A$15,$N3334)&gt;0),IFERROR(INDEX(계정대체기준!$E$6:$E$15,MATCH(VALUE($A3334&amp;""),계정대체기준!$D$6:$D$15,0)),0),0))</f>
        <v/>
      </c>
      <c r="AH3334" s="64">
        <f>IF($A3334="","",IF(AD3334=0,"",IF(OR(COUNTIF(계정대체기준!$A$77:$A$86,$N3334)&gt;0,ISNUMBER(MATCH($X3334,계정대체기준!$D$77:$D$86,0)),ISNUMBER(MATCH($F3334,계정대체기준!$D$77:$D$86,0))),"Y","N")))</f>
        <v/>
      </c>
    </row>
    <row r="3335">
      <c r="A3335" s="92" t="n">
        <v>2026</v>
      </c>
      <c r="B3335" s="92" t="n">
        <v>3</v>
      </c>
      <c r="C3335" s="92" t="inlineStr">
        <is>
          <t>5100000613</t>
        </is>
      </c>
      <c r="D3335" s="95" t="n">
        <v>46100</v>
      </c>
      <c r="E3335" s="92" t="inlineStr">
        <is>
          <t>KR</t>
        </is>
      </c>
      <c r="F3335" s="92" t="n">
        <v>62901000</v>
      </c>
      <c r="G3335" s="92" t="n">
        <v>1201</v>
      </c>
      <c r="H3335" s="93" t="n">
        <v>6837000</v>
      </c>
      <c r="I3335" s="92" t="inlineStr">
        <is>
          <t>3월 자문 수수료 - W컨설팅</t>
        </is>
      </c>
      <c r="J3335" s="92" t="inlineStr">
        <is>
          <t>V10006</t>
        </is>
      </c>
      <c r="K3335" s="92" t="inlineStr">
        <is>
          <t>W컨설팅</t>
        </is>
      </c>
      <c r="M3335" s="9">
        <f>IF($A3335="","",VALUE($A3335&amp;"")*12+VALUE($B3335&amp;""))</f>
        <v/>
      </c>
      <c r="N3335" s="64">
        <f>IF($A3335="","",IFERROR(INDEX(부서매핑!$C$5:$C$504,MATCH($G3335&amp;"",부서매핑!$A$5:$A$504,0)),"미매핑"))</f>
        <v/>
      </c>
      <c r="O3335" s="9">
        <f>IF($A3335="","",N3335&amp;"|"&amp;$F3335)</f>
        <v/>
      </c>
      <c r="P3335" s="94">
        <f>IF($A3335="",0,$H3335*설정!$C$23)</f>
        <v/>
      </c>
      <c r="Q3335" s="64">
        <f>IF($A3335="","",IF(O3335&lt;&gt;원인분석!$C$9,"",IF(AND(M3335&gt;=원인분석!$C$10,M3335&lt;=원인분석!$C$11),"당기",IF(AND(M3335&gt;=원인분석!$C$12,M3335&lt;=원인분석!$C$13),"비교",""))))</f>
        <v/>
      </c>
      <c r="R3335" s="9">
        <f>IF(Q3335="","",$K3335&amp;"")</f>
        <v/>
      </c>
      <c r="S3335" s="9">
        <f>IF(Q3335="","",IF(MATCH(R3335,$R$5:$R$100000,0)=ROW()-4,ROW(),""))</f>
        <v/>
      </c>
      <c r="T3335" s="9">
        <f>IF(Q3335="당기",ABS(P3335)+ROW()/1000000000,"")</f>
        <v/>
      </c>
      <c r="U3335" s="9">
        <f>IF(Q3335="비교",ABS(P3335)+ROW()/1000000000,"")</f>
        <v/>
      </c>
      <c r="V3335" s="64">
        <f>IF($A3335="","",IF(COUNTIF(변동분석!$E$7:$E$506,O3335)&gt;0,"Y","N"))</f>
        <v/>
      </c>
      <c r="W3335" s="64">
        <f>IF($A3335="","",IFERROR(INDEX(계정매핑!$D$5:$D$504,MATCH($F3335&amp;"",계정매핑!$A$5:$A$504,0)),"미매핑"))</f>
        <v/>
      </c>
      <c r="X3335" s="9">
        <f>IF($A3335="","",$F3335&amp;"")</f>
        <v/>
      </c>
      <c r="Y3335" s="94">
        <f>IF($A3335="",0,IF(AE3335="직접",IF(AF3335="비귀속",$P3335,0),$P3335*(1-AG3335)*IFERROR(INDEX(계정대체기준!$F$20:$F$49,MATCH($N3335,계정대체기준!$A$20:$A$49,0)),1)))</f>
        <v/>
      </c>
      <c r="Z3335" s="94">
        <f>IF($A3335="",0,IF(AE3335="직접",IF(AF3335="신계약비",$P3335,0),$P3335*(1-AG3335)*IFERROR(INDEX(계정대체기준!$C$20:$C$49,MATCH($N3335,계정대체기준!$A$20:$A$49,0)),0)))</f>
        <v/>
      </c>
      <c r="AA3335" s="94">
        <f>IF($A3335="",0,IF(AE3335="직접",IF(OR(AF3335="유지비",AF3335="손해조사비"),$P3335,0),$P3335*(1-AG3335)*IFERROR(INDEX(계정대체기준!$D$20:$D$49,MATCH($N3335,계정대체기준!$A$20:$A$49,0)),0)))</f>
        <v/>
      </c>
      <c r="AB3335" s="94">
        <f>IF($A3335="",0,IF(AE3335="직접",IF(AF3335="수금비",$P3335,0),$P3335*(1-AG3335)*IFERROR(INDEX(계정대체기준!$E$20:$E$49,MATCH($N3335,계정대체기준!$A$20:$A$49,0)),0)))</f>
        <v/>
      </c>
      <c r="AC3335" s="9">
        <f>IF(AND($A3335&lt;&gt;"",M3335=설정!$C$20,Z3335&gt;0),Z3335+ROW()/1000000000,"")</f>
        <v/>
      </c>
      <c r="AD3335" s="94">
        <f>IF($A3335="",0,$P3335*AG3335)</f>
        <v/>
      </c>
      <c r="AE3335" s="64">
        <f>IF($A3335="","",IFERROR(INDEX(계정매핑!$E$5:$E$504,MATCH($F3335&amp;"",계정매핑!$A$5:$A$504,0))&amp;"","공통비"))</f>
        <v/>
      </c>
      <c r="AF3335" s="64">
        <f>IF($A3335="","",IF(AE3335="직접",IFERROR(INDEX(계정매핑!$F$5:$F$504,MATCH($F3335&amp;"",계정매핑!$A$5:$A$504,0))&amp;"","비귀속"),""))</f>
        <v/>
      </c>
      <c r="AG3335" s="96">
        <f>IF($A3335="",0,IF(AND(AE3335&lt;&gt;"직접",IFERROR(INDEX(계정매핑!$G$5:$G$504,MATCH($F3335&amp;"",계정매핑!$A$5:$A$504,0))&amp;"","")="유지비",COUNTIF(계정대체기준!$A$6:$A$15,$N3335)&gt;0),IFERROR(INDEX(계정대체기준!$E$6:$E$15,MATCH(VALUE($A3335&amp;""),계정대체기준!$D$6:$D$15,0)),0),0))</f>
        <v/>
      </c>
      <c r="AH3335" s="64">
        <f>IF($A3335="","",IF(AD3335=0,"",IF(OR(COUNTIF(계정대체기준!$A$77:$A$86,$N3335)&gt;0,ISNUMBER(MATCH($X3335,계정대체기준!$D$77:$D$86,0)),ISNUMBER(MATCH($F3335,계정대체기준!$D$77:$D$86,0))),"Y","N")))</f>
        <v/>
      </c>
    </row>
    <row r="3336">
      <c r="A3336" s="92" t="n">
        <v>2026</v>
      </c>
      <c r="B3336" s="92" t="n">
        <v>3</v>
      </c>
      <c r="C3336" s="92" t="inlineStr">
        <is>
          <t>5100000614</t>
        </is>
      </c>
      <c r="D3336" s="95" t="n">
        <v>46101</v>
      </c>
      <c r="E3336" s="92" t="inlineStr">
        <is>
          <t>KR</t>
        </is>
      </c>
      <c r="F3336" s="92" t="n">
        <v>62101000</v>
      </c>
      <c r="G3336" s="92" t="n">
        <v>1301</v>
      </c>
      <c r="H3336" s="93" t="n">
        <v>347000</v>
      </c>
      <c r="I3336" s="92" t="inlineStr">
        <is>
          <t>3월 국내출장 - (법인카드)</t>
        </is>
      </c>
      <c r="J3336" s="92" t="inlineStr">
        <is>
          <t>V10010</t>
        </is>
      </c>
      <c r="K3336" s="92" t="inlineStr">
        <is>
          <t>(법인카드)</t>
        </is>
      </c>
      <c r="M3336" s="9">
        <f>IF($A3336="","",VALUE($A3336&amp;"")*12+VALUE($B3336&amp;""))</f>
        <v/>
      </c>
      <c r="N3336" s="64">
        <f>IF($A3336="","",IFERROR(INDEX(부서매핑!$C$5:$C$504,MATCH($G3336&amp;"",부서매핑!$A$5:$A$504,0)),"미매핑"))</f>
        <v/>
      </c>
      <c r="O3336" s="9">
        <f>IF($A3336="","",N3336&amp;"|"&amp;$F3336)</f>
        <v/>
      </c>
      <c r="P3336" s="94">
        <f>IF($A3336="",0,$H3336*설정!$C$23)</f>
        <v/>
      </c>
      <c r="Q3336" s="64">
        <f>IF($A3336="","",IF(O3336&lt;&gt;원인분석!$C$9,"",IF(AND(M3336&gt;=원인분석!$C$10,M3336&lt;=원인분석!$C$11),"당기",IF(AND(M3336&gt;=원인분석!$C$12,M3336&lt;=원인분석!$C$13),"비교",""))))</f>
        <v/>
      </c>
      <c r="R3336" s="9">
        <f>IF(Q3336="","",$K3336&amp;"")</f>
        <v/>
      </c>
      <c r="S3336" s="9">
        <f>IF(Q3336="","",IF(MATCH(R3336,$R$5:$R$100000,0)=ROW()-4,ROW(),""))</f>
        <v/>
      </c>
      <c r="T3336" s="9">
        <f>IF(Q3336="당기",ABS(P3336)+ROW()/1000000000,"")</f>
        <v/>
      </c>
      <c r="U3336" s="9">
        <f>IF(Q3336="비교",ABS(P3336)+ROW()/1000000000,"")</f>
        <v/>
      </c>
      <c r="V3336" s="64">
        <f>IF($A3336="","",IF(COUNTIF(변동분석!$E$7:$E$506,O3336)&gt;0,"Y","N"))</f>
        <v/>
      </c>
      <c r="W3336" s="64">
        <f>IF($A3336="","",IFERROR(INDEX(계정매핑!$D$5:$D$504,MATCH($F3336&amp;"",계정매핑!$A$5:$A$504,0)),"미매핑"))</f>
        <v/>
      </c>
      <c r="X3336" s="9">
        <f>IF($A3336="","",$F3336&amp;"")</f>
        <v/>
      </c>
      <c r="Y3336" s="94">
        <f>IF($A3336="",0,IF(AE3336="직접",IF(AF3336="비귀속",$P3336,0),$P3336*(1-AG3336)*IFERROR(INDEX(계정대체기준!$F$20:$F$49,MATCH($N3336,계정대체기준!$A$20:$A$49,0)),1)))</f>
        <v/>
      </c>
      <c r="Z3336" s="94">
        <f>IF($A3336="",0,IF(AE3336="직접",IF(AF3336="신계약비",$P3336,0),$P3336*(1-AG3336)*IFERROR(INDEX(계정대체기준!$C$20:$C$49,MATCH($N3336,계정대체기준!$A$20:$A$49,0)),0)))</f>
        <v/>
      </c>
      <c r="AA3336" s="94">
        <f>IF($A3336="",0,IF(AE3336="직접",IF(OR(AF3336="유지비",AF3336="손해조사비"),$P3336,0),$P3336*(1-AG3336)*IFERROR(INDEX(계정대체기준!$D$20:$D$49,MATCH($N3336,계정대체기준!$A$20:$A$49,0)),0)))</f>
        <v/>
      </c>
      <c r="AB3336" s="94">
        <f>IF($A3336="",0,IF(AE3336="직접",IF(AF3336="수금비",$P3336,0),$P3336*(1-AG3336)*IFERROR(INDEX(계정대체기준!$E$20:$E$49,MATCH($N3336,계정대체기준!$A$20:$A$49,0)),0)))</f>
        <v/>
      </c>
      <c r="AC3336" s="9">
        <f>IF(AND($A3336&lt;&gt;"",M3336=설정!$C$20,Z3336&gt;0),Z3336+ROW()/1000000000,"")</f>
        <v/>
      </c>
      <c r="AD3336" s="94">
        <f>IF($A3336="",0,$P3336*AG3336)</f>
        <v/>
      </c>
      <c r="AE3336" s="64">
        <f>IF($A3336="","",IFERROR(INDEX(계정매핑!$E$5:$E$504,MATCH($F3336&amp;"",계정매핑!$A$5:$A$504,0))&amp;"","공통비"))</f>
        <v/>
      </c>
      <c r="AF3336" s="64">
        <f>IF($A3336="","",IF(AE3336="직접",IFERROR(INDEX(계정매핑!$F$5:$F$504,MATCH($F3336&amp;"",계정매핑!$A$5:$A$504,0))&amp;"","비귀속"),""))</f>
        <v/>
      </c>
      <c r="AG3336" s="96">
        <f>IF($A3336="",0,IF(AND(AE3336&lt;&gt;"직접",IFERROR(INDEX(계정매핑!$G$5:$G$504,MATCH($F3336&amp;"",계정매핑!$A$5:$A$504,0))&amp;"","")="유지비",COUNTIF(계정대체기준!$A$6:$A$15,$N3336)&gt;0),IFERROR(INDEX(계정대체기준!$E$6:$E$15,MATCH(VALUE($A3336&amp;""),계정대체기준!$D$6:$D$15,0)),0),0))</f>
        <v/>
      </c>
      <c r="AH3336" s="64">
        <f>IF($A3336="","",IF(AD3336=0,"",IF(OR(COUNTIF(계정대체기준!$A$77:$A$86,$N3336)&gt;0,ISNUMBER(MATCH($X3336,계정대체기준!$D$77:$D$86,0)),ISNUMBER(MATCH($F3336,계정대체기준!$D$77:$D$86,0))),"Y","N")))</f>
        <v/>
      </c>
    </row>
    <row r="3337">
      <c r="A3337" s="92" t="n">
        <v>2026</v>
      </c>
      <c r="B3337" s="92" t="n">
        <v>3</v>
      </c>
      <c r="C3337" s="92" t="inlineStr">
        <is>
          <t>5100000615</t>
        </is>
      </c>
      <c r="D3337" s="95" t="n">
        <v>46101</v>
      </c>
      <c r="E3337" s="92" t="inlineStr">
        <is>
          <t>KR</t>
        </is>
      </c>
      <c r="F3337" s="92" t="n">
        <v>62201000</v>
      </c>
      <c r="G3337" s="92" t="n">
        <v>1101</v>
      </c>
      <c r="H3337" s="93" t="n">
        <v>229000</v>
      </c>
      <c r="I3337" s="92" t="inlineStr">
        <is>
          <t>3월 통신요금 - O텔레콤</t>
        </is>
      </c>
      <c r="J3337" s="92" t="inlineStr">
        <is>
          <t>V10002</t>
        </is>
      </c>
      <c r="K3337" s="92" t="inlineStr">
        <is>
          <t>O텔레콤</t>
        </is>
      </c>
      <c r="M3337" s="9">
        <f>IF($A3337="","",VALUE($A3337&amp;"")*12+VALUE($B3337&amp;""))</f>
        <v/>
      </c>
      <c r="N3337" s="64">
        <f>IF($A3337="","",IFERROR(INDEX(부서매핑!$C$5:$C$504,MATCH($G3337&amp;"",부서매핑!$A$5:$A$504,0)),"미매핑"))</f>
        <v/>
      </c>
      <c r="O3337" s="9">
        <f>IF($A3337="","",N3337&amp;"|"&amp;$F3337)</f>
        <v/>
      </c>
      <c r="P3337" s="94">
        <f>IF($A3337="",0,$H3337*설정!$C$23)</f>
        <v/>
      </c>
      <c r="Q3337" s="64">
        <f>IF($A3337="","",IF(O3337&lt;&gt;원인분석!$C$9,"",IF(AND(M3337&gt;=원인분석!$C$10,M3337&lt;=원인분석!$C$11),"당기",IF(AND(M3337&gt;=원인분석!$C$12,M3337&lt;=원인분석!$C$13),"비교",""))))</f>
        <v/>
      </c>
      <c r="R3337" s="9">
        <f>IF(Q3337="","",$K3337&amp;"")</f>
        <v/>
      </c>
      <c r="S3337" s="9">
        <f>IF(Q3337="","",IF(MATCH(R3337,$R$5:$R$100000,0)=ROW()-4,ROW(),""))</f>
        <v/>
      </c>
      <c r="T3337" s="9">
        <f>IF(Q3337="당기",ABS(P3337)+ROW()/1000000000,"")</f>
        <v/>
      </c>
      <c r="U3337" s="9">
        <f>IF(Q3337="비교",ABS(P3337)+ROW()/1000000000,"")</f>
        <v/>
      </c>
      <c r="V3337" s="64">
        <f>IF($A3337="","",IF(COUNTIF(변동분석!$E$7:$E$506,O3337)&gt;0,"Y","N"))</f>
        <v/>
      </c>
      <c r="W3337" s="64">
        <f>IF($A3337="","",IFERROR(INDEX(계정매핑!$D$5:$D$504,MATCH($F3337&amp;"",계정매핑!$A$5:$A$504,0)),"미매핑"))</f>
        <v/>
      </c>
      <c r="X3337" s="9">
        <f>IF($A3337="","",$F3337&amp;"")</f>
        <v/>
      </c>
      <c r="Y3337" s="94">
        <f>IF($A3337="",0,IF(AE3337="직접",IF(AF3337="비귀속",$P3337,0),$P3337*(1-AG3337)*IFERROR(INDEX(계정대체기준!$F$20:$F$49,MATCH($N3337,계정대체기준!$A$20:$A$49,0)),1)))</f>
        <v/>
      </c>
      <c r="Z3337" s="94">
        <f>IF($A3337="",0,IF(AE3337="직접",IF(AF3337="신계약비",$P3337,0),$P3337*(1-AG3337)*IFERROR(INDEX(계정대체기준!$C$20:$C$49,MATCH($N3337,계정대체기준!$A$20:$A$49,0)),0)))</f>
        <v/>
      </c>
      <c r="AA3337" s="94">
        <f>IF($A3337="",0,IF(AE3337="직접",IF(OR(AF3337="유지비",AF3337="손해조사비"),$P3337,0),$P3337*(1-AG3337)*IFERROR(INDEX(계정대체기준!$D$20:$D$49,MATCH($N3337,계정대체기준!$A$20:$A$49,0)),0)))</f>
        <v/>
      </c>
      <c r="AB3337" s="94">
        <f>IF($A3337="",0,IF(AE3337="직접",IF(AF3337="수금비",$P3337,0),$P3337*(1-AG3337)*IFERROR(INDEX(계정대체기준!$E$20:$E$49,MATCH($N3337,계정대체기준!$A$20:$A$49,0)),0)))</f>
        <v/>
      </c>
      <c r="AC3337" s="9">
        <f>IF(AND($A3337&lt;&gt;"",M3337=설정!$C$20,Z3337&gt;0),Z3337+ROW()/1000000000,"")</f>
        <v/>
      </c>
      <c r="AD3337" s="94">
        <f>IF($A3337="",0,$P3337*AG3337)</f>
        <v/>
      </c>
      <c r="AE3337" s="64">
        <f>IF($A3337="","",IFERROR(INDEX(계정매핑!$E$5:$E$504,MATCH($F3337&amp;"",계정매핑!$A$5:$A$504,0))&amp;"","공통비"))</f>
        <v/>
      </c>
      <c r="AF3337" s="64">
        <f>IF($A3337="","",IF(AE3337="직접",IFERROR(INDEX(계정매핑!$F$5:$F$504,MATCH($F3337&amp;"",계정매핑!$A$5:$A$504,0))&amp;"","비귀속"),""))</f>
        <v/>
      </c>
      <c r="AG3337" s="96">
        <f>IF($A3337="",0,IF(AND(AE3337&lt;&gt;"직접",IFERROR(INDEX(계정매핑!$G$5:$G$504,MATCH($F3337&amp;"",계정매핑!$A$5:$A$504,0))&amp;"","")="유지비",COUNTIF(계정대체기준!$A$6:$A$15,$N3337)&gt;0),IFERROR(INDEX(계정대체기준!$E$6:$E$15,MATCH(VALUE($A3337&amp;""),계정대체기준!$D$6:$D$15,0)),0),0))</f>
        <v/>
      </c>
      <c r="AH3337" s="64">
        <f>IF($A3337="","",IF(AD3337=0,"",IF(OR(COUNTIF(계정대체기준!$A$77:$A$86,$N3337)&gt;0,ISNUMBER(MATCH($X3337,계정대체기준!$D$77:$D$86,0)),ISNUMBER(MATCH($F3337,계정대체기준!$D$77:$D$86,0))),"Y","N")))</f>
        <v/>
      </c>
    </row>
    <row r="3338">
      <c r="A3338" s="92" t="n">
        <v>2026</v>
      </c>
      <c r="B3338" s="92" t="n">
        <v>3</v>
      </c>
      <c r="C3338" s="92" t="inlineStr">
        <is>
          <t>5100000616</t>
        </is>
      </c>
      <c r="D3338" s="95" t="n">
        <v>46101</v>
      </c>
      <c r="E3338" s="92" t="inlineStr">
        <is>
          <t>KR</t>
        </is>
      </c>
      <c r="F3338" s="92" t="n">
        <v>62201000</v>
      </c>
      <c r="G3338" s="92" t="n">
        <v>1701</v>
      </c>
      <c r="H3338" s="93" t="n">
        <v>3527000</v>
      </c>
      <c r="I3338" s="92" t="inlineStr">
        <is>
          <t>3월 통신요금 - O텔레콤</t>
        </is>
      </c>
      <c r="J3338" s="92" t="inlineStr">
        <is>
          <t>V10002</t>
        </is>
      </c>
      <c r="K3338" s="92" t="inlineStr">
        <is>
          <t>O텔레콤</t>
        </is>
      </c>
      <c r="M3338" s="9">
        <f>IF($A3338="","",VALUE($A3338&amp;"")*12+VALUE($B3338&amp;""))</f>
        <v/>
      </c>
      <c r="N3338" s="64">
        <f>IF($A3338="","",IFERROR(INDEX(부서매핑!$C$5:$C$504,MATCH($G3338&amp;"",부서매핑!$A$5:$A$504,0)),"미매핑"))</f>
        <v/>
      </c>
      <c r="O3338" s="9">
        <f>IF($A3338="","",N3338&amp;"|"&amp;$F3338)</f>
        <v/>
      </c>
      <c r="P3338" s="94">
        <f>IF($A3338="",0,$H3338*설정!$C$23)</f>
        <v/>
      </c>
      <c r="Q3338" s="64">
        <f>IF($A3338="","",IF(O3338&lt;&gt;원인분석!$C$9,"",IF(AND(M3338&gt;=원인분석!$C$10,M3338&lt;=원인분석!$C$11),"당기",IF(AND(M3338&gt;=원인분석!$C$12,M3338&lt;=원인분석!$C$13),"비교",""))))</f>
        <v/>
      </c>
      <c r="R3338" s="9">
        <f>IF(Q3338="","",$K3338&amp;"")</f>
        <v/>
      </c>
      <c r="S3338" s="9">
        <f>IF(Q3338="","",IF(MATCH(R3338,$R$5:$R$100000,0)=ROW()-4,ROW(),""))</f>
        <v/>
      </c>
      <c r="T3338" s="9">
        <f>IF(Q3338="당기",ABS(P3338)+ROW()/1000000000,"")</f>
        <v/>
      </c>
      <c r="U3338" s="9">
        <f>IF(Q3338="비교",ABS(P3338)+ROW()/1000000000,"")</f>
        <v/>
      </c>
      <c r="V3338" s="64">
        <f>IF($A3338="","",IF(COUNTIF(변동분석!$E$7:$E$506,O3338)&gt;0,"Y","N"))</f>
        <v/>
      </c>
      <c r="W3338" s="64">
        <f>IF($A3338="","",IFERROR(INDEX(계정매핑!$D$5:$D$504,MATCH($F3338&amp;"",계정매핑!$A$5:$A$504,0)),"미매핑"))</f>
        <v/>
      </c>
      <c r="X3338" s="9">
        <f>IF($A3338="","",$F3338&amp;"")</f>
        <v/>
      </c>
      <c r="Y3338" s="94">
        <f>IF($A3338="",0,IF(AE3338="직접",IF(AF3338="비귀속",$P3338,0),$P3338*(1-AG3338)*IFERROR(INDEX(계정대체기준!$F$20:$F$49,MATCH($N3338,계정대체기준!$A$20:$A$49,0)),1)))</f>
        <v/>
      </c>
      <c r="Z3338" s="94">
        <f>IF($A3338="",0,IF(AE3338="직접",IF(AF3338="신계약비",$P3338,0),$P3338*(1-AG3338)*IFERROR(INDEX(계정대체기준!$C$20:$C$49,MATCH($N3338,계정대체기준!$A$20:$A$49,0)),0)))</f>
        <v/>
      </c>
      <c r="AA3338" s="94">
        <f>IF($A3338="",0,IF(AE3338="직접",IF(OR(AF3338="유지비",AF3338="손해조사비"),$P3338,0),$P3338*(1-AG3338)*IFERROR(INDEX(계정대체기준!$D$20:$D$49,MATCH($N3338,계정대체기준!$A$20:$A$49,0)),0)))</f>
        <v/>
      </c>
      <c r="AB3338" s="94">
        <f>IF($A3338="",0,IF(AE3338="직접",IF(AF3338="수금비",$P3338,0),$P3338*(1-AG3338)*IFERROR(INDEX(계정대체기준!$E$20:$E$49,MATCH($N3338,계정대체기준!$A$20:$A$49,0)),0)))</f>
        <v/>
      </c>
      <c r="AC3338" s="9">
        <f>IF(AND($A3338&lt;&gt;"",M3338=설정!$C$20,Z3338&gt;0),Z3338+ROW()/1000000000,"")</f>
        <v/>
      </c>
      <c r="AD3338" s="94">
        <f>IF($A3338="",0,$P3338*AG3338)</f>
        <v/>
      </c>
      <c r="AE3338" s="64">
        <f>IF($A3338="","",IFERROR(INDEX(계정매핑!$E$5:$E$504,MATCH($F3338&amp;"",계정매핑!$A$5:$A$504,0))&amp;"","공통비"))</f>
        <v/>
      </c>
      <c r="AF3338" s="64">
        <f>IF($A3338="","",IF(AE3338="직접",IFERROR(INDEX(계정매핑!$F$5:$F$504,MATCH($F3338&amp;"",계정매핑!$A$5:$A$504,0))&amp;"","비귀속"),""))</f>
        <v/>
      </c>
      <c r="AG3338" s="96">
        <f>IF($A3338="",0,IF(AND(AE3338&lt;&gt;"직접",IFERROR(INDEX(계정매핑!$G$5:$G$504,MATCH($F3338&amp;"",계정매핑!$A$5:$A$504,0))&amp;"","")="유지비",COUNTIF(계정대체기준!$A$6:$A$15,$N3338)&gt;0),IFERROR(INDEX(계정대체기준!$E$6:$E$15,MATCH(VALUE($A3338&amp;""),계정대체기준!$D$6:$D$15,0)),0),0))</f>
        <v/>
      </c>
      <c r="AH3338" s="64">
        <f>IF($A3338="","",IF(AD3338=0,"",IF(OR(COUNTIF(계정대체기준!$A$77:$A$86,$N3338)&gt;0,ISNUMBER(MATCH($X3338,계정대체기준!$D$77:$D$86,0)),ISNUMBER(MATCH($F3338,계정대체기준!$D$77:$D$86,0))),"Y","N")))</f>
        <v/>
      </c>
    </row>
    <row r="3339">
      <c r="A3339" s="92" t="n">
        <v>2026</v>
      </c>
      <c r="B3339" s="92" t="n">
        <v>3</v>
      </c>
      <c r="C3339" s="92" t="inlineStr">
        <is>
          <t>5100000617</t>
        </is>
      </c>
      <c r="D3339" s="95" t="n">
        <v>46101</v>
      </c>
      <c r="E3339" s="92" t="inlineStr">
        <is>
          <t>KR</t>
        </is>
      </c>
      <c r="F3339" s="92" t="n">
        <v>62301000</v>
      </c>
      <c r="G3339" s="92" t="n">
        <v>1801</v>
      </c>
      <c r="H3339" s="93" t="n">
        <v>320000</v>
      </c>
      <c r="I3339" s="92" t="inlineStr">
        <is>
          <t>3월 소모품 구입 - Q오피스</t>
        </is>
      </c>
      <c r="J3339" s="92" t="inlineStr">
        <is>
          <t>V10003</t>
        </is>
      </c>
      <c r="K3339" s="92" t="inlineStr">
        <is>
          <t>Q오피스</t>
        </is>
      </c>
      <c r="M3339" s="9">
        <f>IF($A3339="","",VALUE($A3339&amp;"")*12+VALUE($B3339&amp;""))</f>
        <v/>
      </c>
      <c r="N3339" s="64">
        <f>IF($A3339="","",IFERROR(INDEX(부서매핑!$C$5:$C$504,MATCH($G3339&amp;"",부서매핑!$A$5:$A$504,0)),"미매핑"))</f>
        <v/>
      </c>
      <c r="O3339" s="9">
        <f>IF($A3339="","",N3339&amp;"|"&amp;$F3339)</f>
        <v/>
      </c>
      <c r="P3339" s="94">
        <f>IF($A3339="",0,$H3339*설정!$C$23)</f>
        <v/>
      </c>
      <c r="Q3339" s="64">
        <f>IF($A3339="","",IF(O3339&lt;&gt;원인분석!$C$9,"",IF(AND(M3339&gt;=원인분석!$C$10,M3339&lt;=원인분석!$C$11),"당기",IF(AND(M3339&gt;=원인분석!$C$12,M3339&lt;=원인분석!$C$13),"비교",""))))</f>
        <v/>
      </c>
      <c r="R3339" s="9">
        <f>IF(Q3339="","",$K3339&amp;"")</f>
        <v/>
      </c>
      <c r="S3339" s="9">
        <f>IF(Q3339="","",IF(MATCH(R3339,$R$5:$R$100000,0)=ROW()-4,ROW(),""))</f>
        <v/>
      </c>
      <c r="T3339" s="9">
        <f>IF(Q3339="당기",ABS(P3339)+ROW()/1000000000,"")</f>
        <v/>
      </c>
      <c r="U3339" s="9">
        <f>IF(Q3339="비교",ABS(P3339)+ROW()/1000000000,"")</f>
        <v/>
      </c>
      <c r="V3339" s="64">
        <f>IF($A3339="","",IF(COUNTIF(변동분석!$E$7:$E$506,O3339)&gt;0,"Y","N"))</f>
        <v/>
      </c>
      <c r="W3339" s="64">
        <f>IF($A3339="","",IFERROR(INDEX(계정매핑!$D$5:$D$504,MATCH($F3339&amp;"",계정매핑!$A$5:$A$504,0)),"미매핑"))</f>
        <v/>
      </c>
      <c r="X3339" s="9">
        <f>IF($A3339="","",$F3339&amp;"")</f>
        <v/>
      </c>
      <c r="Y3339" s="94">
        <f>IF($A3339="",0,IF(AE3339="직접",IF(AF3339="비귀속",$P3339,0),$P3339*(1-AG3339)*IFERROR(INDEX(계정대체기준!$F$20:$F$49,MATCH($N3339,계정대체기준!$A$20:$A$49,0)),1)))</f>
        <v/>
      </c>
      <c r="Z3339" s="94">
        <f>IF($A3339="",0,IF(AE3339="직접",IF(AF3339="신계약비",$P3339,0),$P3339*(1-AG3339)*IFERROR(INDEX(계정대체기준!$C$20:$C$49,MATCH($N3339,계정대체기준!$A$20:$A$49,0)),0)))</f>
        <v/>
      </c>
      <c r="AA3339" s="94">
        <f>IF($A3339="",0,IF(AE3339="직접",IF(OR(AF3339="유지비",AF3339="손해조사비"),$P3339,0),$P3339*(1-AG3339)*IFERROR(INDEX(계정대체기준!$D$20:$D$49,MATCH($N3339,계정대체기준!$A$20:$A$49,0)),0)))</f>
        <v/>
      </c>
      <c r="AB3339" s="94">
        <f>IF($A3339="",0,IF(AE3339="직접",IF(AF3339="수금비",$P3339,0),$P3339*(1-AG3339)*IFERROR(INDEX(계정대체기준!$E$20:$E$49,MATCH($N3339,계정대체기준!$A$20:$A$49,0)),0)))</f>
        <v/>
      </c>
      <c r="AC3339" s="9">
        <f>IF(AND($A3339&lt;&gt;"",M3339=설정!$C$20,Z3339&gt;0),Z3339+ROW()/1000000000,"")</f>
        <v/>
      </c>
      <c r="AD3339" s="94">
        <f>IF($A3339="",0,$P3339*AG3339)</f>
        <v/>
      </c>
      <c r="AE3339" s="64">
        <f>IF($A3339="","",IFERROR(INDEX(계정매핑!$E$5:$E$504,MATCH($F3339&amp;"",계정매핑!$A$5:$A$504,0))&amp;"","공통비"))</f>
        <v/>
      </c>
      <c r="AF3339" s="64">
        <f>IF($A3339="","",IF(AE3339="직접",IFERROR(INDEX(계정매핑!$F$5:$F$504,MATCH($F3339&amp;"",계정매핑!$A$5:$A$504,0))&amp;"","비귀속"),""))</f>
        <v/>
      </c>
      <c r="AG3339" s="96">
        <f>IF($A3339="",0,IF(AND(AE3339&lt;&gt;"직접",IFERROR(INDEX(계정매핑!$G$5:$G$504,MATCH($F3339&amp;"",계정매핑!$A$5:$A$504,0))&amp;"","")="유지비",COUNTIF(계정대체기준!$A$6:$A$15,$N3339)&gt;0),IFERROR(INDEX(계정대체기준!$E$6:$E$15,MATCH(VALUE($A3339&amp;""),계정대체기준!$D$6:$D$15,0)),0),0))</f>
        <v/>
      </c>
      <c r="AH3339" s="64">
        <f>IF($A3339="","",IF(AD3339=0,"",IF(OR(COUNTIF(계정대체기준!$A$77:$A$86,$N3339)&gt;0,ISNUMBER(MATCH($X3339,계정대체기준!$D$77:$D$86,0)),ISNUMBER(MATCH($F3339,계정대체기준!$D$77:$D$86,0))),"Y","N")))</f>
        <v/>
      </c>
    </row>
    <row r="3340">
      <c r="A3340" s="92" t="n">
        <v>2026</v>
      </c>
      <c r="B3340" s="92" t="n">
        <v>3</v>
      </c>
      <c r="C3340" s="92" t="inlineStr">
        <is>
          <t>5100000618</t>
        </is>
      </c>
      <c r="D3340" s="95" t="n">
        <v>46101</v>
      </c>
      <c r="E3340" s="92" t="inlineStr">
        <is>
          <t>KR</t>
        </is>
      </c>
      <c r="F3340" s="92" t="n">
        <v>62501000</v>
      </c>
      <c r="G3340" s="92" t="n">
        <v>1701</v>
      </c>
      <c r="H3340" s="93" t="n">
        <v>119000</v>
      </c>
      <c r="I3340" s="92" t="inlineStr">
        <is>
          <t>3월 회의 다과 - (법인카드)</t>
        </is>
      </c>
      <c r="J3340" s="92" t="inlineStr">
        <is>
          <t>V10010</t>
        </is>
      </c>
      <c r="K3340" s="92" t="inlineStr">
        <is>
          <t>(법인카드)</t>
        </is>
      </c>
      <c r="M3340" s="9">
        <f>IF($A3340="","",VALUE($A3340&amp;"")*12+VALUE($B3340&amp;""))</f>
        <v/>
      </c>
      <c r="N3340" s="64">
        <f>IF($A3340="","",IFERROR(INDEX(부서매핑!$C$5:$C$504,MATCH($G3340&amp;"",부서매핑!$A$5:$A$504,0)),"미매핑"))</f>
        <v/>
      </c>
      <c r="O3340" s="9">
        <f>IF($A3340="","",N3340&amp;"|"&amp;$F3340)</f>
        <v/>
      </c>
      <c r="P3340" s="94">
        <f>IF($A3340="",0,$H3340*설정!$C$23)</f>
        <v/>
      </c>
      <c r="Q3340" s="64">
        <f>IF($A3340="","",IF(O3340&lt;&gt;원인분석!$C$9,"",IF(AND(M3340&gt;=원인분석!$C$10,M3340&lt;=원인분석!$C$11),"당기",IF(AND(M3340&gt;=원인분석!$C$12,M3340&lt;=원인분석!$C$13),"비교",""))))</f>
        <v/>
      </c>
      <c r="R3340" s="9">
        <f>IF(Q3340="","",$K3340&amp;"")</f>
        <v/>
      </c>
      <c r="S3340" s="9">
        <f>IF(Q3340="","",IF(MATCH(R3340,$R$5:$R$100000,0)=ROW()-4,ROW(),""))</f>
        <v/>
      </c>
      <c r="T3340" s="9">
        <f>IF(Q3340="당기",ABS(P3340)+ROW()/1000000000,"")</f>
        <v/>
      </c>
      <c r="U3340" s="9">
        <f>IF(Q3340="비교",ABS(P3340)+ROW()/1000000000,"")</f>
        <v/>
      </c>
      <c r="V3340" s="64">
        <f>IF($A3340="","",IF(COUNTIF(변동분석!$E$7:$E$506,O3340)&gt;0,"Y","N"))</f>
        <v/>
      </c>
      <c r="W3340" s="64">
        <f>IF($A3340="","",IFERROR(INDEX(계정매핑!$D$5:$D$504,MATCH($F3340&amp;"",계정매핑!$A$5:$A$504,0)),"미매핑"))</f>
        <v/>
      </c>
      <c r="X3340" s="9">
        <f>IF($A3340="","",$F3340&amp;"")</f>
        <v/>
      </c>
      <c r="Y3340" s="94">
        <f>IF($A3340="",0,IF(AE3340="직접",IF(AF3340="비귀속",$P3340,0),$P3340*(1-AG3340)*IFERROR(INDEX(계정대체기준!$F$20:$F$49,MATCH($N3340,계정대체기준!$A$20:$A$49,0)),1)))</f>
        <v/>
      </c>
      <c r="Z3340" s="94">
        <f>IF($A3340="",0,IF(AE3340="직접",IF(AF3340="신계약비",$P3340,0),$P3340*(1-AG3340)*IFERROR(INDEX(계정대체기준!$C$20:$C$49,MATCH($N3340,계정대체기준!$A$20:$A$49,0)),0)))</f>
        <v/>
      </c>
      <c r="AA3340" s="94">
        <f>IF($A3340="",0,IF(AE3340="직접",IF(OR(AF3340="유지비",AF3340="손해조사비"),$P3340,0),$P3340*(1-AG3340)*IFERROR(INDEX(계정대체기준!$D$20:$D$49,MATCH($N3340,계정대체기준!$A$20:$A$49,0)),0)))</f>
        <v/>
      </c>
      <c r="AB3340" s="94">
        <f>IF($A3340="",0,IF(AE3340="직접",IF(AF3340="수금비",$P3340,0),$P3340*(1-AG3340)*IFERROR(INDEX(계정대체기준!$E$20:$E$49,MATCH($N3340,계정대체기준!$A$20:$A$49,0)),0)))</f>
        <v/>
      </c>
      <c r="AC3340" s="9">
        <f>IF(AND($A3340&lt;&gt;"",M3340=설정!$C$20,Z3340&gt;0),Z3340+ROW()/1000000000,"")</f>
        <v/>
      </c>
      <c r="AD3340" s="94">
        <f>IF($A3340="",0,$P3340*AG3340)</f>
        <v/>
      </c>
      <c r="AE3340" s="64">
        <f>IF($A3340="","",IFERROR(INDEX(계정매핑!$E$5:$E$504,MATCH($F3340&amp;"",계정매핑!$A$5:$A$504,0))&amp;"","공통비"))</f>
        <v/>
      </c>
      <c r="AF3340" s="64">
        <f>IF($A3340="","",IF(AE3340="직접",IFERROR(INDEX(계정매핑!$F$5:$F$504,MATCH($F3340&amp;"",계정매핑!$A$5:$A$504,0))&amp;"","비귀속"),""))</f>
        <v/>
      </c>
      <c r="AG3340" s="96">
        <f>IF($A3340="",0,IF(AND(AE3340&lt;&gt;"직접",IFERROR(INDEX(계정매핑!$G$5:$G$504,MATCH($F3340&amp;"",계정매핑!$A$5:$A$504,0))&amp;"","")="유지비",COUNTIF(계정대체기준!$A$6:$A$15,$N3340)&gt;0),IFERROR(INDEX(계정대체기준!$E$6:$E$15,MATCH(VALUE($A3340&amp;""),계정대체기준!$D$6:$D$15,0)),0),0))</f>
        <v/>
      </c>
      <c r="AH3340" s="64">
        <f>IF($A3340="","",IF(AD3340=0,"",IF(OR(COUNTIF(계정대체기준!$A$77:$A$86,$N3340)&gt;0,ISNUMBER(MATCH($X3340,계정대체기준!$D$77:$D$86,0)),ISNUMBER(MATCH($F3340,계정대체기준!$D$77:$D$86,0))),"Y","N")))</f>
        <v/>
      </c>
    </row>
    <row r="3341">
      <c r="A3341" s="92" t="n">
        <v>2026</v>
      </c>
      <c r="B3341" s="92" t="n">
        <v>3</v>
      </c>
      <c r="C3341" s="92" t="inlineStr">
        <is>
          <t>5100000619</t>
        </is>
      </c>
      <c r="D3341" s="95" t="n">
        <v>46101</v>
      </c>
      <c r="E3341" s="92" t="inlineStr">
        <is>
          <t>KR</t>
        </is>
      </c>
      <c r="F3341" s="92" t="n">
        <v>62601000</v>
      </c>
      <c r="G3341" s="92" t="n">
        <v>1301</v>
      </c>
      <c r="H3341" s="93" t="n">
        <v>1698000</v>
      </c>
      <c r="I3341" s="92" t="inlineStr">
        <is>
          <t>3월 업무추진 - (법인카드)</t>
        </is>
      </c>
      <c r="J3341" s="92" t="inlineStr">
        <is>
          <t>V10010</t>
        </is>
      </c>
      <c r="K3341" s="92" t="inlineStr">
        <is>
          <t>(법인카드)</t>
        </is>
      </c>
      <c r="M3341" s="9">
        <f>IF($A3341="","",VALUE($A3341&amp;"")*12+VALUE($B3341&amp;""))</f>
        <v/>
      </c>
      <c r="N3341" s="64">
        <f>IF($A3341="","",IFERROR(INDEX(부서매핑!$C$5:$C$504,MATCH($G3341&amp;"",부서매핑!$A$5:$A$504,0)),"미매핑"))</f>
        <v/>
      </c>
      <c r="O3341" s="9">
        <f>IF($A3341="","",N3341&amp;"|"&amp;$F3341)</f>
        <v/>
      </c>
      <c r="P3341" s="94">
        <f>IF($A3341="",0,$H3341*설정!$C$23)</f>
        <v/>
      </c>
      <c r="Q3341" s="64">
        <f>IF($A3341="","",IF(O3341&lt;&gt;원인분석!$C$9,"",IF(AND(M3341&gt;=원인분석!$C$10,M3341&lt;=원인분석!$C$11),"당기",IF(AND(M3341&gt;=원인분석!$C$12,M3341&lt;=원인분석!$C$13),"비교",""))))</f>
        <v/>
      </c>
      <c r="R3341" s="9">
        <f>IF(Q3341="","",$K3341&amp;"")</f>
        <v/>
      </c>
      <c r="S3341" s="9">
        <f>IF(Q3341="","",IF(MATCH(R3341,$R$5:$R$100000,0)=ROW()-4,ROW(),""))</f>
        <v/>
      </c>
      <c r="T3341" s="9">
        <f>IF(Q3341="당기",ABS(P3341)+ROW()/1000000000,"")</f>
        <v/>
      </c>
      <c r="U3341" s="9">
        <f>IF(Q3341="비교",ABS(P3341)+ROW()/1000000000,"")</f>
        <v/>
      </c>
      <c r="V3341" s="64">
        <f>IF($A3341="","",IF(COUNTIF(변동분석!$E$7:$E$506,O3341)&gt;0,"Y","N"))</f>
        <v/>
      </c>
      <c r="W3341" s="64">
        <f>IF($A3341="","",IFERROR(INDEX(계정매핑!$D$5:$D$504,MATCH($F3341&amp;"",계정매핑!$A$5:$A$504,0)),"미매핑"))</f>
        <v/>
      </c>
      <c r="X3341" s="9">
        <f>IF($A3341="","",$F3341&amp;"")</f>
        <v/>
      </c>
      <c r="Y3341" s="94">
        <f>IF($A3341="",0,IF(AE3341="직접",IF(AF3341="비귀속",$P3341,0),$P3341*(1-AG3341)*IFERROR(INDEX(계정대체기준!$F$20:$F$49,MATCH($N3341,계정대체기준!$A$20:$A$49,0)),1)))</f>
        <v/>
      </c>
      <c r="Z3341" s="94">
        <f>IF($A3341="",0,IF(AE3341="직접",IF(AF3341="신계약비",$P3341,0),$P3341*(1-AG3341)*IFERROR(INDEX(계정대체기준!$C$20:$C$49,MATCH($N3341,계정대체기준!$A$20:$A$49,0)),0)))</f>
        <v/>
      </c>
      <c r="AA3341" s="94">
        <f>IF($A3341="",0,IF(AE3341="직접",IF(OR(AF3341="유지비",AF3341="손해조사비"),$P3341,0),$P3341*(1-AG3341)*IFERROR(INDEX(계정대체기준!$D$20:$D$49,MATCH($N3341,계정대체기준!$A$20:$A$49,0)),0)))</f>
        <v/>
      </c>
      <c r="AB3341" s="94">
        <f>IF($A3341="",0,IF(AE3341="직접",IF(AF3341="수금비",$P3341,0),$P3341*(1-AG3341)*IFERROR(INDEX(계정대체기준!$E$20:$E$49,MATCH($N3341,계정대체기준!$A$20:$A$49,0)),0)))</f>
        <v/>
      </c>
      <c r="AC3341" s="9">
        <f>IF(AND($A3341&lt;&gt;"",M3341=설정!$C$20,Z3341&gt;0),Z3341+ROW()/1000000000,"")</f>
        <v/>
      </c>
      <c r="AD3341" s="94">
        <f>IF($A3341="",0,$P3341*AG3341)</f>
        <v/>
      </c>
      <c r="AE3341" s="64">
        <f>IF($A3341="","",IFERROR(INDEX(계정매핑!$E$5:$E$504,MATCH($F3341&amp;"",계정매핑!$A$5:$A$504,0))&amp;"","공통비"))</f>
        <v/>
      </c>
      <c r="AF3341" s="64">
        <f>IF($A3341="","",IF(AE3341="직접",IFERROR(INDEX(계정매핑!$F$5:$F$504,MATCH($F3341&amp;"",계정매핑!$A$5:$A$504,0))&amp;"","비귀속"),""))</f>
        <v/>
      </c>
      <c r="AG3341" s="96">
        <f>IF($A3341="",0,IF(AND(AE3341&lt;&gt;"직접",IFERROR(INDEX(계정매핑!$G$5:$G$504,MATCH($F3341&amp;"",계정매핑!$A$5:$A$504,0))&amp;"","")="유지비",COUNTIF(계정대체기준!$A$6:$A$15,$N3341)&gt;0),IFERROR(INDEX(계정대체기준!$E$6:$E$15,MATCH(VALUE($A3341&amp;""),계정대체기준!$D$6:$D$15,0)),0),0))</f>
        <v/>
      </c>
      <c r="AH3341" s="64">
        <f>IF($A3341="","",IF(AD3341=0,"",IF(OR(COUNTIF(계정대체기준!$A$77:$A$86,$N3341)&gt;0,ISNUMBER(MATCH($X3341,계정대체기준!$D$77:$D$86,0)),ISNUMBER(MATCH($F3341,계정대체기준!$D$77:$D$86,0))),"Y","N")))</f>
        <v/>
      </c>
    </row>
    <row r="3342">
      <c r="A3342" s="92" t="n">
        <v>2026</v>
      </c>
      <c r="B3342" s="92" t="n">
        <v>3</v>
      </c>
      <c r="C3342" s="92" t="inlineStr">
        <is>
          <t>5100000620</t>
        </is>
      </c>
      <c r="D3342" s="95" t="n">
        <v>46101</v>
      </c>
      <c r="E3342" s="92" t="inlineStr">
        <is>
          <t>KR</t>
        </is>
      </c>
      <c r="F3342" s="92" t="n">
        <v>62901000</v>
      </c>
      <c r="G3342" s="92" t="n">
        <v>1951</v>
      </c>
      <c r="H3342" s="93" t="n">
        <v>6577000</v>
      </c>
      <c r="I3342" s="92" t="inlineStr">
        <is>
          <t>3월 자문 수수료 - K회계법인</t>
        </is>
      </c>
      <c r="J3342" s="92" t="inlineStr">
        <is>
          <t>V10011</t>
        </is>
      </c>
      <c r="K3342" s="92" t="inlineStr">
        <is>
          <t>K회계법인</t>
        </is>
      </c>
      <c r="M3342" s="9">
        <f>IF($A3342="","",VALUE($A3342&amp;"")*12+VALUE($B3342&amp;""))</f>
        <v/>
      </c>
      <c r="N3342" s="64">
        <f>IF($A3342="","",IFERROR(INDEX(부서매핑!$C$5:$C$504,MATCH($G3342&amp;"",부서매핑!$A$5:$A$504,0)),"미매핑"))</f>
        <v/>
      </c>
      <c r="O3342" s="9">
        <f>IF($A3342="","",N3342&amp;"|"&amp;$F3342)</f>
        <v/>
      </c>
      <c r="P3342" s="94">
        <f>IF($A3342="",0,$H3342*설정!$C$23)</f>
        <v/>
      </c>
      <c r="Q3342" s="64">
        <f>IF($A3342="","",IF(O3342&lt;&gt;원인분석!$C$9,"",IF(AND(M3342&gt;=원인분석!$C$10,M3342&lt;=원인분석!$C$11),"당기",IF(AND(M3342&gt;=원인분석!$C$12,M3342&lt;=원인분석!$C$13),"비교",""))))</f>
        <v/>
      </c>
      <c r="R3342" s="9">
        <f>IF(Q3342="","",$K3342&amp;"")</f>
        <v/>
      </c>
      <c r="S3342" s="9">
        <f>IF(Q3342="","",IF(MATCH(R3342,$R$5:$R$100000,0)=ROW()-4,ROW(),""))</f>
        <v/>
      </c>
      <c r="T3342" s="9">
        <f>IF(Q3342="당기",ABS(P3342)+ROW()/1000000000,"")</f>
        <v/>
      </c>
      <c r="U3342" s="9">
        <f>IF(Q3342="비교",ABS(P3342)+ROW()/1000000000,"")</f>
        <v/>
      </c>
      <c r="V3342" s="64">
        <f>IF($A3342="","",IF(COUNTIF(변동분석!$E$7:$E$506,O3342)&gt;0,"Y","N"))</f>
        <v/>
      </c>
      <c r="W3342" s="64">
        <f>IF($A3342="","",IFERROR(INDEX(계정매핑!$D$5:$D$504,MATCH($F3342&amp;"",계정매핑!$A$5:$A$504,0)),"미매핑"))</f>
        <v/>
      </c>
      <c r="X3342" s="9">
        <f>IF($A3342="","",$F3342&amp;"")</f>
        <v/>
      </c>
      <c r="Y3342" s="94">
        <f>IF($A3342="",0,IF(AE3342="직접",IF(AF3342="비귀속",$P3342,0),$P3342*(1-AG3342)*IFERROR(INDEX(계정대체기준!$F$20:$F$49,MATCH($N3342,계정대체기준!$A$20:$A$49,0)),1)))</f>
        <v/>
      </c>
      <c r="Z3342" s="94">
        <f>IF($A3342="",0,IF(AE3342="직접",IF(AF3342="신계약비",$P3342,0),$P3342*(1-AG3342)*IFERROR(INDEX(계정대체기준!$C$20:$C$49,MATCH($N3342,계정대체기준!$A$20:$A$49,0)),0)))</f>
        <v/>
      </c>
      <c r="AA3342" s="94">
        <f>IF($A3342="",0,IF(AE3342="직접",IF(OR(AF3342="유지비",AF3342="손해조사비"),$P3342,0),$P3342*(1-AG3342)*IFERROR(INDEX(계정대체기준!$D$20:$D$49,MATCH($N3342,계정대체기준!$A$20:$A$49,0)),0)))</f>
        <v/>
      </c>
      <c r="AB3342" s="94">
        <f>IF($A3342="",0,IF(AE3342="직접",IF(AF3342="수금비",$P3342,0),$P3342*(1-AG3342)*IFERROR(INDEX(계정대체기준!$E$20:$E$49,MATCH($N3342,계정대체기준!$A$20:$A$49,0)),0)))</f>
        <v/>
      </c>
      <c r="AC3342" s="9">
        <f>IF(AND($A3342&lt;&gt;"",M3342=설정!$C$20,Z3342&gt;0),Z3342+ROW()/1000000000,"")</f>
        <v/>
      </c>
      <c r="AD3342" s="94">
        <f>IF($A3342="",0,$P3342*AG3342)</f>
        <v/>
      </c>
      <c r="AE3342" s="64">
        <f>IF($A3342="","",IFERROR(INDEX(계정매핑!$E$5:$E$504,MATCH($F3342&amp;"",계정매핑!$A$5:$A$504,0))&amp;"","공통비"))</f>
        <v/>
      </c>
      <c r="AF3342" s="64">
        <f>IF($A3342="","",IF(AE3342="직접",IFERROR(INDEX(계정매핑!$F$5:$F$504,MATCH($F3342&amp;"",계정매핑!$A$5:$A$504,0))&amp;"","비귀속"),""))</f>
        <v/>
      </c>
      <c r="AG3342" s="96">
        <f>IF($A3342="",0,IF(AND(AE3342&lt;&gt;"직접",IFERROR(INDEX(계정매핑!$G$5:$G$504,MATCH($F3342&amp;"",계정매핑!$A$5:$A$504,0))&amp;"","")="유지비",COUNTIF(계정대체기준!$A$6:$A$15,$N3342)&gt;0),IFERROR(INDEX(계정대체기준!$E$6:$E$15,MATCH(VALUE($A3342&amp;""),계정대체기준!$D$6:$D$15,0)),0),0))</f>
        <v/>
      </c>
      <c r="AH3342" s="64">
        <f>IF($A3342="","",IF(AD3342=0,"",IF(OR(COUNTIF(계정대체기준!$A$77:$A$86,$N3342)&gt;0,ISNUMBER(MATCH($X3342,계정대체기준!$D$77:$D$86,0)),ISNUMBER(MATCH($F3342,계정대체기준!$D$77:$D$86,0))),"Y","N")))</f>
        <v/>
      </c>
    </row>
    <row r="3343">
      <c r="A3343" s="92" t="n">
        <v>2026</v>
      </c>
      <c r="B3343" s="92" t="n">
        <v>3</v>
      </c>
      <c r="C3343" s="92" t="inlineStr">
        <is>
          <t>5100000621</t>
        </is>
      </c>
      <c r="D3343" s="95" t="n">
        <v>46101</v>
      </c>
      <c r="E3343" s="92" t="inlineStr">
        <is>
          <t>KR</t>
        </is>
      </c>
      <c r="F3343" s="92" t="n">
        <v>63001000</v>
      </c>
      <c r="G3343" s="92" t="n">
        <v>1951</v>
      </c>
      <c r="H3343" s="93" t="n">
        <v>1893000</v>
      </c>
      <c r="I3343" s="92" t="inlineStr">
        <is>
          <t>3월 SW 유지보수 - Z시스템</t>
        </is>
      </c>
      <c r="J3343" s="92" t="inlineStr">
        <is>
          <t>V10012</t>
        </is>
      </c>
      <c r="K3343" s="92" t="inlineStr">
        <is>
          <t>Z시스템</t>
        </is>
      </c>
      <c r="M3343" s="9">
        <f>IF($A3343="","",VALUE($A3343&amp;"")*12+VALUE($B3343&amp;""))</f>
        <v/>
      </c>
      <c r="N3343" s="64">
        <f>IF($A3343="","",IFERROR(INDEX(부서매핑!$C$5:$C$504,MATCH($G3343&amp;"",부서매핑!$A$5:$A$504,0)),"미매핑"))</f>
        <v/>
      </c>
      <c r="O3343" s="9">
        <f>IF($A3343="","",N3343&amp;"|"&amp;$F3343)</f>
        <v/>
      </c>
      <c r="P3343" s="94">
        <f>IF($A3343="",0,$H3343*설정!$C$23)</f>
        <v/>
      </c>
      <c r="Q3343" s="64">
        <f>IF($A3343="","",IF(O3343&lt;&gt;원인분석!$C$9,"",IF(AND(M3343&gt;=원인분석!$C$10,M3343&lt;=원인분석!$C$11),"당기",IF(AND(M3343&gt;=원인분석!$C$12,M3343&lt;=원인분석!$C$13),"비교",""))))</f>
        <v/>
      </c>
      <c r="R3343" s="9">
        <f>IF(Q3343="","",$K3343&amp;"")</f>
        <v/>
      </c>
      <c r="S3343" s="9">
        <f>IF(Q3343="","",IF(MATCH(R3343,$R$5:$R$100000,0)=ROW()-4,ROW(),""))</f>
        <v/>
      </c>
      <c r="T3343" s="9">
        <f>IF(Q3343="당기",ABS(P3343)+ROW()/1000000000,"")</f>
        <v/>
      </c>
      <c r="U3343" s="9">
        <f>IF(Q3343="비교",ABS(P3343)+ROW()/1000000000,"")</f>
        <v/>
      </c>
      <c r="V3343" s="64">
        <f>IF($A3343="","",IF(COUNTIF(변동분석!$E$7:$E$506,O3343)&gt;0,"Y","N"))</f>
        <v/>
      </c>
      <c r="W3343" s="64">
        <f>IF($A3343="","",IFERROR(INDEX(계정매핑!$D$5:$D$504,MATCH($F3343&amp;"",계정매핑!$A$5:$A$504,0)),"미매핑"))</f>
        <v/>
      </c>
      <c r="X3343" s="9">
        <f>IF($A3343="","",$F3343&amp;"")</f>
        <v/>
      </c>
      <c r="Y3343" s="94">
        <f>IF($A3343="",0,IF(AE3343="직접",IF(AF3343="비귀속",$P3343,0),$P3343*(1-AG3343)*IFERROR(INDEX(계정대체기준!$F$20:$F$49,MATCH($N3343,계정대체기준!$A$20:$A$49,0)),1)))</f>
        <v/>
      </c>
      <c r="Z3343" s="94">
        <f>IF($A3343="",0,IF(AE3343="직접",IF(AF3343="신계약비",$P3343,0),$P3343*(1-AG3343)*IFERROR(INDEX(계정대체기준!$C$20:$C$49,MATCH($N3343,계정대체기준!$A$20:$A$49,0)),0)))</f>
        <v/>
      </c>
      <c r="AA3343" s="94">
        <f>IF($A3343="",0,IF(AE3343="직접",IF(OR(AF3343="유지비",AF3343="손해조사비"),$P3343,0),$P3343*(1-AG3343)*IFERROR(INDEX(계정대체기준!$D$20:$D$49,MATCH($N3343,계정대체기준!$A$20:$A$49,0)),0)))</f>
        <v/>
      </c>
      <c r="AB3343" s="94">
        <f>IF($A3343="",0,IF(AE3343="직접",IF(AF3343="수금비",$P3343,0),$P3343*(1-AG3343)*IFERROR(INDEX(계정대체기준!$E$20:$E$49,MATCH($N3343,계정대체기준!$A$20:$A$49,0)),0)))</f>
        <v/>
      </c>
      <c r="AC3343" s="9">
        <f>IF(AND($A3343&lt;&gt;"",M3343=설정!$C$20,Z3343&gt;0),Z3343+ROW()/1000000000,"")</f>
        <v/>
      </c>
      <c r="AD3343" s="94">
        <f>IF($A3343="",0,$P3343*AG3343)</f>
        <v/>
      </c>
      <c r="AE3343" s="64">
        <f>IF($A3343="","",IFERROR(INDEX(계정매핑!$E$5:$E$504,MATCH($F3343&amp;"",계정매핑!$A$5:$A$504,0))&amp;"","공통비"))</f>
        <v/>
      </c>
      <c r="AF3343" s="64">
        <f>IF($A3343="","",IF(AE3343="직접",IFERROR(INDEX(계정매핑!$F$5:$F$504,MATCH($F3343&amp;"",계정매핑!$A$5:$A$504,0))&amp;"","비귀속"),""))</f>
        <v/>
      </c>
      <c r="AG3343" s="96">
        <f>IF($A3343="",0,IF(AND(AE3343&lt;&gt;"직접",IFERROR(INDEX(계정매핑!$G$5:$G$504,MATCH($F3343&amp;"",계정매핑!$A$5:$A$504,0))&amp;"","")="유지비",COUNTIF(계정대체기준!$A$6:$A$15,$N3343)&gt;0),IFERROR(INDEX(계정대체기준!$E$6:$E$15,MATCH(VALUE($A3343&amp;""),계정대체기준!$D$6:$D$15,0)),0),0))</f>
        <v/>
      </c>
      <c r="AH3343" s="64">
        <f>IF($A3343="","",IF(AD3343=0,"",IF(OR(COUNTIF(계정대체기준!$A$77:$A$86,$N3343)&gt;0,ISNUMBER(MATCH($X3343,계정대체기준!$D$77:$D$86,0)),ISNUMBER(MATCH($F3343,계정대체기준!$D$77:$D$86,0))),"Y","N")))</f>
        <v/>
      </c>
    </row>
    <row r="3344">
      <c r="A3344" s="92" t="n">
        <v>2026</v>
      </c>
      <c r="B3344" s="92" t="n">
        <v>3</v>
      </c>
      <c r="C3344" s="92" t="inlineStr">
        <is>
          <t>5100000622</t>
        </is>
      </c>
      <c r="D3344" s="95" t="n">
        <v>46101</v>
      </c>
      <c r="E3344" s="92" t="inlineStr">
        <is>
          <t>KR</t>
        </is>
      </c>
      <c r="F3344" s="92" t="n">
        <v>63601000</v>
      </c>
      <c r="G3344" s="92" t="n">
        <v>1801</v>
      </c>
      <c r="H3344" s="93" t="n">
        <v>7780000</v>
      </c>
      <c r="I3344" s="92" t="inlineStr">
        <is>
          <t>3월 손해사정 수수료 - EE손해사정</t>
        </is>
      </c>
      <c r="J3344" s="92" t="inlineStr">
        <is>
          <t>V10008</t>
        </is>
      </c>
      <c r="K3344" s="92" t="inlineStr">
        <is>
          <t>EE손해사정</t>
        </is>
      </c>
      <c r="M3344" s="9">
        <f>IF($A3344="","",VALUE($A3344&amp;"")*12+VALUE($B3344&amp;""))</f>
        <v/>
      </c>
      <c r="N3344" s="64">
        <f>IF($A3344="","",IFERROR(INDEX(부서매핑!$C$5:$C$504,MATCH($G3344&amp;"",부서매핑!$A$5:$A$504,0)),"미매핑"))</f>
        <v/>
      </c>
      <c r="O3344" s="9">
        <f>IF($A3344="","",N3344&amp;"|"&amp;$F3344)</f>
        <v/>
      </c>
      <c r="P3344" s="94">
        <f>IF($A3344="",0,$H3344*설정!$C$23)</f>
        <v/>
      </c>
      <c r="Q3344" s="64">
        <f>IF($A3344="","",IF(O3344&lt;&gt;원인분석!$C$9,"",IF(AND(M3344&gt;=원인분석!$C$10,M3344&lt;=원인분석!$C$11),"당기",IF(AND(M3344&gt;=원인분석!$C$12,M3344&lt;=원인분석!$C$13),"비교",""))))</f>
        <v/>
      </c>
      <c r="R3344" s="9">
        <f>IF(Q3344="","",$K3344&amp;"")</f>
        <v/>
      </c>
      <c r="S3344" s="9">
        <f>IF(Q3344="","",IF(MATCH(R3344,$R$5:$R$100000,0)=ROW()-4,ROW(),""))</f>
        <v/>
      </c>
      <c r="T3344" s="9">
        <f>IF(Q3344="당기",ABS(P3344)+ROW()/1000000000,"")</f>
        <v/>
      </c>
      <c r="U3344" s="9">
        <f>IF(Q3344="비교",ABS(P3344)+ROW()/1000000000,"")</f>
        <v/>
      </c>
      <c r="V3344" s="64">
        <f>IF($A3344="","",IF(COUNTIF(변동분석!$E$7:$E$506,O3344)&gt;0,"Y","N"))</f>
        <v/>
      </c>
      <c r="W3344" s="64">
        <f>IF($A3344="","",IFERROR(INDEX(계정매핑!$D$5:$D$504,MATCH($F3344&amp;"",계정매핑!$A$5:$A$504,0)),"미매핑"))</f>
        <v/>
      </c>
      <c r="X3344" s="9">
        <f>IF($A3344="","",$F3344&amp;"")</f>
        <v/>
      </c>
      <c r="Y3344" s="94">
        <f>IF($A3344="",0,IF(AE3344="직접",IF(AF3344="비귀속",$P3344,0),$P3344*(1-AG3344)*IFERROR(INDEX(계정대체기준!$F$20:$F$49,MATCH($N3344,계정대체기준!$A$20:$A$49,0)),1)))</f>
        <v/>
      </c>
      <c r="Z3344" s="94">
        <f>IF($A3344="",0,IF(AE3344="직접",IF(AF3344="신계약비",$P3344,0),$P3344*(1-AG3344)*IFERROR(INDEX(계정대체기준!$C$20:$C$49,MATCH($N3344,계정대체기준!$A$20:$A$49,0)),0)))</f>
        <v/>
      </c>
      <c r="AA3344" s="94">
        <f>IF($A3344="",0,IF(AE3344="직접",IF(OR(AF3344="유지비",AF3344="손해조사비"),$P3344,0),$P3344*(1-AG3344)*IFERROR(INDEX(계정대체기준!$D$20:$D$49,MATCH($N3344,계정대체기준!$A$20:$A$49,0)),0)))</f>
        <v/>
      </c>
      <c r="AB3344" s="94">
        <f>IF($A3344="",0,IF(AE3344="직접",IF(AF3344="수금비",$P3344,0),$P3344*(1-AG3344)*IFERROR(INDEX(계정대체기준!$E$20:$E$49,MATCH($N3344,계정대체기준!$A$20:$A$49,0)),0)))</f>
        <v/>
      </c>
      <c r="AC3344" s="9">
        <f>IF(AND($A3344&lt;&gt;"",M3344=설정!$C$20,Z3344&gt;0),Z3344+ROW()/1000000000,"")</f>
        <v/>
      </c>
      <c r="AD3344" s="94">
        <f>IF($A3344="",0,$P3344*AG3344)</f>
        <v/>
      </c>
      <c r="AE3344" s="64">
        <f>IF($A3344="","",IFERROR(INDEX(계정매핑!$E$5:$E$504,MATCH($F3344&amp;"",계정매핑!$A$5:$A$504,0))&amp;"","공통비"))</f>
        <v/>
      </c>
      <c r="AF3344" s="64">
        <f>IF($A3344="","",IF(AE3344="직접",IFERROR(INDEX(계정매핑!$F$5:$F$504,MATCH($F3344&amp;"",계정매핑!$A$5:$A$504,0))&amp;"","비귀속"),""))</f>
        <v/>
      </c>
      <c r="AG3344" s="96">
        <f>IF($A3344="",0,IF(AND(AE3344&lt;&gt;"직접",IFERROR(INDEX(계정매핑!$G$5:$G$504,MATCH($F3344&amp;"",계정매핑!$A$5:$A$504,0))&amp;"","")="유지비",COUNTIF(계정대체기준!$A$6:$A$15,$N3344)&gt;0),IFERROR(INDEX(계정대체기준!$E$6:$E$15,MATCH(VALUE($A3344&amp;""),계정대체기준!$D$6:$D$15,0)),0),0))</f>
        <v/>
      </c>
      <c r="AH3344" s="64">
        <f>IF($A3344="","",IF(AD3344=0,"",IF(OR(COUNTIF(계정대체기준!$A$77:$A$86,$N3344)&gt;0,ISNUMBER(MATCH($X3344,계정대체기준!$D$77:$D$86,0)),ISNUMBER(MATCH($F3344,계정대체기준!$D$77:$D$86,0))),"Y","N")))</f>
        <v/>
      </c>
    </row>
    <row r="3345">
      <c r="A3345" s="92" t="n">
        <v>2026</v>
      </c>
      <c r="B3345" s="92" t="n">
        <v>3</v>
      </c>
      <c r="C3345" s="92" t="inlineStr">
        <is>
          <t>5100000623</t>
        </is>
      </c>
      <c r="D3345" s="95" t="n">
        <v>46102</v>
      </c>
      <c r="E3345" s="92" t="inlineStr">
        <is>
          <t>KR</t>
        </is>
      </c>
      <c r="F3345" s="92" t="n">
        <v>62101000</v>
      </c>
      <c r="G3345" s="92" t="n">
        <v>1701</v>
      </c>
      <c r="H3345" s="93" t="n">
        <v>124000</v>
      </c>
      <c r="I3345" s="92" t="inlineStr">
        <is>
          <t>3월 국내출장 - L여행사</t>
        </is>
      </c>
      <c r="J3345" s="92" t="inlineStr">
        <is>
          <t>V10018</t>
        </is>
      </c>
      <c r="K3345" s="92" t="inlineStr">
        <is>
          <t>L여행사</t>
        </is>
      </c>
      <c r="M3345" s="9">
        <f>IF($A3345="","",VALUE($A3345&amp;"")*12+VALUE($B3345&amp;""))</f>
        <v/>
      </c>
      <c r="N3345" s="64">
        <f>IF($A3345="","",IFERROR(INDEX(부서매핑!$C$5:$C$504,MATCH($G3345&amp;"",부서매핑!$A$5:$A$504,0)),"미매핑"))</f>
        <v/>
      </c>
      <c r="O3345" s="9">
        <f>IF($A3345="","",N3345&amp;"|"&amp;$F3345)</f>
        <v/>
      </c>
      <c r="P3345" s="94">
        <f>IF($A3345="",0,$H3345*설정!$C$23)</f>
        <v/>
      </c>
      <c r="Q3345" s="64">
        <f>IF($A3345="","",IF(O3345&lt;&gt;원인분석!$C$9,"",IF(AND(M3345&gt;=원인분석!$C$10,M3345&lt;=원인분석!$C$11),"당기",IF(AND(M3345&gt;=원인분석!$C$12,M3345&lt;=원인분석!$C$13),"비교",""))))</f>
        <v/>
      </c>
      <c r="R3345" s="9">
        <f>IF(Q3345="","",$K3345&amp;"")</f>
        <v/>
      </c>
      <c r="S3345" s="9">
        <f>IF(Q3345="","",IF(MATCH(R3345,$R$5:$R$100000,0)=ROW()-4,ROW(),""))</f>
        <v/>
      </c>
      <c r="T3345" s="9">
        <f>IF(Q3345="당기",ABS(P3345)+ROW()/1000000000,"")</f>
        <v/>
      </c>
      <c r="U3345" s="9">
        <f>IF(Q3345="비교",ABS(P3345)+ROW()/1000000000,"")</f>
        <v/>
      </c>
      <c r="V3345" s="64">
        <f>IF($A3345="","",IF(COUNTIF(변동분석!$E$7:$E$506,O3345)&gt;0,"Y","N"))</f>
        <v/>
      </c>
      <c r="W3345" s="64">
        <f>IF($A3345="","",IFERROR(INDEX(계정매핑!$D$5:$D$504,MATCH($F3345&amp;"",계정매핑!$A$5:$A$504,0)),"미매핑"))</f>
        <v/>
      </c>
      <c r="X3345" s="9">
        <f>IF($A3345="","",$F3345&amp;"")</f>
        <v/>
      </c>
      <c r="Y3345" s="94">
        <f>IF($A3345="",0,IF(AE3345="직접",IF(AF3345="비귀속",$P3345,0),$P3345*(1-AG3345)*IFERROR(INDEX(계정대체기준!$F$20:$F$49,MATCH($N3345,계정대체기준!$A$20:$A$49,0)),1)))</f>
        <v/>
      </c>
      <c r="Z3345" s="94">
        <f>IF($A3345="",0,IF(AE3345="직접",IF(AF3345="신계약비",$P3345,0),$P3345*(1-AG3345)*IFERROR(INDEX(계정대체기준!$C$20:$C$49,MATCH($N3345,계정대체기준!$A$20:$A$49,0)),0)))</f>
        <v/>
      </c>
      <c r="AA3345" s="94">
        <f>IF($A3345="",0,IF(AE3345="직접",IF(OR(AF3345="유지비",AF3345="손해조사비"),$P3345,0),$P3345*(1-AG3345)*IFERROR(INDEX(계정대체기준!$D$20:$D$49,MATCH($N3345,계정대체기준!$A$20:$A$49,0)),0)))</f>
        <v/>
      </c>
      <c r="AB3345" s="94">
        <f>IF($A3345="",0,IF(AE3345="직접",IF(AF3345="수금비",$P3345,0),$P3345*(1-AG3345)*IFERROR(INDEX(계정대체기준!$E$20:$E$49,MATCH($N3345,계정대체기준!$A$20:$A$49,0)),0)))</f>
        <v/>
      </c>
      <c r="AC3345" s="9">
        <f>IF(AND($A3345&lt;&gt;"",M3345=설정!$C$20,Z3345&gt;0),Z3345+ROW()/1000000000,"")</f>
        <v/>
      </c>
      <c r="AD3345" s="94">
        <f>IF($A3345="",0,$P3345*AG3345)</f>
        <v/>
      </c>
      <c r="AE3345" s="64">
        <f>IF($A3345="","",IFERROR(INDEX(계정매핑!$E$5:$E$504,MATCH($F3345&amp;"",계정매핑!$A$5:$A$504,0))&amp;"","공통비"))</f>
        <v/>
      </c>
      <c r="AF3345" s="64">
        <f>IF($A3345="","",IF(AE3345="직접",IFERROR(INDEX(계정매핑!$F$5:$F$504,MATCH($F3345&amp;"",계정매핑!$A$5:$A$504,0))&amp;"","비귀속"),""))</f>
        <v/>
      </c>
      <c r="AG3345" s="96">
        <f>IF($A3345="",0,IF(AND(AE3345&lt;&gt;"직접",IFERROR(INDEX(계정매핑!$G$5:$G$504,MATCH($F3345&amp;"",계정매핑!$A$5:$A$504,0))&amp;"","")="유지비",COUNTIF(계정대체기준!$A$6:$A$15,$N3345)&gt;0),IFERROR(INDEX(계정대체기준!$E$6:$E$15,MATCH(VALUE($A3345&amp;""),계정대체기준!$D$6:$D$15,0)),0),0))</f>
        <v/>
      </c>
      <c r="AH3345" s="64">
        <f>IF($A3345="","",IF(AD3345=0,"",IF(OR(COUNTIF(계정대체기준!$A$77:$A$86,$N3345)&gt;0,ISNUMBER(MATCH($X3345,계정대체기준!$D$77:$D$86,0)),ISNUMBER(MATCH($F3345,계정대체기준!$D$77:$D$86,0))),"Y","N")))</f>
        <v/>
      </c>
    </row>
    <row r="3346">
      <c r="A3346" s="92" t="n">
        <v>2026</v>
      </c>
      <c r="B3346" s="92" t="n">
        <v>3</v>
      </c>
      <c r="C3346" s="92" t="inlineStr">
        <is>
          <t>5100000624</t>
        </is>
      </c>
      <c r="D3346" s="95" t="n">
        <v>46102</v>
      </c>
      <c r="E3346" s="92" t="inlineStr">
        <is>
          <t>KR</t>
        </is>
      </c>
      <c r="F3346" s="92" t="n">
        <v>62201000</v>
      </c>
      <c r="G3346" s="92" t="n">
        <v>1201</v>
      </c>
      <c r="H3346" s="93" t="n">
        <v>146000</v>
      </c>
      <c r="I3346" s="92" t="inlineStr">
        <is>
          <t>3월 통신요금 - P통신</t>
        </is>
      </c>
      <c r="J3346" s="92" t="inlineStr">
        <is>
          <t>V10014</t>
        </is>
      </c>
      <c r="K3346" s="92" t="inlineStr">
        <is>
          <t>P통신</t>
        </is>
      </c>
      <c r="M3346" s="9">
        <f>IF($A3346="","",VALUE($A3346&amp;"")*12+VALUE($B3346&amp;""))</f>
        <v/>
      </c>
      <c r="N3346" s="64">
        <f>IF($A3346="","",IFERROR(INDEX(부서매핑!$C$5:$C$504,MATCH($G3346&amp;"",부서매핑!$A$5:$A$504,0)),"미매핑"))</f>
        <v/>
      </c>
      <c r="O3346" s="9">
        <f>IF($A3346="","",N3346&amp;"|"&amp;$F3346)</f>
        <v/>
      </c>
      <c r="P3346" s="94">
        <f>IF($A3346="",0,$H3346*설정!$C$23)</f>
        <v/>
      </c>
      <c r="Q3346" s="64">
        <f>IF($A3346="","",IF(O3346&lt;&gt;원인분석!$C$9,"",IF(AND(M3346&gt;=원인분석!$C$10,M3346&lt;=원인분석!$C$11),"당기",IF(AND(M3346&gt;=원인분석!$C$12,M3346&lt;=원인분석!$C$13),"비교",""))))</f>
        <v/>
      </c>
      <c r="R3346" s="9">
        <f>IF(Q3346="","",$K3346&amp;"")</f>
        <v/>
      </c>
      <c r="S3346" s="9">
        <f>IF(Q3346="","",IF(MATCH(R3346,$R$5:$R$100000,0)=ROW()-4,ROW(),""))</f>
        <v/>
      </c>
      <c r="T3346" s="9">
        <f>IF(Q3346="당기",ABS(P3346)+ROW()/1000000000,"")</f>
        <v/>
      </c>
      <c r="U3346" s="9">
        <f>IF(Q3346="비교",ABS(P3346)+ROW()/1000000000,"")</f>
        <v/>
      </c>
      <c r="V3346" s="64">
        <f>IF($A3346="","",IF(COUNTIF(변동분석!$E$7:$E$506,O3346)&gt;0,"Y","N"))</f>
        <v/>
      </c>
      <c r="W3346" s="64">
        <f>IF($A3346="","",IFERROR(INDEX(계정매핑!$D$5:$D$504,MATCH($F3346&amp;"",계정매핑!$A$5:$A$504,0)),"미매핑"))</f>
        <v/>
      </c>
      <c r="X3346" s="9">
        <f>IF($A3346="","",$F3346&amp;"")</f>
        <v/>
      </c>
      <c r="Y3346" s="94">
        <f>IF($A3346="",0,IF(AE3346="직접",IF(AF3346="비귀속",$P3346,0),$P3346*(1-AG3346)*IFERROR(INDEX(계정대체기준!$F$20:$F$49,MATCH($N3346,계정대체기준!$A$20:$A$49,0)),1)))</f>
        <v/>
      </c>
      <c r="Z3346" s="94">
        <f>IF($A3346="",0,IF(AE3346="직접",IF(AF3346="신계약비",$P3346,0),$P3346*(1-AG3346)*IFERROR(INDEX(계정대체기준!$C$20:$C$49,MATCH($N3346,계정대체기준!$A$20:$A$49,0)),0)))</f>
        <v/>
      </c>
      <c r="AA3346" s="94">
        <f>IF($A3346="",0,IF(AE3346="직접",IF(OR(AF3346="유지비",AF3346="손해조사비"),$P3346,0),$P3346*(1-AG3346)*IFERROR(INDEX(계정대체기준!$D$20:$D$49,MATCH($N3346,계정대체기준!$A$20:$A$49,0)),0)))</f>
        <v/>
      </c>
      <c r="AB3346" s="94">
        <f>IF($A3346="",0,IF(AE3346="직접",IF(AF3346="수금비",$P3346,0),$P3346*(1-AG3346)*IFERROR(INDEX(계정대체기준!$E$20:$E$49,MATCH($N3346,계정대체기준!$A$20:$A$49,0)),0)))</f>
        <v/>
      </c>
      <c r="AC3346" s="9">
        <f>IF(AND($A3346&lt;&gt;"",M3346=설정!$C$20,Z3346&gt;0),Z3346+ROW()/1000000000,"")</f>
        <v/>
      </c>
      <c r="AD3346" s="94">
        <f>IF($A3346="",0,$P3346*AG3346)</f>
        <v/>
      </c>
      <c r="AE3346" s="64">
        <f>IF($A3346="","",IFERROR(INDEX(계정매핑!$E$5:$E$504,MATCH($F3346&amp;"",계정매핑!$A$5:$A$504,0))&amp;"","공통비"))</f>
        <v/>
      </c>
      <c r="AF3346" s="64">
        <f>IF($A3346="","",IF(AE3346="직접",IFERROR(INDEX(계정매핑!$F$5:$F$504,MATCH($F3346&amp;"",계정매핑!$A$5:$A$504,0))&amp;"","비귀속"),""))</f>
        <v/>
      </c>
      <c r="AG3346" s="96">
        <f>IF($A3346="",0,IF(AND(AE3346&lt;&gt;"직접",IFERROR(INDEX(계정매핑!$G$5:$G$504,MATCH($F3346&amp;"",계정매핑!$A$5:$A$504,0))&amp;"","")="유지비",COUNTIF(계정대체기준!$A$6:$A$15,$N3346)&gt;0),IFERROR(INDEX(계정대체기준!$E$6:$E$15,MATCH(VALUE($A3346&amp;""),계정대체기준!$D$6:$D$15,0)),0),0))</f>
        <v/>
      </c>
      <c r="AH3346" s="64">
        <f>IF($A3346="","",IF(AD3346=0,"",IF(OR(COUNTIF(계정대체기준!$A$77:$A$86,$N3346)&gt;0,ISNUMBER(MATCH($X3346,계정대체기준!$D$77:$D$86,0)),ISNUMBER(MATCH($F3346,계정대체기준!$D$77:$D$86,0))),"Y","N")))</f>
        <v/>
      </c>
    </row>
    <row r="3347">
      <c r="A3347" s="92" t="n">
        <v>2026</v>
      </c>
      <c r="B3347" s="92" t="n">
        <v>3</v>
      </c>
      <c r="C3347" s="92" t="inlineStr">
        <is>
          <t>5100000625</t>
        </is>
      </c>
      <c r="D3347" s="95" t="n">
        <v>46102</v>
      </c>
      <c r="E3347" s="92" t="inlineStr">
        <is>
          <t>KR</t>
        </is>
      </c>
      <c r="F3347" s="92" t="n">
        <v>62201000</v>
      </c>
      <c r="G3347" s="92" t="n">
        <v>1701</v>
      </c>
      <c r="H3347" s="93" t="n">
        <v>3283000</v>
      </c>
      <c r="I3347" s="92" t="inlineStr">
        <is>
          <t>3월 통신요금 - P통신</t>
        </is>
      </c>
      <c r="J3347" s="92" t="inlineStr">
        <is>
          <t>V10014</t>
        </is>
      </c>
      <c r="K3347" s="92" t="inlineStr">
        <is>
          <t>P통신</t>
        </is>
      </c>
      <c r="M3347" s="9">
        <f>IF($A3347="","",VALUE($A3347&amp;"")*12+VALUE($B3347&amp;""))</f>
        <v/>
      </c>
      <c r="N3347" s="64">
        <f>IF($A3347="","",IFERROR(INDEX(부서매핑!$C$5:$C$504,MATCH($G3347&amp;"",부서매핑!$A$5:$A$504,0)),"미매핑"))</f>
        <v/>
      </c>
      <c r="O3347" s="9">
        <f>IF($A3347="","",N3347&amp;"|"&amp;$F3347)</f>
        <v/>
      </c>
      <c r="P3347" s="94">
        <f>IF($A3347="",0,$H3347*설정!$C$23)</f>
        <v/>
      </c>
      <c r="Q3347" s="64">
        <f>IF($A3347="","",IF(O3347&lt;&gt;원인분석!$C$9,"",IF(AND(M3347&gt;=원인분석!$C$10,M3347&lt;=원인분석!$C$11),"당기",IF(AND(M3347&gt;=원인분석!$C$12,M3347&lt;=원인분석!$C$13),"비교",""))))</f>
        <v/>
      </c>
      <c r="R3347" s="9">
        <f>IF(Q3347="","",$K3347&amp;"")</f>
        <v/>
      </c>
      <c r="S3347" s="9">
        <f>IF(Q3347="","",IF(MATCH(R3347,$R$5:$R$100000,0)=ROW()-4,ROW(),""))</f>
        <v/>
      </c>
      <c r="T3347" s="9">
        <f>IF(Q3347="당기",ABS(P3347)+ROW()/1000000000,"")</f>
        <v/>
      </c>
      <c r="U3347" s="9">
        <f>IF(Q3347="비교",ABS(P3347)+ROW()/1000000000,"")</f>
        <v/>
      </c>
      <c r="V3347" s="64">
        <f>IF($A3347="","",IF(COUNTIF(변동분석!$E$7:$E$506,O3347)&gt;0,"Y","N"))</f>
        <v/>
      </c>
      <c r="W3347" s="64">
        <f>IF($A3347="","",IFERROR(INDEX(계정매핑!$D$5:$D$504,MATCH($F3347&amp;"",계정매핑!$A$5:$A$504,0)),"미매핑"))</f>
        <v/>
      </c>
      <c r="X3347" s="9">
        <f>IF($A3347="","",$F3347&amp;"")</f>
        <v/>
      </c>
      <c r="Y3347" s="94">
        <f>IF($A3347="",0,IF(AE3347="직접",IF(AF3347="비귀속",$P3347,0),$P3347*(1-AG3347)*IFERROR(INDEX(계정대체기준!$F$20:$F$49,MATCH($N3347,계정대체기준!$A$20:$A$49,0)),1)))</f>
        <v/>
      </c>
      <c r="Z3347" s="94">
        <f>IF($A3347="",0,IF(AE3347="직접",IF(AF3347="신계약비",$P3347,0),$P3347*(1-AG3347)*IFERROR(INDEX(계정대체기준!$C$20:$C$49,MATCH($N3347,계정대체기준!$A$20:$A$49,0)),0)))</f>
        <v/>
      </c>
      <c r="AA3347" s="94">
        <f>IF($A3347="",0,IF(AE3347="직접",IF(OR(AF3347="유지비",AF3347="손해조사비"),$P3347,0),$P3347*(1-AG3347)*IFERROR(INDEX(계정대체기준!$D$20:$D$49,MATCH($N3347,계정대체기준!$A$20:$A$49,0)),0)))</f>
        <v/>
      </c>
      <c r="AB3347" s="94">
        <f>IF($A3347="",0,IF(AE3347="직접",IF(AF3347="수금비",$P3347,0),$P3347*(1-AG3347)*IFERROR(INDEX(계정대체기준!$E$20:$E$49,MATCH($N3347,계정대체기준!$A$20:$A$49,0)),0)))</f>
        <v/>
      </c>
      <c r="AC3347" s="9">
        <f>IF(AND($A3347&lt;&gt;"",M3347=설정!$C$20,Z3347&gt;0),Z3347+ROW()/1000000000,"")</f>
        <v/>
      </c>
      <c r="AD3347" s="94">
        <f>IF($A3347="",0,$P3347*AG3347)</f>
        <v/>
      </c>
      <c r="AE3347" s="64">
        <f>IF($A3347="","",IFERROR(INDEX(계정매핑!$E$5:$E$504,MATCH($F3347&amp;"",계정매핑!$A$5:$A$504,0))&amp;"","공통비"))</f>
        <v/>
      </c>
      <c r="AF3347" s="64">
        <f>IF($A3347="","",IF(AE3347="직접",IFERROR(INDEX(계정매핑!$F$5:$F$504,MATCH($F3347&amp;"",계정매핑!$A$5:$A$504,0))&amp;"","비귀속"),""))</f>
        <v/>
      </c>
      <c r="AG3347" s="96">
        <f>IF($A3347="",0,IF(AND(AE3347&lt;&gt;"직접",IFERROR(INDEX(계정매핑!$G$5:$G$504,MATCH($F3347&amp;"",계정매핑!$A$5:$A$504,0))&amp;"","")="유지비",COUNTIF(계정대체기준!$A$6:$A$15,$N3347)&gt;0),IFERROR(INDEX(계정대체기준!$E$6:$E$15,MATCH(VALUE($A3347&amp;""),계정대체기준!$D$6:$D$15,0)),0),0))</f>
        <v/>
      </c>
      <c r="AH3347" s="64">
        <f>IF($A3347="","",IF(AD3347=0,"",IF(OR(COUNTIF(계정대체기준!$A$77:$A$86,$N3347)&gt;0,ISNUMBER(MATCH($X3347,계정대체기준!$D$77:$D$86,0)),ISNUMBER(MATCH($F3347,계정대체기준!$D$77:$D$86,0))),"Y","N")))</f>
        <v/>
      </c>
    </row>
    <row r="3348">
      <c r="A3348" s="92" t="n">
        <v>2026</v>
      </c>
      <c r="B3348" s="92" t="n">
        <v>3</v>
      </c>
      <c r="C3348" s="92" t="inlineStr">
        <is>
          <t>5100000626</t>
        </is>
      </c>
      <c r="D3348" s="95" t="n">
        <v>46102</v>
      </c>
      <c r="E3348" s="92" t="inlineStr">
        <is>
          <t>KR</t>
        </is>
      </c>
      <c r="F3348" s="92" t="n">
        <v>62301000</v>
      </c>
      <c r="G3348" s="92" t="n">
        <v>1201</v>
      </c>
      <c r="H3348" s="93" t="n">
        <v>109000</v>
      </c>
      <c r="I3348" s="92" t="inlineStr">
        <is>
          <t>3월 소모품 구입 - Q오피스</t>
        </is>
      </c>
      <c r="J3348" s="92" t="inlineStr">
        <is>
          <t>V10003</t>
        </is>
      </c>
      <c r="K3348" s="92" t="inlineStr">
        <is>
          <t>Q오피스</t>
        </is>
      </c>
      <c r="M3348" s="9">
        <f>IF($A3348="","",VALUE($A3348&amp;"")*12+VALUE($B3348&amp;""))</f>
        <v/>
      </c>
      <c r="N3348" s="64">
        <f>IF($A3348="","",IFERROR(INDEX(부서매핑!$C$5:$C$504,MATCH($G3348&amp;"",부서매핑!$A$5:$A$504,0)),"미매핑"))</f>
        <v/>
      </c>
      <c r="O3348" s="9">
        <f>IF($A3348="","",N3348&amp;"|"&amp;$F3348)</f>
        <v/>
      </c>
      <c r="P3348" s="94">
        <f>IF($A3348="",0,$H3348*설정!$C$23)</f>
        <v/>
      </c>
      <c r="Q3348" s="64">
        <f>IF($A3348="","",IF(O3348&lt;&gt;원인분석!$C$9,"",IF(AND(M3348&gt;=원인분석!$C$10,M3348&lt;=원인분석!$C$11),"당기",IF(AND(M3348&gt;=원인분석!$C$12,M3348&lt;=원인분석!$C$13),"비교",""))))</f>
        <v/>
      </c>
      <c r="R3348" s="9">
        <f>IF(Q3348="","",$K3348&amp;"")</f>
        <v/>
      </c>
      <c r="S3348" s="9">
        <f>IF(Q3348="","",IF(MATCH(R3348,$R$5:$R$100000,0)=ROW()-4,ROW(),""))</f>
        <v/>
      </c>
      <c r="T3348" s="9">
        <f>IF(Q3348="당기",ABS(P3348)+ROW()/1000000000,"")</f>
        <v/>
      </c>
      <c r="U3348" s="9">
        <f>IF(Q3348="비교",ABS(P3348)+ROW()/1000000000,"")</f>
        <v/>
      </c>
      <c r="V3348" s="64">
        <f>IF($A3348="","",IF(COUNTIF(변동분석!$E$7:$E$506,O3348)&gt;0,"Y","N"))</f>
        <v/>
      </c>
      <c r="W3348" s="64">
        <f>IF($A3348="","",IFERROR(INDEX(계정매핑!$D$5:$D$504,MATCH($F3348&amp;"",계정매핑!$A$5:$A$504,0)),"미매핑"))</f>
        <v/>
      </c>
      <c r="X3348" s="9">
        <f>IF($A3348="","",$F3348&amp;"")</f>
        <v/>
      </c>
      <c r="Y3348" s="94">
        <f>IF($A3348="",0,IF(AE3348="직접",IF(AF3348="비귀속",$P3348,0),$P3348*(1-AG3348)*IFERROR(INDEX(계정대체기준!$F$20:$F$49,MATCH($N3348,계정대체기준!$A$20:$A$49,0)),1)))</f>
        <v/>
      </c>
      <c r="Z3348" s="94">
        <f>IF($A3348="",0,IF(AE3348="직접",IF(AF3348="신계약비",$P3348,0),$P3348*(1-AG3348)*IFERROR(INDEX(계정대체기준!$C$20:$C$49,MATCH($N3348,계정대체기준!$A$20:$A$49,0)),0)))</f>
        <v/>
      </c>
      <c r="AA3348" s="94">
        <f>IF($A3348="",0,IF(AE3348="직접",IF(OR(AF3348="유지비",AF3348="손해조사비"),$P3348,0),$P3348*(1-AG3348)*IFERROR(INDEX(계정대체기준!$D$20:$D$49,MATCH($N3348,계정대체기준!$A$20:$A$49,0)),0)))</f>
        <v/>
      </c>
      <c r="AB3348" s="94">
        <f>IF($A3348="",0,IF(AE3348="직접",IF(AF3348="수금비",$P3348,0),$P3348*(1-AG3348)*IFERROR(INDEX(계정대체기준!$E$20:$E$49,MATCH($N3348,계정대체기준!$A$20:$A$49,0)),0)))</f>
        <v/>
      </c>
      <c r="AC3348" s="9">
        <f>IF(AND($A3348&lt;&gt;"",M3348=설정!$C$20,Z3348&gt;0),Z3348+ROW()/1000000000,"")</f>
        <v/>
      </c>
      <c r="AD3348" s="94">
        <f>IF($A3348="",0,$P3348*AG3348)</f>
        <v/>
      </c>
      <c r="AE3348" s="64">
        <f>IF($A3348="","",IFERROR(INDEX(계정매핑!$E$5:$E$504,MATCH($F3348&amp;"",계정매핑!$A$5:$A$504,0))&amp;"","공통비"))</f>
        <v/>
      </c>
      <c r="AF3348" s="64">
        <f>IF($A3348="","",IF(AE3348="직접",IFERROR(INDEX(계정매핑!$F$5:$F$504,MATCH($F3348&amp;"",계정매핑!$A$5:$A$504,0))&amp;"","비귀속"),""))</f>
        <v/>
      </c>
      <c r="AG3348" s="96">
        <f>IF($A3348="",0,IF(AND(AE3348&lt;&gt;"직접",IFERROR(INDEX(계정매핑!$G$5:$G$504,MATCH($F3348&amp;"",계정매핑!$A$5:$A$504,0))&amp;"","")="유지비",COUNTIF(계정대체기준!$A$6:$A$15,$N3348)&gt;0),IFERROR(INDEX(계정대체기준!$E$6:$E$15,MATCH(VALUE($A3348&amp;""),계정대체기준!$D$6:$D$15,0)),0),0))</f>
        <v/>
      </c>
      <c r="AH3348" s="64">
        <f>IF($A3348="","",IF(AD3348=0,"",IF(OR(COUNTIF(계정대체기준!$A$77:$A$86,$N3348)&gt;0,ISNUMBER(MATCH($X3348,계정대체기준!$D$77:$D$86,0)),ISNUMBER(MATCH($F3348,계정대체기준!$D$77:$D$86,0))),"Y","N")))</f>
        <v/>
      </c>
    </row>
    <row r="3349">
      <c r="A3349" s="92" t="n">
        <v>2026</v>
      </c>
      <c r="B3349" s="92" t="n">
        <v>3</v>
      </c>
      <c r="C3349" s="92" t="inlineStr">
        <is>
          <t>5100000627</t>
        </is>
      </c>
      <c r="D3349" s="95" t="n">
        <v>46102</v>
      </c>
      <c r="E3349" s="92" t="inlineStr">
        <is>
          <t>KR</t>
        </is>
      </c>
      <c r="F3349" s="92" t="n">
        <v>62401000</v>
      </c>
      <c r="G3349" s="92" t="n">
        <v>1401</v>
      </c>
      <c r="H3349" s="93" t="n">
        <v>228000</v>
      </c>
      <c r="I3349" s="92" t="inlineStr">
        <is>
          <t>3월 인쇄물 제작 - G인쇄</t>
        </is>
      </c>
      <c r="J3349" s="92" t="inlineStr">
        <is>
          <t>V10004</t>
        </is>
      </c>
      <c r="K3349" s="92" t="inlineStr">
        <is>
          <t>G인쇄</t>
        </is>
      </c>
      <c r="M3349" s="9">
        <f>IF($A3349="","",VALUE($A3349&amp;"")*12+VALUE($B3349&amp;""))</f>
        <v/>
      </c>
      <c r="N3349" s="64">
        <f>IF($A3349="","",IFERROR(INDEX(부서매핑!$C$5:$C$504,MATCH($G3349&amp;"",부서매핑!$A$5:$A$504,0)),"미매핑"))</f>
        <v/>
      </c>
      <c r="O3349" s="9">
        <f>IF($A3349="","",N3349&amp;"|"&amp;$F3349)</f>
        <v/>
      </c>
      <c r="P3349" s="94">
        <f>IF($A3349="",0,$H3349*설정!$C$23)</f>
        <v/>
      </c>
      <c r="Q3349" s="64">
        <f>IF($A3349="","",IF(O3349&lt;&gt;원인분석!$C$9,"",IF(AND(M3349&gt;=원인분석!$C$10,M3349&lt;=원인분석!$C$11),"당기",IF(AND(M3349&gt;=원인분석!$C$12,M3349&lt;=원인분석!$C$13),"비교",""))))</f>
        <v/>
      </c>
      <c r="R3349" s="9">
        <f>IF(Q3349="","",$K3349&amp;"")</f>
        <v/>
      </c>
      <c r="S3349" s="9">
        <f>IF(Q3349="","",IF(MATCH(R3349,$R$5:$R$100000,0)=ROW()-4,ROW(),""))</f>
        <v/>
      </c>
      <c r="T3349" s="9">
        <f>IF(Q3349="당기",ABS(P3349)+ROW()/1000000000,"")</f>
        <v/>
      </c>
      <c r="U3349" s="9">
        <f>IF(Q3349="비교",ABS(P3349)+ROW()/1000000000,"")</f>
        <v/>
      </c>
      <c r="V3349" s="64">
        <f>IF($A3349="","",IF(COUNTIF(변동분석!$E$7:$E$506,O3349)&gt;0,"Y","N"))</f>
        <v/>
      </c>
      <c r="W3349" s="64">
        <f>IF($A3349="","",IFERROR(INDEX(계정매핑!$D$5:$D$504,MATCH($F3349&amp;"",계정매핑!$A$5:$A$504,0)),"미매핑"))</f>
        <v/>
      </c>
      <c r="X3349" s="9">
        <f>IF($A3349="","",$F3349&amp;"")</f>
        <v/>
      </c>
      <c r="Y3349" s="94">
        <f>IF($A3349="",0,IF(AE3349="직접",IF(AF3349="비귀속",$P3349,0),$P3349*(1-AG3349)*IFERROR(INDEX(계정대체기준!$F$20:$F$49,MATCH($N3349,계정대체기준!$A$20:$A$49,0)),1)))</f>
        <v/>
      </c>
      <c r="Z3349" s="94">
        <f>IF($A3349="",0,IF(AE3349="직접",IF(AF3349="신계약비",$P3349,0),$P3349*(1-AG3349)*IFERROR(INDEX(계정대체기준!$C$20:$C$49,MATCH($N3349,계정대체기준!$A$20:$A$49,0)),0)))</f>
        <v/>
      </c>
      <c r="AA3349" s="94">
        <f>IF($A3349="",0,IF(AE3349="직접",IF(OR(AF3349="유지비",AF3349="손해조사비"),$P3349,0),$P3349*(1-AG3349)*IFERROR(INDEX(계정대체기준!$D$20:$D$49,MATCH($N3349,계정대체기준!$A$20:$A$49,0)),0)))</f>
        <v/>
      </c>
      <c r="AB3349" s="94">
        <f>IF($A3349="",0,IF(AE3349="직접",IF(AF3349="수금비",$P3349,0),$P3349*(1-AG3349)*IFERROR(INDEX(계정대체기준!$E$20:$E$49,MATCH($N3349,계정대체기준!$A$20:$A$49,0)),0)))</f>
        <v/>
      </c>
      <c r="AC3349" s="9">
        <f>IF(AND($A3349&lt;&gt;"",M3349=설정!$C$20,Z3349&gt;0),Z3349+ROW()/1000000000,"")</f>
        <v/>
      </c>
      <c r="AD3349" s="94">
        <f>IF($A3349="",0,$P3349*AG3349)</f>
        <v/>
      </c>
      <c r="AE3349" s="64">
        <f>IF($A3349="","",IFERROR(INDEX(계정매핑!$E$5:$E$504,MATCH($F3349&amp;"",계정매핑!$A$5:$A$504,0))&amp;"","공통비"))</f>
        <v/>
      </c>
      <c r="AF3349" s="64">
        <f>IF($A3349="","",IF(AE3349="직접",IFERROR(INDEX(계정매핑!$F$5:$F$504,MATCH($F3349&amp;"",계정매핑!$A$5:$A$504,0))&amp;"","비귀속"),""))</f>
        <v/>
      </c>
      <c r="AG3349" s="96">
        <f>IF($A3349="",0,IF(AND(AE3349&lt;&gt;"직접",IFERROR(INDEX(계정매핑!$G$5:$G$504,MATCH($F3349&amp;"",계정매핑!$A$5:$A$504,0))&amp;"","")="유지비",COUNTIF(계정대체기준!$A$6:$A$15,$N3349)&gt;0),IFERROR(INDEX(계정대체기준!$E$6:$E$15,MATCH(VALUE($A3349&amp;""),계정대체기준!$D$6:$D$15,0)),0),0))</f>
        <v/>
      </c>
      <c r="AH3349" s="64">
        <f>IF($A3349="","",IF(AD3349=0,"",IF(OR(COUNTIF(계정대체기준!$A$77:$A$86,$N3349)&gt;0,ISNUMBER(MATCH($X3349,계정대체기준!$D$77:$D$86,0)),ISNUMBER(MATCH($F3349,계정대체기준!$D$77:$D$86,0))),"Y","N")))</f>
        <v/>
      </c>
    </row>
    <row r="3350">
      <c r="A3350" s="92" t="n">
        <v>2026</v>
      </c>
      <c r="B3350" s="92" t="n">
        <v>3</v>
      </c>
      <c r="C3350" s="92" t="inlineStr">
        <is>
          <t>5100000628</t>
        </is>
      </c>
      <c r="D3350" s="95" t="n">
        <v>46102</v>
      </c>
      <c r="E3350" s="92" t="inlineStr">
        <is>
          <t>KR</t>
        </is>
      </c>
      <c r="F3350" s="92" t="n">
        <v>62801000</v>
      </c>
      <c r="G3350" s="92" t="n">
        <v>1301</v>
      </c>
      <c r="H3350" s="93" t="n">
        <v>4426000</v>
      </c>
      <c r="I3350" s="92" t="inlineStr">
        <is>
          <t>3월 사내교육 - (사내강사료)</t>
        </is>
      </c>
      <c r="J3350" s="92" t="inlineStr">
        <is>
          <t>V10024</t>
        </is>
      </c>
      <c r="K3350" s="92" t="inlineStr">
        <is>
          <t>(사내강사료)</t>
        </is>
      </c>
      <c r="M3350" s="9">
        <f>IF($A3350="","",VALUE($A3350&amp;"")*12+VALUE($B3350&amp;""))</f>
        <v/>
      </c>
      <c r="N3350" s="64">
        <f>IF($A3350="","",IFERROR(INDEX(부서매핑!$C$5:$C$504,MATCH($G3350&amp;"",부서매핑!$A$5:$A$504,0)),"미매핑"))</f>
        <v/>
      </c>
      <c r="O3350" s="9">
        <f>IF($A3350="","",N3350&amp;"|"&amp;$F3350)</f>
        <v/>
      </c>
      <c r="P3350" s="94">
        <f>IF($A3350="",0,$H3350*설정!$C$23)</f>
        <v/>
      </c>
      <c r="Q3350" s="64">
        <f>IF($A3350="","",IF(O3350&lt;&gt;원인분석!$C$9,"",IF(AND(M3350&gt;=원인분석!$C$10,M3350&lt;=원인분석!$C$11),"당기",IF(AND(M3350&gt;=원인분석!$C$12,M3350&lt;=원인분석!$C$13),"비교",""))))</f>
        <v/>
      </c>
      <c r="R3350" s="9">
        <f>IF(Q3350="","",$K3350&amp;"")</f>
        <v/>
      </c>
      <c r="S3350" s="9">
        <f>IF(Q3350="","",IF(MATCH(R3350,$R$5:$R$100000,0)=ROW()-4,ROW(),""))</f>
        <v/>
      </c>
      <c r="T3350" s="9">
        <f>IF(Q3350="당기",ABS(P3350)+ROW()/1000000000,"")</f>
        <v/>
      </c>
      <c r="U3350" s="9">
        <f>IF(Q3350="비교",ABS(P3350)+ROW()/1000000000,"")</f>
        <v/>
      </c>
      <c r="V3350" s="64">
        <f>IF($A3350="","",IF(COUNTIF(변동분석!$E$7:$E$506,O3350)&gt;0,"Y","N"))</f>
        <v/>
      </c>
      <c r="W3350" s="64">
        <f>IF($A3350="","",IFERROR(INDEX(계정매핑!$D$5:$D$504,MATCH($F3350&amp;"",계정매핑!$A$5:$A$504,0)),"미매핑"))</f>
        <v/>
      </c>
      <c r="X3350" s="9">
        <f>IF($A3350="","",$F3350&amp;"")</f>
        <v/>
      </c>
      <c r="Y3350" s="94">
        <f>IF($A3350="",0,IF(AE3350="직접",IF(AF3350="비귀속",$P3350,0),$P3350*(1-AG3350)*IFERROR(INDEX(계정대체기준!$F$20:$F$49,MATCH($N3350,계정대체기준!$A$20:$A$49,0)),1)))</f>
        <v/>
      </c>
      <c r="Z3350" s="94">
        <f>IF($A3350="",0,IF(AE3350="직접",IF(AF3350="신계약비",$P3350,0),$P3350*(1-AG3350)*IFERROR(INDEX(계정대체기준!$C$20:$C$49,MATCH($N3350,계정대체기준!$A$20:$A$49,0)),0)))</f>
        <v/>
      </c>
      <c r="AA3350" s="94">
        <f>IF($A3350="",0,IF(AE3350="직접",IF(OR(AF3350="유지비",AF3350="손해조사비"),$P3350,0),$P3350*(1-AG3350)*IFERROR(INDEX(계정대체기준!$D$20:$D$49,MATCH($N3350,계정대체기준!$A$20:$A$49,0)),0)))</f>
        <v/>
      </c>
      <c r="AB3350" s="94">
        <f>IF($A3350="",0,IF(AE3350="직접",IF(AF3350="수금비",$P3350,0),$P3350*(1-AG3350)*IFERROR(INDEX(계정대체기준!$E$20:$E$49,MATCH($N3350,계정대체기준!$A$20:$A$49,0)),0)))</f>
        <v/>
      </c>
      <c r="AC3350" s="9">
        <f>IF(AND($A3350&lt;&gt;"",M3350=설정!$C$20,Z3350&gt;0),Z3350+ROW()/1000000000,"")</f>
        <v/>
      </c>
      <c r="AD3350" s="94">
        <f>IF($A3350="",0,$P3350*AG3350)</f>
        <v/>
      </c>
      <c r="AE3350" s="64">
        <f>IF($A3350="","",IFERROR(INDEX(계정매핑!$E$5:$E$504,MATCH($F3350&amp;"",계정매핑!$A$5:$A$504,0))&amp;"","공통비"))</f>
        <v/>
      </c>
      <c r="AF3350" s="64">
        <f>IF($A3350="","",IF(AE3350="직접",IFERROR(INDEX(계정매핑!$F$5:$F$504,MATCH($F3350&amp;"",계정매핑!$A$5:$A$504,0))&amp;"","비귀속"),""))</f>
        <v/>
      </c>
      <c r="AG3350" s="96">
        <f>IF($A3350="",0,IF(AND(AE3350&lt;&gt;"직접",IFERROR(INDEX(계정매핑!$G$5:$G$504,MATCH($F3350&amp;"",계정매핑!$A$5:$A$504,0))&amp;"","")="유지비",COUNTIF(계정대체기준!$A$6:$A$15,$N3350)&gt;0),IFERROR(INDEX(계정대체기준!$E$6:$E$15,MATCH(VALUE($A3350&amp;""),계정대체기준!$D$6:$D$15,0)),0),0))</f>
        <v/>
      </c>
      <c r="AH3350" s="64">
        <f>IF($A3350="","",IF(AD3350=0,"",IF(OR(COUNTIF(계정대체기준!$A$77:$A$86,$N3350)&gt;0,ISNUMBER(MATCH($X3350,계정대체기준!$D$77:$D$86,0)),ISNUMBER(MATCH($F3350,계정대체기준!$D$77:$D$86,0))),"Y","N")))</f>
        <v/>
      </c>
    </row>
    <row r="3351">
      <c r="A3351" s="92" t="n">
        <v>2026</v>
      </c>
      <c r="B3351" s="92" t="n">
        <v>3</v>
      </c>
      <c r="C3351" s="92" t="inlineStr">
        <is>
          <t>5100000629</t>
        </is>
      </c>
      <c r="D3351" s="95" t="n">
        <v>46102</v>
      </c>
      <c r="E3351" s="92" t="inlineStr">
        <is>
          <t>KR</t>
        </is>
      </c>
      <c r="F3351" s="92" t="n">
        <v>63201000</v>
      </c>
      <c r="G3351" s="92" t="n">
        <v>1601</v>
      </c>
      <c r="H3351" s="93" t="n">
        <v>1903000</v>
      </c>
      <c r="I3351" s="92" t="inlineStr">
        <is>
          <t>3월 차량 유지 - H에너지</t>
        </is>
      </c>
      <c r="J3351" s="92" t="inlineStr">
        <is>
          <t>V10030</t>
        </is>
      </c>
      <c r="K3351" s="92" t="inlineStr">
        <is>
          <t>H에너지</t>
        </is>
      </c>
      <c r="M3351" s="9">
        <f>IF($A3351="","",VALUE($A3351&amp;"")*12+VALUE($B3351&amp;""))</f>
        <v/>
      </c>
      <c r="N3351" s="64">
        <f>IF($A3351="","",IFERROR(INDEX(부서매핑!$C$5:$C$504,MATCH($G3351&amp;"",부서매핑!$A$5:$A$504,0)),"미매핑"))</f>
        <v/>
      </c>
      <c r="O3351" s="9">
        <f>IF($A3351="","",N3351&amp;"|"&amp;$F3351)</f>
        <v/>
      </c>
      <c r="P3351" s="94">
        <f>IF($A3351="",0,$H3351*설정!$C$23)</f>
        <v/>
      </c>
      <c r="Q3351" s="64">
        <f>IF($A3351="","",IF(O3351&lt;&gt;원인분석!$C$9,"",IF(AND(M3351&gt;=원인분석!$C$10,M3351&lt;=원인분석!$C$11),"당기",IF(AND(M3351&gt;=원인분석!$C$12,M3351&lt;=원인분석!$C$13),"비교",""))))</f>
        <v/>
      </c>
      <c r="R3351" s="9">
        <f>IF(Q3351="","",$K3351&amp;"")</f>
        <v/>
      </c>
      <c r="S3351" s="9">
        <f>IF(Q3351="","",IF(MATCH(R3351,$R$5:$R$100000,0)=ROW()-4,ROW(),""))</f>
        <v/>
      </c>
      <c r="T3351" s="9">
        <f>IF(Q3351="당기",ABS(P3351)+ROW()/1000000000,"")</f>
        <v/>
      </c>
      <c r="U3351" s="9">
        <f>IF(Q3351="비교",ABS(P3351)+ROW()/1000000000,"")</f>
        <v/>
      </c>
      <c r="V3351" s="64">
        <f>IF($A3351="","",IF(COUNTIF(변동분석!$E$7:$E$506,O3351)&gt;0,"Y","N"))</f>
        <v/>
      </c>
      <c r="W3351" s="64">
        <f>IF($A3351="","",IFERROR(INDEX(계정매핑!$D$5:$D$504,MATCH($F3351&amp;"",계정매핑!$A$5:$A$504,0)),"미매핑"))</f>
        <v/>
      </c>
      <c r="X3351" s="9">
        <f>IF($A3351="","",$F3351&amp;"")</f>
        <v/>
      </c>
      <c r="Y3351" s="94">
        <f>IF($A3351="",0,IF(AE3351="직접",IF(AF3351="비귀속",$P3351,0),$P3351*(1-AG3351)*IFERROR(INDEX(계정대체기준!$F$20:$F$49,MATCH($N3351,계정대체기준!$A$20:$A$49,0)),1)))</f>
        <v/>
      </c>
      <c r="Z3351" s="94">
        <f>IF($A3351="",0,IF(AE3351="직접",IF(AF3351="신계약비",$P3351,0),$P3351*(1-AG3351)*IFERROR(INDEX(계정대체기준!$C$20:$C$49,MATCH($N3351,계정대체기준!$A$20:$A$49,0)),0)))</f>
        <v/>
      </c>
      <c r="AA3351" s="94">
        <f>IF($A3351="",0,IF(AE3351="직접",IF(OR(AF3351="유지비",AF3351="손해조사비"),$P3351,0),$P3351*(1-AG3351)*IFERROR(INDEX(계정대체기준!$D$20:$D$49,MATCH($N3351,계정대체기준!$A$20:$A$49,0)),0)))</f>
        <v/>
      </c>
      <c r="AB3351" s="94">
        <f>IF($A3351="",0,IF(AE3351="직접",IF(AF3351="수금비",$P3351,0),$P3351*(1-AG3351)*IFERROR(INDEX(계정대체기준!$E$20:$E$49,MATCH($N3351,계정대체기준!$A$20:$A$49,0)),0)))</f>
        <v/>
      </c>
      <c r="AC3351" s="9">
        <f>IF(AND($A3351&lt;&gt;"",M3351=설정!$C$20,Z3351&gt;0),Z3351+ROW()/1000000000,"")</f>
        <v/>
      </c>
      <c r="AD3351" s="94">
        <f>IF($A3351="",0,$P3351*AG3351)</f>
        <v/>
      </c>
      <c r="AE3351" s="64">
        <f>IF($A3351="","",IFERROR(INDEX(계정매핑!$E$5:$E$504,MATCH($F3351&amp;"",계정매핑!$A$5:$A$504,0))&amp;"","공통비"))</f>
        <v/>
      </c>
      <c r="AF3351" s="64">
        <f>IF($A3351="","",IF(AE3351="직접",IFERROR(INDEX(계정매핑!$F$5:$F$504,MATCH($F3351&amp;"",계정매핑!$A$5:$A$504,0))&amp;"","비귀속"),""))</f>
        <v/>
      </c>
      <c r="AG3351" s="96">
        <f>IF($A3351="",0,IF(AND(AE3351&lt;&gt;"직접",IFERROR(INDEX(계정매핑!$G$5:$G$504,MATCH($F3351&amp;"",계정매핑!$A$5:$A$504,0))&amp;"","")="유지비",COUNTIF(계정대체기준!$A$6:$A$15,$N3351)&gt;0),IFERROR(INDEX(계정대체기준!$E$6:$E$15,MATCH(VALUE($A3351&amp;""),계정대체기준!$D$6:$D$15,0)),0),0))</f>
        <v/>
      </c>
      <c r="AH3351" s="64">
        <f>IF($A3351="","",IF(AD3351=0,"",IF(OR(COUNTIF(계정대체기준!$A$77:$A$86,$N3351)&gt;0,ISNUMBER(MATCH($X3351,계정대체기준!$D$77:$D$86,0)),ISNUMBER(MATCH($F3351,계정대체기준!$D$77:$D$86,0))),"Y","N")))</f>
        <v/>
      </c>
    </row>
    <row r="3352">
      <c r="A3352" s="92" t="n">
        <v>2026</v>
      </c>
      <c r="B3352" s="92" t="n">
        <v>3</v>
      </c>
      <c r="C3352" s="92" t="inlineStr">
        <is>
          <t>5100000630</t>
        </is>
      </c>
      <c r="D3352" s="95" t="n">
        <v>46102</v>
      </c>
      <c r="E3352" s="92" t="inlineStr">
        <is>
          <t>KR</t>
        </is>
      </c>
      <c r="F3352" s="92" t="n">
        <v>63601000</v>
      </c>
      <c r="G3352" s="92" t="n">
        <v>1801</v>
      </c>
      <c r="H3352" s="93" t="n">
        <v>5500000</v>
      </c>
      <c r="I3352" s="92" t="inlineStr">
        <is>
          <t>3월 손해사정 수수료 - DD손해사정</t>
        </is>
      </c>
      <c r="J3352" s="92" t="inlineStr">
        <is>
          <t>V10032</t>
        </is>
      </c>
      <c r="K3352" s="92" t="inlineStr">
        <is>
          <t>DD손해사정</t>
        </is>
      </c>
      <c r="M3352" s="9">
        <f>IF($A3352="","",VALUE($A3352&amp;"")*12+VALUE($B3352&amp;""))</f>
        <v/>
      </c>
      <c r="N3352" s="64">
        <f>IF($A3352="","",IFERROR(INDEX(부서매핑!$C$5:$C$504,MATCH($G3352&amp;"",부서매핑!$A$5:$A$504,0)),"미매핑"))</f>
        <v/>
      </c>
      <c r="O3352" s="9">
        <f>IF($A3352="","",N3352&amp;"|"&amp;$F3352)</f>
        <v/>
      </c>
      <c r="P3352" s="94">
        <f>IF($A3352="",0,$H3352*설정!$C$23)</f>
        <v/>
      </c>
      <c r="Q3352" s="64">
        <f>IF($A3352="","",IF(O3352&lt;&gt;원인분석!$C$9,"",IF(AND(M3352&gt;=원인분석!$C$10,M3352&lt;=원인분석!$C$11),"당기",IF(AND(M3352&gt;=원인분석!$C$12,M3352&lt;=원인분석!$C$13),"비교",""))))</f>
        <v/>
      </c>
      <c r="R3352" s="9">
        <f>IF(Q3352="","",$K3352&amp;"")</f>
        <v/>
      </c>
      <c r="S3352" s="9">
        <f>IF(Q3352="","",IF(MATCH(R3352,$R$5:$R$100000,0)=ROW()-4,ROW(),""))</f>
        <v/>
      </c>
      <c r="T3352" s="9">
        <f>IF(Q3352="당기",ABS(P3352)+ROW()/1000000000,"")</f>
        <v/>
      </c>
      <c r="U3352" s="9">
        <f>IF(Q3352="비교",ABS(P3352)+ROW()/1000000000,"")</f>
        <v/>
      </c>
      <c r="V3352" s="64">
        <f>IF($A3352="","",IF(COUNTIF(변동분석!$E$7:$E$506,O3352)&gt;0,"Y","N"))</f>
        <v/>
      </c>
      <c r="W3352" s="64">
        <f>IF($A3352="","",IFERROR(INDEX(계정매핑!$D$5:$D$504,MATCH($F3352&amp;"",계정매핑!$A$5:$A$504,0)),"미매핑"))</f>
        <v/>
      </c>
      <c r="X3352" s="9">
        <f>IF($A3352="","",$F3352&amp;"")</f>
        <v/>
      </c>
      <c r="Y3352" s="94">
        <f>IF($A3352="",0,IF(AE3352="직접",IF(AF3352="비귀속",$P3352,0),$P3352*(1-AG3352)*IFERROR(INDEX(계정대체기준!$F$20:$F$49,MATCH($N3352,계정대체기준!$A$20:$A$49,0)),1)))</f>
        <v/>
      </c>
      <c r="Z3352" s="94">
        <f>IF($A3352="",0,IF(AE3352="직접",IF(AF3352="신계약비",$P3352,0),$P3352*(1-AG3352)*IFERROR(INDEX(계정대체기준!$C$20:$C$49,MATCH($N3352,계정대체기준!$A$20:$A$49,0)),0)))</f>
        <v/>
      </c>
      <c r="AA3352" s="94">
        <f>IF($A3352="",0,IF(AE3352="직접",IF(OR(AF3352="유지비",AF3352="손해조사비"),$P3352,0),$P3352*(1-AG3352)*IFERROR(INDEX(계정대체기준!$D$20:$D$49,MATCH($N3352,계정대체기준!$A$20:$A$49,0)),0)))</f>
        <v/>
      </c>
      <c r="AB3352" s="94">
        <f>IF($A3352="",0,IF(AE3352="직접",IF(AF3352="수금비",$P3352,0),$P3352*(1-AG3352)*IFERROR(INDEX(계정대체기준!$E$20:$E$49,MATCH($N3352,계정대체기준!$A$20:$A$49,0)),0)))</f>
        <v/>
      </c>
      <c r="AC3352" s="9">
        <f>IF(AND($A3352&lt;&gt;"",M3352=설정!$C$20,Z3352&gt;0),Z3352+ROW()/1000000000,"")</f>
        <v/>
      </c>
      <c r="AD3352" s="94">
        <f>IF($A3352="",0,$P3352*AG3352)</f>
        <v/>
      </c>
      <c r="AE3352" s="64">
        <f>IF($A3352="","",IFERROR(INDEX(계정매핑!$E$5:$E$504,MATCH($F3352&amp;"",계정매핑!$A$5:$A$504,0))&amp;"","공통비"))</f>
        <v/>
      </c>
      <c r="AF3352" s="64">
        <f>IF($A3352="","",IF(AE3352="직접",IFERROR(INDEX(계정매핑!$F$5:$F$504,MATCH($F3352&amp;"",계정매핑!$A$5:$A$504,0))&amp;"","비귀속"),""))</f>
        <v/>
      </c>
      <c r="AG3352" s="96">
        <f>IF($A3352="",0,IF(AND(AE3352&lt;&gt;"직접",IFERROR(INDEX(계정매핑!$G$5:$G$504,MATCH($F3352&amp;"",계정매핑!$A$5:$A$504,0))&amp;"","")="유지비",COUNTIF(계정대체기준!$A$6:$A$15,$N3352)&gt;0),IFERROR(INDEX(계정대체기준!$E$6:$E$15,MATCH(VALUE($A3352&amp;""),계정대체기준!$D$6:$D$15,0)),0),0))</f>
        <v/>
      </c>
      <c r="AH3352" s="64">
        <f>IF($A3352="","",IF(AD3352=0,"",IF(OR(COUNTIF(계정대체기준!$A$77:$A$86,$N3352)&gt;0,ISNUMBER(MATCH($X3352,계정대체기준!$D$77:$D$86,0)),ISNUMBER(MATCH($F3352,계정대체기준!$D$77:$D$86,0))),"Y","N")))</f>
        <v/>
      </c>
    </row>
    <row r="3353">
      <c r="A3353" s="92" t="n">
        <v>2026</v>
      </c>
      <c r="B3353" s="92" t="n">
        <v>3</v>
      </c>
      <c r="C3353" s="92" t="inlineStr">
        <is>
          <t>5100000631</t>
        </is>
      </c>
      <c r="D3353" s="95" t="n">
        <v>46103</v>
      </c>
      <c r="E3353" s="92" t="inlineStr">
        <is>
          <t>KR</t>
        </is>
      </c>
      <c r="F3353" s="92" t="n">
        <v>62101000</v>
      </c>
      <c r="G3353" s="92" t="n">
        <v>1101</v>
      </c>
      <c r="H3353" s="93" t="n">
        <v>509000</v>
      </c>
      <c r="I3353" s="92" t="inlineStr">
        <is>
          <t>3월 국내출장 - M항공</t>
        </is>
      </c>
      <c r="J3353" s="92" t="inlineStr">
        <is>
          <t>V10001</t>
        </is>
      </c>
      <c r="K3353" s="92" t="inlineStr">
        <is>
          <t>M항공</t>
        </is>
      </c>
      <c r="M3353" s="9">
        <f>IF($A3353="","",VALUE($A3353&amp;"")*12+VALUE($B3353&amp;""))</f>
        <v/>
      </c>
      <c r="N3353" s="64">
        <f>IF($A3353="","",IFERROR(INDEX(부서매핑!$C$5:$C$504,MATCH($G3353&amp;"",부서매핑!$A$5:$A$504,0)),"미매핑"))</f>
        <v/>
      </c>
      <c r="O3353" s="9">
        <f>IF($A3353="","",N3353&amp;"|"&amp;$F3353)</f>
        <v/>
      </c>
      <c r="P3353" s="94">
        <f>IF($A3353="",0,$H3353*설정!$C$23)</f>
        <v/>
      </c>
      <c r="Q3353" s="64">
        <f>IF($A3353="","",IF(O3353&lt;&gt;원인분석!$C$9,"",IF(AND(M3353&gt;=원인분석!$C$10,M3353&lt;=원인분석!$C$11),"당기",IF(AND(M3353&gt;=원인분석!$C$12,M3353&lt;=원인분석!$C$13),"비교",""))))</f>
        <v/>
      </c>
      <c r="R3353" s="9">
        <f>IF(Q3353="","",$K3353&amp;"")</f>
        <v/>
      </c>
      <c r="S3353" s="9">
        <f>IF(Q3353="","",IF(MATCH(R3353,$R$5:$R$100000,0)=ROW()-4,ROW(),""))</f>
        <v/>
      </c>
      <c r="T3353" s="9">
        <f>IF(Q3353="당기",ABS(P3353)+ROW()/1000000000,"")</f>
        <v/>
      </c>
      <c r="U3353" s="9">
        <f>IF(Q3353="비교",ABS(P3353)+ROW()/1000000000,"")</f>
        <v/>
      </c>
      <c r="V3353" s="64">
        <f>IF($A3353="","",IF(COUNTIF(변동분석!$E$7:$E$506,O3353)&gt;0,"Y","N"))</f>
        <v/>
      </c>
      <c r="W3353" s="64">
        <f>IF($A3353="","",IFERROR(INDEX(계정매핑!$D$5:$D$504,MATCH($F3353&amp;"",계정매핑!$A$5:$A$504,0)),"미매핑"))</f>
        <v/>
      </c>
      <c r="X3353" s="9">
        <f>IF($A3353="","",$F3353&amp;"")</f>
        <v/>
      </c>
      <c r="Y3353" s="94">
        <f>IF($A3353="",0,IF(AE3353="직접",IF(AF3353="비귀속",$P3353,0),$P3353*(1-AG3353)*IFERROR(INDEX(계정대체기준!$F$20:$F$49,MATCH($N3353,계정대체기준!$A$20:$A$49,0)),1)))</f>
        <v/>
      </c>
      <c r="Z3353" s="94">
        <f>IF($A3353="",0,IF(AE3353="직접",IF(AF3353="신계약비",$P3353,0),$P3353*(1-AG3353)*IFERROR(INDEX(계정대체기준!$C$20:$C$49,MATCH($N3353,계정대체기준!$A$20:$A$49,0)),0)))</f>
        <v/>
      </c>
      <c r="AA3353" s="94">
        <f>IF($A3353="",0,IF(AE3353="직접",IF(OR(AF3353="유지비",AF3353="손해조사비"),$P3353,0),$P3353*(1-AG3353)*IFERROR(INDEX(계정대체기준!$D$20:$D$49,MATCH($N3353,계정대체기준!$A$20:$A$49,0)),0)))</f>
        <v/>
      </c>
      <c r="AB3353" s="94">
        <f>IF($A3353="",0,IF(AE3353="직접",IF(AF3353="수금비",$P3353,0),$P3353*(1-AG3353)*IFERROR(INDEX(계정대체기준!$E$20:$E$49,MATCH($N3353,계정대체기준!$A$20:$A$49,0)),0)))</f>
        <v/>
      </c>
      <c r="AC3353" s="9">
        <f>IF(AND($A3353&lt;&gt;"",M3353=설정!$C$20,Z3353&gt;0),Z3353+ROW()/1000000000,"")</f>
        <v/>
      </c>
      <c r="AD3353" s="94">
        <f>IF($A3353="",0,$P3353*AG3353)</f>
        <v/>
      </c>
      <c r="AE3353" s="64">
        <f>IF($A3353="","",IFERROR(INDEX(계정매핑!$E$5:$E$504,MATCH($F3353&amp;"",계정매핑!$A$5:$A$504,0))&amp;"","공통비"))</f>
        <v/>
      </c>
      <c r="AF3353" s="64">
        <f>IF($A3353="","",IF(AE3353="직접",IFERROR(INDEX(계정매핑!$F$5:$F$504,MATCH($F3353&amp;"",계정매핑!$A$5:$A$504,0))&amp;"","비귀속"),""))</f>
        <v/>
      </c>
      <c r="AG3353" s="96">
        <f>IF($A3353="",0,IF(AND(AE3353&lt;&gt;"직접",IFERROR(INDEX(계정매핑!$G$5:$G$504,MATCH($F3353&amp;"",계정매핑!$A$5:$A$504,0))&amp;"","")="유지비",COUNTIF(계정대체기준!$A$6:$A$15,$N3353)&gt;0),IFERROR(INDEX(계정대체기준!$E$6:$E$15,MATCH(VALUE($A3353&amp;""),계정대체기준!$D$6:$D$15,0)),0),0))</f>
        <v/>
      </c>
      <c r="AH3353" s="64">
        <f>IF($A3353="","",IF(AD3353=0,"",IF(OR(COUNTIF(계정대체기준!$A$77:$A$86,$N3353)&gt;0,ISNUMBER(MATCH($X3353,계정대체기준!$D$77:$D$86,0)),ISNUMBER(MATCH($F3353,계정대체기준!$D$77:$D$86,0))),"Y","N")))</f>
        <v/>
      </c>
    </row>
    <row r="3354">
      <c r="A3354" s="92" t="n">
        <v>2026</v>
      </c>
      <c r="B3354" s="92" t="n">
        <v>3</v>
      </c>
      <c r="C3354" s="92" t="inlineStr">
        <is>
          <t>5100000632</t>
        </is>
      </c>
      <c r="D3354" s="95" t="n">
        <v>46103</v>
      </c>
      <c r="E3354" s="92" t="inlineStr">
        <is>
          <t>KR</t>
        </is>
      </c>
      <c r="F3354" s="92" t="n">
        <v>62102000</v>
      </c>
      <c r="G3354" s="92" t="n">
        <v>1502</v>
      </c>
      <c r="H3354" s="93" t="n">
        <v>136000</v>
      </c>
      <c r="I3354" s="92" t="inlineStr">
        <is>
          <t>3월 해외출장 - M항공</t>
        </is>
      </c>
      <c r="J3354" s="92" t="inlineStr">
        <is>
          <t>V10001</t>
        </is>
      </c>
      <c r="K3354" s="92" t="inlineStr">
        <is>
          <t>M항공</t>
        </is>
      </c>
      <c r="M3354" s="9">
        <f>IF($A3354="","",VALUE($A3354&amp;"")*12+VALUE($B3354&amp;""))</f>
        <v/>
      </c>
      <c r="N3354" s="64">
        <f>IF($A3354="","",IFERROR(INDEX(부서매핑!$C$5:$C$504,MATCH($G3354&amp;"",부서매핑!$A$5:$A$504,0)),"미매핑"))</f>
        <v/>
      </c>
      <c r="O3354" s="9">
        <f>IF($A3354="","",N3354&amp;"|"&amp;$F3354)</f>
        <v/>
      </c>
      <c r="P3354" s="94">
        <f>IF($A3354="",0,$H3354*설정!$C$23)</f>
        <v/>
      </c>
      <c r="Q3354" s="64">
        <f>IF($A3354="","",IF(O3354&lt;&gt;원인분석!$C$9,"",IF(AND(M3354&gt;=원인분석!$C$10,M3354&lt;=원인분석!$C$11),"당기",IF(AND(M3354&gt;=원인분석!$C$12,M3354&lt;=원인분석!$C$13),"비교",""))))</f>
        <v/>
      </c>
      <c r="R3354" s="9">
        <f>IF(Q3354="","",$K3354&amp;"")</f>
        <v/>
      </c>
      <c r="S3354" s="9">
        <f>IF(Q3354="","",IF(MATCH(R3354,$R$5:$R$100000,0)=ROW()-4,ROW(),""))</f>
        <v/>
      </c>
      <c r="T3354" s="9">
        <f>IF(Q3354="당기",ABS(P3354)+ROW()/1000000000,"")</f>
        <v/>
      </c>
      <c r="U3354" s="9">
        <f>IF(Q3354="비교",ABS(P3354)+ROW()/1000000000,"")</f>
        <v/>
      </c>
      <c r="V3354" s="64">
        <f>IF($A3354="","",IF(COUNTIF(변동분석!$E$7:$E$506,O3354)&gt;0,"Y","N"))</f>
        <v/>
      </c>
      <c r="W3354" s="64">
        <f>IF($A3354="","",IFERROR(INDEX(계정매핑!$D$5:$D$504,MATCH($F3354&amp;"",계정매핑!$A$5:$A$504,0)),"미매핑"))</f>
        <v/>
      </c>
      <c r="X3354" s="9">
        <f>IF($A3354="","",$F3354&amp;"")</f>
        <v/>
      </c>
      <c r="Y3354" s="94">
        <f>IF($A3354="",0,IF(AE3354="직접",IF(AF3354="비귀속",$P3354,0),$P3354*(1-AG3354)*IFERROR(INDEX(계정대체기준!$F$20:$F$49,MATCH($N3354,계정대체기준!$A$20:$A$49,0)),1)))</f>
        <v/>
      </c>
      <c r="Z3354" s="94">
        <f>IF($A3354="",0,IF(AE3354="직접",IF(AF3354="신계약비",$P3354,0),$P3354*(1-AG3354)*IFERROR(INDEX(계정대체기준!$C$20:$C$49,MATCH($N3354,계정대체기준!$A$20:$A$49,0)),0)))</f>
        <v/>
      </c>
      <c r="AA3354" s="94">
        <f>IF($A3354="",0,IF(AE3354="직접",IF(OR(AF3354="유지비",AF3354="손해조사비"),$P3354,0),$P3354*(1-AG3354)*IFERROR(INDEX(계정대체기준!$D$20:$D$49,MATCH($N3354,계정대체기준!$A$20:$A$49,0)),0)))</f>
        <v/>
      </c>
      <c r="AB3354" s="94">
        <f>IF($A3354="",0,IF(AE3354="직접",IF(AF3354="수금비",$P3354,0),$P3354*(1-AG3354)*IFERROR(INDEX(계정대체기준!$E$20:$E$49,MATCH($N3354,계정대체기준!$A$20:$A$49,0)),0)))</f>
        <v/>
      </c>
      <c r="AC3354" s="9">
        <f>IF(AND($A3354&lt;&gt;"",M3354=설정!$C$20,Z3354&gt;0),Z3354+ROW()/1000000000,"")</f>
        <v/>
      </c>
      <c r="AD3354" s="94">
        <f>IF($A3354="",0,$P3354*AG3354)</f>
        <v/>
      </c>
      <c r="AE3354" s="64">
        <f>IF($A3354="","",IFERROR(INDEX(계정매핑!$E$5:$E$504,MATCH($F3354&amp;"",계정매핑!$A$5:$A$504,0))&amp;"","공통비"))</f>
        <v/>
      </c>
      <c r="AF3354" s="64">
        <f>IF($A3354="","",IF(AE3354="직접",IFERROR(INDEX(계정매핑!$F$5:$F$504,MATCH($F3354&amp;"",계정매핑!$A$5:$A$504,0))&amp;"","비귀속"),""))</f>
        <v/>
      </c>
      <c r="AG3354" s="96">
        <f>IF($A3354="",0,IF(AND(AE3354&lt;&gt;"직접",IFERROR(INDEX(계정매핑!$G$5:$G$504,MATCH($F3354&amp;"",계정매핑!$A$5:$A$504,0))&amp;"","")="유지비",COUNTIF(계정대체기준!$A$6:$A$15,$N3354)&gt;0),IFERROR(INDEX(계정대체기준!$E$6:$E$15,MATCH(VALUE($A3354&amp;""),계정대체기준!$D$6:$D$15,0)),0),0))</f>
        <v/>
      </c>
      <c r="AH3354" s="64">
        <f>IF($A3354="","",IF(AD3354=0,"",IF(OR(COUNTIF(계정대체기준!$A$77:$A$86,$N3354)&gt;0,ISNUMBER(MATCH($X3354,계정대체기준!$D$77:$D$86,0)),ISNUMBER(MATCH($F3354,계정대체기준!$D$77:$D$86,0))),"Y","N")))</f>
        <v/>
      </c>
    </row>
    <row r="3355">
      <c r="A3355" s="92" t="n">
        <v>2026</v>
      </c>
      <c r="B3355" s="92" t="n">
        <v>3</v>
      </c>
      <c r="C3355" s="92" t="inlineStr">
        <is>
          <t>5100000633</t>
        </is>
      </c>
      <c r="D3355" s="95" t="n">
        <v>46103</v>
      </c>
      <c r="E3355" s="92" t="inlineStr">
        <is>
          <t>KR</t>
        </is>
      </c>
      <c r="F3355" s="92" t="n">
        <v>62401000</v>
      </c>
      <c r="G3355" s="92" t="n">
        <v>1801</v>
      </c>
      <c r="H3355" s="93" t="n">
        <v>3430000</v>
      </c>
      <c r="I3355" s="92" t="inlineStr">
        <is>
          <t>3월 인쇄물 제작 - G인쇄</t>
        </is>
      </c>
      <c r="J3355" s="92" t="inlineStr">
        <is>
          <t>V10004</t>
        </is>
      </c>
      <c r="K3355" s="92" t="inlineStr">
        <is>
          <t>G인쇄</t>
        </is>
      </c>
      <c r="M3355" s="9">
        <f>IF($A3355="","",VALUE($A3355&amp;"")*12+VALUE($B3355&amp;""))</f>
        <v/>
      </c>
      <c r="N3355" s="64">
        <f>IF($A3355="","",IFERROR(INDEX(부서매핑!$C$5:$C$504,MATCH($G3355&amp;"",부서매핑!$A$5:$A$504,0)),"미매핑"))</f>
        <v/>
      </c>
      <c r="O3355" s="9">
        <f>IF($A3355="","",N3355&amp;"|"&amp;$F3355)</f>
        <v/>
      </c>
      <c r="P3355" s="94">
        <f>IF($A3355="",0,$H3355*설정!$C$23)</f>
        <v/>
      </c>
      <c r="Q3355" s="64">
        <f>IF($A3355="","",IF(O3355&lt;&gt;원인분석!$C$9,"",IF(AND(M3355&gt;=원인분석!$C$10,M3355&lt;=원인분석!$C$11),"당기",IF(AND(M3355&gt;=원인분석!$C$12,M3355&lt;=원인분석!$C$13),"비교",""))))</f>
        <v/>
      </c>
      <c r="R3355" s="9">
        <f>IF(Q3355="","",$K3355&amp;"")</f>
        <v/>
      </c>
      <c r="S3355" s="9">
        <f>IF(Q3355="","",IF(MATCH(R3355,$R$5:$R$100000,0)=ROW()-4,ROW(),""))</f>
        <v/>
      </c>
      <c r="T3355" s="9">
        <f>IF(Q3355="당기",ABS(P3355)+ROW()/1000000000,"")</f>
        <v/>
      </c>
      <c r="U3355" s="9">
        <f>IF(Q3355="비교",ABS(P3355)+ROW()/1000000000,"")</f>
        <v/>
      </c>
      <c r="V3355" s="64">
        <f>IF($A3355="","",IF(COUNTIF(변동분석!$E$7:$E$506,O3355)&gt;0,"Y","N"))</f>
        <v/>
      </c>
      <c r="W3355" s="64">
        <f>IF($A3355="","",IFERROR(INDEX(계정매핑!$D$5:$D$504,MATCH($F3355&amp;"",계정매핑!$A$5:$A$504,0)),"미매핑"))</f>
        <v/>
      </c>
      <c r="X3355" s="9">
        <f>IF($A3355="","",$F3355&amp;"")</f>
        <v/>
      </c>
      <c r="Y3355" s="94">
        <f>IF($A3355="",0,IF(AE3355="직접",IF(AF3355="비귀속",$P3355,0),$P3355*(1-AG3355)*IFERROR(INDEX(계정대체기준!$F$20:$F$49,MATCH($N3355,계정대체기준!$A$20:$A$49,0)),1)))</f>
        <v/>
      </c>
      <c r="Z3355" s="94">
        <f>IF($A3355="",0,IF(AE3355="직접",IF(AF3355="신계약비",$P3355,0),$P3355*(1-AG3355)*IFERROR(INDEX(계정대체기준!$C$20:$C$49,MATCH($N3355,계정대체기준!$A$20:$A$49,0)),0)))</f>
        <v/>
      </c>
      <c r="AA3355" s="94">
        <f>IF($A3355="",0,IF(AE3355="직접",IF(OR(AF3355="유지비",AF3355="손해조사비"),$P3355,0),$P3355*(1-AG3355)*IFERROR(INDEX(계정대체기준!$D$20:$D$49,MATCH($N3355,계정대체기준!$A$20:$A$49,0)),0)))</f>
        <v/>
      </c>
      <c r="AB3355" s="94">
        <f>IF($A3355="",0,IF(AE3355="직접",IF(AF3355="수금비",$P3355,0),$P3355*(1-AG3355)*IFERROR(INDEX(계정대체기준!$E$20:$E$49,MATCH($N3355,계정대체기준!$A$20:$A$49,0)),0)))</f>
        <v/>
      </c>
      <c r="AC3355" s="9">
        <f>IF(AND($A3355&lt;&gt;"",M3355=설정!$C$20,Z3355&gt;0),Z3355+ROW()/1000000000,"")</f>
        <v/>
      </c>
      <c r="AD3355" s="94">
        <f>IF($A3355="",0,$P3355*AG3355)</f>
        <v/>
      </c>
      <c r="AE3355" s="64">
        <f>IF($A3355="","",IFERROR(INDEX(계정매핑!$E$5:$E$504,MATCH($F3355&amp;"",계정매핑!$A$5:$A$504,0))&amp;"","공통비"))</f>
        <v/>
      </c>
      <c r="AF3355" s="64">
        <f>IF($A3355="","",IF(AE3355="직접",IFERROR(INDEX(계정매핑!$F$5:$F$504,MATCH($F3355&amp;"",계정매핑!$A$5:$A$504,0))&amp;"","비귀속"),""))</f>
        <v/>
      </c>
      <c r="AG3355" s="96">
        <f>IF($A3355="",0,IF(AND(AE3355&lt;&gt;"직접",IFERROR(INDEX(계정매핑!$G$5:$G$504,MATCH($F3355&amp;"",계정매핑!$A$5:$A$504,0))&amp;"","")="유지비",COUNTIF(계정대체기준!$A$6:$A$15,$N3355)&gt;0),IFERROR(INDEX(계정대체기준!$E$6:$E$15,MATCH(VALUE($A3355&amp;""),계정대체기준!$D$6:$D$15,0)),0),0))</f>
        <v/>
      </c>
      <c r="AH3355" s="64">
        <f>IF($A3355="","",IF(AD3355=0,"",IF(OR(COUNTIF(계정대체기준!$A$77:$A$86,$N3355)&gt;0,ISNUMBER(MATCH($X3355,계정대체기준!$D$77:$D$86,0)),ISNUMBER(MATCH($F3355,계정대체기준!$D$77:$D$86,0))),"Y","N")))</f>
        <v/>
      </c>
    </row>
    <row r="3356">
      <c r="A3356" s="92" t="n">
        <v>2026</v>
      </c>
      <c r="B3356" s="92" t="n">
        <v>3</v>
      </c>
      <c r="C3356" s="92" t="inlineStr">
        <is>
          <t>5100000634</t>
        </is>
      </c>
      <c r="D3356" s="95" t="n">
        <v>46103</v>
      </c>
      <c r="E3356" s="92" t="inlineStr">
        <is>
          <t>KR</t>
        </is>
      </c>
      <c r="F3356" s="92" t="n">
        <v>62501000</v>
      </c>
      <c r="G3356" s="92" t="n">
        <v>1101</v>
      </c>
      <c r="H3356" s="93" t="n">
        <v>198000</v>
      </c>
      <c r="I3356" s="92" t="inlineStr">
        <is>
          <t>3월 회의 다과 - (법인카드)</t>
        </is>
      </c>
      <c r="J3356" s="92" t="inlineStr">
        <is>
          <t>V10010</t>
        </is>
      </c>
      <c r="K3356" s="92" t="inlineStr">
        <is>
          <t>(법인카드)</t>
        </is>
      </c>
      <c r="M3356" s="9">
        <f>IF($A3356="","",VALUE($A3356&amp;"")*12+VALUE($B3356&amp;""))</f>
        <v/>
      </c>
      <c r="N3356" s="64">
        <f>IF($A3356="","",IFERROR(INDEX(부서매핑!$C$5:$C$504,MATCH($G3356&amp;"",부서매핑!$A$5:$A$504,0)),"미매핑"))</f>
        <v/>
      </c>
      <c r="O3356" s="9">
        <f>IF($A3356="","",N3356&amp;"|"&amp;$F3356)</f>
        <v/>
      </c>
      <c r="P3356" s="94">
        <f>IF($A3356="",0,$H3356*설정!$C$23)</f>
        <v/>
      </c>
      <c r="Q3356" s="64">
        <f>IF($A3356="","",IF(O3356&lt;&gt;원인분석!$C$9,"",IF(AND(M3356&gt;=원인분석!$C$10,M3356&lt;=원인분석!$C$11),"당기",IF(AND(M3356&gt;=원인분석!$C$12,M3356&lt;=원인분석!$C$13),"비교",""))))</f>
        <v/>
      </c>
      <c r="R3356" s="9">
        <f>IF(Q3356="","",$K3356&amp;"")</f>
        <v/>
      </c>
      <c r="S3356" s="9">
        <f>IF(Q3356="","",IF(MATCH(R3356,$R$5:$R$100000,0)=ROW()-4,ROW(),""))</f>
        <v/>
      </c>
      <c r="T3356" s="9">
        <f>IF(Q3356="당기",ABS(P3356)+ROW()/1000000000,"")</f>
        <v/>
      </c>
      <c r="U3356" s="9">
        <f>IF(Q3356="비교",ABS(P3356)+ROW()/1000000000,"")</f>
        <v/>
      </c>
      <c r="V3356" s="64">
        <f>IF($A3356="","",IF(COUNTIF(변동분석!$E$7:$E$506,O3356)&gt;0,"Y","N"))</f>
        <v/>
      </c>
      <c r="W3356" s="64">
        <f>IF($A3356="","",IFERROR(INDEX(계정매핑!$D$5:$D$504,MATCH($F3356&amp;"",계정매핑!$A$5:$A$504,0)),"미매핑"))</f>
        <v/>
      </c>
      <c r="X3356" s="9">
        <f>IF($A3356="","",$F3356&amp;"")</f>
        <v/>
      </c>
      <c r="Y3356" s="94">
        <f>IF($A3356="",0,IF(AE3356="직접",IF(AF3356="비귀속",$P3356,0),$P3356*(1-AG3356)*IFERROR(INDEX(계정대체기준!$F$20:$F$49,MATCH($N3356,계정대체기준!$A$20:$A$49,0)),1)))</f>
        <v/>
      </c>
      <c r="Z3356" s="94">
        <f>IF($A3356="",0,IF(AE3356="직접",IF(AF3356="신계약비",$P3356,0),$P3356*(1-AG3356)*IFERROR(INDEX(계정대체기준!$C$20:$C$49,MATCH($N3356,계정대체기준!$A$20:$A$49,0)),0)))</f>
        <v/>
      </c>
      <c r="AA3356" s="94">
        <f>IF($A3356="",0,IF(AE3356="직접",IF(OR(AF3356="유지비",AF3356="손해조사비"),$P3356,0),$P3356*(1-AG3356)*IFERROR(INDEX(계정대체기준!$D$20:$D$49,MATCH($N3356,계정대체기준!$A$20:$A$49,0)),0)))</f>
        <v/>
      </c>
      <c r="AB3356" s="94">
        <f>IF($A3356="",0,IF(AE3356="직접",IF(AF3356="수금비",$P3356,0),$P3356*(1-AG3356)*IFERROR(INDEX(계정대체기준!$E$20:$E$49,MATCH($N3356,계정대체기준!$A$20:$A$49,0)),0)))</f>
        <v/>
      </c>
      <c r="AC3356" s="9">
        <f>IF(AND($A3356&lt;&gt;"",M3356=설정!$C$20,Z3356&gt;0),Z3356+ROW()/1000000000,"")</f>
        <v/>
      </c>
      <c r="AD3356" s="94">
        <f>IF($A3356="",0,$P3356*AG3356)</f>
        <v/>
      </c>
      <c r="AE3356" s="64">
        <f>IF($A3356="","",IFERROR(INDEX(계정매핑!$E$5:$E$504,MATCH($F3356&amp;"",계정매핑!$A$5:$A$504,0))&amp;"","공통비"))</f>
        <v/>
      </c>
      <c r="AF3356" s="64">
        <f>IF($A3356="","",IF(AE3356="직접",IFERROR(INDEX(계정매핑!$F$5:$F$504,MATCH($F3356&amp;"",계정매핑!$A$5:$A$504,0))&amp;"","비귀속"),""))</f>
        <v/>
      </c>
      <c r="AG3356" s="96">
        <f>IF($A3356="",0,IF(AND(AE3356&lt;&gt;"직접",IFERROR(INDEX(계정매핑!$G$5:$G$504,MATCH($F3356&amp;"",계정매핑!$A$5:$A$504,0))&amp;"","")="유지비",COUNTIF(계정대체기준!$A$6:$A$15,$N3356)&gt;0),IFERROR(INDEX(계정대체기준!$E$6:$E$15,MATCH(VALUE($A3356&amp;""),계정대체기준!$D$6:$D$15,0)),0),0))</f>
        <v/>
      </c>
      <c r="AH3356" s="64">
        <f>IF($A3356="","",IF(AD3356=0,"",IF(OR(COUNTIF(계정대체기준!$A$77:$A$86,$N3356)&gt;0,ISNUMBER(MATCH($X3356,계정대체기준!$D$77:$D$86,0)),ISNUMBER(MATCH($F3356,계정대체기준!$D$77:$D$86,0))),"Y","N")))</f>
        <v/>
      </c>
    </row>
    <row r="3357">
      <c r="A3357" s="92" t="n">
        <v>2026</v>
      </c>
      <c r="B3357" s="92" t="n">
        <v>3</v>
      </c>
      <c r="C3357" s="92" t="inlineStr">
        <is>
          <t>5100000635</t>
        </is>
      </c>
      <c r="D3357" s="95" t="n">
        <v>46103</v>
      </c>
      <c r="E3357" s="92" t="inlineStr">
        <is>
          <t>KR</t>
        </is>
      </c>
      <c r="F3357" s="92" t="n">
        <v>62601000</v>
      </c>
      <c r="G3357" s="92" t="n">
        <v>1501</v>
      </c>
      <c r="H3357" s="93" t="n">
        <v>1616000</v>
      </c>
      <c r="I3357" s="92" t="inlineStr">
        <is>
          <t>3월 업무추진 - (법인카드)</t>
        </is>
      </c>
      <c r="J3357" s="92" t="inlineStr">
        <is>
          <t>V10010</t>
        </is>
      </c>
      <c r="K3357" s="92" t="inlineStr">
        <is>
          <t>(법인카드)</t>
        </is>
      </c>
      <c r="M3357" s="9">
        <f>IF($A3357="","",VALUE($A3357&amp;"")*12+VALUE($B3357&amp;""))</f>
        <v/>
      </c>
      <c r="N3357" s="64">
        <f>IF($A3357="","",IFERROR(INDEX(부서매핑!$C$5:$C$504,MATCH($G3357&amp;"",부서매핑!$A$5:$A$504,0)),"미매핑"))</f>
        <v/>
      </c>
      <c r="O3357" s="9">
        <f>IF($A3357="","",N3357&amp;"|"&amp;$F3357)</f>
        <v/>
      </c>
      <c r="P3357" s="94">
        <f>IF($A3357="",0,$H3357*설정!$C$23)</f>
        <v/>
      </c>
      <c r="Q3357" s="64">
        <f>IF($A3357="","",IF(O3357&lt;&gt;원인분석!$C$9,"",IF(AND(M3357&gt;=원인분석!$C$10,M3357&lt;=원인분석!$C$11),"당기",IF(AND(M3357&gt;=원인분석!$C$12,M3357&lt;=원인분석!$C$13),"비교",""))))</f>
        <v/>
      </c>
      <c r="R3357" s="9">
        <f>IF(Q3357="","",$K3357&amp;"")</f>
        <v/>
      </c>
      <c r="S3357" s="9">
        <f>IF(Q3357="","",IF(MATCH(R3357,$R$5:$R$100000,0)=ROW()-4,ROW(),""))</f>
        <v/>
      </c>
      <c r="T3357" s="9">
        <f>IF(Q3357="당기",ABS(P3357)+ROW()/1000000000,"")</f>
        <v/>
      </c>
      <c r="U3357" s="9">
        <f>IF(Q3357="비교",ABS(P3357)+ROW()/1000000000,"")</f>
        <v/>
      </c>
      <c r="V3357" s="64">
        <f>IF($A3357="","",IF(COUNTIF(변동분석!$E$7:$E$506,O3357)&gt;0,"Y","N"))</f>
        <v/>
      </c>
      <c r="W3357" s="64">
        <f>IF($A3357="","",IFERROR(INDEX(계정매핑!$D$5:$D$504,MATCH($F3357&amp;"",계정매핑!$A$5:$A$504,0)),"미매핑"))</f>
        <v/>
      </c>
      <c r="X3357" s="9">
        <f>IF($A3357="","",$F3357&amp;"")</f>
        <v/>
      </c>
      <c r="Y3357" s="94">
        <f>IF($A3357="",0,IF(AE3357="직접",IF(AF3357="비귀속",$P3357,0),$P3357*(1-AG3357)*IFERROR(INDEX(계정대체기준!$F$20:$F$49,MATCH($N3357,계정대체기준!$A$20:$A$49,0)),1)))</f>
        <v/>
      </c>
      <c r="Z3357" s="94">
        <f>IF($A3357="",0,IF(AE3357="직접",IF(AF3357="신계약비",$P3357,0),$P3357*(1-AG3357)*IFERROR(INDEX(계정대체기준!$C$20:$C$49,MATCH($N3357,계정대체기준!$A$20:$A$49,0)),0)))</f>
        <v/>
      </c>
      <c r="AA3357" s="94">
        <f>IF($A3357="",0,IF(AE3357="직접",IF(OR(AF3357="유지비",AF3357="손해조사비"),$P3357,0),$P3357*(1-AG3357)*IFERROR(INDEX(계정대체기준!$D$20:$D$49,MATCH($N3357,계정대체기준!$A$20:$A$49,0)),0)))</f>
        <v/>
      </c>
      <c r="AB3357" s="94">
        <f>IF($A3357="",0,IF(AE3357="직접",IF(AF3357="수금비",$P3357,0),$P3357*(1-AG3357)*IFERROR(INDEX(계정대체기준!$E$20:$E$49,MATCH($N3357,계정대체기준!$A$20:$A$49,0)),0)))</f>
        <v/>
      </c>
      <c r="AC3357" s="9">
        <f>IF(AND($A3357&lt;&gt;"",M3357=설정!$C$20,Z3357&gt;0),Z3357+ROW()/1000000000,"")</f>
        <v/>
      </c>
      <c r="AD3357" s="94">
        <f>IF($A3357="",0,$P3357*AG3357)</f>
        <v/>
      </c>
      <c r="AE3357" s="64">
        <f>IF($A3357="","",IFERROR(INDEX(계정매핑!$E$5:$E$504,MATCH($F3357&amp;"",계정매핑!$A$5:$A$504,0))&amp;"","공통비"))</f>
        <v/>
      </c>
      <c r="AF3357" s="64">
        <f>IF($A3357="","",IF(AE3357="직접",IFERROR(INDEX(계정매핑!$F$5:$F$504,MATCH($F3357&amp;"",계정매핑!$A$5:$A$504,0))&amp;"","비귀속"),""))</f>
        <v/>
      </c>
      <c r="AG3357" s="96">
        <f>IF($A3357="",0,IF(AND(AE3357&lt;&gt;"직접",IFERROR(INDEX(계정매핑!$G$5:$G$504,MATCH($F3357&amp;"",계정매핑!$A$5:$A$504,0))&amp;"","")="유지비",COUNTIF(계정대체기준!$A$6:$A$15,$N3357)&gt;0),IFERROR(INDEX(계정대체기준!$E$6:$E$15,MATCH(VALUE($A3357&amp;""),계정대체기준!$D$6:$D$15,0)),0),0))</f>
        <v/>
      </c>
      <c r="AH3357" s="64">
        <f>IF($A3357="","",IF(AD3357=0,"",IF(OR(COUNTIF(계정대체기준!$A$77:$A$86,$N3357)&gt;0,ISNUMBER(MATCH($X3357,계정대체기준!$D$77:$D$86,0)),ISNUMBER(MATCH($F3357,계정대체기준!$D$77:$D$86,0))),"Y","N")))</f>
        <v/>
      </c>
    </row>
    <row r="3358">
      <c r="A3358" s="92" t="n">
        <v>2026</v>
      </c>
      <c r="B3358" s="92" t="n">
        <v>3</v>
      </c>
      <c r="C3358" s="92" t="inlineStr">
        <is>
          <t>5100000636</t>
        </is>
      </c>
      <c r="D3358" s="95" t="n">
        <v>46103</v>
      </c>
      <c r="E3358" s="92" t="inlineStr">
        <is>
          <t>KR</t>
        </is>
      </c>
      <c r="F3358" s="92" t="n">
        <v>62801000</v>
      </c>
      <c r="G3358" s="92" t="n">
        <v>1301</v>
      </c>
      <c r="H3358" s="93" t="n">
        <v>3614000</v>
      </c>
      <c r="I3358" s="92" t="inlineStr">
        <is>
          <t>3월 사내교육 - (사내강사료)</t>
        </is>
      </c>
      <c r="J3358" s="92" t="inlineStr">
        <is>
          <t>V10024</t>
        </is>
      </c>
      <c r="K3358" s="92" t="inlineStr">
        <is>
          <t>(사내강사료)</t>
        </is>
      </c>
      <c r="M3358" s="9">
        <f>IF($A3358="","",VALUE($A3358&amp;"")*12+VALUE($B3358&amp;""))</f>
        <v/>
      </c>
      <c r="N3358" s="64">
        <f>IF($A3358="","",IFERROR(INDEX(부서매핑!$C$5:$C$504,MATCH($G3358&amp;"",부서매핑!$A$5:$A$504,0)),"미매핑"))</f>
        <v/>
      </c>
      <c r="O3358" s="9">
        <f>IF($A3358="","",N3358&amp;"|"&amp;$F3358)</f>
        <v/>
      </c>
      <c r="P3358" s="94">
        <f>IF($A3358="",0,$H3358*설정!$C$23)</f>
        <v/>
      </c>
      <c r="Q3358" s="64">
        <f>IF($A3358="","",IF(O3358&lt;&gt;원인분석!$C$9,"",IF(AND(M3358&gt;=원인분석!$C$10,M3358&lt;=원인분석!$C$11),"당기",IF(AND(M3358&gt;=원인분석!$C$12,M3358&lt;=원인분석!$C$13),"비교",""))))</f>
        <v/>
      </c>
      <c r="R3358" s="9">
        <f>IF(Q3358="","",$K3358&amp;"")</f>
        <v/>
      </c>
      <c r="S3358" s="9">
        <f>IF(Q3358="","",IF(MATCH(R3358,$R$5:$R$100000,0)=ROW()-4,ROW(),""))</f>
        <v/>
      </c>
      <c r="T3358" s="9">
        <f>IF(Q3358="당기",ABS(P3358)+ROW()/1000000000,"")</f>
        <v/>
      </c>
      <c r="U3358" s="9">
        <f>IF(Q3358="비교",ABS(P3358)+ROW()/1000000000,"")</f>
        <v/>
      </c>
      <c r="V3358" s="64">
        <f>IF($A3358="","",IF(COUNTIF(변동분석!$E$7:$E$506,O3358)&gt;0,"Y","N"))</f>
        <v/>
      </c>
      <c r="W3358" s="64">
        <f>IF($A3358="","",IFERROR(INDEX(계정매핑!$D$5:$D$504,MATCH($F3358&amp;"",계정매핑!$A$5:$A$504,0)),"미매핑"))</f>
        <v/>
      </c>
      <c r="X3358" s="9">
        <f>IF($A3358="","",$F3358&amp;"")</f>
        <v/>
      </c>
      <c r="Y3358" s="94">
        <f>IF($A3358="",0,IF(AE3358="직접",IF(AF3358="비귀속",$P3358,0),$P3358*(1-AG3358)*IFERROR(INDEX(계정대체기준!$F$20:$F$49,MATCH($N3358,계정대체기준!$A$20:$A$49,0)),1)))</f>
        <v/>
      </c>
      <c r="Z3358" s="94">
        <f>IF($A3358="",0,IF(AE3358="직접",IF(AF3358="신계약비",$P3358,0),$P3358*(1-AG3358)*IFERROR(INDEX(계정대체기준!$C$20:$C$49,MATCH($N3358,계정대체기준!$A$20:$A$49,0)),0)))</f>
        <v/>
      </c>
      <c r="AA3358" s="94">
        <f>IF($A3358="",0,IF(AE3358="직접",IF(OR(AF3358="유지비",AF3358="손해조사비"),$P3358,0),$P3358*(1-AG3358)*IFERROR(INDEX(계정대체기준!$D$20:$D$49,MATCH($N3358,계정대체기준!$A$20:$A$49,0)),0)))</f>
        <v/>
      </c>
      <c r="AB3358" s="94">
        <f>IF($A3358="",0,IF(AE3358="직접",IF(AF3358="수금비",$P3358,0),$P3358*(1-AG3358)*IFERROR(INDEX(계정대체기준!$E$20:$E$49,MATCH($N3358,계정대체기준!$A$20:$A$49,0)),0)))</f>
        <v/>
      </c>
      <c r="AC3358" s="9">
        <f>IF(AND($A3358&lt;&gt;"",M3358=설정!$C$20,Z3358&gt;0),Z3358+ROW()/1000000000,"")</f>
        <v/>
      </c>
      <c r="AD3358" s="94">
        <f>IF($A3358="",0,$P3358*AG3358)</f>
        <v/>
      </c>
      <c r="AE3358" s="64">
        <f>IF($A3358="","",IFERROR(INDEX(계정매핑!$E$5:$E$504,MATCH($F3358&amp;"",계정매핑!$A$5:$A$504,0))&amp;"","공통비"))</f>
        <v/>
      </c>
      <c r="AF3358" s="64">
        <f>IF($A3358="","",IF(AE3358="직접",IFERROR(INDEX(계정매핑!$F$5:$F$504,MATCH($F3358&amp;"",계정매핑!$A$5:$A$504,0))&amp;"","비귀속"),""))</f>
        <v/>
      </c>
      <c r="AG3358" s="96">
        <f>IF($A3358="",0,IF(AND(AE3358&lt;&gt;"직접",IFERROR(INDEX(계정매핑!$G$5:$G$504,MATCH($F3358&amp;"",계정매핑!$A$5:$A$504,0))&amp;"","")="유지비",COUNTIF(계정대체기준!$A$6:$A$15,$N3358)&gt;0),IFERROR(INDEX(계정대체기준!$E$6:$E$15,MATCH(VALUE($A3358&amp;""),계정대체기준!$D$6:$D$15,0)),0),0))</f>
        <v/>
      </c>
      <c r="AH3358" s="64">
        <f>IF($A3358="","",IF(AD3358=0,"",IF(OR(COUNTIF(계정대체기준!$A$77:$A$86,$N3358)&gt;0,ISNUMBER(MATCH($X3358,계정대체기준!$D$77:$D$86,0)),ISNUMBER(MATCH($F3358,계정대체기준!$D$77:$D$86,0))),"Y","N")))</f>
        <v/>
      </c>
    </row>
    <row r="3359">
      <c r="A3359" s="92" t="n">
        <v>2026</v>
      </c>
      <c r="B3359" s="92" t="n">
        <v>3</v>
      </c>
      <c r="C3359" s="92" t="inlineStr">
        <is>
          <t>5100000637</t>
        </is>
      </c>
      <c r="D3359" s="95" t="n">
        <v>46103</v>
      </c>
      <c r="E3359" s="92" t="inlineStr">
        <is>
          <t>KR</t>
        </is>
      </c>
      <c r="F3359" s="92" t="n">
        <v>62901000</v>
      </c>
      <c r="G3359" s="92" t="n">
        <v>1401</v>
      </c>
      <c r="H3359" s="93" t="n">
        <v>7394000</v>
      </c>
      <c r="I3359" s="92" t="inlineStr">
        <is>
          <t>3월 자문 수수료 - K회계법인</t>
        </is>
      </c>
      <c r="J3359" s="92" t="inlineStr">
        <is>
          <t>V10011</t>
        </is>
      </c>
      <c r="K3359" s="92" t="inlineStr">
        <is>
          <t>K회계법인</t>
        </is>
      </c>
      <c r="M3359" s="9">
        <f>IF($A3359="","",VALUE($A3359&amp;"")*12+VALUE($B3359&amp;""))</f>
        <v/>
      </c>
      <c r="N3359" s="64">
        <f>IF($A3359="","",IFERROR(INDEX(부서매핑!$C$5:$C$504,MATCH($G3359&amp;"",부서매핑!$A$5:$A$504,0)),"미매핑"))</f>
        <v/>
      </c>
      <c r="O3359" s="9">
        <f>IF($A3359="","",N3359&amp;"|"&amp;$F3359)</f>
        <v/>
      </c>
      <c r="P3359" s="94">
        <f>IF($A3359="",0,$H3359*설정!$C$23)</f>
        <v/>
      </c>
      <c r="Q3359" s="64">
        <f>IF($A3359="","",IF(O3359&lt;&gt;원인분석!$C$9,"",IF(AND(M3359&gt;=원인분석!$C$10,M3359&lt;=원인분석!$C$11),"당기",IF(AND(M3359&gt;=원인분석!$C$12,M3359&lt;=원인분석!$C$13),"비교",""))))</f>
        <v/>
      </c>
      <c r="R3359" s="9">
        <f>IF(Q3359="","",$K3359&amp;"")</f>
        <v/>
      </c>
      <c r="S3359" s="9">
        <f>IF(Q3359="","",IF(MATCH(R3359,$R$5:$R$100000,0)=ROW()-4,ROW(),""))</f>
        <v/>
      </c>
      <c r="T3359" s="9">
        <f>IF(Q3359="당기",ABS(P3359)+ROW()/1000000000,"")</f>
        <v/>
      </c>
      <c r="U3359" s="9">
        <f>IF(Q3359="비교",ABS(P3359)+ROW()/1000000000,"")</f>
        <v/>
      </c>
      <c r="V3359" s="64">
        <f>IF($A3359="","",IF(COUNTIF(변동분석!$E$7:$E$506,O3359)&gt;0,"Y","N"))</f>
        <v/>
      </c>
      <c r="W3359" s="64">
        <f>IF($A3359="","",IFERROR(INDEX(계정매핑!$D$5:$D$504,MATCH($F3359&amp;"",계정매핑!$A$5:$A$504,0)),"미매핑"))</f>
        <v/>
      </c>
      <c r="X3359" s="9">
        <f>IF($A3359="","",$F3359&amp;"")</f>
        <v/>
      </c>
      <c r="Y3359" s="94">
        <f>IF($A3359="",0,IF(AE3359="직접",IF(AF3359="비귀속",$P3359,0),$P3359*(1-AG3359)*IFERROR(INDEX(계정대체기준!$F$20:$F$49,MATCH($N3359,계정대체기준!$A$20:$A$49,0)),1)))</f>
        <v/>
      </c>
      <c r="Z3359" s="94">
        <f>IF($A3359="",0,IF(AE3359="직접",IF(AF3359="신계약비",$P3359,0),$P3359*(1-AG3359)*IFERROR(INDEX(계정대체기준!$C$20:$C$49,MATCH($N3359,계정대체기준!$A$20:$A$49,0)),0)))</f>
        <v/>
      </c>
      <c r="AA3359" s="94">
        <f>IF($A3359="",0,IF(AE3359="직접",IF(OR(AF3359="유지비",AF3359="손해조사비"),$P3359,0),$P3359*(1-AG3359)*IFERROR(INDEX(계정대체기준!$D$20:$D$49,MATCH($N3359,계정대체기준!$A$20:$A$49,0)),0)))</f>
        <v/>
      </c>
      <c r="AB3359" s="94">
        <f>IF($A3359="",0,IF(AE3359="직접",IF(AF3359="수금비",$P3359,0),$P3359*(1-AG3359)*IFERROR(INDEX(계정대체기준!$E$20:$E$49,MATCH($N3359,계정대체기준!$A$20:$A$49,0)),0)))</f>
        <v/>
      </c>
      <c r="AC3359" s="9">
        <f>IF(AND($A3359&lt;&gt;"",M3359=설정!$C$20,Z3359&gt;0),Z3359+ROW()/1000000000,"")</f>
        <v/>
      </c>
      <c r="AD3359" s="94">
        <f>IF($A3359="",0,$P3359*AG3359)</f>
        <v/>
      </c>
      <c r="AE3359" s="64">
        <f>IF($A3359="","",IFERROR(INDEX(계정매핑!$E$5:$E$504,MATCH($F3359&amp;"",계정매핑!$A$5:$A$504,0))&amp;"","공통비"))</f>
        <v/>
      </c>
      <c r="AF3359" s="64">
        <f>IF($A3359="","",IF(AE3359="직접",IFERROR(INDEX(계정매핑!$F$5:$F$504,MATCH($F3359&amp;"",계정매핑!$A$5:$A$504,0))&amp;"","비귀속"),""))</f>
        <v/>
      </c>
      <c r="AG3359" s="96">
        <f>IF($A3359="",0,IF(AND(AE3359&lt;&gt;"직접",IFERROR(INDEX(계정매핑!$G$5:$G$504,MATCH($F3359&amp;"",계정매핑!$A$5:$A$504,0))&amp;"","")="유지비",COUNTIF(계정대체기준!$A$6:$A$15,$N3359)&gt;0),IFERROR(INDEX(계정대체기준!$E$6:$E$15,MATCH(VALUE($A3359&amp;""),계정대체기준!$D$6:$D$15,0)),0),0))</f>
        <v/>
      </c>
      <c r="AH3359" s="64">
        <f>IF($A3359="","",IF(AD3359=0,"",IF(OR(COUNTIF(계정대체기준!$A$77:$A$86,$N3359)&gt;0,ISNUMBER(MATCH($X3359,계정대체기준!$D$77:$D$86,0)),ISNUMBER(MATCH($F3359,계정대체기준!$D$77:$D$86,0))),"Y","N")))</f>
        <v/>
      </c>
    </row>
    <row r="3360">
      <c r="A3360" s="92" t="n">
        <v>2026</v>
      </c>
      <c r="B3360" s="92" t="n">
        <v>3</v>
      </c>
      <c r="C3360" s="92" t="inlineStr">
        <is>
          <t>5100000638</t>
        </is>
      </c>
      <c r="D3360" s="95" t="n">
        <v>46103</v>
      </c>
      <c r="E3360" s="92" t="inlineStr">
        <is>
          <t>KR</t>
        </is>
      </c>
      <c r="F3360" s="92" t="n">
        <v>63001000</v>
      </c>
      <c r="G3360" s="92" t="n">
        <v>1951</v>
      </c>
      <c r="H3360" s="93" t="n">
        <v>2346000</v>
      </c>
      <c r="I3360" s="92" t="inlineStr">
        <is>
          <t>3월 SW 유지보수 - Y소프트</t>
        </is>
      </c>
      <c r="J3360" s="92" t="inlineStr">
        <is>
          <t>V10017</t>
        </is>
      </c>
      <c r="K3360" s="92" t="inlineStr">
        <is>
          <t>Y소프트</t>
        </is>
      </c>
      <c r="M3360" s="9">
        <f>IF($A3360="","",VALUE($A3360&amp;"")*12+VALUE($B3360&amp;""))</f>
        <v/>
      </c>
      <c r="N3360" s="64">
        <f>IF($A3360="","",IFERROR(INDEX(부서매핑!$C$5:$C$504,MATCH($G3360&amp;"",부서매핑!$A$5:$A$504,0)),"미매핑"))</f>
        <v/>
      </c>
      <c r="O3360" s="9">
        <f>IF($A3360="","",N3360&amp;"|"&amp;$F3360)</f>
        <v/>
      </c>
      <c r="P3360" s="94">
        <f>IF($A3360="",0,$H3360*설정!$C$23)</f>
        <v/>
      </c>
      <c r="Q3360" s="64">
        <f>IF($A3360="","",IF(O3360&lt;&gt;원인분석!$C$9,"",IF(AND(M3360&gt;=원인분석!$C$10,M3360&lt;=원인분석!$C$11),"당기",IF(AND(M3360&gt;=원인분석!$C$12,M3360&lt;=원인분석!$C$13),"비교",""))))</f>
        <v/>
      </c>
      <c r="R3360" s="9">
        <f>IF(Q3360="","",$K3360&amp;"")</f>
        <v/>
      </c>
      <c r="S3360" s="9">
        <f>IF(Q3360="","",IF(MATCH(R3360,$R$5:$R$100000,0)=ROW()-4,ROW(),""))</f>
        <v/>
      </c>
      <c r="T3360" s="9">
        <f>IF(Q3360="당기",ABS(P3360)+ROW()/1000000000,"")</f>
        <v/>
      </c>
      <c r="U3360" s="9">
        <f>IF(Q3360="비교",ABS(P3360)+ROW()/1000000000,"")</f>
        <v/>
      </c>
      <c r="V3360" s="64">
        <f>IF($A3360="","",IF(COUNTIF(변동분석!$E$7:$E$506,O3360)&gt;0,"Y","N"))</f>
        <v/>
      </c>
      <c r="W3360" s="64">
        <f>IF($A3360="","",IFERROR(INDEX(계정매핑!$D$5:$D$504,MATCH($F3360&amp;"",계정매핑!$A$5:$A$504,0)),"미매핑"))</f>
        <v/>
      </c>
      <c r="X3360" s="9">
        <f>IF($A3360="","",$F3360&amp;"")</f>
        <v/>
      </c>
      <c r="Y3360" s="94">
        <f>IF($A3360="",0,IF(AE3360="직접",IF(AF3360="비귀속",$P3360,0),$P3360*(1-AG3360)*IFERROR(INDEX(계정대체기준!$F$20:$F$49,MATCH($N3360,계정대체기준!$A$20:$A$49,0)),1)))</f>
        <v/>
      </c>
      <c r="Z3360" s="94">
        <f>IF($A3360="",0,IF(AE3360="직접",IF(AF3360="신계약비",$P3360,0),$P3360*(1-AG3360)*IFERROR(INDEX(계정대체기준!$C$20:$C$49,MATCH($N3360,계정대체기준!$A$20:$A$49,0)),0)))</f>
        <v/>
      </c>
      <c r="AA3360" s="94">
        <f>IF($A3360="",0,IF(AE3360="직접",IF(OR(AF3360="유지비",AF3360="손해조사비"),$P3360,0),$P3360*(1-AG3360)*IFERROR(INDEX(계정대체기준!$D$20:$D$49,MATCH($N3360,계정대체기준!$A$20:$A$49,0)),0)))</f>
        <v/>
      </c>
      <c r="AB3360" s="94">
        <f>IF($A3360="",0,IF(AE3360="직접",IF(AF3360="수금비",$P3360,0),$P3360*(1-AG3360)*IFERROR(INDEX(계정대체기준!$E$20:$E$49,MATCH($N3360,계정대체기준!$A$20:$A$49,0)),0)))</f>
        <v/>
      </c>
      <c r="AC3360" s="9">
        <f>IF(AND($A3360&lt;&gt;"",M3360=설정!$C$20,Z3360&gt;0),Z3360+ROW()/1000000000,"")</f>
        <v/>
      </c>
      <c r="AD3360" s="94">
        <f>IF($A3360="",0,$P3360*AG3360)</f>
        <v/>
      </c>
      <c r="AE3360" s="64">
        <f>IF($A3360="","",IFERROR(INDEX(계정매핑!$E$5:$E$504,MATCH($F3360&amp;"",계정매핑!$A$5:$A$504,0))&amp;"","공통비"))</f>
        <v/>
      </c>
      <c r="AF3360" s="64">
        <f>IF($A3360="","",IF(AE3360="직접",IFERROR(INDEX(계정매핑!$F$5:$F$504,MATCH($F3360&amp;"",계정매핑!$A$5:$A$504,0))&amp;"","비귀속"),""))</f>
        <v/>
      </c>
      <c r="AG3360" s="96">
        <f>IF($A3360="",0,IF(AND(AE3360&lt;&gt;"직접",IFERROR(INDEX(계정매핑!$G$5:$G$504,MATCH($F3360&amp;"",계정매핑!$A$5:$A$504,0))&amp;"","")="유지비",COUNTIF(계정대체기준!$A$6:$A$15,$N3360)&gt;0),IFERROR(INDEX(계정대체기준!$E$6:$E$15,MATCH(VALUE($A3360&amp;""),계정대체기준!$D$6:$D$15,0)),0),0))</f>
        <v/>
      </c>
      <c r="AH3360" s="64">
        <f>IF($A3360="","",IF(AD3360=0,"",IF(OR(COUNTIF(계정대체기준!$A$77:$A$86,$N3360)&gt;0,ISNUMBER(MATCH($X3360,계정대체기준!$D$77:$D$86,0)),ISNUMBER(MATCH($F3360,계정대체기준!$D$77:$D$86,0))),"Y","N")))</f>
        <v/>
      </c>
    </row>
    <row r="3361">
      <c r="A3361" s="92" t="n">
        <v>2026</v>
      </c>
      <c r="B3361" s="92" t="n">
        <v>3</v>
      </c>
      <c r="C3361" s="92" t="inlineStr">
        <is>
          <t>5100000639</t>
        </is>
      </c>
      <c r="D3361" s="95" t="n">
        <v>46103</v>
      </c>
      <c r="E3361" s="92" t="inlineStr">
        <is>
          <t>KR</t>
        </is>
      </c>
      <c r="F3361" s="92" t="n">
        <v>63101000</v>
      </c>
      <c r="G3361" s="92" t="n">
        <v>1602</v>
      </c>
      <c r="H3361" s="93" t="n">
        <v>9021000</v>
      </c>
      <c r="I3361" s="92" t="inlineStr">
        <is>
          <t>3월 사무실 임차료 - BB부동산</t>
        </is>
      </c>
      <c r="J3361" s="92" t="inlineStr">
        <is>
          <t>V10028</t>
        </is>
      </c>
      <c r="K3361" s="92" t="inlineStr">
        <is>
          <t>BB부동산</t>
        </is>
      </c>
      <c r="M3361" s="9">
        <f>IF($A3361="","",VALUE($A3361&amp;"")*12+VALUE($B3361&amp;""))</f>
        <v/>
      </c>
      <c r="N3361" s="64">
        <f>IF($A3361="","",IFERROR(INDEX(부서매핑!$C$5:$C$504,MATCH($G3361&amp;"",부서매핑!$A$5:$A$504,0)),"미매핑"))</f>
        <v/>
      </c>
      <c r="O3361" s="9">
        <f>IF($A3361="","",N3361&amp;"|"&amp;$F3361)</f>
        <v/>
      </c>
      <c r="P3361" s="94">
        <f>IF($A3361="",0,$H3361*설정!$C$23)</f>
        <v/>
      </c>
      <c r="Q3361" s="64">
        <f>IF($A3361="","",IF(O3361&lt;&gt;원인분석!$C$9,"",IF(AND(M3361&gt;=원인분석!$C$10,M3361&lt;=원인분석!$C$11),"당기",IF(AND(M3361&gt;=원인분석!$C$12,M3361&lt;=원인분석!$C$13),"비교",""))))</f>
        <v/>
      </c>
      <c r="R3361" s="9">
        <f>IF(Q3361="","",$K3361&amp;"")</f>
        <v/>
      </c>
      <c r="S3361" s="9">
        <f>IF(Q3361="","",IF(MATCH(R3361,$R$5:$R$100000,0)=ROW()-4,ROW(),""))</f>
        <v/>
      </c>
      <c r="T3361" s="9">
        <f>IF(Q3361="당기",ABS(P3361)+ROW()/1000000000,"")</f>
        <v/>
      </c>
      <c r="U3361" s="9">
        <f>IF(Q3361="비교",ABS(P3361)+ROW()/1000000000,"")</f>
        <v/>
      </c>
      <c r="V3361" s="64">
        <f>IF($A3361="","",IF(COUNTIF(변동분석!$E$7:$E$506,O3361)&gt;0,"Y","N"))</f>
        <v/>
      </c>
      <c r="W3361" s="64">
        <f>IF($A3361="","",IFERROR(INDEX(계정매핑!$D$5:$D$504,MATCH($F3361&amp;"",계정매핑!$A$5:$A$504,0)),"미매핑"))</f>
        <v/>
      </c>
      <c r="X3361" s="9">
        <f>IF($A3361="","",$F3361&amp;"")</f>
        <v/>
      </c>
      <c r="Y3361" s="94">
        <f>IF($A3361="",0,IF(AE3361="직접",IF(AF3361="비귀속",$P3361,0),$P3361*(1-AG3361)*IFERROR(INDEX(계정대체기준!$F$20:$F$49,MATCH($N3361,계정대체기준!$A$20:$A$49,0)),1)))</f>
        <v/>
      </c>
      <c r="Z3361" s="94">
        <f>IF($A3361="",0,IF(AE3361="직접",IF(AF3361="신계약비",$P3361,0),$P3361*(1-AG3361)*IFERROR(INDEX(계정대체기준!$C$20:$C$49,MATCH($N3361,계정대체기준!$A$20:$A$49,0)),0)))</f>
        <v/>
      </c>
      <c r="AA3361" s="94">
        <f>IF($A3361="",0,IF(AE3361="직접",IF(OR(AF3361="유지비",AF3361="손해조사비"),$P3361,0),$P3361*(1-AG3361)*IFERROR(INDEX(계정대체기준!$D$20:$D$49,MATCH($N3361,계정대체기준!$A$20:$A$49,0)),0)))</f>
        <v/>
      </c>
      <c r="AB3361" s="94">
        <f>IF($A3361="",0,IF(AE3361="직접",IF(AF3361="수금비",$P3361,0),$P3361*(1-AG3361)*IFERROR(INDEX(계정대체기준!$E$20:$E$49,MATCH($N3361,계정대체기준!$A$20:$A$49,0)),0)))</f>
        <v/>
      </c>
      <c r="AC3361" s="9">
        <f>IF(AND($A3361&lt;&gt;"",M3361=설정!$C$20,Z3361&gt;0),Z3361+ROW()/1000000000,"")</f>
        <v/>
      </c>
      <c r="AD3361" s="94">
        <f>IF($A3361="",0,$P3361*AG3361)</f>
        <v/>
      </c>
      <c r="AE3361" s="64">
        <f>IF($A3361="","",IFERROR(INDEX(계정매핑!$E$5:$E$504,MATCH($F3361&amp;"",계정매핑!$A$5:$A$504,0))&amp;"","공통비"))</f>
        <v/>
      </c>
      <c r="AF3361" s="64">
        <f>IF($A3361="","",IF(AE3361="직접",IFERROR(INDEX(계정매핑!$F$5:$F$504,MATCH($F3361&amp;"",계정매핑!$A$5:$A$504,0))&amp;"","비귀속"),""))</f>
        <v/>
      </c>
      <c r="AG3361" s="96">
        <f>IF($A3361="",0,IF(AND(AE3361&lt;&gt;"직접",IFERROR(INDEX(계정매핑!$G$5:$G$504,MATCH($F3361&amp;"",계정매핑!$A$5:$A$504,0))&amp;"","")="유지비",COUNTIF(계정대체기준!$A$6:$A$15,$N3361)&gt;0),IFERROR(INDEX(계정대체기준!$E$6:$E$15,MATCH(VALUE($A3361&amp;""),계정대체기준!$D$6:$D$15,0)),0),0))</f>
        <v/>
      </c>
      <c r="AH3361" s="64">
        <f>IF($A3361="","",IF(AD3361=0,"",IF(OR(COUNTIF(계정대체기준!$A$77:$A$86,$N3361)&gt;0,ISNUMBER(MATCH($X3361,계정대체기준!$D$77:$D$86,0)),ISNUMBER(MATCH($F3361,계정대체기준!$D$77:$D$86,0))),"Y","N")))</f>
        <v/>
      </c>
    </row>
    <row r="3362">
      <c r="A3362" s="92" t="n">
        <v>2026</v>
      </c>
      <c r="B3362" s="92" t="n">
        <v>3</v>
      </c>
      <c r="C3362" s="92" t="inlineStr">
        <is>
          <t>5100000640</t>
        </is>
      </c>
      <c r="D3362" s="95" t="n">
        <v>46104</v>
      </c>
      <c r="E3362" s="92" t="inlineStr">
        <is>
          <t>KR</t>
        </is>
      </c>
      <c r="F3362" s="92" t="n">
        <v>62101000</v>
      </c>
      <c r="G3362" s="92" t="n">
        <v>1101</v>
      </c>
      <c r="H3362" s="93" t="n">
        <v>602000</v>
      </c>
      <c r="I3362" s="92" t="inlineStr">
        <is>
          <t>3월 국내출장 - L여행사</t>
        </is>
      </c>
      <c r="J3362" s="92" t="inlineStr">
        <is>
          <t>V10018</t>
        </is>
      </c>
      <c r="K3362" s="92" t="inlineStr">
        <is>
          <t>L여행사</t>
        </is>
      </c>
      <c r="M3362" s="9">
        <f>IF($A3362="","",VALUE($A3362&amp;"")*12+VALUE($B3362&amp;""))</f>
        <v/>
      </c>
      <c r="N3362" s="64">
        <f>IF($A3362="","",IFERROR(INDEX(부서매핑!$C$5:$C$504,MATCH($G3362&amp;"",부서매핑!$A$5:$A$504,0)),"미매핑"))</f>
        <v/>
      </c>
      <c r="O3362" s="9">
        <f>IF($A3362="","",N3362&amp;"|"&amp;$F3362)</f>
        <v/>
      </c>
      <c r="P3362" s="94">
        <f>IF($A3362="",0,$H3362*설정!$C$23)</f>
        <v/>
      </c>
      <c r="Q3362" s="64">
        <f>IF($A3362="","",IF(O3362&lt;&gt;원인분석!$C$9,"",IF(AND(M3362&gt;=원인분석!$C$10,M3362&lt;=원인분석!$C$11),"당기",IF(AND(M3362&gt;=원인분석!$C$12,M3362&lt;=원인분석!$C$13),"비교",""))))</f>
        <v/>
      </c>
      <c r="R3362" s="9">
        <f>IF(Q3362="","",$K3362&amp;"")</f>
        <v/>
      </c>
      <c r="S3362" s="9">
        <f>IF(Q3362="","",IF(MATCH(R3362,$R$5:$R$100000,0)=ROW()-4,ROW(),""))</f>
        <v/>
      </c>
      <c r="T3362" s="9">
        <f>IF(Q3362="당기",ABS(P3362)+ROW()/1000000000,"")</f>
        <v/>
      </c>
      <c r="U3362" s="9">
        <f>IF(Q3362="비교",ABS(P3362)+ROW()/1000000000,"")</f>
        <v/>
      </c>
      <c r="V3362" s="64">
        <f>IF($A3362="","",IF(COUNTIF(변동분석!$E$7:$E$506,O3362)&gt;0,"Y","N"))</f>
        <v/>
      </c>
      <c r="W3362" s="64">
        <f>IF($A3362="","",IFERROR(INDEX(계정매핑!$D$5:$D$504,MATCH($F3362&amp;"",계정매핑!$A$5:$A$504,0)),"미매핑"))</f>
        <v/>
      </c>
      <c r="X3362" s="9">
        <f>IF($A3362="","",$F3362&amp;"")</f>
        <v/>
      </c>
      <c r="Y3362" s="94">
        <f>IF($A3362="",0,IF(AE3362="직접",IF(AF3362="비귀속",$P3362,0),$P3362*(1-AG3362)*IFERROR(INDEX(계정대체기준!$F$20:$F$49,MATCH($N3362,계정대체기준!$A$20:$A$49,0)),1)))</f>
        <v/>
      </c>
      <c r="Z3362" s="94">
        <f>IF($A3362="",0,IF(AE3362="직접",IF(AF3362="신계약비",$P3362,0),$P3362*(1-AG3362)*IFERROR(INDEX(계정대체기준!$C$20:$C$49,MATCH($N3362,계정대체기준!$A$20:$A$49,0)),0)))</f>
        <v/>
      </c>
      <c r="AA3362" s="94">
        <f>IF($A3362="",0,IF(AE3362="직접",IF(OR(AF3362="유지비",AF3362="손해조사비"),$P3362,0),$P3362*(1-AG3362)*IFERROR(INDEX(계정대체기준!$D$20:$D$49,MATCH($N3362,계정대체기준!$A$20:$A$49,0)),0)))</f>
        <v/>
      </c>
      <c r="AB3362" s="94">
        <f>IF($A3362="",0,IF(AE3362="직접",IF(AF3362="수금비",$P3362,0),$P3362*(1-AG3362)*IFERROR(INDEX(계정대체기준!$E$20:$E$49,MATCH($N3362,계정대체기준!$A$20:$A$49,0)),0)))</f>
        <v/>
      </c>
      <c r="AC3362" s="9">
        <f>IF(AND($A3362&lt;&gt;"",M3362=설정!$C$20,Z3362&gt;0),Z3362+ROW()/1000000000,"")</f>
        <v/>
      </c>
      <c r="AD3362" s="94">
        <f>IF($A3362="",0,$P3362*AG3362)</f>
        <v/>
      </c>
      <c r="AE3362" s="64">
        <f>IF($A3362="","",IFERROR(INDEX(계정매핑!$E$5:$E$504,MATCH($F3362&amp;"",계정매핑!$A$5:$A$504,0))&amp;"","공통비"))</f>
        <v/>
      </c>
      <c r="AF3362" s="64">
        <f>IF($A3362="","",IF(AE3362="직접",IFERROR(INDEX(계정매핑!$F$5:$F$504,MATCH($F3362&amp;"",계정매핑!$A$5:$A$504,0))&amp;"","비귀속"),""))</f>
        <v/>
      </c>
      <c r="AG3362" s="96">
        <f>IF($A3362="",0,IF(AND(AE3362&lt;&gt;"직접",IFERROR(INDEX(계정매핑!$G$5:$G$504,MATCH($F3362&amp;"",계정매핑!$A$5:$A$504,0))&amp;"","")="유지비",COUNTIF(계정대체기준!$A$6:$A$15,$N3362)&gt;0),IFERROR(INDEX(계정대체기준!$E$6:$E$15,MATCH(VALUE($A3362&amp;""),계정대체기준!$D$6:$D$15,0)),0),0))</f>
        <v/>
      </c>
      <c r="AH3362" s="64">
        <f>IF($A3362="","",IF(AD3362=0,"",IF(OR(COUNTIF(계정대체기준!$A$77:$A$86,$N3362)&gt;0,ISNUMBER(MATCH($X3362,계정대체기준!$D$77:$D$86,0)),ISNUMBER(MATCH($F3362,계정대체기준!$D$77:$D$86,0))),"Y","N")))</f>
        <v/>
      </c>
    </row>
    <row r="3363">
      <c r="A3363" s="92" t="n">
        <v>2026</v>
      </c>
      <c r="B3363" s="92" t="n">
        <v>3</v>
      </c>
      <c r="C3363" s="92" t="inlineStr">
        <is>
          <t>5100000641</t>
        </is>
      </c>
      <c r="D3363" s="95" t="n">
        <v>46104</v>
      </c>
      <c r="E3363" s="92" t="inlineStr">
        <is>
          <t>KR</t>
        </is>
      </c>
      <c r="F3363" s="92" t="n">
        <v>62101000</v>
      </c>
      <c r="G3363" s="92" t="n">
        <v>1201</v>
      </c>
      <c r="H3363" s="93" t="n">
        <v>292000</v>
      </c>
      <c r="I3363" s="92" t="inlineStr">
        <is>
          <t>3월 국내출장 - M항공</t>
        </is>
      </c>
      <c r="J3363" s="92" t="inlineStr">
        <is>
          <t>V10001</t>
        </is>
      </c>
      <c r="K3363" s="92" t="inlineStr">
        <is>
          <t>M항공</t>
        </is>
      </c>
      <c r="M3363" s="9">
        <f>IF($A3363="","",VALUE($A3363&amp;"")*12+VALUE($B3363&amp;""))</f>
        <v/>
      </c>
      <c r="N3363" s="64">
        <f>IF($A3363="","",IFERROR(INDEX(부서매핑!$C$5:$C$504,MATCH($G3363&amp;"",부서매핑!$A$5:$A$504,0)),"미매핑"))</f>
        <v/>
      </c>
      <c r="O3363" s="9">
        <f>IF($A3363="","",N3363&amp;"|"&amp;$F3363)</f>
        <v/>
      </c>
      <c r="P3363" s="94">
        <f>IF($A3363="",0,$H3363*설정!$C$23)</f>
        <v/>
      </c>
      <c r="Q3363" s="64">
        <f>IF($A3363="","",IF(O3363&lt;&gt;원인분석!$C$9,"",IF(AND(M3363&gt;=원인분석!$C$10,M3363&lt;=원인분석!$C$11),"당기",IF(AND(M3363&gt;=원인분석!$C$12,M3363&lt;=원인분석!$C$13),"비교",""))))</f>
        <v/>
      </c>
      <c r="R3363" s="9">
        <f>IF(Q3363="","",$K3363&amp;"")</f>
        <v/>
      </c>
      <c r="S3363" s="9">
        <f>IF(Q3363="","",IF(MATCH(R3363,$R$5:$R$100000,0)=ROW()-4,ROW(),""))</f>
        <v/>
      </c>
      <c r="T3363" s="9">
        <f>IF(Q3363="당기",ABS(P3363)+ROW()/1000000000,"")</f>
        <v/>
      </c>
      <c r="U3363" s="9">
        <f>IF(Q3363="비교",ABS(P3363)+ROW()/1000000000,"")</f>
        <v/>
      </c>
      <c r="V3363" s="64">
        <f>IF($A3363="","",IF(COUNTIF(변동분석!$E$7:$E$506,O3363)&gt;0,"Y","N"))</f>
        <v/>
      </c>
      <c r="W3363" s="64">
        <f>IF($A3363="","",IFERROR(INDEX(계정매핑!$D$5:$D$504,MATCH($F3363&amp;"",계정매핑!$A$5:$A$504,0)),"미매핑"))</f>
        <v/>
      </c>
      <c r="X3363" s="9">
        <f>IF($A3363="","",$F3363&amp;"")</f>
        <v/>
      </c>
      <c r="Y3363" s="94">
        <f>IF($A3363="",0,IF(AE3363="직접",IF(AF3363="비귀속",$P3363,0),$P3363*(1-AG3363)*IFERROR(INDEX(계정대체기준!$F$20:$F$49,MATCH($N3363,계정대체기준!$A$20:$A$49,0)),1)))</f>
        <v/>
      </c>
      <c r="Z3363" s="94">
        <f>IF($A3363="",0,IF(AE3363="직접",IF(AF3363="신계약비",$P3363,0),$P3363*(1-AG3363)*IFERROR(INDEX(계정대체기준!$C$20:$C$49,MATCH($N3363,계정대체기준!$A$20:$A$49,0)),0)))</f>
        <v/>
      </c>
      <c r="AA3363" s="94">
        <f>IF($A3363="",0,IF(AE3363="직접",IF(OR(AF3363="유지비",AF3363="손해조사비"),$P3363,0),$P3363*(1-AG3363)*IFERROR(INDEX(계정대체기준!$D$20:$D$49,MATCH($N3363,계정대체기준!$A$20:$A$49,0)),0)))</f>
        <v/>
      </c>
      <c r="AB3363" s="94">
        <f>IF($A3363="",0,IF(AE3363="직접",IF(AF3363="수금비",$P3363,0),$P3363*(1-AG3363)*IFERROR(INDEX(계정대체기준!$E$20:$E$49,MATCH($N3363,계정대체기준!$A$20:$A$49,0)),0)))</f>
        <v/>
      </c>
      <c r="AC3363" s="9">
        <f>IF(AND($A3363&lt;&gt;"",M3363=설정!$C$20,Z3363&gt;0),Z3363+ROW()/1000000000,"")</f>
        <v/>
      </c>
      <c r="AD3363" s="94">
        <f>IF($A3363="",0,$P3363*AG3363)</f>
        <v/>
      </c>
      <c r="AE3363" s="64">
        <f>IF($A3363="","",IFERROR(INDEX(계정매핑!$E$5:$E$504,MATCH($F3363&amp;"",계정매핑!$A$5:$A$504,0))&amp;"","공통비"))</f>
        <v/>
      </c>
      <c r="AF3363" s="64">
        <f>IF($A3363="","",IF(AE3363="직접",IFERROR(INDEX(계정매핑!$F$5:$F$504,MATCH($F3363&amp;"",계정매핑!$A$5:$A$504,0))&amp;"","비귀속"),""))</f>
        <v/>
      </c>
      <c r="AG3363" s="96">
        <f>IF($A3363="",0,IF(AND(AE3363&lt;&gt;"직접",IFERROR(INDEX(계정매핑!$G$5:$G$504,MATCH($F3363&amp;"",계정매핑!$A$5:$A$504,0))&amp;"","")="유지비",COUNTIF(계정대체기준!$A$6:$A$15,$N3363)&gt;0),IFERROR(INDEX(계정대체기준!$E$6:$E$15,MATCH(VALUE($A3363&amp;""),계정대체기준!$D$6:$D$15,0)),0),0))</f>
        <v/>
      </c>
      <c r="AH3363" s="64">
        <f>IF($A3363="","",IF(AD3363=0,"",IF(OR(COUNTIF(계정대체기준!$A$77:$A$86,$N3363)&gt;0,ISNUMBER(MATCH($X3363,계정대체기준!$D$77:$D$86,0)),ISNUMBER(MATCH($F3363,계정대체기준!$D$77:$D$86,0))),"Y","N")))</f>
        <v/>
      </c>
    </row>
    <row r="3364">
      <c r="A3364" s="92" t="n">
        <v>2026</v>
      </c>
      <c r="B3364" s="92" t="n">
        <v>3</v>
      </c>
      <c r="C3364" s="92" t="inlineStr">
        <is>
          <t>5100000642</t>
        </is>
      </c>
      <c r="D3364" s="95" t="n">
        <v>46104</v>
      </c>
      <c r="E3364" s="92" t="inlineStr">
        <is>
          <t>KR</t>
        </is>
      </c>
      <c r="F3364" s="92" t="n">
        <v>62101000</v>
      </c>
      <c r="G3364" s="92" t="n">
        <v>1301</v>
      </c>
      <c r="H3364" s="93" t="n">
        <v>396000</v>
      </c>
      <c r="I3364" s="92" t="inlineStr">
        <is>
          <t>3월 국내출장 - M항공</t>
        </is>
      </c>
      <c r="J3364" s="92" t="inlineStr">
        <is>
          <t>V10001</t>
        </is>
      </c>
      <c r="K3364" s="92" t="inlineStr">
        <is>
          <t>M항공</t>
        </is>
      </c>
      <c r="M3364" s="9">
        <f>IF($A3364="","",VALUE($A3364&amp;"")*12+VALUE($B3364&amp;""))</f>
        <v/>
      </c>
      <c r="N3364" s="64">
        <f>IF($A3364="","",IFERROR(INDEX(부서매핑!$C$5:$C$504,MATCH($G3364&amp;"",부서매핑!$A$5:$A$504,0)),"미매핑"))</f>
        <v/>
      </c>
      <c r="O3364" s="9">
        <f>IF($A3364="","",N3364&amp;"|"&amp;$F3364)</f>
        <v/>
      </c>
      <c r="P3364" s="94">
        <f>IF($A3364="",0,$H3364*설정!$C$23)</f>
        <v/>
      </c>
      <c r="Q3364" s="64">
        <f>IF($A3364="","",IF(O3364&lt;&gt;원인분석!$C$9,"",IF(AND(M3364&gt;=원인분석!$C$10,M3364&lt;=원인분석!$C$11),"당기",IF(AND(M3364&gt;=원인분석!$C$12,M3364&lt;=원인분석!$C$13),"비교",""))))</f>
        <v/>
      </c>
      <c r="R3364" s="9">
        <f>IF(Q3364="","",$K3364&amp;"")</f>
        <v/>
      </c>
      <c r="S3364" s="9">
        <f>IF(Q3364="","",IF(MATCH(R3364,$R$5:$R$100000,0)=ROW()-4,ROW(),""))</f>
        <v/>
      </c>
      <c r="T3364" s="9">
        <f>IF(Q3364="당기",ABS(P3364)+ROW()/1000000000,"")</f>
        <v/>
      </c>
      <c r="U3364" s="9">
        <f>IF(Q3364="비교",ABS(P3364)+ROW()/1000000000,"")</f>
        <v/>
      </c>
      <c r="V3364" s="64">
        <f>IF($A3364="","",IF(COUNTIF(변동분석!$E$7:$E$506,O3364)&gt;0,"Y","N"))</f>
        <v/>
      </c>
      <c r="W3364" s="64">
        <f>IF($A3364="","",IFERROR(INDEX(계정매핑!$D$5:$D$504,MATCH($F3364&amp;"",계정매핑!$A$5:$A$504,0)),"미매핑"))</f>
        <v/>
      </c>
      <c r="X3364" s="9">
        <f>IF($A3364="","",$F3364&amp;"")</f>
        <v/>
      </c>
      <c r="Y3364" s="94">
        <f>IF($A3364="",0,IF(AE3364="직접",IF(AF3364="비귀속",$P3364,0),$P3364*(1-AG3364)*IFERROR(INDEX(계정대체기준!$F$20:$F$49,MATCH($N3364,계정대체기준!$A$20:$A$49,0)),1)))</f>
        <v/>
      </c>
      <c r="Z3364" s="94">
        <f>IF($A3364="",0,IF(AE3364="직접",IF(AF3364="신계약비",$P3364,0),$P3364*(1-AG3364)*IFERROR(INDEX(계정대체기준!$C$20:$C$49,MATCH($N3364,계정대체기준!$A$20:$A$49,0)),0)))</f>
        <v/>
      </c>
      <c r="AA3364" s="94">
        <f>IF($A3364="",0,IF(AE3364="직접",IF(OR(AF3364="유지비",AF3364="손해조사비"),$P3364,0),$P3364*(1-AG3364)*IFERROR(INDEX(계정대체기준!$D$20:$D$49,MATCH($N3364,계정대체기준!$A$20:$A$49,0)),0)))</f>
        <v/>
      </c>
      <c r="AB3364" s="94">
        <f>IF($A3364="",0,IF(AE3364="직접",IF(AF3364="수금비",$P3364,0),$P3364*(1-AG3364)*IFERROR(INDEX(계정대체기준!$E$20:$E$49,MATCH($N3364,계정대체기준!$A$20:$A$49,0)),0)))</f>
        <v/>
      </c>
      <c r="AC3364" s="9">
        <f>IF(AND($A3364&lt;&gt;"",M3364=설정!$C$20,Z3364&gt;0),Z3364+ROW()/1000000000,"")</f>
        <v/>
      </c>
      <c r="AD3364" s="94">
        <f>IF($A3364="",0,$P3364*AG3364)</f>
        <v/>
      </c>
      <c r="AE3364" s="64">
        <f>IF($A3364="","",IFERROR(INDEX(계정매핑!$E$5:$E$504,MATCH($F3364&amp;"",계정매핑!$A$5:$A$504,0))&amp;"","공통비"))</f>
        <v/>
      </c>
      <c r="AF3364" s="64">
        <f>IF($A3364="","",IF(AE3364="직접",IFERROR(INDEX(계정매핑!$F$5:$F$504,MATCH($F3364&amp;"",계정매핑!$A$5:$A$504,0))&amp;"","비귀속"),""))</f>
        <v/>
      </c>
      <c r="AG3364" s="96">
        <f>IF($A3364="",0,IF(AND(AE3364&lt;&gt;"직접",IFERROR(INDEX(계정매핑!$G$5:$G$504,MATCH($F3364&amp;"",계정매핑!$A$5:$A$504,0))&amp;"","")="유지비",COUNTIF(계정대체기준!$A$6:$A$15,$N3364)&gt;0),IFERROR(INDEX(계정대체기준!$E$6:$E$15,MATCH(VALUE($A3364&amp;""),계정대체기준!$D$6:$D$15,0)),0),0))</f>
        <v/>
      </c>
      <c r="AH3364" s="64">
        <f>IF($A3364="","",IF(AD3364=0,"",IF(OR(COUNTIF(계정대체기준!$A$77:$A$86,$N3364)&gt;0,ISNUMBER(MATCH($X3364,계정대체기준!$D$77:$D$86,0)),ISNUMBER(MATCH($F3364,계정대체기준!$D$77:$D$86,0))),"Y","N")))</f>
        <v/>
      </c>
    </row>
    <row r="3365">
      <c r="A3365" s="92" t="n">
        <v>2026</v>
      </c>
      <c r="B3365" s="92" t="n">
        <v>3</v>
      </c>
      <c r="C3365" s="92" t="inlineStr">
        <is>
          <t>5100000643</t>
        </is>
      </c>
      <c r="D3365" s="95" t="n">
        <v>46104</v>
      </c>
      <c r="E3365" s="92" t="inlineStr">
        <is>
          <t>KR</t>
        </is>
      </c>
      <c r="F3365" s="92" t="n">
        <v>62101000</v>
      </c>
      <c r="G3365" s="92" t="n">
        <v>1602</v>
      </c>
      <c r="H3365" s="93" t="n">
        <v>927000</v>
      </c>
      <c r="I3365" s="92" t="inlineStr">
        <is>
          <t>3월 국내출장 - M항공</t>
        </is>
      </c>
      <c r="J3365" s="92" t="inlineStr">
        <is>
          <t>V10001</t>
        </is>
      </c>
      <c r="K3365" s="92" t="inlineStr">
        <is>
          <t>M항공</t>
        </is>
      </c>
      <c r="M3365" s="9">
        <f>IF($A3365="","",VALUE($A3365&amp;"")*12+VALUE($B3365&amp;""))</f>
        <v/>
      </c>
      <c r="N3365" s="64">
        <f>IF($A3365="","",IFERROR(INDEX(부서매핑!$C$5:$C$504,MATCH($G3365&amp;"",부서매핑!$A$5:$A$504,0)),"미매핑"))</f>
        <v/>
      </c>
      <c r="O3365" s="9">
        <f>IF($A3365="","",N3365&amp;"|"&amp;$F3365)</f>
        <v/>
      </c>
      <c r="P3365" s="94">
        <f>IF($A3365="",0,$H3365*설정!$C$23)</f>
        <v/>
      </c>
      <c r="Q3365" s="64">
        <f>IF($A3365="","",IF(O3365&lt;&gt;원인분석!$C$9,"",IF(AND(M3365&gt;=원인분석!$C$10,M3365&lt;=원인분석!$C$11),"당기",IF(AND(M3365&gt;=원인분석!$C$12,M3365&lt;=원인분석!$C$13),"비교",""))))</f>
        <v/>
      </c>
      <c r="R3365" s="9">
        <f>IF(Q3365="","",$K3365&amp;"")</f>
        <v/>
      </c>
      <c r="S3365" s="9">
        <f>IF(Q3365="","",IF(MATCH(R3365,$R$5:$R$100000,0)=ROW()-4,ROW(),""))</f>
        <v/>
      </c>
      <c r="T3365" s="9">
        <f>IF(Q3365="당기",ABS(P3365)+ROW()/1000000000,"")</f>
        <v/>
      </c>
      <c r="U3365" s="9">
        <f>IF(Q3365="비교",ABS(P3365)+ROW()/1000000000,"")</f>
        <v/>
      </c>
      <c r="V3365" s="64">
        <f>IF($A3365="","",IF(COUNTIF(변동분석!$E$7:$E$506,O3365)&gt;0,"Y","N"))</f>
        <v/>
      </c>
      <c r="W3365" s="64">
        <f>IF($A3365="","",IFERROR(INDEX(계정매핑!$D$5:$D$504,MATCH($F3365&amp;"",계정매핑!$A$5:$A$504,0)),"미매핑"))</f>
        <v/>
      </c>
      <c r="X3365" s="9">
        <f>IF($A3365="","",$F3365&amp;"")</f>
        <v/>
      </c>
      <c r="Y3365" s="94">
        <f>IF($A3365="",0,IF(AE3365="직접",IF(AF3365="비귀속",$P3365,0),$P3365*(1-AG3365)*IFERROR(INDEX(계정대체기준!$F$20:$F$49,MATCH($N3365,계정대체기준!$A$20:$A$49,0)),1)))</f>
        <v/>
      </c>
      <c r="Z3365" s="94">
        <f>IF($A3365="",0,IF(AE3365="직접",IF(AF3365="신계약비",$P3365,0),$P3365*(1-AG3365)*IFERROR(INDEX(계정대체기준!$C$20:$C$49,MATCH($N3365,계정대체기준!$A$20:$A$49,0)),0)))</f>
        <v/>
      </c>
      <c r="AA3365" s="94">
        <f>IF($A3365="",0,IF(AE3365="직접",IF(OR(AF3365="유지비",AF3365="손해조사비"),$P3365,0),$P3365*(1-AG3365)*IFERROR(INDEX(계정대체기준!$D$20:$D$49,MATCH($N3365,계정대체기준!$A$20:$A$49,0)),0)))</f>
        <v/>
      </c>
      <c r="AB3365" s="94">
        <f>IF($A3365="",0,IF(AE3365="직접",IF(AF3365="수금비",$P3365,0),$P3365*(1-AG3365)*IFERROR(INDEX(계정대체기준!$E$20:$E$49,MATCH($N3365,계정대체기준!$A$20:$A$49,0)),0)))</f>
        <v/>
      </c>
      <c r="AC3365" s="9">
        <f>IF(AND($A3365&lt;&gt;"",M3365=설정!$C$20,Z3365&gt;0),Z3365+ROW()/1000000000,"")</f>
        <v/>
      </c>
      <c r="AD3365" s="94">
        <f>IF($A3365="",0,$P3365*AG3365)</f>
        <v/>
      </c>
      <c r="AE3365" s="64">
        <f>IF($A3365="","",IFERROR(INDEX(계정매핑!$E$5:$E$504,MATCH($F3365&amp;"",계정매핑!$A$5:$A$504,0))&amp;"","공통비"))</f>
        <v/>
      </c>
      <c r="AF3365" s="64">
        <f>IF($A3365="","",IF(AE3365="직접",IFERROR(INDEX(계정매핑!$F$5:$F$504,MATCH($F3365&amp;"",계정매핑!$A$5:$A$504,0))&amp;"","비귀속"),""))</f>
        <v/>
      </c>
      <c r="AG3365" s="96">
        <f>IF($A3365="",0,IF(AND(AE3365&lt;&gt;"직접",IFERROR(INDEX(계정매핑!$G$5:$G$504,MATCH($F3365&amp;"",계정매핑!$A$5:$A$504,0))&amp;"","")="유지비",COUNTIF(계정대체기준!$A$6:$A$15,$N3365)&gt;0),IFERROR(INDEX(계정대체기준!$E$6:$E$15,MATCH(VALUE($A3365&amp;""),계정대체기준!$D$6:$D$15,0)),0),0))</f>
        <v/>
      </c>
      <c r="AH3365" s="64">
        <f>IF($A3365="","",IF(AD3365=0,"",IF(OR(COUNTIF(계정대체기준!$A$77:$A$86,$N3365)&gt;0,ISNUMBER(MATCH($X3365,계정대체기준!$D$77:$D$86,0)),ISNUMBER(MATCH($F3365,계정대체기준!$D$77:$D$86,0))),"Y","N")))</f>
        <v/>
      </c>
    </row>
    <row r="3366">
      <c r="A3366" s="92" t="n">
        <v>2026</v>
      </c>
      <c r="B3366" s="92" t="n">
        <v>3</v>
      </c>
      <c r="C3366" s="92" t="inlineStr">
        <is>
          <t>5100000644</t>
        </is>
      </c>
      <c r="D3366" s="95" t="n">
        <v>46104</v>
      </c>
      <c r="E3366" s="92" t="inlineStr">
        <is>
          <t>KR</t>
        </is>
      </c>
      <c r="F3366" s="92" t="n">
        <v>62201000</v>
      </c>
      <c r="G3366" s="92" t="n">
        <v>1201</v>
      </c>
      <c r="H3366" s="93" t="n">
        <v>124000</v>
      </c>
      <c r="I3366" s="92" t="inlineStr">
        <is>
          <t>3월 통신요금 - O텔레콤</t>
        </is>
      </c>
      <c r="J3366" s="92" t="inlineStr">
        <is>
          <t>V10002</t>
        </is>
      </c>
      <c r="K3366" s="92" t="inlineStr">
        <is>
          <t>O텔레콤</t>
        </is>
      </c>
      <c r="M3366" s="9">
        <f>IF($A3366="","",VALUE($A3366&amp;"")*12+VALUE($B3366&amp;""))</f>
        <v/>
      </c>
      <c r="N3366" s="64">
        <f>IF($A3366="","",IFERROR(INDEX(부서매핑!$C$5:$C$504,MATCH($G3366&amp;"",부서매핑!$A$5:$A$504,0)),"미매핑"))</f>
        <v/>
      </c>
      <c r="O3366" s="9">
        <f>IF($A3366="","",N3366&amp;"|"&amp;$F3366)</f>
        <v/>
      </c>
      <c r="P3366" s="94">
        <f>IF($A3366="",0,$H3366*설정!$C$23)</f>
        <v/>
      </c>
      <c r="Q3366" s="64">
        <f>IF($A3366="","",IF(O3366&lt;&gt;원인분석!$C$9,"",IF(AND(M3366&gt;=원인분석!$C$10,M3366&lt;=원인분석!$C$11),"당기",IF(AND(M3366&gt;=원인분석!$C$12,M3366&lt;=원인분석!$C$13),"비교",""))))</f>
        <v/>
      </c>
      <c r="R3366" s="9">
        <f>IF(Q3366="","",$K3366&amp;"")</f>
        <v/>
      </c>
      <c r="S3366" s="9">
        <f>IF(Q3366="","",IF(MATCH(R3366,$R$5:$R$100000,0)=ROW()-4,ROW(),""))</f>
        <v/>
      </c>
      <c r="T3366" s="9">
        <f>IF(Q3366="당기",ABS(P3366)+ROW()/1000000000,"")</f>
        <v/>
      </c>
      <c r="U3366" s="9">
        <f>IF(Q3366="비교",ABS(P3366)+ROW()/1000000000,"")</f>
        <v/>
      </c>
      <c r="V3366" s="64">
        <f>IF($A3366="","",IF(COUNTIF(변동분석!$E$7:$E$506,O3366)&gt;0,"Y","N"))</f>
        <v/>
      </c>
      <c r="W3366" s="64">
        <f>IF($A3366="","",IFERROR(INDEX(계정매핑!$D$5:$D$504,MATCH($F3366&amp;"",계정매핑!$A$5:$A$504,0)),"미매핑"))</f>
        <v/>
      </c>
      <c r="X3366" s="9">
        <f>IF($A3366="","",$F3366&amp;"")</f>
        <v/>
      </c>
      <c r="Y3366" s="94">
        <f>IF($A3366="",0,IF(AE3366="직접",IF(AF3366="비귀속",$P3366,0),$P3366*(1-AG3366)*IFERROR(INDEX(계정대체기준!$F$20:$F$49,MATCH($N3366,계정대체기준!$A$20:$A$49,0)),1)))</f>
        <v/>
      </c>
      <c r="Z3366" s="94">
        <f>IF($A3366="",0,IF(AE3366="직접",IF(AF3366="신계약비",$P3366,0),$P3366*(1-AG3366)*IFERROR(INDEX(계정대체기준!$C$20:$C$49,MATCH($N3366,계정대체기준!$A$20:$A$49,0)),0)))</f>
        <v/>
      </c>
      <c r="AA3366" s="94">
        <f>IF($A3366="",0,IF(AE3366="직접",IF(OR(AF3366="유지비",AF3366="손해조사비"),$P3366,0),$P3366*(1-AG3366)*IFERROR(INDEX(계정대체기준!$D$20:$D$49,MATCH($N3366,계정대체기준!$A$20:$A$49,0)),0)))</f>
        <v/>
      </c>
      <c r="AB3366" s="94">
        <f>IF($A3366="",0,IF(AE3366="직접",IF(AF3366="수금비",$P3366,0),$P3366*(1-AG3366)*IFERROR(INDEX(계정대체기준!$E$20:$E$49,MATCH($N3366,계정대체기준!$A$20:$A$49,0)),0)))</f>
        <v/>
      </c>
      <c r="AC3366" s="9">
        <f>IF(AND($A3366&lt;&gt;"",M3366=설정!$C$20,Z3366&gt;0),Z3366+ROW()/1000000000,"")</f>
        <v/>
      </c>
      <c r="AD3366" s="94">
        <f>IF($A3366="",0,$P3366*AG3366)</f>
        <v/>
      </c>
      <c r="AE3366" s="64">
        <f>IF($A3366="","",IFERROR(INDEX(계정매핑!$E$5:$E$504,MATCH($F3366&amp;"",계정매핑!$A$5:$A$504,0))&amp;"","공통비"))</f>
        <v/>
      </c>
      <c r="AF3366" s="64">
        <f>IF($A3366="","",IF(AE3366="직접",IFERROR(INDEX(계정매핑!$F$5:$F$504,MATCH($F3366&amp;"",계정매핑!$A$5:$A$504,0))&amp;"","비귀속"),""))</f>
        <v/>
      </c>
      <c r="AG3366" s="96">
        <f>IF($A3366="",0,IF(AND(AE3366&lt;&gt;"직접",IFERROR(INDEX(계정매핑!$G$5:$G$504,MATCH($F3366&amp;"",계정매핑!$A$5:$A$504,0))&amp;"","")="유지비",COUNTIF(계정대체기준!$A$6:$A$15,$N3366)&gt;0),IFERROR(INDEX(계정대체기준!$E$6:$E$15,MATCH(VALUE($A3366&amp;""),계정대체기준!$D$6:$D$15,0)),0),0))</f>
        <v/>
      </c>
      <c r="AH3366" s="64">
        <f>IF($A3366="","",IF(AD3366=0,"",IF(OR(COUNTIF(계정대체기준!$A$77:$A$86,$N3366)&gt;0,ISNUMBER(MATCH($X3366,계정대체기준!$D$77:$D$86,0)),ISNUMBER(MATCH($F3366,계정대체기준!$D$77:$D$86,0))),"Y","N")))</f>
        <v/>
      </c>
    </row>
    <row r="3367">
      <c r="A3367" s="92" t="n">
        <v>2026</v>
      </c>
      <c r="B3367" s="92" t="n">
        <v>3</v>
      </c>
      <c r="C3367" s="92" t="inlineStr">
        <is>
          <t>5100000645</t>
        </is>
      </c>
      <c r="D3367" s="95" t="n">
        <v>46104</v>
      </c>
      <c r="E3367" s="92" t="inlineStr">
        <is>
          <t>KR</t>
        </is>
      </c>
      <c r="F3367" s="92" t="n">
        <v>62201000</v>
      </c>
      <c r="G3367" s="92" t="n">
        <v>1701</v>
      </c>
      <c r="H3367" s="93" t="n">
        <v>2177000</v>
      </c>
      <c r="I3367" s="92" t="inlineStr">
        <is>
          <t>3월 통신요금 - O텔레콤</t>
        </is>
      </c>
      <c r="J3367" s="92" t="inlineStr">
        <is>
          <t>V10002</t>
        </is>
      </c>
      <c r="K3367" s="92" t="inlineStr">
        <is>
          <t>O텔레콤</t>
        </is>
      </c>
      <c r="M3367" s="9">
        <f>IF($A3367="","",VALUE($A3367&amp;"")*12+VALUE($B3367&amp;""))</f>
        <v/>
      </c>
      <c r="N3367" s="64">
        <f>IF($A3367="","",IFERROR(INDEX(부서매핑!$C$5:$C$504,MATCH($G3367&amp;"",부서매핑!$A$5:$A$504,0)),"미매핑"))</f>
        <v/>
      </c>
      <c r="O3367" s="9">
        <f>IF($A3367="","",N3367&amp;"|"&amp;$F3367)</f>
        <v/>
      </c>
      <c r="P3367" s="94">
        <f>IF($A3367="",0,$H3367*설정!$C$23)</f>
        <v/>
      </c>
      <c r="Q3367" s="64">
        <f>IF($A3367="","",IF(O3367&lt;&gt;원인분석!$C$9,"",IF(AND(M3367&gt;=원인분석!$C$10,M3367&lt;=원인분석!$C$11),"당기",IF(AND(M3367&gt;=원인분석!$C$12,M3367&lt;=원인분석!$C$13),"비교",""))))</f>
        <v/>
      </c>
      <c r="R3367" s="9">
        <f>IF(Q3367="","",$K3367&amp;"")</f>
        <v/>
      </c>
      <c r="S3367" s="9">
        <f>IF(Q3367="","",IF(MATCH(R3367,$R$5:$R$100000,0)=ROW()-4,ROW(),""))</f>
        <v/>
      </c>
      <c r="T3367" s="9">
        <f>IF(Q3367="당기",ABS(P3367)+ROW()/1000000000,"")</f>
        <v/>
      </c>
      <c r="U3367" s="9">
        <f>IF(Q3367="비교",ABS(P3367)+ROW()/1000000000,"")</f>
        <v/>
      </c>
      <c r="V3367" s="64">
        <f>IF($A3367="","",IF(COUNTIF(변동분석!$E$7:$E$506,O3367)&gt;0,"Y","N"))</f>
        <v/>
      </c>
      <c r="W3367" s="64">
        <f>IF($A3367="","",IFERROR(INDEX(계정매핑!$D$5:$D$504,MATCH($F3367&amp;"",계정매핑!$A$5:$A$504,0)),"미매핑"))</f>
        <v/>
      </c>
      <c r="X3367" s="9">
        <f>IF($A3367="","",$F3367&amp;"")</f>
        <v/>
      </c>
      <c r="Y3367" s="94">
        <f>IF($A3367="",0,IF(AE3367="직접",IF(AF3367="비귀속",$P3367,0),$P3367*(1-AG3367)*IFERROR(INDEX(계정대체기준!$F$20:$F$49,MATCH($N3367,계정대체기준!$A$20:$A$49,0)),1)))</f>
        <v/>
      </c>
      <c r="Z3367" s="94">
        <f>IF($A3367="",0,IF(AE3367="직접",IF(AF3367="신계약비",$P3367,0),$P3367*(1-AG3367)*IFERROR(INDEX(계정대체기준!$C$20:$C$49,MATCH($N3367,계정대체기준!$A$20:$A$49,0)),0)))</f>
        <v/>
      </c>
      <c r="AA3367" s="94">
        <f>IF($A3367="",0,IF(AE3367="직접",IF(OR(AF3367="유지비",AF3367="손해조사비"),$P3367,0),$P3367*(1-AG3367)*IFERROR(INDEX(계정대체기준!$D$20:$D$49,MATCH($N3367,계정대체기준!$A$20:$A$49,0)),0)))</f>
        <v/>
      </c>
      <c r="AB3367" s="94">
        <f>IF($A3367="",0,IF(AE3367="직접",IF(AF3367="수금비",$P3367,0),$P3367*(1-AG3367)*IFERROR(INDEX(계정대체기준!$E$20:$E$49,MATCH($N3367,계정대체기준!$A$20:$A$49,0)),0)))</f>
        <v/>
      </c>
      <c r="AC3367" s="9">
        <f>IF(AND($A3367&lt;&gt;"",M3367=설정!$C$20,Z3367&gt;0),Z3367+ROW()/1000000000,"")</f>
        <v/>
      </c>
      <c r="AD3367" s="94">
        <f>IF($A3367="",0,$P3367*AG3367)</f>
        <v/>
      </c>
      <c r="AE3367" s="64">
        <f>IF($A3367="","",IFERROR(INDEX(계정매핑!$E$5:$E$504,MATCH($F3367&amp;"",계정매핑!$A$5:$A$504,0))&amp;"","공통비"))</f>
        <v/>
      </c>
      <c r="AF3367" s="64">
        <f>IF($A3367="","",IF(AE3367="직접",IFERROR(INDEX(계정매핑!$F$5:$F$504,MATCH($F3367&amp;"",계정매핑!$A$5:$A$504,0))&amp;"","비귀속"),""))</f>
        <v/>
      </c>
      <c r="AG3367" s="96">
        <f>IF($A3367="",0,IF(AND(AE3367&lt;&gt;"직접",IFERROR(INDEX(계정매핑!$G$5:$G$504,MATCH($F3367&amp;"",계정매핑!$A$5:$A$504,0))&amp;"","")="유지비",COUNTIF(계정대체기준!$A$6:$A$15,$N3367)&gt;0),IFERROR(INDEX(계정대체기준!$E$6:$E$15,MATCH(VALUE($A3367&amp;""),계정대체기준!$D$6:$D$15,0)),0),0))</f>
        <v/>
      </c>
      <c r="AH3367" s="64">
        <f>IF($A3367="","",IF(AD3367=0,"",IF(OR(COUNTIF(계정대체기준!$A$77:$A$86,$N3367)&gt;0,ISNUMBER(MATCH($X3367,계정대체기준!$D$77:$D$86,0)),ISNUMBER(MATCH($F3367,계정대체기준!$D$77:$D$86,0))),"Y","N")))</f>
        <v/>
      </c>
    </row>
    <row r="3368">
      <c r="A3368" s="92" t="n">
        <v>2026</v>
      </c>
      <c r="B3368" s="92" t="n">
        <v>3</v>
      </c>
      <c r="C3368" s="92" t="inlineStr">
        <is>
          <t>5100000646</t>
        </is>
      </c>
      <c r="D3368" s="95" t="n">
        <v>46104</v>
      </c>
      <c r="E3368" s="92" t="inlineStr">
        <is>
          <t>KR</t>
        </is>
      </c>
      <c r="F3368" s="92" t="n">
        <v>62201000</v>
      </c>
      <c r="G3368" s="92" t="n">
        <v>1951</v>
      </c>
      <c r="H3368" s="93" t="n">
        <v>384000</v>
      </c>
      <c r="I3368" s="92" t="inlineStr">
        <is>
          <t>3월 통신요금 - O텔레콤</t>
        </is>
      </c>
      <c r="J3368" s="92" t="inlineStr">
        <is>
          <t>V10002</t>
        </is>
      </c>
      <c r="K3368" s="92" t="inlineStr">
        <is>
          <t>O텔레콤</t>
        </is>
      </c>
      <c r="M3368" s="9">
        <f>IF($A3368="","",VALUE($A3368&amp;"")*12+VALUE($B3368&amp;""))</f>
        <v/>
      </c>
      <c r="N3368" s="64">
        <f>IF($A3368="","",IFERROR(INDEX(부서매핑!$C$5:$C$504,MATCH($G3368&amp;"",부서매핑!$A$5:$A$504,0)),"미매핑"))</f>
        <v/>
      </c>
      <c r="O3368" s="9">
        <f>IF($A3368="","",N3368&amp;"|"&amp;$F3368)</f>
        <v/>
      </c>
      <c r="P3368" s="94">
        <f>IF($A3368="",0,$H3368*설정!$C$23)</f>
        <v/>
      </c>
      <c r="Q3368" s="64">
        <f>IF($A3368="","",IF(O3368&lt;&gt;원인분석!$C$9,"",IF(AND(M3368&gt;=원인분석!$C$10,M3368&lt;=원인분석!$C$11),"당기",IF(AND(M3368&gt;=원인분석!$C$12,M3368&lt;=원인분석!$C$13),"비교",""))))</f>
        <v/>
      </c>
      <c r="R3368" s="9">
        <f>IF(Q3368="","",$K3368&amp;"")</f>
        <v/>
      </c>
      <c r="S3368" s="9">
        <f>IF(Q3368="","",IF(MATCH(R3368,$R$5:$R$100000,0)=ROW()-4,ROW(),""))</f>
        <v/>
      </c>
      <c r="T3368" s="9">
        <f>IF(Q3368="당기",ABS(P3368)+ROW()/1000000000,"")</f>
        <v/>
      </c>
      <c r="U3368" s="9">
        <f>IF(Q3368="비교",ABS(P3368)+ROW()/1000000000,"")</f>
        <v/>
      </c>
      <c r="V3368" s="64">
        <f>IF($A3368="","",IF(COUNTIF(변동분석!$E$7:$E$506,O3368)&gt;0,"Y","N"))</f>
        <v/>
      </c>
      <c r="W3368" s="64">
        <f>IF($A3368="","",IFERROR(INDEX(계정매핑!$D$5:$D$504,MATCH($F3368&amp;"",계정매핑!$A$5:$A$504,0)),"미매핑"))</f>
        <v/>
      </c>
      <c r="X3368" s="9">
        <f>IF($A3368="","",$F3368&amp;"")</f>
        <v/>
      </c>
      <c r="Y3368" s="94">
        <f>IF($A3368="",0,IF(AE3368="직접",IF(AF3368="비귀속",$P3368,0),$P3368*(1-AG3368)*IFERROR(INDEX(계정대체기준!$F$20:$F$49,MATCH($N3368,계정대체기준!$A$20:$A$49,0)),1)))</f>
        <v/>
      </c>
      <c r="Z3368" s="94">
        <f>IF($A3368="",0,IF(AE3368="직접",IF(AF3368="신계약비",$P3368,0),$P3368*(1-AG3368)*IFERROR(INDEX(계정대체기준!$C$20:$C$49,MATCH($N3368,계정대체기준!$A$20:$A$49,0)),0)))</f>
        <v/>
      </c>
      <c r="AA3368" s="94">
        <f>IF($A3368="",0,IF(AE3368="직접",IF(OR(AF3368="유지비",AF3368="손해조사비"),$P3368,0),$P3368*(1-AG3368)*IFERROR(INDEX(계정대체기준!$D$20:$D$49,MATCH($N3368,계정대체기준!$A$20:$A$49,0)),0)))</f>
        <v/>
      </c>
      <c r="AB3368" s="94">
        <f>IF($A3368="",0,IF(AE3368="직접",IF(AF3368="수금비",$P3368,0),$P3368*(1-AG3368)*IFERROR(INDEX(계정대체기준!$E$20:$E$49,MATCH($N3368,계정대체기준!$A$20:$A$49,0)),0)))</f>
        <v/>
      </c>
      <c r="AC3368" s="9">
        <f>IF(AND($A3368&lt;&gt;"",M3368=설정!$C$20,Z3368&gt;0),Z3368+ROW()/1000000000,"")</f>
        <v/>
      </c>
      <c r="AD3368" s="94">
        <f>IF($A3368="",0,$P3368*AG3368)</f>
        <v/>
      </c>
      <c r="AE3368" s="64">
        <f>IF($A3368="","",IFERROR(INDEX(계정매핑!$E$5:$E$504,MATCH($F3368&amp;"",계정매핑!$A$5:$A$504,0))&amp;"","공통비"))</f>
        <v/>
      </c>
      <c r="AF3368" s="64">
        <f>IF($A3368="","",IF(AE3368="직접",IFERROR(INDEX(계정매핑!$F$5:$F$504,MATCH($F3368&amp;"",계정매핑!$A$5:$A$504,0))&amp;"","비귀속"),""))</f>
        <v/>
      </c>
      <c r="AG3368" s="96">
        <f>IF($A3368="",0,IF(AND(AE3368&lt;&gt;"직접",IFERROR(INDEX(계정매핑!$G$5:$G$504,MATCH($F3368&amp;"",계정매핑!$A$5:$A$504,0))&amp;"","")="유지비",COUNTIF(계정대체기준!$A$6:$A$15,$N3368)&gt;0),IFERROR(INDEX(계정대체기준!$E$6:$E$15,MATCH(VALUE($A3368&amp;""),계정대체기준!$D$6:$D$15,0)),0),0))</f>
        <v/>
      </c>
      <c r="AH3368" s="64">
        <f>IF($A3368="","",IF(AD3368=0,"",IF(OR(COUNTIF(계정대체기준!$A$77:$A$86,$N3368)&gt;0,ISNUMBER(MATCH($X3368,계정대체기준!$D$77:$D$86,0)),ISNUMBER(MATCH($F3368,계정대체기준!$D$77:$D$86,0))),"Y","N")))</f>
        <v/>
      </c>
    </row>
    <row r="3369">
      <c r="A3369" s="92" t="n">
        <v>2026</v>
      </c>
      <c r="B3369" s="92" t="n">
        <v>3</v>
      </c>
      <c r="C3369" s="92" t="inlineStr">
        <is>
          <t>5100000647</t>
        </is>
      </c>
      <c r="D3369" s="95" t="n">
        <v>46104</v>
      </c>
      <c r="E3369" s="92" t="inlineStr">
        <is>
          <t>KR</t>
        </is>
      </c>
      <c r="F3369" s="92" t="n">
        <v>62901000</v>
      </c>
      <c r="G3369" s="92" t="n">
        <v>1201</v>
      </c>
      <c r="H3369" s="93" t="n">
        <v>8151000</v>
      </c>
      <c r="I3369" s="92" t="inlineStr">
        <is>
          <t>3월 자문 수수료 - W컨설팅</t>
        </is>
      </c>
      <c r="J3369" s="92" t="inlineStr">
        <is>
          <t>V10006</t>
        </is>
      </c>
      <c r="K3369" s="92" t="inlineStr">
        <is>
          <t>W컨설팅</t>
        </is>
      </c>
      <c r="M3369" s="9">
        <f>IF($A3369="","",VALUE($A3369&amp;"")*12+VALUE($B3369&amp;""))</f>
        <v/>
      </c>
      <c r="N3369" s="64">
        <f>IF($A3369="","",IFERROR(INDEX(부서매핑!$C$5:$C$504,MATCH($G3369&amp;"",부서매핑!$A$5:$A$504,0)),"미매핑"))</f>
        <v/>
      </c>
      <c r="O3369" s="9">
        <f>IF($A3369="","",N3369&amp;"|"&amp;$F3369)</f>
        <v/>
      </c>
      <c r="P3369" s="94">
        <f>IF($A3369="",0,$H3369*설정!$C$23)</f>
        <v/>
      </c>
      <c r="Q3369" s="64">
        <f>IF($A3369="","",IF(O3369&lt;&gt;원인분석!$C$9,"",IF(AND(M3369&gt;=원인분석!$C$10,M3369&lt;=원인분석!$C$11),"당기",IF(AND(M3369&gt;=원인분석!$C$12,M3369&lt;=원인분석!$C$13),"비교",""))))</f>
        <v/>
      </c>
      <c r="R3369" s="9">
        <f>IF(Q3369="","",$K3369&amp;"")</f>
        <v/>
      </c>
      <c r="S3369" s="9">
        <f>IF(Q3369="","",IF(MATCH(R3369,$R$5:$R$100000,0)=ROW()-4,ROW(),""))</f>
        <v/>
      </c>
      <c r="T3369" s="9">
        <f>IF(Q3369="당기",ABS(P3369)+ROW()/1000000000,"")</f>
        <v/>
      </c>
      <c r="U3369" s="9">
        <f>IF(Q3369="비교",ABS(P3369)+ROW()/1000000000,"")</f>
        <v/>
      </c>
      <c r="V3369" s="64">
        <f>IF($A3369="","",IF(COUNTIF(변동분석!$E$7:$E$506,O3369)&gt;0,"Y","N"))</f>
        <v/>
      </c>
      <c r="W3369" s="64">
        <f>IF($A3369="","",IFERROR(INDEX(계정매핑!$D$5:$D$504,MATCH($F3369&amp;"",계정매핑!$A$5:$A$504,0)),"미매핑"))</f>
        <v/>
      </c>
      <c r="X3369" s="9">
        <f>IF($A3369="","",$F3369&amp;"")</f>
        <v/>
      </c>
      <c r="Y3369" s="94">
        <f>IF($A3369="",0,IF(AE3369="직접",IF(AF3369="비귀속",$P3369,0),$P3369*(1-AG3369)*IFERROR(INDEX(계정대체기준!$F$20:$F$49,MATCH($N3369,계정대체기준!$A$20:$A$49,0)),1)))</f>
        <v/>
      </c>
      <c r="Z3369" s="94">
        <f>IF($A3369="",0,IF(AE3369="직접",IF(AF3369="신계약비",$P3369,0),$P3369*(1-AG3369)*IFERROR(INDEX(계정대체기준!$C$20:$C$49,MATCH($N3369,계정대체기준!$A$20:$A$49,0)),0)))</f>
        <v/>
      </c>
      <c r="AA3369" s="94">
        <f>IF($A3369="",0,IF(AE3369="직접",IF(OR(AF3369="유지비",AF3369="손해조사비"),$P3369,0),$P3369*(1-AG3369)*IFERROR(INDEX(계정대체기준!$D$20:$D$49,MATCH($N3369,계정대체기준!$A$20:$A$49,0)),0)))</f>
        <v/>
      </c>
      <c r="AB3369" s="94">
        <f>IF($A3369="",0,IF(AE3369="직접",IF(AF3369="수금비",$P3369,0),$P3369*(1-AG3369)*IFERROR(INDEX(계정대체기준!$E$20:$E$49,MATCH($N3369,계정대체기준!$A$20:$A$49,0)),0)))</f>
        <v/>
      </c>
      <c r="AC3369" s="9">
        <f>IF(AND($A3369&lt;&gt;"",M3369=설정!$C$20,Z3369&gt;0),Z3369+ROW()/1000000000,"")</f>
        <v/>
      </c>
      <c r="AD3369" s="94">
        <f>IF($A3369="",0,$P3369*AG3369)</f>
        <v/>
      </c>
      <c r="AE3369" s="64">
        <f>IF($A3369="","",IFERROR(INDEX(계정매핑!$E$5:$E$504,MATCH($F3369&amp;"",계정매핑!$A$5:$A$504,0))&amp;"","공통비"))</f>
        <v/>
      </c>
      <c r="AF3369" s="64">
        <f>IF($A3369="","",IF(AE3369="직접",IFERROR(INDEX(계정매핑!$F$5:$F$504,MATCH($F3369&amp;"",계정매핑!$A$5:$A$504,0))&amp;"","비귀속"),""))</f>
        <v/>
      </c>
      <c r="AG3369" s="96">
        <f>IF($A3369="",0,IF(AND(AE3369&lt;&gt;"직접",IFERROR(INDEX(계정매핑!$G$5:$G$504,MATCH($F3369&amp;"",계정매핑!$A$5:$A$504,0))&amp;"","")="유지비",COUNTIF(계정대체기준!$A$6:$A$15,$N3369)&gt;0),IFERROR(INDEX(계정대체기준!$E$6:$E$15,MATCH(VALUE($A3369&amp;""),계정대체기준!$D$6:$D$15,0)),0),0))</f>
        <v/>
      </c>
      <c r="AH3369" s="64">
        <f>IF($A3369="","",IF(AD3369=0,"",IF(OR(COUNTIF(계정대체기준!$A$77:$A$86,$N3369)&gt;0,ISNUMBER(MATCH($X3369,계정대체기준!$D$77:$D$86,0)),ISNUMBER(MATCH($F3369,계정대체기준!$D$77:$D$86,0))),"Y","N")))</f>
        <v/>
      </c>
    </row>
    <row r="3370">
      <c r="A3370" s="92" t="n">
        <v>2026</v>
      </c>
      <c r="B3370" s="92" t="n">
        <v>3</v>
      </c>
      <c r="C3370" s="92" t="inlineStr">
        <is>
          <t>5100000648</t>
        </is>
      </c>
      <c r="D3370" s="95" t="n">
        <v>46104</v>
      </c>
      <c r="E3370" s="92" t="inlineStr">
        <is>
          <t>KR</t>
        </is>
      </c>
      <c r="F3370" s="92" t="n">
        <v>62901000</v>
      </c>
      <c r="G3370" s="92" t="n">
        <v>1401</v>
      </c>
      <c r="H3370" s="93" t="n">
        <v>6483000</v>
      </c>
      <c r="I3370" s="92" t="inlineStr">
        <is>
          <t>3월 자문 수수료 - W컨설팅</t>
        </is>
      </c>
      <c r="J3370" s="92" t="inlineStr">
        <is>
          <t>V10006</t>
        </is>
      </c>
      <c r="K3370" s="92" t="inlineStr">
        <is>
          <t>W컨설팅</t>
        </is>
      </c>
      <c r="M3370" s="9">
        <f>IF($A3370="","",VALUE($A3370&amp;"")*12+VALUE($B3370&amp;""))</f>
        <v/>
      </c>
      <c r="N3370" s="64">
        <f>IF($A3370="","",IFERROR(INDEX(부서매핑!$C$5:$C$504,MATCH($G3370&amp;"",부서매핑!$A$5:$A$504,0)),"미매핑"))</f>
        <v/>
      </c>
      <c r="O3370" s="9">
        <f>IF($A3370="","",N3370&amp;"|"&amp;$F3370)</f>
        <v/>
      </c>
      <c r="P3370" s="94">
        <f>IF($A3370="",0,$H3370*설정!$C$23)</f>
        <v/>
      </c>
      <c r="Q3370" s="64">
        <f>IF($A3370="","",IF(O3370&lt;&gt;원인분석!$C$9,"",IF(AND(M3370&gt;=원인분석!$C$10,M3370&lt;=원인분석!$C$11),"당기",IF(AND(M3370&gt;=원인분석!$C$12,M3370&lt;=원인분석!$C$13),"비교",""))))</f>
        <v/>
      </c>
      <c r="R3370" s="9">
        <f>IF(Q3370="","",$K3370&amp;"")</f>
        <v/>
      </c>
      <c r="S3370" s="9">
        <f>IF(Q3370="","",IF(MATCH(R3370,$R$5:$R$100000,0)=ROW()-4,ROW(),""))</f>
        <v/>
      </c>
      <c r="T3370" s="9">
        <f>IF(Q3370="당기",ABS(P3370)+ROW()/1000000000,"")</f>
        <v/>
      </c>
      <c r="U3370" s="9">
        <f>IF(Q3370="비교",ABS(P3370)+ROW()/1000000000,"")</f>
        <v/>
      </c>
      <c r="V3370" s="64">
        <f>IF($A3370="","",IF(COUNTIF(변동분석!$E$7:$E$506,O3370)&gt;0,"Y","N"))</f>
        <v/>
      </c>
      <c r="W3370" s="64">
        <f>IF($A3370="","",IFERROR(INDEX(계정매핑!$D$5:$D$504,MATCH($F3370&amp;"",계정매핑!$A$5:$A$504,0)),"미매핑"))</f>
        <v/>
      </c>
      <c r="X3370" s="9">
        <f>IF($A3370="","",$F3370&amp;"")</f>
        <v/>
      </c>
      <c r="Y3370" s="94">
        <f>IF($A3370="",0,IF(AE3370="직접",IF(AF3370="비귀속",$P3370,0),$P3370*(1-AG3370)*IFERROR(INDEX(계정대체기준!$F$20:$F$49,MATCH($N3370,계정대체기준!$A$20:$A$49,0)),1)))</f>
        <v/>
      </c>
      <c r="Z3370" s="94">
        <f>IF($A3370="",0,IF(AE3370="직접",IF(AF3370="신계약비",$P3370,0),$P3370*(1-AG3370)*IFERROR(INDEX(계정대체기준!$C$20:$C$49,MATCH($N3370,계정대체기준!$A$20:$A$49,0)),0)))</f>
        <v/>
      </c>
      <c r="AA3370" s="94">
        <f>IF($A3370="",0,IF(AE3370="직접",IF(OR(AF3370="유지비",AF3370="손해조사비"),$P3370,0),$P3370*(1-AG3370)*IFERROR(INDEX(계정대체기준!$D$20:$D$49,MATCH($N3370,계정대체기준!$A$20:$A$49,0)),0)))</f>
        <v/>
      </c>
      <c r="AB3370" s="94">
        <f>IF($A3370="",0,IF(AE3370="직접",IF(AF3370="수금비",$P3370,0),$P3370*(1-AG3370)*IFERROR(INDEX(계정대체기준!$E$20:$E$49,MATCH($N3370,계정대체기준!$A$20:$A$49,0)),0)))</f>
        <v/>
      </c>
      <c r="AC3370" s="9">
        <f>IF(AND($A3370&lt;&gt;"",M3370=설정!$C$20,Z3370&gt;0),Z3370+ROW()/1000000000,"")</f>
        <v/>
      </c>
      <c r="AD3370" s="94">
        <f>IF($A3370="",0,$P3370*AG3370)</f>
        <v/>
      </c>
      <c r="AE3370" s="64">
        <f>IF($A3370="","",IFERROR(INDEX(계정매핑!$E$5:$E$504,MATCH($F3370&amp;"",계정매핑!$A$5:$A$504,0))&amp;"","공통비"))</f>
        <v/>
      </c>
      <c r="AF3370" s="64">
        <f>IF($A3370="","",IF(AE3370="직접",IFERROR(INDEX(계정매핑!$F$5:$F$504,MATCH($F3370&amp;"",계정매핑!$A$5:$A$504,0))&amp;"","비귀속"),""))</f>
        <v/>
      </c>
      <c r="AG3370" s="96">
        <f>IF($A3370="",0,IF(AND(AE3370&lt;&gt;"직접",IFERROR(INDEX(계정매핑!$G$5:$G$504,MATCH($F3370&amp;"",계정매핑!$A$5:$A$504,0))&amp;"","")="유지비",COUNTIF(계정대체기준!$A$6:$A$15,$N3370)&gt;0),IFERROR(INDEX(계정대체기준!$E$6:$E$15,MATCH(VALUE($A3370&amp;""),계정대체기준!$D$6:$D$15,0)),0),0))</f>
        <v/>
      </c>
      <c r="AH3370" s="64">
        <f>IF($A3370="","",IF(AD3370=0,"",IF(OR(COUNTIF(계정대체기준!$A$77:$A$86,$N3370)&gt;0,ISNUMBER(MATCH($X3370,계정대체기준!$D$77:$D$86,0)),ISNUMBER(MATCH($F3370,계정대체기준!$D$77:$D$86,0))),"Y","N")))</f>
        <v/>
      </c>
    </row>
    <row r="3371">
      <c r="A3371" s="92" t="n">
        <v>2026</v>
      </c>
      <c r="B3371" s="92" t="n">
        <v>3</v>
      </c>
      <c r="C3371" s="92" t="inlineStr">
        <is>
          <t>5100000649</t>
        </is>
      </c>
      <c r="D3371" s="95" t="n">
        <v>46104</v>
      </c>
      <c r="E3371" s="92" t="inlineStr">
        <is>
          <t>KR</t>
        </is>
      </c>
      <c r="F3371" s="92" t="n">
        <v>62902000</v>
      </c>
      <c r="G3371" s="92" t="n">
        <v>1801</v>
      </c>
      <c r="H3371" s="93" t="n">
        <v>3000000</v>
      </c>
      <c r="I3371" s="92" t="inlineStr">
        <is>
          <t>3월 업무 위탁 수수료 - X서비스</t>
        </is>
      </c>
      <c r="J3371" s="92" t="inlineStr">
        <is>
          <t>V10020</t>
        </is>
      </c>
      <c r="K3371" s="92" t="inlineStr">
        <is>
          <t>X서비스</t>
        </is>
      </c>
      <c r="M3371" s="9">
        <f>IF($A3371="","",VALUE($A3371&amp;"")*12+VALUE($B3371&amp;""))</f>
        <v/>
      </c>
      <c r="N3371" s="64">
        <f>IF($A3371="","",IFERROR(INDEX(부서매핑!$C$5:$C$504,MATCH($G3371&amp;"",부서매핑!$A$5:$A$504,0)),"미매핑"))</f>
        <v/>
      </c>
      <c r="O3371" s="9">
        <f>IF($A3371="","",N3371&amp;"|"&amp;$F3371)</f>
        <v/>
      </c>
      <c r="P3371" s="94">
        <f>IF($A3371="",0,$H3371*설정!$C$23)</f>
        <v/>
      </c>
      <c r="Q3371" s="64">
        <f>IF($A3371="","",IF(O3371&lt;&gt;원인분석!$C$9,"",IF(AND(M3371&gt;=원인분석!$C$10,M3371&lt;=원인분석!$C$11),"당기",IF(AND(M3371&gt;=원인분석!$C$12,M3371&lt;=원인분석!$C$13),"비교",""))))</f>
        <v/>
      </c>
      <c r="R3371" s="9">
        <f>IF(Q3371="","",$K3371&amp;"")</f>
        <v/>
      </c>
      <c r="S3371" s="9">
        <f>IF(Q3371="","",IF(MATCH(R3371,$R$5:$R$100000,0)=ROW()-4,ROW(),""))</f>
        <v/>
      </c>
      <c r="T3371" s="9">
        <f>IF(Q3371="당기",ABS(P3371)+ROW()/1000000000,"")</f>
        <v/>
      </c>
      <c r="U3371" s="9">
        <f>IF(Q3371="비교",ABS(P3371)+ROW()/1000000000,"")</f>
        <v/>
      </c>
      <c r="V3371" s="64">
        <f>IF($A3371="","",IF(COUNTIF(변동분석!$E$7:$E$506,O3371)&gt;0,"Y","N"))</f>
        <v/>
      </c>
      <c r="W3371" s="64">
        <f>IF($A3371="","",IFERROR(INDEX(계정매핑!$D$5:$D$504,MATCH($F3371&amp;"",계정매핑!$A$5:$A$504,0)),"미매핑"))</f>
        <v/>
      </c>
      <c r="X3371" s="9">
        <f>IF($A3371="","",$F3371&amp;"")</f>
        <v/>
      </c>
      <c r="Y3371" s="94">
        <f>IF($A3371="",0,IF(AE3371="직접",IF(AF3371="비귀속",$P3371,0),$P3371*(1-AG3371)*IFERROR(INDEX(계정대체기준!$F$20:$F$49,MATCH($N3371,계정대체기준!$A$20:$A$49,0)),1)))</f>
        <v/>
      </c>
      <c r="Z3371" s="94">
        <f>IF($A3371="",0,IF(AE3371="직접",IF(AF3371="신계약비",$P3371,0),$P3371*(1-AG3371)*IFERROR(INDEX(계정대체기준!$C$20:$C$49,MATCH($N3371,계정대체기준!$A$20:$A$49,0)),0)))</f>
        <v/>
      </c>
      <c r="AA3371" s="94">
        <f>IF($A3371="",0,IF(AE3371="직접",IF(OR(AF3371="유지비",AF3371="손해조사비"),$P3371,0),$P3371*(1-AG3371)*IFERROR(INDEX(계정대체기준!$D$20:$D$49,MATCH($N3371,계정대체기준!$A$20:$A$49,0)),0)))</f>
        <v/>
      </c>
      <c r="AB3371" s="94">
        <f>IF($A3371="",0,IF(AE3371="직접",IF(AF3371="수금비",$P3371,0),$P3371*(1-AG3371)*IFERROR(INDEX(계정대체기준!$E$20:$E$49,MATCH($N3371,계정대체기준!$A$20:$A$49,0)),0)))</f>
        <v/>
      </c>
      <c r="AC3371" s="9">
        <f>IF(AND($A3371&lt;&gt;"",M3371=설정!$C$20,Z3371&gt;0),Z3371+ROW()/1000000000,"")</f>
        <v/>
      </c>
      <c r="AD3371" s="94">
        <f>IF($A3371="",0,$P3371*AG3371)</f>
        <v/>
      </c>
      <c r="AE3371" s="64">
        <f>IF($A3371="","",IFERROR(INDEX(계정매핑!$E$5:$E$504,MATCH($F3371&amp;"",계정매핑!$A$5:$A$504,0))&amp;"","공통비"))</f>
        <v/>
      </c>
      <c r="AF3371" s="64">
        <f>IF($A3371="","",IF(AE3371="직접",IFERROR(INDEX(계정매핑!$F$5:$F$504,MATCH($F3371&amp;"",계정매핑!$A$5:$A$504,0))&amp;"","비귀속"),""))</f>
        <v/>
      </c>
      <c r="AG3371" s="96">
        <f>IF($A3371="",0,IF(AND(AE3371&lt;&gt;"직접",IFERROR(INDEX(계정매핑!$G$5:$G$504,MATCH($F3371&amp;"",계정매핑!$A$5:$A$504,0))&amp;"","")="유지비",COUNTIF(계정대체기준!$A$6:$A$15,$N3371)&gt;0),IFERROR(INDEX(계정대체기준!$E$6:$E$15,MATCH(VALUE($A3371&amp;""),계정대체기준!$D$6:$D$15,0)),0),0))</f>
        <v/>
      </c>
      <c r="AH3371" s="64">
        <f>IF($A3371="","",IF(AD3371=0,"",IF(OR(COUNTIF(계정대체기준!$A$77:$A$86,$N3371)&gt;0,ISNUMBER(MATCH($X3371,계정대체기준!$D$77:$D$86,0)),ISNUMBER(MATCH($F3371,계정대체기준!$D$77:$D$86,0))),"Y","N")))</f>
        <v/>
      </c>
    </row>
    <row r="3372">
      <c r="A3372" s="92" t="n">
        <v>2026</v>
      </c>
      <c r="B3372" s="92" t="n">
        <v>3</v>
      </c>
      <c r="C3372" s="92" t="inlineStr">
        <is>
          <t>5100000650</t>
        </is>
      </c>
      <c r="D3372" s="95" t="n">
        <v>46105</v>
      </c>
      <c r="E3372" s="92" t="inlineStr">
        <is>
          <t>KR</t>
        </is>
      </c>
      <c r="F3372" s="92" t="n">
        <v>62101000</v>
      </c>
      <c r="G3372" s="92" t="n">
        <v>1201</v>
      </c>
      <c r="H3372" s="93" t="n">
        <v>237000</v>
      </c>
      <c r="I3372" s="92" t="inlineStr">
        <is>
          <t>3월 국내출장 - (법인카드)</t>
        </is>
      </c>
      <c r="J3372" s="92" t="inlineStr">
        <is>
          <t>V10010</t>
        </is>
      </c>
      <c r="K3372" s="92" t="inlineStr">
        <is>
          <t>(법인카드)</t>
        </is>
      </c>
      <c r="M3372" s="9">
        <f>IF($A3372="","",VALUE($A3372&amp;"")*12+VALUE($B3372&amp;""))</f>
        <v/>
      </c>
      <c r="N3372" s="64">
        <f>IF($A3372="","",IFERROR(INDEX(부서매핑!$C$5:$C$504,MATCH($G3372&amp;"",부서매핑!$A$5:$A$504,0)),"미매핑"))</f>
        <v/>
      </c>
      <c r="O3372" s="9">
        <f>IF($A3372="","",N3372&amp;"|"&amp;$F3372)</f>
        <v/>
      </c>
      <c r="P3372" s="94">
        <f>IF($A3372="",0,$H3372*설정!$C$23)</f>
        <v/>
      </c>
      <c r="Q3372" s="64">
        <f>IF($A3372="","",IF(O3372&lt;&gt;원인분석!$C$9,"",IF(AND(M3372&gt;=원인분석!$C$10,M3372&lt;=원인분석!$C$11),"당기",IF(AND(M3372&gt;=원인분석!$C$12,M3372&lt;=원인분석!$C$13),"비교",""))))</f>
        <v/>
      </c>
      <c r="R3372" s="9">
        <f>IF(Q3372="","",$K3372&amp;"")</f>
        <v/>
      </c>
      <c r="S3372" s="9">
        <f>IF(Q3372="","",IF(MATCH(R3372,$R$5:$R$100000,0)=ROW()-4,ROW(),""))</f>
        <v/>
      </c>
      <c r="T3372" s="9">
        <f>IF(Q3372="당기",ABS(P3372)+ROW()/1000000000,"")</f>
        <v/>
      </c>
      <c r="U3372" s="9">
        <f>IF(Q3372="비교",ABS(P3372)+ROW()/1000000000,"")</f>
        <v/>
      </c>
      <c r="V3372" s="64">
        <f>IF($A3372="","",IF(COUNTIF(변동분석!$E$7:$E$506,O3372)&gt;0,"Y","N"))</f>
        <v/>
      </c>
      <c r="W3372" s="64">
        <f>IF($A3372="","",IFERROR(INDEX(계정매핑!$D$5:$D$504,MATCH($F3372&amp;"",계정매핑!$A$5:$A$504,0)),"미매핑"))</f>
        <v/>
      </c>
      <c r="X3372" s="9">
        <f>IF($A3372="","",$F3372&amp;"")</f>
        <v/>
      </c>
      <c r="Y3372" s="94">
        <f>IF($A3372="",0,IF(AE3372="직접",IF(AF3372="비귀속",$P3372,0),$P3372*(1-AG3372)*IFERROR(INDEX(계정대체기준!$F$20:$F$49,MATCH($N3372,계정대체기준!$A$20:$A$49,0)),1)))</f>
        <v/>
      </c>
      <c r="Z3372" s="94">
        <f>IF($A3372="",0,IF(AE3372="직접",IF(AF3372="신계약비",$P3372,0),$P3372*(1-AG3372)*IFERROR(INDEX(계정대체기준!$C$20:$C$49,MATCH($N3372,계정대체기준!$A$20:$A$49,0)),0)))</f>
        <v/>
      </c>
      <c r="AA3372" s="94">
        <f>IF($A3372="",0,IF(AE3372="직접",IF(OR(AF3372="유지비",AF3372="손해조사비"),$P3372,0),$P3372*(1-AG3372)*IFERROR(INDEX(계정대체기준!$D$20:$D$49,MATCH($N3372,계정대체기준!$A$20:$A$49,0)),0)))</f>
        <v/>
      </c>
      <c r="AB3372" s="94">
        <f>IF($A3372="",0,IF(AE3372="직접",IF(AF3372="수금비",$P3372,0),$P3372*(1-AG3372)*IFERROR(INDEX(계정대체기준!$E$20:$E$49,MATCH($N3372,계정대체기준!$A$20:$A$49,0)),0)))</f>
        <v/>
      </c>
      <c r="AC3372" s="9">
        <f>IF(AND($A3372&lt;&gt;"",M3372=설정!$C$20,Z3372&gt;0),Z3372+ROW()/1000000000,"")</f>
        <v/>
      </c>
      <c r="AD3372" s="94">
        <f>IF($A3372="",0,$P3372*AG3372)</f>
        <v/>
      </c>
      <c r="AE3372" s="64">
        <f>IF($A3372="","",IFERROR(INDEX(계정매핑!$E$5:$E$504,MATCH($F3372&amp;"",계정매핑!$A$5:$A$504,0))&amp;"","공통비"))</f>
        <v/>
      </c>
      <c r="AF3372" s="64">
        <f>IF($A3372="","",IF(AE3372="직접",IFERROR(INDEX(계정매핑!$F$5:$F$504,MATCH($F3372&amp;"",계정매핑!$A$5:$A$504,0))&amp;"","비귀속"),""))</f>
        <v/>
      </c>
      <c r="AG3372" s="96">
        <f>IF($A3372="",0,IF(AND(AE3372&lt;&gt;"직접",IFERROR(INDEX(계정매핑!$G$5:$G$504,MATCH($F3372&amp;"",계정매핑!$A$5:$A$504,0))&amp;"","")="유지비",COUNTIF(계정대체기준!$A$6:$A$15,$N3372)&gt;0),IFERROR(INDEX(계정대체기준!$E$6:$E$15,MATCH(VALUE($A3372&amp;""),계정대체기준!$D$6:$D$15,0)),0),0))</f>
        <v/>
      </c>
      <c r="AH3372" s="64">
        <f>IF($A3372="","",IF(AD3372=0,"",IF(OR(COUNTIF(계정대체기준!$A$77:$A$86,$N3372)&gt;0,ISNUMBER(MATCH($X3372,계정대체기준!$D$77:$D$86,0)),ISNUMBER(MATCH($F3372,계정대체기준!$D$77:$D$86,0))),"Y","N")))</f>
        <v/>
      </c>
    </row>
    <row r="3373">
      <c r="A3373" s="92" t="n">
        <v>2026</v>
      </c>
      <c r="B3373" s="92" t="n">
        <v>3</v>
      </c>
      <c r="C3373" s="92" t="inlineStr">
        <is>
          <t>5100000651</t>
        </is>
      </c>
      <c r="D3373" s="95" t="n">
        <v>46105</v>
      </c>
      <c r="E3373" s="92" t="inlineStr">
        <is>
          <t>KR</t>
        </is>
      </c>
      <c r="F3373" s="92" t="n">
        <v>62101000</v>
      </c>
      <c r="G3373" s="92" t="n">
        <v>1801</v>
      </c>
      <c r="H3373" s="93" t="n">
        <v>203000</v>
      </c>
      <c r="I3373" s="92" t="inlineStr">
        <is>
          <t>3월 국내출장 - L여행사</t>
        </is>
      </c>
      <c r="J3373" s="92" t="inlineStr">
        <is>
          <t>V10018</t>
        </is>
      </c>
      <c r="K3373" s="92" t="inlineStr">
        <is>
          <t>L여행사</t>
        </is>
      </c>
      <c r="M3373" s="9">
        <f>IF($A3373="","",VALUE($A3373&amp;"")*12+VALUE($B3373&amp;""))</f>
        <v/>
      </c>
      <c r="N3373" s="64">
        <f>IF($A3373="","",IFERROR(INDEX(부서매핑!$C$5:$C$504,MATCH($G3373&amp;"",부서매핑!$A$5:$A$504,0)),"미매핑"))</f>
        <v/>
      </c>
      <c r="O3373" s="9">
        <f>IF($A3373="","",N3373&amp;"|"&amp;$F3373)</f>
        <v/>
      </c>
      <c r="P3373" s="94">
        <f>IF($A3373="",0,$H3373*설정!$C$23)</f>
        <v/>
      </c>
      <c r="Q3373" s="64">
        <f>IF($A3373="","",IF(O3373&lt;&gt;원인분석!$C$9,"",IF(AND(M3373&gt;=원인분석!$C$10,M3373&lt;=원인분석!$C$11),"당기",IF(AND(M3373&gt;=원인분석!$C$12,M3373&lt;=원인분석!$C$13),"비교",""))))</f>
        <v/>
      </c>
      <c r="R3373" s="9">
        <f>IF(Q3373="","",$K3373&amp;"")</f>
        <v/>
      </c>
      <c r="S3373" s="9">
        <f>IF(Q3373="","",IF(MATCH(R3373,$R$5:$R$100000,0)=ROW()-4,ROW(),""))</f>
        <v/>
      </c>
      <c r="T3373" s="9">
        <f>IF(Q3373="당기",ABS(P3373)+ROW()/1000000000,"")</f>
        <v/>
      </c>
      <c r="U3373" s="9">
        <f>IF(Q3373="비교",ABS(P3373)+ROW()/1000000000,"")</f>
        <v/>
      </c>
      <c r="V3373" s="64">
        <f>IF($A3373="","",IF(COUNTIF(변동분석!$E$7:$E$506,O3373)&gt;0,"Y","N"))</f>
        <v/>
      </c>
      <c r="W3373" s="64">
        <f>IF($A3373="","",IFERROR(INDEX(계정매핑!$D$5:$D$504,MATCH($F3373&amp;"",계정매핑!$A$5:$A$504,0)),"미매핑"))</f>
        <v/>
      </c>
      <c r="X3373" s="9">
        <f>IF($A3373="","",$F3373&amp;"")</f>
        <v/>
      </c>
      <c r="Y3373" s="94">
        <f>IF($A3373="",0,IF(AE3373="직접",IF(AF3373="비귀속",$P3373,0),$P3373*(1-AG3373)*IFERROR(INDEX(계정대체기준!$F$20:$F$49,MATCH($N3373,계정대체기준!$A$20:$A$49,0)),1)))</f>
        <v/>
      </c>
      <c r="Z3373" s="94">
        <f>IF($A3373="",0,IF(AE3373="직접",IF(AF3373="신계약비",$P3373,0),$P3373*(1-AG3373)*IFERROR(INDEX(계정대체기준!$C$20:$C$49,MATCH($N3373,계정대체기준!$A$20:$A$49,0)),0)))</f>
        <v/>
      </c>
      <c r="AA3373" s="94">
        <f>IF($A3373="",0,IF(AE3373="직접",IF(OR(AF3373="유지비",AF3373="손해조사비"),$P3373,0),$P3373*(1-AG3373)*IFERROR(INDEX(계정대체기준!$D$20:$D$49,MATCH($N3373,계정대체기준!$A$20:$A$49,0)),0)))</f>
        <v/>
      </c>
      <c r="AB3373" s="94">
        <f>IF($A3373="",0,IF(AE3373="직접",IF(AF3373="수금비",$P3373,0),$P3373*(1-AG3373)*IFERROR(INDEX(계정대체기준!$E$20:$E$49,MATCH($N3373,계정대체기준!$A$20:$A$49,0)),0)))</f>
        <v/>
      </c>
      <c r="AC3373" s="9">
        <f>IF(AND($A3373&lt;&gt;"",M3373=설정!$C$20,Z3373&gt;0),Z3373+ROW()/1000000000,"")</f>
        <v/>
      </c>
      <c r="AD3373" s="94">
        <f>IF($A3373="",0,$P3373*AG3373)</f>
        <v/>
      </c>
      <c r="AE3373" s="64">
        <f>IF($A3373="","",IFERROR(INDEX(계정매핑!$E$5:$E$504,MATCH($F3373&amp;"",계정매핑!$A$5:$A$504,0))&amp;"","공통비"))</f>
        <v/>
      </c>
      <c r="AF3373" s="64">
        <f>IF($A3373="","",IF(AE3373="직접",IFERROR(INDEX(계정매핑!$F$5:$F$504,MATCH($F3373&amp;"",계정매핑!$A$5:$A$504,0))&amp;"","비귀속"),""))</f>
        <v/>
      </c>
      <c r="AG3373" s="96">
        <f>IF($A3373="",0,IF(AND(AE3373&lt;&gt;"직접",IFERROR(INDEX(계정매핑!$G$5:$G$504,MATCH($F3373&amp;"",계정매핑!$A$5:$A$504,0))&amp;"","")="유지비",COUNTIF(계정대체기준!$A$6:$A$15,$N3373)&gt;0),IFERROR(INDEX(계정대체기준!$E$6:$E$15,MATCH(VALUE($A3373&amp;""),계정대체기준!$D$6:$D$15,0)),0),0))</f>
        <v/>
      </c>
      <c r="AH3373" s="64">
        <f>IF($A3373="","",IF(AD3373=0,"",IF(OR(COUNTIF(계정대체기준!$A$77:$A$86,$N3373)&gt;0,ISNUMBER(MATCH($X3373,계정대체기준!$D$77:$D$86,0)),ISNUMBER(MATCH($F3373,계정대체기준!$D$77:$D$86,0))),"Y","N")))</f>
        <v/>
      </c>
    </row>
    <row r="3374">
      <c r="A3374" s="92" t="n">
        <v>2026</v>
      </c>
      <c r="B3374" s="92" t="n">
        <v>3</v>
      </c>
      <c r="C3374" s="92" t="inlineStr">
        <is>
          <t>5100000652</t>
        </is>
      </c>
      <c r="D3374" s="95" t="n">
        <v>46105</v>
      </c>
      <c r="E3374" s="92" t="inlineStr">
        <is>
          <t>KR</t>
        </is>
      </c>
      <c r="F3374" s="92" t="n">
        <v>62902000</v>
      </c>
      <c r="G3374" s="92" t="n">
        <v>1201</v>
      </c>
      <c r="H3374" s="93" t="n">
        <v>2792000</v>
      </c>
      <c r="I3374" s="92" t="inlineStr">
        <is>
          <t>3월 업무 위탁 수수료 - X서비스</t>
        </is>
      </c>
      <c r="J3374" s="92" t="inlineStr">
        <is>
          <t>V10020</t>
        </is>
      </c>
      <c r="K3374" s="92" t="inlineStr">
        <is>
          <t>X서비스</t>
        </is>
      </c>
      <c r="M3374" s="9">
        <f>IF($A3374="","",VALUE($A3374&amp;"")*12+VALUE($B3374&amp;""))</f>
        <v/>
      </c>
      <c r="N3374" s="64">
        <f>IF($A3374="","",IFERROR(INDEX(부서매핑!$C$5:$C$504,MATCH($G3374&amp;"",부서매핑!$A$5:$A$504,0)),"미매핑"))</f>
        <v/>
      </c>
      <c r="O3374" s="9">
        <f>IF($A3374="","",N3374&amp;"|"&amp;$F3374)</f>
        <v/>
      </c>
      <c r="P3374" s="94">
        <f>IF($A3374="",0,$H3374*설정!$C$23)</f>
        <v/>
      </c>
      <c r="Q3374" s="64">
        <f>IF($A3374="","",IF(O3374&lt;&gt;원인분석!$C$9,"",IF(AND(M3374&gt;=원인분석!$C$10,M3374&lt;=원인분석!$C$11),"당기",IF(AND(M3374&gt;=원인분석!$C$12,M3374&lt;=원인분석!$C$13),"비교",""))))</f>
        <v/>
      </c>
      <c r="R3374" s="9">
        <f>IF(Q3374="","",$K3374&amp;"")</f>
        <v/>
      </c>
      <c r="S3374" s="9">
        <f>IF(Q3374="","",IF(MATCH(R3374,$R$5:$R$100000,0)=ROW()-4,ROW(),""))</f>
        <v/>
      </c>
      <c r="T3374" s="9">
        <f>IF(Q3374="당기",ABS(P3374)+ROW()/1000000000,"")</f>
        <v/>
      </c>
      <c r="U3374" s="9">
        <f>IF(Q3374="비교",ABS(P3374)+ROW()/1000000000,"")</f>
        <v/>
      </c>
      <c r="V3374" s="64">
        <f>IF($A3374="","",IF(COUNTIF(변동분석!$E$7:$E$506,O3374)&gt;0,"Y","N"))</f>
        <v/>
      </c>
      <c r="W3374" s="64">
        <f>IF($A3374="","",IFERROR(INDEX(계정매핑!$D$5:$D$504,MATCH($F3374&amp;"",계정매핑!$A$5:$A$504,0)),"미매핑"))</f>
        <v/>
      </c>
      <c r="X3374" s="9">
        <f>IF($A3374="","",$F3374&amp;"")</f>
        <v/>
      </c>
      <c r="Y3374" s="94">
        <f>IF($A3374="",0,IF(AE3374="직접",IF(AF3374="비귀속",$P3374,0),$P3374*(1-AG3374)*IFERROR(INDEX(계정대체기준!$F$20:$F$49,MATCH($N3374,계정대체기준!$A$20:$A$49,0)),1)))</f>
        <v/>
      </c>
      <c r="Z3374" s="94">
        <f>IF($A3374="",0,IF(AE3374="직접",IF(AF3374="신계약비",$P3374,0),$P3374*(1-AG3374)*IFERROR(INDEX(계정대체기준!$C$20:$C$49,MATCH($N3374,계정대체기준!$A$20:$A$49,0)),0)))</f>
        <v/>
      </c>
      <c r="AA3374" s="94">
        <f>IF($A3374="",0,IF(AE3374="직접",IF(OR(AF3374="유지비",AF3374="손해조사비"),$P3374,0),$P3374*(1-AG3374)*IFERROR(INDEX(계정대체기준!$D$20:$D$49,MATCH($N3374,계정대체기준!$A$20:$A$49,0)),0)))</f>
        <v/>
      </c>
      <c r="AB3374" s="94">
        <f>IF($A3374="",0,IF(AE3374="직접",IF(AF3374="수금비",$P3374,0),$P3374*(1-AG3374)*IFERROR(INDEX(계정대체기준!$E$20:$E$49,MATCH($N3374,계정대체기준!$A$20:$A$49,0)),0)))</f>
        <v/>
      </c>
      <c r="AC3374" s="9">
        <f>IF(AND($A3374&lt;&gt;"",M3374=설정!$C$20,Z3374&gt;0),Z3374+ROW()/1000000000,"")</f>
        <v/>
      </c>
      <c r="AD3374" s="94">
        <f>IF($A3374="",0,$P3374*AG3374)</f>
        <v/>
      </c>
      <c r="AE3374" s="64">
        <f>IF($A3374="","",IFERROR(INDEX(계정매핑!$E$5:$E$504,MATCH($F3374&amp;"",계정매핑!$A$5:$A$504,0))&amp;"","공통비"))</f>
        <v/>
      </c>
      <c r="AF3374" s="64">
        <f>IF($A3374="","",IF(AE3374="직접",IFERROR(INDEX(계정매핑!$F$5:$F$504,MATCH($F3374&amp;"",계정매핑!$A$5:$A$504,0))&amp;"","비귀속"),""))</f>
        <v/>
      </c>
      <c r="AG3374" s="96">
        <f>IF($A3374="",0,IF(AND(AE3374&lt;&gt;"직접",IFERROR(INDEX(계정매핑!$G$5:$G$504,MATCH($F3374&amp;"",계정매핑!$A$5:$A$504,0))&amp;"","")="유지비",COUNTIF(계정대체기준!$A$6:$A$15,$N3374)&gt;0),IFERROR(INDEX(계정대체기준!$E$6:$E$15,MATCH(VALUE($A3374&amp;""),계정대체기준!$D$6:$D$15,0)),0),0))</f>
        <v/>
      </c>
      <c r="AH3374" s="64">
        <f>IF($A3374="","",IF(AD3374=0,"",IF(OR(COUNTIF(계정대체기준!$A$77:$A$86,$N3374)&gt;0,ISNUMBER(MATCH($X3374,계정대체기준!$D$77:$D$86,0)),ISNUMBER(MATCH($F3374,계정대체기준!$D$77:$D$86,0))),"Y","N")))</f>
        <v/>
      </c>
    </row>
    <row r="3375">
      <c r="A3375" s="92" t="n">
        <v>2026</v>
      </c>
      <c r="B3375" s="92" t="n">
        <v>3</v>
      </c>
      <c r="C3375" s="92" t="inlineStr">
        <is>
          <t>5100000653</t>
        </is>
      </c>
      <c r="D3375" s="95" t="n">
        <v>46105</v>
      </c>
      <c r="E3375" s="92" t="inlineStr">
        <is>
          <t>KR</t>
        </is>
      </c>
      <c r="F3375" s="92" t="n">
        <v>62902000</v>
      </c>
      <c r="G3375" s="92" t="n">
        <v>1951</v>
      </c>
      <c r="H3375" s="93" t="n">
        <v>2952000</v>
      </c>
      <c r="I3375" s="92" t="inlineStr">
        <is>
          <t>3월 업무 위탁 수수료 - X서비스</t>
        </is>
      </c>
      <c r="J3375" s="92" t="inlineStr">
        <is>
          <t>V10020</t>
        </is>
      </c>
      <c r="K3375" s="92" t="inlineStr">
        <is>
          <t>X서비스</t>
        </is>
      </c>
      <c r="M3375" s="9">
        <f>IF($A3375="","",VALUE($A3375&amp;"")*12+VALUE($B3375&amp;""))</f>
        <v/>
      </c>
      <c r="N3375" s="64">
        <f>IF($A3375="","",IFERROR(INDEX(부서매핑!$C$5:$C$504,MATCH($G3375&amp;"",부서매핑!$A$5:$A$504,0)),"미매핑"))</f>
        <v/>
      </c>
      <c r="O3375" s="9">
        <f>IF($A3375="","",N3375&amp;"|"&amp;$F3375)</f>
        <v/>
      </c>
      <c r="P3375" s="94">
        <f>IF($A3375="",0,$H3375*설정!$C$23)</f>
        <v/>
      </c>
      <c r="Q3375" s="64">
        <f>IF($A3375="","",IF(O3375&lt;&gt;원인분석!$C$9,"",IF(AND(M3375&gt;=원인분석!$C$10,M3375&lt;=원인분석!$C$11),"당기",IF(AND(M3375&gt;=원인분석!$C$12,M3375&lt;=원인분석!$C$13),"비교",""))))</f>
        <v/>
      </c>
      <c r="R3375" s="9">
        <f>IF(Q3375="","",$K3375&amp;"")</f>
        <v/>
      </c>
      <c r="S3375" s="9">
        <f>IF(Q3375="","",IF(MATCH(R3375,$R$5:$R$100000,0)=ROW()-4,ROW(),""))</f>
        <v/>
      </c>
      <c r="T3375" s="9">
        <f>IF(Q3375="당기",ABS(P3375)+ROW()/1000000000,"")</f>
        <v/>
      </c>
      <c r="U3375" s="9">
        <f>IF(Q3375="비교",ABS(P3375)+ROW()/1000000000,"")</f>
        <v/>
      </c>
      <c r="V3375" s="64">
        <f>IF($A3375="","",IF(COUNTIF(변동분석!$E$7:$E$506,O3375)&gt;0,"Y","N"))</f>
        <v/>
      </c>
      <c r="W3375" s="64">
        <f>IF($A3375="","",IFERROR(INDEX(계정매핑!$D$5:$D$504,MATCH($F3375&amp;"",계정매핑!$A$5:$A$504,0)),"미매핑"))</f>
        <v/>
      </c>
      <c r="X3375" s="9">
        <f>IF($A3375="","",$F3375&amp;"")</f>
        <v/>
      </c>
      <c r="Y3375" s="94">
        <f>IF($A3375="",0,IF(AE3375="직접",IF(AF3375="비귀속",$P3375,0),$P3375*(1-AG3375)*IFERROR(INDEX(계정대체기준!$F$20:$F$49,MATCH($N3375,계정대체기준!$A$20:$A$49,0)),1)))</f>
        <v/>
      </c>
      <c r="Z3375" s="94">
        <f>IF($A3375="",0,IF(AE3375="직접",IF(AF3375="신계약비",$P3375,0),$P3375*(1-AG3375)*IFERROR(INDEX(계정대체기준!$C$20:$C$49,MATCH($N3375,계정대체기준!$A$20:$A$49,0)),0)))</f>
        <v/>
      </c>
      <c r="AA3375" s="94">
        <f>IF($A3375="",0,IF(AE3375="직접",IF(OR(AF3375="유지비",AF3375="손해조사비"),$P3375,0),$P3375*(1-AG3375)*IFERROR(INDEX(계정대체기준!$D$20:$D$49,MATCH($N3375,계정대체기준!$A$20:$A$49,0)),0)))</f>
        <v/>
      </c>
      <c r="AB3375" s="94">
        <f>IF($A3375="",0,IF(AE3375="직접",IF(AF3375="수금비",$P3375,0),$P3375*(1-AG3375)*IFERROR(INDEX(계정대체기준!$E$20:$E$49,MATCH($N3375,계정대체기준!$A$20:$A$49,0)),0)))</f>
        <v/>
      </c>
      <c r="AC3375" s="9">
        <f>IF(AND($A3375&lt;&gt;"",M3375=설정!$C$20,Z3375&gt;0),Z3375+ROW()/1000000000,"")</f>
        <v/>
      </c>
      <c r="AD3375" s="94">
        <f>IF($A3375="",0,$P3375*AG3375)</f>
        <v/>
      </c>
      <c r="AE3375" s="64">
        <f>IF($A3375="","",IFERROR(INDEX(계정매핑!$E$5:$E$504,MATCH($F3375&amp;"",계정매핑!$A$5:$A$504,0))&amp;"","공통비"))</f>
        <v/>
      </c>
      <c r="AF3375" s="64">
        <f>IF($A3375="","",IF(AE3375="직접",IFERROR(INDEX(계정매핑!$F$5:$F$504,MATCH($F3375&amp;"",계정매핑!$A$5:$A$504,0))&amp;"","비귀속"),""))</f>
        <v/>
      </c>
      <c r="AG3375" s="96">
        <f>IF($A3375="",0,IF(AND(AE3375&lt;&gt;"직접",IFERROR(INDEX(계정매핑!$G$5:$G$504,MATCH($F3375&amp;"",계정매핑!$A$5:$A$504,0))&amp;"","")="유지비",COUNTIF(계정대체기준!$A$6:$A$15,$N3375)&gt;0),IFERROR(INDEX(계정대체기준!$E$6:$E$15,MATCH(VALUE($A3375&amp;""),계정대체기준!$D$6:$D$15,0)),0),0))</f>
        <v/>
      </c>
      <c r="AH3375" s="64">
        <f>IF($A3375="","",IF(AD3375=0,"",IF(OR(COUNTIF(계정대체기준!$A$77:$A$86,$N3375)&gt;0,ISNUMBER(MATCH($X3375,계정대체기준!$D$77:$D$86,0)),ISNUMBER(MATCH($F3375,계정대체기준!$D$77:$D$86,0))),"Y","N")))</f>
        <v/>
      </c>
    </row>
    <row r="3376">
      <c r="A3376" s="92" t="n">
        <v>2026</v>
      </c>
      <c r="B3376" s="92" t="n">
        <v>3</v>
      </c>
      <c r="C3376" s="92" t="inlineStr">
        <is>
          <t>5100000654</t>
        </is>
      </c>
      <c r="D3376" s="95" t="n">
        <v>46105</v>
      </c>
      <c r="E3376" s="92" t="inlineStr">
        <is>
          <t>KR</t>
        </is>
      </c>
      <c r="F3376" s="92" t="n">
        <v>63101000</v>
      </c>
      <c r="G3376" s="92" t="n">
        <v>1601</v>
      </c>
      <c r="H3376" s="93" t="n">
        <v>5967000</v>
      </c>
      <c r="I3376" s="92" t="inlineStr">
        <is>
          <t>3월 사무실 임차료 - AA빌딩</t>
        </is>
      </c>
      <c r="J3376" s="92" t="inlineStr">
        <is>
          <t>V10007</t>
        </is>
      </c>
      <c r="K3376" s="92" t="inlineStr">
        <is>
          <t>AA빌딩</t>
        </is>
      </c>
      <c r="M3376" s="9">
        <f>IF($A3376="","",VALUE($A3376&amp;"")*12+VALUE($B3376&amp;""))</f>
        <v/>
      </c>
      <c r="N3376" s="64">
        <f>IF($A3376="","",IFERROR(INDEX(부서매핑!$C$5:$C$504,MATCH($G3376&amp;"",부서매핑!$A$5:$A$504,0)),"미매핑"))</f>
        <v/>
      </c>
      <c r="O3376" s="9">
        <f>IF($A3376="","",N3376&amp;"|"&amp;$F3376)</f>
        <v/>
      </c>
      <c r="P3376" s="94">
        <f>IF($A3376="",0,$H3376*설정!$C$23)</f>
        <v/>
      </c>
      <c r="Q3376" s="64">
        <f>IF($A3376="","",IF(O3376&lt;&gt;원인분석!$C$9,"",IF(AND(M3376&gt;=원인분석!$C$10,M3376&lt;=원인분석!$C$11),"당기",IF(AND(M3376&gt;=원인분석!$C$12,M3376&lt;=원인분석!$C$13),"비교",""))))</f>
        <v/>
      </c>
      <c r="R3376" s="9">
        <f>IF(Q3376="","",$K3376&amp;"")</f>
        <v/>
      </c>
      <c r="S3376" s="9">
        <f>IF(Q3376="","",IF(MATCH(R3376,$R$5:$R$100000,0)=ROW()-4,ROW(),""))</f>
        <v/>
      </c>
      <c r="T3376" s="9">
        <f>IF(Q3376="당기",ABS(P3376)+ROW()/1000000000,"")</f>
        <v/>
      </c>
      <c r="U3376" s="9">
        <f>IF(Q3376="비교",ABS(P3376)+ROW()/1000000000,"")</f>
        <v/>
      </c>
      <c r="V3376" s="64">
        <f>IF($A3376="","",IF(COUNTIF(변동분석!$E$7:$E$506,O3376)&gt;0,"Y","N"))</f>
        <v/>
      </c>
      <c r="W3376" s="64">
        <f>IF($A3376="","",IFERROR(INDEX(계정매핑!$D$5:$D$504,MATCH($F3376&amp;"",계정매핑!$A$5:$A$504,0)),"미매핑"))</f>
        <v/>
      </c>
      <c r="X3376" s="9">
        <f>IF($A3376="","",$F3376&amp;"")</f>
        <v/>
      </c>
      <c r="Y3376" s="94">
        <f>IF($A3376="",0,IF(AE3376="직접",IF(AF3376="비귀속",$P3376,0),$P3376*(1-AG3376)*IFERROR(INDEX(계정대체기준!$F$20:$F$49,MATCH($N3376,계정대체기준!$A$20:$A$49,0)),1)))</f>
        <v/>
      </c>
      <c r="Z3376" s="94">
        <f>IF($A3376="",0,IF(AE3376="직접",IF(AF3376="신계약비",$P3376,0),$P3376*(1-AG3376)*IFERROR(INDEX(계정대체기준!$C$20:$C$49,MATCH($N3376,계정대체기준!$A$20:$A$49,0)),0)))</f>
        <v/>
      </c>
      <c r="AA3376" s="94">
        <f>IF($A3376="",0,IF(AE3376="직접",IF(OR(AF3376="유지비",AF3376="손해조사비"),$P3376,0),$P3376*(1-AG3376)*IFERROR(INDEX(계정대체기준!$D$20:$D$49,MATCH($N3376,계정대체기준!$A$20:$A$49,0)),0)))</f>
        <v/>
      </c>
      <c r="AB3376" s="94">
        <f>IF($A3376="",0,IF(AE3376="직접",IF(AF3376="수금비",$P3376,0),$P3376*(1-AG3376)*IFERROR(INDEX(계정대체기준!$E$20:$E$49,MATCH($N3376,계정대체기준!$A$20:$A$49,0)),0)))</f>
        <v/>
      </c>
      <c r="AC3376" s="9">
        <f>IF(AND($A3376&lt;&gt;"",M3376=설정!$C$20,Z3376&gt;0),Z3376+ROW()/1000000000,"")</f>
        <v/>
      </c>
      <c r="AD3376" s="94">
        <f>IF($A3376="",0,$P3376*AG3376)</f>
        <v/>
      </c>
      <c r="AE3376" s="64">
        <f>IF($A3376="","",IFERROR(INDEX(계정매핑!$E$5:$E$504,MATCH($F3376&amp;"",계정매핑!$A$5:$A$504,0))&amp;"","공통비"))</f>
        <v/>
      </c>
      <c r="AF3376" s="64">
        <f>IF($A3376="","",IF(AE3376="직접",IFERROR(INDEX(계정매핑!$F$5:$F$504,MATCH($F3376&amp;"",계정매핑!$A$5:$A$504,0))&amp;"","비귀속"),""))</f>
        <v/>
      </c>
      <c r="AG3376" s="96">
        <f>IF($A3376="",0,IF(AND(AE3376&lt;&gt;"직접",IFERROR(INDEX(계정매핑!$G$5:$G$504,MATCH($F3376&amp;"",계정매핑!$A$5:$A$504,0))&amp;"","")="유지비",COUNTIF(계정대체기준!$A$6:$A$15,$N3376)&gt;0),IFERROR(INDEX(계정대체기준!$E$6:$E$15,MATCH(VALUE($A3376&amp;""),계정대체기준!$D$6:$D$15,0)),0),0))</f>
        <v/>
      </c>
      <c r="AH3376" s="64">
        <f>IF($A3376="","",IF(AD3376=0,"",IF(OR(COUNTIF(계정대체기준!$A$77:$A$86,$N3376)&gt;0,ISNUMBER(MATCH($X3376,계정대체기준!$D$77:$D$86,0)),ISNUMBER(MATCH($F3376,계정대체기준!$D$77:$D$86,0))),"Y","N")))</f>
        <v/>
      </c>
    </row>
    <row r="3377">
      <c r="A3377" s="92" t="n">
        <v>2026</v>
      </c>
      <c r="B3377" s="92" t="n">
        <v>3</v>
      </c>
      <c r="C3377" s="92" t="inlineStr">
        <is>
          <t>5100000655</t>
        </is>
      </c>
      <c r="D3377" s="95" t="n">
        <v>46106</v>
      </c>
      <c r="E3377" s="92" t="inlineStr">
        <is>
          <t>KR</t>
        </is>
      </c>
      <c r="F3377" s="92" t="n">
        <v>62101000</v>
      </c>
      <c r="G3377" s="92" t="n">
        <v>1602</v>
      </c>
      <c r="H3377" s="93" t="n">
        <v>1166000</v>
      </c>
      <c r="I3377" s="92" t="inlineStr">
        <is>
          <t>3월 국내출장 - L여행사</t>
        </is>
      </c>
      <c r="J3377" s="92" t="inlineStr">
        <is>
          <t>V10018</t>
        </is>
      </c>
      <c r="K3377" s="92" t="inlineStr">
        <is>
          <t>L여행사</t>
        </is>
      </c>
      <c r="M3377" s="9">
        <f>IF($A3377="","",VALUE($A3377&amp;"")*12+VALUE($B3377&amp;""))</f>
        <v/>
      </c>
      <c r="N3377" s="64">
        <f>IF($A3377="","",IFERROR(INDEX(부서매핑!$C$5:$C$504,MATCH($G3377&amp;"",부서매핑!$A$5:$A$504,0)),"미매핑"))</f>
        <v/>
      </c>
      <c r="O3377" s="9">
        <f>IF($A3377="","",N3377&amp;"|"&amp;$F3377)</f>
        <v/>
      </c>
      <c r="P3377" s="94">
        <f>IF($A3377="",0,$H3377*설정!$C$23)</f>
        <v/>
      </c>
      <c r="Q3377" s="64">
        <f>IF($A3377="","",IF(O3377&lt;&gt;원인분석!$C$9,"",IF(AND(M3377&gt;=원인분석!$C$10,M3377&lt;=원인분석!$C$11),"당기",IF(AND(M3377&gt;=원인분석!$C$12,M3377&lt;=원인분석!$C$13),"비교",""))))</f>
        <v/>
      </c>
      <c r="R3377" s="9">
        <f>IF(Q3377="","",$K3377&amp;"")</f>
        <v/>
      </c>
      <c r="S3377" s="9">
        <f>IF(Q3377="","",IF(MATCH(R3377,$R$5:$R$100000,0)=ROW()-4,ROW(),""))</f>
        <v/>
      </c>
      <c r="T3377" s="9">
        <f>IF(Q3377="당기",ABS(P3377)+ROW()/1000000000,"")</f>
        <v/>
      </c>
      <c r="U3377" s="9">
        <f>IF(Q3377="비교",ABS(P3377)+ROW()/1000000000,"")</f>
        <v/>
      </c>
      <c r="V3377" s="64">
        <f>IF($A3377="","",IF(COUNTIF(변동분석!$E$7:$E$506,O3377)&gt;0,"Y","N"))</f>
        <v/>
      </c>
      <c r="W3377" s="64">
        <f>IF($A3377="","",IFERROR(INDEX(계정매핑!$D$5:$D$504,MATCH($F3377&amp;"",계정매핑!$A$5:$A$504,0)),"미매핑"))</f>
        <v/>
      </c>
      <c r="X3377" s="9">
        <f>IF($A3377="","",$F3377&amp;"")</f>
        <v/>
      </c>
      <c r="Y3377" s="94">
        <f>IF($A3377="",0,IF(AE3377="직접",IF(AF3377="비귀속",$P3377,0),$P3377*(1-AG3377)*IFERROR(INDEX(계정대체기준!$F$20:$F$49,MATCH($N3377,계정대체기준!$A$20:$A$49,0)),1)))</f>
        <v/>
      </c>
      <c r="Z3377" s="94">
        <f>IF($A3377="",0,IF(AE3377="직접",IF(AF3377="신계약비",$P3377,0),$P3377*(1-AG3377)*IFERROR(INDEX(계정대체기준!$C$20:$C$49,MATCH($N3377,계정대체기준!$A$20:$A$49,0)),0)))</f>
        <v/>
      </c>
      <c r="AA3377" s="94">
        <f>IF($A3377="",0,IF(AE3377="직접",IF(OR(AF3377="유지비",AF3377="손해조사비"),$P3377,0),$P3377*(1-AG3377)*IFERROR(INDEX(계정대체기준!$D$20:$D$49,MATCH($N3377,계정대체기준!$A$20:$A$49,0)),0)))</f>
        <v/>
      </c>
      <c r="AB3377" s="94">
        <f>IF($A3377="",0,IF(AE3377="직접",IF(AF3377="수금비",$P3377,0),$P3377*(1-AG3377)*IFERROR(INDEX(계정대체기준!$E$20:$E$49,MATCH($N3377,계정대체기준!$A$20:$A$49,0)),0)))</f>
        <v/>
      </c>
      <c r="AC3377" s="9">
        <f>IF(AND($A3377&lt;&gt;"",M3377=설정!$C$20,Z3377&gt;0),Z3377+ROW()/1000000000,"")</f>
        <v/>
      </c>
      <c r="AD3377" s="94">
        <f>IF($A3377="",0,$P3377*AG3377)</f>
        <v/>
      </c>
      <c r="AE3377" s="64">
        <f>IF($A3377="","",IFERROR(INDEX(계정매핑!$E$5:$E$504,MATCH($F3377&amp;"",계정매핑!$A$5:$A$504,0))&amp;"","공통비"))</f>
        <v/>
      </c>
      <c r="AF3377" s="64">
        <f>IF($A3377="","",IF(AE3377="직접",IFERROR(INDEX(계정매핑!$F$5:$F$504,MATCH($F3377&amp;"",계정매핑!$A$5:$A$504,0))&amp;"","비귀속"),""))</f>
        <v/>
      </c>
      <c r="AG3377" s="96">
        <f>IF($A3377="",0,IF(AND(AE3377&lt;&gt;"직접",IFERROR(INDEX(계정매핑!$G$5:$G$504,MATCH($F3377&amp;"",계정매핑!$A$5:$A$504,0))&amp;"","")="유지비",COUNTIF(계정대체기준!$A$6:$A$15,$N3377)&gt;0),IFERROR(INDEX(계정대체기준!$E$6:$E$15,MATCH(VALUE($A3377&amp;""),계정대체기준!$D$6:$D$15,0)),0),0))</f>
        <v/>
      </c>
      <c r="AH3377" s="64">
        <f>IF($A3377="","",IF(AD3377=0,"",IF(OR(COUNTIF(계정대체기준!$A$77:$A$86,$N3377)&gt;0,ISNUMBER(MATCH($X3377,계정대체기준!$D$77:$D$86,0)),ISNUMBER(MATCH($F3377,계정대체기준!$D$77:$D$86,0))),"Y","N")))</f>
        <v/>
      </c>
    </row>
    <row r="3378">
      <c r="A3378" s="92" t="n">
        <v>2026</v>
      </c>
      <c r="B3378" s="92" t="n">
        <v>3</v>
      </c>
      <c r="C3378" s="92" t="inlineStr">
        <is>
          <t>5100000656</t>
        </is>
      </c>
      <c r="D3378" s="95" t="n">
        <v>46106</v>
      </c>
      <c r="E3378" s="92" t="inlineStr">
        <is>
          <t>KR</t>
        </is>
      </c>
      <c r="F3378" s="92" t="n">
        <v>62102000</v>
      </c>
      <c r="G3378" s="92" t="n">
        <v>1101</v>
      </c>
      <c r="H3378" s="93" t="n">
        <v>150000</v>
      </c>
      <c r="I3378" s="92" t="inlineStr">
        <is>
          <t>3월 해외출장 - M항공</t>
        </is>
      </c>
      <c r="J3378" s="92" t="inlineStr">
        <is>
          <t>V10001</t>
        </is>
      </c>
      <c r="K3378" s="92" t="inlineStr">
        <is>
          <t>M항공</t>
        </is>
      </c>
      <c r="M3378" s="9">
        <f>IF($A3378="","",VALUE($A3378&amp;"")*12+VALUE($B3378&amp;""))</f>
        <v/>
      </c>
      <c r="N3378" s="64">
        <f>IF($A3378="","",IFERROR(INDEX(부서매핑!$C$5:$C$504,MATCH($G3378&amp;"",부서매핑!$A$5:$A$504,0)),"미매핑"))</f>
        <v/>
      </c>
      <c r="O3378" s="9">
        <f>IF($A3378="","",N3378&amp;"|"&amp;$F3378)</f>
        <v/>
      </c>
      <c r="P3378" s="94">
        <f>IF($A3378="",0,$H3378*설정!$C$23)</f>
        <v/>
      </c>
      <c r="Q3378" s="64">
        <f>IF($A3378="","",IF(O3378&lt;&gt;원인분석!$C$9,"",IF(AND(M3378&gt;=원인분석!$C$10,M3378&lt;=원인분석!$C$11),"당기",IF(AND(M3378&gt;=원인분석!$C$12,M3378&lt;=원인분석!$C$13),"비교",""))))</f>
        <v/>
      </c>
      <c r="R3378" s="9">
        <f>IF(Q3378="","",$K3378&amp;"")</f>
        <v/>
      </c>
      <c r="S3378" s="9">
        <f>IF(Q3378="","",IF(MATCH(R3378,$R$5:$R$100000,0)=ROW()-4,ROW(),""))</f>
        <v/>
      </c>
      <c r="T3378" s="9">
        <f>IF(Q3378="당기",ABS(P3378)+ROW()/1000000000,"")</f>
        <v/>
      </c>
      <c r="U3378" s="9">
        <f>IF(Q3378="비교",ABS(P3378)+ROW()/1000000000,"")</f>
        <v/>
      </c>
      <c r="V3378" s="64">
        <f>IF($A3378="","",IF(COUNTIF(변동분석!$E$7:$E$506,O3378)&gt;0,"Y","N"))</f>
        <v/>
      </c>
      <c r="W3378" s="64">
        <f>IF($A3378="","",IFERROR(INDEX(계정매핑!$D$5:$D$504,MATCH($F3378&amp;"",계정매핑!$A$5:$A$504,0)),"미매핑"))</f>
        <v/>
      </c>
      <c r="X3378" s="9">
        <f>IF($A3378="","",$F3378&amp;"")</f>
        <v/>
      </c>
      <c r="Y3378" s="94">
        <f>IF($A3378="",0,IF(AE3378="직접",IF(AF3378="비귀속",$P3378,0),$P3378*(1-AG3378)*IFERROR(INDEX(계정대체기준!$F$20:$F$49,MATCH($N3378,계정대체기준!$A$20:$A$49,0)),1)))</f>
        <v/>
      </c>
      <c r="Z3378" s="94">
        <f>IF($A3378="",0,IF(AE3378="직접",IF(AF3378="신계약비",$P3378,0),$P3378*(1-AG3378)*IFERROR(INDEX(계정대체기준!$C$20:$C$49,MATCH($N3378,계정대체기준!$A$20:$A$49,0)),0)))</f>
        <v/>
      </c>
      <c r="AA3378" s="94">
        <f>IF($A3378="",0,IF(AE3378="직접",IF(OR(AF3378="유지비",AF3378="손해조사비"),$P3378,0),$P3378*(1-AG3378)*IFERROR(INDEX(계정대체기준!$D$20:$D$49,MATCH($N3378,계정대체기준!$A$20:$A$49,0)),0)))</f>
        <v/>
      </c>
      <c r="AB3378" s="94">
        <f>IF($A3378="",0,IF(AE3378="직접",IF(AF3378="수금비",$P3378,0),$P3378*(1-AG3378)*IFERROR(INDEX(계정대체기준!$E$20:$E$49,MATCH($N3378,계정대체기준!$A$20:$A$49,0)),0)))</f>
        <v/>
      </c>
      <c r="AC3378" s="9">
        <f>IF(AND($A3378&lt;&gt;"",M3378=설정!$C$20,Z3378&gt;0),Z3378+ROW()/1000000000,"")</f>
        <v/>
      </c>
      <c r="AD3378" s="94">
        <f>IF($A3378="",0,$P3378*AG3378)</f>
        <v/>
      </c>
      <c r="AE3378" s="64">
        <f>IF($A3378="","",IFERROR(INDEX(계정매핑!$E$5:$E$504,MATCH($F3378&amp;"",계정매핑!$A$5:$A$504,0))&amp;"","공통비"))</f>
        <v/>
      </c>
      <c r="AF3378" s="64">
        <f>IF($A3378="","",IF(AE3378="직접",IFERROR(INDEX(계정매핑!$F$5:$F$504,MATCH($F3378&amp;"",계정매핑!$A$5:$A$504,0))&amp;"","비귀속"),""))</f>
        <v/>
      </c>
      <c r="AG3378" s="96">
        <f>IF($A3378="",0,IF(AND(AE3378&lt;&gt;"직접",IFERROR(INDEX(계정매핑!$G$5:$G$504,MATCH($F3378&amp;"",계정매핑!$A$5:$A$504,0))&amp;"","")="유지비",COUNTIF(계정대체기준!$A$6:$A$15,$N3378)&gt;0),IFERROR(INDEX(계정대체기준!$E$6:$E$15,MATCH(VALUE($A3378&amp;""),계정대체기준!$D$6:$D$15,0)),0),0))</f>
        <v/>
      </c>
      <c r="AH3378" s="64">
        <f>IF($A3378="","",IF(AD3378=0,"",IF(OR(COUNTIF(계정대체기준!$A$77:$A$86,$N3378)&gt;0,ISNUMBER(MATCH($X3378,계정대체기준!$D$77:$D$86,0)),ISNUMBER(MATCH($F3378,계정대체기준!$D$77:$D$86,0))),"Y","N")))</f>
        <v/>
      </c>
    </row>
    <row r="3379">
      <c r="A3379" s="92" t="n">
        <v>2026</v>
      </c>
      <c r="B3379" s="92" t="n">
        <v>3</v>
      </c>
      <c r="C3379" s="92" t="inlineStr">
        <is>
          <t>5100000657</t>
        </is>
      </c>
      <c r="D3379" s="95" t="n">
        <v>46106</v>
      </c>
      <c r="E3379" s="92" t="inlineStr">
        <is>
          <t>KR</t>
        </is>
      </c>
      <c r="F3379" s="92" t="n">
        <v>62102000</v>
      </c>
      <c r="G3379" s="92" t="n">
        <v>1201</v>
      </c>
      <c r="H3379" s="93" t="n">
        <v>74000</v>
      </c>
      <c r="I3379" s="92" t="inlineStr">
        <is>
          <t>3월 해외출장 - N호텔</t>
        </is>
      </c>
      <c r="J3379" s="92" t="inlineStr">
        <is>
          <t>V10009</t>
        </is>
      </c>
      <c r="K3379" s="92" t="inlineStr">
        <is>
          <t>N호텔</t>
        </is>
      </c>
      <c r="M3379" s="9">
        <f>IF($A3379="","",VALUE($A3379&amp;"")*12+VALUE($B3379&amp;""))</f>
        <v/>
      </c>
      <c r="N3379" s="64">
        <f>IF($A3379="","",IFERROR(INDEX(부서매핑!$C$5:$C$504,MATCH($G3379&amp;"",부서매핑!$A$5:$A$504,0)),"미매핑"))</f>
        <v/>
      </c>
      <c r="O3379" s="9">
        <f>IF($A3379="","",N3379&amp;"|"&amp;$F3379)</f>
        <v/>
      </c>
      <c r="P3379" s="94">
        <f>IF($A3379="",0,$H3379*설정!$C$23)</f>
        <v/>
      </c>
      <c r="Q3379" s="64">
        <f>IF($A3379="","",IF(O3379&lt;&gt;원인분석!$C$9,"",IF(AND(M3379&gt;=원인분석!$C$10,M3379&lt;=원인분석!$C$11),"당기",IF(AND(M3379&gt;=원인분석!$C$12,M3379&lt;=원인분석!$C$13),"비교",""))))</f>
        <v/>
      </c>
      <c r="R3379" s="9">
        <f>IF(Q3379="","",$K3379&amp;"")</f>
        <v/>
      </c>
      <c r="S3379" s="9">
        <f>IF(Q3379="","",IF(MATCH(R3379,$R$5:$R$100000,0)=ROW()-4,ROW(),""))</f>
        <v/>
      </c>
      <c r="T3379" s="9">
        <f>IF(Q3379="당기",ABS(P3379)+ROW()/1000000000,"")</f>
        <v/>
      </c>
      <c r="U3379" s="9">
        <f>IF(Q3379="비교",ABS(P3379)+ROW()/1000000000,"")</f>
        <v/>
      </c>
      <c r="V3379" s="64">
        <f>IF($A3379="","",IF(COUNTIF(변동분석!$E$7:$E$506,O3379)&gt;0,"Y","N"))</f>
        <v/>
      </c>
      <c r="W3379" s="64">
        <f>IF($A3379="","",IFERROR(INDEX(계정매핑!$D$5:$D$504,MATCH($F3379&amp;"",계정매핑!$A$5:$A$504,0)),"미매핑"))</f>
        <v/>
      </c>
      <c r="X3379" s="9">
        <f>IF($A3379="","",$F3379&amp;"")</f>
        <v/>
      </c>
      <c r="Y3379" s="94">
        <f>IF($A3379="",0,IF(AE3379="직접",IF(AF3379="비귀속",$P3379,0),$P3379*(1-AG3379)*IFERROR(INDEX(계정대체기준!$F$20:$F$49,MATCH($N3379,계정대체기준!$A$20:$A$49,0)),1)))</f>
        <v/>
      </c>
      <c r="Z3379" s="94">
        <f>IF($A3379="",0,IF(AE3379="직접",IF(AF3379="신계약비",$P3379,0),$P3379*(1-AG3379)*IFERROR(INDEX(계정대체기준!$C$20:$C$49,MATCH($N3379,계정대체기준!$A$20:$A$49,0)),0)))</f>
        <v/>
      </c>
      <c r="AA3379" s="94">
        <f>IF($A3379="",0,IF(AE3379="직접",IF(OR(AF3379="유지비",AF3379="손해조사비"),$P3379,0),$P3379*(1-AG3379)*IFERROR(INDEX(계정대체기준!$D$20:$D$49,MATCH($N3379,계정대체기준!$A$20:$A$49,0)),0)))</f>
        <v/>
      </c>
      <c r="AB3379" s="94">
        <f>IF($A3379="",0,IF(AE3379="직접",IF(AF3379="수금비",$P3379,0),$P3379*(1-AG3379)*IFERROR(INDEX(계정대체기준!$E$20:$E$49,MATCH($N3379,계정대체기준!$A$20:$A$49,0)),0)))</f>
        <v/>
      </c>
      <c r="AC3379" s="9">
        <f>IF(AND($A3379&lt;&gt;"",M3379=설정!$C$20,Z3379&gt;0),Z3379+ROW()/1000000000,"")</f>
        <v/>
      </c>
      <c r="AD3379" s="94">
        <f>IF($A3379="",0,$P3379*AG3379)</f>
        <v/>
      </c>
      <c r="AE3379" s="64">
        <f>IF($A3379="","",IFERROR(INDEX(계정매핑!$E$5:$E$504,MATCH($F3379&amp;"",계정매핑!$A$5:$A$504,0))&amp;"","공통비"))</f>
        <v/>
      </c>
      <c r="AF3379" s="64">
        <f>IF($A3379="","",IF(AE3379="직접",IFERROR(INDEX(계정매핑!$F$5:$F$504,MATCH($F3379&amp;"",계정매핑!$A$5:$A$504,0))&amp;"","비귀속"),""))</f>
        <v/>
      </c>
      <c r="AG3379" s="96">
        <f>IF($A3379="",0,IF(AND(AE3379&lt;&gt;"직접",IFERROR(INDEX(계정매핑!$G$5:$G$504,MATCH($F3379&amp;"",계정매핑!$A$5:$A$504,0))&amp;"","")="유지비",COUNTIF(계정대체기준!$A$6:$A$15,$N3379)&gt;0),IFERROR(INDEX(계정대체기준!$E$6:$E$15,MATCH(VALUE($A3379&amp;""),계정대체기준!$D$6:$D$15,0)),0),0))</f>
        <v/>
      </c>
      <c r="AH3379" s="64">
        <f>IF($A3379="","",IF(AD3379=0,"",IF(OR(COUNTIF(계정대체기준!$A$77:$A$86,$N3379)&gt;0,ISNUMBER(MATCH($X3379,계정대체기준!$D$77:$D$86,0)),ISNUMBER(MATCH($F3379,계정대체기준!$D$77:$D$86,0))),"Y","N")))</f>
        <v/>
      </c>
    </row>
    <row r="3380">
      <c r="A3380" s="92" t="n">
        <v>2026</v>
      </c>
      <c r="B3380" s="92" t="n">
        <v>3</v>
      </c>
      <c r="C3380" s="92" t="inlineStr">
        <is>
          <t>5100000658</t>
        </is>
      </c>
      <c r="D3380" s="95" t="n">
        <v>46106</v>
      </c>
      <c r="E3380" s="92" t="inlineStr">
        <is>
          <t>KR</t>
        </is>
      </c>
      <c r="F3380" s="92" t="n">
        <v>62201000</v>
      </c>
      <c r="G3380" s="92" t="n">
        <v>1201</v>
      </c>
      <c r="H3380" s="93" t="n">
        <v>134000</v>
      </c>
      <c r="I3380" s="92" t="inlineStr">
        <is>
          <t>3월 통신요금 - P통신</t>
        </is>
      </c>
      <c r="J3380" s="92" t="inlineStr">
        <is>
          <t>V10014</t>
        </is>
      </c>
      <c r="K3380" s="92" t="inlineStr">
        <is>
          <t>P통신</t>
        </is>
      </c>
      <c r="M3380" s="9">
        <f>IF($A3380="","",VALUE($A3380&amp;"")*12+VALUE($B3380&amp;""))</f>
        <v/>
      </c>
      <c r="N3380" s="64">
        <f>IF($A3380="","",IFERROR(INDEX(부서매핑!$C$5:$C$504,MATCH($G3380&amp;"",부서매핑!$A$5:$A$504,0)),"미매핑"))</f>
        <v/>
      </c>
      <c r="O3380" s="9">
        <f>IF($A3380="","",N3380&amp;"|"&amp;$F3380)</f>
        <v/>
      </c>
      <c r="P3380" s="94">
        <f>IF($A3380="",0,$H3380*설정!$C$23)</f>
        <v/>
      </c>
      <c r="Q3380" s="64">
        <f>IF($A3380="","",IF(O3380&lt;&gt;원인분석!$C$9,"",IF(AND(M3380&gt;=원인분석!$C$10,M3380&lt;=원인분석!$C$11),"당기",IF(AND(M3380&gt;=원인분석!$C$12,M3380&lt;=원인분석!$C$13),"비교",""))))</f>
        <v/>
      </c>
      <c r="R3380" s="9">
        <f>IF(Q3380="","",$K3380&amp;"")</f>
        <v/>
      </c>
      <c r="S3380" s="9">
        <f>IF(Q3380="","",IF(MATCH(R3380,$R$5:$R$100000,0)=ROW()-4,ROW(),""))</f>
        <v/>
      </c>
      <c r="T3380" s="9">
        <f>IF(Q3380="당기",ABS(P3380)+ROW()/1000000000,"")</f>
        <v/>
      </c>
      <c r="U3380" s="9">
        <f>IF(Q3380="비교",ABS(P3380)+ROW()/1000000000,"")</f>
        <v/>
      </c>
      <c r="V3380" s="64">
        <f>IF($A3380="","",IF(COUNTIF(변동분석!$E$7:$E$506,O3380)&gt;0,"Y","N"))</f>
        <v/>
      </c>
      <c r="W3380" s="64">
        <f>IF($A3380="","",IFERROR(INDEX(계정매핑!$D$5:$D$504,MATCH($F3380&amp;"",계정매핑!$A$5:$A$504,0)),"미매핑"))</f>
        <v/>
      </c>
      <c r="X3380" s="9">
        <f>IF($A3380="","",$F3380&amp;"")</f>
        <v/>
      </c>
      <c r="Y3380" s="94">
        <f>IF($A3380="",0,IF(AE3380="직접",IF(AF3380="비귀속",$P3380,0),$P3380*(1-AG3380)*IFERROR(INDEX(계정대체기준!$F$20:$F$49,MATCH($N3380,계정대체기준!$A$20:$A$49,0)),1)))</f>
        <v/>
      </c>
      <c r="Z3380" s="94">
        <f>IF($A3380="",0,IF(AE3380="직접",IF(AF3380="신계약비",$P3380,0),$P3380*(1-AG3380)*IFERROR(INDEX(계정대체기준!$C$20:$C$49,MATCH($N3380,계정대체기준!$A$20:$A$49,0)),0)))</f>
        <v/>
      </c>
      <c r="AA3380" s="94">
        <f>IF($A3380="",0,IF(AE3380="직접",IF(OR(AF3380="유지비",AF3380="손해조사비"),$P3380,0),$P3380*(1-AG3380)*IFERROR(INDEX(계정대체기준!$D$20:$D$49,MATCH($N3380,계정대체기준!$A$20:$A$49,0)),0)))</f>
        <v/>
      </c>
      <c r="AB3380" s="94">
        <f>IF($A3380="",0,IF(AE3380="직접",IF(AF3380="수금비",$P3380,0),$P3380*(1-AG3380)*IFERROR(INDEX(계정대체기준!$E$20:$E$49,MATCH($N3380,계정대체기준!$A$20:$A$49,0)),0)))</f>
        <v/>
      </c>
      <c r="AC3380" s="9">
        <f>IF(AND($A3380&lt;&gt;"",M3380=설정!$C$20,Z3380&gt;0),Z3380+ROW()/1000000000,"")</f>
        <v/>
      </c>
      <c r="AD3380" s="94">
        <f>IF($A3380="",0,$P3380*AG3380)</f>
        <v/>
      </c>
      <c r="AE3380" s="64">
        <f>IF($A3380="","",IFERROR(INDEX(계정매핑!$E$5:$E$504,MATCH($F3380&amp;"",계정매핑!$A$5:$A$504,0))&amp;"","공통비"))</f>
        <v/>
      </c>
      <c r="AF3380" s="64">
        <f>IF($A3380="","",IF(AE3380="직접",IFERROR(INDEX(계정매핑!$F$5:$F$504,MATCH($F3380&amp;"",계정매핑!$A$5:$A$504,0))&amp;"","비귀속"),""))</f>
        <v/>
      </c>
      <c r="AG3380" s="96">
        <f>IF($A3380="",0,IF(AND(AE3380&lt;&gt;"직접",IFERROR(INDEX(계정매핑!$G$5:$G$504,MATCH($F3380&amp;"",계정매핑!$A$5:$A$504,0))&amp;"","")="유지비",COUNTIF(계정대체기준!$A$6:$A$15,$N3380)&gt;0),IFERROR(INDEX(계정대체기준!$E$6:$E$15,MATCH(VALUE($A3380&amp;""),계정대체기준!$D$6:$D$15,0)),0),0))</f>
        <v/>
      </c>
      <c r="AH3380" s="64">
        <f>IF($A3380="","",IF(AD3380=0,"",IF(OR(COUNTIF(계정대체기준!$A$77:$A$86,$N3380)&gt;0,ISNUMBER(MATCH($X3380,계정대체기준!$D$77:$D$86,0)),ISNUMBER(MATCH($F3380,계정대체기준!$D$77:$D$86,0))),"Y","N")))</f>
        <v/>
      </c>
    </row>
    <row r="3381">
      <c r="A3381" s="92" t="n">
        <v>2026</v>
      </c>
      <c r="B3381" s="92" t="n">
        <v>3</v>
      </c>
      <c r="C3381" s="92" t="inlineStr">
        <is>
          <t>5100000659</t>
        </is>
      </c>
      <c r="D3381" s="95" t="n">
        <v>46106</v>
      </c>
      <c r="E3381" s="92" t="inlineStr">
        <is>
          <t>KR</t>
        </is>
      </c>
      <c r="F3381" s="92" t="n">
        <v>62201000</v>
      </c>
      <c r="G3381" s="92" t="n">
        <v>1501</v>
      </c>
      <c r="H3381" s="93" t="n">
        <v>325000</v>
      </c>
      <c r="I3381" s="92" t="inlineStr">
        <is>
          <t>3월 통신요금 - P통신</t>
        </is>
      </c>
      <c r="J3381" s="92" t="inlineStr">
        <is>
          <t>V10014</t>
        </is>
      </c>
      <c r="K3381" s="92" t="inlineStr">
        <is>
          <t>P통신</t>
        </is>
      </c>
      <c r="M3381" s="9">
        <f>IF($A3381="","",VALUE($A3381&amp;"")*12+VALUE($B3381&amp;""))</f>
        <v/>
      </c>
      <c r="N3381" s="64">
        <f>IF($A3381="","",IFERROR(INDEX(부서매핑!$C$5:$C$504,MATCH($G3381&amp;"",부서매핑!$A$5:$A$504,0)),"미매핑"))</f>
        <v/>
      </c>
      <c r="O3381" s="9">
        <f>IF($A3381="","",N3381&amp;"|"&amp;$F3381)</f>
        <v/>
      </c>
      <c r="P3381" s="94">
        <f>IF($A3381="",0,$H3381*설정!$C$23)</f>
        <v/>
      </c>
      <c r="Q3381" s="64">
        <f>IF($A3381="","",IF(O3381&lt;&gt;원인분석!$C$9,"",IF(AND(M3381&gt;=원인분석!$C$10,M3381&lt;=원인분석!$C$11),"당기",IF(AND(M3381&gt;=원인분석!$C$12,M3381&lt;=원인분석!$C$13),"비교",""))))</f>
        <v/>
      </c>
      <c r="R3381" s="9">
        <f>IF(Q3381="","",$K3381&amp;"")</f>
        <v/>
      </c>
      <c r="S3381" s="9">
        <f>IF(Q3381="","",IF(MATCH(R3381,$R$5:$R$100000,0)=ROW()-4,ROW(),""))</f>
        <v/>
      </c>
      <c r="T3381" s="9">
        <f>IF(Q3381="당기",ABS(P3381)+ROW()/1000000000,"")</f>
        <v/>
      </c>
      <c r="U3381" s="9">
        <f>IF(Q3381="비교",ABS(P3381)+ROW()/1000000000,"")</f>
        <v/>
      </c>
      <c r="V3381" s="64">
        <f>IF($A3381="","",IF(COUNTIF(변동분석!$E$7:$E$506,O3381)&gt;0,"Y","N"))</f>
        <v/>
      </c>
      <c r="W3381" s="64">
        <f>IF($A3381="","",IFERROR(INDEX(계정매핑!$D$5:$D$504,MATCH($F3381&amp;"",계정매핑!$A$5:$A$504,0)),"미매핑"))</f>
        <v/>
      </c>
      <c r="X3381" s="9">
        <f>IF($A3381="","",$F3381&amp;"")</f>
        <v/>
      </c>
      <c r="Y3381" s="94">
        <f>IF($A3381="",0,IF(AE3381="직접",IF(AF3381="비귀속",$P3381,0),$P3381*(1-AG3381)*IFERROR(INDEX(계정대체기준!$F$20:$F$49,MATCH($N3381,계정대체기준!$A$20:$A$49,0)),1)))</f>
        <v/>
      </c>
      <c r="Z3381" s="94">
        <f>IF($A3381="",0,IF(AE3381="직접",IF(AF3381="신계약비",$P3381,0),$P3381*(1-AG3381)*IFERROR(INDEX(계정대체기준!$C$20:$C$49,MATCH($N3381,계정대체기준!$A$20:$A$49,0)),0)))</f>
        <v/>
      </c>
      <c r="AA3381" s="94">
        <f>IF($A3381="",0,IF(AE3381="직접",IF(OR(AF3381="유지비",AF3381="손해조사비"),$P3381,0),$P3381*(1-AG3381)*IFERROR(INDEX(계정대체기준!$D$20:$D$49,MATCH($N3381,계정대체기준!$A$20:$A$49,0)),0)))</f>
        <v/>
      </c>
      <c r="AB3381" s="94">
        <f>IF($A3381="",0,IF(AE3381="직접",IF(AF3381="수금비",$P3381,0),$P3381*(1-AG3381)*IFERROR(INDEX(계정대체기준!$E$20:$E$49,MATCH($N3381,계정대체기준!$A$20:$A$49,0)),0)))</f>
        <v/>
      </c>
      <c r="AC3381" s="9">
        <f>IF(AND($A3381&lt;&gt;"",M3381=설정!$C$20,Z3381&gt;0),Z3381+ROW()/1000000000,"")</f>
        <v/>
      </c>
      <c r="AD3381" s="94">
        <f>IF($A3381="",0,$P3381*AG3381)</f>
        <v/>
      </c>
      <c r="AE3381" s="64">
        <f>IF($A3381="","",IFERROR(INDEX(계정매핑!$E$5:$E$504,MATCH($F3381&amp;"",계정매핑!$A$5:$A$504,0))&amp;"","공통비"))</f>
        <v/>
      </c>
      <c r="AF3381" s="64">
        <f>IF($A3381="","",IF(AE3381="직접",IFERROR(INDEX(계정매핑!$F$5:$F$504,MATCH($F3381&amp;"",계정매핑!$A$5:$A$504,0))&amp;"","비귀속"),""))</f>
        <v/>
      </c>
      <c r="AG3381" s="96">
        <f>IF($A3381="",0,IF(AND(AE3381&lt;&gt;"직접",IFERROR(INDEX(계정매핑!$G$5:$G$504,MATCH($F3381&amp;"",계정매핑!$A$5:$A$504,0))&amp;"","")="유지비",COUNTIF(계정대체기준!$A$6:$A$15,$N3381)&gt;0),IFERROR(INDEX(계정대체기준!$E$6:$E$15,MATCH(VALUE($A3381&amp;""),계정대체기준!$D$6:$D$15,0)),0),0))</f>
        <v/>
      </c>
      <c r="AH3381" s="64">
        <f>IF($A3381="","",IF(AD3381=0,"",IF(OR(COUNTIF(계정대체기준!$A$77:$A$86,$N3381)&gt;0,ISNUMBER(MATCH($X3381,계정대체기준!$D$77:$D$86,0)),ISNUMBER(MATCH($F3381,계정대체기준!$D$77:$D$86,0))),"Y","N")))</f>
        <v/>
      </c>
    </row>
    <row r="3382">
      <c r="A3382" s="92" t="n">
        <v>2026</v>
      </c>
      <c r="B3382" s="92" t="n">
        <v>3</v>
      </c>
      <c r="C3382" s="92" t="inlineStr">
        <is>
          <t>5100000660</t>
        </is>
      </c>
      <c r="D3382" s="95" t="n">
        <v>46106</v>
      </c>
      <c r="E3382" s="92" t="inlineStr">
        <is>
          <t>KR</t>
        </is>
      </c>
      <c r="F3382" s="92" t="n">
        <v>62301000</v>
      </c>
      <c r="G3382" s="92" t="n">
        <v>1301</v>
      </c>
      <c r="H3382" s="93" t="n">
        <v>320000</v>
      </c>
      <c r="I3382" s="92" t="inlineStr">
        <is>
          <t>3월 소모품 구입 - R문구</t>
        </is>
      </c>
      <c r="J3382" s="92" t="inlineStr">
        <is>
          <t>V10022</t>
        </is>
      </c>
      <c r="K3382" s="92" t="inlineStr">
        <is>
          <t>R문구</t>
        </is>
      </c>
      <c r="M3382" s="9">
        <f>IF($A3382="","",VALUE($A3382&amp;"")*12+VALUE($B3382&amp;""))</f>
        <v/>
      </c>
      <c r="N3382" s="64">
        <f>IF($A3382="","",IFERROR(INDEX(부서매핑!$C$5:$C$504,MATCH($G3382&amp;"",부서매핑!$A$5:$A$504,0)),"미매핑"))</f>
        <v/>
      </c>
      <c r="O3382" s="9">
        <f>IF($A3382="","",N3382&amp;"|"&amp;$F3382)</f>
        <v/>
      </c>
      <c r="P3382" s="94">
        <f>IF($A3382="",0,$H3382*설정!$C$23)</f>
        <v/>
      </c>
      <c r="Q3382" s="64">
        <f>IF($A3382="","",IF(O3382&lt;&gt;원인분석!$C$9,"",IF(AND(M3382&gt;=원인분석!$C$10,M3382&lt;=원인분석!$C$11),"당기",IF(AND(M3382&gt;=원인분석!$C$12,M3382&lt;=원인분석!$C$13),"비교",""))))</f>
        <v/>
      </c>
      <c r="R3382" s="9">
        <f>IF(Q3382="","",$K3382&amp;"")</f>
        <v/>
      </c>
      <c r="S3382" s="9">
        <f>IF(Q3382="","",IF(MATCH(R3382,$R$5:$R$100000,0)=ROW()-4,ROW(),""))</f>
        <v/>
      </c>
      <c r="T3382" s="9">
        <f>IF(Q3382="당기",ABS(P3382)+ROW()/1000000000,"")</f>
        <v/>
      </c>
      <c r="U3382" s="9">
        <f>IF(Q3382="비교",ABS(P3382)+ROW()/1000000000,"")</f>
        <v/>
      </c>
      <c r="V3382" s="64">
        <f>IF($A3382="","",IF(COUNTIF(변동분석!$E$7:$E$506,O3382)&gt;0,"Y","N"))</f>
        <v/>
      </c>
      <c r="W3382" s="64">
        <f>IF($A3382="","",IFERROR(INDEX(계정매핑!$D$5:$D$504,MATCH($F3382&amp;"",계정매핑!$A$5:$A$504,0)),"미매핑"))</f>
        <v/>
      </c>
      <c r="X3382" s="9">
        <f>IF($A3382="","",$F3382&amp;"")</f>
        <v/>
      </c>
      <c r="Y3382" s="94">
        <f>IF($A3382="",0,IF(AE3382="직접",IF(AF3382="비귀속",$P3382,0),$P3382*(1-AG3382)*IFERROR(INDEX(계정대체기준!$F$20:$F$49,MATCH($N3382,계정대체기준!$A$20:$A$49,0)),1)))</f>
        <v/>
      </c>
      <c r="Z3382" s="94">
        <f>IF($A3382="",0,IF(AE3382="직접",IF(AF3382="신계약비",$P3382,0),$P3382*(1-AG3382)*IFERROR(INDEX(계정대체기준!$C$20:$C$49,MATCH($N3382,계정대체기준!$A$20:$A$49,0)),0)))</f>
        <v/>
      </c>
      <c r="AA3382" s="94">
        <f>IF($A3382="",0,IF(AE3382="직접",IF(OR(AF3382="유지비",AF3382="손해조사비"),$P3382,0),$P3382*(1-AG3382)*IFERROR(INDEX(계정대체기준!$D$20:$D$49,MATCH($N3382,계정대체기준!$A$20:$A$49,0)),0)))</f>
        <v/>
      </c>
      <c r="AB3382" s="94">
        <f>IF($A3382="",0,IF(AE3382="직접",IF(AF3382="수금비",$P3382,0),$P3382*(1-AG3382)*IFERROR(INDEX(계정대체기준!$E$20:$E$49,MATCH($N3382,계정대체기준!$A$20:$A$49,0)),0)))</f>
        <v/>
      </c>
      <c r="AC3382" s="9">
        <f>IF(AND($A3382&lt;&gt;"",M3382=설정!$C$20,Z3382&gt;0),Z3382+ROW()/1000000000,"")</f>
        <v/>
      </c>
      <c r="AD3382" s="94">
        <f>IF($A3382="",0,$P3382*AG3382)</f>
        <v/>
      </c>
      <c r="AE3382" s="64">
        <f>IF($A3382="","",IFERROR(INDEX(계정매핑!$E$5:$E$504,MATCH($F3382&amp;"",계정매핑!$A$5:$A$504,0))&amp;"","공통비"))</f>
        <v/>
      </c>
      <c r="AF3382" s="64">
        <f>IF($A3382="","",IF(AE3382="직접",IFERROR(INDEX(계정매핑!$F$5:$F$504,MATCH($F3382&amp;"",계정매핑!$A$5:$A$504,0))&amp;"","비귀속"),""))</f>
        <v/>
      </c>
      <c r="AG3382" s="96">
        <f>IF($A3382="",0,IF(AND(AE3382&lt;&gt;"직접",IFERROR(INDEX(계정매핑!$G$5:$G$504,MATCH($F3382&amp;"",계정매핑!$A$5:$A$504,0))&amp;"","")="유지비",COUNTIF(계정대체기준!$A$6:$A$15,$N3382)&gt;0),IFERROR(INDEX(계정대체기준!$E$6:$E$15,MATCH(VALUE($A3382&amp;""),계정대체기준!$D$6:$D$15,0)),0),0))</f>
        <v/>
      </c>
      <c r="AH3382" s="64">
        <f>IF($A3382="","",IF(AD3382=0,"",IF(OR(COUNTIF(계정대체기준!$A$77:$A$86,$N3382)&gt;0,ISNUMBER(MATCH($X3382,계정대체기준!$D$77:$D$86,0)),ISNUMBER(MATCH($F3382,계정대체기준!$D$77:$D$86,0))),"Y","N")))</f>
        <v/>
      </c>
    </row>
    <row r="3383">
      <c r="A3383" s="92" t="n">
        <v>2026</v>
      </c>
      <c r="B3383" s="92" t="n">
        <v>3</v>
      </c>
      <c r="C3383" s="92" t="inlineStr">
        <is>
          <t>5100000661</t>
        </is>
      </c>
      <c r="D3383" s="95" t="n">
        <v>46106</v>
      </c>
      <c r="E3383" s="92" t="inlineStr">
        <is>
          <t>KR</t>
        </is>
      </c>
      <c r="F3383" s="92" t="n">
        <v>62501000</v>
      </c>
      <c r="G3383" s="92" t="n">
        <v>1301</v>
      </c>
      <c r="H3383" s="93" t="n">
        <v>164000</v>
      </c>
      <c r="I3383" s="92" t="inlineStr">
        <is>
          <t>3월 회의 다과 - T케이터링</t>
        </is>
      </c>
      <c r="J3383" s="92" t="inlineStr">
        <is>
          <t>V10005</t>
        </is>
      </c>
      <c r="K3383" s="92" t="inlineStr">
        <is>
          <t>T케이터링</t>
        </is>
      </c>
      <c r="M3383" s="9">
        <f>IF($A3383="","",VALUE($A3383&amp;"")*12+VALUE($B3383&amp;""))</f>
        <v/>
      </c>
      <c r="N3383" s="64">
        <f>IF($A3383="","",IFERROR(INDEX(부서매핑!$C$5:$C$504,MATCH($G3383&amp;"",부서매핑!$A$5:$A$504,0)),"미매핑"))</f>
        <v/>
      </c>
      <c r="O3383" s="9">
        <f>IF($A3383="","",N3383&amp;"|"&amp;$F3383)</f>
        <v/>
      </c>
      <c r="P3383" s="94">
        <f>IF($A3383="",0,$H3383*설정!$C$23)</f>
        <v/>
      </c>
      <c r="Q3383" s="64">
        <f>IF($A3383="","",IF(O3383&lt;&gt;원인분석!$C$9,"",IF(AND(M3383&gt;=원인분석!$C$10,M3383&lt;=원인분석!$C$11),"당기",IF(AND(M3383&gt;=원인분석!$C$12,M3383&lt;=원인분석!$C$13),"비교",""))))</f>
        <v/>
      </c>
      <c r="R3383" s="9">
        <f>IF(Q3383="","",$K3383&amp;"")</f>
        <v/>
      </c>
      <c r="S3383" s="9">
        <f>IF(Q3383="","",IF(MATCH(R3383,$R$5:$R$100000,0)=ROW()-4,ROW(),""))</f>
        <v/>
      </c>
      <c r="T3383" s="9">
        <f>IF(Q3383="당기",ABS(P3383)+ROW()/1000000000,"")</f>
        <v/>
      </c>
      <c r="U3383" s="9">
        <f>IF(Q3383="비교",ABS(P3383)+ROW()/1000000000,"")</f>
        <v/>
      </c>
      <c r="V3383" s="64">
        <f>IF($A3383="","",IF(COUNTIF(변동분석!$E$7:$E$506,O3383)&gt;0,"Y","N"))</f>
        <v/>
      </c>
      <c r="W3383" s="64">
        <f>IF($A3383="","",IFERROR(INDEX(계정매핑!$D$5:$D$504,MATCH($F3383&amp;"",계정매핑!$A$5:$A$504,0)),"미매핑"))</f>
        <v/>
      </c>
      <c r="X3383" s="9">
        <f>IF($A3383="","",$F3383&amp;"")</f>
        <v/>
      </c>
      <c r="Y3383" s="94">
        <f>IF($A3383="",0,IF(AE3383="직접",IF(AF3383="비귀속",$P3383,0),$P3383*(1-AG3383)*IFERROR(INDEX(계정대체기준!$F$20:$F$49,MATCH($N3383,계정대체기준!$A$20:$A$49,0)),1)))</f>
        <v/>
      </c>
      <c r="Z3383" s="94">
        <f>IF($A3383="",0,IF(AE3383="직접",IF(AF3383="신계약비",$P3383,0),$P3383*(1-AG3383)*IFERROR(INDEX(계정대체기준!$C$20:$C$49,MATCH($N3383,계정대체기준!$A$20:$A$49,0)),0)))</f>
        <v/>
      </c>
      <c r="AA3383" s="94">
        <f>IF($A3383="",0,IF(AE3383="직접",IF(OR(AF3383="유지비",AF3383="손해조사비"),$P3383,0),$P3383*(1-AG3383)*IFERROR(INDEX(계정대체기준!$D$20:$D$49,MATCH($N3383,계정대체기준!$A$20:$A$49,0)),0)))</f>
        <v/>
      </c>
      <c r="AB3383" s="94">
        <f>IF($A3383="",0,IF(AE3383="직접",IF(AF3383="수금비",$P3383,0),$P3383*(1-AG3383)*IFERROR(INDEX(계정대체기준!$E$20:$E$49,MATCH($N3383,계정대체기준!$A$20:$A$49,0)),0)))</f>
        <v/>
      </c>
      <c r="AC3383" s="9">
        <f>IF(AND($A3383&lt;&gt;"",M3383=설정!$C$20,Z3383&gt;0),Z3383+ROW()/1000000000,"")</f>
        <v/>
      </c>
      <c r="AD3383" s="94">
        <f>IF($A3383="",0,$P3383*AG3383)</f>
        <v/>
      </c>
      <c r="AE3383" s="64">
        <f>IF($A3383="","",IFERROR(INDEX(계정매핑!$E$5:$E$504,MATCH($F3383&amp;"",계정매핑!$A$5:$A$504,0))&amp;"","공통비"))</f>
        <v/>
      </c>
      <c r="AF3383" s="64">
        <f>IF($A3383="","",IF(AE3383="직접",IFERROR(INDEX(계정매핑!$F$5:$F$504,MATCH($F3383&amp;"",계정매핑!$A$5:$A$504,0))&amp;"","비귀속"),""))</f>
        <v/>
      </c>
      <c r="AG3383" s="96">
        <f>IF($A3383="",0,IF(AND(AE3383&lt;&gt;"직접",IFERROR(INDEX(계정매핑!$G$5:$G$504,MATCH($F3383&amp;"",계정매핑!$A$5:$A$504,0))&amp;"","")="유지비",COUNTIF(계정대체기준!$A$6:$A$15,$N3383)&gt;0),IFERROR(INDEX(계정대체기준!$E$6:$E$15,MATCH(VALUE($A3383&amp;""),계정대체기준!$D$6:$D$15,0)),0),0))</f>
        <v/>
      </c>
      <c r="AH3383" s="64">
        <f>IF($A3383="","",IF(AD3383=0,"",IF(OR(COUNTIF(계정대체기준!$A$77:$A$86,$N3383)&gt;0,ISNUMBER(MATCH($X3383,계정대체기준!$D$77:$D$86,0)),ISNUMBER(MATCH($F3383,계정대체기준!$D$77:$D$86,0))),"Y","N")))</f>
        <v/>
      </c>
    </row>
    <row r="3384">
      <c r="A3384" s="92" t="n">
        <v>2026</v>
      </c>
      <c r="B3384" s="92" t="n">
        <v>3</v>
      </c>
      <c r="C3384" s="92" t="inlineStr">
        <is>
          <t>5100000662</t>
        </is>
      </c>
      <c r="D3384" s="95" t="n">
        <v>46106</v>
      </c>
      <c r="E3384" s="92" t="inlineStr">
        <is>
          <t>KR</t>
        </is>
      </c>
      <c r="F3384" s="92" t="n">
        <v>62802000</v>
      </c>
      <c r="G3384" s="92" t="n">
        <v>1301</v>
      </c>
      <c r="H3384" s="93" t="n">
        <v>3174000</v>
      </c>
      <c r="I3384" s="92" t="inlineStr">
        <is>
          <t>3월 위탁교육 - V아카데미</t>
        </is>
      </c>
      <c r="J3384" s="92" t="inlineStr">
        <is>
          <t>V10027</t>
        </is>
      </c>
      <c r="K3384" s="92" t="inlineStr">
        <is>
          <t>V아카데미</t>
        </is>
      </c>
      <c r="M3384" s="9">
        <f>IF($A3384="","",VALUE($A3384&amp;"")*12+VALUE($B3384&amp;""))</f>
        <v/>
      </c>
      <c r="N3384" s="64">
        <f>IF($A3384="","",IFERROR(INDEX(부서매핑!$C$5:$C$504,MATCH($G3384&amp;"",부서매핑!$A$5:$A$504,0)),"미매핑"))</f>
        <v/>
      </c>
      <c r="O3384" s="9">
        <f>IF($A3384="","",N3384&amp;"|"&amp;$F3384)</f>
        <v/>
      </c>
      <c r="P3384" s="94">
        <f>IF($A3384="",0,$H3384*설정!$C$23)</f>
        <v/>
      </c>
      <c r="Q3384" s="64">
        <f>IF($A3384="","",IF(O3384&lt;&gt;원인분석!$C$9,"",IF(AND(M3384&gt;=원인분석!$C$10,M3384&lt;=원인분석!$C$11),"당기",IF(AND(M3384&gt;=원인분석!$C$12,M3384&lt;=원인분석!$C$13),"비교",""))))</f>
        <v/>
      </c>
      <c r="R3384" s="9">
        <f>IF(Q3384="","",$K3384&amp;"")</f>
        <v/>
      </c>
      <c r="S3384" s="9">
        <f>IF(Q3384="","",IF(MATCH(R3384,$R$5:$R$100000,0)=ROW()-4,ROW(),""))</f>
        <v/>
      </c>
      <c r="T3384" s="9">
        <f>IF(Q3384="당기",ABS(P3384)+ROW()/1000000000,"")</f>
        <v/>
      </c>
      <c r="U3384" s="9">
        <f>IF(Q3384="비교",ABS(P3384)+ROW()/1000000000,"")</f>
        <v/>
      </c>
      <c r="V3384" s="64">
        <f>IF($A3384="","",IF(COUNTIF(변동분석!$E$7:$E$506,O3384)&gt;0,"Y","N"))</f>
        <v/>
      </c>
      <c r="W3384" s="64">
        <f>IF($A3384="","",IFERROR(INDEX(계정매핑!$D$5:$D$504,MATCH($F3384&amp;"",계정매핑!$A$5:$A$504,0)),"미매핑"))</f>
        <v/>
      </c>
      <c r="X3384" s="9">
        <f>IF($A3384="","",$F3384&amp;"")</f>
        <v/>
      </c>
      <c r="Y3384" s="94">
        <f>IF($A3384="",0,IF(AE3384="직접",IF(AF3384="비귀속",$P3384,0),$P3384*(1-AG3384)*IFERROR(INDEX(계정대체기준!$F$20:$F$49,MATCH($N3384,계정대체기준!$A$20:$A$49,0)),1)))</f>
        <v/>
      </c>
      <c r="Z3384" s="94">
        <f>IF($A3384="",0,IF(AE3384="직접",IF(AF3384="신계약비",$P3384,0),$P3384*(1-AG3384)*IFERROR(INDEX(계정대체기준!$C$20:$C$49,MATCH($N3384,계정대체기준!$A$20:$A$49,0)),0)))</f>
        <v/>
      </c>
      <c r="AA3384" s="94">
        <f>IF($A3384="",0,IF(AE3384="직접",IF(OR(AF3384="유지비",AF3384="손해조사비"),$P3384,0),$P3384*(1-AG3384)*IFERROR(INDEX(계정대체기준!$D$20:$D$49,MATCH($N3384,계정대체기준!$A$20:$A$49,0)),0)))</f>
        <v/>
      </c>
      <c r="AB3384" s="94">
        <f>IF($A3384="",0,IF(AE3384="직접",IF(AF3384="수금비",$P3384,0),$P3384*(1-AG3384)*IFERROR(INDEX(계정대체기준!$E$20:$E$49,MATCH($N3384,계정대체기준!$A$20:$A$49,0)),0)))</f>
        <v/>
      </c>
      <c r="AC3384" s="9">
        <f>IF(AND($A3384&lt;&gt;"",M3384=설정!$C$20,Z3384&gt;0),Z3384+ROW()/1000000000,"")</f>
        <v/>
      </c>
      <c r="AD3384" s="94">
        <f>IF($A3384="",0,$P3384*AG3384)</f>
        <v/>
      </c>
      <c r="AE3384" s="64">
        <f>IF($A3384="","",IFERROR(INDEX(계정매핑!$E$5:$E$504,MATCH($F3384&amp;"",계정매핑!$A$5:$A$504,0))&amp;"","공통비"))</f>
        <v/>
      </c>
      <c r="AF3384" s="64">
        <f>IF($A3384="","",IF(AE3384="직접",IFERROR(INDEX(계정매핑!$F$5:$F$504,MATCH($F3384&amp;"",계정매핑!$A$5:$A$504,0))&amp;"","비귀속"),""))</f>
        <v/>
      </c>
      <c r="AG3384" s="96">
        <f>IF($A3384="",0,IF(AND(AE3384&lt;&gt;"직접",IFERROR(INDEX(계정매핑!$G$5:$G$504,MATCH($F3384&amp;"",계정매핑!$A$5:$A$504,0))&amp;"","")="유지비",COUNTIF(계정대체기준!$A$6:$A$15,$N3384)&gt;0),IFERROR(INDEX(계정대체기준!$E$6:$E$15,MATCH(VALUE($A3384&amp;""),계정대체기준!$D$6:$D$15,0)),0),0))</f>
        <v/>
      </c>
      <c r="AH3384" s="64">
        <f>IF($A3384="","",IF(AD3384=0,"",IF(OR(COUNTIF(계정대체기준!$A$77:$A$86,$N3384)&gt;0,ISNUMBER(MATCH($X3384,계정대체기준!$D$77:$D$86,0)),ISNUMBER(MATCH($F3384,계정대체기준!$D$77:$D$86,0))),"Y","N")))</f>
        <v/>
      </c>
    </row>
    <row r="3385">
      <c r="A3385" s="92" t="n">
        <v>2026</v>
      </c>
      <c r="B3385" s="92" t="n">
        <v>3</v>
      </c>
      <c r="C3385" s="92" t="inlineStr">
        <is>
          <t>5100000663</t>
        </is>
      </c>
      <c r="D3385" s="95" t="n">
        <v>46106</v>
      </c>
      <c r="E3385" s="92" t="inlineStr">
        <is>
          <t>KR</t>
        </is>
      </c>
      <c r="F3385" s="92" t="n">
        <v>63002000</v>
      </c>
      <c r="G3385" s="92" t="n">
        <v>1701</v>
      </c>
      <c r="H3385" s="93" t="n">
        <v>78000000</v>
      </c>
      <c r="I3385" s="92" t="inlineStr">
        <is>
          <t>3월 클라우드 사용료 - C클라우드</t>
        </is>
      </c>
      <c r="J3385" s="92" t="inlineStr">
        <is>
          <t>V10026</t>
        </is>
      </c>
      <c r="K3385" s="92" t="inlineStr">
        <is>
          <t>C클라우드</t>
        </is>
      </c>
      <c r="M3385" s="9">
        <f>IF($A3385="","",VALUE($A3385&amp;"")*12+VALUE($B3385&amp;""))</f>
        <v/>
      </c>
      <c r="N3385" s="64">
        <f>IF($A3385="","",IFERROR(INDEX(부서매핑!$C$5:$C$504,MATCH($G3385&amp;"",부서매핑!$A$5:$A$504,0)),"미매핑"))</f>
        <v/>
      </c>
      <c r="O3385" s="9">
        <f>IF($A3385="","",N3385&amp;"|"&amp;$F3385)</f>
        <v/>
      </c>
      <c r="P3385" s="94">
        <f>IF($A3385="",0,$H3385*설정!$C$23)</f>
        <v/>
      </c>
      <c r="Q3385" s="64">
        <f>IF($A3385="","",IF(O3385&lt;&gt;원인분석!$C$9,"",IF(AND(M3385&gt;=원인분석!$C$10,M3385&lt;=원인분석!$C$11),"당기",IF(AND(M3385&gt;=원인분석!$C$12,M3385&lt;=원인분석!$C$13),"비교",""))))</f>
        <v/>
      </c>
      <c r="R3385" s="9">
        <f>IF(Q3385="","",$K3385&amp;"")</f>
        <v/>
      </c>
      <c r="S3385" s="9">
        <f>IF(Q3385="","",IF(MATCH(R3385,$R$5:$R$100000,0)=ROW()-4,ROW(),""))</f>
        <v/>
      </c>
      <c r="T3385" s="9">
        <f>IF(Q3385="당기",ABS(P3385)+ROW()/1000000000,"")</f>
        <v/>
      </c>
      <c r="U3385" s="9">
        <f>IF(Q3385="비교",ABS(P3385)+ROW()/1000000000,"")</f>
        <v/>
      </c>
      <c r="V3385" s="64">
        <f>IF($A3385="","",IF(COUNTIF(변동분석!$E$7:$E$506,O3385)&gt;0,"Y","N"))</f>
        <v/>
      </c>
      <c r="W3385" s="64">
        <f>IF($A3385="","",IFERROR(INDEX(계정매핑!$D$5:$D$504,MATCH($F3385&amp;"",계정매핑!$A$5:$A$504,0)),"미매핑"))</f>
        <v/>
      </c>
      <c r="X3385" s="9">
        <f>IF($A3385="","",$F3385&amp;"")</f>
        <v/>
      </c>
      <c r="Y3385" s="94">
        <f>IF($A3385="",0,IF(AE3385="직접",IF(AF3385="비귀속",$P3385,0),$P3385*(1-AG3385)*IFERROR(INDEX(계정대체기준!$F$20:$F$49,MATCH($N3385,계정대체기준!$A$20:$A$49,0)),1)))</f>
        <v/>
      </c>
      <c r="Z3385" s="94">
        <f>IF($A3385="",0,IF(AE3385="직접",IF(AF3385="신계약비",$P3385,0),$P3385*(1-AG3385)*IFERROR(INDEX(계정대체기준!$C$20:$C$49,MATCH($N3385,계정대체기준!$A$20:$A$49,0)),0)))</f>
        <v/>
      </c>
      <c r="AA3385" s="94">
        <f>IF($A3385="",0,IF(AE3385="직접",IF(OR(AF3385="유지비",AF3385="손해조사비"),$P3385,0),$P3385*(1-AG3385)*IFERROR(INDEX(계정대체기준!$D$20:$D$49,MATCH($N3385,계정대체기준!$A$20:$A$49,0)),0)))</f>
        <v/>
      </c>
      <c r="AB3385" s="94">
        <f>IF($A3385="",0,IF(AE3385="직접",IF(AF3385="수금비",$P3385,0),$P3385*(1-AG3385)*IFERROR(INDEX(계정대체기준!$E$20:$E$49,MATCH($N3385,계정대체기준!$A$20:$A$49,0)),0)))</f>
        <v/>
      </c>
      <c r="AC3385" s="9">
        <f>IF(AND($A3385&lt;&gt;"",M3385=설정!$C$20,Z3385&gt;0),Z3385+ROW()/1000000000,"")</f>
        <v/>
      </c>
      <c r="AD3385" s="94">
        <f>IF($A3385="",0,$P3385*AG3385)</f>
        <v/>
      </c>
      <c r="AE3385" s="64">
        <f>IF($A3385="","",IFERROR(INDEX(계정매핑!$E$5:$E$504,MATCH($F3385&amp;"",계정매핑!$A$5:$A$504,0))&amp;"","공통비"))</f>
        <v/>
      </c>
      <c r="AF3385" s="64">
        <f>IF($A3385="","",IF(AE3385="직접",IFERROR(INDEX(계정매핑!$F$5:$F$504,MATCH($F3385&amp;"",계정매핑!$A$5:$A$504,0))&amp;"","비귀속"),""))</f>
        <v/>
      </c>
      <c r="AG3385" s="96">
        <f>IF($A3385="",0,IF(AND(AE3385&lt;&gt;"직접",IFERROR(INDEX(계정매핑!$G$5:$G$504,MATCH($F3385&amp;"",계정매핑!$A$5:$A$504,0))&amp;"","")="유지비",COUNTIF(계정대체기준!$A$6:$A$15,$N3385)&gt;0),IFERROR(INDEX(계정대체기준!$E$6:$E$15,MATCH(VALUE($A3385&amp;""),계정대체기준!$D$6:$D$15,0)),0),0))</f>
        <v/>
      </c>
      <c r="AH3385" s="64">
        <f>IF($A3385="","",IF(AD3385=0,"",IF(OR(COUNTIF(계정대체기준!$A$77:$A$86,$N3385)&gt;0,ISNUMBER(MATCH($X3385,계정대체기준!$D$77:$D$86,0)),ISNUMBER(MATCH($F3385,계정대체기준!$D$77:$D$86,0))),"Y","N")))</f>
        <v/>
      </c>
    </row>
    <row r="3386">
      <c r="A3386" s="92" t="n">
        <v>2026</v>
      </c>
      <c r="B3386" s="92" t="n">
        <v>3</v>
      </c>
      <c r="C3386" s="92" t="inlineStr">
        <is>
          <t>5100000664</t>
        </is>
      </c>
      <c r="D3386" s="95" t="n">
        <v>46107</v>
      </c>
      <c r="E3386" s="92" t="inlineStr">
        <is>
          <t>KR</t>
        </is>
      </c>
      <c r="F3386" s="92" t="n">
        <v>62101000</v>
      </c>
      <c r="G3386" s="92" t="n">
        <v>1201</v>
      </c>
      <c r="H3386" s="93" t="n">
        <v>402000</v>
      </c>
      <c r="I3386" s="92" t="inlineStr">
        <is>
          <t>3월 국내출장 - L여행사</t>
        </is>
      </c>
      <c r="J3386" s="92" t="inlineStr">
        <is>
          <t>V10018</t>
        </is>
      </c>
      <c r="K3386" s="92" t="inlineStr">
        <is>
          <t>L여행사</t>
        </is>
      </c>
      <c r="M3386" s="9">
        <f>IF($A3386="","",VALUE($A3386&amp;"")*12+VALUE($B3386&amp;""))</f>
        <v/>
      </c>
      <c r="N3386" s="64">
        <f>IF($A3386="","",IFERROR(INDEX(부서매핑!$C$5:$C$504,MATCH($G3386&amp;"",부서매핑!$A$5:$A$504,0)),"미매핑"))</f>
        <v/>
      </c>
      <c r="O3386" s="9">
        <f>IF($A3386="","",N3386&amp;"|"&amp;$F3386)</f>
        <v/>
      </c>
      <c r="P3386" s="94">
        <f>IF($A3386="",0,$H3386*설정!$C$23)</f>
        <v/>
      </c>
      <c r="Q3386" s="64">
        <f>IF($A3386="","",IF(O3386&lt;&gt;원인분석!$C$9,"",IF(AND(M3386&gt;=원인분석!$C$10,M3386&lt;=원인분석!$C$11),"당기",IF(AND(M3386&gt;=원인분석!$C$12,M3386&lt;=원인분석!$C$13),"비교",""))))</f>
        <v/>
      </c>
      <c r="R3386" s="9">
        <f>IF(Q3386="","",$K3386&amp;"")</f>
        <v/>
      </c>
      <c r="S3386" s="9">
        <f>IF(Q3386="","",IF(MATCH(R3386,$R$5:$R$100000,0)=ROW()-4,ROW(),""))</f>
        <v/>
      </c>
      <c r="T3386" s="9">
        <f>IF(Q3386="당기",ABS(P3386)+ROW()/1000000000,"")</f>
        <v/>
      </c>
      <c r="U3386" s="9">
        <f>IF(Q3386="비교",ABS(P3386)+ROW()/1000000000,"")</f>
        <v/>
      </c>
      <c r="V3386" s="64">
        <f>IF($A3386="","",IF(COUNTIF(변동분석!$E$7:$E$506,O3386)&gt;0,"Y","N"))</f>
        <v/>
      </c>
      <c r="W3386" s="64">
        <f>IF($A3386="","",IFERROR(INDEX(계정매핑!$D$5:$D$504,MATCH($F3386&amp;"",계정매핑!$A$5:$A$504,0)),"미매핑"))</f>
        <v/>
      </c>
      <c r="X3386" s="9">
        <f>IF($A3386="","",$F3386&amp;"")</f>
        <v/>
      </c>
      <c r="Y3386" s="94">
        <f>IF($A3386="",0,IF(AE3386="직접",IF(AF3386="비귀속",$P3386,0),$P3386*(1-AG3386)*IFERROR(INDEX(계정대체기준!$F$20:$F$49,MATCH($N3386,계정대체기준!$A$20:$A$49,0)),1)))</f>
        <v/>
      </c>
      <c r="Z3386" s="94">
        <f>IF($A3386="",0,IF(AE3386="직접",IF(AF3386="신계약비",$P3386,0),$P3386*(1-AG3386)*IFERROR(INDEX(계정대체기준!$C$20:$C$49,MATCH($N3386,계정대체기준!$A$20:$A$49,0)),0)))</f>
        <v/>
      </c>
      <c r="AA3386" s="94">
        <f>IF($A3386="",0,IF(AE3386="직접",IF(OR(AF3386="유지비",AF3386="손해조사비"),$P3386,0),$P3386*(1-AG3386)*IFERROR(INDEX(계정대체기준!$D$20:$D$49,MATCH($N3386,계정대체기준!$A$20:$A$49,0)),0)))</f>
        <v/>
      </c>
      <c r="AB3386" s="94">
        <f>IF($A3386="",0,IF(AE3386="직접",IF(AF3386="수금비",$P3386,0),$P3386*(1-AG3386)*IFERROR(INDEX(계정대체기준!$E$20:$E$49,MATCH($N3386,계정대체기준!$A$20:$A$49,0)),0)))</f>
        <v/>
      </c>
      <c r="AC3386" s="9">
        <f>IF(AND($A3386&lt;&gt;"",M3386=설정!$C$20,Z3386&gt;0),Z3386+ROW()/1000000000,"")</f>
        <v/>
      </c>
      <c r="AD3386" s="94">
        <f>IF($A3386="",0,$P3386*AG3386)</f>
        <v/>
      </c>
      <c r="AE3386" s="64">
        <f>IF($A3386="","",IFERROR(INDEX(계정매핑!$E$5:$E$504,MATCH($F3386&amp;"",계정매핑!$A$5:$A$504,0))&amp;"","공통비"))</f>
        <v/>
      </c>
      <c r="AF3386" s="64">
        <f>IF($A3386="","",IF(AE3386="직접",IFERROR(INDEX(계정매핑!$F$5:$F$504,MATCH($F3386&amp;"",계정매핑!$A$5:$A$504,0))&amp;"","비귀속"),""))</f>
        <v/>
      </c>
      <c r="AG3386" s="96">
        <f>IF($A3386="",0,IF(AND(AE3386&lt;&gt;"직접",IFERROR(INDEX(계정매핑!$G$5:$G$504,MATCH($F3386&amp;"",계정매핑!$A$5:$A$504,0))&amp;"","")="유지비",COUNTIF(계정대체기준!$A$6:$A$15,$N3386)&gt;0),IFERROR(INDEX(계정대체기준!$E$6:$E$15,MATCH(VALUE($A3386&amp;""),계정대체기준!$D$6:$D$15,0)),0),0))</f>
        <v/>
      </c>
      <c r="AH3386" s="64">
        <f>IF($A3386="","",IF(AD3386=0,"",IF(OR(COUNTIF(계정대체기준!$A$77:$A$86,$N3386)&gt;0,ISNUMBER(MATCH($X3386,계정대체기준!$D$77:$D$86,0)),ISNUMBER(MATCH($F3386,계정대체기준!$D$77:$D$86,0))),"Y","N")))</f>
        <v/>
      </c>
    </row>
    <row r="3387">
      <c r="A3387" s="92" t="n">
        <v>2026</v>
      </c>
      <c r="B3387" s="92" t="n">
        <v>3</v>
      </c>
      <c r="C3387" s="92" t="inlineStr">
        <is>
          <t>5100000665</t>
        </is>
      </c>
      <c r="D3387" s="95" t="n">
        <v>46107</v>
      </c>
      <c r="E3387" s="92" t="inlineStr">
        <is>
          <t>KR</t>
        </is>
      </c>
      <c r="F3387" s="92" t="n">
        <v>62101000</v>
      </c>
      <c r="G3387" s="92" t="n">
        <v>1301</v>
      </c>
      <c r="H3387" s="93" t="n">
        <v>240000</v>
      </c>
      <c r="I3387" s="92" t="inlineStr">
        <is>
          <t>3월 국내출장 - L여행사</t>
        </is>
      </c>
      <c r="J3387" s="92" t="inlineStr">
        <is>
          <t>V10018</t>
        </is>
      </c>
      <c r="K3387" s="92" t="inlineStr">
        <is>
          <t>L여행사</t>
        </is>
      </c>
      <c r="M3387" s="9">
        <f>IF($A3387="","",VALUE($A3387&amp;"")*12+VALUE($B3387&amp;""))</f>
        <v/>
      </c>
      <c r="N3387" s="64">
        <f>IF($A3387="","",IFERROR(INDEX(부서매핑!$C$5:$C$504,MATCH($G3387&amp;"",부서매핑!$A$5:$A$504,0)),"미매핑"))</f>
        <v/>
      </c>
      <c r="O3387" s="9">
        <f>IF($A3387="","",N3387&amp;"|"&amp;$F3387)</f>
        <v/>
      </c>
      <c r="P3387" s="94">
        <f>IF($A3387="",0,$H3387*설정!$C$23)</f>
        <v/>
      </c>
      <c r="Q3387" s="64">
        <f>IF($A3387="","",IF(O3387&lt;&gt;원인분석!$C$9,"",IF(AND(M3387&gt;=원인분석!$C$10,M3387&lt;=원인분석!$C$11),"당기",IF(AND(M3387&gt;=원인분석!$C$12,M3387&lt;=원인분석!$C$13),"비교",""))))</f>
        <v/>
      </c>
      <c r="R3387" s="9">
        <f>IF(Q3387="","",$K3387&amp;"")</f>
        <v/>
      </c>
      <c r="S3387" s="9">
        <f>IF(Q3387="","",IF(MATCH(R3387,$R$5:$R$100000,0)=ROW()-4,ROW(),""))</f>
        <v/>
      </c>
      <c r="T3387" s="9">
        <f>IF(Q3387="당기",ABS(P3387)+ROW()/1000000000,"")</f>
        <v/>
      </c>
      <c r="U3387" s="9">
        <f>IF(Q3387="비교",ABS(P3387)+ROW()/1000000000,"")</f>
        <v/>
      </c>
      <c r="V3387" s="64">
        <f>IF($A3387="","",IF(COUNTIF(변동분석!$E$7:$E$506,O3387)&gt;0,"Y","N"))</f>
        <v/>
      </c>
      <c r="W3387" s="64">
        <f>IF($A3387="","",IFERROR(INDEX(계정매핑!$D$5:$D$504,MATCH($F3387&amp;"",계정매핑!$A$5:$A$504,0)),"미매핑"))</f>
        <v/>
      </c>
      <c r="X3387" s="9">
        <f>IF($A3387="","",$F3387&amp;"")</f>
        <v/>
      </c>
      <c r="Y3387" s="94">
        <f>IF($A3387="",0,IF(AE3387="직접",IF(AF3387="비귀속",$P3387,0),$P3387*(1-AG3387)*IFERROR(INDEX(계정대체기준!$F$20:$F$49,MATCH($N3387,계정대체기준!$A$20:$A$49,0)),1)))</f>
        <v/>
      </c>
      <c r="Z3387" s="94">
        <f>IF($A3387="",0,IF(AE3387="직접",IF(AF3387="신계약비",$P3387,0),$P3387*(1-AG3387)*IFERROR(INDEX(계정대체기준!$C$20:$C$49,MATCH($N3387,계정대체기준!$A$20:$A$49,0)),0)))</f>
        <v/>
      </c>
      <c r="AA3387" s="94">
        <f>IF($A3387="",0,IF(AE3387="직접",IF(OR(AF3387="유지비",AF3387="손해조사비"),$P3387,0),$P3387*(1-AG3387)*IFERROR(INDEX(계정대체기준!$D$20:$D$49,MATCH($N3387,계정대체기준!$A$20:$A$49,0)),0)))</f>
        <v/>
      </c>
      <c r="AB3387" s="94">
        <f>IF($A3387="",0,IF(AE3387="직접",IF(AF3387="수금비",$P3387,0),$P3387*(1-AG3387)*IFERROR(INDEX(계정대체기준!$E$20:$E$49,MATCH($N3387,계정대체기준!$A$20:$A$49,0)),0)))</f>
        <v/>
      </c>
      <c r="AC3387" s="9">
        <f>IF(AND($A3387&lt;&gt;"",M3387=설정!$C$20,Z3387&gt;0),Z3387+ROW()/1000000000,"")</f>
        <v/>
      </c>
      <c r="AD3387" s="94">
        <f>IF($A3387="",0,$P3387*AG3387)</f>
        <v/>
      </c>
      <c r="AE3387" s="64">
        <f>IF($A3387="","",IFERROR(INDEX(계정매핑!$E$5:$E$504,MATCH($F3387&amp;"",계정매핑!$A$5:$A$504,0))&amp;"","공통비"))</f>
        <v/>
      </c>
      <c r="AF3387" s="64">
        <f>IF($A3387="","",IF(AE3387="직접",IFERROR(INDEX(계정매핑!$F$5:$F$504,MATCH($F3387&amp;"",계정매핑!$A$5:$A$504,0))&amp;"","비귀속"),""))</f>
        <v/>
      </c>
      <c r="AG3387" s="96">
        <f>IF($A3387="",0,IF(AND(AE3387&lt;&gt;"직접",IFERROR(INDEX(계정매핑!$G$5:$G$504,MATCH($F3387&amp;"",계정매핑!$A$5:$A$504,0))&amp;"","")="유지비",COUNTIF(계정대체기준!$A$6:$A$15,$N3387)&gt;0),IFERROR(INDEX(계정대체기준!$E$6:$E$15,MATCH(VALUE($A3387&amp;""),계정대체기준!$D$6:$D$15,0)),0),0))</f>
        <v/>
      </c>
      <c r="AH3387" s="64">
        <f>IF($A3387="","",IF(AD3387=0,"",IF(OR(COUNTIF(계정대체기준!$A$77:$A$86,$N3387)&gt;0,ISNUMBER(MATCH($X3387,계정대체기준!$D$77:$D$86,0)),ISNUMBER(MATCH($F3387,계정대체기준!$D$77:$D$86,0))),"Y","N")))</f>
        <v/>
      </c>
    </row>
    <row r="3388">
      <c r="A3388" s="92" t="n">
        <v>2026</v>
      </c>
      <c r="B3388" s="92" t="n">
        <v>3</v>
      </c>
      <c r="C3388" s="92" t="inlineStr">
        <is>
          <t>5100000666</t>
        </is>
      </c>
      <c r="D3388" s="95" t="n">
        <v>46107</v>
      </c>
      <c r="E3388" s="92" t="inlineStr">
        <is>
          <t>KR</t>
        </is>
      </c>
      <c r="F3388" s="92" t="n">
        <v>62101000</v>
      </c>
      <c r="G3388" s="92" t="n">
        <v>1801</v>
      </c>
      <c r="H3388" s="93" t="n">
        <v>166000</v>
      </c>
      <c r="I3388" s="92" t="inlineStr">
        <is>
          <t>3월 국내출장 - (법인카드)</t>
        </is>
      </c>
      <c r="J3388" s="92" t="inlineStr">
        <is>
          <t>V10010</t>
        </is>
      </c>
      <c r="K3388" s="92" t="inlineStr">
        <is>
          <t>(법인카드)</t>
        </is>
      </c>
      <c r="M3388" s="9">
        <f>IF($A3388="","",VALUE($A3388&amp;"")*12+VALUE($B3388&amp;""))</f>
        <v/>
      </c>
      <c r="N3388" s="64">
        <f>IF($A3388="","",IFERROR(INDEX(부서매핑!$C$5:$C$504,MATCH($G3388&amp;"",부서매핑!$A$5:$A$504,0)),"미매핑"))</f>
        <v/>
      </c>
      <c r="O3388" s="9">
        <f>IF($A3388="","",N3388&amp;"|"&amp;$F3388)</f>
        <v/>
      </c>
      <c r="P3388" s="94">
        <f>IF($A3388="",0,$H3388*설정!$C$23)</f>
        <v/>
      </c>
      <c r="Q3388" s="64">
        <f>IF($A3388="","",IF(O3388&lt;&gt;원인분석!$C$9,"",IF(AND(M3388&gt;=원인분석!$C$10,M3388&lt;=원인분석!$C$11),"당기",IF(AND(M3388&gt;=원인분석!$C$12,M3388&lt;=원인분석!$C$13),"비교",""))))</f>
        <v/>
      </c>
      <c r="R3388" s="9">
        <f>IF(Q3388="","",$K3388&amp;"")</f>
        <v/>
      </c>
      <c r="S3388" s="9">
        <f>IF(Q3388="","",IF(MATCH(R3388,$R$5:$R$100000,0)=ROW()-4,ROW(),""))</f>
        <v/>
      </c>
      <c r="T3388" s="9">
        <f>IF(Q3388="당기",ABS(P3388)+ROW()/1000000000,"")</f>
        <v/>
      </c>
      <c r="U3388" s="9">
        <f>IF(Q3388="비교",ABS(P3388)+ROW()/1000000000,"")</f>
        <v/>
      </c>
      <c r="V3388" s="64">
        <f>IF($A3388="","",IF(COUNTIF(변동분석!$E$7:$E$506,O3388)&gt;0,"Y","N"))</f>
        <v/>
      </c>
      <c r="W3388" s="64">
        <f>IF($A3388="","",IFERROR(INDEX(계정매핑!$D$5:$D$504,MATCH($F3388&amp;"",계정매핑!$A$5:$A$504,0)),"미매핑"))</f>
        <v/>
      </c>
      <c r="X3388" s="9">
        <f>IF($A3388="","",$F3388&amp;"")</f>
        <v/>
      </c>
      <c r="Y3388" s="94">
        <f>IF($A3388="",0,IF(AE3388="직접",IF(AF3388="비귀속",$P3388,0),$P3388*(1-AG3388)*IFERROR(INDEX(계정대체기준!$F$20:$F$49,MATCH($N3388,계정대체기준!$A$20:$A$49,0)),1)))</f>
        <v/>
      </c>
      <c r="Z3388" s="94">
        <f>IF($A3388="",0,IF(AE3388="직접",IF(AF3388="신계약비",$P3388,0),$P3388*(1-AG3388)*IFERROR(INDEX(계정대체기준!$C$20:$C$49,MATCH($N3388,계정대체기준!$A$20:$A$49,0)),0)))</f>
        <v/>
      </c>
      <c r="AA3388" s="94">
        <f>IF($A3388="",0,IF(AE3388="직접",IF(OR(AF3388="유지비",AF3388="손해조사비"),$P3388,0),$P3388*(1-AG3388)*IFERROR(INDEX(계정대체기준!$D$20:$D$49,MATCH($N3388,계정대체기준!$A$20:$A$49,0)),0)))</f>
        <v/>
      </c>
      <c r="AB3388" s="94">
        <f>IF($A3388="",0,IF(AE3388="직접",IF(AF3388="수금비",$P3388,0),$P3388*(1-AG3388)*IFERROR(INDEX(계정대체기준!$E$20:$E$49,MATCH($N3388,계정대체기준!$A$20:$A$49,0)),0)))</f>
        <v/>
      </c>
      <c r="AC3388" s="9">
        <f>IF(AND($A3388&lt;&gt;"",M3388=설정!$C$20,Z3388&gt;0),Z3388+ROW()/1000000000,"")</f>
        <v/>
      </c>
      <c r="AD3388" s="94">
        <f>IF($A3388="",0,$P3388*AG3388)</f>
        <v/>
      </c>
      <c r="AE3388" s="64">
        <f>IF($A3388="","",IFERROR(INDEX(계정매핑!$E$5:$E$504,MATCH($F3388&amp;"",계정매핑!$A$5:$A$504,0))&amp;"","공통비"))</f>
        <v/>
      </c>
      <c r="AF3388" s="64">
        <f>IF($A3388="","",IF(AE3388="직접",IFERROR(INDEX(계정매핑!$F$5:$F$504,MATCH($F3388&amp;"",계정매핑!$A$5:$A$504,0))&amp;"","비귀속"),""))</f>
        <v/>
      </c>
      <c r="AG3388" s="96">
        <f>IF($A3388="",0,IF(AND(AE3388&lt;&gt;"직접",IFERROR(INDEX(계정매핑!$G$5:$G$504,MATCH($F3388&amp;"",계정매핑!$A$5:$A$504,0))&amp;"","")="유지비",COUNTIF(계정대체기준!$A$6:$A$15,$N3388)&gt;0),IFERROR(INDEX(계정대체기준!$E$6:$E$15,MATCH(VALUE($A3388&amp;""),계정대체기준!$D$6:$D$15,0)),0),0))</f>
        <v/>
      </c>
      <c r="AH3388" s="64">
        <f>IF($A3388="","",IF(AD3388=0,"",IF(OR(COUNTIF(계정대체기준!$A$77:$A$86,$N3388)&gt;0,ISNUMBER(MATCH($X3388,계정대체기준!$D$77:$D$86,0)),ISNUMBER(MATCH($F3388,계정대체기준!$D$77:$D$86,0))),"Y","N")))</f>
        <v/>
      </c>
    </row>
    <row r="3389">
      <c r="A3389" s="92" t="n">
        <v>2026</v>
      </c>
      <c r="B3389" s="92" t="n">
        <v>3</v>
      </c>
      <c r="C3389" s="92" t="inlineStr">
        <is>
          <t>5100000667</t>
        </is>
      </c>
      <c r="D3389" s="95" t="n">
        <v>46107</v>
      </c>
      <c r="E3389" s="92" t="inlineStr">
        <is>
          <t>KR</t>
        </is>
      </c>
      <c r="F3389" s="92" t="n">
        <v>62301000</v>
      </c>
      <c r="G3389" s="92" t="n">
        <v>1201</v>
      </c>
      <c r="H3389" s="93" t="n">
        <v>211000</v>
      </c>
      <c r="I3389" s="92" t="inlineStr">
        <is>
          <t>3월 소모품 구입 - Q오피스</t>
        </is>
      </c>
      <c r="J3389" s="92" t="inlineStr">
        <is>
          <t>V10003</t>
        </is>
      </c>
      <c r="K3389" s="92" t="inlineStr">
        <is>
          <t>Q오피스</t>
        </is>
      </c>
      <c r="M3389" s="9">
        <f>IF($A3389="","",VALUE($A3389&amp;"")*12+VALUE($B3389&amp;""))</f>
        <v/>
      </c>
      <c r="N3389" s="64">
        <f>IF($A3389="","",IFERROR(INDEX(부서매핑!$C$5:$C$504,MATCH($G3389&amp;"",부서매핑!$A$5:$A$504,0)),"미매핑"))</f>
        <v/>
      </c>
      <c r="O3389" s="9">
        <f>IF($A3389="","",N3389&amp;"|"&amp;$F3389)</f>
        <v/>
      </c>
      <c r="P3389" s="94">
        <f>IF($A3389="",0,$H3389*설정!$C$23)</f>
        <v/>
      </c>
      <c r="Q3389" s="64">
        <f>IF($A3389="","",IF(O3389&lt;&gt;원인분석!$C$9,"",IF(AND(M3389&gt;=원인분석!$C$10,M3389&lt;=원인분석!$C$11),"당기",IF(AND(M3389&gt;=원인분석!$C$12,M3389&lt;=원인분석!$C$13),"비교",""))))</f>
        <v/>
      </c>
      <c r="R3389" s="9">
        <f>IF(Q3389="","",$K3389&amp;"")</f>
        <v/>
      </c>
      <c r="S3389" s="9">
        <f>IF(Q3389="","",IF(MATCH(R3389,$R$5:$R$100000,0)=ROW()-4,ROW(),""))</f>
        <v/>
      </c>
      <c r="T3389" s="9">
        <f>IF(Q3389="당기",ABS(P3389)+ROW()/1000000000,"")</f>
        <v/>
      </c>
      <c r="U3389" s="9">
        <f>IF(Q3389="비교",ABS(P3389)+ROW()/1000000000,"")</f>
        <v/>
      </c>
      <c r="V3389" s="64">
        <f>IF($A3389="","",IF(COUNTIF(변동분석!$E$7:$E$506,O3389)&gt;0,"Y","N"))</f>
        <v/>
      </c>
      <c r="W3389" s="64">
        <f>IF($A3389="","",IFERROR(INDEX(계정매핑!$D$5:$D$504,MATCH($F3389&amp;"",계정매핑!$A$5:$A$504,0)),"미매핑"))</f>
        <v/>
      </c>
      <c r="X3389" s="9">
        <f>IF($A3389="","",$F3389&amp;"")</f>
        <v/>
      </c>
      <c r="Y3389" s="94">
        <f>IF($A3389="",0,IF(AE3389="직접",IF(AF3389="비귀속",$P3389,0),$P3389*(1-AG3389)*IFERROR(INDEX(계정대체기준!$F$20:$F$49,MATCH($N3389,계정대체기준!$A$20:$A$49,0)),1)))</f>
        <v/>
      </c>
      <c r="Z3389" s="94">
        <f>IF($A3389="",0,IF(AE3389="직접",IF(AF3389="신계약비",$P3389,0),$P3389*(1-AG3389)*IFERROR(INDEX(계정대체기준!$C$20:$C$49,MATCH($N3389,계정대체기준!$A$20:$A$49,0)),0)))</f>
        <v/>
      </c>
      <c r="AA3389" s="94">
        <f>IF($A3389="",0,IF(AE3389="직접",IF(OR(AF3389="유지비",AF3389="손해조사비"),$P3389,0),$P3389*(1-AG3389)*IFERROR(INDEX(계정대체기준!$D$20:$D$49,MATCH($N3389,계정대체기준!$A$20:$A$49,0)),0)))</f>
        <v/>
      </c>
      <c r="AB3389" s="94">
        <f>IF($A3389="",0,IF(AE3389="직접",IF(AF3389="수금비",$P3389,0),$P3389*(1-AG3389)*IFERROR(INDEX(계정대체기준!$E$20:$E$49,MATCH($N3389,계정대체기준!$A$20:$A$49,0)),0)))</f>
        <v/>
      </c>
      <c r="AC3389" s="9">
        <f>IF(AND($A3389&lt;&gt;"",M3389=설정!$C$20,Z3389&gt;0),Z3389+ROW()/1000000000,"")</f>
        <v/>
      </c>
      <c r="AD3389" s="94">
        <f>IF($A3389="",0,$P3389*AG3389)</f>
        <v/>
      </c>
      <c r="AE3389" s="64">
        <f>IF($A3389="","",IFERROR(INDEX(계정매핑!$E$5:$E$504,MATCH($F3389&amp;"",계정매핑!$A$5:$A$504,0))&amp;"","공통비"))</f>
        <v/>
      </c>
      <c r="AF3389" s="64">
        <f>IF($A3389="","",IF(AE3389="직접",IFERROR(INDEX(계정매핑!$F$5:$F$504,MATCH($F3389&amp;"",계정매핑!$A$5:$A$504,0))&amp;"","비귀속"),""))</f>
        <v/>
      </c>
      <c r="AG3389" s="96">
        <f>IF($A3389="",0,IF(AND(AE3389&lt;&gt;"직접",IFERROR(INDEX(계정매핑!$G$5:$G$504,MATCH($F3389&amp;"",계정매핑!$A$5:$A$504,0))&amp;"","")="유지비",COUNTIF(계정대체기준!$A$6:$A$15,$N3389)&gt;0),IFERROR(INDEX(계정대체기준!$E$6:$E$15,MATCH(VALUE($A3389&amp;""),계정대체기준!$D$6:$D$15,0)),0),0))</f>
        <v/>
      </c>
      <c r="AH3389" s="64">
        <f>IF($A3389="","",IF(AD3389=0,"",IF(OR(COUNTIF(계정대체기준!$A$77:$A$86,$N3389)&gt;0,ISNUMBER(MATCH($X3389,계정대체기준!$D$77:$D$86,0)),ISNUMBER(MATCH($F3389,계정대체기준!$D$77:$D$86,0))),"Y","N")))</f>
        <v/>
      </c>
    </row>
    <row r="3390">
      <c r="A3390" s="92" t="n">
        <v>2026</v>
      </c>
      <c r="B3390" s="92" t="n">
        <v>3</v>
      </c>
      <c r="C3390" s="92" t="inlineStr">
        <is>
          <t>5100000668</t>
        </is>
      </c>
      <c r="D3390" s="95" t="n">
        <v>46107</v>
      </c>
      <c r="E3390" s="92" t="inlineStr">
        <is>
          <t>KR</t>
        </is>
      </c>
      <c r="F3390" s="92" t="n">
        <v>62301000</v>
      </c>
      <c r="G3390" s="92" t="n">
        <v>1501</v>
      </c>
      <c r="H3390" s="93" t="n">
        <v>240000</v>
      </c>
      <c r="I3390" s="92" t="inlineStr">
        <is>
          <t>3월 소모품 구입 - R문구</t>
        </is>
      </c>
      <c r="J3390" s="92" t="inlineStr">
        <is>
          <t>V10022</t>
        </is>
      </c>
      <c r="K3390" s="92" t="inlineStr">
        <is>
          <t>R문구</t>
        </is>
      </c>
      <c r="M3390" s="9">
        <f>IF($A3390="","",VALUE($A3390&amp;"")*12+VALUE($B3390&amp;""))</f>
        <v/>
      </c>
      <c r="N3390" s="64">
        <f>IF($A3390="","",IFERROR(INDEX(부서매핑!$C$5:$C$504,MATCH($G3390&amp;"",부서매핑!$A$5:$A$504,0)),"미매핑"))</f>
        <v/>
      </c>
      <c r="O3390" s="9">
        <f>IF($A3390="","",N3390&amp;"|"&amp;$F3390)</f>
        <v/>
      </c>
      <c r="P3390" s="94">
        <f>IF($A3390="",0,$H3390*설정!$C$23)</f>
        <v/>
      </c>
      <c r="Q3390" s="64">
        <f>IF($A3390="","",IF(O3390&lt;&gt;원인분석!$C$9,"",IF(AND(M3390&gt;=원인분석!$C$10,M3390&lt;=원인분석!$C$11),"당기",IF(AND(M3390&gt;=원인분석!$C$12,M3390&lt;=원인분석!$C$13),"비교",""))))</f>
        <v/>
      </c>
      <c r="R3390" s="9">
        <f>IF(Q3390="","",$K3390&amp;"")</f>
        <v/>
      </c>
      <c r="S3390" s="9">
        <f>IF(Q3390="","",IF(MATCH(R3390,$R$5:$R$100000,0)=ROW()-4,ROW(),""))</f>
        <v/>
      </c>
      <c r="T3390" s="9">
        <f>IF(Q3390="당기",ABS(P3390)+ROW()/1000000000,"")</f>
        <v/>
      </c>
      <c r="U3390" s="9">
        <f>IF(Q3390="비교",ABS(P3390)+ROW()/1000000000,"")</f>
        <v/>
      </c>
      <c r="V3390" s="64">
        <f>IF($A3390="","",IF(COUNTIF(변동분석!$E$7:$E$506,O3390)&gt;0,"Y","N"))</f>
        <v/>
      </c>
      <c r="W3390" s="64">
        <f>IF($A3390="","",IFERROR(INDEX(계정매핑!$D$5:$D$504,MATCH($F3390&amp;"",계정매핑!$A$5:$A$504,0)),"미매핑"))</f>
        <v/>
      </c>
      <c r="X3390" s="9">
        <f>IF($A3390="","",$F3390&amp;"")</f>
        <v/>
      </c>
      <c r="Y3390" s="94">
        <f>IF($A3390="",0,IF(AE3390="직접",IF(AF3390="비귀속",$P3390,0),$P3390*(1-AG3390)*IFERROR(INDEX(계정대체기준!$F$20:$F$49,MATCH($N3390,계정대체기준!$A$20:$A$49,0)),1)))</f>
        <v/>
      </c>
      <c r="Z3390" s="94">
        <f>IF($A3390="",0,IF(AE3390="직접",IF(AF3390="신계약비",$P3390,0),$P3390*(1-AG3390)*IFERROR(INDEX(계정대체기준!$C$20:$C$49,MATCH($N3390,계정대체기준!$A$20:$A$49,0)),0)))</f>
        <v/>
      </c>
      <c r="AA3390" s="94">
        <f>IF($A3390="",0,IF(AE3390="직접",IF(OR(AF3390="유지비",AF3390="손해조사비"),$P3390,0),$P3390*(1-AG3390)*IFERROR(INDEX(계정대체기준!$D$20:$D$49,MATCH($N3390,계정대체기준!$A$20:$A$49,0)),0)))</f>
        <v/>
      </c>
      <c r="AB3390" s="94">
        <f>IF($A3390="",0,IF(AE3390="직접",IF(AF3390="수금비",$P3390,0),$P3390*(1-AG3390)*IFERROR(INDEX(계정대체기준!$E$20:$E$49,MATCH($N3390,계정대체기준!$A$20:$A$49,0)),0)))</f>
        <v/>
      </c>
      <c r="AC3390" s="9">
        <f>IF(AND($A3390&lt;&gt;"",M3390=설정!$C$20,Z3390&gt;0),Z3390+ROW()/1000000000,"")</f>
        <v/>
      </c>
      <c r="AD3390" s="94">
        <f>IF($A3390="",0,$P3390*AG3390)</f>
        <v/>
      </c>
      <c r="AE3390" s="64">
        <f>IF($A3390="","",IFERROR(INDEX(계정매핑!$E$5:$E$504,MATCH($F3390&amp;"",계정매핑!$A$5:$A$504,0))&amp;"","공통비"))</f>
        <v/>
      </c>
      <c r="AF3390" s="64">
        <f>IF($A3390="","",IF(AE3390="직접",IFERROR(INDEX(계정매핑!$F$5:$F$504,MATCH($F3390&amp;"",계정매핑!$A$5:$A$504,0))&amp;"","비귀속"),""))</f>
        <v/>
      </c>
      <c r="AG3390" s="96">
        <f>IF($A3390="",0,IF(AND(AE3390&lt;&gt;"직접",IFERROR(INDEX(계정매핑!$G$5:$G$504,MATCH($F3390&amp;"",계정매핑!$A$5:$A$504,0))&amp;"","")="유지비",COUNTIF(계정대체기준!$A$6:$A$15,$N3390)&gt;0),IFERROR(INDEX(계정대체기준!$E$6:$E$15,MATCH(VALUE($A3390&amp;""),계정대체기준!$D$6:$D$15,0)),0),0))</f>
        <v/>
      </c>
      <c r="AH3390" s="64">
        <f>IF($A3390="","",IF(AD3390=0,"",IF(OR(COUNTIF(계정대체기준!$A$77:$A$86,$N3390)&gt;0,ISNUMBER(MATCH($X3390,계정대체기준!$D$77:$D$86,0)),ISNUMBER(MATCH($F3390,계정대체기준!$D$77:$D$86,0))),"Y","N")))</f>
        <v/>
      </c>
    </row>
    <row r="3391">
      <c r="A3391" s="92" t="n">
        <v>2026</v>
      </c>
      <c r="B3391" s="92" t="n">
        <v>3</v>
      </c>
      <c r="C3391" s="92" t="inlineStr">
        <is>
          <t>5100000669</t>
        </is>
      </c>
      <c r="D3391" s="95" t="n">
        <v>46107</v>
      </c>
      <c r="E3391" s="92" t="inlineStr">
        <is>
          <t>KR</t>
        </is>
      </c>
      <c r="F3391" s="92" t="n">
        <v>62301000</v>
      </c>
      <c r="G3391" s="92" t="n">
        <v>1801</v>
      </c>
      <c r="H3391" s="93" t="n">
        <v>405000</v>
      </c>
      <c r="I3391" s="92" t="inlineStr">
        <is>
          <t>3월 소모품 구입 - R문구</t>
        </is>
      </c>
      <c r="J3391" s="92" t="inlineStr">
        <is>
          <t>V10022</t>
        </is>
      </c>
      <c r="K3391" s="92" t="inlineStr">
        <is>
          <t>R문구</t>
        </is>
      </c>
      <c r="M3391" s="9">
        <f>IF($A3391="","",VALUE($A3391&amp;"")*12+VALUE($B3391&amp;""))</f>
        <v/>
      </c>
      <c r="N3391" s="64">
        <f>IF($A3391="","",IFERROR(INDEX(부서매핑!$C$5:$C$504,MATCH($G3391&amp;"",부서매핑!$A$5:$A$504,0)),"미매핑"))</f>
        <v/>
      </c>
      <c r="O3391" s="9">
        <f>IF($A3391="","",N3391&amp;"|"&amp;$F3391)</f>
        <v/>
      </c>
      <c r="P3391" s="94">
        <f>IF($A3391="",0,$H3391*설정!$C$23)</f>
        <v/>
      </c>
      <c r="Q3391" s="64">
        <f>IF($A3391="","",IF(O3391&lt;&gt;원인분석!$C$9,"",IF(AND(M3391&gt;=원인분석!$C$10,M3391&lt;=원인분석!$C$11),"당기",IF(AND(M3391&gt;=원인분석!$C$12,M3391&lt;=원인분석!$C$13),"비교",""))))</f>
        <v/>
      </c>
      <c r="R3391" s="9">
        <f>IF(Q3391="","",$K3391&amp;"")</f>
        <v/>
      </c>
      <c r="S3391" s="9">
        <f>IF(Q3391="","",IF(MATCH(R3391,$R$5:$R$100000,0)=ROW()-4,ROW(),""))</f>
        <v/>
      </c>
      <c r="T3391" s="9">
        <f>IF(Q3391="당기",ABS(P3391)+ROW()/1000000000,"")</f>
        <v/>
      </c>
      <c r="U3391" s="9">
        <f>IF(Q3391="비교",ABS(P3391)+ROW()/1000000000,"")</f>
        <v/>
      </c>
      <c r="V3391" s="64">
        <f>IF($A3391="","",IF(COUNTIF(변동분석!$E$7:$E$506,O3391)&gt;0,"Y","N"))</f>
        <v/>
      </c>
      <c r="W3391" s="64">
        <f>IF($A3391="","",IFERROR(INDEX(계정매핑!$D$5:$D$504,MATCH($F3391&amp;"",계정매핑!$A$5:$A$504,0)),"미매핑"))</f>
        <v/>
      </c>
      <c r="X3391" s="9">
        <f>IF($A3391="","",$F3391&amp;"")</f>
        <v/>
      </c>
      <c r="Y3391" s="94">
        <f>IF($A3391="",0,IF(AE3391="직접",IF(AF3391="비귀속",$P3391,0),$P3391*(1-AG3391)*IFERROR(INDEX(계정대체기준!$F$20:$F$49,MATCH($N3391,계정대체기준!$A$20:$A$49,0)),1)))</f>
        <v/>
      </c>
      <c r="Z3391" s="94">
        <f>IF($A3391="",0,IF(AE3391="직접",IF(AF3391="신계약비",$P3391,0),$P3391*(1-AG3391)*IFERROR(INDEX(계정대체기준!$C$20:$C$49,MATCH($N3391,계정대체기준!$A$20:$A$49,0)),0)))</f>
        <v/>
      </c>
      <c r="AA3391" s="94">
        <f>IF($A3391="",0,IF(AE3391="직접",IF(OR(AF3391="유지비",AF3391="손해조사비"),$P3391,0),$P3391*(1-AG3391)*IFERROR(INDEX(계정대체기준!$D$20:$D$49,MATCH($N3391,계정대체기준!$A$20:$A$49,0)),0)))</f>
        <v/>
      </c>
      <c r="AB3391" s="94">
        <f>IF($A3391="",0,IF(AE3391="직접",IF(AF3391="수금비",$P3391,0),$P3391*(1-AG3391)*IFERROR(INDEX(계정대체기준!$E$20:$E$49,MATCH($N3391,계정대체기준!$A$20:$A$49,0)),0)))</f>
        <v/>
      </c>
      <c r="AC3391" s="9">
        <f>IF(AND($A3391&lt;&gt;"",M3391=설정!$C$20,Z3391&gt;0),Z3391+ROW()/1000000000,"")</f>
        <v/>
      </c>
      <c r="AD3391" s="94">
        <f>IF($A3391="",0,$P3391*AG3391)</f>
        <v/>
      </c>
      <c r="AE3391" s="64">
        <f>IF($A3391="","",IFERROR(INDEX(계정매핑!$E$5:$E$504,MATCH($F3391&amp;"",계정매핑!$A$5:$A$504,0))&amp;"","공통비"))</f>
        <v/>
      </c>
      <c r="AF3391" s="64">
        <f>IF($A3391="","",IF(AE3391="직접",IFERROR(INDEX(계정매핑!$F$5:$F$504,MATCH($F3391&amp;"",계정매핑!$A$5:$A$504,0))&amp;"","비귀속"),""))</f>
        <v/>
      </c>
      <c r="AG3391" s="96">
        <f>IF($A3391="",0,IF(AND(AE3391&lt;&gt;"직접",IFERROR(INDEX(계정매핑!$G$5:$G$504,MATCH($F3391&amp;"",계정매핑!$A$5:$A$504,0))&amp;"","")="유지비",COUNTIF(계정대체기준!$A$6:$A$15,$N3391)&gt;0),IFERROR(INDEX(계정대체기준!$E$6:$E$15,MATCH(VALUE($A3391&amp;""),계정대체기준!$D$6:$D$15,0)),0),0))</f>
        <v/>
      </c>
      <c r="AH3391" s="64">
        <f>IF($A3391="","",IF(AD3391=0,"",IF(OR(COUNTIF(계정대체기준!$A$77:$A$86,$N3391)&gt;0,ISNUMBER(MATCH($X3391,계정대체기준!$D$77:$D$86,0)),ISNUMBER(MATCH($F3391,계정대체기준!$D$77:$D$86,0))),"Y","N")))</f>
        <v/>
      </c>
    </row>
    <row r="3392">
      <c r="A3392" s="92" t="n">
        <v>2026</v>
      </c>
      <c r="B3392" s="92" t="n">
        <v>3</v>
      </c>
      <c r="C3392" s="92" t="inlineStr">
        <is>
          <t>5100000670</t>
        </is>
      </c>
      <c r="D3392" s="95" t="n">
        <v>46107</v>
      </c>
      <c r="E3392" s="92" t="inlineStr">
        <is>
          <t>KR</t>
        </is>
      </c>
      <c r="F3392" s="92" t="n">
        <v>62501000</v>
      </c>
      <c r="G3392" s="92" t="n">
        <v>1101</v>
      </c>
      <c r="H3392" s="93" t="n">
        <v>176000</v>
      </c>
      <c r="I3392" s="92" t="inlineStr">
        <is>
          <t>3월 회의 다과 - T케이터링</t>
        </is>
      </c>
      <c r="J3392" s="92" t="inlineStr">
        <is>
          <t>V10005</t>
        </is>
      </c>
      <c r="K3392" s="92" t="inlineStr">
        <is>
          <t>T케이터링</t>
        </is>
      </c>
      <c r="M3392" s="9">
        <f>IF($A3392="","",VALUE($A3392&amp;"")*12+VALUE($B3392&amp;""))</f>
        <v/>
      </c>
      <c r="N3392" s="64">
        <f>IF($A3392="","",IFERROR(INDEX(부서매핑!$C$5:$C$504,MATCH($G3392&amp;"",부서매핑!$A$5:$A$504,0)),"미매핑"))</f>
        <v/>
      </c>
      <c r="O3392" s="9">
        <f>IF($A3392="","",N3392&amp;"|"&amp;$F3392)</f>
        <v/>
      </c>
      <c r="P3392" s="94">
        <f>IF($A3392="",0,$H3392*설정!$C$23)</f>
        <v/>
      </c>
      <c r="Q3392" s="64">
        <f>IF($A3392="","",IF(O3392&lt;&gt;원인분석!$C$9,"",IF(AND(M3392&gt;=원인분석!$C$10,M3392&lt;=원인분석!$C$11),"당기",IF(AND(M3392&gt;=원인분석!$C$12,M3392&lt;=원인분석!$C$13),"비교",""))))</f>
        <v/>
      </c>
      <c r="R3392" s="9">
        <f>IF(Q3392="","",$K3392&amp;"")</f>
        <v/>
      </c>
      <c r="S3392" s="9">
        <f>IF(Q3392="","",IF(MATCH(R3392,$R$5:$R$100000,0)=ROW()-4,ROW(),""))</f>
        <v/>
      </c>
      <c r="T3392" s="9">
        <f>IF(Q3392="당기",ABS(P3392)+ROW()/1000000000,"")</f>
        <v/>
      </c>
      <c r="U3392" s="9">
        <f>IF(Q3392="비교",ABS(P3392)+ROW()/1000000000,"")</f>
        <v/>
      </c>
      <c r="V3392" s="64">
        <f>IF($A3392="","",IF(COUNTIF(변동분석!$E$7:$E$506,O3392)&gt;0,"Y","N"))</f>
        <v/>
      </c>
      <c r="W3392" s="64">
        <f>IF($A3392="","",IFERROR(INDEX(계정매핑!$D$5:$D$504,MATCH($F3392&amp;"",계정매핑!$A$5:$A$504,0)),"미매핑"))</f>
        <v/>
      </c>
      <c r="X3392" s="9">
        <f>IF($A3392="","",$F3392&amp;"")</f>
        <v/>
      </c>
      <c r="Y3392" s="94">
        <f>IF($A3392="",0,IF(AE3392="직접",IF(AF3392="비귀속",$P3392,0),$P3392*(1-AG3392)*IFERROR(INDEX(계정대체기준!$F$20:$F$49,MATCH($N3392,계정대체기준!$A$20:$A$49,0)),1)))</f>
        <v/>
      </c>
      <c r="Z3392" s="94">
        <f>IF($A3392="",0,IF(AE3392="직접",IF(AF3392="신계약비",$P3392,0),$P3392*(1-AG3392)*IFERROR(INDEX(계정대체기준!$C$20:$C$49,MATCH($N3392,계정대체기준!$A$20:$A$49,0)),0)))</f>
        <v/>
      </c>
      <c r="AA3392" s="94">
        <f>IF($A3392="",0,IF(AE3392="직접",IF(OR(AF3392="유지비",AF3392="손해조사비"),$P3392,0),$P3392*(1-AG3392)*IFERROR(INDEX(계정대체기준!$D$20:$D$49,MATCH($N3392,계정대체기준!$A$20:$A$49,0)),0)))</f>
        <v/>
      </c>
      <c r="AB3392" s="94">
        <f>IF($A3392="",0,IF(AE3392="직접",IF(AF3392="수금비",$P3392,0),$P3392*(1-AG3392)*IFERROR(INDEX(계정대체기준!$E$20:$E$49,MATCH($N3392,계정대체기준!$A$20:$A$49,0)),0)))</f>
        <v/>
      </c>
      <c r="AC3392" s="9">
        <f>IF(AND($A3392&lt;&gt;"",M3392=설정!$C$20,Z3392&gt;0),Z3392+ROW()/1000000000,"")</f>
        <v/>
      </c>
      <c r="AD3392" s="94">
        <f>IF($A3392="",0,$P3392*AG3392)</f>
        <v/>
      </c>
      <c r="AE3392" s="64">
        <f>IF($A3392="","",IFERROR(INDEX(계정매핑!$E$5:$E$504,MATCH($F3392&amp;"",계정매핑!$A$5:$A$504,0))&amp;"","공통비"))</f>
        <v/>
      </c>
      <c r="AF3392" s="64">
        <f>IF($A3392="","",IF(AE3392="직접",IFERROR(INDEX(계정매핑!$F$5:$F$504,MATCH($F3392&amp;"",계정매핑!$A$5:$A$504,0))&amp;"","비귀속"),""))</f>
        <v/>
      </c>
      <c r="AG3392" s="96">
        <f>IF($A3392="",0,IF(AND(AE3392&lt;&gt;"직접",IFERROR(INDEX(계정매핑!$G$5:$G$504,MATCH($F3392&amp;"",계정매핑!$A$5:$A$504,0))&amp;"","")="유지비",COUNTIF(계정대체기준!$A$6:$A$15,$N3392)&gt;0),IFERROR(INDEX(계정대체기준!$E$6:$E$15,MATCH(VALUE($A3392&amp;""),계정대체기준!$D$6:$D$15,0)),0),0))</f>
        <v/>
      </c>
      <c r="AH3392" s="64">
        <f>IF($A3392="","",IF(AD3392=0,"",IF(OR(COUNTIF(계정대체기준!$A$77:$A$86,$N3392)&gt;0,ISNUMBER(MATCH($X3392,계정대체기준!$D$77:$D$86,0)),ISNUMBER(MATCH($F3392,계정대체기준!$D$77:$D$86,0))),"Y","N")))</f>
        <v/>
      </c>
    </row>
    <row r="3393">
      <c r="A3393" s="92" t="n">
        <v>2026</v>
      </c>
      <c r="B3393" s="92" t="n">
        <v>3</v>
      </c>
      <c r="C3393" s="92" t="inlineStr">
        <is>
          <t>5100000671</t>
        </is>
      </c>
      <c r="D3393" s="95" t="n">
        <v>46107</v>
      </c>
      <c r="E3393" s="92" t="inlineStr">
        <is>
          <t>KR</t>
        </is>
      </c>
      <c r="F3393" s="92" t="n">
        <v>62501000</v>
      </c>
      <c r="G3393" s="92" t="n">
        <v>1602</v>
      </c>
      <c r="H3393" s="93" t="n">
        <v>230000</v>
      </c>
      <c r="I3393" s="92" t="inlineStr">
        <is>
          <t>3월 회의 다과 - (법인카드)</t>
        </is>
      </c>
      <c r="J3393" s="92" t="inlineStr">
        <is>
          <t>V10010</t>
        </is>
      </c>
      <c r="K3393" s="92" t="inlineStr">
        <is>
          <t>(법인카드)</t>
        </is>
      </c>
      <c r="M3393" s="9">
        <f>IF($A3393="","",VALUE($A3393&amp;"")*12+VALUE($B3393&amp;""))</f>
        <v/>
      </c>
      <c r="N3393" s="64">
        <f>IF($A3393="","",IFERROR(INDEX(부서매핑!$C$5:$C$504,MATCH($G3393&amp;"",부서매핑!$A$5:$A$504,0)),"미매핑"))</f>
        <v/>
      </c>
      <c r="O3393" s="9">
        <f>IF($A3393="","",N3393&amp;"|"&amp;$F3393)</f>
        <v/>
      </c>
      <c r="P3393" s="94">
        <f>IF($A3393="",0,$H3393*설정!$C$23)</f>
        <v/>
      </c>
      <c r="Q3393" s="64">
        <f>IF($A3393="","",IF(O3393&lt;&gt;원인분석!$C$9,"",IF(AND(M3393&gt;=원인분석!$C$10,M3393&lt;=원인분석!$C$11),"당기",IF(AND(M3393&gt;=원인분석!$C$12,M3393&lt;=원인분석!$C$13),"비교",""))))</f>
        <v/>
      </c>
      <c r="R3393" s="9">
        <f>IF(Q3393="","",$K3393&amp;"")</f>
        <v/>
      </c>
      <c r="S3393" s="9">
        <f>IF(Q3393="","",IF(MATCH(R3393,$R$5:$R$100000,0)=ROW()-4,ROW(),""))</f>
        <v/>
      </c>
      <c r="T3393" s="9">
        <f>IF(Q3393="당기",ABS(P3393)+ROW()/1000000000,"")</f>
        <v/>
      </c>
      <c r="U3393" s="9">
        <f>IF(Q3393="비교",ABS(P3393)+ROW()/1000000000,"")</f>
        <v/>
      </c>
      <c r="V3393" s="64">
        <f>IF($A3393="","",IF(COUNTIF(변동분석!$E$7:$E$506,O3393)&gt;0,"Y","N"))</f>
        <v/>
      </c>
      <c r="W3393" s="64">
        <f>IF($A3393="","",IFERROR(INDEX(계정매핑!$D$5:$D$504,MATCH($F3393&amp;"",계정매핑!$A$5:$A$504,0)),"미매핑"))</f>
        <v/>
      </c>
      <c r="X3393" s="9">
        <f>IF($A3393="","",$F3393&amp;"")</f>
        <v/>
      </c>
      <c r="Y3393" s="94">
        <f>IF($A3393="",0,IF(AE3393="직접",IF(AF3393="비귀속",$P3393,0),$P3393*(1-AG3393)*IFERROR(INDEX(계정대체기준!$F$20:$F$49,MATCH($N3393,계정대체기준!$A$20:$A$49,0)),1)))</f>
        <v/>
      </c>
      <c r="Z3393" s="94">
        <f>IF($A3393="",0,IF(AE3393="직접",IF(AF3393="신계약비",$P3393,0),$P3393*(1-AG3393)*IFERROR(INDEX(계정대체기준!$C$20:$C$49,MATCH($N3393,계정대체기준!$A$20:$A$49,0)),0)))</f>
        <v/>
      </c>
      <c r="AA3393" s="94">
        <f>IF($A3393="",0,IF(AE3393="직접",IF(OR(AF3393="유지비",AF3393="손해조사비"),$P3393,0),$P3393*(1-AG3393)*IFERROR(INDEX(계정대체기준!$D$20:$D$49,MATCH($N3393,계정대체기준!$A$20:$A$49,0)),0)))</f>
        <v/>
      </c>
      <c r="AB3393" s="94">
        <f>IF($A3393="",0,IF(AE3393="직접",IF(AF3393="수금비",$P3393,0),$P3393*(1-AG3393)*IFERROR(INDEX(계정대체기준!$E$20:$E$49,MATCH($N3393,계정대체기준!$A$20:$A$49,0)),0)))</f>
        <v/>
      </c>
      <c r="AC3393" s="9">
        <f>IF(AND($A3393&lt;&gt;"",M3393=설정!$C$20,Z3393&gt;0),Z3393+ROW()/1000000000,"")</f>
        <v/>
      </c>
      <c r="AD3393" s="94">
        <f>IF($A3393="",0,$P3393*AG3393)</f>
        <v/>
      </c>
      <c r="AE3393" s="64">
        <f>IF($A3393="","",IFERROR(INDEX(계정매핑!$E$5:$E$504,MATCH($F3393&amp;"",계정매핑!$A$5:$A$504,0))&amp;"","공통비"))</f>
        <v/>
      </c>
      <c r="AF3393" s="64">
        <f>IF($A3393="","",IF(AE3393="직접",IFERROR(INDEX(계정매핑!$F$5:$F$504,MATCH($F3393&amp;"",계정매핑!$A$5:$A$504,0))&amp;"","비귀속"),""))</f>
        <v/>
      </c>
      <c r="AG3393" s="96">
        <f>IF($A3393="",0,IF(AND(AE3393&lt;&gt;"직접",IFERROR(INDEX(계정매핑!$G$5:$G$504,MATCH($F3393&amp;"",계정매핑!$A$5:$A$504,0))&amp;"","")="유지비",COUNTIF(계정대체기준!$A$6:$A$15,$N3393)&gt;0),IFERROR(INDEX(계정대체기준!$E$6:$E$15,MATCH(VALUE($A3393&amp;""),계정대체기준!$D$6:$D$15,0)),0),0))</f>
        <v/>
      </c>
      <c r="AH3393" s="64">
        <f>IF($A3393="","",IF(AD3393=0,"",IF(OR(COUNTIF(계정대체기준!$A$77:$A$86,$N3393)&gt;0,ISNUMBER(MATCH($X3393,계정대체기준!$D$77:$D$86,0)),ISNUMBER(MATCH($F3393,계정대체기준!$D$77:$D$86,0))),"Y","N")))</f>
        <v/>
      </c>
    </row>
    <row r="3394">
      <c r="A3394" s="92" t="n">
        <v>2026</v>
      </c>
      <c r="B3394" s="92" t="n">
        <v>3</v>
      </c>
      <c r="C3394" s="92" t="inlineStr">
        <is>
          <t>5100000672</t>
        </is>
      </c>
      <c r="D3394" s="95" t="n">
        <v>46107</v>
      </c>
      <c r="E3394" s="92" t="inlineStr">
        <is>
          <t>KR</t>
        </is>
      </c>
      <c r="F3394" s="92" t="n">
        <v>62701000</v>
      </c>
      <c r="G3394" s="92" t="n">
        <v>1502</v>
      </c>
      <c r="H3394" s="93" t="n">
        <v>40802000</v>
      </c>
      <c r="I3394" s="92" t="inlineStr">
        <is>
          <t>3월 광고 집행 - F애드</t>
        </is>
      </c>
      <c r="J3394" s="92" t="inlineStr">
        <is>
          <t>V10023</t>
        </is>
      </c>
      <c r="K3394" s="92" t="inlineStr">
        <is>
          <t>F애드</t>
        </is>
      </c>
      <c r="M3394" s="9">
        <f>IF($A3394="","",VALUE($A3394&amp;"")*12+VALUE($B3394&amp;""))</f>
        <v/>
      </c>
      <c r="N3394" s="64">
        <f>IF($A3394="","",IFERROR(INDEX(부서매핑!$C$5:$C$504,MATCH($G3394&amp;"",부서매핑!$A$5:$A$504,0)),"미매핑"))</f>
        <v/>
      </c>
      <c r="O3394" s="9">
        <f>IF($A3394="","",N3394&amp;"|"&amp;$F3394)</f>
        <v/>
      </c>
      <c r="P3394" s="94">
        <f>IF($A3394="",0,$H3394*설정!$C$23)</f>
        <v/>
      </c>
      <c r="Q3394" s="64">
        <f>IF($A3394="","",IF(O3394&lt;&gt;원인분석!$C$9,"",IF(AND(M3394&gt;=원인분석!$C$10,M3394&lt;=원인분석!$C$11),"당기",IF(AND(M3394&gt;=원인분석!$C$12,M3394&lt;=원인분석!$C$13),"비교",""))))</f>
        <v/>
      </c>
      <c r="R3394" s="9">
        <f>IF(Q3394="","",$K3394&amp;"")</f>
        <v/>
      </c>
      <c r="S3394" s="9">
        <f>IF(Q3394="","",IF(MATCH(R3394,$R$5:$R$100000,0)=ROW()-4,ROW(),""))</f>
        <v/>
      </c>
      <c r="T3394" s="9">
        <f>IF(Q3394="당기",ABS(P3394)+ROW()/1000000000,"")</f>
        <v/>
      </c>
      <c r="U3394" s="9">
        <f>IF(Q3394="비교",ABS(P3394)+ROW()/1000000000,"")</f>
        <v/>
      </c>
      <c r="V3394" s="64">
        <f>IF($A3394="","",IF(COUNTIF(변동분석!$E$7:$E$506,O3394)&gt;0,"Y","N"))</f>
        <v/>
      </c>
      <c r="W3394" s="64">
        <f>IF($A3394="","",IFERROR(INDEX(계정매핑!$D$5:$D$504,MATCH($F3394&amp;"",계정매핑!$A$5:$A$504,0)),"미매핑"))</f>
        <v/>
      </c>
      <c r="X3394" s="9">
        <f>IF($A3394="","",$F3394&amp;"")</f>
        <v/>
      </c>
      <c r="Y3394" s="94">
        <f>IF($A3394="",0,IF(AE3394="직접",IF(AF3394="비귀속",$P3394,0),$P3394*(1-AG3394)*IFERROR(INDEX(계정대체기준!$F$20:$F$49,MATCH($N3394,계정대체기준!$A$20:$A$49,0)),1)))</f>
        <v/>
      </c>
      <c r="Z3394" s="94">
        <f>IF($A3394="",0,IF(AE3394="직접",IF(AF3394="신계약비",$P3394,0),$P3394*(1-AG3394)*IFERROR(INDEX(계정대체기준!$C$20:$C$49,MATCH($N3394,계정대체기준!$A$20:$A$49,0)),0)))</f>
        <v/>
      </c>
      <c r="AA3394" s="94">
        <f>IF($A3394="",0,IF(AE3394="직접",IF(OR(AF3394="유지비",AF3394="손해조사비"),$P3394,0),$P3394*(1-AG3394)*IFERROR(INDEX(계정대체기준!$D$20:$D$49,MATCH($N3394,계정대체기준!$A$20:$A$49,0)),0)))</f>
        <v/>
      </c>
      <c r="AB3394" s="94">
        <f>IF($A3394="",0,IF(AE3394="직접",IF(AF3394="수금비",$P3394,0),$P3394*(1-AG3394)*IFERROR(INDEX(계정대체기준!$E$20:$E$49,MATCH($N3394,계정대체기준!$A$20:$A$49,0)),0)))</f>
        <v/>
      </c>
      <c r="AC3394" s="9">
        <f>IF(AND($A3394&lt;&gt;"",M3394=설정!$C$20,Z3394&gt;0),Z3394+ROW()/1000000000,"")</f>
        <v/>
      </c>
      <c r="AD3394" s="94">
        <f>IF($A3394="",0,$P3394*AG3394)</f>
        <v/>
      </c>
      <c r="AE3394" s="64">
        <f>IF($A3394="","",IFERROR(INDEX(계정매핑!$E$5:$E$504,MATCH($F3394&amp;"",계정매핑!$A$5:$A$504,0))&amp;"","공통비"))</f>
        <v/>
      </c>
      <c r="AF3394" s="64">
        <f>IF($A3394="","",IF(AE3394="직접",IFERROR(INDEX(계정매핑!$F$5:$F$504,MATCH($F3394&amp;"",계정매핑!$A$5:$A$504,0))&amp;"","비귀속"),""))</f>
        <v/>
      </c>
      <c r="AG3394" s="96">
        <f>IF($A3394="",0,IF(AND(AE3394&lt;&gt;"직접",IFERROR(INDEX(계정매핑!$G$5:$G$504,MATCH($F3394&amp;"",계정매핑!$A$5:$A$504,0))&amp;"","")="유지비",COUNTIF(계정대체기준!$A$6:$A$15,$N3394)&gt;0),IFERROR(INDEX(계정대체기준!$E$6:$E$15,MATCH(VALUE($A3394&amp;""),계정대체기준!$D$6:$D$15,0)),0),0))</f>
        <v/>
      </c>
      <c r="AH3394" s="64">
        <f>IF($A3394="","",IF(AD3394=0,"",IF(OR(COUNTIF(계정대체기준!$A$77:$A$86,$N3394)&gt;0,ISNUMBER(MATCH($X3394,계정대체기준!$D$77:$D$86,0)),ISNUMBER(MATCH($F3394,계정대체기준!$D$77:$D$86,0))),"Y","N")))</f>
        <v/>
      </c>
    </row>
    <row r="3395">
      <c r="A3395" s="92" t="n">
        <v>2026</v>
      </c>
      <c r="B3395" s="92" t="n">
        <v>3</v>
      </c>
      <c r="C3395" s="92" t="inlineStr">
        <is>
          <t>5100000673</t>
        </is>
      </c>
      <c r="D3395" s="95" t="n">
        <v>46107</v>
      </c>
      <c r="E3395" s="92" t="inlineStr">
        <is>
          <t>KR</t>
        </is>
      </c>
      <c r="F3395" s="92" t="n">
        <v>62901000</v>
      </c>
      <c r="G3395" s="92" t="n">
        <v>1951</v>
      </c>
      <c r="H3395" s="93" t="n">
        <v>8530000</v>
      </c>
      <c r="I3395" s="92" t="inlineStr">
        <is>
          <t>3월 자문 수수료 - W컨설팅</t>
        </is>
      </c>
      <c r="J3395" s="92" t="inlineStr">
        <is>
          <t>V10006</t>
        </is>
      </c>
      <c r="K3395" s="92" t="inlineStr">
        <is>
          <t>W컨설팅</t>
        </is>
      </c>
      <c r="M3395" s="9">
        <f>IF($A3395="","",VALUE($A3395&amp;"")*12+VALUE($B3395&amp;""))</f>
        <v/>
      </c>
      <c r="N3395" s="64">
        <f>IF($A3395="","",IFERROR(INDEX(부서매핑!$C$5:$C$504,MATCH($G3395&amp;"",부서매핑!$A$5:$A$504,0)),"미매핑"))</f>
        <v/>
      </c>
      <c r="O3395" s="9">
        <f>IF($A3395="","",N3395&amp;"|"&amp;$F3395)</f>
        <v/>
      </c>
      <c r="P3395" s="94">
        <f>IF($A3395="",0,$H3395*설정!$C$23)</f>
        <v/>
      </c>
      <c r="Q3395" s="64">
        <f>IF($A3395="","",IF(O3395&lt;&gt;원인분석!$C$9,"",IF(AND(M3395&gt;=원인분석!$C$10,M3395&lt;=원인분석!$C$11),"당기",IF(AND(M3395&gt;=원인분석!$C$12,M3395&lt;=원인분석!$C$13),"비교",""))))</f>
        <v/>
      </c>
      <c r="R3395" s="9">
        <f>IF(Q3395="","",$K3395&amp;"")</f>
        <v/>
      </c>
      <c r="S3395" s="9">
        <f>IF(Q3395="","",IF(MATCH(R3395,$R$5:$R$100000,0)=ROW()-4,ROW(),""))</f>
        <v/>
      </c>
      <c r="T3395" s="9">
        <f>IF(Q3395="당기",ABS(P3395)+ROW()/1000000000,"")</f>
        <v/>
      </c>
      <c r="U3395" s="9">
        <f>IF(Q3395="비교",ABS(P3395)+ROW()/1000000000,"")</f>
        <v/>
      </c>
      <c r="V3395" s="64">
        <f>IF($A3395="","",IF(COUNTIF(변동분석!$E$7:$E$506,O3395)&gt;0,"Y","N"))</f>
        <v/>
      </c>
      <c r="W3395" s="64">
        <f>IF($A3395="","",IFERROR(INDEX(계정매핑!$D$5:$D$504,MATCH($F3395&amp;"",계정매핑!$A$5:$A$504,0)),"미매핑"))</f>
        <v/>
      </c>
      <c r="X3395" s="9">
        <f>IF($A3395="","",$F3395&amp;"")</f>
        <v/>
      </c>
      <c r="Y3395" s="94">
        <f>IF($A3395="",0,IF(AE3395="직접",IF(AF3395="비귀속",$P3395,0),$P3395*(1-AG3395)*IFERROR(INDEX(계정대체기준!$F$20:$F$49,MATCH($N3395,계정대체기준!$A$20:$A$49,0)),1)))</f>
        <v/>
      </c>
      <c r="Z3395" s="94">
        <f>IF($A3395="",0,IF(AE3395="직접",IF(AF3395="신계약비",$P3395,0),$P3395*(1-AG3395)*IFERROR(INDEX(계정대체기준!$C$20:$C$49,MATCH($N3395,계정대체기준!$A$20:$A$49,0)),0)))</f>
        <v/>
      </c>
      <c r="AA3395" s="94">
        <f>IF($A3395="",0,IF(AE3395="직접",IF(OR(AF3395="유지비",AF3395="손해조사비"),$P3395,0),$P3395*(1-AG3395)*IFERROR(INDEX(계정대체기준!$D$20:$D$49,MATCH($N3395,계정대체기준!$A$20:$A$49,0)),0)))</f>
        <v/>
      </c>
      <c r="AB3395" s="94">
        <f>IF($A3395="",0,IF(AE3395="직접",IF(AF3395="수금비",$P3395,0),$P3395*(1-AG3395)*IFERROR(INDEX(계정대체기준!$E$20:$E$49,MATCH($N3395,계정대체기준!$A$20:$A$49,0)),0)))</f>
        <v/>
      </c>
      <c r="AC3395" s="9">
        <f>IF(AND($A3395&lt;&gt;"",M3395=설정!$C$20,Z3395&gt;0),Z3395+ROW()/1000000000,"")</f>
        <v/>
      </c>
      <c r="AD3395" s="94">
        <f>IF($A3395="",0,$P3395*AG3395)</f>
        <v/>
      </c>
      <c r="AE3395" s="64">
        <f>IF($A3395="","",IFERROR(INDEX(계정매핑!$E$5:$E$504,MATCH($F3395&amp;"",계정매핑!$A$5:$A$504,0))&amp;"","공통비"))</f>
        <v/>
      </c>
      <c r="AF3395" s="64">
        <f>IF($A3395="","",IF(AE3395="직접",IFERROR(INDEX(계정매핑!$F$5:$F$504,MATCH($F3395&amp;"",계정매핑!$A$5:$A$504,0))&amp;"","비귀속"),""))</f>
        <v/>
      </c>
      <c r="AG3395" s="96">
        <f>IF($A3395="",0,IF(AND(AE3395&lt;&gt;"직접",IFERROR(INDEX(계정매핑!$G$5:$G$504,MATCH($F3395&amp;"",계정매핑!$A$5:$A$504,0))&amp;"","")="유지비",COUNTIF(계정대체기준!$A$6:$A$15,$N3395)&gt;0),IFERROR(INDEX(계정대체기준!$E$6:$E$15,MATCH(VALUE($A3395&amp;""),계정대체기준!$D$6:$D$15,0)),0),0))</f>
        <v/>
      </c>
      <c r="AH3395" s="64">
        <f>IF($A3395="","",IF(AD3395=0,"",IF(OR(COUNTIF(계정대체기준!$A$77:$A$86,$N3395)&gt;0,ISNUMBER(MATCH($X3395,계정대체기준!$D$77:$D$86,0)),ISNUMBER(MATCH($F3395,계정대체기준!$D$77:$D$86,0))),"Y","N")))</f>
        <v/>
      </c>
    </row>
    <row r="3396">
      <c r="A3396" s="92" t="n">
        <v>2026</v>
      </c>
      <c r="B3396" s="92" t="n">
        <v>3</v>
      </c>
      <c r="C3396" s="92" t="inlineStr">
        <is>
          <t>5100000674</t>
        </is>
      </c>
      <c r="D3396" s="95" t="n">
        <v>46107</v>
      </c>
      <c r="E3396" s="92" t="inlineStr">
        <is>
          <t>KR</t>
        </is>
      </c>
      <c r="F3396" s="92" t="n">
        <v>63002000</v>
      </c>
      <c r="G3396" s="92" t="n">
        <v>1951</v>
      </c>
      <c r="H3396" s="93" t="n">
        <v>8298000</v>
      </c>
      <c r="I3396" s="92" t="inlineStr">
        <is>
          <t>3월 클라우드 사용료 - C클라우드</t>
        </is>
      </c>
      <c r="J3396" s="92" t="inlineStr">
        <is>
          <t>V10026</t>
        </is>
      </c>
      <c r="K3396" s="92" t="inlineStr">
        <is>
          <t>C클라우드</t>
        </is>
      </c>
      <c r="M3396" s="9">
        <f>IF($A3396="","",VALUE($A3396&amp;"")*12+VALUE($B3396&amp;""))</f>
        <v/>
      </c>
      <c r="N3396" s="64">
        <f>IF($A3396="","",IFERROR(INDEX(부서매핑!$C$5:$C$504,MATCH($G3396&amp;"",부서매핑!$A$5:$A$504,0)),"미매핑"))</f>
        <v/>
      </c>
      <c r="O3396" s="9">
        <f>IF($A3396="","",N3396&amp;"|"&amp;$F3396)</f>
        <v/>
      </c>
      <c r="P3396" s="94">
        <f>IF($A3396="",0,$H3396*설정!$C$23)</f>
        <v/>
      </c>
      <c r="Q3396" s="64">
        <f>IF($A3396="","",IF(O3396&lt;&gt;원인분석!$C$9,"",IF(AND(M3396&gt;=원인분석!$C$10,M3396&lt;=원인분석!$C$11),"당기",IF(AND(M3396&gt;=원인분석!$C$12,M3396&lt;=원인분석!$C$13),"비교",""))))</f>
        <v/>
      </c>
      <c r="R3396" s="9">
        <f>IF(Q3396="","",$K3396&amp;"")</f>
        <v/>
      </c>
      <c r="S3396" s="9">
        <f>IF(Q3396="","",IF(MATCH(R3396,$R$5:$R$100000,0)=ROW()-4,ROW(),""))</f>
        <v/>
      </c>
      <c r="T3396" s="9">
        <f>IF(Q3396="당기",ABS(P3396)+ROW()/1000000000,"")</f>
        <v/>
      </c>
      <c r="U3396" s="9">
        <f>IF(Q3396="비교",ABS(P3396)+ROW()/1000000000,"")</f>
        <v/>
      </c>
      <c r="V3396" s="64">
        <f>IF($A3396="","",IF(COUNTIF(변동분석!$E$7:$E$506,O3396)&gt;0,"Y","N"))</f>
        <v/>
      </c>
      <c r="W3396" s="64">
        <f>IF($A3396="","",IFERROR(INDEX(계정매핑!$D$5:$D$504,MATCH($F3396&amp;"",계정매핑!$A$5:$A$504,0)),"미매핑"))</f>
        <v/>
      </c>
      <c r="X3396" s="9">
        <f>IF($A3396="","",$F3396&amp;"")</f>
        <v/>
      </c>
      <c r="Y3396" s="94">
        <f>IF($A3396="",0,IF(AE3396="직접",IF(AF3396="비귀속",$P3396,0),$P3396*(1-AG3396)*IFERROR(INDEX(계정대체기준!$F$20:$F$49,MATCH($N3396,계정대체기준!$A$20:$A$49,0)),1)))</f>
        <v/>
      </c>
      <c r="Z3396" s="94">
        <f>IF($A3396="",0,IF(AE3396="직접",IF(AF3396="신계약비",$P3396,0),$P3396*(1-AG3396)*IFERROR(INDEX(계정대체기준!$C$20:$C$49,MATCH($N3396,계정대체기준!$A$20:$A$49,0)),0)))</f>
        <v/>
      </c>
      <c r="AA3396" s="94">
        <f>IF($A3396="",0,IF(AE3396="직접",IF(OR(AF3396="유지비",AF3396="손해조사비"),$P3396,0),$P3396*(1-AG3396)*IFERROR(INDEX(계정대체기준!$D$20:$D$49,MATCH($N3396,계정대체기준!$A$20:$A$49,0)),0)))</f>
        <v/>
      </c>
      <c r="AB3396" s="94">
        <f>IF($A3396="",0,IF(AE3396="직접",IF(AF3396="수금비",$P3396,0),$P3396*(1-AG3396)*IFERROR(INDEX(계정대체기준!$E$20:$E$49,MATCH($N3396,계정대체기준!$A$20:$A$49,0)),0)))</f>
        <v/>
      </c>
      <c r="AC3396" s="9">
        <f>IF(AND($A3396&lt;&gt;"",M3396=설정!$C$20,Z3396&gt;0),Z3396+ROW()/1000000000,"")</f>
        <v/>
      </c>
      <c r="AD3396" s="94">
        <f>IF($A3396="",0,$P3396*AG3396)</f>
        <v/>
      </c>
      <c r="AE3396" s="64">
        <f>IF($A3396="","",IFERROR(INDEX(계정매핑!$E$5:$E$504,MATCH($F3396&amp;"",계정매핑!$A$5:$A$504,0))&amp;"","공통비"))</f>
        <v/>
      </c>
      <c r="AF3396" s="64">
        <f>IF($A3396="","",IF(AE3396="직접",IFERROR(INDEX(계정매핑!$F$5:$F$504,MATCH($F3396&amp;"",계정매핑!$A$5:$A$504,0))&amp;"","비귀속"),""))</f>
        <v/>
      </c>
      <c r="AG3396" s="96">
        <f>IF($A3396="",0,IF(AND(AE3396&lt;&gt;"직접",IFERROR(INDEX(계정매핑!$G$5:$G$504,MATCH($F3396&amp;"",계정매핑!$A$5:$A$504,0))&amp;"","")="유지비",COUNTIF(계정대체기준!$A$6:$A$15,$N3396)&gt;0),IFERROR(INDEX(계정대체기준!$E$6:$E$15,MATCH(VALUE($A3396&amp;""),계정대체기준!$D$6:$D$15,0)),0),0))</f>
        <v/>
      </c>
      <c r="AH3396" s="64">
        <f>IF($A3396="","",IF(AD3396=0,"",IF(OR(COUNTIF(계정대체기준!$A$77:$A$86,$N3396)&gt;0,ISNUMBER(MATCH($X3396,계정대체기준!$D$77:$D$86,0)),ISNUMBER(MATCH($F3396,계정대체기준!$D$77:$D$86,0))),"Y","N")))</f>
        <v/>
      </c>
    </row>
    <row r="3397">
      <c r="A3397" s="92" t="n">
        <v>2026</v>
      </c>
      <c r="B3397" s="92" t="n">
        <v>3</v>
      </c>
      <c r="C3397" s="92" t="inlineStr">
        <is>
          <t>5100000675</t>
        </is>
      </c>
      <c r="D3397" s="95" t="n">
        <v>46108</v>
      </c>
      <c r="E3397" s="92" t="inlineStr">
        <is>
          <t>KR</t>
        </is>
      </c>
      <c r="F3397" s="92" t="n">
        <v>62101000</v>
      </c>
      <c r="G3397" s="92" t="n">
        <v>1101</v>
      </c>
      <c r="H3397" s="93" t="n">
        <v>701000</v>
      </c>
      <c r="I3397" s="92" t="inlineStr">
        <is>
          <t>3월 국내출장 - (법인카드)</t>
        </is>
      </c>
      <c r="J3397" s="92" t="inlineStr">
        <is>
          <t>V10010</t>
        </is>
      </c>
      <c r="K3397" s="92" t="inlineStr">
        <is>
          <t>(법인카드)</t>
        </is>
      </c>
      <c r="M3397" s="9">
        <f>IF($A3397="","",VALUE($A3397&amp;"")*12+VALUE($B3397&amp;""))</f>
        <v/>
      </c>
      <c r="N3397" s="64">
        <f>IF($A3397="","",IFERROR(INDEX(부서매핑!$C$5:$C$504,MATCH($G3397&amp;"",부서매핑!$A$5:$A$504,0)),"미매핑"))</f>
        <v/>
      </c>
      <c r="O3397" s="9">
        <f>IF($A3397="","",N3397&amp;"|"&amp;$F3397)</f>
        <v/>
      </c>
      <c r="P3397" s="94">
        <f>IF($A3397="",0,$H3397*설정!$C$23)</f>
        <v/>
      </c>
      <c r="Q3397" s="64">
        <f>IF($A3397="","",IF(O3397&lt;&gt;원인분석!$C$9,"",IF(AND(M3397&gt;=원인분석!$C$10,M3397&lt;=원인분석!$C$11),"당기",IF(AND(M3397&gt;=원인분석!$C$12,M3397&lt;=원인분석!$C$13),"비교",""))))</f>
        <v/>
      </c>
      <c r="R3397" s="9">
        <f>IF(Q3397="","",$K3397&amp;"")</f>
        <v/>
      </c>
      <c r="S3397" s="9">
        <f>IF(Q3397="","",IF(MATCH(R3397,$R$5:$R$100000,0)=ROW()-4,ROW(),""))</f>
        <v/>
      </c>
      <c r="T3397" s="9">
        <f>IF(Q3397="당기",ABS(P3397)+ROW()/1000000000,"")</f>
        <v/>
      </c>
      <c r="U3397" s="9">
        <f>IF(Q3397="비교",ABS(P3397)+ROW()/1000000000,"")</f>
        <v/>
      </c>
      <c r="V3397" s="64">
        <f>IF($A3397="","",IF(COUNTIF(변동분석!$E$7:$E$506,O3397)&gt;0,"Y","N"))</f>
        <v/>
      </c>
      <c r="W3397" s="64">
        <f>IF($A3397="","",IFERROR(INDEX(계정매핑!$D$5:$D$504,MATCH($F3397&amp;"",계정매핑!$A$5:$A$504,0)),"미매핑"))</f>
        <v/>
      </c>
      <c r="X3397" s="9">
        <f>IF($A3397="","",$F3397&amp;"")</f>
        <v/>
      </c>
      <c r="Y3397" s="94">
        <f>IF($A3397="",0,IF(AE3397="직접",IF(AF3397="비귀속",$P3397,0),$P3397*(1-AG3397)*IFERROR(INDEX(계정대체기준!$F$20:$F$49,MATCH($N3397,계정대체기준!$A$20:$A$49,0)),1)))</f>
        <v/>
      </c>
      <c r="Z3397" s="94">
        <f>IF($A3397="",0,IF(AE3397="직접",IF(AF3397="신계약비",$P3397,0),$P3397*(1-AG3397)*IFERROR(INDEX(계정대체기준!$C$20:$C$49,MATCH($N3397,계정대체기준!$A$20:$A$49,0)),0)))</f>
        <v/>
      </c>
      <c r="AA3397" s="94">
        <f>IF($A3397="",0,IF(AE3397="직접",IF(OR(AF3397="유지비",AF3397="손해조사비"),$P3397,0),$P3397*(1-AG3397)*IFERROR(INDEX(계정대체기준!$D$20:$D$49,MATCH($N3397,계정대체기준!$A$20:$A$49,0)),0)))</f>
        <v/>
      </c>
      <c r="AB3397" s="94">
        <f>IF($A3397="",0,IF(AE3397="직접",IF(AF3397="수금비",$P3397,0),$P3397*(1-AG3397)*IFERROR(INDEX(계정대체기준!$E$20:$E$49,MATCH($N3397,계정대체기준!$A$20:$A$49,0)),0)))</f>
        <v/>
      </c>
      <c r="AC3397" s="9">
        <f>IF(AND($A3397&lt;&gt;"",M3397=설정!$C$20,Z3397&gt;0),Z3397+ROW()/1000000000,"")</f>
        <v/>
      </c>
      <c r="AD3397" s="94">
        <f>IF($A3397="",0,$P3397*AG3397)</f>
        <v/>
      </c>
      <c r="AE3397" s="64">
        <f>IF($A3397="","",IFERROR(INDEX(계정매핑!$E$5:$E$504,MATCH($F3397&amp;"",계정매핑!$A$5:$A$504,0))&amp;"","공통비"))</f>
        <v/>
      </c>
      <c r="AF3397" s="64">
        <f>IF($A3397="","",IF(AE3397="직접",IFERROR(INDEX(계정매핑!$F$5:$F$504,MATCH($F3397&amp;"",계정매핑!$A$5:$A$504,0))&amp;"","비귀속"),""))</f>
        <v/>
      </c>
      <c r="AG3397" s="96">
        <f>IF($A3397="",0,IF(AND(AE3397&lt;&gt;"직접",IFERROR(INDEX(계정매핑!$G$5:$G$504,MATCH($F3397&amp;"",계정매핑!$A$5:$A$504,0))&amp;"","")="유지비",COUNTIF(계정대체기준!$A$6:$A$15,$N3397)&gt;0),IFERROR(INDEX(계정대체기준!$E$6:$E$15,MATCH(VALUE($A3397&amp;""),계정대체기준!$D$6:$D$15,0)),0),0))</f>
        <v/>
      </c>
      <c r="AH3397" s="64">
        <f>IF($A3397="","",IF(AD3397=0,"",IF(OR(COUNTIF(계정대체기준!$A$77:$A$86,$N3397)&gt;0,ISNUMBER(MATCH($X3397,계정대체기준!$D$77:$D$86,0)),ISNUMBER(MATCH($F3397,계정대체기준!$D$77:$D$86,0))),"Y","N")))</f>
        <v/>
      </c>
    </row>
    <row r="3398">
      <c r="A3398" s="92" t="n">
        <v>2026</v>
      </c>
      <c r="B3398" s="92" t="n">
        <v>3</v>
      </c>
      <c r="C3398" s="92" t="inlineStr">
        <is>
          <t>5100000676</t>
        </is>
      </c>
      <c r="D3398" s="95" t="n">
        <v>46108</v>
      </c>
      <c r="E3398" s="92" t="inlineStr">
        <is>
          <t>KR</t>
        </is>
      </c>
      <c r="F3398" s="92" t="n">
        <v>62101000</v>
      </c>
      <c r="G3398" s="92" t="n">
        <v>1401</v>
      </c>
      <c r="H3398" s="93" t="n">
        <v>216000</v>
      </c>
      <c r="I3398" s="92" t="inlineStr">
        <is>
          <t>3월 국내출장 - (법인카드)</t>
        </is>
      </c>
      <c r="J3398" s="92" t="inlineStr">
        <is>
          <t>V10010</t>
        </is>
      </c>
      <c r="K3398" s="92" t="inlineStr">
        <is>
          <t>(법인카드)</t>
        </is>
      </c>
      <c r="M3398" s="9">
        <f>IF($A3398="","",VALUE($A3398&amp;"")*12+VALUE($B3398&amp;""))</f>
        <v/>
      </c>
      <c r="N3398" s="64">
        <f>IF($A3398="","",IFERROR(INDEX(부서매핑!$C$5:$C$504,MATCH($G3398&amp;"",부서매핑!$A$5:$A$504,0)),"미매핑"))</f>
        <v/>
      </c>
      <c r="O3398" s="9">
        <f>IF($A3398="","",N3398&amp;"|"&amp;$F3398)</f>
        <v/>
      </c>
      <c r="P3398" s="94">
        <f>IF($A3398="",0,$H3398*설정!$C$23)</f>
        <v/>
      </c>
      <c r="Q3398" s="64">
        <f>IF($A3398="","",IF(O3398&lt;&gt;원인분석!$C$9,"",IF(AND(M3398&gt;=원인분석!$C$10,M3398&lt;=원인분석!$C$11),"당기",IF(AND(M3398&gt;=원인분석!$C$12,M3398&lt;=원인분석!$C$13),"비교",""))))</f>
        <v/>
      </c>
      <c r="R3398" s="9">
        <f>IF(Q3398="","",$K3398&amp;"")</f>
        <v/>
      </c>
      <c r="S3398" s="9">
        <f>IF(Q3398="","",IF(MATCH(R3398,$R$5:$R$100000,0)=ROW()-4,ROW(),""))</f>
        <v/>
      </c>
      <c r="T3398" s="9">
        <f>IF(Q3398="당기",ABS(P3398)+ROW()/1000000000,"")</f>
        <v/>
      </c>
      <c r="U3398" s="9">
        <f>IF(Q3398="비교",ABS(P3398)+ROW()/1000000000,"")</f>
        <v/>
      </c>
      <c r="V3398" s="64">
        <f>IF($A3398="","",IF(COUNTIF(변동분석!$E$7:$E$506,O3398)&gt;0,"Y","N"))</f>
        <v/>
      </c>
      <c r="W3398" s="64">
        <f>IF($A3398="","",IFERROR(INDEX(계정매핑!$D$5:$D$504,MATCH($F3398&amp;"",계정매핑!$A$5:$A$504,0)),"미매핑"))</f>
        <v/>
      </c>
      <c r="X3398" s="9">
        <f>IF($A3398="","",$F3398&amp;"")</f>
        <v/>
      </c>
      <c r="Y3398" s="94">
        <f>IF($A3398="",0,IF(AE3398="직접",IF(AF3398="비귀속",$P3398,0),$P3398*(1-AG3398)*IFERROR(INDEX(계정대체기준!$F$20:$F$49,MATCH($N3398,계정대체기준!$A$20:$A$49,0)),1)))</f>
        <v/>
      </c>
      <c r="Z3398" s="94">
        <f>IF($A3398="",0,IF(AE3398="직접",IF(AF3398="신계약비",$P3398,0),$P3398*(1-AG3398)*IFERROR(INDEX(계정대체기준!$C$20:$C$49,MATCH($N3398,계정대체기준!$A$20:$A$49,0)),0)))</f>
        <v/>
      </c>
      <c r="AA3398" s="94">
        <f>IF($A3398="",0,IF(AE3398="직접",IF(OR(AF3398="유지비",AF3398="손해조사비"),$P3398,0),$P3398*(1-AG3398)*IFERROR(INDEX(계정대체기준!$D$20:$D$49,MATCH($N3398,계정대체기준!$A$20:$A$49,0)),0)))</f>
        <v/>
      </c>
      <c r="AB3398" s="94">
        <f>IF($A3398="",0,IF(AE3398="직접",IF(AF3398="수금비",$P3398,0),$P3398*(1-AG3398)*IFERROR(INDEX(계정대체기준!$E$20:$E$49,MATCH($N3398,계정대체기준!$A$20:$A$49,0)),0)))</f>
        <v/>
      </c>
      <c r="AC3398" s="9">
        <f>IF(AND($A3398&lt;&gt;"",M3398=설정!$C$20,Z3398&gt;0),Z3398+ROW()/1000000000,"")</f>
        <v/>
      </c>
      <c r="AD3398" s="94">
        <f>IF($A3398="",0,$P3398*AG3398)</f>
        <v/>
      </c>
      <c r="AE3398" s="64">
        <f>IF($A3398="","",IFERROR(INDEX(계정매핑!$E$5:$E$504,MATCH($F3398&amp;"",계정매핑!$A$5:$A$504,0))&amp;"","공통비"))</f>
        <v/>
      </c>
      <c r="AF3398" s="64">
        <f>IF($A3398="","",IF(AE3398="직접",IFERROR(INDEX(계정매핑!$F$5:$F$504,MATCH($F3398&amp;"",계정매핑!$A$5:$A$504,0))&amp;"","비귀속"),""))</f>
        <v/>
      </c>
      <c r="AG3398" s="96">
        <f>IF($A3398="",0,IF(AND(AE3398&lt;&gt;"직접",IFERROR(INDEX(계정매핑!$G$5:$G$504,MATCH($F3398&amp;"",계정매핑!$A$5:$A$504,0))&amp;"","")="유지비",COUNTIF(계정대체기준!$A$6:$A$15,$N3398)&gt;0),IFERROR(INDEX(계정대체기준!$E$6:$E$15,MATCH(VALUE($A3398&amp;""),계정대체기준!$D$6:$D$15,0)),0),0))</f>
        <v/>
      </c>
      <c r="AH3398" s="64">
        <f>IF($A3398="","",IF(AD3398=0,"",IF(OR(COUNTIF(계정대체기준!$A$77:$A$86,$N3398)&gt;0,ISNUMBER(MATCH($X3398,계정대체기준!$D$77:$D$86,0)),ISNUMBER(MATCH($F3398,계정대체기준!$D$77:$D$86,0))),"Y","N")))</f>
        <v/>
      </c>
    </row>
    <row r="3399">
      <c r="A3399" s="92" t="n">
        <v>2026</v>
      </c>
      <c r="B3399" s="92" t="n">
        <v>3</v>
      </c>
      <c r="C3399" s="92" t="inlineStr">
        <is>
          <t>5100000677</t>
        </is>
      </c>
      <c r="D3399" s="95" t="n">
        <v>46108</v>
      </c>
      <c r="E3399" s="92" t="inlineStr">
        <is>
          <t>KR</t>
        </is>
      </c>
      <c r="F3399" s="92" t="n">
        <v>62102000</v>
      </c>
      <c r="G3399" s="92" t="n">
        <v>1601</v>
      </c>
      <c r="H3399" s="93" t="n">
        <v>338000</v>
      </c>
      <c r="I3399" s="92" t="inlineStr">
        <is>
          <t>3월 해외출장 - N호텔</t>
        </is>
      </c>
      <c r="J3399" s="92" t="inlineStr">
        <is>
          <t>V10009</t>
        </is>
      </c>
      <c r="K3399" s="92" t="inlineStr">
        <is>
          <t>N호텔</t>
        </is>
      </c>
      <c r="M3399" s="9">
        <f>IF($A3399="","",VALUE($A3399&amp;"")*12+VALUE($B3399&amp;""))</f>
        <v/>
      </c>
      <c r="N3399" s="64">
        <f>IF($A3399="","",IFERROR(INDEX(부서매핑!$C$5:$C$504,MATCH($G3399&amp;"",부서매핑!$A$5:$A$504,0)),"미매핑"))</f>
        <v/>
      </c>
      <c r="O3399" s="9">
        <f>IF($A3399="","",N3399&amp;"|"&amp;$F3399)</f>
        <v/>
      </c>
      <c r="P3399" s="94">
        <f>IF($A3399="",0,$H3399*설정!$C$23)</f>
        <v/>
      </c>
      <c r="Q3399" s="64">
        <f>IF($A3399="","",IF(O3399&lt;&gt;원인분석!$C$9,"",IF(AND(M3399&gt;=원인분석!$C$10,M3399&lt;=원인분석!$C$11),"당기",IF(AND(M3399&gt;=원인분석!$C$12,M3399&lt;=원인분석!$C$13),"비교",""))))</f>
        <v/>
      </c>
      <c r="R3399" s="9">
        <f>IF(Q3399="","",$K3399&amp;"")</f>
        <v/>
      </c>
      <c r="S3399" s="9">
        <f>IF(Q3399="","",IF(MATCH(R3399,$R$5:$R$100000,0)=ROW()-4,ROW(),""))</f>
        <v/>
      </c>
      <c r="T3399" s="9">
        <f>IF(Q3399="당기",ABS(P3399)+ROW()/1000000000,"")</f>
        <v/>
      </c>
      <c r="U3399" s="9">
        <f>IF(Q3399="비교",ABS(P3399)+ROW()/1000000000,"")</f>
        <v/>
      </c>
      <c r="V3399" s="64">
        <f>IF($A3399="","",IF(COUNTIF(변동분석!$E$7:$E$506,O3399)&gt;0,"Y","N"))</f>
        <v/>
      </c>
      <c r="W3399" s="64">
        <f>IF($A3399="","",IFERROR(INDEX(계정매핑!$D$5:$D$504,MATCH($F3399&amp;"",계정매핑!$A$5:$A$504,0)),"미매핑"))</f>
        <v/>
      </c>
      <c r="X3399" s="9">
        <f>IF($A3399="","",$F3399&amp;"")</f>
        <v/>
      </c>
      <c r="Y3399" s="94">
        <f>IF($A3399="",0,IF(AE3399="직접",IF(AF3399="비귀속",$P3399,0),$P3399*(1-AG3399)*IFERROR(INDEX(계정대체기준!$F$20:$F$49,MATCH($N3399,계정대체기준!$A$20:$A$49,0)),1)))</f>
        <v/>
      </c>
      <c r="Z3399" s="94">
        <f>IF($A3399="",0,IF(AE3399="직접",IF(AF3399="신계약비",$P3399,0),$P3399*(1-AG3399)*IFERROR(INDEX(계정대체기준!$C$20:$C$49,MATCH($N3399,계정대체기준!$A$20:$A$49,0)),0)))</f>
        <v/>
      </c>
      <c r="AA3399" s="94">
        <f>IF($A3399="",0,IF(AE3399="직접",IF(OR(AF3399="유지비",AF3399="손해조사비"),$P3399,0),$P3399*(1-AG3399)*IFERROR(INDEX(계정대체기준!$D$20:$D$49,MATCH($N3399,계정대체기준!$A$20:$A$49,0)),0)))</f>
        <v/>
      </c>
      <c r="AB3399" s="94">
        <f>IF($A3399="",0,IF(AE3399="직접",IF(AF3399="수금비",$P3399,0),$P3399*(1-AG3399)*IFERROR(INDEX(계정대체기준!$E$20:$E$49,MATCH($N3399,계정대체기준!$A$20:$A$49,0)),0)))</f>
        <v/>
      </c>
      <c r="AC3399" s="9">
        <f>IF(AND($A3399&lt;&gt;"",M3399=설정!$C$20,Z3399&gt;0),Z3399+ROW()/1000000000,"")</f>
        <v/>
      </c>
      <c r="AD3399" s="94">
        <f>IF($A3399="",0,$P3399*AG3399)</f>
        <v/>
      </c>
      <c r="AE3399" s="64">
        <f>IF($A3399="","",IFERROR(INDEX(계정매핑!$E$5:$E$504,MATCH($F3399&amp;"",계정매핑!$A$5:$A$504,0))&amp;"","공통비"))</f>
        <v/>
      </c>
      <c r="AF3399" s="64">
        <f>IF($A3399="","",IF(AE3399="직접",IFERROR(INDEX(계정매핑!$F$5:$F$504,MATCH($F3399&amp;"",계정매핑!$A$5:$A$504,0))&amp;"","비귀속"),""))</f>
        <v/>
      </c>
      <c r="AG3399" s="96">
        <f>IF($A3399="",0,IF(AND(AE3399&lt;&gt;"직접",IFERROR(INDEX(계정매핑!$G$5:$G$504,MATCH($F3399&amp;"",계정매핑!$A$5:$A$504,0))&amp;"","")="유지비",COUNTIF(계정대체기준!$A$6:$A$15,$N3399)&gt;0),IFERROR(INDEX(계정대체기준!$E$6:$E$15,MATCH(VALUE($A3399&amp;""),계정대체기준!$D$6:$D$15,0)),0),0))</f>
        <v/>
      </c>
      <c r="AH3399" s="64">
        <f>IF($A3399="","",IF(AD3399=0,"",IF(OR(COUNTIF(계정대체기준!$A$77:$A$86,$N3399)&gt;0,ISNUMBER(MATCH($X3399,계정대체기준!$D$77:$D$86,0)),ISNUMBER(MATCH($F3399,계정대체기준!$D$77:$D$86,0))),"Y","N")))</f>
        <v/>
      </c>
    </row>
    <row r="3400">
      <c r="A3400" s="92" t="n">
        <v>2026</v>
      </c>
      <c r="B3400" s="92" t="n">
        <v>3</v>
      </c>
      <c r="C3400" s="92" t="inlineStr">
        <is>
          <t>5100000678</t>
        </is>
      </c>
      <c r="D3400" s="95" t="n">
        <v>46108</v>
      </c>
      <c r="E3400" s="92" t="inlineStr">
        <is>
          <t>KR</t>
        </is>
      </c>
      <c r="F3400" s="92" t="n">
        <v>62401000</v>
      </c>
      <c r="G3400" s="92" t="n">
        <v>1401</v>
      </c>
      <c r="H3400" s="93" t="n">
        <v>240000</v>
      </c>
      <c r="I3400" s="92" t="inlineStr">
        <is>
          <t>3월 인쇄물 제작 - S출판</t>
        </is>
      </c>
      <c r="J3400" s="92" t="inlineStr">
        <is>
          <t>V10015</t>
        </is>
      </c>
      <c r="K3400" s="92" t="inlineStr">
        <is>
          <t>S출판</t>
        </is>
      </c>
      <c r="M3400" s="9">
        <f>IF($A3400="","",VALUE($A3400&amp;"")*12+VALUE($B3400&amp;""))</f>
        <v/>
      </c>
      <c r="N3400" s="64">
        <f>IF($A3400="","",IFERROR(INDEX(부서매핑!$C$5:$C$504,MATCH($G3400&amp;"",부서매핑!$A$5:$A$504,0)),"미매핑"))</f>
        <v/>
      </c>
      <c r="O3400" s="9">
        <f>IF($A3400="","",N3400&amp;"|"&amp;$F3400)</f>
        <v/>
      </c>
      <c r="P3400" s="94">
        <f>IF($A3400="",0,$H3400*설정!$C$23)</f>
        <v/>
      </c>
      <c r="Q3400" s="64">
        <f>IF($A3400="","",IF(O3400&lt;&gt;원인분석!$C$9,"",IF(AND(M3400&gt;=원인분석!$C$10,M3400&lt;=원인분석!$C$11),"당기",IF(AND(M3400&gt;=원인분석!$C$12,M3400&lt;=원인분석!$C$13),"비교",""))))</f>
        <v/>
      </c>
      <c r="R3400" s="9">
        <f>IF(Q3400="","",$K3400&amp;"")</f>
        <v/>
      </c>
      <c r="S3400" s="9">
        <f>IF(Q3400="","",IF(MATCH(R3400,$R$5:$R$100000,0)=ROW()-4,ROW(),""))</f>
        <v/>
      </c>
      <c r="T3400" s="9">
        <f>IF(Q3400="당기",ABS(P3400)+ROW()/1000000000,"")</f>
        <v/>
      </c>
      <c r="U3400" s="9">
        <f>IF(Q3400="비교",ABS(P3400)+ROW()/1000000000,"")</f>
        <v/>
      </c>
      <c r="V3400" s="64">
        <f>IF($A3400="","",IF(COUNTIF(변동분석!$E$7:$E$506,O3400)&gt;0,"Y","N"))</f>
        <v/>
      </c>
      <c r="W3400" s="64">
        <f>IF($A3400="","",IFERROR(INDEX(계정매핑!$D$5:$D$504,MATCH($F3400&amp;"",계정매핑!$A$5:$A$504,0)),"미매핑"))</f>
        <v/>
      </c>
      <c r="X3400" s="9">
        <f>IF($A3400="","",$F3400&amp;"")</f>
        <v/>
      </c>
      <c r="Y3400" s="94">
        <f>IF($A3400="",0,IF(AE3400="직접",IF(AF3400="비귀속",$P3400,0),$P3400*(1-AG3400)*IFERROR(INDEX(계정대체기준!$F$20:$F$49,MATCH($N3400,계정대체기준!$A$20:$A$49,0)),1)))</f>
        <v/>
      </c>
      <c r="Z3400" s="94">
        <f>IF($A3400="",0,IF(AE3400="직접",IF(AF3400="신계약비",$P3400,0),$P3400*(1-AG3400)*IFERROR(INDEX(계정대체기준!$C$20:$C$49,MATCH($N3400,계정대체기준!$A$20:$A$49,0)),0)))</f>
        <v/>
      </c>
      <c r="AA3400" s="94">
        <f>IF($A3400="",0,IF(AE3400="직접",IF(OR(AF3400="유지비",AF3400="손해조사비"),$P3400,0),$P3400*(1-AG3400)*IFERROR(INDEX(계정대체기준!$D$20:$D$49,MATCH($N3400,계정대체기준!$A$20:$A$49,0)),0)))</f>
        <v/>
      </c>
      <c r="AB3400" s="94">
        <f>IF($A3400="",0,IF(AE3400="직접",IF(AF3400="수금비",$P3400,0),$P3400*(1-AG3400)*IFERROR(INDEX(계정대체기준!$E$20:$E$49,MATCH($N3400,계정대체기준!$A$20:$A$49,0)),0)))</f>
        <v/>
      </c>
      <c r="AC3400" s="9">
        <f>IF(AND($A3400&lt;&gt;"",M3400=설정!$C$20,Z3400&gt;0),Z3400+ROW()/1000000000,"")</f>
        <v/>
      </c>
      <c r="AD3400" s="94">
        <f>IF($A3400="",0,$P3400*AG3400)</f>
        <v/>
      </c>
      <c r="AE3400" s="64">
        <f>IF($A3400="","",IFERROR(INDEX(계정매핑!$E$5:$E$504,MATCH($F3400&amp;"",계정매핑!$A$5:$A$504,0))&amp;"","공통비"))</f>
        <v/>
      </c>
      <c r="AF3400" s="64">
        <f>IF($A3400="","",IF(AE3400="직접",IFERROR(INDEX(계정매핑!$F$5:$F$504,MATCH($F3400&amp;"",계정매핑!$A$5:$A$504,0))&amp;"","비귀속"),""))</f>
        <v/>
      </c>
      <c r="AG3400" s="96">
        <f>IF($A3400="",0,IF(AND(AE3400&lt;&gt;"직접",IFERROR(INDEX(계정매핑!$G$5:$G$504,MATCH($F3400&amp;"",계정매핑!$A$5:$A$504,0))&amp;"","")="유지비",COUNTIF(계정대체기준!$A$6:$A$15,$N3400)&gt;0),IFERROR(INDEX(계정대체기준!$E$6:$E$15,MATCH(VALUE($A3400&amp;""),계정대체기준!$D$6:$D$15,0)),0),0))</f>
        <v/>
      </c>
      <c r="AH3400" s="64">
        <f>IF($A3400="","",IF(AD3400=0,"",IF(OR(COUNTIF(계정대체기준!$A$77:$A$86,$N3400)&gt;0,ISNUMBER(MATCH($X3400,계정대체기준!$D$77:$D$86,0)),ISNUMBER(MATCH($F3400,계정대체기준!$D$77:$D$86,0))),"Y","N")))</f>
        <v/>
      </c>
    </row>
    <row r="3401">
      <c r="A3401" s="92" t="n">
        <v>2026</v>
      </c>
      <c r="B3401" s="92" t="n">
        <v>3</v>
      </c>
      <c r="C3401" s="92" t="inlineStr">
        <is>
          <t>5100000679</t>
        </is>
      </c>
      <c r="D3401" s="95" t="n">
        <v>46108</v>
      </c>
      <c r="E3401" s="92" t="inlineStr">
        <is>
          <t>KR</t>
        </is>
      </c>
      <c r="F3401" s="92" t="n">
        <v>62501000</v>
      </c>
      <c r="G3401" s="92" t="n">
        <v>1301</v>
      </c>
      <c r="H3401" s="93" t="n">
        <v>141000</v>
      </c>
      <c r="I3401" s="92" t="inlineStr">
        <is>
          <t>3월 회의 다과 - (법인카드)</t>
        </is>
      </c>
      <c r="J3401" s="92" t="inlineStr">
        <is>
          <t>V10010</t>
        </is>
      </c>
      <c r="K3401" s="92" t="inlineStr">
        <is>
          <t>(법인카드)</t>
        </is>
      </c>
      <c r="M3401" s="9">
        <f>IF($A3401="","",VALUE($A3401&amp;"")*12+VALUE($B3401&amp;""))</f>
        <v/>
      </c>
      <c r="N3401" s="64">
        <f>IF($A3401="","",IFERROR(INDEX(부서매핑!$C$5:$C$504,MATCH($G3401&amp;"",부서매핑!$A$5:$A$504,0)),"미매핑"))</f>
        <v/>
      </c>
      <c r="O3401" s="9">
        <f>IF($A3401="","",N3401&amp;"|"&amp;$F3401)</f>
        <v/>
      </c>
      <c r="P3401" s="94">
        <f>IF($A3401="",0,$H3401*설정!$C$23)</f>
        <v/>
      </c>
      <c r="Q3401" s="64">
        <f>IF($A3401="","",IF(O3401&lt;&gt;원인분석!$C$9,"",IF(AND(M3401&gt;=원인분석!$C$10,M3401&lt;=원인분석!$C$11),"당기",IF(AND(M3401&gt;=원인분석!$C$12,M3401&lt;=원인분석!$C$13),"비교",""))))</f>
        <v/>
      </c>
      <c r="R3401" s="9">
        <f>IF(Q3401="","",$K3401&amp;"")</f>
        <v/>
      </c>
      <c r="S3401" s="9">
        <f>IF(Q3401="","",IF(MATCH(R3401,$R$5:$R$100000,0)=ROW()-4,ROW(),""))</f>
        <v/>
      </c>
      <c r="T3401" s="9">
        <f>IF(Q3401="당기",ABS(P3401)+ROW()/1000000000,"")</f>
        <v/>
      </c>
      <c r="U3401" s="9">
        <f>IF(Q3401="비교",ABS(P3401)+ROW()/1000000000,"")</f>
        <v/>
      </c>
      <c r="V3401" s="64">
        <f>IF($A3401="","",IF(COUNTIF(변동분석!$E$7:$E$506,O3401)&gt;0,"Y","N"))</f>
        <v/>
      </c>
      <c r="W3401" s="64">
        <f>IF($A3401="","",IFERROR(INDEX(계정매핑!$D$5:$D$504,MATCH($F3401&amp;"",계정매핑!$A$5:$A$504,0)),"미매핑"))</f>
        <v/>
      </c>
      <c r="X3401" s="9">
        <f>IF($A3401="","",$F3401&amp;"")</f>
        <v/>
      </c>
      <c r="Y3401" s="94">
        <f>IF($A3401="",0,IF(AE3401="직접",IF(AF3401="비귀속",$P3401,0),$P3401*(1-AG3401)*IFERROR(INDEX(계정대체기준!$F$20:$F$49,MATCH($N3401,계정대체기준!$A$20:$A$49,0)),1)))</f>
        <v/>
      </c>
      <c r="Z3401" s="94">
        <f>IF($A3401="",0,IF(AE3401="직접",IF(AF3401="신계약비",$P3401,0),$P3401*(1-AG3401)*IFERROR(INDEX(계정대체기준!$C$20:$C$49,MATCH($N3401,계정대체기준!$A$20:$A$49,0)),0)))</f>
        <v/>
      </c>
      <c r="AA3401" s="94">
        <f>IF($A3401="",0,IF(AE3401="직접",IF(OR(AF3401="유지비",AF3401="손해조사비"),$P3401,0),$P3401*(1-AG3401)*IFERROR(INDEX(계정대체기준!$D$20:$D$49,MATCH($N3401,계정대체기준!$A$20:$A$49,0)),0)))</f>
        <v/>
      </c>
      <c r="AB3401" s="94">
        <f>IF($A3401="",0,IF(AE3401="직접",IF(AF3401="수금비",$P3401,0),$P3401*(1-AG3401)*IFERROR(INDEX(계정대체기준!$E$20:$E$49,MATCH($N3401,계정대체기준!$A$20:$A$49,0)),0)))</f>
        <v/>
      </c>
      <c r="AC3401" s="9">
        <f>IF(AND($A3401&lt;&gt;"",M3401=설정!$C$20,Z3401&gt;0),Z3401+ROW()/1000000000,"")</f>
        <v/>
      </c>
      <c r="AD3401" s="94">
        <f>IF($A3401="",0,$P3401*AG3401)</f>
        <v/>
      </c>
      <c r="AE3401" s="64">
        <f>IF($A3401="","",IFERROR(INDEX(계정매핑!$E$5:$E$504,MATCH($F3401&amp;"",계정매핑!$A$5:$A$504,0))&amp;"","공통비"))</f>
        <v/>
      </c>
      <c r="AF3401" s="64">
        <f>IF($A3401="","",IF(AE3401="직접",IFERROR(INDEX(계정매핑!$F$5:$F$504,MATCH($F3401&amp;"",계정매핑!$A$5:$A$504,0))&amp;"","비귀속"),""))</f>
        <v/>
      </c>
      <c r="AG3401" s="96">
        <f>IF($A3401="",0,IF(AND(AE3401&lt;&gt;"직접",IFERROR(INDEX(계정매핑!$G$5:$G$504,MATCH($F3401&amp;"",계정매핑!$A$5:$A$504,0))&amp;"","")="유지비",COUNTIF(계정대체기준!$A$6:$A$15,$N3401)&gt;0),IFERROR(INDEX(계정대체기준!$E$6:$E$15,MATCH(VALUE($A3401&amp;""),계정대체기준!$D$6:$D$15,0)),0),0))</f>
        <v/>
      </c>
      <c r="AH3401" s="64">
        <f>IF($A3401="","",IF(AD3401=0,"",IF(OR(COUNTIF(계정대체기준!$A$77:$A$86,$N3401)&gt;0,ISNUMBER(MATCH($X3401,계정대체기준!$D$77:$D$86,0)),ISNUMBER(MATCH($F3401,계정대체기준!$D$77:$D$86,0))),"Y","N")))</f>
        <v/>
      </c>
    </row>
    <row r="3402">
      <c r="A3402" s="92" t="n">
        <v>2026</v>
      </c>
      <c r="B3402" s="92" t="n">
        <v>3</v>
      </c>
      <c r="C3402" s="92" t="inlineStr">
        <is>
          <t>5100000680</t>
        </is>
      </c>
      <c r="D3402" s="95" t="n">
        <v>46108</v>
      </c>
      <c r="E3402" s="92" t="inlineStr">
        <is>
          <t>KR</t>
        </is>
      </c>
      <c r="F3402" s="92" t="n">
        <v>62501000</v>
      </c>
      <c r="G3402" s="92" t="n">
        <v>1801</v>
      </c>
      <c r="H3402" s="93" t="n">
        <v>153000</v>
      </c>
      <c r="I3402" s="92" t="inlineStr">
        <is>
          <t>3월 회의 다과 - T케이터링</t>
        </is>
      </c>
      <c r="J3402" s="92" t="inlineStr">
        <is>
          <t>V10005</t>
        </is>
      </c>
      <c r="K3402" s="92" t="inlineStr">
        <is>
          <t>T케이터링</t>
        </is>
      </c>
      <c r="M3402" s="9">
        <f>IF($A3402="","",VALUE($A3402&amp;"")*12+VALUE($B3402&amp;""))</f>
        <v/>
      </c>
      <c r="N3402" s="64">
        <f>IF($A3402="","",IFERROR(INDEX(부서매핑!$C$5:$C$504,MATCH($G3402&amp;"",부서매핑!$A$5:$A$504,0)),"미매핑"))</f>
        <v/>
      </c>
      <c r="O3402" s="9">
        <f>IF($A3402="","",N3402&amp;"|"&amp;$F3402)</f>
        <v/>
      </c>
      <c r="P3402" s="94">
        <f>IF($A3402="",0,$H3402*설정!$C$23)</f>
        <v/>
      </c>
      <c r="Q3402" s="64">
        <f>IF($A3402="","",IF(O3402&lt;&gt;원인분석!$C$9,"",IF(AND(M3402&gt;=원인분석!$C$10,M3402&lt;=원인분석!$C$11),"당기",IF(AND(M3402&gt;=원인분석!$C$12,M3402&lt;=원인분석!$C$13),"비교",""))))</f>
        <v/>
      </c>
      <c r="R3402" s="9">
        <f>IF(Q3402="","",$K3402&amp;"")</f>
        <v/>
      </c>
      <c r="S3402" s="9">
        <f>IF(Q3402="","",IF(MATCH(R3402,$R$5:$R$100000,0)=ROW()-4,ROW(),""))</f>
        <v/>
      </c>
      <c r="T3402" s="9">
        <f>IF(Q3402="당기",ABS(P3402)+ROW()/1000000000,"")</f>
        <v/>
      </c>
      <c r="U3402" s="9">
        <f>IF(Q3402="비교",ABS(P3402)+ROW()/1000000000,"")</f>
        <v/>
      </c>
      <c r="V3402" s="64">
        <f>IF($A3402="","",IF(COUNTIF(변동분석!$E$7:$E$506,O3402)&gt;0,"Y","N"))</f>
        <v/>
      </c>
      <c r="W3402" s="64">
        <f>IF($A3402="","",IFERROR(INDEX(계정매핑!$D$5:$D$504,MATCH($F3402&amp;"",계정매핑!$A$5:$A$504,0)),"미매핑"))</f>
        <v/>
      </c>
      <c r="X3402" s="9">
        <f>IF($A3402="","",$F3402&amp;"")</f>
        <v/>
      </c>
      <c r="Y3402" s="94">
        <f>IF($A3402="",0,IF(AE3402="직접",IF(AF3402="비귀속",$P3402,0),$P3402*(1-AG3402)*IFERROR(INDEX(계정대체기준!$F$20:$F$49,MATCH($N3402,계정대체기준!$A$20:$A$49,0)),1)))</f>
        <v/>
      </c>
      <c r="Z3402" s="94">
        <f>IF($A3402="",0,IF(AE3402="직접",IF(AF3402="신계약비",$P3402,0),$P3402*(1-AG3402)*IFERROR(INDEX(계정대체기준!$C$20:$C$49,MATCH($N3402,계정대체기준!$A$20:$A$49,0)),0)))</f>
        <v/>
      </c>
      <c r="AA3402" s="94">
        <f>IF($A3402="",0,IF(AE3402="직접",IF(OR(AF3402="유지비",AF3402="손해조사비"),$P3402,0),$P3402*(1-AG3402)*IFERROR(INDEX(계정대체기준!$D$20:$D$49,MATCH($N3402,계정대체기준!$A$20:$A$49,0)),0)))</f>
        <v/>
      </c>
      <c r="AB3402" s="94">
        <f>IF($A3402="",0,IF(AE3402="직접",IF(AF3402="수금비",$P3402,0),$P3402*(1-AG3402)*IFERROR(INDEX(계정대체기준!$E$20:$E$49,MATCH($N3402,계정대체기준!$A$20:$A$49,0)),0)))</f>
        <v/>
      </c>
      <c r="AC3402" s="9">
        <f>IF(AND($A3402&lt;&gt;"",M3402=설정!$C$20,Z3402&gt;0),Z3402+ROW()/1000000000,"")</f>
        <v/>
      </c>
      <c r="AD3402" s="94">
        <f>IF($A3402="",0,$P3402*AG3402)</f>
        <v/>
      </c>
      <c r="AE3402" s="64">
        <f>IF($A3402="","",IFERROR(INDEX(계정매핑!$E$5:$E$504,MATCH($F3402&amp;"",계정매핑!$A$5:$A$504,0))&amp;"","공통비"))</f>
        <v/>
      </c>
      <c r="AF3402" s="64">
        <f>IF($A3402="","",IF(AE3402="직접",IFERROR(INDEX(계정매핑!$F$5:$F$504,MATCH($F3402&amp;"",계정매핑!$A$5:$A$504,0))&amp;"","비귀속"),""))</f>
        <v/>
      </c>
      <c r="AG3402" s="96">
        <f>IF($A3402="",0,IF(AND(AE3402&lt;&gt;"직접",IFERROR(INDEX(계정매핑!$G$5:$G$504,MATCH($F3402&amp;"",계정매핑!$A$5:$A$504,0))&amp;"","")="유지비",COUNTIF(계정대체기준!$A$6:$A$15,$N3402)&gt;0),IFERROR(INDEX(계정대체기준!$E$6:$E$15,MATCH(VALUE($A3402&amp;""),계정대체기준!$D$6:$D$15,0)),0),0))</f>
        <v/>
      </c>
      <c r="AH3402" s="64">
        <f>IF($A3402="","",IF(AD3402=0,"",IF(OR(COUNTIF(계정대체기준!$A$77:$A$86,$N3402)&gt;0,ISNUMBER(MATCH($X3402,계정대체기준!$D$77:$D$86,0)),ISNUMBER(MATCH($F3402,계정대체기준!$D$77:$D$86,0))),"Y","N")))</f>
        <v/>
      </c>
    </row>
    <row r="3403">
      <c r="A3403" s="92" t="n">
        <v>2026</v>
      </c>
      <c r="B3403" s="92" t="n">
        <v>3</v>
      </c>
      <c r="C3403" s="92" t="inlineStr">
        <is>
          <t>5100000681</t>
        </is>
      </c>
      <c r="D3403" s="95" t="n">
        <v>46108</v>
      </c>
      <c r="E3403" s="92" t="inlineStr">
        <is>
          <t>KR</t>
        </is>
      </c>
      <c r="F3403" s="92" t="n">
        <v>62701000</v>
      </c>
      <c r="G3403" s="92" t="n">
        <v>1502</v>
      </c>
      <c r="H3403" s="93" t="n">
        <v>43758000</v>
      </c>
      <c r="I3403" s="92" t="inlineStr">
        <is>
          <t>3월 광고 집행 - E미디어</t>
        </is>
      </c>
      <c r="J3403" s="92" t="inlineStr">
        <is>
          <t>V10033</t>
        </is>
      </c>
      <c r="K3403" s="92" t="inlineStr">
        <is>
          <t>E미디어</t>
        </is>
      </c>
      <c r="M3403" s="9">
        <f>IF($A3403="","",VALUE($A3403&amp;"")*12+VALUE($B3403&amp;""))</f>
        <v/>
      </c>
      <c r="N3403" s="64">
        <f>IF($A3403="","",IFERROR(INDEX(부서매핑!$C$5:$C$504,MATCH($G3403&amp;"",부서매핑!$A$5:$A$504,0)),"미매핑"))</f>
        <v/>
      </c>
      <c r="O3403" s="9">
        <f>IF($A3403="","",N3403&amp;"|"&amp;$F3403)</f>
        <v/>
      </c>
      <c r="P3403" s="94">
        <f>IF($A3403="",0,$H3403*설정!$C$23)</f>
        <v/>
      </c>
      <c r="Q3403" s="64">
        <f>IF($A3403="","",IF(O3403&lt;&gt;원인분석!$C$9,"",IF(AND(M3403&gt;=원인분석!$C$10,M3403&lt;=원인분석!$C$11),"당기",IF(AND(M3403&gt;=원인분석!$C$12,M3403&lt;=원인분석!$C$13),"비교",""))))</f>
        <v/>
      </c>
      <c r="R3403" s="9">
        <f>IF(Q3403="","",$K3403&amp;"")</f>
        <v/>
      </c>
      <c r="S3403" s="9">
        <f>IF(Q3403="","",IF(MATCH(R3403,$R$5:$R$100000,0)=ROW()-4,ROW(),""))</f>
        <v/>
      </c>
      <c r="T3403" s="9">
        <f>IF(Q3403="당기",ABS(P3403)+ROW()/1000000000,"")</f>
        <v/>
      </c>
      <c r="U3403" s="9">
        <f>IF(Q3403="비교",ABS(P3403)+ROW()/1000000000,"")</f>
        <v/>
      </c>
      <c r="V3403" s="64">
        <f>IF($A3403="","",IF(COUNTIF(변동분석!$E$7:$E$506,O3403)&gt;0,"Y","N"))</f>
        <v/>
      </c>
      <c r="W3403" s="64">
        <f>IF($A3403="","",IFERROR(INDEX(계정매핑!$D$5:$D$504,MATCH($F3403&amp;"",계정매핑!$A$5:$A$504,0)),"미매핑"))</f>
        <v/>
      </c>
      <c r="X3403" s="9">
        <f>IF($A3403="","",$F3403&amp;"")</f>
        <v/>
      </c>
      <c r="Y3403" s="94">
        <f>IF($A3403="",0,IF(AE3403="직접",IF(AF3403="비귀속",$P3403,0),$P3403*(1-AG3403)*IFERROR(INDEX(계정대체기준!$F$20:$F$49,MATCH($N3403,계정대체기준!$A$20:$A$49,0)),1)))</f>
        <v/>
      </c>
      <c r="Z3403" s="94">
        <f>IF($A3403="",0,IF(AE3403="직접",IF(AF3403="신계약비",$P3403,0),$P3403*(1-AG3403)*IFERROR(INDEX(계정대체기준!$C$20:$C$49,MATCH($N3403,계정대체기준!$A$20:$A$49,0)),0)))</f>
        <v/>
      </c>
      <c r="AA3403" s="94">
        <f>IF($A3403="",0,IF(AE3403="직접",IF(OR(AF3403="유지비",AF3403="손해조사비"),$P3403,0),$P3403*(1-AG3403)*IFERROR(INDEX(계정대체기준!$D$20:$D$49,MATCH($N3403,계정대체기준!$A$20:$A$49,0)),0)))</f>
        <v/>
      </c>
      <c r="AB3403" s="94">
        <f>IF($A3403="",0,IF(AE3403="직접",IF(AF3403="수금비",$P3403,0),$P3403*(1-AG3403)*IFERROR(INDEX(계정대체기준!$E$20:$E$49,MATCH($N3403,계정대체기준!$A$20:$A$49,0)),0)))</f>
        <v/>
      </c>
      <c r="AC3403" s="9">
        <f>IF(AND($A3403&lt;&gt;"",M3403=설정!$C$20,Z3403&gt;0),Z3403+ROW()/1000000000,"")</f>
        <v/>
      </c>
      <c r="AD3403" s="94">
        <f>IF($A3403="",0,$P3403*AG3403)</f>
        <v/>
      </c>
      <c r="AE3403" s="64">
        <f>IF($A3403="","",IFERROR(INDEX(계정매핑!$E$5:$E$504,MATCH($F3403&amp;"",계정매핑!$A$5:$A$504,0))&amp;"","공통비"))</f>
        <v/>
      </c>
      <c r="AF3403" s="64">
        <f>IF($A3403="","",IF(AE3403="직접",IFERROR(INDEX(계정매핑!$F$5:$F$504,MATCH($F3403&amp;"",계정매핑!$A$5:$A$504,0))&amp;"","비귀속"),""))</f>
        <v/>
      </c>
      <c r="AG3403" s="96">
        <f>IF($A3403="",0,IF(AND(AE3403&lt;&gt;"직접",IFERROR(INDEX(계정매핑!$G$5:$G$504,MATCH($F3403&amp;"",계정매핑!$A$5:$A$504,0))&amp;"","")="유지비",COUNTIF(계정대체기준!$A$6:$A$15,$N3403)&gt;0),IFERROR(INDEX(계정대체기준!$E$6:$E$15,MATCH(VALUE($A3403&amp;""),계정대체기준!$D$6:$D$15,0)),0),0))</f>
        <v/>
      </c>
      <c r="AH3403" s="64">
        <f>IF($A3403="","",IF(AD3403=0,"",IF(OR(COUNTIF(계정대체기준!$A$77:$A$86,$N3403)&gt;0,ISNUMBER(MATCH($X3403,계정대체기준!$D$77:$D$86,0)),ISNUMBER(MATCH($F3403,계정대체기준!$D$77:$D$86,0))),"Y","N")))</f>
        <v/>
      </c>
    </row>
    <row r="3404">
      <c r="A3404" s="92" t="n">
        <v>2026</v>
      </c>
      <c r="B3404" s="92" t="n">
        <v>3</v>
      </c>
      <c r="C3404" s="92" t="inlineStr">
        <is>
          <t>5100000682</t>
        </is>
      </c>
      <c r="D3404" s="95" t="n">
        <v>46108</v>
      </c>
      <c r="E3404" s="92" t="inlineStr">
        <is>
          <t>KR</t>
        </is>
      </c>
      <c r="F3404" s="92" t="n">
        <v>62901000</v>
      </c>
      <c r="G3404" s="92" t="n">
        <v>1401</v>
      </c>
      <c r="H3404" s="93" t="n">
        <v>5821000</v>
      </c>
      <c r="I3404" s="92" t="inlineStr">
        <is>
          <t>3월 자문 수수료 - W컨설팅</t>
        </is>
      </c>
      <c r="J3404" s="92" t="inlineStr">
        <is>
          <t>V10006</t>
        </is>
      </c>
      <c r="K3404" s="92" t="inlineStr">
        <is>
          <t>W컨설팅</t>
        </is>
      </c>
      <c r="M3404" s="9">
        <f>IF($A3404="","",VALUE($A3404&amp;"")*12+VALUE($B3404&amp;""))</f>
        <v/>
      </c>
      <c r="N3404" s="64">
        <f>IF($A3404="","",IFERROR(INDEX(부서매핑!$C$5:$C$504,MATCH($G3404&amp;"",부서매핑!$A$5:$A$504,0)),"미매핑"))</f>
        <v/>
      </c>
      <c r="O3404" s="9">
        <f>IF($A3404="","",N3404&amp;"|"&amp;$F3404)</f>
        <v/>
      </c>
      <c r="P3404" s="94">
        <f>IF($A3404="",0,$H3404*설정!$C$23)</f>
        <v/>
      </c>
      <c r="Q3404" s="64">
        <f>IF($A3404="","",IF(O3404&lt;&gt;원인분석!$C$9,"",IF(AND(M3404&gt;=원인분석!$C$10,M3404&lt;=원인분석!$C$11),"당기",IF(AND(M3404&gt;=원인분석!$C$12,M3404&lt;=원인분석!$C$13),"비교",""))))</f>
        <v/>
      </c>
      <c r="R3404" s="9">
        <f>IF(Q3404="","",$K3404&amp;"")</f>
        <v/>
      </c>
      <c r="S3404" s="9">
        <f>IF(Q3404="","",IF(MATCH(R3404,$R$5:$R$100000,0)=ROW()-4,ROW(),""))</f>
        <v/>
      </c>
      <c r="T3404" s="9">
        <f>IF(Q3404="당기",ABS(P3404)+ROW()/1000000000,"")</f>
        <v/>
      </c>
      <c r="U3404" s="9">
        <f>IF(Q3404="비교",ABS(P3404)+ROW()/1000000000,"")</f>
        <v/>
      </c>
      <c r="V3404" s="64">
        <f>IF($A3404="","",IF(COUNTIF(변동분석!$E$7:$E$506,O3404)&gt;0,"Y","N"))</f>
        <v/>
      </c>
      <c r="W3404" s="64">
        <f>IF($A3404="","",IFERROR(INDEX(계정매핑!$D$5:$D$504,MATCH($F3404&amp;"",계정매핑!$A$5:$A$504,0)),"미매핑"))</f>
        <v/>
      </c>
      <c r="X3404" s="9">
        <f>IF($A3404="","",$F3404&amp;"")</f>
        <v/>
      </c>
      <c r="Y3404" s="94">
        <f>IF($A3404="",0,IF(AE3404="직접",IF(AF3404="비귀속",$P3404,0),$P3404*(1-AG3404)*IFERROR(INDEX(계정대체기준!$F$20:$F$49,MATCH($N3404,계정대체기준!$A$20:$A$49,0)),1)))</f>
        <v/>
      </c>
      <c r="Z3404" s="94">
        <f>IF($A3404="",0,IF(AE3404="직접",IF(AF3404="신계약비",$P3404,0),$P3404*(1-AG3404)*IFERROR(INDEX(계정대체기준!$C$20:$C$49,MATCH($N3404,계정대체기준!$A$20:$A$49,0)),0)))</f>
        <v/>
      </c>
      <c r="AA3404" s="94">
        <f>IF($A3404="",0,IF(AE3404="직접",IF(OR(AF3404="유지비",AF3404="손해조사비"),$P3404,0),$P3404*(1-AG3404)*IFERROR(INDEX(계정대체기준!$D$20:$D$49,MATCH($N3404,계정대체기준!$A$20:$A$49,0)),0)))</f>
        <v/>
      </c>
      <c r="AB3404" s="94">
        <f>IF($A3404="",0,IF(AE3404="직접",IF(AF3404="수금비",$P3404,0),$P3404*(1-AG3404)*IFERROR(INDEX(계정대체기준!$E$20:$E$49,MATCH($N3404,계정대체기준!$A$20:$A$49,0)),0)))</f>
        <v/>
      </c>
      <c r="AC3404" s="9">
        <f>IF(AND($A3404&lt;&gt;"",M3404=설정!$C$20,Z3404&gt;0),Z3404+ROW()/1000000000,"")</f>
        <v/>
      </c>
      <c r="AD3404" s="94">
        <f>IF($A3404="",0,$P3404*AG3404)</f>
        <v/>
      </c>
      <c r="AE3404" s="64">
        <f>IF($A3404="","",IFERROR(INDEX(계정매핑!$E$5:$E$504,MATCH($F3404&amp;"",계정매핑!$A$5:$A$504,0))&amp;"","공통비"))</f>
        <v/>
      </c>
      <c r="AF3404" s="64">
        <f>IF($A3404="","",IF(AE3404="직접",IFERROR(INDEX(계정매핑!$F$5:$F$504,MATCH($F3404&amp;"",계정매핑!$A$5:$A$504,0))&amp;"","비귀속"),""))</f>
        <v/>
      </c>
      <c r="AG3404" s="96">
        <f>IF($A3404="",0,IF(AND(AE3404&lt;&gt;"직접",IFERROR(INDEX(계정매핑!$G$5:$G$504,MATCH($F3404&amp;"",계정매핑!$A$5:$A$504,0))&amp;"","")="유지비",COUNTIF(계정대체기준!$A$6:$A$15,$N3404)&gt;0),IFERROR(INDEX(계정대체기준!$E$6:$E$15,MATCH(VALUE($A3404&amp;""),계정대체기준!$D$6:$D$15,0)),0),0))</f>
        <v/>
      </c>
      <c r="AH3404" s="64">
        <f>IF($A3404="","",IF(AD3404=0,"",IF(OR(COUNTIF(계정대체기준!$A$77:$A$86,$N3404)&gt;0,ISNUMBER(MATCH($X3404,계정대체기준!$D$77:$D$86,0)),ISNUMBER(MATCH($F3404,계정대체기준!$D$77:$D$86,0))),"Y","N")))</f>
        <v/>
      </c>
    </row>
    <row r="3405">
      <c r="A3405" s="92" t="n">
        <v>2026</v>
      </c>
      <c r="B3405" s="92" t="n">
        <v>3</v>
      </c>
      <c r="C3405" s="92" t="inlineStr">
        <is>
          <t>5100000683</t>
        </is>
      </c>
      <c r="D3405" s="95" t="n">
        <v>46108</v>
      </c>
      <c r="E3405" s="92" t="inlineStr">
        <is>
          <t>KR</t>
        </is>
      </c>
      <c r="F3405" s="92" t="n">
        <v>62902000</v>
      </c>
      <c r="G3405" s="92" t="n">
        <v>1801</v>
      </c>
      <c r="H3405" s="93" t="n">
        <v>1759000</v>
      </c>
      <c r="I3405" s="92" t="inlineStr">
        <is>
          <t>3월 콜 위탁 수수료(건별)</t>
        </is>
      </c>
      <c r="J3405" s="92" t="inlineStr">
        <is>
          <t>V10016</t>
        </is>
      </c>
      <c r="K3405" s="92" t="inlineStr">
        <is>
          <t>J콜센터</t>
        </is>
      </c>
      <c r="M3405" s="9">
        <f>IF($A3405="","",VALUE($A3405&amp;"")*12+VALUE($B3405&amp;""))</f>
        <v/>
      </c>
      <c r="N3405" s="64">
        <f>IF($A3405="","",IFERROR(INDEX(부서매핑!$C$5:$C$504,MATCH($G3405&amp;"",부서매핑!$A$5:$A$504,0)),"미매핑"))</f>
        <v/>
      </c>
      <c r="O3405" s="9">
        <f>IF($A3405="","",N3405&amp;"|"&amp;$F3405)</f>
        <v/>
      </c>
      <c r="P3405" s="94">
        <f>IF($A3405="",0,$H3405*설정!$C$23)</f>
        <v/>
      </c>
      <c r="Q3405" s="64">
        <f>IF($A3405="","",IF(O3405&lt;&gt;원인분석!$C$9,"",IF(AND(M3405&gt;=원인분석!$C$10,M3405&lt;=원인분석!$C$11),"당기",IF(AND(M3405&gt;=원인분석!$C$12,M3405&lt;=원인분석!$C$13),"비교",""))))</f>
        <v/>
      </c>
      <c r="R3405" s="9">
        <f>IF(Q3405="","",$K3405&amp;"")</f>
        <v/>
      </c>
      <c r="S3405" s="9">
        <f>IF(Q3405="","",IF(MATCH(R3405,$R$5:$R$100000,0)=ROW()-4,ROW(),""))</f>
        <v/>
      </c>
      <c r="T3405" s="9">
        <f>IF(Q3405="당기",ABS(P3405)+ROW()/1000000000,"")</f>
        <v/>
      </c>
      <c r="U3405" s="9">
        <f>IF(Q3405="비교",ABS(P3405)+ROW()/1000000000,"")</f>
        <v/>
      </c>
      <c r="V3405" s="64">
        <f>IF($A3405="","",IF(COUNTIF(변동분석!$E$7:$E$506,O3405)&gt;0,"Y","N"))</f>
        <v/>
      </c>
      <c r="W3405" s="64">
        <f>IF($A3405="","",IFERROR(INDEX(계정매핑!$D$5:$D$504,MATCH($F3405&amp;"",계정매핑!$A$5:$A$504,0)),"미매핑"))</f>
        <v/>
      </c>
      <c r="X3405" s="9">
        <f>IF($A3405="","",$F3405&amp;"")</f>
        <v/>
      </c>
      <c r="Y3405" s="94">
        <f>IF($A3405="",0,IF(AE3405="직접",IF(AF3405="비귀속",$P3405,0),$P3405*(1-AG3405)*IFERROR(INDEX(계정대체기준!$F$20:$F$49,MATCH($N3405,계정대체기준!$A$20:$A$49,0)),1)))</f>
        <v/>
      </c>
      <c r="Z3405" s="94">
        <f>IF($A3405="",0,IF(AE3405="직접",IF(AF3405="신계약비",$P3405,0),$P3405*(1-AG3405)*IFERROR(INDEX(계정대체기준!$C$20:$C$49,MATCH($N3405,계정대체기준!$A$20:$A$49,0)),0)))</f>
        <v/>
      </c>
      <c r="AA3405" s="94">
        <f>IF($A3405="",0,IF(AE3405="직접",IF(OR(AF3405="유지비",AF3405="손해조사비"),$P3405,0),$P3405*(1-AG3405)*IFERROR(INDEX(계정대체기준!$D$20:$D$49,MATCH($N3405,계정대체기준!$A$20:$A$49,0)),0)))</f>
        <v/>
      </c>
      <c r="AB3405" s="94">
        <f>IF($A3405="",0,IF(AE3405="직접",IF(AF3405="수금비",$P3405,0),$P3405*(1-AG3405)*IFERROR(INDEX(계정대체기준!$E$20:$E$49,MATCH($N3405,계정대체기준!$A$20:$A$49,0)),0)))</f>
        <v/>
      </c>
      <c r="AC3405" s="9">
        <f>IF(AND($A3405&lt;&gt;"",M3405=설정!$C$20,Z3405&gt;0),Z3405+ROW()/1000000000,"")</f>
        <v/>
      </c>
      <c r="AD3405" s="94">
        <f>IF($A3405="",0,$P3405*AG3405)</f>
        <v/>
      </c>
      <c r="AE3405" s="64">
        <f>IF($A3405="","",IFERROR(INDEX(계정매핑!$E$5:$E$504,MATCH($F3405&amp;"",계정매핑!$A$5:$A$504,0))&amp;"","공통비"))</f>
        <v/>
      </c>
      <c r="AF3405" s="64">
        <f>IF($A3405="","",IF(AE3405="직접",IFERROR(INDEX(계정매핑!$F$5:$F$504,MATCH($F3405&amp;"",계정매핑!$A$5:$A$504,0))&amp;"","비귀속"),""))</f>
        <v/>
      </c>
      <c r="AG3405" s="96">
        <f>IF($A3405="",0,IF(AND(AE3405&lt;&gt;"직접",IFERROR(INDEX(계정매핑!$G$5:$G$504,MATCH($F3405&amp;"",계정매핑!$A$5:$A$504,0))&amp;"","")="유지비",COUNTIF(계정대체기준!$A$6:$A$15,$N3405)&gt;0),IFERROR(INDEX(계정대체기준!$E$6:$E$15,MATCH(VALUE($A3405&amp;""),계정대체기준!$D$6:$D$15,0)),0),0))</f>
        <v/>
      </c>
      <c r="AH3405" s="64">
        <f>IF($A3405="","",IF(AD3405=0,"",IF(OR(COUNTIF(계정대체기준!$A$77:$A$86,$N3405)&gt;0,ISNUMBER(MATCH($X3405,계정대체기준!$D$77:$D$86,0)),ISNUMBER(MATCH($F3405,계정대체기준!$D$77:$D$86,0))),"Y","N")))</f>
        <v/>
      </c>
    </row>
    <row r="3406">
      <c r="A3406" s="92" t="n">
        <v>2026</v>
      </c>
      <c r="B3406" s="92" t="n">
        <v>4</v>
      </c>
      <c r="C3406" s="92" t="inlineStr">
        <is>
          <t>5100000684</t>
        </is>
      </c>
      <c r="D3406" s="95" t="n">
        <v>46114</v>
      </c>
      <c r="E3406" s="92" t="inlineStr">
        <is>
          <t>KR</t>
        </is>
      </c>
      <c r="F3406" s="92" t="n">
        <v>62101000</v>
      </c>
      <c r="G3406" s="92" t="n">
        <v>1601</v>
      </c>
      <c r="H3406" s="93" t="n">
        <v>794000</v>
      </c>
      <c r="I3406" s="92" t="inlineStr">
        <is>
          <t>4월 국내출장 - L여행사</t>
        </is>
      </c>
      <c r="J3406" s="92" t="inlineStr">
        <is>
          <t>V10018</t>
        </is>
      </c>
      <c r="K3406" s="92" t="inlineStr">
        <is>
          <t>L여행사</t>
        </is>
      </c>
      <c r="M3406" s="9">
        <f>IF($A3406="","",VALUE($A3406&amp;"")*12+VALUE($B3406&amp;""))</f>
        <v/>
      </c>
      <c r="N3406" s="64">
        <f>IF($A3406="","",IFERROR(INDEX(부서매핑!$C$5:$C$504,MATCH($G3406&amp;"",부서매핑!$A$5:$A$504,0)),"미매핑"))</f>
        <v/>
      </c>
      <c r="O3406" s="9">
        <f>IF($A3406="","",N3406&amp;"|"&amp;$F3406)</f>
        <v/>
      </c>
      <c r="P3406" s="94">
        <f>IF($A3406="",0,$H3406*설정!$C$23)</f>
        <v/>
      </c>
      <c r="Q3406" s="64">
        <f>IF($A3406="","",IF(O3406&lt;&gt;원인분석!$C$9,"",IF(AND(M3406&gt;=원인분석!$C$10,M3406&lt;=원인분석!$C$11),"당기",IF(AND(M3406&gt;=원인분석!$C$12,M3406&lt;=원인분석!$C$13),"비교",""))))</f>
        <v/>
      </c>
      <c r="R3406" s="9">
        <f>IF(Q3406="","",$K3406&amp;"")</f>
        <v/>
      </c>
      <c r="S3406" s="9">
        <f>IF(Q3406="","",IF(MATCH(R3406,$R$5:$R$100000,0)=ROW()-4,ROW(),""))</f>
        <v/>
      </c>
      <c r="T3406" s="9">
        <f>IF(Q3406="당기",ABS(P3406)+ROW()/1000000000,"")</f>
        <v/>
      </c>
      <c r="U3406" s="9">
        <f>IF(Q3406="비교",ABS(P3406)+ROW()/1000000000,"")</f>
        <v/>
      </c>
      <c r="V3406" s="64">
        <f>IF($A3406="","",IF(COUNTIF(변동분석!$E$7:$E$506,O3406)&gt;0,"Y","N"))</f>
        <v/>
      </c>
      <c r="W3406" s="64">
        <f>IF($A3406="","",IFERROR(INDEX(계정매핑!$D$5:$D$504,MATCH($F3406&amp;"",계정매핑!$A$5:$A$504,0)),"미매핑"))</f>
        <v/>
      </c>
      <c r="X3406" s="9">
        <f>IF($A3406="","",$F3406&amp;"")</f>
        <v/>
      </c>
      <c r="Y3406" s="94">
        <f>IF($A3406="",0,IF(AE3406="직접",IF(AF3406="비귀속",$P3406,0),$P3406*(1-AG3406)*IFERROR(INDEX(계정대체기준!$F$20:$F$49,MATCH($N3406,계정대체기준!$A$20:$A$49,0)),1)))</f>
        <v/>
      </c>
      <c r="Z3406" s="94">
        <f>IF($A3406="",0,IF(AE3406="직접",IF(AF3406="신계약비",$P3406,0),$P3406*(1-AG3406)*IFERROR(INDEX(계정대체기준!$C$20:$C$49,MATCH($N3406,계정대체기준!$A$20:$A$49,0)),0)))</f>
        <v/>
      </c>
      <c r="AA3406" s="94">
        <f>IF($A3406="",0,IF(AE3406="직접",IF(OR(AF3406="유지비",AF3406="손해조사비"),$P3406,0),$P3406*(1-AG3406)*IFERROR(INDEX(계정대체기준!$D$20:$D$49,MATCH($N3406,계정대체기준!$A$20:$A$49,0)),0)))</f>
        <v/>
      </c>
      <c r="AB3406" s="94">
        <f>IF($A3406="",0,IF(AE3406="직접",IF(AF3406="수금비",$P3406,0),$P3406*(1-AG3406)*IFERROR(INDEX(계정대체기준!$E$20:$E$49,MATCH($N3406,계정대체기준!$A$20:$A$49,0)),0)))</f>
        <v/>
      </c>
      <c r="AC3406" s="9">
        <f>IF(AND($A3406&lt;&gt;"",M3406=설정!$C$20,Z3406&gt;0),Z3406+ROW()/1000000000,"")</f>
        <v/>
      </c>
      <c r="AD3406" s="94">
        <f>IF($A3406="",0,$P3406*AG3406)</f>
        <v/>
      </c>
      <c r="AE3406" s="64">
        <f>IF($A3406="","",IFERROR(INDEX(계정매핑!$E$5:$E$504,MATCH($F3406&amp;"",계정매핑!$A$5:$A$504,0))&amp;"","공통비"))</f>
        <v/>
      </c>
      <c r="AF3406" s="64">
        <f>IF($A3406="","",IF(AE3406="직접",IFERROR(INDEX(계정매핑!$F$5:$F$504,MATCH($F3406&amp;"",계정매핑!$A$5:$A$504,0))&amp;"","비귀속"),""))</f>
        <v/>
      </c>
      <c r="AG3406" s="96">
        <f>IF($A3406="",0,IF(AND(AE3406&lt;&gt;"직접",IFERROR(INDEX(계정매핑!$G$5:$G$504,MATCH($F3406&amp;"",계정매핑!$A$5:$A$504,0))&amp;"","")="유지비",COUNTIF(계정대체기준!$A$6:$A$15,$N3406)&gt;0),IFERROR(INDEX(계정대체기준!$E$6:$E$15,MATCH(VALUE($A3406&amp;""),계정대체기준!$D$6:$D$15,0)),0),0))</f>
        <v/>
      </c>
      <c r="AH3406" s="64">
        <f>IF($A3406="","",IF(AD3406=0,"",IF(OR(COUNTIF(계정대체기준!$A$77:$A$86,$N3406)&gt;0,ISNUMBER(MATCH($X3406,계정대체기준!$D$77:$D$86,0)),ISNUMBER(MATCH($F3406,계정대체기준!$D$77:$D$86,0))),"Y","N")))</f>
        <v/>
      </c>
    </row>
    <row r="3407">
      <c r="A3407" s="92" t="n">
        <v>2026</v>
      </c>
      <c r="B3407" s="92" t="n">
        <v>4</v>
      </c>
      <c r="C3407" s="92" t="inlineStr">
        <is>
          <t>5100000685</t>
        </is>
      </c>
      <c r="D3407" s="95" t="n">
        <v>46114</v>
      </c>
      <c r="E3407" s="92" t="inlineStr">
        <is>
          <t>KR</t>
        </is>
      </c>
      <c r="F3407" s="92" t="n">
        <v>62501000</v>
      </c>
      <c r="G3407" s="92" t="n">
        <v>1301</v>
      </c>
      <c r="H3407" s="93" t="n">
        <v>139000</v>
      </c>
      <c r="I3407" s="92" t="inlineStr">
        <is>
          <t>4월 회의 다과 - T케이터링</t>
        </is>
      </c>
      <c r="J3407" s="92" t="inlineStr">
        <is>
          <t>V10005</t>
        </is>
      </c>
      <c r="K3407" s="92" t="inlineStr">
        <is>
          <t>T케이터링</t>
        </is>
      </c>
      <c r="M3407" s="9">
        <f>IF($A3407="","",VALUE($A3407&amp;"")*12+VALUE($B3407&amp;""))</f>
        <v/>
      </c>
      <c r="N3407" s="64">
        <f>IF($A3407="","",IFERROR(INDEX(부서매핑!$C$5:$C$504,MATCH($G3407&amp;"",부서매핑!$A$5:$A$504,0)),"미매핑"))</f>
        <v/>
      </c>
      <c r="O3407" s="9">
        <f>IF($A3407="","",N3407&amp;"|"&amp;$F3407)</f>
        <v/>
      </c>
      <c r="P3407" s="94">
        <f>IF($A3407="",0,$H3407*설정!$C$23)</f>
        <v/>
      </c>
      <c r="Q3407" s="64">
        <f>IF($A3407="","",IF(O3407&lt;&gt;원인분석!$C$9,"",IF(AND(M3407&gt;=원인분석!$C$10,M3407&lt;=원인분석!$C$11),"당기",IF(AND(M3407&gt;=원인분석!$C$12,M3407&lt;=원인분석!$C$13),"비교",""))))</f>
        <v/>
      </c>
      <c r="R3407" s="9">
        <f>IF(Q3407="","",$K3407&amp;"")</f>
        <v/>
      </c>
      <c r="S3407" s="9">
        <f>IF(Q3407="","",IF(MATCH(R3407,$R$5:$R$100000,0)=ROW()-4,ROW(),""))</f>
        <v/>
      </c>
      <c r="T3407" s="9">
        <f>IF(Q3407="당기",ABS(P3407)+ROW()/1000000000,"")</f>
        <v/>
      </c>
      <c r="U3407" s="9">
        <f>IF(Q3407="비교",ABS(P3407)+ROW()/1000000000,"")</f>
        <v/>
      </c>
      <c r="V3407" s="64">
        <f>IF($A3407="","",IF(COUNTIF(변동분석!$E$7:$E$506,O3407)&gt;0,"Y","N"))</f>
        <v/>
      </c>
      <c r="W3407" s="64">
        <f>IF($A3407="","",IFERROR(INDEX(계정매핑!$D$5:$D$504,MATCH($F3407&amp;"",계정매핑!$A$5:$A$504,0)),"미매핑"))</f>
        <v/>
      </c>
      <c r="X3407" s="9">
        <f>IF($A3407="","",$F3407&amp;"")</f>
        <v/>
      </c>
      <c r="Y3407" s="94">
        <f>IF($A3407="",0,IF(AE3407="직접",IF(AF3407="비귀속",$P3407,0),$P3407*(1-AG3407)*IFERROR(INDEX(계정대체기준!$F$20:$F$49,MATCH($N3407,계정대체기준!$A$20:$A$49,0)),1)))</f>
        <v/>
      </c>
      <c r="Z3407" s="94">
        <f>IF($A3407="",0,IF(AE3407="직접",IF(AF3407="신계약비",$P3407,0),$P3407*(1-AG3407)*IFERROR(INDEX(계정대체기준!$C$20:$C$49,MATCH($N3407,계정대체기준!$A$20:$A$49,0)),0)))</f>
        <v/>
      </c>
      <c r="AA3407" s="94">
        <f>IF($A3407="",0,IF(AE3407="직접",IF(OR(AF3407="유지비",AF3407="손해조사비"),$P3407,0),$P3407*(1-AG3407)*IFERROR(INDEX(계정대체기준!$D$20:$D$49,MATCH($N3407,계정대체기준!$A$20:$A$49,0)),0)))</f>
        <v/>
      </c>
      <c r="AB3407" s="94">
        <f>IF($A3407="",0,IF(AE3407="직접",IF(AF3407="수금비",$P3407,0),$P3407*(1-AG3407)*IFERROR(INDEX(계정대체기준!$E$20:$E$49,MATCH($N3407,계정대체기준!$A$20:$A$49,0)),0)))</f>
        <v/>
      </c>
      <c r="AC3407" s="9">
        <f>IF(AND($A3407&lt;&gt;"",M3407=설정!$C$20,Z3407&gt;0),Z3407+ROW()/1000000000,"")</f>
        <v/>
      </c>
      <c r="AD3407" s="94">
        <f>IF($A3407="",0,$P3407*AG3407)</f>
        <v/>
      </c>
      <c r="AE3407" s="64">
        <f>IF($A3407="","",IFERROR(INDEX(계정매핑!$E$5:$E$504,MATCH($F3407&amp;"",계정매핑!$A$5:$A$504,0))&amp;"","공통비"))</f>
        <v/>
      </c>
      <c r="AF3407" s="64">
        <f>IF($A3407="","",IF(AE3407="직접",IFERROR(INDEX(계정매핑!$F$5:$F$504,MATCH($F3407&amp;"",계정매핑!$A$5:$A$504,0))&amp;"","비귀속"),""))</f>
        <v/>
      </c>
      <c r="AG3407" s="96">
        <f>IF($A3407="",0,IF(AND(AE3407&lt;&gt;"직접",IFERROR(INDEX(계정매핑!$G$5:$G$504,MATCH($F3407&amp;"",계정매핑!$A$5:$A$504,0))&amp;"","")="유지비",COUNTIF(계정대체기준!$A$6:$A$15,$N3407)&gt;0),IFERROR(INDEX(계정대체기준!$E$6:$E$15,MATCH(VALUE($A3407&amp;""),계정대체기준!$D$6:$D$15,0)),0),0))</f>
        <v/>
      </c>
      <c r="AH3407" s="64">
        <f>IF($A3407="","",IF(AD3407=0,"",IF(OR(COUNTIF(계정대체기준!$A$77:$A$86,$N3407)&gt;0,ISNUMBER(MATCH($X3407,계정대체기준!$D$77:$D$86,0)),ISNUMBER(MATCH($F3407,계정대체기준!$D$77:$D$86,0))),"Y","N")))</f>
        <v/>
      </c>
    </row>
    <row r="3408">
      <c r="A3408" s="92" t="n">
        <v>2026</v>
      </c>
      <c r="B3408" s="92" t="n">
        <v>4</v>
      </c>
      <c r="C3408" s="92" t="inlineStr">
        <is>
          <t>5100000686</t>
        </is>
      </c>
      <c r="D3408" s="95" t="n">
        <v>46114</v>
      </c>
      <c r="E3408" s="92" t="inlineStr">
        <is>
          <t>KR</t>
        </is>
      </c>
      <c r="F3408" s="92" t="n">
        <v>62501000</v>
      </c>
      <c r="G3408" s="92" t="n">
        <v>1501</v>
      </c>
      <c r="H3408" s="93" t="n">
        <v>400000</v>
      </c>
      <c r="I3408" s="92" t="inlineStr">
        <is>
          <t>4월 회의 다과 - (법인카드)</t>
        </is>
      </c>
      <c r="J3408" s="92" t="inlineStr">
        <is>
          <t>V10010</t>
        </is>
      </c>
      <c r="K3408" s="92" t="inlineStr">
        <is>
          <t>(법인카드)</t>
        </is>
      </c>
      <c r="M3408" s="9">
        <f>IF($A3408="","",VALUE($A3408&amp;"")*12+VALUE($B3408&amp;""))</f>
        <v/>
      </c>
      <c r="N3408" s="64">
        <f>IF($A3408="","",IFERROR(INDEX(부서매핑!$C$5:$C$504,MATCH($G3408&amp;"",부서매핑!$A$5:$A$504,0)),"미매핑"))</f>
        <v/>
      </c>
      <c r="O3408" s="9">
        <f>IF($A3408="","",N3408&amp;"|"&amp;$F3408)</f>
        <v/>
      </c>
      <c r="P3408" s="94">
        <f>IF($A3408="",0,$H3408*설정!$C$23)</f>
        <v/>
      </c>
      <c r="Q3408" s="64">
        <f>IF($A3408="","",IF(O3408&lt;&gt;원인분석!$C$9,"",IF(AND(M3408&gt;=원인분석!$C$10,M3408&lt;=원인분석!$C$11),"당기",IF(AND(M3408&gt;=원인분석!$C$12,M3408&lt;=원인분석!$C$13),"비교",""))))</f>
        <v/>
      </c>
      <c r="R3408" s="9">
        <f>IF(Q3408="","",$K3408&amp;"")</f>
        <v/>
      </c>
      <c r="S3408" s="9">
        <f>IF(Q3408="","",IF(MATCH(R3408,$R$5:$R$100000,0)=ROW()-4,ROW(),""))</f>
        <v/>
      </c>
      <c r="T3408" s="9">
        <f>IF(Q3408="당기",ABS(P3408)+ROW()/1000000000,"")</f>
        <v/>
      </c>
      <c r="U3408" s="9">
        <f>IF(Q3408="비교",ABS(P3408)+ROW()/1000000000,"")</f>
        <v/>
      </c>
      <c r="V3408" s="64">
        <f>IF($A3408="","",IF(COUNTIF(변동분석!$E$7:$E$506,O3408)&gt;0,"Y","N"))</f>
        <v/>
      </c>
      <c r="W3408" s="64">
        <f>IF($A3408="","",IFERROR(INDEX(계정매핑!$D$5:$D$504,MATCH($F3408&amp;"",계정매핑!$A$5:$A$504,0)),"미매핑"))</f>
        <v/>
      </c>
      <c r="X3408" s="9">
        <f>IF($A3408="","",$F3408&amp;"")</f>
        <v/>
      </c>
      <c r="Y3408" s="94">
        <f>IF($A3408="",0,IF(AE3408="직접",IF(AF3408="비귀속",$P3408,0),$P3408*(1-AG3408)*IFERROR(INDEX(계정대체기준!$F$20:$F$49,MATCH($N3408,계정대체기준!$A$20:$A$49,0)),1)))</f>
        <v/>
      </c>
      <c r="Z3408" s="94">
        <f>IF($A3408="",0,IF(AE3408="직접",IF(AF3408="신계약비",$P3408,0),$P3408*(1-AG3408)*IFERROR(INDEX(계정대체기준!$C$20:$C$49,MATCH($N3408,계정대체기준!$A$20:$A$49,0)),0)))</f>
        <v/>
      </c>
      <c r="AA3408" s="94">
        <f>IF($A3408="",0,IF(AE3408="직접",IF(OR(AF3408="유지비",AF3408="손해조사비"),$P3408,0),$P3408*(1-AG3408)*IFERROR(INDEX(계정대체기준!$D$20:$D$49,MATCH($N3408,계정대체기준!$A$20:$A$49,0)),0)))</f>
        <v/>
      </c>
      <c r="AB3408" s="94">
        <f>IF($A3408="",0,IF(AE3408="직접",IF(AF3408="수금비",$P3408,0),$P3408*(1-AG3408)*IFERROR(INDEX(계정대체기준!$E$20:$E$49,MATCH($N3408,계정대체기준!$A$20:$A$49,0)),0)))</f>
        <v/>
      </c>
      <c r="AC3408" s="9">
        <f>IF(AND($A3408&lt;&gt;"",M3408=설정!$C$20,Z3408&gt;0),Z3408+ROW()/1000000000,"")</f>
        <v/>
      </c>
      <c r="AD3408" s="94">
        <f>IF($A3408="",0,$P3408*AG3408)</f>
        <v/>
      </c>
      <c r="AE3408" s="64">
        <f>IF($A3408="","",IFERROR(INDEX(계정매핑!$E$5:$E$504,MATCH($F3408&amp;"",계정매핑!$A$5:$A$504,0))&amp;"","공통비"))</f>
        <v/>
      </c>
      <c r="AF3408" s="64">
        <f>IF($A3408="","",IF(AE3408="직접",IFERROR(INDEX(계정매핑!$F$5:$F$504,MATCH($F3408&amp;"",계정매핑!$A$5:$A$504,0))&amp;"","비귀속"),""))</f>
        <v/>
      </c>
      <c r="AG3408" s="96">
        <f>IF($A3408="",0,IF(AND(AE3408&lt;&gt;"직접",IFERROR(INDEX(계정매핑!$G$5:$G$504,MATCH($F3408&amp;"",계정매핑!$A$5:$A$504,0))&amp;"","")="유지비",COUNTIF(계정대체기준!$A$6:$A$15,$N3408)&gt;0),IFERROR(INDEX(계정대체기준!$E$6:$E$15,MATCH(VALUE($A3408&amp;""),계정대체기준!$D$6:$D$15,0)),0),0))</f>
        <v/>
      </c>
      <c r="AH3408" s="64">
        <f>IF($A3408="","",IF(AD3408=0,"",IF(OR(COUNTIF(계정대체기준!$A$77:$A$86,$N3408)&gt;0,ISNUMBER(MATCH($X3408,계정대체기준!$D$77:$D$86,0)),ISNUMBER(MATCH($F3408,계정대체기준!$D$77:$D$86,0))),"Y","N")))</f>
        <v/>
      </c>
    </row>
    <row r="3409">
      <c r="A3409" s="92" t="n">
        <v>2026</v>
      </c>
      <c r="B3409" s="92" t="n">
        <v>4</v>
      </c>
      <c r="C3409" s="92" t="inlineStr">
        <is>
          <t>5100000687</t>
        </is>
      </c>
      <c r="D3409" s="95" t="n">
        <v>46114</v>
      </c>
      <c r="E3409" s="92" t="inlineStr">
        <is>
          <t>KR</t>
        </is>
      </c>
      <c r="F3409" s="92" t="n">
        <v>62901000</v>
      </c>
      <c r="G3409" s="92" t="n">
        <v>1401</v>
      </c>
      <c r="H3409" s="93" t="n">
        <v>4445000</v>
      </c>
      <c r="I3409" s="92" t="inlineStr">
        <is>
          <t>4월 자문 수수료 - W컨설팅</t>
        </is>
      </c>
      <c r="J3409" s="92" t="inlineStr">
        <is>
          <t>V10006</t>
        </is>
      </c>
      <c r="K3409" s="92" t="inlineStr">
        <is>
          <t>W컨설팅</t>
        </is>
      </c>
      <c r="M3409" s="9">
        <f>IF($A3409="","",VALUE($A3409&amp;"")*12+VALUE($B3409&amp;""))</f>
        <v/>
      </c>
      <c r="N3409" s="64">
        <f>IF($A3409="","",IFERROR(INDEX(부서매핑!$C$5:$C$504,MATCH($G3409&amp;"",부서매핑!$A$5:$A$504,0)),"미매핑"))</f>
        <v/>
      </c>
      <c r="O3409" s="9">
        <f>IF($A3409="","",N3409&amp;"|"&amp;$F3409)</f>
        <v/>
      </c>
      <c r="P3409" s="94">
        <f>IF($A3409="",0,$H3409*설정!$C$23)</f>
        <v/>
      </c>
      <c r="Q3409" s="64">
        <f>IF($A3409="","",IF(O3409&lt;&gt;원인분석!$C$9,"",IF(AND(M3409&gt;=원인분석!$C$10,M3409&lt;=원인분석!$C$11),"당기",IF(AND(M3409&gt;=원인분석!$C$12,M3409&lt;=원인분석!$C$13),"비교",""))))</f>
        <v/>
      </c>
      <c r="R3409" s="9">
        <f>IF(Q3409="","",$K3409&amp;"")</f>
        <v/>
      </c>
      <c r="S3409" s="9">
        <f>IF(Q3409="","",IF(MATCH(R3409,$R$5:$R$100000,0)=ROW()-4,ROW(),""))</f>
        <v/>
      </c>
      <c r="T3409" s="9">
        <f>IF(Q3409="당기",ABS(P3409)+ROW()/1000000000,"")</f>
        <v/>
      </c>
      <c r="U3409" s="9">
        <f>IF(Q3409="비교",ABS(P3409)+ROW()/1000000000,"")</f>
        <v/>
      </c>
      <c r="V3409" s="64">
        <f>IF($A3409="","",IF(COUNTIF(변동분석!$E$7:$E$506,O3409)&gt;0,"Y","N"))</f>
        <v/>
      </c>
      <c r="W3409" s="64">
        <f>IF($A3409="","",IFERROR(INDEX(계정매핑!$D$5:$D$504,MATCH($F3409&amp;"",계정매핑!$A$5:$A$504,0)),"미매핑"))</f>
        <v/>
      </c>
      <c r="X3409" s="9">
        <f>IF($A3409="","",$F3409&amp;"")</f>
        <v/>
      </c>
      <c r="Y3409" s="94">
        <f>IF($A3409="",0,IF(AE3409="직접",IF(AF3409="비귀속",$P3409,0),$P3409*(1-AG3409)*IFERROR(INDEX(계정대체기준!$F$20:$F$49,MATCH($N3409,계정대체기준!$A$20:$A$49,0)),1)))</f>
        <v/>
      </c>
      <c r="Z3409" s="94">
        <f>IF($A3409="",0,IF(AE3409="직접",IF(AF3409="신계약비",$P3409,0),$P3409*(1-AG3409)*IFERROR(INDEX(계정대체기준!$C$20:$C$49,MATCH($N3409,계정대체기준!$A$20:$A$49,0)),0)))</f>
        <v/>
      </c>
      <c r="AA3409" s="94">
        <f>IF($A3409="",0,IF(AE3409="직접",IF(OR(AF3409="유지비",AF3409="손해조사비"),$P3409,0),$P3409*(1-AG3409)*IFERROR(INDEX(계정대체기준!$D$20:$D$49,MATCH($N3409,계정대체기준!$A$20:$A$49,0)),0)))</f>
        <v/>
      </c>
      <c r="AB3409" s="94">
        <f>IF($A3409="",0,IF(AE3409="직접",IF(AF3409="수금비",$P3409,0),$P3409*(1-AG3409)*IFERROR(INDEX(계정대체기준!$E$20:$E$49,MATCH($N3409,계정대체기준!$A$20:$A$49,0)),0)))</f>
        <v/>
      </c>
      <c r="AC3409" s="9">
        <f>IF(AND($A3409&lt;&gt;"",M3409=설정!$C$20,Z3409&gt;0),Z3409+ROW()/1000000000,"")</f>
        <v/>
      </c>
      <c r="AD3409" s="94">
        <f>IF($A3409="",0,$P3409*AG3409)</f>
        <v/>
      </c>
      <c r="AE3409" s="64">
        <f>IF($A3409="","",IFERROR(INDEX(계정매핑!$E$5:$E$504,MATCH($F3409&amp;"",계정매핑!$A$5:$A$504,0))&amp;"","공통비"))</f>
        <v/>
      </c>
      <c r="AF3409" s="64">
        <f>IF($A3409="","",IF(AE3409="직접",IFERROR(INDEX(계정매핑!$F$5:$F$504,MATCH($F3409&amp;"",계정매핑!$A$5:$A$504,0))&amp;"","비귀속"),""))</f>
        <v/>
      </c>
      <c r="AG3409" s="96">
        <f>IF($A3409="",0,IF(AND(AE3409&lt;&gt;"직접",IFERROR(INDEX(계정매핑!$G$5:$G$504,MATCH($F3409&amp;"",계정매핑!$A$5:$A$504,0))&amp;"","")="유지비",COUNTIF(계정대체기준!$A$6:$A$15,$N3409)&gt;0),IFERROR(INDEX(계정대체기준!$E$6:$E$15,MATCH(VALUE($A3409&amp;""),계정대체기준!$D$6:$D$15,0)),0),0))</f>
        <v/>
      </c>
      <c r="AH3409" s="64">
        <f>IF($A3409="","",IF(AD3409=0,"",IF(OR(COUNTIF(계정대체기준!$A$77:$A$86,$N3409)&gt;0,ISNUMBER(MATCH($X3409,계정대체기준!$D$77:$D$86,0)),ISNUMBER(MATCH($F3409,계정대체기준!$D$77:$D$86,0))),"Y","N")))</f>
        <v/>
      </c>
    </row>
    <row r="3410">
      <c r="A3410" s="92" t="n">
        <v>2026</v>
      </c>
      <c r="B3410" s="92" t="n">
        <v>4</v>
      </c>
      <c r="C3410" s="92" t="inlineStr">
        <is>
          <t>5100000688</t>
        </is>
      </c>
      <c r="D3410" s="95" t="n">
        <v>46114</v>
      </c>
      <c r="E3410" s="92" t="inlineStr">
        <is>
          <t>KR</t>
        </is>
      </c>
      <c r="F3410" s="92" t="n">
        <v>62902000</v>
      </c>
      <c r="G3410" s="92" t="n">
        <v>1401</v>
      </c>
      <c r="H3410" s="93" t="n">
        <v>2195000</v>
      </c>
      <c r="I3410" s="92" t="inlineStr">
        <is>
          <t>4월 업무 위탁 수수료 - X서비스</t>
        </is>
      </c>
      <c r="J3410" s="92" t="inlineStr">
        <is>
          <t>V10020</t>
        </is>
      </c>
      <c r="K3410" s="92" t="inlineStr">
        <is>
          <t>X서비스</t>
        </is>
      </c>
      <c r="M3410" s="9">
        <f>IF($A3410="","",VALUE($A3410&amp;"")*12+VALUE($B3410&amp;""))</f>
        <v/>
      </c>
      <c r="N3410" s="64">
        <f>IF($A3410="","",IFERROR(INDEX(부서매핑!$C$5:$C$504,MATCH($G3410&amp;"",부서매핑!$A$5:$A$504,0)),"미매핑"))</f>
        <v/>
      </c>
      <c r="O3410" s="9">
        <f>IF($A3410="","",N3410&amp;"|"&amp;$F3410)</f>
        <v/>
      </c>
      <c r="P3410" s="94">
        <f>IF($A3410="",0,$H3410*설정!$C$23)</f>
        <v/>
      </c>
      <c r="Q3410" s="64">
        <f>IF($A3410="","",IF(O3410&lt;&gt;원인분석!$C$9,"",IF(AND(M3410&gt;=원인분석!$C$10,M3410&lt;=원인분석!$C$11),"당기",IF(AND(M3410&gt;=원인분석!$C$12,M3410&lt;=원인분석!$C$13),"비교",""))))</f>
        <v/>
      </c>
      <c r="R3410" s="9">
        <f>IF(Q3410="","",$K3410&amp;"")</f>
        <v/>
      </c>
      <c r="S3410" s="9">
        <f>IF(Q3410="","",IF(MATCH(R3410,$R$5:$R$100000,0)=ROW()-4,ROW(),""))</f>
        <v/>
      </c>
      <c r="T3410" s="9">
        <f>IF(Q3410="당기",ABS(P3410)+ROW()/1000000000,"")</f>
        <v/>
      </c>
      <c r="U3410" s="9">
        <f>IF(Q3410="비교",ABS(P3410)+ROW()/1000000000,"")</f>
        <v/>
      </c>
      <c r="V3410" s="64">
        <f>IF($A3410="","",IF(COUNTIF(변동분석!$E$7:$E$506,O3410)&gt;0,"Y","N"))</f>
        <v/>
      </c>
      <c r="W3410" s="64">
        <f>IF($A3410="","",IFERROR(INDEX(계정매핑!$D$5:$D$504,MATCH($F3410&amp;"",계정매핑!$A$5:$A$504,0)),"미매핑"))</f>
        <v/>
      </c>
      <c r="X3410" s="9">
        <f>IF($A3410="","",$F3410&amp;"")</f>
        <v/>
      </c>
      <c r="Y3410" s="94">
        <f>IF($A3410="",0,IF(AE3410="직접",IF(AF3410="비귀속",$P3410,0),$P3410*(1-AG3410)*IFERROR(INDEX(계정대체기준!$F$20:$F$49,MATCH($N3410,계정대체기준!$A$20:$A$49,0)),1)))</f>
        <v/>
      </c>
      <c r="Z3410" s="94">
        <f>IF($A3410="",0,IF(AE3410="직접",IF(AF3410="신계약비",$P3410,0),$P3410*(1-AG3410)*IFERROR(INDEX(계정대체기준!$C$20:$C$49,MATCH($N3410,계정대체기준!$A$20:$A$49,0)),0)))</f>
        <v/>
      </c>
      <c r="AA3410" s="94">
        <f>IF($A3410="",0,IF(AE3410="직접",IF(OR(AF3410="유지비",AF3410="손해조사비"),$P3410,0),$P3410*(1-AG3410)*IFERROR(INDEX(계정대체기준!$D$20:$D$49,MATCH($N3410,계정대체기준!$A$20:$A$49,0)),0)))</f>
        <v/>
      </c>
      <c r="AB3410" s="94">
        <f>IF($A3410="",0,IF(AE3410="직접",IF(AF3410="수금비",$P3410,0),$P3410*(1-AG3410)*IFERROR(INDEX(계정대체기준!$E$20:$E$49,MATCH($N3410,계정대체기준!$A$20:$A$49,0)),0)))</f>
        <v/>
      </c>
      <c r="AC3410" s="9">
        <f>IF(AND($A3410&lt;&gt;"",M3410=설정!$C$20,Z3410&gt;0),Z3410+ROW()/1000000000,"")</f>
        <v/>
      </c>
      <c r="AD3410" s="94">
        <f>IF($A3410="",0,$P3410*AG3410)</f>
        <v/>
      </c>
      <c r="AE3410" s="64">
        <f>IF($A3410="","",IFERROR(INDEX(계정매핑!$E$5:$E$504,MATCH($F3410&amp;"",계정매핑!$A$5:$A$504,0))&amp;"","공통비"))</f>
        <v/>
      </c>
      <c r="AF3410" s="64">
        <f>IF($A3410="","",IF(AE3410="직접",IFERROR(INDEX(계정매핑!$F$5:$F$504,MATCH($F3410&amp;"",계정매핑!$A$5:$A$504,0))&amp;"","비귀속"),""))</f>
        <v/>
      </c>
      <c r="AG3410" s="96">
        <f>IF($A3410="",0,IF(AND(AE3410&lt;&gt;"직접",IFERROR(INDEX(계정매핑!$G$5:$G$504,MATCH($F3410&amp;"",계정매핑!$A$5:$A$504,0))&amp;"","")="유지비",COUNTIF(계정대체기준!$A$6:$A$15,$N3410)&gt;0),IFERROR(INDEX(계정대체기준!$E$6:$E$15,MATCH(VALUE($A3410&amp;""),계정대체기준!$D$6:$D$15,0)),0),0))</f>
        <v/>
      </c>
      <c r="AH3410" s="64">
        <f>IF($A3410="","",IF(AD3410=0,"",IF(OR(COUNTIF(계정대체기준!$A$77:$A$86,$N3410)&gt;0,ISNUMBER(MATCH($X3410,계정대체기준!$D$77:$D$86,0)),ISNUMBER(MATCH($F3410,계정대체기준!$D$77:$D$86,0))),"Y","N")))</f>
        <v/>
      </c>
    </row>
    <row r="3411">
      <c r="A3411" s="92" t="n">
        <v>2026</v>
      </c>
      <c r="B3411" s="92" t="n">
        <v>4</v>
      </c>
      <c r="C3411" s="92" t="inlineStr">
        <is>
          <t>5100000689</t>
        </is>
      </c>
      <c r="D3411" s="95" t="n">
        <v>46114</v>
      </c>
      <c r="E3411" s="92" t="inlineStr">
        <is>
          <t>KR</t>
        </is>
      </c>
      <c r="F3411" s="92" t="n">
        <v>62902000</v>
      </c>
      <c r="G3411" s="92" t="n">
        <v>1951</v>
      </c>
      <c r="H3411" s="93" t="n">
        <v>2055000</v>
      </c>
      <c r="I3411" s="92" t="inlineStr">
        <is>
          <t>4월 업무 위탁 수수료 - X서비스</t>
        </is>
      </c>
      <c r="J3411" s="92" t="inlineStr">
        <is>
          <t>V10020</t>
        </is>
      </c>
      <c r="K3411" s="92" t="inlineStr">
        <is>
          <t>X서비스</t>
        </is>
      </c>
      <c r="M3411" s="9">
        <f>IF($A3411="","",VALUE($A3411&amp;"")*12+VALUE($B3411&amp;""))</f>
        <v/>
      </c>
      <c r="N3411" s="64">
        <f>IF($A3411="","",IFERROR(INDEX(부서매핑!$C$5:$C$504,MATCH($G3411&amp;"",부서매핑!$A$5:$A$504,0)),"미매핑"))</f>
        <v/>
      </c>
      <c r="O3411" s="9">
        <f>IF($A3411="","",N3411&amp;"|"&amp;$F3411)</f>
        <v/>
      </c>
      <c r="P3411" s="94">
        <f>IF($A3411="",0,$H3411*설정!$C$23)</f>
        <v/>
      </c>
      <c r="Q3411" s="64">
        <f>IF($A3411="","",IF(O3411&lt;&gt;원인분석!$C$9,"",IF(AND(M3411&gt;=원인분석!$C$10,M3411&lt;=원인분석!$C$11),"당기",IF(AND(M3411&gt;=원인분석!$C$12,M3411&lt;=원인분석!$C$13),"비교",""))))</f>
        <v/>
      </c>
      <c r="R3411" s="9">
        <f>IF(Q3411="","",$K3411&amp;"")</f>
        <v/>
      </c>
      <c r="S3411" s="9">
        <f>IF(Q3411="","",IF(MATCH(R3411,$R$5:$R$100000,0)=ROW()-4,ROW(),""))</f>
        <v/>
      </c>
      <c r="T3411" s="9">
        <f>IF(Q3411="당기",ABS(P3411)+ROW()/1000000000,"")</f>
        <v/>
      </c>
      <c r="U3411" s="9">
        <f>IF(Q3411="비교",ABS(P3411)+ROW()/1000000000,"")</f>
        <v/>
      </c>
      <c r="V3411" s="64">
        <f>IF($A3411="","",IF(COUNTIF(변동분석!$E$7:$E$506,O3411)&gt;0,"Y","N"))</f>
        <v/>
      </c>
      <c r="W3411" s="64">
        <f>IF($A3411="","",IFERROR(INDEX(계정매핑!$D$5:$D$504,MATCH($F3411&amp;"",계정매핑!$A$5:$A$504,0)),"미매핑"))</f>
        <v/>
      </c>
      <c r="X3411" s="9">
        <f>IF($A3411="","",$F3411&amp;"")</f>
        <v/>
      </c>
      <c r="Y3411" s="94">
        <f>IF($A3411="",0,IF(AE3411="직접",IF(AF3411="비귀속",$P3411,0),$P3411*(1-AG3411)*IFERROR(INDEX(계정대체기준!$F$20:$F$49,MATCH($N3411,계정대체기준!$A$20:$A$49,0)),1)))</f>
        <v/>
      </c>
      <c r="Z3411" s="94">
        <f>IF($A3411="",0,IF(AE3411="직접",IF(AF3411="신계약비",$P3411,0),$P3411*(1-AG3411)*IFERROR(INDEX(계정대체기준!$C$20:$C$49,MATCH($N3411,계정대체기준!$A$20:$A$49,0)),0)))</f>
        <v/>
      </c>
      <c r="AA3411" s="94">
        <f>IF($A3411="",0,IF(AE3411="직접",IF(OR(AF3411="유지비",AF3411="손해조사비"),$P3411,0),$P3411*(1-AG3411)*IFERROR(INDEX(계정대체기준!$D$20:$D$49,MATCH($N3411,계정대체기준!$A$20:$A$49,0)),0)))</f>
        <v/>
      </c>
      <c r="AB3411" s="94">
        <f>IF($A3411="",0,IF(AE3411="직접",IF(AF3411="수금비",$P3411,0),$P3411*(1-AG3411)*IFERROR(INDEX(계정대체기준!$E$20:$E$49,MATCH($N3411,계정대체기준!$A$20:$A$49,0)),0)))</f>
        <v/>
      </c>
      <c r="AC3411" s="9">
        <f>IF(AND($A3411&lt;&gt;"",M3411=설정!$C$20,Z3411&gt;0),Z3411+ROW()/1000000000,"")</f>
        <v/>
      </c>
      <c r="AD3411" s="94">
        <f>IF($A3411="",0,$P3411*AG3411)</f>
        <v/>
      </c>
      <c r="AE3411" s="64">
        <f>IF($A3411="","",IFERROR(INDEX(계정매핑!$E$5:$E$504,MATCH($F3411&amp;"",계정매핑!$A$5:$A$504,0))&amp;"","공통비"))</f>
        <v/>
      </c>
      <c r="AF3411" s="64">
        <f>IF($A3411="","",IF(AE3411="직접",IFERROR(INDEX(계정매핑!$F$5:$F$504,MATCH($F3411&amp;"",계정매핑!$A$5:$A$504,0))&amp;"","비귀속"),""))</f>
        <v/>
      </c>
      <c r="AG3411" s="96">
        <f>IF($A3411="",0,IF(AND(AE3411&lt;&gt;"직접",IFERROR(INDEX(계정매핑!$G$5:$G$504,MATCH($F3411&amp;"",계정매핑!$A$5:$A$504,0))&amp;"","")="유지비",COUNTIF(계정대체기준!$A$6:$A$15,$N3411)&gt;0),IFERROR(INDEX(계정대체기준!$E$6:$E$15,MATCH(VALUE($A3411&amp;""),계정대체기준!$D$6:$D$15,0)),0),0))</f>
        <v/>
      </c>
      <c r="AH3411" s="64">
        <f>IF($A3411="","",IF(AD3411=0,"",IF(OR(COUNTIF(계정대체기준!$A$77:$A$86,$N3411)&gt;0,ISNUMBER(MATCH($X3411,계정대체기준!$D$77:$D$86,0)),ISNUMBER(MATCH($F3411,계정대체기준!$D$77:$D$86,0))),"Y","N")))</f>
        <v/>
      </c>
    </row>
    <row r="3412">
      <c r="A3412" s="92" t="n">
        <v>2026</v>
      </c>
      <c r="B3412" s="92" t="n">
        <v>4</v>
      </c>
      <c r="C3412" s="92" t="inlineStr">
        <is>
          <t>5100000690</t>
        </is>
      </c>
      <c r="D3412" s="95" t="n">
        <v>46114</v>
      </c>
      <c r="E3412" s="92" t="inlineStr">
        <is>
          <t>KR</t>
        </is>
      </c>
      <c r="F3412" s="92" t="n">
        <v>63001000</v>
      </c>
      <c r="G3412" s="92" t="n">
        <v>1701</v>
      </c>
      <c r="H3412" s="93" t="n">
        <v>20279000</v>
      </c>
      <c r="I3412" s="92" t="inlineStr">
        <is>
          <t>4월 SW 유지보수 - Y소프트</t>
        </is>
      </c>
      <c r="J3412" s="92" t="inlineStr">
        <is>
          <t>V10017</t>
        </is>
      </c>
      <c r="K3412" s="92" t="inlineStr">
        <is>
          <t>Y소프트</t>
        </is>
      </c>
      <c r="M3412" s="9">
        <f>IF($A3412="","",VALUE($A3412&amp;"")*12+VALUE($B3412&amp;""))</f>
        <v/>
      </c>
      <c r="N3412" s="64">
        <f>IF($A3412="","",IFERROR(INDEX(부서매핑!$C$5:$C$504,MATCH($G3412&amp;"",부서매핑!$A$5:$A$504,0)),"미매핑"))</f>
        <v/>
      </c>
      <c r="O3412" s="9">
        <f>IF($A3412="","",N3412&amp;"|"&amp;$F3412)</f>
        <v/>
      </c>
      <c r="P3412" s="94">
        <f>IF($A3412="",0,$H3412*설정!$C$23)</f>
        <v/>
      </c>
      <c r="Q3412" s="64">
        <f>IF($A3412="","",IF(O3412&lt;&gt;원인분석!$C$9,"",IF(AND(M3412&gt;=원인분석!$C$10,M3412&lt;=원인분석!$C$11),"당기",IF(AND(M3412&gt;=원인분석!$C$12,M3412&lt;=원인분석!$C$13),"비교",""))))</f>
        <v/>
      </c>
      <c r="R3412" s="9">
        <f>IF(Q3412="","",$K3412&amp;"")</f>
        <v/>
      </c>
      <c r="S3412" s="9">
        <f>IF(Q3412="","",IF(MATCH(R3412,$R$5:$R$100000,0)=ROW()-4,ROW(),""))</f>
        <v/>
      </c>
      <c r="T3412" s="9">
        <f>IF(Q3412="당기",ABS(P3412)+ROW()/1000000000,"")</f>
        <v/>
      </c>
      <c r="U3412" s="9">
        <f>IF(Q3412="비교",ABS(P3412)+ROW()/1000000000,"")</f>
        <v/>
      </c>
      <c r="V3412" s="64">
        <f>IF($A3412="","",IF(COUNTIF(변동분석!$E$7:$E$506,O3412)&gt;0,"Y","N"))</f>
        <v/>
      </c>
      <c r="W3412" s="64">
        <f>IF($A3412="","",IFERROR(INDEX(계정매핑!$D$5:$D$504,MATCH($F3412&amp;"",계정매핑!$A$5:$A$504,0)),"미매핑"))</f>
        <v/>
      </c>
      <c r="X3412" s="9">
        <f>IF($A3412="","",$F3412&amp;"")</f>
        <v/>
      </c>
      <c r="Y3412" s="94">
        <f>IF($A3412="",0,IF(AE3412="직접",IF(AF3412="비귀속",$P3412,0),$P3412*(1-AG3412)*IFERROR(INDEX(계정대체기준!$F$20:$F$49,MATCH($N3412,계정대체기준!$A$20:$A$49,0)),1)))</f>
        <v/>
      </c>
      <c r="Z3412" s="94">
        <f>IF($A3412="",0,IF(AE3412="직접",IF(AF3412="신계약비",$P3412,0),$P3412*(1-AG3412)*IFERROR(INDEX(계정대체기준!$C$20:$C$49,MATCH($N3412,계정대체기준!$A$20:$A$49,0)),0)))</f>
        <v/>
      </c>
      <c r="AA3412" s="94">
        <f>IF($A3412="",0,IF(AE3412="직접",IF(OR(AF3412="유지비",AF3412="손해조사비"),$P3412,0),$P3412*(1-AG3412)*IFERROR(INDEX(계정대체기준!$D$20:$D$49,MATCH($N3412,계정대체기준!$A$20:$A$49,0)),0)))</f>
        <v/>
      </c>
      <c r="AB3412" s="94">
        <f>IF($A3412="",0,IF(AE3412="직접",IF(AF3412="수금비",$P3412,0),$P3412*(1-AG3412)*IFERROR(INDEX(계정대체기준!$E$20:$E$49,MATCH($N3412,계정대체기준!$A$20:$A$49,0)),0)))</f>
        <v/>
      </c>
      <c r="AC3412" s="9">
        <f>IF(AND($A3412&lt;&gt;"",M3412=설정!$C$20,Z3412&gt;0),Z3412+ROW()/1000000000,"")</f>
        <v/>
      </c>
      <c r="AD3412" s="94">
        <f>IF($A3412="",0,$P3412*AG3412)</f>
        <v/>
      </c>
      <c r="AE3412" s="64">
        <f>IF($A3412="","",IFERROR(INDEX(계정매핑!$E$5:$E$504,MATCH($F3412&amp;"",계정매핑!$A$5:$A$504,0))&amp;"","공통비"))</f>
        <v/>
      </c>
      <c r="AF3412" s="64">
        <f>IF($A3412="","",IF(AE3412="직접",IFERROR(INDEX(계정매핑!$F$5:$F$504,MATCH($F3412&amp;"",계정매핑!$A$5:$A$504,0))&amp;"","비귀속"),""))</f>
        <v/>
      </c>
      <c r="AG3412" s="96">
        <f>IF($A3412="",0,IF(AND(AE3412&lt;&gt;"직접",IFERROR(INDEX(계정매핑!$G$5:$G$504,MATCH($F3412&amp;"",계정매핑!$A$5:$A$504,0))&amp;"","")="유지비",COUNTIF(계정대체기준!$A$6:$A$15,$N3412)&gt;0),IFERROR(INDEX(계정대체기준!$E$6:$E$15,MATCH(VALUE($A3412&amp;""),계정대체기준!$D$6:$D$15,0)),0),0))</f>
        <v/>
      </c>
      <c r="AH3412" s="64">
        <f>IF($A3412="","",IF(AD3412=0,"",IF(OR(COUNTIF(계정대체기준!$A$77:$A$86,$N3412)&gt;0,ISNUMBER(MATCH($X3412,계정대체기준!$D$77:$D$86,0)),ISNUMBER(MATCH($F3412,계정대체기준!$D$77:$D$86,0))),"Y","N")))</f>
        <v/>
      </c>
    </row>
    <row r="3413">
      <c r="A3413" s="92" t="n">
        <v>2026</v>
      </c>
      <c r="B3413" s="92" t="n">
        <v>4</v>
      </c>
      <c r="C3413" s="92" t="inlineStr">
        <is>
          <t>5100000691</t>
        </is>
      </c>
      <c r="D3413" s="95" t="n">
        <v>46115</v>
      </c>
      <c r="E3413" s="92" t="inlineStr">
        <is>
          <t>KR</t>
        </is>
      </c>
      <c r="F3413" s="92" t="n">
        <v>62101000</v>
      </c>
      <c r="G3413" s="92" t="n">
        <v>1401</v>
      </c>
      <c r="H3413" s="93" t="n">
        <v>463000</v>
      </c>
      <c r="I3413" s="92" t="inlineStr">
        <is>
          <t>4월 국내출장 - M항공</t>
        </is>
      </c>
      <c r="J3413" s="92" t="inlineStr">
        <is>
          <t>V10001</t>
        </is>
      </c>
      <c r="K3413" s="92" t="inlineStr">
        <is>
          <t>M항공</t>
        </is>
      </c>
      <c r="M3413" s="9">
        <f>IF($A3413="","",VALUE($A3413&amp;"")*12+VALUE($B3413&amp;""))</f>
        <v/>
      </c>
      <c r="N3413" s="64">
        <f>IF($A3413="","",IFERROR(INDEX(부서매핑!$C$5:$C$504,MATCH($G3413&amp;"",부서매핑!$A$5:$A$504,0)),"미매핑"))</f>
        <v/>
      </c>
      <c r="O3413" s="9">
        <f>IF($A3413="","",N3413&amp;"|"&amp;$F3413)</f>
        <v/>
      </c>
      <c r="P3413" s="94">
        <f>IF($A3413="",0,$H3413*설정!$C$23)</f>
        <v/>
      </c>
      <c r="Q3413" s="64">
        <f>IF($A3413="","",IF(O3413&lt;&gt;원인분석!$C$9,"",IF(AND(M3413&gt;=원인분석!$C$10,M3413&lt;=원인분석!$C$11),"당기",IF(AND(M3413&gt;=원인분석!$C$12,M3413&lt;=원인분석!$C$13),"비교",""))))</f>
        <v/>
      </c>
      <c r="R3413" s="9">
        <f>IF(Q3413="","",$K3413&amp;"")</f>
        <v/>
      </c>
      <c r="S3413" s="9">
        <f>IF(Q3413="","",IF(MATCH(R3413,$R$5:$R$100000,0)=ROW()-4,ROW(),""))</f>
        <v/>
      </c>
      <c r="T3413" s="9">
        <f>IF(Q3413="당기",ABS(P3413)+ROW()/1000000000,"")</f>
        <v/>
      </c>
      <c r="U3413" s="9">
        <f>IF(Q3413="비교",ABS(P3413)+ROW()/1000000000,"")</f>
        <v/>
      </c>
      <c r="V3413" s="64">
        <f>IF($A3413="","",IF(COUNTIF(변동분석!$E$7:$E$506,O3413)&gt;0,"Y","N"))</f>
        <v/>
      </c>
      <c r="W3413" s="64">
        <f>IF($A3413="","",IFERROR(INDEX(계정매핑!$D$5:$D$504,MATCH($F3413&amp;"",계정매핑!$A$5:$A$504,0)),"미매핑"))</f>
        <v/>
      </c>
      <c r="X3413" s="9">
        <f>IF($A3413="","",$F3413&amp;"")</f>
        <v/>
      </c>
      <c r="Y3413" s="94">
        <f>IF($A3413="",0,IF(AE3413="직접",IF(AF3413="비귀속",$P3413,0),$P3413*(1-AG3413)*IFERROR(INDEX(계정대체기준!$F$20:$F$49,MATCH($N3413,계정대체기준!$A$20:$A$49,0)),1)))</f>
        <v/>
      </c>
      <c r="Z3413" s="94">
        <f>IF($A3413="",0,IF(AE3413="직접",IF(AF3413="신계약비",$P3413,0),$P3413*(1-AG3413)*IFERROR(INDEX(계정대체기준!$C$20:$C$49,MATCH($N3413,계정대체기준!$A$20:$A$49,0)),0)))</f>
        <v/>
      </c>
      <c r="AA3413" s="94">
        <f>IF($A3413="",0,IF(AE3413="직접",IF(OR(AF3413="유지비",AF3413="손해조사비"),$P3413,0),$P3413*(1-AG3413)*IFERROR(INDEX(계정대체기준!$D$20:$D$49,MATCH($N3413,계정대체기준!$A$20:$A$49,0)),0)))</f>
        <v/>
      </c>
      <c r="AB3413" s="94">
        <f>IF($A3413="",0,IF(AE3413="직접",IF(AF3413="수금비",$P3413,0),$P3413*(1-AG3413)*IFERROR(INDEX(계정대체기준!$E$20:$E$49,MATCH($N3413,계정대체기준!$A$20:$A$49,0)),0)))</f>
        <v/>
      </c>
      <c r="AC3413" s="9">
        <f>IF(AND($A3413&lt;&gt;"",M3413=설정!$C$20,Z3413&gt;0),Z3413+ROW()/1000000000,"")</f>
        <v/>
      </c>
      <c r="AD3413" s="94">
        <f>IF($A3413="",0,$P3413*AG3413)</f>
        <v/>
      </c>
      <c r="AE3413" s="64">
        <f>IF($A3413="","",IFERROR(INDEX(계정매핑!$E$5:$E$504,MATCH($F3413&amp;"",계정매핑!$A$5:$A$504,0))&amp;"","공통비"))</f>
        <v/>
      </c>
      <c r="AF3413" s="64">
        <f>IF($A3413="","",IF(AE3413="직접",IFERROR(INDEX(계정매핑!$F$5:$F$504,MATCH($F3413&amp;"",계정매핑!$A$5:$A$504,0))&amp;"","비귀속"),""))</f>
        <v/>
      </c>
      <c r="AG3413" s="96">
        <f>IF($A3413="",0,IF(AND(AE3413&lt;&gt;"직접",IFERROR(INDEX(계정매핑!$G$5:$G$504,MATCH($F3413&amp;"",계정매핑!$A$5:$A$504,0))&amp;"","")="유지비",COUNTIF(계정대체기준!$A$6:$A$15,$N3413)&gt;0),IFERROR(INDEX(계정대체기준!$E$6:$E$15,MATCH(VALUE($A3413&amp;""),계정대체기준!$D$6:$D$15,0)),0),0))</f>
        <v/>
      </c>
      <c r="AH3413" s="64">
        <f>IF($A3413="","",IF(AD3413=0,"",IF(OR(COUNTIF(계정대체기준!$A$77:$A$86,$N3413)&gt;0,ISNUMBER(MATCH($X3413,계정대체기준!$D$77:$D$86,0)),ISNUMBER(MATCH($F3413,계정대체기준!$D$77:$D$86,0))),"Y","N")))</f>
        <v/>
      </c>
    </row>
    <row r="3414">
      <c r="A3414" s="92" t="n">
        <v>2026</v>
      </c>
      <c r="B3414" s="92" t="n">
        <v>4</v>
      </c>
      <c r="C3414" s="92" t="inlineStr">
        <is>
          <t>5100000692</t>
        </is>
      </c>
      <c r="D3414" s="95" t="n">
        <v>46115</v>
      </c>
      <c r="E3414" s="92" t="inlineStr">
        <is>
          <t>KR</t>
        </is>
      </c>
      <c r="F3414" s="92" t="n">
        <v>62101000</v>
      </c>
      <c r="G3414" s="92" t="n">
        <v>1801</v>
      </c>
      <c r="H3414" s="93" t="n">
        <v>175000</v>
      </c>
      <c r="I3414" s="92" t="inlineStr">
        <is>
          <t>4월 국내출장 - M항공</t>
        </is>
      </c>
      <c r="J3414" s="92" t="inlineStr">
        <is>
          <t>V10001</t>
        </is>
      </c>
      <c r="K3414" s="92" t="inlineStr">
        <is>
          <t>M항공</t>
        </is>
      </c>
      <c r="M3414" s="9">
        <f>IF($A3414="","",VALUE($A3414&amp;"")*12+VALUE($B3414&amp;""))</f>
        <v/>
      </c>
      <c r="N3414" s="64">
        <f>IF($A3414="","",IFERROR(INDEX(부서매핑!$C$5:$C$504,MATCH($G3414&amp;"",부서매핑!$A$5:$A$504,0)),"미매핑"))</f>
        <v/>
      </c>
      <c r="O3414" s="9">
        <f>IF($A3414="","",N3414&amp;"|"&amp;$F3414)</f>
        <v/>
      </c>
      <c r="P3414" s="94">
        <f>IF($A3414="",0,$H3414*설정!$C$23)</f>
        <v/>
      </c>
      <c r="Q3414" s="64">
        <f>IF($A3414="","",IF(O3414&lt;&gt;원인분석!$C$9,"",IF(AND(M3414&gt;=원인분석!$C$10,M3414&lt;=원인분석!$C$11),"당기",IF(AND(M3414&gt;=원인분석!$C$12,M3414&lt;=원인분석!$C$13),"비교",""))))</f>
        <v/>
      </c>
      <c r="R3414" s="9">
        <f>IF(Q3414="","",$K3414&amp;"")</f>
        <v/>
      </c>
      <c r="S3414" s="9">
        <f>IF(Q3414="","",IF(MATCH(R3414,$R$5:$R$100000,0)=ROW()-4,ROW(),""))</f>
        <v/>
      </c>
      <c r="T3414" s="9">
        <f>IF(Q3414="당기",ABS(P3414)+ROW()/1000000000,"")</f>
        <v/>
      </c>
      <c r="U3414" s="9">
        <f>IF(Q3414="비교",ABS(P3414)+ROW()/1000000000,"")</f>
        <v/>
      </c>
      <c r="V3414" s="64">
        <f>IF($A3414="","",IF(COUNTIF(변동분석!$E$7:$E$506,O3414)&gt;0,"Y","N"))</f>
        <v/>
      </c>
      <c r="W3414" s="64">
        <f>IF($A3414="","",IFERROR(INDEX(계정매핑!$D$5:$D$504,MATCH($F3414&amp;"",계정매핑!$A$5:$A$504,0)),"미매핑"))</f>
        <v/>
      </c>
      <c r="X3414" s="9">
        <f>IF($A3414="","",$F3414&amp;"")</f>
        <v/>
      </c>
      <c r="Y3414" s="94">
        <f>IF($A3414="",0,IF(AE3414="직접",IF(AF3414="비귀속",$P3414,0),$P3414*(1-AG3414)*IFERROR(INDEX(계정대체기준!$F$20:$F$49,MATCH($N3414,계정대체기준!$A$20:$A$49,0)),1)))</f>
        <v/>
      </c>
      <c r="Z3414" s="94">
        <f>IF($A3414="",0,IF(AE3414="직접",IF(AF3414="신계약비",$P3414,0),$P3414*(1-AG3414)*IFERROR(INDEX(계정대체기준!$C$20:$C$49,MATCH($N3414,계정대체기준!$A$20:$A$49,0)),0)))</f>
        <v/>
      </c>
      <c r="AA3414" s="94">
        <f>IF($A3414="",0,IF(AE3414="직접",IF(OR(AF3414="유지비",AF3414="손해조사비"),$P3414,0),$P3414*(1-AG3414)*IFERROR(INDEX(계정대체기준!$D$20:$D$49,MATCH($N3414,계정대체기준!$A$20:$A$49,0)),0)))</f>
        <v/>
      </c>
      <c r="AB3414" s="94">
        <f>IF($A3414="",0,IF(AE3414="직접",IF(AF3414="수금비",$P3414,0),$P3414*(1-AG3414)*IFERROR(INDEX(계정대체기준!$E$20:$E$49,MATCH($N3414,계정대체기준!$A$20:$A$49,0)),0)))</f>
        <v/>
      </c>
      <c r="AC3414" s="9">
        <f>IF(AND($A3414&lt;&gt;"",M3414=설정!$C$20,Z3414&gt;0),Z3414+ROW()/1000000000,"")</f>
        <v/>
      </c>
      <c r="AD3414" s="94">
        <f>IF($A3414="",0,$P3414*AG3414)</f>
        <v/>
      </c>
      <c r="AE3414" s="64">
        <f>IF($A3414="","",IFERROR(INDEX(계정매핑!$E$5:$E$504,MATCH($F3414&amp;"",계정매핑!$A$5:$A$504,0))&amp;"","공통비"))</f>
        <v/>
      </c>
      <c r="AF3414" s="64">
        <f>IF($A3414="","",IF(AE3414="직접",IFERROR(INDEX(계정매핑!$F$5:$F$504,MATCH($F3414&amp;"",계정매핑!$A$5:$A$504,0))&amp;"","비귀속"),""))</f>
        <v/>
      </c>
      <c r="AG3414" s="96">
        <f>IF($A3414="",0,IF(AND(AE3414&lt;&gt;"직접",IFERROR(INDEX(계정매핑!$G$5:$G$504,MATCH($F3414&amp;"",계정매핑!$A$5:$A$504,0))&amp;"","")="유지비",COUNTIF(계정대체기준!$A$6:$A$15,$N3414)&gt;0),IFERROR(INDEX(계정대체기준!$E$6:$E$15,MATCH(VALUE($A3414&amp;""),계정대체기준!$D$6:$D$15,0)),0),0))</f>
        <v/>
      </c>
      <c r="AH3414" s="64">
        <f>IF($A3414="","",IF(AD3414=0,"",IF(OR(COUNTIF(계정대체기준!$A$77:$A$86,$N3414)&gt;0,ISNUMBER(MATCH($X3414,계정대체기준!$D$77:$D$86,0)),ISNUMBER(MATCH($F3414,계정대체기준!$D$77:$D$86,0))),"Y","N")))</f>
        <v/>
      </c>
    </row>
    <row r="3415">
      <c r="A3415" s="92" t="n">
        <v>2026</v>
      </c>
      <c r="B3415" s="92" t="n">
        <v>4</v>
      </c>
      <c r="C3415" s="92" t="inlineStr">
        <is>
          <t>5100000693</t>
        </is>
      </c>
      <c r="D3415" s="95" t="n">
        <v>46115</v>
      </c>
      <c r="E3415" s="92" t="inlineStr">
        <is>
          <t>KR</t>
        </is>
      </c>
      <c r="F3415" s="92" t="n">
        <v>62101000</v>
      </c>
      <c r="G3415" s="92" t="n">
        <v>1951</v>
      </c>
      <c r="H3415" s="93" t="n">
        <v>476000</v>
      </c>
      <c r="I3415" s="92" t="inlineStr">
        <is>
          <t>4월 국내출장 - M항공</t>
        </is>
      </c>
      <c r="J3415" s="92" t="inlineStr">
        <is>
          <t>V10001</t>
        </is>
      </c>
      <c r="K3415" s="92" t="inlineStr">
        <is>
          <t>M항공</t>
        </is>
      </c>
      <c r="M3415" s="9">
        <f>IF($A3415="","",VALUE($A3415&amp;"")*12+VALUE($B3415&amp;""))</f>
        <v/>
      </c>
      <c r="N3415" s="64">
        <f>IF($A3415="","",IFERROR(INDEX(부서매핑!$C$5:$C$504,MATCH($G3415&amp;"",부서매핑!$A$5:$A$504,0)),"미매핑"))</f>
        <v/>
      </c>
      <c r="O3415" s="9">
        <f>IF($A3415="","",N3415&amp;"|"&amp;$F3415)</f>
        <v/>
      </c>
      <c r="P3415" s="94">
        <f>IF($A3415="",0,$H3415*설정!$C$23)</f>
        <v/>
      </c>
      <c r="Q3415" s="64">
        <f>IF($A3415="","",IF(O3415&lt;&gt;원인분석!$C$9,"",IF(AND(M3415&gt;=원인분석!$C$10,M3415&lt;=원인분석!$C$11),"당기",IF(AND(M3415&gt;=원인분석!$C$12,M3415&lt;=원인분석!$C$13),"비교",""))))</f>
        <v/>
      </c>
      <c r="R3415" s="9">
        <f>IF(Q3415="","",$K3415&amp;"")</f>
        <v/>
      </c>
      <c r="S3415" s="9">
        <f>IF(Q3415="","",IF(MATCH(R3415,$R$5:$R$100000,0)=ROW()-4,ROW(),""))</f>
        <v/>
      </c>
      <c r="T3415" s="9">
        <f>IF(Q3415="당기",ABS(P3415)+ROW()/1000000000,"")</f>
        <v/>
      </c>
      <c r="U3415" s="9">
        <f>IF(Q3415="비교",ABS(P3415)+ROW()/1000000000,"")</f>
        <v/>
      </c>
      <c r="V3415" s="64">
        <f>IF($A3415="","",IF(COUNTIF(변동분석!$E$7:$E$506,O3415)&gt;0,"Y","N"))</f>
        <v/>
      </c>
      <c r="W3415" s="64">
        <f>IF($A3415="","",IFERROR(INDEX(계정매핑!$D$5:$D$504,MATCH($F3415&amp;"",계정매핑!$A$5:$A$504,0)),"미매핑"))</f>
        <v/>
      </c>
      <c r="X3415" s="9">
        <f>IF($A3415="","",$F3415&amp;"")</f>
        <v/>
      </c>
      <c r="Y3415" s="94">
        <f>IF($A3415="",0,IF(AE3415="직접",IF(AF3415="비귀속",$P3415,0),$P3415*(1-AG3415)*IFERROR(INDEX(계정대체기준!$F$20:$F$49,MATCH($N3415,계정대체기준!$A$20:$A$49,0)),1)))</f>
        <v/>
      </c>
      <c r="Z3415" s="94">
        <f>IF($A3415="",0,IF(AE3415="직접",IF(AF3415="신계약비",$P3415,0),$P3415*(1-AG3415)*IFERROR(INDEX(계정대체기준!$C$20:$C$49,MATCH($N3415,계정대체기준!$A$20:$A$49,0)),0)))</f>
        <v/>
      </c>
      <c r="AA3415" s="94">
        <f>IF($A3415="",0,IF(AE3415="직접",IF(OR(AF3415="유지비",AF3415="손해조사비"),$P3415,0),$P3415*(1-AG3415)*IFERROR(INDEX(계정대체기준!$D$20:$D$49,MATCH($N3415,계정대체기준!$A$20:$A$49,0)),0)))</f>
        <v/>
      </c>
      <c r="AB3415" s="94">
        <f>IF($A3415="",0,IF(AE3415="직접",IF(AF3415="수금비",$P3415,0),$P3415*(1-AG3415)*IFERROR(INDEX(계정대체기준!$E$20:$E$49,MATCH($N3415,계정대체기준!$A$20:$A$49,0)),0)))</f>
        <v/>
      </c>
      <c r="AC3415" s="9">
        <f>IF(AND($A3415&lt;&gt;"",M3415=설정!$C$20,Z3415&gt;0),Z3415+ROW()/1000000000,"")</f>
        <v/>
      </c>
      <c r="AD3415" s="94">
        <f>IF($A3415="",0,$P3415*AG3415)</f>
        <v/>
      </c>
      <c r="AE3415" s="64">
        <f>IF($A3415="","",IFERROR(INDEX(계정매핑!$E$5:$E$504,MATCH($F3415&amp;"",계정매핑!$A$5:$A$504,0))&amp;"","공통비"))</f>
        <v/>
      </c>
      <c r="AF3415" s="64">
        <f>IF($A3415="","",IF(AE3415="직접",IFERROR(INDEX(계정매핑!$F$5:$F$504,MATCH($F3415&amp;"",계정매핑!$A$5:$A$504,0))&amp;"","비귀속"),""))</f>
        <v/>
      </c>
      <c r="AG3415" s="96">
        <f>IF($A3415="",0,IF(AND(AE3415&lt;&gt;"직접",IFERROR(INDEX(계정매핑!$G$5:$G$504,MATCH($F3415&amp;"",계정매핑!$A$5:$A$504,0))&amp;"","")="유지비",COUNTIF(계정대체기준!$A$6:$A$15,$N3415)&gt;0),IFERROR(INDEX(계정대체기준!$E$6:$E$15,MATCH(VALUE($A3415&amp;""),계정대체기준!$D$6:$D$15,0)),0),0))</f>
        <v/>
      </c>
      <c r="AH3415" s="64">
        <f>IF($A3415="","",IF(AD3415=0,"",IF(OR(COUNTIF(계정대체기준!$A$77:$A$86,$N3415)&gt;0,ISNUMBER(MATCH($X3415,계정대체기준!$D$77:$D$86,0)),ISNUMBER(MATCH($F3415,계정대체기준!$D$77:$D$86,0))),"Y","N")))</f>
        <v/>
      </c>
    </row>
    <row r="3416">
      <c r="A3416" s="92" t="n">
        <v>2026</v>
      </c>
      <c r="B3416" s="92" t="n">
        <v>4</v>
      </c>
      <c r="C3416" s="92" t="inlineStr">
        <is>
          <t>5100000694</t>
        </is>
      </c>
      <c r="D3416" s="95" t="n">
        <v>46115</v>
      </c>
      <c r="E3416" s="92" t="inlineStr">
        <is>
          <t>KR</t>
        </is>
      </c>
      <c r="F3416" s="92" t="n">
        <v>62102000</v>
      </c>
      <c r="G3416" s="92" t="n">
        <v>1501</v>
      </c>
      <c r="H3416" s="93" t="n">
        <v>71000</v>
      </c>
      <c r="I3416" s="92" t="inlineStr">
        <is>
          <t>4월 해외출장 - M항공</t>
        </is>
      </c>
      <c r="J3416" s="92" t="inlineStr">
        <is>
          <t>V10001</t>
        </is>
      </c>
      <c r="K3416" s="92" t="inlineStr">
        <is>
          <t>M항공</t>
        </is>
      </c>
      <c r="M3416" s="9">
        <f>IF($A3416="","",VALUE($A3416&amp;"")*12+VALUE($B3416&amp;""))</f>
        <v/>
      </c>
      <c r="N3416" s="64">
        <f>IF($A3416="","",IFERROR(INDEX(부서매핑!$C$5:$C$504,MATCH($G3416&amp;"",부서매핑!$A$5:$A$504,0)),"미매핑"))</f>
        <v/>
      </c>
      <c r="O3416" s="9">
        <f>IF($A3416="","",N3416&amp;"|"&amp;$F3416)</f>
        <v/>
      </c>
      <c r="P3416" s="94">
        <f>IF($A3416="",0,$H3416*설정!$C$23)</f>
        <v/>
      </c>
      <c r="Q3416" s="64">
        <f>IF($A3416="","",IF(O3416&lt;&gt;원인분석!$C$9,"",IF(AND(M3416&gt;=원인분석!$C$10,M3416&lt;=원인분석!$C$11),"당기",IF(AND(M3416&gt;=원인분석!$C$12,M3416&lt;=원인분석!$C$13),"비교",""))))</f>
        <v/>
      </c>
      <c r="R3416" s="9">
        <f>IF(Q3416="","",$K3416&amp;"")</f>
        <v/>
      </c>
      <c r="S3416" s="9">
        <f>IF(Q3416="","",IF(MATCH(R3416,$R$5:$R$100000,0)=ROW()-4,ROW(),""))</f>
        <v/>
      </c>
      <c r="T3416" s="9">
        <f>IF(Q3416="당기",ABS(P3416)+ROW()/1000000000,"")</f>
        <v/>
      </c>
      <c r="U3416" s="9">
        <f>IF(Q3416="비교",ABS(P3416)+ROW()/1000000000,"")</f>
        <v/>
      </c>
      <c r="V3416" s="64">
        <f>IF($A3416="","",IF(COUNTIF(변동분석!$E$7:$E$506,O3416)&gt;0,"Y","N"))</f>
        <v/>
      </c>
      <c r="W3416" s="64">
        <f>IF($A3416="","",IFERROR(INDEX(계정매핑!$D$5:$D$504,MATCH($F3416&amp;"",계정매핑!$A$5:$A$504,0)),"미매핑"))</f>
        <v/>
      </c>
      <c r="X3416" s="9">
        <f>IF($A3416="","",$F3416&amp;"")</f>
        <v/>
      </c>
      <c r="Y3416" s="94">
        <f>IF($A3416="",0,IF(AE3416="직접",IF(AF3416="비귀속",$P3416,0),$P3416*(1-AG3416)*IFERROR(INDEX(계정대체기준!$F$20:$F$49,MATCH($N3416,계정대체기준!$A$20:$A$49,0)),1)))</f>
        <v/>
      </c>
      <c r="Z3416" s="94">
        <f>IF($A3416="",0,IF(AE3416="직접",IF(AF3416="신계약비",$P3416,0),$P3416*(1-AG3416)*IFERROR(INDEX(계정대체기준!$C$20:$C$49,MATCH($N3416,계정대체기준!$A$20:$A$49,0)),0)))</f>
        <v/>
      </c>
      <c r="AA3416" s="94">
        <f>IF($A3416="",0,IF(AE3416="직접",IF(OR(AF3416="유지비",AF3416="손해조사비"),$P3416,0),$P3416*(1-AG3416)*IFERROR(INDEX(계정대체기준!$D$20:$D$49,MATCH($N3416,계정대체기준!$A$20:$A$49,0)),0)))</f>
        <v/>
      </c>
      <c r="AB3416" s="94">
        <f>IF($A3416="",0,IF(AE3416="직접",IF(AF3416="수금비",$P3416,0),$P3416*(1-AG3416)*IFERROR(INDEX(계정대체기준!$E$20:$E$49,MATCH($N3416,계정대체기준!$A$20:$A$49,0)),0)))</f>
        <v/>
      </c>
      <c r="AC3416" s="9">
        <f>IF(AND($A3416&lt;&gt;"",M3416=설정!$C$20,Z3416&gt;0),Z3416+ROW()/1000000000,"")</f>
        <v/>
      </c>
      <c r="AD3416" s="94">
        <f>IF($A3416="",0,$P3416*AG3416)</f>
        <v/>
      </c>
      <c r="AE3416" s="64">
        <f>IF($A3416="","",IFERROR(INDEX(계정매핑!$E$5:$E$504,MATCH($F3416&amp;"",계정매핑!$A$5:$A$504,0))&amp;"","공통비"))</f>
        <v/>
      </c>
      <c r="AF3416" s="64">
        <f>IF($A3416="","",IF(AE3416="직접",IFERROR(INDEX(계정매핑!$F$5:$F$504,MATCH($F3416&amp;"",계정매핑!$A$5:$A$504,0))&amp;"","비귀속"),""))</f>
        <v/>
      </c>
      <c r="AG3416" s="96">
        <f>IF($A3416="",0,IF(AND(AE3416&lt;&gt;"직접",IFERROR(INDEX(계정매핑!$G$5:$G$504,MATCH($F3416&amp;"",계정매핑!$A$5:$A$504,0))&amp;"","")="유지비",COUNTIF(계정대체기준!$A$6:$A$15,$N3416)&gt;0),IFERROR(INDEX(계정대체기준!$E$6:$E$15,MATCH(VALUE($A3416&amp;""),계정대체기준!$D$6:$D$15,0)),0),0))</f>
        <v/>
      </c>
      <c r="AH3416" s="64">
        <f>IF($A3416="","",IF(AD3416=0,"",IF(OR(COUNTIF(계정대체기준!$A$77:$A$86,$N3416)&gt;0,ISNUMBER(MATCH($X3416,계정대체기준!$D$77:$D$86,0)),ISNUMBER(MATCH($F3416,계정대체기준!$D$77:$D$86,0))),"Y","N")))</f>
        <v/>
      </c>
    </row>
    <row r="3417">
      <c r="A3417" s="92" t="n">
        <v>2026</v>
      </c>
      <c r="B3417" s="92" t="n">
        <v>4</v>
      </c>
      <c r="C3417" s="92" t="inlineStr">
        <is>
          <t>5100000695</t>
        </is>
      </c>
      <c r="D3417" s="95" t="n">
        <v>46115</v>
      </c>
      <c r="E3417" s="92" t="inlineStr">
        <is>
          <t>KR</t>
        </is>
      </c>
      <c r="F3417" s="92" t="n">
        <v>62102000</v>
      </c>
      <c r="G3417" s="92" t="n">
        <v>1602</v>
      </c>
      <c r="H3417" s="93" t="n">
        <v>304000</v>
      </c>
      <c r="I3417" s="92" t="inlineStr">
        <is>
          <t>4월 해외출장 - M항공</t>
        </is>
      </c>
      <c r="J3417" s="92" t="inlineStr">
        <is>
          <t>V10001</t>
        </is>
      </c>
      <c r="K3417" s="92" t="inlineStr">
        <is>
          <t>M항공</t>
        </is>
      </c>
      <c r="M3417" s="9">
        <f>IF($A3417="","",VALUE($A3417&amp;"")*12+VALUE($B3417&amp;""))</f>
        <v/>
      </c>
      <c r="N3417" s="64">
        <f>IF($A3417="","",IFERROR(INDEX(부서매핑!$C$5:$C$504,MATCH($G3417&amp;"",부서매핑!$A$5:$A$504,0)),"미매핑"))</f>
        <v/>
      </c>
      <c r="O3417" s="9">
        <f>IF($A3417="","",N3417&amp;"|"&amp;$F3417)</f>
        <v/>
      </c>
      <c r="P3417" s="94">
        <f>IF($A3417="",0,$H3417*설정!$C$23)</f>
        <v/>
      </c>
      <c r="Q3417" s="64">
        <f>IF($A3417="","",IF(O3417&lt;&gt;원인분석!$C$9,"",IF(AND(M3417&gt;=원인분석!$C$10,M3417&lt;=원인분석!$C$11),"당기",IF(AND(M3417&gt;=원인분석!$C$12,M3417&lt;=원인분석!$C$13),"비교",""))))</f>
        <v/>
      </c>
      <c r="R3417" s="9">
        <f>IF(Q3417="","",$K3417&amp;"")</f>
        <v/>
      </c>
      <c r="S3417" s="9">
        <f>IF(Q3417="","",IF(MATCH(R3417,$R$5:$R$100000,0)=ROW()-4,ROW(),""))</f>
        <v/>
      </c>
      <c r="T3417" s="9">
        <f>IF(Q3417="당기",ABS(P3417)+ROW()/1000000000,"")</f>
        <v/>
      </c>
      <c r="U3417" s="9">
        <f>IF(Q3417="비교",ABS(P3417)+ROW()/1000000000,"")</f>
        <v/>
      </c>
      <c r="V3417" s="64">
        <f>IF($A3417="","",IF(COUNTIF(변동분석!$E$7:$E$506,O3417)&gt;0,"Y","N"))</f>
        <v/>
      </c>
      <c r="W3417" s="64">
        <f>IF($A3417="","",IFERROR(INDEX(계정매핑!$D$5:$D$504,MATCH($F3417&amp;"",계정매핑!$A$5:$A$504,0)),"미매핑"))</f>
        <v/>
      </c>
      <c r="X3417" s="9">
        <f>IF($A3417="","",$F3417&amp;"")</f>
        <v/>
      </c>
      <c r="Y3417" s="94">
        <f>IF($A3417="",0,IF(AE3417="직접",IF(AF3417="비귀속",$P3417,0),$P3417*(1-AG3417)*IFERROR(INDEX(계정대체기준!$F$20:$F$49,MATCH($N3417,계정대체기준!$A$20:$A$49,0)),1)))</f>
        <v/>
      </c>
      <c r="Z3417" s="94">
        <f>IF($A3417="",0,IF(AE3417="직접",IF(AF3417="신계약비",$P3417,0),$P3417*(1-AG3417)*IFERROR(INDEX(계정대체기준!$C$20:$C$49,MATCH($N3417,계정대체기준!$A$20:$A$49,0)),0)))</f>
        <v/>
      </c>
      <c r="AA3417" s="94">
        <f>IF($A3417="",0,IF(AE3417="직접",IF(OR(AF3417="유지비",AF3417="손해조사비"),$P3417,0),$P3417*(1-AG3417)*IFERROR(INDEX(계정대체기준!$D$20:$D$49,MATCH($N3417,계정대체기준!$A$20:$A$49,0)),0)))</f>
        <v/>
      </c>
      <c r="AB3417" s="94">
        <f>IF($A3417="",0,IF(AE3417="직접",IF(AF3417="수금비",$P3417,0),$P3417*(1-AG3417)*IFERROR(INDEX(계정대체기준!$E$20:$E$49,MATCH($N3417,계정대체기준!$A$20:$A$49,0)),0)))</f>
        <v/>
      </c>
      <c r="AC3417" s="9">
        <f>IF(AND($A3417&lt;&gt;"",M3417=설정!$C$20,Z3417&gt;0),Z3417+ROW()/1000000000,"")</f>
        <v/>
      </c>
      <c r="AD3417" s="94">
        <f>IF($A3417="",0,$P3417*AG3417)</f>
        <v/>
      </c>
      <c r="AE3417" s="64">
        <f>IF($A3417="","",IFERROR(INDEX(계정매핑!$E$5:$E$504,MATCH($F3417&amp;"",계정매핑!$A$5:$A$504,0))&amp;"","공통비"))</f>
        <v/>
      </c>
      <c r="AF3417" s="64">
        <f>IF($A3417="","",IF(AE3417="직접",IFERROR(INDEX(계정매핑!$F$5:$F$504,MATCH($F3417&amp;"",계정매핑!$A$5:$A$504,0))&amp;"","비귀속"),""))</f>
        <v/>
      </c>
      <c r="AG3417" s="96">
        <f>IF($A3417="",0,IF(AND(AE3417&lt;&gt;"직접",IFERROR(INDEX(계정매핑!$G$5:$G$504,MATCH($F3417&amp;"",계정매핑!$A$5:$A$504,0))&amp;"","")="유지비",COUNTIF(계정대체기준!$A$6:$A$15,$N3417)&gt;0),IFERROR(INDEX(계정대체기준!$E$6:$E$15,MATCH(VALUE($A3417&amp;""),계정대체기준!$D$6:$D$15,0)),0),0))</f>
        <v/>
      </c>
      <c r="AH3417" s="64">
        <f>IF($A3417="","",IF(AD3417=0,"",IF(OR(COUNTIF(계정대체기준!$A$77:$A$86,$N3417)&gt;0,ISNUMBER(MATCH($X3417,계정대체기준!$D$77:$D$86,0)),ISNUMBER(MATCH($F3417,계정대체기준!$D$77:$D$86,0))),"Y","N")))</f>
        <v/>
      </c>
    </row>
    <row r="3418">
      <c r="A3418" s="92" t="n">
        <v>2026</v>
      </c>
      <c r="B3418" s="92" t="n">
        <v>4</v>
      </c>
      <c r="C3418" s="92" t="inlineStr">
        <is>
          <t>5100000696</t>
        </is>
      </c>
      <c r="D3418" s="95" t="n">
        <v>46115</v>
      </c>
      <c r="E3418" s="92" t="inlineStr">
        <is>
          <t>KR</t>
        </is>
      </c>
      <c r="F3418" s="92" t="n">
        <v>62301000</v>
      </c>
      <c r="G3418" s="92" t="n">
        <v>1801</v>
      </c>
      <c r="H3418" s="93" t="n">
        <v>705000</v>
      </c>
      <c r="I3418" s="92" t="inlineStr">
        <is>
          <t>4월 소모품 구입 - Q오피스</t>
        </is>
      </c>
      <c r="J3418" s="92" t="inlineStr">
        <is>
          <t>V10003</t>
        </is>
      </c>
      <c r="K3418" s="92" t="inlineStr">
        <is>
          <t>Q오피스</t>
        </is>
      </c>
      <c r="M3418" s="9">
        <f>IF($A3418="","",VALUE($A3418&amp;"")*12+VALUE($B3418&amp;""))</f>
        <v/>
      </c>
      <c r="N3418" s="64">
        <f>IF($A3418="","",IFERROR(INDEX(부서매핑!$C$5:$C$504,MATCH($G3418&amp;"",부서매핑!$A$5:$A$504,0)),"미매핑"))</f>
        <v/>
      </c>
      <c r="O3418" s="9">
        <f>IF($A3418="","",N3418&amp;"|"&amp;$F3418)</f>
        <v/>
      </c>
      <c r="P3418" s="94">
        <f>IF($A3418="",0,$H3418*설정!$C$23)</f>
        <v/>
      </c>
      <c r="Q3418" s="64">
        <f>IF($A3418="","",IF(O3418&lt;&gt;원인분석!$C$9,"",IF(AND(M3418&gt;=원인분석!$C$10,M3418&lt;=원인분석!$C$11),"당기",IF(AND(M3418&gt;=원인분석!$C$12,M3418&lt;=원인분석!$C$13),"비교",""))))</f>
        <v/>
      </c>
      <c r="R3418" s="9">
        <f>IF(Q3418="","",$K3418&amp;"")</f>
        <v/>
      </c>
      <c r="S3418" s="9">
        <f>IF(Q3418="","",IF(MATCH(R3418,$R$5:$R$100000,0)=ROW()-4,ROW(),""))</f>
        <v/>
      </c>
      <c r="T3418" s="9">
        <f>IF(Q3418="당기",ABS(P3418)+ROW()/1000000000,"")</f>
        <v/>
      </c>
      <c r="U3418" s="9">
        <f>IF(Q3418="비교",ABS(P3418)+ROW()/1000000000,"")</f>
        <v/>
      </c>
      <c r="V3418" s="64">
        <f>IF($A3418="","",IF(COUNTIF(변동분석!$E$7:$E$506,O3418)&gt;0,"Y","N"))</f>
        <v/>
      </c>
      <c r="W3418" s="64">
        <f>IF($A3418="","",IFERROR(INDEX(계정매핑!$D$5:$D$504,MATCH($F3418&amp;"",계정매핑!$A$5:$A$504,0)),"미매핑"))</f>
        <v/>
      </c>
      <c r="X3418" s="9">
        <f>IF($A3418="","",$F3418&amp;"")</f>
        <v/>
      </c>
      <c r="Y3418" s="94">
        <f>IF($A3418="",0,IF(AE3418="직접",IF(AF3418="비귀속",$P3418,0),$P3418*(1-AG3418)*IFERROR(INDEX(계정대체기준!$F$20:$F$49,MATCH($N3418,계정대체기준!$A$20:$A$49,0)),1)))</f>
        <v/>
      </c>
      <c r="Z3418" s="94">
        <f>IF($A3418="",0,IF(AE3418="직접",IF(AF3418="신계약비",$P3418,0),$P3418*(1-AG3418)*IFERROR(INDEX(계정대체기준!$C$20:$C$49,MATCH($N3418,계정대체기준!$A$20:$A$49,0)),0)))</f>
        <v/>
      </c>
      <c r="AA3418" s="94">
        <f>IF($A3418="",0,IF(AE3418="직접",IF(OR(AF3418="유지비",AF3418="손해조사비"),$P3418,0),$P3418*(1-AG3418)*IFERROR(INDEX(계정대체기준!$D$20:$D$49,MATCH($N3418,계정대체기준!$A$20:$A$49,0)),0)))</f>
        <v/>
      </c>
      <c r="AB3418" s="94">
        <f>IF($A3418="",0,IF(AE3418="직접",IF(AF3418="수금비",$P3418,0),$P3418*(1-AG3418)*IFERROR(INDEX(계정대체기준!$E$20:$E$49,MATCH($N3418,계정대체기준!$A$20:$A$49,0)),0)))</f>
        <v/>
      </c>
      <c r="AC3418" s="9">
        <f>IF(AND($A3418&lt;&gt;"",M3418=설정!$C$20,Z3418&gt;0),Z3418+ROW()/1000000000,"")</f>
        <v/>
      </c>
      <c r="AD3418" s="94">
        <f>IF($A3418="",0,$P3418*AG3418)</f>
        <v/>
      </c>
      <c r="AE3418" s="64">
        <f>IF($A3418="","",IFERROR(INDEX(계정매핑!$E$5:$E$504,MATCH($F3418&amp;"",계정매핑!$A$5:$A$504,0))&amp;"","공통비"))</f>
        <v/>
      </c>
      <c r="AF3418" s="64">
        <f>IF($A3418="","",IF(AE3418="직접",IFERROR(INDEX(계정매핑!$F$5:$F$504,MATCH($F3418&amp;"",계정매핑!$A$5:$A$504,0))&amp;"","비귀속"),""))</f>
        <v/>
      </c>
      <c r="AG3418" s="96">
        <f>IF($A3418="",0,IF(AND(AE3418&lt;&gt;"직접",IFERROR(INDEX(계정매핑!$G$5:$G$504,MATCH($F3418&amp;"",계정매핑!$A$5:$A$504,0))&amp;"","")="유지비",COUNTIF(계정대체기준!$A$6:$A$15,$N3418)&gt;0),IFERROR(INDEX(계정대체기준!$E$6:$E$15,MATCH(VALUE($A3418&amp;""),계정대체기준!$D$6:$D$15,0)),0),0))</f>
        <v/>
      </c>
      <c r="AH3418" s="64">
        <f>IF($A3418="","",IF(AD3418=0,"",IF(OR(COUNTIF(계정대체기준!$A$77:$A$86,$N3418)&gt;0,ISNUMBER(MATCH($X3418,계정대체기준!$D$77:$D$86,0)),ISNUMBER(MATCH($F3418,계정대체기준!$D$77:$D$86,0))),"Y","N")))</f>
        <v/>
      </c>
    </row>
    <row r="3419">
      <c r="A3419" s="92" t="n">
        <v>2026</v>
      </c>
      <c r="B3419" s="92" t="n">
        <v>4</v>
      </c>
      <c r="C3419" s="92" t="inlineStr">
        <is>
          <t>5100000697</t>
        </is>
      </c>
      <c r="D3419" s="95" t="n">
        <v>46115</v>
      </c>
      <c r="E3419" s="92" t="inlineStr">
        <is>
          <t>KR</t>
        </is>
      </c>
      <c r="F3419" s="92" t="n">
        <v>62401000</v>
      </c>
      <c r="G3419" s="92" t="n">
        <v>1801</v>
      </c>
      <c r="H3419" s="93" t="n">
        <v>2559000</v>
      </c>
      <c r="I3419" s="92" t="inlineStr">
        <is>
          <t>4월 인쇄물 제작 - G인쇄</t>
        </is>
      </c>
      <c r="J3419" s="92" t="inlineStr">
        <is>
          <t>V10004</t>
        </is>
      </c>
      <c r="K3419" s="92" t="inlineStr">
        <is>
          <t>G인쇄</t>
        </is>
      </c>
      <c r="M3419" s="9">
        <f>IF($A3419="","",VALUE($A3419&amp;"")*12+VALUE($B3419&amp;""))</f>
        <v/>
      </c>
      <c r="N3419" s="64">
        <f>IF($A3419="","",IFERROR(INDEX(부서매핑!$C$5:$C$504,MATCH($G3419&amp;"",부서매핑!$A$5:$A$504,0)),"미매핑"))</f>
        <v/>
      </c>
      <c r="O3419" s="9">
        <f>IF($A3419="","",N3419&amp;"|"&amp;$F3419)</f>
        <v/>
      </c>
      <c r="P3419" s="94">
        <f>IF($A3419="",0,$H3419*설정!$C$23)</f>
        <v/>
      </c>
      <c r="Q3419" s="64">
        <f>IF($A3419="","",IF(O3419&lt;&gt;원인분석!$C$9,"",IF(AND(M3419&gt;=원인분석!$C$10,M3419&lt;=원인분석!$C$11),"당기",IF(AND(M3419&gt;=원인분석!$C$12,M3419&lt;=원인분석!$C$13),"비교",""))))</f>
        <v/>
      </c>
      <c r="R3419" s="9">
        <f>IF(Q3419="","",$K3419&amp;"")</f>
        <v/>
      </c>
      <c r="S3419" s="9">
        <f>IF(Q3419="","",IF(MATCH(R3419,$R$5:$R$100000,0)=ROW()-4,ROW(),""))</f>
        <v/>
      </c>
      <c r="T3419" s="9">
        <f>IF(Q3419="당기",ABS(P3419)+ROW()/1000000000,"")</f>
        <v/>
      </c>
      <c r="U3419" s="9">
        <f>IF(Q3419="비교",ABS(P3419)+ROW()/1000000000,"")</f>
        <v/>
      </c>
      <c r="V3419" s="64">
        <f>IF($A3419="","",IF(COUNTIF(변동분석!$E$7:$E$506,O3419)&gt;0,"Y","N"))</f>
        <v/>
      </c>
      <c r="W3419" s="64">
        <f>IF($A3419="","",IFERROR(INDEX(계정매핑!$D$5:$D$504,MATCH($F3419&amp;"",계정매핑!$A$5:$A$504,0)),"미매핑"))</f>
        <v/>
      </c>
      <c r="X3419" s="9">
        <f>IF($A3419="","",$F3419&amp;"")</f>
        <v/>
      </c>
      <c r="Y3419" s="94">
        <f>IF($A3419="",0,IF(AE3419="직접",IF(AF3419="비귀속",$P3419,0),$P3419*(1-AG3419)*IFERROR(INDEX(계정대체기준!$F$20:$F$49,MATCH($N3419,계정대체기준!$A$20:$A$49,0)),1)))</f>
        <v/>
      </c>
      <c r="Z3419" s="94">
        <f>IF($A3419="",0,IF(AE3419="직접",IF(AF3419="신계약비",$P3419,0),$P3419*(1-AG3419)*IFERROR(INDEX(계정대체기준!$C$20:$C$49,MATCH($N3419,계정대체기준!$A$20:$A$49,0)),0)))</f>
        <v/>
      </c>
      <c r="AA3419" s="94">
        <f>IF($A3419="",0,IF(AE3419="직접",IF(OR(AF3419="유지비",AF3419="손해조사비"),$P3419,0),$P3419*(1-AG3419)*IFERROR(INDEX(계정대체기준!$D$20:$D$49,MATCH($N3419,계정대체기준!$A$20:$A$49,0)),0)))</f>
        <v/>
      </c>
      <c r="AB3419" s="94">
        <f>IF($A3419="",0,IF(AE3419="직접",IF(AF3419="수금비",$P3419,0),$P3419*(1-AG3419)*IFERROR(INDEX(계정대체기준!$E$20:$E$49,MATCH($N3419,계정대체기준!$A$20:$A$49,0)),0)))</f>
        <v/>
      </c>
      <c r="AC3419" s="9">
        <f>IF(AND($A3419&lt;&gt;"",M3419=설정!$C$20,Z3419&gt;0),Z3419+ROW()/1000000000,"")</f>
        <v/>
      </c>
      <c r="AD3419" s="94">
        <f>IF($A3419="",0,$P3419*AG3419)</f>
        <v/>
      </c>
      <c r="AE3419" s="64">
        <f>IF($A3419="","",IFERROR(INDEX(계정매핑!$E$5:$E$504,MATCH($F3419&amp;"",계정매핑!$A$5:$A$504,0))&amp;"","공통비"))</f>
        <v/>
      </c>
      <c r="AF3419" s="64">
        <f>IF($A3419="","",IF(AE3419="직접",IFERROR(INDEX(계정매핑!$F$5:$F$504,MATCH($F3419&amp;"",계정매핑!$A$5:$A$504,0))&amp;"","비귀속"),""))</f>
        <v/>
      </c>
      <c r="AG3419" s="96">
        <f>IF($A3419="",0,IF(AND(AE3419&lt;&gt;"직접",IFERROR(INDEX(계정매핑!$G$5:$G$504,MATCH($F3419&amp;"",계정매핑!$A$5:$A$504,0))&amp;"","")="유지비",COUNTIF(계정대체기준!$A$6:$A$15,$N3419)&gt;0),IFERROR(INDEX(계정대체기준!$E$6:$E$15,MATCH(VALUE($A3419&amp;""),계정대체기준!$D$6:$D$15,0)),0),0))</f>
        <v/>
      </c>
      <c r="AH3419" s="64">
        <f>IF($A3419="","",IF(AD3419=0,"",IF(OR(COUNTIF(계정대체기준!$A$77:$A$86,$N3419)&gt;0,ISNUMBER(MATCH($X3419,계정대체기준!$D$77:$D$86,0)),ISNUMBER(MATCH($F3419,계정대체기준!$D$77:$D$86,0))),"Y","N")))</f>
        <v/>
      </c>
    </row>
    <row r="3420">
      <c r="A3420" s="92" t="n">
        <v>2026</v>
      </c>
      <c r="B3420" s="92" t="n">
        <v>4</v>
      </c>
      <c r="C3420" s="92" t="inlineStr">
        <is>
          <t>5100000698</t>
        </is>
      </c>
      <c r="D3420" s="95" t="n">
        <v>46115</v>
      </c>
      <c r="E3420" s="92" t="inlineStr">
        <is>
          <t>KR</t>
        </is>
      </c>
      <c r="F3420" s="92" t="n">
        <v>62501000</v>
      </c>
      <c r="G3420" s="92" t="n">
        <v>1201</v>
      </c>
      <c r="H3420" s="93" t="n">
        <v>138000</v>
      </c>
      <c r="I3420" s="92" t="inlineStr">
        <is>
          <t>4월 회의 다과 - T케이터링</t>
        </is>
      </c>
      <c r="J3420" s="92" t="inlineStr">
        <is>
          <t>V10005</t>
        </is>
      </c>
      <c r="K3420" s="92" t="inlineStr">
        <is>
          <t>T케이터링</t>
        </is>
      </c>
      <c r="M3420" s="9">
        <f>IF($A3420="","",VALUE($A3420&amp;"")*12+VALUE($B3420&amp;""))</f>
        <v/>
      </c>
      <c r="N3420" s="64">
        <f>IF($A3420="","",IFERROR(INDEX(부서매핑!$C$5:$C$504,MATCH($G3420&amp;"",부서매핑!$A$5:$A$504,0)),"미매핑"))</f>
        <v/>
      </c>
      <c r="O3420" s="9">
        <f>IF($A3420="","",N3420&amp;"|"&amp;$F3420)</f>
        <v/>
      </c>
      <c r="P3420" s="94">
        <f>IF($A3420="",0,$H3420*설정!$C$23)</f>
        <v/>
      </c>
      <c r="Q3420" s="64">
        <f>IF($A3420="","",IF(O3420&lt;&gt;원인분석!$C$9,"",IF(AND(M3420&gt;=원인분석!$C$10,M3420&lt;=원인분석!$C$11),"당기",IF(AND(M3420&gt;=원인분석!$C$12,M3420&lt;=원인분석!$C$13),"비교",""))))</f>
        <v/>
      </c>
      <c r="R3420" s="9">
        <f>IF(Q3420="","",$K3420&amp;"")</f>
        <v/>
      </c>
      <c r="S3420" s="9">
        <f>IF(Q3420="","",IF(MATCH(R3420,$R$5:$R$100000,0)=ROW()-4,ROW(),""))</f>
        <v/>
      </c>
      <c r="T3420" s="9">
        <f>IF(Q3420="당기",ABS(P3420)+ROW()/1000000000,"")</f>
        <v/>
      </c>
      <c r="U3420" s="9">
        <f>IF(Q3420="비교",ABS(P3420)+ROW()/1000000000,"")</f>
        <v/>
      </c>
      <c r="V3420" s="64">
        <f>IF($A3420="","",IF(COUNTIF(변동분석!$E$7:$E$506,O3420)&gt;0,"Y","N"))</f>
        <v/>
      </c>
      <c r="W3420" s="64">
        <f>IF($A3420="","",IFERROR(INDEX(계정매핑!$D$5:$D$504,MATCH($F3420&amp;"",계정매핑!$A$5:$A$504,0)),"미매핑"))</f>
        <v/>
      </c>
      <c r="X3420" s="9">
        <f>IF($A3420="","",$F3420&amp;"")</f>
        <v/>
      </c>
      <c r="Y3420" s="94">
        <f>IF($A3420="",0,IF(AE3420="직접",IF(AF3420="비귀속",$P3420,0),$P3420*(1-AG3420)*IFERROR(INDEX(계정대체기준!$F$20:$F$49,MATCH($N3420,계정대체기준!$A$20:$A$49,0)),1)))</f>
        <v/>
      </c>
      <c r="Z3420" s="94">
        <f>IF($A3420="",0,IF(AE3420="직접",IF(AF3420="신계약비",$P3420,0),$P3420*(1-AG3420)*IFERROR(INDEX(계정대체기준!$C$20:$C$49,MATCH($N3420,계정대체기준!$A$20:$A$49,0)),0)))</f>
        <v/>
      </c>
      <c r="AA3420" s="94">
        <f>IF($A3420="",0,IF(AE3420="직접",IF(OR(AF3420="유지비",AF3420="손해조사비"),$P3420,0),$P3420*(1-AG3420)*IFERROR(INDEX(계정대체기준!$D$20:$D$49,MATCH($N3420,계정대체기준!$A$20:$A$49,0)),0)))</f>
        <v/>
      </c>
      <c r="AB3420" s="94">
        <f>IF($A3420="",0,IF(AE3420="직접",IF(AF3420="수금비",$P3420,0),$P3420*(1-AG3420)*IFERROR(INDEX(계정대체기준!$E$20:$E$49,MATCH($N3420,계정대체기준!$A$20:$A$49,0)),0)))</f>
        <v/>
      </c>
      <c r="AC3420" s="9">
        <f>IF(AND($A3420&lt;&gt;"",M3420=설정!$C$20,Z3420&gt;0),Z3420+ROW()/1000000000,"")</f>
        <v/>
      </c>
      <c r="AD3420" s="94">
        <f>IF($A3420="",0,$P3420*AG3420)</f>
        <v/>
      </c>
      <c r="AE3420" s="64">
        <f>IF($A3420="","",IFERROR(INDEX(계정매핑!$E$5:$E$504,MATCH($F3420&amp;"",계정매핑!$A$5:$A$504,0))&amp;"","공통비"))</f>
        <v/>
      </c>
      <c r="AF3420" s="64">
        <f>IF($A3420="","",IF(AE3420="직접",IFERROR(INDEX(계정매핑!$F$5:$F$504,MATCH($F3420&amp;"",계정매핑!$A$5:$A$504,0))&amp;"","비귀속"),""))</f>
        <v/>
      </c>
      <c r="AG3420" s="96">
        <f>IF($A3420="",0,IF(AND(AE3420&lt;&gt;"직접",IFERROR(INDEX(계정매핑!$G$5:$G$504,MATCH($F3420&amp;"",계정매핑!$A$5:$A$504,0))&amp;"","")="유지비",COUNTIF(계정대체기준!$A$6:$A$15,$N3420)&gt;0),IFERROR(INDEX(계정대체기준!$E$6:$E$15,MATCH(VALUE($A3420&amp;""),계정대체기준!$D$6:$D$15,0)),0),0))</f>
        <v/>
      </c>
      <c r="AH3420" s="64">
        <f>IF($A3420="","",IF(AD3420=0,"",IF(OR(COUNTIF(계정대체기준!$A$77:$A$86,$N3420)&gt;0,ISNUMBER(MATCH($X3420,계정대체기준!$D$77:$D$86,0)),ISNUMBER(MATCH($F3420,계정대체기준!$D$77:$D$86,0))),"Y","N")))</f>
        <v/>
      </c>
    </row>
    <row r="3421">
      <c r="A3421" s="92" t="n">
        <v>2026</v>
      </c>
      <c r="B3421" s="92" t="n">
        <v>4</v>
      </c>
      <c r="C3421" s="92" t="inlineStr">
        <is>
          <t>5100000699</t>
        </is>
      </c>
      <c r="D3421" s="95" t="n">
        <v>46115</v>
      </c>
      <c r="E3421" s="92" t="inlineStr">
        <is>
          <t>KR</t>
        </is>
      </c>
      <c r="F3421" s="92" t="n">
        <v>62902000</v>
      </c>
      <c r="G3421" s="92" t="n">
        <v>1201</v>
      </c>
      <c r="H3421" s="93" t="n">
        <v>3445000</v>
      </c>
      <c r="I3421" s="92" t="inlineStr">
        <is>
          <t>4월 업무 위탁 수수료 - J콜센터</t>
        </is>
      </c>
      <c r="J3421" s="92" t="inlineStr">
        <is>
          <t>V10016</t>
        </is>
      </c>
      <c r="K3421" s="92" t="inlineStr">
        <is>
          <t>J콜센터</t>
        </is>
      </c>
      <c r="M3421" s="9">
        <f>IF($A3421="","",VALUE($A3421&amp;"")*12+VALUE($B3421&amp;""))</f>
        <v/>
      </c>
      <c r="N3421" s="64">
        <f>IF($A3421="","",IFERROR(INDEX(부서매핑!$C$5:$C$504,MATCH($G3421&amp;"",부서매핑!$A$5:$A$504,0)),"미매핑"))</f>
        <v/>
      </c>
      <c r="O3421" s="9">
        <f>IF($A3421="","",N3421&amp;"|"&amp;$F3421)</f>
        <v/>
      </c>
      <c r="P3421" s="94">
        <f>IF($A3421="",0,$H3421*설정!$C$23)</f>
        <v/>
      </c>
      <c r="Q3421" s="64">
        <f>IF($A3421="","",IF(O3421&lt;&gt;원인분석!$C$9,"",IF(AND(M3421&gt;=원인분석!$C$10,M3421&lt;=원인분석!$C$11),"당기",IF(AND(M3421&gt;=원인분석!$C$12,M3421&lt;=원인분석!$C$13),"비교",""))))</f>
        <v/>
      </c>
      <c r="R3421" s="9">
        <f>IF(Q3421="","",$K3421&amp;"")</f>
        <v/>
      </c>
      <c r="S3421" s="9">
        <f>IF(Q3421="","",IF(MATCH(R3421,$R$5:$R$100000,0)=ROW()-4,ROW(),""))</f>
        <v/>
      </c>
      <c r="T3421" s="9">
        <f>IF(Q3421="당기",ABS(P3421)+ROW()/1000000000,"")</f>
        <v/>
      </c>
      <c r="U3421" s="9">
        <f>IF(Q3421="비교",ABS(P3421)+ROW()/1000000000,"")</f>
        <v/>
      </c>
      <c r="V3421" s="64">
        <f>IF($A3421="","",IF(COUNTIF(변동분석!$E$7:$E$506,O3421)&gt;0,"Y","N"))</f>
        <v/>
      </c>
      <c r="W3421" s="64">
        <f>IF($A3421="","",IFERROR(INDEX(계정매핑!$D$5:$D$504,MATCH($F3421&amp;"",계정매핑!$A$5:$A$504,0)),"미매핑"))</f>
        <v/>
      </c>
      <c r="X3421" s="9">
        <f>IF($A3421="","",$F3421&amp;"")</f>
        <v/>
      </c>
      <c r="Y3421" s="94">
        <f>IF($A3421="",0,IF(AE3421="직접",IF(AF3421="비귀속",$P3421,0),$P3421*(1-AG3421)*IFERROR(INDEX(계정대체기준!$F$20:$F$49,MATCH($N3421,계정대체기준!$A$20:$A$49,0)),1)))</f>
        <v/>
      </c>
      <c r="Z3421" s="94">
        <f>IF($A3421="",0,IF(AE3421="직접",IF(AF3421="신계약비",$P3421,0),$P3421*(1-AG3421)*IFERROR(INDEX(계정대체기준!$C$20:$C$49,MATCH($N3421,계정대체기준!$A$20:$A$49,0)),0)))</f>
        <v/>
      </c>
      <c r="AA3421" s="94">
        <f>IF($A3421="",0,IF(AE3421="직접",IF(OR(AF3421="유지비",AF3421="손해조사비"),$P3421,0),$P3421*(1-AG3421)*IFERROR(INDEX(계정대체기준!$D$20:$D$49,MATCH($N3421,계정대체기준!$A$20:$A$49,0)),0)))</f>
        <v/>
      </c>
      <c r="AB3421" s="94">
        <f>IF($A3421="",0,IF(AE3421="직접",IF(AF3421="수금비",$P3421,0),$P3421*(1-AG3421)*IFERROR(INDEX(계정대체기준!$E$20:$E$49,MATCH($N3421,계정대체기준!$A$20:$A$49,0)),0)))</f>
        <v/>
      </c>
      <c r="AC3421" s="9">
        <f>IF(AND($A3421&lt;&gt;"",M3421=설정!$C$20,Z3421&gt;0),Z3421+ROW()/1000000000,"")</f>
        <v/>
      </c>
      <c r="AD3421" s="94">
        <f>IF($A3421="",0,$P3421*AG3421)</f>
        <v/>
      </c>
      <c r="AE3421" s="64">
        <f>IF($A3421="","",IFERROR(INDEX(계정매핑!$E$5:$E$504,MATCH($F3421&amp;"",계정매핑!$A$5:$A$504,0))&amp;"","공통비"))</f>
        <v/>
      </c>
      <c r="AF3421" s="64">
        <f>IF($A3421="","",IF(AE3421="직접",IFERROR(INDEX(계정매핑!$F$5:$F$504,MATCH($F3421&amp;"",계정매핑!$A$5:$A$504,0))&amp;"","비귀속"),""))</f>
        <v/>
      </c>
      <c r="AG3421" s="96">
        <f>IF($A3421="",0,IF(AND(AE3421&lt;&gt;"직접",IFERROR(INDEX(계정매핑!$G$5:$G$504,MATCH($F3421&amp;"",계정매핑!$A$5:$A$504,0))&amp;"","")="유지비",COUNTIF(계정대체기준!$A$6:$A$15,$N3421)&gt;0),IFERROR(INDEX(계정대체기준!$E$6:$E$15,MATCH(VALUE($A3421&amp;""),계정대체기준!$D$6:$D$15,0)),0),0))</f>
        <v/>
      </c>
      <c r="AH3421" s="64">
        <f>IF($A3421="","",IF(AD3421=0,"",IF(OR(COUNTIF(계정대체기준!$A$77:$A$86,$N3421)&gt;0,ISNUMBER(MATCH($X3421,계정대체기준!$D$77:$D$86,0)),ISNUMBER(MATCH($F3421,계정대체기준!$D$77:$D$86,0))),"Y","N")))</f>
        <v/>
      </c>
    </row>
    <row r="3422">
      <c r="A3422" s="92" t="n">
        <v>2026</v>
      </c>
      <c r="B3422" s="92" t="n">
        <v>4</v>
      </c>
      <c r="C3422" s="92" t="inlineStr">
        <is>
          <t>5100000700</t>
        </is>
      </c>
      <c r="D3422" s="95" t="n">
        <v>46115</v>
      </c>
      <c r="E3422" s="92" t="inlineStr">
        <is>
          <t>KR</t>
        </is>
      </c>
      <c r="F3422" s="92" t="n">
        <v>62902000</v>
      </c>
      <c r="G3422" s="92" t="n">
        <v>1201</v>
      </c>
      <c r="H3422" s="93" t="n">
        <v>3555000</v>
      </c>
      <c r="I3422" s="92" t="inlineStr">
        <is>
          <t>4월 업무 위탁 수수료 - J콜센터</t>
        </is>
      </c>
      <c r="J3422" s="92" t="inlineStr">
        <is>
          <t>V10016</t>
        </is>
      </c>
      <c r="K3422" s="92" t="inlineStr">
        <is>
          <t>J콜센터</t>
        </is>
      </c>
      <c r="M3422" s="9">
        <f>IF($A3422="","",VALUE($A3422&amp;"")*12+VALUE($B3422&amp;""))</f>
        <v/>
      </c>
      <c r="N3422" s="64">
        <f>IF($A3422="","",IFERROR(INDEX(부서매핑!$C$5:$C$504,MATCH($G3422&amp;"",부서매핑!$A$5:$A$504,0)),"미매핑"))</f>
        <v/>
      </c>
      <c r="O3422" s="9">
        <f>IF($A3422="","",N3422&amp;"|"&amp;$F3422)</f>
        <v/>
      </c>
      <c r="P3422" s="94">
        <f>IF($A3422="",0,$H3422*설정!$C$23)</f>
        <v/>
      </c>
      <c r="Q3422" s="64">
        <f>IF($A3422="","",IF(O3422&lt;&gt;원인분석!$C$9,"",IF(AND(M3422&gt;=원인분석!$C$10,M3422&lt;=원인분석!$C$11),"당기",IF(AND(M3422&gt;=원인분석!$C$12,M3422&lt;=원인분석!$C$13),"비교",""))))</f>
        <v/>
      </c>
      <c r="R3422" s="9">
        <f>IF(Q3422="","",$K3422&amp;"")</f>
        <v/>
      </c>
      <c r="S3422" s="9">
        <f>IF(Q3422="","",IF(MATCH(R3422,$R$5:$R$100000,0)=ROW()-4,ROW(),""))</f>
        <v/>
      </c>
      <c r="T3422" s="9">
        <f>IF(Q3422="당기",ABS(P3422)+ROW()/1000000000,"")</f>
        <v/>
      </c>
      <c r="U3422" s="9">
        <f>IF(Q3422="비교",ABS(P3422)+ROW()/1000000000,"")</f>
        <v/>
      </c>
      <c r="V3422" s="64">
        <f>IF($A3422="","",IF(COUNTIF(변동분석!$E$7:$E$506,O3422)&gt;0,"Y","N"))</f>
        <v/>
      </c>
      <c r="W3422" s="64">
        <f>IF($A3422="","",IFERROR(INDEX(계정매핑!$D$5:$D$504,MATCH($F3422&amp;"",계정매핑!$A$5:$A$504,0)),"미매핑"))</f>
        <v/>
      </c>
      <c r="X3422" s="9">
        <f>IF($A3422="","",$F3422&amp;"")</f>
        <v/>
      </c>
      <c r="Y3422" s="94">
        <f>IF($A3422="",0,IF(AE3422="직접",IF(AF3422="비귀속",$P3422,0),$P3422*(1-AG3422)*IFERROR(INDEX(계정대체기준!$F$20:$F$49,MATCH($N3422,계정대체기준!$A$20:$A$49,0)),1)))</f>
        <v/>
      </c>
      <c r="Z3422" s="94">
        <f>IF($A3422="",0,IF(AE3422="직접",IF(AF3422="신계약비",$P3422,0),$P3422*(1-AG3422)*IFERROR(INDEX(계정대체기준!$C$20:$C$49,MATCH($N3422,계정대체기준!$A$20:$A$49,0)),0)))</f>
        <v/>
      </c>
      <c r="AA3422" s="94">
        <f>IF($A3422="",0,IF(AE3422="직접",IF(OR(AF3422="유지비",AF3422="손해조사비"),$P3422,0),$P3422*(1-AG3422)*IFERROR(INDEX(계정대체기준!$D$20:$D$49,MATCH($N3422,계정대체기준!$A$20:$A$49,0)),0)))</f>
        <v/>
      </c>
      <c r="AB3422" s="94">
        <f>IF($A3422="",0,IF(AE3422="직접",IF(AF3422="수금비",$P3422,0),$P3422*(1-AG3422)*IFERROR(INDEX(계정대체기준!$E$20:$E$49,MATCH($N3422,계정대체기준!$A$20:$A$49,0)),0)))</f>
        <v/>
      </c>
      <c r="AC3422" s="9">
        <f>IF(AND($A3422&lt;&gt;"",M3422=설정!$C$20,Z3422&gt;0),Z3422+ROW()/1000000000,"")</f>
        <v/>
      </c>
      <c r="AD3422" s="94">
        <f>IF($A3422="",0,$P3422*AG3422)</f>
        <v/>
      </c>
      <c r="AE3422" s="64">
        <f>IF($A3422="","",IFERROR(INDEX(계정매핑!$E$5:$E$504,MATCH($F3422&amp;"",계정매핑!$A$5:$A$504,0))&amp;"","공통비"))</f>
        <v/>
      </c>
      <c r="AF3422" s="64">
        <f>IF($A3422="","",IF(AE3422="직접",IFERROR(INDEX(계정매핑!$F$5:$F$504,MATCH($F3422&amp;"",계정매핑!$A$5:$A$504,0))&amp;"","비귀속"),""))</f>
        <v/>
      </c>
      <c r="AG3422" s="96">
        <f>IF($A3422="",0,IF(AND(AE3422&lt;&gt;"직접",IFERROR(INDEX(계정매핑!$G$5:$G$504,MATCH($F3422&amp;"",계정매핑!$A$5:$A$504,0))&amp;"","")="유지비",COUNTIF(계정대체기준!$A$6:$A$15,$N3422)&gt;0),IFERROR(INDEX(계정대체기준!$E$6:$E$15,MATCH(VALUE($A3422&amp;""),계정대체기준!$D$6:$D$15,0)),0),0))</f>
        <v/>
      </c>
      <c r="AH3422" s="64">
        <f>IF($A3422="","",IF(AD3422=0,"",IF(OR(COUNTIF(계정대체기준!$A$77:$A$86,$N3422)&gt;0,ISNUMBER(MATCH($X3422,계정대체기준!$D$77:$D$86,0)),ISNUMBER(MATCH($F3422,계정대체기준!$D$77:$D$86,0))),"Y","N")))</f>
        <v/>
      </c>
    </row>
    <row r="3423">
      <c r="A3423" s="92" t="n">
        <v>2026</v>
      </c>
      <c r="B3423" s="92" t="n">
        <v>4</v>
      </c>
      <c r="C3423" s="92" t="inlineStr">
        <is>
          <t>5100000701</t>
        </is>
      </c>
      <c r="D3423" s="95" t="n">
        <v>46115</v>
      </c>
      <c r="E3423" s="92" t="inlineStr">
        <is>
          <t>KR</t>
        </is>
      </c>
      <c r="F3423" s="92" t="n">
        <v>63501000</v>
      </c>
      <c r="G3423" s="92" t="n">
        <v>1902</v>
      </c>
      <c r="H3423" s="93" t="n">
        <v>170383000</v>
      </c>
      <c r="I3423" s="92" t="inlineStr">
        <is>
          <t>4월 모집수수료 - BB에셋</t>
        </is>
      </c>
      <c r="J3423" s="92" t="inlineStr">
        <is>
          <t>V10013</t>
        </is>
      </c>
      <c r="K3423" s="92" t="inlineStr">
        <is>
          <t>BB에셋</t>
        </is>
      </c>
      <c r="M3423" s="9">
        <f>IF($A3423="","",VALUE($A3423&amp;"")*12+VALUE($B3423&amp;""))</f>
        <v/>
      </c>
      <c r="N3423" s="64">
        <f>IF($A3423="","",IFERROR(INDEX(부서매핑!$C$5:$C$504,MATCH($G3423&amp;"",부서매핑!$A$5:$A$504,0)),"미매핑"))</f>
        <v/>
      </c>
      <c r="O3423" s="9">
        <f>IF($A3423="","",N3423&amp;"|"&amp;$F3423)</f>
        <v/>
      </c>
      <c r="P3423" s="94">
        <f>IF($A3423="",0,$H3423*설정!$C$23)</f>
        <v/>
      </c>
      <c r="Q3423" s="64">
        <f>IF($A3423="","",IF(O3423&lt;&gt;원인분석!$C$9,"",IF(AND(M3423&gt;=원인분석!$C$10,M3423&lt;=원인분석!$C$11),"당기",IF(AND(M3423&gt;=원인분석!$C$12,M3423&lt;=원인분석!$C$13),"비교",""))))</f>
        <v/>
      </c>
      <c r="R3423" s="9">
        <f>IF(Q3423="","",$K3423&amp;"")</f>
        <v/>
      </c>
      <c r="S3423" s="9">
        <f>IF(Q3423="","",IF(MATCH(R3423,$R$5:$R$100000,0)=ROW()-4,ROW(),""))</f>
        <v/>
      </c>
      <c r="T3423" s="9">
        <f>IF(Q3423="당기",ABS(P3423)+ROW()/1000000000,"")</f>
        <v/>
      </c>
      <c r="U3423" s="9">
        <f>IF(Q3423="비교",ABS(P3423)+ROW()/1000000000,"")</f>
        <v/>
      </c>
      <c r="V3423" s="64">
        <f>IF($A3423="","",IF(COUNTIF(변동분석!$E$7:$E$506,O3423)&gt;0,"Y","N"))</f>
        <v/>
      </c>
      <c r="W3423" s="64">
        <f>IF($A3423="","",IFERROR(INDEX(계정매핑!$D$5:$D$504,MATCH($F3423&amp;"",계정매핑!$A$5:$A$504,0)),"미매핑"))</f>
        <v/>
      </c>
      <c r="X3423" s="9">
        <f>IF($A3423="","",$F3423&amp;"")</f>
        <v/>
      </c>
      <c r="Y3423" s="94">
        <f>IF($A3423="",0,IF(AE3423="직접",IF(AF3423="비귀속",$P3423,0),$P3423*(1-AG3423)*IFERROR(INDEX(계정대체기준!$F$20:$F$49,MATCH($N3423,계정대체기준!$A$20:$A$49,0)),1)))</f>
        <v/>
      </c>
      <c r="Z3423" s="94">
        <f>IF($A3423="",0,IF(AE3423="직접",IF(AF3423="신계약비",$P3423,0),$P3423*(1-AG3423)*IFERROR(INDEX(계정대체기준!$C$20:$C$49,MATCH($N3423,계정대체기준!$A$20:$A$49,0)),0)))</f>
        <v/>
      </c>
      <c r="AA3423" s="94">
        <f>IF($A3423="",0,IF(AE3423="직접",IF(OR(AF3423="유지비",AF3423="손해조사비"),$P3423,0),$P3423*(1-AG3423)*IFERROR(INDEX(계정대체기준!$D$20:$D$49,MATCH($N3423,계정대체기준!$A$20:$A$49,0)),0)))</f>
        <v/>
      </c>
      <c r="AB3423" s="94">
        <f>IF($A3423="",0,IF(AE3423="직접",IF(AF3423="수금비",$P3423,0),$P3423*(1-AG3423)*IFERROR(INDEX(계정대체기준!$E$20:$E$49,MATCH($N3423,계정대체기준!$A$20:$A$49,0)),0)))</f>
        <v/>
      </c>
      <c r="AC3423" s="9">
        <f>IF(AND($A3423&lt;&gt;"",M3423=설정!$C$20,Z3423&gt;0),Z3423+ROW()/1000000000,"")</f>
        <v/>
      </c>
      <c r="AD3423" s="94">
        <f>IF($A3423="",0,$P3423*AG3423)</f>
        <v/>
      </c>
      <c r="AE3423" s="64">
        <f>IF($A3423="","",IFERROR(INDEX(계정매핑!$E$5:$E$504,MATCH($F3423&amp;"",계정매핑!$A$5:$A$504,0))&amp;"","공통비"))</f>
        <v/>
      </c>
      <c r="AF3423" s="64">
        <f>IF($A3423="","",IF(AE3423="직접",IFERROR(INDEX(계정매핑!$F$5:$F$504,MATCH($F3423&amp;"",계정매핑!$A$5:$A$504,0))&amp;"","비귀속"),""))</f>
        <v/>
      </c>
      <c r="AG3423" s="96">
        <f>IF($A3423="",0,IF(AND(AE3423&lt;&gt;"직접",IFERROR(INDEX(계정매핑!$G$5:$G$504,MATCH($F3423&amp;"",계정매핑!$A$5:$A$504,0))&amp;"","")="유지비",COUNTIF(계정대체기준!$A$6:$A$15,$N3423)&gt;0),IFERROR(INDEX(계정대체기준!$E$6:$E$15,MATCH(VALUE($A3423&amp;""),계정대체기준!$D$6:$D$15,0)),0),0))</f>
        <v/>
      </c>
      <c r="AH3423" s="64">
        <f>IF($A3423="","",IF(AD3423=0,"",IF(OR(COUNTIF(계정대체기준!$A$77:$A$86,$N3423)&gt;0,ISNUMBER(MATCH($X3423,계정대체기준!$D$77:$D$86,0)),ISNUMBER(MATCH($F3423,계정대체기준!$D$77:$D$86,0))),"Y","N")))</f>
        <v/>
      </c>
    </row>
    <row r="3424">
      <c r="A3424" s="92" t="n">
        <v>2026</v>
      </c>
      <c r="B3424" s="92" t="n">
        <v>4</v>
      </c>
      <c r="C3424" s="92" t="inlineStr">
        <is>
          <t>5100000702</t>
        </is>
      </c>
      <c r="D3424" s="95" t="n">
        <v>46115</v>
      </c>
      <c r="E3424" s="92" t="inlineStr">
        <is>
          <t>KR</t>
        </is>
      </c>
      <c r="F3424" s="92" t="n">
        <v>63502000</v>
      </c>
      <c r="G3424" s="92" t="n">
        <v>1902</v>
      </c>
      <c r="H3424" s="93" t="n">
        <v>68460000</v>
      </c>
      <c r="I3424" s="92" t="inlineStr">
        <is>
          <t>4월 유지수수료 - (전속설계사)</t>
        </is>
      </c>
      <c r="J3424" s="92" t="inlineStr">
        <is>
          <t>V10021</t>
        </is>
      </c>
      <c r="K3424" s="92" t="inlineStr">
        <is>
          <t>(전속설계사)</t>
        </is>
      </c>
      <c r="M3424" s="9">
        <f>IF($A3424="","",VALUE($A3424&amp;"")*12+VALUE($B3424&amp;""))</f>
        <v/>
      </c>
      <c r="N3424" s="64">
        <f>IF($A3424="","",IFERROR(INDEX(부서매핑!$C$5:$C$504,MATCH($G3424&amp;"",부서매핑!$A$5:$A$504,0)),"미매핑"))</f>
        <v/>
      </c>
      <c r="O3424" s="9">
        <f>IF($A3424="","",N3424&amp;"|"&amp;$F3424)</f>
        <v/>
      </c>
      <c r="P3424" s="94">
        <f>IF($A3424="",0,$H3424*설정!$C$23)</f>
        <v/>
      </c>
      <c r="Q3424" s="64">
        <f>IF($A3424="","",IF(O3424&lt;&gt;원인분석!$C$9,"",IF(AND(M3424&gt;=원인분석!$C$10,M3424&lt;=원인분석!$C$11),"당기",IF(AND(M3424&gt;=원인분석!$C$12,M3424&lt;=원인분석!$C$13),"비교",""))))</f>
        <v/>
      </c>
      <c r="R3424" s="9">
        <f>IF(Q3424="","",$K3424&amp;"")</f>
        <v/>
      </c>
      <c r="S3424" s="9">
        <f>IF(Q3424="","",IF(MATCH(R3424,$R$5:$R$100000,0)=ROW()-4,ROW(),""))</f>
        <v/>
      </c>
      <c r="T3424" s="9">
        <f>IF(Q3424="당기",ABS(P3424)+ROW()/1000000000,"")</f>
        <v/>
      </c>
      <c r="U3424" s="9">
        <f>IF(Q3424="비교",ABS(P3424)+ROW()/1000000000,"")</f>
        <v/>
      </c>
      <c r="V3424" s="64">
        <f>IF($A3424="","",IF(COUNTIF(변동분석!$E$7:$E$506,O3424)&gt;0,"Y","N"))</f>
        <v/>
      </c>
      <c r="W3424" s="64">
        <f>IF($A3424="","",IFERROR(INDEX(계정매핑!$D$5:$D$504,MATCH($F3424&amp;"",계정매핑!$A$5:$A$504,0)),"미매핑"))</f>
        <v/>
      </c>
      <c r="X3424" s="9">
        <f>IF($A3424="","",$F3424&amp;"")</f>
        <v/>
      </c>
      <c r="Y3424" s="94">
        <f>IF($A3424="",0,IF(AE3424="직접",IF(AF3424="비귀속",$P3424,0),$P3424*(1-AG3424)*IFERROR(INDEX(계정대체기준!$F$20:$F$49,MATCH($N3424,계정대체기준!$A$20:$A$49,0)),1)))</f>
        <v/>
      </c>
      <c r="Z3424" s="94">
        <f>IF($A3424="",0,IF(AE3424="직접",IF(AF3424="신계약비",$P3424,0),$P3424*(1-AG3424)*IFERROR(INDEX(계정대체기준!$C$20:$C$49,MATCH($N3424,계정대체기준!$A$20:$A$49,0)),0)))</f>
        <v/>
      </c>
      <c r="AA3424" s="94">
        <f>IF($A3424="",0,IF(AE3424="직접",IF(OR(AF3424="유지비",AF3424="손해조사비"),$P3424,0),$P3424*(1-AG3424)*IFERROR(INDEX(계정대체기준!$D$20:$D$49,MATCH($N3424,계정대체기준!$A$20:$A$49,0)),0)))</f>
        <v/>
      </c>
      <c r="AB3424" s="94">
        <f>IF($A3424="",0,IF(AE3424="직접",IF(AF3424="수금비",$P3424,0),$P3424*(1-AG3424)*IFERROR(INDEX(계정대체기준!$E$20:$E$49,MATCH($N3424,계정대체기준!$A$20:$A$49,0)),0)))</f>
        <v/>
      </c>
      <c r="AC3424" s="9">
        <f>IF(AND($A3424&lt;&gt;"",M3424=설정!$C$20,Z3424&gt;0),Z3424+ROW()/1000000000,"")</f>
        <v/>
      </c>
      <c r="AD3424" s="94">
        <f>IF($A3424="",0,$P3424*AG3424)</f>
        <v/>
      </c>
      <c r="AE3424" s="64">
        <f>IF($A3424="","",IFERROR(INDEX(계정매핑!$E$5:$E$504,MATCH($F3424&amp;"",계정매핑!$A$5:$A$504,0))&amp;"","공통비"))</f>
        <v/>
      </c>
      <c r="AF3424" s="64">
        <f>IF($A3424="","",IF(AE3424="직접",IFERROR(INDEX(계정매핑!$F$5:$F$504,MATCH($F3424&amp;"",계정매핑!$A$5:$A$504,0))&amp;"","비귀속"),""))</f>
        <v/>
      </c>
      <c r="AG3424" s="96">
        <f>IF($A3424="",0,IF(AND(AE3424&lt;&gt;"직접",IFERROR(INDEX(계정매핑!$G$5:$G$504,MATCH($F3424&amp;"",계정매핑!$A$5:$A$504,0))&amp;"","")="유지비",COUNTIF(계정대체기준!$A$6:$A$15,$N3424)&gt;0),IFERROR(INDEX(계정대체기준!$E$6:$E$15,MATCH(VALUE($A3424&amp;""),계정대체기준!$D$6:$D$15,0)),0),0))</f>
        <v/>
      </c>
      <c r="AH3424" s="64">
        <f>IF($A3424="","",IF(AD3424=0,"",IF(OR(COUNTIF(계정대체기준!$A$77:$A$86,$N3424)&gt;0,ISNUMBER(MATCH($X3424,계정대체기준!$D$77:$D$86,0)),ISNUMBER(MATCH($F3424,계정대체기준!$D$77:$D$86,0))),"Y","N")))</f>
        <v/>
      </c>
    </row>
    <row r="3425">
      <c r="A3425" s="92" t="n">
        <v>2026</v>
      </c>
      <c r="B3425" s="92" t="n">
        <v>4</v>
      </c>
      <c r="C3425" s="92" t="inlineStr">
        <is>
          <t>5100000703</t>
        </is>
      </c>
      <c r="D3425" s="95" t="n">
        <v>46116</v>
      </c>
      <c r="E3425" s="92" t="inlineStr">
        <is>
          <t>KR</t>
        </is>
      </c>
      <c r="F3425" s="92" t="n">
        <v>62101000</v>
      </c>
      <c r="G3425" s="92" t="n">
        <v>1101</v>
      </c>
      <c r="H3425" s="93" t="n">
        <v>424000</v>
      </c>
      <c r="I3425" s="92" t="inlineStr">
        <is>
          <t>4월 국내출장 - L여행사</t>
        </is>
      </c>
      <c r="J3425" s="92" t="inlineStr">
        <is>
          <t>V10018</t>
        </is>
      </c>
      <c r="K3425" s="92" t="inlineStr">
        <is>
          <t>L여행사</t>
        </is>
      </c>
      <c r="M3425" s="9">
        <f>IF($A3425="","",VALUE($A3425&amp;"")*12+VALUE($B3425&amp;""))</f>
        <v/>
      </c>
      <c r="N3425" s="64">
        <f>IF($A3425="","",IFERROR(INDEX(부서매핑!$C$5:$C$504,MATCH($G3425&amp;"",부서매핑!$A$5:$A$504,0)),"미매핑"))</f>
        <v/>
      </c>
      <c r="O3425" s="9">
        <f>IF($A3425="","",N3425&amp;"|"&amp;$F3425)</f>
        <v/>
      </c>
      <c r="P3425" s="94">
        <f>IF($A3425="",0,$H3425*설정!$C$23)</f>
        <v/>
      </c>
      <c r="Q3425" s="64">
        <f>IF($A3425="","",IF(O3425&lt;&gt;원인분석!$C$9,"",IF(AND(M3425&gt;=원인분석!$C$10,M3425&lt;=원인분석!$C$11),"당기",IF(AND(M3425&gt;=원인분석!$C$12,M3425&lt;=원인분석!$C$13),"비교",""))))</f>
        <v/>
      </c>
      <c r="R3425" s="9">
        <f>IF(Q3425="","",$K3425&amp;"")</f>
        <v/>
      </c>
      <c r="S3425" s="9">
        <f>IF(Q3425="","",IF(MATCH(R3425,$R$5:$R$100000,0)=ROW()-4,ROW(),""))</f>
        <v/>
      </c>
      <c r="T3425" s="9">
        <f>IF(Q3425="당기",ABS(P3425)+ROW()/1000000000,"")</f>
        <v/>
      </c>
      <c r="U3425" s="9">
        <f>IF(Q3425="비교",ABS(P3425)+ROW()/1000000000,"")</f>
        <v/>
      </c>
      <c r="V3425" s="64">
        <f>IF($A3425="","",IF(COUNTIF(변동분석!$E$7:$E$506,O3425)&gt;0,"Y","N"))</f>
        <v/>
      </c>
      <c r="W3425" s="64">
        <f>IF($A3425="","",IFERROR(INDEX(계정매핑!$D$5:$D$504,MATCH($F3425&amp;"",계정매핑!$A$5:$A$504,0)),"미매핑"))</f>
        <v/>
      </c>
      <c r="X3425" s="9">
        <f>IF($A3425="","",$F3425&amp;"")</f>
        <v/>
      </c>
      <c r="Y3425" s="94">
        <f>IF($A3425="",0,IF(AE3425="직접",IF(AF3425="비귀속",$P3425,0),$P3425*(1-AG3425)*IFERROR(INDEX(계정대체기준!$F$20:$F$49,MATCH($N3425,계정대체기준!$A$20:$A$49,0)),1)))</f>
        <v/>
      </c>
      <c r="Z3425" s="94">
        <f>IF($A3425="",0,IF(AE3425="직접",IF(AF3425="신계약비",$P3425,0),$P3425*(1-AG3425)*IFERROR(INDEX(계정대체기준!$C$20:$C$49,MATCH($N3425,계정대체기준!$A$20:$A$49,0)),0)))</f>
        <v/>
      </c>
      <c r="AA3425" s="94">
        <f>IF($A3425="",0,IF(AE3425="직접",IF(OR(AF3425="유지비",AF3425="손해조사비"),$P3425,0),$P3425*(1-AG3425)*IFERROR(INDEX(계정대체기준!$D$20:$D$49,MATCH($N3425,계정대체기준!$A$20:$A$49,0)),0)))</f>
        <v/>
      </c>
      <c r="AB3425" s="94">
        <f>IF($A3425="",0,IF(AE3425="직접",IF(AF3425="수금비",$P3425,0),$P3425*(1-AG3425)*IFERROR(INDEX(계정대체기준!$E$20:$E$49,MATCH($N3425,계정대체기준!$A$20:$A$49,0)),0)))</f>
        <v/>
      </c>
      <c r="AC3425" s="9">
        <f>IF(AND($A3425&lt;&gt;"",M3425=설정!$C$20,Z3425&gt;0),Z3425+ROW()/1000000000,"")</f>
        <v/>
      </c>
      <c r="AD3425" s="94">
        <f>IF($A3425="",0,$P3425*AG3425)</f>
        <v/>
      </c>
      <c r="AE3425" s="64">
        <f>IF($A3425="","",IFERROR(INDEX(계정매핑!$E$5:$E$504,MATCH($F3425&amp;"",계정매핑!$A$5:$A$504,0))&amp;"","공통비"))</f>
        <v/>
      </c>
      <c r="AF3425" s="64">
        <f>IF($A3425="","",IF(AE3425="직접",IFERROR(INDEX(계정매핑!$F$5:$F$504,MATCH($F3425&amp;"",계정매핑!$A$5:$A$504,0))&amp;"","비귀속"),""))</f>
        <v/>
      </c>
      <c r="AG3425" s="96">
        <f>IF($A3425="",0,IF(AND(AE3425&lt;&gt;"직접",IFERROR(INDEX(계정매핑!$G$5:$G$504,MATCH($F3425&amp;"",계정매핑!$A$5:$A$504,0))&amp;"","")="유지비",COUNTIF(계정대체기준!$A$6:$A$15,$N3425)&gt;0),IFERROR(INDEX(계정대체기준!$E$6:$E$15,MATCH(VALUE($A3425&amp;""),계정대체기준!$D$6:$D$15,0)),0),0))</f>
        <v/>
      </c>
      <c r="AH3425" s="64">
        <f>IF($A3425="","",IF(AD3425=0,"",IF(OR(COUNTIF(계정대체기준!$A$77:$A$86,$N3425)&gt;0,ISNUMBER(MATCH($X3425,계정대체기준!$D$77:$D$86,0)),ISNUMBER(MATCH($F3425,계정대체기준!$D$77:$D$86,0))),"Y","N")))</f>
        <v/>
      </c>
    </row>
    <row r="3426">
      <c r="A3426" s="92" t="n">
        <v>2026</v>
      </c>
      <c r="B3426" s="92" t="n">
        <v>4</v>
      </c>
      <c r="C3426" s="92" t="inlineStr">
        <is>
          <t>5100000704</t>
        </is>
      </c>
      <c r="D3426" s="95" t="n">
        <v>46116</v>
      </c>
      <c r="E3426" s="92" t="inlineStr">
        <is>
          <t>KR</t>
        </is>
      </c>
      <c r="F3426" s="92" t="n">
        <v>62101000</v>
      </c>
      <c r="G3426" s="92" t="n">
        <v>1401</v>
      </c>
      <c r="H3426" s="93" t="n">
        <v>428000</v>
      </c>
      <c r="I3426" s="92" t="inlineStr">
        <is>
          <t>4월 국내출장 - L여행사</t>
        </is>
      </c>
      <c r="J3426" s="92" t="inlineStr">
        <is>
          <t>V10018</t>
        </is>
      </c>
      <c r="K3426" s="92" t="inlineStr">
        <is>
          <t>L여행사</t>
        </is>
      </c>
      <c r="M3426" s="9">
        <f>IF($A3426="","",VALUE($A3426&amp;"")*12+VALUE($B3426&amp;""))</f>
        <v/>
      </c>
      <c r="N3426" s="64">
        <f>IF($A3426="","",IFERROR(INDEX(부서매핑!$C$5:$C$504,MATCH($G3426&amp;"",부서매핑!$A$5:$A$504,0)),"미매핑"))</f>
        <v/>
      </c>
      <c r="O3426" s="9">
        <f>IF($A3426="","",N3426&amp;"|"&amp;$F3426)</f>
        <v/>
      </c>
      <c r="P3426" s="94">
        <f>IF($A3426="",0,$H3426*설정!$C$23)</f>
        <v/>
      </c>
      <c r="Q3426" s="64">
        <f>IF($A3426="","",IF(O3426&lt;&gt;원인분석!$C$9,"",IF(AND(M3426&gt;=원인분석!$C$10,M3426&lt;=원인분석!$C$11),"당기",IF(AND(M3426&gt;=원인분석!$C$12,M3426&lt;=원인분석!$C$13),"비교",""))))</f>
        <v/>
      </c>
      <c r="R3426" s="9">
        <f>IF(Q3426="","",$K3426&amp;"")</f>
        <v/>
      </c>
      <c r="S3426" s="9">
        <f>IF(Q3426="","",IF(MATCH(R3426,$R$5:$R$100000,0)=ROW()-4,ROW(),""))</f>
        <v/>
      </c>
      <c r="T3426" s="9">
        <f>IF(Q3426="당기",ABS(P3426)+ROW()/1000000000,"")</f>
        <v/>
      </c>
      <c r="U3426" s="9">
        <f>IF(Q3426="비교",ABS(P3426)+ROW()/1000000000,"")</f>
        <v/>
      </c>
      <c r="V3426" s="64">
        <f>IF($A3426="","",IF(COUNTIF(변동분석!$E$7:$E$506,O3426)&gt;0,"Y","N"))</f>
        <v/>
      </c>
      <c r="W3426" s="64">
        <f>IF($A3426="","",IFERROR(INDEX(계정매핑!$D$5:$D$504,MATCH($F3426&amp;"",계정매핑!$A$5:$A$504,0)),"미매핑"))</f>
        <v/>
      </c>
      <c r="X3426" s="9">
        <f>IF($A3426="","",$F3426&amp;"")</f>
        <v/>
      </c>
      <c r="Y3426" s="94">
        <f>IF($A3426="",0,IF(AE3426="직접",IF(AF3426="비귀속",$P3426,0),$P3426*(1-AG3426)*IFERROR(INDEX(계정대체기준!$F$20:$F$49,MATCH($N3426,계정대체기준!$A$20:$A$49,0)),1)))</f>
        <v/>
      </c>
      <c r="Z3426" s="94">
        <f>IF($A3426="",0,IF(AE3426="직접",IF(AF3426="신계약비",$P3426,0),$P3426*(1-AG3426)*IFERROR(INDEX(계정대체기준!$C$20:$C$49,MATCH($N3426,계정대체기준!$A$20:$A$49,0)),0)))</f>
        <v/>
      </c>
      <c r="AA3426" s="94">
        <f>IF($A3426="",0,IF(AE3426="직접",IF(OR(AF3426="유지비",AF3426="손해조사비"),$P3426,0),$P3426*(1-AG3426)*IFERROR(INDEX(계정대체기준!$D$20:$D$49,MATCH($N3426,계정대체기준!$A$20:$A$49,0)),0)))</f>
        <v/>
      </c>
      <c r="AB3426" s="94">
        <f>IF($A3426="",0,IF(AE3426="직접",IF(AF3426="수금비",$P3426,0),$P3426*(1-AG3426)*IFERROR(INDEX(계정대체기준!$E$20:$E$49,MATCH($N3426,계정대체기준!$A$20:$A$49,0)),0)))</f>
        <v/>
      </c>
      <c r="AC3426" s="9">
        <f>IF(AND($A3426&lt;&gt;"",M3426=설정!$C$20,Z3426&gt;0),Z3426+ROW()/1000000000,"")</f>
        <v/>
      </c>
      <c r="AD3426" s="94">
        <f>IF($A3426="",0,$P3426*AG3426)</f>
        <v/>
      </c>
      <c r="AE3426" s="64">
        <f>IF($A3426="","",IFERROR(INDEX(계정매핑!$E$5:$E$504,MATCH($F3426&amp;"",계정매핑!$A$5:$A$504,0))&amp;"","공통비"))</f>
        <v/>
      </c>
      <c r="AF3426" s="64">
        <f>IF($A3426="","",IF(AE3426="직접",IFERROR(INDEX(계정매핑!$F$5:$F$504,MATCH($F3426&amp;"",계정매핑!$A$5:$A$504,0))&amp;"","비귀속"),""))</f>
        <v/>
      </c>
      <c r="AG3426" s="96">
        <f>IF($A3426="",0,IF(AND(AE3426&lt;&gt;"직접",IFERROR(INDEX(계정매핑!$G$5:$G$504,MATCH($F3426&amp;"",계정매핑!$A$5:$A$504,0))&amp;"","")="유지비",COUNTIF(계정대체기준!$A$6:$A$15,$N3426)&gt;0),IFERROR(INDEX(계정대체기준!$E$6:$E$15,MATCH(VALUE($A3426&amp;""),계정대체기준!$D$6:$D$15,0)),0),0))</f>
        <v/>
      </c>
      <c r="AH3426" s="64">
        <f>IF($A3426="","",IF(AD3426=0,"",IF(OR(COUNTIF(계정대체기준!$A$77:$A$86,$N3426)&gt;0,ISNUMBER(MATCH($X3426,계정대체기준!$D$77:$D$86,0)),ISNUMBER(MATCH($F3426,계정대체기준!$D$77:$D$86,0))),"Y","N")))</f>
        <v/>
      </c>
    </row>
    <row r="3427">
      <c r="A3427" s="92" t="n">
        <v>2026</v>
      </c>
      <c r="B3427" s="92" t="n">
        <v>4</v>
      </c>
      <c r="C3427" s="92" t="inlineStr">
        <is>
          <t>5100000705</t>
        </is>
      </c>
      <c r="D3427" s="95" t="n">
        <v>46116</v>
      </c>
      <c r="E3427" s="92" t="inlineStr">
        <is>
          <t>KR</t>
        </is>
      </c>
      <c r="F3427" s="92" t="n">
        <v>62101000</v>
      </c>
      <c r="G3427" s="92" t="n">
        <v>1701</v>
      </c>
      <c r="H3427" s="93" t="n">
        <v>255000</v>
      </c>
      <c r="I3427" s="92" t="inlineStr">
        <is>
          <t>4월 국내출장 - L여행사</t>
        </is>
      </c>
      <c r="J3427" s="92" t="inlineStr">
        <is>
          <t>V10018</t>
        </is>
      </c>
      <c r="K3427" s="92" t="inlineStr">
        <is>
          <t>L여행사</t>
        </is>
      </c>
      <c r="M3427" s="9">
        <f>IF($A3427="","",VALUE($A3427&amp;"")*12+VALUE($B3427&amp;""))</f>
        <v/>
      </c>
      <c r="N3427" s="64">
        <f>IF($A3427="","",IFERROR(INDEX(부서매핑!$C$5:$C$504,MATCH($G3427&amp;"",부서매핑!$A$5:$A$504,0)),"미매핑"))</f>
        <v/>
      </c>
      <c r="O3427" s="9">
        <f>IF($A3427="","",N3427&amp;"|"&amp;$F3427)</f>
        <v/>
      </c>
      <c r="P3427" s="94">
        <f>IF($A3427="",0,$H3427*설정!$C$23)</f>
        <v/>
      </c>
      <c r="Q3427" s="64">
        <f>IF($A3427="","",IF(O3427&lt;&gt;원인분석!$C$9,"",IF(AND(M3427&gt;=원인분석!$C$10,M3427&lt;=원인분석!$C$11),"당기",IF(AND(M3427&gt;=원인분석!$C$12,M3427&lt;=원인분석!$C$13),"비교",""))))</f>
        <v/>
      </c>
      <c r="R3427" s="9">
        <f>IF(Q3427="","",$K3427&amp;"")</f>
        <v/>
      </c>
      <c r="S3427" s="9">
        <f>IF(Q3427="","",IF(MATCH(R3427,$R$5:$R$100000,0)=ROW()-4,ROW(),""))</f>
        <v/>
      </c>
      <c r="T3427" s="9">
        <f>IF(Q3427="당기",ABS(P3427)+ROW()/1000000000,"")</f>
        <v/>
      </c>
      <c r="U3427" s="9">
        <f>IF(Q3427="비교",ABS(P3427)+ROW()/1000000000,"")</f>
        <v/>
      </c>
      <c r="V3427" s="64">
        <f>IF($A3427="","",IF(COUNTIF(변동분석!$E$7:$E$506,O3427)&gt;0,"Y","N"))</f>
        <v/>
      </c>
      <c r="W3427" s="64">
        <f>IF($A3427="","",IFERROR(INDEX(계정매핑!$D$5:$D$504,MATCH($F3427&amp;"",계정매핑!$A$5:$A$504,0)),"미매핑"))</f>
        <v/>
      </c>
      <c r="X3427" s="9">
        <f>IF($A3427="","",$F3427&amp;"")</f>
        <v/>
      </c>
      <c r="Y3427" s="94">
        <f>IF($A3427="",0,IF(AE3427="직접",IF(AF3427="비귀속",$P3427,0),$P3427*(1-AG3427)*IFERROR(INDEX(계정대체기준!$F$20:$F$49,MATCH($N3427,계정대체기준!$A$20:$A$49,0)),1)))</f>
        <v/>
      </c>
      <c r="Z3427" s="94">
        <f>IF($A3427="",0,IF(AE3427="직접",IF(AF3427="신계약비",$P3427,0),$P3427*(1-AG3427)*IFERROR(INDEX(계정대체기준!$C$20:$C$49,MATCH($N3427,계정대체기준!$A$20:$A$49,0)),0)))</f>
        <v/>
      </c>
      <c r="AA3427" s="94">
        <f>IF($A3427="",0,IF(AE3427="직접",IF(OR(AF3427="유지비",AF3427="손해조사비"),$P3427,0),$P3427*(1-AG3427)*IFERROR(INDEX(계정대체기준!$D$20:$D$49,MATCH($N3427,계정대체기준!$A$20:$A$49,0)),0)))</f>
        <v/>
      </c>
      <c r="AB3427" s="94">
        <f>IF($A3427="",0,IF(AE3427="직접",IF(AF3427="수금비",$P3427,0),$P3427*(1-AG3427)*IFERROR(INDEX(계정대체기준!$E$20:$E$49,MATCH($N3427,계정대체기준!$A$20:$A$49,0)),0)))</f>
        <v/>
      </c>
      <c r="AC3427" s="9">
        <f>IF(AND($A3427&lt;&gt;"",M3427=설정!$C$20,Z3427&gt;0),Z3427+ROW()/1000000000,"")</f>
        <v/>
      </c>
      <c r="AD3427" s="94">
        <f>IF($A3427="",0,$P3427*AG3427)</f>
        <v/>
      </c>
      <c r="AE3427" s="64">
        <f>IF($A3427="","",IFERROR(INDEX(계정매핑!$E$5:$E$504,MATCH($F3427&amp;"",계정매핑!$A$5:$A$504,0))&amp;"","공통비"))</f>
        <v/>
      </c>
      <c r="AF3427" s="64">
        <f>IF($A3427="","",IF(AE3427="직접",IFERROR(INDEX(계정매핑!$F$5:$F$504,MATCH($F3427&amp;"",계정매핑!$A$5:$A$504,0))&amp;"","비귀속"),""))</f>
        <v/>
      </c>
      <c r="AG3427" s="96">
        <f>IF($A3427="",0,IF(AND(AE3427&lt;&gt;"직접",IFERROR(INDEX(계정매핑!$G$5:$G$504,MATCH($F3427&amp;"",계정매핑!$A$5:$A$504,0))&amp;"","")="유지비",COUNTIF(계정대체기준!$A$6:$A$15,$N3427)&gt;0),IFERROR(INDEX(계정대체기준!$E$6:$E$15,MATCH(VALUE($A3427&amp;""),계정대체기준!$D$6:$D$15,0)),0),0))</f>
        <v/>
      </c>
      <c r="AH3427" s="64">
        <f>IF($A3427="","",IF(AD3427=0,"",IF(OR(COUNTIF(계정대체기준!$A$77:$A$86,$N3427)&gt;0,ISNUMBER(MATCH($X3427,계정대체기준!$D$77:$D$86,0)),ISNUMBER(MATCH($F3427,계정대체기준!$D$77:$D$86,0))),"Y","N")))</f>
        <v/>
      </c>
    </row>
    <row r="3428">
      <c r="A3428" s="92" t="n">
        <v>2026</v>
      </c>
      <c r="B3428" s="92" t="n">
        <v>4</v>
      </c>
      <c r="C3428" s="92" t="inlineStr">
        <is>
          <t>5100000706</t>
        </is>
      </c>
      <c r="D3428" s="95" t="n">
        <v>46116</v>
      </c>
      <c r="E3428" s="92" t="inlineStr">
        <is>
          <t>KR</t>
        </is>
      </c>
      <c r="F3428" s="92" t="n">
        <v>62101000</v>
      </c>
      <c r="G3428" s="92" t="n">
        <v>1801</v>
      </c>
      <c r="H3428" s="93" t="n">
        <v>86000</v>
      </c>
      <c r="I3428" s="92" t="inlineStr">
        <is>
          <t>4월 국내출장 - M항공</t>
        </is>
      </c>
      <c r="J3428" s="92" t="inlineStr">
        <is>
          <t>V10001</t>
        </is>
      </c>
      <c r="K3428" s="92" t="inlineStr">
        <is>
          <t>M항공</t>
        </is>
      </c>
      <c r="M3428" s="9">
        <f>IF($A3428="","",VALUE($A3428&amp;"")*12+VALUE($B3428&amp;""))</f>
        <v/>
      </c>
      <c r="N3428" s="64">
        <f>IF($A3428="","",IFERROR(INDEX(부서매핑!$C$5:$C$504,MATCH($G3428&amp;"",부서매핑!$A$5:$A$504,0)),"미매핑"))</f>
        <v/>
      </c>
      <c r="O3428" s="9">
        <f>IF($A3428="","",N3428&amp;"|"&amp;$F3428)</f>
        <v/>
      </c>
      <c r="P3428" s="94">
        <f>IF($A3428="",0,$H3428*설정!$C$23)</f>
        <v/>
      </c>
      <c r="Q3428" s="64">
        <f>IF($A3428="","",IF(O3428&lt;&gt;원인분석!$C$9,"",IF(AND(M3428&gt;=원인분석!$C$10,M3428&lt;=원인분석!$C$11),"당기",IF(AND(M3428&gt;=원인분석!$C$12,M3428&lt;=원인분석!$C$13),"비교",""))))</f>
        <v/>
      </c>
      <c r="R3428" s="9">
        <f>IF(Q3428="","",$K3428&amp;"")</f>
        <v/>
      </c>
      <c r="S3428" s="9">
        <f>IF(Q3428="","",IF(MATCH(R3428,$R$5:$R$100000,0)=ROW()-4,ROW(),""))</f>
        <v/>
      </c>
      <c r="T3428" s="9">
        <f>IF(Q3428="당기",ABS(P3428)+ROW()/1000000000,"")</f>
        <v/>
      </c>
      <c r="U3428" s="9">
        <f>IF(Q3428="비교",ABS(P3428)+ROW()/1000000000,"")</f>
        <v/>
      </c>
      <c r="V3428" s="64">
        <f>IF($A3428="","",IF(COUNTIF(변동분석!$E$7:$E$506,O3428)&gt;0,"Y","N"))</f>
        <v/>
      </c>
      <c r="W3428" s="64">
        <f>IF($A3428="","",IFERROR(INDEX(계정매핑!$D$5:$D$504,MATCH($F3428&amp;"",계정매핑!$A$5:$A$504,0)),"미매핑"))</f>
        <v/>
      </c>
      <c r="X3428" s="9">
        <f>IF($A3428="","",$F3428&amp;"")</f>
        <v/>
      </c>
      <c r="Y3428" s="94">
        <f>IF($A3428="",0,IF(AE3428="직접",IF(AF3428="비귀속",$P3428,0),$P3428*(1-AG3428)*IFERROR(INDEX(계정대체기준!$F$20:$F$49,MATCH($N3428,계정대체기준!$A$20:$A$49,0)),1)))</f>
        <v/>
      </c>
      <c r="Z3428" s="94">
        <f>IF($A3428="",0,IF(AE3428="직접",IF(AF3428="신계약비",$P3428,0),$P3428*(1-AG3428)*IFERROR(INDEX(계정대체기준!$C$20:$C$49,MATCH($N3428,계정대체기준!$A$20:$A$49,0)),0)))</f>
        <v/>
      </c>
      <c r="AA3428" s="94">
        <f>IF($A3428="",0,IF(AE3428="직접",IF(OR(AF3428="유지비",AF3428="손해조사비"),$P3428,0),$P3428*(1-AG3428)*IFERROR(INDEX(계정대체기준!$D$20:$D$49,MATCH($N3428,계정대체기준!$A$20:$A$49,0)),0)))</f>
        <v/>
      </c>
      <c r="AB3428" s="94">
        <f>IF($A3428="",0,IF(AE3428="직접",IF(AF3428="수금비",$P3428,0),$P3428*(1-AG3428)*IFERROR(INDEX(계정대체기준!$E$20:$E$49,MATCH($N3428,계정대체기준!$A$20:$A$49,0)),0)))</f>
        <v/>
      </c>
      <c r="AC3428" s="9">
        <f>IF(AND($A3428&lt;&gt;"",M3428=설정!$C$20,Z3428&gt;0),Z3428+ROW()/1000000000,"")</f>
        <v/>
      </c>
      <c r="AD3428" s="94">
        <f>IF($A3428="",0,$P3428*AG3428)</f>
        <v/>
      </c>
      <c r="AE3428" s="64">
        <f>IF($A3428="","",IFERROR(INDEX(계정매핑!$E$5:$E$504,MATCH($F3428&amp;"",계정매핑!$A$5:$A$504,0))&amp;"","공통비"))</f>
        <v/>
      </c>
      <c r="AF3428" s="64">
        <f>IF($A3428="","",IF(AE3428="직접",IFERROR(INDEX(계정매핑!$F$5:$F$504,MATCH($F3428&amp;"",계정매핑!$A$5:$A$504,0))&amp;"","비귀속"),""))</f>
        <v/>
      </c>
      <c r="AG3428" s="96">
        <f>IF($A3428="",0,IF(AND(AE3428&lt;&gt;"직접",IFERROR(INDEX(계정매핑!$G$5:$G$504,MATCH($F3428&amp;"",계정매핑!$A$5:$A$504,0))&amp;"","")="유지비",COUNTIF(계정대체기준!$A$6:$A$15,$N3428)&gt;0),IFERROR(INDEX(계정대체기준!$E$6:$E$15,MATCH(VALUE($A3428&amp;""),계정대체기준!$D$6:$D$15,0)),0),0))</f>
        <v/>
      </c>
      <c r="AH3428" s="64">
        <f>IF($A3428="","",IF(AD3428=0,"",IF(OR(COUNTIF(계정대체기준!$A$77:$A$86,$N3428)&gt;0,ISNUMBER(MATCH($X3428,계정대체기준!$D$77:$D$86,0)),ISNUMBER(MATCH($F3428,계정대체기준!$D$77:$D$86,0))),"Y","N")))</f>
        <v/>
      </c>
    </row>
    <row r="3429">
      <c r="A3429" s="92" t="n">
        <v>2026</v>
      </c>
      <c r="B3429" s="92" t="n">
        <v>4</v>
      </c>
      <c r="C3429" s="92" t="inlineStr">
        <is>
          <t>5100000707</t>
        </is>
      </c>
      <c r="D3429" s="95" t="n">
        <v>46116</v>
      </c>
      <c r="E3429" s="92" t="inlineStr">
        <is>
          <t>KR</t>
        </is>
      </c>
      <c r="F3429" s="92" t="n">
        <v>62201000</v>
      </c>
      <c r="G3429" s="92" t="n">
        <v>1701</v>
      </c>
      <c r="H3429" s="93" t="n">
        <v>2609000</v>
      </c>
      <c r="I3429" s="92" t="inlineStr">
        <is>
          <t>4월 통신요금 - O텔레콤</t>
        </is>
      </c>
      <c r="J3429" s="92" t="inlineStr">
        <is>
          <t>V10002</t>
        </is>
      </c>
      <c r="K3429" s="92" t="inlineStr">
        <is>
          <t>O텔레콤</t>
        </is>
      </c>
      <c r="M3429" s="9">
        <f>IF($A3429="","",VALUE($A3429&amp;"")*12+VALUE($B3429&amp;""))</f>
        <v/>
      </c>
      <c r="N3429" s="64">
        <f>IF($A3429="","",IFERROR(INDEX(부서매핑!$C$5:$C$504,MATCH($G3429&amp;"",부서매핑!$A$5:$A$504,0)),"미매핑"))</f>
        <v/>
      </c>
      <c r="O3429" s="9">
        <f>IF($A3429="","",N3429&amp;"|"&amp;$F3429)</f>
        <v/>
      </c>
      <c r="P3429" s="94">
        <f>IF($A3429="",0,$H3429*설정!$C$23)</f>
        <v/>
      </c>
      <c r="Q3429" s="64">
        <f>IF($A3429="","",IF(O3429&lt;&gt;원인분석!$C$9,"",IF(AND(M3429&gt;=원인분석!$C$10,M3429&lt;=원인분석!$C$11),"당기",IF(AND(M3429&gt;=원인분석!$C$12,M3429&lt;=원인분석!$C$13),"비교",""))))</f>
        <v/>
      </c>
      <c r="R3429" s="9">
        <f>IF(Q3429="","",$K3429&amp;"")</f>
        <v/>
      </c>
      <c r="S3429" s="9">
        <f>IF(Q3429="","",IF(MATCH(R3429,$R$5:$R$100000,0)=ROW()-4,ROW(),""))</f>
        <v/>
      </c>
      <c r="T3429" s="9">
        <f>IF(Q3429="당기",ABS(P3429)+ROW()/1000000000,"")</f>
        <v/>
      </c>
      <c r="U3429" s="9">
        <f>IF(Q3429="비교",ABS(P3429)+ROW()/1000000000,"")</f>
        <v/>
      </c>
      <c r="V3429" s="64">
        <f>IF($A3429="","",IF(COUNTIF(변동분석!$E$7:$E$506,O3429)&gt;0,"Y","N"))</f>
        <v/>
      </c>
      <c r="W3429" s="64">
        <f>IF($A3429="","",IFERROR(INDEX(계정매핑!$D$5:$D$504,MATCH($F3429&amp;"",계정매핑!$A$5:$A$504,0)),"미매핑"))</f>
        <v/>
      </c>
      <c r="X3429" s="9">
        <f>IF($A3429="","",$F3429&amp;"")</f>
        <v/>
      </c>
      <c r="Y3429" s="94">
        <f>IF($A3429="",0,IF(AE3429="직접",IF(AF3429="비귀속",$P3429,0),$P3429*(1-AG3429)*IFERROR(INDEX(계정대체기준!$F$20:$F$49,MATCH($N3429,계정대체기준!$A$20:$A$49,0)),1)))</f>
        <v/>
      </c>
      <c r="Z3429" s="94">
        <f>IF($A3429="",0,IF(AE3429="직접",IF(AF3429="신계약비",$P3429,0),$P3429*(1-AG3429)*IFERROR(INDEX(계정대체기준!$C$20:$C$49,MATCH($N3429,계정대체기준!$A$20:$A$49,0)),0)))</f>
        <v/>
      </c>
      <c r="AA3429" s="94">
        <f>IF($A3429="",0,IF(AE3429="직접",IF(OR(AF3429="유지비",AF3429="손해조사비"),$P3429,0),$P3429*(1-AG3429)*IFERROR(INDEX(계정대체기준!$D$20:$D$49,MATCH($N3429,계정대체기준!$A$20:$A$49,0)),0)))</f>
        <v/>
      </c>
      <c r="AB3429" s="94">
        <f>IF($A3429="",0,IF(AE3429="직접",IF(AF3429="수금비",$P3429,0),$P3429*(1-AG3429)*IFERROR(INDEX(계정대체기준!$E$20:$E$49,MATCH($N3429,계정대체기준!$A$20:$A$49,0)),0)))</f>
        <v/>
      </c>
      <c r="AC3429" s="9">
        <f>IF(AND($A3429&lt;&gt;"",M3429=설정!$C$20,Z3429&gt;0),Z3429+ROW()/1000000000,"")</f>
        <v/>
      </c>
      <c r="AD3429" s="94">
        <f>IF($A3429="",0,$P3429*AG3429)</f>
        <v/>
      </c>
      <c r="AE3429" s="64">
        <f>IF($A3429="","",IFERROR(INDEX(계정매핑!$E$5:$E$504,MATCH($F3429&amp;"",계정매핑!$A$5:$A$504,0))&amp;"","공통비"))</f>
        <v/>
      </c>
      <c r="AF3429" s="64">
        <f>IF($A3429="","",IF(AE3429="직접",IFERROR(INDEX(계정매핑!$F$5:$F$504,MATCH($F3429&amp;"",계정매핑!$A$5:$A$504,0))&amp;"","비귀속"),""))</f>
        <v/>
      </c>
      <c r="AG3429" s="96">
        <f>IF($A3429="",0,IF(AND(AE3429&lt;&gt;"직접",IFERROR(INDEX(계정매핑!$G$5:$G$504,MATCH($F3429&amp;"",계정매핑!$A$5:$A$504,0))&amp;"","")="유지비",COUNTIF(계정대체기준!$A$6:$A$15,$N3429)&gt;0),IFERROR(INDEX(계정대체기준!$E$6:$E$15,MATCH(VALUE($A3429&amp;""),계정대체기준!$D$6:$D$15,0)),0),0))</f>
        <v/>
      </c>
      <c r="AH3429" s="64">
        <f>IF($A3429="","",IF(AD3429=0,"",IF(OR(COUNTIF(계정대체기준!$A$77:$A$86,$N3429)&gt;0,ISNUMBER(MATCH($X3429,계정대체기준!$D$77:$D$86,0)),ISNUMBER(MATCH($F3429,계정대체기준!$D$77:$D$86,0))),"Y","N")))</f>
        <v/>
      </c>
    </row>
    <row r="3430">
      <c r="A3430" s="92" t="n">
        <v>2026</v>
      </c>
      <c r="B3430" s="92" t="n">
        <v>4</v>
      </c>
      <c r="C3430" s="92" t="inlineStr">
        <is>
          <t>5100000708</t>
        </is>
      </c>
      <c r="D3430" s="95" t="n">
        <v>46116</v>
      </c>
      <c r="E3430" s="92" t="inlineStr">
        <is>
          <t>KR</t>
        </is>
      </c>
      <c r="F3430" s="92" t="n">
        <v>62201000</v>
      </c>
      <c r="G3430" s="92" t="n">
        <v>1951</v>
      </c>
      <c r="H3430" s="93" t="n">
        <v>304000</v>
      </c>
      <c r="I3430" s="92" t="inlineStr">
        <is>
          <t>4월 통신요금 - O텔레콤</t>
        </is>
      </c>
      <c r="J3430" s="92" t="inlineStr">
        <is>
          <t>V10002</t>
        </is>
      </c>
      <c r="K3430" s="92" t="inlineStr">
        <is>
          <t>O텔레콤</t>
        </is>
      </c>
      <c r="M3430" s="9">
        <f>IF($A3430="","",VALUE($A3430&amp;"")*12+VALUE($B3430&amp;""))</f>
        <v/>
      </c>
      <c r="N3430" s="64">
        <f>IF($A3430="","",IFERROR(INDEX(부서매핑!$C$5:$C$504,MATCH($G3430&amp;"",부서매핑!$A$5:$A$504,0)),"미매핑"))</f>
        <v/>
      </c>
      <c r="O3430" s="9">
        <f>IF($A3430="","",N3430&amp;"|"&amp;$F3430)</f>
        <v/>
      </c>
      <c r="P3430" s="94">
        <f>IF($A3430="",0,$H3430*설정!$C$23)</f>
        <v/>
      </c>
      <c r="Q3430" s="64">
        <f>IF($A3430="","",IF(O3430&lt;&gt;원인분석!$C$9,"",IF(AND(M3430&gt;=원인분석!$C$10,M3430&lt;=원인분석!$C$11),"당기",IF(AND(M3430&gt;=원인분석!$C$12,M3430&lt;=원인분석!$C$13),"비교",""))))</f>
        <v/>
      </c>
      <c r="R3430" s="9">
        <f>IF(Q3430="","",$K3430&amp;"")</f>
        <v/>
      </c>
      <c r="S3430" s="9">
        <f>IF(Q3430="","",IF(MATCH(R3430,$R$5:$R$100000,0)=ROW()-4,ROW(),""))</f>
        <v/>
      </c>
      <c r="T3430" s="9">
        <f>IF(Q3430="당기",ABS(P3430)+ROW()/1000000000,"")</f>
        <v/>
      </c>
      <c r="U3430" s="9">
        <f>IF(Q3430="비교",ABS(P3430)+ROW()/1000000000,"")</f>
        <v/>
      </c>
      <c r="V3430" s="64">
        <f>IF($A3430="","",IF(COUNTIF(변동분석!$E$7:$E$506,O3430)&gt;0,"Y","N"))</f>
        <v/>
      </c>
      <c r="W3430" s="64">
        <f>IF($A3430="","",IFERROR(INDEX(계정매핑!$D$5:$D$504,MATCH($F3430&amp;"",계정매핑!$A$5:$A$504,0)),"미매핑"))</f>
        <v/>
      </c>
      <c r="X3430" s="9">
        <f>IF($A3430="","",$F3430&amp;"")</f>
        <v/>
      </c>
      <c r="Y3430" s="94">
        <f>IF($A3430="",0,IF(AE3430="직접",IF(AF3430="비귀속",$P3430,0),$P3430*(1-AG3430)*IFERROR(INDEX(계정대체기준!$F$20:$F$49,MATCH($N3430,계정대체기준!$A$20:$A$49,0)),1)))</f>
        <v/>
      </c>
      <c r="Z3430" s="94">
        <f>IF($A3430="",0,IF(AE3430="직접",IF(AF3430="신계약비",$P3430,0),$P3430*(1-AG3430)*IFERROR(INDEX(계정대체기준!$C$20:$C$49,MATCH($N3430,계정대체기준!$A$20:$A$49,0)),0)))</f>
        <v/>
      </c>
      <c r="AA3430" s="94">
        <f>IF($A3430="",0,IF(AE3430="직접",IF(OR(AF3430="유지비",AF3430="손해조사비"),$P3430,0),$P3430*(1-AG3430)*IFERROR(INDEX(계정대체기준!$D$20:$D$49,MATCH($N3430,계정대체기준!$A$20:$A$49,0)),0)))</f>
        <v/>
      </c>
      <c r="AB3430" s="94">
        <f>IF($A3430="",0,IF(AE3430="직접",IF(AF3430="수금비",$P3430,0),$P3430*(1-AG3430)*IFERROR(INDEX(계정대체기준!$E$20:$E$49,MATCH($N3430,계정대체기준!$A$20:$A$49,0)),0)))</f>
        <v/>
      </c>
      <c r="AC3430" s="9">
        <f>IF(AND($A3430&lt;&gt;"",M3430=설정!$C$20,Z3430&gt;0),Z3430+ROW()/1000000000,"")</f>
        <v/>
      </c>
      <c r="AD3430" s="94">
        <f>IF($A3430="",0,$P3430*AG3430)</f>
        <v/>
      </c>
      <c r="AE3430" s="64">
        <f>IF($A3430="","",IFERROR(INDEX(계정매핑!$E$5:$E$504,MATCH($F3430&amp;"",계정매핑!$A$5:$A$504,0))&amp;"","공통비"))</f>
        <v/>
      </c>
      <c r="AF3430" s="64">
        <f>IF($A3430="","",IF(AE3430="직접",IFERROR(INDEX(계정매핑!$F$5:$F$504,MATCH($F3430&amp;"",계정매핑!$A$5:$A$504,0))&amp;"","비귀속"),""))</f>
        <v/>
      </c>
      <c r="AG3430" s="96">
        <f>IF($A3430="",0,IF(AND(AE3430&lt;&gt;"직접",IFERROR(INDEX(계정매핑!$G$5:$G$504,MATCH($F3430&amp;"",계정매핑!$A$5:$A$504,0))&amp;"","")="유지비",COUNTIF(계정대체기준!$A$6:$A$15,$N3430)&gt;0),IFERROR(INDEX(계정대체기준!$E$6:$E$15,MATCH(VALUE($A3430&amp;""),계정대체기준!$D$6:$D$15,0)),0),0))</f>
        <v/>
      </c>
      <c r="AH3430" s="64">
        <f>IF($A3430="","",IF(AD3430=0,"",IF(OR(COUNTIF(계정대체기준!$A$77:$A$86,$N3430)&gt;0,ISNUMBER(MATCH($X3430,계정대체기준!$D$77:$D$86,0)),ISNUMBER(MATCH($F3430,계정대체기준!$D$77:$D$86,0))),"Y","N")))</f>
        <v/>
      </c>
    </row>
    <row r="3431">
      <c r="A3431" s="92" t="n">
        <v>2026</v>
      </c>
      <c r="B3431" s="92" t="n">
        <v>4</v>
      </c>
      <c r="C3431" s="92" t="inlineStr">
        <is>
          <t>5100000709</t>
        </is>
      </c>
      <c r="D3431" s="95" t="n">
        <v>46116</v>
      </c>
      <c r="E3431" s="92" t="inlineStr">
        <is>
          <t>KR</t>
        </is>
      </c>
      <c r="F3431" s="92" t="n">
        <v>62401000</v>
      </c>
      <c r="G3431" s="92" t="n">
        <v>1401</v>
      </c>
      <c r="H3431" s="93" t="n">
        <v>352000</v>
      </c>
      <c r="I3431" s="92" t="inlineStr">
        <is>
          <t>4월 인쇄물 제작 - S출판</t>
        </is>
      </c>
      <c r="J3431" s="92" t="inlineStr">
        <is>
          <t>V10015</t>
        </is>
      </c>
      <c r="K3431" s="92" t="inlineStr">
        <is>
          <t>S출판</t>
        </is>
      </c>
      <c r="M3431" s="9">
        <f>IF($A3431="","",VALUE($A3431&amp;"")*12+VALUE($B3431&amp;""))</f>
        <v/>
      </c>
      <c r="N3431" s="64">
        <f>IF($A3431="","",IFERROR(INDEX(부서매핑!$C$5:$C$504,MATCH($G3431&amp;"",부서매핑!$A$5:$A$504,0)),"미매핑"))</f>
        <v/>
      </c>
      <c r="O3431" s="9">
        <f>IF($A3431="","",N3431&amp;"|"&amp;$F3431)</f>
        <v/>
      </c>
      <c r="P3431" s="94">
        <f>IF($A3431="",0,$H3431*설정!$C$23)</f>
        <v/>
      </c>
      <c r="Q3431" s="64">
        <f>IF($A3431="","",IF(O3431&lt;&gt;원인분석!$C$9,"",IF(AND(M3431&gt;=원인분석!$C$10,M3431&lt;=원인분석!$C$11),"당기",IF(AND(M3431&gt;=원인분석!$C$12,M3431&lt;=원인분석!$C$13),"비교",""))))</f>
        <v/>
      </c>
      <c r="R3431" s="9">
        <f>IF(Q3431="","",$K3431&amp;"")</f>
        <v/>
      </c>
      <c r="S3431" s="9">
        <f>IF(Q3431="","",IF(MATCH(R3431,$R$5:$R$100000,0)=ROW()-4,ROW(),""))</f>
        <v/>
      </c>
      <c r="T3431" s="9">
        <f>IF(Q3431="당기",ABS(P3431)+ROW()/1000000000,"")</f>
        <v/>
      </c>
      <c r="U3431" s="9">
        <f>IF(Q3431="비교",ABS(P3431)+ROW()/1000000000,"")</f>
        <v/>
      </c>
      <c r="V3431" s="64">
        <f>IF($A3431="","",IF(COUNTIF(변동분석!$E$7:$E$506,O3431)&gt;0,"Y","N"))</f>
        <v/>
      </c>
      <c r="W3431" s="64">
        <f>IF($A3431="","",IFERROR(INDEX(계정매핑!$D$5:$D$504,MATCH($F3431&amp;"",계정매핑!$A$5:$A$504,0)),"미매핑"))</f>
        <v/>
      </c>
      <c r="X3431" s="9">
        <f>IF($A3431="","",$F3431&amp;"")</f>
        <v/>
      </c>
      <c r="Y3431" s="94">
        <f>IF($A3431="",0,IF(AE3431="직접",IF(AF3431="비귀속",$P3431,0),$P3431*(1-AG3431)*IFERROR(INDEX(계정대체기준!$F$20:$F$49,MATCH($N3431,계정대체기준!$A$20:$A$49,0)),1)))</f>
        <v/>
      </c>
      <c r="Z3431" s="94">
        <f>IF($A3431="",0,IF(AE3431="직접",IF(AF3431="신계약비",$P3431,0),$P3431*(1-AG3431)*IFERROR(INDEX(계정대체기준!$C$20:$C$49,MATCH($N3431,계정대체기준!$A$20:$A$49,0)),0)))</f>
        <v/>
      </c>
      <c r="AA3431" s="94">
        <f>IF($A3431="",0,IF(AE3431="직접",IF(OR(AF3431="유지비",AF3431="손해조사비"),$P3431,0),$P3431*(1-AG3431)*IFERROR(INDEX(계정대체기준!$D$20:$D$49,MATCH($N3431,계정대체기준!$A$20:$A$49,0)),0)))</f>
        <v/>
      </c>
      <c r="AB3431" s="94">
        <f>IF($A3431="",0,IF(AE3431="직접",IF(AF3431="수금비",$P3431,0),$P3431*(1-AG3431)*IFERROR(INDEX(계정대체기준!$E$20:$E$49,MATCH($N3431,계정대체기준!$A$20:$A$49,0)),0)))</f>
        <v/>
      </c>
      <c r="AC3431" s="9">
        <f>IF(AND($A3431&lt;&gt;"",M3431=설정!$C$20,Z3431&gt;0),Z3431+ROW()/1000000000,"")</f>
        <v/>
      </c>
      <c r="AD3431" s="94">
        <f>IF($A3431="",0,$P3431*AG3431)</f>
        <v/>
      </c>
      <c r="AE3431" s="64">
        <f>IF($A3431="","",IFERROR(INDEX(계정매핑!$E$5:$E$504,MATCH($F3431&amp;"",계정매핑!$A$5:$A$504,0))&amp;"","공통비"))</f>
        <v/>
      </c>
      <c r="AF3431" s="64">
        <f>IF($A3431="","",IF(AE3431="직접",IFERROR(INDEX(계정매핑!$F$5:$F$504,MATCH($F3431&amp;"",계정매핑!$A$5:$A$504,0))&amp;"","비귀속"),""))</f>
        <v/>
      </c>
      <c r="AG3431" s="96">
        <f>IF($A3431="",0,IF(AND(AE3431&lt;&gt;"직접",IFERROR(INDEX(계정매핑!$G$5:$G$504,MATCH($F3431&amp;"",계정매핑!$A$5:$A$504,0))&amp;"","")="유지비",COUNTIF(계정대체기준!$A$6:$A$15,$N3431)&gt;0),IFERROR(INDEX(계정대체기준!$E$6:$E$15,MATCH(VALUE($A3431&amp;""),계정대체기준!$D$6:$D$15,0)),0),0))</f>
        <v/>
      </c>
      <c r="AH3431" s="64">
        <f>IF($A3431="","",IF(AD3431=0,"",IF(OR(COUNTIF(계정대체기준!$A$77:$A$86,$N3431)&gt;0,ISNUMBER(MATCH($X3431,계정대체기준!$D$77:$D$86,0)),ISNUMBER(MATCH($F3431,계정대체기준!$D$77:$D$86,0))),"Y","N")))</f>
        <v/>
      </c>
    </row>
    <row r="3432">
      <c r="A3432" s="92" t="n">
        <v>2026</v>
      </c>
      <c r="B3432" s="92" t="n">
        <v>4</v>
      </c>
      <c r="C3432" s="92" t="inlineStr">
        <is>
          <t>5100000710</t>
        </is>
      </c>
      <c r="D3432" s="95" t="n">
        <v>46116</v>
      </c>
      <c r="E3432" s="92" t="inlineStr">
        <is>
          <t>KR</t>
        </is>
      </c>
      <c r="F3432" s="92" t="n">
        <v>62802000</v>
      </c>
      <c r="G3432" s="92" t="n">
        <v>1301</v>
      </c>
      <c r="H3432" s="93" t="n">
        <v>6609000</v>
      </c>
      <c r="I3432" s="92" t="inlineStr">
        <is>
          <t>4월 위탁교육 - V아카데미</t>
        </is>
      </c>
      <c r="J3432" s="92" t="inlineStr">
        <is>
          <t>V10027</t>
        </is>
      </c>
      <c r="K3432" s="92" t="inlineStr">
        <is>
          <t>V아카데미</t>
        </is>
      </c>
      <c r="M3432" s="9">
        <f>IF($A3432="","",VALUE($A3432&amp;"")*12+VALUE($B3432&amp;""))</f>
        <v/>
      </c>
      <c r="N3432" s="64">
        <f>IF($A3432="","",IFERROR(INDEX(부서매핑!$C$5:$C$504,MATCH($G3432&amp;"",부서매핑!$A$5:$A$504,0)),"미매핑"))</f>
        <v/>
      </c>
      <c r="O3432" s="9">
        <f>IF($A3432="","",N3432&amp;"|"&amp;$F3432)</f>
        <v/>
      </c>
      <c r="P3432" s="94">
        <f>IF($A3432="",0,$H3432*설정!$C$23)</f>
        <v/>
      </c>
      <c r="Q3432" s="64">
        <f>IF($A3432="","",IF(O3432&lt;&gt;원인분석!$C$9,"",IF(AND(M3432&gt;=원인분석!$C$10,M3432&lt;=원인분석!$C$11),"당기",IF(AND(M3432&gt;=원인분석!$C$12,M3432&lt;=원인분석!$C$13),"비교",""))))</f>
        <v/>
      </c>
      <c r="R3432" s="9">
        <f>IF(Q3432="","",$K3432&amp;"")</f>
        <v/>
      </c>
      <c r="S3432" s="9">
        <f>IF(Q3432="","",IF(MATCH(R3432,$R$5:$R$100000,0)=ROW()-4,ROW(),""))</f>
        <v/>
      </c>
      <c r="T3432" s="9">
        <f>IF(Q3432="당기",ABS(P3432)+ROW()/1000000000,"")</f>
        <v/>
      </c>
      <c r="U3432" s="9">
        <f>IF(Q3432="비교",ABS(P3432)+ROW()/1000000000,"")</f>
        <v/>
      </c>
      <c r="V3432" s="64">
        <f>IF($A3432="","",IF(COUNTIF(변동분석!$E$7:$E$506,O3432)&gt;0,"Y","N"))</f>
        <v/>
      </c>
      <c r="W3432" s="64">
        <f>IF($A3432="","",IFERROR(INDEX(계정매핑!$D$5:$D$504,MATCH($F3432&amp;"",계정매핑!$A$5:$A$504,0)),"미매핑"))</f>
        <v/>
      </c>
      <c r="X3432" s="9">
        <f>IF($A3432="","",$F3432&amp;"")</f>
        <v/>
      </c>
      <c r="Y3432" s="94">
        <f>IF($A3432="",0,IF(AE3432="직접",IF(AF3432="비귀속",$P3432,0),$P3432*(1-AG3432)*IFERROR(INDEX(계정대체기준!$F$20:$F$49,MATCH($N3432,계정대체기준!$A$20:$A$49,0)),1)))</f>
        <v/>
      </c>
      <c r="Z3432" s="94">
        <f>IF($A3432="",0,IF(AE3432="직접",IF(AF3432="신계약비",$P3432,0),$P3432*(1-AG3432)*IFERROR(INDEX(계정대체기준!$C$20:$C$49,MATCH($N3432,계정대체기준!$A$20:$A$49,0)),0)))</f>
        <v/>
      </c>
      <c r="AA3432" s="94">
        <f>IF($A3432="",0,IF(AE3432="직접",IF(OR(AF3432="유지비",AF3432="손해조사비"),$P3432,0),$P3432*(1-AG3432)*IFERROR(INDEX(계정대체기준!$D$20:$D$49,MATCH($N3432,계정대체기준!$A$20:$A$49,0)),0)))</f>
        <v/>
      </c>
      <c r="AB3432" s="94">
        <f>IF($A3432="",0,IF(AE3432="직접",IF(AF3432="수금비",$P3432,0),$P3432*(1-AG3432)*IFERROR(INDEX(계정대체기준!$E$20:$E$49,MATCH($N3432,계정대체기준!$A$20:$A$49,0)),0)))</f>
        <v/>
      </c>
      <c r="AC3432" s="9">
        <f>IF(AND($A3432&lt;&gt;"",M3432=설정!$C$20,Z3432&gt;0),Z3432+ROW()/1000000000,"")</f>
        <v/>
      </c>
      <c r="AD3432" s="94">
        <f>IF($A3432="",0,$P3432*AG3432)</f>
        <v/>
      </c>
      <c r="AE3432" s="64">
        <f>IF($A3432="","",IFERROR(INDEX(계정매핑!$E$5:$E$504,MATCH($F3432&amp;"",계정매핑!$A$5:$A$504,0))&amp;"","공통비"))</f>
        <v/>
      </c>
      <c r="AF3432" s="64">
        <f>IF($A3432="","",IF(AE3432="직접",IFERROR(INDEX(계정매핑!$F$5:$F$504,MATCH($F3432&amp;"",계정매핑!$A$5:$A$504,0))&amp;"","비귀속"),""))</f>
        <v/>
      </c>
      <c r="AG3432" s="96">
        <f>IF($A3432="",0,IF(AND(AE3432&lt;&gt;"직접",IFERROR(INDEX(계정매핑!$G$5:$G$504,MATCH($F3432&amp;"",계정매핑!$A$5:$A$504,0))&amp;"","")="유지비",COUNTIF(계정대체기준!$A$6:$A$15,$N3432)&gt;0),IFERROR(INDEX(계정대체기준!$E$6:$E$15,MATCH(VALUE($A3432&amp;""),계정대체기준!$D$6:$D$15,0)),0),0))</f>
        <v/>
      </c>
      <c r="AH3432" s="64">
        <f>IF($A3432="","",IF(AD3432=0,"",IF(OR(COUNTIF(계정대체기준!$A$77:$A$86,$N3432)&gt;0,ISNUMBER(MATCH($X3432,계정대체기준!$D$77:$D$86,0)),ISNUMBER(MATCH($F3432,계정대체기준!$D$77:$D$86,0))),"Y","N")))</f>
        <v/>
      </c>
    </row>
    <row r="3433">
      <c r="A3433" s="92" t="n">
        <v>2026</v>
      </c>
      <c r="B3433" s="92" t="n">
        <v>4</v>
      </c>
      <c r="C3433" s="92" t="inlineStr">
        <is>
          <t>5100000711</t>
        </is>
      </c>
      <c r="D3433" s="95" t="n">
        <v>46116</v>
      </c>
      <c r="E3433" s="92" t="inlineStr">
        <is>
          <t>KR</t>
        </is>
      </c>
      <c r="F3433" s="92" t="n">
        <v>62901000</v>
      </c>
      <c r="G3433" s="92" t="n">
        <v>1101</v>
      </c>
      <c r="H3433" s="93" t="n">
        <v>3690000</v>
      </c>
      <c r="I3433" s="92" t="inlineStr">
        <is>
          <t>4월 자문 수수료 - W컨설팅</t>
        </is>
      </c>
      <c r="J3433" s="92" t="inlineStr">
        <is>
          <t>V10006</t>
        </is>
      </c>
      <c r="K3433" s="92" t="inlineStr">
        <is>
          <t>W컨설팅</t>
        </is>
      </c>
      <c r="M3433" s="9">
        <f>IF($A3433="","",VALUE($A3433&amp;"")*12+VALUE($B3433&amp;""))</f>
        <v/>
      </c>
      <c r="N3433" s="64">
        <f>IF($A3433="","",IFERROR(INDEX(부서매핑!$C$5:$C$504,MATCH($G3433&amp;"",부서매핑!$A$5:$A$504,0)),"미매핑"))</f>
        <v/>
      </c>
      <c r="O3433" s="9">
        <f>IF($A3433="","",N3433&amp;"|"&amp;$F3433)</f>
        <v/>
      </c>
      <c r="P3433" s="94">
        <f>IF($A3433="",0,$H3433*설정!$C$23)</f>
        <v/>
      </c>
      <c r="Q3433" s="64">
        <f>IF($A3433="","",IF(O3433&lt;&gt;원인분석!$C$9,"",IF(AND(M3433&gt;=원인분석!$C$10,M3433&lt;=원인분석!$C$11),"당기",IF(AND(M3433&gt;=원인분석!$C$12,M3433&lt;=원인분석!$C$13),"비교",""))))</f>
        <v/>
      </c>
      <c r="R3433" s="9">
        <f>IF(Q3433="","",$K3433&amp;"")</f>
        <v/>
      </c>
      <c r="S3433" s="9">
        <f>IF(Q3433="","",IF(MATCH(R3433,$R$5:$R$100000,0)=ROW()-4,ROW(),""))</f>
        <v/>
      </c>
      <c r="T3433" s="9">
        <f>IF(Q3433="당기",ABS(P3433)+ROW()/1000000000,"")</f>
        <v/>
      </c>
      <c r="U3433" s="9">
        <f>IF(Q3433="비교",ABS(P3433)+ROW()/1000000000,"")</f>
        <v/>
      </c>
      <c r="V3433" s="64">
        <f>IF($A3433="","",IF(COUNTIF(변동분석!$E$7:$E$506,O3433)&gt;0,"Y","N"))</f>
        <v/>
      </c>
      <c r="W3433" s="64">
        <f>IF($A3433="","",IFERROR(INDEX(계정매핑!$D$5:$D$504,MATCH($F3433&amp;"",계정매핑!$A$5:$A$504,0)),"미매핑"))</f>
        <v/>
      </c>
      <c r="X3433" s="9">
        <f>IF($A3433="","",$F3433&amp;"")</f>
        <v/>
      </c>
      <c r="Y3433" s="94">
        <f>IF($A3433="",0,IF(AE3433="직접",IF(AF3433="비귀속",$P3433,0),$P3433*(1-AG3433)*IFERROR(INDEX(계정대체기준!$F$20:$F$49,MATCH($N3433,계정대체기준!$A$20:$A$49,0)),1)))</f>
        <v/>
      </c>
      <c r="Z3433" s="94">
        <f>IF($A3433="",0,IF(AE3433="직접",IF(AF3433="신계약비",$P3433,0),$P3433*(1-AG3433)*IFERROR(INDEX(계정대체기준!$C$20:$C$49,MATCH($N3433,계정대체기준!$A$20:$A$49,0)),0)))</f>
        <v/>
      </c>
      <c r="AA3433" s="94">
        <f>IF($A3433="",0,IF(AE3433="직접",IF(OR(AF3433="유지비",AF3433="손해조사비"),$P3433,0),$P3433*(1-AG3433)*IFERROR(INDEX(계정대체기준!$D$20:$D$49,MATCH($N3433,계정대체기준!$A$20:$A$49,0)),0)))</f>
        <v/>
      </c>
      <c r="AB3433" s="94">
        <f>IF($A3433="",0,IF(AE3433="직접",IF(AF3433="수금비",$P3433,0),$P3433*(1-AG3433)*IFERROR(INDEX(계정대체기준!$E$20:$E$49,MATCH($N3433,계정대체기준!$A$20:$A$49,0)),0)))</f>
        <v/>
      </c>
      <c r="AC3433" s="9">
        <f>IF(AND($A3433&lt;&gt;"",M3433=설정!$C$20,Z3433&gt;0),Z3433+ROW()/1000000000,"")</f>
        <v/>
      </c>
      <c r="AD3433" s="94">
        <f>IF($A3433="",0,$P3433*AG3433)</f>
        <v/>
      </c>
      <c r="AE3433" s="64">
        <f>IF($A3433="","",IFERROR(INDEX(계정매핑!$E$5:$E$504,MATCH($F3433&amp;"",계정매핑!$A$5:$A$504,0))&amp;"","공통비"))</f>
        <v/>
      </c>
      <c r="AF3433" s="64">
        <f>IF($A3433="","",IF(AE3433="직접",IFERROR(INDEX(계정매핑!$F$5:$F$504,MATCH($F3433&amp;"",계정매핑!$A$5:$A$504,0))&amp;"","비귀속"),""))</f>
        <v/>
      </c>
      <c r="AG3433" s="96">
        <f>IF($A3433="",0,IF(AND(AE3433&lt;&gt;"직접",IFERROR(INDEX(계정매핑!$G$5:$G$504,MATCH($F3433&amp;"",계정매핑!$A$5:$A$504,0))&amp;"","")="유지비",COUNTIF(계정대체기준!$A$6:$A$15,$N3433)&gt;0),IFERROR(INDEX(계정대체기준!$E$6:$E$15,MATCH(VALUE($A3433&amp;""),계정대체기준!$D$6:$D$15,0)),0),0))</f>
        <v/>
      </c>
      <c r="AH3433" s="64">
        <f>IF($A3433="","",IF(AD3433=0,"",IF(OR(COUNTIF(계정대체기준!$A$77:$A$86,$N3433)&gt;0,ISNUMBER(MATCH($X3433,계정대체기준!$D$77:$D$86,0)),ISNUMBER(MATCH($F3433,계정대체기준!$D$77:$D$86,0))),"Y","N")))</f>
        <v/>
      </c>
    </row>
    <row r="3434">
      <c r="A3434" s="92" t="n">
        <v>2026</v>
      </c>
      <c r="B3434" s="92" t="n">
        <v>4</v>
      </c>
      <c r="C3434" s="92" t="inlineStr">
        <is>
          <t>5100000712</t>
        </is>
      </c>
      <c r="D3434" s="95" t="n">
        <v>46116</v>
      </c>
      <c r="E3434" s="92" t="inlineStr">
        <is>
          <t>KR</t>
        </is>
      </c>
      <c r="F3434" s="92" t="n">
        <v>62902000</v>
      </c>
      <c r="G3434" s="92" t="n">
        <v>1101</v>
      </c>
      <c r="H3434" s="93" t="n">
        <v>1379000</v>
      </c>
      <c r="I3434" s="92" t="inlineStr">
        <is>
          <t>4월 업무 위탁 수수료 - X서비스</t>
        </is>
      </c>
      <c r="J3434" s="92" t="inlineStr">
        <is>
          <t>V10020</t>
        </is>
      </c>
      <c r="K3434" s="92" t="inlineStr">
        <is>
          <t>X서비스</t>
        </is>
      </c>
      <c r="M3434" s="9">
        <f>IF($A3434="","",VALUE($A3434&amp;"")*12+VALUE($B3434&amp;""))</f>
        <v/>
      </c>
      <c r="N3434" s="64">
        <f>IF($A3434="","",IFERROR(INDEX(부서매핑!$C$5:$C$504,MATCH($G3434&amp;"",부서매핑!$A$5:$A$504,0)),"미매핑"))</f>
        <v/>
      </c>
      <c r="O3434" s="9">
        <f>IF($A3434="","",N3434&amp;"|"&amp;$F3434)</f>
        <v/>
      </c>
      <c r="P3434" s="94">
        <f>IF($A3434="",0,$H3434*설정!$C$23)</f>
        <v/>
      </c>
      <c r="Q3434" s="64">
        <f>IF($A3434="","",IF(O3434&lt;&gt;원인분석!$C$9,"",IF(AND(M3434&gt;=원인분석!$C$10,M3434&lt;=원인분석!$C$11),"당기",IF(AND(M3434&gt;=원인분석!$C$12,M3434&lt;=원인분석!$C$13),"비교",""))))</f>
        <v/>
      </c>
      <c r="R3434" s="9">
        <f>IF(Q3434="","",$K3434&amp;"")</f>
        <v/>
      </c>
      <c r="S3434" s="9">
        <f>IF(Q3434="","",IF(MATCH(R3434,$R$5:$R$100000,0)=ROW()-4,ROW(),""))</f>
        <v/>
      </c>
      <c r="T3434" s="9">
        <f>IF(Q3434="당기",ABS(P3434)+ROW()/1000000000,"")</f>
        <v/>
      </c>
      <c r="U3434" s="9">
        <f>IF(Q3434="비교",ABS(P3434)+ROW()/1000000000,"")</f>
        <v/>
      </c>
      <c r="V3434" s="64">
        <f>IF($A3434="","",IF(COUNTIF(변동분석!$E$7:$E$506,O3434)&gt;0,"Y","N"))</f>
        <v/>
      </c>
      <c r="W3434" s="64">
        <f>IF($A3434="","",IFERROR(INDEX(계정매핑!$D$5:$D$504,MATCH($F3434&amp;"",계정매핑!$A$5:$A$504,0)),"미매핑"))</f>
        <v/>
      </c>
      <c r="X3434" s="9">
        <f>IF($A3434="","",$F3434&amp;"")</f>
        <v/>
      </c>
      <c r="Y3434" s="94">
        <f>IF($A3434="",0,IF(AE3434="직접",IF(AF3434="비귀속",$P3434,0),$P3434*(1-AG3434)*IFERROR(INDEX(계정대체기준!$F$20:$F$49,MATCH($N3434,계정대체기준!$A$20:$A$49,0)),1)))</f>
        <v/>
      </c>
      <c r="Z3434" s="94">
        <f>IF($A3434="",0,IF(AE3434="직접",IF(AF3434="신계약비",$P3434,0),$P3434*(1-AG3434)*IFERROR(INDEX(계정대체기준!$C$20:$C$49,MATCH($N3434,계정대체기준!$A$20:$A$49,0)),0)))</f>
        <v/>
      </c>
      <c r="AA3434" s="94">
        <f>IF($A3434="",0,IF(AE3434="직접",IF(OR(AF3434="유지비",AF3434="손해조사비"),$P3434,0),$P3434*(1-AG3434)*IFERROR(INDEX(계정대체기준!$D$20:$D$49,MATCH($N3434,계정대체기준!$A$20:$A$49,0)),0)))</f>
        <v/>
      </c>
      <c r="AB3434" s="94">
        <f>IF($A3434="",0,IF(AE3434="직접",IF(AF3434="수금비",$P3434,0),$P3434*(1-AG3434)*IFERROR(INDEX(계정대체기준!$E$20:$E$49,MATCH($N3434,계정대체기준!$A$20:$A$49,0)),0)))</f>
        <v/>
      </c>
      <c r="AC3434" s="9">
        <f>IF(AND($A3434&lt;&gt;"",M3434=설정!$C$20,Z3434&gt;0),Z3434+ROW()/1000000000,"")</f>
        <v/>
      </c>
      <c r="AD3434" s="94">
        <f>IF($A3434="",0,$P3434*AG3434)</f>
        <v/>
      </c>
      <c r="AE3434" s="64">
        <f>IF($A3434="","",IFERROR(INDEX(계정매핑!$E$5:$E$504,MATCH($F3434&amp;"",계정매핑!$A$5:$A$504,0))&amp;"","공통비"))</f>
        <v/>
      </c>
      <c r="AF3434" s="64">
        <f>IF($A3434="","",IF(AE3434="직접",IFERROR(INDEX(계정매핑!$F$5:$F$504,MATCH($F3434&amp;"",계정매핑!$A$5:$A$504,0))&amp;"","비귀속"),""))</f>
        <v/>
      </c>
      <c r="AG3434" s="96">
        <f>IF($A3434="",0,IF(AND(AE3434&lt;&gt;"직접",IFERROR(INDEX(계정매핑!$G$5:$G$504,MATCH($F3434&amp;"",계정매핑!$A$5:$A$504,0))&amp;"","")="유지비",COUNTIF(계정대체기준!$A$6:$A$15,$N3434)&gt;0),IFERROR(INDEX(계정대체기준!$E$6:$E$15,MATCH(VALUE($A3434&amp;""),계정대체기준!$D$6:$D$15,0)),0),0))</f>
        <v/>
      </c>
      <c r="AH3434" s="64">
        <f>IF($A3434="","",IF(AD3434=0,"",IF(OR(COUNTIF(계정대체기준!$A$77:$A$86,$N3434)&gt;0,ISNUMBER(MATCH($X3434,계정대체기준!$D$77:$D$86,0)),ISNUMBER(MATCH($F3434,계정대체기준!$D$77:$D$86,0))),"Y","N")))</f>
        <v/>
      </c>
    </row>
    <row r="3435">
      <c r="A3435" s="92" t="n">
        <v>2026</v>
      </c>
      <c r="B3435" s="92" t="n">
        <v>4</v>
      </c>
      <c r="C3435" s="92" t="inlineStr">
        <is>
          <t>5100000713</t>
        </is>
      </c>
      <c r="D3435" s="95" t="n">
        <v>46116</v>
      </c>
      <c r="E3435" s="92" t="inlineStr">
        <is>
          <t>KR</t>
        </is>
      </c>
      <c r="F3435" s="92" t="n">
        <v>62902000</v>
      </c>
      <c r="G3435" s="92" t="n">
        <v>1801</v>
      </c>
      <c r="H3435" s="93" t="n">
        <v>1780000</v>
      </c>
      <c r="I3435" s="92" t="inlineStr">
        <is>
          <t>4월 콜 위탁 수수료(건별)</t>
        </is>
      </c>
      <c r="J3435" s="92" t="inlineStr">
        <is>
          <t>V10016</t>
        </is>
      </c>
      <c r="K3435" s="92" t="inlineStr">
        <is>
          <t>J콜센터</t>
        </is>
      </c>
      <c r="M3435" s="9">
        <f>IF($A3435="","",VALUE($A3435&amp;"")*12+VALUE($B3435&amp;""))</f>
        <v/>
      </c>
      <c r="N3435" s="64">
        <f>IF($A3435="","",IFERROR(INDEX(부서매핑!$C$5:$C$504,MATCH($G3435&amp;"",부서매핑!$A$5:$A$504,0)),"미매핑"))</f>
        <v/>
      </c>
      <c r="O3435" s="9">
        <f>IF($A3435="","",N3435&amp;"|"&amp;$F3435)</f>
        <v/>
      </c>
      <c r="P3435" s="94">
        <f>IF($A3435="",0,$H3435*설정!$C$23)</f>
        <v/>
      </c>
      <c r="Q3435" s="64">
        <f>IF($A3435="","",IF(O3435&lt;&gt;원인분석!$C$9,"",IF(AND(M3435&gt;=원인분석!$C$10,M3435&lt;=원인분석!$C$11),"당기",IF(AND(M3435&gt;=원인분석!$C$12,M3435&lt;=원인분석!$C$13),"비교",""))))</f>
        <v/>
      </c>
      <c r="R3435" s="9">
        <f>IF(Q3435="","",$K3435&amp;"")</f>
        <v/>
      </c>
      <c r="S3435" s="9">
        <f>IF(Q3435="","",IF(MATCH(R3435,$R$5:$R$100000,0)=ROW()-4,ROW(),""))</f>
        <v/>
      </c>
      <c r="T3435" s="9">
        <f>IF(Q3435="당기",ABS(P3435)+ROW()/1000000000,"")</f>
        <v/>
      </c>
      <c r="U3435" s="9">
        <f>IF(Q3435="비교",ABS(P3435)+ROW()/1000000000,"")</f>
        <v/>
      </c>
      <c r="V3435" s="64">
        <f>IF($A3435="","",IF(COUNTIF(변동분석!$E$7:$E$506,O3435)&gt;0,"Y","N"))</f>
        <v/>
      </c>
      <c r="W3435" s="64">
        <f>IF($A3435="","",IFERROR(INDEX(계정매핑!$D$5:$D$504,MATCH($F3435&amp;"",계정매핑!$A$5:$A$504,0)),"미매핑"))</f>
        <v/>
      </c>
      <c r="X3435" s="9">
        <f>IF($A3435="","",$F3435&amp;"")</f>
        <v/>
      </c>
      <c r="Y3435" s="94">
        <f>IF($A3435="",0,IF(AE3435="직접",IF(AF3435="비귀속",$P3435,0),$P3435*(1-AG3435)*IFERROR(INDEX(계정대체기준!$F$20:$F$49,MATCH($N3435,계정대체기준!$A$20:$A$49,0)),1)))</f>
        <v/>
      </c>
      <c r="Z3435" s="94">
        <f>IF($A3435="",0,IF(AE3435="직접",IF(AF3435="신계약비",$P3435,0),$P3435*(1-AG3435)*IFERROR(INDEX(계정대체기준!$C$20:$C$49,MATCH($N3435,계정대체기준!$A$20:$A$49,0)),0)))</f>
        <v/>
      </c>
      <c r="AA3435" s="94">
        <f>IF($A3435="",0,IF(AE3435="직접",IF(OR(AF3435="유지비",AF3435="손해조사비"),$P3435,0),$P3435*(1-AG3435)*IFERROR(INDEX(계정대체기준!$D$20:$D$49,MATCH($N3435,계정대체기준!$A$20:$A$49,0)),0)))</f>
        <v/>
      </c>
      <c r="AB3435" s="94">
        <f>IF($A3435="",0,IF(AE3435="직접",IF(AF3435="수금비",$P3435,0),$P3435*(1-AG3435)*IFERROR(INDEX(계정대체기준!$E$20:$E$49,MATCH($N3435,계정대체기준!$A$20:$A$49,0)),0)))</f>
        <v/>
      </c>
      <c r="AC3435" s="9">
        <f>IF(AND($A3435&lt;&gt;"",M3435=설정!$C$20,Z3435&gt;0),Z3435+ROW()/1000000000,"")</f>
        <v/>
      </c>
      <c r="AD3435" s="94">
        <f>IF($A3435="",0,$P3435*AG3435)</f>
        <v/>
      </c>
      <c r="AE3435" s="64">
        <f>IF($A3435="","",IFERROR(INDEX(계정매핑!$E$5:$E$504,MATCH($F3435&amp;"",계정매핑!$A$5:$A$504,0))&amp;"","공통비"))</f>
        <v/>
      </c>
      <c r="AF3435" s="64">
        <f>IF($A3435="","",IF(AE3435="직접",IFERROR(INDEX(계정매핑!$F$5:$F$504,MATCH($F3435&amp;"",계정매핑!$A$5:$A$504,0))&amp;"","비귀속"),""))</f>
        <v/>
      </c>
      <c r="AG3435" s="96">
        <f>IF($A3435="",0,IF(AND(AE3435&lt;&gt;"직접",IFERROR(INDEX(계정매핑!$G$5:$G$504,MATCH($F3435&amp;"",계정매핑!$A$5:$A$504,0))&amp;"","")="유지비",COUNTIF(계정대체기준!$A$6:$A$15,$N3435)&gt;0),IFERROR(INDEX(계정대체기준!$E$6:$E$15,MATCH(VALUE($A3435&amp;""),계정대체기준!$D$6:$D$15,0)),0),0))</f>
        <v/>
      </c>
      <c r="AH3435" s="64">
        <f>IF($A3435="","",IF(AD3435=0,"",IF(OR(COUNTIF(계정대체기준!$A$77:$A$86,$N3435)&gt;0,ISNUMBER(MATCH($X3435,계정대체기준!$D$77:$D$86,0)),ISNUMBER(MATCH($F3435,계정대체기준!$D$77:$D$86,0))),"Y","N")))</f>
        <v/>
      </c>
    </row>
    <row r="3436">
      <c r="A3436" s="92" t="n">
        <v>2026</v>
      </c>
      <c r="B3436" s="92" t="n">
        <v>4</v>
      </c>
      <c r="C3436" s="92" t="inlineStr">
        <is>
          <t>5100000714</t>
        </is>
      </c>
      <c r="D3436" s="95" t="n">
        <v>46116</v>
      </c>
      <c r="E3436" s="92" t="inlineStr">
        <is>
          <t>KR</t>
        </is>
      </c>
      <c r="F3436" s="92" t="n">
        <v>63002000</v>
      </c>
      <c r="G3436" s="92" t="n">
        <v>1951</v>
      </c>
      <c r="H3436" s="93" t="n">
        <v>7777000</v>
      </c>
      <c r="I3436" s="92" t="inlineStr">
        <is>
          <t>4월 클라우드 사용료 - C클라우드</t>
        </is>
      </c>
      <c r="J3436" s="92" t="inlineStr">
        <is>
          <t>V10026</t>
        </is>
      </c>
      <c r="K3436" s="92" t="inlineStr">
        <is>
          <t>C클라우드</t>
        </is>
      </c>
      <c r="M3436" s="9">
        <f>IF($A3436="","",VALUE($A3436&amp;"")*12+VALUE($B3436&amp;""))</f>
        <v/>
      </c>
      <c r="N3436" s="64">
        <f>IF($A3436="","",IFERROR(INDEX(부서매핑!$C$5:$C$504,MATCH($G3436&amp;"",부서매핑!$A$5:$A$504,0)),"미매핑"))</f>
        <v/>
      </c>
      <c r="O3436" s="9">
        <f>IF($A3436="","",N3436&amp;"|"&amp;$F3436)</f>
        <v/>
      </c>
      <c r="P3436" s="94">
        <f>IF($A3436="",0,$H3436*설정!$C$23)</f>
        <v/>
      </c>
      <c r="Q3436" s="64">
        <f>IF($A3436="","",IF(O3436&lt;&gt;원인분석!$C$9,"",IF(AND(M3436&gt;=원인분석!$C$10,M3436&lt;=원인분석!$C$11),"당기",IF(AND(M3436&gt;=원인분석!$C$12,M3436&lt;=원인분석!$C$13),"비교",""))))</f>
        <v/>
      </c>
      <c r="R3436" s="9">
        <f>IF(Q3436="","",$K3436&amp;"")</f>
        <v/>
      </c>
      <c r="S3436" s="9">
        <f>IF(Q3436="","",IF(MATCH(R3436,$R$5:$R$100000,0)=ROW()-4,ROW(),""))</f>
        <v/>
      </c>
      <c r="T3436" s="9">
        <f>IF(Q3436="당기",ABS(P3436)+ROW()/1000000000,"")</f>
        <v/>
      </c>
      <c r="U3436" s="9">
        <f>IF(Q3436="비교",ABS(P3436)+ROW()/1000000000,"")</f>
        <v/>
      </c>
      <c r="V3436" s="64">
        <f>IF($A3436="","",IF(COUNTIF(변동분석!$E$7:$E$506,O3436)&gt;0,"Y","N"))</f>
        <v/>
      </c>
      <c r="W3436" s="64">
        <f>IF($A3436="","",IFERROR(INDEX(계정매핑!$D$5:$D$504,MATCH($F3436&amp;"",계정매핑!$A$5:$A$504,0)),"미매핑"))</f>
        <v/>
      </c>
      <c r="X3436" s="9">
        <f>IF($A3436="","",$F3436&amp;"")</f>
        <v/>
      </c>
      <c r="Y3436" s="94">
        <f>IF($A3436="",0,IF(AE3436="직접",IF(AF3436="비귀속",$P3436,0),$P3436*(1-AG3436)*IFERROR(INDEX(계정대체기준!$F$20:$F$49,MATCH($N3436,계정대체기준!$A$20:$A$49,0)),1)))</f>
        <v/>
      </c>
      <c r="Z3436" s="94">
        <f>IF($A3436="",0,IF(AE3436="직접",IF(AF3436="신계약비",$P3436,0),$P3436*(1-AG3436)*IFERROR(INDEX(계정대체기준!$C$20:$C$49,MATCH($N3436,계정대체기준!$A$20:$A$49,0)),0)))</f>
        <v/>
      </c>
      <c r="AA3436" s="94">
        <f>IF($A3436="",0,IF(AE3436="직접",IF(OR(AF3436="유지비",AF3436="손해조사비"),$P3436,0),$P3436*(1-AG3436)*IFERROR(INDEX(계정대체기준!$D$20:$D$49,MATCH($N3436,계정대체기준!$A$20:$A$49,0)),0)))</f>
        <v/>
      </c>
      <c r="AB3436" s="94">
        <f>IF($A3436="",0,IF(AE3436="직접",IF(AF3436="수금비",$P3436,0),$P3436*(1-AG3436)*IFERROR(INDEX(계정대체기준!$E$20:$E$49,MATCH($N3436,계정대체기준!$A$20:$A$49,0)),0)))</f>
        <v/>
      </c>
      <c r="AC3436" s="9">
        <f>IF(AND($A3436&lt;&gt;"",M3436=설정!$C$20,Z3436&gt;0),Z3436+ROW()/1000000000,"")</f>
        <v/>
      </c>
      <c r="AD3436" s="94">
        <f>IF($A3436="",0,$P3436*AG3436)</f>
        <v/>
      </c>
      <c r="AE3436" s="64">
        <f>IF($A3436="","",IFERROR(INDEX(계정매핑!$E$5:$E$504,MATCH($F3436&amp;"",계정매핑!$A$5:$A$504,0))&amp;"","공통비"))</f>
        <v/>
      </c>
      <c r="AF3436" s="64">
        <f>IF($A3436="","",IF(AE3436="직접",IFERROR(INDEX(계정매핑!$F$5:$F$504,MATCH($F3436&amp;"",계정매핑!$A$5:$A$504,0))&amp;"","비귀속"),""))</f>
        <v/>
      </c>
      <c r="AG3436" s="96">
        <f>IF($A3436="",0,IF(AND(AE3436&lt;&gt;"직접",IFERROR(INDEX(계정매핑!$G$5:$G$504,MATCH($F3436&amp;"",계정매핑!$A$5:$A$504,0))&amp;"","")="유지비",COUNTIF(계정대체기준!$A$6:$A$15,$N3436)&gt;0),IFERROR(INDEX(계정대체기준!$E$6:$E$15,MATCH(VALUE($A3436&amp;""),계정대체기준!$D$6:$D$15,0)),0),0))</f>
        <v/>
      </c>
      <c r="AH3436" s="64">
        <f>IF($A3436="","",IF(AD3436=0,"",IF(OR(COUNTIF(계정대체기준!$A$77:$A$86,$N3436)&gt;0,ISNUMBER(MATCH($X3436,계정대체기준!$D$77:$D$86,0)),ISNUMBER(MATCH($F3436,계정대체기준!$D$77:$D$86,0))),"Y","N")))</f>
        <v/>
      </c>
    </row>
    <row r="3437">
      <c r="A3437" s="92" t="n">
        <v>2026</v>
      </c>
      <c r="B3437" s="92" t="n">
        <v>4</v>
      </c>
      <c r="C3437" s="92" t="inlineStr">
        <is>
          <t>5100000715</t>
        </is>
      </c>
      <c r="D3437" s="95" t="n">
        <v>46117</v>
      </c>
      <c r="E3437" s="92" t="inlineStr">
        <is>
          <t>KR</t>
        </is>
      </c>
      <c r="F3437" s="92" t="n">
        <v>62101000</v>
      </c>
      <c r="G3437" s="92" t="n">
        <v>1101</v>
      </c>
      <c r="H3437" s="93" t="n">
        <v>788000</v>
      </c>
      <c r="I3437" s="92" t="inlineStr">
        <is>
          <t>4월 국내출장 - M항공</t>
        </is>
      </c>
      <c r="J3437" s="92" t="inlineStr">
        <is>
          <t>V10001</t>
        </is>
      </c>
      <c r="K3437" s="92" t="inlineStr">
        <is>
          <t>M항공</t>
        </is>
      </c>
      <c r="M3437" s="9">
        <f>IF($A3437="","",VALUE($A3437&amp;"")*12+VALUE($B3437&amp;""))</f>
        <v/>
      </c>
      <c r="N3437" s="64">
        <f>IF($A3437="","",IFERROR(INDEX(부서매핑!$C$5:$C$504,MATCH($G3437&amp;"",부서매핑!$A$5:$A$504,0)),"미매핑"))</f>
        <v/>
      </c>
      <c r="O3437" s="9">
        <f>IF($A3437="","",N3437&amp;"|"&amp;$F3437)</f>
        <v/>
      </c>
      <c r="P3437" s="94">
        <f>IF($A3437="",0,$H3437*설정!$C$23)</f>
        <v/>
      </c>
      <c r="Q3437" s="64">
        <f>IF($A3437="","",IF(O3437&lt;&gt;원인분석!$C$9,"",IF(AND(M3437&gt;=원인분석!$C$10,M3437&lt;=원인분석!$C$11),"당기",IF(AND(M3437&gt;=원인분석!$C$12,M3437&lt;=원인분석!$C$13),"비교",""))))</f>
        <v/>
      </c>
      <c r="R3437" s="9">
        <f>IF(Q3437="","",$K3437&amp;"")</f>
        <v/>
      </c>
      <c r="S3437" s="9">
        <f>IF(Q3437="","",IF(MATCH(R3437,$R$5:$R$100000,0)=ROW()-4,ROW(),""))</f>
        <v/>
      </c>
      <c r="T3437" s="9">
        <f>IF(Q3437="당기",ABS(P3437)+ROW()/1000000000,"")</f>
        <v/>
      </c>
      <c r="U3437" s="9">
        <f>IF(Q3437="비교",ABS(P3437)+ROW()/1000000000,"")</f>
        <v/>
      </c>
      <c r="V3437" s="64">
        <f>IF($A3437="","",IF(COUNTIF(변동분석!$E$7:$E$506,O3437)&gt;0,"Y","N"))</f>
        <v/>
      </c>
      <c r="W3437" s="64">
        <f>IF($A3437="","",IFERROR(INDEX(계정매핑!$D$5:$D$504,MATCH($F3437&amp;"",계정매핑!$A$5:$A$504,0)),"미매핑"))</f>
        <v/>
      </c>
      <c r="X3437" s="9">
        <f>IF($A3437="","",$F3437&amp;"")</f>
        <v/>
      </c>
      <c r="Y3437" s="94">
        <f>IF($A3437="",0,IF(AE3437="직접",IF(AF3437="비귀속",$P3437,0),$P3437*(1-AG3437)*IFERROR(INDEX(계정대체기준!$F$20:$F$49,MATCH($N3437,계정대체기준!$A$20:$A$49,0)),1)))</f>
        <v/>
      </c>
      <c r="Z3437" s="94">
        <f>IF($A3437="",0,IF(AE3437="직접",IF(AF3437="신계약비",$P3437,0),$P3437*(1-AG3437)*IFERROR(INDEX(계정대체기준!$C$20:$C$49,MATCH($N3437,계정대체기준!$A$20:$A$49,0)),0)))</f>
        <v/>
      </c>
      <c r="AA3437" s="94">
        <f>IF($A3437="",0,IF(AE3437="직접",IF(OR(AF3437="유지비",AF3437="손해조사비"),$P3437,0),$P3437*(1-AG3437)*IFERROR(INDEX(계정대체기준!$D$20:$D$49,MATCH($N3437,계정대체기준!$A$20:$A$49,0)),0)))</f>
        <v/>
      </c>
      <c r="AB3437" s="94">
        <f>IF($A3437="",0,IF(AE3437="직접",IF(AF3437="수금비",$P3437,0),$P3437*(1-AG3437)*IFERROR(INDEX(계정대체기준!$E$20:$E$49,MATCH($N3437,계정대체기준!$A$20:$A$49,0)),0)))</f>
        <v/>
      </c>
      <c r="AC3437" s="9">
        <f>IF(AND($A3437&lt;&gt;"",M3437=설정!$C$20,Z3437&gt;0),Z3437+ROW()/1000000000,"")</f>
        <v/>
      </c>
      <c r="AD3437" s="94">
        <f>IF($A3437="",0,$P3437*AG3437)</f>
        <v/>
      </c>
      <c r="AE3437" s="64">
        <f>IF($A3437="","",IFERROR(INDEX(계정매핑!$E$5:$E$504,MATCH($F3437&amp;"",계정매핑!$A$5:$A$504,0))&amp;"","공통비"))</f>
        <v/>
      </c>
      <c r="AF3437" s="64">
        <f>IF($A3437="","",IF(AE3437="직접",IFERROR(INDEX(계정매핑!$F$5:$F$504,MATCH($F3437&amp;"",계정매핑!$A$5:$A$504,0))&amp;"","비귀속"),""))</f>
        <v/>
      </c>
      <c r="AG3437" s="96">
        <f>IF($A3437="",0,IF(AND(AE3437&lt;&gt;"직접",IFERROR(INDEX(계정매핑!$G$5:$G$504,MATCH($F3437&amp;"",계정매핑!$A$5:$A$504,0))&amp;"","")="유지비",COUNTIF(계정대체기준!$A$6:$A$15,$N3437)&gt;0),IFERROR(INDEX(계정대체기준!$E$6:$E$15,MATCH(VALUE($A3437&amp;""),계정대체기준!$D$6:$D$15,0)),0),0))</f>
        <v/>
      </c>
      <c r="AH3437" s="64">
        <f>IF($A3437="","",IF(AD3437=0,"",IF(OR(COUNTIF(계정대체기준!$A$77:$A$86,$N3437)&gt;0,ISNUMBER(MATCH($X3437,계정대체기준!$D$77:$D$86,0)),ISNUMBER(MATCH($F3437,계정대체기준!$D$77:$D$86,0))),"Y","N")))</f>
        <v/>
      </c>
    </row>
    <row r="3438">
      <c r="A3438" s="92" t="n">
        <v>2026</v>
      </c>
      <c r="B3438" s="92" t="n">
        <v>4</v>
      </c>
      <c r="C3438" s="92" t="inlineStr">
        <is>
          <t>5100000716</t>
        </is>
      </c>
      <c r="D3438" s="95" t="n">
        <v>46117</v>
      </c>
      <c r="E3438" s="92" t="inlineStr">
        <is>
          <t>KR</t>
        </is>
      </c>
      <c r="F3438" s="92" t="n">
        <v>62102000</v>
      </c>
      <c r="G3438" s="92" t="n">
        <v>1951</v>
      </c>
      <c r="H3438" s="93" t="n">
        <v>47000</v>
      </c>
      <c r="I3438" s="92" t="inlineStr">
        <is>
          <t>4월 해외출장 - N호텔</t>
        </is>
      </c>
      <c r="J3438" s="92" t="inlineStr">
        <is>
          <t>V10009</t>
        </is>
      </c>
      <c r="K3438" s="92" t="inlineStr">
        <is>
          <t>N호텔</t>
        </is>
      </c>
      <c r="M3438" s="9">
        <f>IF($A3438="","",VALUE($A3438&amp;"")*12+VALUE($B3438&amp;""))</f>
        <v/>
      </c>
      <c r="N3438" s="64">
        <f>IF($A3438="","",IFERROR(INDEX(부서매핑!$C$5:$C$504,MATCH($G3438&amp;"",부서매핑!$A$5:$A$504,0)),"미매핑"))</f>
        <v/>
      </c>
      <c r="O3438" s="9">
        <f>IF($A3438="","",N3438&amp;"|"&amp;$F3438)</f>
        <v/>
      </c>
      <c r="P3438" s="94">
        <f>IF($A3438="",0,$H3438*설정!$C$23)</f>
        <v/>
      </c>
      <c r="Q3438" s="64">
        <f>IF($A3438="","",IF(O3438&lt;&gt;원인분석!$C$9,"",IF(AND(M3438&gt;=원인분석!$C$10,M3438&lt;=원인분석!$C$11),"당기",IF(AND(M3438&gt;=원인분석!$C$12,M3438&lt;=원인분석!$C$13),"비교",""))))</f>
        <v/>
      </c>
      <c r="R3438" s="9">
        <f>IF(Q3438="","",$K3438&amp;"")</f>
        <v/>
      </c>
      <c r="S3438" s="9">
        <f>IF(Q3438="","",IF(MATCH(R3438,$R$5:$R$100000,0)=ROW()-4,ROW(),""))</f>
        <v/>
      </c>
      <c r="T3438" s="9">
        <f>IF(Q3438="당기",ABS(P3438)+ROW()/1000000000,"")</f>
        <v/>
      </c>
      <c r="U3438" s="9">
        <f>IF(Q3438="비교",ABS(P3438)+ROW()/1000000000,"")</f>
        <v/>
      </c>
      <c r="V3438" s="64">
        <f>IF($A3438="","",IF(COUNTIF(변동분석!$E$7:$E$506,O3438)&gt;0,"Y","N"))</f>
        <v/>
      </c>
      <c r="W3438" s="64">
        <f>IF($A3438="","",IFERROR(INDEX(계정매핑!$D$5:$D$504,MATCH($F3438&amp;"",계정매핑!$A$5:$A$504,0)),"미매핑"))</f>
        <v/>
      </c>
      <c r="X3438" s="9">
        <f>IF($A3438="","",$F3438&amp;"")</f>
        <v/>
      </c>
      <c r="Y3438" s="94">
        <f>IF($A3438="",0,IF(AE3438="직접",IF(AF3438="비귀속",$P3438,0),$P3438*(1-AG3438)*IFERROR(INDEX(계정대체기준!$F$20:$F$49,MATCH($N3438,계정대체기준!$A$20:$A$49,0)),1)))</f>
        <v/>
      </c>
      <c r="Z3438" s="94">
        <f>IF($A3438="",0,IF(AE3438="직접",IF(AF3438="신계약비",$P3438,0),$P3438*(1-AG3438)*IFERROR(INDEX(계정대체기준!$C$20:$C$49,MATCH($N3438,계정대체기준!$A$20:$A$49,0)),0)))</f>
        <v/>
      </c>
      <c r="AA3438" s="94">
        <f>IF($A3438="",0,IF(AE3438="직접",IF(OR(AF3438="유지비",AF3438="손해조사비"),$P3438,0),$P3438*(1-AG3438)*IFERROR(INDEX(계정대체기준!$D$20:$D$49,MATCH($N3438,계정대체기준!$A$20:$A$49,0)),0)))</f>
        <v/>
      </c>
      <c r="AB3438" s="94">
        <f>IF($A3438="",0,IF(AE3438="직접",IF(AF3438="수금비",$P3438,0),$P3438*(1-AG3438)*IFERROR(INDEX(계정대체기준!$E$20:$E$49,MATCH($N3438,계정대체기준!$A$20:$A$49,0)),0)))</f>
        <v/>
      </c>
      <c r="AC3438" s="9">
        <f>IF(AND($A3438&lt;&gt;"",M3438=설정!$C$20,Z3438&gt;0),Z3438+ROW()/1000000000,"")</f>
        <v/>
      </c>
      <c r="AD3438" s="94">
        <f>IF($A3438="",0,$P3438*AG3438)</f>
        <v/>
      </c>
      <c r="AE3438" s="64">
        <f>IF($A3438="","",IFERROR(INDEX(계정매핑!$E$5:$E$504,MATCH($F3438&amp;"",계정매핑!$A$5:$A$504,0))&amp;"","공통비"))</f>
        <v/>
      </c>
      <c r="AF3438" s="64">
        <f>IF($A3438="","",IF(AE3438="직접",IFERROR(INDEX(계정매핑!$F$5:$F$504,MATCH($F3438&amp;"",계정매핑!$A$5:$A$504,0))&amp;"","비귀속"),""))</f>
        <v/>
      </c>
      <c r="AG3438" s="96">
        <f>IF($A3438="",0,IF(AND(AE3438&lt;&gt;"직접",IFERROR(INDEX(계정매핑!$G$5:$G$504,MATCH($F3438&amp;"",계정매핑!$A$5:$A$504,0))&amp;"","")="유지비",COUNTIF(계정대체기준!$A$6:$A$15,$N3438)&gt;0),IFERROR(INDEX(계정대체기준!$E$6:$E$15,MATCH(VALUE($A3438&amp;""),계정대체기준!$D$6:$D$15,0)),0),0))</f>
        <v/>
      </c>
      <c r="AH3438" s="64">
        <f>IF($A3438="","",IF(AD3438=0,"",IF(OR(COUNTIF(계정대체기준!$A$77:$A$86,$N3438)&gt;0,ISNUMBER(MATCH($X3438,계정대체기준!$D$77:$D$86,0)),ISNUMBER(MATCH($F3438,계정대체기준!$D$77:$D$86,0))),"Y","N")))</f>
        <v/>
      </c>
    </row>
    <row r="3439">
      <c r="A3439" s="92" t="n">
        <v>2026</v>
      </c>
      <c r="B3439" s="92" t="n">
        <v>4</v>
      </c>
      <c r="C3439" s="92" t="inlineStr">
        <is>
          <t>5100000717</t>
        </is>
      </c>
      <c r="D3439" s="95" t="n">
        <v>46117</v>
      </c>
      <c r="E3439" s="92" t="inlineStr">
        <is>
          <t>KR</t>
        </is>
      </c>
      <c r="F3439" s="92" t="n">
        <v>62601000</v>
      </c>
      <c r="G3439" s="92" t="n">
        <v>1301</v>
      </c>
      <c r="H3439" s="93" t="n">
        <v>672000</v>
      </c>
      <c r="I3439" s="92" t="inlineStr">
        <is>
          <t>4월 업무추진 - (법인카드)</t>
        </is>
      </c>
      <c r="J3439" s="92" t="inlineStr">
        <is>
          <t>V10010</t>
        </is>
      </c>
      <c r="K3439" s="92" t="inlineStr">
        <is>
          <t>(법인카드)</t>
        </is>
      </c>
      <c r="M3439" s="9">
        <f>IF($A3439="","",VALUE($A3439&amp;"")*12+VALUE($B3439&amp;""))</f>
        <v/>
      </c>
      <c r="N3439" s="64">
        <f>IF($A3439="","",IFERROR(INDEX(부서매핑!$C$5:$C$504,MATCH($G3439&amp;"",부서매핑!$A$5:$A$504,0)),"미매핑"))</f>
        <v/>
      </c>
      <c r="O3439" s="9">
        <f>IF($A3439="","",N3439&amp;"|"&amp;$F3439)</f>
        <v/>
      </c>
      <c r="P3439" s="94">
        <f>IF($A3439="",0,$H3439*설정!$C$23)</f>
        <v/>
      </c>
      <c r="Q3439" s="64">
        <f>IF($A3439="","",IF(O3439&lt;&gt;원인분석!$C$9,"",IF(AND(M3439&gt;=원인분석!$C$10,M3439&lt;=원인분석!$C$11),"당기",IF(AND(M3439&gt;=원인분석!$C$12,M3439&lt;=원인분석!$C$13),"비교",""))))</f>
        <v/>
      </c>
      <c r="R3439" s="9">
        <f>IF(Q3439="","",$K3439&amp;"")</f>
        <v/>
      </c>
      <c r="S3439" s="9">
        <f>IF(Q3439="","",IF(MATCH(R3439,$R$5:$R$100000,0)=ROW()-4,ROW(),""))</f>
        <v/>
      </c>
      <c r="T3439" s="9">
        <f>IF(Q3439="당기",ABS(P3439)+ROW()/1000000000,"")</f>
        <v/>
      </c>
      <c r="U3439" s="9">
        <f>IF(Q3439="비교",ABS(P3439)+ROW()/1000000000,"")</f>
        <v/>
      </c>
      <c r="V3439" s="64">
        <f>IF($A3439="","",IF(COUNTIF(변동분석!$E$7:$E$506,O3439)&gt;0,"Y","N"))</f>
        <v/>
      </c>
      <c r="W3439" s="64">
        <f>IF($A3439="","",IFERROR(INDEX(계정매핑!$D$5:$D$504,MATCH($F3439&amp;"",계정매핑!$A$5:$A$504,0)),"미매핑"))</f>
        <v/>
      </c>
      <c r="X3439" s="9">
        <f>IF($A3439="","",$F3439&amp;"")</f>
        <v/>
      </c>
      <c r="Y3439" s="94">
        <f>IF($A3439="",0,IF(AE3439="직접",IF(AF3439="비귀속",$P3439,0),$P3439*(1-AG3439)*IFERROR(INDEX(계정대체기준!$F$20:$F$49,MATCH($N3439,계정대체기준!$A$20:$A$49,0)),1)))</f>
        <v/>
      </c>
      <c r="Z3439" s="94">
        <f>IF($A3439="",0,IF(AE3439="직접",IF(AF3439="신계약비",$P3439,0),$P3439*(1-AG3439)*IFERROR(INDEX(계정대체기준!$C$20:$C$49,MATCH($N3439,계정대체기준!$A$20:$A$49,0)),0)))</f>
        <v/>
      </c>
      <c r="AA3439" s="94">
        <f>IF($A3439="",0,IF(AE3439="직접",IF(OR(AF3439="유지비",AF3439="손해조사비"),$P3439,0),$P3439*(1-AG3439)*IFERROR(INDEX(계정대체기준!$D$20:$D$49,MATCH($N3439,계정대체기준!$A$20:$A$49,0)),0)))</f>
        <v/>
      </c>
      <c r="AB3439" s="94">
        <f>IF($A3439="",0,IF(AE3439="직접",IF(AF3439="수금비",$P3439,0),$P3439*(1-AG3439)*IFERROR(INDEX(계정대체기준!$E$20:$E$49,MATCH($N3439,계정대체기준!$A$20:$A$49,0)),0)))</f>
        <v/>
      </c>
      <c r="AC3439" s="9">
        <f>IF(AND($A3439&lt;&gt;"",M3439=설정!$C$20,Z3439&gt;0),Z3439+ROW()/1000000000,"")</f>
        <v/>
      </c>
      <c r="AD3439" s="94">
        <f>IF($A3439="",0,$P3439*AG3439)</f>
        <v/>
      </c>
      <c r="AE3439" s="64">
        <f>IF($A3439="","",IFERROR(INDEX(계정매핑!$E$5:$E$504,MATCH($F3439&amp;"",계정매핑!$A$5:$A$504,0))&amp;"","공통비"))</f>
        <v/>
      </c>
      <c r="AF3439" s="64">
        <f>IF($A3439="","",IF(AE3439="직접",IFERROR(INDEX(계정매핑!$F$5:$F$504,MATCH($F3439&amp;"",계정매핑!$A$5:$A$504,0))&amp;"","비귀속"),""))</f>
        <v/>
      </c>
      <c r="AG3439" s="96">
        <f>IF($A3439="",0,IF(AND(AE3439&lt;&gt;"직접",IFERROR(INDEX(계정매핑!$G$5:$G$504,MATCH($F3439&amp;"",계정매핑!$A$5:$A$504,0))&amp;"","")="유지비",COUNTIF(계정대체기준!$A$6:$A$15,$N3439)&gt;0),IFERROR(INDEX(계정대체기준!$E$6:$E$15,MATCH(VALUE($A3439&amp;""),계정대체기준!$D$6:$D$15,0)),0),0))</f>
        <v/>
      </c>
      <c r="AH3439" s="64">
        <f>IF($A3439="","",IF(AD3439=0,"",IF(OR(COUNTIF(계정대체기준!$A$77:$A$86,$N3439)&gt;0,ISNUMBER(MATCH($X3439,계정대체기준!$D$77:$D$86,0)),ISNUMBER(MATCH($F3439,계정대체기준!$D$77:$D$86,0))),"Y","N")))</f>
        <v/>
      </c>
    </row>
    <row r="3440">
      <c r="A3440" s="92" t="n">
        <v>2026</v>
      </c>
      <c r="B3440" s="92" t="n">
        <v>4</v>
      </c>
      <c r="C3440" s="92" t="inlineStr">
        <is>
          <t>5100000718</t>
        </is>
      </c>
      <c r="D3440" s="95" t="n">
        <v>46117</v>
      </c>
      <c r="E3440" s="92" t="inlineStr">
        <is>
          <t>KR</t>
        </is>
      </c>
      <c r="F3440" s="92" t="n">
        <v>62902000</v>
      </c>
      <c r="G3440" s="92" t="n">
        <v>1801</v>
      </c>
      <c r="H3440" s="93" t="n">
        <v>1773000</v>
      </c>
      <c r="I3440" s="92" t="inlineStr">
        <is>
          <t>4월 콜 위탁 수수료(건별)</t>
        </is>
      </c>
      <c r="J3440" s="92" t="inlineStr">
        <is>
          <t>V10016</t>
        </is>
      </c>
      <c r="K3440" s="92" t="inlineStr">
        <is>
          <t>J콜센터</t>
        </is>
      </c>
      <c r="M3440" s="9">
        <f>IF($A3440="","",VALUE($A3440&amp;"")*12+VALUE($B3440&amp;""))</f>
        <v/>
      </c>
      <c r="N3440" s="64">
        <f>IF($A3440="","",IFERROR(INDEX(부서매핑!$C$5:$C$504,MATCH($G3440&amp;"",부서매핑!$A$5:$A$504,0)),"미매핑"))</f>
        <v/>
      </c>
      <c r="O3440" s="9">
        <f>IF($A3440="","",N3440&amp;"|"&amp;$F3440)</f>
        <v/>
      </c>
      <c r="P3440" s="94">
        <f>IF($A3440="",0,$H3440*설정!$C$23)</f>
        <v/>
      </c>
      <c r="Q3440" s="64">
        <f>IF($A3440="","",IF(O3440&lt;&gt;원인분석!$C$9,"",IF(AND(M3440&gt;=원인분석!$C$10,M3440&lt;=원인분석!$C$11),"당기",IF(AND(M3440&gt;=원인분석!$C$12,M3440&lt;=원인분석!$C$13),"비교",""))))</f>
        <v/>
      </c>
      <c r="R3440" s="9">
        <f>IF(Q3440="","",$K3440&amp;"")</f>
        <v/>
      </c>
      <c r="S3440" s="9">
        <f>IF(Q3440="","",IF(MATCH(R3440,$R$5:$R$100000,0)=ROW()-4,ROW(),""))</f>
        <v/>
      </c>
      <c r="T3440" s="9">
        <f>IF(Q3440="당기",ABS(P3440)+ROW()/1000000000,"")</f>
        <v/>
      </c>
      <c r="U3440" s="9">
        <f>IF(Q3440="비교",ABS(P3440)+ROW()/1000000000,"")</f>
        <v/>
      </c>
      <c r="V3440" s="64">
        <f>IF($A3440="","",IF(COUNTIF(변동분석!$E$7:$E$506,O3440)&gt;0,"Y","N"))</f>
        <v/>
      </c>
      <c r="W3440" s="64">
        <f>IF($A3440="","",IFERROR(INDEX(계정매핑!$D$5:$D$504,MATCH($F3440&amp;"",계정매핑!$A$5:$A$504,0)),"미매핑"))</f>
        <v/>
      </c>
      <c r="X3440" s="9">
        <f>IF($A3440="","",$F3440&amp;"")</f>
        <v/>
      </c>
      <c r="Y3440" s="94">
        <f>IF($A3440="",0,IF(AE3440="직접",IF(AF3440="비귀속",$P3440,0),$P3440*(1-AG3440)*IFERROR(INDEX(계정대체기준!$F$20:$F$49,MATCH($N3440,계정대체기준!$A$20:$A$49,0)),1)))</f>
        <v/>
      </c>
      <c r="Z3440" s="94">
        <f>IF($A3440="",0,IF(AE3440="직접",IF(AF3440="신계약비",$P3440,0),$P3440*(1-AG3440)*IFERROR(INDEX(계정대체기준!$C$20:$C$49,MATCH($N3440,계정대체기준!$A$20:$A$49,0)),0)))</f>
        <v/>
      </c>
      <c r="AA3440" s="94">
        <f>IF($A3440="",0,IF(AE3440="직접",IF(OR(AF3440="유지비",AF3440="손해조사비"),$P3440,0),$P3440*(1-AG3440)*IFERROR(INDEX(계정대체기준!$D$20:$D$49,MATCH($N3440,계정대체기준!$A$20:$A$49,0)),0)))</f>
        <v/>
      </c>
      <c r="AB3440" s="94">
        <f>IF($A3440="",0,IF(AE3440="직접",IF(AF3440="수금비",$P3440,0),$P3440*(1-AG3440)*IFERROR(INDEX(계정대체기준!$E$20:$E$49,MATCH($N3440,계정대체기준!$A$20:$A$49,0)),0)))</f>
        <v/>
      </c>
      <c r="AC3440" s="9">
        <f>IF(AND($A3440&lt;&gt;"",M3440=설정!$C$20,Z3440&gt;0),Z3440+ROW()/1000000000,"")</f>
        <v/>
      </c>
      <c r="AD3440" s="94">
        <f>IF($A3440="",0,$P3440*AG3440)</f>
        <v/>
      </c>
      <c r="AE3440" s="64">
        <f>IF($A3440="","",IFERROR(INDEX(계정매핑!$E$5:$E$504,MATCH($F3440&amp;"",계정매핑!$A$5:$A$504,0))&amp;"","공통비"))</f>
        <v/>
      </c>
      <c r="AF3440" s="64">
        <f>IF($A3440="","",IF(AE3440="직접",IFERROR(INDEX(계정매핑!$F$5:$F$504,MATCH($F3440&amp;"",계정매핑!$A$5:$A$504,0))&amp;"","비귀속"),""))</f>
        <v/>
      </c>
      <c r="AG3440" s="96">
        <f>IF($A3440="",0,IF(AND(AE3440&lt;&gt;"직접",IFERROR(INDEX(계정매핑!$G$5:$G$504,MATCH($F3440&amp;"",계정매핑!$A$5:$A$504,0))&amp;"","")="유지비",COUNTIF(계정대체기준!$A$6:$A$15,$N3440)&gt;0),IFERROR(INDEX(계정대체기준!$E$6:$E$15,MATCH(VALUE($A3440&amp;""),계정대체기준!$D$6:$D$15,0)),0),0))</f>
        <v/>
      </c>
      <c r="AH3440" s="64">
        <f>IF($A3440="","",IF(AD3440=0,"",IF(OR(COUNTIF(계정대체기준!$A$77:$A$86,$N3440)&gt;0,ISNUMBER(MATCH($X3440,계정대체기준!$D$77:$D$86,0)),ISNUMBER(MATCH($F3440,계정대체기준!$D$77:$D$86,0))),"Y","N")))</f>
        <v/>
      </c>
    </row>
    <row r="3441">
      <c r="A3441" s="92" t="n">
        <v>2026</v>
      </c>
      <c r="B3441" s="92" t="n">
        <v>4</v>
      </c>
      <c r="C3441" s="92" t="inlineStr">
        <is>
          <t>5100000719</t>
        </is>
      </c>
      <c r="D3441" s="95" t="n">
        <v>46117</v>
      </c>
      <c r="E3441" s="92" t="inlineStr">
        <is>
          <t>KR</t>
        </is>
      </c>
      <c r="F3441" s="92" t="n">
        <v>62902000</v>
      </c>
      <c r="G3441" s="92" t="n">
        <v>1801</v>
      </c>
      <c r="H3441" s="93" t="n">
        <v>1788000</v>
      </c>
      <c r="I3441" s="92" t="inlineStr">
        <is>
          <t>4월 콜 위탁 수수료(건별)</t>
        </is>
      </c>
      <c r="J3441" s="92" t="inlineStr">
        <is>
          <t>V10016</t>
        </is>
      </c>
      <c r="K3441" s="92" t="inlineStr">
        <is>
          <t>J콜센터</t>
        </is>
      </c>
      <c r="M3441" s="9">
        <f>IF($A3441="","",VALUE($A3441&amp;"")*12+VALUE($B3441&amp;""))</f>
        <v/>
      </c>
      <c r="N3441" s="64">
        <f>IF($A3441="","",IFERROR(INDEX(부서매핑!$C$5:$C$504,MATCH($G3441&amp;"",부서매핑!$A$5:$A$504,0)),"미매핑"))</f>
        <v/>
      </c>
      <c r="O3441" s="9">
        <f>IF($A3441="","",N3441&amp;"|"&amp;$F3441)</f>
        <v/>
      </c>
      <c r="P3441" s="94">
        <f>IF($A3441="",0,$H3441*설정!$C$23)</f>
        <v/>
      </c>
      <c r="Q3441" s="64">
        <f>IF($A3441="","",IF(O3441&lt;&gt;원인분석!$C$9,"",IF(AND(M3441&gt;=원인분석!$C$10,M3441&lt;=원인분석!$C$11),"당기",IF(AND(M3441&gt;=원인분석!$C$12,M3441&lt;=원인분석!$C$13),"비교",""))))</f>
        <v/>
      </c>
      <c r="R3441" s="9">
        <f>IF(Q3441="","",$K3441&amp;"")</f>
        <v/>
      </c>
      <c r="S3441" s="9">
        <f>IF(Q3441="","",IF(MATCH(R3441,$R$5:$R$100000,0)=ROW()-4,ROW(),""))</f>
        <v/>
      </c>
      <c r="T3441" s="9">
        <f>IF(Q3441="당기",ABS(P3441)+ROW()/1000000000,"")</f>
        <v/>
      </c>
      <c r="U3441" s="9">
        <f>IF(Q3441="비교",ABS(P3441)+ROW()/1000000000,"")</f>
        <v/>
      </c>
      <c r="V3441" s="64">
        <f>IF($A3441="","",IF(COUNTIF(변동분석!$E$7:$E$506,O3441)&gt;0,"Y","N"))</f>
        <v/>
      </c>
      <c r="W3441" s="64">
        <f>IF($A3441="","",IFERROR(INDEX(계정매핑!$D$5:$D$504,MATCH($F3441&amp;"",계정매핑!$A$5:$A$504,0)),"미매핑"))</f>
        <v/>
      </c>
      <c r="X3441" s="9">
        <f>IF($A3441="","",$F3441&amp;"")</f>
        <v/>
      </c>
      <c r="Y3441" s="94">
        <f>IF($A3441="",0,IF(AE3441="직접",IF(AF3441="비귀속",$P3441,0),$P3441*(1-AG3441)*IFERROR(INDEX(계정대체기준!$F$20:$F$49,MATCH($N3441,계정대체기준!$A$20:$A$49,0)),1)))</f>
        <v/>
      </c>
      <c r="Z3441" s="94">
        <f>IF($A3441="",0,IF(AE3441="직접",IF(AF3441="신계약비",$P3441,0),$P3441*(1-AG3441)*IFERROR(INDEX(계정대체기준!$C$20:$C$49,MATCH($N3441,계정대체기준!$A$20:$A$49,0)),0)))</f>
        <v/>
      </c>
      <c r="AA3441" s="94">
        <f>IF($A3441="",0,IF(AE3441="직접",IF(OR(AF3441="유지비",AF3441="손해조사비"),$P3441,0),$P3441*(1-AG3441)*IFERROR(INDEX(계정대체기준!$D$20:$D$49,MATCH($N3441,계정대체기준!$A$20:$A$49,0)),0)))</f>
        <v/>
      </c>
      <c r="AB3441" s="94">
        <f>IF($A3441="",0,IF(AE3441="직접",IF(AF3441="수금비",$P3441,0),$P3441*(1-AG3441)*IFERROR(INDEX(계정대체기준!$E$20:$E$49,MATCH($N3441,계정대체기준!$A$20:$A$49,0)),0)))</f>
        <v/>
      </c>
      <c r="AC3441" s="9">
        <f>IF(AND($A3441&lt;&gt;"",M3441=설정!$C$20,Z3441&gt;0),Z3441+ROW()/1000000000,"")</f>
        <v/>
      </c>
      <c r="AD3441" s="94">
        <f>IF($A3441="",0,$P3441*AG3441)</f>
        <v/>
      </c>
      <c r="AE3441" s="64">
        <f>IF($A3441="","",IFERROR(INDEX(계정매핑!$E$5:$E$504,MATCH($F3441&amp;"",계정매핑!$A$5:$A$504,0))&amp;"","공통비"))</f>
        <v/>
      </c>
      <c r="AF3441" s="64">
        <f>IF($A3441="","",IF(AE3441="직접",IFERROR(INDEX(계정매핑!$F$5:$F$504,MATCH($F3441&amp;"",계정매핑!$A$5:$A$504,0))&amp;"","비귀속"),""))</f>
        <v/>
      </c>
      <c r="AG3441" s="96">
        <f>IF($A3441="",0,IF(AND(AE3441&lt;&gt;"직접",IFERROR(INDEX(계정매핑!$G$5:$G$504,MATCH($F3441&amp;"",계정매핑!$A$5:$A$504,0))&amp;"","")="유지비",COUNTIF(계정대체기준!$A$6:$A$15,$N3441)&gt;0),IFERROR(INDEX(계정대체기준!$E$6:$E$15,MATCH(VALUE($A3441&amp;""),계정대체기준!$D$6:$D$15,0)),0),0))</f>
        <v/>
      </c>
      <c r="AH3441" s="64">
        <f>IF($A3441="","",IF(AD3441=0,"",IF(OR(COUNTIF(계정대체기준!$A$77:$A$86,$N3441)&gt;0,ISNUMBER(MATCH($X3441,계정대체기준!$D$77:$D$86,0)),ISNUMBER(MATCH($F3441,계정대체기준!$D$77:$D$86,0))),"Y","N")))</f>
        <v/>
      </c>
    </row>
    <row r="3442">
      <c r="A3442" s="92" t="n">
        <v>2026</v>
      </c>
      <c r="B3442" s="92" t="n">
        <v>4</v>
      </c>
      <c r="C3442" s="92" t="inlineStr">
        <is>
          <t>5100000720</t>
        </is>
      </c>
      <c r="D3442" s="95" t="n">
        <v>46117</v>
      </c>
      <c r="E3442" s="92" t="inlineStr">
        <is>
          <t>KR</t>
        </is>
      </c>
      <c r="F3442" s="92" t="n">
        <v>62902000</v>
      </c>
      <c r="G3442" s="92" t="n">
        <v>1951</v>
      </c>
      <c r="H3442" s="93" t="n">
        <v>2400000</v>
      </c>
      <c r="I3442" s="92" t="inlineStr">
        <is>
          <t>4월 업무 위탁 수수료 - J콜센터</t>
        </is>
      </c>
      <c r="J3442" s="92" t="inlineStr">
        <is>
          <t>V10016</t>
        </is>
      </c>
      <c r="K3442" s="92" t="inlineStr">
        <is>
          <t>J콜센터</t>
        </is>
      </c>
      <c r="M3442" s="9">
        <f>IF($A3442="","",VALUE($A3442&amp;"")*12+VALUE($B3442&amp;""))</f>
        <v/>
      </c>
      <c r="N3442" s="64">
        <f>IF($A3442="","",IFERROR(INDEX(부서매핑!$C$5:$C$504,MATCH($G3442&amp;"",부서매핑!$A$5:$A$504,0)),"미매핑"))</f>
        <v/>
      </c>
      <c r="O3442" s="9">
        <f>IF($A3442="","",N3442&amp;"|"&amp;$F3442)</f>
        <v/>
      </c>
      <c r="P3442" s="94">
        <f>IF($A3442="",0,$H3442*설정!$C$23)</f>
        <v/>
      </c>
      <c r="Q3442" s="64">
        <f>IF($A3442="","",IF(O3442&lt;&gt;원인분석!$C$9,"",IF(AND(M3442&gt;=원인분석!$C$10,M3442&lt;=원인분석!$C$11),"당기",IF(AND(M3442&gt;=원인분석!$C$12,M3442&lt;=원인분석!$C$13),"비교",""))))</f>
        <v/>
      </c>
      <c r="R3442" s="9">
        <f>IF(Q3442="","",$K3442&amp;"")</f>
        <v/>
      </c>
      <c r="S3442" s="9">
        <f>IF(Q3442="","",IF(MATCH(R3442,$R$5:$R$100000,0)=ROW()-4,ROW(),""))</f>
        <v/>
      </c>
      <c r="T3442" s="9">
        <f>IF(Q3442="당기",ABS(P3442)+ROW()/1000000000,"")</f>
        <v/>
      </c>
      <c r="U3442" s="9">
        <f>IF(Q3442="비교",ABS(P3442)+ROW()/1000000000,"")</f>
        <v/>
      </c>
      <c r="V3442" s="64">
        <f>IF($A3442="","",IF(COUNTIF(변동분석!$E$7:$E$506,O3442)&gt;0,"Y","N"))</f>
        <v/>
      </c>
      <c r="W3442" s="64">
        <f>IF($A3442="","",IFERROR(INDEX(계정매핑!$D$5:$D$504,MATCH($F3442&amp;"",계정매핑!$A$5:$A$504,0)),"미매핑"))</f>
        <v/>
      </c>
      <c r="X3442" s="9">
        <f>IF($A3442="","",$F3442&amp;"")</f>
        <v/>
      </c>
      <c r="Y3442" s="94">
        <f>IF($A3442="",0,IF(AE3442="직접",IF(AF3442="비귀속",$P3442,0),$P3442*(1-AG3442)*IFERROR(INDEX(계정대체기준!$F$20:$F$49,MATCH($N3442,계정대체기준!$A$20:$A$49,0)),1)))</f>
        <v/>
      </c>
      <c r="Z3442" s="94">
        <f>IF($A3442="",0,IF(AE3442="직접",IF(AF3442="신계약비",$P3442,0),$P3442*(1-AG3442)*IFERROR(INDEX(계정대체기준!$C$20:$C$49,MATCH($N3442,계정대체기준!$A$20:$A$49,0)),0)))</f>
        <v/>
      </c>
      <c r="AA3442" s="94">
        <f>IF($A3442="",0,IF(AE3442="직접",IF(OR(AF3442="유지비",AF3442="손해조사비"),$P3442,0),$P3442*(1-AG3442)*IFERROR(INDEX(계정대체기준!$D$20:$D$49,MATCH($N3442,계정대체기준!$A$20:$A$49,0)),0)))</f>
        <v/>
      </c>
      <c r="AB3442" s="94">
        <f>IF($A3442="",0,IF(AE3442="직접",IF(AF3442="수금비",$P3442,0),$P3442*(1-AG3442)*IFERROR(INDEX(계정대체기준!$E$20:$E$49,MATCH($N3442,계정대체기준!$A$20:$A$49,0)),0)))</f>
        <v/>
      </c>
      <c r="AC3442" s="9">
        <f>IF(AND($A3442&lt;&gt;"",M3442=설정!$C$20,Z3442&gt;0),Z3442+ROW()/1000000000,"")</f>
        <v/>
      </c>
      <c r="AD3442" s="94">
        <f>IF($A3442="",0,$P3442*AG3442)</f>
        <v/>
      </c>
      <c r="AE3442" s="64">
        <f>IF($A3442="","",IFERROR(INDEX(계정매핑!$E$5:$E$504,MATCH($F3442&amp;"",계정매핑!$A$5:$A$504,0))&amp;"","공통비"))</f>
        <v/>
      </c>
      <c r="AF3442" s="64">
        <f>IF($A3442="","",IF(AE3442="직접",IFERROR(INDEX(계정매핑!$F$5:$F$504,MATCH($F3442&amp;"",계정매핑!$A$5:$A$504,0))&amp;"","비귀속"),""))</f>
        <v/>
      </c>
      <c r="AG3442" s="96">
        <f>IF($A3442="",0,IF(AND(AE3442&lt;&gt;"직접",IFERROR(INDEX(계정매핑!$G$5:$G$504,MATCH($F3442&amp;"",계정매핑!$A$5:$A$504,0))&amp;"","")="유지비",COUNTIF(계정대체기준!$A$6:$A$15,$N3442)&gt;0),IFERROR(INDEX(계정대체기준!$E$6:$E$15,MATCH(VALUE($A3442&amp;""),계정대체기준!$D$6:$D$15,0)),0),0))</f>
        <v/>
      </c>
      <c r="AH3442" s="64">
        <f>IF($A3442="","",IF(AD3442=0,"",IF(OR(COUNTIF(계정대체기준!$A$77:$A$86,$N3442)&gt;0,ISNUMBER(MATCH($X3442,계정대체기준!$D$77:$D$86,0)),ISNUMBER(MATCH($F3442,계정대체기준!$D$77:$D$86,0))),"Y","N")))</f>
        <v/>
      </c>
    </row>
    <row r="3443">
      <c r="A3443" s="92" t="n">
        <v>2026</v>
      </c>
      <c r="B3443" s="92" t="n">
        <v>4</v>
      </c>
      <c r="C3443" s="92" t="inlineStr">
        <is>
          <t>5100000721</t>
        </is>
      </c>
      <c r="D3443" s="95" t="n">
        <v>46117</v>
      </c>
      <c r="E3443" s="92" t="inlineStr">
        <is>
          <t>KR</t>
        </is>
      </c>
      <c r="F3443" s="92" t="n">
        <v>63201000</v>
      </c>
      <c r="G3443" s="92" t="n">
        <v>1602</v>
      </c>
      <c r="H3443" s="93" t="n">
        <v>5823000</v>
      </c>
      <c r="I3443" s="92" t="inlineStr">
        <is>
          <t>4월 차량 유지 - D정비</t>
        </is>
      </c>
      <c r="J3443" s="92" t="inlineStr">
        <is>
          <t>V10025</t>
        </is>
      </c>
      <c r="K3443" s="92" t="inlineStr">
        <is>
          <t>D정비</t>
        </is>
      </c>
      <c r="M3443" s="9">
        <f>IF($A3443="","",VALUE($A3443&amp;"")*12+VALUE($B3443&amp;""))</f>
        <v/>
      </c>
      <c r="N3443" s="64">
        <f>IF($A3443="","",IFERROR(INDEX(부서매핑!$C$5:$C$504,MATCH($G3443&amp;"",부서매핑!$A$5:$A$504,0)),"미매핑"))</f>
        <v/>
      </c>
      <c r="O3443" s="9">
        <f>IF($A3443="","",N3443&amp;"|"&amp;$F3443)</f>
        <v/>
      </c>
      <c r="P3443" s="94">
        <f>IF($A3443="",0,$H3443*설정!$C$23)</f>
        <v/>
      </c>
      <c r="Q3443" s="64">
        <f>IF($A3443="","",IF(O3443&lt;&gt;원인분석!$C$9,"",IF(AND(M3443&gt;=원인분석!$C$10,M3443&lt;=원인분석!$C$11),"당기",IF(AND(M3443&gt;=원인분석!$C$12,M3443&lt;=원인분석!$C$13),"비교",""))))</f>
        <v/>
      </c>
      <c r="R3443" s="9">
        <f>IF(Q3443="","",$K3443&amp;"")</f>
        <v/>
      </c>
      <c r="S3443" s="9">
        <f>IF(Q3443="","",IF(MATCH(R3443,$R$5:$R$100000,0)=ROW()-4,ROW(),""))</f>
        <v/>
      </c>
      <c r="T3443" s="9">
        <f>IF(Q3443="당기",ABS(P3443)+ROW()/1000000000,"")</f>
        <v/>
      </c>
      <c r="U3443" s="9">
        <f>IF(Q3443="비교",ABS(P3443)+ROW()/1000000000,"")</f>
        <v/>
      </c>
      <c r="V3443" s="64">
        <f>IF($A3443="","",IF(COUNTIF(변동분석!$E$7:$E$506,O3443)&gt;0,"Y","N"))</f>
        <v/>
      </c>
      <c r="W3443" s="64">
        <f>IF($A3443="","",IFERROR(INDEX(계정매핑!$D$5:$D$504,MATCH($F3443&amp;"",계정매핑!$A$5:$A$504,0)),"미매핑"))</f>
        <v/>
      </c>
      <c r="X3443" s="9">
        <f>IF($A3443="","",$F3443&amp;"")</f>
        <v/>
      </c>
      <c r="Y3443" s="94">
        <f>IF($A3443="",0,IF(AE3443="직접",IF(AF3443="비귀속",$P3443,0),$P3443*(1-AG3443)*IFERROR(INDEX(계정대체기준!$F$20:$F$49,MATCH($N3443,계정대체기준!$A$20:$A$49,0)),1)))</f>
        <v/>
      </c>
      <c r="Z3443" s="94">
        <f>IF($A3443="",0,IF(AE3443="직접",IF(AF3443="신계약비",$P3443,0),$P3443*(1-AG3443)*IFERROR(INDEX(계정대체기준!$C$20:$C$49,MATCH($N3443,계정대체기준!$A$20:$A$49,0)),0)))</f>
        <v/>
      </c>
      <c r="AA3443" s="94">
        <f>IF($A3443="",0,IF(AE3443="직접",IF(OR(AF3443="유지비",AF3443="손해조사비"),$P3443,0),$P3443*(1-AG3443)*IFERROR(INDEX(계정대체기준!$D$20:$D$49,MATCH($N3443,계정대체기준!$A$20:$A$49,0)),0)))</f>
        <v/>
      </c>
      <c r="AB3443" s="94">
        <f>IF($A3443="",0,IF(AE3443="직접",IF(AF3443="수금비",$P3443,0),$P3443*(1-AG3443)*IFERROR(INDEX(계정대체기준!$E$20:$E$49,MATCH($N3443,계정대체기준!$A$20:$A$49,0)),0)))</f>
        <v/>
      </c>
      <c r="AC3443" s="9">
        <f>IF(AND($A3443&lt;&gt;"",M3443=설정!$C$20,Z3443&gt;0),Z3443+ROW()/1000000000,"")</f>
        <v/>
      </c>
      <c r="AD3443" s="94">
        <f>IF($A3443="",0,$P3443*AG3443)</f>
        <v/>
      </c>
      <c r="AE3443" s="64">
        <f>IF($A3443="","",IFERROR(INDEX(계정매핑!$E$5:$E$504,MATCH($F3443&amp;"",계정매핑!$A$5:$A$504,0))&amp;"","공통비"))</f>
        <v/>
      </c>
      <c r="AF3443" s="64">
        <f>IF($A3443="","",IF(AE3443="직접",IFERROR(INDEX(계정매핑!$F$5:$F$504,MATCH($F3443&amp;"",계정매핑!$A$5:$A$504,0))&amp;"","비귀속"),""))</f>
        <v/>
      </c>
      <c r="AG3443" s="96">
        <f>IF($A3443="",0,IF(AND(AE3443&lt;&gt;"직접",IFERROR(INDEX(계정매핑!$G$5:$G$504,MATCH($F3443&amp;"",계정매핑!$A$5:$A$504,0))&amp;"","")="유지비",COUNTIF(계정대체기준!$A$6:$A$15,$N3443)&gt;0),IFERROR(INDEX(계정대체기준!$E$6:$E$15,MATCH(VALUE($A3443&amp;""),계정대체기준!$D$6:$D$15,0)),0),0))</f>
        <v/>
      </c>
      <c r="AH3443" s="64">
        <f>IF($A3443="","",IF(AD3443=0,"",IF(OR(COUNTIF(계정대체기준!$A$77:$A$86,$N3443)&gt;0,ISNUMBER(MATCH($X3443,계정대체기준!$D$77:$D$86,0)),ISNUMBER(MATCH($F3443,계정대체기준!$D$77:$D$86,0))),"Y","N")))</f>
        <v/>
      </c>
    </row>
    <row r="3444">
      <c r="A3444" s="92" t="n">
        <v>2026</v>
      </c>
      <c r="B3444" s="92" t="n">
        <v>4</v>
      </c>
      <c r="C3444" s="92" t="inlineStr">
        <is>
          <t>5100000722</t>
        </is>
      </c>
      <c r="D3444" s="95" t="n">
        <v>46118</v>
      </c>
      <c r="E3444" s="92" t="inlineStr">
        <is>
          <t>KR</t>
        </is>
      </c>
      <c r="F3444" s="92" t="n">
        <v>62101000</v>
      </c>
      <c r="G3444" s="92" t="n">
        <v>1301</v>
      </c>
      <c r="H3444" s="93" t="n">
        <v>187000</v>
      </c>
      <c r="I3444" s="92" t="inlineStr">
        <is>
          <t>4월 국내출장 - (법인카드)</t>
        </is>
      </c>
      <c r="J3444" s="92" t="inlineStr">
        <is>
          <t>V10010</t>
        </is>
      </c>
      <c r="K3444" s="92" t="inlineStr">
        <is>
          <t>(법인카드)</t>
        </is>
      </c>
      <c r="M3444" s="9">
        <f>IF($A3444="","",VALUE($A3444&amp;"")*12+VALUE($B3444&amp;""))</f>
        <v/>
      </c>
      <c r="N3444" s="64">
        <f>IF($A3444="","",IFERROR(INDEX(부서매핑!$C$5:$C$504,MATCH($G3444&amp;"",부서매핑!$A$5:$A$504,0)),"미매핑"))</f>
        <v/>
      </c>
      <c r="O3444" s="9">
        <f>IF($A3444="","",N3444&amp;"|"&amp;$F3444)</f>
        <v/>
      </c>
      <c r="P3444" s="94">
        <f>IF($A3444="",0,$H3444*설정!$C$23)</f>
        <v/>
      </c>
      <c r="Q3444" s="64">
        <f>IF($A3444="","",IF(O3444&lt;&gt;원인분석!$C$9,"",IF(AND(M3444&gt;=원인분석!$C$10,M3444&lt;=원인분석!$C$11),"당기",IF(AND(M3444&gt;=원인분석!$C$12,M3444&lt;=원인분석!$C$13),"비교",""))))</f>
        <v/>
      </c>
      <c r="R3444" s="9">
        <f>IF(Q3444="","",$K3444&amp;"")</f>
        <v/>
      </c>
      <c r="S3444" s="9">
        <f>IF(Q3444="","",IF(MATCH(R3444,$R$5:$R$100000,0)=ROW()-4,ROW(),""))</f>
        <v/>
      </c>
      <c r="T3444" s="9">
        <f>IF(Q3444="당기",ABS(P3444)+ROW()/1000000000,"")</f>
        <v/>
      </c>
      <c r="U3444" s="9">
        <f>IF(Q3444="비교",ABS(P3444)+ROW()/1000000000,"")</f>
        <v/>
      </c>
      <c r="V3444" s="64">
        <f>IF($A3444="","",IF(COUNTIF(변동분석!$E$7:$E$506,O3444)&gt;0,"Y","N"))</f>
        <v/>
      </c>
      <c r="W3444" s="64">
        <f>IF($A3444="","",IFERROR(INDEX(계정매핑!$D$5:$D$504,MATCH($F3444&amp;"",계정매핑!$A$5:$A$504,0)),"미매핑"))</f>
        <v/>
      </c>
      <c r="X3444" s="9">
        <f>IF($A3444="","",$F3444&amp;"")</f>
        <v/>
      </c>
      <c r="Y3444" s="94">
        <f>IF($A3444="",0,IF(AE3444="직접",IF(AF3444="비귀속",$P3444,0),$P3444*(1-AG3444)*IFERROR(INDEX(계정대체기준!$F$20:$F$49,MATCH($N3444,계정대체기준!$A$20:$A$49,0)),1)))</f>
        <v/>
      </c>
      <c r="Z3444" s="94">
        <f>IF($A3444="",0,IF(AE3444="직접",IF(AF3444="신계약비",$P3444,0),$P3444*(1-AG3444)*IFERROR(INDEX(계정대체기준!$C$20:$C$49,MATCH($N3444,계정대체기준!$A$20:$A$49,0)),0)))</f>
        <v/>
      </c>
      <c r="AA3444" s="94">
        <f>IF($A3444="",0,IF(AE3444="직접",IF(OR(AF3444="유지비",AF3444="손해조사비"),$P3444,0),$P3444*(1-AG3444)*IFERROR(INDEX(계정대체기준!$D$20:$D$49,MATCH($N3444,계정대체기준!$A$20:$A$49,0)),0)))</f>
        <v/>
      </c>
      <c r="AB3444" s="94">
        <f>IF($A3444="",0,IF(AE3444="직접",IF(AF3444="수금비",$P3444,0),$P3444*(1-AG3444)*IFERROR(INDEX(계정대체기준!$E$20:$E$49,MATCH($N3444,계정대체기준!$A$20:$A$49,0)),0)))</f>
        <v/>
      </c>
      <c r="AC3444" s="9">
        <f>IF(AND($A3444&lt;&gt;"",M3444=설정!$C$20,Z3444&gt;0),Z3444+ROW()/1000000000,"")</f>
        <v/>
      </c>
      <c r="AD3444" s="94">
        <f>IF($A3444="",0,$P3444*AG3444)</f>
        <v/>
      </c>
      <c r="AE3444" s="64">
        <f>IF($A3444="","",IFERROR(INDEX(계정매핑!$E$5:$E$504,MATCH($F3444&amp;"",계정매핑!$A$5:$A$504,0))&amp;"","공통비"))</f>
        <v/>
      </c>
      <c r="AF3444" s="64">
        <f>IF($A3444="","",IF(AE3444="직접",IFERROR(INDEX(계정매핑!$F$5:$F$504,MATCH($F3444&amp;"",계정매핑!$A$5:$A$504,0))&amp;"","비귀속"),""))</f>
        <v/>
      </c>
      <c r="AG3444" s="96">
        <f>IF($A3444="",0,IF(AND(AE3444&lt;&gt;"직접",IFERROR(INDEX(계정매핑!$G$5:$G$504,MATCH($F3444&amp;"",계정매핑!$A$5:$A$504,0))&amp;"","")="유지비",COUNTIF(계정대체기준!$A$6:$A$15,$N3444)&gt;0),IFERROR(INDEX(계정대체기준!$E$6:$E$15,MATCH(VALUE($A3444&amp;""),계정대체기준!$D$6:$D$15,0)),0),0))</f>
        <v/>
      </c>
      <c r="AH3444" s="64">
        <f>IF($A3444="","",IF(AD3444=0,"",IF(OR(COUNTIF(계정대체기준!$A$77:$A$86,$N3444)&gt;0,ISNUMBER(MATCH($X3444,계정대체기준!$D$77:$D$86,0)),ISNUMBER(MATCH($F3444,계정대체기준!$D$77:$D$86,0))),"Y","N")))</f>
        <v/>
      </c>
    </row>
    <row r="3445">
      <c r="A3445" s="92" t="n">
        <v>2026</v>
      </c>
      <c r="B3445" s="92" t="n">
        <v>4</v>
      </c>
      <c r="C3445" s="92" t="inlineStr">
        <is>
          <t>5100000723</t>
        </is>
      </c>
      <c r="D3445" s="95" t="n">
        <v>46118</v>
      </c>
      <c r="E3445" s="92" t="inlineStr">
        <is>
          <t>KR</t>
        </is>
      </c>
      <c r="F3445" s="92" t="n">
        <v>62101000</v>
      </c>
      <c r="G3445" s="92" t="n">
        <v>1501</v>
      </c>
      <c r="H3445" s="93" t="n">
        <v>339000</v>
      </c>
      <c r="I3445" s="92" t="inlineStr">
        <is>
          <t>4월 국내출장 - (법인카드)</t>
        </is>
      </c>
      <c r="J3445" s="92" t="inlineStr">
        <is>
          <t>V10010</t>
        </is>
      </c>
      <c r="K3445" s="92" t="inlineStr">
        <is>
          <t>(법인카드)</t>
        </is>
      </c>
      <c r="M3445" s="9">
        <f>IF($A3445="","",VALUE($A3445&amp;"")*12+VALUE($B3445&amp;""))</f>
        <v/>
      </c>
      <c r="N3445" s="64">
        <f>IF($A3445="","",IFERROR(INDEX(부서매핑!$C$5:$C$504,MATCH($G3445&amp;"",부서매핑!$A$5:$A$504,0)),"미매핑"))</f>
        <v/>
      </c>
      <c r="O3445" s="9">
        <f>IF($A3445="","",N3445&amp;"|"&amp;$F3445)</f>
        <v/>
      </c>
      <c r="P3445" s="94">
        <f>IF($A3445="",0,$H3445*설정!$C$23)</f>
        <v/>
      </c>
      <c r="Q3445" s="64">
        <f>IF($A3445="","",IF(O3445&lt;&gt;원인분석!$C$9,"",IF(AND(M3445&gt;=원인분석!$C$10,M3445&lt;=원인분석!$C$11),"당기",IF(AND(M3445&gt;=원인분석!$C$12,M3445&lt;=원인분석!$C$13),"비교",""))))</f>
        <v/>
      </c>
      <c r="R3445" s="9">
        <f>IF(Q3445="","",$K3445&amp;"")</f>
        <v/>
      </c>
      <c r="S3445" s="9">
        <f>IF(Q3445="","",IF(MATCH(R3445,$R$5:$R$100000,0)=ROW()-4,ROW(),""))</f>
        <v/>
      </c>
      <c r="T3445" s="9">
        <f>IF(Q3445="당기",ABS(P3445)+ROW()/1000000000,"")</f>
        <v/>
      </c>
      <c r="U3445" s="9">
        <f>IF(Q3445="비교",ABS(P3445)+ROW()/1000000000,"")</f>
        <v/>
      </c>
      <c r="V3445" s="64">
        <f>IF($A3445="","",IF(COUNTIF(변동분석!$E$7:$E$506,O3445)&gt;0,"Y","N"))</f>
        <v/>
      </c>
      <c r="W3445" s="64">
        <f>IF($A3445="","",IFERROR(INDEX(계정매핑!$D$5:$D$504,MATCH($F3445&amp;"",계정매핑!$A$5:$A$504,0)),"미매핑"))</f>
        <v/>
      </c>
      <c r="X3445" s="9">
        <f>IF($A3445="","",$F3445&amp;"")</f>
        <v/>
      </c>
      <c r="Y3445" s="94">
        <f>IF($A3445="",0,IF(AE3445="직접",IF(AF3445="비귀속",$P3445,0),$P3445*(1-AG3445)*IFERROR(INDEX(계정대체기준!$F$20:$F$49,MATCH($N3445,계정대체기준!$A$20:$A$49,0)),1)))</f>
        <v/>
      </c>
      <c r="Z3445" s="94">
        <f>IF($A3445="",0,IF(AE3445="직접",IF(AF3445="신계약비",$P3445,0),$P3445*(1-AG3445)*IFERROR(INDEX(계정대체기준!$C$20:$C$49,MATCH($N3445,계정대체기준!$A$20:$A$49,0)),0)))</f>
        <v/>
      </c>
      <c r="AA3445" s="94">
        <f>IF($A3445="",0,IF(AE3445="직접",IF(OR(AF3445="유지비",AF3445="손해조사비"),$P3445,0),$P3445*(1-AG3445)*IFERROR(INDEX(계정대체기준!$D$20:$D$49,MATCH($N3445,계정대체기준!$A$20:$A$49,0)),0)))</f>
        <v/>
      </c>
      <c r="AB3445" s="94">
        <f>IF($A3445="",0,IF(AE3445="직접",IF(AF3445="수금비",$P3445,0),$P3445*(1-AG3445)*IFERROR(INDEX(계정대체기준!$E$20:$E$49,MATCH($N3445,계정대체기준!$A$20:$A$49,0)),0)))</f>
        <v/>
      </c>
      <c r="AC3445" s="9">
        <f>IF(AND($A3445&lt;&gt;"",M3445=설정!$C$20,Z3445&gt;0),Z3445+ROW()/1000000000,"")</f>
        <v/>
      </c>
      <c r="AD3445" s="94">
        <f>IF($A3445="",0,$P3445*AG3445)</f>
        <v/>
      </c>
      <c r="AE3445" s="64">
        <f>IF($A3445="","",IFERROR(INDEX(계정매핑!$E$5:$E$504,MATCH($F3445&amp;"",계정매핑!$A$5:$A$504,0))&amp;"","공통비"))</f>
        <v/>
      </c>
      <c r="AF3445" s="64">
        <f>IF($A3445="","",IF(AE3445="직접",IFERROR(INDEX(계정매핑!$F$5:$F$504,MATCH($F3445&amp;"",계정매핑!$A$5:$A$504,0))&amp;"","비귀속"),""))</f>
        <v/>
      </c>
      <c r="AG3445" s="96">
        <f>IF($A3445="",0,IF(AND(AE3445&lt;&gt;"직접",IFERROR(INDEX(계정매핑!$G$5:$G$504,MATCH($F3445&amp;"",계정매핑!$A$5:$A$504,0))&amp;"","")="유지비",COUNTIF(계정대체기준!$A$6:$A$15,$N3445)&gt;0),IFERROR(INDEX(계정대체기준!$E$6:$E$15,MATCH(VALUE($A3445&amp;""),계정대체기준!$D$6:$D$15,0)),0),0))</f>
        <v/>
      </c>
      <c r="AH3445" s="64">
        <f>IF($A3445="","",IF(AD3445=0,"",IF(OR(COUNTIF(계정대체기준!$A$77:$A$86,$N3445)&gt;0,ISNUMBER(MATCH($X3445,계정대체기준!$D$77:$D$86,0)),ISNUMBER(MATCH($F3445,계정대체기준!$D$77:$D$86,0))),"Y","N")))</f>
        <v/>
      </c>
    </row>
    <row r="3446">
      <c r="A3446" s="92" t="n">
        <v>2026</v>
      </c>
      <c r="B3446" s="92" t="n">
        <v>4</v>
      </c>
      <c r="C3446" s="92" t="inlineStr">
        <is>
          <t>5100000724</t>
        </is>
      </c>
      <c r="D3446" s="95" t="n">
        <v>46118</v>
      </c>
      <c r="E3446" s="92" t="inlineStr">
        <is>
          <t>KR</t>
        </is>
      </c>
      <c r="F3446" s="92" t="n">
        <v>62101000</v>
      </c>
      <c r="G3446" s="92" t="n">
        <v>1502</v>
      </c>
      <c r="H3446" s="93" t="n">
        <v>629000</v>
      </c>
      <c r="I3446" s="92" t="inlineStr">
        <is>
          <t>4월 국내출장 - L여행사</t>
        </is>
      </c>
      <c r="J3446" s="92" t="inlineStr">
        <is>
          <t>V10018</t>
        </is>
      </c>
      <c r="K3446" s="92" t="inlineStr">
        <is>
          <t>L여행사</t>
        </is>
      </c>
      <c r="M3446" s="9">
        <f>IF($A3446="","",VALUE($A3446&amp;"")*12+VALUE($B3446&amp;""))</f>
        <v/>
      </c>
      <c r="N3446" s="64">
        <f>IF($A3446="","",IFERROR(INDEX(부서매핑!$C$5:$C$504,MATCH($G3446&amp;"",부서매핑!$A$5:$A$504,0)),"미매핑"))</f>
        <v/>
      </c>
      <c r="O3446" s="9">
        <f>IF($A3446="","",N3446&amp;"|"&amp;$F3446)</f>
        <v/>
      </c>
      <c r="P3446" s="94">
        <f>IF($A3446="",0,$H3446*설정!$C$23)</f>
        <v/>
      </c>
      <c r="Q3446" s="64">
        <f>IF($A3446="","",IF(O3446&lt;&gt;원인분석!$C$9,"",IF(AND(M3446&gt;=원인분석!$C$10,M3446&lt;=원인분석!$C$11),"당기",IF(AND(M3446&gt;=원인분석!$C$12,M3446&lt;=원인분석!$C$13),"비교",""))))</f>
        <v/>
      </c>
      <c r="R3446" s="9">
        <f>IF(Q3446="","",$K3446&amp;"")</f>
        <v/>
      </c>
      <c r="S3446" s="9">
        <f>IF(Q3446="","",IF(MATCH(R3446,$R$5:$R$100000,0)=ROW()-4,ROW(),""))</f>
        <v/>
      </c>
      <c r="T3446" s="9">
        <f>IF(Q3446="당기",ABS(P3446)+ROW()/1000000000,"")</f>
        <v/>
      </c>
      <c r="U3446" s="9">
        <f>IF(Q3446="비교",ABS(P3446)+ROW()/1000000000,"")</f>
        <v/>
      </c>
      <c r="V3446" s="64">
        <f>IF($A3446="","",IF(COUNTIF(변동분석!$E$7:$E$506,O3446)&gt;0,"Y","N"))</f>
        <v/>
      </c>
      <c r="W3446" s="64">
        <f>IF($A3446="","",IFERROR(INDEX(계정매핑!$D$5:$D$504,MATCH($F3446&amp;"",계정매핑!$A$5:$A$504,0)),"미매핑"))</f>
        <v/>
      </c>
      <c r="X3446" s="9">
        <f>IF($A3446="","",$F3446&amp;"")</f>
        <v/>
      </c>
      <c r="Y3446" s="94">
        <f>IF($A3446="",0,IF(AE3446="직접",IF(AF3446="비귀속",$P3446,0),$P3446*(1-AG3446)*IFERROR(INDEX(계정대체기준!$F$20:$F$49,MATCH($N3446,계정대체기준!$A$20:$A$49,0)),1)))</f>
        <v/>
      </c>
      <c r="Z3446" s="94">
        <f>IF($A3446="",0,IF(AE3446="직접",IF(AF3446="신계약비",$P3446,0),$P3446*(1-AG3446)*IFERROR(INDEX(계정대체기준!$C$20:$C$49,MATCH($N3446,계정대체기준!$A$20:$A$49,0)),0)))</f>
        <v/>
      </c>
      <c r="AA3446" s="94">
        <f>IF($A3446="",0,IF(AE3446="직접",IF(OR(AF3446="유지비",AF3446="손해조사비"),$P3446,0),$P3446*(1-AG3446)*IFERROR(INDEX(계정대체기준!$D$20:$D$49,MATCH($N3446,계정대체기준!$A$20:$A$49,0)),0)))</f>
        <v/>
      </c>
      <c r="AB3446" s="94">
        <f>IF($A3446="",0,IF(AE3446="직접",IF(AF3446="수금비",$P3446,0),$P3446*(1-AG3446)*IFERROR(INDEX(계정대체기준!$E$20:$E$49,MATCH($N3446,계정대체기준!$A$20:$A$49,0)),0)))</f>
        <v/>
      </c>
      <c r="AC3446" s="9">
        <f>IF(AND($A3446&lt;&gt;"",M3446=설정!$C$20,Z3446&gt;0),Z3446+ROW()/1000000000,"")</f>
        <v/>
      </c>
      <c r="AD3446" s="94">
        <f>IF($A3446="",0,$P3446*AG3446)</f>
        <v/>
      </c>
      <c r="AE3446" s="64">
        <f>IF($A3446="","",IFERROR(INDEX(계정매핑!$E$5:$E$504,MATCH($F3446&amp;"",계정매핑!$A$5:$A$504,0))&amp;"","공통비"))</f>
        <v/>
      </c>
      <c r="AF3446" s="64">
        <f>IF($A3446="","",IF(AE3446="직접",IFERROR(INDEX(계정매핑!$F$5:$F$504,MATCH($F3446&amp;"",계정매핑!$A$5:$A$504,0))&amp;"","비귀속"),""))</f>
        <v/>
      </c>
      <c r="AG3446" s="96">
        <f>IF($A3446="",0,IF(AND(AE3446&lt;&gt;"직접",IFERROR(INDEX(계정매핑!$G$5:$G$504,MATCH($F3446&amp;"",계정매핑!$A$5:$A$504,0))&amp;"","")="유지비",COUNTIF(계정대체기준!$A$6:$A$15,$N3446)&gt;0),IFERROR(INDEX(계정대체기준!$E$6:$E$15,MATCH(VALUE($A3446&amp;""),계정대체기준!$D$6:$D$15,0)),0),0))</f>
        <v/>
      </c>
      <c r="AH3446" s="64">
        <f>IF($A3446="","",IF(AD3446=0,"",IF(OR(COUNTIF(계정대체기준!$A$77:$A$86,$N3446)&gt;0,ISNUMBER(MATCH($X3446,계정대체기준!$D$77:$D$86,0)),ISNUMBER(MATCH($F3446,계정대체기준!$D$77:$D$86,0))),"Y","N")))</f>
        <v/>
      </c>
    </row>
    <row r="3447">
      <c r="A3447" s="92" t="n">
        <v>2026</v>
      </c>
      <c r="B3447" s="92" t="n">
        <v>4</v>
      </c>
      <c r="C3447" s="92" t="inlineStr">
        <is>
          <t>5100000725</t>
        </is>
      </c>
      <c r="D3447" s="95" t="n">
        <v>46118</v>
      </c>
      <c r="E3447" s="92" t="inlineStr">
        <is>
          <t>KR</t>
        </is>
      </c>
      <c r="F3447" s="92" t="n">
        <v>62102000</v>
      </c>
      <c r="G3447" s="92" t="n">
        <v>1951</v>
      </c>
      <c r="H3447" s="93" t="n">
        <v>61000</v>
      </c>
      <c r="I3447" s="92" t="inlineStr">
        <is>
          <t>4월 해외출장 - N호텔</t>
        </is>
      </c>
      <c r="J3447" s="92" t="inlineStr">
        <is>
          <t>V10009</t>
        </is>
      </c>
      <c r="K3447" s="92" t="inlineStr">
        <is>
          <t>N호텔</t>
        </is>
      </c>
      <c r="M3447" s="9">
        <f>IF($A3447="","",VALUE($A3447&amp;"")*12+VALUE($B3447&amp;""))</f>
        <v/>
      </c>
      <c r="N3447" s="64">
        <f>IF($A3447="","",IFERROR(INDEX(부서매핑!$C$5:$C$504,MATCH($G3447&amp;"",부서매핑!$A$5:$A$504,0)),"미매핑"))</f>
        <v/>
      </c>
      <c r="O3447" s="9">
        <f>IF($A3447="","",N3447&amp;"|"&amp;$F3447)</f>
        <v/>
      </c>
      <c r="P3447" s="94">
        <f>IF($A3447="",0,$H3447*설정!$C$23)</f>
        <v/>
      </c>
      <c r="Q3447" s="64">
        <f>IF($A3447="","",IF(O3447&lt;&gt;원인분석!$C$9,"",IF(AND(M3447&gt;=원인분석!$C$10,M3447&lt;=원인분석!$C$11),"당기",IF(AND(M3447&gt;=원인분석!$C$12,M3447&lt;=원인분석!$C$13),"비교",""))))</f>
        <v/>
      </c>
      <c r="R3447" s="9">
        <f>IF(Q3447="","",$K3447&amp;"")</f>
        <v/>
      </c>
      <c r="S3447" s="9">
        <f>IF(Q3447="","",IF(MATCH(R3447,$R$5:$R$100000,0)=ROW()-4,ROW(),""))</f>
        <v/>
      </c>
      <c r="T3447" s="9">
        <f>IF(Q3447="당기",ABS(P3447)+ROW()/1000000000,"")</f>
        <v/>
      </c>
      <c r="U3447" s="9">
        <f>IF(Q3447="비교",ABS(P3447)+ROW()/1000000000,"")</f>
        <v/>
      </c>
      <c r="V3447" s="64">
        <f>IF($A3447="","",IF(COUNTIF(변동분석!$E$7:$E$506,O3447)&gt;0,"Y","N"))</f>
        <v/>
      </c>
      <c r="W3447" s="64">
        <f>IF($A3447="","",IFERROR(INDEX(계정매핑!$D$5:$D$504,MATCH($F3447&amp;"",계정매핑!$A$5:$A$504,0)),"미매핑"))</f>
        <v/>
      </c>
      <c r="X3447" s="9">
        <f>IF($A3447="","",$F3447&amp;"")</f>
        <v/>
      </c>
      <c r="Y3447" s="94">
        <f>IF($A3447="",0,IF(AE3447="직접",IF(AF3447="비귀속",$P3447,0),$P3447*(1-AG3447)*IFERROR(INDEX(계정대체기준!$F$20:$F$49,MATCH($N3447,계정대체기준!$A$20:$A$49,0)),1)))</f>
        <v/>
      </c>
      <c r="Z3447" s="94">
        <f>IF($A3447="",0,IF(AE3447="직접",IF(AF3447="신계약비",$P3447,0),$P3447*(1-AG3447)*IFERROR(INDEX(계정대체기준!$C$20:$C$49,MATCH($N3447,계정대체기준!$A$20:$A$49,0)),0)))</f>
        <v/>
      </c>
      <c r="AA3447" s="94">
        <f>IF($A3447="",0,IF(AE3447="직접",IF(OR(AF3447="유지비",AF3447="손해조사비"),$P3447,0),$P3447*(1-AG3447)*IFERROR(INDEX(계정대체기준!$D$20:$D$49,MATCH($N3447,계정대체기준!$A$20:$A$49,0)),0)))</f>
        <v/>
      </c>
      <c r="AB3447" s="94">
        <f>IF($A3447="",0,IF(AE3447="직접",IF(AF3447="수금비",$P3447,0),$P3447*(1-AG3447)*IFERROR(INDEX(계정대체기준!$E$20:$E$49,MATCH($N3447,계정대체기준!$A$20:$A$49,0)),0)))</f>
        <v/>
      </c>
      <c r="AC3447" s="9">
        <f>IF(AND($A3447&lt;&gt;"",M3447=설정!$C$20,Z3447&gt;0),Z3447+ROW()/1000000000,"")</f>
        <v/>
      </c>
      <c r="AD3447" s="94">
        <f>IF($A3447="",0,$P3447*AG3447)</f>
        <v/>
      </c>
      <c r="AE3447" s="64">
        <f>IF($A3447="","",IFERROR(INDEX(계정매핑!$E$5:$E$504,MATCH($F3447&amp;"",계정매핑!$A$5:$A$504,0))&amp;"","공통비"))</f>
        <v/>
      </c>
      <c r="AF3447" s="64">
        <f>IF($A3447="","",IF(AE3447="직접",IFERROR(INDEX(계정매핑!$F$5:$F$504,MATCH($F3447&amp;"",계정매핑!$A$5:$A$504,0))&amp;"","비귀속"),""))</f>
        <v/>
      </c>
      <c r="AG3447" s="96">
        <f>IF($A3447="",0,IF(AND(AE3447&lt;&gt;"직접",IFERROR(INDEX(계정매핑!$G$5:$G$504,MATCH($F3447&amp;"",계정매핑!$A$5:$A$504,0))&amp;"","")="유지비",COUNTIF(계정대체기준!$A$6:$A$15,$N3447)&gt;0),IFERROR(INDEX(계정대체기준!$E$6:$E$15,MATCH(VALUE($A3447&amp;""),계정대체기준!$D$6:$D$15,0)),0),0))</f>
        <v/>
      </c>
      <c r="AH3447" s="64">
        <f>IF($A3447="","",IF(AD3447=0,"",IF(OR(COUNTIF(계정대체기준!$A$77:$A$86,$N3447)&gt;0,ISNUMBER(MATCH($X3447,계정대체기준!$D$77:$D$86,0)),ISNUMBER(MATCH($F3447,계정대체기준!$D$77:$D$86,0))),"Y","N")))</f>
        <v/>
      </c>
    </row>
    <row r="3448">
      <c r="A3448" s="92" t="n">
        <v>2026</v>
      </c>
      <c r="B3448" s="92" t="n">
        <v>4</v>
      </c>
      <c r="C3448" s="92" t="inlineStr">
        <is>
          <t>5100000726</t>
        </is>
      </c>
      <c r="D3448" s="95" t="n">
        <v>46118</v>
      </c>
      <c r="E3448" s="92" t="inlineStr">
        <is>
          <t>KR</t>
        </is>
      </c>
      <c r="F3448" s="92" t="n">
        <v>62201000</v>
      </c>
      <c r="G3448" s="92" t="n">
        <v>1502</v>
      </c>
      <c r="H3448" s="93" t="n">
        <v>254000</v>
      </c>
      <c r="I3448" s="92" t="inlineStr">
        <is>
          <t>4월 통신요금 - O텔레콤</t>
        </is>
      </c>
      <c r="J3448" s="92" t="inlineStr">
        <is>
          <t>V10002</t>
        </is>
      </c>
      <c r="K3448" s="92" t="inlineStr">
        <is>
          <t>O텔레콤</t>
        </is>
      </c>
      <c r="M3448" s="9">
        <f>IF($A3448="","",VALUE($A3448&amp;"")*12+VALUE($B3448&amp;""))</f>
        <v/>
      </c>
      <c r="N3448" s="64">
        <f>IF($A3448="","",IFERROR(INDEX(부서매핑!$C$5:$C$504,MATCH($G3448&amp;"",부서매핑!$A$5:$A$504,0)),"미매핑"))</f>
        <v/>
      </c>
      <c r="O3448" s="9">
        <f>IF($A3448="","",N3448&amp;"|"&amp;$F3448)</f>
        <v/>
      </c>
      <c r="P3448" s="94">
        <f>IF($A3448="",0,$H3448*설정!$C$23)</f>
        <v/>
      </c>
      <c r="Q3448" s="64">
        <f>IF($A3448="","",IF(O3448&lt;&gt;원인분석!$C$9,"",IF(AND(M3448&gt;=원인분석!$C$10,M3448&lt;=원인분석!$C$11),"당기",IF(AND(M3448&gt;=원인분석!$C$12,M3448&lt;=원인분석!$C$13),"비교",""))))</f>
        <v/>
      </c>
      <c r="R3448" s="9">
        <f>IF(Q3448="","",$K3448&amp;"")</f>
        <v/>
      </c>
      <c r="S3448" s="9">
        <f>IF(Q3448="","",IF(MATCH(R3448,$R$5:$R$100000,0)=ROW()-4,ROW(),""))</f>
        <v/>
      </c>
      <c r="T3448" s="9">
        <f>IF(Q3448="당기",ABS(P3448)+ROW()/1000000000,"")</f>
        <v/>
      </c>
      <c r="U3448" s="9">
        <f>IF(Q3448="비교",ABS(P3448)+ROW()/1000000000,"")</f>
        <v/>
      </c>
      <c r="V3448" s="64">
        <f>IF($A3448="","",IF(COUNTIF(변동분석!$E$7:$E$506,O3448)&gt;0,"Y","N"))</f>
        <v/>
      </c>
      <c r="W3448" s="64">
        <f>IF($A3448="","",IFERROR(INDEX(계정매핑!$D$5:$D$504,MATCH($F3448&amp;"",계정매핑!$A$5:$A$504,0)),"미매핑"))</f>
        <v/>
      </c>
      <c r="X3448" s="9">
        <f>IF($A3448="","",$F3448&amp;"")</f>
        <v/>
      </c>
      <c r="Y3448" s="94">
        <f>IF($A3448="",0,IF(AE3448="직접",IF(AF3448="비귀속",$P3448,0),$P3448*(1-AG3448)*IFERROR(INDEX(계정대체기준!$F$20:$F$49,MATCH($N3448,계정대체기준!$A$20:$A$49,0)),1)))</f>
        <v/>
      </c>
      <c r="Z3448" s="94">
        <f>IF($A3448="",0,IF(AE3448="직접",IF(AF3448="신계약비",$P3448,0),$P3448*(1-AG3448)*IFERROR(INDEX(계정대체기준!$C$20:$C$49,MATCH($N3448,계정대체기준!$A$20:$A$49,0)),0)))</f>
        <v/>
      </c>
      <c r="AA3448" s="94">
        <f>IF($A3448="",0,IF(AE3448="직접",IF(OR(AF3448="유지비",AF3448="손해조사비"),$P3448,0),$P3448*(1-AG3448)*IFERROR(INDEX(계정대체기준!$D$20:$D$49,MATCH($N3448,계정대체기준!$A$20:$A$49,0)),0)))</f>
        <v/>
      </c>
      <c r="AB3448" s="94">
        <f>IF($A3448="",0,IF(AE3448="직접",IF(AF3448="수금비",$P3448,0),$P3448*(1-AG3448)*IFERROR(INDEX(계정대체기준!$E$20:$E$49,MATCH($N3448,계정대체기준!$A$20:$A$49,0)),0)))</f>
        <v/>
      </c>
      <c r="AC3448" s="9">
        <f>IF(AND($A3448&lt;&gt;"",M3448=설정!$C$20,Z3448&gt;0),Z3448+ROW()/1000000000,"")</f>
        <v/>
      </c>
      <c r="AD3448" s="94">
        <f>IF($A3448="",0,$P3448*AG3448)</f>
        <v/>
      </c>
      <c r="AE3448" s="64">
        <f>IF($A3448="","",IFERROR(INDEX(계정매핑!$E$5:$E$504,MATCH($F3448&amp;"",계정매핑!$A$5:$A$504,0))&amp;"","공통비"))</f>
        <v/>
      </c>
      <c r="AF3448" s="64">
        <f>IF($A3448="","",IF(AE3448="직접",IFERROR(INDEX(계정매핑!$F$5:$F$504,MATCH($F3448&amp;"",계정매핑!$A$5:$A$504,0))&amp;"","비귀속"),""))</f>
        <v/>
      </c>
      <c r="AG3448" s="96">
        <f>IF($A3448="",0,IF(AND(AE3448&lt;&gt;"직접",IFERROR(INDEX(계정매핑!$G$5:$G$504,MATCH($F3448&amp;"",계정매핑!$A$5:$A$504,0))&amp;"","")="유지비",COUNTIF(계정대체기준!$A$6:$A$15,$N3448)&gt;0),IFERROR(INDEX(계정대체기준!$E$6:$E$15,MATCH(VALUE($A3448&amp;""),계정대체기준!$D$6:$D$15,0)),0),0))</f>
        <v/>
      </c>
      <c r="AH3448" s="64">
        <f>IF($A3448="","",IF(AD3448=0,"",IF(OR(COUNTIF(계정대체기준!$A$77:$A$86,$N3448)&gt;0,ISNUMBER(MATCH($X3448,계정대체기준!$D$77:$D$86,0)),ISNUMBER(MATCH($F3448,계정대체기준!$D$77:$D$86,0))),"Y","N")))</f>
        <v/>
      </c>
    </row>
    <row r="3449">
      <c r="A3449" s="92" t="n">
        <v>2026</v>
      </c>
      <c r="B3449" s="92" t="n">
        <v>4</v>
      </c>
      <c r="C3449" s="92" t="inlineStr">
        <is>
          <t>5100000727</t>
        </is>
      </c>
      <c r="D3449" s="95" t="n">
        <v>46118</v>
      </c>
      <c r="E3449" s="92" t="inlineStr">
        <is>
          <t>KR</t>
        </is>
      </c>
      <c r="F3449" s="92" t="n">
        <v>62201000</v>
      </c>
      <c r="G3449" s="92" t="n">
        <v>1502</v>
      </c>
      <c r="H3449" s="93" t="n">
        <v>302000</v>
      </c>
      <c r="I3449" s="92" t="inlineStr">
        <is>
          <t>4월 통신요금 - P통신</t>
        </is>
      </c>
      <c r="J3449" s="92" t="inlineStr">
        <is>
          <t>V10014</t>
        </is>
      </c>
      <c r="K3449" s="92" t="inlineStr">
        <is>
          <t>P통신</t>
        </is>
      </c>
      <c r="M3449" s="9">
        <f>IF($A3449="","",VALUE($A3449&amp;"")*12+VALUE($B3449&amp;""))</f>
        <v/>
      </c>
      <c r="N3449" s="64">
        <f>IF($A3449="","",IFERROR(INDEX(부서매핑!$C$5:$C$504,MATCH($G3449&amp;"",부서매핑!$A$5:$A$504,0)),"미매핑"))</f>
        <v/>
      </c>
      <c r="O3449" s="9">
        <f>IF($A3449="","",N3449&amp;"|"&amp;$F3449)</f>
        <v/>
      </c>
      <c r="P3449" s="94">
        <f>IF($A3449="",0,$H3449*설정!$C$23)</f>
        <v/>
      </c>
      <c r="Q3449" s="64">
        <f>IF($A3449="","",IF(O3449&lt;&gt;원인분석!$C$9,"",IF(AND(M3449&gt;=원인분석!$C$10,M3449&lt;=원인분석!$C$11),"당기",IF(AND(M3449&gt;=원인분석!$C$12,M3449&lt;=원인분석!$C$13),"비교",""))))</f>
        <v/>
      </c>
      <c r="R3449" s="9">
        <f>IF(Q3449="","",$K3449&amp;"")</f>
        <v/>
      </c>
      <c r="S3449" s="9">
        <f>IF(Q3449="","",IF(MATCH(R3449,$R$5:$R$100000,0)=ROW()-4,ROW(),""))</f>
        <v/>
      </c>
      <c r="T3449" s="9">
        <f>IF(Q3449="당기",ABS(P3449)+ROW()/1000000000,"")</f>
        <v/>
      </c>
      <c r="U3449" s="9">
        <f>IF(Q3449="비교",ABS(P3449)+ROW()/1000000000,"")</f>
        <v/>
      </c>
      <c r="V3449" s="64">
        <f>IF($A3449="","",IF(COUNTIF(변동분석!$E$7:$E$506,O3449)&gt;0,"Y","N"))</f>
        <v/>
      </c>
      <c r="W3449" s="64">
        <f>IF($A3449="","",IFERROR(INDEX(계정매핑!$D$5:$D$504,MATCH($F3449&amp;"",계정매핑!$A$5:$A$504,0)),"미매핑"))</f>
        <v/>
      </c>
      <c r="X3449" s="9">
        <f>IF($A3449="","",$F3449&amp;"")</f>
        <v/>
      </c>
      <c r="Y3449" s="94">
        <f>IF($A3449="",0,IF(AE3449="직접",IF(AF3449="비귀속",$P3449,0),$P3449*(1-AG3449)*IFERROR(INDEX(계정대체기준!$F$20:$F$49,MATCH($N3449,계정대체기준!$A$20:$A$49,0)),1)))</f>
        <v/>
      </c>
      <c r="Z3449" s="94">
        <f>IF($A3449="",0,IF(AE3449="직접",IF(AF3449="신계약비",$P3449,0),$P3449*(1-AG3449)*IFERROR(INDEX(계정대체기준!$C$20:$C$49,MATCH($N3449,계정대체기준!$A$20:$A$49,0)),0)))</f>
        <v/>
      </c>
      <c r="AA3449" s="94">
        <f>IF($A3449="",0,IF(AE3449="직접",IF(OR(AF3449="유지비",AF3449="손해조사비"),$P3449,0),$P3449*(1-AG3449)*IFERROR(INDEX(계정대체기준!$D$20:$D$49,MATCH($N3449,계정대체기준!$A$20:$A$49,0)),0)))</f>
        <v/>
      </c>
      <c r="AB3449" s="94">
        <f>IF($A3449="",0,IF(AE3449="직접",IF(AF3449="수금비",$P3449,0),$P3449*(1-AG3449)*IFERROR(INDEX(계정대체기준!$E$20:$E$49,MATCH($N3449,계정대체기준!$A$20:$A$49,0)),0)))</f>
        <v/>
      </c>
      <c r="AC3449" s="9">
        <f>IF(AND($A3449&lt;&gt;"",M3449=설정!$C$20,Z3449&gt;0),Z3449+ROW()/1000000000,"")</f>
        <v/>
      </c>
      <c r="AD3449" s="94">
        <f>IF($A3449="",0,$P3449*AG3449)</f>
        <v/>
      </c>
      <c r="AE3449" s="64">
        <f>IF($A3449="","",IFERROR(INDEX(계정매핑!$E$5:$E$504,MATCH($F3449&amp;"",계정매핑!$A$5:$A$504,0))&amp;"","공통비"))</f>
        <v/>
      </c>
      <c r="AF3449" s="64">
        <f>IF($A3449="","",IF(AE3449="직접",IFERROR(INDEX(계정매핑!$F$5:$F$504,MATCH($F3449&amp;"",계정매핑!$A$5:$A$504,0))&amp;"","비귀속"),""))</f>
        <v/>
      </c>
      <c r="AG3449" s="96">
        <f>IF($A3449="",0,IF(AND(AE3449&lt;&gt;"직접",IFERROR(INDEX(계정매핑!$G$5:$G$504,MATCH($F3449&amp;"",계정매핑!$A$5:$A$504,0))&amp;"","")="유지비",COUNTIF(계정대체기준!$A$6:$A$15,$N3449)&gt;0),IFERROR(INDEX(계정대체기준!$E$6:$E$15,MATCH(VALUE($A3449&amp;""),계정대체기준!$D$6:$D$15,0)),0),0))</f>
        <v/>
      </c>
      <c r="AH3449" s="64">
        <f>IF($A3449="","",IF(AD3449=0,"",IF(OR(COUNTIF(계정대체기준!$A$77:$A$86,$N3449)&gt;0,ISNUMBER(MATCH($X3449,계정대체기준!$D$77:$D$86,0)),ISNUMBER(MATCH($F3449,계정대체기준!$D$77:$D$86,0))),"Y","N")))</f>
        <v/>
      </c>
    </row>
    <row r="3450">
      <c r="A3450" s="92" t="n">
        <v>2026</v>
      </c>
      <c r="B3450" s="92" t="n">
        <v>4</v>
      </c>
      <c r="C3450" s="92" t="inlineStr">
        <is>
          <t>5100000728</t>
        </is>
      </c>
      <c r="D3450" s="95" t="n">
        <v>46118</v>
      </c>
      <c r="E3450" s="92" t="inlineStr">
        <is>
          <t>KR</t>
        </is>
      </c>
      <c r="F3450" s="92" t="n">
        <v>62902000</v>
      </c>
      <c r="G3450" s="92" t="n">
        <v>1401</v>
      </c>
      <c r="H3450" s="93" t="n">
        <v>2176000</v>
      </c>
      <c r="I3450" s="92" t="inlineStr">
        <is>
          <t>4월 업무 위탁 수수료 - J콜센터</t>
        </is>
      </c>
      <c r="J3450" s="92" t="inlineStr">
        <is>
          <t>V10016</t>
        </is>
      </c>
      <c r="K3450" s="92" t="inlineStr">
        <is>
          <t>J콜센터</t>
        </is>
      </c>
      <c r="M3450" s="9">
        <f>IF($A3450="","",VALUE($A3450&amp;"")*12+VALUE($B3450&amp;""))</f>
        <v/>
      </c>
      <c r="N3450" s="64">
        <f>IF($A3450="","",IFERROR(INDEX(부서매핑!$C$5:$C$504,MATCH($G3450&amp;"",부서매핑!$A$5:$A$504,0)),"미매핑"))</f>
        <v/>
      </c>
      <c r="O3450" s="9">
        <f>IF($A3450="","",N3450&amp;"|"&amp;$F3450)</f>
        <v/>
      </c>
      <c r="P3450" s="94">
        <f>IF($A3450="",0,$H3450*설정!$C$23)</f>
        <v/>
      </c>
      <c r="Q3450" s="64">
        <f>IF($A3450="","",IF(O3450&lt;&gt;원인분석!$C$9,"",IF(AND(M3450&gt;=원인분석!$C$10,M3450&lt;=원인분석!$C$11),"당기",IF(AND(M3450&gt;=원인분석!$C$12,M3450&lt;=원인분석!$C$13),"비교",""))))</f>
        <v/>
      </c>
      <c r="R3450" s="9">
        <f>IF(Q3450="","",$K3450&amp;"")</f>
        <v/>
      </c>
      <c r="S3450" s="9">
        <f>IF(Q3450="","",IF(MATCH(R3450,$R$5:$R$100000,0)=ROW()-4,ROW(),""))</f>
        <v/>
      </c>
      <c r="T3450" s="9">
        <f>IF(Q3450="당기",ABS(P3450)+ROW()/1000000000,"")</f>
        <v/>
      </c>
      <c r="U3450" s="9">
        <f>IF(Q3450="비교",ABS(P3450)+ROW()/1000000000,"")</f>
        <v/>
      </c>
      <c r="V3450" s="64">
        <f>IF($A3450="","",IF(COUNTIF(변동분석!$E$7:$E$506,O3450)&gt;0,"Y","N"))</f>
        <v/>
      </c>
      <c r="W3450" s="64">
        <f>IF($A3450="","",IFERROR(INDEX(계정매핑!$D$5:$D$504,MATCH($F3450&amp;"",계정매핑!$A$5:$A$504,0)),"미매핑"))</f>
        <v/>
      </c>
      <c r="X3450" s="9">
        <f>IF($A3450="","",$F3450&amp;"")</f>
        <v/>
      </c>
      <c r="Y3450" s="94">
        <f>IF($A3450="",0,IF(AE3450="직접",IF(AF3450="비귀속",$P3450,0),$P3450*(1-AG3450)*IFERROR(INDEX(계정대체기준!$F$20:$F$49,MATCH($N3450,계정대체기준!$A$20:$A$49,0)),1)))</f>
        <v/>
      </c>
      <c r="Z3450" s="94">
        <f>IF($A3450="",0,IF(AE3450="직접",IF(AF3450="신계약비",$P3450,0),$P3450*(1-AG3450)*IFERROR(INDEX(계정대체기준!$C$20:$C$49,MATCH($N3450,계정대체기준!$A$20:$A$49,0)),0)))</f>
        <v/>
      </c>
      <c r="AA3450" s="94">
        <f>IF($A3450="",0,IF(AE3450="직접",IF(OR(AF3450="유지비",AF3450="손해조사비"),$P3450,0),$P3450*(1-AG3450)*IFERROR(INDEX(계정대체기준!$D$20:$D$49,MATCH($N3450,계정대체기준!$A$20:$A$49,0)),0)))</f>
        <v/>
      </c>
      <c r="AB3450" s="94">
        <f>IF($A3450="",0,IF(AE3450="직접",IF(AF3450="수금비",$P3450,0),$P3450*(1-AG3450)*IFERROR(INDEX(계정대체기준!$E$20:$E$49,MATCH($N3450,계정대체기준!$A$20:$A$49,0)),0)))</f>
        <v/>
      </c>
      <c r="AC3450" s="9">
        <f>IF(AND($A3450&lt;&gt;"",M3450=설정!$C$20,Z3450&gt;0),Z3450+ROW()/1000000000,"")</f>
        <v/>
      </c>
      <c r="AD3450" s="94">
        <f>IF($A3450="",0,$P3450*AG3450)</f>
        <v/>
      </c>
      <c r="AE3450" s="64">
        <f>IF($A3450="","",IFERROR(INDEX(계정매핑!$E$5:$E$504,MATCH($F3450&amp;"",계정매핑!$A$5:$A$504,0))&amp;"","공통비"))</f>
        <v/>
      </c>
      <c r="AF3450" s="64">
        <f>IF($A3450="","",IF(AE3450="직접",IFERROR(INDEX(계정매핑!$F$5:$F$504,MATCH($F3450&amp;"",계정매핑!$A$5:$A$504,0))&amp;"","비귀속"),""))</f>
        <v/>
      </c>
      <c r="AG3450" s="96">
        <f>IF($A3450="",0,IF(AND(AE3450&lt;&gt;"직접",IFERROR(INDEX(계정매핑!$G$5:$G$504,MATCH($F3450&amp;"",계정매핑!$A$5:$A$504,0))&amp;"","")="유지비",COUNTIF(계정대체기준!$A$6:$A$15,$N3450)&gt;0),IFERROR(INDEX(계정대체기준!$E$6:$E$15,MATCH(VALUE($A3450&amp;""),계정대체기준!$D$6:$D$15,0)),0),0))</f>
        <v/>
      </c>
      <c r="AH3450" s="64">
        <f>IF($A3450="","",IF(AD3450=0,"",IF(OR(COUNTIF(계정대체기준!$A$77:$A$86,$N3450)&gt;0,ISNUMBER(MATCH($X3450,계정대체기준!$D$77:$D$86,0)),ISNUMBER(MATCH($F3450,계정대체기준!$D$77:$D$86,0))),"Y","N")))</f>
        <v/>
      </c>
    </row>
    <row r="3451">
      <c r="A3451" s="92" t="n">
        <v>2026</v>
      </c>
      <c r="B3451" s="92" t="n">
        <v>4</v>
      </c>
      <c r="C3451" s="92" t="inlineStr">
        <is>
          <t>5100000729</t>
        </is>
      </c>
      <c r="D3451" s="95" t="n">
        <v>46119</v>
      </c>
      <c r="E3451" s="92" t="inlineStr">
        <is>
          <t>KR</t>
        </is>
      </c>
      <c r="F3451" s="92" t="n">
        <v>62101000</v>
      </c>
      <c r="G3451" s="92" t="n">
        <v>1201</v>
      </c>
      <c r="H3451" s="93" t="n">
        <v>108000</v>
      </c>
      <c r="I3451" s="92" t="inlineStr">
        <is>
          <t>4월 국내출장 - (법인카드)</t>
        </is>
      </c>
      <c r="J3451" s="92" t="inlineStr">
        <is>
          <t>V10010</t>
        </is>
      </c>
      <c r="K3451" s="92" t="inlineStr">
        <is>
          <t>(법인카드)</t>
        </is>
      </c>
      <c r="M3451" s="9">
        <f>IF($A3451="","",VALUE($A3451&amp;"")*12+VALUE($B3451&amp;""))</f>
        <v/>
      </c>
      <c r="N3451" s="64">
        <f>IF($A3451="","",IFERROR(INDEX(부서매핑!$C$5:$C$504,MATCH($G3451&amp;"",부서매핑!$A$5:$A$504,0)),"미매핑"))</f>
        <v/>
      </c>
      <c r="O3451" s="9">
        <f>IF($A3451="","",N3451&amp;"|"&amp;$F3451)</f>
        <v/>
      </c>
      <c r="P3451" s="94">
        <f>IF($A3451="",0,$H3451*설정!$C$23)</f>
        <v/>
      </c>
      <c r="Q3451" s="64">
        <f>IF($A3451="","",IF(O3451&lt;&gt;원인분석!$C$9,"",IF(AND(M3451&gt;=원인분석!$C$10,M3451&lt;=원인분석!$C$11),"당기",IF(AND(M3451&gt;=원인분석!$C$12,M3451&lt;=원인분석!$C$13),"비교",""))))</f>
        <v/>
      </c>
      <c r="R3451" s="9">
        <f>IF(Q3451="","",$K3451&amp;"")</f>
        <v/>
      </c>
      <c r="S3451" s="9">
        <f>IF(Q3451="","",IF(MATCH(R3451,$R$5:$R$100000,0)=ROW()-4,ROW(),""))</f>
        <v/>
      </c>
      <c r="T3451" s="9">
        <f>IF(Q3451="당기",ABS(P3451)+ROW()/1000000000,"")</f>
        <v/>
      </c>
      <c r="U3451" s="9">
        <f>IF(Q3451="비교",ABS(P3451)+ROW()/1000000000,"")</f>
        <v/>
      </c>
      <c r="V3451" s="64">
        <f>IF($A3451="","",IF(COUNTIF(변동분석!$E$7:$E$506,O3451)&gt;0,"Y","N"))</f>
        <v/>
      </c>
      <c r="W3451" s="64">
        <f>IF($A3451="","",IFERROR(INDEX(계정매핑!$D$5:$D$504,MATCH($F3451&amp;"",계정매핑!$A$5:$A$504,0)),"미매핑"))</f>
        <v/>
      </c>
      <c r="X3451" s="9">
        <f>IF($A3451="","",$F3451&amp;"")</f>
        <v/>
      </c>
      <c r="Y3451" s="94">
        <f>IF($A3451="",0,IF(AE3451="직접",IF(AF3451="비귀속",$P3451,0),$P3451*(1-AG3451)*IFERROR(INDEX(계정대체기준!$F$20:$F$49,MATCH($N3451,계정대체기준!$A$20:$A$49,0)),1)))</f>
        <v/>
      </c>
      <c r="Z3451" s="94">
        <f>IF($A3451="",0,IF(AE3451="직접",IF(AF3451="신계약비",$P3451,0),$P3451*(1-AG3451)*IFERROR(INDEX(계정대체기준!$C$20:$C$49,MATCH($N3451,계정대체기준!$A$20:$A$49,0)),0)))</f>
        <v/>
      </c>
      <c r="AA3451" s="94">
        <f>IF($A3451="",0,IF(AE3451="직접",IF(OR(AF3451="유지비",AF3451="손해조사비"),$P3451,0),$P3451*(1-AG3451)*IFERROR(INDEX(계정대체기준!$D$20:$D$49,MATCH($N3451,계정대체기준!$A$20:$A$49,0)),0)))</f>
        <v/>
      </c>
      <c r="AB3451" s="94">
        <f>IF($A3451="",0,IF(AE3451="직접",IF(AF3451="수금비",$P3451,0),$P3451*(1-AG3451)*IFERROR(INDEX(계정대체기준!$E$20:$E$49,MATCH($N3451,계정대체기준!$A$20:$A$49,0)),0)))</f>
        <v/>
      </c>
      <c r="AC3451" s="9">
        <f>IF(AND($A3451&lt;&gt;"",M3451=설정!$C$20,Z3451&gt;0),Z3451+ROW()/1000000000,"")</f>
        <v/>
      </c>
      <c r="AD3451" s="94">
        <f>IF($A3451="",0,$P3451*AG3451)</f>
        <v/>
      </c>
      <c r="AE3451" s="64">
        <f>IF($A3451="","",IFERROR(INDEX(계정매핑!$E$5:$E$504,MATCH($F3451&amp;"",계정매핑!$A$5:$A$504,0))&amp;"","공통비"))</f>
        <v/>
      </c>
      <c r="AF3451" s="64">
        <f>IF($A3451="","",IF(AE3451="직접",IFERROR(INDEX(계정매핑!$F$5:$F$504,MATCH($F3451&amp;"",계정매핑!$A$5:$A$504,0))&amp;"","비귀속"),""))</f>
        <v/>
      </c>
      <c r="AG3451" s="96">
        <f>IF($A3451="",0,IF(AND(AE3451&lt;&gt;"직접",IFERROR(INDEX(계정매핑!$G$5:$G$504,MATCH($F3451&amp;"",계정매핑!$A$5:$A$504,0))&amp;"","")="유지비",COUNTIF(계정대체기준!$A$6:$A$15,$N3451)&gt;0),IFERROR(INDEX(계정대체기준!$E$6:$E$15,MATCH(VALUE($A3451&amp;""),계정대체기준!$D$6:$D$15,0)),0),0))</f>
        <v/>
      </c>
      <c r="AH3451" s="64">
        <f>IF($A3451="","",IF(AD3451=0,"",IF(OR(COUNTIF(계정대체기준!$A$77:$A$86,$N3451)&gt;0,ISNUMBER(MATCH($X3451,계정대체기준!$D$77:$D$86,0)),ISNUMBER(MATCH($F3451,계정대체기준!$D$77:$D$86,0))),"Y","N")))</f>
        <v/>
      </c>
    </row>
    <row r="3452">
      <c r="A3452" s="92" t="n">
        <v>2026</v>
      </c>
      <c r="B3452" s="92" t="n">
        <v>4</v>
      </c>
      <c r="C3452" s="92" t="inlineStr">
        <is>
          <t>5100000730</t>
        </is>
      </c>
      <c r="D3452" s="95" t="n">
        <v>46119</v>
      </c>
      <c r="E3452" s="92" t="inlineStr">
        <is>
          <t>KR</t>
        </is>
      </c>
      <c r="F3452" s="92" t="n">
        <v>62201000</v>
      </c>
      <c r="G3452" s="92" t="n">
        <v>1401</v>
      </c>
      <c r="H3452" s="93" t="n">
        <v>222000</v>
      </c>
      <c r="I3452" s="92" t="inlineStr">
        <is>
          <t>4월 통신요금 - O텔레콤</t>
        </is>
      </c>
      <c r="J3452" s="92" t="inlineStr">
        <is>
          <t>V10002</t>
        </is>
      </c>
      <c r="K3452" s="92" t="inlineStr">
        <is>
          <t>O텔레콤</t>
        </is>
      </c>
      <c r="M3452" s="9">
        <f>IF($A3452="","",VALUE($A3452&amp;"")*12+VALUE($B3452&amp;""))</f>
        <v/>
      </c>
      <c r="N3452" s="64">
        <f>IF($A3452="","",IFERROR(INDEX(부서매핑!$C$5:$C$504,MATCH($G3452&amp;"",부서매핑!$A$5:$A$504,0)),"미매핑"))</f>
        <v/>
      </c>
      <c r="O3452" s="9">
        <f>IF($A3452="","",N3452&amp;"|"&amp;$F3452)</f>
        <v/>
      </c>
      <c r="P3452" s="94">
        <f>IF($A3452="",0,$H3452*설정!$C$23)</f>
        <v/>
      </c>
      <c r="Q3452" s="64">
        <f>IF($A3452="","",IF(O3452&lt;&gt;원인분석!$C$9,"",IF(AND(M3452&gt;=원인분석!$C$10,M3452&lt;=원인분석!$C$11),"당기",IF(AND(M3452&gt;=원인분석!$C$12,M3452&lt;=원인분석!$C$13),"비교",""))))</f>
        <v/>
      </c>
      <c r="R3452" s="9">
        <f>IF(Q3452="","",$K3452&amp;"")</f>
        <v/>
      </c>
      <c r="S3452" s="9">
        <f>IF(Q3452="","",IF(MATCH(R3452,$R$5:$R$100000,0)=ROW()-4,ROW(),""))</f>
        <v/>
      </c>
      <c r="T3452" s="9">
        <f>IF(Q3452="당기",ABS(P3452)+ROW()/1000000000,"")</f>
        <v/>
      </c>
      <c r="U3452" s="9">
        <f>IF(Q3452="비교",ABS(P3452)+ROW()/1000000000,"")</f>
        <v/>
      </c>
      <c r="V3452" s="64">
        <f>IF($A3452="","",IF(COUNTIF(변동분석!$E$7:$E$506,O3452)&gt;0,"Y","N"))</f>
        <v/>
      </c>
      <c r="W3452" s="64">
        <f>IF($A3452="","",IFERROR(INDEX(계정매핑!$D$5:$D$504,MATCH($F3452&amp;"",계정매핑!$A$5:$A$504,0)),"미매핑"))</f>
        <v/>
      </c>
      <c r="X3452" s="9">
        <f>IF($A3452="","",$F3452&amp;"")</f>
        <v/>
      </c>
      <c r="Y3452" s="94">
        <f>IF($A3452="",0,IF(AE3452="직접",IF(AF3452="비귀속",$P3452,0),$P3452*(1-AG3452)*IFERROR(INDEX(계정대체기준!$F$20:$F$49,MATCH($N3452,계정대체기준!$A$20:$A$49,0)),1)))</f>
        <v/>
      </c>
      <c r="Z3452" s="94">
        <f>IF($A3452="",0,IF(AE3452="직접",IF(AF3452="신계약비",$P3452,0),$P3452*(1-AG3452)*IFERROR(INDEX(계정대체기준!$C$20:$C$49,MATCH($N3452,계정대체기준!$A$20:$A$49,0)),0)))</f>
        <v/>
      </c>
      <c r="AA3452" s="94">
        <f>IF($A3452="",0,IF(AE3452="직접",IF(OR(AF3452="유지비",AF3452="손해조사비"),$P3452,0),$P3452*(1-AG3452)*IFERROR(INDEX(계정대체기준!$D$20:$D$49,MATCH($N3452,계정대체기준!$A$20:$A$49,0)),0)))</f>
        <v/>
      </c>
      <c r="AB3452" s="94">
        <f>IF($A3452="",0,IF(AE3452="직접",IF(AF3452="수금비",$P3452,0),$P3452*(1-AG3452)*IFERROR(INDEX(계정대체기준!$E$20:$E$49,MATCH($N3452,계정대체기준!$A$20:$A$49,0)),0)))</f>
        <v/>
      </c>
      <c r="AC3452" s="9">
        <f>IF(AND($A3452&lt;&gt;"",M3452=설정!$C$20,Z3452&gt;0),Z3452+ROW()/1000000000,"")</f>
        <v/>
      </c>
      <c r="AD3452" s="94">
        <f>IF($A3452="",0,$P3452*AG3452)</f>
        <v/>
      </c>
      <c r="AE3452" s="64">
        <f>IF($A3452="","",IFERROR(INDEX(계정매핑!$E$5:$E$504,MATCH($F3452&amp;"",계정매핑!$A$5:$A$504,0))&amp;"","공통비"))</f>
        <v/>
      </c>
      <c r="AF3452" s="64">
        <f>IF($A3452="","",IF(AE3452="직접",IFERROR(INDEX(계정매핑!$F$5:$F$504,MATCH($F3452&amp;"",계정매핑!$A$5:$A$504,0))&amp;"","비귀속"),""))</f>
        <v/>
      </c>
      <c r="AG3452" s="96">
        <f>IF($A3452="",0,IF(AND(AE3452&lt;&gt;"직접",IFERROR(INDEX(계정매핑!$G$5:$G$504,MATCH($F3452&amp;"",계정매핑!$A$5:$A$504,0))&amp;"","")="유지비",COUNTIF(계정대체기준!$A$6:$A$15,$N3452)&gt;0),IFERROR(INDEX(계정대체기준!$E$6:$E$15,MATCH(VALUE($A3452&amp;""),계정대체기준!$D$6:$D$15,0)),0),0))</f>
        <v/>
      </c>
      <c r="AH3452" s="64">
        <f>IF($A3452="","",IF(AD3452=0,"",IF(OR(COUNTIF(계정대체기준!$A$77:$A$86,$N3452)&gt;0,ISNUMBER(MATCH($X3452,계정대체기준!$D$77:$D$86,0)),ISNUMBER(MATCH($F3452,계정대체기준!$D$77:$D$86,0))),"Y","N")))</f>
        <v/>
      </c>
    </row>
    <row r="3453">
      <c r="A3453" s="92" t="n">
        <v>2026</v>
      </c>
      <c r="B3453" s="92" t="n">
        <v>4</v>
      </c>
      <c r="C3453" s="92" t="inlineStr">
        <is>
          <t>5100000731</t>
        </is>
      </c>
      <c r="D3453" s="95" t="n">
        <v>46119</v>
      </c>
      <c r="E3453" s="92" t="inlineStr">
        <is>
          <t>KR</t>
        </is>
      </c>
      <c r="F3453" s="92" t="n">
        <v>62201000</v>
      </c>
      <c r="G3453" s="92" t="n">
        <v>1801</v>
      </c>
      <c r="H3453" s="93" t="n">
        <v>5019000</v>
      </c>
      <c r="I3453" s="92" t="inlineStr">
        <is>
          <t>4월 통신요금 - O텔레콤</t>
        </is>
      </c>
      <c r="J3453" s="92" t="inlineStr">
        <is>
          <t>V10002</t>
        </is>
      </c>
      <c r="K3453" s="92" t="inlineStr">
        <is>
          <t>O텔레콤</t>
        </is>
      </c>
      <c r="M3453" s="9">
        <f>IF($A3453="","",VALUE($A3453&amp;"")*12+VALUE($B3453&amp;""))</f>
        <v/>
      </c>
      <c r="N3453" s="64">
        <f>IF($A3453="","",IFERROR(INDEX(부서매핑!$C$5:$C$504,MATCH($G3453&amp;"",부서매핑!$A$5:$A$504,0)),"미매핑"))</f>
        <v/>
      </c>
      <c r="O3453" s="9">
        <f>IF($A3453="","",N3453&amp;"|"&amp;$F3453)</f>
        <v/>
      </c>
      <c r="P3453" s="94">
        <f>IF($A3453="",0,$H3453*설정!$C$23)</f>
        <v/>
      </c>
      <c r="Q3453" s="64">
        <f>IF($A3453="","",IF(O3453&lt;&gt;원인분석!$C$9,"",IF(AND(M3453&gt;=원인분석!$C$10,M3453&lt;=원인분석!$C$11),"당기",IF(AND(M3453&gt;=원인분석!$C$12,M3453&lt;=원인분석!$C$13),"비교",""))))</f>
        <v/>
      </c>
      <c r="R3453" s="9">
        <f>IF(Q3453="","",$K3453&amp;"")</f>
        <v/>
      </c>
      <c r="S3453" s="9">
        <f>IF(Q3453="","",IF(MATCH(R3453,$R$5:$R$100000,0)=ROW()-4,ROW(),""))</f>
        <v/>
      </c>
      <c r="T3453" s="9">
        <f>IF(Q3453="당기",ABS(P3453)+ROW()/1000000000,"")</f>
        <v/>
      </c>
      <c r="U3453" s="9">
        <f>IF(Q3453="비교",ABS(P3453)+ROW()/1000000000,"")</f>
        <v/>
      </c>
      <c r="V3453" s="64">
        <f>IF($A3453="","",IF(COUNTIF(변동분석!$E$7:$E$506,O3453)&gt;0,"Y","N"))</f>
        <v/>
      </c>
      <c r="W3453" s="64">
        <f>IF($A3453="","",IFERROR(INDEX(계정매핑!$D$5:$D$504,MATCH($F3453&amp;"",계정매핑!$A$5:$A$504,0)),"미매핑"))</f>
        <v/>
      </c>
      <c r="X3453" s="9">
        <f>IF($A3453="","",$F3453&amp;"")</f>
        <v/>
      </c>
      <c r="Y3453" s="94">
        <f>IF($A3453="",0,IF(AE3453="직접",IF(AF3453="비귀속",$P3453,0),$P3453*(1-AG3453)*IFERROR(INDEX(계정대체기준!$F$20:$F$49,MATCH($N3453,계정대체기준!$A$20:$A$49,0)),1)))</f>
        <v/>
      </c>
      <c r="Z3453" s="94">
        <f>IF($A3453="",0,IF(AE3453="직접",IF(AF3453="신계약비",$P3453,0),$P3453*(1-AG3453)*IFERROR(INDEX(계정대체기준!$C$20:$C$49,MATCH($N3453,계정대체기준!$A$20:$A$49,0)),0)))</f>
        <v/>
      </c>
      <c r="AA3453" s="94">
        <f>IF($A3453="",0,IF(AE3453="직접",IF(OR(AF3453="유지비",AF3453="손해조사비"),$P3453,0),$P3453*(1-AG3453)*IFERROR(INDEX(계정대체기준!$D$20:$D$49,MATCH($N3453,계정대체기준!$A$20:$A$49,0)),0)))</f>
        <v/>
      </c>
      <c r="AB3453" s="94">
        <f>IF($A3453="",0,IF(AE3453="직접",IF(AF3453="수금비",$P3453,0),$P3453*(1-AG3453)*IFERROR(INDEX(계정대체기준!$E$20:$E$49,MATCH($N3453,계정대체기준!$A$20:$A$49,0)),0)))</f>
        <v/>
      </c>
      <c r="AC3453" s="9">
        <f>IF(AND($A3453&lt;&gt;"",M3453=설정!$C$20,Z3453&gt;0),Z3453+ROW()/1000000000,"")</f>
        <v/>
      </c>
      <c r="AD3453" s="94">
        <f>IF($A3453="",0,$P3453*AG3453)</f>
        <v/>
      </c>
      <c r="AE3453" s="64">
        <f>IF($A3453="","",IFERROR(INDEX(계정매핑!$E$5:$E$504,MATCH($F3453&amp;"",계정매핑!$A$5:$A$504,0))&amp;"","공통비"))</f>
        <v/>
      </c>
      <c r="AF3453" s="64">
        <f>IF($A3453="","",IF(AE3453="직접",IFERROR(INDEX(계정매핑!$F$5:$F$504,MATCH($F3453&amp;"",계정매핑!$A$5:$A$504,0))&amp;"","비귀속"),""))</f>
        <v/>
      </c>
      <c r="AG3453" s="96">
        <f>IF($A3453="",0,IF(AND(AE3453&lt;&gt;"직접",IFERROR(INDEX(계정매핑!$G$5:$G$504,MATCH($F3453&amp;"",계정매핑!$A$5:$A$504,0))&amp;"","")="유지비",COUNTIF(계정대체기준!$A$6:$A$15,$N3453)&gt;0),IFERROR(INDEX(계정대체기준!$E$6:$E$15,MATCH(VALUE($A3453&amp;""),계정대체기준!$D$6:$D$15,0)),0),0))</f>
        <v/>
      </c>
      <c r="AH3453" s="64">
        <f>IF($A3453="","",IF(AD3453=0,"",IF(OR(COUNTIF(계정대체기준!$A$77:$A$86,$N3453)&gt;0,ISNUMBER(MATCH($X3453,계정대체기준!$D$77:$D$86,0)),ISNUMBER(MATCH($F3453,계정대체기준!$D$77:$D$86,0))),"Y","N")))</f>
        <v/>
      </c>
    </row>
    <row r="3454">
      <c r="A3454" s="92" t="n">
        <v>2026</v>
      </c>
      <c r="B3454" s="92" t="n">
        <v>4</v>
      </c>
      <c r="C3454" s="92" t="inlineStr">
        <is>
          <t>5100000732</t>
        </is>
      </c>
      <c r="D3454" s="95" t="n">
        <v>46119</v>
      </c>
      <c r="E3454" s="92" t="inlineStr">
        <is>
          <t>KR</t>
        </is>
      </c>
      <c r="F3454" s="92" t="n">
        <v>62301000</v>
      </c>
      <c r="G3454" s="92" t="n">
        <v>1201</v>
      </c>
      <c r="H3454" s="93" t="n">
        <v>333000</v>
      </c>
      <c r="I3454" s="92" t="inlineStr">
        <is>
          <t>4월 소모품 구입 - R문구</t>
        </is>
      </c>
      <c r="J3454" s="92" t="inlineStr">
        <is>
          <t>V10022</t>
        </is>
      </c>
      <c r="K3454" s="92" t="inlineStr">
        <is>
          <t>R문구</t>
        </is>
      </c>
      <c r="M3454" s="9">
        <f>IF($A3454="","",VALUE($A3454&amp;"")*12+VALUE($B3454&amp;""))</f>
        <v/>
      </c>
      <c r="N3454" s="64">
        <f>IF($A3454="","",IFERROR(INDEX(부서매핑!$C$5:$C$504,MATCH($G3454&amp;"",부서매핑!$A$5:$A$504,0)),"미매핑"))</f>
        <v/>
      </c>
      <c r="O3454" s="9">
        <f>IF($A3454="","",N3454&amp;"|"&amp;$F3454)</f>
        <v/>
      </c>
      <c r="P3454" s="94">
        <f>IF($A3454="",0,$H3454*설정!$C$23)</f>
        <v/>
      </c>
      <c r="Q3454" s="64">
        <f>IF($A3454="","",IF(O3454&lt;&gt;원인분석!$C$9,"",IF(AND(M3454&gt;=원인분석!$C$10,M3454&lt;=원인분석!$C$11),"당기",IF(AND(M3454&gt;=원인분석!$C$12,M3454&lt;=원인분석!$C$13),"비교",""))))</f>
        <v/>
      </c>
      <c r="R3454" s="9">
        <f>IF(Q3454="","",$K3454&amp;"")</f>
        <v/>
      </c>
      <c r="S3454" s="9">
        <f>IF(Q3454="","",IF(MATCH(R3454,$R$5:$R$100000,0)=ROW()-4,ROW(),""))</f>
        <v/>
      </c>
      <c r="T3454" s="9">
        <f>IF(Q3454="당기",ABS(P3454)+ROW()/1000000000,"")</f>
        <v/>
      </c>
      <c r="U3454" s="9">
        <f>IF(Q3454="비교",ABS(P3454)+ROW()/1000000000,"")</f>
        <v/>
      </c>
      <c r="V3454" s="64">
        <f>IF($A3454="","",IF(COUNTIF(변동분석!$E$7:$E$506,O3454)&gt;0,"Y","N"))</f>
        <v/>
      </c>
      <c r="W3454" s="64">
        <f>IF($A3454="","",IFERROR(INDEX(계정매핑!$D$5:$D$504,MATCH($F3454&amp;"",계정매핑!$A$5:$A$504,0)),"미매핑"))</f>
        <v/>
      </c>
      <c r="X3454" s="9">
        <f>IF($A3454="","",$F3454&amp;"")</f>
        <v/>
      </c>
      <c r="Y3454" s="94">
        <f>IF($A3454="",0,IF(AE3454="직접",IF(AF3454="비귀속",$P3454,0),$P3454*(1-AG3454)*IFERROR(INDEX(계정대체기준!$F$20:$F$49,MATCH($N3454,계정대체기준!$A$20:$A$49,0)),1)))</f>
        <v/>
      </c>
      <c r="Z3454" s="94">
        <f>IF($A3454="",0,IF(AE3454="직접",IF(AF3454="신계약비",$P3454,0),$P3454*(1-AG3454)*IFERROR(INDEX(계정대체기준!$C$20:$C$49,MATCH($N3454,계정대체기준!$A$20:$A$49,0)),0)))</f>
        <v/>
      </c>
      <c r="AA3454" s="94">
        <f>IF($A3454="",0,IF(AE3454="직접",IF(OR(AF3454="유지비",AF3454="손해조사비"),$P3454,0),$P3454*(1-AG3454)*IFERROR(INDEX(계정대체기준!$D$20:$D$49,MATCH($N3454,계정대체기준!$A$20:$A$49,0)),0)))</f>
        <v/>
      </c>
      <c r="AB3454" s="94">
        <f>IF($A3454="",0,IF(AE3454="직접",IF(AF3454="수금비",$P3454,0),$P3454*(1-AG3454)*IFERROR(INDEX(계정대체기준!$E$20:$E$49,MATCH($N3454,계정대체기준!$A$20:$A$49,0)),0)))</f>
        <v/>
      </c>
      <c r="AC3454" s="9">
        <f>IF(AND($A3454&lt;&gt;"",M3454=설정!$C$20,Z3454&gt;0),Z3454+ROW()/1000000000,"")</f>
        <v/>
      </c>
      <c r="AD3454" s="94">
        <f>IF($A3454="",0,$P3454*AG3454)</f>
        <v/>
      </c>
      <c r="AE3454" s="64">
        <f>IF($A3454="","",IFERROR(INDEX(계정매핑!$E$5:$E$504,MATCH($F3454&amp;"",계정매핑!$A$5:$A$504,0))&amp;"","공통비"))</f>
        <v/>
      </c>
      <c r="AF3454" s="64">
        <f>IF($A3454="","",IF(AE3454="직접",IFERROR(INDEX(계정매핑!$F$5:$F$504,MATCH($F3454&amp;"",계정매핑!$A$5:$A$504,0))&amp;"","비귀속"),""))</f>
        <v/>
      </c>
      <c r="AG3454" s="96">
        <f>IF($A3454="",0,IF(AND(AE3454&lt;&gt;"직접",IFERROR(INDEX(계정매핑!$G$5:$G$504,MATCH($F3454&amp;"",계정매핑!$A$5:$A$504,0))&amp;"","")="유지비",COUNTIF(계정대체기준!$A$6:$A$15,$N3454)&gt;0),IFERROR(INDEX(계정대체기준!$E$6:$E$15,MATCH(VALUE($A3454&amp;""),계정대체기준!$D$6:$D$15,0)),0),0))</f>
        <v/>
      </c>
      <c r="AH3454" s="64">
        <f>IF($A3454="","",IF(AD3454=0,"",IF(OR(COUNTIF(계정대체기준!$A$77:$A$86,$N3454)&gt;0,ISNUMBER(MATCH($X3454,계정대체기준!$D$77:$D$86,0)),ISNUMBER(MATCH($F3454,계정대체기준!$D$77:$D$86,0))),"Y","N")))</f>
        <v/>
      </c>
    </row>
    <row r="3455">
      <c r="A3455" s="92" t="n">
        <v>2026</v>
      </c>
      <c r="B3455" s="92" t="n">
        <v>4</v>
      </c>
      <c r="C3455" s="92" t="inlineStr">
        <is>
          <t>5100000733</t>
        </is>
      </c>
      <c r="D3455" s="95" t="n">
        <v>46119</v>
      </c>
      <c r="E3455" s="92" t="inlineStr">
        <is>
          <t>KR</t>
        </is>
      </c>
      <c r="F3455" s="92" t="n">
        <v>62501000</v>
      </c>
      <c r="G3455" s="92" t="n">
        <v>1301</v>
      </c>
      <c r="H3455" s="93" t="n">
        <v>185000</v>
      </c>
      <c r="I3455" s="92" t="inlineStr">
        <is>
          <t>4월 회의 다과 - T케이터링</t>
        </is>
      </c>
      <c r="J3455" s="92" t="inlineStr">
        <is>
          <t>V10005</t>
        </is>
      </c>
      <c r="K3455" s="92" t="inlineStr">
        <is>
          <t>T케이터링</t>
        </is>
      </c>
      <c r="M3455" s="9">
        <f>IF($A3455="","",VALUE($A3455&amp;"")*12+VALUE($B3455&amp;""))</f>
        <v/>
      </c>
      <c r="N3455" s="64">
        <f>IF($A3455="","",IFERROR(INDEX(부서매핑!$C$5:$C$504,MATCH($G3455&amp;"",부서매핑!$A$5:$A$504,0)),"미매핑"))</f>
        <v/>
      </c>
      <c r="O3455" s="9">
        <f>IF($A3455="","",N3455&amp;"|"&amp;$F3455)</f>
        <v/>
      </c>
      <c r="P3455" s="94">
        <f>IF($A3455="",0,$H3455*설정!$C$23)</f>
        <v/>
      </c>
      <c r="Q3455" s="64">
        <f>IF($A3455="","",IF(O3455&lt;&gt;원인분석!$C$9,"",IF(AND(M3455&gt;=원인분석!$C$10,M3455&lt;=원인분석!$C$11),"당기",IF(AND(M3455&gt;=원인분석!$C$12,M3455&lt;=원인분석!$C$13),"비교",""))))</f>
        <v/>
      </c>
      <c r="R3455" s="9">
        <f>IF(Q3455="","",$K3455&amp;"")</f>
        <v/>
      </c>
      <c r="S3455" s="9">
        <f>IF(Q3455="","",IF(MATCH(R3455,$R$5:$R$100000,0)=ROW()-4,ROW(),""))</f>
        <v/>
      </c>
      <c r="T3455" s="9">
        <f>IF(Q3455="당기",ABS(P3455)+ROW()/1000000000,"")</f>
        <v/>
      </c>
      <c r="U3455" s="9">
        <f>IF(Q3455="비교",ABS(P3455)+ROW()/1000000000,"")</f>
        <v/>
      </c>
      <c r="V3455" s="64">
        <f>IF($A3455="","",IF(COUNTIF(변동분석!$E$7:$E$506,O3455)&gt;0,"Y","N"))</f>
        <v/>
      </c>
      <c r="W3455" s="64">
        <f>IF($A3455="","",IFERROR(INDEX(계정매핑!$D$5:$D$504,MATCH($F3455&amp;"",계정매핑!$A$5:$A$504,0)),"미매핑"))</f>
        <v/>
      </c>
      <c r="X3455" s="9">
        <f>IF($A3455="","",$F3455&amp;"")</f>
        <v/>
      </c>
      <c r="Y3455" s="94">
        <f>IF($A3455="",0,IF(AE3455="직접",IF(AF3455="비귀속",$P3455,0),$P3455*(1-AG3455)*IFERROR(INDEX(계정대체기준!$F$20:$F$49,MATCH($N3455,계정대체기준!$A$20:$A$49,0)),1)))</f>
        <v/>
      </c>
      <c r="Z3455" s="94">
        <f>IF($A3455="",0,IF(AE3455="직접",IF(AF3455="신계약비",$P3455,0),$P3455*(1-AG3455)*IFERROR(INDEX(계정대체기준!$C$20:$C$49,MATCH($N3455,계정대체기준!$A$20:$A$49,0)),0)))</f>
        <v/>
      </c>
      <c r="AA3455" s="94">
        <f>IF($A3455="",0,IF(AE3455="직접",IF(OR(AF3455="유지비",AF3455="손해조사비"),$P3455,0),$P3455*(1-AG3455)*IFERROR(INDEX(계정대체기준!$D$20:$D$49,MATCH($N3455,계정대체기준!$A$20:$A$49,0)),0)))</f>
        <v/>
      </c>
      <c r="AB3455" s="94">
        <f>IF($A3455="",0,IF(AE3455="직접",IF(AF3455="수금비",$P3455,0),$P3455*(1-AG3455)*IFERROR(INDEX(계정대체기준!$E$20:$E$49,MATCH($N3455,계정대체기준!$A$20:$A$49,0)),0)))</f>
        <v/>
      </c>
      <c r="AC3455" s="9">
        <f>IF(AND($A3455&lt;&gt;"",M3455=설정!$C$20,Z3455&gt;0),Z3455+ROW()/1000000000,"")</f>
        <v/>
      </c>
      <c r="AD3455" s="94">
        <f>IF($A3455="",0,$P3455*AG3455)</f>
        <v/>
      </c>
      <c r="AE3455" s="64">
        <f>IF($A3455="","",IFERROR(INDEX(계정매핑!$E$5:$E$504,MATCH($F3455&amp;"",계정매핑!$A$5:$A$504,0))&amp;"","공통비"))</f>
        <v/>
      </c>
      <c r="AF3455" s="64">
        <f>IF($A3455="","",IF(AE3455="직접",IFERROR(INDEX(계정매핑!$F$5:$F$504,MATCH($F3455&amp;"",계정매핑!$A$5:$A$504,0))&amp;"","비귀속"),""))</f>
        <v/>
      </c>
      <c r="AG3455" s="96">
        <f>IF($A3455="",0,IF(AND(AE3455&lt;&gt;"직접",IFERROR(INDEX(계정매핑!$G$5:$G$504,MATCH($F3455&amp;"",계정매핑!$A$5:$A$504,0))&amp;"","")="유지비",COUNTIF(계정대체기준!$A$6:$A$15,$N3455)&gt;0),IFERROR(INDEX(계정대체기준!$E$6:$E$15,MATCH(VALUE($A3455&amp;""),계정대체기준!$D$6:$D$15,0)),0),0))</f>
        <v/>
      </c>
      <c r="AH3455" s="64">
        <f>IF($A3455="","",IF(AD3455=0,"",IF(OR(COUNTIF(계정대체기준!$A$77:$A$86,$N3455)&gt;0,ISNUMBER(MATCH($X3455,계정대체기준!$D$77:$D$86,0)),ISNUMBER(MATCH($F3455,계정대체기준!$D$77:$D$86,0))),"Y","N")))</f>
        <v/>
      </c>
    </row>
    <row r="3456">
      <c r="A3456" s="92" t="n">
        <v>2026</v>
      </c>
      <c r="B3456" s="92" t="n">
        <v>4</v>
      </c>
      <c r="C3456" s="92" t="inlineStr">
        <is>
          <t>5100000734</t>
        </is>
      </c>
      <c r="D3456" s="95" t="n">
        <v>46119</v>
      </c>
      <c r="E3456" s="92" t="inlineStr">
        <is>
          <t>KR</t>
        </is>
      </c>
      <c r="F3456" s="92" t="n">
        <v>62901000</v>
      </c>
      <c r="G3456" s="92" t="n">
        <v>1201</v>
      </c>
      <c r="H3456" s="93" t="n">
        <v>6512000</v>
      </c>
      <c r="I3456" s="92" t="inlineStr">
        <is>
          <t>4월 자문 수수료 - W컨설팅</t>
        </is>
      </c>
      <c r="J3456" s="92" t="inlineStr">
        <is>
          <t>V10006</t>
        </is>
      </c>
      <c r="K3456" s="92" t="inlineStr">
        <is>
          <t>W컨설팅</t>
        </is>
      </c>
      <c r="M3456" s="9">
        <f>IF($A3456="","",VALUE($A3456&amp;"")*12+VALUE($B3456&amp;""))</f>
        <v/>
      </c>
      <c r="N3456" s="64">
        <f>IF($A3456="","",IFERROR(INDEX(부서매핑!$C$5:$C$504,MATCH($G3456&amp;"",부서매핑!$A$5:$A$504,0)),"미매핑"))</f>
        <v/>
      </c>
      <c r="O3456" s="9">
        <f>IF($A3456="","",N3456&amp;"|"&amp;$F3456)</f>
        <v/>
      </c>
      <c r="P3456" s="94">
        <f>IF($A3456="",0,$H3456*설정!$C$23)</f>
        <v/>
      </c>
      <c r="Q3456" s="64">
        <f>IF($A3456="","",IF(O3456&lt;&gt;원인분석!$C$9,"",IF(AND(M3456&gt;=원인분석!$C$10,M3456&lt;=원인분석!$C$11),"당기",IF(AND(M3456&gt;=원인분석!$C$12,M3456&lt;=원인분석!$C$13),"비교",""))))</f>
        <v/>
      </c>
      <c r="R3456" s="9">
        <f>IF(Q3456="","",$K3456&amp;"")</f>
        <v/>
      </c>
      <c r="S3456" s="9">
        <f>IF(Q3456="","",IF(MATCH(R3456,$R$5:$R$100000,0)=ROW()-4,ROW(),""))</f>
        <v/>
      </c>
      <c r="T3456" s="9">
        <f>IF(Q3456="당기",ABS(P3456)+ROW()/1000000000,"")</f>
        <v/>
      </c>
      <c r="U3456" s="9">
        <f>IF(Q3456="비교",ABS(P3456)+ROW()/1000000000,"")</f>
        <v/>
      </c>
      <c r="V3456" s="64">
        <f>IF($A3456="","",IF(COUNTIF(변동분석!$E$7:$E$506,O3456)&gt;0,"Y","N"))</f>
        <v/>
      </c>
      <c r="W3456" s="64">
        <f>IF($A3456="","",IFERROR(INDEX(계정매핑!$D$5:$D$504,MATCH($F3456&amp;"",계정매핑!$A$5:$A$504,0)),"미매핑"))</f>
        <v/>
      </c>
      <c r="X3456" s="9">
        <f>IF($A3456="","",$F3456&amp;"")</f>
        <v/>
      </c>
      <c r="Y3456" s="94">
        <f>IF($A3456="",0,IF(AE3456="직접",IF(AF3456="비귀속",$P3456,0),$P3456*(1-AG3456)*IFERROR(INDEX(계정대체기준!$F$20:$F$49,MATCH($N3456,계정대체기준!$A$20:$A$49,0)),1)))</f>
        <v/>
      </c>
      <c r="Z3456" s="94">
        <f>IF($A3456="",0,IF(AE3456="직접",IF(AF3456="신계약비",$P3456,0),$P3456*(1-AG3456)*IFERROR(INDEX(계정대체기준!$C$20:$C$49,MATCH($N3456,계정대체기준!$A$20:$A$49,0)),0)))</f>
        <v/>
      </c>
      <c r="AA3456" s="94">
        <f>IF($A3456="",0,IF(AE3456="직접",IF(OR(AF3456="유지비",AF3456="손해조사비"),$P3456,0),$P3456*(1-AG3456)*IFERROR(INDEX(계정대체기준!$D$20:$D$49,MATCH($N3456,계정대체기준!$A$20:$A$49,0)),0)))</f>
        <v/>
      </c>
      <c r="AB3456" s="94">
        <f>IF($A3456="",0,IF(AE3456="직접",IF(AF3456="수금비",$P3456,0),$P3456*(1-AG3456)*IFERROR(INDEX(계정대체기준!$E$20:$E$49,MATCH($N3456,계정대체기준!$A$20:$A$49,0)),0)))</f>
        <v/>
      </c>
      <c r="AC3456" s="9">
        <f>IF(AND($A3456&lt;&gt;"",M3456=설정!$C$20,Z3456&gt;0),Z3456+ROW()/1000000000,"")</f>
        <v/>
      </c>
      <c r="AD3456" s="94">
        <f>IF($A3456="",0,$P3456*AG3456)</f>
        <v/>
      </c>
      <c r="AE3456" s="64">
        <f>IF($A3456="","",IFERROR(INDEX(계정매핑!$E$5:$E$504,MATCH($F3456&amp;"",계정매핑!$A$5:$A$504,0))&amp;"","공통비"))</f>
        <v/>
      </c>
      <c r="AF3456" s="64">
        <f>IF($A3456="","",IF(AE3456="직접",IFERROR(INDEX(계정매핑!$F$5:$F$504,MATCH($F3456&amp;"",계정매핑!$A$5:$A$504,0))&amp;"","비귀속"),""))</f>
        <v/>
      </c>
      <c r="AG3456" s="96">
        <f>IF($A3456="",0,IF(AND(AE3456&lt;&gt;"직접",IFERROR(INDEX(계정매핑!$G$5:$G$504,MATCH($F3456&amp;"",계정매핑!$A$5:$A$504,0))&amp;"","")="유지비",COUNTIF(계정대체기준!$A$6:$A$15,$N3456)&gt;0),IFERROR(INDEX(계정대체기준!$E$6:$E$15,MATCH(VALUE($A3456&amp;""),계정대체기준!$D$6:$D$15,0)),0),0))</f>
        <v/>
      </c>
      <c r="AH3456" s="64">
        <f>IF($A3456="","",IF(AD3456=0,"",IF(OR(COUNTIF(계정대체기준!$A$77:$A$86,$N3456)&gt;0,ISNUMBER(MATCH($X3456,계정대체기준!$D$77:$D$86,0)),ISNUMBER(MATCH($F3456,계정대체기준!$D$77:$D$86,0))),"Y","N")))</f>
        <v/>
      </c>
    </row>
    <row r="3457">
      <c r="A3457" s="92" t="n">
        <v>2026</v>
      </c>
      <c r="B3457" s="92" t="n">
        <v>4</v>
      </c>
      <c r="C3457" s="92" t="inlineStr">
        <is>
          <t>5100000735</t>
        </is>
      </c>
      <c r="D3457" s="95" t="n">
        <v>46119</v>
      </c>
      <c r="E3457" s="92" t="inlineStr">
        <is>
          <t>KR</t>
        </is>
      </c>
      <c r="F3457" s="92" t="n">
        <v>62902000</v>
      </c>
      <c r="G3457" s="92" t="n">
        <v>1951</v>
      </c>
      <c r="H3457" s="93" t="n">
        <v>1767000</v>
      </c>
      <c r="I3457" s="92" t="inlineStr">
        <is>
          <t>4월 업무 위탁 수수료 - X서비스</t>
        </is>
      </c>
      <c r="J3457" s="92" t="inlineStr">
        <is>
          <t>V10020</t>
        </is>
      </c>
      <c r="K3457" s="92" t="inlineStr">
        <is>
          <t>X서비스</t>
        </is>
      </c>
      <c r="M3457" s="9">
        <f>IF($A3457="","",VALUE($A3457&amp;"")*12+VALUE($B3457&amp;""))</f>
        <v/>
      </c>
      <c r="N3457" s="64">
        <f>IF($A3457="","",IFERROR(INDEX(부서매핑!$C$5:$C$504,MATCH($G3457&amp;"",부서매핑!$A$5:$A$504,0)),"미매핑"))</f>
        <v/>
      </c>
      <c r="O3457" s="9">
        <f>IF($A3457="","",N3457&amp;"|"&amp;$F3457)</f>
        <v/>
      </c>
      <c r="P3457" s="94">
        <f>IF($A3457="",0,$H3457*설정!$C$23)</f>
        <v/>
      </c>
      <c r="Q3457" s="64">
        <f>IF($A3457="","",IF(O3457&lt;&gt;원인분석!$C$9,"",IF(AND(M3457&gt;=원인분석!$C$10,M3457&lt;=원인분석!$C$11),"당기",IF(AND(M3457&gt;=원인분석!$C$12,M3457&lt;=원인분석!$C$13),"비교",""))))</f>
        <v/>
      </c>
      <c r="R3457" s="9">
        <f>IF(Q3457="","",$K3457&amp;"")</f>
        <v/>
      </c>
      <c r="S3457" s="9">
        <f>IF(Q3457="","",IF(MATCH(R3457,$R$5:$R$100000,0)=ROW()-4,ROW(),""))</f>
        <v/>
      </c>
      <c r="T3457" s="9">
        <f>IF(Q3457="당기",ABS(P3457)+ROW()/1000000000,"")</f>
        <v/>
      </c>
      <c r="U3457" s="9">
        <f>IF(Q3457="비교",ABS(P3457)+ROW()/1000000000,"")</f>
        <v/>
      </c>
      <c r="V3457" s="64">
        <f>IF($A3457="","",IF(COUNTIF(변동분석!$E$7:$E$506,O3457)&gt;0,"Y","N"))</f>
        <v/>
      </c>
      <c r="W3457" s="64">
        <f>IF($A3457="","",IFERROR(INDEX(계정매핑!$D$5:$D$504,MATCH($F3457&amp;"",계정매핑!$A$5:$A$504,0)),"미매핑"))</f>
        <v/>
      </c>
      <c r="X3457" s="9">
        <f>IF($A3457="","",$F3457&amp;"")</f>
        <v/>
      </c>
      <c r="Y3457" s="94">
        <f>IF($A3457="",0,IF(AE3457="직접",IF(AF3457="비귀속",$P3457,0),$P3457*(1-AG3457)*IFERROR(INDEX(계정대체기준!$F$20:$F$49,MATCH($N3457,계정대체기준!$A$20:$A$49,0)),1)))</f>
        <v/>
      </c>
      <c r="Z3457" s="94">
        <f>IF($A3457="",0,IF(AE3457="직접",IF(AF3457="신계약비",$P3457,0),$P3457*(1-AG3457)*IFERROR(INDEX(계정대체기준!$C$20:$C$49,MATCH($N3457,계정대체기준!$A$20:$A$49,0)),0)))</f>
        <v/>
      </c>
      <c r="AA3457" s="94">
        <f>IF($A3457="",0,IF(AE3457="직접",IF(OR(AF3457="유지비",AF3457="손해조사비"),$P3457,0),$P3457*(1-AG3457)*IFERROR(INDEX(계정대체기준!$D$20:$D$49,MATCH($N3457,계정대체기준!$A$20:$A$49,0)),0)))</f>
        <v/>
      </c>
      <c r="AB3457" s="94">
        <f>IF($A3457="",0,IF(AE3457="직접",IF(AF3457="수금비",$P3457,0),$P3457*(1-AG3457)*IFERROR(INDEX(계정대체기준!$E$20:$E$49,MATCH($N3457,계정대체기준!$A$20:$A$49,0)),0)))</f>
        <v/>
      </c>
      <c r="AC3457" s="9">
        <f>IF(AND($A3457&lt;&gt;"",M3457=설정!$C$20,Z3457&gt;0),Z3457+ROW()/1000000000,"")</f>
        <v/>
      </c>
      <c r="AD3457" s="94">
        <f>IF($A3457="",0,$P3457*AG3457)</f>
        <v/>
      </c>
      <c r="AE3457" s="64">
        <f>IF($A3457="","",IFERROR(INDEX(계정매핑!$E$5:$E$504,MATCH($F3457&amp;"",계정매핑!$A$5:$A$504,0))&amp;"","공통비"))</f>
        <v/>
      </c>
      <c r="AF3457" s="64">
        <f>IF($A3457="","",IF(AE3457="직접",IFERROR(INDEX(계정매핑!$F$5:$F$504,MATCH($F3457&amp;"",계정매핑!$A$5:$A$504,0))&amp;"","비귀속"),""))</f>
        <v/>
      </c>
      <c r="AG3457" s="96">
        <f>IF($A3457="",0,IF(AND(AE3457&lt;&gt;"직접",IFERROR(INDEX(계정매핑!$G$5:$G$504,MATCH($F3457&amp;"",계정매핑!$A$5:$A$504,0))&amp;"","")="유지비",COUNTIF(계정대체기준!$A$6:$A$15,$N3457)&gt;0),IFERROR(INDEX(계정대체기준!$E$6:$E$15,MATCH(VALUE($A3457&amp;""),계정대체기준!$D$6:$D$15,0)),0),0))</f>
        <v/>
      </c>
      <c r="AH3457" s="64">
        <f>IF($A3457="","",IF(AD3457=0,"",IF(OR(COUNTIF(계정대체기준!$A$77:$A$86,$N3457)&gt;0,ISNUMBER(MATCH($X3457,계정대체기준!$D$77:$D$86,0)),ISNUMBER(MATCH($F3457,계정대체기준!$D$77:$D$86,0))),"Y","N")))</f>
        <v/>
      </c>
    </row>
    <row r="3458">
      <c r="A3458" s="92" t="n">
        <v>2026</v>
      </c>
      <c r="B3458" s="92" t="n">
        <v>4</v>
      </c>
      <c r="C3458" s="92" t="inlineStr">
        <is>
          <t>5100000736</t>
        </is>
      </c>
      <c r="D3458" s="95" t="n">
        <v>46119</v>
      </c>
      <c r="E3458" s="92" t="inlineStr">
        <is>
          <t>KR</t>
        </is>
      </c>
      <c r="F3458" s="92" t="n">
        <v>63501000</v>
      </c>
      <c r="G3458" s="92" t="n">
        <v>1902</v>
      </c>
      <c r="H3458" s="93" t="n">
        <v>341185000</v>
      </c>
      <c r="I3458" s="92" t="inlineStr">
        <is>
          <t>4월 모집수수료 - AA보험대리점</t>
        </is>
      </c>
      <c r="J3458" s="92" t="inlineStr">
        <is>
          <t>V10034</t>
        </is>
      </c>
      <c r="K3458" s="92" t="inlineStr">
        <is>
          <t>AA보험대리점</t>
        </is>
      </c>
      <c r="M3458" s="9">
        <f>IF($A3458="","",VALUE($A3458&amp;"")*12+VALUE($B3458&amp;""))</f>
        <v/>
      </c>
      <c r="N3458" s="64">
        <f>IF($A3458="","",IFERROR(INDEX(부서매핑!$C$5:$C$504,MATCH($G3458&amp;"",부서매핑!$A$5:$A$504,0)),"미매핑"))</f>
        <v/>
      </c>
      <c r="O3458" s="9">
        <f>IF($A3458="","",N3458&amp;"|"&amp;$F3458)</f>
        <v/>
      </c>
      <c r="P3458" s="94">
        <f>IF($A3458="",0,$H3458*설정!$C$23)</f>
        <v/>
      </c>
      <c r="Q3458" s="64">
        <f>IF($A3458="","",IF(O3458&lt;&gt;원인분석!$C$9,"",IF(AND(M3458&gt;=원인분석!$C$10,M3458&lt;=원인분석!$C$11),"당기",IF(AND(M3458&gt;=원인분석!$C$12,M3458&lt;=원인분석!$C$13),"비교",""))))</f>
        <v/>
      </c>
      <c r="R3458" s="9">
        <f>IF(Q3458="","",$K3458&amp;"")</f>
        <v/>
      </c>
      <c r="S3458" s="9">
        <f>IF(Q3458="","",IF(MATCH(R3458,$R$5:$R$100000,0)=ROW()-4,ROW(),""))</f>
        <v/>
      </c>
      <c r="T3458" s="9">
        <f>IF(Q3458="당기",ABS(P3458)+ROW()/1000000000,"")</f>
        <v/>
      </c>
      <c r="U3458" s="9">
        <f>IF(Q3458="비교",ABS(P3458)+ROW()/1000000000,"")</f>
        <v/>
      </c>
      <c r="V3458" s="64">
        <f>IF($A3458="","",IF(COUNTIF(변동분석!$E$7:$E$506,O3458)&gt;0,"Y","N"))</f>
        <v/>
      </c>
      <c r="W3458" s="64">
        <f>IF($A3458="","",IFERROR(INDEX(계정매핑!$D$5:$D$504,MATCH($F3458&amp;"",계정매핑!$A$5:$A$504,0)),"미매핑"))</f>
        <v/>
      </c>
      <c r="X3458" s="9">
        <f>IF($A3458="","",$F3458&amp;"")</f>
        <v/>
      </c>
      <c r="Y3458" s="94">
        <f>IF($A3458="",0,IF(AE3458="직접",IF(AF3458="비귀속",$P3458,0),$P3458*(1-AG3458)*IFERROR(INDEX(계정대체기준!$F$20:$F$49,MATCH($N3458,계정대체기준!$A$20:$A$49,0)),1)))</f>
        <v/>
      </c>
      <c r="Z3458" s="94">
        <f>IF($A3458="",0,IF(AE3458="직접",IF(AF3458="신계약비",$P3458,0),$P3458*(1-AG3458)*IFERROR(INDEX(계정대체기준!$C$20:$C$49,MATCH($N3458,계정대체기준!$A$20:$A$49,0)),0)))</f>
        <v/>
      </c>
      <c r="AA3458" s="94">
        <f>IF($A3458="",0,IF(AE3458="직접",IF(OR(AF3458="유지비",AF3458="손해조사비"),$P3458,0),$P3458*(1-AG3458)*IFERROR(INDEX(계정대체기준!$D$20:$D$49,MATCH($N3458,계정대체기준!$A$20:$A$49,0)),0)))</f>
        <v/>
      </c>
      <c r="AB3458" s="94">
        <f>IF($A3458="",0,IF(AE3458="직접",IF(AF3458="수금비",$P3458,0),$P3458*(1-AG3458)*IFERROR(INDEX(계정대체기준!$E$20:$E$49,MATCH($N3458,계정대체기준!$A$20:$A$49,0)),0)))</f>
        <v/>
      </c>
      <c r="AC3458" s="9">
        <f>IF(AND($A3458&lt;&gt;"",M3458=설정!$C$20,Z3458&gt;0),Z3458+ROW()/1000000000,"")</f>
        <v/>
      </c>
      <c r="AD3458" s="94">
        <f>IF($A3458="",0,$P3458*AG3458)</f>
        <v/>
      </c>
      <c r="AE3458" s="64">
        <f>IF($A3458="","",IFERROR(INDEX(계정매핑!$E$5:$E$504,MATCH($F3458&amp;"",계정매핑!$A$5:$A$504,0))&amp;"","공통비"))</f>
        <v/>
      </c>
      <c r="AF3458" s="64">
        <f>IF($A3458="","",IF(AE3458="직접",IFERROR(INDEX(계정매핑!$F$5:$F$504,MATCH($F3458&amp;"",계정매핑!$A$5:$A$504,0))&amp;"","비귀속"),""))</f>
        <v/>
      </c>
      <c r="AG3458" s="96">
        <f>IF($A3458="",0,IF(AND(AE3458&lt;&gt;"직접",IFERROR(INDEX(계정매핑!$G$5:$G$504,MATCH($F3458&amp;"",계정매핑!$A$5:$A$504,0))&amp;"","")="유지비",COUNTIF(계정대체기준!$A$6:$A$15,$N3458)&gt;0),IFERROR(INDEX(계정대체기준!$E$6:$E$15,MATCH(VALUE($A3458&amp;""),계정대체기준!$D$6:$D$15,0)),0),0))</f>
        <v/>
      </c>
      <c r="AH3458" s="64">
        <f>IF($A3458="","",IF(AD3458=0,"",IF(OR(COUNTIF(계정대체기준!$A$77:$A$86,$N3458)&gt;0,ISNUMBER(MATCH($X3458,계정대체기준!$D$77:$D$86,0)),ISNUMBER(MATCH($F3458,계정대체기준!$D$77:$D$86,0))),"Y","N")))</f>
        <v/>
      </c>
    </row>
    <row r="3459">
      <c r="A3459" s="92" t="n">
        <v>2026</v>
      </c>
      <c r="B3459" s="92" t="n">
        <v>4</v>
      </c>
      <c r="C3459" s="92" t="inlineStr">
        <is>
          <t>5100000737</t>
        </is>
      </c>
      <c r="D3459" s="95" t="n">
        <v>46120</v>
      </c>
      <c r="E3459" s="92" t="inlineStr">
        <is>
          <t>KR</t>
        </is>
      </c>
      <c r="F3459" s="92" t="n">
        <v>62101000</v>
      </c>
      <c r="G3459" s="92" t="n">
        <v>1201</v>
      </c>
      <c r="H3459" s="93" t="n">
        <v>115000</v>
      </c>
      <c r="I3459" s="92" t="inlineStr">
        <is>
          <t>4월 국내출장 - L여행사</t>
        </is>
      </c>
      <c r="J3459" s="92" t="inlineStr">
        <is>
          <t>V10018</t>
        </is>
      </c>
      <c r="K3459" s="92" t="inlineStr">
        <is>
          <t>L여행사</t>
        </is>
      </c>
      <c r="M3459" s="9">
        <f>IF($A3459="","",VALUE($A3459&amp;"")*12+VALUE($B3459&amp;""))</f>
        <v/>
      </c>
      <c r="N3459" s="64">
        <f>IF($A3459="","",IFERROR(INDEX(부서매핑!$C$5:$C$504,MATCH($G3459&amp;"",부서매핑!$A$5:$A$504,0)),"미매핑"))</f>
        <v/>
      </c>
      <c r="O3459" s="9">
        <f>IF($A3459="","",N3459&amp;"|"&amp;$F3459)</f>
        <v/>
      </c>
      <c r="P3459" s="94">
        <f>IF($A3459="",0,$H3459*설정!$C$23)</f>
        <v/>
      </c>
      <c r="Q3459" s="64">
        <f>IF($A3459="","",IF(O3459&lt;&gt;원인분석!$C$9,"",IF(AND(M3459&gt;=원인분석!$C$10,M3459&lt;=원인분석!$C$11),"당기",IF(AND(M3459&gt;=원인분석!$C$12,M3459&lt;=원인분석!$C$13),"비교",""))))</f>
        <v/>
      </c>
      <c r="R3459" s="9">
        <f>IF(Q3459="","",$K3459&amp;"")</f>
        <v/>
      </c>
      <c r="S3459" s="9">
        <f>IF(Q3459="","",IF(MATCH(R3459,$R$5:$R$100000,0)=ROW()-4,ROW(),""))</f>
        <v/>
      </c>
      <c r="T3459" s="9">
        <f>IF(Q3459="당기",ABS(P3459)+ROW()/1000000000,"")</f>
        <v/>
      </c>
      <c r="U3459" s="9">
        <f>IF(Q3459="비교",ABS(P3459)+ROW()/1000000000,"")</f>
        <v/>
      </c>
      <c r="V3459" s="64">
        <f>IF($A3459="","",IF(COUNTIF(변동분석!$E$7:$E$506,O3459)&gt;0,"Y","N"))</f>
        <v/>
      </c>
      <c r="W3459" s="64">
        <f>IF($A3459="","",IFERROR(INDEX(계정매핑!$D$5:$D$504,MATCH($F3459&amp;"",계정매핑!$A$5:$A$504,0)),"미매핑"))</f>
        <v/>
      </c>
      <c r="X3459" s="9">
        <f>IF($A3459="","",$F3459&amp;"")</f>
        <v/>
      </c>
      <c r="Y3459" s="94">
        <f>IF($A3459="",0,IF(AE3459="직접",IF(AF3459="비귀속",$P3459,0),$P3459*(1-AG3459)*IFERROR(INDEX(계정대체기준!$F$20:$F$49,MATCH($N3459,계정대체기준!$A$20:$A$49,0)),1)))</f>
        <v/>
      </c>
      <c r="Z3459" s="94">
        <f>IF($A3459="",0,IF(AE3459="직접",IF(AF3459="신계약비",$P3459,0),$P3459*(1-AG3459)*IFERROR(INDEX(계정대체기준!$C$20:$C$49,MATCH($N3459,계정대체기준!$A$20:$A$49,0)),0)))</f>
        <v/>
      </c>
      <c r="AA3459" s="94">
        <f>IF($A3459="",0,IF(AE3459="직접",IF(OR(AF3459="유지비",AF3459="손해조사비"),$P3459,0),$P3459*(1-AG3459)*IFERROR(INDEX(계정대체기준!$D$20:$D$49,MATCH($N3459,계정대체기준!$A$20:$A$49,0)),0)))</f>
        <v/>
      </c>
      <c r="AB3459" s="94">
        <f>IF($A3459="",0,IF(AE3459="직접",IF(AF3459="수금비",$P3459,0),$P3459*(1-AG3459)*IFERROR(INDEX(계정대체기준!$E$20:$E$49,MATCH($N3459,계정대체기준!$A$20:$A$49,0)),0)))</f>
        <v/>
      </c>
      <c r="AC3459" s="9">
        <f>IF(AND($A3459&lt;&gt;"",M3459=설정!$C$20,Z3459&gt;0),Z3459+ROW()/1000000000,"")</f>
        <v/>
      </c>
      <c r="AD3459" s="94">
        <f>IF($A3459="",0,$P3459*AG3459)</f>
        <v/>
      </c>
      <c r="AE3459" s="64">
        <f>IF($A3459="","",IFERROR(INDEX(계정매핑!$E$5:$E$504,MATCH($F3459&amp;"",계정매핑!$A$5:$A$504,0))&amp;"","공통비"))</f>
        <v/>
      </c>
      <c r="AF3459" s="64">
        <f>IF($A3459="","",IF(AE3459="직접",IFERROR(INDEX(계정매핑!$F$5:$F$504,MATCH($F3459&amp;"",계정매핑!$A$5:$A$504,0))&amp;"","비귀속"),""))</f>
        <v/>
      </c>
      <c r="AG3459" s="96">
        <f>IF($A3459="",0,IF(AND(AE3459&lt;&gt;"직접",IFERROR(INDEX(계정매핑!$G$5:$G$504,MATCH($F3459&amp;"",계정매핑!$A$5:$A$504,0))&amp;"","")="유지비",COUNTIF(계정대체기준!$A$6:$A$15,$N3459)&gt;0),IFERROR(INDEX(계정대체기준!$E$6:$E$15,MATCH(VALUE($A3459&amp;""),계정대체기준!$D$6:$D$15,0)),0),0))</f>
        <v/>
      </c>
      <c r="AH3459" s="64">
        <f>IF($A3459="","",IF(AD3459=0,"",IF(OR(COUNTIF(계정대체기준!$A$77:$A$86,$N3459)&gt;0,ISNUMBER(MATCH($X3459,계정대체기준!$D$77:$D$86,0)),ISNUMBER(MATCH($F3459,계정대체기준!$D$77:$D$86,0))),"Y","N")))</f>
        <v/>
      </c>
    </row>
    <row r="3460">
      <c r="A3460" s="92" t="n">
        <v>2026</v>
      </c>
      <c r="B3460" s="92" t="n">
        <v>4</v>
      </c>
      <c r="C3460" s="92" t="inlineStr">
        <is>
          <t>5100000738</t>
        </is>
      </c>
      <c r="D3460" s="95" t="n">
        <v>46120</v>
      </c>
      <c r="E3460" s="92" t="inlineStr">
        <is>
          <t>KR</t>
        </is>
      </c>
      <c r="F3460" s="92" t="n">
        <v>62102000</v>
      </c>
      <c r="G3460" s="92" t="n">
        <v>1701</v>
      </c>
      <c r="H3460" s="93" t="n">
        <v>58000</v>
      </c>
      <c r="I3460" s="92" t="inlineStr">
        <is>
          <t>4월 해외출장 - N호텔</t>
        </is>
      </c>
      <c r="J3460" s="92" t="inlineStr">
        <is>
          <t>V10009</t>
        </is>
      </c>
      <c r="K3460" s="92" t="inlineStr">
        <is>
          <t>N호텔</t>
        </is>
      </c>
      <c r="M3460" s="9">
        <f>IF($A3460="","",VALUE($A3460&amp;"")*12+VALUE($B3460&amp;""))</f>
        <v/>
      </c>
      <c r="N3460" s="64">
        <f>IF($A3460="","",IFERROR(INDEX(부서매핑!$C$5:$C$504,MATCH($G3460&amp;"",부서매핑!$A$5:$A$504,0)),"미매핑"))</f>
        <v/>
      </c>
      <c r="O3460" s="9">
        <f>IF($A3460="","",N3460&amp;"|"&amp;$F3460)</f>
        <v/>
      </c>
      <c r="P3460" s="94">
        <f>IF($A3460="",0,$H3460*설정!$C$23)</f>
        <v/>
      </c>
      <c r="Q3460" s="64">
        <f>IF($A3460="","",IF(O3460&lt;&gt;원인분석!$C$9,"",IF(AND(M3460&gt;=원인분석!$C$10,M3460&lt;=원인분석!$C$11),"당기",IF(AND(M3460&gt;=원인분석!$C$12,M3460&lt;=원인분석!$C$13),"비교",""))))</f>
        <v/>
      </c>
      <c r="R3460" s="9">
        <f>IF(Q3460="","",$K3460&amp;"")</f>
        <v/>
      </c>
      <c r="S3460" s="9">
        <f>IF(Q3460="","",IF(MATCH(R3460,$R$5:$R$100000,0)=ROW()-4,ROW(),""))</f>
        <v/>
      </c>
      <c r="T3460" s="9">
        <f>IF(Q3460="당기",ABS(P3460)+ROW()/1000000000,"")</f>
        <v/>
      </c>
      <c r="U3460" s="9">
        <f>IF(Q3460="비교",ABS(P3460)+ROW()/1000000000,"")</f>
        <v/>
      </c>
      <c r="V3460" s="64">
        <f>IF($A3460="","",IF(COUNTIF(변동분석!$E$7:$E$506,O3460)&gt;0,"Y","N"))</f>
        <v/>
      </c>
      <c r="W3460" s="64">
        <f>IF($A3460="","",IFERROR(INDEX(계정매핑!$D$5:$D$504,MATCH($F3460&amp;"",계정매핑!$A$5:$A$504,0)),"미매핑"))</f>
        <v/>
      </c>
      <c r="X3460" s="9">
        <f>IF($A3460="","",$F3460&amp;"")</f>
        <v/>
      </c>
      <c r="Y3460" s="94">
        <f>IF($A3460="",0,IF(AE3460="직접",IF(AF3460="비귀속",$P3460,0),$P3460*(1-AG3460)*IFERROR(INDEX(계정대체기준!$F$20:$F$49,MATCH($N3460,계정대체기준!$A$20:$A$49,0)),1)))</f>
        <v/>
      </c>
      <c r="Z3460" s="94">
        <f>IF($A3460="",0,IF(AE3460="직접",IF(AF3460="신계약비",$P3460,0),$P3460*(1-AG3460)*IFERROR(INDEX(계정대체기준!$C$20:$C$49,MATCH($N3460,계정대체기준!$A$20:$A$49,0)),0)))</f>
        <v/>
      </c>
      <c r="AA3460" s="94">
        <f>IF($A3460="",0,IF(AE3460="직접",IF(OR(AF3460="유지비",AF3460="손해조사비"),$P3460,0),$P3460*(1-AG3460)*IFERROR(INDEX(계정대체기준!$D$20:$D$49,MATCH($N3460,계정대체기준!$A$20:$A$49,0)),0)))</f>
        <v/>
      </c>
      <c r="AB3460" s="94">
        <f>IF($A3460="",0,IF(AE3460="직접",IF(AF3460="수금비",$P3460,0),$P3460*(1-AG3460)*IFERROR(INDEX(계정대체기준!$E$20:$E$49,MATCH($N3460,계정대체기준!$A$20:$A$49,0)),0)))</f>
        <v/>
      </c>
      <c r="AC3460" s="9">
        <f>IF(AND($A3460&lt;&gt;"",M3460=설정!$C$20,Z3460&gt;0),Z3460+ROW()/1000000000,"")</f>
        <v/>
      </c>
      <c r="AD3460" s="94">
        <f>IF($A3460="",0,$P3460*AG3460)</f>
        <v/>
      </c>
      <c r="AE3460" s="64">
        <f>IF($A3460="","",IFERROR(INDEX(계정매핑!$E$5:$E$504,MATCH($F3460&amp;"",계정매핑!$A$5:$A$504,0))&amp;"","공통비"))</f>
        <v/>
      </c>
      <c r="AF3460" s="64">
        <f>IF($A3460="","",IF(AE3460="직접",IFERROR(INDEX(계정매핑!$F$5:$F$504,MATCH($F3460&amp;"",계정매핑!$A$5:$A$504,0))&amp;"","비귀속"),""))</f>
        <v/>
      </c>
      <c r="AG3460" s="96">
        <f>IF($A3460="",0,IF(AND(AE3460&lt;&gt;"직접",IFERROR(INDEX(계정매핑!$G$5:$G$504,MATCH($F3460&amp;"",계정매핑!$A$5:$A$504,0))&amp;"","")="유지비",COUNTIF(계정대체기준!$A$6:$A$15,$N3460)&gt;0),IFERROR(INDEX(계정대체기준!$E$6:$E$15,MATCH(VALUE($A3460&amp;""),계정대체기준!$D$6:$D$15,0)),0),0))</f>
        <v/>
      </c>
      <c r="AH3460" s="64">
        <f>IF($A3460="","",IF(AD3460=0,"",IF(OR(COUNTIF(계정대체기준!$A$77:$A$86,$N3460)&gt;0,ISNUMBER(MATCH($X3460,계정대체기준!$D$77:$D$86,0)),ISNUMBER(MATCH($F3460,계정대체기준!$D$77:$D$86,0))),"Y","N")))</f>
        <v/>
      </c>
    </row>
    <row r="3461">
      <c r="A3461" s="92" t="n">
        <v>2026</v>
      </c>
      <c r="B3461" s="92" t="n">
        <v>4</v>
      </c>
      <c r="C3461" s="92" t="inlineStr">
        <is>
          <t>5100000739</t>
        </is>
      </c>
      <c r="D3461" s="95" t="n">
        <v>46120</v>
      </c>
      <c r="E3461" s="92" t="inlineStr">
        <is>
          <t>KR</t>
        </is>
      </c>
      <c r="F3461" s="92" t="n">
        <v>62201000</v>
      </c>
      <c r="G3461" s="92" t="n">
        <v>1701</v>
      </c>
      <c r="H3461" s="93" t="n">
        <v>3199000</v>
      </c>
      <c r="I3461" s="92" t="inlineStr">
        <is>
          <t>4월 통신요금 - O텔레콤</t>
        </is>
      </c>
      <c r="J3461" s="92" t="inlineStr">
        <is>
          <t>V10002</t>
        </is>
      </c>
      <c r="K3461" s="92" t="inlineStr">
        <is>
          <t>O텔레콤</t>
        </is>
      </c>
      <c r="M3461" s="9">
        <f>IF($A3461="","",VALUE($A3461&amp;"")*12+VALUE($B3461&amp;""))</f>
        <v/>
      </c>
      <c r="N3461" s="64">
        <f>IF($A3461="","",IFERROR(INDEX(부서매핑!$C$5:$C$504,MATCH($G3461&amp;"",부서매핑!$A$5:$A$504,0)),"미매핑"))</f>
        <v/>
      </c>
      <c r="O3461" s="9">
        <f>IF($A3461="","",N3461&amp;"|"&amp;$F3461)</f>
        <v/>
      </c>
      <c r="P3461" s="94">
        <f>IF($A3461="",0,$H3461*설정!$C$23)</f>
        <v/>
      </c>
      <c r="Q3461" s="64">
        <f>IF($A3461="","",IF(O3461&lt;&gt;원인분석!$C$9,"",IF(AND(M3461&gt;=원인분석!$C$10,M3461&lt;=원인분석!$C$11),"당기",IF(AND(M3461&gt;=원인분석!$C$12,M3461&lt;=원인분석!$C$13),"비교",""))))</f>
        <v/>
      </c>
      <c r="R3461" s="9">
        <f>IF(Q3461="","",$K3461&amp;"")</f>
        <v/>
      </c>
      <c r="S3461" s="9">
        <f>IF(Q3461="","",IF(MATCH(R3461,$R$5:$R$100000,0)=ROW()-4,ROW(),""))</f>
        <v/>
      </c>
      <c r="T3461" s="9">
        <f>IF(Q3461="당기",ABS(P3461)+ROW()/1000000000,"")</f>
        <v/>
      </c>
      <c r="U3461" s="9">
        <f>IF(Q3461="비교",ABS(P3461)+ROW()/1000000000,"")</f>
        <v/>
      </c>
      <c r="V3461" s="64">
        <f>IF($A3461="","",IF(COUNTIF(변동분석!$E$7:$E$506,O3461)&gt;0,"Y","N"))</f>
        <v/>
      </c>
      <c r="W3461" s="64">
        <f>IF($A3461="","",IFERROR(INDEX(계정매핑!$D$5:$D$504,MATCH($F3461&amp;"",계정매핑!$A$5:$A$504,0)),"미매핑"))</f>
        <v/>
      </c>
      <c r="X3461" s="9">
        <f>IF($A3461="","",$F3461&amp;"")</f>
        <v/>
      </c>
      <c r="Y3461" s="94">
        <f>IF($A3461="",0,IF(AE3461="직접",IF(AF3461="비귀속",$P3461,0),$P3461*(1-AG3461)*IFERROR(INDEX(계정대체기준!$F$20:$F$49,MATCH($N3461,계정대체기준!$A$20:$A$49,0)),1)))</f>
        <v/>
      </c>
      <c r="Z3461" s="94">
        <f>IF($A3461="",0,IF(AE3461="직접",IF(AF3461="신계약비",$P3461,0),$P3461*(1-AG3461)*IFERROR(INDEX(계정대체기준!$C$20:$C$49,MATCH($N3461,계정대체기준!$A$20:$A$49,0)),0)))</f>
        <v/>
      </c>
      <c r="AA3461" s="94">
        <f>IF($A3461="",0,IF(AE3461="직접",IF(OR(AF3461="유지비",AF3461="손해조사비"),$P3461,0),$P3461*(1-AG3461)*IFERROR(INDEX(계정대체기준!$D$20:$D$49,MATCH($N3461,계정대체기준!$A$20:$A$49,0)),0)))</f>
        <v/>
      </c>
      <c r="AB3461" s="94">
        <f>IF($A3461="",0,IF(AE3461="직접",IF(AF3461="수금비",$P3461,0),$P3461*(1-AG3461)*IFERROR(INDEX(계정대체기준!$E$20:$E$49,MATCH($N3461,계정대체기준!$A$20:$A$49,0)),0)))</f>
        <v/>
      </c>
      <c r="AC3461" s="9">
        <f>IF(AND($A3461&lt;&gt;"",M3461=설정!$C$20,Z3461&gt;0),Z3461+ROW()/1000000000,"")</f>
        <v/>
      </c>
      <c r="AD3461" s="94">
        <f>IF($A3461="",0,$P3461*AG3461)</f>
        <v/>
      </c>
      <c r="AE3461" s="64">
        <f>IF($A3461="","",IFERROR(INDEX(계정매핑!$E$5:$E$504,MATCH($F3461&amp;"",계정매핑!$A$5:$A$504,0))&amp;"","공통비"))</f>
        <v/>
      </c>
      <c r="AF3461" s="64">
        <f>IF($A3461="","",IF(AE3461="직접",IFERROR(INDEX(계정매핑!$F$5:$F$504,MATCH($F3461&amp;"",계정매핑!$A$5:$A$504,0))&amp;"","비귀속"),""))</f>
        <v/>
      </c>
      <c r="AG3461" s="96">
        <f>IF($A3461="",0,IF(AND(AE3461&lt;&gt;"직접",IFERROR(INDEX(계정매핑!$G$5:$G$504,MATCH($F3461&amp;"",계정매핑!$A$5:$A$504,0))&amp;"","")="유지비",COUNTIF(계정대체기준!$A$6:$A$15,$N3461)&gt;0),IFERROR(INDEX(계정대체기준!$E$6:$E$15,MATCH(VALUE($A3461&amp;""),계정대체기준!$D$6:$D$15,0)),0),0))</f>
        <v/>
      </c>
      <c r="AH3461" s="64">
        <f>IF($A3461="","",IF(AD3461=0,"",IF(OR(COUNTIF(계정대체기준!$A$77:$A$86,$N3461)&gt;0,ISNUMBER(MATCH($X3461,계정대체기준!$D$77:$D$86,0)),ISNUMBER(MATCH($F3461,계정대체기준!$D$77:$D$86,0))),"Y","N")))</f>
        <v/>
      </c>
    </row>
    <row r="3462">
      <c r="A3462" s="92" t="n">
        <v>2026</v>
      </c>
      <c r="B3462" s="92" t="n">
        <v>4</v>
      </c>
      <c r="C3462" s="92" t="inlineStr">
        <is>
          <t>5100000740</t>
        </is>
      </c>
      <c r="D3462" s="95" t="n">
        <v>46120</v>
      </c>
      <c r="E3462" s="92" t="inlineStr">
        <is>
          <t>KR</t>
        </is>
      </c>
      <c r="F3462" s="92" t="n">
        <v>62401000</v>
      </c>
      <c r="G3462" s="92" t="n">
        <v>1501</v>
      </c>
      <c r="H3462" s="93" t="n">
        <v>1299000</v>
      </c>
      <c r="I3462" s="92" t="inlineStr">
        <is>
          <t>4월 인쇄물 제작 - S출판</t>
        </is>
      </c>
      <c r="J3462" s="92" t="inlineStr">
        <is>
          <t>V10015</t>
        </is>
      </c>
      <c r="K3462" s="92" t="inlineStr">
        <is>
          <t>S출판</t>
        </is>
      </c>
      <c r="M3462" s="9">
        <f>IF($A3462="","",VALUE($A3462&amp;"")*12+VALUE($B3462&amp;""))</f>
        <v/>
      </c>
      <c r="N3462" s="64">
        <f>IF($A3462="","",IFERROR(INDEX(부서매핑!$C$5:$C$504,MATCH($G3462&amp;"",부서매핑!$A$5:$A$504,0)),"미매핑"))</f>
        <v/>
      </c>
      <c r="O3462" s="9">
        <f>IF($A3462="","",N3462&amp;"|"&amp;$F3462)</f>
        <v/>
      </c>
      <c r="P3462" s="94">
        <f>IF($A3462="",0,$H3462*설정!$C$23)</f>
        <v/>
      </c>
      <c r="Q3462" s="64">
        <f>IF($A3462="","",IF(O3462&lt;&gt;원인분석!$C$9,"",IF(AND(M3462&gt;=원인분석!$C$10,M3462&lt;=원인분석!$C$11),"당기",IF(AND(M3462&gt;=원인분석!$C$12,M3462&lt;=원인분석!$C$13),"비교",""))))</f>
        <v/>
      </c>
      <c r="R3462" s="9">
        <f>IF(Q3462="","",$K3462&amp;"")</f>
        <v/>
      </c>
      <c r="S3462" s="9">
        <f>IF(Q3462="","",IF(MATCH(R3462,$R$5:$R$100000,0)=ROW()-4,ROW(),""))</f>
        <v/>
      </c>
      <c r="T3462" s="9">
        <f>IF(Q3462="당기",ABS(P3462)+ROW()/1000000000,"")</f>
        <v/>
      </c>
      <c r="U3462" s="9">
        <f>IF(Q3462="비교",ABS(P3462)+ROW()/1000000000,"")</f>
        <v/>
      </c>
      <c r="V3462" s="64">
        <f>IF($A3462="","",IF(COUNTIF(변동분석!$E$7:$E$506,O3462)&gt;0,"Y","N"))</f>
        <v/>
      </c>
      <c r="W3462" s="64">
        <f>IF($A3462="","",IFERROR(INDEX(계정매핑!$D$5:$D$504,MATCH($F3462&amp;"",계정매핑!$A$5:$A$504,0)),"미매핑"))</f>
        <v/>
      </c>
      <c r="X3462" s="9">
        <f>IF($A3462="","",$F3462&amp;"")</f>
        <v/>
      </c>
      <c r="Y3462" s="94">
        <f>IF($A3462="",0,IF(AE3462="직접",IF(AF3462="비귀속",$P3462,0),$P3462*(1-AG3462)*IFERROR(INDEX(계정대체기준!$F$20:$F$49,MATCH($N3462,계정대체기준!$A$20:$A$49,0)),1)))</f>
        <v/>
      </c>
      <c r="Z3462" s="94">
        <f>IF($A3462="",0,IF(AE3462="직접",IF(AF3462="신계약비",$P3462,0),$P3462*(1-AG3462)*IFERROR(INDEX(계정대체기준!$C$20:$C$49,MATCH($N3462,계정대체기준!$A$20:$A$49,0)),0)))</f>
        <v/>
      </c>
      <c r="AA3462" s="94">
        <f>IF($A3462="",0,IF(AE3462="직접",IF(OR(AF3462="유지비",AF3462="손해조사비"),$P3462,0),$P3462*(1-AG3462)*IFERROR(INDEX(계정대체기준!$D$20:$D$49,MATCH($N3462,계정대체기준!$A$20:$A$49,0)),0)))</f>
        <v/>
      </c>
      <c r="AB3462" s="94">
        <f>IF($A3462="",0,IF(AE3462="직접",IF(AF3462="수금비",$P3462,0),$P3462*(1-AG3462)*IFERROR(INDEX(계정대체기준!$E$20:$E$49,MATCH($N3462,계정대체기준!$A$20:$A$49,0)),0)))</f>
        <v/>
      </c>
      <c r="AC3462" s="9">
        <f>IF(AND($A3462&lt;&gt;"",M3462=설정!$C$20,Z3462&gt;0),Z3462+ROW()/1000000000,"")</f>
        <v/>
      </c>
      <c r="AD3462" s="94">
        <f>IF($A3462="",0,$P3462*AG3462)</f>
        <v/>
      </c>
      <c r="AE3462" s="64">
        <f>IF($A3462="","",IFERROR(INDEX(계정매핑!$E$5:$E$504,MATCH($F3462&amp;"",계정매핑!$A$5:$A$504,0))&amp;"","공통비"))</f>
        <v/>
      </c>
      <c r="AF3462" s="64">
        <f>IF($A3462="","",IF(AE3462="직접",IFERROR(INDEX(계정매핑!$F$5:$F$504,MATCH($F3462&amp;"",계정매핑!$A$5:$A$504,0))&amp;"","비귀속"),""))</f>
        <v/>
      </c>
      <c r="AG3462" s="96">
        <f>IF($A3462="",0,IF(AND(AE3462&lt;&gt;"직접",IFERROR(INDEX(계정매핑!$G$5:$G$504,MATCH($F3462&amp;"",계정매핑!$A$5:$A$504,0))&amp;"","")="유지비",COUNTIF(계정대체기준!$A$6:$A$15,$N3462)&gt;0),IFERROR(INDEX(계정대체기준!$E$6:$E$15,MATCH(VALUE($A3462&amp;""),계정대체기준!$D$6:$D$15,0)),0),0))</f>
        <v/>
      </c>
      <c r="AH3462" s="64">
        <f>IF($A3462="","",IF(AD3462=0,"",IF(OR(COUNTIF(계정대체기준!$A$77:$A$86,$N3462)&gt;0,ISNUMBER(MATCH($X3462,계정대체기준!$D$77:$D$86,0)),ISNUMBER(MATCH($F3462,계정대체기준!$D$77:$D$86,0))),"Y","N")))</f>
        <v/>
      </c>
    </row>
    <row r="3463">
      <c r="A3463" s="92" t="n">
        <v>2026</v>
      </c>
      <c r="B3463" s="92" t="n">
        <v>4</v>
      </c>
      <c r="C3463" s="92" t="inlineStr">
        <is>
          <t>5100000741</t>
        </is>
      </c>
      <c r="D3463" s="95" t="n">
        <v>46120</v>
      </c>
      <c r="E3463" s="92" t="inlineStr">
        <is>
          <t>KR</t>
        </is>
      </c>
      <c r="F3463" s="92" t="n">
        <v>63101000</v>
      </c>
      <c r="G3463" s="92" t="n">
        <v>1602</v>
      </c>
      <c r="H3463" s="93" t="n">
        <v>3917000</v>
      </c>
      <c r="I3463" s="92" t="inlineStr">
        <is>
          <t>4월 사무실 임차료 - BB부동산</t>
        </is>
      </c>
      <c r="J3463" s="92" t="inlineStr">
        <is>
          <t>V10028</t>
        </is>
      </c>
      <c r="K3463" s="92" t="inlineStr">
        <is>
          <t>BB부동산</t>
        </is>
      </c>
      <c r="M3463" s="9">
        <f>IF($A3463="","",VALUE($A3463&amp;"")*12+VALUE($B3463&amp;""))</f>
        <v/>
      </c>
      <c r="N3463" s="64">
        <f>IF($A3463="","",IFERROR(INDEX(부서매핑!$C$5:$C$504,MATCH($G3463&amp;"",부서매핑!$A$5:$A$504,0)),"미매핑"))</f>
        <v/>
      </c>
      <c r="O3463" s="9">
        <f>IF($A3463="","",N3463&amp;"|"&amp;$F3463)</f>
        <v/>
      </c>
      <c r="P3463" s="94">
        <f>IF($A3463="",0,$H3463*설정!$C$23)</f>
        <v/>
      </c>
      <c r="Q3463" s="64">
        <f>IF($A3463="","",IF(O3463&lt;&gt;원인분석!$C$9,"",IF(AND(M3463&gt;=원인분석!$C$10,M3463&lt;=원인분석!$C$11),"당기",IF(AND(M3463&gt;=원인분석!$C$12,M3463&lt;=원인분석!$C$13),"비교",""))))</f>
        <v/>
      </c>
      <c r="R3463" s="9">
        <f>IF(Q3463="","",$K3463&amp;"")</f>
        <v/>
      </c>
      <c r="S3463" s="9">
        <f>IF(Q3463="","",IF(MATCH(R3463,$R$5:$R$100000,0)=ROW()-4,ROW(),""))</f>
        <v/>
      </c>
      <c r="T3463" s="9">
        <f>IF(Q3463="당기",ABS(P3463)+ROW()/1000000000,"")</f>
        <v/>
      </c>
      <c r="U3463" s="9">
        <f>IF(Q3463="비교",ABS(P3463)+ROW()/1000000000,"")</f>
        <v/>
      </c>
      <c r="V3463" s="64">
        <f>IF($A3463="","",IF(COUNTIF(변동분석!$E$7:$E$506,O3463)&gt;0,"Y","N"))</f>
        <v/>
      </c>
      <c r="W3463" s="64">
        <f>IF($A3463="","",IFERROR(INDEX(계정매핑!$D$5:$D$504,MATCH($F3463&amp;"",계정매핑!$A$5:$A$504,0)),"미매핑"))</f>
        <v/>
      </c>
      <c r="X3463" s="9">
        <f>IF($A3463="","",$F3463&amp;"")</f>
        <v/>
      </c>
      <c r="Y3463" s="94">
        <f>IF($A3463="",0,IF(AE3463="직접",IF(AF3463="비귀속",$P3463,0),$P3463*(1-AG3463)*IFERROR(INDEX(계정대체기준!$F$20:$F$49,MATCH($N3463,계정대체기준!$A$20:$A$49,0)),1)))</f>
        <v/>
      </c>
      <c r="Z3463" s="94">
        <f>IF($A3463="",0,IF(AE3463="직접",IF(AF3463="신계약비",$P3463,0),$P3463*(1-AG3463)*IFERROR(INDEX(계정대체기준!$C$20:$C$49,MATCH($N3463,계정대체기준!$A$20:$A$49,0)),0)))</f>
        <v/>
      </c>
      <c r="AA3463" s="94">
        <f>IF($A3463="",0,IF(AE3463="직접",IF(OR(AF3463="유지비",AF3463="손해조사비"),$P3463,0),$P3463*(1-AG3463)*IFERROR(INDEX(계정대체기준!$D$20:$D$49,MATCH($N3463,계정대체기준!$A$20:$A$49,0)),0)))</f>
        <v/>
      </c>
      <c r="AB3463" s="94">
        <f>IF($A3463="",0,IF(AE3463="직접",IF(AF3463="수금비",$P3463,0),$P3463*(1-AG3463)*IFERROR(INDEX(계정대체기준!$E$20:$E$49,MATCH($N3463,계정대체기준!$A$20:$A$49,0)),0)))</f>
        <v/>
      </c>
      <c r="AC3463" s="9">
        <f>IF(AND($A3463&lt;&gt;"",M3463=설정!$C$20,Z3463&gt;0),Z3463+ROW()/1000000000,"")</f>
        <v/>
      </c>
      <c r="AD3463" s="94">
        <f>IF($A3463="",0,$P3463*AG3463)</f>
        <v/>
      </c>
      <c r="AE3463" s="64">
        <f>IF($A3463="","",IFERROR(INDEX(계정매핑!$E$5:$E$504,MATCH($F3463&amp;"",계정매핑!$A$5:$A$504,0))&amp;"","공통비"))</f>
        <v/>
      </c>
      <c r="AF3463" s="64">
        <f>IF($A3463="","",IF(AE3463="직접",IFERROR(INDEX(계정매핑!$F$5:$F$504,MATCH($F3463&amp;"",계정매핑!$A$5:$A$504,0))&amp;"","비귀속"),""))</f>
        <v/>
      </c>
      <c r="AG3463" s="96">
        <f>IF($A3463="",0,IF(AND(AE3463&lt;&gt;"직접",IFERROR(INDEX(계정매핑!$G$5:$G$504,MATCH($F3463&amp;"",계정매핑!$A$5:$A$504,0))&amp;"","")="유지비",COUNTIF(계정대체기준!$A$6:$A$15,$N3463)&gt;0),IFERROR(INDEX(계정대체기준!$E$6:$E$15,MATCH(VALUE($A3463&amp;""),계정대체기준!$D$6:$D$15,0)),0),0))</f>
        <v/>
      </c>
      <c r="AH3463" s="64">
        <f>IF($A3463="","",IF(AD3463=0,"",IF(OR(COUNTIF(계정대체기준!$A$77:$A$86,$N3463)&gt;0,ISNUMBER(MATCH($X3463,계정대체기준!$D$77:$D$86,0)),ISNUMBER(MATCH($F3463,계정대체기준!$D$77:$D$86,0))),"Y","N")))</f>
        <v/>
      </c>
    </row>
    <row r="3464">
      <c r="A3464" s="92" t="n">
        <v>2026</v>
      </c>
      <c r="B3464" s="92" t="n">
        <v>4</v>
      </c>
      <c r="C3464" s="92" t="inlineStr">
        <is>
          <t>5100000742</t>
        </is>
      </c>
      <c r="D3464" s="95" t="n">
        <v>46121</v>
      </c>
      <c r="E3464" s="92" t="inlineStr">
        <is>
          <t>KR</t>
        </is>
      </c>
      <c r="F3464" s="92" t="n">
        <v>62101000</v>
      </c>
      <c r="G3464" s="92" t="n">
        <v>1401</v>
      </c>
      <c r="H3464" s="93" t="n">
        <v>358000</v>
      </c>
      <c r="I3464" s="92" t="inlineStr">
        <is>
          <t>4월 국내출장 - M항공</t>
        </is>
      </c>
      <c r="J3464" s="92" t="inlineStr">
        <is>
          <t>V10001</t>
        </is>
      </c>
      <c r="K3464" s="92" t="inlineStr">
        <is>
          <t>M항공</t>
        </is>
      </c>
      <c r="M3464" s="9">
        <f>IF($A3464="","",VALUE($A3464&amp;"")*12+VALUE($B3464&amp;""))</f>
        <v/>
      </c>
      <c r="N3464" s="64">
        <f>IF($A3464="","",IFERROR(INDEX(부서매핑!$C$5:$C$504,MATCH($G3464&amp;"",부서매핑!$A$5:$A$504,0)),"미매핑"))</f>
        <v/>
      </c>
      <c r="O3464" s="9">
        <f>IF($A3464="","",N3464&amp;"|"&amp;$F3464)</f>
        <v/>
      </c>
      <c r="P3464" s="94">
        <f>IF($A3464="",0,$H3464*설정!$C$23)</f>
        <v/>
      </c>
      <c r="Q3464" s="64">
        <f>IF($A3464="","",IF(O3464&lt;&gt;원인분석!$C$9,"",IF(AND(M3464&gt;=원인분석!$C$10,M3464&lt;=원인분석!$C$11),"당기",IF(AND(M3464&gt;=원인분석!$C$12,M3464&lt;=원인분석!$C$13),"비교",""))))</f>
        <v/>
      </c>
      <c r="R3464" s="9">
        <f>IF(Q3464="","",$K3464&amp;"")</f>
        <v/>
      </c>
      <c r="S3464" s="9">
        <f>IF(Q3464="","",IF(MATCH(R3464,$R$5:$R$100000,0)=ROW()-4,ROW(),""))</f>
        <v/>
      </c>
      <c r="T3464" s="9">
        <f>IF(Q3464="당기",ABS(P3464)+ROW()/1000000000,"")</f>
        <v/>
      </c>
      <c r="U3464" s="9">
        <f>IF(Q3464="비교",ABS(P3464)+ROW()/1000000000,"")</f>
        <v/>
      </c>
      <c r="V3464" s="64">
        <f>IF($A3464="","",IF(COUNTIF(변동분석!$E$7:$E$506,O3464)&gt;0,"Y","N"))</f>
        <v/>
      </c>
      <c r="W3464" s="64">
        <f>IF($A3464="","",IFERROR(INDEX(계정매핑!$D$5:$D$504,MATCH($F3464&amp;"",계정매핑!$A$5:$A$504,0)),"미매핑"))</f>
        <v/>
      </c>
      <c r="X3464" s="9">
        <f>IF($A3464="","",$F3464&amp;"")</f>
        <v/>
      </c>
      <c r="Y3464" s="94">
        <f>IF($A3464="",0,IF(AE3464="직접",IF(AF3464="비귀속",$P3464,0),$P3464*(1-AG3464)*IFERROR(INDEX(계정대체기준!$F$20:$F$49,MATCH($N3464,계정대체기준!$A$20:$A$49,0)),1)))</f>
        <v/>
      </c>
      <c r="Z3464" s="94">
        <f>IF($A3464="",0,IF(AE3464="직접",IF(AF3464="신계약비",$P3464,0),$P3464*(1-AG3464)*IFERROR(INDEX(계정대체기준!$C$20:$C$49,MATCH($N3464,계정대체기준!$A$20:$A$49,0)),0)))</f>
        <v/>
      </c>
      <c r="AA3464" s="94">
        <f>IF($A3464="",0,IF(AE3464="직접",IF(OR(AF3464="유지비",AF3464="손해조사비"),$P3464,0),$P3464*(1-AG3464)*IFERROR(INDEX(계정대체기준!$D$20:$D$49,MATCH($N3464,계정대체기준!$A$20:$A$49,0)),0)))</f>
        <v/>
      </c>
      <c r="AB3464" s="94">
        <f>IF($A3464="",0,IF(AE3464="직접",IF(AF3464="수금비",$P3464,0),$P3464*(1-AG3464)*IFERROR(INDEX(계정대체기준!$E$20:$E$49,MATCH($N3464,계정대체기준!$A$20:$A$49,0)),0)))</f>
        <v/>
      </c>
      <c r="AC3464" s="9">
        <f>IF(AND($A3464&lt;&gt;"",M3464=설정!$C$20,Z3464&gt;0),Z3464+ROW()/1000000000,"")</f>
        <v/>
      </c>
      <c r="AD3464" s="94">
        <f>IF($A3464="",0,$P3464*AG3464)</f>
        <v/>
      </c>
      <c r="AE3464" s="64">
        <f>IF($A3464="","",IFERROR(INDEX(계정매핑!$E$5:$E$504,MATCH($F3464&amp;"",계정매핑!$A$5:$A$504,0))&amp;"","공통비"))</f>
        <v/>
      </c>
      <c r="AF3464" s="64">
        <f>IF($A3464="","",IF(AE3464="직접",IFERROR(INDEX(계정매핑!$F$5:$F$504,MATCH($F3464&amp;"",계정매핑!$A$5:$A$504,0))&amp;"","비귀속"),""))</f>
        <v/>
      </c>
      <c r="AG3464" s="96">
        <f>IF($A3464="",0,IF(AND(AE3464&lt;&gt;"직접",IFERROR(INDEX(계정매핑!$G$5:$G$504,MATCH($F3464&amp;"",계정매핑!$A$5:$A$504,0))&amp;"","")="유지비",COUNTIF(계정대체기준!$A$6:$A$15,$N3464)&gt;0),IFERROR(INDEX(계정대체기준!$E$6:$E$15,MATCH(VALUE($A3464&amp;""),계정대체기준!$D$6:$D$15,0)),0),0))</f>
        <v/>
      </c>
      <c r="AH3464" s="64">
        <f>IF($A3464="","",IF(AD3464=0,"",IF(OR(COUNTIF(계정대체기준!$A$77:$A$86,$N3464)&gt;0,ISNUMBER(MATCH($X3464,계정대체기준!$D$77:$D$86,0)),ISNUMBER(MATCH($F3464,계정대체기준!$D$77:$D$86,0))),"Y","N")))</f>
        <v/>
      </c>
    </row>
    <row r="3465">
      <c r="A3465" s="92" t="n">
        <v>2026</v>
      </c>
      <c r="B3465" s="92" t="n">
        <v>4</v>
      </c>
      <c r="C3465" s="92" t="inlineStr">
        <is>
          <t>5100000743</t>
        </is>
      </c>
      <c r="D3465" s="95" t="n">
        <v>46121</v>
      </c>
      <c r="E3465" s="92" t="inlineStr">
        <is>
          <t>KR</t>
        </is>
      </c>
      <c r="F3465" s="92" t="n">
        <v>62102000</v>
      </c>
      <c r="G3465" s="92" t="n">
        <v>1201</v>
      </c>
      <c r="H3465" s="93" t="n">
        <v>52000</v>
      </c>
      <c r="I3465" s="92" t="inlineStr">
        <is>
          <t>4월 해외출장 - M항공</t>
        </is>
      </c>
      <c r="J3465" s="92" t="inlineStr">
        <is>
          <t>V10001</t>
        </is>
      </c>
      <c r="K3465" s="92" t="inlineStr">
        <is>
          <t>M항공</t>
        </is>
      </c>
      <c r="M3465" s="9">
        <f>IF($A3465="","",VALUE($A3465&amp;"")*12+VALUE($B3465&amp;""))</f>
        <v/>
      </c>
      <c r="N3465" s="64">
        <f>IF($A3465="","",IFERROR(INDEX(부서매핑!$C$5:$C$504,MATCH($G3465&amp;"",부서매핑!$A$5:$A$504,0)),"미매핑"))</f>
        <v/>
      </c>
      <c r="O3465" s="9">
        <f>IF($A3465="","",N3465&amp;"|"&amp;$F3465)</f>
        <v/>
      </c>
      <c r="P3465" s="94">
        <f>IF($A3465="",0,$H3465*설정!$C$23)</f>
        <v/>
      </c>
      <c r="Q3465" s="64">
        <f>IF($A3465="","",IF(O3465&lt;&gt;원인분석!$C$9,"",IF(AND(M3465&gt;=원인분석!$C$10,M3465&lt;=원인분석!$C$11),"당기",IF(AND(M3465&gt;=원인분석!$C$12,M3465&lt;=원인분석!$C$13),"비교",""))))</f>
        <v/>
      </c>
      <c r="R3465" s="9">
        <f>IF(Q3465="","",$K3465&amp;"")</f>
        <v/>
      </c>
      <c r="S3465" s="9">
        <f>IF(Q3465="","",IF(MATCH(R3465,$R$5:$R$100000,0)=ROW()-4,ROW(),""))</f>
        <v/>
      </c>
      <c r="T3465" s="9">
        <f>IF(Q3465="당기",ABS(P3465)+ROW()/1000000000,"")</f>
        <v/>
      </c>
      <c r="U3465" s="9">
        <f>IF(Q3465="비교",ABS(P3465)+ROW()/1000000000,"")</f>
        <v/>
      </c>
      <c r="V3465" s="64">
        <f>IF($A3465="","",IF(COUNTIF(변동분석!$E$7:$E$506,O3465)&gt;0,"Y","N"))</f>
        <v/>
      </c>
      <c r="W3465" s="64">
        <f>IF($A3465="","",IFERROR(INDEX(계정매핑!$D$5:$D$504,MATCH($F3465&amp;"",계정매핑!$A$5:$A$504,0)),"미매핑"))</f>
        <v/>
      </c>
      <c r="X3465" s="9">
        <f>IF($A3465="","",$F3465&amp;"")</f>
        <v/>
      </c>
      <c r="Y3465" s="94">
        <f>IF($A3465="",0,IF(AE3465="직접",IF(AF3465="비귀속",$P3465,0),$P3465*(1-AG3465)*IFERROR(INDEX(계정대체기준!$F$20:$F$49,MATCH($N3465,계정대체기준!$A$20:$A$49,0)),1)))</f>
        <v/>
      </c>
      <c r="Z3465" s="94">
        <f>IF($A3465="",0,IF(AE3465="직접",IF(AF3465="신계약비",$P3465,0),$P3465*(1-AG3465)*IFERROR(INDEX(계정대체기준!$C$20:$C$49,MATCH($N3465,계정대체기준!$A$20:$A$49,0)),0)))</f>
        <v/>
      </c>
      <c r="AA3465" s="94">
        <f>IF($A3465="",0,IF(AE3465="직접",IF(OR(AF3465="유지비",AF3465="손해조사비"),$P3465,0),$P3465*(1-AG3465)*IFERROR(INDEX(계정대체기준!$D$20:$D$49,MATCH($N3465,계정대체기준!$A$20:$A$49,0)),0)))</f>
        <v/>
      </c>
      <c r="AB3465" s="94">
        <f>IF($A3465="",0,IF(AE3465="직접",IF(AF3465="수금비",$P3465,0),$P3465*(1-AG3465)*IFERROR(INDEX(계정대체기준!$E$20:$E$49,MATCH($N3465,계정대체기준!$A$20:$A$49,0)),0)))</f>
        <v/>
      </c>
      <c r="AC3465" s="9">
        <f>IF(AND($A3465&lt;&gt;"",M3465=설정!$C$20,Z3465&gt;0),Z3465+ROW()/1000000000,"")</f>
        <v/>
      </c>
      <c r="AD3465" s="94">
        <f>IF($A3465="",0,$P3465*AG3465)</f>
        <v/>
      </c>
      <c r="AE3465" s="64">
        <f>IF($A3465="","",IFERROR(INDEX(계정매핑!$E$5:$E$504,MATCH($F3465&amp;"",계정매핑!$A$5:$A$504,0))&amp;"","공통비"))</f>
        <v/>
      </c>
      <c r="AF3465" s="64">
        <f>IF($A3465="","",IF(AE3465="직접",IFERROR(INDEX(계정매핑!$F$5:$F$504,MATCH($F3465&amp;"",계정매핑!$A$5:$A$504,0))&amp;"","비귀속"),""))</f>
        <v/>
      </c>
      <c r="AG3465" s="96">
        <f>IF($A3465="",0,IF(AND(AE3465&lt;&gt;"직접",IFERROR(INDEX(계정매핑!$G$5:$G$504,MATCH($F3465&amp;"",계정매핑!$A$5:$A$504,0))&amp;"","")="유지비",COUNTIF(계정대체기준!$A$6:$A$15,$N3465)&gt;0),IFERROR(INDEX(계정대체기준!$E$6:$E$15,MATCH(VALUE($A3465&amp;""),계정대체기준!$D$6:$D$15,0)),0),0))</f>
        <v/>
      </c>
      <c r="AH3465" s="64">
        <f>IF($A3465="","",IF(AD3465=0,"",IF(OR(COUNTIF(계정대체기준!$A$77:$A$86,$N3465)&gt;0,ISNUMBER(MATCH($X3465,계정대체기준!$D$77:$D$86,0)),ISNUMBER(MATCH($F3465,계정대체기준!$D$77:$D$86,0))),"Y","N")))</f>
        <v/>
      </c>
    </row>
    <row r="3466">
      <c r="A3466" s="92" t="n">
        <v>2026</v>
      </c>
      <c r="B3466" s="92" t="n">
        <v>4</v>
      </c>
      <c r="C3466" s="92" t="inlineStr">
        <is>
          <t>5100000744</t>
        </is>
      </c>
      <c r="D3466" s="95" t="n">
        <v>46121</v>
      </c>
      <c r="E3466" s="92" t="inlineStr">
        <is>
          <t>KR</t>
        </is>
      </c>
      <c r="F3466" s="92" t="n">
        <v>62102000</v>
      </c>
      <c r="G3466" s="92" t="n">
        <v>1301</v>
      </c>
      <c r="H3466" s="93" t="n">
        <v>153000</v>
      </c>
      <c r="I3466" s="92" t="inlineStr">
        <is>
          <t>4월 해외출장 - M항공</t>
        </is>
      </c>
      <c r="J3466" s="92" t="inlineStr">
        <is>
          <t>V10001</t>
        </is>
      </c>
      <c r="K3466" s="92" t="inlineStr">
        <is>
          <t>M항공</t>
        </is>
      </c>
      <c r="M3466" s="9">
        <f>IF($A3466="","",VALUE($A3466&amp;"")*12+VALUE($B3466&amp;""))</f>
        <v/>
      </c>
      <c r="N3466" s="64">
        <f>IF($A3466="","",IFERROR(INDEX(부서매핑!$C$5:$C$504,MATCH($G3466&amp;"",부서매핑!$A$5:$A$504,0)),"미매핑"))</f>
        <v/>
      </c>
      <c r="O3466" s="9">
        <f>IF($A3466="","",N3466&amp;"|"&amp;$F3466)</f>
        <v/>
      </c>
      <c r="P3466" s="94">
        <f>IF($A3466="",0,$H3466*설정!$C$23)</f>
        <v/>
      </c>
      <c r="Q3466" s="64">
        <f>IF($A3466="","",IF(O3466&lt;&gt;원인분석!$C$9,"",IF(AND(M3466&gt;=원인분석!$C$10,M3466&lt;=원인분석!$C$11),"당기",IF(AND(M3466&gt;=원인분석!$C$12,M3466&lt;=원인분석!$C$13),"비교",""))))</f>
        <v/>
      </c>
      <c r="R3466" s="9">
        <f>IF(Q3466="","",$K3466&amp;"")</f>
        <v/>
      </c>
      <c r="S3466" s="9">
        <f>IF(Q3466="","",IF(MATCH(R3466,$R$5:$R$100000,0)=ROW()-4,ROW(),""))</f>
        <v/>
      </c>
      <c r="T3466" s="9">
        <f>IF(Q3466="당기",ABS(P3466)+ROW()/1000000000,"")</f>
        <v/>
      </c>
      <c r="U3466" s="9">
        <f>IF(Q3466="비교",ABS(P3466)+ROW()/1000000000,"")</f>
        <v/>
      </c>
      <c r="V3466" s="64">
        <f>IF($A3466="","",IF(COUNTIF(변동분석!$E$7:$E$506,O3466)&gt;0,"Y","N"))</f>
        <v/>
      </c>
      <c r="W3466" s="64">
        <f>IF($A3466="","",IFERROR(INDEX(계정매핑!$D$5:$D$504,MATCH($F3466&amp;"",계정매핑!$A$5:$A$504,0)),"미매핑"))</f>
        <v/>
      </c>
      <c r="X3466" s="9">
        <f>IF($A3466="","",$F3466&amp;"")</f>
        <v/>
      </c>
      <c r="Y3466" s="94">
        <f>IF($A3466="",0,IF(AE3466="직접",IF(AF3466="비귀속",$P3466,0),$P3466*(1-AG3466)*IFERROR(INDEX(계정대체기준!$F$20:$F$49,MATCH($N3466,계정대체기준!$A$20:$A$49,0)),1)))</f>
        <v/>
      </c>
      <c r="Z3466" s="94">
        <f>IF($A3466="",0,IF(AE3466="직접",IF(AF3466="신계약비",$P3466,0),$P3466*(1-AG3466)*IFERROR(INDEX(계정대체기준!$C$20:$C$49,MATCH($N3466,계정대체기준!$A$20:$A$49,0)),0)))</f>
        <v/>
      </c>
      <c r="AA3466" s="94">
        <f>IF($A3466="",0,IF(AE3466="직접",IF(OR(AF3466="유지비",AF3466="손해조사비"),$P3466,0),$P3466*(1-AG3466)*IFERROR(INDEX(계정대체기준!$D$20:$D$49,MATCH($N3466,계정대체기준!$A$20:$A$49,0)),0)))</f>
        <v/>
      </c>
      <c r="AB3466" s="94">
        <f>IF($A3466="",0,IF(AE3466="직접",IF(AF3466="수금비",$P3466,0),$P3466*(1-AG3466)*IFERROR(INDEX(계정대체기준!$E$20:$E$49,MATCH($N3466,계정대체기준!$A$20:$A$49,0)),0)))</f>
        <v/>
      </c>
      <c r="AC3466" s="9">
        <f>IF(AND($A3466&lt;&gt;"",M3466=설정!$C$20,Z3466&gt;0),Z3466+ROW()/1000000000,"")</f>
        <v/>
      </c>
      <c r="AD3466" s="94">
        <f>IF($A3466="",0,$P3466*AG3466)</f>
        <v/>
      </c>
      <c r="AE3466" s="64">
        <f>IF($A3466="","",IFERROR(INDEX(계정매핑!$E$5:$E$504,MATCH($F3466&amp;"",계정매핑!$A$5:$A$504,0))&amp;"","공통비"))</f>
        <v/>
      </c>
      <c r="AF3466" s="64">
        <f>IF($A3466="","",IF(AE3466="직접",IFERROR(INDEX(계정매핑!$F$5:$F$504,MATCH($F3466&amp;"",계정매핑!$A$5:$A$504,0))&amp;"","비귀속"),""))</f>
        <v/>
      </c>
      <c r="AG3466" s="96">
        <f>IF($A3466="",0,IF(AND(AE3466&lt;&gt;"직접",IFERROR(INDEX(계정매핑!$G$5:$G$504,MATCH($F3466&amp;"",계정매핑!$A$5:$A$504,0))&amp;"","")="유지비",COUNTIF(계정대체기준!$A$6:$A$15,$N3466)&gt;0),IFERROR(INDEX(계정대체기준!$E$6:$E$15,MATCH(VALUE($A3466&amp;""),계정대체기준!$D$6:$D$15,0)),0),0))</f>
        <v/>
      </c>
      <c r="AH3466" s="64">
        <f>IF($A3466="","",IF(AD3466=0,"",IF(OR(COUNTIF(계정대체기준!$A$77:$A$86,$N3466)&gt;0,ISNUMBER(MATCH($X3466,계정대체기준!$D$77:$D$86,0)),ISNUMBER(MATCH($F3466,계정대체기준!$D$77:$D$86,0))),"Y","N")))</f>
        <v/>
      </c>
    </row>
    <row r="3467">
      <c r="A3467" s="92" t="n">
        <v>2026</v>
      </c>
      <c r="B3467" s="92" t="n">
        <v>4</v>
      </c>
      <c r="C3467" s="92" t="inlineStr">
        <is>
          <t>5100000745</t>
        </is>
      </c>
      <c r="D3467" s="95" t="n">
        <v>46121</v>
      </c>
      <c r="E3467" s="92" t="inlineStr">
        <is>
          <t>KR</t>
        </is>
      </c>
      <c r="F3467" s="92" t="n">
        <v>62102000</v>
      </c>
      <c r="G3467" s="92" t="n">
        <v>1951</v>
      </c>
      <c r="H3467" s="93" t="n">
        <v>64000</v>
      </c>
      <c r="I3467" s="92" t="inlineStr">
        <is>
          <t>4월 해외출장 - M항공</t>
        </is>
      </c>
      <c r="J3467" s="92" t="inlineStr">
        <is>
          <t>V10001</t>
        </is>
      </c>
      <c r="K3467" s="92" t="inlineStr">
        <is>
          <t>M항공</t>
        </is>
      </c>
      <c r="M3467" s="9">
        <f>IF($A3467="","",VALUE($A3467&amp;"")*12+VALUE($B3467&amp;""))</f>
        <v/>
      </c>
      <c r="N3467" s="64">
        <f>IF($A3467="","",IFERROR(INDEX(부서매핑!$C$5:$C$504,MATCH($G3467&amp;"",부서매핑!$A$5:$A$504,0)),"미매핑"))</f>
        <v/>
      </c>
      <c r="O3467" s="9">
        <f>IF($A3467="","",N3467&amp;"|"&amp;$F3467)</f>
        <v/>
      </c>
      <c r="P3467" s="94">
        <f>IF($A3467="",0,$H3467*설정!$C$23)</f>
        <v/>
      </c>
      <c r="Q3467" s="64">
        <f>IF($A3467="","",IF(O3467&lt;&gt;원인분석!$C$9,"",IF(AND(M3467&gt;=원인분석!$C$10,M3467&lt;=원인분석!$C$11),"당기",IF(AND(M3467&gt;=원인분석!$C$12,M3467&lt;=원인분석!$C$13),"비교",""))))</f>
        <v/>
      </c>
      <c r="R3467" s="9">
        <f>IF(Q3467="","",$K3467&amp;"")</f>
        <v/>
      </c>
      <c r="S3467" s="9">
        <f>IF(Q3467="","",IF(MATCH(R3467,$R$5:$R$100000,0)=ROW()-4,ROW(),""))</f>
        <v/>
      </c>
      <c r="T3467" s="9">
        <f>IF(Q3467="당기",ABS(P3467)+ROW()/1000000000,"")</f>
        <v/>
      </c>
      <c r="U3467" s="9">
        <f>IF(Q3467="비교",ABS(P3467)+ROW()/1000000000,"")</f>
        <v/>
      </c>
      <c r="V3467" s="64">
        <f>IF($A3467="","",IF(COUNTIF(변동분석!$E$7:$E$506,O3467)&gt;0,"Y","N"))</f>
        <v/>
      </c>
      <c r="W3467" s="64">
        <f>IF($A3467="","",IFERROR(INDEX(계정매핑!$D$5:$D$504,MATCH($F3467&amp;"",계정매핑!$A$5:$A$504,0)),"미매핑"))</f>
        <v/>
      </c>
      <c r="X3467" s="9">
        <f>IF($A3467="","",$F3467&amp;"")</f>
        <v/>
      </c>
      <c r="Y3467" s="94">
        <f>IF($A3467="",0,IF(AE3467="직접",IF(AF3467="비귀속",$P3467,0),$P3467*(1-AG3467)*IFERROR(INDEX(계정대체기준!$F$20:$F$49,MATCH($N3467,계정대체기준!$A$20:$A$49,0)),1)))</f>
        <v/>
      </c>
      <c r="Z3467" s="94">
        <f>IF($A3467="",0,IF(AE3467="직접",IF(AF3467="신계약비",$P3467,0),$P3467*(1-AG3467)*IFERROR(INDEX(계정대체기준!$C$20:$C$49,MATCH($N3467,계정대체기준!$A$20:$A$49,0)),0)))</f>
        <v/>
      </c>
      <c r="AA3467" s="94">
        <f>IF($A3467="",0,IF(AE3467="직접",IF(OR(AF3467="유지비",AF3467="손해조사비"),$P3467,0),$P3467*(1-AG3467)*IFERROR(INDEX(계정대체기준!$D$20:$D$49,MATCH($N3467,계정대체기준!$A$20:$A$49,0)),0)))</f>
        <v/>
      </c>
      <c r="AB3467" s="94">
        <f>IF($A3467="",0,IF(AE3467="직접",IF(AF3467="수금비",$P3467,0),$P3467*(1-AG3467)*IFERROR(INDEX(계정대체기준!$E$20:$E$49,MATCH($N3467,계정대체기준!$A$20:$A$49,0)),0)))</f>
        <v/>
      </c>
      <c r="AC3467" s="9">
        <f>IF(AND($A3467&lt;&gt;"",M3467=설정!$C$20,Z3467&gt;0),Z3467+ROW()/1000000000,"")</f>
        <v/>
      </c>
      <c r="AD3467" s="94">
        <f>IF($A3467="",0,$P3467*AG3467)</f>
        <v/>
      </c>
      <c r="AE3467" s="64">
        <f>IF($A3467="","",IFERROR(INDEX(계정매핑!$E$5:$E$504,MATCH($F3467&amp;"",계정매핑!$A$5:$A$504,0))&amp;"","공통비"))</f>
        <v/>
      </c>
      <c r="AF3467" s="64">
        <f>IF($A3467="","",IF(AE3467="직접",IFERROR(INDEX(계정매핑!$F$5:$F$504,MATCH($F3467&amp;"",계정매핑!$A$5:$A$504,0))&amp;"","비귀속"),""))</f>
        <v/>
      </c>
      <c r="AG3467" s="96">
        <f>IF($A3467="",0,IF(AND(AE3467&lt;&gt;"직접",IFERROR(INDEX(계정매핑!$G$5:$G$504,MATCH($F3467&amp;"",계정매핑!$A$5:$A$504,0))&amp;"","")="유지비",COUNTIF(계정대체기준!$A$6:$A$15,$N3467)&gt;0),IFERROR(INDEX(계정대체기준!$E$6:$E$15,MATCH(VALUE($A3467&amp;""),계정대체기준!$D$6:$D$15,0)),0),0))</f>
        <v/>
      </c>
      <c r="AH3467" s="64">
        <f>IF($A3467="","",IF(AD3467=0,"",IF(OR(COUNTIF(계정대체기준!$A$77:$A$86,$N3467)&gt;0,ISNUMBER(MATCH($X3467,계정대체기준!$D$77:$D$86,0)),ISNUMBER(MATCH($F3467,계정대체기준!$D$77:$D$86,0))),"Y","N")))</f>
        <v/>
      </c>
    </row>
    <row r="3468">
      <c r="A3468" s="92" t="n">
        <v>2026</v>
      </c>
      <c r="B3468" s="92" t="n">
        <v>4</v>
      </c>
      <c r="C3468" s="92" t="inlineStr">
        <is>
          <t>5100000746</t>
        </is>
      </c>
      <c r="D3468" s="95" t="n">
        <v>46121</v>
      </c>
      <c r="E3468" s="92" t="inlineStr">
        <is>
          <t>KR</t>
        </is>
      </c>
      <c r="F3468" s="92" t="n">
        <v>62301000</v>
      </c>
      <c r="G3468" s="92" t="n">
        <v>1501</v>
      </c>
      <c r="H3468" s="93" t="n">
        <v>154000</v>
      </c>
      <c r="I3468" s="92" t="inlineStr">
        <is>
          <t>4월 소모품 구입 - Q오피스</t>
        </is>
      </c>
      <c r="J3468" s="92" t="inlineStr">
        <is>
          <t>V10003</t>
        </is>
      </c>
      <c r="K3468" s="92" t="inlineStr">
        <is>
          <t>Q오피스</t>
        </is>
      </c>
      <c r="M3468" s="9">
        <f>IF($A3468="","",VALUE($A3468&amp;"")*12+VALUE($B3468&amp;""))</f>
        <v/>
      </c>
      <c r="N3468" s="64">
        <f>IF($A3468="","",IFERROR(INDEX(부서매핑!$C$5:$C$504,MATCH($G3468&amp;"",부서매핑!$A$5:$A$504,0)),"미매핑"))</f>
        <v/>
      </c>
      <c r="O3468" s="9">
        <f>IF($A3468="","",N3468&amp;"|"&amp;$F3468)</f>
        <v/>
      </c>
      <c r="P3468" s="94">
        <f>IF($A3468="",0,$H3468*설정!$C$23)</f>
        <v/>
      </c>
      <c r="Q3468" s="64">
        <f>IF($A3468="","",IF(O3468&lt;&gt;원인분석!$C$9,"",IF(AND(M3468&gt;=원인분석!$C$10,M3468&lt;=원인분석!$C$11),"당기",IF(AND(M3468&gt;=원인분석!$C$12,M3468&lt;=원인분석!$C$13),"비교",""))))</f>
        <v/>
      </c>
      <c r="R3468" s="9">
        <f>IF(Q3468="","",$K3468&amp;"")</f>
        <v/>
      </c>
      <c r="S3468" s="9">
        <f>IF(Q3468="","",IF(MATCH(R3468,$R$5:$R$100000,0)=ROW()-4,ROW(),""))</f>
        <v/>
      </c>
      <c r="T3468" s="9">
        <f>IF(Q3468="당기",ABS(P3468)+ROW()/1000000000,"")</f>
        <v/>
      </c>
      <c r="U3468" s="9">
        <f>IF(Q3468="비교",ABS(P3468)+ROW()/1000000000,"")</f>
        <v/>
      </c>
      <c r="V3468" s="64">
        <f>IF($A3468="","",IF(COUNTIF(변동분석!$E$7:$E$506,O3468)&gt;0,"Y","N"))</f>
        <v/>
      </c>
      <c r="W3468" s="64">
        <f>IF($A3468="","",IFERROR(INDEX(계정매핑!$D$5:$D$504,MATCH($F3468&amp;"",계정매핑!$A$5:$A$504,0)),"미매핑"))</f>
        <v/>
      </c>
      <c r="X3468" s="9">
        <f>IF($A3468="","",$F3468&amp;"")</f>
        <v/>
      </c>
      <c r="Y3468" s="94">
        <f>IF($A3468="",0,IF(AE3468="직접",IF(AF3468="비귀속",$P3468,0),$P3468*(1-AG3468)*IFERROR(INDEX(계정대체기준!$F$20:$F$49,MATCH($N3468,계정대체기준!$A$20:$A$49,0)),1)))</f>
        <v/>
      </c>
      <c r="Z3468" s="94">
        <f>IF($A3468="",0,IF(AE3468="직접",IF(AF3468="신계약비",$P3468,0),$P3468*(1-AG3468)*IFERROR(INDEX(계정대체기준!$C$20:$C$49,MATCH($N3468,계정대체기준!$A$20:$A$49,0)),0)))</f>
        <v/>
      </c>
      <c r="AA3468" s="94">
        <f>IF($A3468="",0,IF(AE3468="직접",IF(OR(AF3468="유지비",AF3468="손해조사비"),$P3468,0),$P3468*(1-AG3468)*IFERROR(INDEX(계정대체기준!$D$20:$D$49,MATCH($N3468,계정대체기준!$A$20:$A$49,0)),0)))</f>
        <v/>
      </c>
      <c r="AB3468" s="94">
        <f>IF($A3468="",0,IF(AE3468="직접",IF(AF3468="수금비",$P3468,0),$P3468*(1-AG3468)*IFERROR(INDEX(계정대체기준!$E$20:$E$49,MATCH($N3468,계정대체기준!$A$20:$A$49,0)),0)))</f>
        <v/>
      </c>
      <c r="AC3468" s="9">
        <f>IF(AND($A3468&lt;&gt;"",M3468=설정!$C$20,Z3468&gt;0),Z3468+ROW()/1000000000,"")</f>
        <v/>
      </c>
      <c r="AD3468" s="94">
        <f>IF($A3468="",0,$P3468*AG3468)</f>
        <v/>
      </c>
      <c r="AE3468" s="64">
        <f>IF($A3468="","",IFERROR(INDEX(계정매핑!$E$5:$E$504,MATCH($F3468&amp;"",계정매핑!$A$5:$A$504,0))&amp;"","공통비"))</f>
        <v/>
      </c>
      <c r="AF3468" s="64">
        <f>IF($A3468="","",IF(AE3468="직접",IFERROR(INDEX(계정매핑!$F$5:$F$504,MATCH($F3468&amp;"",계정매핑!$A$5:$A$504,0))&amp;"","비귀속"),""))</f>
        <v/>
      </c>
      <c r="AG3468" s="96">
        <f>IF($A3468="",0,IF(AND(AE3468&lt;&gt;"직접",IFERROR(INDEX(계정매핑!$G$5:$G$504,MATCH($F3468&amp;"",계정매핑!$A$5:$A$504,0))&amp;"","")="유지비",COUNTIF(계정대체기준!$A$6:$A$15,$N3468)&gt;0),IFERROR(INDEX(계정대체기준!$E$6:$E$15,MATCH(VALUE($A3468&amp;""),계정대체기준!$D$6:$D$15,0)),0),0))</f>
        <v/>
      </c>
      <c r="AH3468" s="64">
        <f>IF($A3468="","",IF(AD3468=0,"",IF(OR(COUNTIF(계정대체기준!$A$77:$A$86,$N3468)&gt;0,ISNUMBER(MATCH($X3468,계정대체기준!$D$77:$D$86,0)),ISNUMBER(MATCH($F3468,계정대체기준!$D$77:$D$86,0))),"Y","N")))</f>
        <v/>
      </c>
    </row>
    <row r="3469">
      <c r="A3469" s="92" t="n">
        <v>2026</v>
      </c>
      <c r="B3469" s="92" t="n">
        <v>4</v>
      </c>
      <c r="C3469" s="92" t="inlineStr">
        <is>
          <t>5100000747</t>
        </is>
      </c>
      <c r="D3469" s="95" t="n">
        <v>46121</v>
      </c>
      <c r="E3469" s="92" t="inlineStr">
        <is>
          <t>KR</t>
        </is>
      </c>
      <c r="F3469" s="92" t="n">
        <v>62301000</v>
      </c>
      <c r="G3469" s="92" t="n">
        <v>1602</v>
      </c>
      <c r="H3469" s="93" t="n">
        <v>242000</v>
      </c>
      <c r="I3469" s="92" t="inlineStr">
        <is>
          <t>4월 소모품 구입 - Q오피스</t>
        </is>
      </c>
      <c r="J3469" s="92" t="inlineStr">
        <is>
          <t>V10003</t>
        </is>
      </c>
      <c r="K3469" s="92" t="inlineStr">
        <is>
          <t>Q오피스</t>
        </is>
      </c>
      <c r="M3469" s="9">
        <f>IF($A3469="","",VALUE($A3469&amp;"")*12+VALUE($B3469&amp;""))</f>
        <v/>
      </c>
      <c r="N3469" s="64">
        <f>IF($A3469="","",IFERROR(INDEX(부서매핑!$C$5:$C$504,MATCH($G3469&amp;"",부서매핑!$A$5:$A$504,0)),"미매핑"))</f>
        <v/>
      </c>
      <c r="O3469" s="9">
        <f>IF($A3469="","",N3469&amp;"|"&amp;$F3469)</f>
        <v/>
      </c>
      <c r="P3469" s="94">
        <f>IF($A3469="",0,$H3469*설정!$C$23)</f>
        <v/>
      </c>
      <c r="Q3469" s="64">
        <f>IF($A3469="","",IF(O3469&lt;&gt;원인분석!$C$9,"",IF(AND(M3469&gt;=원인분석!$C$10,M3469&lt;=원인분석!$C$11),"당기",IF(AND(M3469&gt;=원인분석!$C$12,M3469&lt;=원인분석!$C$13),"비교",""))))</f>
        <v/>
      </c>
      <c r="R3469" s="9">
        <f>IF(Q3469="","",$K3469&amp;"")</f>
        <v/>
      </c>
      <c r="S3469" s="9">
        <f>IF(Q3469="","",IF(MATCH(R3469,$R$5:$R$100000,0)=ROW()-4,ROW(),""))</f>
        <v/>
      </c>
      <c r="T3469" s="9">
        <f>IF(Q3469="당기",ABS(P3469)+ROW()/1000000000,"")</f>
        <v/>
      </c>
      <c r="U3469" s="9">
        <f>IF(Q3469="비교",ABS(P3469)+ROW()/1000000000,"")</f>
        <v/>
      </c>
      <c r="V3469" s="64">
        <f>IF($A3469="","",IF(COUNTIF(변동분석!$E$7:$E$506,O3469)&gt;0,"Y","N"))</f>
        <v/>
      </c>
      <c r="W3469" s="64">
        <f>IF($A3469="","",IFERROR(INDEX(계정매핑!$D$5:$D$504,MATCH($F3469&amp;"",계정매핑!$A$5:$A$504,0)),"미매핑"))</f>
        <v/>
      </c>
      <c r="X3469" s="9">
        <f>IF($A3469="","",$F3469&amp;"")</f>
        <v/>
      </c>
      <c r="Y3469" s="94">
        <f>IF($A3469="",0,IF(AE3469="직접",IF(AF3469="비귀속",$P3469,0),$P3469*(1-AG3469)*IFERROR(INDEX(계정대체기준!$F$20:$F$49,MATCH($N3469,계정대체기준!$A$20:$A$49,0)),1)))</f>
        <v/>
      </c>
      <c r="Z3469" s="94">
        <f>IF($A3469="",0,IF(AE3469="직접",IF(AF3469="신계약비",$P3469,0),$P3469*(1-AG3469)*IFERROR(INDEX(계정대체기준!$C$20:$C$49,MATCH($N3469,계정대체기준!$A$20:$A$49,0)),0)))</f>
        <v/>
      </c>
      <c r="AA3469" s="94">
        <f>IF($A3469="",0,IF(AE3469="직접",IF(OR(AF3469="유지비",AF3469="손해조사비"),$P3469,0),$P3469*(1-AG3469)*IFERROR(INDEX(계정대체기준!$D$20:$D$49,MATCH($N3469,계정대체기준!$A$20:$A$49,0)),0)))</f>
        <v/>
      </c>
      <c r="AB3469" s="94">
        <f>IF($A3469="",0,IF(AE3469="직접",IF(AF3469="수금비",$P3469,0),$P3469*(1-AG3469)*IFERROR(INDEX(계정대체기준!$E$20:$E$49,MATCH($N3469,계정대체기준!$A$20:$A$49,0)),0)))</f>
        <v/>
      </c>
      <c r="AC3469" s="9">
        <f>IF(AND($A3469&lt;&gt;"",M3469=설정!$C$20,Z3469&gt;0),Z3469+ROW()/1000000000,"")</f>
        <v/>
      </c>
      <c r="AD3469" s="94">
        <f>IF($A3469="",0,$P3469*AG3469)</f>
        <v/>
      </c>
      <c r="AE3469" s="64">
        <f>IF($A3469="","",IFERROR(INDEX(계정매핑!$E$5:$E$504,MATCH($F3469&amp;"",계정매핑!$A$5:$A$504,0))&amp;"","공통비"))</f>
        <v/>
      </c>
      <c r="AF3469" s="64">
        <f>IF($A3469="","",IF(AE3469="직접",IFERROR(INDEX(계정매핑!$F$5:$F$504,MATCH($F3469&amp;"",계정매핑!$A$5:$A$504,0))&amp;"","비귀속"),""))</f>
        <v/>
      </c>
      <c r="AG3469" s="96">
        <f>IF($A3469="",0,IF(AND(AE3469&lt;&gt;"직접",IFERROR(INDEX(계정매핑!$G$5:$G$504,MATCH($F3469&amp;"",계정매핑!$A$5:$A$504,0))&amp;"","")="유지비",COUNTIF(계정대체기준!$A$6:$A$15,$N3469)&gt;0),IFERROR(INDEX(계정대체기준!$E$6:$E$15,MATCH(VALUE($A3469&amp;""),계정대체기준!$D$6:$D$15,0)),0),0))</f>
        <v/>
      </c>
      <c r="AH3469" s="64">
        <f>IF($A3469="","",IF(AD3469=0,"",IF(OR(COUNTIF(계정대체기준!$A$77:$A$86,$N3469)&gt;0,ISNUMBER(MATCH($X3469,계정대체기준!$D$77:$D$86,0)),ISNUMBER(MATCH($F3469,계정대체기준!$D$77:$D$86,0))),"Y","N")))</f>
        <v/>
      </c>
    </row>
    <row r="3470">
      <c r="A3470" s="92" t="n">
        <v>2026</v>
      </c>
      <c r="B3470" s="92" t="n">
        <v>4</v>
      </c>
      <c r="C3470" s="92" t="inlineStr">
        <is>
          <t>5100000748</t>
        </is>
      </c>
      <c r="D3470" s="95" t="n">
        <v>46121</v>
      </c>
      <c r="E3470" s="92" t="inlineStr">
        <is>
          <t>KR</t>
        </is>
      </c>
      <c r="F3470" s="92" t="n">
        <v>62501000</v>
      </c>
      <c r="G3470" s="92" t="n">
        <v>1101</v>
      </c>
      <c r="H3470" s="93" t="n">
        <v>271000</v>
      </c>
      <c r="I3470" s="92" t="inlineStr">
        <is>
          <t>4월 회의 다과 - (법인카드)</t>
        </is>
      </c>
      <c r="J3470" s="92" t="inlineStr">
        <is>
          <t>V10010</t>
        </is>
      </c>
      <c r="K3470" s="92" t="inlineStr">
        <is>
          <t>(법인카드)</t>
        </is>
      </c>
      <c r="M3470" s="9">
        <f>IF($A3470="","",VALUE($A3470&amp;"")*12+VALUE($B3470&amp;""))</f>
        <v/>
      </c>
      <c r="N3470" s="64">
        <f>IF($A3470="","",IFERROR(INDEX(부서매핑!$C$5:$C$504,MATCH($G3470&amp;"",부서매핑!$A$5:$A$504,0)),"미매핑"))</f>
        <v/>
      </c>
      <c r="O3470" s="9">
        <f>IF($A3470="","",N3470&amp;"|"&amp;$F3470)</f>
        <v/>
      </c>
      <c r="P3470" s="94">
        <f>IF($A3470="",0,$H3470*설정!$C$23)</f>
        <v/>
      </c>
      <c r="Q3470" s="64">
        <f>IF($A3470="","",IF(O3470&lt;&gt;원인분석!$C$9,"",IF(AND(M3470&gt;=원인분석!$C$10,M3470&lt;=원인분석!$C$11),"당기",IF(AND(M3470&gt;=원인분석!$C$12,M3470&lt;=원인분석!$C$13),"비교",""))))</f>
        <v/>
      </c>
      <c r="R3470" s="9">
        <f>IF(Q3470="","",$K3470&amp;"")</f>
        <v/>
      </c>
      <c r="S3470" s="9">
        <f>IF(Q3470="","",IF(MATCH(R3470,$R$5:$R$100000,0)=ROW()-4,ROW(),""))</f>
        <v/>
      </c>
      <c r="T3470" s="9">
        <f>IF(Q3470="당기",ABS(P3470)+ROW()/1000000000,"")</f>
        <v/>
      </c>
      <c r="U3470" s="9">
        <f>IF(Q3470="비교",ABS(P3470)+ROW()/1000000000,"")</f>
        <v/>
      </c>
      <c r="V3470" s="64">
        <f>IF($A3470="","",IF(COUNTIF(변동분석!$E$7:$E$506,O3470)&gt;0,"Y","N"))</f>
        <v/>
      </c>
      <c r="W3470" s="64">
        <f>IF($A3470="","",IFERROR(INDEX(계정매핑!$D$5:$D$504,MATCH($F3470&amp;"",계정매핑!$A$5:$A$504,0)),"미매핑"))</f>
        <v/>
      </c>
      <c r="X3470" s="9">
        <f>IF($A3470="","",$F3470&amp;"")</f>
        <v/>
      </c>
      <c r="Y3470" s="94">
        <f>IF($A3470="",0,IF(AE3470="직접",IF(AF3470="비귀속",$P3470,0),$P3470*(1-AG3470)*IFERROR(INDEX(계정대체기준!$F$20:$F$49,MATCH($N3470,계정대체기준!$A$20:$A$49,0)),1)))</f>
        <v/>
      </c>
      <c r="Z3470" s="94">
        <f>IF($A3470="",0,IF(AE3470="직접",IF(AF3470="신계약비",$P3470,0),$P3470*(1-AG3470)*IFERROR(INDEX(계정대체기준!$C$20:$C$49,MATCH($N3470,계정대체기준!$A$20:$A$49,0)),0)))</f>
        <v/>
      </c>
      <c r="AA3470" s="94">
        <f>IF($A3470="",0,IF(AE3470="직접",IF(OR(AF3470="유지비",AF3470="손해조사비"),$P3470,0),$P3470*(1-AG3470)*IFERROR(INDEX(계정대체기준!$D$20:$D$49,MATCH($N3470,계정대체기준!$A$20:$A$49,0)),0)))</f>
        <v/>
      </c>
      <c r="AB3470" s="94">
        <f>IF($A3470="",0,IF(AE3470="직접",IF(AF3470="수금비",$P3470,0),$P3470*(1-AG3470)*IFERROR(INDEX(계정대체기준!$E$20:$E$49,MATCH($N3470,계정대체기준!$A$20:$A$49,0)),0)))</f>
        <v/>
      </c>
      <c r="AC3470" s="9">
        <f>IF(AND($A3470&lt;&gt;"",M3470=설정!$C$20,Z3470&gt;0),Z3470+ROW()/1000000000,"")</f>
        <v/>
      </c>
      <c r="AD3470" s="94">
        <f>IF($A3470="",0,$P3470*AG3470)</f>
        <v/>
      </c>
      <c r="AE3470" s="64">
        <f>IF($A3470="","",IFERROR(INDEX(계정매핑!$E$5:$E$504,MATCH($F3470&amp;"",계정매핑!$A$5:$A$504,0))&amp;"","공통비"))</f>
        <v/>
      </c>
      <c r="AF3470" s="64">
        <f>IF($A3470="","",IF(AE3470="직접",IFERROR(INDEX(계정매핑!$F$5:$F$504,MATCH($F3470&amp;"",계정매핑!$A$5:$A$504,0))&amp;"","비귀속"),""))</f>
        <v/>
      </c>
      <c r="AG3470" s="96">
        <f>IF($A3470="",0,IF(AND(AE3470&lt;&gt;"직접",IFERROR(INDEX(계정매핑!$G$5:$G$504,MATCH($F3470&amp;"",계정매핑!$A$5:$A$504,0))&amp;"","")="유지비",COUNTIF(계정대체기준!$A$6:$A$15,$N3470)&gt;0),IFERROR(INDEX(계정대체기준!$E$6:$E$15,MATCH(VALUE($A3470&amp;""),계정대체기준!$D$6:$D$15,0)),0),0))</f>
        <v/>
      </c>
      <c r="AH3470" s="64">
        <f>IF($A3470="","",IF(AD3470=0,"",IF(OR(COUNTIF(계정대체기준!$A$77:$A$86,$N3470)&gt;0,ISNUMBER(MATCH($X3470,계정대체기준!$D$77:$D$86,0)),ISNUMBER(MATCH($F3470,계정대체기준!$D$77:$D$86,0))),"Y","N")))</f>
        <v/>
      </c>
    </row>
    <row r="3471">
      <c r="A3471" s="92" t="n">
        <v>2026</v>
      </c>
      <c r="B3471" s="92" t="n">
        <v>4</v>
      </c>
      <c r="C3471" s="92" t="inlineStr">
        <is>
          <t>5100000749</t>
        </is>
      </c>
      <c r="D3471" s="95" t="n">
        <v>46121</v>
      </c>
      <c r="E3471" s="92" t="inlineStr">
        <is>
          <t>KR</t>
        </is>
      </c>
      <c r="F3471" s="92" t="n">
        <v>62901000</v>
      </c>
      <c r="G3471" s="92" t="n">
        <v>1801</v>
      </c>
      <c r="H3471" s="93" t="n">
        <v>8090000</v>
      </c>
      <c r="I3471" s="92" t="inlineStr">
        <is>
          <t>4월 자문 수수료 - K회계법인</t>
        </is>
      </c>
      <c r="J3471" s="92" t="inlineStr">
        <is>
          <t>V10011</t>
        </is>
      </c>
      <c r="K3471" s="92" t="inlineStr">
        <is>
          <t>K회계법인</t>
        </is>
      </c>
      <c r="M3471" s="9">
        <f>IF($A3471="","",VALUE($A3471&amp;"")*12+VALUE($B3471&amp;""))</f>
        <v/>
      </c>
      <c r="N3471" s="64">
        <f>IF($A3471="","",IFERROR(INDEX(부서매핑!$C$5:$C$504,MATCH($G3471&amp;"",부서매핑!$A$5:$A$504,0)),"미매핑"))</f>
        <v/>
      </c>
      <c r="O3471" s="9">
        <f>IF($A3471="","",N3471&amp;"|"&amp;$F3471)</f>
        <v/>
      </c>
      <c r="P3471" s="94">
        <f>IF($A3471="",0,$H3471*설정!$C$23)</f>
        <v/>
      </c>
      <c r="Q3471" s="64">
        <f>IF($A3471="","",IF(O3471&lt;&gt;원인분석!$C$9,"",IF(AND(M3471&gt;=원인분석!$C$10,M3471&lt;=원인분석!$C$11),"당기",IF(AND(M3471&gt;=원인분석!$C$12,M3471&lt;=원인분석!$C$13),"비교",""))))</f>
        <v/>
      </c>
      <c r="R3471" s="9">
        <f>IF(Q3471="","",$K3471&amp;"")</f>
        <v/>
      </c>
      <c r="S3471" s="9">
        <f>IF(Q3471="","",IF(MATCH(R3471,$R$5:$R$100000,0)=ROW()-4,ROW(),""))</f>
        <v/>
      </c>
      <c r="T3471" s="9">
        <f>IF(Q3471="당기",ABS(P3471)+ROW()/1000000000,"")</f>
        <v/>
      </c>
      <c r="U3471" s="9">
        <f>IF(Q3471="비교",ABS(P3471)+ROW()/1000000000,"")</f>
        <v/>
      </c>
      <c r="V3471" s="64">
        <f>IF($A3471="","",IF(COUNTIF(변동분석!$E$7:$E$506,O3471)&gt;0,"Y","N"))</f>
        <v/>
      </c>
      <c r="W3471" s="64">
        <f>IF($A3471="","",IFERROR(INDEX(계정매핑!$D$5:$D$504,MATCH($F3471&amp;"",계정매핑!$A$5:$A$504,0)),"미매핑"))</f>
        <v/>
      </c>
      <c r="X3471" s="9">
        <f>IF($A3471="","",$F3471&amp;"")</f>
        <v/>
      </c>
      <c r="Y3471" s="94">
        <f>IF($A3471="",0,IF(AE3471="직접",IF(AF3471="비귀속",$P3471,0),$P3471*(1-AG3471)*IFERROR(INDEX(계정대체기준!$F$20:$F$49,MATCH($N3471,계정대체기준!$A$20:$A$49,0)),1)))</f>
        <v/>
      </c>
      <c r="Z3471" s="94">
        <f>IF($A3471="",0,IF(AE3471="직접",IF(AF3471="신계약비",$P3471,0),$P3471*(1-AG3471)*IFERROR(INDEX(계정대체기준!$C$20:$C$49,MATCH($N3471,계정대체기준!$A$20:$A$49,0)),0)))</f>
        <v/>
      </c>
      <c r="AA3471" s="94">
        <f>IF($A3471="",0,IF(AE3471="직접",IF(OR(AF3471="유지비",AF3471="손해조사비"),$P3471,0),$P3471*(1-AG3471)*IFERROR(INDEX(계정대체기준!$D$20:$D$49,MATCH($N3471,계정대체기준!$A$20:$A$49,0)),0)))</f>
        <v/>
      </c>
      <c r="AB3471" s="94">
        <f>IF($A3471="",0,IF(AE3471="직접",IF(AF3471="수금비",$P3471,0),$P3471*(1-AG3471)*IFERROR(INDEX(계정대체기준!$E$20:$E$49,MATCH($N3471,계정대체기준!$A$20:$A$49,0)),0)))</f>
        <v/>
      </c>
      <c r="AC3471" s="9">
        <f>IF(AND($A3471&lt;&gt;"",M3471=설정!$C$20,Z3471&gt;0),Z3471+ROW()/1000000000,"")</f>
        <v/>
      </c>
      <c r="AD3471" s="94">
        <f>IF($A3471="",0,$P3471*AG3471)</f>
        <v/>
      </c>
      <c r="AE3471" s="64">
        <f>IF($A3471="","",IFERROR(INDEX(계정매핑!$E$5:$E$504,MATCH($F3471&amp;"",계정매핑!$A$5:$A$504,0))&amp;"","공통비"))</f>
        <v/>
      </c>
      <c r="AF3471" s="64">
        <f>IF($A3471="","",IF(AE3471="직접",IFERROR(INDEX(계정매핑!$F$5:$F$504,MATCH($F3471&amp;"",계정매핑!$A$5:$A$504,0))&amp;"","비귀속"),""))</f>
        <v/>
      </c>
      <c r="AG3471" s="96">
        <f>IF($A3471="",0,IF(AND(AE3471&lt;&gt;"직접",IFERROR(INDEX(계정매핑!$G$5:$G$504,MATCH($F3471&amp;"",계정매핑!$A$5:$A$504,0))&amp;"","")="유지비",COUNTIF(계정대체기준!$A$6:$A$15,$N3471)&gt;0),IFERROR(INDEX(계정대체기준!$E$6:$E$15,MATCH(VALUE($A3471&amp;""),계정대체기준!$D$6:$D$15,0)),0),0))</f>
        <v/>
      </c>
      <c r="AH3471" s="64">
        <f>IF($A3471="","",IF(AD3471=0,"",IF(OR(COUNTIF(계정대체기준!$A$77:$A$86,$N3471)&gt;0,ISNUMBER(MATCH($X3471,계정대체기준!$D$77:$D$86,0)),ISNUMBER(MATCH($F3471,계정대체기준!$D$77:$D$86,0))),"Y","N")))</f>
        <v/>
      </c>
    </row>
    <row r="3472">
      <c r="A3472" s="92" t="n">
        <v>2026</v>
      </c>
      <c r="B3472" s="92" t="n">
        <v>4</v>
      </c>
      <c r="C3472" s="92" t="inlineStr">
        <is>
          <t>5100000750</t>
        </is>
      </c>
      <c r="D3472" s="95" t="n">
        <v>46121</v>
      </c>
      <c r="E3472" s="92" t="inlineStr">
        <is>
          <t>KR</t>
        </is>
      </c>
      <c r="F3472" s="92" t="n">
        <v>62901000</v>
      </c>
      <c r="G3472" s="92" t="n">
        <v>1951</v>
      </c>
      <c r="H3472" s="93" t="n">
        <v>4412000</v>
      </c>
      <c r="I3472" s="92" t="inlineStr">
        <is>
          <t>4월 자문 수수료 - K회계법인</t>
        </is>
      </c>
      <c r="J3472" s="92" t="inlineStr">
        <is>
          <t>V10011</t>
        </is>
      </c>
      <c r="K3472" s="92" t="inlineStr">
        <is>
          <t>K회계법인</t>
        </is>
      </c>
      <c r="M3472" s="9">
        <f>IF($A3472="","",VALUE($A3472&amp;"")*12+VALUE($B3472&amp;""))</f>
        <v/>
      </c>
      <c r="N3472" s="64">
        <f>IF($A3472="","",IFERROR(INDEX(부서매핑!$C$5:$C$504,MATCH($G3472&amp;"",부서매핑!$A$5:$A$504,0)),"미매핑"))</f>
        <v/>
      </c>
      <c r="O3472" s="9">
        <f>IF($A3472="","",N3472&amp;"|"&amp;$F3472)</f>
        <v/>
      </c>
      <c r="P3472" s="94">
        <f>IF($A3472="",0,$H3472*설정!$C$23)</f>
        <v/>
      </c>
      <c r="Q3472" s="64">
        <f>IF($A3472="","",IF(O3472&lt;&gt;원인분석!$C$9,"",IF(AND(M3472&gt;=원인분석!$C$10,M3472&lt;=원인분석!$C$11),"당기",IF(AND(M3472&gt;=원인분석!$C$12,M3472&lt;=원인분석!$C$13),"비교",""))))</f>
        <v/>
      </c>
      <c r="R3472" s="9">
        <f>IF(Q3472="","",$K3472&amp;"")</f>
        <v/>
      </c>
      <c r="S3472" s="9">
        <f>IF(Q3472="","",IF(MATCH(R3472,$R$5:$R$100000,0)=ROW()-4,ROW(),""))</f>
        <v/>
      </c>
      <c r="T3472" s="9">
        <f>IF(Q3472="당기",ABS(P3472)+ROW()/1000000000,"")</f>
        <v/>
      </c>
      <c r="U3472" s="9">
        <f>IF(Q3472="비교",ABS(P3472)+ROW()/1000000000,"")</f>
        <v/>
      </c>
      <c r="V3472" s="64">
        <f>IF($A3472="","",IF(COUNTIF(변동분석!$E$7:$E$506,O3472)&gt;0,"Y","N"))</f>
        <v/>
      </c>
      <c r="W3472" s="64">
        <f>IF($A3472="","",IFERROR(INDEX(계정매핑!$D$5:$D$504,MATCH($F3472&amp;"",계정매핑!$A$5:$A$504,0)),"미매핑"))</f>
        <v/>
      </c>
      <c r="X3472" s="9">
        <f>IF($A3472="","",$F3472&amp;"")</f>
        <v/>
      </c>
      <c r="Y3472" s="94">
        <f>IF($A3472="",0,IF(AE3472="직접",IF(AF3472="비귀속",$P3472,0),$P3472*(1-AG3472)*IFERROR(INDEX(계정대체기준!$F$20:$F$49,MATCH($N3472,계정대체기준!$A$20:$A$49,0)),1)))</f>
        <v/>
      </c>
      <c r="Z3472" s="94">
        <f>IF($A3472="",0,IF(AE3472="직접",IF(AF3472="신계약비",$P3472,0),$P3472*(1-AG3472)*IFERROR(INDEX(계정대체기준!$C$20:$C$49,MATCH($N3472,계정대체기준!$A$20:$A$49,0)),0)))</f>
        <v/>
      </c>
      <c r="AA3472" s="94">
        <f>IF($A3472="",0,IF(AE3472="직접",IF(OR(AF3472="유지비",AF3472="손해조사비"),$P3472,0),$P3472*(1-AG3472)*IFERROR(INDEX(계정대체기준!$D$20:$D$49,MATCH($N3472,계정대체기준!$A$20:$A$49,0)),0)))</f>
        <v/>
      </c>
      <c r="AB3472" s="94">
        <f>IF($A3472="",0,IF(AE3472="직접",IF(AF3472="수금비",$P3472,0),$P3472*(1-AG3472)*IFERROR(INDEX(계정대체기준!$E$20:$E$49,MATCH($N3472,계정대체기준!$A$20:$A$49,0)),0)))</f>
        <v/>
      </c>
      <c r="AC3472" s="9">
        <f>IF(AND($A3472&lt;&gt;"",M3472=설정!$C$20,Z3472&gt;0),Z3472+ROW()/1000000000,"")</f>
        <v/>
      </c>
      <c r="AD3472" s="94">
        <f>IF($A3472="",0,$P3472*AG3472)</f>
        <v/>
      </c>
      <c r="AE3472" s="64">
        <f>IF($A3472="","",IFERROR(INDEX(계정매핑!$E$5:$E$504,MATCH($F3472&amp;"",계정매핑!$A$5:$A$504,0))&amp;"","공통비"))</f>
        <v/>
      </c>
      <c r="AF3472" s="64">
        <f>IF($A3472="","",IF(AE3472="직접",IFERROR(INDEX(계정매핑!$F$5:$F$504,MATCH($F3472&amp;"",계정매핑!$A$5:$A$504,0))&amp;"","비귀속"),""))</f>
        <v/>
      </c>
      <c r="AG3472" s="96">
        <f>IF($A3472="",0,IF(AND(AE3472&lt;&gt;"직접",IFERROR(INDEX(계정매핑!$G$5:$G$504,MATCH($F3472&amp;"",계정매핑!$A$5:$A$504,0))&amp;"","")="유지비",COUNTIF(계정대체기준!$A$6:$A$15,$N3472)&gt;0),IFERROR(INDEX(계정대체기준!$E$6:$E$15,MATCH(VALUE($A3472&amp;""),계정대체기준!$D$6:$D$15,0)),0),0))</f>
        <v/>
      </c>
      <c r="AH3472" s="64">
        <f>IF($A3472="","",IF(AD3472=0,"",IF(OR(COUNTIF(계정대체기준!$A$77:$A$86,$N3472)&gt;0,ISNUMBER(MATCH($X3472,계정대체기준!$D$77:$D$86,0)),ISNUMBER(MATCH($F3472,계정대체기준!$D$77:$D$86,0))),"Y","N")))</f>
        <v/>
      </c>
    </row>
    <row r="3473">
      <c r="A3473" s="92" t="n">
        <v>2026</v>
      </c>
      <c r="B3473" s="92" t="n">
        <v>4</v>
      </c>
      <c r="C3473" s="92" t="inlineStr">
        <is>
          <t>5100000751</t>
        </is>
      </c>
      <c r="D3473" s="95" t="n">
        <v>46122</v>
      </c>
      <c r="E3473" s="92" t="inlineStr">
        <is>
          <t>KR</t>
        </is>
      </c>
      <c r="F3473" s="92" t="n">
        <v>62101000</v>
      </c>
      <c r="G3473" s="92" t="n">
        <v>1101</v>
      </c>
      <c r="H3473" s="93" t="n">
        <v>527000</v>
      </c>
      <c r="I3473" s="92" t="inlineStr">
        <is>
          <t>4월 국내출장 - L여행사</t>
        </is>
      </c>
      <c r="J3473" s="92" t="inlineStr">
        <is>
          <t>V10018</t>
        </is>
      </c>
      <c r="K3473" s="92" t="inlineStr">
        <is>
          <t>L여행사</t>
        </is>
      </c>
      <c r="M3473" s="9">
        <f>IF($A3473="","",VALUE($A3473&amp;"")*12+VALUE($B3473&amp;""))</f>
        <v/>
      </c>
      <c r="N3473" s="64">
        <f>IF($A3473="","",IFERROR(INDEX(부서매핑!$C$5:$C$504,MATCH($G3473&amp;"",부서매핑!$A$5:$A$504,0)),"미매핑"))</f>
        <v/>
      </c>
      <c r="O3473" s="9">
        <f>IF($A3473="","",N3473&amp;"|"&amp;$F3473)</f>
        <v/>
      </c>
      <c r="P3473" s="94">
        <f>IF($A3473="",0,$H3473*설정!$C$23)</f>
        <v/>
      </c>
      <c r="Q3473" s="64">
        <f>IF($A3473="","",IF(O3473&lt;&gt;원인분석!$C$9,"",IF(AND(M3473&gt;=원인분석!$C$10,M3473&lt;=원인분석!$C$11),"당기",IF(AND(M3473&gt;=원인분석!$C$12,M3473&lt;=원인분석!$C$13),"비교",""))))</f>
        <v/>
      </c>
      <c r="R3473" s="9">
        <f>IF(Q3473="","",$K3473&amp;"")</f>
        <v/>
      </c>
      <c r="S3473" s="9">
        <f>IF(Q3473="","",IF(MATCH(R3473,$R$5:$R$100000,0)=ROW()-4,ROW(),""))</f>
        <v/>
      </c>
      <c r="T3473" s="9">
        <f>IF(Q3473="당기",ABS(P3473)+ROW()/1000000000,"")</f>
        <v/>
      </c>
      <c r="U3473" s="9">
        <f>IF(Q3473="비교",ABS(P3473)+ROW()/1000000000,"")</f>
        <v/>
      </c>
      <c r="V3473" s="64">
        <f>IF($A3473="","",IF(COUNTIF(변동분석!$E$7:$E$506,O3473)&gt;0,"Y","N"))</f>
        <v/>
      </c>
      <c r="W3473" s="64">
        <f>IF($A3473="","",IFERROR(INDEX(계정매핑!$D$5:$D$504,MATCH($F3473&amp;"",계정매핑!$A$5:$A$504,0)),"미매핑"))</f>
        <v/>
      </c>
      <c r="X3473" s="9">
        <f>IF($A3473="","",$F3473&amp;"")</f>
        <v/>
      </c>
      <c r="Y3473" s="94">
        <f>IF($A3473="",0,IF(AE3473="직접",IF(AF3473="비귀속",$P3473,0),$P3473*(1-AG3473)*IFERROR(INDEX(계정대체기준!$F$20:$F$49,MATCH($N3473,계정대체기준!$A$20:$A$49,0)),1)))</f>
        <v/>
      </c>
      <c r="Z3473" s="94">
        <f>IF($A3473="",0,IF(AE3473="직접",IF(AF3473="신계약비",$P3473,0),$P3473*(1-AG3473)*IFERROR(INDEX(계정대체기준!$C$20:$C$49,MATCH($N3473,계정대체기준!$A$20:$A$49,0)),0)))</f>
        <v/>
      </c>
      <c r="AA3473" s="94">
        <f>IF($A3473="",0,IF(AE3473="직접",IF(OR(AF3473="유지비",AF3473="손해조사비"),$P3473,0),$P3473*(1-AG3473)*IFERROR(INDEX(계정대체기준!$D$20:$D$49,MATCH($N3473,계정대체기준!$A$20:$A$49,0)),0)))</f>
        <v/>
      </c>
      <c r="AB3473" s="94">
        <f>IF($A3473="",0,IF(AE3473="직접",IF(AF3473="수금비",$P3473,0),$P3473*(1-AG3473)*IFERROR(INDEX(계정대체기준!$E$20:$E$49,MATCH($N3473,계정대체기준!$A$20:$A$49,0)),0)))</f>
        <v/>
      </c>
      <c r="AC3473" s="9">
        <f>IF(AND($A3473&lt;&gt;"",M3473=설정!$C$20,Z3473&gt;0),Z3473+ROW()/1000000000,"")</f>
        <v/>
      </c>
      <c r="AD3473" s="94">
        <f>IF($A3473="",0,$P3473*AG3473)</f>
        <v/>
      </c>
      <c r="AE3473" s="64">
        <f>IF($A3473="","",IFERROR(INDEX(계정매핑!$E$5:$E$504,MATCH($F3473&amp;"",계정매핑!$A$5:$A$504,0))&amp;"","공통비"))</f>
        <v/>
      </c>
      <c r="AF3473" s="64">
        <f>IF($A3473="","",IF(AE3473="직접",IFERROR(INDEX(계정매핑!$F$5:$F$504,MATCH($F3473&amp;"",계정매핑!$A$5:$A$504,0))&amp;"","비귀속"),""))</f>
        <v/>
      </c>
      <c r="AG3473" s="96">
        <f>IF($A3473="",0,IF(AND(AE3473&lt;&gt;"직접",IFERROR(INDEX(계정매핑!$G$5:$G$504,MATCH($F3473&amp;"",계정매핑!$A$5:$A$504,0))&amp;"","")="유지비",COUNTIF(계정대체기준!$A$6:$A$15,$N3473)&gt;0),IFERROR(INDEX(계정대체기준!$E$6:$E$15,MATCH(VALUE($A3473&amp;""),계정대체기준!$D$6:$D$15,0)),0),0))</f>
        <v/>
      </c>
      <c r="AH3473" s="64">
        <f>IF($A3473="","",IF(AD3473=0,"",IF(OR(COUNTIF(계정대체기준!$A$77:$A$86,$N3473)&gt;0,ISNUMBER(MATCH($X3473,계정대체기준!$D$77:$D$86,0)),ISNUMBER(MATCH($F3473,계정대체기준!$D$77:$D$86,0))),"Y","N")))</f>
        <v/>
      </c>
    </row>
    <row r="3474">
      <c r="A3474" s="92" t="n">
        <v>2026</v>
      </c>
      <c r="B3474" s="92" t="n">
        <v>4</v>
      </c>
      <c r="C3474" s="92" t="inlineStr">
        <is>
          <t>5100000752</t>
        </is>
      </c>
      <c r="D3474" s="95" t="n">
        <v>46122</v>
      </c>
      <c r="E3474" s="92" t="inlineStr">
        <is>
          <t>KR</t>
        </is>
      </c>
      <c r="F3474" s="92" t="n">
        <v>62101000</v>
      </c>
      <c r="G3474" s="92" t="n">
        <v>1101</v>
      </c>
      <c r="H3474" s="93" t="n">
        <v>379000</v>
      </c>
      <c r="I3474" s="92" t="inlineStr">
        <is>
          <t>4월 국내출장 - (법인카드)</t>
        </is>
      </c>
      <c r="J3474" s="92" t="inlineStr">
        <is>
          <t>V10010</t>
        </is>
      </c>
      <c r="K3474" s="92" t="inlineStr">
        <is>
          <t>(법인카드)</t>
        </is>
      </c>
      <c r="M3474" s="9">
        <f>IF($A3474="","",VALUE($A3474&amp;"")*12+VALUE($B3474&amp;""))</f>
        <v/>
      </c>
      <c r="N3474" s="64">
        <f>IF($A3474="","",IFERROR(INDEX(부서매핑!$C$5:$C$504,MATCH($G3474&amp;"",부서매핑!$A$5:$A$504,0)),"미매핑"))</f>
        <v/>
      </c>
      <c r="O3474" s="9">
        <f>IF($A3474="","",N3474&amp;"|"&amp;$F3474)</f>
        <v/>
      </c>
      <c r="P3474" s="94">
        <f>IF($A3474="",0,$H3474*설정!$C$23)</f>
        <v/>
      </c>
      <c r="Q3474" s="64">
        <f>IF($A3474="","",IF(O3474&lt;&gt;원인분석!$C$9,"",IF(AND(M3474&gt;=원인분석!$C$10,M3474&lt;=원인분석!$C$11),"당기",IF(AND(M3474&gt;=원인분석!$C$12,M3474&lt;=원인분석!$C$13),"비교",""))))</f>
        <v/>
      </c>
      <c r="R3474" s="9">
        <f>IF(Q3474="","",$K3474&amp;"")</f>
        <v/>
      </c>
      <c r="S3474" s="9">
        <f>IF(Q3474="","",IF(MATCH(R3474,$R$5:$R$100000,0)=ROW()-4,ROW(),""))</f>
        <v/>
      </c>
      <c r="T3474" s="9">
        <f>IF(Q3474="당기",ABS(P3474)+ROW()/1000000000,"")</f>
        <v/>
      </c>
      <c r="U3474" s="9">
        <f>IF(Q3474="비교",ABS(P3474)+ROW()/1000000000,"")</f>
        <v/>
      </c>
      <c r="V3474" s="64">
        <f>IF($A3474="","",IF(COUNTIF(변동분석!$E$7:$E$506,O3474)&gt;0,"Y","N"))</f>
        <v/>
      </c>
      <c r="W3474" s="64">
        <f>IF($A3474="","",IFERROR(INDEX(계정매핑!$D$5:$D$504,MATCH($F3474&amp;"",계정매핑!$A$5:$A$504,0)),"미매핑"))</f>
        <v/>
      </c>
      <c r="X3474" s="9">
        <f>IF($A3474="","",$F3474&amp;"")</f>
        <v/>
      </c>
      <c r="Y3474" s="94">
        <f>IF($A3474="",0,IF(AE3474="직접",IF(AF3474="비귀속",$P3474,0),$P3474*(1-AG3474)*IFERROR(INDEX(계정대체기준!$F$20:$F$49,MATCH($N3474,계정대체기준!$A$20:$A$49,0)),1)))</f>
        <v/>
      </c>
      <c r="Z3474" s="94">
        <f>IF($A3474="",0,IF(AE3474="직접",IF(AF3474="신계약비",$P3474,0),$P3474*(1-AG3474)*IFERROR(INDEX(계정대체기준!$C$20:$C$49,MATCH($N3474,계정대체기준!$A$20:$A$49,0)),0)))</f>
        <v/>
      </c>
      <c r="AA3474" s="94">
        <f>IF($A3474="",0,IF(AE3474="직접",IF(OR(AF3474="유지비",AF3474="손해조사비"),$P3474,0),$P3474*(1-AG3474)*IFERROR(INDEX(계정대체기준!$D$20:$D$49,MATCH($N3474,계정대체기준!$A$20:$A$49,0)),0)))</f>
        <v/>
      </c>
      <c r="AB3474" s="94">
        <f>IF($A3474="",0,IF(AE3474="직접",IF(AF3474="수금비",$P3474,0),$P3474*(1-AG3474)*IFERROR(INDEX(계정대체기준!$E$20:$E$49,MATCH($N3474,계정대체기준!$A$20:$A$49,0)),0)))</f>
        <v/>
      </c>
      <c r="AC3474" s="9">
        <f>IF(AND($A3474&lt;&gt;"",M3474=설정!$C$20,Z3474&gt;0),Z3474+ROW()/1000000000,"")</f>
        <v/>
      </c>
      <c r="AD3474" s="94">
        <f>IF($A3474="",0,$P3474*AG3474)</f>
        <v/>
      </c>
      <c r="AE3474" s="64">
        <f>IF($A3474="","",IFERROR(INDEX(계정매핑!$E$5:$E$504,MATCH($F3474&amp;"",계정매핑!$A$5:$A$504,0))&amp;"","공통비"))</f>
        <v/>
      </c>
      <c r="AF3474" s="64">
        <f>IF($A3474="","",IF(AE3474="직접",IFERROR(INDEX(계정매핑!$F$5:$F$504,MATCH($F3474&amp;"",계정매핑!$A$5:$A$504,0))&amp;"","비귀속"),""))</f>
        <v/>
      </c>
      <c r="AG3474" s="96">
        <f>IF($A3474="",0,IF(AND(AE3474&lt;&gt;"직접",IFERROR(INDEX(계정매핑!$G$5:$G$504,MATCH($F3474&amp;"",계정매핑!$A$5:$A$504,0))&amp;"","")="유지비",COUNTIF(계정대체기준!$A$6:$A$15,$N3474)&gt;0),IFERROR(INDEX(계정대체기준!$E$6:$E$15,MATCH(VALUE($A3474&amp;""),계정대체기준!$D$6:$D$15,0)),0),0))</f>
        <v/>
      </c>
      <c r="AH3474" s="64">
        <f>IF($A3474="","",IF(AD3474=0,"",IF(OR(COUNTIF(계정대체기준!$A$77:$A$86,$N3474)&gt;0,ISNUMBER(MATCH($X3474,계정대체기준!$D$77:$D$86,0)),ISNUMBER(MATCH($F3474,계정대체기준!$D$77:$D$86,0))),"Y","N")))</f>
        <v/>
      </c>
    </row>
    <row r="3475">
      <c r="A3475" s="92" t="n">
        <v>2026</v>
      </c>
      <c r="B3475" s="92" t="n">
        <v>4</v>
      </c>
      <c r="C3475" s="92" t="inlineStr">
        <is>
          <t>5100000753</t>
        </is>
      </c>
      <c r="D3475" s="95" t="n">
        <v>46122</v>
      </c>
      <c r="E3475" s="92" t="inlineStr">
        <is>
          <t>KR</t>
        </is>
      </c>
      <c r="F3475" s="92" t="n">
        <v>62101000</v>
      </c>
      <c r="G3475" s="92" t="n">
        <v>1951</v>
      </c>
      <c r="H3475" s="93" t="n">
        <v>271000</v>
      </c>
      <c r="I3475" s="92" t="inlineStr">
        <is>
          <t>4월 국내출장 - L여행사</t>
        </is>
      </c>
      <c r="J3475" s="92" t="inlineStr">
        <is>
          <t>V10018</t>
        </is>
      </c>
      <c r="K3475" s="92" t="inlineStr">
        <is>
          <t>L여행사</t>
        </is>
      </c>
      <c r="M3475" s="9">
        <f>IF($A3475="","",VALUE($A3475&amp;"")*12+VALUE($B3475&amp;""))</f>
        <v/>
      </c>
      <c r="N3475" s="64">
        <f>IF($A3475="","",IFERROR(INDEX(부서매핑!$C$5:$C$504,MATCH($G3475&amp;"",부서매핑!$A$5:$A$504,0)),"미매핑"))</f>
        <v/>
      </c>
      <c r="O3475" s="9">
        <f>IF($A3475="","",N3475&amp;"|"&amp;$F3475)</f>
        <v/>
      </c>
      <c r="P3475" s="94">
        <f>IF($A3475="",0,$H3475*설정!$C$23)</f>
        <v/>
      </c>
      <c r="Q3475" s="64">
        <f>IF($A3475="","",IF(O3475&lt;&gt;원인분석!$C$9,"",IF(AND(M3475&gt;=원인분석!$C$10,M3475&lt;=원인분석!$C$11),"당기",IF(AND(M3475&gt;=원인분석!$C$12,M3475&lt;=원인분석!$C$13),"비교",""))))</f>
        <v/>
      </c>
      <c r="R3475" s="9">
        <f>IF(Q3475="","",$K3475&amp;"")</f>
        <v/>
      </c>
      <c r="S3475" s="9">
        <f>IF(Q3475="","",IF(MATCH(R3475,$R$5:$R$100000,0)=ROW()-4,ROW(),""))</f>
        <v/>
      </c>
      <c r="T3475" s="9">
        <f>IF(Q3475="당기",ABS(P3475)+ROW()/1000000000,"")</f>
        <v/>
      </c>
      <c r="U3475" s="9">
        <f>IF(Q3475="비교",ABS(P3475)+ROW()/1000000000,"")</f>
        <v/>
      </c>
      <c r="V3475" s="64">
        <f>IF($A3475="","",IF(COUNTIF(변동분석!$E$7:$E$506,O3475)&gt;0,"Y","N"))</f>
        <v/>
      </c>
      <c r="W3475" s="64">
        <f>IF($A3475="","",IFERROR(INDEX(계정매핑!$D$5:$D$504,MATCH($F3475&amp;"",계정매핑!$A$5:$A$504,0)),"미매핑"))</f>
        <v/>
      </c>
      <c r="X3475" s="9">
        <f>IF($A3475="","",$F3475&amp;"")</f>
        <v/>
      </c>
      <c r="Y3475" s="94">
        <f>IF($A3475="",0,IF(AE3475="직접",IF(AF3475="비귀속",$P3475,0),$P3475*(1-AG3475)*IFERROR(INDEX(계정대체기준!$F$20:$F$49,MATCH($N3475,계정대체기준!$A$20:$A$49,0)),1)))</f>
        <v/>
      </c>
      <c r="Z3475" s="94">
        <f>IF($A3475="",0,IF(AE3475="직접",IF(AF3475="신계약비",$P3475,0),$P3475*(1-AG3475)*IFERROR(INDEX(계정대체기준!$C$20:$C$49,MATCH($N3475,계정대체기준!$A$20:$A$49,0)),0)))</f>
        <v/>
      </c>
      <c r="AA3475" s="94">
        <f>IF($A3475="",0,IF(AE3475="직접",IF(OR(AF3475="유지비",AF3475="손해조사비"),$P3475,0),$P3475*(1-AG3475)*IFERROR(INDEX(계정대체기준!$D$20:$D$49,MATCH($N3475,계정대체기준!$A$20:$A$49,0)),0)))</f>
        <v/>
      </c>
      <c r="AB3475" s="94">
        <f>IF($A3475="",0,IF(AE3475="직접",IF(AF3475="수금비",$P3475,0),$P3475*(1-AG3475)*IFERROR(INDEX(계정대체기준!$E$20:$E$49,MATCH($N3475,계정대체기준!$A$20:$A$49,0)),0)))</f>
        <v/>
      </c>
      <c r="AC3475" s="9">
        <f>IF(AND($A3475&lt;&gt;"",M3475=설정!$C$20,Z3475&gt;0),Z3475+ROW()/1000000000,"")</f>
        <v/>
      </c>
      <c r="AD3475" s="94">
        <f>IF($A3475="",0,$P3475*AG3475)</f>
        <v/>
      </c>
      <c r="AE3475" s="64">
        <f>IF($A3475="","",IFERROR(INDEX(계정매핑!$E$5:$E$504,MATCH($F3475&amp;"",계정매핑!$A$5:$A$504,0))&amp;"","공통비"))</f>
        <v/>
      </c>
      <c r="AF3475" s="64">
        <f>IF($A3475="","",IF(AE3475="직접",IFERROR(INDEX(계정매핑!$F$5:$F$504,MATCH($F3475&amp;"",계정매핑!$A$5:$A$504,0))&amp;"","비귀속"),""))</f>
        <v/>
      </c>
      <c r="AG3475" s="96">
        <f>IF($A3475="",0,IF(AND(AE3475&lt;&gt;"직접",IFERROR(INDEX(계정매핑!$G$5:$G$504,MATCH($F3475&amp;"",계정매핑!$A$5:$A$504,0))&amp;"","")="유지비",COUNTIF(계정대체기준!$A$6:$A$15,$N3475)&gt;0),IFERROR(INDEX(계정대체기준!$E$6:$E$15,MATCH(VALUE($A3475&amp;""),계정대체기준!$D$6:$D$15,0)),0),0))</f>
        <v/>
      </c>
      <c r="AH3475" s="64">
        <f>IF($A3475="","",IF(AD3475=0,"",IF(OR(COUNTIF(계정대체기준!$A$77:$A$86,$N3475)&gt;0,ISNUMBER(MATCH($X3475,계정대체기준!$D$77:$D$86,0)),ISNUMBER(MATCH($F3475,계정대체기준!$D$77:$D$86,0))),"Y","N")))</f>
        <v/>
      </c>
    </row>
    <row r="3476">
      <c r="A3476" s="92" t="n">
        <v>2026</v>
      </c>
      <c r="B3476" s="92" t="n">
        <v>4</v>
      </c>
      <c r="C3476" s="92" t="inlineStr">
        <is>
          <t>5100000754</t>
        </is>
      </c>
      <c r="D3476" s="95" t="n">
        <v>46122</v>
      </c>
      <c r="E3476" s="92" t="inlineStr">
        <is>
          <t>KR</t>
        </is>
      </c>
      <c r="F3476" s="92" t="n">
        <v>62102000</v>
      </c>
      <c r="G3476" s="92" t="n">
        <v>1951</v>
      </c>
      <c r="H3476" s="93" t="n">
        <v>88000</v>
      </c>
      <c r="I3476" s="92" t="inlineStr">
        <is>
          <t>4월 해외출장 - M항공</t>
        </is>
      </c>
      <c r="J3476" s="92" t="inlineStr">
        <is>
          <t>V10001</t>
        </is>
      </c>
      <c r="K3476" s="92" t="inlineStr">
        <is>
          <t>M항공</t>
        </is>
      </c>
      <c r="M3476" s="9">
        <f>IF($A3476="","",VALUE($A3476&amp;"")*12+VALUE($B3476&amp;""))</f>
        <v/>
      </c>
      <c r="N3476" s="64">
        <f>IF($A3476="","",IFERROR(INDEX(부서매핑!$C$5:$C$504,MATCH($G3476&amp;"",부서매핑!$A$5:$A$504,0)),"미매핑"))</f>
        <v/>
      </c>
      <c r="O3476" s="9">
        <f>IF($A3476="","",N3476&amp;"|"&amp;$F3476)</f>
        <v/>
      </c>
      <c r="P3476" s="94">
        <f>IF($A3476="",0,$H3476*설정!$C$23)</f>
        <v/>
      </c>
      <c r="Q3476" s="64">
        <f>IF($A3476="","",IF(O3476&lt;&gt;원인분석!$C$9,"",IF(AND(M3476&gt;=원인분석!$C$10,M3476&lt;=원인분석!$C$11),"당기",IF(AND(M3476&gt;=원인분석!$C$12,M3476&lt;=원인분석!$C$13),"비교",""))))</f>
        <v/>
      </c>
      <c r="R3476" s="9">
        <f>IF(Q3476="","",$K3476&amp;"")</f>
        <v/>
      </c>
      <c r="S3476" s="9">
        <f>IF(Q3476="","",IF(MATCH(R3476,$R$5:$R$100000,0)=ROW()-4,ROW(),""))</f>
        <v/>
      </c>
      <c r="T3476" s="9">
        <f>IF(Q3476="당기",ABS(P3476)+ROW()/1000000000,"")</f>
        <v/>
      </c>
      <c r="U3476" s="9">
        <f>IF(Q3476="비교",ABS(P3476)+ROW()/1000000000,"")</f>
        <v/>
      </c>
      <c r="V3476" s="64">
        <f>IF($A3476="","",IF(COUNTIF(변동분석!$E$7:$E$506,O3476)&gt;0,"Y","N"))</f>
        <v/>
      </c>
      <c r="W3476" s="64">
        <f>IF($A3476="","",IFERROR(INDEX(계정매핑!$D$5:$D$504,MATCH($F3476&amp;"",계정매핑!$A$5:$A$504,0)),"미매핑"))</f>
        <v/>
      </c>
      <c r="X3476" s="9">
        <f>IF($A3476="","",$F3476&amp;"")</f>
        <v/>
      </c>
      <c r="Y3476" s="94">
        <f>IF($A3476="",0,IF(AE3476="직접",IF(AF3476="비귀속",$P3476,0),$P3476*(1-AG3476)*IFERROR(INDEX(계정대체기준!$F$20:$F$49,MATCH($N3476,계정대체기준!$A$20:$A$49,0)),1)))</f>
        <v/>
      </c>
      <c r="Z3476" s="94">
        <f>IF($A3476="",0,IF(AE3476="직접",IF(AF3476="신계약비",$P3476,0),$P3476*(1-AG3476)*IFERROR(INDEX(계정대체기준!$C$20:$C$49,MATCH($N3476,계정대체기준!$A$20:$A$49,0)),0)))</f>
        <v/>
      </c>
      <c r="AA3476" s="94">
        <f>IF($A3476="",0,IF(AE3476="직접",IF(OR(AF3476="유지비",AF3476="손해조사비"),$P3476,0),$P3476*(1-AG3476)*IFERROR(INDEX(계정대체기준!$D$20:$D$49,MATCH($N3476,계정대체기준!$A$20:$A$49,0)),0)))</f>
        <v/>
      </c>
      <c r="AB3476" s="94">
        <f>IF($A3476="",0,IF(AE3476="직접",IF(AF3476="수금비",$P3476,0),$P3476*(1-AG3476)*IFERROR(INDEX(계정대체기준!$E$20:$E$49,MATCH($N3476,계정대체기준!$A$20:$A$49,0)),0)))</f>
        <v/>
      </c>
      <c r="AC3476" s="9">
        <f>IF(AND($A3476&lt;&gt;"",M3476=설정!$C$20,Z3476&gt;0),Z3476+ROW()/1000000000,"")</f>
        <v/>
      </c>
      <c r="AD3476" s="94">
        <f>IF($A3476="",0,$P3476*AG3476)</f>
        <v/>
      </c>
      <c r="AE3476" s="64">
        <f>IF($A3476="","",IFERROR(INDEX(계정매핑!$E$5:$E$504,MATCH($F3476&amp;"",계정매핑!$A$5:$A$504,0))&amp;"","공통비"))</f>
        <v/>
      </c>
      <c r="AF3476" s="64">
        <f>IF($A3476="","",IF(AE3476="직접",IFERROR(INDEX(계정매핑!$F$5:$F$504,MATCH($F3476&amp;"",계정매핑!$A$5:$A$504,0))&amp;"","비귀속"),""))</f>
        <v/>
      </c>
      <c r="AG3476" s="96">
        <f>IF($A3476="",0,IF(AND(AE3476&lt;&gt;"직접",IFERROR(INDEX(계정매핑!$G$5:$G$504,MATCH($F3476&amp;"",계정매핑!$A$5:$A$504,0))&amp;"","")="유지비",COUNTIF(계정대체기준!$A$6:$A$15,$N3476)&gt;0),IFERROR(INDEX(계정대체기준!$E$6:$E$15,MATCH(VALUE($A3476&amp;""),계정대체기준!$D$6:$D$15,0)),0),0))</f>
        <v/>
      </c>
      <c r="AH3476" s="64">
        <f>IF($A3476="","",IF(AD3476=0,"",IF(OR(COUNTIF(계정대체기준!$A$77:$A$86,$N3476)&gt;0,ISNUMBER(MATCH($X3476,계정대체기준!$D$77:$D$86,0)),ISNUMBER(MATCH($F3476,계정대체기준!$D$77:$D$86,0))),"Y","N")))</f>
        <v/>
      </c>
    </row>
    <row r="3477">
      <c r="A3477" s="92" t="n">
        <v>2026</v>
      </c>
      <c r="B3477" s="92" t="n">
        <v>4</v>
      </c>
      <c r="C3477" s="92" t="inlineStr">
        <is>
          <t>5100000755</t>
        </is>
      </c>
      <c r="D3477" s="95" t="n">
        <v>46122</v>
      </c>
      <c r="E3477" s="92" t="inlineStr">
        <is>
          <t>KR</t>
        </is>
      </c>
      <c r="F3477" s="92" t="n">
        <v>62201000</v>
      </c>
      <c r="G3477" s="92" t="n">
        <v>1601</v>
      </c>
      <c r="H3477" s="93" t="n">
        <v>972000</v>
      </c>
      <c r="I3477" s="92" t="inlineStr">
        <is>
          <t>4월 통신요금 - P통신</t>
        </is>
      </c>
      <c r="J3477" s="92" t="inlineStr">
        <is>
          <t>V10014</t>
        </is>
      </c>
      <c r="K3477" s="92" t="inlineStr">
        <is>
          <t>P통신</t>
        </is>
      </c>
      <c r="M3477" s="9">
        <f>IF($A3477="","",VALUE($A3477&amp;"")*12+VALUE($B3477&amp;""))</f>
        <v/>
      </c>
      <c r="N3477" s="64">
        <f>IF($A3477="","",IFERROR(INDEX(부서매핑!$C$5:$C$504,MATCH($G3477&amp;"",부서매핑!$A$5:$A$504,0)),"미매핑"))</f>
        <v/>
      </c>
      <c r="O3477" s="9">
        <f>IF($A3477="","",N3477&amp;"|"&amp;$F3477)</f>
        <v/>
      </c>
      <c r="P3477" s="94">
        <f>IF($A3477="",0,$H3477*설정!$C$23)</f>
        <v/>
      </c>
      <c r="Q3477" s="64">
        <f>IF($A3477="","",IF(O3477&lt;&gt;원인분석!$C$9,"",IF(AND(M3477&gt;=원인분석!$C$10,M3477&lt;=원인분석!$C$11),"당기",IF(AND(M3477&gt;=원인분석!$C$12,M3477&lt;=원인분석!$C$13),"비교",""))))</f>
        <v/>
      </c>
      <c r="R3477" s="9">
        <f>IF(Q3477="","",$K3477&amp;"")</f>
        <v/>
      </c>
      <c r="S3477" s="9">
        <f>IF(Q3477="","",IF(MATCH(R3477,$R$5:$R$100000,0)=ROW()-4,ROW(),""))</f>
        <v/>
      </c>
      <c r="T3477" s="9">
        <f>IF(Q3477="당기",ABS(P3477)+ROW()/1000000000,"")</f>
        <v/>
      </c>
      <c r="U3477" s="9">
        <f>IF(Q3477="비교",ABS(P3477)+ROW()/1000000000,"")</f>
        <v/>
      </c>
      <c r="V3477" s="64">
        <f>IF($A3477="","",IF(COUNTIF(변동분석!$E$7:$E$506,O3477)&gt;0,"Y","N"))</f>
        <v/>
      </c>
      <c r="W3477" s="64">
        <f>IF($A3477="","",IFERROR(INDEX(계정매핑!$D$5:$D$504,MATCH($F3477&amp;"",계정매핑!$A$5:$A$504,0)),"미매핑"))</f>
        <v/>
      </c>
      <c r="X3477" s="9">
        <f>IF($A3477="","",$F3477&amp;"")</f>
        <v/>
      </c>
      <c r="Y3477" s="94">
        <f>IF($A3477="",0,IF(AE3477="직접",IF(AF3477="비귀속",$P3477,0),$P3477*(1-AG3477)*IFERROR(INDEX(계정대체기준!$F$20:$F$49,MATCH($N3477,계정대체기준!$A$20:$A$49,0)),1)))</f>
        <v/>
      </c>
      <c r="Z3477" s="94">
        <f>IF($A3477="",0,IF(AE3477="직접",IF(AF3477="신계약비",$P3477,0),$P3477*(1-AG3477)*IFERROR(INDEX(계정대체기준!$C$20:$C$49,MATCH($N3477,계정대체기준!$A$20:$A$49,0)),0)))</f>
        <v/>
      </c>
      <c r="AA3477" s="94">
        <f>IF($A3477="",0,IF(AE3477="직접",IF(OR(AF3477="유지비",AF3477="손해조사비"),$P3477,0),$P3477*(1-AG3477)*IFERROR(INDEX(계정대체기준!$D$20:$D$49,MATCH($N3477,계정대체기준!$A$20:$A$49,0)),0)))</f>
        <v/>
      </c>
      <c r="AB3477" s="94">
        <f>IF($A3477="",0,IF(AE3477="직접",IF(AF3477="수금비",$P3477,0),$P3477*(1-AG3477)*IFERROR(INDEX(계정대체기준!$E$20:$E$49,MATCH($N3477,계정대체기준!$A$20:$A$49,0)),0)))</f>
        <v/>
      </c>
      <c r="AC3477" s="9">
        <f>IF(AND($A3477&lt;&gt;"",M3477=설정!$C$20,Z3477&gt;0),Z3477+ROW()/1000000000,"")</f>
        <v/>
      </c>
      <c r="AD3477" s="94">
        <f>IF($A3477="",0,$P3477*AG3477)</f>
        <v/>
      </c>
      <c r="AE3477" s="64">
        <f>IF($A3477="","",IFERROR(INDEX(계정매핑!$E$5:$E$504,MATCH($F3477&amp;"",계정매핑!$A$5:$A$504,0))&amp;"","공통비"))</f>
        <v/>
      </c>
      <c r="AF3477" s="64">
        <f>IF($A3477="","",IF(AE3477="직접",IFERROR(INDEX(계정매핑!$F$5:$F$504,MATCH($F3477&amp;"",계정매핑!$A$5:$A$504,0))&amp;"","비귀속"),""))</f>
        <v/>
      </c>
      <c r="AG3477" s="96">
        <f>IF($A3477="",0,IF(AND(AE3477&lt;&gt;"직접",IFERROR(INDEX(계정매핑!$G$5:$G$504,MATCH($F3477&amp;"",계정매핑!$A$5:$A$504,0))&amp;"","")="유지비",COUNTIF(계정대체기준!$A$6:$A$15,$N3477)&gt;0),IFERROR(INDEX(계정대체기준!$E$6:$E$15,MATCH(VALUE($A3477&amp;""),계정대체기준!$D$6:$D$15,0)),0),0))</f>
        <v/>
      </c>
      <c r="AH3477" s="64">
        <f>IF($A3477="","",IF(AD3477=0,"",IF(OR(COUNTIF(계정대체기준!$A$77:$A$86,$N3477)&gt;0,ISNUMBER(MATCH($X3477,계정대체기준!$D$77:$D$86,0)),ISNUMBER(MATCH($F3477,계정대체기준!$D$77:$D$86,0))),"Y","N")))</f>
        <v/>
      </c>
    </row>
    <row r="3478">
      <c r="A3478" s="92" t="n">
        <v>2026</v>
      </c>
      <c r="B3478" s="92" t="n">
        <v>4</v>
      </c>
      <c r="C3478" s="92" t="inlineStr">
        <is>
          <t>5100000756</t>
        </is>
      </c>
      <c r="D3478" s="95" t="n">
        <v>46122</v>
      </c>
      <c r="E3478" s="92" t="inlineStr">
        <is>
          <t>KR</t>
        </is>
      </c>
      <c r="F3478" s="92" t="n">
        <v>62201000</v>
      </c>
      <c r="G3478" s="92" t="n">
        <v>1801</v>
      </c>
      <c r="H3478" s="93" t="n">
        <v>3952000</v>
      </c>
      <c r="I3478" s="92" t="inlineStr">
        <is>
          <t>4월 통신요금 - P통신</t>
        </is>
      </c>
      <c r="J3478" s="92" t="inlineStr">
        <is>
          <t>V10014</t>
        </is>
      </c>
      <c r="K3478" s="92" t="inlineStr">
        <is>
          <t>P통신</t>
        </is>
      </c>
      <c r="M3478" s="9">
        <f>IF($A3478="","",VALUE($A3478&amp;"")*12+VALUE($B3478&amp;""))</f>
        <v/>
      </c>
      <c r="N3478" s="64">
        <f>IF($A3478="","",IFERROR(INDEX(부서매핑!$C$5:$C$504,MATCH($G3478&amp;"",부서매핑!$A$5:$A$504,0)),"미매핑"))</f>
        <v/>
      </c>
      <c r="O3478" s="9">
        <f>IF($A3478="","",N3478&amp;"|"&amp;$F3478)</f>
        <v/>
      </c>
      <c r="P3478" s="94">
        <f>IF($A3478="",0,$H3478*설정!$C$23)</f>
        <v/>
      </c>
      <c r="Q3478" s="64">
        <f>IF($A3478="","",IF(O3478&lt;&gt;원인분석!$C$9,"",IF(AND(M3478&gt;=원인분석!$C$10,M3478&lt;=원인분석!$C$11),"당기",IF(AND(M3478&gt;=원인분석!$C$12,M3478&lt;=원인분석!$C$13),"비교",""))))</f>
        <v/>
      </c>
      <c r="R3478" s="9">
        <f>IF(Q3478="","",$K3478&amp;"")</f>
        <v/>
      </c>
      <c r="S3478" s="9">
        <f>IF(Q3478="","",IF(MATCH(R3478,$R$5:$R$100000,0)=ROW()-4,ROW(),""))</f>
        <v/>
      </c>
      <c r="T3478" s="9">
        <f>IF(Q3478="당기",ABS(P3478)+ROW()/1000000000,"")</f>
        <v/>
      </c>
      <c r="U3478" s="9">
        <f>IF(Q3478="비교",ABS(P3478)+ROW()/1000000000,"")</f>
        <v/>
      </c>
      <c r="V3478" s="64">
        <f>IF($A3478="","",IF(COUNTIF(변동분석!$E$7:$E$506,O3478)&gt;0,"Y","N"))</f>
        <v/>
      </c>
      <c r="W3478" s="64">
        <f>IF($A3478="","",IFERROR(INDEX(계정매핑!$D$5:$D$504,MATCH($F3478&amp;"",계정매핑!$A$5:$A$504,0)),"미매핑"))</f>
        <v/>
      </c>
      <c r="X3478" s="9">
        <f>IF($A3478="","",$F3478&amp;"")</f>
        <v/>
      </c>
      <c r="Y3478" s="94">
        <f>IF($A3478="",0,IF(AE3478="직접",IF(AF3478="비귀속",$P3478,0),$P3478*(1-AG3478)*IFERROR(INDEX(계정대체기준!$F$20:$F$49,MATCH($N3478,계정대체기준!$A$20:$A$49,0)),1)))</f>
        <v/>
      </c>
      <c r="Z3478" s="94">
        <f>IF($A3478="",0,IF(AE3478="직접",IF(AF3478="신계약비",$P3478,0),$P3478*(1-AG3478)*IFERROR(INDEX(계정대체기준!$C$20:$C$49,MATCH($N3478,계정대체기준!$A$20:$A$49,0)),0)))</f>
        <v/>
      </c>
      <c r="AA3478" s="94">
        <f>IF($A3478="",0,IF(AE3478="직접",IF(OR(AF3478="유지비",AF3478="손해조사비"),$P3478,0),$P3478*(1-AG3478)*IFERROR(INDEX(계정대체기준!$D$20:$D$49,MATCH($N3478,계정대체기준!$A$20:$A$49,0)),0)))</f>
        <v/>
      </c>
      <c r="AB3478" s="94">
        <f>IF($A3478="",0,IF(AE3478="직접",IF(AF3478="수금비",$P3478,0),$P3478*(1-AG3478)*IFERROR(INDEX(계정대체기준!$E$20:$E$49,MATCH($N3478,계정대체기준!$A$20:$A$49,0)),0)))</f>
        <v/>
      </c>
      <c r="AC3478" s="9">
        <f>IF(AND($A3478&lt;&gt;"",M3478=설정!$C$20,Z3478&gt;0),Z3478+ROW()/1000000000,"")</f>
        <v/>
      </c>
      <c r="AD3478" s="94">
        <f>IF($A3478="",0,$P3478*AG3478)</f>
        <v/>
      </c>
      <c r="AE3478" s="64">
        <f>IF($A3478="","",IFERROR(INDEX(계정매핑!$E$5:$E$504,MATCH($F3478&amp;"",계정매핑!$A$5:$A$504,0))&amp;"","공통비"))</f>
        <v/>
      </c>
      <c r="AF3478" s="64">
        <f>IF($A3478="","",IF(AE3478="직접",IFERROR(INDEX(계정매핑!$F$5:$F$504,MATCH($F3478&amp;"",계정매핑!$A$5:$A$504,0))&amp;"","비귀속"),""))</f>
        <v/>
      </c>
      <c r="AG3478" s="96">
        <f>IF($A3478="",0,IF(AND(AE3478&lt;&gt;"직접",IFERROR(INDEX(계정매핑!$G$5:$G$504,MATCH($F3478&amp;"",계정매핑!$A$5:$A$504,0))&amp;"","")="유지비",COUNTIF(계정대체기준!$A$6:$A$15,$N3478)&gt;0),IFERROR(INDEX(계정대체기준!$E$6:$E$15,MATCH(VALUE($A3478&amp;""),계정대체기준!$D$6:$D$15,0)),0),0))</f>
        <v/>
      </c>
      <c r="AH3478" s="64">
        <f>IF($A3478="","",IF(AD3478=0,"",IF(OR(COUNTIF(계정대체기준!$A$77:$A$86,$N3478)&gt;0,ISNUMBER(MATCH($X3478,계정대체기준!$D$77:$D$86,0)),ISNUMBER(MATCH($F3478,계정대체기준!$D$77:$D$86,0))),"Y","N")))</f>
        <v/>
      </c>
    </row>
    <row r="3479">
      <c r="A3479" s="92" t="n">
        <v>2026</v>
      </c>
      <c r="B3479" s="92" t="n">
        <v>4</v>
      </c>
      <c r="C3479" s="92" t="inlineStr">
        <is>
          <t>5100000757</t>
        </is>
      </c>
      <c r="D3479" s="95" t="n">
        <v>46122</v>
      </c>
      <c r="E3479" s="92" t="inlineStr">
        <is>
          <t>KR</t>
        </is>
      </c>
      <c r="F3479" s="92" t="n">
        <v>62301000</v>
      </c>
      <c r="G3479" s="92" t="n">
        <v>1301</v>
      </c>
      <c r="H3479" s="93" t="n">
        <v>170000</v>
      </c>
      <c r="I3479" s="92" t="inlineStr">
        <is>
          <t>4월 소모품 구입 - R문구</t>
        </is>
      </c>
      <c r="J3479" s="92" t="inlineStr">
        <is>
          <t>V10022</t>
        </is>
      </c>
      <c r="K3479" s="92" t="inlineStr">
        <is>
          <t>R문구</t>
        </is>
      </c>
      <c r="M3479" s="9">
        <f>IF($A3479="","",VALUE($A3479&amp;"")*12+VALUE($B3479&amp;""))</f>
        <v/>
      </c>
      <c r="N3479" s="64">
        <f>IF($A3479="","",IFERROR(INDEX(부서매핑!$C$5:$C$504,MATCH($G3479&amp;"",부서매핑!$A$5:$A$504,0)),"미매핑"))</f>
        <v/>
      </c>
      <c r="O3479" s="9">
        <f>IF($A3479="","",N3479&amp;"|"&amp;$F3479)</f>
        <v/>
      </c>
      <c r="P3479" s="94">
        <f>IF($A3479="",0,$H3479*설정!$C$23)</f>
        <v/>
      </c>
      <c r="Q3479" s="64">
        <f>IF($A3479="","",IF(O3479&lt;&gt;원인분석!$C$9,"",IF(AND(M3479&gt;=원인분석!$C$10,M3479&lt;=원인분석!$C$11),"당기",IF(AND(M3479&gt;=원인분석!$C$12,M3479&lt;=원인분석!$C$13),"비교",""))))</f>
        <v/>
      </c>
      <c r="R3479" s="9">
        <f>IF(Q3479="","",$K3479&amp;"")</f>
        <v/>
      </c>
      <c r="S3479" s="9">
        <f>IF(Q3479="","",IF(MATCH(R3479,$R$5:$R$100000,0)=ROW()-4,ROW(),""))</f>
        <v/>
      </c>
      <c r="T3479" s="9">
        <f>IF(Q3479="당기",ABS(P3479)+ROW()/1000000000,"")</f>
        <v/>
      </c>
      <c r="U3479" s="9">
        <f>IF(Q3479="비교",ABS(P3479)+ROW()/1000000000,"")</f>
        <v/>
      </c>
      <c r="V3479" s="64">
        <f>IF($A3479="","",IF(COUNTIF(변동분석!$E$7:$E$506,O3479)&gt;0,"Y","N"))</f>
        <v/>
      </c>
      <c r="W3479" s="64">
        <f>IF($A3479="","",IFERROR(INDEX(계정매핑!$D$5:$D$504,MATCH($F3479&amp;"",계정매핑!$A$5:$A$504,0)),"미매핑"))</f>
        <v/>
      </c>
      <c r="X3479" s="9">
        <f>IF($A3479="","",$F3479&amp;"")</f>
        <v/>
      </c>
      <c r="Y3479" s="94">
        <f>IF($A3479="",0,IF(AE3479="직접",IF(AF3479="비귀속",$P3479,0),$P3479*(1-AG3479)*IFERROR(INDEX(계정대체기준!$F$20:$F$49,MATCH($N3479,계정대체기준!$A$20:$A$49,0)),1)))</f>
        <v/>
      </c>
      <c r="Z3479" s="94">
        <f>IF($A3479="",0,IF(AE3479="직접",IF(AF3479="신계약비",$P3479,0),$P3479*(1-AG3479)*IFERROR(INDEX(계정대체기준!$C$20:$C$49,MATCH($N3479,계정대체기준!$A$20:$A$49,0)),0)))</f>
        <v/>
      </c>
      <c r="AA3479" s="94">
        <f>IF($A3479="",0,IF(AE3479="직접",IF(OR(AF3479="유지비",AF3479="손해조사비"),$P3479,0),$P3479*(1-AG3479)*IFERROR(INDEX(계정대체기준!$D$20:$D$49,MATCH($N3479,계정대체기준!$A$20:$A$49,0)),0)))</f>
        <v/>
      </c>
      <c r="AB3479" s="94">
        <f>IF($A3479="",0,IF(AE3479="직접",IF(AF3479="수금비",$P3479,0),$P3479*(1-AG3479)*IFERROR(INDEX(계정대체기준!$E$20:$E$49,MATCH($N3479,계정대체기준!$A$20:$A$49,0)),0)))</f>
        <v/>
      </c>
      <c r="AC3479" s="9">
        <f>IF(AND($A3479&lt;&gt;"",M3479=설정!$C$20,Z3479&gt;0),Z3479+ROW()/1000000000,"")</f>
        <v/>
      </c>
      <c r="AD3479" s="94">
        <f>IF($A3479="",0,$P3479*AG3479)</f>
        <v/>
      </c>
      <c r="AE3479" s="64">
        <f>IF($A3479="","",IFERROR(INDEX(계정매핑!$E$5:$E$504,MATCH($F3479&amp;"",계정매핑!$A$5:$A$504,0))&amp;"","공통비"))</f>
        <v/>
      </c>
      <c r="AF3479" s="64">
        <f>IF($A3479="","",IF(AE3479="직접",IFERROR(INDEX(계정매핑!$F$5:$F$504,MATCH($F3479&amp;"",계정매핑!$A$5:$A$504,0))&amp;"","비귀속"),""))</f>
        <v/>
      </c>
      <c r="AG3479" s="96">
        <f>IF($A3479="",0,IF(AND(AE3479&lt;&gt;"직접",IFERROR(INDEX(계정매핑!$G$5:$G$504,MATCH($F3479&amp;"",계정매핑!$A$5:$A$504,0))&amp;"","")="유지비",COUNTIF(계정대체기준!$A$6:$A$15,$N3479)&gt;0),IFERROR(INDEX(계정대체기준!$E$6:$E$15,MATCH(VALUE($A3479&amp;""),계정대체기준!$D$6:$D$15,0)),0),0))</f>
        <v/>
      </c>
      <c r="AH3479" s="64">
        <f>IF($A3479="","",IF(AD3479=0,"",IF(OR(COUNTIF(계정대체기준!$A$77:$A$86,$N3479)&gt;0,ISNUMBER(MATCH($X3479,계정대체기준!$D$77:$D$86,0)),ISNUMBER(MATCH($F3479,계정대체기준!$D$77:$D$86,0))),"Y","N")))</f>
        <v/>
      </c>
    </row>
    <row r="3480">
      <c r="A3480" s="92" t="n">
        <v>2026</v>
      </c>
      <c r="B3480" s="92" t="n">
        <v>4</v>
      </c>
      <c r="C3480" s="92" t="inlineStr">
        <is>
          <t>5100000758</t>
        </is>
      </c>
      <c r="D3480" s="95" t="n">
        <v>46122</v>
      </c>
      <c r="E3480" s="92" t="inlineStr">
        <is>
          <t>KR</t>
        </is>
      </c>
      <c r="F3480" s="92" t="n">
        <v>62301000</v>
      </c>
      <c r="G3480" s="92" t="n">
        <v>1502</v>
      </c>
      <c r="H3480" s="93" t="n">
        <v>277000</v>
      </c>
      <c r="I3480" s="92" t="inlineStr">
        <is>
          <t>4월 소모품 구입 - Q오피스</t>
        </is>
      </c>
      <c r="J3480" s="92" t="inlineStr">
        <is>
          <t>V10003</t>
        </is>
      </c>
      <c r="K3480" s="92" t="inlineStr">
        <is>
          <t>Q오피스</t>
        </is>
      </c>
      <c r="M3480" s="9">
        <f>IF($A3480="","",VALUE($A3480&amp;"")*12+VALUE($B3480&amp;""))</f>
        <v/>
      </c>
      <c r="N3480" s="64">
        <f>IF($A3480="","",IFERROR(INDEX(부서매핑!$C$5:$C$504,MATCH($G3480&amp;"",부서매핑!$A$5:$A$504,0)),"미매핑"))</f>
        <v/>
      </c>
      <c r="O3480" s="9">
        <f>IF($A3480="","",N3480&amp;"|"&amp;$F3480)</f>
        <v/>
      </c>
      <c r="P3480" s="94">
        <f>IF($A3480="",0,$H3480*설정!$C$23)</f>
        <v/>
      </c>
      <c r="Q3480" s="64">
        <f>IF($A3480="","",IF(O3480&lt;&gt;원인분석!$C$9,"",IF(AND(M3480&gt;=원인분석!$C$10,M3480&lt;=원인분석!$C$11),"당기",IF(AND(M3480&gt;=원인분석!$C$12,M3480&lt;=원인분석!$C$13),"비교",""))))</f>
        <v/>
      </c>
      <c r="R3480" s="9">
        <f>IF(Q3480="","",$K3480&amp;"")</f>
        <v/>
      </c>
      <c r="S3480" s="9">
        <f>IF(Q3480="","",IF(MATCH(R3480,$R$5:$R$100000,0)=ROW()-4,ROW(),""))</f>
        <v/>
      </c>
      <c r="T3480" s="9">
        <f>IF(Q3480="당기",ABS(P3480)+ROW()/1000000000,"")</f>
        <v/>
      </c>
      <c r="U3480" s="9">
        <f>IF(Q3480="비교",ABS(P3480)+ROW()/1000000000,"")</f>
        <v/>
      </c>
      <c r="V3480" s="64">
        <f>IF($A3480="","",IF(COUNTIF(변동분석!$E$7:$E$506,O3480)&gt;0,"Y","N"))</f>
        <v/>
      </c>
      <c r="W3480" s="64">
        <f>IF($A3480="","",IFERROR(INDEX(계정매핑!$D$5:$D$504,MATCH($F3480&amp;"",계정매핑!$A$5:$A$504,0)),"미매핑"))</f>
        <v/>
      </c>
      <c r="X3480" s="9">
        <f>IF($A3480="","",$F3480&amp;"")</f>
        <v/>
      </c>
      <c r="Y3480" s="94">
        <f>IF($A3480="",0,IF(AE3480="직접",IF(AF3480="비귀속",$P3480,0),$P3480*(1-AG3480)*IFERROR(INDEX(계정대체기준!$F$20:$F$49,MATCH($N3480,계정대체기준!$A$20:$A$49,0)),1)))</f>
        <v/>
      </c>
      <c r="Z3480" s="94">
        <f>IF($A3480="",0,IF(AE3480="직접",IF(AF3480="신계약비",$P3480,0),$P3480*(1-AG3480)*IFERROR(INDEX(계정대체기준!$C$20:$C$49,MATCH($N3480,계정대체기준!$A$20:$A$49,0)),0)))</f>
        <v/>
      </c>
      <c r="AA3480" s="94">
        <f>IF($A3480="",0,IF(AE3480="직접",IF(OR(AF3480="유지비",AF3480="손해조사비"),$P3480,0),$P3480*(1-AG3480)*IFERROR(INDEX(계정대체기준!$D$20:$D$49,MATCH($N3480,계정대체기준!$A$20:$A$49,0)),0)))</f>
        <v/>
      </c>
      <c r="AB3480" s="94">
        <f>IF($A3480="",0,IF(AE3480="직접",IF(AF3480="수금비",$P3480,0),$P3480*(1-AG3480)*IFERROR(INDEX(계정대체기준!$E$20:$E$49,MATCH($N3480,계정대체기준!$A$20:$A$49,0)),0)))</f>
        <v/>
      </c>
      <c r="AC3480" s="9">
        <f>IF(AND($A3480&lt;&gt;"",M3480=설정!$C$20,Z3480&gt;0),Z3480+ROW()/1000000000,"")</f>
        <v/>
      </c>
      <c r="AD3480" s="94">
        <f>IF($A3480="",0,$P3480*AG3480)</f>
        <v/>
      </c>
      <c r="AE3480" s="64">
        <f>IF($A3480="","",IFERROR(INDEX(계정매핑!$E$5:$E$504,MATCH($F3480&amp;"",계정매핑!$A$5:$A$504,0))&amp;"","공통비"))</f>
        <v/>
      </c>
      <c r="AF3480" s="64">
        <f>IF($A3480="","",IF(AE3480="직접",IFERROR(INDEX(계정매핑!$F$5:$F$504,MATCH($F3480&amp;"",계정매핑!$A$5:$A$504,0))&amp;"","비귀속"),""))</f>
        <v/>
      </c>
      <c r="AG3480" s="96">
        <f>IF($A3480="",0,IF(AND(AE3480&lt;&gt;"직접",IFERROR(INDEX(계정매핑!$G$5:$G$504,MATCH($F3480&amp;"",계정매핑!$A$5:$A$504,0))&amp;"","")="유지비",COUNTIF(계정대체기준!$A$6:$A$15,$N3480)&gt;0),IFERROR(INDEX(계정대체기준!$E$6:$E$15,MATCH(VALUE($A3480&amp;""),계정대체기준!$D$6:$D$15,0)),0),0))</f>
        <v/>
      </c>
      <c r="AH3480" s="64">
        <f>IF($A3480="","",IF(AD3480=0,"",IF(OR(COUNTIF(계정대체기준!$A$77:$A$86,$N3480)&gt;0,ISNUMBER(MATCH($X3480,계정대체기준!$D$77:$D$86,0)),ISNUMBER(MATCH($F3480,계정대체기준!$D$77:$D$86,0))),"Y","N")))</f>
        <v/>
      </c>
    </row>
    <row r="3481">
      <c r="A3481" s="92" t="n">
        <v>2026</v>
      </c>
      <c r="B3481" s="92" t="n">
        <v>4</v>
      </c>
      <c r="C3481" s="92" t="inlineStr">
        <is>
          <t>5100000759</t>
        </is>
      </c>
      <c r="D3481" s="95" t="n">
        <v>46122</v>
      </c>
      <c r="E3481" s="92" t="inlineStr">
        <is>
          <t>KR</t>
        </is>
      </c>
      <c r="F3481" s="92" t="n">
        <v>62901000</v>
      </c>
      <c r="G3481" s="92" t="n">
        <v>1101</v>
      </c>
      <c r="H3481" s="93" t="n">
        <v>4573000</v>
      </c>
      <c r="I3481" s="92" t="inlineStr">
        <is>
          <t>4월 자문 수수료 - K회계법인</t>
        </is>
      </c>
      <c r="J3481" s="92" t="inlineStr">
        <is>
          <t>V10011</t>
        </is>
      </c>
      <c r="K3481" s="92" t="inlineStr">
        <is>
          <t>K회계법인</t>
        </is>
      </c>
      <c r="M3481" s="9">
        <f>IF($A3481="","",VALUE($A3481&amp;"")*12+VALUE($B3481&amp;""))</f>
        <v/>
      </c>
      <c r="N3481" s="64">
        <f>IF($A3481="","",IFERROR(INDEX(부서매핑!$C$5:$C$504,MATCH($G3481&amp;"",부서매핑!$A$5:$A$504,0)),"미매핑"))</f>
        <v/>
      </c>
      <c r="O3481" s="9">
        <f>IF($A3481="","",N3481&amp;"|"&amp;$F3481)</f>
        <v/>
      </c>
      <c r="P3481" s="94">
        <f>IF($A3481="",0,$H3481*설정!$C$23)</f>
        <v/>
      </c>
      <c r="Q3481" s="64">
        <f>IF($A3481="","",IF(O3481&lt;&gt;원인분석!$C$9,"",IF(AND(M3481&gt;=원인분석!$C$10,M3481&lt;=원인분석!$C$11),"당기",IF(AND(M3481&gt;=원인분석!$C$12,M3481&lt;=원인분석!$C$13),"비교",""))))</f>
        <v/>
      </c>
      <c r="R3481" s="9">
        <f>IF(Q3481="","",$K3481&amp;"")</f>
        <v/>
      </c>
      <c r="S3481" s="9">
        <f>IF(Q3481="","",IF(MATCH(R3481,$R$5:$R$100000,0)=ROW()-4,ROW(),""))</f>
        <v/>
      </c>
      <c r="T3481" s="9">
        <f>IF(Q3481="당기",ABS(P3481)+ROW()/1000000000,"")</f>
        <v/>
      </c>
      <c r="U3481" s="9">
        <f>IF(Q3481="비교",ABS(P3481)+ROW()/1000000000,"")</f>
        <v/>
      </c>
      <c r="V3481" s="64">
        <f>IF($A3481="","",IF(COUNTIF(변동분석!$E$7:$E$506,O3481)&gt;0,"Y","N"))</f>
        <v/>
      </c>
      <c r="W3481" s="64">
        <f>IF($A3481="","",IFERROR(INDEX(계정매핑!$D$5:$D$504,MATCH($F3481&amp;"",계정매핑!$A$5:$A$504,0)),"미매핑"))</f>
        <v/>
      </c>
      <c r="X3481" s="9">
        <f>IF($A3481="","",$F3481&amp;"")</f>
        <v/>
      </c>
      <c r="Y3481" s="94">
        <f>IF($A3481="",0,IF(AE3481="직접",IF(AF3481="비귀속",$P3481,0),$P3481*(1-AG3481)*IFERROR(INDEX(계정대체기준!$F$20:$F$49,MATCH($N3481,계정대체기준!$A$20:$A$49,0)),1)))</f>
        <v/>
      </c>
      <c r="Z3481" s="94">
        <f>IF($A3481="",0,IF(AE3481="직접",IF(AF3481="신계약비",$P3481,0),$P3481*(1-AG3481)*IFERROR(INDEX(계정대체기준!$C$20:$C$49,MATCH($N3481,계정대체기준!$A$20:$A$49,0)),0)))</f>
        <v/>
      </c>
      <c r="AA3481" s="94">
        <f>IF($A3481="",0,IF(AE3481="직접",IF(OR(AF3481="유지비",AF3481="손해조사비"),$P3481,0),$P3481*(1-AG3481)*IFERROR(INDEX(계정대체기준!$D$20:$D$49,MATCH($N3481,계정대체기준!$A$20:$A$49,0)),0)))</f>
        <v/>
      </c>
      <c r="AB3481" s="94">
        <f>IF($A3481="",0,IF(AE3481="직접",IF(AF3481="수금비",$P3481,0),$P3481*(1-AG3481)*IFERROR(INDEX(계정대체기준!$E$20:$E$49,MATCH($N3481,계정대체기준!$A$20:$A$49,0)),0)))</f>
        <v/>
      </c>
      <c r="AC3481" s="9">
        <f>IF(AND($A3481&lt;&gt;"",M3481=설정!$C$20,Z3481&gt;0),Z3481+ROW()/1000000000,"")</f>
        <v/>
      </c>
      <c r="AD3481" s="94">
        <f>IF($A3481="",0,$P3481*AG3481)</f>
        <v/>
      </c>
      <c r="AE3481" s="64">
        <f>IF($A3481="","",IFERROR(INDEX(계정매핑!$E$5:$E$504,MATCH($F3481&amp;"",계정매핑!$A$5:$A$504,0))&amp;"","공통비"))</f>
        <v/>
      </c>
      <c r="AF3481" s="64">
        <f>IF($A3481="","",IF(AE3481="직접",IFERROR(INDEX(계정매핑!$F$5:$F$504,MATCH($F3481&amp;"",계정매핑!$A$5:$A$504,0))&amp;"","비귀속"),""))</f>
        <v/>
      </c>
      <c r="AG3481" s="96">
        <f>IF($A3481="",0,IF(AND(AE3481&lt;&gt;"직접",IFERROR(INDEX(계정매핑!$G$5:$G$504,MATCH($F3481&amp;"",계정매핑!$A$5:$A$504,0))&amp;"","")="유지비",COUNTIF(계정대체기준!$A$6:$A$15,$N3481)&gt;0),IFERROR(INDEX(계정대체기준!$E$6:$E$15,MATCH(VALUE($A3481&amp;""),계정대체기준!$D$6:$D$15,0)),0),0))</f>
        <v/>
      </c>
      <c r="AH3481" s="64">
        <f>IF($A3481="","",IF(AD3481=0,"",IF(OR(COUNTIF(계정대체기준!$A$77:$A$86,$N3481)&gt;0,ISNUMBER(MATCH($X3481,계정대체기준!$D$77:$D$86,0)),ISNUMBER(MATCH($F3481,계정대체기준!$D$77:$D$86,0))),"Y","N")))</f>
        <v/>
      </c>
    </row>
    <row r="3482">
      <c r="A3482" s="92" t="n">
        <v>2026</v>
      </c>
      <c r="B3482" s="92" t="n">
        <v>4</v>
      </c>
      <c r="C3482" s="92" t="inlineStr">
        <is>
          <t>5100000760</t>
        </is>
      </c>
      <c r="D3482" s="95" t="n">
        <v>46122</v>
      </c>
      <c r="E3482" s="92" t="inlineStr">
        <is>
          <t>KR</t>
        </is>
      </c>
      <c r="F3482" s="92" t="n">
        <v>62901000</v>
      </c>
      <c r="G3482" s="92" t="n">
        <v>1101</v>
      </c>
      <c r="H3482" s="93" t="n">
        <v>2855000</v>
      </c>
      <c r="I3482" s="92" t="inlineStr">
        <is>
          <t>4월 자문 수수료 - W컨설팅</t>
        </is>
      </c>
      <c r="J3482" s="92" t="inlineStr">
        <is>
          <t>V10006</t>
        </is>
      </c>
      <c r="K3482" s="92" t="inlineStr">
        <is>
          <t>W컨설팅</t>
        </is>
      </c>
      <c r="M3482" s="9">
        <f>IF($A3482="","",VALUE($A3482&amp;"")*12+VALUE($B3482&amp;""))</f>
        <v/>
      </c>
      <c r="N3482" s="64">
        <f>IF($A3482="","",IFERROR(INDEX(부서매핑!$C$5:$C$504,MATCH($G3482&amp;"",부서매핑!$A$5:$A$504,0)),"미매핑"))</f>
        <v/>
      </c>
      <c r="O3482" s="9">
        <f>IF($A3482="","",N3482&amp;"|"&amp;$F3482)</f>
        <v/>
      </c>
      <c r="P3482" s="94">
        <f>IF($A3482="",0,$H3482*설정!$C$23)</f>
        <v/>
      </c>
      <c r="Q3482" s="64">
        <f>IF($A3482="","",IF(O3482&lt;&gt;원인분석!$C$9,"",IF(AND(M3482&gt;=원인분석!$C$10,M3482&lt;=원인분석!$C$11),"당기",IF(AND(M3482&gt;=원인분석!$C$12,M3482&lt;=원인분석!$C$13),"비교",""))))</f>
        <v/>
      </c>
      <c r="R3482" s="9">
        <f>IF(Q3482="","",$K3482&amp;"")</f>
        <v/>
      </c>
      <c r="S3482" s="9">
        <f>IF(Q3482="","",IF(MATCH(R3482,$R$5:$R$100000,0)=ROW()-4,ROW(),""))</f>
        <v/>
      </c>
      <c r="T3482" s="9">
        <f>IF(Q3482="당기",ABS(P3482)+ROW()/1000000000,"")</f>
        <v/>
      </c>
      <c r="U3482" s="9">
        <f>IF(Q3482="비교",ABS(P3482)+ROW()/1000000000,"")</f>
        <v/>
      </c>
      <c r="V3482" s="64">
        <f>IF($A3482="","",IF(COUNTIF(변동분석!$E$7:$E$506,O3482)&gt;0,"Y","N"))</f>
        <v/>
      </c>
      <c r="W3482" s="64">
        <f>IF($A3482="","",IFERROR(INDEX(계정매핑!$D$5:$D$504,MATCH($F3482&amp;"",계정매핑!$A$5:$A$504,0)),"미매핑"))</f>
        <v/>
      </c>
      <c r="X3482" s="9">
        <f>IF($A3482="","",$F3482&amp;"")</f>
        <v/>
      </c>
      <c r="Y3482" s="94">
        <f>IF($A3482="",0,IF(AE3482="직접",IF(AF3482="비귀속",$P3482,0),$P3482*(1-AG3482)*IFERROR(INDEX(계정대체기준!$F$20:$F$49,MATCH($N3482,계정대체기준!$A$20:$A$49,0)),1)))</f>
        <v/>
      </c>
      <c r="Z3482" s="94">
        <f>IF($A3482="",0,IF(AE3482="직접",IF(AF3482="신계약비",$P3482,0),$P3482*(1-AG3482)*IFERROR(INDEX(계정대체기준!$C$20:$C$49,MATCH($N3482,계정대체기준!$A$20:$A$49,0)),0)))</f>
        <v/>
      </c>
      <c r="AA3482" s="94">
        <f>IF($A3482="",0,IF(AE3482="직접",IF(OR(AF3482="유지비",AF3482="손해조사비"),$P3482,0),$P3482*(1-AG3482)*IFERROR(INDEX(계정대체기준!$D$20:$D$49,MATCH($N3482,계정대체기준!$A$20:$A$49,0)),0)))</f>
        <v/>
      </c>
      <c r="AB3482" s="94">
        <f>IF($A3482="",0,IF(AE3482="직접",IF(AF3482="수금비",$P3482,0),$P3482*(1-AG3482)*IFERROR(INDEX(계정대체기준!$E$20:$E$49,MATCH($N3482,계정대체기준!$A$20:$A$49,0)),0)))</f>
        <v/>
      </c>
      <c r="AC3482" s="9">
        <f>IF(AND($A3482&lt;&gt;"",M3482=설정!$C$20,Z3482&gt;0),Z3482+ROW()/1000000000,"")</f>
        <v/>
      </c>
      <c r="AD3482" s="94">
        <f>IF($A3482="",0,$P3482*AG3482)</f>
        <v/>
      </c>
      <c r="AE3482" s="64">
        <f>IF($A3482="","",IFERROR(INDEX(계정매핑!$E$5:$E$504,MATCH($F3482&amp;"",계정매핑!$A$5:$A$504,0))&amp;"","공통비"))</f>
        <v/>
      </c>
      <c r="AF3482" s="64">
        <f>IF($A3482="","",IF(AE3482="직접",IFERROR(INDEX(계정매핑!$F$5:$F$504,MATCH($F3482&amp;"",계정매핑!$A$5:$A$504,0))&amp;"","비귀속"),""))</f>
        <v/>
      </c>
      <c r="AG3482" s="96">
        <f>IF($A3482="",0,IF(AND(AE3482&lt;&gt;"직접",IFERROR(INDEX(계정매핑!$G$5:$G$504,MATCH($F3482&amp;"",계정매핑!$A$5:$A$504,0))&amp;"","")="유지비",COUNTIF(계정대체기준!$A$6:$A$15,$N3482)&gt;0),IFERROR(INDEX(계정대체기준!$E$6:$E$15,MATCH(VALUE($A3482&amp;""),계정대체기준!$D$6:$D$15,0)),0),0))</f>
        <v/>
      </c>
      <c r="AH3482" s="64">
        <f>IF($A3482="","",IF(AD3482=0,"",IF(OR(COUNTIF(계정대체기준!$A$77:$A$86,$N3482)&gt;0,ISNUMBER(MATCH($X3482,계정대체기준!$D$77:$D$86,0)),ISNUMBER(MATCH($F3482,계정대체기준!$D$77:$D$86,0))),"Y","N")))</f>
        <v/>
      </c>
    </row>
    <row r="3483">
      <c r="A3483" s="92" t="n">
        <v>2026</v>
      </c>
      <c r="B3483" s="92" t="n">
        <v>4</v>
      </c>
      <c r="C3483" s="92" t="inlineStr">
        <is>
          <t>5100000761</t>
        </is>
      </c>
      <c r="D3483" s="95" t="n">
        <v>46122</v>
      </c>
      <c r="E3483" s="92" t="inlineStr">
        <is>
          <t>KR</t>
        </is>
      </c>
      <c r="F3483" s="92" t="n">
        <v>62902000</v>
      </c>
      <c r="G3483" s="92" t="n">
        <v>1801</v>
      </c>
      <c r="H3483" s="93" t="n">
        <v>1754000</v>
      </c>
      <c r="I3483" s="92" t="inlineStr">
        <is>
          <t>4월 콜 위탁 수수료(건별)</t>
        </is>
      </c>
      <c r="J3483" s="92" t="inlineStr">
        <is>
          <t>V10016</t>
        </is>
      </c>
      <c r="K3483" s="92" t="inlineStr">
        <is>
          <t>J콜센터</t>
        </is>
      </c>
      <c r="M3483" s="9">
        <f>IF($A3483="","",VALUE($A3483&amp;"")*12+VALUE($B3483&amp;""))</f>
        <v/>
      </c>
      <c r="N3483" s="64">
        <f>IF($A3483="","",IFERROR(INDEX(부서매핑!$C$5:$C$504,MATCH($G3483&amp;"",부서매핑!$A$5:$A$504,0)),"미매핑"))</f>
        <v/>
      </c>
      <c r="O3483" s="9">
        <f>IF($A3483="","",N3483&amp;"|"&amp;$F3483)</f>
        <v/>
      </c>
      <c r="P3483" s="94">
        <f>IF($A3483="",0,$H3483*설정!$C$23)</f>
        <v/>
      </c>
      <c r="Q3483" s="64">
        <f>IF($A3483="","",IF(O3483&lt;&gt;원인분석!$C$9,"",IF(AND(M3483&gt;=원인분석!$C$10,M3483&lt;=원인분석!$C$11),"당기",IF(AND(M3483&gt;=원인분석!$C$12,M3483&lt;=원인분석!$C$13),"비교",""))))</f>
        <v/>
      </c>
      <c r="R3483" s="9">
        <f>IF(Q3483="","",$K3483&amp;"")</f>
        <v/>
      </c>
      <c r="S3483" s="9">
        <f>IF(Q3483="","",IF(MATCH(R3483,$R$5:$R$100000,0)=ROW()-4,ROW(),""))</f>
        <v/>
      </c>
      <c r="T3483" s="9">
        <f>IF(Q3483="당기",ABS(P3483)+ROW()/1000000000,"")</f>
        <v/>
      </c>
      <c r="U3483" s="9">
        <f>IF(Q3483="비교",ABS(P3483)+ROW()/1000000000,"")</f>
        <v/>
      </c>
      <c r="V3483" s="64">
        <f>IF($A3483="","",IF(COUNTIF(변동분석!$E$7:$E$506,O3483)&gt;0,"Y","N"))</f>
        <v/>
      </c>
      <c r="W3483" s="64">
        <f>IF($A3483="","",IFERROR(INDEX(계정매핑!$D$5:$D$504,MATCH($F3483&amp;"",계정매핑!$A$5:$A$504,0)),"미매핑"))</f>
        <v/>
      </c>
      <c r="X3483" s="9">
        <f>IF($A3483="","",$F3483&amp;"")</f>
        <v/>
      </c>
      <c r="Y3483" s="94">
        <f>IF($A3483="",0,IF(AE3483="직접",IF(AF3483="비귀속",$P3483,0),$P3483*(1-AG3483)*IFERROR(INDEX(계정대체기준!$F$20:$F$49,MATCH($N3483,계정대체기준!$A$20:$A$49,0)),1)))</f>
        <v/>
      </c>
      <c r="Z3483" s="94">
        <f>IF($A3483="",0,IF(AE3483="직접",IF(AF3483="신계약비",$P3483,0),$P3483*(1-AG3483)*IFERROR(INDEX(계정대체기준!$C$20:$C$49,MATCH($N3483,계정대체기준!$A$20:$A$49,0)),0)))</f>
        <v/>
      </c>
      <c r="AA3483" s="94">
        <f>IF($A3483="",0,IF(AE3483="직접",IF(OR(AF3483="유지비",AF3483="손해조사비"),$P3483,0),$P3483*(1-AG3483)*IFERROR(INDEX(계정대체기준!$D$20:$D$49,MATCH($N3483,계정대체기준!$A$20:$A$49,0)),0)))</f>
        <v/>
      </c>
      <c r="AB3483" s="94">
        <f>IF($A3483="",0,IF(AE3483="직접",IF(AF3483="수금비",$P3483,0),$P3483*(1-AG3483)*IFERROR(INDEX(계정대체기준!$E$20:$E$49,MATCH($N3483,계정대체기준!$A$20:$A$49,0)),0)))</f>
        <v/>
      </c>
      <c r="AC3483" s="9">
        <f>IF(AND($A3483&lt;&gt;"",M3483=설정!$C$20,Z3483&gt;0),Z3483+ROW()/1000000000,"")</f>
        <v/>
      </c>
      <c r="AD3483" s="94">
        <f>IF($A3483="",0,$P3483*AG3483)</f>
        <v/>
      </c>
      <c r="AE3483" s="64">
        <f>IF($A3483="","",IFERROR(INDEX(계정매핑!$E$5:$E$504,MATCH($F3483&amp;"",계정매핑!$A$5:$A$504,0))&amp;"","공통비"))</f>
        <v/>
      </c>
      <c r="AF3483" s="64">
        <f>IF($A3483="","",IF(AE3483="직접",IFERROR(INDEX(계정매핑!$F$5:$F$504,MATCH($F3483&amp;"",계정매핑!$A$5:$A$504,0))&amp;"","비귀속"),""))</f>
        <v/>
      </c>
      <c r="AG3483" s="96">
        <f>IF($A3483="",0,IF(AND(AE3483&lt;&gt;"직접",IFERROR(INDEX(계정매핑!$G$5:$G$504,MATCH($F3483&amp;"",계정매핑!$A$5:$A$504,0))&amp;"","")="유지비",COUNTIF(계정대체기준!$A$6:$A$15,$N3483)&gt;0),IFERROR(INDEX(계정대체기준!$E$6:$E$15,MATCH(VALUE($A3483&amp;""),계정대체기준!$D$6:$D$15,0)),0),0))</f>
        <v/>
      </c>
      <c r="AH3483" s="64">
        <f>IF($A3483="","",IF(AD3483=0,"",IF(OR(COUNTIF(계정대체기준!$A$77:$A$86,$N3483)&gt;0,ISNUMBER(MATCH($X3483,계정대체기준!$D$77:$D$86,0)),ISNUMBER(MATCH($F3483,계정대체기준!$D$77:$D$86,0))),"Y","N")))</f>
        <v/>
      </c>
    </row>
    <row r="3484">
      <c r="A3484" s="92" t="n">
        <v>2026</v>
      </c>
      <c r="B3484" s="92" t="n">
        <v>4</v>
      </c>
      <c r="C3484" s="92" t="inlineStr">
        <is>
          <t>5100000762</t>
        </is>
      </c>
      <c r="D3484" s="95" t="n">
        <v>46122</v>
      </c>
      <c r="E3484" s="92" t="inlineStr">
        <is>
          <t>KR</t>
        </is>
      </c>
      <c r="F3484" s="92" t="n">
        <v>62902000</v>
      </c>
      <c r="G3484" s="92" t="n">
        <v>1801</v>
      </c>
      <c r="H3484" s="93" t="n">
        <v>1816000</v>
      </c>
      <c r="I3484" s="92" t="inlineStr">
        <is>
          <t>4월 콜 위탁 수수료(건별)</t>
        </is>
      </c>
      <c r="J3484" s="92" t="inlineStr">
        <is>
          <t>V10016</t>
        </is>
      </c>
      <c r="K3484" s="92" t="inlineStr">
        <is>
          <t>J콜센터</t>
        </is>
      </c>
      <c r="M3484" s="9">
        <f>IF($A3484="","",VALUE($A3484&amp;"")*12+VALUE($B3484&amp;""))</f>
        <v/>
      </c>
      <c r="N3484" s="64">
        <f>IF($A3484="","",IFERROR(INDEX(부서매핑!$C$5:$C$504,MATCH($G3484&amp;"",부서매핑!$A$5:$A$504,0)),"미매핑"))</f>
        <v/>
      </c>
      <c r="O3484" s="9">
        <f>IF($A3484="","",N3484&amp;"|"&amp;$F3484)</f>
        <v/>
      </c>
      <c r="P3484" s="94">
        <f>IF($A3484="",0,$H3484*설정!$C$23)</f>
        <v/>
      </c>
      <c r="Q3484" s="64">
        <f>IF($A3484="","",IF(O3484&lt;&gt;원인분석!$C$9,"",IF(AND(M3484&gt;=원인분석!$C$10,M3484&lt;=원인분석!$C$11),"당기",IF(AND(M3484&gt;=원인분석!$C$12,M3484&lt;=원인분석!$C$13),"비교",""))))</f>
        <v/>
      </c>
      <c r="R3484" s="9">
        <f>IF(Q3484="","",$K3484&amp;"")</f>
        <v/>
      </c>
      <c r="S3484" s="9">
        <f>IF(Q3484="","",IF(MATCH(R3484,$R$5:$R$100000,0)=ROW()-4,ROW(),""))</f>
        <v/>
      </c>
      <c r="T3484" s="9">
        <f>IF(Q3484="당기",ABS(P3484)+ROW()/1000000000,"")</f>
        <v/>
      </c>
      <c r="U3484" s="9">
        <f>IF(Q3484="비교",ABS(P3484)+ROW()/1000000000,"")</f>
        <v/>
      </c>
      <c r="V3484" s="64">
        <f>IF($A3484="","",IF(COUNTIF(변동분석!$E$7:$E$506,O3484)&gt;0,"Y","N"))</f>
        <v/>
      </c>
      <c r="W3484" s="64">
        <f>IF($A3484="","",IFERROR(INDEX(계정매핑!$D$5:$D$504,MATCH($F3484&amp;"",계정매핑!$A$5:$A$504,0)),"미매핑"))</f>
        <v/>
      </c>
      <c r="X3484" s="9">
        <f>IF($A3484="","",$F3484&amp;"")</f>
        <v/>
      </c>
      <c r="Y3484" s="94">
        <f>IF($A3484="",0,IF(AE3484="직접",IF(AF3484="비귀속",$P3484,0),$P3484*(1-AG3484)*IFERROR(INDEX(계정대체기준!$F$20:$F$49,MATCH($N3484,계정대체기준!$A$20:$A$49,0)),1)))</f>
        <v/>
      </c>
      <c r="Z3484" s="94">
        <f>IF($A3484="",0,IF(AE3484="직접",IF(AF3484="신계약비",$P3484,0),$P3484*(1-AG3484)*IFERROR(INDEX(계정대체기준!$C$20:$C$49,MATCH($N3484,계정대체기준!$A$20:$A$49,0)),0)))</f>
        <v/>
      </c>
      <c r="AA3484" s="94">
        <f>IF($A3484="",0,IF(AE3484="직접",IF(OR(AF3484="유지비",AF3484="손해조사비"),$P3484,0),$P3484*(1-AG3484)*IFERROR(INDEX(계정대체기준!$D$20:$D$49,MATCH($N3484,계정대체기준!$A$20:$A$49,0)),0)))</f>
        <v/>
      </c>
      <c r="AB3484" s="94">
        <f>IF($A3484="",0,IF(AE3484="직접",IF(AF3484="수금비",$P3484,0),$P3484*(1-AG3484)*IFERROR(INDEX(계정대체기준!$E$20:$E$49,MATCH($N3484,계정대체기준!$A$20:$A$49,0)),0)))</f>
        <v/>
      </c>
      <c r="AC3484" s="9">
        <f>IF(AND($A3484&lt;&gt;"",M3484=설정!$C$20,Z3484&gt;0),Z3484+ROW()/1000000000,"")</f>
        <v/>
      </c>
      <c r="AD3484" s="94">
        <f>IF($A3484="",0,$P3484*AG3484)</f>
        <v/>
      </c>
      <c r="AE3484" s="64">
        <f>IF($A3484="","",IFERROR(INDEX(계정매핑!$E$5:$E$504,MATCH($F3484&amp;"",계정매핑!$A$5:$A$504,0))&amp;"","공통비"))</f>
        <v/>
      </c>
      <c r="AF3484" s="64">
        <f>IF($A3484="","",IF(AE3484="직접",IFERROR(INDEX(계정매핑!$F$5:$F$504,MATCH($F3484&amp;"",계정매핑!$A$5:$A$504,0))&amp;"","비귀속"),""))</f>
        <v/>
      </c>
      <c r="AG3484" s="96">
        <f>IF($A3484="",0,IF(AND(AE3484&lt;&gt;"직접",IFERROR(INDEX(계정매핑!$G$5:$G$504,MATCH($F3484&amp;"",계정매핑!$A$5:$A$504,0))&amp;"","")="유지비",COUNTIF(계정대체기준!$A$6:$A$15,$N3484)&gt;0),IFERROR(INDEX(계정대체기준!$E$6:$E$15,MATCH(VALUE($A3484&amp;""),계정대체기준!$D$6:$D$15,0)),0),0))</f>
        <v/>
      </c>
      <c r="AH3484" s="64">
        <f>IF($A3484="","",IF(AD3484=0,"",IF(OR(COUNTIF(계정대체기준!$A$77:$A$86,$N3484)&gt;0,ISNUMBER(MATCH($X3484,계정대체기준!$D$77:$D$86,0)),ISNUMBER(MATCH($F3484,계정대체기준!$D$77:$D$86,0))),"Y","N")))</f>
        <v/>
      </c>
    </row>
    <row r="3485">
      <c r="A3485" s="92" t="n">
        <v>2026</v>
      </c>
      <c r="B3485" s="92" t="n">
        <v>4</v>
      </c>
      <c r="C3485" s="92" t="inlineStr">
        <is>
          <t>5100000763</t>
        </is>
      </c>
      <c r="D3485" s="95" t="n">
        <v>46122</v>
      </c>
      <c r="E3485" s="92" t="inlineStr">
        <is>
          <t>KR</t>
        </is>
      </c>
      <c r="F3485" s="92" t="n">
        <v>63001000</v>
      </c>
      <c r="G3485" s="92" t="n">
        <v>1951</v>
      </c>
      <c r="H3485" s="93" t="n">
        <v>5371000</v>
      </c>
      <c r="I3485" s="92" t="inlineStr">
        <is>
          <t>4월 SW 유지보수 - Z시스템</t>
        </is>
      </c>
      <c r="J3485" s="92" t="inlineStr">
        <is>
          <t>V10012</t>
        </is>
      </c>
      <c r="K3485" s="92" t="inlineStr">
        <is>
          <t>Z시스템</t>
        </is>
      </c>
      <c r="M3485" s="9">
        <f>IF($A3485="","",VALUE($A3485&amp;"")*12+VALUE($B3485&amp;""))</f>
        <v/>
      </c>
      <c r="N3485" s="64">
        <f>IF($A3485="","",IFERROR(INDEX(부서매핑!$C$5:$C$504,MATCH($G3485&amp;"",부서매핑!$A$5:$A$504,0)),"미매핑"))</f>
        <v/>
      </c>
      <c r="O3485" s="9">
        <f>IF($A3485="","",N3485&amp;"|"&amp;$F3485)</f>
        <v/>
      </c>
      <c r="P3485" s="94">
        <f>IF($A3485="",0,$H3485*설정!$C$23)</f>
        <v/>
      </c>
      <c r="Q3485" s="64">
        <f>IF($A3485="","",IF(O3485&lt;&gt;원인분석!$C$9,"",IF(AND(M3485&gt;=원인분석!$C$10,M3485&lt;=원인분석!$C$11),"당기",IF(AND(M3485&gt;=원인분석!$C$12,M3485&lt;=원인분석!$C$13),"비교",""))))</f>
        <v/>
      </c>
      <c r="R3485" s="9">
        <f>IF(Q3485="","",$K3485&amp;"")</f>
        <v/>
      </c>
      <c r="S3485" s="9">
        <f>IF(Q3485="","",IF(MATCH(R3485,$R$5:$R$100000,0)=ROW()-4,ROW(),""))</f>
        <v/>
      </c>
      <c r="T3485" s="9">
        <f>IF(Q3485="당기",ABS(P3485)+ROW()/1000000000,"")</f>
        <v/>
      </c>
      <c r="U3485" s="9">
        <f>IF(Q3485="비교",ABS(P3485)+ROW()/1000000000,"")</f>
        <v/>
      </c>
      <c r="V3485" s="64">
        <f>IF($A3485="","",IF(COUNTIF(변동분석!$E$7:$E$506,O3485)&gt;0,"Y","N"))</f>
        <v/>
      </c>
      <c r="W3485" s="64">
        <f>IF($A3485="","",IFERROR(INDEX(계정매핑!$D$5:$D$504,MATCH($F3485&amp;"",계정매핑!$A$5:$A$504,0)),"미매핑"))</f>
        <v/>
      </c>
      <c r="X3485" s="9">
        <f>IF($A3485="","",$F3485&amp;"")</f>
        <v/>
      </c>
      <c r="Y3485" s="94">
        <f>IF($A3485="",0,IF(AE3485="직접",IF(AF3485="비귀속",$P3485,0),$P3485*(1-AG3485)*IFERROR(INDEX(계정대체기준!$F$20:$F$49,MATCH($N3485,계정대체기준!$A$20:$A$49,0)),1)))</f>
        <v/>
      </c>
      <c r="Z3485" s="94">
        <f>IF($A3485="",0,IF(AE3485="직접",IF(AF3485="신계약비",$P3485,0),$P3485*(1-AG3485)*IFERROR(INDEX(계정대체기준!$C$20:$C$49,MATCH($N3485,계정대체기준!$A$20:$A$49,0)),0)))</f>
        <v/>
      </c>
      <c r="AA3485" s="94">
        <f>IF($A3485="",0,IF(AE3485="직접",IF(OR(AF3485="유지비",AF3485="손해조사비"),$P3485,0),$P3485*(1-AG3485)*IFERROR(INDEX(계정대체기준!$D$20:$D$49,MATCH($N3485,계정대체기준!$A$20:$A$49,0)),0)))</f>
        <v/>
      </c>
      <c r="AB3485" s="94">
        <f>IF($A3485="",0,IF(AE3485="직접",IF(AF3485="수금비",$P3485,0),$P3485*(1-AG3485)*IFERROR(INDEX(계정대체기준!$E$20:$E$49,MATCH($N3485,계정대체기준!$A$20:$A$49,0)),0)))</f>
        <v/>
      </c>
      <c r="AC3485" s="9">
        <f>IF(AND($A3485&lt;&gt;"",M3485=설정!$C$20,Z3485&gt;0),Z3485+ROW()/1000000000,"")</f>
        <v/>
      </c>
      <c r="AD3485" s="94">
        <f>IF($A3485="",0,$P3485*AG3485)</f>
        <v/>
      </c>
      <c r="AE3485" s="64">
        <f>IF($A3485="","",IFERROR(INDEX(계정매핑!$E$5:$E$504,MATCH($F3485&amp;"",계정매핑!$A$5:$A$504,0))&amp;"","공통비"))</f>
        <v/>
      </c>
      <c r="AF3485" s="64">
        <f>IF($A3485="","",IF(AE3485="직접",IFERROR(INDEX(계정매핑!$F$5:$F$504,MATCH($F3485&amp;"",계정매핑!$A$5:$A$504,0))&amp;"","비귀속"),""))</f>
        <v/>
      </c>
      <c r="AG3485" s="96">
        <f>IF($A3485="",0,IF(AND(AE3485&lt;&gt;"직접",IFERROR(INDEX(계정매핑!$G$5:$G$504,MATCH($F3485&amp;"",계정매핑!$A$5:$A$504,0))&amp;"","")="유지비",COUNTIF(계정대체기준!$A$6:$A$15,$N3485)&gt;0),IFERROR(INDEX(계정대체기준!$E$6:$E$15,MATCH(VALUE($A3485&amp;""),계정대체기준!$D$6:$D$15,0)),0),0))</f>
        <v/>
      </c>
      <c r="AH3485" s="64">
        <f>IF($A3485="","",IF(AD3485=0,"",IF(OR(COUNTIF(계정대체기준!$A$77:$A$86,$N3485)&gt;0,ISNUMBER(MATCH($X3485,계정대체기준!$D$77:$D$86,0)),ISNUMBER(MATCH($F3485,계정대체기준!$D$77:$D$86,0))),"Y","N")))</f>
        <v/>
      </c>
    </row>
    <row r="3486">
      <c r="A3486" s="92" t="n">
        <v>2026</v>
      </c>
      <c r="B3486" s="92" t="n">
        <v>4</v>
      </c>
      <c r="C3486" s="92" t="inlineStr">
        <is>
          <t>5100000764</t>
        </is>
      </c>
      <c r="D3486" s="95" t="n">
        <v>46123</v>
      </c>
      <c r="E3486" s="92" t="inlineStr">
        <is>
          <t>KR</t>
        </is>
      </c>
      <c r="F3486" s="92" t="n">
        <v>62101000</v>
      </c>
      <c r="G3486" s="92" t="n">
        <v>1602</v>
      </c>
      <c r="H3486" s="93" t="n">
        <v>925000</v>
      </c>
      <c r="I3486" s="92" t="inlineStr">
        <is>
          <t>4월 국내출장 - L여행사</t>
        </is>
      </c>
      <c r="J3486" s="92" t="inlineStr">
        <is>
          <t>V10018</t>
        </is>
      </c>
      <c r="K3486" s="92" t="inlineStr">
        <is>
          <t>L여행사</t>
        </is>
      </c>
      <c r="M3486" s="9">
        <f>IF($A3486="","",VALUE($A3486&amp;"")*12+VALUE($B3486&amp;""))</f>
        <v/>
      </c>
      <c r="N3486" s="64">
        <f>IF($A3486="","",IFERROR(INDEX(부서매핑!$C$5:$C$504,MATCH($G3486&amp;"",부서매핑!$A$5:$A$504,0)),"미매핑"))</f>
        <v/>
      </c>
      <c r="O3486" s="9">
        <f>IF($A3486="","",N3486&amp;"|"&amp;$F3486)</f>
        <v/>
      </c>
      <c r="P3486" s="94">
        <f>IF($A3486="",0,$H3486*설정!$C$23)</f>
        <v/>
      </c>
      <c r="Q3486" s="64">
        <f>IF($A3486="","",IF(O3486&lt;&gt;원인분석!$C$9,"",IF(AND(M3486&gt;=원인분석!$C$10,M3486&lt;=원인분석!$C$11),"당기",IF(AND(M3486&gt;=원인분석!$C$12,M3486&lt;=원인분석!$C$13),"비교",""))))</f>
        <v/>
      </c>
      <c r="R3486" s="9">
        <f>IF(Q3486="","",$K3486&amp;"")</f>
        <v/>
      </c>
      <c r="S3486" s="9">
        <f>IF(Q3486="","",IF(MATCH(R3486,$R$5:$R$100000,0)=ROW()-4,ROW(),""))</f>
        <v/>
      </c>
      <c r="T3486" s="9">
        <f>IF(Q3486="당기",ABS(P3486)+ROW()/1000000000,"")</f>
        <v/>
      </c>
      <c r="U3486" s="9">
        <f>IF(Q3486="비교",ABS(P3486)+ROW()/1000000000,"")</f>
        <v/>
      </c>
      <c r="V3486" s="64">
        <f>IF($A3486="","",IF(COUNTIF(변동분석!$E$7:$E$506,O3486)&gt;0,"Y","N"))</f>
        <v/>
      </c>
      <c r="W3486" s="64">
        <f>IF($A3486="","",IFERROR(INDEX(계정매핑!$D$5:$D$504,MATCH($F3486&amp;"",계정매핑!$A$5:$A$504,0)),"미매핑"))</f>
        <v/>
      </c>
      <c r="X3486" s="9">
        <f>IF($A3486="","",$F3486&amp;"")</f>
        <v/>
      </c>
      <c r="Y3486" s="94">
        <f>IF($A3486="",0,IF(AE3486="직접",IF(AF3486="비귀속",$P3486,0),$P3486*(1-AG3486)*IFERROR(INDEX(계정대체기준!$F$20:$F$49,MATCH($N3486,계정대체기준!$A$20:$A$49,0)),1)))</f>
        <v/>
      </c>
      <c r="Z3486" s="94">
        <f>IF($A3486="",0,IF(AE3486="직접",IF(AF3486="신계약비",$P3486,0),$P3486*(1-AG3486)*IFERROR(INDEX(계정대체기준!$C$20:$C$49,MATCH($N3486,계정대체기준!$A$20:$A$49,0)),0)))</f>
        <v/>
      </c>
      <c r="AA3486" s="94">
        <f>IF($A3486="",0,IF(AE3486="직접",IF(OR(AF3486="유지비",AF3486="손해조사비"),$P3486,0),$P3486*(1-AG3486)*IFERROR(INDEX(계정대체기준!$D$20:$D$49,MATCH($N3486,계정대체기준!$A$20:$A$49,0)),0)))</f>
        <v/>
      </c>
      <c r="AB3486" s="94">
        <f>IF($A3486="",0,IF(AE3486="직접",IF(AF3486="수금비",$P3486,0),$P3486*(1-AG3486)*IFERROR(INDEX(계정대체기준!$E$20:$E$49,MATCH($N3486,계정대체기준!$A$20:$A$49,0)),0)))</f>
        <v/>
      </c>
      <c r="AC3486" s="9">
        <f>IF(AND($A3486&lt;&gt;"",M3486=설정!$C$20,Z3486&gt;0),Z3486+ROW()/1000000000,"")</f>
        <v/>
      </c>
      <c r="AD3486" s="94">
        <f>IF($A3486="",0,$P3486*AG3486)</f>
        <v/>
      </c>
      <c r="AE3486" s="64">
        <f>IF($A3486="","",IFERROR(INDEX(계정매핑!$E$5:$E$504,MATCH($F3486&amp;"",계정매핑!$A$5:$A$504,0))&amp;"","공통비"))</f>
        <v/>
      </c>
      <c r="AF3486" s="64">
        <f>IF($A3486="","",IF(AE3486="직접",IFERROR(INDEX(계정매핑!$F$5:$F$504,MATCH($F3486&amp;"",계정매핑!$A$5:$A$504,0))&amp;"","비귀속"),""))</f>
        <v/>
      </c>
      <c r="AG3486" s="96">
        <f>IF($A3486="",0,IF(AND(AE3486&lt;&gt;"직접",IFERROR(INDEX(계정매핑!$G$5:$G$504,MATCH($F3486&amp;"",계정매핑!$A$5:$A$504,0))&amp;"","")="유지비",COUNTIF(계정대체기준!$A$6:$A$15,$N3486)&gt;0),IFERROR(INDEX(계정대체기준!$E$6:$E$15,MATCH(VALUE($A3486&amp;""),계정대체기준!$D$6:$D$15,0)),0),0))</f>
        <v/>
      </c>
      <c r="AH3486" s="64">
        <f>IF($A3486="","",IF(AD3486=0,"",IF(OR(COUNTIF(계정대체기준!$A$77:$A$86,$N3486)&gt;0,ISNUMBER(MATCH($X3486,계정대체기준!$D$77:$D$86,0)),ISNUMBER(MATCH($F3486,계정대체기준!$D$77:$D$86,0))),"Y","N")))</f>
        <v/>
      </c>
    </row>
    <row r="3487">
      <c r="A3487" s="92" t="n">
        <v>2026</v>
      </c>
      <c r="B3487" s="92" t="n">
        <v>4</v>
      </c>
      <c r="C3487" s="92" t="inlineStr">
        <is>
          <t>5100000765</t>
        </is>
      </c>
      <c r="D3487" s="95" t="n">
        <v>46123</v>
      </c>
      <c r="E3487" s="92" t="inlineStr">
        <is>
          <t>KR</t>
        </is>
      </c>
      <c r="F3487" s="92" t="n">
        <v>62201000</v>
      </c>
      <c r="G3487" s="92" t="n">
        <v>1101</v>
      </c>
      <c r="H3487" s="93" t="n">
        <v>290000</v>
      </c>
      <c r="I3487" s="92" t="inlineStr">
        <is>
          <t>4월 통신요금 - O텔레콤</t>
        </is>
      </c>
      <c r="J3487" s="92" t="inlineStr">
        <is>
          <t>V10002</t>
        </is>
      </c>
      <c r="K3487" s="92" t="inlineStr">
        <is>
          <t>O텔레콤</t>
        </is>
      </c>
      <c r="M3487" s="9">
        <f>IF($A3487="","",VALUE($A3487&amp;"")*12+VALUE($B3487&amp;""))</f>
        <v/>
      </c>
      <c r="N3487" s="64">
        <f>IF($A3487="","",IFERROR(INDEX(부서매핑!$C$5:$C$504,MATCH($G3487&amp;"",부서매핑!$A$5:$A$504,0)),"미매핑"))</f>
        <v/>
      </c>
      <c r="O3487" s="9">
        <f>IF($A3487="","",N3487&amp;"|"&amp;$F3487)</f>
        <v/>
      </c>
      <c r="P3487" s="94">
        <f>IF($A3487="",0,$H3487*설정!$C$23)</f>
        <v/>
      </c>
      <c r="Q3487" s="64">
        <f>IF($A3487="","",IF(O3487&lt;&gt;원인분석!$C$9,"",IF(AND(M3487&gt;=원인분석!$C$10,M3487&lt;=원인분석!$C$11),"당기",IF(AND(M3487&gt;=원인분석!$C$12,M3487&lt;=원인분석!$C$13),"비교",""))))</f>
        <v/>
      </c>
      <c r="R3487" s="9">
        <f>IF(Q3487="","",$K3487&amp;"")</f>
        <v/>
      </c>
      <c r="S3487" s="9">
        <f>IF(Q3487="","",IF(MATCH(R3487,$R$5:$R$100000,0)=ROW()-4,ROW(),""))</f>
        <v/>
      </c>
      <c r="T3487" s="9">
        <f>IF(Q3487="당기",ABS(P3487)+ROW()/1000000000,"")</f>
        <v/>
      </c>
      <c r="U3487" s="9">
        <f>IF(Q3487="비교",ABS(P3487)+ROW()/1000000000,"")</f>
        <v/>
      </c>
      <c r="V3487" s="64">
        <f>IF($A3487="","",IF(COUNTIF(변동분석!$E$7:$E$506,O3487)&gt;0,"Y","N"))</f>
        <v/>
      </c>
      <c r="W3487" s="64">
        <f>IF($A3487="","",IFERROR(INDEX(계정매핑!$D$5:$D$504,MATCH($F3487&amp;"",계정매핑!$A$5:$A$504,0)),"미매핑"))</f>
        <v/>
      </c>
      <c r="X3487" s="9">
        <f>IF($A3487="","",$F3487&amp;"")</f>
        <v/>
      </c>
      <c r="Y3487" s="94">
        <f>IF($A3487="",0,IF(AE3487="직접",IF(AF3487="비귀속",$P3487,0),$P3487*(1-AG3487)*IFERROR(INDEX(계정대체기준!$F$20:$F$49,MATCH($N3487,계정대체기준!$A$20:$A$49,0)),1)))</f>
        <v/>
      </c>
      <c r="Z3487" s="94">
        <f>IF($A3487="",0,IF(AE3487="직접",IF(AF3487="신계약비",$P3487,0),$P3487*(1-AG3487)*IFERROR(INDEX(계정대체기준!$C$20:$C$49,MATCH($N3487,계정대체기준!$A$20:$A$49,0)),0)))</f>
        <v/>
      </c>
      <c r="AA3487" s="94">
        <f>IF($A3487="",0,IF(AE3487="직접",IF(OR(AF3487="유지비",AF3487="손해조사비"),$P3487,0),$P3487*(1-AG3487)*IFERROR(INDEX(계정대체기준!$D$20:$D$49,MATCH($N3487,계정대체기준!$A$20:$A$49,0)),0)))</f>
        <v/>
      </c>
      <c r="AB3487" s="94">
        <f>IF($A3487="",0,IF(AE3487="직접",IF(AF3487="수금비",$P3487,0),$P3487*(1-AG3487)*IFERROR(INDEX(계정대체기준!$E$20:$E$49,MATCH($N3487,계정대체기준!$A$20:$A$49,0)),0)))</f>
        <v/>
      </c>
      <c r="AC3487" s="9">
        <f>IF(AND($A3487&lt;&gt;"",M3487=설정!$C$20,Z3487&gt;0),Z3487+ROW()/1000000000,"")</f>
        <v/>
      </c>
      <c r="AD3487" s="94">
        <f>IF($A3487="",0,$P3487*AG3487)</f>
        <v/>
      </c>
      <c r="AE3487" s="64">
        <f>IF($A3487="","",IFERROR(INDEX(계정매핑!$E$5:$E$504,MATCH($F3487&amp;"",계정매핑!$A$5:$A$504,0))&amp;"","공통비"))</f>
        <v/>
      </c>
      <c r="AF3487" s="64">
        <f>IF($A3487="","",IF(AE3487="직접",IFERROR(INDEX(계정매핑!$F$5:$F$504,MATCH($F3487&amp;"",계정매핑!$A$5:$A$504,0))&amp;"","비귀속"),""))</f>
        <v/>
      </c>
      <c r="AG3487" s="96">
        <f>IF($A3487="",0,IF(AND(AE3487&lt;&gt;"직접",IFERROR(INDEX(계정매핑!$G$5:$G$504,MATCH($F3487&amp;"",계정매핑!$A$5:$A$504,0))&amp;"","")="유지비",COUNTIF(계정대체기준!$A$6:$A$15,$N3487)&gt;0),IFERROR(INDEX(계정대체기준!$E$6:$E$15,MATCH(VALUE($A3487&amp;""),계정대체기준!$D$6:$D$15,0)),0),0))</f>
        <v/>
      </c>
      <c r="AH3487" s="64">
        <f>IF($A3487="","",IF(AD3487=0,"",IF(OR(COUNTIF(계정대체기준!$A$77:$A$86,$N3487)&gt;0,ISNUMBER(MATCH($X3487,계정대체기준!$D$77:$D$86,0)),ISNUMBER(MATCH($F3487,계정대체기준!$D$77:$D$86,0))),"Y","N")))</f>
        <v/>
      </c>
    </row>
    <row r="3488">
      <c r="A3488" s="92" t="n">
        <v>2026</v>
      </c>
      <c r="B3488" s="92" t="n">
        <v>4</v>
      </c>
      <c r="C3488" s="92" t="inlineStr">
        <is>
          <t>5100000766</t>
        </is>
      </c>
      <c r="D3488" s="95" t="n">
        <v>46123</v>
      </c>
      <c r="E3488" s="92" t="inlineStr">
        <is>
          <t>KR</t>
        </is>
      </c>
      <c r="F3488" s="92" t="n">
        <v>62201000</v>
      </c>
      <c r="G3488" s="92" t="n">
        <v>1951</v>
      </c>
      <c r="H3488" s="93" t="n">
        <v>195000</v>
      </c>
      <c r="I3488" s="92" t="inlineStr">
        <is>
          <t>4월 통신요금 - P통신</t>
        </is>
      </c>
      <c r="J3488" s="92" t="inlineStr">
        <is>
          <t>V10014</t>
        </is>
      </c>
      <c r="K3488" s="92" t="inlineStr">
        <is>
          <t>P통신</t>
        </is>
      </c>
      <c r="M3488" s="9">
        <f>IF($A3488="","",VALUE($A3488&amp;"")*12+VALUE($B3488&amp;""))</f>
        <v/>
      </c>
      <c r="N3488" s="64">
        <f>IF($A3488="","",IFERROR(INDEX(부서매핑!$C$5:$C$504,MATCH($G3488&amp;"",부서매핑!$A$5:$A$504,0)),"미매핑"))</f>
        <v/>
      </c>
      <c r="O3488" s="9">
        <f>IF($A3488="","",N3488&amp;"|"&amp;$F3488)</f>
        <v/>
      </c>
      <c r="P3488" s="94">
        <f>IF($A3488="",0,$H3488*설정!$C$23)</f>
        <v/>
      </c>
      <c r="Q3488" s="64">
        <f>IF($A3488="","",IF(O3488&lt;&gt;원인분석!$C$9,"",IF(AND(M3488&gt;=원인분석!$C$10,M3488&lt;=원인분석!$C$11),"당기",IF(AND(M3488&gt;=원인분석!$C$12,M3488&lt;=원인분석!$C$13),"비교",""))))</f>
        <v/>
      </c>
      <c r="R3488" s="9">
        <f>IF(Q3488="","",$K3488&amp;"")</f>
        <v/>
      </c>
      <c r="S3488" s="9">
        <f>IF(Q3488="","",IF(MATCH(R3488,$R$5:$R$100000,0)=ROW()-4,ROW(),""))</f>
        <v/>
      </c>
      <c r="T3488" s="9">
        <f>IF(Q3488="당기",ABS(P3488)+ROW()/1000000000,"")</f>
        <v/>
      </c>
      <c r="U3488" s="9">
        <f>IF(Q3488="비교",ABS(P3488)+ROW()/1000000000,"")</f>
        <v/>
      </c>
      <c r="V3488" s="64">
        <f>IF($A3488="","",IF(COUNTIF(변동분석!$E$7:$E$506,O3488)&gt;0,"Y","N"))</f>
        <v/>
      </c>
      <c r="W3488" s="64">
        <f>IF($A3488="","",IFERROR(INDEX(계정매핑!$D$5:$D$504,MATCH($F3488&amp;"",계정매핑!$A$5:$A$504,0)),"미매핑"))</f>
        <v/>
      </c>
      <c r="X3488" s="9">
        <f>IF($A3488="","",$F3488&amp;"")</f>
        <v/>
      </c>
      <c r="Y3488" s="94">
        <f>IF($A3488="",0,IF(AE3488="직접",IF(AF3488="비귀속",$P3488,0),$P3488*(1-AG3488)*IFERROR(INDEX(계정대체기준!$F$20:$F$49,MATCH($N3488,계정대체기준!$A$20:$A$49,0)),1)))</f>
        <v/>
      </c>
      <c r="Z3488" s="94">
        <f>IF($A3488="",0,IF(AE3488="직접",IF(AF3488="신계약비",$P3488,0),$P3488*(1-AG3488)*IFERROR(INDEX(계정대체기준!$C$20:$C$49,MATCH($N3488,계정대체기준!$A$20:$A$49,0)),0)))</f>
        <v/>
      </c>
      <c r="AA3488" s="94">
        <f>IF($A3488="",0,IF(AE3488="직접",IF(OR(AF3488="유지비",AF3488="손해조사비"),$P3488,0),$P3488*(1-AG3488)*IFERROR(INDEX(계정대체기준!$D$20:$D$49,MATCH($N3488,계정대체기준!$A$20:$A$49,0)),0)))</f>
        <v/>
      </c>
      <c r="AB3488" s="94">
        <f>IF($A3488="",0,IF(AE3488="직접",IF(AF3488="수금비",$P3488,0),$P3488*(1-AG3488)*IFERROR(INDEX(계정대체기준!$E$20:$E$49,MATCH($N3488,계정대체기준!$A$20:$A$49,0)),0)))</f>
        <v/>
      </c>
      <c r="AC3488" s="9">
        <f>IF(AND($A3488&lt;&gt;"",M3488=설정!$C$20,Z3488&gt;0),Z3488+ROW()/1000000000,"")</f>
        <v/>
      </c>
      <c r="AD3488" s="94">
        <f>IF($A3488="",0,$P3488*AG3488)</f>
        <v/>
      </c>
      <c r="AE3488" s="64">
        <f>IF($A3488="","",IFERROR(INDEX(계정매핑!$E$5:$E$504,MATCH($F3488&amp;"",계정매핑!$A$5:$A$504,0))&amp;"","공통비"))</f>
        <v/>
      </c>
      <c r="AF3488" s="64">
        <f>IF($A3488="","",IF(AE3488="직접",IFERROR(INDEX(계정매핑!$F$5:$F$504,MATCH($F3488&amp;"",계정매핑!$A$5:$A$504,0))&amp;"","비귀속"),""))</f>
        <v/>
      </c>
      <c r="AG3488" s="96">
        <f>IF($A3488="",0,IF(AND(AE3488&lt;&gt;"직접",IFERROR(INDEX(계정매핑!$G$5:$G$504,MATCH($F3488&amp;"",계정매핑!$A$5:$A$504,0))&amp;"","")="유지비",COUNTIF(계정대체기준!$A$6:$A$15,$N3488)&gt;0),IFERROR(INDEX(계정대체기준!$E$6:$E$15,MATCH(VALUE($A3488&amp;""),계정대체기준!$D$6:$D$15,0)),0),0))</f>
        <v/>
      </c>
      <c r="AH3488" s="64">
        <f>IF($A3488="","",IF(AD3488=0,"",IF(OR(COUNTIF(계정대체기준!$A$77:$A$86,$N3488)&gt;0,ISNUMBER(MATCH($X3488,계정대체기준!$D$77:$D$86,0)),ISNUMBER(MATCH($F3488,계정대체기준!$D$77:$D$86,0))),"Y","N")))</f>
        <v/>
      </c>
    </row>
    <row r="3489">
      <c r="A3489" s="92" t="n">
        <v>2026</v>
      </c>
      <c r="B3489" s="92" t="n">
        <v>4</v>
      </c>
      <c r="C3489" s="92" t="inlineStr">
        <is>
          <t>5100000767</t>
        </is>
      </c>
      <c r="D3489" s="95" t="n">
        <v>46123</v>
      </c>
      <c r="E3489" s="92" t="inlineStr">
        <is>
          <t>KR</t>
        </is>
      </c>
      <c r="F3489" s="92" t="n">
        <v>62301000</v>
      </c>
      <c r="G3489" s="92" t="n">
        <v>1101</v>
      </c>
      <c r="H3489" s="93" t="n">
        <v>124000</v>
      </c>
      <c r="I3489" s="92" t="inlineStr">
        <is>
          <t>4월 소모품 구입 - Q오피스</t>
        </is>
      </c>
      <c r="J3489" s="92" t="inlineStr">
        <is>
          <t>V10003</t>
        </is>
      </c>
      <c r="K3489" s="92" t="inlineStr">
        <is>
          <t>Q오피스</t>
        </is>
      </c>
      <c r="M3489" s="9">
        <f>IF($A3489="","",VALUE($A3489&amp;"")*12+VALUE($B3489&amp;""))</f>
        <v/>
      </c>
      <c r="N3489" s="64">
        <f>IF($A3489="","",IFERROR(INDEX(부서매핑!$C$5:$C$504,MATCH($G3489&amp;"",부서매핑!$A$5:$A$504,0)),"미매핑"))</f>
        <v/>
      </c>
      <c r="O3489" s="9">
        <f>IF($A3489="","",N3489&amp;"|"&amp;$F3489)</f>
        <v/>
      </c>
      <c r="P3489" s="94">
        <f>IF($A3489="",0,$H3489*설정!$C$23)</f>
        <v/>
      </c>
      <c r="Q3489" s="64">
        <f>IF($A3489="","",IF(O3489&lt;&gt;원인분석!$C$9,"",IF(AND(M3489&gt;=원인분석!$C$10,M3489&lt;=원인분석!$C$11),"당기",IF(AND(M3489&gt;=원인분석!$C$12,M3489&lt;=원인분석!$C$13),"비교",""))))</f>
        <v/>
      </c>
      <c r="R3489" s="9">
        <f>IF(Q3489="","",$K3489&amp;"")</f>
        <v/>
      </c>
      <c r="S3489" s="9">
        <f>IF(Q3489="","",IF(MATCH(R3489,$R$5:$R$100000,0)=ROW()-4,ROW(),""))</f>
        <v/>
      </c>
      <c r="T3489" s="9">
        <f>IF(Q3489="당기",ABS(P3489)+ROW()/1000000000,"")</f>
        <v/>
      </c>
      <c r="U3489" s="9">
        <f>IF(Q3489="비교",ABS(P3489)+ROW()/1000000000,"")</f>
        <v/>
      </c>
      <c r="V3489" s="64">
        <f>IF($A3489="","",IF(COUNTIF(변동분석!$E$7:$E$506,O3489)&gt;0,"Y","N"))</f>
        <v/>
      </c>
      <c r="W3489" s="64">
        <f>IF($A3489="","",IFERROR(INDEX(계정매핑!$D$5:$D$504,MATCH($F3489&amp;"",계정매핑!$A$5:$A$504,0)),"미매핑"))</f>
        <v/>
      </c>
      <c r="X3489" s="9">
        <f>IF($A3489="","",$F3489&amp;"")</f>
        <v/>
      </c>
      <c r="Y3489" s="94">
        <f>IF($A3489="",0,IF(AE3489="직접",IF(AF3489="비귀속",$P3489,0),$P3489*(1-AG3489)*IFERROR(INDEX(계정대체기준!$F$20:$F$49,MATCH($N3489,계정대체기준!$A$20:$A$49,0)),1)))</f>
        <v/>
      </c>
      <c r="Z3489" s="94">
        <f>IF($A3489="",0,IF(AE3489="직접",IF(AF3489="신계약비",$P3489,0),$P3489*(1-AG3489)*IFERROR(INDEX(계정대체기준!$C$20:$C$49,MATCH($N3489,계정대체기준!$A$20:$A$49,0)),0)))</f>
        <v/>
      </c>
      <c r="AA3489" s="94">
        <f>IF($A3489="",0,IF(AE3489="직접",IF(OR(AF3489="유지비",AF3489="손해조사비"),$P3489,0),$P3489*(1-AG3489)*IFERROR(INDEX(계정대체기준!$D$20:$D$49,MATCH($N3489,계정대체기준!$A$20:$A$49,0)),0)))</f>
        <v/>
      </c>
      <c r="AB3489" s="94">
        <f>IF($A3489="",0,IF(AE3489="직접",IF(AF3489="수금비",$P3489,0),$P3489*(1-AG3489)*IFERROR(INDEX(계정대체기준!$E$20:$E$49,MATCH($N3489,계정대체기준!$A$20:$A$49,0)),0)))</f>
        <v/>
      </c>
      <c r="AC3489" s="9">
        <f>IF(AND($A3489&lt;&gt;"",M3489=설정!$C$20,Z3489&gt;0),Z3489+ROW()/1000000000,"")</f>
        <v/>
      </c>
      <c r="AD3489" s="94">
        <f>IF($A3489="",0,$P3489*AG3489)</f>
        <v/>
      </c>
      <c r="AE3489" s="64">
        <f>IF($A3489="","",IFERROR(INDEX(계정매핑!$E$5:$E$504,MATCH($F3489&amp;"",계정매핑!$A$5:$A$504,0))&amp;"","공통비"))</f>
        <v/>
      </c>
      <c r="AF3489" s="64">
        <f>IF($A3489="","",IF(AE3489="직접",IFERROR(INDEX(계정매핑!$F$5:$F$504,MATCH($F3489&amp;"",계정매핑!$A$5:$A$504,0))&amp;"","비귀속"),""))</f>
        <v/>
      </c>
      <c r="AG3489" s="96">
        <f>IF($A3489="",0,IF(AND(AE3489&lt;&gt;"직접",IFERROR(INDEX(계정매핑!$G$5:$G$504,MATCH($F3489&amp;"",계정매핑!$A$5:$A$504,0))&amp;"","")="유지비",COUNTIF(계정대체기준!$A$6:$A$15,$N3489)&gt;0),IFERROR(INDEX(계정대체기준!$E$6:$E$15,MATCH(VALUE($A3489&amp;""),계정대체기준!$D$6:$D$15,0)),0),0))</f>
        <v/>
      </c>
      <c r="AH3489" s="64">
        <f>IF($A3489="","",IF(AD3489=0,"",IF(OR(COUNTIF(계정대체기준!$A$77:$A$86,$N3489)&gt;0,ISNUMBER(MATCH($X3489,계정대체기준!$D$77:$D$86,0)),ISNUMBER(MATCH($F3489,계정대체기준!$D$77:$D$86,0))),"Y","N")))</f>
        <v/>
      </c>
    </row>
    <row r="3490">
      <c r="A3490" s="92" t="n">
        <v>2026</v>
      </c>
      <c r="B3490" s="92" t="n">
        <v>4</v>
      </c>
      <c r="C3490" s="92" t="inlineStr">
        <is>
          <t>5100000768</t>
        </is>
      </c>
      <c r="D3490" s="95" t="n">
        <v>46123</v>
      </c>
      <c r="E3490" s="92" t="inlineStr">
        <is>
          <t>KR</t>
        </is>
      </c>
      <c r="F3490" s="92" t="n">
        <v>62501000</v>
      </c>
      <c r="G3490" s="92" t="n">
        <v>1301</v>
      </c>
      <c r="H3490" s="93" t="n">
        <v>251000</v>
      </c>
      <c r="I3490" s="92" t="inlineStr">
        <is>
          <t>4월 회의 다과 - (법인카드)</t>
        </is>
      </c>
      <c r="J3490" s="92" t="inlineStr">
        <is>
          <t>V10010</t>
        </is>
      </c>
      <c r="K3490" s="92" t="inlineStr">
        <is>
          <t>(법인카드)</t>
        </is>
      </c>
      <c r="M3490" s="9">
        <f>IF($A3490="","",VALUE($A3490&amp;"")*12+VALUE($B3490&amp;""))</f>
        <v/>
      </c>
      <c r="N3490" s="64">
        <f>IF($A3490="","",IFERROR(INDEX(부서매핑!$C$5:$C$504,MATCH($G3490&amp;"",부서매핑!$A$5:$A$504,0)),"미매핑"))</f>
        <v/>
      </c>
      <c r="O3490" s="9">
        <f>IF($A3490="","",N3490&amp;"|"&amp;$F3490)</f>
        <v/>
      </c>
      <c r="P3490" s="94">
        <f>IF($A3490="",0,$H3490*설정!$C$23)</f>
        <v/>
      </c>
      <c r="Q3490" s="64">
        <f>IF($A3490="","",IF(O3490&lt;&gt;원인분석!$C$9,"",IF(AND(M3490&gt;=원인분석!$C$10,M3490&lt;=원인분석!$C$11),"당기",IF(AND(M3490&gt;=원인분석!$C$12,M3490&lt;=원인분석!$C$13),"비교",""))))</f>
        <v/>
      </c>
      <c r="R3490" s="9">
        <f>IF(Q3490="","",$K3490&amp;"")</f>
        <v/>
      </c>
      <c r="S3490" s="9">
        <f>IF(Q3490="","",IF(MATCH(R3490,$R$5:$R$100000,0)=ROW()-4,ROW(),""))</f>
        <v/>
      </c>
      <c r="T3490" s="9">
        <f>IF(Q3490="당기",ABS(P3490)+ROW()/1000000000,"")</f>
        <v/>
      </c>
      <c r="U3490" s="9">
        <f>IF(Q3490="비교",ABS(P3490)+ROW()/1000000000,"")</f>
        <v/>
      </c>
      <c r="V3490" s="64">
        <f>IF($A3490="","",IF(COUNTIF(변동분석!$E$7:$E$506,O3490)&gt;0,"Y","N"))</f>
        <v/>
      </c>
      <c r="W3490" s="64">
        <f>IF($A3490="","",IFERROR(INDEX(계정매핑!$D$5:$D$504,MATCH($F3490&amp;"",계정매핑!$A$5:$A$504,0)),"미매핑"))</f>
        <v/>
      </c>
      <c r="X3490" s="9">
        <f>IF($A3490="","",$F3490&amp;"")</f>
        <v/>
      </c>
      <c r="Y3490" s="94">
        <f>IF($A3490="",0,IF(AE3490="직접",IF(AF3490="비귀속",$P3490,0),$P3490*(1-AG3490)*IFERROR(INDEX(계정대체기준!$F$20:$F$49,MATCH($N3490,계정대체기준!$A$20:$A$49,0)),1)))</f>
        <v/>
      </c>
      <c r="Z3490" s="94">
        <f>IF($A3490="",0,IF(AE3490="직접",IF(AF3490="신계약비",$P3490,0),$P3490*(1-AG3490)*IFERROR(INDEX(계정대체기준!$C$20:$C$49,MATCH($N3490,계정대체기준!$A$20:$A$49,0)),0)))</f>
        <v/>
      </c>
      <c r="AA3490" s="94">
        <f>IF($A3490="",0,IF(AE3490="직접",IF(OR(AF3490="유지비",AF3490="손해조사비"),$P3490,0),$P3490*(1-AG3490)*IFERROR(INDEX(계정대체기준!$D$20:$D$49,MATCH($N3490,계정대체기준!$A$20:$A$49,0)),0)))</f>
        <v/>
      </c>
      <c r="AB3490" s="94">
        <f>IF($A3490="",0,IF(AE3490="직접",IF(AF3490="수금비",$P3490,0),$P3490*(1-AG3490)*IFERROR(INDEX(계정대체기준!$E$20:$E$49,MATCH($N3490,계정대체기준!$A$20:$A$49,0)),0)))</f>
        <v/>
      </c>
      <c r="AC3490" s="9">
        <f>IF(AND($A3490&lt;&gt;"",M3490=설정!$C$20,Z3490&gt;0),Z3490+ROW()/1000000000,"")</f>
        <v/>
      </c>
      <c r="AD3490" s="94">
        <f>IF($A3490="",0,$P3490*AG3490)</f>
        <v/>
      </c>
      <c r="AE3490" s="64">
        <f>IF($A3490="","",IFERROR(INDEX(계정매핑!$E$5:$E$504,MATCH($F3490&amp;"",계정매핑!$A$5:$A$504,0))&amp;"","공통비"))</f>
        <v/>
      </c>
      <c r="AF3490" s="64">
        <f>IF($A3490="","",IF(AE3490="직접",IFERROR(INDEX(계정매핑!$F$5:$F$504,MATCH($F3490&amp;"",계정매핑!$A$5:$A$504,0))&amp;"","비귀속"),""))</f>
        <v/>
      </c>
      <c r="AG3490" s="96">
        <f>IF($A3490="",0,IF(AND(AE3490&lt;&gt;"직접",IFERROR(INDEX(계정매핑!$G$5:$G$504,MATCH($F3490&amp;"",계정매핑!$A$5:$A$504,0))&amp;"","")="유지비",COUNTIF(계정대체기준!$A$6:$A$15,$N3490)&gt;0),IFERROR(INDEX(계정대체기준!$E$6:$E$15,MATCH(VALUE($A3490&amp;""),계정대체기준!$D$6:$D$15,0)),0),0))</f>
        <v/>
      </c>
      <c r="AH3490" s="64">
        <f>IF($A3490="","",IF(AD3490=0,"",IF(OR(COUNTIF(계정대체기준!$A$77:$A$86,$N3490)&gt;0,ISNUMBER(MATCH($X3490,계정대체기준!$D$77:$D$86,0)),ISNUMBER(MATCH($F3490,계정대체기준!$D$77:$D$86,0))),"Y","N")))</f>
        <v/>
      </c>
    </row>
    <row r="3491">
      <c r="A3491" s="92" t="n">
        <v>2026</v>
      </c>
      <c r="B3491" s="92" t="n">
        <v>4</v>
      </c>
      <c r="C3491" s="92" t="inlineStr">
        <is>
          <t>5100000769</t>
        </is>
      </c>
      <c r="D3491" s="95" t="n">
        <v>46123</v>
      </c>
      <c r="E3491" s="92" t="inlineStr">
        <is>
          <t>KR</t>
        </is>
      </c>
      <c r="F3491" s="92" t="n">
        <v>62501000</v>
      </c>
      <c r="G3491" s="92" t="n">
        <v>1601</v>
      </c>
      <c r="H3491" s="93" t="n">
        <v>548000</v>
      </c>
      <c r="I3491" s="92" t="inlineStr">
        <is>
          <t>4월 회의 다과 - (법인카드)</t>
        </is>
      </c>
      <c r="J3491" s="92" t="inlineStr">
        <is>
          <t>V10010</t>
        </is>
      </c>
      <c r="K3491" s="92" t="inlineStr">
        <is>
          <t>(법인카드)</t>
        </is>
      </c>
      <c r="M3491" s="9">
        <f>IF($A3491="","",VALUE($A3491&amp;"")*12+VALUE($B3491&amp;""))</f>
        <v/>
      </c>
      <c r="N3491" s="64">
        <f>IF($A3491="","",IFERROR(INDEX(부서매핑!$C$5:$C$504,MATCH($G3491&amp;"",부서매핑!$A$5:$A$504,0)),"미매핑"))</f>
        <v/>
      </c>
      <c r="O3491" s="9">
        <f>IF($A3491="","",N3491&amp;"|"&amp;$F3491)</f>
        <v/>
      </c>
      <c r="P3491" s="94">
        <f>IF($A3491="",0,$H3491*설정!$C$23)</f>
        <v/>
      </c>
      <c r="Q3491" s="64">
        <f>IF($A3491="","",IF(O3491&lt;&gt;원인분석!$C$9,"",IF(AND(M3491&gt;=원인분석!$C$10,M3491&lt;=원인분석!$C$11),"당기",IF(AND(M3491&gt;=원인분석!$C$12,M3491&lt;=원인분석!$C$13),"비교",""))))</f>
        <v/>
      </c>
      <c r="R3491" s="9">
        <f>IF(Q3491="","",$K3491&amp;"")</f>
        <v/>
      </c>
      <c r="S3491" s="9">
        <f>IF(Q3491="","",IF(MATCH(R3491,$R$5:$R$100000,0)=ROW()-4,ROW(),""))</f>
        <v/>
      </c>
      <c r="T3491" s="9">
        <f>IF(Q3491="당기",ABS(P3491)+ROW()/1000000000,"")</f>
        <v/>
      </c>
      <c r="U3491" s="9">
        <f>IF(Q3491="비교",ABS(P3491)+ROW()/1000000000,"")</f>
        <v/>
      </c>
      <c r="V3491" s="64">
        <f>IF($A3491="","",IF(COUNTIF(변동분석!$E$7:$E$506,O3491)&gt;0,"Y","N"))</f>
        <v/>
      </c>
      <c r="W3491" s="64">
        <f>IF($A3491="","",IFERROR(INDEX(계정매핑!$D$5:$D$504,MATCH($F3491&amp;"",계정매핑!$A$5:$A$504,0)),"미매핑"))</f>
        <v/>
      </c>
      <c r="X3491" s="9">
        <f>IF($A3491="","",$F3491&amp;"")</f>
        <v/>
      </c>
      <c r="Y3491" s="94">
        <f>IF($A3491="",0,IF(AE3491="직접",IF(AF3491="비귀속",$P3491,0),$P3491*(1-AG3491)*IFERROR(INDEX(계정대체기준!$F$20:$F$49,MATCH($N3491,계정대체기준!$A$20:$A$49,0)),1)))</f>
        <v/>
      </c>
      <c r="Z3491" s="94">
        <f>IF($A3491="",0,IF(AE3491="직접",IF(AF3491="신계약비",$P3491,0),$P3491*(1-AG3491)*IFERROR(INDEX(계정대체기준!$C$20:$C$49,MATCH($N3491,계정대체기준!$A$20:$A$49,0)),0)))</f>
        <v/>
      </c>
      <c r="AA3491" s="94">
        <f>IF($A3491="",0,IF(AE3491="직접",IF(OR(AF3491="유지비",AF3491="손해조사비"),$P3491,0),$P3491*(1-AG3491)*IFERROR(INDEX(계정대체기준!$D$20:$D$49,MATCH($N3491,계정대체기준!$A$20:$A$49,0)),0)))</f>
        <v/>
      </c>
      <c r="AB3491" s="94">
        <f>IF($A3491="",0,IF(AE3491="직접",IF(AF3491="수금비",$P3491,0),$P3491*(1-AG3491)*IFERROR(INDEX(계정대체기준!$E$20:$E$49,MATCH($N3491,계정대체기준!$A$20:$A$49,0)),0)))</f>
        <v/>
      </c>
      <c r="AC3491" s="9">
        <f>IF(AND($A3491&lt;&gt;"",M3491=설정!$C$20,Z3491&gt;0),Z3491+ROW()/1000000000,"")</f>
        <v/>
      </c>
      <c r="AD3491" s="94">
        <f>IF($A3491="",0,$P3491*AG3491)</f>
        <v/>
      </c>
      <c r="AE3491" s="64">
        <f>IF($A3491="","",IFERROR(INDEX(계정매핑!$E$5:$E$504,MATCH($F3491&amp;"",계정매핑!$A$5:$A$504,0))&amp;"","공통비"))</f>
        <v/>
      </c>
      <c r="AF3491" s="64">
        <f>IF($A3491="","",IF(AE3491="직접",IFERROR(INDEX(계정매핑!$F$5:$F$504,MATCH($F3491&amp;"",계정매핑!$A$5:$A$504,0))&amp;"","비귀속"),""))</f>
        <v/>
      </c>
      <c r="AG3491" s="96">
        <f>IF($A3491="",0,IF(AND(AE3491&lt;&gt;"직접",IFERROR(INDEX(계정매핑!$G$5:$G$504,MATCH($F3491&amp;"",계정매핑!$A$5:$A$504,0))&amp;"","")="유지비",COUNTIF(계정대체기준!$A$6:$A$15,$N3491)&gt;0),IFERROR(INDEX(계정대체기준!$E$6:$E$15,MATCH(VALUE($A3491&amp;""),계정대체기준!$D$6:$D$15,0)),0),0))</f>
        <v/>
      </c>
      <c r="AH3491" s="64">
        <f>IF($A3491="","",IF(AD3491=0,"",IF(OR(COUNTIF(계정대체기준!$A$77:$A$86,$N3491)&gt;0,ISNUMBER(MATCH($X3491,계정대체기준!$D$77:$D$86,0)),ISNUMBER(MATCH($F3491,계정대체기준!$D$77:$D$86,0))),"Y","N")))</f>
        <v/>
      </c>
    </row>
    <row r="3492">
      <c r="A3492" s="92" t="n">
        <v>2026</v>
      </c>
      <c r="B3492" s="92" t="n">
        <v>4</v>
      </c>
      <c r="C3492" s="92" t="inlineStr">
        <is>
          <t>5100000770</t>
        </is>
      </c>
      <c r="D3492" s="95" t="n">
        <v>46123</v>
      </c>
      <c r="E3492" s="92" t="inlineStr">
        <is>
          <t>KR</t>
        </is>
      </c>
      <c r="F3492" s="92" t="n">
        <v>62501000</v>
      </c>
      <c r="G3492" s="92" t="n">
        <v>1701</v>
      </c>
      <c r="H3492" s="93" t="n">
        <v>86000</v>
      </c>
      <c r="I3492" s="92" t="inlineStr">
        <is>
          <t>4월 회의 다과 - (법인카드)</t>
        </is>
      </c>
      <c r="J3492" s="92" t="inlineStr">
        <is>
          <t>V10010</t>
        </is>
      </c>
      <c r="K3492" s="92" t="inlineStr">
        <is>
          <t>(법인카드)</t>
        </is>
      </c>
      <c r="M3492" s="9">
        <f>IF($A3492="","",VALUE($A3492&amp;"")*12+VALUE($B3492&amp;""))</f>
        <v/>
      </c>
      <c r="N3492" s="64">
        <f>IF($A3492="","",IFERROR(INDEX(부서매핑!$C$5:$C$504,MATCH($G3492&amp;"",부서매핑!$A$5:$A$504,0)),"미매핑"))</f>
        <v/>
      </c>
      <c r="O3492" s="9">
        <f>IF($A3492="","",N3492&amp;"|"&amp;$F3492)</f>
        <v/>
      </c>
      <c r="P3492" s="94">
        <f>IF($A3492="",0,$H3492*설정!$C$23)</f>
        <v/>
      </c>
      <c r="Q3492" s="64">
        <f>IF($A3492="","",IF(O3492&lt;&gt;원인분석!$C$9,"",IF(AND(M3492&gt;=원인분석!$C$10,M3492&lt;=원인분석!$C$11),"당기",IF(AND(M3492&gt;=원인분석!$C$12,M3492&lt;=원인분석!$C$13),"비교",""))))</f>
        <v/>
      </c>
      <c r="R3492" s="9">
        <f>IF(Q3492="","",$K3492&amp;"")</f>
        <v/>
      </c>
      <c r="S3492" s="9">
        <f>IF(Q3492="","",IF(MATCH(R3492,$R$5:$R$100000,0)=ROW()-4,ROW(),""))</f>
        <v/>
      </c>
      <c r="T3492" s="9">
        <f>IF(Q3492="당기",ABS(P3492)+ROW()/1000000000,"")</f>
        <v/>
      </c>
      <c r="U3492" s="9">
        <f>IF(Q3492="비교",ABS(P3492)+ROW()/1000000000,"")</f>
        <v/>
      </c>
      <c r="V3492" s="64">
        <f>IF($A3492="","",IF(COUNTIF(변동분석!$E$7:$E$506,O3492)&gt;0,"Y","N"))</f>
        <v/>
      </c>
      <c r="W3492" s="64">
        <f>IF($A3492="","",IFERROR(INDEX(계정매핑!$D$5:$D$504,MATCH($F3492&amp;"",계정매핑!$A$5:$A$504,0)),"미매핑"))</f>
        <v/>
      </c>
      <c r="X3492" s="9">
        <f>IF($A3492="","",$F3492&amp;"")</f>
        <v/>
      </c>
      <c r="Y3492" s="94">
        <f>IF($A3492="",0,IF(AE3492="직접",IF(AF3492="비귀속",$P3492,0),$P3492*(1-AG3492)*IFERROR(INDEX(계정대체기준!$F$20:$F$49,MATCH($N3492,계정대체기준!$A$20:$A$49,0)),1)))</f>
        <v/>
      </c>
      <c r="Z3492" s="94">
        <f>IF($A3492="",0,IF(AE3492="직접",IF(AF3492="신계약비",$P3492,0),$P3492*(1-AG3492)*IFERROR(INDEX(계정대체기준!$C$20:$C$49,MATCH($N3492,계정대체기준!$A$20:$A$49,0)),0)))</f>
        <v/>
      </c>
      <c r="AA3492" s="94">
        <f>IF($A3492="",0,IF(AE3492="직접",IF(OR(AF3492="유지비",AF3492="손해조사비"),$P3492,0),$P3492*(1-AG3492)*IFERROR(INDEX(계정대체기준!$D$20:$D$49,MATCH($N3492,계정대체기준!$A$20:$A$49,0)),0)))</f>
        <v/>
      </c>
      <c r="AB3492" s="94">
        <f>IF($A3492="",0,IF(AE3492="직접",IF(AF3492="수금비",$P3492,0),$P3492*(1-AG3492)*IFERROR(INDEX(계정대체기준!$E$20:$E$49,MATCH($N3492,계정대체기준!$A$20:$A$49,0)),0)))</f>
        <v/>
      </c>
      <c r="AC3492" s="9">
        <f>IF(AND($A3492&lt;&gt;"",M3492=설정!$C$20,Z3492&gt;0),Z3492+ROW()/1000000000,"")</f>
        <v/>
      </c>
      <c r="AD3492" s="94">
        <f>IF($A3492="",0,$P3492*AG3492)</f>
        <v/>
      </c>
      <c r="AE3492" s="64">
        <f>IF($A3492="","",IFERROR(INDEX(계정매핑!$E$5:$E$504,MATCH($F3492&amp;"",계정매핑!$A$5:$A$504,0))&amp;"","공통비"))</f>
        <v/>
      </c>
      <c r="AF3492" s="64">
        <f>IF($A3492="","",IF(AE3492="직접",IFERROR(INDEX(계정매핑!$F$5:$F$504,MATCH($F3492&amp;"",계정매핑!$A$5:$A$504,0))&amp;"","비귀속"),""))</f>
        <v/>
      </c>
      <c r="AG3492" s="96">
        <f>IF($A3492="",0,IF(AND(AE3492&lt;&gt;"직접",IFERROR(INDEX(계정매핑!$G$5:$G$504,MATCH($F3492&amp;"",계정매핑!$A$5:$A$504,0))&amp;"","")="유지비",COUNTIF(계정대체기준!$A$6:$A$15,$N3492)&gt;0),IFERROR(INDEX(계정대체기준!$E$6:$E$15,MATCH(VALUE($A3492&amp;""),계정대체기준!$D$6:$D$15,0)),0),0))</f>
        <v/>
      </c>
      <c r="AH3492" s="64">
        <f>IF($A3492="","",IF(AD3492=0,"",IF(OR(COUNTIF(계정대체기준!$A$77:$A$86,$N3492)&gt;0,ISNUMBER(MATCH($X3492,계정대체기준!$D$77:$D$86,0)),ISNUMBER(MATCH($F3492,계정대체기준!$D$77:$D$86,0))),"Y","N")))</f>
        <v/>
      </c>
    </row>
    <row r="3493">
      <c r="A3493" s="92" t="n">
        <v>2026</v>
      </c>
      <c r="B3493" s="92" t="n">
        <v>4</v>
      </c>
      <c r="C3493" s="92" t="inlineStr">
        <is>
          <t>5100000771</t>
        </is>
      </c>
      <c r="D3493" s="95" t="n">
        <v>46123</v>
      </c>
      <c r="E3493" s="92" t="inlineStr">
        <is>
          <t>KR</t>
        </is>
      </c>
      <c r="F3493" s="92" t="n">
        <v>62802000</v>
      </c>
      <c r="G3493" s="92" t="n">
        <v>1301</v>
      </c>
      <c r="H3493" s="93" t="n">
        <v>5462000</v>
      </c>
      <c r="I3493" s="92" t="inlineStr">
        <is>
          <t>4월 위탁교육 - I교육원</t>
        </is>
      </c>
      <c r="J3493" s="92" t="inlineStr">
        <is>
          <t>V10019</t>
        </is>
      </c>
      <c r="K3493" s="92" t="inlineStr">
        <is>
          <t>I교육원</t>
        </is>
      </c>
      <c r="M3493" s="9">
        <f>IF($A3493="","",VALUE($A3493&amp;"")*12+VALUE($B3493&amp;""))</f>
        <v/>
      </c>
      <c r="N3493" s="64">
        <f>IF($A3493="","",IFERROR(INDEX(부서매핑!$C$5:$C$504,MATCH($G3493&amp;"",부서매핑!$A$5:$A$504,0)),"미매핑"))</f>
        <v/>
      </c>
      <c r="O3493" s="9">
        <f>IF($A3493="","",N3493&amp;"|"&amp;$F3493)</f>
        <v/>
      </c>
      <c r="P3493" s="94">
        <f>IF($A3493="",0,$H3493*설정!$C$23)</f>
        <v/>
      </c>
      <c r="Q3493" s="64">
        <f>IF($A3493="","",IF(O3493&lt;&gt;원인분석!$C$9,"",IF(AND(M3493&gt;=원인분석!$C$10,M3493&lt;=원인분석!$C$11),"당기",IF(AND(M3493&gt;=원인분석!$C$12,M3493&lt;=원인분석!$C$13),"비교",""))))</f>
        <v/>
      </c>
      <c r="R3493" s="9">
        <f>IF(Q3493="","",$K3493&amp;"")</f>
        <v/>
      </c>
      <c r="S3493" s="9">
        <f>IF(Q3493="","",IF(MATCH(R3493,$R$5:$R$100000,0)=ROW()-4,ROW(),""))</f>
        <v/>
      </c>
      <c r="T3493" s="9">
        <f>IF(Q3493="당기",ABS(P3493)+ROW()/1000000000,"")</f>
        <v/>
      </c>
      <c r="U3493" s="9">
        <f>IF(Q3493="비교",ABS(P3493)+ROW()/1000000000,"")</f>
        <v/>
      </c>
      <c r="V3493" s="64">
        <f>IF($A3493="","",IF(COUNTIF(변동분석!$E$7:$E$506,O3493)&gt;0,"Y","N"))</f>
        <v/>
      </c>
      <c r="W3493" s="64">
        <f>IF($A3493="","",IFERROR(INDEX(계정매핑!$D$5:$D$504,MATCH($F3493&amp;"",계정매핑!$A$5:$A$504,0)),"미매핑"))</f>
        <v/>
      </c>
      <c r="X3493" s="9">
        <f>IF($A3493="","",$F3493&amp;"")</f>
        <v/>
      </c>
      <c r="Y3493" s="94">
        <f>IF($A3493="",0,IF(AE3493="직접",IF(AF3493="비귀속",$P3493,0),$P3493*(1-AG3493)*IFERROR(INDEX(계정대체기준!$F$20:$F$49,MATCH($N3493,계정대체기준!$A$20:$A$49,0)),1)))</f>
        <v/>
      </c>
      <c r="Z3493" s="94">
        <f>IF($A3493="",0,IF(AE3493="직접",IF(AF3493="신계약비",$P3493,0),$P3493*(1-AG3493)*IFERROR(INDEX(계정대체기준!$C$20:$C$49,MATCH($N3493,계정대체기준!$A$20:$A$49,0)),0)))</f>
        <v/>
      </c>
      <c r="AA3493" s="94">
        <f>IF($A3493="",0,IF(AE3493="직접",IF(OR(AF3493="유지비",AF3493="손해조사비"),$P3493,0),$P3493*(1-AG3493)*IFERROR(INDEX(계정대체기준!$D$20:$D$49,MATCH($N3493,계정대체기준!$A$20:$A$49,0)),0)))</f>
        <v/>
      </c>
      <c r="AB3493" s="94">
        <f>IF($A3493="",0,IF(AE3493="직접",IF(AF3493="수금비",$P3493,0),$P3493*(1-AG3493)*IFERROR(INDEX(계정대체기준!$E$20:$E$49,MATCH($N3493,계정대체기준!$A$20:$A$49,0)),0)))</f>
        <v/>
      </c>
      <c r="AC3493" s="9">
        <f>IF(AND($A3493&lt;&gt;"",M3493=설정!$C$20,Z3493&gt;0),Z3493+ROW()/1000000000,"")</f>
        <v/>
      </c>
      <c r="AD3493" s="94">
        <f>IF($A3493="",0,$P3493*AG3493)</f>
        <v/>
      </c>
      <c r="AE3493" s="64">
        <f>IF($A3493="","",IFERROR(INDEX(계정매핑!$E$5:$E$504,MATCH($F3493&amp;"",계정매핑!$A$5:$A$504,0))&amp;"","공통비"))</f>
        <v/>
      </c>
      <c r="AF3493" s="64">
        <f>IF($A3493="","",IF(AE3493="직접",IFERROR(INDEX(계정매핑!$F$5:$F$504,MATCH($F3493&amp;"",계정매핑!$A$5:$A$504,0))&amp;"","비귀속"),""))</f>
        <v/>
      </c>
      <c r="AG3493" s="96">
        <f>IF($A3493="",0,IF(AND(AE3493&lt;&gt;"직접",IFERROR(INDEX(계정매핑!$G$5:$G$504,MATCH($F3493&amp;"",계정매핑!$A$5:$A$504,0))&amp;"","")="유지비",COUNTIF(계정대체기준!$A$6:$A$15,$N3493)&gt;0),IFERROR(INDEX(계정대체기준!$E$6:$E$15,MATCH(VALUE($A3493&amp;""),계정대체기준!$D$6:$D$15,0)),0),0))</f>
        <v/>
      </c>
      <c r="AH3493" s="64">
        <f>IF($A3493="","",IF(AD3493=0,"",IF(OR(COUNTIF(계정대체기준!$A$77:$A$86,$N3493)&gt;0,ISNUMBER(MATCH($X3493,계정대체기준!$D$77:$D$86,0)),ISNUMBER(MATCH($F3493,계정대체기준!$D$77:$D$86,0))),"Y","N")))</f>
        <v/>
      </c>
    </row>
    <row r="3494">
      <c r="A3494" s="92" t="n">
        <v>2026</v>
      </c>
      <c r="B3494" s="92" t="n">
        <v>4</v>
      </c>
      <c r="C3494" s="92" t="inlineStr">
        <is>
          <t>5100000772</t>
        </is>
      </c>
      <c r="D3494" s="95" t="n">
        <v>46123</v>
      </c>
      <c r="E3494" s="92" t="inlineStr">
        <is>
          <t>KR</t>
        </is>
      </c>
      <c r="F3494" s="92" t="n">
        <v>62902000</v>
      </c>
      <c r="G3494" s="92" t="n">
        <v>1101</v>
      </c>
      <c r="H3494" s="93" t="n">
        <v>1772000</v>
      </c>
      <c r="I3494" s="92" t="inlineStr">
        <is>
          <t>4월 업무 위탁 수수료 - J콜센터</t>
        </is>
      </c>
      <c r="J3494" s="92" t="inlineStr">
        <is>
          <t>V10016</t>
        </is>
      </c>
      <c r="K3494" s="92" t="inlineStr">
        <is>
          <t>J콜센터</t>
        </is>
      </c>
      <c r="M3494" s="9">
        <f>IF($A3494="","",VALUE($A3494&amp;"")*12+VALUE($B3494&amp;""))</f>
        <v/>
      </c>
      <c r="N3494" s="64">
        <f>IF($A3494="","",IFERROR(INDEX(부서매핑!$C$5:$C$504,MATCH($G3494&amp;"",부서매핑!$A$5:$A$504,0)),"미매핑"))</f>
        <v/>
      </c>
      <c r="O3494" s="9">
        <f>IF($A3494="","",N3494&amp;"|"&amp;$F3494)</f>
        <v/>
      </c>
      <c r="P3494" s="94">
        <f>IF($A3494="",0,$H3494*설정!$C$23)</f>
        <v/>
      </c>
      <c r="Q3494" s="64">
        <f>IF($A3494="","",IF(O3494&lt;&gt;원인분석!$C$9,"",IF(AND(M3494&gt;=원인분석!$C$10,M3494&lt;=원인분석!$C$11),"당기",IF(AND(M3494&gt;=원인분석!$C$12,M3494&lt;=원인분석!$C$13),"비교",""))))</f>
        <v/>
      </c>
      <c r="R3494" s="9">
        <f>IF(Q3494="","",$K3494&amp;"")</f>
        <v/>
      </c>
      <c r="S3494" s="9">
        <f>IF(Q3494="","",IF(MATCH(R3494,$R$5:$R$100000,0)=ROW()-4,ROW(),""))</f>
        <v/>
      </c>
      <c r="T3494" s="9">
        <f>IF(Q3494="당기",ABS(P3494)+ROW()/1000000000,"")</f>
        <v/>
      </c>
      <c r="U3494" s="9">
        <f>IF(Q3494="비교",ABS(P3494)+ROW()/1000000000,"")</f>
        <v/>
      </c>
      <c r="V3494" s="64">
        <f>IF($A3494="","",IF(COUNTIF(변동분석!$E$7:$E$506,O3494)&gt;0,"Y","N"))</f>
        <v/>
      </c>
      <c r="W3494" s="64">
        <f>IF($A3494="","",IFERROR(INDEX(계정매핑!$D$5:$D$504,MATCH($F3494&amp;"",계정매핑!$A$5:$A$504,0)),"미매핑"))</f>
        <v/>
      </c>
      <c r="X3494" s="9">
        <f>IF($A3494="","",$F3494&amp;"")</f>
        <v/>
      </c>
      <c r="Y3494" s="94">
        <f>IF($A3494="",0,IF(AE3494="직접",IF(AF3494="비귀속",$P3494,0),$P3494*(1-AG3494)*IFERROR(INDEX(계정대체기준!$F$20:$F$49,MATCH($N3494,계정대체기준!$A$20:$A$49,0)),1)))</f>
        <v/>
      </c>
      <c r="Z3494" s="94">
        <f>IF($A3494="",0,IF(AE3494="직접",IF(AF3494="신계약비",$P3494,0),$P3494*(1-AG3494)*IFERROR(INDEX(계정대체기준!$C$20:$C$49,MATCH($N3494,계정대체기준!$A$20:$A$49,0)),0)))</f>
        <v/>
      </c>
      <c r="AA3494" s="94">
        <f>IF($A3494="",0,IF(AE3494="직접",IF(OR(AF3494="유지비",AF3494="손해조사비"),$P3494,0),$P3494*(1-AG3494)*IFERROR(INDEX(계정대체기준!$D$20:$D$49,MATCH($N3494,계정대체기준!$A$20:$A$49,0)),0)))</f>
        <v/>
      </c>
      <c r="AB3494" s="94">
        <f>IF($A3494="",0,IF(AE3494="직접",IF(AF3494="수금비",$P3494,0),$P3494*(1-AG3494)*IFERROR(INDEX(계정대체기준!$E$20:$E$49,MATCH($N3494,계정대체기준!$A$20:$A$49,0)),0)))</f>
        <v/>
      </c>
      <c r="AC3494" s="9">
        <f>IF(AND($A3494&lt;&gt;"",M3494=설정!$C$20,Z3494&gt;0),Z3494+ROW()/1000000000,"")</f>
        <v/>
      </c>
      <c r="AD3494" s="94">
        <f>IF($A3494="",0,$P3494*AG3494)</f>
        <v/>
      </c>
      <c r="AE3494" s="64">
        <f>IF($A3494="","",IFERROR(INDEX(계정매핑!$E$5:$E$504,MATCH($F3494&amp;"",계정매핑!$A$5:$A$504,0))&amp;"","공통비"))</f>
        <v/>
      </c>
      <c r="AF3494" s="64">
        <f>IF($A3494="","",IF(AE3494="직접",IFERROR(INDEX(계정매핑!$F$5:$F$504,MATCH($F3494&amp;"",계정매핑!$A$5:$A$504,0))&amp;"","비귀속"),""))</f>
        <v/>
      </c>
      <c r="AG3494" s="96">
        <f>IF($A3494="",0,IF(AND(AE3494&lt;&gt;"직접",IFERROR(INDEX(계정매핑!$G$5:$G$504,MATCH($F3494&amp;"",계정매핑!$A$5:$A$504,0))&amp;"","")="유지비",COUNTIF(계정대체기준!$A$6:$A$15,$N3494)&gt;0),IFERROR(INDEX(계정대체기준!$E$6:$E$15,MATCH(VALUE($A3494&amp;""),계정대체기준!$D$6:$D$15,0)),0),0))</f>
        <v/>
      </c>
      <c r="AH3494" s="64">
        <f>IF($A3494="","",IF(AD3494=0,"",IF(OR(COUNTIF(계정대체기준!$A$77:$A$86,$N3494)&gt;0,ISNUMBER(MATCH($X3494,계정대체기준!$D$77:$D$86,0)),ISNUMBER(MATCH($F3494,계정대체기준!$D$77:$D$86,0))),"Y","N")))</f>
        <v/>
      </c>
    </row>
    <row r="3495">
      <c r="A3495" s="92" t="n">
        <v>2026</v>
      </c>
      <c r="B3495" s="92" t="n">
        <v>4</v>
      </c>
      <c r="C3495" s="92" t="inlineStr">
        <is>
          <t>5100000773</t>
        </is>
      </c>
      <c r="D3495" s="95" t="n">
        <v>46124</v>
      </c>
      <c r="E3495" s="92" t="inlineStr">
        <is>
          <t>KR</t>
        </is>
      </c>
      <c r="F3495" s="92" t="n">
        <v>62102000</v>
      </c>
      <c r="G3495" s="92" t="n">
        <v>1401</v>
      </c>
      <c r="H3495" s="93" t="n">
        <v>172000</v>
      </c>
      <c r="I3495" s="92" t="inlineStr">
        <is>
          <t>4월 해외출장 - N호텔</t>
        </is>
      </c>
      <c r="J3495" s="92" t="inlineStr">
        <is>
          <t>V10009</t>
        </is>
      </c>
      <c r="K3495" s="92" t="inlineStr">
        <is>
          <t>N호텔</t>
        </is>
      </c>
      <c r="M3495" s="9">
        <f>IF($A3495="","",VALUE($A3495&amp;"")*12+VALUE($B3495&amp;""))</f>
        <v/>
      </c>
      <c r="N3495" s="64">
        <f>IF($A3495="","",IFERROR(INDEX(부서매핑!$C$5:$C$504,MATCH($G3495&amp;"",부서매핑!$A$5:$A$504,0)),"미매핑"))</f>
        <v/>
      </c>
      <c r="O3495" s="9">
        <f>IF($A3495="","",N3495&amp;"|"&amp;$F3495)</f>
        <v/>
      </c>
      <c r="P3495" s="94">
        <f>IF($A3495="",0,$H3495*설정!$C$23)</f>
        <v/>
      </c>
      <c r="Q3495" s="64">
        <f>IF($A3495="","",IF(O3495&lt;&gt;원인분석!$C$9,"",IF(AND(M3495&gt;=원인분석!$C$10,M3495&lt;=원인분석!$C$11),"당기",IF(AND(M3495&gt;=원인분석!$C$12,M3495&lt;=원인분석!$C$13),"비교",""))))</f>
        <v/>
      </c>
      <c r="R3495" s="9">
        <f>IF(Q3495="","",$K3495&amp;"")</f>
        <v/>
      </c>
      <c r="S3495" s="9">
        <f>IF(Q3495="","",IF(MATCH(R3495,$R$5:$R$100000,0)=ROW()-4,ROW(),""))</f>
        <v/>
      </c>
      <c r="T3495" s="9">
        <f>IF(Q3495="당기",ABS(P3495)+ROW()/1000000000,"")</f>
        <v/>
      </c>
      <c r="U3495" s="9">
        <f>IF(Q3495="비교",ABS(P3495)+ROW()/1000000000,"")</f>
        <v/>
      </c>
      <c r="V3495" s="64">
        <f>IF($A3495="","",IF(COUNTIF(변동분석!$E$7:$E$506,O3495)&gt;0,"Y","N"))</f>
        <v/>
      </c>
      <c r="W3495" s="64">
        <f>IF($A3495="","",IFERROR(INDEX(계정매핑!$D$5:$D$504,MATCH($F3495&amp;"",계정매핑!$A$5:$A$504,0)),"미매핑"))</f>
        <v/>
      </c>
      <c r="X3495" s="9">
        <f>IF($A3495="","",$F3495&amp;"")</f>
        <v/>
      </c>
      <c r="Y3495" s="94">
        <f>IF($A3495="",0,IF(AE3495="직접",IF(AF3495="비귀속",$P3495,0),$P3495*(1-AG3495)*IFERROR(INDEX(계정대체기준!$F$20:$F$49,MATCH($N3495,계정대체기준!$A$20:$A$49,0)),1)))</f>
        <v/>
      </c>
      <c r="Z3495" s="94">
        <f>IF($A3495="",0,IF(AE3495="직접",IF(AF3495="신계약비",$P3495,0),$P3495*(1-AG3495)*IFERROR(INDEX(계정대체기준!$C$20:$C$49,MATCH($N3495,계정대체기준!$A$20:$A$49,0)),0)))</f>
        <v/>
      </c>
      <c r="AA3495" s="94">
        <f>IF($A3495="",0,IF(AE3495="직접",IF(OR(AF3495="유지비",AF3495="손해조사비"),$P3495,0),$P3495*(1-AG3495)*IFERROR(INDEX(계정대체기준!$D$20:$D$49,MATCH($N3495,계정대체기준!$A$20:$A$49,0)),0)))</f>
        <v/>
      </c>
      <c r="AB3495" s="94">
        <f>IF($A3495="",0,IF(AE3495="직접",IF(AF3495="수금비",$P3495,0),$P3495*(1-AG3495)*IFERROR(INDEX(계정대체기준!$E$20:$E$49,MATCH($N3495,계정대체기준!$A$20:$A$49,0)),0)))</f>
        <v/>
      </c>
      <c r="AC3495" s="9">
        <f>IF(AND($A3495&lt;&gt;"",M3495=설정!$C$20,Z3495&gt;0),Z3495+ROW()/1000000000,"")</f>
        <v/>
      </c>
      <c r="AD3495" s="94">
        <f>IF($A3495="",0,$P3495*AG3495)</f>
        <v/>
      </c>
      <c r="AE3495" s="64">
        <f>IF($A3495="","",IFERROR(INDEX(계정매핑!$E$5:$E$504,MATCH($F3495&amp;"",계정매핑!$A$5:$A$504,0))&amp;"","공통비"))</f>
        <v/>
      </c>
      <c r="AF3495" s="64">
        <f>IF($A3495="","",IF(AE3495="직접",IFERROR(INDEX(계정매핑!$F$5:$F$504,MATCH($F3495&amp;"",계정매핑!$A$5:$A$504,0))&amp;"","비귀속"),""))</f>
        <v/>
      </c>
      <c r="AG3495" s="96">
        <f>IF($A3495="",0,IF(AND(AE3495&lt;&gt;"직접",IFERROR(INDEX(계정매핑!$G$5:$G$504,MATCH($F3495&amp;"",계정매핑!$A$5:$A$504,0))&amp;"","")="유지비",COUNTIF(계정대체기준!$A$6:$A$15,$N3495)&gt;0),IFERROR(INDEX(계정대체기준!$E$6:$E$15,MATCH(VALUE($A3495&amp;""),계정대체기준!$D$6:$D$15,0)),0),0))</f>
        <v/>
      </c>
      <c r="AH3495" s="64">
        <f>IF($A3495="","",IF(AD3495=0,"",IF(OR(COUNTIF(계정대체기준!$A$77:$A$86,$N3495)&gt;0,ISNUMBER(MATCH($X3495,계정대체기준!$D$77:$D$86,0)),ISNUMBER(MATCH($F3495,계정대체기준!$D$77:$D$86,0))),"Y","N")))</f>
        <v/>
      </c>
    </row>
    <row r="3496">
      <c r="A3496" s="92" t="n">
        <v>2026</v>
      </c>
      <c r="B3496" s="92" t="n">
        <v>4</v>
      </c>
      <c r="C3496" s="92" t="inlineStr">
        <is>
          <t>5100000774</t>
        </is>
      </c>
      <c r="D3496" s="95" t="n">
        <v>46124</v>
      </c>
      <c r="E3496" s="92" t="inlineStr">
        <is>
          <t>KR</t>
        </is>
      </c>
      <c r="F3496" s="92" t="n">
        <v>62102000</v>
      </c>
      <c r="G3496" s="92" t="n">
        <v>1501</v>
      </c>
      <c r="H3496" s="93" t="n">
        <v>142000</v>
      </c>
      <c r="I3496" s="92" t="inlineStr">
        <is>
          <t>4월 해외출장 - N호텔</t>
        </is>
      </c>
      <c r="J3496" s="92" t="inlineStr">
        <is>
          <t>V10009</t>
        </is>
      </c>
      <c r="K3496" s="92" t="inlineStr">
        <is>
          <t>N호텔</t>
        </is>
      </c>
      <c r="M3496" s="9">
        <f>IF($A3496="","",VALUE($A3496&amp;"")*12+VALUE($B3496&amp;""))</f>
        <v/>
      </c>
      <c r="N3496" s="64">
        <f>IF($A3496="","",IFERROR(INDEX(부서매핑!$C$5:$C$504,MATCH($G3496&amp;"",부서매핑!$A$5:$A$504,0)),"미매핑"))</f>
        <v/>
      </c>
      <c r="O3496" s="9">
        <f>IF($A3496="","",N3496&amp;"|"&amp;$F3496)</f>
        <v/>
      </c>
      <c r="P3496" s="94">
        <f>IF($A3496="",0,$H3496*설정!$C$23)</f>
        <v/>
      </c>
      <c r="Q3496" s="64">
        <f>IF($A3496="","",IF(O3496&lt;&gt;원인분석!$C$9,"",IF(AND(M3496&gt;=원인분석!$C$10,M3496&lt;=원인분석!$C$11),"당기",IF(AND(M3496&gt;=원인분석!$C$12,M3496&lt;=원인분석!$C$13),"비교",""))))</f>
        <v/>
      </c>
      <c r="R3496" s="9">
        <f>IF(Q3496="","",$K3496&amp;"")</f>
        <v/>
      </c>
      <c r="S3496" s="9">
        <f>IF(Q3496="","",IF(MATCH(R3496,$R$5:$R$100000,0)=ROW()-4,ROW(),""))</f>
        <v/>
      </c>
      <c r="T3496" s="9">
        <f>IF(Q3496="당기",ABS(P3496)+ROW()/1000000000,"")</f>
        <v/>
      </c>
      <c r="U3496" s="9">
        <f>IF(Q3496="비교",ABS(P3496)+ROW()/1000000000,"")</f>
        <v/>
      </c>
      <c r="V3496" s="64">
        <f>IF($A3496="","",IF(COUNTIF(변동분석!$E$7:$E$506,O3496)&gt;0,"Y","N"))</f>
        <v/>
      </c>
      <c r="W3496" s="64">
        <f>IF($A3496="","",IFERROR(INDEX(계정매핑!$D$5:$D$504,MATCH($F3496&amp;"",계정매핑!$A$5:$A$504,0)),"미매핑"))</f>
        <v/>
      </c>
      <c r="X3496" s="9">
        <f>IF($A3496="","",$F3496&amp;"")</f>
        <v/>
      </c>
      <c r="Y3496" s="94">
        <f>IF($A3496="",0,IF(AE3496="직접",IF(AF3496="비귀속",$P3496,0),$P3496*(1-AG3496)*IFERROR(INDEX(계정대체기준!$F$20:$F$49,MATCH($N3496,계정대체기준!$A$20:$A$49,0)),1)))</f>
        <v/>
      </c>
      <c r="Z3496" s="94">
        <f>IF($A3496="",0,IF(AE3496="직접",IF(AF3496="신계약비",$P3496,0),$P3496*(1-AG3496)*IFERROR(INDEX(계정대체기준!$C$20:$C$49,MATCH($N3496,계정대체기준!$A$20:$A$49,0)),0)))</f>
        <v/>
      </c>
      <c r="AA3496" s="94">
        <f>IF($A3496="",0,IF(AE3496="직접",IF(OR(AF3496="유지비",AF3496="손해조사비"),$P3496,0),$P3496*(1-AG3496)*IFERROR(INDEX(계정대체기준!$D$20:$D$49,MATCH($N3496,계정대체기준!$A$20:$A$49,0)),0)))</f>
        <v/>
      </c>
      <c r="AB3496" s="94">
        <f>IF($A3496="",0,IF(AE3496="직접",IF(AF3496="수금비",$P3496,0),$P3496*(1-AG3496)*IFERROR(INDEX(계정대체기준!$E$20:$E$49,MATCH($N3496,계정대체기준!$A$20:$A$49,0)),0)))</f>
        <v/>
      </c>
      <c r="AC3496" s="9">
        <f>IF(AND($A3496&lt;&gt;"",M3496=설정!$C$20,Z3496&gt;0),Z3496+ROW()/1000000000,"")</f>
        <v/>
      </c>
      <c r="AD3496" s="94">
        <f>IF($A3496="",0,$P3496*AG3496)</f>
        <v/>
      </c>
      <c r="AE3496" s="64">
        <f>IF($A3496="","",IFERROR(INDEX(계정매핑!$E$5:$E$504,MATCH($F3496&amp;"",계정매핑!$A$5:$A$504,0))&amp;"","공통비"))</f>
        <v/>
      </c>
      <c r="AF3496" s="64">
        <f>IF($A3496="","",IF(AE3496="직접",IFERROR(INDEX(계정매핑!$F$5:$F$504,MATCH($F3496&amp;"",계정매핑!$A$5:$A$504,0))&amp;"","비귀속"),""))</f>
        <v/>
      </c>
      <c r="AG3496" s="96">
        <f>IF($A3496="",0,IF(AND(AE3496&lt;&gt;"직접",IFERROR(INDEX(계정매핑!$G$5:$G$504,MATCH($F3496&amp;"",계정매핑!$A$5:$A$504,0))&amp;"","")="유지비",COUNTIF(계정대체기준!$A$6:$A$15,$N3496)&gt;0),IFERROR(INDEX(계정대체기준!$E$6:$E$15,MATCH(VALUE($A3496&amp;""),계정대체기준!$D$6:$D$15,0)),0),0))</f>
        <v/>
      </c>
      <c r="AH3496" s="64">
        <f>IF($A3496="","",IF(AD3496=0,"",IF(OR(COUNTIF(계정대체기준!$A$77:$A$86,$N3496)&gt;0,ISNUMBER(MATCH($X3496,계정대체기준!$D$77:$D$86,0)),ISNUMBER(MATCH($F3496,계정대체기준!$D$77:$D$86,0))),"Y","N")))</f>
        <v/>
      </c>
    </row>
    <row r="3497">
      <c r="A3497" s="92" t="n">
        <v>2026</v>
      </c>
      <c r="B3497" s="92" t="n">
        <v>4</v>
      </c>
      <c r="C3497" s="92" t="inlineStr">
        <is>
          <t>5100000775</t>
        </is>
      </c>
      <c r="D3497" s="95" t="n">
        <v>46124</v>
      </c>
      <c r="E3497" s="92" t="inlineStr">
        <is>
          <t>KR</t>
        </is>
      </c>
      <c r="F3497" s="92" t="n">
        <v>62102000</v>
      </c>
      <c r="G3497" s="92" t="n">
        <v>1601</v>
      </c>
      <c r="H3497" s="93" t="n">
        <v>293000</v>
      </c>
      <c r="I3497" s="92" t="inlineStr">
        <is>
          <t>4월 해외출장 - M항공</t>
        </is>
      </c>
      <c r="J3497" s="92" t="inlineStr">
        <is>
          <t>V10001</t>
        </is>
      </c>
      <c r="K3497" s="92" t="inlineStr">
        <is>
          <t>M항공</t>
        </is>
      </c>
      <c r="M3497" s="9">
        <f>IF($A3497="","",VALUE($A3497&amp;"")*12+VALUE($B3497&amp;""))</f>
        <v/>
      </c>
      <c r="N3497" s="64">
        <f>IF($A3497="","",IFERROR(INDEX(부서매핑!$C$5:$C$504,MATCH($G3497&amp;"",부서매핑!$A$5:$A$504,0)),"미매핑"))</f>
        <v/>
      </c>
      <c r="O3497" s="9">
        <f>IF($A3497="","",N3497&amp;"|"&amp;$F3497)</f>
        <v/>
      </c>
      <c r="P3497" s="94">
        <f>IF($A3497="",0,$H3497*설정!$C$23)</f>
        <v/>
      </c>
      <c r="Q3497" s="64">
        <f>IF($A3497="","",IF(O3497&lt;&gt;원인분석!$C$9,"",IF(AND(M3497&gt;=원인분석!$C$10,M3497&lt;=원인분석!$C$11),"당기",IF(AND(M3497&gt;=원인분석!$C$12,M3497&lt;=원인분석!$C$13),"비교",""))))</f>
        <v/>
      </c>
      <c r="R3497" s="9">
        <f>IF(Q3497="","",$K3497&amp;"")</f>
        <v/>
      </c>
      <c r="S3497" s="9">
        <f>IF(Q3497="","",IF(MATCH(R3497,$R$5:$R$100000,0)=ROW()-4,ROW(),""))</f>
        <v/>
      </c>
      <c r="T3497" s="9">
        <f>IF(Q3497="당기",ABS(P3497)+ROW()/1000000000,"")</f>
        <v/>
      </c>
      <c r="U3497" s="9">
        <f>IF(Q3497="비교",ABS(P3497)+ROW()/1000000000,"")</f>
        <v/>
      </c>
      <c r="V3497" s="64">
        <f>IF($A3497="","",IF(COUNTIF(변동분석!$E$7:$E$506,O3497)&gt;0,"Y","N"))</f>
        <v/>
      </c>
      <c r="W3497" s="64">
        <f>IF($A3497="","",IFERROR(INDEX(계정매핑!$D$5:$D$504,MATCH($F3497&amp;"",계정매핑!$A$5:$A$504,0)),"미매핑"))</f>
        <v/>
      </c>
      <c r="X3497" s="9">
        <f>IF($A3497="","",$F3497&amp;"")</f>
        <v/>
      </c>
      <c r="Y3497" s="94">
        <f>IF($A3497="",0,IF(AE3497="직접",IF(AF3497="비귀속",$P3497,0),$P3497*(1-AG3497)*IFERROR(INDEX(계정대체기준!$F$20:$F$49,MATCH($N3497,계정대체기준!$A$20:$A$49,0)),1)))</f>
        <v/>
      </c>
      <c r="Z3497" s="94">
        <f>IF($A3497="",0,IF(AE3497="직접",IF(AF3497="신계약비",$P3497,0),$P3497*(1-AG3497)*IFERROR(INDEX(계정대체기준!$C$20:$C$49,MATCH($N3497,계정대체기준!$A$20:$A$49,0)),0)))</f>
        <v/>
      </c>
      <c r="AA3497" s="94">
        <f>IF($A3497="",0,IF(AE3497="직접",IF(OR(AF3497="유지비",AF3497="손해조사비"),$P3497,0),$P3497*(1-AG3497)*IFERROR(INDEX(계정대체기준!$D$20:$D$49,MATCH($N3497,계정대체기준!$A$20:$A$49,0)),0)))</f>
        <v/>
      </c>
      <c r="AB3497" s="94">
        <f>IF($A3497="",0,IF(AE3497="직접",IF(AF3497="수금비",$P3497,0),$P3497*(1-AG3497)*IFERROR(INDEX(계정대체기준!$E$20:$E$49,MATCH($N3497,계정대체기준!$A$20:$A$49,0)),0)))</f>
        <v/>
      </c>
      <c r="AC3497" s="9">
        <f>IF(AND($A3497&lt;&gt;"",M3497=설정!$C$20,Z3497&gt;0),Z3497+ROW()/1000000000,"")</f>
        <v/>
      </c>
      <c r="AD3497" s="94">
        <f>IF($A3497="",0,$P3497*AG3497)</f>
        <v/>
      </c>
      <c r="AE3497" s="64">
        <f>IF($A3497="","",IFERROR(INDEX(계정매핑!$E$5:$E$504,MATCH($F3497&amp;"",계정매핑!$A$5:$A$504,0))&amp;"","공통비"))</f>
        <v/>
      </c>
      <c r="AF3497" s="64">
        <f>IF($A3497="","",IF(AE3497="직접",IFERROR(INDEX(계정매핑!$F$5:$F$504,MATCH($F3497&amp;"",계정매핑!$A$5:$A$504,0))&amp;"","비귀속"),""))</f>
        <v/>
      </c>
      <c r="AG3497" s="96">
        <f>IF($A3497="",0,IF(AND(AE3497&lt;&gt;"직접",IFERROR(INDEX(계정매핑!$G$5:$G$504,MATCH($F3497&amp;"",계정매핑!$A$5:$A$504,0))&amp;"","")="유지비",COUNTIF(계정대체기준!$A$6:$A$15,$N3497)&gt;0),IFERROR(INDEX(계정대체기준!$E$6:$E$15,MATCH(VALUE($A3497&amp;""),계정대체기준!$D$6:$D$15,0)),0),0))</f>
        <v/>
      </c>
      <c r="AH3497" s="64">
        <f>IF($A3497="","",IF(AD3497=0,"",IF(OR(COUNTIF(계정대체기준!$A$77:$A$86,$N3497)&gt;0,ISNUMBER(MATCH($X3497,계정대체기준!$D$77:$D$86,0)),ISNUMBER(MATCH($F3497,계정대체기준!$D$77:$D$86,0))),"Y","N")))</f>
        <v/>
      </c>
    </row>
    <row r="3498">
      <c r="A3498" s="92" t="n">
        <v>2026</v>
      </c>
      <c r="B3498" s="92" t="n">
        <v>4</v>
      </c>
      <c r="C3498" s="92" t="inlineStr">
        <is>
          <t>5100000776</t>
        </is>
      </c>
      <c r="D3498" s="95" t="n">
        <v>46124</v>
      </c>
      <c r="E3498" s="92" t="inlineStr">
        <is>
          <t>KR</t>
        </is>
      </c>
      <c r="F3498" s="92" t="n">
        <v>62301000</v>
      </c>
      <c r="G3498" s="92" t="n">
        <v>1401</v>
      </c>
      <c r="H3498" s="93" t="n">
        <v>95000</v>
      </c>
      <c r="I3498" s="92" t="inlineStr">
        <is>
          <t>4월 소모품 구입 - R문구</t>
        </is>
      </c>
      <c r="J3498" s="92" t="inlineStr">
        <is>
          <t>V10022</t>
        </is>
      </c>
      <c r="K3498" s="92" t="inlineStr">
        <is>
          <t>R문구</t>
        </is>
      </c>
      <c r="M3498" s="9">
        <f>IF($A3498="","",VALUE($A3498&amp;"")*12+VALUE($B3498&amp;""))</f>
        <v/>
      </c>
      <c r="N3498" s="64">
        <f>IF($A3498="","",IFERROR(INDEX(부서매핑!$C$5:$C$504,MATCH($G3498&amp;"",부서매핑!$A$5:$A$504,0)),"미매핑"))</f>
        <v/>
      </c>
      <c r="O3498" s="9">
        <f>IF($A3498="","",N3498&amp;"|"&amp;$F3498)</f>
        <v/>
      </c>
      <c r="P3498" s="94">
        <f>IF($A3498="",0,$H3498*설정!$C$23)</f>
        <v/>
      </c>
      <c r="Q3498" s="64">
        <f>IF($A3498="","",IF(O3498&lt;&gt;원인분석!$C$9,"",IF(AND(M3498&gt;=원인분석!$C$10,M3498&lt;=원인분석!$C$11),"당기",IF(AND(M3498&gt;=원인분석!$C$12,M3498&lt;=원인분석!$C$13),"비교",""))))</f>
        <v/>
      </c>
      <c r="R3498" s="9">
        <f>IF(Q3498="","",$K3498&amp;"")</f>
        <v/>
      </c>
      <c r="S3498" s="9">
        <f>IF(Q3498="","",IF(MATCH(R3498,$R$5:$R$100000,0)=ROW()-4,ROW(),""))</f>
        <v/>
      </c>
      <c r="T3498" s="9">
        <f>IF(Q3498="당기",ABS(P3498)+ROW()/1000000000,"")</f>
        <v/>
      </c>
      <c r="U3498" s="9">
        <f>IF(Q3498="비교",ABS(P3498)+ROW()/1000000000,"")</f>
        <v/>
      </c>
      <c r="V3498" s="64">
        <f>IF($A3498="","",IF(COUNTIF(변동분석!$E$7:$E$506,O3498)&gt;0,"Y","N"))</f>
        <v/>
      </c>
      <c r="W3498" s="64">
        <f>IF($A3498="","",IFERROR(INDEX(계정매핑!$D$5:$D$504,MATCH($F3498&amp;"",계정매핑!$A$5:$A$504,0)),"미매핑"))</f>
        <v/>
      </c>
      <c r="X3498" s="9">
        <f>IF($A3498="","",$F3498&amp;"")</f>
        <v/>
      </c>
      <c r="Y3498" s="94">
        <f>IF($A3498="",0,IF(AE3498="직접",IF(AF3498="비귀속",$P3498,0),$P3498*(1-AG3498)*IFERROR(INDEX(계정대체기준!$F$20:$F$49,MATCH($N3498,계정대체기준!$A$20:$A$49,0)),1)))</f>
        <v/>
      </c>
      <c r="Z3498" s="94">
        <f>IF($A3498="",0,IF(AE3498="직접",IF(AF3498="신계약비",$P3498,0),$P3498*(1-AG3498)*IFERROR(INDEX(계정대체기준!$C$20:$C$49,MATCH($N3498,계정대체기준!$A$20:$A$49,0)),0)))</f>
        <v/>
      </c>
      <c r="AA3498" s="94">
        <f>IF($A3498="",0,IF(AE3498="직접",IF(OR(AF3498="유지비",AF3498="손해조사비"),$P3498,0),$P3498*(1-AG3498)*IFERROR(INDEX(계정대체기준!$D$20:$D$49,MATCH($N3498,계정대체기준!$A$20:$A$49,0)),0)))</f>
        <v/>
      </c>
      <c r="AB3498" s="94">
        <f>IF($A3498="",0,IF(AE3498="직접",IF(AF3498="수금비",$P3498,0),$P3498*(1-AG3498)*IFERROR(INDEX(계정대체기준!$E$20:$E$49,MATCH($N3498,계정대체기준!$A$20:$A$49,0)),0)))</f>
        <v/>
      </c>
      <c r="AC3498" s="9">
        <f>IF(AND($A3498&lt;&gt;"",M3498=설정!$C$20,Z3498&gt;0),Z3498+ROW()/1000000000,"")</f>
        <v/>
      </c>
      <c r="AD3498" s="94">
        <f>IF($A3498="",0,$P3498*AG3498)</f>
        <v/>
      </c>
      <c r="AE3498" s="64">
        <f>IF($A3498="","",IFERROR(INDEX(계정매핑!$E$5:$E$504,MATCH($F3498&amp;"",계정매핑!$A$5:$A$504,0))&amp;"","공통비"))</f>
        <v/>
      </c>
      <c r="AF3498" s="64">
        <f>IF($A3498="","",IF(AE3498="직접",IFERROR(INDEX(계정매핑!$F$5:$F$504,MATCH($F3498&amp;"",계정매핑!$A$5:$A$504,0))&amp;"","비귀속"),""))</f>
        <v/>
      </c>
      <c r="AG3498" s="96">
        <f>IF($A3498="",0,IF(AND(AE3498&lt;&gt;"직접",IFERROR(INDEX(계정매핑!$G$5:$G$504,MATCH($F3498&amp;"",계정매핑!$A$5:$A$504,0))&amp;"","")="유지비",COUNTIF(계정대체기준!$A$6:$A$15,$N3498)&gt;0),IFERROR(INDEX(계정대체기준!$E$6:$E$15,MATCH(VALUE($A3498&amp;""),계정대체기준!$D$6:$D$15,0)),0),0))</f>
        <v/>
      </c>
      <c r="AH3498" s="64">
        <f>IF($A3498="","",IF(AD3498=0,"",IF(OR(COUNTIF(계정대체기준!$A$77:$A$86,$N3498)&gt;0,ISNUMBER(MATCH($X3498,계정대체기준!$D$77:$D$86,0)),ISNUMBER(MATCH($F3498,계정대체기준!$D$77:$D$86,0))),"Y","N")))</f>
        <v/>
      </c>
    </row>
    <row r="3499">
      <c r="A3499" s="92" t="n">
        <v>2026</v>
      </c>
      <c r="B3499" s="92" t="n">
        <v>4</v>
      </c>
      <c r="C3499" s="92" t="inlineStr">
        <is>
          <t>5100000777</t>
        </is>
      </c>
      <c r="D3499" s="95" t="n">
        <v>46124</v>
      </c>
      <c r="E3499" s="92" t="inlineStr">
        <is>
          <t>KR</t>
        </is>
      </c>
      <c r="F3499" s="92" t="n">
        <v>62301000</v>
      </c>
      <c r="G3499" s="92" t="n">
        <v>1601</v>
      </c>
      <c r="H3499" s="93" t="n">
        <v>244000</v>
      </c>
      <c r="I3499" s="92" t="inlineStr">
        <is>
          <t>4월 소모품 구입 - R문구</t>
        </is>
      </c>
      <c r="J3499" s="92" t="inlineStr">
        <is>
          <t>V10022</t>
        </is>
      </c>
      <c r="K3499" s="92" t="inlineStr">
        <is>
          <t>R문구</t>
        </is>
      </c>
      <c r="M3499" s="9">
        <f>IF($A3499="","",VALUE($A3499&amp;"")*12+VALUE($B3499&amp;""))</f>
        <v/>
      </c>
      <c r="N3499" s="64">
        <f>IF($A3499="","",IFERROR(INDEX(부서매핑!$C$5:$C$504,MATCH($G3499&amp;"",부서매핑!$A$5:$A$504,0)),"미매핑"))</f>
        <v/>
      </c>
      <c r="O3499" s="9">
        <f>IF($A3499="","",N3499&amp;"|"&amp;$F3499)</f>
        <v/>
      </c>
      <c r="P3499" s="94">
        <f>IF($A3499="",0,$H3499*설정!$C$23)</f>
        <v/>
      </c>
      <c r="Q3499" s="64">
        <f>IF($A3499="","",IF(O3499&lt;&gt;원인분석!$C$9,"",IF(AND(M3499&gt;=원인분석!$C$10,M3499&lt;=원인분석!$C$11),"당기",IF(AND(M3499&gt;=원인분석!$C$12,M3499&lt;=원인분석!$C$13),"비교",""))))</f>
        <v/>
      </c>
      <c r="R3499" s="9">
        <f>IF(Q3499="","",$K3499&amp;"")</f>
        <v/>
      </c>
      <c r="S3499" s="9">
        <f>IF(Q3499="","",IF(MATCH(R3499,$R$5:$R$100000,0)=ROW()-4,ROW(),""))</f>
        <v/>
      </c>
      <c r="T3499" s="9">
        <f>IF(Q3499="당기",ABS(P3499)+ROW()/1000000000,"")</f>
        <v/>
      </c>
      <c r="U3499" s="9">
        <f>IF(Q3499="비교",ABS(P3499)+ROW()/1000000000,"")</f>
        <v/>
      </c>
      <c r="V3499" s="64">
        <f>IF($A3499="","",IF(COUNTIF(변동분석!$E$7:$E$506,O3499)&gt;0,"Y","N"))</f>
        <v/>
      </c>
      <c r="W3499" s="64">
        <f>IF($A3499="","",IFERROR(INDEX(계정매핑!$D$5:$D$504,MATCH($F3499&amp;"",계정매핑!$A$5:$A$504,0)),"미매핑"))</f>
        <v/>
      </c>
      <c r="X3499" s="9">
        <f>IF($A3499="","",$F3499&amp;"")</f>
        <v/>
      </c>
      <c r="Y3499" s="94">
        <f>IF($A3499="",0,IF(AE3499="직접",IF(AF3499="비귀속",$P3499,0),$P3499*(1-AG3499)*IFERROR(INDEX(계정대체기준!$F$20:$F$49,MATCH($N3499,계정대체기준!$A$20:$A$49,0)),1)))</f>
        <v/>
      </c>
      <c r="Z3499" s="94">
        <f>IF($A3499="",0,IF(AE3499="직접",IF(AF3499="신계약비",$P3499,0),$P3499*(1-AG3499)*IFERROR(INDEX(계정대체기준!$C$20:$C$49,MATCH($N3499,계정대체기준!$A$20:$A$49,0)),0)))</f>
        <v/>
      </c>
      <c r="AA3499" s="94">
        <f>IF($A3499="",0,IF(AE3499="직접",IF(OR(AF3499="유지비",AF3499="손해조사비"),$P3499,0),$P3499*(1-AG3499)*IFERROR(INDEX(계정대체기준!$D$20:$D$49,MATCH($N3499,계정대체기준!$A$20:$A$49,0)),0)))</f>
        <v/>
      </c>
      <c r="AB3499" s="94">
        <f>IF($A3499="",0,IF(AE3499="직접",IF(AF3499="수금비",$P3499,0),$P3499*(1-AG3499)*IFERROR(INDEX(계정대체기준!$E$20:$E$49,MATCH($N3499,계정대체기준!$A$20:$A$49,0)),0)))</f>
        <v/>
      </c>
      <c r="AC3499" s="9">
        <f>IF(AND($A3499&lt;&gt;"",M3499=설정!$C$20,Z3499&gt;0),Z3499+ROW()/1000000000,"")</f>
        <v/>
      </c>
      <c r="AD3499" s="94">
        <f>IF($A3499="",0,$P3499*AG3499)</f>
        <v/>
      </c>
      <c r="AE3499" s="64">
        <f>IF($A3499="","",IFERROR(INDEX(계정매핑!$E$5:$E$504,MATCH($F3499&amp;"",계정매핑!$A$5:$A$504,0))&amp;"","공통비"))</f>
        <v/>
      </c>
      <c r="AF3499" s="64">
        <f>IF($A3499="","",IF(AE3499="직접",IFERROR(INDEX(계정매핑!$F$5:$F$504,MATCH($F3499&amp;"",계정매핑!$A$5:$A$504,0))&amp;"","비귀속"),""))</f>
        <v/>
      </c>
      <c r="AG3499" s="96">
        <f>IF($A3499="",0,IF(AND(AE3499&lt;&gt;"직접",IFERROR(INDEX(계정매핑!$G$5:$G$504,MATCH($F3499&amp;"",계정매핑!$A$5:$A$504,0))&amp;"","")="유지비",COUNTIF(계정대체기준!$A$6:$A$15,$N3499)&gt;0),IFERROR(INDEX(계정대체기준!$E$6:$E$15,MATCH(VALUE($A3499&amp;""),계정대체기준!$D$6:$D$15,0)),0),0))</f>
        <v/>
      </c>
      <c r="AH3499" s="64">
        <f>IF($A3499="","",IF(AD3499=0,"",IF(OR(COUNTIF(계정대체기준!$A$77:$A$86,$N3499)&gt;0,ISNUMBER(MATCH($X3499,계정대체기준!$D$77:$D$86,0)),ISNUMBER(MATCH($F3499,계정대체기준!$D$77:$D$86,0))),"Y","N")))</f>
        <v/>
      </c>
    </row>
    <row r="3500">
      <c r="A3500" s="92" t="n">
        <v>2026</v>
      </c>
      <c r="B3500" s="92" t="n">
        <v>4</v>
      </c>
      <c r="C3500" s="92" t="inlineStr">
        <is>
          <t>5100000778</t>
        </is>
      </c>
      <c r="D3500" s="95" t="n">
        <v>46124</v>
      </c>
      <c r="E3500" s="92" t="inlineStr">
        <is>
          <t>KR</t>
        </is>
      </c>
      <c r="F3500" s="92" t="n">
        <v>62301000</v>
      </c>
      <c r="G3500" s="92" t="n">
        <v>1701</v>
      </c>
      <c r="H3500" s="93" t="n">
        <v>317000</v>
      </c>
      <c r="I3500" s="92" t="inlineStr">
        <is>
          <t>4월 소모품 구입 - Q오피스</t>
        </is>
      </c>
      <c r="J3500" s="92" t="inlineStr">
        <is>
          <t>V10003</t>
        </is>
      </c>
      <c r="K3500" s="92" t="inlineStr">
        <is>
          <t>Q오피스</t>
        </is>
      </c>
      <c r="M3500" s="9">
        <f>IF($A3500="","",VALUE($A3500&amp;"")*12+VALUE($B3500&amp;""))</f>
        <v/>
      </c>
      <c r="N3500" s="64">
        <f>IF($A3500="","",IFERROR(INDEX(부서매핑!$C$5:$C$504,MATCH($G3500&amp;"",부서매핑!$A$5:$A$504,0)),"미매핑"))</f>
        <v/>
      </c>
      <c r="O3500" s="9">
        <f>IF($A3500="","",N3500&amp;"|"&amp;$F3500)</f>
        <v/>
      </c>
      <c r="P3500" s="94">
        <f>IF($A3500="",0,$H3500*설정!$C$23)</f>
        <v/>
      </c>
      <c r="Q3500" s="64">
        <f>IF($A3500="","",IF(O3500&lt;&gt;원인분석!$C$9,"",IF(AND(M3500&gt;=원인분석!$C$10,M3500&lt;=원인분석!$C$11),"당기",IF(AND(M3500&gt;=원인분석!$C$12,M3500&lt;=원인분석!$C$13),"비교",""))))</f>
        <v/>
      </c>
      <c r="R3500" s="9">
        <f>IF(Q3500="","",$K3500&amp;"")</f>
        <v/>
      </c>
      <c r="S3500" s="9">
        <f>IF(Q3500="","",IF(MATCH(R3500,$R$5:$R$100000,0)=ROW()-4,ROW(),""))</f>
        <v/>
      </c>
      <c r="T3500" s="9">
        <f>IF(Q3500="당기",ABS(P3500)+ROW()/1000000000,"")</f>
        <v/>
      </c>
      <c r="U3500" s="9">
        <f>IF(Q3500="비교",ABS(P3500)+ROW()/1000000000,"")</f>
        <v/>
      </c>
      <c r="V3500" s="64">
        <f>IF($A3500="","",IF(COUNTIF(변동분석!$E$7:$E$506,O3500)&gt;0,"Y","N"))</f>
        <v/>
      </c>
      <c r="W3500" s="64">
        <f>IF($A3500="","",IFERROR(INDEX(계정매핑!$D$5:$D$504,MATCH($F3500&amp;"",계정매핑!$A$5:$A$504,0)),"미매핑"))</f>
        <v/>
      </c>
      <c r="X3500" s="9">
        <f>IF($A3500="","",$F3500&amp;"")</f>
        <v/>
      </c>
      <c r="Y3500" s="94">
        <f>IF($A3500="",0,IF(AE3500="직접",IF(AF3500="비귀속",$P3500,0),$P3500*(1-AG3500)*IFERROR(INDEX(계정대체기준!$F$20:$F$49,MATCH($N3500,계정대체기준!$A$20:$A$49,0)),1)))</f>
        <v/>
      </c>
      <c r="Z3500" s="94">
        <f>IF($A3500="",0,IF(AE3500="직접",IF(AF3500="신계약비",$P3500,0),$P3500*(1-AG3500)*IFERROR(INDEX(계정대체기준!$C$20:$C$49,MATCH($N3500,계정대체기준!$A$20:$A$49,0)),0)))</f>
        <v/>
      </c>
      <c r="AA3500" s="94">
        <f>IF($A3500="",0,IF(AE3500="직접",IF(OR(AF3500="유지비",AF3500="손해조사비"),$P3500,0),$P3500*(1-AG3500)*IFERROR(INDEX(계정대체기준!$D$20:$D$49,MATCH($N3500,계정대체기준!$A$20:$A$49,0)),0)))</f>
        <v/>
      </c>
      <c r="AB3500" s="94">
        <f>IF($A3500="",0,IF(AE3500="직접",IF(AF3500="수금비",$P3500,0),$P3500*(1-AG3500)*IFERROR(INDEX(계정대체기준!$E$20:$E$49,MATCH($N3500,계정대체기준!$A$20:$A$49,0)),0)))</f>
        <v/>
      </c>
      <c r="AC3500" s="9">
        <f>IF(AND($A3500&lt;&gt;"",M3500=설정!$C$20,Z3500&gt;0),Z3500+ROW()/1000000000,"")</f>
        <v/>
      </c>
      <c r="AD3500" s="94">
        <f>IF($A3500="",0,$P3500*AG3500)</f>
        <v/>
      </c>
      <c r="AE3500" s="64">
        <f>IF($A3500="","",IFERROR(INDEX(계정매핑!$E$5:$E$504,MATCH($F3500&amp;"",계정매핑!$A$5:$A$504,0))&amp;"","공통비"))</f>
        <v/>
      </c>
      <c r="AF3500" s="64">
        <f>IF($A3500="","",IF(AE3500="직접",IFERROR(INDEX(계정매핑!$F$5:$F$504,MATCH($F3500&amp;"",계정매핑!$A$5:$A$504,0))&amp;"","비귀속"),""))</f>
        <v/>
      </c>
      <c r="AG3500" s="96">
        <f>IF($A3500="",0,IF(AND(AE3500&lt;&gt;"직접",IFERROR(INDEX(계정매핑!$G$5:$G$504,MATCH($F3500&amp;"",계정매핑!$A$5:$A$504,0))&amp;"","")="유지비",COUNTIF(계정대체기준!$A$6:$A$15,$N3500)&gt;0),IFERROR(INDEX(계정대체기준!$E$6:$E$15,MATCH(VALUE($A3500&amp;""),계정대체기준!$D$6:$D$15,0)),0),0))</f>
        <v/>
      </c>
      <c r="AH3500" s="64">
        <f>IF($A3500="","",IF(AD3500=0,"",IF(OR(COUNTIF(계정대체기준!$A$77:$A$86,$N3500)&gt;0,ISNUMBER(MATCH($X3500,계정대체기준!$D$77:$D$86,0)),ISNUMBER(MATCH($F3500,계정대체기준!$D$77:$D$86,0))),"Y","N")))</f>
        <v/>
      </c>
    </row>
    <row r="3501">
      <c r="A3501" s="92" t="n">
        <v>2026</v>
      </c>
      <c r="B3501" s="92" t="n">
        <v>4</v>
      </c>
      <c r="C3501" s="92" t="inlineStr">
        <is>
          <t>5100000779</t>
        </is>
      </c>
      <c r="D3501" s="95" t="n">
        <v>46124</v>
      </c>
      <c r="E3501" s="92" t="inlineStr">
        <is>
          <t>KR</t>
        </is>
      </c>
      <c r="F3501" s="92" t="n">
        <v>62501000</v>
      </c>
      <c r="G3501" s="92" t="n">
        <v>1601</v>
      </c>
      <c r="H3501" s="93" t="n">
        <v>343000</v>
      </c>
      <c r="I3501" s="92" t="inlineStr">
        <is>
          <t>4월 회의 다과 - T케이터링</t>
        </is>
      </c>
      <c r="J3501" s="92" t="inlineStr">
        <is>
          <t>V10005</t>
        </is>
      </c>
      <c r="K3501" s="92" t="inlineStr">
        <is>
          <t>T케이터링</t>
        </is>
      </c>
      <c r="M3501" s="9">
        <f>IF($A3501="","",VALUE($A3501&amp;"")*12+VALUE($B3501&amp;""))</f>
        <v/>
      </c>
      <c r="N3501" s="64">
        <f>IF($A3501="","",IFERROR(INDEX(부서매핑!$C$5:$C$504,MATCH($G3501&amp;"",부서매핑!$A$5:$A$504,0)),"미매핑"))</f>
        <v/>
      </c>
      <c r="O3501" s="9">
        <f>IF($A3501="","",N3501&amp;"|"&amp;$F3501)</f>
        <v/>
      </c>
      <c r="P3501" s="94">
        <f>IF($A3501="",0,$H3501*설정!$C$23)</f>
        <v/>
      </c>
      <c r="Q3501" s="64">
        <f>IF($A3501="","",IF(O3501&lt;&gt;원인분석!$C$9,"",IF(AND(M3501&gt;=원인분석!$C$10,M3501&lt;=원인분석!$C$11),"당기",IF(AND(M3501&gt;=원인분석!$C$12,M3501&lt;=원인분석!$C$13),"비교",""))))</f>
        <v/>
      </c>
      <c r="R3501" s="9">
        <f>IF(Q3501="","",$K3501&amp;"")</f>
        <v/>
      </c>
      <c r="S3501" s="9">
        <f>IF(Q3501="","",IF(MATCH(R3501,$R$5:$R$100000,0)=ROW()-4,ROW(),""))</f>
        <v/>
      </c>
      <c r="T3501" s="9">
        <f>IF(Q3501="당기",ABS(P3501)+ROW()/1000000000,"")</f>
        <v/>
      </c>
      <c r="U3501" s="9">
        <f>IF(Q3501="비교",ABS(P3501)+ROW()/1000000000,"")</f>
        <v/>
      </c>
      <c r="V3501" s="64">
        <f>IF($A3501="","",IF(COUNTIF(변동분석!$E$7:$E$506,O3501)&gt;0,"Y","N"))</f>
        <v/>
      </c>
      <c r="W3501" s="64">
        <f>IF($A3501="","",IFERROR(INDEX(계정매핑!$D$5:$D$504,MATCH($F3501&amp;"",계정매핑!$A$5:$A$504,0)),"미매핑"))</f>
        <v/>
      </c>
      <c r="X3501" s="9">
        <f>IF($A3501="","",$F3501&amp;"")</f>
        <v/>
      </c>
      <c r="Y3501" s="94">
        <f>IF($A3501="",0,IF(AE3501="직접",IF(AF3501="비귀속",$P3501,0),$P3501*(1-AG3501)*IFERROR(INDEX(계정대체기준!$F$20:$F$49,MATCH($N3501,계정대체기준!$A$20:$A$49,0)),1)))</f>
        <v/>
      </c>
      <c r="Z3501" s="94">
        <f>IF($A3501="",0,IF(AE3501="직접",IF(AF3501="신계약비",$P3501,0),$P3501*(1-AG3501)*IFERROR(INDEX(계정대체기준!$C$20:$C$49,MATCH($N3501,계정대체기준!$A$20:$A$49,0)),0)))</f>
        <v/>
      </c>
      <c r="AA3501" s="94">
        <f>IF($A3501="",0,IF(AE3501="직접",IF(OR(AF3501="유지비",AF3501="손해조사비"),$P3501,0),$P3501*(1-AG3501)*IFERROR(INDEX(계정대체기준!$D$20:$D$49,MATCH($N3501,계정대체기준!$A$20:$A$49,0)),0)))</f>
        <v/>
      </c>
      <c r="AB3501" s="94">
        <f>IF($A3501="",0,IF(AE3501="직접",IF(AF3501="수금비",$P3501,0),$P3501*(1-AG3501)*IFERROR(INDEX(계정대체기준!$E$20:$E$49,MATCH($N3501,계정대체기준!$A$20:$A$49,0)),0)))</f>
        <v/>
      </c>
      <c r="AC3501" s="9">
        <f>IF(AND($A3501&lt;&gt;"",M3501=설정!$C$20,Z3501&gt;0),Z3501+ROW()/1000000000,"")</f>
        <v/>
      </c>
      <c r="AD3501" s="94">
        <f>IF($A3501="",0,$P3501*AG3501)</f>
        <v/>
      </c>
      <c r="AE3501" s="64">
        <f>IF($A3501="","",IFERROR(INDEX(계정매핑!$E$5:$E$504,MATCH($F3501&amp;"",계정매핑!$A$5:$A$504,0))&amp;"","공통비"))</f>
        <v/>
      </c>
      <c r="AF3501" s="64">
        <f>IF($A3501="","",IF(AE3501="직접",IFERROR(INDEX(계정매핑!$F$5:$F$504,MATCH($F3501&amp;"",계정매핑!$A$5:$A$504,0))&amp;"","비귀속"),""))</f>
        <v/>
      </c>
      <c r="AG3501" s="96">
        <f>IF($A3501="",0,IF(AND(AE3501&lt;&gt;"직접",IFERROR(INDEX(계정매핑!$G$5:$G$504,MATCH($F3501&amp;"",계정매핑!$A$5:$A$504,0))&amp;"","")="유지비",COUNTIF(계정대체기준!$A$6:$A$15,$N3501)&gt;0),IFERROR(INDEX(계정대체기준!$E$6:$E$15,MATCH(VALUE($A3501&amp;""),계정대체기준!$D$6:$D$15,0)),0),0))</f>
        <v/>
      </c>
      <c r="AH3501" s="64">
        <f>IF($A3501="","",IF(AD3501=0,"",IF(OR(COUNTIF(계정대체기준!$A$77:$A$86,$N3501)&gt;0,ISNUMBER(MATCH($X3501,계정대체기준!$D$77:$D$86,0)),ISNUMBER(MATCH($F3501,계정대체기준!$D$77:$D$86,0))),"Y","N")))</f>
        <v/>
      </c>
    </row>
    <row r="3502">
      <c r="A3502" s="92" t="n">
        <v>2026</v>
      </c>
      <c r="B3502" s="92" t="n">
        <v>4</v>
      </c>
      <c r="C3502" s="92" t="inlineStr">
        <is>
          <t>5100000780</t>
        </is>
      </c>
      <c r="D3502" s="95" t="n">
        <v>46124</v>
      </c>
      <c r="E3502" s="92" t="inlineStr">
        <is>
          <t>KR</t>
        </is>
      </c>
      <c r="F3502" s="92" t="n">
        <v>63501000</v>
      </c>
      <c r="G3502" s="92" t="n">
        <v>1902</v>
      </c>
      <c r="H3502" s="93" t="n">
        <v>390858000</v>
      </c>
      <c r="I3502" s="92" t="inlineStr">
        <is>
          <t>4월 모집수수료 - (전속설계사)</t>
        </is>
      </c>
      <c r="J3502" s="92" t="inlineStr">
        <is>
          <t>V10021</t>
        </is>
      </c>
      <c r="K3502" s="92" t="inlineStr">
        <is>
          <t>(전속설계사)</t>
        </is>
      </c>
      <c r="M3502" s="9">
        <f>IF($A3502="","",VALUE($A3502&amp;"")*12+VALUE($B3502&amp;""))</f>
        <v/>
      </c>
      <c r="N3502" s="64">
        <f>IF($A3502="","",IFERROR(INDEX(부서매핑!$C$5:$C$504,MATCH($G3502&amp;"",부서매핑!$A$5:$A$504,0)),"미매핑"))</f>
        <v/>
      </c>
      <c r="O3502" s="9">
        <f>IF($A3502="","",N3502&amp;"|"&amp;$F3502)</f>
        <v/>
      </c>
      <c r="P3502" s="94">
        <f>IF($A3502="",0,$H3502*설정!$C$23)</f>
        <v/>
      </c>
      <c r="Q3502" s="64">
        <f>IF($A3502="","",IF(O3502&lt;&gt;원인분석!$C$9,"",IF(AND(M3502&gt;=원인분석!$C$10,M3502&lt;=원인분석!$C$11),"당기",IF(AND(M3502&gt;=원인분석!$C$12,M3502&lt;=원인분석!$C$13),"비교",""))))</f>
        <v/>
      </c>
      <c r="R3502" s="9">
        <f>IF(Q3502="","",$K3502&amp;"")</f>
        <v/>
      </c>
      <c r="S3502" s="9">
        <f>IF(Q3502="","",IF(MATCH(R3502,$R$5:$R$100000,0)=ROW()-4,ROW(),""))</f>
        <v/>
      </c>
      <c r="T3502" s="9">
        <f>IF(Q3502="당기",ABS(P3502)+ROW()/1000000000,"")</f>
        <v/>
      </c>
      <c r="U3502" s="9">
        <f>IF(Q3502="비교",ABS(P3502)+ROW()/1000000000,"")</f>
        <v/>
      </c>
      <c r="V3502" s="64">
        <f>IF($A3502="","",IF(COUNTIF(변동분석!$E$7:$E$506,O3502)&gt;0,"Y","N"))</f>
        <v/>
      </c>
      <c r="W3502" s="64">
        <f>IF($A3502="","",IFERROR(INDEX(계정매핑!$D$5:$D$504,MATCH($F3502&amp;"",계정매핑!$A$5:$A$504,0)),"미매핑"))</f>
        <v/>
      </c>
      <c r="X3502" s="9">
        <f>IF($A3502="","",$F3502&amp;"")</f>
        <v/>
      </c>
      <c r="Y3502" s="94">
        <f>IF($A3502="",0,IF(AE3502="직접",IF(AF3502="비귀속",$P3502,0),$P3502*(1-AG3502)*IFERROR(INDEX(계정대체기준!$F$20:$F$49,MATCH($N3502,계정대체기준!$A$20:$A$49,0)),1)))</f>
        <v/>
      </c>
      <c r="Z3502" s="94">
        <f>IF($A3502="",0,IF(AE3502="직접",IF(AF3502="신계약비",$P3502,0),$P3502*(1-AG3502)*IFERROR(INDEX(계정대체기준!$C$20:$C$49,MATCH($N3502,계정대체기준!$A$20:$A$49,0)),0)))</f>
        <v/>
      </c>
      <c r="AA3502" s="94">
        <f>IF($A3502="",0,IF(AE3502="직접",IF(OR(AF3502="유지비",AF3502="손해조사비"),$P3502,0),$P3502*(1-AG3502)*IFERROR(INDEX(계정대체기준!$D$20:$D$49,MATCH($N3502,계정대체기준!$A$20:$A$49,0)),0)))</f>
        <v/>
      </c>
      <c r="AB3502" s="94">
        <f>IF($A3502="",0,IF(AE3502="직접",IF(AF3502="수금비",$P3502,0),$P3502*(1-AG3502)*IFERROR(INDEX(계정대체기준!$E$20:$E$49,MATCH($N3502,계정대체기준!$A$20:$A$49,0)),0)))</f>
        <v/>
      </c>
      <c r="AC3502" s="9">
        <f>IF(AND($A3502&lt;&gt;"",M3502=설정!$C$20,Z3502&gt;0),Z3502+ROW()/1000000000,"")</f>
        <v/>
      </c>
      <c r="AD3502" s="94">
        <f>IF($A3502="",0,$P3502*AG3502)</f>
        <v/>
      </c>
      <c r="AE3502" s="64">
        <f>IF($A3502="","",IFERROR(INDEX(계정매핑!$E$5:$E$504,MATCH($F3502&amp;"",계정매핑!$A$5:$A$504,0))&amp;"","공통비"))</f>
        <v/>
      </c>
      <c r="AF3502" s="64">
        <f>IF($A3502="","",IF(AE3502="직접",IFERROR(INDEX(계정매핑!$F$5:$F$504,MATCH($F3502&amp;"",계정매핑!$A$5:$A$504,0))&amp;"","비귀속"),""))</f>
        <v/>
      </c>
      <c r="AG3502" s="96">
        <f>IF($A3502="",0,IF(AND(AE3502&lt;&gt;"직접",IFERROR(INDEX(계정매핑!$G$5:$G$504,MATCH($F3502&amp;"",계정매핑!$A$5:$A$504,0))&amp;"","")="유지비",COUNTIF(계정대체기준!$A$6:$A$15,$N3502)&gt;0),IFERROR(INDEX(계정대체기준!$E$6:$E$15,MATCH(VALUE($A3502&amp;""),계정대체기준!$D$6:$D$15,0)),0),0))</f>
        <v/>
      </c>
      <c r="AH3502" s="64">
        <f>IF($A3502="","",IF(AD3502=0,"",IF(OR(COUNTIF(계정대체기준!$A$77:$A$86,$N3502)&gt;0,ISNUMBER(MATCH($X3502,계정대체기준!$D$77:$D$86,0)),ISNUMBER(MATCH($F3502,계정대체기준!$D$77:$D$86,0))),"Y","N")))</f>
        <v/>
      </c>
    </row>
    <row r="3503">
      <c r="A3503" s="92" t="n">
        <v>2026</v>
      </c>
      <c r="B3503" s="92" t="n">
        <v>4</v>
      </c>
      <c r="C3503" s="92" t="inlineStr">
        <is>
          <t>5100000781</t>
        </is>
      </c>
      <c r="D3503" s="95" t="n">
        <v>46125</v>
      </c>
      <c r="E3503" s="92" t="inlineStr">
        <is>
          <t>KR</t>
        </is>
      </c>
      <c r="F3503" s="92" t="n">
        <v>62101000</v>
      </c>
      <c r="G3503" s="92" t="n">
        <v>1201</v>
      </c>
      <c r="H3503" s="93" t="n">
        <v>193000</v>
      </c>
      <c r="I3503" s="92" t="inlineStr">
        <is>
          <t>4월 국내출장 - M항공</t>
        </is>
      </c>
      <c r="J3503" s="92" t="inlineStr">
        <is>
          <t>V10001</t>
        </is>
      </c>
      <c r="K3503" s="92" t="inlineStr">
        <is>
          <t>M항공</t>
        </is>
      </c>
      <c r="M3503" s="9">
        <f>IF($A3503="","",VALUE($A3503&amp;"")*12+VALUE($B3503&amp;""))</f>
        <v/>
      </c>
      <c r="N3503" s="64">
        <f>IF($A3503="","",IFERROR(INDEX(부서매핑!$C$5:$C$504,MATCH($G3503&amp;"",부서매핑!$A$5:$A$504,0)),"미매핑"))</f>
        <v/>
      </c>
      <c r="O3503" s="9">
        <f>IF($A3503="","",N3503&amp;"|"&amp;$F3503)</f>
        <v/>
      </c>
      <c r="P3503" s="94">
        <f>IF($A3503="",0,$H3503*설정!$C$23)</f>
        <v/>
      </c>
      <c r="Q3503" s="64">
        <f>IF($A3503="","",IF(O3503&lt;&gt;원인분석!$C$9,"",IF(AND(M3503&gt;=원인분석!$C$10,M3503&lt;=원인분석!$C$11),"당기",IF(AND(M3503&gt;=원인분석!$C$12,M3503&lt;=원인분석!$C$13),"비교",""))))</f>
        <v/>
      </c>
      <c r="R3503" s="9">
        <f>IF(Q3503="","",$K3503&amp;"")</f>
        <v/>
      </c>
      <c r="S3503" s="9">
        <f>IF(Q3503="","",IF(MATCH(R3503,$R$5:$R$100000,0)=ROW()-4,ROW(),""))</f>
        <v/>
      </c>
      <c r="T3503" s="9">
        <f>IF(Q3503="당기",ABS(P3503)+ROW()/1000000000,"")</f>
        <v/>
      </c>
      <c r="U3503" s="9">
        <f>IF(Q3503="비교",ABS(P3503)+ROW()/1000000000,"")</f>
        <v/>
      </c>
      <c r="V3503" s="64">
        <f>IF($A3503="","",IF(COUNTIF(변동분석!$E$7:$E$506,O3503)&gt;0,"Y","N"))</f>
        <v/>
      </c>
      <c r="W3503" s="64">
        <f>IF($A3503="","",IFERROR(INDEX(계정매핑!$D$5:$D$504,MATCH($F3503&amp;"",계정매핑!$A$5:$A$504,0)),"미매핑"))</f>
        <v/>
      </c>
      <c r="X3503" s="9">
        <f>IF($A3503="","",$F3503&amp;"")</f>
        <v/>
      </c>
      <c r="Y3503" s="94">
        <f>IF($A3503="",0,IF(AE3503="직접",IF(AF3503="비귀속",$P3503,0),$P3503*(1-AG3503)*IFERROR(INDEX(계정대체기준!$F$20:$F$49,MATCH($N3503,계정대체기준!$A$20:$A$49,0)),1)))</f>
        <v/>
      </c>
      <c r="Z3503" s="94">
        <f>IF($A3503="",0,IF(AE3503="직접",IF(AF3503="신계약비",$P3503,0),$P3503*(1-AG3503)*IFERROR(INDEX(계정대체기준!$C$20:$C$49,MATCH($N3503,계정대체기준!$A$20:$A$49,0)),0)))</f>
        <v/>
      </c>
      <c r="AA3503" s="94">
        <f>IF($A3503="",0,IF(AE3503="직접",IF(OR(AF3503="유지비",AF3503="손해조사비"),$P3503,0),$P3503*(1-AG3503)*IFERROR(INDEX(계정대체기준!$D$20:$D$49,MATCH($N3503,계정대체기준!$A$20:$A$49,0)),0)))</f>
        <v/>
      </c>
      <c r="AB3503" s="94">
        <f>IF($A3503="",0,IF(AE3503="직접",IF(AF3503="수금비",$P3503,0),$P3503*(1-AG3503)*IFERROR(INDEX(계정대체기준!$E$20:$E$49,MATCH($N3503,계정대체기준!$A$20:$A$49,0)),0)))</f>
        <v/>
      </c>
      <c r="AC3503" s="9">
        <f>IF(AND($A3503&lt;&gt;"",M3503=설정!$C$20,Z3503&gt;0),Z3503+ROW()/1000000000,"")</f>
        <v/>
      </c>
      <c r="AD3503" s="94">
        <f>IF($A3503="",0,$P3503*AG3503)</f>
        <v/>
      </c>
      <c r="AE3503" s="64">
        <f>IF($A3503="","",IFERROR(INDEX(계정매핑!$E$5:$E$504,MATCH($F3503&amp;"",계정매핑!$A$5:$A$504,0))&amp;"","공통비"))</f>
        <v/>
      </c>
      <c r="AF3503" s="64">
        <f>IF($A3503="","",IF(AE3503="직접",IFERROR(INDEX(계정매핑!$F$5:$F$504,MATCH($F3503&amp;"",계정매핑!$A$5:$A$504,0))&amp;"","비귀속"),""))</f>
        <v/>
      </c>
      <c r="AG3503" s="96">
        <f>IF($A3503="",0,IF(AND(AE3503&lt;&gt;"직접",IFERROR(INDEX(계정매핑!$G$5:$G$504,MATCH($F3503&amp;"",계정매핑!$A$5:$A$504,0))&amp;"","")="유지비",COUNTIF(계정대체기준!$A$6:$A$15,$N3503)&gt;0),IFERROR(INDEX(계정대체기준!$E$6:$E$15,MATCH(VALUE($A3503&amp;""),계정대체기준!$D$6:$D$15,0)),0),0))</f>
        <v/>
      </c>
      <c r="AH3503" s="64">
        <f>IF($A3503="","",IF(AD3503=0,"",IF(OR(COUNTIF(계정대체기준!$A$77:$A$86,$N3503)&gt;0,ISNUMBER(MATCH($X3503,계정대체기준!$D$77:$D$86,0)),ISNUMBER(MATCH($F3503,계정대체기준!$D$77:$D$86,0))),"Y","N")))</f>
        <v/>
      </c>
    </row>
    <row r="3504">
      <c r="A3504" s="92" t="n">
        <v>2026</v>
      </c>
      <c r="B3504" s="92" t="n">
        <v>4</v>
      </c>
      <c r="C3504" s="92" t="inlineStr">
        <is>
          <t>5100000782</t>
        </is>
      </c>
      <c r="D3504" s="95" t="n">
        <v>46125</v>
      </c>
      <c r="E3504" s="92" t="inlineStr">
        <is>
          <t>KR</t>
        </is>
      </c>
      <c r="F3504" s="92" t="n">
        <v>62101000</v>
      </c>
      <c r="G3504" s="92" t="n">
        <v>1201</v>
      </c>
      <c r="H3504" s="93" t="n">
        <v>196000</v>
      </c>
      <c r="I3504" s="92" t="inlineStr">
        <is>
          <t>4월 국내출장 - (법인카드)</t>
        </is>
      </c>
      <c r="J3504" s="92" t="inlineStr">
        <is>
          <t>V10010</t>
        </is>
      </c>
      <c r="K3504" s="92" t="inlineStr">
        <is>
          <t>(법인카드)</t>
        </is>
      </c>
      <c r="M3504" s="9">
        <f>IF($A3504="","",VALUE($A3504&amp;"")*12+VALUE($B3504&amp;""))</f>
        <v/>
      </c>
      <c r="N3504" s="64">
        <f>IF($A3504="","",IFERROR(INDEX(부서매핑!$C$5:$C$504,MATCH($G3504&amp;"",부서매핑!$A$5:$A$504,0)),"미매핑"))</f>
        <v/>
      </c>
      <c r="O3504" s="9">
        <f>IF($A3504="","",N3504&amp;"|"&amp;$F3504)</f>
        <v/>
      </c>
      <c r="P3504" s="94">
        <f>IF($A3504="",0,$H3504*설정!$C$23)</f>
        <v/>
      </c>
      <c r="Q3504" s="64">
        <f>IF($A3504="","",IF(O3504&lt;&gt;원인분석!$C$9,"",IF(AND(M3504&gt;=원인분석!$C$10,M3504&lt;=원인분석!$C$11),"당기",IF(AND(M3504&gt;=원인분석!$C$12,M3504&lt;=원인분석!$C$13),"비교",""))))</f>
        <v/>
      </c>
      <c r="R3504" s="9">
        <f>IF(Q3504="","",$K3504&amp;"")</f>
        <v/>
      </c>
      <c r="S3504" s="9">
        <f>IF(Q3504="","",IF(MATCH(R3504,$R$5:$R$100000,0)=ROW()-4,ROW(),""))</f>
        <v/>
      </c>
      <c r="T3504" s="9">
        <f>IF(Q3504="당기",ABS(P3504)+ROW()/1000000000,"")</f>
        <v/>
      </c>
      <c r="U3504" s="9">
        <f>IF(Q3504="비교",ABS(P3504)+ROW()/1000000000,"")</f>
        <v/>
      </c>
      <c r="V3504" s="64">
        <f>IF($A3504="","",IF(COUNTIF(변동분석!$E$7:$E$506,O3504)&gt;0,"Y","N"))</f>
        <v/>
      </c>
      <c r="W3504" s="64">
        <f>IF($A3504="","",IFERROR(INDEX(계정매핑!$D$5:$D$504,MATCH($F3504&amp;"",계정매핑!$A$5:$A$504,0)),"미매핑"))</f>
        <v/>
      </c>
      <c r="X3504" s="9">
        <f>IF($A3504="","",$F3504&amp;"")</f>
        <v/>
      </c>
      <c r="Y3504" s="94">
        <f>IF($A3504="",0,IF(AE3504="직접",IF(AF3504="비귀속",$P3504,0),$P3504*(1-AG3504)*IFERROR(INDEX(계정대체기준!$F$20:$F$49,MATCH($N3504,계정대체기준!$A$20:$A$49,0)),1)))</f>
        <v/>
      </c>
      <c r="Z3504" s="94">
        <f>IF($A3504="",0,IF(AE3504="직접",IF(AF3504="신계약비",$P3504,0),$P3504*(1-AG3504)*IFERROR(INDEX(계정대체기준!$C$20:$C$49,MATCH($N3504,계정대체기준!$A$20:$A$49,0)),0)))</f>
        <v/>
      </c>
      <c r="AA3504" s="94">
        <f>IF($A3504="",0,IF(AE3504="직접",IF(OR(AF3504="유지비",AF3504="손해조사비"),$P3504,0),$P3504*(1-AG3504)*IFERROR(INDEX(계정대체기준!$D$20:$D$49,MATCH($N3504,계정대체기준!$A$20:$A$49,0)),0)))</f>
        <v/>
      </c>
      <c r="AB3504" s="94">
        <f>IF($A3504="",0,IF(AE3504="직접",IF(AF3504="수금비",$P3504,0),$P3504*(1-AG3504)*IFERROR(INDEX(계정대체기준!$E$20:$E$49,MATCH($N3504,계정대체기준!$A$20:$A$49,0)),0)))</f>
        <v/>
      </c>
      <c r="AC3504" s="9">
        <f>IF(AND($A3504&lt;&gt;"",M3504=설정!$C$20,Z3504&gt;0),Z3504+ROW()/1000000000,"")</f>
        <v/>
      </c>
      <c r="AD3504" s="94">
        <f>IF($A3504="",0,$P3504*AG3504)</f>
        <v/>
      </c>
      <c r="AE3504" s="64">
        <f>IF($A3504="","",IFERROR(INDEX(계정매핑!$E$5:$E$504,MATCH($F3504&amp;"",계정매핑!$A$5:$A$504,0))&amp;"","공통비"))</f>
        <v/>
      </c>
      <c r="AF3504" s="64">
        <f>IF($A3504="","",IF(AE3504="직접",IFERROR(INDEX(계정매핑!$F$5:$F$504,MATCH($F3504&amp;"",계정매핑!$A$5:$A$504,0))&amp;"","비귀속"),""))</f>
        <v/>
      </c>
      <c r="AG3504" s="96">
        <f>IF($A3504="",0,IF(AND(AE3504&lt;&gt;"직접",IFERROR(INDEX(계정매핑!$G$5:$G$504,MATCH($F3504&amp;"",계정매핑!$A$5:$A$504,0))&amp;"","")="유지비",COUNTIF(계정대체기준!$A$6:$A$15,$N3504)&gt;0),IFERROR(INDEX(계정대체기준!$E$6:$E$15,MATCH(VALUE($A3504&amp;""),계정대체기준!$D$6:$D$15,0)),0),0))</f>
        <v/>
      </c>
      <c r="AH3504" s="64">
        <f>IF($A3504="","",IF(AD3504=0,"",IF(OR(COUNTIF(계정대체기준!$A$77:$A$86,$N3504)&gt;0,ISNUMBER(MATCH($X3504,계정대체기준!$D$77:$D$86,0)),ISNUMBER(MATCH($F3504,계정대체기준!$D$77:$D$86,0))),"Y","N")))</f>
        <v/>
      </c>
    </row>
    <row r="3505">
      <c r="A3505" s="92" t="n">
        <v>2026</v>
      </c>
      <c r="B3505" s="92" t="n">
        <v>4</v>
      </c>
      <c r="C3505" s="92" t="inlineStr">
        <is>
          <t>5100000783</t>
        </is>
      </c>
      <c r="D3505" s="95" t="n">
        <v>46125</v>
      </c>
      <c r="E3505" s="92" t="inlineStr">
        <is>
          <t>KR</t>
        </is>
      </c>
      <c r="F3505" s="92" t="n">
        <v>62101000</v>
      </c>
      <c r="G3505" s="92" t="n">
        <v>1601</v>
      </c>
      <c r="H3505" s="93" t="n">
        <v>1271000</v>
      </c>
      <c r="I3505" s="92" t="inlineStr">
        <is>
          <t>4월 국내출장 - M항공</t>
        </is>
      </c>
      <c r="J3505" s="92" t="inlineStr">
        <is>
          <t>V10001</t>
        </is>
      </c>
      <c r="K3505" s="92" t="inlineStr">
        <is>
          <t>M항공</t>
        </is>
      </c>
      <c r="M3505" s="9">
        <f>IF($A3505="","",VALUE($A3505&amp;"")*12+VALUE($B3505&amp;""))</f>
        <v/>
      </c>
      <c r="N3505" s="64">
        <f>IF($A3505="","",IFERROR(INDEX(부서매핑!$C$5:$C$504,MATCH($G3505&amp;"",부서매핑!$A$5:$A$504,0)),"미매핑"))</f>
        <v/>
      </c>
      <c r="O3505" s="9">
        <f>IF($A3505="","",N3505&amp;"|"&amp;$F3505)</f>
        <v/>
      </c>
      <c r="P3505" s="94">
        <f>IF($A3505="",0,$H3505*설정!$C$23)</f>
        <v/>
      </c>
      <c r="Q3505" s="64">
        <f>IF($A3505="","",IF(O3505&lt;&gt;원인분석!$C$9,"",IF(AND(M3505&gt;=원인분석!$C$10,M3505&lt;=원인분석!$C$11),"당기",IF(AND(M3505&gt;=원인분석!$C$12,M3505&lt;=원인분석!$C$13),"비교",""))))</f>
        <v/>
      </c>
      <c r="R3505" s="9">
        <f>IF(Q3505="","",$K3505&amp;"")</f>
        <v/>
      </c>
      <c r="S3505" s="9">
        <f>IF(Q3505="","",IF(MATCH(R3505,$R$5:$R$100000,0)=ROW()-4,ROW(),""))</f>
        <v/>
      </c>
      <c r="T3505" s="9">
        <f>IF(Q3505="당기",ABS(P3505)+ROW()/1000000000,"")</f>
        <v/>
      </c>
      <c r="U3505" s="9">
        <f>IF(Q3505="비교",ABS(P3505)+ROW()/1000000000,"")</f>
        <v/>
      </c>
      <c r="V3505" s="64">
        <f>IF($A3505="","",IF(COUNTIF(변동분석!$E$7:$E$506,O3505)&gt;0,"Y","N"))</f>
        <v/>
      </c>
      <c r="W3505" s="64">
        <f>IF($A3505="","",IFERROR(INDEX(계정매핑!$D$5:$D$504,MATCH($F3505&amp;"",계정매핑!$A$5:$A$504,0)),"미매핑"))</f>
        <v/>
      </c>
      <c r="X3505" s="9">
        <f>IF($A3505="","",$F3505&amp;"")</f>
        <v/>
      </c>
      <c r="Y3505" s="94">
        <f>IF($A3505="",0,IF(AE3505="직접",IF(AF3505="비귀속",$P3505,0),$P3505*(1-AG3505)*IFERROR(INDEX(계정대체기준!$F$20:$F$49,MATCH($N3505,계정대체기준!$A$20:$A$49,0)),1)))</f>
        <v/>
      </c>
      <c r="Z3505" s="94">
        <f>IF($A3505="",0,IF(AE3505="직접",IF(AF3505="신계약비",$P3505,0),$P3505*(1-AG3505)*IFERROR(INDEX(계정대체기준!$C$20:$C$49,MATCH($N3505,계정대체기준!$A$20:$A$49,0)),0)))</f>
        <v/>
      </c>
      <c r="AA3505" s="94">
        <f>IF($A3505="",0,IF(AE3505="직접",IF(OR(AF3505="유지비",AF3505="손해조사비"),$P3505,0),$P3505*(1-AG3505)*IFERROR(INDEX(계정대체기준!$D$20:$D$49,MATCH($N3505,계정대체기준!$A$20:$A$49,0)),0)))</f>
        <v/>
      </c>
      <c r="AB3505" s="94">
        <f>IF($A3505="",0,IF(AE3505="직접",IF(AF3505="수금비",$P3505,0),$P3505*(1-AG3505)*IFERROR(INDEX(계정대체기준!$E$20:$E$49,MATCH($N3505,계정대체기준!$A$20:$A$49,0)),0)))</f>
        <v/>
      </c>
      <c r="AC3505" s="9">
        <f>IF(AND($A3505&lt;&gt;"",M3505=설정!$C$20,Z3505&gt;0),Z3505+ROW()/1000000000,"")</f>
        <v/>
      </c>
      <c r="AD3505" s="94">
        <f>IF($A3505="",0,$P3505*AG3505)</f>
        <v/>
      </c>
      <c r="AE3505" s="64">
        <f>IF($A3505="","",IFERROR(INDEX(계정매핑!$E$5:$E$504,MATCH($F3505&amp;"",계정매핑!$A$5:$A$504,0))&amp;"","공통비"))</f>
        <v/>
      </c>
      <c r="AF3505" s="64">
        <f>IF($A3505="","",IF(AE3505="직접",IFERROR(INDEX(계정매핑!$F$5:$F$504,MATCH($F3505&amp;"",계정매핑!$A$5:$A$504,0))&amp;"","비귀속"),""))</f>
        <v/>
      </c>
      <c r="AG3505" s="96">
        <f>IF($A3505="",0,IF(AND(AE3505&lt;&gt;"직접",IFERROR(INDEX(계정매핑!$G$5:$G$504,MATCH($F3505&amp;"",계정매핑!$A$5:$A$504,0))&amp;"","")="유지비",COUNTIF(계정대체기준!$A$6:$A$15,$N3505)&gt;0),IFERROR(INDEX(계정대체기준!$E$6:$E$15,MATCH(VALUE($A3505&amp;""),계정대체기준!$D$6:$D$15,0)),0),0))</f>
        <v/>
      </c>
      <c r="AH3505" s="64">
        <f>IF($A3505="","",IF(AD3505=0,"",IF(OR(COUNTIF(계정대체기준!$A$77:$A$86,$N3505)&gt;0,ISNUMBER(MATCH($X3505,계정대체기준!$D$77:$D$86,0)),ISNUMBER(MATCH($F3505,계정대체기준!$D$77:$D$86,0))),"Y","N")))</f>
        <v/>
      </c>
    </row>
    <row r="3506">
      <c r="A3506" s="92" t="n">
        <v>2026</v>
      </c>
      <c r="B3506" s="92" t="n">
        <v>4</v>
      </c>
      <c r="C3506" s="92" t="inlineStr">
        <is>
          <t>5100000784</t>
        </is>
      </c>
      <c r="D3506" s="95" t="n">
        <v>46125</v>
      </c>
      <c r="E3506" s="92" t="inlineStr">
        <is>
          <t>KR</t>
        </is>
      </c>
      <c r="F3506" s="92" t="n">
        <v>62102000</v>
      </c>
      <c r="G3506" s="92" t="n">
        <v>1301</v>
      </c>
      <c r="H3506" s="93" t="n">
        <v>131000</v>
      </c>
      <c r="I3506" s="92" t="inlineStr">
        <is>
          <t>4월 해외출장 - N호텔</t>
        </is>
      </c>
      <c r="J3506" s="92" t="inlineStr">
        <is>
          <t>V10009</t>
        </is>
      </c>
      <c r="K3506" s="92" t="inlineStr">
        <is>
          <t>N호텔</t>
        </is>
      </c>
      <c r="M3506" s="9">
        <f>IF($A3506="","",VALUE($A3506&amp;"")*12+VALUE($B3506&amp;""))</f>
        <v/>
      </c>
      <c r="N3506" s="64">
        <f>IF($A3506="","",IFERROR(INDEX(부서매핑!$C$5:$C$504,MATCH($G3506&amp;"",부서매핑!$A$5:$A$504,0)),"미매핑"))</f>
        <v/>
      </c>
      <c r="O3506" s="9">
        <f>IF($A3506="","",N3506&amp;"|"&amp;$F3506)</f>
        <v/>
      </c>
      <c r="P3506" s="94">
        <f>IF($A3506="",0,$H3506*설정!$C$23)</f>
        <v/>
      </c>
      <c r="Q3506" s="64">
        <f>IF($A3506="","",IF(O3506&lt;&gt;원인분석!$C$9,"",IF(AND(M3506&gt;=원인분석!$C$10,M3506&lt;=원인분석!$C$11),"당기",IF(AND(M3506&gt;=원인분석!$C$12,M3506&lt;=원인분석!$C$13),"비교",""))))</f>
        <v/>
      </c>
      <c r="R3506" s="9">
        <f>IF(Q3506="","",$K3506&amp;"")</f>
        <v/>
      </c>
      <c r="S3506" s="9">
        <f>IF(Q3506="","",IF(MATCH(R3506,$R$5:$R$100000,0)=ROW()-4,ROW(),""))</f>
        <v/>
      </c>
      <c r="T3506" s="9">
        <f>IF(Q3506="당기",ABS(P3506)+ROW()/1000000000,"")</f>
        <v/>
      </c>
      <c r="U3506" s="9">
        <f>IF(Q3506="비교",ABS(P3506)+ROW()/1000000000,"")</f>
        <v/>
      </c>
      <c r="V3506" s="64">
        <f>IF($A3506="","",IF(COUNTIF(변동분석!$E$7:$E$506,O3506)&gt;0,"Y","N"))</f>
        <v/>
      </c>
      <c r="W3506" s="64">
        <f>IF($A3506="","",IFERROR(INDEX(계정매핑!$D$5:$D$504,MATCH($F3506&amp;"",계정매핑!$A$5:$A$504,0)),"미매핑"))</f>
        <v/>
      </c>
      <c r="X3506" s="9">
        <f>IF($A3506="","",$F3506&amp;"")</f>
        <v/>
      </c>
      <c r="Y3506" s="94">
        <f>IF($A3506="",0,IF(AE3506="직접",IF(AF3506="비귀속",$P3506,0),$P3506*(1-AG3506)*IFERROR(INDEX(계정대체기준!$F$20:$F$49,MATCH($N3506,계정대체기준!$A$20:$A$49,0)),1)))</f>
        <v/>
      </c>
      <c r="Z3506" s="94">
        <f>IF($A3506="",0,IF(AE3506="직접",IF(AF3506="신계약비",$P3506,0),$P3506*(1-AG3506)*IFERROR(INDEX(계정대체기준!$C$20:$C$49,MATCH($N3506,계정대체기준!$A$20:$A$49,0)),0)))</f>
        <v/>
      </c>
      <c r="AA3506" s="94">
        <f>IF($A3506="",0,IF(AE3506="직접",IF(OR(AF3506="유지비",AF3506="손해조사비"),$P3506,0),$P3506*(1-AG3506)*IFERROR(INDEX(계정대체기준!$D$20:$D$49,MATCH($N3506,계정대체기준!$A$20:$A$49,0)),0)))</f>
        <v/>
      </c>
      <c r="AB3506" s="94">
        <f>IF($A3506="",0,IF(AE3506="직접",IF(AF3506="수금비",$P3506,0),$P3506*(1-AG3506)*IFERROR(INDEX(계정대체기준!$E$20:$E$49,MATCH($N3506,계정대체기준!$A$20:$A$49,0)),0)))</f>
        <v/>
      </c>
      <c r="AC3506" s="9">
        <f>IF(AND($A3506&lt;&gt;"",M3506=설정!$C$20,Z3506&gt;0),Z3506+ROW()/1000000000,"")</f>
        <v/>
      </c>
      <c r="AD3506" s="94">
        <f>IF($A3506="",0,$P3506*AG3506)</f>
        <v/>
      </c>
      <c r="AE3506" s="64">
        <f>IF($A3506="","",IFERROR(INDEX(계정매핑!$E$5:$E$504,MATCH($F3506&amp;"",계정매핑!$A$5:$A$504,0))&amp;"","공통비"))</f>
        <v/>
      </c>
      <c r="AF3506" s="64">
        <f>IF($A3506="","",IF(AE3506="직접",IFERROR(INDEX(계정매핑!$F$5:$F$504,MATCH($F3506&amp;"",계정매핑!$A$5:$A$504,0))&amp;"","비귀속"),""))</f>
        <v/>
      </c>
      <c r="AG3506" s="96">
        <f>IF($A3506="",0,IF(AND(AE3506&lt;&gt;"직접",IFERROR(INDEX(계정매핑!$G$5:$G$504,MATCH($F3506&amp;"",계정매핑!$A$5:$A$504,0))&amp;"","")="유지비",COUNTIF(계정대체기준!$A$6:$A$15,$N3506)&gt;0),IFERROR(INDEX(계정대체기준!$E$6:$E$15,MATCH(VALUE($A3506&amp;""),계정대체기준!$D$6:$D$15,0)),0),0))</f>
        <v/>
      </c>
      <c r="AH3506" s="64">
        <f>IF($A3506="","",IF(AD3506=0,"",IF(OR(COUNTIF(계정대체기준!$A$77:$A$86,$N3506)&gt;0,ISNUMBER(MATCH($X3506,계정대체기준!$D$77:$D$86,0)),ISNUMBER(MATCH($F3506,계정대체기준!$D$77:$D$86,0))),"Y","N")))</f>
        <v/>
      </c>
    </row>
    <row r="3507">
      <c r="A3507" s="92" t="n">
        <v>2026</v>
      </c>
      <c r="B3507" s="92" t="n">
        <v>4</v>
      </c>
      <c r="C3507" s="92" t="inlineStr">
        <is>
          <t>5100000785</t>
        </is>
      </c>
      <c r="D3507" s="95" t="n">
        <v>46125</v>
      </c>
      <c r="E3507" s="92" t="inlineStr">
        <is>
          <t>KR</t>
        </is>
      </c>
      <c r="F3507" s="92" t="n">
        <v>62201000</v>
      </c>
      <c r="G3507" s="92" t="n">
        <v>1301</v>
      </c>
      <c r="H3507" s="93" t="n">
        <v>113000</v>
      </c>
      <c r="I3507" s="92" t="inlineStr">
        <is>
          <t>4월 통신요금 - O텔레콤</t>
        </is>
      </c>
      <c r="J3507" s="92" t="inlineStr">
        <is>
          <t>V10002</t>
        </is>
      </c>
      <c r="K3507" s="92" t="inlineStr">
        <is>
          <t>O텔레콤</t>
        </is>
      </c>
      <c r="M3507" s="9">
        <f>IF($A3507="","",VALUE($A3507&amp;"")*12+VALUE($B3507&amp;""))</f>
        <v/>
      </c>
      <c r="N3507" s="64">
        <f>IF($A3507="","",IFERROR(INDEX(부서매핑!$C$5:$C$504,MATCH($G3507&amp;"",부서매핑!$A$5:$A$504,0)),"미매핑"))</f>
        <v/>
      </c>
      <c r="O3507" s="9">
        <f>IF($A3507="","",N3507&amp;"|"&amp;$F3507)</f>
        <v/>
      </c>
      <c r="P3507" s="94">
        <f>IF($A3507="",0,$H3507*설정!$C$23)</f>
        <v/>
      </c>
      <c r="Q3507" s="64">
        <f>IF($A3507="","",IF(O3507&lt;&gt;원인분석!$C$9,"",IF(AND(M3507&gt;=원인분석!$C$10,M3507&lt;=원인분석!$C$11),"당기",IF(AND(M3507&gt;=원인분석!$C$12,M3507&lt;=원인분석!$C$13),"비교",""))))</f>
        <v/>
      </c>
      <c r="R3507" s="9">
        <f>IF(Q3507="","",$K3507&amp;"")</f>
        <v/>
      </c>
      <c r="S3507" s="9">
        <f>IF(Q3507="","",IF(MATCH(R3507,$R$5:$R$100000,0)=ROW()-4,ROW(),""))</f>
        <v/>
      </c>
      <c r="T3507" s="9">
        <f>IF(Q3507="당기",ABS(P3507)+ROW()/1000000000,"")</f>
        <v/>
      </c>
      <c r="U3507" s="9">
        <f>IF(Q3507="비교",ABS(P3507)+ROW()/1000000000,"")</f>
        <v/>
      </c>
      <c r="V3507" s="64">
        <f>IF($A3507="","",IF(COUNTIF(변동분석!$E$7:$E$506,O3507)&gt;0,"Y","N"))</f>
        <v/>
      </c>
      <c r="W3507" s="64">
        <f>IF($A3507="","",IFERROR(INDEX(계정매핑!$D$5:$D$504,MATCH($F3507&amp;"",계정매핑!$A$5:$A$504,0)),"미매핑"))</f>
        <v/>
      </c>
      <c r="X3507" s="9">
        <f>IF($A3507="","",$F3507&amp;"")</f>
        <v/>
      </c>
      <c r="Y3507" s="94">
        <f>IF($A3507="",0,IF(AE3507="직접",IF(AF3507="비귀속",$P3507,0),$P3507*(1-AG3507)*IFERROR(INDEX(계정대체기준!$F$20:$F$49,MATCH($N3507,계정대체기준!$A$20:$A$49,0)),1)))</f>
        <v/>
      </c>
      <c r="Z3507" s="94">
        <f>IF($A3507="",0,IF(AE3507="직접",IF(AF3507="신계약비",$P3507,0),$P3507*(1-AG3507)*IFERROR(INDEX(계정대체기준!$C$20:$C$49,MATCH($N3507,계정대체기준!$A$20:$A$49,0)),0)))</f>
        <v/>
      </c>
      <c r="AA3507" s="94">
        <f>IF($A3507="",0,IF(AE3507="직접",IF(OR(AF3507="유지비",AF3507="손해조사비"),$P3507,0),$P3507*(1-AG3507)*IFERROR(INDEX(계정대체기준!$D$20:$D$49,MATCH($N3507,계정대체기준!$A$20:$A$49,0)),0)))</f>
        <v/>
      </c>
      <c r="AB3507" s="94">
        <f>IF($A3507="",0,IF(AE3507="직접",IF(AF3507="수금비",$P3507,0),$P3507*(1-AG3507)*IFERROR(INDEX(계정대체기준!$E$20:$E$49,MATCH($N3507,계정대체기준!$A$20:$A$49,0)),0)))</f>
        <v/>
      </c>
      <c r="AC3507" s="9">
        <f>IF(AND($A3507&lt;&gt;"",M3507=설정!$C$20,Z3507&gt;0),Z3507+ROW()/1000000000,"")</f>
        <v/>
      </c>
      <c r="AD3507" s="94">
        <f>IF($A3507="",0,$P3507*AG3507)</f>
        <v/>
      </c>
      <c r="AE3507" s="64">
        <f>IF($A3507="","",IFERROR(INDEX(계정매핑!$E$5:$E$504,MATCH($F3507&amp;"",계정매핑!$A$5:$A$504,0))&amp;"","공통비"))</f>
        <v/>
      </c>
      <c r="AF3507" s="64">
        <f>IF($A3507="","",IF(AE3507="직접",IFERROR(INDEX(계정매핑!$F$5:$F$504,MATCH($F3507&amp;"",계정매핑!$A$5:$A$504,0))&amp;"","비귀속"),""))</f>
        <v/>
      </c>
      <c r="AG3507" s="96">
        <f>IF($A3507="",0,IF(AND(AE3507&lt;&gt;"직접",IFERROR(INDEX(계정매핑!$G$5:$G$504,MATCH($F3507&amp;"",계정매핑!$A$5:$A$504,0))&amp;"","")="유지비",COUNTIF(계정대체기준!$A$6:$A$15,$N3507)&gt;0),IFERROR(INDEX(계정대체기준!$E$6:$E$15,MATCH(VALUE($A3507&amp;""),계정대체기준!$D$6:$D$15,0)),0),0))</f>
        <v/>
      </c>
      <c r="AH3507" s="64">
        <f>IF($A3507="","",IF(AD3507=0,"",IF(OR(COUNTIF(계정대체기준!$A$77:$A$86,$N3507)&gt;0,ISNUMBER(MATCH($X3507,계정대체기준!$D$77:$D$86,0)),ISNUMBER(MATCH($F3507,계정대체기준!$D$77:$D$86,0))),"Y","N")))</f>
        <v/>
      </c>
    </row>
    <row r="3508">
      <c r="A3508" s="92" t="n">
        <v>2026</v>
      </c>
      <c r="B3508" s="92" t="n">
        <v>4</v>
      </c>
      <c r="C3508" s="92" t="inlineStr">
        <is>
          <t>5100000786</t>
        </is>
      </c>
      <c r="D3508" s="95" t="n">
        <v>46125</v>
      </c>
      <c r="E3508" s="92" t="inlineStr">
        <is>
          <t>KR</t>
        </is>
      </c>
      <c r="F3508" s="92" t="n">
        <v>62301000</v>
      </c>
      <c r="G3508" s="92" t="n">
        <v>1101</v>
      </c>
      <c r="H3508" s="93" t="n">
        <v>107000</v>
      </c>
      <c r="I3508" s="92" t="inlineStr">
        <is>
          <t>4월 소모품 구입 - Q오피스</t>
        </is>
      </c>
      <c r="J3508" s="92" t="inlineStr">
        <is>
          <t>V10003</t>
        </is>
      </c>
      <c r="K3508" s="92" t="inlineStr">
        <is>
          <t>Q오피스</t>
        </is>
      </c>
      <c r="M3508" s="9">
        <f>IF($A3508="","",VALUE($A3508&amp;"")*12+VALUE($B3508&amp;""))</f>
        <v/>
      </c>
      <c r="N3508" s="64">
        <f>IF($A3508="","",IFERROR(INDEX(부서매핑!$C$5:$C$504,MATCH($G3508&amp;"",부서매핑!$A$5:$A$504,0)),"미매핑"))</f>
        <v/>
      </c>
      <c r="O3508" s="9">
        <f>IF($A3508="","",N3508&amp;"|"&amp;$F3508)</f>
        <v/>
      </c>
      <c r="P3508" s="94">
        <f>IF($A3508="",0,$H3508*설정!$C$23)</f>
        <v/>
      </c>
      <c r="Q3508" s="64">
        <f>IF($A3508="","",IF(O3508&lt;&gt;원인분석!$C$9,"",IF(AND(M3508&gt;=원인분석!$C$10,M3508&lt;=원인분석!$C$11),"당기",IF(AND(M3508&gt;=원인분석!$C$12,M3508&lt;=원인분석!$C$13),"비교",""))))</f>
        <v/>
      </c>
      <c r="R3508" s="9">
        <f>IF(Q3508="","",$K3508&amp;"")</f>
        <v/>
      </c>
      <c r="S3508" s="9">
        <f>IF(Q3508="","",IF(MATCH(R3508,$R$5:$R$100000,0)=ROW()-4,ROW(),""))</f>
        <v/>
      </c>
      <c r="T3508" s="9">
        <f>IF(Q3508="당기",ABS(P3508)+ROW()/1000000000,"")</f>
        <v/>
      </c>
      <c r="U3508" s="9">
        <f>IF(Q3508="비교",ABS(P3508)+ROW()/1000000000,"")</f>
        <v/>
      </c>
      <c r="V3508" s="64">
        <f>IF($A3508="","",IF(COUNTIF(변동분석!$E$7:$E$506,O3508)&gt;0,"Y","N"))</f>
        <v/>
      </c>
      <c r="W3508" s="64">
        <f>IF($A3508="","",IFERROR(INDEX(계정매핑!$D$5:$D$504,MATCH($F3508&amp;"",계정매핑!$A$5:$A$504,0)),"미매핑"))</f>
        <v/>
      </c>
      <c r="X3508" s="9">
        <f>IF($A3508="","",$F3508&amp;"")</f>
        <v/>
      </c>
      <c r="Y3508" s="94">
        <f>IF($A3508="",0,IF(AE3508="직접",IF(AF3508="비귀속",$P3508,0),$P3508*(1-AG3508)*IFERROR(INDEX(계정대체기준!$F$20:$F$49,MATCH($N3508,계정대체기준!$A$20:$A$49,0)),1)))</f>
        <v/>
      </c>
      <c r="Z3508" s="94">
        <f>IF($A3508="",0,IF(AE3508="직접",IF(AF3508="신계약비",$P3508,0),$P3508*(1-AG3508)*IFERROR(INDEX(계정대체기준!$C$20:$C$49,MATCH($N3508,계정대체기준!$A$20:$A$49,0)),0)))</f>
        <v/>
      </c>
      <c r="AA3508" s="94">
        <f>IF($A3508="",0,IF(AE3508="직접",IF(OR(AF3508="유지비",AF3508="손해조사비"),$P3508,0),$P3508*(1-AG3508)*IFERROR(INDEX(계정대체기준!$D$20:$D$49,MATCH($N3508,계정대체기준!$A$20:$A$49,0)),0)))</f>
        <v/>
      </c>
      <c r="AB3508" s="94">
        <f>IF($A3508="",0,IF(AE3508="직접",IF(AF3508="수금비",$P3508,0),$P3508*(1-AG3508)*IFERROR(INDEX(계정대체기준!$E$20:$E$49,MATCH($N3508,계정대체기준!$A$20:$A$49,0)),0)))</f>
        <v/>
      </c>
      <c r="AC3508" s="9">
        <f>IF(AND($A3508&lt;&gt;"",M3508=설정!$C$20,Z3508&gt;0),Z3508+ROW()/1000000000,"")</f>
        <v/>
      </c>
      <c r="AD3508" s="94">
        <f>IF($A3508="",0,$P3508*AG3508)</f>
        <v/>
      </c>
      <c r="AE3508" s="64">
        <f>IF($A3508="","",IFERROR(INDEX(계정매핑!$E$5:$E$504,MATCH($F3508&amp;"",계정매핑!$A$5:$A$504,0))&amp;"","공통비"))</f>
        <v/>
      </c>
      <c r="AF3508" s="64">
        <f>IF($A3508="","",IF(AE3508="직접",IFERROR(INDEX(계정매핑!$F$5:$F$504,MATCH($F3508&amp;"",계정매핑!$A$5:$A$504,0))&amp;"","비귀속"),""))</f>
        <v/>
      </c>
      <c r="AG3508" s="96">
        <f>IF($A3508="",0,IF(AND(AE3508&lt;&gt;"직접",IFERROR(INDEX(계정매핑!$G$5:$G$504,MATCH($F3508&amp;"",계정매핑!$A$5:$A$504,0))&amp;"","")="유지비",COUNTIF(계정대체기준!$A$6:$A$15,$N3508)&gt;0),IFERROR(INDEX(계정대체기준!$E$6:$E$15,MATCH(VALUE($A3508&amp;""),계정대체기준!$D$6:$D$15,0)),0),0))</f>
        <v/>
      </c>
      <c r="AH3508" s="64">
        <f>IF($A3508="","",IF(AD3508=0,"",IF(OR(COUNTIF(계정대체기준!$A$77:$A$86,$N3508)&gt;0,ISNUMBER(MATCH($X3508,계정대체기준!$D$77:$D$86,0)),ISNUMBER(MATCH($F3508,계정대체기준!$D$77:$D$86,0))),"Y","N")))</f>
        <v/>
      </c>
    </row>
    <row r="3509">
      <c r="A3509" s="92" t="n">
        <v>2026</v>
      </c>
      <c r="B3509" s="92" t="n">
        <v>4</v>
      </c>
      <c r="C3509" s="92" t="inlineStr">
        <is>
          <t>5100000787</t>
        </is>
      </c>
      <c r="D3509" s="95" t="n">
        <v>46125</v>
      </c>
      <c r="E3509" s="92" t="inlineStr">
        <is>
          <t>KR</t>
        </is>
      </c>
      <c r="F3509" s="92" t="n">
        <v>62401000</v>
      </c>
      <c r="G3509" s="92" t="n">
        <v>1502</v>
      </c>
      <c r="H3509" s="93" t="n">
        <v>2539000</v>
      </c>
      <c r="I3509" s="92" t="inlineStr">
        <is>
          <t>4월 인쇄물 제작 - G인쇄</t>
        </is>
      </c>
      <c r="J3509" s="92" t="inlineStr">
        <is>
          <t>V10004</t>
        </is>
      </c>
      <c r="K3509" s="92" t="inlineStr">
        <is>
          <t>G인쇄</t>
        </is>
      </c>
      <c r="M3509" s="9">
        <f>IF($A3509="","",VALUE($A3509&amp;"")*12+VALUE($B3509&amp;""))</f>
        <v/>
      </c>
      <c r="N3509" s="64">
        <f>IF($A3509="","",IFERROR(INDEX(부서매핑!$C$5:$C$504,MATCH($G3509&amp;"",부서매핑!$A$5:$A$504,0)),"미매핑"))</f>
        <v/>
      </c>
      <c r="O3509" s="9">
        <f>IF($A3509="","",N3509&amp;"|"&amp;$F3509)</f>
        <v/>
      </c>
      <c r="P3509" s="94">
        <f>IF($A3509="",0,$H3509*설정!$C$23)</f>
        <v/>
      </c>
      <c r="Q3509" s="64">
        <f>IF($A3509="","",IF(O3509&lt;&gt;원인분석!$C$9,"",IF(AND(M3509&gt;=원인분석!$C$10,M3509&lt;=원인분석!$C$11),"당기",IF(AND(M3509&gt;=원인분석!$C$12,M3509&lt;=원인분석!$C$13),"비교",""))))</f>
        <v/>
      </c>
      <c r="R3509" s="9">
        <f>IF(Q3509="","",$K3509&amp;"")</f>
        <v/>
      </c>
      <c r="S3509" s="9">
        <f>IF(Q3509="","",IF(MATCH(R3509,$R$5:$R$100000,0)=ROW()-4,ROW(),""))</f>
        <v/>
      </c>
      <c r="T3509" s="9">
        <f>IF(Q3509="당기",ABS(P3509)+ROW()/1000000000,"")</f>
        <v/>
      </c>
      <c r="U3509" s="9">
        <f>IF(Q3509="비교",ABS(P3509)+ROW()/1000000000,"")</f>
        <v/>
      </c>
      <c r="V3509" s="64">
        <f>IF($A3509="","",IF(COUNTIF(변동분석!$E$7:$E$506,O3509)&gt;0,"Y","N"))</f>
        <v/>
      </c>
      <c r="W3509" s="64">
        <f>IF($A3509="","",IFERROR(INDEX(계정매핑!$D$5:$D$504,MATCH($F3509&amp;"",계정매핑!$A$5:$A$504,0)),"미매핑"))</f>
        <v/>
      </c>
      <c r="X3509" s="9">
        <f>IF($A3509="","",$F3509&amp;"")</f>
        <v/>
      </c>
      <c r="Y3509" s="94">
        <f>IF($A3509="",0,IF(AE3509="직접",IF(AF3509="비귀속",$P3509,0),$P3509*(1-AG3509)*IFERROR(INDEX(계정대체기준!$F$20:$F$49,MATCH($N3509,계정대체기준!$A$20:$A$49,0)),1)))</f>
        <v/>
      </c>
      <c r="Z3509" s="94">
        <f>IF($A3509="",0,IF(AE3509="직접",IF(AF3509="신계약비",$P3509,0),$P3509*(1-AG3509)*IFERROR(INDEX(계정대체기준!$C$20:$C$49,MATCH($N3509,계정대체기준!$A$20:$A$49,0)),0)))</f>
        <v/>
      </c>
      <c r="AA3509" s="94">
        <f>IF($A3509="",0,IF(AE3509="직접",IF(OR(AF3509="유지비",AF3509="손해조사비"),$P3509,0),$P3509*(1-AG3509)*IFERROR(INDEX(계정대체기준!$D$20:$D$49,MATCH($N3509,계정대체기준!$A$20:$A$49,0)),0)))</f>
        <v/>
      </c>
      <c r="AB3509" s="94">
        <f>IF($A3509="",0,IF(AE3509="직접",IF(AF3509="수금비",$P3509,0),$P3509*(1-AG3509)*IFERROR(INDEX(계정대체기준!$E$20:$E$49,MATCH($N3509,계정대체기준!$A$20:$A$49,0)),0)))</f>
        <v/>
      </c>
      <c r="AC3509" s="9">
        <f>IF(AND($A3509&lt;&gt;"",M3509=설정!$C$20,Z3509&gt;0),Z3509+ROW()/1000000000,"")</f>
        <v/>
      </c>
      <c r="AD3509" s="94">
        <f>IF($A3509="",0,$P3509*AG3509)</f>
        <v/>
      </c>
      <c r="AE3509" s="64">
        <f>IF($A3509="","",IFERROR(INDEX(계정매핑!$E$5:$E$504,MATCH($F3509&amp;"",계정매핑!$A$5:$A$504,0))&amp;"","공통비"))</f>
        <v/>
      </c>
      <c r="AF3509" s="64">
        <f>IF($A3509="","",IF(AE3509="직접",IFERROR(INDEX(계정매핑!$F$5:$F$504,MATCH($F3509&amp;"",계정매핑!$A$5:$A$504,0))&amp;"","비귀속"),""))</f>
        <v/>
      </c>
      <c r="AG3509" s="96">
        <f>IF($A3509="",0,IF(AND(AE3509&lt;&gt;"직접",IFERROR(INDEX(계정매핑!$G$5:$G$504,MATCH($F3509&amp;"",계정매핑!$A$5:$A$504,0))&amp;"","")="유지비",COUNTIF(계정대체기준!$A$6:$A$15,$N3509)&gt;0),IFERROR(INDEX(계정대체기준!$E$6:$E$15,MATCH(VALUE($A3509&amp;""),계정대체기준!$D$6:$D$15,0)),0),0))</f>
        <v/>
      </c>
      <c r="AH3509" s="64">
        <f>IF($A3509="","",IF(AD3509=0,"",IF(OR(COUNTIF(계정대체기준!$A$77:$A$86,$N3509)&gt;0,ISNUMBER(MATCH($X3509,계정대체기준!$D$77:$D$86,0)),ISNUMBER(MATCH($F3509,계정대체기준!$D$77:$D$86,0))),"Y","N")))</f>
        <v/>
      </c>
    </row>
    <row r="3510">
      <c r="A3510" s="92" t="n">
        <v>2026</v>
      </c>
      <c r="B3510" s="92" t="n">
        <v>4</v>
      </c>
      <c r="C3510" s="92" t="inlineStr">
        <is>
          <t>5100000788</t>
        </is>
      </c>
      <c r="D3510" s="95" t="n">
        <v>46125</v>
      </c>
      <c r="E3510" s="92" t="inlineStr">
        <is>
          <t>KR</t>
        </is>
      </c>
      <c r="F3510" s="92" t="n">
        <v>62501000</v>
      </c>
      <c r="G3510" s="92" t="n">
        <v>1301</v>
      </c>
      <c r="H3510" s="93" t="n">
        <v>156000</v>
      </c>
      <c r="I3510" s="92" t="inlineStr">
        <is>
          <t>4월 회의 다과 - (법인카드)</t>
        </is>
      </c>
      <c r="J3510" s="92" t="inlineStr">
        <is>
          <t>V10010</t>
        </is>
      </c>
      <c r="K3510" s="92" t="inlineStr">
        <is>
          <t>(법인카드)</t>
        </is>
      </c>
      <c r="M3510" s="9">
        <f>IF($A3510="","",VALUE($A3510&amp;"")*12+VALUE($B3510&amp;""))</f>
        <v/>
      </c>
      <c r="N3510" s="64">
        <f>IF($A3510="","",IFERROR(INDEX(부서매핑!$C$5:$C$504,MATCH($G3510&amp;"",부서매핑!$A$5:$A$504,0)),"미매핑"))</f>
        <v/>
      </c>
      <c r="O3510" s="9">
        <f>IF($A3510="","",N3510&amp;"|"&amp;$F3510)</f>
        <v/>
      </c>
      <c r="P3510" s="94">
        <f>IF($A3510="",0,$H3510*설정!$C$23)</f>
        <v/>
      </c>
      <c r="Q3510" s="64">
        <f>IF($A3510="","",IF(O3510&lt;&gt;원인분석!$C$9,"",IF(AND(M3510&gt;=원인분석!$C$10,M3510&lt;=원인분석!$C$11),"당기",IF(AND(M3510&gt;=원인분석!$C$12,M3510&lt;=원인분석!$C$13),"비교",""))))</f>
        <v/>
      </c>
      <c r="R3510" s="9">
        <f>IF(Q3510="","",$K3510&amp;"")</f>
        <v/>
      </c>
      <c r="S3510" s="9">
        <f>IF(Q3510="","",IF(MATCH(R3510,$R$5:$R$100000,0)=ROW()-4,ROW(),""))</f>
        <v/>
      </c>
      <c r="T3510" s="9">
        <f>IF(Q3510="당기",ABS(P3510)+ROW()/1000000000,"")</f>
        <v/>
      </c>
      <c r="U3510" s="9">
        <f>IF(Q3510="비교",ABS(P3510)+ROW()/1000000000,"")</f>
        <v/>
      </c>
      <c r="V3510" s="64">
        <f>IF($A3510="","",IF(COUNTIF(변동분석!$E$7:$E$506,O3510)&gt;0,"Y","N"))</f>
        <v/>
      </c>
      <c r="W3510" s="64">
        <f>IF($A3510="","",IFERROR(INDEX(계정매핑!$D$5:$D$504,MATCH($F3510&amp;"",계정매핑!$A$5:$A$504,0)),"미매핑"))</f>
        <v/>
      </c>
      <c r="X3510" s="9">
        <f>IF($A3510="","",$F3510&amp;"")</f>
        <v/>
      </c>
      <c r="Y3510" s="94">
        <f>IF($A3510="",0,IF(AE3510="직접",IF(AF3510="비귀속",$P3510,0),$P3510*(1-AG3510)*IFERROR(INDEX(계정대체기준!$F$20:$F$49,MATCH($N3510,계정대체기준!$A$20:$A$49,0)),1)))</f>
        <v/>
      </c>
      <c r="Z3510" s="94">
        <f>IF($A3510="",0,IF(AE3510="직접",IF(AF3510="신계약비",$P3510,0),$P3510*(1-AG3510)*IFERROR(INDEX(계정대체기준!$C$20:$C$49,MATCH($N3510,계정대체기준!$A$20:$A$49,0)),0)))</f>
        <v/>
      </c>
      <c r="AA3510" s="94">
        <f>IF($A3510="",0,IF(AE3510="직접",IF(OR(AF3510="유지비",AF3510="손해조사비"),$P3510,0),$P3510*(1-AG3510)*IFERROR(INDEX(계정대체기준!$D$20:$D$49,MATCH($N3510,계정대체기준!$A$20:$A$49,0)),0)))</f>
        <v/>
      </c>
      <c r="AB3510" s="94">
        <f>IF($A3510="",0,IF(AE3510="직접",IF(AF3510="수금비",$P3510,0),$P3510*(1-AG3510)*IFERROR(INDEX(계정대체기준!$E$20:$E$49,MATCH($N3510,계정대체기준!$A$20:$A$49,0)),0)))</f>
        <v/>
      </c>
      <c r="AC3510" s="9">
        <f>IF(AND($A3510&lt;&gt;"",M3510=설정!$C$20,Z3510&gt;0),Z3510+ROW()/1000000000,"")</f>
        <v/>
      </c>
      <c r="AD3510" s="94">
        <f>IF($A3510="",0,$P3510*AG3510)</f>
        <v/>
      </c>
      <c r="AE3510" s="64">
        <f>IF($A3510="","",IFERROR(INDEX(계정매핑!$E$5:$E$504,MATCH($F3510&amp;"",계정매핑!$A$5:$A$504,0))&amp;"","공통비"))</f>
        <v/>
      </c>
      <c r="AF3510" s="64">
        <f>IF($A3510="","",IF(AE3510="직접",IFERROR(INDEX(계정매핑!$F$5:$F$504,MATCH($F3510&amp;"",계정매핑!$A$5:$A$504,0))&amp;"","비귀속"),""))</f>
        <v/>
      </c>
      <c r="AG3510" s="96">
        <f>IF($A3510="",0,IF(AND(AE3510&lt;&gt;"직접",IFERROR(INDEX(계정매핑!$G$5:$G$504,MATCH($F3510&amp;"",계정매핑!$A$5:$A$504,0))&amp;"","")="유지비",COUNTIF(계정대체기준!$A$6:$A$15,$N3510)&gt;0),IFERROR(INDEX(계정대체기준!$E$6:$E$15,MATCH(VALUE($A3510&amp;""),계정대체기준!$D$6:$D$15,0)),0),0))</f>
        <v/>
      </c>
      <c r="AH3510" s="64">
        <f>IF($A3510="","",IF(AD3510=0,"",IF(OR(COUNTIF(계정대체기준!$A$77:$A$86,$N3510)&gt;0,ISNUMBER(MATCH($X3510,계정대체기준!$D$77:$D$86,0)),ISNUMBER(MATCH($F3510,계정대체기준!$D$77:$D$86,0))),"Y","N")))</f>
        <v/>
      </c>
    </row>
    <row r="3511">
      <c r="A3511" s="92" t="n">
        <v>2026</v>
      </c>
      <c r="B3511" s="92" t="n">
        <v>4</v>
      </c>
      <c r="C3511" s="92" t="inlineStr">
        <is>
          <t>5100000789</t>
        </is>
      </c>
      <c r="D3511" s="95" t="n">
        <v>46125</v>
      </c>
      <c r="E3511" s="92" t="inlineStr">
        <is>
          <t>KR</t>
        </is>
      </c>
      <c r="F3511" s="92" t="n">
        <v>62601000</v>
      </c>
      <c r="G3511" s="92" t="n">
        <v>1502</v>
      </c>
      <c r="H3511" s="93" t="n">
        <v>1422000</v>
      </c>
      <c r="I3511" s="92" t="inlineStr">
        <is>
          <t>4월 업무추진 - (법인카드)</t>
        </is>
      </c>
      <c r="J3511" s="92" t="inlineStr">
        <is>
          <t>V10010</t>
        </is>
      </c>
      <c r="K3511" s="92" t="inlineStr">
        <is>
          <t>(법인카드)</t>
        </is>
      </c>
      <c r="M3511" s="9">
        <f>IF($A3511="","",VALUE($A3511&amp;"")*12+VALUE($B3511&amp;""))</f>
        <v/>
      </c>
      <c r="N3511" s="64">
        <f>IF($A3511="","",IFERROR(INDEX(부서매핑!$C$5:$C$504,MATCH($G3511&amp;"",부서매핑!$A$5:$A$504,0)),"미매핑"))</f>
        <v/>
      </c>
      <c r="O3511" s="9">
        <f>IF($A3511="","",N3511&amp;"|"&amp;$F3511)</f>
        <v/>
      </c>
      <c r="P3511" s="94">
        <f>IF($A3511="",0,$H3511*설정!$C$23)</f>
        <v/>
      </c>
      <c r="Q3511" s="64">
        <f>IF($A3511="","",IF(O3511&lt;&gt;원인분석!$C$9,"",IF(AND(M3511&gt;=원인분석!$C$10,M3511&lt;=원인분석!$C$11),"당기",IF(AND(M3511&gt;=원인분석!$C$12,M3511&lt;=원인분석!$C$13),"비교",""))))</f>
        <v/>
      </c>
      <c r="R3511" s="9">
        <f>IF(Q3511="","",$K3511&amp;"")</f>
        <v/>
      </c>
      <c r="S3511" s="9">
        <f>IF(Q3511="","",IF(MATCH(R3511,$R$5:$R$100000,0)=ROW()-4,ROW(),""))</f>
        <v/>
      </c>
      <c r="T3511" s="9">
        <f>IF(Q3511="당기",ABS(P3511)+ROW()/1000000000,"")</f>
        <v/>
      </c>
      <c r="U3511" s="9">
        <f>IF(Q3511="비교",ABS(P3511)+ROW()/1000000000,"")</f>
        <v/>
      </c>
      <c r="V3511" s="64">
        <f>IF($A3511="","",IF(COUNTIF(변동분석!$E$7:$E$506,O3511)&gt;0,"Y","N"))</f>
        <v/>
      </c>
      <c r="W3511" s="64">
        <f>IF($A3511="","",IFERROR(INDEX(계정매핑!$D$5:$D$504,MATCH($F3511&amp;"",계정매핑!$A$5:$A$504,0)),"미매핑"))</f>
        <v/>
      </c>
      <c r="X3511" s="9">
        <f>IF($A3511="","",$F3511&amp;"")</f>
        <v/>
      </c>
      <c r="Y3511" s="94">
        <f>IF($A3511="",0,IF(AE3511="직접",IF(AF3511="비귀속",$P3511,0),$P3511*(1-AG3511)*IFERROR(INDEX(계정대체기준!$F$20:$F$49,MATCH($N3511,계정대체기준!$A$20:$A$49,0)),1)))</f>
        <v/>
      </c>
      <c r="Z3511" s="94">
        <f>IF($A3511="",0,IF(AE3511="직접",IF(AF3511="신계약비",$P3511,0),$P3511*(1-AG3511)*IFERROR(INDEX(계정대체기준!$C$20:$C$49,MATCH($N3511,계정대체기준!$A$20:$A$49,0)),0)))</f>
        <v/>
      </c>
      <c r="AA3511" s="94">
        <f>IF($A3511="",0,IF(AE3511="직접",IF(OR(AF3511="유지비",AF3511="손해조사비"),$P3511,0),$P3511*(1-AG3511)*IFERROR(INDEX(계정대체기준!$D$20:$D$49,MATCH($N3511,계정대체기준!$A$20:$A$49,0)),0)))</f>
        <v/>
      </c>
      <c r="AB3511" s="94">
        <f>IF($A3511="",0,IF(AE3511="직접",IF(AF3511="수금비",$P3511,0),$P3511*(1-AG3511)*IFERROR(INDEX(계정대체기준!$E$20:$E$49,MATCH($N3511,계정대체기준!$A$20:$A$49,0)),0)))</f>
        <v/>
      </c>
      <c r="AC3511" s="9">
        <f>IF(AND($A3511&lt;&gt;"",M3511=설정!$C$20,Z3511&gt;0),Z3511+ROW()/1000000000,"")</f>
        <v/>
      </c>
      <c r="AD3511" s="94">
        <f>IF($A3511="",0,$P3511*AG3511)</f>
        <v/>
      </c>
      <c r="AE3511" s="64">
        <f>IF($A3511="","",IFERROR(INDEX(계정매핑!$E$5:$E$504,MATCH($F3511&amp;"",계정매핑!$A$5:$A$504,0))&amp;"","공통비"))</f>
        <v/>
      </c>
      <c r="AF3511" s="64">
        <f>IF($A3511="","",IF(AE3511="직접",IFERROR(INDEX(계정매핑!$F$5:$F$504,MATCH($F3511&amp;"",계정매핑!$A$5:$A$504,0))&amp;"","비귀속"),""))</f>
        <v/>
      </c>
      <c r="AG3511" s="96">
        <f>IF($A3511="",0,IF(AND(AE3511&lt;&gt;"직접",IFERROR(INDEX(계정매핑!$G$5:$G$504,MATCH($F3511&amp;"",계정매핑!$A$5:$A$504,0))&amp;"","")="유지비",COUNTIF(계정대체기준!$A$6:$A$15,$N3511)&gt;0),IFERROR(INDEX(계정대체기준!$E$6:$E$15,MATCH(VALUE($A3511&amp;""),계정대체기준!$D$6:$D$15,0)),0),0))</f>
        <v/>
      </c>
      <c r="AH3511" s="64">
        <f>IF($A3511="","",IF(AD3511=0,"",IF(OR(COUNTIF(계정대체기준!$A$77:$A$86,$N3511)&gt;0,ISNUMBER(MATCH($X3511,계정대체기준!$D$77:$D$86,0)),ISNUMBER(MATCH($F3511,계정대체기준!$D$77:$D$86,0))),"Y","N")))</f>
        <v/>
      </c>
    </row>
    <row r="3512">
      <c r="A3512" s="92" t="n">
        <v>2026</v>
      </c>
      <c r="B3512" s="92" t="n">
        <v>4</v>
      </c>
      <c r="C3512" s="92" t="inlineStr">
        <is>
          <t>5100000790</t>
        </is>
      </c>
      <c r="D3512" s="95" t="n">
        <v>46125</v>
      </c>
      <c r="E3512" s="92" t="inlineStr">
        <is>
          <t>KR</t>
        </is>
      </c>
      <c r="F3512" s="92" t="n">
        <v>62801000</v>
      </c>
      <c r="G3512" s="92" t="n">
        <v>1301</v>
      </c>
      <c r="H3512" s="93" t="n">
        <v>7101000</v>
      </c>
      <c r="I3512" s="92" t="inlineStr">
        <is>
          <t>4월 사내교육 - U에듀</t>
        </is>
      </c>
      <c r="J3512" s="92" t="inlineStr">
        <is>
          <t>V10031</t>
        </is>
      </c>
      <c r="K3512" s="92" t="inlineStr">
        <is>
          <t>U에듀</t>
        </is>
      </c>
      <c r="M3512" s="9">
        <f>IF($A3512="","",VALUE($A3512&amp;"")*12+VALUE($B3512&amp;""))</f>
        <v/>
      </c>
      <c r="N3512" s="64">
        <f>IF($A3512="","",IFERROR(INDEX(부서매핑!$C$5:$C$504,MATCH($G3512&amp;"",부서매핑!$A$5:$A$504,0)),"미매핑"))</f>
        <v/>
      </c>
      <c r="O3512" s="9">
        <f>IF($A3512="","",N3512&amp;"|"&amp;$F3512)</f>
        <v/>
      </c>
      <c r="P3512" s="94">
        <f>IF($A3512="",0,$H3512*설정!$C$23)</f>
        <v/>
      </c>
      <c r="Q3512" s="64">
        <f>IF($A3512="","",IF(O3512&lt;&gt;원인분석!$C$9,"",IF(AND(M3512&gt;=원인분석!$C$10,M3512&lt;=원인분석!$C$11),"당기",IF(AND(M3512&gt;=원인분석!$C$12,M3512&lt;=원인분석!$C$13),"비교",""))))</f>
        <v/>
      </c>
      <c r="R3512" s="9">
        <f>IF(Q3512="","",$K3512&amp;"")</f>
        <v/>
      </c>
      <c r="S3512" s="9">
        <f>IF(Q3512="","",IF(MATCH(R3512,$R$5:$R$100000,0)=ROW()-4,ROW(),""))</f>
        <v/>
      </c>
      <c r="T3512" s="9">
        <f>IF(Q3512="당기",ABS(P3512)+ROW()/1000000000,"")</f>
        <v/>
      </c>
      <c r="U3512" s="9">
        <f>IF(Q3512="비교",ABS(P3512)+ROW()/1000000000,"")</f>
        <v/>
      </c>
      <c r="V3512" s="64">
        <f>IF($A3512="","",IF(COUNTIF(변동분석!$E$7:$E$506,O3512)&gt;0,"Y","N"))</f>
        <v/>
      </c>
      <c r="W3512" s="64">
        <f>IF($A3512="","",IFERROR(INDEX(계정매핑!$D$5:$D$504,MATCH($F3512&amp;"",계정매핑!$A$5:$A$504,0)),"미매핑"))</f>
        <v/>
      </c>
      <c r="X3512" s="9">
        <f>IF($A3512="","",$F3512&amp;"")</f>
        <v/>
      </c>
      <c r="Y3512" s="94">
        <f>IF($A3512="",0,IF(AE3512="직접",IF(AF3512="비귀속",$P3512,0),$P3512*(1-AG3512)*IFERROR(INDEX(계정대체기준!$F$20:$F$49,MATCH($N3512,계정대체기준!$A$20:$A$49,0)),1)))</f>
        <v/>
      </c>
      <c r="Z3512" s="94">
        <f>IF($A3512="",0,IF(AE3512="직접",IF(AF3512="신계약비",$P3512,0),$P3512*(1-AG3512)*IFERROR(INDEX(계정대체기준!$C$20:$C$49,MATCH($N3512,계정대체기준!$A$20:$A$49,0)),0)))</f>
        <v/>
      </c>
      <c r="AA3512" s="94">
        <f>IF($A3512="",0,IF(AE3512="직접",IF(OR(AF3512="유지비",AF3512="손해조사비"),$P3512,0),$P3512*(1-AG3512)*IFERROR(INDEX(계정대체기준!$D$20:$D$49,MATCH($N3512,계정대체기준!$A$20:$A$49,0)),0)))</f>
        <v/>
      </c>
      <c r="AB3512" s="94">
        <f>IF($A3512="",0,IF(AE3512="직접",IF(AF3512="수금비",$P3512,0),$P3512*(1-AG3512)*IFERROR(INDEX(계정대체기준!$E$20:$E$49,MATCH($N3512,계정대체기준!$A$20:$A$49,0)),0)))</f>
        <v/>
      </c>
      <c r="AC3512" s="9">
        <f>IF(AND($A3512&lt;&gt;"",M3512=설정!$C$20,Z3512&gt;0),Z3512+ROW()/1000000000,"")</f>
        <v/>
      </c>
      <c r="AD3512" s="94">
        <f>IF($A3512="",0,$P3512*AG3512)</f>
        <v/>
      </c>
      <c r="AE3512" s="64">
        <f>IF($A3512="","",IFERROR(INDEX(계정매핑!$E$5:$E$504,MATCH($F3512&amp;"",계정매핑!$A$5:$A$504,0))&amp;"","공통비"))</f>
        <v/>
      </c>
      <c r="AF3512" s="64">
        <f>IF($A3512="","",IF(AE3512="직접",IFERROR(INDEX(계정매핑!$F$5:$F$504,MATCH($F3512&amp;"",계정매핑!$A$5:$A$504,0))&amp;"","비귀속"),""))</f>
        <v/>
      </c>
      <c r="AG3512" s="96">
        <f>IF($A3512="",0,IF(AND(AE3512&lt;&gt;"직접",IFERROR(INDEX(계정매핑!$G$5:$G$504,MATCH($F3512&amp;"",계정매핑!$A$5:$A$504,0))&amp;"","")="유지비",COUNTIF(계정대체기준!$A$6:$A$15,$N3512)&gt;0),IFERROR(INDEX(계정대체기준!$E$6:$E$15,MATCH(VALUE($A3512&amp;""),계정대체기준!$D$6:$D$15,0)),0),0))</f>
        <v/>
      </c>
      <c r="AH3512" s="64">
        <f>IF($A3512="","",IF(AD3512=0,"",IF(OR(COUNTIF(계정대체기준!$A$77:$A$86,$N3512)&gt;0,ISNUMBER(MATCH($X3512,계정대체기준!$D$77:$D$86,0)),ISNUMBER(MATCH($F3512,계정대체기준!$D$77:$D$86,0))),"Y","N")))</f>
        <v/>
      </c>
    </row>
    <row r="3513">
      <c r="A3513" s="92" t="n">
        <v>2026</v>
      </c>
      <c r="B3513" s="92" t="n">
        <v>4</v>
      </c>
      <c r="C3513" s="92" t="inlineStr">
        <is>
          <t>5100000791</t>
        </is>
      </c>
      <c r="D3513" s="95" t="n">
        <v>46125</v>
      </c>
      <c r="E3513" s="92" t="inlineStr">
        <is>
          <t>KR</t>
        </is>
      </c>
      <c r="F3513" s="92" t="n">
        <v>62901000</v>
      </c>
      <c r="G3513" s="92" t="n">
        <v>1401</v>
      </c>
      <c r="H3513" s="93" t="n">
        <v>4361000</v>
      </c>
      <c r="I3513" s="92" t="inlineStr">
        <is>
          <t>4월 자문 수수료 - K회계법인</t>
        </is>
      </c>
      <c r="J3513" s="92" t="inlineStr">
        <is>
          <t>V10011</t>
        </is>
      </c>
      <c r="K3513" s="92" t="inlineStr">
        <is>
          <t>K회계법인</t>
        </is>
      </c>
      <c r="M3513" s="9">
        <f>IF($A3513="","",VALUE($A3513&amp;"")*12+VALUE($B3513&amp;""))</f>
        <v/>
      </c>
      <c r="N3513" s="64">
        <f>IF($A3513="","",IFERROR(INDEX(부서매핑!$C$5:$C$504,MATCH($G3513&amp;"",부서매핑!$A$5:$A$504,0)),"미매핑"))</f>
        <v/>
      </c>
      <c r="O3513" s="9">
        <f>IF($A3513="","",N3513&amp;"|"&amp;$F3513)</f>
        <v/>
      </c>
      <c r="P3513" s="94">
        <f>IF($A3513="",0,$H3513*설정!$C$23)</f>
        <v/>
      </c>
      <c r="Q3513" s="64">
        <f>IF($A3513="","",IF(O3513&lt;&gt;원인분석!$C$9,"",IF(AND(M3513&gt;=원인분석!$C$10,M3513&lt;=원인분석!$C$11),"당기",IF(AND(M3513&gt;=원인분석!$C$12,M3513&lt;=원인분석!$C$13),"비교",""))))</f>
        <v/>
      </c>
      <c r="R3513" s="9">
        <f>IF(Q3513="","",$K3513&amp;"")</f>
        <v/>
      </c>
      <c r="S3513" s="9">
        <f>IF(Q3513="","",IF(MATCH(R3513,$R$5:$R$100000,0)=ROW()-4,ROW(),""))</f>
        <v/>
      </c>
      <c r="T3513" s="9">
        <f>IF(Q3513="당기",ABS(P3513)+ROW()/1000000000,"")</f>
        <v/>
      </c>
      <c r="U3513" s="9">
        <f>IF(Q3513="비교",ABS(P3513)+ROW()/1000000000,"")</f>
        <v/>
      </c>
      <c r="V3513" s="64">
        <f>IF($A3513="","",IF(COUNTIF(변동분석!$E$7:$E$506,O3513)&gt;0,"Y","N"))</f>
        <v/>
      </c>
      <c r="W3513" s="64">
        <f>IF($A3513="","",IFERROR(INDEX(계정매핑!$D$5:$D$504,MATCH($F3513&amp;"",계정매핑!$A$5:$A$504,0)),"미매핑"))</f>
        <v/>
      </c>
      <c r="X3513" s="9">
        <f>IF($A3513="","",$F3513&amp;"")</f>
        <v/>
      </c>
      <c r="Y3513" s="94">
        <f>IF($A3513="",0,IF(AE3513="직접",IF(AF3513="비귀속",$P3513,0),$P3513*(1-AG3513)*IFERROR(INDEX(계정대체기준!$F$20:$F$49,MATCH($N3513,계정대체기준!$A$20:$A$49,0)),1)))</f>
        <v/>
      </c>
      <c r="Z3513" s="94">
        <f>IF($A3513="",0,IF(AE3513="직접",IF(AF3513="신계약비",$P3513,0),$P3513*(1-AG3513)*IFERROR(INDEX(계정대체기준!$C$20:$C$49,MATCH($N3513,계정대체기준!$A$20:$A$49,0)),0)))</f>
        <v/>
      </c>
      <c r="AA3513" s="94">
        <f>IF($A3513="",0,IF(AE3513="직접",IF(OR(AF3513="유지비",AF3513="손해조사비"),$P3513,0),$P3513*(1-AG3513)*IFERROR(INDEX(계정대체기준!$D$20:$D$49,MATCH($N3513,계정대체기준!$A$20:$A$49,0)),0)))</f>
        <v/>
      </c>
      <c r="AB3513" s="94">
        <f>IF($A3513="",0,IF(AE3513="직접",IF(AF3513="수금비",$P3513,0),$P3513*(1-AG3513)*IFERROR(INDEX(계정대체기준!$E$20:$E$49,MATCH($N3513,계정대체기준!$A$20:$A$49,0)),0)))</f>
        <v/>
      </c>
      <c r="AC3513" s="9">
        <f>IF(AND($A3513&lt;&gt;"",M3513=설정!$C$20,Z3513&gt;0),Z3513+ROW()/1000000000,"")</f>
        <v/>
      </c>
      <c r="AD3513" s="94">
        <f>IF($A3513="",0,$P3513*AG3513)</f>
        <v/>
      </c>
      <c r="AE3513" s="64">
        <f>IF($A3513="","",IFERROR(INDEX(계정매핑!$E$5:$E$504,MATCH($F3513&amp;"",계정매핑!$A$5:$A$504,0))&amp;"","공통비"))</f>
        <v/>
      </c>
      <c r="AF3513" s="64">
        <f>IF($A3513="","",IF(AE3513="직접",IFERROR(INDEX(계정매핑!$F$5:$F$504,MATCH($F3513&amp;"",계정매핑!$A$5:$A$504,0))&amp;"","비귀속"),""))</f>
        <v/>
      </c>
      <c r="AG3513" s="96">
        <f>IF($A3513="",0,IF(AND(AE3513&lt;&gt;"직접",IFERROR(INDEX(계정매핑!$G$5:$G$504,MATCH($F3513&amp;"",계정매핑!$A$5:$A$504,0))&amp;"","")="유지비",COUNTIF(계정대체기준!$A$6:$A$15,$N3513)&gt;0),IFERROR(INDEX(계정대체기준!$E$6:$E$15,MATCH(VALUE($A3513&amp;""),계정대체기준!$D$6:$D$15,0)),0),0))</f>
        <v/>
      </c>
      <c r="AH3513" s="64">
        <f>IF($A3513="","",IF(AD3513=0,"",IF(OR(COUNTIF(계정대체기준!$A$77:$A$86,$N3513)&gt;0,ISNUMBER(MATCH($X3513,계정대체기준!$D$77:$D$86,0)),ISNUMBER(MATCH($F3513,계정대체기준!$D$77:$D$86,0))),"Y","N")))</f>
        <v/>
      </c>
    </row>
    <row r="3514">
      <c r="A3514" s="92" t="n">
        <v>2026</v>
      </c>
      <c r="B3514" s="92" t="n">
        <v>4</v>
      </c>
      <c r="C3514" s="92" t="inlineStr">
        <is>
          <t>5100000792</t>
        </is>
      </c>
      <c r="D3514" s="95" t="n">
        <v>46125</v>
      </c>
      <c r="E3514" s="92" t="inlineStr">
        <is>
          <t>KR</t>
        </is>
      </c>
      <c r="F3514" s="92" t="n">
        <v>62902000</v>
      </c>
      <c r="G3514" s="92" t="n">
        <v>1801</v>
      </c>
      <c r="H3514" s="93" t="n">
        <v>1777000</v>
      </c>
      <c r="I3514" s="92" t="inlineStr">
        <is>
          <t>4월 콜 위탁 수수료(건별)</t>
        </is>
      </c>
      <c r="J3514" s="92" t="inlineStr">
        <is>
          <t>V10016</t>
        </is>
      </c>
      <c r="K3514" s="92" t="inlineStr">
        <is>
          <t>J콜센터</t>
        </is>
      </c>
      <c r="M3514" s="9">
        <f>IF($A3514="","",VALUE($A3514&amp;"")*12+VALUE($B3514&amp;""))</f>
        <v/>
      </c>
      <c r="N3514" s="64">
        <f>IF($A3514="","",IFERROR(INDEX(부서매핑!$C$5:$C$504,MATCH($G3514&amp;"",부서매핑!$A$5:$A$504,0)),"미매핑"))</f>
        <v/>
      </c>
      <c r="O3514" s="9">
        <f>IF($A3514="","",N3514&amp;"|"&amp;$F3514)</f>
        <v/>
      </c>
      <c r="P3514" s="94">
        <f>IF($A3514="",0,$H3514*설정!$C$23)</f>
        <v/>
      </c>
      <c r="Q3514" s="64">
        <f>IF($A3514="","",IF(O3514&lt;&gt;원인분석!$C$9,"",IF(AND(M3514&gt;=원인분석!$C$10,M3514&lt;=원인분석!$C$11),"당기",IF(AND(M3514&gt;=원인분석!$C$12,M3514&lt;=원인분석!$C$13),"비교",""))))</f>
        <v/>
      </c>
      <c r="R3514" s="9">
        <f>IF(Q3514="","",$K3514&amp;"")</f>
        <v/>
      </c>
      <c r="S3514" s="9">
        <f>IF(Q3514="","",IF(MATCH(R3514,$R$5:$R$100000,0)=ROW()-4,ROW(),""))</f>
        <v/>
      </c>
      <c r="T3514" s="9">
        <f>IF(Q3514="당기",ABS(P3514)+ROW()/1000000000,"")</f>
        <v/>
      </c>
      <c r="U3514" s="9">
        <f>IF(Q3514="비교",ABS(P3514)+ROW()/1000000000,"")</f>
        <v/>
      </c>
      <c r="V3514" s="64">
        <f>IF($A3514="","",IF(COUNTIF(변동분석!$E$7:$E$506,O3514)&gt;0,"Y","N"))</f>
        <v/>
      </c>
      <c r="W3514" s="64">
        <f>IF($A3514="","",IFERROR(INDEX(계정매핑!$D$5:$D$504,MATCH($F3514&amp;"",계정매핑!$A$5:$A$504,0)),"미매핑"))</f>
        <v/>
      </c>
      <c r="X3514" s="9">
        <f>IF($A3514="","",$F3514&amp;"")</f>
        <v/>
      </c>
      <c r="Y3514" s="94">
        <f>IF($A3514="",0,IF(AE3514="직접",IF(AF3514="비귀속",$P3514,0),$P3514*(1-AG3514)*IFERROR(INDEX(계정대체기준!$F$20:$F$49,MATCH($N3514,계정대체기준!$A$20:$A$49,0)),1)))</f>
        <v/>
      </c>
      <c r="Z3514" s="94">
        <f>IF($A3514="",0,IF(AE3514="직접",IF(AF3514="신계약비",$P3514,0),$P3514*(1-AG3514)*IFERROR(INDEX(계정대체기준!$C$20:$C$49,MATCH($N3514,계정대체기준!$A$20:$A$49,0)),0)))</f>
        <v/>
      </c>
      <c r="AA3514" s="94">
        <f>IF($A3514="",0,IF(AE3514="직접",IF(OR(AF3514="유지비",AF3514="손해조사비"),$P3514,0),$P3514*(1-AG3514)*IFERROR(INDEX(계정대체기준!$D$20:$D$49,MATCH($N3514,계정대체기준!$A$20:$A$49,0)),0)))</f>
        <v/>
      </c>
      <c r="AB3514" s="94">
        <f>IF($A3514="",0,IF(AE3514="직접",IF(AF3514="수금비",$P3514,0),$P3514*(1-AG3514)*IFERROR(INDEX(계정대체기준!$E$20:$E$49,MATCH($N3514,계정대체기준!$A$20:$A$49,0)),0)))</f>
        <v/>
      </c>
      <c r="AC3514" s="9">
        <f>IF(AND($A3514&lt;&gt;"",M3514=설정!$C$20,Z3514&gt;0),Z3514+ROW()/1000000000,"")</f>
        <v/>
      </c>
      <c r="AD3514" s="94">
        <f>IF($A3514="",0,$P3514*AG3514)</f>
        <v/>
      </c>
      <c r="AE3514" s="64">
        <f>IF($A3514="","",IFERROR(INDEX(계정매핑!$E$5:$E$504,MATCH($F3514&amp;"",계정매핑!$A$5:$A$504,0))&amp;"","공통비"))</f>
        <v/>
      </c>
      <c r="AF3514" s="64">
        <f>IF($A3514="","",IF(AE3514="직접",IFERROR(INDEX(계정매핑!$F$5:$F$504,MATCH($F3514&amp;"",계정매핑!$A$5:$A$504,0))&amp;"","비귀속"),""))</f>
        <v/>
      </c>
      <c r="AG3514" s="96">
        <f>IF($A3514="",0,IF(AND(AE3514&lt;&gt;"직접",IFERROR(INDEX(계정매핑!$G$5:$G$504,MATCH($F3514&amp;"",계정매핑!$A$5:$A$504,0))&amp;"","")="유지비",COUNTIF(계정대체기준!$A$6:$A$15,$N3514)&gt;0),IFERROR(INDEX(계정대체기준!$E$6:$E$15,MATCH(VALUE($A3514&amp;""),계정대체기준!$D$6:$D$15,0)),0),0))</f>
        <v/>
      </c>
      <c r="AH3514" s="64">
        <f>IF($A3514="","",IF(AD3514=0,"",IF(OR(COUNTIF(계정대체기준!$A$77:$A$86,$N3514)&gt;0,ISNUMBER(MATCH($X3514,계정대체기준!$D$77:$D$86,0)),ISNUMBER(MATCH($F3514,계정대체기준!$D$77:$D$86,0))),"Y","N")))</f>
        <v/>
      </c>
    </row>
    <row r="3515">
      <c r="A3515" s="92" t="n">
        <v>2026</v>
      </c>
      <c r="B3515" s="92" t="n">
        <v>4</v>
      </c>
      <c r="C3515" s="92" t="inlineStr">
        <is>
          <t>5100000793</t>
        </is>
      </c>
      <c r="D3515" s="95" t="n">
        <v>46126</v>
      </c>
      <c r="E3515" s="92" t="inlineStr">
        <is>
          <t>KR</t>
        </is>
      </c>
      <c r="F3515" s="92" t="n">
        <v>62101000</v>
      </c>
      <c r="G3515" s="92" t="n">
        <v>1301</v>
      </c>
      <c r="H3515" s="93" t="n">
        <v>389000</v>
      </c>
      <c r="I3515" s="92" t="inlineStr">
        <is>
          <t>4월 국내출장 - L여행사</t>
        </is>
      </c>
      <c r="J3515" s="92" t="inlineStr">
        <is>
          <t>V10018</t>
        </is>
      </c>
      <c r="K3515" s="92" t="inlineStr">
        <is>
          <t>L여행사</t>
        </is>
      </c>
      <c r="M3515" s="9">
        <f>IF($A3515="","",VALUE($A3515&amp;"")*12+VALUE($B3515&amp;""))</f>
        <v/>
      </c>
      <c r="N3515" s="64">
        <f>IF($A3515="","",IFERROR(INDEX(부서매핑!$C$5:$C$504,MATCH($G3515&amp;"",부서매핑!$A$5:$A$504,0)),"미매핑"))</f>
        <v/>
      </c>
      <c r="O3515" s="9">
        <f>IF($A3515="","",N3515&amp;"|"&amp;$F3515)</f>
        <v/>
      </c>
      <c r="P3515" s="94">
        <f>IF($A3515="",0,$H3515*설정!$C$23)</f>
        <v/>
      </c>
      <c r="Q3515" s="64">
        <f>IF($A3515="","",IF(O3515&lt;&gt;원인분석!$C$9,"",IF(AND(M3515&gt;=원인분석!$C$10,M3515&lt;=원인분석!$C$11),"당기",IF(AND(M3515&gt;=원인분석!$C$12,M3515&lt;=원인분석!$C$13),"비교",""))))</f>
        <v/>
      </c>
      <c r="R3515" s="9">
        <f>IF(Q3515="","",$K3515&amp;"")</f>
        <v/>
      </c>
      <c r="S3515" s="9">
        <f>IF(Q3515="","",IF(MATCH(R3515,$R$5:$R$100000,0)=ROW()-4,ROW(),""))</f>
        <v/>
      </c>
      <c r="T3515" s="9">
        <f>IF(Q3515="당기",ABS(P3515)+ROW()/1000000000,"")</f>
        <v/>
      </c>
      <c r="U3515" s="9">
        <f>IF(Q3515="비교",ABS(P3515)+ROW()/1000000000,"")</f>
        <v/>
      </c>
      <c r="V3515" s="64">
        <f>IF($A3515="","",IF(COUNTIF(변동분석!$E$7:$E$506,O3515)&gt;0,"Y","N"))</f>
        <v/>
      </c>
      <c r="W3515" s="64">
        <f>IF($A3515="","",IFERROR(INDEX(계정매핑!$D$5:$D$504,MATCH($F3515&amp;"",계정매핑!$A$5:$A$504,0)),"미매핑"))</f>
        <v/>
      </c>
      <c r="X3515" s="9">
        <f>IF($A3515="","",$F3515&amp;"")</f>
        <v/>
      </c>
      <c r="Y3515" s="94">
        <f>IF($A3515="",0,IF(AE3515="직접",IF(AF3515="비귀속",$P3515,0),$P3515*(1-AG3515)*IFERROR(INDEX(계정대체기준!$F$20:$F$49,MATCH($N3515,계정대체기준!$A$20:$A$49,0)),1)))</f>
        <v/>
      </c>
      <c r="Z3515" s="94">
        <f>IF($A3515="",0,IF(AE3515="직접",IF(AF3515="신계약비",$P3515,0),$P3515*(1-AG3515)*IFERROR(INDEX(계정대체기준!$C$20:$C$49,MATCH($N3515,계정대체기준!$A$20:$A$49,0)),0)))</f>
        <v/>
      </c>
      <c r="AA3515" s="94">
        <f>IF($A3515="",0,IF(AE3515="직접",IF(OR(AF3515="유지비",AF3515="손해조사비"),$P3515,0),$P3515*(1-AG3515)*IFERROR(INDEX(계정대체기준!$D$20:$D$49,MATCH($N3515,계정대체기준!$A$20:$A$49,0)),0)))</f>
        <v/>
      </c>
      <c r="AB3515" s="94">
        <f>IF($A3515="",0,IF(AE3515="직접",IF(AF3515="수금비",$P3515,0),$P3515*(1-AG3515)*IFERROR(INDEX(계정대체기준!$E$20:$E$49,MATCH($N3515,계정대체기준!$A$20:$A$49,0)),0)))</f>
        <v/>
      </c>
      <c r="AC3515" s="9">
        <f>IF(AND($A3515&lt;&gt;"",M3515=설정!$C$20,Z3515&gt;0),Z3515+ROW()/1000000000,"")</f>
        <v/>
      </c>
      <c r="AD3515" s="94">
        <f>IF($A3515="",0,$P3515*AG3515)</f>
        <v/>
      </c>
      <c r="AE3515" s="64">
        <f>IF($A3515="","",IFERROR(INDEX(계정매핑!$E$5:$E$504,MATCH($F3515&amp;"",계정매핑!$A$5:$A$504,0))&amp;"","공통비"))</f>
        <v/>
      </c>
      <c r="AF3515" s="64">
        <f>IF($A3515="","",IF(AE3515="직접",IFERROR(INDEX(계정매핑!$F$5:$F$504,MATCH($F3515&amp;"",계정매핑!$A$5:$A$504,0))&amp;"","비귀속"),""))</f>
        <v/>
      </c>
      <c r="AG3515" s="96">
        <f>IF($A3515="",0,IF(AND(AE3515&lt;&gt;"직접",IFERROR(INDEX(계정매핑!$G$5:$G$504,MATCH($F3515&amp;"",계정매핑!$A$5:$A$504,0))&amp;"","")="유지비",COUNTIF(계정대체기준!$A$6:$A$15,$N3515)&gt;0),IFERROR(INDEX(계정대체기준!$E$6:$E$15,MATCH(VALUE($A3515&amp;""),계정대체기준!$D$6:$D$15,0)),0),0))</f>
        <v/>
      </c>
      <c r="AH3515" s="64">
        <f>IF($A3515="","",IF(AD3515=0,"",IF(OR(COUNTIF(계정대체기준!$A$77:$A$86,$N3515)&gt;0,ISNUMBER(MATCH($X3515,계정대체기준!$D$77:$D$86,0)),ISNUMBER(MATCH($F3515,계정대체기준!$D$77:$D$86,0))),"Y","N")))</f>
        <v/>
      </c>
    </row>
    <row r="3516">
      <c r="A3516" s="92" t="n">
        <v>2026</v>
      </c>
      <c r="B3516" s="92" t="n">
        <v>4</v>
      </c>
      <c r="C3516" s="92" t="inlineStr">
        <is>
          <t>5100000794</t>
        </is>
      </c>
      <c r="D3516" s="95" t="n">
        <v>46126</v>
      </c>
      <c r="E3516" s="92" t="inlineStr">
        <is>
          <t>KR</t>
        </is>
      </c>
      <c r="F3516" s="92" t="n">
        <v>62102000</v>
      </c>
      <c r="G3516" s="92" t="n">
        <v>1502</v>
      </c>
      <c r="H3516" s="93" t="n">
        <v>133000</v>
      </c>
      <c r="I3516" s="92" t="inlineStr">
        <is>
          <t>4월 해외출장 - N호텔</t>
        </is>
      </c>
      <c r="J3516" s="92" t="inlineStr">
        <is>
          <t>V10009</t>
        </is>
      </c>
      <c r="K3516" s="92" t="inlineStr">
        <is>
          <t>N호텔</t>
        </is>
      </c>
      <c r="M3516" s="9">
        <f>IF($A3516="","",VALUE($A3516&amp;"")*12+VALUE($B3516&amp;""))</f>
        <v/>
      </c>
      <c r="N3516" s="64">
        <f>IF($A3516="","",IFERROR(INDEX(부서매핑!$C$5:$C$504,MATCH($G3516&amp;"",부서매핑!$A$5:$A$504,0)),"미매핑"))</f>
        <v/>
      </c>
      <c r="O3516" s="9">
        <f>IF($A3516="","",N3516&amp;"|"&amp;$F3516)</f>
        <v/>
      </c>
      <c r="P3516" s="94">
        <f>IF($A3516="",0,$H3516*설정!$C$23)</f>
        <v/>
      </c>
      <c r="Q3516" s="64">
        <f>IF($A3516="","",IF(O3516&lt;&gt;원인분석!$C$9,"",IF(AND(M3516&gt;=원인분석!$C$10,M3516&lt;=원인분석!$C$11),"당기",IF(AND(M3516&gt;=원인분석!$C$12,M3516&lt;=원인분석!$C$13),"비교",""))))</f>
        <v/>
      </c>
      <c r="R3516" s="9">
        <f>IF(Q3516="","",$K3516&amp;"")</f>
        <v/>
      </c>
      <c r="S3516" s="9">
        <f>IF(Q3516="","",IF(MATCH(R3516,$R$5:$R$100000,0)=ROW()-4,ROW(),""))</f>
        <v/>
      </c>
      <c r="T3516" s="9">
        <f>IF(Q3516="당기",ABS(P3516)+ROW()/1000000000,"")</f>
        <v/>
      </c>
      <c r="U3516" s="9">
        <f>IF(Q3516="비교",ABS(P3516)+ROW()/1000000000,"")</f>
        <v/>
      </c>
      <c r="V3516" s="64">
        <f>IF($A3516="","",IF(COUNTIF(변동분석!$E$7:$E$506,O3516)&gt;0,"Y","N"))</f>
        <v/>
      </c>
      <c r="W3516" s="64">
        <f>IF($A3516="","",IFERROR(INDEX(계정매핑!$D$5:$D$504,MATCH($F3516&amp;"",계정매핑!$A$5:$A$504,0)),"미매핑"))</f>
        <v/>
      </c>
      <c r="X3516" s="9">
        <f>IF($A3516="","",$F3516&amp;"")</f>
        <v/>
      </c>
      <c r="Y3516" s="94">
        <f>IF($A3516="",0,IF(AE3516="직접",IF(AF3516="비귀속",$P3516,0),$P3516*(1-AG3516)*IFERROR(INDEX(계정대체기준!$F$20:$F$49,MATCH($N3516,계정대체기준!$A$20:$A$49,0)),1)))</f>
        <v/>
      </c>
      <c r="Z3516" s="94">
        <f>IF($A3516="",0,IF(AE3516="직접",IF(AF3516="신계약비",$P3516,0),$P3516*(1-AG3516)*IFERROR(INDEX(계정대체기준!$C$20:$C$49,MATCH($N3516,계정대체기준!$A$20:$A$49,0)),0)))</f>
        <v/>
      </c>
      <c r="AA3516" s="94">
        <f>IF($A3516="",0,IF(AE3516="직접",IF(OR(AF3516="유지비",AF3516="손해조사비"),$P3516,0),$P3516*(1-AG3516)*IFERROR(INDEX(계정대체기준!$D$20:$D$49,MATCH($N3516,계정대체기준!$A$20:$A$49,0)),0)))</f>
        <v/>
      </c>
      <c r="AB3516" s="94">
        <f>IF($A3516="",0,IF(AE3516="직접",IF(AF3516="수금비",$P3516,0),$P3516*(1-AG3516)*IFERROR(INDEX(계정대체기준!$E$20:$E$49,MATCH($N3516,계정대체기준!$A$20:$A$49,0)),0)))</f>
        <v/>
      </c>
      <c r="AC3516" s="9">
        <f>IF(AND($A3516&lt;&gt;"",M3516=설정!$C$20,Z3516&gt;0),Z3516+ROW()/1000000000,"")</f>
        <v/>
      </c>
      <c r="AD3516" s="94">
        <f>IF($A3516="",0,$P3516*AG3516)</f>
        <v/>
      </c>
      <c r="AE3516" s="64">
        <f>IF($A3516="","",IFERROR(INDEX(계정매핑!$E$5:$E$504,MATCH($F3516&amp;"",계정매핑!$A$5:$A$504,0))&amp;"","공통비"))</f>
        <v/>
      </c>
      <c r="AF3516" s="64">
        <f>IF($A3516="","",IF(AE3516="직접",IFERROR(INDEX(계정매핑!$F$5:$F$504,MATCH($F3516&amp;"",계정매핑!$A$5:$A$504,0))&amp;"","비귀속"),""))</f>
        <v/>
      </c>
      <c r="AG3516" s="96">
        <f>IF($A3516="",0,IF(AND(AE3516&lt;&gt;"직접",IFERROR(INDEX(계정매핑!$G$5:$G$504,MATCH($F3516&amp;"",계정매핑!$A$5:$A$504,0))&amp;"","")="유지비",COUNTIF(계정대체기준!$A$6:$A$15,$N3516)&gt;0),IFERROR(INDEX(계정대체기준!$E$6:$E$15,MATCH(VALUE($A3516&amp;""),계정대체기준!$D$6:$D$15,0)),0),0))</f>
        <v/>
      </c>
      <c r="AH3516" s="64">
        <f>IF($A3516="","",IF(AD3516=0,"",IF(OR(COUNTIF(계정대체기준!$A$77:$A$86,$N3516)&gt;0,ISNUMBER(MATCH($X3516,계정대체기준!$D$77:$D$86,0)),ISNUMBER(MATCH($F3516,계정대체기준!$D$77:$D$86,0))),"Y","N")))</f>
        <v/>
      </c>
    </row>
    <row r="3517">
      <c r="A3517" s="92" t="n">
        <v>2026</v>
      </c>
      <c r="B3517" s="92" t="n">
        <v>4</v>
      </c>
      <c r="C3517" s="92" t="inlineStr">
        <is>
          <t>5100000795</t>
        </is>
      </c>
      <c r="D3517" s="95" t="n">
        <v>46126</v>
      </c>
      <c r="E3517" s="92" t="inlineStr">
        <is>
          <t>KR</t>
        </is>
      </c>
      <c r="F3517" s="92" t="n">
        <v>62201000</v>
      </c>
      <c r="G3517" s="92" t="n">
        <v>1501</v>
      </c>
      <c r="H3517" s="93" t="n">
        <v>332000</v>
      </c>
      <c r="I3517" s="92" t="inlineStr">
        <is>
          <t>4월 통신요금 - O텔레콤</t>
        </is>
      </c>
      <c r="J3517" s="92" t="inlineStr">
        <is>
          <t>V10002</t>
        </is>
      </c>
      <c r="K3517" s="92" t="inlineStr">
        <is>
          <t>O텔레콤</t>
        </is>
      </c>
      <c r="M3517" s="9">
        <f>IF($A3517="","",VALUE($A3517&amp;"")*12+VALUE($B3517&amp;""))</f>
        <v/>
      </c>
      <c r="N3517" s="64">
        <f>IF($A3517="","",IFERROR(INDEX(부서매핑!$C$5:$C$504,MATCH($G3517&amp;"",부서매핑!$A$5:$A$504,0)),"미매핑"))</f>
        <v/>
      </c>
      <c r="O3517" s="9">
        <f>IF($A3517="","",N3517&amp;"|"&amp;$F3517)</f>
        <v/>
      </c>
      <c r="P3517" s="94">
        <f>IF($A3517="",0,$H3517*설정!$C$23)</f>
        <v/>
      </c>
      <c r="Q3517" s="64">
        <f>IF($A3517="","",IF(O3517&lt;&gt;원인분석!$C$9,"",IF(AND(M3517&gt;=원인분석!$C$10,M3517&lt;=원인분석!$C$11),"당기",IF(AND(M3517&gt;=원인분석!$C$12,M3517&lt;=원인분석!$C$13),"비교",""))))</f>
        <v/>
      </c>
      <c r="R3517" s="9">
        <f>IF(Q3517="","",$K3517&amp;"")</f>
        <v/>
      </c>
      <c r="S3517" s="9">
        <f>IF(Q3517="","",IF(MATCH(R3517,$R$5:$R$100000,0)=ROW()-4,ROW(),""))</f>
        <v/>
      </c>
      <c r="T3517" s="9">
        <f>IF(Q3517="당기",ABS(P3517)+ROW()/1000000000,"")</f>
        <v/>
      </c>
      <c r="U3517" s="9">
        <f>IF(Q3517="비교",ABS(P3517)+ROW()/1000000000,"")</f>
        <v/>
      </c>
      <c r="V3517" s="64">
        <f>IF($A3517="","",IF(COUNTIF(변동분석!$E$7:$E$506,O3517)&gt;0,"Y","N"))</f>
        <v/>
      </c>
      <c r="W3517" s="64">
        <f>IF($A3517="","",IFERROR(INDEX(계정매핑!$D$5:$D$504,MATCH($F3517&amp;"",계정매핑!$A$5:$A$504,0)),"미매핑"))</f>
        <v/>
      </c>
      <c r="X3517" s="9">
        <f>IF($A3517="","",$F3517&amp;"")</f>
        <v/>
      </c>
      <c r="Y3517" s="94">
        <f>IF($A3517="",0,IF(AE3517="직접",IF(AF3517="비귀속",$P3517,0),$P3517*(1-AG3517)*IFERROR(INDEX(계정대체기준!$F$20:$F$49,MATCH($N3517,계정대체기준!$A$20:$A$49,0)),1)))</f>
        <v/>
      </c>
      <c r="Z3517" s="94">
        <f>IF($A3517="",0,IF(AE3517="직접",IF(AF3517="신계약비",$P3517,0),$P3517*(1-AG3517)*IFERROR(INDEX(계정대체기준!$C$20:$C$49,MATCH($N3517,계정대체기준!$A$20:$A$49,0)),0)))</f>
        <v/>
      </c>
      <c r="AA3517" s="94">
        <f>IF($A3517="",0,IF(AE3517="직접",IF(OR(AF3517="유지비",AF3517="손해조사비"),$P3517,0),$P3517*(1-AG3517)*IFERROR(INDEX(계정대체기준!$D$20:$D$49,MATCH($N3517,계정대체기준!$A$20:$A$49,0)),0)))</f>
        <v/>
      </c>
      <c r="AB3517" s="94">
        <f>IF($A3517="",0,IF(AE3517="직접",IF(AF3517="수금비",$P3517,0),$P3517*(1-AG3517)*IFERROR(INDEX(계정대체기준!$E$20:$E$49,MATCH($N3517,계정대체기준!$A$20:$A$49,0)),0)))</f>
        <v/>
      </c>
      <c r="AC3517" s="9">
        <f>IF(AND($A3517&lt;&gt;"",M3517=설정!$C$20,Z3517&gt;0),Z3517+ROW()/1000000000,"")</f>
        <v/>
      </c>
      <c r="AD3517" s="94">
        <f>IF($A3517="",0,$P3517*AG3517)</f>
        <v/>
      </c>
      <c r="AE3517" s="64">
        <f>IF($A3517="","",IFERROR(INDEX(계정매핑!$E$5:$E$504,MATCH($F3517&amp;"",계정매핑!$A$5:$A$504,0))&amp;"","공통비"))</f>
        <v/>
      </c>
      <c r="AF3517" s="64">
        <f>IF($A3517="","",IF(AE3517="직접",IFERROR(INDEX(계정매핑!$F$5:$F$504,MATCH($F3517&amp;"",계정매핑!$A$5:$A$504,0))&amp;"","비귀속"),""))</f>
        <v/>
      </c>
      <c r="AG3517" s="96">
        <f>IF($A3517="",0,IF(AND(AE3517&lt;&gt;"직접",IFERROR(INDEX(계정매핑!$G$5:$G$504,MATCH($F3517&amp;"",계정매핑!$A$5:$A$504,0))&amp;"","")="유지비",COUNTIF(계정대체기준!$A$6:$A$15,$N3517)&gt;0),IFERROR(INDEX(계정대체기준!$E$6:$E$15,MATCH(VALUE($A3517&amp;""),계정대체기준!$D$6:$D$15,0)),0),0))</f>
        <v/>
      </c>
      <c r="AH3517" s="64">
        <f>IF($A3517="","",IF(AD3517=0,"",IF(OR(COUNTIF(계정대체기준!$A$77:$A$86,$N3517)&gt;0,ISNUMBER(MATCH($X3517,계정대체기준!$D$77:$D$86,0)),ISNUMBER(MATCH($F3517,계정대체기준!$D$77:$D$86,0))),"Y","N")))</f>
        <v/>
      </c>
    </row>
    <row r="3518">
      <c r="A3518" s="92" t="n">
        <v>2026</v>
      </c>
      <c r="B3518" s="92" t="n">
        <v>4</v>
      </c>
      <c r="C3518" s="92" t="inlineStr">
        <is>
          <t>5100000796</t>
        </is>
      </c>
      <c r="D3518" s="95" t="n">
        <v>46126</v>
      </c>
      <c r="E3518" s="92" t="inlineStr">
        <is>
          <t>KR</t>
        </is>
      </c>
      <c r="F3518" s="92" t="n">
        <v>62701000</v>
      </c>
      <c r="G3518" s="92" t="n">
        <v>1301</v>
      </c>
      <c r="H3518" s="93" t="n">
        <v>3200000</v>
      </c>
      <c r="I3518" s="92" t="inlineStr">
        <is>
          <t>경력직 채용공고</t>
        </is>
      </c>
      <c r="J3518" s="92" t="inlineStr">
        <is>
          <t>V10035</t>
        </is>
      </c>
      <c r="K3518" s="92" t="inlineStr">
        <is>
          <t>LL채용</t>
        </is>
      </c>
      <c r="M3518" s="9">
        <f>IF($A3518="","",VALUE($A3518&amp;"")*12+VALUE($B3518&amp;""))</f>
        <v/>
      </c>
      <c r="N3518" s="64">
        <f>IF($A3518="","",IFERROR(INDEX(부서매핑!$C$5:$C$504,MATCH($G3518&amp;"",부서매핑!$A$5:$A$504,0)),"미매핑"))</f>
        <v/>
      </c>
      <c r="O3518" s="9">
        <f>IF($A3518="","",N3518&amp;"|"&amp;$F3518)</f>
        <v/>
      </c>
      <c r="P3518" s="94">
        <f>IF($A3518="",0,$H3518*설정!$C$23)</f>
        <v/>
      </c>
      <c r="Q3518" s="64">
        <f>IF($A3518="","",IF(O3518&lt;&gt;원인분석!$C$9,"",IF(AND(M3518&gt;=원인분석!$C$10,M3518&lt;=원인분석!$C$11),"당기",IF(AND(M3518&gt;=원인분석!$C$12,M3518&lt;=원인분석!$C$13),"비교",""))))</f>
        <v/>
      </c>
      <c r="R3518" s="9">
        <f>IF(Q3518="","",$K3518&amp;"")</f>
        <v/>
      </c>
      <c r="S3518" s="9">
        <f>IF(Q3518="","",IF(MATCH(R3518,$R$5:$R$100000,0)=ROW()-4,ROW(),""))</f>
        <v/>
      </c>
      <c r="T3518" s="9">
        <f>IF(Q3518="당기",ABS(P3518)+ROW()/1000000000,"")</f>
        <v/>
      </c>
      <c r="U3518" s="9">
        <f>IF(Q3518="비교",ABS(P3518)+ROW()/1000000000,"")</f>
        <v/>
      </c>
      <c r="V3518" s="64">
        <f>IF($A3518="","",IF(COUNTIF(변동분석!$E$7:$E$506,O3518)&gt;0,"Y","N"))</f>
        <v/>
      </c>
      <c r="W3518" s="64">
        <f>IF($A3518="","",IFERROR(INDEX(계정매핑!$D$5:$D$504,MATCH($F3518&amp;"",계정매핑!$A$5:$A$504,0)),"미매핑"))</f>
        <v/>
      </c>
      <c r="X3518" s="9">
        <f>IF($A3518="","",$F3518&amp;"")</f>
        <v/>
      </c>
      <c r="Y3518" s="94">
        <f>IF($A3518="",0,IF(AE3518="직접",IF(AF3518="비귀속",$P3518,0),$P3518*(1-AG3518)*IFERROR(INDEX(계정대체기준!$F$20:$F$49,MATCH($N3518,계정대체기준!$A$20:$A$49,0)),1)))</f>
        <v/>
      </c>
      <c r="Z3518" s="94">
        <f>IF($A3518="",0,IF(AE3518="직접",IF(AF3518="신계약비",$P3518,0),$P3518*(1-AG3518)*IFERROR(INDEX(계정대체기준!$C$20:$C$49,MATCH($N3518,계정대체기준!$A$20:$A$49,0)),0)))</f>
        <v/>
      </c>
      <c r="AA3518" s="94">
        <f>IF($A3518="",0,IF(AE3518="직접",IF(OR(AF3518="유지비",AF3518="손해조사비"),$P3518,0),$P3518*(1-AG3518)*IFERROR(INDEX(계정대체기준!$D$20:$D$49,MATCH($N3518,계정대체기준!$A$20:$A$49,0)),0)))</f>
        <v/>
      </c>
      <c r="AB3518" s="94">
        <f>IF($A3518="",0,IF(AE3518="직접",IF(AF3518="수금비",$P3518,0),$P3518*(1-AG3518)*IFERROR(INDEX(계정대체기준!$E$20:$E$49,MATCH($N3518,계정대체기준!$A$20:$A$49,0)),0)))</f>
        <v/>
      </c>
      <c r="AC3518" s="9">
        <f>IF(AND($A3518&lt;&gt;"",M3518=설정!$C$20,Z3518&gt;0),Z3518+ROW()/1000000000,"")</f>
        <v/>
      </c>
      <c r="AD3518" s="94">
        <f>IF($A3518="",0,$P3518*AG3518)</f>
        <v/>
      </c>
      <c r="AE3518" s="64">
        <f>IF($A3518="","",IFERROR(INDEX(계정매핑!$E$5:$E$504,MATCH($F3518&amp;"",계정매핑!$A$5:$A$504,0))&amp;"","공통비"))</f>
        <v/>
      </c>
      <c r="AF3518" s="64">
        <f>IF($A3518="","",IF(AE3518="직접",IFERROR(INDEX(계정매핑!$F$5:$F$504,MATCH($F3518&amp;"",계정매핑!$A$5:$A$504,0))&amp;"","비귀속"),""))</f>
        <v/>
      </c>
      <c r="AG3518" s="96">
        <f>IF($A3518="",0,IF(AND(AE3518&lt;&gt;"직접",IFERROR(INDEX(계정매핑!$G$5:$G$504,MATCH($F3518&amp;"",계정매핑!$A$5:$A$504,0))&amp;"","")="유지비",COUNTIF(계정대체기준!$A$6:$A$15,$N3518)&gt;0),IFERROR(INDEX(계정대체기준!$E$6:$E$15,MATCH(VALUE($A3518&amp;""),계정대체기준!$D$6:$D$15,0)),0),0))</f>
        <v/>
      </c>
      <c r="AH3518" s="64">
        <f>IF($A3518="","",IF(AD3518=0,"",IF(OR(COUNTIF(계정대체기준!$A$77:$A$86,$N3518)&gt;0,ISNUMBER(MATCH($X3518,계정대체기준!$D$77:$D$86,0)),ISNUMBER(MATCH($F3518,계정대체기준!$D$77:$D$86,0))),"Y","N")))</f>
        <v/>
      </c>
    </row>
    <row r="3519">
      <c r="A3519" s="92" t="n">
        <v>2026</v>
      </c>
      <c r="B3519" s="92" t="n">
        <v>4</v>
      </c>
      <c r="C3519" s="92" t="inlineStr">
        <is>
          <t>5100000797</t>
        </is>
      </c>
      <c r="D3519" s="95" t="n">
        <v>46126</v>
      </c>
      <c r="E3519" s="92" t="inlineStr">
        <is>
          <t>KR</t>
        </is>
      </c>
      <c r="F3519" s="92" t="n">
        <v>62902000</v>
      </c>
      <c r="G3519" s="92" t="n">
        <v>1801</v>
      </c>
      <c r="H3519" s="93" t="n">
        <v>1775000</v>
      </c>
      <c r="I3519" s="92" t="inlineStr">
        <is>
          <t>4월 콜 위탁 수수료(건별)</t>
        </is>
      </c>
      <c r="J3519" s="92" t="inlineStr">
        <is>
          <t>V10016</t>
        </is>
      </c>
      <c r="K3519" s="92" t="inlineStr">
        <is>
          <t>J콜센터</t>
        </is>
      </c>
      <c r="M3519" s="9">
        <f>IF($A3519="","",VALUE($A3519&amp;"")*12+VALUE($B3519&amp;""))</f>
        <v/>
      </c>
      <c r="N3519" s="64">
        <f>IF($A3519="","",IFERROR(INDEX(부서매핑!$C$5:$C$504,MATCH($G3519&amp;"",부서매핑!$A$5:$A$504,0)),"미매핑"))</f>
        <v/>
      </c>
      <c r="O3519" s="9">
        <f>IF($A3519="","",N3519&amp;"|"&amp;$F3519)</f>
        <v/>
      </c>
      <c r="P3519" s="94">
        <f>IF($A3519="",0,$H3519*설정!$C$23)</f>
        <v/>
      </c>
      <c r="Q3519" s="64">
        <f>IF($A3519="","",IF(O3519&lt;&gt;원인분석!$C$9,"",IF(AND(M3519&gt;=원인분석!$C$10,M3519&lt;=원인분석!$C$11),"당기",IF(AND(M3519&gt;=원인분석!$C$12,M3519&lt;=원인분석!$C$13),"비교",""))))</f>
        <v/>
      </c>
      <c r="R3519" s="9">
        <f>IF(Q3519="","",$K3519&amp;"")</f>
        <v/>
      </c>
      <c r="S3519" s="9">
        <f>IF(Q3519="","",IF(MATCH(R3519,$R$5:$R$100000,0)=ROW()-4,ROW(),""))</f>
        <v/>
      </c>
      <c r="T3519" s="9">
        <f>IF(Q3519="당기",ABS(P3519)+ROW()/1000000000,"")</f>
        <v/>
      </c>
      <c r="U3519" s="9">
        <f>IF(Q3519="비교",ABS(P3519)+ROW()/1000000000,"")</f>
        <v/>
      </c>
      <c r="V3519" s="64">
        <f>IF($A3519="","",IF(COUNTIF(변동분석!$E$7:$E$506,O3519)&gt;0,"Y","N"))</f>
        <v/>
      </c>
      <c r="W3519" s="64">
        <f>IF($A3519="","",IFERROR(INDEX(계정매핑!$D$5:$D$504,MATCH($F3519&amp;"",계정매핑!$A$5:$A$504,0)),"미매핑"))</f>
        <v/>
      </c>
      <c r="X3519" s="9">
        <f>IF($A3519="","",$F3519&amp;"")</f>
        <v/>
      </c>
      <c r="Y3519" s="94">
        <f>IF($A3519="",0,IF(AE3519="직접",IF(AF3519="비귀속",$P3519,0),$P3519*(1-AG3519)*IFERROR(INDEX(계정대체기준!$F$20:$F$49,MATCH($N3519,계정대체기준!$A$20:$A$49,0)),1)))</f>
        <v/>
      </c>
      <c r="Z3519" s="94">
        <f>IF($A3519="",0,IF(AE3519="직접",IF(AF3519="신계약비",$P3519,0),$P3519*(1-AG3519)*IFERROR(INDEX(계정대체기준!$C$20:$C$49,MATCH($N3519,계정대체기준!$A$20:$A$49,0)),0)))</f>
        <v/>
      </c>
      <c r="AA3519" s="94">
        <f>IF($A3519="",0,IF(AE3519="직접",IF(OR(AF3519="유지비",AF3519="손해조사비"),$P3519,0),$P3519*(1-AG3519)*IFERROR(INDEX(계정대체기준!$D$20:$D$49,MATCH($N3519,계정대체기준!$A$20:$A$49,0)),0)))</f>
        <v/>
      </c>
      <c r="AB3519" s="94">
        <f>IF($A3519="",0,IF(AE3519="직접",IF(AF3519="수금비",$P3519,0),$P3519*(1-AG3519)*IFERROR(INDEX(계정대체기준!$E$20:$E$49,MATCH($N3519,계정대체기준!$A$20:$A$49,0)),0)))</f>
        <v/>
      </c>
      <c r="AC3519" s="9">
        <f>IF(AND($A3519&lt;&gt;"",M3519=설정!$C$20,Z3519&gt;0),Z3519+ROW()/1000000000,"")</f>
        <v/>
      </c>
      <c r="AD3519" s="94">
        <f>IF($A3519="",0,$P3519*AG3519)</f>
        <v/>
      </c>
      <c r="AE3519" s="64">
        <f>IF($A3519="","",IFERROR(INDEX(계정매핑!$E$5:$E$504,MATCH($F3519&amp;"",계정매핑!$A$5:$A$504,0))&amp;"","공통비"))</f>
        <v/>
      </c>
      <c r="AF3519" s="64">
        <f>IF($A3519="","",IF(AE3519="직접",IFERROR(INDEX(계정매핑!$F$5:$F$504,MATCH($F3519&amp;"",계정매핑!$A$5:$A$504,0))&amp;"","비귀속"),""))</f>
        <v/>
      </c>
      <c r="AG3519" s="96">
        <f>IF($A3519="",0,IF(AND(AE3519&lt;&gt;"직접",IFERROR(INDEX(계정매핑!$G$5:$G$504,MATCH($F3519&amp;"",계정매핑!$A$5:$A$504,0))&amp;"","")="유지비",COUNTIF(계정대체기준!$A$6:$A$15,$N3519)&gt;0),IFERROR(INDEX(계정대체기준!$E$6:$E$15,MATCH(VALUE($A3519&amp;""),계정대체기준!$D$6:$D$15,0)),0),0))</f>
        <v/>
      </c>
      <c r="AH3519" s="64">
        <f>IF($A3519="","",IF(AD3519=0,"",IF(OR(COUNTIF(계정대체기준!$A$77:$A$86,$N3519)&gt;0,ISNUMBER(MATCH($X3519,계정대체기준!$D$77:$D$86,0)),ISNUMBER(MATCH($F3519,계정대체기준!$D$77:$D$86,0))),"Y","N")))</f>
        <v/>
      </c>
    </row>
    <row r="3520">
      <c r="A3520" s="92" t="n">
        <v>2026</v>
      </c>
      <c r="B3520" s="92" t="n">
        <v>4</v>
      </c>
      <c r="C3520" s="92" t="inlineStr">
        <is>
          <t>5100000798</t>
        </is>
      </c>
      <c r="D3520" s="95" t="n">
        <v>46126</v>
      </c>
      <c r="E3520" s="92" t="inlineStr">
        <is>
          <t>KR</t>
        </is>
      </c>
      <c r="F3520" s="92" t="n">
        <v>62902000</v>
      </c>
      <c r="G3520" s="92" t="n">
        <v>1801</v>
      </c>
      <c r="H3520" s="93" t="n">
        <v>3000000</v>
      </c>
      <c r="I3520" s="92" t="inlineStr">
        <is>
          <t>4월 업무 위탁 수수료 - X서비스</t>
        </is>
      </c>
      <c r="J3520" s="92" t="inlineStr">
        <is>
          <t>V10020</t>
        </is>
      </c>
      <c r="K3520" s="92" t="inlineStr">
        <is>
          <t>X서비스</t>
        </is>
      </c>
      <c r="M3520" s="9">
        <f>IF($A3520="","",VALUE($A3520&amp;"")*12+VALUE($B3520&amp;""))</f>
        <v/>
      </c>
      <c r="N3520" s="64">
        <f>IF($A3520="","",IFERROR(INDEX(부서매핑!$C$5:$C$504,MATCH($G3520&amp;"",부서매핑!$A$5:$A$504,0)),"미매핑"))</f>
        <v/>
      </c>
      <c r="O3520" s="9">
        <f>IF($A3520="","",N3520&amp;"|"&amp;$F3520)</f>
        <v/>
      </c>
      <c r="P3520" s="94">
        <f>IF($A3520="",0,$H3520*설정!$C$23)</f>
        <v/>
      </c>
      <c r="Q3520" s="64">
        <f>IF($A3520="","",IF(O3520&lt;&gt;원인분석!$C$9,"",IF(AND(M3520&gt;=원인분석!$C$10,M3520&lt;=원인분석!$C$11),"당기",IF(AND(M3520&gt;=원인분석!$C$12,M3520&lt;=원인분석!$C$13),"비교",""))))</f>
        <v/>
      </c>
      <c r="R3520" s="9">
        <f>IF(Q3520="","",$K3520&amp;"")</f>
        <v/>
      </c>
      <c r="S3520" s="9">
        <f>IF(Q3520="","",IF(MATCH(R3520,$R$5:$R$100000,0)=ROW()-4,ROW(),""))</f>
        <v/>
      </c>
      <c r="T3520" s="9">
        <f>IF(Q3520="당기",ABS(P3520)+ROW()/1000000000,"")</f>
        <v/>
      </c>
      <c r="U3520" s="9">
        <f>IF(Q3520="비교",ABS(P3520)+ROW()/1000000000,"")</f>
        <v/>
      </c>
      <c r="V3520" s="64">
        <f>IF($A3520="","",IF(COUNTIF(변동분석!$E$7:$E$506,O3520)&gt;0,"Y","N"))</f>
        <v/>
      </c>
      <c r="W3520" s="64">
        <f>IF($A3520="","",IFERROR(INDEX(계정매핑!$D$5:$D$504,MATCH($F3520&amp;"",계정매핑!$A$5:$A$504,0)),"미매핑"))</f>
        <v/>
      </c>
      <c r="X3520" s="9">
        <f>IF($A3520="","",$F3520&amp;"")</f>
        <v/>
      </c>
      <c r="Y3520" s="94">
        <f>IF($A3520="",0,IF(AE3520="직접",IF(AF3520="비귀속",$P3520,0),$P3520*(1-AG3520)*IFERROR(INDEX(계정대체기준!$F$20:$F$49,MATCH($N3520,계정대체기준!$A$20:$A$49,0)),1)))</f>
        <v/>
      </c>
      <c r="Z3520" s="94">
        <f>IF($A3520="",0,IF(AE3520="직접",IF(AF3520="신계약비",$P3520,0),$P3520*(1-AG3520)*IFERROR(INDEX(계정대체기준!$C$20:$C$49,MATCH($N3520,계정대체기준!$A$20:$A$49,0)),0)))</f>
        <v/>
      </c>
      <c r="AA3520" s="94">
        <f>IF($A3520="",0,IF(AE3520="직접",IF(OR(AF3520="유지비",AF3520="손해조사비"),$P3520,0),$P3520*(1-AG3520)*IFERROR(INDEX(계정대체기준!$D$20:$D$49,MATCH($N3520,계정대체기준!$A$20:$A$49,0)),0)))</f>
        <v/>
      </c>
      <c r="AB3520" s="94">
        <f>IF($A3520="",0,IF(AE3520="직접",IF(AF3520="수금비",$P3520,0),$P3520*(1-AG3520)*IFERROR(INDEX(계정대체기준!$E$20:$E$49,MATCH($N3520,계정대체기준!$A$20:$A$49,0)),0)))</f>
        <v/>
      </c>
      <c r="AC3520" s="9">
        <f>IF(AND($A3520&lt;&gt;"",M3520=설정!$C$20,Z3520&gt;0),Z3520+ROW()/1000000000,"")</f>
        <v/>
      </c>
      <c r="AD3520" s="94">
        <f>IF($A3520="",0,$P3520*AG3520)</f>
        <v/>
      </c>
      <c r="AE3520" s="64">
        <f>IF($A3520="","",IFERROR(INDEX(계정매핑!$E$5:$E$504,MATCH($F3520&amp;"",계정매핑!$A$5:$A$504,0))&amp;"","공통비"))</f>
        <v/>
      </c>
      <c r="AF3520" s="64">
        <f>IF($A3520="","",IF(AE3520="직접",IFERROR(INDEX(계정매핑!$F$5:$F$504,MATCH($F3520&amp;"",계정매핑!$A$5:$A$504,0))&amp;"","비귀속"),""))</f>
        <v/>
      </c>
      <c r="AG3520" s="96">
        <f>IF($A3520="",0,IF(AND(AE3520&lt;&gt;"직접",IFERROR(INDEX(계정매핑!$G$5:$G$504,MATCH($F3520&amp;"",계정매핑!$A$5:$A$504,0))&amp;"","")="유지비",COUNTIF(계정대체기준!$A$6:$A$15,$N3520)&gt;0),IFERROR(INDEX(계정대체기준!$E$6:$E$15,MATCH(VALUE($A3520&amp;""),계정대체기준!$D$6:$D$15,0)),0),0))</f>
        <v/>
      </c>
      <c r="AH3520" s="64">
        <f>IF($A3520="","",IF(AD3520=0,"",IF(OR(COUNTIF(계정대체기준!$A$77:$A$86,$N3520)&gt;0,ISNUMBER(MATCH($X3520,계정대체기준!$D$77:$D$86,0)),ISNUMBER(MATCH($F3520,계정대체기준!$D$77:$D$86,0))),"Y","N")))</f>
        <v/>
      </c>
    </row>
    <row r="3521">
      <c r="A3521" s="92" t="n">
        <v>2026</v>
      </c>
      <c r="B3521" s="92" t="n">
        <v>4</v>
      </c>
      <c r="C3521" s="92" t="inlineStr">
        <is>
          <t>5100000799</t>
        </is>
      </c>
      <c r="D3521" s="95" t="n">
        <v>46126</v>
      </c>
      <c r="E3521" s="92" t="inlineStr">
        <is>
          <t>KR</t>
        </is>
      </c>
      <c r="F3521" s="92" t="n">
        <v>63201000</v>
      </c>
      <c r="G3521" s="92" t="n">
        <v>1601</v>
      </c>
      <c r="H3521" s="93" t="n">
        <v>2047000</v>
      </c>
      <c r="I3521" s="92" t="inlineStr">
        <is>
          <t>4월 차량 유지 - H에너지</t>
        </is>
      </c>
      <c r="J3521" s="92" t="inlineStr">
        <is>
          <t>V10030</t>
        </is>
      </c>
      <c r="K3521" s="92" t="inlineStr">
        <is>
          <t>H에너지</t>
        </is>
      </c>
      <c r="M3521" s="9">
        <f>IF($A3521="","",VALUE($A3521&amp;"")*12+VALUE($B3521&amp;""))</f>
        <v/>
      </c>
      <c r="N3521" s="64">
        <f>IF($A3521="","",IFERROR(INDEX(부서매핑!$C$5:$C$504,MATCH($G3521&amp;"",부서매핑!$A$5:$A$504,0)),"미매핑"))</f>
        <v/>
      </c>
      <c r="O3521" s="9">
        <f>IF($A3521="","",N3521&amp;"|"&amp;$F3521)</f>
        <v/>
      </c>
      <c r="P3521" s="94">
        <f>IF($A3521="",0,$H3521*설정!$C$23)</f>
        <v/>
      </c>
      <c r="Q3521" s="64">
        <f>IF($A3521="","",IF(O3521&lt;&gt;원인분석!$C$9,"",IF(AND(M3521&gt;=원인분석!$C$10,M3521&lt;=원인분석!$C$11),"당기",IF(AND(M3521&gt;=원인분석!$C$12,M3521&lt;=원인분석!$C$13),"비교",""))))</f>
        <v/>
      </c>
      <c r="R3521" s="9">
        <f>IF(Q3521="","",$K3521&amp;"")</f>
        <v/>
      </c>
      <c r="S3521" s="9">
        <f>IF(Q3521="","",IF(MATCH(R3521,$R$5:$R$100000,0)=ROW()-4,ROW(),""))</f>
        <v/>
      </c>
      <c r="T3521" s="9">
        <f>IF(Q3521="당기",ABS(P3521)+ROW()/1000000000,"")</f>
        <v/>
      </c>
      <c r="U3521" s="9">
        <f>IF(Q3521="비교",ABS(P3521)+ROW()/1000000000,"")</f>
        <v/>
      </c>
      <c r="V3521" s="64">
        <f>IF($A3521="","",IF(COUNTIF(변동분석!$E$7:$E$506,O3521)&gt;0,"Y","N"))</f>
        <v/>
      </c>
      <c r="W3521" s="64">
        <f>IF($A3521="","",IFERROR(INDEX(계정매핑!$D$5:$D$504,MATCH($F3521&amp;"",계정매핑!$A$5:$A$504,0)),"미매핑"))</f>
        <v/>
      </c>
      <c r="X3521" s="9">
        <f>IF($A3521="","",$F3521&amp;"")</f>
        <v/>
      </c>
      <c r="Y3521" s="94">
        <f>IF($A3521="",0,IF(AE3521="직접",IF(AF3521="비귀속",$P3521,0),$P3521*(1-AG3521)*IFERROR(INDEX(계정대체기준!$F$20:$F$49,MATCH($N3521,계정대체기준!$A$20:$A$49,0)),1)))</f>
        <v/>
      </c>
      <c r="Z3521" s="94">
        <f>IF($A3521="",0,IF(AE3521="직접",IF(AF3521="신계약비",$P3521,0),$P3521*(1-AG3521)*IFERROR(INDEX(계정대체기준!$C$20:$C$49,MATCH($N3521,계정대체기준!$A$20:$A$49,0)),0)))</f>
        <v/>
      </c>
      <c r="AA3521" s="94">
        <f>IF($A3521="",0,IF(AE3521="직접",IF(OR(AF3521="유지비",AF3521="손해조사비"),$P3521,0),$P3521*(1-AG3521)*IFERROR(INDEX(계정대체기준!$D$20:$D$49,MATCH($N3521,계정대체기준!$A$20:$A$49,0)),0)))</f>
        <v/>
      </c>
      <c r="AB3521" s="94">
        <f>IF($A3521="",0,IF(AE3521="직접",IF(AF3521="수금비",$P3521,0),$P3521*(1-AG3521)*IFERROR(INDEX(계정대체기준!$E$20:$E$49,MATCH($N3521,계정대체기준!$A$20:$A$49,0)),0)))</f>
        <v/>
      </c>
      <c r="AC3521" s="9">
        <f>IF(AND($A3521&lt;&gt;"",M3521=설정!$C$20,Z3521&gt;0),Z3521+ROW()/1000000000,"")</f>
        <v/>
      </c>
      <c r="AD3521" s="94">
        <f>IF($A3521="",0,$P3521*AG3521)</f>
        <v/>
      </c>
      <c r="AE3521" s="64">
        <f>IF($A3521="","",IFERROR(INDEX(계정매핑!$E$5:$E$504,MATCH($F3521&amp;"",계정매핑!$A$5:$A$504,0))&amp;"","공통비"))</f>
        <v/>
      </c>
      <c r="AF3521" s="64">
        <f>IF($A3521="","",IF(AE3521="직접",IFERROR(INDEX(계정매핑!$F$5:$F$504,MATCH($F3521&amp;"",계정매핑!$A$5:$A$504,0))&amp;"","비귀속"),""))</f>
        <v/>
      </c>
      <c r="AG3521" s="96">
        <f>IF($A3521="",0,IF(AND(AE3521&lt;&gt;"직접",IFERROR(INDEX(계정매핑!$G$5:$G$504,MATCH($F3521&amp;"",계정매핑!$A$5:$A$504,0))&amp;"","")="유지비",COUNTIF(계정대체기준!$A$6:$A$15,$N3521)&gt;0),IFERROR(INDEX(계정대체기준!$E$6:$E$15,MATCH(VALUE($A3521&amp;""),계정대체기준!$D$6:$D$15,0)),0),0))</f>
        <v/>
      </c>
      <c r="AH3521" s="64">
        <f>IF($A3521="","",IF(AD3521=0,"",IF(OR(COUNTIF(계정대체기준!$A$77:$A$86,$N3521)&gt;0,ISNUMBER(MATCH($X3521,계정대체기준!$D$77:$D$86,0)),ISNUMBER(MATCH($F3521,계정대체기준!$D$77:$D$86,0))),"Y","N")))</f>
        <v/>
      </c>
    </row>
    <row r="3522">
      <c r="A3522" s="92" t="n">
        <v>2026</v>
      </c>
      <c r="B3522" s="92" t="n">
        <v>4</v>
      </c>
      <c r="C3522" s="92" t="inlineStr">
        <is>
          <t>5100000800</t>
        </is>
      </c>
      <c r="D3522" s="95" t="n">
        <v>46126</v>
      </c>
      <c r="E3522" s="92" t="inlineStr">
        <is>
          <t>KR</t>
        </is>
      </c>
      <c r="F3522" s="92" t="n">
        <v>63501000</v>
      </c>
      <c r="G3522" s="92" t="n">
        <v>1902</v>
      </c>
      <c r="H3522" s="93" t="n">
        <v>323141000</v>
      </c>
      <c r="I3522" s="92" t="inlineStr">
        <is>
          <t>4월 모집수수료 - (전속설계사)</t>
        </is>
      </c>
      <c r="J3522" s="92" t="inlineStr">
        <is>
          <t>V10021</t>
        </is>
      </c>
      <c r="K3522" s="92" t="inlineStr">
        <is>
          <t>(전속설계사)</t>
        </is>
      </c>
      <c r="M3522" s="9">
        <f>IF($A3522="","",VALUE($A3522&amp;"")*12+VALUE($B3522&amp;""))</f>
        <v/>
      </c>
      <c r="N3522" s="64">
        <f>IF($A3522="","",IFERROR(INDEX(부서매핑!$C$5:$C$504,MATCH($G3522&amp;"",부서매핑!$A$5:$A$504,0)),"미매핑"))</f>
        <v/>
      </c>
      <c r="O3522" s="9">
        <f>IF($A3522="","",N3522&amp;"|"&amp;$F3522)</f>
        <v/>
      </c>
      <c r="P3522" s="94">
        <f>IF($A3522="",0,$H3522*설정!$C$23)</f>
        <v/>
      </c>
      <c r="Q3522" s="64">
        <f>IF($A3522="","",IF(O3522&lt;&gt;원인분석!$C$9,"",IF(AND(M3522&gt;=원인분석!$C$10,M3522&lt;=원인분석!$C$11),"당기",IF(AND(M3522&gt;=원인분석!$C$12,M3522&lt;=원인분석!$C$13),"비교",""))))</f>
        <v/>
      </c>
      <c r="R3522" s="9">
        <f>IF(Q3522="","",$K3522&amp;"")</f>
        <v/>
      </c>
      <c r="S3522" s="9">
        <f>IF(Q3522="","",IF(MATCH(R3522,$R$5:$R$100000,0)=ROW()-4,ROW(),""))</f>
        <v/>
      </c>
      <c r="T3522" s="9">
        <f>IF(Q3522="당기",ABS(P3522)+ROW()/1000000000,"")</f>
        <v/>
      </c>
      <c r="U3522" s="9">
        <f>IF(Q3522="비교",ABS(P3522)+ROW()/1000000000,"")</f>
        <v/>
      </c>
      <c r="V3522" s="64">
        <f>IF($A3522="","",IF(COUNTIF(변동분석!$E$7:$E$506,O3522)&gt;0,"Y","N"))</f>
        <v/>
      </c>
      <c r="W3522" s="64">
        <f>IF($A3522="","",IFERROR(INDEX(계정매핑!$D$5:$D$504,MATCH($F3522&amp;"",계정매핑!$A$5:$A$504,0)),"미매핑"))</f>
        <v/>
      </c>
      <c r="X3522" s="9">
        <f>IF($A3522="","",$F3522&amp;"")</f>
        <v/>
      </c>
      <c r="Y3522" s="94">
        <f>IF($A3522="",0,IF(AE3522="직접",IF(AF3522="비귀속",$P3522,0),$P3522*(1-AG3522)*IFERROR(INDEX(계정대체기준!$F$20:$F$49,MATCH($N3522,계정대체기준!$A$20:$A$49,0)),1)))</f>
        <v/>
      </c>
      <c r="Z3522" s="94">
        <f>IF($A3522="",0,IF(AE3522="직접",IF(AF3522="신계약비",$P3522,0),$P3522*(1-AG3522)*IFERROR(INDEX(계정대체기준!$C$20:$C$49,MATCH($N3522,계정대체기준!$A$20:$A$49,0)),0)))</f>
        <v/>
      </c>
      <c r="AA3522" s="94">
        <f>IF($A3522="",0,IF(AE3522="직접",IF(OR(AF3522="유지비",AF3522="손해조사비"),$P3522,0),$P3522*(1-AG3522)*IFERROR(INDEX(계정대체기준!$D$20:$D$49,MATCH($N3522,계정대체기준!$A$20:$A$49,0)),0)))</f>
        <v/>
      </c>
      <c r="AB3522" s="94">
        <f>IF($A3522="",0,IF(AE3522="직접",IF(AF3522="수금비",$P3522,0),$P3522*(1-AG3522)*IFERROR(INDEX(계정대체기준!$E$20:$E$49,MATCH($N3522,계정대체기준!$A$20:$A$49,0)),0)))</f>
        <v/>
      </c>
      <c r="AC3522" s="9">
        <f>IF(AND($A3522&lt;&gt;"",M3522=설정!$C$20,Z3522&gt;0),Z3522+ROW()/1000000000,"")</f>
        <v/>
      </c>
      <c r="AD3522" s="94">
        <f>IF($A3522="",0,$P3522*AG3522)</f>
        <v/>
      </c>
      <c r="AE3522" s="64">
        <f>IF($A3522="","",IFERROR(INDEX(계정매핑!$E$5:$E$504,MATCH($F3522&amp;"",계정매핑!$A$5:$A$504,0))&amp;"","공통비"))</f>
        <v/>
      </c>
      <c r="AF3522" s="64">
        <f>IF($A3522="","",IF(AE3522="직접",IFERROR(INDEX(계정매핑!$F$5:$F$504,MATCH($F3522&amp;"",계정매핑!$A$5:$A$504,0))&amp;"","비귀속"),""))</f>
        <v/>
      </c>
      <c r="AG3522" s="96">
        <f>IF($A3522="",0,IF(AND(AE3522&lt;&gt;"직접",IFERROR(INDEX(계정매핑!$G$5:$G$504,MATCH($F3522&amp;"",계정매핑!$A$5:$A$504,0))&amp;"","")="유지비",COUNTIF(계정대체기준!$A$6:$A$15,$N3522)&gt;0),IFERROR(INDEX(계정대체기준!$E$6:$E$15,MATCH(VALUE($A3522&amp;""),계정대체기준!$D$6:$D$15,0)),0),0))</f>
        <v/>
      </c>
      <c r="AH3522" s="64">
        <f>IF($A3522="","",IF(AD3522=0,"",IF(OR(COUNTIF(계정대체기준!$A$77:$A$86,$N3522)&gt;0,ISNUMBER(MATCH($X3522,계정대체기준!$D$77:$D$86,0)),ISNUMBER(MATCH($F3522,계정대체기준!$D$77:$D$86,0))),"Y","N")))</f>
        <v/>
      </c>
    </row>
    <row r="3523">
      <c r="A3523" s="92" t="n">
        <v>2026</v>
      </c>
      <c r="B3523" s="92" t="n">
        <v>4</v>
      </c>
      <c r="C3523" s="92" t="inlineStr">
        <is>
          <t>5100000801</t>
        </is>
      </c>
      <c r="D3523" s="95" t="n">
        <v>46127</v>
      </c>
      <c r="E3523" s="92" t="inlineStr">
        <is>
          <t>KR</t>
        </is>
      </c>
      <c r="F3523" s="92" t="n">
        <v>62101000</v>
      </c>
      <c r="G3523" s="92" t="n">
        <v>1602</v>
      </c>
      <c r="H3523" s="93" t="n">
        <v>855000</v>
      </c>
      <c r="I3523" s="92" t="inlineStr">
        <is>
          <t>4월 국내출장 - (법인카드)</t>
        </is>
      </c>
      <c r="J3523" s="92" t="inlineStr">
        <is>
          <t>V10010</t>
        </is>
      </c>
      <c r="K3523" s="92" t="inlineStr">
        <is>
          <t>(법인카드)</t>
        </is>
      </c>
      <c r="M3523" s="9">
        <f>IF($A3523="","",VALUE($A3523&amp;"")*12+VALUE($B3523&amp;""))</f>
        <v/>
      </c>
      <c r="N3523" s="64">
        <f>IF($A3523="","",IFERROR(INDEX(부서매핑!$C$5:$C$504,MATCH($G3523&amp;"",부서매핑!$A$5:$A$504,0)),"미매핑"))</f>
        <v/>
      </c>
      <c r="O3523" s="9">
        <f>IF($A3523="","",N3523&amp;"|"&amp;$F3523)</f>
        <v/>
      </c>
      <c r="P3523" s="94">
        <f>IF($A3523="",0,$H3523*설정!$C$23)</f>
        <v/>
      </c>
      <c r="Q3523" s="64">
        <f>IF($A3523="","",IF(O3523&lt;&gt;원인분석!$C$9,"",IF(AND(M3523&gt;=원인분석!$C$10,M3523&lt;=원인분석!$C$11),"당기",IF(AND(M3523&gt;=원인분석!$C$12,M3523&lt;=원인분석!$C$13),"비교",""))))</f>
        <v/>
      </c>
      <c r="R3523" s="9">
        <f>IF(Q3523="","",$K3523&amp;"")</f>
        <v/>
      </c>
      <c r="S3523" s="9">
        <f>IF(Q3523="","",IF(MATCH(R3523,$R$5:$R$100000,0)=ROW()-4,ROW(),""))</f>
        <v/>
      </c>
      <c r="T3523" s="9">
        <f>IF(Q3523="당기",ABS(P3523)+ROW()/1000000000,"")</f>
        <v/>
      </c>
      <c r="U3523" s="9">
        <f>IF(Q3523="비교",ABS(P3523)+ROW()/1000000000,"")</f>
        <v/>
      </c>
      <c r="V3523" s="64">
        <f>IF($A3523="","",IF(COUNTIF(변동분석!$E$7:$E$506,O3523)&gt;0,"Y","N"))</f>
        <v/>
      </c>
      <c r="W3523" s="64">
        <f>IF($A3523="","",IFERROR(INDEX(계정매핑!$D$5:$D$504,MATCH($F3523&amp;"",계정매핑!$A$5:$A$504,0)),"미매핑"))</f>
        <v/>
      </c>
      <c r="X3523" s="9">
        <f>IF($A3523="","",$F3523&amp;"")</f>
        <v/>
      </c>
      <c r="Y3523" s="94">
        <f>IF($A3523="",0,IF(AE3523="직접",IF(AF3523="비귀속",$P3523,0),$P3523*(1-AG3523)*IFERROR(INDEX(계정대체기준!$F$20:$F$49,MATCH($N3523,계정대체기준!$A$20:$A$49,0)),1)))</f>
        <v/>
      </c>
      <c r="Z3523" s="94">
        <f>IF($A3523="",0,IF(AE3523="직접",IF(AF3523="신계약비",$P3523,0),$P3523*(1-AG3523)*IFERROR(INDEX(계정대체기준!$C$20:$C$49,MATCH($N3523,계정대체기준!$A$20:$A$49,0)),0)))</f>
        <v/>
      </c>
      <c r="AA3523" s="94">
        <f>IF($A3523="",0,IF(AE3523="직접",IF(OR(AF3523="유지비",AF3523="손해조사비"),$P3523,0),$P3523*(1-AG3523)*IFERROR(INDEX(계정대체기준!$D$20:$D$49,MATCH($N3523,계정대체기준!$A$20:$A$49,0)),0)))</f>
        <v/>
      </c>
      <c r="AB3523" s="94">
        <f>IF($A3523="",0,IF(AE3523="직접",IF(AF3523="수금비",$P3523,0),$P3523*(1-AG3523)*IFERROR(INDEX(계정대체기준!$E$20:$E$49,MATCH($N3523,계정대체기준!$A$20:$A$49,0)),0)))</f>
        <v/>
      </c>
      <c r="AC3523" s="9">
        <f>IF(AND($A3523&lt;&gt;"",M3523=설정!$C$20,Z3523&gt;0),Z3523+ROW()/1000000000,"")</f>
        <v/>
      </c>
      <c r="AD3523" s="94">
        <f>IF($A3523="",0,$P3523*AG3523)</f>
        <v/>
      </c>
      <c r="AE3523" s="64">
        <f>IF($A3523="","",IFERROR(INDEX(계정매핑!$E$5:$E$504,MATCH($F3523&amp;"",계정매핑!$A$5:$A$504,0))&amp;"","공통비"))</f>
        <v/>
      </c>
      <c r="AF3523" s="64">
        <f>IF($A3523="","",IF(AE3523="직접",IFERROR(INDEX(계정매핑!$F$5:$F$504,MATCH($F3523&amp;"",계정매핑!$A$5:$A$504,0))&amp;"","비귀속"),""))</f>
        <v/>
      </c>
      <c r="AG3523" s="96">
        <f>IF($A3523="",0,IF(AND(AE3523&lt;&gt;"직접",IFERROR(INDEX(계정매핑!$G$5:$G$504,MATCH($F3523&amp;"",계정매핑!$A$5:$A$504,0))&amp;"","")="유지비",COUNTIF(계정대체기준!$A$6:$A$15,$N3523)&gt;0),IFERROR(INDEX(계정대체기준!$E$6:$E$15,MATCH(VALUE($A3523&amp;""),계정대체기준!$D$6:$D$15,0)),0),0))</f>
        <v/>
      </c>
      <c r="AH3523" s="64">
        <f>IF($A3523="","",IF(AD3523=0,"",IF(OR(COUNTIF(계정대체기준!$A$77:$A$86,$N3523)&gt;0,ISNUMBER(MATCH($X3523,계정대체기준!$D$77:$D$86,0)),ISNUMBER(MATCH($F3523,계정대체기준!$D$77:$D$86,0))),"Y","N")))</f>
        <v/>
      </c>
    </row>
    <row r="3524">
      <c r="A3524" s="92" t="n">
        <v>2026</v>
      </c>
      <c r="B3524" s="92" t="n">
        <v>4</v>
      </c>
      <c r="C3524" s="92" t="inlineStr">
        <is>
          <t>5100000802</t>
        </is>
      </c>
      <c r="D3524" s="95" t="n">
        <v>46127</v>
      </c>
      <c r="E3524" s="92" t="inlineStr">
        <is>
          <t>KR</t>
        </is>
      </c>
      <c r="F3524" s="92" t="n">
        <v>62102000</v>
      </c>
      <c r="G3524" s="92" t="n">
        <v>1502</v>
      </c>
      <c r="H3524" s="93" t="n">
        <v>114000</v>
      </c>
      <c r="I3524" s="92" t="inlineStr">
        <is>
          <t>4월 해외출장 - M항공</t>
        </is>
      </c>
      <c r="J3524" s="92" t="inlineStr">
        <is>
          <t>V10001</t>
        </is>
      </c>
      <c r="K3524" s="92" t="inlineStr">
        <is>
          <t>M항공</t>
        </is>
      </c>
      <c r="M3524" s="9">
        <f>IF($A3524="","",VALUE($A3524&amp;"")*12+VALUE($B3524&amp;""))</f>
        <v/>
      </c>
      <c r="N3524" s="64">
        <f>IF($A3524="","",IFERROR(INDEX(부서매핑!$C$5:$C$504,MATCH($G3524&amp;"",부서매핑!$A$5:$A$504,0)),"미매핑"))</f>
        <v/>
      </c>
      <c r="O3524" s="9">
        <f>IF($A3524="","",N3524&amp;"|"&amp;$F3524)</f>
        <v/>
      </c>
      <c r="P3524" s="94">
        <f>IF($A3524="",0,$H3524*설정!$C$23)</f>
        <v/>
      </c>
      <c r="Q3524" s="64">
        <f>IF($A3524="","",IF(O3524&lt;&gt;원인분석!$C$9,"",IF(AND(M3524&gt;=원인분석!$C$10,M3524&lt;=원인분석!$C$11),"당기",IF(AND(M3524&gt;=원인분석!$C$12,M3524&lt;=원인분석!$C$13),"비교",""))))</f>
        <v/>
      </c>
      <c r="R3524" s="9">
        <f>IF(Q3524="","",$K3524&amp;"")</f>
        <v/>
      </c>
      <c r="S3524" s="9">
        <f>IF(Q3524="","",IF(MATCH(R3524,$R$5:$R$100000,0)=ROW()-4,ROW(),""))</f>
        <v/>
      </c>
      <c r="T3524" s="9">
        <f>IF(Q3524="당기",ABS(P3524)+ROW()/1000000000,"")</f>
        <v/>
      </c>
      <c r="U3524" s="9">
        <f>IF(Q3524="비교",ABS(P3524)+ROW()/1000000000,"")</f>
        <v/>
      </c>
      <c r="V3524" s="64">
        <f>IF($A3524="","",IF(COUNTIF(변동분석!$E$7:$E$506,O3524)&gt;0,"Y","N"))</f>
        <v/>
      </c>
      <c r="W3524" s="64">
        <f>IF($A3524="","",IFERROR(INDEX(계정매핑!$D$5:$D$504,MATCH($F3524&amp;"",계정매핑!$A$5:$A$504,0)),"미매핑"))</f>
        <v/>
      </c>
      <c r="X3524" s="9">
        <f>IF($A3524="","",$F3524&amp;"")</f>
        <v/>
      </c>
      <c r="Y3524" s="94">
        <f>IF($A3524="",0,IF(AE3524="직접",IF(AF3524="비귀속",$P3524,0),$P3524*(1-AG3524)*IFERROR(INDEX(계정대체기준!$F$20:$F$49,MATCH($N3524,계정대체기준!$A$20:$A$49,0)),1)))</f>
        <v/>
      </c>
      <c r="Z3524" s="94">
        <f>IF($A3524="",0,IF(AE3524="직접",IF(AF3524="신계약비",$P3524,0),$P3524*(1-AG3524)*IFERROR(INDEX(계정대체기준!$C$20:$C$49,MATCH($N3524,계정대체기준!$A$20:$A$49,0)),0)))</f>
        <v/>
      </c>
      <c r="AA3524" s="94">
        <f>IF($A3524="",0,IF(AE3524="직접",IF(OR(AF3524="유지비",AF3524="손해조사비"),$P3524,0),$P3524*(1-AG3524)*IFERROR(INDEX(계정대체기준!$D$20:$D$49,MATCH($N3524,계정대체기준!$A$20:$A$49,0)),0)))</f>
        <v/>
      </c>
      <c r="AB3524" s="94">
        <f>IF($A3524="",0,IF(AE3524="직접",IF(AF3524="수금비",$P3524,0),$P3524*(1-AG3524)*IFERROR(INDEX(계정대체기준!$E$20:$E$49,MATCH($N3524,계정대체기준!$A$20:$A$49,0)),0)))</f>
        <v/>
      </c>
      <c r="AC3524" s="9">
        <f>IF(AND($A3524&lt;&gt;"",M3524=설정!$C$20,Z3524&gt;0),Z3524+ROW()/1000000000,"")</f>
        <v/>
      </c>
      <c r="AD3524" s="94">
        <f>IF($A3524="",0,$P3524*AG3524)</f>
        <v/>
      </c>
      <c r="AE3524" s="64">
        <f>IF($A3524="","",IFERROR(INDEX(계정매핑!$E$5:$E$504,MATCH($F3524&amp;"",계정매핑!$A$5:$A$504,0))&amp;"","공통비"))</f>
        <v/>
      </c>
      <c r="AF3524" s="64">
        <f>IF($A3524="","",IF(AE3524="직접",IFERROR(INDEX(계정매핑!$F$5:$F$504,MATCH($F3524&amp;"",계정매핑!$A$5:$A$504,0))&amp;"","비귀속"),""))</f>
        <v/>
      </c>
      <c r="AG3524" s="96">
        <f>IF($A3524="",0,IF(AND(AE3524&lt;&gt;"직접",IFERROR(INDEX(계정매핑!$G$5:$G$504,MATCH($F3524&amp;"",계정매핑!$A$5:$A$504,0))&amp;"","")="유지비",COUNTIF(계정대체기준!$A$6:$A$15,$N3524)&gt;0),IFERROR(INDEX(계정대체기준!$E$6:$E$15,MATCH(VALUE($A3524&amp;""),계정대체기준!$D$6:$D$15,0)),0),0))</f>
        <v/>
      </c>
      <c r="AH3524" s="64">
        <f>IF($A3524="","",IF(AD3524=0,"",IF(OR(COUNTIF(계정대체기준!$A$77:$A$86,$N3524)&gt;0,ISNUMBER(MATCH($X3524,계정대체기준!$D$77:$D$86,0)),ISNUMBER(MATCH($F3524,계정대체기준!$D$77:$D$86,0))),"Y","N")))</f>
        <v/>
      </c>
    </row>
    <row r="3525">
      <c r="A3525" s="92" t="n">
        <v>2026</v>
      </c>
      <c r="B3525" s="92" t="n">
        <v>4</v>
      </c>
      <c r="C3525" s="92" t="inlineStr">
        <is>
          <t>5100000803</t>
        </is>
      </c>
      <c r="D3525" s="95" t="n">
        <v>46127</v>
      </c>
      <c r="E3525" s="92" t="inlineStr">
        <is>
          <t>KR</t>
        </is>
      </c>
      <c r="F3525" s="92" t="n">
        <v>62201000</v>
      </c>
      <c r="G3525" s="92" t="n">
        <v>1101</v>
      </c>
      <c r="H3525" s="93" t="n">
        <v>271000</v>
      </c>
      <c r="I3525" s="92" t="inlineStr">
        <is>
          <t>4월 통신요금 - P통신</t>
        </is>
      </c>
      <c r="J3525" s="92" t="inlineStr">
        <is>
          <t>V10014</t>
        </is>
      </c>
      <c r="K3525" s="92" t="inlineStr">
        <is>
          <t>P통신</t>
        </is>
      </c>
      <c r="M3525" s="9">
        <f>IF($A3525="","",VALUE($A3525&amp;"")*12+VALUE($B3525&amp;""))</f>
        <v/>
      </c>
      <c r="N3525" s="64">
        <f>IF($A3525="","",IFERROR(INDEX(부서매핑!$C$5:$C$504,MATCH($G3525&amp;"",부서매핑!$A$5:$A$504,0)),"미매핑"))</f>
        <v/>
      </c>
      <c r="O3525" s="9">
        <f>IF($A3525="","",N3525&amp;"|"&amp;$F3525)</f>
        <v/>
      </c>
      <c r="P3525" s="94">
        <f>IF($A3525="",0,$H3525*설정!$C$23)</f>
        <v/>
      </c>
      <c r="Q3525" s="64">
        <f>IF($A3525="","",IF(O3525&lt;&gt;원인분석!$C$9,"",IF(AND(M3525&gt;=원인분석!$C$10,M3525&lt;=원인분석!$C$11),"당기",IF(AND(M3525&gt;=원인분석!$C$12,M3525&lt;=원인분석!$C$13),"비교",""))))</f>
        <v/>
      </c>
      <c r="R3525" s="9">
        <f>IF(Q3525="","",$K3525&amp;"")</f>
        <v/>
      </c>
      <c r="S3525" s="9">
        <f>IF(Q3525="","",IF(MATCH(R3525,$R$5:$R$100000,0)=ROW()-4,ROW(),""))</f>
        <v/>
      </c>
      <c r="T3525" s="9">
        <f>IF(Q3525="당기",ABS(P3525)+ROW()/1000000000,"")</f>
        <v/>
      </c>
      <c r="U3525" s="9">
        <f>IF(Q3525="비교",ABS(P3525)+ROW()/1000000000,"")</f>
        <v/>
      </c>
      <c r="V3525" s="64">
        <f>IF($A3525="","",IF(COUNTIF(변동분석!$E$7:$E$506,O3525)&gt;0,"Y","N"))</f>
        <v/>
      </c>
      <c r="W3525" s="64">
        <f>IF($A3525="","",IFERROR(INDEX(계정매핑!$D$5:$D$504,MATCH($F3525&amp;"",계정매핑!$A$5:$A$504,0)),"미매핑"))</f>
        <v/>
      </c>
      <c r="X3525" s="9">
        <f>IF($A3525="","",$F3525&amp;"")</f>
        <v/>
      </c>
      <c r="Y3525" s="94">
        <f>IF($A3525="",0,IF(AE3525="직접",IF(AF3525="비귀속",$P3525,0),$P3525*(1-AG3525)*IFERROR(INDEX(계정대체기준!$F$20:$F$49,MATCH($N3525,계정대체기준!$A$20:$A$49,0)),1)))</f>
        <v/>
      </c>
      <c r="Z3525" s="94">
        <f>IF($A3525="",0,IF(AE3525="직접",IF(AF3525="신계약비",$P3525,0),$P3525*(1-AG3525)*IFERROR(INDEX(계정대체기준!$C$20:$C$49,MATCH($N3525,계정대체기준!$A$20:$A$49,0)),0)))</f>
        <v/>
      </c>
      <c r="AA3525" s="94">
        <f>IF($A3525="",0,IF(AE3525="직접",IF(OR(AF3525="유지비",AF3525="손해조사비"),$P3525,0),$P3525*(1-AG3525)*IFERROR(INDEX(계정대체기준!$D$20:$D$49,MATCH($N3525,계정대체기준!$A$20:$A$49,0)),0)))</f>
        <v/>
      </c>
      <c r="AB3525" s="94">
        <f>IF($A3525="",0,IF(AE3525="직접",IF(AF3525="수금비",$P3525,0),$P3525*(1-AG3525)*IFERROR(INDEX(계정대체기준!$E$20:$E$49,MATCH($N3525,계정대체기준!$A$20:$A$49,0)),0)))</f>
        <v/>
      </c>
      <c r="AC3525" s="9">
        <f>IF(AND($A3525&lt;&gt;"",M3525=설정!$C$20,Z3525&gt;0),Z3525+ROW()/1000000000,"")</f>
        <v/>
      </c>
      <c r="AD3525" s="94">
        <f>IF($A3525="",0,$P3525*AG3525)</f>
        <v/>
      </c>
      <c r="AE3525" s="64">
        <f>IF($A3525="","",IFERROR(INDEX(계정매핑!$E$5:$E$504,MATCH($F3525&amp;"",계정매핑!$A$5:$A$504,0))&amp;"","공통비"))</f>
        <v/>
      </c>
      <c r="AF3525" s="64">
        <f>IF($A3525="","",IF(AE3525="직접",IFERROR(INDEX(계정매핑!$F$5:$F$504,MATCH($F3525&amp;"",계정매핑!$A$5:$A$504,0))&amp;"","비귀속"),""))</f>
        <v/>
      </c>
      <c r="AG3525" s="96">
        <f>IF($A3525="",0,IF(AND(AE3525&lt;&gt;"직접",IFERROR(INDEX(계정매핑!$G$5:$G$504,MATCH($F3525&amp;"",계정매핑!$A$5:$A$504,0))&amp;"","")="유지비",COUNTIF(계정대체기준!$A$6:$A$15,$N3525)&gt;0),IFERROR(INDEX(계정대체기준!$E$6:$E$15,MATCH(VALUE($A3525&amp;""),계정대체기준!$D$6:$D$15,0)),0),0))</f>
        <v/>
      </c>
      <c r="AH3525" s="64">
        <f>IF($A3525="","",IF(AD3525=0,"",IF(OR(COUNTIF(계정대체기준!$A$77:$A$86,$N3525)&gt;0,ISNUMBER(MATCH($X3525,계정대체기준!$D$77:$D$86,0)),ISNUMBER(MATCH($F3525,계정대체기준!$D$77:$D$86,0))),"Y","N")))</f>
        <v/>
      </c>
    </row>
    <row r="3526">
      <c r="A3526" s="92" t="n">
        <v>2026</v>
      </c>
      <c r="B3526" s="92" t="n">
        <v>4</v>
      </c>
      <c r="C3526" s="92" t="inlineStr">
        <is>
          <t>5100000804</t>
        </is>
      </c>
      <c r="D3526" s="95" t="n">
        <v>46127</v>
      </c>
      <c r="E3526" s="92" t="inlineStr">
        <is>
          <t>KR</t>
        </is>
      </c>
      <c r="F3526" s="92" t="n">
        <v>62201000</v>
      </c>
      <c r="G3526" s="92" t="n">
        <v>1301</v>
      </c>
      <c r="H3526" s="93" t="n">
        <v>136000</v>
      </c>
      <c r="I3526" s="92" t="inlineStr">
        <is>
          <t>4월 통신요금 - P통신</t>
        </is>
      </c>
      <c r="J3526" s="92" t="inlineStr">
        <is>
          <t>V10014</t>
        </is>
      </c>
      <c r="K3526" s="92" t="inlineStr">
        <is>
          <t>P통신</t>
        </is>
      </c>
      <c r="M3526" s="9">
        <f>IF($A3526="","",VALUE($A3526&amp;"")*12+VALUE($B3526&amp;""))</f>
        <v/>
      </c>
      <c r="N3526" s="64">
        <f>IF($A3526="","",IFERROR(INDEX(부서매핑!$C$5:$C$504,MATCH($G3526&amp;"",부서매핑!$A$5:$A$504,0)),"미매핑"))</f>
        <v/>
      </c>
      <c r="O3526" s="9">
        <f>IF($A3526="","",N3526&amp;"|"&amp;$F3526)</f>
        <v/>
      </c>
      <c r="P3526" s="94">
        <f>IF($A3526="",0,$H3526*설정!$C$23)</f>
        <v/>
      </c>
      <c r="Q3526" s="64">
        <f>IF($A3526="","",IF(O3526&lt;&gt;원인분석!$C$9,"",IF(AND(M3526&gt;=원인분석!$C$10,M3526&lt;=원인분석!$C$11),"당기",IF(AND(M3526&gt;=원인분석!$C$12,M3526&lt;=원인분석!$C$13),"비교",""))))</f>
        <v/>
      </c>
      <c r="R3526" s="9">
        <f>IF(Q3526="","",$K3526&amp;"")</f>
        <v/>
      </c>
      <c r="S3526" s="9">
        <f>IF(Q3526="","",IF(MATCH(R3526,$R$5:$R$100000,0)=ROW()-4,ROW(),""))</f>
        <v/>
      </c>
      <c r="T3526" s="9">
        <f>IF(Q3526="당기",ABS(P3526)+ROW()/1000000000,"")</f>
        <v/>
      </c>
      <c r="U3526" s="9">
        <f>IF(Q3526="비교",ABS(P3526)+ROW()/1000000000,"")</f>
        <v/>
      </c>
      <c r="V3526" s="64">
        <f>IF($A3526="","",IF(COUNTIF(변동분석!$E$7:$E$506,O3526)&gt;0,"Y","N"))</f>
        <v/>
      </c>
      <c r="W3526" s="64">
        <f>IF($A3526="","",IFERROR(INDEX(계정매핑!$D$5:$D$504,MATCH($F3526&amp;"",계정매핑!$A$5:$A$504,0)),"미매핑"))</f>
        <v/>
      </c>
      <c r="X3526" s="9">
        <f>IF($A3526="","",$F3526&amp;"")</f>
        <v/>
      </c>
      <c r="Y3526" s="94">
        <f>IF($A3526="",0,IF(AE3526="직접",IF(AF3526="비귀속",$P3526,0),$P3526*(1-AG3526)*IFERROR(INDEX(계정대체기준!$F$20:$F$49,MATCH($N3526,계정대체기준!$A$20:$A$49,0)),1)))</f>
        <v/>
      </c>
      <c r="Z3526" s="94">
        <f>IF($A3526="",0,IF(AE3526="직접",IF(AF3526="신계약비",$P3526,0),$P3526*(1-AG3526)*IFERROR(INDEX(계정대체기준!$C$20:$C$49,MATCH($N3526,계정대체기준!$A$20:$A$49,0)),0)))</f>
        <v/>
      </c>
      <c r="AA3526" s="94">
        <f>IF($A3526="",0,IF(AE3526="직접",IF(OR(AF3526="유지비",AF3526="손해조사비"),$P3526,0),$P3526*(1-AG3526)*IFERROR(INDEX(계정대체기준!$D$20:$D$49,MATCH($N3526,계정대체기준!$A$20:$A$49,0)),0)))</f>
        <v/>
      </c>
      <c r="AB3526" s="94">
        <f>IF($A3526="",0,IF(AE3526="직접",IF(AF3526="수금비",$P3526,0),$P3526*(1-AG3526)*IFERROR(INDEX(계정대체기준!$E$20:$E$49,MATCH($N3526,계정대체기준!$A$20:$A$49,0)),0)))</f>
        <v/>
      </c>
      <c r="AC3526" s="9">
        <f>IF(AND($A3526&lt;&gt;"",M3526=설정!$C$20,Z3526&gt;0),Z3526+ROW()/1000000000,"")</f>
        <v/>
      </c>
      <c r="AD3526" s="94">
        <f>IF($A3526="",0,$P3526*AG3526)</f>
        <v/>
      </c>
      <c r="AE3526" s="64">
        <f>IF($A3526="","",IFERROR(INDEX(계정매핑!$E$5:$E$504,MATCH($F3526&amp;"",계정매핑!$A$5:$A$504,0))&amp;"","공통비"))</f>
        <v/>
      </c>
      <c r="AF3526" s="64">
        <f>IF($A3526="","",IF(AE3526="직접",IFERROR(INDEX(계정매핑!$F$5:$F$504,MATCH($F3526&amp;"",계정매핑!$A$5:$A$504,0))&amp;"","비귀속"),""))</f>
        <v/>
      </c>
      <c r="AG3526" s="96">
        <f>IF($A3526="",0,IF(AND(AE3526&lt;&gt;"직접",IFERROR(INDEX(계정매핑!$G$5:$G$504,MATCH($F3526&amp;"",계정매핑!$A$5:$A$504,0))&amp;"","")="유지비",COUNTIF(계정대체기준!$A$6:$A$15,$N3526)&gt;0),IFERROR(INDEX(계정대체기준!$E$6:$E$15,MATCH(VALUE($A3526&amp;""),계정대체기준!$D$6:$D$15,0)),0),0))</f>
        <v/>
      </c>
      <c r="AH3526" s="64">
        <f>IF($A3526="","",IF(AD3526=0,"",IF(OR(COUNTIF(계정대체기준!$A$77:$A$86,$N3526)&gt;0,ISNUMBER(MATCH($X3526,계정대체기준!$D$77:$D$86,0)),ISNUMBER(MATCH($F3526,계정대체기준!$D$77:$D$86,0))),"Y","N")))</f>
        <v/>
      </c>
    </row>
    <row r="3527">
      <c r="A3527" s="92" t="n">
        <v>2026</v>
      </c>
      <c r="B3527" s="92" t="n">
        <v>4</v>
      </c>
      <c r="C3527" s="92" t="inlineStr">
        <is>
          <t>5100000805</t>
        </is>
      </c>
      <c r="D3527" s="95" t="n">
        <v>46127</v>
      </c>
      <c r="E3527" s="92" t="inlineStr">
        <is>
          <t>KR</t>
        </is>
      </c>
      <c r="F3527" s="92" t="n">
        <v>62301000</v>
      </c>
      <c r="G3527" s="92" t="n">
        <v>1401</v>
      </c>
      <c r="H3527" s="93" t="n">
        <v>162000</v>
      </c>
      <c r="I3527" s="92" t="inlineStr">
        <is>
          <t>4월 소모품 구입 - Q오피스</t>
        </is>
      </c>
      <c r="J3527" s="92" t="inlineStr">
        <is>
          <t>V10003</t>
        </is>
      </c>
      <c r="K3527" s="92" t="inlineStr">
        <is>
          <t>Q오피스</t>
        </is>
      </c>
      <c r="M3527" s="9">
        <f>IF($A3527="","",VALUE($A3527&amp;"")*12+VALUE($B3527&amp;""))</f>
        <v/>
      </c>
      <c r="N3527" s="64">
        <f>IF($A3527="","",IFERROR(INDEX(부서매핑!$C$5:$C$504,MATCH($G3527&amp;"",부서매핑!$A$5:$A$504,0)),"미매핑"))</f>
        <v/>
      </c>
      <c r="O3527" s="9">
        <f>IF($A3527="","",N3527&amp;"|"&amp;$F3527)</f>
        <v/>
      </c>
      <c r="P3527" s="94">
        <f>IF($A3527="",0,$H3527*설정!$C$23)</f>
        <v/>
      </c>
      <c r="Q3527" s="64">
        <f>IF($A3527="","",IF(O3527&lt;&gt;원인분석!$C$9,"",IF(AND(M3527&gt;=원인분석!$C$10,M3527&lt;=원인분석!$C$11),"당기",IF(AND(M3527&gt;=원인분석!$C$12,M3527&lt;=원인분석!$C$13),"비교",""))))</f>
        <v/>
      </c>
      <c r="R3527" s="9">
        <f>IF(Q3527="","",$K3527&amp;"")</f>
        <v/>
      </c>
      <c r="S3527" s="9">
        <f>IF(Q3527="","",IF(MATCH(R3527,$R$5:$R$100000,0)=ROW()-4,ROW(),""))</f>
        <v/>
      </c>
      <c r="T3527" s="9">
        <f>IF(Q3527="당기",ABS(P3527)+ROW()/1000000000,"")</f>
        <v/>
      </c>
      <c r="U3527" s="9">
        <f>IF(Q3527="비교",ABS(P3527)+ROW()/1000000000,"")</f>
        <v/>
      </c>
      <c r="V3527" s="64">
        <f>IF($A3527="","",IF(COUNTIF(변동분석!$E$7:$E$506,O3527)&gt;0,"Y","N"))</f>
        <v/>
      </c>
      <c r="W3527" s="64">
        <f>IF($A3527="","",IFERROR(INDEX(계정매핑!$D$5:$D$504,MATCH($F3527&amp;"",계정매핑!$A$5:$A$504,0)),"미매핑"))</f>
        <v/>
      </c>
      <c r="X3527" s="9">
        <f>IF($A3527="","",$F3527&amp;"")</f>
        <v/>
      </c>
      <c r="Y3527" s="94">
        <f>IF($A3527="",0,IF(AE3527="직접",IF(AF3527="비귀속",$P3527,0),$P3527*(1-AG3527)*IFERROR(INDEX(계정대체기준!$F$20:$F$49,MATCH($N3527,계정대체기준!$A$20:$A$49,0)),1)))</f>
        <v/>
      </c>
      <c r="Z3527" s="94">
        <f>IF($A3527="",0,IF(AE3527="직접",IF(AF3527="신계약비",$P3527,0),$P3527*(1-AG3527)*IFERROR(INDEX(계정대체기준!$C$20:$C$49,MATCH($N3527,계정대체기준!$A$20:$A$49,0)),0)))</f>
        <v/>
      </c>
      <c r="AA3527" s="94">
        <f>IF($A3527="",0,IF(AE3527="직접",IF(OR(AF3527="유지비",AF3527="손해조사비"),$P3527,0),$P3527*(1-AG3527)*IFERROR(INDEX(계정대체기준!$D$20:$D$49,MATCH($N3527,계정대체기준!$A$20:$A$49,0)),0)))</f>
        <v/>
      </c>
      <c r="AB3527" s="94">
        <f>IF($A3527="",0,IF(AE3527="직접",IF(AF3527="수금비",$P3527,0),$P3527*(1-AG3527)*IFERROR(INDEX(계정대체기준!$E$20:$E$49,MATCH($N3527,계정대체기준!$A$20:$A$49,0)),0)))</f>
        <v/>
      </c>
      <c r="AC3527" s="9">
        <f>IF(AND($A3527&lt;&gt;"",M3527=설정!$C$20,Z3527&gt;0),Z3527+ROW()/1000000000,"")</f>
        <v/>
      </c>
      <c r="AD3527" s="94">
        <f>IF($A3527="",0,$P3527*AG3527)</f>
        <v/>
      </c>
      <c r="AE3527" s="64">
        <f>IF($A3527="","",IFERROR(INDEX(계정매핑!$E$5:$E$504,MATCH($F3527&amp;"",계정매핑!$A$5:$A$504,0))&amp;"","공통비"))</f>
        <v/>
      </c>
      <c r="AF3527" s="64">
        <f>IF($A3527="","",IF(AE3527="직접",IFERROR(INDEX(계정매핑!$F$5:$F$504,MATCH($F3527&amp;"",계정매핑!$A$5:$A$504,0))&amp;"","비귀속"),""))</f>
        <v/>
      </c>
      <c r="AG3527" s="96">
        <f>IF($A3527="",0,IF(AND(AE3527&lt;&gt;"직접",IFERROR(INDEX(계정매핑!$G$5:$G$504,MATCH($F3527&amp;"",계정매핑!$A$5:$A$504,0))&amp;"","")="유지비",COUNTIF(계정대체기준!$A$6:$A$15,$N3527)&gt;0),IFERROR(INDEX(계정대체기준!$E$6:$E$15,MATCH(VALUE($A3527&amp;""),계정대체기준!$D$6:$D$15,0)),0),0))</f>
        <v/>
      </c>
      <c r="AH3527" s="64">
        <f>IF($A3527="","",IF(AD3527=0,"",IF(OR(COUNTIF(계정대체기준!$A$77:$A$86,$N3527)&gt;0,ISNUMBER(MATCH($X3527,계정대체기준!$D$77:$D$86,0)),ISNUMBER(MATCH($F3527,계정대체기준!$D$77:$D$86,0))),"Y","N")))</f>
        <v/>
      </c>
    </row>
    <row r="3528">
      <c r="A3528" s="92" t="n">
        <v>2026</v>
      </c>
      <c r="B3528" s="92" t="n">
        <v>4</v>
      </c>
      <c r="C3528" s="92" t="inlineStr">
        <is>
          <t>5100000806</t>
        </is>
      </c>
      <c r="D3528" s="95" t="n">
        <v>46127</v>
      </c>
      <c r="E3528" s="92" t="inlineStr">
        <is>
          <t>KR</t>
        </is>
      </c>
      <c r="F3528" s="92" t="n">
        <v>62301000</v>
      </c>
      <c r="G3528" s="92" t="n">
        <v>1701</v>
      </c>
      <c r="H3528" s="93" t="n">
        <v>226000</v>
      </c>
      <c r="I3528" s="92" t="inlineStr">
        <is>
          <t>4월 소모품 구입 - Q오피스</t>
        </is>
      </c>
      <c r="J3528" s="92" t="inlineStr">
        <is>
          <t>V10003</t>
        </is>
      </c>
      <c r="K3528" s="92" t="inlineStr">
        <is>
          <t>Q오피스</t>
        </is>
      </c>
      <c r="M3528" s="9">
        <f>IF($A3528="","",VALUE($A3528&amp;"")*12+VALUE($B3528&amp;""))</f>
        <v/>
      </c>
      <c r="N3528" s="64">
        <f>IF($A3528="","",IFERROR(INDEX(부서매핑!$C$5:$C$504,MATCH($G3528&amp;"",부서매핑!$A$5:$A$504,0)),"미매핑"))</f>
        <v/>
      </c>
      <c r="O3528" s="9">
        <f>IF($A3528="","",N3528&amp;"|"&amp;$F3528)</f>
        <v/>
      </c>
      <c r="P3528" s="94">
        <f>IF($A3528="",0,$H3528*설정!$C$23)</f>
        <v/>
      </c>
      <c r="Q3528" s="64">
        <f>IF($A3528="","",IF(O3528&lt;&gt;원인분석!$C$9,"",IF(AND(M3528&gt;=원인분석!$C$10,M3528&lt;=원인분석!$C$11),"당기",IF(AND(M3528&gt;=원인분석!$C$12,M3528&lt;=원인분석!$C$13),"비교",""))))</f>
        <v/>
      </c>
      <c r="R3528" s="9">
        <f>IF(Q3528="","",$K3528&amp;"")</f>
        <v/>
      </c>
      <c r="S3528" s="9">
        <f>IF(Q3528="","",IF(MATCH(R3528,$R$5:$R$100000,0)=ROW()-4,ROW(),""))</f>
        <v/>
      </c>
      <c r="T3528" s="9">
        <f>IF(Q3528="당기",ABS(P3528)+ROW()/1000000000,"")</f>
        <v/>
      </c>
      <c r="U3528" s="9">
        <f>IF(Q3528="비교",ABS(P3528)+ROW()/1000000000,"")</f>
        <v/>
      </c>
      <c r="V3528" s="64">
        <f>IF($A3528="","",IF(COUNTIF(변동분석!$E$7:$E$506,O3528)&gt;0,"Y","N"))</f>
        <v/>
      </c>
      <c r="W3528" s="64">
        <f>IF($A3528="","",IFERROR(INDEX(계정매핑!$D$5:$D$504,MATCH($F3528&amp;"",계정매핑!$A$5:$A$504,0)),"미매핑"))</f>
        <v/>
      </c>
      <c r="X3528" s="9">
        <f>IF($A3528="","",$F3528&amp;"")</f>
        <v/>
      </c>
      <c r="Y3528" s="94">
        <f>IF($A3528="",0,IF(AE3528="직접",IF(AF3528="비귀속",$P3528,0),$P3528*(1-AG3528)*IFERROR(INDEX(계정대체기준!$F$20:$F$49,MATCH($N3528,계정대체기준!$A$20:$A$49,0)),1)))</f>
        <v/>
      </c>
      <c r="Z3528" s="94">
        <f>IF($A3528="",0,IF(AE3528="직접",IF(AF3528="신계약비",$P3528,0),$P3528*(1-AG3528)*IFERROR(INDEX(계정대체기준!$C$20:$C$49,MATCH($N3528,계정대체기준!$A$20:$A$49,0)),0)))</f>
        <v/>
      </c>
      <c r="AA3528" s="94">
        <f>IF($A3528="",0,IF(AE3528="직접",IF(OR(AF3528="유지비",AF3528="손해조사비"),$P3528,0),$P3528*(1-AG3528)*IFERROR(INDEX(계정대체기준!$D$20:$D$49,MATCH($N3528,계정대체기준!$A$20:$A$49,0)),0)))</f>
        <v/>
      </c>
      <c r="AB3528" s="94">
        <f>IF($A3528="",0,IF(AE3528="직접",IF(AF3528="수금비",$P3528,0),$P3528*(1-AG3528)*IFERROR(INDEX(계정대체기준!$E$20:$E$49,MATCH($N3528,계정대체기준!$A$20:$A$49,0)),0)))</f>
        <v/>
      </c>
      <c r="AC3528" s="9">
        <f>IF(AND($A3528&lt;&gt;"",M3528=설정!$C$20,Z3528&gt;0),Z3528+ROW()/1000000000,"")</f>
        <v/>
      </c>
      <c r="AD3528" s="94">
        <f>IF($A3528="",0,$P3528*AG3528)</f>
        <v/>
      </c>
      <c r="AE3528" s="64">
        <f>IF($A3528="","",IFERROR(INDEX(계정매핑!$E$5:$E$504,MATCH($F3528&amp;"",계정매핑!$A$5:$A$504,0))&amp;"","공통비"))</f>
        <v/>
      </c>
      <c r="AF3528" s="64">
        <f>IF($A3528="","",IF(AE3528="직접",IFERROR(INDEX(계정매핑!$F$5:$F$504,MATCH($F3528&amp;"",계정매핑!$A$5:$A$504,0))&amp;"","비귀속"),""))</f>
        <v/>
      </c>
      <c r="AG3528" s="96">
        <f>IF($A3528="",0,IF(AND(AE3528&lt;&gt;"직접",IFERROR(INDEX(계정매핑!$G$5:$G$504,MATCH($F3528&amp;"",계정매핑!$A$5:$A$504,0))&amp;"","")="유지비",COUNTIF(계정대체기준!$A$6:$A$15,$N3528)&gt;0),IFERROR(INDEX(계정대체기준!$E$6:$E$15,MATCH(VALUE($A3528&amp;""),계정대체기준!$D$6:$D$15,0)),0),0))</f>
        <v/>
      </c>
      <c r="AH3528" s="64">
        <f>IF($A3528="","",IF(AD3528=0,"",IF(OR(COUNTIF(계정대체기준!$A$77:$A$86,$N3528)&gt;0,ISNUMBER(MATCH($X3528,계정대체기준!$D$77:$D$86,0)),ISNUMBER(MATCH($F3528,계정대체기준!$D$77:$D$86,0))),"Y","N")))</f>
        <v/>
      </c>
    </row>
    <row r="3529">
      <c r="A3529" s="92" t="n">
        <v>2026</v>
      </c>
      <c r="B3529" s="92" t="n">
        <v>4</v>
      </c>
      <c r="C3529" s="92" t="inlineStr">
        <is>
          <t>5100000807</t>
        </is>
      </c>
      <c r="D3529" s="95" t="n">
        <v>46127</v>
      </c>
      <c r="E3529" s="92" t="inlineStr">
        <is>
          <t>KR</t>
        </is>
      </c>
      <c r="F3529" s="92" t="n">
        <v>62501000</v>
      </c>
      <c r="G3529" s="92" t="n">
        <v>1201</v>
      </c>
      <c r="H3529" s="93" t="n">
        <v>138000</v>
      </c>
      <c r="I3529" s="92" t="inlineStr">
        <is>
          <t>4월 회의 다과 - (법인카드)</t>
        </is>
      </c>
      <c r="J3529" s="92" t="inlineStr">
        <is>
          <t>V10010</t>
        </is>
      </c>
      <c r="K3529" s="92" t="inlineStr">
        <is>
          <t>(법인카드)</t>
        </is>
      </c>
      <c r="M3529" s="9">
        <f>IF($A3529="","",VALUE($A3529&amp;"")*12+VALUE($B3529&amp;""))</f>
        <v/>
      </c>
      <c r="N3529" s="64">
        <f>IF($A3529="","",IFERROR(INDEX(부서매핑!$C$5:$C$504,MATCH($G3529&amp;"",부서매핑!$A$5:$A$504,0)),"미매핑"))</f>
        <v/>
      </c>
      <c r="O3529" s="9">
        <f>IF($A3529="","",N3529&amp;"|"&amp;$F3529)</f>
        <v/>
      </c>
      <c r="P3529" s="94">
        <f>IF($A3529="",0,$H3529*설정!$C$23)</f>
        <v/>
      </c>
      <c r="Q3529" s="64">
        <f>IF($A3529="","",IF(O3529&lt;&gt;원인분석!$C$9,"",IF(AND(M3529&gt;=원인분석!$C$10,M3529&lt;=원인분석!$C$11),"당기",IF(AND(M3529&gt;=원인분석!$C$12,M3529&lt;=원인분석!$C$13),"비교",""))))</f>
        <v/>
      </c>
      <c r="R3529" s="9">
        <f>IF(Q3529="","",$K3529&amp;"")</f>
        <v/>
      </c>
      <c r="S3529" s="9">
        <f>IF(Q3529="","",IF(MATCH(R3529,$R$5:$R$100000,0)=ROW()-4,ROW(),""))</f>
        <v/>
      </c>
      <c r="T3529" s="9">
        <f>IF(Q3529="당기",ABS(P3529)+ROW()/1000000000,"")</f>
        <v/>
      </c>
      <c r="U3529" s="9">
        <f>IF(Q3529="비교",ABS(P3529)+ROW()/1000000000,"")</f>
        <v/>
      </c>
      <c r="V3529" s="64">
        <f>IF($A3529="","",IF(COUNTIF(변동분석!$E$7:$E$506,O3529)&gt;0,"Y","N"))</f>
        <v/>
      </c>
      <c r="W3529" s="64">
        <f>IF($A3529="","",IFERROR(INDEX(계정매핑!$D$5:$D$504,MATCH($F3529&amp;"",계정매핑!$A$5:$A$504,0)),"미매핑"))</f>
        <v/>
      </c>
      <c r="X3529" s="9">
        <f>IF($A3529="","",$F3529&amp;"")</f>
        <v/>
      </c>
      <c r="Y3529" s="94">
        <f>IF($A3529="",0,IF(AE3529="직접",IF(AF3529="비귀속",$P3529,0),$P3529*(1-AG3529)*IFERROR(INDEX(계정대체기준!$F$20:$F$49,MATCH($N3529,계정대체기준!$A$20:$A$49,0)),1)))</f>
        <v/>
      </c>
      <c r="Z3529" s="94">
        <f>IF($A3529="",0,IF(AE3529="직접",IF(AF3529="신계약비",$P3529,0),$P3529*(1-AG3529)*IFERROR(INDEX(계정대체기준!$C$20:$C$49,MATCH($N3529,계정대체기준!$A$20:$A$49,0)),0)))</f>
        <v/>
      </c>
      <c r="AA3529" s="94">
        <f>IF($A3529="",0,IF(AE3529="직접",IF(OR(AF3529="유지비",AF3529="손해조사비"),$P3529,0),$P3529*(1-AG3529)*IFERROR(INDEX(계정대체기준!$D$20:$D$49,MATCH($N3529,계정대체기준!$A$20:$A$49,0)),0)))</f>
        <v/>
      </c>
      <c r="AB3529" s="94">
        <f>IF($A3529="",0,IF(AE3529="직접",IF(AF3529="수금비",$P3529,0),$P3529*(1-AG3529)*IFERROR(INDEX(계정대체기준!$E$20:$E$49,MATCH($N3529,계정대체기준!$A$20:$A$49,0)),0)))</f>
        <v/>
      </c>
      <c r="AC3529" s="9">
        <f>IF(AND($A3529&lt;&gt;"",M3529=설정!$C$20,Z3529&gt;0),Z3529+ROW()/1000000000,"")</f>
        <v/>
      </c>
      <c r="AD3529" s="94">
        <f>IF($A3529="",0,$P3529*AG3529)</f>
        <v/>
      </c>
      <c r="AE3529" s="64">
        <f>IF($A3529="","",IFERROR(INDEX(계정매핑!$E$5:$E$504,MATCH($F3529&amp;"",계정매핑!$A$5:$A$504,0))&amp;"","공통비"))</f>
        <v/>
      </c>
      <c r="AF3529" s="64">
        <f>IF($A3529="","",IF(AE3529="직접",IFERROR(INDEX(계정매핑!$F$5:$F$504,MATCH($F3529&amp;"",계정매핑!$A$5:$A$504,0))&amp;"","비귀속"),""))</f>
        <v/>
      </c>
      <c r="AG3529" s="96">
        <f>IF($A3529="",0,IF(AND(AE3529&lt;&gt;"직접",IFERROR(INDEX(계정매핑!$G$5:$G$504,MATCH($F3529&amp;"",계정매핑!$A$5:$A$504,0))&amp;"","")="유지비",COUNTIF(계정대체기준!$A$6:$A$15,$N3529)&gt;0),IFERROR(INDEX(계정대체기준!$E$6:$E$15,MATCH(VALUE($A3529&amp;""),계정대체기준!$D$6:$D$15,0)),0),0))</f>
        <v/>
      </c>
      <c r="AH3529" s="64">
        <f>IF($A3529="","",IF(AD3529=0,"",IF(OR(COUNTIF(계정대체기준!$A$77:$A$86,$N3529)&gt;0,ISNUMBER(MATCH($X3529,계정대체기준!$D$77:$D$86,0)),ISNUMBER(MATCH($F3529,계정대체기준!$D$77:$D$86,0))),"Y","N")))</f>
        <v/>
      </c>
    </row>
    <row r="3530">
      <c r="A3530" s="92" t="n">
        <v>2026</v>
      </c>
      <c r="B3530" s="92" t="n">
        <v>4</v>
      </c>
      <c r="C3530" s="92" t="inlineStr">
        <is>
          <t>5100000808</t>
        </is>
      </c>
      <c r="D3530" s="95" t="n">
        <v>46127</v>
      </c>
      <c r="E3530" s="92" t="inlineStr">
        <is>
          <t>KR</t>
        </is>
      </c>
      <c r="F3530" s="92" t="n">
        <v>62701000</v>
      </c>
      <c r="G3530" s="92" t="n">
        <v>1502</v>
      </c>
      <c r="H3530" s="93" t="n">
        <v>63357000</v>
      </c>
      <c r="I3530" s="92" t="inlineStr">
        <is>
          <t>4월 광고 집행 - F애드</t>
        </is>
      </c>
      <c r="J3530" s="92" t="inlineStr">
        <is>
          <t>V10023</t>
        </is>
      </c>
      <c r="K3530" s="92" t="inlineStr">
        <is>
          <t>F애드</t>
        </is>
      </c>
      <c r="M3530" s="9">
        <f>IF($A3530="","",VALUE($A3530&amp;"")*12+VALUE($B3530&amp;""))</f>
        <v/>
      </c>
      <c r="N3530" s="64">
        <f>IF($A3530="","",IFERROR(INDEX(부서매핑!$C$5:$C$504,MATCH($G3530&amp;"",부서매핑!$A$5:$A$504,0)),"미매핑"))</f>
        <v/>
      </c>
      <c r="O3530" s="9">
        <f>IF($A3530="","",N3530&amp;"|"&amp;$F3530)</f>
        <v/>
      </c>
      <c r="P3530" s="94">
        <f>IF($A3530="",0,$H3530*설정!$C$23)</f>
        <v/>
      </c>
      <c r="Q3530" s="64">
        <f>IF($A3530="","",IF(O3530&lt;&gt;원인분석!$C$9,"",IF(AND(M3530&gt;=원인분석!$C$10,M3530&lt;=원인분석!$C$11),"당기",IF(AND(M3530&gt;=원인분석!$C$12,M3530&lt;=원인분석!$C$13),"비교",""))))</f>
        <v/>
      </c>
      <c r="R3530" s="9">
        <f>IF(Q3530="","",$K3530&amp;"")</f>
        <v/>
      </c>
      <c r="S3530" s="9">
        <f>IF(Q3530="","",IF(MATCH(R3530,$R$5:$R$100000,0)=ROW()-4,ROW(),""))</f>
        <v/>
      </c>
      <c r="T3530" s="9">
        <f>IF(Q3530="당기",ABS(P3530)+ROW()/1000000000,"")</f>
        <v/>
      </c>
      <c r="U3530" s="9">
        <f>IF(Q3530="비교",ABS(P3530)+ROW()/1000000000,"")</f>
        <v/>
      </c>
      <c r="V3530" s="64">
        <f>IF($A3530="","",IF(COUNTIF(변동분석!$E$7:$E$506,O3530)&gt;0,"Y","N"))</f>
        <v/>
      </c>
      <c r="W3530" s="64">
        <f>IF($A3530="","",IFERROR(INDEX(계정매핑!$D$5:$D$504,MATCH($F3530&amp;"",계정매핑!$A$5:$A$504,0)),"미매핑"))</f>
        <v/>
      </c>
      <c r="X3530" s="9">
        <f>IF($A3530="","",$F3530&amp;"")</f>
        <v/>
      </c>
      <c r="Y3530" s="94">
        <f>IF($A3530="",0,IF(AE3530="직접",IF(AF3530="비귀속",$P3530,0),$P3530*(1-AG3530)*IFERROR(INDEX(계정대체기준!$F$20:$F$49,MATCH($N3530,계정대체기준!$A$20:$A$49,0)),1)))</f>
        <v/>
      </c>
      <c r="Z3530" s="94">
        <f>IF($A3530="",0,IF(AE3530="직접",IF(AF3530="신계약비",$P3530,0),$P3530*(1-AG3530)*IFERROR(INDEX(계정대체기준!$C$20:$C$49,MATCH($N3530,계정대체기준!$A$20:$A$49,0)),0)))</f>
        <v/>
      </c>
      <c r="AA3530" s="94">
        <f>IF($A3530="",0,IF(AE3530="직접",IF(OR(AF3530="유지비",AF3530="손해조사비"),$P3530,0),$P3530*(1-AG3530)*IFERROR(INDEX(계정대체기준!$D$20:$D$49,MATCH($N3530,계정대체기준!$A$20:$A$49,0)),0)))</f>
        <v/>
      </c>
      <c r="AB3530" s="94">
        <f>IF($A3530="",0,IF(AE3530="직접",IF(AF3530="수금비",$P3530,0),$P3530*(1-AG3530)*IFERROR(INDEX(계정대체기준!$E$20:$E$49,MATCH($N3530,계정대체기준!$A$20:$A$49,0)),0)))</f>
        <v/>
      </c>
      <c r="AC3530" s="9">
        <f>IF(AND($A3530&lt;&gt;"",M3530=설정!$C$20,Z3530&gt;0),Z3530+ROW()/1000000000,"")</f>
        <v/>
      </c>
      <c r="AD3530" s="94">
        <f>IF($A3530="",0,$P3530*AG3530)</f>
        <v/>
      </c>
      <c r="AE3530" s="64">
        <f>IF($A3530="","",IFERROR(INDEX(계정매핑!$E$5:$E$504,MATCH($F3530&amp;"",계정매핑!$A$5:$A$504,0))&amp;"","공통비"))</f>
        <v/>
      </c>
      <c r="AF3530" s="64">
        <f>IF($A3530="","",IF(AE3530="직접",IFERROR(INDEX(계정매핑!$F$5:$F$504,MATCH($F3530&amp;"",계정매핑!$A$5:$A$504,0))&amp;"","비귀속"),""))</f>
        <v/>
      </c>
      <c r="AG3530" s="96">
        <f>IF($A3530="",0,IF(AND(AE3530&lt;&gt;"직접",IFERROR(INDEX(계정매핑!$G$5:$G$504,MATCH($F3530&amp;"",계정매핑!$A$5:$A$504,0))&amp;"","")="유지비",COUNTIF(계정대체기준!$A$6:$A$15,$N3530)&gt;0),IFERROR(INDEX(계정대체기준!$E$6:$E$15,MATCH(VALUE($A3530&amp;""),계정대체기준!$D$6:$D$15,0)),0),0))</f>
        <v/>
      </c>
      <c r="AH3530" s="64">
        <f>IF($A3530="","",IF(AD3530=0,"",IF(OR(COUNTIF(계정대체기준!$A$77:$A$86,$N3530)&gt;0,ISNUMBER(MATCH($X3530,계정대체기준!$D$77:$D$86,0)),ISNUMBER(MATCH($F3530,계정대체기준!$D$77:$D$86,0))),"Y","N")))</f>
        <v/>
      </c>
    </row>
    <row r="3531">
      <c r="A3531" s="92" t="n">
        <v>2026</v>
      </c>
      <c r="B3531" s="92" t="n">
        <v>4</v>
      </c>
      <c r="C3531" s="92" t="inlineStr">
        <is>
          <t>5100000809</t>
        </is>
      </c>
      <c r="D3531" s="95" t="n">
        <v>46127</v>
      </c>
      <c r="E3531" s="92" t="inlineStr">
        <is>
          <t>KR</t>
        </is>
      </c>
      <c r="F3531" s="92" t="n">
        <v>63001000</v>
      </c>
      <c r="G3531" s="92" t="n">
        <v>1701</v>
      </c>
      <c r="H3531" s="93" t="n">
        <v>26623000</v>
      </c>
      <c r="I3531" s="92" t="inlineStr">
        <is>
          <t>4월 SW 유지보수 - Y소프트</t>
        </is>
      </c>
      <c r="J3531" s="92" t="inlineStr">
        <is>
          <t>V10017</t>
        </is>
      </c>
      <c r="K3531" s="92" t="inlineStr">
        <is>
          <t>Y소프트</t>
        </is>
      </c>
      <c r="M3531" s="9">
        <f>IF($A3531="","",VALUE($A3531&amp;"")*12+VALUE($B3531&amp;""))</f>
        <v/>
      </c>
      <c r="N3531" s="64">
        <f>IF($A3531="","",IFERROR(INDEX(부서매핑!$C$5:$C$504,MATCH($G3531&amp;"",부서매핑!$A$5:$A$504,0)),"미매핑"))</f>
        <v/>
      </c>
      <c r="O3531" s="9">
        <f>IF($A3531="","",N3531&amp;"|"&amp;$F3531)</f>
        <v/>
      </c>
      <c r="P3531" s="94">
        <f>IF($A3531="",0,$H3531*설정!$C$23)</f>
        <v/>
      </c>
      <c r="Q3531" s="64">
        <f>IF($A3531="","",IF(O3531&lt;&gt;원인분석!$C$9,"",IF(AND(M3531&gt;=원인분석!$C$10,M3531&lt;=원인분석!$C$11),"당기",IF(AND(M3531&gt;=원인분석!$C$12,M3531&lt;=원인분석!$C$13),"비교",""))))</f>
        <v/>
      </c>
      <c r="R3531" s="9">
        <f>IF(Q3531="","",$K3531&amp;"")</f>
        <v/>
      </c>
      <c r="S3531" s="9">
        <f>IF(Q3531="","",IF(MATCH(R3531,$R$5:$R$100000,0)=ROW()-4,ROW(),""))</f>
        <v/>
      </c>
      <c r="T3531" s="9">
        <f>IF(Q3531="당기",ABS(P3531)+ROW()/1000000000,"")</f>
        <v/>
      </c>
      <c r="U3531" s="9">
        <f>IF(Q3531="비교",ABS(P3531)+ROW()/1000000000,"")</f>
        <v/>
      </c>
      <c r="V3531" s="64">
        <f>IF($A3531="","",IF(COUNTIF(변동분석!$E$7:$E$506,O3531)&gt;0,"Y","N"))</f>
        <v/>
      </c>
      <c r="W3531" s="64">
        <f>IF($A3531="","",IFERROR(INDEX(계정매핑!$D$5:$D$504,MATCH($F3531&amp;"",계정매핑!$A$5:$A$504,0)),"미매핑"))</f>
        <v/>
      </c>
      <c r="X3531" s="9">
        <f>IF($A3531="","",$F3531&amp;"")</f>
        <v/>
      </c>
      <c r="Y3531" s="94">
        <f>IF($A3531="",0,IF(AE3531="직접",IF(AF3531="비귀속",$P3531,0),$P3531*(1-AG3531)*IFERROR(INDEX(계정대체기준!$F$20:$F$49,MATCH($N3531,계정대체기준!$A$20:$A$49,0)),1)))</f>
        <v/>
      </c>
      <c r="Z3531" s="94">
        <f>IF($A3531="",0,IF(AE3531="직접",IF(AF3531="신계약비",$P3531,0),$P3531*(1-AG3531)*IFERROR(INDEX(계정대체기준!$C$20:$C$49,MATCH($N3531,계정대체기준!$A$20:$A$49,0)),0)))</f>
        <v/>
      </c>
      <c r="AA3531" s="94">
        <f>IF($A3531="",0,IF(AE3531="직접",IF(OR(AF3531="유지비",AF3531="손해조사비"),$P3531,0),$P3531*(1-AG3531)*IFERROR(INDEX(계정대체기준!$D$20:$D$49,MATCH($N3531,계정대체기준!$A$20:$A$49,0)),0)))</f>
        <v/>
      </c>
      <c r="AB3531" s="94">
        <f>IF($A3531="",0,IF(AE3531="직접",IF(AF3531="수금비",$P3531,0),$P3531*(1-AG3531)*IFERROR(INDEX(계정대체기준!$E$20:$E$49,MATCH($N3531,계정대체기준!$A$20:$A$49,0)),0)))</f>
        <v/>
      </c>
      <c r="AC3531" s="9">
        <f>IF(AND($A3531&lt;&gt;"",M3531=설정!$C$20,Z3531&gt;0),Z3531+ROW()/1000000000,"")</f>
        <v/>
      </c>
      <c r="AD3531" s="94">
        <f>IF($A3531="",0,$P3531*AG3531)</f>
        <v/>
      </c>
      <c r="AE3531" s="64">
        <f>IF($A3531="","",IFERROR(INDEX(계정매핑!$E$5:$E$504,MATCH($F3531&amp;"",계정매핑!$A$5:$A$504,0))&amp;"","공통비"))</f>
        <v/>
      </c>
      <c r="AF3531" s="64">
        <f>IF($A3531="","",IF(AE3531="직접",IFERROR(INDEX(계정매핑!$F$5:$F$504,MATCH($F3531&amp;"",계정매핑!$A$5:$A$504,0))&amp;"","비귀속"),""))</f>
        <v/>
      </c>
      <c r="AG3531" s="96">
        <f>IF($A3531="",0,IF(AND(AE3531&lt;&gt;"직접",IFERROR(INDEX(계정매핑!$G$5:$G$504,MATCH($F3531&amp;"",계정매핑!$A$5:$A$504,0))&amp;"","")="유지비",COUNTIF(계정대체기준!$A$6:$A$15,$N3531)&gt;0),IFERROR(INDEX(계정대체기준!$E$6:$E$15,MATCH(VALUE($A3531&amp;""),계정대체기준!$D$6:$D$15,0)),0),0))</f>
        <v/>
      </c>
      <c r="AH3531" s="64">
        <f>IF($A3531="","",IF(AD3531=0,"",IF(OR(COUNTIF(계정대체기준!$A$77:$A$86,$N3531)&gt;0,ISNUMBER(MATCH($X3531,계정대체기준!$D$77:$D$86,0)),ISNUMBER(MATCH($F3531,계정대체기준!$D$77:$D$86,0))),"Y","N")))</f>
        <v/>
      </c>
    </row>
    <row r="3532">
      <c r="A3532" s="92" t="n">
        <v>2026</v>
      </c>
      <c r="B3532" s="92" t="n">
        <v>4</v>
      </c>
      <c r="C3532" s="92" t="inlineStr">
        <is>
          <t>5100000810</t>
        </is>
      </c>
      <c r="D3532" s="95" t="n">
        <v>46127</v>
      </c>
      <c r="E3532" s="92" t="inlineStr">
        <is>
          <t>KR</t>
        </is>
      </c>
      <c r="F3532" s="92" t="n">
        <v>63101000</v>
      </c>
      <c r="G3532" s="92" t="n">
        <v>1602</v>
      </c>
      <c r="H3532" s="93" t="n">
        <v>5815000</v>
      </c>
      <c r="I3532" s="92" t="inlineStr">
        <is>
          <t>4월 사무실 임차료 - AA빌딩</t>
        </is>
      </c>
      <c r="J3532" s="92" t="inlineStr">
        <is>
          <t>V10007</t>
        </is>
      </c>
      <c r="K3532" s="92" t="inlineStr">
        <is>
          <t>AA빌딩</t>
        </is>
      </c>
      <c r="M3532" s="9">
        <f>IF($A3532="","",VALUE($A3532&amp;"")*12+VALUE($B3532&amp;""))</f>
        <v/>
      </c>
      <c r="N3532" s="64">
        <f>IF($A3532="","",IFERROR(INDEX(부서매핑!$C$5:$C$504,MATCH($G3532&amp;"",부서매핑!$A$5:$A$504,0)),"미매핑"))</f>
        <v/>
      </c>
      <c r="O3532" s="9">
        <f>IF($A3532="","",N3532&amp;"|"&amp;$F3532)</f>
        <v/>
      </c>
      <c r="P3532" s="94">
        <f>IF($A3532="",0,$H3532*설정!$C$23)</f>
        <v/>
      </c>
      <c r="Q3532" s="64">
        <f>IF($A3532="","",IF(O3532&lt;&gt;원인분석!$C$9,"",IF(AND(M3532&gt;=원인분석!$C$10,M3532&lt;=원인분석!$C$11),"당기",IF(AND(M3532&gt;=원인분석!$C$12,M3532&lt;=원인분석!$C$13),"비교",""))))</f>
        <v/>
      </c>
      <c r="R3532" s="9">
        <f>IF(Q3532="","",$K3532&amp;"")</f>
        <v/>
      </c>
      <c r="S3532" s="9">
        <f>IF(Q3532="","",IF(MATCH(R3532,$R$5:$R$100000,0)=ROW()-4,ROW(),""))</f>
        <v/>
      </c>
      <c r="T3532" s="9">
        <f>IF(Q3532="당기",ABS(P3532)+ROW()/1000000000,"")</f>
        <v/>
      </c>
      <c r="U3532" s="9">
        <f>IF(Q3532="비교",ABS(P3532)+ROW()/1000000000,"")</f>
        <v/>
      </c>
      <c r="V3532" s="64">
        <f>IF($A3532="","",IF(COUNTIF(변동분석!$E$7:$E$506,O3532)&gt;0,"Y","N"))</f>
        <v/>
      </c>
      <c r="W3532" s="64">
        <f>IF($A3532="","",IFERROR(INDEX(계정매핑!$D$5:$D$504,MATCH($F3532&amp;"",계정매핑!$A$5:$A$504,0)),"미매핑"))</f>
        <v/>
      </c>
      <c r="X3532" s="9">
        <f>IF($A3532="","",$F3532&amp;"")</f>
        <v/>
      </c>
      <c r="Y3532" s="94">
        <f>IF($A3532="",0,IF(AE3532="직접",IF(AF3532="비귀속",$P3532,0),$P3532*(1-AG3532)*IFERROR(INDEX(계정대체기준!$F$20:$F$49,MATCH($N3532,계정대체기준!$A$20:$A$49,0)),1)))</f>
        <v/>
      </c>
      <c r="Z3532" s="94">
        <f>IF($A3532="",0,IF(AE3532="직접",IF(AF3532="신계약비",$P3532,0),$P3532*(1-AG3532)*IFERROR(INDEX(계정대체기준!$C$20:$C$49,MATCH($N3532,계정대체기준!$A$20:$A$49,0)),0)))</f>
        <v/>
      </c>
      <c r="AA3532" s="94">
        <f>IF($A3532="",0,IF(AE3532="직접",IF(OR(AF3532="유지비",AF3532="손해조사비"),$P3532,0),$P3532*(1-AG3532)*IFERROR(INDEX(계정대체기준!$D$20:$D$49,MATCH($N3532,계정대체기준!$A$20:$A$49,0)),0)))</f>
        <v/>
      </c>
      <c r="AB3532" s="94">
        <f>IF($A3532="",0,IF(AE3532="직접",IF(AF3532="수금비",$P3532,0),$P3532*(1-AG3532)*IFERROR(INDEX(계정대체기준!$E$20:$E$49,MATCH($N3532,계정대체기준!$A$20:$A$49,0)),0)))</f>
        <v/>
      </c>
      <c r="AC3532" s="9">
        <f>IF(AND($A3532&lt;&gt;"",M3532=설정!$C$20,Z3532&gt;0),Z3532+ROW()/1000000000,"")</f>
        <v/>
      </c>
      <c r="AD3532" s="94">
        <f>IF($A3532="",0,$P3532*AG3532)</f>
        <v/>
      </c>
      <c r="AE3532" s="64">
        <f>IF($A3532="","",IFERROR(INDEX(계정매핑!$E$5:$E$504,MATCH($F3532&amp;"",계정매핑!$A$5:$A$504,0))&amp;"","공통비"))</f>
        <v/>
      </c>
      <c r="AF3532" s="64">
        <f>IF($A3532="","",IF(AE3532="직접",IFERROR(INDEX(계정매핑!$F$5:$F$504,MATCH($F3532&amp;"",계정매핑!$A$5:$A$504,0))&amp;"","비귀속"),""))</f>
        <v/>
      </c>
      <c r="AG3532" s="96">
        <f>IF($A3532="",0,IF(AND(AE3532&lt;&gt;"직접",IFERROR(INDEX(계정매핑!$G$5:$G$504,MATCH($F3532&amp;"",계정매핑!$A$5:$A$504,0))&amp;"","")="유지비",COUNTIF(계정대체기준!$A$6:$A$15,$N3532)&gt;0),IFERROR(INDEX(계정대체기준!$E$6:$E$15,MATCH(VALUE($A3532&amp;""),계정대체기준!$D$6:$D$15,0)),0),0))</f>
        <v/>
      </c>
      <c r="AH3532" s="64">
        <f>IF($A3532="","",IF(AD3532=0,"",IF(OR(COUNTIF(계정대체기준!$A$77:$A$86,$N3532)&gt;0,ISNUMBER(MATCH($X3532,계정대체기준!$D$77:$D$86,0)),ISNUMBER(MATCH($F3532,계정대체기준!$D$77:$D$86,0))),"Y","N")))</f>
        <v/>
      </c>
    </row>
    <row r="3533">
      <c r="A3533" s="92" t="n">
        <v>2026</v>
      </c>
      <c r="B3533" s="92" t="n">
        <v>4</v>
      </c>
      <c r="C3533" s="92" t="inlineStr">
        <is>
          <t>5100000811</t>
        </is>
      </c>
      <c r="D3533" s="95" t="n">
        <v>46127</v>
      </c>
      <c r="E3533" s="92" t="inlineStr">
        <is>
          <t>KR</t>
        </is>
      </c>
      <c r="F3533" s="92" t="n">
        <v>63502000</v>
      </c>
      <c r="G3533" s="92" t="n">
        <v>1902</v>
      </c>
      <c r="H3533" s="93" t="n">
        <v>119108000</v>
      </c>
      <c r="I3533" s="92" t="inlineStr">
        <is>
          <t>4월 유지수수료 - (전속설계사)</t>
        </is>
      </c>
      <c r="J3533" s="92" t="inlineStr">
        <is>
          <t>V10021</t>
        </is>
      </c>
      <c r="K3533" s="92" t="inlineStr">
        <is>
          <t>(전속설계사)</t>
        </is>
      </c>
      <c r="M3533" s="9">
        <f>IF($A3533="","",VALUE($A3533&amp;"")*12+VALUE($B3533&amp;""))</f>
        <v/>
      </c>
      <c r="N3533" s="64">
        <f>IF($A3533="","",IFERROR(INDEX(부서매핑!$C$5:$C$504,MATCH($G3533&amp;"",부서매핑!$A$5:$A$504,0)),"미매핑"))</f>
        <v/>
      </c>
      <c r="O3533" s="9">
        <f>IF($A3533="","",N3533&amp;"|"&amp;$F3533)</f>
        <v/>
      </c>
      <c r="P3533" s="94">
        <f>IF($A3533="",0,$H3533*설정!$C$23)</f>
        <v/>
      </c>
      <c r="Q3533" s="64">
        <f>IF($A3533="","",IF(O3533&lt;&gt;원인분석!$C$9,"",IF(AND(M3533&gt;=원인분석!$C$10,M3533&lt;=원인분석!$C$11),"당기",IF(AND(M3533&gt;=원인분석!$C$12,M3533&lt;=원인분석!$C$13),"비교",""))))</f>
        <v/>
      </c>
      <c r="R3533" s="9">
        <f>IF(Q3533="","",$K3533&amp;"")</f>
        <v/>
      </c>
      <c r="S3533" s="9">
        <f>IF(Q3533="","",IF(MATCH(R3533,$R$5:$R$100000,0)=ROW()-4,ROW(),""))</f>
        <v/>
      </c>
      <c r="T3533" s="9">
        <f>IF(Q3533="당기",ABS(P3533)+ROW()/1000000000,"")</f>
        <v/>
      </c>
      <c r="U3533" s="9">
        <f>IF(Q3533="비교",ABS(P3533)+ROW()/1000000000,"")</f>
        <v/>
      </c>
      <c r="V3533" s="64">
        <f>IF($A3533="","",IF(COUNTIF(변동분석!$E$7:$E$506,O3533)&gt;0,"Y","N"))</f>
        <v/>
      </c>
      <c r="W3533" s="64">
        <f>IF($A3533="","",IFERROR(INDEX(계정매핑!$D$5:$D$504,MATCH($F3533&amp;"",계정매핑!$A$5:$A$504,0)),"미매핑"))</f>
        <v/>
      </c>
      <c r="X3533" s="9">
        <f>IF($A3533="","",$F3533&amp;"")</f>
        <v/>
      </c>
      <c r="Y3533" s="94">
        <f>IF($A3533="",0,IF(AE3533="직접",IF(AF3533="비귀속",$P3533,0),$P3533*(1-AG3533)*IFERROR(INDEX(계정대체기준!$F$20:$F$49,MATCH($N3533,계정대체기준!$A$20:$A$49,0)),1)))</f>
        <v/>
      </c>
      <c r="Z3533" s="94">
        <f>IF($A3533="",0,IF(AE3533="직접",IF(AF3533="신계약비",$P3533,0),$P3533*(1-AG3533)*IFERROR(INDEX(계정대체기준!$C$20:$C$49,MATCH($N3533,계정대체기준!$A$20:$A$49,0)),0)))</f>
        <v/>
      </c>
      <c r="AA3533" s="94">
        <f>IF($A3533="",0,IF(AE3533="직접",IF(OR(AF3533="유지비",AF3533="손해조사비"),$P3533,0),$P3533*(1-AG3533)*IFERROR(INDEX(계정대체기준!$D$20:$D$49,MATCH($N3533,계정대체기준!$A$20:$A$49,0)),0)))</f>
        <v/>
      </c>
      <c r="AB3533" s="94">
        <f>IF($A3533="",0,IF(AE3533="직접",IF(AF3533="수금비",$P3533,0),$P3533*(1-AG3533)*IFERROR(INDEX(계정대체기준!$E$20:$E$49,MATCH($N3533,계정대체기준!$A$20:$A$49,0)),0)))</f>
        <v/>
      </c>
      <c r="AC3533" s="9">
        <f>IF(AND($A3533&lt;&gt;"",M3533=설정!$C$20,Z3533&gt;0),Z3533+ROW()/1000000000,"")</f>
        <v/>
      </c>
      <c r="AD3533" s="94">
        <f>IF($A3533="",0,$P3533*AG3533)</f>
        <v/>
      </c>
      <c r="AE3533" s="64">
        <f>IF($A3533="","",IFERROR(INDEX(계정매핑!$E$5:$E$504,MATCH($F3533&amp;"",계정매핑!$A$5:$A$504,0))&amp;"","공통비"))</f>
        <v/>
      </c>
      <c r="AF3533" s="64">
        <f>IF($A3533="","",IF(AE3533="직접",IFERROR(INDEX(계정매핑!$F$5:$F$504,MATCH($F3533&amp;"",계정매핑!$A$5:$A$504,0))&amp;"","비귀속"),""))</f>
        <v/>
      </c>
      <c r="AG3533" s="96">
        <f>IF($A3533="",0,IF(AND(AE3533&lt;&gt;"직접",IFERROR(INDEX(계정매핑!$G$5:$G$504,MATCH($F3533&amp;"",계정매핑!$A$5:$A$504,0))&amp;"","")="유지비",COUNTIF(계정대체기준!$A$6:$A$15,$N3533)&gt;0),IFERROR(INDEX(계정대체기준!$E$6:$E$15,MATCH(VALUE($A3533&amp;""),계정대체기준!$D$6:$D$15,0)),0),0))</f>
        <v/>
      </c>
      <c r="AH3533" s="64">
        <f>IF($A3533="","",IF(AD3533=0,"",IF(OR(COUNTIF(계정대체기준!$A$77:$A$86,$N3533)&gt;0,ISNUMBER(MATCH($X3533,계정대체기준!$D$77:$D$86,0)),ISNUMBER(MATCH($F3533,계정대체기준!$D$77:$D$86,0))),"Y","N")))</f>
        <v/>
      </c>
    </row>
    <row r="3534">
      <c r="A3534" s="92" t="n">
        <v>2026</v>
      </c>
      <c r="B3534" s="92" t="n">
        <v>4</v>
      </c>
      <c r="C3534" s="92" t="inlineStr">
        <is>
          <t>5100000812</t>
        </is>
      </c>
      <c r="D3534" s="95" t="n">
        <v>46128</v>
      </c>
      <c r="E3534" s="92" t="inlineStr">
        <is>
          <t>KR</t>
        </is>
      </c>
      <c r="F3534" s="92" t="n">
        <v>62101000</v>
      </c>
      <c r="G3534" s="92" t="n">
        <v>1301</v>
      </c>
      <c r="H3534" s="93" t="n">
        <v>336000</v>
      </c>
      <c r="I3534" s="92" t="inlineStr">
        <is>
          <t>4월 국내출장 - M항공</t>
        </is>
      </c>
      <c r="J3534" s="92" t="inlineStr">
        <is>
          <t>V10001</t>
        </is>
      </c>
      <c r="K3534" s="92" t="inlineStr">
        <is>
          <t>M항공</t>
        </is>
      </c>
      <c r="M3534" s="9">
        <f>IF($A3534="","",VALUE($A3534&amp;"")*12+VALUE($B3534&amp;""))</f>
        <v/>
      </c>
      <c r="N3534" s="64">
        <f>IF($A3534="","",IFERROR(INDEX(부서매핑!$C$5:$C$504,MATCH($G3534&amp;"",부서매핑!$A$5:$A$504,0)),"미매핑"))</f>
        <v/>
      </c>
      <c r="O3534" s="9">
        <f>IF($A3534="","",N3534&amp;"|"&amp;$F3534)</f>
        <v/>
      </c>
      <c r="P3534" s="94">
        <f>IF($A3534="",0,$H3534*설정!$C$23)</f>
        <v/>
      </c>
      <c r="Q3534" s="64">
        <f>IF($A3534="","",IF(O3534&lt;&gt;원인분석!$C$9,"",IF(AND(M3534&gt;=원인분석!$C$10,M3534&lt;=원인분석!$C$11),"당기",IF(AND(M3534&gt;=원인분석!$C$12,M3534&lt;=원인분석!$C$13),"비교",""))))</f>
        <v/>
      </c>
      <c r="R3534" s="9">
        <f>IF(Q3534="","",$K3534&amp;"")</f>
        <v/>
      </c>
      <c r="S3534" s="9">
        <f>IF(Q3534="","",IF(MATCH(R3534,$R$5:$R$100000,0)=ROW()-4,ROW(),""))</f>
        <v/>
      </c>
      <c r="T3534" s="9">
        <f>IF(Q3534="당기",ABS(P3534)+ROW()/1000000000,"")</f>
        <v/>
      </c>
      <c r="U3534" s="9">
        <f>IF(Q3534="비교",ABS(P3534)+ROW()/1000000000,"")</f>
        <v/>
      </c>
      <c r="V3534" s="64">
        <f>IF($A3534="","",IF(COUNTIF(변동분석!$E$7:$E$506,O3534)&gt;0,"Y","N"))</f>
        <v/>
      </c>
      <c r="W3534" s="64">
        <f>IF($A3534="","",IFERROR(INDEX(계정매핑!$D$5:$D$504,MATCH($F3534&amp;"",계정매핑!$A$5:$A$504,0)),"미매핑"))</f>
        <v/>
      </c>
      <c r="X3534" s="9">
        <f>IF($A3534="","",$F3534&amp;"")</f>
        <v/>
      </c>
      <c r="Y3534" s="94">
        <f>IF($A3534="",0,IF(AE3534="직접",IF(AF3534="비귀속",$P3534,0),$P3534*(1-AG3534)*IFERROR(INDEX(계정대체기준!$F$20:$F$49,MATCH($N3534,계정대체기준!$A$20:$A$49,0)),1)))</f>
        <v/>
      </c>
      <c r="Z3534" s="94">
        <f>IF($A3534="",0,IF(AE3534="직접",IF(AF3534="신계약비",$P3534,0),$P3534*(1-AG3534)*IFERROR(INDEX(계정대체기준!$C$20:$C$49,MATCH($N3534,계정대체기준!$A$20:$A$49,0)),0)))</f>
        <v/>
      </c>
      <c r="AA3534" s="94">
        <f>IF($A3534="",0,IF(AE3534="직접",IF(OR(AF3534="유지비",AF3534="손해조사비"),$P3534,0),$P3534*(1-AG3534)*IFERROR(INDEX(계정대체기준!$D$20:$D$49,MATCH($N3534,계정대체기준!$A$20:$A$49,0)),0)))</f>
        <v/>
      </c>
      <c r="AB3534" s="94">
        <f>IF($A3534="",0,IF(AE3534="직접",IF(AF3534="수금비",$P3534,0),$P3534*(1-AG3534)*IFERROR(INDEX(계정대체기준!$E$20:$E$49,MATCH($N3534,계정대체기준!$A$20:$A$49,0)),0)))</f>
        <v/>
      </c>
      <c r="AC3534" s="9">
        <f>IF(AND($A3534&lt;&gt;"",M3534=설정!$C$20,Z3534&gt;0),Z3534+ROW()/1000000000,"")</f>
        <v/>
      </c>
      <c r="AD3534" s="94">
        <f>IF($A3534="",0,$P3534*AG3534)</f>
        <v/>
      </c>
      <c r="AE3534" s="64">
        <f>IF($A3534="","",IFERROR(INDEX(계정매핑!$E$5:$E$504,MATCH($F3534&amp;"",계정매핑!$A$5:$A$504,0))&amp;"","공통비"))</f>
        <v/>
      </c>
      <c r="AF3534" s="64">
        <f>IF($A3534="","",IF(AE3534="직접",IFERROR(INDEX(계정매핑!$F$5:$F$504,MATCH($F3534&amp;"",계정매핑!$A$5:$A$504,0))&amp;"","비귀속"),""))</f>
        <v/>
      </c>
      <c r="AG3534" s="96">
        <f>IF($A3534="",0,IF(AND(AE3534&lt;&gt;"직접",IFERROR(INDEX(계정매핑!$G$5:$G$504,MATCH($F3534&amp;"",계정매핑!$A$5:$A$504,0))&amp;"","")="유지비",COUNTIF(계정대체기준!$A$6:$A$15,$N3534)&gt;0),IFERROR(INDEX(계정대체기준!$E$6:$E$15,MATCH(VALUE($A3534&amp;""),계정대체기준!$D$6:$D$15,0)),0),0))</f>
        <v/>
      </c>
      <c r="AH3534" s="64">
        <f>IF($A3534="","",IF(AD3534=0,"",IF(OR(COUNTIF(계정대체기준!$A$77:$A$86,$N3534)&gt;0,ISNUMBER(MATCH($X3534,계정대체기준!$D$77:$D$86,0)),ISNUMBER(MATCH($F3534,계정대체기준!$D$77:$D$86,0))),"Y","N")))</f>
        <v/>
      </c>
    </row>
    <row r="3535">
      <c r="A3535" s="92" t="n">
        <v>2026</v>
      </c>
      <c r="B3535" s="92" t="n">
        <v>4</v>
      </c>
      <c r="C3535" s="92" t="inlineStr">
        <is>
          <t>5100000813</t>
        </is>
      </c>
      <c r="D3535" s="95" t="n">
        <v>46128</v>
      </c>
      <c r="E3535" s="92" t="inlineStr">
        <is>
          <t>KR</t>
        </is>
      </c>
      <c r="F3535" s="92" t="n">
        <v>62101000</v>
      </c>
      <c r="G3535" s="92" t="n">
        <v>1501</v>
      </c>
      <c r="H3535" s="93" t="n">
        <v>331000</v>
      </c>
      <c r="I3535" s="92" t="inlineStr">
        <is>
          <t>4월 국내출장 - M항공</t>
        </is>
      </c>
      <c r="J3535" s="92" t="inlineStr">
        <is>
          <t>V10001</t>
        </is>
      </c>
      <c r="K3535" s="92" t="inlineStr">
        <is>
          <t>M항공</t>
        </is>
      </c>
      <c r="M3535" s="9">
        <f>IF($A3535="","",VALUE($A3535&amp;"")*12+VALUE($B3535&amp;""))</f>
        <v/>
      </c>
      <c r="N3535" s="64">
        <f>IF($A3535="","",IFERROR(INDEX(부서매핑!$C$5:$C$504,MATCH($G3535&amp;"",부서매핑!$A$5:$A$504,0)),"미매핑"))</f>
        <v/>
      </c>
      <c r="O3535" s="9">
        <f>IF($A3535="","",N3535&amp;"|"&amp;$F3535)</f>
        <v/>
      </c>
      <c r="P3535" s="94">
        <f>IF($A3535="",0,$H3535*설정!$C$23)</f>
        <v/>
      </c>
      <c r="Q3535" s="64">
        <f>IF($A3535="","",IF(O3535&lt;&gt;원인분석!$C$9,"",IF(AND(M3535&gt;=원인분석!$C$10,M3535&lt;=원인분석!$C$11),"당기",IF(AND(M3535&gt;=원인분석!$C$12,M3535&lt;=원인분석!$C$13),"비교",""))))</f>
        <v/>
      </c>
      <c r="R3535" s="9">
        <f>IF(Q3535="","",$K3535&amp;"")</f>
        <v/>
      </c>
      <c r="S3535" s="9">
        <f>IF(Q3535="","",IF(MATCH(R3535,$R$5:$R$100000,0)=ROW()-4,ROW(),""))</f>
        <v/>
      </c>
      <c r="T3535" s="9">
        <f>IF(Q3535="당기",ABS(P3535)+ROW()/1000000000,"")</f>
        <v/>
      </c>
      <c r="U3535" s="9">
        <f>IF(Q3535="비교",ABS(P3535)+ROW()/1000000000,"")</f>
        <v/>
      </c>
      <c r="V3535" s="64">
        <f>IF($A3535="","",IF(COUNTIF(변동분석!$E$7:$E$506,O3535)&gt;0,"Y","N"))</f>
        <v/>
      </c>
      <c r="W3535" s="64">
        <f>IF($A3535="","",IFERROR(INDEX(계정매핑!$D$5:$D$504,MATCH($F3535&amp;"",계정매핑!$A$5:$A$504,0)),"미매핑"))</f>
        <v/>
      </c>
      <c r="X3535" s="9">
        <f>IF($A3535="","",$F3535&amp;"")</f>
        <v/>
      </c>
      <c r="Y3535" s="94">
        <f>IF($A3535="",0,IF(AE3535="직접",IF(AF3535="비귀속",$P3535,0),$P3535*(1-AG3535)*IFERROR(INDEX(계정대체기준!$F$20:$F$49,MATCH($N3535,계정대체기준!$A$20:$A$49,0)),1)))</f>
        <v/>
      </c>
      <c r="Z3535" s="94">
        <f>IF($A3535="",0,IF(AE3535="직접",IF(AF3535="신계약비",$P3535,0),$P3535*(1-AG3535)*IFERROR(INDEX(계정대체기준!$C$20:$C$49,MATCH($N3535,계정대체기준!$A$20:$A$49,0)),0)))</f>
        <v/>
      </c>
      <c r="AA3535" s="94">
        <f>IF($A3535="",0,IF(AE3535="직접",IF(OR(AF3535="유지비",AF3535="손해조사비"),$P3535,0),$P3535*(1-AG3535)*IFERROR(INDEX(계정대체기준!$D$20:$D$49,MATCH($N3535,계정대체기준!$A$20:$A$49,0)),0)))</f>
        <v/>
      </c>
      <c r="AB3535" s="94">
        <f>IF($A3535="",0,IF(AE3535="직접",IF(AF3535="수금비",$P3535,0),$P3535*(1-AG3535)*IFERROR(INDEX(계정대체기준!$E$20:$E$49,MATCH($N3535,계정대체기준!$A$20:$A$49,0)),0)))</f>
        <v/>
      </c>
      <c r="AC3535" s="9">
        <f>IF(AND($A3535&lt;&gt;"",M3535=설정!$C$20,Z3535&gt;0),Z3535+ROW()/1000000000,"")</f>
        <v/>
      </c>
      <c r="AD3535" s="94">
        <f>IF($A3535="",0,$P3535*AG3535)</f>
        <v/>
      </c>
      <c r="AE3535" s="64">
        <f>IF($A3535="","",IFERROR(INDEX(계정매핑!$E$5:$E$504,MATCH($F3535&amp;"",계정매핑!$A$5:$A$504,0))&amp;"","공통비"))</f>
        <v/>
      </c>
      <c r="AF3535" s="64">
        <f>IF($A3535="","",IF(AE3535="직접",IFERROR(INDEX(계정매핑!$F$5:$F$504,MATCH($F3535&amp;"",계정매핑!$A$5:$A$504,0))&amp;"","비귀속"),""))</f>
        <v/>
      </c>
      <c r="AG3535" s="96">
        <f>IF($A3535="",0,IF(AND(AE3535&lt;&gt;"직접",IFERROR(INDEX(계정매핑!$G$5:$G$504,MATCH($F3535&amp;"",계정매핑!$A$5:$A$504,0))&amp;"","")="유지비",COUNTIF(계정대체기준!$A$6:$A$15,$N3535)&gt;0),IFERROR(INDEX(계정대체기준!$E$6:$E$15,MATCH(VALUE($A3535&amp;""),계정대체기준!$D$6:$D$15,0)),0),0))</f>
        <v/>
      </c>
      <c r="AH3535" s="64">
        <f>IF($A3535="","",IF(AD3535=0,"",IF(OR(COUNTIF(계정대체기준!$A$77:$A$86,$N3535)&gt;0,ISNUMBER(MATCH($X3535,계정대체기준!$D$77:$D$86,0)),ISNUMBER(MATCH($F3535,계정대체기준!$D$77:$D$86,0))),"Y","N")))</f>
        <v/>
      </c>
    </row>
    <row r="3536">
      <c r="A3536" s="92" t="n">
        <v>2026</v>
      </c>
      <c r="B3536" s="92" t="n">
        <v>4</v>
      </c>
      <c r="C3536" s="92" t="inlineStr">
        <is>
          <t>5100000814</t>
        </is>
      </c>
      <c r="D3536" s="95" t="n">
        <v>46128</v>
      </c>
      <c r="E3536" s="92" t="inlineStr">
        <is>
          <t>KR</t>
        </is>
      </c>
      <c r="F3536" s="92" t="n">
        <v>62101000</v>
      </c>
      <c r="G3536" s="92" t="n">
        <v>1701</v>
      </c>
      <c r="H3536" s="93" t="n">
        <v>131000</v>
      </c>
      <c r="I3536" s="92" t="inlineStr">
        <is>
          <t>4월 국내출장 - (법인카드)</t>
        </is>
      </c>
      <c r="J3536" s="92" t="inlineStr">
        <is>
          <t>V10010</t>
        </is>
      </c>
      <c r="K3536" s="92" t="inlineStr">
        <is>
          <t>(법인카드)</t>
        </is>
      </c>
      <c r="M3536" s="9">
        <f>IF($A3536="","",VALUE($A3536&amp;"")*12+VALUE($B3536&amp;""))</f>
        <v/>
      </c>
      <c r="N3536" s="64">
        <f>IF($A3536="","",IFERROR(INDEX(부서매핑!$C$5:$C$504,MATCH($G3536&amp;"",부서매핑!$A$5:$A$504,0)),"미매핑"))</f>
        <v/>
      </c>
      <c r="O3536" s="9">
        <f>IF($A3536="","",N3536&amp;"|"&amp;$F3536)</f>
        <v/>
      </c>
      <c r="P3536" s="94">
        <f>IF($A3536="",0,$H3536*설정!$C$23)</f>
        <v/>
      </c>
      <c r="Q3536" s="64">
        <f>IF($A3536="","",IF(O3536&lt;&gt;원인분석!$C$9,"",IF(AND(M3536&gt;=원인분석!$C$10,M3536&lt;=원인분석!$C$11),"당기",IF(AND(M3536&gt;=원인분석!$C$12,M3536&lt;=원인분석!$C$13),"비교",""))))</f>
        <v/>
      </c>
      <c r="R3536" s="9">
        <f>IF(Q3536="","",$K3536&amp;"")</f>
        <v/>
      </c>
      <c r="S3536" s="9">
        <f>IF(Q3536="","",IF(MATCH(R3536,$R$5:$R$100000,0)=ROW()-4,ROW(),""))</f>
        <v/>
      </c>
      <c r="T3536" s="9">
        <f>IF(Q3536="당기",ABS(P3536)+ROW()/1000000000,"")</f>
        <v/>
      </c>
      <c r="U3536" s="9">
        <f>IF(Q3536="비교",ABS(P3536)+ROW()/1000000000,"")</f>
        <v/>
      </c>
      <c r="V3536" s="64">
        <f>IF($A3536="","",IF(COUNTIF(변동분석!$E$7:$E$506,O3536)&gt;0,"Y","N"))</f>
        <v/>
      </c>
      <c r="W3536" s="64">
        <f>IF($A3536="","",IFERROR(INDEX(계정매핑!$D$5:$D$504,MATCH($F3536&amp;"",계정매핑!$A$5:$A$504,0)),"미매핑"))</f>
        <v/>
      </c>
      <c r="X3536" s="9">
        <f>IF($A3536="","",$F3536&amp;"")</f>
        <v/>
      </c>
      <c r="Y3536" s="94">
        <f>IF($A3536="",0,IF(AE3536="직접",IF(AF3536="비귀속",$P3536,0),$P3536*(1-AG3536)*IFERROR(INDEX(계정대체기준!$F$20:$F$49,MATCH($N3536,계정대체기준!$A$20:$A$49,0)),1)))</f>
        <v/>
      </c>
      <c r="Z3536" s="94">
        <f>IF($A3536="",0,IF(AE3536="직접",IF(AF3536="신계약비",$P3536,0),$P3536*(1-AG3536)*IFERROR(INDEX(계정대체기준!$C$20:$C$49,MATCH($N3536,계정대체기준!$A$20:$A$49,0)),0)))</f>
        <v/>
      </c>
      <c r="AA3536" s="94">
        <f>IF($A3536="",0,IF(AE3536="직접",IF(OR(AF3536="유지비",AF3536="손해조사비"),$P3536,0),$P3536*(1-AG3536)*IFERROR(INDEX(계정대체기준!$D$20:$D$49,MATCH($N3536,계정대체기준!$A$20:$A$49,0)),0)))</f>
        <v/>
      </c>
      <c r="AB3536" s="94">
        <f>IF($A3536="",0,IF(AE3536="직접",IF(AF3536="수금비",$P3536,0),$P3536*(1-AG3536)*IFERROR(INDEX(계정대체기준!$E$20:$E$49,MATCH($N3536,계정대체기준!$A$20:$A$49,0)),0)))</f>
        <v/>
      </c>
      <c r="AC3536" s="9">
        <f>IF(AND($A3536&lt;&gt;"",M3536=설정!$C$20,Z3536&gt;0),Z3536+ROW()/1000000000,"")</f>
        <v/>
      </c>
      <c r="AD3536" s="94">
        <f>IF($A3536="",0,$P3536*AG3536)</f>
        <v/>
      </c>
      <c r="AE3536" s="64">
        <f>IF($A3536="","",IFERROR(INDEX(계정매핑!$E$5:$E$504,MATCH($F3536&amp;"",계정매핑!$A$5:$A$504,0))&amp;"","공통비"))</f>
        <v/>
      </c>
      <c r="AF3536" s="64">
        <f>IF($A3536="","",IF(AE3536="직접",IFERROR(INDEX(계정매핑!$F$5:$F$504,MATCH($F3536&amp;"",계정매핑!$A$5:$A$504,0))&amp;"","비귀속"),""))</f>
        <v/>
      </c>
      <c r="AG3536" s="96">
        <f>IF($A3536="",0,IF(AND(AE3536&lt;&gt;"직접",IFERROR(INDEX(계정매핑!$G$5:$G$504,MATCH($F3536&amp;"",계정매핑!$A$5:$A$504,0))&amp;"","")="유지비",COUNTIF(계정대체기준!$A$6:$A$15,$N3536)&gt;0),IFERROR(INDEX(계정대체기준!$E$6:$E$15,MATCH(VALUE($A3536&amp;""),계정대체기준!$D$6:$D$15,0)),0),0))</f>
        <v/>
      </c>
      <c r="AH3536" s="64">
        <f>IF($A3536="","",IF(AD3536=0,"",IF(OR(COUNTIF(계정대체기준!$A$77:$A$86,$N3536)&gt;0,ISNUMBER(MATCH($X3536,계정대체기준!$D$77:$D$86,0)),ISNUMBER(MATCH($F3536,계정대체기준!$D$77:$D$86,0))),"Y","N")))</f>
        <v/>
      </c>
    </row>
    <row r="3537">
      <c r="A3537" s="92" t="n">
        <v>2026</v>
      </c>
      <c r="B3537" s="92" t="n">
        <v>4</v>
      </c>
      <c r="C3537" s="92" t="inlineStr">
        <is>
          <t>5100000815</t>
        </is>
      </c>
      <c r="D3537" s="95" t="n">
        <v>46128</v>
      </c>
      <c r="E3537" s="92" t="inlineStr">
        <is>
          <t>KR</t>
        </is>
      </c>
      <c r="F3537" s="92" t="n">
        <v>62201000</v>
      </c>
      <c r="G3537" s="92" t="n">
        <v>1601</v>
      </c>
      <c r="H3537" s="93" t="n">
        <v>934000</v>
      </c>
      <c r="I3537" s="92" t="inlineStr">
        <is>
          <t>4월 통신요금 - O텔레콤</t>
        </is>
      </c>
      <c r="J3537" s="92" t="inlineStr">
        <is>
          <t>V10002</t>
        </is>
      </c>
      <c r="K3537" s="92" t="inlineStr">
        <is>
          <t>O텔레콤</t>
        </is>
      </c>
      <c r="M3537" s="9">
        <f>IF($A3537="","",VALUE($A3537&amp;"")*12+VALUE($B3537&amp;""))</f>
        <v/>
      </c>
      <c r="N3537" s="64">
        <f>IF($A3537="","",IFERROR(INDEX(부서매핑!$C$5:$C$504,MATCH($G3537&amp;"",부서매핑!$A$5:$A$504,0)),"미매핑"))</f>
        <v/>
      </c>
      <c r="O3537" s="9">
        <f>IF($A3537="","",N3537&amp;"|"&amp;$F3537)</f>
        <v/>
      </c>
      <c r="P3537" s="94">
        <f>IF($A3537="",0,$H3537*설정!$C$23)</f>
        <v/>
      </c>
      <c r="Q3537" s="64">
        <f>IF($A3537="","",IF(O3537&lt;&gt;원인분석!$C$9,"",IF(AND(M3537&gt;=원인분석!$C$10,M3537&lt;=원인분석!$C$11),"당기",IF(AND(M3537&gt;=원인분석!$C$12,M3537&lt;=원인분석!$C$13),"비교",""))))</f>
        <v/>
      </c>
      <c r="R3537" s="9">
        <f>IF(Q3537="","",$K3537&amp;"")</f>
        <v/>
      </c>
      <c r="S3537" s="9">
        <f>IF(Q3537="","",IF(MATCH(R3537,$R$5:$R$100000,0)=ROW()-4,ROW(),""))</f>
        <v/>
      </c>
      <c r="T3537" s="9">
        <f>IF(Q3537="당기",ABS(P3537)+ROW()/1000000000,"")</f>
        <v/>
      </c>
      <c r="U3537" s="9">
        <f>IF(Q3537="비교",ABS(P3537)+ROW()/1000000000,"")</f>
        <v/>
      </c>
      <c r="V3537" s="64">
        <f>IF($A3537="","",IF(COUNTIF(변동분석!$E$7:$E$506,O3537)&gt;0,"Y","N"))</f>
        <v/>
      </c>
      <c r="W3537" s="64">
        <f>IF($A3537="","",IFERROR(INDEX(계정매핑!$D$5:$D$504,MATCH($F3537&amp;"",계정매핑!$A$5:$A$504,0)),"미매핑"))</f>
        <v/>
      </c>
      <c r="X3537" s="9">
        <f>IF($A3537="","",$F3537&amp;"")</f>
        <v/>
      </c>
      <c r="Y3537" s="94">
        <f>IF($A3537="",0,IF(AE3537="직접",IF(AF3537="비귀속",$P3537,0),$P3537*(1-AG3537)*IFERROR(INDEX(계정대체기준!$F$20:$F$49,MATCH($N3537,계정대체기준!$A$20:$A$49,0)),1)))</f>
        <v/>
      </c>
      <c r="Z3537" s="94">
        <f>IF($A3537="",0,IF(AE3537="직접",IF(AF3537="신계약비",$P3537,0),$P3537*(1-AG3537)*IFERROR(INDEX(계정대체기준!$C$20:$C$49,MATCH($N3537,계정대체기준!$A$20:$A$49,0)),0)))</f>
        <v/>
      </c>
      <c r="AA3537" s="94">
        <f>IF($A3537="",0,IF(AE3537="직접",IF(OR(AF3537="유지비",AF3537="손해조사비"),$P3537,0),$P3537*(1-AG3537)*IFERROR(INDEX(계정대체기준!$D$20:$D$49,MATCH($N3537,계정대체기준!$A$20:$A$49,0)),0)))</f>
        <v/>
      </c>
      <c r="AB3537" s="94">
        <f>IF($A3537="",0,IF(AE3537="직접",IF(AF3537="수금비",$P3537,0),$P3537*(1-AG3537)*IFERROR(INDEX(계정대체기준!$E$20:$E$49,MATCH($N3537,계정대체기준!$A$20:$A$49,0)),0)))</f>
        <v/>
      </c>
      <c r="AC3537" s="9">
        <f>IF(AND($A3537&lt;&gt;"",M3537=설정!$C$20,Z3537&gt;0),Z3537+ROW()/1000000000,"")</f>
        <v/>
      </c>
      <c r="AD3537" s="94">
        <f>IF($A3537="",0,$P3537*AG3537)</f>
        <v/>
      </c>
      <c r="AE3537" s="64">
        <f>IF($A3537="","",IFERROR(INDEX(계정매핑!$E$5:$E$504,MATCH($F3537&amp;"",계정매핑!$A$5:$A$504,0))&amp;"","공통비"))</f>
        <v/>
      </c>
      <c r="AF3537" s="64">
        <f>IF($A3537="","",IF(AE3537="직접",IFERROR(INDEX(계정매핑!$F$5:$F$504,MATCH($F3537&amp;"",계정매핑!$A$5:$A$504,0))&amp;"","비귀속"),""))</f>
        <v/>
      </c>
      <c r="AG3537" s="96">
        <f>IF($A3537="",0,IF(AND(AE3537&lt;&gt;"직접",IFERROR(INDEX(계정매핑!$G$5:$G$504,MATCH($F3537&amp;"",계정매핑!$A$5:$A$504,0))&amp;"","")="유지비",COUNTIF(계정대체기준!$A$6:$A$15,$N3537)&gt;0),IFERROR(INDEX(계정대체기준!$E$6:$E$15,MATCH(VALUE($A3537&amp;""),계정대체기준!$D$6:$D$15,0)),0),0))</f>
        <v/>
      </c>
      <c r="AH3537" s="64">
        <f>IF($A3537="","",IF(AD3537=0,"",IF(OR(COUNTIF(계정대체기준!$A$77:$A$86,$N3537)&gt;0,ISNUMBER(MATCH($X3537,계정대체기준!$D$77:$D$86,0)),ISNUMBER(MATCH($F3537,계정대체기준!$D$77:$D$86,0))),"Y","N")))</f>
        <v/>
      </c>
    </row>
    <row r="3538">
      <c r="A3538" s="92" t="n">
        <v>2026</v>
      </c>
      <c r="B3538" s="92" t="n">
        <v>4</v>
      </c>
      <c r="C3538" s="92" t="inlineStr">
        <is>
          <t>5100000816</t>
        </is>
      </c>
      <c r="D3538" s="95" t="n">
        <v>46128</v>
      </c>
      <c r="E3538" s="92" t="inlineStr">
        <is>
          <t>KR</t>
        </is>
      </c>
      <c r="F3538" s="92" t="n">
        <v>62201000</v>
      </c>
      <c r="G3538" s="92" t="n">
        <v>1701</v>
      </c>
      <c r="H3538" s="93" t="n">
        <v>3303000</v>
      </c>
      <c r="I3538" s="92" t="inlineStr">
        <is>
          <t>4월 통신요금 - P통신</t>
        </is>
      </c>
      <c r="J3538" s="92" t="inlineStr">
        <is>
          <t>V10014</t>
        </is>
      </c>
      <c r="K3538" s="92" t="inlineStr">
        <is>
          <t>P통신</t>
        </is>
      </c>
      <c r="M3538" s="9">
        <f>IF($A3538="","",VALUE($A3538&amp;"")*12+VALUE($B3538&amp;""))</f>
        <v/>
      </c>
      <c r="N3538" s="64">
        <f>IF($A3538="","",IFERROR(INDEX(부서매핑!$C$5:$C$504,MATCH($G3538&amp;"",부서매핑!$A$5:$A$504,0)),"미매핑"))</f>
        <v/>
      </c>
      <c r="O3538" s="9">
        <f>IF($A3538="","",N3538&amp;"|"&amp;$F3538)</f>
        <v/>
      </c>
      <c r="P3538" s="94">
        <f>IF($A3538="",0,$H3538*설정!$C$23)</f>
        <v/>
      </c>
      <c r="Q3538" s="64">
        <f>IF($A3538="","",IF(O3538&lt;&gt;원인분석!$C$9,"",IF(AND(M3538&gt;=원인분석!$C$10,M3538&lt;=원인분석!$C$11),"당기",IF(AND(M3538&gt;=원인분석!$C$12,M3538&lt;=원인분석!$C$13),"비교",""))))</f>
        <v/>
      </c>
      <c r="R3538" s="9">
        <f>IF(Q3538="","",$K3538&amp;"")</f>
        <v/>
      </c>
      <c r="S3538" s="9">
        <f>IF(Q3538="","",IF(MATCH(R3538,$R$5:$R$100000,0)=ROW()-4,ROW(),""))</f>
        <v/>
      </c>
      <c r="T3538" s="9">
        <f>IF(Q3538="당기",ABS(P3538)+ROW()/1000000000,"")</f>
        <v/>
      </c>
      <c r="U3538" s="9">
        <f>IF(Q3538="비교",ABS(P3538)+ROW()/1000000000,"")</f>
        <v/>
      </c>
      <c r="V3538" s="64">
        <f>IF($A3538="","",IF(COUNTIF(변동분석!$E$7:$E$506,O3538)&gt;0,"Y","N"))</f>
        <v/>
      </c>
      <c r="W3538" s="64">
        <f>IF($A3538="","",IFERROR(INDEX(계정매핑!$D$5:$D$504,MATCH($F3538&amp;"",계정매핑!$A$5:$A$504,0)),"미매핑"))</f>
        <v/>
      </c>
      <c r="X3538" s="9">
        <f>IF($A3538="","",$F3538&amp;"")</f>
        <v/>
      </c>
      <c r="Y3538" s="94">
        <f>IF($A3538="",0,IF(AE3538="직접",IF(AF3538="비귀속",$P3538,0),$P3538*(1-AG3538)*IFERROR(INDEX(계정대체기준!$F$20:$F$49,MATCH($N3538,계정대체기준!$A$20:$A$49,0)),1)))</f>
        <v/>
      </c>
      <c r="Z3538" s="94">
        <f>IF($A3538="",0,IF(AE3538="직접",IF(AF3538="신계약비",$P3538,0),$P3538*(1-AG3538)*IFERROR(INDEX(계정대체기준!$C$20:$C$49,MATCH($N3538,계정대체기준!$A$20:$A$49,0)),0)))</f>
        <v/>
      </c>
      <c r="AA3538" s="94">
        <f>IF($A3538="",0,IF(AE3538="직접",IF(OR(AF3538="유지비",AF3538="손해조사비"),$P3538,0),$P3538*(1-AG3538)*IFERROR(INDEX(계정대체기준!$D$20:$D$49,MATCH($N3538,계정대체기준!$A$20:$A$49,0)),0)))</f>
        <v/>
      </c>
      <c r="AB3538" s="94">
        <f>IF($A3538="",0,IF(AE3538="직접",IF(AF3538="수금비",$P3538,0),$P3538*(1-AG3538)*IFERROR(INDEX(계정대체기준!$E$20:$E$49,MATCH($N3538,계정대체기준!$A$20:$A$49,0)),0)))</f>
        <v/>
      </c>
      <c r="AC3538" s="9">
        <f>IF(AND($A3538&lt;&gt;"",M3538=설정!$C$20,Z3538&gt;0),Z3538+ROW()/1000000000,"")</f>
        <v/>
      </c>
      <c r="AD3538" s="94">
        <f>IF($A3538="",0,$P3538*AG3538)</f>
        <v/>
      </c>
      <c r="AE3538" s="64">
        <f>IF($A3538="","",IFERROR(INDEX(계정매핑!$E$5:$E$504,MATCH($F3538&amp;"",계정매핑!$A$5:$A$504,0))&amp;"","공통비"))</f>
        <v/>
      </c>
      <c r="AF3538" s="64">
        <f>IF($A3538="","",IF(AE3538="직접",IFERROR(INDEX(계정매핑!$F$5:$F$504,MATCH($F3538&amp;"",계정매핑!$A$5:$A$504,0))&amp;"","비귀속"),""))</f>
        <v/>
      </c>
      <c r="AG3538" s="96">
        <f>IF($A3538="",0,IF(AND(AE3538&lt;&gt;"직접",IFERROR(INDEX(계정매핑!$G$5:$G$504,MATCH($F3538&amp;"",계정매핑!$A$5:$A$504,0))&amp;"","")="유지비",COUNTIF(계정대체기준!$A$6:$A$15,$N3538)&gt;0),IFERROR(INDEX(계정대체기준!$E$6:$E$15,MATCH(VALUE($A3538&amp;""),계정대체기준!$D$6:$D$15,0)),0),0))</f>
        <v/>
      </c>
      <c r="AH3538" s="64">
        <f>IF($A3538="","",IF(AD3538=0,"",IF(OR(COUNTIF(계정대체기준!$A$77:$A$86,$N3538)&gt;0,ISNUMBER(MATCH($X3538,계정대체기준!$D$77:$D$86,0)),ISNUMBER(MATCH($F3538,계정대체기준!$D$77:$D$86,0))),"Y","N")))</f>
        <v/>
      </c>
    </row>
    <row r="3539">
      <c r="A3539" s="92" t="n">
        <v>2026</v>
      </c>
      <c r="B3539" s="92" t="n">
        <v>4</v>
      </c>
      <c r="C3539" s="92" t="inlineStr">
        <is>
          <t>5100000817</t>
        </is>
      </c>
      <c r="D3539" s="95" t="n">
        <v>46128</v>
      </c>
      <c r="E3539" s="92" t="inlineStr">
        <is>
          <t>KR</t>
        </is>
      </c>
      <c r="F3539" s="92" t="n">
        <v>62301000</v>
      </c>
      <c r="G3539" s="92" t="n">
        <v>1301</v>
      </c>
      <c r="H3539" s="93" t="n">
        <v>172000</v>
      </c>
      <c r="I3539" s="92" t="inlineStr">
        <is>
          <t>4월 소모품 구입 - Q오피스</t>
        </is>
      </c>
      <c r="J3539" s="92" t="inlineStr">
        <is>
          <t>V10003</t>
        </is>
      </c>
      <c r="K3539" s="92" t="inlineStr">
        <is>
          <t>Q오피스</t>
        </is>
      </c>
      <c r="M3539" s="9">
        <f>IF($A3539="","",VALUE($A3539&amp;"")*12+VALUE($B3539&amp;""))</f>
        <v/>
      </c>
      <c r="N3539" s="64">
        <f>IF($A3539="","",IFERROR(INDEX(부서매핑!$C$5:$C$504,MATCH($G3539&amp;"",부서매핑!$A$5:$A$504,0)),"미매핑"))</f>
        <v/>
      </c>
      <c r="O3539" s="9">
        <f>IF($A3539="","",N3539&amp;"|"&amp;$F3539)</f>
        <v/>
      </c>
      <c r="P3539" s="94">
        <f>IF($A3539="",0,$H3539*설정!$C$23)</f>
        <v/>
      </c>
      <c r="Q3539" s="64">
        <f>IF($A3539="","",IF(O3539&lt;&gt;원인분석!$C$9,"",IF(AND(M3539&gt;=원인분석!$C$10,M3539&lt;=원인분석!$C$11),"당기",IF(AND(M3539&gt;=원인분석!$C$12,M3539&lt;=원인분석!$C$13),"비교",""))))</f>
        <v/>
      </c>
      <c r="R3539" s="9">
        <f>IF(Q3539="","",$K3539&amp;"")</f>
        <v/>
      </c>
      <c r="S3539" s="9">
        <f>IF(Q3539="","",IF(MATCH(R3539,$R$5:$R$100000,0)=ROW()-4,ROW(),""))</f>
        <v/>
      </c>
      <c r="T3539" s="9">
        <f>IF(Q3539="당기",ABS(P3539)+ROW()/1000000000,"")</f>
        <v/>
      </c>
      <c r="U3539" s="9">
        <f>IF(Q3539="비교",ABS(P3539)+ROW()/1000000000,"")</f>
        <v/>
      </c>
      <c r="V3539" s="64">
        <f>IF($A3539="","",IF(COUNTIF(변동분석!$E$7:$E$506,O3539)&gt;0,"Y","N"))</f>
        <v/>
      </c>
      <c r="W3539" s="64">
        <f>IF($A3539="","",IFERROR(INDEX(계정매핑!$D$5:$D$504,MATCH($F3539&amp;"",계정매핑!$A$5:$A$504,0)),"미매핑"))</f>
        <v/>
      </c>
      <c r="X3539" s="9">
        <f>IF($A3539="","",$F3539&amp;"")</f>
        <v/>
      </c>
      <c r="Y3539" s="94">
        <f>IF($A3539="",0,IF(AE3539="직접",IF(AF3539="비귀속",$P3539,0),$P3539*(1-AG3539)*IFERROR(INDEX(계정대체기준!$F$20:$F$49,MATCH($N3539,계정대체기준!$A$20:$A$49,0)),1)))</f>
        <v/>
      </c>
      <c r="Z3539" s="94">
        <f>IF($A3539="",0,IF(AE3539="직접",IF(AF3539="신계약비",$P3539,0),$P3539*(1-AG3539)*IFERROR(INDEX(계정대체기준!$C$20:$C$49,MATCH($N3539,계정대체기준!$A$20:$A$49,0)),0)))</f>
        <v/>
      </c>
      <c r="AA3539" s="94">
        <f>IF($A3539="",0,IF(AE3539="직접",IF(OR(AF3539="유지비",AF3539="손해조사비"),$P3539,0),$P3539*(1-AG3539)*IFERROR(INDEX(계정대체기준!$D$20:$D$49,MATCH($N3539,계정대체기준!$A$20:$A$49,0)),0)))</f>
        <v/>
      </c>
      <c r="AB3539" s="94">
        <f>IF($A3539="",0,IF(AE3539="직접",IF(AF3539="수금비",$P3539,0),$P3539*(1-AG3539)*IFERROR(INDEX(계정대체기준!$E$20:$E$49,MATCH($N3539,계정대체기준!$A$20:$A$49,0)),0)))</f>
        <v/>
      </c>
      <c r="AC3539" s="9">
        <f>IF(AND($A3539&lt;&gt;"",M3539=설정!$C$20,Z3539&gt;0),Z3539+ROW()/1000000000,"")</f>
        <v/>
      </c>
      <c r="AD3539" s="94">
        <f>IF($A3539="",0,$P3539*AG3539)</f>
        <v/>
      </c>
      <c r="AE3539" s="64">
        <f>IF($A3539="","",IFERROR(INDEX(계정매핑!$E$5:$E$504,MATCH($F3539&amp;"",계정매핑!$A$5:$A$504,0))&amp;"","공통비"))</f>
        <v/>
      </c>
      <c r="AF3539" s="64">
        <f>IF($A3539="","",IF(AE3539="직접",IFERROR(INDEX(계정매핑!$F$5:$F$504,MATCH($F3539&amp;"",계정매핑!$A$5:$A$504,0))&amp;"","비귀속"),""))</f>
        <v/>
      </c>
      <c r="AG3539" s="96">
        <f>IF($A3539="",0,IF(AND(AE3539&lt;&gt;"직접",IFERROR(INDEX(계정매핑!$G$5:$G$504,MATCH($F3539&amp;"",계정매핑!$A$5:$A$504,0))&amp;"","")="유지비",COUNTIF(계정대체기준!$A$6:$A$15,$N3539)&gt;0),IFERROR(INDEX(계정대체기준!$E$6:$E$15,MATCH(VALUE($A3539&amp;""),계정대체기준!$D$6:$D$15,0)),0),0))</f>
        <v/>
      </c>
      <c r="AH3539" s="64">
        <f>IF($A3539="","",IF(AD3539=0,"",IF(OR(COUNTIF(계정대체기준!$A$77:$A$86,$N3539)&gt;0,ISNUMBER(MATCH($X3539,계정대체기준!$D$77:$D$86,0)),ISNUMBER(MATCH($F3539,계정대체기준!$D$77:$D$86,0))),"Y","N")))</f>
        <v/>
      </c>
    </row>
    <row r="3540">
      <c r="A3540" s="92" t="n">
        <v>2026</v>
      </c>
      <c r="B3540" s="92" t="n">
        <v>4</v>
      </c>
      <c r="C3540" s="92" t="inlineStr">
        <is>
          <t>5100000818</t>
        </is>
      </c>
      <c r="D3540" s="95" t="n">
        <v>46128</v>
      </c>
      <c r="E3540" s="92" t="inlineStr">
        <is>
          <t>KR</t>
        </is>
      </c>
      <c r="F3540" s="92" t="n">
        <v>62501000</v>
      </c>
      <c r="G3540" s="92" t="n">
        <v>1401</v>
      </c>
      <c r="H3540" s="93" t="n">
        <v>130000</v>
      </c>
      <c r="I3540" s="92" t="inlineStr">
        <is>
          <t>4월 회의 다과 - T케이터링</t>
        </is>
      </c>
      <c r="J3540" s="92" t="inlineStr">
        <is>
          <t>V10005</t>
        </is>
      </c>
      <c r="K3540" s="92" t="inlineStr">
        <is>
          <t>T케이터링</t>
        </is>
      </c>
      <c r="M3540" s="9">
        <f>IF($A3540="","",VALUE($A3540&amp;"")*12+VALUE($B3540&amp;""))</f>
        <v/>
      </c>
      <c r="N3540" s="64">
        <f>IF($A3540="","",IFERROR(INDEX(부서매핑!$C$5:$C$504,MATCH($G3540&amp;"",부서매핑!$A$5:$A$504,0)),"미매핑"))</f>
        <v/>
      </c>
      <c r="O3540" s="9">
        <f>IF($A3540="","",N3540&amp;"|"&amp;$F3540)</f>
        <v/>
      </c>
      <c r="P3540" s="94">
        <f>IF($A3540="",0,$H3540*설정!$C$23)</f>
        <v/>
      </c>
      <c r="Q3540" s="64">
        <f>IF($A3540="","",IF(O3540&lt;&gt;원인분석!$C$9,"",IF(AND(M3540&gt;=원인분석!$C$10,M3540&lt;=원인분석!$C$11),"당기",IF(AND(M3540&gt;=원인분석!$C$12,M3540&lt;=원인분석!$C$13),"비교",""))))</f>
        <v/>
      </c>
      <c r="R3540" s="9">
        <f>IF(Q3540="","",$K3540&amp;"")</f>
        <v/>
      </c>
      <c r="S3540" s="9">
        <f>IF(Q3540="","",IF(MATCH(R3540,$R$5:$R$100000,0)=ROW()-4,ROW(),""))</f>
        <v/>
      </c>
      <c r="T3540" s="9">
        <f>IF(Q3540="당기",ABS(P3540)+ROW()/1000000000,"")</f>
        <v/>
      </c>
      <c r="U3540" s="9">
        <f>IF(Q3540="비교",ABS(P3540)+ROW()/1000000000,"")</f>
        <v/>
      </c>
      <c r="V3540" s="64">
        <f>IF($A3540="","",IF(COUNTIF(변동분석!$E$7:$E$506,O3540)&gt;0,"Y","N"))</f>
        <v/>
      </c>
      <c r="W3540" s="64">
        <f>IF($A3540="","",IFERROR(INDEX(계정매핑!$D$5:$D$504,MATCH($F3540&amp;"",계정매핑!$A$5:$A$504,0)),"미매핑"))</f>
        <v/>
      </c>
      <c r="X3540" s="9">
        <f>IF($A3540="","",$F3540&amp;"")</f>
        <v/>
      </c>
      <c r="Y3540" s="94">
        <f>IF($A3540="",0,IF(AE3540="직접",IF(AF3540="비귀속",$P3540,0),$P3540*(1-AG3540)*IFERROR(INDEX(계정대체기준!$F$20:$F$49,MATCH($N3540,계정대체기준!$A$20:$A$49,0)),1)))</f>
        <v/>
      </c>
      <c r="Z3540" s="94">
        <f>IF($A3540="",0,IF(AE3540="직접",IF(AF3540="신계약비",$P3540,0),$P3540*(1-AG3540)*IFERROR(INDEX(계정대체기준!$C$20:$C$49,MATCH($N3540,계정대체기준!$A$20:$A$49,0)),0)))</f>
        <v/>
      </c>
      <c r="AA3540" s="94">
        <f>IF($A3540="",0,IF(AE3540="직접",IF(OR(AF3540="유지비",AF3540="손해조사비"),$P3540,0),$P3540*(1-AG3540)*IFERROR(INDEX(계정대체기준!$D$20:$D$49,MATCH($N3540,계정대체기준!$A$20:$A$49,0)),0)))</f>
        <v/>
      </c>
      <c r="AB3540" s="94">
        <f>IF($A3540="",0,IF(AE3540="직접",IF(AF3540="수금비",$P3540,0),$P3540*(1-AG3540)*IFERROR(INDEX(계정대체기준!$E$20:$E$49,MATCH($N3540,계정대체기준!$A$20:$A$49,0)),0)))</f>
        <v/>
      </c>
      <c r="AC3540" s="9">
        <f>IF(AND($A3540&lt;&gt;"",M3540=설정!$C$20,Z3540&gt;0),Z3540+ROW()/1000000000,"")</f>
        <v/>
      </c>
      <c r="AD3540" s="94">
        <f>IF($A3540="",0,$P3540*AG3540)</f>
        <v/>
      </c>
      <c r="AE3540" s="64">
        <f>IF($A3540="","",IFERROR(INDEX(계정매핑!$E$5:$E$504,MATCH($F3540&amp;"",계정매핑!$A$5:$A$504,0))&amp;"","공통비"))</f>
        <v/>
      </c>
      <c r="AF3540" s="64">
        <f>IF($A3540="","",IF(AE3540="직접",IFERROR(INDEX(계정매핑!$F$5:$F$504,MATCH($F3540&amp;"",계정매핑!$A$5:$A$504,0))&amp;"","비귀속"),""))</f>
        <v/>
      </c>
      <c r="AG3540" s="96">
        <f>IF($A3540="",0,IF(AND(AE3540&lt;&gt;"직접",IFERROR(INDEX(계정매핑!$G$5:$G$504,MATCH($F3540&amp;"",계정매핑!$A$5:$A$504,0))&amp;"","")="유지비",COUNTIF(계정대체기준!$A$6:$A$15,$N3540)&gt;0),IFERROR(INDEX(계정대체기준!$E$6:$E$15,MATCH(VALUE($A3540&amp;""),계정대체기준!$D$6:$D$15,0)),0),0))</f>
        <v/>
      </c>
      <c r="AH3540" s="64">
        <f>IF($A3540="","",IF(AD3540=0,"",IF(OR(COUNTIF(계정대체기준!$A$77:$A$86,$N3540)&gt;0,ISNUMBER(MATCH($X3540,계정대체기준!$D$77:$D$86,0)),ISNUMBER(MATCH($F3540,계정대체기준!$D$77:$D$86,0))),"Y","N")))</f>
        <v/>
      </c>
    </row>
    <row r="3541">
      <c r="A3541" s="92" t="n">
        <v>2026</v>
      </c>
      <c r="B3541" s="92" t="n">
        <v>4</v>
      </c>
      <c r="C3541" s="92" t="inlineStr">
        <is>
          <t>5100000819</t>
        </is>
      </c>
      <c r="D3541" s="95" t="n">
        <v>46128</v>
      </c>
      <c r="E3541" s="92" t="inlineStr">
        <is>
          <t>KR</t>
        </is>
      </c>
      <c r="F3541" s="92" t="n">
        <v>62501000</v>
      </c>
      <c r="G3541" s="92" t="n">
        <v>1501</v>
      </c>
      <c r="H3541" s="93" t="n">
        <v>279000</v>
      </c>
      <c r="I3541" s="92" t="inlineStr">
        <is>
          <t>4월 회의 다과 - T케이터링</t>
        </is>
      </c>
      <c r="J3541" s="92" t="inlineStr">
        <is>
          <t>V10005</t>
        </is>
      </c>
      <c r="K3541" s="92" t="inlineStr">
        <is>
          <t>T케이터링</t>
        </is>
      </c>
      <c r="M3541" s="9">
        <f>IF($A3541="","",VALUE($A3541&amp;"")*12+VALUE($B3541&amp;""))</f>
        <v/>
      </c>
      <c r="N3541" s="64">
        <f>IF($A3541="","",IFERROR(INDEX(부서매핑!$C$5:$C$504,MATCH($G3541&amp;"",부서매핑!$A$5:$A$504,0)),"미매핑"))</f>
        <v/>
      </c>
      <c r="O3541" s="9">
        <f>IF($A3541="","",N3541&amp;"|"&amp;$F3541)</f>
        <v/>
      </c>
      <c r="P3541" s="94">
        <f>IF($A3541="",0,$H3541*설정!$C$23)</f>
        <v/>
      </c>
      <c r="Q3541" s="64">
        <f>IF($A3541="","",IF(O3541&lt;&gt;원인분석!$C$9,"",IF(AND(M3541&gt;=원인분석!$C$10,M3541&lt;=원인분석!$C$11),"당기",IF(AND(M3541&gt;=원인분석!$C$12,M3541&lt;=원인분석!$C$13),"비교",""))))</f>
        <v/>
      </c>
      <c r="R3541" s="9">
        <f>IF(Q3541="","",$K3541&amp;"")</f>
        <v/>
      </c>
      <c r="S3541" s="9">
        <f>IF(Q3541="","",IF(MATCH(R3541,$R$5:$R$100000,0)=ROW()-4,ROW(),""))</f>
        <v/>
      </c>
      <c r="T3541" s="9">
        <f>IF(Q3541="당기",ABS(P3541)+ROW()/1000000000,"")</f>
        <v/>
      </c>
      <c r="U3541" s="9">
        <f>IF(Q3541="비교",ABS(P3541)+ROW()/1000000000,"")</f>
        <v/>
      </c>
      <c r="V3541" s="64">
        <f>IF($A3541="","",IF(COUNTIF(변동분석!$E$7:$E$506,O3541)&gt;0,"Y","N"))</f>
        <v/>
      </c>
      <c r="W3541" s="64">
        <f>IF($A3541="","",IFERROR(INDEX(계정매핑!$D$5:$D$504,MATCH($F3541&amp;"",계정매핑!$A$5:$A$504,0)),"미매핑"))</f>
        <v/>
      </c>
      <c r="X3541" s="9">
        <f>IF($A3541="","",$F3541&amp;"")</f>
        <v/>
      </c>
      <c r="Y3541" s="94">
        <f>IF($A3541="",0,IF(AE3541="직접",IF(AF3541="비귀속",$P3541,0),$P3541*(1-AG3541)*IFERROR(INDEX(계정대체기준!$F$20:$F$49,MATCH($N3541,계정대체기준!$A$20:$A$49,0)),1)))</f>
        <v/>
      </c>
      <c r="Z3541" s="94">
        <f>IF($A3541="",0,IF(AE3541="직접",IF(AF3541="신계약비",$P3541,0),$P3541*(1-AG3541)*IFERROR(INDEX(계정대체기준!$C$20:$C$49,MATCH($N3541,계정대체기준!$A$20:$A$49,0)),0)))</f>
        <v/>
      </c>
      <c r="AA3541" s="94">
        <f>IF($A3541="",0,IF(AE3541="직접",IF(OR(AF3541="유지비",AF3541="손해조사비"),$P3541,0),$P3541*(1-AG3541)*IFERROR(INDEX(계정대체기준!$D$20:$D$49,MATCH($N3541,계정대체기준!$A$20:$A$49,0)),0)))</f>
        <v/>
      </c>
      <c r="AB3541" s="94">
        <f>IF($A3541="",0,IF(AE3541="직접",IF(AF3541="수금비",$P3541,0),$P3541*(1-AG3541)*IFERROR(INDEX(계정대체기준!$E$20:$E$49,MATCH($N3541,계정대체기준!$A$20:$A$49,0)),0)))</f>
        <v/>
      </c>
      <c r="AC3541" s="9">
        <f>IF(AND($A3541&lt;&gt;"",M3541=설정!$C$20,Z3541&gt;0),Z3541+ROW()/1000000000,"")</f>
        <v/>
      </c>
      <c r="AD3541" s="94">
        <f>IF($A3541="",0,$P3541*AG3541)</f>
        <v/>
      </c>
      <c r="AE3541" s="64">
        <f>IF($A3541="","",IFERROR(INDEX(계정매핑!$E$5:$E$504,MATCH($F3541&amp;"",계정매핑!$A$5:$A$504,0))&amp;"","공통비"))</f>
        <v/>
      </c>
      <c r="AF3541" s="64">
        <f>IF($A3541="","",IF(AE3541="직접",IFERROR(INDEX(계정매핑!$F$5:$F$504,MATCH($F3541&amp;"",계정매핑!$A$5:$A$504,0))&amp;"","비귀속"),""))</f>
        <v/>
      </c>
      <c r="AG3541" s="96">
        <f>IF($A3541="",0,IF(AND(AE3541&lt;&gt;"직접",IFERROR(INDEX(계정매핑!$G$5:$G$504,MATCH($F3541&amp;"",계정매핑!$A$5:$A$504,0))&amp;"","")="유지비",COUNTIF(계정대체기준!$A$6:$A$15,$N3541)&gt;0),IFERROR(INDEX(계정대체기준!$E$6:$E$15,MATCH(VALUE($A3541&amp;""),계정대체기준!$D$6:$D$15,0)),0),0))</f>
        <v/>
      </c>
      <c r="AH3541" s="64">
        <f>IF($A3541="","",IF(AD3541=0,"",IF(OR(COUNTIF(계정대체기준!$A$77:$A$86,$N3541)&gt;0,ISNUMBER(MATCH($X3541,계정대체기준!$D$77:$D$86,0)),ISNUMBER(MATCH($F3541,계정대체기준!$D$77:$D$86,0))),"Y","N")))</f>
        <v/>
      </c>
    </row>
    <row r="3542">
      <c r="A3542" s="92" t="n">
        <v>2026</v>
      </c>
      <c r="B3542" s="92" t="n">
        <v>4</v>
      </c>
      <c r="C3542" s="92" t="inlineStr">
        <is>
          <t>5100000820</t>
        </is>
      </c>
      <c r="D3542" s="95" t="n">
        <v>46128</v>
      </c>
      <c r="E3542" s="92" t="inlineStr">
        <is>
          <t>KR</t>
        </is>
      </c>
      <c r="F3542" s="92" t="n">
        <v>62601000</v>
      </c>
      <c r="G3542" s="92" t="n">
        <v>1301</v>
      </c>
      <c r="H3542" s="93" t="n">
        <v>1188000</v>
      </c>
      <c r="I3542" s="92" t="inlineStr">
        <is>
          <t>4월 업무추진 - (법인카드)</t>
        </is>
      </c>
      <c r="J3542" s="92" t="inlineStr">
        <is>
          <t>V10010</t>
        </is>
      </c>
      <c r="K3542" s="92" t="inlineStr">
        <is>
          <t>(법인카드)</t>
        </is>
      </c>
      <c r="M3542" s="9">
        <f>IF($A3542="","",VALUE($A3542&amp;"")*12+VALUE($B3542&amp;""))</f>
        <v/>
      </c>
      <c r="N3542" s="64">
        <f>IF($A3542="","",IFERROR(INDEX(부서매핑!$C$5:$C$504,MATCH($G3542&amp;"",부서매핑!$A$5:$A$504,0)),"미매핑"))</f>
        <v/>
      </c>
      <c r="O3542" s="9">
        <f>IF($A3542="","",N3542&amp;"|"&amp;$F3542)</f>
        <v/>
      </c>
      <c r="P3542" s="94">
        <f>IF($A3542="",0,$H3542*설정!$C$23)</f>
        <v/>
      </c>
      <c r="Q3542" s="64">
        <f>IF($A3542="","",IF(O3542&lt;&gt;원인분석!$C$9,"",IF(AND(M3542&gt;=원인분석!$C$10,M3542&lt;=원인분석!$C$11),"당기",IF(AND(M3542&gt;=원인분석!$C$12,M3542&lt;=원인분석!$C$13),"비교",""))))</f>
        <v/>
      </c>
      <c r="R3542" s="9">
        <f>IF(Q3542="","",$K3542&amp;"")</f>
        <v/>
      </c>
      <c r="S3542" s="9">
        <f>IF(Q3542="","",IF(MATCH(R3542,$R$5:$R$100000,0)=ROW()-4,ROW(),""))</f>
        <v/>
      </c>
      <c r="T3542" s="9">
        <f>IF(Q3542="당기",ABS(P3542)+ROW()/1000000000,"")</f>
        <v/>
      </c>
      <c r="U3542" s="9">
        <f>IF(Q3542="비교",ABS(P3542)+ROW()/1000000000,"")</f>
        <v/>
      </c>
      <c r="V3542" s="64">
        <f>IF($A3542="","",IF(COUNTIF(변동분석!$E$7:$E$506,O3542)&gt;0,"Y","N"))</f>
        <v/>
      </c>
      <c r="W3542" s="64">
        <f>IF($A3542="","",IFERROR(INDEX(계정매핑!$D$5:$D$504,MATCH($F3542&amp;"",계정매핑!$A$5:$A$504,0)),"미매핑"))</f>
        <v/>
      </c>
      <c r="X3542" s="9">
        <f>IF($A3542="","",$F3542&amp;"")</f>
        <v/>
      </c>
      <c r="Y3542" s="94">
        <f>IF($A3542="",0,IF(AE3542="직접",IF(AF3542="비귀속",$P3542,0),$P3542*(1-AG3542)*IFERROR(INDEX(계정대체기준!$F$20:$F$49,MATCH($N3542,계정대체기준!$A$20:$A$49,0)),1)))</f>
        <v/>
      </c>
      <c r="Z3542" s="94">
        <f>IF($A3542="",0,IF(AE3542="직접",IF(AF3542="신계약비",$P3542,0),$P3542*(1-AG3542)*IFERROR(INDEX(계정대체기준!$C$20:$C$49,MATCH($N3542,계정대체기준!$A$20:$A$49,0)),0)))</f>
        <v/>
      </c>
      <c r="AA3542" s="94">
        <f>IF($A3542="",0,IF(AE3542="직접",IF(OR(AF3542="유지비",AF3542="손해조사비"),$P3542,0),$P3542*(1-AG3542)*IFERROR(INDEX(계정대체기준!$D$20:$D$49,MATCH($N3542,계정대체기준!$A$20:$A$49,0)),0)))</f>
        <v/>
      </c>
      <c r="AB3542" s="94">
        <f>IF($A3542="",0,IF(AE3542="직접",IF(AF3542="수금비",$P3542,0),$P3542*(1-AG3542)*IFERROR(INDEX(계정대체기준!$E$20:$E$49,MATCH($N3542,계정대체기준!$A$20:$A$49,0)),0)))</f>
        <v/>
      </c>
      <c r="AC3542" s="9">
        <f>IF(AND($A3542&lt;&gt;"",M3542=설정!$C$20,Z3542&gt;0),Z3542+ROW()/1000000000,"")</f>
        <v/>
      </c>
      <c r="AD3542" s="94">
        <f>IF($A3542="",0,$P3542*AG3542)</f>
        <v/>
      </c>
      <c r="AE3542" s="64">
        <f>IF($A3542="","",IFERROR(INDEX(계정매핑!$E$5:$E$504,MATCH($F3542&amp;"",계정매핑!$A$5:$A$504,0))&amp;"","공통비"))</f>
        <v/>
      </c>
      <c r="AF3542" s="64">
        <f>IF($A3542="","",IF(AE3542="직접",IFERROR(INDEX(계정매핑!$F$5:$F$504,MATCH($F3542&amp;"",계정매핑!$A$5:$A$504,0))&amp;"","비귀속"),""))</f>
        <v/>
      </c>
      <c r="AG3542" s="96">
        <f>IF($A3542="",0,IF(AND(AE3542&lt;&gt;"직접",IFERROR(INDEX(계정매핑!$G$5:$G$504,MATCH($F3542&amp;"",계정매핑!$A$5:$A$504,0))&amp;"","")="유지비",COUNTIF(계정대체기준!$A$6:$A$15,$N3542)&gt;0),IFERROR(INDEX(계정대체기준!$E$6:$E$15,MATCH(VALUE($A3542&amp;""),계정대체기준!$D$6:$D$15,0)),0),0))</f>
        <v/>
      </c>
      <c r="AH3542" s="64">
        <f>IF($A3542="","",IF(AD3542=0,"",IF(OR(COUNTIF(계정대체기준!$A$77:$A$86,$N3542)&gt;0,ISNUMBER(MATCH($X3542,계정대체기준!$D$77:$D$86,0)),ISNUMBER(MATCH($F3542,계정대체기준!$D$77:$D$86,0))),"Y","N")))</f>
        <v/>
      </c>
    </row>
    <row r="3543">
      <c r="A3543" s="92" t="n">
        <v>2026</v>
      </c>
      <c r="B3543" s="92" t="n">
        <v>4</v>
      </c>
      <c r="C3543" s="92" t="inlineStr">
        <is>
          <t>5100000821</t>
        </is>
      </c>
      <c r="D3543" s="95" t="n">
        <v>46128</v>
      </c>
      <c r="E3543" s="92" t="inlineStr">
        <is>
          <t>KR</t>
        </is>
      </c>
      <c r="F3543" s="92" t="n">
        <v>62902000</v>
      </c>
      <c r="G3543" s="92" t="n">
        <v>1101</v>
      </c>
      <c r="H3543" s="93" t="n">
        <v>2163000</v>
      </c>
      <c r="I3543" s="92" t="inlineStr">
        <is>
          <t>4월 업무 위탁 수수료 - X서비스</t>
        </is>
      </c>
      <c r="J3543" s="92" t="inlineStr">
        <is>
          <t>V10020</t>
        </is>
      </c>
      <c r="K3543" s="92" t="inlineStr">
        <is>
          <t>X서비스</t>
        </is>
      </c>
      <c r="M3543" s="9">
        <f>IF($A3543="","",VALUE($A3543&amp;"")*12+VALUE($B3543&amp;""))</f>
        <v/>
      </c>
      <c r="N3543" s="64">
        <f>IF($A3543="","",IFERROR(INDEX(부서매핑!$C$5:$C$504,MATCH($G3543&amp;"",부서매핑!$A$5:$A$504,0)),"미매핑"))</f>
        <v/>
      </c>
      <c r="O3543" s="9">
        <f>IF($A3543="","",N3543&amp;"|"&amp;$F3543)</f>
        <v/>
      </c>
      <c r="P3543" s="94">
        <f>IF($A3543="",0,$H3543*설정!$C$23)</f>
        <v/>
      </c>
      <c r="Q3543" s="64">
        <f>IF($A3543="","",IF(O3543&lt;&gt;원인분석!$C$9,"",IF(AND(M3543&gt;=원인분석!$C$10,M3543&lt;=원인분석!$C$11),"당기",IF(AND(M3543&gt;=원인분석!$C$12,M3543&lt;=원인분석!$C$13),"비교",""))))</f>
        <v/>
      </c>
      <c r="R3543" s="9">
        <f>IF(Q3543="","",$K3543&amp;"")</f>
        <v/>
      </c>
      <c r="S3543" s="9">
        <f>IF(Q3543="","",IF(MATCH(R3543,$R$5:$R$100000,0)=ROW()-4,ROW(),""))</f>
        <v/>
      </c>
      <c r="T3543" s="9">
        <f>IF(Q3543="당기",ABS(P3543)+ROW()/1000000000,"")</f>
        <v/>
      </c>
      <c r="U3543" s="9">
        <f>IF(Q3543="비교",ABS(P3543)+ROW()/1000000000,"")</f>
        <v/>
      </c>
      <c r="V3543" s="64">
        <f>IF($A3543="","",IF(COUNTIF(변동분석!$E$7:$E$506,O3543)&gt;0,"Y","N"))</f>
        <v/>
      </c>
      <c r="W3543" s="64">
        <f>IF($A3543="","",IFERROR(INDEX(계정매핑!$D$5:$D$504,MATCH($F3543&amp;"",계정매핑!$A$5:$A$504,0)),"미매핑"))</f>
        <v/>
      </c>
      <c r="X3543" s="9">
        <f>IF($A3543="","",$F3543&amp;"")</f>
        <v/>
      </c>
      <c r="Y3543" s="94">
        <f>IF($A3543="",0,IF(AE3543="직접",IF(AF3543="비귀속",$P3543,0),$P3543*(1-AG3543)*IFERROR(INDEX(계정대체기준!$F$20:$F$49,MATCH($N3543,계정대체기준!$A$20:$A$49,0)),1)))</f>
        <v/>
      </c>
      <c r="Z3543" s="94">
        <f>IF($A3543="",0,IF(AE3543="직접",IF(AF3543="신계약비",$P3543,0),$P3543*(1-AG3543)*IFERROR(INDEX(계정대체기준!$C$20:$C$49,MATCH($N3543,계정대체기준!$A$20:$A$49,0)),0)))</f>
        <v/>
      </c>
      <c r="AA3543" s="94">
        <f>IF($A3543="",0,IF(AE3543="직접",IF(OR(AF3543="유지비",AF3543="손해조사비"),$P3543,0),$P3543*(1-AG3543)*IFERROR(INDEX(계정대체기준!$D$20:$D$49,MATCH($N3543,계정대체기준!$A$20:$A$49,0)),0)))</f>
        <v/>
      </c>
      <c r="AB3543" s="94">
        <f>IF($A3543="",0,IF(AE3543="직접",IF(AF3543="수금비",$P3543,0),$P3543*(1-AG3543)*IFERROR(INDEX(계정대체기준!$E$20:$E$49,MATCH($N3543,계정대체기준!$A$20:$A$49,0)),0)))</f>
        <v/>
      </c>
      <c r="AC3543" s="9">
        <f>IF(AND($A3543&lt;&gt;"",M3543=설정!$C$20,Z3543&gt;0),Z3543+ROW()/1000000000,"")</f>
        <v/>
      </c>
      <c r="AD3543" s="94">
        <f>IF($A3543="",0,$P3543*AG3543)</f>
        <v/>
      </c>
      <c r="AE3543" s="64">
        <f>IF($A3543="","",IFERROR(INDEX(계정매핑!$E$5:$E$504,MATCH($F3543&amp;"",계정매핑!$A$5:$A$504,0))&amp;"","공통비"))</f>
        <v/>
      </c>
      <c r="AF3543" s="64">
        <f>IF($A3543="","",IF(AE3543="직접",IFERROR(INDEX(계정매핑!$F$5:$F$504,MATCH($F3543&amp;"",계정매핑!$A$5:$A$504,0))&amp;"","비귀속"),""))</f>
        <v/>
      </c>
      <c r="AG3543" s="96">
        <f>IF($A3543="",0,IF(AND(AE3543&lt;&gt;"직접",IFERROR(INDEX(계정매핑!$G$5:$G$504,MATCH($F3543&amp;"",계정매핑!$A$5:$A$504,0))&amp;"","")="유지비",COUNTIF(계정대체기준!$A$6:$A$15,$N3543)&gt;0),IFERROR(INDEX(계정대체기준!$E$6:$E$15,MATCH(VALUE($A3543&amp;""),계정대체기준!$D$6:$D$15,0)),0),0))</f>
        <v/>
      </c>
      <c r="AH3543" s="64">
        <f>IF($A3543="","",IF(AD3543=0,"",IF(OR(COUNTIF(계정대체기준!$A$77:$A$86,$N3543)&gt;0,ISNUMBER(MATCH($X3543,계정대체기준!$D$77:$D$86,0)),ISNUMBER(MATCH($F3543,계정대체기준!$D$77:$D$86,0))),"Y","N")))</f>
        <v/>
      </c>
    </row>
    <row r="3544">
      <c r="A3544" s="92" t="n">
        <v>2026</v>
      </c>
      <c r="B3544" s="92" t="n">
        <v>4</v>
      </c>
      <c r="C3544" s="92" t="inlineStr">
        <is>
          <t>5100000822</t>
        </is>
      </c>
      <c r="D3544" s="95" t="n">
        <v>46128</v>
      </c>
      <c r="E3544" s="92" t="inlineStr">
        <is>
          <t>KR</t>
        </is>
      </c>
      <c r="F3544" s="92" t="n">
        <v>63501000</v>
      </c>
      <c r="G3544" s="92" t="n">
        <v>1902</v>
      </c>
      <c r="H3544" s="93" t="n">
        <v>320496000</v>
      </c>
      <c r="I3544" s="92" t="inlineStr">
        <is>
          <t>4월 모집수수료 - BB에셋</t>
        </is>
      </c>
      <c r="J3544" s="92" t="inlineStr">
        <is>
          <t>V10013</t>
        </is>
      </c>
      <c r="K3544" s="92" t="inlineStr">
        <is>
          <t>BB에셋</t>
        </is>
      </c>
      <c r="M3544" s="9">
        <f>IF($A3544="","",VALUE($A3544&amp;"")*12+VALUE($B3544&amp;""))</f>
        <v/>
      </c>
      <c r="N3544" s="64">
        <f>IF($A3544="","",IFERROR(INDEX(부서매핑!$C$5:$C$504,MATCH($G3544&amp;"",부서매핑!$A$5:$A$504,0)),"미매핑"))</f>
        <v/>
      </c>
      <c r="O3544" s="9">
        <f>IF($A3544="","",N3544&amp;"|"&amp;$F3544)</f>
        <v/>
      </c>
      <c r="P3544" s="94">
        <f>IF($A3544="",0,$H3544*설정!$C$23)</f>
        <v/>
      </c>
      <c r="Q3544" s="64">
        <f>IF($A3544="","",IF(O3544&lt;&gt;원인분석!$C$9,"",IF(AND(M3544&gt;=원인분석!$C$10,M3544&lt;=원인분석!$C$11),"당기",IF(AND(M3544&gt;=원인분석!$C$12,M3544&lt;=원인분석!$C$13),"비교",""))))</f>
        <v/>
      </c>
      <c r="R3544" s="9">
        <f>IF(Q3544="","",$K3544&amp;"")</f>
        <v/>
      </c>
      <c r="S3544" s="9">
        <f>IF(Q3544="","",IF(MATCH(R3544,$R$5:$R$100000,0)=ROW()-4,ROW(),""))</f>
        <v/>
      </c>
      <c r="T3544" s="9">
        <f>IF(Q3544="당기",ABS(P3544)+ROW()/1000000000,"")</f>
        <v/>
      </c>
      <c r="U3544" s="9">
        <f>IF(Q3544="비교",ABS(P3544)+ROW()/1000000000,"")</f>
        <v/>
      </c>
      <c r="V3544" s="64">
        <f>IF($A3544="","",IF(COUNTIF(변동분석!$E$7:$E$506,O3544)&gt;0,"Y","N"))</f>
        <v/>
      </c>
      <c r="W3544" s="64">
        <f>IF($A3544="","",IFERROR(INDEX(계정매핑!$D$5:$D$504,MATCH($F3544&amp;"",계정매핑!$A$5:$A$504,0)),"미매핑"))</f>
        <v/>
      </c>
      <c r="X3544" s="9">
        <f>IF($A3544="","",$F3544&amp;"")</f>
        <v/>
      </c>
      <c r="Y3544" s="94">
        <f>IF($A3544="",0,IF(AE3544="직접",IF(AF3544="비귀속",$P3544,0),$P3544*(1-AG3544)*IFERROR(INDEX(계정대체기준!$F$20:$F$49,MATCH($N3544,계정대체기준!$A$20:$A$49,0)),1)))</f>
        <v/>
      </c>
      <c r="Z3544" s="94">
        <f>IF($A3544="",0,IF(AE3544="직접",IF(AF3544="신계약비",$P3544,0),$P3544*(1-AG3544)*IFERROR(INDEX(계정대체기준!$C$20:$C$49,MATCH($N3544,계정대체기준!$A$20:$A$49,0)),0)))</f>
        <v/>
      </c>
      <c r="AA3544" s="94">
        <f>IF($A3544="",0,IF(AE3544="직접",IF(OR(AF3544="유지비",AF3544="손해조사비"),$P3544,0),$P3544*(1-AG3544)*IFERROR(INDEX(계정대체기준!$D$20:$D$49,MATCH($N3544,계정대체기준!$A$20:$A$49,0)),0)))</f>
        <v/>
      </c>
      <c r="AB3544" s="94">
        <f>IF($A3544="",0,IF(AE3544="직접",IF(AF3544="수금비",$P3544,0),$P3544*(1-AG3544)*IFERROR(INDEX(계정대체기준!$E$20:$E$49,MATCH($N3544,계정대체기준!$A$20:$A$49,0)),0)))</f>
        <v/>
      </c>
      <c r="AC3544" s="9">
        <f>IF(AND($A3544&lt;&gt;"",M3544=설정!$C$20,Z3544&gt;0),Z3544+ROW()/1000000000,"")</f>
        <v/>
      </c>
      <c r="AD3544" s="94">
        <f>IF($A3544="",0,$P3544*AG3544)</f>
        <v/>
      </c>
      <c r="AE3544" s="64">
        <f>IF($A3544="","",IFERROR(INDEX(계정매핑!$E$5:$E$504,MATCH($F3544&amp;"",계정매핑!$A$5:$A$504,0))&amp;"","공통비"))</f>
        <v/>
      </c>
      <c r="AF3544" s="64">
        <f>IF($A3544="","",IF(AE3544="직접",IFERROR(INDEX(계정매핑!$F$5:$F$504,MATCH($F3544&amp;"",계정매핑!$A$5:$A$504,0))&amp;"","비귀속"),""))</f>
        <v/>
      </c>
      <c r="AG3544" s="96">
        <f>IF($A3544="",0,IF(AND(AE3544&lt;&gt;"직접",IFERROR(INDEX(계정매핑!$G$5:$G$504,MATCH($F3544&amp;"",계정매핑!$A$5:$A$504,0))&amp;"","")="유지비",COUNTIF(계정대체기준!$A$6:$A$15,$N3544)&gt;0),IFERROR(INDEX(계정대체기준!$E$6:$E$15,MATCH(VALUE($A3544&amp;""),계정대체기준!$D$6:$D$15,0)),0),0))</f>
        <v/>
      </c>
      <c r="AH3544" s="64">
        <f>IF($A3544="","",IF(AD3544=0,"",IF(OR(COUNTIF(계정대체기준!$A$77:$A$86,$N3544)&gt;0,ISNUMBER(MATCH($X3544,계정대체기준!$D$77:$D$86,0)),ISNUMBER(MATCH($F3544,계정대체기준!$D$77:$D$86,0))),"Y","N")))</f>
        <v/>
      </c>
    </row>
    <row r="3545">
      <c r="A3545" s="92" t="n">
        <v>2026</v>
      </c>
      <c r="B3545" s="92" t="n">
        <v>4</v>
      </c>
      <c r="C3545" s="92" t="inlineStr">
        <is>
          <t>5100000823</t>
        </is>
      </c>
      <c r="D3545" s="95" t="n">
        <v>46129</v>
      </c>
      <c r="E3545" s="92" t="inlineStr">
        <is>
          <t>KR</t>
        </is>
      </c>
      <c r="F3545" s="92" t="n">
        <v>62101000</v>
      </c>
      <c r="G3545" s="92" t="n">
        <v>1401</v>
      </c>
      <c r="H3545" s="93" t="n">
        <v>253000</v>
      </c>
      <c r="I3545" s="92" t="inlineStr">
        <is>
          <t>4월 국내출장 - (법인카드)</t>
        </is>
      </c>
      <c r="J3545" s="92" t="inlineStr">
        <is>
          <t>V10010</t>
        </is>
      </c>
      <c r="K3545" s="92" t="inlineStr">
        <is>
          <t>(법인카드)</t>
        </is>
      </c>
      <c r="M3545" s="9">
        <f>IF($A3545="","",VALUE($A3545&amp;"")*12+VALUE($B3545&amp;""))</f>
        <v/>
      </c>
      <c r="N3545" s="64">
        <f>IF($A3545="","",IFERROR(INDEX(부서매핑!$C$5:$C$504,MATCH($G3545&amp;"",부서매핑!$A$5:$A$504,0)),"미매핑"))</f>
        <v/>
      </c>
      <c r="O3545" s="9">
        <f>IF($A3545="","",N3545&amp;"|"&amp;$F3545)</f>
        <v/>
      </c>
      <c r="P3545" s="94">
        <f>IF($A3545="",0,$H3545*설정!$C$23)</f>
        <v/>
      </c>
      <c r="Q3545" s="64">
        <f>IF($A3545="","",IF(O3545&lt;&gt;원인분석!$C$9,"",IF(AND(M3545&gt;=원인분석!$C$10,M3545&lt;=원인분석!$C$11),"당기",IF(AND(M3545&gt;=원인분석!$C$12,M3545&lt;=원인분석!$C$13),"비교",""))))</f>
        <v/>
      </c>
      <c r="R3545" s="9">
        <f>IF(Q3545="","",$K3545&amp;"")</f>
        <v/>
      </c>
      <c r="S3545" s="9">
        <f>IF(Q3545="","",IF(MATCH(R3545,$R$5:$R$100000,0)=ROW()-4,ROW(),""))</f>
        <v/>
      </c>
      <c r="T3545" s="9">
        <f>IF(Q3545="당기",ABS(P3545)+ROW()/1000000000,"")</f>
        <v/>
      </c>
      <c r="U3545" s="9">
        <f>IF(Q3545="비교",ABS(P3545)+ROW()/1000000000,"")</f>
        <v/>
      </c>
      <c r="V3545" s="64">
        <f>IF($A3545="","",IF(COUNTIF(변동분석!$E$7:$E$506,O3545)&gt;0,"Y","N"))</f>
        <v/>
      </c>
      <c r="W3545" s="64">
        <f>IF($A3545="","",IFERROR(INDEX(계정매핑!$D$5:$D$504,MATCH($F3545&amp;"",계정매핑!$A$5:$A$504,0)),"미매핑"))</f>
        <v/>
      </c>
      <c r="X3545" s="9">
        <f>IF($A3545="","",$F3545&amp;"")</f>
        <v/>
      </c>
      <c r="Y3545" s="94">
        <f>IF($A3545="",0,IF(AE3545="직접",IF(AF3545="비귀속",$P3545,0),$P3545*(1-AG3545)*IFERROR(INDEX(계정대체기준!$F$20:$F$49,MATCH($N3545,계정대체기준!$A$20:$A$49,0)),1)))</f>
        <v/>
      </c>
      <c r="Z3545" s="94">
        <f>IF($A3545="",0,IF(AE3545="직접",IF(AF3545="신계약비",$P3545,0),$P3545*(1-AG3545)*IFERROR(INDEX(계정대체기준!$C$20:$C$49,MATCH($N3545,계정대체기준!$A$20:$A$49,0)),0)))</f>
        <v/>
      </c>
      <c r="AA3545" s="94">
        <f>IF($A3545="",0,IF(AE3545="직접",IF(OR(AF3545="유지비",AF3545="손해조사비"),$P3545,0),$P3545*(1-AG3545)*IFERROR(INDEX(계정대체기준!$D$20:$D$49,MATCH($N3545,계정대체기준!$A$20:$A$49,0)),0)))</f>
        <v/>
      </c>
      <c r="AB3545" s="94">
        <f>IF($A3545="",0,IF(AE3545="직접",IF(AF3545="수금비",$P3545,0),$P3545*(1-AG3545)*IFERROR(INDEX(계정대체기준!$E$20:$E$49,MATCH($N3545,계정대체기준!$A$20:$A$49,0)),0)))</f>
        <v/>
      </c>
      <c r="AC3545" s="9">
        <f>IF(AND($A3545&lt;&gt;"",M3545=설정!$C$20,Z3545&gt;0),Z3545+ROW()/1000000000,"")</f>
        <v/>
      </c>
      <c r="AD3545" s="94">
        <f>IF($A3545="",0,$P3545*AG3545)</f>
        <v/>
      </c>
      <c r="AE3545" s="64">
        <f>IF($A3545="","",IFERROR(INDEX(계정매핑!$E$5:$E$504,MATCH($F3545&amp;"",계정매핑!$A$5:$A$504,0))&amp;"","공통비"))</f>
        <v/>
      </c>
      <c r="AF3545" s="64">
        <f>IF($A3545="","",IF(AE3545="직접",IFERROR(INDEX(계정매핑!$F$5:$F$504,MATCH($F3545&amp;"",계정매핑!$A$5:$A$504,0))&amp;"","비귀속"),""))</f>
        <v/>
      </c>
      <c r="AG3545" s="96">
        <f>IF($A3545="",0,IF(AND(AE3545&lt;&gt;"직접",IFERROR(INDEX(계정매핑!$G$5:$G$504,MATCH($F3545&amp;"",계정매핑!$A$5:$A$504,0))&amp;"","")="유지비",COUNTIF(계정대체기준!$A$6:$A$15,$N3545)&gt;0),IFERROR(INDEX(계정대체기준!$E$6:$E$15,MATCH(VALUE($A3545&amp;""),계정대체기준!$D$6:$D$15,0)),0),0))</f>
        <v/>
      </c>
      <c r="AH3545" s="64">
        <f>IF($A3545="","",IF(AD3545=0,"",IF(OR(COUNTIF(계정대체기준!$A$77:$A$86,$N3545)&gt;0,ISNUMBER(MATCH($X3545,계정대체기준!$D$77:$D$86,0)),ISNUMBER(MATCH($F3545,계정대체기준!$D$77:$D$86,0))),"Y","N")))</f>
        <v/>
      </c>
    </row>
    <row r="3546">
      <c r="A3546" s="92" t="n">
        <v>2026</v>
      </c>
      <c r="B3546" s="92" t="n">
        <v>4</v>
      </c>
      <c r="C3546" s="92" t="inlineStr">
        <is>
          <t>5100000824</t>
        </is>
      </c>
      <c r="D3546" s="95" t="n">
        <v>46129</v>
      </c>
      <c r="E3546" s="92" t="inlineStr">
        <is>
          <t>KR</t>
        </is>
      </c>
      <c r="F3546" s="92" t="n">
        <v>62101000</v>
      </c>
      <c r="G3546" s="92" t="n">
        <v>1801</v>
      </c>
      <c r="H3546" s="93" t="n">
        <v>78000</v>
      </c>
      <c r="I3546" s="92" t="inlineStr">
        <is>
          <t>4월 국내출장 - (법인카드)</t>
        </is>
      </c>
      <c r="J3546" s="92" t="inlineStr">
        <is>
          <t>V10010</t>
        </is>
      </c>
      <c r="K3546" s="92" t="inlineStr">
        <is>
          <t>(법인카드)</t>
        </is>
      </c>
      <c r="M3546" s="9">
        <f>IF($A3546="","",VALUE($A3546&amp;"")*12+VALUE($B3546&amp;""))</f>
        <v/>
      </c>
      <c r="N3546" s="64">
        <f>IF($A3546="","",IFERROR(INDEX(부서매핑!$C$5:$C$504,MATCH($G3546&amp;"",부서매핑!$A$5:$A$504,0)),"미매핑"))</f>
        <v/>
      </c>
      <c r="O3546" s="9">
        <f>IF($A3546="","",N3546&amp;"|"&amp;$F3546)</f>
        <v/>
      </c>
      <c r="P3546" s="94">
        <f>IF($A3546="",0,$H3546*설정!$C$23)</f>
        <v/>
      </c>
      <c r="Q3546" s="64">
        <f>IF($A3546="","",IF(O3546&lt;&gt;원인분석!$C$9,"",IF(AND(M3546&gt;=원인분석!$C$10,M3546&lt;=원인분석!$C$11),"당기",IF(AND(M3546&gt;=원인분석!$C$12,M3546&lt;=원인분석!$C$13),"비교",""))))</f>
        <v/>
      </c>
      <c r="R3546" s="9">
        <f>IF(Q3546="","",$K3546&amp;"")</f>
        <v/>
      </c>
      <c r="S3546" s="9">
        <f>IF(Q3546="","",IF(MATCH(R3546,$R$5:$R$100000,0)=ROW()-4,ROW(),""))</f>
        <v/>
      </c>
      <c r="T3546" s="9">
        <f>IF(Q3546="당기",ABS(P3546)+ROW()/1000000000,"")</f>
        <v/>
      </c>
      <c r="U3546" s="9">
        <f>IF(Q3546="비교",ABS(P3546)+ROW()/1000000000,"")</f>
        <v/>
      </c>
      <c r="V3546" s="64">
        <f>IF($A3546="","",IF(COUNTIF(변동분석!$E$7:$E$506,O3546)&gt;0,"Y","N"))</f>
        <v/>
      </c>
      <c r="W3546" s="64">
        <f>IF($A3546="","",IFERROR(INDEX(계정매핑!$D$5:$D$504,MATCH($F3546&amp;"",계정매핑!$A$5:$A$504,0)),"미매핑"))</f>
        <v/>
      </c>
      <c r="X3546" s="9">
        <f>IF($A3546="","",$F3546&amp;"")</f>
        <v/>
      </c>
      <c r="Y3546" s="94">
        <f>IF($A3546="",0,IF(AE3546="직접",IF(AF3546="비귀속",$P3546,0),$P3546*(1-AG3546)*IFERROR(INDEX(계정대체기준!$F$20:$F$49,MATCH($N3546,계정대체기준!$A$20:$A$49,0)),1)))</f>
        <v/>
      </c>
      <c r="Z3546" s="94">
        <f>IF($A3546="",0,IF(AE3546="직접",IF(AF3546="신계약비",$P3546,0),$P3546*(1-AG3546)*IFERROR(INDEX(계정대체기준!$C$20:$C$49,MATCH($N3546,계정대체기준!$A$20:$A$49,0)),0)))</f>
        <v/>
      </c>
      <c r="AA3546" s="94">
        <f>IF($A3546="",0,IF(AE3546="직접",IF(OR(AF3546="유지비",AF3546="손해조사비"),$P3546,0),$P3546*(1-AG3546)*IFERROR(INDEX(계정대체기준!$D$20:$D$49,MATCH($N3546,계정대체기준!$A$20:$A$49,0)),0)))</f>
        <v/>
      </c>
      <c r="AB3546" s="94">
        <f>IF($A3546="",0,IF(AE3546="직접",IF(AF3546="수금비",$P3546,0),$P3546*(1-AG3546)*IFERROR(INDEX(계정대체기준!$E$20:$E$49,MATCH($N3546,계정대체기준!$A$20:$A$49,0)),0)))</f>
        <v/>
      </c>
      <c r="AC3546" s="9">
        <f>IF(AND($A3546&lt;&gt;"",M3546=설정!$C$20,Z3546&gt;0),Z3546+ROW()/1000000000,"")</f>
        <v/>
      </c>
      <c r="AD3546" s="94">
        <f>IF($A3546="",0,$P3546*AG3546)</f>
        <v/>
      </c>
      <c r="AE3546" s="64">
        <f>IF($A3546="","",IFERROR(INDEX(계정매핑!$E$5:$E$504,MATCH($F3546&amp;"",계정매핑!$A$5:$A$504,0))&amp;"","공통비"))</f>
        <v/>
      </c>
      <c r="AF3546" s="64">
        <f>IF($A3546="","",IF(AE3546="직접",IFERROR(INDEX(계정매핑!$F$5:$F$504,MATCH($F3546&amp;"",계정매핑!$A$5:$A$504,0))&amp;"","비귀속"),""))</f>
        <v/>
      </c>
      <c r="AG3546" s="96">
        <f>IF($A3546="",0,IF(AND(AE3546&lt;&gt;"직접",IFERROR(INDEX(계정매핑!$G$5:$G$504,MATCH($F3546&amp;"",계정매핑!$A$5:$A$504,0))&amp;"","")="유지비",COUNTIF(계정대체기준!$A$6:$A$15,$N3546)&gt;0),IFERROR(INDEX(계정대체기준!$E$6:$E$15,MATCH(VALUE($A3546&amp;""),계정대체기준!$D$6:$D$15,0)),0),0))</f>
        <v/>
      </c>
      <c r="AH3546" s="64">
        <f>IF($A3546="","",IF(AD3546=0,"",IF(OR(COUNTIF(계정대체기준!$A$77:$A$86,$N3546)&gt;0,ISNUMBER(MATCH($X3546,계정대체기준!$D$77:$D$86,0)),ISNUMBER(MATCH($F3546,계정대체기준!$D$77:$D$86,0))),"Y","N")))</f>
        <v/>
      </c>
    </row>
    <row r="3547">
      <c r="A3547" s="92" t="n">
        <v>2026</v>
      </c>
      <c r="B3547" s="92" t="n">
        <v>4</v>
      </c>
      <c r="C3547" s="92" t="inlineStr">
        <is>
          <t>5100000825</t>
        </is>
      </c>
      <c r="D3547" s="95" t="n">
        <v>46129</v>
      </c>
      <c r="E3547" s="92" t="inlineStr">
        <is>
          <t>KR</t>
        </is>
      </c>
      <c r="F3547" s="92" t="n">
        <v>62301000</v>
      </c>
      <c r="G3547" s="92" t="n">
        <v>1301</v>
      </c>
      <c r="H3547" s="93" t="n">
        <v>197000</v>
      </c>
      <c r="I3547" s="92" t="inlineStr">
        <is>
          <t>4월 소모품 구입 - R문구</t>
        </is>
      </c>
      <c r="J3547" s="92" t="inlineStr">
        <is>
          <t>V10022</t>
        </is>
      </c>
      <c r="K3547" s="92" t="inlineStr">
        <is>
          <t>R문구</t>
        </is>
      </c>
      <c r="M3547" s="9">
        <f>IF($A3547="","",VALUE($A3547&amp;"")*12+VALUE($B3547&amp;""))</f>
        <v/>
      </c>
      <c r="N3547" s="64">
        <f>IF($A3547="","",IFERROR(INDEX(부서매핑!$C$5:$C$504,MATCH($G3547&amp;"",부서매핑!$A$5:$A$504,0)),"미매핑"))</f>
        <v/>
      </c>
      <c r="O3547" s="9">
        <f>IF($A3547="","",N3547&amp;"|"&amp;$F3547)</f>
        <v/>
      </c>
      <c r="P3547" s="94">
        <f>IF($A3547="",0,$H3547*설정!$C$23)</f>
        <v/>
      </c>
      <c r="Q3547" s="64">
        <f>IF($A3547="","",IF(O3547&lt;&gt;원인분석!$C$9,"",IF(AND(M3547&gt;=원인분석!$C$10,M3547&lt;=원인분석!$C$11),"당기",IF(AND(M3547&gt;=원인분석!$C$12,M3547&lt;=원인분석!$C$13),"비교",""))))</f>
        <v/>
      </c>
      <c r="R3547" s="9">
        <f>IF(Q3547="","",$K3547&amp;"")</f>
        <v/>
      </c>
      <c r="S3547" s="9">
        <f>IF(Q3547="","",IF(MATCH(R3547,$R$5:$R$100000,0)=ROW()-4,ROW(),""))</f>
        <v/>
      </c>
      <c r="T3547" s="9">
        <f>IF(Q3547="당기",ABS(P3547)+ROW()/1000000000,"")</f>
        <v/>
      </c>
      <c r="U3547" s="9">
        <f>IF(Q3547="비교",ABS(P3547)+ROW()/1000000000,"")</f>
        <v/>
      </c>
      <c r="V3547" s="64">
        <f>IF($A3547="","",IF(COUNTIF(변동분석!$E$7:$E$506,O3547)&gt;0,"Y","N"))</f>
        <v/>
      </c>
      <c r="W3547" s="64">
        <f>IF($A3547="","",IFERROR(INDEX(계정매핑!$D$5:$D$504,MATCH($F3547&amp;"",계정매핑!$A$5:$A$504,0)),"미매핑"))</f>
        <v/>
      </c>
      <c r="X3547" s="9">
        <f>IF($A3547="","",$F3547&amp;"")</f>
        <v/>
      </c>
      <c r="Y3547" s="94">
        <f>IF($A3547="",0,IF(AE3547="직접",IF(AF3547="비귀속",$P3547,0),$P3547*(1-AG3547)*IFERROR(INDEX(계정대체기준!$F$20:$F$49,MATCH($N3547,계정대체기준!$A$20:$A$49,0)),1)))</f>
        <v/>
      </c>
      <c r="Z3547" s="94">
        <f>IF($A3547="",0,IF(AE3547="직접",IF(AF3547="신계약비",$P3547,0),$P3547*(1-AG3547)*IFERROR(INDEX(계정대체기준!$C$20:$C$49,MATCH($N3547,계정대체기준!$A$20:$A$49,0)),0)))</f>
        <v/>
      </c>
      <c r="AA3547" s="94">
        <f>IF($A3547="",0,IF(AE3547="직접",IF(OR(AF3547="유지비",AF3547="손해조사비"),$P3547,0),$P3547*(1-AG3547)*IFERROR(INDEX(계정대체기준!$D$20:$D$49,MATCH($N3547,계정대체기준!$A$20:$A$49,0)),0)))</f>
        <v/>
      </c>
      <c r="AB3547" s="94">
        <f>IF($A3547="",0,IF(AE3547="직접",IF(AF3547="수금비",$P3547,0),$P3547*(1-AG3547)*IFERROR(INDEX(계정대체기준!$E$20:$E$49,MATCH($N3547,계정대체기준!$A$20:$A$49,0)),0)))</f>
        <v/>
      </c>
      <c r="AC3547" s="9">
        <f>IF(AND($A3547&lt;&gt;"",M3547=설정!$C$20,Z3547&gt;0),Z3547+ROW()/1000000000,"")</f>
        <v/>
      </c>
      <c r="AD3547" s="94">
        <f>IF($A3547="",0,$P3547*AG3547)</f>
        <v/>
      </c>
      <c r="AE3547" s="64">
        <f>IF($A3547="","",IFERROR(INDEX(계정매핑!$E$5:$E$504,MATCH($F3547&amp;"",계정매핑!$A$5:$A$504,0))&amp;"","공통비"))</f>
        <v/>
      </c>
      <c r="AF3547" s="64">
        <f>IF($A3547="","",IF(AE3547="직접",IFERROR(INDEX(계정매핑!$F$5:$F$504,MATCH($F3547&amp;"",계정매핑!$A$5:$A$504,0))&amp;"","비귀속"),""))</f>
        <v/>
      </c>
      <c r="AG3547" s="96">
        <f>IF($A3547="",0,IF(AND(AE3547&lt;&gt;"직접",IFERROR(INDEX(계정매핑!$G$5:$G$504,MATCH($F3547&amp;"",계정매핑!$A$5:$A$504,0))&amp;"","")="유지비",COUNTIF(계정대체기준!$A$6:$A$15,$N3547)&gt;0),IFERROR(INDEX(계정대체기준!$E$6:$E$15,MATCH(VALUE($A3547&amp;""),계정대체기준!$D$6:$D$15,0)),0),0))</f>
        <v/>
      </c>
      <c r="AH3547" s="64">
        <f>IF($A3547="","",IF(AD3547=0,"",IF(OR(COUNTIF(계정대체기준!$A$77:$A$86,$N3547)&gt;0,ISNUMBER(MATCH($X3547,계정대체기준!$D$77:$D$86,0)),ISNUMBER(MATCH($F3547,계정대체기준!$D$77:$D$86,0))),"Y","N")))</f>
        <v/>
      </c>
    </row>
    <row r="3548">
      <c r="A3548" s="92" t="n">
        <v>2026</v>
      </c>
      <c r="B3548" s="92" t="n">
        <v>4</v>
      </c>
      <c r="C3548" s="92" t="inlineStr">
        <is>
          <t>5100000826</t>
        </is>
      </c>
      <c r="D3548" s="95" t="n">
        <v>46129</v>
      </c>
      <c r="E3548" s="92" t="inlineStr">
        <is>
          <t>KR</t>
        </is>
      </c>
      <c r="F3548" s="92" t="n">
        <v>62301000</v>
      </c>
      <c r="G3548" s="92" t="n">
        <v>1401</v>
      </c>
      <c r="H3548" s="93" t="n">
        <v>84000</v>
      </c>
      <c r="I3548" s="92" t="inlineStr">
        <is>
          <t>4월 소모품 구입 - R문구</t>
        </is>
      </c>
      <c r="J3548" s="92" t="inlineStr">
        <is>
          <t>V10022</t>
        </is>
      </c>
      <c r="K3548" s="92" t="inlineStr">
        <is>
          <t>R문구</t>
        </is>
      </c>
      <c r="M3548" s="9">
        <f>IF($A3548="","",VALUE($A3548&amp;"")*12+VALUE($B3548&amp;""))</f>
        <v/>
      </c>
      <c r="N3548" s="64">
        <f>IF($A3548="","",IFERROR(INDEX(부서매핑!$C$5:$C$504,MATCH($G3548&amp;"",부서매핑!$A$5:$A$504,0)),"미매핑"))</f>
        <v/>
      </c>
      <c r="O3548" s="9">
        <f>IF($A3548="","",N3548&amp;"|"&amp;$F3548)</f>
        <v/>
      </c>
      <c r="P3548" s="94">
        <f>IF($A3548="",0,$H3548*설정!$C$23)</f>
        <v/>
      </c>
      <c r="Q3548" s="64">
        <f>IF($A3548="","",IF(O3548&lt;&gt;원인분석!$C$9,"",IF(AND(M3548&gt;=원인분석!$C$10,M3548&lt;=원인분석!$C$11),"당기",IF(AND(M3548&gt;=원인분석!$C$12,M3548&lt;=원인분석!$C$13),"비교",""))))</f>
        <v/>
      </c>
      <c r="R3548" s="9">
        <f>IF(Q3548="","",$K3548&amp;"")</f>
        <v/>
      </c>
      <c r="S3548" s="9">
        <f>IF(Q3548="","",IF(MATCH(R3548,$R$5:$R$100000,0)=ROW()-4,ROW(),""))</f>
        <v/>
      </c>
      <c r="T3548" s="9">
        <f>IF(Q3548="당기",ABS(P3548)+ROW()/1000000000,"")</f>
        <v/>
      </c>
      <c r="U3548" s="9">
        <f>IF(Q3548="비교",ABS(P3548)+ROW()/1000000000,"")</f>
        <v/>
      </c>
      <c r="V3548" s="64">
        <f>IF($A3548="","",IF(COUNTIF(변동분석!$E$7:$E$506,O3548)&gt;0,"Y","N"))</f>
        <v/>
      </c>
      <c r="W3548" s="64">
        <f>IF($A3548="","",IFERROR(INDEX(계정매핑!$D$5:$D$504,MATCH($F3548&amp;"",계정매핑!$A$5:$A$504,0)),"미매핑"))</f>
        <v/>
      </c>
      <c r="X3548" s="9">
        <f>IF($A3548="","",$F3548&amp;"")</f>
        <v/>
      </c>
      <c r="Y3548" s="94">
        <f>IF($A3548="",0,IF(AE3548="직접",IF(AF3548="비귀속",$P3548,0),$P3548*(1-AG3548)*IFERROR(INDEX(계정대체기준!$F$20:$F$49,MATCH($N3548,계정대체기준!$A$20:$A$49,0)),1)))</f>
        <v/>
      </c>
      <c r="Z3548" s="94">
        <f>IF($A3548="",0,IF(AE3548="직접",IF(AF3548="신계약비",$P3548,0),$P3548*(1-AG3548)*IFERROR(INDEX(계정대체기준!$C$20:$C$49,MATCH($N3548,계정대체기준!$A$20:$A$49,0)),0)))</f>
        <v/>
      </c>
      <c r="AA3548" s="94">
        <f>IF($A3548="",0,IF(AE3548="직접",IF(OR(AF3548="유지비",AF3548="손해조사비"),$P3548,0),$P3548*(1-AG3548)*IFERROR(INDEX(계정대체기준!$D$20:$D$49,MATCH($N3548,계정대체기준!$A$20:$A$49,0)),0)))</f>
        <v/>
      </c>
      <c r="AB3548" s="94">
        <f>IF($A3548="",0,IF(AE3548="직접",IF(AF3548="수금비",$P3548,0),$P3548*(1-AG3548)*IFERROR(INDEX(계정대체기준!$E$20:$E$49,MATCH($N3548,계정대체기준!$A$20:$A$49,0)),0)))</f>
        <v/>
      </c>
      <c r="AC3548" s="9">
        <f>IF(AND($A3548&lt;&gt;"",M3548=설정!$C$20,Z3548&gt;0),Z3548+ROW()/1000000000,"")</f>
        <v/>
      </c>
      <c r="AD3548" s="94">
        <f>IF($A3548="",0,$P3548*AG3548)</f>
        <v/>
      </c>
      <c r="AE3548" s="64">
        <f>IF($A3548="","",IFERROR(INDEX(계정매핑!$E$5:$E$504,MATCH($F3548&amp;"",계정매핑!$A$5:$A$504,0))&amp;"","공통비"))</f>
        <v/>
      </c>
      <c r="AF3548" s="64">
        <f>IF($A3548="","",IF(AE3548="직접",IFERROR(INDEX(계정매핑!$F$5:$F$504,MATCH($F3548&amp;"",계정매핑!$A$5:$A$504,0))&amp;"","비귀속"),""))</f>
        <v/>
      </c>
      <c r="AG3548" s="96">
        <f>IF($A3548="",0,IF(AND(AE3548&lt;&gt;"직접",IFERROR(INDEX(계정매핑!$G$5:$G$504,MATCH($F3548&amp;"",계정매핑!$A$5:$A$504,0))&amp;"","")="유지비",COUNTIF(계정대체기준!$A$6:$A$15,$N3548)&gt;0),IFERROR(INDEX(계정대체기준!$E$6:$E$15,MATCH(VALUE($A3548&amp;""),계정대체기준!$D$6:$D$15,0)),0),0))</f>
        <v/>
      </c>
      <c r="AH3548" s="64">
        <f>IF($A3548="","",IF(AD3548=0,"",IF(OR(COUNTIF(계정대체기준!$A$77:$A$86,$N3548)&gt;0,ISNUMBER(MATCH($X3548,계정대체기준!$D$77:$D$86,0)),ISNUMBER(MATCH($F3548,계정대체기준!$D$77:$D$86,0))),"Y","N")))</f>
        <v/>
      </c>
    </row>
    <row r="3549">
      <c r="A3549" s="92" t="n">
        <v>2026</v>
      </c>
      <c r="B3549" s="92" t="n">
        <v>4</v>
      </c>
      <c r="C3549" s="92" t="inlineStr">
        <is>
          <t>5100000827</t>
        </is>
      </c>
      <c r="D3549" s="95" t="n">
        <v>46129</v>
      </c>
      <c r="E3549" s="92" t="inlineStr">
        <is>
          <t>KR</t>
        </is>
      </c>
      <c r="F3549" s="92" t="n">
        <v>62501000</v>
      </c>
      <c r="G3549" s="92" t="n">
        <v>1502</v>
      </c>
      <c r="H3549" s="93" t="n">
        <v>367000</v>
      </c>
      <c r="I3549" s="92" t="inlineStr">
        <is>
          <t>4월 회의 다과 - (법인카드)</t>
        </is>
      </c>
      <c r="J3549" s="92" t="inlineStr">
        <is>
          <t>V10010</t>
        </is>
      </c>
      <c r="K3549" s="92" t="inlineStr">
        <is>
          <t>(법인카드)</t>
        </is>
      </c>
      <c r="M3549" s="9">
        <f>IF($A3549="","",VALUE($A3549&amp;"")*12+VALUE($B3549&amp;""))</f>
        <v/>
      </c>
      <c r="N3549" s="64">
        <f>IF($A3549="","",IFERROR(INDEX(부서매핑!$C$5:$C$504,MATCH($G3549&amp;"",부서매핑!$A$5:$A$504,0)),"미매핑"))</f>
        <v/>
      </c>
      <c r="O3549" s="9">
        <f>IF($A3549="","",N3549&amp;"|"&amp;$F3549)</f>
        <v/>
      </c>
      <c r="P3549" s="94">
        <f>IF($A3549="",0,$H3549*설정!$C$23)</f>
        <v/>
      </c>
      <c r="Q3549" s="64">
        <f>IF($A3549="","",IF(O3549&lt;&gt;원인분석!$C$9,"",IF(AND(M3549&gt;=원인분석!$C$10,M3549&lt;=원인분석!$C$11),"당기",IF(AND(M3549&gt;=원인분석!$C$12,M3549&lt;=원인분석!$C$13),"비교",""))))</f>
        <v/>
      </c>
      <c r="R3549" s="9">
        <f>IF(Q3549="","",$K3549&amp;"")</f>
        <v/>
      </c>
      <c r="S3549" s="9">
        <f>IF(Q3549="","",IF(MATCH(R3549,$R$5:$R$100000,0)=ROW()-4,ROW(),""))</f>
        <v/>
      </c>
      <c r="T3549" s="9">
        <f>IF(Q3549="당기",ABS(P3549)+ROW()/1000000000,"")</f>
        <v/>
      </c>
      <c r="U3549" s="9">
        <f>IF(Q3549="비교",ABS(P3549)+ROW()/1000000000,"")</f>
        <v/>
      </c>
      <c r="V3549" s="64">
        <f>IF($A3549="","",IF(COUNTIF(변동분석!$E$7:$E$506,O3549)&gt;0,"Y","N"))</f>
        <v/>
      </c>
      <c r="W3549" s="64">
        <f>IF($A3549="","",IFERROR(INDEX(계정매핑!$D$5:$D$504,MATCH($F3549&amp;"",계정매핑!$A$5:$A$504,0)),"미매핑"))</f>
        <v/>
      </c>
      <c r="X3549" s="9">
        <f>IF($A3549="","",$F3549&amp;"")</f>
        <v/>
      </c>
      <c r="Y3549" s="94">
        <f>IF($A3549="",0,IF(AE3549="직접",IF(AF3549="비귀속",$P3549,0),$P3549*(1-AG3549)*IFERROR(INDEX(계정대체기준!$F$20:$F$49,MATCH($N3549,계정대체기준!$A$20:$A$49,0)),1)))</f>
        <v/>
      </c>
      <c r="Z3549" s="94">
        <f>IF($A3549="",0,IF(AE3549="직접",IF(AF3549="신계약비",$P3549,0),$P3549*(1-AG3549)*IFERROR(INDEX(계정대체기준!$C$20:$C$49,MATCH($N3549,계정대체기준!$A$20:$A$49,0)),0)))</f>
        <v/>
      </c>
      <c r="AA3549" s="94">
        <f>IF($A3549="",0,IF(AE3549="직접",IF(OR(AF3549="유지비",AF3549="손해조사비"),$P3549,0),$P3549*(1-AG3549)*IFERROR(INDEX(계정대체기준!$D$20:$D$49,MATCH($N3549,계정대체기준!$A$20:$A$49,0)),0)))</f>
        <v/>
      </c>
      <c r="AB3549" s="94">
        <f>IF($A3549="",0,IF(AE3549="직접",IF(AF3549="수금비",$P3549,0),$P3549*(1-AG3549)*IFERROR(INDEX(계정대체기준!$E$20:$E$49,MATCH($N3549,계정대체기준!$A$20:$A$49,0)),0)))</f>
        <v/>
      </c>
      <c r="AC3549" s="9">
        <f>IF(AND($A3549&lt;&gt;"",M3549=설정!$C$20,Z3549&gt;0),Z3549+ROW()/1000000000,"")</f>
        <v/>
      </c>
      <c r="AD3549" s="94">
        <f>IF($A3549="",0,$P3549*AG3549)</f>
        <v/>
      </c>
      <c r="AE3549" s="64">
        <f>IF($A3549="","",IFERROR(INDEX(계정매핑!$E$5:$E$504,MATCH($F3549&amp;"",계정매핑!$A$5:$A$504,0))&amp;"","공통비"))</f>
        <v/>
      </c>
      <c r="AF3549" s="64">
        <f>IF($A3549="","",IF(AE3549="직접",IFERROR(INDEX(계정매핑!$F$5:$F$504,MATCH($F3549&amp;"",계정매핑!$A$5:$A$504,0))&amp;"","비귀속"),""))</f>
        <v/>
      </c>
      <c r="AG3549" s="96">
        <f>IF($A3549="",0,IF(AND(AE3549&lt;&gt;"직접",IFERROR(INDEX(계정매핑!$G$5:$G$504,MATCH($F3549&amp;"",계정매핑!$A$5:$A$504,0))&amp;"","")="유지비",COUNTIF(계정대체기준!$A$6:$A$15,$N3549)&gt;0),IFERROR(INDEX(계정대체기준!$E$6:$E$15,MATCH(VALUE($A3549&amp;""),계정대체기준!$D$6:$D$15,0)),0),0))</f>
        <v/>
      </c>
      <c r="AH3549" s="64">
        <f>IF($A3549="","",IF(AD3549=0,"",IF(OR(COUNTIF(계정대체기준!$A$77:$A$86,$N3549)&gt;0,ISNUMBER(MATCH($X3549,계정대체기준!$D$77:$D$86,0)),ISNUMBER(MATCH($F3549,계정대체기준!$D$77:$D$86,0))),"Y","N")))</f>
        <v/>
      </c>
    </row>
    <row r="3550">
      <c r="A3550" s="92" t="n">
        <v>2026</v>
      </c>
      <c r="B3550" s="92" t="n">
        <v>4</v>
      </c>
      <c r="C3550" s="92" t="inlineStr">
        <is>
          <t>5100000828</t>
        </is>
      </c>
      <c r="D3550" s="95" t="n">
        <v>46129</v>
      </c>
      <c r="E3550" s="92" t="inlineStr">
        <is>
          <t>KR</t>
        </is>
      </c>
      <c r="F3550" s="92" t="n">
        <v>62601000</v>
      </c>
      <c r="G3550" s="92" t="n">
        <v>1601</v>
      </c>
      <c r="H3550" s="93" t="n">
        <v>2986000</v>
      </c>
      <c r="I3550" s="92" t="inlineStr">
        <is>
          <t>4월 업무추진 - (법인카드)</t>
        </is>
      </c>
      <c r="J3550" s="92" t="inlineStr">
        <is>
          <t>V10010</t>
        </is>
      </c>
      <c r="K3550" s="92" t="inlineStr">
        <is>
          <t>(법인카드)</t>
        </is>
      </c>
      <c r="M3550" s="9">
        <f>IF($A3550="","",VALUE($A3550&amp;"")*12+VALUE($B3550&amp;""))</f>
        <v/>
      </c>
      <c r="N3550" s="64">
        <f>IF($A3550="","",IFERROR(INDEX(부서매핑!$C$5:$C$504,MATCH($G3550&amp;"",부서매핑!$A$5:$A$504,0)),"미매핑"))</f>
        <v/>
      </c>
      <c r="O3550" s="9">
        <f>IF($A3550="","",N3550&amp;"|"&amp;$F3550)</f>
        <v/>
      </c>
      <c r="P3550" s="94">
        <f>IF($A3550="",0,$H3550*설정!$C$23)</f>
        <v/>
      </c>
      <c r="Q3550" s="64">
        <f>IF($A3550="","",IF(O3550&lt;&gt;원인분석!$C$9,"",IF(AND(M3550&gt;=원인분석!$C$10,M3550&lt;=원인분석!$C$11),"당기",IF(AND(M3550&gt;=원인분석!$C$12,M3550&lt;=원인분석!$C$13),"비교",""))))</f>
        <v/>
      </c>
      <c r="R3550" s="9">
        <f>IF(Q3550="","",$K3550&amp;"")</f>
        <v/>
      </c>
      <c r="S3550" s="9">
        <f>IF(Q3550="","",IF(MATCH(R3550,$R$5:$R$100000,0)=ROW()-4,ROW(),""))</f>
        <v/>
      </c>
      <c r="T3550" s="9">
        <f>IF(Q3550="당기",ABS(P3550)+ROW()/1000000000,"")</f>
        <v/>
      </c>
      <c r="U3550" s="9">
        <f>IF(Q3550="비교",ABS(P3550)+ROW()/1000000000,"")</f>
        <v/>
      </c>
      <c r="V3550" s="64">
        <f>IF($A3550="","",IF(COUNTIF(변동분석!$E$7:$E$506,O3550)&gt;0,"Y","N"))</f>
        <v/>
      </c>
      <c r="W3550" s="64">
        <f>IF($A3550="","",IFERROR(INDEX(계정매핑!$D$5:$D$504,MATCH($F3550&amp;"",계정매핑!$A$5:$A$504,0)),"미매핑"))</f>
        <v/>
      </c>
      <c r="X3550" s="9">
        <f>IF($A3550="","",$F3550&amp;"")</f>
        <v/>
      </c>
      <c r="Y3550" s="94">
        <f>IF($A3550="",0,IF(AE3550="직접",IF(AF3550="비귀속",$P3550,0),$P3550*(1-AG3550)*IFERROR(INDEX(계정대체기준!$F$20:$F$49,MATCH($N3550,계정대체기준!$A$20:$A$49,0)),1)))</f>
        <v/>
      </c>
      <c r="Z3550" s="94">
        <f>IF($A3550="",0,IF(AE3550="직접",IF(AF3550="신계약비",$P3550,0),$P3550*(1-AG3550)*IFERROR(INDEX(계정대체기준!$C$20:$C$49,MATCH($N3550,계정대체기준!$A$20:$A$49,0)),0)))</f>
        <v/>
      </c>
      <c r="AA3550" s="94">
        <f>IF($A3550="",0,IF(AE3550="직접",IF(OR(AF3550="유지비",AF3550="손해조사비"),$P3550,0),$P3550*(1-AG3550)*IFERROR(INDEX(계정대체기준!$D$20:$D$49,MATCH($N3550,계정대체기준!$A$20:$A$49,0)),0)))</f>
        <v/>
      </c>
      <c r="AB3550" s="94">
        <f>IF($A3550="",0,IF(AE3550="직접",IF(AF3550="수금비",$P3550,0),$P3550*(1-AG3550)*IFERROR(INDEX(계정대체기준!$E$20:$E$49,MATCH($N3550,계정대체기준!$A$20:$A$49,0)),0)))</f>
        <v/>
      </c>
      <c r="AC3550" s="9">
        <f>IF(AND($A3550&lt;&gt;"",M3550=설정!$C$20,Z3550&gt;0),Z3550+ROW()/1000000000,"")</f>
        <v/>
      </c>
      <c r="AD3550" s="94">
        <f>IF($A3550="",0,$P3550*AG3550)</f>
        <v/>
      </c>
      <c r="AE3550" s="64">
        <f>IF($A3550="","",IFERROR(INDEX(계정매핑!$E$5:$E$504,MATCH($F3550&amp;"",계정매핑!$A$5:$A$504,0))&amp;"","공통비"))</f>
        <v/>
      </c>
      <c r="AF3550" s="64">
        <f>IF($A3550="","",IF(AE3550="직접",IFERROR(INDEX(계정매핑!$F$5:$F$504,MATCH($F3550&amp;"",계정매핑!$A$5:$A$504,0))&amp;"","비귀속"),""))</f>
        <v/>
      </c>
      <c r="AG3550" s="96">
        <f>IF($A3550="",0,IF(AND(AE3550&lt;&gt;"직접",IFERROR(INDEX(계정매핑!$G$5:$G$504,MATCH($F3550&amp;"",계정매핑!$A$5:$A$504,0))&amp;"","")="유지비",COUNTIF(계정대체기준!$A$6:$A$15,$N3550)&gt;0),IFERROR(INDEX(계정대체기준!$E$6:$E$15,MATCH(VALUE($A3550&amp;""),계정대체기준!$D$6:$D$15,0)),0),0))</f>
        <v/>
      </c>
      <c r="AH3550" s="64">
        <f>IF($A3550="","",IF(AD3550=0,"",IF(OR(COUNTIF(계정대체기준!$A$77:$A$86,$N3550)&gt;0,ISNUMBER(MATCH($X3550,계정대체기준!$D$77:$D$86,0)),ISNUMBER(MATCH($F3550,계정대체기준!$D$77:$D$86,0))),"Y","N")))</f>
        <v/>
      </c>
    </row>
    <row r="3551">
      <c r="A3551" s="92" t="n">
        <v>2026</v>
      </c>
      <c r="B3551" s="92" t="n">
        <v>4</v>
      </c>
      <c r="C3551" s="92" t="inlineStr">
        <is>
          <t>5100000829</t>
        </is>
      </c>
      <c r="D3551" s="95" t="n">
        <v>46129</v>
      </c>
      <c r="E3551" s="92" t="inlineStr">
        <is>
          <t>KR</t>
        </is>
      </c>
      <c r="F3551" s="92" t="n">
        <v>62901000</v>
      </c>
      <c r="G3551" s="92" t="n">
        <v>1401</v>
      </c>
      <c r="H3551" s="93" t="n">
        <v>8967000</v>
      </c>
      <c r="I3551" s="92" t="inlineStr">
        <is>
          <t>4월 자문 수수료 - K회계법인</t>
        </is>
      </c>
      <c r="J3551" s="92" t="inlineStr">
        <is>
          <t>V10011</t>
        </is>
      </c>
      <c r="K3551" s="92" t="inlineStr">
        <is>
          <t>K회계법인</t>
        </is>
      </c>
      <c r="M3551" s="9">
        <f>IF($A3551="","",VALUE($A3551&amp;"")*12+VALUE($B3551&amp;""))</f>
        <v/>
      </c>
      <c r="N3551" s="64">
        <f>IF($A3551="","",IFERROR(INDEX(부서매핑!$C$5:$C$504,MATCH($G3551&amp;"",부서매핑!$A$5:$A$504,0)),"미매핑"))</f>
        <v/>
      </c>
      <c r="O3551" s="9">
        <f>IF($A3551="","",N3551&amp;"|"&amp;$F3551)</f>
        <v/>
      </c>
      <c r="P3551" s="94">
        <f>IF($A3551="",0,$H3551*설정!$C$23)</f>
        <v/>
      </c>
      <c r="Q3551" s="64">
        <f>IF($A3551="","",IF(O3551&lt;&gt;원인분석!$C$9,"",IF(AND(M3551&gt;=원인분석!$C$10,M3551&lt;=원인분석!$C$11),"당기",IF(AND(M3551&gt;=원인분석!$C$12,M3551&lt;=원인분석!$C$13),"비교",""))))</f>
        <v/>
      </c>
      <c r="R3551" s="9">
        <f>IF(Q3551="","",$K3551&amp;"")</f>
        <v/>
      </c>
      <c r="S3551" s="9">
        <f>IF(Q3551="","",IF(MATCH(R3551,$R$5:$R$100000,0)=ROW()-4,ROW(),""))</f>
        <v/>
      </c>
      <c r="T3551" s="9">
        <f>IF(Q3551="당기",ABS(P3551)+ROW()/1000000000,"")</f>
        <v/>
      </c>
      <c r="U3551" s="9">
        <f>IF(Q3551="비교",ABS(P3551)+ROW()/1000000000,"")</f>
        <v/>
      </c>
      <c r="V3551" s="64">
        <f>IF($A3551="","",IF(COUNTIF(변동분석!$E$7:$E$506,O3551)&gt;0,"Y","N"))</f>
        <v/>
      </c>
      <c r="W3551" s="64">
        <f>IF($A3551="","",IFERROR(INDEX(계정매핑!$D$5:$D$504,MATCH($F3551&amp;"",계정매핑!$A$5:$A$504,0)),"미매핑"))</f>
        <v/>
      </c>
      <c r="X3551" s="9">
        <f>IF($A3551="","",$F3551&amp;"")</f>
        <v/>
      </c>
      <c r="Y3551" s="94">
        <f>IF($A3551="",0,IF(AE3551="직접",IF(AF3551="비귀속",$P3551,0),$P3551*(1-AG3551)*IFERROR(INDEX(계정대체기준!$F$20:$F$49,MATCH($N3551,계정대체기준!$A$20:$A$49,0)),1)))</f>
        <v/>
      </c>
      <c r="Z3551" s="94">
        <f>IF($A3551="",0,IF(AE3551="직접",IF(AF3551="신계약비",$P3551,0),$P3551*(1-AG3551)*IFERROR(INDEX(계정대체기준!$C$20:$C$49,MATCH($N3551,계정대체기준!$A$20:$A$49,0)),0)))</f>
        <v/>
      </c>
      <c r="AA3551" s="94">
        <f>IF($A3551="",0,IF(AE3551="직접",IF(OR(AF3551="유지비",AF3551="손해조사비"),$P3551,0),$P3551*(1-AG3551)*IFERROR(INDEX(계정대체기준!$D$20:$D$49,MATCH($N3551,계정대체기준!$A$20:$A$49,0)),0)))</f>
        <v/>
      </c>
      <c r="AB3551" s="94">
        <f>IF($A3551="",0,IF(AE3551="직접",IF(AF3551="수금비",$P3551,0),$P3551*(1-AG3551)*IFERROR(INDEX(계정대체기준!$E$20:$E$49,MATCH($N3551,계정대체기준!$A$20:$A$49,0)),0)))</f>
        <v/>
      </c>
      <c r="AC3551" s="9">
        <f>IF(AND($A3551&lt;&gt;"",M3551=설정!$C$20,Z3551&gt;0),Z3551+ROW()/1000000000,"")</f>
        <v/>
      </c>
      <c r="AD3551" s="94">
        <f>IF($A3551="",0,$P3551*AG3551)</f>
        <v/>
      </c>
      <c r="AE3551" s="64">
        <f>IF($A3551="","",IFERROR(INDEX(계정매핑!$E$5:$E$504,MATCH($F3551&amp;"",계정매핑!$A$5:$A$504,0))&amp;"","공통비"))</f>
        <v/>
      </c>
      <c r="AF3551" s="64">
        <f>IF($A3551="","",IF(AE3551="직접",IFERROR(INDEX(계정매핑!$F$5:$F$504,MATCH($F3551&amp;"",계정매핑!$A$5:$A$504,0))&amp;"","비귀속"),""))</f>
        <v/>
      </c>
      <c r="AG3551" s="96">
        <f>IF($A3551="",0,IF(AND(AE3551&lt;&gt;"직접",IFERROR(INDEX(계정매핑!$G$5:$G$504,MATCH($F3551&amp;"",계정매핑!$A$5:$A$504,0))&amp;"","")="유지비",COUNTIF(계정대체기준!$A$6:$A$15,$N3551)&gt;0),IFERROR(INDEX(계정대체기준!$E$6:$E$15,MATCH(VALUE($A3551&amp;""),계정대체기준!$D$6:$D$15,0)),0),0))</f>
        <v/>
      </c>
      <c r="AH3551" s="64">
        <f>IF($A3551="","",IF(AD3551=0,"",IF(OR(COUNTIF(계정대체기준!$A$77:$A$86,$N3551)&gt;0,ISNUMBER(MATCH($X3551,계정대체기준!$D$77:$D$86,0)),ISNUMBER(MATCH($F3551,계정대체기준!$D$77:$D$86,0))),"Y","N")))</f>
        <v/>
      </c>
    </row>
    <row r="3552">
      <c r="A3552" s="92" t="n">
        <v>2026</v>
      </c>
      <c r="B3552" s="92" t="n">
        <v>4</v>
      </c>
      <c r="C3552" s="92" t="inlineStr">
        <is>
          <t>5100000830</t>
        </is>
      </c>
      <c r="D3552" s="95" t="n">
        <v>46129</v>
      </c>
      <c r="E3552" s="92" t="inlineStr">
        <is>
          <t>KR</t>
        </is>
      </c>
      <c r="F3552" s="92" t="n">
        <v>62902000</v>
      </c>
      <c r="G3552" s="92" t="n">
        <v>1801</v>
      </c>
      <c r="H3552" s="93" t="n">
        <v>1768000</v>
      </c>
      <c r="I3552" s="92" t="inlineStr">
        <is>
          <t>4월 콜 위탁 수수료(건별)</t>
        </is>
      </c>
      <c r="J3552" s="92" t="inlineStr">
        <is>
          <t>V10016</t>
        </is>
      </c>
      <c r="K3552" s="92" t="inlineStr">
        <is>
          <t>J콜센터</t>
        </is>
      </c>
      <c r="M3552" s="9">
        <f>IF($A3552="","",VALUE($A3552&amp;"")*12+VALUE($B3552&amp;""))</f>
        <v/>
      </c>
      <c r="N3552" s="64">
        <f>IF($A3552="","",IFERROR(INDEX(부서매핑!$C$5:$C$504,MATCH($G3552&amp;"",부서매핑!$A$5:$A$504,0)),"미매핑"))</f>
        <v/>
      </c>
      <c r="O3552" s="9">
        <f>IF($A3552="","",N3552&amp;"|"&amp;$F3552)</f>
        <v/>
      </c>
      <c r="P3552" s="94">
        <f>IF($A3552="",0,$H3552*설정!$C$23)</f>
        <v/>
      </c>
      <c r="Q3552" s="64">
        <f>IF($A3552="","",IF(O3552&lt;&gt;원인분석!$C$9,"",IF(AND(M3552&gt;=원인분석!$C$10,M3552&lt;=원인분석!$C$11),"당기",IF(AND(M3552&gt;=원인분석!$C$12,M3552&lt;=원인분석!$C$13),"비교",""))))</f>
        <v/>
      </c>
      <c r="R3552" s="9">
        <f>IF(Q3552="","",$K3552&amp;"")</f>
        <v/>
      </c>
      <c r="S3552" s="9">
        <f>IF(Q3552="","",IF(MATCH(R3552,$R$5:$R$100000,0)=ROW()-4,ROW(),""))</f>
        <v/>
      </c>
      <c r="T3552" s="9">
        <f>IF(Q3552="당기",ABS(P3552)+ROW()/1000000000,"")</f>
        <v/>
      </c>
      <c r="U3552" s="9">
        <f>IF(Q3552="비교",ABS(P3552)+ROW()/1000000000,"")</f>
        <v/>
      </c>
      <c r="V3552" s="64">
        <f>IF($A3552="","",IF(COUNTIF(변동분석!$E$7:$E$506,O3552)&gt;0,"Y","N"))</f>
        <v/>
      </c>
      <c r="W3552" s="64">
        <f>IF($A3552="","",IFERROR(INDEX(계정매핑!$D$5:$D$504,MATCH($F3552&amp;"",계정매핑!$A$5:$A$504,0)),"미매핑"))</f>
        <v/>
      </c>
      <c r="X3552" s="9">
        <f>IF($A3552="","",$F3552&amp;"")</f>
        <v/>
      </c>
      <c r="Y3552" s="94">
        <f>IF($A3552="",0,IF(AE3552="직접",IF(AF3552="비귀속",$P3552,0),$P3552*(1-AG3552)*IFERROR(INDEX(계정대체기준!$F$20:$F$49,MATCH($N3552,계정대체기준!$A$20:$A$49,0)),1)))</f>
        <v/>
      </c>
      <c r="Z3552" s="94">
        <f>IF($A3552="",0,IF(AE3552="직접",IF(AF3552="신계약비",$P3552,0),$P3552*(1-AG3552)*IFERROR(INDEX(계정대체기준!$C$20:$C$49,MATCH($N3552,계정대체기준!$A$20:$A$49,0)),0)))</f>
        <v/>
      </c>
      <c r="AA3552" s="94">
        <f>IF($A3552="",0,IF(AE3552="직접",IF(OR(AF3552="유지비",AF3552="손해조사비"),$P3552,0),$P3552*(1-AG3552)*IFERROR(INDEX(계정대체기준!$D$20:$D$49,MATCH($N3552,계정대체기준!$A$20:$A$49,0)),0)))</f>
        <v/>
      </c>
      <c r="AB3552" s="94">
        <f>IF($A3552="",0,IF(AE3552="직접",IF(AF3552="수금비",$P3552,0),$P3552*(1-AG3552)*IFERROR(INDEX(계정대체기준!$E$20:$E$49,MATCH($N3552,계정대체기준!$A$20:$A$49,0)),0)))</f>
        <v/>
      </c>
      <c r="AC3552" s="9">
        <f>IF(AND($A3552&lt;&gt;"",M3552=설정!$C$20,Z3552&gt;0),Z3552+ROW()/1000000000,"")</f>
        <v/>
      </c>
      <c r="AD3552" s="94">
        <f>IF($A3552="",0,$P3552*AG3552)</f>
        <v/>
      </c>
      <c r="AE3552" s="64">
        <f>IF($A3552="","",IFERROR(INDEX(계정매핑!$E$5:$E$504,MATCH($F3552&amp;"",계정매핑!$A$5:$A$504,0))&amp;"","공통비"))</f>
        <v/>
      </c>
      <c r="AF3552" s="64">
        <f>IF($A3552="","",IF(AE3552="직접",IFERROR(INDEX(계정매핑!$F$5:$F$504,MATCH($F3552&amp;"",계정매핑!$A$5:$A$504,0))&amp;"","비귀속"),""))</f>
        <v/>
      </c>
      <c r="AG3552" s="96">
        <f>IF($A3552="",0,IF(AND(AE3552&lt;&gt;"직접",IFERROR(INDEX(계정매핑!$G$5:$G$504,MATCH($F3552&amp;"",계정매핑!$A$5:$A$504,0))&amp;"","")="유지비",COUNTIF(계정대체기준!$A$6:$A$15,$N3552)&gt;0),IFERROR(INDEX(계정대체기준!$E$6:$E$15,MATCH(VALUE($A3552&amp;""),계정대체기준!$D$6:$D$15,0)),0),0))</f>
        <v/>
      </c>
      <c r="AH3552" s="64">
        <f>IF($A3552="","",IF(AD3552=0,"",IF(OR(COUNTIF(계정대체기준!$A$77:$A$86,$N3552)&gt;0,ISNUMBER(MATCH($X3552,계정대체기준!$D$77:$D$86,0)),ISNUMBER(MATCH($F3552,계정대체기준!$D$77:$D$86,0))),"Y","N")))</f>
        <v/>
      </c>
    </row>
    <row r="3553">
      <c r="A3553" s="92" t="n">
        <v>2026</v>
      </c>
      <c r="B3553" s="92" t="n">
        <v>4</v>
      </c>
      <c r="C3553" s="92" t="inlineStr">
        <is>
          <t>5100000831</t>
        </is>
      </c>
      <c r="D3553" s="95" t="n">
        <v>46129</v>
      </c>
      <c r="E3553" s="92" t="inlineStr">
        <is>
          <t>KR</t>
        </is>
      </c>
      <c r="F3553" s="92" t="n">
        <v>63502000</v>
      </c>
      <c r="G3553" s="92" t="n">
        <v>1901</v>
      </c>
      <c r="H3553" s="93" t="n">
        <v>137041000</v>
      </c>
      <c r="I3553" s="92" t="inlineStr">
        <is>
          <t>4월 유지수수료 - CC금융서비스</t>
        </is>
      </c>
      <c r="J3553" s="92" t="inlineStr">
        <is>
          <t>V10029</t>
        </is>
      </c>
      <c r="K3553" s="92" t="inlineStr">
        <is>
          <t>CC금융서비스</t>
        </is>
      </c>
      <c r="M3553" s="9">
        <f>IF($A3553="","",VALUE($A3553&amp;"")*12+VALUE($B3553&amp;""))</f>
        <v/>
      </c>
      <c r="N3553" s="64">
        <f>IF($A3553="","",IFERROR(INDEX(부서매핑!$C$5:$C$504,MATCH($G3553&amp;"",부서매핑!$A$5:$A$504,0)),"미매핑"))</f>
        <v/>
      </c>
      <c r="O3553" s="9">
        <f>IF($A3553="","",N3553&amp;"|"&amp;$F3553)</f>
        <v/>
      </c>
      <c r="P3553" s="94">
        <f>IF($A3553="",0,$H3553*설정!$C$23)</f>
        <v/>
      </c>
      <c r="Q3553" s="64">
        <f>IF($A3553="","",IF(O3553&lt;&gt;원인분석!$C$9,"",IF(AND(M3553&gt;=원인분석!$C$10,M3553&lt;=원인분석!$C$11),"당기",IF(AND(M3553&gt;=원인분석!$C$12,M3553&lt;=원인분석!$C$13),"비교",""))))</f>
        <v/>
      </c>
      <c r="R3553" s="9">
        <f>IF(Q3553="","",$K3553&amp;"")</f>
        <v/>
      </c>
      <c r="S3553" s="9">
        <f>IF(Q3553="","",IF(MATCH(R3553,$R$5:$R$100000,0)=ROW()-4,ROW(),""))</f>
        <v/>
      </c>
      <c r="T3553" s="9">
        <f>IF(Q3553="당기",ABS(P3553)+ROW()/1000000000,"")</f>
        <v/>
      </c>
      <c r="U3553" s="9">
        <f>IF(Q3553="비교",ABS(P3553)+ROW()/1000000000,"")</f>
        <v/>
      </c>
      <c r="V3553" s="64">
        <f>IF($A3553="","",IF(COUNTIF(변동분석!$E$7:$E$506,O3553)&gt;0,"Y","N"))</f>
        <v/>
      </c>
      <c r="W3553" s="64">
        <f>IF($A3553="","",IFERROR(INDEX(계정매핑!$D$5:$D$504,MATCH($F3553&amp;"",계정매핑!$A$5:$A$504,0)),"미매핑"))</f>
        <v/>
      </c>
      <c r="X3553" s="9">
        <f>IF($A3553="","",$F3553&amp;"")</f>
        <v/>
      </c>
      <c r="Y3553" s="94">
        <f>IF($A3553="",0,IF(AE3553="직접",IF(AF3553="비귀속",$P3553,0),$P3553*(1-AG3553)*IFERROR(INDEX(계정대체기준!$F$20:$F$49,MATCH($N3553,계정대체기준!$A$20:$A$49,0)),1)))</f>
        <v/>
      </c>
      <c r="Z3553" s="94">
        <f>IF($A3553="",0,IF(AE3553="직접",IF(AF3553="신계약비",$P3553,0),$P3553*(1-AG3553)*IFERROR(INDEX(계정대체기준!$C$20:$C$49,MATCH($N3553,계정대체기준!$A$20:$A$49,0)),0)))</f>
        <v/>
      </c>
      <c r="AA3553" s="94">
        <f>IF($A3553="",0,IF(AE3553="직접",IF(OR(AF3553="유지비",AF3553="손해조사비"),$P3553,0),$P3553*(1-AG3553)*IFERROR(INDEX(계정대체기준!$D$20:$D$49,MATCH($N3553,계정대체기준!$A$20:$A$49,0)),0)))</f>
        <v/>
      </c>
      <c r="AB3553" s="94">
        <f>IF($A3553="",0,IF(AE3553="직접",IF(AF3553="수금비",$P3553,0),$P3553*(1-AG3553)*IFERROR(INDEX(계정대체기준!$E$20:$E$49,MATCH($N3553,계정대체기준!$A$20:$A$49,0)),0)))</f>
        <v/>
      </c>
      <c r="AC3553" s="9">
        <f>IF(AND($A3553&lt;&gt;"",M3553=설정!$C$20,Z3553&gt;0),Z3553+ROW()/1000000000,"")</f>
        <v/>
      </c>
      <c r="AD3553" s="94">
        <f>IF($A3553="",0,$P3553*AG3553)</f>
        <v/>
      </c>
      <c r="AE3553" s="64">
        <f>IF($A3553="","",IFERROR(INDEX(계정매핑!$E$5:$E$504,MATCH($F3553&amp;"",계정매핑!$A$5:$A$504,0))&amp;"","공통비"))</f>
        <v/>
      </c>
      <c r="AF3553" s="64">
        <f>IF($A3553="","",IF(AE3553="직접",IFERROR(INDEX(계정매핑!$F$5:$F$504,MATCH($F3553&amp;"",계정매핑!$A$5:$A$504,0))&amp;"","비귀속"),""))</f>
        <v/>
      </c>
      <c r="AG3553" s="96">
        <f>IF($A3553="",0,IF(AND(AE3553&lt;&gt;"직접",IFERROR(INDEX(계정매핑!$G$5:$G$504,MATCH($F3553&amp;"",계정매핑!$A$5:$A$504,0))&amp;"","")="유지비",COUNTIF(계정대체기준!$A$6:$A$15,$N3553)&gt;0),IFERROR(INDEX(계정대체기준!$E$6:$E$15,MATCH(VALUE($A3553&amp;""),계정대체기준!$D$6:$D$15,0)),0),0))</f>
        <v/>
      </c>
      <c r="AH3553" s="64">
        <f>IF($A3553="","",IF(AD3553=0,"",IF(OR(COUNTIF(계정대체기준!$A$77:$A$86,$N3553)&gt;0,ISNUMBER(MATCH($X3553,계정대체기준!$D$77:$D$86,0)),ISNUMBER(MATCH($F3553,계정대체기준!$D$77:$D$86,0))),"Y","N")))</f>
        <v/>
      </c>
    </row>
    <row r="3554">
      <c r="A3554" s="92" t="n">
        <v>2026</v>
      </c>
      <c r="B3554" s="92" t="n">
        <v>4</v>
      </c>
      <c r="C3554" s="92" t="inlineStr">
        <is>
          <t>5100000832</t>
        </is>
      </c>
      <c r="D3554" s="95" t="n">
        <v>46130</v>
      </c>
      <c r="E3554" s="92" t="inlineStr">
        <is>
          <t>KR</t>
        </is>
      </c>
      <c r="F3554" s="92" t="n">
        <v>62101000</v>
      </c>
      <c r="G3554" s="92" t="n">
        <v>1501</v>
      </c>
      <c r="H3554" s="93" t="n">
        <v>647000</v>
      </c>
      <c r="I3554" s="92" t="inlineStr">
        <is>
          <t>4월 국내출장 - M항공</t>
        </is>
      </c>
      <c r="J3554" s="92" t="inlineStr">
        <is>
          <t>V10001</t>
        </is>
      </c>
      <c r="K3554" s="92" t="inlineStr">
        <is>
          <t>M항공</t>
        </is>
      </c>
      <c r="M3554" s="9">
        <f>IF($A3554="","",VALUE($A3554&amp;"")*12+VALUE($B3554&amp;""))</f>
        <v/>
      </c>
      <c r="N3554" s="64">
        <f>IF($A3554="","",IFERROR(INDEX(부서매핑!$C$5:$C$504,MATCH($G3554&amp;"",부서매핑!$A$5:$A$504,0)),"미매핑"))</f>
        <v/>
      </c>
      <c r="O3554" s="9">
        <f>IF($A3554="","",N3554&amp;"|"&amp;$F3554)</f>
        <v/>
      </c>
      <c r="P3554" s="94">
        <f>IF($A3554="",0,$H3554*설정!$C$23)</f>
        <v/>
      </c>
      <c r="Q3554" s="64">
        <f>IF($A3554="","",IF(O3554&lt;&gt;원인분석!$C$9,"",IF(AND(M3554&gt;=원인분석!$C$10,M3554&lt;=원인분석!$C$11),"당기",IF(AND(M3554&gt;=원인분석!$C$12,M3554&lt;=원인분석!$C$13),"비교",""))))</f>
        <v/>
      </c>
      <c r="R3554" s="9">
        <f>IF(Q3554="","",$K3554&amp;"")</f>
        <v/>
      </c>
      <c r="S3554" s="9">
        <f>IF(Q3554="","",IF(MATCH(R3554,$R$5:$R$100000,0)=ROW()-4,ROW(),""))</f>
        <v/>
      </c>
      <c r="T3554" s="9">
        <f>IF(Q3554="당기",ABS(P3554)+ROW()/1000000000,"")</f>
        <v/>
      </c>
      <c r="U3554" s="9">
        <f>IF(Q3554="비교",ABS(P3554)+ROW()/1000000000,"")</f>
        <v/>
      </c>
      <c r="V3554" s="64">
        <f>IF($A3554="","",IF(COUNTIF(변동분석!$E$7:$E$506,O3554)&gt;0,"Y","N"))</f>
        <v/>
      </c>
      <c r="W3554" s="64">
        <f>IF($A3554="","",IFERROR(INDEX(계정매핑!$D$5:$D$504,MATCH($F3554&amp;"",계정매핑!$A$5:$A$504,0)),"미매핑"))</f>
        <v/>
      </c>
      <c r="X3554" s="9">
        <f>IF($A3554="","",$F3554&amp;"")</f>
        <v/>
      </c>
      <c r="Y3554" s="94">
        <f>IF($A3554="",0,IF(AE3554="직접",IF(AF3554="비귀속",$P3554,0),$P3554*(1-AG3554)*IFERROR(INDEX(계정대체기준!$F$20:$F$49,MATCH($N3554,계정대체기준!$A$20:$A$49,0)),1)))</f>
        <v/>
      </c>
      <c r="Z3554" s="94">
        <f>IF($A3554="",0,IF(AE3554="직접",IF(AF3554="신계약비",$P3554,0),$P3554*(1-AG3554)*IFERROR(INDEX(계정대체기준!$C$20:$C$49,MATCH($N3554,계정대체기준!$A$20:$A$49,0)),0)))</f>
        <v/>
      </c>
      <c r="AA3554" s="94">
        <f>IF($A3554="",0,IF(AE3554="직접",IF(OR(AF3554="유지비",AF3554="손해조사비"),$P3554,0),$P3554*(1-AG3554)*IFERROR(INDEX(계정대체기준!$D$20:$D$49,MATCH($N3554,계정대체기준!$A$20:$A$49,0)),0)))</f>
        <v/>
      </c>
      <c r="AB3554" s="94">
        <f>IF($A3554="",0,IF(AE3554="직접",IF(AF3554="수금비",$P3554,0),$P3554*(1-AG3554)*IFERROR(INDEX(계정대체기준!$E$20:$E$49,MATCH($N3554,계정대체기준!$A$20:$A$49,0)),0)))</f>
        <v/>
      </c>
      <c r="AC3554" s="9">
        <f>IF(AND($A3554&lt;&gt;"",M3554=설정!$C$20,Z3554&gt;0),Z3554+ROW()/1000000000,"")</f>
        <v/>
      </c>
      <c r="AD3554" s="94">
        <f>IF($A3554="",0,$P3554*AG3554)</f>
        <v/>
      </c>
      <c r="AE3554" s="64">
        <f>IF($A3554="","",IFERROR(INDEX(계정매핑!$E$5:$E$504,MATCH($F3554&amp;"",계정매핑!$A$5:$A$504,0))&amp;"","공통비"))</f>
        <v/>
      </c>
      <c r="AF3554" s="64">
        <f>IF($A3554="","",IF(AE3554="직접",IFERROR(INDEX(계정매핑!$F$5:$F$504,MATCH($F3554&amp;"",계정매핑!$A$5:$A$504,0))&amp;"","비귀속"),""))</f>
        <v/>
      </c>
      <c r="AG3554" s="96">
        <f>IF($A3554="",0,IF(AND(AE3554&lt;&gt;"직접",IFERROR(INDEX(계정매핑!$G$5:$G$504,MATCH($F3554&amp;"",계정매핑!$A$5:$A$504,0))&amp;"","")="유지비",COUNTIF(계정대체기준!$A$6:$A$15,$N3554)&gt;0),IFERROR(INDEX(계정대체기준!$E$6:$E$15,MATCH(VALUE($A3554&amp;""),계정대체기준!$D$6:$D$15,0)),0),0))</f>
        <v/>
      </c>
      <c r="AH3554" s="64">
        <f>IF($A3554="","",IF(AD3554=0,"",IF(OR(COUNTIF(계정대체기준!$A$77:$A$86,$N3554)&gt;0,ISNUMBER(MATCH($X3554,계정대체기준!$D$77:$D$86,0)),ISNUMBER(MATCH($F3554,계정대체기준!$D$77:$D$86,0))),"Y","N")))</f>
        <v/>
      </c>
    </row>
    <row r="3555">
      <c r="A3555" s="92" t="n">
        <v>2026</v>
      </c>
      <c r="B3555" s="92" t="n">
        <v>4</v>
      </c>
      <c r="C3555" s="92" t="inlineStr">
        <is>
          <t>5100000833</t>
        </is>
      </c>
      <c r="D3555" s="95" t="n">
        <v>46130</v>
      </c>
      <c r="E3555" s="92" t="inlineStr">
        <is>
          <t>KR</t>
        </is>
      </c>
      <c r="F3555" s="92" t="n">
        <v>62102000</v>
      </c>
      <c r="G3555" s="92" t="n">
        <v>1101</v>
      </c>
      <c r="H3555" s="93" t="n">
        <v>110000</v>
      </c>
      <c r="I3555" s="92" t="inlineStr">
        <is>
          <t>4월 해외출장 - N호텔</t>
        </is>
      </c>
      <c r="J3555" s="92" t="inlineStr">
        <is>
          <t>V10009</t>
        </is>
      </c>
      <c r="K3555" s="92" t="inlineStr">
        <is>
          <t>N호텔</t>
        </is>
      </c>
      <c r="M3555" s="9">
        <f>IF($A3555="","",VALUE($A3555&amp;"")*12+VALUE($B3555&amp;""))</f>
        <v/>
      </c>
      <c r="N3555" s="64">
        <f>IF($A3555="","",IFERROR(INDEX(부서매핑!$C$5:$C$504,MATCH($G3555&amp;"",부서매핑!$A$5:$A$504,0)),"미매핑"))</f>
        <v/>
      </c>
      <c r="O3555" s="9">
        <f>IF($A3555="","",N3555&amp;"|"&amp;$F3555)</f>
        <v/>
      </c>
      <c r="P3555" s="94">
        <f>IF($A3555="",0,$H3555*설정!$C$23)</f>
        <v/>
      </c>
      <c r="Q3555" s="64">
        <f>IF($A3555="","",IF(O3555&lt;&gt;원인분석!$C$9,"",IF(AND(M3555&gt;=원인분석!$C$10,M3555&lt;=원인분석!$C$11),"당기",IF(AND(M3555&gt;=원인분석!$C$12,M3555&lt;=원인분석!$C$13),"비교",""))))</f>
        <v/>
      </c>
      <c r="R3555" s="9">
        <f>IF(Q3555="","",$K3555&amp;"")</f>
        <v/>
      </c>
      <c r="S3555" s="9">
        <f>IF(Q3555="","",IF(MATCH(R3555,$R$5:$R$100000,0)=ROW()-4,ROW(),""))</f>
        <v/>
      </c>
      <c r="T3555" s="9">
        <f>IF(Q3555="당기",ABS(P3555)+ROW()/1000000000,"")</f>
        <v/>
      </c>
      <c r="U3555" s="9">
        <f>IF(Q3555="비교",ABS(P3555)+ROW()/1000000000,"")</f>
        <v/>
      </c>
      <c r="V3555" s="64">
        <f>IF($A3555="","",IF(COUNTIF(변동분석!$E$7:$E$506,O3555)&gt;0,"Y","N"))</f>
        <v/>
      </c>
      <c r="W3555" s="64">
        <f>IF($A3555="","",IFERROR(INDEX(계정매핑!$D$5:$D$504,MATCH($F3555&amp;"",계정매핑!$A$5:$A$504,0)),"미매핑"))</f>
        <v/>
      </c>
      <c r="X3555" s="9">
        <f>IF($A3555="","",$F3555&amp;"")</f>
        <v/>
      </c>
      <c r="Y3555" s="94">
        <f>IF($A3555="",0,IF(AE3555="직접",IF(AF3555="비귀속",$P3555,0),$P3555*(1-AG3555)*IFERROR(INDEX(계정대체기준!$F$20:$F$49,MATCH($N3555,계정대체기준!$A$20:$A$49,0)),1)))</f>
        <v/>
      </c>
      <c r="Z3555" s="94">
        <f>IF($A3555="",0,IF(AE3555="직접",IF(AF3555="신계약비",$P3555,0),$P3555*(1-AG3555)*IFERROR(INDEX(계정대체기준!$C$20:$C$49,MATCH($N3555,계정대체기준!$A$20:$A$49,0)),0)))</f>
        <v/>
      </c>
      <c r="AA3555" s="94">
        <f>IF($A3555="",0,IF(AE3555="직접",IF(OR(AF3555="유지비",AF3555="손해조사비"),$P3555,0),$P3555*(1-AG3555)*IFERROR(INDEX(계정대체기준!$D$20:$D$49,MATCH($N3555,계정대체기준!$A$20:$A$49,0)),0)))</f>
        <v/>
      </c>
      <c r="AB3555" s="94">
        <f>IF($A3555="",0,IF(AE3555="직접",IF(AF3555="수금비",$P3555,0),$P3555*(1-AG3555)*IFERROR(INDEX(계정대체기준!$E$20:$E$49,MATCH($N3555,계정대체기준!$A$20:$A$49,0)),0)))</f>
        <v/>
      </c>
      <c r="AC3555" s="9">
        <f>IF(AND($A3555&lt;&gt;"",M3555=설정!$C$20,Z3555&gt;0),Z3555+ROW()/1000000000,"")</f>
        <v/>
      </c>
      <c r="AD3555" s="94">
        <f>IF($A3555="",0,$P3555*AG3555)</f>
        <v/>
      </c>
      <c r="AE3555" s="64">
        <f>IF($A3555="","",IFERROR(INDEX(계정매핑!$E$5:$E$504,MATCH($F3555&amp;"",계정매핑!$A$5:$A$504,0))&amp;"","공통비"))</f>
        <v/>
      </c>
      <c r="AF3555" s="64">
        <f>IF($A3555="","",IF(AE3555="직접",IFERROR(INDEX(계정매핑!$F$5:$F$504,MATCH($F3555&amp;"",계정매핑!$A$5:$A$504,0))&amp;"","비귀속"),""))</f>
        <v/>
      </c>
      <c r="AG3555" s="96">
        <f>IF($A3555="",0,IF(AND(AE3555&lt;&gt;"직접",IFERROR(INDEX(계정매핑!$G$5:$G$504,MATCH($F3555&amp;"",계정매핑!$A$5:$A$504,0))&amp;"","")="유지비",COUNTIF(계정대체기준!$A$6:$A$15,$N3555)&gt;0),IFERROR(INDEX(계정대체기준!$E$6:$E$15,MATCH(VALUE($A3555&amp;""),계정대체기준!$D$6:$D$15,0)),0),0))</f>
        <v/>
      </c>
      <c r="AH3555" s="64">
        <f>IF($A3555="","",IF(AD3555=0,"",IF(OR(COUNTIF(계정대체기준!$A$77:$A$86,$N3555)&gt;0,ISNUMBER(MATCH($X3555,계정대체기준!$D$77:$D$86,0)),ISNUMBER(MATCH($F3555,계정대체기준!$D$77:$D$86,0))),"Y","N")))</f>
        <v/>
      </c>
    </row>
    <row r="3556">
      <c r="A3556" s="92" t="n">
        <v>2026</v>
      </c>
      <c r="B3556" s="92" t="n">
        <v>4</v>
      </c>
      <c r="C3556" s="92" t="inlineStr">
        <is>
          <t>5100000834</t>
        </is>
      </c>
      <c r="D3556" s="95" t="n">
        <v>46130</v>
      </c>
      <c r="E3556" s="92" t="inlineStr">
        <is>
          <t>KR</t>
        </is>
      </c>
      <c r="F3556" s="92" t="n">
        <v>62102000</v>
      </c>
      <c r="G3556" s="92" t="n">
        <v>1201</v>
      </c>
      <c r="H3556" s="93" t="n">
        <v>67000</v>
      </c>
      <c r="I3556" s="92" t="inlineStr">
        <is>
          <t>4월 해외출장 - N호텔</t>
        </is>
      </c>
      <c r="J3556" s="92" t="inlineStr">
        <is>
          <t>V10009</t>
        </is>
      </c>
      <c r="K3556" s="92" t="inlineStr">
        <is>
          <t>N호텔</t>
        </is>
      </c>
      <c r="M3556" s="9">
        <f>IF($A3556="","",VALUE($A3556&amp;"")*12+VALUE($B3556&amp;""))</f>
        <v/>
      </c>
      <c r="N3556" s="64">
        <f>IF($A3556="","",IFERROR(INDEX(부서매핑!$C$5:$C$504,MATCH($G3556&amp;"",부서매핑!$A$5:$A$504,0)),"미매핑"))</f>
        <v/>
      </c>
      <c r="O3556" s="9">
        <f>IF($A3556="","",N3556&amp;"|"&amp;$F3556)</f>
        <v/>
      </c>
      <c r="P3556" s="94">
        <f>IF($A3556="",0,$H3556*설정!$C$23)</f>
        <v/>
      </c>
      <c r="Q3556" s="64">
        <f>IF($A3556="","",IF(O3556&lt;&gt;원인분석!$C$9,"",IF(AND(M3556&gt;=원인분석!$C$10,M3556&lt;=원인분석!$C$11),"당기",IF(AND(M3556&gt;=원인분석!$C$12,M3556&lt;=원인분석!$C$13),"비교",""))))</f>
        <v/>
      </c>
      <c r="R3556" s="9">
        <f>IF(Q3556="","",$K3556&amp;"")</f>
        <v/>
      </c>
      <c r="S3556" s="9">
        <f>IF(Q3556="","",IF(MATCH(R3556,$R$5:$R$100000,0)=ROW()-4,ROW(),""))</f>
        <v/>
      </c>
      <c r="T3556" s="9">
        <f>IF(Q3556="당기",ABS(P3556)+ROW()/1000000000,"")</f>
        <v/>
      </c>
      <c r="U3556" s="9">
        <f>IF(Q3556="비교",ABS(P3556)+ROW()/1000000000,"")</f>
        <v/>
      </c>
      <c r="V3556" s="64">
        <f>IF($A3556="","",IF(COUNTIF(변동분석!$E$7:$E$506,O3556)&gt;0,"Y","N"))</f>
        <v/>
      </c>
      <c r="W3556" s="64">
        <f>IF($A3556="","",IFERROR(INDEX(계정매핑!$D$5:$D$504,MATCH($F3556&amp;"",계정매핑!$A$5:$A$504,0)),"미매핑"))</f>
        <v/>
      </c>
      <c r="X3556" s="9">
        <f>IF($A3556="","",$F3556&amp;"")</f>
        <v/>
      </c>
      <c r="Y3556" s="94">
        <f>IF($A3556="",0,IF(AE3556="직접",IF(AF3556="비귀속",$P3556,0),$P3556*(1-AG3556)*IFERROR(INDEX(계정대체기준!$F$20:$F$49,MATCH($N3556,계정대체기준!$A$20:$A$49,0)),1)))</f>
        <v/>
      </c>
      <c r="Z3556" s="94">
        <f>IF($A3556="",0,IF(AE3556="직접",IF(AF3556="신계약비",$P3556,0),$P3556*(1-AG3556)*IFERROR(INDEX(계정대체기준!$C$20:$C$49,MATCH($N3556,계정대체기준!$A$20:$A$49,0)),0)))</f>
        <v/>
      </c>
      <c r="AA3556" s="94">
        <f>IF($A3556="",0,IF(AE3556="직접",IF(OR(AF3556="유지비",AF3556="손해조사비"),$P3556,0),$P3556*(1-AG3556)*IFERROR(INDEX(계정대체기준!$D$20:$D$49,MATCH($N3556,계정대체기준!$A$20:$A$49,0)),0)))</f>
        <v/>
      </c>
      <c r="AB3556" s="94">
        <f>IF($A3556="",0,IF(AE3556="직접",IF(AF3556="수금비",$P3556,0),$P3556*(1-AG3556)*IFERROR(INDEX(계정대체기준!$E$20:$E$49,MATCH($N3556,계정대체기준!$A$20:$A$49,0)),0)))</f>
        <v/>
      </c>
      <c r="AC3556" s="9">
        <f>IF(AND($A3556&lt;&gt;"",M3556=설정!$C$20,Z3556&gt;0),Z3556+ROW()/1000000000,"")</f>
        <v/>
      </c>
      <c r="AD3556" s="94">
        <f>IF($A3556="",0,$P3556*AG3556)</f>
        <v/>
      </c>
      <c r="AE3556" s="64">
        <f>IF($A3556="","",IFERROR(INDEX(계정매핑!$E$5:$E$504,MATCH($F3556&amp;"",계정매핑!$A$5:$A$504,0))&amp;"","공통비"))</f>
        <v/>
      </c>
      <c r="AF3556" s="64">
        <f>IF($A3556="","",IF(AE3556="직접",IFERROR(INDEX(계정매핑!$F$5:$F$504,MATCH($F3556&amp;"",계정매핑!$A$5:$A$504,0))&amp;"","비귀속"),""))</f>
        <v/>
      </c>
      <c r="AG3556" s="96">
        <f>IF($A3556="",0,IF(AND(AE3556&lt;&gt;"직접",IFERROR(INDEX(계정매핑!$G$5:$G$504,MATCH($F3556&amp;"",계정매핑!$A$5:$A$504,0))&amp;"","")="유지비",COUNTIF(계정대체기준!$A$6:$A$15,$N3556)&gt;0),IFERROR(INDEX(계정대체기준!$E$6:$E$15,MATCH(VALUE($A3556&amp;""),계정대체기준!$D$6:$D$15,0)),0),0))</f>
        <v/>
      </c>
      <c r="AH3556" s="64">
        <f>IF($A3556="","",IF(AD3556=0,"",IF(OR(COUNTIF(계정대체기준!$A$77:$A$86,$N3556)&gt;0,ISNUMBER(MATCH($X3556,계정대체기준!$D$77:$D$86,0)),ISNUMBER(MATCH($F3556,계정대체기준!$D$77:$D$86,0))),"Y","N")))</f>
        <v/>
      </c>
    </row>
    <row r="3557">
      <c r="A3557" s="92" t="n">
        <v>2026</v>
      </c>
      <c r="B3557" s="92" t="n">
        <v>4</v>
      </c>
      <c r="C3557" s="92" t="inlineStr">
        <is>
          <t>5100000835</t>
        </is>
      </c>
      <c r="D3557" s="95" t="n">
        <v>46130</v>
      </c>
      <c r="E3557" s="92" t="inlineStr">
        <is>
          <t>KR</t>
        </is>
      </c>
      <c r="F3557" s="92" t="n">
        <v>62201000</v>
      </c>
      <c r="G3557" s="92" t="n">
        <v>1401</v>
      </c>
      <c r="H3557" s="93" t="n">
        <v>275000</v>
      </c>
      <c r="I3557" s="92" t="inlineStr">
        <is>
          <t>4월 통신요금 - P통신</t>
        </is>
      </c>
      <c r="J3557" s="92" t="inlineStr">
        <is>
          <t>V10014</t>
        </is>
      </c>
      <c r="K3557" s="92" t="inlineStr">
        <is>
          <t>P통신</t>
        </is>
      </c>
      <c r="M3557" s="9">
        <f>IF($A3557="","",VALUE($A3557&amp;"")*12+VALUE($B3557&amp;""))</f>
        <v/>
      </c>
      <c r="N3557" s="64">
        <f>IF($A3557="","",IFERROR(INDEX(부서매핑!$C$5:$C$504,MATCH($G3557&amp;"",부서매핑!$A$5:$A$504,0)),"미매핑"))</f>
        <v/>
      </c>
      <c r="O3557" s="9">
        <f>IF($A3557="","",N3557&amp;"|"&amp;$F3557)</f>
        <v/>
      </c>
      <c r="P3557" s="94">
        <f>IF($A3557="",0,$H3557*설정!$C$23)</f>
        <v/>
      </c>
      <c r="Q3557" s="64">
        <f>IF($A3557="","",IF(O3557&lt;&gt;원인분석!$C$9,"",IF(AND(M3557&gt;=원인분석!$C$10,M3557&lt;=원인분석!$C$11),"당기",IF(AND(M3557&gt;=원인분석!$C$12,M3557&lt;=원인분석!$C$13),"비교",""))))</f>
        <v/>
      </c>
      <c r="R3557" s="9">
        <f>IF(Q3557="","",$K3557&amp;"")</f>
        <v/>
      </c>
      <c r="S3557" s="9">
        <f>IF(Q3557="","",IF(MATCH(R3557,$R$5:$R$100000,0)=ROW()-4,ROW(),""))</f>
        <v/>
      </c>
      <c r="T3557" s="9">
        <f>IF(Q3557="당기",ABS(P3557)+ROW()/1000000000,"")</f>
        <v/>
      </c>
      <c r="U3557" s="9">
        <f>IF(Q3557="비교",ABS(P3557)+ROW()/1000000000,"")</f>
        <v/>
      </c>
      <c r="V3557" s="64">
        <f>IF($A3557="","",IF(COUNTIF(변동분석!$E$7:$E$506,O3557)&gt;0,"Y","N"))</f>
        <v/>
      </c>
      <c r="W3557" s="64">
        <f>IF($A3557="","",IFERROR(INDEX(계정매핑!$D$5:$D$504,MATCH($F3557&amp;"",계정매핑!$A$5:$A$504,0)),"미매핑"))</f>
        <v/>
      </c>
      <c r="X3557" s="9">
        <f>IF($A3557="","",$F3557&amp;"")</f>
        <v/>
      </c>
      <c r="Y3557" s="94">
        <f>IF($A3557="",0,IF(AE3557="직접",IF(AF3557="비귀속",$P3557,0),$P3557*(1-AG3557)*IFERROR(INDEX(계정대체기준!$F$20:$F$49,MATCH($N3557,계정대체기준!$A$20:$A$49,0)),1)))</f>
        <v/>
      </c>
      <c r="Z3557" s="94">
        <f>IF($A3557="",0,IF(AE3557="직접",IF(AF3557="신계약비",$P3557,0),$P3557*(1-AG3557)*IFERROR(INDEX(계정대체기준!$C$20:$C$49,MATCH($N3557,계정대체기준!$A$20:$A$49,0)),0)))</f>
        <v/>
      </c>
      <c r="AA3557" s="94">
        <f>IF($A3557="",0,IF(AE3557="직접",IF(OR(AF3557="유지비",AF3557="손해조사비"),$P3557,0),$P3557*(1-AG3557)*IFERROR(INDEX(계정대체기준!$D$20:$D$49,MATCH($N3557,계정대체기준!$A$20:$A$49,0)),0)))</f>
        <v/>
      </c>
      <c r="AB3557" s="94">
        <f>IF($A3557="",0,IF(AE3557="직접",IF(AF3557="수금비",$P3557,0),$P3557*(1-AG3557)*IFERROR(INDEX(계정대체기준!$E$20:$E$49,MATCH($N3557,계정대체기준!$A$20:$A$49,0)),0)))</f>
        <v/>
      </c>
      <c r="AC3557" s="9">
        <f>IF(AND($A3557&lt;&gt;"",M3557=설정!$C$20,Z3557&gt;0),Z3557+ROW()/1000000000,"")</f>
        <v/>
      </c>
      <c r="AD3557" s="94">
        <f>IF($A3557="",0,$P3557*AG3557)</f>
        <v/>
      </c>
      <c r="AE3557" s="64">
        <f>IF($A3557="","",IFERROR(INDEX(계정매핑!$E$5:$E$504,MATCH($F3557&amp;"",계정매핑!$A$5:$A$504,0))&amp;"","공통비"))</f>
        <v/>
      </c>
      <c r="AF3557" s="64">
        <f>IF($A3557="","",IF(AE3557="직접",IFERROR(INDEX(계정매핑!$F$5:$F$504,MATCH($F3557&amp;"",계정매핑!$A$5:$A$504,0))&amp;"","비귀속"),""))</f>
        <v/>
      </c>
      <c r="AG3557" s="96">
        <f>IF($A3557="",0,IF(AND(AE3557&lt;&gt;"직접",IFERROR(INDEX(계정매핑!$G$5:$G$504,MATCH($F3557&amp;"",계정매핑!$A$5:$A$504,0))&amp;"","")="유지비",COUNTIF(계정대체기준!$A$6:$A$15,$N3557)&gt;0),IFERROR(INDEX(계정대체기준!$E$6:$E$15,MATCH(VALUE($A3557&amp;""),계정대체기준!$D$6:$D$15,0)),0),0))</f>
        <v/>
      </c>
      <c r="AH3557" s="64">
        <f>IF($A3557="","",IF(AD3557=0,"",IF(OR(COUNTIF(계정대체기준!$A$77:$A$86,$N3557)&gt;0,ISNUMBER(MATCH($X3557,계정대체기준!$D$77:$D$86,0)),ISNUMBER(MATCH($F3557,계정대체기준!$D$77:$D$86,0))),"Y","N")))</f>
        <v/>
      </c>
    </row>
    <row r="3558">
      <c r="A3558" s="92" t="n">
        <v>2026</v>
      </c>
      <c r="B3558" s="92" t="n">
        <v>4</v>
      </c>
      <c r="C3558" s="92" t="inlineStr">
        <is>
          <t>5100000836</t>
        </is>
      </c>
      <c r="D3558" s="95" t="n">
        <v>46130</v>
      </c>
      <c r="E3558" s="92" t="inlineStr">
        <is>
          <t>KR</t>
        </is>
      </c>
      <c r="F3558" s="92" t="n">
        <v>62301000</v>
      </c>
      <c r="G3558" s="92" t="n">
        <v>1101</v>
      </c>
      <c r="H3558" s="93" t="n">
        <v>72000</v>
      </c>
      <c r="I3558" s="92" t="inlineStr">
        <is>
          <t>4월 소모품 구입 - R문구</t>
        </is>
      </c>
      <c r="J3558" s="92" t="inlineStr">
        <is>
          <t>V10022</t>
        </is>
      </c>
      <c r="K3558" s="92" t="inlineStr">
        <is>
          <t>R문구</t>
        </is>
      </c>
      <c r="M3558" s="9">
        <f>IF($A3558="","",VALUE($A3558&amp;"")*12+VALUE($B3558&amp;""))</f>
        <v/>
      </c>
      <c r="N3558" s="64">
        <f>IF($A3558="","",IFERROR(INDEX(부서매핑!$C$5:$C$504,MATCH($G3558&amp;"",부서매핑!$A$5:$A$504,0)),"미매핑"))</f>
        <v/>
      </c>
      <c r="O3558" s="9">
        <f>IF($A3558="","",N3558&amp;"|"&amp;$F3558)</f>
        <v/>
      </c>
      <c r="P3558" s="94">
        <f>IF($A3558="",0,$H3558*설정!$C$23)</f>
        <v/>
      </c>
      <c r="Q3558" s="64">
        <f>IF($A3558="","",IF(O3558&lt;&gt;원인분석!$C$9,"",IF(AND(M3558&gt;=원인분석!$C$10,M3558&lt;=원인분석!$C$11),"당기",IF(AND(M3558&gt;=원인분석!$C$12,M3558&lt;=원인분석!$C$13),"비교",""))))</f>
        <v/>
      </c>
      <c r="R3558" s="9">
        <f>IF(Q3558="","",$K3558&amp;"")</f>
        <v/>
      </c>
      <c r="S3558" s="9">
        <f>IF(Q3558="","",IF(MATCH(R3558,$R$5:$R$100000,0)=ROW()-4,ROW(),""))</f>
        <v/>
      </c>
      <c r="T3558" s="9">
        <f>IF(Q3558="당기",ABS(P3558)+ROW()/1000000000,"")</f>
        <v/>
      </c>
      <c r="U3558" s="9">
        <f>IF(Q3558="비교",ABS(P3558)+ROW()/1000000000,"")</f>
        <v/>
      </c>
      <c r="V3558" s="64">
        <f>IF($A3558="","",IF(COUNTIF(변동분석!$E$7:$E$506,O3558)&gt;0,"Y","N"))</f>
        <v/>
      </c>
      <c r="W3558" s="64">
        <f>IF($A3558="","",IFERROR(INDEX(계정매핑!$D$5:$D$504,MATCH($F3558&amp;"",계정매핑!$A$5:$A$504,0)),"미매핑"))</f>
        <v/>
      </c>
      <c r="X3558" s="9">
        <f>IF($A3558="","",$F3558&amp;"")</f>
        <v/>
      </c>
      <c r="Y3558" s="94">
        <f>IF($A3558="",0,IF(AE3558="직접",IF(AF3558="비귀속",$P3558,0),$P3558*(1-AG3558)*IFERROR(INDEX(계정대체기준!$F$20:$F$49,MATCH($N3558,계정대체기준!$A$20:$A$49,0)),1)))</f>
        <v/>
      </c>
      <c r="Z3558" s="94">
        <f>IF($A3558="",0,IF(AE3558="직접",IF(AF3558="신계약비",$P3558,0),$P3558*(1-AG3558)*IFERROR(INDEX(계정대체기준!$C$20:$C$49,MATCH($N3558,계정대체기준!$A$20:$A$49,0)),0)))</f>
        <v/>
      </c>
      <c r="AA3558" s="94">
        <f>IF($A3558="",0,IF(AE3558="직접",IF(OR(AF3558="유지비",AF3558="손해조사비"),$P3558,0),$P3558*(1-AG3558)*IFERROR(INDEX(계정대체기준!$D$20:$D$49,MATCH($N3558,계정대체기준!$A$20:$A$49,0)),0)))</f>
        <v/>
      </c>
      <c r="AB3558" s="94">
        <f>IF($A3558="",0,IF(AE3558="직접",IF(AF3558="수금비",$P3558,0),$P3558*(1-AG3558)*IFERROR(INDEX(계정대체기준!$E$20:$E$49,MATCH($N3558,계정대체기준!$A$20:$A$49,0)),0)))</f>
        <v/>
      </c>
      <c r="AC3558" s="9">
        <f>IF(AND($A3558&lt;&gt;"",M3558=설정!$C$20,Z3558&gt;0),Z3558+ROW()/1000000000,"")</f>
        <v/>
      </c>
      <c r="AD3558" s="94">
        <f>IF($A3558="",0,$P3558*AG3558)</f>
        <v/>
      </c>
      <c r="AE3558" s="64">
        <f>IF($A3558="","",IFERROR(INDEX(계정매핑!$E$5:$E$504,MATCH($F3558&amp;"",계정매핑!$A$5:$A$504,0))&amp;"","공통비"))</f>
        <v/>
      </c>
      <c r="AF3558" s="64">
        <f>IF($A3558="","",IF(AE3558="직접",IFERROR(INDEX(계정매핑!$F$5:$F$504,MATCH($F3558&amp;"",계정매핑!$A$5:$A$504,0))&amp;"","비귀속"),""))</f>
        <v/>
      </c>
      <c r="AG3558" s="96">
        <f>IF($A3558="",0,IF(AND(AE3558&lt;&gt;"직접",IFERROR(INDEX(계정매핑!$G$5:$G$504,MATCH($F3558&amp;"",계정매핑!$A$5:$A$504,0))&amp;"","")="유지비",COUNTIF(계정대체기준!$A$6:$A$15,$N3558)&gt;0),IFERROR(INDEX(계정대체기준!$E$6:$E$15,MATCH(VALUE($A3558&amp;""),계정대체기준!$D$6:$D$15,0)),0),0))</f>
        <v/>
      </c>
      <c r="AH3558" s="64">
        <f>IF($A3558="","",IF(AD3558=0,"",IF(OR(COUNTIF(계정대체기준!$A$77:$A$86,$N3558)&gt;0,ISNUMBER(MATCH($X3558,계정대체기준!$D$77:$D$86,0)),ISNUMBER(MATCH($F3558,계정대체기준!$D$77:$D$86,0))),"Y","N")))</f>
        <v/>
      </c>
    </row>
    <row r="3559">
      <c r="A3559" s="92" t="n">
        <v>2026</v>
      </c>
      <c r="B3559" s="92" t="n">
        <v>4</v>
      </c>
      <c r="C3559" s="92" t="inlineStr">
        <is>
          <t>5100000837</t>
        </is>
      </c>
      <c r="D3559" s="95" t="n">
        <v>46130</v>
      </c>
      <c r="E3559" s="92" t="inlineStr">
        <is>
          <t>KR</t>
        </is>
      </c>
      <c r="F3559" s="92" t="n">
        <v>62301000</v>
      </c>
      <c r="G3559" s="92" t="n">
        <v>1701</v>
      </c>
      <c r="H3559" s="93" t="n">
        <v>333000</v>
      </c>
      <c r="I3559" s="92" t="inlineStr">
        <is>
          <t>4월 소모품 구입 - R문구</t>
        </is>
      </c>
      <c r="J3559" s="92" t="inlineStr">
        <is>
          <t>V10022</t>
        </is>
      </c>
      <c r="K3559" s="92" t="inlineStr">
        <is>
          <t>R문구</t>
        </is>
      </c>
      <c r="M3559" s="9">
        <f>IF($A3559="","",VALUE($A3559&amp;"")*12+VALUE($B3559&amp;""))</f>
        <v/>
      </c>
      <c r="N3559" s="64">
        <f>IF($A3559="","",IFERROR(INDEX(부서매핑!$C$5:$C$504,MATCH($G3559&amp;"",부서매핑!$A$5:$A$504,0)),"미매핑"))</f>
        <v/>
      </c>
      <c r="O3559" s="9">
        <f>IF($A3559="","",N3559&amp;"|"&amp;$F3559)</f>
        <v/>
      </c>
      <c r="P3559" s="94">
        <f>IF($A3559="",0,$H3559*설정!$C$23)</f>
        <v/>
      </c>
      <c r="Q3559" s="64">
        <f>IF($A3559="","",IF(O3559&lt;&gt;원인분석!$C$9,"",IF(AND(M3559&gt;=원인분석!$C$10,M3559&lt;=원인분석!$C$11),"당기",IF(AND(M3559&gt;=원인분석!$C$12,M3559&lt;=원인분석!$C$13),"비교",""))))</f>
        <v/>
      </c>
      <c r="R3559" s="9">
        <f>IF(Q3559="","",$K3559&amp;"")</f>
        <v/>
      </c>
      <c r="S3559" s="9">
        <f>IF(Q3559="","",IF(MATCH(R3559,$R$5:$R$100000,0)=ROW()-4,ROW(),""))</f>
        <v/>
      </c>
      <c r="T3559" s="9">
        <f>IF(Q3559="당기",ABS(P3559)+ROW()/1000000000,"")</f>
        <v/>
      </c>
      <c r="U3559" s="9">
        <f>IF(Q3559="비교",ABS(P3559)+ROW()/1000000000,"")</f>
        <v/>
      </c>
      <c r="V3559" s="64">
        <f>IF($A3559="","",IF(COUNTIF(변동분석!$E$7:$E$506,O3559)&gt;0,"Y","N"))</f>
        <v/>
      </c>
      <c r="W3559" s="64">
        <f>IF($A3559="","",IFERROR(INDEX(계정매핑!$D$5:$D$504,MATCH($F3559&amp;"",계정매핑!$A$5:$A$504,0)),"미매핑"))</f>
        <v/>
      </c>
      <c r="X3559" s="9">
        <f>IF($A3559="","",$F3559&amp;"")</f>
        <v/>
      </c>
      <c r="Y3559" s="94">
        <f>IF($A3559="",0,IF(AE3559="직접",IF(AF3559="비귀속",$P3559,0),$P3559*(1-AG3559)*IFERROR(INDEX(계정대체기준!$F$20:$F$49,MATCH($N3559,계정대체기준!$A$20:$A$49,0)),1)))</f>
        <v/>
      </c>
      <c r="Z3559" s="94">
        <f>IF($A3559="",0,IF(AE3559="직접",IF(AF3559="신계약비",$P3559,0),$P3559*(1-AG3559)*IFERROR(INDEX(계정대체기준!$C$20:$C$49,MATCH($N3559,계정대체기준!$A$20:$A$49,0)),0)))</f>
        <v/>
      </c>
      <c r="AA3559" s="94">
        <f>IF($A3559="",0,IF(AE3559="직접",IF(OR(AF3559="유지비",AF3559="손해조사비"),$P3559,0),$P3559*(1-AG3559)*IFERROR(INDEX(계정대체기준!$D$20:$D$49,MATCH($N3559,계정대체기준!$A$20:$A$49,0)),0)))</f>
        <v/>
      </c>
      <c r="AB3559" s="94">
        <f>IF($A3559="",0,IF(AE3559="직접",IF(AF3559="수금비",$P3559,0),$P3559*(1-AG3559)*IFERROR(INDEX(계정대체기준!$E$20:$E$49,MATCH($N3559,계정대체기준!$A$20:$A$49,0)),0)))</f>
        <v/>
      </c>
      <c r="AC3559" s="9">
        <f>IF(AND($A3559&lt;&gt;"",M3559=설정!$C$20,Z3559&gt;0),Z3559+ROW()/1000000000,"")</f>
        <v/>
      </c>
      <c r="AD3559" s="94">
        <f>IF($A3559="",0,$P3559*AG3559)</f>
        <v/>
      </c>
      <c r="AE3559" s="64">
        <f>IF($A3559="","",IFERROR(INDEX(계정매핑!$E$5:$E$504,MATCH($F3559&amp;"",계정매핑!$A$5:$A$504,0))&amp;"","공통비"))</f>
        <v/>
      </c>
      <c r="AF3559" s="64">
        <f>IF($A3559="","",IF(AE3559="직접",IFERROR(INDEX(계정매핑!$F$5:$F$504,MATCH($F3559&amp;"",계정매핑!$A$5:$A$504,0))&amp;"","비귀속"),""))</f>
        <v/>
      </c>
      <c r="AG3559" s="96">
        <f>IF($A3559="",0,IF(AND(AE3559&lt;&gt;"직접",IFERROR(INDEX(계정매핑!$G$5:$G$504,MATCH($F3559&amp;"",계정매핑!$A$5:$A$504,0))&amp;"","")="유지비",COUNTIF(계정대체기준!$A$6:$A$15,$N3559)&gt;0),IFERROR(INDEX(계정대체기준!$E$6:$E$15,MATCH(VALUE($A3559&amp;""),계정대체기준!$D$6:$D$15,0)),0),0))</f>
        <v/>
      </c>
      <c r="AH3559" s="64">
        <f>IF($A3559="","",IF(AD3559=0,"",IF(OR(COUNTIF(계정대체기준!$A$77:$A$86,$N3559)&gt;0,ISNUMBER(MATCH($X3559,계정대체기준!$D$77:$D$86,0)),ISNUMBER(MATCH($F3559,계정대체기준!$D$77:$D$86,0))),"Y","N")))</f>
        <v/>
      </c>
    </row>
    <row r="3560">
      <c r="A3560" s="92" t="n">
        <v>2026</v>
      </c>
      <c r="B3560" s="92" t="n">
        <v>4</v>
      </c>
      <c r="C3560" s="92" t="inlineStr">
        <is>
          <t>5100000838</t>
        </is>
      </c>
      <c r="D3560" s="95" t="n">
        <v>46130</v>
      </c>
      <c r="E3560" s="92" t="inlineStr">
        <is>
          <t>KR</t>
        </is>
      </c>
      <c r="F3560" s="92" t="n">
        <v>62301000</v>
      </c>
      <c r="G3560" s="92" t="n">
        <v>1801</v>
      </c>
      <c r="H3560" s="93" t="n">
        <v>609000</v>
      </c>
      <c r="I3560" s="92" t="inlineStr">
        <is>
          <t>4월 소모품 구입 - R문구</t>
        </is>
      </c>
      <c r="J3560" s="92" t="inlineStr">
        <is>
          <t>V10022</t>
        </is>
      </c>
      <c r="K3560" s="92" t="inlineStr">
        <is>
          <t>R문구</t>
        </is>
      </c>
      <c r="M3560" s="9">
        <f>IF($A3560="","",VALUE($A3560&amp;"")*12+VALUE($B3560&amp;""))</f>
        <v/>
      </c>
      <c r="N3560" s="64">
        <f>IF($A3560="","",IFERROR(INDEX(부서매핑!$C$5:$C$504,MATCH($G3560&amp;"",부서매핑!$A$5:$A$504,0)),"미매핑"))</f>
        <v/>
      </c>
      <c r="O3560" s="9">
        <f>IF($A3560="","",N3560&amp;"|"&amp;$F3560)</f>
        <v/>
      </c>
      <c r="P3560" s="94">
        <f>IF($A3560="",0,$H3560*설정!$C$23)</f>
        <v/>
      </c>
      <c r="Q3560" s="64">
        <f>IF($A3560="","",IF(O3560&lt;&gt;원인분석!$C$9,"",IF(AND(M3560&gt;=원인분석!$C$10,M3560&lt;=원인분석!$C$11),"당기",IF(AND(M3560&gt;=원인분석!$C$12,M3560&lt;=원인분석!$C$13),"비교",""))))</f>
        <v/>
      </c>
      <c r="R3560" s="9">
        <f>IF(Q3560="","",$K3560&amp;"")</f>
        <v/>
      </c>
      <c r="S3560" s="9">
        <f>IF(Q3560="","",IF(MATCH(R3560,$R$5:$R$100000,0)=ROW()-4,ROW(),""))</f>
        <v/>
      </c>
      <c r="T3560" s="9">
        <f>IF(Q3560="당기",ABS(P3560)+ROW()/1000000000,"")</f>
        <v/>
      </c>
      <c r="U3560" s="9">
        <f>IF(Q3560="비교",ABS(P3560)+ROW()/1000000000,"")</f>
        <v/>
      </c>
      <c r="V3560" s="64">
        <f>IF($A3560="","",IF(COUNTIF(변동분석!$E$7:$E$506,O3560)&gt;0,"Y","N"))</f>
        <v/>
      </c>
      <c r="W3560" s="64">
        <f>IF($A3560="","",IFERROR(INDEX(계정매핑!$D$5:$D$504,MATCH($F3560&amp;"",계정매핑!$A$5:$A$504,0)),"미매핑"))</f>
        <v/>
      </c>
      <c r="X3560" s="9">
        <f>IF($A3560="","",$F3560&amp;"")</f>
        <v/>
      </c>
      <c r="Y3560" s="94">
        <f>IF($A3560="",0,IF(AE3560="직접",IF(AF3560="비귀속",$P3560,0),$P3560*(1-AG3560)*IFERROR(INDEX(계정대체기준!$F$20:$F$49,MATCH($N3560,계정대체기준!$A$20:$A$49,0)),1)))</f>
        <v/>
      </c>
      <c r="Z3560" s="94">
        <f>IF($A3560="",0,IF(AE3560="직접",IF(AF3560="신계약비",$P3560,0),$P3560*(1-AG3560)*IFERROR(INDEX(계정대체기준!$C$20:$C$49,MATCH($N3560,계정대체기준!$A$20:$A$49,0)),0)))</f>
        <v/>
      </c>
      <c r="AA3560" s="94">
        <f>IF($A3560="",0,IF(AE3560="직접",IF(OR(AF3560="유지비",AF3560="손해조사비"),$P3560,0),$P3560*(1-AG3560)*IFERROR(INDEX(계정대체기준!$D$20:$D$49,MATCH($N3560,계정대체기준!$A$20:$A$49,0)),0)))</f>
        <v/>
      </c>
      <c r="AB3560" s="94">
        <f>IF($A3560="",0,IF(AE3560="직접",IF(AF3560="수금비",$P3560,0),$P3560*(1-AG3560)*IFERROR(INDEX(계정대체기준!$E$20:$E$49,MATCH($N3560,계정대체기준!$A$20:$A$49,0)),0)))</f>
        <v/>
      </c>
      <c r="AC3560" s="9">
        <f>IF(AND($A3560&lt;&gt;"",M3560=설정!$C$20,Z3560&gt;0),Z3560+ROW()/1000000000,"")</f>
        <v/>
      </c>
      <c r="AD3560" s="94">
        <f>IF($A3560="",0,$P3560*AG3560)</f>
        <v/>
      </c>
      <c r="AE3560" s="64">
        <f>IF($A3560="","",IFERROR(INDEX(계정매핑!$E$5:$E$504,MATCH($F3560&amp;"",계정매핑!$A$5:$A$504,0))&amp;"","공통비"))</f>
        <v/>
      </c>
      <c r="AF3560" s="64">
        <f>IF($A3560="","",IF(AE3560="직접",IFERROR(INDEX(계정매핑!$F$5:$F$504,MATCH($F3560&amp;"",계정매핑!$A$5:$A$504,0))&amp;"","비귀속"),""))</f>
        <v/>
      </c>
      <c r="AG3560" s="96">
        <f>IF($A3560="",0,IF(AND(AE3560&lt;&gt;"직접",IFERROR(INDEX(계정매핑!$G$5:$G$504,MATCH($F3560&amp;"",계정매핑!$A$5:$A$504,0))&amp;"","")="유지비",COUNTIF(계정대체기준!$A$6:$A$15,$N3560)&gt;0),IFERROR(INDEX(계정대체기준!$E$6:$E$15,MATCH(VALUE($A3560&amp;""),계정대체기준!$D$6:$D$15,0)),0),0))</f>
        <v/>
      </c>
      <c r="AH3560" s="64">
        <f>IF($A3560="","",IF(AD3560=0,"",IF(OR(COUNTIF(계정대체기준!$A$77:$A$86,$N3560)&gt;0,ISNUMBER(MATCH($X3560,계정대체기준!$D$77:$D$86,0)),ISNUMBER(MATCH($F3560,계정대체기준!$D$77:$D$86,0))),"Y","N")))</f>
        <v/>
      </c>
    </row>
    <row r="3561">
      <c r="A3561" s="92" t="n">
        <v>2026</v>
      </c>
      <c r="B3561" s="92" t="n">
        <v>4</v>
      </c>
      <c r="C3561" s="92" t="inlineStr">
        <is>
          <t>5100000839</t>
        </is>
      </c>
      <c r="D3561" s="95" t="n">
        <v>46130</v>
      </c>
      <c r="E3561" s="92" t="inlineStr">
        <is>
          <t>KR</t>
        </is>
      </c>
      <c r="F3561" s="92" t="n">
        <v>62501000</v>
      </c>
      <c r="G3561" s="92" t="n">
        <v>1401</v>
      </c>
      <c r="H3561" s="93" t="n">
        <v>111000</v>
      </c>
      <c r="I3561" s="92" t="inlineStr">
        <is>
          <t>4월 회의 다과 - T케이터링</t>
        </is>
      </c>
      <c r="J3561" s="92" t="inlineStr">
        <is>
          <t>V10005</t>
        </is>
      </c>
      <c r="K3561" s="92" t="inlineStr">
        <is>
          <t>T케이터링</t>
        </is>
      </c>
      <c r="M3561" s="9">
        <f>IF($A3561="","",VALUE($A3561&amp;"")*12+VALUE($B3561&amp;""))</f>
        <v/>
      </c>
      <c r="N3561" s="64">
        <f>IF($A3561="","",IFERROR(INDEX(부서매핑!$C$5:$C$504,MATCH($G3561&amp;"",부서매핑!$A$5:$A$504,0)),"미매핑"))</f>
        <v/>
      </c>
      <c r="O3561" s="9">
        <f>IF($A3561="","",N3561&amp;"|"&amp;$F3561)</f>
        <v/>
      </c>
      <c r="P3561" s="94">
        <f>IF($A3561="",0,$H3561*설정!$C$23)</f>
        <v/>
      </c>
      <c r="Q3561" s="64">
        <f>IF($A3561="","",IF(O3561&lt;&gt;원인분석!$C$9,"",IF(AND(M3561&gt;=원인분석!$C$10,M3561&lt;=원인분석!$C$11),"당기",IF(AND(M3561&gt;=원인분석!$C$12,M3561&lt;=원인분석!$C$13),"비교",""))))</f>
        <v/>
      </c>
      <c r="R3561" s="9">
        <f>IF(Q3561="","",$K3561&amp;"")</f>
        <v/>
      </c>
      <c r="S3561" s="9">
        <f>IF(Q3561="","",IF(MATCH(R3561,$R$5:$R$100000,0)=ROW()-4,ROW(),""))</f>
        <v/>
      </c>
      <c r="T3561" s="9">
        <f>IF(Q3561="당기",ABS(P3561)+ROW()/1000000000,"")</f>
        <v/>
      </c>
      <c r="U3561" s="9">
        <f>IF(Q3561="비교",ABS(P3561)+ROW()/1000000000,"")</f>
        <v/>
      </c>
      <c r="V3561" s="64">
        <f>IF($A3561="","",IF(COUNTIF(변동분석!$E$7:$E$506,O3561)&gt;0,"Y","N"))</f>
        <v/>
      </c>
      <c r="W3561" s="64">
        <f>IF($A3561="","",IFERROR(INDEX(계정매핑!$D$5:$D$504,MATCH($F3561&amp;"",계정매핑!$A$5:$A$504,0)),"미매핑"))</f>
        <v/>
      </c>
      <c r="X3561" s="9">
        <f>IF($A3561="","",$F3561&amp;"")</f>
        <v/>
      </c>
      <c r="Y3561" s="94">
        <f>IF($A3561="",0,IF(AE3561="직접",IF(AF3561="비귀속",$P3561,0),$P3561*(1-AG3561)*IFERROR(INDEX(계정대체기준!$F$20:$F$49,MATCH($N3561,계정대체기준!$A$20:$A$49,0)),1)))</f>
        <v/>
      </c>
      <c r="Z3561" s="94">
        <f>IF($A3561="",0,IF(AE3561="직접",IF(AF3561="신계약비",$P3561,0),$P3561*(1-AG3561)*IFERROR(INDEX(계정대체기준!$C$20:$C$49,MATCH($N3561,계정대체기준!$A$20:$A$49,0)),0)))</f>
        <v/>
      </c>
      <c r="AA3561" s="94">
        <f>IF($A3561="",0,IF(AE3561="직접",IF(OR(AF3561="유지비",AF3561="손해조사비"),$P3561,0),$P3561*(1-AG3561)*IFERROR(INDEX(계정대체기준!$D$20:$D$49,MATCH($N3561,계정대체기준!$A$20:$A$49,0)),0)))</f>
        <v/>
      </c>
      <c r="AB3561" s="94">
        <f>IF($A3561="",0,IF(AE3561="직접",IF(AF3561="수금비",$P3561,0),$P3561*(1-AG3561)*IFERROR(INDEX(계정대체기준!$E$20:$E$49,MATCH($N3561,계정대체기준!$A$20:$A$49,0)),0)))</f>
        <v/>
      </c>
      <c r="AC3561" s="9">
        <f>IF(AND($A3561&lt;&gt;"",M3561=설정!$C$20,Z3561&gt;0),Z3561+ROW()/1000000000,"")</f>
        <v/>
      </c>
      <c r="AD3561" s="94">
        <f>IF($A3561="",0,$P3561*AG3561)</f>
        <v/>
      </c>
      <c r="AE3561" s="64">
        <f>IF($A3561="","",IFERROR(INDEX(계정매핑!$E$5:$E$504,MATCH($F3561&amp;"",계정매핑!$A$5:$A$504,0))&amp;"","공통비"))</f>
        <v/>
      </c>
      <c r="AF3561" s="64">
        <f>IF($A3561="","",IF(AE3561="직접",IFERROR(INDEX(계정매핑!$F$5:$F$504,MATCH($F3561&amp;"",계정매핑!$A$5:$A$504,0))&amp;"","비귀속"),""))</f>
        <v/>
      </c>
      <c r="AG3561" s="96">
        <f>IF($A3561="",0,IF(AND(AE3561&lt;&gt;"직접",IFERROR(INDEX(계정매핑!$G$5:$G$504,MATCH($F3561&amp;"",계정매핑!$A$5:$A$504,0))&amp;"","")="유지비",COUNTIF(계정대체기준!$A$6:$A$15,$N3561)&gt;0),IFERROR(INDEX(계정대체기준!$E$6:$E$15,MATCH(VALUE($A3561&amp;""),계정대체기준!$D$6:$D$15,0)),0),0))</f>
        <v/>
      </c>
      <c r="AH3561" s="64">
        <f>IF($A3561="","",IF(AD3561=0,"",IF(OR(COUNTIF(계정대체기준!$A$77:$A$86,$N3561)&gt;0,ISNUMBER(MATCH($X3561,계정대체기준!$D$77:$D$86,0)),ISNUMBER(MATCH($F3561,계정대체기준!$D$77:$D$86,0))),"Y","N")))</f>
        <v/>
      </c>
    </row>
    <row r="3562">
      <c r="A3562" s="92" t="n">
        <v>2026</v>
      </c>
      <c r="B3562" s="92" t="n">
        <v>4</v>
      </c>
      <c r="C3562" s="92" t="inlineStr">
        <is>
          <t>5100000840</t>
        </is>
      </c>
      <c r="D3562" s="95" t="n">
        <v>46130</v>
      </c>
      <c r="E3562" s="92" t="inlineStr">
        <is>
          <t>KR</t>
        </is>
      </c>
      <c r="F3562" s="92" t="n">
        <v>62901000</v>
      </c>
      <c r="G3562" s="92" t="n">
        <v>1801</v>
      </c>
      <c r="H3562" s="93" t="n">
        <v>13208000</v>
      </c>
      <c r="I3562" s="92" t="inlineStr">
        <is>
          <t>4월 자문 수수료 - W컨설팅</t>
        </is>
      </c>
      <c r="J3562" s="92" t="inlineStr">
        <is>
          <t>V10006</t>
        </is>
      </c>
      <c r="K3562" s="92" t="inlineStr">
        <is>
          <t>W컨설팅</t>
        </is>
      </c>
      <c r="M3562" s="9">
        <f>IF($A3562="","",VALUE($A3562&amp;"")*12+VALUE($B3562&amp;""))</f>
        <v/>
      </c>
      <c r="N3562" s="64">
        <f>IF($A3562="","",IFERROR(INDEX(부서매핑!$C$5:$C$504,MATCH($G3562&amp;"",부서매핑!$A$5:$A$504,0)),"미매핑"))</f>
        <v/>
      </c>
      <c r="O3562" s="9">
        <f>IF($A3562="","",N3562&amp;"|"&amp;$F3562)</f>
        <v/>
      </c>
      <c r="P3562" s="94">
        <f>IF($A3562="",0,$H3562*설정!$C$23)</f>
        <v/>
      </c>
      <c r="Q3562" s="64">
        <f>IF($A3562="","",IF(O3562&lt;&gt;원인분석!$C$9,"",IF(AND(M3562&gt;=원인분석!$C$10,M3562&lt;=원인분석!$C$11),"당기",IF(AND(M3562&gt;=원인분석!$C$12,M3562&lt;=원인분석!$C$13),"비교",""))))</f>
        <v/>
      </c>
      <c r="R3562" s="9">
        <f>IF(Q3562="","",$K3562&amp;"")</f>
        <v/>
      </c>
      <c r="S3562" s="9">
        <f>IF(Q3562="","",IF(MATCH(R3562,$R$5:$R$100000,0)=ROW()-4,ROW(),""))</f>
        <v/>
      </c>
      <c r="T3562" s="9">
        <f>IF(Q3562="당기",ABS(P3562)+ROW()/1000000000,"")</f>
        <v/>
      </c>
      <c r="U3562" s="9">
        <f>IF(Q3562="비교",ABS(P3562)+ROW()/1000000000,"")</f>
        <v/>
      </c>
      <c r="V3562" s="64">
        <f>IF($A3562="","",IF(COUNTIF(변동분석!$E$7:$E$506,O3562)&gt;0,"Y","N"))</f>
        <v/>
      </c>
      <c r="W3562" s="64">
        <f>IF($A3562="","",IFERROR(INDEX(계정매핑!$D$5:$D$504,MATCH($F3562&amp;"",계정매핑!$A$5:$A$504,0)),"미매핑"))</f>
        <v/>
      </c>
      <c r="X3562" s="9">
        <f>IF($A3562="","",$F3562&amp;"")</f>
        <v/>
      </c>
      <c r="Y3562" s="94">
        <f>IF($A3562="",0,IF(AE3562="직접",IF(AF3562="비귀속",$P3562,0),$P3562*(1-AG3562)*IFERROR(INDEX(계정대체기준!$F$20:$F$49,MATCH($N3562,계정대체기준!$A$20:$A$49,0)),1)))</f>
        <v/>
      </c>
      <c r="Z3562" s="94">
        <f>IF($A3562="",0,IF(AE3562="직접",IF(AF3562="신계약비",$P3562,0),$P3562*(1-AG3562)*IFERROR(INDEX(계정대체기준!$C$20:$C$49,MATCH($N3562,계정대체기준!$A$20:$A$49,0)),0)))</f>
        <v/>
      </c>
      <c r="AA3562" s="94">
        <f>IF($A3562="",0,IF(AE3562="직접",IF(OR(AF3562="유지비",AF3562="손해조사비"),$P3562,0),$P3562*(1-AG3562)*IFERROR(INDEX(계정대체기준!$D$20:$D$49,MATCH($N3562,계정대체기준!$A$20:$A$49,0)),0)))</f>
        <v/>
      </c>
      <c r="AB3562" s="94">
        <f>IF($A3562="",0,IF(AE3562="직접",IF(AF3562="수금비",$P3562,0),$P3562*(1-AG3562)*IFERROR(INDEX(계정대체기준!$E$20:$E$49,MATCH($N3562,계정대체기준!$A$20:$A$49,0)),0)))</f>
        <v/>
      </c>
      <c r="AC3562" s="9">
        <f>IF(AND($A3562&lt;&gt;"",M3562=설정!$C$20,Z3562&gt;0),Z3562+ROW()/1000000000,"")</f>
        <v/>
      </c>
      <c r="AD3562" s="94">
        <f>IF($A3562="",0,$P3562*AG3562)</f>
        <v/>
      </c>
      <c r="AE3562" s="64">
        <f>IF($A3562="","",IFERROR(INDEX(계정매핑!$E$5:$E$504,MATCH($F3562&amp;"",계정매핑!$A$5:$A$504,0))&amp;"","공통비"))</f>
        <v/>
      </c>
      <c r="AF3562" s="64">
        <f>IF($A3562="","",IF(AE3562="직접",IFERROR(INDEX(계정매핑!$F$5:$F$504,MATCH($F3562&amp;"",계정매핑!$A$5:$A$504,0))&amp;"","비귀속"),""))</f>
        <v/>
      </c>
      <c r="AG3562" s="96">
        <f>IF($A3562="",0,IF(AND(AE3562&lt;&gt;"직접",IFERROR(INDEX(계정매핑!$G$5:$G$504,MATCH($F3562&amp;"",계정매핑!$A$5:$A$504,0))&amp;"","")="유지비",COUNTIF(계정대체기준!$A$6:$A$15,$N3562)&gt;0),IFERROR(INDEX(계정대체기준!$E$6:$E$15,MATCH(VALUE($A3562&amp;""),계정대체기준!$D$6:$D$15,0)),0),0))</f>
        <v/>
      </c>
      <c r="AH3562" s="64">
        <f>IF($A3562="","",IF(AD3562=0,"",IF(OR(COUNTIF(계정대체기준!$A$77:$A$86,$N3562)&gt;0,ISNUMBER(MATCH($X3562,계정대체기준!$D$77:$D$86,0)),ISNUMBER(MATCH($F3562,계정대체기준!$D$77:$D$86,0))),"Y","N")))</f>
        <v/>
      </c>
    </row>
    <row r="3563">
      <c r="A3563" s="92" t="n">
        <v>2026</v>
      </c>
      <c r="B3563" s="92" t="n">
        <v>4</v>
      </c>
      <c r="C3563" s="92" t="inlineStr">
        <is>
          <t>5100000841</t>
        </is>
      </c>
      <c r="D3563" s="95" t="n">
        <v>46130</v>
      </c>
      <c r="E3563" s="92" t="inlineStr">
        <is>
          <t>KR</t>
        </is>
      </c>
      <c r="F3563" s="92" t="n">
        <v>62902000</v>
      </c>
      <c r="G3563" s="92" t="n">
        <v>1401</v>
      </c>
      <c r="H3563" s="93" t="n">
        <v>3277000</v>
      </c>
      <c r="I3563" s="92" t="inlineStr">
        <is>
          <t>4월 업무 위탁 수수료 - X서비스</t>
        </is>
      </c>
      <c r="J3563" s="92" t="inlineStr">
        <is>
          <t>V10020</t>
        </is>
      </c>
      <c r="K3563" s="92" t="inlineStr">
        <is>
          <t>X서비스</t>
        </is>
      </c>
      <c r="M3563" s="9">
        <f>IF($A3563="","",VALUE($A3563&amp;"")*12+VALUE($B3563&amp;""))</f>
        <v/>
      </c>
      <c r="N3563" s="64">
        <f>IF($A3563="","",IFERROR(INDEX(부서매핑!$C$5:$C$504,MATCH($G3563&amp;"",부서매핑!$A$5:$A$504,0)),"미매핑"))</f>
        <v/>
      </c>
      <c r="O3563" s="9">
        <f>IF($A3563="","",N3563&amp;"|"&amp;$F3563)</f>
        <v/>
      </c>
      <c r="P3563" s="94">
        <f>IF($A3563="",0,$H3563*설정!$C$23)</f>
        <v/>
      </c>
      <c r="Q3563" s="64">
        <f>IF($A3563="","",IF(O3563&lt;&gt;원인분석!$C$9,"",IF(AND(M3563&gt;=원인분석!$C$10,M3563&lt;=원인분석!$C$11),"당기",IF(AND(M3563&gt;=원인분석!$C$12,M3563&lt;=원인분석!$C$13),"비교",""))))</f>
        <v/>
      </c>
      <c r="R3563" s="9">
        <f>IF(Q3563="","",$K3563&amp;"")</f>
        <v/>
      </c>
      <c r="S3563" s="9">
        <f>IF(Q3563="","",IF(MATCH(R3563,$R$5:$R$100000,0)=ROW()-4,ROW(),""))</f>
        <v/>
      </c>
      <c r="T3563" s="9">
        <f>IF(Q3563="당기",ABS(P3563)+ROW()/1000000000,"")</f>
        <v/>
      </c>
      <c r="U3563" s="9">
        <f>IF(Q3563="비교",ABS(P3563)+ROW()/1000000000,"")</f>
        <v/>
      </c>
      <c r="V3563" s="64">
        <f>IF($A3563="","",IF(COUNTIF(변동분석!$E$7:$E$506,O3563)&gt;0,"Y","N"))</f>
        <v/>
      </c>
      <c r="W3563" s="64">
        <f>IF($A3563="","",IFERROR(INDEX(계정매핑!$D$5:$D$504,MATCH($F3563&amp;"",계정매핑!$A$5:$A$504,0)),"미매핑"))</f>
        <v/>
      </c>
      <c r="X3563" s="9">
        <f>IF($A3563="","",$F3563&amp;"")</f>
        <v/>
      </c>
      <c r="Y3563" s="94">
        <f>IF($A3563="",0,IF(AE3563="직접",IF(AF3563="비귀속",$P3563,0),$P3563*(1-AG3563)*IFERROR(INDEX(계정대체기준!$F$20:$F$49,MATCH($N3563,계정대체기준!$A$20:$A$49,0)),1)))</f>
        <v/>
      </c>
      <c r="Z3563" s="94">
        <f>IF($A3563="",0,IF(AE3563="직접",IF(AF3563="신계약비",$P3563,0),$P3563*(1-AG3563)*IFERROR(INDEX(계정대체기준!$C$20:$C$49,MATCH($N3563,계정대체기준!$A$20:$A$49,0)),0)))</f>
        <v/>
      </c>
      <c r="AA3563" s="94">
        <f>IF($A3563="",0,IF(AE3563="직접",IF(OR(AF3563="유지비",AF3563="손해조사비"),$P3563,0),$P3563*(1-AG3563)*IFERROR(INDEX(계정대체기준!$D$20:$D$49,MATCH($N3563,계정대체기준!$A$20:$A$49,0)),0)))</f>
        <v/>
      </c>
      <c r="AB3563" s="94">
        <f>IF($A3563="",0,IF(AE3563="직접",IF(AF3563="수금비",$P3563,0),$P3563*(1-AG3563)*IFERROR(INDEX(계정대체기준!$E$20:$E$49,MATCH($N3563,계정대체기준!$A$20:$A$49,0)),0)))</f>
        <v/>
      </c>
      <c r="AC3563" s="9">
        <f>IF(AND($A3563&lt;&gt;"",M3563=설정!$C$20,Z3563&gt;0),Z3563+ROW()/1000000000,"")</f>
        <v/>
      </c>
      <c r="AD3563" s="94">
        <f>IF($A3563="",0,$P3563*AG3563)</f>
        <v/>
      </c>
      <c r="AE3563" s="64">
        <f>IF($A3563="","",IFERROR(INDEX(계정매핑!$E$5:$E$504,MATCH($F3563&amp;"",계정매핑!$A$5:$A$504,0))&amp;"","공통비"))</f>
        <v/>
      </c>
      <c r="AF3563" s="64">
        <f>IF($A3563="","",IF(AE3563="직접",IFERROR(INDEX(계정매핑!$F$5:$F$504,MATCH($F3563&amp;"",계정매핑!$A$5:$A$504,0))&amp;"","비귀속"),""))</f>
        <v/>
      </c>
      <c r="AG3563" s="96">
        <f>IF($A3563="",0,IF(AND(AE3563&lt;&gt;"직접",IFERROR(INDEX(계정매핑!$G$5:$G$504,MATCH($F3563&amp;"",계정매핑!$A$5:$A$504,0))&amp;"","")="유지비",COUNTIF(계정대체기준!$A$6:$A$15,$N3563)&gt;0),IFERROR(INDEX(계정대체기준!$E$6:$E$15,MATCH(VALUE($A3563&amp;""),계정대체기준!$D$6:$D$15,0)),0),0))</f>
        <v/>
      </c>
      <c r="AH3563" s="64">
        <f>IF($A3563="","",IF(AD3563=0,"",IF(OR(COUNTIF(계정대체기준!$A$77:$A$86,$N3563)&gt;0,ISNUMBER(MATCH($X3563,계정대체기준!$D$77:$D$86,0)),ISNUMBER(MATCH($F3563,계정대체기준!$D$77:$D$86,0))),"Y","N")))</f>
        <v/>
      </c>
    </row>
    <row r="3564">
      <c r="A3564" s="92" t="n">
        <v>2026</v>
      </c>
      <c r="B3564" s="92" t="n">
        <v>4</v>
      </c>
      <c r="C3564" s="92" t="inlineStr">
        <is>
          <t>5100000842</t>
        </is>
      </c>
      <c r="D3564" s="95" t="n">
        <v>46131</v>
      </c>
      <c r="E3564" s="92" t="inlineStr">
        <is>
          <t>KR</t>
        </is>
      </c>
      <c r="F3564" s="92" t="n">
        <v>62101000</v>
      </c>
      <c r="G3564" s="92" t="n">
        <v>1201</v>
      </c>
      <c r="H3564" s="93" t="n">
        <v>217000</v>
      </c>
      <c r="I3564" s="92" t="inlineStr">
        <is>
          <t>4월 국내출장 - L여행사</t>
        </is>
      </c>
      <c r="J3564" s="92" t="inlineStr">
        <is>
          <t>V10018</t>
        </is>
      </c>
      <c r="K3564" s="92" t="inlineStr">
        <is>
          <t>L여행사</t>
        </is>
      </c>
      <c r="M3564" s="9">
        <f>IF($A3564="","",VALUE($A3564&amp;"")*12+VALUE($B3564&amp;""))</f>
        <v/>
      </c>
      <c r="N3564" s="64">
        <f>IF($A3564="","",IFERROR(INDEX(부서매핑!$C$5:$C$504,MATCH($G3564&amp;"",부서매핑!$A$5:$A$504,0)),"미매핑"))</f>
        <v/>
      </c>
      <c r="O3564" s="9">
        <f>IF($A3564="","",N3564&amp;"|"&amp;$F3564)</f>
        <v/>
      </c>
      <c r="P3564" s="94">
        <f>IF($A3564="",0,$H3564*설정!$C$23)</f>
        <v/>
      </c>
      <c r="Q3564" s="64">
        <f>IF($A3564="","",IF(O3564&lt;&gt;원인분석!$C$9,"",IF(AND(M3564&gt;=원인분석!$C$10,M3564&lt;=원인분석!$C$11),"당기",IF(AND(M3564&gt;=원인분석!$C$12,M3564&lt;=원인분석!$C$13),"비교",""))))</f>
        <v/>
      </c>
      <c r="R3564" s="9">
        <f>IF(Q3564="","",$K3564&amp;"")</f>
        <v/>
      </c>
      <c r="S3564" s="9">
        <f>IF(Q3564="","",IF(MATCH(R3564,$R$5:$R$100000,0)=ROW()-4,ROW(),""))</f>
        <v/>
      </c>
      <c r="T3564" s="9">
        <f>IF(Q3564="당기",ABS(P3564)+ROW()/1000000000,"")</f>
        <v/>
      </c>
      <c r="U3564" s="9">
        <f>IF(Q3564="비교",ABS(P3564)+ROW()/1000000000,"")</f>
        <v/>
      </c>
      <c r="V3564" s="64">
        <f>IF($A3564="","",IF(COUNTIF(변동분석!$E$7:$E$506,O3564)&gt;0,"Y","N"))</f>
        <v/>
      </c>
      <c r="W3564" s="64">
        <f>IF($A3564="","",IFERROR(INDEX(계정매핑!$D$5:$D$504,MATCH($F3564&amp;"",계정매핑!$A$5:$A$504,0)),"미매핑"))</f>
        <v/>
      </c>
      <c r="X3564" s="9">
        <f>IF($A3564="","",$F3564&amp;"")</f>
        <v/>
      </c>
      <c r="Y3564" s="94">
        <f>IF($A3564="",0,IF(AE3564="직접",IF(AF3564="비귀속",$P3564,0),$P3564*(1-AG3564)*IFERROR(INDEX(계정대체기준!$F$20:$F$49,MATCH($N3564,계정대체기준!$A$20:$A$49,0)),1)))</f>
        <v/>
      </c>
      <c r="Z3564" s="94">
        <f>IF($A3564="",0,IF(AE3564="직접",IF(AF3564="신계약비",$P3564,0),$P3564*(1-AG3564)*IFERROR(INDEX(계정대체기준!$C$20:$C$49,MATCH($N3564,계정대체기준!$A$20:$A$49,0)),0)))</f>
        <v/>
      </c>
      <c r="AA3564" s="94">
        <f>IF($A3564="",0,IF(AE3564="직접",IF(OR(AF3564="유지비",AF3564="손해조사비"),$P3564,0),$P3564*(1-AG3564)*IFERROR(INDEX(계정대체기준!$D$20:$D$49,MATCH($N3564,계정대체기준!$A$20:$A$49,0)),0)))</f>
        <v/>
      </c>
      <c r="AB3564" s="94">
        <f>IF($A3564="",0,IF(AE3564="직접",IF(AF3564="수금비",$P3564,0),$P3564*(1-AG3564)*IFERROR(INDEX(계정대체기준!$E$20:$E$49,MATCH($N3564,계정대체기준!$A$20:$A$49,0)),0)))</f>
        <v/>
      </c>
      <c r="AC3564" s="9">
        <f>IF(AND($A3564&lt;&gt;"",M3564=설정!$C$20,Z3564&gt;0),Z3564+ROW()/1000000000,"")</f>
        <v/>
      </c>
      <c r="AD3564" s="94">
        <f>IF($A3564="",0,$P3564*AG3564)</f>
        <v/>
      </c>
      <c r="AE3564" s="64">
        <f>IF($A3564="","",IFERROR(INDEX(계정매핑!$E$5:$E$504,MATCH($F3564&amp;"",계정매핑!$A$5:$A$504,0))&amp;"","공통비"))</f>
        <v/>
      </c>
      <c r="AF3564" s="64">
        <f>IF($A3564="","",IF(AE3564="직접",IFERROR(INDEX(계정매핑!$F$5:$F$504,MATCH($F3564&amp;"",계정매핑!$A$5:$A$504,0))&amp;"","비귀속"),""))</f>
        <v/>
      </c>
      <c r="AG3564" s="96">
        <f>IF($A3564="",0,IF(AND(AE3564&lt;&gt;"직접",IFERROR(INDEX(계정매핑!$G$5:$G$504,MATCH($F3564&amp;"",계정매핑!$A$5:$A$504,0))&amp;"","")="유지비",COUNTIF(계정대체기준!$A$6:$A$15,$N3564)&gt;0),IFERROR(INDEX(계정대체기준!$E$6:$E$15,MATCH(VALUE($A3564&amp;""),계정대체기준!$D$6:$D$15,0)),0),0))</f>
        <v/>
      </c>
      <c r="AH3564" s="64">
        <f>IF($A3564="","",IF(AD3564=0,"",IF(OR(COUNTIF(계정대체기준!$A$77:$A$86,$N3564)&gt;0,ISNUMBER(MATCH($X3564,계정대체기준!$D$77:$D$86,0)),ISNUMBER(MATCH($F3564,계정대체기준!$D$77:$D$86,0))),"Y","N")))</f>
        <v/>
      </c>
    </row>
    <row r="3565">
      <c r="A3565" s="92" t="n">
        <v>2026</v>
      </c>
      <c r="B3565" s="92" t="n">
        <v>4</v>
      </c>
      <c r="C3565" s="92" t="inlineStr">
        <is>
          <t>5100000843</t>
        </is>
      </c>
      <c r="D3565" s="95" t="n">
        <v>46131</v>
      </c>
      <c r="E3565" s="92" t="inlineStr">
        <is>
          <t>KR</t>
        </is>
      </c>
      <c r="F3565" s="92" t="n">
        <v>62201000</v>
      </c>
      <c r="G3565" s="92" t="n">
        <v>1201</v>
      </c>
      <c r="H3565" s="93" t="n">
        <v>186000</v>
      </c>
      <c r="I3565" s="92" t="inlineStr">
        <is>
          <t>4월 통신요금 - O텔레콤</t>
        </is>
      </c>
      <c r="J3565" s="92" t="inlineStr">
        <is>
          <t>V10002</t>
        </is>
      </c>
      <c r="K3565" s="92" t="inlineStr">
        <is>
          <t>O텔레콤</t>
        </is>
      </c>
      <c r="M3565" s="9">
        <f>IF($A3565="","",VALUE($A3565&amp;"")*12+VALUE($B3565&amp;""))</f>
        <v/>
      </c>
      <c r="N3565" s="64">
        <f>IF($A3565="","",IFERROR(INDEX(부서매핑!$C$5:$C$504,MATCH($G3565&amp;"",부서매핑!$A$5:$A$504,0)),"미매핑"))</f>
        <v/>
      </c>
      <c r="O3565" s="9">
        <f>IF($A3565="","",N3565&amp;"|"&amp;$F3565)</f>
        <v/>
      </c>
      <c r="P3565" s="94">
        <f>IF($A3565="",0,$H3565*설정!$C$23)</f>
        <v/>
      </c>
      <c r="Q3565" s="64">
        <f>IF($A3565="","",IF(O3565&lt;&gt;원인분석!$C$9,"",IF(AND(M3565&gt;=원인분석!$C$10,M3565&lt;=원인분석!$C$11),"당기",IF(AND(M3565&gt;=원인분석!$C$12,M3565&lt;=원인분석!$C$13),"비교",""))))</f>
        <v/>
      </c>
      <c r="R3565" s="9">
        <f>IF(Q3565="","",$K3565&amp;"")</f>
        <v/>
      </c>
      <c r="S3565" s="9">
        <f>IF(Q3565="","",IF(MATCH(R3565,$R$5:$R$100000,0)=ROW()-4,ROW(),""))</f>
        <v/>
      </c>
      <c r="T3565" s="9">
        <f>IF(Q3565="당기",ABS(P3565)+ROW()/1000000000,"")</f>
        <v/>
      </c>
      <c r="U3565" s="9">
        <f>IF(Q3565="비교",ABS(P3565)+ROW()/1000000000,"")</f>
        <v/>
      </c>
      <c r="V3565" s="64">
        <f>IF($A3565="","",IF(COUNTIF(변동분석!$E$7:$E$506,O3565)&gt;0,"Y","N"))</f>
        <v/>
      </c>
      <c r="W3565" s="64">
        <f>IF($A3565="","",IFERROR(INDEX(계정매핑!$D$5:$D$504,MATCH($F3565&amp;"",계정매핑!$A$5:$A$504,0)),"미매핑"))</f>
        <v/>
      </c>
      <c r="X3565" s="9">
        <f>IF($A3565="","",$F3565&amp;"")</f>
        <v/>
      </c>
      <c r="Y3565" s="94">
        <f>IF($A3565="",0,IF(AE3565="직접",IF(AF3565="비귀속",$P3565,0),$P3565*(1-AG3565)*IFERROR(INDEX(계정대체기준!$F$20:$F$49,MATCH($N3565,계정대체기준!$A$20:$A$49,0)),1)))</f>
        <v/>
      </c>
      <c r="Z3565" s="94">
        <f>IF($A3565="",0,IF(AE3565="직접",IF(AF3565="신계약비",$P3565,0),$P3565*(1-AG3565)*IFERROR(INDEX(계정대체기준!$C$20:$C$49,MATCH($N3565,계정대체기준!$A$20:$A$49,0)),0)))</f>
        <v/>
      </c>
      <c r="AA3565" s="94">
        <f>IF($A3565="",0,IF(AE3565="직접",IF(OR(AF3565="유지비",AF3565="손해조사비"),$P3565,0),$P3565*(1-AG3565)*IFERROR(INDEX(계정대체기준!$D$20:$D$49,MATCH($N3565,계정대체기준!$A$20:$A$49,0)),0)))</f>
        <v/>
      </c>
      <c r="AB3565" s="94">
        <f>IF($A3565="",0,IF(AE3565="직접",IF(AF3565="수금비",$P3565,0),$P3565*(1-AG3565)*IFERROR(INDEX(계정대체기준!$E$20:$E$49,MATCH($N3565,계정대체기준!$A$20:$A$49,0)),0)))</f>
        <v/>
      </c>
      <c r="AC3565" s="9">
        <f>IF(AND($A3565&lt;&gt;"",M3565=설정!$C$20,Z3565&gt;0),Z3565+ROW()/1000000000,"")</f>
        <v/>
      </c>
      <c r="AD3565" s="94">
        <f>IF($A3565="",0,$P3565*AG3565)</f>
        <v/>
      </c>
      <c r="AE3565" s="64">
        <f>IF($A3565="","",IFERROR(INDEX(계정매핑!$E$5:$E$504,MATCH($F3565&amp;"",계정매핑!$A$5:$A$504,0))&amp;"","공통비"))</f>
        <v/>
      </c>
      <c r="AF3565" s="64">
        <f>IF($A3565="","",IF(AE3565="직접",IFERROR(INDEX(계정매핑!$F$5:$F$504,MATCH($F3565&amp;"",계정매핑!$A$5:$A$504,0))&amp;"","비귀속"),""))</f>
        <v/>
      </c>
      <c r="AG3565" s="96">
        <f>IF($A3565="",0,IF(AND(AE3565&lt;&gt;"직접",IFERROR(INDEX(계정매핑!$G$5:$G$504,MATCH($F3565&amp;"",계정매핑!$A$5:$A$504,0))&amp;"","")="유지비",COUNTIF(계정대체기준!$A$6:$A$15,$N3565)&gt;0),IFERROR(INDEX(계정대체기준!$E$6:$E$15,MATCH(VALUE($A3565&amp;""),계정대체기준!$D$6:$D$15,0)),0),0))</f>
        <v/>
      </c>
      <c r="AH3565" s="64">
        <f>IF($A3565="","",IF(AD3565=0,"",IF(OR(COUNTIF(계정대체기준!$A$77:$A$86,$N3565)&gt;0,ISNUMBER(MATCH($X3565,계정대체기준!$D$77:$D$86,0)),ISNUMBER(MATCH($F3565,계정대체기준!$D$77:$D$86,0))),"Y","N")))</f>
        <v/>
      </c>
    </row>
    <row r="3566">
      <c r="A3566" s="92" t="n">
        <v>2026</v>
      </c>
      <c r="B3566" s="92" t="n">
        <v>4</v>
      </c>
      <c r="C3566" s="92" t="inlineStr">
        <is>
          <t>5100000844</t>
        </is>
      </c>
      <c r="D3566" s="95" t="n">
        <v>46131</v>
      </c>
      <c r="E3566" s="92" t="inlineStr">
        <is>
          <t>KR</t>
        </is>
      </c>
      <c r="F3566" s="92" t="n">
        <v>62501000</v>
      </c>
      <c r="G3566" s="92" t="n">
        <v>1101</v>
      </c>
      <c r="H3566" s="93" t="n">
        <v>210000</v>
      </c>
      <c r="I3566" s="92" t="inlineStr">
        <is>
          <t>4월 회의 다과 - T케이터링</t>
        </is>
      </c>
      <c r="J3566" s="92" t="inlineStr">
        <is>
          <t>V10005</t>
        </is>
      </c>
      <c r="K3566" s="92" t="inlineStr">
        <is>
          <t>T케이터링</t>
        </is>
      </c>
      <c r="M3566" s="9">
        <f>IF($A3566="","",VALUE($A3566&amp;"")*12+VALUE($B3566&amp;""))</f>
        <v/>
      </c>
      <c r="N3566" s="64">
        <f>IF($A3566="","",IFERROR(INDEX(부서매핑!$C$5:$C$504,MATCH($G3566&amp;"",부서매핑!$A$5:$A$504,0)),"미매핑"))</f>
        <v/>
      </c>
      <c r="O3566" s="9">
        <f>IF($A3566="","",N3566&amp;"|"&amp;$F3566)</f>
        <v/>
      </c>
      <c r="P3566" s="94">
        <f>IF($A3566="",0,$H3566*설정!$C$23)</f>
        <v/>
      </c>
      <c r="Q3566" s="64">
        <f>IF($A3566="","",IF(O3566&lt;&gt;원인분석!$C$9,"",IF(AND(M3566&gt;=원인분석!$C$10,M3566&lt;=원인분석!$C$11),"당기",IF(AND(M3566&gt;=원인분석!$C$12,M3566&lt;=원인분석!$C$13),"비교",""))))</f>
        <v/>
      </c>
      <c r="R3566" s="9">
        <f>IF(Q3566="","",$K3566&amp;"")</f>
        <v/>
      </c>
      <c r="S3566" s="9">
        <f>IF(Q3566="","",IF(MATCH(R3566,$R$5:$R$100000,0)=ROW()-4,ROW(),""))</f>
        <v/>
      </c>
      <c r="T3566" s="9">
        <f>IF(Q3566="당기",ABS(P3566)+ROW()/1000000000,"")</f>
        <v/>
      </c>
      <c r="U3566" s="9">
        <f>IF(Q3566="비교",ABS(P3566)+ROW()/1000000000,"")</f>
        <v/>
      </c>
      <c r="V3566" s="64">
        <f>IF($A3566="","",IF(COUNTIF(변동분석!$E$7:$E$506,O3566)&gt;0,"Y","N"))</f>
        <v/>
      </c>
      <c r="W3566" s="64">
        <f>IF($A3566="","",IFERROR(INDEX(계정매핑!$D$5:$D$504,MATCH($F3566&amp;"",계정매핑!$A$5:$A$504,0)),"미매핑"))</f>
        <v/>
      </c>
      <c r="X3566" s="9">
        <f>IF($A3566="","",$F3566&amp;"")</f>
        <v/>
      </c>
      <c r="Y3566" s="94">
        <f>IF($A3566="",0,IF(AE3566="직접",IF(AF3566="비귀속",$P3566,0),$P3566*(1-AG3566)*IFERROR(INDEX(계정대체기준!$F$20:$F$49,MATCH($N3566,계정대체기준!$A$20:$A$49,0)),1)))</f>
        <v/>
      </c>
      <c r="Z3566" s="94">
        <f>IF($A3566="",0,IF(AE3566="직접",IF(AF3566="신계약비",$P3566,0),$P3566*(1-AG3566)*IFERROR(INDEX(계정대체기준!$C$20:$C$49,MATCH($N3566,계정대체기준!$A$20:$A$49,0)),0)))</f>
        <v/>
      </c>
      <c r="AA3566" s="94">
        <f>IF($A3566="",0,IF(AE3566="직접",IF(OR(AF3566="유지비",AF3566="손해조사비"),$P3566,0),$P3566*(1-AG3566)*IFERROR(INDEX(계정대체기준!$D$20:$D$49,MATCH($N3566,계정대체기준!$A$20:$A$49,0)),0)))</f>
        <v/>
      </c>
      <c r="AB3566" s="94">
        <f>IF($A3566="",0,IF(AE3566="직접",IF(AF3566="수금비",$P3566,0),$P3566*(1-AG3566)*IFERROR(INDEX(계정대체기준!$E$20:$E$49,MATCH($N3566,계정대체기준!$A$20:$A$49,0)),0)))</f>
        <v/>
      </c>
      <c r="AC3566" s="9">
        <f>IF(AND($A3566&lt;&gt;"",M3566=설정!$C$20,Z3566&gt;0),Z3566+ROW()/1000000000,"")</f>
        <v/>
      </c>
      <c r="AD3566" s="94">
        <f>IF($A3566="",0,$P3566*AG3566)</f>
        <v/>
      </c>
      <c r="AE3566" s="64">
        <f>IF($A3566="","",IFERROR(INDEX(계정매핑!$E$5:$E$504,MATCH($F3566&amp;"",계정매핑!$A$5:$A$504,0))&amp;"","공통비"))</f>
        <v/>
      </c>
      <c r="AF3566" s="64">
        <f>IF($A3566="","",IF(AE3566="직접",IFERROR(INDEX(계정매핑!$F$5:$F$504,MATCH($F3566&amp;"",계정매핑!$A$5:$A$504,0))&amp;"","비귀속"),""))</f>
        <v/>
      </c>
      <c r="AG3566" s="96">
        <f>IF($A3566="",0,IF(AND(AE3566&lt;&gt;"직접",IFERROR(INDEX(계정매핑!$G$5:$G$504,MATCH($F3566&amp;"",계정매핑!$A$5:$A$504,0))&amp;"","")="유지비",COUNTIF(계정대체기준!$A$6:$A$15,$N3566)&gt;0),IFERROR(INDEX(계정대체기준!$E$6:$E$15,MATCH(VALUE($A3566&amp;""),계정대체기준!$D$6:$D$15,0)),0),0))</f>
        <v/>
      </c>
      <c r="AH3566" s="64">
        <f>IF($A3566="","",IF(AD3566=0,"",IF(OR(COUNTIF(계정대체기준!$A$77:$A$86,$N3566)&gt;0,ISNUMBER(MATCH($X3566,계정대체기준!$D$77:$D$86,0)),ISNUMBER(MATCH($F3566,계정대체기준!$D$77:$D$86,0))),"Y","N")))</f>
        <v/>
      </c>
    </row>
    <row r="3567">
      <c r="A3567" s="92" t="n">
        <v>2026</v>
      </c>
      <c r="B3567" s="92" t="n">
        <v>4</v>
      </c>
      <c r="C3567" s="92" t="inlineStr">
        <is>
          <t>5100000845</t>
        </is>
      </c>
      <c r="D3567" s="95" t="n">
        <v>46131</v>
      </c>
      <c r="E3567" s="92" t="inlineStr">
        <is>
          <t>KR</t>
        </is>
      </c>
      <c r="F3567" s="92" t="n">
        <v>62501000</v>
      </c>
      <c r="G3567" s="92" t="n">
        <v>1801</v>
      </c>
      <c r="H3567" s="93" t="n">
        <v>110000</v>
      </c>
      <c r="I3567" s="92" t="inlineStr">
        <is>
          <t>4월 회의 다과 - T케이터링</t>
        </is>
      </c>
      <c r="J3567" s="92" t="inlineStr">
        <is>
          <t>V10005</t>
        </is>
      </c>
      <c r="K3567" s="92" t="inlineStr">
        <is>
          <t>T케이터링</t>
        </is>
      </c>
      <c r="M3567" s="9">
        <f>IF($A3567="","",VALUE($A3567&amp;"")*12+VALUE($B3567&amp;""))</f>
        <v/>
      </c>
      <c r="N3567" s="64">
        <f>IF($A3567="","",IFERROR(INDEX(부서매핑!$C$5:$C$504,MATCH($G3567&amp;"",부서매핑!$A$5:$A$504,0)),"미매핑"))</f>
        <v/>
      </c>
      <c r="O3567" s="9">
        <f>IF($A3567="","",N3567&amp;"|"&amp;$F3567)</f>
        <v/>
      </c>
      <c r="P3567" s="94">
        <f>IF($A3567="",0,$H3567*설정!$C$23)</f>
        <v/>
      </c>
      <c r="Q3567" s="64">
        <f>IF($A3567="","",IF(O3567&lt;&gt;원인분석!$C$9,"",IF(AND(M3567&gt;=원인분석!$C$10,M3567&lt;=원인분석!$C$11),"당기",IF(AND(M3567&gt;=원인분석!$C$12,M3567&lt;=원인분석!$C$13),"비교",""))))</f>
        <v/>
      </c>
      <c r="R3567" s="9">
        <f>IF(Q3567="","",$K3567&amp;"")</f>
        <v/>
      </c>
      <c r="S3567" s="9">
        <f>IF(Q3567="","",IF(MATCH(R3567,$R$5:$R$100000,0)=ROW()-4,ROW(),""))</f>
        <v/>
      </c>
      <c r="T3567" s="9">
        <f>IF(Q3567="당기",ABS(P3567)+ROW()/1000000000,"")</f>
        <v/>
      </c>
      <c r="U3567" s="9">
        <f>IF(Q3567="비교",ABS(P3567)+ROW()/1000000000,"")</f>
        <v/>
      </c>
      <c r="V3567" s="64">
        <f>IF($A3567="","",IF(COUNTIF(변동분석!$E$7:$E$506,O3567)&gt;0,"Y","N"))</f>
        <v/>
      </c>
      <c r="W3567" s="64">
        <f>IF($A3567="","",IFERROR(INDEX(계정매핑!$D$5:$D$504,MATCH($F3567&amp;"",계정매핑!$A$5:$A$504,0)),"미매핑"))</f>
        <v/>
      </c>
      <c r="X3567" s="9">
        <f>IF($A3567="","",$F3567&amp;"")</f>
        <v/>
      </c>
      <c r="Y3567" s="94">
        <f>IF($A3567="",0,IF(AE3567="직접",IF(AF3567="비귀속",$P3567,0),$P3567*(1-AG3567)*IFERROR(INDEX(계정대체기준!$F$20:$F$49,MATCH($N3567,계정대체기준!$A$20:$A$49,0)),1)))</f>
        <v/>
      </c>
      <c r="Z3567" s="94">
        <f>IF($A3567="",0,IF(AE3567="직접",IF(AF3567="신계약비",$P3567,0),$P3567*(1-AG3567)*IFERROR(INDEX(계정대체기준!$C$20:$C$49,MATCH($N3567,계정대체기준!$A$20:$A$49,0)),0)))</f>
        <v/>
      </c>
      <c r="AA3567" s="94">
        <f>IF($A3567="",0,IF(AE3567="직접",IF(OR(AF3567="유지비",AF3567="손해조사비"),$P3567,0),$P3567*(1-AG3567)*IFERROR(INDEX(계정대체기준!$D$20:$D$49,MATCH($N3567,계정대체기준!$A$20:$A$49,0)),0)))</f>
        <v/>
      </c>
      <c r="AB3567" s="94">
        <f>IF($A3567="",0,IF(AE3567="직접",IF(AF3567="수금비",$P3567,0),$P3567*(1-AG3567)*IFERROR(INDEX(계정대체기준!$E$20:$E$49,MATCH($N3567,계정대체기준!$A$20:$A$49,0)),0)))</f>
        <v/>
      </c>
      <c r="AC3567" s="9">
        <f>IF(AND($A3567&lt;&gt;"",M3567=설정!$C$20,Z3567&gt;0),Z3567+ROW()/1000000000,"")</f>
        <v/>
      </c>
      <c r="AD3567" s="94">
        <f>IF($A3567="",0,$P3567*AG3567)</f>
        <v/>
      </c>
      <c r="AE3567" s="64">
        <f>IF($A3567="","",IFERROR(INDEX(계정매핑!$E$5:$E$504,MATCH($F3567&amp;"",계정매핑!$A$5:$A$504,0))&amp;"","공통비"))</f>
        <v/>
      </c>
      <c r="AF3567" s="64">
        <f>IF($A3567="","",IF(AE3567="직접",IFERROR(INDEX(계정매핑!$F$5:$F$504,MATCH($F3567&amp;"",계정매핑!$A$5:$A$504,0))&amp;"","비귀속"),""))</f>
        <v/>
      </c>
      <c r="AG3567" s="96">
        <f>IF($A3567="",0,IF(AND(AE3567&lt;&gt;"직접",IFERROR(INDEX(계정매핑!$G$5:$G$504,MATCH($F3567&amp;"",계정매핑!$A$5:$A$504,0))&amp;"","")="유지비",COUNTIF(계정대체기준!$A$6:$A$15,$N3567)&gt;0),IFERROR(INDEX(계정대체기준!$E$6:$E$15,MATCH(VALUE($A3567&amp;""),계정대체기준!$D$6:$D$15,0)),0),0))</f>
        <v/>
      </c>
      <c r="AH3567" s="64">
        <f>IF($A3567="","",IF(AD3567=0,"",IF(OR(COUNTIF(계정대체기준!$A$77:$A$86,$N3567)&gt;0,ISNUMBER(MATCH($X3567,계정대체기준!$D$77:$D$86,0)),ISNUMBER(MATCH($F3567,계정대체기준!$D$77:$D$86,0))),"Y","N")))</f>
        <v/>
      </c>
    </row>
    <row r="3568">
      <c r="A3568" s="92" t="n">
        <v>2026</v>
      </c>
      <c r="B3568" s="92" t="n">
        <v>4</v>
      </c>
      <c r="C3568" s="92" t="inlineStr">
        <is>
          <t>5100000846</t>
        </is>
      </c>
      <c r="D3568" s="95" t="n">
        <v>46131</v>
      </c>
      <c r="E3568" s="92" t="inlineStr">
        <is>
          <t>KR</t>
        </is>
      </c>
      <c r="F3568" s="92" t="n">
        <v>62901000</v>
      </c>
      <c r="G3568" s="92" t="n">
        <v>1951</v>
      </c>
      <c r="H3568" s="93" t="n">
        <v>6863000</v>
      </c>
      <c r="I3568" s="92" t="inlineStr">
        <is>
          <t>4월 자문 수수료 - W컨설팅</t>
        </is>
      </c>
      <c r="J3568" s="92" t="inlineStr">
        <is>
          <t>V10006</t>
        </is>
      </c>
      <c r="K3568" s="92" t="inlineStr">
        <is>
          <t>W컨설팅</t>
        </is>
      </c>
      <c r="M3568" s="9">
        <f>IF($A3568="","",VALUE($A3568&amp;"")*12+VALUE($B3568&amp;""))</f>
        <v/>
      </c>
      <c r="N3568" s="64">
        <f>IF($A3568="","",IFERROR(INDEX(부서매핑!$C$5:$C$504,MATCH($G3568&amp;"",부서매핑!$A$5:$A$504,0)),"미매핑"))</f>
        <v/>
      </c>
      <c r="O3568" s="9">
        <f>IF($A3568="","",N3568&amp;"|"&amp;$F3568)</f>
        <v/>
      </c>
      <c r="P3568" s="94">
        <f>IF($A3568="",0,$H3568*설정!$C$23)</f>
        <v/>
      </c>
      <c r="Q3568" s="64">
        <f>IF($A3568="","",IF(O3568&lt;&gt;원인분석!$C$9,"",IF(AND(M3568&gt;=원인분석!$C$10,M3568&lt;=원인분석!$C$11),"당기",IF(AND(M3568&gt;=원인분석!$C$12,M3568&lt;=원인분석!$C$13),"비교",""))))</f>
        <v/>
      </c>
      <c r="R3568" s="9">
        <f>IF(Q3568="","",$K3568&amp;"")</f>
        <v/>
      </c>
      <c r="S3568" s="9">
        <f>IF(Q3568="","",IF(MATCH(R3568,$R$5:$R$100000,0)=ROW()-4,ROW(),""))</f>
        <v/>
      </c>
      <c r="T3568" s="9">
        <f>IF(Q3568="당기",ABS(P3568)+ROW()/1000000000,"")</f>
        <v/>
      </c>
      <c r="U3568" s="9">
        <f>IF(Q3568="비교",ABS(P3568)+ROW()/1000000000,"")</f>
        <v/>
      </c>
      <c r="V3568" s="64">
        <f>IF($A3568="","",IF(COUNTIF(변동분석!$E$7:$E$506,O3568)&gt;0,"Y","N"))</f>
        <v/>
      </c>
      <c r="W3568" s="64">
        <f>IF($A3568="","",IFERROR(INDEX(계정매핑!$D$5:$D$504,MATCH($F3568&amp;"",계정매핑!$A$5:$A$504,0)),"미매핑"))</f>
        <v/>
      </c>
      <c r="X3568" s="9">
        <f>IF($A3568="","",$F3568&amp;"")</f>
        <v/>
      </c>
      <c r="Y3568" s="94">
        <f>IF($A3568="",0,IF(AE3568="직접",IF(AF3568="비귀속",$P3568,0),$P3568*(1-AG3568)*IFERROR(INDEX(계정대체기준!$F$20:$F$49,MATCH($N3568,계정대체기준!$A$20:$A$49,0)),1)))</f>
        <v/>
      </c>
      <c r="Z3568" s="94">
        <f>IF($A3568="",0,IF(AE3568="직접",IF(AF3568="신계약비",$P3568,0),$P3568*(1-AG3568)*IFERROR(INDEX(계정대체기준!$C$20:$C$49,MATCH($N3568,계정대체기준!$A$20:$A$49,0)),0)))</f>
        <v/>
      </c>
      <c r="AA3568" s="94">
        <f>IF($A3568="",0,IF(AE3568="직접",IF(OR(AF3568="유지비",AF3568="손해조사비"),$P3568,0),$P3568*(1-AG3568)*IFERROR(INDEX(계정대체기준!$D$20:$D$49,MATCH($N3568,계정대체기준!$A$20:$A$49,0)),0)))</f>
        <v/>
      </c>
      <c r="AB3568" s="94">
        <f>IF($A3568="",0,IF(AE3568="직접",IF(AF3568="수금비",$P3568,0),$P3568*(1-AG3568)*IFERROR(INDEX(계정대체기준!$E$20:$E$49,MATCH($N3568,계정대체기준!$A$20:$A$49,0)),0)))</f>
        <v/>
      </c>
      <c r="AC3568" s="9">
        <f>IF(AND($A3568&lt;&gt;"",M3568=설정!$C$20,Z3568&gt;0),Z3568+ROW()/1000000000,"")</f>
        <v/>
      </c>
      <c r="AD3568" s="94">
        <f>IF($A3568="",0,$P3568*AG3568)</f>
        <v/>
      </c>
      <c r="AE3568" s="64">
        <f>IF($A3568="","",IFERROR(INDEX(계정매핑!$E$5:$E$504,MATCH($F3568&amp;"",계정매핑!$A$5:$A$504,0))&amp;"","공통비"))</f>
        <v/>
      </c>
      <c r="AF3568" s="64">
        <f>IF($A3568="","",IF(AE3568="직접",IFERROR(INDEX(계정매핑!$F$5:$F$504,MATCH($F3568&amp;"",계정매핑!$A$5:$A$504,0))&amp;"","비귀속"),""))</f>
        <v/>
      </c>
      <c r="AG3568" s="96">
        <f>IF($A3568="",0,IF(AND(AE3568&lt;&gt;"직접",IFERROR(INDEX(계정매핑!$G$5:$G$504,MATCH($F3568&amp;"",계정매핑!$A$5:$A$504,0))&amp;"","")="유지비",COUNTIF(계정대체기준!$A$6:$A$15,$N3568)&gt;0),IFERROR(INDEX(계정대체기준!$E$6:$E$15,MATCH(VALUE($A3568&amp;""),계정대체기준!$D$6:$D$15,0)),0),0))</f>
        <v/>
      </c>
      <c r="AH3568" s="64">
        <f>IF($A3568="","",IF(AD3568=0,"",IF(OR(COUNTIF(계정대체기준!$A$77:$A$86,$N3568)&gt;0,ISNUMBER(MATCH($X3568,계정대체기준!$D$77:$D$86,0)),ISNUMBER(MATCH($F3568,계정대체기준!$D$77:$D$86,0))),"Y","N")))</f>
        <v/>
      </c>
    </row>
    <row r="3569">
      <c r="A3569" s="92" t="n">
        <v>2026</v>
      </c>
      <c r="B3569" s="92" t="n">
        <v>4</v>
      </c>
      <c r="C3569" s="92" t="inlineStr">
        <is>
          <t>5100000847</t>
        </is>
      </c>
      <c r="D3569" s="95" t="n">
        <v>46131</v>
      </c>
      <c r="E3569" s="92" t="inlineStr">
        <is>
          <t>KR</t>
        </is>
      </c>
      <c r="F3569" s="92" t="n">
        <v>63502000</v>
      </c>
      <c r="G3569" s="92" t="n">
        <v>1902</v>
      </c>
      <c r="H3569" s="93" t="n">
        <v>122993000</v>
      </c>
      <c r="I3569" s="92" t="inlineStr">
        <is>
          <t>4월 유지수수료 - CC금융서비스</t>
        </is>
      </c>
      <c r="J3569" s="92" t="inlineStr">
        <is>
          <t>V10029</t>
        </is>
      </c>
      <c r="K3569" s="92" t="inlineStr">
        <is>
          <t>CC금융서비스</t>
        </is>
      </c>
      <c r="M3569" s="9">
        <f>IF($A3569="","",VALUE($A3569&amp;"")*12+VALUE($B3569&amp;""))</f>
        <v/>
      </c>
      <c r="N3569" s="64">
        <f>IF($A3569="","",IFERROR(INDEX(부서매핑!$C$5:$C$504,MATCH($G3569&amp;"",부서매핑!$A$5:$A$504,0)),"미매핑"))</f>
        <v/>
      </c>
      <c r="O3569" s="9">
        <f>IF($A3569="","",N3569&amp;"|"&amp;$F3569)</f>
        <v/>
      </c>
      <c r="P3569" s="94">
        <f>IF($A3569="",0,$H3569*설정!$C$23)</f>
        <v/>
      </c>
      <c r="Q3569" s="64">
        <f>IF($A3569="","",IF(O3569&lt;&gt;원인분석!$C$9,"",IF(AND(M3569&gt;=원인분석!$C$10,M3569&lt;=원인분석!$C$11),"당기",IF(AND(M3569&gt;=원인분석!$C$12,M3569&lt;=원인분석!$C$13),"비교",""))))</f>
        <v/>
      </c>
      <c r="R3569" s="9">
        <f>IF(Q3569="","",$K3569&amp;"")</f>
        <v/>
      </c>
      <c r="S3569" s="9">
        <f>IF(Q3569="","",IF(MATCH(R3569,$R$5:$R$100000,0)=ROW()-4,ROW(),""))</f>
        <v/>
      </c>
      <c r="T3569" s="9">
        <f>IF(Q3569="당기",ABS(P3569)+ROW()/1000000000,"")</f>
        <v/>
      </c>
      <c r="U3569" s="9">
        <f>IF(Q3569="비교",ABS(P3569)+ROW()/1000000000,"")</f>
        <v/>
      </c>
      <c r="V3569" s="64">
        <f>IF($A3569="","",IF(COUNTIF(변동분석!$E$7:$E$506,O3569)&gt;0,"Y","N"))</f>
        <v/>
      </c>
      <c r="W3569" s="64">
        <f>IF($A3569="","",IFERROR(INDEX(계정매핑!$D$5:$D$504,MATCH($F3569&amp;"",계정매핑!$A$5:$A$504,0)),"미매핑"))</f>
        <v/>
      </c>
      <c r="X3569" s="9">
        <f>IF($A3569="","",$F3569&amp;"")</f>
        <v/>
      </c>
      <c r="Y3569" s="94">
        <f>IF($A3569="",0,IF(AE3569="직접",IF(AF3569="비귀속",$P3569,0),$P3569*(1-AG3569)*IFERROR(INDEX(계정대체기준!$F$20:$F$49,MATCH($N3569,계정대체기준!$A$20:$A$49,0)),1)))</f>
        <v/>
      </c>
      <c r="Z3569" s="94">
        <f>IF($A3569="",0,IF(AE3569="직접",IF(AF3569="신계약비",$P3569,0),$P3569*(1-AG3569)*IFERROR(INDEX(계정대체기준!$C$20:$C$49,MATCH($N3569,계정대체기준!$A$20:$A$49,0)),0)))</f>
        <v/>
      </c>
      <c r="AA3569" s="94">
        <f>IF($A3569="",0,IF(AE3569="직접",IF(OR(AF3569="유지비",AF3569="손해조사비"),$P3569,0),$P3569*(1-AG3569)*IFERROR(INDEX(계정대체기준!$D$20:$D$49,MATCH($N3569,계정대체기준!$A$20:$A$49,0)),0)))</f>
        <v/>
      </c>
      <c r="AB3569" s="94">
        <f>IF($A3569="",0,IF(AE3569="직접",IF(AF3569="수금비",$P3569,0),$P3569*(1-AG3569)*IFERROR(INDEX(계정대체기준!$E$20:$E$49,MATCH($N3569,계정대체기준!$A$20:$A$49,0)),0)))</f>
        <v/>
      </c>
      <c r="AC3569" s="9">
        <f>IF(AND($A3569&lt;&gt;"",M3569=설정!$C$20,Z3569&gt;0),Z3569+ROW()/1000000000,"")</f>
        <v/>
      </c>
      <c r="AD3569" s="94">
        <f>IF($A3569="",0,$P3569*AG3569)</f>
        <v/>
      </c>
      <c r="AE3569" s="64">
        <f>IF($A3569="","",IFERROR(INDEX(계정매핑!$E$5:$E$504,MATCH($F3569&amp;"",계정매핑!$A$5:$A$504,0))&amp;"","공통비"))</f>
        <v/>
      </c>
      <c r="AF3569" s="64">
        <f>IF($A3569="","",IF(AE3569="직접",IFERROR(INDEX(계정매핑!$F$5:$F$504,MATCH($F3569&amp;"",계정매핑!$A$5:$A$504,0))&amp;"","비귀속"),""))</f>
        <v/>
      </c>
      <c r="AG3569" s="96">
        <f>IF($A3569="",0,IF(AND(AE3569&lt;&gt;"직접",IFERROR(INDEX(계정매핑!$G$5:$G$504,MATCH($F3569&amp;"",계정매핑!$A$5:$A$504,0))&amp;"","")="유지비",COUNTIF(계정대체기준!$A$6:$A$15,$N3569)&gt;0),IFERROR(INDEX(계정대체기준!$E$6:$E$15,MATCH(VALUE($A3569&amp;""),계정대체기준!$D$6:$D$15,0)),0),0))</f>
        <v/>
      </c>
      <c r="AH3569" s="64">
        <f>IF($A3569="","",IF(AD3569=0,"",IF(OR(COUNTIF(계정대체기준!$A$77:$A$86,$N3569)&gt;0,ISNUMBER(MATCH($X3569,계정대체기준!$D$77:$D$86,0)),ISNUMBER(MATCH($F3569,계정대체기준!$D$77:$D$86,0))),"Y","N")))</f>
        <v/>
      </c>
    </row>
    <row r="3570">
      <c r="A3570" s="92" t="n">
        <v>2026</v>
      </c>
      <c r="B3570" s="92" t="n">
        <v>4</v>
      </c>
      <c r="C3570" s="92" t="inlineStr">
        <is>
          <t>5100000848</t>
        </is>
      </c>
      <c r="D3570" s="95" t="n">
        <v>46132</v>
      </c>
      <c r="E3570" s="92" t="inlineStr">
        <is>
          <t>KR</t>
        </is>
      </c>
      <c r="F3570" s="92" t="n">
        <v>62102000</v>
      </c>
      <c r="G3570" s="92" t="n">
        <v>1101</v>
      </c>
      <c r="H3570" s="93" t="n">
        <v>117000</v>
      </c>
      <c r="I3570" s="92" t="inlineStr">
        <is>
          <t>4월 해외출장 - N호텔</t>
        </is>
      </c>
      <c r="J3570" s="92" t="inlineStr">
        <is>
          <t>V10009</t>
        </is>
      </c>
      <c r="K3570" s="92" t="inlineStr">
        <is>
          <t>N호텔</t>
        </is>
      </c>
      <c r="M3570" s="9">
        <f>IF($A3570="","",VALUE($A3570&amp;"")*12+VALUE($B3570&amp;""))</f>
        <v/>
      </c>
      <c r="N3570" s="64">
        <f>IF($A3570="","",IFERROR(INDEX(부서매핑!$C$5:$C$504,MATCH($G3570&amp;"",부서매핑!$A$5:$A$504,0)),"미매핑"))</f>
        <v/>
      </c>
      <c r="O3570" s="9">
        <f>IF($A3570="","",N3570&amp;"|"&amp;$F3570)</f>
        <v/>
      </c>
      <c r="P3570" s="94">
        <f>IF($A3570="",0,$H3570*설정!$C$23)</f>
        <v/>
      </c>
      <c r="Q3570" s="64">
        <f>IF($A3570="","",IF(O3570&lt;&gt;원인분석!$C$9,"",IF(AND(M3570&gt;=원인분석!$C$10,M3570&lt;=원인분석!$C$11),"당기",IF(AND(M3570&gt;=원인분석!$C$12,M3570&lt;=원인분석!$C$13),"비교",""))))</f>
        <v/>
      </c>
      <c r="R3570" s="9">
        <f>IF(Q3570="","",$K3570&amp;"")</f>
        <v/>
      </c>
      <c r="S3570" s="9">
        <f>IF(Q3570="","",IF(MATCH(R3570,$R$5:$R$100000,0)=ROW()-4,ROW(),""))</f>
        <v/>
      </c>
      <c r="T3570" s="9">
        <f>IF(Q3570="당기",ABS(P3570)+ROW()/1000000000,"")</f>
        <v/>
      </c>
      <c r="U3570" s="9">
        <f>IF(Q3570="비교",ABS(P3570)+ROW()/1000000000,"")</f>
        <v/>
      </c>
      <c r="V3570" s="64">
        <f>IF($A3570="","",IF(COUNTIF(변동분석!$E$7:$E$506,O3570)&gt;0,"Y","N"))</f>
        <v/>
      </c>
      <c r="W3570" s="64">
        <f>IF($A3570="","",IFERROR(INDEX(계정매핑!$D$5:$D$504,MATCH($F3570&amp;"",계정매핑!$A$5:$A$504,0)),"미매핑"))</f>
        <v/>
      </c>
      <c r="X3570" s="9">
        <f>IF($A3570="","",$F3570&amp;"")</f>
        <v/>
      </c>
      <c r="Y3570" s="94">
        <f>IF($A3570="",0,IF(AE3570="직접",IF(AF3570="비귀속",$P3570,0),$P3570*(1-AG3570)*IFERROR(INDEX(계정대체기준!$F$20:$F$49,MATCH($N3570,계정대체기준!$A$20:$A$49,0)),1)))</f>
        <v/>
      </c>
      <c r="Z3570" s="94">
        <f>IF($A3570="",0,IF(AE3570="직접",IF(AF3570="신계약비",$P3570,0),$P3570*(1-AG3570)*IFERROR(INDEX(계정대체기준!$C$20:$C$49,MATCH($N3570,계정대체기준!$A$20:$A$49,0)),0)))</f>
        <v/>
      </c>
      <c r="AA3570" s="94">
        <f>IF($A3570="",0,IF(AE3570="직접",IF(OR(AF3570="유지비",AF3570="손해조사비"),$P3570,0),$P3570*(1-AG3570)*IFERROR(INDEX(계정대체기준!$D$20:$D$49,MATCH($N3570,계정대체기준!$A$20:$A$49,0)),0)))</f>
        <v/>
      </c>
      <c r="AB3570" s="94">
        <f>IF($A3570="",0,IF(AE3570="직접",IF(AF3570="수금비",$P3570,0),$P3570*(1-AG3570)*IFERROR(INDEX(계정대체기준!$E$20:$E$49,MATCH($N3570,계정대체기준!$A$20:$A$49,0)),0)))</f>
        <v/>
      </c>
      <c r="AC3570" s="9">
        <f>IF(AND($A3570&lt;&gt;"",M3570=설정!$C$20,Z3570&gt;0),Z3570+ROW()/1000000000,"")</f>
        <v/>
      </c>
      <c r="AD3570" s="94">
        <f>IF($A3570="",0,$P3570*AG3570)</f>
        <v/>
      </c>
      <c r="AE3570" s="64">
        <f>IF($A3570="","",IFERROR(INDEX(계정매핑!$E$5:$E$504,MATCH($F3570&amp;"",계정매핑!$A$5:$A$504,0))&amp;"","공통비"))</f>
        <v/>
      </c>
      <c r="AF3570" s="64">
        <f>IF($A3570="","",IF(AE3570="직접",IFERROR(INDEX(계정매핑!$F$5:$F$504,MATCH($F3570&amp;"",계정매핑!$A$5:$A$504,0))&amp;"","비귀속"),""))</f>
        <v/>
      </c>
      <c r="AG3570" s="96">
        <f>IF($A3570="",0,IF(AND(AE3570&lt;&gt;"직접",IFERROR(INDEX(계정매핑!$G$5:$G$504,MATCH($F3570&amp;"",계정매핑!$A$5:$A$504,0))&amp;"","")="유지비",COUNTIF(계정대체기준!$A$6:$A$15,$N3570)&gt;0),IFERROR(INDEX(계정대체기준!$E$6:$E$15,MATCH(VALUE($A3570&amp;""),계정대체기준!$D$6:$D$15,0)),0),0))</f>
        <v/>
      </c>
      <c r="AH3570" s="64">
        <f>IF($A3570="","",IF(AD3570=0,"",IF(OR(COUNTIF(계정대체기준!$A$77:$A$86,$N3570)&gt;0,ISNUMBER(MATCH($X3570,계정대체기준!$D$77:$D$86,0)),ISNUMBER(MATCH($F3570,계정대체기준!$D$77:$D$86,0))),"Y","N")))</f>
        <v/>
      </c>
    </row>
    <row r="3571">
      <c r="A3571" s="92" t="n">
        <v>2026</v>
      </c>
      <c r="B3571" s="92" t="n">
        <v>4</v>
      </c>
      <c r="C3571" s="92" t="inlineStr">
        <is>
          <t>5100000849</t>
        </is>
      </c>
      <c r="D3571" s="95" t="n">
        <v>46132</v>
      </c>
      <c r="E3571" s="92" t="inlineStr">
        <is>
          <t>KR</t>
        </is>
      </c>
      <c r="F3571" s="92" t="n">
        <v>62102000</v>
      </c>
      <c r="G3571" s="92" t="n">
        <v>1601</v>
      </c>
      <c r="H3571" s="93" t="n">
        <v>312000</v>
      </c>
      <c r="I3571" s="92" t="inlineStr">
        <is>
          <t>4월 해외출장 - N호텔</t>
        </is>
      </c>
      <c r="J3571" s="92" t="inlineStr">
        <is>
          <t>V10009</t>
        </is>
      </c>
      <c r="K3571" s="92" t="inlineStr">
        <is>
          <t>N호텔</t>
        </is>
      </c>
      <c r="M3571" s="9">
        <f>IF($A3571="","",VALUE($A3571&amp;"")*12+VALUE($B3571&amp;""))</f>
        <v/>
      </c>
      <c r="N3571" s="64">
        <f>IF($A3571="","",IFERROR(INDEX(부서매핑!$C$5:$C$504,MATCH($G3571&amp;"",부서매핑!$A$5:$A$504,0)),"미매핑"))</f>
        <v/>
      </c>
      <c r="O3571" s="9">
        <f>IF($A3571="","",N3571&amp;"|"&amp;$F3571)</f>
        <v/>
      </c>
      <c r="P3571" s="94">
        <f>IF($A3571="",0,$H3571*설정!$C$23)</f>
        <v/>
      </c>
      <c r="Q3571" s="64">
        <f>IF($A3571="","",IF(O3571&lt;&gt;원인분석!$C$9,"",IF(AND(M3571&gt;=원인분석!$C$10,M3571&lt;=원인분석!$C$11),"당기",IF(AND(M3571&gt;=원인분석!$C$12,M3571&lt;=원인분석!$C$13),"비교",""))))</f>
        <v/>
      </c>
      <c r="R3571" s="9">
        <f>IF(Q3571="","",$K3571&amp;"")</f>
        <v/>
      </c>
      <c r="S3571" s="9">
        <f>IF(Q3571="","",IF(MATCH(R3571,$R$5:$R$100000,0)=ROW()-4,ROW(),""))</f>
        <v/>
      </c>
      <c r="T3571" s="9">
        <f>IF(Q3571="당기",ABS(P3571)+ROW()/1000000000,"")</f>
        <v/>
      </c>
      <c r="U3571" s="9">
        <f>IF(Q3571="비교",ABS(P3571)+ROW()/1000000000,"")</f>
        <v/>
      </c>
      <c r="V3571" s="64">
        <f>IF($A3571="","",IF(COUNTIF(변동분석!$E$7:$E$506,O3571)&gt;0,"Y","N"))</f>
        <v/>
      </c>
      <c r="W3571" s="64">
        <f>IF($A3571="","",IFERROR(INDEX(계정매핑!$D$5:$D$504,MATCH($F3571&amp;"",계정매핑!$A$5:$A$504,0)),"미매핑"))</f>
        <v/>
      </c>
      <c r="X3571" s="9">
        <f>IF($A3571="","",$F3571&amp;"")</f>
        <v/>
      </c>
      <c r="Y3571" s="94">
        <f>IF($A3571="",0,IF(AE3571="직접",IF(AF3571="비귀속",$P3571,0),$P3571*(1-AG3571)*IFERROR(INDEX(계정대체기준!$F$20:$F$49,MATCH($N3571,계정대체기준!$A$20:$A$49,0)),1)))</f>
        <v/>
      </c>
      <c r="Z3571" s="94">
        <f>IF($A3571="",0,IF(AE3571="직접",IF(AF3571="신계약비",$P3571,0),$P3571*(1-AG3571)*IFERROR(INDEX(계정대체기준!$C$20:$C$49,MATCH($N3571,계정대체기준!$A$20:$A$49,0)),0)))</f>
        <v/>
      </c>
      <c r="AA3571" s="94">
        <f>IF($A3571="",0,IF(AE3571="직접",IF(OR(AF3571="유지비",AF3571="손해조사비"),$P3571,0),$P3571*(1-AG3571)*IFERROR(INDEX(계정대체기준!$D$20:$D$49,MATCH($N3571,계정대체기준!$A$20:$A$49,0)),0)))</f>
        <v/>
      </c>
      <c r="AB3571" s="94">
        <f>IF($A3571="",0,IF(AE3571="직접",IF(AF3571="수금비",$P3571,0),$P3571*(1-AG3571)*IFERROR(INDEX(계정대체기준!$E$20:$E$49,MATCH($N3571,계정대체기준!$A$20:$A$49,0)),0)))</f>
        <v/>
      </c>
      <c r="AC3571" s="9">
        <f>IF(AND($A3571&lt;&gt;"",M3571=설정!$C$20,Z3571&gt;0),Z3571+ROW()/1000000000,"")</f>
        <v/>
      </c>
      <c r="AD3571" s="94">
        <f>IF($A3571="",0,$P3571*AG3571)</f>
        <v/>
      </c>
      <c r="AE3571" s="64">
        <f>IF($A3571="","",IFERROR(INDEX(계정매핑!$E$5:$E$504,MATCH($F3571&amp;"",계정매핑!$A$5:$A$504,0))&amp;"","공통비"))</f>
        <v/>
      </c>
      <c r="AF3571" s="64">
        <f>IF($A3571="","",IF(AE3571="직접",IFERROR(INDEX(계정매핑!$F$5:$F$504,MATCH($F3571&amp;"",계정매핑!$A$5:$A$504,0))&amp;"","비귀속"),""))</f>
        <v/>
      </c>
      <c r="AG3571" s="96">
        <f>IF($A3571="",0,IF(AND(AE3571&lt;&gt;"직접",IFERROR(INDEX(계정매핑!$G$5:$G$504,MATCH($F3571&amp;"",계정매핑!$A$5:$A$504,0))&amp;"","")="유지비",COUNTIF(계정대체기준!$A$6:$A$15,$N3571)&gt;0),IFERROR(INDEX(계정대체기준!$E$6:$E$15,MATCH(VALUE($A3571&amp;""),계정대체기준!$D$6:$D$15,0)),0),0))</f>
        <v/>
      </c>
      <c r="AH3571" s="64">
        <f>IF($A3571="","",IF(AD3571=0,"",IF(OR(COUNTIF(계정대체기준!$A$77:$A$86,$N3571)&gt;0,ISNUMBER(MATCH($X3571,계정대체기준!$D$77:$D$86,0)),ISNUMBER(MATCH($F3571,계정대체기준!$D$77:$D$86,0))),"Y","N")))</f>
        <v/>
      </c>
    </row>
    <row r="3572">
      <c r="A3572" s="92" t="n">
        <v>2026</v>
      </c>
      <c r="B3572" s="92" t="n">
        <v>4</v>
      </c>
      <c r="C3572" s="92" t="inlineStr">
        <is>
          <t>5100000850</t>
        </is>
      </c>
      <c r="D3572" s="95" t="n">
        <v>46132</v>
      </c>
      <c r="E3572" s="92" t="inlineStr">
        <is>
          <t>KR</t>
        </is>
      </c>
      <c r="F3572" s="92" t="n">
        <v>62102000</v>
      </c>
      <c r="G3572" s="92" t="n">
        <v>1801</v>
      </c>
      <c r="H3572" s="93" t="n">
        <v>74000</v>
      </c>
      <c r="I3572" s="92" t="inlineStr">
        <is>
          <t>4월 해외출장 - N호텔</t>
        </is>
      </c>
      <c r="J3572" s="92" t="inlineStr">
        <is>
          <t>V10009</t>
        </is>
      </c>
      <c r="K3572" s="92" t="inlineStr">
        <is>
          <t>N호텔</t>
        </is>
      </c>
      <c r="M3572" s="9">
        <f>IF($A3572="","",VALUE($A3572&amp;"")*12+VALUE($B3572&amp;""))</f>
        <v/>
      </c>
      <c r="N3572" s="64">
        <f>IF($A3572="","",IFERROR(INDEX(부서매핑!$C$5:$C$504,MATCH($G3572&amp;"",부서매핑!$A$5:$A$504,0)),"미매핑"))</f>
        <v/>
      </c>
      <c r="O3572" s="9">
        <f>IF($A3572="","",N3572&amp;"|"&amp;$F3572)</f>
        <v/>
      </c>
      <c r="P3572" s="94">
        <f>IF($A3572="",0,$H3572*설정!$C$23)</f>
        <v/>
      </c>
      <c r="Q3572" s="64">
        <f>IF($A3572="","",IF(O3572&lt;&gt;원인분석!$C$9,"",IF(AND(M3572&gt;=원인분석!$C$10,M3572&lt;=원인분석!$C$11),"당기",IF(AND(M3572&gt;=원인분석!$C$12,M3572&lt;=원인분석!$C$13),"비교",""))))</f>
        <v/>
      </c>
      <c r="R3572" s="9">
        <f>IF(Q3572="","",$K3572&amp;"")</f>
        <v/>
      </c>
      <c r="S3572" s="9">
        <f>IF(Q3572="","",IF(MATCH(R3572,$R$5:$R$100000,0)=ROW()-4,ROW(),""))</f>
        <v/>
      </c>
      <c r="T3572" s="9">
        <f>IF(Q3572="당기",ABS(P3572)+ROW()/1000000000,"")</f>
        <v/>
      </c>
      <c r="U3572" s="9">
        <f>IF(Q3572="비교",ABS(P3572)+ROW()/1000000000,"")</f>
        <v/>
      </c>
      <c r="V3572" s="64">
        <f>IF($A3572="","",IF(COUNTIF(변동분석!$E$7:$E$506,O3572)&gt;0,"Y","N"))</f>
        <v/>
      </c>
      <c r="W3572" s="64">
        <f>IF($A3572="","",IFERROR(INDEX(계정매핑!$D$5:$D$504,MATCH($F3572&amp;"",계정매핑!$A$5:$A$504,0)),"미매핑"))</f>
        <v/>
      </c>
      <c r="X3572" s="9">
        <f>IF($A3572="","",$F3572&amp;"")</f>
        <v/>
      </c>
      <c r="Y3572" s="94">
        <f>IF($A3572="",0,IF(AE3572="직접",IF(AF3572="비귀속",$P3572,0),$P3572*(1-AG3572)*IFERROR(INDEX(계정대체기준!$F$20:$F$49,MATCH($N3572,계정대체기준!$A$20:$A$49,0)),1)))</f>
        <v/>
      </c>
      <c r="Z3572" s="94">
        <f>IF($A3572="",0,IF(AE3572="직접",IF(AF3572="신계약비",$P3572,0),$P3572*(1-AG3572)*IFERROR(INDEX(계정대체기준!$C$20:$C$49,MATCH($N3572,계정대체기준!$A$20:$A$49,0)),0)))</f>
        <v/>
      </c>
      <c r="AA3572" s="94">
        <f>IF($A3572="",0,IF(AE3572="직접",IF(OR(AF3572="유지비",AF3572="손해조사비"),$P3572,0),$P3572*(1-AG3572)*IFERROR(INDEX(계정대체기준!$D$20:$D$49,MATCH($N3572,계정대체기준!$A$20:$A$49,0)),0)))</f>
        <v/>
      </c>
      <c r="AB3572" s="94">
        <f>IF($A3572="",0,IF(AE3572="직접",IF(AF3572="수금비",$P3572,0),$P3572*(1-AG3572)*IFERROR(INDEX(계정대체기준!$E$20:$E$49,MATCH($N3572,계정대체기준!$A$20:$A$49,0)),0)))</f>
        <v/>
      </c>
      <c r="AC3572" s="9">
        <f>IF(AND($A3572&lt;&gt;"",M3572=설정!$C$20,Z3572&gt;0),Z3572+ROW()/1000000000,"")</f>
        <v/>
      </c>
      <c r="AD3572" s="94">
        <f>IF($A3572="",0,$P3572*AG3572)</f>
        <v/>
      </c>
      <c r="AE3572" s="64">
        <f>IF($A3572="","",IFERROR(INDEX(계정매핑!$E$5:$E$504,MATCH($F3572&amp;"",계정매핑!$A$5:$A$504,0))&amp;"","공통비"))</f>
        <v/>
      </c>
      <c r="AF3572" s="64">
        <f>IF($A3572="","",IF(AE3572="직접",IFERROR(INDEX(계정매핑!$F$5:$F$504,MATCH($F3572&amp;"",계정매핑!$A$5:$A$504,0))&amp;"","비귀속"),""))</f>
        <v/>
      </c>
      <c r="AG3572" s="96">
        <f>IF($A3572="",0,IF(AND(AE3572&lt;&gt;"직접",IFERROR(INDEX(계정매핑!$G$5:$G$504,MATCH($F3572&amp;"",계정매핑!$A$5:$A$504,0))&amp;"","")="유지비",COUNTIF(계정대체기준!$A$6:$A$15,$N3572)&gt;0),IFERROR(INDEX(계정대체기준!$E$6:$E$15,MATCH(VALUE($A3572&amp;""),계정대체기준!$D$6:$D$15,0)),0),0))</f>
        <v/>
      </c>
      <c r="AH3572" s="64">
        <f>IF($A3572="","",IF(AD3572=0,"",IF(OR(COUNTIF(계정대체기준!$A$77:$A$86,$N3572)&gt;0,ISNUMBER(MATCH($X3572,계정대체기준!$D$77:$D$86,0)),ISNUMBER(MATCH($F3572,계정대체기준!$D$77:$D$86,0))),"Y","N")))</f>
        <v/>
      </c>
    </row>
    <row r="3573">
      <c r="A3573" s="92" t="n">
        <v>2026</v>
      </c>
      <c r="B3573" s="92" t="n">
        <v>4</v>
      </c>
      <c r="C3573" s="92" t="inlineStr">
        <is>
          <t>5100000851</t>
        </is>
      </c>
      <c r="D3573" s="95" t="n">
        <v>46132</v>
      </c>
      <c r="E3573" s="92" t="inlineStr">
        <is>
          <t>KR</t>
        </is>
      </c>
      <c r="F3573" s="92" t="n">
        <v>62201000</v>
      </c>
      <c r="G3573" s="92" t="n">
        <v>1801</v>
      </c>
      <c r="H3573" s="93" t="n">
        <v>3811000</v>
      </c>
      <c r="I3573" s="92" t="inlineStr">
        <is>
          <t>4월 통신요금 - O텔레콤</t>
        </is>
      </c>
      <c r="J3573" s="92" t="inlineStr">
        <is>
          <t>V10002</t>
        </is>
      </c>
      <c r="K3573" s="92" t="inlineStr">
        <is>
          <t>O텔레콤</t>
        </is>
      </c>
      <c r="M3573" s="9">
        <f>IF($A3573="","",VALUE($A3573&amp;"")*12+VALUE($B3573&amp;""))</f>
        <v/>
      </c>
      <c r="N3573" s="64">
        <f>IF($A3573="","",IFERROR(INDEX(부서매핑!$C$5:$C$504,MATCH($G3573&amp;"",부서매핑!$A$5:$A$504,0)),"미매핑"))</f>
        <v/>
      </c>
      <c r="O3573" s="9">
        <f>IF($A3573="","",N3573&amp;"|"&amp;$F3573)</f>
        <v/>
      </c>
      <c r="P3573" s="94">
        <f>IF($A3573="",0,$H3573*설정!$C$23)</f>
        <v/>
      </c>
      <c r="Q3573" s="64">
        <f>IF($A3573="","",IF(O3573&lt;&gt;원인분석!$C$9,"",IF(AND(M3573&gt;=원인분석!$C$10,M3573&lt;=원인분석!$C$11),"당기",IF(AND(M3573&gt;=원인분석!$C$12,M3573&lt;=원인분석!$C$13),"비교",""))))</f>
        <v/>
      </c>
      <c r="R3573" s="9">
        <f>IF(Q3573="","",$K3573&amp;"")</f>
        <v/>
      </c>
      <c r="S3573" s="9">
        <f>IF(Q3573="","",IF(MATCH(R3573,$R$5:$R$100000,0)=ROW()-4,ROW(),""))</f>
        <v/>
      </c>
      <c r="T3573" s="9">
        <f>IF(Q3573="당기",ABS(P3573)+ROW()/1000000000,"")</f>
        <v/>
      </c>
      <c r="U3573" s="9">
        <f>IF(Q3573="비교",ABS(P3573)+ROW()/1000000000,"")</f>
        <v/>
      </c>
      <c r="V3573" s="64">
        <f>IF($A3573="","",IF(COUNTIF(변동분석!$E$7:$E$506,O3573)&gt;0,"Y","N"))</f>
        <v/>
      </c>
      <c r="W3573" s="64">
        <f>IF($A3573="","",IFERROR(INDEX(계정매핑!$D$5:$D$504,MATCH($F3573&amp;"",계정매핑!$A$5:$A$504,0)),"미매핑"))</f>
        <v/>
      </c>
      <c r="X3573" s="9">
        <f>IF($A3573="","",$F3573&amp;"")</f>
        <v/>
      </c>
      <c r="Y3573" s="94">
        <f>IF($A3573="",0,IF(AE3573="직접",IF(AF3573="비귀속",$P3573,0),$P3573*(1-AG3573)*IFERROR(INDEX(계정대체기준!$F$20:$F$49,MATCH($N3573,계정대체기준!$A$20:$A$49,0)),1)))</f>
        <v/>
      </c>
      <c r="Z3573" s="94">
        <f>IF($A3573="",0,IF(AE3573="직접",IF(AF3573="신계약비",$P3573,0),$P3573*(1-AG3573)*IFERROR(INDEX(계정대체기준!$C$20:$C$49,MATCH($N3573,계정대체기준!$A$20:$A$49,0)),0)))</f>
        <v/>
      </c>
      <c r="AA3573" s="94">
        <f>IF($A3573="",0,IF(AE3573="직접",IF(OR(AF3573="유지비",AF3573="손해조사비"),$P3573,0),$P3573*(1-AG3573)*IFERROR(INDEX(계정대체기준!$D$20:$D$49,MATCH($N3573,계정대체기준!$A$20:$A$49,0)),0)))</f>
        <v/>
      </c>
      <c r="AB3573" s="94">
        <f>IF($A3573="",0,IF(AE3573="직접",IF(AF3573="수금비",$P3573,0),$P3573*(1-AG3573)*IFERROR(INDEX(계정대체기준!$E$20:$E$49,MATCH($N3573,계정대체기준!$A$20:$A$49,0)),0)))</f>
        <v/>
      </c>
      <c r="AC3573" s="9">
        <f>IF(AND($A3573&lt;&gt;"",M3573=설정!$C$20,Z3573&gt;0),Z3573+ROW()/1000000000,"")</f>
        <v/>
      </c>
      <c r="AD3573" s="94">
        <f>IF($A3573="",0,$P3573*AG3573)</f>
        <v/>
      </c>
      <c r="AE3573" s="64">
        <f>IF($A3573="","",IFERROR(INDEX(계정매핑!$E$5:$E$504,MATCH($F3573&amp;"",계정매핑!$A$5:$A$504,0))&amp;"","공통비"))</f>
        <v/>
      </c>
      <c r="AF3573" s="64">
        <f>IF($A3573="","",IF(AE3573="직접",IFERROR(INDEX(계정매핑!$F$5:$F$504,MATCH($F3573&amp;"",계정매핑!$A$5:$A$504,0))&amp;"","비귀속"),""))</f>
        <v/>
      </c>
      <c r="AG3573" s="96">
        <f>IF($A3573="",0,IF(AND(AE3573&lt;&gt;"직접",IFERROR(INDEX(계정매핑!$G$5:$G$504,MATCH($F3573&amp;"",계정매핑!$A$5:$A$504,0))&amp;"","")="유지비",COUNTIF(계정대체기준!$A$6:$A$15,$N3573)&gt;0),IFERROR(INDEX(계정대체기준!$E$6:$E$15,MATCH(VALUE($A3573&amp;""),계정대체기준!$D$6:$D$15,0)),0),0))</f>
        <v/>
      </c>
      <c r="AH3573" s="64">
        <f>IF($A3573="","",IF(AD3573=0,"",IF(OR(COUNTIF(계정대체기준!$A$77:$A$86,$N3573)&gt;0,ISNUMBER(MATCH($X3573,계정대체기준!$D$77:$D$86,0)),ISNUMBER(MATCH($F3573,계정대체기준!$D$77:$D$86,0))),"Y","N")))</f>
        <v/>
      </c>
    </row>
    <row r="3574">
      <c r="A3574" s="92" t="n">
        <v>2026</v>
      </c>
      <c r="B3574" s="92" t="n">
        <v>4</v>
      </c>
      <c r="C3574" s="92" t="inlineStr">
        <is>
          <t>5100000852</t>
        </is>
      </c>
      <c r="D3574" s="95" t="n">
        <v>46132</v>
      </c>
      <c r="E3574" s="92" t="inlineStr">
        <is>
          <t>KR</t>
        </is>
      </c>
      <c r="F3574" s="92" t="n">
        <v>62501000</v>
      </c>
      <c r="G3574" s="92" t="n">
        <v>1201</v>
      </c>
      <c r="H3574" s="93" t="n">
        <v>172000</v>
      </c>
      <c r="I3574" s="92" t="inlineStr">
        <is>
          <t>4월 회의 다과 - (법인카드)</t>
        </is>
      </c>
      <c r="J3574" s="92" t="inlineStr">
        <is>
          <t>V10010</t>
        </is>
      </c>
      <c r="K3574" s="92" t="inlineStr">
        <is>
          <t>(법인카드)</t>
        </is>
      </c>
      <c r="M3574" s="9">
        <f>IF($A3574="","",VALUE($A3574&amp;"")*12+VALUE($B3574&amp;""))</f>
        <v/>
      </c>
      <c r="N3574" s="64">
        <f>IF($A3574="","",IFERROR(INDEX(부서매핑!$C$5:$C$504,MATCH($G3574&amp;"",부서매핑!$A$5:$A$504,0)),"미매핑"))</f>
        <v/>
      </c>
      <c r="O3574" s="9">
        <f>IF($A3574="","",N3574&amp;"|"&amp;$F3574)</f>
        <v/>
      </c>
      <c r="P3574" s="94">
        <f>IF($A3574="",0,$H3574*설정!$C$23)</f>
        <v/>
      </c>
      <c r="Q3574" s="64">
        <f>IF($A3574="","",IF(O3574&lt;&gt;원인분석!$C$9,"",IF(AND(M3574&gt;=원인분석!$C$10,M3574&lt;=원인분석!$C$11),"당기",IF(AND(M3574&gt;=원인분석!$C$12,M3574&lt;=원인분석!$C$13),"비교",""))))</f>
        <v/>
      </c>
      <c r="R3574" s="9">
        <f>IF(Q3574="","",$K3574&amp;"")</f>
        <v/>
      </c>
      <c r="S3574" s="9">
        <f>IF(Q3574="","",IF(MATCH(R3574,$R$5:$R$100000,0)=ROW()-4,ROW(),""))</f>
        <v/>
      </c>
      <c r="T3574" s="9">
        <f>IF(Q3574="당기",ABS(P3574)+ROW()/1000000000,"")</f>
        <v/>
      </c>
      <c r="U3574" s="9">
        <f>IF(Q3574="비교",ABS(P3574)+ROW()/1000000000,"")</f>
        <v/>
      </c>
      <c r="V3574" s="64">
        <f>IF($A3574="","",IF(COUNTIF(변동분석!$E$7:$E$506,O3574)&gt;0,"Y","N"))</f>
        <v/>
      </c>
      <c r="W3574" s="64">
        <f>IF($A3574="","",IFERROR(INDEX(계정매핑!$D$5:$D$504,MATCH($F3574&amp;"",계정매핑!$A$5:$A$504,0)),"미매핑"))</f>
        <v/>
      </c>
      <c r="X3574" s="9">
        <f>IF($A3574="","",$F3574&amp;"")</f>
        <v/>
      </c>
      <c r="Y3574" s="94">
        <f>IF($A3574="",0,IF(AE3574="직접",IF(AF3574="비귀속",$P3574,0),$P3574*(1-AG3574)*IFERROR(INDEX(계정대체기준!$F$20:$F$49,MATCH($N3574,계정대체기준!$A$20:$A$49,0)),1)))</f>
        <v/>
      </c>
      <c r="Z3574" s="94">
        <f>IF($A3574="",0,IF(AE3574="직접",IF(AF3574="신계약비",$P3574,0),$P3574*(1-AG3574)*IFERROR(INDEX(계정대체기준!$C$20:$C$49,MATCH($N3574,계정대체기준!$A$20:$A$49,0)),0)))</f>
        <v/>
      </c>
      <c r="AA3574" s="94">
        <f>IF($A3574="",0,IF(AE3574="직접",IF(OR(AF3574="유지비",AF3574="손해조사비"),$P3574,0),$P3574*(1-AG3574)*IFERROR(INDEX(계정대체기준!$D$20:$D$49,MATCH($N3574,계정대체기준!$A$20:$A$49,0)),0)))</f>
        <v/>
      </c>
      <c r="AB3574" s="94">
        <f>IF($A3574="",0,IF(AE3574="직접",IF(AF3574="수금비",$P3574,0),$P3574*(1-AG3574)*IFERROR(INDEX(계정대체기준!$E$20:$E$49,MATCH($N3574,계정대체기준!$A$20:$A$49,0)),0)))</f>
        <v/>
      </c>
      <c r="AC3574" s="9">
        <f>IF(AND($A3574&lt;&gt;"",M3574=설정!$C$20,Z3574&gt;0),Z3574+ROW()/1000000000,"")</f>
        <v/>
      </c>
      <c r="AD3574" s="94">
        <f>IF($A3574="",0,$P3574*AG3574)</f>
        <v/>
      </c>
      <c r="AE3574" s="64">
        <f>IF($A3574="","",IFERROR(INDEX(계정매핑!$E$5:$E$504,MATCH($F3574&amp;"",계정매핑!$A$5:$A$504,0))&amp;"","공통비"))</f>
        <v/>
      </c>
      <c r="AF3574" s="64">
        <f>IF($A3574="","",IF(AE3574="직접",IFERROR(INDEX(계정매핑!$F$5:$F$504,MATCH($F3574&amp;"",계정매핑!$A$5:$A$504,0))&amp;"","비귀속"),""))</f>
        <v/>
      </c>
      <c r="AG3574" s="96">
        <f>IF($A3574="",0,IF(AND(AE3574&lt;&gt;"직접",IFERROR(INDEX(계정매핑!$G$5:$G$504,MATCH($F3574&amp;"",계정매핑!$A$5:$A$504,0))&amp;"","")="유지비",COUNTIF(계정대체기준!$A$6:$A$15,$N3574)&gt;0),IFERROR(INDEX(계정대체기준!$E$6:$E$15,MATCH(VALUE($A3574&amp;""),계정대체기준!$D$6:$D$15,0)),0),0))</f>
        <v/>
      </c>
      <c r="AH3574" s="64">
        <f>IF($A3574="","",IF(AD3574=0,"",IF(OR(COUNTIF(계정대체기준!$A$77:$A$86,$N3574)&gt;0,ISNUMBER(MATCH($X3574,계정대체기준!$D$77:$D$86,0)),ISNUMBER(MATCH($F3574,계정대체기준!$D$77:$D$86,0))),"Y","N")))</f>
        <v/>
      </c>
    </row>
    <row r="3575">
      <c r="A3575" s="92" t="n">
        <v>2026</v>
      </c>
      <c r="B3575" s="92" t="n">
        <v>4</v>
      </c>
      <c r="C3575" s="92" t="inlineStr">
        <is>
          <t>5100000853</t>
        </is>
      </c>
      <c r="D3575" s="95" t="n">
        <v>46132</v>
      </c>
      <c r="E3575" s="92" t="inlineStr">
        <is>
          <t>KR</t>
        </is>
      </c>
      <c r="F3575" s="92" t="n">
        <v>62501000</v>
      </c>
      <c r="G3575" s="92" t="n">
        <v>1601</v>
      </c>
      <c r="H3575" s="93" t="n">
        <v>481000</v>
      </c>
      <c r="I3575" s="92" t="inlineStr">
        <is>
          <t>4월 회의 다과 - T케이터링</t>
        </is>
      </c>
      <c r="J3575" s="92" t="inlineStr">
        <is>
          <t>V10005</t>
        </is>
      </c>
      <c r="K3575" s="92" t="inlineStr">
        <is>
          <t>T케이터링</t>
        </is>
      </c>
      <c r="M3575" s="9">
        <f>IF($A3575="","",VALUE($A3575&amp;"")*12+VALUE($B3575&amp;""))</f>
        <v/>
      </c>
      <c r="N3575" s="64">
        <f>IF($A3575="","",IFERROR(INDEX(부서매핑!$C$5:$C$504,MATCH($G3575&amp;"",부서매핑!$A$5:$A$504,0)),"미매핑"))</f>
        <v/>
      </c>
      <c r="O3575" s="9">
        <f>IF($A3575="","",N3575&amp;"|"&amp;$F3575)</f>
        <v/>
      </c>
      <c r="P3575" s="94">
        <f>IF($A3575="",0,$H3575*설정!$C$23)</f>
        <v/>
      </c>
      <c r="Q3575" s="64">
        <f>IF($A3575="","",IF(O3575&lt;&gt;원인분석!$C$9,"",IF(AND(M3575&gt;=원인분석!$C$10,M3575&lt;=원인분석!$C$11),"당기",IF(AND(M3575&gt;=원인분석!$C$12,M3575&lt;=원인분석!$C$13),"비교",""))))</f>
        <v/>
      </c>
      <c r="R3575" s="9">
        <f>IF(Q3575="","",$K3575&amp;"")</f>
        <v/>
      </c>
      <c r="S3575" s="9">
        <f>IF(Q3575="","",IF(MATCH(R3575,$R$5:$R$100000,0)=ROW()-4,ROW(),""))</f>
        <v/>
      </c>
      <c r="T3575" s="9">
        <f>IF(Q3575="당기",ABS(P3575)+ROW()/1000000000,"")</f>
        <v/>
      </c>
      <c r="U3575" s="9">
        <f>IF(Q3575="비교",ABS(P3575)+ROW()/1000000000,"")</f>
        <v/>
      </c>
      <c r="V3575" s="64">
        <f>IF($A3575="","",IF(COUNTIF(변동분석!$E$7:$E$506,O3575)&gt;0,"Y","N"))</f>
        <v/>
      </c>
      <c r="W3575" s="64">
        <f>IF($A3575="","",IFERROR(INDEX(계정매핑!$D$5:$D$504,MATCH($F3575&amp;"",계정매핑!$A$5:$A$504,0)),"미매핑"))</f>
        <v/>
      </c>
      <c r="X3575" s="9">
        <f>IF($A3575="","",$F3575&amp;"")</f>
        <v/>
      </c>
      <c r="Y3575" s="94">
        <f>IF($A3575="",0,IF(AE3575="직접",IF(AF3575="비귀속",$P3575,0),$P3575*(1-AG3575)*IFERROR(INDEX(계정대체기준!$F$20:$F$49,MATCH($N3575,계정대체기준!$A$20:$A$49,0)),1)))</f>
        <v/>
      </c>
      <c r="Z3575" s="94">
        <f>IF($A3575="",0,IF(AE3575="직접",IF(AF3575="신계약비",$P3575,0),$P3575*(1-AG3575)*IFERROR(INDEX(계정대체기준!$C$20:$C$49,MATCH($N3575,계정대체기준!$A$20:$A$49,0)),0)))</f>
        <v/>
      </c>
      <c r="AA3575" s="94">
        <f>IF($A3575="",0,IF(AE3575="직접",IF(OR(AF3575="유지비",AF3575="손해조사비"),$P3575,0),$P3575*(1-AG3575)*IFERROR(INDEX(계정대체기준!$D$20:$D$49,MATCH($N3575,계정대체기준!$A$20:$A$49,0)),0)))</f>
        <v/>
      </c>
      <c r="AB3575" s="94">
        <f>IF($A3575="",0,IF(AE3575="직접",IF(AF3575="수금비",$P3575,0),$P3575*(1-AG3575)*IFERROR(INDEX(계정대체기준!$E$20:$E$49,MATCH($N3575,계정대체기준!$A$20:$A$49,0)),0)))</f>
        <v/>
      </c>
      <c r="AC3575" s="9">
        <f>IF(AND($A3575&lt;&gt;"",M3575=설정!$C$20,Z3575&gt;0),Z3575+ROW()/1000000000,"")</f>
        <v/>
      </c>
      <c r="AD3575" s="94">
        <f>IF($A3575="",0,$P3575*AG3575)</f>
        <v/>
      </c>
      <c r="AE3575" s="64">
        <f>IF($A3575="","",IFERROR(INDEX(계정매핑!$E$5:$E$504,MATCH($F3575&amp;"",계정매핑!$A$5:$A$504,0))&amp;"","공통비"))</f>
        <v/>
      </c>
      <c r="AF3575" s="64">
        <f>IF($A3575="","",IF(AE3575="직접",IFERROR(INDEX(계정매핑!$F$5:$F$504,MATCH($F3575&amp;"",계정매핑!$A$5:$A$504,0))&amp;"","비귀속"),""))</f>
        <v/>
      </c>
      <c r="AG3575" s="96">
        <f>IF($A3575="",0,IF(AND(AE3575&lt;&gt;"직접",IFERROR(INDEX(계정매핑!$G$5:$G$504,MATCH($F3575&amp;"",계정매핑!$A$5:$A$504,0))&amp;"","")="유지비",COUNTIF(계정대체기준!$A$6:$A$15,$N3575)&gt;0),IFERROR(INDEX(계정대체기준!$E$6:$E$15,MATCH(VALUE($A3575&amp;""),계정대체기준!$D$6:$D$15,0)),0),0))</f>
        <v/>
      </c>
      <c r="AH3575" s="64">
        <f>IF($A3575="","",IF(AD3575=0,"",IF(OR(COUNTIF(계정대체기준!$A$77:$A$86,$N3575)&gt;0,ISNUMBER(MATCH($X3575,계정대체기준!$D$77:$D$86,0)),ISNUMBER(MATCH($F3575,계정대체기준!$D$77:$D$86,0))),"Y","N")))</f>
        <v/>
      </c>
    </row>
    <row r="3576">
      <c r="A3576" s="92" t="n">
        <v>2026</v>
      </c>
      <c r="B3576" s="92" t="n">
        <v>4</v>
      </c>
      <c r="C3576" s="92" t="inlineStr">
        <is>
          <t>5100000854</t>
        </is>
      </c>
      <c r="D3576" s="95" t="n">
        <v>46132</v>
      </c>
      <c r="E3576" s="92" t="inlineStr">
        <is>
          <t>KR</t>
        </is>
      </c>
      <c r="F3576" s="92" t="n">
        <v>62501000</v>
      </c>
      <c r="G3576" s="92" t="n">
        <v>1801</v>
      </c>
      <c r="H3576" s="93" t="n">
        <v>146000</v>
      </c>
      <c r="I3576" s="92" t="inlineStr">
        <is>
          <t>4월 회의 다과 - (법인카드)</t>
        </is>
      </c>
      <c r="J3576" s="92" t="inlineStr">
        <is>
          <t>V10010</t>
        </is>
      </c>
      <c r="K3576" s="92" t="inlineStr">
        <is>
          <t>(법인카드)</t>
        </is>
      </c>
      <c r="M3576" s="9">
        <f>IF($A3576="","",VALUE($A3576&amp;"")*12+VALUE($B3576&amp;""))</f>
        <v/>
      </c>
      <c r="N3576" s="64">
        <f>IF($A3576="","",IFERROR(INDEX(부서매핑!$C$5:$C$504,MATCH($G3576&amp;"",부서매핑!$A$5:$A$504,0)),"미매핑"))</f>
        <v/>
      </c>
      <c r="O3576" s="9">
        <f>IF($A3576="","",N3576&amp;"|"&amp;$F3576)</f>
        <v/>
      </c>
      <c r="P3576" s="94">
        <f>IF($A3576="",0,$H3576*설정!$C$23)</f>
        <v/>
      </c>
      <c r="Q3576" s="64">
        <f>IF($A3576="","",IF(O3576&lt;&gt;원인분석!$C$9,"",IF(AND(M3576&gt;=원인분석!$C$10,M3576&lt;=원인분석!$C$11),"당기",IF(AND(M3576&gt;=원인분석!$C$12,M3576&lt;=원인분석!$C$13),"비교",""))))</f>
        <v/>
      </c>
      <c r="R3576" s="9">
        <f>IF(Q3576="","",$K3576&amp;"")</f>
        <v/>
      </c>
      <c r="S3576" s="9">
        <f>IF(Q3576="","",IF(MATCH(R3576,$R$5:$R$100000,0)=ROW()-4,ROW(),""))</f>
        <v/>
      </c>
      <c r="T3576" s="9">
        <f>IF(Q3576="당기",ABS(P3576)+ROW()/1000000000,"")</f>
        <v/>
      </c>
      <c r="U3576" s="9">
        <f>IF(Q3576="비교",ABS(P3576)+ROW()/1000000000,"")</f>
        <v/>
      </c>
      <c r="V3576" s="64">
        <f>IF($A3576="","",IF(COUNTIF(변동분석!$E$7:$E$506,O3576)&gt;0,"Y","N"))</f>
        <v/>
      </c>
      <c r="W3576" s="64">
        <f>IF($A3576="","",IFERROR(INDEX(계정매핑!$D$5:$D$504,MATCH($F3576&amp;"",계정매핑!$A$5:$A$504,0)),"미매핑"))</f>
        <v/>
      </c>
      <c r="X3576" s="9">
        <f>IF($A3576="","",$F3576&amp;"")</f>
        <v/>
      </c>
      <c r="Y3576" s="94">
        <f>IF($A3576="",0,IF(AE3576="직접",IF(AF3576="비귀속",$P3576,0),$P3576*(1-AG3576)*IFERROR(INDEX(계정대체기준!$F$20:$F$49,MATCH($N3576,계정대체기준!$A$20:$A$49,0)),1)))</f>
        <v/>
      </c>
      <c r="Z3576" s="94">
        <f>IF($A3576="",0,IF(AE3576="직접",IF(AF3576="신계약비",$P3576,0),$P3576*(1-AG3576)*IFERROR(INDEX(계정대체기준!$C$20:$C$49,MATCH($N3576,계정대체기준!$A$20:$A$49,0)),0)))</f>
        <v/>
      </c>
      <c r="AA3576" s="94">
        <f>IF($A3576="",0,IF(AE3576="직접",IF(OR(AF3576="유지비",AF3576="손해조사비"),$P3576,0),$P3576*(1-AG3576)*IFERROR(INDEX(계정대체기준!$D$20:$D$49,MATCH($N3576,계정대체기준!$A$20:$A$49,0)),0)))</f>
        <v/>
      </c>
      <c r="AB3576" s="94">
        <f>IF($A3576="",0,IF(AE3576="직접",IF(AF3576="수금비",$P3576,0),$P3576*(1-AG3576)*IFERROR(INDEX(계정대체기준!$E$20:$E$49,MATCH($N3576,계정대체기준!$A$20:$A$49,0)),0)))</f>
        <v/>
      </c>
      <c r="AC3576" s="9">
        <f>IF(AND($A3576&lt;&gt;"",M3576=설정!$C$20,Z3576&gt;0),Z3576+ROW()/1000000000,"")</f>
        <v/>
      </c>
      <c r="AD3576" s="94">
        <f>IF($A3576="",0,$P3576*AG3576)</f>
        <v/>
      </c>
      <c r="AE3576" s="64">
        <f>IF($A3576="","",IFERROR(INDEX(계정매핑!$E$5:$E$504,MATCH($F3576&amp;"",계정매핑!$A$5:$A$504,0))&amp;"","공통비"))</f>
        <v/>
      </c>
      <c r="AF3576" s="64">
        <f>IF($A3576="","",IF(AE3576="직접",IFERROR(INDEX(계정매핑!$F$5:$F$504,MATCH($F3576&amp;"",계정매핑!$A$5:$A$504,0))&amp;"","비귀속"),""))</f>
        <v/>
      </c>
      <c r="AG3576" s="96">
        <f>IF($A3576="",0,IF(AND(AE3576&lt;&gt;"직접",IFERROR(INDEX(계정매핑!$G$5:$G$504,MATCH($F3576&amp;"",계정매핑!$A$5:$A$504,0))&amp;"","")="유지비",COUNTIF(계정대체기준!$A$6:$A$15,$N3576)&gt;0),IFERROR(INDEX(계정대체기준!$E$6:$E$15,MATCH(VALUE($A3576&amp;""),계정대체기준!$D$6:$D$15,0)),0),0))</f>
        <v/>
      </c>
      <c r="AH3576" s="64">
        <f>IF($A3576="","",IF(AD3576=0,"",IF(OR(COUNTIF(계정대체기준!$A$77:$A$86,$N3576)&gt;0,ISNUMBER(MATCH($X3576,계정대체기준!$D$77:$D$86,0)),ISNUMBER(MATCH($F3576,계정대체기준!$D$77:$D$86,0))),"Y","N")))</f>
        <v/>
      </c>
    </row>
    <row r="3577">
      <c r="A3577" s="92" t="n">
        <v>2026</v>
      </c>
      <c r="B3577" s="92" t="n">
        <v>4</v>
      </c>
      <c r="C3577" s="92" t="inlineStr">
        <is>
          <t>5100000855</t>
        </is>
      </c>
      <c r="D3577" s="95" t="n">
        <v>46132</v>
      </c>
      <c r="E3577" s="92" t="inlineStr">
        <is>
          <t>KR</t>
        </is>
      </c>
      <c r="F3577" s="92" t="n">
        <v>63001000</v>
      </c>
      <c r="G3577" s="92" t="n">
        <v>1701</v>
      </c>
      <c r="H3577" s="93" t="n">
        <v>24098000</v>
      </c>
      <c r="I3577" s="92" t="inlineStr">
        <is>
          <t>4월 SW 유지보수 - Z시스템</t>
        </is>
      </c>
      <c r="J3577" s="92" t="inlineStr">
        <is>
          <t>V10012</t>
        </is>
      </c>
      <c r="K3577" s="92" t="inlineStr">
        <is>
          <t>Z시스템</t>
        </is>
      </c>
      <c r="M3577" s="9">
        <f>IF($A3577="","",VALUE($A3577&amp;"")*12+VALUE($B3577&amp;""))</f>
        <v/>
      </c>
      <c r="N3577" s="64">
        <f>IF($A3577="","",IFERROR(INDEX(부서매핑!$C$5:$C$504,MATCH($G3577&amp;"",부서매핑!$A$5:$A$504,0)),"미매핑"))</f>
        <v/>
      </c>
      <c r="O3577" s="9">
        <f>IF($A3577="","",N3577&amp;"|"&amp;$F3577)</f>
        <v/>
      </c>
      <c r="P3577" s="94">
        <f>IF($A3577="",0,$H3577*설정!$C$23)</f>
        <v/>
      </c>
      <c r="Q3577" s="64">
        <f>IF($A3577="","",IF(O3577&lt;&gt;원인분석!$C$9,"",IF(AND(M3577&gt;=원인분석!$C$10,M3577&lt;=원인분석!$C$11),"당기",IF(AND(M3577&gt;=원인분석!$C$12,M3577&lt;=원인분석!$C$13),"비교",""))))</f>
        <v/>
      </c>
      <c r="R3577" s="9">
        <f>IF(Q3577="","",$K3577&amp;"")</f>
        <v/>
      </c>
      <c r="S3577" s="9">
        <f>IF(Q3577="","",IF(MATCH(R3577,$R$5:$R$100000,0)=ROW()-4,ROW(),""))</f>
        <v/>
      </c>
      <c r="T3577" s="9">
        <f>IF(Q3577="당기",ABS(P3577)+ROW()/1000000000,"")</f>
        <v/>
      </c>
      <c r="U3577" s="9">
        <f>IF(Q3577="비교",ABS(P3577)+ROW()/1000000000,"")</f>
        <v/>
      </c>
      <c r="V3577" s="64">
        <f>IF($A3577="","",IF(COUNTIF(변동분석!$E$7:$E$506,O3577)&gt;0,"Y","N"))</f>
        <v/>
      </c>
      <c r="W3577" s="64">
        <f>IF($A3577="","",IFERROR(INDEX(계정매핑!$D$5:$D$504,MATCH($F3577&amp;"",계정매핑!$A$5:$A$504,0)),"미매핑"))</f>
        <v/>
      </c>
      <c r="X3577" s="9">
        <f>IF($A3577="","",$F3577&amp;"")</f>
        <v/>
      </c>
      <c r="Y3577" s="94">
        <f>IF($A3577="",0,IF(AE3577="직접",IF(AF3577="비귀속",$P3577,0),$P3577*(1-AG3577)*IFERROR(INDEX(계정대체기준!$F$20:$F$49,MATCH($N3577,계정대체기준!$A$20:$A$49,0)),1)))</f>
        <v/>
      </c>
      <c r="Z3577" s="94">
        <f>IF($A3577="",0,IF(AE3577="직접",IF(AF3577="신계약비",$P3577,0),$P3577*(1-AG3577)*IFERROR(INDEX(계정대체기준!$C$20:$C$49,MATCH($N3577,계정대체기준!$A$20:$A$49,0)),0)))</f>
        <v/>
      </c>
      <c r="AA3577" s="94">
        <f>IF($A3577="",0,IF(AE3577="직접",IF(OR(AF3577="유지비",AF3577="손해조사비"),$P3577,0),$P3577*(1-AG3577)*IFERROR(INDEX(계정대체기준!$D$20:$D$49,MATCH($N3577,계정대체기준!$A$20:$A$49,0)),0)))</f>
        <v/>
      </c>
      <c r="AB3577" s="94">
        <f>IF($A3577="",0,IF(AE3577="직접",IF(AF3577="수금비",$P3577,0),$P3577*(1-AG3577)*IFERROR(INDEX(계정대체기준!$E$20:$E$49,MATCH($N3577,계정대체기준!$A$20:$A$49,0)),0)))</f>
        <v/>
      </c>
      <c r="AC3577" s="9">
        <f>IF(AND($A3577&lt;&gt;"",M3577=설정!$C$20,Z3577&gt;0),Z3577+ROW()/1000000000,"")</f>
        <v/>
      </c>
      <c r="AD3577" s="94">
        <f>IF($A3577="",0,$P3577*AG3577)</f>
        <v/>
      </c>
      <c r="AE3577" s="64">
        <f>IF($A3577="","",IFERROR(INDEX(계정매핑!$E$5:$E$504,MATCH($F3577&amp;"",계정매핑!$A$5:$A$504,0))&amp;"","공통비"))</f>
        <v/>
      </c>
      <c r="AF3577" s="64">
        <f>IF($A3577="","",IF(AE3577="직접",IFERROR(INDEX(계정매핑!$F$5:$F$504,MATCH($F3577&amp;"",계정매핑!$A$5:$A$504,0))&amp;"","비귀속"),""))</f>
        <v/>
      </c>
      <c r="AG3577" s="96">
        <f>IF($A3577="",0,IF(AND(AE3577&lt;&gt;"직접",IFERROR(INDEX(계정매핑!$G$5:$G$504,MATCH($F3577&amp;"",계정매핑!$A$5:$A$504,0))&amp;"","")="유지비",COUNTIF(계정대체기준!$A$6:$A$15,$N3577)&gt;0),IFERROR(INDEX(계정대체기준!$E$6:$E$15,MATCH(VALUE($A3577&amp;""),계정대체기준!$D$6:$D$15,0)),0),0))</f>
        <v/>
      </c>
      <c r="AH3577" s="64">
        <f>IF($A3577="","",IF(AD3577=0,"",IF(OR(COUNTIF(계정대체기준!$A$77:$A$86,$N3577)&gt;0,ISNUMBER(MATCH($X3577,계정대체기준!$D$77:$D$86,0)),ISNUMBER(MATCH($F3577,계정대체기준!$D$77:$D$86,0))),"Y","N")))</f>
        <v/>
      </c>
    </row>
    <row r="3578">
      <c r="A3578" s="92" t="n">
        <v>2026</v>
      </c>
      <c r="B3578" s="92" t="n">
        <v>4</v>
      </c>
      <c r="C3578" s="92" t="inlineStr">
        <is>
          <t>5100000856</t>
        </is>
      </c>
      <c r="D3578" s="95" t="n">
        <v>46133</v>
      </c>
      <c r="E3578" s="92" t="inlineStr">
        <is>
          <t>KR</t>
        </is>
      </c>
      <c r="F3578" s="92" t="n">
        <v>62101000</v>
      </c>
      <c r="G3578" s="92" t="n">
        <v>1301</v>
      </c>
      <c r="H3578" s="93" t="n">
        <v>214000</v>
      </c>
      <c r="I3578" s="92" t="inlineStr">
        <is>
          <t>4월 국내출장 - (법인카드)</t>
        </is>
      </c>
      <c r="J3578" s="92" t="inlineStr">
        <is>
          <t>V10010</t>
        </is>
      </c>
      <c r="K3578" s="92" t="inlineStr">
        <is>
          <t>(법인카드)</t>
        </is>
      </c>
      <c r="M3578" s="9">
        <f>IF($A3578="","",VALUE($A3578&amp;"")*12+VALUE($B3578&amp;""))</f>
        <v/>
      </c>
      <c r="N3578" s="64">
        <f>IF($A3578="","",IFERROR(INDEX(부서매핑!$C$5:$C$504,MATCH($G3578&amp;"",부서매핑!$A$5:$A$504,0)),"미매핑"))</f>
        <v/>
      </c>
      <c r="O3578" s="9">
        <f>IF($A3578="","",N3578&amp;"|"&amp;$F3578)</f>
        <v/>
      </c>
      <c r="P3578" s="94">
        <f>IF($A3578="",0,$H3578*설정!$C$23)</f>
        <v/>
      </c>
      <c r="Q3578" s="64">
        <f>IF($A3578="","",IF(O3578&lt;&gt;원인분석!$C$9,"",IF(AND(M3578&gt;=원인분석!$C$10,M3578&lt;=원인분석!$C$11),"당기",IF(AND(M3578&gt;=원인분석!$C$12,M3578&lt;=원인분석!$C$13),"비교",""))))</f>
        <v/>
      </c>
      <c r="R3578" s="9">
        <f>IF(Q3578="","",$K3578&amp;"")</f>
        <v/>
      </c>
      <c r="S3578" s="9">
        <f>IF(Q3578="","",IF(MATCH(R3578,$R$5:$R$100000,0)=ROW()-4,ROW(),""))</f>
        <v/>
      </c>
      <c r="T3578" s="9">
        <f>IF(Q3578="당기",ABS(P3578)+ROW()/1000000000,"")</f>
        <v/>
      </c>
      <c r="U3578" s="9">
        <f>IF(Q3578="비교",ABS(P3578)+ROW()/1000000000,"")</f>
        <v/>
      </c>
      <c r="V3578" s="64">
        <f>IF($A3578="","",IF(COUNTIF(변동분석!$E$7:$E$506,O3578)&gt;0,"Y","N"))</f>
        <v/>
      </c>
      <c r="W3578" s="64">
        <f>IF($A3578="","",IFERROR(INDEX(계정매핑!$D$5:$D$504,MATCH($F3578&amp;"",계정매핑!$A$5:$A$504,0)),"미매핑"))</f>
        <v/>
      </c>
      <c r="X3578" s="9">
        <f>IF($A3578="","",$F3578&amp;"")</f>
        <v/>
      </c>
      <c r="Y3578" s="94">
        <f>IF($A3578="",0,IF(AE3578="직접",IF(AF3578="비귀속",$P3578,0),$P3578*(1-AG3578)*IFERROR(INDEX(계정대체기준!$F$20:$F$49,MATCH($N3578,계정대체기준!$A$20:$A$49,0)),1)))</f>
        <v/>
      </c>
      <c r="Z3578" s="94">
        <f>IF($A3578="",0,IF(AE3578="직접",IF(AF3578="신계약비",$P3578,0),$P3578*(1-AG3578)*IFERROR(INDEX(계정대체기준!$C$20:$C$49,MATCH($N3578,계정대체기준!$A$20:$A$49,0)),0)))</f>
        <v/>
      </c>
      <c r="AA3578" s="94">
        <f>IF($A3578="",0,IF(AE3578="직접",IF(OR(AF3578="유지비",AF3578="손해조사비"),$P3578,0),$P3578*(1-AG3578)*IFERROR(INDEX(계정대체기준!$D$20:$D$49,MATCH($N3578,계정대체기준!$A$20:$A$49,0)),0)))</f>
        <v/>
      </c>
      <c r="AB3578" s="94">
        <f>IF($A3578="",0,IF(AE3578="직접",IF(AF3578="수금비",$P3578,0),$P3578*(1-AG3578)*IFERROR(INDEX(계정대체기준!$E$20:$E$49,MATCH($N3578,계정대체기준!$A$20:$A$49,0)),0)))</f>
        <v/>
      </c>
      <c r="AC3578" s="9">
        <f>IF(AND($A3578&lt;&gt;"",M3578=설정!$C$20,Z3578&gt;0),Z3578+ROW()/1000000000,"")</f>
        <v/>
      </c>
      <c r="AD3578" s="94">
        <f>IF($A3578="",0,$P3578*AG3578)</f>
        <v/>
      </c>
      <c r="AE3578" s="64">
        <f>IF($A3578="","",IFERROR(INDEX(계정매핑!$E$5:$E$504,MATCH($F3578&amp;"",계정매핑!$A$5:$A$504,0))&amp;"","공통비"))</f>
        <v/>
      </c>
      <c r="AF3578" s="64">
        <f>IF($A3578="","",IF(AE3578="직접",IFERROR(INDEX(계정매핑!$F$5:$F$504,MATCH($F3578&amp;"",계정매핑!$A$5:$A$504,0))&amp;"","비귀속"),""))</f>
        <v/>
      </c>
      <c r="AG3578" s="96">
        <f>IF($A3578="",0,IF(AND(AE3578&lt;&gt;"직접",IFERROR(INDEX(계정매핑!$G$5:$G$504,MATCH($F3578&amp;"",계정매핑!$A$5:$A$504,0))&amp;"","")="유지비",COUNTIF(계정대체기준!$A$6:$A$15,$N3578)&gt;0),IFERROR(INDEX(계정대체기준!$E$6:$E$15,MATCH(VALUE($A3578&amp;""),계정대체기준!$D$6:$D$15,0)),0),0))</f>
        <v/>
      </c>
      <c r="AH3578" s="64">
        <f>IF($A3578="","",IF(AD3578=0,"",IF(OR(COUNTIF(계정대체기준!$A$77:$A$86,$N3578)&gt;0,ISNUMBER(MATCH($X3578,계정대체기준!$D$77:$D$86,0)),ISNUMBER(MATCH($F3578,계정대체기준!$D$77:$D$86,0))),"Y","N")))</f>
        <v/>
      </c>
    </row>
    <row r="3579">
      <c r="A3579" s="92" t="n">
        <v>2026</v>
      </c>
      <c r="B3579" s="92" t="n">
        <v>4</v>
      </c>
      <c r="C3579" s="92" t="inlineStr">
        <is>
          <t>5100000857</t>
        </is>
      </c>
      <c r="D3579" s="95" t="n">
        <v>46133</v>
      </c>
      <c r="E3579" s="92" t="inlineStr">
        <is>
          <t>KR</t>
        </is>
      </c>
      <c r="F3579" s="92" t="n">
        <v>62101000</v>
      </c>
      <c r="G3579" s="92" t="n">
        <v>1401</v>
      </c>
      <c r="H3579" s="93" t="n">
        <v>408000</v>
      </c>
      <c r="I3579" s="92" t="inlineStr">
        <is>
          <t>4월 국내출장 - (법인카드)</t>
        </is>
      </c>
      <c r="J3579" s="92" t="inlineStr">
        <is>
          <t>V10010</t>
        </is>
      </c>
      <c r="K3579" s="92" t="inlineStr">
        <is>
          <t>(법인카드)</t>
        </is>
      </c>
      <c r="M3579" s="9">
        <f>IF($A3579="","",VALUE($A3579&amp;"")*12+VALUE($B3579&amp;""))</f>
        <v/>
      </c>
      <c r="N3579" s="64">
        <f>IF($A3579="","",IFERROR(INDEX(부서매핑!$C$5:$C$504,MATCH($G3579&amp;"",부서매핑!$A$5:$A$504,0)),"미매핑"))</f>
        <v/>
      </c>
      <c r="O3579" s="9">
        <f>IF($A3579="","",N3579&amp;"|"&amp;$F3579)</f>
        <v/>
      </c>
      <c r="P3579" s="94">
        <f>IF($A3579="",0,$H3579*설정!$C$23)</f>
        <v/>
      </c>
      <c r="Q3579" s="64">
        <f>IF($A3579="","",IF(O3579&lt;&gt;원인분석!$C$9,"",IF(AND(M3579&gt;=원인분석!$C$10,M3579&lt;=원인분석!$C$11),"당기",IF(AND(M3579&gt;=원인분석!$C$12,M3579&lt;=원인분석!$C$13),"비교",""))))</f>
        <v/>
      </c>
      <c r="R3579" s="9">
        <f>IF(Q3579="","",$K3579&amp;"")</f>
        <v/>
      </c>
      <c r="S3579" s="9">
        <f>IF(Q3579="","",IF(MATCH(R3579,$R$5:$R$100000,0)=ROW()-4,ROW(),""))</f>
        <v/>
      </c>
      <c r="T3579" s="9">
        <f>IF(Q3579="당기",ABS(P3579)+ROW()/1000000000,"")</f>
        <v/>
      </c>
      <c r="U3579" s="9">
        <f>IF(Q3579="비교",ABS(P3579)+ROW()/1000000000,"")</f>
        <v/>
      </c>
      <c r="V3579" s="64">
        <f>IF($A3579="","",IF(COUNTIF(변동분석!$E$7:$E$506,O3579)&gt;0,"Y","N"))</f>
        <v/>
      </c>
      <c r="W3579" s="64">
        <f>IF($A3579="","",IFERROR(INDEX(계정매핑!$D$5:$D$504,MATCH($F3579&amp;"",계정매핑!$A$5:$A$504,0)),"미매핑"))</f>
        <v/>
      </c>
      <c r="X3579" s="9">
        <f>IF($A3579="","",$F3579&amp;"")</f>
        <v/>
      </c>
      <c r="Y3579" s="94">
        <f>IF($A3579="",0,IF(AE3579="직접",IF(AF3579="비귀속",$P3579,0),$P3579*(1-AG3579)*IFERROR(INDEX(계정대체기준!$F$20:$F$49,MATCH($N3579,계정대체기준!$A$20:$A$49,0)),1)))</f>
        <v/>
      </c>
      <c r="Z3579" s="94">
        <f>IF($A3579="",0,IF(AE3579="직접",IF(AF3579="신계약비",$P3579,0),$P3579*(1-AG3579)*IFERROR(INDEX(계정대체기준!$C$20:$C$49,MATCH($N3579,계정대체기준!$A$20:$A$49,0)),0)))</f>
        <v/>
      </c>
      <c r="AA3579" s="94">
        <f>IF($A3579="",0,IF(AE3579="직접",IF(OR(AF3579="유지비",AF3579="손해조사비"),$P3579,0),$P3579*(1-AG3579)*IFERROR(INDEX(계정대체기준!$D$20:$D$49,MATCH($N3579,계정대체기준!$A$20:$A$49,0)),0)))</f>
        <v/>
      </c>
      <c r="AB3579" s="94">
        <f>IF($A3579="",0,IF(AE3579="직접",IF(AF3579="수금비",$P3579,0),$P3579*(1-AG3579)*IFERROR(INDEX(계정대체기준!$E$20:$E$49,MATCH($N3579,계정대체기준!$A$20:$A$49,0)),0)))</f>
        <v/>
      </c>
      <c r="AC3579" s="9">
        <f>IF(AND($A3579&lt;&gt;"",M3579=설정!$C$20,Z3579&gt;0),Z3579+ROW()/1000000000,"")</f>
        <v/>
      </c>
      <c r="AD3579" s="94">
        <f>IF($A3579="",0,$P3579*AG3579)</f>
        <v/>
      </c>
      <c r="AE3579" s="64">
        <f>IF($A3579="","",IFERROR(INDEX(계정매핑!$E$5:$E$504,MATCH($F3579&amp;"",계정매핑!$A$5:$A$504,0))&amp;"","공통비"))</f>
        <v/>
      </c>
      <c r="AF3579" s="64">
        <f>IF($A3579="","",IF(AE3579="직접",IFERROR(INDEX(계정매핑!$F$5:$F$504,MATCH($F3579&amp;"",계정매핑!$A$5:$A$504,0))&amp;"","비귀속"),""))</f>
        <v/>
      </c>
      <c r="AG3579" s="96">
        <f>IF($A3579="",0,IF(AND(AE3579&lt;&gt;"직접",IFERROR(INDEX(계정매핑!$G$5:$G$504,MATCH($F3579&amp;"",계정매핑!$A$5:$A$504,0))&amp;"","")="유지비",COUNTIF(계정대체기준!$A$6:$A$15,$N3579)&gt;0),IFERROR(INDEX(계정대체기준!$E$6:$E$15,MATCH(VALUE($A3579&amp;""),계정대체기준!$D$6:$D$15,0)),0),0))</f>
        <v/>
      </c>
      <c r="AH3579" s="64">
        <f>IF($A3579="","",IF(AD3579=0,"",IF(OR(COUNTIF(계정대체기준!$A$77:$A$86,$N3579)&gt;0,ISNUMBER(MATCH($X3579,계정대체기준!$D$77:$D$86,0)),ISNUMBER(MATCH($F3579,계정대체기준!$D$77:$D$86,0))),"Y","N")))</f>
        <v/>
      </c>
    </row>
    <row r="3580">
      <c r="A3580" s="92" t="n">
        <v>2026</v>
      </c>
      <c r="B3580" s="92" t="n">
        <v>4</v>
      </c>
      <c r="C3580" s="92" t="inlineStr">
        <is>
          <t>5100000858</t>
        </is>
      </c>
      <c r="D3580" s="95" t="n">
        <v>46133</v>
      </c>
      <c r="E3580" s="92" t="inlineStr">
        <is>
          <t>KR</t>
        </is>
      </c>
      <c r="F3580" s="92" t="n">
        <v>62101000</v>
      </c>
      <c r="G3580" s="92" t="n">
        <v>1601</v>
      </c>
      <c r="H3580" s="93" t="n">
        <v>1127000</v>
      </c>
      <c r="I3580" s="92" t="inlineStr">
        <is>
          <t>4월 국내출장 - (법인카드)</t>
        </is>
      </c>
      <c r="J3580" s="92" t="inlineStr">
        <is>
          <t>V10010</t>
        </is>
      </c>
      <c r="K3580" s="92" t="inlineStr">
        <is>
          <t>(법인카드)</t>
        </is>
      </c>
      <c r="M3580" s="9">
        <f>IF($A3580="","",VALUE($A3580&amp;"")*12+VALUE($B3580&amp;""))</f>
        <v/>
      </c>
      <c r="N3580" s="64">
        <f>IF($A3580="","",IFERROR(INDEX(부서매핑!$C$5:$C$504,MATCH($G3580&amp;"",부서매핑!$A$5:$A$504,0)),"미매핑"))</f>
        <v/>
      </c>
      <c r="O3580" s="9">
        <f>IF($A3580="","",N3580&amp;"|"&amp;$F3580)</f>
        <v/>
      </c>
      <c r="P3580" s="94">
        <f>IF($A3580="",0,$H3580*설정!$C$23)</f>
        <v/>
      </c>
      <c r="Q3580" s="64">
        <f>IF($A3580="","",IF(O3580&lt;&gt;원인분석!$C$9,"",IF(AND(M3580&gt;=원인분석!$C$10,M3580&lt;=원인분석!$C$11),"당기",IF(AND(M3580&gt;=원인분석!$C$12,M3580&lt;=원인분석!$C$13),"비교",""))))</f>
        <v/>
      </c>
      <c r="R3580" s="9">
        <f>IF(Q3580="","",$K3580&amp;"")</f>
        <v/>
      </c>
      <c r="S3580" s="9">
        <f>IF(Q3580="","",IF(MATCH(R3580,$R$5:$R$100000,0)=ROW()-4,ROW(),""))</f>
        <v/>
      </c>
      <c r="T3580" s="9">
        <f>IF(Q3580="당기",ABS(P3580)+ROW()/1000000000,"")</f>
        <v/>
      </c>
      <c r="U3580" s="9">
        <f>IF(Q3580="비교",ABS(P3580)+ROW()/1000000000,"")</f>
        <v/>
      </c>
      <c r="V3580" s="64">
        <f>IF($A3580="","",IF(COUNTIF(변동분석!$E$7:$E$506,O3580)&gt;0,"Y","N"))</f>
        <v/>
      </c>
      <c r="W3580" s="64">
        <f>IF($A3580="","",IFERROR(INDEX(계정매핑!$D$5:$D$504,MATCH($F3580&amp;"",계정매핑!$A$5:$A$504,0)),"미매핑"))</f>
        <v/>
      </c>
      <c r="X3580" s="9">
        <f>IF($A3580="","",$F3580&amp;"")</f>
        <v/>
      </c>
      <c r="Y3580" s="94">
        <f>IF($A3580="",0,IF(AE3580="직접",IF(AF3580="비귀속",$P3580,0),$P3580*(1-AG3580)*IFERROR(INDEX(계정대체기준!$F$20:$F$49,MATCH($N3580,계정대체기준!$A$20:$A$49,0)),1)))</f>
        <v/>
      </c>
      <c r="Z3580" s="94">
        <f>IF($A3580="",0,IF(AE3580="직접",IF(AF3580="신계약비",$P3580,0),$P3580*(1-AG3580)*IFERROR(INDEX(계정대체기준!$C$20:$C$49,MATCH($N3580,계정대체기준!$A$20:$A$49,0)),0)))</f>
        <v/>
      </c>
      <c r="AA3580" s="94">
        <f>IF($A3580="",0,IF(AE3580="직접",IF(OR(AF3580="유지비",AF3580="손해조사비"),$P3580,0),$P3580*(1-AG3580)*IFERROR(INDEX(계정대체기준!$D$20:$D$49,MATCH($N3580,계정대체기준!$A$20:$A$49,0)),0)))</f>
        <v/>
      </c>
      <c r="AB3580" s="94">
        <f>IF($A3580="",0,IF(AE3580="직접",IF(AF3580="수금비",$P3580,0),$P3580*(1-AG3580)*IFERROR(INDEX(계정대체기준!$E$20:$E$49,MATCH($N3580,계정대체기준!$A$20:$A$49,0)),0)))</f>
        <v/>
      </c>
      <c r="AC3580" s="9">
        <f>IF(AND($A3580&lt;&gt;"",M3580=설정!$C$20,Z3580&gt;0),Z3580+ROW()/1000000000,"")</f>
        <v/>
      </c>
      <c r="AD3580" s="94">
        <f>IF($A3580="",0,$P3580*AG3580)</f>
        <v/>
      </c>
      <c r="AE3580" s="64">
        <f>IF($A3580="","",IFERROR(INDEX(계정매핑!$E$5:$E$504,MATCH($F3580&amp;"",계정매핑!$A$5:$A$504,0))&amp;"","공통비"))</f>
        <v/>
      </c>
      <c r="AF3580" s="64">
        <f>IF($A3580="","",IF(AE3580="직접",IFERROR(INDEX(계정매핑!$F$5:$F$504,MATCH($F3580&amp;"",계정매핑!$A$5:$A$504,0))&amp;"","비귀속"),""))</f>
        <v/>
      </c>
      <c r="AG3580" s="96">
        <f>IF($A3580="",0,IF(AND(AE3580&lt;&gt;"직접",IFERROR(INDEX(계정매핑!$G$5:$G$504,MATCH($F3580&amp;"",계정매핑!$A$5:$A$504,0))&amp;"","")="유지비",COUNTIF(계정대체기준!$A$6:$A$15,$N3580)&gt;0),IFERROR(INDEX(계정대체기준!$E$6:$E$15,MATCH(VALUE($A3580&amp;""),계정대체기준!$D$6:$D$15,0)),0),0))</f>
        <v/>
      </c>
      <c r="AH3580" s="64">
        <f>IF($A3580="","",IF(AD3580=0,"",IF(OR(COUNTIF(계정대체기준!$A$77:$A$86,$N3580)&gt;0,ISNUMBER(MATCH($X3580,계정대체기준!$D$77:$D$86,0)),ISNUMBER(MATCH($F3580,계정대체기준!$D$77:$D$86,0))),"Y","N")))</f>
        <v/>
      </c>
    </row>
    <row r="3581">
      <c r="A3581" s="92" t="n">
        <v>2026</v>
      </c>
      <c r="B3581" s="92" t="n">
        <v>4</v>
      </c>
      <c r="C3581" s="92" t="inlineStr">
        <is>
          <t>5100000859</t>
        </is>
      </c>
      <c r="D3581" s="95" t="n">
        <v>46133</v>
      </c>
      <c r="E3581" s="92" t="inlineStr">
        <is>
          <t>KR</t>
        </is>
      </c>
      <c r="F3581" s="92" t="n">
        <v>62102000</v>
      </c>
      <c r="G3581" s="92" t="n">
        <v>1201</v>
      </c>
      <c r="H3581" s="93" t="n">
        <v>48000</v>
      </c>
      <c r="I3581" s="92" t="inlineStr">
        <is>
          <t>4월 해외출장 - M항공</t>
        </is>
      </c>
      <c r="J3581" s="92" t="inlineStr">
        <is>
          <t>V10001</t>
        </is>
      </c>
      <c r="K3581" s="92" t="inlineStr">
        <is>
          <t>M항공</t>
        </is>
      </c>
      <c r="M3581" s="9">
        <f>IF($A3581="","",VALUE($A3581&amp;"")*12+VALUE($B3581&amp;""))</f>
        <v/>
      </c>
      <c r="N3581" s="64">
        <f>IF($A3581="","",IFERROR(INDEX(부서매핑!$C$5:$C$504,MATCH($G3581&amp;"",부서매핑!$A$5:$A$504,0)),"미매핑"))</f>
        <v/>
      </c>
      <c r="O3581" s="9">
        <f>IF($A3581="","",N3581&amp;"|"&amp;$F3581)</f>
        <v/>
      </c>
      <c r="P3581" s="94">
        <f>IF($A3581="",0,$H3581*설정!$C$23)</f>
        <v/>
      </c>
      <c r="Q3581" s="64">
        <f>IF($A3581="","",IF(O3581&lt;&gt;원인분석!$C$9,"",IF(AND(M3581&gt;=원인분석!$C$10,M3581&lt;=원인분석!$C$11),"당기",IF(AND(M3581&gt;=원인분석!$C$12,M3581&lt;=원인분석!$C$13),"비교",""))))</f>
        <v/>
      </c>
      <c r="R3581" s="9">
        <f>IF(Q3581="","",$K3581&amp;"")</f>
        <v/>
      </c>
      <c r="S3581" s="9">
        <f>IF(Q3581="","",IF(MATCH(R3581,$R$5:$R$100000,0)=ROW()-4,ROW(),""))</f>
        <v/>
      </c>
      <c r="T3581" s="9">
        <f>IF(Q3581="당기",ABS(P3581)+ROW()/1000000000,"")</f>
        <v/>
      </c>
      <c r="U3581" s="9">
        <f>IF(Q3581="비교",ABS(P3581)+ROW()/1000000000,"")</f>
        <v/>
      </c>
      <c r="V3581" s="64">
        <f>IF($A3581="","",IF(COUNTIF(변동분석!$E$7:$E$506,O3581)&gt;0,"Y","N"))</f>
        <v/>
      </c>
      <c r="W3581" s="64">
        <f>IF($A3581="","",IFERROR(INDEX(계정매핑!$D$5:$D$504,MATCH($F3581&amp;"",계정매핑!$A$5:$A$504,0)),"미매핑"))</f>
        <v/>
      </c>
      <c r="X3581" s="9">
        <f>IF($A3581="","",$F3581&amp;"")</f>
        <v/>
      </c>
      <c r="Y3581" s="94">
        <f>IF($A3581="",0,IF(AE3581="직접",IF(AF3581="비귀속",$P3581,0),$P3581*(1-AG3581)*IFERROR(INDEX(계정대체기준!$F$20:$F$49,MATCH($N3581,계정대체기준!$A$20:$A$49,0)),1)))</f>
        <v/>
      </c>
      <c r="Z3581" s="94">
        <f>IF($A3581="",0,IF(AE3581="직접",IF(AF3581="신계약비",$P3581,0),$P3581*(1-AG3581)*IFERROR(INDEX(계정대체기준!$C$20:$C$49,MATCH($N3581,계정대체기준!$A$20:$A$49,0)),0)))</f>
        <v/>
      </c>
      <c r="AA3581" s="94">
        <f>IF($A3581="",0,IF(AE3581="직접",IF(OR(AF3581="유지비",AF3581="손해조사비"),$P3581,0),$P3581*(1-AG3581)*IFERROR(INDEX(계정대체기준!$D$20:$D$49,MATCH($N3581,계정대체기준!$A$20:$A$49,0)),0)))</f>
        <v/>
      </c>
      <c r="AB3581" s="94">
        <f>IF($A3581="",0,IF(AE3581="직접",IF(AF3581="수금비",$P3581,0),$P3581*(1-AG3581)*IFERROR(INDEX(계정대체기준!$E$20:$E$49,MATCH($N3581,계정대체기준!$A$20:$A$49,0)),0)))</f>
        <v/>
      </c>
      <c r="AC3581" s="9">
        <f>IF(AND($A3581&lt;&gt;"",M3581=설정!$C$20,Z3581&gt;0),Z3581+ROW()/1000000000,"")</f>
        <v/>
      </c>
      <c r="AD3581" s="94">
        <f>IF($A3581="",0,$P3581*AG3581)</f>
        <v/>
      </c>
      <c r="AE3581" s="64">
        <f>IF($A3581="","",IFERROR(INDEX(계정매핑!$E$5:$E$504,MATCH($F3581&amp;"",계정매핑!$A$5:$A$504,0))&amp;"","공통비"))</f>
        <v/>
      </c>
      <c r="AF3581" s="64">
        <f>IF($A3581="","",IF(AE3581="직접",IFERROR(INDEX(계정매핑!$F$5:$F$504,MATCH($F3581&amp;"",계정매핑!$A$5:$A$504,0))&amp;"","비귀속"),""))</f>
        <v/>
      </c>
      <c r="AG3581" s="96">
        <f>IF($A3581="",0,IF(AND(AE3581&lt;&gt;"직접",IFERROR(INDEX(계정매핑!$G$5:$G$504,MATCH($F3581&amp;"",계정매핑!$A$5:$A$504,0))&amp;"","")="유지비",COUNTIF(계정대체기준!$A$6:$A$15,$N3581)&gt;0),IFERROR(INDEX(계정대체기준!$E$6:$E$15,MATCH(VALUE($A3581&amp;""),계정대체기준!$D$6:$D$15,0)),0),0))</f>
        <v/>
      </c>
      <c r="AH3581" s="64">
        <f>IF($A3581="","",IF(AD3581=0,"",IF(OR(COUNTIF(계정대체기준!$A$77:$A$86,$N3581)&gt;0,ISNUMBER(MATCH($X3581,계정대체기준!$D$77:$D$86,0)),ISNUMBER(MATCH($F3581,계정대체기준!$D$77:$D$86,0))),"Y","N")))</f>
        <v/>
      </c>
    </row>
    <row r="3582">
      <c r="A3582" s="92" t="n">
        <v>2026</v>
      </c>
      <c r="B3582" s="92" t="n">
        <v>4</v>
      </c>
      <c r="C3582" s="92" t="inlineStr">
        <is>
          <t>5100000860</t>
        </is>
      </c>
      <c r="D3582" s="95" t="n">
        <v>46133</v>
      </c>
      <c r="E3582" s="92" t="inlineStr">
        <is>
          <t>KR</t>
        </is>
      </c>
      <c r="F3582" s="92" t="n">
        <v>62102000</v>
      </c>
      <c r="G3582" s="92" t="n">
        <v>1701</v>
      </c>
      <c r="H3582" s="93" t="n">
        <v>101000</v>
      </c>
      <c r="I3582" s="92" t="inlineStr">
        <is>
          <t>4월 해외출장 - M항공</t>
        </is>
      </c>
      <c r="J3582" s="92" t="inlineStr">
        <is>
          <t>V10001</t>
        </is>
      </c>
      <c r="K3582" s="92" t="inlineStr">
        <is>
          <t>M항공</t>
        </is>
      </c>
      <c r="M3582" s="9">
        <f>IF($A3582="","",VALUE($A3582&amp;"")*12+VALUE($B3582&amp;""))</f>
        <v/>
      </c>
      <c r="N3582" s="64">
        <f>IF($A3582="","",IFERROR(INDEX(부서매핑!$C$5:$C$504,MATCH($G3582&amp;"",부서매핑!$A$5:$A$504,0)),"미매핑"))</f>
        <v/>
      </c>
      <c r="O3582" s="9">
        <f>IF($A3582="","",N3582&amp;"|"&amp;$F3582)</f>
        <v/>
      </c>
      <c r="P3582" s="94">
        <f>IF($A3582="",0,$H3582*설정!$C$23)</f>
        <v/>
      </c>
      <c r="Q3582" s="64">
        <f>IF($A3582="","",IF(O3582&lt;&gt;원인분석!$C$9,"",IF(AND(M3582&gt;=원인분석!$C$10,M3582&lt;=원인분석!$C$11),"당기",IF(AND(M3582&gt;=원인분석!$C$12,M3582&lt;=원인분석!$C$13),"비교",""))))</f>
        <v/>
      </c>
      <c r="R3582" s="9">
        <f>IF(Q3582="","",$K3582&amp;"")</f>
        <v/>
      </c>
      <c r="S3582" s="9">
        <f>IF(Q3582="","",IF(MATCH(R3582,$R$5:$R$100000,0)=ROW()-4,ROW(),""))</f>
        <v/>
      </c>
      <c r="T3582" s="9">
        <f>IF(Q3582="당기",ABS(P3582)+ROW()/1000000000,"")</f>
        <v/>
      </c>
      <c r="U3582" s="9">
        <f>IF(Q3582="비교",ABS(P3582)+ROW()/1000000000,"")</f>
        <v/>
      </c>
      <c r="V3582" s="64">
        <f>IF($A3582="","",IF(COUNTIF(변동분석!$E$7:$E$506,O3582)&gt;0,"Y","N"))</f>
        <v/>
      </c>
      <c r="W3582" s="64">
        <f>IF($A3582="","",IFERROR(INDEX(계정매핑!$D$5:$D$504,MATCH($F3582&amp;"",계정매핑!$A$5:$A$504,0)),"미매핑"))</f>
        <v/>
      </c>
      <c r="X3582" s="9">
        <f>IF($A3582="","",$F3582&amp;"")</f>
        <v/>
      </c>
      <c r="Y3582" s="94">
        <f>IF($A3582="",0,IF(AE3582="직접",IF(AF3582="비귀속",$P3582,0),$P3582*(1-AG3582)*IFERROR(INDEX(계정대체기준!$F$20:$F$49,MATCH($N3582,계정대체기준!$A$20:$A$49,0)),1)))</f>
        <v/>
      </c>
      <c r="Z3582" s="94">
        <f>IF($A3582="",0,IF(AE3582="직접",IF(AF3582="신계약비",$P3582,0),$P3582*(1-AG3582)*IFERROR(INDEX(계정대체기준!$C$20:$C$49,MATCH($N3582,계정대체기준!$A$20:$A$49,0)),0)))</f>
        <v/>
      </c>
      <c r="AA3582" s="94">
        <f>IF($A3582="",0,IF(AE3582="직접",IF(OR(AF3582="유지비",AF3582="손해조사비"),$P3582,0),$P3582*(1-AG3582)*IFERROR(INDEX(계정대체기준!$D$20:$D$49,MATCH($N3582,계정대체기준!$A$20:$A$49,0)),0)))</f>
        <v/>
      </c>
      <c r="AB3582" s="94">
        <f>IF($A3582="",0,IF(AE3582="직접",IF(AF3582="수금비",$P3582,0),$P3582*(1-AG3582)*IFERROR(INDEX(계정대체기준!$E$20:$E$49,MATCH($N3582,계정대체기준!$A$20:$A$49,0)),0)))</f>
        <v/>
      </c>
      <c r="AC3582" s="9">
        <f>IF(AND($A3582&lt;&gt;"",M3582=설정!$C$20,Z3582&gt;0),Z3582+ROW()/1000000000,"")</f>
        <v/>
      </c>
      <c r="AD3582" s="94">
        <f>IF($A3582="",0,$P3582*AG3582)</f>
        <v/>
      </c>
      <c r="AE3582" s="64">
        <f>IF($A3582="","",IFERROR(INDEX(계정매핑!$E$5:$E$504,MATCH($F3582&amp;"",계정매핑!$A$5:$A$504,0))&amp;"","공통비"))</f>
        <v/>
      </c>
      <c r="AF3582" s="64">
        <f>IF($A3582="","",IF(AE3582="직접",IFERROR(INDEX(계정매핑!$F$5:$F$504,MATCH($F3582&amp;"",계정매핑!$A$5:$A$504,0))&amp;"","비귀속"),""))</f>
        <v/>
      </c>
      <c r="AG3582" s="96">
        <f>IF($A3582="",0,IF(AND(AE3582&lt;&gt;"직접",IFERROR(INDEX(계정매핑!$G$5:$G$504,MATCH($F3582&amp;"",계정매핑!$A$5:$A$504,0))&amp;"","")="유지비",COUNTIF(계정대체기준!$A$6:$A$15,$N3582)&gt;0),IFERROR(INDEX(계정대체기준!$E$6:$E$15,MATCH(VALUE($A3582&amp;""),계정대체기준!$D$6:$D$15,0)),0),0))</f>
        <v/>
      </c>
      <c r="AH3582" s="64">
        <f>IF($A3582="","",IF(AD3582=0,"",IF(OR(COUNTIF(계정대체기준!$A$77:$A$86,$N3582)&gt;0,ISNUMBER(MATCH($X3582,계정대체기준!$D$77:$D$86,0)),ISNUMBER(MATCH($F3582,계정대체기준!$D$77:$D$86,0))),"Y","N")))</f>
        <v/>
      </c>
    </row>
    <row r="3583">
      <c r="A3583" s="92" t="n">
        <v>2026</v>
      </c>
      <c r="B3583" s="92" t="n">
        <v>4</v>
      </c>
      <c r="C3583" s="92" t="inlineStr">
        <is>
          <t>5100000861</t>
        </is>
      </c>
      <c r="D3583" s="95" t="n">
        <v>46133</v>
      </c>
      <c r="E3583" s="92" t="inlineStr">
        <is>
          <t>KR</t>
        </is>
      </c>
      <c r="F3583" s="92" t="n">
        <v>62201000</v>
      </c>
      <c r="G3583" s="92" t="n">
        <v>1801</v>
      </c>
      <c r="H3583" s="93" t="n">
        <v>3268000</v>
      </c>
      <c r="I3583" s="92" t="inlineStr">
        <is>
          <t>4월 통신요금 - P통신</t>
        </is>
      </c>
      <c r="J3583" s="92" t="inlineStr">
        <is>
          <t>V10014</t>
        </is>
      </c>
      <c r="K3583" s="92" t="inlineStr">
        <is>
          <t>P통신</t>
        </is>
      </c>
      <c r="M3583" s="9">
        <f>IF($A3583="","",VALUE($A3583&amp;"")*12+VALUE($B3583&amp;""))</f>
        <v/>
      </c>
      <c r="N3583" s="64">
        <f>IF($A3583="","",IFERROR(INDEX(부서매핑!$C$5:$C$504,MATCH($G3583&amp;"",부서매핑!$A$5:$A$504,0)),"미매핑"))</f>
        <v/>
      </c>
      <c r="O3583" s="9">
        <f>IF($A3583="","",N3583&amp;"|"&amp;$F3583)</f>
        <v/>
      </c>
      <c r="P3583" s="94">
        <f>IF($A3583="",0,$H3583*설정!$C$23)</f>
        <v/>
      </c>
      <c r="Q3583" s="64">
        <f>IF($A3583="","",IF(O3583&lt;&gt;원인분석!$C$9,"",IF(AND(M3583&gt;=원인분석!$C$10,M3583&lt;=원인분석!$C$11),"당기",IF(AND(M3583&gt;=원인분석!$C$12,M3583&lt;=원인분석!$C$13),"비교",""))))</f>
        <v/>
      </c>
      <c r="R3583" s="9">
        <f>IF(Q3583="","",$K3583&amp;"")</f>
        <v/>
      </c>
      <c r="S3583" s="9">
        <f>IF(Q3583="","",IF(MATCH(R3583,$R$5:$R$100000,0)=ROW()-4,ROW(),""))</f>
        <v/>
      </c>
      <c r="T3583" s="9">
        <f>IF(Q3583="당기",ABS(P3583)+ROW()/1000000000,"")</f>
        <v/>
      </c>
      <c r="U3583" s="9">
        <f>IF(Q3583="비교",ABS(P3583)+ROW()/1000000000,"")</f>
        <v/>
      </c>
      <c r="V3583" s="64">
        <f>IF($A3583="","",IF(COUNTIF(변동분석!$E$7:$E$506,O3583)&gt;0,"Y","N"))</f>
        <v/>
      </c>
      <c r="W3583" s="64">
        <f>IF($A3583="","",IFERROR(INDEX(계정매핑!$D$5:$D$504,MATCH($F3583&amp;"",계정매핑!$A$5:$A$504,0)),"미매핑"))</f>
        <v/>
      </c>
      <c r="X3583" s="9">
        <f>IF($A3583="","",$F3583&amp;"")</f>
        <v/>
      </c>
      <c r="Y3583" s="94">
        <f>IF($A3583="",0,IF(AE3583="직접",IF(AF3583="비귀속",$P3583,0),$P3583*(1-AG3583)*IFERROR(INDEX(계정대체기준!$F$20:$F$49,MATCH($N3583,계정대체기준!$A$20:$A$49,0)),1)))</f>
        <v/>
      </c>
      <c r="Z3583" s="94">
        <f>IF($A3583="",0,IF(AE3583="직접",IF(AF3583="신계약비",$P3583,0),$P3583*(1-AG3583)*IFERROR(INDEX(계정대체기준!$C$20:$C$49,MATCH($N3583,계정대체기준!$A$20:$A$49,0)),0)))</f>
        <v/>
      </c>
      <c r="AA3583" s="94">
        <f>IF($A3583="",0,IF(AE3583="직접",IF(OR(AF3583="유지비",AF3583="손해조사비"),$P3583,0),$P3583*(1-AG3583)*IFERROR(INDEX(계정대체기준!$D$20:$D$49,MATCH($N3583,계정대체기준!$A$20:$A$49,0)),0)))</f>
        <v/>
      </c>
      <c r="AB3583" s="94">
        <f>IF($A3583="",0,IF(AE3583="직접",IF(AF3583="수금비",$P3583,0),$P3583*(1-AG3583)*IFERROR(INDEX(계정대체기준!$E$20:$E$49,MATCH($N3583,계정대체기준!$A$20:$A$49,0)),0)))</f>
        <v/>
      </c>
      <c r="AC3583" s="9">
        <f>IF(AND($A3583&lt;&gt;"",M3583=설정!$C$20,Z3583&gt;0),Z3583+ROW()/1000000000,"")</f>
        <v/>
      </c>
      <c r="AD3583" s="94">
        <f>IF($A3583="",0,$P3583*AG3583)</f>
        <v/>
      </c>
      <c r="AE3583" s="64">
        <f>IF($A3583="","",IFERROR(INDEX(계정매핑!$E$5:$E$504,MATCH($F3583&amp;"",계정매핑!$A$5:$A$504,0))&amp;"","공통비"))</f>
        <v/>
      </c>
      <c r="AF3583" s="64">
        <f>IF($A3583="","",IF(AE3583="직접",IFERROR(INDEX(계정매핑!$F$5:$F$504,MATCH($F3583&amp;"",계정매핑!$A$5:$A$504,0))&amp;"","비귀속"),""))</f>
        <v/>
      </c>
      <c r="AG3583" s="96">
        <f>IF($A3583="",0,IF(AND(AE3583&lt;&gt;"직접",IFERROR(INDEX(계정매핑!$G$5:$G$504,MATCH($F3583&amp;"",계정매핑!$A$5:$A$504,0))&amp;"","")="유지비",COUNTIF(계정대체기준!$A$6:$A$15,$N3583)&gt;0),IFERROR(INDEX(계정대체기준!$E$6:$E$15,MATCH(VALUE($A3583&amp;""),계정대체기준!$D$6:$D$15,0)),0),0))</f>
        <v/>
      </c>
      <c r="AH3583" s="64">
        <f>IF($A3583="","",IF(AD3583=0,"",IF(OR(COUNTIF(계정대체기준!$A$77:$A$86,$N3583)&gt;0,ISNUMBER(MATCH($X3583,계정대체기준!$D$77:$D$86,0)),ISNUMBER(MATCH($F3583,계정대체기준!$D$77:$D$86,0))),"Y","N")))</f>
        <v/>
      </c>
    </row>
    <row r="3584">
      <c r="A3584" s="92" t="n">
        <v>2026</v>
      </c>
      <c r="B3584" s="92" t="n">
        <v>4</v>
      </c>
      <c r="C3584" s="92" t="inlineStr">
        <is>
          <t>5100000862</t>
        </is>
      </c>
      <c r="D3584" s="95" t="n">
        <v>46133</v>
      </c>
      <c r="E3584" s="92" t="inlineStr">
        <is>
          <t>KR</t>
        </is>
      </c>
      <c r="F3584" s="92" t="n">
        <v>62401000</v>
      </c>
      <c r="G3584" s="92" t="n">
        <v>1502</v>
      </c>
      <c r="H3584" s="93" t="n">
        <v>1599000</v>
      </c>
      <c r="I3584" s="92" t="inlineStr">
        <is>
          <t>4월 인쇄물 제작 - S출판</t>
        </is>
      </c>
      <c r="J3584" s="92" t="inlineStr">
        <is>
          <t>V10015</t>
        </is>
      </c>
      <c r="K3584" s="92" t="inlineStr">
        <is>
          <t>S출판</t>
        </is>
      </c>
      <c r="M3584" s="9">
        <f>IF($A3584="","",VALUE($A3584&amp;"")*12+VALUE($B3584&amp;""))</f>
        <v/>
      </c>
      <c r="N3584" s="64">
        <f>IF($A3584="","",IFERROR(INDEX(부서매핑!$C$5:$C$504,MATCH($G3584&amp;"",부서매핑!$A$5:$A$504,0)),"미매핑"))</f>
        <v/>
      </c>
      <c r="O3584" s="9">
        <f>IF($A3584="","",N3584&amp;"|"&amp;$F3584)</f>
        <v/>
      </c>
      <c r="P3584" s="94">
        <f>IF($A3584="",0,$H3584*설정!$C$23)</f>
        <v/>
      </c>
      <c r="Q3584" s="64">
        <f>IF($A3584="","",IF(O3584&lt;&gt;원인분석!$C$9,"",IF(AND(M3584&gt;=원인분석!$C$10,M3584&lt;=원인분석!$C$11),"당기",IF(AND(M3584&gt;=원인분석!$C$12,M3584&lt;=원인분석!$C$13),"비교",""))))</f>
        <v/>
      </c>
      <c r="R3584" s="9">
        <f>IF(Q3584="","",$K3584&amp;"")</f>
        <v/>
      </c>
      <c r="S3584" s="9">
        <f>IF(Q3584="","",IF(MATCH(R3584,$R$5:$R$100000,0)=ROW()-4,ROW(),""))</f>
        <v/>
      </c>
      <c r="T3584" s="9">
        <f>IF(Q3584="당기",ABS(P3584)+ROW()/1000000000,"")</f>
        <v/>
      </c>
      <c r="U3584" s="9">
        <f>IF(Q3584="비교",ABS(P3584)+ROW()/1000000000,"")</f>
        <v/>
      </c>
      <c r="V3584" s="64">
        <f>IF($A3584="","",IF(COUNTIF(변동분석!$E$7:$E$506,O3584)&gt;0,"Y","N"))</f>
        <v/>
      </c>
      <c r="W3584" s="64">
        <f>IF($A3584="","",IFERROR(INDEX(계정매핑!$D$5:$D$504,MATCH($F3584&amp;"",계정매핑!$A$5:$A$504,0)),"미매핑"))</f>
        <v/>
      </c>
      <c r="X3584" s="9">
        <f>IF($A3584="","",$F3584&amp;"")</f>
        <v/>
      </c>
      <c r="Y3584" s="94">
        <f>IF($A3584="",0,IF(AE3584="직접",IF(AF3584="비귀속",$P3584,0),$P3584*(1-AG3584)*IFERROR(INDEX(계정대체기준!$F$20:$F$49,MATCH($N3584,계정대체기준!$A$20:$A$49,0)),1)))</f>
        <v/>
      </c>
      <c r="Z3584" s="94">
        <f>IF($A3584="",0,IF(AE3584="직접",IF(AF3584="신계약비",$P3584,0),$P3584*(1-AG3584)*IFERROR(INDEX(계정대체기준!$C$20:$C$49,MATCH($N3584,계정대체기준!$A$20:$A$49,0)),0)))</f>
        <v/>
      </c>
      <c r="AA3584" s="94">
        <f>IF($A3584="",0,IF(AE3584="직접",IF(OR(AF3584="유지비",AF3584="손해조사비"),$P3584,0),$P3584*(1-AG3584)*IFERROR(INDEX(계정대체기준!$D$20:$D$49,MATCH($N3584,계정대체기준!$A$20:$A$49,0)),0)))</f>
        <v/>
      </c>
      <c r="AB3584" s="94">
        <f>IF($A3584="",0,IF(AE3584="직접",IF(AF3584="수금비",$P3584,0),$P3584*(1-AG3584)*IFERROR(INDEX(계정대체기준!$E$20:$E$49,MATCH($N3584,계정대체기준!$A$20:$A$49,0)),0)))</f>
        <v/>
      </c>
      <c r="AC3584" s="9">
        <f>IF(AND($A3584&lt;&gt;"",M3584=설정!$C$20,Z3584&gt;0),Z3584+ROW()/1000000000,"")</f>
        <v/>
      </c>
      <c r="AD3584" s="94">
        <f>IF($A3584="",0,$P3584*AG3584)</f>
        <v/>
      </c>
      <c r="AE3584" s="64">
        <f>IF($A3584="","",IFERROR(INDEX(계정매핑!$E$5:$E$504,MATCH($F3584&amp;"",계정매핑!$A$5:$A$504,0))&amp;"","공통비"))</f>
        <v/>
      </c>
      <c r="AF3584" s="64">
        <f>IF($A3584="","",IF(AE3584="직접",IFERROR(INDEX(계정매핑!$F$5:$F$504,MATCH($F3584&amp;"",계정매핑!$A$5:$A$504,0))&amp;"","비귀속"),""))</f>
        <v/>
      </c>
      <c r="AG3584" s="96">
        <f>IF($A3584="",0,IF(AND(AE3584&lt;&gt;"직접",IFERROR(INDEX(계정매핑!$G$5:$G$504,MATCH($F3584&amp;"",계정매핑!$A$5:$A$504,0))&amp;"","")="유지비",COUNTIF(계정대체기준!$A$6:$A$15,$N3584)&gt;0),IFERROR(INDEX(계정대체기준!$E$6:$E$15,MATCH(VALUE($A3584&amp;""),계정대체기준!$D$6:$D$15,0)),0),0))</f>
        <v/>
      </c>
      <c r="AH3584" s="64">
        <f>IF($A3584="","",IF(AD3584=0,"",IF(OR(COUNTIF(계정대체기준!$A$77:$A$86,$N3584)&gt;0,ISNUMBER(MATCH($X3584,계정대체기준!$D$77:$D$86,0)),ISNUMBER(MATCH($F3584,계정대체기준!$D$77:$D$86,0))),"Y","N")))</f>
        <v/>
      </c>
    </row>
    <row r="3585">
      <c r="A3585" s="92" t="n">
        <v>2026</v>
      </c>
      <c r="B3585" s="92" t="n">
        <v>4</v>
      </c>
      <c r="C3585" s="92" t="inlineStr">
        <is>
          <t>5100000863</t>
        </is>
      </c>
      <c r="D3585" s="95" t="n">
        <v>46133</v>
      </c>
      <c r="E3585" s="92" t="inlineStr">
        <is>
          <t>KR</t>
        </is>
      </c>
      <c r="F3585" s="92" t="n">
        <v>62501000</v>
      </c>
      <c r="G3585" s="92" t="n">
        <v>1801</v>
      </c>
      <c r="H3585" s="93" t="n">
        <v>186000</v>
      </c>
      <c r="I3585" s="92" t="inlineStr">
        <is>
          <t>4월 회의 다과 - T케이터링</t>
        </is>
      </c>
      <c r="J3585" s="92" t="inlineStr">
        <is>
          <t>V10005</t>
        </is>
      </c>
      <c r="K3585" s="92" t="inlineStr">
        <is>
          <t>T케이터링</t>
        </is>
      </c>
      <c r="M3585" s="9">
        <f>IF($A3585="","",VALUE($A3585&amp;"")*12+VALUE($B3585&amp;""))</f>
        <v/>
      </c>
      <c r="N3585" s="64">
        <f>IF($A3585="","",IFERROR(INDEX(부서매핑!$C$5:$C$504,MATCH($G3585&amp;"",부서매핑!$A$5:$A$504,0)),"미매핑"))</f>
        <v/>
      </c>
      <c r="O3585" s="9">
        <f>IF($A3585="","",N3585&amp;"|"&amp;$F3585)</f>
        <v/>
      </c>
      <c r="P3585" s="94">
        <f>IF($A3585="",0,$H3585*설정!$C$23)</f>
        <v/>
      </c>
      <c r="Q3585" s="64">
        <f>IF($A3585="","",IF(O3585&lt;&gt;원인분석!$C$9,"",IF(AND(M3585&gt;=원인분석!$C$10,M3585&lt;=원인분석!$C$11),"당기",IF(AND(M3585&gt;=원인분석!$C$12,M3585&lt;=원인분석!$C$13),"비교",""))))</f>
        <v/>
      </c>
      <c r="R3585" s="9">
        <f>IF(Q3585="","",$K3585&amp;"")</f>
        <v/>
      </c>
      <c r="S3585" s="9">
        <f>IF(Q3585="","",IF(MATCH(R3585,$R$5:$R$100000,0)=ROW()-4,ROW(),""))</f>
        <v/>
      </c>
      <c r="T3585" s="9">
        <f>IF(Q3585="당기",ABS(P3585)+ROW()/1000000000,"")</f>
        <v/>
      </c>
      <c r="U3585" s="9">
        <f>IF(Q3585="비교",ABS(P3585)+ROW()/1000000000,"")</f>
        <v/>
      </c>
      <c r="V3585" s="64">
        <f>IF($A3585="","",IF(COUNTIF(변동분석!$E$7:$E$506,O3585)&gt;0,"Y","N"))</f>
        <v/>
      </c>
      <c r="W3585" s="64">
        <f>IF($A3585="","",IFERROR(INDEX(계정매핑!$D$5:$D$504,MATCH($F3585&amp;"",계정매핑!$A$5:$A$504,0)),"미매핑"))</f>
        <v/>
      </c>
      <c r="X3585" s="9">
        <f>IF($A3585="","",$F3585&amp;"")</f>
        <v/>
      </c>
      <c r="Y3585" s="94">
        <f>IF($A3585="",0,IF(AE3585="직접",IF(AF3585="비귀속",$P3585,0),$P3585*(1-AG3585)*IFERROR(INDEX(계정대체기준!$F$20:$F$49,MATCH($N3585,계정대체기준!$A$20:$A$49,0)),1)))</f>
        <v/>
      </c>
      <c r="Z3585" s="94">
        <f>IF($A3585="",0,IF(AE3585="직접",IF(AF3585="신계약비",$P3585,0),$P3585*(1-AG3585)*IFERROR(INDEX(계정대체기준!$C$20:$C$49,MATCH($N3585,계정대체기준!$A$20:$A$49,0)),0)))</f>
        <v/>
      </c>
      <c r="AA3585" s="94">
        <f>IF($A3585="",0,IF(AE3585="직접",IF(OR(AF3585="유지비",AF3585="손해조사비"),$P3585,0),$P3585*(1-AG3585)*IFERROR(INDEX(계정대체기준!$D$20:$D$49,MATCH($N3585,계정대체기준!$A$20:$A$49,0)),0)))</f>
        <v/>
      </c>
      <c r="AB3585" s="94">
        <f>IF($A3585="",0,IF(AE3585="직접",IF(AF3585="수금비",$P3585,0),$P3585*(1-AG3585)*IFERROR(INDEX(계정대체기준!$E$20:$E$49,MATCH($N3585,계정대체기준!$A$20:$A$49,0)),0)))</f>
        <v/>
      </c>
      <c r="AC3585" s="9">
        <f>IF(AND($A3585&lt;&gt;"",M3585=설정!$C$20,Z3585&gt;0),Z3585+ROW()/1000000000,"")</f>
        <v/>
      </c>
      <c r="AD3585" s="94">
        <f>IF($A3585="",0,$P3585*AG3585)</f>
        <v/>
      </c>
      <c r="AE3585" s="64">
        <f>IF($A3585="","",IFERROR(INDEX(계정매핑!$E$5:$E$504,MATCH($F3585&amp;"",계정매핑!$A$5:$A$504,0))&amp;"","공통비"))</f>
        <v/>
      </c>
      <c r="AF3585" s="64">
        <f>IF($A3585="","",IF(AE3585="직접",IFERROR(INDEX(계정매핑!$F$5:$F$504,MATCH($F3585&amp;"",계정매핑!$A$5:$A$504,0))&amp;"","비귀속"),""))</f>
        <v/>
      </c>
      <c r="AG3585" s="96">
        <f>IF($A3585="",0,IF(AND(AE3585&lt;&gt;"직접",IFERROR(INDEX(계정매핑!$G$5:$G$504,MATCH($F3585&amp;"",계정매핑!$A$5:$A$504,0))&amp;"","")="유지비",COUNTIF(계정대체기준!$A$6:$A$15,$N3585)&gt;0),IFERROR(INDEX(계정대체기준!$E$6:$E$15,MATCH(VALUE($A3585&amp;""),계정대체기준!$D$6:$D$15,0)),0),0))</f>
        <v/>
      </c>
      <c r="AH3585" s="64">
        <f>IF($A3585="","",IF(AD3585=0,"",IF(OR(COUNTIF(계정대체기준!$A$77:$A$86,$N3585)&gt;0,ISNUMBER(MATCH($X3585,계정대체기준!$D$77:$D$86,0)),ISNUMBER(MATCH($F3585,계정대체기준!$D$77:$D$86,0))),"Y","N")))</f>
        <v/>
      </c>
    </row>
    <row r="3586">
      <c r="A3586" s="92" t="n">
        <v>2026</v>
      </c>
      <c r="B3586" s="92" t="n">
        <v>4</v>
      </c>
      <c r="C3586" s="92" t="inlineStr">
        <is>
          <t>5100000864</t>
        </is>
      </c>
      <c r="D3586" s="95" t="n">
        <v>46133</v>
      </c>
      <c r="E3586" s="92" t="inlineStr">
        <is>
          <t>KR</t>
        </is>
      </c>
      <c r="F3586" s="92" t="n">
        <v>62901000</v>
      </c>
      <c r="G3586" s="92" t="n">
        <v>1951</v>
      </c>
      <c r="H3586" s="93" t="n">
        <v>7517000</v>
      </c>
      <c r="I3586" s="92" t="inlineStr">
        <is>
          <t>4월 자문 수수료 - W컨설팅</t>
        </is>
      </c>
      <c r="J3586" s="92" t="inlineStr">
        <is>
          <t>V10006</t>
        </is>
      </c>
      <c r="K3586" s="92" t="inlineStr">
        <is>
          <t>W컨설팅</t>
        </is>
      </c>
      <c r="M3586" s="9">
        <f>IF($A3586="","",VALUE($A3586&amp;"")*12+VALUE($B3586&amp;""))</f>
        <v/>
      </c>
      <c r="N3586" s="64">
        <f>IF($A3586="","",IFERROR(INDEX(부서매핑!$C$5:$C$504,MATCH($G3586&amp;"",부서매핑!$A$5:$A$504,0)),"미매핑"))</f>
        <v/>
      </c>
      <c r="O3586" s="9">
        <f>IF($A3586="","",N3586&amp;"|"&amp;$F3586)</f>
        <v/>
      </c>
      <c r="P3586" s="94">
        <f>IF($A3586="",0,$H3586*설정!$C$23)</f>
        <v/>
      </c>
      <c r="Q3586" s="64">
        <f>IF($A3586="","",IF(O3586&lt;&gt;원인분석!$C$9,"",IF(AND(M3586&gt;=원인분석!$C$10,M3586&lt;=원인분석!$C$11),"당기",IF(AND(M3586&gt;=원인분석!$C$12,M3586&lt;=원인분석!$C$13),"비교",""))))</f>
        <v/>
      </c>
      <c r="R3586" s="9">
        <f>IF(Q3586="","",$K3586&amp;"")</f>
        <v/>
      </c>
      <c r="S3586" s="9">
        <f>IF(Q3586="","",IF(MATCH(R3586,$R$5:$R$100000,0)=ROW()-4,ROW(),""))</f>
        <v/>
      </c>
      <c r="T3586" s="9">
        <f>IF(Q3586="당기",ABS(P3586)+ROW()/1000000000,"")</f>
        <v/>
      </c>
      <c r="U3586" s="9">
        <f>IF(Q3586="비교",ABS(P3586)+ROW()/1000000000,"")</f>
        <v/>
      </c>
      <c r="V3586" s="64">
        <f>IF($A3586="","",IF(COUNTIF(변동분석!$E$7:$E$506,O3586)&gt;0,"Y","N"))</f>
        <v/>
      </c>
      <c r="W3586" s="64">
        <f>IF($A3586="","",IFERROR(INDEX(계정매핑!$D$5:$D$504,MATCH($F3586&amp;"",계정매핑!$A$5:$A$504,0)),"미매핑"))</f>
        <v/>
      </c>
      <c r="X3586" s="9">
        <f>IF($A3586="","",$F3586&amp;"")</f>
        <v/>
      </c>
      <c r="Y3586" s="94">
        <f>IF($A3586="",0,IF(AE3586="직접",IF(AF3586="비귀속",$P3586,0),$P3586*(1-AG3586)*IFERROR(INDEX(계정대체기준!$F$20:$F$49,MATCH($N3586,계정대체기준!$A$20:$A$49,0)),1)))</f>
        <v/>
      </c>
      <c r="Z3586" s="94">
        <f>IF($A3586="",0,IF(AE3586="직접",IF(AF3586="신계약비",$P3586,0),$P3586*(1-AG3586)*IFERROR(INDEX(계정대체기준!$C$20:$C$49,MATCH($N3586,계정대체기준!$A$20:$A$49,0)),0)))</f>
        <v/>
      </c>
      <c r="AA3586" s="94">
        <f>IF($A3586="",0,IF(AE3586="직접",IF(OR(AF3586="유지비",AF3586="손해조사비"),$P3586,0),$P3586*(1-AG3586)*IFERROR(INDEX(계정대체기준!$D$20:$D$49,MATCH($N3586,계정대체기준!$A$20:$A$49,0)),0)))</f>
        <v/>
      </c>
      <c r="AB3586" s="94">
        <f>IF($A3586="",0,IF(AE3586="직접",IF(AF3586="수금비",$P3586,0),$P3586*(1-AG3586)*IFERROR(INDEX(계정대체기준!$E$20:$E$49,MATCH($N3586,계정대체기준!$A$20:$A$49,0)),0)))</f>
        <v/>
      </c>
      <c r="AC3586" s="9">
        <f>IF(AND($A3586&lt;&gt;"",M3586=설정!$C$20,Z3586&gt;0),Z3586+ROW()/1000000000,"")</f>
        <v/>
      </c>
      <c r="AD3586" s="94">
        <f>IF($A3586="",0,$P3586*AG3586)</f>
        <v/>
      </c>
      <c r="AE3586" s="64">
        <f>IF($A3586="","",IFERROR(INDEX(계정매핑!$E$5:$E$504,MATCH($F3586&amp;"",계정매핑!$A$5:$A$504,0))&amp;"","공통비"))</f>
        <v/>
      </c>
      <c r="AF3586" s="64">
        <f>IF($A3586="","",IF(AE3586="직접",IFERROR(INDEX(계정매핑!$F$5:$F$504,MATCH($F3586&amp;"",계정매핑!$A$5:$A$504,0))&amp;"","비귀속"),""))</f>
        <v/>
      </c>
      <c r="AG3586" s="96">
        <f>IF($A3586="",0,IF(AND(AE3586&lt;&gt;"직접",IFERROR(INDEX(계정매핑!$G$5:$G$504,MATCH($F3586&amp;"",계정매핑!$A$5:$A$504,0))&amp;"","")="유지비",COUNTIF(계정대체기준!$A$6:$A$15,$N3586)&gt;0),IFERROR(INDEX(계정대체기준!$E$6:$E$15,MATCH(VALUE($A3586&amp;""),계정대체기준!$D$6:$D$15,0)),0),0))</f>
        <v/>
      </c>
      <c r="AH3586" s="64">
        <f>IF($A3586="","",IF(AD3586=0,"",IF(OR(COUNTIF(계정대체기준!$A$77:$A$86,$N3586)&gt;0,ISNUMBER(MATCH($X3586,계정대체기준!$D$77:$D$86,0)),ISNUMBER(MATCH($F3586,계정대체기준!$D$77:$D$86,0))),"Y","N")))</f>
        <v/>
      </c>
    </row>
    <row r="3587">
      <c r="A3587" s="92" t="n">
        <v>2026</v>
      </c>
      <c r="B3587" s="92" t="n">
        <v>4</v>
      </c>
      <c r="C3587" s="92" t="inlineStr">
        <is>
          <t>5100000865</t>
        </is>
      </c>
      <c r="D3587" s="95" t="n">
        <v>46133</v>
      </c>
      <c r="E3587" s="92" t="inlineStr">
        <is>
          <t>KR</t>
        </is>
      </c>
      <c r="F3587" s="92" t="n">
        <v>62902000</v>
      </c>
      <c r="G3587" s="92" t="n">
        <v>1801</v>
      </c>
      <c r="H3587" s="93" t="n">
        <v>1799000</v>
      </c>
      <c r="I3587" s="92" t="inlineStr">
        <is>
          <t>4월 콜 위탁 수수료(건별)</t>
        </is>
      </c>
      <c r="J3587" s="92" t="inlineStr">
        <is>
          <t>V10016</t>
        </is>
      </c>
      <c r="K3587" s="92" t="inlineStr">
        <is>
          <t>J콜센터</t>
        </is>
      </c>
      <c r="M3587" s="9">
        <f>IF($A3587="","",VALUE($A3587&amp;"")*12+VALUE($B3587&amp;""))</f>
        <v/>
      </c>
      <c r="N3587" s="64">
        <f>IF($A3587="","",IFERROR(INDEX(부서매핑!$C$5:$C$504,MATCH($G3587&amp;"",부서매핑!$A$5:$A$504,0)),"미매핑"))</f>
        <v/>
      </c>
      <c r="O3587" s="9">
        <f>IF($A3587="","",N3587&amp;"|"&amp;$F3587)</f>
        <v/>
      </c>
      <c r="P3587" s="94">
        <f>IF($A3587="",0,$H3587*설정!$C$23)</f>
        <v/>
      </c>
      <c r="Q3587" s="64">
        <f>IF($A3587="","",IF(O3587&lt;&gt;원인분석!$C$9,"",IF(AND(M3587&gt;=원인분석!$C$10,M3587&lt;=원인분석!$C$11),"당기",IF(AND(M3587&gt;=원인분석!$C$12,M3587&lt;=원인분석!$C$13),"비교",""))))</f>
        <v/>
      </c>
      <c r="R3587" s="9">
        <f>IF(Q3587="","",$K3587&amp;"")</f>
        <v/>
      </c>
      <c r="S3587" s="9">
        <f>IF(Q3587="","",IF(MATCH(R3587,$R$5:$R$100000,0)=ROW()-4,ROW(),""))</f>
        <v/>
      </c>
      <c r="T3587" s="9">
        <f>IF(Q3587="당기",ABS(P3587)+ROW()/1000000000,"")</f>
        <v/>
      </c>
      <c r="U3587" s="9">
        <f>IF(Q3587="비교",ABS(P3587)+ROW()/1000000000,"")</f>
        <v/>
      </c>
      <c r="V3587" s="64">
        <f>IF($A3587="","",IF(COUNTIF(변동분석!$E$7:$E$506,O3587)&gt;0,"Y","N"))</f>
        <v/>
      </c>
      <c r="W3587" s="64">
        <f>IF($A3587="","",IFERROR(INDEX(계정매핑!$D$5:$D$504,MATCH($F3587&amp;"",계정매핑!$A$5:$A$504,0)),"미매핑"))</f>
        <v/>
      </c>
      <c r="X3587" s="9">
        <f>IF($A3587="","",$F3587&amp;"")</f>
        <v/>
      </c>
      <c r="Y3587" s="94">
        <f>IF($A3587="",0,IF(AE3587="직접",IF(AF3587="비귀속",$P3587,0),$P3587*(1-AG3587)*IFERROR(INDEX(계정대체기준!$F$20:$F$49,MATCH($N3587,계정대체기준!$A$20:$A$49,0)),1)))</f>
        <v/>
      </c>
      <c r="Z3587" s="94">
        <f>IF($A3587="",0,IF(AE3587="직접",IF(AF3587="신계약비",$P3587,0),$P3587*(1-AG3587)*IFERROR(INDEX(계정대체기준!$C$20:$C$49,MATCH($N3587,계정대체기준!$A$20:$A$49,0)),0)))</f>
        <v/>
      </c>
      <c r="AA3587" s="94">
        <f>IF($A3587="",0,IF(AE3587="직접",IF(OR(AF3587="유지비",AF3587="손해조사비"),$P3587,0),$P3587*(1-AG3587)*IFERROR(INDEX(계정대체기준!$D$20:$D$49,MATCH($N3587,계정대체기준!$A$20:$A$49,0)),0)))</f>
        <v/>
      </c>
      <c r="AB3587" s="94">
        <f>IF($A3587="",0,IF(AE3587="직접",IF(AF3587="수금비",$P3587,0),$P3587*(1-AG3587)*IFERROR(INDEX(계정대체기준!$E$20:$E$49,MATCH($N3587,계정대체기준!$A$20:$A$49,0)),0)))</f>
        <v/>
      </c>
      <c r="AC3587" s="9">
        <f>IF(AND($A3587&lt;&gt;"",M3587=설정!$C$20,Z3587&gt;0),Z3587+ROW()/1000000000,"")</f>
        <v/>
      </c>
      <c r="AD3587" s="94">
        <f>IF($A3587="",0,$P3587*AG3587)</f>
        <v/>
      </c>
      <c r="AE3587" s="64">
        <f>IF($A3587="","",IFERROR(INDEX(계정매핑!$E$5:$E$504,MATCH($F3587&amp;"",계정매핑!$A$5:$A$504,0))&amp;"","공통비"))</f>
        <v/>
      </c>
      <c r="AF3587" s="64">
        <f>IF($A3587="","",IF(AE3587="직접",IFERROR(INDEX(계정매핑!$F$5:$F$504,MATCH($F3587&amp;"",계정매핑!$A$5:$A$504,0))&amp;"","비귀속"),""))</f>
        <v/>
      </c>
      <c r="AG3587" s="96">
        <f>IF($A3587="",0,IF(AND(AE3587&lt;&gt;"직접",IFERROR(INDEX(계정매핑!$G$5:$G$504,MATCH($F3587&amp;"",계정매핑!$A$5:$A$504,0))&amp;"","")="유지비",COUNTIF(계정대체기준!$A$6:$A$15,$N3587)&gt;0),IFERROR(INDEX(계정대체기준!$E$6:$E$15,MATCH(VALUE($A3587&amp;""),계정대체기준!$D$6:$D$15,0)),0),0))</f>
        <v/>
      </c>
      <c r="AH3587" s="64">
        <f>IF($A3587="","",IF(AD3587=0,"",IF(OR(COUNTIF(계정대체기준!$A$77:$A$86,$N3587)&gt;0,ISNUMBER(MATCH($X3587,계정대체기준!$D$77:$D$86,0)),ISNUMBER(MATCH($F3587,계정대체기준!$D$77:$D$86,0))),"Y","N")))</f>
        <v/>
      </c>
    </row>
    <row r="3588">
      <c r="A3588" s="92" t="n">
        <v>2026</v>
      </c>
      <c r="B3588" s="92" t="n">
        <v>4</v>
      </c>
      <c r="C3588" s="92" t="inlineStr">
        <is>
          <t>5100000866</t>
        </is>
      </c>
      <c r="D3588" s="95" t="n">
        <v>46134</v>
      </c>
      <c r="E3588" s="92" t="inlineStr">
        <is>
          <t>KR</t>
        </is>
      </c>
      <c r="F3588" s="92" t="n">
        <v>62101000</v>
      </c>
      <c r="G3588" s="92" t="n">
        <v>1951</v>
      </c>
      <c r="H3588" s="93" t="n">
        <v>371000</v>
      </c>
      <c r="I3588" s="92" t="inlineStr">
        <is>
          <t>4월 국내출장 - (법인카드)</t>
        </is>
      </c>
      <c r="J3588" s="92" t="inlineStr">
        <is>
          <t>V10010</t>
        </is>
      </c>
      <c r="K3588" s="92" t="inlineStr">
        <is>
          <t>(법인카드)</t>
        </is>
      </c>
      <c r="M3588" s="9">
        <f>IF($A3588="","",VALUE($A3588&amp;"")*12+VALUE($B3588&amp;""))</f>
        <v/>
      </c>
      <c r="N3588" s="64">
        <f>IF($A3588="","",IFERROR(INDEX(부서매핑!$C$5:$C$504,MATCH($G3588&amp;"",부서매핑!$A$5:$A$504,0)),"미매핑"))</f>
        <v/>
      </c>
      <c r="O3588" s="9">
        <f>IF($A3588="","",N3588&amp;"|"&amp;$F3588)</f>
        <v/>
      </c>
      <c r="P3588" s="94">
        <f>IF($A3588="",0,$H3588*설정!$C$23)</f>
        <v/>
      </c>
      <c r="Q3588" s="64">
        <f>IF($A3588="","",IF(O3588&lt;&gt;원인분석!$C$9,"",IF(AND(M3588&gt;=원인분석!$C$10,M3588&lt;=원인분석!$C$11),"당기",IF(AND(M3588&gt;=원인분석!$C$12,M3588&lt;=원인분석!$C$13),"비교",""))))</f>
        <v/>
      </c>
      <c r="R3588" s="9">
        <f>IF(Q3588="","",$K3588&amp;"")</f>
        <v/>
      </c>
      <c r="S3588" s="9">
        <f>IF(Q3588="","",IF(MATCH(R3588,$R$5:$R$100000,0)=ROW()-4,ROW(),""))</f>
        <v/>
      </c>
      <c r="T3588" s="9">
        <f>IF(Q3588="당기",ABS(P3588)+ROW()/1000000000,"")</f>
        <v/>
      </c>
      <c r="U3588" s="9">
        <f>IF(Q3588="비교",ABS(P3588)+ROW()/1000000000,"")</f>
        <v/>
      </c>
      <c r="V3588" s="64">
        <f>IF($A3588="","",IF(COUNTIF(변동분석!$E$7:$E$506,O3588)&gt;0,"Y","N"))</f>
        <v/>
      </c>
      <c r="W3588" s="64">
        <f>IF($A3588="","",IFERROR(INDEX(계정매핑!$D$5:$D$504,MATCH($F3588&amp;"",계정매핑!$A$5:$A$504,0)),"미매핑"))</f>
        <v/>
      </c>
      <c r="X3588" s="9">
        <f>IF($A3588="","",$F3588&amp;"")</f>
        <v/>
      </c>
      <c r="Y3588" s="94">
        <f>IF($A3588="",0,IF(AE3588="직접",IF(AF3588="비귀속",$P3588,0),$P3588*(1-AG3588)*IFERROR(INDEX(계정대체기준!$F$20:$F$49,MATCH($N3588,계정대체기준!$A$20:$A$49,0)),1)))</f>
        <v/>
      </c>
      <c r="Z3588" s="94">
        <f>IF($A3588="",0,IF(AE3588="직접",IF(AF3588="신계약비",$P3588,0),$P3588*(1-AG3588)*IFERROR(INDEX(계정대체기준!$C$20:$C$49,MATCH($N3588,계정대체기준!$A$20:$A$49,0)),0)))</f>
        <v/>
      </c>
      <c r="AA3588" s="94">
        <f>IF($A3588="",0,IF(AE3588="직접",IF(OR(AF3588="유지비",AF3588="손해조사비"),$P3588,0),$P3588*(1-AG3588)*IFERROR(INDEX(계정대체기준!$D$20:$D$49,MATCH($N3588,계정대체기준!$A$20:$A$49,0)),0)))</f>
        <v/>
      </c>
      <c r="AB3588" s="94">
        <f>IF($A3588="",0,IF(AE3588="직접",IF(AF3588="수금비",$P3588,0),$P3588*(1-AG3588)*IFERROR(INDEX(계정대체기준!$E$20:$E$49,MATCH($N3588,계정대체기준!$A$20:$A$49,0)),0)))</f>
        <v/>
      </c>
      <c r="AC3588" s="9">
        <f>IF(AND($A3588&lt;&gt;"",M3588=설정!$C$20,Z3588&gt;0),Z3588+ROW()/1000000000,"")</f>
        <v/>
      </c>
      <c r="AD3588" s="94">
        <f>IF($A3588="",0,$P3588*AG3588)</f>
        <v/>
      </c>
      <c r="AE3588" s="64">
        <f>IF($A3588="","",IFERROR(INDEX(계정매핑!$E$5:$E$504,MATCH($F3588&amp;"",계정매핑!$A$5:$A$504,0))&amp;"","공통비"))</f>
        <v/>
      </c>
      <c r="AF3588" s="64">
        <f>IF($A3588="","",IF(AE3588="직접",IFERROR(INDEX(계정매핑!$F$5:$F$504,MATCH($F3588&amp;"",계정매핑!$A$5:$A$504,0))&amp;"","비귀속"),""))</f>
        <v/>
      </c>
      <c r="AG3588" s="96">
        <f>IF($A3588="",0,IF(AND(AE3588&lt;&gt;"직접",IFERROR(INDEX(계정매핑!$G$5:$G$504,MATCH($F3588&amp;"",계정매핑!$A$5:$A$504,0))&amp;"","")="유지비",COUNTIF(계정대체기준!$A$6:$A$15,$N3588)&gt;0),IFERROR(INDEX(계정대체기준!$E$6:$E$15,MATCH(VALUE($A3588&amp;""),계정대체기준!$D$6:$D$15,0)),0),0))</f>
        <v/>
      </c>
      <c r="AH3588" s="64">
        <f>IF($A3588="","",IF(AD3588=0,"",IF(OR(COUNTIF(계정대체기준!$A$77:$A$86,$N3588)&gt;0,ISNUMBER(MATCH($X3588,계정대체기준!$D$77:$D$86,0)),ISNUMBER(MATCH($F3588,계정대체기준!$D$77:$D$86,0))),"Y","N")))</f>
        <v/>
      </c>
    </row>
    <row r="3589">
      <c r="A3589" s="92" t="n">
        <v>2026</v>
      </c>
      <c r="B3589" s="92" t="n">
        <v>4</v>
      </c>
      <c r="C3589" s="92" t="inlineStr">
        <is>
          <t>5100000867</t>
        </is>
      </c>
      <c r="D3589" s="95" t="n">
        <v>46134</v>
      </c>
      <c r="E3589" s="92" t="inlineStr">
        <is>
          <t>KR</t>
        </is>
      </c>
      <c r="F3589" s="92" t="n">
        <v>62102000</v>
      </c>
      <c r="G3589" s="92" t="n">
        <v>1101</v>
      </c>
      <c r="H3589" s="93" t="n">
        <v>124000</v>
      </c>
      <c r="I3589" s="92" t="inlineStr">
        <is>
          <t>4월 해외출장 - M항공</t>
        </is>
      </c>
      <c r="J3589" s="92" t="inlineStr">
        <is>
          <t>V10001</t>
        </is>
      </c>
      <c r="K3589" s="92" t="inlineStr">
        <is>
          <t>M항공</t>
        </is>
      </c>
      <c r="M3589" s="9">
        <f>IF($A3589="","",VALUE($A3589&amp;"")*12+VALUE($B3589&amp;""))</f>
        <v/>
      </c>
      <c r="N3589" s="64">
        <f>IF($A3589="","",IFERROR(INDEX(부서매핑!$C$5:$C$504,MATCH($G3589&amp;"",부서매핑!$A$5:$A$504,0)),"미매핑"))</f>
        <v/>
      </c>
      <c r="O3589" s="9">
        <f>IF($A3589="","",N3589&amp;"|"&amp;$F3589)</f>
        <v/>
      </c>
      <c r="P3589" s="94">
        <f>IF($A3589="",0,$H3589*설정!$C$23)</f>
        <v/>
      </c>
      <c r="Q3589" s="64">
        <f>IF($A3589="","",IF(O3589&lt;&gt;원인분석!$C$9,"",IF(AND(M3589&gt;=원인분석!$C$10,M3589&lt;=원인분석!$C$11),"당기",IF(AND(M3589&gt;=원인분석!$C$12,M3589&lt;=원인분석!$C$13),"비교",""))))</f>
        <v/>
      </c>
      <c r="R3589" s="9">
        <f>IF(Q3589="","",$K3589&amp;"")</f>
        <v/>
      </c>
      <c r="S3589" s="9">
        <f>IF(Q3589="","",IF(MATCH(R3589,$R$5:$R$100000,0)=ROW()-4,ROW(),""))</f>
        <v/>
      </c>
      <c r="T3589" s="9">
        <f>IF(Q3589="당기",ABS(P3589)+ROW()/1000000000,"")</f>
        <v/>
      </c>
      <c r="U3589" s="9">
        <f>IF(Q3589="비교",ABS(P3589)+ROW()/1000000000,"")</f>
        <v/>
      </c>
      <c r="V3589" s="64">
        <f>IF($A3589="","",IF(COUNTIF(변동분석!$E$7:$E$506,O3589)&gt;0,"Y","N"))</f>
        <v/>
      </c>
      <c r="W3589" s="64">
        <f>IF($A3589="","",IFERROR(INDEX(계정매핑!$D$5:$D$504,MATCH($F3589&amp;"",계정매핑!$A$5:$A$504,0)),"미매핑"))</f>
        <v/>
      </c>
      <c r="X3589" s="9">
        <f>IF($A3589="","",$F3589&amp;"")</f>
        <v/>
      </c>
      <c r="Y3589" s="94">
        <f>IF($A3589="",0,IF(AE3589="직접",IF(AF3589="비귀속",$P3589,0),$P3589*(1-AG3589)*IFERROR(INDEX(계정대체기준!$F$20:$F$49,MATCH($N3589,계정대체기준!$A$20:$A$49,0)),1)))</f>
        <v/>
      </c>
      <c r="Z3589" s="94">
        <f>IF($A3589="",0,IF(AE3589="직접",IF(AF3589="신계약비",$P3589,0),$P3589*(1-AG3589)*IFERROR(INDEX(계정대체기준!$C$20:$C$49,MATCH($N3589,계정대체기준!$A$20:$A$49,0)),0)))</f>
        <v/>
      </c>
      <c r="AA3589" s="94">
        <f>IF($A3589="",0,IF(AE3589="직접",IF(OR(AF3589="유지비",AF3589="손해조사비"),$P3589,0),$P3589*(1-AG3589)*IFERROR(INDEX(계정대체기준!$D$20:$D$49,MATCH($N3589,계정대체기준!$A$20:$A$49,0)),0)))</f>
        <v/>
      </c>
      <c r="AB3589" s="94">
        <f>IF($A3589="",0,IF(AE3589="직접",IF(AF3589="수금비",$P3589,0),$P3589*(1-AG3589)*IFERROR(INDEX(계정대체기준!$E$20:$E$49,MATCH($N3589,계정대체기준!$A$20:$A$49,0)),0)))</f>
        <v/>
      </c>
      <c r="AC3589" s="9">
        <f>IF(AND($A3589&lt;&gt;"",M3589=설정!$C$20,Z3589&gt;0),Z3589+ROW()/1000000000,"")</f>
        <v/>
      </c>
      <c r="AD3589" s="94">
        <f>IF($A3589="",0,$P3589*AG3589)</f>
        <v/>
      </c>
      <c r="AE3589" s="64">
        <f>IF($A3589="","",IFERROR(INDEX(계정매핑!$E$5:$E$504,MATCH($F3589&amp;"",계정매핑!$A$5:$A$504,0))&amp;"","공통비"))</f>
        <v/>
      </c>
      <c r="AF3589" s="64">
        <f>IF($A3589="","",IF(AE3589="직접",IFERROR(INDEX(계정매핑!$F$5:$F$504,MATCH($F3589&amp;"",계정매핑!$A$5:$A$504,0))&amp;"","비귀속"),""))</f>
        <v/>
      </c>
      <c r="AG3589" s="96">
        <f>IF($A3589="",0,IF(AND(AE3589&lt;&gt;"직접",IFERROR(INDEX(계정매핑!$G$5:$G$504,MATCH($F3589&amp;"",계정매핑!$A$5:$A$504,0))&amp;"","")="유지비",COUNTIF(계정대체기준!$A$6:$A$15,$N3589)&gt;0),IFERROR(INDEX(계정대체기준!$E$6:$E$15,MATCH(VALUE($A3589&amp;""),계정대체기준!$D$6:$D$15,0)),0),0))</f>
        <v/>
      </c>
      <c r="AH3589" s="64">
        <f>IF($A3589="","",IF(AD3589=0,"",IF(OR(COUNTIF(계정대체기준!$A$77:$A$86,$N3589)&gt;0,ISNUMBER(MATCH($X3589,계정대체기준!$D$77:$D$86,0)),ISNUMBER(MATCH($F3589,계정대체기준!$D$77:$D$86,0))),"Y","N")))</f>
        <v/>
      </c>
    </row>
    <row r="3590">
      <c r="A3590" s="92" t="n">
        <v>2026</v>
      </c>
      <c r="B3590" s="92" t="n">
        <v>4</v>
      </c>
      <c r="C3590" s="92" t="inlineStr">
        <is>
          <t>5100000868</t>
        </is>
      </c>
      <c r="D3590" s="95" t="n">
        <v>46134</v>
      </c>
      <c r="E3590" s="92" t="inlineStr">
        <is>
          <t>KR</t>
        </is>
      </c>
      <c r="F3590" s="92" t="n">
        <v>62201000</v>
      </c>
      <c r="G3590" s="92" t="n">
        <v>1101</v>
      </c>
      <c r="H3590" s="93" t="n">
        <v>241000</v>
      </c>
      <c r="I3590" s="92" t="inlineStr">
        <is>
          <t>4월 통신요금 - O텔레콤</t>
        </is>
      </c>
      <c r="J3590" s="92" t="inlineStr">
        <is>
          <t>V10002</t>
        </is>
      </c>
      <c r="K3590" s="92" t="inlineStr">
        <is>
          <t>O텔레콤</t>
        </is>
      </c>
      <c r="M3590" s="9">
        <f>IF($A3590="","",VALUE($A3590&amp;"")*12+VALUE($B3590&amp;""))</f>
        <v/>
      </c>
      <c r="N3590" s="64">
        <f>IF($A3590="","",IFERROR(INDEX(부서매핑!$C$5:$C$504,MATCH($G3590&amp;"",부서매핑!$A$5:$A$504,0)),"미매핑"))</f>
        <v/>
      </c>
      <c r="O3590" s="9">
        <f>IF($A3590="","",N3590&amp;"|"&amp;$F3590)</f>
        <v/>
      </c>
      <c r="P3590" s="94">
        <f>IF($A3590="",0,$H3590*설정!$C$23)</f>
        <v/>
      </c>
      <c r="Q3590" s="64">
        <f>IF($A3590="","",IF(O3590&lt;&gt;원인분석!$C$9,"",IF(AND(M3590&gt;=원인분석!$C$10,M3590&lt;=원인분석!$C$11),"당기",IF(AND(M3590&gt;=원인분석!$C$12,M3590&lt;=원인분석!$C$13),"비교",""))))</f>
        <v/>
      </c>
      <c r="R3590" s="9">
        <f>IF(Q3590="","",$K3590&amp;"")</f>
        <v/>
      </c>
      <c r="S3590" s="9">
        <f>IF(Q3590="","",IF(MATCH(R3590,$R$5:$R$100000,0)=ROW()-4,ROW(),""))</f>
        <v/>
      </c>
      <c r="T3590" s="9">
        <f>IF(Q3590="당기",ABS(P3590)+ROW()/1000000000,"")</f>
        <v/>
      </c>
      <c r="U3590" s="9">
        <f>IF(Q3590="비교",ABS(P3590)+ROW()/1000000000,"")</f>
        <v/>
      </c>
      <c r="V3590" s="64">
        <f>IF($A3590="","",IF(COUNTIF(변동분석!$E$7:$E$506,O3590)&gt;0,"Y","N"))</f>
        <v/>
      </c>
      <c r="W3590" s="64">
        <f>IF($A3590="","",IFERROR(INDEX(계정매핑!$D$5:$D$504,MATCH($F3590&amp;"",계정매핑!$A$5:$A$504,0)),"미매핑"))</f>
        <v/>
      </c>
      <c r="X3590" s="9">
        <f>IF($A3590="","",$F3590&amp;"")</f>
        <v/>
      </c>
      <c r="Y3590" s="94">
        <f>IF($A3590="",0,IF(AE3590="직접",IF(AF3590="비귀속",$P3590,0),$P3590*(1-AG3590)*IFERROR(INDEX(계정대체기준!$F$20:$F$49,MATCH($N3590,계정대체기준!$A$20:$A$49,0)),1)))</f>
        <v/>
      </c>
      <c r="Z3590" s="94">
        <f>IF($A3590="",0,IF(AE3590="직접",IF(AF3590="신계약비",$P3590,0),$P3590*(1-AG3590)*IFERROR(INDEX(계정대체기준!$C$20:$C$49,MATCH($N3590,계정대체기준!$A$20:$A$49,0)),0)))</f>
        <v/>
      </c>
      <c r="AA3590" s="94">
        <f>IF($A3590="",0,IF(AE3590="직접",IF(OR(AF3590="유지비",AF3590="손해조사비"),$P3590,0),$P3590*(1-AG3590)*IFERROR(INDEX(계정대체기준!$D$20:$D$49,MATCH($N3590,계정대체기준!$A$20:$A$49,0)),0)))</f>
        <v/>
      </c>
      <c r="AB3590" s="94">
        <f>IF($A3590="",0,IF(AE3590="직접",IF(AF3590="수금비",$P3590,0),$P3590*(1-AG3590)*IFERROR(INDEX(계정대체기준!$E$20:$E$49,MATCH($N3590,계정대체기준!$A$20:$A$49,0)),0)))</f>
        <v/>
      </c>
      <c r="AC3590" s="9">
        <f>IF(AND($A3590&lt;&gt;"",M3590=설정!$C$20,Z3590&gt;0),Z3590+ROW()/1000000000,"")</f>
        <v/>
      </c>
      <c r="AD3590" s="94">
        <f>IF($A3590="",0,$P3590*AG3590)</f>
        <v/>
      </c>
      <c r="AE3590" s="64">
        <f>IF($A3590="","",IFERROR(INDEX(계정매핑!$E$5:$E$504,MATCH($F3590&amp;"",계정매핑!$A$5:$A$504,0))&amp;"","공통비"))</f>
        <v/>
      </c>
      <c r="AF3590" s="64">
        <f>IF($A3590="","",IF(AE3590="직접",IFERROR(INDEX(계정매핑!$F$5:$F$504,MATCH($F3590&amp;"",계정매핑!$A$5:$A$504,0))&amp;"","비귀속"),""))</f>
        <v/>
      </c>
      <c r="AG3590" s="96">
        <f>IF($A3590="",0,IF(AND(AE3590&lt;&gt;"직접",IFERROR(INDEX(계정매핑!$G$5:$G$504,MATCH($F3590&amp;"",계정매핑!$A$5:$A$504,0))&amp;"","")="유지비",COUNTIF(계정대체기준!$A$6:$A$15,$N3590)&gt;0),IFERROR(INDEX(계정대체기준!$E$6:$E$15,MATCH(VALUE($A3590&amp;""),계정대체기준!$D$6:$D$15,0)),0),0))</f>
        <v/>
      </c>
      <c r="AH3590" s="64">
        <f>IF($A3590="","",IF(AD3590=0,"",IF(OR(COUNTIF(계정대체기준!$A$77:$A$86,$N3590)&gt;0,ISNUMBER(MATCH($X3590,계정대체기준!$D$77:$D$86,0)),ISNUMBER(MATCH($F3590,계정대체기준!$D$77:$D$86,0))),"Y","N")))</f>
        <v/>
      </c>
    </row>
    <row r="3591">
      <c r="A3591" s="92" t="n">
        <v>2026</v>
      </c>
      <c r="B3591" s="92" t="n">
        <v>4</v>
      </c>
      <c r="C3591" s="92" t="inlineStr">
        <is>
          <t>5100000869</t>
        </is>
      </c>
      <c r="D3591" s="95" t="n">
        <v>46134</v>
      </c>
      <c r="E3591" s="92" t="inlineStr">
        <is>
          <t>KR</t>
        </is>
      </c>
      <c r="F3591" s="92" t="n">
        <v>62501000</v>
      </c>
      <c r="G3591" s="92" t="n">
        <v>1401</v>
      </c>
      <c r="H3591" s="93" t="n">
        <v>197000</v>
      </c>
      <c r="I3591" s="92" t="inlineStr">
        <is>
          <t>4월 회의 다과 - (법인카드)</t>
        </is>
      </c>
      <c r="J3591" s="92" t="inlineStr">
        <is>
          <t>V10010</t>
        </is>
      </c>
      <c r="K3591" s="92" t="inlineStr">
        <is>
          <t>(법인카드)</t>
        </is>
      </c>
      <c r="M3591" s="9">
        <f>IF($A3591="","",VALUE($A3591&amp;"")*12+VALUE($B3591&amp;""))</f>
        <v/>
      </c>
      <c r="N3591" s="64">
        <f>IF($A3591="","",IFERROR(INDEX(부서매핑!$C$5:$C$504,MATCH($G3591&amp;"",부서매핑!$A$5:$A$504,0)),"미매핑"))</f>
        <v/>
      </c>
      <c r="O3591" s="9">
        <f>IF($A3591="","",N3591&amp;"|"&amp;$F3591)</f>
        <v/>
      </c>
      <c r="P3591" s="94">
        <f>IF($A3591="",0,$H3591*설정!$C$23)</f>
        <v/>
      </c>
      <c r="Q3591" s="64">
        <f>IF($A3591="","",IF(O3591&lt;&gt;원인분석!$C$9,"",IF(AND(M3591&gt;=원인분석!$C$10,M3591&lt;=원인분석!$C$11),"당기",IF(AND(M3591&gt;=원인분석!$C$12,M3591&lt;=원인분석!$C$13),"비교",""))))</f>
        <v/>
      </c>
      <c r="R3591" s="9">
        <f>IF(Q3591="","",$K3591&amp;"")</f>
        <v/>
      </c>
      <c r="S3591" s="9">
        <f>IF(Q3591="","",IF(MATCH(R3591,$R$5:$R$100000,0)=ROW()-4,ROW(),""))</f>
        <v/>
      </c>
      <c r="T3591" s="9">
        <f>IF(Q3591="당기",ABS(P3591)+ROW()/1000000000,"")</f>
        <v/>
      </c>
      <c r="U3591" s="9">
        <f>IF(Q3591="비교",ABS(P3591)+ROW()/1000000000,"")</f>
        <v/>
      </c>
      <c r="V3591" s="64">
        <f>IF($A3591="","",IF(COUNTIF(변동분석!$E$7:$E$506,O3591)&gt;0,"Y","N"))</f>
        <v/>
      </c>
      <c r="W3591" s="64">
        <f>IF($A3591="","",IFERROR(INDEX(계정매핑!$D$5:$D$504,MATCH($F3591&amp;"",계정매핑!$A$5:$A$504,0)),"미매핑"))</f>
        <v/>
      </c>
      <c r="X3591" s="9">
        <f>IF($A3591="","",$F3591&amp;"")</f>
        <v/>
      </c>
      <c r="Y3591" s="94">
        <f>IF($A3591="",0,IF(AE3591="직접",IF(AF3591="비귀속",$P3591,0),$P3591*(1-AG3591)*IFERROR(INDEX(계정대체기준!$F$20:$F$49,MATCH($N3591,계정대체기준!$A$20:$A$49,0)),1)))</f>
        <v/>
      </c>
      <c r="Z3591" s="94">
        <f>IF($A3591="",0,IF(AE3591="직접",IF(AF3591="신계약비",$P3591,0),$P3591*(1-AG3591)*IFERROR(INDEX(계정대체기준!$C$20:$C$49,MATCH($N3591,계정대체기준!$A$20:$A$49,0)),0)))</f>
        <v/>
      </c>
      <c r="AA3591" s="94">
        <f>IF($A3591="",0,IF(AE3591="직접",IF(OR(AF3591="유지비",AF3591="손해조사비"),$P3591,0),$P3591*(1-AG3591)*IFERROR(INDEX(계정대체기준!$D$20:$D$49,MATCH($N3591,계정대체기준!$A$20:$A$49,0)),0)))</f>
        <v/>
      </c>
      <c r="AB3591" s="94">
        <f>IF($A3591="",0,IF(AE3591="직접",IF(AF3591="수금비",$P3591,0),$P3591*(1-AG3591)*IFERROR(INDEX(계정대체기준!$E$20:$E$49,MATCH($N3591,계정대체기준!$A$20:$A$49,0)),0)))</f>
        <v/>
      </c>
      <c r="AC3591" s="9">
        <f>IF(AND($A3591&lt;&gt;"",M3591=설정!$C$20,Z3591&gt;0),Z3591+ROW()/1000000000,"")</f>
        <v/>
      </c>
      <c r="AD3591" s="94">
        <f>IF($A3591="",0,$P3591*AG3591)</f>
        <v/>
      </c>
      <c r="AE3591" s="64">
        <f>IF($A3591="","",IFERROR(INDEX(계정매핑!$E$5:$E$504,MATCH($F3591&amp;"",계정매핑!$A$5:$A$504,0))&amp;"","공통비"))</f>
        <v/>
      </c>
      <c r="AF3591" s="64">
        <f>IF($A3591="","",IF(AE3591="직접",IFERROR(INDEX(계정매핑!$F$5:$F$504,MATCH($F3591&amp;"",계정매핑!$A$5:$A$504,0))&amp;"","비귀속"),""))</f>
        <v/>
      </c>
      <c r="AG3591" s="96">
        <f>IF($A3591="",0,IF(AND(AE3591&lt;&gt;"직접",IFERROR(INDEX(계정매핑!$G$5:$G$504,MATCH($F3591&amp;"",계정매핑!$A$5:$A$504,0))&amp;"","")="유지비",COUNTIF(계정대체기준!$A$6:$A$15,$N3591)&gt;0),IFERROR(INDEX(계정대체기준!$E$6:$E$15,MATCH(VALUE($A3591&amp;""),계정대체기준!$D$6:$D$15,0)),0),0))</f>
        <v/>
      </c>
      <c r="AH3591" s="64">
        <f>IF($A3591="","",IF(AD3591=0,"",IF(OR(COUNTIF(계정대체기준!$A$77:$A$86,$N3591)&gt;0,ISNUMBER(MATCH($X3591,계정대체기준!$D$77:$D$86,0)),ISNUMBER(MATCH($F3591,계정대체기준!$D$77:$D$86,0))),"Y","N")))</f>
        <v/>
      </c>
    </row>
    <row r="3592">
      <c r="A3592" s="92" t="n">
        <v>2026</v>
      </c>
      <c r="B3592" s="92" t="n">
        <v>4</v>
      </c>
      <c r="C3592" s="92" t="inlineStr">
        <is>
          <t>5100000870</t>
        </is>
      </c>
      <c r="D3592" s="95" t="n">
        <v>46134</v>
      </c>
      <c r="E3592" s="92" t="inlineStr">
        <is>
          <t>KR</t>
        </is>
      </c>
      <c r="F3592" s="92" t="n">
        <v>62901000</v>
      </c>
      <c r="G3592" s="92" t="n">
        <v>1201</v>
      </c>
      <c r="H3592" s="93" t="n">
        <v>7953000</v>
      </c>
      <c r="I3592" s="92" t="inlineStr">
        <is>
          <t>4월 자문 수수료 - K회계법인</t>
        </is>
      </c>
      <c r="J3592" s="92" t="inlineStr">
        <is>
          <t>V10011</t>
        </is>
      </c>
      <c r="K3592" s="92" t="inlineStr">
        <is>
          <t>K회계법인</t>
        </is>
      </c>
      <c r="M3592" s="9">
        <f>IF($A3592="","",VALUE($A3592&amp;"")*12+VALUE($B3592&amp;""))</f>
        <v/>
      </c>
      <c r="N3592" s="64">
        <f>IF($A3592="","",IFERROR(INDEX(부서매핑!$C$5:$C$504,MATCH($G3592&amp;"",부서매핑!$A$5:$A$504,0)),"미매핑"))</f>
        <v/>
      </c>
      <c r="O3592" s="9">
        <f>IF($A3592="","",N3592&amp;"|"&amp;$F3592)</f>
        <v/>
      </c>
      <c r="P3592" s="94">
        <f>IF($A3592="",0,$H3592*설정!$C$23)</f>
        <v/>
      </c>
      <c r="Q3592" s="64">
        <f>IF($A3592="","",IF(O3592&lt;&gt;원인분석!$C$9,"",IF(AND(M3592&gt;=원인분석!$C$10,M3592&lt;=원인분석!$C$11),"당기",IF(AND(M3592&gt;=원인분석!$C$12,M3592&lt;=원인분석!$C$13),"비교",""))))</f>
        <v/>
      </c>
      <c r="R3592" s="9">
        <f>IF(Q3592="","",$K3592&amp;"")</f>
        <v/>
      </c>
      <c r="S3592" s="9">
        <f>IF(Q3592="","",IF(MATCH(R3592,$R$5:$R$100000,0)=ROW()-4,ROW(),""))</f>
        <v/>
      </c>
      <c r="T3592" s="9">
        <f>IF(Q3592="당기",ABS(P3592)+ROW()/1000000000,"")</f>
        <v/>
      </c>
      <c r="U3592" s="9">
        <f>IF(Q3592="비교",ABS(P3592)+ROW()/1000000000,"")</f>
        <v/>
      </c>
      <c r="V3592" s="64">
        <f>IF($A3592="","",IF(COUNTIF(변동분석!$E$7:$E$506,O3592)&gt;0,"Y","N"))</f>
        <v/>
      </c>
      <c r="W3592" s="64">
        <f>IF($A3592="","",IFERROR(INDEX(계정매핑!$D$5:$D$504,MATCH($F3592&amp;"",계정매핑!$A$5:$A$504,0)),"미매핑"))</f>
        <v/>
      </c>
      <c r="X3592" s="9">
        <f>IF($A3592="","",$F3592&amp;"")</f>
        <v/>
      </c>
      <c r="Y3592" s="94">
        <f>IF($A3592="",0,IF(AE3592="직접",IF(AF3592="비귀속",$P3592,0),$P3592*(1-AG3592)*IFERROR(INDEX(계정대체기준!$F$20:$F$49,MATCH($N3592,계정대체기준!$A$20:$A$49,0)),1)))</f>
        <v/>
      </c>
      <c r="Z3592" s="94">
        <f>IF($A3592="",0,IF(AE3592="직접",IF(AF3592="신계약비",$P3592,0),$P3592*(1-AG3592)*IFERROR(INDEX(계정대체기준!$C$20:$C$49,MATCH($N3592,계정대체기준!$A$20:$A$49,0)),0)))</f>
        <v/>
      </c>
      <c r="AA3592" s="94">
        <f>IF($A3592="",0,IF(AE3592="직접",IF(OR(AF3592="유지비",AF3592="손해조사비"),$P3592,0),$P3592*(1-AG3592)*IFERROR(INDEX(계정대체기준!$D$20:$D$49,MATCH($N3592,계정대체기준!$A$20:$A$49,0)),0)))</f>
        <v/>
      </c>
      <c r="AB3592" s="94">
        <f>IF($A3592="",0,IF(AE3592="직접",IF(AF3592="수금비",$P3592,0),$P3592*(1-AG3592)*IFERROR(INDEX(계정대체기준!$E$20:$E$49,MATCH($N3592,계정대체기준!$A$20:$A$49,0)),0)))</f>
        <v/>
      </c>
      <c r="AC3592" s="9">
        <f>IF(AND($A3592&lt;&gt;"",M3592=설정!$C$20,Z3592&gt;0),Z3592+ROW()/1000000000,"")</f>
        <v/>
      </c>
      <c r="AD3592" s="94">
        <f>IF($A3592="",0,$P3592*AG3592)</f>
        <v/>
      </c>
      <c r="AE3592" s="64">
        <f>IF($A3592="","",IFERROR(INDEX(계정매핑!$E$5:$E$504,MATCH($F3592&amp;"",계정매핑!$A$5:$A$504,0))&amp;"","공통비"))</f>
        <v/>
      </c>
      <c r="AF3592" s="64">
        <f>IF($A3592="","",IF(AE3592="직접",IFERROR(INDEX(계정매핑!$F$5:$F$504,MATCH($F3592&amp;"",계정매핑!$A$5:$A$504,0))&amp;"","비귀속"),""))</f>
        <v/>
      </c>
      <c r="AG3592" s="96">
        <f>IF($A3592="",0,IF(AND(AE3592&lt;&gt;"직접",IFERROR(INDEX(계정매핑!$G$5:$G$504,MATCH($F3592&amp;"",계정매핑!$A$5:$A$504,0))&amp;"","")="유지비",COUNTIF(계정대체기준!$A$6:$A$15,$N3592)&gt;0),IFERROR(INDEX(계정대체기준!$E$6:$E$15,MATCH(VALUE($A3592&amp;""),계정대체기준!$D$6:$D$15,0)),0),0))</f>
        <v/>
      </c>
      <c r="AH3592" s="64">
        <f>IF($A3592="","",IF(AD3592=0,"",IF(OR(COUNTIF(계정대체기준!$A$77:$A$86,$N3592)&gt;0,ISNUMBER(MATCH($X3592,계정대체기준!$D$77:$D$86,0)),ISNUMBER(MATCH($F3592,계정대체기준!$D$77:$D$86,0))),"Y","N")))</f>
        <v/>
      </c>
    </row>
    <row r="3593">
      <c r="A3593" s="92" t="n">
        <v>2026</v>
      </c>
      <c r="B3593" s="92" t="n">
        <v>4</v>
      </c>
      <c r="C3593" s="92" t="inlineStr">
        <is>
          <t>5100000871</t>
        </is>
      </c>
      <c r="D3593" s="95" t="n">
        <v>46134</v>
      </c>
      <c r="E3593" s="92" t="inlineStr">
        <is>
          <t>KR</t>
        </is>
      </c>
      <c r="F3593" s="92" t="n">
        <v>63501000</v>
      </c>
      <c r="G3593" s="92" t="n">
        <v>1901</v>
      </c>
      <c r="H3593" s="93" t="n">
        <v>231076000</v>
      </c>
      <c r="I3593" s="92" t="inlineStr">
        <is>
          <t>4월 모집수수료 - AA보험대리점</t>
        </is>
      </c>
      <c r="J3593" s="92" t="inlineStr">
        <is>
          <t>V10034</t>
        </is>
      </c>
      <c r="K3593" s="92" t="inlineStr">
        <is>
          <t>AA보험대리점</t>
        </is>
      </c>
      <c r="M3593" s="9">
        <f>IF($A3593="","",VALUE($A3593&amp;"")*12+VALUE($B3593&amp;""))</f>
        <v/>
      </c>
      <c r="N3593" s="64">
        <f>IF($A3593="","",IFERROR(INDEX(부서매핑!$C$5:$C$504,MATCH($G3593&amp;"",부서매핑!$A$5:$A$504,0)),"미매핑"))</f>
        <v/>
      </c>
      <c r="O3593" s="9">
        <f>IF($A3593="","",N3593&amp;"|"&amp;$F3593)</f>
        <v/>
      </c>
      <c r="P3593" s="94">
        <f>IF($A3593="",0,$H3593*설정!$C$23)</f>
        <v/>
      </c>
      <c r="Q3593" s="64">
        <f>IF($A3593="","",IF(O3593&lt;&gt;원인분석!$C$9,"",IF(AND(M3593&gt;=원인분석!$C$10,M3593&lt;=원인분석!$C$11),"당기",IF(AND(M3593&gt;=원인분석!$C$12,M3593&lt;=원인분석!$C$13),"비교",""))))</f>
        <v/>
      </c>
      <c r="R3593" s="9">
        <f>IF(Q3593="","",$K3593&amp;"")</f>
        <v/>
      </c>
      <c r="S3593" s="9">
        <f>IF(Q3593="","",IF(MATCH(R3593,$R$5:$R$100000,0)=ROW()-4,ROW(),""))</f>
        <v/>
      </c>
      <c r="T3593" s="9">
        <f>IF(Q3593="당기",ABS(P3593)+ROW()/1000000000,"")</f>
        <v/>
      </c>
      <c r="U3593" s="9">
        <f>IF(Q3593="비교",ABS(P3593)+ROW()/1000000000,"")</f>
        <v/>
      </c>
      <c r="V3593" s="64">
        <f>IF($A3593="","",IF(COUNTIF(변동분석!$E$7:$E$506,O3593)&gt;0,"Y","N"))</f>
        <v/>
      </c>
      <c r="W3593" s="64">
        <f>IF($A3593="","",IFERROR(INDEX(계정매핑!$D$5:$D$504,MATCH($F3593&amp;"",계정매핑!$A$5:$A$504,0)),"미매핑"))</f>
        <v/>
      </c>
      <c r="X3593" s="9">
        <f>IF($A3593="","",$F3593&amp;"")</f>
        <v/>
      </c>
      <c r="Y3593" s="94">
        <f>IF($A3593="",0,IF(AE3593="직접",IF(AF3593="비귀속",$P3593,0),$P3593*(1-AG3593)*IFERROR(INDEX(계정대체기준!$F$20:$F$49,MATCH($N3593,계정대체기준!$A$20:$A$49,0)),1)))</f>
        <v/>
      </c>
      <c r="Z3593" s="94">
        <f>IF($A3593="",0,IF(AE3593="직접",IF(AF3593="신계약비",$P3593,0),$P3593*(1-AG3593)*IFERROR(INDEX(계정대체기준!$C$20:$C$49,MATCH($N3593,계정대체기준!$A$20:$A$49,0)),0)))</f>
        <v/>
      </c>
      <c r="AA3593" s="94">
        <f>IF($A3593="",0,IF(AE3593="직접",IF(OR(AF3593="유지비",AF3593="손해조사비"),$P3593,0),$P3593*(1-AG3593)*IFERROR(INDEX(계정대체기준!$D$20:$D$49,MATCH($N3593,계정대체기준!$A$20:$A$49,0)),0)))</f>
        <v/>
      </c>
      <c r="AB3593" s="94">
        <f>IF($A3593="",0,IF(AE3593="직접",IF(AF3593="수금비",$P3593,0),$P3593*(1-AG3593)*IFERROR(INDEX(계정대체기준!$E$20:$E$49,MATCH($N3593,계정대체기준!$A$20:$A$49,0)),0)))</f>
        <v/>
      </c>
      <c r="AC3593" s="9">
        <f>IF(AND($A3593&lt;&gt;"",M3593=설정!$C$20,Z3593&gt;0),Z3593+ROW()/1000000000,"")</f>
        <v/>
      </c>
      <c r="AD3593" s="94">
        <f>IF($A3593="",0,$P3593*AG3593)</f>
        <v/>
      </c>
      <c r="AE3593" s="64">
        <f>IF($A3593="","",IFERROR(INDEX(계정매핑!$E$5:$E$504,MATCH($F3593&amp;"",계정매핑!$A$5:$A$504,0))&amp;"","공통비"))</f>
        <v/>
      </c>
      <c r="AF3593" s="64">
        <f>IF($A3593="","",IF(AE3593="직접",IFERROR(INDEX(계정매핑!$F$5:$F$504,MATCH($F3593&amp;"",계정매핑!$A$5:$A$504,0))&amp;"","비귀속"),""))</f>
        <v/>
      </c>
      <c r="AG3593" s="96">
        <f>IF($A3593="",0,IF(AND(AE3593&lt;&gt;"직접",IFERROR(INDEX(계정매핑!$G$5:$G$504,MATCH($F3593&amp;"",계정매핑!$A$5:$A$504,0))&amp;"","")="유지비",COUNTIF(계정대체기준!$A$6:$A$15,$N3593)&gt;0),IFERROR(INDEX(계정대체기준!$E$6:$E$15,MATCH(VALUE($A3593&amp;""),계정대체기준!$D$6:$D$15,0)),0),0))</f>
        <v/>
      </c>
      <c r="AH3593" s="64">
        <f>IF($A3593="","",IF(AD3593=0,"",IF(OR(COUNTIF(계정대체기준!$A$77:$A$86,$N3593)&gt;0,ISNUMBER(MATCH($X3593,계정대체기준!$D$77:$D$86,0)),ISNUMBER(MATCH($F3593,계정대체기준!$D$77:$D$86,0))),"Y","N")))</f>
        <v/>
      </c>
    </row>
    <row r="3594">
      <c r="A3594" s="92" t="n">
        <v>2026</v>
      </c>
      <c r="B3594" s="92" t="n">
        <v>4</v>
      </c>
      <c r="C3594" s="92" t="inlineStr">
        <is>
          <t>5100000872</t>
        </is>
      </c>
      <c r="D3594" s="95" t="n">
        <v>46134</v>
      </c>
      <c r="E3594" s="92" t="inlineStr">
        <is>
          <t>KR</t>
        </is>
      </c>
      <c r="F3594" s="92" t="n">
        <v>63601000</v>
      </c>
      <c r="G3594" s="92" t="n">
        <v>1801</v>
      </c>
      <c r="H3594" s="93" t="n">
        <v>14666000</v>
      </c>
      <c r="I3594" s="92" t="inlineStr">
        <is>
          <t>4월 손해사정 수수료 - DD손해사정</t>
        </is>
      </c>
      <c r="J3594" s="92" t="inlineStr">
        <is>
          <t>V10032</t>
        </is>
      </c>
      <c r="K3594" s="92" t="inlineStr">
        <is>
          <t>DD손해사정</t>
        </is>
      </c>
      <c r="M3594" s="9">
        <f>IF($A3594="","",VALUE($A3594&amp;"")*12+VALUE($B3594&amp;""))</f>
        <v/>
      </c>
      <c r="N3594" s="64">
        <f>IF($A3594="","",IFERROR(INDEX(부서매핑!$C$5:$C$504,MATCH($G3594&amp;"",부서매핑!$A$5:$A$504,0)),"미매핑"))</f>
        <v/>
      </c>
      <c r="O3594" s="9">
        <f>IF($A3594="","",N3594&amp;"|"&amp;$F3594)</f>
        <v/>
      </c>
      <c r="P3594" s="94">
        <f>IF($A3594="",0,$H3594*설정!$C$23)</f>
        <v/>
      </c>
      <c r="Q3594" s="64">
        <f>IF($A3594="","",IF(O3594&lt;&gt;원인분석!$C$9,"",IF(AND(M3594&gt;=원인분석!$C$10,M3594&lt;=원인분석!$C$11),"당기",IF(AND(M3594&gt;=원인분석!$C$12,M3594&lt;=원인분석!$C$13),"비교",""))))</f>
        <v/>
      </c>
      <c r="R3594" s="9">
        <f>IF(Q3594="","",$K3594&amp;"")</f>
        <v/>
      </c>
      <c r="S3594" s="9">
        <f>IF(Q3594="","",IF(MATCH(R3594,$R$5:$R$100000,0)=ROW()-4,ROW(),""))</f>
        <v/>
      </c>
      <c r="T3594" s="9">
        <f>IF(Q3594="당기",ABS(P3594)+ROW()/1000000000,"")</f>
        <v/>
      </c>
      <c r="U3594" s="9">
        <f>IF(Q3594="비교",ABS(P3594)+ROW()/1000000000,"")</f>
        <v/>
      </c>
      <c r="V3594" s="64">
        <f>IF($A3594="","",IF(COUNTIF(변동분석!$E$7:$E$506,O3594)&gt;0,"Y","N"))</f>
        <v/>
      </c>
      <c r="W3594" s="64">
        <f>IF($A3594="","",IFERROR(INDEX(계정매핑!$D$5:$D$504,MATCH($F3594&amp;"",계정매핑!$A$5:$A$504,0)),"미매핑"))</f>
        <v/>
      </c>
      <c r="X3594" s="9">
        <f>IF($A3594="","",$F3594&amp;"")</f>
        <v/>
      </c>
      <c r="Y3594" s="94">
        <f>IF($A3594="",0,IF(AE3594="직접",IF(AF3594="비귀속",$P3594,0),$P3594*(1-AG3594)*IFERROR(INDEX(계정대체기준!$F$20:$F$49,MATCH($N3594,계정대체기준!$A$20:$A$49,0)),1)))</f>
        <v/>
      </c>
      <c r="Z3594" s="94">
        <f>IF($A3594="",0,IF(AE3594="직접",IF(AF3594="신계약비",$P3594,0),$P3594*(1-AG3594)*IFERROR(INDEX(계정대체기준!$C$20:$C$49,MATCH($N3594,계정대체기준!$A$20:$A$49,0)),0)))</f>
        <v/>
      </c>
      <c r="AA3594" s="94">
        <f>IF($A3594="",0,IF(AE3594="직접",IF(OR(AF3594="유지비",AF3594="손해조사비"),$P3594,0),$P3594*(1-AG3594)*IFERROR(INDEX(계정대체기준!$D$20:$D$49,MATCH($N3594,계정대체기준!$A$20:$A$49,0)),0)))</f>
        <v/>
      </c>
      <c r="AB3594" s="94">
        <f>IF($A3594="",0,IF(AE3594="직접",IF(AF3594="수금비",$P3594,0),$P3594*(1-AG3594)*IFERROR(INDEX(계정대체기준!$E$20:$E$49,MATCH($N3594,계정대체기준!$A$20:$A$49,0)),0)))</f>
        <v/>
      </c>
      <c r="AC3594" s="9">
        <f>IF(AND($A3594&lt;&gt;"",M3594=설정!$C$20,Z3594&gt;0),Z3594+ROW()/1000000000,"")</f>
        <v/>
      </c>
      <c r="AD3594" s="94">
        <f>IF($A3594="",0,$P3594*AG3594)</f>
        <v/>
      </c>
      <c r="AE3594" s="64">
        <f>IF($A3594="","",IFERROR(INDEX(계정매핑!$E$5:$E$504,MATCH($F3594&amp;"",계정매핑!$A$5:$A$504,0))&amp;"","공통비"))</f>
        <v/>
      </c>
      <c r="AF3594" s="64">
        <f>IF($A3594="","",IF(AE3594="직접",IFERROR(INDEX(계정매핑!$F$5:$F$504,MATCH($F3594&amp;"",계정매핑!$A$5:$A$504,0))&amp;"","비귀속"),""))</f>
        <v/>
      </c>
      <c r="AG3594" s="96">
        <f>IF($A3594="",0,IF(AND(AE3594&lt;&gt;"직접",IFERROR(INDEX(계정매핑!$G$5:$G$504,MATCH($F3594&amp;"",계정매핑!$A$5:$A$504,0))&amp;"","")="유지비",COUNTIF(계정대체기준!$A$6:$A$15,$N3594)&gt;0),IFERROR(INDEX(계정대체기준!$E$6:$E$15,MATCH(VALUE($A3594&amp;""),계정대체기준!$D$6:$D$15,0)),0),0))</f>
        <v/>
      </c>
      <c r="AH3594" s="64">
        <f>IF($A3594="","",IF(AD3594=0,"",IF(OR(COUNTIF(계정대체기준!$A$77:$A$86,$N3594)&gt;0,ISNUMBER(MATCH($X3594,계정대체기준!$D$77:$D$86,0)),ISNUMBER(MATCH($F3594,계정대체기준!$D$77:$D$86,0))),"Y","N")))</f>
        <v/>
      </c>
    </row>
    <row r="3595">
      <c r="A3595" s="92" t="n">
        <v>2026</v>
      </c>
      <c r="B3595" s="92" t="n">
        <v>4</v>
      </c>
      <c r="C3595" s="92" t="inlineStr">
        <is>
          <t>5100000873</t>
        </is>
      </c>
      <c r="D3595" s="95" t="n">
        <v>46135</v>
      </c>
      <c r="E3595" s="92" t="inlineStr">
        <is>
          <t>KR</t>
        </is>
      </c>
      <c r="F3595" s="92" t="n">
        <v>62101000</v>
      </c>
      <c r="G3595" s="92" t="n">
        <v>1701</v>
      </c>
      <c r="H3595" s="93" t="n">
        <v>205000</v>
      </c>
      <c r="I3595" s="92" t="inlineStr">
        <is>
          <t>4월 국내출장 - L여행사</t>
        </is>
      </c>
      <c r="J3595" s="92" t="inlineStr">
        <is>
          <t>V10018</t>
        </is>
      </c>
      <c r="K3595" s="92" t="inlineStr">
        <is>
          <t>L여행사</t>
        </is>
      </c>
      <c r="M3595" s="9">
        <f>IF($A3595="","",VALUE($A3595&amp;"")*12+VALUE($B3595&amp;""))</f>
        <v/>
      </c>
      <c r="N3595" s="64">
        <f>IF($A3595="","",IFERROR(INDEX(부서매핑!$C$5:$C$504,MATCH($G3595&amp;"",부서매핑!$A$5:$A$504,0)),"미매핑"))</f>
        <v/>
      </c>
      <c r="O3595" s="9">
        <f>IF($A3595="","",N3595&amp;"|"&amp;$F3595)</f>
        <v/>
      </c>
      <c r="P3595" s="94">
        <f>IF($A3595="",0,$H3595*설정!$C$23)</f>
        <v/>
      </c>
      <c r="Q3595" s="64">
        <f>IF($A3595="","",IF(O3595&lt;&gt;원인분석!$C$9,"",IF(AND(M3595&gt;=원인분석!$C$10,M3595&lt;=원인분석!$C$11),"당기",IF(AND(M3595&gt;=원인분석!$C$12,M3595&lt;=원인분석!$C$13),"비교",""))))</f>
        <v/>
      </c>
      <c r="R3595" s="9">
        <f>IF(Q3595="","",$K3595&amp;"")</f>
        <v/>
      </c>
      <c r="S3595" s="9">
        <f>IF(Q3595="","",IF(MATCH(R3595,$R$5:$R$100000,0)=ROW()-4,ROW(),""))</f>
        <v/>
      </c>
      <c r="T3595" s="9">
        <f>IF(Q3595="당기",ABS(P3595)+ROW()/1000000000,"")</f>
        <v/>
      </c>
      <c r="U3595" s="9">
        <f>IF(Q3595="비교",ABS(P3595)+ROW()/1000000000,"")</f>
        <v/>
      </c>
      <c r="V3595" s="64">
        <f>IF($A3595="","",IF(COUNTIF(변동분석!$E$7:$E$506,O3595)&gt;0,"Y","N"))</f>
        <v/>
      </c>
      <c r="W3595" s="64">
        <f>IF($A3595="","",IFERROR(INDEX(계정매핑!$D$5:$D$504,MATCH($F3595&amp;"",계정매핑!$A$5:$A$504,0)),"미매핑"))</f>
        <v/>
      </c>
      <c r="X3595" s="9">
        <f>IF($A3595="","",$F3595&amp;"")</f>
        <v/>
      </c>
      <c r="Y3595" s="94">
        <f>IF($A3595="",0,IF(AE3595="직접",IF(AF3595="비귀속",$P3595,0),$P3595*(1-AG3595)*IFERROR(INDEX(계정대체기준!$F$20:$F$49,MATCH($N3595,계정대체기준!$A$20:$A$49,0)),1)))</f>
        <v/>
      </c>
      <c r="Z3595" s="94">
        <f>IF($A3595="",0,IF(AE3595="직접",IF(AF3595="신계약비",$P3595,0),$P3595*(1-AG3595)*IFERROR(INDEX(계정대체기준!$C$20:$C$49,MATCH($N3595,계정대체기준!$A$20:$A$49,0)),0)))</f>
        <v/>
      </c>
      <c r="AA3595" s="94">
        <f>IF($A3595="",0,IF(AE3595="직접",IF(OR(AF3595="유지비",AF3595="손해조사비"),$P3595,0),$P3595*(1-AG3595)*IFERROR(INDEX(계정대체기준!$D$20:$D$49,MATCH($N3595,계정대체기준!$A$20:$A$49,0)),0)))</f>
        <v/>
      </c>
      <c r="AB3595" s="94">
        <f>IF($A3595="",0,IF(AE3595="직접",IF(AF3595="수금비",$P3595,0),$P3595*(1-AG3595)*IFERROR(INDEX(계정대체기준!$E$20:$E$49,MATCH($N3595,계정대체기준!$A$20:$A$49,0)),0)))</f>
        <v/>
      </c>
      <c r="AC3595" s="9">
        <f>IF(AND($A3595&lt;&gt;"",M3595=설정!$C$20,Z3595&gt;0),Z3595+ROW()/1000000000,"")</f>
        <v/>
      </c>
      <c r="AD3595" s="94">
        <f>IF($A3595="",0,$P3595*AG3595)</f>
        <v/>
      </c>
      <c r="AE3595" s="64">
        <f>IF($A3595="","",IFERROR(INDEX(계정매핑!$E$5:$E$504,MATCH($F3595&amp;"",계정매핑!$A$5:$A$504,0))&amp;"","공통비"))</f>
        <v/>
      </c>
      <c r="AF3595" s="64">
        <f>IF($A3595="","",IF(AE3595="직접",IFERROR(INDEX(계정매핑!$F$5:$F$504,MATCH($F3595&amp;"",계정매핑!$A$5:$A$504,0))&amp;"","비귀속"),""))</f>
        <v/>
      </c>
      <c r="AG3595" s="96">
        <f>IF($A3595="",0,IF(AND(AE3595&lt;&gt;"직접",IFERROR(INDEX(계정매핑!$G$5:$G$504,MATCH($F3595&amp;"",계정매핑!$A$5:$A$504,0))&amp;"","")="유지비",COUNTIF(계정대체기준!$A$6:$A$15,$N3595)&gt;0),IFERROR(INDEX(계정대체기준!$E$6:$E$15,MATCH(VALUE($A3595&amp;""),계정대체기준!$D$6:$D$15,0)),0),0))</f>
        <v/>
      </c>
      <c r="AH3595" s="64">
        <f>IF($A3595="","",IF(AD3595=0,"",IF(OR(COUNTIF(계정대체기준!$A$77:$A$86,$N3595)&gt;0,ISNUMBER(MATCH($X3595,계정대체기준!$D$77:$D$86,0)),ISNUMBER(MATCH($F3595,계정대체기준!$D$77:$D$86,0))),"Y","N")))</f>
        <v/>
      </c>
    </row>
    <row r="3596">
      <c r="A3596" s="92" t="n">
        <v>2026</v>
      </c>
      <c r="B3596" s="92" t="n">
        <v>4</v>
      </c>
      <c r="C3596" s="92" t="inlineStr">
        <is>
          <t>5100000874</t>
        </is>
      </c>
      <c r="D3596" s="95" t="n">
        <v>46135</v>
      </c>
      <c r="E3596" s="92" t="inlineStr">
        <is>
          <t>KR</t>
        </is>
      </c>
      <c r="F3596" s="92" t="n">
        <v>62101000</v>
      </c>
      <c r="G3596" s="92" t="n">
        <v>1801</v>
      </c>
      <c r="H3596" s="93" t="n">
        <v>126000</v>
      </c>
      <c r="I3596" s="92" t="inlineStr">
        <is>
          <t>4월 국내출장 - L여행사</t>
        </is>
      </c>
      <c r="J3596" s="92" t="inlineStr">
        <is>
          <t>V10018</t>
        </is>
      </c>
      <c r="K3596" s="92" t="inlineStr">
        <is>
          <t>L여행사</t>
        </is>
      </c>
      <c r="M3596" s="9">
        <f>IF($A3596="","",VALUE($A3596&amp;"")*12+VALUE($B3596&amp;""))</f>
        <v/>
      </c>
      <c r="N3596" s="64">
        <f>IF($A3596="","",IFERROR(INDEX(부서매핑!$C$5:$C$504,MATCH($G3596&amp;"",부서매핑!$A$5:$A$504,0)),"미매핑"))</f>
        <v/>
      </c>
      <c r="O3596" s="9">
        <f>IF($A3596="","",N3596&amp;"|"&amp;$F3596)</f>
        <v/>
      </c>
      <c r="P3596" s="94">
        <f>IF($A3596="",0,$H3596*설정!$C$23)</f>
        <v/>
      </c>
      <c r="Q3596" s="64">
        <f>IF($A3596="","",IF(O3596&lt;&gt;원인분석!$C$9,"",IF(AND(M3596&gt;=원인분석!$C$10,M3596&lt;=원인분석!$C$11),"당기",IF(AND(M3596&gt;=원인분석!$C$12,M3596&lt;=원인분석!$C$13),"비교",""))))</f>
        <v/>
      </c>
      <c r="R3596" s="9">
        <f>IF(Q3596="","",$K3596&amp;"")</f>
        <v/>
      </c>
      <c r="S3596" s="9">
        <f>IF(Q3596="","",IF(MATCH(R3596,$R$5:$R$100000,0)=ROW()-4,ROW(),""))</f>
        <v/>
      </c>
      <c r="T3596" s="9">
        <f>IF(Q3596="당기",ABS(P3596)+ROW()/1000000000,"")</f>
        <v/>
      </c>
      <c r="U3596" s="9">
        <f>IF(Q3596="비교",ABS(P3596)+ROW()/1000000000,"")</f>
        <v/>
      </c>
      <c r="V3596" s="64">
        <f>IF($A3596="","",IF(COUNTIF(변동분석!$E$7:$E$506,O3596)&gt;0,"Y","N"))</f>
        <v/>
      </c>
      <c r="W3596" s="64">
        <f>IF($A3596="","",IFERROR(INDEX(계정매핑!$D$5:$D$504,MATCH($F3596&amp;"",계정매핑!$A$5:$A$504,0)),"미매핑"))</f>
        <v/>
      </c>
      <c r="X3596" s="9">
        <f>IF($A3596="","",$F3596&amp;"")</f>
        <v/>
      </c>
      <c r="Y3596" s="94">
        <f>IF($A3596="",0,IF(AE3596="직접",IF(AF3596="비귀속",$P3596,0),$P3596*(1-AG3596)*IFERROR(INDEX(계정대체기준!$F$20:$F$49,MATCH($N3596,계정대체기준!$A$20:$A$49,0)),1)))</f>
        <v/>
      </c>
      <c r="Z3596" s="94">
        <f>IF($A3596="",0,IF(AE3596="직접",IF(AF3596="신계약비",$P3596,0),$P3596*(1-AG3596)*IFERROR(INDEX(계정대체기준!$C$20:$C$49,MATCH($N3596,계정대체기준!$A$20:$A$49,0)),0)))</f>
        <v/>
      </c>
      <c r="AA3596" s="94">
        <f>IF($A3596="",0,IF(AE3596="직접",IF(OR(AF3596="유지비",AF3596="손해조사비"),$P3596,0),$P3596*(1-AG3596)*IFERROR(INDEX(계정대체기준!$D$20:$D$49,MATCH($N3596,계정대체기준!$A$20:$A$49,0)),0)))</f>
        <v/>
      </c>
      <c r="AB3596" s="94">
        <f>IF($A3596="",0,IF(AE3596="직접",IF(AF3596="수금비",$P3596,0),$P3596*(1-AG3596)*IFERROR(INDEX(계정대체기준!$E$20:$E$49,MATCH($N3596,계정대체기준!$A$20:$A$49,0)),0)))</f>
        <v/>
      </c>
      <c r="AC3596" s="9">
        <f>IF(AND($A3596&lt;&gt;"",M3596=설정!$C$20,Z3596&gt;0),Z3596+ROW()/1000000000,"")</f>
        <v/>
      </c>
      <c r="AD3596" s="94">
        <f>IF($A3596="",0,$P3596*AG3596)</f>
        <v/>
      </c>
      <c r="AE3596" s="64">
        <f>IF($A3596="","",IFERROR(INDEX(계정매핑!$E$5:$E$504,MATCH($F3596&amp;"",계정매핑!$A$5:$A$504,0))&amp;"","공통비"))</f>
        <v/>
      </c>
      <c r="AF3596" s="64">
        <f>IF($A3596="","",IF(AE3596="직접",IFERROR(INDEX(계정매핑!$F$5:$F$504,MATCH($F3596&amp;"",계정매핑!$A$5:$A$504,0))&amp;"","비귀속"),""))</f>
        <v/>
      </c>
      <c r="AG3596" s="96">
        <f>IF($A3596="",0,IF(AND(AE3596&lt;&gt;"직접",IFERROR(INDEX(계정매핑!$G$5:$G$504,MATCH($F3596&amp;"",계정매핑!$A$5:$A$504,0))&amp;"","")="유지비",COUNTIF(계정대체기준!$A$6:$A$15,$N3596)&gt;0),IFERROR(INDEX(계정대체기준!$E$6:$E$15,MATCH(VALUE($A3596&amp;""),계정대체기준!$D$6:$D$15,0)),0),0))</f>
        <v/>
      </c>
      <c r="AH3596" s="64">
        <f>IF($A3596="","",IF(AD3596=0,"",IF(OR(COUNTIF(계정대체기준!$A$77:$A$86,$N3596)&gt;0,ISNUMBER(MATCH($X3596,계정대체기준!$D$77:$D$86,0)),ISNUMBER(MATCH($F3596,계정대체기준!$D$77:$D$86,0))),"Y","N")))</f>
        <v/>
      </c>
    </row>
    <row r="3597">
      <c r="A3597" s="92" t="n">
        <v>2026</v>
      </c>
      <c r="B3597" s="92" t="n">
        <v>4</v>
      </c>
      <c r="C3597" s="92" t="inlineStr">
        <is>
          <t>5100000875</t>
        </is>
      </c>
      <c r="D3597" s="95" t="n">
        <v>46135</v>
      </c>
      <c r="E3597" s="92" t="inlineStr">
        <is>
          <t>KR</t>
        </is>
      </c>
      <c r="F3597" s="92" t="n">
        <v>62102000</v>
      </c>
      <c r="G3597" s="92" t="n">
        <v>1201</v>
      </c>
      <c r="H3597" s="93" t="n">
        <v>43000</v>
      </c>
      <c r="I3597" s="92" t="inlineStr">
        <is>
          <t>4월 해외출장 - N호텔</t>
        </is>
      </c>
      <c r="J3597" s="92" t="inlineStr">
        <is>
          <t>V10009</t>
        </is>
      </c>
      <c r="K3597" s="92" t="inlineStr">
        <is>
          <t>N호텔</t>
        </is>
      </c>
      <c r="M3597" s="9">
        <f>IF($A3597="","",VALUE($A3597&amp;"")*12+VALUE($B3597&amp;""))</f>
        <v/>
      </c>
      <c r="N3597" s="64">
        <f>IF($A3597="","",IFERROR(INDEX(부서매핑!$C$5:$C$504,MATCH($G3597&amp;"",부서매핑!$A$5:$A$504,0)),"미매핑"))</f>
        <v/>
      </c>
      <c r="O3597" s="9">
        <f>IF($A3597="","",N3597&amp;"|"&amp;$F3597)</f>
        <v/>
      </c>
      <c r="P3597" s="94">
        <f>IF($A3597="",0,$H3597*설정!$C$23)</f>
        <v/>
      </c>
      <c r="Q3597" s="64">
        <f>IF($A3597="","",IF(O3597&lt;&gt;원인분석!$C$9,"",IF(AND(M3597&gt;=원인분석!$C$10,M3597&lt;=원인분석!$C$11),"당기",IF(AND(M3597&gt;=원인분석!$C$12,M3597&lt;=원인분석!$C$13),"비교",""))))</f>
        <v/>
      </c>
      <c r="R3597" s="9">
        <f>IF(Q3597="","",$K3597&amp;"")</f>
        <v/>
      </c>
      <c r="S3597" s="9">
        <f>IF(Q3597="","",IF(MATCH(R3597,$R$5:$R$100000,0)=ROW()-4,ROW(),""))</f>
        <v/>
      </c>
      <c r="T3597" s="9">
        <f>IF(Q3597="당기",ABS(P3597)+ROW()/1000000000,"")</f>
        <v/>
      </c>
      <c r="U3597" s="9">
        <f>IF(Q3597="비교",ABS(P3597)+ROW()/1000000000,"")</f>
        <v/>
      </c>
      <c r="V3597" s="64">
        <f>IF($A3597="","",IF(COUNTIF(변동분석!$E$7:$E$506,O3597)&gt;0,"Y","N"))</f>
        <v/>
      </c>
      <c r="W3597" s="64">
        <f>IF($A3597="","",IFERROR(INDEX(계정매핑!$D$5:$D$504,MATCH($F3597&amp;"",계정매핑!$A$5:$A$504,0)),"미매핑"))</f>
        <v/>
      </c>
      <c r="X3597" s="9">
        <f>IF($A3597="","",$F3597&amp;"")</f>
        <v/>
      </c>
      <c r="Y3597" s="94">
        <f>IF($A3597="",0,IF(AE3597="직접",IF(AF3597="비귀속",$P3597,0),$P3597*(1-AG3597)*IFERROR(INDEX(계정대체기준!$F$20:$F$49,MATCH($N3597,계정대체기준!$A$20:$A$49,0)),1)))</f>
        <v/>
      </c>
      <c r="Z3597" s="94">
        <f>IF($A3597="",0,IF(AE3597="직접",IF(AF3597="신계약비",$P3597,0),$P3597*(1-AG3597)*IFERROR(INDEX(계정대체기준!$C$20:$C$49,MATCH($N3597,계정대체기준!$A$20:$A$49,0)),0)))</f>
        <v/>
      </c>
      <c r="AA3597" s="94">
        <f>IF($A3597="",0,IF(AE3597="직접",IF(OR(AF3597="유지비",AF3597="손해조사비"),$P3597,0),$P3597*(1-AG3597)*IFERROR(INDEX(계정대체기준!$D$20:$D$49,MATCH($N3597,계정대체기준!$A$20:$A$49,0)),0)))</f>
        <v/>
      </c>
      <c r="AB3597" s="94">
        <f>IF($A3597="",0,IF(AE3597="직접",IF(AF3597="수금비",$P3597,0),$P3597*(1-AG3597)*IFERROR(INDEX(계정대체기준!$E$20:$E$49,MATCH($N3597,계정대체기준!$A$20:$A$49,0)),0)))</f>
        <v/>
      </c>
      <c r="AC3597" s="9">
        <f>IF(AND($A3597&lt;&gt;"",M3597=설정!$C$20,Z3597&gt;0),Z3597+ROW()/1000000000,"")</f>
        <v/>
      </c>
      <c r="AD3597" s="94">
        <f>IF($A3597="",0,$P3597*AG3597)</f>
        <v/>
      </c>
      <c r="AE3597" s="64">
        <f>IF($A3597="","",IFERROR(INDEX(계정매핑!$E$5:$E$504,MATCH($F3597&amp;"",계정매핑!$A$5:$A$504,0))&amp;"","공통비"))</f>
        <v/>
      </c>
      <c r="AF3597" s="64">
        <f>IF($A3597="","",IF(AE3597="직접",IFERROR(INDEX(계정매핑!$F$5:$F$504,MATCH($F3597&amp;"",계정매핑!$A$5:$A$504,0))&amp;"","비귀속"),""))</f>
        <v/>
      </c>
      <c r="AG3597" s="96">
        <f>IF($A3597="",0,IF(AND(AE3597&lt;&gt;"직접",IFERROR(INDEX(계정매핑!$G$5:$G$504,MATCH($F3597&amp;"",계정매핑!$A$5:$A$504,0))&amp;"","")="유지비",COUNTIF(계정대체기준!$A$6:$A$15,$N3597)&gt;0),IFERROR(INDEX(계정대체기준!$E$6:$E$15,MATCH(VALUE($A3597&amp;""),계정대체기준!$D$6:$D$15,0)),0),0))</f>
        <v/>
      </c>
      <c r="AH3597" s="64">
        <f>IF($A3597="","",IF(AD3597=0,"",IF(OR(COUNTIF(계정대체기준!$A$77:$A$86,$N3597)&gt;0,ISNUMBER(MATCH($X3597,계정대체기준!$D$77:$D$86,0)),ISNUMBER(MATCH($F3597,계정대체기준!$D$77:$D$86,0))),"Y","N")))</f>
        <v/>
      </c>
    </row>
    <row r="3598">
      <c r="A3598" s="92" t="n">
        <v>2026</v>
      </c>
      <c r="B3598" s="92" t="n">
        <v>4</v>
      </c>
      <c r="C3598" s="92" t="inlineStr">
        <is>
          <t>5100000876</t>
        </is>
      </c>
      <c r="D3598" s="95" t="n">
        <v>46135</v>
      </c>
      <c r="E3598" s="92" t="inlineStr">
        <is>
          <t>KR</t>
        </is>
      </c>
      <c r="F3598" s="92" t="n">
        <v>62201000</v>
      </c>
      <c r="G3598" s="92" t="n">
        <v>1301</v>
      </c>
      <c r="H3598" s="93" t="n">
        <v>199000</v>
      </c>
      <c r="I3598" s="92" t="inlineStr">
        <is>
          <t>4월 통신요금 - O텔레콤</t>
        </is>
      </c>
      <c r="J3598" s="92" t="inlineStr">
        <is>
          <t>V10002</t>
        </is>
      </c>
      <c r="K3598" s="92" t="inlineStr">
        <is>
          <t>O텔레콤</t>
        </is>
      </c>
      <c r="M3598" s="9">
        <f>IF($A3598="","",VALUE($A3598&amp;"")*12+VALUE($B3598&amp;""))</f>
        <v/>
      </c>
      <c r="N3598" s="64">
        <f>IF($A3598="","",IFERROR(INDEX(부서매핑!$C$5:$C$504,MATCH($G3598&amp;"",부서매핑!$A$5:$A$504,0)),"미매핑"))</f>
        <v/>
      </c>
      <c r="O3598" s="9">
        <f>IF($A3598="","",N3598&amp;"|"&amp;$F3598)</f>
        <v/>
      </c>
      <c r="P3598" s="94">
        <f>IF($A3598="",0,$H3598*설정!$C$23)</f>
        <v/>
      </c>
      <c r="Q3598" s="64">
        <f>IF($A3598="","",IF(O3598&lt;&gt;원인분석!$C$9,"",IF(AND(M3598&gt;=원인분석!$C$10,M3598&lt;=원인분석!$C$11),"당기",IF(AND(M3598&gt;=원인분석!$C$12,M3598&lt;=원인분석!$C$13),"비교",""))))</f>
        <v/>
      </c>
      <c r="R3598" s="9">
        <f>IF(Q3598="","",$K3598&amp;"")</f>
        <v/>
      </c>
      <c r="S3598" s="9">
        <f>IF(Q3598="","",IF(MATCH(R3598,$R$5:$R$100000,0)=ROW()-4,ROW(),""))</f>
        <v/>
      </c>
      <c r="T3598" s="9">
        <f>IF(Q3598="당기",ABS(P3598)+ROW()/1000000000,"")</f>
        <v/>
      </c>
      <c r="U3598" s="9">
        <f>IF(Q3598="비교",ABS(P3598)+ROW()/1000000000,"")</f>
        <v/>
      </c>
      <c r="V3598" s="64">
        <f>IF($A3598="","",IF(COUNTIF(변동분석!$E$7:$E$506,O3598)&gt;0,"Y","N"))</f>
        <v/>
      </c>
      <c r="W3598" s="64">
        <f>IF($A3598="","",IFERROR(INDEX(계정매핑!$D$5:$D$504,MATCH($F3598&amp;"",계정매핑!$A$5:$A$504,0)),"미매핑"))</f>
        <v/>
      </c>
      <c r="X3598" s="9">
        <f>IF($A3598="","",$F3598&amp;"")</f>
        <v/>
      </c>
      <c r="Y3598" s="94">
        <f>IF($A3598="",0,IF(AE3598="직접",IF(AF3598="비귀속",$P3598,0),$P3598*(1-AG3598)*IFERROR(INDEX(계정대체기준!$F$20:$F$49,MATCH($N3598,계정대체기준!$A$20:$A$49,0)),1)))</f>
        <v/>
      </c>
      <c r="Z3598" s="94">
        <f>IF($A3598="",0,IF(AE3598="직접",IF(AF3598="신계약비",$P3598,0),$P3598*(1-AG3598)*IFERROR(INDEX(계정대체기준!$C$20:$C$49,MATCH($N3598,계정대체기준!$A$20:$A$49,0)),0)))</f>
        <v/>
      </c>
      <c r="AA3598" s="94">
        <f>IF($A3598="",0,IF(AE3598="직접",IF(OR(AF3598="유지비",AF3598="손해조사비"),$P3598,0),$P3598*(1-AG3598)*IFERROR(INDEX(계정대체기준!$D$20:$D$49,MATCH($N3598,계정대체기준!$A$20:$A$49,0)),0)))</f>
        <v/>
      </c>
      <c r="AB3598" s="94">
        <f>IF($A3598="",0,IF(AE3598="직접",IF(AF3598="수금비",$P3598,0),$P3598*(1-AG3598)*IFERROR(INDEX(계정대체기준!$E$20:$E$49,MATCH($N3598,계정대체기준!$A$20:$A$49,0)),0)))</f>
        <v/>
      </c>
      <c r="AC3598" s="9">
        <f>IF(AND($A3598&lt;&gt;"",M3598=설정!$C$20,Z3598&gt;0),Z3598+ROW()/1000000000,"")</f>
        <v/>
      </c>
      <c r="AD3598" s="94">
        <f>IF($A3598="",0,$P3598*AG3598)</f>
        <v/>
      </c>
      <c r="AE3598" s="64">
        <f>IF($A3598="","",IFERROR(INDEX(계정매핑!$E$5:$E$504,MATCH($F3598&amp;"",계정매핑!$A$5:$A$504,0))&amp;"","공통비"))</f>
        <v/>
      </c>
      <c r="AF3598" s="64">
        <f>IF($A3598="","",IF(AE3598="직접",IFERROR(INDEX(계정매핑!$F$5:$F$504,MATCH($F3598&amp;"",계정매핑!$A$5:$A$504,0))&amp;"","비귀속"),""))</f>
        <v/>
      </c>
      <c r="AG3598" s="96">
        <f>IF($A3598="",0,IF(AND(AE3598&lt;&gt;"직접",IFERROR(INDEX(계정매핑!$G$5:$G$504,MATCH($F3598&amp;"",계정매핑!$A$5:$A$504,0))&amp;"","")="유지비",COUNTIF(계정대체기준!$A$6:$A$15,$N3598)&gt;0),IFERROR(INDEX(계정대체기준!$E$6:$E$15,MATCH(VALUE($A3598&amp;""),계정대체기준!$D$6:$D$15,0)),0),0))</f>
        <v/>
      </c>
      <c r="AH3598" s="64">
        <f>IF($A3598="","",IF(AD3598=0,"",IF(OR(COUNTIF(계정대체기준!$A$77:$A$86,$N3598)&gt;0,ISNUMBER(MATCH($X3598,계정대체기준!$D$77:$D$86,0)),ISNUMBER(MATCH($F3598,계정대체기준!$D$77:$D$86,0))),"Y","N")))</f>
        <v/>
      </c>
    </row>
    <row r="3599">
      <c r="A3599" s="92" t="n">
        <v>2026</v>
      </c>
      <c r="B3599" s="92" t="n">
        <v>4</v>
      </c>
      <c r="C3599" s="92" t="inlineStr">
        <is>
          <t>5100000877</t>
        </is>
      </c>
      <c r="D3599" s="95" t="n">
        <v>46135</v>
      </c>
      <c r="E3599" s="92" t="inlineStr">
        <is>
          <t>KR</t>
        </is>
      </c>
      <c r="F3599" s="92" t="n">
        <v>62301000</v>
      </c>
      <c r="G3599" s="92" t="n">
        <v>1501</v>
      </c>
      <c r="H3599" s="93" t="n">
        <v>190000</v>
      </c>
      <c r="I3599" s="92" t="inlineStr">
        <is>
          <t>4월 소모품 구입 - R문구</t>
        </is>
      </c>
      <c r="J3599" s="92" t="inlineStr">
        <is>
          <t>V10022</t>
        </is>
      </c>
      <c r="K3599" s="92" t="inlineStr">
        <is>
          <t>R문구</t>
        </is>
      </c>
      <c r="M3599" s="9">
        <f>IF($A3599="","",VALUE($A3599&amp;"")*12+VALUE($B3599&amp;""))</f>
        <v/>
      </c>
      <c r="N3599" s="64">
        <f>IF($A3599="","",IFERROR(INDEX(부서매핑!$C$5:$C$504,MATCH($G3599&amp;"",부서매핑!$A$5:$A$504,0)),"미매핑"))</f>
        <v/>
      </c>
      <c r="O3599" s="9">
        <f>IF($A3599="","",N3599&amp;"|"&amp;$F3599)</f>
        <v/>
      </c>
      <c r="P3599" s="94">
        <f>IF($A3599="",0,$H3599*설정!$C$23)</f>
        <v/>
      </c>
      <c r="Q3599" s="64">
        <f>IF($A3599="","",IF(O3599&lt;&gt;원인분석!$C$9,"",IF(AND(M3599&gt;=원인분석!$C$10,M3599&lt;=원인분석!$C$11),"당기",IF(AND(M3599&gt;=원인분석!$C$12,M3599&lt;=원인분석!$C$13),"비교",""))))</f>
        <v/>
      </c>
      <c r="R3599" s="9">
        <f>IF(Q3599="","",$K3599&amp;"")</f>
        <v/>
      </c>
      <c r="S3599" s="9">
        <f>IF(Q3599="","",IF(MATCH(R3599,$R$5:$R$100000,0)=ROW()-4,ROW(),""))</f>
        <v/>
      </c>
      <c r="T3599" s="9">
        <f>IF(Q3599="당기",ABS(P3599)+ROW()/1000000000,"")</f>
        <v/>
      </c>
      <c r="U3599" s="9">
        <f>IF(Q3599="비교",ABS(P3599)+ROW()/1000000000,"")</f>
        <v/>
      </c>
      <c r="V3599" s="64">
        <f>IF($A3599="","",IF(COUNTIF(변동분석!$E$7:$E$506,O3599)&gt;0,"Y","N"))</f>
        <v/>
      </c>
      <c r="W3599" s="64">
        <f>IF($A3599="","",IFERROR(INDEX(계정매핑!$D$5:$D$504,MATCH($F3599&amp;"",계정매핑!$A$5:$A$504,0)),"미매핑"))</f>
        <v/>
      </c>
      <c r="X3599" s="9">
        <f>IF($A3599="","",$F3599&amp;"")</f>
        <v/>
      </c>
      <c r="Y3599" s="94">
        <f>IF($A3599="",0,IF(AE3599="직접",IF(AF3599="비귀속",$P3599,0),$P3599*(1-AG3599)*IFERROR(INDEX(계정대체기준!$F$20:$F$49,MATCH($N3599,계정대체기준!$A$20:$A$49,0)),1)))</f>
        <v/>
      </c>
      <c r="Z3599" s="94">
        <f>IF($A3599="",0,IF(AE3599="직접",IF(AF3599="신계약비",$P3599,0),$P3599*(1-AG3599)*IFERROR(INDEX(계정대체기준!$C$20:$C$49,MATCH($N3599,계정대체기준!$A$20:$A$49,0)),0)))</f>
        <v/>
      </c>
      <c r="AA3599" s="94">
        <f>IF($A3599="",0,IF(AE3599="직접",IF(OR(AF3599="유지비",AF3599="손해조사비"),$P3599,0),$P3599*(1-AG3599)*IFERROR(INDEX(계정대체기준!$D$20:$D$49,MATCH($N3599,계정대체기준!$A$20:$A$49,0)),0)))</f>
        <v/>
      </c>
      <c r="AB3599" s="94">
        <f>IF($A3599="",0,IF(AE3599="직접",IF(AF3599="수금비",$P3599,0),$P3599*(1-AG3599)*IFERROR(INDEX(계정대체기준!$E$20:$E$49,MATCH($N3599,계정대체기준!$A$20:$A$49,0)),0)))</f>
        <v/>
      </c>
      <c r="AC3599" s="9">
        <f>IF(AND($A3599&lt;&gt;"",M3599=설정!$C$20,Z3599&gt;0),Z3599+ROW()/1000000000,"")</f>
        <v/>
      </c>
      <c r="AD3599" s="94">
        <f>IF($A3599="",0,$P3599*AG3599)</f>
        <v/>
      </c>
      <c r="AE3599" s="64">
        <f>IF($A3599="","",IFERROR(INDEX(계정매핑!$E$5:$E$504,MATCH($F3599&amp;"",계정매핑!$A$5:$A$504,0))&amp;"","공통비"))</f>
        <v/>
      </c>
      <c r="AF3599" s="64">
        <f>IF($A3599="","",IF(AE3599="직접",IFERROR(INDEX(계정매핑!$F$5:$F$504,MATCH($F3599&amp;"",계정매핑!$A$5:$A$504,0))&amp;"","비귀속"),""))</f>
        <v/>
      </c>
      <c r="AG3599" s="96">
        <f>IF($A3599="",0,IF(AND(AE3599&lt;&gt;"직접",IFERROR(INDEX(계정매핑!$G$5:$G$504,MATCH($F3599&amp;"",계정매핑!$A$5:$A$504,0))&amp;"","")="유지비",COUNTIF(계정대체기준!$A$6:$A$15,$N3599)&gt;0),IFERROR(INDEX(계정대체기준!$E$6:$E$15,MATCH(VALUE($A3599&amp;""),계정대체기준!$D$6:$D$15,0)),0),0))</f>
        <v/>
      </c>
      <c r="AH3599" s="64">
        <f>IF($A3599="","",IF(AD3599=0,"",IF(OR(COUNTIF(계정대체기준!$A$77:$A$86,$N3599)&gt;0,ISNUMBER(MATCH($X3599,계정대체기준!$D$77:$D$86,0)),ISNUMBER(MATCH($F3599,계정대체기준!$D$77:$D$86,0))),"Y","N")))</f>
        <v/>
      </c>
    </row>
    <row r="3600">
      <c r="A3600" s="92" t="n">
        <v>2026</v>
      </c>
      <c r="B3600" s="92" t="n">
        <v>4</v>
      </c>
      <c r="C3600" s="92" t="inlineStr">
        <is>
          <t>5100000878</t>
        </is>
      </c>
      <c r="D3600" s="95" t="n">
        <v>46135</v>
      </c>
      <c r="E3600" s="92" t="inlineStr">
        <is>
          <t>KR</t>
        </is>
      </c>
      <c r="F3600" s="92" t="n">
        <v>62401000</v>
      </c>
      <c r="G3600" s="92" t="n">
        <v>1801</v>
      </c>
      <c r="H3600" s="93" t="n">
        <v>2155000</v>
      </c>
      <c r="I3600" s="92" t="inlineStr">
        <is>
          <t>4월 인쇄물 제작 - G인쇄</t>
        </is>
      </c>
      <c r="J3600" s="92" t="inlineStr">
        <is>
          <t>V10004</t>
        </is>
      </c>
      <c r="K3600" s="92" t="inlineStr">
        <is>
          <t>G인쇄</t>
        </is>
      </c>
      <c r="M3600" s="9">
        <f>IF($A3600="","",VALUE($A3600&amp;"")*12+VALUE($B3600&amp;""))</f>
        <v/>
      </c>
      <c r="N3600" s="64">
        <f>IF($A3600="","",IFERROR(INDEX(부서매핑!$C$5:$C$504,MATCH($G3600&amp;"",부서매핑!$A$5:$A$504,0)),"미매핑"))</f>
        <v/>
      </c>
      <c r="O3600" s="9">
        <f>IF($A3600="","",N3600&amp;"|"&amp;$F3600)</f>
        <v/>
      </c>
      <c r="P3600" s="94">
        <f>IF($A3600="",0,$H3600*설정!$C$23)</f>
        <v/>
      </c>
      <c r="Q3600" s="64">
        <f>IF($A3600="","",IF(O3600&lt;&gt;원인분석!$C$9,"",IF(AND(M3600&gt;=원인분석!$C$10,M3600&lt;=원인분석!$C$11),"당기",IF(AND(M3600&gt;=원인분석!$C$12,M3600&lt;=원인분석!$C$13),"비교",""))))</f>
        <v/>
      </c>
      <c r="R3600" s="9">
        <f>IF(Q3600="","",$K3600&amp;"")</f>
        <v/>
      </c>
      <c r="S3600" s="9">
        <f>IF(Q3600="","",IF(MATCH(R3600,$R$5:$R$100000,0)=ROW()-4,ROW(),""))</f>
        <v/>
      </c>
      <c r="T3600" s="9">
        <f>IF(Q3600="당기",ABS(P3600)+ROW()/1000000000,"")</f>
        <v/>
      </c>
      <c r="U3600" s="9">
        <f>IF(Q3600="비교",ABS(P3600)+ROW()/1000000000,"")</f>
        <v/>
      </c>
      <c r="V3600" s="64">
        <f>IF($A3600="","",IF(COUNTIF(변동분석!$E$7:$E$506,O3600)&gt;0,"Y","N"))</f>
        <v/>
      </c>
      <c r="W3600" s="64">
        <f>IF($A3600="","",IFERROR(INDEX(계정매핑!$D$5:$D$504,MATCH($F3600&amp;"",계정매핑!$A$5:$A$504,0)),"미매핑"))</f>
        <v/>
      </c>
      <c r="X3600" s="9">
        <f>IF($A3600="","",$F3600&amp;"")</f>
        <v/>
      </c>
      <c r="Y3600" s="94">
        <f>IF($A3600="",0,IF(AE3600="직접",IF(AF3600="비귀속",$P3600,0),$P3600*(1-AG3600)*IFERROR(INDEX(계정대체기준!$F$20:$F$49,MATCH($N3600,계정대체기준!$A$20:$A$49,0)),1)))</f>
        <v/>
      </c>
      <c r="Z3600" s="94">
        <f>IF($A3600="",0,IF(AE3600="직접",IF(AF3600="신계약비",$P3600,0),$P3600*(1-AG3600)*IFERROR(INDEX(계정대체기준!$C$20:$C$49,MATCH($N3600,계정대체기준!$A$20:$A$49,0)),0)))</f>
        <v/>
      </c>
      <c r="AA3600" s="94">
        <f>IF($A3600="",0,IF(AE3600="직접",IF(OR(AF3600="유지비",AF3600="손해조사비"),$P3600,0),$P3600*(1-AG3600)*IFERROR(INDEX(계정대체기준!$D$20:$D$49,MATCH($N3600,계정대체기준!$A$20:$A$49,0)),0)))</f>
        <v/>
      </c>
      <c r="AB3600" s="94">
        <f>IF($A3600="",0,IF(AE3600="직접",IF(AF3600="수금비",$P3600,0),$P3600*(1-AG3600)*IFERROR(INDEX(계정대체기준!$E$20:$E$49,MATCH($N3600,계정대체기준!$A$20:$A$49,0)),0)))</f>
        <v/>
      </c>
      <c r="AC3600" s="9">
        <f>IF(AND($A3600&lt;&gt;"",M3600=설정!$C$20,Z3600&gt;0),Z3600+ROW()/1000000000,"")</f>
        <v/>
      </c>
      <c r="AD3600" s="94">
        <f>IF($A3600="",0,$P3600*AG3600)</f>
        <v/>
      </c>
      <c r="AE3600" s="64">
        <f>IF($A3600="","",IFERROR(INDEX(계정매핑!$E$5:$E$504,MATCH($F3600&amp;"",계정매핑!$A$5:$A$504,0))&amp;"","공통비"))</f>
        <v/>
      </c>
      <c r="AF3600" s="64">
        <f>IF($A3600="","",IF(AE3600="직접",IFERROR(INDEX(계정매핑!$F$5:$F$504,MATCH($F3600&amp;"",계정매핑!$A$5:$A$504,0))&amp;"","비귀속"),""))</f>
        <v/>
      </c>
      <c r="AG3600" s="96">
        <f>IF($A3600="",0,IF(AND(AE3600&lt;&gt;"직접",IFERROR(INDEX(계정매핑!$G$5:$G$504,MATCH($F3600&amp;"",계정매핑!$A$5:$A$504,0))&amp;"","")="유지비",COUNTIF(계정대체기준!$A$6:$A$15,$N3600)&gt;0),IFERROR(INDEX(계정대체기준!$E$6:$E$15,MATCH(VALUE($A3600&amp;""),계정대체기준!$D$6:$D$15,0)),0),0))</f>
        <v/>
      </c>
      <c r="AH3600" s="64">
        <f>IF($A3600="","",IF(AD3600=0,"",IF(OR(COUNTIF(계정대체기준!$A$77:$A$86,$N3600)&gt;0,ISNUMBER(MATCH($X3600,계정대체기준!$D$77:$D$86,0)),ISNUMBER(MATCH($F3600,계정대체기준!$D$77:$D$86,0))),"Y","N")))</f>
        <v/>
      </c>
    </row>
    <row r="3601">
      <c r="A3601" s="92" t="n">
        <v>2026</v>
      </c>
      <c r="B3601" s="92" t="n">
        <v>4</v>
      </c>
      <c r="C3601" s="92" t="inlineStr">
        <is>
          <t>5100000879</t>
        </is>
      </c>
      <c r="D3601" s="95" t="n">
        <v>46135</v>
      </c>
      <c r="E3601" s="92" t="inlineStr">
        <is>
          <t>KR</t>
        </is>
      </c>
      <c r="F3601" s="92" t="n">
        <v>62501000</v>
      </c>
      <c r="G3601" s="92" t="n">
        <v>1701</v>
      </c>
      <c r="H3601" s="93" t="n">
        <v>141000</v>
      </c>
      <c r="I3601" s="92" t="inlineStr">
        <is>
          <t>4월 회의 다과 - T케이터링</t>
        </is>
      </c>
      <c r="J3601" s="92" t="inlineStr">
        <is>
          <t>V10005</t>
        </is>
      </c>
      <c r="K3601" s="92" t="inlineStr">
        <is>
          <t>T케이터링</t>
        </is>
      </c>
      <c r="M3601" s="9">
        <f>IF($A3601="","",VALUE($A3601&amp;"")*12+VALUE($B3601&amp;""))</f>
        <v/>
      </c>
      <c r="N3601" s="64">
        <f>IF($A3601="","",IFERROR(INDEX(부서매핑!$C$5:$C$504,MATCH($G3601&amp;"",부서매핑!$A$5:$A$504,0)),"미매핑"))</f>
        <v/>
      </c>
      <c r="O3601" s="9">
        <f>IF($A3601="","",N3601&amp;"|"&amp;$F3601)</f>
        <v/>
      </c>
      <c r="P3601" s="94">
        <f>IF($A3601="",0,$H3601*설정!$C$23)</f>
        <v/>
      </c>
      <c r="Q3601" s="64">
        <f>IF($A3601="","",IF(O3601&lt;&gt;원인분석!$C$9,"",IF(AND(M3601&gt;=원인분석!$C$10,M3601&lt;=원인분석!$C$11),"당기",IF(AND(M3601&gt;=원인분석!$C$12,M3601&lt;=원인분석!$C$13),"비교",""))))</f>
        <v/>
      </c>
      <c r="R3601" s="9">
        <f>IF(Q3601="","",$K3601&amp;"")</f>
        <v/>
      </c>
      <c r="S3601" s="9">
        <f>IF(Q3601="","",IF(MATCH(R3601,$R$5:$R$100000,0)=ROW()-4,ROW(),""))</f>
        <v/>
      </c>
      <c r="T3601" s="9">
        <f>IF(Q3601="당기",ABS(P3601)+ROW()/1000000000,"")</f>
        <v/>
      </c>
      <c r="U3601" s="9">
        <f>IF(Q3601="비교",ABS(P3601)+ROW()/1000000000,"")</f>
        <v/>
      </c>
      <c r="V3601" s="64">
        <f>IF($A3601="","",IF(COUNTIF(변동분석!$E$7:$E$506,O3601)&gt;0,"Y","N"))</f>
        <v/>
      </c>
      <c r="W3601" s="64">
        <f>IF($A3601="","",IFERROR(INDEX(계정매핑!$D$5:$D$504,MATCH($F3601&amp;"",계정매핑!$A$5:$A$504,0)),"미매핑"))</f>
        <v/>
      </c>
      <c r="X3601" s="9">
        <f>IF($A3601="","",$F3601&amp;"")</f>
        <v/>
      </c>
      <c r="Y3601" s="94">
        <f>IF($A3601="",0,IF(AE3601="직접",IF(AF3601="비귀속",$P3601,0),$P3601*(1-AG3601)*IFERROR(INDEX(계정대체기준!$F$20:$F$49,MATCH($N3601,계정대체기준!$A$20:$A$49,0)),1)))</f>
        <v/>
      </c>
      <c r="Z3601" s="94">
        <f>IF($A3601="",0,IF(AE3601="직접",IF(AF3601="신계약비",$P3601,0),$P3601*(1-AG3601)*IFERROR(INDEX(계정대체기준!$C$20:$C$49,MATCH($N3601,계정대체기준!$A$20:$A$49,0)),0)))</f>
        <v/>
      </c>
      <c r="AA3601" s="94">
        <f>IF($A3601="",0,IF(AE3601="직접",IF(OR(AF3601="유지비",AF3601="손해조사비"),$P3601,0),$P3601*(1-AG3601)*IFERROR(INDEX(계정대체기준!$D$20:$D$49,MATCH($N3601,계정대체기준!$A$20:$A$49,0)),0)))</f>
        <v/>
      </c>
      <c r="AB3601" s="94">
        <f>IF($A3601="",0,IF(AE3601="직접",IF(AF3601="수금비",$P3601,0),$P3601*(1-AG3601)*IFERROR(INDEX(계정대체기준!$E$20:$E$49,MATCH($N3601,계정대체기준!$A$20:$A$49,0)),0)))</f>
        <v/>
      </c>
      <c r="AC3601" s="9">
        <f>IF(AND($A3601&lt;&gt;"",M3601=설정!$C$20,Z3601&gt;0),Z3601+ROW()/1000000000,"")</f>
        <v/>
      </c>
      <c r="AD3601" s="94">
        <f>IF($A3601="",0,$P3601*AG3601)</f>
        <v/>
      </c>
      <c r="AE3601" s="64">
        <f>IF($A3601="","",IFERROR(INDEX(계정매핑!$E$5:$E$504,MATCH($F3601&amp;"",계정매핑!$A$5:$A$504,0))&amp;"","공통비"))</f>
        <v/>
      </c>
      <c r="AF3601" s="64">
        <f>IF($A3601="","",IF(AE3601="직접",IFERROR(INDEX(계정매핑!$F$5:$F$504,MATCH($F3601&amp;"",계정매핑!$A$5:$A$504,0))&amp;"","비귀속"),""))</f>
        <v/>
      </c>
      <c r="AG3601" s="96">
        <f>IF($A3601="",0,IF(AND(AE3601&lt;&gt;"직접",IFERROR(INDEX(계정매핑!$G$5:$G$504,MATCH($F3601&amp;"",계정매핑!$A$5:$A$504,0))&amp;"","")="유지비",COUNTIF(계정대체기준!$A$6:$A$15,$N3601)&gt;0),IFERROR(INDEX(계정대체기준!$E$6:$E$15,MATCH(VALUE($A3601&amp;""),계정대체기준!$D$6:$D$15,0)),0),0))</f>
        <v/>
      </c>
      <c r="AH3601" s="64">
        <f>IF($A3601="","",IF(AD3601=0,"",IF(OR(COUNTIF(계정대체기준!$A$77:$A$86,$N3601)&gt;0,ISNUMBER(MATCH($X3601,계정대체기준!$D$77:$D$86,0)),ISNUMBER(MATCH($F3601,계정대체기준!$D$77:$D$86,0))),"Y","N")))</f>
        <v/>
      </c>
    </row>
    <row r="3602">
      <c r="A3602" s="92" t="n">
        <v>2026</v>
      </c>
      <c r="B3602" s="92" t="n">
        <v>4</v>
      </c>
      <c r="C3602" s="92" t="inlineStr">
        <is>
          <t>5100000880</t>
        </is>
      </c>
      <c r="D3602" s="95" t="n">
        <v>46135</v>
      </c>
      <c r="E3602" s="92" t="inlineStr">
        <is>
          <t>KR</t>
        </is>
      </c>
      <c r="F3602" s="92" t="n">
        <v>62901000</v>
      </c>
      <c r="G3602" s="92" t="n">
        <v>1201</v>
      </c>
      <c r="H3602" s="93" t="n">
        <v>4479000</v>
      </c>
      <c r="I3602" s="92" t="inlineStr">
        <is>
          <t>4월 자문 수수료 - K회계법인</t>
        </is>
      </c>
      <c r="J3602" s="92" t="inlineStr">
        <is>
          <t>V10011</t>
        </is>
      </c>
      <c r="K3602" s="92" t="inlineStr">
        <is>
          <t>K회계법인</t>
        </is>
      </c>
      <c r="M3602" s="9">
        <f>IF($A3602="","",VALUE($A3602&amp;"")*12+VALUE($B3602&amp;""))</f>
        <v/>
      </c>
      <c r="N3602" s="64">
        <f>IF($A3602="","",IFERROR(INDEX(부서매핑!$C$5:$C$504,MATCH($G3602&amp;"",부서매핑!$A$5:$A$504,0)),"미매핑"))</f>
        <v/>
      </c>
      <c r="O3602" s="9">
        <f>IF($A3602="","",N3602&amp;"|"&amp;$F3602)</f>
        <v/>
      </c>
      <c r="P3602" s="94">
        <f>IF($A3602="",0,$H3602*설정!$C$23)</f>
        <v/>
      </c>
      <c r="Q3602" s="64">
        <f>IF($A3602="","",IF(O3602&lt;&gt;원인분석!$C$9,"",IF(AND(M3602&gt;=원인분석!$C$10,M3602&lt;=원인분석!$C$11),"당기",IF(AND(M3602&gt;=원인분석!$C$12,M3602&lt;=원인분석!$C$13),"비교",""))))</f>
        <v/>
      </c>
      <c r="R3602" s="9">
        <f>IF(Q3602="","",$K3602&amp;"")</f>
        <v/>
      </c>
      <c r="S3602" s="9">
        <f>IF(Q3602="","",IF(MATCH(R3602,$R$5:$R$100000,0)=ROW()-4,ROW(),""))</f>
        <v/>
      </c>
      <c r="T3602" s="9">
        <f>IF(Q3602="당기",ABS(P3602)+ROW()/1000000000,"")</f>
        <v/>
      </c>
      <c r="U3602" s="9">
        <f>IF(Q3602="비교",ABS(P3602)+ROW()/1000000000,"")</f>
        <v/>
      </c>
      <c r="V3602" s="64">
        <f>IF($A3602="","",IF(COUNTIF(변동분석!$E$7:$E$506,O3602)&gt;0,"Y","N"))</f>
        <v/>
      </c>
      <c r="W3602" s="64">
        <f>IF($A3602="","",IFERROR(INDEX(계정매핑!$D$5:$D$504,MATCH($F3602&amp;"",계정매핑!$A$5:$A$504,0)),"미매핑"))</f>
        <v/>
      </c>
      <c r="X3602" s="9">
        <f>IF($A3602="","",$F3602&amp;"")</f>
        <v/>
      </c>
      <c r="Y3602" s="94">
        <f>IF($A3602="",0,IF(AE3602="직접",IF(AF3602="비귀속",$P3602,0),$P3602*(1-AG3602)*IFERROR(INDEX(계정대체기준!$F$20:$F$49,MATCH($N3602,계정대체기준!$A$20:$A$49,0)),1)))</f>
        <v/>
      </c>
      <c r="Z3602" s="94">
        <f>IF($A3602="",0,IF(AE3602="직접",IF(AF3602="신계약비",$P3602,0),$P3602*(1-AG3602)*IFERROR(INDEX(계정대체기준!$C$20:$C$49,MATCH($N3602,계정대체기준!$A$20:$A$49,0)),0)))</f>
        <v/>
      </c>
      <c r="AA3602" s="94">
        <f>IF($A3602="",0,IF(AE3602="직접",IF(OR(AF3602="유지비",AF3602="손해조사비"),$P3602,0),$P3602*(1-AG3602)*IFERROR(INDEX(계정대체기준!$D$20:$D$49,MATCH($N3602,계정대체기준!$A$20:$A$49,0)),0)))</f>
        <v/>
      </c>
      <c r="AB3602" s="94">
        <f>IF($A3602="",0,IF(AE3602="직접",IF(AF3602="수금비",$P3602,0),$P3602*(1-AG3602)*IFERROR(INDEX(계정대체기준!$E$20:$E$49,MATCH($N3602,계정대체기준!$A$20:$A$49,0)),0)))</f>
        <v/>
      </c>
      <c r="AC3602" s="9">
        <f>IF(AND($A3602&lt;&gt;"",M3602=설정!$C$20,Z3602&gt;0),Z3602+ROW()/1000000000,"")</f>
        <v/>
      </c>
      <c r="AD3602" s="94">
        <f>IF($A3602="",0,$P3602*AG3602)</f>
        <v/>
      </c>
      <c r="AE3602" s="64">
        <f>IF($A3602="","",IFERROR(INDEX(계정매핑!$E$5:$E$504,MATCH($F3602&amp;"",계정매핑!$A$5:$A$504,0))&amp;"","공통비"))</f>
        <v/>
      </c>
      <c r="AF3602" s="64">
        <f>IF($A3602="","",IF(AE3602="직접",IFERROR(INDEX(계정매핑!$F$5:$F$504,MATCH($F3602&amp;"",계정매핑!$A$5:$A$504,0))&amp;"","비귀속"),""))</f>
        <v/>
      </c>
      <c r="AG3602" s="96">
        <f>IF($A3602="",0,IF(AND(AE3602&lt;&gt;"직접",IFERROR(INDEX(계정매핑!$G$5:$G$504,MATCH($F3602&amp;"",계정매핑!$A$5:$A$504,0))&amp;"","")="유지비",COUNTIF(계정대체기준!$A$6:$A$15,$N3602)&gt;0),IFERROR(INDEX(계정대체기준!$E$6:$E$15,MATCH(VALUE($A3602&amp;""),계정대체기준!$D$6:$D$15,0)),0),0))</f>
        <v/>
      </c>
      <c r="AH3602" s="64">
        <f>IF($A3602="","",IF(AD3602=0,"",IF(OR(COUNTIF(계정대체기준!$A$77:$A$86,$N3602)&gt;0,ISNUMBER(MATCH($X3602,계정대체기준!$D$77:$D$86,0)),ISNUMBER(MATCH($F3602,계정대체기준!$D$77:$D$86,0))),"Y","N")))</f>
        <v/>
      </c>
    </row>
    <row r="3603">
      <c r="A3603" s="92" t="n">
        <v>2026</v>
      </c>
      <c r="B3603" s="92" t="n">
        <v>4</v>
      </c>
      <c r="C3603" s="92" t="inlineStr">
        <is>
          <t>5100000881</t>
        </is>
      </c>
      <c r="D3603" s="95" t="n">
        <v>46136</v>
      </c>
      <c r="E3603" s="92" t="inlineStr">
        <is>
          <t>KR</t>
        </is>
      </c>
      <c r="F3603" s="92" t="n">
        <v>62201000</v>
      </c>
      <c r="G3603" s="92" t="n">
        <v>1201</v>
      </c>
      <c r="H3603" s="93" t="n">
        <v>202000</v>
      </c>
      <c r="I3603" s="92" t="inlineStr">
        <is>
          <t>4월 통신요금 - P통신</t>
        </is>
      </c>
      <c r="J3603" s="92" t="inlineStr">
        <is>
          <t>V10014</t>
        </is>
      </c>
      <c r="K3603" s="92" t="inlineStr">
        <is>
          <t>P통신</t>
        </is>
      </c>
      <c r="M3603" s="9">
        <f>IF($A3603="","",VALUE($A3603&amp;"")*12+VALUE($B3603&amp;""))</f>
        <v/>
      </c>
      <c r="N3603" s="64">
        <f>IF($A3603="","",IFERROR(INDEX(부서매핑!$C$5:$C$504,MATCH($G3603&amp;"",부서매핑!$A$5:$A$504,0)),"미매핑"))</f>
        <v/>
      </c>
      <c r="O3603" s="9">
        <f>IF($A3603="","",N3603&amp;"|"&amp;$F3603)</f>
        <v/>
      </c>
      <c r="P3603" s="94">
        <f>IF($A3603="",0,$H3603*설정!$C$23)</f>
        <v/>
      </c>
      <c r="Q3603" s="64">
        <f>IF($A3603="","",IF(O3603&lt;&gt;원인분석!$C$9,"",IF(AND(M3603&gt;=원인분석!$C$10,M3603&lt;=원인분석!$C$11),"당기",IF(AND(M3603&gt;=원인분석!$C$12,M3603&lt;=원인분석!$C$13),"비교",""))))</f>
        <v/>
      </c>
      <c r="R3603" s="9">
        <f>IF(Q3603="","",$K3603&amp;"")</f>
        <v/>
      </c>
      <c r="S3603" s="9">
        <f>IF(Q3603="","",IF(MATCH(R3603,$R$5:$R$100000,0)=ROW()-4,ROW(),""))</f>
        <v/>
      </c>
      <c r="T3603" s="9">
        <f>IF(Q3603="당기",ABS(P3603)+ROW()/1000000000,"")</f>
        <v/>
      </c>
      <c r="U3603" s="9">
        <f>IF(Q3603="비교",ABS(P3603)+ROW()/1000000000,"")</f>
        <v/>
      </c>
      <c r="V3603" s="64">
        <f>IF($A3603="","",IF(COUNTIF(변동분석!$E$7:$E$506,O3603)&gt;0,"Y","N"))</f>
        <v/>
      </c>
      <c r="W3603" s="64">
        <f>IF($A3603="","",IFERROR(INDEX(계정매핑!$D$5:$D$504,MATCH($F3603&amp;"",계정매핑!$A$5:$A$504,0)),"미매핑"))</f>
        <v/>
      </c>
      <c r="X3603" s="9">
        <f>IF($A3603="","",$F3603&amp;"")</f>
        <v/>
      </c>
      <c r="Y3603" s="94">
        <f>IF($A3603="",0,IF(AE3603="직접",IF(AF3603="비귀속",$P3603,0),$P3603*(1-AG3603)*IFERROR(INDEX(계정대체기준!$F$20:$F$49,MATCH($N3603,계정대체기준!$A$20:$A$49,0)),1)))</f>
        <v/>
      </c>
      <c r="Z3603" s="94">
        <f>IF($A3603="",0,IF(AE3603="직접",IF(AF3603="신계약비",$P3603,0),$P3603*(1-AG3603)*IFERROR(INDEX(계정대체기준!$C$20:$C$49,MATCH($N3603,계정대체기준!$A$20:$A$49,0)),0)))</f>
        <v/>
      </c>
      <c r="AA3603" s="94">
        <f>IF($A3603="",0,IF(AE3603="직접",IF(OR(AF3603="유지비",AF3603="손해조사비"),$P3603,0),$P3603*(1-AG3603)*IFERROR(INDEX(계정대체기준!$D$20:$D$49,MATCH($N3603,계정대체기준!$A$20:$A$49,0)),0)))</f>
        <v/>
      </c>
      <c r="AB3603" s="94">
        <f>IF($A3603="",0,IF(AE3603="직접",IF(AF3603="수금비",$P3603,0),$P3603*(1-AG3603)*IFERROR(INDEX(계정대체기준!$E$20:$E$49,MATCH($N3603,계정대체기준!$A$20:$A$49,0)),0)))</f>
        <v/>
      </c>
      <c r="AC3603" s="9">
        <f>IF(AND($A3603&lt;&gt;"",M3603=설정!$C$20,Z3603&gt;0),Z3603+ROW()/1000000000,"")</f>
        <v/>
      </c>
      <c r="AD3603" s="94">
        <f>IF($A3603="",0,$P3603*AG3603)</f>
        <v/>
      </c>
      <c r="AE3603" s="64">
        <f>IF($A3603="","",IFERROR(INDEX(계정매핑!$E$5:$E$504,MATCH($F3603&amp;"",계정매핑!$A$5:$A$504,0))&amp;"","공통비"))</f>
        <v/>
      </c>
      <c r="AF3603" s="64">
        <f>IF($A3603="","",IF(AE3603="직접",IFERROR(INDEX(계정매핑!$F$5:$F$504,MATCH($F3603&amp;"",계정매핑!$A$5:$A$504,0))&amp;"","비귀속"),""))</f>
        <v/>
      </c>
      <c r="AG3603" s="96">
        <f>IF($A3603="",0,IF(AND(AE3603&lt;&gt;"직접",IFERROR(INDEX(계정매핑!$G$5:$G$504,MATCH($F3603&amp;"",계정매핑!$A$5:$A$504,0))&amp;"","")="유지비",COUNTIF(계정대체기준!$A$6:$A$15,$N3603)&gt;0),IFERROR(INDEX(계정대체기준!$E$6:$E$15,MATCH(VALUE($A3603&amp;""),계정대체기준!$D$6:$D$15,0)),0),0))</f>
        <v/>
      </c>
      <c r="AH3603" s="64">
        <f>IF($A3603="","",IF(AD3603=0,"",IF(OR(COUNTIF(계정대체기준!$A$77:$A$86,$N3603)&gt;0,ISNUMBER(MATCH($X3603,계정대체기준!$D$77:$D$86,0)),ISNUMBER(MATCH($F3603,계정대체기준!$D$77:$D$86,0))),"Y","N")))</f>
        <v/>
      </c>
    </row>
    <row r="3604">
      <c r="A3604" s="92" t="n">
        <v>2026</v>
      </c>
      <c r="B3604" s="92" t="n">
        <v>4</v>
      </c>
      <c r="C3604" s="92" t="inlineStr">
        <is>
          <t>5100000882</t>
        </is>
      </c>
      <c r="D3604" s="95" t="n">
        <v>46136</v>
      </c>
      <c r="E3604" s="92" t="inlineStr">
        <is>
          <t>KR</t>
        </is>
      </c>
      <c r="F3604" s="92" t="n">
        <v>62201000</v>
      </c>
      <c r="G3604" s="92" t="n">
        <v>1301</v>
      </c>
      <c r="H3604" s="93" t="n">
        <v>143000</v>
      </c>
      <c r="I3604" s="92" t="inlineStr">
        <is>
          <t>4월 통신요금 - P통신</t>
        </is>
      </c>
      <c r="J3604" s="92" t="inlineStr">
        <is>
          <t>V10014</t>
        </is>
      </c>
      <c r="K3604" s="92" t="inlineStr">
        <is>
          <t>P통신</t>
        </is>
      </c>
      <c r="M3604" s="9">
        <f>IF($A3604="","",VALUE($A3604&amp;"")*12+VALUE($B3604&amp;""))</f>
        <v/>
      </c>
      <c r="N3604" s="64">
        <f>IF($A3604="","",IFERROR(INDEX(부서매핑!$C$5:$C$504,MATCH($G3604&amp;"",부서매핑!$A$5:$A$504,0)),"미매핑"))</f>
        <v/>
      </c>
      <c r="O3604" s="9">
        <f>IF($A3604="","",N3604&amp;"|"&amp;$F3604)</f>
        <v/>
      </c>
      <c r="P3604" s="94">
        <f>IF($A3604="",0,$H3604*설정!$C$23)</f>
        <v/>
      </c>
      <c r="Q3604" s="64">
        <f>IF($A3604="","",IF(O3604&lt;&gt;원인분석!$C$9,"",IF(AND(M3604&gt;=원인분석!$C$10,M3604&lt;=원인분석!$C$11),"당기",IF(AND(M3604&gt;=원인분석!$C$12,M3604&lt;=원인분석!$C$13),"비교",""))))</f>
        <v/>
      </c>
      <c r="R3604" s="9">
        <f>IF(Q3604="","",$K3604&amp;"")</f>
        <v/>
      </c>
      <c r="S3604" s="9">
        <f>IF(Q3604="","",IF(MATCH(R3604,$R$5:$R$100000,0)=ROW()-4,ROW(),""))</f>
        <v/>
      </c>
      <c r="T3604" s="9">
        <f>IF(Q3604="당기",ABS(P3604)+ROW()/1000000000,"")</f>
        <v/>
      </c>
      <c r="U3604" s="9">
        <f>IF(Q3604="비교",ABS(P3604)+ROW()/1000000000,"")</f>
        <v/>
      </c>
      <c r="V3604" s="64">
        <f>IF($A3604="","",IF(COUNTIF(변동분석!$E$7:$E$506,O3604)&gt;0,"Y","N"))</f>
        <v/>
      </c>
      <c r="W3604" s="64">
        <f>IF($A3604="","",IFERROR(INDEX(계정매핑!$D$5:$D$504,MATCH($F3604&amp;"",계정매핑!$A$5:$A$504,0)),"미매핑"))</f>
        <v/>
      </c>
      <c r="X3604" s="9">
        <f>IF($A3604="","",$F3604&amp;"")</f>
        <v/>
      </c>
      <c r="Y3604" s="94">
        <f>IF($A3604="",0,IF(AE3604="직접",IF(AF3604="비귀속",$P3604,0),$P3604*(1-AG3604)*IFERROR(INDEX(계정대체기준!$F$20:$F$49,MATCH($N3604,계정대체기준!$A$20:$A$49,0)),1)))</f>
        <v/>
      </c>
      <c r="Z3604" s="94">
        <f>IF($A3604="",0,IF(AE3604="직접",IF(AF3604="신계약비",$P3604,0),$P3604*(1-AG3604)*IFERROR(INDEX(계정대체기준!$C$20:$C$49,MATCH($N3604,계정대체기준!$A$20:$A$49,0)),0)))</f>
        <v/>
      </c>
      <c r="AA3604" s="94">
        <f>IF($A3604="",0,IF(AE3604="직접",IF(OR(AF3604="유지비",AF3604="손해조사비"),$P3604,0),$P3604*(1-AG3604)*IFERROR(INDEX(계정대체기준!$D$20:$D$49,MATCH($N3604,계정대체기준!$A$20:$A$49,0)),0)))</f>
        <v/>
      </c>
      <c r="AB3604" s="94">
        <f>IF($A3604="",0,IF(AE3604="직접",IF(AF3604="수금비",$P3604,0),$P3604*(1-AG3604)*IFERROR(INDEX(계정대체기준!$E$20:$E$49,MATCH($N3604,계정대체기준!$A$20:$A$49,0)),0)))</f>
        <v/>
      </c>
      <c r="AC3604" s="9">
        <f>IF(AND($A3604&lt;&gt;"",M3604=설정!$C$20,Z3604&gt;0),Z3604+ROW()/1000000000,"")</f>
        <v/>
      </c>
      <c r="AD3604" s="94">
        <f>IF($A3604="",0,$P3604*AG3604)</f>
        <v/>
      </c>
      <c r="AE3604" s="64">
        <f>IF($A3604="","",IFERROR(INDEX(계정매핑!$E$5:$E$504,MATCH($F3604&amp;"",계정매핑!$A$5:$A$504,0))&amp;"","공통비"))</f>
        <v/>
      </c>
      <c r="AF3604" s="64">
        <f>IF($A3604="","",IF(AE3604="직접",IFERROR(INDEX(계정매핑!$F$5:$F$504,MATCH($F3604&amp;"",계정매핑!$A$5:$A$504,0))&amp;"","비귀속"),""))</f>
        <v/>
      </c>
      <c r="AG3604" s="96">
        <f>IF($A3604="",0,IF(AND(AE3604&lt;&gt;"직접",IFERROR(INDEX(계정매핑!$G$5:$G$504,MATCH($F3604&amp;"",계정매핑!$A$5:$A$504,0))&amp;"","")="유지비",COUNTIF(계정대체기준!$A$6:$A$15,$N3604)&gt;0),IFERROR(INDEX(계정대체기준!$E$6:$E$15,MATCH(VALUE($A3604&amp;""),계정대체기준!$D$6:$D$15,0)),0),0))</f>
        <v/>
      </c>
      <c r="AH3604" s="64">
        <f>IF($A3604="","",IF(AD3604=0,"",IF(OR(COUNTIF(계정대체기준!$A$77:$A$86,$N3604)&gt;0,ISNUMBER(MATCH($X3604,계정대체기준!$D$77:$D$86,0)),ISNUMBER(MATCH($F3604,계정대체기준!$D$77:$D$86,0))),"Y","N")))</f>
        <v/>
      </c>
    </row>
    <row r="3605">
      <c r="A3605" s="92" t="n">
        <v>2026</v>
      </c>
      <c r="B3605" s="92" t="n">
        <v>4</v>
      </c>
      <c r="C3605" s="92" t="inlineStr">
        <is>
          <t>5100000883</t>
        </is>
      </c>
      <c r="D3605" s="95" t="n">
        <v>46136</v>
      </c>
      <c r="E3605" s="92" t="inlineStr">
        <is>
          <t>KR</t>
        </is>
      </c>
      <c r="F3605" s="92" t="n">
        <v>62301000</v>
      </c>
      <c r="G3605" s="92" t="n">
        <v>1101</v>
      </c>
      <c r="H3605" s="93" t="n">
        <v>120000</v>
      </c>
      <c r="I3605" s="92" t="inlineStr">
        <is>
          <t>4월 소모품 구입 - R문구</t>
        </is>
      </c>
      <c r="J3605" s="92" t="inlineStr">
        <is>
          <t>V10022</t>
        </is>
      </c>
      <c r="K3605" s="92" t="inlineStr">
        <is>
          <t>R문구</t>
        </is>
      </c>
      <c r="M3605" s="9">
        <f>IF($A3605="","",VALUE($A3605&amp;"")*12+VALUE($B3605&amp;""))</f>
        <v/>
      </c>
      <c r="N3605" s="64">
        <f>IF($A3605="","",IFERROR(INDEX(부서매핑!$C$5:$C$504,MATCH($G3605&amp;"",부서매핑!$A$5:$A$504,0)),"미매핑"))</f>
        <v/>
      </c>
      <c r="O3605" s="9">
        <f>IF($A3605="","",N3605&amp;"|"&amp;$F3605)</f>
        <v/>
      </c>
      <c r="P3605" s="94">
        <f>IF($A3605="",0,$H3605*설정!$C$23)</f>
        <v/>
      </c>
      <c r="Q3605" s="64">
        <f>IF($A3605="","",IF(O3605&lt;&gt;원인분석!$C$9,"",IF(AND(M3605&gt;=원인분석!$C$10,M3605&lt;=원인분석!$C$11),"당기",IF(AND(M3605&gt;=원인분석!$C$12,M3605&lt;=원인분석!$C$13),"비교",""))))</f>
        <v/>
      </c>
      <c r="R3605" s="9">
        <f>IF(Q3605="","",$K3605&amp;"")</f>
        <v/>
      </c>
      <c r="S3605" s="9">
        <f>IF(Q3605="","",IF(MATCH(R3605,$R$5:$R$100000,0)=ROW()-4,ROW(),""))</f>
        <v/>
      </c>
      <c r="T3605" s="9">
        <f>IF(Q3605="당기",ABS(P3605)+ROW()/1000000000,"")</f>
        <v/>
      </c>
      <c r="U3605" s="9">
        <f>IF(Q3605="비교",ABS(P3605)+ROW()/1000000000,"")</f>
        <v/>
      </c>
      <c r="V3605" s="64">
        <f>IF($A3605="","",IF(COUNTIF(변동분석!$E$7:$E$506,O3605)&gt;0,"Y","N"))</f>
        <v/>
      </c>
      <c r="W3605" s="64">
        <f>IF($A3605="","",IFERROR(INDEX(계정매핑!$D$5:$D$504,MATCH($F3605&amp;"",계정매핑!$A$5:$A$504,0)),"미매핑"))</f>
        <v/>
      </c>
      <c r="X3605" s="9">
        <f>IF($A3605="","",$F3605&amp;"")</f>
        <v/>
      </c>
      <c r="Y3605" s="94">
        <f>IF($A3605="",0,IF(AE3605="직접",IF(AF3605="비귀속",$P3605,0),$P3605*(1-AG3605)*IFERROR(INDEX(계정대체기준!$F$20:$F$49,MATCH($N3605,계정대체기준!$A$20:$A$49,0)),1)))</f>
        <v/>
      </c>
      <c r="Z3605" s="94">
        <f>IF($A3605="",0,IF(AE3605="직접",IF(AF3605="신계약비",$P3605,0),$P3605*(1-AG3605)*IFERROR(INDEX(계정대체기준!$C$20:$C$49,MATCH($N3605,계정대체기준!$A$20:$A$49,0)),0)))</f>
        <v/>
      </c>
      <c r="AA3605" s="94">
        <f>IF($A3605="",0,IF(AE3605="직접",IF(OR(AF3605="유지비",AF3605="손해조사비"),$P3605,0),$P3605*(1-AG3605)*IFERROR(INDEX(계정대체기준!$D$20:$D$49,MATCH($N3605,계정대체기준!$A$20:$A$49,0)),0)))</f>
        <v/>
      </c>
      <c r="AB3605" s="94">
        <f>IF($A3605="",0,IF(AE3605="직접",IF(AF3605="수금비",$P3605,0),$P3605*(1-AG3605)*IFERROR(INDEX(계정대체기준!$E$20:$E$49,MATCH($N3605,계정대체기준!$A$20:$A$49,0)),0)))</f>
        <v/>
      </c>
      <c r="AC3605" s="9">
        <f>IF(AND($A3605&lt;&gt;"",M3605=설정!$C$20,Z3605&gt;0),Z3605+ROW()/1000000000,"")</f>
        <v/>
      </c>
      <c r="AD3605" s="94">
        <f>IF($A3605="",0,$P3605*AG3605)</f>
        <v/>
      </c>
      <c r="AE3605" s="64">
        <f>IF($A3605="","",IFERROR(INDEX(계정매핑!$E$5:$E$504,MATCH($F3605&amp;"",계정매핑!$A$5:$A$504,0))&amp;"","공통비"))</f>
        <v/>
      </c>
      <c r="AF3605" s="64">
        <f>IF($A3605="","",IF(AE3605="직접",IFERROR(INDEX(계정매핑!$F$5:$F$504,MATCH($F3605&amp;"",계정매핑!$A$5:$A$504,0))&amp;"","비귀속"),""))</f>
        <v/>
      </c>
      <c r="AG3605" s="96">
        <f>IF($A3605="",0,IF(AND(AE3605&lt;&gt;"직접",IFERROR(INDEX(계정매핑!$G$5:$G$504,MATCH($F3605&amp;"",계정매핑!$A$5:$A$504,0))&amp;"","")="유지비",COUNTIF(계정대체기준!$A$6:$A$15,$N3605)&gt;0),IFERROR(INDEX(계정대체기준!$E$6:$E$15,MATCH(VALUE($A3605&amp;""),계정대체기준!$D$6:$D$15,0)),0),0))</f>
        <v/>
      </c>
      <c r="AH3605" s="64">
        <f>IF($A3605="","",IF(AD3605=0,"",IF(OR(COUNTIF(계정대체기준!$A$77:$A$86,$N3605)&gt;0,ISNUMBER(MATCH($X3605,계정대체기준!$D$77:$D$86,0)),ISNUMBER(MATCH($F3605,계정대체기준!$D$77:$D$86,0))),"Y","N")))</f>
        <v/>
      </c>
    </row>
    <row r="3606">
      <c r="A3606" s="92" t="n">
        <v>2026</v>
      </c>
      <c r="B3606" s="92" t="n">
        <v>4</v>
      </c>
      <c r="C3606" s="92" t="inlineStr">
        <is>
          <t>5100000884</t>
        </is>
      </c>
      <c r="D3606" s="95" t="n">
        <v>46136</v>
      </c>
      <c r="E3606" s="92" t="inlineStr">
        <is>
          <t>KR</t>
        </is>
      </c>
      <c r="F3606" s="92" t="n">
        <v>62501000</v>
      </c>
      <c r="G3606" s="92" t="n">
        <v>1101</v>
      </c>
      <c r="H3606" s="93" t="n">
        <v>296000</v>
      </c>
      <c r="I3606" s="92" t="inlineStr">
        <is>
          <t>4월 회의 다과 - (법인카드)</t>
        </is>
      </c>
      <c r="J3606" s="92" t="inlineStr">
        <is>
          <t>V10010</t>
        </is>
      </c>
      <c r="K3606" s="92" t="inlineStr">
        <is>
          <t>(법인카드)</t>
        </is>
      </c>
      <c r="M3606" s="9">
        <f>IF($A3606="","",VALUE($A3606&amp;"")*12+VALUE($B3606&amp;""))</f>
        <v/>
      </c>
      <c r="N3606" s="64">
        <f>IF($A3606="","",IFERROR(INDEX(부서매핑!$C$5:$C$504,MATCH($G3606&amp;"",부서매핑!$A$5:$A$504,0)),"미매핑"))</f>
        <v/>
      </c>
      <c r="O3606" s="9">
        <f>IF($A3606="","",N3606&amp;"|"&amp;$F3606)</f>
        <v/>
      </c>
      <c r="P3606" s="94">
        <f>IF($A3606="",0,$H3606*설정!$C$23)</f>
        <v/>
      </c>
      <c r="Q3606" s="64">
        <f>IF($A3606="","",IF(O3606&lt;&gt;원인분석!$C$9,"",IF(AND(M3606&gt;=원인분석!$C$10,M3606&lt;=원인분석!$C$11),"당기",IF(AND(M3606&gt;=원인분석!$C$12,M3606&lt;=원인분석!$C$13),"비교",""))))</f>
        <v/>
      </c>
      <c r="R3606" s="9">
        <f>IF(Q3606="","",$K3606&amp;"")</f>
        <v/>
      </c>
      <c r="S3606" s="9">
        <f>IF(Q3606="","",IF(MATCH(R3606,$R$5:$R$100000,0)=ROW()-4,ROW(),""))</f>
        <v/>
      </c>
      <c r="T3606" s="9">
        <f>IF(Q3606="당기",ABS(P3606)+ROW()/1000000000,"")</f>
        <v/>
      </c>
      <c r="U3606" s="9">
        <f>IF(Q3606="비교",ABS(P3606)+ROW()/1000000000,"")</f>
        <v/>
      </c>
      <c r="V3606" s="64">
        <f>IF($A3606="","",IF(COUNTIF(변동분석!$E$7:$E$506,O3606)&gt;0,"Y","N"))</f>
        <v/>
      </c>
      <c r="W3606" s="64">
        <f>IF($A3606="","",IFERROR(INDEX(계정매핑!$D$5:$D$504,MATCH($F3606&amp;"",계정매핑!$A$5:$A$504,0)),"미매핑"))</f>
        <v/>
      </c>
      <c r="X3606" s="9">
        <f>IF($A3606="","",$F3606&amp;"")</f>
        <v/>
      </c>
      <c r="Y3606" s="94">
        <f>IF($A3606="",0,IF(AE3606="직접",IF(AF3606="비귀속",$P3606,0),$P3606*(1-AG3606)*IFERROR(INDEX(계정대체기준!$F$20:$F$49,MATCH($N3606,계정대체기준!$A$20:$A$49,0)),1)))</f>
        <v/>
      </c>
      <c r="Z3606" s="94">
        <f>IF($A3606="",0,IF(AE3606="직접",IF(AF3606="신계약비",$P3606,0),$P3606*(1-AG3606)*IFERROR(INDEX(계정대체기준!$C$20:$C$49,MATCH($N3606,계정대체기준!$A$20:$A$49,0)),0)))</f>
        <v/>
      </c>
      <c r="AA3606" s="94">
        <f>IF($A3606="",0,IF(AE3606="직접",IF(OR(AF3606="유지비",AF3606="손해조사비"),$P3606,0),$P3606*(1-AG3606)*IFERROR(INDEX(계정대체기준!$D$20:$D$49,MATCH($N3606,계정대체기준!$A$20:$A$49,0)),0)))</f>
        <v/>
      </c>
      <c r="AB3606" s="94">
        <f>IF($A3606="",0,IF(AE3606="직접",IF(AF3606="수금비",$P3606,0),$P3606*(1-AG3606)*IFERROR(INDEX(계정대체기준!$E$20:$E$49,MATCH($N3606,계정대체기준!$A$20:$A$49,0)),0)))</f>
        <v/>
      </c>
      <c r="AC3606" s="9">
        <f>IF(AND($A3606&lt;&gt;"",M3606=설정!$C$20,Z3606&gt;0),Z3606+ROW()/1000000000,"")</f>
        <v/>
      </c>
      <c r="AD3606" s="94">
        <f>IF($A3606="",0,$P3606*AG3606)</f>
        <v/>
      </c>
      <c r="AE3606" s="64">
        <f>IF($A3606="","",IFERROR(INDEX(계정매핑!$E$5:$E$504,MATCH($F3606&amp;"",계정매핑!$A$5:$A$504,0))&amp;"","공통비"))</f>
        <v/>
      </c>
      <c r="AF3606" s="64">
        <f>IF($A3606="","",IF(AE3606="직접",IFERROR(INDEX(계정매핑!$F$5:$F$504,MATCH($F3606&amp;"",계정매핑!$A$5:$A$504,0))&amp;"","비귀속"),""))</f>
        <v/>
      </c>
      <c r="AG3606" s="96">
        <f>IF($A3606="",0,IF(AND(AE3606&lt;&gt;"직접",IFERROR(INDEX(계정매핑!$G$5:$G$504,MATCH($F3606&amp;"",계정매핑!$A$5:$A$504,0))&amp;"","")="유지비",COUNTIF(계정대체기준!$A$6:$A$15,$N3606)&gt;0),IFERROR(INDEX(계정대체기준!$E$6:$E$15,MATCH(VALUE($A3606&amp;""),계정대체기준!$D$6:$D$15,0)),0),0))</f>
        <v/>
      </c>
      <c r="AH3606" s="64">
        <f>IF($A3606="","",IF(AD3606=0,"",IF(OR(COUNTIF(계정대체기준!$A$77:$A$86,$N3606)&gt;0,ISNUMBER(MATCH($X3606,계정대체기준!$D$77:$D$86,0)),ISNUMBER(MATCH($F3606,계정대체기준!$D$77:$D$86,0))),"Y","N")))</f>
        <v/>
      </c>
    </row>
    <row r="3607">
      <c r="A3607" s="92" t="n">
        <v>2026</v>
      </c>
      <c r="B3607" s="92" t="n">
        <v>4</v>
      </c>
      <c r="C3607" s="92" t="inlineStr">
        <is>
          <t>5100000885</t>
        </is>
      </c>
      <c r="D3607" s="95" t="n">
        <v>46136</v>
      </c>
      <c r="E3607" s="92" t="inlineStr">
        <is>
          <t>KR</t>
        </is>
      </c>
      <c r="F3607" s="92" t="n">
        <v>62501000</v>
      </c>
      <c r="G3607" s="92" t="n">
        <v>1401</v>
      </c>
      <c r="H3607" s="93" t="n">
        <v>100000</v>
      </c>
      <c r="I3607" s="92" t="inlineStr">
        <is>
          <t>4월 회의 다과 - (법인카드)</t>
        </is>
      </c>
      <c r="J3607" s="92" t="inlineStr">
        <is>
          <t>V10010</t>
        </is>
      </c>
      <c r="K3607" s="92" t="inlineStr">
        <is>
          <t>(법인카드)</t>
        </is>
      </c>
      <c r="M3607" s="9">
        <f>IF($A3607="","",VALUE($A3607&amp;"")*12+VALUE($B3607&amp;""))</f>
        <v/>
      </c>
      <c r="N3607" s="64">
        <f>IF($A3607="","",IFERROR(INDEX(부서매핑!$C$5:$C$504,MATCH($G3607&amp;"",부서매핑!$A$5:$A$504,0)),"미매핑"))</f>
        <v/>
      </c>
      <c r="O3607" s="9">
        <f>IF($A3607="","",N3607&amp;"|"&amp;$F3607)</f>
        <v/>
      </c>
      <c r="P3607" s="94">
        <f>IF($A3607="",0,$H3607*설정!$C$23)</f>
        <v/>
      </c>
      <c r="Q3607" s="64">
        <f>IF($A3607="","",IF(O3607&lt;&gt;원인분석!$C$9,"",IF(AND(M3607&gt;=원인분석!$C$10,M3607&lt;=원인분석!$C$11),"당기",IF(AND(M3607&gt;=원인분석!$C$12,M3607&lt;=원인분석!$C$13),"비교",""))))</f>
        <v/>
      </c>
      <c r="R3607" s="9">
        <f>IF(Q3607="","",$K3607&amp;"")</f>
        <v/>
      </c>
      <c r="S3607" s="9">
        <f>IF(Q3607="","",IF(MATCH(R3607,$R$5:$R$100000,0)=ROW()-4,ROW(),""))</f>
        <v/>
      </c>
      <c r="T3607" s="9">
        <f>IF(Q3607="당기",ABS(P3607)+ROW()/1000000000,"")</f>
        <v/>
      </c>
      <c r="U3607" s="9">
        <f>IF(Q3607="비교",ABS(P3607)+ROW()/1000000000,"")</f>
        <v/>
      </c>
      <c r="V3607" s="64">
        <f>IF($A3607="","",IF(COUNTIF(변동분석!$E$7:$E$506,O3607)&gt;0,"Y","N"))</f>
        <v/>
      </c>
      <c r="W3607" s="64">
        <f>IF($A3607="","",IFERROR(INDEX(계정매핑!$D$5:$D$504,MATCH($F3607&amp;"",계정매핑!$A$5:$A$504,0)),"미매핑"))</f>
        <v/>
      </c>
      <c r="X3607" s="9">
        <f>IF($A3607="","",$F3607&amp;"")</f>
        <v/>
      </c>
      <c r="Y3607" s="94">
        <f>IF($A3607="",0,IF(AE3607="직접",IF(AF3607="비귀속",$P3607,0),$P3607*(1-AG3607)*IFERROR(INDEX(계정대체기준!$F$20:$F$49,MATCH($N3607,계정대체기준!$A$20:$A$49,0)),1)))</f>
        <v/>
      </c>
      <c r="Z3607" s="94">
        <f>IF($A3607="",0,IF(AE3607="직접",IF(AF3607="신계약비",$P3607,0),$P3607*(1-AG3607)*IFERROR(INDEX(계정대체기준!$C$20:$C$49,MATCH($N3607,계정대체기준!$A$20:$A$49,0)),0)))</f>
        <v/>
      </c>
      <c r="AA3607" s="94">
        <f>IF($A3607="",0,IF(AE3607="직접",IF(OR(AF3607="유지비",AF3607="손해조사비"),$P3607,0),$P3607*(1-AG3607)*IFERROR(INDEX(계정대체기준!$D$20:$D$49,MATCH($N3607,계정대체기준!$A$20:$A$49,0)),0)))</f>
        <v/>
      </c>
      <c r="AB3607" s="94">
        <f>IF($A3607="",0,IF(AE3607="직접",IF(AF3607="수금비",$P3607,0),$P3607*(1-AG3607)*IFERROR(INDEX(계정대체기준!$E$20:$E$49,MATCH($N3607,계정대체기준!$A$20:$A$49,0)),0)))</f>
        <v/>
      </c>
      <c r="AC3607" s="9">
        <f>IF(AND($A3607&lt;&gt;"",M3607=설정!$C$20,Z3607&gt;0),Z3607+ROW()/1000000000,"")</f>
        <v/>
      </c>
      <c r="AD3607" s="94">
        <f>IF($A3607="",0,$P3607*AG3607)</f>
        <v/>
      </c>
      <c r="AE3607" s="64">
        <f>IF($A3607="","",IFERROR(INDEX(계정매핑!$E$5:$E$504,MATCH($F3607&amp;"",계정매핑!$A$5:$A$504,0))&amp;"","공통비"))</f>
        <v/>
      </c>
      <c r="AF3607" s="64">
        <f>IF($A3607="","",IF(AE3607="직접",IFERROR(INDEX(계정매핑!$F$5:$F$504,MATCH($F3607&amp;"",계정매핑!$A$5:$A$504,0))&amp;"","비귀속"),""))</f>
        <v/>
      </c>
      <c r="AG3607" s="96">
        <f>IF($A3607="",0,IF(AND(AE3607&lt;&gt;"직접",IFERROR(INDEX(계정매핑!$G$5:$G$504,MATCH($F3607&amp;"",계정매핑!$A$5:$A$504,0))&amp;"","")="유지비",COUNTIF(계정대체기준!$A$6:$A$15,$N3607)&gt;0),IFERROR(INDEX(계정대체기준!$E$6:$E$15,MATCH(VALUE($A3607&amp;""),계정대체기준!$D$6:$D$15,0)),0),0))</f>
        <v/>
      </c>
      <c r="AH3607" s="64">
        <f>IF($A3607="","",IF(AD3607=0,"",IF(OR(COUNTIF(계정대체기준!$A$77:$A$86,$N3607)&gt;0,ISNUMBER(MATCH($X3607,계정대체기준!$D$77:$D$86,0)),ISNUMBER(MATCH($F3607,계정대체기준!$D$77:$D$86,0))),"Y","N")))</f>
        <v/>
      </c>
    </row>
    <row r="3608">
      <c r="A3608" s="92" t="n">
        <v>2026</v>
      </c>
      <c r="B3608" s="92" t="n">
        <v>4</v>
      </c>
      <c r="C3608" s="92" t="inlineStr">
        <is>
          <t>5100000886</t>
        </is>
      </c>
      <c r="D3608" s="95" t="n">
        <v>46136</v>
      </c>
      <c r="E3608" s="92" t="inlineStr">
        <is>
          <t>KR</t>
        </is>
      </c>
      <c r="F3608" s="92" t="n">
        <v>62601000</v>
      </c>
      <c r="G3608" s="92" t="n">
        <v>1101</v>
      </c>
      <c r="H3608" s="93" t="n">
        <v>1584000</v>
      </c>
      <c r="I3608" s="92" t="inlineStr">
        <is>
          <t>4월 업무추진 - (법인카드)</t>
        </is>
      </c>
      <c r="J3608" s="92" t="inlineStr">
        <is>
          <t>V10010</t>
        </is>
      </c>
      <c r="K3608" s="92" t="inlineStr">
        <is>
          <t>(법인카드)</t>
        </is>
      </c>
      <c r="M3608" s="9">
        <f>IF($A3608="","",VALUE($A3608&amp;"")*12+VALUE($B3608&amp;""))</f>
        <v/>
      </c>
      <c r="N3608" s="64">
        <f>IF($A3608="","",IFERROR(INDEX(부서매핑!$C$5:$C$504,MATCH($G3608&amp;"",부서매핑!$A$5:$A$504,0)),"미매핑"))</f>
        <v/>
      </c>
      <c r="O3608" s="9">
        <f>IF($A3608="","",N3608&amp;"|"&amp;$F3608)</f>
        <v/>
      </c>
      <c r="P3608" s="94">
        <f>IF($A3608="",0,$H3608*설정!$C$23)</f>
        <v/>
      </c>
      <c r="Q3608" s="64">
        <f>IF($A3608="","",IF(O3608&lt;&gt;원인분석!$C$9,"",IF(AND(M3608&gt;=원인분석!$C$10,M3608&lt;=원인분석!$C$11),"당기",IF(AND(M3608&gt;=원인분석!$C$12,M3608&lt;=원인분석!$C$13),"비교",""))))</f>
        <v/>
      </c>
      <c r="R3608" s="9">
        <f>IF(Q3608="","",$K3608&amp;"")</f>
        <v/>
      </c>
      <c r="S3608" s="9">
        <f>IF(Q3608="","",IF(MATCH(R3608,$R$5:$R$100000,0)=ROW()-4,ROW(),""))</f>
        <v/>
      </c>
      <c r="T3608" s="9">
        <f>IF(Q3608="당기",ABS(P3608)+ROW()/1000000000,"")</f>
        <v/>
      </c>
      <c r="U3608" s="9">
        <f>IF(Q3608="비교",ABS(P3608)+ROW()/1000000000,"")</f>
        <v/>
      </c>
      <c r="V3608" s="64">
        <f>IF($A3608="","",IF(COUNTIF(변동분석!$E$7:$E$506,O3608)&gt;0,"Y","N"))</f>
        <v/>
      </c>
      <c r="W3608" s="64">
        <f>IF($A3608="","",IFERROR(INDEX(계정매핑!$D$5:$D$504,MATCH($F3608&amp;"",계정매핑!$A$5:$A$504,0)),"미매핑"))</f>
        <v/>
      </c>
      <c r="X3608" s="9">
        <f>IF($A3608="","",$F3608&amp;"")</f>
        <v/>
      </c>
      <c r="Y3608" s="94">
        <f>IF($A3608="",0,IF(AE3608="직접",IF(AF3608="비귀속",$P3608,0),$P3608*(1-AG3608)*IFERROR(INDEX(계정대체기준!$F$20:$F$49,MATCH($N3608,계정대체기준!$A$20:$A$49,0)),1)))</f>
        <v/>
      </c>
      <c r="Z3608" s="94">
        <f>IF($A3608="",0,IF(AE3608="직접",IF(AF3608="신계약비",$P3608,0),$P3608*(1-AG3608)*IFERROR(INDEX(계정대체기준!$C$20:$C$49,MATCH($N3608,계정대체기준!$A$20:$A$49,0)),0)))</f>
        <v/>
      </c>
      <c r="AA3608" s="94">
        <f>IF($A3608="",0,IF(AE3608="직접",IF(OR(AF3608="유지비",AF3608="손해조사비"),$P3608,0),$P3608*(1-AG3608)*IFERROR(INDEX(계정대체기준!$D$20:$D$49,MATCH($N3608,계정대체기준!$A$20:$A$49,0)),0)))</f>
        <v/>
      </c>
      <c r="AB3608" s="94">
        <f>IF($A3608="",0,IF(AE3608="직접",IF(AF3608="수금비",$P3608,0),$P3608*(1-AG3608)*IFERROR(INDEX(계정대체기준!$E$20:$E$49,MATCH($N3608,계정대체기준!$A$20:$A$49,0)),0)))</f>
        <v/>
      </c>
      <c r="AC3608" s="9">
        <f>IF(AND($A3608&lt;&gt;"",M3608=설정!$C$20,Z3608&gt;0),Z3608+ROW()/1000000000,"")</f>
        <v/>
      </c>
      <c r="AD3608" s="94">
        <f>IF($A3608="",0,$P3608*AG3608)</f>
        <v/>
      </c>
      <c r="AE3608" s="64">
        <f>IF($A3608="","",IFERROR(INDEX(계정매핑!$E$5:$E$504,MATCH($F3608&amp;"",계정매핑!$A$5:$A$504,0))&amp;"","공통비"))</f>
        <v/>
      </c>
      <c r="AF3608" s="64">
        <f>IF($A3608="","",IF(AE3608="직접",IFERROR(INDEX(계정매핑!$F$5:$F$504,MATCH($F3608&amp;"",계정매핑!$A$5:$A$504,0))&amp;"","비귀속"),""))</f>
        <v/>
      </c>
      <c r="AG3608" s="96">
        <f>IF($A3608="",0,IF(AND(AE3608&lt;&gt;"직접",IFERROR(INDEX(계정매핑!$G$5:$G$504,MATCH($F3608&amp;"",계정매핑!$A$5:$A$504,0))&amp;"","")="유지비",COUNTIF(계정대체기준!$A$6:$A$15,$N3608)&gt;0),IFERROR(INDEX(계정대체기준!$E$6:$E$15,MATCH(VALUE($A3608&amp;""),계정대체기준!$D$6:$D$15,0)),0),0))</f>
        <v/>
      </c>
      <c r="AH3608" s="64">
        <f>IF($A3608="","",IF(AD3608=0,"",IF(OR(COUNTIF(계정대체기준!$A$77:$A$86,$N3608)&gt;0,ISNUMBER(MATCH($X3608,계정대체기준!$D$77:$D$86,0)),ISNUMBER(MATCH($F3608,계정대체기준!$D$77:$D$86,0))),"Y","N")))</f>
        <v/>
      </c>
    </row>
    <row r="3609">
      <c r="A3609" s="92" t="n">
        <v>2026</v>
      </c>
      <c r="B3609" s="92" t="n">
        <v>4</v>
      </c>
      <c r="C3609" s="92" t="inlineStr">
        <is>
          <t>5100000887</t>
        </is>
      </c>
      <c r="D3609" s="95" t="n">
        <v>46136</v>
      </c>
      <c r="E3609" s="92" t="inlineStr">
        <is>
          <t>KR</t>
        </is>
      </c>
      <c r="F3609" s="92" t="n">
        <v>62601000</v>
      </c>
      <c r="G3609" s="92" t="n">
        <v>1101</v>
      </c>
      <c r="H3609" s="93" t="n">
        <v>1677000</v>
      </c>
      <c r="I3609" s="92" t="inlineStr">
        <is>
          <t>4월 업무추진 - (법인카드)</t>
        </is>
      </c>
      <c r="J3609" s="92" t="inlineStr">
        <is>
          <t>V10010</t>
        </is>
      </c>
      <c r="K3609" s="92" t="inlineStr">
        <is>
          <t>(법인카드)</t>
        </is>
      </c>
      <c r="M3609" s="9">
        <f>IF($A3609="","",VALUE($A3609&amp;"")*12+VALUE($B3609&amp;""))</f>
        <v/>
      </c>
      <c r="N3609" s="64">
        <f>IF($A3609="","",IFERROR(INDEX(부서매핑!$C$5:$C$504,MATCH($G3609&amp;"",부서매핑!$A$5:$A$504,0)),"미매핑"))</f>
        <v/>
      </c>
      <c r="O3609" s="9">
        <f>IF($A3609="","",N3609&amp;"|"&amp;$F3609)</f>
        <v/>
      </c>
      <c r="P3609" s="94">
        <f>IF($A3609="",0,$H3609*설정!$C$23)</f>
        <v/>
      </c>
      <c r="Q3609" s="64">
        <f>IF($A3609="","",IF(O3609&lt;&gt;원인분석!$C$9,"",IF(AND(M3609&gt;=원인분석!$C$10,M3609&lt;=원인분석!$C$11),"당기",IF(AND(M3609&gt;=원인분석!$C$12,M3609&lt;=원인분석!$C$13),"비교",""))))</f>
        <v/>
      </c>
      <c r="R3609" s="9">
        <f>IF(Q3609="","",$K3609&amp;"")</f>
        <v/>
      </c>
      <c r="S3609" s="9">
        <f>IF(Q3609="","",IF(MATCH(R3609,$R$5:$R$100000,0)=ROW()-4,ROW(),""))</f>
        <v/>
      </c>
      <c r="T3609" s="9">
        <f>IF(Q3609="당기",ABS(P3609)+ROW()/1000000000,"")</f>
        <v/>
      </c>
      <c r="U3609" s="9">
        <f>IF(Q3609="비교",ABS(P3609)+ROW()/1000000000,"")</f>
        <v/>
      </c>
      <c r="V3609" s="64">
        <f>IF($A3609="","",IF(COUNTIF(변동분석!$E$7:$E$506,O3609)&gt;0,"Y","N"))</f>
        <v/>
      </c>
      <c r="W3609" s="64">
        <f>IF($A3609="","",IFERROR(INDEX(계정매핑!$D$5:$D$504,MATCH($F3609&amp;"",계정매핑!$A$5:$A$504,0)),"미매핑"))</f>
        <v/>
      </c>
      <c r="X3609" s="9">
        <f>IF($A3609="","",$F3609&amp;"")</f>
        <v/>
      </c>
      <c r="Y3609" s="94">
        <f>IF($A3609="",0,IF(AE3609="직접",IF(AF3609="비귀속",$P3609,0),$P3609*(1-AG3609)*IFERROR(INDEX(계정대체기준!$F$20:$F$49,MATCH($N3609,계정대체기준!$A$20:$A$49,0)),1)))</f>
        <v/>
      </c>
      <c r="Z3609" s="94">
        <f>IF($A3609="",0,IF(AE3609="직접",IF(AF3609="신계약비",$P3609,0),$P3609*(1-AG3609)*IFERROR(INDEX(계정대체기준!$C$20:$C$49,MATCH($N3609,계정대체기준!$A$20:$A$49,0)),0)))</f>
        <v/>
      </c>
      <c r="AA3609" s="94">
        <f>IF($A3609="",0,IF(AE3609="직접",IF(OR(AF3609="유지비",AF3609="손해조사비"),$P3609,0),$P3609*(1-AG3609)*IFERROR(INDEX(계정대체기준!$D$20:$D$49,MATCH($N3609,계정대체기준!$A$20:$A$49,0)),0)))</f>
        <v/>
      </c>
      <c r="AB3609" s="94">
        <f>IF($A3609="",0,IF(AE3609="직접",IF(AF3609="수금비",$P3609,0),$P3609*(1-AG3609)*IFERROR(INDEX(계정대체기준!$E$20:$E$49,MATCH($N3609,계정대체기준!$A$20:$A$49,0)),0)))</f>
        <v/>
      </c>
      <c r="AC3609" s="9">
        <f>IF(AND($A3609&lt;&gt;"",M3609=설정!$C$20,Z3609&gt;0),Z3609+ROW()/1000000000,"")</f>
        <v/>
      </c>
      <c r="AD3609" s="94">
        <f>IF($A3609="",0,$P3609*AG3609)</f>
        <v/>
      </c>
      <c r="AE3609" s="64">
        <f>IF($A3609="","",IFERROR(INDEX(계정매핑!$E$5:$E$504,MATCH($F3609&amp;"",계정매핑!$A$5:$A$504,0))&amp;"","공통비"))</f>
        <v/>
      </c>
      <c r="AF3609" s="64">
        <f>IF($A3609="","",IF(AE3609="직접",IFERROR(INDEX(계정매핑!$F$5:$F$504,MATCH($F3609&amp;"",계정매핑!$A$5:$A$504,0))&amp;"","비귀속"),""))</f>
        <v/>
      </c>
      <c r="AG3609" s="96">
        <f>IF($A3609="",0,IF(AND(AE3609&lt;&gt;"직접",IFERROR(INDEX(계정매핑!$G$5:$G$504,MATCH($F3609&amp;"",계정매핑!$A$5:$A$504,0))&amp;"","")="유지비",COUNTIF(계정대체기준!$A$6:$A$15,$N3609)&gt;0),IFERROR(INDEX(계정대체기준!$E$6:$E$15,MATCH(VALUE($A3609&amp;""),계정대체기준!$D$6:$D$15,0)),0),0))</f>
        <v/>
      </c>
      <c r="AH3609" s="64">
        <f>IF($A3609="","",IF(AD3609=0,"",IF(OR(COUNTIF(계정대체기준!$A$77:$A$86,$N3609)&gt;0,ISNUMBER(MATCH($X3609,계정대체기준!$D$77:$D$86,0)),ISNUMBER(MATCH($F3609,계정대체기준!$D$77:$D$86,0))),"Y","N")))</f>
        <v/>
      </c>
    </row>
    <row r="3610">
      <c r="A3610" s="92" t="n">
        <v>2026</v>
      </c>
      <c r="B3610" s="92" t="n">
        <v>4</v>
      </c>
      <c r="C3610" s="92" t="inlineStr">
        <is>
          <t>5100000888</t>
        </is>
      </c>
      <c r="D3610" s="95" t="n">
        <v>46137</v>
      </c>
      <c r="E3610" s="92" t="inlineStr">
        <is>
          <t>KR</t>
        </is>
      </c>
      <c r="F3610" s="92" t="n">
        <v>62101000</v>
      </c>
      <c r="G3610" s="92" t="n">
        <v>1801</v>
      </c>
      <c r="H3610" s="93" t="n">
        <v>175000</v>
      </c>
      <c r="I3610" s="92" t="inlineStr">
        <is>
          <t>4월 국내출장 - (법인카드)</t>
        </is>
      </c>
      <c r="J3610" s="92" t="inlineStr">
        <is>
          <t>V10010</t>
        </is>
      </c>
      <c r="K3610" s="92" t="inlineStr">
        <is>
          <t>(법인카드)</t>
        </is>
      </c>
      <c r="M3610" s="9">
        <f>IF($A3610="","",VALUE($A3610&amp;"")*12+VALUE($B3610&amp;""))</f>
        <v/>
      </c>
      <c r="N3610" s="64">
        <f>IF($A3610="","",IFERROR(INDEX(부서매핑!$C$5:$C$504,MATCH($G3610&amp;"",부서매핑!$A$5:$A$504,0)),"미매핑"))</f>
        <v/>
      </c>
      <c r="O3610" s="9">
        <f>IF($A3610="","",N3610&amp;"|"&amp;$F3610)</f>
        <v/>
      </c>
      <c r="P3610" s="94">
        <f>IF($A3610="",0,$H3610*설정!$C$23)</f>
        <v/>
      </c>
      <c r="Q3610" s="64">
        <f>IF($A3610="","",IF(O3610&lt;&gt;원인분석!$C$9,"",IF(AND(M3610&gt;=원인분석!$C$10,M3610&lt;=원인분석!$C$11),"당기",IF(AND(M3610&gt;=원인분석!$C$12,M3610&lt;=원인분석!$C$13),"비교",""))))</f>
        <v/>
      </c>
      <c r="R3610" s="9">
        <f>IF(Q3610="","",$K3610&amp;"")</f>
        <v/>
      </c>
      <c r="S3610" s="9">
        <f>IF(Q3610="","",IF(MATCH(R3610,$R$5:$R$100000,0)=ROW()-4,ROW(),""))</f>
        <v/>
      </c>
      <c r="T3610" s="9">
        <f>IF(Q3610="당기",ABS(P3610)+ROW()/1000000000,"")</f>
        <v/>
      </c>
      <c r="U3610" s="9">
        <f>IF(Q3610="비교",ABS(P3610)+ROW()/1000000000,"")</f>
        <v/>
      </c>
      <c r="V3610" s="64">
        <f>IF($A3610="","",IF(COUNTIF(변동분석!$E$7:$E$506,O3610)&gt;0,"Y","N"))</f>
        <v/>
      </c>
      <c r="W3610" s="64">
        <f>IF($A3610="","",IFERROR(INDEX(계정매핑!$D$5:$D$504,MATCH($F3610&amp;"",계정매핑!$A$5:$A$504,0)),"미매핑"))</f>
        <v/>
      </c>
      <c r="X3610" s="9">
        <f>IF($A3610="","",$F3610&amp;"")</f>
        <v/>
      </c>
      <c r="Y3610" s="94">
        <f>IF($A3610="",0,IF(AE3610="직접",IF(AF3610="비귀속",$P3610,0),$P3610*(1-AG3610)*IFERROR(INDEX(계정대체기준!$F$20:$F$49,MATCH($N3610,계정대체기준!$A$20:$A$49,0)),1)))</f>
        <v/>
      </c>
      <c r="Z3610" s="94">
        <f>IF($A3610="",0,IF(AE3610="직접",IF(AF3610="신계약비",$P3610,0),$P3610*(1-AG3610)*IFERROR(INDEX(계정대체기준!$C$20:$C$49,MATCH($N3610,계정대체기준!$A$20:$A$49,0)),0)))</f>
        <v/>
      </c>
      <c r="AA3610" s="94">
        <f>IF($A3610="",0,IF(AE3610="직접",IF(OR(AF3610="유지비",AF3610="손해조사비"),$P3610,0),$P3610*(1-AG3610)*IFERROR(INDEX(계정대체기준!$D$20:$D$49,MATCH($N3610,계정대체기준!$A$20:$A$49,0)),0)))</f>
        <v/>
      </c>
      <c r="AB3610" s="94">
        <f>IF($A3610="",0,IF(AE3610="직접",IF(AF3610="수금비",$P3610,0),$P3610*(1-AG3610)*IFERROR(INDEX(계정대체기준!$E$20:$E$49,MATCH($N3610,계정대체기준!$A$20:$A$49,0)),0)))</f>
        <v/>
      </c>
      <c r="AC3610" s="9">
        <f>IF(AND($A3610&lt;&gt;"",M3610=설정!$C$20,Z3610&gt;0),Z3610+ROW()/1000000000,"")</f>
        <v/>
      </c>
      <c r="AD3610" s="94">
        <f>IF($A3610="",0,$P3610*AG3610)</f>
        <v/>
      </c>
      <c r="AE3610" s="64">
        <f>IF($A3610="","",IFERROR(INDEX(계정매핑!$E$5:$E$504,MATCH($F3610&amp;"",계정매핑!$A$5:$A$504,0))&amp;"","공통비"))</f>
        <v/>
      </c>
      <c r="AF3610" s="64">
        <f>IF($A3610="","",IF(AE3610="직접",IFERROR(INDEX(계정매핑!$F$5:$F$504,MATCH($F3610&amp;"",계정매핑!$A$5:$A$504,0))&amp;"","비귀속"),""))</f>
        <v/>
      </c>
      <c r="AG3610" s="96">
        <f>IF($A3610="",0,IF(AND(AE3610&lt;&gt;"직접",IFERROR(INDEX(계정매핑!$G$5:$G$504,MATCH($F3610&amp;"",계정매핑!$A$5:$A$504,0))&amp;"","")="유지비",COUNTIF(계정대체기준!$A$6:$A$15,$N3610)&gt;0),IFERROR(INDEX(계정대체기준!$E$6:$E$15,MATCH(VALUE($A3610&amp;""),계정대체기준!$D$6:$D$15,0)),0),0))</f>
        <v/>
      </c>
      <c r="AH3610" s="64">
        <f>IF($A3610="","",IF(AD3610=0,"",IF(OR(COUNTIF(계정대체기준!$A$77:$A$86,$N3610)&gt;0,ISNUMBER(MATCH($X3610,계정대체기준!$D$77:$D$86,0)),ISNUMBER(MATCH($F3610,계정대체기준!$D$77:$D$86,0))),"Y","N")))</f>
        <v/>
      </c>
    </row>
    <row r="3611">
      <c r="A3611" s="92" t="n">
        <v>2026</v>
      </c>
      <c r="B3611" s="92" t="n">
        <v>4</v>
      </c>
      <c r="C3611" s="92" t="inlineStr">
        <is>
          <t>5100000889</t>
        </is>
      </c>
      <c r="D3611" s="95" t="n">
        <v>46137</v>
      </c>
      <c r="E3611" s="92" t="inlineStr">
        <is>
          <t>KR</t>
        </is>
      </c>
      <c r="F3611" s="92" t="n">
        <v>62101000</v>
      </c>
      <c r="G3611" s="92" t="n">
        <v>1951</v>
      </c>
      <c r="H3611" s="93" t="n">
        <v>436000</v>
      </c>
      <c r="I3611" s="92" t="inlineStr">
        <is>
          <t>4월 국내출장 - (법인카드)</t>
        </is>
      </c>
      <c r="J3611" s="92" t="inlineStr">
        <is>
          <t>V10010</t>
        </is>
      </c>
      <c r="K3611" s="92" t="inlineStr">
        <is>
          <t>(법인카드)</t>
        </is>
      </c>
      <c r="M3611" s="9">
        <f>IF($A3611="","",VALUE($A3611&amp;"")*12+VALUE($B3611&amp;""))</f>
        <v/>
      </c>
      <c r="N3611" s="64">
        <f>IF($A3611="","",IFERROR(INDEX(부서매핑!$C$5:$C$504,MATCH($G3611&amp;"",부서매핑!$A$5:$A$504,0)),"미매핑"))</f>
        <v/>
      </c>
      <c r="O3611" s="9">
        <f>IF($A3611="","",N3611&amp;"|"&amp;$F3611)</f>
        <v/>
      </c>
      <c r="P3611" s="94">
        <f>IF($A3611="",0,$H3611*설정!$C$23)</f>
        <v/>
      </c>
      <c r="Q3611" s="64">
        <f>IF($A3611="","",IF(O3611&lt;&gt;원인분석!$C$9,"",IF(AND(M3611&gt;=원인분석!$C$10,M3611&lt;=원인분석!$C$11),"당기",IF(AND(M3611&gt;=원인분석!$C$12,M3611&lt;=원인분석!$C$13),"비교",""))))</f>
        <v/>
      </c>
      <c r="R3611" s="9">
        <f>IF(Q3611="","",$K3611&amp;"")</f>
        <v/>
      </c>
      <c r="S3611" s="9">
        <f>IF(Q3611="","",IF(MATCH(R3611,$R$5:$R$100000,0)=ROW()-4,ROW(),""))</f>
        <v/>
      </c>
      <c r="T3611" s="9">
        <f>IF(Q3611="당기",ABS(P3611)+ROW()/1000000000,"")</f>
        <v/>
      </c>
      <c r="U3611" s="9">
        <f>IF(Q3611="비교",ABS(P3611)+ROW()/1000000000,"")</f>
        <v/>
      </c>
      <c r="V3611" s="64">
        <f>IF($A3611="","",IF(COUNTIF(변동분석!$E$7:$E$506,O3611)&gt;0,"Y","N"))</f>
        <v/>
      </c>
      <c r="W3611" s="64">
        <f>IF($A3611="","",IFERROR(INDEX(계정매핑!$D$5:$D$504,MATCH($F3611&amp;"",계정매핑!$A$5:$A$504,0)),"미매핑"))</f>
        <v/>
      </c>
      <c r="X3611" s="9">
        <f>IF($A3611="","",$F3611&amp;"")</f>
        <v/>
      </c>
      <c r="Y3611" s="94">
        <f>IF($A3611="",0,IF(AE3611="직접",IF(AF3611="비귀속",$P3611,0),$P3611*(1-AG3611)*IFERROR(INDEX(계정대체기준!$F$20:$F$49,MATCH($N3611,계정대체기준!$A$20:$A$49,0)),1)))</f>
        <v/>
      </c>
      <c r="Z3611" s="94">
        <f>IF($A3611="",0,IF(AE3611="직접",IF(AF3611="신계약비",$P3611,0),$P3611*(1-AG3611)*IFERROR(INDEX(계정대체기준!$C$20:$C$49,MATCH($N3611,계정대체기준!$A$20:$A$49,0)),0)))</f>
        <v/>
      </c>
      <c r="AA3611" s="94">
        <f>IF($A3611="",0,IF(AE3611="직접",IF(OR(AF3611="유지비",AF3611="손해조사비"),$P3611,0),$P3611*(1-AG3611)*IFERROR(INDEX(계정대체기준!$D$20:$D$49,MATCH($N3611,계정대체기준!$A$20:$A$49,0)),0)))</f>
        <v/>
      </c>
      <c r="AB3611" s="94">
        <f>IF($A3611="",0,IF(AE3611="직접",IF(AF3611="수금비",$P3611,0),$P3611*(1-AG3611)*IFERROR(INDEX(계정대체기준!$E$20:$E$49,MATCH($N3611,계정대체기준!$A$20:$A$49,0)),0)))</f>
        <v/>
      </c>
      <c r="AC3611" s="9">
        <f>IF(AND($A3611&lt;&gt;"",M3611=설정!$C$20,Z3611&gt;0),Z3611+ROW()/1000000000,"")</f>
        <v/>
      </c>
      <c r="AD3611" s="94">
        <f>IF($A3611="",0,$P3611*AG3611)</f>
        <v/>
      </c>
      <c r="AE3611" s="64">
        <f>IF($A3611="","",IFERROR(INDEX(계정매핑!$E$5:$E$504,MATCH($F3611&amp;"",계정매핑!$A$5:$A$504,0))&amp;"","공통비"))</f>
        <v/>
      </c>
      <c r="AF3611" s="64">
        <f>IF($A3611="","",IF(AE3611="직접",IFERROR(INDEX(계정매핑!$F$5:$F$504,MATCH($F3611&amp;"",계정매핑!$A$5:$A$504,0))&amp;"","비귀속"),""))</f>
        <v/>
      </c>
      <c r="AG3611" s="96">
        <f>IF($A3611="",0,IF(AND(AE3611&lt;&gt;"직접",IFERROR(INDEX(계정매핑!$G$5:$G$504,MATCH($F3611&amp;"",계정매핑!$A$5:$A$504,0))&amp;"","")="유지비",COUNTIF(계정대체기준!$A$6:$A$15,$N3611)&gt;0),IFERROR(INDEX(계정대체기준!$E$6:$E$15,MATCH(VALUE($A3611&amp;""),계정대체기준!$D$6:$D$15,0)),0),0))</f>
        <v/>
      </c>
      <c r="AH3611" s="64">
        <f>IF($A3611="","",IF(AD3611=0,"",IF(OR(COUNTIF(계정대체기준!$A$77:$A$86,$N3611)&gt;0,ISNUMBER(MATCH($X3611,계정대체기준!$D$77:$D$86,0)),ISNUMBER(MATCH($F3611,계정대체기준!$D$77:$D$86,0))),"Y","N")))</f>
        <v/>
      </c>
    </row>
    <row r="3612">
      <c r="A3612" s="92" t="n">
        <v>2026</v>
      </c>
      <c r="B3612" s="92" t="n">
        <v>4</v>
      </c>
      <c r="C3612" s="92" t="inlineStr">
        <is>
          <t>5100000890</t>
        </is>
      </c>
      <c r="D3612" s="95" t="n">
        <v>46137</v>
      </c>
      <c r="E3612" s="92" t="inlineStr">
        <is>
          <t>KR</t>
        </is>
      </c>
      <c r="F3612" s="92" t="n">
        <v>62102000</v>
      </c>
      <c r="G3612" s="92" t="n">
        <v>1801</v>
      </c>
      <c r="H3612" s="93" t="n">
        <v>46000</v>
      </c>
      <c r="I3612" s="92" t="inlineStr">
        <is>
          <t>4월 해외출장 - M항공</t>
        </is>
      </c>
      <c r="J3612" s="92" t="inlineStr">
        <is>
          <t>V10001</t>
        </is>
      </c>
      <c r="K3612" s="92" t="inlineStr">
        <is>
          <t>M항공</t>
        </is>
      </c>
      <c r="M3612" s="9">
        <f>IF($A3612="","",VALUE($A3612&amp;"")*12+VALUE($B3612&amp;""))</f>
        <v/>
      </c>
      <c r="N3612" s="64">
        <f>IF($A3612="","",IFERROR(INDEX(부서매핑!$C$5:$C$504,MATCH($G3612&amp;"",부서매핑!$A$5:$A$504,0)),"미매핑"))</f>
        <v/>
      </c>
      <c r="O3612" s="9">
        <f>IF($A3612="","",N3612&amp;"|"&amp;$F3612)</f>
        <v/>
      </c>
      <c r="P3612" s="94">
        <f>IF($A3612="",0,$H3612*설정!$C$23)</f>
        <v/>
      </c>
      <c r="Q3612" s="64">
        <f>IF($A3612="","",IF(O3612&lt;&gt;원인분석!$C$9,"",IF(AND(M3612&gt;=원인분석!$C$10,M3612&lt;=원인분석!$C$11),"당기",IF(AND(M3612&gt;=원인분석!$C$12,M3612&lt;=원인분석!$C$13),"비교",""))))</f>
        <v/>
      </c>
      <c r="R3612" s="9">
        <f>IF(Q3612="","",$K3612&amp;"")</f>
        <v/>
      </c>
      <c r="S3612" s="9">
        <f>IF(Q3612="","",IF(MATCH(R3612,$R$5:$R$100000,0)=ROW()-4,ROW(),""))</f>
        <v/>
      </c>
      <c r="T3612" s="9">
        <f>IF(Q3612="당기",ABS(P3612)+ROW()/1000000000,"")</f>
        <v/>
      </c>
      <c r="U3612" s="9">
        <f>IF(Q3612="비교",ABS(P3612)+ROW()/1000000000,"")</f>
        <v/>
      </c>
      <c r="V3612" s="64">
        <f>IF($A3612="","",IF(COUNTIF(변동분석!$E$7:$E$506,O3612)&gt;0,"Y","N"))</f>
        <v/>
      </c>
      <c r="W3612" s="64">
        <f>IF($A3612="","",IFERROR(INDEX(계정매핑!$D$5:$D$504,MATCH($F3612&amp;"",계정매핑!$A$5:$A$504,0)),"미매핑"))</f>
        <v/>
      </c>
      <c r="X3612" s="9">
        <f>IF($A3612="","",$F3612&amp;"")</f>
        <v/>
      </c>
      <c r="Y3612" s="94">
        <f>IF($A3612="",0,IF(AE3612="직접",IF(AF3612="비귀속",$P3612,0),$P3612*(1-AG3612)*IFERROR(INDEX(계정대체기준!$F$20:$F$49,MATCH($N3612,계정대체기준!$A$20:$A$49,0)),1)))</f>
        <v/>
      </c>
      <c r="Z3612" s="94">
        <f>IF($A3612="",0,IF(AE3612="직접",IF(AF3612="신계약비",$P3612,0),$P3612*(1-AG3612)*IFERROR(INDEX(계정대체기준!$C$20:$C$49,MATCH($N3612,계정대체기준!$A$20:$A$49,0)),0)))</f>
        <v/>
      </c>
      <c r="AA3612" s="94">
        <f>IF($A3612="",0,IF(AE3612="직접",IF(OR(AF3612="유지비",AF3612="손해조사비"),$P3612,0),$P3612*(1-AG3612)*IFERROR(INDEX(계정대체기준!$D$20:$D$49,MATCH($N3612,계정대체기준!$A$20:$A$49,0)),0)))</f>
        <v/>
      </c>
      <c r="AB3612" s="94">
        <f>IF($A3612="",0,IF(AE3612="직접",IF(AF3612="수금비",$P3612,0),$P3612*(1-AG3612)*IFERROR(INDEX(계정대체기준!$E$20:$E$49,MATCH($N3612,계정대체기준!$A$20:$A$49,0)),0)))</f>
        <v/>
      </c>
      <c r="AC3612" s="9">
        <f>IF(AND($A3612&lt;&gt;"",M3612=설정!$C$20,Z3612&gt;0),Z3612+ROW()/1000000000,"")</f>
        <v/>
      </c>
      <c r="AD3612" s="94">
        <f>IF($A3612="",0,$P3612*AG3612)</f>
        <v/>
      </c>
      <c r="AE3612" s="64">
        <f>IF($A3612="","",IFERROR(INDEX(계정매핑!$E$5:$E$504,MATCH($F3612&amp;"",계정매핑!$A$5:$A$504,0))&amp;"","공통비"))</f>
        <v/>
      </c>
      <c r="AF3612" s="64">
        <f>IF($A3612="","",IF(AE3612="직접",IFERROR(INDEX(계정매핑!$F$5:$F$504,MATCH($F3612&amp;"",계정매핑!$A$5:$A$504,0))&amp;"","비귀속"),""))</f>
        <v/>
      </c>
      <c r="AG3612" s="96">
        <f>IF($A3612="",0,IF(AND(AE3612&lt;&gt;"직접",IFERROR(INDEX(계정매핑!$G$5:$G$504,MATCH($F3612&amp;"",계정매핑!$A$5:$A$504,0))&amp;"","")="유지비",COUNTIF(계정대체기준!$A$6:$A$15,$N3612)&gt;0),IFERROR(INDEX(계정대체기준!$E$6:$E$15,MATCH(VALUE($A3612&amp;""),계정대체기준!$D$6:$D$15,0)),0),0))</f>
        <v/>
      </c>
      <c r="AH3612" s="64">
        <f>IF($A3612="","",IF(AD3612=0,"",IF(OR(COUNTIF(계정대체기준!$A$77:$A$86,$N3612)&gt;0,ISNUMBER(MATCH($X3612,계정대체기준!$D$77:$D$86,0)),ISNUMBER(MATCH($F3612,계정대체기준!$D$77:$D$86,0))),"Y","N")))</f>
        <v/>
      </c>
    </row>
    <row r="3613">
      <c r="A3613" s="92" t="n">
        <v>2026</v>
      </c>
      <c r="B3613" s="92" t="n">
        <v>4</v>
      </c>
      <c r="C3613" s="92" t="inlineStr">
        <is>
          <t>5100000891</t>
        </is>
      </c>
      <c r="D3613" s="95" t="n">
        <v>46137</v>
      </c>
      <c r="E3613" s="92" t="inlineStr">
        <is>
          <t>KR</t>
        </is>
      </c>
      <c r="F3613" s="92" t="n">
        <v>62201000</v>
      </c>
      <c r="G3613" s="92" t="n">
        <v>1201</v>
      </c>
      <c r="H3613" s="93" t="n">
        <v>130000</v>
      </c>
      <c r="I3613" s="92" t="inlineStr">
        <is>
          <t>4월 통신요금 - O텔레콤</t>
        </is>
      </c>
      <c r="J3613" s="92" t="inlineStr">
        <is>
          <t>V10002</t>
        </is>
      </c>
      <c r="K3613" s="92" t="inlineStr">
        <is>
          <t>O텔레콤</t>
        </is>
      </c>
      <c r="M3613" s="9">
        <f>IF($A3613="","",VALUE($A3613&amp;"")*12+VALUE($B3613&amp;""))</f>
        <v/>
      </c>
      <c r="N3613" s="64">
        <f>IF($A3613="","",IFERROR(INDEX(부서매핑!$C$5:$C$504,MATCH($G3613&amp;"",부서매핑!$A$5:$A$504,0)),"미매핑"))</f>
        <v/>
      </c>
      <c r="O3613" s="9">
        <f>IF($A3613="","",N3613&amp;"|"&amp;$F3613)</f>
        <v/>
      </c>
      <c r="P3613" s="94">
        <f>IF($A3613="",0,$H3613*설정!$C$23)</f>
        <v/>
      </c>
      <c r="Q3613" s="64">
        <f>IF($A3613="","",IF(O3613&lt;&gt;원인분석!$C$9,"",IF(AND(M3613&gt;=원인분석!$C$10,M3613&lt;=원인분석!$C$11),"당기",IF(AND(M3613&gt;=원인분석!$C$12,M3613&lt;=원인분석!$C$13),"비교",""))))</f>
        <v/>
      </c>
      <c r="R3613" s="9">
        <f>IF(Q3613="","",$K3613&amp;"")</f>
        <v/>
      </c>
      <c r="S3613" s="9">
        <f>IF(Q3613="","",IF(MATCH(R3613,$R$5:$R$100000,0)=ROW()-4,ROW(),""))</f>
        <v/>
      </c>
      <c r="T3613" s="9">
        <f>IF(Q3613="당기",ABS(P3613)+ROW()/1000000000,"")</f>
        <v/>
      </c>
      <c r="U3613" s="9">
        <f>IF(Q3613="비교",ABS(P3613)+ROW()/1000000000,"")</f>
        <v/>
      </c>
      <c r="V3613" s="64">
        <f>IF($A3613="","",IF(COUNTIF(변동분석!$E$7:$E$506,O3613)&gt;0,"Y","N"))</f>
        <v/>
      </c>
      <c r="W3613" s="64">
        <f>IF($A3613="","",IFERROR(INDEX(계정매핑!$D$5:$D$504,MATCH($F3613&amp;"",계정매핑!$A$5:$A$504,0)),"미매핑"))</f>
        <v/>
      </c>
      <c r="X3613" s="9">
        <f>IF($A3613="","",$F3613&amp;"")</f>
        <v/>
      </c>
      <c r="Y3613" s="94">
        <f>IF($A3613="",0,IF(AE3613="직접",IF(AF3613="비귀속",$P3613,0),$P3613*(1-AG3613)*IFERROR(INDEX(계정대체기준!$F$20:$F$49,MATCH($N3613,계정대체기준!$A$20:$A$49,0)),1)))</f>
        <v/>
      </c>
      <c r="Z3613" s="94">
        <f>IF($A3613="",0,IF(AE3613="직접",IF(AF3613="신계약비",$P3613,0),$P3613*(1-AG3613)*IFERROR(INDEX(계정대체기준!$C$20:$C$49,MATCH($N3613,계정대체기준!$A$20:$A$49,0)),0)))</f>
        <v/>
      </c>
      <c r="AA3613" s="94">
        <f>IF($A3613="",0,IF(AE3613="직접",IF(OR(AF3613="유지비",AF3613="손해조사비"),$P3613,0),$P3613*(1-AG3613)*IFERROR(INDEX(계정대체기준!$D$20:$D$49,MATCH($N3613,계정대체기준!$A$20:$A$49,0)),0)))</f>
        <v/>
      </c>
      <c r="AB3613" s="94">
        <f>IF($A3613="",0,IF(AE3613="직접",IF(AF3613="수금비",$P3613,0),$P3613*(1-AG3613)*IFERROR(INDEX(계정대체기준!$E$20:$E$49,MATCH($N3613,계정대체기준!$A$20:$A$49,0)),0)))</f>
        <v/>
      </c>
      <c r="AC3613" s="9">
        <f>IF(AND($A3613&lt;&gt;"",M3613=설정!$C$20,Z3613&gt;0),Z3613+ROW()/1000000000,"")</f>
        <v/>
      </c>
      <c r="AD3613" s="94">
        <f>IF($A3613="",0,$P3613*AG3613)</f>
        <v/>
      </c>
      <c r="AE3613" s="64">
        <f>IF($A3613="","",IFERROR(INDEX(계정매핑!$E$5:$E$504,MATCH($F3613&amp;"",계정매핑!$A$5:$A$504,0))&amp;"","공통비"))</f>
        <v/>
      </c>
      <c r="AF3613" s="64">
        <f>IF($A3613="","",IF(AE3613="직접",IFERROR(INDEX(계정매핑!$F$5:$F$504,MATCH($F3613&amp;"",계정매핑!$A$5:$A$504,0))&amp;"","비귀속"),""))</f>
        <v/>
      </c>
      <c r="AG3613" s="96">
        <f>IF($A3613="",0,IF(AND(AE3613&lt;&gt;"직접",IFERROR(INDEX(계정매핑!$G$5:$G$504,MATCH($F3613&amp;"",계정매핑!$A$5:$A$504,0))&amp;"","")="유지비",COUNTIF(계정대체기준!$A$6:$A$15,$N3613)&gt;0),IFERROR(INDEX(계정대체기준!$E$6:$E$15,MATCH(VALUE($A3613&amp;""),계정대체기준!$D$6:$D$15,0)),0),0))</f>
        <v/>
      </c>
      <c r="AH3613" s="64">
        <f>IF($A3613="","",IF(AD3613=0,"",IF(OR(COUNTIF(계정대체기준!$A$77:$A$86,$N3613)&gt;0,ISNUMBER(MATCH($X3613,계정대체기준!$D$77:$D$86,0)),ISNUMBER(MATCH($F3613,계정대체기준!$D$77:$D$86,0))),"Y","N")))</f>
        <v/>
      </c>
    </row>
    <row r="3614">
      <c r="A3614" s="92" t="n">
        <v>2026</v>
      </c>
      <c r="B3614" s="92" t="n">
        <v>4</v>
      </c>
      <c r="C3614" s="92" t="inlineStr">
        <is>
          <t>5100000892</t>
        </is>
      </c>
      <c r="D3614" s="95" t="n">
        <v>46137</v>
      </c>
      <c r="E3614" s="92" t="inlineStr">
        <is>
          <t>KR</t>
        </is>
      </c>
      <c r="F3614" s="92" t="n">
        <v>62201000</v>
      </c>
      <c r="G3614" s="92" t="n">
        <v>1701</v>
      </c>
      <c r="H3614" s="93" t="n">
        <v>3215000</v>
      </c>
      <c r="I3614" s="92" t="inlineStr">
        <is>
          <t>4월 통신요금 - P통신</t>
        </is>
      </c>
      <c r="J3614" s="92" t="inlineStr">
        <is>
          <t>V10014</t>
        </is>
      </c>
      <c r="K3614" s="92" t="inlineStr">
        <is>
          <t>P통신</t>
        </is>
      </c>
      <c r="M3614" s="9">
        <f>IF($A3614="","",VALUE($A3614&amp;"")*12+VALUE($B3614&amp;""))</f>
        <v/>
      </c>
      <c r="N3614" s="64">
        <f>IF($A3614="","",IFERROR(INDEX(부서매핑!$C$5:$C$504,MATCH($G3614&amp;"",부서매핑!$A$5:$A$504,0)),"미매핑"))</f>
        <v/>
      </c>
      <c r="O3614" s="9">
        <f>IF($A3614="","",N3614&amp;"|"&amp;$F3614)</f>
        <v/>
      </c>
      <c r="P3614" s="94">
        <f>IF($A3614="",0,$H3614*설정!$C$23)</f>
        <v/>
      </c>
      <c r="Q3614" s="64">
        <f>IF($A3614="","",IF(O3614&lt;&gt;원인분석!$C$9,"",IF(AND(M3614&gt;=원인분석!$C$10,M3614&lt;=원인분석!$C$11),"당기",IF(AND(M3614&gt;=원인분석!$C$12,M3614&lt;=원인분석!$C$13),"비교",""))))</f>
        <v/>
      </c>
      <c r="R3614" s="9">
        <f>IF(Q3614="","",$K3614&amp;"")</f>
        <v/>
      </c>
      <c r="S3614" s="9">
        <f>IF(Q3614="","",IF(MATCH(R3614,$R$5:$R$100000,0)=ROW()-4,ROW(),""))</f>
        <v/>
      </c>
      <c r="T3614" s="9">
        <f>IF(Q3614="당기",ABS(P3614)+ROW()/1000000000,"")</f>
        <v/>
      </c>
      <c r="U3614" s="9">
        <f>IF(Q3614="비교",ABS(P3614)+ROW()/1000000000,"")</f>
        <v/>
      </c>
      <c r="V3614" s="64">
        <f>IF($A3614="","",IF(COUNTIF(변동분석!$E$7:$E$506,O3614)&gt;0,"Y","N"))</f>
        <v/>
      </c>
      <c r="W3614" s="64">
        <f>IF($A3614="","",IFERROR(INDEX(계정매핑!$D$5:$D$504,MATCH($F3614&amp;"",계정매핑!$A$5:$A$504,0)),"미매핑"))</f>
        <v/>
      </c>
      <c r="X3614" s="9">
        <f>IF($A3614="","",$F3614&amp;"")</f>
        <v/>
      </c>
      <c r="Y3614" s="94">
        <f>IF($A3614="",0,IF(AE3614="직접",IF(AF3614="비귀속",$P3614,0),$P3614*(1-AG3614)*IFERROR(INDEX(계정대체기준!$F$20:$F$49,MATCH($N3614,계정대체기준!$A$20:$A$49,0)),1)))</f>
        <v/>
      </c>
      <c r="Z3614" s="94">
        <f>IF($A3614="",0,IF(AE3614="직접",IF(AF3614="신계약비",$P3614,0),$P3614*(1-AG3614)*IFERROR(INDEX(계정대체기준!$C$20:$C$49,MATCH($N3614,계정대체기준!$A$20:$A$49,0)),0)))</f>
        <v/>
      </c>
      <c r="AA3614" s="94">
        <f>IF($A3614="",0,IF(AE3614="직접",IF(OR(AF3614="유지비",AF3614="손해조사비"),$P3614,0),$P3614*(1-AG3614)*IFERROR(INDEX(계정대체기준!$D$20:$D$49,MATCH($N3614,계정대체기준!$A$20:$A$49,0)),0)))</f>
        <v/>
      </c>
      <c r="AB3614" s="94">
        <f>IF($A3614="",0,IF(AE3614="직접",IF(AF3614="수금비",$P3614,0),$P3614*(1-AG3614)*IFERROR(INDEX(계정대체기준!$E$20:$E$49,MATCH($N3614,계정대체기준!$A$20:$A$49,0)),0)))</f>
        <v/>
      </c>
      <c r="AC3614" s="9">
        <f>IF(AND($A3614&lt;&gt;"",M3614=설정!$C$20,Z3614&gt;0),Z3614+ROW()/1000000000,"")</f>
        <v/>
      </c>
      <c r="AD3614" s="94">
        <f>IF($A3614="",0,$P3614*AG3614)</f>
        <v/>
      </c>
      <c r="AE3614" s="64">
        <f>IF($A3614="","",IFERROR(INDEX(계정매핑!$E$5:$E$504,MATCH($F3614&amp;"",계정매핑!$A$5:$A$504,0))&amp;"","공통비"))</f>
        <v/>
      </c>
      <c r="AF3614" s="64">
        <f>IF($A3614="","",IF(AE3614="직접",IFERROR(INDEX(계정매핑!$F$5:$F$504,MATCH($F3614&amp;"",계정매핑!$A$5:$A$504,0))&amp;"","비귀속"),""))</f>
        <v/>
      </c>
      <c r="AG3614" s="96">
        <f>IF($A3614="",0,IF(AND(AE3614&lt;&gt;"직접",IFERROR(INDEX(계정매핑!$G$5:$G$504,MATCH($F3614&amp;"",계정매핑!$A$5:$A$504,0))&amp;"","")="유지비",COUNTIF(계정대체기준!$A$6:$A$15,$N3614)&gt;0),IFERROR(INDEX(계정대체기준!$E$6:$E$15,MATCH(VALUE($A3614&amp;""),계정대체기준!$D$6:$D$15,0)),0),0))</f>
        <v/>
      </c>
      <c r="AH3614" s="64">
        <f>IF($A3614="","",IF(AD3614=0,"",IF(OR(COUNTIF(계정대체기준!$A$77:$A$86,$N3614)&gt;0,ISNUMBER(MATCH($X3614,계정대체기준!$D$77:$D$86,0)),ISNUMBER(MATCH($F3614,계정대체기준!$D$77:$D$86,0))),"Y","N")))</f>
        <v/>
      </c>
    </row>
    <row r="3615">
      <c r="A3615" s="92" t="n">
        <v>2026</v>
      </c>
      <c r="B3615" s="92" t="n">
        <v>4</v>
      </c>
      <c r="C3615" s="92" t="inlineStr">
        <is>
          <t>5100000893</t>
        </is>
      </c>
      <c r="D3615" s="95" t="n">
        <v>46137</v>
      </c>
      <c r="E3615" s="92" t="inlineStr">
        <is>
          <t>KR</t>
        </is>
      </c>
      <c r="F3615" s="92" t="n">
        <v>62301000</v>
      </c>
      <c r="G3615" s="92" t="n">
        <v>1201</v>
      </c>
      <c r="H3615" s="93" t="n">
        <v>215000</v>
      </c>
      <c r="I3615" s="92" t="inlineStr">
        <is>
          <t>4월 소모품 구입 - Q오피스</t>
        </is>
      </c>
      <c r="J3615" s="92" t="inlineStr">
        <is>
          <t>V10003</t>
        </is>
      </c>
      <c r="K3615" s="92" t="inlineStr">
        <is>
          <t>Q오피스</t>
        </is>
      </c>
      <c r="M3615" s="9">
        <f>IF($A3615="","",VALUE($A3615&amp;"")*12+VALUE($B3615&amp;""))</f>
        <v/>
      </c>
      <c r="N3615" s="64">
        <f>IF($A3615="","",IFERROR(INDEX(부서매핑!$C$5:$C$504,MATCH($G3615&amp;"",부서매핑!$A$5:$A$504,0)),"미매핑"))</f>
        <v/>
      </c>
      <c r="O3615" s="9">
        <f>IF($A3615="","",N3615&amp;"|"&amp;$F3615)</f>
        <v/>
      </c>
      <c r="P3615" s="94">
        <f>IF($A3615="",0,$H3615*설정!$C$23)</f>
        <v/>
      </c>
      <c r="Q3615" s="64">
        <f>IF($A3615="","",IF(O3615&lt;&gt;원인분석!$C$9,"",IF(AND(M3615&gt;=원인분석!$C$10,M3615&lt;=원인분석!$C$11),"당기",IF(AND(M3615&gt;=원인분석!$C$12,M3615&lt;=원인분석!$C$13),"비교",""))))</f>
        <v/>
      </c>
      <c r="R3615" s="9">
        <f>IF(Q3615="","",$K3615&amp;"")</f>
        <v/>
      </c>
      <c r="S3615" s="9">
        <f>IF(Q3615="","",IF(MATCH(R3615,$R$5:$R$100000,0)=ROW()-4,ROW(),""))</f>
        <v/>
      </c>
      <c r="T3615" s="9">
        <f>IF(Q3615="당기",ABS(P3615)+ROW()/1000000000,"")</f>
        <v/>
      </c>
      <c r="U3615" s="9">
        <f>IF(Q3615="비교",ABS(P3615)+ROW()/1000000000,"")</f>
        <v/>
      </c>
      <c r="V3615" s="64">
        <f>IF($A3615="","",IF(COUNTIF(변동분석!$E$7:$E$506,O3615)&gt;0,"Y","N"))</f>
        <v/>
      </c>
      <c r="W3615" s="64">
        <f>IF($A3615="","",IFERROR(INDEX(계정매핑!$D$5:$D$504,MATCH($F3615&amp;"",계정매핑!$A$5:$A$504,0)),"미매핑"))</f>
        <v/>
      </c>
      <c r="X3615" s="9">
        <f>IF($A3615="","",$F3615&amp;"")</f>
        <v/>
      </c>
      <c r="Y3615" s="94">
        <f>IF($A3615="",0,IF(AE3615="직접",IF(AF3615="비귀속",$P3615,0),$P3615*(1-AG3615)*IFERROR(INDEX(계정대체기준!$F$20:$F$49,MATCH($N3615,계정대체기준!$A$20:$A$49,0)),1)))</f>
        <v/>
      </c>
      <c r="Z3615" s="94">
        <f>IF($A3615="",0,IF(AE3615="직접",IF(AF3615="신계약비",$P3615,0),$P3615*(1-AG3615)*IFERROR(INDEX(계정대체기준!$C$20:$C$49,MATCH($N3615,계정대체기준!$A$20:$A$49,0)),0)))</f>
        <v/>
      </c>
      <c r="AA3615" s="94">
        <f>IF($A3615="",0,IF(AE3615="직접",IF(OR(AF3615="유지비",AF3615="손해조사비"),$P3615,0),$P3615*(1-AG3615)*IFERROR(INDEX(계정대체기준!$D$20:$D$49,MATCH($N3615,계정대체기준!$A$20:$A$49,0)),0)))</f>
        <v/>
      </c>
      <c r="AB3615" s="94">
        <f>IF($A3615="",0,IF(AE3615="직접",IF(AF3615="수금비",$P3615,0),$P3615*(1-AG3615)*IFERROR(INDEX(계정대체기준!$E$20:$E$49,MATCH($N3615,계정대체기준!$A$20:$A$49,0)),0)))</f>
        <v/>
      </c>
      <c r="AC3615" s="9">
        <f>IF(AND($A3615&lt;&gt;"",M3615=설정!$C$20,Z3615&gt;0),Z3615+ROW()/1000000000,"")</f>
        <v/>
      </c>
      <c r="AD3615" s="94">
        <f>IF($A3615="",0,$P3615*AG3615)</f>
        <v/>
      </c>
      <c r="AE3615" s="64">
        <f>IF($A3615="","",IFERROR(INDEX(계정매핑!$E$5:$E$504,MATCH($F3615&amp;"",계정매핑!$A$5:$A$504,0))&amp;"","공통비"))</f>
        <v/>
      </c>
      <c r="AF3615" s="64">
        <f>IF($A3615="","",IF(AE3615="직접",IFERROR(INDEX(계정매핑!$F$5:$F$504,MATCH($F3615&amp;"",계정매핑!$A$5:$A$504,0))&amp;"","비귀속"),""))</f>
        <v/>
      </c>
      <c r="AG3615" s="96">
        <f>IF($A3615="",0,IF(AND(AE3615&lt;&gt;"직접",IFERROR(INDEX(계정매핑!$G$5:$G$504,MATCH($F3615&amp;"",계정매핑!$A$5:$A$504,0))&amp;"","")="유지비",COUNTIF(계정대체기준!$A$6:$A$15,$N3615)&gt;0),IFERROR(INDEX(계정대체기준!$E$6:$E$15,MATCH(VALUE($A3615&amp;""),계정대체기준!$D$6:$D$15,0)),0),0))</f>
        <v/>
      </c>
      <c r="AH3615" s="64">
        <f>IF($A3615="","",IF(AD3615=0,"",IF(OR(COUNTIF(계정대체기준!$A$77:$A$86,$N3615)&gt;0,ISNUMBER(MATCH($X3615,계정대체기준!$D$77:$D$86,0)),ISNUMBER(MATCH($F3615,계정대체기준!$D$77:$D$86,0))),"Y","N")))</f>
        <v/>
      </c>
    </row>
    <row r="3616">
      <c r="A3616" s="92" t="n">
        <v>2026</v>
      </c>
      <c r="B3616" s="92" t="n">
        <v>4</v>
      </c>
      <c r="C3616" s="92" t="inlineStr">
        <is>
          <t>5100000894</t>
        </is>
      </c>
      <c r="D3616" s="95" t="n">
        <v>46137</v>
      </c>
      <c r="E3616" s="92" t="inlineStr">
        <is>
          <t>KR</t>
        </is>
      </c>
      <c r="F3616" s="92" t="n">
        <v>62301000</v>
      </c>
      <c r="G3616" s="92" t="n">
        <v>1602</v>
      </c>
      <c r="H3616" s="93" t="n">
        <v>272000</v>
      </c>
      <c r="I3616" s="92" t="inlineStr">
        <is>
          <t>4월 소모품 구입 - Q오피스</t>
        </is>
      </c>
      <c r="J3616" s="92" t="inlineStr">
        <is>
          <t>V10003</t>
        </is>
      </c>
      <c r="K3616" s="92" t="inlineStr">
        <is>
          <t>Q오피스</t>
        </is>
      </c>
      <c r="M3616" s="9">
        <f>IF($A3616="","",VALUE($A3616&amp;"")*12+VALUE($B3616&amp;""))</f>
        <v/>
      </c>
      <c r="N3616" s="64">
        <f>IF($A3616="","",IFERROR(INDEX(부서매핑!$C$5:$C$504,MATCH($G3616&amp;"",부서매핑!$A$5:$A$504,0)),"미매핑"))</f>
        <v/>
      </c>
      <c r="O3616" s="9">
        <f>IF($A3616="","",N3616&amp;"|"&amp;$F3616)</f>
        <v/>
      </c>
      <c r="P3616" s="94">
        <f>IF($A3616="",0,$H3616*설정!$C$23)</f>
        <v/>
      </c>
      <c r="Q3616" s="64">
        <f>IF($A3616="","",IF(O3616&lt;&gt;원인분석!$C$9,"",IF(AND(M3616&gt;=원인분석!$C$10,M3616&lt;=원인분석!$C$11),"당기",IF(AND(M3616&gt;=원인분석!$C$12,M3616&lt;=원인분석!$C$13),"비교",""))))</f>
        <v/>
      </c>
      <c r="R3616" s="9">
        <f>IF(Q3616="","",$K3616&amp;"")</f>
        <v/>
      </c>
      <c r="S3616" s="9">
        <f>IF(Q3616="","",IF(MATCH(R3616,$R$5:$R$100000,0)=ROW()-4,ROW(),""))</f>
        <v/>
      </c>
      <c r="T3616" s="9">
        <f>IF(Q3616="당기",ABS(P3616)+ROW()/1000000000,"")</f>
        <v/>
      </c>
      <c r="U3616" s="9">
        <f>IF(Q3616="비교",ABS(P3616)+ROW()/1000000000,"")</f>
        <v/>
      </c>
      <c r="V3616" s="64">
        <f>IF($A3616="","",IF(COUNTIF(변동분석!$E$7:$E$506,O3616)&gt;0,"Y","N"))</f>
        <v/>
      </c>
      <c r="W3616" s="64">
        <f>IF($A3616="","",IFERROR(INDEX(계정매핑!$D$5:$D$504,MATCH($F3616&amp;"",계정매핑!$A$5:$A$504,0)),"미매핑"))</f>
        <v/>
      </c>
      <c r="X3616" s="9">
        <f>IF($A3616="","",$F3616&amp;"")</f>
        <v/>
      </c>
      <c r="Y3616" s="94">
        <f>IF($A3616="",0,IF(AE3616="직접",IF(AF3616="비귀속",$P3616,0),$P3616*(1-AG3616)*IFERROR(INDEX(계정대체기준!$F$20:$F$49,MATCH($N3616,계정대체기준!$A$20:$A$49,0)),1)))</f>
        <v/>
      </c>
      <c r="Z3616" s="94">
        <f>IF($A3616="",0,IF(AE3616="직접",IF(AF3616="신계약비",$P3616,0),$P3616*(1-AG3616)*IFERROR(INDEX(계정대체기준!$C$20:$C$49,MATCH($N3616,계정대체기준!$A$20:$A$49,0)),0)))</f>
        <v/>
      </c>
      <c r="AA3616" s="94">
        <f>IF($A3616="",0,IF(AE3616="직접",IF(OR(AF3616="유지비",AF3616="손해조사비"),$P3616,0),$P3616*(1-AG3616)*IFERROR(INDEX(계정대체기준!$D$20:$D$49,MATCH($N3616,계정대체기준!$A$20:$A$49,0)),0)))</f>
        <v/>
      </c>
      <c r="AB3616" s="94">
        <f>IF($A3616="",0,IF(AE3616="직접",IF(AF3616="수금비",$P3616,0),$P3616*(1-AG3616)*IFERROR(INDEX(계정대체기준!$E$20:$E$49,MATCH($N3616,계정대체기준!$A$20:$A$49,0)),0)))</f>
        <v/>
      </c>
      <c r="AC3616" s="9">
        <f>IF(AND($A3616&lt;&gt;"",M3616=설정!$C$20,Z3616&gt;0),Z3616+ROW()/1000000000,"")</f>
        <v/>
      </c>
      <c r="AD3616" s="94">
        <f>IF($A3616="",0,$P3616*AG3616)</f>
        <v/>
      </c>
      <c r="AE3616" s="64">
        <f>IF($A3616="","",IFERROR(INDEX(계정매핑!$E$5:$E$504,MATCH($F3616&amp;"",계정매핑!$A$5:$A$504,0))&amp;"","공통비"))</f>
        <v/>
      </c>
      <c r="AF3616" s="64">
        <f>IF($A3616="","",IF(AE3616="직접",IFERROR(INDEX(계정매핑!$F$5:$F$504,MATCH($F3616&amp;"",계정매핑!$A$5:$A$504,0))&amp;"","비귀속"),""))</f>
        <v/>
      </c>
      <c r="AG3616" s="96">
        <f>IF($A3616="",0,IF(AND(AE3616&lt;&gt;"직접",IFERROR(INDEX(계정매핑!$G$5:$G$504,MATCH($F3616&amp;"",계정매핑!$A$5:$A$504,0))&amp;"","")="유지비",COUNTIF(계정대체기준!$A$6:$A$15,$N3616)&gt;0),IFERROR(INDEX(계정대체기준!$E$6:$E$15,MATCH(VALUE($A3616&amp;""),계정대체기준!$D$6:$D$15,0)),0),0))</f>
        <v/>
      </c>
      <c r="AH3616" s="64">
        <f>IF($A3616="","",IF(AD3616=0,"",IF(OR(COUNTIF(계정대체기준!$A$77:$A$86,$N3616)&gt;0,ISNUMBER(MATCH($X3616,계정대체기준!$D$77:$D$86,0)),ISNUMBER(MATCH($F3616,계정대체기준!$D$77:$D$86,0))),"Y","N")))</f>
        <v/>
      </c>
    </row>
    <row r="3617">
      <c r="A3617" s="92" t="n">
        <v>2026</v>
      </c>
      <c r="B3617" s="92" t="n">
        <v>4</v>
      </c>
      <c r="C3617" s="92" t="inlineStr">
        <is>
          <t>5100000895</t>
        </is>
      </c>
      <c r="D3617" s="95" t="n">
        <v>46137</v>
      </c>
      <c r="E3617" s="92" t="inlineStr">
        <is>
          <t>KR</t>
        </is>
      </c>
      <c r="F3617" s="92" t="n">
        <v>62401000</v>
      </c>
      <c r="G3617" s="92" t="n">
        <v>1401</v>
      </c>
      <c r="H3617" s="93" t="n">
        <v>489000</v>
      </c>
      <c r="I3617" s="92" t="inlineStr">
        <is>
          <t>4월 인쇄물 제작 - G인쇄</t>
        </is>
      </c>
      <c r="J3617" s="92" t="inlineStr">
        <is>
          <t>V10004</t>
        </is>
      </c>
      <c r="K3617" s="92" t="inlineStr">
        <is>
          <t>G인쇄</t>
        </is>
      </c>
      <c r="M3617" s="9">
        <f>IF($A3617="","",VALUE($A3617&amp;"")*12+VALUE($B3617&amp;""))</f>
        <v/>
      </c>
      <c r="N3617" s="64">
        <f>IF($A3617="","",IFERROR(INDEX(부서매핑!$C$5:$C$504,MATCH($G3617&amp;"",부서매핑!$A$5:$A$504,0)),"미매핑"))</f>
        <v/>
      </c>
      <c r="O3617" s="9">
        <f>IF($A3617="","",N3617&amp;"|"&amp;$F3617)</f>
        <v/>
      </c>
      <c r="P3617" s="94">
        <f>IF($A3617="",0,$H3617*설정!$C$23)</f>
        <v/>
      </c>
      <c r="Q3617" s="64">
        <f>IF($A3617="","",IF(O3617&lt;&gt;원인분석!$C$9,"",IF(AND(M3617&gt;=원인분석!$C$10,M3617&lt;=원인분석!$C$11),"당기",IF(AND(M3617&gt;=원인분석!$C$12,M3617&lt;=원인분석!$C$13),"비교",""))))</f>
        <v/>
      </c>
      <c r="R3617" s="9">
        <f>IF(Q3617="","",$K3617&amp;"")</f>
        <v/>
      </c>
      <c r="S3617" s="9">
        <f>IF(Q3617="","",IF(MATCH(R3617,$R$5:$R$100000,0)=ROW()-4,ROW(),""))</f>
        <v/>
      </c>
      <c r="T3617" s="9">
        <f>IF(Q3617="당기",ABS(P3617)+ROW()/1000000000,"")</f>
        <v/>
      </c>
      <c r="U3617" s="9">
        <f>IF(Q3617="비교",ABS(P3617)+ROW()/1000000000,"")</f>
        <v/>
      </c>
      <c r="V3617" s="64">
        <f>IF($A3617="","",IF(COUNTIF(변동분석!$E$7:$E$506,O3617)&gt;0,"Y","N"))</f>
        <v/>
      </c>
      <c r="W3617" s="64">
        <f>IF($A3617="","",IFERROR(INDEX(계정매핑!$D$5:$D$504,MATCH($F3617&amp;"",계정매핑!$A$5:$A$504,0)),"미매핑"))</f>
        <v/>
      </c>
      <c r="X3617" s="9">
        <f>IF($A3617="","",$F3617&amp;"")</f>
        <v/>
      </c>
      <c r="Y3617" s="94">
        <f>IF($A3617="",0,IF(AE3617="직접",IF(AF3617="비귀속",$P3617,0),$P3617*(1-AG3617)*IFERROR(INDEX(계정대체기준!$F$20:$F$49,MATCH($N3617,계정대체기준!$A$20:$A$49,0)),1)))</f>
        <v/>
      </c>
      <c r="Z3617" s="94">
        <f>IF($A3617="",0,IF(AE3617="직접",IF(AF3617="신계약비",$P3617,0),$P3617*(1-AG3617)*IFERROR(INDEX(계정대체기준!$C$20:$C$49,MATCH($N3617,계정대체기준!$A$20:$A$49,0)),0)))</f>
        <v/>
      </c>
      <c r="AA3617" s="94">
        <f>IF($A3617="",0,IF(AE3617="직접",IF(OR(AF3617="유지비",AF3617="손해조사비"),$P3617,0),$P3617*(1-AG3617)*IFERROR(INDEX(계정대체기준!$D$20:$D$49,MATCH($N3617,계정대체기준!$A$20:$A$49,0)),0)))</f>
        <v/>
      </c>
      <c r="AB3617" s="94">
        <f>IF($A3617="",0,IF(AE3617="직접",IF(AF3617="수금비",$P3617,0),$P3617*(1-AG3617)*IFERROR(INDEX(계정대체기준!$E$20:$E$49,MATCH($N3617,계정대체기준!$A$20:$A$49,0)),0)))</f>
        <v/>
      </c>
      <c r="AC3617" s="9">
        <f>IF(AND($A3617&lt;&gt;"",M3617=설정!$C$20,Z3617&gt;0),Z3617+ROW()/1000000000,"")</f>
        <v/>
      </c>
      <c r="AD3617" s="94">
        <f>IF($A3617="",0,$P3617*AG3617)</f>
        <v/>
      </c>
      <c r="AE3617" s="64">
        <f>IF($A3617="","",IFERROR(INDEX(계정매핑!$E$5:$E$504,MATCH($F3617&amp;"",계정매핑!$A$5:$A$504,0))&amp;"","공통비"))</f>
        <v/>
      </c>
      <c r="AF3617" s="64">
        <f>IF($A3617="","",IF(AE3617="직접",IFERROR(INDEX(계정매핑!$F$5:$F$504,MATCH($F3617&amp;"",계정매핑!$A$5:$A$504,0))&amp;"","비귀속"),""))</f>
        <v/>
      </c>
      <c r="AG3617" s="96">
        <f>IF($A3617="",0,IF(AND(AE3617&lt;&gt;"직접",IFERROR(INDEX(계정매핑!$G$5:$G$504,MATCH($F3617&amp;"",계정매핑!$A$5:$A$504,0))&amp;"","")="유지비",COUNTIF(계정대체기준!$A$6:$A$15,$N3617)&gt;0),IFERROR(INDEX(계정대체기준!$E$6:$E$15,MATCH(VALUE($A3617&amp;""),계정대체기준!$D$6:$D$15,0)),0),0))</f>
        <v/>
      </c>
      <c r="AH3617" s="64">
        <f>IF($A3617="","",IF(AD3617=0,"",IF(OR(COUNTIF(계정대체기준!$A$77:$A$86,$N3617)&gt;0,ISNUMBER(MATCH($X3617,계정대체기준!$D$77:$D$86,0)),ISNUMBER(MATCH($F3617,계정대체기준!$D$77:$D$86,0))),"Y","N")))</f>
        <v/>
      </c>
    </row>
    <row r="3618">
      <c r="A3618" s="92" t="n">
        <v>2026</v>
      </c>
      <c r="B3618" s="92" t="n">
        <v>4</v>
      </c>
      <c r="C3618" s="92" t="inlineStr">
        <is>
          <t>5100000896</t>
        </is>
      </c>
      <c r="D3618" s="95" t="n">
        <v>46137</v>
      </c>
      <c r="E3618" s="92" t="inlineStr">
        <is>
          <t>KR</t>
        </is>
      </c>
      <c r="F3618" s="92" t="n">
        <v>62401000</v>
      </c>
      <c r="G3618" s="92" t="n">
        <v>1801</v>
      </c>
      <c r="H3618" s="93" t="n">
        <v>1691000</v>
      </c>
      <c r="I3618" s="92" t="inlineStr">
        <is>
          <t>4월 인쇄물 제작 - S출판</t>
        </is>
      </c>
      <c r="J3618" s="92" t="inlineStr">
        <is>
          <t>V10015</t>
        </is>
      </c>
      <c r="K3618" s="92" t="inlineStr">
        <is>
          <t>S출판</t>
        </is>
      </c>
      <c r="M3618" s="9">
        <f>IF($A3618="","",VALUE($A3618&amp;"")*12+VALUE($B3618&amp;""))</f>
        <v/>
      </c>
      <c r="N3618" s="64">
        <f>IF($A3618="","",IFERROR(INDEX(부서매핑!$C$5:$C$504,MATCH($G3618&amp;"",부서매핑!$A$5:$A$504,0)),"미매핑"))</f>
        <v/>
      </c>
      <c r="O3618" s="9">
        <f>IF($A3618="","",N3618&amp;"|"&amp;$F3618)</f>
        <v/>
      </c>
      <c r="P3618" s="94">
        <f>IF($A3618="",0,$H3618*설정!$C$23)</f>
        <v/>
      </c>
      <c r="Q3618" s="64">
        <f>IF($A3618="","",IF(O3618&lt;&gt;원인분석!$C$9,"",IF(AND(M3618&gt;=원인분석!$C$10,M3618&lt;=원인분석!$C$11),"당기",IF(AND(M3618&gt;=원인분석!$C$12,M3618&lt;=원인분석!$C$13),"비교",""))))</f>
        <v/>
      </c>
      <c r="R3618" s="9">
        <f>IF(Q3618="","",$K3618&amp;"")</f>
        <v/>
      </c>
      <c r="S3618" s="9">
        <f>IF(Q3618="","",IF(MATCH(R3618,$R$5:$R$100000,0)=ROW()-4,ROW(),""))</f>
        <v/>
      </c>
      <c r="T3618" s="9">
        <f>IF(Q3618="당기",ABS(P3618)+ROW()/1000000000,"")</f>
        <v/>
      </c>
      <c r="U3618" s="9">
        <f>IF(Q3618="비교",ABS(P3618)+ROW()/1000000000,"")</f>
        <v/>
      </c>
      <c r="V3618" s="64">
        <f>IF($A3618="","",IF(COUNTIF(변동분석!$E$7:$E$506,O3618)&gt;0,"Y","N"))</f>
        <v/>
      </c>
      <c r="W3618" s="64">
        <f>IF($A3618="","",IFERROR(INDEX(계정매핑!$D$5:$D$504,MATCH($F3618&amp;"",계정매핑!$A$5:$A$504,0)),"미매핑"))</f>
        <v/>
      </c>
      <c r="X3618" s="9">
        <f>IF($A3618="","",$F3618&amp;"")</f>
        <v/>
      </c>
      <c r="Y3618" s="94">
        <f>IF($A3618="",0,IF(AE3618="직접",IF(AF3618="비귀속",$P3618,0),$P3618*(1-AG3618)*IFERROR(INDEX(계정대체기준!$F$20:$F$49,MATCH($N3618,계정대체기준!$A$20:$A$49,0)),1)))</f>
        <v/>
      </c>
      <c r="Z3618" s="94">
        <f>IF($A3618="",0,IF(AE3618="직접",IF(AF3618="신계약비",$P3618,0),$P3618*(1-AG3618)*IFERROR(INDEX(계정대체기준!$C$20:$C$49,MATCH($N3618,계정대체기준!$A$20:$A$49,0)),0)))</f>
        <v/>
      </c>
      <c r="AA3618" s="94">
        <f>IF($A3618="",0,IF(AE3618="직접",IF(OR(AF3618="유지비",AF3618="손해조사비"),$P3618,0),$P3618*(1-AG3618)*IFERROR(INDEX(계정대체기준!$D$20:$D$49,MATCH($N3618,계정대체기준!$A$20:$A$49,0)),0)))</f>
        <v/>
      </c>
      <c r="AB3618" s="94">
        <f>IF($A3618="",0,IF(AE3618="직접",IF(AF3618="수금비",$P3618,0),$P3618*(1-AG3618)*IFERROR(INDEX(계정대체기준!$E$20:$E$49,MATCH($N3618,계정대체기준!$A$20:$A$49,0)),0)))</f>
        <v/>
      </c>
      <c r="AC3618" s="9">
        <f>IF(AND($A3618&lt;&gt;"",M3618=설정!$C$20,Z3618&gt;0),Z3618+ROW()/1000000000,"")</f>
        <v/>
      </c>
      <c r="AD3618" s="94">
        <f>IF($A3618="",0,$P3618*AG3618)</f>
        <v/>
      </c>
      <c r="AE3618" s="64">
        <f>IF($A3618="","",IFERROR(INDEX(계정매핑!$E$5:$E$504,MATCH($F3618&amp;"",계정매핑!$A$5:$A$504,0))&amp;"","공통비"))</f>
        <v/>
      </c>
      <c r="AF3618" s="64">
        <f>IF($A3618="","",IF(AE3618="직접",IFERROR(INDEX(계정매핑!$F$5:$F$504,MATCH($F3618&amp;"",계정매핑!$A$5:$A$504,0))&amp;"","비귀속"),""))</f>
        <v/>
      </c>
      <c r="AG3618" s="96">
        <f>IF($A3618="",0,IF(AND(AE3618&lt;&gt;"직접",IFERROR(INDEX(계정매핑!$G$5:$G$504,MATCH($F3618&amp;"",계정매핑!$A$5:$A$504,0))&amp;"","")="유지비",COUNTIF(계정대체기준!$A$6:$A$15,$N3618)&gt;0),IFERROR(INDEX(계정대체기준!$E$6:$E$15,MATCH(VALUE($A3618&amp;""),계정대체기준!$D$6:$D$15,0)),0),0))</f>
        <v/>
      </c>
      <c r="AH3618" s="64">
        <f>IF($A3618="","",IF(AD3618=0,"",IF(OR(COUNTIF(계정대체기준!$A$77:$A$86,$N3618)&gt;0,ISNUMBER(MATCH($X3618,계정대체기준!$D$77:$D$86,0)),ISNUMBER(MATCH($F3618,계정대체기준!$D$77:$D$86,0))),"Y","N")))</f>
        <v/>
      </c>
    </row>
    <row r="3619">
      <c r="A3619" s="92" t="n">
        <v>2026</v>
      </c>
      <c r="B3619" s="92" t="n">
        <v>4</v>
      </c>
      <c r="C3619" s="92" t="inlineStr">
        <is>
          <t>5100000897</t>
        </is>
      </c>
      <c r="D3619" s="95" t="n">
        <v>46137</v>
      </c>
      <c r="E3619" s="92" t="inlineStr">
        <is>
          <t>KR</t>
        </is>
      </c>
      <c r="F3619" s="92" t="n">
        <v>62902000</v>
      </c>
      <c r="G3619" s="92" t="n">
        <v>1951</v>
      </c>
      <c r="H3619" s="93" t="n">
        <v>2000000</v>
      </c>
      <c r="I3619" s="92" t="inlineStr">
        <is>
          <t>4월 업무 위탁 수수료 - J콜센터</t>
        </is>
      </c>
      <c r="J3619" s="92" t="inlineStr">
        <is>
          <t>V10016</t>
        </is>
      </c>
      <c r="K3619" s="92" t="inlineStr">
        <is>
          <t>J콜센터</t>
        </is>
      </c>
      <c r="M3619" s="9">
        <f>IF($A3619="","",VALUE($A3619&amp;"")*12+VALUE($B3619&amp;""))</f>
        <v/>
      </c>
      <c r="N3619" s="64">
        <f>IF($A3619="","",IFERROR(INDEX(부서매핑!$C$5:$C$504,MATCH($G3619&amp;"",부서매핑!$A$5:$A$504,0)),"미매핑"))</f>
        <v/>
      </c>
      <c r="O3619" s="9">
        <f>IF($A3619="","",N3619&amp;"|"&amp;$F3619)</f>
        <v/>
      </c>
      <c r="P3619" s="94">
        <f>IF($A3619="",0,$H3619*설정!$C$23)</f>
        <v/>
      </c>
      <c r="Q3619" s="64">
        <f>IF($A3619="","",IF(O3619&lt;&gt;원인분석!$C$9,"",IF(AND(M3619&gt;=원인분석!$C$10,M3619&lt;=원인분석!$C$11),"당기",IF(AND(M3619&gt;=원인분석!$C$12,M3619&lt;=원인분석!$C$13),"비교",""))))</f>
        <v/>
      </c>
      <c r="R3619" s="9">
        <f>IF(Q3619="","",$K3619&amp;"")</f>
        <v/>
      </c>
      <c r="S3619" s="9">
        <f>IF(Q3619="","",IF(MATCH(R3619,$R$5:$R$100000,0)=ROW()-4,ROW(),""))</f>
        <v/>
      </c>
      <c r="T3619" s="9">
        <f>IF(Q3619="당기",ABS(P3619)+ROW()/1000000000,"")</f>
        <v/>
      </c>
      <c r="U3619" s="9">
        <f>IF(Q3619="비교",ABS(P3619)+ROW()/1000000000,"")</f>
        <v/>
      </c>
      <c r="V3619" s="64">
        <f>IF($A3619="","",IF(COUNTIF(변동분석!$E$7:$E$506,O3619)&gt;0,"Y","N"))</f>
        <v/>
      </c>
      <c r="W3619" s="64">
        <f>IF($A3619="","",IFERROR(INDEX(계정매핑!$D$5:$D$504,MATCH($F3619&amp;"",계정매핑!$A$5:$A$504,0)),"미매핑"))</f>
        <v/>
      </c>
      <c r="X3619" s="9">
        <f>IF($A3619="","",$F3619&amp;"")</f>
        <v/>
      </c>
      <c r="Y3619" s="94">
        <f>IF($A3619="",0,IF(AE3619="직접",IF(AF3619="비귀속",$P3619,0),$P3619*(1-AG3619)*IFERROR(INDEX(계정대체기준!$F$20:$F$49,MATCH($N3619,계정대체기준!$A$20:$A$49,0)),1)))</f>
        <v/>
      </c>
      <c r="Z3619" s="94">
        <f>IF($A3619="",0,IF(AE3619="직접",IF(AF3619="신계약비",$P3619,0),$P3619*(1-AG3619)*IFERROR(INDEX(계정대체기준!$C$20:$C$49,MATCH($N3619,계정대체기준!$A$20:$A$49,0)),0)))</f>
        <v/>
      </c>
      <c r="AA3619" s="94">
        <f>IF($A3619="",0,IF(AE3619="직접",IF(OR(AF3619="유지비",AF3619="손해조사비"),$P3619,0),$P3619*(1-AG3619)*IFERROR(INDEX(계정대체기준!$D$20:$D$49,MATCH($N3619,계정대체기준!$A$20:$A$49,0)),0)))</f>
        <v/>
      </c>
      <c r="AB3619" s="94">
        <f>IF($A3619="",0,IF(AE3619="직접",IF(AF3619="수금비",$P3619,0),$P3619*(1-AG3619)*IFERROR(INDEX(계정대체기준!$E$20:$E$49,MATCH($N3619,계정대체기준!$A$20:$A$49,0)),0)))</f>
        <v/>
      </c>
      <c r="AC3619" s="9">
        <f>IF(AND($A3619&lt;&gt;"",M3619=설정!$C$20,Z3619&gt;0),Z3619+ROW()/1000000000,"")</f>
        <v/>
      </c>
      <c r="AD3619" s="94">
        <f>IF($A3619="",0,$P3619*AG3619)</f>
        <v/>
      </c>
      <c r="AE3619" s="64">
        <f>IF($A3619="","",IFERROR(INDEX(계정매핑!$E$5:$E$504,MATCH($F3619&amp;"",계정매핑!$A$5:$A$504,0))&amp;"","공통비"))</f>
        <v/>
      </c>
      <c r="AF3619" s="64">
        <f>IF($A3619="","",IF(AE3619="직접",IFERROR(INDEX(계정매핑!$F$5:$F$504,MATCH($F3619&amp;"",계정매핑!$A$5:$A$504,0))&amp;"","비귀속"),""))</f>
        <v/>
      </c>
      <c r="AG3619" s="96">
        <f>IF($A3619="",0,IF(AND(AE3619&lt;&gt;"직접",IFERROR(INDEX(계정매핑!$G$5:$G$504,MATCH($F3619&amp;"",계정매핑!$A$5:$A$504,0))&amp;"","")="유지비",COUNTIF(계정대체기준!$A$6:$A$15,$N3619)&gt;0),IFERROR(INDEX(계정대체기준!$E$6:$E$15,MATCH(VALUE($A3619&amp;""),계정대체기준!$D$6:$D$15,0)),0),0))</f>
        <v/>
      </c>
      <c r="AH3619" s="64">
        <f>IF($A3619="","",IF(AD3619=0,"",IF(OR(COUNTIF(계정대체기준!$A$77:$A$86,$N3619)&gt;0,ISNUMBER(MATCH($X3619,계정대체기준!$D$77:$D$86,0)),ISNUMBER(MATCH($F3619,계정대체기준!$D$77:$D$86,0))),"Y","N")))</f>
        <v/>
      </c>
    </row>
    <row r="3620">
      <c r="A3620" s="92" t="n">
        <v>2026</v>
      </c>
      <c r="B3620" s="92" t="n">
        <v>4</v>
      </c>
      <c r="C3620" s="92" t="inlineStr">
        <is>
          <t>5100000898</t>
        </is>
      </c>
      <c r="D3620" s="95" t="n">
        <v>46137</v>
      </c>
      <c r="E3620" s="92" t="inlineStr">
        <is>
          <t>KR</t>
        </is>
      </c>
      <c r="F3620" s="92" t="n">
        <v>63001000</v>
      </c>
      <c r="G3620" s="92" t="n">
        <v>1701</v>
      </c>
      <c r="H3620" s="93" t="n">
        <v>17357000</v>
      </c>
      <c r="I3620" s="92" t="inlineStr">
        <is>
          <t>4월 SW 유지보수 - Z시스템</t>
        </is>
      </c>
      <c r="J3620" s="92" t="inlineStr">
        <is>
          <t>V10012</t>
        </is>
      </c>
      <c r="K3620" s="92" t="inlineStr">
        <is>
          <t>Z시스템</t>
        </is>
      </c>
      <c r="M3620" s="9">
        <f>IF($A3620="","",VALUE($A3620&amp;"")*12+VALUE($B3620&amp;""))</f>
        <v/>
      </c>
      <c r="N3620" s="64">
        <f>IF($A3620="","",IFERROR(INDEX(부서매핑!$C$5:$C$504,MATCH($G3620&amp;"",부서매핑!$A$5:$A$504,0)),"미매핑"))</f>
        <v/>
      </c>
      <c r="O3620" s="9">
        <f>IF($A3620="","",N3620&amp;"|"&amp;$F3620)</f>
        <v/>
      </c>
      <c r="P3620" s="94">
        <f>IF($A3620="",0,$H3620*설정!$C$23)</f>
        <v/>
      </c>
      <c r="Q3620" s="64">
        <f>IF($A3620="","",IF(O3620&lt;&gt;원인분석!$C$9,"",IF(AND(M3620&gt;=원인분석!$C$10,M3620&lt;=원인분석!$C$11),"당기",IF(AND(M3620&gt;=원인분석!$C$12,M3620&lt;=원인분석!$C$13),"비교",""))))</f>
        <v/>
      </c>
      <c r="R3620" s="9">
        <f>IF(Q3620="","",$K3620&amp;"")</f>
        <v/>
      </c>
      <c r="S3620" s="9">
        <f>IF(Q3620="","",IF(MATCH(R3620,$R$5:$R$100000,0)=ROW()-4,ROW(),""))</f>
        <v/>
      </c>
      <c r="T3620" s="9">
        <f>IF(Q3620="당기",ABS(P3620)+ROW()/1000000000,"")</f>
        <v/>
      </c>
      <c r="U3620" s="9">
        <f>IF(Q3620="비교",ABS(P3620)+ROW()/1000000000,"")</f>
        <v/>
      </c>
      <c r="V3620" s="64">
        <f>IF($A3620="","",IF(COUNTIF(변동분석!$E$7:$E$506,O3620)&gt;0,"Y","N"))</f>
        <v/>
      </c>
      <c r="W3620" s="64">
        <f>IF($A3620="","",IFERROR(INDEX(계정매핑!$D$5:$D$504,MATCH($F3620&amp;"",계정매핑!$A$5:$A$504,0)),"미매핑"))</f>
        <v/>
      </c>
      <c r="X3620" s="9">
        <f>IF($A3620="","",$F3620&amp;"")</f>
        <v/>
      </c>
      <c r="Y3620" s="94">
        <f>IF($A3620="",0,IF(AE3620="직접",IF(AF3620="비귀속",$P3620,0),$P3620*(1-AG3620)*IFERROR(INDEX(계정대체기준!$F$20:$F$49,MATCH($N3620,계정대체기준!$A$20:$A$49,0)),1)))</f>
        <v/>
      </c>
      <c r="Z3620" s="94">
        <f>IF($A3620="",0,IF(AE3620="직접",IF(AF3620="신계약비",$P3620,0),$P3620*(1-AG3620)*IFERROR(INDEX(계정대체기준!$C$20:$C$49,MATCH($N3620,계정대체기준!$A$20:$A$49,0)),0)))</f>
        <v/>
      </c>
      <c r="AA3620" s="94">
        <f>IF($A3620="",0,IF(AE3620="직접",IF(OR(AF3620="유지비",AF3620="손해조사비"),$P3620,0),$P3620*(1-AG3620)*IFERROR(INDEX(계정대체기준!$D$20:$D$49,MATCH($N3620,계정대체기준!$A$20:$A$49,0)),0)))</f>
        <v/>
      </c>
      <c r="AB3620" s="94">
        <f>IF($A3620="",0,IF(AE3620="직접",IF(AF3620="수금비",$P3620,0),$P3620*(1-AG3620)*IFERROR(INDEX(계정대체기준!$E$20:$E$49,MATCH($N3620,계정대체기준!$A$20:$A$49,0)),0)))</f>
        <v/>
      </c>
      <c r="AC3620" s="9">
        <f>IF(AND($A3620&lt;&gt;"",M3620=설정!$C$20,Z3620&gt;0),Z3620+ROW()/1000000000,"")</f>
        <v/>
      </c>
      <c r="AD3620" s="94">
        <f>IF($A3620="",0,$P3620*AG3620)</f>
        <v/>
      </c>
      <c r="AE3620" s="64">
        <f>IF($A3620="","",IFERROR(INDEX(계정매핑!$E$5:$E$504,MATCH($F3620&amp;"",계정매핑!$A$5:$A$504,0))&amp;"","공통비"))</f>
        <v/>
      </c>
      <c r="AF3620" s="64">
        <f>IF($A3620="","",IF(AE3620="직접",IFERROR(INDEX(계정매핑!$F$5:$F$504,MATCH($F3620&amp;"",계정매핑!$A$5:$A$504,0))&amp;"","비귀속"),""))</f>
        <v/>
      </c>
      <c r="AG3620" s="96">
        <f>IF($A3620="",0,IF(AND(AE3620&lt;&gt;"직접",IFERROR(INDEX(계정매핑!$G$5:$G$504,MATCH($F3620&amp;"",계정매핑!$A$5:$A$504,0))&amp;"","")="유지비",COUNTIF(계정대체기준!$A$6:$A$15,$N3620)&gt;0),IFERROR(INDEX(계정대체기준!$E$6:$E$15,MATCH(VALUE($A3620&amp;""),계정대체기준!$D$6:$D$15,0)),0),0))</f>
        <v/>
      </c>
      <c r="AH3620" s="64">
        <f>IF($A3620="","",IF(AD3620=0,"",IF(OR(COUNTIF(계정대체기준!$A$77:$A$86,$N3620)&gt;0,ISNUMBER(MATCH($X3620,계정대체기준!$D$77:$D$86,0)),ISNUMBER(MATCH($F3620,계정대체기준!$D$77:$D$86,0))),"Y","N")))</f>
        <v/>
      </c>
    </row>
    <row r="3621">
      <c r="A3621" s="92" t="n">
        <v>2026</v>
      </c>
      <c r="B3621" s="92" t="n">
        <v>4</v>
      </c>
      <c r="C3621" s="92" t="inlineStr">
        <is>
          <t>5100000899</t>
        </is>
      </c>
      <c r="D3621" s="95" t="n">
        <v>46137</v>
      </c>
      <c r="E3621" s="92" t="inlineStr">
        <is>
          <t>KR</t>
        </is>
      </c>
      <c r="F3621" s="92" t="n">
        <v>63001000</v>
      </c>
      <c r="G3621" s="92" t="n">
        <v>1951</v>
      </c>
      <c r="H3621" s="93" t="n">
        <v>4046000</v>
      </c>
      <c r="I3621" s="92" t="inlineStr">
        <is>
          <t>4월 SW 유지보수 - Y소프트</t>
        </is>
      </c>
      <c r="J3621" s="92" t="inlineStr">
        <is>
          <t>V10017</t>
        </is>
      </c>
      <c r="K3621" s="92" t="inlineStr">
        <is>
          <t>Y소프트</t>
        </is>
      </c>
      <c r="M3621" s="9">
        <f>IF($A3621="","",VALUE($A3621&amp;"")*12+VALUE($B3621&amp;""))</f>
        <v/>
      </c>
      <c r="N3621" s="64">
        <f>IF($A3621="","",IFERROR(INDEX(부서매핑!$C$5:$C$504,MATCH($G3621&amp;"",부서매핑!$A$5:$A$504,0)),"미매핑"))</f>
        <v/>
      </c>
      <c r="O3621" s="9">
        <f>IF($A3621="","",N3621&amp;"|"&amp;$F3621)</f>
        <v/>
      </c>
      <c r="P3621" s="94">
        <f>IF($A3621="",0,$H3621*설정!$C$23)</f>
        <v/>
      </c>
      <c r="Q3621" s="64">
        <f>IF($A3621="","",IF(O3621&lt;&gt;원인분석!$C$9,"",IF(AND(M3621&gt;=원인분석!$C$10,M3621&lt;=원인분석!$C$11),"당기",IF(AND(M3621&gt;=원인분석!$C$12,M3621&lt;=원인분석!$C$13),"비교",""))))</f>
        <v/>
      </c>
      <c r="R3621" s="9">
        <f>IF(Q3621="","",$K3621&amp;"")</f>
        <v/>
      </c>
      <c r="S3621" s="9">
        <f>IF(Q3621="","",IF(MATCH(R3621,$R$5:$R$100000,0)=ROW()-4,ROW(),""))</f>
        <v/>
      </c>
      <c r="T3621" s="9">
        <f>IF(Q3621="당기",ABS(P3621)+ROW()/1000000000,"")</f>
        <v/>
      </c>
      <c r="U3621" s="9">
        <f>IF(Q3621="비교",ABS(P3621)+ROW()/1000000000,"")</f>
        <v/>
      </c>
      <c r="V3621" s="64">
        <f>IF($A3621="","",IF(COUNTIF(변동분석!$E$7:$E$506,O3621)&gt;0,"Y","N"))</f>
        <v/>
      </c>
      <c r="W3621" s="64">
        <f>IF($A3621="","",IFERROR(INDEX(계정매핑!$D$5:$D$504,MATCH($F3621&amp;"",계정매핑!$A$5:$A$504,0)),"미매핑"))</f>
        <v/>
      </c>
      <c r="X3621" s="9">
        <f>IF($A3621="","",$F3621&amp;"")</f>
        <v/>
      </c>
      <c r="Y3621" s="94">
        <f>IF($A3621="",0,IF(AE3621="직접",IF(AF3621="비귀속",$P3621,0),$P3621*(1-AG3621)*IFERROR(INDEX(계정대체기준!$F$20:$F$49,MATCH($N3621,계정대체기준!$A$20:$A$49,0)),1)))</f>
        <v/>
      </c>
      <c r="Z3621" s="94">
        <f>IF($A3621="",0,IF(AE3621="직접",IF(AF3621="신계약비",$P3621,0),$P3621*(1-AG3621)*IFERROR(INDEX(계정대체기준!$C$20:$C$49,MATCH($N3621,계정대체기준!$A$20:$A$49,0)),0)))</f>
        <v/>
      </c>
      <c r="AA3621" s="94">
        <f>IF($A3621="",0,IF(AE3621="직접",IF(OR(AF3621="유지비",AF3621="손해조사비"),$P3621,0),$P3621*(1-AG3621)*IFERROR(INDEX(계정대체기준!$D$20:$D$49,MATCH($N3621,계정대체기준!$A$20:$A$49,0)),0)))</f>
        <v/>
      </c>
      <c r="AB3621" s="94">
        <f>IF($A3621="",0,IF(AE3621="직접",IF(AF3621="수금비",$P3621,0),$P3621*(1-AG3621)*IFERROR(INDEX(계정대체기준!$E$20:$E$49,MATCH($N3621,계정대체기준!$A$20:$A$49,0)),0)))</f>
        <v/>
      </c>
      <c r="AC3621" s="9">
        <f>IF(AND($A3621&lt;&gt;"",M3621=설정!$C$20,Z3621&gt;0),Z3621+ROW()/1000000000,"")</f>
        <v/>
      </c>
      <c r="AD3621" s="94">
        <f>IF($A3621="",0,$P3621*AG3621)</f>
        <v/>
      </c>
      <c r="AE3621" s="64">
        <f>IF($A3621="","",IFERROR(INDEX(계정매핑!$E$5:$E$504,MATCH($F3621&amp;"",계정매핑!$A$5:$A$504,0))&amp;"","공통비"))</f>
        <v/>
      </c>
      <c r="AF3621" s="64">
        <f>IF($A3621="","",IF(AE3621="직접",IFERROR(INDEX(계정매핑!$F$5:$F$504,MATCH($F3621&amp;"",계정매핑!$A$5:$A$504,0))&amp;"","비귀속"),""))</f>
        <v/>
      </c>
      <c r="AG3621" s="96">
        <f>IF($A3621="",0,IF(AND(AE3621&lt;&gt;"직접",IFERROR(INDEX(계정매핑!$G$5:$G$504,MATCH($F3621&amp;"",계정매핑!$A$5:$A$504,0))&amp;"","")="유지비",COUNTIF(계정대체기준!$A$6:$A$15,$N3621)&gt;0),IFERROR(INDEX(계정대체기준!$E$6:$E$15,MATCH(VALUE($A3621&amp;""),계정대체기준!$D$6:$D$15,0)),0),0))</f>
        <v/>
      </c>
      <c r="AH3621" s="64">
        <f>IF($A3621="","",IF(AD3621=0,"",IF(OR(COUNTIF(계정대체기준!$A$77:$A$86,$N3621)&gt;0,ISNUMBER(MATCH($X3621,계정대체기준!$D$77:$D$86,0)),ISNUMBER(MATCH($F3621,계정대체기준!$D$77:$D$86,0))),"Y","N")))</f>
        <v/>
      </c>
    </row>
    <row r="3622">
      <c r="A3622" s="92" t="n">
        <v>2026</v>
      </c>
      <c r="B3622" s="92" t="n">
        <v>4</v>
      </c>
      <c r="C3622" s="92" t="inlineStr">
        <is>
          <t>5100000900</t>
        </is>
      </c>
      <c r="D3622" s="95" t="n">
        <v>46137</v>
      </c>
      <c r="E3622" s="92" t="inlineStr">
        <is>
          <t>KR</t>
        </is>
      </c>
      <c r="F3622" s="92" t="n">
        <v>63002000</v>
      </c>
      <c r="G3622" s="92" t="n">
        <v>1701</v>
      </c>
      <c r="H3622" s="93" t="n">
        <v>80000000</v>
      </c>
      <c r="I3622" s="92" t="inlineStr">
        <is>
          <t>4월 클라우드 사용료 - C클라우드</t>
        </is>
      </c>
      <c r="J3622" s="92" t="inlineStr">
        <is>
          <t>V10026</t>
        </is>
      </c>
      <c r="K3622" s="92" t="inlineStr">
        <is>
          <t>C클라우드</t>
        </is>
      </c>
      <c r="M3622" s="9">
        <f>IF($A3622="","",VALUE($A3622&amp;"")*12+VALUE($B3622&amp;""))</f>
        <v/>
      </c>
      <c r="N3622" s="64">
        <f>IF($A3622="","",IFERROR(INDEX(부서매핑!$C$5:$C$504,MATCH($G3622&amp;"",부서매핑!$A$5:$A$504,0)),"미매핑"))</f>
        <v/>
      </c>
      <c r="O3622" s="9">
        <f>IF($A3622="","",N3622&amp;"|"&amp;$F3622)</f>
        <v/>
      </c>
      <c r="P3622" s="94">
        <f>IF($A3622="",0,$H3622*설정!$C$23)</f>
        <v/>
      </c>
      <c r="Q3622" s="64">
        <f>IF($A3622="","",IF(O3622&lt;&gt;원인분석!$C$9,"",IF(AND(M3622&gt;=원인분석!$C$10,M3622&lt;=원인분석!$C$11),"당기",IF(AND(M3622&gt;=원인분석!$C$12,M3622&lt;=원인분석!$C$13),"비교",""))))</f>
        <v/>
      </c>
      <c r="R3622" s="9">
        <f>IF(Q3622="","",$K3622&amp;"")</f>
        <v/>
      </c>
      <c r="S3622" s="9">
        <f>IF(Q3622="","",IF(MATCH(R3622,$R$5:$R$100000,0)=ROW()-4,ROW(),""))</f>
        <v/>
      </c>
      <c r="T3622" s="9">
        <f>IF(Q3622="당기",ABS(P3622)+ROW()/1000000000,"")</f>
        <v/>
      </c>
      <c r="U3622" s="9">
        <f>IF(Q3622="비교",ABS(P3622)+ROW()/1000000000,"")</f>
        <v/>
      </c>
      <c r="V3622" s="64">
        <f>IF($A3622="","",IF(COUNTIF(변동분석!$E$7:$E$506,O3622)&gt;0,"Y","N"))</f>
        <v/>
      </c>
      <c r="W3622" s="64">
        <f>IF($A3622="","",IFERROR(INDEX(계정매핑!$D$5:$D$504,MATCH($F3622&amp;"",계정매핑!$A$5:$A$504,0)),"미매핑"))</f>
        <v/>
      </c>
      <c r="X3622" s="9">
        <f>IF($A3622="","",$F3622&amp;"")</f>
        <v/>
      </c>
      <c r="Y3622" s="94">
        <f>IF($A3622="",0,IF(AE3622="직접",IF(AF3622="비귀속",$P3622,0),$P3622*(1-AG3622)*IFERROR(INDEX(계정대체기준!$F$20:$F$49,MATCH($N3622,계정대체기준!$A$20:$A$49,0)),1)))</f>
        <v/>
      </c>
      <c r="Z3622" s="94">
        <f>IF($A3622="",0,IF(AE3622="직접",IF(AF3622="신계약비",$P3622,0),$P3622*(1-AG3622)*IFERROR(INDEX(계정대체기준!$C$20:$C$49,MATCH($N3622,계정대체기준!$A$20:$A$49,0)),0)))</f>
        <v/>
      </c>
      <c r="AA3622" s="94">
        <f>IF($A3622="",0,IF(AE3622="직접",IF(OR(AF3622="유지비",AF3622="손해조사비"),$P3622,0),$P3622*(1-AG3622)*IFERROR(INDEX(계정대체기준!$D$20:$D$49,MATCH($N3622,계정대체기준!$A$20:$A$49,0)),0)))</f>
        <v/>
      </c>
      <c r="AB3622" s="94">
        <f>IF($A3622="",0,IF(AE3622="직접",IF(AF3622="수금비",$P3622,0),$P3622*(1-AG3622)*IFERROR(INDEX(계정대체기준!$E$20:$E$49,MATCH($N3622,계정대체기준!$A$20:$A$49,0)),0)))</f>
        <v/>
      </c>
      <c r="AC3622" s="9">
        <f>IF(AND($A3622&lt;&gt;"",M3622=설정!$C$20,Z3622&gt;0),Z3622+ROW()/1000000000,"")</f>
        <v/>
      </c>
      <c r="AD3622" s="94">
        <f>IF($A3622="",0,$P3622*AG3622)</f>
        <v/>
      </c>
      <c r="AE3622" s="64">
        <f>IF($A3622="","",IFERROR(INDEX(계정매핑!$E$5:$E$504,MATCH($F3622&amp;"",계정매핑!$A$5:$A$504,0))&amp;"","공통비"))</f>
        <v/>
      </c>
      <c r="AF3622" s="64">
        <f>IF($A3622="","",IF(AE3622="직접",IFERROR(INDEX(계정매핑!$F$5:$F$504,MATCH($F3622&amp;"",계정매핑!$A$5:$A$504,0))&amp;"","비귀속"),""))</f>
        <v/>
      </c>
      <c r="AG3622" s="96">
        <f>IF($A3622="",0,IF(AND(AE3622&lt;&gt;"직접",IFERROR(INDEX(계정매핑!$G$5:$G$504,MATCH($F3622&amp;"",계정매핑!$A$5:$A$504,0))&amp;"","")="유지비",COUNTIF(계정대체기준!$A$6:$A$15,$N3622)&gt;0),IFERROR(INDEX(계정대체기준!$E$6:$E$15,MATCH(VALUE($A3622&amp;""),계정대체기준!$D$6:$D$15,0)),0),0))</f>
        <v/>
      </c>
      <c r="AH3622" s="64">
        <f>IF($A3622="","",IF(AD3622=0,"",IF(OR(COUNTIF(계정대체기준!$A$77:$A$86,$N3622)&gt;0,ISNUMBER(MATCH($X3622,계정대체기준!$D$77:$D$86,0)),ISNUMBER(MATCH($F3622,계정대체기준!$D$77:$D$86,0))),"Y","N")))</f>
        <v/>
      </c>
    </row>
    <row r="3623">
      <c r="A3623" s="92" t="n">
        <v>2026</v>
      </c>
      <c r="B3623" s="92" t="n">
        <v>4</v>
      </c>
      <c r="C3623" s="92" t="inlineStr">
        <is>
          <t>5100000901</t>
        </is>
      </c>
      <c r="D3623" s="95" t="n">
        <v>46137</v>
      </c>
      <c r="E3623" s="92" t="inlineStr">
        <is>
          <t>KR</t>
        </is>
      </c>
      <c r="F3623" s="92" t="n">
        <v>63101000</v>
      </c>
      <c r="G3623" s="92" t="n">
        <v>1602</v>
      </c>
      <c r="H3623" s="93" t="n">
        <v>5608000</v>
      </c>
      <c r="I3623" s="92" t="inlineStr">
        <is>
          <t>4월 사무실 임차료 - AA빌딩</t>
        </is>
      </c>
      <c r="J3623" s="92" t="inlineStr">
        <is>
          <t>V10007</t>
        </is>
      </c>
      <c r="K3623" s="92" t="inlineStr">
        <is>
          <t>AA빌딩</t>
        </is>
      </c>
      <c r="M3623" s="9">
        <f>IF($A3623="","",VALUE($A3623&amp;"")*12+VALUE($B3623&amp;""))</f>
        <v/>
      </c>
      <c r="N3623" s="64">
        <f>IF($A3623="","",IFERROR(INDEX(부서매핑!$C$5:$C$504,MATCH($G3623&amp;"",부서매핑!$A$5:$A$504,0)),"미매핑"))</f>
        <v/>
      </c>
      <c r="O3623" s="9">
        <f>IF($A3623="","",N3623&amp;"|"&amp;$F3623)</f>
        <v/>
      </c>
      <c r="P3623" s="94">
        <f>IF($A3623="",0,$H3623*설정!$C$23)</f>
        <v/>
      </c>
      <c r="Q3623" s="64">
        <f>IF($A3623="","",IF(O3623&lt;&gt;원인분석!$C$9,"",IF(AND(M3623&gt;=원인분석!$C$10,M3623&lt;=원인분석!$C$11),"당기",IF(AND(M3623&gt;=원인분석!$C$12,M3623&lt;=원인분석!$C$13),"비교",""))))</f>
        <v/>
      </c>
      <c r="R3623" s="9">
        <f>IF(Q3623="","",$K3623&amp;"")</f>
        <v/>
      </c>
      <c r="S3623" s="9">
        <f>IF(Q3623="","",IF(MATCH(R3623,$R$5:$R$100000,0)=ROW()-4,ROW(),""))</f>
        <v/>
      </c>
      <c r="T3623" s="9">
        <f>IF(Q3623="당기",ABS(P3623)+ROW()/1000000000,"")</f>
        <v/>
      </c>
      <c r="U3623" s="9">
        <f>IF(Q3623="비교",ABS(P3623)+ROW()/1000000000,"")</f>
        <v/>
      </c>
      <c r="V3623" s="64">
        <f>IF($A3623="","",IF(COUNTIF(변동분석!$E$7:$E$506,O3623)&gt;0,"Y","N"))</f>
        <v/>
      </c>
      <c r="W3623" s="64">
        <f>IF($A3623="","",IFERROR(INDEX(계정매핑!$D$5:$D$504,MATCH($F3623&amp;"",계정매핑!$A$5:$A$504,0)),"미매핑"))</f>
        <v/>
      </c>
      <c r="X3623" s="9">
        <f>IF($A3623="","",$F3623&amp;"")</f>
        <v/>
      </c>
      <c r="Y3623" s="94">
        <f>IF($A3623="",0,IF(AE3623="직접",IF(AF3623="비귀속",$P3623,0),$P3623*(1-AG3623)*IFERROR(INDEX(계정대체기준!$F$20:$F$49,MATCH($N3623,계정대체기준!$A$20:$A$49,0)),1)))</f>
        <v/>
      </c>
      <c r="Z3623" s="94">
        <f>IF($A3623="",0,IF(AE3623="직접",IF(AF3623="신계약비",$P3623,0),$P3623*(1-AG3623)*IFERROR(INDEX(계정대체기준!$C$20:$C$49,MATCH($N3623,계정대체기준!$A$20:$A$49,0)),0)))</f>
        <v/>
      </c>
      <c r="AA3623" s="94">
        <f>IF($A3623="",0,IF(AE3623="직접",IF(OR(AF3623="유지비",AF3623="손해조사비"),$P3623,0),$P3623*(1-AG3623)*IFERROR(INDEX(계정대체기준!$D$20:$D$49,MATCH($N3623,계정대체기준!$A$20:$A$49,0)),0)))</f>
        <v/>
      </c>
      <c r="AB3623" s="94">
        <f>IF($A3623="",0,IF(AE3623="직접",IF(AF3623="수금비",$P3623,0),$P3623*(1-AG3623)*IFERROR(INDEX(계정대체기준!$E$20:$E$49,MATCH($N3623,계정대체기준!$A$20:$A$49,0)),0)))</f>
        <v/>
      </c>
      <c r="AC3623" s="9">
        <f>IF(AND($A3623&lt;&gt;"",M3623=설정!$C$20,Z3623&gt;0),Z3623+ROW()/1000000000,"")</f>
        <v/>
      </c>
      <c r="AD3623" s="94">
        <f>IF($A3623="",0,$P3623*AG3623)</f>
        <v/>
      </c>
      <c r="AE3623" s="64">
        <f>IF($A3623="","",IFERROR(INDEX(계정매핑!$E$5:$E$504,MATCH($F3623&amp;"",계정매핑!$A$5:$A$504,0))&amp;"","공통비"))</f>
        <v/>
      </c>
      <c r="AF3623" s="64">
        <f>IF($A3623="","",IF(AE3623="직접",IFERROR(INDEX(계정매핑!$F$5:$F$504,MATCH($F3623&amp;"",계정매핑!$A$5:$A$504,0))&amp;"","비귀속"),""))</f>
        <v/>
      </c>
      <c r="AG3623" s="96">
        <f>IF($A3623="",0,IF(AND(AE3623&lt;&gt;"직접",IFERROR(INDEX(계정매핑!$G$5:$G$504,MATCH($F3623&amp;"",계정매핑!$A$5:$A$504,0))&amp;"","")="유지비",COUNTIF(계정대체기준!$A$6:$A$15,$N3623)&gt;0),IFERROR(INDEX(계정대체기준!$E$6:$E$15,MATCH(VALUE($A3623&amp;""),계정대체기준!$D$6:$D$15,0)),0),0))</f>
        <v/>
      </c>
      <c r="AH3623" s="64">
        <f>IF($A3623="","",IF(AD3623=0,"",IF(OR(COUNTIF(계정대체기준!$A$77:$A$86,$N3623)&gt;0,ISNUMBER(MATCH($X3623,계정대체기준!$D$77:$D$86,0)),ISNUMBER(MATCH($F3623,계정대체기준!$D$77:$D$86,0))),"Y","N")))</f>
        <v/>
      </c>
    </row>
    <row r="3624">
      <c r="A3624" s="92" t="n">
        <v>2026</v>
      </c>
      <c r="B3624" s="92" t="n">
        <v>4</v>
      </c>
      <c r="C3624" s="92" t="inlineStr">
        <is>
          <t>5100000902</t>
        </is>
      </c>
      <c r="D3624" s="95" t="n">
        <v>46138</v>
      </c>
      <c r="E3624" s="92" t="inlineStr">
        <is>
          <t>KR</t>
        </is>
      </c>
      <c r="F3624" s="92" t="n">
        <v>62101000</v>
      </c>
      <c r="G3624" s="92" t="n">
        <v>1201</v>
      </c>
      <c r="H3624" s="93" t="n">
        <v>199000</v>
      </c>
      <c r="I3624" s="92" t="inlineStr">
        <is>
          <t>4월 국내출장 - M항공</t>
        </is>
      </c>
      <c r="J3624" s="92" t="inlineStr">
        <is>
          <t>V10001</t>
        </is>
      </c>
      <c r="K3624" s="92" t="inlineStr">
        <is>
          <t>M항공</t>
        </is>
      </c>
      <c r="M3624" s="9">
        <f>IF($A3624="","",VALUE($A3624&amp;"")*12+VALUE($B3624&amp;""))</f>
        <v/>
      </c>
      <c r="N3624" s="64">
        <f>IF($A3624="","",IFERROR(INDEX(부서매핑!$C$5:$C$504,MATCH($G3624&amp;"",부서매핑!$A$5:$A$504,0)),"미매핑"))</f>
        <v/>
      </c>
      <c r="O3624" s="9">
        <f>IF($A3624="","",N3624&amp;"|"&amp;$F3624)</f>
        <v/>
      </c>
      <c r="P3624" s="94">
        <f>IF($A3624="",0,$H3624*설정!$C$23)</f>
        <v/>
      </c>
      <c r="Q3624" s="64">
        <f>IF($A3624="","",IF(O3624&lt;&gt;원인분석!$C$9,"",IF(AND(M3624&gt;=원인분석!$C$10,M3624&lt;=원인분석!$C$11),"당기",IF(AND(M3624&gt;=원인분석!$C$12,M3624&lt;=원인분석!$C$13),"비교",""))))</f>
        <v/>
      </c>
      <c r="R3624" s="9">
        <f>IF(Q3624="","",$K3624&amp;"")</f>
        <v/>
      </c>
      <c r="S3624" s="9">
        <f>IF(Q3624="","",IF(MATCH(R3624,$R$5:$R$100000,0)=ROW()-4,ROW(),""))</f>
        <v/>
      </c>
      <c r="T3624" s="9">
        <f>IF(Q3624="당기",ABS(P3624)+ROW()/1000000000,"")</f>
        <v/>
      </c>
      <c r="U3624" s="9">
        <f>IF(Q3624="비교",ABS(P3624)+ROW()/1000000000,"")</f>
        <v/>
      </c>
      <c r="V3624" s="64">
        <f>IF($A3624="","",IF(COUNTIF(변동분석!$E$7:$E$506,O3624)&gt;0,"Y","N"))</f>
        <v/>
      </c>
      <c r="W3624" s="64">
        <f>IF($A3624="","",IFERROR(INDEX(계정매핑!$D$5:$D$504,MATCH($F3624&amp;"",계정매핑!$A$5:$A$504,0)),"미매핑"))</f>
        <v/>
      </c>
      <c r="X3624" s="9">
        <f>IF($A3624="","",$F3624&amp;"")</f>
        <v/>
      </c>
      <c r="Y3624" s="94">
        <f>IF($A3624="",0,IF(AE3624="직접",IF(AF3624="비귀속",$P3624,0),$P3624*(1-AG3624)*IFERROR(INDEX(계정대체기준!$F$20:$F$49,MATCH($N3624,계정대체기준!$A$20:$A$49,0)),1)))</f>
        <v/>
      </c>
      <c r="Z3624" s="94">
        <f>IF($A3624="",0,IF(AE3624="직접",IF(AF3624="신계약비",$P3624,0),$P3624*(1-AG3624)*IFERROR(INDEX(계정대체기준!$C$20:$C$49,MATCH($N3624,계정대체기준!$A$20:$A$49,0)),0)))</f>
        <v/>
      </c>
      <c r="AA3624" s="94">
        <f>IF($A3624="",0,IF(AE3624="직접",IF(OR(AF3624="유지비",AF3624="손해조사비"),$P3624,0),$P3624*(1-AG3624)*IFERROR(INDEX(계정대체기준!$D$20:$D$49,MATCH($N3624,계정대체기준!$A$20:$A$49,0)),0)))</f>
        <v/>
      </c>
      <c r="AB3624" s="94">
        <f>IF($A3624="",0,IF(AE3624="직접",IF(AF3624="수금비",$P3624,0),$P3624*(1-AG3624)*IFERROR(INDEX(계정대체기준!$E$20:$E$49,MATCH($N3624,계정대체기준!$A$20:$A$49,0)),0)))</f>
        <v/>
      </c>
      <c r="AC3624" s="9">
        <f>IF(AND($A3624&lt;&gt;"",M3624=설정!$C$20,Z3624&gt;0),Z3624+ROW()/1000000000,"")</f>
        <v/>
      </c>
      <c r="AD3624" s="94">
        <f>IF($A3624="",0,$P3624*AG3624)</f>
        <v/>
      </c>
      <c r="AE3624" s="64">
        <f>IF($A3624="","",IFERROR(INDEX(계정매핑!$E$5:$E$504,MATCH($F3624&amp;"",계정매핑!$A$5:$A$504,0))&amp;"","공통비"))</f>
        <v/>
      </c>
      <c r="AF3624" s="64">
        <f>IF($A3624="","",IF(AE3624="직접",IFERROR(INDEX(계정매핑!$F$5:$F$504,MATCH($F3624&amp;"",계정매핑!$A$5:$A$504,0))&amp;"","비귀속"),""))</f>
        <v/>
      </c>
      <c r="AG3624" s="96">
        <f>IF($A3624="",0,IF(AND(AE3624&lt;&gt;"직접",IFERROR(INDEX(계정매핑!$G$5:$G$504,MATCH($F3624&amp;"",계정매핑!$A$5:$A$504,0))&amp;"","")="유지비",COUNTIF(계정대체기준!$A$6:$A$15,$N3624)&gt;0),IFERROR(INDEX(계정대체기준!$E$6:$E$15,MATCH(VALUE($A3624&amp;""),계정대체기준!$D$6:$D$15,0)),0),0))</f>
        <v/>
      </c>
      <c r="AH3624" s="64">
        <f>IF($A3624="","",IF(AD3624=0,"",IF(OR(COUNTIF(계정대체기준!$A$77:$A$86,$N3624)&gt;0,ISNUMBER(MATCH($X3624,계정대체기준!$D$77:$D$86,0)),ISNUMBER(MATCH($F3624,계정대체기준!$D$77:$D$86,0))),"Y","N")))</f>
        <v/>
      </c>
    </row>
    <row r="3625">
      <c r="A3625" s="92" t="n">
        <v>2026</v>
      </c>
      <c r="B3625" s="92" t="n">
        <v>4</v>
      </c>
      <c r="C3625" s="92" t="inlineStr">
        <is>
          <t>5100000903</t>
        </is>
      </c>
      <c r="D3625" s="95" t="n">
        <v>46138</v>
      </c>
      <c r="E3625" s="92" t="inlineStr">
        <is>
          <t>KR</t>
        </is>
      </c>
      <c r="F3625" s="92" t="n">
        <v>62101000</v>
      </c>
      <c r="G3625" s="92" t="n">
        <v>1501</v>
      </c>
      <c r="H3625" s="93" t="n">
        <v>506000</v>
      </c>
      <c r="I3625" s="92" t="inlineStr">
        <is>
          <t>4월 국내출장 - L여행사</t>
        </is>
      </c>
      <c r="J3625" s="92" t="inlineStr">
        <is>
          <t>V10018</t>
        </is>
      </c>
      <c r="K3625" s="92" t="inlineStr">
        <is>
          <t>L여행사</t>
        </is>
      </c>
      <c r="M3625" s="9">
        <f>IF($A3625="","",VALUE($A3625&amp;"")*12+VALUE($B3625&amp;""))</f>
        <v/>
      </c>
      <c r="N3625" s="64">
        <f>IF($A3625="","",IFERROR(INDEX(부서매핑!$C$5:$C$504,MATCH($G3625&amp;"",부서매핑!$A$5:$A$504,0)),"미매핑"))</f>
        <v/>
      </c>
      <c r="O3625" s="9">
        <f>IF($A3625="","",N3625&amp;"|"&amp;$F3625)</f>
        <v/>
      </c>
      <c r="P3625" s="94">
        <f>IF($A3625="",0,$H3625*설정!$C$23)</f>
        <v/>
      </c>
      <c r="Q3625" s="64">
        <f>IF($A3625="","",IF(O3625&lt;&gt;원인분석!$C$9,"",IF(AND(M3625&gt;=원인분석!$C$10,M3625&lt;=원인분석!$C$11),"당기",IF(AND(M3625&gt;=원인분석!$C$12,M3625&lt;=원인분석!$C$13),"비교",""))))</f>
        <v/>
      </c>
      <c r="R3625" s="9">
        <f>IF(Q3625="","",$K3625&amp;"")</f>
        <v/>
      </c>
      <c r="S3625" s="9">
        <f>IF(Q3625="","",IF(MATCH(R3625,$R$5:$R$100000,0)=ROW()-4,ROW(),""))</f>
        <v/>
      </c>
      <c r="T3625" s="9">
        <f>IF(Q3625="당기",ABS(P3625)+ROW()/1000000000,"")</f>
        <v/>
      </c>
      <c r="U3625" s="9">
        <f>IF(Q3625="비교",ABS(P3625)+ROW()/1000000000,"")</f>
        <v/>
      </c>
      <c r="V3625" s="64">
        <f>IF($A3625="","",IF(COUNTIF(변동분석!$E$7:$E$506,O3625)&gt;0,"Y","N"))</f>
        <v/>
      </c>
      <c r="W3625" s="64">
        <f>IF($A3625="","",IFERROR(INDEX(계정매핑!$D$5:$D$504,MATCH($F3625&amp;"",계정매핑!$A$5:$A$504,0)),"미매핑"))</f>
        <v/>
      </c>
      <c r="X3625" s="9">
        <f>IF($A3625="","",$F3625&amp;"")</f>
        <v/>
      </c>
      <c r="Y3625" s="94">
        <f>IF($A3625="",0,IF(AE3625="직접",IF(AF3625="비귀속",$P3625,0),$P3625*(1-AG3625)*IFERROR(INDEX(계정대체기준!$F$20:$F$49,MATCH($N3625,계정대체기준!$A$20:$A$49,0)),1)))</f>
        <v/>
      </c>
      <c r="Z3625" s="94">
        <f>IF($A3625="",0,IF(AE3625="직접",IF(AF3625="신계약비",$P3625,0),$P3625*(1-AG3625)*IFERROR(INDEX(계정대체기준!$C$20:$C$49,MATCH($N3625,계정대체기준!$A$20:$A$49,0)),0)))</f>
        <v/>
      </c>
      <c r="AA3625" s="94">
        <f>IF($A3625="",0,IF(AE3625="직접",IF(OR(AF3625="유지비",AF3625="손해조사비"),$P3625,0),$P3625*(1-AG3625)*IFERROR(INDEX(계정대체기준!$D$20:$D$49,MATCH($N3625,계정대체기준!$A$20:$A$49,0)),0)))</f>
        <v/>
      </c>
      <c r="AB3625" s="94">
        <f>IF($A3625="",0,IF(AE3625="직접",IF(AF3625="수금비",$P3625,0),$P3625*(1-AG3625)*IFERROR(INDEX(계정대체기준!$E$20:$E$49,MATCH($N3625,계정대체기준!$A$20:$A$49,0)),0)))</f>
        <v/>
      </c>
      <c r="AC3625" s="9">
        <f>IF(AND($A3625&lt;&gt;"",M3625=설정!$C$20,Z3625&gt;0),Z3625+ROW()/1000000000,"")</f>
        <v/>
      </c>
      <c r="AD3625" s="94">
        <f>IF($A3625="",0,$P3625*AG3625)</f>
        <v/>
      </c>
      <c r="AE3625" s="64">
        <f>IF($A3625="","",IFERROR(INDEX(계정매핑!$E$5:$E$504,MATCH($F3625&amp;"",계정매핑!$A$5:$A$504,0))&amp;"","공통비"))</f>
        <v/>
      </c>
      <c r="AF3625" s="64">
        <f>IF($A3625="","",IF(AE3625="직접",IFERROR(INDEX(계정매핑!$F$5:$F$504,MATCH($F3625&amp;"",계정매핑!$A$5:$A$504,0))&amp;"","비귀속"),""))</f>
        <v/>
      </c>
      <c r="AG3625" s="96">
        <f>IF($A3625="",0,IF(AND(AE3625&lt;&gt;"직접",IFERROR(INDEX(계정매핑!$G$5:$G$504,MATCH($F3625&amp;"",계정매핑!$A$5:$A$504,0))&amp;"","")="유지비",COUNTIF(계정대체기준!$A$6:$A$15,$N3625)&gt;0),IFERROR(INDEX(계정대체기준!$E$6:$E$15,MATCH(VALUE($A3625&amp;""),계정대체기준!$D$6:$D$15,0)),0),0))</f>
        <v/>
      </c>
      <c r="AH3625" s="64">
        <f>IF($A3625="","",IF(AD3625=0,"",IF(OR(COUNTIF(계정대체기준!$A$77:$A$86,$N3625)&gt;0,ISNUMBER(MATCH($X3625,계정대체기준!$D$77:$D$86,0)),ISNUMBER(MATCH($F3625,계정대체기준!$D$77:$D$86,0))),"Y","N")))</f>
        <v/>
      </c>
    </row>
    <row r="3626">
      <c r="A3626" s="92" t="n">
        <v>2026</v>
      </c>
      <c r="B3626" s="92" t="n">
        <v>4</v>
      </c>
      <c r="C3626" s="92" t="inlineStr">
        <is>
          <t>5100000904</t>
        </is>
      </c>
      <c r="D3626" s="95" t="n">
        <v>46138</v>
      </c>
      <c r="E3626" s="92" t="inlineStr">
        <is>
          <t>KR</t>
        </is>
      </c>
      <c r="F3626" s="92" t="n">
        <v>62101000</v>
      </c>
      <c r="G3626" s="92" t="n">
        <v>1602</v>
      </c>
      <c r="H3626" s="93" t="n">
        <v>1096000</v>
      </c>
      <c r="I3626" s="92" t="inlineStr">
        <is>
          <t>4월 국내출장 - M항공</t>
        </is>
      </c>
      <c r="J3626" s="92" t="inlineStr">
        <is>
          <t>V10001</t>
        </is>
      </c>
      <c r="K3626" s="92" t="inlineStr">
        <is>
          <t>M항공</t>
        </is>
      </c>
      <c r="M3626" s="9">
        <f>IF($A3626="","",VALUE($A3626&amp;"")*12+VALUE($B3626&amp;""))</f>
        <v/>
      </c>
      <c r="N3626" s="64">
        <f>IF($A3626="","",IFERROR(INDEX(부서매핑!$C$5:$C$504,MATCH($G3626&amp;"",부서매핑!$A$5:$A$504,0)),"미매핑"))</f>
        <v/>
      </c>
      <c r="O3626" s="9">
        <f>IF($A3626="","",N3626&amp;"|"&amp;$F3626)</f>
        <v/>
      </c>
      <c r="P3626" s="94">
        <f>IF($A3626="",0,$H3626*설정!$C$23)</f>
        <v/>
      </c>
      <c r="Q3626" s="64">
        <f>IF($A3626="","",IF(O3626&lt;&gt;원인분석!$C$9,"",IF(AND(M3626&gt;=원인분석!$C$10,M3626&lt;=원인분석!$C$11),"당기",IF(AND(M3626&gt;=원인분석!$C$12,M3626&lt;=원인분석!$C$13),"비교",""))))</f>
        <v/>
      </c>
      <c r="R3626" s="9">
        <f>IF(Q3626="","",$K3626&amp;"")</f>
        <v/>
      </c>
      <c r="S3626" s="9">
        <f>IF(Q3626="","",IF(MATCH(R3626,$R$5:$R$100000,0)=ROW()-4,ROW(),""))</f>
        <v/>
      </c>
      <c r="T3626" s="9">
        <f>IF(Q3626="당기",ABS(P3626)+ROW()/1000000000,"")</f>
        <v/>
      </c>
      <c r="U3626" s="9">
        <f>IF(Q3626="비교",ABS(P3626)+ROW()/1000000000,"")</f>
        <v/>
      </c>
      <c r="V3626" s="64">
        <f>IF($A3626="","",IF(COUNTIF(변동분석!$E$7:$E$506,O3626)&gt;0,"Y","N"))</f>
        <v/>
      </c>
      <c r="W3626" s="64">
        <f>IF($A3626="","",IFERROR(INDEX(계정매핑!$D$5:$D$504,MATCH($F3626&amp;"",계정매핑!$A$5:$A$504,0)),"미매핑"))</f>
        <v/>
      </c>
      <c r="X3626" s="9">
        <f>IF($A3626="","",$F3626&amp;"")</f>
        <v/>
      </c>
      <c r="Y3626" s="94">
        <f>IF($A3626="",0,IF(AE3626="직접",IF(AF3626="비귀속",$P3626,0),$P3626*(1-AG3626)*IFERROR(INDEX(계정대체기준!$F$20:$F$49,MATCH($N3626,계정대체기준!$A$20:$A$49,0)),1)))</f>
        <v/>
      </c>
      <c r="Z3626" s="94">
        <f>IF($A3626="",0,IF(AE3626="직접",IF(AF3626="신계약비",$P3626,0),$P3626*(1-AG3626)*IFERROR(INDEX(계정대체기준!$C$20:$C$49,MATCH($N3626,계정대체기준!$A$20:$A$49,0)),0)))</f>
        <v/>
      </c>
      <c r="AA3626" s="94">
        <f>IF($A3626="",0,IF(AE3626="직접",IF(OR(AF3626="유지비",AF3626="손해조사비"),$P3626,0),$P3626*(1-AG3626)*IFERROR(INDEX(계정대체기준!$D$20:$D$49,MATCH($N3626,계정대체기준!$A$20:$A$49,0)),0)))</f>
        <v/>
      </c>
      <c r="AB3626" s="94">
        <f>IF($A3626="",0,IF(AE3626="직접",IF(AF3626="수금비",$P3626,0),$P3626*(1-AG3626)*IFERROR(INDEX(계정대체기준!$E$20:$E$49,MATCH($N3626,계정대체기준!$A$20:$A$49,0)),0)))</f>
        <v/>
      </c>
      <c r="AC3626" s="9">
        <f>IF(AND($A3626&lt;&gt;"",M3626=설정!$C$20,Z3626&gt;0),Z3626+ROW()/1000000000,"")</f>
        <v/>
      </c>
      <c r="AD3626" s="94">
        <f>IF($A3626="",0,$P3626*AG3626)</f>
        <v/>
      </c>
      <c r="AE3626" s="64">
        <f>IF($A3626="","",IFERROR(INDEX(계정매핑!$E$5:$E$504,MATCH($F3626&amp;"",계정매핑!$A$5:$A$504,0))&amp;"","공통비"))</f>
        <v/>
      </c>
      <c r="AF3626" s="64">
        <f>IF($A3626="","",IF(AE3626="직접",IFERROR(INDEX(계정매핑!$F$5:$F$504,MATCH($F3626&amp;"",계정매핑!$A$5:$A$504,0))&amp;"","비귀속"),""))</f>
        <v/>
      </c>
      <c r="AG3626" s="96">
        <f>IF($A3626="",0,IF(AND(AE3626&lt;&gt;"직접",IFERROR(INDEX(계정매핑!$G$5:$G$504,MATCH($F3626&amp;"",계정매핑!$A$5:$A$504,0))&amp;"","")="유지비",COUNTIF(계정대체기준!$A$6:$A$15,$N3626)&gt;0),IFERROR(INDEX(계정대체기준!$E$6:$E$15,MATCH(VALUE($A3626&amp;""),계정대체기준!$D$6:$D$15,0)),0),0))</f>
        <v/>
      </c>
      <c r="AH3626" s="64">
        <f>IF($A3626="","",IF(AD3626=0,"",IF(OR(COUNTIF(계정대체기준!$A$77:$A$86,$N3626)&gt;0,ISNUMBER(MATCH($X3626,계정대체기준!$D$77:$D$86,0)),ISNUMBER(MATCH($F3626,계정대체기준!$D$77:$D$86,0))),"Y","N")))</f>
        <v/>
      </c>
    </row>
    <row r="3627">
      <c r="A3627" s="92" t="n">
        <v>2026</v>
      </c>
      <c r="B3627" s="92" t="n">
        <v>4</v>
      </c>
      <c r="C3627" s="92" t="inlineStr">
        <is>
          <t>5100000905</t>
        </is>
      </c>
      <c r="D3627" s="95" t="n">
        <v>46138</v>
      </c>
      <c r="E3627" s="92" t="inlineStr">
        <is>
          <t>KR</t>
        </is>
      </c>
      <c r="F3627" s="92" t="n">
        <v>62101000</v>
      </c>
      <c r="G3627" s="92" t="n">
        <v>1701</v>
      </c>
      <c r="H3627" s="93" t="n">
        <v>230000</v>
      </c>
      <c r="I3627" s="92" t="inlineStr">
        <is>
          <t>4월 국내출장 - M항공</t>
        </is>
      </c>
      <c r="J3627" s="92" t="inlineStr">
        <is>
          <t>V10001</t>
        </is>
      </c>
      <c r="K3627" s="92" t="inlineStr">
        <is>
          <t>M항공</t>
        </is>
      </c>
      <c r="M3627" s="9">
        <f>IF($A3627="","",VALUE($A3627&amp;"")*12+VALUE($B3627&amp;""))</f>
        <v/>
      </c>
      <c r="N3627" s="64">
        <f>IF($A3627="","",IFERROR(INDEX(부서매핑!$C$5:$C$504,MATCH($G3627&amp;"",부서매핑!$A$5:$A$504,0)),"미매핑"))</f>
        <v/>
      </c>
      <c r="O3627" s="9">
        <f>IF($A3627="","",N3627&amp;"|"&amp;$F3627)</f>
        <v/>
      </c>
      <c r="P3627" s="94">
        <f>IF($A3627="",0,$H3627*설정!$C$23)</f>
        <v/>
      </c>
      <c r="Q3627" s="64">
        <f>IF($A3627="","",IF(O3627&lt;&gt;원인분석!$C$9,"",IF(AND(M3627&gt;=원인분석!$C$10,M3627&lt;=원인분석!$C$11),"당기",IF(AND(M3627&gt;=원인분석!$C$12,M3627&lt;=원인분석!$C$13),"비교",""))))</f>
        <v/>
      </c>
      <c r="R3627" s="9">
        <f>IF(Q3627="","",$K3627&amp;"")</f>
        <v/>
      </c>
      <c r="S3627" s="9">
        <f>IF(Q3627="","",IF(MATCH(R3627,$R$5:$R$100000,0)=ROW()-4,ROW(),""))</f>
        <v/>
      </c>
      <c r="T3627" s="9">
        <f>IF(Q3627="당기",ABS(P3627)+ROW()/1000000000,"")</f>
        <v/>
      </c>
      <c r="U3627" s="9">
        <f>IF(Q3627="비교",ABS(P3627)+ROW()/1000000000,"")</f>
        <v/>
      </c>
      <c r="V3627" s="64">
        <f>IF($A3627="","",IF(COUNTIF(변동분석!$E$7:$E$506,O3627)&gt;0,"Y","N"))</f>
        <v/>
      </c>
      <c r="W3627" s="64">
        <f>IF($A3627="","",IFERROR(INDEX(계정매핑!$D$5:$D$504,MATCH($F3627&amp;"",계정매핑!$A$5:$A$504,0)),"미매핑"))</f>
        <v/>
      </c>
      <c r="X3627" s="9">
        <f>IF($A3627="","",$F3627&amp;"")</f>
        <v/>
      </c>
      <c r="Y3627" s="94">
        <f>IF($A3627="",0,IF(AE3627="직접",IF(AF3627="비귀속",$P3627,0),$P3627*(1-AG3627)*IFERROR(INDEX(계정대체기준!$F$20:$F$49,MATCH($N3627,계정대체기준!$A$20:$A$49,0)),1)))</f>
        <v/>
      </c>
      <c r="Z3627" s="94">
        <f>IF($A3627="",0,IF(AE3627="직접",IF(AF3627="신계약비",$P3627,0),$P3627*(1-AG3627)*IFERROR(INDEX(계정대체기준!$C$20:$C$49,MATCH($N3627,계정대체기준!$A$20:$A$49,0)),0)))</f>
        <v/>
      </c>
      <c r="AA3627" s="94">
        <f>IF($A3627="",0,IF(AE3627="직접",IF(OR(AF3627="유지비",AF3627="손해조사비"),$P3627,0),$P3627*(1-AG3627)*IFERROR(INDEX(계정대체기준!$D$20:$D$49,MATCH($N3627,계정대체기준!$A$20:$A$49,0)),0)))</f>
        <v/>
      </c>
      <c r="AB3627" s="94">
        <f>IF($A3627="",0,IF(AE3627="직접",IF(AF3627="수금비",$P3627,0),$P3627*(1-AG3627)*IFERROR(INDEX(계정대체기준!$E$20:$E$49,MATCH($N3627,계정대체기준!$A$20:$A$49,0)),0)))</f>
        <v/>
      </c>
      <c r="AC3627" s="9">
        <f>IF(AND($A3627&lt;&gt;"",M3627=설정!$C$20,Z3627&gt;0),Z3627+ROW()/1000000000,"")</f>
        <v/>
      </c>
      <c r="AD3627" s="94">
        <f>IF($A3627="",0,$P3627*AG3627)</f>
        <v/>
      </c>
      <c r="AE3627" s="64">
        <f>IF($A3627="","",IFERROR(INDEX(계정매핑!$E$5:$E$504,MATCH($F3627&amp;"",계정매핑!$A$5:$A$504,0))&amp;"","공통비"))</f>
        <v/>
      </c>
      <c r="AF3627" s="64">
        <f>IF($A3627="","",IF(AE3627="직접",IFERROR(INDEX(계정매핑!$F$5:$F$504,MATCH($F3627&amp;"",계정매핑!$A$5:$A$504,0))&amp;"","비귀속"),""))</f>
        <v/>
      </c>
      <c r="AG3627" s="96">
        <f>IF($A3627="",0,IF(AND(AE3627&lt;&gt;"직접",IFERROR(INDEX(계정매핑!$G$5:$G$504,MATCH($F3627&amp;"",계정매핑!$A$5:$A$504,0))&amp;"","")="유지비",COUNTIF(계정대체기준!$A$6:$A$15,$N3627)&gt;0),IFERROR(INDEX(계정대체기준!$E$6:$E$15,MATCH(VALUE($A3627&amp;""),계정대체기준!$D$6:$D$15,0)),0),0))</f>
        <v/>
      </c>
      <c r="AH3627" s="64">
        <f>IF($A3627="","",IF(AD3627=0,"",IF(OR(COUNTIF(계정대체기준!$A$77:$A$86,$N3627)&gt;0,ISNUMBER(MATCH($X3627,계정대체기준!$D$77:$D$86,0)),ISNUMBER(MATCH($F3627,계정대체기준!$D$77:$D$86,0))),"Y","N")))</f>
        <v/>
      </c>
    </row>
    <row r="3628">
      <c r="A3628" s="92" t="n">
        <v>2026</v>
      </c>
      <c r="B3628" s="92" t="n">
        <v>4</v>
      </c>
      <c r="C3628" s="92" t="inlineStr">
        <is>
          <t>5100000906</t>
        </is>
      </c>
      <c r="D3628" s="95" t="n">
        <v>46138</v>
      </c>
      <c r="E3628" s="92" t="inlineStr">
        <is>
          <t>KR</t>
        </is>
      </c>
      <c r="F3628" s="92" t="n">
        <v>62101000</v>
      </c>
      <c r="G3628" s="92" t="n">
        <v>1801</v>
      </c>
      <c r="H3628" s="93" t="n">
        <v>161000</v>
      </c>
      <c r="I3628" s="92" t="inlineStr">
        <is>
          <t>4월 국내출장 - L여행사</t>
        </is>
      </c>
      <c r="J3628" s="92" t="inlineStr">
        <is>
          <t>V10018</t>
        </is>
      </c>
      <c r="K3628" s="92" t="inlineStr">
        <is>
          <t>L여행사</t>
        </is>
      </c>
      <c r="M3628" s="9">
        <f>IF($A3628="","",VALUE($A3628&amp;"")*12+VALUE($B3628&amp;""))</f>
        <v/>
      </c>
      <c r="N3628" s="64">
        <f>IF($A3628="","",IFERROR(INDEX(부서매핑!$C$5:$C$504,MATCH($G3628&amp;"",부서매핑!$A$5:$A$504,0)),"미매핑"))</f>
        <v/>
      </c>
      <c r="O3628" s="9">
        <f>IF($A3628="","",N3628&amp;"|"&amp;$F3628)</f>
        <v/>
      </c>
      <c r="P3628" s="94">
        <f>IF($A3628="",0,$H3628*설정!$C$23)</f>
        <v/>
      </c>
      <c r="Q3628" s="64">
        <f>IF($A3628="","",IF(O3628&lt;&gt;원인분석!$C$9,"",IF(AND(M3628&gt;=원인분석!$C$10,M3628&lt;=원인분석!$C$11),"당기",IF(AND(M3628&gt;=원인분석!$C$12,M3628&lt;=원인분석!$C$13),"비교",""))))</f>
        <v/>
      </c>
      <c r="R3628" s="9">
        <f>IF(Q3628="","",$K3628&amp;"")</f>
        <v/>
      </c>
      <c r="S3628" s="9">
        <f>IF(Q3628="","",IF(MATCH(R3628,$R$5:$R$100000,0)=ROW()-4,ROW(),""))</f>
        <v/>
      </c>
      <c r="T3628" s="9">
        <f>IF(Q3628="당기",ABS(P3628)+ROW()/1000000000,"")</f>
        <v/>
      </c>
      <c r="U3628" s="9">
        <f>IF(Q3628="비교",ABS(P3628)+ROW()/1000000000,"")</f>
        <v/>
      </c>
      <c r="V3628" s="64">
        <f>IF($A3628="","",IF(COUNTIF(변동분석!$E$7:$E$506,O3628)&gt;0,"Y","N"))</f>
        <v/>
      </c>
      <c r="W3628" s="64">
        <f>IF($A3628="","",IFERROR(INDEX(계정매핑!$D$5:$D$504,MATCH($F3628&amp;"",계정매핑!$A$5:$A$504,0)),"미매핑"))</f>
        <v/>
      </c>
      <c r="X3628" s="9">
        <f>IF($A3628="","",$F3628&amp;"")</f>
        <v/>
      </c>
      <c r="Y3628" s="94">
        <f>IF($A3628="",0,IF(AE3628="직접",IF(AF3628="비귀속",$P3628,0),$P3628*(1-AG3628)*IFERROR(INDEX(계정대체기준!$F$20:$F$49,MATCH($N3628,계정대체기준!$A$20:$A$49,0)),1)))</f>
        <v/>
      </c>
      <c r="Z3628" s="94">
        <f>IF($A3628="",0,IF(AE3628="직접",IF(AF3628="신계약비",$P3628,0),$P3628*(1-AG3628)*IFERROR(INDEX(계정대체기준!$C$20:$C$49,MATCH($N3628,계정대체기준!$A$20:$A$49,0)),0)))</f>
        <v/>
      </c>
      <c r="AA3628" s="94">
        <f>IF($A3628="",0,IF(AE3628="직접",IF(OR(AF3628="유지비",AF3628="손해조사비"),$P3628,0),$P3628*(1-AG3628)*IFERROR(INDEX(계정대체기준!$D$20:$D$49,MATCH($N3628,계정대체기준!$A$20:$A$49,0)),0)))</f>
        <v/>
      </c>
      <c r="AB3628" s="94">
        <f>IF($A3628="",0,IF(AE3628="직접",IF(AF3628="수금비",$P3628,0),$P3628*(1-AG3628)*IFERROR(INDEX(계정대체기준!$E$20:$E$49,MATCH($N3628,계정대체기준!$A$20:$A$49,0)),0)))</f>
        <v/>
      </c>
      <c r="AC3628" s="9">
        <f>IF(AND($A3628&lt;&gt;"",M3628=설정!$C$20,Z3628&gt;0),Z3628+ROW()/1000000000,"")</f>
        <v/>
      </c>
      <c r="AD3628" s="94">
        <f>IF($A3628="",0,$P3628*AG3628)</f>
        <v/>
      </c>
      <c r="AE3628" s="64">
        <f>IF($A3628="","",IFERROR(INDEX(계정매핑!$E$5:$E$504,MATCH($F3628&amp;"",계정매핑!$A$5:$A$504,0))&amp;"","공통비"))</f>
        <v/>
      </c>
      <c r="AF3628" s="64">
        <f>IF($A3628="","",IF(AE3628="직접",IFERROR(INDEX(계정매핑!$F$5:$F$504,MATCH($F3628&amp;"",계정매핑!$A$5:$A$504,0))&amp;"","비귀속"),""))</f>
        <v/>
      </c>
      <c r="AG3628" s="96">
        <f>IF($A3628="",0,IF(AND(AE3628&lt;&gt;"직접",IFERROR(INDEX(계정매핑!$G$5:$G$504,MATCH($F3628&amp;"",계정매핑!$A$5:$A$504,0))&amp;"","")="유지비",COUNTIF(계정대체기준!$A$6:$A$15,$N3628)&gt;0),IFERROR(INDEX(계정대체기준!$E$6:$E$15,MATCH(VALUE($A3628&amp;""),계정대체기준!$D$6:$D$15,0)),0),0))</f>
        <v/>
      </c>
      <c r="AH3628" s="64">
        <f>IF($A3628="","",IF(AD3628=0,"",IF(OR(COUNTIF(계정대체기준!$A$77:$A$86,$N3628)&gt;0,ISNUMBER(MATCH($X3628,계정대체기준!$D$77:$D$86,0)),ISNUMBER(MATCH($F3628,계정대체기준!$D$77:$D$86,0))),"Y","N")))</f>
        <v/>
      </c>
    </row>
    <row r="3629">
      <c r="A3629" s="92" t="n">
        <v>2026</v>
      </c>
      <c r="B3629" s="92" t="n">
        <v>4</v>
      </c>
      <c r="C3629" s="92" t="inlineStr">
        <is>
          <t>5100000907</t>
        </is>
      </c>
      <c r="D3629" s="95" t="n">
        <v>46138</v>
      </c>
      <c r="E3629" s="92" t="inlineStr">
        <is>
          <t>KR</t>
        </is>
      </c>
      <c r="F3629" s="92" t="n">
        <v>62301000</v>
      </c>
      <c r="G3629" s="92" t="n">
        <v>1601</v>
      </c>
      <c r="H3629" s="93" t="n">
        <v>278000</v>
      </c>
      <c r="I3629" s="92" t="inlineStr">
        <is>
          <t>4월 소모품 구입 - R문구</t>
        </is>
      </c>
      <c r="J3629" s="92" t="inlineStr">
        <is>
          <t>V10022</t>
        </is>
      </c>
      <c r="K3629" s="92" t="inlineStr">
        <is>
          <t>R문구</t>
        </is>
      </c>
      <c r="M3629" s="9">
        <f>IF($A3629="","",VALUE($A3629&amp;"")*12+VALUE($B3629&amp;""))</f>
        <v/>
      </c>
      <c r="N3629" s="64">
        <f>IF($A3629="","",IFERROR(INDEX(부서매핑!$C$5:$C$504,MATCH($G3629&amp;"",부서매핑!$A$5:$A$504,0)),"미매핑"))</f>
        <v/>
      </c>
      <c r="O3629" s="9">
        <f>IF($A3629="","",N3629&amp;"|"&amp;$F3629)</f>
        <v/>
      </c>
      <c r="P3629" s="94">
        <f>IF($A3629="",0,$H3629*설정!$C$23)</f>
        <v/>
      </c>
      <c r="Q3629" s="64">
        <f>IF($A3629="","",IF(O3629&lt;&gt;원인분석!$C$9,"",IF(AND(M3629&gt;=원인분석!$C$10,M3629&lt;=원인분석!$C$11),"당기",IF(AND(M3629&gt;=원인분석!$C$12,M3629&lt;=원인분석!$C$13),"비교",""))))</f>
        <v/>
      </c>
      <c r="R3629" s="9">
        <f>IF(Q3629="","",$K3629&amp;"")</f>
        <v/>
      </c>
      <c r="S3629" s="9">
        <f>IF(Q3629="","",IF(MATCH(R3629,$R$5:$R$100000,0)=ROW()-4,ROW(),""))</f>
        <v/>
      </c>
      <c r="T3629" s="9">
        <f>IF(Q3629="당기",ABS(P3629)+ROW()/1000000000,"")</f>
        <v/>
      </c>
      <c r="U3629" s="9">
        <f>IF(Q3629="비교",ABS(P3629)+ROW()/1000000000,"")</f>
        <v/>
      </c>
      <c r="V3629" s="64">
        <f>IF($A3629="","",IF(COUNTIF(변동분석!$E$7:$E$506,O3629)&gt;0,"Y","N"))</f>
        <v/>
      </c>
      <c r="W3629" s="64">
        <f>IF($A3629="","",IFERROR(INDEX(계정매핑!$D$5:$D$504,MATCH($F3629&amp;"",계정매핑!$A$5:$A$504,0)),"미매핑"))</f>
        <v/>
      </c>
      <c r="X3629" s="9">
        <f>IF($A3629="","",$F3629&amp;"")</f>
        <v/>
      </c>
      <c r="Y3629" s="94">
        <f>IF($A3629="",0,IF(AE3629="직접",IF(AF3629="비귀속",$P3629,0),$P3629*(1-AG3629)*IFERROR(INDEX(계정대체기준!$F$20:$F$49,MATCH($N3629,계정대체기준!$A$20:$A$49,0)),1)))</f>
        <v/>
      </c>
      <c r="Z3629" s="94">
        <f>IF($A3629="",0,IF(AE3629="직접",IF(AF3629="신계약비",$P3629,0),$P3629*(1-AG3629)*IFERROR(INDEX(계정대체기준!$C$20:$C$49,MATCH($N3629,계정대체기준!$A$20:$A$49,0)),0)))</f>
        <v/>
      </c>
      <c r="AA3629" s="94">
        <f>IF($A3629="",0,IF(AE3629="직접",IF(OR(AF3629="유지비",AF3629="손해조사비"),$P3629,0),$P3629*(1-AG3629)*IFERROR(INDEX(계정대체기준!$D$20:$D$49,MATCH($N3629,계정대체기준!$A$20:$A$49,0)),0)))</f>
        <v/>
      </c>
      <c r="AB3629" s="94">
        <f>IF($A3629="",0,IF(AE3629="직접",IF(AF3629="수금비",$P3629,0),$P3629*(1-AG3629)*IFERROR(INDEX(계정대체기준!$E$20:$E$49,MATCH($N3629,계정대체기준!$A$20:$A$49,0)),0)))</f>
        <v/>
      </c>
      <c r="AC3629" s="9">
        <f>IF(AND($A3629&lt;&gt;"",M3629=설정!$C$20,Z3629&gt;0),Z3629+ROW()/1000000000,"")</f>
        <v/>
      </c>
      <c r="AD3629" s="94">
        <f>IF($A3629="",0,$P3629*AG3629)</f>
        <v/>
      </c>
      <c r="AE3629" s="64">
        <f>IF($A3629="","",IFERROR(INDEX(계정매핑!$E$5:$E$504,MATCH($F3629&amp;"",계정매핑!$A$5:$A$504,0))&amp;"","공통비"))</f>
        <v/>
      </c>
      <c r="AF3629" s="64">
        <f>IF($A3629="","",IF(AE3629="직접",IFERROR(INDEX(계정매핑!$F$5:$F$504,MATCH($F3629&amp;"",계정매핑!$A$5:$A$504,0))&amp;"","비귀속"),""))</f>
        <v/>
      </c>
      <c r="AG3629" s="96">
        <f>IF($A3629="",0,IF(AND(AE3629&lt;&gt;"직접",IFERROR(INDEX(계정매핑!$G$5:$G$504,MATCH($F3629&amp;"",계정매핑!$A$5:$A$504,0))&amp;"","")="유지비",COUNTIF(계정대체기준!$A$6:$A$15,$N3629)&gt;0),IFERROR(INDEX(계정대체기준!$E$6:$E$15,MATCH(VALUE($A3629&amp;""),계정대체기준!$D$6:$D$15,0)),0),0))</f>
        <v/>
      </c>
      <c r="AH3629" s="64">
        <f>IF($A3629="","",IF(AD3629=0,"",IF(OR(COUNTIF(계정대체기준!$A$77:$A$86,$N3629)&gt;0,ISNUMBER(MATCH($X3629,계정대체기준!$D$77:$D$86,0)),ISNUMBER(MATCH($F3629,계정대체기준!$D$77:$D$86,0))),"Y","N")))</f>
        <v/>
      </c>
    </row>
    <row r="3630">
      <c r="A3630" s="92" t="n">
        <v>2026</v>
      </c>
      <c r="B3630" s="92" t="n">
        <v>4</v>
      </c>
      <c r="C3630" s="92" t="inlineStr">
        <is>
          <t>5100000908</t>
        </is>
      </c>
      <c r="D3630" s="95" t="n">
        <v>46138</v>
      </c>
      <c r="E3630" s="92" t="inlineStr">
        <is>
          <t>KR</t>
        </is>
      </c>
      <c r="F3630" s="92" t="n">
        <v>62501000</v>
      </c>
      <c r="G3630" s="92" t="n">
        <v>1701</v>
      </c>
      <c r="H3630" s="93" t="n">
        <v>108000</v>
      </c>
      <c r="I3630" s="92" t="inlineStr">
        <is>
          <t>4월 회의 다과 - T케이터링</t>
        </is>
      </c>
      <c r="J3630" s="92" t="inlineStr">
        <is>
          <t>V10005</t>
        </is>
      </c>
      <c r="K3630" s="92" t="inlineStr">
        <is>
          <t>T케이터링</t>
        </is>
      </c>
      <c r="M3630" s="9">
        <f>IF($A3630="","",VALUE($A3630&amp;"")*12+VALUE($B3630&amp;""))</f>
        <v/>
      </c>
      <c r="N3630" s="64">
        <f>IF($A3630="","",IFERROR(INDEX(부서매핑!$C$5:$C$504,MATCH($G3630&amp;"",부서매핑!$A$5:$A$504,0)),"미매핑"))</f>
        <v/>
      </c>
      <c r="O3630" s="9">
        <f>IF($A3630="","",N3630&amp;"|"&amp;$F3630)</f>
        <v/>
      </c>
      <c r="P3630" s="94">
        <f>IF($A3630="",0,$H3630*설정!$C$23)</f>
        <v/>
      </c>
      <c r="Q3630" s="64">
        <f>IF($A3630="","",IF(O3630&lt;&gt;원인분석!$C$9,"",IF(AND(M3630&gt;=원인분석!$C$10,M3630&lt;=원인분석!$C$11),"당기",IF(AND(M3630&gt;=원인분석!$C$12,M3630&lt;=원인분석!$C$13),"비교",""))))</f>
        <v/>
      </c>
      <c r="R3630" s="9">
        <f>IF(Q3630="","",$K3630&amp;"")</f>
        <v/>
      </c>
      <c r="S3630" s="9">
        <f>IF(Q3630="","",IF(MATCH(R3630,$R$5:$R$100000,0)=ROW()-4,ROW(),""))</f>
        <v/>
      </c>
      <c r="T3630" s="9">
        <f>IF(Q3630="당기",ABS(P3630)+ROW()/1000000000,"")</f>
        <v/>
      </c>
      <c r="U3630" s="9">
        <f>IF(Q3630="비교",ABS(P3630)+ROW()/1000000000,"")</f>
        <v/>
      </c>
      <c r="V3630" s="64">
        <f>IF($A3630="","",IF(COUNTIF(변동분석!$E$7:$E$506,O3630)&gt;0,"Y","N"))</f>
        <v/>
      </c>
      <c r="W3630" s="64">
        <f>IF($A3630="","",IFERROR(INDEX(계정매핑!$D$5:$D$504,MATCH($F3630&amp;"",계정매핑!$A$5:$A$504,0)),"미매핑"))</f>
        <v/>
      </c>
      <c r="X3630" s="9">
        <f>IF($A3630="","",$F3630&amp;"")</f>
        <v/>
      </c>
      <c r="Y3630" s="94">
        <f>IF($A3630="",0,IF(AE3630="직접",IF(AF3630="비귀속",$P3630,0),$P3630*(1-AG3630)*IFERROR(INDEX(계정대체기준!$F$20:$F$49,MATCH($N3630,계정대체기준!$A$20:$A$49,0)),1)))</f>
        <v/>
      </c>
      <c r="Z3630" s="94">
        <f>IF($A3630="",0,IF(AE3630="직접",IF(AF3630="신계약비",$P3630,0),$P3630*(1-AG3630)*IFERROR(INDEX(계정대체기준!$C$20:$C$49,MATCH($N3630,계정대체기준!$A$20:$A$49,0)),0)))</f>
        <v/>
      </c>
      <c r="AA3630" s="94">
        <f>IF($A3630="",0,IF(AE3630="직접",IF(OR(AF3630="유지비",AF3630="손해조사비"),$P3630,0),$P3630*(1-AG3630)*IFERROR(INDEX(계정대체기준!$D$20:$D$49,MATCH($N3630,계정대체기준!$A$20:$A$49,0)),0)))</f>
        <v/>
      </c>
      <c r="AB3630" s="94">
        <f>IF($A3630="",0,IF(AE3630="직접",IF(AF3630="수금비",$P3630,0),$P3630*(1-AG3630)*IFERROR(INDEX(계정대체기준!$E$20:$E$49,MATCH($N3630,계정대체기준!$A$20:$A$49,0)),0)))</f>
        <v/>
      </c>
      <c r="AC3630" s="9">
        <f>IF(AND($A3630&lt;&gt;"",M3630=설정!$C$20,Z3630&gt;0),Z3630+ROW()/1000000000,"")</f>
        <v/>
      </c>
      <c r="AD3630" s="94">
        <f>IF($A3630="",0,$P3630*AG3630)</f>
        <v/>
      </c>
      <c r="AE3630" s="64">
        <f>IF($A3630="","",IFERROR(INDEX(계정매핑!$E$5:$E$504,MATCH($F3630&amp;"",계정매핑!$A$5:$A$504,0))&amp;"","공통비"))</f>
        <v/>
      </c>
      <c r="AF3630" s="64">
        <f>IF($A3630="","",IF(AE3630="직접",IFERROR(INDEX(계정매핑!$F$5:$F$504,MATCH($F3630&amp;"",계정매핑!$A$5:$A$504,0))&amp;"","비귀속"),""))</f>
        <v/>
      </c>
      <c r="AG3630" s="96">
        <f>IF($A3630="",0,IF(AND(AE3630&lt;&gt;"직접",IFERROR(INDEX(계정매핑!$G$5:$G$504,MATCH($F3630&amp;"",계정매핑!$A$5:$A$504,0))&amp;"","")="유지비",COUNTIF(계정대체기준!$A$6:$A$15,$N3630)&gt;0),IFERROR(INDEX(계정대체기준!$E$6:$E$15,MATCH(VALUE($A3630&amp;""),계정대체기준!$D$6:$D$15,0)),0),0))</f>
        <v/>
      </c>
      <c r="AH3630" s="64">
        <f>IF($A3630="","",IF(AD3630=0,"",IF(OR(COUNTIF(계정대체기준!$A$77:$A$86,$N3630)&gt;0,ISNUMBER(MATCH($X3630,계정대체기준!$D$77:$D$86,0)),ISNUMBER(MATCH($F3630,계정대체기준!$D$77:$D$86,0))),"Y","N")))</f>
        <v/>
      </c>
    </row>
    <row r="3631">
      <c r="A3631" s="92" t="n">
        <v>2026</v>
      </c>
      <c r="B3631" s="92" t="n">
        <v>4</v>
      </c>
      <c r="C3631" s="92" t="inlineStr">
        <is>
          <t>5100000909</t>
        </is>
      </c>
      <c r="D3631" s="95" t="n">
        <v>46138</v>
      </c>
      <c r="E3631" s="92" t="inlineStr">
        <is>
          <t>KR</t>
        </is>
      </c>
      <c r="F3631" s="92" t="n">
        <v>62801000</v>
      </c>
      <c r="G3631" s="92" t="n">
        <v>1301</v>
      </c>
      <c r="H3631" s="93" t="n">
        <v>6313000</v>
      </c>
      <c r="I3631" s="92" t="inlineStr">
        <is>
          <t>4월 사내교육 - (사내강사료)</t>
        </is>
      </c>
      <c r="J3631" s="92" t="inlineStr">
        <is>
          <t>V10024</t>
        </is>
      </c>
      <c r="K3631" s="92" t="inlineStr">
        <is>
          <t>(사내강사료)</t>
        </is>
      </c>
      <c r="M3631" s="9">
        <f>IF($A3631="","",VALUE($A3631&amp;"")*12+VALUE($B3631&amp;""))</f>
        <v/>
      </c>
      <c r="N3631" s="64">
        <f>IF($A3631="","",IFERROR(INDEX(부서매핑!$C$5:$C$504,MATCH($G3631&amp;"",부서매핑!$A$5:$A$504,0)),"미매핑"))</f>
        <v/>
      </c>
      <c r="O3631" s="9">
        <f>IF($A3631="","",N3631&amp;"|"&amp;$F3631)</f>
        <v/>
      </c>
      <c r="P3631" s="94">
        <f>IF($A3631="",0,$H3631*설정!$C$23)</f>
        <v/>
      </c>
      <c r="Q3631" s="64">
        <f>IF($A3631="","",IF(O3631&lt;&gt;원인분석!$C$9,"",IF(AND(M3631&gt;=원인분석!$C$10,M3631&lt;=원인분석!$C$11),"당기",IF(AND(M3631&gt;=원인분석!$C$12,M3631&lt;=원인분석!$C$13),"비교",""))))</f>
        <v/>
      </c>
      <c r="R3631" s="9">
        <f>IF(Q3631="","",$K3631&amp;"")</f>
        <v/>
      </c>
      <c r="S3631" s="9">
        <f>IF(Q3631="","",IF(MATCH(R3631,$R$5:$R$100000,0)=ROW()-4,ROW(),""))</f>
        <v/>
      </c>
      <c r="T3631" s="9">
        <f>IF(Q3631="당기",ABS(P3631)+ROW()/1000000000,"")</f>
        <v/>
      </c>
      <c r="U3631" s="9">
        <f>IF(Q3631="비교",ABS(P3631)+ROW()/1000000000,"")</f>
        <v/>
      </c>
      <c r="V3631" s="64">
        <f>IF($A3631="","",IF(COUNTIF(변동분석!$E$7:$E$506,O3631)&gt;0,"Y","N"))</f>
        <v/>
      </c>
      <c r="W3631" s="64">
        <f>IF($A3631="","",IFERROR(INDEX(계정매핑!$D$5:$D$504,MATCH($F3631&amp;"",계정매핑!$A$5:$A$504,0)),"미매핑"))</f>
        <v/>
      </c>
      <c r="X3631" s="9">
        <f>IF($A3631="","",$F3631&amp;"")</f>
        <v/>
      </c>
      <c r="Y3631" s="94">
        <f>IF($A3631="",0,IF(AE3631="직접",IF(AF3631="비귀속",$P3631,0),$P3631*(1-AG3631)*IFERROR(INDEX(계정대체기준!$F$20:$F$49,MATCH($N3631,계정대체기준!$A$20:$A$49,0)),1)))</f>
        <v/>
      </c>
      <c r="Z3631" s="94">
        <f>IF($A3631="",0,IF(AE3631="직접",IF(AF3631="신계약비",$P3631,0),$P3631*(1-AG3631)*IFERROR(INDEX(계정대체기준!$C$20:$C$49,MATCH($N3631,계정대체기준!$A$20:$A$49,0)),0)))</f>
        <v/>
      </c>
      <c r="AA3631" s="94">
        <f>IF($A3631="",0,IF(AE3631="직접",IF(OR(AF3631="유지비",AF3631="손해조사비"),$P3631,0),$P3631*(1-AG3631)*IFERROR(INDEX(계정대체기준!$D$20:$D$49,MATCH($N3631,계정대체기준!$A$20:$A$49,0)),0)))</f>
        <v/>
      </c>
      <c r="AB3631" s="94">
        <f>IF($A3631="",0,IF(AE3631="직접",IF(AF3631="수금비",$P3631,0),$P3631*(1-AG3631)*IFERROR(INDEX(계정대체기준!$E$20:$E$49,MATCH($N3631,계정대체기준!$A$20:$A$49,0)),0)))</f>
        <v/>
      </c>
      <c r="AC3631" s="9">
        <f>IF(AND($A3631&lt;&gt;"",M3631=설정!$C$20,Z3631&gt;0),Z3631+ROW()/1000000000,"")</f>
        <v/>
      </c>
      <c r="AD3631" s="94">
        <f>IF($A3631="",0,$P3631*AG3631)</f>
        <v/>
      </c>
      <c r="AE3631" s="64">
        <f>IF($A3631="","",IFERROR(INDEX(계정매핑!$E$5:$E$504,MATCH($F3631&amp;"",계정매핑!$A$5:$A$504,0))&amp;"","공통비"))</f>
        <v/>
      </c>
      <c r="AF3631" s="64">
        <f>IF($A3631="","",IF(AE3631="직접",IFERROR(INDEX(계정매핑!$F$5:$F$504,MATCH($F3631&amp;"",계정매핑!$A$5:$A$504,0))&amp;"","비귀속"),""))</f>
        <v/>
      </c>
      <c r="AG3631" s="96">
        <f>IF($A3631="",0,IF(AND(AE3631&lt;&gt;"직접",IFERROR(INDEX(계정매핑!$G$5:$G$504,MATCH($F3631&amp;"",계정매핑!$A$5:$A$504,0))&amp;"","")="유지비",COUNTIF(계정대체기준!$A$6:$A$15,$N3631)&gt;0),IFERROR(INDEX(계정대체기준!$E$6:$E$15,MATCH(VALUE($A3631&amp;""),계정대체기준!$D$6:$D$15,0)),0),0))</f>
        <v/>
      </c>
      <c r="AH3631" s="64">
        <f>IF($A3631="","",IF(AD3631=0,"",IF(OR(COUNTIF(계정대체기준!$A$77:$A$86,$N3631)&gt;0,ISNUMBER(MATCH($X3631,계정대체기준!$D$77:$D$86,0)),ISNUMBER(MATCH($F3631,계정대체기준!$D$77:$D$86,0))),"Y","N")))</f>
        <v/>
      </c>
    </row>
    <row r="3632">
      <c r="A3632" s="92" t="n">
        <v>2026</v>
      </c>
      <c r="B3632" s="92" t="n">
        <v>4</v>
      </c>
      <c r="C3632" s="92" t="inlineStr">
        <is>
          <t>5100000910</t>
        </is>
      </c>
      <c r="D3632" s="95" t="n">
        <v>46138</v>
      </c>
      <c r="E3632" s="92" t="inlineStr">
        <is>
          <t>KR</t>
        </is>
      </c>
      <c r="F3632" s="92" t="n">
        <v>62902000</v>
      </c>
      <c r="G3632" s="92" t="n">
        <v>1201</v>
      </c>
      <c r="H3632" s="93" t="n">
        <v>3153000</v>
      </c>
      <c r="I3632" s="92" t="inlineStr">
        <is>
          <t>4월 업무 위탁 수수료 - X서비스</t>
        </is>
      </c>
      <c r="J3632" s="92" t="inlineStr">
        <is>
          <t>V10020</t>
        </is>
      </c>
      <c r="K3632" s="92" t="inlineStr">
        <is>
          <t>X서비스</t>
        </is>
      </c>
      <c r="M3632" s="9">
        <f>IF($A3632="","",VALUE($A3632&amp;"")*12+VALUE($B3632&amp;""))</f>
        <v/>
      </c>
      <c r="N3632" s="64">
        <f>IF($A3632="","",IFERROR(INDEX(부서매핑!$C$5:$C$504,MATCH($G3632&amp;"",부서매핑!$A$5:$A$504,0)),"미매핑"))</f>
        <v/>
      </c>
      <c r="O3632" s="9">
        <f>IF($A3632="","",N3632&amp;"|"&amp;$F3632)</f>
        <v/>
      </c>
      <c r="P3632" s="94">
        <f>IF($A3632="",0,$H3632*설정!$C$23)</f>
        <v/>
      </c>
      <c r="Q3632" s="64">
        <f>IF($A3632="","",IF(O3632&lt;&gt;원인분석!$C$9,"",IF(AND(M3632&gt;=원인분석!$C$10,M3632&lt;=원인분석!$C$11),"당기",IF(AND(M3632&gt;=원인분석!$C$12,M3632&lt;=원인분석!$C$13),"비교",""))))</f>
        <v/>
      </c>
      <c r="R3632" s="9">
        <f>IF(Q3632="","",$K3632&amp;"")</f>
        <v/>
      </c>
      <c r="S3632" s="9">
        <f>IF(Q3632="","",IF(MATCH(R3632,$R$5:$R$100000,0)=ROW()-4,ROW(),""))</f>
        <v/>
      </c>
      <c r="T3632" s="9">
        <f>IF(Q3632="당기",ABS(P3632)+ROW()/1000000000,"")</f>
        <v/>
      </c>
      <c r="U3632" s="9">
        <f>IF(Q3632="비교",ABS(P3632)+ROW()/1000000000,"")</f>
        <v/>
      </c>
      <c r="V3632" s="64">
        <f>IF($A3632="","",IF(COUNTIF(변동분석!$E$7:$E$506,O3632)&gt;0,"Y","N"))</f>
        <v/>
      </c>
      <c r="W3632" s="64">
        <f>IF($A3632="","",IFERROR(INDEX(계정매핑!$D$5:$D$504,MATCH($F3632&amp;"",계정매핑!$A$5:$A$504,0)),"미매핑"))</f>
        <v/>
      </c>
      <c r="X3632" s="9">
        <f>IF($A3632="","",$F3632&amp;"")</f>
        <v/>
      </c>
      <c r="Y3632" s="94">
        <f>IF($A3632="",0,IF(AE3632="직접",IF(AF3632="비귀속",$P3632,0),$P3632*(1-AG3632)*IFERROR(INDEX(계정대체기준!$F$20:$F$49,MATCH($N3632,계정대체기준!$A$20:$A$49,0)),1)))</f>
        <v/>
      </c>
      <c r="Z3632" s="94">
        <f>IF($A3632="",0,IF(AE3632="직접",IF(AF3632="신계약비",$P3632,0),$P3632*(1-AG3632)*IFERROR(INDEX(계정대체기준!$C$20:$C$49,MATCH($N3632,계정대체기준!$A$20:$A$49,0)),0)))</f>
        <v/>
      </c>
      <c r="AA3632" s="94">
        <f>IF($A3632="",0,IF(AE3632="직접",IF(OR(AF3632="유지비",AF3632="손해조사비"),$P3632,0),$P3632*(1-AG3632)*IFERROR(INDEX(계정대체기준!$D$20:$D$49,MATCH($N3632,계정대체기준!$A$20:$A$49,0)),0)))</f>
        <v/>
      </c>
      <c r="AB3632" s="94">
        <f>IF($A3632="",0,IF(AE3632="직접",IF(AF3632="수금비",$P3632,0),$P3632*(1-AG3632)*IFERROR(INDEX(계정대체기준!$E$20:$E$49,MATCH($N3632,계정대체기준!$A$20:$A$49,0)),0)))</f>
        <v/>
      </c>
      <c r="AC3632" s="9">
        <f>IF(AND($A3632&lt;&gt;"",M3632=설정!$C$20,Z3632&gt;0),Z3632+ROW()/1000000000,"")</f>
        <v/>
      </c>
      <c r="AD3632" s="94">
        <f>IF($A3632="",0,$P3632*AG3632)</f>
        <v/>
      </c>
      <c r="AE3632" s="64">
        <f>IF($A3632="","",IFERROR(INDEX(계정매핑!$E$5:$E$504,MATCH($F3632&amp;"",계정매핑!$A$5:$A$504,0))&amp;"","공통비"))</f>
        <v/>
      </c>
      <c r="AF3632" s="64">
        <f>IF($A3632="","",IF(AE3632="직접",IFERROR(INDEX(계정매핑!$F$5:$F$504,MATCH($F3632&amp;"",계정매핑!$A$5:$A$504,0))&amp;"","비귀속"),""))</f>
        <v/>
      </c>
      <c r="AG3632" s="96">
        <f>IF($A3632="",0,IF(AND(AE3632&lt;&gt;"직접",IFERROR(INDEX(계정매핑!$G$5:$G$504,MATCH($F3632&amp;"",계정매핑!$A$5:$A$504,0))&amp;"","")="유지비",COUNTIF(계정대체기준!$A$6:$A$15,$N3632)&gt;0),IFERROR(INDEX(계정대체기준!$E$6:$E$15,MATCH(VALUE($A3632&amp;""),계정대체기준!$D$6:$D$15,0)),0),0))</f>
        <v/>
      </c>
      <c r="AH3632" s="64">
        <f>IF($A3632="","",IF(AD3632=0,"",IF(OR(COUNTIF(계정대체기준!$A$77:$A$86,$N3632)&gt;0,ISNUMBER(MATCH($X3632,계정대체기준!$D$77:$D$86,0)),ISNUMBER(MATCH($F3632,계정대체기준!$D$77:$D$86,0))),"Y","N")))</f>
        <v/>
      </c>
    </row>
    <row r="3633">
      <c r="A3633" s="92" t="n">
        <v>2026</v>
      </c>
      <c r="B3633" s="92" t="n">
        <v>4</v>
      </c>
      <c r="C3633" s="92" t="inlineStr">
        <is>
          <t>5100000911</t>
        </is>
      </c>
      <c r="D3633" s="95" t="n">
        <v>46138</v>
      </c>
      <c r="E3633" s="92" t="inlineStr">
        <is>
          <t>KR</t>
        </is>
      </c>
      <c r="F3633" s="92" t="n">
        <v>63601000</v>
      </c>
      <c r="G3633" s="92" t="n">
        <v>1801</v>
      </c>
      <c r="H3633" s="93" t="n">
        <v>16269000</v>
      </c>
      <c r="I3633" s="92" t="inlineStr">
        <is>
          <t>4월 손해사정 수수료 - EE손해사정</t>
        </is>
      </c>
      <c r="J3633" s="92" t="inlineStr">
        <is>
          <t>V10008</t>
        </is>
      </c>
      <c r="K3633" s="92" t="inlineStr">
        <is>
          <t>EE손해사정</t>
        </is>
      </c>
      <c r="M3633" s="9">
        <f>IF($A3633="","",VALUE($A3633&amp;"")*12+VALUE($B3633&amp;""))</f>
        <v/>
      </c>
      <c r="N3633" s="64">
        <f>IF($A3633="","",IFERROR(INDEX(부서매핑!$C$5:$C$504,MATCH($G3633&amp;"",부서매핑!$A$5:$A$504,0)),"미매핑"))</f>
        <v/>
      </c>
      <c r="O3633" s="9">
        <f>IF($A3633="","",N3633&amp;"|"&amp;$F3633)</f>
        <v/>
      </c>
      <c r="P3633" s="94">
        <f>IF($A3633="",0,$H3633*설정!$C$23)</f>
        <v/>
      </c>
      <c r="Q3633" s="64">
        <f>IF($A3633="","",IF(O3633&lt;&gt;원인분석!$C$9,"",IF(AND(M3633&gt;=원인분석!$C$10,M3633&lt;=원인분석!$C$11),"당기",IF(AND(M3633&gt;=원인분석!$C$12,M3633&lt;=원인분석!$C$13),"비교",""))))</f>
        <v/>
      </c>
      <c r="R3633" s="9">
        <f>IF(Q3633="","",$K3633&amp;"")</f>
        <v/>
      </c>
      <c r="S3633" s="9">
        <f>IF(Q3633="","",IF(MATCH(R3633,$R$5:$R$100000,0)=ROW()-4,ROW(),""))</f>
        <v/>
      </c>
      <c r="T3633" s="9">
        <f>IF(Q3633="당기",ABS(P3633)+ROW()/1000000000,"")</f>
        <v/>
      </c>
      <c r="U3633" s="9">
        <f>IF(Q3633="비교",ABS(P3633)+ROW()/1000000000,"")</f>
        <v/>
      </c>
      <c r="V3633" s="64">
        <f>IF($A3633="","",IF(COUNTIF(변동분석!$E$7:$E$506,O3633)&gt;0,"Y","N"))</f>
        <v/>
      </c>
      <c r="W3633" s="64">
        <f>IF($A3633="","",IFERROR(INDEX(계정매핑!$D$5:$D$504,MATCH($F3633&amp;"",계정매핑!$A$5:$A$504,0)),"미매핑"))</f>
        <v/>
      </c>
      <c r="X3633" s="9">
        <f>IF($A3633="","",$F3633&amp;"")</f>
        <v/>
      </c>
      <c r="Y3633" s="94">
        <f>IF($A3633="",0,IF(AE3633="직접",IF(AF3633="비귀속",$P3633,0),$P3633*(1-AG3633)*IFERROR(INDEX(계정대체기준!$F$20:$F$49,MATCH($N3633,계정대체기준!$A$20:$A$49,0)),1)))</f>
        <v/>
      </c>
      <c r="Z3633" s="94">
        <f>IF($A3633="",0,IF(AE3633="직접",IF(AF3633="신계약비",$P3633,0),$P3633*(1-AG3633)*IFERROR(INDEX(계정대체기준!$C$20:$C$49,MATCH($N3633,계정대체기준!$A$20:$A$49,0)),0)))</f>
        <v/>
      </c>
      <c r="AA3633" s="94">
        <f>IF($A3633="",0,IF(AE3633="직접",IF(OR(AF3633="유지비",AF3633="손해조사비"),$P3633,0),$P3633*(1-AG3633)*IFERROR(INDEX(계정대체기준!$D$20:$D$49,MATCH($N3633,계정대체기준!$A$20:$A$49,0)),0)))</f>
        <v/>
      </c>
      <c r="AB3633" s="94">
        <f>IF($A3633="",0,IF(AE3633="직접",IF(AF3633="수금비",$P3633,0),$P3633*(1-AG3633)*IFERROR(INDEX(계정대체기준!$E$20:$E$49,MATCH($N3633,계정대체기준!$A$20:$A$49,0)),0)))</f>
        <v/>
      </c>
      <c r="AC3633" s="9">
        <f>IF(AND($A3633&lt;&gt;"",M3633=설정!$C$20,Z3633&gt;0),Z3633+ROW()/1000000000,"")</f>
        <v/>
      </c>
      <c r="AD3633" s="94">
        <f>IF($A3633="",0,$P3633*AG3633)</f>
        <v/>
      </c>
      <c r="AE3633" s="64">
        <f>IF($A3633="","",IFERROR(INDEX(계정매핑!$E$5:$E$504,MATCH($F3633&amp;"",계정매핑!$A$5:$A$504,0))&amp;"","공통비"))</f>
        <v/>
      </c>
      <c r="AF3633" s="64">
        <f>IF($A3633="","",IF(AE3633="직접",IFERROR(INDEX(계정매핑!$F$5:$F$504,MATCH($F3633&amp;"",계정매핑!$A$5:$A$504,0))&amp;"","비귀속"),""))</f>
        <v/>
      </c>
      <c r="AG3633" s="96">
        <f>IF($A3633="",0,IF(AND(AE3633&lt;&gt;"직접",IFERROR(INDEX(계정매핑!$G$5:$G$504,MATCH($F3633&amp;"",계정매핑!$A$5:$A$504,0))&amp;"","")="유지비",COUNTIF(계정대체기준!$A$6:$A$15,$N3633)&gt;0),IFERROR(INDEX(계정대체기준!$E$6:$E$15,MATCH(VALUE($A3633&amp;""),계정대체기준!$D$6:$D$15,0)),0),0))</f>
        <v/>
      </c>
      <c r="AH3633" s="64">
        <f>IF($A3633="","",IF(AD3633=0,"",IF(OR(COUNTIF(계정대체기준!$A$77:$A$86,$N3633)&gt;0,ISNUMBER(MATCH($X3633,계정대체기준!$D$77:$D$86,0)),ISNUMBER(MATCH($F3633,계정대체기준!$D$77:$D$86,0))),"Y","N")))</f>
        <v/>
      </c>
    </row>
    <row r="3634">
      <c r="A3634" s="92" t="n">
        <v>2026</v>
      </c>
      <c r="B3634" s="92" t="n">
        <v>4</v>
      </c>
      <c r="C3634" s="92" t="inlineStr">
        <is>
          <t>5100000912</t>
        </is>
      </c>
      <c r="D3634" s="95" t="n">
        <v>46139</v>
      </c>
      <c r="E3634" s="92" t="inlineStr">
        <is>
          <t>KR</t>
        </is>
      </c>
      <c r="F3634" s="92" t="n">
        <v>62101000</v>
      </c>
      <c r="G3634" s="92" t="n">
        <v>1301</v>
      </c>
      <c r="H3634" s="93" t="n">
        <v>275000</v>
      </c>
      <c r="I3634" s="92" t="inlineStr">
        <is>
          <t>4월 국내출장 - M항공</t>
        </is>
      </c>
      <c r="J3634" s="92" t="inlineStr">
        <is>
          <t>V10001</t>
        </is>
      </c>
      <c r="K3634" s="92" t="inlineStr">
        <is>
          <t>M항공</t>
        </is>
      </c>
      <c r="M3634" s="9">
        <f>IF($A3634="","",VALUE($A3634&amp;"")*12+VALUE($B3634&amp;""))</f>
        <v/>
      </c>
      <c r="N3634" s="64">
        <f>IF($A3634="","",IFERROR(INDEX(부서매핑!$C$5:$C$504,MATCH($G3634&amp;"",부서매핑!$A$5:$A$504,0)),"미매핑"))</f>
        <v/>
      </c>
      <c r="O3634" s="9">
        <f>IF($A3634="","",N3634&amp;"|"&amp;$F3634)</f>
        <v/>
      </c>
      <c r="P3634" s="94">
        <f>IF($A3634="",0,$H3634*설정!$C$23)</f>
        <v/>
      </c>
      <c r="Q3634" s="64">
        <f>IF($A3634="","",IF(O3634&lt;&gt;원인분석!$C$9,"",IF(AND(M3634&gt;=원인분석!$C$10,M3634&lt;=원인분석!$C$11),"당기",IF(AND(M3634&gt;=원인분석!$C$12,M3634&lt;=원인분석!$C$13),"비교",""))))</f>
        <v/>
      </c>
      <c r="R3634" s="9">
        <f>IF(Q3634="","",$K3634&amp;"")</f>
        <v/>
      </c>
      <c r="S3634" s="9">
        <f>IF(Q3634="","",IF(MATCH(R3634,$R$5:$R$100000,0)=ROW()-4,ROW(),""))</f>
        <v/>
      </c>
      <c r="T3634" s="9">
        <f>IF(Q3634="당기",ABS(P3634)+ROW()/1000000000,"")</f>
        <v/>
      </c>
      <c r="U3634" s="9">
        <f>IF(Q3634="비교",ABS(P3634)+ROW()/1000000000,"")</f>
        <v/>
      </c>
      <c r="V3634" s="64">
        <f>IF($A3634="","",IF(COUNTIF(변동분석!$E$7:$E$506,O3634)&gt;0,"Y","N"))</f>
        <v/>
      </c>
      <c r="W3634" s="64">
        <f>IF($A3634="","",IFERROR(INDEX(계정매핑!$D$5:$D$504,MATCH($F3634&amp;"",계정매핑!$A$5:$A$504,0)),"미매핑"))</f>
        <v/>
      </c>
      <c r="X3634" s="9">
        <f>IF($A3634="","",$F3634&amp;"")</f>
        <v/>
      </c>
      <c r="Y3634" s="94">
        <f>IF($A3634="",0,IF(AE3634="직접",IF(AF3634="비귀속",$P3634,0),$P3634*(1-AG3634)*IFERROR(INDEX(계정대체기준!$F$20:$F$49,MATCH($N3634,계정대체기준!$A$20:$A$49,0)),1)))</f>
        <v/>
      </c>
      <c r="Z3634" s="94">
        <f>IF($A3634="",0,IF(AE3634="직접",IF(AF3634="신계약비",$P3634,0),$P3634*(1-AG3634)*IFERROR(INDEX(계정대체기준!$C$20:$C$49,MATCH($N3634,계정대체기준!$A$20:$A$49,0)),0)))</f>
        <v/>
      </c>
      <c r="AA3634" s="94">
        <f>IF($A3634="",0,IF(AE3634="직접",IF(OR(AF3634="유지비",AF3634="손해조사비"),$P3634,0),$P3634*(1-AG3634)*IFERROR(INDEX(계정대체기준!$D$20:$D$49,MATCH($N3634,계정대체기준!$A$20:$A$49,0)),0)))</f>
        <v/>
      </c>
      <c r="AB3634" s="94">
        <f>IF($A3634="",0,IF(AE3634="직접",IF(AF3634="수금비",$P3634,0),$P3634*(1-AG3634)*IFERROR(INDEX(계정대체기준!$E$20:$E$49,MATCH($N3634,계정대체기준!$A$20:$A$49,0)),0)))</f>
        <v/>
      </c>
      <c r="AC3634" s="9">
        <f>IF(AND($A3634&lt;&gt;"",M3634=설정!$C$20,Z3634&gt;0),Z3634+ROW()/1000000000,"")</f>
        <v/>
      </c>
      <c r="AD3634" s="94">
        <f>IF($A3634="",0,$P3634*AG3634)</f>
        <v/>
      </c>
      <c r="AE3634" s="64">
        <f>IF($A3634="","",IFERROR(INDEX(계정매핑!$E$5:$E$504,MATCH($F3634&amp;"",계정매핑!$A$5:$A$504,0))&amp;"","공통비"))</f>
        <v/>
      </c>
      <c r="AF3634" s="64">
        <f>IF($A3634="","",IF(AE3634="직접",IFERROR(INDEX(계정매핑!$F$5:$F$504,MATCH($F3634&amp;"",계정매핑!$A$5:$A$504,0))&amp;"","비귀속"),""))</f>
        <v/>
      </c>
      <c r="AG3634" s="96">
        <f>IF($A3634="",0,IF(AND(AE3634&lt;&gt;"직접",IFERROR(INDEX(계정매핑!$G$5:$G$504,MATCH($F3634&amp;"",계정매핑!$A$5:$A$504,0))&amp;"","")="유지비",COUNTIF(계정대체기준!$A$6:$A$15,$N3634)&gt;0),IFERROR(INDEX(계정대체기준!$E$6:$E$15,MATCH(VALUE($A3634&amp;""),계정대체기준!$D$6:$D$15,0)),0),0))</f>
        <v/>
      </c>
      <c r="AH3634" s="64">
        <f>IF($A3634="","",IF(AD3634=0,"",IF(OR(COUNTIF(계정대체기준!$A$77:$A$86,$N3634)&gt;0,ISNUMBER(MATCH($X3634,계정대체기준!$D$77:$D$86,0)),ISNUMBER(MATCH($F3634,계정대체기준!$D$77:$D$86,0))),"Y","N")))</f>
        <v/>
      </c>
    </row>
    <row r="3635">
      <c r="A3635" s="92" t="n">
        <v>2026</v>
      </c>
      <c r="B3635" s="92" t="n">
        <v>4</v>
      </c>
      <c r="C3635" s="92" t="inlineStr">
        <is>
          <t>5100000913</t>
        </is>
      </c>
      <c r="D3635" s="95" t="n">
        <v>46139</v>
      </c>
      <c r="E3635" s="92" t="inlineStr">
        <is>
          <t>KR</t>
        </is>
      </c>
      <c r="F3635" s="92" t="n">
        <v>62102000</v>
      </c>
      <c r="G3635" s="92" t="n">
        <v>1401</v>
      </c>
      <c r="H3635" s="93" t="n">
        <v>157000</v>
      </c>
      <c r="I3635" s="92" t="inlineStr">
        <is>
          <t>4월 해외출장 - M항공</t>
        </is>
      </c>
      <c r="J3635" s="92" t="inlineStr">
        <is>
          <t>V10001</t>
        </is>
      </c>
      <c r="K3635" s="92" t="inlineStr">
        <is>
          <t>M항공</t>
        </is>
      </c>
      <c r="M3635" s="9">
        <f>IF($A3635="","",VALUE($A3635&amp;"")*12+VALUE($B3635&amp;""))</f>
        <v/>
      </c>
      <c r="N3635" s="64">
        <f>IF($A3635="","",IFERROR(INDEX(부서매핑!$C$5:$C$504,MATCH($G3635&amp;"",부서매핑!$A$5:$A$504,0)),"미매핑"))</f>
        <v/>
      </c>
      <c r="O3635" s="9">
        <f>IF($A3635="","",N3635&amp;"|"&amp;$F3635)</f>
        <v/>
      </c>
      <c r="P3635" s="94">
        <f>IF($A3635="",0,$H3635*설정!$C$23)</f>
        <v/>
      </c>
      <c r="Q3635" s="64">
        <f>IF($A3635="","",IF(O3635&lt;&gt;원인분석!$C$9,"",IF(AND(M3635&gt;=원인분석!$C$10,M3635&lt;=원인분석!$C$11),"당기",IF(AND(M3635&gt;=원인분석!$C$12,M3635&lt;=원인분석!$C$13),"비교",""))))</f>
        <v/>
      </c>
      <c r="R3635" s="9">
        <f>IF(Q3635="","",$K3635&amp;"")</f>
        <v/>
      </c>
      <c r="S3635" s="9">
        <f>IF(Q3635="","",IF(MATCH(R3635,$R$5:$R$100000,0)=ROW()-4,ROW(),""))</f>
        <v/>
      </c>
      <c r="T3635" s="9">
        <f>IF(Q3635="당기",ABS(P3635)+ROW()/1000000000,"")</f>
        <v/>
      </c>
      <c r="U3635" s="9">
        <f>IF(Q3635="비교",ABS(P3635)+ROW()/1000000000,"")</f>
        <v/>
      </c>
      <c r="V3635" s="64">
        <f>IF($A3635="","",IF(COUNTIF(변동분석!$E$7:$E$506,O3635)&gt;0,"Y","N"))</f>
        <v/>
      </c>
      <c r="W3635" s="64">
        <f>IF($A3635="","",IFERROR(INDEX(계정매핑!$D$5:$D$504,MATCH($F3635&amp;"",계정매핑!$A$5:$A$504,0)),"미매핑"))</f>
        <v/>
      </c>
      <c r="X3635" s="9">
        <f>IF($A3635="","",$F3635&amp;"")</f>
        <v/>
      </c>
      <c r="Y3635" s="94">
        <f>IF($A3635="",0,IF(AE3635="직접",IF(AF3635="비귀속",$P3635,0),$P3635*(1-AG3635)*IFERROR(INDEX(계정대체기준!$F$20:$F$49,MATCH($N3635,계정대체기준!$A$20:$A$49,0)),1)))</f>
        <v/>
      </c>
      <c r="Z3635" s="94">
        <f>IF($A3635="",0,IF(AE3635="직접",IF(AF3635="신계약비",$P3635,0),$P3635*(1-AG3635)*IFERROR(INDEX(계정대체기준!$C$20:$C$49,MATCH($N3635,계정대체기준!$A$20:$A$49,0)),0)))</f>
        <v/>
      </c>
      <c r="AA3635" s="94">
        <f>IF($A3635="",0,IF(AE3635="직접",IF(OR(AF3635="유지비",AF3635="손해조사비"),$P3635,0),$P3635*(1-AG3635)*IFERROR(INDEX(계정대체기준!$D$20:$D$49,MATCH($N3635,계정대체기준!$A$20:$A$49,0)),0)))</f>
        <v/>
      </c>
      <c r="AB3635" s="94">
        <f>IF($A3635="",0,IF(AE3635="직접",IF(AF3635="수금비",$P3635,0),$P3635*(1-AG3635)*IFERROR(INDEX(계정대체기준!$E$20:$E$49,MATCH($N3635,계정대체기준!$A$20:$A$49,0)),0)))</f>
        <v/>
      </c>
      <c r="AC3635" s="9">
        <f>IF(AND($A3635&lt;&gt;"",M3635=설정!$C$20,Z3635&gt;0),Z3635+ROW()/1000000000,"")</f>
        <v/>
      </c>
      <c r="AD3635" s="94">
        <f>IF($A3635="",0,$P3635*AG3635)</f>
        <v/>
      </c>
      <c r="AE3635" s="64">
        <f>IF($A3635="","",IFERROR(INDEX(계정매핑!$E$5:$E$504,MATCH($F3635&amp;"",계정매핑!$A$5:$A$504,0))&amp;"","공통비"))</f>
        <v/>
      </c>
      <c r="AF3635" s="64">
        <f>IF($A3635="","",IF(AE3635="직접",IFERROR(INDEX(계정매핑!$F$5:$F$504,MATCH($F3635&amp;"",계정매핑!$A$5:$A$504,0))&amp;"","비귀속"),""))</f>
        <v/>
      </c>
      <c r="AG3635" s="96">
        <f>IF($A3635="",0,IF(AND(AE3635&lt;&gt;"직접",IFERROR(INDEX(계정매핑!$G$5:$G$504,MATCH($F3635&amp;"",계정매핑!$A$5:$A$504,0))&amp;"","")="유지비",COUNTIF(계정대체기준!$A$6:$A$15,$N3635)&gt;0),IFERROR(INDEX(계정대체기준!$E$6:$E$15,MATCH(VALUE($A3635&amp;""),계정대체기준!$D$6:$D$15,0)),0),0))</f>
        <v/>
      </c>
      <c r="AH3635" s="64">
        <f>IF($A3635="","",IF(AD3635=0,"",IF(OR(COUNTIF(계정대체기준!$A$77:$A$86,$N3635)&gt;0,ISNUMBER(MATCH($X3635,계정대체기준!$D$77:$D$86,0)),ISNUMBER(MATCH($F3635,계정대체기준!$D$77:$D$86,0))),"Y","N")))</f>
        <v/>
      </c>
    </row>
    <row r="3636">
      <c r="A3636" s="92" t="n">
        <v>2026</v>
      </c>
      <c r="B3636" s="92" t="n">
        <v>4</v>
      </c>
      <c r="C3636" s="92" t="inlineStr">
        <is>
          <t>5100000914</t>
        </is>
      </c>
      <c r="D3636" s="95" t="n">
        <v>46139</v>
      </c>
      <c r="E3636" s="92" t="inlineStr">
        <is>
          <t>KR</t>
        </is>
      </c>
      <c r="F3636" s="92" t="n">
        <v>62201000</v>
      </c>
      <c r="G3636" s="92" t="n">
        <v>1951</v>
      </c>
      <c r="H3636" s="93" t="n">
        <v>368000</v>
      </c>
      <c r="I3636" s="92" t="inlineStr">
        <is>
          <t>4월 통신요금 - P통신</t>
        </is>
      </c>
      <c r="J3636" s="92" t="inlineStr">
        <is>
          <t>V10014</t>
        </is>
      </c>
      <c r="K3636" s="92" t="inlineStr">
        <is>
          <t>P통신</t>
        </is>
      </c>
      <c r="M3636" s="9">
        <f>IF($A3636="","",VALUE($A3636&amp;"")*12+VALUE($B3636&amp;""))</f>
        <v/>
      </c>
      <c r="N3636" s="64">
        <f>IF($A3636="","",IFERROR(INDEX(부서매핑!$C$5:$C$504,MATCH($G3636&amp;"",부서매핑!$A$5:$A$504,0)),"미매핑"))</f>
        <v/>
      </c>
      <c r="O3636" s="9">
        <f>IF($A3636="","",N3636&amp;"|"&amp;$F3636)</f>
        <v/>
      </c>
      <c r="P3636" s="94">
        <f>IF($A3636="",0,$H3636*설정!$C$23)</f>
        <v/>
      </c>
      <c r="Q3636" s="64">
        <f>IF($A3636="","",IF(O3636&lt;&gt;원인분석!$C$9,"",IF(AND(M3636&gt;=원인분석!$C$10,M3636&lt;=원인분석!$C$11),"당기",IF(AND(M3636&gt;=원인분석!$C$12,M3636&lt;=원인분석!$C$13),"비교",""))))</f>
        <v/>
      </c>
      <c r="R3636" s="9">
        <f>IF(Q3636="","",$K3636&amp;"")</f>
        <v/>
      </c>
      <c r="S3636" s="9">
        <f>IF(Q3636="","",IF(MATCH(R3636,$R$5:$R$100000,0)=ROW()-4,ROW(),""))</f>
        <v/>
      </c>
      <c r="T3636" s="9">
        <f>IF(Q3636="당기",ABS(P3636)+ROW()/1000000000,"")</f>
        <v/>
      </c>
      <c r="U3636" s="9">
        <f>IF(Q3636="비교",ABS(P3636)+ROW()/1000000000,"")</f>
        <v/>
      </c>
      <c r="V3636" s="64">
        <f>IF($A3636="","",IF(COUNTIF(변동분석!$E$7:$E$506,O3636)&gt;0,"Y","N"))</f>
        <v/>
      </c>
      <c r="W3636" s="64">
        <f>IF($A3636="","",IFERROR(INDEX(계정매핑!$D$5:$D$504,MATCH($F3636&amp;"",계정매핑!$A$5:$A$504,0)),"미매핑"))</f>
        <v/>
      </c>
      <c r="X3636" s="9">
        <f>IF($A3636="","",$F3636&amp;"")</f>
        <v/>
      </c>
      <c r="Y3636" s="94">
        <f>IF($A3636="",0,IF(AE3636="직접",IF(AF3636="비귀속",$P3636,0),$P3636*(1-AG3636)*IFERROR(INDEX(계정대체기준!$F$20:$F$49,MATCH($N3636,계정대체기준!$A$20:$A$49,0)),1)))</f>
        <v/>
      </c>
      <c r="Z3636" s="94">
        <f>IF($A3636="",0,IF(AE3636="직접",IF(AF3636="신계약비",$P3636,0),$P3636*(1-AG3636)*IFERROR(INDEX(계정대체기준!$C$20:$C$49,MATCH($N3636,계정대체기준!$A$20:$A$49,0)),0)))</f>
        <v/>
      </c>
      <c r="AA3636" s="94">
        <f>IF($A3636="",0,IF(AE3636="직접",IF(OR(AF3636="유지비",AF3636="손해조사비"),$P3636,0),$P3636*(1-AG3636)*IFERROR(INDEX(계정대체기준!$D$20:$D$49,MATCH($N3636,계정대체기준!$A$20:$A$49,0)),0)))</f>
        <v/>
      </c>
      <c r="AB3636" s="94">
        <f>IF($A3636="",0,IF(AE3636="직접",IF(AF3636="수금비",$P3636,0),$P3636*(1-AG3636)*IFERROR(INDEX(계정대체기준!$E$20:$E$49,MATCH($N3636,계정대체기준!$A$20:$A$49,0)),0)))</f>
        <v/>
      </c>
      <c r="AC3636" s="9">
        <f>IF(AND($A3636&lt;&gt;"",M3636=설정!$C$20,Z3636&gt;0),Z3636+ROW()/1000000000,"")</f>
        <v/>
      </c>
      <c r="AD3636" s="94">
        <f>IF($A3636="",0,$P3636*AG3636)</f>
        <v/>
      </c>
      <c r="AE3636" s="64">
        <f>IF($A3636="","",IFERROR(INDEX(계정매핑!$E$5:$E$504,MATCH($F3636&amp;"",계정매핑!$A$5:$A$504,0))&amp;"","공통비"))</f>
        <v/>
      </c>
      <c r="AF3636" s="64">
        <f>IF($A3636="","",IF(AE3636="직접",IFERROR(INDEX(계정매핑!$F$5:$F$504,MATCH($F3636&amp;"",계정매핑!$A$5:$A$504,0))&amp;"","비귀속"),""))</f>
        <v/>
      </c>
      <c r="AG3636" s="96">
        <f>IF($A3636="",0,IF(AND(AE3636&lt;&gt;"직접",IFERROR(INDEX(계정매핑!$G$5:$G$504,MATCH($F3636&amp;"",계정매핑!$A$5:$A$504,0))&amp;"","")="유지비",COUNTIF(계정대체기준!$A$6:$A$15,$N3636)&gt;0),IFERROR(INDEX(계정대체기준!$E$6:$E$15,MATCH(VALUE($A3636&amp;""),계정대체기준!$D$6:$D$15,0)),0),0))</f>
        <v/>
      </c>
      <c r="AH3636" s="64">
        <f>IF($A3636="","",IF(AD3636=0,"",IF(OR(COUNTIF(계정대체기준!$A$77:$A$86,$N3636)&gt;0,ISNUMBER(MATCH($X3636,계정대체기준!$D$77:$D$86,0)),ISNUMBER(MATCH($F3636,계정대체기준!$D$77:$D$86,0))),"Y","N")))</f>
        <v/>
      </c>
    </row>
    <row r="3637">
      <c r="A3637" s="92" t="n">
        <v>2026</v>
      </c>
      <c r="B3637" s="92" t="n">
        <v>4</v>
      </c>
      <c r="C3637" s="92" t="inlineStr">
        <is>
          <t>5100000915</t>
        </is>
      </c>
      <c r="D3637" s="95" t="n">
        <v>46139</v>
      </c>
      <c r="E3637" s="92" t="inlineStr">
        <is>
          <t>KR</t>
        </is>
      </c>
      <c r="F3637" s="92" t="n">
        <v>62301000</v>
      </c>
      <c r="G3637" s="92" t="n">
        <v>1301</v>
      </c>
      <c r="H3637" s="93" t="n">
        <v>246000</v>
      </c>
      <c r="I3637" s="92" t="inlineStr">
        <is>
          <t>4월 소모품 구입 - Q오피스</t>
        </is>
      </c>
      <c r="J3637" s="92" t="inlineStr">
        <is>
          <t>V10003</t>
        </is>
      </c>
      <c r="K3637" s="92" t="inlineStr">
        <is>
          <t>Q오피스</t>
        </is>
      </c>
      <c r="M3637" s="9">
        <f>IF($A3637="","",VALUE($A3637&amp;"")*12+VALUE($B3637&amp;""))</f>
        <v/>
      </c>
      <c r="N3637" s="64">
        <f>IF($A3637="","",IFERROR(INDEX(부서매핑!$C$5:$C$504,MATCH($G3637&amp;"",부서매핑!$A$5:$A$504,0)),"미매핑"))</f>
        <v/>
      </c>
      <c r="O3637" s="9">
        <f>IF($A3637="","",N3637&amp;"|"&amp;$F3637)</f>
        <v/>
      </c>
      <c r="P3637" s="94">
        <f>IF($A3637="",0,$H3637*설정!$C$23)</f>
        <v/>
      </c>
      <c r="Q3637" s="64">
        <f>IF($A3637="","",IF(O3637&lt;&gt;원인분석!$C$9,"",IF(AND(M3637&gt;=원인분석!$C$10,M3637&lt;=원인분석!$C$11),"당기",IF(AND(M3637&gt;=원인분석!$C$12,M3637&lt;=원인분석!$C$13),"비교",""))))</f>
        <v/>
      </c>
      <c r="R3637" s="9">
        <f>IF(Q3637="","",$K3637&amp;"")</f>
        <v/>
      </c>
      <c r="S3637" s="9">
        <f>IF(Q3637="","",IF(MATCH(R3637,$R$5:$R$100000,0)=ROW()-4,ROW(),""))</f>
        <v/>
      </c>
      <c r="T3637" s="9">
        <f>IF(Q3637="당기",ABS(P3637)+ROW()/1000000000,"")</f>
        <v/>
      </c>
      <c r="U3637" s="9">
        <f>IF(Q3637="비교",ABS(P3637)+ROW()/1000000000,"")</f>
        <v/>
      </c>
      <c r="V3637" s="64">
        <f>IF($A3637="","",IF(COUNTIF(변동분석!$E$7:$E$506,O3637)&gt;0,"Y","N"))</f>
        <v/>
      </c>
      <c r="W3637" s="64">
        <f>IF($A3637="","",IFERROR(INDEX(계정매핑!$D$5:$D$504,MATCH($F3637&amp;"",계정매핑!$A$5:$A$504,0)),"미매핑"))</f>
        <v/>
      </c>
      <c r="X3637" s="9">
        <f>IF($A3637="","",$F3637&amp;"")</f>
        <v/>
      </c>
      <c r="Y3637" s="94">
        <f>IF($A3637="",0,IF(AE3637="직접",IF(AF3637="비귀속",$P3637,0),$P3637*(1-AG3637)*IFERROR(INDEX(계정대체기준!$F$20:$F$49,MATCH($N3637,계정대체기준!$A$20:$A$49,0)),1)))</f>
        <v/>
      </c>
      <c r="Z3637" s="94">
        <f>IF($A3637="",0,IF(AE3637="직접",IF(AF3637="신계약비",$P3637,0),$P3637*(1-AG3637)*IFERROR(INDEX(계정대체기준!$C$20:$C$49,MATCH($N3637,계정대체기준!$A$20:$A$49,0)),0)))</f>
        <v/>
      </c>
      <c r="AA3637" s="94">
        <f>IF($A3637="",0,IF(AE3637="직접",IF(OR(AF3637="유지비",AF3637="손해조사비"),$P3637,0),$P3637*(1-AG3637)*IFERROR(INDEX(계정대체기준!$D$20:$D$49,MATCH($N3637,계정대체기준!$A$20:$A$49,0)),0)))</f>
        <v/>
      </c>
      <c r="AB3637" s="94">
        <f>IF($A3637="",0,IF(AE3637="직접",IF(AF3637="수금비",$P3637,0),$P3637*(1-AG3637)*IFERROR(INDEX(계정대체기준!$E$20:$E$49,MATCH($N3637,계정대체기준!$A$20:$A$49,0)),0)))</f>
        <v/>
      </c>
      <c r="AC3637" s="9">
        <f>IF(AND($A3637&lt;&gt;"",M3637=설정!$C$20,Z3637&gt;0),Z3637+ROW()/1000000000,"")</f>
        <v/>
      </c>
      <c r="AD3637" s="94">
        <f>IF($A3637="",0,$P3637*AG3637)</f>
        <v/>
      </c>
      <c r="AE3637" s="64">
        <f>IF($A3637="","",IFERROR(INDEX(계정매핑!$E$5:$E$504,MATCH($F3637&amp;"",계정매핑!$A$5:$A$504,0))&amp;"","공통비"))</f>
        <v/>
      </c>
      <c r="AF3637" s="64">
        <f>IF($A3637="","",IF(AE3637="직접",IFERROR(INDEX(계정매핑!$F$5:$F$504,MATCH($F3637&amp;"",계정매핑!$A$5:$A$504,0))&amp;"","비귀속"),""))</f>
        <v/>
      </c>
      <c r="AG3637" s="96">
        <f>IF($A3637="",0,IF(AND(AE3637&lt;&gt;"직접",IFERROR(INDEX(계정매핑!$G$5:$G$504,MATCH($F3637&amp;"",계정매핑!$A$5:$A$504,0))&amp;"","")="유지비",COUNTIF(계정대체기준!$A$6:$A$15,$N3637)&gt;0),IFERROR(INDEX(계정대체기준!$E$6:$E$15,MATCH(VALUE($A3637&amp;""),계정대체기준!$D$6:$D$15,0)),0),0))</f>
        <v/>
      </c>
      <c r="AH3637" s="64">
        <f>IF($A3637="","",IF(AD3637=0,"",IF(OR(COUNTIF(계정대체기준!$A$77:$A$86,$N3637)&gt;0,ISNUMBER(MATCH($X3637,계정대체기준!$D$77:$D$86,0)),ISNUMBER(MATCH($F3637,계정대체기준!$D$77:$D$86,0))),"Y","N")))</f>
        <v/>
      </c>
    </row>
    <row r="3638">
      <c r="A3638" s="92" t="n">
        <v>2026</v>
      </c>
      <c r="B3638" s="92" t="n">
        <v>4</v>
      </c>
      <c r="C3638" s="92" t="inlineStr">
        <is>
          <t>5100000916</t>
        </is>
      </c>
      <c r="D3638" s="95" t="n">
        <v>46139</v>
      </c>
      <c r="E3638" s="92" t="inlineStr">
        <is>
          <t>KR</t>
        </is>
      </c>
      <c r="F3638" s="92" t="n">
        <v>62601000</v>
      </c>
      <c r="G3638" s="92" t="n">
        <v>1502</v>
      </c>
      <c r="H3638" s="93" t="n">
        <v>1422000</v>
      </c>
      <c r="I3638" s="92" t="inlineStr">
        <is>
          <t>4월 업무추진 - (법인카드)</t>
        </is>
      </c>
      <c r="J3638" s="92" t="inlineStr">
        <is>
          <t>V10010</t>
        </is>
      </c>
      <c r="K3638" s="92" t="inlineStr">
        <is>
          <t>(법인카드)</t>
        </is>
      </c>
      <c r="M3638" s="9">
        <f>IF($A3638="","",VALUE($A3638&amp;"")*12+VALUE($B3638&amp;""))</f>
        <v/>
      </c>
      <c r="N3638" s="64">
        <f>IF($A3638="","",IFERROR(INDEX(부서매핑!$C$5:$C$504,MATCH($G3638&amp;"",부서매핑!$A$5:$A$504,0)),"미매핑"))</f>
        <v/>
      </c>
      <c r="O3638" s="9">
        <f>IF($A3638="","",N3638&amp;"|"&amp;$F3638)</f>
        <v/>
      </c>
      <c r="P3638" s="94">
        <f>IF($A3638="",0,$H3638*설정!$C$23)</f>
        <v/>
      </c>
      <c r="Q3638" s="64">
        <f>IF($A3638="","",IF(O3638&lt;&gt;원인분석!$C$9,"",IF(AND(M3638&gt;=원인분석!$C$10,M3638&lt;=원인분석!$C$11),"당기",IF(AND(M3638&gt;=원인분석!$C$12,M3638&lt;=원인분석!$C$13),"비교",""))))</f>
        <v/>
      </c>
      <c r="R3638" s="9">
        <f>IF(Q3638="","",$K3638&amp;"")</f>
        <v/>
      </c>
      <c r="S3638" s="9">
        <f>IF(Q3638="","",IF(MATCH(R3638,$R$5:$R$100000,0)=ROW()-4,ROW(),""))</f>
        <v/>
      </c>
      <c r="T3638" s="9">
        <f>IF(Q3638="당기",ABS(P3638)+ROW()/1000000000,"")</f>
        <v/>
      </c>
      <c r="U3638" s="9">
        <f>IF(Q3638="비교",ABS(P3638)+ROW()/1000000000,"")</f>
        <v/>
      </c>
      <c r="V3638" s="64">
        <f>IF($A3638="","",IF(COUNTIF(변동분석!$E$7:$E$506,O3638)&gt;0,"Y","N"))</f>
        <v/>
      </c>
      <c r="W3638" s="64">
        <f>IF($A3638="","",IFERROR(INDEX(계정매핑!$D$5:$D$504,MATCH($F3638&amp;"",계정매핑!$A$5:$A$504,0)),"미매핑"))</f>
        <v/>
      </c>
      <c r="X3638" s="9">
        <f>IF($A3638="","",$F3638&amp;"")</f>
        <v/>
      </c>
      <c r="Y3638" s="94">
        <f>IF($A3638="",0,IF(AE3638="직접",IF(AF3638="비귀속",$P3638,0),$P3638*(1-AG3638)*IFERROR(INDEX(계정대체기준!$F$20:$F$49,MATCH($N3638,계정대체기준!$A$20:$A$49,0)),1)))</f>
        <v/>
      </c>
      <c r="Z3638" s="94">
        <f>IF($A3638="",0,IF(AE3638="직접",IF(AF3638="신계약비",$P3638,0),$P3638*(1-AG3638)*IFERROR(INDEX(계정대체기준!$C$20:$C$49,MATCH($N3638,계정대체기준!$A$20:$A$49,0)),0)))</f>
        <v/>
      </c>
      <c r="AA3638" s="94">
        <f>IF($A3638="",0,IF(AE3638="직접",IF(OR(AF3638="유지비",AF3638="손해조사비"),$P3638,0),$P3638*(1-AG3638)*IFERROR(INDEX(계정대체기준!$D$20:$D$49,MATCH($N3638,계정대체기준!$A$20:$A$49,0)),0)))</f>
        <v/>
      </c>
      <c r="AB3638" s="94">
        <f>IF($A3638="",0,IF(AE3638="직접",IF(AF3638="수금비",$P3638,0),$P3638*(1-AG3638)*IFERROR(INDEX(계정대체기준!$E$20:$E$49,MATCH($N3638,계정대체기준!$A$20:$A$49,0)),0)))</f>
        <v/>
      </c>
      <c r="AC3638" s="9">
        <f>IF(AND($A3638&lt;&gt;"",M3638=설정!$C$20,Z3638&gt;0),Z3638+ROW()/1000000000,"")</f>
        <v/>
      </c>
      <c r="AD3638" s="94">
        <f>IF($A3638="",0,$P3638*AG3638)</f>
        <v/>
      </c>
      <c r="AE3638" s="64">
        <f>IF($A3638="","",IFERROR(INDEX(계정매핑!$E$5:$E$504,MATCH($F3638&amp;"",계정매핑!$A$5:$A$504,0))&amp;"","공통비"))</f>
        <v/>
      </c>
      <c r="AF3638" s="64">
        <f>IF($A3638="","",IF(AE3638="직접",IFERROR(INDEX(계정매핑!$F$5:$F$504,MATCH($F3638&amp;"",계정매핑!$A$5:$A$504,0))&amp;"","비귀속"),""))</f>
        <v/>
      </c>
      <c r="AG3638" s="96">
        <f>IF($A3638="",0,IF(AND(AE3638&lt;&gt;"직접",IFERROR(INDEX(계정매핑!$G$5:$G$504,MATCH($F3638&amp;"",계정매핑!$A$5:$A$504,0))&amp;"","")="유지비",COUNTIF(계정대체기준!$A$6:$A$15,$N3638)&gt;0),IFERROR(INDEX(계정대체기준!$E$6:$E$15,MATCH(VALUE($A3638&amp;""),계정대체기준!$D$6:$D$15,0)),0),0))</f>
        <v/>
      </c>
      <c r="AH3638" s="64">
        <f>IF($A3638="","",IF(AD3638=0,"",IF(OR(COUNTIF(계정대체기준!$A$77:$A$86,$N3638)&gt;0,ISNUMBER(MATCH($X3638,계정대체기준!$D$77:$D$86,0)),ISNUMBER(MATCH($F3638,계정대체기준!$D$77:$D$86,0))),"Y","N")))</f>
        <v/>
      </c>
    </row>
    <row r="3639">
      <c r="A3639" s="92" t="n">
        <v>2026</v>
      </c>
      <c r="B3639" s="92" t="n">
        <v>4</v>
      </c>
      <c r="C3639" s="92" t="inlineStr">
        <is>
          <t>5100000917</t>
        </is>
      </c>
      <c r="D3639" s="95" t="n">
        <v>46139</v>
      </c>
      <c r="E3639" s="92" t="inlineStr">
        <is>
          <t>KR</t>
        </is>
      </c>
      <c r="F3639" s="92" t="n">
        <v>62701000</v>
      </c>
      <c r="G3639" s="92" t="n">
        <v>1501</v>
      </c>
      <c r="H3639" s="93" t="n">
        <v>76643000</v>
      </c>
      <c r="I3639" s="92" t="inlineStr">
        <is>
          <t>4월 광고 집행 - E미디어</t>
        </is>
      </c>
      <c r="J3639" s="92" t="inlineStr">
        <is>
          <t>V10033</t>
        </is>
      </c>
      <c r="K3639" s="92" t="inlineStr">
        <is>
          <t>E미디어</t>
        </is>
      </c>
      <c r="M3639" s="9">
        <f>IF($A3639="","",VALUE($A3639&amp;"")*12+VALUE($B3639&amp;""))</f>
        <v/>
      </c>
      <c r="N3639" s="64">
        <f>IF($A3639="","",IFERROR(INDEX(부서매핑!$C$5:$C$504,MATCH($G3639&amp;"",부서매핑!$A$5:$A$504,0)),"미매핑"))</f>
        <v/>
      </c>
      <c r="O3639" s="9">
        <f>IF($A3639="","",N3639&amp;"|"&amp;$F3639)</f>
        <v/>
      </c>
      <c r="P3639" s="94">
        <f>IF($A3639="",0,$H3639*설정!$C$23)</f>
        <v/>
      </c>
      <c r="Q3639" s="64">
        <f>IF($A3639="","",IF(O3639&lt;&gt;원인분석!$C$9,"",IF(AND(M3639&gt;=원인분석!$C$10,M3639&lt;=원인분석!$C$11),"당기",IF(AND(M3639&gt;=원인분석!$C$12,M3639&lt;=원인분석!$C$13),"비교",""))))</f>
        <v/>
      </c>
      <c r="R3639" s="9">
        <f>IF(Q3639="","",$K3639&amp;"")</f>
        <v/>
      </c>
      <c r="S3639" s="9">
        <f>IF(Q3639="","",IF(MATCH(R3639,$R$5:$R$100000,0)=ROW()-4,ROW(),""))</f>
        <v/>
      </c>
      <c r="T3639" s="9">
        <f>IF(Q3639="당기",ABS(P3639)+ROW()/1000000000,"")</f>
        <v/>
      </c>
      <c r="U3639" s="9">
        <f>IF(Q3639="비교",ABS(P3639)+ROW()/1000000000,"")</f>
        <v/>
      </c>
      <c r="V3639" s="64">
        <f>IF($A3639="","",IF(COUNTIF(변동분석!$E$7:$E$506,O3639)&gt;0,"Y","N"))</f>
        <v/>
      </c>
      <c r="W3639" s="64">
        <f>IF($A3639="","",IFERROR(INDEX(계정매핑!$D$5:$D$504,MATCH($F3639&amp;"",계정매핑!$A$5:$A$504,0)),"미매핑"))</f>
        <v/>
      </c>
      <c r="X3639" s="9">
        <f>IF($A3639="","",$F3639&amp;"")</f>
        <v/>
      </c>
      <c r="Y3639" s="94">
        <f>IF($A3639="",0,IF(AE3639="직접",IF(AF3639="비귀속",$P3639,0),$P3639*(1-AG3639)*IFERROR(INDEX(계정대체기준!$F$20:$F$49,MATCH($N3639,계정대체기준!$A$20:$A$49,0)),1)))</f>
        <v/>
      </c>
      <c r="Z3639" s="94">
        <f>IF($A3639="",0,IF(AE3639="직접",IF(AF3639="신계약비",$P3639,0),$P3639*(1-AG3639)*IFERROR(INDEX(계정대체기준!$C$20:$C$49,MATCH($N3639,계정대체기준!$A$20:$A$49,0)),0)))</f>
        <v/>
      </c>
      <c r="AA3639" s="94">
        <f>IF($A3639="",0,IF(AE3639="직접",IF(OR(AF3639="유지비",AF3639="손해조사비"),$P3639,0),$P3639*(1-AG3639)*IFERROR(INDEX(계정대체기준!$D$20:$D$49,MATCH($N3639,계정대체기준!$A$20:$A$49,0)),0)))</f>
        <v/>
      </c>
      <c r="AB3639" s="94">
        <f>IF($A3639="",0,IF(AE3639="직접",IF(AF3639="수금비",$P3639,0),$P3639*(1-AG3639)*IFERROR(INDEX(계정대체기준!$E$20:$E$49,MATCH($N3639,계정대체기준!$A$20:$A$49,0)),0)))</f>
        <v/>
      </c>
      <c r="AC3639" s="9">
        <f>IF(AND($A3639&lt;&gt;"",M3639=설정!$C$20,Z3639&gt;0),Z3639+ROW()/1000000000,"")</f>
        <v/>
      </c>
      <c r="AD3639" s="94">
        <f>IF($A3639="",0,$P3639*AG3639)</f>
        <v/>
      </c>
      <c r="AE3639" s="64">
        <f>IF($A3639="","",IFERROR(INDEX(계정매핑!$E$5:$E$504,MATCH($F3639&amp;"",계정매핑!$A$5:$A$504,0))&amp;"","공통비"))</f>
        <v/>
      </c>
      <c r="AF3639" s="64">
        <f>IF($A3639="","",IF(AE3639="직접",IFERROR(INDEX(계정매핑!$F$5:$F$504,MATCH($F3639&amp;"",계정매핑!$A$5:$A$504,0))&amp;"","비귀속"),""))</f>
        <v/>
      </c>
      <c r="AG3639" s="96">
        <f>IF($A3639="",0,IF(AND(AE3639&lt;&gt;"직접",IFERROR(INDEX(계정매핑!$G$5:$G$504,MATCH($F3639&amp;"",계정매핑!$A$5:$A$504,0))&amp;"","")="유지비",COUNTIF(계정대체기준!$A$6:$A$15,$N3639)&gt;0),IFERROR(INDEX(계정대체기준!$E$6:$E$15,MATCH(VALUE($A3639&amp;""),계정대체기준!$D$6:$D$15,0)),0),0))</f>
        <v/>
      </c>
      <c r="AH3639" s="64">
        <f>IF($A3639="","",IF(AD3639=0,"",IF(OR(COUNTIF(계정대체기준!$A$77:$A$86,$N3639)&gt;0,ISNUMBER(MATCH($X3639,계정대체기준!$D$77:$D$86,0)),ISNUMBER(MATCH($F3639,계정대체기준!$D$77:$D$86,0))),"Y","N")))</f>
        <v/>
      </c>
    </row>
    <row r="3640">
      <c r="A3640" s="92" t="n">
        <v>2026</v>
      </c>
      <c r="B3640" s="92" t="n">
        <v>4</v>
      </c>
      <c r="C3640" s="92" t="inlineStr">
        <is>
          <t>5100000918</t>
        </is>
      </c>
      <c r="D3640" s="95" t="n">
        <v>46139</v>
      </c>
      <c r="E3640" s="92" t="inlineStr">
        <is>
          <t>KR</t>
        </is>
      </c>
      <c r="F3640" s="92" t="n">
        <v>62901000</v>
      </c>
      <c r="G3640" s="92" t="n">
        <v>1801</v>
      </c>
      <c r="H3640" s="93" t="n">
        <v>9127000</v>
      </c>
      <c r="I3640" s="92" t="inlineStr">
        <is>
          <t>4월 자문 수수료 - K회계법인</t>
        </is>
      </c>
      <c r="J3640" s="92" t="inlineStr">
        <is>
          <t>V10011</t>
        </is>
      </c>
      <c r="K3640" s="92" t="inlineStr">
        <is>
          <t>K회계법인</t>
        </is>
      </c>
      <c r="M3640" s="9">
        <f>IF($A3640="","",VALUE($A3640&amp;"")*12+VALUE($B3640&amp;""))</f>
        <v/>
      </c>
      <c r="N3640" s="64">
        <f>IF($A3640="","",IFERROR(INDEX(부서매핑!$C$5:$C$504,MATCH($G3640&amp;"",부서매핑!$A$5:$A$504,0)),"미매핑"))</f>
        <v/>
      </c>
      <c r="O3640" s="9">
        <f>IF($A3640="","",N3640&amp;"|"&amp;$F3640)</f>
        <v/>
      </c>
      <c r="P3640" s="94">
        <f>IF($A3640="",0,$H3640*설정!$C$23)</f>
        <v/>
      </c>
      <c r="Q3640" s="64">
        <f>IF($A3640="","",IF(O3640&lt;&gt;원인분석!$C$9,"",IF(AND(M3640&gt;=원인분석!$C$10,M3640&lt;=원인분석!$C$11),"당기",IF(AND(M3640&gt;=원인분석!$C$12,M3640&lt;=원인분석!$C$13),"비교",""))))</f>
        <v/>
      </c>
      <c r="R3640" s="9">
        <f>IF(Q3640="","",$K3640&amp;"")</f>
        <v/>
      </c>
      <c r="S3640" s="9">
        <f>IF(Q3640="","",IF(MATCH(R3640,$R$5:$R$100000,0)=ROW()-4,ROW(),""))</f>
        <v/>
      </c>
      <c r="T3640" s="9">
        <f>IF(Q3640="당기",ABS(P3640)+ROW()/1000000000,"")</f>
        <v/>
      </c>
      <c r="U3640" s="9">
        <f>IF(Q3640="비교",ABS(P3640)+ROW()/1000000000,"")</f>
        <v/>
      </c>
      <c r="V3640" s="64">
        <f>IF($A3640="","",IF(COUNTIF(변동분석!$E$7:$E$506,O3640)&gt;0,"Y","N"))</f>
        <v/>
      </c>
      <c r="W3640" s="64">
        <f>IF($A3640="","",IFERROR(INDEX(계정매핑!$D$5:$D$504,MATCH($F3640&amp;"",계정매핑!$A$5:$A$504,0)),"미매핑"))</f>
        <v/>
      </c>
      <c r="X3640" s="9">
        <f>IF($A3640="","",$F3640&amp;"")</f>
        <v/>
      </c>
      <c r="Y3640" s="94">
        <f>IF($A3640="",0,IF(AE3640="직접",IF(AF3640="비귀속",$P3640,0),$P3640*(1-AG3640)*IFERROR(INDEX(계정대체기준!$F$20:$F$49,MATCH($N3640,계정대체기준!$A$20:$A$49,0)),1)))</f>
        <v/>
      </c>
      <c r="Z3640" s="94">
        <f>IF($A3640="",0,IF(AE3640="직접",IF(AF3640="신계약비",$P3640,0),$P3640*(1-AG3640)*IFERROR(INDEX(계정대체기준!$C$20:$C$49,MATCH($N3640,계정대체기준!$A$20:$A$49,0)),0)))</f>
        <v/>
      </c>
      <c r="AA3640" s="94">
        <f>IF($A3640="",0,IF(AE3640="직접",IF(OR(AF3640="유지비",AF3640="손해조사비"),$P3640,0),$P3640*(1-AG3640)*IFERROR(INDEX(계정대체기준!$D$20:$D$49,MATCH($N3640,계정대체기준!$A$20:$A$49,0)),0)))</f>
        <v/>
      </c>
      <c r="AB3640" s="94">
        <f>IF($A3640="",0,IF(AE3640="직접",IF(AF3640="수금비",$P3640,0),$P3640*(1-AG3640)*IFERROR(INDEX(계정대체기준!$E$20:$E$49,MATCH($N3640,계정대체기준!$A$20:$A$49,0)),0)))</f>
        <v/>
      </c>
      <c r="AC3640" s="9">
        <f>IF(AND($A3640&lt;&gt;"",M3640=설정!$C$20,Z3640&gt;0),Z3640+ROW()/1000000000,"")</f>
        <v/>
      </c>
      <c r="AD3640" s="94">
        <f>IF($A3640="",0,$P3640*AG3640)</f>
        <v/>
      </c>
      <c r="AE3640" s="64">
        <f>IF($A3640="","",IFERROR(INDEX(계정매핑!$E$5:$E$504,MATCH($F3640&amp;"",계정매핑!$A$5:$A$504,0))&amp;"","공통비"))</f>
        <v/>
      </c>
      <c r="AF3640" s="64">
        <f>IF($A3640="","",IF(AE3640="직접",IFERROR(INDEX(계정매핑!$F$5:$F$504,MATCH($F3640&amp;"",계정매핑!$A$5:$A$504,0))&amp;"","비귀속"),""))</f>
        <v/>
      </c>
      <c r="AG3640" s="96">
        <f>IF($A3640="",0,IF(AND(AE3640&lt;&gt;"직접",IFERROR(INDEX(계정매핑!$G$5:$G$504,MATCH($F3640&amp;"",계정매핑!$A$5:$A$504,0))&amp;"","")="유지비",COUNTIF(계정대체기준!$A$6:$A$15,$N3640)&gt;0),IFERROR(INDEX(계정대체기준!$E$6:$E$15,MATCH(VALUE($A3640&amp;""),계정대체기준!$D$6:$D$15,0)),0),0))</f>
        <v/>
      </c>
      <c r="AH3640" s="64">
        <f>IF($A3640="","",IF(AD3640=0,"",IF(OR(COUNTIF(계정대체기준!$A$77:$A$86,$N3640)&gt;0,ISNUMBER(MATCH($X3640,계정대체기준!$D$77:$D$86,0)),ISNUMBER(MATCH($F3640,계정대체기준!$D$77:$D$86,0))),"Y","N")))</f>
        <v/>
      </c>
    </row>
    <row r="3641">
      <c r="A3641" s="92" t="n">
        <v>2026</v>
      </c>
      <c r="B3641" s="92" t="n">
        <v>4</v>
      </c>
      <c r="C3641" s="92" t="inlineStr">
        <is>
          <t>5100000919</t>
        </is>
      </c>
      <c r="D3641" s="95" t="n">
        <v>46139</v>
      </c>
      <c r="E3641" s="92" t="inlineStr">
        <is>
          <t>KR</t>
        </is>
      </c>
      <c r="F3641" s="92" t="n">
        <v>62902000</v>
      </c>
      <c r="G3641" s="92" t="n">
        <v>1801</v>
      </c>
      <c r="H3641" s="93" t="n">
        <v>1837000</v>
      </c>
      <c r="I3641" s="92" t="inlineStr">
        <is>
          <t>4월 콜 위탁 수수료(건별)</t>
        </is>
      </c>
      <c r="J3641" s="92" t="inlineStr">
        <is>
          <t>V10016</t>
        </is>
      </c>
      <c r="K3641" s="92" t="inlineStr">
        <is>
          <t>J콜센터</t>
        </is>
      </c>
      <c r="M3641" s="9">
        <f>IF($A3641="","",VALUE($A3641&amp;"")*12+VALUE($B3641&amp;""))</f>
        <v/>
      </c>
      <c r="N3641" s="64">
        <f>IF($A3641="","",IFERROR(INDEX(부서매핑!$C$5:$C$504,MATCH($G3641&amp;"",부서매핑!$A$5:$A$504,0)),"미매핑"))</f>
        <v/>
      </c>
      <c r="O3641" s="9">
        <f>IF($A3641="","",N3641&amp;"|"&amp;$F3641)</f>
        <v/>
      </c>
      <c r="P3641" s="94">
        <f>IF($A3641="",0,$H3641*설정!$C$23)</f>
        <v/>
      </c>
      <c r="Q3641" s="64">
        <f>IF($A3641="","",IF(O3641&lt;&gt;원인분석!$C$9,"",IF(AND(M3641&gt;=원인분석!$C$10,M3641&lt;=원인분석!$C$11),"당기",IF(AND(M3641&gt;=원인분석!$C$12,M3641&lt;=원인분석!$C$13),"비교",""))))</f>
        <v/>
      </c>
      <c r="R3641" s="9">
        <f>IF(Q3641="","",$K3641&amp;"")</f>
        <v/>
      </c>
      <c r="S3641" s="9">
        <f>IF(Q3641="","",IF(MATCH(R3641,$R$5:$R$100000,0)=ROW()-4,ROW(),""))</f>
        <v/>
      </c>
      <c r="T3641" s="9">
        <f>IF(Q3641="당기",ABS(P3641)+ROW()/1000000000,"")</f>
        <v/>
      </c>
      <c r="U3641" s="9">
        <f>IF(Q3641="비교",ABS(P3641)+ROW()/1000000000,"")</f>
        <v/>
      </c>
      <c r="V3641" s="64">
        <f>IF($A3641="","",IF(COUNTIF(변동분석!$E$7:$E$506,O3641)&gt;0,"Y","N"))</f>
        <v/>
      </c>
      <c r="W3641" s="64">
        <f>IF($A3641="","",IFERROR(INDEX(계정매핑!$D$5:$D$504,MATCH($F3641&amp;"",계정매핑!$A$5:$A$504,0)),"미매핑"))</f>
        <v/>
      </c>
      <c r="X3641" s="9">
        <f>IF($A3641="","",$F3641&amp;"")</f>
        <v/>
      </c>
      <c r="Y3641" s="94">
        <f>IF($A3641="",0,IF(AE3641="직접",IF(AF3641="비귀속",$P3641,0),$P3641*(1-AG3641)*IFERROR(INDEX(계정대체기준!$F$20:$F$49,MATCH($N3641,계정대체기준!$A$20:$A$49,0)),1)))</f>
        <v/>
      </c>
      <c r="Z3641" s="94">
        <f>IF($A3641="",0,IF(AE3641="직접",IF(AF3641="신계약비",$P3641,0),$P3641*(1-AG3641)*IFERROR(INDEX(계정대체기준!$C$20:$C$49,MATCH($N3641,계정대체기준!$A$20:$A$49,0)),0)))</f>
        <v/>
      </c>
      <c r="AA3641" s="94">
        <f>IF($A3641="",0,IF(AE3641="직접",IF(OR(AF3641="유지비",AF3641="손해조사비"),$P3641,0),$P3641*(1-AG3641)*IFERROR(INDEX(계정대체기준!$D$20:$D$49,MATCH($N3641,계정대체기준!$A$20:$A$49,0)),0)))</f>
        <v/>
      </c>
      <c r="AB3641" s="94">
        <f>IF($A3641="",0,IF(AE3641="직접",IF(AF3641="수금비",$P3641,0),$P3641*(1-AG3641)*IFERROR(INDEX(계정대체기준!$E$20:$E$49,MATCH($N3641,계정대체기준!$A$20:$A$49,0)),0)))</f>
        <v/>
      </c>
      <c r="AC3641" s="9">
        <f>IF(AND($A3641&lt;&gt;"",M3641=설정!$C$20,Z3641&gt;0),Z3641+ROW()/1000000000,"")</f>
        <v/>
      </c>
      <c r="AD3641" s="94">
        <f>IF($A3641="",0,$P3641*AG3641)</f>
        <v/>
      </c>
      <c r="AE3641" s="64">
        <f>IF($A3641="","",IFERROR(INDEX(계정매핑!$E$5:$E$504,MATCH($F3641&amp;"",계정매핑!$A$5:$A$504,0))&amp;"","공통비"))</f>
        <v/>
      </c>
      <c r="AF3641" s="64">
        <f>IF($A3641="","",IF(AE3641="직접",IFERROR(INDEX(계정매핑!$F$5:$F$504,MATCH($F3641&amp;"",계정매핑!$A$5:$A$504,0))&amp;"","비귀속"),""))</f>
        <v/>
      </c>
      <c r="AG3641" s="96">
        <f>IF($A3641="",0,IF(AND(AE3641&lt;&gt;"직접",IFERROR(INDEX(계정매핑!$G$5:$G$504,MATCH($F3641&amp;"",계정매핑!$A$5:$A$504,0))&amp;"","")="유지비",COUNTIF(계정대체기준!$A$6:$A$15,$N3641)&gt;0),IFERROR(INDEX(계정대체기준!$E$6:$E$15,MATCH(VALUE($A3641&amp;""),계정대체기준!$D$6:$D$15,0)),0),0))</f>
        <v/>
      </c>
      <c r="AH3641" s="64">
        <f>IF($A3641="","",IF(AD3641=0,"",IF(OR(COUNTIF(계정대체기준!$A$77:$A$86,$N3641)&gt;0,ISNUMBER(MATCH($X3641,계정대체기준!$D$77:$D$86,0)),ISNUMBER(MATCH($F3641,계정대체기준!$D$77:$D$86,0))),"Y","N")))</f>
        <v/>
      </c>
    </row>
    <row r="3642">
      <c r="A3642" s="92" t="n">
        <v>2026</v>
      </c>
      <c r="B3642" s="92" t="n">
        <v>5</v>
      </c>
      <c r="C3642" s="92" t="inlineStr">
        <is>
          <t>5100000920</t>
        </is>
      </c>
      <c r="D3642" s="95" t="n">
        <v>46144</v>
      </c>
      <c r="E3642" s="92" t="inlineStr">
        <is>
          <t>KR</t>
        </is>
      </c>
      <c r="F3642" s="92" t="n">
        <v>62102000</v>
      </c>
      <c r="G3642" s="92" t="n">
        <v>1201</v>
      </c>
      <c r="H3642" s="93" t="n">
        <v>64000</v>
      </c>
      <c r="I3642" s="92" t="inlineStr">
        <is>
          <t>5월 해외출장 - N호텔</t>
        </is>
      </c>
      <c r="J3642" s="92" t="inlineStr">
        <is>
          <t>V10009</t>
        </is>
      </c>
      <c r="K3642" s="92" t="inlineStr">
        <is>
          <t>N호텔</t>
        </is>
      </c>
      <c r="M3642" s="9">
        <f>IF($A3642="","",VALUE($A3642&amp;"")*12+VALUE($B3642&amp;""))</f>
        <v/>
      </c>
      <c r="N3642" s="64">
        <f>IF($A3642="","",IFERROR(INDEX(부서매핑!$C$5:$C$504,MATCH($G3642&amp;"",부서매핑!$A$5:$A$504,0)),"미매핑"))</f>
        <v/>
      </c>
      <c r="O3642" s="9">
        <f>IF($A3642="","",N3642&amp;"|"&amp;$F3642)</f>
        <v/>
      </c>
      <c r="P3642" s="94">
        <f>IF($A3642="",0,$H3642*설정!$C$23)</f>
        <v/>
      </c>
      <c r="Q3642" s="64">
        <f>IF($A3642="","",IF(O3642&lt;&gt;원인분석!$C$9,"",IF(AND(M3642&gt;=원인분석!$C$10,M3642&lt;=원인분석!$C$11),"당기",IF(AND(M3642&gt;=원인분석!$C$12,M3642&lt;=원인분석!$C$13),"비교",""))))</f>
        <v/>
      </c>
      <c r="R3642" s="9">
        <f>IF(Q3642="","",$K3642&amp;"")</f>
        <v/>
      </c>
      <c r="S3642" s="9">
        <f>IF(Q3642="","",IF(MATCH(R3642,$R$5:$R$100000,0)=ROW()-4,ROW(),""))</f>
        <v/>
      </c>
      <c r="T3642" s="9">
        <f>IF(Q3642="당기",ABS(P3642)+ROW()/1000000000,"")</f>
        <v/>
      </c>
      <c r="U3642" s="9">
        <f>IF(Q3642="비교",ABS(P3642)+ROW()/1000000000,"")</f>
        <v/>
      </c>
      <c r="V3642" s="64">
        <f>IF($A3642="","",IF(COUNTIF(변동분석!$E$7:$E$506,O3642)&gt;0,"Y","N"))</f>
        <v/>
      </c>
      <c r="W3642" s="64">
        <f>IF($A3642="","",IFERROR(INDEX(계정매핑!$D$5:$D$504,MATCH($F3642&amp;"",계정매핑!$A$5:$A$504,0)),"미매핑"))</f>
        <v/>
      </c>
      <c r="X3642" s="9">
        <f>IF($A3642="","",$F3642&amp;"")</f>
        <v/>
      </c>
      <c r="Y3642" s="94">
        <f>IF($A3642="",0,IF(AE3642="직접",IF(AF3642="비귀속",$P3642,0),$P3642*(1-AG3642)*IFERROR(INDEX(계정대체기준!$F$20:$F$49,MATCH($N3642,계정대체기준!$A$20:$A$49,0)),1)))</f>
        <v/>
      </c>
      <c r="Z3642" s="94">
        <f>IF($A3642="",0,IF(AE3642="직접",IF(AF3642="신계약비",$P3642,0),$P3642*(1-AG3642)*IFERROR(INDEX(계정대체기준!$C$20:$C$49,MATCH($N3642,계정대체기준!$A$20:$A$49,0)),0)))</f>
        <v/>
      </c>
      <c r="AA3642" s="94">
        <f>IF($A3642="",0,IF(AE3642="직접",IF(OR(AF3642="유지비",AF3642="손해조사비"),$P3642,0),$P3642*(1-AG3642)*IFERROR(INDEX(계정대체기준!$D$20:$D$49,MATCH($N3642,계정대체기준!$A$20:$A$49,0)),0)))</f>
        <v/>
      </c>
      <c r="AB3642" s="94">
        <f>IF($A3642="",0,IF(AE3642="직접",IF(AF3642="수금비",$P3642,0),$P3642*(1-AG3642)*IFERROR(INDEX(계정대체기준!$E$20:$E$49,MATCH($N3642,계정대체기준!$A$20:$A$49,0)),0)))</f>
        <v/>
      </c>
      <c r="AC3642" s="9">
        <f>IF(AND($A3642&lt;&gt;"",M3642=설정!$C$20,Z3642&gt;0),Z3642+ROW()/1000000000,"")</f>
        <v/>
      </c>
      <c r="AD3642" s="94">
        <f>IF($A3642="",0,$P3642*AG3642)</f>
        <v/>
      </c>
      <c r="AE3642" s="64">
        <f>IF($A3642="","",IFERROR(INDEX(계정매핑!$E$5:$E$504,MATCH($F3642&amp;"",계정매핑!$A$5:$A$504,0))&amp;"","공통비"))</f>
        <v/>
      </c>
      <c r="AF3642" s="64">
        <f>IF($A3642="","",IF(AE3642="직접",IFERROR(INDEX(계정매핑!$F$5:$F$504,MATCH($F3642&amp;"",계정매핑!$A$5:$A$504,0))&amp;"","비귀속"),""))</f>
        <v/>
      </c>
      <c r="AG3642" s="96">
        <f>IF($A3642="",0,IF(AND(AE3642&lt;&gt;"직접",IFERROR(INDEX(계정매핑!$G$5:$G$504,MATCH($F3642&amp;"",계정매핑!$A$5:$A$504,0))&amp;"","")="유지비",COUNTIF(계정대체기준!$A$6:$A$15,$N3642)&gt;0),IFERROR(INDEX(계정대체기준!$E$6:$E$15,MATCH(VALUE($A3642&amp;""),계정대체기준!$D$6:$D$15,0)),0),0))</f>
        <v/>
      </c>
      <c r="AH3642" s="64">
        <f>IF($A3642="","",IF(AD3642=0,"",IF(OR(COUNTIF(계정대체기준!$A$77:$A$86,$N3642)&gt;0,ISNUMBER(MATCH($X3642,계정대체기준!$D$77:$D$86,0)),ISNUMBER(MATCH($F3642,계정대체기준!$D$77:$D$86,0))),"Y","N")))</f>
        <v/>
      </c>
    </row>
    <row r="3643">
      <c r="A3643" s="92" t="n">
        <v>2026</v>
      </c>
      <c r="B3643" s="92" t="n">
        <v>5</v>
      </c>
      <c r="C3643" s="92" t="inlineStr">
        <is>
          <t>5100000921</t>
        </is>
      </c>
      <c r="D3643" s="95" t="n">
        <v>46144</v>
      </c>
      <c r="E3643" s="92" t="inlineStr">
        <is>
          <t>KR</t>
        </is>
      </c>
      <c r="F3643" s="92" t="n">
        <v>62301000</v>
      </c>
      <c r="G3643" s="92" t="n">
        <v>1602</v>
      </c>
      <c r="H3643" s="93" t="n">
        <v>319000</v>
      </c>
      <c r="I3643" s="92" t="inlineStr">
        <is>
          <t>5월 소모품 구입 - R문구</t>
        </is>
      </c>
      <c r="J3643" s="92" t="inlineStr">
        <is>
          <t>V10022</t>
        </is>
      </c>
      <c r="K3643" s="92" t="inlineStr">
        <is>
          <t>R문구</t>
        </is>
      </c>
      <c r="M3643" s="9">
        <f>IF($A3643="","",VALUE($A3643&amp;"")*12+VALUE($B3643&amp;""))</f>
        <v/>
      </c>
      <c r="N3643" s="64">
        <f>IF($A3643="","",IFERROR(INDEX(부서매핑!$C$5:$C$504,MATCH($G3643&amp;"",부서매핑!$A$5:$A$504,0)),"미매핑"))</f>
        <v/>
      </c>
      <c r="O3643" s="9">
        <f>IF($A3643="","",N3643&amp;"|"&amp;$F3643)</f>
        <v/>
      </c>
      <c r="P3643" s="94">
        <f>IF($A3643="",0,$H3643*설정!$C$23)</f>
        <v/>
      </c>
      <c r="Q3643" s="64">
        <f>IF($A3643="","",IF(O3643&lt;&gt;원인분석!$C$9,"",IF(AND(M3643&gt;=원인분석!$C$10,M3643&lt;=원인분석!$C$11),"당기",IF(AND(M3643&gt;=원인분석!$C$12,M3643&lt;=원인분석!$C$13),"비교",""))))</f>
        <v/>
      </c>
      <c r="R3643" s="9">
        <f>IF(Q3643="","",$K3643&amp;"")</f>
        <v/>
      </c>
      <c r="S3643" s="9">
        <f>IF(Q3643="","",IF(MATCH(R3643,$R$5:$R$100000,0)=ROW()-4,ROW(),""))</f>
        <v/>
      </c>
      <c r="T3643" s="9">
        <f>IF(Q3643="당기",ABS(P3643)+ROW()/1000000000,"")</f>
        <v/>
      </c>
      <c r="U3643" s="9">
        <f>IF(Q3643="비교",ABS(P3643)+ROW()/1000000000,"")</f>
        <v/>
      </c>
      <c r="V3643" s="64">
        <f>IF($A3643="","",IF(COUNTIF(변동분석!$E$7:$E$506,O3643)&gt;0,"Y","N"))</f>
        <v/>
      </c>
      <c r="W3643" s="64">
        <f>IF($A3643="","",IFERROR(INDEX(계정매핑!$D$5:$D$504,MATCH($F3643&amp;"",계정매핑!$A$5:$A$504,0)),"미매핑"))</f>
        <v/>
      </c>
      <c r="X3643" s="9">
        <f>IF($A3643="","",$F3643&amp;"")</f>
        <v/>
      </c>
      <c r="Y3643" s="94">
        <f>IF($A3643="",0,IF(AE3643="직접",IF(AF3643="비귀속",$P3643,0),$P3643*(1-AG3643)*IFERROR(INDEX(계정대체기준!$F$20:$F$49,MATCH($N3643,계정대체기준!$A$20:$A$49,0)),1)))</f>
        <v/>
      </c>
      <c r="Z3643" s="94">
        <f>IF($A3643="",0,IF(AE3643="직접",IF(AF3643="신계약비",$P3643,0),$P3643*(1-AG3643)*IFERROR(INDEX(계정대체기준!$C$20:$C$49,MATCH($N3643,계정대체기준!$A$20:$A$49,0)),0)))</f>
        <v/>
      </c>
      <c r="AA3643" s="94">
        <f>IF($A3643="",0,IF(AE3643="직접",IF(OR(AF3643="유지비",AF3643="손해조사비"),$P3643,0),$P3643*(1-AG3643)*IFERROR(INDEX(계정대체기준!$D$20:$D$49,MATCH($N3643,계정대체기준!$A$20:$A$49,0)),0)))</f>
        <v/>
      </c>
      <c r="AB3643" s="94">
        <f>IF($A3643="",0,IF(AE3643="직접",IF(AF3643="수금비",$P3643,0),$P3643*(1-AG3643)*IFERROR(INDEX(계정대체기준!$E$20:$E$49,MATCH($N3643,계정대체기준!$A$20:$A$49,0)),0)))</f>
        <v/>
      </c>
      <c r="AC3643" s="9">
        <f>IF(AND($A3643&lt;&gt;"",M3643=설정!$C$20,Z3643&gt;0),Z3643+ROW()/1000000000,"")</f>
        <v/>
      </c>
      <c r="AD3643" s="94">
        <f>IF($A3643="",0,$P3643*AG3643)</f>
        <v/>
      </c>
      <c r="AE3643" s="64">
        <f>IF($A3643="","",IFERROR(INDEX(계정매핑!$E$5:$E$504,MATCH($F3643&amp;"",계정매핑!$A$5:$A$504,0))&amp;"","공통비"))</f>
        <v/>
      </c>
      <c r="AF3643" s="64">
        <f>IF($A3643="","",IF(AE3643="직접",IFERROR(INDEX(계정매핑!$F$5:$F$504,MATCH($F3643&amp;"",계정매핑!$A$5:$A$504,0))&amp;"","비귀속"),""))</f>
        <v/>
      </c>
      <c r="AG3643" s="96">
        <f>IF($A3643="",0,IF(AND(AE3643&lt;&gt;"직접",IFERROR(INDEX(계정매핑!$G$5:$G$504,MATCH($F3643&amp;"",계정매핑!$A$5:$A$504,0))&amp;"","")="유지비",COUNTIF(계정대체기준!$A$6:$A$15,$N3643)&gt;0),IFERROR(INDEX(계정대체기준!$E$6:$E$15,MATCH(VALUE($A3643&amp;""),계정대체기준!$D$6:$D$15,0)),0),0))</f>
        <v/>
      </c>
      <c r="AH3643" s="64">
        <f>IF($A3643="","",IF(AD3643=0,"",IF(OR(COUNTIF(계정대체기준!$A$77:$A$86,$N3643)&gt;0,ISNUMBER(MATCH($X3643,계정대체기준!$D$77:$D$86,0)),ISNUMBER(MATCH($F3643,계정대체기준!$D$77:$D$86,0))),"Y","N")))</f>
        <v/>
      </c>
    </row>
    <row r="3644">
      <c r="A3644" s="92" t="n">
        <v>2026</v>
      </c>
      <c r="B3644" s="92" t="n">
        <v>5</v>
      </c>
      <c r="C3644" s="92" t="inlineStr">
        <is>
          <t>5100000922</t>
        </is>
      </c>
      <c r="D3644" s="95" t="n">
        <v>46145</v>
      </c>
      <c r="E3644" s="92" t="inlineStr">
        <is>
          <t>KR</t>
        </is>
      </c>
      <c r="F3644" s="92" t="n">
        <v>62102000</v>
      </c>
      <c r="G3644" s="92" t="n">
        <v>1301</v>
      </c>
      <c r="H3644" s="93" t="n">
        <v>81000</v>
      </c>
      <c r="I3644" s="92" t="inlineStr">
        <is>
          <t>5월 해외출장 - N호텔</t>
        </is>
      </c>
      <c r="J3644" s="92" t="inlineStr">
        <is>
          <t>V10009</t>
        </is>
      </c>
      <c r="K3644" s="92" t="inlineStr">
        <is>
          <t>N호텔</t>
        </is>
      </c>
      <c r="M3644" s="9">
        <f>IF($A3644="","",VALUE($A3644&amp;"")*12+VALUE($B3644&amp;""))</f>
        <v/>
      </c>
      <c r="N3644" s="64">
        <f>IF($A3644="","",IFERROR(INDEX(부서매핑!$C$5:$C$504,MATCH($G3644&amp;"",부서매핑!$A$5:$A$504,0)),"미매핑"))</f>
        <v/>
      </c>
      <c r="O3644" s="9">
        <f>IF($A3644="","",N3644&amp;"|"&amp;$F3644)</f>
        <v/>
      </c>
      <c r="P3644" s="94">
        <f>IF($A3644="",0,$H3644*설정!$C$23)</f>
        <v/>
      </c>
      <c r="Q3644" s="64">
        <f>IF($A3644="","",IF(O3644&lt;&gt;원인분석!$C$9,"",IF(AND(M3644&gt;=원인분석!$C$10,M3644&lt;=원인분석!$C$11),"당기",IF(AND(M3644&gt;=원인분석!$C$12,M3644&lt;=원인분석!$C$13),"비교",""))))</f>
        <v/>
      </c>
      <c r="R3644" s="9">
        <f>IF(Q3644="","",$K3644&amp;"")</f>
        <v/>
      </c>
      <c r="S3644" s="9">
        <f>IF(Q3644="","",IF(MATCH(R3644,$R$5:$R$100000,0)=ROW()-4,ROW(),""))</f>
        <v/>
      </c>
      <c r="T3644" s="9">
        <f>IF(Q3644="당기",ABS(P3644)+ROW()/1000000000,"")</f>
        <v/>
      </c>
      <c r="U3644" s="9">
        <f>IF(Q3644="비교",ABS(P3644)+ROW()/1000000000,"")</f>
        <v/>
      </c>
      <c r="V3644" s="64">
        <f>IF($A3644="","",IF(COUNTIF(변동분석!$E$7:$E$506,O3644)&gt;0,"Y","N"))</f>
        <v/>
      </c>
      <c r="W3644" s="64">
        <f>IF($A3644="","",IFERROR(INDEX(계정매핑!$D$5:$D$504,MATCH($F3644&amp;"",계정매핑!$A$5:$A$504,0)),"미매핑"))</f>
        <v/>
      </c>
      <c r="X3644" s="9">
        <f>IF($A3644="","",$F3644&amp;"")</f>
        <v/>
      </c>
      <c r="Y3644" s="94">
        <f>IF($A3644="",0,IF(AE3644="직접",IF(AF3644="비귀속",$P3644,0),$P3644*(1-AG3644)*IFERROR(INDEX(계정대체기준!$F$20:$F$49,MATCH($N3644,계정대체기준!$A$20:$A$49,0)),1)))</f>
        <v/>
      </c>
      <c r="Z3644" s="94">
        <f>IF($A3644="",0,IF(AE3644="직접",IF(AF3644="신계약비",$P3644,0),$P3644*(1-AG3644)*IFERROR(INDEX(계정대체기준!$C$20:$C$49,MATCH($N3644,계정대체기준!$A$20:$A$49,0)),0)))</f>
        <v/>
      </c>
      <c r="AA3644" s="94">
        <f>IF($A3644="",0,IF(AE3644="직접",IF(OR(AF3644="유지비",AF3644="손해조사비"),$P3644,0),$P3644*(1-AG3644)*IFERROR(INDEX(계정대체기준!$D$20:$D$49,MATCH($N3644,계정대체기준!$A$20:$A$49,0)),0)))</f>
        <v/>
      </c>
      <c r="AB3644" s="94">
        <f>IF($A3644="",0,IF(AE3644="직접",IF(AF3644="수금비",$P3644,0),$P3644*(1-AG3644)*IFERROR(INDEX(계정대체기준!$E$20:$E$49,MATCH($N3644,계정대체기준!$A$20:$A$49,0)),0)))</f>
        <v/>
      </c>
      <c r="AC3644" s="9">
        <f>IF(AND($A3644&lt;&gt;"",M3644=설정!$C$20,Z3644&gt;0),Z3644+ROW()/1000000000,"")</f>
        <v/>
      </c>
      <c r="AD3644" s="94">
        <f>IF($A3644="",0,$P3644*AG3644)</f>
        <v/>
      </c>
      <c r="AE3644" s="64">
        <f>IF($A3644="","",IFERROR(INDEX(계정매핑!$E$5:$E$504,MATCH($F3644&amp;"",계정매핑!$A$5:$A$504,0))&amp;"","공통비"))</f>
        <v/>
      </c>
      <c r="AF3644" s="64">
        <f>IF($A3644="","",IF(AE3644="직접",IFERROR(INDEX(계정매핑!$F$5:$F$504,MATCH($F3644&amp;"",계정매핑!$A$5:$A$504,0))&amp;"","비귀속"),""))</f>
        <v/>
      </c>
      <c r="AG3644" s="96">
        <f>IF($A3644="",0,IF(AND(AE3644&lt;&gt;"직접",IFERROR(INDEX(계정매핑!$G$5:$G$504,MATCH($F3644&amp;"",계정매핑!$A$5:$A$504,0))&amp;"","")="유지비",COUNTIF(계정대체기준!$A$6:$A$15,$N3644)&gt;0),IFERROR(INDEX(계정대체기준!$E$6:$E$15,MATCH(VALUE($A3644&amp;""),계정대체기준!$D$6:$D$15,0)),0),0))</f>
        <v/>
      </c>
      <c r="AH3644" s="64">
        <f>IF($A3644="","",IF(AD3644=0,"",IF(OR(COUNTIF(계정대체기준!$A$77:$A$86,$N3644)&gt;0,ISNUMBER(MATCH($X3644,계정대체기준!$D$77:$D$86,0)),ISNUMBER(MATCH($F3644,계정대체기준!$D$77:$D$86,0))),"Y","N")))</f>
        <v/>
      </c>
    </row>
    <row r="3645">
      <c r="A3645" s="92" t="n">
        <v>2026</v>
      </c>
      <c r="B3645" s="92" t="n">
        <v>5</v>
      </c>
      <c r="C3645" s="92" t="inlineStr">
        <is>
          <t>5100000923</t>
        </is>
      </c>
      <c r="D3645" s="95" t="n">
        <v>46145</v>
      </c>
      <c r="E3645" s="92" t="inlineStr">
        <is>
          <t>KR</t>
        </is>
      </c>
      <c r="F3645" s="92" t="n">
        <v>62102000</v>
      </c>
      <c r="G3645" s="92" t="n">
        <v>1401</v>
      </c>
      <c r="H3645" s="93" t="n">
        <v>110000</v>
      </c>
      <c r="I3645" s="92" t="inlineStr">
        <is>
          <t>5월 해외출장 - M항공</t>
        </is>
      </c>
      <c r="J3645" s="92" t="inlineStr">
        <is>
          <t>V10001</t>
        </is>
      </c>
      <c r="K3645" s="92" t="inlineStr">
        <is>
          <t>M항공</t>
        </is>
      </c>
      <c r="M3645" s="9">
        <f>IF($A3645="","",VALUE($A3645&amp;"")*12+VALUE($B3645&amp;""))</f>
        <v/>
      </c>
      <c r="N3645" s="64">
        <f>IF($A3645="","",IFERROR(INDEX(부서매핑!$C$5:$C$504,MATCH($G3645&amp;"",부서매핑!$A$5:$A$504,0)),"미매핑"))</f>
        <v/>
      </c>
      <c r="O3645" s="9">
        <f>IF($A3645="","",N3645&amp;"|"&amp;$F3645)</f>
        <v/>
      </c>
      <c r="P3645" s="94">
        <f>IF($A3645="",0,$H3645*설정!$C$23)</f>
        <v/>
      </c>
      <c r="Q3645" s="64">
        <f>IF($A3645="","",IF(O3645&lt;&gt;원인분석!$C$9,"",IF(AND(M3645&gt;=원인분석!$C$10,M3645&lt;=원인분석!$C$11),"당기",IF(AND(M3645&gt;=원인분석!$C$12,M3645&lt;=원인분석!$C$13),"비교",""))))</f>
        <v/>
      </c>
      <c r="R3645" s="9">
        <f>IF(Q3645="","",$K3645&amp;"")</f>
        <v/>
      </c>
      <c r="S3645" s="9">
        <f>IF(Q3645="","",IF(MATCH(R3645,$R$5:$R$100000,0)=ROW()-4,ROW(),""))</f>
        <v/>
      </c>
      <c r="T3645" s="9">
        <f>IF(Q3645="당기",ABS(P3645)+ROW()/1000000000,"")</f>
        <v/>
      </c>
      <c r="U3645" s="9">
        <f>IF(Q3645="비교",ABS(P3645)+ROW()/1000000000,"")</f>
        <v/>
      </c>
      <c r="V3645" s="64">
        <f>IF($A3645="","",IF(COUNTIF(변동분석!$E$7:$E$506,O3645)&gt;0,"Y","N"))</f>
        <v/>
      </c>
      <c r="W3645" s="64">
        <f>IF($A3645="","",IFERROR(INDEX(계정매핑!$D$5:$D$504,MATCH($F3645&amp;"",계정매핑!$A$5:$A$504,0)),"미매핑"))</f>
        <v/>
      </c>
      <c r="X3645" s="9">
        <f>IF($A3645="","",$F3645&amp;"")</f>
        <v/>
      </c>
      <c r="Y3645" s="94">
        <f>IF($A3645="",0,IF(AE3645="직접",IF(AF3645="비귀속",$P3645,0),$P3645*(1-AG3645)*IFERROR(INDEX(계정대체기준!$F$20:$F$49,MATCH($N3645,계정대체기준!$A$20:$A$49,0)),1)))</f>
        <v/>
      </c>
      <c r="Z3645" s="94">
        <f>IF($A3645="",0,IF(AE3645="직접",IF(AF3645="신계약비",$P3645,0),$P3645*(1-AG3645)*IFERROR(INDEX(계정대체기준!$C$20:$C$49,MATCH($N3645,계정대체기준!$A$20:$A$49,0)),0)))</f>
        <v/>
      </c>
      <c r="AA3645" s="94">
        <f>IF($A3645="",0,IF(AE3645="직접",IF(OR(AF3645="유지비",AF3645="손해조사비"),$P3645,0),$P3645*(1-AG3645)*IFERROR(INDEX(계정대체기준!$D$20:$D$49,MATCH($N3645,계정대체기준!$A$20:$A$49,0)),0)))</f>
        <v/>
      </c>
      <c r="AB3645" s="94">
        <f>IF($A3645="",0,IF(AE3645="직접",IF(AF3645="수금비",$P3645,0),$P3645*(1-AG3645)*IFERROR(INDEX(계정대체기준!$E$20:$E$49,MATCH($N3645,계정대체기준!$A$20:$A$49,0)),0)))</f>
        <v/>
      </c>
      <c r="AC3645" s="9">
        <f>IF(AND($A3645&lt;&gt;"",M3645=설정!$C$20,Z3645&gt;0),Z3645+ROW()/1000000000,"")</f>
        <v/>
      </c>
      <c r="AD3645" s="94">
        <f>IF($A3645="",0,$P3645*AG3645)</f>
        <v/>
      </c>
      <c r="AE3645" s="64">
        <f>IF($A3645="","",IFERROR(INDEX(계정매핑!$E$5:$E$504,MATCH($F3645&amp;"",계정매핑!$A$5:$A$504,0))&amp;"","공통비"))</f>
        <v/>
      </c>
      <c r="AF3645" s="64">
        <f>IF($A3645="","",IF(AE3645="직접",IFERROR(INDEX(계정매핑!$F$5:$F$504,MATCH($F3645&amp;"",계정매핑!$A$5:$A$504,0))&amp;"","비귀속"),""))</f>
        <v/>
      </c>
      <c r="AG3645" s="96">
        <f>IF($A3645="",0,IF(AND(AE3645&lt;&gt;"직접",IFERROR(INDEX(계정매핑!$G$5:$G$504,MATCH($F3645&amp;"",계정매핑!$A$5:$A$504,0))&amp;"","")="유지비",COUNTIF(계정대체기준!$A$6:$A$15,$N3645)&gt;0),IFERROR(INDEX(계정대체기준!$E$6:$E$15,MATCH(VALUE($A3645&amp;""),계정대체기준!$D$6:$D$15,0)),0),0))</f>
        <v/>
      </c>
      <c r="AH3645" s="64">
        <f>IF($A3645="","",IF(AD3645=0,"",IF(OR(COUNTIF(계정대체기준!$A$77:$A$86,$N3645)&gt;0,ISNUMBER(MATCH($X3645,계정대체기준!$D$77:$D$86,0)),ISNUMBER(MATCH($F3645,계정대체기준!$D$77:$D$86,0))),"Y","N")))</f>
        <v/>
      </c>
    </row>
    <row r="3646">
      <c r="A3646" s="92" t="n">
        <v>2026</v>
      </c>
      <c r="B3646" s="92" t="n">
        <v>5</v>
      </c>
      <c r="C3646" s="92" t="inlineStr">
        <is>
          <t>5100000924</t>
        </is>
      </c>
      <c r="D3646" s="95" t="n">
        <v>46145</v>
      </c>
      <c r="E3646" s="92" t="inlineStr">
        <is>
          <t>KR</t>
        </is>
      </c>
      <c r="F3646" s="92" t="n">
        <v>62102000</v>
      </c>
      <c r="G3646" s="92" t="n">
        <v>1502</v>
      </c>
      <c r="H3646" s="93" t="n">
        <v>163000</v>
      </c>
      <c r="I3646" s="92" t="inlineStr">
        <is>
          <t>5월 해외출장 - N호텔</t>
        </is>
      </c>
      <c r="J3646" s="92" t="inlineStr">
        <is>
          <t>V10009</t>
        </is>
      </c>
      <c r="K3646" s="92" t="inlineStr">
        <is>
          <t>N호텔</t>
        </is>
      </c>
      <c r="M3646" s="9">
        <f>IF($A3646="","",VALUE($A3646&amp;"")*12+VALUE($B3646&amp;""))</f>
        <v/>
      </c>
      <c r="N3646" s="64">
        <f>IF($A3646="","",IFERROR(INDEX(부서매핑!$C$5:$C$504,MATCH($G3646&amp;"",부서매핑!$A$5:$A$504,0)),"미매핑"))</f>
        <v/>
      </c>
      <c r="O3646" s="9">
        <f>IF($A3646="","",N3646&amp;"|"&amp;$F3646)</f>
        <v/>
      </c>
      <c r="P3646" s="94">
        <f>IF($A3646="",0,$H3646*설정!$C$23)</f>
        <v/>
      </c>
      <c r="Q3646" s="64">
        <f>IF($A3646="","",IF(O3646&lt;&gt;원인분석!$C$9,"",IF(AND(M3646&gt;=원인분석!$C$10,M3646&lt;=원인분석!$C$11),"당기",IF(AND(M3646&gt;=원인분석!$C$12,M3646&lt;=원인분석!$C$13),"비교",""))))</f>
        <v/>
      </c>
      <c r="R3646" s="9">
        <f>IF(Q3646="","",$K3646&amp;"")</f>
        <v/>
      </c>
      <c r="S3646" s="9">
        <f>IF(Q3646="","",IF(MATCH(R3646,$R$5:$R$100000,0)=ROW()-4,ROW(),""))</f>
        <v/>
      </c>
      <c r="T3646" s="9">
        <f>IF(Q3646="당기",ABS(P3646)+ROW()/1000000000,"")</f>
        <v/>
      </c>
      <c r="U3646" s="9">
        <f>IF(Q3646="비교",ABS(P3646)+ROW()/1000000000,"")</f>
        <v/>
      </c>
      <c r="V3646" s="64">
        <f>IF($A3646="","",IF(COUNTIF(변동분석!$E$7:$E$506,O3646)&gt;0,"Y","N"))</f>
        <v/>
      </c>
      <c r="W3646" s="64">
        <f>IF($A3646="","",IFERROR(INDEX(계정매핑!$D$5:$D$504,MATCH($F3646&amp;"",계정매핑!$A$5:$A$504,0)),"미매핑"))</f>
        <v/>
      </c>
      <c r="X3646" s="9">
        <f>IF($A3646="","",$F3646&amp;"")</f>
        <v/>
      </c>
      <c r="Y3646" s="94">
        <f>IF($A3646="",0,IF(AE3646="직접",IF(AF3646="비귀속",$P3646,0),$P3646*(1-AG3646)*IFERROR(INDEX(계정대체기준!$F$20:$F$49,MATCH($N3646,계정대체기준!$A$20:$A$49,0)),1)))</f>
        <v/>
      </c>
      <c r="Z3646" s="94">
        <f>IF($A3646="",0,IF(AE3646="직접",IF(AF3646="신계약비",$P3646,0),$P3646*(1-AG3646)*IFERROR(INDEX(계정대체기준!$C$20:$C$49,MATCH($N3646,계정대체기준!$A$20:$A$49,0)),0)))</f>
        <v/>
      </c>
      <c r="AA3646" s="94">
        <f>IF($A3646="",0,IF(AE3646="직접",IF(OR(AF3646="유지비",AF3646="손해조사비"),$P3646,0),$P3646*(1-AG3646)*IFERROR(INDEX(계정대체기준!$D$20:$D$49,MATCH($N3646,계정대체기준!$A$20:$A$49,0)),0)))</f>
        <v/>
      </c>
      <c r="AB3646" s="94">
        <f>IF($A3646="",0,IF(AE3646="직접",IF(AF3646="수금비",$P3646,0),$P3646*(1-AG3646)*IFERROR(INDEX(계정대체기준!$E$20:$E$49,MATCH($N3646,계정대체기준!$A$20:$A$49,0)),0)))</f>
        <v/>
      </c>
      <c r="AC3646" s="9">
        <f>IF(AND($A3646&lt;&gt;"",M3646=설정!$C$20,Z3646&gt;0),Z3646+ROW()/1000000000,"")</f>
        <v/>
      </c>
      <c r="AD3646" s="94">
        <f>IF($A3646="",0,$P3646*AG3646)</f>
        <v/>
      </c>
      <c r="AE3646" s="64">
        <f>IF($A3646="","",IFERROR(INDEX(계정매핑!$E$5:$E$504,MATCH($F3646&amp;"",계정매핑!$A$5:$A$504,0))&amp;"","공통비"))</f>
        <v/>
      </c>
      <c r="AF3646" s="64">
        <f>IF($A3646="","",IF(AE3646="직접",IFERROR(INDEX(계정매핑!$F$5:$F$504,MATCH($F3646&amp;"",계정매핑!$A$5:$A$504,0))&amp;"","비귀속"),""))</f>
        <v/>
      </c>
      <c r="AG3646" s="96">
        <f>IF($A3646="",0,IF(AND(AE3646&lt;&gt;"직접",IFERROR(INDEX(계정매핑!$G$5:$G$504,MATCH($F3646&amp;"",계정매핑!$A$5:$A$504,0))&amp;"","")="유지비",COUNTIF(계정대체기준!$A$6:$A$15,$N3646)&gt;0),IFERROR(INDEX(계정대체기준!$E$6:$E$15,MATCH(VALUE($A3646&amp;""),계정대체기준!$D$6:$D$15,0)),0),0))</f>
        <v/>
      </c>
      <c r="AH3646" s="64">
        <f>IF($A3646="","",IF(AD3646=0,"",IF(OR(COUNTIF(계정대체기준!$A$77:$A$86,$N3646)&gt;0,ISNUMBER(MATCH($X3646,계정대체기준!$D$77:$D$86,0)),ISNUMBER(MATCH($F3646,계정대체기준!$D$77:$D$86,0))),"Y","N")))</f>
        <v/>
      </c>
    </row>
    <row r="3647">
      <c r="A3647" s="92" t="n">
        <v>2026</v>
      </c>
      <c r="B3647" s="92" t="n">
        <v>5</v>
      </c>
      <c r="C3647" s="92" t="inlineStr">
        <is>
          <t>5100000925</t>
        </is>
      </c>
      <c r="D3647" s="95" t="n">
        <v>46145</v>
      </c>
      <c r="E3647" s="92" t="inlineStr">
        <is>
          <t>KR</t>
        </is>
      </c>
      <c r="F3647" s="92" t="n">
        <v>62201000</v>
      </c>
      <c r="G3647" s="92" t="n">
        <v>1401</v>
      </c>
      <c r="H3647" s="93" t="n">
        <v>109000</v>
      </c>
      <c r="I3647" s="92" t="inlineStr">
        <is>
          <t>5월 통신요금 - P통신</t>
        </is>
      </c>
      <c r="J3647" s="92" t="inlineStr">
        <is>
          <t>V10014</t>
        </is>
      </c>
      <c r="K3647" s="92" t="inlineStr">
        <is>
          <t>P통신</t>
        </is>
      </c>
      <c r="M3647" s="9">
        <f>IF($A3647="","",VALUE($A3647&amp;"")*12+VALUE($B3647&amp;""))</f>
        <v/>
      </c>
      <c r="N3647" s="64">
        <f>IF($A3647="","",IFERROR(INDEX(부서매핑!$C$5:$C$504,MATCH($G3647&amp;"",부서매핑!$A$5:$A$504,0)),"미매핑"))</f>
        <v/>
      </c>
      <c r="O3647" s="9">
        <f>IF($A3647="","",N3647&amp;"|"&amp;$F3647)</f>
        <v/>
      </c>
      <c r="P3647" s="94">
        <f>IF($A3647="",0,$H3647*설정!$C$23)</f>
        <v/>
      </c>
      <c r="Q3647" s="64">
        <f>IF($A3647="","",IF(O3647&lt;&gt;원인분석!$C$9,"",IF(AND(M3647&gt;=원인분석!$C$10,M3647&lt;=원인분석!$C$11),"당기",IF(AND(M3647&gt;=원인분석!$C$12,M3647&lt;=원인분석!$C$13),"비교",""))))</f>
        <v/>
      </c>
      <c r="R3647" s="9">
        <f>IF(Q3647="","",$K3647&amp;"")</f>
        <v/>
      </c>
      <c r="S3647" s="9">
        <f>IF(Q3647="","",IF(MATCH(R3647,$R$5:$R$100000,0)=ROW()-4,ROW(),""))</f>
        <v/>
      </c>
      <c r="T3647" s="9">
        <f>IF(Q3647="당기",ABS(P3647)+ROW()/1000000000,"")</f>
        <v/>
      </c>
      <c r="U3647" s="9">
        <f>IF(Q3647="비교",ABS(P3647)+ROW()/1000000000,"")</f>
        <v/>
      </c>
      <c r="V3647" s="64">
        <f>IF($A3647="","",IF(COUNTIF(변동분석!$E$7:$E$506,O3647)&gt;0,"Y","N"))</f>
        <v/>
      </c>
      <c r="W3647" s="64">
        <f>IF($A3647="","",IFERROR(INDEX(계정매핑!$D$5:$D$504,MATCH($F3647&amp;"",계정매핑!$A$5:$A$504,0)),"미매핑"))</f>
        <v/>
      </c>
      <c r="X3647" s="9">
        <f>IF($A3647="","",$F3647&amp;"")</f>
        <v/>
      </c>
      <c r="Y3647" s="94">
        <f>IF($A3647="",0,IF(AE3647="직접",IF(AF3647="비귀속",$P3647,0),$P3647*(1-AG3647)*IFERROR(INDEX(계정대체기준!$F$20:$F$49,MATCH($N3647,계정대체기준!$A$20:$A$49,0)),1)))</f>
        <v/>
      </c>
      <c r="Z3647" s="94">
        <f>IF($A3647="",0,IF(AE3647="직접",IF(AF3647="신계약비",$P3647,0),$P3647*(1-AG3647)*IFERROR(INDEX(계정대체기준!$C$20:$C$49,MATCH($N3647,계정대체기준!$A$20:$A$49,0)),0)))</f>
        <v/>
      </c>
      <c r="AA3647" s="94">
        <f>IF($A3647="",0,IF(AE3647="직접",IF(OR(AF3647="유지비",AF3647="손해조사비"),$P3647,0),$P3647*(1-AG3647)*IFERROR(INDEX(계정대체기준!$D$20:$D$49,MATCH($N3647,계정대체기준!$A$20:$A$49,0)),0)))</f>
        <v/>
      </c>
      <c r="AB3647" s="94">
        <f>IF($A3647="",0,IF(AE3647="직접",IF(AF3647="수금비",$P3647,0),$P3647*(1-AG3647)*IFERROR(INDEX(계정대체기준!$E$20:$E$49,MATCH($N3647,계정대체기준!$A$20:$A$49,0)),0)))</f>
        <v/>
      </c>
      <c r="AC3647" s="9">
        <f>IF(AND($A3647&lt;&gt;"",M3647=설정!$C$20,Z3647&gt;0),Z3647+ROW()/1000000000,"")</f>
        <v/>
      </c>
      <c r="AD3647" s="94">
        <f>IF($A3647="",0,$P3647*AG3647)</f>
        <v/>
      </c>
      <c r="AE3647" s="64">
        <f>IF($A3647="","",IFERROR(INDEX(계정매핑!$E$5:$E$504,MATCH($F3647&amp;"",계정매핑!$A$5:$A$504,0))&amp;"","공통비"))</f>
        <v/>
      </c>
      <c r="AF3647" s="64">
        <f>IF($A3647="","",IF(AE3647="직접",IFERROR(INDEX(계정매핑!$F$5:$F$504,MATCH($F3647&amp;"",계정매핑!$A$5:$A$504,0))&amp;"","비귀속"),""))</f>
        <v/>
      </c>
      <c r="AG3647" s="96">
        <f>IF($A3647="",0,IF(AND(AE3647&lt;&gt;"직접",IFERROR(INDEX(계정매핑!$G$5:$G$504,MATCH($F3647&amp;"",계정매핑!$A$5:$A$504,0))&amp;"","")="유지비",COUNTIF(계정대체기준!$A$6:$A$15,$N3647)&gt;0),IFERROR(INDEX(계정대체기준!$E$6:$E$15,MATCH(VALUE($A3647&amp;""),계정대체기준!$D$6:$D$15,0)),0),0))</f>
        <v/>
      </c>
      <c r="AH3647" s="64">
        <f>IF($A3647="","",IF(AD3647=0,"",IF(OR(COUNTIF(계정대체기준!$A$77:$A$86,$N3647)&gt;0,ISNUMBER(MATCH($X3647,계정대체기준!$D$77:$D$86,0)),ISNUMBER(MATCH($F3647,계정대체기준!$D$77:$D$86,0))),"Y","N")))</f>
        <v/>
      </c>
    </row>
    <row r="3648">
      <c r="A3648" s="92" t="n">
        <v>2026</v>
      </c>
      <c r="B3648" s="92" t="n">
        <v>5</v>
      </c>
      <c r="C3648" s="92" t="inlineStr">
        <is>
          <t>5100000926</t>
        </is>
      </c>
      <c r="D3648" s="95" t="n">
        <v>46145</v>
      </c>
      <c r="E3648" s="92" t="inlineStr">
        <is>
          <t>KR</t>
        </is>
      </c>
      <c r="F3648" s="92" t="n">
        <v>62201000</v>
      </c>
      <c r="G3648" s="92" t="n">
        <v>1701</v>
      </c>
      <c r="H3648" s="93" t="n">
        <v>6522000</v>
      </c>
      <c r="I3648" s="92" t="inlineStr">
        <is>
          <t>5월 통신요금 - O텔레콤</t>
        </is>
      </c>
      <c r="J3648" s="92" t="inlineStr">
        <is>
          <t>V10002</t>
        </is>
      </c>
      <c r="K3648" s="92" t="inlineStr">
        <is>
          <t>O텔레콤</t>
        </is>
      </c>
      <c r="M3648" s="9">
        <f>IF($A3648="","",VALUE($A3648&amp;"")*12+VALUE($B3648&amp;""))</f>
        <v/>
      </c>
      <c r="N3648" s="64">
        <f>IF($A3648="","",IFERROR(INDEX(부서매핑!$C$5:$C$504,MATCH($G3648&amp;"",부서매핑!$A$5:$A$504,0)),"미매핑"))</f>
        <v/>
      </c>
      <c r="O3648" s="9">
        <f>IF($A3648="","",N3648&amp;"|"&amp;$F3648)</f>
        <v/>
      </c>
      <c r="P3648" s="94">
        <f>IF($A3648="",0,$H3648*설정!$C$23)</f>
        <v/>
      </c>
      <c r="Q3648" s="64">
        <f>IF($A3648="","",IF(O3648&lt;&gt;원인분석!$C$9,"",IF(AND(M3648&gt;=원인분석!$C$10,M3648&lt;=원인분석!$C$11),"당기",IF(AND(M3648&gt;=원인분석!$C$12,M3648&lt;=원인분석!$C$13),"비교",""))))</f>
        <v/>
      </c>
      <c r="R3648" s="9">
        <f>IF(Q3648="","",$K3648&amp;"")</f>
        <v/>
      </c>
      <c r="S3648" s="9">
        <f>IF(Q3648="","",IF(MATCH(R3648,$R$5:$R$100000,0)=ROW()-4,ROW(),""))</f>
        <v/>
      </c>
      <c r="T3648" s="9">
        <f>IF(Q3648="당기",ABS(P3648)+ROW()/1000000000,"")</f>
        <v/>
      </c>
      <c r="U3648" s="9">
        <f>IF(Q3648="비교",ABS(P3648)+ROW()/1000000000,"")</f>
        <v/>
      </c>
      <c r="V3648" s="64">
        <f>IF($A3648="","",IF(COUNTIF(변동분석!$E$7:$E$506,O3648)&gt;0,"Y","N"))</f>
        <v/>
      </c>
      <c r="W3648" s="64">
        <f>IF($A3648="","",IFERROR(INDEX(계정매핑!$D$5:$D$504,MATCH($F3648&amp;"",계정매핑!$A$5:$A$504,0)),"미매핑"))</f>
        <v/>
      </c>
      <c r="X3648" s="9">
        <f>IF($A3648="","",$F3648&amp;"")</f>
        <v/>
      </c>
      <c r="Y3648" s="94">
        <f>IF($A3648="",0,IF(AE3648="직접",IF(AF3648="비귀속",$P3648,0),$P3648*(1-AG3648)*IFERROR(INDEX(계정대체기준!$F$20:$F$49,MATCH($N3648,계정대체기준!$A$20:$A$49,0)),1)))</f>
        <v/>
      </c>
      <c r="Z3648" s="94">
        <f>IF($A3648="",0,IF(AE3648="직접",IF(AF3648="신계약비",$P3648,0),$P3648*(1-AG3648)*IFERROR(INDEX(계정대체기준!$C$20:$C$49,MATCH($N3648,계정대체기준!$A$20:$A$49,0)),0)))</f>
        <v/>
      </c>
      <c r="AA3648" s="94">
        <f>IF($A3648="",0,IF(AE3648="직접",IF(OR(AF3648="유지비",AF3648="손해조사비"),$P3648,0),$P3648*(1-AG3648)*IFERROR(INDEX(계정대체기준!$D$20:$D$49,MATCH($N3648,계정대체기준!$A$20:$A$49,0)),0)))</f>
        <v/>
      </c>
      <c r="AB3648" s="94">
        <f>IF($A3648="",0,IF(AE3648="직접",IF(AF3648="수금비",$P3648,0),$P3648*(1-AG3648)*IFERROR(INDEX(계정대체기준!$E$20:$E$49,MATCH($N3648,계정대체기준!$A$20:$A$49,0)),0)))</f>
        <v/>
      </c>
      <c r="AC3648" s="9">
        <f>IF(AND($A3648&lt;&gt;"",M3648=설정!$C$20,Z3648&gt;0),Z3648+ROW()/1000000000,"")</f>
        <v/>
      </c>
      <c r="AD3648" s="94">
        <f>IF($A3648="",0,$P3648*AG3648)</f>
        <v/>
      </c>
      <c r="AE3648" s="64">
        <f>IF($A3648="","",IFERROR(INDEX(계정매핑!$E$5:$E$504,MATCH($F3648&amp;"",계정매핑!$A$5:$A$504,0))&amp;"","공통비"))</f>
        <v/>
      </c>
      <c r="AF3648" s="64">
        <f>IF($A3648="","",IF(AE3648="직접",IFERROR(INDEX(계정매핑!$F$5:$F$504,MATCH($F3648&amp;"",계정매핑!$A$5:$A$504,0))&amp;"","비귀속"),""))</f>
        <v/>
      </c>
      <c r="AG3648" s="96">
        <f>IF($A3648="",0,IF(AND(AE3648&lt;&gt;"직접",IFERROR(INDEX(계정매핑!$G$5:$G$504,MATCH($F3648&amp;"",계정매핑!$A$5:$A$504,0))&amp;"","")="유지비",COUNTIF(계정대체기준!$A$6:$A$15,$N3648)&gt;0),IFERROR(INDEX(계정대체기준!$E$6:$E$15,MATCH(VALUE($A3648&amp;""),계정대체기준!$D$6:$D$15,0)),0),0))</f>
        <v/>
      </c>
      <c r="AH3648" s="64">
        <f>IF($A3648="","",IF(AD3648=0,"",IF(OR(COUNTIF(계정대체기준!$A$77:$A$86,$N3648)&gt;0,ISNUMBER(MATCH($X3648,계정대체기준!$D$77:$D$86,0)),ISNUMBER(MATCH($F3648,계정대체기준!$D$77:$D$86,0))),"Y","N")))</f>
        <v/>
      </c>
    </row>
    <row r="3649">
      <c r="A3649" s="92" t="n">
        <v>2026</v>
      </c>
      <c r="B3649" s="92" t="n">
        <v>5</v>
      </c>
      <c r="C3649" s="92" t="inlineStr">
        <is>
          <t>5100000927</t>
        </is>
      </c>
      <c r="D3649" s="95" t="n">
        <v>46145</v>
      </c>
      <c r="E3649" s="92" t="inlineStr">
        <is>
          <t>KR</t>
        </is>
      </c>
      <c r="F3649" s="92" t="n">
        <v>62501000</v>
      </c>
      <c r="G3649" s="92" t="n">
        <v>1701</v>
      </c>
      <c r="H3649" s="93" t="n">
        <v>145000</v>
      </c>
      <c r="I3649" s="92" t="inlineStr">
        <is>
          <t>5월 회의 다과 - T케이터링</t>
        </is>
      </c>
      <c r="J3649" s="92" t="inlineStr">
        <is>
          <t>V10005</t>
        </is>
      </c>
      <c r="K3649" s="92" t="inlineStr">
        <is>
          <t>T케이터링</t>
        </is>
      </c>
      <c r="M3649" s="9">
        <f>IF($A3649="","",VALUE($A3649&amp;"")*12+VALUE($B3649&amp;""))</f>
        <v/>
      </c>
      <c r="N3649" s="64">
        <f>IF($A3649="","",IFERROR(INDEX(부서매핑!$C$5:$C$504,MATCH($G3649&amp;"",부서매핑!$A$5:$A$504,0)),"미매핑"))</f>
        <v/>
      </c>
      <c r="O3649" s="9">
        <f>IF($A3649="","",N3649&amp;"|"&amp;$F3649)</f>
        <v/>
      </c>
      <c r="P3649" s="94">
        <f>IF($A3649="",0,$H3649*설정!$C$23)</f>
        <v/>
      </c>
      <c r="Q3649" s="64">
        <f>IF($A3649="","",IF(O3649&lt;&gt;원인분석!$C$9,"",IF(AND(M3649&gt;=원인분석!$C$10,M3649&lt;=원인분석!$C$11),"당기",IF(AND(M3649&gt;=원인분석!$C$12,M3649&lt;=원인분석!$C$13),"비교",""))))</f>
        <v/>
      </c>
      <c r="R3649" s="9">
        <f>IF(Q3649="","",$K3649&amp;"")</f>
        <v/>
      </c>
      <c r="S3649" s="9">
        <f>IF(Q3649="","",IF(MATCH(R3649,$R$5:$R$100000,0)=ROW()-4,ROW(),""))</f>
        <v/>
      </c>
      <c r="T3649" s="9">
        <f>IF(Q3649="당기",ABS(P3649)+ROW()/1000000000,"")</f>
        <v/>
      </c>
      <c r="U3649" s="9">
        <f>IF(Q3649="비교",ABS(P3649)+ROW()/1000000000,"")</f>
        <v/>
      </c>
      <c r="V3649" s="64">
        <f>IF($A3649="","",IF(COUNTIF(변동분석!$E$7:$E$506,O3649)&gt;0,"Y","N"))</f>
        <v/>
      </c>
      <c r="W3649" s="64">
        <f>IF($A3649="","",IFERROR(INDEX(계정매핑!$D$5:$D$504,MATCH($F3649&amp;"",계정매핑!$A$5:$A$504,0)),"미매핑"))</f>
        <v/>
      </c>
      <c r="X3649" s="9">
        <f>IF($A3649="","",$F3649&amp;"")</f>
        <v/>
      </c>
      <c r="Y3649" s="94">
        <f>IF($A3649="",0,IF(AE3649="직접",IF(AF3649="비귀속",$P3649,0),$P3649*(1-AG3649)*IFERROR(INDEX(계정대체기준!$F$20:$F$49,MATCH($N3649,계정대체기준!$A$20:$A$49,0)),1)))</f>
        <v/>
      </c>
      <c r="Z3649" s="94">
        <f>IF($A3649="",0,IF(AE3649="직접",IF(AF3649="신계약비",$P3649,0),$P3649*(1-AG3649)*IFERROR(INDEX(계정대체기준!$C$20:$C$49,MATCH($N3649,계정대체기준!$A$20:$A$49,0)),0)))</f>
        <v/>
      </c>
      <c r="AA3649" s="94">
        <f>IF($A3649="",0,IF(AE3649="직접",IF(OR(AF3649="유지비",AF3649="손해조사비"),$P3649,0),$P3649*(1-AG3649)*IFERROR(INDEX(계정대체기준!$D$20:$D$49,MATCH($N3649,계정대체기준!$A$20:$A$49,0)),0)))</f>
        <v/>
      </c>
      <c r="AB3649" s="94">
        <f>IF($A3649="",0,IF(AE3649="직접",IF(AF3649="수금비",$P3649,0),$P3649*(1-AG3649)*IFERROR(INDEX(계정대체기준!$E$20:$E$49,MATCH($N3649,계정대체기준!$A$20:$A$49,0)),0)))</f>
        <v/>
      </c>
      <c r="AC3649" s="9">
        <f>IF(AND($A3649&lt;&gt;"",M3649=설정!$C$20,Z3649&gt;0),Z3649+ROW()/1000000000,"")</f>
        <v/>
      </c>
      <c r="AD3649" s="94">
        <f>IF($A3649="",0,$P3649*AG3649)</f>
        <v/>
      </c>
      <c r="AE3649" s="64">
        <f>IF($A3649="","",IFERROR(INDEX(계정매핑!$E$5:$E$504,MATCH($F3649&amp;"",계정매핑!$A$5:$A$504,0))&amp;"","공통비"))</f>
        <v/>
      </c>
      <c r="AF3649" s="64">
        <f>IF($A3649="","",IF(AE3649="직접",IFERROR(INDEX(계정매핑!$F$5:$F$504,MATCH($F3649&amp;"",계정매핑!$A$5:$A$504,0))&amp;"","비귀속"),""))</f>
        <v/>
      </c>
      <c r="AG3649" s="96">
        <f>IF($A3649="",0,IF(AND(AE3649&lt;&gt;"직접",IFERROR(INDEX(계정매핑!$G$5:$G$504,MATCH($F3649&amp;"",계정매핑!$A$5:$A$504,0))&amp;"","")="유지비",COUNTIF(계정대체기준!$A$6:$A$15,$N3649)&gt;0),IFERROR(INDEX(계정대체기준!$E$6:$E$15,MATCH(VALUE($A3649&amp;""),계정대체기준!$D$6:$D$15,0)),0),0))</f>
        <v/>
      </c>
      <c r="AH3649" s="64">
        <f>IF($A3649="","",IF(AD3649=0,"",IF(OR(COUNTIF(계정대체기준!$A$77:$A$86,$N3649)&gt;0,ISNUMBER(MATCH($X3649,계정대체기준!$D$77:$D$86,0)),ISNUMBER(MATCH($F3649,계정대체기준!$D$77:$D$86,0))),"Y","N")))</f>
        <v/>
      </c>
    </row>
    <row r="3650">
      <c r="A3650" s="92" t="n">
        <v>2026</v>
      </c>
      <c r="B3650" s="92" t="n">
        <v>5</v>
      </c>
      <c r="C3650" s="92" t="inlineStr">
        <is>
          <t>5100000928</t>
        </is>
      </c>
      <c r="D3650" s="95" t="n">
        <v>46145</v>
      </c>
      <c r="E3650" s="92" t="inlineStr">
        <is>
          <t>KR</t>
        </is>
      </c>
      <c r="F3650" s="92" t="n">
        <v>62901000</v>
      </c>
      <c r="G3650" s="92" t="n">
        <v>1801</v>
      </c>
      <c r="H3650" s="93" t="n">
        <v>8946000</v>
      </c>
      <c r="I3650" s="92" t="inlineStr">
        <is>
          <t>5월 자문 수수료 - K회계법인</t>
        </is>
      </c>
      <c r="J3650" s="92" t="inlineStr">
        <is>
          <t>V10011</t>
        </is>
      </c>
      <c r="K3650" s="92" t="inlineStr">
        <is>
          <t>K회계법인</t>
        </is>
      </c>
      <c r="M3650" s="9">
        <f>IF($A3650="","",VALUE($A3650&amp;"")*12+VALUE($B3650&amp;""))</f>
        <v/>
      </c>
      <c r="N3650" s="64">
        <f>IF($A3650="","",IFERROR(INDEX(부서매핑!$C$5:$C$504,MATCH($G3650&amp;"",부서매핑!$A$5:$A$504,0)),"미매핑"))</f>
        <v/>
      </c>
      <c r="O3650" s="9">
        <f>IF($A3650="","",N3650&amp;"|"&amp;$F3650)</f>
        <v/>
      </c>
      <c r="P3650" s="94">
        <f>IF($A3650="",0,$H3650*설정!$C$23)</f>
        <v/>
      </c>
      <c r="Q3650" s="64">
        <f>IF($A3650="","",IF(O3650&lt;&gt;원인분석!$C$9,"",IF(AND(M3650&gt;=원인분석!$C$10,M3650&lt;=원인분석!$C$11),"당기",IF(AND(M3650&gt;=원인분석!$C$12,M3650&lt;=원인분석!$C$13),"비교",""))))</f>
        <v/>
      </c>
      <c r="R3650" s="9">
        <f>IF(Q3650="","",$K3650&amp;"")</f>
        <v/>
      </c>
      <c r="S3650" s="9">
        <f>IF(Q3650="","",IF(MATCH(R3650,$R$5:$R$100000,0)=ROW()-4,ROW(),""))</f>
        <v/>
      </c>
      <c r="T3650" s="9">
        <f>IF(Q3650="당기",ABS(P3650)+ROW()/1000000000,"")</f>
        <v/>
      </c>
      <c r="U3650" s="9">
        <f>IF(Q3650="비교",ABS(P3650)+ROW()/1000000000,"")</f>
        <v/>
      </c>
      <c r="V3650" s="64">
        <f>IF($A3650="","",IF(COUNTIF(변동분석!$E$7:$E$506,O3650)&gt;0,"Y","N"))</f>
        <v/>
      </c>
      <c r="W3650" s="64">
        <f>IF($A3650="","",IFERROR(INDEX(계정매핑!$D$5:$D$504,MATCH($F3650&amp;"",계정매핑!$A$5:$A$504,0)),"미매핑"))</f>
        <v/>
      </c>
      <c r="X3650" s="9">
        <f>IF($A3650="","",$F3650&amp;"")</f>
        <v/>
      </c>
      <c r="Y3650" s="94">
        <f>IF($A3650="",0,IF(AE3650="직접",IF(AF3650="비귀속",$P3650,0),$P3650*(1-AG3650)*IFERROR(INDEX(계정대체기준!$F$20:$F$49,MATCH($N3650,계정대체기준!$A$20:$A$49,0)),1)))</f>
        <v/>
      </c>
      <c r="Z3650" s="94">
        <f>IF($A3650="",0,IF(AE3650="직접",IF(AF3650="신계약비",$P3650,0),$P3650*(1-AG3650)*IFERROR(INDEX(계정대체기준!$C$20:$C$49,MATCH($N3650,계정대체기준!$A$20:$A$49,0)),0)))</f>
        <v/>
      </c>
      <c r="AA3650" s="94">
        <f>IF($A3650="",0,IF(AE3650="직접",IF(OR(AF3650="유지비",AF3650="손해조사비"),$P3650,0),$P3650*(1-AG3650)*IFERROR(INDEX(계정대체기준!$D$20:$D$49,MATCH($N3650,계정대체기준!$A$20:$A$49,0)),0)))</f>
        <v/>
      </c>
      <c r="AB3650" s="94">
        <f>IF($A3650="",0,IF(AE3650="직접",IF(AF3650="수금비",$P3650,0),$P3650*(1-AG3650)*IFERROR(INDEX(계정대체기준!$E$20:$E$49,MATCH($N3650,계정대체기준!$A$20:$A$49,0)),0)))</f>
        <v/>
      </c>
      <c r="AC3650" s="9">
        <f>IF(AND($A3650&lt;&gt;"",M3650=설정!$C$20,Z3650&gt;0),Z3650+ROW()/1000000000,"")</f>
        <v/>
      </c>
      <c r="AD3650" s="94">
        <f>IF($A3650="",0,$P3650*AG3650)</f>
        <v/>
      </c>
      <c r="AE3650" s="64">
        <f>IF($A3650="","",IFERROR(INDEX(계정매핑!$E$5:$E$504,MATCH($F3650&amp;"",계정매핑!$A$5:$A$504,0))&amp;"","공통비"))</f>
        <v/>
      </c>
      <c r="AF3650" s="64">
        <f>IF($A3650="","",IF(AE3650="직접",IFERROR(INDEX(계정매핑!$F$5:$F$504,MATCH($F3650&amp;"",계정매핑!$A$5:$A$504,0))&amp;"","비귀속"),""))</f>
        <v/>
      </c>
      <c r="AG3650" s="96">
        <f>IF($A3650="",0,IF(AND(AE3650&lt;&gt;"직접",IFERROR(INDEX(계정매핑!$G$5:$G$504,MATCH($F3650&amp;"",계정매핑!$A$5:$A$504,0))&amp;"","")="유지비",COUNTIF(계정대체기준!$A$6:$A$15,$N3650)&gt;0),IFERROR(INDEX(계정대체기준!$E$6:$E$15,MATCH(VALUE($A3650&amp;""),계정대체기준!$D$6:$D$15,0)),0),0))</f>
        <v/>
      </c>
      <c r="AH3650" s="64">
        <f>IF($A3650="","",IF(AD3650=0,"",IF(OR(COUNTIF(계정대체기준!$A$77:$A$86,$N3650)&gt;0,ISNUMBER(MATCH($X3650,계정대체기준!$D$77:$D$86,0)),ISNUMBER(MATCH($F3650,계정대체기준!$D$77:$D$86,0))),"Y","N")))</f>
        <v/>
      </c>
    </row>
    <row r="3651">
      <c r="A3651" s="92" t="n">
        <v>2026</v>
      </c>
      <c r="B3651" s="92" t="n">
        <v>5</v>
      </c>
      <c r="C3651" s="92" t="inlineStr">
        <is>
          <t>5100000929</t>
        </is>
      </c>
      <c r="D3651" s="95" t="n">
        <v>46146</v>
      </c>
      <c r="E3651" s="92" t="inlineStr">
        <is>
          <t>KR</t>
        </is>
      </c>
      <c r="F3651" s="92" t="n">
        <v>62101000</v>
      </c>
      <c r="G3651" s="92" t="n">
        <v>1301</v>
      </c>
      <c r="H3651" s="93" t="n">
        <v>726000</v>
      </c>
      <c r="I3651" s="92" t="inlineStr">
        <is>
          <t>5월 국내출장 - L여행사</t>
        </is>
      </c>
      <c r="J3651" s="92" t="inlineStr">
        <is>
          <t>V10018</t>
        </is>
      </c>
      <c r="K3651" s="92" t="inlineStr">
        <is>
          <t>L여행사</t>
        </is>
      </c>
      <c r="M3651" s="9">
        <f>IF($A3651="","",VALUE($A3651&amp;"")*12+VALUE($B3651&amp;""))</f>
        <v/>
      </c>
      <c r="N3651" s="64">
        <f>IF($A3651="","",IFERROR(INDEX(부서매핑!$C$5:$C$504,MATCH($G3651&amp;"",부서매핑!$A$5:$A$504,0)),"미매핑"))</f>
        <v/>
      </c>
      <c r="O3651" s="9">
        <f>IF($A3651="","",N3651&amp;"|"&amp;$F3651)</f>
        <v/>
      </c>
      <c r="P3651" s="94">
        <f>IF($A3651="",0,$H3651*설정!$C$23)</f>
        <v/>
      </c>
      <c r="Q3651" s="64">
        <f>IF($A3651="","",IF(O3651&lt;&gt;원인분석!$C$9,"",IF(AND(M3651&gt;=원인분석!$C$10,M3651&lt;=원인분석!$C$11),"당기",IF(AND(M3651&gt;=원인분석!$C$12,M3651&lt;=원인분석!$C$13),"비교",""))))</f>
        <v/>
      </c>
      <c r="R3651" s="9">
        <f>IF(Q3651="","",$K3651&amp;"")</f>
        <v/>
      </c>
      <c r="S3651" s="9">
        <f>IF(Q3651="","",IF(MATCH(R3651,$R$5:$R$100000,0)=ROW()-4,ROW(),""))</f>
        <v/>
      </c>
      <c r="T3651" s="9">
        <f>IF(Q3651="당기",ABS(P3651)+ROW()/1000000000,"")</f>
        <v/>
      </c>
      <c r="U3651" s="9">
        <f>IF(Q3651="비교",ABS(P3651)+ROW()/1000000000,"")</f>
        <v/>
      </c>
      <c r="V3651" s="64">
        <f>IF($A3651="","",IF(COUNTIF(변동분석!$E$7:$E$506,O3651)&gt;0,"Y","N"))</f>
        <v/>
      </c>
      <c r="W3651" s="64">
        <f>IF($A3651="","",IFERROR(INDEX(계정매핑!$D$5:$D$504,MATCH($F3651&amp;"",계정매핑!$A$5:$A$504,0)),"미매핑"))</f>
        <v/>
      </c>
      <c r="X3651" s="9">
        <f>IF($A3651="","",$F3651&amp;"")</f>
        <v/>
      </c>
      <c r="Y3651" s="94">
        <f>IF($A3651="",0,IF(AE3651="직접",IF(AF3651="비귀속",$P3651,0),$P3651*(1-AG3651)*IFERROR(INDEX(계정대체기준!$F$20:$F$49,MATCH($N3651,계정대체기준!$A$20:$A$49,0)),1)))</f>
        <v/>
      </c>
      <c r="Z3651" s="94">
        <f>IF($A3651="",0,IF(AE3651="직접",IF(AF3651="신계약비",$P3651,0),$P3651*(1-AG3651)*IFERROR(INDEX(계정대체기준!$C$20:$C$49,MATCH($N3651,계정대체기준!$A$20:$A$49,0)),0)))</f>
        <v/>
      </c>
      <c r="AA3651" s="94">
        <f>IF($A3651="",0,IF(AE3651="직접",IF(OR(AF3651="유지비",AF3651="손해조사비"),$P3651,0),$P3651*(1-AG3651)*IFERROR(INDEX(계정대체기준!$D$20:$D$49,MATCH($N3651,계정대체기준!$A$20:$A$49,0)),0)))</f>
        <v/>
      </c>
      <c r="AB3651" s="94">
        <f>IF($A3651="",0,IF(AE3651="직접",IF(AF3651="수금비",$P3651,0),$P3651*(1-AG3651)*IFERROR(INDEX(계정대체기준!$E$20:$E$49,MATCH($N3651,계정대체기준!$A$20:$A$49,0)),0)))</f>
        <v/>
      </c>
      <c r="AC3651" s="9">
        <f>IF(AND($A3651&lt;&gt;"",M3651=설정!$C$20,Z3651&gt;0),Z3651+ROW()/1000000000,"")</f>
        <v/>
      </c>
      <c r="AD3651" s="94">
        <f>IF($A3651="",0,$P3651*AG3651)</f>
        <v/>
      </c>
      <c r="AE3651" s="64">
        <f>IF($A3651="","",IFERROR(INDEX(계정매핑!$E$5:$E$504,MATCH($F3651&amp;"",계정매핑!$A$5:$A$504,0))&amp;"","공통비"))</f>
        <v/>
      </c>
      <c r="AF3651" s="64">
        <f>IF($A3651="","",IF(AE3651="직접",IFERROR(INDEX(계정매핑!$F$5:$F$504,MATCH($F3651&amp;"",계정매핑!$A$5:$A$504,0))&amp;"","비귀속"),""))</f>
        <v/>
      </c>
      <c r="AG3651" s="96">
        <f>IF($A3651="",0,IF(AND(AE3651&lt;&gt;"직접",IFERROR(INDEX(계정매핑!$G$5:$G$504,MATCH($F3651&amp;"",계정매핑!$A$5:$A$504,0))&amp;"","")="유지비",COUNTIF(계정대체기준!$A$6:$A$15,$N3651)&gt;0),IFERROR(INDEX(계정대체기준!$E$6:$E$15,MATCH(VALUE($A3651&amp;""),계정대체기준!$D$6:$D$15,0)),0),0))</f>
        <v/>
      </c>
      <c r="AH3651" s="64">
        <f>IF($A3651="","",IF(AD3651=0,"",IF(OR(COUNTIF(계정대체기준!$A$77:$A$86,$N3651)&gt;0,ISNUMBER(MATCH($X3651,계정대체기준!$D$77:$D$86,0)),ISNUMBER(MATCH($F3651,계정대체기준!$D$77:$D$86,0))),"Y","N")))</f>
        <v/>
      </c>
    </row>
    <row r="3652">
      <c r="A3652" s="92" t="n">
        <v>2026</v>
      </c>
      <c r="B3652" s="92" t="n">
        <v>5</v>
      </c>
      <c r="C3652" s="92" t="inlineStr">
        <is>
          <t>5100000930</t>
        </is>
      </c>
      <c r="D3652" s="95" t="n">
        <v>46146</v>
      </c>
      <c r="E3652" s="92" t="inlineStr">
        <is>
          <t>KR</t>
        </is>
      </c>
      <c r="F3652" s="92" t="n">
        <v>62101000</v>
      </c>
      <c r="G3652" s="92" t="n">
        <v>1601</v>
      </c>
      <c r="H3652" s="93" t="n">
        <v>1136000</v>
      </c>
      <c r="I3652" s="92" t="inlineStr">
        <is>
          <t>5월 국내출장 - L여행사</t>
        </is>
      </c>
      <c r="J3652" s="92" t="inlineStr">
        <is>
          <t>V10018</t>
        </is>
      </c>
      <c r="K3652" s="92" t="inlineStr">
        <is>
          <t>L여행사</t>
        </is>
      </c>
      <c r="M3652" s="9">
        <f>IF($A3652="","",VALUE($A3652&amp;"")*12+VALUE($B3652&amp;""))</f>
        <v/>
      </c>
      <c r="N3652" s="64">
        <f>IF($A3652="","",IFERROR(INDEX(부서매핑!$C$5:$C$504,MATCH($G3652&amp;"",부서매핑!$A$5:$A$504,0)),"미매핑"))</f>
        <v/>
      </c>
      <c r="O3652" s="9">
        <f>IF($A3652="","",N3652&amp;"|"&amp;$F3652)</f>
        <v/>
      </c>
      <c r="P3652" s="94">
        <f>IF($A3652="",0,$H3652*설정!$C$23)</f>
        <v/>
      </c>
      <c r="Q3652" s="64">
        <f>IF($A3652="","",IF(O3652&lt;&gt;원인분석!$C$9,"",IF(AND(M3652&gt;=원인분석!$C$10,M3652&lt;=원인분석!$C$11),"당기",IF(AND(M3652&gt;=원인분석!$C$12,M3652&lt;=원인분석!$C$13),"비교",""))))</f>
        <v/>
      </c>
      <c r="R3652" s="9">
        <f>IF(Q3652="","",$K3652&amp;"")</f>
        <v/>
      </c>
      <c r="S3652" s="9">
        <f>IF(Q3652="","",IF(MATCH(R3652,$R$5:$R$100000,0)=ROW()-4,ROW(),""))</f>
        <v/>
      </c>
      <c r="T3652" s="9">
        <f>IF(Q3652="당기",ABS(P3652)+ROW()/1000000000,"")</f>
        <v/>
      </c>
      <c r="U3652" s="9">
        <f>IF(Q3652="비교",ABS(P3652)+ROW()/1000000000,"")</f>
        <v/>
      </c>
      <c r="V3652" s="64">
        <f>IF($A3652="","",IF(COUNTIF(변동분석!$E$7:$E$506,O3652)&gt;0,"Y","N"))</f>
        <v/>
      </c>
      <c r="W3652" s="64">
        <f>IF($A3652="","",IFERROR(INDEX(계정매핑!$D$5:$D$504,MATCH($F3652&amp;"",계정매핑!$A$5:$A$504,0)),"미매핑"))</f>
        <v/>
      </c>
      <c r="X3652" s="9">
        <f>IF($A3652="","",$F3652&amp;"")</f>
        <v/>
      </c>
      <c r="Y3652" s="94">
        <f>IF($A3652="",0,IF(AE3652="직접",IF(AF3652="비귀속",$P3652,0),$P3652*(1-AG3652)*IFERROR(INDEX(계정대체기준!$F$20:$F$49,MATCH($N3652,계정대체기준!$A$20:$A$49,0)),1)))</f>
        <v/>
      </c>
      <c r="Z3652" s="94">
        <f>IF($A3652="",0,IF(AE3652="직접",IF(AF3652="신계약비",$P3652,0),$P3652*(1-AG3652)*IFERROR(INDEX(계정대체기준!$C$20:$C$49,MATCH($N3652,계정대체기준!$A$20:$A$49,0)),0)))</f>
        <v/>
      </c>
      <c r="AA3652" s="94">
        <f>IF($A3652="",0,IF(AE3652="직접",IF(OR(AF3652="유지비",AF3652="손해조사비"),$P3652,0),$P3652*(1-AG3652)*IFERROR(INDEX(계정대체기준!$D$20:$D$49,MATCH($N3652,계정대체기준!$A$20:$A$49,0)),0)))</f>
        <v/>
      </c>
      <c r="AB3652" s="94">
        <f>IF($A3652="",0,IF(AE3652="직접",IF(AF3652="수금비",$P3652,0),$P3652*(1-AG3652)*IFERROR(INDEX(계정대체기준!$E$20:$E$49,MATCH($N3652,계정대체기준!$A$20:$A$49,0)),0)))</f>
        <v/>
      </c>
      <c r="AC3652" s="9">
        <f>IF(AND($A3652&lt;&gt;"",M3652=설정!$C$20,Z3652&gt;0),Z3652+ROW()/1000000000,"")</f>
        <v/>
      </c>
      <c r="AD3652" s="94">
        <f>IF($A3652="",0,$P3652*AG3652)</f>
        <v/>
      </c>
      <c r="AE3652" s="64">
        <f>IF($A3652="","",IFERROR(INDEX(계정매핑!$E$5:$E$504,MATCH($F3652&amp;"",계정매핑!$A$5:$A$504,0))&amp;"","공통비"))</f>
        <v/>
      </c>
      <c r="AF3652" s="64">
        <f>IF($A3652="","",IF(AE3652="직접",IFERROR(INDEX(계정매핑!$F$5:$F$504,MATCH($F3652&amp;"",계정매핑!$A$5:$A$504,0))&amp;"","비귀속"),""))</f>
        <v/>
      </c>
      <c r="AG3652" s="96">
        <f>IF($A3652="",0,IF(AND(AE3652&lt;&gt;"직접",IFERROR(INDEX(계정매핑!$G$5:$G$504,MATCH($F3652&amp;"",계정매핑!$A$5:$A$504,0))&amp;"","")="유지비",COUNTIF(계정대체기준!$A$6:$A$15,$N3652)&gt;0),IFERROR(INDEX(계정대체기준!$E$6:$E$15,MATCH(VALUE($A3652&amp;""),계정대체기준!$D$6:$D$15,0)),0),0))</f>
        <v/>
      </c>
      <c r="AH3652" s="64">
        <f>IF($A3652="","",IF(AD3652=0,"",IF(OR(COUNTIF(계정대체기준!$A$77:$A$86,$N3652)&gt;0,ISNUMBER(MATCH($X3652,계정대체기준!$D$77:$D$86,0)),ISNUMBER(MATCH($F3652,계정대체기준!$D$77:$D$86,0))),"Y","N")))</f>
        <v/>
      </c>
    </row>
    <row r="3653">
      <c r="A3653" s="92" t="n">
        <v>2026</v>
      </c>
      <c r="B3653" s="92" t="n">
        <v>5</v>
      </c>
      <c r="C3653" s="92" t="inlineStr">
        <is>
          <t>5100000931</t>
        </is>
      </c>
      <c r="D3653" s="95" t="n">
        <v>46146</v>
      </c>
      <c r="E3653" s="92" t="inlineStr">
        <is>
          <t>KR</t>
        </is>
      </c>
      <c r="F3653" s="92" t="n">
        <v>62101000</v>
      </c>
      <c r="G3653" s="92" t="n">
        <v>1601</v>
      </c>
      <c r="H3653" s="93" t="n">
        <v>1626000</v>
      </c>
      <c r="I3653" s="92" t="inlineStr">
        <is>
          <t>5월 국내출장 - M항공</t>
        </is>
      </c>
      <c r="J3653" s="92" t="inlineStr">
        <is>
          <t>V10001</t>
        </is>
      </c>
      <c r="K3653" s="92" t="inlineStr">
        <is>
          <t>M항공</t>
        </is>
      </c>
      <c r="M3653" s="9">
        <f>IF($A3653="","",VALUE($A3653&amp;"")*12+VALUE($B3653&amp;""))</f>
        <v/>
      </c>
      <c r="N3653" s="64">
        <f>IF($A3653="","",IFERROR(INDEX(부서매핑!$C$5:$C$504,MATCH($G3653&amp;"",부서매핑!$A$5:$A$504,0)),"미매핑"))</f>
        <v/>
      </c>
      <c r="O3653" s="9">
        <f>IF($A3653="","",N3653&amp;"|"&amp;$F3653)</f>
        <v/>
      </c>
      <c r="P3653" s="94">
        <f>IF($A3653="",0,$H3653*설정!$C$23)</f>
        <v/>
      </c>
      <c r="Q3653" s="64">
        <f>IF($A3653="","",IF(O3653&lt;&gt;원인분석!$C$9,"",IF(AND(M3653&gt;=원인분석!$C$10,M3653&lt;=원인분석!$C$11),"당기",IF(AND(M3653&gt;=원인분석!$C$12,M3653&lt;=원인분석!$C$13),"비교",""))))</f>
        <v/>
      </c>
      <c r="R3653" s="9">
        <f>IF(Q3653="","",$K3653&amp;"")</f>
        <v/>
      </c>
      <c r="S3653" s="9">
        <f>IF(Q3653="","",IF(MATCH(R3653,$R$5:$R$100000,0)=ROW()-4,ROW(),""))</f>
        <v/>
      </c>
      <c r="T3653" s="9">
        <f>IF(Q3653="당기",ABS(P3653)+ROW()/1000000000,"")</f>
        <v/>
      </c>
      <c r="U3653" s="9">
        <f>IF(Q3653="비교",ABS(P3653)+ROW()/1000000000,"")</f>
        <v/>
      </c>
      <c r="V3653" s="64">
        <f>IF($A3653="","",IF(COUNTIF(변동분석!$E$7:$E$506,O3653)&gt;0,"Y","N"))</f>
        <v/>
      </c>
      <c r="W3653" s="64">
        <f>IF($A3653="","",IFERROR(INDEX(계정매핑!$D$5:$D$504,MATCH($F3653&amp;"",계정매핑!$A$5:$A$504,0)),"미매핑"))</f>
        <v/>
      </c>
      <c r="X3653" s="9">
        <f>IF($A3653="","",$F3653&amp;"")</f>
        <v/>
      </c>
      <c r="Y3653" s="94">
        <f>IF($A3653="",0,IF(AE3653="직접",IF(AF3653="비귀속",$P3653,0),$P3653*(1-AG3653)*IFERROR(INDEX(계정대체기준!$F$20:$F$49,MATCH($N3653,계정대체기준!$A$20:$A$49,0)),1)))</f>
        <v/>
      </c>
      <c r="Z3653" s="94">
        <f>IF($A3653="",0,IF(AE3653="직접",IF(AF3653="신계약비",$P3653,0),$P3653*(1-AG3653)*IFERROR(INDEX(계정대체기준!$C$20:$C$49,MATCH($N3653,계정대체기준!$A$20:$A$49,0)),0)))</f>
        <v/>
      </c>
      <c r="AA3653" s="94">
        <f>IF($A3653="",0,IF(AE3653="직접",IF(OR(AF3653="유지비",AF3653="손해조사비"),$P3653,0),$P3653*(1-AG3653)*IFERROR(INDEX(계정대체기준!$D$20:$D$49,MATCH($N3653,계정대체기준!$A$20:$A$49,0)),0)))</f>
        <v/>
      </c>
      <c r="AB3653" s="94">
        <f>IF($A3653="",0,IF(AE3653="직접",IF(AF3653="수금비",$P3653,0),$P3653*(1-AG3653)*IFERROR(INDEX(계정대체기준!$E$20:$E$49,MATCH($N3653,계정대체기준!$A$20:$A$49,0)),0)))</f>
        <v/>
      </c>
      <c r="AC3653" s="9">
        <f>IF(AND($A3653&lt;&gt;"",M3653=설정!$C$20,Z3653&gt;0),Z3653+ROW()/1000000000,"")</f>
        <v/>
      </c>
      <c r="AD3653" s="94">
        <f>IF($A3653="",0,$P3653*AG3653)</f>
        <v/>
      </c>
      <c r="AE3653" s="64">
        <f>IF($A3653="","",IFERROR(INDEX(계정매핑!$E$5:$E$504,MATCH($F3653&amp;"",계정매핑!$A$5:$A$504,0))&amp;"","공통비"))</f>
        <v/>
      </c>
      <c r="AF3653" s="64">
        <f>IF($A3653="","",IF(AE3653="직접",IFERROR(INDEX(계정매핑!$F$5:$F$504,MATCH($F3653&amp;"",계정매핑!$A$5:$A$504,0))&amp;"","비귀속"),""))</f>
        <v/>
      </c>
      <c r="AG3653" s="96">
        <f>IF($A3653="",0,IF(AND(AE3653&lt;&gt;"직접",IFERROR(INDEX(계정매핑!$G$5:$G$504,MATCH($F3653&amp;"",계정매핑!$A$5:$A$504,0))&amp;"","")="유지비",COUNTIF(계정대체기준!$A$6:$A$15,$N3653)&gt;0),IFERROR(INDEX(계정대체기준!$E$6:$E$15,MATCH(VALUE($A3653&amp;""),계정대체기준!$D$6:$D$15,0)),0),0))</f>
        <v/>
      </c>
      <c r="AH3653" s="64">
        <f>IF($A3653="","",IF(AD3653=0,"",IF(OR(COUNTIF(계정대체기준!$A$77:$A$86,$N3653)&gt;0,ISNUMBER(MATCH($X3653,계정대체기준!$D$77:$D$86,0)),ISNUMBER(MATCH($F3653,계정대체기준!$D$77:$D$86,0))),"Y","N")))</f>
        <v/>
      </c>
    </row>
    <row r="3654">
      <c r="A3654" s="92" t="n">
        <v>2026</v>
      </c>
      <c r="B3654" s="92" t="n">
        <v>5</v>
      </c>
      <c r="C3654" s="92" t="inlineStr">
        <is>
          <t>5100000932</t>
        </is>
      </c>
      <c r="D3654" s="95" t="n">
        <v>46146</v>
      </c>
      <c r="E3654" s="92" t="inlineStr">
        <is>
          <t>KR</t>
        </is>
      </c>
      <c r="F3654" s="92" t="n">
        <v>62102000</v>
      </c>
      <c r="G3654" s="92" t="n">
        <v>1301</v>
      </c>
      <c r="H3654" s="93" t="n">
        <v>49000</v>
      </c>
      <c r="I3654" s="92" t="inlineStr">
        <is>
          <t>5월 해외출장 - M항공</t>
        </is>
      </c>
      <c r="J3654" s="92" t="inlineStr">
        <is>
          <t>V10001</t>
        </is>
      </c>
      <c r="K3654" s="92" t="inlineStr">
        <is>
          <t>M항공</t>
        </is>
      </c>
      <c r="M3654" s="9">
        <f>IF($A3654="","",VALUE($A3654&amp;"")*12+VALUE($B3654&amp;""))</f>
        <v/>
      </c>
      <c r="N3654" s="64">
        <f>IF($A3654="","",IFERROR(INDEX(부서매핑!$C$5:$C$504,MATCH($G3654&amp;"",부서매핑!$A$5:$A$504,0)),"미매핑"))</f>
        <v/>
      </c>
      <c r="O3654" s="9">
        <f>IF($A3654="","",N3654&amp;"|"&amp;$F3654)</f>
        <v/>
      </c>
      <c r="P3654" s="94">
        <f>IF($A3654="",0,$H3654*설정!$C$23)</f>
        <v/>
      </c>
      <c r="Q3654" s="64">
        <f>IF($A3654="","",IF(O3654&lt;&gt;원인분석!$C$9,"",IF(AND(M3654&gt;=원인분석!$C$10,M3654&lt;=원인분석!$C$11),"당기",IF(AND(M3654&gt;=원인분석!$C$12,M3654&lt;=원인분석!$C$13),"비교",""))))</f>
        <v/>
      </c>
      <c r="R3654" s="9">
        <f>IF(Q3654="","",$K3654&amp;"")</f>
        <v/>
      </c>
      <c r="S3654" s="9">
        <f>IF(Q3654="","",IF(MATCH(R3654,$R$5:$R$100000,0)=ROW()-4,ROW(),""))</f>
        <v/>
      </c>
      <c r="T3654" s="9">
        <f>IF(Q3654="당기",ABS(P3654)+ROW()/1000000000,"")</f>
        <v/>
      </c>
      <c r="U3654" s="9">
        <f>IF(Q3654="비교",ABS(P3654)+ROW()/1000000000,"")</f>
        <v/>
      </c>
      <c r="V3654" s="64">
        <f>IF($A3654="","",IF(COUNTIF(변동분석!$E$7:$E$506,O3654)&gt;0,"Y","N"))</f>
        <v/>
      </c>
      <c r="W3654" s="64">
        <f>IF($A3654="","",IFERROR(INDEX(계정매핑!$D$5:$D$504,MATCH($F3654&amp;"",계정매핑!$A$5:$A$504,0)),"미매핑"))</f>
        <v/>
      </c>
      <c r="X3654" s="9">
        <f>IF($A3654="","",$F3654&amp;"")</f>
        <v/>
      </c>
      <c r="Y3654" s="94">
        <f>IF($A3654="",0,IF(AE3654="직접",IF(AF3654="비귀속",$P3654,0),$P3654*(1-AG3654)*IFERROR(INDEX(계정대체기준!$F$20:$F$49,MATCH($N3654,계정대체기준!$A$20:$A$49,0)),1)))</f>
        <v/>
      </c>
      <c r="Z3654" s="94">
        <f>IF($A3654="",0,IF(AE3654="직접",IF(AF3654="신계약비",$P3654,0),$P3654*(1-AG3654)*IFERROR(INDEX(계정대체기준!$C$20:$C$49,MATCH($N3654,계정대체기준!$A$20:$A$49,0)),0)))</f>
        <v/>
      </c>
      <c r="AA3654" s="94">
        <f>IF($A3654="",0,IF(AE3654="직접",IF(OR(AF3654="유지비",AF3654="손해조사비"),$P3654,0),$P3654*(1-AG3654)*IFERROR(INDEX(계정대체기준!$D$20:$D$49,MATCH($N3654,계정대체기준!$A$20:$A$49,0)),0)))</f>
        <v/>
      </c>
      <c r="AB3654" s="94">
        <f>IF($A3654="",0,IF(AE3654="직접",IF(AF3654="수금비",$P3654,0),$P3654*(1-AG3654)*IFERROR(INDEX(계정대체기준!$E$20:$E$49,MATCH($N3654,계정대체기준!$A$20:$A$49,0)),0)))</f>
        <v/>
      </c>
      <c r="AC3654" s="9">
        <f>IF(AND($A3654&lt;&gt;"",M3654=설정!$C$20,Z3654&gt;0),Z3654+ROW()/1000000000,"")</f>
        <v/>
      </c>
      <c r="AD3654" s="94">
        <f>IF($A3654="",0,$P3654*AG3654)</f>
        <v/>
      </c>
      <c r="AE3654" s="64">
        <f>IF($A3654="","",IFERROR(INDEX(계정매핑!$E$5:$E$504,MATCH($F3654&amp;"",계정매핑!$A$5:$A$504,0))&amp;"","공통비"))</f>
        <v/>
      </c>
      <c r="AF3654" s="64">
        <f>IF($A3654="","",IF(AE3654="직접",IFERROR(INDEX(계정매핑!$F$5:$F$504,MATCH($F3654&amp;"",계정매핑!$A$5:$A$504,0))&amp;"","비귀속"),""))</f>
        <v/>
      </c>
      <c r="AG3654" s="96">
        <f>IF($A3654="",0,IF(AND(AE3654&lt;&gt;"직접",IFERROR(INDEX(계정매핑!$G$5:$G$504,MATCH($F3654&amp;"",계정매핑!$A$5:$A$504,0))&amp;"","")="유지비",COUNTIF(계정대체기준!$A$6:$A$15,$N3654)&gt;0),IFERROR(INDEX(계정대체기준!$E$6:$E$15,MATCH(VALUE($A3654&amp;""),계정대체기준!$D$6:$D$15,0)),0),0))</f>
        <v/>
      </c>
      <c r="AH3654" s="64">
        <f>IF($A3654="","",IF(AD3654=0,"",IF(OR(COUNTIF(계정대체기준!$A$77:$A$86,$N3654)&gt;0,ISNUMBER(MATCH($X3654,계정대체기준!$D$77:$D$86,0)),ISNUMBER(MATCH($F3654,계정대체기준!$D$77:$D$86,0))),"Y","N")))</f>
        <v/>
      </c>
    </row>
    <row r="3655">
      <c r="A3655" s="92" t="n">
        <v>2026</v>
      </c>
      <c r="B3655" s="92" t="n">
        <v>5</v>
      </c>
      <c r="C3655" s="92" t="inlineStr">
        <is>
          <t>5100000933</t>
        </is>
      </c>
      <c r="D3655" s="95" t="n">
        <v>46146</v>
      </c>
      <c r="E3655" s="92" t="inlineStr">
        <is>
          <t>KR</t>
        </is>
      </c>
      <c r="F3655" s="92" t="n">
        <v>62201000</v>
      </c>
      <c r="G3655" s="92" t="n">
        <v>1101</v>
      </c>
      <c r="H3655" s="93" t="n">
        <v>156000</v>
      </c>
      <c r="I3655" s="92" t="inlineStr">
        <is>
          <t>5월 통신요금 - O텔레콤</t>
        </is>
      </c>
      <c r="J3655" s="92" t="inlineStr">
        <is>
          <t>V10002</t>
        </is>
      </c>
      <c r="K3655" s="92" t="inlineStr">
        <is>
          <t>O텔레콤</t>
        </is>
      </c>
      <c r="M3655" s="9">
        <f>IF($A3655="","",VALUE($A3655&amp;"")*12+VALUE($B3655&amp;""))</f>
        <v/>
      </c>
      <c r="N3655" s="64">
        <f>IF($A3655="","",IFERROR(INDEX(부서매핑!$C$5:$C$504,MATCH($G3655&amp;"",부서매핑!$A$5:$A$504,0)),"미매핑"))</f>
        <v/>
      </c>
      <c r="O3655" s="9">
        <f>IF($A3655="","",N3655&amp;"|"&amp;$F3655)</f>
        <v/>
      </c>
      <c r="P3655" s="94">
        <f>IF($A3655="",0,$H3655*설정!$C$23)</f>
        <v/>
      </c>
      <c r="Q3655" s="64">
        <f>IF($A3655="","",IF(O3655&lt;&gt;원인분석!$C$9,"",IF(AND(M3655&gt;=원인분석!$C$10,M3655&lt;=원인분석!$C$11),"당기",IF(AND(M3655&gt;=원인분석!$C$12,M3655&lt;=원인분석!$C$13),"비교",""))))</f>
        <v/>
      </c>
      <c r="R3655" s="9">
        <f>IF(Q3655="","",$K3655&amp;"")</f>
        <v/>
      </c>
      <c r="S3655" s="9">
        <f>IF(Q3655="","",IF(MATCH(R3655,$R$5:$R$100000,0)=ROW()-4,ROW(),""))</f>
        <v/>
      </c>
      <c r="T3655" s="9">
        <f>IF(Q3655="당기",ABS(P3655)+ROW()/1000000000,"")</f>
        <v/>
      </c>
      <c r="U3655" s="9">
        <f>IF(Q3655="비교",ABS(P3655)+ROW()/1000000000,"")</f>
        <v/>
      </c>
      <c r="V3655" s="64">
        <f>IF($A3655="","",IF(COUNTIF(변동분석!$E$7:$E$506,O3655)&gt;0,"Y","N"))</f>
        <v/>
      </c>
      <c r="W3655" s="64">
        <f>IF($A3655="","",IFERROR(INDEX(계정매핑!$D$5:$D$504,MATCH($F3655&amp;"",계정매핑!$A$5:$A$504,0)),"미매핑"))</f>
        <v/>
      </c>
      <c r="X3655" s="9">
        <f>IF($A3655="","",$F3655&amp;"")</f>
        <v/>
      </c>
      <c r="Y3655" s="94">
        <f>IF($A3655="",0,IF(AE3655="직접",IF(AF3655="비귀속",$P3655,0),$P3655*(1-AG3655)*IFERROR(INDEX(계정대체기준!$F$20:$F$49,MATCH($N3655,계정대체기준!$A$20:$A$49,0)),1)))</f>
        <v/>
      </c>
      <c r="Z3655" s="94">
        <f>IF($A3655="",0,IF(AE3655="직접",IF(AF3655="신계약비",$P3655,0),$P3655*(1-AG3655)*IFERROR(INDEX(계정대체기준!$C$20:$C$49,MATCH($N3655,계정대체기준!$A$20:$A$49,0)),0)))</f>
        <v/>
      </c>
      <c r="AA3655" s="94">
        <f>IF($A3655="",0,IF(AE3655="직접",IF(OR(AF3655="유지비",AF3655="손해조사비"),$P3655,0),$P3655*(1-AG3655)*IFERROR(INDEX(계정대체기준!$D$20:$D$49,MATCH($N3655,계정대체기준!$A$20:$A$49,0)),0)))</f>
        <v/>
      </c>
      <c r="AB3655" s="94">
        <f>IF($A3655="",0,IF(AE3655="직접",IF(AF3655="수금비",$P3655,0),$P3655*(1-AG3655)*IFERROR(INDEX(계정대체기준!$E$20:$E$49,MATCH($N3655,계정대체기준!$A$20:$A$49,0)),0)))</f>
        <v/>
      </c>
      <c r="AC3655" s="9">
        <f>IF(AND($A3655&lt;&gt;"",M3655=설정!$C$20,Z3655&gt;0),Z3655+ROW()/1000000000,"")</f>
        <v/>
      </c>
      <c r="AD3655" s="94">
        <f>IF($A3655="",0,$P3655*AG3655)</f>
        <v/>
      </c>
      <c r="AE3655" s="64">
        <f>IF($A3655="","",IFERROR(INDEX(계정매핑!$E$5:$E$504,MATCH($F3655&amp;"",계정매핑!$A$5:$A$504,0))&amp;"","공통비"))</f>
        <v/>
      </c>
      <c r="AF3655" s="64">
        <f>IF($A3655="","",IF(AE3655="직접",IFERROR(INDEX(계정매핑!$F$5:$F$504,MATCH($F3655&amp;"",계정매핑!$A$5:$A$504,0))&amp;"","비귀속"),""))</f>
        <v/>
      </c>
      <c r="AG3655" s="96">
        <f>IF($A3655="",0,IF(AND(AE3655&lt;&gt;"직접",IFERROR(INDEX(계정매핑!$G$5:$G$504,MATCH($F3655&amp;"",계정매핑!$A$5:$A$504,0))&amp;"","")="유지비",COUNTIF(계정대체기준!$A$6:$A$15,$N3655)&gt;0),IFERROR(INDEX(계정대체기준!$E$6:$E$15,MATCH(VALUE($A3655&amp;""),계정대체기준!$D$6:$D$15,0)),0),0))</f>
        <v/>
      </c>
      <c r="AH3655" s="64">
        <f>IF($A3655="","",IF(AD3655=0,"",IF(OR(COUNTIF(계정대체기준!$A$77:$A$86,$N3655)&gt;0,ISNUMBER(MATCH($X3655,계정대체기준!$D$77:$D$86,0)),ISNUMBER(MATCH($F3655,계정대체기준!$D$77:$D$86,0))),"Y","N")))</f>
        <v/>
      </c>
    </row>
    <row r="3656">
      <c r="A3656" s="92" t="n">
        <v>2026</v>
      </c>
      <c r="B3656" s="92" t="n">
        <v>5</v>
      </c>
      <c r="C3656" s="92" t="inlineStr">
        <is>
          <t>5100000934</t>
        </is>
      </c>
      <c r="D3656" s="95" t="n">
        <v>46146</v>
      </c>
      <c r="E3656" s="92" t="inlineStr">
        <is>
          <t>KR</t>
        </is>
      </c>
      <c r="F3656" s="92" t="n">
        <v>62201000</v>
      </c>
      <c r="G3656" s="92" t="n">
        <v>1701</v>
      </c>
      <c r="H3656" s="93" t="n">
        <v>3654000</v>
      </c>
      <c r="I3656" s="92" t="inlineStr">
        <is>
          <t>5월 통신요금 - P통신</t>
        </is>
      </c>
      <c r="J3656" s="92" t="inlineStr">
        <is>
          <t>V10014</t>
        </is>
      </c>
      <c r="K3656" s="92" t="inlineStr">
        <is>
          <t>P통신</t>
        </is>
      </c>
      <c r="M3656" s="9">
        <f>IF($A3656="","",VALUE($A3656&amp;"")*12+VALUE($B3656&amp;""))</f>
        <v/>
      </c>
      <c r="N3656" s="64">
        <f>IF($A3656="","",IFERROR(INDEX(부서매핑!$C$5:$C$504,MATCH($G3656&amp;"",부서매핑!$A$5:$A$504,0)),"미매핑"))</f>
        <v/>
      </c>
      <c r="O3656" s="9">
        <f>IF($A3656="","",N3656&amp;"|"&amp;$F3656)</f>
        <v/>
      </c>
      <c r="P3656" s="94">
        <f>IF($A3656="",0,$H3656*설정!$C$23)</f>
        <v/>
      </c>
      <c r="Q3656" s="64">
        <f>IF($A3656="","",IF(O3656&lt;&gt;원인분석!$C$9,"",IF(AND(M3656&gt;=원인분석!$C$10,M3656&lt;=원인분석!$C$11),"당기",IF(AND(M3656&gt;=원인분석!$C$12,M3656&lt;=원인분석!$C$13),"비교",""))))</f>
        <v/>
      </c>
      <c r="R3656" s="9">
        <f>IF(Q3656="","",$K3656&amp;"")</f>
        <v/>
      </c>
      <c r="S3656" s="9">
        <f>IF(Q3656="","",IF(MATCH(R3656,$R$5:$R$100000,0)=ROW()-4,ROW(),""))</f>
        <v/>
      </c>
      <c r="T3656" s="9">
        <f>IF(Q3656="당기",ABS(P3656)+ROW()/1000000000,"")</f>
        <v/>
      </c>
      <c r="U3656" s="9">
        <f>IF(Q3656="비교",ABS(P3656)+ROW()/1000000000,"")</f>
        <v/>
      </c>
      <c r="V3656" s="64">
        <f>IF($A3656="","",IF(COUNTIF(변동분석!$E$7:$E$506,O3656)&gt;0,"Y","N"))</f>
        <v/>
      </c>
      <c r="W3656" s="64">
        <f>IF($A3656="","",IFERROR(INDEX(계정매핑!$D$5:$D$504,MATCH($F3656&amp;"",계정매핑!$A$5:$A$504,0)),"미매핑"))</f>
        <v/>
      </c>
      <c r="X3656" s="9">
        <f>IF($A3656="","",$F3656&amp;"")</f>
        <v/>
      </c>
      <c r="Y3656" s="94">
        <f>IF($A3656="",0,IF(AE3656="직접",IF(AF3656="비귀속",$P3656,0),$P3656*(1-AG3656)*IFERROR(INDEX(계정대체기준!$F$20:$F$49,MATCH($N3656,계정대체기준!$A$20:$A$49,0)),1)))</f>
        <v/>
      </c>
      <c r="Z3656" s="94">
        <f>IF($A3656="",0,IF(AE3656="직접",IF(AF3656="신계약비",$P3656,0),$P3656*(1-AG3656)*IFERROR(INDEX(계정대체기준!$C$20:$C$49,MATCH($N3656,계정대체기준!$A$20:$A$49,0)),0)))</f>
        <v/>
      </c>
      <c r="AA3656" s="94">
        <f>IF($A3656="",0,IF(AE3656="직접",IF(OR(AF3656="유지비",AF3656="손해조사비"),$P3656,0),$P3656*(1-AG3656)*IFERROR(INDEX(계정대체기준!$D$20:$D$49,MATCH($N3656,계정대체기준!$A$20:$A$49,0)),0)))</f>
        <v/>
      </c>
      <c r="AB3656" s="94">
        <f>IF($A3656="",0,IF(AE3656="직접",IF(AF3656="수금비",$P3656,0),$P3656*(1-AG3656)*IFERROR(INDEX(계정대체기준!$E$20:$E$49,MATCH($N3656,계정대체기준!$A$20:$A$49,0)),0)))</f>
        <v/>
      </c>
      <c r="AC3656" s="9">
        <f>IF(AND($A3656&lt;&gt;"",M3656=설정!$C$20,Z3656&gt;0),Z3656+ROW()/1000000000,"")</f>
        <v/>
      </c>
      <c r="AD3656" s="94">
        <f>IF($A3656="",0,$P3656*AG3656)</f>
        <v/>
      </c>
      <c r="AE3656" s="64">
        <f>IF($A3656="","",IFERROR(INDEX(계정매핑!$E$5:$E$504,MATCH($F3656&amp;"",계정매핑!$A$5:$A$504,0))&amp;"","공통비"))</f>
        <v/>
      </c>
      <c r="AF3656" s="64">
        <f>IF($A3656="","",IF(AE3656="직접",IFERROR(INDEX(계정매핑!$F$5:$F$504,MATCH($F3656&amp;"",계정매핑!$A$5:$A$504,0))&amp;"","비귀속"),""))</f>
        <v/>
      </c>
      <c r="AG3656" s="96">
        <f>IF($A3656="",0,IF(AND(AE3656&lt;&gt;"직접",IFERROR(INDEX(계정매핑!$G$5:$G$504,MATCH($F3656&amp;"",계정매핑!$A$5:$A$504,0))&amp;"","")="유지비",COUNTIF(계정대체기준!$A$6:$A$15,$N3656)&gt;0),IFERROR(INDEX(계정대체기준!$E$6:$E$15,MATCH(VALUE($A3656&amp;""),계정대체기준!$D$6:$D$15,0)),0),0))</f>
        <v/>
      </c>
      <c r="AH3656" s="64">
        <f>IF($A3656="","",IF(AD3656=0,"",IF(OR(COUNTIF(계정대체기준!$A$77:$A$86,$N3656)&gt;0,ISNUMBER(MATCH($X3656,계정대체기준!$D$77:$D$86,0)),ISNUMBER(MATCH($F3656,계정대체기준!$D$77:$D$86,0))),"Y","N")))</f>
        <v/>
      </c>
    </row>
    <row r="3657">
      <c r="A3657" s="92" t="n">
        <v>2026</v>
      </c>
      <c r="B3657" s="92" t="n">
        <v>5</v>
      </c>
      <c r="C3657" s="92" t="inlineStr">
        <is>
          <t>5100000935</t>
        </is>
      </c>
      <c r="D3657" s="95" t="n">
        <v>46146</v>
      </c>
      <c r="E3657" s="92" t="inlineStr">
        <is>
          <t>KR</t>
        </is>
      </c>
      <c r="F3657" s="92" t="n">
        <v>62301000</v>
      </c>
      <c r="G3657" s="92" t="n">
        <v>1101</v>
      </c>
      <c r="H3657" s="93" t="n">
        <v>298000</v>
      </c>
      <c r="I3657" s="92" t="inlineStr">
        <is>
          <t>5월 소모품 구입 - Q오피스</t>
        </is>
      </c>
      <c r="J3657" s="92" t="inlineStr">
        <is>
          <t>V10003</t>
        </is>
      </c>
      <c r="K3657" s="92" t="inlineStr">
        <is>
          <t>Q오피스</t>
        </is>
      </c>
      <c r="M3657" s="9">
        <f>IF($A3657="","",VALUE($A3657&amp;"")*12+VALUE($B3657&amp;""))</f>
        <v/>
      </c>
      <c r="N3657" s="64">
        <f>IF($A3657="","",IFERROR(INDEX(부서매핑!$C$5:$C$504,MATCH($G3657&amp;"",부서매핑!$A$5:$A$504,0)),"미매핑"))</f>
        <v/>
      </c>
      <c r="O3657" s="9">
        <f>IF($A3657="","",N3657&amp;"|"&amp;$F3657)</f>
        <v/>
      </c>
      <c r="P3657" s="94">
        <f>IF($A3657="",0,$H3657*설정!$C$23)</f>
        <v/>
      </c>
      <c r="Q3657" s="64">
        <f>IF($A3657="","",IF(O3657&lt;&gt;원인분석!$C$9,"",IF(AND(M3657&gt;=원인분석!$C$10,M3657&lt;=원인분석!$C$11),"당기",IF(AND(M3657&gt;=원인분석!$C$12,M3657&lt;=원인분석!$C$13),"비교",""))))</f>
        <v/>
      </c>
      <c r="R3657" s="9">
        <f>IF(Q3657="","",$K3657&amp;"")</f>
        <v/>
      </c>
      <c r="S3657" s="9">
        <f>IF(Q3657="","",IF(MATCH(R3657,$R$5:$R$100000,0)=ROW()-4,ROW(),""))</f>
        <v/>
      </c>
      <c r="T3657" s="9">
        <f>IF(Q3657="당기",ABS(P3657)+ROW()/1000000000,"")</f>
        <v/>
      </c>
      <c r="U3657" s="9">
        <f>IF(Q3657="비교",ABS(P3657)+ROW()/1000000000,"")</f>
        <v/>
      </c>
      <c r="V3657" s="64">
        <f>IF($A3657="","",IF(COUNTIF(변동분석!$E$7:$E$506,O3657)&gt;0,"Y","N"))</f>
        <v/>
      </c>
      <c r="W3657" s="64">
        <f>IF($A3657="","",IFERROR(INDEX(계정매핑!$D$5:$D$504,MATCH($F3657&amp;"",계정매핑!$A$5:$A$504,0)),"미매핑"))</f>
        <v/>
      </c>
      <c r="X3657" s="9">
        <f>IF($A3657="","",$F3657&amp;"")</f>
        <v/>
      </c>
      <c r="Y3657" s="94">
        <f>IF($A3657="",0,IF(AE3657="직접",IF(AF3657="비귀속",$P3657,0),$P3657*(1-AG3657)*IFERROR(INDEX(계정대체기준!$F$20:$F$49,MATCH($N3657,계정대체기준!$A$20:$A$49,0)),1)))</f>
        <v/>
      </c>
      <c r="Z3657" s="94">
        <f>IF($A3657="",0,IF(AE3657="직접",IF(AF3657="신계약비",$P3657,0),$P3657*(1-AG3657)*IFERROR(INDEX(계정대체기준!$C$20:$C$49,MATCH($N3657,계정대체기준!$A$20:$A$49,0)),0)))</f>
        <v/>
      </c>
      <c r="AA3657" s="94">
        <f>IF($A3657="",0,IF(AE3657="직접",IF(OR(AF3657="유지비",AF3657="손해조사비"),$P3657,0),$P3657*(1-AG3657)*IFERROR(INDEX(계정대체기준!$D$20:$D$49,MATCH($N3657,계정대체기준!$A$20:$A$49,0)),0)))</f>
        <v/>
      </c>
      <c r="AB3657" s="94">
        <f>IF($A3657="",0,IF(AE3657="직접",IF(AF3657="수금비",$P3657,0),$P3657*(1-AG3657)*IFERROR(INDEX(계정대체기준!$E$20:$E$49,MATCH($N3657,계정대체기준!$A$20:$A$49,0)),0)))</f>
        <v/>
      </c>
      <c r="AC3657" s="9">
        <f>IF(AND($A3657&lt;&gt;"",M3657=설정!$C$20,Z3657&gt;0),Z3657+ROW()/1000000000,"")</f>
        <v/>
      </c>
      <c r="AD3657" s="94">
        <f>IF($A3657="",0,$P3657*AG3657)</f>
        <v/>
      </c>
      <c r="AE3657" s="64">
        <f>IF($A3657="","",IFERROR(INDEX(계정매핑!$E$5:$E$504,MATCH($F3657&amp;"",계정매핑!$A$5:$A$504,0))&amp;"","공통비"))</f>
        <v/>
      </c>
      <c r="AF3657" s="64">
        <f>IF($A3657="","",IF(AE3657="직접",IFERROR(INDEX(계정매핑!$F$5:$F$504,MATCH($F3657&amp;"",계정매핑!$A$5:$A$504,0))&amp;"","비귀속"),""))</f>
        <v/>
      </c>
      <c r="AG3657" s="96">
        <f>IF($A3657="",0,IF(AND(AE3657&lt;&gt;"직접",IFERROR(INDEX(계정매핑!$G$5:$G$504,MATCH($F3657&amp;"",계정매핑!$A$5:$A$504,0))&amp;"","")="유지비",COUNTIF(계정대체기준!$A$6:$A$15,$N3657)&gt;0),IFERROR(INDEX(계정대체기준!$E$6:$E$15,MATCH(VALUE($A3657&amp;""),계정대체기준!$D$6:$D$15,0)),0),0))</f>
        <v/>
      </c>
      <c r="AH3657" s="64">
        <f>IF($A3657="","",IF(AD3657=0,"",IF(OR(COUNTIF(계정대체기준!$A$77:$A$86,$N3657)&gt;0,ISNUMBER(MATCH($X3657,계정대체기준!$D$77:$D$86,0)),ISNUMBER(MATCH($F3657,계정대체기준!$D$77:$D$86,0))),"Y","N")))</f>
        <v/>
      </c>
    </row>
    <row r="3658">
      <c r="A3658" s="92" t="n">
        <v>2026</v>
      </c>
      <c r="B3658" s="92" t="n">
        <v>5</v>
      </c>
      <c r="C3658" s="92" t="inlineStr">
        <is>
          <t>5100000936</t>
        </is>
      </c>
      <c r="D3658" s="95" t="n">
        <v>46146</v>
      </c>
      <c r="E3658" s="92" t="inlineStr">
        <is>
          <t>KR</t>
        </is>
      </c>
      <c r="F3658" s="92" t="n">
        <v>62301000</v>
      </c>
      <c r="G3658" s="92" t="n">
        <v>1401</v>
      </c>
      <c r="H3658" s="93" t="n">
        <v>138000</v>
      </c>
      <c r="I3658" s="92" t="inlineStr">
        <is>
          <t>5월 소모품 구입 - R문구</t>
        </is>
      </c>
      <c r="J3658" s="92" t="inlineStr">
        <is>
          <t>V10022</t>
        </is>
      </c>
      <c r="K3658" s="92" t="inlineStr">
        <is>
          <t>R문구</t>
        </is>
      </c>
      <c r="M3658" s="9">
        <f>IF($A3658="","",VALUE($A3658&amp;"")*12+VALUE($B3658&amp;""))</f>
        <v/>
      </c>
      <c r="N3658" s="64">
        <f>IF($A3658="","",IFERROR(INDEX(부서매핑!$C$5:$C$504,MATCH($G3658&amp;"",부서매핑!$A$5:$A$504,0)),"미매핑"))</f>
        <v/>
      </c>
      <c r="O3658" s="9">
        <f>IF($A3658="","",N3658&amp;"|"&amp;$F3658)</f>
        <v/>
      </c>
      <c r="P3658" s="94">
        <f>IF($A3658="",0,$H3658*설정!$C$23)</f>
        <v/>
      </c>
      <c r="Q3658" s="64">
        <f>IF($A3658="","",IF(O3658&lt;&gt;원인분석!$C$9,"",IF(AND(M3658&gt;=원인분석!$C$10,M3658&lt;=원인분석!$C$11),"당기",IF(AND(M3658&gt;=원인분석!$C$12,M3658&lt;=원인분석!$C$13),"비교",""))))</f>
        <v/>
      </c>
      <c r="R3658" s="9">
        <f>IF(Q3658="","",$K3658&amp;"")</f>
        <v/>
      </c>
      <c r="S3658" s="9">
        <f>IF(Q3658="","",IF(MATCH(R3658,$R$5:$R$100000,0)=ROW()-4,ROW(),""))</f>
        <v/>
      </c>
      <c r="T3658" s="9">
        <f>IF(Q3658="당기",ABS(P3658)+ROW()/1000000000,"")</f>
        <v/>
      </c>
      <c r="U3658" s="9">
        <f>IF(Q3658="비교",ABS(P3658)+ROW()/1000000000,"")</f>
        <v/>
      </c>
      <c r="V3658" s="64">
        <f>IF($A3658="","",IF(COUNTIF(변동분석!$E$7:$E$506,O3658)&gt;0,"Y","N"))</f>
        <v/>
      </c>
      <c r="W3658" s="64">
        <f>IF($A3658="","",IFERROR(INDEX(계정매핑!$D$5:$D$504,MATCH($F3658&amp;"",계정매핑!$A$5:$A$504,0)),"미매핑"))</f>
        <v/>
      </c>
      <c r="X3658" s="9">
        <f>IF($A3658="","",$F3658&amp;"")</f>
        <v/>
      </c>
      <c r="Y3658" s="94">
        <f>IF($A3658="",0,IF(AE3658="직접",IF(AF3658="비귀속",$P3658,0),$P3658*(1-AG3658)*IFERROR(INDEX(계정대체기준!$F$20:$F$49,MATCH($N3658,계정대체기준!$A$20:$A$49,0)),1)))</f>
        <v/>
      </c>
      <c r="Z3658" s="94">
        <f>IF($A3658="",0,IF(AE3658="직접",IF(AF3658="신계약비",$P3658,0),$P3658*(1-AG3658)*IFERROR(INDEX(계정대체기준!$C$20:$C$49,MATCH($N3658,계정대체기준!$A$20:$A$49,0)),0)))</f>
        <v/>
      </c>
      <c r="AA3658" s="94">
        <f>IF($A3658="",0,IF(AE3658="직접",IF(OR(AF3658="유지비",AF3658="손해조사비"),$P3658,0),$P3658*(1-AG3658)*IFERROR(INDEX(계정대체기준!$D$20:$D$49,MATCH($N3658,계정대체기준!$A$20:$A$49,0)),0)))</f>
        <v/>
      </c>
      <c r="AB3658" s="94">
        <f>IF($A3658="",0,IF(AE3658="직접",IF(AF3658="수금비",$P3658,0),$P3658*(1-AG3658)*IFERROR(INDEX(계정대체기준!$E$20:$E$49,MATCH($N3658,계정대체기준!$A$20:$A$49,0)),0)))</f>
        <v/>
      </c>
      <c r="AC3658" s="9">
        <f>IF(AND($A3658&lt;&gt;"",M3658=설정!$C$20,Z3658&gt;0),Z3658+ROW()/1000000000,"")</f>
        <v/>
      </c>
      <c r="AD3658" s="94">
        <f>IF($A3658="",0,$P3658*AG3658)</f>
        <v/>
      </c>
      <c r="AE3658" s="64">
        <f>IF($A3658="","",IFERROR(INDEX(계정매핑!$E$5:$E$504,MATCH($F3658&amp;"",계정매핑!$A$5:$A$504,0))&amp;"","공통비"))</f>
        <v/>
      </c>
      <c r="AF3658" s="64">
        <f>IF($A3658="","",IF(AE3658="직접",IFERROR(INDEX(계정매핑!$F$5:$F$504,MATCH($F3658&amp;"",계정매핑!$A$5:$A$504,0))&amp;"","비귀속"),""))</f>
        <v/>
      </c>
      <c r="AG3658" s="96">
        <f>IF($A3658="",0,IF(AND(AE3658&lt;&gt;"직접",IFERROR(INDEX(계정매핑!$G$5:$G$504,MATCH($F3658&amp;"",계정매핑!$A$5:$A$504,0))&amp;"","")="유지비",COUNTIF(계정대체기준!$A$6:$A$15,$N3658)&gt;0),IFERROR(INDEX(계정대체기준!$E$6:$E$15,MATCH(VALUE($A3658&amp;""),계정대체기준!$D$6:$D$15,0)),0),0))</f>
        <v/>
      </c>
      <c r="AH3658" s="64">
        <f>IF($A3658="","",IF(AD3658=0,"",IF(OR(COUNTIF(계정대체기준!$A$77:$A$86,$N3658)&gt;0,ISNUMBER(MATCH($X3658,계정대체기준!$D$77:$D$86,0)),ISNUMBER(MATCH($F3658,계정대체기준!$D$77:$D$86,0))),"Y","N")))</f>
        <v/>
      </c>
    </row>
    <row r="3659">
      <c r="A3659" s="92" t="n">
        <v>2026</v>
      </c>
      <c r="B3659" s="92" t="n">
        <v>5</v>
      </c>
      <c r="C3659" s="92" t="inlineStr">
        <is>
          <t>5100000937</t>
        </is>
      </c>
      <c r="D3659" s="95" t="n">
        <v>46146</v>
      </c>
      <c r="E3659" s="92" t="inlineStr">
        <is>
          <t>KR</t>
        </is>
      </c>
      <c r="F3659" s="92" t="n">
        <v>62301000</v>
      </c>
      <c r="G3659" s="92" t="n">
        <v>1502</v>
      </c>
      <c r="H3659" s="93" t="n">
        <v>233000</v>
      </c>
      <c r="I3659" s="92" t="inlineStr">
        <is>
          <t>5월 소모품 구입 - Q오피스</t>
        </is>
      </c>
      <c r="J3659" s="92" t="inlineStr">
        <is>
          <t>V10003</t>
        </is>
      </c>
      <c r="K3659" s="92" t="inlineStr">
        <is>
          <t>Q오피스</t>
        </is>
      </c>
      <c r="M3659" s="9">
        <f>IF($A3659="","",VALUE($A3659&amp;"")*12+VALUE($B3659&amp;""))</f>
        <v/>
      </c>
      <c r="N3659" s="64">
        <f>IF($A3659="","",IFERROR(INDEX(부서매핑!$C$5:$C$504,MATCH($G3659&amp;"",부서매핑!$A$5:$A$504,0)),"미매핑"))</f>
        <v/>
      </c>
      <c r="O3659" s="9">
        <f>IF($A3659="","",N3659&amp;"|"&amp;$F3659)</f>
        <v/>
      </c>
      <c r="P3659" s="94">
        <f>IF($A3659="",0,$H3659*설정!$C$23)</f>
        <v/>
      </c>
      <c r="Q3659" s="64">
        <f>IF($A3659="","",IF(O3659&lt;&gt;원인분석!$C$9,"",IF(AND(M3659&gt;=원인분석!$C$10,M3659&lt;=원인분석!$C$11),"당기",IF(AND(M3659&gt;=원인분석!$C$12,M3659&lt;=원인분석!$C$13),"비교",""))))</f>
        <v/>
      </c>
      <c r="R3659" s="9">
        <f>IF(Q3659="","",$K3659&amp;"")</f>
        <v/>
      </c>
      <c r="S3659" s="9">
        <f>IF(Q3659="","",IF(MATCH(R3659,$R$5:$R$100000,0)=ROW()-4,ROW(),""))</f>
        <v/>
      </c>
      <c r="T3659" s="9">
        <f>IF(Q3659="당기",ABS(P3659)+ROW()/1000000000,"")</f>
        <v/>
      </c>
      <c r="U3659" s="9">
        <f>IF(Q3659="비교",ABS(P3659)+ROW()/1000000000,"")</f>
        <v/>
      </c>
      <c r="V3659" s="64">
        <f>IF($A3659="","",IF(COUNTIF(변동분석!$E$7:$E$506,O3659)&gt;0,"Y","N"))</f>
        <v/>
      </c>
      <c r="W3659" s="64">
        <f>IF($A3659="","",IFERROR(INDEX(계정매핑!$D$5:$D$504,MATCH($F3659&amp;"",계정매핑!$A$5:$A$504,0)),"미매핑"))</f>
        <v/>
      </c>
      <c r="X3659" s="9">
        <f>IF($A3659="","",$F3659&amp;"")</f>
        <v/>
      </c>
      <c r="Y3659" s="94">
        <f>IF($A3659="",0,IF(AE3659="직접",IF(AF3659="비귀속",$P3659,0),$P3659*(1-AG3659)*IFERROR(INDEX(계정대체기준!$F$20:$F$49,MATCH($N3659,계정대체기준!$A$20:$A$49,0)),1)))</f>
        <v/>
      </c>
      <c r="Z3659" s="94">
        <f>IF($A3659="",0,IF(AE3659="직접",IF(AF3659="신계약비",$P3659,0),$P3659*(1-AG3659)*IFERROR(INDEX(계정대체기준!$C$20:$C$49,MATCH($N3659,계정대체기준!$A$20:$A$49,0)),0)))</f>
        <v/>
      </c>
      <c r="AA3659" s="94">
        <f>IF($A3659="",0,IF(AE3659="직접",IF(OR(AF3659="유지비",AF3659="손해조사비"),$P3659,0),$P3659*(1-AG3659)*IFERROR(INDEX(계정대체기준!$D$20:$D$49,MATCH($N3659,계정대체기준!$A$20:$A$49,0)),0)))</f>
        <v/>
      </c>
      <c r="AB3659" s="94">
        <f>IF($A3659="",0,IF(AE3659="직접",IF(AF3659="수금비",$P3659,0),$P3659*(1-AG3659)*IFERROR(INDEX(계정대체기준!$E$20:$E$49,MATCH($N3659,계정대체기준!$A$20:$A$49,0)),0)))</f>
        <v/>
      </c>
      <c r="AC3659" s="9">
        <f>IF(AND($A3659&lt;&gt;"",M3659=설정!$C$20,Z3659&gt;0),Z3659+ROW()/1000000000,"")</f>
        <v/>
      </c>
      <c r="AD3659" s="94">
        <f>IF($A3659="",0,$P3659*AG3659)</f>
        <v/>
      </c>
      <c r="AE3659" s="64">
        <f>IF($A3659="","",IFERROR(INDEX(계정매핑!$E$5:$E$504,MATCH($F3659&amp;"",계정매핑!$A$5:$A$504,0))&amp;"","공통비"))</f>
        <v/>
      </c>
      <c r="AF3659" s="64">
        <f>IF($A3659="","",IF(AE3659="직접",IFERROR(INDEX(계정매핑!$F$5:$F$504,MATCH($F3659&amp;"",계정매핑!$A$5:$A$504,0))&amp;"","비귀속"),""))</f>
        <v/>
      </c>
      <c r="AG3659" s="96">
        <f>IF($A3659="",0,IF(AND(AE3659&lt;&gt;"직접",IFERROR(INDEX(계정매핑!$G$5:$G$504,MATCH($F3659&amp;"",계정매핑!$A$5:$A$504,0))&amp;"","")="유지비",COUNTIF(계정대체기준!$A$6:$A$15,$N3659)&gt;0),IFERROR(INDEX(계정대체기준!$E$6:$E$15,MATCH(VALUE($A3659&amp;""),계정대체기준!$D$6:$D$15,0)),0),0))</f>
        <v/>
      </c>
      <c r="AH3659" s="64">
        <f>IF($A3659="","",IF(AD3659=0,"",IF(OR(COUNTIF(계정대체기준!$A$77:$A$86,$N3659)&gt;0,ISNUMBER(MATCH($X3659,계정대체기준!$D$77:$D$86,0)),ISNUMBER(MATCH($F3659,계정대체기준!$D$77:$D$86,0))),"Y","N")))</f>
        <v/>
      </c>
    </row>
    <row r="3660">
      <c r="A3660" s="92" t="n">
        <v>2026</v>
      </c>
      <c r="B3660" s="92" t="n">
        <v>5</v>
      </c>
      <c r="C3660" s="92" t="inlineStr">
        <is>
          <t>5100000938</t>
        </is>
      </c>
      <c r="D3660" s="95" t="n">
        <v>46146</v>
      </c>
      <c r="E3660" s="92" t="inlineStr">
        <is>
          <t>KR</t>
        </is>
      </c>
      <c r="F3660" s="92" t="n">
        <v>62901000</v>
      </c>
      <c r="G3660" s="92" t="n">
        <v>1201</v>
      </c>
      <c r="H3660" s="93" t="n">
        <v>8420000</v>
      </c>
      <c r="I3660" s="92" t="inlineStr">
        <is>
          <t>5월 자문 수수료 - K회계법인</t>
        </is>
      </c>
      <c r="J3660" s="92" t="inlineStr">
        <is>
          <t>V10011</t>
        </is>
      </c>
      <c r="K3660" s="92" t="inlineStr">
        <is>
          <t>K회계법인</t>
        </is>
      </c>
      <c r="M3660" s="9">
        <f>IF($A3660="","",VALUE($A3660&amp;"")*12+VALUE($B3660&amp;""))</f>
        <v/>
      </c>
      <c r="N3660" s="64">
        <f>IF($A3660="","",IFERROR(INDEX(부서매핑!$C$5:$C$504,MATCH($G3660&amp;"",부서매핑!$A$5:$A$504,0)),"미매핑"))</f>
        <v/>
      </c>
      <c r="O3660" s="9">
        <f>IF($A3660="","",N3660&amp;"|"&amp;$F3660)</f>
        <v/>
      </c>
      <c r="P3660" s="94">
        <f>IF($A3660="",0,$H3660*설정!$C$23)</f>
        <v/>
      </c>
      <c r="Q3660" s="64">
        <f>IF($A3660="","",IF(O3660&lt;&gt;원인분석!$C$9,"",IF(AND(M3660&gt;=원인분석!$C$10,M3660&lt;=원인분석!$C$11),"당기",IF(AND(M3660&gt;=원인분석!$C$12,M3660&lt;=원인분석!$C$13),"비교",""))))</f>
        <v/>
      </c>
      <c r="R3660" s="9">
        <f>IF(Q3660="","",$K3660&amp;"")</f>
        <v/>
      </c>
      <c r="S3660" s="9">
        <f>IF(Q3660="","",IF(MATCH(R3660,$R$5:$R$100000,0)=ROW()-4,ROW(),""))</f>
        <v/>
      </c>
      <c r="T3660" s="9">
        <f>IF(Q3660="당기",ABS(P3660)+ROW()/1000000000,"")</f>
        <v/>
      </c>
      <c r="U3660" s="9">
        <f>IF(Q3660="비교",ABS(P3660)+ROW()/1000000000,"")</f>
        <v/>
      </c>
      <c r="V3660" s="64">
        <f>IF($A3660="","",IF(COUNTIF(변동분석!$E$7:$E$506,O3660)&gt;0,"Y","N"))</f>
        <v/>
      </c>
      <c r="W3660" s="64">
        <f>IF($A3660="","",IFERROR(INDEX(계정매핑!$D$5:$D$504,MATCH($F3660&amp;"",계정매핑!$A$5:$A$504,0)),"미매핑"))</f>
        <v/>
      </c>
      <c r="X3660" s="9">
        <f>IF($A3660="","",$F3660&amp;"")</f>
        <v/>
      </c>
      <c r="Y3660" s="94">
        <f>IF($A3660="",0,IF(AE3660="직접",IF(AF3660="비귀속",$P3660,0),$P3660*(1-AG3660)*IFERROR(INDEX(계정대체기준!$F$20:$F$49,MATCH($N3660,계정대체기준!$A$20:$A$49,0)),1)))</f>
        <v/>
      </c>
      <c r="Z3660" s="94">
        <f>IF($A3660="",0,IF(AE3660="직접",IF(AF3660="신계약비",$P3660,0),$P3660*(1-AG3660)*IFERROR(INDEX(계정대체기준!$C$20:$C$49,MATCH($N3660,계정대체기준!$A$20:$A$49,0)),0)))</f>
        <v/>
      </c>
      <c r="AA3660" s="94">
        <f>IF($A3660="",0,IF(AE3660="직접",IF(OR(AF3660="유지비",AF3660="손해조사비"),$P3660,0),$P3660*(1-AG3660)*IFERROR(INDEX(계정대체기준!$D$20:$D$49,MATCH($N3660,계정대체기준!$A$20:$A$49,0)),0)))</f>
        <v/>
      </c>
      <c r="AB3660" s="94">
        <f>IF($A3660="",0,IF(AE3660="직접",IF(AF3660="수금비",$P3660,0),$P3660*(1-AG3660)*IFERROR(INDEX(계정대체기준!$E$20:$E$49,MATCH($N3660,계정대체기준!$A$20:$A$49,0)),0)))</f>
        <v/>
      </c>
      <c r="AC3660" s="9">
        <f>IF(AND($A3660&lt;&gt;"",M3660=설정!$C$20,Z3660&gt;0),Z3660+ROW()/1000000000,"")</f>
        <v/>
      </c>
      <c r="AD3660" s="94">
        <f>IF($A3660="",0,$P3660*AG3660)</f>
        <v/>
      </c>
      <c r="AE3660" s="64">
        <f>IF($A3660="","",IFERROR(INDEX(계정매핑!$E$5:$E$504,MATCH($F3660&amp;"",계정매핑!$A$5:$A$504,0))&amp;"","공통비"))</f>
        <v/>
      </c>
      <c r="AF3660" s="64">
        <f>IF($A3660="","",IF(AE3660="직접",IFERROR(INDEX(계정매핑!$F$5:$F$504,MATCH($F3660&amp;"",계정매핑!$A$5:$A$504,0))&amp;"","비귀속"),""))</f>
        <v/>
      </c>
      <c r="AG3660" s="96">
        <f>IF($A3660="",0,IF(AND(AE3660&lt;&gt;"직접",IFERROR(INDEX(계정매핑!$G$5:$G$504,MATCH($F3660&amp;"",계정매핑!$A$5:$A$504,0))&amp;"","")="유지비",COUNTIF(계정대체기준!$A$6:$A$15,$N3660)&gt;0),IFERROR(INDEX(계정대체기준!$E$6:$E$15,MATCH(VALUE($A3660&amp;""),계정대체기준!$D$6:$D$15,0)),0),0))</f>
        <v/>
      </c>
      <c r="AH3660" s="64">
        <f>IF($A3660="","",IF(AD3660=0,"",IF(OR(COUNTIF(계정대체기준!$A$77:$A$86,$N3660)&gt;0,ISNUMBER(MATCH($X3660,계정대체기준!$D$77:$D$86,0)),ISNUMBER(MATCH($F3660,계정대체기준!$D$77:$D$86,0))),"Y","N")))</f>
        <v/>
      </c>
    </row>
    <row r="3661">
      <c r="A3661" s="92" t="n">
        <v>2026</v>
      </c>
      <c r="B3661" s="92" t="n">
        <v>5</v>
      </c>
      <c r="C3661" s="92" t="inlineStr">
        <is>
          <t>5100000939</t>
        </is>
      </c>
      <c r="D3661" s="95" t="n">
        <v>46146</v>
      </c>
      <c r="E3661" s="92" t="inlineStr">
        <is>
          <t>KR</t>
        </is>
      </c>
      <c r="F3661" s="92" t="n">
        <v>62902000</v>
      </c>
      <c r="G3661" s="92" t="n">
        <v>1801</v>
      </c>
      <c r="H3661" s="93" t="n">
        <v>1823000</v>
      </c>
      <c r="I3661" s="92" t="inlineStr">
        <is>
          <t>5월 콜 위탁 수수료(건별)</t>
        </is>
      </c>
      <c r="J3661" s="92" t="inlineStr">
        <is>
          <t>V10016</t>
        </is>
      </c>
      <c r="K3661" s="92" t="inlineStr">
        <is>
          <t>J콜센터</t>
        </is>
      </c>
      <c r="M3661" s="9">
        <f>IF($A3661="","",VALUE($A3661&amp;"")*12+VALUE($B3661&amp;""))</f>
        <v/>
      </c>
      <c r="N3661" s="64">
        <f>IF($A3661="","",IFERROR(INDEX(부서매핑!$C$5:$C$504,MATCH($G3661&amp;"",부서매핑!$A$5:$A$504,0)),"미매핑"))</f>
        <v/>
      </c>
      <c r="O3661" s="9">
        <f>IF($A3661="","",N3661&amp;"|"&amp;$F3661)</f>
        <v/>
      </c>
      <c r="P3661" s="94">
        <f>IF($A3661="",0,$H3661*설정!$C$23)</f>
        <v/>
      </c>
      <c r="Q3661" s="64">
        <f>IF($A3661="","",IF(O3661&lt;&gt;원인분석!$C$9,"",IF(AND(M3661&gt;=원인분석!$C$10,M3661&lt;=원인분석!$C$11),"당기",IF(AND(M3661&gt;=원인분석!$C$12,M3661&lt;=원인분석!$C$13),"비교",""))))</f>
        <v/>
      </c>
      <c r="R3661" s="9">
        <f>IF(Q3661="","",$K3661&amp;"")</f>
        <v/>
      </c>
      <c r="S3661" s="9">
        <f>IF(Q3661="","",IF(MATCH(R3661,$R$5:$R$100000,0)=ROW()-4,ROW(),""))</f>
        <v/>
      </c>
      <c r="T3661" s="9">
        <f>IF(Q3661="당기",ABS(P3661)+ROW()/1000000000,"")</f>
        <v/>
      </c>
      <c r="U3661" s="9">
        <f>IF(Q3661="비교",ABS(P3661)+ROW()/1000000000,"")</f>
        <v/>
      </c>
      <c r="V3661" s="64">
        <f>IF($A3661="","",IF(COUNTIF(변동분석!$E$7:$E$506,O3661)&gt;0,"Y","N"))</f>
        <v/>
      </c>
      <c r="W3661" s="64">
        <f>IF($A3661="","",IFERROR(INDEX(계정매핑!$D$5:$D$504,MATCH($F3661&amp;"",계정매핑!$A$5:$A$504,0)),"미매핑"))</f>
        <v/>
      </c>
      <c r="X3661" s="9">
        <f>IF($A3661="","",$F3661&amp;"")</f>
        <v/>
      </c>
      <c r="Y3661" s="94">
        <f>IF($A3661="",0,IF(AE3661="직접",IF(AF3661="비귀속",$P3661,0),$P3661*(1-AG3661)*IFERROR(INDEX(계정대체기준!$F$20:$F$49,MATCH($N3661,계정대체기준!$A$20:$A$49,0)),1)))</f>
        <v/>
      </c>
      <c r="Z3661" s="94">
        <f>IF($A3661="",0,IF(AE3661="직접",IF(AF3661="신계약비",$P3661,0),$P3661*(1-AG3661)*IFERROR(INDEX(계정대체기준!$C$20:$C$49,MATCH($N3661,계정대체기준!$A$20:$A$49,0)),0)))</f>
        <v/>
      </c>
      <c r="AA3661" s="94">
        <f>IF($A3661="",0,IF(AE3661="직접",IF(OR(AF3661="유지비",AF3661="손해조사비"),$P3661,0),$P3661*(1-AG3661)*IFERROR(INDEX(계정대체기준!$D$20:$D$49,MATCH($N3661,계정대체기준!$A$20:$A$49,0)),0)))</f>
        <v/>
      </c>
      <c r="AB3661" s="94">
        <f>IF($A3661="",0,IF(AE3661="직접",IF(AF3661="수금비",$P3661,0),$P3661*(1-AG3661)*IFERROR(INDEX(계정대체기준!$E$20:$E$49,MATCH($N3661,계정대체기준!$A$20:$A$49,0)),0)))</f>
        <v/>
      </c>
      <c r="AC3661" s="9">
        <f>IF(AND($A3661&lt;&gt;"",M3661=설정!$C$20,Z3661&gt;0),Z3661+ROW()/1000000000,"")</f>
        <v/>
      </c>
      <c r="AD3661" s="94">
        <f>IF($A3661="",0,$P3661*AG3661)</f>
        <v/>
      </c>
      <c r="AE3661" s="64">
        <f>IF($A3661="","",IFERROR(INDEX(계정매핑!$E$5:$E$504,MATCH($F3661&amp;"",계정매핑!$A$5:$A$504,0))&amp;"","공통비"))</f>
        <v/>
      </c>
      <c r="AF3661" s="64">
        <f>IF($A3661="","",IF(AE3661="직접",IFERROR(INDEX(계정매핑!$F$5:$F$504,MATCH($F3661&amp;"",계정매핑!$A$5:$A$504,0))&amp;"","비귀속"),""))</f>
        <v/>
      </c>
      <c r="AG3661" s="96">
        <f>IF($A3661="",0,IF(AND(AE3661&lt;&gt;"직접",IFERROR(INDEX(계정매핑!$G$5:$G$504,MATCH($F3661&amp;"",계정매핑!$A$5:$A$504,0))&amp;"","")="유지비",COUNTIF(계정대체기준!$A$6:$A$15,$N3661)&gt;0),IFERROR(INDEX(계정대체기준!$E$6:$E$15,MATCH(VALUE($A3661&amp;""),계정대체기준!$D$6:$D$15,0)),0),0))</f>
        <v/>
      </c>
      <c r="AH3661" s="64">
        <f>IF($A3661="","",IF(AD3661=0,"",IF(OR(COUNTIF(계정대체기준!$A$77:$A$86,$N3661)&gt;0,ISNUMBER(MATCH($X3661,계정대체기준!$D$77:$D$86,0)),ISNUMBER(MATCH($F3661,계정대체기준!$D$77:$D$86,0))),"Y","N")))</f>
        <v/>
      </c>
    </row>
    <row r="3662">
      <c r="A3662" s="92" t="n">
        <v>2026</v>
      </c>
      <c r="B3662" s="92" t="n">
        <v>5</v>
      </c>
      <c r="C3662" s="92" t="inlineStr">
        <is>
          <t>5100000940</t>
        </is>
      </c>
      <c r="D3662" s="95" t="n">
        <v>46146</v>
      </c>
      <c r="E3662" s="92" t="inlineStr">
        <is>
          <t>KR</t>
        </is>
      </c>
      <c r="F3662" s="92" t="n">
        <v>62902000</v>
      </c>
      <c r="G3662" s="92" t="n">
        <v>1801</v>
      </c>
      <c r="H3662" s="93" t="n">
        <v>3000000</v>
      </c>
      <c r="I3662" s="92" t="inlineStr">
        <is>
          <t>5월 업무 위탁 수수료 - X서비스</t>
        </is>
      </c>
      <c r="J3662" s="92" t="inlineStr">
        <is>
          <t>V10020</t>
        </is>
      </c>
      <c r="K3662" s="92" t="inlineStr">
        <is>
          <t>X서비스</t>
        </is>
      </c>
      <c r="M3662" s="9">
        <f>IF($A3662="","",VALUE($A3662&amp;"")*12+VALUE($B3662&amp;""))</f>
        <v/>
      </c>
      <c r="N3662" s="64">
        <f>IF($A3662="","",IFERROR(INDEX(부서매핑!$C$5:$C$504,MATCH($G3662&amp;"",부서매핑!$A$5:$A$504,0)),"미매핑"))</f>
        <v/>
      </c>
      <c r="O3662" s="9">
        <f>IF($A3662="","",N3662&amp;"|"&amp;$F3662)</f>
        <v/>
      </c>
      <c r="P3662" s="94">
        <f>IF($A3662="",0,$H3662*설정!$C$23)</f>
        <v/>
      </c>
      <c r="Q3662" s="64">
        <f>IF($A3662="","",IF(O3662&lt;&gt;원인분석!$C$9,"",IF(AND(M3662&gt;=원인분석!$C$10,M3662&lt;=원인분석!$C$11),"당기",IF(AND(M3662&gt;=원인분석!$C$12,M3662&lt;=원인분석!$C$13),"비교",""))))</f>
        <v/>
      </c>
      <c r="R3662" s="9">
        <f>IF(Q3662="","",$K3662&amp;"")</f>
        <v/>
      </c>
      <c r="S3662" s="9">
        <f>IF(Q3662="","",IF(MATCH(R3662,$R$5:$R$100000,0)=ROW()-4,ROW(),""))</f>
        <v/>
      </c>
      <c r="T3662" s="9">
        <f>IF(Q3662="당기",ABS(P3662)+ROW()/1000000000,"")</f>
        <v/>
      </c>
      <c r="U3662" s="9">
        <f>IF(Q3662="비교",ABS(P3662)+ROW()/1000000000,"")</f>
        <v/>
      </c>
      <c r="V3662" s="64">
        <f>IF($A3662="","",IF(COUNTIF(변동분석!$E$7:$E$506,O3662)&gt;0,"Y","N"))</f>
        <v/>
      </c>
      <c r="W3662" s="64">
        <f>IF($A3662="","",IFERROR(INDEX(계정매핑!$D$5:$D$504,MATCH($F3662&amp;"",계정매핑!$A$5:$A$504,0)),"미매핑"))</f>
        <v/>
      </c>
      <c r="X3662" s="9">
        <f>IF($A3662="","",$F3662&amp;"")</f>
        <v/>
      </c>
      <c r="Y3662" s="94">
        <f>IF($A3662="",0,IF(AE3662="직접",IF(AF3662="비귀속",$P3662,0),$P3662*(1-AG3662)*IFERROR(INDEX(계정대체기준!$F$20:$F$49,MATCH($N3662,계정대체기준!$A$20:$A$49,0)),1)))</f>
        <v/>
      </c>
      <c r="Z3662" s="94">
        <f>IF($A3662="",0,IF(AE3662="직접",IF(AF3662="신계약비",$P3662,0),$P3662*(1-AG3662)*IFERROR(INDEX(계정대체기준!$C$20:$C$49,MATCH($N3662,계정대체기준!$A$20:$A$49,0)),0)))</f>
        <v/>
      </c>
      <c r="AA3662" s="94">
        <f>IF($A3662="",0,IF(AE3662="직접",IF(OR(AF3662="유지비",AF3662="손해조사비"),$P3662,0),$P3662*(1-AG3662)*IFERROR(INDEX(계정대체기준!$D$20:$D$49,MATCH($N3662,계정대체기준!$A$20:$A$49,0)),0)))</f>
        <v/>
      </c>
      <c r="AB3662" s="94">
        <f>IF($A3662="",0,IF(AE3662="직접",IF(AF3662="수금비",$P3662,0),$P3662*(1-AG3662)*IFERROR(INDEX(계정대체기준!$E$20:$E$49,MATCH($N3662,계정대체기준!$A$20:$A$49,0)),0)))</f>
        <v/>
      </c>
      <c r="AC3662" s="9">
        <f>IF(AND($A3662&lt;&gt;"",M3662=설정!$C$20,Z3662&gt;0),Z3662+ROW()/1000000000,"")</f>
        <v/>
      </c>
      <c r="AD3662" s="94">
        <f>IF($A3662="",0,$P3662*AG3662)</f>
        <v/>
      </c>
      <c r="AE3662" s="64">
        <f>IF($A3662="","",IFERROR(INDEX(계정매핑!$E$5:$E$504,MATCH($F3662&amp;"",계정매핑!$A$5:$A$504,0))&amp;"","공통비"))</f>
        <v/>
      </c>
      <c r="AF3662" s="64">
        <f>IF($A3662="","",IF(AE3662="직접",IFERROR(INDEX(계정매핑!$F$5:$F$504,MATCH($F3662&amp;"",계정매핑!$A$5:$A$504,0))&amp;"","비귀속"),""))</f>
        <v/>
      </c>
      <c r="AG3662" s="96">
        <f>IF($A3662="",0,IF(AND(AE3662&lt;&gt;"직접",IFERROR(INDEX(계정매핑!$G$5:$G$504,MATCH($F3662&amp;"",계정매핑!$A$5:$A$504,0))&amp;"","")="유지비",COUNTIF(계정대체기준!$A$6:$A$15,$N3662)&gt;0),IFERROR(INDEX(계정대체기준!$E$6:$E$15,MATCH(VALUE($A3662&amp;""),계정대체기준!$D$6:$D$15,0)),0),0))</f>
        <v/>
      </c>
      <c r="AH3662" s="64">
        <f>IF($A3662="","",IF(AD3662=0,"",IF(OR(COUNTIF(계정대체기준!$A$77:$A$86,$N3662)&gt;0,ISNUMBER(MATCH($X3662,계정대체기준!$D$77:$D$86,0)),ISNUMBER(MATCH($F3662,계정대체기준!$D$77:$D$86,0))),"Y","N")))</f>
        <v/>
      </c>
    </row>
    <row r="3663">
      <c r="A3663" s="92" t="n">
        <v>2026</v>
      </c>
      <c r="B3663" s="92" t="n">
        <v>5</v>
      </c>
      <c r="C3663" s="92" t="inlineStr">
        <is>
          <t>5100000941</t>
        </is>
      </c>
      <c r="D3663" s="95" t="n">
        <v>46146</v>
      </c>
      <c r="E3663" s="92" t="inlineStr">
        <is>
          <t>KR</t>
        </is>
      </c>
      <c r="F3663" s="92" t="n">
        <v>63001000</v>
      </c>
      <c r="G3663" s="92" t="n">
        <v>1701</v>
      </c>
      <c r="H3663" s="93" t="n">
        <v>26005000</v>
      </c>
      <c r="I3663" s="92" t="inlineStr">
        <is>
          <t>5월 SW 유지보수 - Y소프트</t>
        </is>
      </c>
      <c r="J3663" s="92" t="inlineStr">
        <is>
          <t>V10017</t>
        </is>
      </c>
      <c r="K3663" s="92" t="inlineStr">
        <is>
          <t>Y소프트</t>
        </is>
      </c>
      <c r="M3663" s="9">
        <f>IF($A3663="","",VALUE($A3663&amp;"")*12+VALUE($B3663&amp;""))</f>
        <v/>
      </c>
      <c r="N3663" s="64">
        <f>IF($A3663="","",IFERROR(INDEX(부서매핑!$C$5:$C$504,MATCH($G3663&amp;"",부서매핑!$A$5:$A$504,0)),"미매핑"))</f>
        <v/>
      </c>
      <c r="O3663" s="9">
        <f>IF($A3663="","",N3663&amp;"|"&amp;$F3663)</f>
        <v/>
      </c>
      <c r="P3663" s="94">
        <f>IF($A3663="",0,$H3663*설정!$C$23)</f>
        <v/>
      </c>
      <c r="Q3663" s="64">
        <f>IF($A3663="","",IF(O3663&lt;&gt;원인분석!$C$9,"",IF(AND(M3663&gt;=원인분석!$C$10,M3663&lt;=원인분석!$C$11),"당기",IF(AND(M3663&gt;=원인분석!$C$12,M3663&lt;=원인분석!$C$13),"비교",""))))</f>
        <v/>
      </c>
      <c r="R3663" s="9">
        <f>IF(Q3663="","",$K3663&amp;"")</f>
        <v/>
      </c>
      <c r="S3663" s="9">
        <f>IF(Q3663="","",IF(MATCH(R3663,$R$5:$R$100000,0)=ROW()-4,ROW(),""))</f>
        <v/>
      </c>
      <c r="T3663" s="9">
        <f>IF(Q3663="당기",ABS(P3663)+ROW()/1000000000,"")</f>
        <v/>
      </c>
      <c r="U3663" s="9">
        <f>IF(Q3663="비교",ABS(P3663)+ROW()/1000000000,"")</f>
        <v/>
      </c>
      <c r="V3663" s="64">
        <f>IF($A3663="","",IF(COUNTIF(변동분석!$E$7:$E$506,O3663)&gt;0,"Y","N"))</f>
        <v/>
      </c>
      <c r="W3663" s="64">
        <f>IF($A3663="","",IFERROR(INDEX(계정매핑!$D$5:$D$504,MATCH($F3663&amp;"",계정매핑!$A$5:$A$504,0)),"미매핑"))</f>
        <v/>
      </c>
      <c r="X3663" s="9">
        <f>IF($A3663="","",$F3663&amp;"")</f>
        <v/>
      </c>
      <c r="Y3663" s="94">
        <f>IF($A3663="",0,IF(AE3663="직접",IF(AF3663="비귀속",$P3663,0),$P3663*(1-AG3663)*IFERROR(INDEX(계정대체기준!$F$20:$F$49,MATCH($N3663,계정대체기준!$A$20:$A$49,0)),1)))</f>
        <v/>
      </c>
      <c r="Z3663" s="94">
        <f>IF($A3663="",0,IF(AE3663="직접",IF(AF3663="신계약비",$P3663,0),$P3663*(1-AG3663)*IFERROR(INDEX(계정대체기준!$C$20:$C$49,MATCH($N3663,계정대체기준!$A$20:$A$49,0)),0)))</f>
        <v/>
      </c>
      <c r="AA3663" s="94">
        <f>IF($A3663="",0,IF(AE3663="직접",IF(OR(AF3663="유지비",AF3663="손해조사비"),$P3663,0),$P3663*(1-AG3663)*IFERROR(INDEX(계정대체기준!$D$20:$D$49,MATCH($N3663,계정대체기준!$A$20:$A$49,0)),0)))</f>
        <v/>
      </c>
      <c r="AB3663" s="94">
        <f>IF($A3663="",0,IF(AE3663="직접",IF(AF3663="수금비",$P3663,0),$P3663*(1-AG3663)*IFERROR(INDEX(계정대체기준!$E$20:$E$49,MATCH($N3663,계정대체기준!$A$20:$A$49,0)),0)))</f>
        <v/>
      </c>
      <c r="AC3663" s="9">
        <f>IF(AND($A3663&lt;&gt;"",M3663=설정!$C$20,Z3663&gt;0),Z3663+ROW()/1000000000,"")</f>
        <v/>
      </c>
      <c r="AD3663" s="94">
        <f>IF($A3663="",0,$P3663*AG3663)</f>
        <v/>
      </c>
      <c r="AE3663" s="64">
        <f>IF($A3663="","",IFERROR(INDEX(계정매핑!$E$5:$E$504,MATCH($F3663&amp;"",계정매핑!$A$5:$A$504,0))&amp;"","공통비"))</f>
        <v/>
      </c>
      <c r="AF3663" s="64">
        <f>IF($A3663="","",IF(AE3663="직접",IFERROR(INDEX(계정매핑!$F$5:$F$504,MATCH($F3663&amp;"",계정매핑!$A$5:$A$504,0))&amp;"","비귀속"),""))</f>
        <v/>
      </c>
      <c r="AG3663" s="96">
        <f>IF($A3663="",0,IF(AND(AE3663&lt;&gt;"직접",IFERROR(INDEX(계정매핑!$G$5:$G$504,MATCH($F3663&amp;"",계정매핑!$A$5:$A$504,0))&amp;"","")="유지비",COUNTIF(계정대체기준!$A$6:$A$15,$N3663)&gt;0),IFERROR(INDEX(계정대체기준!$E$6:$E$15,MATCH(VALUE($A3663&amp;""),계정대체기준!$D$6:$D$15,0)),0),0))</f>
        <v/>
      </c>
      <c r="AH3663" s="64">
        <f>IF($A3663="","",IF(AD3663=0,"",IF(OR(COUNTIF(계정대체기준!$A$77:$A$86,$N3663)&gt;0,ISNUMBER(MATCH($X3663,계정대체기준!$D$77:$D$86,0)),ISNUMBER(MATCH($F3663,계정대체기준!$D$77:$D$86,0))),"Y","N")))</f>
        <v/>
      </c>
    </row>
    <row r="3664">
      <c r="A3664" s="92" t="n">
        <v>2026</v>
      </c>
      <c r="B3664" s="92" t="n">
        <v>5</v>
      </c>
      <c r="C3664" s="92" t="inlineStr">
        <is>
          <t>5100000942</t>
        </is>
      </c>
      <c r="D3664" s="95" t="n">
        <v>46146</v>
      </c>
      <c r="E3664" s="92" t="inlineStr">
        <is>
          <t>KR</t>
        </is>
      </c>
      <c r="F3664" s="92" t="n">
        <v>63002000</v>
      </c>
      <c r="G3664" s="92" t="n">
        <v>1951</v>
      </c>
      <c r="H3664" s="93" t="n">
        <v>2791000</v>
      </c>
      <c r="I3664" s="92" t="inlineStr">
        <is>
          <t>5월 클라우드 사용료 - C클라우드</t>
        </is>
      </c>
      <c r="J3664" s="92" t="inlineStr">
        <is>
          <t>V10026</t>
        </is>
      </c>
      <c r="K3664" s="92" t="inlineStr">
        <is>
          <t>C클라우드</t>
        </is>
      </c>
      <c r="M3664" s="9">
        <f>IF($A3664="","",VALUE($A3664&amp;"")*12+VALUE($B3664&amp;""))</f>
        <v/>
      </c>
      <c r="N3664" s="64">
        <f>IF($A3664="","",IFERROR(INDEX(부서매핑!$C$5:$C$504,MATCH($G3664&amp;"",부서매핑!$A$5:$A$504,0)),"미매핑"))</f>
        <v/>
      </c>
      <c r="O3664" s="9">
        <f>IF($A3664="","",N3664&amp;"|"&amp;$F3664)</f>
        <v/>
      </c>
      <c r="P3664" s="94">
        <f>IF($A3664="",0,$H3664*설정!$C$23)</f>
        <v/>
      </c>
      <c r="Q3664" s="64">
        <f>IF($A3664="","",IF(O3664&lt;&gt;원인분석!$C$9,"",IF(AND(M3664&gt;=원인분석!$C$10,M3664&lt;=원인분석!$C$11),"당기",IF(AND(M3664&gt;=원인분석!$C$12,M3664&lt;=원인분석!$C$13),"비교",""))))</f>
        <v/>
      </c>
      <c r="R3664" s="9">
        <f>IF(Q3664="","",$K3664&amp;"")</f>
        <v/>
      </c>
      <c r="S3664" s="9">
        <f>IF(Q3664="","",IF(MATCH(R3664,$R$5:$R$100000,0)=ROW()-4,ROW(),""))</f>
        <v/>
      </c>
      <c r="T3664" s="9">
        <f>IF(Q3664="당기",ABS(P3664)+ROW()/1000000000,"")</f>
        <v/>
      </c>
      <c r="U3664" s="9">
        <f>IF(Q3664="비교",ABS(P3664)+ROW()/1000000000,"")</f>
        <v/>
      </c>
      <c r="V3664" s="64">
        <f>IF($A3664="","",IF(COUNTIF(변동분석!$E$7:$E$506,O3664)&gt;0,"Y","N"))</f>
        <v/>
      </c>
      <c r="W3664" s="64">
        <f>IF($A3664="","",IFERROR(INDEX(계정매핑!$D$5:$D$504,MATCH($F3664&amp;"",계정매핑!$A$5:$A$504,0)),"미매핑"))</f>
        <v/>
      </c>
      <c r="X3664" s="9">
        <f>IF($A3664="","",$F3664&amp;"")</f>
        <v/>
      </c>
      <c r="Y3664" s="94">
        <f>IF($A3664="",0,IF(AE3664="직접",IF(AF3664="비귀속",$P3664,0),$P3664*(1-AG3664)*IFERROR(INDEX(계정대체기준!$F$20:$F$49,MATCH($N3664,계정대체기준!$A$20:$A$49,0)),1)))</f>
        <v/>
      </c>
      <c r="Z3664" s="94">
        <f>IF($A3664="",0,IF(AE3664="직접",IF(AF3664="신계약비",$P3664,0),$P3664*(1-AG3664)*IFERROR(INDEX(계정대체기준!$C$20:$C$49,MATCH($N3664,계정대체기준!$A$20:$A$49,0)),0)))</f>
        <v/>
      </c>
      <c r="AA3664" s="94">
        <f>IF($A3664="",0,IF(AE3664="직접",IF(OR(AF3664="유지비",AF3664="손해조사비"),$P3664,0),$P3664*(1-AG3664)*IFERROR(INDEX(계정대체기준!$D$20:$D$49,MATCH($N3664,계정대체기준!$A$20:$A$49,0)),0)))</f>
        <v/>
      </c>
      <c r="AB3664" s="94">
        <f>IF($A3664="",0,IF(AE3664="직접",IF(AF3664="수금비",$P3664,0),$P3664*(1-AG3664)*IFERROR(INDEX(계정대체기준!$E$20:$E$49,MATCH($N3664,계정대체기준!$A$20:$A$49,0)),0)))</f>
        <v/>
      </c>
      <c r="AC3664" s="9">
        <f>IF(AND($A3664&lt;&gt;"",M3664=설정!$C$20,Z3664&gt;0),Z3664+ROW()/1000000000,"")</f>
        <v/>
      </c>
      <c r="AD3664" s="94">
        <f>IF($A3664="",0,$P3664*AG3664)</f>
        <v/>
      </c>
      <c r="AE3664" s="64">
        <f>IF($A3664="","",IFERROR(INDEX(계정매핑!$E$5:$E$504,MATCH($F3664&amp;"",계정매핑!$A$5:$A$504,0))&amp;"","공통비"))</f>
        <v/>
      </c>
      <c r="AF3664" s="64">
        <f>IF($A3664="","",IF(AE3664="직접",IFERROR(INDEX(계정매핑!$F$5:$F$504,MATCH($F3664&amp;"",계정매핑!$A$5:$A$504,0))&amp;"","비귀속"),""))</f>
        <v/>
      </c>
      <c r="AG3664" s="96">
        <f>IF($A3664="",0,IF(AND(AE3664&lt;&gt;"직접",IFERROR(INDEX(계정매핑!$G$5:$G$504,MATCH($F3664&amp;"",계정매핑!$A$5:$A$504,0))&amp;"","")="유지비",COUNTIF(계정대체기준!$A$6:$A$15,$N3664)&gt;0),IFERROR(INDEX(계정대체기준!$E$6:$E$15,MATCH(VALUE($A3664&amp;""),계정대체기준!$D$6:$D$15,0)),0),0))</f>
        <v/>
      </c>
      <c r="AH3664" s="64">
        <f>IF($A3664="","",IF(AD3664=0,"",IF(OR(COUNTIF(계정대체기준!$A$77:$A$86,$N3664)&gt;0,ISNUMBER(MATCH($X3664,계정대체기준!$D$77:$D$86,0)),ISNUMBER(MATCH($F3664,계정대체기준!$D$77:$D$86,0))),"Y","N")))</f>
        <v/>
      </c>
    </row>
    <row r="3665">
      <c r="A3665" s="92" t="n">
        <v>2026</v>
      </c>
      <c r="B3665" s="92" t="n">
        <v>5</v>
      </c>
      <c r="C3665" s="92" t="inlineStr">
        <is>
          <t>5100000943</t>
        </is>
      </c>
      <c r="D3665" s="95" t="n">
        <v>46146</v>
      </c>
      <c r="E3665" s="92" t="inlineStr">
        <is>
          <t>KR</t>
        </is>
      </c>
      <c r="F3665" s="92" t="n">
        <v>63601000</v>
      </c>
      <c r="G3665" s="92" t="n">
        <v>1801</v>
      </c>
      <c r="H3665" s="93" t="n">
        <v>16154000</v>
      </c>
      <c r="I3665" s="92" t="inlineStr">
        <is>
          <t>5월 손해사정 수수료 - EE손해사정</t>
        </is>
      </c>
      <c r="J3665" s="92" t="inlineStr">
        <is>
          <t>V10008</t>
        </is>
      </c>
      <c r="K3665" s="92" t="inlineStr">
        <is>
          <t>EE손해사정</t>
        </is>
      </c>
      <c r="M3665" s="9">
        <f>IF($A3665="","",VALUE($A3665&amp;"")*12+VALUE($B3665&amp;""))</f>
        <v/>
      </c>
      <c r="N3665" s="64">
        <f>IF($A3665="","",IFERROR(INDEX(부서매핑!$C$5:$C$504,MATCH($G3665&amp;"",부서매핑!$A$5:$A$504,0)),"미매핑"))</f>
        <v/>
      </c>
      <c r="O3665" s="9">
        <f>IF($A3665="","",N3665&amp;"|"&amp;$F3665)</f>
        <v/>
      </c>
      <c r="P3665" s="94">
        <f>IF($A3665="",0,$H3665*설정!$C$23)</f>
        <v/>
      </c>
      <c r="Q3665" s="64">
        <f>IF($A3665="","",IF(O3665&lt;&gt;원인분석!$C$9,"",IF(AND(M3665&gt;=원인분석!$C$10,M3665&lt;=원인분석!$C$11),"당기",IF(AND(M3665&gt;=원인분석!$C$12,M3665&lt;=원인분석!$C$13),"비교",""))))</f>
        <v/>
      </c>
      <c r="R3665" s="9">
        <f>IF(Q3665="","",$K3665&amp;"")</f>
        <v/>
      </c>
      <c r="S3665" s="9">
        <f>IF(Q3665="","",IF(MATCH(R3665,$R$5:$R$100000,0)=ROW()-4,ROW(),""))</f>
        <v/>
      </c>
      <c r="T3665" s="9">
        <f>IF(Q3665="당기",ABS(P3665)+ROW()/1000000000,"")</f>
        <v/>
      </c>
      <c r="U3665" s="9">
        <f>IF(Q3665="비교",ABS(P3665)+ROW()/1000000000,"")</f>
        <v/>
      </c>
      <c r="V3665" s="64">
        <f>IF($A3665="","",IF(COUNTIF(변동분석!$E$7:$E$506,O3665)&gt;0,"Y","N"))</f>
        <v/>
      </c>
      <c r="W3665" s="64">
        <f>IF($A3665="","",IFERROR(INDEX(계정매핑!$D$5:$D$504,MATCH($F3665&amp;"",계정매핑!$A$5:$A$504,0)),"미매핑"))</f>
        <v/>
      </c>
      <c r="X3665" s="9">
        <f>IF($A3665="","",$F3665&amp;"")</f>
        <v/>
      </c>
      <c r="Y3665" s="94">
        <f>IF($A3665="",0,IF(AE3665="직접",IF(AF3665="비귀속",$P3665,0),$P3665*(1-AG3665)*IFERROR(INDEX(계정대체기준!$F$20:$F$49,MATCH($N3665,계정대체기준!$A$20:$A$49,0)),1)))</f>
        <v/>
      </c>
      <c r="Z3665" s="94">
        <f>IF($A3665="",0,IF(AE3665="직접",IF(AF3665="신계약비",$P3665,0),$P3665*(1-AG3665)*IFERROR(INDEX(계정대체기준!$C$20:$C$49,MATCH($N3665,계정대체기준!$A$20:$A$49,0)),0)))</f>
        <v/>
      </c>
      <c r="AA3665" s="94">
        <f>IF($A3665="",0,IF(AE3665="직접",IF(OR(AF3665="유지비",AF3665="손해조사비"),$P3665,0),$P3665*(1-AG3665)*IFERROR(INDEX(계정대체기준!$D$20:$D$49,MATCH($N3665,계정대체기준!$A$20:$A$49,0)),0)))</f>
        <v/>
      </c>
      <c r="AB3665" s="94">
        <f>IF($A3665="",0,IF(AE3665="직접",IF(AF3665="수금비",$P3665,0),$P3665*(1-AG3665)*IFERROR(INDEX(계정대체기준!$E$20:$E$49,MATCH($N3665,계정대체기준!$A$20:$A$49,0)),0)))</f>
        <v/>
      </c>
      <c r="AC3665" s="9">
        <f>IF(AND($A3665&lt;&gt;"",M3665=설정!$C$20,Z3665&gt;0),Z3665+ROW()/1000000000,"")</f>
        <v/>
      </c>
      <c r="AD3665" s="94">
        <f>IF($A3665="",0,$P3665*AG3665)</f>
        <v/>
      </c>
      <c r="AE3665" s="64">
        <f>IF($A3665="","",IFERROR(INDEX(계정매핑!$E$5:$E$504,MATCH($F3665&amp;"",계정매핑!$A$5:$A$504,0))&amp;"","공통비"))</f>
        <v/>
      </c>
      <c r="AF3665" s="64">
        <f>IF($A3665="","",IF(AE3665="직접",IFERROR(INDEX(계정매핑!$F$5:$F$504,MATCH($F3665&amp;"",계정매핑!$A$5:$A$504,0))&amp;"","비귀속"),""))</f>
        <v/>
      </c>
      <c r="AG3665" s="96">
        <f>IF($A3665="",0,IF(AND(AE3665&lt;&gt;"직접",IFERROR(INDEX(계정매핑!$G$5:$G$504,MATCH($F3665&amp;"",계정매핑!$A$5:$A$504,0))&amp;"","")="유지비",COUNTIF(계정대체기준!$A$6:$A$15,$N3665)&gt;0),IFERROR(INDEX(계정대체기준!$E$6:$E$15,MATCH(VALUE($A3665&amp;""),계정대체기준!$D$6:$D$15,0)),0),0))</f>
        <v/>
      </c>
      <c r="AH3665" s="64">
        <f>IF($A3665="","",IF(AD3665=0,"",IF(OR(COUNTIF(계정대체기준!$A$77:$A$86,$N3665)&gt;0,ISNUMBER(MATCH($X3665,계정대체기준!$D$77:$D$86,0)),ISNUMBER(MATCH($F3665,계정대체기준!$D$77:$D$86,0))),"Y","N")))</f>
        <v/>
      </c>
    </row>
    <row r="3666">
      <c r="A3666" s="92" t="n">
        <v>2026</v>
      </c>
      <c r="B3666" s="92" t="n">
        <v>5</v>
      </c>
      <c r="C3666" s="92" t="inlineStr">
        <is>
          <t>5100000944</t>
        </is>
      </c>
      <c r="D3666" s="95" t="n">
        <v>46147</v>
      </c>
      <c r="E3666" s="92" t="inlineStr">
        <is>
          <t>KR</t>
        </is>
      </c>
      <c r="F3666" s="92" t="n">
        <v>62102000</v>
      </c>
      <c r="G3666" s="92" t="n">
        <v>1201</v>
      </c>
      <c r="H3666" s="93" t="n">
        <v>94000</v>
      </c>
      <c r="I3666" s="92" t="inlineStr">
        <is>
          <t>5월 해외출장 - N호텔</t>
        </is>
      </c>
      <c r="J3666" s="92" t="inlineStr">
        <is>
          <t>V10009</t>
        </is>
      </c>
      <c r="K3666" s="92" t="inlineStr">
        <is>
          <t>N호텔</t>
        </is>
      </c>
      <c r="M3666" s="9">
        <f>IF($A3666="","",VALUE($A3666&amp;"")*12+VALUE($B3666&amp;""))</f>
        <v/>
      </c>
      <c r="N3666" s="64">
        <f>IF($A3666="","",IFERROR(INDEX(부서매핑!$C$5:$C$504,MATCH($G3666&amp;"",부서매핑!$A$5:$A$504,0)),"미매핑"))</f>
        <v/>
      </c>
      <c r="O3666" s="9">
        <f>IF($A3666="","",N3666&amp;"|"&amp;$F3666)</f>
        <v/>
      </c>
      <c r="P3666" s="94">
        <f>IF($A3666="",0,$H3666*설정!$C$23)</f>
        <v/>
      </c>
      <c r="Q3666" s="64">
        <f>IF($A3666="","",IF(O3666&lt;&gt;원인분석!$C$9,"",IF(AND(M3666&gt;=원인분석!$C$10,M3666&lt;=원인분석!$C$11),"당기",IF(AND(M3666&gt;=원인분석!$C$12,M3666&lt;=원인분석!$C$13),"비교",""))))</f>
        <v/>
      </c>
      <c r="R3666" s="9">
        <f>IF(Q3666="","",$K3666&amp;"")</f>
        <v/>
      </c>
      <c r="S3666" s="9">
        <f>IF(Q3666="","",IF(MATCH(R3666,$R$5:$R$100000,0)=ROW()-4,ROW(),""))</f>
        <v/>
      </c>
      <c r="T3666" s="9">
        <f>IF(Q3666="당기",ABS(P3666)+ROW()/1000000000,"")</f>
        <v/>
      </c>
      <c r="U3666" s="9">
        <f>IF(Q3666="비교",ABS(P3666)+ROW()/1000000000,"")</f>
        <v/>
      </c>
      <c r="V3666" s="64">
        <f>IF($A3666="","",IF(COUNTIF(변동분석!$E$7:$E$506,O3666)&gt;0,"Y","N"))</f>
        <v/>
      </c>
      <c r="W3666" s="64">
        <f>IF($A3666="","",IFERROR(INDEX(계정매핑!$D$5:$D$504,MATCH($F3666&amp;"",계정매핑!$A$5:$A$504,0)),"미매핑"))</f>
        <v/>
      </c>
      <c r="X3666" s="9">
        <f>IF($A3666="","",$F3666&amp;"")</f>
        <v/>
      </c>
      <c r="Y3666" s="94">
        <f>IF($A3666="",0,IF(AE3666="직접",IF(AF3666="비귀속",$P3666,0),$P3666*(1-AG3666)*IFERROR(INDEX(계정대체기준!$F$20:$F$49,MATCH($N3666,계정대체기준!$A$20:$A$49,0)),1)))</f>
        <v/>
      </c>
      <c r="Z3666" s="94">
        <f>IF($A3666="",0,IF(AE3666="직접",IF(AF3666="신계약비",$P3666,0),$P3666*(1-AG3666)*IFERROR(INDEX(계정대체기준!$C$20:$C$49,MATCH($N3666,계정대체기준!$A$20:$A$49,0)),0)))</f>
        <v/>
      </c>
      <c r="AA3666" s="94">
        <f>IF($A3666="",0,IF(AE3666="직접",IF(OR(AF3666="유지비",AF3666="손해조사비"),$P3666,0),$P3666*(1-AG3666)*IFERROR(INDEX(계정대체기준!$D$20:$D$49,MATCH($N3666,계정대체기준!$A$20:$A$49,0)),0)))</f>
        <v/>
      </c>
      <c r="AB3666" s="94">
        <f>IF($A3666="",0,IF(AE3666="직접",IF(AF3666="수금비",$P3666,0),$P3666*(1-AG3666)*IFERROR(INDEX(계정대체기준!$E$20:$E$49,MATCH($N3666,계정대체기준!$A$20:$A$49,0)),0)))</f>
        <v/>
      </c>
      <c r="AC3666" s="9">
        <f>IF(AND($A3666&lt;&gt;"",M3666=설정!$C$20,Z3666&gt;0),Z3666+ROW()/1000000000,"")</f>
        <v/>
      </c>
      <c r="AD3666" s="94">
        <f>IF($A3666="",0,$P3666*AG3666)</f>
        <v/>
      </c>
      <c r="AE3666" s="64">
        <f>IF($A3666="","",IFERROR(INDEX(계정매핑!$E$5:$E$504,MATCH($F3666&amp;"",계정매핑!$A$5:$A$504,0))&amp;"","공통비"))</f>
        <v/>
      </c>
      <c r="AF3666" s="64">
        <f>IF($A3666="","",IF(AE3666="직접",IFERROR(INDEX(계정매핑!$F$5:$F$504,MATCH($F3666&amp;"",계정매핑!$A$5:$A$504,0))&amp;"","비귀속"),""))</f>
        <v/>
      </c>
      <c r="AG3666" s="96">
        <f>IF($A3666="",0,IF(AND(AE3666&lt;&gt;"직접",IFERROR(INDEX(계정매핑!$G$5:$G$504,MATCH($F3666&amp;"",계정매핑!$A$5:$A$504,0))&amp;"","")="유지비",COUNTIF(계정대체기준!$A$6:$A$15,$N3666)&gt;0),IFERROR(INDEX(계정대체기준!$E$6:$E$15,MATCH(VALUE($A3666&amp;""),계정대체기준!$D$6:$D$15,0)),0),0))</f>
        <v/>
      </c>
      <c r="AH3666" s="64">
        <f>IF($A3666="","",IF(AD3666=0,"",IF(OR(COUNTIF(계정대체기준!$A$77:$A$86,$N3666)&gt;0,ISNUMBER(MATCH($X3666,계정대체기준!$D$77:$D$86,0)),ISNUMBER(MATCH($F3666,계정대체기준!$D$77:$D$86,0))),"Y","N")))</f>
        <v/>
      </c>
    </row>
    <row r="3667">
      <c r="A3667" s="92" t="n">
        <v>2026</v>
      </c>
      <c r="B3667" s="92" t="n">
        <v>5</v>
      </c>
      <c r="C3667" s="92" t="inlineStr">
        <is>
          <t>5100000945</t>
        </is>
      </c>
      <c r="D3667" s="95" t="n">
        <v>46147</v>
      </c>
      <c r="E3667" s="92" t="inlineStr">
        <is>
          <t>KR</t>
        </is>
      </c>
      <c r="F3667" s="92" t="n">
        <v>62102000</v>
      </c>
      <c r="G3667" s="92" t="n">
        <v>1401</v>
      </c>
      <c r="H3667" s="93" t="n">
        <v>110000</v>
      </c>
      <c r="I3667" s="92" t="inlineStr">
        <is>
          <t>5월 해외출장 - N호텔</t>
        </is>
      </c>
      <c r="J3667" s="92" t="inlineStr">
        <is>
          <t>V10009</t>
        </is>
      </c>
      <c r="K3667" s="92" t="inlineStr">
        <is>
          <t>N호텔</t>
        </is>
      </c>
      <c r="M3667" s="9">
        <f>IF($A3667="","",VALUE($A3667&amp;"")*12+VALUE($B3667&amp;""))</f>
        <v/>
      </c>
      <c r="N3667" s="64">
        <f>IF($A3667="","",IFERROR(INDEX(부서매핑!$C$5:$C$504,MATCH($G3667&amp;"",부서매핑!$A$5:$A$504,0)),"미매핑"))</f>
        <v/>
      </c>
      <c r="O3667" s="9">
        <f>IF($A3667="","",N3667&amp;"|"&amp;$F3667)</f>
        <v/>
      </c>
      <c r="P3667" s="94">
        <f>IF($A3667="",0,$H3667*설정!$C$23)</f>
        <v/>
      </c>
      <c r="Q3667" s="64">
        <f>IF($A3667="","",IF(O3667&lt;&gt;원인분석!$C$9,"",IF(AND(M3667&gt;=원인분석!$C$10,M3667&lt;=원인분석!$C$11),"당기",IF(AND(M3667&gt;=원인분석!$C$12,M3667&lt;=원인분석!$C$13),"비교",""))))</f>
        <v/>
      </c>
      <c r="R3667" s="9">
        <f>IF(Q3667="","",$K3667&amp;"")</f>
        <v/>
      </c>
      <c r="S3667" s="9">
        <f>IF(Q3667="","",IF(MATCH(R3667,$R$5:$R$100000,0)=ROW()-4,ROW(),""))</f>
        <v/>
      </c>
      <c r="T3667" s="9">
        <f>IF(Q3667="당기",ABS(P3667)+ROW()/1000000000,"")</f>
        <v/>
      </c>
      <c r="U3667" s="9">
        <f>IF(Q3667="비교",ABS(P3667)+ROW()/1000000000,"")</f>
        <v/>
      </c>
      <c r="V3667" s="64">
        <f>IF($A3667="","",IF(COUNTIF(변동분석!$E$7:$E$506,O3667)&gt;0,"Y","N"))</f>
        <v/>
      </c>
      <c r="W3667" s="64">
        <f>IF($A3667="","",IFERROR(INDEX(계정매핑!$D$5:$D$504,MATCH($F3667&amp;"",계정매핑!$A$5:$A$504,0)),"미매핑"))</f>
        <v/>
      </c>
      <c r="X3667" s="9">
        <f>IF($A3667="","",$F3667&amp;"")</f>
        <v/>
      </c>
      <c r="Y3667" s="94">
        <f>IF($A3667="",0,IF(AE3667="직접",IF(AF3667="비귀속",$P3667,0),$P3667*(1-AG3667)*IFERROR(INDEX(계정대체기준!$F$20:$F$49,MATCH($N3667,계정대체기준!$A$20:$A$49,0)),1)))</f>
        <v/>
      </c>
      <c r="Z3667" s="94">
        <f>IF($A3667="",0,IF(AE3667="직접",IF(AF3667="신계약비",$P3667,0),$P3667*(1-AG3667)*IFERROR(INDEX(계정대체기준!$C$20:$C$49,MATCH($N3667,계정대체기준!$A$20:$A$49,0)),0)))</f>
        <v/>
      </c>
      <c r="AA3667" s="94">
        <f>IF($A3667="",0,IF(AE3667="직접",IF(OR(AF3667="유지비",AF3667="손해조사비"),$P3667,0),$P3667*(1-AG3667)*IFERROR(INDEX(계정대체기준!$D$20:$D$49,MATCH($N3667,계정대체기준!$A$20:$A$49,0)),0)))</f>
        <v/>
      </c>
      <c r="AB3667" s="94">
        <f>IF($A3667="",0,IF(AE3667="직접",IF(AF3667="수금비",$P3667,0),$P3667*(1-AG3667)*IFERROR(INDEX(계정대체기준!$E$20:$E$49,MATCH($N3667,계정대체기준!$A$20:$A$49,0)),0)))</f>
        <v/>
      </c>
      <c r="AC3667" s="9">
        <f>IF(AND($A3667&lt;&gt;"",M3667=설정!$C$20,Z3667&gt;0),Z3667+ROW()/1000000000,"")</f>
        <v/>
      </c>
      <c r="AD3667" s="94">
        <f>IF($A3667="",0,$P3667*AG3667)</f>
        <v/>
      </c>
      <c r="AE3667" s="64">
        <f>IF($A3667="","",IFERROR(INDEX(계정매핑!$E$5:$E$504,MATCH($F3667&amp;"",계정매핑!$A$5:$A$504,0))&amp;"","공통비"))</f>
        <v/>
      </c>
      <c r="AF3667" s="64">
        <f>IF($A3667="","",IF(AE3667="직접",IFERROR(INDEX(계정매핑!$F$5:$F$504,MATCH($F3667&amp;"",계정매핑!$A$5:$A$504,0))&amp;"","비귀속"),""))</f>
        <v/>
      </c>
      <c r="AG3667" s="96">
        <f>IF($A3667="",0,IF(AND(AE3667&lt;&gt;"직접",IFERROR(INDEX(계정매핑!$G$5:$G$504,MATCH($F3667&amp;"",계정매핑!$A$5:$A$504,0))&amp;"","")="유지비",COUNTIF(계정대체기준!$A$6:$A$15,$N3667)&gt;0),IFERROR(INDEX(계정대체기준!$E$6:$E$15,MATCH(VALUE($A3667&amp;""),계정대체기준!$D$6:$D$15,0)),0),0))</f>
        <v/>
      </c>
      <c r="AH3667" s="64">
        <f>IF($A3667="","",IF(AD3667=0,"",IF(OR(COUNTIF(계정대체기준!$A$77:$A$86,$N3667)&gt;0,ISNUMBER(MATCH($X3667,계정대체기준!$D$77:$D$86,0)),ISNUMBER(MATCH($F3667,계정대체기준!$D$77:$D$86,0))),"Y","N")))</f>
        <v/>
      </c>
    </row>
    <row r="3668">
      <c r="A3668" s="92" t="n">
        <v>2026</v>
      </c>
      <c r="B3668" s="92" t="n">
        <v>5</v>
      </c>
      <c r="C3668" s="92" t="inlineStr">
        <is>
          <t>5100000946</t>
        </is>
      </c>
      <c r="D3668" s="95" t="n">
        <v>46147</v>
      </c>
      <c r="E3668" s="92" t="inlineStr">
        <is>
          <t>KR</t>
        </is>
      </c>
      <c r="F3668" s="92" t="n">
        <v>62201000</v>
      </c>
      <c r="G3668" s="92" t="n">
        <v>1801</v>
      </c>
      <c r="H3668" s="93" t="n">
        <v>8510000</v>
      </c>
      <c r="I3668" s="92" t="inlineStr">
        <is>
          <t>5월 통신요금 - P통신</t>
        </is>
      </c>
      <c r="J3668" s="92" t="inlineStr">
        <is>
          <t>V10014</t>
        </is>
      </c>
      <c r="K3668" s="92" t="inlineStr">
        <is>
          <t>P통신</t>
        </is>
      </c>
      <c r="M3668" s="9">
        <f>IF($A3668="","",VALUE($A3668&amp;"")*12+VALUE($B3668&amp;""))</f>
        <v/>
      </c>
      <c r="N3668" s="64">
        <f>IF($A3668="","",IFERROR(INDEX(부서매핑!$C$5:$C$504,MATCH($G3668&amp;"",부서매핑!$A$5:$A$504,0)),"미매핑"))</f>
        <v/>
      </c>
      <c r="O3668" s="9">
        <f>IF($A3668="","",N3668&amp;"|"&amp;$F3668)</f>
        <v/>
      </c>
      <c r="P3668" s="94">
        <f>IF($A3668="",0,$H3668*설정!$C$23)</f>
        <v/>
      </c>
      <c r="Q3668" s="64">
        <f>IF($A3668="","",IF(O3668&lt;&gt;원인분석!$C$9,"",IF(AND(M3668&gt;=원인분석!$C$10,M3668&lt;=원인분석!$C$11),"당기",IF(AND(M3668&gt;=원인분석!$C$12,M3668&lt;=원인분석!$C$13),"비교",""))))</f>
        <v/>
      </c>
      <c r="R3668" s="9">
        <f>IF(Q3668="","",$K3668&amp;"")</f>
        <v/>
      </c>
      <c r="S3668" s="9">
        <f>IF(Q3668="","",IF(MATCH(R3668,$R$5:$R$100000,0)=ROW()-4,ROW(),""))</f>
        <v/>
      </c>
      <c r="T3668" s="9">
        <f>IF(Q3668="당기",ABS(P3668)+ROW()/1000000000,"")</f>
        <v/>
      </c>
      <c r="U3668" s="9">
        <f>IF(Q3668="비교",ABS(P3668)+ROW()/1000000000,"")</f>
        <v/>
      </c>
      <c r="V3668" s="64">
        <f>IF($A3668="","",IF(COUNTIF(변동분석!$E$7:$E$506,O3668)&gt;0,"Y","N"))</f>
        <v/>
      </c>
      <c r="W3668" s="64">
        <f>IF($A3668="","",IFERROR(INDEX(계정매핑!$D$5:$D$504,MATCH($F3668&amp;"",계정매핑!$A$5:$A$504,0)),"미매핑"))</f>
        <v/>
      </c>
      <c r="X3668" s="9">
        <f>IF($A3668="","",$F3668&amp;"")</f>
        <v/>
      </c>
      <c r="Y3668" s="94">
        <f>IF($A3668="",0,IF(AE3668="직접",IF(AF3668="비귀속",$P3668,0),$P3668*(1-AG3668)*IFERROR(INDEX(계정대체기준!$F$20:$F$49,MATCH($N3668,계정대체기준!$A$20:$A$49,0)),1)))</f>
        <v/>
      </c>
      <c r="Z3668" s="94">
        <f>IF($A3668="",0,IF(AE3668="직접",IF(AF3668="신계약비",$P3668,0),$P3668*(1-AG3668)*IFERROR(INDEX(계정대체기준!$C$20:$C$49,MATCH($N3668,계정대체기준!$A$20:$A$49,0)),0)))</f>
        <v/>
      </c>
      <c r="AA3668" s="94">
        <f>IF($A3668="",0,IF(AE3668="직접",IF(OR(AF3668="유지비",AF3668="손해조사비"),$P3668,0),$P3668*(1-AG3668)*IFERROR(INDEX(계정대체기준!$D$20:$D$49,MATCH($N3668,계정대체기준!$A$20:$A$49,0)),0)))</f>
        <v/>
      </c>
      <c r="AB3668" s="94">
        <f>IF($A3668="",0,IF(AE3668="직접",IF(AF3668="수금비",$P3668,0),$P3668*(1-AG3668)*IFERROR(INDEX(계정대체기준!$E$20:$E$49,MATCH($N3668,계정대체기준!$A$20:$A$49,0)),0)))</f>
        <v/>
      </c>
      <c r="AC3668" s="9">
        <f>IF(AND($A3668&lt;&gt;"",M3668=설정!$C$20,Z3668&gt;0),Z3668+ROW()/1000000000,"")</f>
        <v/>
      </c>
      <c r="AD3668" s="94">
        <f>IF($A3668="",0,$P3668*AG3668)</f>
        <v/>
      </c>
      <c r="AE3668" s="64">
        <f>IF($A3668="","",IFERROR(INDEX(계정매핑!$E$5:$E$504,MATCH($F3668&amp;"",계정매핑!$A$5:$A$504,0))&amp;"","공통비"))</f>
        <v/>
      </c>
      <c r="AF3668" s="64">
        <f>IF($A3668="","",IF(AE3668="직접",IFERROR(INDEX(계정매핑!$F$5:$F$504,MATCH($F3668&amp;"",계정매핑!$A$5:$A$504,0))&amp;"","비귀속"),""))</f>
        <v/>
      </c>
      <c r="AG3668" s="96">
        <f>IF($A3668="",0,IF(AND(AE3668&lt;&gt;"직접",IFERROR(INDEX(계정매핑!$G$5:$G$504,MATCH($F3668&amp;"",계정매핑!$A$5:$A$504,0))&amp;"","")="유지비",COUNTIF(계정대체기준!$A$6:$A$15,$N3668)&gt;0),IFERROR(INDEX(계정대체기준!$E$6:$E$15,MATCH(VALUE($A3668&amp;""),계정대체기준!$D$6:$D$15,0)),0),0))</f>
        <v/>
      </c>
      <c r="AH3668" s="64">
        <f>IF($A3668="","",IF(AD3668=0,"",IF(OR(COUNTIF(계정대체기준!$A$77:$A$86,$N3668)&gt;0,ISNUMBER(MATCH($X3668,계정대체기준!$D$77:$D$86,0)),ISNUMBER(MATCH($F3668,계정대체기준!$D$77:$D$86,0))),"Y","N")))</f>
        <v/>
      </c>
    </row>
    <row r="3669">
      <c r="A3669" s="92" t="n">
        <v>2026</v>
      </c>
      <c r="B3669" s="92" t="n">
        <v>5</v>
      </c>
      <c r="C3669" s="92" t="inlineStr">
        <is>
          <t>5100000947</t>
        </is>
      </c>
      <c r="D3669" s="95" t="n">
        <v>46147</v>
      </c>
      <c r="E3669" s="92" t="inlineStr">
        <is>
          <t>KR</t>
        </is>
      </c>
      <c r="F3669" s="92" t="n">
        <v>62501000</v>
      </c>
      <c r="G3669" s="92" t="n">
        <v>1601</v>
      </c>
      <c r="H3669" s="93" t="n">
        <v>671000</v>
      </c>
      <c r="I3669" s="92" t="inlineStr">
        <is>
          <t>5월 회의 다과 - (법인카드)</t>
        </is>
      </c>
      <c r="J3669" s="92" t="inlineStr">
        <is>
          <t>V10010</t>
        </is>
      </c>
      <c r="K3669" s="92" t="inlineStr">
        <is>
          <t>(법인카드)</t>
        </is>
      </c>
      <c r="M3669" s="9">
        <f>IF($A3669="","",VALUE($A3669&amp;"")*12+VALUE($B3669&amp;""))</f>
        <v/>
      </c>
      <c r="N3669" s="64">
        <f>IF($A3669="","",IFERROR(INDEX(부서매핑!$C$5:$C$504,MATCH($G3669&amp;"",부서매핑!$A$5:$A$504,0)),"미매핑"))</f>
        <v/>
      </c>
      <c r="O3669" s="9">
        <f>IF($A3669="","",N3669&amp;"|"&amp;$F3669)</f>
        <v/>
      </c>
      <c r="P3669" s="94">
        <f>IF($A3669="",0,$H3669*설정!$C$23)</f>
        <v/>
      </c>
      <c r="Q3669" s="64">
        <f>IF($A3669="","",IF(O3669&lt;&gt;원인분석!$C$9,"",IF(AND(M3669&gt;=원인분석!$C$10,M3669&lt;=원인분석!$C$11),"당기",IF(AND(M3669&gt;=원인분석!$C$12,M3669&lt;=원인분석!$C$13),"비교",""))))</f>
        <v/>
      </c>
      <c r="R3669" s="9">
        <f>IF(Q3669="","",$K3669&amp;"")</f>
        <v/>
      </c>
      <c r="S3669" s="9">
        <f>IF(Q3669="","",IF(MATCH(R3669,$R$5:$R$100000,0)=ROW()-4,ROW(),""))</f>
        <v/>
      </c>
      <c r="T3669" s="9">
        <f>IF(Q3669="당기",ABS(P3669)+ROW()/1000000000,"")</f>
        <v/>
      </c>
      <c r="U3669" s="9">
        <f>IF(Q3669="비교",ABS(P3669)+ROW()/1000000000,"")</f>
        <v/>
      </c>
      <c r="V3669" s="64">
        <f>IF($A3669="","",IF(COUNTIF(변동분석!$E$7:$E$506,O3669)&gt;0,"Y","N"))</f>
        <v/>
      </c>
      <c r="W3669" s="64">
        <f>IF($A3669="","",IFERROR(INDEX(계정매핑!$D$5:$D$504,MATCH($F3669&amp;"",계정매핑!$A$5:$A$504,0)),"미매핑"))</f>
        <v/>
      </c>
      <c r="X3669" s="9">
        <f>IF($A3669="","",$F3669&amp;"")</f>
        <v/>
      </c>
      <c r="Y3669" s="94">
        <f>IF($A3669="",0,IF(AE3669="직접",IF(AF3669="비귀속",$P3669,0),$P3669*(1-AG3669)*IFERROR(INDEX(계정대체기준!$F$20:$F$49,MATCH($N3669,계정대체기준!$A$20:$A$49,0)),1)))</f>
        <v/>
      </c>
      <c r="Z3669" s="94">
        <f>IF($A3669="",0,IF(AE3669="직접",IF(AF3669="신계약비",$P3669,0),$P3669*(1-AG3669)*IFERROR(INDEX(계정대체기준!$C$20:$C$49,MATCH($N3669,계정대체기준!$A$20:$A$49,0)),0)))</f>
        <v/>
      </c>
      <c r="AA3669" s="94">
        <f>IF($A3669="",0,IF(AE3669="직접",IF(OR(AF3669="유지비",AF3669="손해조사비"),$P3669,0),$P3669*(1-AG3669)*IFERROR(INDEX(계정대체기준!$D$20:$D$49,MATCH($N3669,계정대체기준!$A$20:$A$49,0)),0)))</f>
        <v/>
      </c>
      <c r="AB3669" s="94">
        <f>IF($A3669="",0,IF(AE3669="직접",IF(AF3669="수금비",$P3669,0),$P3669*(1-AG3669)*IFERROR(INDEX(계정대체기준!$E$20:$E$49,MATCH($N3669,계정대체기준!$A$20:$A$49,0)),0)))</f>
        <v/>
      </c>
      <c r="AC3669" s="9">
        <f>IF(AND($A3669&lt;&gt;"",M3669=설정!$C$20,Z3669&gt;0),Z3669+ROW()/1000000000,"")</f>
        <v/>
      </c>
      <c r="AD3669" s="94">
        <f>IF($A3669="",0,$P3669*AG3669)</f>
        <v/>
      </c>
      <c r="AE3669" s="64">
        <f>IF($A3669="","",IFERROR(INDEX(계정매핑!$E$5:$E$504,MATCH($F3669&amp;"",계정매핑!$A$5:$A$504,0))&amp;"","공통비"))</f>
        <v/>
      </c>
      <c r="AF3669" s="64">
        <f>IF($A3669="","",IF(AE3669="직접",IFERROR(INDEX(계정매핑!$F$5:$F$504,MATCH($F3669&amp;"",계정매핑!$A$5:$A$504,0))&amp;"","비귀속"),""))</f>
        <v/>
      </c>
      <c r="AG3669" s="96">
        <f>IF($A3669="",0,IF(AND(AE3669&lt;&gt;"직접",IFERROR(INDEX(계정매핑!$G$5:$G$504,MATCH($F3669&amp;"",계정매핑!$A$5:$A$504,0))&amp;"","")="유지비",COUNTIF(계정대체기준!$A$6:$A$15,$N3669)&gt;0),IFERROR(INDEX(계정대체기준!$E$6:$E$15,MATCH(VALUE($A3669&amp;""),계정대체기준!$D$6:$D$15,0)),0),0))</f>
        <v/>
      </c>
      <c r="AH3669" s="64">
        <f>IF($A3669="","",IF(AD3669=0,"",IF(OR(COUNTIF(계정대체기준!$A$77:$A$86,$N3669)&gt;0,ISNUMBER(MATCH($X3669,계정대체기준!$D$77:$D$86,0)),ISNUMBER(MATCH($F3669,계정대체기준!$D$77:$D$86,0))),"Y","N")))</f>
        <v/>
      </c>
    </row>
    <row r="3670">
      <c r="A3670" s="92" t="n">
        <v>2026</v>
      </c>
      <c r="B3670" s="92" t="n">
        <v>5</v>
      </c>
      <c r="C3670" s="92" t="inlineStr">
        <is>
          <t>5100000948</t>
        </is>
      </c>
      <c r="D3670" s="95" t="n">
        <v>46147</v>
      </c>
      <c r="E3670" s="92" t="inlineStr">
        <is>
          <t>KR</t>
        </is>
      </c>
      <c r="F3670" s="92" t="n">
        <v>62902000</v>
      </c>
      <c r="G3670" s="92" t="n">
        <v>1801</v>
      </c>
      <c r="H3670" s="93" t="n">
        <v>1779000</v>
      </c>
      <c r="I3670" s="92" t="inlineStr">
        <is>
          <t>5월 콜 위탁 수수료(건별)</t>
        </is>
      </c>
      <c r="J3670" s="92" t="inlineStr">
        <is>
          <t>V10016</t>
        </is>
      </c>
      <c r="K3670" s="92" t="inlineStr">
        <is>
          <t>J콜센터</t>
        </is>
      </c>
      <c r="M3670" s="9">
        <f>IF($A3670="","",VALUE($A3670&amp;"")*12+VALUE($B3670&amp;""))</f>
        <v/>
      </c>
      <c r="N3670" s="64">
        <f>IF($A3670="","",IFERROR(INDEX(부서매핑!$C$5:$C$504,MATCH($G3670&amp;"",부서매핑!$A$5:$A$504,0)),"미매핑"))</f>
        <v/>
      </c>
      <c r="O3670" s="9">
        <f>IF($A3670="","",N3670&amp;"|"&amp;$F3670)</f>
        <v/>
      </c>
      <c r="P3670" s="94">
        <f>IF($A3670="",0,$H3670*설정!$C$23)</f>
        <v/>
      </c>
      <c r="Q3670" s="64">
        <f>IF($A3670="","",IF(O3670&lt;&gt;원인분석!$C$9,"",IF(AND(M3670&gt;=원인분석!$C$10,M3670&lt;=원인분석!$C$11),"당기",IF(AND(M3670&gt;=원인분석!$C$12,M3670&lt;=원인분석!$C$13),"비교",""))))</f>
        <v/>
      </c>
      <c r="R3670" s="9">
        <f>IF(Q3670="","",$K3670&amp;"")</f>
        <v/>
      </c>
      <c r="S3670" s="9">
        <f>IF(Q3670="","",IF(MATCH(R3670,$R$5:$R$100000,0)=ROW()-4,ROW(),""))</f>
        <v/>
      </c>
      <c r="T3670" s="9">
        <f>IF(Q3670="당기",ABS(P3670)+ROW()/1000000000,"")</f>
        <v/>
      </c>
      <c r="U3670" s="9">
        <f>IF(Q3670="비교",ABS(P3670)+ROW()/1000000000,"")</f>
        <v/>
      </c>
      <c r="V3670" s="64">
        <f>IF($A3670="","",IF(COUNTIF(변동분석!$E$7:$E$506,O3670)&gt;0,"Y","N"))</f>
        <v/>
      </c>
      <c r="W3670" s="64">
        <f>IF($A3670="","",IFERROR(INDEX(계정매핑!$D$5:$D$504,MATCH($F3670&amp;"",계정매핑!$A$5:$A$504,0)),"미매핑"))</f>
        <v/>
      </c>
      <c r="X3670" s="9">
        <f>IF($A3670="","",$F3670&amp;"")</f>
        <v/>
      </c>
      <c r="Y3670" s="94">
        <f>IF($A3670="",0,IF(AE3670="직접",IF(AF3670="비귀속",$P3670,0),$P3670*(1-AG3670)*IFERROR(INDEX(계정대체기준!$F$20:$F$49,MATCH($N3670,계정대체기준!$A$20:$A$49,0)),1)))</f>
        <v/>
      </c>
      <c r="Z3670" s="94">
        <f>IF($A3670="",0,IF(AE3670="직접",IF(AF3670="신계약비",$P3670,0),$P3670*(1-AG3670)*IFERROR(INDEX(계정대체기준!$C$20:$C$49,MATCH($N3670,계정대체기준!$A$20:$A$49,0)),0)))</f>
        <v/>
      </c>
      <c r="AA3670" s="94">
        <f>IF($A3670="",0,IF(AE3670="직접",IF(OR(AF3670="유지비",AF3670="손해조사비"),$P3670,0),$P3670*(1-AG3670)*IFERROR(INDEX(계정대체기준!$D$20:$D$49,MATCH($N3670,계정대체기준!$A$20:$A$49,0)),0)))</f>
        <v/>
      </c>
      <c r="AB3670" s="94">
        <f>IF($A3670="",0,IF(AE3670="직접",IF(AF3670="수금비",$P3670,0),$P3670*(1-AG3670)*IFERROR(INDEX(계정대체기준!$E$20:$E$49,MATCH($N3670,계정대체기준!$A$20:$A$49,0)),0)))</f>
        <v/>
      </c>
      <c r="AC3670" s="9">
        <f>IF(AND($A3670&lt;&gt;"",M3670=설정!$C$20,Z3670&gt;0),Z3670+ROW()/1000000000,"")</f>
        <v/>
      </c>
      <c r="AD3670" s="94">
        <f>IF($A3670="",0,$P3670*AG3670)</f>
        <v/>
      </c>
      <c r="AE3670" s="64">
        <f>IF($A3670="","",IFERROR(INDEX(계정매핑!$E$5:$E$504,MATCH($F3670&amp;"",계정매핑!$A$5:$A$504,0))&amp;"","공통비"))</f>
        <v/>
      </c>
      <c r="AF3670" s="64">
        <f>IF($A3670="","",IF(AE3670="직접",IFERROR(INDEX(계정매핑!$F$5:$F$504,MATCH($F3670&amp;"",계정매핑!$A$5:$A$504,0))&amp;"","비귀속"),""))</f>
        <v/>
      </c>
      <c r="AG3670" s="96">
        <f>IF($A3670="",0,IF(AND(AE3670&lt;&gt;"직접",IFERROR(INDEX(계정매핑!$G$5:$G$504,MATCH($F3670&amp;"",계정매핑!$A$5:$A$504,0))&amp;"","")="유지비",COUNTIF(계정대체기준!$A$6:$A$15,$N3670)&gt;0),IFERROR(INDEX(계정대체기준!$E$6:$E$15,MATCH(VALUE($A3670&amp;""),계정대체기준!$D$6:$D$15,0)),0),0))</f>
        <v/>
      </c>
      <c r="AH3670" s="64">
        <f>IF($A3670="","",IF(AD3670=0,"",IF(OR(COUNTIF(계정대체기준!$A$77:$A$86,$N3670)&gt;0,ISNUMBER(MATCH($X3670,계정대체기준!$D$77:$D$86,0)),ISNUMBER(MATCH($F3670,계정대체기준!$D$77:$D$86,0))),"Y","N")))</f>
        <v/>
      </c>
    </row>
    <row r="3671">
      <c r="A3671" s="92" t="n">
        <v>2026</v>
      </c>
      <c r="B3671" s="92" t="n">
        <v>5</v>
      </c>
      <c r="C3671" s="92" t="inlineStr">
        <is>
          <t>5100000949</t>
        </is>
      </c>
      <c r="D3671" s="95" t="n">
        <v>46147</v>
      </c>
      <c r="E3671" s="92" t="inlineStr">
        <is>
          <t>KR</t>
        </is>
      </c>
      <c r="F3671" s="92" t="n">
        <v>63002000</v>
      </c>
      <c r="G3671" s="92" t="n">
        <v>1951</v>
      </c>
      <c r="H3671" s="93" t="n">
        <v>5387000</v>
      </c>
      <c r="I3671" s="92" t="inlineStr">
        <is>
          <t>5월 클라우드 사용료 - C클라우드</t>
        </is>
      </c>
      <c r="J3671" s="92" t="inlineStr">
        <is>
          <t>V10026</t>
        </is>
      </c>
      <c r="K3671" s="92" t="inlineStr">
        <is>
          <t>C클라우드</t>
        </is>
      </c>
      <c r="M3671" s="9">
        <f>IF($A3671="","",VALUE($A3671&amp;"")*12+VALUE($B3671&amp;""))</f>
        <v/>
      </c>
      <c r="N3671" s="64">
        <f>IF($A3671="","",IFERROR(INDEX(부서매핑!$C$5:$C$504,MATCH($G3671&amp;"",부서매핑!$A$5:$A$504,0)),"미매핑"))</f>
        <v/>
      </c>
      <c r="O3671" s="9">
        <f>IF($A3671="","",N3671&amp;"|"&amp;$F3671)</f>
        <v/>
      </c>
      <c r="P3671" s="94">
        <f>IF($A3671="",0,$H3671*설정!$C$23)</f>
        <v/>
      </c>
      <c r="Q3671" s="64">
        <f>IF($A3671="","",IF(O3671&lt;&gt;원인분석!$C$9,"",IF(AND(M3671&gt;=원인분석!$C$10,M3671&lt;=원인분석!$C$11),"당기",IF(AND(M3671&gt;=원인분석!$C$12,M3671&lt;=원인분석!$C$13),"비교",""))))</f>
        <v/>
      </c>
      <c r="R3671" s="9">
        <f>IF(Q3671="","",$K3671&amp;"")</f>
        <v/>
      </c>
      <c r="S3671" s="9">
        <f>IF(Q3671="","",IF(MATCH(R3671,$R$5:$R$100000,0)=ROW()-4,ROW(),""))</f>
        <v/>
      </c>
      <c r="T3671" s="9">
        <f>IF(Q3671="당기",ABS(P3671)+ROW()/1000000000,"")</f>
        <v/>
      </c>
      <c r="U3671" s="9">
        <f>IF(Q3671="비교",ABS(P3671)+ROW()/1000000000,"")</f>
        <v/>
      </c>
      <c r="V3671" s="64">
        <f>IF($A3671="","",IF(COUNTIF(변동분석!$E$7:$E$506,O3671)&gt;0,"Y","N"))</f>
        <v/>
      </c>
      <c r="W3671" s="64">
        <f>IF($A3671="","",IFERROR(INDEX(계정매핑!$D$5:$D$504,MATCH($F3671&amp;"",계정매핑!$A$5:$A$504,0)),"미매핑"))</f>
        <v/>
      </c>
      <c r="X3671" s="9">
        <f>IF($A3671="","",$F3671&amp;"")</f>
        <v/>
      </c>
      <c r="Y3671" s="94">
        <f>IF($A3671="",0,IF(AE3671="직접",IF(AF3671="비귀속",$P3671,0),$P3671*(1-AG3671)*IFERROR(INDEX(계정대체기준!$F$20:$F$49,MATCH($N3671,계정대체기준!$A$20:$A$49,0)),1)))</f>
        <v/>
      </c>
      <c r="Z3671" s="94">
        <f>IF($A3671="",0,IF(AE3671="직접",IF(AF3671="신계약비",$P3671,0),$P3671*(1-AG3671)*IFERROR(INDEX(계정대체기준!$C$20:$C$49,MATCH($N3671,계정대체기준!$A$20:$A$49,0)),0)))</f>
        <v/>
      </c>
      <c r="AA3671" s="94">
        <f>IF($A3671="",0,IF(AE3671="직접",IF(OR(AF3671="유지비",AF3671="손해조사비"),$P3671,0),$P3671*(1-AG3671)*IFERROR(INDEX(계정대체기준!$D$20:$D$49,MATCH($N3671,계정대체기준!$A$20:$A$49,0)),0)))</f>
        <v/>
      </c>
      <c r="AB3671" s="94">
        <f>IF($A3671="",0,IF(AE3671="직접",IF(AF3671="수금비",$P3671,0),$P3671*(1-AG3671)*IFERROR(INDEX(계정대체기준!$E$20:$E$49,MATCH($N3671,계정대체기준!$A$20:$A$49,0)),0)))</f>
        <v/>
      </c>
      <c r="AC3671" s="9">
        <f>IF(AND($A3671&lt;&gt;"",M3671=설정!$C$20,Z3671&gt;0),Z3671+ROW()/1000000000,"")</f>
        <v/>
      </c>
      <c r="AD3671" s="94">
        <f>IF($A3671="",0,$P3671*AG3671)</f>
        <v/>
      </c>
      <c r="AE3671" s="64">
        <f>IF($A3671="","",IFERROR(INDEX(계정매핑!$E$5:$E$504,MATCH($F3671&amp;"",계정매핑!$A$5:$A$504,0))&amp;"","공통비"))</f>
        <v/>
      </c>
      <c r="AF3671" s="64">
        <f>IF($A3671="","",IF(AE3671="직접",IFERROR(INDEX(계정매핑!$F$5:$F$504,MATCH($F3671&amp;"",계정매핑!$A$5:$A$504,0))&amp;"","비귀속"),""))</f>
        <v/>
      </c>
      <c r="AG3671" s="96">
        <f>IF($A3671="",0,IF(AND(AE3671&lt;&gt;"직접",IFERROR(INDEX(계정매핑!$G$5:$G$504,MATCH($F3671&amp;"",계정매핑!$A$5:$A$504,0))&amp;"","")="유지비",COUNTIF(계정대체기준!$A$6:$A$15,$N3671)&gt;0),IFERROR(INDEX(계정대체기준!$E$6:$E$15,MATCH(VALUE($A3671&amp;""),계정대체기준!$D$6:$D$15,0)),0),0))</f>
        <v/>
      </c>
      <c r="AH3671" s="64">
        <f>IF($A3671="","",IF(AD3671=0,"",IF(OR(COUNTIF(계정대체기준!$A$77:$A$86,$N3671)&gt;0,ISNUMBER(MATCH($X3671,계정대체기준!$D$77:$D$86,0)),ISNUMBER(MATCH($F3671,계정대체기준!$D$77:$D$86,0))),"Y","N")))</f>
        <v/>
      </c>
    </row>
    <row r="3672">
      <c r="A3672" s="92" t="n">
        <v>2026</v>
      </c>
      <c r="B3672" s="92" t="n">
        <v>5</v>
      </c>
      <c r="C3672" s="92" t="inlineStr">
        <is>
          <t>5100000950</t>
        </is>
      </c>
      <c r="D3672" s="95" t="n">
        <v>46148</v>
      </c>
      <c r="E3672" s="92" t="inlineStr">
        <is>
          <t>KR</t>
        </is>
      </c>
      <c r="F3672" s="92" t="n">
        <v>62101000</v>
      </c>
      <c r="G3672" s="92" t="n">
        <v>1401</v>
      </c>
      <c r="H3672" s="93" t="n">
        <v>414000</v>
      </c>
      <c r="I3672" s="92" t="inlineStr">
        <is>
          <t>5월 국내출장 - L여행사</t>
        </is>
      </c>
      <c r="J3672" s="92" t="inlineStr">
        <is>
          <t>V10018</t>
        </is>
      </c>
      <c r="K3672" s="92" t="inlineStr">
        <is>
          <t>L여행사</t>
        </is>
      </c>
      <c r="M3672" s="9">
        <f>IF($A3672="","",VALUE($A3672&amp;"")*12+VALUE($B3672&amp;""))</f>
        <v/>
      </c>
      <c r="N3672" s="64">
        <f>IF($A3672="","",IFERROR(INDEX(부서매핑!$C$5:$C$504,MATCH($G3672&amp;"",부서매핑!$A$5:$A$504,0)),"미매핑"))</f>
        <v/>
      </c>
      <c r="O3672" s="9">
        <f>IF($A3672="","",N3672&amp;"|"&amp;$F3672)</f>
        <v/>
      </c>
      <c r="P3672" s="94">
        <f>IF($A3672="",0,$H3672*설정!$C$23)</f>
        <v/>
      </c>
      <c r="Q3672" s="64">
        <f>IF($A3672="","",IF(O3672&lt;&gt;원인분석!$C$9,"",IF(AND(M3672&gt;=원인분석!$C$10,M3672&lt;=원인분석!$C$11),"당기",IF(AND(M3672&gt;=원인분석!$C$12,M3672&lt;=원인분석!$C$13),"비교",""))))</f>
        <v/>
      </c>
      <c r="R3672" s="9">
        <f>IF(Q3672="","",$K3672&amp;"")</f>
        <v/>
      </c>
      <c r="S3672" s="9">
        <f>IF(Q3672="","",IF(MATCH(R3672,$R$5:$R$100000,0)=ROW()-4,ROW(),""))</f>
        <v/>
      </c>
      <c r="T3672" s="9">
        <f>IF(Q3672="당기",ABS(P3672)+ROW()/1000000000,"")</f>
        <v/>
      </c>
      <c r="U3672" s="9">
        <f>IF(Q3672="비교",ABS(P3672)+ROW()/1000000000,"")</f>
        <v/>
      </c>
      <c r="V3672" s="64">
        <f>IF($A3672="","",IF(COUNTIF(변동분석!$E$7:$E$506,O3672)&gt;0,"Y","N"))</f>
        <v/>
      </c>
      <c r="W3672" s="64">
        <f>IF($A3672="","",IFERROR(INDEX(계정매핑!$D$5:$D$504,MATCH($F3672&amp;"",계정매핑!$A$5:$A$504,0)),"미매핑"))</f>
        <v/>
      </c>
      <c r="X3672" s="9">
        <f>IF($A3672="","",$F3672&amp;"")</f>
        <v/>
      </c>
      <c r="Y3672" s="94">
        <f>IF($A3672="",0,IF(AE3672="직접",IF(AF3672="비귀속",$P3672,0),$P3672*(1-AG3672)*IFERROR(INDEX(계정대체기준!$F$20:$F$49,MATCH($N3672,계정대체기준!$A$20:$A$49,0)),1)))</f>
        <v/>
      </c>
      <c r="Z3672" s="94">
        <f>IF($A3672="",0,IF(AE3672="직접",IF(AF3672="신계약비",$P3672,0),$P3672*(1-AG3672)*IFERROR(INDEX(계정대체기준!$C$20:$C$49,MATCH($N3672,계정대체기준!$A$20:$A$49,0)),0)))</f>
        <v/>
      </c>
      <c r="AA3672" s="94">
        <f>IF($A3672="",0,IF(AE3672="직접",IF(OR(AF3672="유지비",AF3672="손해조사비"),$P3672,0),$P3672*(1-AG3672)*IFERROR(INDEX(계정대체기준!$D$20:$D$49,MATCH($N3672,계정대체기준!$A$20:$A$49,0)),0)))</f>
        <v/>
      </c>
      <c r="AB3672" s="94">
        <f>IF($A3672="",0,IF(AE3672="직접",IF(AF3672="수금비",$P3672,0),$P3672*(1-AG3672)*IFERROR(INDEX(계정대체기준!$E$20:$E$49,MATCH($N3672,계정대체기준!$A$20:$A$49,0)),0)))</f>
        <v/>
      </c>
      <c r="AC3672" s="9">
        <f>IF(AND($A3672&lt;&gt;"",M3672=설정!$C$20,Z3672&gt;0),Z3672+ROW()/1000000000,"")</f>
        <v/>
      </c>
      <c r="AD3672" s="94">
        <f>IF($A3672="",0,$P3672*AG3672)</f>
        <v/>
      </c>
      <c r="AE3672" s="64">
        <f>IF($A3672="","",IFERROR(INDEX(계정매핑!$E$5:$E$504,MATCH($F3672&amp;"",계정매핑!$A$5:$A$504,0))&amp;"","공통비"))</f>
        <v/>
      </c>
      <c r="AF3672" s="64">
        <f>IF($A3672="","",IF(AE3672="직접",IFERROR(INDEX(계정매핑!$F$5:$F$504,MATCH($F3672&amp;"",계정매핑!$A$5:$A$504,0))&amp;"","비귀속"),""))</f>
        <v/>
      </c>
      <c r="AG3672" s="96">
        <f>IF($A3672="",0,IF(AND(AE3672&lt;&gt;"직접",IFERROR(INDEX(계정매핑!$G$5:$G$504,MATCH($F3672&amp;"",계정매핑!$A$5:$A$504,0))&amp;"","")="유지비",COUNTIF(계정대체기준!$A$6:$A$15,$N3672)&gt;0),IFERROR(INDEX(계정대체기준!$E$6:$E$15,MATCH(VALUE($A3672&amp;""),계정대체기준!$D$6:$D$15,0)),0),0))</f>
        <v/>
      </c>
      <c r="AH3672" s="64">
        <f>IF($A3672="","",IF(AD3672=0,"",IF(OR(COUNTIF(계정대체기준!$A$77:$A$86,$N3672)&gt;0,ISNUMBER(MATCH($X3672,계정대체기준!$D$77:$D$86,0)),ISNUMBER(MATCH($F3672,계정대체기준!$D$77:$D$86,0))),"Y","N")))</f>
        <v/>
      </c>
    </row>
    <row r="3673">
      <c r="A3673" s="92" t="n">
        <v>2026</v>
      </c>
      <c r="B3673" s="92" t="n">
        <v>5</v>
      </c>
      <c r="C3673" s="92" t="inlineStr">
        <is>
          <t>5100000951</t>
        </is>
      </c>
      <c r="D3673" s="95" t="n">
        <v>46148</v>
      </c>
      <c r="E3673" s="92" t="inlineStr">
        <is>
          <t>KR</t>
        </is>
      </c>
      <c r="F3673" s="92" t="n">
        <v>62102000</v>
      </c>
      <c r="G3673" s="92" t="n">
        <v>1601</v>
      </c>
      <c r="H3673" s="93" t="n">
        <v>532000</v>
      </c>
      <c r="I3673" s="92" t="inlineStr">
        <is>
          <t>5월 해외출장 - M항공</t>
        </is>
      </c>
      <c r="J3673" s="92" t="inlineStr">
        <is>
          <t>V10001</t>
        </is>
      </c>
      <c r="K3673" s="92" t="inlineStr">
        <is>
          <t>M항공</t>
        </is>
      </c>
      <c r="M3673" s="9">
        <f>IF($A3673="","",VALUE($A3673&amp;"")*12+VALUE($B3673&amp;""))</f>
        <v/>
      </c>
      <c r="N3673" s="64">
        <f>IF($A3673="","",IFERROR(INDEX(부서매핑!$C$5:$C$504,MATCH($G3673&amp;"",부서매핑!$A$5:$A$504,0)),"미매핑"))</f>
        <v/>
      </c>
      <c r="O3673" s="9">
        <f>IF($A3673="","",N3673&amp;"|"&amp;$F3673)</f>
        <v/>
      </c>
      <c r="P3673" s="94">
        <f>IF($A3673="",0,$H3673*설정!$C$23)</f>
        <v/>
      </c>
      <c r="Q3673" s="64">
        <f>IF($A3673="","",IF(O3673&lt;&gt;원인분석!$C$9,"",IF(AND(M3673&gt;=원인분석!$C$10,M3673&lt;=원인분석!$C$11),"당기",IF(AND(M3673&gt;=원인분석!$C$12,M3673&lt;=원인분석!$C$13),"비교",""))))</f>
        <v/>
      </c>
      <c r="R3673" s="9">
        <f>IF(Q3673="","",$K3673&amp;"")</f>
        <v/>
      </c>
      <c r="S3673" s="9">
        <f>IF(Q3673="","",IF(MATCH(R3673,$R$5:$R$100000,0)=ROW()-4,ROW(),""))</f>
        <v/>
      </c>
      <c r="T3673" s="9">
        <f>IF(Q3673="당기",ABS(P3673)+ROW()/1000000000,"")</f>
        <v/>
      </c>
      <c r="U3673" s="9">
        <f>IF(Q3673="비교",ABS(P3673)+ROW()/1000000000,"")</f>
        <v/>
      </c>
      <c r="V3673" s="64">
        <f>IF($A3673="","",IF(COUNTIF(변동분석!$E$7:$E$506,O3673)&gt;0,"Y","N"))</f>
        <v/>
      </c>
      <c r="W3673" s="64">
        <f>IF($A3673="","",IFERROR(INDEX(계정매핑!$D$5:$D$504,MATCH($F3673&amp;"",계정매핑!$A$5:$A$504,0)),"미매핑"))</f>
        <v/>
      </c>
      <c r="X3673" s="9">
        <f>IF($A3673="","",$F3673&amp;"")</f>
        <v/>
      </c>
      <c r="Y3673" s="94">
        <f>IF($A3673="",0,IF(AE3673="직접",IF(AF3673="비귀속",$P3673,0),$P3673*(1-AG3673)*IFERROR(INDEX(계정대체기준!$F$20:$F$49,MATCH($N3673,계정대체기준!$A$20:$A$49,0)),1)))</f>
        <v/>
      </c>
      <c r="Z3673" s="94">
        <f>IF($A3673="",0,IF(AE3673="직접",IF(AF3673="신계약비",$P3673,0),$P3673*(1-AG3673)*IFERROR(INDEX(계정대체기준!$C$20:$C$49,MATCH($N3673,계정대체기준!$A$20:$A$49,0)),0)))</f>
        <v/>
      </c>
      <c r="AA3673" s="94">
        <f>IF($A3673="",0,IF(AE3673="직접",IF(OR(AF3673="유지비",AF3673="손해조사비"),$P3673,0),$P3673*(1-AG3673)*IFERROR(INDEX(계정대체기준!$D$20:$D$49,MATCH($N3673,계정대체기준!$A$20:$A$49,0)),0)))</f>
        <v/>
      </c>
      <c r="AB3673" s="94">
        <f>IF($A3673="",0,IF(AE3673="직접",IF(AF3673="수금비",$P3673,0),$P3673*(1-AG3673)*IFERROR(INDEX(계정대체기준!$E$20:$E$49,MATCH($N3673,계정대체기준!$A$20:$A$49,0)),0)))</f>
        <v/>
      </c>
      <c r="AC3673" s="9">
        <f>IF(AND($A3673&lt;&gt;"",M3673=설정!$C$20,Z3673&gt;0),Z3673+ROW()/1000000000,"")</f>
        <v/>
      </c>
      <c r="AD3673" s="94">
        <f>IF($A3673="",0,$P3673*AG3673)</f>
        <v/>
      </c>
      <c r="AE3673" s="64">
        <f>IF($A3673="","",IFERROR(INDEX(계정매핑!$E$5:$E$504,MATCH($F3673&amp;"",계정매핑!$A$5:$A$504,0))&amp;"","공통비"))</f>
        <v/>
      </c>
      <c r="AF3673" s="64">
        <f>IF($A3673="","",IF(AE3673="직접",IFERROR(INDEX(계정매핑!$F$5:$F$504,MATCH($F3673&amp;"",계정매핑!$A$5:$A$504,0))&amp;"","비귀속"),""))</f>
        <v/>
      </c>
      <c r="AG3673" s="96">
        <f>IF($A3673="",0,IF(AND(AE3673&lt;&gt;"직접",IFERROR(INDEX(계정매핑!$G$5:$G$504,MATCH($F3673&amp;"",계정매핑!$A$5:$A$504,0))&amp;"","")="유지비",COUNTIF(계정대체기준!$A$6:$A$15,$N3673)&gt;0),IFERROR(INDEX(계정대체기준!$E$6:$E$15,MATCH(VALUE($A3673&amp;""),계정대체기준!$D$6:$D$15,0)),0),0))</f>
        <v/>
      </c>
      <c r="AH3673" s="64">
        <f>IF($A3673="","",IF(AD3673=0,"",IF(OR(COUNTIF(계정대체기준!$A$77:$A$86,$N3673)&gt;0,ISNUMBER(MATCH($X3673,계정대체기준!$D$77:$D$86,0)),ISNUMBER(MATCH($F3673,계정대체기준!$D$77:$D$86,0))),"Y","N")))</f>
        <v/>
      </c>
    </row>
    <row r="3674">
      <c r="A3674" s="92" t="n">
        <v>2026</v>
      </c>
      <c r="B3674" s="92" t="n">
        <v>5</v>
      </c>
      <c r="C3674" s="92" t="inlineStr">
        <is>
          <t>5100000952</t>
        </is>
      </c>
      <c r="D3674" s="95" t="n">
        <v>46148</v>
      </c>
      <c r="E3674" s="92" t="inlineStr">
        <is>
          <t>KR</t>
        </is>
      </c>
      <c r="F3674" s="92" t="n">
        <v>62201000</v>
      </c>
      <c r="G3674" s="92" t="n">
        <v>1401</v>
      </c>
      <c r="H3674" s="93" t="n">
        <v>236000</v>
      </c>
      <c r="I3674" s="92" t="inlineStr">
        <is>
          <t>5월 통신요금 - O텔레콤</t>
        </is>
      </c>
      <c r="J3674" s="92" t="inlineStr">
        <is>
          <t>V10002</t>
        </is>
      </c>
      <c r="K3674" s="92" t="inlineStr">
        <is>
          <t>O텔레콤</t>
        </is>
      </c>
      <c r="M3674" s="9">
        <f>IF($A3674="","",VALUE($A3674&amp;"")*12+VALUE($B3674&amp;""))</f>
        <v/>
      </c>
      <c r="N3674" s="64">
        <f>IF($A3674="","",IFERROR(INDEX(부서매핑!$C$5:$C$504,MATCH($G3674&amp;"",부서매핑!$A$5:$A$504,0)),"미매핑"))</f>
        <v/>
      </c>
      <c r="O3674" s="9">
        <f>IF($A3674="","",N3674&amp;"|"&amp;$F3674)</f>
        <v/>
      </c>
      <c r="P3674" s="94">
        <f>IF($A3674="",0,$H3674*설정!$C$23)</f>
        <v/>
      </c>
      <c r="Q3674" s="64">
        <f>IF($A3674="","",IF(O3674&lt;&gt;원인분석!$C$9,"",IF(AND(M3674&gt;=원인분석!$C$10,M3674&lt;=원인분석!$C$11),"당기",IF(AND(M3674&gt;=원인분석!$C$12,M3674&lt;=원인분석!$C$13),"비교",""))))</f>
        <v/>
      </c>
      <c r="R3674" s="9">
        <f>IF(Q3674="","",$K3674&amp;"")</f>
        <v/>
      </c>
      <c r="S3674" s="9">
        <f>IF(Q3674="","",IF(MATCH(R3674,$R$5:$R$100000,0)=ROW()-4,ROW(),""))</f>
        <v/>
      </c>
      <c r="T3674" s="9">
        <f>IF(Q3674="당기",ABS(P3674)+ROW()/1000000000,"")</f>
        <v/>
      </c>
      <c r="U3674" s="9">
        <f>IF(Q3674="비교",ABS(P3674)+ROW()/1000000000,"")</f>
        <v/>
      </c>
      <c r="V3674" s="64">
        <f>IF($A3674="","",IF(COUNTIF(변동분석!$E$7:$E$506,O3674)&gt;0,"Y","N"))</f>
        <v/>
      </c>
      <c r="W3674" s="64">
        <f>IF($A3674="","",IFERROR(INDEX(계정매핑!$D$5:$D$504,MATCH($F3674&amp;"",계정매핑!$A$5:$A$504,0)),"미매핑"))</f>
        <v/>
      </c>
      <c r="X3674" s="9">
        <f>IF($A3674="","",$F3674&amp;"")</f>
        <v/>
      </c>
      <c r="Y3674" s="94">
        <f>IF($A3674="",0,IF(AE3674="직접",IF(AF3674="비귀속",$P3674,0),$P3674*(1-AG3674)*IFERROR(INDEX(계정대체기준!$F$20:$F$49,MATCH($N3674,계정대체기준!$A$20:$A$49,0)),1)))</f>
        <v/>
      </c>
      <c r="Z3674" s="94">
        <f>IF($A3674="",0,IF(AE3674="직접",IF(AF3674="신계약비",$P3674,0),$P3674*(1-AG3674)*IFERROR(INDEX(계정대체기준!$C$20:$C$49,MATCH($N3674,계정대체기준!$A$20:$A$49,0)),0)))</f>
        <v/>
      </c>
      <c r="AA3674" s="94">
        <f>IF($A3674="",0,IF(AE3674="직접",IF(OR(AF3674="유지비",AF3674="손해조사비"),$P3674,0),$P3674*(1-AG3674)*IFERROR(INDEX(계정대체기준!$D$20:$D$49,MATCH($N3674,계정대체기준!$A$20:$A$49,0)),0)))</f>
        <v/>
      </c>
      <c r="AB3674" s="94">
        <f>IF($A3674="",0,IF(AE3674="직접",IF(AF3674="수금비",$P3674,0),$P3674*(1-AG3674)*IFERROR(INDEX(계정대체기준!$E$20:$E$49,MATCH($N3674,계정대체기준!$A$20:$A$49,0)),0)))</f>
        <v/>
      </c>
      <c r="AC3674" s="9">
        <f>IF(AND($A3674&lt;&gt;"",M3674=설정!$C$20,Z3674&gt;0),Z3674+ROW()/1000000000,"")</f>
        <v/>
      </c>
      <c r="AD3674" s="94">
        <f>IF($A3674="",0,$P3674*AG3674)</f>
        <v/>
      </c>
      <c r="AE3674" s="64">
        <f>IF($A3674="","",IFERROR(INDEX(계정매핑!$E$5:$E$504,MATCH($F3674&amp;"",계정매핑!$A$5:$A$504,0))&amp;"","공통비"))</f>
        <v/>
      </c>
      <c r="AF3674" s="64">
        <f>IF($A3674="","",IF(AE3674="직접",IFERROR(INDEX(계정매핑!$F$5:$F$504,MATCH($F3674&amp;"",계정매핑!$A$5:$A$504,0))&amp;"","비귀속"),""))</f>
        <v/>
      </c>
      <c r="AG3674" s="96">
        <f>IF($A3674="",0,IF(AND(AE3674&lt;&gt;"직접",IFERROR(INDEX(계정매핑!$G$5:$G$504,MATCH($F3674&amp;"",계정매핑!$A$5:$A$504,0))&amp;"","")="유지비",COUNTIF(계정대체기준!$A$6:$A$15,$N3674)&gt;0),IFERROR(INDEX(계정대체기준!$E$6:$E$15,MATCH(VALUE($A3674&amp;""),계정대체기준!$D$6:$D$15,0)),0),0))</f>
        <v/>
      </c>
      <c r="AH3674" s="64">
        <f>IF($A3674="","",IF(AD3674=0,"",IF(OR(COUNTIF(계정대체기준!$A$77:$A$86,$N3674)&gt;0,ISNUMBER(MATCH($X3674,계정대체기준!$D$77:$D$86,0)),ISNUMBER(MATCH($F3674,계정대체기준!$D$77:$D$86,0))),"Y","N")))</f>
        <v/>
      </c>
    </row>
    <row r="3675">
      <c r="A3675" s="92" t="n">
        <v>2026</v>
      </c>
      <c r="B3675" s="92" t="n">
        <v>5</v>
      </c>
      <c r="C3675" s="92" t="inlineStr">
        <is>
          <t>5100000953</t>
        </is>
      </c>
      <c r="D3675" s="95" t="n">
        <v>46148</v>
      </c>
      <c r="E3675" s="92" t="inlineStr">
        <is>
          <t>KR</t>
        </is>
      </c>
      <c r="F3675" s="92" t="n">
        <v>62901000</v>
      </c>
      <c r="G3675" s="92" t="n">
        <v>1101</v>
      </c>
      <c r="H3675" s="93" t="n">
        <v>5213000</v>
      </c>
      <c r="I3675" s="92" t="inlineStr">
        <is>
          <t>5월 자문 수수료 - W컨설팅</t>
        </is>
      </c>
      <c r="J3675" s="92" t="inlineStr">
        <is>
          <t>V10006</t>
        </is>
      </c>
      <c r="K3675" s="92" t="inlineStr">
        <is>
          <t>W컨설팅</t>
        </is>
      </c>
      <c r="M3675" s="9">
        <f>IF($A3675="","",VALUE($A3675&amp;"")*12+VALUE($B3675&amp;""))</f>
        <v/>
      </c>
      <c r="N3675" s="64">
        <f>IF($A3675="","",IFERROR(INDEX(부서매핑!$C$5:$C$504,MATCH($G3675&amp;"",부서매핑!$A$5:$A$504,0)),"미매핑"))</f>
        <v/>
      </c>
      <c r="O3675" s="9">
        <f>IF($A3675="","",N3675&amp;"|"&amp;$F3675)</f>
        <v/>
      </c>
      <c r="P3675" s="94">
        <f>IF($A3675="",0,$H3675*설정!$C$23)</f>
        <v/>
      </c>
      <c r="Q3675" s="64">
        <f>IF($A3675="","",IF(O3675&lt;&gt;원인분석!$C$9,"",IF(AND(M3675&gt;=원인분석!$C$10,M3675&lt;=원인분석!$C$11),"당기",IF(AND(M3675&gt;=원인분석!$C$12,M3675&lt;=원인분석!$C$13),"비교",""))))</f>
        <v/>
      </c>
      <c r="R3675" s="9">
        <f>IF(Q3675="","",$K3675&amp;"")</f>
        <v/>
      </c>
      <c r="S3675" s="9">
        <f>IF(Q3675="","",IF(MATCH(R3675,$R$5:$R$100000,0)=ROW()-4,ROW(),""))</f>
        <v/>
      </c>
      <c r="T3675" s="9">
        <f>IF(Q3675="당기",ABS(P3675)+ROW()/1000000000,"")</f>
        <v/>
      </c>
      <c r="U3675" s="9">
        <f>IF(Q3675="비교",ABS(P3675)+ROW()/1000000000,"")</f>
        <v/>
      </c>
      <c r="V3675" s="64">
        <f>IF($A3675="","",IF(COUNTIF(변동분석!$E$7:$E$506,O3675)&gt;0,"Y","N"))</f>
        <v/>
      </c>
      <c r="W3675" s="64">
        <f>IF($A3675="","",IFERROR(INDEX(계정매핑!$D$5:$D$504,MATCH($F3675&amp;"",계정매핑!$A$5:$A$504,0)),"미매핑"))</f>
        <v/>
      </c>
      <c r="X3675" s="9">
        <f>IF($A3675="","",$F3675&amp;"")</f>
        <v/>
      </c>
      <c r="Y3675" s="94">
        <f>IF($A3675="",0,IF(AE3675="직접",IF(AF3675="비귀속",$P3675,0),$P3675*(1-AG3675)*IFERROR(INDEX(계정대체기준!$F$20:$F$49,MATCH($N3675,계정대체기준!$A$20:$A$49,0)),1)))</f>
        <v/>
      </c>
      <c r="Z3675" s="94">
        <f>IF($A3675="",0,IF(AE3675="직접",IF(AF3675="신계약비",$P3675,0),$P3675*(1-AG3675)*IFERROR(INDEX(계정대체기준!$C$20:$C$49,MATCH($N3675,계정대체기준!$A$20:$A$49,0)),0)))</f>
        <v/>
      </c>
      <c r="AA3675" s="94">
        <f>IF($A3675="",0,IF(AE3675="직접",IF(OR(AF3675="유지비",AF3675="손해조사비"),$P3675,0),$P3675*(1-AG3675)*IFERROR(INDEX(계정대체기준!$D$20:$D$49,MATCH($N3675,계정대체기준!$A$20:$A$49,0)),0)))</f>
        <v/>
      </c>
      <c r="AB3675" s="94">
        <f>IF($A3675="",0,IF(AE3675="직접",IF(AF3675="수금비",$P3675,0),$P3675*(1-AG3675)*IFERROR(INDEX(계정대체기준!$E$20:$E$49,MATCH($N3675,계정대체기준!$A$20:$A$49,0)),0)))</f>
        <v/>
      </c>
      <c r="AC3675" s="9">
        <f>IF(AND($A3675&lt;&gt;"",M3675=설정!$C$20,Z3675&gt;0),Z3675+ROW()/1000000000,"")</f>
        <v/>
      </c>
      <c r="AD3675" s="94">
        <f>IF($A3675="",0,$P3675*AG3675)</f>
        <v/>
      </c>
      <c r="AE3675" s="64">
        <f>IF($A3675="","",IFERROR(INDEX(계정매핑!$E$5:$E$504,MATCH($F3675&amp;"",계정매핑!$A$5:$A$504,0))&amp;"","공통비"))</f>
        <v/>
      </c>
      <c r="AF3675" s="64">
        <f>IF($A3675="","",IF(AE3675="직접",IFERROR(INDEX(계정매핑!$F$5:$F$504,MATCH($F3675&amp;"",계정매핑!$A$5:$A$504,0))&amp;"","비귀속"),""))</f>
        <v/>
      </c>
      <c r="AG3675" s="96">
        <f>IF($A3675="",0,IF(AND(AE3675&lt;&gt;"직접",IFERROR(INDEX(계정매핑!$G$5:$G$504,MATCH($F3675&amp;"",계정매핑!$A$5:$A$504,0))&amp;"","")="유지비",COUNTIF(계정대체기준!$A$6:$A$15,$N3675)&gt;0),IFERROR(INDEX(계정대체기준!$E$6:$E$15,MATCH(VALUE($A3675&amp;""),계정대체기준!$D$6:$D$15,0)),0),0))</f>
        <v/>
      </c>
      <c r="AH3675" s="64">
        <f>IF($A3675="","",IF(AD3675=0,"",IF(OR(COUNTIF(계정대체기준!$A$77:$A$86,$N3675)&gt;0,ISNUMBER(MATCH($X3675,계정대체기준!$D$77:$D$86,0)),ISNUMBER(MATCH($F3675,계정대체기준!$D$77:$D$86,0))),"Y","N")))</f>
        <v/>
      </c>
    </row>
    <row r="3676">
      <c r="A3676" s="92" t="n">
        <v>2026</v>
      </c>
      <c r="B3676" s="92" t="n">
        <v>5</v>
      </c>
      <c r="C3676" s="92" t="inlineStr">
        <is>
          <t>5100000954</t>
        </is>
      </c>
      <c r="D3676" s="95" t="n">
        <v>46149</v>
      </c>
      <c r="E3676" s="92" t="inlineStr">
        <is>
          <t>KR</t>
        </is>
      </c>
      <c r="F3676" s="92" t="n">
        <v>62101000</v>
      </c>
      <c r="G3676" s="92" t="n">
        <v>1301</v>
      </c>
      <c r="H3676" s="93" t="n">
        <v>442000</v>
      </c>
      <c r="I3676" s="92" t="inlineStr">
        <is>
          <t>5월 국내출장 - (법인카드)</t>
        </is>
      </c>
      <c r="J3676" s="92" t="inlineStr">
        <is>
          <t>V10010</t>
        </is>
      </c>
      <c r="K3676" s="92" t="inlineStr">
        <is>
          <t>(법인카드)</t>
        </is>
      </c>
      <c r="M3676" s="9">
        <f>IF($A3676="","",VALUE($A3676&amp;"")*12+VALUE($B3676&amp;""))</f>
        <v/>
      </c>
      <c r="N3676" s="64">
        <f>IF($A3676="","",IFERROR(INDEX(부서매핑!$C$5:$C$504,MATCH($G3676&amp;"",부서매핑!$A$5:$A$504,0)),"미매핑"))</f>
        <v/>
      </c>
      <c r="O3676" s="9">
        <f>IF($A3676="","",N3676&amp;"|"&amp;$F3676)</f>
        <v/>
      </c>
      <c r="P3676" s="94">
        <f>IF($A3676="",0,$H3676*설정!$C$23)</f>
        <v/>
      </c>
      <c r="Q3676" s="64">
        <f>IF($A3676="","",IF(O3676&lt;&gt;원인분석!$C$9,"",IF(AND(M3676&gt;=원인분석!$C$10,M3676&lt;=원인분석!$C$11),"당기",IF(AND(M3676&gt;=원인분석!$C$12,M3676&lt;=원인분석!$C$13),"비교",""))))</f>
        <v/>
      </c>
      <c r="R3676" s="9">
        <f>IF(Q3676="","",$K3676&amp;"")</f>
        <v/>
      </c>
      <c r="S3676" s="9">
        <f>IF(Q3676="","",IF(MATCH(R3676,$R$5:$R$100000,0)=ROW()-4,ROW(),""))</f>
        <v/>
      </c>
      <c r="T3676" s="9">
        <f>IF(Q3676="당기",ABS(P3676)+ROW()/1000000000,"")</f>
        <v/>
      </c>
      <c r="U3676" s="9">
        <f>IF(Q3676="비교",ABS(P3676)+ROW()/1000000000,"")</f>
        <v/>
      </c>
      <c r="V3676" s="64">
        <f>IF($A3676="","",IF(COUNTIF(변동분석!$E$7:$E$506,O3676)&gt;0,"Y","N"))</f>
        <v/>
      </c>
      <c r="W3676" s="64">
        <f>IF($A3676="","",IFERROR(INDEX(계정매핑!$D$5:$D$504,MATCH($F3676&amp;"",계정매핑!$A$5:$A$504,0)),"미매핑"))</f>
        <v/>
      </c>
      <c r="X3676" s="9">
        <f>IF($A3676="","",$F3676&amp;"")</f>
        <v/>
      </c>
      <c r="Y3676" s="94">
        <f>IF($A3676="",0,IF(AE3676="직접",IF(AF3676="비귀속",$P3676,0),$P3676*(1-AG3676)*IFERROR(INDEX(계정대체기준!$F$20:$F$49,MATCH($N3676,계정대체기준!$A$20:$A$49,0)),1)))</f>
        <v/>
      </c>
      <c r="Z3676" s="94">
        <f>IF($A3676="",0,IF(AE3676="직접",IF(AF3676="신계약비",$P3676,0),$P3676*(1-AG3676)*IFERROR(INDEX(계정대체기준!$C$20:$C$49,MATCH($N3676,계정대체기준!$A$20:$A$49,0)),0)))</f>
        <v/>
      </c>
      <c r="AA3676" s="94">
        <f>IF($A3676="",0,IF(AE3676="직접",IF(OR(AF3676="유지비",AF3676="손해조사비"),$P3676,0),$P3676*(1-AG3676)*IFERROR(INDEX(계정대체기준!$D$20:$D$49,MATCH($N3676,계정대체기준!$A$20:$A$49,0)),0)))</f>
        <v/>
      </c>
      <c r="AB3676" s="94">
        <f>IF($A3676="",0,IF(AE3676="직접",IF(AF3676="수금비",$P3676,0),$P3676*(1-AG3676)*IFERROR(INDEX(계정대체기준!$E$20:$E$49,MATCH($N3676,계정대체기준!$A$20:$A$49,0)),0)))</f>
        <v/>
      </c>
      <c r="AC3676" s="9">
        <f>IF(AND($A3676&lt;&gt;"",M3676=설정!$C$20,Z3676&gt;0),Z3676+ROW()/1000000000,"")</f>
        <v/>
      </c>
      <c r="AD3676" s="94">
        <f>IF($A3676="",0,$P3676*AG3676)</f>
        <v/>
      </c>
      <c r="AE3676" s="64">
        <f>IF($A3676="","",IFERROR(INDEX(계정매핑!$E$5:$E$504,MATCH($F3676&amp;"",계정매핑!$A$5:$A$504,0))&amp;"","공통비"))</f>
        <v/>
      </c>
      <c r="AF3676" s="64">
        <f>IF($A3676="","",IF(AE3676="직접",IFERROR(INDEX(계정매핑!$F$5:$F$504,MATCH($F3676&amp;"",계정매핑!$A$5:$A$504,0))&amp;"","비귀속"),""))</f>
        <v/>
      </c>
      <c r="AG3676" s="96">
        <f>IF($A3676="",0,IF(AND(AE3676&lt;&gt;"직접",IFERROR(INDEX(계정매핑!$G$5:$G$504,MATCH($F3676&amp;"",계정매핑!$A$5:$A$504,0))&amp;"","")="유지비",COUNTIF(계정대체기준!$A$6:$A$15,$N3676)&gt;0),IFERROR(INDEX(계정대체기준!$E$6:$E$15,MATCH(VALUE($A3676&amp;""),계정대체기준!$D$6:$D$15,0)),0),0))</f>
        <v/>
      </c>
      <c r="AH3676" s="64">
        <f>IF($A3676="","",IF(AD3676=0,"",IF(OR(COUNTIF(계정대체기준!$A$77:$A$86,$N3676)&gt;0,ISNUMBER(MATCH($X3676,계정대체기준!$D$77:$D$86,0)),ISNUMBER(MATCH($F3676,계정대체기준!$D$77:$D$86,0))),"Y","N")))</f>
        <v/>
      </c>
    </row>
    <row r="3677">
      <c r="A3677" s="92" t="n">
        <v>2026</v>
      </c>
      <c r="B3677" s="92" t="n">
        <v>5</v>
      </c>
      <c r="C3677" s="92" t="inlineStr">
        <is>
          <t>5100000955</t>
        </is>
      </c>
      <c r="D3677" s="95" t="n">
        <v>46149</v>
      </c>
      <c r="E3677" s="92" t="inlineStr">
        <is>
          <t>KR</t>
        </is>
      </c>
      <c r="F3677" s="92" t="n">
        <v>62102000</v>
      </c>
      <c r="G3677" s="92" t="n">
        <v>1401</v>
      </c>
      <c r="H3677" s="93" t="n">
        <v>78000</v>
      </c>
      <c r="I3677" s="92" t="inlineStr">
        <is>
          <t>5월 해외출장 - M항공</t>
        </is>
      </c>
      <c r="J3677" s="92" t="inlineStr">
        <is>
          <t>V10001</t>
        </is>
      </c>
      <c r="K3677" s="92" t="inlineStr">
        <is>
          <t>M항공</t>
        </is>
      </c>
      <c r="M3677" s="9">
        <f>IF($A3677="","",VALUE($A3677&amp;"")*12+VALUE($B3677&amp;""))</f>
        <v/>
      </c>
      <c r="N3677" s="64">
        <f>IF($A3677="","",IFERROR(INDEX(부서매핑!$C$5:$C$504,MATCH($G3677&amp;"",부서매핑!$A$5:$A$504,0)),"미매핑"))</f>
        <v/>
      </c>
      <c r="O3677" s="9">
        <f>IF($A3677="","",N3677&amp;"|"&amp;$F3677)</f>
        <v/>
      </c>
      <c r="P3677" s="94">
        <f>IF($A3677="",0,$H3677*설정!$C$23)</f>
        <v/>
      </c>
      <c r="Q3677" s="64">
        <f>IF($A3677="","",IF(O3677&lt;&gt;원인분석!$C$9,"",IF(AND(M3677&gt;=원인분석!$C$10,M3677&lt;=원인분석!$C$11),"당기",IF(AND(M3677&gt;=원인분석!$C$12,M3677&lt;=원인분석!$C$13),"비교",""))))</f>
        <v/>
      </c>
      <c r="R3677" s="9">
        <f>IF(Q3677="","",$K3677&amp;"")</f>
        <v/>
      </c>
      <c r="S3677" s="9">
        <f>IF(Q3677="","",IF(MATCH(R3677,$R$5:$R$100000,0)=ROW()-4,ROW(),""))</f>
        <v/>
      </c>
      <c r="T3677" s="9">
        <f>IF(Q3677="당기",ABS(P3677)+ROW()/1000000000,"")</f>
        <v/>
      </c>
      <c r="U3677" s="9">
        <f>IF(Q3677="비교",ABS(P3677)+ROW()/1000000000,"")</f>
        <v/>
      </c>
      <c r="V3677" s="64">
        <f>IF($A3677="","",IF(COUNTIF(변동분석!$E$7:$E$506,O3677)&gt;0,"Y","N"))</f>
        <v/>
      </c>
      <c r="W3677" s="64">
        <f>IF($A3677="","",IFERROR(INDEX(계정매핑!$D$5:$D$504,MATCH($F3677&amp;"",계정매핑!$A$5:$A$504,0)),"미매핑"))</f>
        <v/>
      </c>
      <c r="X3677" s="9">
        <f>IF($A3677="","",$F3677&amp;"")</f>
        <v/>
      </c>
      <c r="Y3677" s="94">
        <f>IF($A3677="",0,IF(AE3677="직접",IF(AF3677="비귀속",$P3677,0),$P3677*(1-AG3677)*IFERROR(INDEX(계정대체기준!$F$20:$F$49,MATCH($N3677,계정대체기준!$A$20:$A$49,0)),1)))</f>
        <v/>
      </c>
      <c r="Z3677" s="94">
        <f>IF($A3677="",0,IF(AE3677="직접",IF(AF3677="신계약비",$P3677,0),$P3677*(1-AG3677)*IFERROR(INDEX(계정대체기준!$C$20:$C$49,MATCH($N3677,계정대체기준!$A$20:$A$49,0)),0)))</f>
        <v/>
      </c>
      <c r="AA3677" s="94">
        <f>IF($A3677="",0,IF(AE3677="직접",IF(OR(AF3677="유지비",AF3677="손해조사비"),$P3677,0),$P3677*(1-AG3677)*IFERROR(INDEX(계정대체기준!$D$20:$D$49,MATCH($N3677,계정대체기준!$A$20:$A$49,0)),0)))</f>
        <v/>
      </c>
      <c r="AB3677" s="94">
        <f>IF($A3677="",0,IF(AE3677="직접",IF(AF3677="수금비",$P3677,0),$P3677*(1-AG3677)*IFERROR(INDEX(계정대체기준!$E$20:$E$49,MATCH($N3677,계정대체기준!$A$20:$A$49,0)),0)))</f>
        <v/>
      </c>
      <c r="AC3677" s="9">
        <f>IF(AND($A3677&lt;&gt;"",M3677=설정!$C$20,Z3677&gt;0),Z3677+ROW()/1000000000,"")</f>
        <v/>
      </c>
      <c r="AD3677" s="94">
        <f>IF($A3677="",0,$P3677*AG3677)</f>
        <v/>
      </c>
      <c r="AE3677" s="64">
        <f>IF($A3677="","",IFERROR(INDEX(계정매핑!$E$5:$E$504,MATCH($F3677&amp;"",계정매핑!$A$5:$A$504,0))&amp;"","공통비"))</f>
        <v/>
      </c>
      <c r="AF3677" s="64">
        <f>IF($A3677="","",IF(AE3677="직접",IFERROR(INDEX(계정매핑!$F$5:$F$504,MATCH($F3677&amp;"",계정매핑!$A$5:$A$504,0))&amp;"","비귀속"),""))</f>
        <v/>
      </c>
      <c r="AG3677" s="96">
        <f>IF($A3677="",0,IF(AND(AE3677&lt;&gt;"직접",IFERROR(INDEX(계정매핑!$G$5:$G$504,MATCH($F3677&amp;"",계정매핑!$A$5:$A$504,0))&amp;"","")="유지비",COUNTIF(계정대체기준!$A$6:$A$15,$N3677)&gt;0),IFERROR(INDEX(계정대체기준!$E$6:$E$15,MATCH(VALUE($A3677&amp;""),계정대체기준!$D$6:$D$15,0)),0),0))</f>
        <v/>
      </c>
      <c r="AH3677" s="64">
        <f>IF($A3677="","",IF(AD3677=0,"",IF(OR(COUNTIF(계정대체기준!$A$77:$A$86,$N3677)&gt;0,ISNUMBER(MATCH($X3677,계정대체기준!$D$77:$D$86,0)),ISNUMBER(MATCH($F3677,계정대체기준!$D$77:$D$86,0))),"Y","N")))</f>
        <v/>
      </c>
    </row>
    <row r="3678">
      <c r="A3678" s="92" t="n">
        <v>2026</v>
      </c>
      <c r="B3678" s="92" t="n">
        <v>5</v>
      </c>
      <c r="C3678" s="92" t="inlineStr">
        <is>
          <t>5100000956</t>
        </is>
      </c>
      <c r="D3678" s="95" t="n">
        <v>46149</v>
      </c>
      <c r="E3678" s="92" t="inlineStr">
        <is>
          <t>KR</t>
        </is>
      </c>
      <c r="F3678" s="92" t="n">
        <v>62201000</v>
      </c>
      <c r="G3678" s="92" t="n">
        <v>1951</v>
      </c>
      <c r="H3678" s="93" t="n">
        <v>343000</v>
      </c>
      <c r="I3678" s="92" t="inlineStr">
        <is>
          <t>5월 통신요금 - O텔레콤</t>
        </is>
      </c>
      <c r="J3678" s="92" t="inlineStr">
        <is>
          <t>V10002</t>
        </is>
      </c>
      <c r="K3678" s="92" t="inlineStr">
        <is>
          <t>O텔레콤</t>
        </is>
      </c>
      <c r="M3678" s="9">
        <f>IF($A3678="","",VALUE($A3678&amp;"")*12+VALUE($B3678&amp;""))</f>
        <v/>
      </c>
      <c r="N3678" s="64">
        <f>IF($A3678="","",IFERROR(INDEX(부서매핑!$C$5:$C$504,MATCH($G3678&amp;"",부서매핑!$A$5:$A$504,0)),"미매핑"))</f>
        <v/>
      </c>
      <c r="O3678" s="9">
        <f>IF($A3678="","",N3678&amp;"|"&amp;$F3678)</f>
        <v/>
      </c>
      <c r="P3678" s="94">
        <f>IF($A3678="",0,$H3678*설정!$C$23)</f>
        <v/>
      </c>
      <c r="Q3678" s="64">
        <f>IF($A3678="","",IF(O3678&lt;&gt;원인분석!$C$9,"",IF(AND(M3678&gt;=원인분석!$C$10,M3678&lt;=원인분석!$C$11),"당기",IF(AND(M3678&gt;=원인분석!$C$12,M3678&lt;=원인분석!$C$13),"비교",""))))</f>
        <v/>
      </c>
      <c r="R3678" s="9">
        <f>IF(Q3678="","",$K3678&amp;"")</f>
        <v/>
      </c>
      <c r="S3678" s="9">
        <f>IF(Q3678="","",IF(MATCH(R3678,$R$5:$R$100000,0)=ROW()-4,ROW(),""))</f>
        <v/>
      </c>
      <c r="T3678" s="9">
        <f>IF(Q3678="당기",ABS(P3678)+ROW()/1000000000,"")</f>
        <v/>
      </c>
      <c r="U3678" s="9">
        <f>IF(Q3678="비교",ABS(P3678)+ROW()/1000000000,"")</f>
        <v/>
      </c>
      <c r="V3678" s="64">
        <f>IF($A3678="","",IF(COUNTIF(변동분석!$E$7:$E$506,O3678)&gt;0,"Y","N"))</f>
        <v/>
      </c>
      <c r="W3678" s="64">
        <f>IF($A3678="","",IFERROR(INDEX(계정매핑!$D$5:$D$504,MATCH($F3678&amp;"",계정매핑!$A$5:$A$504,0)),"미매핑"))</f>
        <v/>
      </c>
      <c r="X3678" s="9">
        <f>IF($A3678="","",$F3678&amp;"")</f>
        <v/>
      </c>
      <c r="Y3678" s="94">
        <f>IF($A3678="",0,IF(AE3678="직접",IF(AF3678="비귀속",$P3678,0),$P3678*(1-AG3678)*IFERROR(INDEX(계정대체기준!$F$20:$F$49,MATCH($N3678,계정대체기준!$A$20:$A$49,0)),1)))</f>
        <v/>
      </c>
      <c r="Z3678" s="94">
        <f>IF($A3678="",0,IF(AE3678="직접",IF(AF3678="신계약비",$P3678,0),$P3678*(1-AG3678)*IFERROR(INDEX(계정대체기준!$C$20:$C$49,MATCH($N3678,계정대체기준!$A$20:$A$49,0)),0)))</f>
        <v/>
      </c>
      <c r="AA3678" s="94">
        <f>IF($A3678="",0,IF(AE3678="직접",IF(OR(AF3678="유지비",AF3678="손해조사비"),$P3678,0),$P3678*(1-AG3678)*IFERROR(INDEX(계정대체기준!$D$20:$D$49,MATCH($N3678,계정대체기준!$A$20:$A$49,0)),0)))</f>
        <v/>
      </c>
      <c r="AB3678" s="94">
        <f>IF($A3678="",0,IF(AE3678="직접",IF(AF3678="수금비",$P3678,0),$P3678*(1-AG3678)*IFERROR(INDEX(계정대체기준!$E$20:$E$49,MATCH($N3678,계정대체기준!$A$20:$A$49,0)),0)))</f>
        <v/>
      </c>
      <c r="AC3678" s="9">
        <f>IF(AND($A3678&lt;&gt;"",M3678=설정!$C$20,Z3678&gt;0),Z3678+ROW()/1000000000,"")</f>
        <v/>
      </c>
      <c r="AD3678" s="94">
        <f>IF($A3678="",0,$P3678*AG3678)</f>
        <v/>
      </c>
      <c r="AE3678" s="64">
        <f>IF($A3678="","",IFERROR(INDEX(계정매핑!$E$5:$E$504,MATCH($F3678&amp;"",계정매핑!$A$5:$A$504,0))&amp;"","공통비"))</f>
        <v/>
      </c>
      <c r="AF3678" s="64">
        <f>IF($A3678="","",IF(AE3678="직접",IFERROR(INDEX(계정매핑!$F$5:$F$504,MATCH($F3678&amp;"",계정매핑!$A$5:$A$504,0))&amp;"","비귀속"),""))</f>
        <v/>
      </c>
      <c r="AG3678" s="96">
        <f>IF($A3678="",0,IF(AND(AE3678&lt;&gt;"직접",IFERROR(INDEX(계정매핑!$G$5:$G$504,MATCH($F3678&amp;"",계정매핑!$A$5:$A$504,0))&amp;"","")="유지비",COUNTIF(계정대체기준!$A$6:$A$15,$N3678)&gt;0),IFERROR(INDEX(계정대체기준!$E$6:$E$15,MATCH(VALUE($A3678&amp;""),계정대체기준!$D$6:$D$15,0)),0),0))</f>
        <v/>
      </c>
      <c r="AH3678" s="64">
        <f>IF($A3678="","",IF(AD3678=0,"",IF(OR(COUNTIF(계정대체기준!$A$77:$A$86,$N3678)&gt;0,ISNUMBER(MATCH($X3678,계정대체기준!$D$77:$D$86,0)),ISNUMBER(MATCH($F3678,계정대체기준!$D$77:$D$86,0))),"Y","N")))</f>
        <v/>
      </c>
    </row>
    <row r="3679">
      <c r="A3679" s="92" t="n">
        <v>2026</v>
      </c>
      <c r="B3679" s="92" t="n">
        <v>5</v>
      </c>
      <c r="C3679" s="92" t="inlineStr">
        <is>
          <t>5100000957</t>
        </is>
      </c>
      <c r="D3679" s="95" t="n">
        <v>46149</v>
      </c>
      <c r="E3679" s="92" t="inlineStr">
        <is>
          <t>KR</t>
        </is>
      </c>
      <c r="F3679" s="92" t="n">
        <v>62301000</v>
      </c>
      <c r="G3679" s="92" t="n">
        <v>1301</v>
      </c>
      <c r="H3679" s="93" t="n">
        <v>270000</v>
      </c>
      <c r="I3679" s="92" t="inlineStr">
        <is>
          <t>5월 소모품 구입 - R문구</t>
        </is>
      </c>
      <c r="J3679" s="92" t="inlineStr">
        <is>
          <t>V10022</t>
        </is>
      </c>
      <c r="K3679" s="92" t="inlineStr">
        <is>
          <t>R문구</t>
        </is>
      </c>
      <c r="M3679" s="9">
        <f>IF($A3679="","",VALUE($A3679&amp;"")*12+VALUE($B3679&amp;""))</f>
        <v/>
      </c>
      <c r="N3679" s="64">
        <f>IF($A3679="","",IFERROR(INDEX(부서매핑!$C$5:$C$504,MATCH($G3679&amp;"",부서매핑!$A$5:$A$504,0)),"미매핑"))</f>
        <v/>
      </c>
      <c r="O3679" s="9">
        <f>IF($A3679="","",N3679&amp;"|"&amp;$F3679)</f>
        <v/>
      </c>
      <c r="P3679" s="94">
        <f>IF($A3679="",0,$H3679*설정!$C$23)</f>
        <v/>
      </c>
      <c r="Q3679" s="64">
        <f>IF($A3679="","",IF(O3679&lt;&gt;원인분석!$C$9,"",IF(AND(M3679&gt;=원인분석!$C$10,M3679&lt;=원인분석!$C$11),"당기",IF(AND(M3679&gt;=원인분석!$C$12,M3679&lt;=원인분석!$C$13),"비교",""))))</f>
        <v/>
      </c>
      <c r="R3679" s="9">
        <f>IF(Q3679="","",$K3679&amp;"")</f>
        <v/>
      </c>
      <c r="S3679" s="9">
        <f>IF(Q3679="","",IF(MATCH(R3679,$R$5:$R$100000,0)=ROW()-4,ROW(),""))</f>
        <v/>
      </c>
      <c r="T3679" s="9">
        <f>IF(Q3679="당기",ABS(P3679)+ROW()/1000000000,"")</f>
        <v/>
      </c>
      <c r="U3679" s="9">
        <f>IF(Q3679="비교",ABS(P3679)+ROW()/1000000000,"")</f>
        <v/>
      </c>
      <c r="V3679" s="64">
        <f>IF($A3679="","",IF(COUNTIF(변동분석!$E$7:$E$506,O3679)&gt;0,"Y","N"))</f>
        <v/>
      </c>
      <c r="W3679" s="64">
        <f>IF($A3679="","",IFERROR(INDEX(계정매핑!$D$5:$D$504,MATCH($F3679&amp;"",계정매핑!$A$5:$A$504,0)),"미매핑"))</f>
        <v/>
      </c>
      <c r="X3679" s="9">
        <f>IF($A3679="","",$F3679&amp;"")</f>
        <v/>
      </c>
      <c r="Y3679" s="94">
        <f>IF($A3679="",0,IF(AE3679="직접",IF(AF3679="비귀속",$P3679,0),$P3679*(1-AG3679)*IFERROR(INDEX(계정대체기준!$F$20:$F$49,MATCH($N3679,계정대체기준!$A$20:$A$49,0)),1)))</f>
        <v/>
      </c>
      <c r="Z3679" s="94">
        <f>IF($A3679="",0,IF(AE3679="직접",IF(AF3679="신계약비",$P3679,0),$P3679*(1-AG3679)*IFERROR(INDEX(계정대체기준!$C$20:$C$49,MATCH($N3679,계정대체기준!$A$20:$A$49,0)),0)))</f>
        <v/>
      </c>
      <c r="AA3679" s="94">
        <f>IF($A3679="",0,IF(AE3679="직접",IF(OR(AF3679="유지비",AF3679="손해조사비"),$P3679,0),$P3679*(1-AG3679)*IFERROR(INDEX(계정대체기준!$D$20:$D$49,MATCH($N3679,계정대체기준!$A$20:$A$49,0)),0)))</f>
        <v/>
      </c>
      <c r="AB3679" s="94">
        <f>IF($A3679="",0,IF(AE3679="직접",IF(AF3679="수금비",$P3679,0),$P3679*(1-AG3679)*IFERROR(INDEX(계정대체기준!$E$20:$E$49,MATCH($N3679,계정대체기준!$A$20:$A$49,0)),0)))</f>
        <v/>
      </c>
      <c r="AC3679" s="9">
        <f>IF(AND($A3679&lt;&gt;"",M3679=설정!$C$20,Z3679&gt;0),Z3679+ROW()/1000000000,"")</f>
        <v/>
      </c>
      <c r="AD3679" s="94">
        <f>IF($A3679="",0,$P3679*AG3679)</f>
        <v/>
      </c>
      <c r="AE3679" s="64">
        <f>IF($A3679="","",IFERROR(INDEX(계정매핑!$E$5:$E$504,MATCH($F3679&amp;"",계정매핑!$A$5:$A$504,0))&amp;"","공통비"))</f>
        <v/>
      </c>
      <c r="AF3679" s="64">
        <f>IF($A3679="","",IF(AE3679="직접",IFERROR(INDEX(계정매핑!$F$5:$F$504,MATCH($F3679&amp;"",계정매핑!$A$5:$A$504,0))&amp;"","비귀속"),""))</f>
        <v/>
      </c>
      <c r="AG3679" s="96">
        <f>IF($A3679="",0,IF(AND(AE3679&lt;&gt;"직접",IFERROR(INDEX(계정매핑!$G$5:$G$504,MATCH($F3679&amp;"",계정매핑!$A$5:$A$504,0))&amp;"","")="유지비",COUNTIF(계정대체기준!$A$6:$A$15,$N3679)&gt;0),IFERROR(INDEX(계정대체기준!$E$6:$E$15,MATCH(VALUE($A3679&amp;""),계정대체기준!$D$6:$D$15,0)),0),0))</f>
        <v/>
      </c>
      <c r="AH3679" s="64">
        <f>IF($A3679="","",IF(AD3679=0,"",IF(OR(COUNTIF(계정대체기준!$A$77:$A$86,$N3679)&gt;0,ISNUMBER(MATCH($X3679,계정대체기준!$D$77:$D$86,0)),ISNUMBER(MATCH($F3679,계정대체기준!$D$77:$D$86,0))),"Y","N")))</f>
        <v/>
      </c>
    </row>
    <row r="3680">
      <c r="A3680" s="92" t="n">
        <v>2026</v>
      </c>
      <c r="B3680" s="92" t="n">
        <v>5</v>
      </c>
      <c r="C3680" s="92" t="inlineStr">
        <is>
          <t>5100000958</t>
        </is>
      </c>
      <c r="D3680" s="95" t="n">
        <v>46149</v>
      </c>
      <c r="E3680" s="92" t="inlineStr">
        <is>
          <t>KR</t>
        </is>
      </c>
      <c r="F3680" s="92" t="n">
        <v>62501000</v>
      </c>
      <c r="G3680" s="92" t="n">
        <v>1101</v>
      </c>
      <c r="H3680" s="93" t="n">
        <v>139000</v>
      </c>
      <c r="I3680" s="92" t="inlineStr">
        <is>
          <t>5월 회의 다과 - (법인카드)</t>
        </is>
      </c>
      <c r="J3680" s="92" t="inlineStr">
        <is>
          <t>V10010</t>
        </is>
      </c>
      <c r="K3680" s="92" t="inlineStr">
        <is>
          <t>(법인카드)</t>
        </is>
      </c>
      <c r="M3680" s="9">
        <f>IF($A3680="","",VALUE($A3680&amp;"")*12+VALUE($B3680&amp;""))</f>
        <v/>
      </c>
      <c r="N3680" s="64">
        <f>IF($A3680="","",IFERROR(INDEX(부서매핑!$C$5:$C$504,MATCH($G3680&amp;"",부서매핑!$A$5:$A$504,0)),"미매핑"))</f>
        <v/>
      </c>
      <c r="O3680" s="9">
        <f>IF($A3680="","",N3680&amp;"|"&amp;$F3680)</f>
        <v/>
      </c>
      <c r="P3680" s="94">
        <f>IF($A3680="",0,$H3680*설정!$C$23)</f>
        <v/>
      </c>
      <c r="Q3680" s="64">
        <f>IF($A3680="","",IF(O3680&lt;&gt;원인분석!$C$9,"",IF(AND(M3680&gt;=원인분석!$C$10,M3680&lt;=원인분석!$C$11),"당기",IF(AND(M3680&gt;=원인분석!$C$12,M3680&lt;=원인분석!$C$13),"비교",""))))</f>
        <v/>
      </c>
      <c r="R3680" s="9">
        <f>IF(Q3680="","",$K3680&amp;"")</f>
        <v/>
      </c>
      <c r="S3680" s="9">
        <f>IF(Q3680="","",IF(MATCH(R3680,$R$5:$R$100000,0)=ROW()-4,ROW(),""))</f>
        <v/>
      </c>
      <c r="T3680" s="9">
        <f>IF(Q3680="당기",ABS(P3680)+ROW()/1000000000,"")</f>
        <v/>
      </c>
      <c r="U3680" s="9">
        <f>IF(Q3680="비교",ABS(P3680)+ROW()/1000000000,"")</f>
        <v/>
      </c>
      <c r="V3680" s="64">
        <f>IF($A3680="","",IF(COUNTIF(변동분석!$E$7:$E$506,O3680)&gt;0,"Y","N"))</f>
        <v/>
      </c>
      <c r="W3680" s="64">
        <f>IF($A3680="","",IFERROR(INDEX(계정매핑!$D$5:$D$504,MATCH($F3680&amp;"",계정매핑!$A$5:$A$504,0)),"미매핑"))</f>
        <v/>
      </c>
      <c r="X3680" s="9">
        <f>IF($A3680="","",$F3680&amp;"")</f>
        <v/>
      </c>
      <c r="Y3680" s="94">
        <f>IF($A3680="",0,IF(AE3680="직접",IF(AF3680="비귀속",$P3680,0),$P3680*(1-AG3680)*IFERROR(INDEX(계정대체기준!$F$20:$F$49,MATCH($N3680,계정대체기준!$A$20:$A$49,0)),1)))</f>
        <v/>
      </c>
      <c r="Z3680" s="94">
        <f>IF($A3680="",0,IF(AE3680="직접",IF(AF3680="신계약비",$P3680,0),$P3680*(1-AG3680)*IFERROR(INDEX(계정대체기준!$C$20:$C$49,MATCH($N3680,계정대체기준!$A$20:$A$49,0)),0)))</f>
        <v/>
      </c>
      <c r="AA3680" s="94">
        <f>IF($A3680="",0,IF(AE3680="직접",IF(OR(AF3680="유지비",AF3680="손해조사비"),$P3680,0),$P3680*(1-AG3680)*IFERROR(INDEX(계정대체기준!$D$20:$D$49,MATCH($N3680,계정대체기준!$A$20:$A$49,0)),0)))</f>
        <v/>
      </c>
      <c r="AB3680" s="94">
        <f>IF($A3680="",0,IF(AE3680="직접",IF(AF3680="수금비",$P3680,0),$P3680*(1-AG3680)*IFERROR(INDEX(계정대체기준!$E$20:$E$49,MATCH($N3680,계정대체기준!$A$20:$A$49,0)),0)))</f>
        <v/>
      </c>
      <c r="AC3680" s="9">
        <f>IF(AND($A3680&lt;&gt;"",M3680=설정!$C$20,Z3680&gt;0),Z3680+ROW()/1000000000,"")</f>
        <v/>
      </c>
      <c r="AD3680" s="94">
        <f>IF($A3680="",0,$P3680*AG3680)</f>
        <v/>
      </c>
      <c r="AE3680" s="64">
        <f>IF($A3680="","",IFERROR(INDEX(계정매핑!$E$5:$E$504,MATCH($F3680&amp;"",계정매핑!$A$5:$A$504,0))&amp;"","공통비"))</f>
        <v/>
      </c>
      <c r="AF3680" s="64">
        <f>IF($A3680="","",IF(AE3680="직접",IFERROR(INDEX(계정매핑!$F$5:$F$504,MATCH($F3680&amp;"",계정매핑!$A$5:$A$504,0))&amp;"","비귀속"),""))</f>
        <v/>
      </c>
      <c r="AG3680" s="96">
        <f>IF($A3680="",0,IF(AND(AE3680&lt;&gt;"직접",IFERROR(INDEX(계정매핑!$G$5:$G$504,MATCH($F3680&amp;"",계정매핑!$A$5:$A$504,0))&amp;"","")="유지비",COUNTIF(계정대체기준!$A$6:$A$15,$N3680)&gt;0),IFERROR(INDEX(계정대체기준!$E$6:$E$15,MATCH(VALUE($A3680&amp;""),계정대체기준!$D$6:$D$15,0)),0),0))</f>
        <v/>
      </c>
      <c r="AH3680" s="64">
        <f>IF($A3680="","",IF(AD3680=0,"",IF(OR(COUNTIF(계정대체기준!$A$77:$A$86,$N3680)&gt;0,ISNUMBER(MATCH($X3680,계정대체기준!$D$77:$D$86,0)),ISNUMBER(MATCH($F3680,계정대체기준!$D$77:$D$86,0))),"Y","N")))</f>
        <v/>
      </c>
    </row>
    <row r="3681">
      <c r="A3681" s="92" t="n">
        <v>2026</v>
      </c>
      <c r="B3681" s="92" t="n">
        <v>5</v>
      </c>
      <c r="C3681" s="92" t="inlineStr">
        <is>
          <t>5100000959</t>
        </is>
      </c>
      <c r="D3681" s="95" t="n">
        <v>46149</v>
      </c>
      <c r="E3681" s="92" t="inlineStr">
        <is>
          <t>KR</t>
        </is>
      </c>
      <c r="F3681" s="92" t="n">
        <v>62501000</v>
      </c>
      <c r="G3681" s="92" t="n">
        <v>1401</v>
      </c>
      <c r="H3681" s="93" t="n">
        <v>249000</v>
      </c>
      <c r="I3681" s="92" t="inlineStr">
        <is>
          <t>5월 회의 다과 - T케이터링</t>
        </is>
      </c>
      <c r="J3681" s="92" t="inlineStr">
        <is>
          <t>V10005</t>
        </is>
      </c>
      <c r="K3681" s="92" t="inlineStr">
        <is>
          <t>T케이터링</t>
        </is>
      </c>
      <c r="M3681" s="9">
        <f>IF($A3681="","",VALUE($A3681&amp;"")*12+VALUE($B3681&amp;""))</f>
        <v/>
      </c>
      <c r="N3681" s="64">
        <f>IF($A3681="","",IFERROR(INDEX(부서매핑!$C$5:$C$504,MATCH($G3681&amp;"",부서매핑!$A$5:$A$504,0)),"미매핑"))</f>
        <v/>
      </c>
      <c r="O3681" s="9">
        <f>IF($A3681="","",N3681&amp;"|"&amp;$F3681)</f>
        <v/>
      </c>
      <c r="P3681" s="94">
        <f>IF($A3681="",0,$H3681*설정!$C$23)</f>
        <v/>
      </c>
      <c r="Q3681" s="64">
        <f>IF($A3681="","",IF(O3681&lt;&gt;원인분석!$C$9,"",IF(AND(M3681&gt;=원인분석!$C$10,M3681&lt;=원인분석!$C$11),"당기",IF(AND(M3681&gt;=원인분석!$C$12,M3681&lt;=원인분석!$C$13),"비교",""))))</f>
        <v/>
      </c>
      <c r="R3681" s="9">
        <f>IF(Q3681="","",$K3681&amp;"")</f>
        <v/>
      </c>
      <c r="S3681" s="9">
        <f>IF(Q3681="","",IF(MATCH(R3681,$R$5:$R$100000,0)=ROW()-4,ROW(),""))</f>
        <v/>
      </c>
      <c r="T3681" s="9">
        <f>IF(Q3681="당기",ABS(P3681)+ROW()/1000000000,"")</f>
        <v/>
      </c>
      <c r="U3681" s="9">
        <f>IF(Q3681="비교",ABS(P3681)+ROW()/1000000000,"")</f>
        <v/>
      </c>
      <c r="V3681" s="64">
        <f>IF($A3681="","",IF(COUNTIF(변동분석!$E$7:$E$506,O3681)&gt;0,"Y","N"))</f>
        <v/>
      </c>
      <c r="W3681" s="64">
        <f>IF($A3681="","",IFERROR(INDEX(계정매핑!$D$5:$D$504,MATCH($F3681&amp;"",계정매핑!$A$5:$A$504,0)),"미매핑"))</f>
        <v/>
      </c>
      <c r="X3681" s="9">
        <f>IF($A3681="","",$F3681&amp;"")</f>
        <v/>
      </c>
      <c r="Y3681" s="94">
        <f>IF($A3681="",0,IF(AE3681="직접",IF(AF3681="비귀속",$P3681,0),$P3681*(1-AG3681)*IFERROR(INDEX(계정대체기준!$F$20:$F$49,MATCH($N3681,계정대체기준!$A$20:$A$49,0)),1)))</f>
        <v/>
      </c>
      <c r="Z3681" s="94">
        <f>IF($A3681="",0,IF(AE3681="직접",IF(AF3681="신계약비",$P3681,0),$P3681*(1-AG3681)*IFERROR(INDEX(계정대체기준!$C$20:$C$49,MATCH($N3681,계정대체기준!$A$20:$A$49,0)),0)))</f>
        <v/>
      </c>
      <c r="AA3681" s="94">
        <f>IF($A3681="",0,IF(AE3681="직접",IF(OR(AF3681="유지비",AF3681="손해조사비"),$P3681,0),$P3681*(1-AG3681)*IFERROR(INDEX(계정대체기준!$D$20:$D$49,MATCH($N3681,계정대체기준!$A$20:$A$49,0)),0)))</f>
        <v/>
      </c>
      <c r="AB3681" s="94">
        <f>IF($A3681="",0,IF(AE3681="직접",IF(AF3681="수금비",$P3681,0),$P3681*(1-AG3681)*IFERROR(INDEX(계정대체기준!$E$20:$E$49,MATCH($N3681,계정대체기준!$A$20:$A$49,0)),0)))</f>
        <v/>
      </c>
      <c r="AC3681" s="9">
        <f>IF(AND($A3681&lt;&gt;"",M3681=설정!$C$20,Z3681&gt;0),Z3681+ROW()/1000000000,"")</f>
        <v/>
      </c>
      <c r="AD3681" s="94">
        <f>IF($A3681="",0,$P3681*AG3681)</f>
        <v/>
      </c>
      <c r="AE3681" s="64">
        <f>IF($A3681="","",IFERROR(INDEX(계정매핑!$E$5:$E$504,MATCH($F3681&amp;"",계정매핑!$A$5:$A$504,0))&amp;"","공통비"))</f>
        <v/>
      </c>
      <c r="AF3681" s="64">
        <f>IF($A3681="","",IF(AE3681="직접",IFERROR(INDEX(계정매핑!$F$5:$F$504,MATCH($F3681&amp;"",계정매핑!$A$5:$A$504,0))&amp;"","비귀속"),""))</f>
        <v/>
      </c>
      <c r="AG3681" s="96">
        <f>IF($A3681="",0,IF(AND(AE3681&lt;&gt;"직접",IFERROR(INDEX(계정매핑!$G$5:$G$504,MATCH($F3681&amp;"",계정매핑!$A$5:$A$504,0))&amp;"","")="유지비",COUNTIF(계정대체기준!$A$6:$A$15,$N3681)&gt;0),IFERROR(INDEX(계정대체기준!$E$6:$E$15,MATCH(VALUE($A3681&amp;""),계정대체기준!$D$6:$D$15,0)),0),0))</f>
        <v/>
      </c>
      <c r="AH3681" s="64">
        <f>IF($A3681="","",IF(AD3681=0,"",IF(OR(COUNTIF(계정대체기준!$A$77:$A$86,$N3681)&gt;0,ISNUMBER(MATCH($X3681,계정대체기준!$D$77:$D$86,0)),ISNUMBER(MATCH($F3681,계정대체기준!$D$77:$D$86,0))),"Y","N")))</f>
        <v/>
      </c>
    </row>
    <row r="3682">
      <c r="A3682" s="92" t="n">
        <v>2026</v>
      </c>
      <c r="B3682" s="92" t="n">
        <v>5</v>
      </c>
      <c r="C3682" s="92" t="inlineStr">
        <is>
          <t>5100000960</t>
        </is>
      </c>
      <c r="D3682" s="95" t="n">
        <v>46149</v>
      </c>
      <c r="E3682" s="92" t="inlineStr">
        <is>
          <t>KR</t>
        </is>
      </c>
      <c r="F3682" s="92" t="n">
        <v>62501000</v>
      </c>
      <c r="G3682" s="92" t="n">
        <v>1801</v>
      </c>
      <c r="H3682" s="93" t="n">
        <v>79000</v>
      </c>
      <c r="I3682" s="92" t="inlineStr">
        <is>
          <t>5월 회의 다과 - T케이터링</t>
        </is>
      </c>
      <c r="J3682" s="92" t="inlineStr">
        <is>
          <t>V10005</t>
        </is>
      </c>
      <c r="K3682" s="92" t="inlineStr">
        <is>
          <t>T케이터링</t>
        </is>
      </c>
      <c r="M3682" s="9">
        <f>IF($A3682="","",VALUE($A3682&amp;"")*12+VALUE($B3682&amp;""))</f>
        <v/>
      </c>
      <c r="N3682" s="64">
        <f>IF($A3682="","",IFERROR(INDEX(부서매핑!$C$5:$C$504,MATCH($G3682&amp;"",부서매핑!$A$5:$A$504,0)),"미매핑"))</f>
        <v/>
      </c>
      <c r="O3682" s="9">
        <f>IF($A3682="","",N3682&amp;"|"&amp;$F3682)</f>
        <v/>
      </c>
      <c r="P3682" s="94">
        <f>IF($A3682="",0,$H3682*설정!$C$23)</f>
        <v/>
      </c>
      <c r="Q3682" s="64">
        <f>IF($A3682="","",IF(O3682&lt;&gt;원인분석!$C$9,"",IF(AND(M3682&gt;=원인분석!$C$10,M3682&lt;=원인분석!$C$11),"당기",IF(AND(M3682&gt;=원인분석!$C$12,M3682&lt;=원인분석!$C$13),"비교",""))))</f>
        <v/>
      </c>
      <c r="R3682" s="9">
        <f>IF(Q3682="","",$K3682&amp;"")</f>
        <v/>
      </c>
      <c r="S3682" s="9">
        <f>IF(Q3682="","",IF(MATCH(R3682,$R$5:$R$100000,0)=ROW()-4,ROW(),""))</f>
        <v/>
      </c>
      <c r="T3682" s="9">
        <f>IF(Q3682="당기",ABS(P3682)+ROW()/1000000000,"")</f>
        <v/>
      </c>
      <c r="U3682" s="9">
        <f>IF(Q3682="비교",ABS(P3682)+ROW()/1000000000,"")</f>
        <v/>
      </c>
      <c r="V3682" s="64">
        <f>IF($A3682="","",IF(COUNTIF(변동분석!$E$7:$E$506,O3682)&gt;0,"Y","N"))</f>
        <v/>
      </c>
      <c r="W3682" s="64">
        <f>IF($A3682="","",IFERROR(INDEX(계정매핑!$D$5:$D$504,MATCH($F3682&amp;"",계정매핑!$A$5:$A$504,0)),"미매핑"))</f>
        <v/>
      </c>
      <c r="X3682" s="9">
        <f>IF($A3682="","",$F3682&amp;"")</f>
        <v/>
      </c>
      <c r="Y3682" s="94">
        <f>IF($A3682="",0,IF(AE3682="직접",IF(AF3682="비귀속",$P3682,0),$P3682*(1-AG3682)*IFERROR(INDEX(계정대체기준!$F$20:$F$49,MATCH($N3682,계정대체기준!$A$20:$A$49,0)),1)))</f>
        <v/>
      </c>
      <c r="Z3682" s="94">
        <f>IF($A3682="",0,IF(AE3682="직접",IF(AF3682="신계약비",$P3682,0),$P3682*(1-AG3682)*IFERROR(INDEX(계정대체기준!$C$20:$C$49,MATCH($N3682,계정대체기준!$A$20:$A$49,0)),0)))</f>
        <v/>
      </c>
      <c r="AA3682" s="94">
        <f>IF($A3682="",0,IF(AE3682="직접",IF(OR(AF3682="유지비",AF3682="손해조사비"),$P3682,0),$P3682*(1-AG3682)*IFERROR(INDEX(계정대체기준!$D$20:$D$49,MATCH($N3682,계정대체기준!$A$20:$A$49,0)),0)))</f>
        <v/>
      </c>
      <c r="AB3682" s="94">
        <f>IF($A3682="",0,IF(AE3682="직접",IF(AF3682="수금비",$P3682,0),$P3682*(1-AG3682)*IFERROR(INDEX(계정대체기준!$E$20:$E$49,MATCH($N3682,계정대체기준!$A$20:$A$49,0)),0)))</f>
        <v/>
      </c>
      <c r="AC3682" s="9">
        <f>IF(AND($A3682&lt;&gt;"",M3682=설정!$C$20,Z3682&gt;0),Z3682+ROW()/1000000000,"")</f>
        <v/>
      </c>
      <c r="AD3682" s="94">
        <f>IF($A3682="",0,$P3682*AG3682)</f>
        <v/>
      </c>
      <c r="AE3682" s="64">
        <f>IF($A3682="","",IFERROR(INDEX(계정매핑!$E$5:$E$504,MATCH($F3682&amp;"",계정매핑!$A$5:$A$504,0))&amp;"","공통비"))</f>
        <v/>
      </c>
      <c r="AF3682" s="64">
        <f>IF($A3682="","",IF(AE3682="직접",IFERROR(INDEX(계정매핑!$F$5:$F$504,MATCH($F3682&amp;"",계정매핑!$A$5:$A$504,0))&amp;"","비귀속"),""))</f>
        <v/>
      </c>
      <c r="AG3682" s="96">
        <f>IF($A3682="",0,IF(AND(AE3682&lt;&gt;"직접",IFERROR(INDEX(계정매핑!$G$5:$G$504,MATCH($F3682&amp;"",계정매핑!$A$5:$A$504,0))&amp;"","")="유지비",COUNTIF(계정대체기준!$A$6:$A$15,$N3682)&gt;0),IFERROR(INDEX(계정대체기준!$E$6:$E$15,MATCH(VALUE($A3682&amp;""),계정대체기준!$D$6:$D$15,0)),0),0))</f>
        <v/>
      </c>
      <c r="AH3682" s="64">
        <f>IF($A3682="","",IF(AD3682=0,"",IF(OR(COUNTIF(계정대체기준!$A$77:$A$86,$N3682)&gt;0,ISNUMBER(MATCH($X3682,계정대체기준!$D$77:$D$86,0)),ISNUMBER(MATCH($F3682,계정대체기준!$D$77:$D$86,0))),"Y","N")))</f>
        <v/>
      </c>
    </row>
    <row r="3683">
      <c r="A3683" s="92" t="n">
        <v>2026</v>
      </c>
      <c r="B3683" s="92" t="n">
        <v>5</v>
      </c>
      <c r="C3683" s="92" t="inlineStr">
        <is>
          <t>5100000961</t>
        </is>
      </c>
      <c r="D3683" s="95" t="n">
        <v>46149</v>
      </c>
      <c r="E3683" s="92" t="inlineStr">
        <is>
          <t>KR</t>
        </is>
      </c>
      <c r="F3683" s="92" t="n">
        <v>62802000</v>
      </c>
      <c r="G3683" s="92" t="n">
        <v>1301</v>
      </c>
      <c r="H3683" s="93" t="n">
        <v>4148000</v>
      </c>
      <c r="I3683" s="92" t="inlineStr">
        <is>
          <t>5월 위탁교육 - I교육원</t>
        </is>
      </c>
      <c r="J3683" s="92" t="inlineStr">
        <is>
          <t>V10019</t>
        </is>
      </c>
      <c r="K3683" s="92" t="inlineStr">
        <is>
          <t>I교육원</t>
        </is>
      </c>
      <c r="M3683" s="9">
        <f>IF($A3683="","",VALUE($A3683&amp;"")*12+VALUE($B3683&amp;""))</f>
        <v/>
      </c>
      <c r="N3683" s="64">
        <f>IF($A3683="","",IFERROR(INDEX(부서매핑!$C$5:$C$504,MATCH($G3683&amp;"",부서매핑!$A$5:$A$504,0)),"미매핑"))</f>
        <v/>
      </c>
      <c r="O3683" s="9">
        <f>IF($A3683="","",N3683&amp;"|"&amp;$F3683)</f>
        <v/>
      </c>
      <c r="P3683" s="94">
        <f>IF($A3683="",0,$H3683*설정!$C$23)</f>
        <v/>
      </c>
      <c r="Q3683" s="64">
        <f>IF($A3683="","",IF(O3683&lt;&gt;원인분석!$C$9,"",IF(AND(M3683&gt;=원인분석!$C$10,M3683&lt;=원인분석!$C$11),"당기",IF(AND(M3683&gt;=원인분석!$C$12,M3683&lt;=원인분석!$C$13),"비교",""))))</f>
        <v/>
      </c>
      <c r="R3683" s="9">
        <f>IF(Q3683="","",$K3683&amp;"")</f>
        <v/>
      </c>
      <c r="S3683" s="9">
        <f>IF(Q3683="","",IF(MATCH(R3683,$R$5:$R$100000,0)=ROW()-4,ROW(),""))</f>
        <v/>
      </c>
      <c r="T3683" s="9">
        <f>IF(Q3683="당기",ABS(P3683)+ROW()/1000000000,"")</f>
        <v/>
      </c>
      <c r="U3683" s="9">
        <f>IF(Q3683="비교",ABS(P3683)+ROW()/1000000000,"")</f>
        <v/>
      </c>
      <c r="V3683" s="64">
        <f>IF($A3683="","",IF(COUNTIF(변동분석!$E$7:$E$506,O3683)&gt;0,"Y","N"))</f>
        <v/>
      </c>
      <c r="W3683" s="64">
        <f>IF($A3683="","",IFERROR(INDEX(계정매핑!$D$5:$D$504,MATCH($F3683&amp;"",계정매핑!$A$5:$A$504,0)),"미매핑"))</f>
        <v/>
      </c>
      <c r="X3683" s="9">
        <f>IF($A3683="","",$F3683&amp;"")</f>
        <v/>
      </c>
      <c r="Y3683" s="94">
        <f>IF($A3683="",0,IF(AE3683="직접",IF(AF3683="비귀속",$P3683,0),$P3683*(1-AG3683)*IFERROR(INDEX(계정대체기준!$F$20:$F$49,MATCH($N3683,계정대체기준!$A$20:$A$49,0)),1)))</f>
        <v/>
      </c>
      <c r="Z3683" s="94">
        <f>IF($A3683="",0,IF(AE3683="직접",IF(AF3683="신계약비",$P3683,0),$P3683*(1-AG3683)*IFERROR(INDEX(계정대체기준!$C$20:$C$49,MATCH($N3683,계정대체기준!$A$20:$A$49,0)),0)))</f>
        <v/>
      </c>
      <c r="AA3683" s="94">
        <f>IF($A3683="",0,IF(AE3683="직접",IF(OR(AF3683="유지비",AF3683="손해조사비"),$P3683,0),$P3683*(1-AG3683)*IFERROR(INDEX(계정대체기준!$D$20:$D$49,MATCH($N3683,계정대체기준!$A$20:$A$49,0)),0)))</f>
        <v/>
      </c>
      <c r="AB3683" s="94">
        <f>IF($A3683="",0,IF(AE3683="직접",IF(AF3683="수금비",$P3683,0),$P3683*(1-AG3683)*IFERROR(INDEX(계정대체기준!$E$20:$E$49,MATCH($N3683,계정대체기준!$A$20:$A$49,0)),0)))</f>
        <v/>
      </c>
      <c r="AC3683" s="9">
        <f>IF(AND($A3683&lt;&gt;"",M3683=설정!$C$20,Z3683&gt;0),Z3683+ROW()/1000000000,"")</f>
        <v/>
      </c>
      <c r="AD3683" s="94">
        <f>IF($A3683="",0,$P3683*AG3683)</f>
        <v/>
      </c>
      <c r="AE3683" s="64">
        <f>IF($A3683="","",IFERROR(INDEX(계정매핑!$E$5:$E$504,MATCH($F3683&amp;"",계정매핑!$A$5:$A$504,0))&amp;"","공통비"))</f>
        <v/>
      </c>
      <c r="AF3683" s="64">
        <f>IF($A3683="","",IF(AE3683="직접",IFERROR(INDEX(계정매핑!$F$5:$F$504,MATCH($F3683&amp;"",계정매핑!$A$5:$A$504,0))&amp;"","비귀속"),""))</f>
        <v/>
      </c>
      <c r="AG3683" s="96">
        <f>IF($A3683="",0,IF(AND(AE3683&lt;&gt;"직접",IFERROR(INDEX(계정매핑!$G$5:$G$504,MATCH($F3683&amp;"",계정매핑!$A$5:$A$504,0))&amp;"","")="유지비",COUNTIF(계정대체기준!$A$6:$A$15,$N3683)&gt;0),IFERROR(INDEX(계정대체기준!$E$6:$E$15,MATCH(VALUE($A3683&amp;""),계정대체기준!$D$6:$D$15,0)),0),0))</f>
        <v/>
      </c>
      <c r="AH3683" s="64">
        <f>IF($A3683="","",IF(AD3683=0,"",IF(OR(COUNTIF(계정대체기준!$A$77:$A$86,$N3683)&gt;0,ISNUMBER(MATCH($X3683,계정대체기준!$D$77:$D$86,0)),ISNUMBER(MATCH($F3683,계정대체기준!$D$77:$D$86,0))),"Y","N")))</f>
        <v/>
      </c>
    </row>
    <row r="3684">
      <c r="A3684" s="92" t="n">
        <v>2026</v>
      </c>
      <c r="B3684" s="92" t="n">
        <v>5</v>
      </c>
      <c r="C3684" s="92" t="inlineStr">
        <is>
          <t>5100000962</t>
        </is>
      </c>
      <c r="D3684" s="95" t="n">
        <v>46149</v>
      </c>
      <c r="E3684" s="92" t="inlineStr">
        <is>
          <t>KR</t>
        </is>
      </c>
      <c r="F3684" s="92" t="n">
        <v>62802000</v>
      </c>
      <c r="G3684" s="92" t="n">
        <v>1301</v>
      </c>
      <c r="H3684" s="93" t="n">
        <v>4242000</v>
      </c>
      <c r="I3684" s="92" t="inlineStr">
        <is>
          <t>5월 위탁교육 - V아카데미</t>
        </is>
      </c>
      <c r="J3684" s="92" t="inlineStr">
        <is>
          <t>V10027</t>
        </is>
      </c>
      <c r="K3684" s="92" t="inlineStr">
        <is>
          <t>V아카데미</t>
        </is>
      </c>
      <c r="M3684" s="9">
        <f>IF($A3684="","",VALUE($A3684&amp;"")*12+VALUE($B3684&amp;""))</f>
        <v/>
      </c>
      <c r="N3684" s="64">
        <f>IF($A3684="","",IFERROR(INDEX(부서매핑!$C$5:$C$504,MATCH($G3684&amp;"",부서매핑!$A$5:$A$504,0)),"미매핑"))</f>
        <v/>
      </c>
      <c r="O3684" s="9">
        <f>IF($A3684="","",N3684&amp;"|"&amp;$F3684)</f>
        <v/>
      </c>
      <c r="P3684" s="94">
        <f>IF($A3684="",0,$H3684*설정!$C$23)</f>
        <v/>
      </c>
      <c r="Q3684" s="64">
        <f>IF($A3684="","",IF(O3684&lt;&gt;원인분석!$C$9,"",IF(AND(M3684&gt;=원인분석!$C$10,M3684&lt;=원인분석!$C$11),"당기",IF(AND(M3684&gt;=원인분석!$C$12,M3684&lt;=원인분석!$C$13),"비교",""))))</f>
        <v/>
      </c>
      <c r="R3684" s="9">
        <f>IF(Q3684="","",$K3684&amp;"")</f>
        <v/>
      </c>
      <c r="S3684" s="9">
        <f>IF(Q3684="","",IF(MATCH(R3684,$R$5:$R$100000,0)=ROW()-4,ROW(),""))</f>
        <v/>
      </c>
      <c r="T3684" s="9">
        <f>IF(Q3684="당기",ABS(P3684)+ROW()/1000000000,"")</f>
        <v/>
      </c>
      <c r="U3684" s="9">
        <f>IF(Q3684="비교",ABS(P3684)+ROW()/1000000000,"")</f>
        <v/>
      </c>
      <c r="V3684" s="64">
        <f>IF($A3684="","",IF(COUNTIF(변동분석!$E$7:$E$506,O3684)&gt;0,"Y","N"))</f>
        <v/>
      </c>
      <c r="W3684" s="64">
        <f>IF($A3684="","",IFERROR(INDEX(계정매핑!$D$5:$D$504,MATCH($F3684&amp;"",계정매핑!$A$5:$A$504,0)),"미매핑"))</f>
        <v/>
      </c>
      <c r="X3684" s="9">
        <f>IF($A3684="","",$F3684&amp;"")</f>
        <v/>
      </c>
      <c r="Y3684" s="94">
        <f>IF($A3684="",0,IF(AE3684="직접",IF(AF3684="비귀속",$P3684,0),$P3684*(1-AG3684)*IFERROR(INDEX(계정대체기준!$F$20:$F$49,MATCH($N3684,계정대체기준!$A$20:$A$49,0)),1)))</f>
        <v/>
      </c>
      <c r="Z3684" s="94">
        <f>IF($A3684="",0,IF(AE3684="직접",IF(AF3684="신계약비",$P3684,0),$P3684*(1-AG3684)*IFERROR(INDEX(계정대체기준!$C$20:$C$49,MATCH($N3684,계정대체기준!$A$20:$A$49,0)),0)))</f>
        <v/>
      </c>
      <c r="AA3684" s="94">
        <f>IF($A3684="",0,IF(AE3684="직접",IF(OR(AF3684="유지비",AF3684="손해조사비"),$P3684,0),$P3684*(1-AG3684)*IFERROR(INDEX(계정대체기준!$D$20:$D$49,MATCH($N3684,계정대체기준!$A$20:$A$49,0)),0)))</f>
        <v/>
      </c>
      <c r="AB3684" s="94">
        <f>IF($A3684="",0,IF(AE3684="직접",IF(AF3684="수금비",$P3684,0),$P3684*(1-AG3684)*IFERROR(INDEX(계정대체기준!$E$20:$E$49,MATCH($N3684,계정대체기준!$A$20:$A$49,0)),0)))</f>
        <v/>
      </c>
      <c r="AC3684" s="9">
        <f>IF(AND($A3684&lt;&gt;"",M3684=설정!$C$20,Z3684&gt;0),Z3684+ROW()/1000000000,"")</f>
        <v/>
      </c>
      <c r="AD3684" s="94">
        <f>IF($A3684="",0,$P3684*AG3684)</f>
        <v/>
      </c>
      <c r="AE3684" s="64">
        <f>IF($A3684="","",IFERROR(INDEX(계정매핑!$E$5:$E$504,MATCH($F3684&amp;"",계정매핑!$A$5:$A$504,0))&amp;"","공통비"))</f>
        <v/>
      </c>
      <c r="AF3684" s="64">
        <f>IF($A3684="","",IF(AE3684="직접",IFERROR(INDEX(계정매핑!$F$5:$F$504,MATCH($F3684&amp;"",계정매핑!$A$5:$A$504,0))&amp;"","비귀속"),""))</f>
        <v/>
      </c>
      <c r="AG3684" s="96">
        <f>IF($A3684="",0,IF(AND(AE3684&lt;&gt;"직접",IFERROR(INDEX(계정매핑!$G$5:$G$504,MATCH($F3684&amp;"",계정매핑!$A$5:$A$504,0))&amp;"","")="유지비",COUNTIF(계정대체기준!$A$6:$A$15,$N3684)&gt;0),IFERROR(INDEX(계정대체기준!$E$6:$E$15,MATCH(VALUE($A3684&amp;""),계정대체기준!$D$6:$D$15,0)),0),0))</f>
        <v/>
      </c>
      <c r="AH3684" s="64">
        <f>IF($A3684="","",IF(AD3684=0,"",IF(OR(COUNTIF(계정대체기준!$A$77:$A$86,$N3684)&gt;0,ISNUMBER(MATCH($X3684,계정대체기준!$D$77:$D$86,0)),ISNUMBER(MATCH($F3684,계정대체기준!$D$77:$D$86,0))),"Y","N")))</f>
        <v/>
      </c>
    </row>
    <row r="3685">
      <c r="A3685" s="92" t="n">
        <v>2026</v>
      </c>
      <c r="B3685" s="92" t="n">
        <v>5</v>
      </c>
      <c r="C3685" s="92" t="inlineStr">
        <is>
          <t>5100000963</t>
        </is>
      </c>
      <c r="D3685" s="95" t="n">
        <v>46149</v>
      </c>
      <c r="E3685" s="92" t="inlineStr">
        <is>
          <t>KR</t>
        </is>
      </c>
      <c r="F3685" s="92" t="n">
        <v>62901000</v>
      </c>
      <c r="G3685" s="92" t="n">
        <v>1101</v>
      </c>
      <c r="H3685" s="93" t="n">
        <v>2613000</v>
      </c>
      <c r="I3685" s="92" t="inlineStr">
        <is>
          <t>5월 자문 수수료 - K회계법인</t>
        </is>
      </c>
      <c r="J3685" s="92" t="inlineStr">
        <is>
          <t>V10011</t>
        </is>
      </c>
      <c r="K3685" s="92" t="inlineStr">
        <is>
          <t>K회계법인</t>
        </is>
      </c>
      <c r="M3685" s="9">
        <f>IF($A3685="","",VALUE($A3685&amp;"")*12+VALUE($B3685&amp;""))</f>
        <v/>
      </c>
      <c r="N3685" s="64">
        <f>IF($A3685="","",IFERROR(INDEX(부서매핑!$C$5:$C$504,MATCH($G3685&amp;"",부서매핑!$A$5:$A$504,0)),"미매핑"))</f>
        <v/>
      </c>
      <c r="O3685" s="9">
        <f>IF($A3685="","",N3685&amp;"|"&amp;$F3685)</f>
        <v/>
      </c>
      <c r="P3685" s="94">
        <f>IF($A3685="",0,$H3685*설정!$C$23)</f>
        <v/>
      </c>
      <c r="Q3685" s="64">
        <f>IF($A3685="","",IF(O3685&lt;&gt;원인분석!$C$9,"",IF(AND(M3685&gt;=원인분석!$C$10,M3685&lt;=원인분석!$C$11),"당기",IF(AND(M3685&gt;=원인분석!$C$12,M3685&lt;=원인분석!$C$13),"비교",""))))</f>
        <v/>
      </c>
      <c r="R3685" s="9">
        <f>IF(Q3685="","",$K3685&amp;"")</f>
        <v/>
      </c>
      <c r="S3685" s="9">
        <f>IF(Q3685="","",IF(MATCH(R3685,$R$5:$R$100000,0)=ROW()-4,ROW(),""))</f>
        <v/>
      </c>
      <c r="T3685" s="9">
        <f>IF(Q3685="당기",ABS(P3685)+ROW()/1000000000,"")</f>
        <v/>
      </c>
      <c r="U3685" s="9">
        <f>IF(Q3685="비교",ABS(P3685)+ROW()/1000000000,"")</f>
        <v/>
      </c>
      <c r="V3685" s="64">
        <f>IF($A3685="","",IF(COUNTIF(변동분석!$E$7:$E$506,O3685)&gt;0,"Y","N"))</f>
        <v/>
      </c>
      <c r="W3685" s="64">
        <f>IF($A3685="","",IFERROR(INDEX(계정매핑!$D$5:$D$504,MATCH($F3685&amp;"",계정매핑!$A$5:$A$504,0)),"미매핑"))</f>
        <v/>
      </c>
      <c r="X3685" s="9">
        <f>IF($A3685="","",$F3685&amp;"")</f>
        <v/>
      </c>
      <c r="Y3685" s="94">
        <f>IF($A3685="",0,IF(AE3685="직접",IF(AF3685="비귀속",$P3685,0),$P3685*(1-AG3685)*IFERROR(INDEX(계정대체기준!$F$20:$F$49,MATCH($N3685,계정대체기준!$A$20:$A$49,0)),1)))</f>
        <v/>
      </c>
      <c r="Z3685" s="94">
        <f>IF($A3685="",0,IF(AE3685="직접",IF(AF3685="신계약비",$P3685,0),$P3685*(1-AG3685)*IFERROR(INDEX(계정대체기준!$C$20:$C$49,MATCH($N3685,계정대체기준!$A$20:$A$49,0)),0)))</f>
        <v/>
      </c>
      <c r="AA3685" s="94">
        <f>IF($A3685="",0,IF(AE3685="직접",IF(OR(AF3685="유지비",AF3685="손해조사비"),$P3685,0),$P3685*(1-AG3685)*IFERROR(INDEX(계정대체기준!$D$20:$D$49,MATCH($N3685,계정대체기준!$A$20:$A$49,0)),0)))</f>
        <v/>
      </c>
      <c r="AB3685" s="94">
        <f>IF($A3685="",0,IF(AE3685="직접",IF(AF3685="수금비",$P3685,0),$P3685*(1-AG3685)*IFERROR(INDEX(계정대체기준!$E$20:$E$49,MATCH($N3685,계정대체기준!$A$20:$A$49,0)),0)))</f>
        <v/>
      </c>
      <c r="AC3685" s="9">
        <f>IF(AND($A3685&lt;&gt;"",M3685=설정!$C$20,Z3685&gt;0),Z3685+ROW()/1000000000,"")</f>
        <v/>
      </c>
      <c r="AD3685" s="94">
        <f>IF($A3685="",0,$P3685*AG3685)</f>
        <v/>
      </c>
      <c r="AE3685" s="64">
        <f>IF($A3685="","",IFERROR(INDEX(계정매핑!$E$5:$E$504,MATCH($F3685&amp;"",계정매핑!$A$5:$A$504,0))&amp;"","공통비"))</f>
        <v/>
      </c>
      <c r="AF3685" s="64">
        <f>IF($A3685="","",IF(AE3685="직접",IFERROR(INDEX(계정매핑!$F$5:$F$504,MATCH($F3685&amp;"",계정매핑!$A$5:$A$504,0))&amp;"","비귀속"),""))</f>
        <v/>
      </c>
      <c r="AG3685" s="96">
        <f>IF($A3685="",0,IF(AND(AE3685&lt;&gt;"직접",IFERROR(INDEX(계정매핑!$G$5:$G$504,MATCH($F3685&amp;"",계정매핑!$A$5:$A$504,0))&amp;"","")="유지비",COUNTIF(계정대체기준!$A$6:$A$15,$N3685)&gt;0),IFERROR(INDEX(계정대체기준!$E$6:$E$15,MATCH(VALUE($A3685&amp;""),계정대체기준!$D$6:$D$15,0)),0),0))</f>
        <v/>
      </c>
      <c r="AH3685" s="64">
        <f>IF($A3685="","",IF(AD3685=0,"",IF(OR(COUNTIF(계정대체기준!$A$77:$A$86,$N3685)&gt;0,ISNUMBER(MATCH($X3685,계정대체기준!$D$77:$D$86,0)),ISNUMBER(MATCH($F3685,계정대체기준!$D$77:$D$86,0))),"Y","N")))</f>
        <v/>
      </c>
    </row>
    <row r="3686">
      <c r="A3686" s="92" t="n">
        <v>2026</v>
      </c>
      <c r="B3686" s="92" t="n">
        <v>5</v>
      </c>
      <c r="C3686" s="92" t="inlineStr">
        <is>
          <t>5100000964</t>
        </is>
      </c>
      <c r="D3686" s="95" t="n">
        <v>46149</v>
      </c>
      <c r="E3686" s="92" t="inlineStr">
        <is>
          <t>KR</t>
        </is>
      </c>
      <c r="F3686" s="92" t="n">
        <v>62901000</v>
      </c>
      <c r="G3686" s="92" t="n">
        <v>1401</v>
      </c>
      <c r="H3686" s="93" t="n">
        <v>6594000</v>
      </c>
      <c r="I3686" s="92" t="inlineStr">
        <is>
          <t>5월 자문 수수료 - K회계법인</t>
        </is>
      </c>
      <c r="J3686" s="92" t="inlineStr">
        <is>
          <t>V10011</t>
        </is>
      </c>
      <c r="K3686" s="92" t="inlineStr">
        <is>
          <t>K회계법인</t>
        </is>
      </c>
      <c r="M3686" s="9">
        <f>IF($A3686="","",VALUE($A3686&amp;"")*12+VALUE($B3686&amp;""))</f>
        <v/>
      </c>
      <c r="N3686" s="64">
        <f>IF($A3686="","",IFERROR(INDEX(부서매핑!$C$5:$C$504,MATCH($G3686&amp;"",부서매핑!$A$5:$A$504,0)),"미매핑"))</f>
        <v/>
      </c>
      <c r="O3686" s="9">
        <f>IF($A3686="","",N3686&amp;"|"&amp;$F3686)</f>
        <v/>
      </c>
      <c r="P3686" s="94">
        <f>IF($A3686="",0,$H3686*설정!$C$23)</f>
        <v/>
      </c>
      <c r="Q3686" s="64">
        <f>IF($A3686="","",IF(O3686&lt;&gt;원인분석!$C$9,"",IF(AND(M3686&gt;=원인분석!$C$10,M3686&lt;=원인분석!$C$11),"당기",IF(AND(M3686&gt;=원인분석!$C$12,M3686&lt;=원인분석!$C$13),"비교",""))))</f>
        <v/>
      </c>
      <c r="R3686" s="9">
        <f>IF(Q3686="","",$K3686&amp;"")</f>
        <v/>
      </c>
      <c r="S3686" s="9">
        <f>IF(Q3686="","",IF(MATCH(R3686,$R$5:$R$100000,0)=ROW()-4,ROW(),""))</f>
        <v/>
      </c>
      <c r="T3686" s="9">
        <f>IF(Q3686="당기",ABS(P3686)+ROW()/1000000000,"")</f>
        <v/>
      </c>
      <c r="U3686" s="9">
        <f>IF(Q3686="비교",ABS(P3686)+ROW()/1000000000,"")</f>
        <v/>
      </c>
      <c r="V3686" s="64">
        <f>IF($A3686="","",IF(COUNTIF(변동분석!$E$7:$E$506,O3686)&gt;0,"Y","N"))</f>
        <v/>
      </c>
      <c r="W3686" s="64">
        <f>IF($A3686="","",IFERROR(INDEX(계정매핑!$D$5:$D$504,MATCH($F3686&amp;"",계정매핑!$A$5:$A$504,0)),"미매핑"))</f>
        <v/>
      </c>
      <c r="X3686" s="9">
        <f>IF($A3686="","",$F3686&amp;"")</f>
        <v/>
      </c>
      <c r="Y3686" s="94">
        <f>IF($A3686="",0,IF(AE3686="직접",IF(AF3686="비귀속",$P3686,0),$P3686*(1-AG3686)*IFERROR(INDEX(계정대체기준!$F$20:$F$49,MATCH($N3686,계정대체기준!$A$20:$A$49,0)),1)))</f>
        <v/>
      </c>
      <c r="Z3686" s="94">
        <f>IF($A3686="",0,IF(AE3686="직접",IF(AF3686="신계약비",$P3686,0),$P3686*(1-AG3686)*IFERROR(INDEX(계정대체기준!$C$20:$C$49,MATCH($N3686,계정대체기준!$A$20:$A$49,0)),0)))</f>
        <v/>
      </c>
      <c r="AA3686" s="94">
        <f>IF($A3686="",0,IF(AE3686="직접",IF(OR(AF3686="유지비",AF3686="손해조사비"),$P3686,0),$P3686*(1-AG3686)*IFERROR(INDEX(계정대체기준!$D$20:$D$49,MATCH($N3686,계정대체기준!$A$20:$A$49,0)),0)))</f>
        <v/>
      </c>
      <c r="AB3686" s="94">
        <f>IF($A3686="",0,IF(AE3686="직접",IF(AF3686="수금비",$P3686,0),$P3686*(1-AG3686)*IFERROR(INDEX(계정대체기준!$E$20:$E$49,MATCH($N3686,계정대체기준!$A$20:$A$49,0)),0)))</f>
        <v/>
      </c>
      <c r="AC3686" s="9">
        <f>IF(AND($A3686&lt;&gt;"",M3686=설정!$C$20,Z3686&gt;0),Z3686+ROW()/1000000000,"")</f>
        <v/>
      </c>
      <c r="AD3686" s="94">
        <f>IF($A3686="",0,$P3686*AG3686)</f>
        <v/>
      </c>
      <c r="AE3686" s="64">
        <f>IF($A3686="","",IFERROR(INDEX(계정매핑!$E$5:$E$504,MATCH($F3686&amp;"",계정매핑!$A$5:$A$504,0))&amp;"","공통비"))</f>
        <v/>
      </c>
      <c r="AF3686" s="64">
        <f>IF($A3686="","",IF(AE3686="직접",IFERROR(INDEX(계정매핑!$F$5:$F$504,MATCH($F3686&amp;"",계정매핑!$A$5:$A$504,0))&amp;"","비귀속"),""))</f>
        <v/>
      </c>
      <c r="AG3686" s="96">
        <f>IF($A3686="",0,IF(AND(AE3686&lt;&gt;"직접",IFERROR(INDEX(계정매핑!$G$5:$G$504,MATCH($F3686&amp;"",계정매핑!$A$5:$A$504,0))&amp;"","")="유지비",COUNTIF(계정대체기준!$A$6:$A$15,$N3686)&gt;0),IFERROR(INDEX(계정대체기준!$E$6:$E$15,MATCH(VALUE($A3686&amp;""),계정대체기준!$D$6:$D$15,0)),0),0))</f>
        <v/>
      </c>
      <c r="AH3686" s="64">
        <f>IF($A3686="","",IF(AD3686=0,"",IF(OR(COUNTIF(계정대체기준!$A$77:$A$86,$N3686)&gt;0,ISNUMBER(MATCH($X3686,계정대체기준!$D$77:$D$86,0)),ISNUMBER(MATCH($F3686,계정대체기준!$D$77:$D$86,0))),"Y","N")))</f>
        <v/>
      </c>
    </row>
    <row r="3687">
      <c r="A3687" s="92" t="n">
        <v>2026</v>
      </c>
      <c r="B3687" s="92" t="n">
        <v>5</v>
      </c>
      <c r="C3687" s="92" t="inlineStr">
        <is>
          <t>5100000965</t>
        </is>
      </c>
      <c r="D3687" s="95" t="n">
        <v>46149</v>
      </c>
      <c r="E3687" s="92" t="inlineStr">
        <is>
          <t>KR</t>
        </is>
      </c>
      <c r="F3687" s="92" t="n">
        <v>62901000</v>
      </c>
      <c r="G3687" s="92" t="n">
        <v>1951</v>
      </c>
      <c r="H3687" s="93" t="n">
        <v>4301000</v>
      </c>
      <c r="I3687" s="92" t="inlineStr">
        <is>
          <t>5월 자문 수수료 - W컨설팅</t>
        </is>
      </c>
      <c r="J3687" s="92" t="inlineStr">
        <is>
          <t>V10006</t>
        </is>
      </c>
      <c r="K3687" s="92" t="inlineStr">
        <is>
          <t>W컨설팅</t>
        </is>
      </c>
      <c r="M3687" s="9">
        <f>IF($A3687="","",VALUE($A3687&amp;"")*12+VALUE($B3687&amp;""))</f>
        <v/>
      </c>
      <c r="N3687" s="64">
        <f>IF($A3687="","",IFERROR(INDEX(부서매핑!$C$5:$C$504,MATCH($G3687&amp;"",부서매핑!$A$5:$A$504,0)),"미매핑"))</f>
        <v/>
      </c>
      <c r="O3687" s="9">
        <f>IF($A3687="","",N3687&amp;"|"&amp;$F3687)</f>
        <v/>
      </c>
      <c r="P3687" s="94">
        <f>IF($A3687="",0,$H3687*설정!$C$23)</f>
        <v/>
      </c>
      <c r="Q3687" s="64">
        <f>IF($A3687="","",IF(O3687&lt;&gt;원인분석!$C$9,"",IF(AND(M3687&gt;=원인분석!$C$10,M3687&lt;=원인분석!$C$11),"당기",IF(AND(M3687&gt;=원인분석!$C$12,M3687&lt;=원인분석!$C$13),"비교",""))))</f>
        <v/>
      </c>
      <c r="R3687" s="9">
        <f>IF(Q3687="","",$K3687&amp;"")</f>
        <v/>
      </c>
      <c r="S3687" s="9">
        <f>IF(Q3687="","",IF(MATCH(R3687,$R$5:$R$100000,0)=ROW()-4,ROW(),""))</f>
        <v/>
      </c>
      <c r="T3687" s="9">
        <f>IF(Q3687="당기",ABS(P3687)+ROW()/1000000000,"")</f>
        <v/>
      </c>
      <c r="U3687" s="9">
        <f>IF(Q3687="비교",ABS(P3687)+ROW()/1000000000,"")</f>
        <v/>
      </c>
      <c r="V3687" s="64">
        <f>IF($A3687="","",IF(COUNTIF(변동분석!$E$7:$E$506,O3687)&gt;0,"Y","N"))</f>
        <v/>
      </c>
      <c r="W3687" s="64">
        <f>IF($A3687="","",IFERROR(INDEX(계정매핑!$D$5:$D$504,MATCH($F3687&amp;"",계정매핑!$A$5:$A$504,0)),"미매핑"))</f>
        <v/>
      </c>
      <c r="X3687" s="9">
        <f>IF($A3687="","",$F3687&amp;"")</f>
        <v/>
      </c>
      <c r="Y3687" s="94">
        <f>IF($A3687="",0,IF(AE3687="직접",IF(AF3687="비귀속",$P3687,0),$P3687*(1-AG3687)*IFERROR(INDEX(계정대체기준!$F$20:$F$49,MATCH($N3687,계정대체기준!$A$20:$A$49,0)),1)))</f>
        <v/>
      </c>
      <c r="Z3687" s="94">
        <f>IF($A3687="",0,IF(AE3687="직접",IF(AF3687="신계약비",$P3687,0),$P3687*(1-AG3687)*IFERROR(INDEX(계정대체기준!$C$20:$C$49,MATCH($N3687,계정대체기준!$A$20:$A$49,0)),0)))</f>
        <v/>
      </c>
      <c r="AA3687" s="94">
        <f>IF($A3687="",0,IF(AE3687="직접",IF(OR(AF3687="유지비",AF3687="손해조사비"),$P3687,0),$P3687*(1-AG3687)*IFERROR(INDEX(계정대체기준!$D$20:$D$49,MATCH($N3687,계정대체기준!$A$20:$A$49,0)),0)))</f>
        <v/>
      </c>
      <c r="AB3687" s="94">
        <f>IF($A3687="",0,IF(AE3687="직접",IF(AF3687="수금비",$P3687,0),$P3687*(1-AG3687)*IFERROR(INDEX(계정대체기준!$E$20:$E$49,MATCH($N3687,계정대체기준!$A$20:$A$49,0)),0)))</f>
        <v/>
      </c>
      <c r="AC3687" s="9">
        <f>IF(AND($A3687&lt;&gt;"",M3687=설정!$C$20,Z3687&gt;0),Z3687+ROW()/1000000000,"")</f>
        <v/>
      </c>
      <c r="AD3687" s="94">
        <f>IF($A3687="",0,$P3687*AG3687)</f>
        <v/>
      </c>
      <c r="AE3687" s="64">
        <f>IF($A3687="","",IFERROR(INDEX(계정매핑!$E$5:$E$504,MATCH($F3687&amp;"",계정매핑!$A$5:$A$504,0))&amp;"","공통비"))</f>
        <v/>
      </c>
      <c r="AF3687" s="64">
        <f>IF($A3687="","",IF(AE3687="직접",IFERROR(INDEX(계정매핑!$F$5:$F$504,MATCH($F3687&amp;"",계정매핑!$A$5:$A$504,0))&amp;"","비귀속"),""))</f>
        <v/>
      </c>
      <c r="AG3687" s="96">
        <f>IF($A3687="",0,IF(AND(AE3687&lt;&gt;"직접",IFERROR(INDEX(계정매핑!$G$5:$G$504,MATCH($F3687&amp;"",계정매핑!$A$5:$A$504,0))&amp;"","")="유지비",COUNTIF(계정대체기준!$A$6:$A$15,$N3687)&gt;0),IFERROR(INDEX(계정대체기준!$E$6:$E$15,MATCH(VALUE($A3687&amp;""),계정대체기준!$D$6:$D$15,0)),0),0))</f>
        <v/>
      </c>
      <c r="AH3687" s="64">
        <f>IF($A3687="","",IF(AD3687=0,"",IF(OR(COUNTIF(계정대체기준!$A$77:$A$86,$N3687)&gt;0,ISNUMBER(MATCH($X3687,계정대체기준!$D$77:$D$86,0)),ISNUMBER(MATCH($F3687,계정대체기준!$D$77:$D$86,0))),"Y","N")))</f>
        <v/>
      </c>
    </row>
    <row r="3688">
      <c r="A3688" s="92" t="n">
        <v>2026</v>
      </c>
      <c r="B3688" s="92" t="n">
        <v>5</v>
      </c>
      <c r="C3688" s="92" t="inlineStr">
        <is>
          <t>5100000966</t>
        </is>
      </c>
      <c r="D3688" s="95" t="n">
        <v>46149</v>
      </c>
      <c r="E3688" s="92" t="inlineStr">
        <is>
          <t>KR</t>
        </is>
      </c>
      <c r="F3688" s="92" t="n">
        <v>62902000</v>
      </c>
      <c r="G3688" s="92" t="n">
        <v>1401</v>
      </c>
      <c r="H3688" s="93" t="n">
        <v>1804000</v>
      </c>
      <c r="I3688" s="92" t="inlineStr">
        <is>
          <t>5월 업무 위탁 수수료 - X서비스</t>
        </is>
      </c>
      <c r="J3688" s="92" t="inlineStr">
        <is>
          <t>V10020</t>
        </is>
      </c>
      <c r="K3688" s="92" t="inlineStr">
        <is>
          <t>X서비스</t>
        </is>
      </c>
      <c r="M3688" s="9">
        <f>IF($A3688="","",VALUE($A3688&amp;"")*12+VALUE($B3688&amp;""))</f>
        <v/>
      </c>
      <c r="N3688" s="64">
        <f>IF($A3688="","",IFERROR(INDEX(부서매핑!$C$5:$C$504,MATCH($G3688&amp;"",부서매핑!$A$5:$A$504,0)),"미매핑"))</f>
        <v/>
      </c>
      <c r="O3688" s="9">
        <f>IF($A3688="","",N3688&amp;"|"&amp;$F3688)</f>
        <v/>
      </c>
      <c r="P3688" s="94">
        <f>IF($A3688="",0,$H3688*설정!$C$23)</f>
        <v/>
      </c>
      <c r="Q3688" s="64">
        <f>IF($A3688="","",IF(O3688&lt;&gt;원인분석!$C$9,"",IF(AND(M3688&gt;=원인분석!$C$10,M3688&lt;=원인분석!$C$11),"당기",IF(AND(M3688&gt;=원인분석!$C$12,M3688&lt;=원인분석!$C$13),"비교",""))))</f>
        <v/>
      </c>
      <c r="R3688" s="9">
        <f>IF(Q3688="","",$K3688&amp;"")</f>
        <v/>
      </c>
      <c r="S3688" s="9">
        <f>IF(Q3688="","",IF(MATCH(R3688,$R$5:$R$100000,0)=ROW()-4,ROW(),""))</f>
        <v/>
      </c>
      <c r="T3688" s="9">
        <f>IF(Q3688="당기",ABS(P3688)+ROW()/1000000000,"")</f>
        <v/>
      </c>
      <c r="U3688" s="9">
        <f>IF(Q3688="비교",ABS(P3688)+ROW()/1000000000,"")</f>
        <v/>
      </c>
      <c r="V3688" s="64">
        <f>IF($A3688="","",IF(COUNTIF(변동분석!$E$7:$E$506,O3688)&gt;0,"Y","N"))</f>
        <v/>
      </c>
      <c r="W3688" s="64">
        <f>IF($A3688="","",IFERROR(INDEX(계정매핑!$D$5:$D$504,MATCH($F3688&amp;"",계정매핑!$A$5:$A$504,0)),"미매핑"))</f>
        <v/>
      </c>
      <c r="X3688" s="9">
        <f>IF($A3688="","",$F3688&amp;"")</f>
        <v/>
      </c>
      <c r="Y3688" s="94">
        <f>IF($A3688="",0,IF(AE3688="직접",IF(AF3688="비귀속",$P3688,0),$P3688*(1-AG3688)*IFERROR(INDEX(계정대체기준!$F$20:$F$49,MATCH($N3688,계정대체기준!$A$20:$A$49,0)),1)))</f>
        <v/>
      </c>
      <c r="Z3688" s="94">
        <f>IF($A3688="",0,IF(AE3688="직접",IF(AF3688="신계약비",$P3688,0),$P3688*(1-AG3688)*IFERROR(INDEX(계정대체기준!$C$20:$C$49,MATCH($N3688,계정대체기준!$A$20:$A$49,0)),0)))</f>
        <v/>
      </c>
      <c r="AA3688" s="94">
        <f>IF($A3688="",0,IF(AE3688="직접",IF(OR(AF3688="유지비",AF3688="손해조사비"),$P3688,0),$P3688*(1-AG3688)*IFERROR(INDEX(계정대체기준!$D$20:$D$49,MATCH($N3688,계정대체기준!$A$20:$A$49,0)),0)))</f>
        <v/>
      </c>
      <c r="AB3688" s="94">
        <f>IF($A3688="",0,IF(AE3688="직접",IF(AF3688="수금비",$P3688,0),$P3688*(1-AG3688)*IFERROR(INDEX(계정대체기준!$E$20:$E$49,MATCH($N3688,계정대체기준!$A$20:$A$49,0)),0)))</f>
        <v/>
      </c>
      <c r="AC3688" s="9">
        <f>IF(AND($A3688&lt;&gt;"",M3688=설정!$C$20,Z3688&gt;0),Z3688+ROW()/1000000000,"")</f>
        <v/>
      </c>
      <c r="AD3688" s="94">
        <f>IF($A3688="",0,$P3688*AG3688)</f>
        <v/>
      </c>
      <c r="AE3688" s="64">
        <f>IF($A3688="","",IFERROR(INDEX(계정매핑!$E$5:$E$504,MATCH($F3688&amp;"",계정매핑!$A$5:$A$504,0))&amp;"","공통비"))</f>
        <v/>
      </c>
      <c r="AF3688" s="64">
        <f>IF($A3688="","",IF(AE3688="직접",IFERROR(INDEX(계정매핑!$F$5:$F$504,MATCH($F3688&amp;"",계정매핑!$A$5:$A$504,0))&amp;"","비귀속"),""))</f>
        <v/>
      </c>
      <c r="AG3688" s="96">
        <f>IF($A3688="",0,IF(AND(AE3688&lt;&gt;"직접",IFERROR(INDEX(계정매핑!$G$5:$G$504,MATCH($F3688&amp;"",계정매핑!$A$5:$A$504,0))&amp;"","")="유지비",COUNTIF(계정대체기준!$A$6:$A$15,$N3688)&gt;0),IFERROR(INDEX(계정대체기준!$E$6:$E$15,MATCH(VALUE($A3688&amp;""),계정대체기준!$D$6:$D$15,0)),0),0))</f>
        <v/>
      </c>
      <c r="AH3688" s="64">
        <f>IF($A3688="","",IF(AD3688=0,"",IF(OR(COUNTIF(계정대체기준!$A$77:$A$86,$N3688)&gt;0,ISNUMBER(MATCH($X3688,계정대체기준!$D$77:$D$86,0)),ISNUMBER(MATCH($F3688,계정대체기준!$D$77:$D$86,0))),"Y","N")))</f>
        <v/>
      </c>
    </row>
    <row r="3689">
      <c r="A3689" s="92" t="n">
        <v>2026</v>
      </c>
      <c r="B3689" s="92" t="n">
        <v>5</v>
      </c>
      <c r="C3689" s="92" t="inlineStr">
        <is>
          <t>5100000967</t>
        </is>
      </c>
      <c r="D3689" s="95" t="n">
        <v>46150</v>
      </c>
      <c r="E3689" s="92" t="inlineStr">
        <is>
          <t>KR</t>
        </is>
      </c>
      <c r="F3689" s="92" t="n">
        <v>62101000</v>
      </c>
      <c r="G3689" s="92" t="n">
        <v>1501</v>
      </c>
      <c r="H3689" s="93" t="n">
        <v>369000</v>
      </c>
      <c r="I3689" s="92" t="inlineStr">
        <is>
          <t>5월 국내출장 - L여행사</t>
        </is>
      </c>
      <c r="J3689" s="92" t="inlineStr">
        <is>
          <t>V10018</t>
        </is>
      </c>
      <c r="K3689" s="92" t="inlineStr">
        <is>
          <t>L여행사</t>
        </is>
      </c>
      <c r="M3689" s="9">
        <f>IF($A3689="","",VALUE($A3689&amp;"")*12+VALUE($B3689&amp;""))</f>
        <v/>
      </c>
      <c r="N3689" s="64">
        <f>IF($A3689="","",IFERROR(INDEX(부서매핑!$C$5:$C$504,MATCH($G3689&amp;"",부서매핑!$A$5:$A$504,0)),"미매핑"))</f>
        <v/>
      </c>
      <c r="O3689" s="9">
        <f>IF($A3689="","",N3689&amp;"|"&amp;$F3689)</f>
        <v/>
      </c>
      <c r="P3689" s="94">
        <f>IF($A3689="",0,$H3689*설정!$C$23)</f>
        <v/>
      </c>
      <c r="Q3689" s="64">
        <f>IF($A3689="","",IF(O3689&lt;&gt;원인분석!$C$9,"",IF(AND(M3689&gt;=원인분석!$C$10,M3689&lt;=원인분석!$C$11),"당기",IF(AND(M3689&gt;=원인분석!$C$12,M3689&lt;=원인분석!$C$13),"비교",""))))</f>
        <v/>
      </c>
      <c r="R3689" s="9">
        <f>IF(Q3689="","",$K3689&amp;"")</f>
        <v/>
      </c>
      <c r="S3689" s="9">
        <f>IF(Q3689="","",IF(MATCH(R3689,$R$5:$R$100000,0)=ROW()-4,ROW(),""))</f>
        <v/>
      </c>
      <c r="T3689" s="9">
        <f>IF(Q3689="당기",ABS(P3689)+ROW()/1000000000,"")</f>
        <v/>
      </c>
      <c r="U3689" s="9">
        <f>IF(Q3689="비교",ABS(P3689)+ROW()/1000000000,"")</f>
        <v/>
      </c>
      <c r="V3689" s="64">
        <f>IF($A3689="","",IF(COUNTIF(변동분석!$E$7:$E$506,O3689)&gt;0,"Y","N"))</f>
        <v/>
      </c>
      <c r="W3689" s="64">
        <f>IF($A3689="","",IFERROR(INDEX(계정매핑!$D$5:$D$504,MATCH($F3689&amp;"",계정매핑!$A$5:$A$504,0)),"미매핑"))</f>
        <v/>
      </c>
      <c r="X3689" s="9">
        <f>IF($A3689="","",$F3689&amp;"")</f>
        <v/>
      </c>
      <c r="Y3689" s="94">
        <f>IF($A3689="",0,IF(AE3689="직접",IF(AF3689="비귀속",$P3689,0),$P3689*(1-AG3689)*IFERROR(INDEX(계정대체기준!$F$20:$F$49,MATCH($N3689,계정대체기준!$A$20:$A$49,0)),1)))</f>
        <v/>
      </c>
      <c r="Z3689" s="94">
        <f>IF($A3689="",0,IF(AE3689="직접",IF(AF3689="신계약비",$P3689,0),$P3689*(1-AG3689)*IFERROR(INDEX(계정대체기준!$C$20:$C$49,MATCH($N3689,계정대체기준!$A$20:$A$49,0)),0)))</f>
        <v/>
      </c>
      <c r="AA3689" s="94">
        <f>IF($A3689="",0,IF(AE3689="직접",IF(OR(AF3689="유지비",AF3689="손해조사비"),$P3689,0),$P3689*(1-AG3689)*IFERROR(INDEX(계정대체기준!$D$20:$D$49,MATCH($N3689,계정대체기준!$A$20:$A$49,0)),0)))</f>
        <v/>
      </c>
      <c r="AB3689" s="94">
        <f>IF($A3689="",0,IF(AE3689="직접",IF(AF3689="수금비",$P3689,0),$P3689*(1-AG3689)*IFERROR(INDEX(계정대체기준!$E$20:$E$49,MATCH($N3689,계정대체기준!$A$20:$A$49,0)),0)))</f>
        <v/>
      </c>
      <c r="AC3689" s="9">
        <f>IF(AND($A3689&lt;&gt;"",M3689=설정!$C$20,Z3689&gt;0),Z3689+ROW()/1000000000,"")</f>
        <v/>
      </c>
      <c r="AD3689" s="94">
        <f>IF($A3689="",0,$P3689*AG3689)</f>
        <v/>
      </c>
      <c r="AE3689" s="64">
        <f>IF($A3689="","",IFERROR(INDEX(계정매핑!$E$5:$E$504,MATCH($F3689&amp;"",계정매핑!$A$5:$A$504,0))&amp;"","공통비"))</f>
        <v/>
      </c>
      <c r="AF3689" s="64">
        <f>IF($A3689="","",IF(AE3689="직접",IFERROR(INDEX(계정매핑!$F$5:$F$504,MATCH($F3689&amp;"",계정매핑!$A$5:$A$504,0))&amp;"","비귀속"),""))</f>
        <v/>
      </c>
      <c r="AG3689" s="96">
        <f>IF($A3689="",0,IF(AND(AE3689&lt;&gt;"직접",IFERROR(INDEX(계정매핑!$G$5:$G$504,MATCH($F3689&amp;"",계정매핑!$A$5:$A$504,0))&amp;"","")="유지비",COUNTIF(계정대체기준!$A$6:$A$15,$N3689)&gt;0),IFERROR(INDEX(계정대체기준!$E$6:$E$15,MATCH(VALUE($A3689&amp;""),계정대체기준!$D$6:$D$15,0)),0),0))</f>
        <v/>
      </c>
      <c r="AH3689" s="64">
        <f>IF($A3689="","",IF(AD3689=0,"",IF(OR(COUNTIF(계정대체기준!$A$77:$A$86,$N3689)&gt;0,ISNUMBER(MATCH($X3689,계정대체기준!$D$77:$D$86,0)),ISNUMBER(MATCH($F3689,계정대체기준!$D$77:$D$86,0))),"Y","N")))</f>
        <v/>
      </c>
    </row>
    <row r="3690">
      <c r="A3690" s="92" t="n">
        <v>2026</v>
      </c>
      <c r="B3690" s="92" t="n">
        <v>5</v>
      </c>
      <c r="C3690" s="92" t="inlineStr">
        <is>
          <t>5100000968</t>
        </is>
      </c>
      <c r="D3690" s="95" t="n">
        <v>46150</v>
      </c>
      <c r="E3690" s="92" t="inlineStr">
        <is>
          <t>KR</t>
        </is>
      </c>
      <c r="F3690" s="92" t="n">
        <v>62101000</v>
      </c>
      <c r="G3690" s="92" t="n">
        <v>1951</v>
      </c>
      <c r="H3690" s="93" t="n">
        <v>251000</v>
      </c>
      <c r="I3690" s="92" t="inlineStr">
        <is>
          <t>5월 국내출장 - M항공</t>
        </is>
      </c>
      <c r="J3690" s="92" t="inlineStr">
        <is>
          <t>V10001</t>
        </is>
      </c>
      <c r="K3690" s="92" t="inlineStr">
        <is>
          <t>M항공</t>
        </is>
      </c>
      <c r="M3690" s="9">
        <f>IF($A3690="","",VALUE($A3690&amp;"")*12+VALUE($B3690&amp;""))</f>
        <v/>
      </c>
      <c r="N3690" s="64">
        <f>IF($A3690="","",IFERROR(INDEX(부서매핑!$C$5:$C$504,MATCH($G3690&amp;"",부서매핑!$A$5:$A$504,0)),"미매핑"))</f>
        <v/>
      </c>
      <c r="O3690" s="9">
        <f>IF($A3690="","",N3690&amp;"|"&amp;$F3690)</f>
        <v/>
      </c>
      <c r="P3690" s="94">
        <f>IF($A3690="",0,$H3690*설정!$C$23)</f>
        <v/>
      </c>
      <c r="Q3690" s="64">
        <f>IF($A3690="","",IF(O3690&lt;&gt;원인분석!$C$9,"",IF(AND(M3690&gt;=원인분석!$C$10,M3690&lt;=원인분석!$C$11),"당기",IF(AND(M3690&gt;=원인분석!$C$12,M3690&lt;=원인분석!$C$13),"비교",""))))</f>
        <v/>
      </c>
      <c r="R3690" s="9">
        <f>IF(Q3690="","",$K3690&amp;"")</f>
        <v/>
      </c>
      <c r="S3690" s="9">
        <f>IF(Q3690="","",IF(MATCH(R3690,$R$5:$R$100000,0)=ROW()-4,ROW(),""))</f>
        <v/>
      </c>
      <c r="T3690" s="9">
        <f>IF(Q3690="당기",ABS(P3690)+ROW()/1000000000,"")</f>
        <v/>
      </c>
      <c r="U3690" s="9">
        <f>IF(Q3690="비교",ABS(P3690)+ROW()/1000000000,"")</f>
        <v/>
      </c>
      <c r="V3690" s="64">
        <f>IF($A3690="","",IF(COUNTIF(변동분석!$E$7:$E$506,O3690)&gt;0,"Y","N"))</f>
        <v/>
      </c>
      <c r="W3690" s="64">
        <f>IF($A3690="","",IFERROR(INDEX(계정매핑!$D$5:$D$504,MATCH($F3690&amp;"",계정매핑!$A$5:$A$504,0)),"미매핑"))</f>
        <v/>
      </c>
      <c r="X3690" s="9">
        <f>IF($A3690="","",$F3690&amp;"")</f>
        <v/>
      </c>
      <c r="Y3690" s="94">
        <f>IF($A3690="",0,IF(AE3690="직접",IF(AF3690="비귀속",$P3690,0),$P3690*(1-AG3690)*IFERROR(INDEX(계정대체기준!$F$20:$F$49,MATCH($N3690,계정대체기준!$A$20:$A$49,0)),1)))</f>
        <v/>
      </c>
      <c r="Z3690" s="94">
        <f>IF($A3690="",0,IF(AE3690="직접",IF(AF3690="신계약비",$P3690,0),$P3690*(1-AG3690)*IFERROR(INDEX(계정대체기준!$C$20:$C$49,MATCH($N3690,계정대체기준!$A$20:$A$49,0)),0)))</f>
        <v/>
      </c>
      <c r="AA3690" s="94">
        <f>IF($A3690="",0,IF(AE3690="직접",IF(OR(AF3690="유지비",AF3690="손해조사비"),$P3690,0),$P3690*(1-AG3690)*IFERROR(INDEX(계정대체기준!$D$20:$D$49,MATCH($N3690,계정대체기준!$A$20:$A$49,0)),0)))</f>
        <v/>
      </c>
      <c r="AB3690" s="94">
        <f>IF($A3690="",0,IF(AE3690="직접",IF(AF3690="수금비",$P3690,0),$P3690*(1-AG3690)*IFERROR(INDEX(계정대체기준!$E$20:$E$49,MATCH($N3690,계정대체기준!$A$20:$A$49,0)),0)))</f>
        <v/>
      </c>
      <c r="AC3690" s="9">
        <f>IF(AND($A3690&lt;&gt;"",M3690=설정!$C$20,Z3690&gt;0),Z3690+ROW()/1000000000,"")</f>
        <v/>
      </c>
      <c r="AD3690" s="94">
        <f>IF($A3690="",0,$P3690*AG3690)</f>
        <v/>
      </c>
      <c r="AE3690" s="64">
        <f>IF($A3690="","",IFERROR(INDEX(계정매핑!$E$5:$E$504,MATCH($F3690&amp;"",계정매핑!$A$5:$A$504,0))&amp;"","공통비"))</f>
        <v/>
      </c>
      <c r="AF3690" s="64">
        <f>IF($A3690="","",IF(AE3690="직접",IFERROR(INDEX(계정매핑!$F$5:$F$504,MATCH($F3690&amp;"",계정매핑!$A$5:$A$504,0))&amp;"","비귀속"),""))</f>
        <v/>
      </c>
      <c r="AG3690" s="96">
        <f>IF($A3690="",0,IF(AND(AE3690&lt;&gt;"직접",IFERROR(INDEX(계정매핑!$G$5:$G$504,MATCH($F3690&amp;"",계정매핑!$A$5:$A$504,0))&amp;"","")="유지비",COUNTIF(계정대체기준!$A$6:$A$15,$N3690)&gt;0),IFERROR(INDEX(계정대체기준!$E$6:$E$15,MATCH(VALUE($A3690&amp;""),계정대체기준!$D$6:$D$15,0)),0),0))</f>
        <v/>
      </c>
      <c r="AH3690" s="64">
        <f>IF($A3690="","",IF(AD3690=0,"",IF(OR(COUNTIF(계정대체기준!$A$77:$A$86,$N3690)&gt;0,ISNUMBER(MATCH($X3690,계정대체기준!$D$77:$D$86,0)),ISNUMBER(MATCH($F3690,계정대체기준!$D$77:$D$86,0))),"Y","N")))</f>
        <v/>
      </c>
    </row>
    <row r="3691">
      <c r="A3691" s="92" t="n">
        <v>2026</v>
      </c>
      <c r="B3691" s="92" t="n">
        <v>5</v>
      </c>
      <c r="C3691" s="92" t="inlineStr">
        <is>
          <t>5100000969</t>
        </is>
      </c>
      <c r="D3691" s="95" t="n">
        <v>46150</v>
      </c>
      <c r="E3691" s="92" t="inlineStr">
        <is>
          <t>KR</t>
        </is>
      </c>
      <c r="F3691" s="92" t="n">
        <v>62102000</v>
      </c>
      <c r="G3691" s="92" t="n">
        <v>1801</v>
      </c>
      <c r="H3691" s="93" t="n">
        <v>38000</v>
      </c>
      <c r="I3691" s="92" t="inlineStr">
        <is>
          <t>5월 해외출장 - M항공</t>
        </is>
      </c>
      <c r="J3691" s="92" t="inlineStr">
        <is>
          <t>V10001</t>
        </is>
      </c>
      <c r="K3691" s="92" t="inlineStr">
        <is>
          <t>M항공</t>
        </is>
      </c>
      <c r="M3691" s="9">
        <f>IF($A3691="","",VALUE($A3691&amp;"")*12+VALUE($B3691&amp;""))</f>
        <v/>
      </c>
      <c r="N3691" s="64">
        <f>IF($A3691="","",IFERROR(INDEX(부서매핑!$C$5:$C$504,MATCH($G3691&amp;"",부서매핑!$A$5:$A$504,0)),"미매핑"))</f>
        <v/>
      </c>
      <c r="O3691" s="9">
        <f>IF($A3691="","",N3691&amp;"|"&amp;$F3691)</f>
        <v/>
      </c>
      <c r="P3691" s="94">
        <f>IF($A3691="",0,$H3691*설정!$C$23)</f>
        <v/>
      </c>
      <c r="Q3691" s="64">
        <f>IF($A3691="","",IF(O3691&lt;&gt;원인분석!$C$9,"",IF(AND(M3691&gt;=원인분석!$C$10,M3691&lt;=원인분석!$C$11),"당기",IF(AND(M3691&gt;=원인분석!$C$12,M3691&lt;=원인분석!$C$13),"비교",""))))</f>
        <v/>
      </c>
      <c r="R3691" s="9">
        <f>IF(Q3691="","",$K3691&amp;"")</f>
        <v/>
      </c>
      <c r="S3691" s="9">
        <f>IF(Q3691="","",IF(MATCH(R3691,$R$5:$R$100000,0)=ROW()-4,ROW(),""))</f>
        <v/>
      </c>
      <c r="T3691" s="9">
        <f>IF(Q3691="당기",ABS(P3691)+ROW()/1000000000,"")</f>
        <v/>
      </c>
      <c r="U3691" s="9">
        <f>IF(Q3691="비교",ABS(P3691)+ROW()/1000000000,"")</f>
        <v/>
      </c>
      <c r="V3691" s="64">
        <f>IF($A3691="","",IF(COUNTIF(변동분석!$E$7:$E$506,O3691)&gt;0,"Y","N"))</f>
        <v/>
      </c>
      <c r="W3691" s="64">
        <f>IF($A3691="","",IFERROR(INDEX(계정매핑!$D$5:$D$504,MATCH($F3691&amp;"",계정매핑!$A$5:$A$504,0)),"미매핑"))</f>
        <v/>
      </c>
      <c r="X3691" s="9">
        <f>IF($A3691="","",$F3691&amp;"")</f>
        <v/>
      </c>
      <c r="Y3691" s="94">
        <f>IF($A3691="",0,IF(AE3691="직접",IF(AF3691="비귀속",$P3691,0),$P3691*(1-AG3691)*IFERROR(INDEX(계정대체기준!$F$20:$F$49,MATCH($N3691,계정대체기준!$A$20:$A$49,0)),1)))</f>
        <v/>
      </c>
      <c r="Z3691" s="94">
        <f>IF($A3691="",0,IF(AE3691="직접",IF(AF3691="신계약비",$P3691,0),$P3691*(1-AG3691)*IFERROR(INDEX(계정대체기준!$C$20:$C$49,MATCH($N3691,계정대체기준!$A$20:$A$49,0)),0)))</f>
        <v/>
      </c>
      <c r="AA3691" s="94">
        <f>IF($A3691="",0,IF(AE3691="직접",IF(OR(AF3691="유지비",AF3691="손해조사비"),$P3691,0),$P3691*(1-AG3691)*IFERROR(INDEX(계정대체기준!$D$20:$D$49,MATCH($N3691,계정대체기준!$A$20:$A$49,0)),0)))</f>
        <v/>
      </c>
      <c r="AB3691" s="94">
        <f>IF($A3691="",0,IF(AE3691="직접",IF(AF3691="수금비",$P3691,0),$P3691*(1-AG3691)*IFERROR(INDEX(계정대체기준!$E$20:$E$49,MATCH($N3691,계정대체기준!$A$20:$A$49,0)),0)))</f>
        <v/>
      </c>
      <c r="AC3691" s="9">
        <f>IF(AND($A3691&lt;&gt;"",M3691=설정!$C$20,Z3691&gt;0),Z3691+ROW()/1000000000,"")</f>
        <v/>
      </c>
      <c r="AD3691" s="94">
        <f>IF($A3691="",0,$P3691*AG3691)</f>
        <v/>
      </c>
      <c r="AE3691" s="64">
        <f>IF($A3691="","",IFERROR(INDEX(계정매핑!$E$5:$E$504,MATCH($F3691&amp;"",계정매핑!$A$5:$A$504,0))&amp;"","공통비"))</f>
        <v/>
      </c>
      <c r="AF3691" s="64">
        <f>IF($A3691="","",IF(AE3691="직접",IFERROR(INDEX(계정매핑!$F$5:$F$504,MATCH($F3691&amp;"",계정매핑!$A$5:$A$504,0))&amp;"","비귀속"),""))</f>
        <v/>
      </c>
      <c r="AG3691" s="96">
        <f>IF($A3691="",0,IF(AND(AE3691&lt;&gt;"직접",IFERROR(INDEX(계정매핑!$G$5:$G$504,MATCH($F3691&amp;"",계정매핑!$A$5:$A$504,0))&amp;"","")="유지비",COUNTIF(계정대체기준!$A$6:$A$15,$N3691)&gt;0),IFERROR(INDEX(계정대체기준!$E$6:$E$15,MATCH(VALUE($A3691&amp;""),계정대체기준!$D$6:$D$15,0)),0),0))</f>
        <v/>
      </c>
      <c r="AH3691" s="64">
        <f>IF($A3691="","",IF(AD3691=0,"",IF(OR(COUNTIF(계정대체기준!$A$77:$A$86,$N3691)&gt;0,ISNUMBER(MATCH($X3691,계정대체기준!$D$77:$D$86,0)),ISNUMBER(MATCH($F3691,계정대체기준!$D$77:$D$86,0))),"Y","N")))</f>
        <v/>
      </c>
    </row>
    <row r="3692">
      <c r="A3692" s="92" t="n">
        <v>2026</v>
      </c>
      <c r="B3692" s="92" t="n">
        <v>5</v>
      </c>
      <c r="C3692" s="92" t="inlineStr">
        <is>
          <t>5100000970</t>
        </is>
      </c>
      <c r="D3692" s="95" t="n">
        <v>46150</v>
      </c>
      <c r="E3692" s="92" t="inlineStr">
        <is>
          <t>KR</t>
        </is>
      </c>
      <c r="F3692" s="92" t="n">
        <v>62201000</v>
      </c>
      <c r="G3692" s="92" t="n">
        <v>1201</v>
      </c>
      <c r="H3692" s="93" t="n">
        <v>121000</v>
      </c>
      <c r="I3692" s="92" t="inlineStr">
        <is>
          <t>5월 통신요금 - O텔레콤</t>
        </is>
      </c>
      <c r="J3692" s="92" t="inlineStr">
        <is>
          <t>V10002</t>
        </is>
      </c>
      <c r="K3692" s="92" t="inlineStr">
        <is>
          <t>O텔레콤</t>
        </is>
      </c>
      <c r="M3692" s="9">
        <f>IF($A3692="","",VALUE($A3692&amp;"")*12+VALUE($B3692&amp;""))</f>
        <v/>
      </c>
      <c r="N3692" s="64">
        <f>IF($A3692="","",IFERROR(INDEX(부서매핑!$C$5:$C$504,MATCH($G3692&amp;"",부서매핑!$A$5:$A$504,0)),"미매핑"))</f>
        <v/>
      </c>
      <c r="O3692" s="9">
        <f>IF($A3692="","",N3692&amp;"|"&amp;$F3692)</f>
        <v/>
      </c>
      <c r="P3692" s="94">
        <f>IF($A3692="",0,$H3692*설정!$C$23)</f>
        <v/>
      </c>
      <c r="Q3692" s="64">
        <f>IF($A3692="","",IF(O3692&lt;&gt;원인분석!$C$9,"",IF(AND(M3692&gt;=원인분석!$C$10,M3692&lt;=원인분석!$C$11),"당기",IF(AND(M3692&gt;=원인분석!$C$12,M3692&lt;=원인분석!$C$13),"비교",""))))</f>
        <v/>
      </c>
      <c r="R3692" s="9">
        <f>IF(Q3692="","",$K3692&amp;"")</f>
        <v/>
      </c>
      <c r="S3692" s="9">
        <f>IF(Q3692="","",IF(MATCH(R3692,$R$5:$R$100000,0)=ROW()-4,ROW(),""))</f>
        <v/>
      </c>
      <c r="T3692" s="9">
        <f>IF(Q3692="당기",ABS(P3692)+ROW()/1000000000,"")</f>
        <v/>
      </c>
      <c r="U3692" s="9">
        <f>IF(Q3692="비교",ABS(P3692)+ROW()/1000000000,"")</f>
        <v/>
      </c>
      <c r="V3692" s="64">
        <f>IF($A3692="","",IF(COUNTIF(변동분석!$E$7:$E$506,O3692)&gt;0,"Y","N"))</f>
        <v/>
      </c>
      <c r="W3692" s="64">
        <f>IF($A3692="","",IFERROR(INDEX(계정매핑!$D$5:$D$504,MATCH($F3692&amp;"",계정매핑!$A$5:$A$504,0)),"미매핑"))</f>
        <v/>
      </c>
      <c r="X3692" s="9">
        <f>IF($A3692="","",$F3692&amp;"")</f>
        <v/>
      </c>
      <c r="Y3692" s="94">
        <f>IF($A3692="",0,IF(AE3692="직접",IF(AF3692="비귀속",$P3692,0),$P3692*(1-AG3692)*IFERROR(INDEX(계정대체기준!$F$20:$F$49,MATCH($N3692,계정대체기준!$A$20:$A$49,0)),1)))</f>
        <v/>
      </c>
      <c r="Z3692" s="94">
        <f>IF($A3692="",0,IF(AE3692="직접",IF(AF3692="신계약비",$P3692,0),$P3692*(1-AG3692)*IFERROR(INDEX(계정대체기준!$C$20:$C$49,MATCH($N3692,계정대체기준!$A$20:$A$49,0)),0)))</f>
        <v/>
      </c>
      <c r="AA3692" s="94">
        <f>IF($A3692="",0,IF(AE3692="직접",IF(OR(AF3692="유지비",AF3692="손해조사비"),$P3692,0),$P3692*(1-AG3692)*IFERROR(INDEX(계정대체기준!$D$20:$D$49,MATCH($N3692,계정대체기준!$A$20:$A$49,0)),0)))</f>
        <v/>
      </c>
      <c r="AB3692" s="94">
        <f>IF($A3692="",0,IF(AE3692="직접",IF(AF3692="수금비",$P3692,0),$P3692*(1-AG3692)*IFERROR(INDEX(계정대체기준!$E$20:$E$49,MATCH($N3692,계정대체기준!$A$20:$A$49,0)),0)))</f>
        <v/>
      </c>
      <c r="AC3692" s="9">
        <f>IF(AND($A3692&lt;&gt;"",M3692=설정!$C$20,Z3692&gt;0),Z3692+ROW()/1000000000,"")</f>
        <v/>
      </c>
      <c r="AD3692" s="94">
        <f>IF($A3692="",0,$P3692*AG3692)</f>
        <v/>
      </c>
      <c r="AE3692" s="64">
        <f>IF($A3692="","",IFERROR(INDEX(계정매핑!$E$5:$E$504,MATCH($F3692&amp;"",계정매핑!$A$5:$A$504,0))&amp;"","공통비"))</f>
        <v/>
      </c>
      <c r="AF3692" s="64">
        <f>IF($A3692="","",IF(AE3692="직접",IFERROR(INDEX(계정매핑!$F$5:$F$504,MATCH($F3692&amp;"",계정매핑!$A$5:$A$504,0))&amp;"","비귀속"),""))</f>
        <v/>
      </c>
      <c r="AG3692" s="96">
        <f>IF($A3692="",0,IF(AND(AE3692&lt;&gt;"직접",IFERROR(INDEX(계정매핑!$G$5:$G$504,MATCH($F3692&amp;"",계정매핑!$A$5:$A$504,0))&amp;"","")="유지비",COUNTIF(계정대체기준!$A$6:$A$15,$N3692)&gt;0),IFERROR(INDEX(계정대체기준!$E$6:$E$15,MATCH(VALUE($A3692&amp;""),계정대체기준!$D$6:$D$15,0)),0),0))</f>
        <v/>
      </c>
      <c r="AH3692" s="64">
        <f>IF($A3692="","",IF(AD3692=0,"",IF(OR(COUNTIF(계정대체기준!$A$77:$A$86,$N3692)&gt;0,ISNUMBER(MATCH($X3692,계정대체기준!$D$77:$D$86,0)),ISNUMBER(MATCH($F3692,계정대체기준!$D$77:$D$86,0))),"Y","N")))</f>
        <v/>
      </c>
    </row>
    <row r="3693">
      <c r="A3693" s="92" t="n">
        <v>2026</v>
      </c>
      <c r="B3693" s="92" t="n">
        <v>5</v>
      </c>
      <c r="C3693" s="92" t="inlineStr">
        <is>
          <t>5100000971</t>
        </is>
      </c>
      <c r="D3693" s="95" t="n">
        <v>46150</v>
      </c>
      <c r="E3693" s="92" t="inlineStr">
        <is>
          <t>KR</t>
        </is>
      </c>
      <c r="F3693" s="92" t="n">
        <v>62201000</v>
      </c>
      <c r="G3693" s="92" t="n">
        <v>1201</v>
      </c>
      <c r="H3693" s="93" t="n">
        <v>138000</v>
      </c>
      <c r="I3693" s="92" t="inlineStr">
        <is>
          <t>5월 통신요금 - P통신</t>
        </is>
      </c>
      <c r="J3693" s="92" t="inlineStr">
        <is>
          <t>V10014</t>
        </is>
      </c>
      <c r="K3693" s="92" t="inlineStr">
        <is>
          <t>P통신</t>
        </is>
      </c>
      <c r="M3693" s="9">
        <f>IF($A3693="","",VALUE($A3693&amp;"")*12+VALUE($B3693&amp;""))</f>
        <v/>
      </c>
      <c r="N3693" s="64">
        <f>IF($A3693="","",IFERROR(INDEX(부서매핑!$C$5:$C$504,MATCH($G3693&amp;"",부서매핑!$A$5:$A$504,0)),"미매핑"))</f>
        <v/>
      </c>
      <c r="O3693" s="9">
        <f>IF($A3693="","",N3693&amp;"|"&amp;$F3693)</f>
        <v/>
      </c>
      <c r="P3693" s="94">
        <f>IF($A3693="",0,$H3693*설정!$C$23)</f>
        <v/>
      </c>
      <c r="Q3693" s="64">
        <f>IF($A3693="","",IF(O3693&lt;&gt;원인분석!$C$9,"",IF(AND(M3693&gt;=원인분석!$C$10,M3693&lt;=원인분석!$C$11),"당기",IF(AND(M3693&gt;=원인분석!$C$12,M3693&lt;=원인분석!$C$13),"비교",""))))</f>
        <v/>
      </c>
      <c r="R3693" s="9">
        <f>IF(Q3693="","",$K3693&amp;"")</f>
        <v/>
      </c>
      <c r="S3693" s="9">
        <f>IF(Q3693="","",IF(MATCH(R3693,$R$5:$R$100000,0)=ROW()-4,ROW(),""))</f>
        <v/>
      </c>
      <c r="T3693" s="9">
        <f>IF(Q3693="당기",ABS(P3693)+ROW()/1000000000,"")</f>
        <v/>
      </c>
      <c r="U3693" s="9">
        <f>IF(Q3693="비교",ABS(P3693)+ROW()/1000000000,"")</f>
        <v/>
      </c>
      <c r="V3693" s="64">
        <f>IF($A3693="","",IF(COUNTIF(변동분석!$E$7:$E$506,O3693)&gt;0,"Y","N"))</f>
        <v/>
      </c>
      <c r="W3693" s="64">
        <f>IF($A3693="","",IFERROR(INDEX(계정매핑!$D$5:$D$504,MATCH($F3693&amp;"",계정매핑!$A$5:$A$504,0)),"미매핑"))</f>
        <v/>
      </c>
      <c r="X3693" s="9">
        <f>IF($A3693="","",$F3693&amp;"")</f>
        <v/>
      </c>
      <c r="Y3693" s="94">
        <f>IF($A3693="",0,IF(AE3693="직접",IF(AF3693="비귀속",$P3693,0),$P3693*(1-AG3693)*IFERROR(INDEX(계정대체기준!$F$20:$F$49,MATCH($N3693,계정대체기준!$A$20:$A$49,0)),1)))</f>
        <v/>
      </c>
      <c r="Z3693" s="94">
        <f>IF($A3693="",0,IF(AE3693="직접",IF(AF3693="신계약비",$P3693,0),$P3693*(1-AG3693)*IFERROR(INDEX(계정대체기준!$C$20:$C$49,MATCH($N3693,계정대체기준!$A$20:$A$49,0)),0)))</f>
        <v/>
      </c>
      <c r="AA3693" s="94">
        <f>IF($A3693="",0,IF(AE3693="직접",IF(OR(AF3693="유지비",AF3693="손해조사비"),$P3693,0),$P3693*(1-AG3693)*IFERROR(INDEX(계정대체기준!$D$20:$D$49,MATCH($N3693,계정대체기준!$A$20:$A$49,0)),0)))</f>
        <v/>
      </c>
      <c r="AB3693" s="94">
        <f>IF($A3693="",0,IF(AE3693="직접",IF(AF3693="수금비",$P3693,0),$P3693*(1-AG3693)*IFERROR(INDEX(계정대체기준!$E$20:$E$49,MATCH($N3693,계정대체기준!$A$20:$A$49,0)),0)))</f>
        <v/>
      </c>
      <c r="AC3693" s="9">
        <f>IF(AND($A3693&lt;&gt;"",M3693=설정!$C$20,Z3693&gt;0),Z3693+ROW()/1000000000,"")</f>
        <v/>
      </c>
      <c r="AD3693" s="94">
        <f>IF($A3693="",0,$P3693*AG3693)</f>
        <v/>
      </c>
      <c r="AE3693" s="64">
        <f>IF($A3693="","",IFERROR(INDEX(계정매핑!$E$5:$E$504,MATCH($F3693&amp;"",계정매핑!$A$5:$A$504,0))&amp;"","공통비"))</f>
        <v/>
      </c>
      <c r="AF3693" s="64">
        <f>IF($A3693="","",IF(AE3693="직접",IFERROR(INDEX(계정매핑!$F$5:$F$504,MATCH($F3693&amp;"",계정매핑!$A$5:$A$504,0))&amp;"","비귀속"),""))</f>
        <v/>
      </c>
      <c r="AG3693" s="96">
        <f>IF($A3693="",0,IF(AND(AE3693&lt;&gt;"직접",IFERROR(INDEX(계정매핑!$G$5:$G$504,MATCH($F3693&amp;"",계정매핑!$A$5:$A$504,0))&amp;"","")="유지비",COUNTIF(계정대체기준!$A$6:$A$15,$N3693)&gt;0),IFERROR(INDEX(계정대체기준!$E$6:$E$15,MATCH(VALUE($A3693&amp;""),계정대체기준!$D$6:$D$15,0)),0),0))</f>
        <v/>
      </c>
      <c r="AH3693" s="64">
        <f>IF($A3693="","",IF(AD3693=0,"",IF(OR(COUNTIF(계정대체기준!$A$77:$A$86,$N3693)&gt;0,ISNUMBER(MATCH($X3693,계정대체기준!$D$77:$D$86,0)),ISNUMBER(MATCH($F3693,계정대체기준!$D$77:$D$86,0))),"Y","N")))</f>
        <v/>
      </c>
    </row>
    <row r="3694">
      <c r="A3694" s="92" t="n">
        <v>2026</v>
      </c>
      <c r="B3694" s="92" t="n">
        <v>5</v>
      </c>
      <c r="C3694" s="92" t="inlineStr">
        <is>
          <t>5100000972</t>
        </is>
      </c>
      <c r="D3694" s="95" t="n">
        <v>46150</v>
      </c>
      <c r="E3694" s="92" t="inlineStr">
        <is>
          <t>KR</t>
        </is>
      </c>
      <c r="F3694" s="92" t="n">
        <v>62201000</v>
      </c>
      <c r="G3694" s="92" t="n">
        <v>1951</v>
      </c>
      <c r="H3694" s="93" t="n">
        <v>238000</v>
      </c>
      <c r="I3694" s="92" t="inlineStr">
        <is>
          <t>5월 통신요금 - P통신</t>
        </is>
      </c>
      <c r="J3694" s="92" t="inlineStr">
        <is>
          <t>V10014</t>
        </is>
      </c>
      <c r="K3694" s="92" t="inlineStr">
        <is>
          <t>P통신</t>
        </is>
      </c>
      <c r="M3694" s="9">
        <f>IF($A3694="","",VALUE($A3694&amp;"")*12+VALUE($B3694&amp;""))</f>
        <v/>
      </c>
      <c r="N3694" s="64">
        <f>IF($A3694="","",IFERROR(INDEX(부서매핑!$C$5:$C$504,MATCH($G3694&amp;"",부서매핑!$A$5:$A$504,0)),"미매핑"))</f>
        <v/>
      </c>
      <c r="O3694" s="9">
        <f>IF($A3694="","",N3694&amp;"|"&amp;$F3694)</f>
        <v/>
      </c>
      <c r="P3694" s="94">
        <f>IF($A3694="",0,$H3694*설정!$C$23)</f>
        <v/>
      </c>
      <c r="Q3694" s="64">
        <f>IF($A3694="","",IF(O3694&lt;&gt;원인분석!$C$9,"",IF(AND(M3694&gt;=원인분석!$C$10,M3694&lt;=원인분석!$C$11),"당기",IF(AND(M3694&gt;=원인분석!$C$12,M3694&lt;=원인분석!$C$13),"비교",""))))</f>
        <v/>
      </c>
      <c r="R3694" s="9">
        <f>IF(Q3694="","",$K3694&amp;"")</f>
        <v/>
      </c>
      <c r="S3694" s="9">
        <f>IF(Q3694="","",IF(MATCH(R3694,$R$5:$R$100000,0)=ROW()-4,ROW(),""))</f>
        <v/>
      </c>
      <c r="T3694" s="9">
        <f>IF(Q3694="당기",ABS(P3694)+ROW()/1000000000,"")</f>
        <v/>
      </c>
      <c r="U3694" s="9">
        <f>IF(Q3694="비교",ABS(P3694)+ROW()/1000000000,"")</f>
        <v/>
      </c>
      <c r="V3694" s="64">
        <f>IF($A3694="","",IF(COUNTIF(변동분석!$E$7:$E$506,O3694)&gt;0,"Y","N"))</f>
        <v/>
      </c>
      <c r="W3694" s="64">
        <f>IF($A3694="","",IFERROR(INDEX(계정매핑!$D$5:$D$504,MATCH($F3694&amp;"",계정매핑!$A$5:$A$504,0)),"미매핑"))</f>
        <v/>
      </c>
      <c r="X3694" s="9">
        <f>IF($A3694="","",$F3694&amp;"")</f>
        <v/>
      </c>
      <c r="Y3694" s="94">
        <f>IF($A3694="",0,IF(AE3694="직접",IF(AF3694="비귀속",$P3694,0),$P3694*(1-AG3694)*IFERROR(INDEX(계정대체기준!$F$20:$F$49,MATCH($N3694,계정대체기준!$A$20:$A$49,0)),1)))</f>
        <v/>
      </c>
      <c r="Z3694" s="94">
        <f>IF($A3694="",0,IF(AE3694="직접",IF(AF3694="신계약비",$P3694,0),$P3694*(1-AG3694)*IFERROR(INDEX(계정대체기준!$C$20:$C$49,MATCH($N3694,계정대체기준!$A$20:$A$49,0)),0)))</f>
        <v/>
      </c>
      <c r="AA3694" s="94">
        <f>IF($A3694="",0,IF(AE3694="직접",IF(OR(AF3694="유지비",AF3694="손해조사비"),$P3694,0),$P3694*(1-AG3694)*IFERROR(INDEX(계정대체기준!$D$20:$D$49,MATCH($N3694,계정대체기준!$A$20:$A$49,0)),0)))</f>
        <v/>
      </c>
      <c r="AB3694" s="94">
        <f>IF($A3694="",0,IF(AE3694="직접",IF(AF3694="수금비",$P3694,0),$P3694*(1-AG3694)*IFERROR(INDEX(계정대체기준!$E$20:$E$49,MATCH($N3694,계정대체기준!$A$20:$A$49,0)),0)))</f>
        <v/>
      </c>
      <c r="AC3694" s="9">
        <f>IF(AND($A3694&lt;&gt;"",M3694=설정!$C$20,Z3694&gt;0),Z3694+ROW()/1000000000,"")</f>
        <v/>
      </c>
      <c r="AD3694" s="94">
        <f>IF($A3694="",0,$P3694*AG3694)</f>
        <v/>
      </c>
      <c r="AE3694" s="64">
        <f>IF($A3694="","",IFERROR(INDEX(계정매핑!$E$5:$E$504,MATCH($F3694&amp;"",계정매핑!$A$5:$A$504,0))&amp;"","공통비"))</f>
        <v/>
      </c>
      <c r="AF3694" s="64">
        <f>IF($A3694="","",IF(AE3694="직접",IFERROR(INDEX(계정매핑!$F$5:$F$504,MATCH($F3694&amp;"",계정매핑!$A$5:$A$504,0))&amp;"","비귀속"),""))</f>
        <v/>
      </c>
      <c r="AG3694" s="96">
        <f>IF($A3694="",0,IF(AND(AE3694&lt;&gt;"직접",IFERROR(INDEX(계정매핑!$G$5:$G$504,MATCH($F3694&amp;"",계정매핑!$A$5:$A$504,0))&amp;"","")="유지비",COUNTIF(계정대체기준!$A$6:$A$15,$N3694)&gt;0),IFERROR(INDEX(계정대체기준!$E$6:$E$15,MATCH(VALUE($A3694&amp;""),계정대체기준!$D$6:$D$15,0)),0),0))</f>
        <v/>
      </c>
      <c r="AH3694" s="64">
        <f>IF($A3694="","",IF(AD3694=0,"",IF(OR(COUNTIF(계정대체기준!$A$77:$A$86,$N3694)&gt;0,ISNUMBER(MATCH($X3694,계정대체기준!$D$77:$D$86,0)),ISNUMBER(MATCH($F3694,계정대체기준!$D$77:$D$86,0))),"Y","N")))</f>
        <v/>
      </c>
    </row>
    <row r="3695">
      <c r="A3695" s="92" t="n">
        <v>2026</v>
      </c>
      <c r="B3695" s="92" t="n">
        <v>5</v>
      </c>
      <c r="C3695" s="92" t="inlineStr">
        <is>
          <t>5100000973</t>
        </is>
      </c>
      <c r="D3695" s="95" t="n">
        <v>46150</v>
      </c>
      <c r="E3695" s="92" t="inlineStr">
        <is>
          <t>KR</t>
        </is>
      </c>
      <c r="F3695" s="92" t="n">
        <v>62301000</v>
      </c>
      <c r="G3695" s="92" t="n">
        <v>1601</v>
      </c>
      <c r="H3695" s="93" t="n">
        <v>441000</v>
      </c>
      <c r="I3695" s="92" t="inlineStr">
        <is>
          <t>5월 소모품 구입 - Q오피스</t>
        </is>
      </c>
      <c r="J3695" s="92" t="inlineStr">
        <is>
          <t>V10003</t>
        </is>
      </c>
      <c r="K3695" s="92" t="inlineStr">
        <is>
          <t>Q오피스</t>
        </is>
      </c>
      <c r="M3695" s="9">
        <f>IF($A3695="","",VALUE($A3695&amp;"")*12+VALUE($B3695&amp;""))</f>
        <v/>
      </c>
      <c r="N3695" s="64">
        <f>IF($A3695="","",IFERROR(INDEX(부서매핑!$C$5:$C$504,MATCH($G3695&amp;"",부서매핑!$A$5:$A$504,0)),"미매핑"))</f>
        <v/>
      </c>
      <c r="O3695" s="9">
        <f>IF($A3695="","",N3695&amp;"|"&amp;$F3695)</f>
        <v/>
      </c>
      <c r="P3695" s="94">
        <f>IF($A3695="",0,$H3695*설정!$C$23)</f>
        <v/>
      </c>
      <c r="Q3695" s="64">
        <f>IF($A3695="","",IF(O3695&lt;&gt;원인분석!$C$9,"",IF(AND(M3695&gt;=원인분석!$C$10,M3695&lt;=원인분석!$C$11),"당기",IF(AND(M3695&gt;=원인분석!$C$12,M3695&lt;=원인분석!$C$13),"비교",""))))</f>
        <v/>
      </c>
      <c r="R3695" s="9">
        <f>IF(Q3695="","",$K3695&amp;"")</f>
        <v/>
      </c>
      <c r="S3695" s="9">
        <f>IF(Q3695="","",IF(MATCH(R3695,$R$5:$R$100000,0)=ROW()-4,ROW(),""))</f>
        <v/>
      </c>
      <c r="T3695" s="9">
        <f>IF(Q3695="당기",ABS(P3695)+ROW()/1000000000,"")</f>
        <v/>
      </c>
      <c r="U3695" s="9">
        <f>IF(Q3695="비교",ABS(P3695)+ROW()/1000000000,"")</f>
        <v/>
      </c>
      <c r="V3695" s="64">
        <f>IF($A3695="","",IF(COUNTIF(변동분석!$E$7:$E$506,O3695)&gt;0,"Y","N"))</f>
        <v/>
      </c>
      <c r="W3695" s="64">
        <f>IF($A3695="","",IFERROR(INDEX(계정매핑!$D$5:$D$504,MATCH($F3695&amp;"",계정매핑!$A$5:$A$504,0)),"미매핑"))</f>
        <v/>
      </c>
      <c r="X3695" s="9">
        <f>IF($A3695="","",$F3695&amp;"")</f>
        <v/>
      </c>
      <c r="Y3695" s="94">
        <f>IF($A3695="",0,IF(AE3695="직접",IF(AF3695="비귀속",$P3695,0),$P3695*(1-AG3695)*IFERROR(INDEX(계정대체기준!$F$20:$F$49,MATCH($N3695,계정대체기준!$A$20:$A$49,0)),1)))</f>
        <v/>
      </c>
      <c r="Z3695" s="94">
        <f>IF($A3695="",0,IF(AE3695="직접",IF(AF3695="신계약비",$P3695,0),$P3695*(1-AG3695)*IFERROR(INDEX(계정대체기준!$C$20:$C$49,MATCH($N3695,계정대체기준!$A$20:$A$49,0)),0)))</f>
        <v/>
      </c>
      <c r="AA3695" s="94">
        <f>IF($A3695="",0,IF(AE3695="직접",IF(OR(AF3695="유지비",AF3695="손해조사비"),$P3695,0),$P3695*(1-AG3695)*IFERROR(INDEX(계정대체기준!$D$20:$D$49,MATCH($N3695,계정대체기준!$A$20:$A$49,0)),0)))</f>
        <v/>
      </c>
      <c r="AB3695" s="94">
        <f>IF($A3695="",0,IF(AE3695="직접",IF(AF3695="수금비",$P3695,0),$P3695*(1-AG3695)*IFERROR(INDEX(계정대체기준!$E$20:$E$49,MATCH($N3695,계정대체기준!$A$20:$A$49,0)),0)))</f>
        <v/>
      </c>
      <c r="AC3695" s="9">
        <f>IF(AND($A3695&lt;&gt;"",M3695=설정!$C$20,Z3695&gt;0),Z3695+ROW()/1000000000,"")</f>
        <v/>
      </c>
      <c r="AD3695" s="94">
        <f>IF($A3695="",0,$P3695*AG3695)</f>
        <v/>
      </c>
      <c r="AE3695" s="64">
        <f>IF($A3695="","",IFERROR(INDEX(계정매핑!$E$5:$E$504,MATCH($F3695&amp;"",계정매핑!$A$5:$A$504,0))&amp;"","공통비"))</f>
        <v/>
      </c>
      <c r="AF3695" s="64">
        <f>IF($A3695="","",IF(AE3695="직접",IFERROR(INDEX(계정매핑!$F$5:$F$504,MATCH($F3695&amp;"",계정매핑!$A$5:$A$504,0))&amp;"","비귀속"),""))</f>
        <v/>
      </c>
      <c r="AG3695" s="96">
        <f>IF($A3695="",0,IF(AND(AE3695&lt;&gt;"직접",IFERROR(INDEX(계정매핑!$G$5:$G$504,MATCH($F3695&amp;"",계정매핑!$A$5:$A$504,0))&amp;"","")="유지비",COUNTIF(계정대체기준!$A$6:$A$15,$N3695)&gt;0),IFERROR(INDEX(계정대체기준!$E$6:$E$15,MATCH(VALUE($A3695&amp;""),계정대체기준!$D$6:$D$15,0)),0),0))</f>
        <v/>
      </c>
      <c r="AH3695" s="64">
        <f>IF($A3695="","",IF(AD3695=0,"",IF(OR(COUNTIF(계정대체기준!$A$77:$A$86,$N3695)&gt;0,ISNUMBER(MATCH($X3695,계정대체기준!$D$77:$D$86,0)),ISNUMBER(MATCH($F3695,계정대체기준!$D$77:$D$86,0))),"Y","N")))</f>
        <v/>
      </c>
    </row>
    <row r="3696">
      <c r="A3696" s="92" t="n">
        <v>2026</v>
      </c>
      <c r="B3696" s="92" t="n">
        <v>5</v>
      </c>
      <c r="C3696" s="92" t="inlineStr">
        <is>
          <t>5100000974</t>
        </is>
      </c>
      <c r="D3696" s="95" t="n">
        <v>46150</v>
      </c>
      <c r="E3696" s="92" t="inlineStr">
        <is>
          <t>KR</t>
        </is>
      </c>
      <c r="F3696" s="92" t="n">
        <v>62401000</v>
      </c>
      <c r="G3696" s="92" t="n">
        <v>1801</v>
      </c>
      <c r="H3696" s="93" t="n">
        <v>1753000</v>
      </c>
      <c r="I3696" s="92" t="inlineStr">
        <is>
          <t>5월 인쇄물 제작 - S출판</t>
        </is>
      </c>
      <c r="J3696" s="92" t="inlineStr">
        <is>
          <t>V10015</t>
        </is>
      </c>
      <c r="K3696" s="92" t="inlineStr">
        <is>
          <t>S출판</t>
        </is>
      </c>
      <c r="M3696" s="9">
        <f>IF($A3696="","",VALUE($A3696&amp;"")*12+VALUE($B3696&amp;""))</f>
        <v/>
      </c>
      <c r="N3696" s="64">
        <f>IF($A3696="","",IFERROR(INDEX(부서매핑!$C$5:$C$504,MATCH($G3696&amp;"",부서매핑!$A$5:$A$504,0)),"미매핑"))</f>
        <v/>
      </c>
      <c r="O3696" s="9">
        <f>IF($A3696="","",N3696&amp;"|"&amp;$F3696)</f>
        <v/>
      </c>
      <c r="P3696" s="94">
        <f>IF($A3696="",0,$H3696*설정!$C$23)</f>
        <v/>
      </c>
      <c r="Q3696" s="64">
        <f>IF($A3696="","",IF(O3696&lt;&gt;원인분석!$C$9,"",IF(AND(M3696&gt;=원인분석!$C$10,M3696&lt;=원인분석!$C$11),"당기",IF(AND(M3696&gt;=원인분석!$C$12,M3696&lt;=원인분석!$C$13),"비교",""))))</f>
        <v/>
      </c>
      <c r="R3696" s="9">
        <f>IF(Q3696="","",$K3696&amp;"")</f>
        <v/>
      </c>
      <c r="S3696" s="9">
        <f>IF(Q3696="","",IF(MATCH(R3696,$R$5:$R$100000,0)=ROW()-4,ROW(),""))</f>
        <v/>
      </c>
      <c r="T3696" s="9">
        <f>IF(Q3696="당기",ABS(P3696)+ROW()/1000000000,"")</f>
        <v/>
      </c>
      <c r="U3696" s="9">
        <f>IF(Q3696="비교",ABS(P3696)+ROW()/1000000000,"")</f>
        <v/>
      </c>
      <c r="V3696" s="64">
        <f>IF($A3696="","",IF(COUNTIF(변동분석!$E$7:$E$506,O3696)&gt;0,"Y","N"))</f>
        <v/>
      </c>
      <c r="W3696" s="64">
        <f>IF($A3696="","",IFERROR(INDEX(계정매핑!$D$5:$D$504,MATCH($F3696&amp;"",계정매핑!$A$5:$A$504,0)),"미매핑"))</f>
        <v/>
      </c>
      <c r="X3696" s="9">
        <f>IF($A3696="","",$F3696&amp;"")</f>
        <v/>
      </c>
      <c r="Y3696" s="94">
        <f>IF($A3696="",0,IF(AE3696="직접",IF(AF3696="비귀속",$P3696,0),$P3696*(1-AG3696)*IFERROR(INDEX(계정대체기준!$F$20:$F$49,MATCH($N3696,계정대체기준!$A$20:$A$49,0)),1)))</f>
        <v/>
      </c>
      <c r="Z3696" s="94">
        <f>IF($A3696="",0,IF(AE3696="직접",IF(AF3696="신계약비",$P3696,0),$P3696*(1-AG3696)*IFERROR(INDEX(계정대체기준!$C$20:$C$49,MATCH($N3696,계정대체기준!$A$20:$A$49,0)),0)))</f>
        <v/>
      </c>
      <c r="AA3696" s="94">
        <f>IF($A3696="",0,IF(AE3696="직접",IF(OR(AF3696="유지비",AF3696="손해조사비"),$P3696,0),$P3696*(1-AG3696)*IFERROR(INDEX(계정대체기준!$D$20:$D$49,MATCH($N3696,계정대체기준!$A$20:$A$49,0)),0)))</f>
        <v/>
      </c>
      <c r="AB3696" s="94">
        <f>IF($A3696="",0,IF(AE3696="직접",IF(AF3696="수금비",$P3696,0),$P3696*(1-AG3696)*IFERROR(INDEX(계정대체기준!$E$20:$E$49,MATCH($N3696,계정대체기준!$A$20:$A$49,0)),0)))</f>
        <v/>
      </c>
      <c r="AC3696" s="9">
        <f>IF(AND($A3696&lt;&gt;"",M3696=설정!$C$20,Z3696&gt;0),Z3696+ROW()/1000000000,"")</f>
        <v/>
      </c>
      <c r="AD3696" s="94">
        <f>IF($A3696="",0,$P3696*AG3696)</f>
        <v/>
      </c>
      <c r="AE3696" s="64">
        <f>IF($A3696="","",IFERROR(INDEX(계정매핑!$E$5:$E$504,MATCH($F3696&amp;"",계정매핑!$A$5:$A$504,0))&amp;"","공통비"))</f>
        <v/>
      </c>
      <c r="AF3696" s="64">
        <f>IF($A3696="","",IF(AE3696="직접",IFERROR(INDEX(계정매핑!$F$5:$F$504,MATCH($F3696&amp;"",계정매핑!$A$5:$A$504,0))&amp;"","비귀속"),""))</f>
        <v/>
      </c>
      <c r="AG3696" s="96">
        <f>IF($A3696="",0,IF(AND(AE3696&lt;&gt;"직접",IFERROR(INDEX(계정매핑!$G$5:$G$504,MATCH($F3696&amp;"",계정매핑!$A$5:$A$504,0))&amp;"","")="유지비",COUNTIF(계정대체기준!$A$6:$A$15,$N3696)&gt;0),IFERROR(INDEX(계정대체기준!$E$6:$E$15,MATCH(VALUE($A3696&amp;""),계정대체기준!$D$6:$D$15,0)),0),0))</f>
        <v/>
      </c>
      <c r="AH3696" s="64">
        <f>IF($A3696="","",IF(AD3696=0,"",IF(OR(COUNTIF(계정대체기준!$A$77:$A$86,$N3696)&gt;0,ISNUMBER(MATCH($X3696,계정대체기준!$D$77:$D$86,0)),ISNUMBER(MATCH($F3696,계정대체기준!$D$77:$D$86,0))),"Y","N")))</f>
        <v/>
      </c>
    </row>
    <row r="3697">
      <c r="A3697" s="92" t="n">
        <v>2026</v>
      </c>
      <c r="B3697" s="92" t="n">
        <v>5</v>
      </c>
      <c r="C3697" s="92" t="inlineStr">
        <is>
          <t>5100000975</t>
        </is>
      </c>
      <c r="D3697" s="95" t="n">
        <v>46150</v>
      </c>
      <c r="E3697" s="92" t="inlineStr">
        <is>
          <t>KR</t>
        </is>
      </c>
      <c r="F3697" s="92" t="n">
        <v>62501000</v>
      </c>
      <c r="G3697" s="92" t="n">
        <v>1401</v>
      </c>
      <c r="H3697" s="93" t="n">
        <v>294000</v>
      </c>
      <c r="I3697" s="92" t="inlineStr">
        <is>
          <t>5월 회의 다과 - (법인카드)</t>
        </is>
      </c>
      <c r="J3697" s="92" t="inlineStr">
        <is>
          <t>V10010</t>
        </is>
      </c>
      <c r="K3697" s="92" t="inlineStr">
        <is>
          <t>(법인카드)</t>
        </is>
      </c>
      <c r="M3697" s="9">
        <f>IF($A3697="","",VALUE($A3697&amp;"")*12+VALUE($B3697&amp;""))</f>
        <v/>
      </c>
      <c r="N3697" s="64">
        <f>IF($A3697="","",IFERROR(INDEX(부서매핑!$C$5:$C$504,MATCH($G3697&amp;"",부서매핑!$A$5:$A$504,0)),"미매핑"))</f>
        <v/>
      </c>
      <c r="O3697" s="9">
        <f>IF($A3697="","",N3697&amp;"|"&amp;$F3697)</f>
        <v/>
      </c>
      <c r="P3697" s="94">
        <f>IF($A3697="",0,$H3697*설정!$C$23)</f>
        <v/>
      </c>
      <c r="Q3697" s="64">
        <f>IF($A3697="","",IF(O3697&lt;&gt;원인분석!$C$9,"",IF(AND(M3697&gt;=원인분석!$C$10,M3697&lt;=원인분석!$C$11),"당기",IF(AND(M3697&gt;=원인분석!$C$12,M3697&lt;=원인분석!$C$13),"비교",""))))</f>
        <v/>
      </c>
      <c r="R3697" s="9">
        <f>IF(Q3697="","",$K3697&amp;"")</f>
        <v/>
      </c>
      <c r="S3697" s="9">
        <f>IF(Q3697="","",IF(MATCH(R3697,$R$5:$R$100000,0)=ROW()-4,ROW(),""))</f>
        <v/>
      </c>
      <c r="T3697" s="9">
        <f>IF(Q3697="당기",ABS(P3697)+ROW()/1000000000,"")</f>
        <v/>
      </c>
      <c r="U3697" s="9">
        <f>IF(Q3697="비교",ABS(P3697)+ROW()/1000000000,"")</f>
        <v/>
      </c>
      <c r="V3697" s="64">
        <f>IF($A3697="","",IF(COUNTIF(변동분석!$E$7:$E$506,O3697)&gt;0,"Y","N"))</f>
        <v/>
      </c>
      <c r="W3697" s="64">
        <f>IF($A3697="","",IFERROR(INDEX(계정매핑!$D$5:$D$504,MATCH($F3697&amp;"",계정매핑!$A$5:$A$504,0)),"미매핑"))</f>
        <v/>
      </c>
      <c r="X3697" s="9">
        <f>IF($A3697="","",$F3697&amp;"")</f>
        <v/>
      </c>
      <c r="Y3697" s="94">
        <f>IF($A3697="",0,IF(AE3697="직접",IF(AF3697="비귀속",$P3697,0),$P3697*(1-AG3697)*IFERROR(INDEX(계정대체기준!$F$20:$F$49,MATCH($N3697,계정대체기준!$A$20:$A$49,0)),1)))</f>
        <v/>
      </c>
      <c r="Z3697" s="94">
        <f>IF($A3697="",0,IF(AE3697="직접",IF(AF3697="신계약비",$P3697,0),$P3697*(1-AG3697)*IFERROR(INDEX(계정대체기준!$C$20:$C$49,MATCH($N3697,계정대체기준!$A$20:$A$49,0)),0)))</f>
        <v/>
      </c>
      <c r="AA3697" s="94">
        <f>IF($A3697="",0,IF(AE3697="직접",IF(OR(AF3697="유지비",AF3697="손해조사비"),$P3697,0),$P3697*(1-AG3697)*IFERROR(INDEX(계정대체기준!$D$20:$D$49,MATCH($N3697,계정대체기준!$A$20:$A$49,0)),0)))</f>
        <v/>
      </c>
      <c r="AB3697" s="94">
        <f>IF($A3697="",0,IF(AE3697="직접",IF(AF3697="수금비",$P3697,0),$P3697*(1-AG3697)*IFERROR(INDEX(계정대체기준!$E$20:$E$49,MATCH($N3697,계정대체기준!$A$20:$A$49,0)),0)))</f>
        <v/>
      </c>
      <c r="AC3697" s="9">
        <f>IF(AND($A3697&lt;&gt;"",M3697=설정!$C$20,Z3697&gt;0),Z3697+ROW()/1000000000,"")</f>
        <v/>
      </c>
      <c r="AD3697" s="94">
        <f>IF($A3697="",0,$P3697*AG3697)</f>
        <v/>
      </c>
      <c r="AE3697" s="64">
        <f>IF($A3697="","",IFERROR(INDEX(계정매핑!$E$5:$E$504,MATCH($F3697&amp;"",계정매핑!$A$5:$A$504,0))&amp;"","공통비"))</f>
        <v/>
      </c>
      <c r="AF3697" s="64">
        <f>IF($A3697="","",IF(AE3697="직접",IFERROR(INDEX(계정매핑!$F$5:$F$504,MATCH($F3697&amp;"",계정매핑!$A$5:$A$504,0))&amp;"","비귀속"),""))</f>
        <v/>
      </c>
      <c r="AG3697" s="96">
        <f>IF($A3697="",0,IF(AND(AE3697&lt;&gt;"직접",IFERROR(INDEX(계정매핑!$G$5:$G$504,MATCH($F3697&amp;"",계정매핑!$A$5:$A$504,0))&amp;"","")="유지비",COUNTIF(계정대체기준!$A$6:$A$15,$N3697)&gt;0),IFERROR(INDEX(계정대체기준!$E$6:$E$15,MATCH(VALUE($A3697&amp;""),계정대체기준!$D$6:$D$15,0)),0),0))</f>
        <v/>
      </c>
      <c r="AH3697" s="64">
        <f>IF($A3697="","",IF(AD3697=0,"",IF(OR(COUNTIF(계정대체기준!$A$77:$A$86,$N3697)&gt;0,ISNUMBER(MATCH($X3697,계정대체기준!$D$77:$D$86,0)),ISNUMBER(MATCH($F3697,계정대체기준!$D$77:$D$86,0))),"Y","N")))</f>
        <v/>
      </c>
    </row>
    <row r="3698">
      <c r="A3698" s="92" t="n">
        <v>2026</v>
      </c>
      <c r="B3698" s="92" t="n">
        <v>5</v>
      </c>
      <c r="C3698" s="92" t="inlineStr">
        <is>
          <t>5100000976</t>
        </is>
      </c>
      <c r="D3698" s="95" t="n">
        <v>46150</v>
      </c>
      <c r="E3698" s="92" t="inlineStr">
        <is>
          <t>KR</t>
        </is>
      </c>
      <c r="F3698" s="92" t="n">
        <v>62601000</v>
      </c>
      <c r="G3698" s="92" t="n">
        <v>1101</v>
      </c>
      <c r="H3698" s="93" t="n">
        <v>2148000</v>
      </c>
      <c r="I3698" s="92" t="inlineStr">
        <is>
          <t>5월 업무추진 - (법인카드)</t>
        </is>
      </c>
      <c r="J3698" s="92" t="inlineStr">
        <is>
          <t>V10010</t>
        </is>
      </c>
      <c r="K3698" s="92" t="inlineStr">
        <is>
          <t>(법인카드)</t>
        </is>
      </c>
      <c r="M3698" s="9">
        <f>IF($A3698="","",VALUE($A3698&amp;"")*12+VALUE($B3698&amp;""))</f>
        <v/>
      </c>
      <c r="N3698" s="64">
        <f>IF($A3698="","",IFERROR(INDEX(부서매핑!$C$5:$C$504,MATCH($G3698&amp;"",부서매핑!$A$5:$A$504,0)),"미매핑"))</f>
        <v/>
      </c>
      <c r="O3698" s="9">
        <f>IF($A3698="","",N3698&amp;"|"&amp;$F3698)</f>
        <v/>
      </c>
      <c r="P3698" s="94">
        <f>IF($A3698="",0,$H3698*설정!$C$23)</f>
        <v/>
      </c>
      <c r="Q3698" s="64">
        <f>IF($A3698="","",IF(O3698&lt;&gt;원인분석!$C$9,"",IF(AND(M3698&gt;=원인분석!$C$10,M3698&lt;=원인분석!$C$11),"당기",IF(AND(M3698&gt;=원인분석!$C$12,M3698&lt;=원인분석!$C$13),"비교",""))))</f>
        <v/>
      </c>
      <c r="R3698" s="9">
        <f>IF(Q3698="","",$K3698&amp;"")</f>
        <v/>
      </c>
      <c r="S3698" s="9">
        <f>IF(Q3698="","",IF(MATCH(R3698,$R$5:$R$100000,0)=ROW()-4,ROW(),""))</f>
        <v/>
      </c>
      <c r="T3698" s="9">
        <f>IF(Q3698="당기",ABS(P3698)+ROW()/1000000000,"")</f>
        <v/>
      </c>
      <c r="U3698" s="9">
        <f>IF(Q3698="비교",ABS(P3698)+ROW()/1000000000,"")</f>
        <v/>
      </c>
      <c r="V3698" s="64">
        <f>IF($A3698="","",IF(COUNTIF(변동분석!$E$7:$E$506,O3698)&gt;0,"Y","N"))</f>
        <v/>
      </c>
      <c r="W3698" s="64">
        <f>IF($A3698="","",IFERROR(INDEX(계정매핑!$D$5:$D$504,MATCH($F3698&amp;"",계정매핑!$A$5:$A$504,0)),"미매핑"))</f>
        <v/>
      </c>
      <c r="X3698" s="9">
        <f>IF($A3698="","",$F3698&amp;"")</f>
        <v/>
      </c>
      <c r="Y3698" s="94">
        <f>IF($A3698="",0,IF(AE3698="직접",IF(AF3698="비귀속",$P3698,0),$P3698*(1-AG3698)*IFERROR(INDEX(계정대체기준!$F$20:$F$49,MATCH($N3698,계정대체기준!$A$20:$A$49,0)),1)))</f>
        <v/>
      </c>
      <c r="Z3698" s="94">
        <f>IF($A3698="",0,IF(AE3698="직접",IF(AF3698="신계약비",$P3698,0),$P3698*(1-AG3698)*IFERROR(INDEX(계정대체기준!$C$20:$C$49,MATCH($N3698,계정대체기준!$A$20:$A$49,0)),0)))</f>
        <v/>
      </c>
      <c r="AA3698" s="94">
        <f>IF($A3698="",0,IF(AE3698="직접",IF(OR(AF3698="유지비",AF3698="손해조사비"),$P3698,0),$P3698*(1-AG3698)*IFERROR(INDEX(계정대체기준!$D$20:$D$49,MATCH($N3698,계정대체기준!$A$20:$A$49,0)),0)))</f>
        <v/>
      </c>
      <c r="AB3698" s="94">
        <f>IF($A3698="",0,IF(AE3698="직접",IF(AF3698="수금비",$P3698,0),$P3698*(1-AG3698)*IFERROR(INDEX(계정대체기준!$E$20:$E$49,MATCH($N3698,계정대체기준!$A$20:$A$49,0)),0)))</f>
        <v/>
      </c>
      <c r="AC3698" s="9">
        <f>IF(AND($A3698&lt;&gt;"",M3698=설정!$C$20,Z3698&gt;0),Z3698+ROW()/1000000000,"")</f>
        <v/>
      </c>
      <c r="AD3698" s="94">
        <f>IF($A3698="",0,$P3698*AG3698)</f>
        <v/>
      </c>
      <c r="AE3698" s="64">
        <f>IF($A3698="","",IFERROR(INDEX(계정매핑!$E$5:$E$504,MATCH($F3698&amp;"",계정매핑!$A$5:$A$504,0))&amp;"","공통비"))</f>
        <v/>
      </c>
      <c r="AF3698" s="64">
        <f>IF($A3698="","",IF(AE3698="직접",IFERROR(INDEX(계정매핑!$F$5:$F$504,MATCH($F3698&amp;"",계정매핑!$A$5:$A$504,0))&amp;"","비귀속"),""))</f>
        <v/>
      </c>
      <c r="AG3698" s="96">
        <f>IF($A3698="",0,IF(AND(AE3698&lt;&gt;"직접",IFERROR(INDEX(계정매핑!$G$5:$G$504,MATCH($F3698&amp;"",계정매핑!$A$5:$A$504,0))&amp;"","")="유지비",COUNTIF(계정대체기준!$A$6:$A$15,$N3698)&gt;0),IFERROR(INDEX(계정대체기준!$E$6:$E$15,MATCH(VALUE($A3698&amp;""),계정대체기준!$D$6:$D$15,0)),0),0))</f>
        <v/>
      </c>
      <c r="AH3698" s="64">
        <f>IF($A3698="","",IF(AD3698=0,"",IF(OR(COUNTIF(계정대체기준!$A$77:$A$86,$N3698)&gt;0,ISNUMBER(MATCH($X3698,계정대체기준!$D$77:$D$86,0)),ISNUMBER(MATCH($F3698,계정대체기준!$D$77:$D$86,0))),"Y","N")))</f>
        <v/>
      </c>
    </row>
    <row r="3699">
      <c r="A3699" s="92" t="n">
        <v>2026</v>
      </c>
      <c r="B3699" s="92" t="n">
        <v>5</v>
      </c>
      <c r="C3699" s="92" t="inlineStr">
        <is>
          <t>5100000977</t>
        </is>
      </c>
      <c r="D3699" s="95" t="n">
        <v>46150</v>
      </c>
      <c r="E3699" s="92" t="inlineStr">
        <is>
          <t>KR</t>
        </is>
      </c>
      <c r="F3699" s="92" t="n">
        <v>62601000</v>
      </c>
      <c r="G3699" s="92" t="n">
        <v>1601</v>
      </c>
      <c r="H3699" s="93" t="n">
        <v>3054000</v>
      </c>
      <c r="I3699" s="92" t="inlineStr">
        <is>
          <t>5월 업무추진 - (법인카드)</t>
        </is>
      </c>
      <c r="J3699" s="92" t="inlineStr">
        <is>
          <t>V10010</t>
        </is>
      </c>
      <c r="K3699" s="92" t="inlineStr">
        <is>
          <t>(법인카드)</t>
        </is>
      </c>
      <c r="M3699" s="9">
        <f>IF($A3699="","",VALUE($A3699&amp;"")*12+VALUE($B3699&amp;""))</f>
        <v/>
      </c>
      <c r="N3699" s="64">
        <f>IF($A3699="","",IFERROR(INDEX(부서매핑!$C$5:$C$504,MATCH($G3699&amp;"",부서매핑!$A$5:$A$504,0)),"미매핑"))</f>
        <v/>
      </c>
      <c r="O3699" s="9">
        <f>IF($A3699="","",N3699&amp;"|"&amp;$F3699)</f>
        <v/>
      </c>
      <c r="P3699" s="94">
        <f>IF($A3699="",0,$H3699*설정!$C$23)</f>
        <v/>
      </c>
      <c r="Q3699" s="64">
        <f>IF($A3699="","",IF(O3699&lt;&gt;원인분석!$C$9,"",IF(AND(M3699&gt;=원인분석!$C$10,M3699&lt;=원인분석!$C$11),"당기",IF(AND(M3699&gt;=원인분석!$C$12,M3699&lt;=원인분석!$C$13),"비교",""))))</f>
        <v/>
      </c>
      <c r="R3699" s="9">
        <f>IF(Q3699="","",$K3699&amp;"")</f>
        <v/>
      </c>
      <c r="S3699" s="9">
        <f>IF(Q3699="","",IF(MATCH(R3699,$R$5:$R$100000,0)=ROW()-4,ROW(),""))</f>
        <v/>
      </c>
      <c r="T3699" s="9">
        <f>IF(Q3699="당기",ABS(P3699)+ROW()/1000000000,"")</f>
        <v/>
      </c>
      <c r="U3699" s="9">
        <f>IF(Q3699="비교",ABS(P3699)+ROW()/1000000000,"")</f>
        <v/>
      </c>
      <c r="V3699" s="64">
        <f>IF($A3699="","",IF(COUNTIF(변동분석!$E$7:$E$506,O3699)&gt;0,"Y","N"))</f>
        <v/>
      </c>
      <c r="W3699" s="64">
        <f>IF($A3699="","",IFERROR(INDEX(계정매핑!$D$5:$D$504,MATCH($F3699&amp;"",계정매핑!$A$5:$A$504,0)),"미매핑"))</f>
        <v/>
      </c>
      <c r="X3699" s="9">
        <f>IF($A3699="","",$F3699&amp;"")</f>
        <v/>
      </c>
      <c r="Y3699" s="94">
        <f>IF($A3699="",0,IF(AE3699="직접",IF(AF3699="비귀속",$P3699,0),$P3699*(1-AG3699)*IFERROR(INDEX(계정대체기준!$F$20:$F$49,MATCH($N3699,계정대체기준!$A$20:$A$49,0)),1)))</f>
        <v/>
      </c>
      <c r="Z3699" s="94">
        <f>IF($A3699="",0,IF(AE3699="직접",IF(AF3699="신계약비",$P3699,0),$P3699*(1-AG3699)*IFERROR(INDEX(계정대체기준!$C$20:$C$49,MATCH($N3699,계정대체기준!$A$20:$A$49,0)),0)))</f>
        <v/>
      </c>
      <c r="AA3699" s="94">
        <f>IF($A3699="",0,IF(AE3699="직접",IF(OR(AF3699="유지비",AF3699="손해조사비"),$P3699,0),$P3699*(1-AG3699)*IFERROR(INDEX(계정대체기준!$D$20:$D$49,MATCH($N3699,계정대체기준!$A$20:$A$49,0)),0)))</f>
        <v/>
      </c>
      <c r="AB3699" s="94">
        <f>IF($A3699="",0,IF(AE3699="직접",IF(AF3699="수금비",$P3699,0),$P3699*(1-AG3699)*IFERROR(INDEX(계정대체기준!$E$20:$E$49,MATCH($N3699,계정대체기준!$A$20:$A$49,0)),0)))</f>
        <v/>
      </c>
      <c r="AC3699" s="9">
        <f>IF(AND($A3699&lt;&gt;"",M3699=설정!$C$20,Z3699&gt;0),Z3699+ROW()/1000000000,"")</f>
        <v/>
      </c>
      <c r="AD3699" s="94">
        <f>IF($A3699="",0,$P3699*AG3699)</f>
        <v/>
      </c>
      <c r="AE3699" s="64">
        <f>IF($A3699="","",IFERROR(INDEX(계정매핑!$E$5:$E$504,MATCH($F3699&amp;"",계정매핑!$A$5:$A$504,0))&amp;"","공통비"))</f>
        <v/>
      </c>
      <c r="AF3699" s="64">
        <f>IF($A3699="","",IF(AE3699="직접",IFERROR(INDEX(계정매핑!$F$5:$F$504,MATCH($F3699&amp;"",계정매핑!$A$5:$A$504,0))&amp;"","비귀속"),""))</f>
        <v/>
      </c>
      <c r="AG3699" s="96">
        <f>IF($A3699="",0,IF(AND(AE3699&lt;&gt;"직접",IFERROR(INDEX(계정매핑!$G$5:$G$504,MATCH($F3699&amp;"",계정매핑!$A$5:$A$504,0))&amp;"","")="유지비",COUNTIF(계정대체기준!$A$6:$A$15,$N3699)&gt;0),IFERROR(INDEX(계정대체기준!$E$6:$E$15,MATCH(VALUE($A3699&amp;""),계정대체기준!$D$6:$D$15,0)),0),0))</f>
        <v/>
      </c>
      <c r="AH3699" s="64">
        <f>IF($A3699="","",IF(AD3699=0,"",IF(OR(COUNTIF(계정대체기준!$A$77:$A$86,$N3699)&gt;0,ISNUMBER(MATCH($X3699,계정대체기준!$D$77:$D$86,0)),ISNUMBER(MATCH($F3699,계정대체기준!$D$77:$D$86,0))),"Y","N")))</f>
        <v/>
      </c>
    </row>
    <row r="3700">
      <c r="A3700" s="92" t="n">
        <v>2026</v>
      </c>
      <c r="B3700" s="92" t="n">
        <v>5</v>
      </c>
      <c r="C3700" s="92" t="inlineStr">
        <is>
          <t>5100000978</t>
        </is>
      </c>
      <c r="D3700" s="95" t="n">
        <v>46151</v>
      </c>
      <c r="E3700" s="92" t="inlineStr">
        <is>
          <t>KR</t>
        </is>
      </c>
      <c r="F3700" s="92" t="n">
        <v>62101000</v>
      </c>
      <c r="G3700" s="92" t="n">
        <v>1501</v>
      </c>
      <c r="H3700" s="93" t="n">
        <v>575000</v>
      </c>
      <c r="I3700" s="92" t="inlineStr">
        <is>
          <t>5월 국내출장 - (법인카드)</t>
        </is>
      </c>
      <c r="J3700" s="92" t="inlineStr">
        <is>
          <t>V10010</t>
        </is>
      </c>
      <c r="K3700" s="92" t="inlineStr">
        <is>
          <t>(법인카드)</t>
        </is>
      </c>
      <c r="M3700" s="9">
        <f>IF($A3700="","",VALUE($A3700&amp;"")*12+VALUE($B3700&amp;""))</f>
        <v/>
      </c>
      <c r="N3700" s="64">
        <f>IF($A3700="","",IFERROR(INDEX(부서매핑!$C$5:$C$504,MATCH($G3700&amp;"",부서매핑!$A$5:$A$504,0)),"미매핑"))</f>
        <v/>
      </c>
      <c r="O3700" s="9">
        <f>IF($A3700="","",N3700&amp;"|"&amp;$F3700)</f>
        <v/>
      </c>
      <c r="P3700" s="94">
        <f>IF($A3700="",0,$H3700*설정!$C$23)</f>
        <v/>
      </c>
      <c r="Q3700" s="64">
        <f>IF($A3700="","",IF(O3700&lt;&gt;원인분석!$C$9,"",IF(AND(M3700&gt;=원인분석!$C$10,M3700&lt;=원인분석!$C$11),"당기",IF(AND(M3700&gt;=원인분석!$C$12,M3700&lt;=원인분석!$C$13),"비교",""))))</f>
        <v/>
      </c>
      <c r="R3700" s="9">
        <f>IF(Q3700="","",$K3700&amp;"")</f>
        <v/>
      </c>
      <c r="S3700" s="9">
        <f>IF(Q3700="","",IF(MATCH(R3700,$R$5:$R$100000,0)=ROW()-4,ROW(),""))</f>
        <v/>
      </c>
      <c r="T3700" s="9">
        <f>IF(Q3700="당기",ABS(P3700)+ROW()/1000000000,"")</f>
        <v/>
      </c>
      <c r="U3700" s="9">
        <f>IF(Q3700="비교",ABS(P3700)+ROW()/1000000000,"")</f>
        <v/>
      </c>
      <c r="V3700" s="64">
        <f>IF($A3700="","",IF(COUNTIF(변동분석!$E$7:$E$506,O3700)&gt;0,"Y","N"))</f>
        <v/>
      </c>
      <c r="W3700" s="64">
        <f>IF($A3700="","",IFERROR(INDEX(계정매핑!$D$5:$D$504,MATCH($F3700&amp;"",계정매핑!$A$5:$A$504,0)),"미매핑"))</f>
        <v/>
      </c>
      <c r="X3700" s="9">
        <f>IF($A3700="","",$F3700&amp;"")</f>
        <v/>
      </c>
      <c r="Y3700" s="94">
        <f>IF($A3700="",0,IF(AE3700="직접",IF(AF3700="비귀속",$P3700,0),$P3700*(1-AG3700)*IFERROR(INDEX(계정대체기준!$F$20:$F$49,MATCH($N3700,계정대체기준!$A$20:$A$49,0)),1)))</f>
        <v/>
      </c>
      <c r="Z3700" s="94">
        <f>IF($A3700="",0,IF(AE3700="직접",IF(AF3700="신계약비",$P3700,0),$P3700*(1-AG3700)*IFERROR(INDEX(계정대체기준!$C$20:$C$49,MATCH($N3700,계정대체기준!$A$20:$A$49,0)),0)))</f>
        <v/>
      </c>
      <c r="AA3700" s="94">
        <f>IF($A3700="",0,IF(AE3700="직접",IF(OR(AF3700="유지비",AF3700="손해조사비"),$P3700,0),$P3700*(1-AG3700)*IFERROR(INDEX(계정대체기준!$D$20:$D$49,MATCH($N3700,계정대체기준!$A$20:$A$49,0)),0)))</f>
        <v/>
      </c>
      <c r="AB3700" s="94">
        <f>IF($A3700="",0,IF(AE3700="직접",IF(AF3700="수금비",$P3700,0),$P3700*(1-AG3700)*IFERROR(INDEX(계정대체기준!$E$20:$E$49,MATCH($N3700,계정대체기준!$A$20:$A$49,0)),0)))</f>
        <v/>
      </c>
      <c r="AC3700" s="9">
        <f>IF(AND($A3700&lt;&gt;"",M3700=설정!$C$20,Z3700&gt;0),Z3700+ROW()/1000000000,"")</f>
        <v/>
      </c>
      <c r="AD3700" s="94">
        <f>IF($A3700="",0,$P3700*AG3700)</f>
        <v/>
      </c>
      <c r="AE3700" s="64">
        <f>IF($A3700="","",IFERROR(INDEX(계정매핑!$E$5:$E$504,MATCH($F3700&amp;"",계정매핑!$A$5:$A$504,0))&amp;"","공통비"))</f>
        <v/>
      </c>
      <c r="AF3700" s="64">
        <f>IF($A3700="","",IF(AE3700="직접",IFERROR(INDEX(계정매핑!$F$5:$F$504,MATCH($F3700&amp;"",계정매핑!$A$5:$A$504,0))&amp;"","비귀속"),""))</f>
        <v/>
      </c>
      <c r="AG3700" s="96">
        <f>IF($A3700="",0,IF(AND(AE3700&lt;&gt;"직접",IFERROR(INDEX(계정매핑!$G$5:$G$504,MATCH($F3700&amp;"",계정매핑!$A$5:$A$504,0))&amp;"","")="유지비",COUNTIF(계정대체기준!$A$6:$A$15,$N3700)&gt;0),IFERROR(INDEX(계정대체기준!$E$6:$E$15,MATCH(VALUE($A3700&amp;""),계정대체기준!$D$6:$D$15,0)),0),0))</f>
        <v/>
      </c>
      <c r="AH3700" s="64">
        <f>IF($A3700="","",IF(AD3700=0,"",IF(OR(COUNTIF(계정대체기준!$A$77:$A$86,$N3700)&gt;0,ISNUMBER(MATCH($X3700,계정대체기준!$D$77:$D$86,0)),ISNUMBER(MATCH($F3700,계정대체기준!$D$77:$D$86,0))),"Y","N")))</f>
        <v/>
      </c>
    </row>
    <row r="3701">
      <c r="A3701" s="92" t="n">
        <v>2026</v>
      </c>
      <c r="B3701" s="92" t="n">
        <v>5</v>
      </c>
      <c r="C3701" s="92" t="inlineStr">
        <is>
          <t>5100000979</t>
        </is>
      </c>
      <c r="D3701" s="95" t="n">
        <v>46151</v>
      </c>
      <c r="E3701" s="92" t="inlineStr">
        <is>
          <t>KR</t>
        </is>
      </c>
      <c r="F3701" s="92" t="n">
        <v>62101000</v>
      </c>
      <c r="G3701" s="92" t="n">
        <v>1701</v>
      </c>
      <c r="H3701" s="93" t="n">
        <v>239000</v>
      </c>
      <c r="I3701" s="92" t="inlineStr">
        <is>
          <t>5월 국내출장 - (법인카드)</t>
        </is>
      </c>
      <c r="J3701" s="92" t="inlineStr">
        <is>
          <t>V10010</t>
        </is>
      </c>
      <c r="K3701" s="92" t="inlineStr">
        <is>
          <t>(법인카드)</t>
        </is>
      </c>
      <c r="M3701" s="9">
        <f>IF($A3701="","",VALUE($A3701&amp;"")*12+VALUE($B3701&amp;""))</f>
        <v/>
      </c>
      <c r="N3701" s="64">
        <f>IF($A3701="","",IFERROR(INDEX(부서매핑!$C$5:$C$504,MATCH($G3701&amp;"",부서매핑!$A$5:$A$504,0)),"미매핑"))</f>
        <v/>
      </c>
      <c r="O3701" s="9">
        <f>IF($A3701="","",N3701&amp;"|"&amp;$F3701)</f>
        <v/>
      </c>
      <c r="P3701" s="94">
        <f>IF($A3701="",0,$H3701*설정!$C$23)</f>
        <v/>
      </c>
      <c r="Q3701" s="64">
        <f>IF($A3701="","",IF(O3701&lt;&gt;원인분석!$C$9,"",IF(AND(M3701&gt;=원인분석!$C$10,M3701&lt;=원인분석!$C$11),"당기",IF(AND(M3701&gt;=원인분석!$C$12,M3701&lt;=원인분석!$C$13),"비교",""))))</f>
        <v/>
      </c>
      <c r="R3701" s="9">
        <f>IF(Q3701="","",$K3701&amp;"")</f>
        <v/>
      </c>
      <c r="S3701" s="9">
        <f>IF(Q3701="","",IF(MATCH(R3701,$R$5:$R$100000,0)=ROW()-4,ROW(),""))</f>
        <v/>
      </c>
      <c r="T3701" s="9">
        <f>IF(Q3701="당기",ABS(P3701)+ROW()/1000000000,"")</f>
        <v/>
      </c>
      <c r="U3701" s="9">
        <f>IF(Q3701="비교",ABS(P3701)+ROW()/1000000000,"")</f>
        <v/>
      </c>
      <c r="V3701" s="64">
        <f>IF($A3701="","",IF(COUNTIF(변동분석!$E$7:$E$506,O3701)&gt;0,"Y","N"))</f>
        <v/>
      </c>
      <c r="W3701" s="64">
        <f>IF($A3701="","",IFERROR(INDEX(계정매핑!$D$5:$D$504,MATCH($F3701&amp;"",계정매핑!$A$5:$A$504,0)),"미매핑"))</f>
        <v/>
      </c>
      <c r="X3701" s="9">
        <f>IF($A3701="","",$F3701&amp;"")</f>
        <v/>
      </c>
      <c r="Y3701" s="94">
        <f>IF($A3701="",0,IF(AE3701="직접",IF(AF3701="비귀속",$P3701,0),$P3701*(1-AG3701)*IFERROR(INDEX(계정대체기준!$F$20:$F$49,MATCH($N3701,계정대체기준!$A$20:$A$49,0)),1)))</f>
        <v/>
      </c>
      <c r="Z3701" s="94">
        <f>IF($A3701="",0,IF(AE3701="직접",IF(AF3701="신계약비",$P3701,0),$P3701*(1-AG3701)*IFERROR(INDEX(계정대체기준!$C$20:$C$49,MATCH($N3701,계정대체기준!$A$20:$A$49,0)),0)))</f>
        <v/>
      </c>
      <c r="AA3701" s="94">
        <f>IF($A3701="",0,IF(AE3701="직접",IF(OR(AF3701="유지비",AF3701="손해조사비"),$P3701,0),$P3701*(1-AG3701)*IFERROR(INDEX(계정대체기준!$D$20:$D$49,MATCH($N3701,계정대체기준!$A$20:$A$49,0)),0)))</f>
        <v/>
      </c>
      <c r="AB3701" s="94">
        <f>IF($A3701="",0,IF(AE3701="직접",IF(AF3701="수금비",$P3701,0),$P3701*(1-AG3701)*IFERROR(INDEX(계정대체기준!$E$20:$E$49,MATCH($N3701,계정대체기준!$A$20:$A$49,0)),0)))</f>
        <v/>
      </c>
      <c r="AC3701" s="9">
        <f>IF(AND($A3701&lt;&gt;"",M3701=설정!$C$20,Z3701&gt;0),Z3701+ROW()/1000000000,"")</f>
        <v/>
      </c>
      <c r="AD3701" s="94">
        <f>IF($A3701="",0,$P3701*AG3701)</f>
        <v/>
      </c>
      <c r="AE3701" s="64">
        <f>IF($A3701="","",IFERROR(INDEX(계정매핑!$E$5:$E$504,MATCH($F3701&amp;"",계정매핑!$A$5:$A$504,0))&amp;"","공통비"))</f>
        <v/>
      </c>
      <c r="AF3701" s="64">
        <f>IF($A3701="","",IF(AE3701="직접",IFERROR(INDEX(계정매핑!$F$5:$F$504,MATCH($F3701&amp;"",계정매핑!$A$5:$A$504,0))&amp;"","비귀속"),""))</f>
        <v/>
      </c>
      <c r="AG3701" s="96">
        <f>IF($A3701="",0,IF(AND(AE3701&lt;&gt;"직접",IFERROR(INDEX(계정매핑!$G$5:$G$504,MATCH($F3701&amp;"",계정매핑!$A$5:$A$504,0))&amp;"","")="유지비",COUNTIF(계정대체기준!$A$6:$A$15,$N3701)&gt;0),IFERROR(INDEX(계정대체기준!$E$6:$E$15,MATCH(VALUE($A3701&amp;""),계정대체기준!$D$6:$D$15,0)),0),0))</f>
        <v/>
      </c>
      <c r="AH3701" s="64">
        <f>IF($A3701="","",IF(AD3701=0,"",IF(OR(COUNTIF(계정대체기준!$A$77:$A$86,$N3701)&gt;0,ISNUMBER(MATCH($X3701,계정대체기준!$D$77:$D$86,0)),ISNUMBER(MATCH($F3701,계정대체기준!$D$77:$D$86,0))),"Y","N")))</f>
        <v/>
      </c>
    </row>
    <row r="3702">
      <c r="A3702" s="92" t="n">
        <v>2026</v>
      </c>
      <c r="B3702" s="92" t="n">
        <v>5</v>
      </c>
      <c r="C3702" s="92" t="inlineStr">
        <is>
          <t>5100000980</t>
        </is>
      </c>
      <c r="D3702" s="95" t="n">
        <v>46151</v>
      </c>
      <c r="E3702" s="92" t="inlineStr">
        <is>
          <t>KR</t>
        </is>
      </c>
      <c r="F3702" s="92" t="n">
        <v>62102000</v>
      </c>
      <c r="G3702" s="92" t="n">
        <v>1301</v>
      </c>
      <c r="H3702" s="93" t="n">
        <v>53000</v>
      </c>
      <c r="I3702" s="92" t="inlineStr">
        <is>
          <t>5월 해외출장 - M항공</t>
        </is>
      </c>
      <c r="J3702" s="92" t="inlineStr">
        <is>
          <t>V10001</t>
        </is>
      </c>
      <c r="K3702" s="92" t="inlineStr">
        <is>
          <t>M항공</t>
        </is>
      </c>
      <c r="M3702" s="9">
        <f>IF($A3702="","",VALUE($A3702&amp;"")*12+VALUE($B3702&amp;""))</f>
        <v/>
      </c>
      <c r="N3702" s="64">
        <f>IF($A3702="","",IFERROR(INDEX(부서매핑!$C$5:$C$504,MATCH($G3702&amp;"",부서매핑!$A$5:$A$504,0)),"미매핑"))</f>
        <v/>
      </c>
      <c r="O3702" s="9">
        <f>IF($A3702="","",N3702&amp;"|"&amp;$F3702)</f>
        <v/>
      </c>
      <c r="P3702" s="94">
        <f>IF($A3702="",0,$H3702*설정!$C$23)</f>
        <v/>
      </c>
      <c r="Q3702" s="64">
        <f>IF($A3702="","",IF(O3702&lt;&gt;원인분석!$C$9,"",IF(AND(M3702&gt;=원인분석!$C$10,M3702&lt;=원인분석!$C$11),"당기",IF(AND(M3702&gt;=원인분석!$C$12,M3702&lt;=원인분석!$C$13),"비교",""))))</f>
        <v/>
      </c>
      <c r="R3702" s="9">
        <f>IF(Q3702="","",$K3702&amp;"")</f>
        <v/>
      </c>
      <c r="S3702" s="9">
        <f>IF(Q3702="","",IF(MATCH(R3702,$R$5:$R$100000,0)=ROW()-4,ROW(),""))</f>
        <v/>
      </c>
      <c r="T3702" s="9">
        <f>IF(Q3702="당기",ABS(P3702)+ROW()/1000000000,"")</f>
        <v/>
      </c>
      <c r="U3702" s="9">
        <f>IF(Q3702="비교",ABS(P3702)+ROW()/1000000000,"")</f>
        <v/>
      </c>
      <c r="V3702" s="64">
        <f>IF($A3702="","",IF(COUNTIF(변동분석!$E$7:$E$506,O3702)&gt;0,"Y","N"))</f>
        <v/>
      </c>
      <c r="W3702" s="64">
        <f>IF($A3702="","",IFERROR(INDEX(계정매핑!$D$5:$D$504,MATCH($F3702&amp;"",계정매핑!$A$5:$A$504,0)),"미매핑"))</f>
        <v/>
      </c>
      <c r="X3702" s="9">
        <f>IF($A3702="","",$F3702&amp;"")</f>
        <v/>
      </c>
      <c r="Y3702" s="94">
        <f>IF($A3702="",0,IF(AE3702="직접",IF(AF3702="비귀속",$P3702,0),$P3702*(1-AG3702)*IFERROR(INDEX(계정대체기준!$F$20:$F$49,MATCH($N3702,계정대체기준!$A$20:$A$49,0)),1)))</f>
        <v/>
      </c>
      <c r="Z3702" s="94">
        <f>IF($A3702="",0,IF(AE3702="직접",IF(AF3702="신계약비",$P3702,0),$P3702*(1-AG3702)*IFERROR(INDEX(계정대체기준!$C$20:$C$49,MATCH($N3702,계정대체기준!$A$20:$A$49,0)),0)))</f>
        <v/>
      </c>
      <c r="AA3702" s="94">
        <f>IF($A3702="",0,IF(AE3702="직접",IF(OR(AF3702="유지비",AF3702="손해조사비"),$P3702,0),$P3702*(1-AG3702)*IFERROR(INDEX(계정대체기준!$D$20:$D$49,MATCH($N3702,계정대체기준!$A$20:$A$49,0)),0)))</f>
        <v/>
      </c>
      <c r="AB3702" s="94">
        <f>IF($A3702="",0,IF(AE3702="직접",IF(AF3702="수금비",$P3702,0),$P3702*(1-AG3702)*IFERROR(INDEX(계정대체기준!$E$20:$E$49,MATCH($N3702,계정대체기준!$A$20:$A$49,0)),0)))</f>
        <v/>
      </c>
      <c r="AC3702" s="9">
        <f>IF(AND($A3702&lt;&gt;"",M3702=설정!$C$20,Z3702&gt;0),Z3702+ROW()/1000000000,"")</f>
        <v/>
      </c>
      <c r="AD3702" s="94">
        <f>IF($A3702="",0,$P3702*AG3702)</f>
        <v/>
      </c>
      <c r="AE3702" s="64">
        <f>IF($A3702="","",IFERROR(INDEX(계정매핑!$E$5:$E$504,MATCH($F3702&amp;"",계정매핑!$A$5:$A$504,0))&amp;"","공통비"))</f>
        <v/>
      </c>
      <c r="AF3702" s="64">
        <f>IF($A3702="","",IF(AE3702="직접",IFERROR(INDEX(계정매핑!$F$5:$F$504,MATCH($F3702&amp;"",계정매핑!$A$5:$A$504,0))&amp;"","비귀속"),""))</f>
        <v/>
      </c>
      <c r="AG3702" s="96">
        <f>IF($A3702="",0,IF(AND(AE3702&lt;&gt;"직접",IFERROR(INDEX(계정매핑!$G$5:$G$504,MATCH($F3702&amp;"",계정매핑!$A$5:$A$504,0))&amp;"","")="유지비",COUNTIF(계정대체기준!$A$6:$A$15,$N3702)&gt;0),IFERROR(INDEX(계정대체기준!$E$6:$E$15,MATCH(VALUE($A3702&amp;""),계정대체기준!$D$6:$D$15,0)),0),0))</f>
        <v/>
      </c>
      <c r="AH3702" s="64">
        <f>IF($A3702="","",IF(AD3702=0,"",IF(OR(COUNTIF(계정대체기준!$A$77:$A$86,$N3702)&gt;0,ISNUMBER(MATCH($X3702,계정대체기준!$D$77:$D$86,0)),ISNUMBER(MATCH($F3702,계정대체기준!$D$77:$D$86,0))),"Y","N")))</f>
        <v/>
      </c>
    </row>
    <row r="3703">
      <c r="A3703" s="92" t="n">
        <v>2026</v>
      </c>
      <c r="B3703" s="92" t="n">
        <v>5</v>
      </c>
      <c r="C3703" s="92" t="inlineStr">
        <is>
          <t>5100000981</t>
        </is>
      </c>
      <c r="D3703" s="95" t="n">
        <v>46151</v>
      </c>
      <c r="E3703" s="92" t="inlineStr">
        <is>
          <t>KR</t>
        </is>
      </c>
      <c r="F3703" s="92" t="n">
        <v>62102000</v>
      </c>
      <c r="G3703" s="92" t="n">
        <v>1601</v>
      </c>
      <c r="H3703" s="93" t="n">
        <v>417000</v>
      </c>
      <c r="I3703" s="92" t="inlineStr">
        <is>
          <t>5월 해외출장 - N호텔</t>
        </is>
      </c>
      <c r="J3703" s="92" t="inlineStr">
        <is>
          <t>V10009</t>
        </is>
      </c>
      <c r="K3703" s="92" t="inlineStr">
        <is>
          <t>N호텔</t>
        </is>
      </c>
      <c r="M3703" s="9">
        <f>IF($A3703="","",VALUE($A3703&amp;"")*12+VALUE($B3703&amp;""))</f>
        <v/>
      </c>
      <c r="N3703" s="64">
        <f>IF($A3703="","",IFERROR(INDEX(부서매핑!$C$5:$C$504,MATCH($G3703&amp;"",부서매핑!$A$5:$A$504,0)),"미매핑"))</f>
        <v/>
      </c>
      <c r="O3703" s="9">
        <f>IF($A3703="","",N3703&amp;"|"&amp;$F3703)</f>
        <v/>
      </c>
      <c r="P3703" s="94">
        <f>IF($A3703="",0,$H3703*설정!$C$23)</f>
        <v/>
      </c>
      <c r="Q3703" s="64">
        <f>IF($A3703="","",IF(O3703&lt;&gt;원인분석!$C$9,"",IF(AND(M3703&gt;=원인분석!$C$10,M3703&lt;=원인분석!$C$11),"당기",IF(AND(M3703&gt;=원인분석!$C$12,M3703&lt;=원인분석!$C$13),"비교",""))))</f>
        <v/>
      </c>
      <c r="R3703" s="9">
        <f>IF(Q3703="","",$K3703&amp;"")</f>
        <v/>
      </c>
      <c r="S3703" s="9">
        <f>IF(Q3703="","",IF(MATCH(R3703,$R$5:$R$100000,0)=ROW()-4,ROW(),""))</f>
        <v/>
      </c>
      <c r="T3703" s="9">
        <f>IF(Q3703="당기",ABS(P3703)+ROW()/1000000000,"")</f>
        <v/>
      </c>
      <c r="U3703" s="9">
        <f>IF(Q3703="비교",ABS(P3703)+ROW()/1000000000,"")</f>
        <v/>
      </c>
      <c r="V3703" s="64">
        <f>IF($A3703="","",IF(COUNTIF(변동분석!$E$7:$E$506,O3703)&gt;0,"Y","N"))</f>
        <v/>
      </c>
      <c r="W3703" s="64">
        <f>IF($A3703="","",IFERROR(INDEX(계정매핑!$D$5:$D$504,MATCH($F3703&amp;"",계정매핑!$A$5:$A$504,0)),"미매핑"))</f>
        <v/>
      </c>
      <c r="X3703" s="9">
        <f>IF($A3703="","",$F3703&amp;"")</f>
        <v/>
      </c>
      <c r="Y3703" s="94">
        <f>IF($A3703="",0,IF(AE3703="직접",IF(AF3703="비귀속",$P3703,0),$P3703*(1-AG3703)*IFERROR(INDEX(계정대체기준!$F$20:$F$49,MATCH($N3703,계정대체기준!$A$20:$A$49,0)),1)))</f>
        <v/>
      </c>
      <c r="Z3703" s="94">
        <f>IF($A3703="",0,IF(AE3703="직접",IF(AF3703="신계약비",$P3703,0),$P3703*(1-AG3703)*IFERROR(INDEX(계정대체기준!$C$20:$C$49,MATCH($N3703,계정대체기준!$A$20:$A$49,0)),0)))</f>
        <v/>
      </c>
      <c r="AA3703" s="94">
        <f>IF($A3703="",0,IF(AE3703="직접",IF(OR(AF3703="유지비",AF3703="손해조사비"),$P3703,0),$P3703*(1-AG3703)*IFERROR(INDEX(계정대체기준!$D$20:$D$49,MATCH($N3703,계정대체기준!$A$20:$A$49,0)),0)))</f>
        <v/>
      </c>
      <c r="AB3703" s="94">
        <f>IF($A3703="",0,IF(AE3703="직접",IF(AF3703="수금비",$P3703,0),$P3703*(1-AG3703)*IFERROR(INDEX(계정대체기준!$E$20:$E$49,MATCH($N3703,계정대체기준!$A$20:$A$49,0)),0)))</f>
        <v/>
      </c>
      <c r="AC3703" s="9">
        <f>IF(AND($A3703&lt;&gt;"",M3703=설정!$C$20,Z3703&gt;0),Z3703+ROW()/1000000000,"")</f>
        <v/>
      </c>
      <c r="AD3703" s="94">
        <f>IF($A3703="",0,$P3703*AG3703)</f>
        <v/>
      </c>
      <c r="AE3703" s="64">
        <f>IF($A3703="","",IFERROR(INDEX(계정매핑!$E$5:$E$504,MATCH($F3703&amp;"",계정매핑!$A$5:$A$504,0))&amp;"","공통비"))</f>
        <v/>
      </c>
      <c r="AF3703" s="64">
        <f>IF($A3703="","",IF(AE3703="직접",IFERROR(INDEX(계정매핑!$F$5:$F$504,MATCH($F3703&amp;"",계정매핑!$A$5:$A$504,0))&amp;"","비귀속"),""))</f>
        <v/>
      </c>
      <c r="AG3703" s="96">
        <f>IF($A3703="",0,IF(AND(AE3703&lt;&gt;"직접",IFERROR(INDEX(계정매핑!$G$5:$G$504,MATCH($F3703&amp;"",계정매핑!$A$5:$A$504,0))&amp;"","")="유지비",COUNTIF(계정대체기준!$A$6:$A$15,$N3703)&gt;0),IFERROR(INDEX(계정대체기준!$E$6:$E$15,MATCH(VALUE($A3703&amp;""),계정대체기준!$D$6:$D$15,0)),0),0))</f>
        <v/>
      </c>
      <c r="AH3703" s="64">
        <f>IF($A3703="","",IF(AD3703=0,"",IF(OR(COUNTIF(계정대체기준!$A$77:$A$86,$N3703)&gt;0,ISNUMBER(MATCH($X3703,계정대체기준!$D$77:$D$86,0)),ISNUMBER(MATCH($F3703,계정대체기준!$D$77:$D$86,0))),"Y","N")))</f>
        <v/>
      </c>
    </row>
    <row r="3704">
      <c r="A3704" s="92" t="n">
        <v>2026</v>
      </c>
      <c r="B3704" s="92" t="n">
        <v>5</v>
      </c>
      <c r="C3704" s="92" t="inlineStr">
        <is>
          <t>5100000982</t>
        </is>
      </c>
      <c r="D3704" s="95" t="n">
        <v>46151</v>
      </c>
      <c r="E3704" s="92" t="inlineStr">
        <is>
          <t>KR</t>
        </is>
      </c>
      <c r="F3704" s="92" t="n">
        <v>62201000</v>
      </c>
      <c r="G3704" s="92" t="n">
        <v>1301</v>
      </c>
      <c r="H3704" s="93" t="n">
        <v>271000</v>
      </c>
      <c r="I3704" s="92" t="inlineStr">
        <is>
          <t>5월 통신요금 - O텔레콤</t>
        </is>
      </c>
      <c r="J3704" s="92" t="inlineStr">
        <is>
          <t>V10002</t>
        </is>
      </c>
      <c r="K3704" s="92" t="inlineStr">
        <is>
          <t>O텔레콤</t>
        </is>
      </c>
      <c r="M3704" s="9">
        <f>IF($A3704="","",VALUE($A3704&amp;"")*12+VALUE($B3704&amp;""))</f>
        <v/>
      </c>
      <c r="N3704" s="64">
        <f>IF($A3704="","",IFERROR(INDEX(부서매핑!$C$5:$C$504,MATCH($G3704&amp;"",부서매핑!$A$5:$A$504,0)),"미매핑"))</f>
        <v/>
      </c>
      <c r="O3704" s="9">
        <f>IF($A3704="","",N3704&amp;"|"&amp;$F3704)</f>
        <v/>
      </c>
      <c r="P3704" s="94">
        <f>IF($A3704="",0,$H3704*설정!$C$23)</f>
        <v/>
      </c>
      <c r="Q3704" s="64">
        <f>IF($A3704="","",IF(O3704&lt;&gt;원인분석!$C$9,"",IF(AND(M3704&gt;=원인분석!$C$10,M3704&lt;=원인분석!$C$11),"당기",IF(AND(M3704&gt;=원인분석!$C$12,M3704&lt;=원인분석!$C$13),"비교",""))))</f>
        <v/>
      </c>
      <c r="R3704" s="9">
        <f>IF(Q3704="","",$K3704&amp;"")</f>
        <v/>
      </c>
      <c r="S3704" s="9">
        <f>IF(Q3704="","",IF(MATCH(R3704,$R$5:$R$100000,0)=ROW()-4,ROW(),""))</f>
        <v/>
      </c>
      <c r="T3704" s="9">
        <f>IF(Q3704="당기",ABS(P3704)+ROW()/1000000000,"")</f>
        <v/>
      </c>
      <c r="U3704" s="9">
        <f>IF(Q3704="비교",ABS(P3704)+ROW()/1000000000,"")</f>
        <v/>
      </c>
      <c r="V3704" s="64">
        <f>IF($A3704="","",IF(COUNTIF(변동분석!$E$7:$E$506,O3704)&gt;0,"Y","N"))</f>
        <v/>
      </c>
      <c r="W3704" s="64">
        <f>IF($A3704="","",IFERROR(INDEX(계정매핑!$D$5:$D$504,MATCH($F3704&amp;"",계정매핑!$A$5:$A$504,0)),"미매핑"))</f>
        <v/>
      </c>
      <c r="X3704" s="9">
        <f>IF($A3704="","",$F3704&amp;"")</f>
        <v/>
      </c>
      <c r="Y3704" s="94">
        <f>IF($A3704="",0,IF(AE3704="직접",IF(AF3704="비귀속",$P3704,0),$P3704*(1-AG3704)*IFERROR(INDEX(계정대체기준!$F$20:$F$49,MATCH($N3704,계정대체기준!$A$20:$A$49,0)),1)))</f>
        <v/>
      </c>
      <c r="Z3704" s="94">
        <f>IF($A3704="",0,IF(AE3704="직접",IF(AF3704="신계약비",$P3704,0),$P3704*(1-AG3704)*IFERROR(INDEX(계정대체기준!$C$20:$C$49,MATCH($N3704,계정대체기준!$A$20:$A$49,0)),0)))</f>
        <v/>
      </c>
      <c r="AA3704" s="94">
        <f>IF($A3704="",0,IF(AE3704="직접",IF(OR(AF3704="유지비",AF3704="손해조사비"),$P3704,0),$P3704*(1-AG3704)*IFERROR(INDEX(계정대체기준!$D$20:$D$49,MATCH($N3704,계정대체기준!$A$20:$A$49,0)),0)))</f>
        <v/>
      </c>
      <c r="AB3704" s="94">
        <f>IF($A3704="",0,IF(AE3704="직접",IF(AF3704="수금비",$P3704,0),$P3704*(1-AG3704)*IFERROR(INDEX(계정대체기준!$E$20:$E$49,MATCH($N3704,계정대체기준!$A$20:$A$49,0)),0)))</f>
        <v/>
      </c>
      <c r="AC3704" s="9">
        <f>IF(AND($A3704&lt;&gt;"",M3704=설정!$C$20,Z3704&gt;0),Z3704+ROW()/1000000000,"")</f>
        <v/>
      </c>
      <c r="AD3704" s="94">
        <f>IF($A3704="",0,$P3704*AG3704)</f>
        <v/>
      </c>
      <c r="AE3704" s="64">
        <f>IF($A3704="","",IFERROR(INDEX(계정매핑!$E$5:$E$504,MATCH($F3704&amp;"",계정매핑!$A$5:$A$504,0))&amp;"","공통비"))</f>
        <v/>
      </c>
      <c r="AF3704" s="64">
        <f>IF($A3704="","",IF(AE3704="직접",IFERROR(INDEX(계정매핑!$F$5:$F$504,MATCH($F3704&amp;"",계정매핑!$A$5:$A$504,0))&amp;"","비귀속"),""))</f>
        <v/>
      </c>
      <c r="AG3704" s="96">
        <f>IF($A3704="",0,IF(AND(AE3704&lt;&gt;"직접",IFERROR(INDEX(계정매핑!$G$5:$G$504,MATCH($F3704&amp;"",계정매핑!$A$5:$A$504,0))&amp;"","")="유지비",COUNTIF(계정대체기준!$A$6:$A$15,$N3704)&gt;0),IFERROR(INDEX(계정대체기준!$E$6:$E$15,MATCH(VALUE($A3704&amp;""),계정대체기준!$D$6:$D$15,0)),0),0))</f>
        <v/>
      </c>
      <c r="AH3704" s="64">
        <f>IF($A3704="","",IF(AD3704=0,"",IF(OR(COUNTIF(계정대체기준!$A$77:$A$86,$N3704)&gt;0,ISNUMBER(MATCH($X3704,계정대체기준!$D$77:$D$86,0)),ISNUMBER(MATCH($F3704,계정대체기준!$D$77:$D$86,0))),"Y","N")))</f>
        <v/>
      </c>
    </row>
    <row r="3705">
      <c r="A3705" s="92" t="n">
        <v>2026</v>
      </c>
      <c r="B3705" s="92" t="n">
        <v>5</v>
      </c>
      <c r="C3705" s="92" t="inlineStr">
        <is>
          <t>5100000983</t>
        </is>
      </c>
      <c r="D3705" s="95" t="n">
        <v>46151</v>
      </c>
      <c r="E3705" s="92" t="inlineStr">
        <is>
          <t>KR</t>
        </is>
      </c>
      <c r="F3705" s="92" t="n">
        <v>62301000</v>
      </c>
      <c r="G3705" s="92" t="n">
        <v>1501</v>
      </c>
      <c r="H3705" s="93" t="n">
        <v>257000</v>
      </c>
      <c r="I3705" s="92" t="inlineStr">
        <is>
          <t>5월 소모품 구입 - Q오피스</t>
        </is>
      </c>
      <c r="J3705" s="92" t="inlineStr">
        <is>
          <t>V10003</t>
        </is>
      </c>
      <c r="K3705" s="92" t="inlineStr">
        <is>
          <t>Q오피스</t>
        </is>
      </c>
      <c r="M3705" s="9">
        <f>IF($A3705="","",VALUE($A3705&amp;"")*12+VALUE($B3705&amp;""))</f>
        <v/>
      </c>
      <c r="N3705" s="64">
        <f>IF($A3705="","",IFERROR(INDEX(부서매핑!$C$5:$C$504,MATCH($G3705&amp;"",부서매핑!$A$5:$A$504,0)),"미매핑"))</f>
        <v/>
      </c>
      <c r="O3705" s="9">
        <f>IF($A3705="","",N3705&amp;"|"&amp;$F3705)</f>
        <v/>
      </c>
      <c r="P3705" s="94">
        <f>IF($A3705="",0,$H3705*설정!$C$23)</f>
        <v/>
      </c>
      <c r="Q3705" s="64">
        <f>IF($A3705="","",IF(O3705&lt;&gt;원인분석!$C$9,"",IF(AND(M3705&gt;=원인분석!$C$10,M3705&lt;=원인분석!$C$11),"당기",IF(AND(M3705&gt;=원인분석!$C$12,M3705&lt;=원인분석!$C$13),"비교",""))))</f>
        <v/>
      </c>
      <c r="R3705" s="9">
        <f>IF(Q3705="","",$K3705&amp;"")</f>
        <v/>
      </c>
      <c r="S3705" s="9">
        <f>IF(Q3705="","",IF(MATCH(R3705,$R$5:$R$100000,0)=ROW()-4,ROW(),""))</f>
        <v/>
      </c>
      <c r="T3705" s="9">
        <f>IF(Q3705="당기",ABS(P3705)+ROW()/1000000000,"")</f>
        <v/>
      </c>
      <c r="U3705" s="9">
        <f>IF(Q3705="비교",ABS(P3705)+ROW()/1000000000,"")</f>
        <v/>
      </c>
      <c r="V3705" s="64">
        <f>IF($A3705="","",IF(COUNTIF(변동분석!$E$7:$E$506,O3705)&gt;0,"Y","N"))</f>
        <v/>
      </c>
      <c r="W3705" s="64">
        <f>IF($A3705="","",IFERROR(INDEX(계정매핑!$D$5:$D$504,MATCH($F3705&amp;"",계정매핑!$A$5:$A$504,0)),"미매핑"))</f>
        <v/>
      </c>
      <c r="X3705" s="9">
        <f>IF($A3705="","",$F3705&amp;"")</f>
        <v/>
      </c>
      <c r="Y3705" s="94">
        <f>IF($A3705="",0,IF(AE3705="직접",IF(AF3705="비귀속",$P3705,0),$P3705*(1-AG3705)*IFERROR(INDEX(계정대체기준!$F$20:$F$49,MATCH($N3705,계정대체기준!$A$20:$A$49,0)),1)))</f>
        <v/>
      </c>
      <c r="Z3705" s="94">
        <f>IF($A3705="",0,IF(AE3705="직접",IF(AF3705="신계약비",$P3705,0),$P3705*(1-AG3705)*IFERROR(INDEX(계정대체기준!$C$20:$C$49,MATCH($N3705,계정대체기준!$A$20:$A$49,0)),0)))</f>
        <v/>
      </c>
      <c r="AA3705" s="94">
        <f>IF($A3705="",0,IF(AE3705="직접",IF(OR(AF3705="유지비",AF3705="손해조사비"),$P3705,0),$P3705*(1-AG3705)*IFERROR(INDEX(계정대체기준!$D$20:$D$49,MATCH($N3705,계정대체기준!$A$20:$A$49,0)),0)))</f>
        <v/>
      </c>
      <c r="AB3705" s="94">
        <f>IF($A3705="",0,IF(AE3705="직접",IF(AF3705="수금비",$P3705,0),$P3705*(1-AG3705)*IFERROR(INDEX(계정대체기준!$E$20:$E$49,MATCH($N3705,계정대체기준!$A$20:$A$49,0)),0)))</f>
        <v/>
      </c>
      <c r="AC3705" s="9">
        <f>IF(AND($A3705&lt;&gt;"",M3705=설정!$C$20,Z3705&gt;0),Z3705+ROW()/1000000000,"")</f>
        <v/>
      </c>
      <c r="AD3705" s="94">
        <f>IF($A3705="",0,$P3705*AG3705)</f>
        <v/>
      </c>
      <c r="AE3705" s="64">
        <f>IF($A3705="","",IFERROR(INDEX(계정매핑!$E$5:$E$504,MATCH($F3705&amp;"",계정매핑!$A$5:$A$504,0))&amp;"","공통비"))</f>
        <v/>
      </c>
      <c r="AF3705" s="64">
        <f>IF($A3705="","",IF(AE3705="직접",IFERROR(INDEX(계정매핑!$F$5:$F$504,MATCH($F3705&amp;"",계정매핑!$A$5:$A$504,0))&amp;"","비귀속"),""))</f>
        <v/>
      </c>
      <c r="AG3705" s="96">
        <f>IF($A3705="",0,IF(AND(AE3705&lt;&gt;"직접",IFERROR(INDEX(계정매핑!$G$5:$G$504,MATCH($F3705&amp;"",계정매핑!$A$5:$A$504,0))&amp;"","")="유지비",COUNTIF(계정대체기준!$A$6:$A$15,$N3705)&gt;0),IFERROR(INDEX(계정대체기준!$E$6:$E$15,MATCH(VALUE($A3705&amp;""),계정대체기준!$D$6:$D$15,0)),0),0))</f>
        <v/>
      </c>
      <c r="AH3705" s="64">
        <f>IF($A3705="","",IF(AD3705=0,"",IF(OR(COUNTIF(계정대체기준!$A$77:$A$86,$N3705)&gt;0,ISNUMBER(MATCH($X3705,계정대체기준!$D$77:$D$86,0)),ISNUMBER(MATCH($F3705,계정대체기준!$D$77:$D$86,0))),"Y","N")))</f>
        <v/>
      </c>
    </row>
    <row r="3706">
      <c r="A3706" s="92" t="n">
        <v>2026</v>
      </c>
      <c r="B3706" s="92" t="n">
        <v>5</v>
      </c>
      <c r="C3706" s="92" t="inlineStr">
        <is>
          <t>5100000984</t>
        </is>
      </c>
      <c r="D3706" s="95" t="n">
        <v>46151</v>
      </c>
      <c r="E3706" s="92" t="inlineStr">
        <is>
          <t>KR</t>
        </is>
      </c>
      <c r="F3706" s="92" t="n">
        <v>62501000</v>
      </c>
      <c r="G3706" s="92" t="n">
        <v>1801</v>
      </c>
      <c r="H3706" s="93" t="n">
        <v>69000</v>
      </c>
      <c r="I3706" s="92" t="inlineStr">
        <is>
          <t>5월 회의 다과 - (법인카드)</t>
        </is>
      </c>
      <c r="J3706" s="92" t="inlineStr">
        <is>
          <t>V10010</t>
        </is>
      </c>
      <c r="K3706" s="92" t="inlineStr">
        <is>
          <t>(법인카드)</t>
        </is>
      </c>
      <c r="M3706" s="9">
        <f>IF($A3706="","",VALUE($A3706&amp;"")*12+VALUE($B3706&amp;""))</f>
        <v/>
      </c>
      <c r="N3706" s="64">
        <f>IF($A3706="","",IFERROR(INDEX(부서매핑!$C$5:$C$504,MATCH($G3706&amp;"",부서매핑!$A$5:$A$504,0)),"미매핑"))</f>
        <v/>
      </c>
      <c r="O3706" s="9">
        <f>IF($A3706="","",N3706&amp;"|"&amp;$F3706)</f>
        <v/>
      </c>
      <c r="P3706" s="94">
        <f>IF($A3706="",0,$H3706*설정!$C$23)</f>
        <v/>
      </c>
      <c r="Q3706" s="64">
        <f>IF($A3706="","",IF(O3706&lt;&gt;원인분석!$C$9,"",IF(AND(M3706&gt;=원인분석!$C$10,M3706&lt;=원인분석!$C$11),"당기",IF(AND(M3706&gt;=원인분석!$C$12,M3706&lt;=원인분석!$C$13),"비교",""))))</f>
        <v/>
      </c>
      <c r="R3706" s="9">
        <f>IF(Q3706="","",$K3706&amp;"")</f>
        <v/>
      </c>
      <c r="S3706" s="9">
        <f>IF(Q3706="","",IF(MATCH(R3706,$R$5:$R$100000,0)=ROW()-4,ROW(),""))</f>
        <v/>
      </c>
      <c r="T3706" s="9">
        <f>IF(Q3706="당기",ABS(P3706)+ROW()/1000000000,"")</f>
        <v/>
      </c>
      <c r="U3706" s="9">
        <f>IF(Q3706="비교",ABS(P3706)+ROW()/1000000000,"")</f>
        <v/>
      </c>
      <c r="V3706" s="64">
        <f>IF($A3706="","",IF(COUNTIF(변동분석!$E$7:$E$506,O3706)&gt;0,"Y","N"))</f>
        <v/>
      </c>
      <c r="W3706" s="64">
        <f>IF($A3706="","",IFERROR(INDEX(계정매핑!$D$5:$D$504,MATCH($F3706&amp;"",계정매핑!$A$5:$A$504,0)),"미매핑"))</f>
        <v/>
      </c>
      <c r="X3706" s="9">
        <f>IF($A3706="","",$F3706&amp;"")</f>
        <v/>
      </c>
      <c r="Y3706" s="94">
        <f>IF($A3706="",0,IF(AE3706="직접",IF(AF3706="비귀속",$P3706,0),$P3706*(1-AG3706)*IFERROR(INDEX(계정대체기준!$F$20:$F$49,MATCH($N3706,계정대체기준!$A$20:$A$49,0)),1)))</f>
        <v/>
      </c>
      <c r="Z3706" s="94">
        <f>IF($A3706="",0,IF(AE3706="직접",IF(AF3706="신계약비",$P3706,0),$P3706*(1-AG3706)*IFERROR(INDEX(계정대체기준!$C$20:$C$49,MATCH($N3706,계정대체기준!$A$20:$A$49,0)),0)))</f>
        <v/>
      </c>
      <c r="AA3706" s="94">
        <f>IF($A3706="",0,IF(AE3706="직접",IF(OR(AF3706="유지비",AF3706="손해조사비"),$P3706,0),$P3706*(1-AG3706)*IFERROR(INDEX(계정대체기준!$D$20:$D$49,MATCH($N3706,계정대체기준!$A$20:$A$49,0)),0)))</f>
        <v/>
      </c>
      <c r="AB3706" s="94">
        <f>IF($A3706="",0,IF(AE3706="직접",IF(AF3706="수금비",$P3706,0),$P3706*(1-AG3706)*IFERROR(INDEX(계정대체기준!$E$20:$E$49,MATCH($N3706,계정대체기준!$A$20:$A$49,0)),0)))</f>
        <v/>
      </c>
      <c r="AC3706" s="9">
        <f>IF(AND($A3706&lt;&gt;"",M3706=설정!$C$20,Z3706&gt;0),Z3706+ROW()/1000000000,"")</f>
        <v/>
      </c>
      <c r="AD3706" s="94">
        <f>IF($A3706="",0,$P3706*AG3706)</f>
        <v/>
      </c>
      <c r="AE3706" s="64">
        <f>IF($A3706="","",IFERROR(INDEX(계정매핑!$E$5:$E$504,MATCH($F3706&amp;"",계정매핑!$A$5:$A$504,0))&amp;"","공통비"))</f>
        <v/>
      </c>
      <c r="AF3706" s="64">
        <f>IF($A3706="","",IF(AE3706="직접",IFERROR(INDEX(계정매핑!$F$5:$F$504,MATCH($F3706&amp;"",계정매핑!$A$5:$A$504,0))&amp;"","비귀속"),""))</f>
        <v/>
      </c>
      <c r="AG3706" s="96">
        <f>IF($A3706="",0,IF(AND(AE3706&lt;&gt;"직접",IFERROR(INDEX(계정매핑!$G$5:$G$504,MATCH($F3706&amp;"",계정매핑!$A$5:$A$504,0))&amp;"","")="유지비",COUNTIF(계정대체기준!$A$6:$A$15,$N3706)&gt;0),IFERROR(INDEX(계정대체기준!$E$6:$E$15,MATCH(VALUE($A3706&amp;""),계정대체기준!$D$6:$D$15,0)),0),0))</f>
        <v/>
      </c>
      <c r="AH3706" s="64">
        <f>IF($A3706="","",IF(AD3706=0,"",IF(OR(COUNTIF(계정대체기준!$A$77:$A$86,$N3706)&gt;0,ISNUMBER(MATCH($X3706,계정대체기준!$D$77:$D$86,0)),ISNUMBER(MATCH($F3706,계정대체기준!$D$77:$D$86,0))),"Y","N")))</f>
        <v/>
      </c>
    </row>
    <row r="3707">
      <c r="A3707" s="92" t="n">
        <v>2026</v>
      </c>
      <c r="B3707" s="92" t="n">
        <v>5</v>
      </c>
      <c r="C3707" s="92" t="inlineStr">
        <is>
          <t>5100000985</t>
        </is>
      </c>
      <c r="D3707" s="95" t="n">
        <v>46151</v>
      </c>
      <c r="E3707" s="92" t="inlineStr">
        <is>
          <t>KR</t>
        </is>
      </c>
      <c r="F3707" s="92" t="n">
        <v>62501000</v>
      </c>
      <c r="G3707" s="92" t="n">
        <v>1801</v>
      </c>
      <c r="H3707" s="93" t="n">
        <v>155000</v>
      </c>
      <c r="I3707" s="92" t="inlineStr">
        <is>
          <t>5월 회의 다과 - T케이터링</t>
        </is>
      </c>
      <c r="J3707" s="92" t="inlineStr">
        <is>
          <t>V10005</t>
        </is>
      </c>
      <c r="K3707" s="92" t="inlineStr">
        <is>
          <t>T케이터링</t>
        </is>
      </c>
      <c r="M3707" s="9">
        <f>IF($A3707="","",VALUE($A3707&amp;"")*12+VALUE($B3707&amp;""))</f>
        <v/>
      </c>
      <c r="N3707" s="64">
        <f>IF($A3707="","",IFERROR(INDEX(부서매핑!$C$5:$C$504,MATCH($G3707&amp;"",부서매핑!$A$5:$A$504,0)),"미매핑"))</f>
        <v/>
      </c>
      <c r="O3707" s="9">
        <f>IF($A3707="","",N3707&amp;"|"&amp;$F3707)</f>
        <v/>
      </c>
      <c r="P3707" s="94">
        <f>IF($A3707="",0,$H3707*설정!$C$23)</f>
        <v/>
      </c>
      <c r="Q3707" s="64">
        <f>IF($A3707="","",IF(O3707&lt;&gt;원인분석!$C$9,"",IF(AND(M3707&gt;=원인분석!$C$10,M3707&lt;=원인분석!$C$11),"당기",IF(AND(M3707&gt;=원인분석!$C$12,M3707&lt;=원인분석!$C$13),"비교",""))))</f>
        <v/>
      </c>
      <c r="R3707" s="9">
        <f>IF(Q3707="","",$K3707&amp;"")</f>
        <v/>
      </c>
      <c r="S3707" s="9">
        <f>IF(Q3707="","",IF(MATCH(R3707,$R$5:$R$100000,0)=ROW()-4,ROW(),""))</f>
        <v/>
      </c>
      <c r="T3707" s="9">
        <f>IF(Q3707="당기",ABS(P3707)+ROW()/1000000000,"")</f>
        <v/>
      </c>
      <c r="U3707" s="9">
        <f>IF(Q3707="비교",ABS(P3707)+ROW()/1000000000,"")</f>
        <v/>
      </c>
      <c r="V3707" s="64">
        <f>IF($A3707="","",IF(COUNTIF(변동분석!$E$7:$E$506,O3707)&gt;0,"Y","N"))</f>
        <v/>
      </c>
      <c r="W3707" s="64">
        <f>IF($A3707="","",IFERROR(INDEX(계정매핑!$D$5:$D$504,MATCH($F3707&amp;"",계정매핑!$A$5:$A$504,0)),"미매핑"))</f>
        <v/>
      </c>
      <c r="X3707" s="9">
        <f>IF($A3707="","",$F3707&amp;"")</f>
        <v/>
      </c>
      <c r="Y3707" s="94">
        <f>IF($A3707="",0,IF(AE3707="직접",IF(AF3707="비귀속",$P3707,0),$P3707*(1-AG3707)*IFERROR(INDEX(계정대체기준!$F$20:$F$49,MATCH($N3707,계정대체기준!$A$20:$A$49,0)),1)))</f>
        <v/>
      </c>
      <c r="Z3707" s="94">
        <f>IF($A3707="",0,IF(AE3707="직접",IF(AF3707="신계약비",$P3707,0),$P3707*(1-AG3707)*IFERROR(INDEX(계정대체기준!$C$20:$C$49,MATCH($N3707,계정대체기준!$A$20:$A$49,0)),0)))</f>
        <v/>
      </c>
      <c r="AA3707" s="94">
        <f>IF($A3707="",0,IF(AE3707="직접",IF(OR(AF3707="유지비",AF3707="손해조사비"),$P3707,0),$P3707*(1-AG3707)*IFERROR(INDEX(계정대체기준!$D$20:$D$49,MATCH($N3707,계정대체기준!$A$20:$A$49,0)),0)))</f>
        <v/>
      </c>
      <c r="AB3707" s="94">
        <f>IF($A3707="",0,IF(AE3707="직접",IF(AF3707="수금비",$P3707,0),$P3707*(1-AG3707)*IFERROR(INDEX(계정대체기준!$E$20:$E$49,MATCH($N3707,계정대체기준!$A$20:$A$49,0)),0)))</f>
        <v/>
      </c>
      <c r="AC3707" s="9">
        <f>IF(AND($A3707&lt;&gt;"",M3707=설정!$C$20,Z3707&gt;0),Z3707+ROW()/1000000000,"")</f>
        <v/>
      </c>
      <c r="AD3707" s="94">
        <f>IF($A3707="",0,$P3707*AG3707)</f>
        <v/>
      </c>
      <c r="AE3707" s="64">
        <f>IF($A3707="","",IFERROR(INDEX(계정매핑!$E$5:$E$504,MATCH($F3707&amp;"",계정매핑!$A$5:$A$504,0))&amp;"","공통비"))</f>
        <v/>
      </c>
      <c r="AF3707" s="64">
        <f>IF($A3707="","",IF(AE3707="직접",IFERROR(INDEX(계정매핑!$F$5:$F$504,MATCH($F3707&amp;"",계정매핑!$A$5:$A$504,0))&amp;"","비귀속"),""))</f>
        <v/>
      </c>
      <c r="AG3707" s="96">
        <f>IF($A3707="",0,IF(AND(AE3707&lt;&gt;"직접",IFERROR(INDEX(계정매핑!$G$5:$G$504,MATCH($F3707&amp;"",계정매핑!$A$5:$A$504,0))&amp;"","")="유지비",COUNTIF(계정대체기준!$A$6:$A$15,$N3707)&gt;0),IFERROR(INDEX(계정대체기준!$E$6:$E$15,MATCH(VALUE($A3707&amp;""),계정대체기준!$D$6:$D$15,0)),0),0))</f>
        <v/>
      </c>
      <c r="AH3707" s="64">
        <f>IF($A3707="","",IF(AD3707=0,"",IF(OR(COUNTIF(계정대체기준!$A$77:$A$86,$N3707)&gt;0,ISNUMBER(MATCH($X3707,계정대체기준!$D$77:$D$86,0)),ISNUMBER(MATCH($F3707,계정대체기준!$D$77:$D$86,0))),"Y","N")))</f>
        <v/>
      </c>
    </row>
    <row r="3708">
      <c r="A3708" s="92" t="n">
        <v>2026</v>
      </c>
      <c r="B3708" s="92" t="n">
        <v>5</v>
      </c>
      <c r="C3708" s="92" t="inlineStr">
        <is>
          <t>5100000986</t>
        </is>
      </c>
      <c r="D3708" s="95" t="n">
        <v>46151</v>
      </c>
      <c r="E3708" s="92" t="inlineStr">
        <is>
          <t>KR</t>
        </is>
      </c>
      <c r="F3708" s="92" t="n">
        <v>62601000</v>
      </c>
      <c r="G3708" s="92" t="n">
        <v>1501</v>
      </c>
      <c r="H3708" s="93" t="n">
        <v>1195000</v>
      </c>
      <c r="I3708" s="92" t="inlineStr">
        <is>
          <t>5월 업무추진 - (법인카드)</t>
        </is>
      </c>
      <c r="J3708" s="92" t="inlineStr">
        <is>
          <t>V10010</t>
        </is>
      </c>
      <c r="K3708" s="92" t="inlineStr">
        <is>
          <t>(법인카드)</t>
        </is>
      </c>
      <c r="M3708" s="9">
        <f>IF($A3708="","",VALUE($A3708&amp;"")*12+VALUE($B3708&amp;""))</f>
        <v/>
      </c>
      <c r="N3708" s="64">
        <f>IF($A3708="","",IFERROR(INDEX(부서매핑!$C$5:$C$504,MATCH($G3708&amp;"",부서매핑!$A$5:$A$504,0)),"미매핑"))</f>
        <v/>
      </c>
      <c r="O3708" s="9">
        <f>IF($A3708="","",N3708&amp;"|"&amp;$F3708)</f>
        <v/>
      </c>
      <c r="P3708" s="94">
        <f>IF($A3708="",0,$H3708*설정!$C$23)</f>
        <v/>
      </c>
      <c r="Q3708" s="64">
        <f>IF($A3708="","",IF(O3708&lt;&gt;원인분석!$C$9,"",IF(AND(M3708&gt;=원인분석!$C$10,M3708&lt;=원인분석!$C$11),"당기",IF(AND(M3708&gt;=원인분석!$C$12,M3708&lt;=원인분석!$C$13),"비교",""))))</f>
        <v/>
      </c>
      <c r="R3708" s="9">
        <f>IF(Q3708="","",$K3708&amp;"")</f>
        <v/>
      </c>
      <c r="S3708" s="9">
        <f>IF(Q3708="","",IF(MATCH(R3708,$R$5:$R$100000,0)=ROW()-4,ROW(),""))</f>
        <v/>
      </c>
      <c r="T3708" s="9">
        <f>IF(Q3708="당기",ABS(P3708)+ROW()/1000000000,"")</f>
        <v/>
      </c>
      <c r="U3708" s="9">
        <f>IF(Q3708="비교",ABS(P3708)+ROW()/1000000000,"")</f>
        <v/>
      </c>
      <c r="V3708" s="64">
        <f>IF($A3708="","",IF(COUNTIF(변동분석!$E$7:$E$506,O3708)&gt;0,"Y","N"))</f>
        <v/>
      </c>
      <c r="W3708" s="64">
        <f>IF($A3708="","",IFERROR(INDEX(계정매핑!$D$5:$D$504,MATCH($F3708&amp;"",계정매핑!$A$5:$A$504,0)),"미매핑"))</f>
        <v/>
      </c>
      <c r="X3708" s="9">
        <f>IF($A3708="","",$F3708&amp;"")</f>
        <v/>
      </c>
      <c r="Y3708" s="94">
        <f>IF($A3708="",0,IF(AE3708="직접",IF(AF3708="비귀속",$P3708,0),$P3708*(1-AG3708)*IFERROR(INDEX(계정대체기준!$F$20:$F$49,MATCH($N3708,계정대체기준!$A$20:$A$49,0)),1)))</f>
        <v/>
      </c>
      <c r="Z3708" s="94">
        <f>IF($A3708="",0,IF(AE3708="직접",IF(AF3708="신계약비",$P3708,0),$P3708*(1-AG3708)*IFERROR(INDEX(계정대체기준!$C$20:$C$49,MATCH($N3708,계정대체기준!$A$20:$A$49,0)),0)))</f>
        <v/>
      </c>
      <c r="AA3708" s="94">
        <f>IF($A3708="",0,IF(AE3708="직접",IF(OR(AF3708="유지비",AF3708="손해조사비"),$P3708,0),$P3708*(1-AG3708)*IFERROR(INDEX(계정대체기준!$D$20:$D$49,MATCH($N3708,계정대체기준!$A$20:$A$49,0)),0)))</f>
        <v/>
      </c>
      <c r="AB3708" s="94">
        <f>IF($A3708="",0,IF(AE3708="직접",IF(AF3708="수금비",$P3708,0),$P3708*(1-AG3708)*IFERROR(INDEX(계정대체기준!$E$20:$E$49,MATCH($N3708,계정대체기준!$A$20:$A$49,0)),0)))</f>
        <v/>
      </c>
      <c r="AC3708" s="9">
        <f>IF(AND($A3708&lt;&gt;"",M3708=설정!$C$20,Z3708&gt;0),Z3708+ROW()/1000000000,"")</f>
        <v/>
      </c>
      <c r="AD3708" s="94">
        <f>IF($A3708="",0,$P3708*AG3708)</f>
        <v/>
      </c>
      <c r="AE3708" s="64">
        <f>IF($A3708="","",IFERROR(INDEX(계정매핑!$E$5:$E$504,MATCH($F3708&amp;"",계정매핑!$A$5:$A$504,0))&amp;"","공통비"))</f>
        <v/>
      </c>
      <c r="AF3708" s="64">
        <f>IF($A3708="","",IF(AE3708="직접",IFERROR(INDEX(계정매핑!$F$5:$F$504,MATCH($F3708&amp;"",계정매핑!$A$5:$A$504,0))&amp;"","비귀속"),""))</f>
        <v/>
      </c>
      <c r="AG3708" s="96">
        <f>IF($A3708="",0,IF(AND(AE3708&lt;&gt;"직접",IFERROR(INDEX(계정매핑!$G$5:$G$504,MATCH($F3708&amp;"",계정매핑!$A$5:$A$504,0))&amp;"","")="유지비",COUNTIF(계정대체기준!$A$6:$A$15,$N3708)&gt;0),IFERROR(INDEX(계정대체기준!$E$6:$E$15,MATCH(VALUE($A3708&amp;""),계정대체기준!$D$6:$D$15,0)),0),0))</f>
        <v/>
      </c>
      <c r="AH3708" s="64">
        <f>IF($A3708="","",IF(AD3708=0,"",IF(OR(COUNTIF(계정대체기준!$A$77:$A$86,$N3708)&gt;0,ISNUMBER(MATCH($X3708,계정대체기준!$D$77:$D$86,0)),ISNUMBER(MATCH($F3708,계정대체기준!$D$77:$D$86,0))),"Y","N")))</f>
        <v/>
      </c>
    </row>
    <row r="3709">
      <c r="A3709" s="92" t="n">
        <v>2026</v>
      </c>
      <c r="B3709" s="92" t="n">
        <v>5</v>
      </c>
      <c r="C3709" s="92" t="inlineStr">
        <is>
          <t>5100000987</t>
        </is>
      </c>
      <c r="D3709" s="95" t="n">
        <v>46151</v>
      </c>
      <c r="E3709" s="92" t="inlineStr">
        <is>
          <t>KR</t>
        </is>
      </c>
      <c r="F3709" s="92" t="n">
        <v>62701000</v>
      </c>
      <c r="G3709" s="92" t="n">
        <v>1501</v>
      </c>
      <c r="H3709" s="93" t="n">
        <v>41597000</v>
      </c>
      <c r="I3709" s="92" t="inlineStr">
        <is>
          <t>5월 광고 집행 - F애드</t>
        </is>
      </c>
      <c r="J3709" s="92" t="inlineStr">
        <is>
          <t>V10023</t>
        </is>
      </c>
      <c r="K3709" s="92" t="inlineStr">
        <is>
          <t>F애드</t>
        </is>
      </c>
      <c r="M3709" s="9">
        <f>IF($A3709="","",VALUE($A3709&amp;"")*12+VALUE($B3709&amp;""))</f>
        <v/>
      </c>
      <c r="N3709" s="64">
        <f>IF($A3709="","",IFERROR(INDEX(부서매핑!$C$5:$C$504,MATCH($G3709&amp;"",부서매핑!$A$5:$A$504,0)),"미매핑"))</f>
        <v/>
      </c>
      <c r="O3709" s="9">
        <f>IF($A3709="","",N3709&amp;"|"&amp;$F3709)</f>
        <v/>
      </c>
      <c r="P3709" s="94">
        <f>IF($A3709="",0,$H3709*설정!$C$23)</f>
        <v/>
      </c>
      <c r="Q3709" s="64">
        <f>IF($A3709="","",IF(O3709&lt;&gt;원인분석!$C$9,"",IF(AND(M3709&gt;=원인분석!$C$10,M3709&lt;=원인분석!$C$11),"당기",IF(AND(M3709&gt;=원인분석!$C$12,M3709&lt;=원인분석!$C$13),"비교",""))))</f>
        <v/>
      </c>
      <c r="R3709" s="9">
        <f>IF(Q3709="","",$K3709&amp;"")</f>
        <v/>
      </c>
      <c r="S3709" s="9">
        <f>IF(Q3709="","",IF(MATCH(R3709,$R$5:$R$100000,0)=ROW()-4,ROW(),""))</f>
        <v/>
      </c>
      <c r="T3709" s="9">
        <f>IF(Q3709="당기",ABS(P3709)+ROW()/1000000000,"")</f>
        <v/>
      </c>
      <c r="U3709" s="9">
        <f>IF(Q3709="비교",ABS(P3709)+ROW()/1000000000,"")</f>
        <v/>
      </c>
      <c r="V3709" s="64">
        <f>IF($A3709="","",IF(COUNTIF(변동분석!$E$7:$E$506,O3709)&gt;0,"Y","N"))</f>
        <v/>
      </c>
      <c r="W3709" s="64">
        <f>IF($A3709="","",IFERROR(INDEX(계정매핑!$D$5:$D$504,MATCH($F3709&amp;"",계정매핑!$A$5:$A$504,0)),"미매핑"))</f>
        <v/>
      </c>
      <c r="X3709" s="9">
        <f>IF($A3709="","",$F3709&amp;"")</f>
        <v/>
      </c>
      <c r="Y3709" s="94">
        <f>IF($A3709="",0,IF(AE3709="직접",IF(AF3709="비귀속",$P3709,0),$P3709*(1-AG3709)*IFERROR(INDEX(계정대체기준!$F$20:$F$49,MATCH($N3709,계정대체기준!$A$20:$A$49,0)),1)))</f>
        <v/>
      </c>
      <c r="Z3709" s="94">
        <f>IF($A3709="",0,IF(AE3709="직접",IF(AF3709="신계약비",$P3709,0),$P3709*(1-AG3709)*IFERROR(INDEX(계정대체기준!$C$20:$C$49,MATCH($N3709,계정대체기준!$A$20:$A$49,0)),0)))</f>
        <v/>
      </c>
      <c r="AA3709" s="94">
        <f>IF($A3709="",0,IF(AE3709="직접",IF(OR(AF3709="유지비",AF3709="손해조사비"),$P3709,0),$P3709*(1-AG3709)*IFERROR(INDEX(계정대체기준!$D$20:$D$49,MATCH($N3709,계정대체기준!$A$20:$A$49,0)),0)))</f>
        <v/>
      </c>
      <c r="AB3709" s="94">
        <f>IF($A3709="",0,IF(AE3709="직접",IF(AF3709="수금비",$P3709,0),$P3709*(1-AG3709)*IFERROR(INDEX(계정대체기준!$E$20:$E$49,MATCH($N3709,계정대체기준!$A$20:$A$49,0)),0)))</f>
        <v/>
      </c>
      <c r="AC3709" s="9">
        <f>IF(AND($A3709&lt;&gt;"",M3709=설정!$C$20,Z3709&gt;0),Z3709+ROW()/1000000000,"")</f>
        <v/>
      </c>
      <c r="AD3709" s="94">
        <f>IF($A3709="",0,$P3709*AG3709)</f>
        <v/>
      </c>
      <c r="AE3709" s="64">
        <f>IF($A3709="","",IFERROR(INDEX(계정매핑!$E$5:$E$504,MATCH($F3709&amp;"",계정매핑!$A$5:$A$504,0))&amp;"","공통비"))</f>
        <v/>
      </c>
      <c r="AF3709" s="64">
        <f>IF($A3709="","",IF(AE3709="직접",IFERROR(INDEX(계정매핑!$F$5:$F$504,MATCH($F3709&amp;"",계정매핑!$A$5:$A$504,0))&amp;"","비귀속"),""))</f>
        <v/>
      </c>
      <c r="AG3709" s="96">
        <f>IF($A3709="",0,IF(AND(AE3709&lt;&gt;"직접",IFERROR(INDEX(계정매핑!$G$5:$G$504,MATCH($F3709&amp;"",계정매핑!$A$5:$A$504,0))&amp;"","")="유지비",COUNTIF(계정대체기준!$A$6:$A$15,$N3709)&gt;0),IFERROR(INDEX(계정대체기준!$E$6:$E$15,MATCH(VALUE($A3709&amp;""),계정대체기준!$D$6:$D$15,0)),0),0))</f>
        <v/>
      </c>
      <c r="AH3709" s="64">
        <f>IF($A3709="","",IF(AD3709=0,"",IF(OR(COUNTIF(계정대체기준!$A$77:$A$86,$N3709)&gt;0,ISNUMBER(MATCH($X3709,계정대체기준!$D$77:$D$86,0)),ISNUMBER(MATCH($F3709,계정대체기준!$D$77:$D$86,0))),"Y","N")))</f>
        <v/>
      </c>
    </row>
    <row r="3710">
      <c r="A3710" s="92" t="n">
        <v>2026</v>
      </c>
      <c r="B3710" s="92" t="n">
        <v>5</v>
      </c>
      <c r="C3710" s="92" t="inlineStr">
        <is>
          <t>5100000988</t>
        </is>
      </c>
      <c r="D3710" s="95" t="n">
        <v>46151</v>
      </c>
      <c r="E3710" s="92" t="inlineStr">
        <is>
          <t>KR</t>
        </is>
      </c>
      <c r="F3710" s="92" t="n">
        <v>63001000</v>
      </c>
      <c r="G3710" s="92" t="n">
        <v>1951</v>
      </c>
      <c r="H3710" s="93" t="n">
        <v>2434000</v>
      </c>
      <c r="I3710" s="92" t="inlineStr">
        <is>
          <t>5월 SW 유지보수 - Y소프트</t>
        </is>
      </c>
      <c r="J3710" s="92" t="inlineStr">
        <is>
          <t>V10017</t>
        </is>
      </c>
      <c r="K3710" s="92" t="inlineStr">
        <is>
          <t>Y소프트</t>
        </is>
      </c>
      <c r="M3710" s="9">
        <f>IF($A3710="","",VALUE($A3710&amp;"")*12+VALUE($B3710&amp;""))</f>
        <v/>
      </c>
      <c r="N3710" s="64">
        <f>IF($A3710="","",IFERROR(INDEX(부서매핑!$C$5:$C$504,MATCH($G3710&amp;"",부서매핑!$A$5:$A$504,0)),"미매핑"))</f>
        <v/>
      </c>
      <c r="O3710" s="9">
        <f>IF($A3710="","",N3710&amp;"|"&amp;$F3710)</f>
        <v/>
      </c>
      <c r="P3710" s="94">
        <f>IF($A3710="",0,$H3710*설정!$C$23)</f>
        <v/>
      </c>
      <c r="Q3710" s="64">
        <f>IF($A3710="","",IF(O3710&lt;&gt;원인분석!$C$9,"",IF(AND(M3710&gt;=원인분석!$C$10,M3710&lt;=원인분석!$C$11),"당기",IF(AND(M3710&gt;=원인분석!$C$12,M3710&lt;=원인분석!$C$13),"비교",""))))</f>
        <v/>
      </c>
      <c r="R3710" s="9">
        <f>IF(Q3710="","",$K3710&amp;"")</f>
        <v/>
      </c>
      <c r="S3710" s="9">
        <f>IF(Q3710="","",IF(MATCH(R3710,$R$5:$R$100000,0)=ROW()-4,ROW(),""))</f>
        <v/>
      </c>
      <c r="T3710" s="9">
        <f>IF(Q3710="당기",ABS(P3710)+ROW()/1000000000,"")</f>
        <v/>
      </c>
      <c r="U3710" s="9">
        <f>IF(Q3710="비교",ABS(P3710)+ROW()/1000000000,"")</f>
        <v/>
      </c>
      <c r="V3710" s="64">
        <f>IF($A3710="","",IF(COUNTIF(변동분석!$E$7:$E$506,O3710)&gt;0,"Y","N"))</f>
        <v/>
      </c>
      <c r="W3710" s="64">
        <f>IF($A3710="","",IFERROR(INDEX(계정매핑!$D$5:$D$504,MATCH($F3710&amp;"",계정매핑!$A$5:$A$504,0)),"미매핑"))</f>
        <v/>
      </c>
      <c r="X3710" s="9">
        <f>IF($A3710="","",$F3710&amp;"")</f>
        <v/>
      </c>
      <c r="Y3710" s="94">
        <f>IF($A3710="",0,IF(AE3710="직접",IF(AF3710="비귀속",$P3710,0),$P3710*(1-AG3710)*IFERROR(INDEX(계정대체기준!$F$20:$F$49,MATCH($N3710,계정대체기준!$A$20:$A$49,0)),1)))</f>
        <v/>
      </c>
      <c r="Z3710" s="94">
        <f>IF($A3710="",0,IF(AE3710="직접",IF(AF3710="신계약비",$P3710,0),$P3710*(1-AG3710)*IFERROR(INDEX(계정대체기준!$C$20:$C$49,MATCH($N3710,계정대체기준!$A$20:$A$49,0)),0)))</f>
        <v/>
      </c>
      <c r="AA3710" s="94">
        <f>IF($A3710="",0,IF(AE3710="직접",IF(OR(AF3710="유지비",AF3710="손해조사비"),$P3710,0),$P3710*(1-AG3710)*IFERROR(INDEX(계정대체기준!$D$20:$D$49,MATCH($N3710,계정대체기준!$A$20:$A$49,0)),0)))</f>
        <v/>
      </c>
      <c r="AB3710" s="94">
        <f>IF($A3710="",0,IF(AE3710="직접",IF(AF3710="수금비",$P3710,0),$P3710*(1-AG3710)*IFERROR(INDEX(계정대체기준!$E$20:$E$49,MATCH($N3710,계정대체기준!$A$20:$A$49,0)),0)))</f>
        <v/>
      </c>
      <c r="AC3710" s="9">
        <f>IF(AND($A3710&lt;&gt;"",M3710=설정!$C$20,Z3710&gt;0),Z3710+ROW()/1000000000,"")</f>
        <v/>
      </c>
      <c r="AD3710" s="94">
        <f>IF($A3710="",0,$P3710*AG3710)</f>
        <v/>
      </c>
      <c r="AE3710" s="64">
        <f>IF($A3710="","",IFERROR(INDEX(계정매핑!$E$5:$E$504,MATCH($F3710&amp;"",계정매핑!$A$5:$A$504,0))&amp;"","공통비"))</f>
        <v/>
      </c>
      <c r="AF3710" s="64">
        <f>IF($A3710="","",IF(AE3710="직접",IFERROR(INDEX(계정매핑!$F$5:$F$504,MATCH($F3710&amp;"",계정매핑!$A$5:$A$504,0))&amp;"","비귀속"),""))</f>
        <v/>
      </c>
      <c r="AG3710" s="96">
        <f>IF($A3710="",0,IF(AND(AE3710&lt;&gt;"직접",IFERROR(INDEX(계정매핑!$G$5:$G$504,MATCH($F3710&amp;"",계정매핑!$A$5:$A$504,0))&amp;"","")="유지비",COUNTIF(계정대체기준!$A$6:$A$15,$N3710)&gt;0),IFERROR(INDEX(계정대체기준!$E$6:$E$15,MATCH(VALUE($A3710&amp;""),계정대체기준!$D$6:$D$15,0)),0),0))</f>
        <v/>
      </c>
      <c r="AH3710" s="64">
        <f>IF($A3710="","",IF(AD3710=0,"",IF(OR(COUNTIF(계정대체기준!$A$77:$A$86,$N3710)&gt;0,ISNUMBER(MATCH($X3710,계정대체기준!$D$77:$D$86,0)),ISNUMBER(MATCH($F3710,계정대체기준!$D$77:$D$86,0))),"Y","N")))</f>
        <v/>
      </c>
    </row>
    <row r="3711">
      <c r="A3711" s="92" t="n">
        <v>2026</v>
      </c>
      <c r="B3711" s="92" t="n">
        <v>5</v>
      </c>
      <c r="C3711" s="92" t="inlineStr">
        <is>
          <t>5100000989</t>
        </is>
      </c>
      <c r="D3711" s="95" t="n">
        <v>46152</v>
      </c>
      <c r="E3711" s="92" t="inlineStr">
        <is>
          <t>KR</t>
        </is>
      </c>
      <c r="F3711" s="92" t="n">
        <v>62101000</v>
      </c>
      <c r="G3711" s="92" t="n">
        <v>1201</v>
      </c>
      <c r="H3711" s="93" t="n">
        <v>212000</v>
      </c>
      <c r="I3711" s="92" t="inlineStr">
        <is>
          <t>5월 국내출장 - L여행사</t>
        </is>
      </c>
      <c r="J3711" s="92" t="inlineStr">
        <is>
          <t>V10018</t>
        </is>
      </c>
      <c r="K3711" s="92" t="inlineStr">
        <is>
          <t>L여행사</t>
        </is>
      </c>
      <c r="M3711" s="9">
        <f>IF($A3711="","",VALUE($A3711&amp;"")*12+VALUE($B3711&amp;""))</f>
        <v/>
      </c>
      <c r="N3711" s="64">
        <f>IF($A3711="","",IFERROR(INDEX(부서매핑!$C$5:$C$504,MATCH($G3711&amp;"",부서매핑!$A$5:$A$504,0)),"미매핑"))</f>
        <v/>
      </c>
      <c r="O3711" s="9">
        <f>IF($A3711="","",N3711&amp;"|"&amp;$F3711)</f>
        <v/>
      </c>
      <c r="P3711" s="94">
        <f>IF($A3711="",0,$H3711*설정!$C$23)</f>
        <v/>
      </c>
      <c r="Q3711" s="64">
        <f>IF($A3711="","",IF(O3711&lt;&gt;원인분석!$C$9,"",IF(AND(M3711&gt;=원인분석!$C$10,M3711&lt;=원인분석!$C$11),"당기",IF(AND(M3711&gt;=원인분석!$C$12,M3711&lt;=원인분석!$C$13),"비교",""))))</f>
        <v/>
      </c>
      <c r="R3711" s="9">
        <f>IF(Q3711="","",$K3711&amp;"")</f>
        <v/>
      </c>
      <c r="S3711" s="9">
        <f>IF(Q3711="","",IF(MATCH(R3711,$R$5:$R$100000,0)=ROW()-4,ROW(),""))</f>
        <v/>
      </c>
      <c r="T3711" s="9">
        <f>IF(Q3711="당기",ABS(P3711)+ROW()/1000000000,"")</f>
        <v/>
      </c>
      <c r="U3711" s="9">
        <f>IF(Q3711="비교",ABS(P3711)+ROW()/1000000000,"")</f>
        <v/>
      </c>
      <c r="V3711" s="64">
        <f>IF($A3711="","",IF(COUNTIF(변동분석!$E$7:$E$506,O3711)&gt;0,"Y","N"))</f>
        <v/>
      </c>
      <c r="W3711" s="64">
        <f>IF($A3711="","",IFERROR(INDEX(계정매핑!$D$5:$D$504,MATCH($F3711&amp;"",계정매핑!$A$5:$A$504,0)),"미매핑"))</f>
        <v/>
      </c>
      <c r="X3711" s="9">
        <f>IF($A3711="","",$F3711&amp;"")</f>
        <v/>
      </c>
      <c r="Y3711" s="94">
        <f>IF($A3711="",0,IF(AE3711="직접",IF(AF3711="비귀속",$P3711,0),$P3711*(1-AG3711)*IFERROR(INDEX(계정대체기준!$F$20:$F$49,MATCH($N3711,계정대체기준!$A$20:$A$49,0)),1)))</f>
        <v/>
      </c>
      <c r="Z3711" s="94">
        <f>IF($A3711="",0,IF(AE3711="직접",IF(AF3711="신계약비",$P3711,0),$P3711*(1-AG3711)*IFERROR(INDEX(계정대체기준!$C$20:$C$49,MATCH($N3711,계정대체기준!$A$20:$A$49,0)),0)))</f>
        <v/>
      </c>
      <c r="AA3711" s="94">
        <f>IF($A3711="",0,IF(AE3711="직접",IF(OR(AF3711="유지비",AF3711="손해조사비"),$P3711,0),$P3711*(1-AG3711)*IFERROR(INDEX(계정대체기준!$D$20:$D$49,MATCH($N3711,계정대체기준!$A$20:$A$49,0)),0)))</f>
        <v/>
      </c>
      <c r="AB3711" s="94">
        <f>IF($A3711="",0,IF(AE3711="직접",IF(AF3711="수금비",$P3711,0),$P3711*(1-AG3711)*IFERROR(INDEX(계정대체기준!$E$20:$E$49,MATCH($N3711,계정대체기준!$A$20:$A$49,0)),0)))</f>
        <v/>
      </c>
      <c r="AC3711" s="9">
        <f>IF(AND($A3711&lt;&gt;"",M3711=설정!$C$20,Z3711&gt;0),Z3711+ROW()/1000000000,"")</f>
        <v/>
      </c>
      <c r="AD3711" s="94">
        <f>IF($A3711="",0,$P3711*AG3711)</f>
        <v/>
      </c>
      <c r="AE3711" s="64">
        <f>IF($A3711="","",IFERROR(INDEX(계정매핑!$E$5:$E$504,MATCH($F3711&amp;"",계정매핑!$A$5:$A$504,0))&amp;"","공통비"))</f>
        <v/>
      </c>
      <c r="AF3711" s="64">
        <f>IF($A3711="","",IF(AE3711="직접",IFERROR(INDEX(계정매핑!$F$5:$F$504,MATCH($F3711&amp;"",계정매핑!$A$5:$A$504,0))&amp;"","비귀속"),""))</f>
        <v/>
      </c>
      <c r="AG3711" s="96">
        <f>IF($A3711="",0,IF(AND(AE3711&lt;&gt;"직접",IFERROR(INDEX(계정매핑!$G$5:$G$504,MATCH($F3711&amp;"",계정매핑!$A$5:$A$504,0))&amp;"","")="유지비",COUNTIF(계정대체기준!$A$6:$A$15,$N3711)&gt;0),IFERROR(INDEX(계정대체기준!$E$6:$E$15,MATCH(VALUE($A3711&amp;""),계정대체기준!$D$6:$D$15,0)),0),0))</f>
        <v/>
      </c>
      <c r="AH3711" s="64">
        <f>IF($A3711="","",IF(AD3711=0,"",IF(OR(COUNTIF(계정대체기준!$A$77:$A$86,$N3711)&gt;0,ISNUMBER(MATCH($X3711,계정대체기준!$D$77:$D$86,0)),ISNUMBER(MATCH($F3711,계정대체기준!$D$77:$D$86,0))),"Y","N")))</f>
        <v/>
      </c>
    </row>
    <row r="3712">
      <c r="A3712" s="92" t="n">
        <v>2026</v>
      </c>
      <c r="B3712" s="92" t="n">
        <v>5</v>
      </c>
      <c r="C3712" s="92" t="inlineStr">
        <is>
          <t>5100000990</t>
        </is>
      </c>
      <c r="D3712" s="95" t="n">
        <v>46152</v>
      </c>
      <c r="E3712" s="92" t="inlineStr">
        <is>
          <t>KR</t>
        </is>
      </c>
      <c r="F3712" s="92" t="n">
        <v>62101000</v>
      </c>
      <c r="G3712" s="92" t="n">
        <v>1201</v>
      </c>
      <c r="H3712" s="93" t="n">
        <v>164000</v>
      </c>
      <c r="I3712" s="92" t="inlineStr">
        <is>
          <t>5월 국내출장 - L여행사</t>
        </is>
      </c>
      <c r="J3712" s="92" t="inlineStr">
        <is>
          <t>V10018</t>
        </is>
      </c>
      <c r="K3712" s="92" t="inlineStr">
        <is>
          <t>L여행사</t>
        </is>
      </c>
      <c r="M3712" s="9">
        <f>IF($A3712="","",VALUE($A3712&amp;"")*12+VALUE($B3712&amp;""))</f>
        <v/>
      </c>
      <c r="N3712" s="64">
        <f>IF($A3712="","",IFERROR(INDEX(부서매핑!$C$5:$C$504,MATCH($G3712&amp;"",부서매핑!$A$5:$A$504,0)),"미매핑"))</f>
        <v/>
      </c>
      <c r="O3712" s="9">
        <f>IF($A3712="","",N3712&amp;"|"&amp;$F3712)</f>
        <v/>
      </c>
      <c r="P3712" s="94">
        <f>IF($A3712="",0,$H3712*설정!$C$23)</f>
        <v/>
      </c>
      <c r="Q3712" s="64">
        <f>IF($A3712="","",IF(O3712&lt;&gt;원인분석!$C$9,"",IF(AND(M3712&gt;=원인분석!$C$10,M3712&lt;=원인분석!$C$11),"당기",IF(AND(M3712&gt;=원인분석!$C$12,M3712&lt;=원인분석!$C$13),"비교",""))))</f>
        <v/>
      </c>
      <c r="R3712" s="9">
        <f>IF(Q3712="","",$K3712&amp;"")</f>
        <v/>
      </c>
      <c r="S3712" s="9">
        <f>IF(Q3712="","",IF(MATCH(R3712,$R$5:$R$100000,0)=ROW()-4,ROW(),""))</f>
        <v/>
      </c>
      <c r="T3712" s="9">
        <f>IF(Q3712="당기",ABS(P3712)+ROW()/1000000000,"")</f>
        <v/>
      </c>
      <c r="U3712" s="9">
        <f>IF(Q3712="비교",ABS(P3712)+ROW()/1000000000,"")</f>
        <v/>
      </c>
      <c r="V3712" s="64">
        <f>IF($A3712="","",IF(COUNTIF(변동분석!$E$7:$E$506,O3712)&gt;0,"Y","N"))</f>
        <v/>
      </c>
      <c r="W3712" s="64">
        <f>IF($A3712="","",IFERROR(INDEX(계정매핑!$D$5:$D$504,MATCH($F3712&amp;"",계정매핑!$A$5:$A$504,0)),"미매핑"))</f>
        <v/>
      </c>
      <c r="X3712" s="9">
        <f>IF($A3712="","",$F3712&amp;"")</f>
        <v/>
      </c>
      <c r="Y3712" s="94">
        <f>IF($A3712="",0,IF(AE3712="직접",IF(AF3712="비귀속",$P3712,0),$P3712*(1-AG3712)*IFERROR(INDEX(계정대체기준!$F$20:$F$49,MATCH($N3712,계정대체기준!$A$20:$A$49,0)),1)))</f>
        <v/>
      </c>
      <c r="Z3712" s="94">
        <f>IF($A3712="",0,IF(AE3712="직접",IF(AF3712="신계약비",$P3712,0),$P3712*(1-AG3712)*IFERROR(INDEX(계정대체기준!$C$20:$C$49,MATCH($N3712,계정대체기준!$A$20:$A$49,0)),0)))</f>
        <v/>
      </c>
      <c r="AA3712" s="94">
        <f>IF($A3712="",0,IF(AE3712="직접",IF(OR(AF3712="유지비",AF3712="손해조사비"),$P3712,0),$P3712*(1-AG3712)*IFERROR(INDEX(계정대체기준!$D$20:$D$49,MATCH($N3712,계정대체기준!$A$20:$A$49,0)),0)))</f>
        <v/>
      </c>
      <c r="AB3712" s="94">
        <f>IF($A3712="",0,IF(AE3712="직접",IF(AF3712="수금비",$P3712,0),$P3712*(1-AG3712)*IFERROR(INDEX(계정대체기준!$E$20:$E$49,MATCH($N3712,계정대체기준!$A$20:$A$49,0)),0)))</f>
        <v/>
      </c>
      <c r="AC3712" s="9">
        <f>IF(AND($A3712&lt;&gt;"",M3712=설정!$C$20,Z3712&gt;0),Z3712+ROW()/1000000000,"")</f>
        <v/>
      </c>
      <c r="AD3712" s="94">
        <f>IF($A3712="",0,$P3712*AG3712)</f>
        <v/>
      </c>
      <c r="AE3712" s="64">
        <f>IF($A3712="","",IFERROR(INDEX(계정매핑!$E$5:$E$504,MATCH($F3712&amp;"",계정매핑!$A$5:$A$504,0))&amp;"","공통비"))</f>
        <v/>
      </c>
      <c r="AF3712" s="64">
        <f>IF($A3712="","",IF(AE3712="직접",IFERROR(INDEX(계정매핑!$F$5:$F$504,MATCH($F3712&amp;"",계정매핑!$A$5:$A$504,0))&amp;"","비귀속"),""))</f>
        <v/>
      </c>
      <c r="AG3712" s="96">
        <f>IF($A3712="",0,IF(AND(AE3712&lt;&gt;"직접",IFERROR(INDEX(계정매핑!$G$5:$G$504,MATCH($F3712&amp;"",계정매핑!$A$5:$A$504,0))&amp;"","")="유지비",COUNTIF(계정대체기준!$A$6:$A$15,$N3712)&gt;0),IFERROR(INDEX(계정대체기준!$E$6:$E$15,MATCH(VALUE($A3712&amp;""),계정대체기준!$D$6:$D$15,0)),0),0))</f>
        <v/>
      </c>
      <c r="AH3712" s="64">
        <f>IF($A3712="","",IF(AD3712=0,"",IF(OR(COUNTIF(계정대체기준!$A$77:$A$86,$N3712)&gt;0,ISNUMBER(MATCH($X3712,계정대체기준!$D$77:$D$86,0)),ISNUMBER(MATCH($F3712,계정대체기준!$D$77:$D$86,0))),"Y","N")))</f>
        <v/>
      </c>
    </row>
    <row r="3713">
      <c r="A3713" s="92" t="n">
        <v>2026</v>
      </c>
      <c r="B3713" s="92" t="n">
        <v>5</v>
      </c>
      <c r="C3713" s="92" t="inlineStr">
        <is>
          <t>5100000991</t>
        </is>
      </c>
      <c r="D3713" s="95" t="n">
        <v>46152</v>
      </c>
      <c r="E3713" s="92" t="inlineStr">
        <is>
          <t>KR</t>
        </is>
      </c>
      <c r="F3713" s="92" t="n">
        <v>62101000</v>
      </c>
      <c r="G3713" s="92" t="n">
        <v>1201</v>
      </c>
      <c r="H3713" s="93" t="n">
        <v>273000</v>
      </c>
      <c r="I3713" s="92" t="inlineStr">
        <is>
          <t>5월 국내출장 - M항공</t>
        </is>
      </c>
      <c r="J3713" s="92" t="inlineStr">
        <is>
          <t>V10001</t>
        </is>
      </c>
      <c r="K3713" s="92" t="inlineStr">
        <is>
          <t>M항공</t>
        </is>
      </c>
      <c r="M3713" s="9">
        <f>IF($A3713="","",VALUE($A3713&amp;"")*12+VALUE($B3713&amp;""))</f>
        <v/>
      </c>
      <c r="N3713" s="64">
        <f>IF($A3713="","",IFERROR(INDEX(부서매핑!$C$5:$C$504,MATCH($G3713&amp;"",부서매핑!$A$5:$A$504,0)),"미매핑"))</f>
        <v/>
      </c>
      <c r="O3713" s="9">
        <f>IF($A3713="","",N3713&amp;"|"&amp;$F3713)</f>
        <v/>
      </c>
      <c r="P3713" s="94">
        <f>IF($A3713="",0,$H3713*설정!$C$23)</f>
        <v/>
      </c>
      <c r="Q3713" s="64">
        <f>IF($A3713="","",IF(O3713&lt;&gt;원인분석!$C$9,"",IF(AND(M3713&gt;=원인분석!$C$10,M3713&lt;=원인분석!$C$11),"당기",IF(AND(M3713&gt;=원인분석!$C$12,M3713&lt;=원인분석!$C$13),"비교",""))))</f>
        <v/>
      </c>
      <c r="R3713" s="9">
        <f>IF(Q3713="","",$K3713&amp;"")</f>
        <v/>
      </c>
      <c r="S3713" s="9">
        <f>IF(Q3713="","",IF(MATCH(R3713,$R$5:$R$100000,0)=ROW()-4,ROW(),""))</f>
        <v/>
      </c>
      <c r="T3713" s="9">
        <f>IF(Q3713="당기",ABS(P3713)+ROW()/1000000000,"")</f>
        <v/>
      </c>
      <c r="U3713" s="9">
        <f>IF(Q3713="비교",ABS(P3713)+ROW()/1000000000,"")</f>
        <v/>
      </c>
      <c r="V3713" s="64">
        <f>IF($A3713="","",IF(COUNTIF(변동분석!$E$7:$E$506,O3713)&gt;0,"Y","N"))</f>
        <v/>
      </c>
      <c r="W3713" s="64">
        <f>IF($A3713="","",IFERROR(INDEX(계정매핑!$D$5:$D$504,MATCH($F3713&amp;"",계정매핑!$A$5:$A$504,0)),"미매핑"))</f>
        <v/>
      </c>
      <c r="X3713" s="9">
        <f>IF($A3713="","",$F3713&amp;"")</f>
        <v/>
      </c>
      <c r="Y3713" s="94">
        <f>IF($A3713="",0,IF(AE3713="직접",IF(AF3713="비귀속",$P3713,0),$P3713*(1-AG3713)*IFERROR(INDEX(계정대체기준!$F$20:$F$49,MATCH($N3713,계정대체기준!$A$20:$A$49,0)),1)))</f>
        <v/>
      </c>
      <c r="Z3713" s="94">
        <f>IF($A3713="",0,IF(AE3713="직접",IF(AF3713="신계약비",$P3713,0),$P3713*(1-AG3713)*IFERROR(INDEX(계정대체기준!$C$20:$C$49,MATCH($N3713,계정대체기준!$A$20:$A$49,0)),0)))</f>
        <v/>
      </c>
      <c r="AA3713" s="94">
        <f>IF($A3713="",0,IF(AE3713="직접",IF(OR(AF3713="유지비",AF3713="손해조사비"),$P3713,0),$P3713*(1-AG3713)*IFERROR(INDEX(계정대체기준!$D$20:$D$49,MATCH($N3713,계정대체기준!$A$20:$A$49,0)),0)))</f>
        <v/>
      </c>
      <c r="AB3713" s="94">
        <f>IF($A3713="",0,IF(AE3713="직접",IF(AF3713="수금비",$P3713,0),$P3713*(1-AG3713)*IFERROR(INDEX(계정대체기준!$E$20:$E$49,MATCH($N3713,계정대체기준!$A$20:$A$49,0)),0)))</f>
        <v/>
      </c>
      <c r="AC3713" s="9">
        <f>IF(AND($A3713&lt;&gt;"",M3713=설정!$C$20,Z3713&gt;0),Z3713+ROW()/1000000000,"")</f>
        <v/>
      </c>
      <c r="AD3713" s="94">
        <f>IF($A3713="",0,$P3713*AG3713)</f>
        <v/>
      </c>
      <c r="AE3713" s="64">
        <f>IF($A3713="","",IFERROR(INDEX(계정매핑!$E$5:$E$504,MATCH($F3713&amp;"",계정매핑!$A$5:$A$504,0))&amp;"","공통비"))</f>
        <v/>
      </c>
      <c r="AF3713" s="64">
        <f>IF($A3713="","",IF(AE3713="직접",IFERROR(INDEX(계정매핑!$F$5:$F$504,MATCH($F3713&amp;"",계정매핑!$A$5:$A$504,0))&amp;"","비귀속"),""))</f>
        <v/>
      </c>
      <c r="AG3713" s="96">
        <f>IF($A3713="",0,IF(AND(AE3713&lt;&gt;"직접",IFERROR(INDEX(계정매핑!$G$5:$G$504,MATCH($F3713&amp;"",계정매핑!$A$5:$A$504,0))&amp;"","")="유지비",COUNTIF(계정대체기준!$A$6:$A$15,$N3713)&gt;0),IFERROR(INDEX(계정대체기준!$E$6:$E$15,MATCH(VALUE($A3713&amp;""),계정대체기준!$D$6:$D$15,0)),0),0))</f>
        <v/>
      </c>
      <c r="AH3713" s="64">
        <f>IF($A3713="","",IF(AD3713=0,"",IF(OR(COUNTIF(계정대체기준!$A$77:$A$86,$N3713)&gt;0,ISNUMBER(MATCH($X3713,계정대체기준!$D$77:$D$86,0)),ISNUMBER(MATCH($F3713,계정대체기준!$D$77:$D$86,0))),"Y","N")))</f>
        <v/>
      </c>
    </row>
    <row r="3714">
      <c r="A3714" s="92" t="n">
        <v>2026</v>
      </c>
      <c r="B3714" s="92" t="n">
        <v>5</v>
      </c>
      <c r="C3714" s="92" t="inlineStr">
        <is>
          <t>5100000992</t>
        </is>
      </c>
      <c r="D3714" s="95" t="n">
        <v>46152</v>
      </c>
      <c r="E3714" s="92" t="inlineStr">
        <is>
          <t>KR</t>
        </is>
      </c>
      <c r="F3714" s="92" t="n">
        <v>62101000</v>
      </c>
      <c r="G3714" s="92" t="n">
        <v>1951</v>
      </c>
      <c r="H3714" s="93" t="n">
        <v>274000</v>
      </c>
      <c r="I3714" s="92" t="inlineStr">
        <is>
          <t>5월 국내출장 - M항공</t>
        </is>
      </c>
      <c r="J3714" s="92" t="inlineStr">
        <is>
          <t>V10001</t>
        </is>
      </c>
      <c r="K3714" s="92" t="inlineStr">
        <is>
          <t>M항공</t>
        </is>
      </c>
      <c r="M3714" s="9">
        <f>IF($A3714="","",VALUE($A3714&amp;"")*12+VALUE($B3714&amp;""))</f>
        <v/>
      </c>
      <c r="N3714" s="64">
        <f>IF($A3714="","",IFERROR(INDEX(부서매핑!$C$5:$C$504,MATCH($G3714&amp;"",부서매핑!$A$5:$A$504,0)),"미매핑"))</f>
        <v/>
      </c>
      <c r="O3714" s="9">
        <f>IF($A3714="","",N3714&amp;"|"&amp;$F3714)</f>
        <v/>
      </c>
      <c r="P3714" s="94">
        <f>IF($A3714="",0,$H3714*설정!$C$23)</f>
        <v/>
      </c>
      <c r="Q3714" s="64">
        <f>IF($A3714="","",IF(O3714&lt;&gt;원인분석!$C$9,"",IF(AND(M3714&gt;=원인분석!$C$10,M3714&lt;=원인분석!$C$11),"당기",IF(AND(M3714&gt;=원인분석!$C$12,M3714&lt;=원인분석!$C$13),"비교",""))))</f>
        <v/>
      </c>
      <c r="R3714" s="9">
        <f>IF(Q3714="","",$K3714&amp;"")</f>
        <v/>
      </c>
      <c r="S3714" s="9">
        <f>IF(Q3714="","",IF(MATCH(R3714,$R$5:$R$100000,0)=ROW()-4,ROW(),""))</f>
        <v/>
      </c>
      <c r="T3714" s="9">
        <f>IF(Q3714="당기",ABS(P3714)+ROW()/1000000000,"")</f>
        <v/>
      </c>
      <c r="U3714" s="9">
        <f>IF(Q3714="비교",ABS(P3714)+ROW()/1000000000,"")</f>
        <v/>
      </c>
      <c r="V3714" s="64">
        <f>IF($A3714="","",IF(COUNTIF(변동분석!$E$7:$E$506,O3714)&gt;0,"Y","N"))</f>
        <v/>
      </c>
      <c r="W3714" s="64">
        <f>IF($A3714="","",IFERROR(INDEX(계정매핑!$D$5:$D$504,MATCH($F3714&amp;"",계정매핑!$A$5:$A$504,0)),"미매핑"))</f>
        <v/>
      </c>
      <c r="X3714" s="9">
        <f>IF($A3714="","",$F3714&amp;"")</f>
        <v/>
      </c>
      <c r="Y3714" s="94">
        <f>IF($A3714="",0,IF(AE3714="직접",IF(AF3714="비귀속",$P3714,0),$P3714*(1-AG3714)*IFERROR(INDEX(계정대체기준!$F$20:$F$49,MATCH($N3714,계정대체기준!$A$20:$A$49,0)),1)))</f>
        <v/>
      </c>
      <c r="Z3714" s="94">
        <f>IF($A3714="",0,IF(AE3714="직접",IF(AF3714="신계약비",$P3714,0),$P3714*(1-AG3714)*IFERROR(INDEX(계정대체기준!$C$20:$C$49,MATCH($N3714,계정대체기준!$A$20:$A$49,0)),0)))</f>
        <v/>
      </c>
      <c r="AA3714" s="94">
        <f>IF($A3714="",0,IF(AE3714="직접",IF(OR(AF3714="유지비",AF3714="손해조사비"),$P3714,0),$P3714*(1-AG3714)*IFERROR(INDEX(계정대체기준!$D$20:$D$49,MATCH($N3714,계정대체기준!$A$20:$A$49,0)),0)))</f>
        <v/>
      </c>
      <c r="AB3714" s="94">
        <f>IF($A3714="",0,IF(AE3714="직접",IF(AF3714="수금비",$P3714,0),$P3714*(1-AG3714)*IFERROR(INDEX(계정대체기준!$E$20:$E$49,MATCH($N3714,계정대체기준!$A$20:$A$49,0)),0)))</f>
        <v/>
      </c>
      <c r="AC3714" s="9">
        <f>IF(AND($A3714&lt;&gt;"",M3714=설정!$C$20,Z3714&gt;0),Z3714+ROW()/1000000000,"")</f>
        <v/>
      </c>
      <c r="AD3714" s="94">
        <f>IF($A3714="",0,$P3714*AG3714)</f>
        <v/>
      </c>
      <c r="AE3714" s="64">
        <f>IF($A3714="","",IFERROR(INDEX(계정매핑!$E$5:$E$504,MATCH($F3714&amp;"",계정매핑!$A$5:$A$504,0))&amp;"","공통비"))</f>
        <v/>
      </c>
      <c r="AF3714" s="64">
        <f>IF($A3714="","",IF(AE3714="직접",IFERROR(INDEX(계정매핑!$F$5:$F$504,MATCH($F3714&amp;"",계정매핑!$A$5:$A$504,0))&amp;"","비귀속"),""))</f>
        <v/>
      </c>
      <c r="AG3714" s="96">
        <f>IF($A3714="",0,IF(AND(AE3714&lt;&gt;"직접",IFERROR(INDEX(계정매핑!$G$5:$G$504,MATCH($F3714&amp;"",계정매핑!$A$5:$A$504,0))&amp;"","")="유지비",COUNTIF(계정대체기준!$A$6:$A$15,$N3714)&gt;0),IFERROR(INDEX(계정대체기준!$E$6:$E$15,MATCH(VALUE($A3714&amp;""),계정대체기준!$D$6:$D$15,0)),0),0))</f>
        <v/>
      </c>
      <c r="AH3714" s="64">
        <f>IF($A3714="","",IF(AD3714=0,"",IF(OR(COUNTIF(계정대체기준!$A$77:$A$86,$N3714)&gt;0,ISNUMBER(MATCH($X3714,계정대체기준!$D$77:$D$86,0)),ISNUMBER(MATCH($F3714,계정대체기준!$D$77:$D$86,0))),"Y","N")))</f>
        <v/>
      </c>
    </row>
    <row r="3715">
      <c r="A3715" s="92" t="n">
        <v>2026</v>
      </c>
      <c r="B3715" s="92" t="n">
        <v>5</v>
      </c>
      <c r="C3715" s="92" t="inlineStr">
        <is>
          <t>5100000993</t>
        </is>
      </c>
      <c r="D3715" s="95" t="n">
        <v>46152</v>
      </c>
      <c r="E3715" s="92" t="inlineStr">
        <is>
          <t>KR</t>
        </is>
      </c>
      <c r="F3715" s="92" t="n">
        <v>62301000</v>
      </c>
      <c r="G3715" s="92" t="n">
        <v>1401</v>
      </c>
      <c r="H3715" s="93" t="n">
        <v>203000</v>
      </c>
      <c r="I3715" s="92" t="inlineStr">
        <is>
          <t>5월 소모품 구입 - Q오피스</t>
        </is>
      </c>
      <c r="J3715" s="92" t="inlineStr">
        <is>
          <t>V10003</t>
        </is>
      </c>
      <c r="K3715" s="92" t="inlineStr">
        <is>
          <t>Q오피스</t>
        </is>
      </c>
      <c r="M3715" s="9">
        <f>IF($A3715="","",VALUE($A3715&amp;"")*12+VALUE($B3715&amp;""))</f>
        <v/>
      </c>
      <c r="N3715" s="64">
        <f>IF($A3715="","",IFERROR(INDEX(부서매핑!$C$5:$C$504,MATCH($G3715&amp;"",부서매핑!$A$5:$A$504,0)),"미매핑"))</f>
        <v/>
      </c>
      <c r="O3715" s="9">
        <f>IF($A3715="","",N3715&amp;"|"&amp;$F3715)</f>
        <v/>
      </c>
      <c r="P3715" s="94">
        <f>IF($A3715="",0,$H3715*설정!$C$23)</f>
        <v/>
      </c>
      <c r="Q3715" s="64">
        <f>IF($A3715="","",IF(O3715&lt;&gt;원인분석!$C$9,"",IF(AND(M3715&gt;=원인분석!$C$10,M3715&lt;=원인분석!$C$11),"당기",IF(AND(M3715&gt;=원인분석!$C$12,M3715&lt;=원인분석!$C$13),"비교",""))))</f>
        <v/>
      </c>
      <c r="R3715" s="9">
        <f>IF(Q3715="","",$K3715&amp;"")</f>
        <v/>
      </c>
      <c r="S3715" s="9">
        <f>IF(Q3715="","",IF(MATCH(R3715,$R$5:$R$100000,0)=ROW()-4,ROW(),""))</f>
        <v/>
      </c>
      <c r="T3715" s="9">
        <f>IF(Q3715="당기",ABS(P3715)+ROW()/1000000000,"")</f>
        <v/>
      </c>
      <c r="U3715" s="9">
        <f>IF(Q3715="비교",ABS(P3715)+ROW()/1000000000,"")</f>
        <v/>
      </c>
      <c r="V3715" s="64">
        <f>IF($A3715="","",IF(COUNTIF(변동분석!$E$7:$E$506,O3715)&gt;0,"Y","N"))</f>
        <v/>
      </c>
      <c r="W3715" s="64">
        <f>IF($A3715="","",IFERROR(INDEX(계정매핑!$D$5:$D$504,MATCH($F3715&amp;"",계정매핑!$A$5:$A$504,0)),"미매핑"))</f>
        <v/>
      </c>
      <c r="X3715" s="9">
        <f>IF($A3715="","",$F3715&amp;"")</f>
        <v/>
      </c>
      <c r="Y3715" s="94">
        <f>IF($A3715="",0,IF(AE3715="직접",IF(AF3715="비귀속",$P3715,0),$P3715*(1-AG3715)*IFERROR(INDEX(계정대체기준!$F$20:$F$49,MATCH($N3715,계정대체기준!$A$20:$A$49,0)),1)))</f>
        <v/>
      </c>
      <c r="Z3715" s="94">
        <f>IF($A3715="",0,IF(AE3715="직접",IF(AF3715="신계약비",$P3715,0),$P3715*(1-AG3715)*IFERROR(INDEX(계정대체기준!$C$20:$C$49,MATCH($N3715,계정대체기준!$A$20:$A$49,0)),0)))</f>
        <v/>
      </c>
      <c r="AA3715" s="94">
        <f>IF($A3715="",0,IF(AE3715="직접",IF(OR(AF3715="유지비",AF3715="손해조사비"),$P3715,0),$P3715*(1-AG3715)*IFERROR(INDEX(계정대체기준!$D$20:$D$49,MATCH($N3715,계정대체기준!$A$20:$A$49,0)),0)))</f>
        <v/>
      </c>
      <c r="AB3715" s="94">
        <f>IF($A3715="",0,IF(AE3715="직접",IF(AF3715="수금비",$P3715,0),$P3715*(1-AG3715)*IFERROR(INDEX(계정대체기준!$E$20:$E$49,MATCH($N3715,계정대체기준!$A$20:$A$49,0)),0)))</f>
        <v/>
      </c>
      <c r="AC3715" s="9">
        <f>IF(AND($A3715&lt;&gt;"",M3715=설정!$C$20,Z3715&gt;0),Z3715+ROW()/1000000000,"")</f>
        <v/>
      </c>
      <c r="AD3715" s="94">
        <f>IF($A3715="",0,$P3715*AG3715)</f>
        <v/>
      </c>
      <c r="AE3715" s="64">
        <f>IF($A3715="","",IFERROR(INDEX(계정매핑!$E$5:$E$504,MATCH($F3715&amp;"",계정매핑!$A$5:$A$504,0))&amp;"","공통비"))</f>
        <v/>
      </c>
      <c r="AF3715" s="64">
        <f>IF($A3715="","",IF(AE3715="직접",IFERROR(INDEX(계정매핑!$F$5:$F$504,MATCH($F3715&amp;"",계정매핑!$A$5:$A$504,0))&amp;"","비귀속"),""))</f>
        <v/>
      </c>
      <c r="AG3715" s="96">
        <f>IF($A3715="",0,IF(AND(AE3715&lt;&gt;"직접",IFERROR(INDEX(계정매핑!$G$5:$G$504,MATCH($F3715&amp;"",계정매핑!$A$5:$A$504,0))&amp;"","")="유지비",COUNTIF(계정대체기준!$A$6:$A$15,$N3715)&gt;0),IFERROR(INDEX(계정대체기준!$E$6:$E$15,MATCH(VALUE($A3715&amp;""),계정대체기준!$D$6:$D$15,0)),0),0))</f>
        <v/>
      </c>
      <c r="AH3715" s="64">
        <f>IF($A3715="","",IF(AD3715=0,"",IF(OR(COUNTIF(계정대체기준!$A$77:$A$86,$N3715)&gt;0,ISNUMBER(MATCH($X3715,계정대체기준!$D$77:$D$86,0)),ISNUMBER(MATCH($F3715,계정대체기준!$D$77:$D$86,0))),"Y","N")))</f>
        <v/>
      </c>
    </row>
    <row r="3716">
      <c r="A3716" s="92" t="n">
        <v>2026</v>
      </c>
      <c r="B3716" s="92" t="n">
        <v>5</v>
      </c>
      <c r="C3716" s="92" t="inlineStr">
        <is>
          <t>5100000994</t>
        </is>
      </c>
      <c r="D3716" s="95" t="n">
        <v>46152</v>
      </c>
      <c r="E3716" s="92" t="inlineStr">
        <is>
          <t>KR</t>
        </is>
      </c>
      <c r="F3716" s="92" t="n">
        <v>62401000</v>
      </c>
      <c r="G3716" s="92" t="n">
        <v>1801</v>
      </c>
      <c r="H3716" s="93" t="n">
        <v>1791000</v>
      </c>
      <c r="I3716" s="92" t="inlineStr">
        <is>
          <t>5월 인쇄물 제작 - S출판</t>
        </is>
      </c>
      <c r="J3716" s="92" t="inlineStr">
        <is>
          <t>V10015</t>
        </is>
      </c>
      <c r="K3716" s="92" t="inlineStr">
        <is>
          <t>S출판</t>
        </is>
      </c>
      <c r="M3716" s="9">
        <f>IF($A3716="","",VALUE($A3716&amp;"")*12+VALUE($B3716&amp;""))</f>
        <v/>
      </c>
      <c r="N3716" s="64">
        <f>IF($A3716="","",IFERROR(INDEX(부서매핑!$C$5:$C$504,MATCH($G3716&amp;"",부서매핑!$A$5:$A$504,0)),"미매핑"))</f>
        <v/>
      </c>
      <c r="O3716" s="9">
        <f>IF($A3716="","",N3716&amp;"|"&amp;$F3716)</f>
        <v/>
      </c>
      <c r="P3716" s="94">
        <f>IF($A3716="",0,$H3716*설정!$C$23)</f>
        <v/>
      </c>
      <c r="Q3716" s="64">
        <f>IF($A3716="","",IF(O3716&lt;&gt;원인분석!$C$9,"",IF(AND(M3716&gt;=원인분석!$C$10,M3716&lt;=원인분석!$C$11),"당기",IF(AND(M3716&gt;=원인분석!$C$12,M3716&lt;=원인분석!$C$13),"비교",""))))</f>
        <v/>
      </c>
      <c r="R3716" s="9">
        <f>IF(Q3716="","",$K3716&amp;"")</f>
        <v/>
      </c>
      <c r="S3716" s="9">
        <f>IF(Q3716="","",IF(MATCH(R3716,$R$5:$R$100000,0)=ROW()-4,ROW(),""))</f>
        <v/>
      </c>
      <c r="T3716" s="9">
        <f>IF(Q3716="당기",ABS(P3716)+ROW()/1000000000,"")</f>
        <v/>
      </c>
      <c r="U3716" s="9">
        <f>IF(Q3716="비교",ABS(P3716)+ROW()/1000000000,"")</f>
        <v/>
      </c>
      <c r="V3716" s="64">
        <f>IF($A3716="","",IF(COUNTIF(변동분석!$E$7:$E$506,O3716)&gt;0,"Y","N"))</f>
        <v/>
      </c>
      <c r="W3716" s="64">
        <f>IF($A3716="","",IFERROR(INDEX(계정매핑!$D$5:$D$504,MATCH($F3716&amp;"",계정매핑!$A$5:$A$504,0)),"미매핑"))</f>
        <v/>
      </c>
      <c r="X3716" s="9">
        <f>IF($A3716="","",$F3716&amp;"")</f>
        <v/>
      </c>
      <c r="Y3716" s="94">
        <f>IF($A3716="",0,IF(AE3716="직접",IF(AF3716="비귀속",$P3716,0),$P3716*(1-AG3716)*IFERROR(INDEX(계정대체기준!$F$20:$F$49,MATCH($N3716,계정대체기준!$A$20:$A$49,0)),1)))</f>
        <v/>
      </c>
      <c r="Z3716" s="94">
        <f>IF($A3716="",0,IF(AE3716="직접",IF(AF3716="신계약비",$P3716,0),$P3716*(1-AG3716)*IFERROR(INDEX(계정대체기준!$C$20:$C$49,MATCH($N3716,계정대체기준!$A$20:$A$49,0)),0)))</f>
        <v/>
      </c>
      <c r="AA3716" s="94">
        <f>IF($A3716="",0,IF(AE3716="직접",IF(OR(AF3716="유지비",AF3716="손해조사비"),$P3716,0),$P3716*(1-AG3716)*IFERROR(INDEX(계정대체기준!$D$20:$D$49,MATCH($N3716,계정대체기준!$A$20:$A$49,0)),0)))</f>
        <v/>
      </c>
      <c r="AB3716" s="94">
        <f>IF($A3716="",0,IF(AE3716="직접",IF(AF3716="수금비",$P3716,0),$P3716*(1-AG3716)*IFERROR(INDEX(계정대체기준!$E$20:$E$49,MATCH($N3716,계정대체기준!$A$20:$A$49,0)),0)))</f>
        <v/>
      </c>
      <c r="AC3716" s="9">
        <f>IF(AND($A3716&lt;&gt;"",M3716=설정!$C$20,Z3716&gt;0),Z3716+ROW()/1000000000,"")</f>
        <v/>
      </c>
      <c r="AD3716" s="94">
        <f>IF($A3716="",0,$P3716*AG3716)</f>
        <v/>
      </c>
      <c r="AE3716" s="64">
        <f>IF($A3716="","",IFERROR(INDEX(계정매핑!$E$5:$E$504,MATCH($F3716&amp;"",계정매핑!$A$5:$A$504,0))&amp;"","공통비"))</f>
        <v/>
      </c>
      <c r="AF3716" s="64">
        <f>IF($A3716="","",IF(AE3716="직접",IFERROR(INDEX(계정매핑!$F$5:$F$504,MATCH($F3716&amp;"",계정매핑!$A$5:$A$504,0))&amp;"","비귀속"),""))</f>
        <v/>
      </c>
      <c r="AG3716" s="96">
        <f>IF($A3716="",0,IF(AND(AE3716&lt;&gt;"직접",IFERROR(INDEX(계정매핑!$G$5:$G$504,MATCH($F3716&amp;"",계정매핑!$A$5:$A$504,0))&amp;"","")="유지비",COUNTIF(계정대체기준!$A$6:$A$15,$N3716)&gt;0),IFERROR(INDEX(계정대체기준!$E$6:$E$15,MATCH(VALUE($A3716&amp;""),계정대체기준!$D$6:$D$15,0)),0),0))</f>
        <v/>
      </c>
      <c r="AH3716" s="64">
        <f>IF($A3716="","",IF(AD3716=0,"",IF(OR(COUNTIF(계정대체기준!$A$77:$A$86,$N3716)&gt;0,ISNUMBER(MATCH($X3716,계정대체기준!$D$77:$D$86,0)),ISNUMBER(MATCH($F3716,계정대체기준!$D$77:$D$86,0))),"Y","N")))</f>
        <v/>
      </c>
    </row>
    <row r="3717">
      <c r="A3717" s="92" t="n">
        <v>2026</v>
      </c>
      <c r="B3717" s="92" t="n">
        <v>5</v>
      </c>
      <c r="C3717" s="92" t="inlineStr">
        <is>
          <t>5100000995</t>
        </is>
      </c>
      <c r="D3717" s="95" t="n">
        <v>46152</v>
      </c>
      <c r="E3717" s="92" t="inlineStr">
        <is>
          <t>KR</t>
        </is>
      </c>
      <c r="F3717" s="92" t="n">
        <v>62501000</v>
      </c>
      <c r="G3717" s="92" t="n">
        <v>1201</v>
      </c>
      <c r="H3717" s="93" t="n">
        <v>76000</v>
      </c>
      <c r="I3717" s="92" t="inlineStr">
        <is>
          <t>5월 회의 다과 - T케이터링</t>
        </is>
      </c>
      <c r="J3717" s="92" t="inlineStr">
        <is>
          <t>V10005</t>
        </is>
      </c>
      <c r="K3717" s="92" t="inlineStr">
        <is>
          <t>T케이터링</t>
        </is>
      </c>
      <c r="M3717" s="9">
        <f>IF($A3717="","",VALUE($A3717&amp;"")*12+VALUE($B3717&amp;""))</f>
        <v/>
      </c>
      <c r="N3717" s="64">
        <f>IF($A3717="","",IFERROR(INDEX(부서매핑!$C$5:$C$504,MATCH($G3717&amp;"",부서매핑!$A$5:$A$504,0)),"미매핑"))</f>
        <v/>
      </c>
      <c r="O3717" s="9">
        <f>IF($A3717="","",N3717&amp;"|"&amp;$F3717)</f>
        <v/>
      </c>
      <c r="P3717" s="94">
        <f>IF($A3717="",0,$H3717*설정!$C$23)</f>
        <v/>
      </c>
      <c r="Q3717" s="64">
        <f>IF($A3717="","",IF(O3717&lt;&gt;원인분석!$C$9,"",IF(AND(M3717&gt;=원인분석!$C$10,M3717&lt;=원인분석!$C$11),"당기",IF(AND(M3717&gt;=원인분석!$C$12,M3717&lt;=원인분석!$C$13),"비교",""))))</f>
        <v/>
      </c>
      <c r="R3717" s="9">
        <f>IF(Q3717="","",$K3717&amp;"")</f>
        <v/>
      </c>
      <c r="S3717" s="9">
        <f>IF(Q3717="","",IF(MATCH(R3717,$R$5:$R$100000,0)=ROW()-4,ROW(),""))</f>
        <v/>
      </c>
      <c r="T3717" s="9">
        <f>IF(Q3717="당기",ABS(P3717)+ROW()/1000000000,"")</f>
        <v/>
      </c>
      <c r="U3717" s="9">
        <f>IF(Q3717="비교",ABS(P3717)+ROW()/1000000000,"")</f>
        <v/>
      </c>
      <c r="V3717" s="64">
        <f>IF($A3717="","",IF(COUNTIF(변동분석!$E$7:$E$506,O3717)&gt;0,"Y","N"))</f>
        <v/>
      </c>
      <c r="W3717" s="64">
        <f>IF($A3717="","",IFERROR(INDEX(계정매핑!$D$5:$D$504,MATCH($F3717&amp;"",계정매핑!$A$5:$A$504,0)),"미매핑"))</f>
        <v/>
      </c>
      <c r="X3717" s="9">
        <f>IF($A3717="","",$F3717&amp;"")</f>
        <v/>
      </c>
      <c r="Y3717" s="94">
        <f>IF($A3717="",0,IF(AE3717="직접",IF(AF3717="비귀속",$P3717,0),$P3717*(1-AG3717)*IFERROR(INDEX(계정대체기준!$F$20:$F$49,MATCH($N3717,계정대체기준!$A$20:$A$49,0)),1)))</f>
        <v/>
      </c>
      <c r="Z3717" s="94">
        <f>IF($A3717="",0,IF(AE3717="직접",IF(AF3717="신계약비",$P3717,0),$P3717*(1-AG3717)*IFERROR(INDEX(계정대체기준!$C$20:$C$49,MATCH($N3717,계정대체기준!$A$20:$A$49,0)),0)))</f>
        <v/>
      </c>
      <c r="AA3717" s="94">
        <f>IF($A3717="",0,IF(AE3717="직접",IF(OR(AF3717="유지비",AF3717="손해조사비"),$P3717,0),$P3717*(1-AG3717)*IFERROR(INDEX(계정대체기준!$D$20:$D$49,MATCH($N3717,계정대체기준!$A$20:$A$49,0)),0)))</f>
        <v/>
      </c>
      <c r="AB3717" s="94">
        <f>IF($A3717="",0,IF(AE3717="직접",IF(AF3717="수금비",$P3717,0),$P3717*(1-AG3717)*IFERROR(INDEX(계정대체기준!$E$20:$E$49,MATCH($N3717,계정대체기준!$A$20:$A$49,0)),0)))</f>
        <v/>
      </c>
      <c r="AC3717" s="9">
        <f>IF(AND($A3717&lt;&gt;"",M3717=설정!$C$20,Z3717&gt;0),Z3717+ROW()/1000000000,"")</f>
        <v/>
      </c>
      <c r="AD3717" s="94">
        <f>IF($A3717="",0,$P3717*AG3717)</f>
        <v/>
      </c>
      <c r="AE3717" s="64">
        <f>IF($A3717="","",IFERROR(INDEX(계정매핑!$E$5:$E$504,MATCH($F3717&amp;"",계정매핑!$A$5:$A$504,0))&amp;"","공통비"))</f>
        <v/>
      </c>
      <c r="AF3717" s="64">
        <f>IF($A3717="","",IF(AE3717="직접",IFERROR(INDEX(계정매핑!$F$5:$F$504,MATCH($F3717&amp;"",계정매핑!$A$5:$A$504,0))&amp;"","비귀속"),""))</f>
        <v/>
      </c>
      <c r="AG3717" s="96">
        <f>IF($A3717="",0,IF(AND(AE3717&lt;&gt;"직접",IFERROR(INDEX(계정매핑!$G$5:$G$504,MATCH($F3717&amp;"",계정매핑!$A$5:$A$504,0))&amp;"","")="유지비",COUNTIF(계정대체기준!$A$6:$A$15,$N3717)&gt;0),IFERROR(INDEX(계정대체기준!$E$6:$E$15,MATCH(VALUE($A3717&amp;""),계정대체기준!$D$6:$D$15,0)),0),0))</f>
        <v/>
      </c>
      <c r="AH3717" s="64">
        <f>IF($A3717="","",IF(AD3717=0,"",IF(OR(COUNTIF(계정대체기준!$A$77:$A$86,$N3717)&gt;0,ISNUMBER(MATCH($X3717,계정대체기준!$D$77:$D$86,0)),ISNUMBER(MATCH($F3717,계정대체기준!$D$77:$D$86,0))),"Y","N")))</f>
        <v/>
      </c>
    </row>
    <row r="3718">
      <c r="A3718" s="92" t="n">
        <v>2026</v>
      </c>
      <c r="B3718" s="92" t="n">
        <v>5</v>
      </c>
      <c r="C3718" s="92" t="inlineStr">
        <is>
          <t>5100000996</t>
        </is>
      </c>
      <c r="D3718" s="95" t="n">
        <v>46152</v>
      </c>
      <c r="E3718" s="92" t="inlineStr">
        <is>
          <t>KR</t>
        </is>
      </c>
      <c r="F3718" s="92" t="n">
        <v>62902000</v>
      </c>
      <c r="G3718" s="92" t="n">
        <v>1101</v>
      </c>
      <c r="H3718" s="93" t="n">
        <v>1220000</v>
      </c>
      <c r="I3718" s="92" t="inlineStr">
        <is>
          <t>5월 업무 위탁 수수료 - X서비스</t>
        </is>
      </c>
      <c r="J3718" s="92" t="inlineStr">
        <is>
          <t>V10020</t>
        </is>
      </c>
      <c r="K3718" s="92" t="inlineStr">
        <is>
          <t>X서비스</t>
        </is>
      </c>
      <c r="M3718" s="9">
        <f>IF($A3718="","",VALUE($A3718&amp;"")*12+VALUE($B3718&amp;""))</f>
        <v/>
      </c>
      <c r="N3718" s="64">
        <f>IF($A3718="","",IFERROR(INDEX(부서매핑!$C$5:$C$504,MATCH($G3718&amp;"",부서매핑!$A$5:$A$504,0)),"미매핑"))</f>
        <v/>
      </c>
      <c r="O3718" s="9">
        <f>IF($A3718="","",N3718&amp;"|"&amp;$F3718)</f>
        <v/>
      </c>
      <c r="P3718" s="94">
        <f>IF($A3718="",0,$H3718*설정!$C$23)</f>
        <v/>
      </c>
      <c r="Q3718" s="64">
        <f>IF($A3718="","",IF(O3718&lt;&gt;원인분석!$C$9,"",IF(AND(M3718&gt;=원인분석!$C$10,M3718&lt;=원인분석!$C$11),"당기",IF(AND(M3718&gt;=원인분석!$C$12,M3718&lt;=원인분석!$C$13),"비교",""))))</f>
        <v/>
      </c>
      <c r="R3718" s="9">
        <f>IF(Q3718="","",$K3718&amp;"")</f>
        <v/>
      </c>
      <c r="S3718" s="9">
        <f>IF(Q3718="","",IF(MATCH(R3718,$R$5:$R$100000,0)=ROW()-4,ROW(),""))</f>
        <v/>
      </c>
      <c r="T3718" s="9">
        <f>IF(Q3718="당기",ABS(P3718)+ROW()/1000000000,"")</f>
        <v/>
      </c>
      <c r="U3718" s="9">
        <f>IF(Q3718="비교",ABS(P3718)+ROW()/1000000000,"")</f>
        <v/>
      </c>
      <c r="V3718" s="64">
        <f>IF($A3718="","",IF(COUNTIF(변동분석!$E$7:$E$506,O3718)&gt;0,"Y","N"))</f>
        <v/>
      </c>
      <c r="W3718" s="64">
        <f>IF($A3718="","",IFERROR(INDEX(계정매핑!$D$5:$D$504,MATCH($F3718&amp;"",계정매핑!$A$5:$A$504,0)),"미매핑"))</f>
        <v/>
      </c>
      <c r="X3718" s="9">
        <f>IF($A3718="","",$F3718&amp;"")</f>
        <v/>
      </c>
      <c r="Y3718" s="94">
        <f>IF($A3718="",0,IF(AE3718="직접",IF(AF3718="비귀속",$P3718,0),$P3718*(1-AG3718)*IFERROR(INDEX(계정대체기준!$F$20:$F$49,MATCH($N3718,계정대체기준!$A$20:$A$49,0)),1)))</f>
        <v/>
      </c>
      <c r="Z3718" s="94">
        <f>IF($A3718="",0,IF(AE3718="직접",IF(AF3718="신계약비",$P3718,0),$P3718*(1-AG3718)*IFERROR(INDEX(계정대체기준!$C$20:$C$49,MATCH($N3718,계정대체기준!$A$20:$A$49,0)),0)))</f>
        <v/>
      </c>
      <c r="AA3718" s="94">
        <f>IF($A3718="",0,IF(AE3718="직접",IF(OR(AF3718="유지비",AF3718="손해조사비"),$P3718,0),$P3718*(1-AG3718)*IFERROR(INDEX(계정대체기준!$D$20:$D$49,MATCH($N3718,계정대체기준!$A$20:$A$49,0)),0)))</f>
        <v/>
      </c>
      <c r="AB3718" s="94">
        <f>IF($A3718="",0,IF(AE3718="직접",IF(AF3718="수금비",$P3718,0),$P3718*(1-AG3718)*IFERROR(INDEX(계정대체기준!$E$20:$E$49,MATCH($N3718,계정대체기준!$A$20:$A$49,0)),0)))</f>
        <v/>
      </c>
      <c r="AC3718" s="9">
        <f>IF(AND($A3718&lt;&gt;"",M3718=설정!$C$20,Z3718&gt;0),Z3718+ROW()/1000000000,"")</f>
        <v/>
      </c>
      <c r="AD3718" s="94">
        <f>IF($A3718="",0,$P3718*AG3718)</f>
        <v/>
      </c>
      <c r="AE3718" s="64">
        <f>IF($A3718="","",IFERROR(INDEX(계정매핑!$E$5:$E$504,MATCH($F3718&amp;"",계정매핑!$A$5:$A$504,0))&amp;"","공통비"))</f>
        <v/>
      </c>
      <c r="AF3718" s="64">
        <f>IF($A3718="","",IF(AE3718="직접",IFERROR(INDEX(계정매핑!$F$5:$F$504,MATCH($F3718&amp;"",계정매핑!$A$5:$A$504,0))&amp;"","비귀속"),""))</f>
        <v/>
      </c>
      <c r="AG3718" s="96">
        <f>IF($A3718="",0,IF(AND(AE3718&lt;&gt;"직접",IFERROR(INDEX(계정매핑!$G$5:$G$504,MATCH($F3718&amp;"",계정매핑!$A$5:$A$504,0))&amp;"","")="유지비",COUNTIF(계정대체기준!$A$6:$A$15,$N3718)&gt;0),IFERROR(INDEX(계정대체기준!$E$6:$E$15,MATCH(VALUE($A3718&amp;""),계정대체기준!$D$6:$D$15,0)),0),0))</f>
        <v/>
      </c>
      <c r="AH3718" s="64">
        <f>IF($A3718="","",IF(AD3718=0,"",IF(OR(COUNTIF(계정대체기준!$A$77:$A$86,$N3718)&gt;0,ISNUMBER(MATCH($X3718,계정대체기준!$D$77:$D$86,0)),ISNUMBER(MATCH($F3718,계정대체기준!$D$77:$D$86,0))),"Y","N")))</f>
        <v/>
      </c>
    </row>
    <row r="3719">
      <c r="A3719" s="92" t="n">
        <v>2026</v>
      </c>
      <c r="B3719" s="92" t="n">
        <v>5</v>
      </c>
      <c r="C3719" s="92" t="inlineStr">
        <is>
          <t>5100000997</t>
        </is>
      </c>
      <c r="D3719" s="95" t="n">
        <v>46152</v>
      </c>
      <c r="E3719" s="92" t="inlineStr">
        <is>
          <t>KR</t>
        </is>
      </c>
      <c r="F3719" s="92" t="n">
        <v>63001000</v>
      </c>
      <c r="G3719" s="92" t="n">
        <v>1701</v>
      </c>
      <c r="H3719" s="93" t="n">
        <v>39280000</v>
      </c>
      <c r="I3719" s="92" t="inlineStr">
        <is>
          <t>5월 SW 유지보수 - Y소프트</t>
        </is>
      </c>
      <c r="J3719" s="92" t="inlineStr">
        <is>
          <t>V10017</t>
        </is>
      </c>
      <c r="K3719" s="92" t="inlineStr">
        <is>
          <t>Y소프트</t>
        </is>
      </c>
      <c r="M3719" s="9">
        <f>IF($A3719="","",VALUE($A3719&amp;"")*12+VALUE($B3719&amp;""))</f>
        <v/>
      </c>
      <c r="N3719" s="64">
        <f>IF($A3719="","",IFERROR(INDEX(부서매핑!$C$5:$C$504,MATCH($G3719&amp;"",부서매핑!$A$5:$A$504,0)),"미매핑"))</f>
        <v/>
      </c>
      <c r="O3719" s="9">
        <f>IF($A3719="","",N3719&amp;"|"&amp;$F3719)</f>
        <v/>
      </c>
      <c r="P3719" s="94">
        <f>IF($A3719="",0,$H3719*설정!$C$23)</f>
        <v/>
      </c>
      <c r="Q3719" s="64">
        <f>IF($A3719="","",IF(O3719&lt;&gt;원인분석!$C$9,"",IF(AND(M3719&gt;=원인분석!$C$10,M3719&lt;=원인분석!$C$11),"당기",IF(AND(M3719&gt;=원인분석!$C$12,M3719&lt;=원인분석!$C$13),"비교",""))))</f>
        <v/>
      </c>
      <c r="R3719" s="9">
        <f>IF(Q3719="","",$K3719&amp;"")</f>
        <v/>
      </c>
      <c r="S3719" s="9">
        <f>IF(Q3719="","",IF(MATCH(R3719,$R$5:$R$100000,0)=ROW()-4,ROW(),""))</f>
        <v/>
      </c>
      <c r="T3719" s="9">
        <f>IF(Q3719="당기",ABS(P3719)+ROW()/1000000000,"")</f>
        <v/>
      </c>
      <c r="U3719" s="9">
        <f>IF(Q3719="비교",ABS(P3719)+ROW()/1000000000,"")</f>
        <v/>
      </c>
      <c r="V3719" s="64">
        <f>IF($A3719="","",IF(COUNTIF(변동분석!$E$7:$E$506,O3719)&gt;0,"Y","N"))</f>
        <v/>
      </c>
      <c r="W3719" s="64">
        <f>IF($A3719="","",IFERROR(INDEX(계정매핑!$D$5:$D$504,MATCH($F3719&amp;"",계정매핑!$A$5:$A$504,0)),"미매핑"))</f>
        <v/>
      </c>
      <c r="X3719" s="9">
        <f>IF($A3719="","",$F3719&amp;"")</f>
        <v/>
      </c>
      <c r="Y3719" s="94">
        <f>IF($A3719="",0,IF(AE3719="직접",IF(AF3719="비귀속",$P3719,0),$P3719*(1-AG3719)*IFERROR(INDEX(계정대체기준!$F$20:$F$49,MATCH($N3719,계정대체기준!$A$20:$A$49,0)),1)))</f>
        <v/>
      </c>
      <c r="Z3719" s="94">
        <f>IF($A3719="",0,IF(AE3719="직접",IF(AF3719="신계약비",$P3719,0),$P3719*(1-AG3719)*IFERROR(INDEX(계정대체기준!$C$20:$C$49,MATCH($N3719,계정대체기준!$A$20:$A$49,0)),0)))</f>
        <v/>
      </c>
      <c r="AA3719" s="94">
        <f>IF($A3719="",0,IF(AE3719="직접",IF(OR(AF3719="유지비",AF3719="손해조사비"),$P3719,0),$P3719*(1-AG3719)*IFERROR(INDEX(계정대체기준!$D$20:$D$49,MATCH($N3719,계정대체기준!$A$20:$A$49,0)),0)))</f>
        <v/>
      </c>
      <c r="AB3719" s="94">
        <f>IF($A3719="",0,IF(AE3719="직접",IF(AF3719="수금비",$P3719,0),$P3719*(1-AG3719)*IFERROR(INDEX(계정대체기준!$E$20:$E$49,MATCH($N3719,계정대체기준!$A$20:$A$49,0)),0)))</f>
        <v/>
      </c>
      <c r="AC3719" s="9">
        <f>IF(AND($A3719&lt;&gt;"",M3719=설정!$C$20,Z3719&gt;0),Z3719+ROW()/1000000000,"")</f>
        <v/>
      </c>
      <c r="AD3719" s="94">
        <f>IF($A3719="",0,$P3719*AG3719)</f>
        <v/>
      </c>
      <c r="AE3719" s="64">
        <f>IF($A3719="","",IFERROR(INDEX(계정매핑!$E$5:$E$504,MATCH($F3719&amp;"",계정매핑!$A$5:$A$504,0))&amp;"","공통비"))</f>
        <v/>
      </c>
      <c r="AF3719" s="64">
        <f>IF($A3719="","",IF(AE3719="직접",IFERROR(INDEX(계정매핑!$F$5:$F$504,MATCH($F3719&amp;"",계정매핑!$A$5:$A$504,0))&amp;"","비귀속"),""))</f>
        <v/>
      </c>
      <c r="AG3719" s="96">
        <f>IF($A3719="",0,IF(AND(AE3719&lt;&gt;"직접",IFERROR(INDEX(계정매핑!$G$5:$G$504,MATCH($F3719&amp;"",계정매핑!$A$5:$A$504,0))&amp;"","")="유지비",COUNTIF(계정대체기준!$A$6:$A$15,$N3719)&gt;0),IFERROR(INDEX(계정대체기준!$E$6:$E$15,MATCH(VALUE($A3719&amp;""),계정대체기준!$D$6:$D$15,0)),0),0))</f>
        <v/>
      </c>
      <c r="AH3719" s="64">
        <f>IF($A3719="","",IF(AD3719=0,"",IF(OR(COUNTIF(계정대체기준!$A$77:$A$86,$N3719)&gt;0,ISNUMBER(MATCH($X3719,계정대체기준!$D$77:$D$86,0)),ISNUMBER(MATCH($F3719,계정대체기준!$D$77:$D$86,0))),"Y","N")))</f>
        <v/>
      </c>
    </row>
    <row r="3720">
      <c r="A3720" s="92" t="n">
        <v>2026</v>
      </c>
      <c r="B3720" s="92" t="n">
        <v>5</v>
      </c>
      <c r="C3720" s="92" t="inlineStr">
        <is>
          <t>5100000998</t>
        </is>
      </c>
      <c r="D3720" s="95" t="n">
        <v>46152</v>
      </c>
      <c r="E3720" s="92" t="inlineStr">
        <is>
          <t>KR</t>
        </is>
      </c>
      <c r="F3720" s="92" t="n">
        <v>63001000</v>
      </c>
      <c r="G3720" s="92" t="n">
        <v>1951</v>
      </c>
      <c r="H3720" s="93" t="n">
        <v>2953000</v>
      </c>
      <c r="I3720" s="92" t="inlineStr">
        <is>
          <t>5월 SW 유지보수 - Y소프트</t>
        </is>
      </c>
      <c r="J3720" s="92" t="inlineStr">
        <is>
          <t>V10017</t>
        </is>
      </c>
      <c r="K3720" s="92" t="inlineStr">
        <is>
          <t>Y소프트</t>
        </is>
      </c>
      <c r="M3720" s="9">
        <f>IF($A3720="","",VALUE($A3720&amp;"")*12+VALUE($B3720&amp;""))</f>
        <v/>
      </c>
      <c r="N3720" s="64">
        <f>IF($A3720="","",IFERROR(INDEX(부서매핑!$C$5:$C$504,MATCH($G3720&amp;"",부서매핑!$A$5:$A$504,0)),"미매핑"))</f>
        <v/>
      </c>
      <c r="O3720" s="9">
        <f>IF($A3720="","",N3720&amp;"|"&amp;$F3720)</f>
        <v/>
      </c>
      <c r="P3720" s="94">
        <f>IF($A3720="",0,$H3720*설정!$C$23)</f>
        <v/>
      </c>
      <c r="Q3720" s="64">
        <f>IF($A3720="","",IF(O3720&lt;&gt;원인분석!$C$9,"",IF(AND(M3720&gt;=원인분석!$C$10,M3720&lt;=원인분석!$C$11),"당기",IF(AND(M3720&gt;=원인분석!$C$12,M3720&lt;=원인분석!$C$13),"비교",""))))</f>
        <v/>
      </c>
      <c r="R3720" s="9">
        <f>IF(Q3720="","",$K3720&amp;"")</f>
        <v/>
      </c>
      <c r="S3720" s="9">
        <f>IF(Q3720="","",IF(MATCH(R3720,$R$5:$R$100000,0)=ROW()-4,ROW(),""))</f>
        <v/>
      </c>
      <c r="T3720" s="9">
        <f>IF(Q3720="당기",ABS(P3720)+ROW()/1000000000,"")</f>
        <v/>
      </c>
      <c r="U3720" s="9">
        <f>IF(Q3720="비교",ABS(P3720)+ROW()/1000000000,"")</f>
        <v/>
      </c>
      <c r="V3720" s="64">
        <f>IF($A3720="","",IF(COUNTIF(변동분석!$E$7:$E$506,O3720)&gt;0,"Y","N"))</f>
        <v/>
      </c>
      <c r="W3720" s="64">
        <f>IF($A3720="","",IFERROR(INDEX(계정매핑!$D$5:$D$504,MATCH($F3720&amp;"",계정매핑!$A$5:$A$504,0)),"미매핑"))</f>
        <v/>
      </c>
      <c r="X3720" s="9">
        <f>IF($A3720="","",$F3720&amp;"")</f>
        <v/>
      </c>
      <c r="Y3720" s="94">
        <f>IF($A3720="",0,IF(AE3720="직접",IF(AF3720="비귀속",$P3720,0),$P3720*(1-AG3720)*IFERROR(INDEX(계정대체기준!$F$20:$F$49,MATCH($N3720,계정대체기준!$A$20:$A$49,0)),1)))</f>
        <v/>
      </c>
      <c r="Z3720" s="94">
        <f>IF($A3720="",0,IF(AE3720="직접",IF(AF3720="신계약비",$P3720,0),$P3720*(1-AG3720)*IFERROR(INDEX(계정대체기준!$C$20:$C$49,MATCH($N3720,계정대체기준!$A$20:$A$49,0)),0)))</f>
        <v/>
      </c>
      <c r="AA3720" s="94">
        <f>IF($A3720="",0,IF(AE3720="직접",IF(OR(AF3720="유지비",AF3720="손해조사비"),$P3720,0),$P3720*(1-AG3720)*IFERROR(INDEX(계정대체기준!$D$20:$D$49,MATCH($N3720,계정대체기준!$A$20:$A$49,0)),0)))</f>
        <v/>
      </c>
      <c r="AB3720" s="94">
        <f>IF($A3720="",0,IF(AE3720="직접",IF(AF3720="수금비",$P3720,0),$P3720*(1-AG3720)*IFERROR(INDEX(계정대체기준!$E$20:$E$49,MATCH($N3720,계정대체기준!$A$20:$A$49,0)),0)))</f>
        <v/>
      </c>
      <c r="AC3720" s="9">
        <f>IF(AND($A3720&lt;&gt;"",M3720=설정!$C$20,Z3720&gt;0),Z3720+ROW()/1000000000,"")</f>
        <v/>
      </c>
      <c r="AD3720" s="94">
        <f>IF($A3720="",0,$P3720*AG3720)</f>
        <v/>
      </c>
      <c r="AE3720" s="64">
        <f>IF($A3720="","",IFERROR(INDEX(계정매핑!$E$5:$E$504,MATCH($F3720&amp;"",계정매핑!$A$5:$A$504,0))&amp;"","공통비"))</f>
        <v/>
      </c>
      <c r="AF3720" s="64">
        <f>IF($A3720="","",IF(AE3720="직접",IFERROR(INDEX(계정매핑!$F$5:$F$504,MATCH($F3720&amp;"",계정매핑!$A$5:$A$504,0))&amp;"","비귀속"),""))</f>
        <v/>
      </c>
      <c r="AG3720" s="96">
        <f>IF($A3720="",0,IF(AND(AE3720&lt;&gt;"직접",IFERROR(INDEX(계정매핑!$G$5:$G$504,MATCH($F3720&amp;"",계정매핑!$A$5:$A$504,0))&amp;"","")="유지비",COUNTIF(계정대체기준!$A$6:$A$15,$N3720)&gt;0),IFERROR(INDEX(계정대체기준!$E$6:$E$15,MATCH(VALUE($A3720&amp;""),계정대체기준!$D$6:$D$15,0)),0),0))</f>
        <v/>
      </c>
      <c r="AH3720" s="64">
        <f>IF($A3720="","",IF(AD3720=0,"",IF(OR(COUNTIF(계정대체기준!$A$77:$A$86,$N3720)&gt;0,ISNUMBER(MATCH($X3720,계정대체기준!$D$77:$D$86,0)),ISNUMBER(MATCH($F3720,계정대체기준!$D$77:$D$86,0))),"Y","N")))</f>
        <v/>
      </c>
    </row>
    <row r="3721">
      <c r="A3721" s="92" t="n">
        <v>2026</v>
      </c>
      <c r="B3721" s="92" t="n">
        <v>5</v>
      </c>
      <c r="C3721" s="92" t="inlineStr">
        <is>
          <t>5100000999</t>
        </is>
      </c>
      <c r="D3721" s="95" t="n">
        <v>46153</v>
      </c>
      <c r="E3721" s="92" t="inlineStr">
        <is>
          <t>KR</t>
        </is>
      </c>
      <c r="F3721" s="92" t="n">
        <v>62401000</v>
      </c>
      <c r="G3721" s="92" t="n">
        <v>1502</v>
      </c>
      <c r="H3721" s="93" t="n">
        <v>1555000</v>
      </c>
      <c r="I3721" s="92" t="inlineStr">
        <is>
          <t>5월 인쇄물 제작 - G인쇄</t>
        </is>
      </c>
      <c r="J3721" s="92" t="inlineStr">
        <is>
          <t>V10004</t>
        </is>
      </c>
      <c r="K3721" s="92" t="inlineStr">
        <is>
          <t>G인쇄</t>
        </is>
      </c>
      <c r="M3721" s="9">
        <f>IF($A3721="","",VALUE($A3721&amp;"")*12+VALUE($B3721&amp;""))</f>
        <v/>
      </c>
      <c r="N3721" s="64">
        <f>IF($A3721="","",IFERROR(INDEX(부서매핑!$C$5:$C$504,MATCH($G3721&amp;"",부서매핑!$A$5:$A$504,0)),"미매핑"))</f>
        <v/>
      </c>
      <c r="O3721" s="9">
        <f>IF($A3721="","",N3721&amp;"|"&amp;$F3721)</f>
        <v/>
      </c>
      <c r="P3721" s="94">
        <f>IF($A3721="",0,$H3721*설정!$C$23)</f>
        <v/>
      </c>
      <c r="Q3721" s="64">
        <f>IF($A3721="","",IF(O3721&lt;&gt;원인분석!$C$9,"",IF(AND(M3721&gt;=원인분석!$C$10,M3721&lt;=원인분석!$C$11),"당기",IF(AND(M3721&gt;=원인분석!$C$12,M3721&lt;=원인분석!$C$13),"비교",""))))</f>
        <v/>
      </c>
      <c r="R3721" s="9">
        <f>IF(Q3721="","",$K3721&amp;"")</f>
        <v/>
      </c>
      <c r="S3721" s="9">
        <f>IF(Q3721="","",IF(MATCH(R3721,$R$5:$R$100000,0)=ROW()-4,ROW(),""))</f>
        <v/>
      </c>
      <c r="T3721" s="9">
        <f>IF(Q3721="당기",ABS(P3721)+ROW()/1000000000,"")</f>
        <v/>
      </c>
      <c r="U3721" s="9">
        <f>IF(Q3721="비교",ABS(P3721)+ROW()/1000000000,"")</f>
        <v/>
      </c>
      <c r="V3721" s="64">
        <f>IF($A3721="","",IF(COUNTIF(변동분석!$E$7:$E$506,O3721)&gt;0,"Y","N"))</f>
        <v/>
      </c>
      <c r="W3721" s="64">
        <f>IF($A3721="","",IFERROR(INDEX(계정매핑!$D$5:$D$504,MATCH($F3721&amp;"",계정매핑!$A$5:$A$504,0)),"미매핑"))</f>
        <v/>
      </c>
      <c r="X3721" s="9">
        <f>IF($A3721="","",$F3721&amp;"")</f>
        <v/>
      </c>
      <c r="Y3721" s="94">
        <f>IF($A3721="",0,IF(AE3721="직접",IF(AF3721="비귀속",$P3721,0),$P3721*(1-AG3721)*IFERROR(INDEX(계정대체기준!$F$20:$F$49,MATCH($N3721,계정대체기준!$A$20:$A$49,0)),1)))</f>
        <v/>
      </c>
      <c r="Z3721" s="94">
        <f>IF($A3721="",0,IF(AE3721="직접",IF(AF3721="신계약비",$P3721,0),$P3721*(1-AG3721)*IFERROR(INDEX(계정대체기준!$C$20:$C$49,MATCH($N3721,계정대체기준!$A$20:$A$49,0)),0)))</f>
        <v/>
      </c>
      <c r="AA3721" s="94">
        <f>IF($A3721="",0,IF(AE3721="직접",IF(OR(AF3721="유지비",AF3721="손해조사비"),$P3721,0),$P3721*(1-AG3721)*IFERROR(INDEX(계정대체기준!$D$20:$D$49,MATCH($N3721,계정대체기준!$A$20:$A$49,0)),0)))</f>
        <v/>
      </c>
      <c r="AB3721" s="94">
        <f>IF($A3721="",0,IF(AE3721="직접",IF(AF3721="수금비",$P3721,0),$P3721*(1-AG3721)*IFERROR(INDEX(계정대체기준!$E$20:$E$49,MATCH($N3721,계정대체기준!$A$20:$A$49,0)),0)))</f>
        <v/>
      </c>
      <c r="AC3721" s="9">
        <f>IF(AND($A3721&lt;&gt;"",M3721=설정!$C$20,Z3721&gt;0),Z3721+ROW()/1000000000,"")</f>
        <v/>
      </c>
      <c r="AD3721" s="94">
        <f>IF($A3721="",0,$P3721*AG3721)</f>
        <v/>
      </c>
      <c r="AE3721" s="64">
        <f>IF($A3721="","",IFERROR(INDEX(계정매핑!$E$5:$E$504,MATCH($F3721&amp;"",계정매핑!$A$5:$A$504,0))&amp;"","공통비"))</f>
        <v/>
      </c>
      <c r="AF3721" s="64">
        <f>IF($A3721="","",IF(AE3721="직접",IFERROR(INDEX(계정매핑!$F$5:$F$504,MATCH($F3721&amp;"",계정매핑!$A$5:$A$504,0))&amp;"","비귀속"),""))</f>
        <v/>
      </c>
      <c r="AG3721" s="96">
        <f>IF($A3721="",0,IF(AND(AE3721&lt;&gt;"직접",IFERROR(INDEX(계정매핑!$G$5:$G$504,MATCH($F3721&amp;"",계정매핑!$A$5:$A$504,0))&amp;"","")="유지비",COUNTIF(계정대체기준!$A$6:$A$15,$N3721)&gt;0),IFERROR(INDEX(계정대체기준!$E$6:$E$15,MATCH(VALUE($A3721&amp;""),계정대체기준!$D$6:$D$15,0)),0),0))</f>
        <v/>
      </c>
      <c r="AH3721" s="64">
        <f>IF($A3721="","",IF(AD3721=0,"",IF(OR(COUNTIF(계정대체기준!$A$77:$A$86,$N3721)&gt;0,ISNUMBER(MATCH($X3721,계정대체기준!$D$77:$D$86,0)),ISNUMBER(MATCH($F3721,계정대체기준!$D$77:$D$86,0))),"Y","N")))</f>
        <v/>
      </c>
    </row>
    <row r="3722">
      <c r="A3722" s="92" t="n">
        <v>2026</v>
      </c>
      <c r="B3722" s="92" t="n">
        <v>5</v>
      </c>
      <c r="C3722" s="92" t="inlineStr">
        <is>
          <t>5100001000</t>
        </is>
      </c>
      <c r="D3722" s="95" t="n">
        <v>46153</v>
      </c>
      <c r="E3722" s="92" t="inlineStr">
        <is>
          <t>KR</t>
        </is>
      </c>
      <c r="F3722" s="92" t="n">
        <v>62902000</v>
      </c>
      <c r="G3722" s="92" t="n">
        <v>1801</v>
      </c>
      <c r="H3722" s="93" t="n">
        <v>1822000</v>
      </c>
      <c r="I3722" s="92" t="inlineStr">
        <is>
          <t>5월 콜 위탁 수수료(건별)</t>
        </is>
      </c>
      <c r="J3722" s="92" t="inlineStr">
        <is>
          <t>V10016</t>
        </is>
      </c>
      <c r="K3722" s="92" t="inlineStr">
        <is>
          <t>J콜센터</t>
        </is>
      </c>
      <c r="M3722" s="9">
        <f>IF($A3722="","",VALUE($A3722&amp;"")*12+VALUE($B3722&amp;""))</f>
        <v/>
      </c>
      <c r="N3722" s="64">
        <f>IF($A3722="","",IFERROR(INDEX(부서매핑!$C$5:$C$504,MATCH($G3722&amp;"",부서매핑!$A$5:$A$504,0)),"미매핑"))</f>
        <v/>
      </c>
      <c r="O3722" s="9">
        <f>IF($A3722="","",N3722&amp;"|"&amp;$F3722)</f>
        <v/>
      </c>
      <c r="P3722" s="94">
        <f>IF($A3722="",0,$H3722*설정!$C$23)</f>
        <v/>
      </c>
      <c r="Q3722" s="64">
        <f>IF($A3722="","",IF(O3722&lt;&gt;원인분석!$C$9,"",IF(AND(M3722&gt;=원인분석!$C$10,M3722&lt;=원인분석!$C$11),"당기",IF(AND(M3722&gt;=원인분석!$C$12,M3722&lt;=원인분석!$C$13),"비교",""))))</f>
        <v/>
      </c>
      <c r="R3722" s="9">
        <f>IF(Q3722="","",$K3722&amp;"")</f>
        <v/>
      </c>
      <c r="S3722" s="9">
        <f>IF(Q3722="","",IF(MATCH(R3722,$R$5:$R$100000,0)=ROW()-4,ROW(),""))</f>
        <v/>
      </c>
      <c r="T3722" s="9">
        <f>IF(Q3722="당기",ABS(P3722)+ROW()/1000000000,"")</f>
        <v/>
      </c>
      <c r="U3722" s="9">
        <f>IF(Q3722="비교",ABS(P3722)+ROW()/1000000000,"")</f>
        <v/>
      </c>
      <c r="V3722" s="64">
        <f>IF($A3722="","",IF(COUNTIF(변동분석!$E$7:$E$506,O3722)&gt;0,"Y","N"))</f>
        <v/>
      </c>
      <c r="W3722" s="64">
        <f>IF($A3722="","",IFERROR(INDEX(계정매핑!$D$5:$D$504,MATCH($F3722&amp;"",계정매핑!$A$5:$A$504,0)),"미매핑"))</f>
        <v/>
      </c>
      <c r="X3722" s="9">
        <f>IF($A3722="","",$F3722&amp;"")</f>
        <v/>
      </c>
      <c r="Y3722" s="94">
        <f>IF($A3722="",0,IF(AE3722="직접",IF(AF3722="비귀속",$P3722,0),$P3722*(1-AG3722)*IFERROR(INDEX(계정대체기준!$F$20:$F$49,MATCH($N3722,계정대체기준!$A$20:$A$49,0)),1)))</f>
        <v/>
      </c>
      <c r="Z3722" s="94">
        <f>IF($A3722="",0,IF(AE3722="직접",IF(AF3722="신계약비",$P3722,0),$P3722*(1-AG3722)*IFERROR(INDEX(계정대체기준!$C$20:$C$49,MATCH($N3722,계정대체기준!$A$20:$A$49,0)),0)))</f>
        <v/>
      </c>
      <c r="AA3722" s="94">
        <f>IF($A3722="",0,IF(AE3722="직접",IF(OR(AF3722="유지비",AF3722="손해조사비"),$P3722,0),$P3722*(1-AG3722)*IFERROR(INDEX(계정대체기준!$D$20:$D$49,MATCH($N3722,계정대체기준!$A$20:$A$49,0)),0)))</f>
        <v/>
      </c>
      <c r="AB3722" s="94">
        <f>IF($A3722="",0,IF(AE3722="직접",IF(AF3722="수금비",$P3722,0),$P3722*(1-AG3722)*IFERROR(INDEX(계정대체기준!$E$20:$E$49,MATCH($N3722,계정대체기준!$A$20:$A$49,0)),0)))</f>
        <v/>
      </c>
      <c r="AC3722" s="9">
        <f>IF(AND($A3722&lt;&gt;"",M3722=설정!$C$20,Z3722&gt;0),Z3722+ROW()/1000000000,"")</f>
        <v/>
      </c>
      <c r="AD3722" s="94">
        <f>IF($A3722="",0,$P3722*AG3722)</f>
        <v/>
      </c>
      <c r="AE3722" s="64">
        <f>IF($A3722="","",IFERROR(INDEX(계정매핑!$E$5:$E$504,MATCH($F3722&amp;"",계정매핑!$A$5:$A$504,0))&amp;"","공통비"))</f>
        <v/>
      </c>
      <c r="AF3722" s="64">
        <f>IF($A3722="","",IF(AE3722="직접",IFERROR(INDEX(계정매핑!$F$5:$F$504,MATCH($F3722&amp;"",계정매핑!$A$5:$A$504,0))&amp;"","비귀속"),""))</f>
        <v/>
      </c>
      <c r="AG3722" s="96">
        <f>IF($A3722="",0,IF(AND(AE3722&lt;&gt;"직접",IFERROR(INDEX(계정매핑!$G$5:$G$504,MATCH($F3722&amp;"",계정매핑!$A$5:$A$504,0))&amp;"","")="유지비",COUNTIF(계정대체기준!$A$6:$A$15,$N3722)&gt;0),IFERROR(INDEX(계정대체기준!$E$6:$E$15,MATCH(VALUE($A3722&amp;""),계정대체기준!$D$6:$D$15,0)),0),0))</f>
        <v/>
      </c>
      <c r="AH3722" s="64">
        <f>IF($A3722="","",IF(AD3722=0,"",IF(OR(COUNTIF(계정대체기준!$A$77:$A$86,$N3722)&gt;0,ISNUMBER(MATCH($X3722,계정대체기준!$D$77:$D$86,0)),ISNUMBER(MATCH($F3722,계정대체기준!$D$77:$D$86,0))),"Y","N")))</f>
        <v/>
      </c>
    </row>
    <row r="3723">
      <c r="A3723" s="92" t="n">
        <v>2026</v>
      </c>
      <c r="B3723" s="92" t="n">
        <v>5</v>
      </c>
      <c r="C3723" s="92" t="inlineStr">
        <is>
          <t>5100001001</t>
        </is>
      </c>
      <c r="D3723" s="95" t="n">
        <v>46154</v>
      </c>
      <c r="E3723" s="92" t="inlineStr">
        <is>
          <t>KR</t>
        </is>
      </c>
      <c r="F3723" s="92" t="n">
        <v>62101000</v>
      </c>
      <c r="G3723" s="92" t="n">
        <v>1501</v>
      </c>
      <c r="H3723" s="93" t="n">
        <v>345000</v>
      </c>
      <c r="I3723" s="92" t="inlineStr">
        <is>
          <t>5월 국내출장 - (법인카드)</t>
        </is>
      </c>
      <c r="J3723" s="92" t="inlineStr">
        <is>
          <t>V10010</t>
        </is>
      </c>
      <c r="K3723" s="92" t="inlineStr">
        <is>
          <t>(법인카드)</t>
        </is>
      </c>
      <c r="M3723" s="9">
        <f>IF($A3723="","",VALUE($A3723&amp;"")*12+VALUE($B3723&amp;""))</f>
        <v/>
      </c>
      <c r="N3723" s="64">
        <f>IF($A3723="","",IFERROR(INDEX(부서매핑!$C$5:$C$504,MATCH($G3723&amp;"",부서매핑!$A$5:$A$504,0)),"미매핑"))</f>
        <v/>
      </c>
      <c r="O3723" s="9">
        <f>IF($A3723="","",N3723&amp;"|"&amp;$F3723)</f>
        <v/>
      </c>
      <c r="P3723" s="94">
        <f>IF($A3723="",0,$H3723*설정!$C$23)</f>
        <v/>
      </c>
      <c r="Q3723" s="64">
        <f>IF($A3723="","",IF(O3723&lt;&gt;원인분석!$C$9,"",IF(AND(M3723&gt;=원인분석!$C$10,M3723&lt;=원인분석!$C$11),"당기",IF(AND(M3723&gt;=원인분석!$C$12,M3723&lt;=원인분석!$C$13),"비교",""))))</f>
        <v/>
      </c>
      <c r="R3723" s="9">
        <f>IF(Q3723="","",$K3723&amp;"")</f>
        <v/>
      </c>
      <c r="S3723" s="9">
        <f>IF(Q3723="","",IF(MATCH(R3723,$R$5:$R$100000,0)=ROW()-4,ROW(),""))</f>
        <v/>
      </c>
      <c r="T3723" s="9">
        <f>IF(Q3723="당기",ABS(P3723)+ROW()/1000000000,"")</f>
        <v/>
      </c>
      <c r="U3723" s="9">
        <f>IF(Q3723="비교",ABS(P3723)+ROW()/1000000000,"")</f>
        <v/>
      </c>
      <c r="V3723" s="64">
        <f>IF($A3723="","",IF(COUNTIF(변동분석!$E$7:$E$506,O3723)&gt;0,"Y","N"))</f>
        <v/>
      </c>
      <c r="W3723" s="64">
        <f>IF($A3723="","",IFERROR(INDEX(계정매핑!$D$5:$D$504,MATCH($F3723&amp;"",계정매핑!$A$5:$A$504,0)),"미매핑"))</f>
        <v/>
      </c>
      <c r="X3723" s="9">
        <f>IF($A3723="","",$F3723&amp;"")</f>
        <v/>
      </c>
      <c r="Y3723" s="94">
        <f>IF($A3723="",0,IF(AE3723="직접",IF(AF3723="비귀속",$P3723,0),$P3723*(1-AG3723)*IFERROR(INDEX(계정대체기준!$F$20:$F$49,MATCH($N3723,계정대체기준!$A$20:$A$49,0)),1)))</f>
        <v/>
      </c>
      <c r="Z3723" s="94">
        <f>IF($A3723="",0,IF(AE3723="직접",IF(AF3723="신계약비",$P3723,0),$P3723*(1-AG3723)*IFERROR(INDEX(계정대체기준!$C$20:$C$49,MATCH($N3723,계정대체기준!$A$20:$A$49,0)),0)))</f>
        <v/>
      </c>
      <c r="AA3723" s="94">
        <f>IF($A3723="",0,IF(AE3723="직접",IF(OR(AF3723="유지비",AF3723="손해조사비"),$P3723,0),$P3723*(1-AG3723)*IFERROR(INDEX(계정대체기준!$D$20:$D$49,MATCH($N3723,계정대체기준!$A$20:$A$49,0)),0)))</f>
        <v/>
      </c>
      <c r="AB3723" s="94">
        <f>IF($A3723="",0,IF(AE3723="직접",IF(AF3723="수금비",$P3723,0),$P3723*(1-AG3723)*IFERROR(INDEX(계정대체기준!$E$20:$E$49,MATCH($N3723,계정대체기준!$A$20:$A$49,0)),0)))</f>
        <v/>
      </c>
      <c r="AC3723" s="9">
        <f>IF(AND($A3723&lt;&gt;"",M3723=설정!$C$20,Z3723&gt;0),Z3723+ROW()/1000000000,"")</f>
        <v/>
      </c>
      <c r="AD3723" s="94">
        <f>IF($A3723="",0,$P3723*AG3723)</f>
        <v/>
      </c>
      <c r="AE3723" s="64">
        <f>IF($A3723="","",IFERROR(INDEX(계정매핑!$E$5:$E$504,MATCH($F3723&amp;"",계정매핑!$A$5:$A$504,0))&amp;"","공통비"))</f>
        <v/>
      </c>
      <c r="AF3723" s="64">
        <f>IF($A3723="","",IF(AE3723="직접",IFERROR(INDEX(계정매핑!$F$5:$F$504,MATCH($F3723&amp;"",계정매핑!$A$5:$A$504,0))&amp;"","비귀속"),""))</f>
        <v/>
      </c>
      <c r="AG3723" s="96">
        <f>IF($A3723="",0,IF(AND(AE3723&lt;&gt;"직접",IFERROR(INDEX(계정매핑!$G$5:$G$504,MATCH($F3723&amp;"",계정매핑!$A$5:$A$504,0))&amp;"","")="유지비",COUNTIF(계정대체기준!$A$6:$A$15,$N3723)&gt;0),IFERROR(INDEX(계정대체기준!$E$6:$E$15,MATCH(VALUE($A3723&amp;""),계정대체기준!$D$6:$D$15,0)),0),0))</f>
        <v/>
      </c>
      <c r="AH3723" s="64">
        <f>IF($A3723="","",IF(AD3723=0,"",IF(OR(COUNTIF(계정대체기준!$A$77:$A$86,$N3723)&gt;0,ISNUMBER(MATCH($X3723,계정대체기준!$D$77:$D$86,0)),ISNUMBER(MATCH($F3723,계정대체기준!$D$77:$D$86,0))),"Y","N")))</f>
        <v/>
      </c>
    </row>
    <row r="3724">
      <c r="A3724" s="92" t="n">
        <v>2026</v>
      </c>
      <c r="B3724" s="92" t="n">
        <v>5</v>
      </c>
      <c r="C3724" s="92" t="inlineStr">
        <is>
          <t>5100001002</t>
        </is>
      </c>
      <c r="D3724" s="95" t="n">
        <v>46154</v>
      </c>
      <c r="E3724" s="92" t="inlineStr">
        <is>
          <t>KR</t>
        </is>
      </c>
      <c r="F3724" s="92" t="n">
        <v>62102000</v>
      </c>
      <c r="G3724" s="92" t="n">
        <v>1101</v>
      </c>
      <c r="H3724" s="93" t="n">
        <v>90000</v>
      </c>
      <c r="I3724" s="92" t="inlineStr">
        <is>
          <t>5월 해외출장 - M항공</t>
        </is>
      </c>
      <c r="J3724" s="92" t="inlineStr">
        <is>
          <t>V10001</t>
        </is>
      </c>
      <c r="K3724" s="92" t="inlineStr">
        <is>
          <t>M항공</t>
        </is>
      </c>
      <c r="M3724" s="9">
        <f>IF($A3724="","",VALUE($A3724&amp;"")*12+VALUE($B3724&amp;""))</f>
        <v/>
      </c>
      <c r="N3724" s="64">
        <f>IF($A3724="","",IFERROR(INDEX(부서매핑!$C$5:$C$504,MATCH($G3724&amp;"",부서매핑!$A$5:$A$504,0)),"미매핑"))</f>
        <v/>
      </c>
      <c r="O3724" s="9">
        <f>IF($A3724="","",N3724&amp;"|"&amp;$F3724)</f>
        <v/>
      </c>
      <c r="P3724" s="94">
        <f>IF($A3724="",0,$H3724*설정!$C$23)</f>
        <v/>
      </c>
      <c r="Q3724" s="64">
        <f>IF($A3724="","",IF(O3724&lt;&gt;원인분석!$C$9,"",IF(AND(M3724&gt;=원인분석!$C$10,M3724&lt;=원인분석!$C$11),"당기",IF(AND(M3724&gt;=원인분석!$C$12,M3724&lt;=원인분석!$C$13),"비교",""))))</f>
        <v/>
      </c>
      <c r="R3724" s="9">
        <f>IF(Q3724="","",$K3724&amp;"")</f>
        <v/>
      </c>
      <c r="S3724" s="9">
        <f>IF(Q3724="","",IF(MATCH(R3724,$R$5:$R$100000,0)=ROW()-4,ROW(),""))</f>
        <v/>
      </c>
      <c r="T3724" s="9">
        <f>IF(Q3724="당기",ABS(P3724)+ROW()/1000000000,"")</f>
        <v/>
      </c>
      <c r="U3724" s="9">
        <f>IF(Q3724="비교",ABS(P3724)+ROW()/1000000000,"")</f>
        <v/>
      </c>
      <c r="V3724" s="64">
        <f>IF($A3724="","",IF(COUNTIF(변동분석!$E$7:$E$506,O3724)&gt;0,"Y","N"))</f>
        <v/>
      </c>
      <c r="W3724" s="64">
        <f>IF($A3724="","",IFERROR(INDEX(계정매핑!$D$5:$D$504,MATCH($F3724&amp;"",계정매핑!$A$5:$A$504,0)),"미매핑"))</f>
        <v/>
      </c>
      <c r="X3724" s="9">
        <f>IF($A3724="","",$F3724&amp;"")</f>
        <v/>
      </c>
      <c r="Y3724" s="94">
        <f>IF($A3724="",0,IF(AE3724="직접",IF(AF3724="비귀속",$P3724,0),$P3724*(1-AG3724)*IFERROR(INDEX(계정대체기준!$F$20:$F$49,MATCH($N3724,계정대체기준!$A$20:$A$49,0)),1)))</f>
        <v/>
      </c>
      <c r="Z3724" s="94">
        <f>IF($A3724="",0,IF(AE3724="직접",IF(AF3724="신계약비",$P3724,0),$P3724*(1-AG3724)*IFERROR(INDEX(계정대체기준!$C$20:$C$49,MATCH($N3724,계정대체기준!$A$20:$A$49,0)),0)))</f>
        <v/>
      </c>
      <c r="AA3724" s="94">
        <f>IF($A3724="",0,IF(AE3724="직접",IF(OR(AF3724="유지비",AF3724="손해조사비"),$P3724,0),$P3724*(1-AG3724)*IFERROR(INDEX(계정대체기준!$D$20:$D$49,MATCH($N3724,계정대체기준!$A$20:$A$49,0)),0)))</f>
        <v/>
      </c>
      <c r="AB3724" s="94">
        <f>IF($A3724="",0,IF(AE3724="직접",IF(AF3724="수금비",$P3724,0),$P3724*(1-AG3724)*IFERROR(INDEX(계정대체기준!$E$20:$E$49,MATCH($N3724,계정대체기준!$A$20:$A$49,0)),0)))</f>
        <v/>
      </c>
      <c r="AC3724" s="9">
        <f>IF(AND($A3724&lt;&gt;"",M3724=설정!$C$20,Z3724&gt;0),Z3724+ROW()/1000000000,"")</f>
        <v/>
      </c>
      <c r="AD3724" s="94">
        <f>IF($A3724="",0,$P3724*AG3724)</f>
        <v/>
      </c>
      <c r="AE3724" s="64">
        <f>IF($A3724="","",IFERROR(INDEX(계정매핑!$E$5:$E$504,MATCH($F3724&amp;"",계정매핑!$A$5:$A$504,0))&amp;"","공통비"))</f>
        <v/>
      </c>
      <c r="AF3724" s="64">
        <f>IF($A3724="","",IF(AE3724="직접",IFERROR(INDEX(계정매핑!$F$5:$F$504,MATCH($F3724&amp;"",계정매핑!$A$5:$A$504,0))&amp;"","비귀속"),""))</f>
        <v/>
      </c>
      <c r="AG3724" s="96">
        <f>IF($A3724="",0,IF(AND(AE3724&lt;&gt;"직접",IFERROR(INDEX(계정매핑!$G$5:$G$504,MATCH($F3724&amp;"",계정매핑!$A$5:$A$504,0))&amp;"","")="유지비",COUNTIF(계정대체기준!$A$6:$A$15,$N3724)&gt;0),IFERROR(INDEX(계정대체기준!$E$6:$E$15,MATCH(VALUE($A3724&amp;""),계정대체기준!$D$6:$D$15,0)),0),0))</f>
        <v/>
      </c>
      <c r="AH3724" s="64">
        <f>IF($A3724="","",IF(AD3724=0,"",IF(OR(COUNTIF(계정대체기준!$A$77:$A$86,$N3724)&gt;0,ISNUMBER(MATCH($X3724,계정대체기준!$D$77:$D$86,0)),ISNUMBER(MATCH($F3724,계정대체기준!$D$77:$D$86,0))),"Y","N")))</f>
        <v/>
      </c>
    </row>
    <row r="3725">
      <c r="A3725" s="92" t="n">
        <v>2026</v>
      </c>
      <c r="B3725" s="92" t="n">
        <v>5</v>
      </c>
      <c r="C3725" s="92" t="inlineStr">
        <is>
          <t>5100001003</t>
        </is>
      </c>
      <c r="D3725" s="95" t="n">
        <v>46154</v>
      </c>
      <c r="E3725" s="92" t="inlineStr">
        <is>
          <t>KR</t>
        </is>
      </c>
      <c r="F3725" s="92" t="n">
        <v>62102000</v>
      </c>
      <c r="G3725" s="92" t="n">
        <v>1201</v>
      </c>
      <c r="H3725" s="93" t="n">
        <v>69000</v>
      </c>
      <c r="I3725" s="92" t="inlineStr">
        <is>
          <t>5월 해외출장 - M항공</t>
        </is>
      </c>
      <c r="J3725" s="92" t="inlineStr">
        <is>
          <t>V10001</t>
        </is>
      </c>
      <c r="K3725" s="92" t="inlineStr">
        <is>
          <t>M항공</t>
        </is>
      </c>
      <c r="M3725" s="9">
        <f>IF($A3725="","",VALUE($A3725&amp;"")*12+VALUE($B3725&amp;""))</f>
        <v/>
      </c>
      <c r="N3725" s="64">
        <f>IF($A3725="","",IFERROR(INDEX(부서매핑!$C$5:$C$504,MATCH($G3725&amp;"",부서매핑!$A$5:$A$504,0)),"미매핑"))</f>
        <v/>
      </c>
      <c r="O3725" s="9">
        <f>IF($A3725="","",N3725&amp;"|"&amp;$F3725)</f>
        <v/>
      </c>
      <c r="P3725" s="94">
        <f>IF($A3725="",0,$H3725*설정!$C$23)</f>
        <v/>
      </c>
      <c r="Q3725" s="64">
        <f>IF($A3725="","",IF(O3725&lt;&gt;원인분석!$C$9,"",IF(AND(M3725&gt;=원인분석!$C$10,M3725&lt;=원인분석!$C$11),"당기",IF(AND(M3725&gt;=원인분석!$C$12,M3725&lt;=원인분석!$C$13),"비교",""))))</f>
        <v/>
      </c>
      <c r="R3725" s="9">
        <f>IF(Q3725="","",$K3725&amp;"")</f>
        <v/>
      </c>
      <c r="S3725" s="9">
        <f>IF(Q3725="","",IF(MATCH(R3725,$R$5:$R$100000,0)=ROW()-4,ROW(),""))</f>
        <v/>
      </c>
      <c r="T3725" s="9">
        <f>IF(Q3725="당기",ABS(P3725)+ROW()/1000000000,"")</f>
        <v/>
      </c>
      <c r="U3725" s="9">
        <f>IF(Q3725="비교",ABS(P3725)+ROW()/1000000000,"")</f>
        <v/>
      </c>
      <c r="V3725" s="64">
        <f>IF($A3725="","",IF(COUNTIF(변동분석!$E$7:$E$506,O3725)&gt;0,"Y","N"))</f>
        <v/>
      </c>
      <c r="W3725" s="64">
        <f>IF($A3725="","",IFERROR(INDEX(계정매핑!$D$5:$D$504,MATCH($F3725&amp;"",계정매핑!$A$5:$A$504,0)),"미매핑"))</f>
        <v/>
      </c>
      <c r="X3725" s="9">
        <f>IF($A3725="","",$F3725&amp;"")</f>
        <v/>
      </c>
      <c r="Y3725" s="94">
        <f>IF($A3725="",0,IF(AE3725="직접",IF(AF3725="비귀속",$P3725,0),$P3725*(1-AG3725)*IFERROR(INDEX(계정대체기준!$F$20:$F$49,MATCH($N3725,계정대체기준!$A$20:$A$49,0)),1)))</f>
        <v/>
      </c>
      <c r="Z3725" s="94">
        <f>IF($A3725="",0,IF(AE3725="직접",IF(AF3725="신계약비",$P3725,0),$P3725*(1-AG3725)*IFERROR(INDEX(계정대체기준!$C$20:$C$49,MATCH($N3725,계정대체기준!$A$20:$A$49,0)),0)))</f>
        <v/>
      </c>
      <c r="AA3725" s="94">
        <f>IF($A3725="",0,IF(AE3725="직접",IF(OR(AF3725="유지비",AF3725="손해조사비"),$P3725,0),$P3725*(1-AG3725)*IFERROR(INDEX(계정대체기준!$D$20:$D$49,MATCH($N3725,계정대체기준!$A$20:$A$49,0)),0)))</f>
        <v/>
      </c>
      <c r="AB3725" s="94">
        <f>IF($A3725="",0,IF(AE3725="직접",IF(AF3725="수금비",$P3725,0),$P3725*(1-AG3725)*IFERROR(INDEX(계정대체기준!$E$20:$E$49,MATCH($N3725,계정대체기준!$A$20:$A$49,0)),0)))</f>
        <v/>
      </c>
      <c r="AC3725" s="9">
        <f>IF(AND($A3725&lt;&gt;"",M3725=설정!$C$20,Z3725&gt;0),Z3725+ROW()/1000000000,"")</f>
        <v/>
      </c>
      <c r="AD3725" s="94">
        <f>IF($A3725="",0,$P3725*AG3725)</f>
        <v/>
      </c>
      <c r="AE3725" s="64">
        <f>IF($A3725="","",IFERROR(INDEX(계정매핑!$E$5:$E$504,MATCH($F3725&amp;"",계정매핑!$A$5:$A$504,0))&amp;"","공통비"))</f>
        <v/>
      </c>
      <c r="AF3725" s="64">
        <f>IF($A3725="","",IF(AE3725="직접",IFERROR(INDEX(계정매핑!$F$5:$F$504,MATCH($F3725&amp;"",계정매핑!$A$5:$A$504,0))&amp;"","비귀속"),""))</f>
        <v/>
      </c>
      <c r="AG3725" s="96">
        <f>IF($A3725="",0,IF(AND(AE3725&lt;&gt;"직접",IFERROR(INDEX(계정매핑!$G$5:$G$504,MATCH($F3725&amp;"",계정매핑!$A$5:$A$504,0))&amp;"","")="유지비",COUNTIF(계정대체기준!$A$6:$A$15,$N3725)&gt;0),IFERROR(INDEX(계정대체기준!$E$6:$E$15,MATCH(VALUE($A3725&amp;""),계정대체기준!$D$6:$D$15,0)),0),0))</f>
        <v/>
      </c>
      <c r="AH3725" s="64">
        <f>IF($A3725="","",IF(AD3725=0,"",IF(OR(COUNTIF(계정대체기준!$A$77:$A$86,$N3725)&gt;0,ISNUMBER(MATCH($X3725,계정대체기준!$D$77:$D$86,0)),ISNUMBER(MATCH($F3725,계정대체기준!$D$77:$D$86,0))),"Y","N")))</f>
        <v/>
      </c>
    </row>
    <row r="3726">
      <c r="A3726" s="92" t="n">
        <v>2026</v>
      </c>
      <c r="B3726" s="92" t="n">
        <v>5</v>
      </c>
      <c r="C3726" s="92" t="inlineStr">
        <is>
          <t>5100001004</t>
        </is>
      </c>
      <c r="D3726" s="95" t="n">
        <v>46154</v>
      </c>
      <c r="E3726" s="92" t="inlineStr">
        <is>
          <t>KR</t>
        </is>
      </c>
      <c r="F3726" s="92" t="n">
        <v>62201000</v>
      </c>
      <c r="G3726" s="92" t="n">
        <v>1501</v>
      </c>
      <c r="H3726" s="93" t="n">
        <v>503000</v>
      </c>
      <c r="I3726" s="92" t="inlineStr">
        <is>
          <t>5월 통신요금 - P통신</t>
        </is>
      </c>
      <c r="J3726" s="92" t="inlineStr">
        <is>
          <t>V10014</t>
        </is>
      </c>
      <c r="K3726" s="92" t="inlineStr">
        <is>
          <t>P통신</t>
        </is>
      </c>
      <c r="M3726" s="9">
        <f>IF($A3726="","",VALUE($A3726&amp;"")*12+VALUE($B3726&amp;""))</f>
        <v/>
      </c>
      <c r="N3726" s="64">
        <f>IF($A3726="","",IFERROR(INDEX(부서매핑!$C$5:$C$504,MATCH($G3726&amp;"",부서매핑!$A$5:$A$504,0)),"미매핑"))</f>
        <v/>
      </c>
      <c r="O3726" s="9">
        <f>IF($A3726="","",N3726&amp;"|"&amp;$F3726)</f>
        <v/>
      </c>
      <c r="P3726" s="94">
        <f>IF($A3726="",0,$H3726*설정!$C$23)</f>
        <v/>
      </c>
      <c r="Q3726" s="64">
        <f>IF($A3726="","",IF(O3726&lt;&gt;원인분석!$C$9,"",IF(AND(M3726&gt;=원인분석!$C$10,M3726&lt;=원인분석!$C$11),"당기",IF(AND(M3726&gt;=원인분석!$C$12,M3726&lt;=원인분석!$C$13),"비교",""))))</f>
        <v/>
      </c>
      <c r="R3726" s="9">
        <f>IF(Q3726="","",$K3726&amp;"")</f>
        <v/>
      </c>
      <c r="S3726" s="9">
        <f>IF(Q3726="","",IF(MATCH(R3726,$R$5:$R$100000,0)=ROW()-4,ROW(),""))</f>
        <v/>
      </c>
      <c r="T3726" s="9">
        <f>IF(Q3726="당기",ABS(P3726)+ROW()/1000000000,"")</f>
        <v/>
      </c>
      <c r="U3726" s="9">
        <f>IF(Q3726="비교",ABS(P3726)+ROW()/1000000000,"")</f>
        <v/>
      </c>
      <c r="V3726" s="64">
        <f>IF($A3726="","",IF(COUNTIF(변동분석!$E$7:$E$506,O3726)&gt;0,"Y","N"))</f>
        <v/>
      </c>
      <c r="W3726" s="64">
        <f>IF($A3726="","",IFERROR(INDEX(계정매핑!$D$5:$D$504,MATCH($F3726&amp;"",계정매핑!$A$5:$A$504,0)),"미매핑"))</f>
        <v/>
      </c>
      <c r="X3726" s="9">
        <f>IF($A3726="","",$F3726&amp;"")</f>
        <v/>
      </c>
      <c r="Y3726" s="94">
        <f>IF($A3726="",0,IF(AE3726="직접",IF(AF3726="비귀속",$P3726,0),$P3726*(1-AG3726)*IFERROR(INDEX(계정대체기준!$F$20:$F$49,MATCH($N3726,계정대체기준!$A$20:$A$49,0)),1)))</f>
        <v/>
      </c>
      <c r="Z3726" s="94">
        <f>IF($A3726="",0,IF(AE3726="직접",IF(AF3726="신계약비",$P3726,0),$P3726*(1-AG3726)*IFERROR(INDEX(계정대체기준!$C$20:$C$49,MATCH($N3726,계정대체기준!$A$20:$A$49,0)),0)))</f>
        <v/>
      </c>
      <c r="AA3726" s="94">
        <f>IF($A3726="",0,IF(AE3726="직접",IF(OR(AF3726="유지비",AF3726="손해조사비"),$P3726,0),$P3726*(1-AG3726)*IFERROR(INDEX(계정대체기준!$D$20:$D$49,MATCH($N3726,계정대체기준!$A$20:$A$49,0)),0)))</f>
        <v/>
      </c>
      <c r="AB3726" s="94">
        <f>IF($A3726="",0,IF(AE3726="직접",IF(AF3726="수금비",$P3726,0),$P3726*(1-AG3726)*IFERROR(INDEX(계정대체기준!$E$20:$E$49,MATCH($N3726,계정대체기준!$A$20:$A$49,0)),0)))</f>
        <v/>
      </c>
      <c r="AC3726" s="9">
        <f>IF(AND($A3726&lt;&gt;"",M3726=설정!$C$20,Z3726&gt;0),Z3726+ROW()/1000000000,"")</f>
        <v/>
      </c>
      <c r="AD3726" s="94">
        <f>IF($A3726="",0,$P3726*AG3726)</f>
        <v/>
      </c>
      <c r="AE3726" s="64">
        <f>IF($A3726="","",IFERROR(INDEX(계정매핑!$E$5:$E$504,MATCH($F3726&amp;"",계정매핑!$A$5:$A$504,0))&amp;"","공통비"))</f>
        <v/>
      </c>
      <c r="AF3726" s="64">
        <f>IF($A3726="","",IF(AE3726="직접",IFERROR(INDEX(계정매핑!$F$5:$F$504,MATCH($F3726&amp;"",계정매핑!$A$5:$A$504,0))&amp;"","비귀속"),""))</f>
        <v/>
      </c>
      <c r="AG3726" s="96">
        <f>IF($A3726="",0,IF(AND(AE3726&lt;&gt;"직접",IFERROR(INDEX(계정매핑!$G$5:$G$504,MATCH($F3726&amp;"",계정매핑!$A$5:$A$504,0))&amp;"","")="유지비",COUNTIF(계정대체기준!$A$6:$A$15,$N3726)&gt;0),IFERROR(INDEX(계정대체기준!$E$6:$E$15,MATCH(VALUE($A3726&amp;""),계정대체기준!$D$6:$D$15,0)),0),0))</f>
        <v/>
      </c>
      <c r="AH3726" s="64">
        <f>IF($A3726="","",IF(AD3726=0,"",IF(OR(COUNTIF(계정대체기준!$A$77:$A$86,$N3726)&gt;0,ISNUMBER(MATCH($X3726,계정대체기준!$D$77:$D$86,0)),ISNUMBER(MATCH($F3726,계정대체기준!$D$77:$D$86,0))),"Y","N")))</f>
        <v/>
      </c>
    </row>
    <row r="3727">
      <c r="A3727" s="92" t="n">
        <v>2026</v>
      </c>
      <c r="B3727" s="92" t="n">
        <v>5</v>
      </c>
      <c r="C3727" s="92" t="inlineStr">
        <is>
          <t>5100001005</t>
        </is>
      </c>
      <c r="D3727" s="95" t="n">
        <v>46154</v>
      </c>
      <c r="E3727" s="92" t="inlineStr">
        <is>
          <t>KR</t>
        </is>
      </c>
      <c r="F3727" s="92" t="n">
        <v>62301000</v>
      </c>
      <c r="G3727" s="92" t="n">
        <v>1201</v>
      </c>
      <c r="H3727" s="93" t="n">
        <v>249000</v>
      </c>
      <c r="I3727" s="92" t="inlineStr">
        <is>
          <t>5월 소모품 구입 - R문구</t>
        </is>
      </c>
      <c r="J3727" s="92" t="inlineStr">
        <is>
          <t>V10022</t>
        </is>
      </c>
      <c r="K3727" s="92" t="inlineStr">
        <is>
          <t>R문구</t>
        </is>
      </c>
      <c r="M3727" s="9">
        <f>IF($A3727="","",VALUE($A3727&amp;"")*12+VALUE($B3727&amp;""))</f>
        <v/>
      </c>
      <c r="N3727" s="64">
        <f>IF($A3727="","",IFERROR(INDEX(부서매핑!$C$5:$C$504,MATCH($G3727&amp;"",부서매핑!$A$5:$A$504,0)),"미매핑"))</f>
        <v/>
      </c>
      <c r="O3727" s="9">
        <f>IF($A3727="","",N3727&amp;"|"&amp;$F3727)</f>
        <v/>
      </c>
      <c r="P3727" s="94">
        <f>IF($A3727="",0,$H3727*설정!$C$23)</f>
        <v/>
      </c>
      <c r="Q3727" s="64">
        <f>IF($A3727="","",IF(O3727&lt;&gt;원인분석!$C$9,"",IF(AND(M3727&gt;=원인분석!$C$10,M3727&lt;=원인분석!$C$11),"당기",IF(AND(M3727&gt;=원인분석!$C$12,M3727&lt;=원인분석!$C$13),"비교",""))))</f>
        <v/>
      </c>
      <c r="R3727" s="9">
        <f>IF(Q3727="","",$K3727&amp;"")</f>
        <v/>
      </c>
      <c r="S3727" s="9">
        <f>IF(Q3727="","",IF(MATCH(R3727,$R$5:$R$100000,0)=ROW()-4,ROW(),""))</f>
        <v/>
      </c>
      <c r="T3727" s="9">
        <f>IF(Q3727="당기",ABS(P3727)+ROW()/1000000000,"")</f>
        <v/>
      </c>
      <c r="U3727" s="9">
        <f>IF(Q3727="비교",ABS(P3727)+ROW()/1000000000,"")</f>
        <v/>
      </c>
      <c r="V3727" s="64">
        <f>IF($A3727="","",IF(COUNTIF(변동분석!$E$7:$E$506,O3727)&gt;0,"Y","N"))</f>
        <v/>
      </c>
      <c r="W3727" s="64">
        <f>IF($A3727="","",IFERROR(INDEX(계정매핑!$D$5:$D$504,MATCH($F3727&amp;"",계정매핑!$A$5:$A$504,0)),"미매핑"))</f>
        <v/>
      </c>
      <c r="X3727" s="9">
        <f>IF($A3727="","",$F3727&amp;"")</f>
        <v/>
      </c>
      <c r="Y3727" s="94">
        <f>IF($A3727="",0,IF(AE3727="직접",IF(AF3727="비귀속",$P3727,0),$P3727*(1-AG3727)*IFERROR(INDEX(계정대체기준!$F$20:$F$49,MATCH($N3727,계정대체기준!$A$20:$A$49,0)),1)))</f>
        <v/>
      </c>
      <c r="Z3727" s="94">
        <f>IF($A3727="",0,IF(AE3727="직접",IF(AF3727="신계약비",$P3727,0),$P3727*(1-AG3727)*IFERROR(INDEX(계정대체기준!$C$20:$C$49,MATCH($N3727,계정대체기준!$A$20:$A$49,0)),0)))</f>
        <v/>
      </c>
      <c r="AA3727" s="94">
        <f>IF($A3727="",0,IF(AE3727="직접",IF(OR(AF3727="유지비",AF3727="손해조사비"),$P3727,0),$P3727*(1-AG3727)*IFERROR(INDEX(계정대체기준!$D$20:$D$49,MATCH($N3727,계정대체기준!$A$20:$A$49,0)),0)))</f>
        <v/>
      </c>
      <c r="AB3727" s="94">
        <f>IF($A3727="",0,IF(AE3727="직접",IF(AF3727="수금비",$P3727,0),$P3727*(1-AG3727)*IFERROR(INDEX(계정대체기준!$E$20:$E$49,MATCH($N3727,계정대체기준!$A$20:$A$49,0)),0)))</f>
        <v/>
      </c>
      <c r="AC3727" s="9">
        <f>IF(AND($A3727&lt;&gt;"",M3727=설정!$C$20,Z3727&gt;0),Z3727+ROW()/1000000000,"")</f>
        <v/>
      </c>
      <c r="AD3727" s="94">
        <f>IF($A3727="",0,$P3727*AG3727)</f>
        <v/>
      </c>
      <c r="AE3727" s="64">
        <f>IF($A3727="","",IFERROR(INDEX(계정매핑!$E$5:$E$504,MATCH($F3727&amp;"",계정매핑!$A$5:$A$504,0))&amp;"","공통비"))</f>
        <v/>
      </c>
      <c r="AF3727" s="64">
        <f>IF($A3727="","",IF(AE3727="직접",IFERROR(INDEX(계정매핑!$F$5:$F$504,MATCH($F3727&amp;"",계정매핑!$A$5:$A$504,0))&amp;"","비귀속"),""))</f>
        <v/>
      </c>
      <c r="AG3727" s="96">
        <f>IF($A3727="",0,IF(AND(AE3727&lt;&gt;"직접",IFERROR(INDEX(계정매핑!$G$5:$G$504,MATCH($F3727&amp;"",계정매핑!$A$5:$A$504,0))&amp;"","")="유지비",COUNTIF(계정대체기준!$A$6:$A$15,$N3727)&gt;0),IFERROR(INDEX(계정대체기준!$E$6:$E$15,MATCH(VALUE($A3727&amp;""),계정대체기준!$D$6:$D$15,0)),0),0))</f>
        <v/>
      </c>
      <c r="AH3727" s="64">
        <f>IF($A3727="","",IF(AD3727=0,"",IF(OR(COUNTIF(계정대체기준!$A$77:$A$86,$N3727)&gt;0,ISNUMBER(MATCH($X3727,계정대체기준!$D$77:$D$86,0)),ISNUMBER(MATCH($F3727,계정대체기준!$D$77:$D$86,0))),"Y","N")))</f>
        <v/>
      </c>
    </row>
    <row r="3728">
      <c r="A3728" s="92" t="n">
        <v>2026</v>
      </c>
      <c r="B3728" s="92" t="n">
        <v>5</v>
      </c>
      <c r="C3728" s="92" t="inlineStr">
        <is>
          <t>5100001006</t>
        </is>
      </c>
      <c r="D3728" s="95" t="n">
        <v>46154</v>
      </c>
      <c r="E3728" s="92" t="inlineStr">
        <is>
          <t>KR</t>
        </is>
      </c>
      <c r="F3728" s="92" t="n">
        <v>62301000</v>
      </c>
      <c r="G3728" s="92" t="n">
        <v>1701</v>
      </c>
      <c r="H3728" s="93" t="n">
        <v>289000</v>
      </c>
      <c r="I3728" s="92" t="inlineStr">
        <is>
          <t>5월 소모품 구입 - R문구</t>
        </is>
      </c>
      <c r="J3728" s="92" t="inlineStr">
        <is>
          <t>V10022</t>
        </is>
      </c>
      <c r="K3728" s="92" t="inlineStr">
        <is>
          <t>R문구</t>
        </is>
      </c>
      <c r="M3728" s="9">
        <f>IF($A3728="","",VALUE($A3728&amp;"")*12+VALUE($B3728&amp;""))</f>
        <v/>
      </c>
      <c r="N3728" s="64">
        <f>IF($A3728="","",IFERROR(INDEX(부서매핑!$C$5:$C$504,MATCH($G3728&amp;"",부서매핑!$A$5:$A$504,0)),"미매핑"))</f>
        <v/>
      </c>
      <c r="O3728" s="9">
        <f>IF($A3728="","",N3728&amp;"|"&amp;$F3728)</f>
        <v/>
      </c>
      <c r="P3728" s="94">
        <f>IF($A3728="",0,$H3728*설정!$C$23)</f>
        <v/>
      </c>
      <c r="Q3728" s="64">
        <f>IF($A3728="","",IF(O3728&lt;&gt;원인분석!$C$9,"",IF(AND(M3728&gt;=원인분석!$C$10,M3728&lt;=원인분석!$C$11),"당기",IF(AND(M3728&gt;=원인분석!$C$12,M3728&lt;=원인분석!$C$13),"비교",""))))</f>
        <v/>
      </c>
      <c r="R3728" s="9">
        <f>IF(Q3728="","",$K3728&amp;"")</f>
        <v/>
      </c>
      <c r="S3728" s="9">
        <f>IF(Q3728="","",IF(MATCH(R3728,$R$5:$R$100000,0)=ROW()-4,ROW(),""))</f>
        <v/>
      </c>
      <c r="T3728" s="9">
        <f>IF(Q3728="당기",ABS(P3728)+ROW()/1000000000,"")</f>
        <v/>
      </c>
      <c r="U3728" s="9">
        <f>IF(Q3728="비교",ABS(P3728)+ROW()/1000000000,"")</f>
        <v/>
      </c>
      <c r="V3728" s="64">
        <f>IF($A3728="","",IF(COUNTIF(변동분석!$E$7:$E$506,O3728)&gt;0,"Y","N"))</f>
        <v/>
      </c>
      <c r="W3728" s="64">
        <f>IF($A3728="","",IFERROR(INDEX(계정매핑!$D$5:$D$504,MATCH($F3728&amp;"",계정매핑!$A$5:$A$504,0)),"미매핑"))</f>
        <v/>
      </c>
      <c r="X3728" s="9">
        <f>IF($A3728="","",$F3728&amp;"")</f>
        <v/>
      </c>
      <c r="Y3728" s="94">
        <f>IF($A3728="",0,IF(AE3728="직접",IF(AF3728="비귀속",$P3728,0),$P3728*(1-AG3728)*IFERROR(INDEX(계정대체기준!$F$20:$F$49,MATCH($N3728,계정대체기준!$A$20:$A$49,0)),1)))</f>
        <v/>
      </c>
      <c r="Z3728" s="94">
        <f>IF($A3728="",0,IF(AE3728="직접",IF(AF3728="신계약비",$P3728,0),$P3728*(1-AG3728)*IFERROR(INDEX(계정대체기준!$C$20:$C$49,MATCH($N3728,계정대체기준!$A$20:$A$49,0)),0)))</f>
        <v/>
      </c>
      <c r="AA3728" s="94">
        <f>IF($A3728="",0,IF(AE3728="직접",IF(OR(AF3728="유지비",AF3728="손해조사비"),$P3728,0),$P3728*(1-AG3728)*IFERROR(INDEX(계정대체기준!$D$20:$D$49,MATCH($N3728,계정대체기준!$A$20:$A$49,0)),0)))</f>
        <v/>
      </c>
      <c r="AB3728" s="94">
        <f>IF($A3728="",0,IF(AE3728="직접",IF(AF3728="수금비",$P3728,0),$P3728*(1-AG3728)*IFERROR(INDEX(계정대체기준!$E$20:$E$49,MATCH($N3728,계정대체기준!$A$20:$A$49,0)),0)))</f>
        <v/>
      </c>
      <c r="AC3728" s="9">
        <f>IF(AND($A3728&lt;&gt;"",M3728=설정!$C$20,Z3728&gt;0),Z3728+ROW()/1000000000,"")</f>
        <v/>
      </c>
      <c r="AD3728" s="94">
        <f>IF($A3728="",0,$P3728*AG3728)</f>
        <v/>
      </c>
      <c r="AE3728" s="64">
        <f>IF($A3728="","",IFERROR(INDEX(계정매핑!$E$5:$E$504,MATCH($F3728&amp;"",계정매핑!$A$5:$A$504,0))&amp;"","공통비"))</f>
        <v/>
      </c>
      <c r="AF3728" s="64">
        <f>IF($A3728="","",IF(AE3728="직접",IFERROR(INDEX(계정매핑!$F$5:$F$504,MATCH($F3728&amp;"",계정매핑!$A$5:$A$504,0))&amp;"","비귀속"),""))</f>
        <v/>
      </c>
      <c r="AG3728" s="96">
        <f>IF($A3728="",0,IF(AND(AE3728&lt;&gt;"직접",IFERROR(INDEX(계정매핑!$G$5:$G$504,MATCH($F3728&amp;"",계정매핑!$A$5:$A$504,0))&amp;"","")="유지비",COUNTIF(계정대체기준!$A$6:$A$15,$N3728)&gt;0),IFERROR(INDEX(계정대체기준!$E$6:$E$15,MATCH(VALUE($A3728&amp;""),계정대체기준!$D$6:$D$15,0)),0),0))</f>
        <v/>
      </c>
      <c r="AH3728" s="64">
        <f>IF($A3728="","",IF(AD3728=0,"",IF(OR(COUNTIF(계정대체기준!$A$77:$A$86,$N3728)&gt;0,ISNUMBER(MATCH($X3728,계정대체기준!$D$77:$D$86,0)),ISNUMBER(MATCH($F3728,계정대체기준!$D$77:$D$86,0))),"Y","N")))</f>
        <v/>
      </c>
    </row>
    <row r="3729">
      <c r="A3729" s="92" t="n">
        <v>2026</v>
      </c>
      <c r="B3729" s="92" t="n">
        <v>5</v>
      </c>
      <c r="C3729" s="92" t="inlineStr">
        <is>
          <t>5100001007</t>
        </is>
      </c>
      <c r="D3729" s="95" t="n">
        <v>46154</v>
      </c>
      <c r="E3729" s="92" t="inlineStr">
        <is>
          <t>KR</t>
        </is>
      </c>
      <c r="F3729" s="92" t="n">
        <v>62301000</v>
      </c>
      <c r="G3729" s="92" t="n">
        <v>1701</v>
      </c>
      <c r="H3729" s="93" t="n">
        <v>289000</v>
      </c>
      <c r="I3729" s="92" t="inlineStr">
        <is>
          <t>5월 소모품 구입 - R문구</t>
        </is>
      </c>
      <c r="J3729" s="92" t="inlineStr">
        <is>
          <t>V10022</t>
        </is>
      </c>
      <c r="K3729" s="92" t="inlineStr">
        <is>
          <t>R문구</t>
        </is>
      </c>
      <c r="M3729" s="9">
        <f>IF($A3729="","",VALUE($A3729&amp;"")*12+VALUE($B3729&amp;""))</f>
        <v/>
      </c>
      <c r="N3729" s="64">
        <f>IF($A3729="","",IFERROR(INDEX(부서매핑!$C$5:$C$504,MATCH($G3729&amp;"",부서매핑!$A$5:$A$504,0)),"미매핑"))</f>
        <v/>
      </c>
      <c r="O3729" s="9">
        <f>IF($A3729="","",N3729&amp;"|"&amp;$F3729)</f>
        <v/>
      </c>
      <c r="P3729" s="94">
        <f>IF($A3729="",0,$H3729*설정!$C$23)</f>
        <v/>
      </c>
      <c r="Q3729" s="64">
        <f>IF($A3729="","",IF(O3729&lt;&gt;원인분석!$C$9,"",IF(AND(M3729&gt;=원인분석!$C$10,M3729&lt;=원인분석!$C$11),"당기",IF(AND(M3729&gt;=원인분석!$C$12,M3729&lt;=원인분석!$C$13),"비교",""))))</f>
        <v/>
      </c>
      <c r="R3729" s="9">
        <f>IF(Q3729="","",$K3729&amp;"")</f>
        <v/>
      </c>
      <c r="S3729" s="9">
        <f>IF(Q3729="","",IF(MATCH(R3729,$R$5:$R$100000,0)=ROW()-4,ROW(),""))</f>
        <v/>
      </c>
      <c r="T3729" s="9">
        <f>IF(Q3729="당기",ABS(P3729)+ROW()/1000000000,"")</f>
        <v/>
      </c>
      <c r="U3729" s="9">
        <f>IF(Q3729="비교",ABS(P3729)+ROW()/1000000000,"")</f>
        <v/>
      </c>
      <c r="V3729" s="64">
        <f>IF($A3729="","",IF(COUNTIF(변동분석!$E$7:$E$506,O3729)&gt;0,"Y","N"))</f>
        <v/>
      </c>
      <c r="W3729" s="64">
        <f>IF($A3729="","",IFERROR(INDEX(계정매핑!$D$5:$D$504,MATCH($F3729&amp;"",계정매핑!$A$5:$A$504,0)),"미매핑"))</f>
        <v/>
      </c>
      <c r="X3729" s="9">
        <f>IF($A3729="","",$F3729&amp;"")</f>
        <v/>
      </c>
      <c r="Y3729" s="94">
        <f>IF($A3729="",0,IF(AE3729="직접",IF(AF3729="비귀속",$P3729,0),$P3729*(1-AG3729)*IFERROR(INDEX(계정대체기준!$F$20:$F$49,MATCH($N3729,계정대체기준!$A$20:$A$49,0)),1)))</f>
        <v/>
      </c>
      <c r="Z3729" s="94">
        <f>IF($A3729="",0,IF(AE3729="직접",IF(AF3729="신계약비",$P3729,0),$P3729*(1-AG3729)*IFERROR(INDEX(계정대체기준!$C$20:$C$49,MATCH($N3729,계정대체기준!$A$20:$A$49,0)),0)))</f>
        <v/>
      </c>
      <c r="AA3729" s="94">
        <f>IF($A3729="",0,IF(AE3729="직접",IF(OR(AF3729="유지비",AF3729="손해조사비"),$P3729,0),$P3729*(1-AG3729)*IFERROR(INDEX(계정대체기준!$D$20:$D$49,MATCH($N3729,계정대체기준!$A$20:$A$49,0)),0)))</f>
        <v/>
      </c>
      <c r="AB3729" s="94">
        <f>IF($A3729="",0,IF(AE3729="직접",IF(AF3729="수금비",$P3729,0),$P3729*(1-AG3729)*IFERROR(INDEX(계정대체기준!$E$20:$E$49,MATCH($N3729,계정대체기준!$A$20:$A$49,0)),0)))</f>
        <v/>
      </c>
      <c r="AC3729" s="9">
        <f>IF(AND($A3729&lt;&gt;"",M3729=설정!$C$20,Z3729&gt;0),Z3729+ROW()/1000000000,"")</f>
        <v/>
      </c>
      <c r="AD3729" s="94">
        <f>IF($A3729="",0,$P3729*AG3729)</f>
        <v/>
      </c>
      <c r="AE3729" s="64">
        <f>IF($A3729="","",IFERROR(INDEX(계정매핑!$E$5:$E$504,MATCH($F3729&amp;"",계정매핑!$A$5:$A$504,0))&amp;"","공통비"))</f>
        <v/>
      </c>
      <c r="AF3729" s="64">
        <f>IF($A3729="","",IF(AE3729="직접",IFERROR(INDEX(계정매핑!$F$5:$F$504,MATCH($F3729&amp;"",계정매핑!$A$5:$A$504,0))&amp;"","비귀속"),""))</f>
        <v/>
      </c>
      <c r="AG3729" s="96">
        <f>IF($A3729="",0,IF(AND(AE3729&lt;&gt;"직접",IFERROR(INDEX(계정매핑!$G$5:$G$504,MATCH($F3729&amp;"",계정매핑!$A$5:$A$504,0))&amp;"","")="유지비",COUNTIF(계정대체기준!$A$6:$A$15,$N3729)&gt;0),IFERROR(INDEX(계정대체기준!$E$6:$E$15,MATCH(VALUE($A3729&amp;""),계정대체기준!$D$6:$D$15,0)),0),0))</f>
        <v/>
      </c>
      <c r="AH3729" s="64">
        <f>IF($A3729="","",IF(AD3729=0,"",IF(OR(COUNTIF(계정대체기준!$A$77:$A$86,$N3729)&gt;0,ISNUMBER(MATCH($X3729,계정대체기준!$D$77:$D$86,0)),ISNUMBER(MATCH($F3729,계정대체기준!$D$77:$D$86,0))),"Y","N")))</f>
        <v/>
      </c>
    </row>
    <row r="3730">
      <c r="A3730" s="92" t="n">
        <v>2026</v>
      </c>
      <c r="B3730" s="92" t="n">
        <v>5</v>
      </c>
      <c r="C3730" s="92" t="inlineStr">
        <is>
          <t>5100001008</t>
        </is>
      </c>
      <c r="D3730" s="95" t="n">
        <v>46154</v>
      </c>
      <c r="E3730" s="92" t="inlineStr">
        <is>
          <t>KR</t>
        </is>
      </c>
      <c r="F3730" s="92" t="n">
        <v>62301000</v>
      </c>
      <c r="G3730" s="92" t="n">
        <v>1801</v>
      </c>
      <c r="H3730" s="93" t="n">
        <v>393000</v>
      </c>
      <c r="I3730" s="92" t="inlineStr">
        <is>
          <t>5월 소모품 구입 - Q오피스</t>
        </is>
      </c>
      <c r="J3730" s="92" t="inlineStr">
        <is>
          <t>V10003</t>
        </is>
      </c>
      <c r="K3730" s="92" t="inlineStr">
        <is>
          <t>Q오피스</t>
        </is>
      </c>
      <c r="M3730" s="9">
        <f>IF($A3730="","",VALUE($A3730&amp;"")*12+VALUE($B3730&amp;""))</f>
        <v/>
      </c>
      <c r="N3730" s="64">
        <f>IF($A3730="","",IFERROR(INDEX(부서매핑!$C$5:$C$504,MATCH($G3730&amp;"",부서매핑!$A$5:$A$504,0)),"미매핑"))</f>
        <v/>
      </c>
      <c r="O3730" s="9">
        <f>IF($A3730="","",N3730&amp;"|"&amp;$F3730)</f>
        <v/>
      </c>
      <c r="P3730" s="94">
        <f>IF($A3730="",0,$H3730*설정!$C$23)</f>
        <v/>
      </c>
      <c r="Q3730" s="64">
        <f>IF($A3730="","",IF(O3730&lt;&gt;원인분석!$C$9,"",IF(AND(M3730&gt;=원인분석!$C$10,M3730&lt;=원인분석!$C$11),"당기",IF(AND(M3730&gt;=원인분석!$C$12,M3730&lt;=원인분석!$C$13),"비교",""))))</f>
        <v/>
      </c>
      <c r="R3730" s="9">
        <f>IF(Q3730="","",$K3730&amp;"")</f>
        <v/>
      </c>
      <c r="S3730" s="9">
        <f>IF(Q3730="","",IF(MATCH(R3730,$R$5:$R$100000,0)=ROW()-4,ROW(),""))</f>
        <v/>
      </c>
      <c r="T3730" s="9">
        <f>IF(Q3730="당기",ABS(P3730)+ROW()/1000000000,"")</f>
        <v/>
      </c>
      <c r="U3730" s="9">
        <f>IF(Q3730="비교",ABS(P3730)+ROW()/1000000000,"")</f>
        <v/>
      </c>
      <c r="V3730" s="64">
        <f>IF($A3730="","",IF(COUNTIF(변동분석!$E$7:$E$506,O3730)&gt;0,"Y","N"))</f>
        <v/>
      </c>
      <c r="W3730" s="64">
        <f>IF($A3730="","",IFERROR(INDEX(계정매핑!$D$5:$D$504,MATCH($F3730&amp;"",계정매핑!$A$5:$A$504,0)),"미매핑"))</f>
        <v/>
      </c>
      <c r="X3730" s="9">
        <f>IF($A3730="","",$F3730&amp;"")</f>
        <v/>
      </c>
      <c r="Y3730" s="94">
        <f>IF($A3730="",0,IF(AE3730="직접",IF(AF3730="비귀속",$P3730,0),$P3730*(1-AG3730)*IFERROR(INDEX(계정대체기준!$F$20:$F$49,MATCH($N3730,계정대체기준!$A$20:$A$49,0)),1)))</f>
        <v/>
      </c>
      <c r="Z3730" s="94">
        <f>IF($A3730="",0,IF(AE3730="직접",IF(AF3730="신계약비",$P3730,0),$P3730*(1-AG3730)*IFERROR(INDEX(계정대체기준!$C$20:$C$49,MATCH($N3730,계정대체기준!$A$20:$A$49,0)),0)))</f>
        <v/>
      </c>
      <c r="AA3730" s="94">
        <f>IF($A3730="",0,IF(AE3730="직접",IF(OR(AF3730="유지비",AF3730="손해조사비"),$P3730,0),$P3730*(1-AG3730)*IFERROR(INDEX(계정대체기준!$D$20:$D$49,MATCH($N3730,계정대체기준!$A$20:$A$49,0)),0)))</f>
        <v/>
      </c>
      <c r="AB3730" s="94">
        <f>IF($A3730="",0,IF(AE3730="직접",IF(AF3730="수금비",$P3730,0),$P3730*(1-AG3730)*IFERROR(INDEX(계정대체기준!$E$20:$E$49,MATCH($N3730,계정대체기준!$A$20:$A$49,0)),0)))</f>
        <v/>
      </c>
      <c r="AC3730" s="9">
        <f>IF(AND($A3730&lt;&gt;"",M3730=설정!$C$20,Z3730&gt;0),Z3730+ROW()/1000000000,"")</f>
        <v/>
      </c>
      <c r="AD3730" s="94">
        <f>IF($A3730="",0,$P3730*AG3730)</f>
        <v/>
      </c>
      <c r="AE3730" s="64">
        <f>IF($A3730="","",IFERROR(INDEX(계정매핑!$E$5:$E$504,MATCH($F3730&amp;"",계정매핑!$A$5:$A$504,0))&amp;"","공통비"))</f>
        <v/>
      </c>
      <c r="AF3730" s="64">
        <f>IF($A3730="","",IF(AE3730="직접",IFERROR(INDEX(계정매핑!$F$5:$F$504,MATCH($F3730&amp;"",계정매핑!$A$5:$A$504,0))&amp;"","비귀속"),""))</f>
        <v/>
      </c>
      <c r="AG3730" s="96">
        <f>IF($A3730="",0,IF(AND(AE3730&lt;&gt;"직접",IFERROR(INDEX(계정매핑!$G$5:$G$504,MATCH($F3730&amp;"",계정매핑!$A$5:$A$504,0))&amp;"","")="유지비",COUNTIF(계정대체기준!$A$6:$A$15,$N3730)&gt;0),IFERROR(INDEX(계정대체기준!$E$6:$E$15,MATCH(VALUE($A3730&amp;""),계정대체기준!$D$6:$D$15,0)),0),0))</f>
        <v/>
      </c>
      <c r="AH3730" s="64">
        <f>IF($A3730="","",IF(AD3730=0,"",IF(OR(COUNTIF(계정대체기준!$A$77:$A$86,$N3730)&gt;0,ISNUMBER(MATCH($X3730,계정대체기준!$D$77:$D$86,0)),ISNUMBER(MATCH($F3730,계정대체기준!$D$77:$D$86,0))),"Y","N")))</f>
        <v/>
      </c>
    </row>
    <row r="3731">
      <c r="A3731" s="92" t="n">
        <v>2026</v>
      </c>
      <c r="B3731" s="92" t="n">
        <v>5</v>
      </c>
      <c r="C3731" s="92" t="inlineStr">
        <is>
          <t>5100001009</t>
        </is>
      </c>
      <c r="D3731" s="95" t="n">
        <v>46154</v>
      </c>
      <c r="E3731" s="92" t="inlineStr">
        <is>
          <t>KR</t>
        </is>
      </c>
      <c r="F3731" s="92" t="n">
        <v>62501000</v>
      </c>
      <c r="G3731" s="92" t="n">
        <v>1501</v>
      </c>
      <c r="H3731" s="93" t="n">
        <v>251000</v>
      </c>
      <c r="I3731" s="92" t="inlineStr">
        <is>
          <t>5월 회의 다과 - T케이터링</t>
        </is>
      </c>
      <c r="J3731" s="92" t="inlineStr">
        <is>
          <t>V10005</t>
        </is>
      </c>
      <c r="K3731" s="92" t="inlineStr">
        <is>
          <t>T케이터링</t>
        </is>
      </c>
      <c r="M3731" s="9">
        <f>IF($A3731="","",VALUE($A3731&amp;"")*12+VALUE($B3731&amp;""))</f>
        <v/>
      </c>
      <c r="N3731" s="64">
        <f>IF($A3731="","",IFERROR(INDEX(부서매핑!$C$5:$C$504,MATCH($G3731&amp;"",부서매핑!$A$5:$A$504,0)),"미매핑"))</f>
        <v/>
      </c>
      <c r="O3731" s="9">
        <f>IF($A3731="","",N3731&amp;"|"&amp;$F3731)</f>
        <v/>
      </c>
      <c r="P3731" s="94">
        <f>IF($A3731="",0,$H3731*설정!$C$23)</f>
        <v/>
      </c>
      <c r="Q3731" s="64">
        <f>IF($A3731="","",IF(O3731&lt;&gt;원인분석!$C$9,"",IF(AND(M3731&gt;=원인분석!$C$10,M3731&lt;=원인분석!$C$11),"당기",IF(AND(M3731&gt;=원인분석!$C$12,M3731&lt;=원인분석!$C$13),"비교",""))))</f>
        <v/>
      </c>
      <c r="R3731" s="9">
        <f>IF(Q3731="","",$K3731&amp;"")</f>
        <v/>
      </c>
      <c r="S3731" s="9">
        <f>IF(Q3731="","",IF(MATCH(R3731,$R$5:$R$100000,0)=ROW()-4,ROW(),""))</f>
        <v/>
      </c>
      <c r="T3731" s="9">
        <f>IF(Q3731="당기",ABS(P3731)+ROW()/1000000000,"")</f>
        <v/>
      </c>
      <c r="U3731" s="9">
        <f>IF(Q3731="비교",ABS(P3731)+ROW()/1000000000,"")</f>
        <v/>
      </c>
      <c r="V3731" s="64">
        <f>IF($A3731="","",IF(COUNTIF(변동분석!$E$7:$E$506,O3731)&gt;0,"Y","N"))</f>
        <v/>
      </c>
      <c r="W3731" s="64">
        <f>IF($A3731="","",IFERROR(INDEX(계정매핑!$D$5:$D$504,MATCH($F3731&amp;"",계정매핑!$A$5:$A$504,0)),"미매핑"))</f>
        <v/>
      </c>
      <c r="X3731" s="9">
        <f>IF($A3731="","",$F3731&amp;"")</f>
        <v/>
      </c>
      <c r="Y3731" s="94">
        <f>IF($A3731="",0,IF(AE3731="직접",IF(AF3731="비귀속",$P3731,0),$P3731*(1-AG3731)*IFERROR(INDEX(계정대체기준!$F$20:$F$49,MATCH($N3731,계정대체기준!$A$20:$A$49,0)),1)))</f>
        <v/>
      </c>
      <c r="Z3731" s="94">
        <f>IF($A3731="",0,IF(AE3731="직접",IF(AF3731="신계약비",$P3731,0),$P3731*(1-AG3731)*IFERROR(INDEX(계정대체기준!$C$20:$C$49,MATCH($N3731,계정대체기준!$A$20:$A$49,0)),0)))</f>
        <v/>
      </c>
      <c r="AA3731" s="94">
        <f>IF($A3731="",0,IF(AE3731="직접",IF(OR(AF3731="유지비",AF3731="손해조사비"),$P3731,0),$P3731*(1-AG3731)*IFERROR(INDEX(계정대체기준!$D$20:$D$49,MATCH($N3731,계정대체기준!$A$20:$A$49,0)),0)))</f>
        <v/>
      </c>
      <c r="AB3731" s="94">
        <f>IF($A3731="",0,IF(AE3731="직접",IF(AF3731="수금비",$P3731,0),$P3731*(1-AG3731)*IFERROR(INDEX(계정대체기준!$E$20:$E$49,MATCH($N3731,계정대체기준!$A$20:$A$49,0)),0)))</f>
        <v/>
      </c>
      <c r="AC3731" s="9">
        <f>IF(AND($A3731&lt;&gt;"",M3731=설정!$C$20,Z3731&gt;0),Z3731+ROW()/1000000000,"")</f>
        <v/>
      </c>
      <c r="AD3731" s="94">
        <f>IF($A3731="",0,$P3731*AG3731)</f>
        <v/>
      </c>
      <c r="AE3731" s="64">
        <f>IF($A3731="","",IFERROR(INDEX(계정매핑!$E$5:$E$504,MATCH($F3731&amp;"",계정매핑!$A$5:$A$504,0))&amp;"","공통비"))</f>
        <v/>
      </c>
      <c r="AF3731" s="64">
        <f>IF($A3731="","",IF(AE3731="직접",IFERROR(INDEX(계정매핑!$F$5:$F$504,MATCH($F3731&amp;"",계정매핑!$A$5:$A$504,0))&amp;"","비귀속"),""))</f>
        <v/>
      </c>
      <c r="AG3731" s="96">
        <f>IF($A3731="",0,IF(AND(AE3731&lt;&gt;"직접",IFERROR(INDEX(계정매핑!$G$5:$G$504,MATCH($F3731&amp;"",계정매핑!$A$5:$A$504,0))&amp;"","")="유지비",COUNTIF(계정대체기준!$A$6:$A$15,$N3731)&gt;0),IFERROR(INDEX(계정대체기준!$E$6:$E$15,MATCH(VALUE($A3731&amp;""),계정대체기준!$D$6:$D$15,0)),0),0))</f>
        <v/>
      </c>
      <c r="AH3731" s="64">
        <f>IF($A3731="","",IF(AD3731=0,"",IF(OR(COUNTIF(계정대체기준!$A$77:$A$86,$N3731)&gt;0,ISNUMBER(MATCH($X3731,계정대체기준!$D$77:$D$86,0)),ISNUMBER(MATCH($F3731,계정대체기준!$D$77:$D$86,0))),"Y","N")))</f>
        <v/>
      </c>
    </row>
    <row r="3732">
      <c r="A3732" s="92" t="n">
        <v>2026</v>
      </c>
      <c r="B3732" s="92" t="n">
        <v>5</v>
      </c>
      <c r="C3732" s="92" t="inlineStr">
        <is>
          <t>5100001010</t>
        </is>
      </c>
      <c r="D3732" s="95" t="n">
        <v>46154</v>
      </c>
      <c r="E3732" s="92" t="inlineStr">
        <is>
          <t>KR</t>
        </is>
      </c>
      <c r="F3732" s="92" t="n">
        <v>62901000</v>
      </c>
      <c r="G3732" s="92" t="n">
        <v>1801</v>
      </c>
      <c r="H3732" s="93" t="n">
        <v>8051000</v>
      </c>
      <c r="I3732" s="92" t="inlineStr">
        <is>
          <t>5월 자문 수수료 - W컨설팅</t>
        </is>
      </c>
      <c r="J3732" s="92" t="inlineStr">
        <is>
          <t>V10006</t>
        </is>
      </c>
      <c r="K3732" s="92" t="inlineStr">
        <is>
          <t>W컨설팅</t>
        </is>
      </c>
      <c r="M3732" s="9">
        <f>IF($A3732="","",VALUE($A3732&amp;"")*12+VALUE($B3732&amp;""))</f>
        <v/>
      </c>
      <c r="N3732" s="64">
        <f>IF($A3732="","",IFERROR(INDEX(부서매핑!$C$5:$C$504,MATCH($G3732&amp;"",부서매핑!$A$5:$A$504,0)),"미매핑"))</f>
        <v/>
      </c>
      <c r="O3732" s="9">
        <f>IF($A3732="","",N3732&amp;"|"&amp;$F3732)</f>
        <v/>
      </c>
      <c r="P3732" s="94">
        <f>IF($A3732="",0,$H3732*설정!$C$23)</f>
        <v/>
      </c>
      <c r="Q3732" s="64">
        <f>IF($A3732="","",IF(O3732&lt;&gt;원인분석!$C$9,"",IF(AND(M3732&gt;=원인분석!$C$10,M3732&lt;=원인분석!$C$11),"당기",IF(AND(M3732&gt;=원인분석!$C$12,M3732&lt;=원인분석!$C$13),"비교",""))))</f>
        <v/>
      </c>
      <c r="R3732" s="9">
        <f>IF(Q3732="","",$K3732&amp;"")</f>
        <v/>
      </c>
      <c r="S3732" s="9">
        <f>IF(Q3732="","",IF(MATCH(R3732,$R$5:$R$100000,0)=ROW()-4,ROW(),""))</f>
        <v/>
      </c>
      <c r="T3732" s="9">
        <f>IF(Q3732="당기",ABS(P3732)+ROW()/1000000000,"")</f>
        <v/>
      </c>
      <c r="U3732" s="9">
        <f>IF(Q3732="비교",ABS(P3732)+ROW()/1000000000,"")</f>
        <v/>
      </c>
      <c r="V3732" s="64">
        <f>IF($A3732="","",IF(COUNTIF(변동분석!$E$7:$E$506,O3732)&gt;0,"Y","N"))</f>
        <v/>
      </c>
      <c r="W3732" s="64">
        <f>IF($A3732="","",IFERROR(INDEX(계정매핑!$D$5:$D$504,MATCH($F3732&amp;"",계정매핑!$A$5:$A$504,0)),"미매핑"))</f>
        <v/>
      </c>
      <c r="X3732" s="9">
        <f>IF($A3732="","",$F3732&amp;"")</f>
        <v/>
      </c>
      <c r="Y3732" s="94">
        <f>IF($A3732="",0,IF(AE3732="직접",IF(AF3732="비귀속",$P3732,0),$P3732*(1-AG3732)*IFERROR(INDEX(계정대체기준!$F$20:$F$49,MATCH($N3732,계정대체기준!$A$20:$A$49,0)),1)))</f>
        <v/>
      </c>
      <c r="Z3732" s="94">
        <f>IF($A3732="",0,IF(AE3732="직접",IF(AF3732="신계약비",$P3732,0),$P3732*(1-AG3732)*IFERROR(INDEX(계정대체기준!$C$20:$C$49,MATCH($N3732,계정대체기준!$A$20:$A$49,0)),0)))</f>
        <v/>
      </c>
      <c r="AA3732" s="94">
        <f>IF($A3732="",0,IF(AE3732="직접",IF(OR(AF3732="유지비",AF3732="손해조사비"),$P3732,0),$P3732*(1-AG3732)*IFERROR(INDEX(계정대체기준!$D$20:$D$49,MATCH($N3732,계정대체기준!$A$20:$A$49,0)),0)))</f>
        <v/>
      </c>
      <c r="AB3732" s="94">
        <f>IF($A3732="",0,IF(AE3732="직접",IF(AF3732="수금비",$P3732,0),$P3732*(1-AG3732)*IFERROR(INDEX(계정대체기준!$E$20:$E$49,MATCH($N3732,계정대체기준!$A$20:$A$49,0)),0)))</f>
        <v/>
      </c>
      <c r="AC3732" s="9">
        <f>IF(AND($A3732&lt;&gt;"",M3732=설정!$C$20,Z3732&gt;0),Z3732+ROW()/1000000000,"")</f>
        <v/>
      </c>
      <c r="AD3732" s="94">
        <f>IF($A3732="",0,$P3732*AG3732)</f>
        <v/>
      </c>
      <c r="AE3732" s="64">
        <f>IF($A3732="","",IFERROR(INDEX(계정매핑!$E$5:$E$504,MATCH($F3732&amp;"",계정매핑!$A$5:$A$504,0))&amp;"","공통비"))</f>
        <v/>
      </c>
      <c r="AF3732" s="64">
        <f>IF($A3732="","",IF(AE3732="직접",IFERROR(INDEX(계정매핑!$F$5:$F$504,MATCH($F3732&amp;"",계정매핑!$A$5:$A$504,0))&amp;"","비귀속"),""))</f>
        <v/>
      </c>
      <c r="AG3732" s="96">
        <f>IF($A3732="",0,IF(AND(AE3732&lt;&gt;"직접",IFERROR(INDEX(계정매핑!$G$5:$G$504,MATCH($F3732&amp;"",계정매핑!$A$5:$A$504,0))&amp;"","")="유지비",COUNTIF(계정대체기준!$A$6:$A$15,$N3732)&gt;0),IFERROR(INDEX(계정대체기준!$E$6:$E$15,MATCH(VALUE($A3732&amp;""),계정대체기준!$D$6:$D$15,0)),0),0))</f>
        <v/>
      </c>
      <c r="AH3732" s="64">
        <f>IF($A3732="","",IF(AD3732=0,"",IF(OR(COUNTIF(계정대체기준!$A$77:$A$86,$N3732)&gt;0,ISNUMBER(MATCH($X3732,계정대체기준!$D$77:$D$86,0)),ISNUMBER(MATCH($F3732,계정대체기준!$D$77:$D$86,0))),"Y","N")))</f>
        <v/>
      </c>
    </row>
    <row r="3733">
      <c r="A3733" s="92" t="n">
        <v>2026</v>
      </c>
      <c r="B3733" s="92" t="n">
        <v>5</v>
      </c>
      <c r="C3733" s="92" t="inlineStr">
        <is>
          <t>5100001011</t>
        </is>
      </c>
      <c r="D3733" s="95" t="n">
        <v>46154</v>
      </c>
      <c r="E3733" s="92" t="inlineStr">
        <is>
          <t>KR</t>
        </is>
      </c>
      <c r="F3733" s="92" t="n">
        <v>62901000</v>
      </c>
      <c r="G3733" s="92" t="n">
        <v>1951</v>
      </c>
      <c r="H3733" s="93" t="n">
        <v>5272000</v>
      </c>
      <c r="I3733" s="92" t="inlineStr">
        <is>
          <t>5월 자문 수수료 - K회계법인</t>
        </is>
      </c>
      <c r="J3733" s="92" t="inlineStr">
        <is>
          <t>V10011</t>
        </is>
      </c>
      <c r="K3733" s="92" t="inlineStr">
        <is>
          <t>K회계법인</t>
        </is>
      </c>
      <c r="M3733" s="9">
        <f>IF($A3733="","",VALUE($A3733&amp;"")*12+VALUE($B3733&amp;""))</f>
        <v/>
      </c>
      <c r="N3733" s="64">
        <f>IF($A3733="","",IFERROR(INDEX(부서매핑!$C$5:$C$504,MATCH($G3733&amp;"",부서매핑!$A$5:$A$504,0)),"미매핑"))</f>
        <v/>
      </c>
      <c r="O3733" s="9">
        <f>IF($A3733="","",N3733&amp;"|"&amp;$F3733)</f>
        <v/>
      </c>
      <c r="P3733" s="94">
        <f>IF($A3733="",0,$H3733*설정!$C$23)</f>
        <v/>
      </c>
      <c r="Q3733" s="64">
        <f>IF($A3733="","",IF(O3733&lt;&gt;원인분석!$C$9,"",IF(AND(M3733&gt;=원인분석!$C$10,M3733&lt;=원인분석!$C$11),"당기",IF(AND(M3733&gt;=원인분석!$C$12,M3733&lt;=원인분석!$C$13),"비교",""))))</f>
        <v/>
      </c>
      <c r="R3733" s="9">
        <f>IF(Q3733="","",$K3733&amp;"")</f>
        <v/>
      </c>
      <c r="S3733" s="9">
        <f>IF(Q3733="","",IF(MATCH(R3733,$R$5:$R$100000,0)=ROW()-4,ROW(),""))</f>
        <v/>
      </c>
      <c r="T3733" s="9">
        <f>IF(Q3733="당기",ABS(P3733)+ROW()/1000000000,"")</f>
        <v/>
      </c>
      <c r="U3733" s="9">
        <f>IF(Q3733="비교",ABS(P3733)+ROW()/1000000000,"")</f>
        <v/>
      </c>
      <c r="V3733" s="64">
        <f>IF($A3733="","",IF(COUNTIF(변동분석!$E$7:$E$506,O3733)&gt;0,"Y","N"))</f>
        <v/>
      </c>
      <c r="W3733" s="64">
        <f>IF($A3733="","",IFERROR(INDEX(계정매핑!$D$5:$D$504,MATCH($F3733&amp;"",계정매핑!$A$5:$A$504,0)),"미매핑"))</f>
        <v/>
      </c>
      <c r="X3733" s="9">
        <f>IF($A3733="","",$F3733&amp;"")</f>
        <v/>
      </c>
      <c r="Y3733" s="94">
        <f>IF($A3733="",0,IF(AE3733="직접",IF(AF3733="비귀속",$P3733,0),$P3733*(1-AG3733)*IFERROR(INDEX(계정대체기준!$F$20:$F$49,MATCH($N3733,계정대체기준!$A$20:$A$49,0)),1)))</f>
        <v/>
      </c>
      <c r="Z3733" s="94">
        <f>IF($A3733="",0,IF(AE3733="직접",IF(AF3733="신계약비",$P3733,0),$P3733*(1-AG3733)*IFERROR(INDEX(계정대체기준!$C$20:$C$49,MATCH($N3733,계정대체기준!$A$20:$A$49,0)),0)))</f>
        <v/>
      </c>
      <c r="AA3733" s="94">
        <f>IF($A3733="",0,IF(AE3733="직접",IF(OR(AF3733="유지비",AF3733="손해조사비"),$P3733,0),$P3733*(1-AG3733)*IFERROR(INDEX(계정대체기준!$D$20:$D$49,MATCH($N3733,계정대체기준!$A$20:$A$49,0)),0)))</f>
        <v/>
      </c>
      <c r="AB3733" s="94">
        <f>IF($A3733="",0,IF(AE3733="직접",IF(AF3733="수금비",$P3733,0),$P3733*(1-AG3733)*IFERROR(INDEX(계정대체기준!$E$20:$E$49,MATCH($N3733,계정대체기준!$A$20:$A$49,0)),0)))</f>
        <v/>
      </c>
      <c r="AC3733" s="9">
        <f>IF(AND($A3733&lt;&gt;"",M3733=설정!$C$20,Z3733&gt;0),Z3733+ROW()/1000000000,"")</f>
        <v/>
      </c>
      <c r="AD3733" s="94">
        <f>IF($A3733="",0,$P3733*AG3733)</f>
        <v/>
      </c>
      <c r="AE3733" s="64">
        <f>IF($A3733="","",IFERROR(INDEX(계정매핑!$E$5:$E$504,MATCH($F3733&amp;"",계정매핑!$A$5:$A$504,0))&amp;"","공통비"))</f>
        <v/>
      </c>
      <c r="AF3733" s="64">
        <f>IF($A3733="","",IF(AE3733="직접",IFERROR(INDEX(계정매핑!$F$5:$F$504,MATCH($F3733&amp;"",계정매핑!$A$5:$A$504,0))&amp;"","비귀속"),""))</f>
        <v/>
      </c>
      <c r="AG3733" s="96">
        <f>IF($A3733="",0,IF(AND(AE3733&lt;&gt;"직접",IFERROR(INDEX(계정매핑!$G$5:$G$504,MATCH($F3733&amp;"",계정매핑!$A$5:$A$504,0))&amp;"","")="유지비",COUNTIF(계정대체기준!$A$6:$A$15,$N3733)&gt;0),IFERROR(INDEX(계정대체기준!$E$6:$E$15,MATCH(VALUE($A3733&amp;""),계정대체기준!$D$6:$D$15,0)),0),0))</f>
        <v/>
      </c>
      <c r="AH3733" s="64">
        <f>IF($A3733="","",IF(AD3733=0,"",IF(OR(COUNTIF(계정대체기준!$A$77:$A$86,$N3733)&gt;0,ISNUMBER(MATCH($X3733,계정대체기준!$D$77:$D$86,0)),ISNUMBER(MATCH($F3733,계정대체기준!$D$77:$D$86,0))),"Y","N")))</f>
        <v/>
      </c>
    </row>
    <row r="3734">
      <c r="A3734" s="92" t="n">
        <v>2026</v>
      </c>
      <c r="B3734" s="92" t="n">
        <v>5</v>
      </c>
      <c r="C3734" s="92" t="inlineStr">
        <is>
          <t>5100001012</t>
        </is>
      </c>
      <c r="D3734" s="95" t="n">
        <v>46154</v>
      </c>
      <c r="E3734" s="92" t="inlineStr">
        <is>
          <t>KR</t>
        </is>
      </c>
      <c r="F3734" s="92" t="n">
        <v>63101000</v>
      </c>
      <c r="G3734" s="92" t="n">
        <v>1601</v>
      </c>
      <c r="H3734" s="93" t="n">
        <v>6570000</v>
      </c>
      <c r="I3734" s="92" t="inlineStr">
        <is>
          <t>5월 사무실 임차료 - AA빌딩</t>
        </is>
      </c>
      <c r="J3734" s="92" t="inlineStr">
        <is>
          <t>V10007</t>
        </is>
      </c>
      <c r="K3734" s="92" t="inlineStr">
        <is>
          <t>AA빌딩</t>
        </is>
      </c>
      <c r="M3734" s="9">
        <f>IF($A3734="","",VALUE($A3734&amp;"")*12+VALUE($B3734&amp;""))</f>
        <v/>
      </c>
      <c r="N3734" s="64">
        <f>IF($A3734="","",IFERROR(INDEX(부서매핑!$C$5:$C$504,MATCH($G3734&amp;"",부서매핑!$A$5:$A$504,0)),"미매핑"))</f>
        <v/>
      </c>
      <c r="O3734" s="9">
        <f>IF($A3734="","",N3734&amp;"|"&amp;$F3734)</f>
        <v/>
      </c>
      <c r="P3734" s="94">
        <f>IF($A3734="",0,$H3734*설정!$C$23)</f>
        <v/>
      </c>
      <c r="Q3734" s="64">
        <f>IF($A3734="","",IF(O3734&lt;&gt;원인분석!$C$9,"",IF(AND(M3734&gt;=원인분석!$C$10,M3734&lt;=원인분석!$C$11),"당기",IF(AND(M3734&gt;=원인분석!$C$12,M3734&lt;=원인분석!$C$13),"비교",""))))</f>
        <v/>
      </c>
      <c r="R3734" s="9">
        <f>IF(Q3734="","",$K3734&amp;"")</f>
        <v/>
      </c>
      <c r="S3734" s="9">
        <f>IF(Q3734="","",IF(MATCH(R3734,$R$5:$R$100000,0)=ROW()-4,ROW(),""))</f>
        <v/>
      </c>
      <c r="T3734" s="9">
        <f>IF(Q3734="당기",ABS(P3734)+ROW()/1000000000,"")</f>
        <v/>
      </c>
      <c r="U3734" s="9">
        <f>IF(Q3734="비교",ABS(P3734)+ROW()/1000000000,"")</f>
        <v/>
      </c>
      <c r="V3734" s="64">
        <f>IF($A3734="","",IF(COUNTIF(변동분석!$E$7:$E$506,O3734)&gt;0,"Y","N"))</f>
        <v/>
      </c>
      <c r="W3734" s="64">
        <f>IF($A3734="","",IFERROR(INDEX(계정매핑!$D$5:$D$504,MATCH($F3734&amp;"",계정매핑!$A$5:$A$504,0)),"미매핑"))</f>
        <v/>
      </c>
      <c r="X3734" s="9">
        <f>IF($A3734="","",$F3734&amp;"")</f>
        <v/>
      </c>
      <c r="Y3734" s="94">
        <f>IF($A3734="",0,IF(AE3734="직접",IF(AF3734="비귀속",$P3734,0),$P3734*(1-AG3734)*IFERROR(INDEX(계정대체기준!$F$20:$F$49,MATCH($N3734,계정대체기준!$A$20:$A$49,0)),1)))</f>
        <v/>
      </c>
      <c r="Z3734" s="94">
        <f>IF($A3734="",0,IF(AE3734="직접",IF(AF3734="신계약비",$P3734,0),$P3734*(1-AG3734)*IFERROR(INDEX(계정대체기준!$C$20:$C$49,MATCH($N3734,계정대체기준!$A$20:$A$49,0)),0)))</f>
        <v/>
      </c>
      <c r="AA3734" s="94">
        <f>IF($A3734="",0,IF(AE3734="직접",IF(OR(AF3734="유지비",AF3734="손해조사비"),$P3734,0),$P3734*(1-AG3734)*IFERROR(INDEX(계정대체기준!$D$20:$D$49,MATCH($N3734,계정대체기준!$A$20:$A$49,0)),0)))</f>
        <v/>
      </c>
      <c r="AB3734" s="94">
        <f>IF($A3734="",0,IF(AE3734="직접",IF(AF3734="수금비",$P3734,0),$P3734*(1-AG3734)*IFERROR(INDEX(계정대체기준!$E$20:$E$49,MATCH($N3734,계정대체기준!$A$20:$A$49,0)),0)))</f>
        <v/>
      </c>
      <c r="AC3734" s="9">
        <f>IF(AND($A3734&lt;&gt;"",M3734=설정!$C$20,Z3734&gt;0),Z3734+ROW()/1000000000,"")</f>
        <v/>
      </c>
      <c r="AD3734" s="94">
        <f>IF($A3734="",0,$P3734*AG3734)</f>
        <v/>
      </c>
      <c r="AE3734" s="64">
        <f>IF($A3734="","",IFERROR(INDEX(계정매핑!$E$5:$E$504,MATCH($F3734&amp;"",계정매핑!$A$5:$A$504,0))&amp;"","공통비"))</f>
        <v/>
      </c>
      <c r="AF3734" s="64">
        <f>IF($A3734="","",IF(AE3734="직접",IFERROR(INDEX(계정매핑!$F$5:$F$504,MATCH($F3734&amp;"",계정매핑!$A$5:$A$504,0))&amp;"","비귀속"),""))</f>
        <v/>
      </c>
      <c r="AG3734" s="96">
        <f>IF($A3734="",0,IF(AND(AE3734&lt;&gt;"직접",IFERROR(INDEX(계정매핑!$G$5:$G$504,MATCH($F3734&amp;"",계정매핑!$A$5:$A$504,0))&amp;"","")="유지비",COUNTIF(계정대체기준!$A$6:$A$15,$N3734)&gt;0),IFERROR(INDEX(계정대체기준!$E$6:$E$15,MATCH(VALUE($A3734&amp;""),계정대체기준!$D$6:$D$15,0)),0),0))</f>
        <v/>
      </c>
      <c r="AH3734" s="64">
        <f>IF($A3734="","",IF(AD3734=0,"",IF(OR(COUNTIF(계정대체기준!$A$77:$A$86,$N3734)&gt;0,ISNUMBER(MATCH($X3734,계정대체기준!$D$77:$D$86,0)),ISNUMBER(MATCH($F3734,계정대체기준!$D$77:$D$86,0))),"Y","N")))</f>
        <v/>
      </c>
    </row>
    <row r="3735">
      <c r="A3735" s="92" t="n">
        <v>2026</v>
      </c>
      <c r="B3735" s="92" t="n">
        <v>5</v>
      </c>
      <c r="C3735" s="92" t="inlineStr">
        <is>
          <t>5100001013</t>
        </is>
      </c>
      <c r="D3735" s="95" t="n">
        <v>46154</v>
      </c>
      <c r="E3735" s="92" t="inlineStr">
        <is>
          <t>KR</t>
        </is>
      </c>
      <c r="F3735" s="92" t="n">
        <v>63501000</v>
      </c>
      <c r="G3735" s="92" t="n">
        <v>1901</v>
      </c>
      <c r="H3735" s="93" t="n">
        <v>463562000</v>
      </c>
      <c r="I3735" s="92" t="inlineStr">
        <is>
          <t>5월 모집수수료 - (전속설계사)</t>
        </is>
      </c>
      <c r="J3735" s="92" t="inlineStr">
        <is>
          <t>V10021</t>
        </is>
      </c>
      <c r="K3735" s="92" t="inlineStr">
        <is>
          <t>(전속설계사)</t>
        </is>
      </c>
      <c r="M3735" s="9">
        <f>IF($A3735="","",VALUE($A3735&amp;"")*12+VALUE($B3735&amp;""))</f>
        <v/>
      </c>
      <c r="N3735" s="64">
        <f>IF($A3735="","",IFERROR(INDEX(부서매핑!$C$5:$C$504,MATCH($G3735&amp;"",부서매핑!$A$5:$A$504,0)),"미매핑"))</f>
        <v/>
      </c>
      <c r="O3735" s="9">
        <f>IF($A3735="","",N3735&amp;"|"&amp;$F3735)</f>
        <v/>
      </c>
      <c r="P3735" s="94">
        <f>IF($A3735="",0,$H3735*설정!$C$23)</f>
        <v/>
      </c>
      <c r="Q3735" s="64">
        <f>IF($A3735="","",IF(O3735&lt;&gt;원인분석!$C$9,"",IF(AND(M3735&gt;=원인분석!$C$10,M3735&lt;=원인분석!$C$11),"당기",IF(AND(M3735&gt;=원인분석!$C$12,M3735&lt;=원인분석!$C$13),"비교",""))))</f>
        <v/>
      </c>
      <c r="R3735" s="9">
        <f>IF(Q3735="","",$K3735&amp;"")</f>
        <v/>
      </c>
      <c r="S3735" s="9">
        <f>IF(Q3735="","",IF(MATCH(R3735,$R$5:$R$100000,0)=ROW()-4,ROW(),""))</f>
        <v/>
      </c>
      <c r="T3735" s="9">
        <f>IF(Q3735="당기",ABS(P3735)+ROW()/1000000000,"")</f>
        <v/>
      </c>
      <c r="U3735" s="9">
        <f>IF(Q3735="비교",ABS(P3735)+ROW()/1000000000,"")</f>
        <v/>
      </c>
      <c r="V3735" s="64">
        <f>IF($A3735="","",IF(COUNTIF(변동분석!$E$7:$E$506,O3735)&gt;0,"Y","N"))</f>
        <v/>
      </c>
      <c r="W3735" s="64">
        <f>IF($A3735="","",IFERROR(INDEX(계정매핑!$D$5:$D$504,MATCH($F3735&amp;"",계정매핑!$A$5:$A$504,0)),"미매핑"))</f>
        <v/>
      </c>
      <c r="X3735" s="9">
        <f>IF($A3735="","",$F3735&amp;"")</f>
        <v/>
      </c>
      <c r="Y3735" s="94">
        <f>IF($A3735="",0,IF(AE3735="직접",IF(AF3735="비귀속",$P3735,0),$P3735*(1-AG3735)*IFERROR(INDEX(계정대체기준!$F$20:$F$49,MATCH($N3735,계정대체기준!$A$20:$A$49,0)),1)))</f>
        <v/>
      </c>
      <c r="Z3735" s="94">
        <f>IF($A3735="",0,IF(AE3735="직접",IF(AF3735="신계약비",$P3735,0),$P3735*(1-AG3735)*IFERROR(INDEX(계정대체기준!$C$20:$C$49,MATCH($N3735,계정대체기준!$A$20:$A$49,0)),0)))</f>
        <v/>
      </c>
      <c r="AA3735" s="94">
        <f>IF($A3735="",0,IF(AE3735="직접",IF(OR(AF3735="유지비",AF3735="손해조사비"),$P3735,0),$P3735*(1-AG3735)*IFERROR(INDEX(계정대체기준!$D$20:$D$49,MATCH($N3735,계정대체기준!$A$20:$A$49,0)),0)))</f>
        <v/>
      </c>
      <c r="AB3735" s="94">
        <f>IF($A3735="",0,IF(AE3735="직접",IF(AF3735="수금비",$P3735,0),$P3735*(1-AG3735)*IFERROR(INDEX(계정대체기준!$E$20:$E$49,MATCH($N3735,계정대체기준!$A$20:$A$49,0)),0)))</f>
        <v/>
      </c>
      <c r="AC3735" s="9">
        <f>IF(AND($A3735&lt;&gt;"",M3735=설정!$C$20,Z3735&gt;0),Z3735+ROW()/1000000000,"")</f>
        <v/>
      </c>
      <c r="AD3735" s="94">
        <f>IF($A3735="",0,$P3735*AG3735)</f>
        <v/>
      </c>
      <c r="AE3735" s="64">
        <f>IF($A3735="","",IFERROR(INDEX(계정매핑!$E$5:$E$504,MATCH($F3735&amp;"",계정매핑!$A$5:$A$504,0))&amp;"","공통비"))</f>
        <v/>
      </c>
      <c r="AF3735" s="64">
        <f>IF($A3735="","",IF(AE3735="직접",IFERROR(INDEX(계정매핑!$F$5:$F$504,MATCH($F3735&amp;"",계정매핑!$A$5:$A$504,0))&amp;"","비귀속"),""))</f>
        <v/>
      </c>
      <c r="AG3735" s="96">
        <f>IF($A3735="",0,IF(AND(AE3735&lt;&gt;"직접",IFERROR(INDEX(계정매핑!$G$5:$G$504,MATCH($F3735&amp;"",계정매핑!$A$5:$A$504,0))&amp;"","")="유지비",COUNTIF(계정대체기준!$A$6:$A$15,$N3735)&gt;0),IFERROR(INDEX(계정대체기준!$E$6:$E$15,MATCH(VALUE($A3735&amp;""),계정대체기준!$D$6:$D$15,0)),0),0))</f>
        <v/>
      </c>
      <c r="AH3735" s="64">
        <f>IF($A3735="","",IF(AD3735=0,"",IF(OR(COUNTIF(계정대체기준!$A$77:$A$86,$N3735)&gt;0,ISNUMBER(MATCH($X3735,계정대체기준!$D$77:$D$86,0)),ISNUMBER(MATCH($F3735,계정대체기준!$D$77:$D$86,0))),"Y","N")))</f>
        <v/>
      </c>
    </row>
    <row r="3736">
      <c r="A3736" s="92" t="n">
        <v>2026</v>
      </c>
      <c r="B3736" s="92" t="n">
        <v>5</v>
      </c>
      <c r="C3736" s="92" t="inlineStr">
        <is>
          <t>5100001014</t>
        </is>
      </c>
      <c r="D3736" s="95" t="n">
        <v>46155</v>
      </c>
      <c r="E3736" s="92" t="inlineStr">
        <is>
          <t>KR</t>
        </is>
      </c>
      <c r="F3736" s="92" t="n">
        <v>62101000</v>
      </c>
      <c r="G3736" s="92" t="n">
        <v>1101</v>
      </c>
      <c r="H3736" s="93" t="n">
        <v>399000</v>
      </c>
      <c r="I3736" s="92" t="inlineStr">
        <is>
          <t>5월 국내출장 - M항공</t>
        </is>
      </c>
      <c r="J3736" s="92" t="inlineStr">
        <is>
          <t>V10001</t>
        </is>
      </c>
      <c r="K3736" s="92" t="inlineStr">
        <is>
          <t>M항공</t>
        </is>
      </c>
      <c r="M3736" s="9">
        <f>IF($A3736="","",VALUE($A3736&amp;"")*12+VALUE($B3736&amp;""))</f>
        <v/>
      </c>
      <c r="N3736" s="64">
        <f>IF($A3736="","",IFERROR(INDEX(부서매핑!$C$5:$C$504,MATCH($G3736&amp;"",부서매핑!$A$5:$A$504,0)),"미매핑"))</f>
        <v/>
      </c>
      <c r="O3736" s="9">
        <f>IF($A3736="","",N3736&amp;"|"&amp;$F3736)</f>
        <v/>
      </c>
      <c r="P3736" s="94">
        <f>IF($A3736="",0,$H3736*설정!$C$23)</f>
        <v/>
      </c>
      <c r="Q3736" s="64">
        <f>IF($A3736="","",IF(O3736&lt;&gt;원인분석!$C$9,"",IF(AND(M3736&gt;=원인분석!$C$10,M3736&lt;=원인분석!$C$11),"당기",IF(AND(M3736&gt;=원인분석!$C$12,M3736&lt;=원인분석!$C$13),"비교",""))))</f>
        <v/>
      </c>
      <c r="R3736" s="9">
        <f>IF(Q3736="","",$K3736&amp;"")</f>
        <v/>
      </c>
      <c r="S3736" s="9">
        <f>IF(Q3736="","",IF(MATCH(R3736,$R$5:$R$100000,0)=ROW()-4,ROW(),""))</f>
        <v/>
      </c>
      <c r="T3736" s="9">
        <f>IF(Q3736="당기",ABS(P3736)+ROW()/1000000000,"")</f>
        <v/>
      </c>
      <c r="U3736" s="9">
        <f>IF(Q3736="비교",ABS(P3736)+ROW()/1000000000,"")</f>
        <v/>
      </c>
      <c r="V3736" s="64">
        <f>IF($A3736="","",IF(COUNTIF(변동분석!$E$7:$E$506,O3736)&gt;0,"Y","N"))</f>
        <v/>
      </c>
      <c r="W3736" s="64">
        <f>IF($A3736="","",IFERROR(INDEX(계정매핑!$D$5:$D$504,MATCH($F3736&amp;"",계정매핑!$A$5:$A$504,0)),"미매핑"))</f>
        <v/>
      </c>
      <c r="X3736" s="9">
        <f>IF($A3736="","",$F3736&amp;"")</f>
        <v/>
      </c>
      <c r="Y3736" s="94">
        <f>IF($A3736="",0,IF(AE3736="직접",IF(AF3736="비귀속",$P3736,0),$P3736*(1-AG3736)*IFERROR(INDEX(계정대체기준!$F$20:$F$49,MATCH($N3736,계정대체기준!$A$20:$A$49,0)),1)))</f>
        <v/>
      </c>
      <c r="Z3736" s="94">
        <f>IF($A3736="",0,IF(AE3736="직접",IF(AF3736="신계약비",$P3736,0),$P3736*(1-AG3736)*IFERROR(INDEX(계정대체기준!$C$20:$C$49,MATCH($N3736,계정대체기준!$A$20:$A$49,0)),0)))</f>
        <v/>
      </c>
      <c r="AA3736" s="94">
        <f>IF($A3736="",0,IF(AE3736="직접",IF(OR(AF3736="유지비",AF3736="손해조사비"),$P3736,0),$P3736*(1-AG3736)*IFERROR(INDEX(계정대체기준!$D$20:$D$49,MATCH($N3736,계정대체기준!$A$20:$A$49,0)),0)))</f>
        <v/>
      </c>
      <c r="AB3736" s="94">
        <f>IF($A3736="",0,IF(AE3736="직접",IF(AF3736="수금비",$P3736,0),$P3736*(1-AG3736)*IFERROR(INDEX(계정대체기준!$E$20:$E$49,MATCH($N3736,계정대체기준!$A$20:$A$49,0)),0)))</f>
        <v/>
      </c>
      <c r="AC3736" s="9">
        <f>IF(AND($A3736&lt;&gt;"",M3736=설정!$C$20,Z3736&gt;0),Z3736+ROW()/1000000000,"")</f>
        <v/>
      </c>
      <c r="AD3736" s="94">
        <f>IF($A3736="",0,$P3736*AG3736)</f>
        <v/>
      </c>
      <c r="AE3736" s="64">
        <f>IF($A3736="","",IFERROR(INDEX(계정매핑!$E$5:$E$504,MATCH($F3736&amp;"",계정매핑!$A$5:$A$504,0))&amp;"","공통비"))</f>
        <v/>
      </c>
      <c r="AF3736" s="64">
        <f>IF($A3736="","",IF(AE3736="직접",IFERROR(INDEX(계정매핑!$F$5:$F$504,MATCH($F3736&amp;"",계정매핑!$A$5:$A$504,0))&amp;"","비귀속"),""))</f>
        <v/>
      </c>
      <c r="AG3736" s="96">
        <f>IF($A3736="",0,IF(AND(AE3736&lt;&gt;"직접",IFERROR(INDEX(계정매핑!$G$5:$G$504,MATCH($F3736&amp;"",계정매핑!$A$5:$A$504,0))&amp;"","")="유지비",COUNTIF(계정대체기준!$A$6:$A$15,$N3736)&gt;0),IFERROR(INDEX(계정대체기준!$E$6:$E$15,MATCH(VALUE($A3736&amp;""),계정대체기준!$D$6:$D$15,0)),0),0))</f>
        <v/>
      </c>
      <c r="AH3736" s="64">
        <f>IF($A3736="","",IF(AD3736=0,"",IF(OR(COUNTIF(계정대체기준!$A$77:$A$86,$N3736)&gt;0,ISNUMBER(MATCH($X3736,계정대체기준!$D$77:$D$86,0)),ISNUMBER(MATCH($F3736,계정대체기준!$D$77:$D$86,0))),"Y","N")))</f>
        <v/>
      </c>
    </row>
    <row r="3737">
      <c r="A3737" s="92" t="n">
        <v>2026</v>
      </c>
      <c r="B3737" s="92" t="n">
        <v>5</v>
      </c>
      <c r="C3737" s="92" t="inlineStr">
        <is>
          <t>5100001015</t>
        </is>
      </c>
      <c r="D3737" s="95" t="n">
        <v>46155</v>
      </c>
      <c r="E3737" s="92" t="inlineStr">
        <is>
          <t>KR</t>
        </is>
      </c>
      <c r="F3737" s="92" t="n">
        <v>62101000</v>
      </c>
      <c r="G3737" s="92" t="n">
        <v>1701</v>
      </c>
      <c r="H3737" s="93" t="n">
        <v>272000</v>
      </c>
      <c r="I3737" s="92" t="inlineStr">
        <is>
          <t>5월 국내출장 - M항공</t>
        </is>
      </c>
      <c r="J3737" s="92" t="inlineStr">
        <is>
          <t>V10001</t>
        </is>
      </c>
      <c r="K3737" s="92" t="inlineStr">
        <is>
          <t>M항공</t>
        </is>
      </c>
      <c r="M3737" s="9">
        <f>IF($A3737="","",VALUE($A3737&amp;"")*12+VALUE($B3737&amp;""))</f>
        <v/>
      </c>
      <c r="N3737" s="64">
        <f>IF($A3737="","",IFERROR(INDEX(부서매핑!$C$5:$C$504,MATCH($G3737&amp;"",부서매핑!$A$5:$A$504,0)),"미매핑"))</f>
        <v/>
      </c>
      <c r="O3737" s="9">
        <f>IF($A3737="","",N3737&amp;"|"&amp;$F3737)</f>
        <v/>
      </c>
      <c r="P3737" s="94">
        <f>IF($A3737="",0,$H3737*설정!$C$23)</f>
        <v/>
      </c>
      <c r="Q3737" s="64">
        <f>IF($A3737="","",IF(O3737&lt;&gt;원인분석!$C$9,"",IF(AND(M3737&gt;=원인분석!$C$10,M3737&lt;=원인분석!$C$11),"당기",IF(AND(M3737&gt;=원인분석!$C$12,M3737&lt;=원인분석!$C$13),"비교",""))))</f>
        <v/>
      </c>
      <c r="R3737" s="9">
        <f>IF(Q3737="","",$K3737&amp;"")</f>
        <v/>
      </c>
      <c r="S3737" s="9">
        <f>IF(Q3737="","",IF(MATCH(R3737,$R$5:$R$100000,0)=ROW()-4,ROW(),""))</f>
        <v/>
      </c>
      <c r="T3737" s="9">
        <f>IF(Q3737="당기",ABS(P3737)+ROW()/1000000000,"")</f>
        <v/>
      </c>
      <c r="U3737" s="9">
        <f>IF(Q3737="비교",ABS(P3737)+ROW()/1000000000,"")</f>
        <v/>
      </c>
      <c r="V3737" s="64">
        <f>IF($A3737="","",IF(COUNTIF(변동분석!$E$7:$E$506,O3737)&gt;0,"Y","N"))</f>
        <v/>
      </c>
      <c r="W3737" s="64">
        <f>IF($A3737="","",IFERROR(INDEX(계정매핑!$D$5:$D$504,MATCH($F3737&amp;"",계정매핑!$A$5:$A$504,0)),"미매핑"))</f>
        <v/>
      </c>
      <c r="X3737" s="9">
        <f>IF($A3737="","",$F3737&amp;"")</f>
        <v/>
      </c>
      <c r="Y3737" s="94">
        <f>IF($A3737="",0,IF(AE3737="직접",IF(AF3737="비귀속",$P3737,0),$P3737*(1-AG3737)*IFERROR(INDEX(계정대체기준!$F$20:$F$49,MATCH($N3737,계정대체기준!$A$20:$A$49,0)),1)))</f>
        <v/>
      </c>
      <c r="Z3737" s="94">
        <f>IF($A3737="",0,IF(AE3737="직접",IF(AF3737="신계약비",$P3737,0),$P3737*(1-AG3737)*IFERROR(INDEX(계정대체기준!$C$20:$C$49,MATCH($N3737,계정대체기준!$A$20:$A$49,0)),0)))</f>
        <v/>
      </c>
      <c r="AA3737" s="94">
        <f>IF($A3737="",0,IF(AE3737="직접",IF(OR(AF3737="유지비",AF3737="손해조사비"),$P3737,0),$P3737*(1-AG3737)*IFERROR(INDEX(계정대체기준!$D$20:$D$49,MATCH($N3737,계정대체기준!$A$20:$A$49,0)),0)))</f>
        <v/>
      </c>
      <c r="AB3737" s="94">
        <f>IF($A3737="",0,IF(AE3737="직접",IF(AF3737="수금비",$P3737,0),$P3737*(1-AG3737)*IFERROR(INDEX(계정대체기준!$E$20:$E$49,MATCH($N3737,계정대체기준!$A$20:$A$49,0)),0)))</f>
        <v/>
      </c>
      <c r="AC3737" s="9">
        <f>IF(AND($A3737&lt;&gt;"",M3737=설정!$C$20,Z3737&gt;0),Z3737+ROW()/1000000000,"")</f>
        <v/>
      </c>
      <c r="AD3737" s="94">
        <f>IF($A3737="",0,$P3737*AG3737)</f>
        <v/>
      </c>
      <c r="AE3737" s="64">
        <f>IF($A3737="","",IFERROR(INDEX(계정매핑!$E$5:$E$504,MATCH($F3737&amp;"",계정매핑!$A$5:$A$504,0))&amp;"","공통비"))</f>
        <v/>
      </c>
      <c r="AF3737" s="64">
        <f>IF($A3737="","",IF(AE3737="직접",IFERROR(INDEX(계정매핑!$F$5:$F$504,MATCH($F3737&amp;"",계정매핑!$A$5:$A$504,0))&amp;"","비귀속"),""))</f>
        <v/>
      </c>
      <c r="AG3737" s="96">
        <f>IF($A3737="",0,IF(AND(AE3737&lt;&gt;"직접",IFERROR(INDEX(계정매핑!$G$5:$G$504,MATCH($F3737&amp;"",계정매핑!$A$5:$A$504,0))&amp;"","")="유지비",COUNTIF(계정대체기준!$A$6:$A$15,$N3737)&gt;0),IFERROR(INDEX(계정대체기준!$E$6:$E$15,MATCH(VALUE($A3737&amp;""),계정대체기준!$D$6:$D$15,0)),0),0))</f>
        <v/>
      </c>
      <c r="AH3737" s="64">
        <f>IF($A3737="","",IF(AD3737=0,"",IF(OR(COUNTIF(계정대체기준!$A$77:$A$86,$N3737)&gt;0,ISNUMBER(MATCH($X3737,계정대체기준!$D$77:$D$86,0)),ISNUMBER(MATCH($F3737,계정대체기준!$D$77:$D$86,0))),"Y","N")))</f>
        <v/>
      </c>
    </row>
    <row r="3738">
      <c r="A3738" s="92" t="n">
        <v>2026</v>
      </c>
      <c r="B3738" s="92" t="n">
        <v>5</v>
      </c>
      <c r="C3738" s="92" t="inlineStr">
        <is>
          <t>5100001016</t>
        </is>
      </c>
      <c r="D3738" s="95" t="n">
        <v>46155</v>
      </c>
      <c r="E3738" s="92" t="inlineStr">
        <is>
          <t>KR</t>
        </is>
      </c>
      <c r="F3738" s="92" t="n">
        <v>62102000</v>
      </c>
      <c r="G3738" s="92" t="n">
        <v>1501</v>
      </c>
      <c r="H3738" s="93" t="n">
        <v>137000</v>
      </c>
      <c r="I3738" s="92" t="inlineStr">
        <is>
          <t>5월 해외출장 - M항공</t>
        </is>
      </c>
      <c r="J3738" s="92" t="inlineStr">
        <is>
          <t>V10001</t>
        </is>
      </c>
      <c r="K3738" s="92" t="inlineStr">
        <is>
          <t>M항공</t>
        </is>
      </c>
      <c r="M3738" s="9">
        <f>IF($A3738="","",VALUE($A3738&amp;"")*12+VALUE($B3738&amp;""))</f>
        <v/>
      </c>
      <c r="N3738" s="64">
        <f>IF($A3738="","",IFERROR(INDEX(부서매핑!$C$5:$C$504,MATCH($G3738&amp;"",부서매핑!$A$5:$A$504,0)),"미매핑"))</f>
        <v/>
      </c>
      <c r="O3738" s="9">
        <f>IF($A3738="","",N3738&amp;"|"&amp;$F3738)</f>
        <v/>
      </c>
      <c r="P3738" s="94">
        <f>IF($A3738="",0,$H3738*설정!$C$23)</f>
        <v/>
      </c>
      <c r="Q3738" s="64">
        <f>IF($A3738="","",IF(O3738&lt;&gt;원인분석!$C$9,"",IF(AND(M3738&gt;=원인분석!$C$10,M3738&lt;=원인분석!$C$11),"당기",IF(AND(M3738&gt;=원인분석!$C$12,M3738&lt;=원인분석!$C$13),"비교",""))))</f>
        <v/>
      </c>
      <c r="R3738" s="9">
        <f>IF(Q3738="","",$K3738&amp;"")</f>
        <v/>
      </c>
      <c r="S3738" s="9">
        <f>IF(Q3738="","",IF(MATCH(R3738,$R$5:$R$100000,0)=ROW()-4,ROW(),""))</f>
        <v/>
      </c>
      <c r="T3738" s="9">
        <f>IF(Q3738="당기",ABS(P3738)+ROW()/1000000000,"")</f>
        <v/>
      </c>
      <c r="U3738" s="9">
        <f>IF(Q3738="비교",ABS(P3738)+ROW()/1000000000,"")</f>
        <v/>
      </c>
      <c r="V3738" s="64">
        <f>IF($A3738="","",IF(COUNTIF(변동분석!$E$7:$E$506,O3738)&gt;0,"Y","N"))</f>
        <v/>
      </c>
      <c r="W3738" s="64">
        <f>IF($A3738="","",IFERROR(INDEX(계정매핑!$D$5:$D$504,MATCH($F3738&amp;"",계정매핑!$A$5:$A$504,0)),"미매핑"))</f>
        <v/>
      </c>
      <c r="X3738" s="9">
        <f>IF($A3738="","",$F3738&amp;"")</f>
        <v/>
      </c>
      <c r="Y3738" s="94">
        <f>IF($A3738="",0,IF(AE3738="직접",IF(AF3738="비귀속",$P3738,0),$P3738*(1-AG3738)*IFERROR(INDEX(계정대체기준!$F$20:$F$49,MATCH($N3738,계정대체기준!$A$20:$A$49,0)),1)))</f>
        <v/>
      </c>
      <c r="Z3738" s="94">
        <f>IF($A3738="",0,IF(AE3738="직접",IF(AF3738="신계약비",$P3738,0),$P3738*(1-AG3738)*IFERROR(INDEX(계정대체기준!$C$20:$C$49,MATCH($N3738,계정대체기준!$A$20:$A$49,0)),0)))</f>
        <v/>
      </c>
      <c r="AA3738" s="94">
        <f>IF($A3738="",0,IF(AE3738="직접",IF(OR(AF3738="유지비",AF3738="손해조사비"),$P3738,0),$P3738*(1-AG3738)*IFERROR(INDEX(계정대체기준!$D$20:$D$49,MATCH($N3738,계정대체기준!$A$20:$A$49,0)),0)))</f>
        <v/>
      </c>
      <c r="AB3738" s="94">
        <f>IF($A3738="",0,IF(AE3738="직접",IF(AF3738="수금비",$P3738,0),$P3738*(1-AG3738)*IFERROR(INDEX(계정대체기준!$E$20:$E$49,MATCH($N3738,계정대체기준!$A$20:$A$49,0)),0)))</f>
        <v/>
      </c>
      <c r="AC3738" s="9">
        <f>IF(AND($A3738&lt;&gt;"",M3738=설정!$C$20,Z3738&gt;0),Z3738+ROW()/1000000000,"")</f>
        <v/>
      </c>
      <c r="AD3738" s="94">
        <f>IF($A3738="",0,$P3738*AG3738)</f>
        <v/>
      </c>
      <c r="AE3738" s="64">
        <f>IF($A3738="","",IFERROR(INDEX(계정매핑!$E$5:$E$504,MATCH($F3738&amp;"",계정매핑!$A$5:$A$504,0))&amp;"","공통비"))</f>
        <v/>
      </c>
      <c r="AF3738" s="64">
        <f>IF($A3738="","",IF(AE3738="직접",IFERROR(INDEX(계정매핑!$F$5:$F$504,MATCH($F3738&amp;"",계정매핑!$A$5:$A$504,0))&amp;"","비귀속"),""))</f>
        <v/>
      </c>
      <c r="AG3738" s="96">
        <f>IF($A3738="",0,IF(AND(AE3738&lt;&gt;"직접",IFERROR(INDEX(계정매핑!$G$5:$G$504,MATCH($F3738&amp;"",계정매핑!$A$5:$A$504,0))&amp;"","")="유지비",COUNTIF(계정대체기준!$A$6:$A$15,$N3738)&gt;0),IFERROR(INDEX(계정대체기준!$E$6:$E$15,MATCH(VALUE($A3738&amp;""),계정대체기준!$D$6:$D$15,0)),0),0))</f>
        <v/>
      </c>
      <c r="AH3738" s="64">
        <f>IF($A3738="","",IF(AD3738=0,"",IF(OR(COUNTIF(계정대체기준!$A$77:$A$86,$N3738)&gt;0,ISNUMBER(MATCH($X3738,계정대체기준!$D$77:$D$86,0)),ISNUMBER(MATCH($F3738,계정대체기준!$D$77:$D$86,0))),"Y","N")))</f>
        <v/>
      </c>
    </row>
    <row r="3739">
      <c r="A3739" s="92" t="n">
        <v>2026</v>
      </c>
      <c r="B3739" s="92" t="n">
        <v>5</v>
      </c>
      <c r="C3739" s="92" t="inlineStr">
        <is>
          <t>5100001017</t>
        </is>
      </c>
      <c r="D3739" s="95" t="n">
        <v>46155</v>
      </c>
      <c r="E3739" s="92" t="inlineStr">
        <is>
          <t>KR</t>
        </is>
      </c>
      <c r="F3739" s="92" t="n">
        <v>62201000</v>
      </c>
      <c r="G3739" s="92" t="n">
        <v>1301</v>
      </c>
      <c r="H3739" s="93" t="n">
        <v>289000</v>
      </c>
      <c r="I3739" s="92" t="inlineStr">
        <is>
          <t>5월 통신요금 - P통신</t>
        </is>
      </c>
      <c r="J3739" s="92" t="inlineStr">
        <is>
          <t>V10014</t>
        </is>
      </c>
      <c r="K3739" s="92" t="inlineStr">
        <is>
          <t>P통신</t>
        </is>
      </c>
      <c r="M3739" s="9">
        <f>IF($A3739="","",VALUE($A3739&amp;"")*12+VALUE($B3739&amp;""))</f>
        <v/>
      </c>
      <c r="N3739" s="64">
        <f>IF($A3739="","",IFERROR(INDEX(부서매핑!$C$5:$C$504,MATCH($G3739&amp;"",부서매핑!$A$5:$A$504,0)),"미매핑"))</f>
        <v/>
      </c>
      <c r="O3739" s="9">
        <f>IF($A3739="","",N3739&amp;"|"&amp;$F3739)</f>
        <v/>
      </c>
      <c r="P3739" s="94">
        <f>IF($A3739="",0,$H3739*설정!$C$23)</f>
        <v/>
      </c>
      <c r="Q3739" s="64">
        <f>IF($A3739="","",IF(O3739&lt;&gt;원인분석!$C$9,"",IF(AND(M3739&gt;=원인분석!$C$10,M3739&lt;=원인분석!$C$11),"당기",IF(AND(M3739&gt;=원인분석!$C$12,M3739&lt;=원인분석!$C$13),"비교",""))))</f>
        <v/>
      </c>
      <c r="R3739" s="9">
        <f>IF(Q3739="","",$K3739&amp;"")</f>
        <v/>
      </c>
      <c r="S3739" s="9">
        <f>IF(Q3739="","",IF(MATCH(R3739,$R$5:$R$100000,0)=ROW()-4,ROW(),""))</f>
        <v/>
      </c>
      <c r="T3739" s="9">
        <f>IF(Q3739="당기",ABS(P3739)+ROW()/1000000000,"")</f>
        <v/>
      </c>
      <c r="U3739" s="9">
        <f>IF(Q3739="비교",ABS(P3739)+ROW()/1000000000,"")</f>
        <v/>
      </c>
      <c r="V3739" s="64">
        <f>IF($A3739="","",IF(COUNTIF(변동분석!$E$7:$E$506,O3739)&gt;0,"Y","N"))</f>
        <v/>
      </c>
      <c r="W3739" s="64">
        <f>IF($A3739="","",IFERROR(INDEX(계정매핑!$D$5:$D$504,MATCH($F3739&amp;"",계정매핑!$A$5:$A$504,0)),"미매핑"))</f>
        <v/>
      </c>
      <c r="X3739" s="9">
        <f>IF($A3739="","",$F3739&amp;"")</f>
        <v/>
      </c>
      <c r="Y3739" s="94">
        <f>IF($A3739="",0,IF(AE3739="직접",IF(AF3739="비귀속",$P3739,0),$P3739*(1-AG3739)*IFERROR(INDEX(계정대체기준!$F$20:$F$49,MATCH($N3739,계정대체기준!$A$20:$A$49,0)),1)))</f>
        <v/>
      </c>
      <c r="Z3739" s="94">
        <f>IF($A3739="",0,IF(AE3739="직접",IF(AF3739="신계약비",$P3739,0),$P3739*(1-AG3739)*IFERROR(INDEX(계정대체기준!$C$20:$C$49,MATCH($N3739,계정대체기준!$A$20:$A$49,0)),0)))</f>
        <v/>
      </c>
      <c r="AA3739" s="94">
        <f>IF($A3739="",0,IF(AE3739="직접",IF(OR(AF3739="유지비",AF3739="손해조사비"),$P3739,0),$P3739*(1-AG3739)*IFERROR(INDEX(계정대체기준!$D$20:$D$49,MATCH($N3739,계정대체기준!$A$20:$A$49,0)),0)))</f>
        <v/>
      </c>
      <c r="AB3739" s="94">
        <f>IF($A3739="",0,IF(AE3739="직접",IF(AF3739="수금비",$P3739,0),$P3739*(1-AG3739)*IFERROR(INDEX(계정대체기준!$E$20:$E$49,MATCH($N3739,계정대체기준!$A$20:$A$49,0)),0)))</f>
        <v/>
      </c>
      <c r="AC3739" s="9">
        <f>IF(AND($A3739&lt;&gt;"",M3739=설정!$C$20,Z3739&gt;0),Z3739+ROW()/1000000000,"")</f>
        <v/>
      </c>
      <c r="AD3739" s="94">
        <f>IF($A3739="",0,$P3739*AG3739)</f>
        <v/>
      </c>
      <c r="AE3739" s="64">
        <f>IF($A3739="","",IFERROR(INDEX(계정매핑!$E$5:$E$504,MATCH($F3739&amp;"",계정매핑!$A$5:$A$504,0))&amp;"","공통비"))</f>
        <v/>
      </c>
      <c r="AF3739" s="64">
        <f>IF($A3739="","",IF(AE3739="직접",IFERROR(INDEX(계정매핑!$F$5:$F$504,MATCH($F3739&amp;"",계정매핑!$A$5:$A$504,0))&amp;"","비귀속"),""))</f>
        <v/>
      </c>
      <c r="AG3739" s="96">
        <f>IF($A3739="",0,IF(AND(AE3739&lt;&gt;"직접",IFERROR(INDEX(계정매핑!$G$5:$G$504,MATCH($F3739&amp;"",계정매핑!$A$5:$A$504,0))&amp;"","")="유지비",COUNTIF(계정대체기준!$A$6:$A$15,$N3739)&gt;0),IFERROR(INDEX(계정대체기준!$E$6:$E$15,MATCH(VALUE($A3739&amp;""),계정대체기준!$D$6:$D$15,0)),0),0))</f>
        <v/>
      </c>
      <c r="AH3739" s="64">
        <f>IF($A3739="","",IF(AD3739=0,"",IF(OR(COUNTIF(계정대체기준!$A$77:$A$86,$N3739)&gt;0,ISNUMBER(MATCH($X3739,계정대체기준!$D$77:$D$86,0)),ISNUMBER(MATCH($F3739,계정대체기준!$D$77:$D$86,0))),"Y","N")))</f>
        <v/>
      </c>
    </row>
    <row r="3740">
      <c r="A3740" s="92" t="n">
        <v>2026</v>
      </c>
      <c r="B3740" s="92" t="n">
        <v>5</v>
      </c>
      <c r="C3740" s="92" t="inlineStr">
        <is>
          <t>5100001018</t>
        </is>
      </c>
      <c r="D3740" s="95" t="n">
        <v>46155</v>
      </c>
      <c r="E3740" s="92" t="inlineStr">
        <is>
          <t>KR</t>
        </is>
      </c>
      <c r="F3740" s="92" t="n">
        <v>62401000</v>
      </c>
      <c r="G3740" s="92" t="n">
        <v>1401</v>
      </c>
      <c r="H3740" s="93" t="n">
        <v>472000</v>
      </c>
      <c r="I3740" s="92" t="inlineStr">
        <is>
          <t>5월 인쇄물 제작 - S출판</t>
        </is>
      </c>
      <c r="J3740" s="92" t="inlineStr">
        <is>
          <t>V10015</t>
        </is>
      </c>
      <c r="K3740" s="92" t="inlineStr">
        <is>
          <t>S출판</t>
        </is>
      </c>
      <c r="M3740" s="9">
        <f>IF($A3740="","",VALUE($A3740&amp;"")*12+VALUE($B3740&amp;""))</f>
        <v/>
      </c>
      <c r="N3740" s="64">
        <f>IF($A3740="","",IFERROR(INDEX(부서매핑!$C$5:$C$504,MATCH($G3740&amp;"",부서매핑!$A$5:$A$504,0)),"미매핑"))</f>
        <v/>
      </c>
      <c r="O3740" s="9">
        <f>IF($A3740="","",N3740&amp;"|"&amp;$F3740)</f>
        <v/>
      </c>
      <c r="P3740" s="94">
        <f>IF($A3740="",0,$H3740*설정!$C$23)</f>
        <v/>
      </c>
      <c r="Q3740" s="64">
        <f>IF($A3740="","",IF(O3740&lt;&gt;원인분석!$C$9,"",IF(AND(M3740&gt;=원인분석!$C$10,M3740&lt;=원인분석!$C$11),"당기",IF(AND(M3740&gt;=원인분석!$C$12,M3740&lt;=원인분석!$C$13),"비교",""))))</f>
        <v/>
      </c>
      <c r="R3740" s="9">
        <f>IF(Q3740="","",$K3740&amp;"")</f>
        <v/>
      </c>
      <c r="S3740" s="9">
        <f>IF(Q3740="","",IF(MATCH(R3740,$R$5:$R$100000,0)=ROW()-4,ROW(),""))</f>
        <v/>
      </c>
      <c r="T3740" s="9">
        <f>IF(Q3740="당기",ABS(P3740)+ROW()/1000000000,"")</f>
        <v/>
      </c>
      <c r="U3740" s="9">
        <f>IF(Q3740="비교",ABS(P3740)+ROW()/1000000000,"")</f>
        <v/>
      </c>
      <c r="V3740" s="64">
        <f>IF($A3740="","",IF(COUNTIF(변동분석!$E$7:$E$506,O3740)&gt;0,"Y","N"))</f>
        <v/>
      </c>
      <c r="W3740" s="64">
        <f>IF($A3740="","",IFERROR(INDEX(계정매핑!$D$5:$D$504,MATCH($F3740&amp;"",계정매핑!$A$5:$A$504,0)),"미매핑"))</f>
        <v/>
      </c>
      <c r="X3740" s="9">
        <f>IF($A3740="","",$F3740&amp;"")</f>
        <v/>
      </c>
      <c r="Y3740" s="94">
        <f>IF($A3740="",0,IF(AE3740="직접",IF(AF3740="비귀속",$P3740,0),$P3740*(1-AG3740)*IFERROR(INDEX(계정대체기준!$F$20:$F$49,MATCH($N3740,계정대체기준!$A$20:$A$49,0)),1)))</f>
        <v/>
      </c>
      <c r="Z3740" s="94">
        <f>IF($A3740="",0,IF(AE3740="직접",IF(AF3740="신계약비",$P3740,0),$P3740*(1-AG3740)*IFERROR(INDEX(계정대체기준!$C$20:$C$49,MATCH($N3740,계정대체기준!$A$20:$A$49,0)),0)))</f>
        <v/>
      </c>
      <c r="AA3740" s="94">
        <f>IF($A3740="",0,IF(AE3740="직접",IF(OR(AF3740="유지비",AF3740="손해조사비"),$P3740,0),$P3740*(1-AG3740)*IFERROR(INDEX(계정대체기준!$D$20:$D$49,MATCH($N3740,계정대체기준!$A$20:$A$49,0)),0)))</f>
        <v/>
      </c>
      <c r="AB3740" s="94">
        <f>IF($A3740="",0,IF(AE3740="직접",IF(AF3740="수금비",$P3740,0),$P3740*(1-AG3740)*IFERROR(INDEX(계정대체기준!$E$20:$E$49,MATCH($N3740,계정대체기준!$A$20:$A$49,0)),0)))</f>
        <v/>
      </c>
      <c r="AC3740" s="9">
        <f>IF(AND($A3740&lt;&gt;"",M3740=설정!$C$20,Z3740&gt;0),Z3740+ROW()/1000000000,"")</f>
        <v/>
      </c>
      <c r="AD3740" s="94">
        <f>IF($A3740="",0,$P3740*AG3740)</f>
        <v/>
      </c>
      <c r="AE3740" s="64">
        <f>IF($A3740="","",IFERROR(INDEX(계정매핑!$E$5:$E$504,MATCH($F3740&amp;"",계정매핑!$A$5:$A$504,0))&amp;"","공통비"))</f>
        <v/>
      </c>
      <c r="AF3740" s="64">
        <f>IF($A3740="","",IF(AE3740="직접",IFERROR(INDEX(계정매핑!$F$5:$F$504,MATCH($F3740&amp;"",계정매핑!$A$5:$A$504,0))&amp;"","비귀속"),""))</f>
        <v/>
      </c>
      <c r="AG3740" s="96">
        <f>IF($A3740="",0,IF(AND(AE3740&lt;&gt;"직접",IFERROR(INDEX(계정매핑!$G$5:$G$504,MATCH($F3740&amp;"",계정매핑!$A$5:$A$504,0))&amp;"","")="유지비",COUNTIF(계정대체기준!$A$6:$A$15,$N3740)&gt;0),IFERROR(INDEX(계정대체기준!$E$6:$E$15,MATCH(VALUE($A3740&amp;""),계정대체기준!$D$6:$D$15,0)),0),0))</f>
        <v/>
      </c>
      <c r="AH3740" s="64">
        <f>IF($A3740="","",IF(AD3740=0,"",IF(OR(COUNTIF(계정대체기준!$A$77:$A$86,$N3740)&gt;0,ISNUMBER(MATCH($X3740,계정대체기준!$D$77:$D$86,0)),ISNUMBER(MATCH($F3740,계정대체기준!$D$77:$D$86,0))),"Y","N")))</f>
        <v/>
      </c>
    </row>
    <row r="3741">
      <c r="A3741" s="92" t="n">
        <v>2026</v>
      </c>
      <c r="B3741" s="92" t="n">
        <v>5</v>
      </c>
      <c r="C3741" s="92" t="inlineStr">
        <is>
          <t>5100001019</t>
        </is>
      </c>
      <c r="D3741" s="95" t="n">
        <v>46155</v>
      </c>
      <c r="E3741" s="92" t="inlineStr">
        <is>
          <t>KR</t>
        </is>
      </c>
      <c r="F3741" s="92" t="n">
        <v>62801000</v>
      </c>
      <c r="G3741" s="92" t="n">
        <v>1301</v>
      </c>
      <c r="H3741" s="93" t="n">
        <v>3905000</v>
      </c>
      <c r="I3741" s="92" t="inlineStr">
        <is>
          <t>5월 사내교육 - U에듀</t>
        </is>
      </c>
      <c r="J3741" s="92" t="inlineStr">
        <is>
          <t>V10031</t>
        </is>
      </c>
      <c r="K3741" s="92" t="inlineStr">
        <is>
          <t>U에듀</t>
        </is>
      </c>
      <c r="M3741" s="9">
        <f>IF($A3741="","",VALUE($A3741&amp;"")*12+VALUE($B3741&amp;""))</f>
        <v/>
      </c>
      <c r="N3741" s="64">
        <f>IF($A3741="","",IFERROR(INDEX(부서매핑!$C$5:$C$504,MATCH($G3741&amp;"",부서매핑!$A$5:$A$504,0)),"미매핑"))</f>
        <v/>
      </c>
      <c r="O3741" s="9">
        <f>IF($A3741="","",N3741&amp;"|"&amp;$F3741)</f>
        <v/>
      </c>
      <c r="P3741" s="94">
        <f>IF($A3741="",0,$H3741*설정!$C$23)</f>
        <v/>
      </c>
      <c r="Q3741" s="64">
        <f>IF($A3741="","",IF(O3741&lt;&gt;원인분석!$C$9,"",IF(AND(M3741&gt;=원인분석!$C$10,M3741&lt;=원인분석!$C$11),"당기",IF(AND(M3741&gt;=원인분석!$C$12,M3741&lt;=원인분석!$C$13),"비교",""))))</f>
        <v/>
      </c>
      <c r="R3741" s="9">
        <f>IF(Q3741="","",$K3741&amp;"")</f>
        <v/>
      </c>
      <c r="S3741" s="9">
        <f>IF(Q3741="","",IF(MATCH(R3741,$R$5:$R$100000,0)=ROW()-4,ROW(),""))</f>
        <v/>
      </c>
      <c r="T3741" s="9">
        <f>IF(Q3741="당기",ABS(P3741)+ROW()/1000000000,"")</f>
        <v/>
      </c>
      <c r="U3741" s="9">
        <f>IF(Q3741="비교",ABS(P3741)+ROW()/1000000000,"")</f>
        <v/>
      </c>
      <c r="V3741" s="64">
        <f>IF($A3741="","",IF(COUNTIF(변동분석!$E$7:$E$506,O3741)&gt;0,"Y","N"))</f>
        <v/>
      </c>
      <c r="W3741" s="64">
        <f>IF($A3741="","",IFERROR(INDEX(계정매핑!$D$5:$D$504,MATCH($F3741&amp;"",계정매핑!$A$5:$A$504,0)),"미매핑"))</f>
        <v/>
      </c>
      <c r="X3741" s="9">
        <f>IF($A3741="","",$F3741&amp;"")</f>
        <v/>
      </c>
      <c r="Y3741" s="94">
        <f>IF($A3741="",0,IF(AE3741="직접",IF(AF3741="비귀속",$P3741,0),$P3741*(1-AG3741)*IFERROR(INDEX(계정대체기준!$F$20:$F$49,MATCH($N3741,계정대체기준!$A$20:$A$49,0)),1)))</f>
        <v/>
      </c>
      <c r="Z3741" s="94">
        <f>IF($A3741="",0,IF(AE3741="직접",IF(AF3741="신계약비",$P3741,0),$P3741*(1-AG3741)*IFERROR(INDEX(계정대체기준!$C$20:$C$49,MATCH($N3741,계정대체기준!$A$20:$A$49,0)),0)))</f>
        <v/>
      </c>
      <c r="AA3741" s="94">
        <f>IF($A3741="",0,IF(AE3741="직접",IF(OR(AF3741="유지비",AF3741="손해조사비"),$P3741,0),$P3741*(1-AG3741)*IFERROR(INDEX(계정대체기준!$D$20:$D$49,MATCH($N3741,계정대체기준!$A$20:$A$49,0)),0)))</f>
        <v/>
      </c>
      <c r="AB3741" s="94">
        <f>IF($A3741="",0,IF(AE3741="직접",IF(AF3741="수금비",$P3741,0),$P3741*(1-AG3741)*IFERROR(INDEX(계정대체기준!$E$20:$E$49,MATCH($N3741,계정대체기준!$A$20:$A$49,0)),0)))</f>
        <v/>
      </c>
      <c r="AC3741" s="9">
        <f>IF(AND($A3741&lt;&gt;"",M3741=설정!$C$20,Z3741&gt;0),Z3741+ROW()/1000000000,"")</f>
        <v/>
      </c>
      <c r="AD3741" s="94">
        <f>IF($A3741="",0,$P3741*AG3741)</f>
        <v/>
      </c>
      <c r="AE3741" s="64">
        <f>IF($A3741="","",IFERROR(INDEX(계정매핑!$E$5:$E$504,MATCH($F3741&amp;"",계정매핑!$A$5:$A$504,0))&amp;"","공통비"))</f>
        <v/>
      </c>
      <c r="AF3741" s="64">
        <f>IF($A3741="","",IF(AE3741="직접",IFERROR(INDEX(계정매핑!$F$5:$F$504,MATCH($F3741&amp;"",계정매핑!$A$5:$A$504,0))&amp;"","비귀속"),""))</f>
        <v/>
      </c>
      <c r="AG3741" s="96">
        <f>IF($A3741="",0,IF(AND(AE3741&lt;&gt;"직접",IFERROR(INDEX(계정매핑!$G$5:$G$504,MATCH($F3741&amp;"",계정매핑!$A$5:$A$504,0))&amp;"","")="유지비",COUNTIF(계정대체기준!$A$6:$A$15,$N3741)&gt;0),IFERROR(INDEX(계정대체기준!$E$6:$E$15,MATCH(VALUE($A3741&amp;""),계정대체기준!$D$6:$D$15,0)),0),0))</f>
        <v/>
      </c>
      <c r="AH3741" s="64">
        <f>IF($A3741="","",IF(AD3741=0,"",IF(OR(COUNTIF(계정대체기준!$A$77:$A$86,$N3741)&gt;0,ISNUMBER(MATCH($X3741,계정대체기준!$D$77:$D$86,0)),ISNUMBER(MATCH($F3741,계정대체기준!$D$77:$D$86,0))),"Y","N")))</f>
        <v/>
      </c>
    </row>
    <row r="3742">
      <c r="A3742" s="92" t="n">
        <v>2026</v>
      </c>
      <c r="B3742" s="92" t="n">
        <v>5</v>
      </c>
      <c r="C3742" s="92" t="inlineStr">
        <is>
          <t>5100001020</t>
        </is>
      </c>
      <c r="D3742" s="95" t="n">
        <v>46155</v>
      </c>
      <c r="E3742" s="92" t="inlineStr">
        <is>
          <t>KR</t>
        </is>
      </c>
      <c r="F3742" s="92" t="n">
        <v>62901000</v>
      </c>
      <c r="G3742" s="92" t="n">
        <v>1201</v>
      </c>
      <c r="H3742" s="93" t="n">
        <v>7103000</v>
      </c>
      <c r="I3742" s="92" t="inlineStr">
        <is>
          <t>5월 자문 수수료 - W컨설팅</t>
        </is>
      </c>
      <c r="J3742" s="92" t="inlineStr">
        <is>
          <t>V10006</t>
        </is>
      </c>
      <c r="K3742" s="92" t="inlineStr">
        <is>
          <t>W컨설팅</t>
        </is>
      </c>
      <c r="M3742" s="9">
        <f>IF($A3742="","",VALUE($A3742&amp;"")*12+VALUE($B3742&amp;""))</f>
        <v/>
      </c>
      <c r="N3742" s="64">
        <f>IF($A3742="","",IFERROR(INDEX(부서매핑!$C$5:$C$504,MATCH($G3742&amp;"",부서매핑!$A$5:$A$504,0)),"미매핑"))</f>
        <v/>
      </c>
      <c r="O3742" s="9">
        <f>IF($A3742="","",N3742&amp;"|"&amp;$F3742)</f>
        <v/>
      </c>
      <c r="P3742" s="94">
        <f>IF($A3742="",0,$H3742*설정!$C$23)</f>
        <v/>
      </c>
      <c r="Q3742" s="64">
        <f>IF($A3742="","",IF(O3742&lt;&gt;원인분석!$C$9,"",IF(AND(M3742&gt;=원인분석!$C$10,M3742&lt;=원인분석!$C$11),"당기",IF(AND(M3742&gt;=원인분석!$C$12,M3742&lt;=원인분석!$C$13),"비교",""))))</f>
        <v/>
      </c>
      <c r="R3742" s="9">
        <f>IF(Q3742="","",$K3742&amp;"")</f>
        <v/>
      </c>
      <c r="S3742" s="9">
        <f>IF(Q3742="","",IF(MATCH(R3742,$R$5:$R$100000,0)=ROW()-4,ROW(),""))</f>
        <v/>
      </c>
      <c r="T3742" s="9">
        <f>IF(Q3742="당기",ABS(P3742)+ROW()/1000000000,"")</f>
        <v/>
      </c>
      <c r="U3742" s="9">
        <f>IF(Q3742="비교",ABS(P3742)+ROW()/1000000000,"")</f>
        <v/>
      </c>
      <c r="V3742" s="64">
        <f>IF($A3742="","",IF(COUNTIF(변동분석!$E$7:$E$506,O3742)&gt;0,"Y","N"))</f>
        <v/>
      </c>
      <c r="W3742" s="64">
        <f>IF($A3742="","",IFERROR(INDEX(계정매핑!$D$5:$D$504,MATCH($F3742&amp;"",계정매핑!$A$5:$A$504,0)),"미매핑"))</f>
        <v/>
      </c>
      <c r="X3742" s="9">
        <f>IF($A3742="","",$F3742&amp;"")</f>
        <v/>
      </c>
      <c r="Y3742" s="94">
        <f>IF($A3742="",0,IF(AE3742="직접",IF(AF3742="비귀속",$P3742,0),$P3742*(1-AG3742)*IFERROR(INDEX(계정대체기준!$F$20:$F$49,MATCH($N3742,계정대체기준!$A$20:$A$49,0)),1)))</f>
        <v/>
      </c>
      <c r="Z3742" s="94">
        <f>IF($A3742="",0,IF(AE3742="직접",IF(AF3742="신계약비",$P3742,0),$P3742*(1-AG3742)*IFERROR(INDEX(계정대체기준!$C$20:$C$49,MATCH($N3742,계정대체기준!$A$20:$A$49,0)),0)))</f>
        <v/>
      </c>
      <c r="AA3742" s="94">
        <f>IF($A3742="",0,IF(AE3742="직접",IF(OR(AF3742="유지비",AF3742="손해조사비"),$P3742,0),$P3742*(1-AG3742)*IFERROR(INDEX(계정대체기준!$D$20:$D$49,MATCH($N3742,계정대체기준!$A$20:$A$49,0)),0)))</f>
        <v/>
      </c>
      <c r="AB3742" s="94">
        <f>IF($A3742="",0,IF(AE3742="직접",IF(AF3742="수금비",$P3742,0),$P3742*(1-AG3742)*IFERROR(INDEX(계정대체기준!$E$20:$E$49,MATCH($N3742,계정대체기준!$A$20:$A$49,0)),0)))</f>
        <v/>
      </c>
      <c r="AC3742" s="9">
        <f>IF(AND($A3742&lt;&gt;"",M3742=설정!$C$20,Z3742&gt;0),Z3742+ROW()/1000000000,"")</f>
        <v/>
      </c>
      <c r="AD3742" s="94">
        <f>IF($A3742="",0,$P3742*AG3742)</f>
        <v/>
      </c>
      <c r="AE3742" s="64">
        <f>IF($A3742="","",IFERROR(INDEX(계정매핑!$E$5:$E$504,MATCH($F3742&amp;"",계정매핑!$A$5:$A$504,0))&amp;"","공통비"))</f>
        <v/>
      </c>
      <c r="AF3742" s="64">
        <f>IF($A3742="","",IF(AE3742="직접",IFERROR(INDEX(계정매핑!$F$5:$F$504,MATCH($F3742&amp;"",계정매핑!$A$5:$A$504,0))&amp;"","비귀속"),""))</f>
        <v/>
      </c>
      <c r="AG3742" s="96">
        <f>IF($A3742="",0,IF(AND(AE3742&lt;&gt;"직접",IFERROR(INDEX(계정매핑!$G$5:$G$504,MATCH($F3742&amp;"",계정매핑!$A$5:$A$504,0))&amp;"","")="유지비",COUNTIF(계정대체기준!$A$6:$A$15,$N3742)&gt;0),IFERROR(INDEX(계정대체기준!$E$6:$E$15,MATCH(VALUE($A3742&amp;""),계정대체기준!$D$6:$D$15,0)),0),0))</f>
        <v/>
      </c>
      <c r="AH3742" s="64">
        <f>IF($A3742="","",IF(AD3742=0,"",IF(OR(COUNTIF(계정대체기준!$A$77:$A$86,$N3742)&gt;0,ISNUMBER(MATCH($X3742,계정대체기준!$D$77:$D$86,0)),ISNUMBER(MATCH($F3742,계정대체기준!$D$77:$D$86,0))),"Y","N")))</f>
        <v/>
      </c>
    </row>
    <row r="3743">
      <c r="A3743" s="92" t="n">
        <v>2026</v>
      </c>
      <c r="B3743" s="92" t="n">
        <v>5</v>
      </c>
      <c r="C3743" s="92" t="inlineStr">
        <is>
          <t>5100001021</t>
        </is>
      </c>
      <c r="D3743" s="95" t="n">
        <v>46155</v>
      </c>
      <c r="E3743" s="92" t="inlineStr">
        <is>
          <t>KR</t>
        </is>
      </c>
      <c r="F3743" s="92" t="n">
        <v>62901000</v>
      </c>
      <c r="G3743" s="92" t="n">
        <v>1801</v>
      </c>
      <c r="H3743" s="93" t="n">
        <v>7695000</v>
      </c>
      <c r="I3743" s="92" t="inlineStr">
        <is>
          <t>5월 자문 수수료 - W컨설팅</t>
        </is>
      </c>
      <c r="J3743" s="92" t="inlineStr">
        <is>
          <t>V10006</t>
        </is>
      </c>
      <c r="K3743" s="92" t="inlineStr">
        <is>
          <t>W컨설팅</t>
        </is>
      </c>
      <c r="M3743" s="9">
        <f>IF($A3743="","",VALUE($A3743&amp;"")*12+VALUE($B3743&amp;""))</f>
        <v/>
      </c>
      <c r="N3743" s="64">
        <f>IF($A3743="","",IFERROR(INDEX(부서매핑!$C$5:$C$504,MATCH($G3743&amp;"",부서매핑!$A$5:$A$504,0)),"미매핑"))</f>
        <v/>
      </c>
      <c r="O3743" s="9">
        <f>IF($A3743="","",N3743&amp;"|"&amp;$F3743)</f>
        <v/>
      </c>
      <c r="P3743" s="94">
        <f>IF($A3743="",0,$H3743*설정!$C$23)</f>
        <v/>
      </c>
      <c r="Q3743" s="64">
        <f>IF($A3743="","",IF(O3743&lt;&gt;원인분석!$C$9,"",IF(AND(M3743&gt;=원인분석!$C$10,M3743&lt;=원인분석!$C$11),"당기",IF(AND(M3743&gt;=원인분석!$C$12,M3743&lt;=원인분석!$C$13),"비교",""))))</f>
        <v/>
      </c>
      <c r="R3743" s="9">
        <f>IF(Q3743="","",$K3743&amp;"")</f>
        <v/>
      </c>
      <c r="S3743" s="9">
        <f>IF(Q3743="","",IF(MATCH(R3743,$R$5:$R$100000,0)=ROW()-4,ROW(),""))</f>
        <v/>
      </c>
      <c r="T3743" s="9">
        <f>IF(Q3743="당기",ABS(P3743)+ROW()/1000000000,"")</f>
        <v/>
      </c>
      <c r="U3743" s="9">
        <f>IF(Q3743="비교",ABS(P3743)+ROW()/1000000000,"")</f>
        <v/>
      </c>
      <c r="V3743" s="64">
        <f>IF($A3743="","",IF(COUNTIF(변동분석!$E$7:$E$506,O3743)&gt;0,"Y","N"))</f>
        <v/>
      </c>
      <c r="W3743" s="64">
        <f>IF($A3743="","",IFERROR(INDEX(계정매핑!$D$5:$D$504,MATCH($F3743&amp;"",계정매핑!$A$5:$A$504,0)),"미매핑"))</f>
        <v/>
      </c>
      <c r="X3743" s="9">
        <f>IF($A3743="","",$F3743&amp;"")</f>
        <v/>
      </c>
      <c r="Y3743" s="94">
        <f>IF($A3743="",0,IF(AE3743="직접",IF(AF3743="비귀속",$P3743,0),$P3743*(1-AG3743)*IFERROR(INDEX(계정대체기준!$F$20:$F$49,MATCH($N3743,계정대체기준!$A$20:$A$49,0)),1)))</f>
        <v/>
      </c>
      <c r="Z3743" s="94">
        <f>IF($A3743="",0,IF(AE3743="직접",IF(AF3743="신계약비",$P3743,0),$P3743*(1-AG3743)*IFERROR(INDEX(계정대체기준!$C$20:$C$49,MATCH($N3743,계정대체기준!$A$20:$A$49,0)),0)))</f>
        <v/>
      </c>
      <c r="AA3743" s="94">
        <f>IF($A3743="",0,IF(AE3743="직접",IF(OR(AF3743="유지비",AF3743="손해조사비"),$P3743,0),$P3743*(1-AG3743)*IFERROR(INDEX(계정대체기준!$D$20:$D$49,MATCH($N3743,계정대체기준!$A$20:$A$49,0)),0)))</f>
        <v/>
      </c>
      <c r="AB3743" s="94">
        <f>IF($A3743="",0,IF(AE3743="직접",IF(AF3743="수금비",$P3743,0),$P3743*(1-AG3743)*IFERROR(INDEX(계정대체기준!$E$20:$E$49,MATCH($N3743,계정대체기준!$A$20:$A$49,0)),0)))</f>
        <v/>
      </c>
      <c r="AC3743" s="9">
        <f>IF(AND($A3743&lt;&gt;"",M3743=설정!$C$20,Z3743&gt;0),Z3743+ROW()/1000000000,"")</f>
        <v/>
      </c>
      <c r="AD3743" s="94">
        <f>IF($A3743="",0,$P3743*AG3743)</f>
        <v/>
      </c>
      <c r="AE3743" s="64">
        <f>IF($A3743="","",IFERROR(INDEX(계정매핑!$E$5:$E$504,MATCH($F3743&amp;"",계정매핑!$A$5:$A$504,0))&amp;"","공통비"))</f>
        <v/>
      </c>
      <c r="AF3743" s="64">
        <f>IF($A3743="","",IF(AE3743="직접",IFERROR(INDEX(계정매핑!$F$5:$F$504,MATCH($F3743&amp;"",계정매핑!$A$5:$A$504,0))&amp;"","비귀속"),""))</f>
        <v/>
      </c>
      <c r="AG3743" s="96">
        <f>IF($A3743="",0,IF(AND(AE3743&lt;&gt;"직접",IFERROR(INDEX(계정매핑!$G$5:$G$504,MATCH($F3743&amp;"",계정매핑!$A$5:$A$504,0))&amp;"","")="유지비",COUNTIF(계정대체기준!$A$6:$A$15,$N3743)&gt;0),IFERROR(INDEX(계정대체기준!$E$6:$E$15,MATCH(VALUE($A3743&amp;""),계정대체기준!$D$6:$D$15,0)),0),0))</f>
        <v/>
      </c>
      <c r="AH3743" s="64">
        <f>IF($A3743="","",IF(AD3743=0,"",IF(OR(COUNTIF(계정대체기준!$A$77:$A$86,$N3743)&gt;0,ISNUMBER(MATCH($X3743,계정대체기준!$D$77:$D$86,0)),ISNUMBER(MATCH($F3743,계정대체기준!$D$77:$D$86,0))),"Y","N")))</f>
        <v/>
      </c>
    </row>
    <row r="3744">
      <c r="A3744" s="92" t="n">
        <v>2026</v>
      </c>
      <c r="B3744" s="92" t="n">
        <v>5</v>
      </c>
      <c r="C3744" s="92" t="inlineStr">
        <is>
          <t>5100001022</t>
        </is>
      </c>
      <c r="D3744" s="95" t="n">
        <v>46155</v>
      </c>
      <c r="E3744" s="92" t="inlineStr">
        <is>
          <t>KR</t>
        </is>
      </c>
      <c r="F3744" s="92" t="n">
        <v>62902000</v>
      </c>
      <c r="G3744" s="92" t="n">
        <v>1801</v>
      </c>
      <c r="H3744" s="93" t="n">
        <v>1821000</v>
      </c>
      <c r="I3744" s="92" t="inlineStr">
        <is>
          <t>5월 콜 위탁 수수료(건별)</t>
        </is>
      </c>
      <c r="J3744" s="92" t="inlineStr">
        <is>
          <t>V10016</t>
        </is>
      </c>
      <c r="K3744" s="92" t="inlineStr">
        <is>
          <t>J콜센터</t>
        </is>
      </c>
      <c r="M3744" s="9">
        <f>IF($A3744="","",VALUE($A3744&amp;"")*12+VALUE($B3744&amp;""))</f>
        <v/>
      </c>
      <c r="N3744" s="64">
        <f>IF($A3744="","",IFERROR(INDEX(부서매핑!$C$5:$C$504,MATCH($G3744&amp;"",부서매핑!$A$5:$A$504,0)),"미매핑"))</f>
        <v/>
      </c>
      <c r="O3744" s="9">
        <f>IF($A3744="","",N3744&amp;"|"&amp;$F3744)</f>
        <v/>
      </c>
      <c r="P3744" s="94">
        <f>IF($A3744="",0,$H3744*설정!$C$23)</f>
        <v/>
      </c>
      <c r="Q3744" s="64">
        <f>IF($A3744="","",IF(O3744&lt;&gt;원인분석!$C$9,"",IF(AND(M3744&gt;=원인분석!$C$10,M3744&lt;=원인분석!$C$11),"당기",IF(AND(M3744&gt;=원인분석!$C$12,M3744&lt;=원인분석!$C$13),"비교",""))))</f>
        <v/>
      </c>
      <c r="R3744" s="9">
        <f>IF(Q3744="","",$K3744&amp;"")</f>
        <v/>
      </c>
      <c r="S3744" s="9">
        <f>IF(Q3744="","",IF(MATCH(R3744,$R$5:$R$100000,0)=ROW()-4,ROW(),""))</f>
        <v/>
      </c>
      <c r="T3744" s="9">
        <f>IF(Q3744="당기",ABS(P3744)+ROW()/1000000000,"")</f>
        <v/>
      </c>
      <c r="U3744" s="9">
        <f>IF(Q3744="비교",ABS(P3744)+ROW()/1000000000,"")</f>
        <v/>
      </c>
      <c r="V3744" s="64">
        <f>IF($A3744="","",IF(COUNTIF(변동분석!$E$7:$E$506,O3744)&gt;0,"Y","N"))</f>
        <v/>
      </c>
      <c r="W3744" s="64">
        <f>IF($A3744="","",IFERROR(INDEX(계정매핑!$D$5:$D$504,MATCH($F3744&amp;"",계정매핑!$A$5:$A$504,0)),"미매핑"))</f>
        <v/>
      </c>
      <c r="X3744" s="9">
        <f>IF($A3744="","",$F3744&amp;"")</f>
        <v/>
      </c>
      <c r="Y3744" s="94">
        <f>IF($A3744="",0,IF(AE3744="직접",IF(AF3744="비귀속",$P3744,0),$P3744*(1-AG3744)*IFERROR(INDEX(계정대체기준!$F$20:$F$49,MATCH($N3744,계정대체기준!$A$20:$A$49,0)),1)))</f>
        <v/>
      </c>
      <c r="Z3744" s="94">
        <f>IF($A3744="",0,IF(AE3744="직접",IF(AF3744="신계약비",$P3744,0),$P3744*(1-AG3744)*IFERROR(INDEX(계정대체기준!$C$20:$C$49,MATCH($N3744,계정대체기준!$A$20:$A$49,0)),0)))</f>
        <v/>
      </c>
      <c r="AA3744" s="94">
        <f>IF($A3744="",0,IF(AE3744="직접",IF(OR(AF3744="유지비",AF3744="손해조사비"),$P3744,0),$P3744*(1-AG3744)*IFERROR(INDEX(계정대체기준!$D$20:$D$49,MATCH($N3744,계정대체기준!$A$20:$A$49,0)),0)))</f>
        <v/>
      </c>
      <c r="AB3744" s="94">
        <f>IF($A3744="",0,IF(AE3744="직접",IF(AF3744="수금비",$P3744,0),$P3744*(1-AG3744)*IFERROR(INDEX(계정대체기준!$E$20:$E$49,MATCH($N3744,계정대체기준!$A$20:$A$49,0)),0)))</f>
        <v/>
      </c>
      <c r="AC3744" s="9">
        <f>IF(AND($A3744&lt;&gt;"",M3744=설정!$C$20,Z3744&gt;0),Z3744+ROW()/1000000000,"")</f>
        <v/>
      </c>
      <c r="AD3744" s="94">
        <f>IF($A3744="",0,$P3744*AG3744)</f>
        <v/>
      </c>
      <c r="AE3744" s="64">
        <f>IF($A3744="","",IFERROR(INDEX(계정매핑!$E$5:$E$504,MATCH($F3744&amp;"",계정매핑!$A$5:$A$504,0))&amp;"","공통비"))</f>
        <v/>
      </c>
      <c r="AF3744" s="64">
        <f>IF($A3744="","",IF(AE3744="직접",IFERROR(INDEX(계정매핑!$F$5:$F$504,MATCH($F3744&amp;"",계정매핑!$A$5:$A$504,0))&amp;"","비귀속"),""))</f>
        <v/>
      </c>
      <c r="AG3744" s="96">
        <f>IF($A3744="",0,IF(AND(AE3744&lt;&gt;"직접",IFERROR(INDEX(계정매핑!$G$5:$G$504,MATCH($F3744&amp;"",계정매핑!$A$5:$A$504,0))&amp;"","")="유지비",COUNTIF(계정대체기준!$A$6:$A$15,$N3744)&gt;0),IFERROR(INDEX(계정대체기준!$E$6:$E$15,MATCH(VALUE($A3744&amp;""),계정대체기준!$D$6:$D$15,0)),0),0))</f>
        <v/>
      </c>
      <c r="AH3744" s="64">
        <f>IF($A3744="","",IF(AD3744=0,"",IF(OR(COUNTIF(계정대체기준!$A$77:$A$86,$N3744)&gt;0,ISNUMBER(MATCH($X3744,계정대체기준!$D$77:$D$86,0)),ISNUMBER(MATCH($F3744,계정대체기준!$D$77:$D$86,0))),"Y","N")))</f>
        <v/>
      </c>
    </row>
    <row r="3745">
      <c r="A3745" s="92" t="n">
        <v>2026</v>
      </c>
      <c r="B3745" s="92" t="n">
        <v>5</v>
      </c>
      <c r="C3745" s="92" t="inlineStr">
        <is>
          <t>5100001023</t>
        </is>
      </c>
      <c r="D3745" s="95" t="n">
        <v>46155</v>
      </c>
      <c r="E3745" s="92" t="inlineStr">
        <is>
          <t>KR</t>
        </is>
      </c>
      <c r="F3745" s="92" t="n">
        <v>63502000</v>
      </c>
      <c r="G3745" s="92" t="n">
        <v>1902</v>
      </c>
      <c r="H3745" s="93" t="n">
        <v>233682000</v>
      </c>
      <c r="I3745" s="92" t="inlineStr">
        <is>
          <t>5월 유지수수료 - (전속설계사)</t>
        </is>
      </c>
      <c r="J3745" s="92" t="inlineStr">
        <is>
          <t>V10021</t>
        </is>
      </c>
      <c r="K3745" s="92" t="inlineStr">
        <is>
          <t>(전속설계사)</t>
        </is>
      </c>
      <c r="M3745" s="9">
        <f>IF($A3745="","",VALUE($A3745&amp;"")*12+VALUE($B3745&amp;""))</f>
        <v/>
      </c>
      <c r="N3745" s="64">
        <f>IF($A3745="","",IFERROR(INDEX(부서매핑!$C$5:$C$504,MATCH($G3745&amp;"",부서매핑!$A$5:$A$504,0)),"미매핑"))</f>
        <v/>
      </c>
      <c r="O3745" s="9">
        <f>IF($A3745="","",N3745&amp;"|"&amp;$F3745)</f>
        <v/>
      </c>
      <c r="P3745" s="94">
        <f>IF($A3745="",0,$H3745*설정!$C$23)</f>
        <v/>
      </c>
      <c r="Q3745" s="64">
        <f>IF($A3745="","",IF(O3745&lt;&gt;원인분석!$C$9,"",IF(AND(M3745&gt;=원인분석!$C$10,M3745&lt;=원인분석!$C$11),"당기",IF(AND(M3745&gt;=원인분석!$C$12,M3745&lt;=원인분석!$C$13),"비교",""))))</f>
        <v/>
      </c>
      <c r="R3745" s="9">
        <f>IF(Q3745="","",$K3745&amp;"")</f>
        <v/>
      </c>
      <c r="S3745" s="9">
        <f>IF(Q3745="","",IF(MATCH(R3745,$R$5:$R$100000,0)=ROW()-4,ROW(),""))</f>
        <v/>
      </c>
      <c r="T3745" s="9">
        <f>IF(Q3745="당기",ABS(P3745)+ROW()/1000000000,"")</f>
        <v/>
      </c>
      <c r="U3745" s="9">
        <f>IF(Q3745="비교",ABS(P3745)+ROW()/1000000000,"")</f>
        <v/>
      </c>
      <c r="V3745" s="64">
        <f>IF($A3745="","",IF(COUNTIF(변동분석!$E$7:$E$506,O3745)&gt;0,"Y","N"))</f>
        <v/>
      </c>
      <c r="W3745" s="64">
        <f>IF($A3745="","",IFERROR(INDEX(계정매핑!$D$5:$D$504,MATCH($F3745&amp;"",계정매핑!$A$5:$A$504,0)),"미매핑"))</f>
        <v/>
      </c>
      <c r="X3745" s="9">
        <f>IF($A3745="","",$F3745&amp;"")</f>
        <v/>
      </c>
      <c r="Y3745" s="94">
        <f>IF($A3745="",0,IF(AE3745="직접",IF(AF3745="비귀속",$P3745,0),$P3745*(1-AG3745)*IFERROR(INDEX(계정대체기준!$F$20:$F$49,MATCH($N3745,계정대체기준!$A$20:$A$49,0)),1)))</f>
        <v/>
      </c>
      <c r="Z3745" s="94">
        <f>IF($A3745="",0,IF(AE3745="직접",IF(AF3745="신계약비",$P3745,0),$P3745*(1-AG3745)*IFERROR(INDEX(계정대체기준!$C$20:$C$49,MATCH($N3745,계정대체기준!$A$20:$A$49,0)),0)))</f>
        <v/>
      </c>
      <c r="AA3745" s="94">
        <f>IF($A3745="",0,IF(AE3745="직접",IF(OR(AF3745="유지비",AF3745="손해조사비"),$P3745,0),$P3745*(1-AG3745)*IFERROR(INDEX(계정대체기준!$D$20:$D$49,MATCH($N3745,계정대체기준!$A$20:$A$49,0)),0)))</f>
        <v/>
      </c>
      <c r="AB3745" s="94">
        <f>IF($A3745="",0,IF(AE3745="직접",IF(AF3745="수금비",$P3745,0),$P3745*(1-AG3745)*IFERROR(INDEX(계정대체기준!$E$20:$E$49,MATCH($N3745,계정대체기준!$A$20:$A$49,0)),0)))</f>
        <v/>
      </c>
      <c r="AC3745" s="9">
        <f>IF(AND($A3745&lt;&gt;"",M3745=설정!$C$20,Z3745&gt;0),Z3745+ROW()/1000000000,"")</f>
        <v/>
      </c>
      <c r="AD3745" s="94">
        <f>IF($A3745="",0,$P3745*AG3745)</f>
        <v/>
      </c>
      <c r="AE3745" s="64">
        <f>IF($A3745="","",IFERROR(INDEX(계정매핑!$E$5:$E$504,MATCH($F3745&amp;"",계정매핑!$A$5:$A$504,0))&amp;"","공통비"))</f>
        <v/>
      </c>
      <c r="AF3745" s="64">
        <f>IF($A3745="","",IF(AE3745="직접",IFERROR(INDEX(계정매핑!$F$5:$F$504,MATCH($F3745&amp;"",계정매핑!$A$5:$A$504,0))&amp;"","비귀속"),""))</f>
        <v/>
      </c>
      <c r="AG3745" s="96">
        <f>IF($A3745="",0,IF(AND(AE3745&lt;&gt;"직접",IFERROR(INDEX(계정매핑!$G$5:$G$504,MATCH($F3745&amp;"",계정매핑!$A$5:$A$504,0))&amp;"","")="유지비",COUNTIF(계정대체기준!$A$6:$A$15,$N3745)&gt;0),IFERROR(INDEX(계정대체기준!$E$6:$E$15,MATCH(VALUE($A3745&amp;""),계정대체기준!$D$6:$D$15,0)),0),0))</f>
        <v/>
      </c>
      <c r="AH3745" s="64">
        <f>IF($A3745="","",IF(AD3745=0,"",IF(OR(COUNTIF(계정대체기준!$A$77:$A$86,$N3745)&gt;0,ISNUMBER(MATCH($X3745,계정대체기준!$D$77:$D$86,0)),ISNUMBER(MATCH($F3745,계정대체기준!$D$77:$D$86,0))),"Y","N")))</f>
        <v/>
      </c>
    </row>
    <row r="3746">
      <c r="A3746" s="92" t="n">
        <v>2026</v>
      </c>
      <c r="B3746" s="92" t="n">
        <v>5</v>
      </c>
      <c r="C3746" s="92" t="inlineStr">
        <is>
          <t>5100001024</t>
        </is>
      </c>
      <c r="D3746" s="95" t="n">
        <v>46156</v>
      </c>
      <c r="E3746" s="92" t="inlineStr">
        <is>
          <t>KR</t>
        </is>
      </c>
      <c r="F3746" s="92" t="n">
        <v>62101000</v>
      </c>
      <c r="G3746" s="92" t="n">
        <v>1502</v>
      </c>
      <c r="H3746" s="93" t="n">
        <v>525000</v>
      </c>
      <c r="I3746" s="92" t="inlineStr">
        <is>
          <t>5월 국내출장 - M항공</t>
        </is>
      </c>
      <c r="J3746" s="92" t="inlineStr">
        <is>
          <t>V10001</t>
        </is>
      </c>
      <c r="K3746" s="92" t="inlineStr">
        <is>
          <t>M항공</t>
        </is>
      </c>
      <c r="M3746" s="9">
        <f>IF($A3746="","",VALUE($A3746&amp;"")*12+VALUE($B3746&amp;""))</f>
        <v/>
      </c>
      <c r="N3746" s="64">
        <f>IF($A3746="","",IFERROR(INDEX(부서매핑!$C$5:$C$504,MATCH($G3746&amp;"",부서매핑!$A$5:$A$504,0)),"미매핑"))</f>
        <v/>
      </c>
      <c r="O3746" s="9">
        <f>IF($A3746="","",N3746&amp;"|"&amp;$F3746)</f>
        <v/>
      </c>
      <c r="P3746" s="94">
        <f>IF($A3746="",0,$H3746*설정!$C$23)</f>
        <v/>
      </c>
      <c r="Q3746" s="64">
        <f>IF($A3746="","",IF(O3746&lt;&gt;원인분석!$C$9,"",IF(AND(M3746&gt;=원인분석!$C$10,M3746&lt;=원인분석!$C$11),"당기",IF(AND(M3746&gt;=원인분석!$C$12,M3746&lt;=원인분석!$C$13),"비교",""))))</f>
        <v/>
      </c>
      <c r="R3746" s="9">
        <f>IF(Q3746="","",$K3746&amp;"")</f>
        <v/>
      </c>
      <c r="S3746" s="9">
        <f>IF(Q3746="","",IF(MATCH(R3746,$R$5:$R$100000,0)=ROW()-4,ROW(),""))</f>
        <v/>
      </c>
      <c r="T3746" s="9">
        <f>IF(Q3746="당기",ABS(P3746)+ROW()/1000000000,"")</f>
        <v/>
      </c>
      <c r="U3746" s="9">
        <f>IF(Q3746="비교",ABS(P3746)+ROW()/1000000000,"")</f>
        <v/>
      </c>
      <c r="V3746" s="64">
        <f>IF($A3746="","",IF(COUNTIF(변동분석!$E$7:$E$506,O3746)&gt;0,"Y","N"))</f>
        <v/>
      </c>
      <c r="W3746" s="64">
        <f>IF($A3746="","",IFERROR(INDEX(계정매핑!$D$5:$D$504,MATCH($F3746&amp;"",계정매핑!$A$5:$A$504,0)),"미매핑"))</f>
        <v/>
      </c>
      <c r="X3746" s="9">
        <f>IF($A3746="","",$F3746&amp;"")</f>
        <v/>
      </c>
      <c r="Y3746" s="94">
        <f>IF($A3746="",0,IF(AE3746="직접",IF(AF3746="비귀속",$P3746,0),$P3746*(1-AG3746)*IFERROR(INDEX(계정대체기준!$F$20:$F$49,MATCH($N3746,계정대체기준!$A$20:$A$49,0)),1)))</f>
        <v/>
      </c>
      <c r="Z3746" s="94">
        <f>IF($A3746="",0,IF(AE3746="직접",IF(AF3746="신계약비",$P3746,0),$P3746*(1-AG3746)*IFERROR(INDEX(계정대체기준!$C$20:$C$49,MATCH($N3746,계정대체기준!$A$20:$A$49,0)),0)))</f>
        <v/>
      </c>
      <c r="AA3746" s="94">
        <f>IF($A3746="",0,IF(AE3746="직접",IF(OR(AF3746="유지비",AF3746="손해조사비"),$P3746,0),$P3746*(1-AG3746)*IFERROR(INDEX(계정대체기준!$D$20:$D$49,MATCH($N3746,계정대체기준!$A$20:$A$49,0)),0)))</f>
        <v/>
      </c>
      <c r="AB3746" s="94">
        <f>IF($A3746="",0,IF(AE3746="직접",IF(AF3746="수금비",$P3746,0),$P3746*(1-AG3746)*IFERROR(INDEX(계정대체기준!$E$20:$E$49,MATCH($N3746,계정대체기준!$A$20:$A$49,0)),0)))</f>
        <v/>
      </c>
      <c r="AC3746" s="9">
        <f>IF(AND($A3746&lt;&gt;"",M3746=설정!$C$20,Z3746&gt;0),Z3746+ROW()/1000000000,"")</f>
        <v/>
      </c>
      <c r="AD3746" s="94">
        <f>IF($A3746="",0,$P3746*AG3746)</f>
        <v/>
      </c>
      <c r="AE3746" s="64">
        <f>IF($A3746="","",IFERROR(INDEX(계정매핑!$E$5:$E$504,MATCH($F3746&amp;"",계정매핑!$A$5:$A$504,0))&amp;"","공통비"))</f>
        <v/>
      </c>
      <c r="AF3746" s="64">
        <f>IF($A3746="","",IF(AE3746="직접",IFERROR(INDEX(계정매핑!$F$5:$F$504,MATCH($F3746&amp;"",계정매핑!$A$5:$A$504,0))&amp;"","비귀속"),""))</f>
        <v/>
      </c>
      <c r="AG3746" s="96">
        <f>IF($A3746="",0,IF(AND(AE3746&lt;&gt;"직접",IFERROR(INDEX(계정매핑!$G$5:$G$504,MATCH($F3746&amp;"",계정매핑!$A$5:$A$504,0))&amp;"","")="유지비",COUNTIF(계정대체기준!$A$6:$A$15,$N3746)&gt;0),IFERROR(INDEX(계정대체기준!$E$6:$E$15,MATCH(VALUE($A3746&amp;""),계정대체기준!$D$6:$D$15,0)),0),0))</f>
        <v/>
      </c>
      <c r="AH3746" s="64">
        <f>IF($A3746="","",IF(AD3746=0,"",IF(OR(COUNTIF(계정대체기준!$A$77:$A$86,$N3746)&gt;0,ISNUMBER(MATCH($X3746,계정대체기준!$D$77:$D$86,0)),ISNUMBER(MATCH($F3746,계정대체기준!$D$77:$D$86,0))),"Y","N")))</f>
        <v/>
      </c>
    </row>
    <row r="3747">
      <c r="A3747" s="92" t="n">
        <v>2026</v>
      </c>
      <c r="B3747" s="92" t="n">
        <v>5</v>
      </c>
      <c r="C3747" s="92" t="inlineStr">
        <is>
          <t>5100001025</t>
        </is>
      </c>
      <c r="D3747" s="95" t="n">
        <v>46156</v>
      </c>
      <c r="E3747" s="92" t="inlineStr">
        <is>
          <t>KR</t>
        </is>
      </c>
      <c r="F3747" s="92" t="n">
        <v>62102000</v>
      </c>
      <c r="G3747" s="92" t="n">
        <v>1101</v>
      </c>
      <c r="H3747" s="93" t="n">
        <v>100000</v>
      </c>
      <c r="I3747" s="92" t="inlineStr">
        <is>
          <t>5월 해외출장 - M항공</t>
        </is>
      </c>
      <c r="J3747" s="92" t="inlineStr">
        <is>
          <t>V10001</t>
        </is>
      </c>
      <c r="K3747" s="92" t="inlineStr">
        <is>
          <t>M항공</t>
        </is>
      </c>
      <c r="M3747" s="9">
        <f>IF($A3747="","",VALUE($A3747&amp;"")*12+VALUE($B3747&amp;""))</f>
        <v/>
      </c>
      <c r="N3747" s="64">
        <f>IF($A3747="","",IFERROR(INDEX(부서매핑!$C$5:$C$504,MATCH($G3747&amp;"",부서매핑!$A$5:$A$504,0)),"미매핑"))</f>
        <v/>
      </c>
      <c r="O3747" s="9">
        <f>IF($A3747="","",N3747&amp;"|"&amp;$F3747)</f>
        <v/>
      </c>
      <c r="P3747" s="94">
        <f>IF($A3747="",0,$H3747*설정!$C$23)</f>
        <v/>
      </c>
      <c r="Q3747" s="64">
        <f>IF($A3747="","",IF(O3747&lt;&gt;원인분석!$C$9,"",IF(AND(M3747&gt;=원인분석!$C$10,M3747&lt;=원인분석!$C$11),"당기",IF(AND(M3747&gt;=원인분석!$C$12,M3747&lt;=원인분석!$C$13),"비교",""))))</f>
        <v/>
      </c>
      <c r="R3747" s="9">
        <f>IF(Q3747="","",$K3747&amp;"")</f>
        <v/>
      </c>
      <c r="S3747" s="9">
        <f>IF(Q3747="","",IF(MATCH(R3747,$R$5:$R$100000,0)=ROW()-4,ROW(),""))</f>
        <v/>
      </c>
      <c r="T3747" s="9">
        <f>IF(Q3747="당기",ABS(P3747)+ROW()/1000000000,"")</f>
        <v/>
      </c>
      <c r="U3747" s="9">
        <f>IF(Q3747="비교",ABS(P3747)+ROW()/1000000000,"")</f>
        <v/>
      </c>
      <c r="V3747" s="64">
        <f>IF($A3747="","",IF(COUNTIF(변동분석!$E$7:$E$506,O3747)&gt;0,"Y","N"))</f>
        <v/>
      </c>
      <c r="W3747" s="64">
        <f>IF($A3747="","",IFERROR(INDEX(계정매핑!$D$5:$D$504,MATCH($F3747&amp;"",계정매핑!$A$5:$A$504,0)),"미매핑"))</f>
        <v/>
      </c>
      <c r="X3747" s="9">
        <f>IF($A3747="","",$F3747&amp;"")</f>
        <v/>
      </c>
      <c r="Y3747" s="94">
        <f>IF($A3747="",0,IF(AE3747="직접",IF(AF3747="비귀속",$P3747,0),$P3747*(1-AG3747)*IFERROR(INDEX(계정대체기준!$F$20:$F$49,MATCH($N3747,계정대체기준!$A$20:$A$49,0)),1)))</f>
        <v/>
      </c>
      <c r="Z3747" s="94">
        <f>IF($A3747="",0,IF(AE3747="직접",IF(AF3747="신계약비",$P3747,0),$P3747*(1-AG3747)*IFERROR(INDEX(계정대체기준!$C$20:$C$49,MATCH($N3747,계정대체기준!$A$20:$A$49,0)),0)))</f>
        <v/>
      </c>
      <c r="AA3747" s="94">
        <f>IF($A3747="",0,IF(AE3747="직접",IF(OR(AF3747="유지비",AF3747="손해조사비"),$P3747,0),$P3747*(1-AG3747)*IFERROR(INDEX(계정대체기준!$D$20:$D$49,MATCH($N3747,계정대체기준!$A$20:$A$49,0)),0)))</f>
        <v/>
      </c>
      <c r="AB3747" s="94">
        <f>IF($A3747="",0,IF(AE3747="직접",IF(AF3747="수금비",$P3747,0),$P3747*(1-AG3747)*IFERROR(INDEX(계정대체기준!$E$20:$E$49,MATCH($N3747,계정대체기준!$A$20:$A$49,0)),0)))</f>
        <v/>
      </c>
      <c r="AC3747" s="9">
        <f>IF(AND($A3747&lt;&gt;"",M3747=설정!$C$20,Z3747&gt;0),Z3747+ROW()/1000000000,"")</f>
        <v/>
      </c>
      <c r="AD3747" s="94">
        <f>IF($A3747="",0,$P3747*AG3747)</f>
        <v/>
      </c>
      <c r="AE3747" s="64">
        <f>IF($A3747="","",IFERROR(INDEX(계정매핑!$E$5:$E$504,MATCH($F3747&amp;"",계정매핑!$A$5:$A$504,0))&amp;"","공통비"))</f>
        <v/>
      </c>
      <c r="AF3747" s="64">
        <f>IF($A3747="","",IF(AE3747="직접",IFERROR(INDEX(계정매핑!$F$5:$F$504,MATCH($F3747&amp;"",계정매핑!$A$5:$A$504,0))&amp;"","비귀속"),""))</f>
        <v/>
      </c>
      <c r="AG3747" s="96">
        <f>IF($A3747="",0,IF(AND(AE3747&lt;&gt;"직접",IFERROR(INDEX(계정매핑!$G$5:$G$504,MATCH($F3747&amp;"",계정매핑!$A$5:$A$504,0))&amp;"","")="유지비",COUNTIF(계정대체기준!$A$6:$A$15,$N3747)&gt;0),IFERROR(INDEX(계정대체기준!$E$6:$E$15,MATCH(VALUE($A3747&amp;""),계정대체기준!$D$6:$D$15,0)),0),0))</f>
        <v/>
      </c>
      <c r="AH3747" s="64">
        <f>IF($A3747="","",IF(AD3747=0,"",IF(OR(COUNTIF(계정대체기준!$A$77:$A$86,$N3747)&gt;0,ISNUMBER(MATCH($X3747,계정대체기준!$D$77:$D$86,0)),ISNUMBER(MATCH($F3747,계정대체기준!$D$77:$D$86,0))),"Y","N")))</f>
        <v/>
      </c>
    </row>
    <row r="3748">
      <c r="A3748" s="92" t="n">
        <v>2026</v>
      </c>
      <c r="B3748" s="92" t="n">
        <v>5</v>
      </c>
      <c r="C3748" s="92" t="inlineStr">
        <is>
          <t>5100001026</t>
        </is>
      </c>
      <c r="D3748" s="95" t="n">
        <v>46156</v>
      </c>
      <c r="E3748" s="92" t="inlineStr">
        <is>
          <t>KR</t>
        </is>
      </c>
      <c r="F3748" s="92" t="n">
        <v>62201000</v>
      </c>
      <c r="G3748" s="92" t="n">
        <v>1401</v>
      </c>
      <c r="H3748" s="93" t="n">
        <v>130000</v>
      </c>
      <c r="I3748" s="92" t="inlineStr">
        <is>
          <t>5월 통신요금 - P통신</t>
        </is>
      </c>
      <c r="J3748" s="92" t="inlineStr">
        <is>
          <t>V10014</t>
        </is>
      </c>
      <c r="K3748" s="92" t="inlineStr">
        <is>
          <t>P통신</t>
        </is>
      </c>
      <c r="M3748" s="9">
        <f>IF($A3748="","",VALUE($A3748&amp;"")*12+VALUE($B3748&amp;""))</f>
        <v/>
      </c>
      <c r="N3748" s="64">
        <f>IF($A3748="","",IFERROR(INDEX(부서매핑!$C$5:$C$504,MATCH($G3748&amp;"",부서매핑!$A$5:$A$504,0)),"미매핑"))</f>
        <v/>
      </c>
      <c r="O3748" s="9">
        <f>IF($A3748="","",N3748&amp;"|"&amp;$F3748)</f>
        <v/>
      </c>
      <c r="P3748" s="94">
        <f>IF($A3748="",0,$H3748*설정!$C$23)</f>
        <v/>
      </c>
      <c r="Q3748" s="64">
        <f>IF($A3748="","",IF(O3748&lt;&gt;원인분석!$C$9,"",IF(AND(M3748&gt;=원인분석!$C$10,M3748&lt;=원인분석!$C$11),"당기",IF(AND(M3748&gt;=원인분석!$C$12,M3748&lt;=원인분석!$C$13),"비교",""))))</f>
        <v/>
      </c>
      <c r="R3748" s="9">
        <f>IF(Q3748="","",$K3748&amp;"")</f>
        <v/>
      </c>
      <c r="S3748" s="9">
        <f>IF(Q3748="","",IF(MATCH(R3748,$R$5:$R$100000,0)=ROW()-4,ROW(),""))</f>
        <v/>
      </c>
      <c r="T3748" s="9">
        <f>IF(Q3748="당기",ABS(P3748)+ROW()/1000000000,"")</f>
        <v/>
      </c>
      <c r="U3748" s="9">
        <f>IF(Q3748="비교",ABS(P3748)+ROW()/1000000000,"")</f>
        <v/>
      </c>
      <c r="V3748" s="64">
        <f>IF($A3748="","",IF(COUNTIF(변동분석!$E$7:$E$506,O3748)&gt;0,"Y","N"))</f>
        <v/>
      </c>
      <c r="W3748" s="64">
        <f>IF($A3748="","",IFERROR(INDEX(계정매핑!$D$5:$D$504,MATCH($F3748&amp;"",계정매핑!$A$5:$A$504,0)),"미매핑"))</f>
        <v/>
      </c>
      <c r="X3748" s="9">
        <f>IF($A3748="","",$F3748&amp;"")</f>
        <v/>
      </c>
      <c r="Y3748" s="94">
        <f>IF($A3748="",0,IF(AE3748="직접",IF(AF3748="비귀속",$P3748,0),$P3748*(1-AG3748)*IFERROR(INDEX(계정대체기준!$F$20:$F$49,MATCH($N3748,계정대체기준!$A$20:$A$49,0)),1)))</f>
        <v/>
      </c>
      <c r="Z3748" s="94">
        <f>IF($A3748="",0,IF(AE3748="직접",IF(AF3748="신계약비",$P3748,0),$P3748*(1-AG3748)*IFERROR(INDEX(계정대체기준!$C$20:$C$49,MATCH($N3748,계정대체기준!$A$20:$A$49,0)),0)))</f>
        <v/>
      </c>
      <c r="AA3748" s="94">
        <f>IF($A3748="",0,IF(AE3748="직접",IF(OR(AF3748="유지비",AF3748="손해조사비"),$P3748,0),$P3748*(1-AG3748)*IFERROR(INDEX(계정대체기준!$D$20:$D$49,MATCH($N3748,계정대체기준!$A$20:$A$49,0)),0)))</f>
        <v/>
      </c>
      <c r="AB3748" s="94">
        <f>IF($A3748="",0,IF(AE3748="직접",IF(AF3748="수금비",$P3748,0),$P3748*(1-AG3748)*IFERROR(INDEX(계정대체기준!$E$20:$E$49,MATCH($N3748,계정대체기준!$A$20:$A$49,0)),0)))</f>
        <v/>
      </c>
      <c r="AC3748" s="9">
        <f>IF(AND($A3748&lt;&gt;"",M3748=설정!$C$20,Z3748&gt;0),Z3748+ROW()/1000000000,"")</f>
        <v/>
      </c>
      <c r="AD3748" s="94">
        <f>IF($A3748="",0,$P3748*AG3748)</f>
        <v/>
      </c>
      <c r="AE3748" s="64">
        <f>IF($A3748="","",IFERROR(INDEX(계정매핑!$E$5:$E$504,MATCH($F3748&amp;"",계정매핑!$A$5:$A$504,0))&amp;"","공통비"))</f>
        <v/>
      </c>
      <c r="AF3748" s="64">
        <f>IF($A3748="","",IF(AE3748="직접",IFERROR(INDEX(계정매핑!$F$5:$F$504,MATCH($F3748&amp;"",계정매핑!$A$5:$A$504,0))&amp;"","비귀속"),""))</f>
        <v/>
      </c>
      <c r="AG3748" s="96">
        <f>IF($A3748="",0,IF(AND(AE3748&lt;&gt;"직접",IFERROR(INDEX(계정매핑!$G$5:$G$504,MATCH($F3748&amp;"",계정매핑!$A$5:$A$504,0))&amp;"","")="유지비",COUNTIF(계정대체기준!$A$6:$A$15,$N3748)&gt;0),IFERROR(INDEX(계정대체기준!$E$6:$E$15,MATCH(VALUE($A3748&amp;""),계정대체기준!$D$6:$D$15,0)),0),0))</f>
        <v/>
      </c>
      <c r="AH3748" s="64">
        <f>IF($A3748="","",IF(AD3748=0,"",IF(OR(COUNTIF(계정대체기준!$A$77:$A$86,$N3748)&gt;0,ISNUMBER(MATCH($X3748,계정대체기준!$D$77:$D$86,0)),ISNUMBER(MATCH($F3748,계정대체기준!$D$77:$D$86,0))),"Y","N")))</f>
        <v/>
      </c>
    </row>
    <row r="3749">
      <c r="A3749" s="92" t="n">
        <v>2026</v>
      </c>
      <c r="B3749" s="92" t="n">
        <v>5</v>
      </c>
      <c r="C3749" s="92" t="inlineStr">
        <is>
          <t>5100001027</t>
        </is>
      </c>
      <c r="D3749" s="95" t="n">
        <v>46156</v>
      </c>
      <c r="E3749" s="92" t="inlineStr">
        <is>
          <t>KR</t>
        </is>
      </c>
      <c r="F3749" s="92" t="n">
        <v>62201000</v>
      </c>
      <c r="G3749" s="92" t="n">
        <v>1601</v>
      </c>
      <c r="H3749" s="93" t="n">
        <v>538000</v>
      </c>
      <c r="I3749" s="92" t="inlineStr">
        <is>
          <t>5월 통신요금 - P통신</t>
        </is>
      </c>
      <c r="J3749" s="92" t="inlineStr">
        <is>
          <t>V10014</t>
        </is>
      </c>
      <c r="K3749" s="92" t="inlineStr">
        <is>
          <t>P통신</t>
        </is>
      </c>
      <c r="M3749" s="9">
        <f>IF($A3749="","",VALUE($A3749&amp;"")*12+VALUE($B3749&amp;""))</f>
        <v/>
      </c>
      <c r="N3749" s="64">
        <f>IF($A3749="","",IFERROR(INDEX(부서매핑!$C$5:$C$504,MATCH($G3749&amp;"",부서매핑!$A$5:$A$504,0)),"미매핑"))</f>
        <v/>
      </c>
      <c r="O3749" s="9">
        <f>IF($A3749="","",N3749&amp;"|"&amp;$F3749)</f>
        <v/>
      </c>
      <c r="P3749" s="94">
        <f>IF($A3749="",0,$H3749*설정!$C$23)</f>
        <v/>
      </c>
      <c r="Q3749" s="64">
        <f>IF($A3749="","",IF(O3749&lt;&gt;원인분석!$C$9,"",IF(AND(M3749&gt;=원인분석!$C$10,M3749&lt;=원인분석!$C$11),"당기",IF(AND(M3749&gt;=원인분석!$C$12,M3749&lt;=원인분석!$C$13),"비교",""))))</f>
        <v/>
      </c>
      <c r="R3749" s="9">
        <f>IF(Q3749="","",$K3749&amp;"")</f>
        <v/>
      </c>
      <c r="S3749" s="9">
        <f>IF(Q3749="","",IF(MATCH(R3749,$R$5:$R$100000,0)=ROW()-4,ROW(),""))</f>
        <v/>
      </c>
      <c r="T3749" s="9">
        <f>IF(Q3749="당기",ABS(P3749)+ROW()/1000000000,"")</f>
        <v/>
      </c>
      <c r="U3749" s="9">
        <f>IF(Q3749="비교",ABS(P3749)+ROW()/1000000000,"")</f>
        <v/>
      </c>
      <c r="V3749" s="64">
        <f>IF($A3749="","",IF(COUNTIF(변동분석!$E$7:$E$506,O3749)&gt;0,"Y","N"))</f>
        <v/>
      </c>
      <c r="W3749" s="64">
        <f>IF($A3749="","",IFERROR(INDEX(계정매핑!$D$5:$D$504,MATCH($F3749&amp;"",계정매핑!$A$5:$A$504,0)),"미매핑"))</f>
        <v/>
      </c>
      <c r="X3749" s="9">
        <f>IF($A3749="","",$F3749&amp;"")</f>
        <v/>
      </c>
      <c r="Y3749" s="94">
        <f>IF($A3749="",0,IF(AE3749="직접",IF(AF3749="비귀속",$P3749,0),$P3749*(1-AG3749)*IFERROR(INDEX(계정대체기준!$F$20:$F$49,MATCH($N3749,계정대체기준!$A$20:$A$49,0)),1)))</f>
        <v/>
      </c>
      <c r="Z3749" s="94">
        <f>IF($A3749="",0,IF(AE3749="직접",IF(AF3749="신계약비",$P3749,0),$P3749*(1-AG3749)*IFERROR(INDEX(계정대체기준!$C$20:$C$49,MATCH($N3749,계정대체기준!$A$20:$A$49,0)),0)))</f>
        <v/>
      </c>
      <c r="AA3749" s="94">
        <f>IF($A3749="",0,IF(AE3749="직접",IF(OR(AF3749="유지비",AF3749="손해조사비"),$P3749,0),$P3749*(1-AG3749)*IFERROR(INDEX(계정대체기준!$D$20:$D$49,MATCH($N3749,계정대체기준!$A$20:$A$49,0)),0)))</f>
        <v/>
      </c>
      <c r="AB3749" s="94">
        <f>IF($A3749="",0,IF(AE3749="직접",IF(AF3749="수금비",$P3749,0),$P3749*(1-AG3749)*IFERROR(INDEX(계정대체기준!$E$20:$E$49,MATCH($N3749,계정대체기준!$A$20:$A$49,0)),0)))</f>
        <v/>
      </c>
      <c r="AC3749" s="9">
        <f>IF(AND($A3749&lt;&gt;"",M3749=설정!$C$20,Z3749&gt;0),Z3749+ROW()/1000000000,"")</f>
        <v/>
      </c>
      <c r="AD3749" s="94">
        <f>IF($A3749="",0,$P3749*AG3749)</f>
        <v/>
      </c>
      <c r="AE3749" s="64">
        <f>IF($A3749="","",IFERROR(INDEX(계정매핑!$E$5:$E$504,MATCH($F3749&amp;"",계정매핑!$A$5:$A$504,0))&amp;"","공통비"))</f>
        <v/>
      </c>
      <c r="AF3749" s="64">
        <f>IF($A3749="","",IF(AE3749="직접",IFERROR(INDEX(계정매핑!$F$5:$F$504,MATCH($F3749&amp;"",계정매핑!$A$5:$A$504,0))&amp;"","비귀속"),""))</f>
        <v/>
      </c>
      <c r="AG3749" s="96">
        <f>IF($A3749="",0,IF(AND(AE3749&lt;&gt;"직접",IFERROR(INDEX(계정매핑!$G$5:$G$504,MATCH($F3749&amp;"",계정매핑!$A$5:$A$504,0))&amp;"","")="유지비",COUNTIF(계정대체기준!$A$6:$A$15,$N3749)&gt;0),IFERROR(INDEX(계정대체기준!$E$6:$E$15,MATCH(VALUE($A3749&amp;""),계정대체기준!$D$6:$D$15,0)),0),0))</f>
        <v/>
      </c>
      <c r="AH3749" s="64">
        <f>IF($A3749="","",IF(AD3749=0,"",IF(OR(COUNTIF(계정대체기준!$A$77:$A$86,$N3749)&gt;0,ISNUMBER(MATCH($X3749,계정대체기준!$D$77:$D$86,0)),ISNUMBER(MATCH($F3749,계정대체기준!$D$77:$D$86,0))),"Y","N")))</f>
        <v/>
      </c>
    </row>
    <row r="3750">
      <c r="A3750" s="92" t="n">
        <v>2026</v>
      </c>
      <c r="B3750" s="92" t="n">
        <v>5</v>
      </c>
      <c r="C3750" s="92" t="inlineStr">
        <is>
          <t>5100001028</t>
        </is>
      </c>
      <c r="D3750" s="95" t="n">
        <v>46156</v>
      </c>
      <c r="E3750" s="92" t="inlineStr">
        <is>
          <t>KR</t>
        </is>
      </c>
      <c r="F3750" s="92" t="n">
        <v>62501000</v>
      </c>
      <c r="G3750" s="92" t="n">
        <v>1801</v>
      </c>
      <c r="H3750" s="93" t="n">
        <v>102000</v>
      </c>
      <c r="I3750" s="92" t="inlineStr">
        <is>
          <t>5월 회의 다과 - (법인카드)</t>
        </is>
      </c>
      <c r="J3750" s="92" t="inlineStr">
        <is>
          <t>V10010</t>
        </is>
      </c>
      <c r="K3750" s="92" t="inlineStr">
        <is>
          <t>(법인카드)</t>
        </is>
      </c>
      <c r="M3750" s="9">
        <f>IF($A3750="","",VALUE($A3750&amp;"")*12+VALUE($B3750&amp;""))</f>
        <v/>
      </c>
      <c r="N3750" s="64">
        <f>IF($A3750="","",IFERROR(INDEX(부서매핑!$C$5:$C$504,MATCH($G3750&amp;"",부서매핑!$A$5:$A$504,0)),"미매핑"))</f>
        <v/>
      </c>
      <c r="O3750" s="9">
        <f>IF($A3750="","",N3750&amp;"|"&amp;$F3750)</f>
        <v/>
      </c>
      <c r="P3750" s="94">
        <f>IF($A3750="",0,$H3750*설정!$C$23)</f>
        <v/>
      </c>
      <c r="Q3750" s="64">
        <f>IF($A3750="","",IF(O3750&lt;&gt;원인분석!$C$9,"",IF(AND(M3750&gt;=원인분석!$C$10,M3750&lt;=원인분석!$C$11),"당기",IF(AND(M3750&gt;=원인분석!$C$12,M3750&lt;=원인분석!$C$13),"비교",""))))</f>
        <v/>
      </c>
      <c r="R3750" s="9">
        <f>IF(Q3750="","",$K3750&amp;"")</f>
        <v/>
      </c>
      <c r="S3750" s="9">
        <f>IF(Q3750="","",IF(MATCH(R3750,$R$5:$R$100000,0)=ROW()-4,ROW(),""))</f>
        <v/>
      </c>
      <c r="T3750" s="9">
        <f>IF(Q3750="당기",ABS(P3750)+ROW()/1000000000,"")</f>
        <v/>
      </c>
      <c r="U3750" s="9">
        <f>IF(Q3750="비교",ABS(P3750)+ROW()/1000000000,"")</f>
        <v/>
      </c>
      <c r="V3750" s="64">
        <f>IF($A3750="","",IF(COUNTIF(변동분석!$E$7:$E$506,O3750)&gt;0,"Y","N"))</f>
        <v/>
      </c>
      <c r="W3750" s="64">
        <f>IF($A3750="","",IFERROR(INDEX(계정매핑!$D$5:$D$504,MATCH($F3750&amp;"",계정매핑!$A$5:$A$504,0)),"미매핑"))</f>
        <v/>
      </c>
      <c r="X3750" s="9">
        <f>IF($A3750="","",$F3750&amp;"")</f>
        <v/>
      </c>
      <c r="Y3750" s="94">
        <f>IF($A3750="",0,IF(AE3750="직접",IF(AF3750="비귀속",$P3750,0),$P3750*(1-AG3750)*IFERROR(INDEX(계정대체기준!$F$20:$F$49,MATCH($N3750,계정대체기준!$A$20:$A$49,0)),1)))</f>
        <v/>
      </c>
      <c r="Z3750" s="94">
        <f>IF($A3750="",0,IF(AE3750="직접",IF(AF3750="신계약비",$P3750,0),$P3750*(1-AG3750)*IFERROR(INDEX(계정대체기준!$C$20:$C$49,MATCH($N3750,계정대체기준!$A$20:$A$49,0)),0)))</f>
        <v/>
      </c>
      <c r="AA3750" s="94">
        <f>IF($A3750="",0,IF(AE3750="직접",IF(OR(AF3750="유지비",AF3750="손해조사비"),$P3750,0),$P3750*(1-AG3750)*IFERROR(INDEX(계정대체기준!$D$20:$D$49,MATCH($N3750,계정대체기준!$A$20:$A$49,0)),0)))</f>
        <v/>
      </c>
      <c r="AB3750" s="94">
        <f>IF($A3750="",0,IF(AE3750="직접",IF(AF3750="수금비",$P3750,0),$P3750*(1-AG3750)*IFERROR(INDEX(계정대체기준!$E$20:$E$49,MATCH($N3750,계정대체기준!$A$20:$A$49,0)),0)))</f>
        <v/>
      </c>
      <c r="AC3750" s="9">
        <f>IF(AND($A3750&lt;&gt;"",M3750=설정!$C$20,Z3750&gt;0),Z3750+ROW()/1000000000,"")</f>
        <v/>
      </c>
      <c r="AD3750" s="94">
        <f>IF($A3750="",0,$P3750*AG3750)</f>
        <v/>
      </c>
      <c r="AE3750" s="64">
        <f>IF($A3750="","",IFERROR(INDEX(계정매핑!$E$5:$E$504,MATCH($F3750&amp;"",계정매핑!$A$5:$A$504,0))&amp;"","공통비"))</f>
        <v/>
      </c>
      <c r="AF3750" s="64">
        <f>IF($A3750="","",IF(AE3750="직접",IFERROR(INDEX(계정매핑!$F$5:$F$504,MATCH($F3750&amp;"",계정매핑!$A$5:$A$504,0))&amp;"","비귀속"),""))</f>
        <v/>
      </c>
      <c r="AG3750" s="96">
        <f>IF($A3750="",0,IF(AND(AE3750&lt;&gt;"직접",IFERROR(INDEX(계정매핑!$G$5:$G$504,MATCH($F3750&amp;"",계정매핑!$A$5:$A$504,0))&amp;"","")="유지비",COUNTIF(계정대체기준!$A$6:$A$15,$N3750)&gt;0),IFERROR(INDEX(계정대체기준!$E$6:$E$15,MATCH(VALUE($A3750&amp;""),계정대체기준!$D$6:$D$15,0)),0),0))</f>
        <v/>
      </c>
      <c r="AH3750" s="64">
        <f>IF($A3750="","",IF(AD3750=0,"",IF(OR(COUNTIF(계정대체기준!$A$77:$A$86,$N3750)&gt;0,ISNUMBER(MATCH($X3750,계정대체기준!$D$77:$D$86,0)),ISNUMBER(MATCH($F3750,계정대체기준!$D$77:$D$86,0))),"Y","N")))</f>
        <v/>
      </c>
    </row>
    <row r="3751">
      <c r="A3751" s="92" t="n">
        <v>2026</v>
      </c>
      <c r="B3751" s="92" t="n">
        <v>5</v>
      </c>
      <c r="C3751" s="92" t="inlineStr">
        <is>
          <t>5100001029</t>
        </is>
      </c>
      <c r="D3751" s="95" t="n">
        <v>46156</v>
      </c>
      <c r="E3751" s="92" t="inlineStr">
        <is>
          <t>KR</t>
        </is>
      </c>
      <c r="F3751" s="92" t="n">
        <v>62601000</v>
      </c>
      <c r="G3751" s="92" t="n">
        <v>1301</v>
      </c>
      <c r="H3751" s="93" t="n">
        <v>1656000</v>
      </c>
      <c r="I3751" s="92" t="inlineStr">
        <is>
          <t>5월 업무추진 - (법인카드)</t>
        </is>
      </c>
      <c r="J3751" s="92" t="inlineStr">
        <is>
          <t>V10010</t>
        </is>
      </c>
      <c r="K3751" s="92" t="inlineStr">
        <is>
          <t>(법인카드)</t>
        </is>
      </c>
      <c r="M3751" s="9">
        <f>IF($A3751="","",VALUE($A3751&amp;"")*12+VALUE($B3751&amp;""))</f>
        <v/>
      </c>
      <c r="N3751" s="64">
        <f>IF($A3751="","",IFERROR(INDEX(부서매핑!$C$5:$C$504,MATCH($G3751&amp;"",부서매핑!$A$5:$A$504,0)),"미매핑"))</f>
        <v/>
      </c>
      <c r="O3751" s="9">
        <f>IF($A3751="","",N3751&amp;"|"&amp;$F3751)</f>
        <v/>
      </c>
      <c r="P3751" s="94">
        <f>IF($A3751="",0,$H3751*설정!$C$23)</f>
        <v/>
      </c>
      <c r="Q3751" s="64">
        <f>IF($A3751="","",IF(O3751&lt;&gt;원인분석!$C$9,"",IF(AND(M3751&gt;=원인분석!$C$10,M3751&lt;=원인분석!$C$11),"당기",IF(AND(M3751&gt;=원인분석!$C$12,M3751&lt;=원인분석!$C$13),"비교",""))))</f>
        <v/>
      </c>
      <c r="R3751" s="9">
        <f>IF(Q3751="","",$K3751&amp;"")</f>
        <v/>
      </c>
      <c r="S3751" s="9">
        <f>IF(Q3751="","",IF(MATCH(R3751,$R$5:$R$100000,0)=ROW()-4,ROW(),""))</f>
        <v/>
      </c>
      <c r="T3751" s="9">
        <f>IF(Q3751="당기",ABS(P3751)+ROW()/1000000000,"")</f>
        <v/>
      </c>
      <c r="U3751" s="9">
        <f>IF(Q3751="비교",ABS(P3751)+ROW()/1000000000,"")</f>
        <v/>
      </c>
      <c r="V3751" s="64">
        <f>IF($A3751="","",IF(COUNTIF(변동분석!$E$7:$E$506,O3751)&gt;0,"Y","N"))</f>
        <v/>
      </c>
      <c r="W3751" s="64">
        <f>IF($A3751="","",IFERROR(INDEX(계정매핑!$D$5:$D$504,MATCH($F3751&amp;"",계정매핑!$A$5:$A$504,0)),"미매핑"))</f>
        <v/>
      </c>
      <c r="X3751" s="9">
        <f>IF($A3751="","",$F3751&amp;"")</f>
        <v/>
      </c>
      <c r="Y3751" s="94">
        <f>IF($A3751="",0,IF(AE3751="직접",IF(AF3751="비귀속",$P3751,0),$P3751*(1-AG3751)*IFERROR(INDEX(계정대체기준!$F$20:$F$49,MATCH($N3751,계정대체기준!$A$20:$A$49,0)),1)))</f>
        <v/>
      </c>
      <c r="Z3751" s="94">
        <f>IF($A3751="",0,IF(AE3751="직접",IF(AF3751="신계약비",$P3751,0),$P3751*(1-AG3751)*IFERROR(INDEX(계정대체기준!$C$20:$C$49,MATCH($N3751,계정대체기준!$A$20:$A$49,0)),0)))</f>
        <v/>
      </c>
      <c r="AA3751" s="94">
        <f>IF($A3751="",0,IF(AE3751="직접",IF(OR(AF3751="유지비",AF3751="손해조사비"),$P3751,0),$P3751*(1-AG3751)*IFERROR(INDEX(계정대체기준!$D$20:$D$49,MATCH($N3751,계정대체기준!$A$20:$A$49,0)),0)))</f>
        <v/>
      </c>
      <c r="AB3751" s="94">
        <f>IF($A3751="",0,IF(AE3751="직접",IF(AF3751="수금비",$P3751,0),$P3751*(1-AG3751)*IFERROR(INDEX(계정대체기준!$E$20:$E$49,MATCH($N3751,계정대체기준!$A$20:$A$49,0)),0)))</f>
        <v/>
      </c>
      <c r="AC3751" s="9">
        <f>IF(AND($A3751&lt;&gt;"",M3751=설정!$C$20,Z3751&gt;0),Z3751+ROW()/1000000000,"")</f>
        <v/>
      </c>
      <c r="AD3751" s="94">
        <f>IF($A3751="",0,$P3751*AG3751)</f>
        <v/>
      </c>
      <c r="AE3751" s="64">
        <f>IF($A3751="","",IFERROR(INDEX(계정매핑!$E$5:$E$504,MATCH($F3751&amp;"",계정매핑!$A$5:$A$504,0))&amp;"","공통비"))</f>
        <v/>
      </c>
      <c r="AF3751" s="64">
        <f>IF($A3751="","",IF(AE3751="직접",IFERROR(INDEX(계정매핑!$F$5:$F$504,MATCH($F3751&amp;"",계정매핑!$A$5:$A$504,0))&amp;"","비귀속"),""))</f>
        <v/>
      </c>
      <c r="AG3751" s="96">
        <f>IF($A3751="",0,IF(AND(AE3751&lt;&gt;"직접",IFERROR(INDEX(계정매핑!$G$5:$G$504,MATCH($F3751&amp;"",계정매핑!$A$5:$A$504,0))&amp;"","")="유지비",COUNTIF(계정대체기준!$A$6:$A$15,$N3751)&gt;0),IFERROR(INDEX(계정대체기준!$E$6:$E$15,MATCH(VALUE($A3751&amp;""),계정대체기준!$D$6:$D$15,0)),0),0))</f>
        <v/>
      </c>
      <c r="AH3751" s="64">
        <f>IF($A3751="","",IF(AD3751=0,"",IF(OR(COUNTIF(계정대체기준!$A$77:$A$86,$N3751)&gt;0,ISNUMBER(MATCH($X3751,계정대체기준!$D$77:$D$86,0)),ISNUMBER(MATCH($F3751,계정대체기준!$D$77:$D$86,0))),"Y","N")))</f>
        <v/>
      </c>
    </row>
    <row r="3752">
      <c r="A3752" s="92" t="n">
        <v>2026</v>
      </c>
      <c r="B3752" s="92" t="n">
        <v>5</v>
      </c>
      <c r="C3752" s="92" t="inlineStr">
        <is>
          <t>5100001030</t>
        </is>
      </c>
      <c r="D3752" s="95" t="n">
        <v>46156</v>
      </c>
      <c r="E3752" s="92" t="inlineStr">
        <is>
          <t>KR</t>
        </is>
      </c>
      <c r="F3752" s="92" t="n">
        <v>62701000</v>
      </c>
      <c r="G3752" s="92" t="n">
        <v>1501</v>
      </c>
      <c r="H3752" s="93" t="n">
        <v>58700000</v>
      </c>
      <c r="I3752" s="92" t="inlineStr">
        <is>
          <t>5월 광고 집행 - F애드</t>
        </is>
      </c>
      <c r="J3752" s="92" t="inlineStr">
        <is>
          <t>V10023</t>
        </is>
      </c>
      <c r="K3752" s="92" t="inlineStr">
        <is>
          <t>F애드</t>
        </is>
      </c>
      <c r="M3752" s="9">
        <f>IF($A3752="","",VALUE($A3752&amp;"")*12+VALUE($B3752&amp;""))</f>
        <v/>
      </c>
      <c r="N3752" s="64">
        <f>IF($A3752="","",IFERROR(INDEX(부서매핑!$C$5:$C$504,MATCH($G3752&amp;"",부서매핑!$A$5:$A$504,0)),"미매핑"))</f>
        <v/>
      </c>
      <c r="O3752" s="9">
        <f>IF($A3752="","",N3752&amp;"|"&amp;$F3752)</f>
        <v/>
      </c>
      <c r="P3752" s="94">
        <f>IF($A3752="",0,$H3752*설정!$C$23)</f>
        <v/>
      </c>
      <c r="Q3752" s="64">
        <f>IF($A3752="","",IF(O3752&lt;&gt;원인분석!$C$9,"",IF(AND(M3752&gt;=원인분석!$C$10,M3752&lt;=원인분석!$C$11),"당기",IF(AND(M3752&gt;=원인분석!$C$12,M3752&lt;=원인분석!$C$13),"비교",""))))</f>
        <v/>
      </c>
      <c r="R3752" s="9">
        <f>IF(Q3752="","",$K3752&amp;"")</f>
        <v/>
      </c>
      <c r="S3752" s="9">
        <f>IF(Q3752="","",IF(MATCH(R3752,$R$5:$R$100000,0)=ROW()-4,ROW(),""))</f>
        <v/>
      </c>
      <c r="T3752" s="9">
        <f>IF(Q3752="당기",ABS(P3752)+ROW()/1000000000,"")</f>
        <v/>
      </c>
      <c r="U3752" s="9">
        <f>IF(Q3752="비교",ABS(P3752)+ROW()/1000000000,"")</f>
        <v/>
      </c>
      <c r="V3752" s="64">
        <f>IF($A3752="","",IF(COUNTIF(변동분석!$E$7:$E$506,O3752)&gt;0,"Y","N"))</f>
        <v/>
      </c>
      <c r="W3752" s="64">
        <f>IF($A3752="","",IFERROR(INDEX(계정매핑!$D$5:$D$504,MATCH($F3752&amp;"",계정매핑!$A$5:$A$504,0)),"미매핑"))</f>
        <v/>
      </c>
      <c r="X3752" s="9">
        <f>IF($A3752="","",$F3752&amp;"")</f>
        <v/>
      </c>
      <c r="Y3752" s="94">
        <f>IF($A3752="",0,IF(AE3752="직접",IF(AF3752="비귀속",$P3752,0),$P3752*(1-AG3752)*IFERROR(INDEX(계정대체기준!$F$20:$F$49,MATCH($N3752,계정대체기준!$A$20:$A$49,0)),1)))</f>
        <v/>
      </c>
      <c r="Z3752" s="94">
        <f>IF($A3752="",0,IF(AE3752="직접",IF(AF3752="신계약비",$P3752,0),$P3752*(1-AG3752)*IFERROR(INDEX(계정대체기준!$C$20:$C$49,MATCH($N3752,계정대체기준!$A$20:$A$49,0)),0)))</f>
        <v/>
      </c>
      <c r="AA3752" s="94">
        <f>IF($A3752="",0,IF(AE3752="직접",IF(OR(AF3752="유지비",AF3752="손해조사비"),$P3752,0),$P3752*(1-AG3752)*IFERROR(INDEX(계정대체기준!$D$20:$D$49,MATCH($N3752,계정대체기준!$A$20:$A$49,0)),0)))</f>
        <v/>
      </c>
      <c r="AB3752" s="94">
        <f>IF($A3752="",0,IF(AE3752="직접",IF(AF3752="수금비",$P3752,0),$P3752*(1-AG3752)*IFERROR(INDEX(계정대체기준!$E$20:$E$49,MATCH($N3752,계정대체기준!$A$20:$A$49,0)),0)))</f>
        <v/>
      </c>
      <c r="AC3752" s="9">
        <f>IF(AND($A3752&lt;&gt;"",M3752=설정!$C$20,Z3752&gt;0),Z3752+ROW()/1000000000,"")</f>
        <v/>
      </c>
      <c r="AD3752" s="94">
        <f>IF($A3752="",0,$P3752*AG3752)</f>
        <v/>
      </c>
      <c r="AE3752" s="64">
        <f>IF($A3752="","",IFERROR(INDEX(계정매핑!$E$5:$E$504,MATCH($F3752&amp;"",계정매핑!$A$5:$A$504,0))&amp;"","공통비"))</f>
        <v/>
      </c>
      <c r="AF3752" s="64">
        <f>IF($A3752="","",IF(AE3752="직접",IFERROR(INDEX(계정매핑!$F$5:$F$504,MATCH($F3752&amp;"",계정매핑!$A$5:$A$504,0))&amp;"","비귀속"),""))</f>
        <v/>
      </c>
      <c r="AG3752" s="96">
        <f>IF($A3752="",0,IF(AND(AE3752&lt;&gt;"직접",IFERROR(INDEX(계정매핑!$G$5:$G$504,MATCH($F3752&amp;"",계정매핑!$A$5:$A$504,0))&amp;"","")="유지비",COUNTIF(계정대체기준!$A$6:$A$15,$N3752)&gt;0),IFERROR(INDEX(계정대체기준!$E$6:$E$15,MATCH(VALUE($A3752&amp;""),계정대체기준!$D$6:$D$15,0)),0),0))</f>
        <v/>
      </c>
      <c r="AH3752" s="64">
        <f>IF($A3752="","",IF(AD3752=0,"",IF(OR(COUNTIF(계정대체기준!$A$77:$A$86,$N3752)&gt;0,ISNUMBER(MATCH($X3752,계정대체기준!$D$77:$D$86,0)),ISNUMBER(MATCH($F3752,계정대체기준!$D$77:$D$86,0))),"Y","N")))</f>
        <v/>
      </c>
    </row>
    <row r="3753">
      <c r="A3753" s="92" t="n">
        <v>2026</v>
      </c>
      <c r="B3753" s="92" t="n">
        <v>5</v>
      </c>
      <c r="C3753" s="92" t="inlineStr">
        <is>
          <t>5100001031</t>
        </is>
      </c>
      <c r="D3753" s="95" t="n">
        <v>46156</v>
      </c>
      <c r="E3753" s="92" t="inlineStr">
        <is>
          <t>KR</t>
        </is>
      </c>
      <c r="F3753" s="92" t="n">
        <v>62902000</v>
      </c>
      <c r="G3753" s="92" t="n">
        <v>1801</v>
      </c>
      <c r="H3753" s="93" t="n">
        <v>1786000</v>
      </c>
      <c r="I3753" s="92" t="inlineStr">
        <is>
          <t>5월 콜 위탁 수수료(건별)</t>
        </is>
      </c>
      <c r="J3753" s="92" t="inlineStr">
        <is>
          <t>V10016</t>
        </is>
      </c>
      <c r="K3753" s="92" t="inlineStr">
        <is>
          <t>J콜센터</t>
        </is>
      </c>
      <c r="M3753" s="9">
        <f>IF($A3753="","",VALUE($A3753&amp;"")*12+VALUE($B3753&amp;""))</f>
        <v/>
      </c>
      <c r="N3753" s="64">
        <f>IF($A3753="","",IFERROR(INDEX(부서매핑!$C$5:$C$504,MATCH($G3753&amp;"",부서매핑!$A$5:$A$504,0)),"미매핑"))</f>
        <v/>
      </c>
      <c r="O3753" s="9">
        <f>IF($A3753="","",N3753&amp;"|"&amp;$F3753)</f>
        <v/>
      </c>
      <c r="P3753" s="94">
        <f>IF($A3753="",0,$H3753*설정!$C$23)</f>
        <v/>
      </c>
      <c r="Q3753" s="64">
        <f>IF($A3753="","",IF(O3753&lt;&gt;원인분석!$C$9,"",IF(AND(M3753&gt;=원인분석!$C$10,M3753&lt;=원인분석!$C$11),"당기",IF(AND(M3753&gt;=원인분석!$C$12,M3753&lt;=원인분석!$C$13),"비교",""))))</f>
        <v/>
      </c>
      <c r="R3753" s="9">
        <f>IF(Q3753="","",$K3753&amp;"")</f>
        <v/>
      </c>
      <c r="S3753" s="9">
        <f>IF(Q3753="","",IF(MATCH(R3753,$R$5:$R$100000,0)=ROW()-4,ROW(),""))</f>
        <v/>
      </c>
      <c r="T3753" s="9">
        <f>IF(Q3753="당기",ABS(P3753)+ROW()/1000000000,"")</f>
        <v/>
      </c>
      <c r="U3753" s="9">
        <f>IF(Q3753="비교",ABS(P3753)+ROW()/1000000000,"")</f>
        <v/>
      </c>
      <c r="V3753" s="64">
        <f>IF($A3753="","",IF(COUNTIF(변동분석!$E$7:$E$506,O3753)&gt;0,"Y","N"))</f>
        <v/>
      </c>
      <c r="W3753" s="64">
        <f>IF($A3753="","",IFERROR(INDEX(계정매핑!$D$5:$D$504,MATCH($F3753&amp;"",계정매핑!$A$5:$A$504,0)),"미매핑"))</f>
        <v/>
      </c>
      <c r="X3753" s="9">
        <f>IF($A3753="","",$F3753&amp;"")</f>
        <v/>
      </c>
      <c r="Y3753" s="94">
        <f>IF($A3753="",0,IF(AE3753="직접",IF(AF3753="비귀속",$P3753,0),$P3753*(1-AG3753)*IFERROR(INDEX(계정대체기준!$F$20:$F$49,MATCH($N3753,계정대체기준!$A$20:$A$49,0)),1)))</f>
        <v/>
      </c>
      <c r="Z3753" s="94">
        <f>IF($A3753="",0,IF(AE3753="직접",IF(AF3753="신계약비",$P3753,0),$P3753*(1-AG3753)*IFERROR(INDEX(계정대체기준!$C$20:$C$49,MATCH($N3753,계정대체기준!$A$20:$A$49,0)),0)))</f>
        <v/>
      </c>
      <c r="AA3753" s="94">
        <f>IF($A3753="",0,IF(AE3753="직접",IF(OR(AF3753="유지비",AF3753="손해조사비"),$P3753,0),$P3753*(1-AG3753)*IFERROR(INDEX(계정대체기준!$D$20:$D$49,MATCH($N3753,계정대체기준!$A$20:$A$49,0)),0)))</f>
        <v/>
      </c>
      <c r="AB3753" s="94">
        <f>IF($A3753="",0,IF(AE3753="직접",IF(AF3753="수금비",$P3753,0),$P3753*(1-AG3753)*IFERROR(INDEX(계정대체기준!$E$20:$E$49,MATCH($N3753,계정대체기준!$A$20:$A$49,0)),0)))</f>
        <v/>
      </c>
      <c r="AC3753" s="9">
        <f>IF(AND($A3753&lt;&gt;"",M3753=설정!$C$20,Z3753&gt;0),Z3753+ROW()/1000000000,"")</f>
        <v/>
      </c>
      <c r="AD3753" s="94">
        <f>IF($A3753="",0,$P3753*AG3753)</f>
        <v/>
      </c>
      <c r="AE3753" s="64">
        <f>IF($A3753="","",IFERROR(INDEX(계정매핑!$E$5:$E$504,MATCH($F3753&amp;"",계정매핑!$A$5:$A$504,0))&amp;"","공통비"))</f>
        <v/>
      </c>
      <c r="AF3753" s="64">
        <f>IF($A3753="","",IF(AE3753="직접",IFERROR(INDEX(계정매핑!$F$5:$F$504,MATCH($F3753&amp;"",계정매핑!$A$5:$A$504,0))&amp;"","비귀속"),""))</f>
        <v/>
      </c>
      <c r="AG3753" s="96">
        <f>IF($A3753="",0,IF(AND(AE3753&lt;&gt;"직접",IFERROR(INDEX(계정매핑!$G$5:$G$504,MATCH($F3753&amp;"",계정매핑!$A$5:$A$504,0))&amp;"","")="유지비",COUNTIF(계정대체기준!$A$6:$A$15,$N3753)&gt;0),IFERROR(INDEX(계정대체기준!$E$6:$E$15,MATCH(VALUE($A3753&amp;""),계정대체기준!$D$6:$D$15,0)),0),0))</f>
        <v/>
      </c>
      <c r="AH3753" s="64">
        <f>IF($A3753="","",IF(AD3753=0,"",IF(OR(COUNTIF(계정대체기준!$A$77:$A$86,$N3753)&gt;0,ISNUMBER(MATCH($X3753,계정대체기준!$D$77:$D$86,0)),ISNUMBER(MATCH($F3753,계정대체기준!$D$77:$D$86,0))),"Y","N")))</f>
        <v/>
      </c>
    </row>
    <row r="3754">
      <c r="A3754" s="92" t="n">
        <v>2026</v>
      </c>
      <c r="B3754" s="92" t="n">
        <v>5</v>
      </c>
      <c r="C3754" s="92" t="inlineStr">
        <is>
          <t>5100001032</t>
        </is>
      </c>
      <c r="D3754" s="95" t="n">
        <v>46156</v>
      </c>
      <c r="E3754" s="92" t="inlineStr">
        <is>
          <t>KR</t>
        </is>
      </c>
      <c r="F3754" s="92" t="n">
        <v>62902000</v>
      </c>
      <c r="G3754" s="92" t="n">
        <v>1951</v>
      </c>
      <c r="H3754" s="93" t="n">
        <v>3040000</v>
      </c>
      <c r="I3754" s="92" t="inlineStr">
        <is>
          <t>5월 업무 위탁 수수료 - J콜센터</t>
        </is>
      </c>
      <c r="J3754" s="92" t="inlineStr">
        <is>
          <t>V10016</t>
        </is>
      </c>
      <c r="K3754" s="92" t="inlineStr">
        <is>
          <t>J콜센터</t>
        </is>
      </c>
      <c r="M3754" s="9">
        <f>IF($A3754="","",VALUE($A3754&amp;"")*12+VALUE($B3754&amp;""))</f>
        <v/>
      </c>
      <c r="N3754" s="64">
        <f>IF($A3754="","",IFERROR(INDEX(부서매핑!$C$5:$C$504,MATCH($G3754&amp;"",부서매핑!$A$5:$A$504,0)),"미매핑"))</f>
        <v/>
      </c>
      <c r="O3754" s="9">
        <f>IF($A3754="","",N3754&amp;"|"&amp;$F3754)</f>
        <v/>
      </c>
      <c r="P3754" s="94">
        <f>IF($A3754="",0,$H3754*설정!$C$23)</f>
        <v/>
      </c>
      <c r="Q3754" s="64">
        <f>IF($A3754="","",IF(O3754&lt;&gt;원인분석!$C$9,"",IF(AND(M3754&gt;=원인분석!$C$10,M3754&lt;=원인분석!$C$11),"당기",IF(AND(M3754&gt;=원인분석!$C$12,M3754&lt;=원인분석!$C$13),"비교",""))))</f>
        <v/>
      </c>
      <c r="R3754" s="9">
        <f>IF(Q3754="","",$K3754&amp;"")</f>
        <v/>
      </c>
      <c r="S3754" s="9">
        <f>IF(Q3754="","",IF(MATCH(R3754,$R$5:$R$100000,0)=ROW()-4,ROW(),""))</f>
        <v/>
      </c>
      <c r="T3754" s="9">
        <f>IF(Q3754="당기",ABS(P3754)+ROW()/1000000000,"")</f>
        <v/>
      </c>
      <c r="U3754" s="9">
        <f>IF(Q3754="비교",ABS(P3754)+ROW()/1000000000,"")</f>
        <v/>
      </c>
      <c r="V3754" s="64">
        <f>IF($A3754="","",IF(COUNTIF(변동분석!$E$7:$E$506,O3754)&gt;0,"Y","N"))</f>
        <v/>
      </c>
      <c r="W3754" s="64">
        <f>IF($A3754="","",IFERROR(INDEX(계정매핑!$D$5:$D$504,MATCH($F3754&amp;"",계정매핑!$A$5:$A$504,0)),"미매핑"))</f>
        <v/>
      </c>
      <c r="X3754" s="9">
        <f>IF($A3754="","",$F3754&amp;"")</f>
        <v/>
      </c>
      <c r="Y3754" s="94">
        <f>IF($A3754="",0,IF(AE3754="직접",IF(AF3754="비귀속",$P3754,0),$P3754*(1-AG3754)*IFERROR(INDEX(계정대체기준!$F$20:$F$49,MATCH($N3754,계정대체기준!$A$20:$A$49,0)),1)))</f>
        <v/>
      </c>
      <c r="Z3754" s="94">
        <f>IF($A3754="",0,IF(AE3754="직접",IF(AF3754="신계약비",$P3754,0),$P3754*(1-AG3754)*IFERROR(INDEX(계정대체기준!$C$20:$C$49,MATCH($N3754,계정대체기준!$A$20:$A$49,0)),0)))</f>
        <v/>
      </c>
      <c r="AA3754" s="94">
        <f>IF($A3754="",0,IF(AE3754="직접",IF(OR(AF3754="유지비",AF3754="손해조사비"),$P3754,0),$P3754*(1-AG3754)*IFERROR(INDEX(계정대체기준!$D$20:$D$49,MATCH($N3754,계정대체기준!$A$20:$A$49,0)),0)))</f>
        <v/>
      </c>
      <c r="AB3754" s="94">
        <f>IF($A3754="",0,IF(AE3754="직접",IF(AF3754="수금비",$P3754,0),$P3754*(1-AG3754)*IFERROR(INDEX(계정대체기준!$E$20:$E$49,MATCH($N3754,계정대체기준!$A$20:$A$49,0)),0)))</f>
        <v/>
      </c>
      <c r="AC3754" s="9">
        <f>IF(AND($A3754&lt;&gt;"",M3754=설정!$C$20,Z3754&gt;0),Z3754+ROW()/1000000000,"")</f>
        <v/>
      </c>
      <c r="AD3754" s="94">
        <f>IF($A3754="",0,$P3754*AG3754)</f>
        <v/>
      </c>
      <c r="AE3754" s="64">
        <f>IF($A3754="","",IFERROR(INDEX(계정매핑!$E$5:$E$504,MATCH($F3754&amp;"",계정매핑!$A$5:$A$504,0))&amp;"","공통비"))</f>
        <v/>
      </c>
      <c r="AF3754" s="64">
        <f>IF($A3754="","",IF(AE3754="직접",IFERROR(INDEX(계정매핑!$F$5:$F$504,MATCH($F3754&amp;"",계정매핑!$A$5:$A$504,0))&amp;"","비귀속"),""))</f>
        <v/>
      </c>
      <c r="AG3754" s="96">
        <f>IF($A3754="",0,IF(AND(AE3754&lt;&gt;"직접",IFERROR(INDEX(계정매핑!$G$5:$G$504,MATCH($F3754&amp;"",계정매핑!$A$5:$A$504,0))&amp;"","")="유지비",COUNTIF(계정대체기준!$A$6:$A$15,$N3754)&gt;0),IFERROR(INDEX(계정대체기준!$E$6:$E$15,MATCH(VALUE($A3754&amp;""),계정대체기준!$D$6:$D$15,0)),0),0))</f>
        <v/>
      </c>
      <c r="AH3754" s="64">
        <f>IF($A3754="","",IF(AD3754=0,"",IF(OR(COUNTIF(계정대체기준!$A$77:$A$86,$N3754)&gt;0,ISNUMBER(MATCH($X3754,계정대체기준!$D$77:$D$86,0)),ISNUMBER(MATCH($F3754,계정대체기준!$D$77:$D$86,0))),"Y","N")))</f>
        <v/>
      </c>
    </row>
    <row r="3755">
      <c r="A3755" s="92" t="n">
        <v>2026</v>
      </c>
      <c r="B3755" s="92" t="n">
        <v>5</v>
      </c>
      <c r="C3755" s="92" t="inlineStr">
        <is>
          <t>5100001033</t>
        </is>
      </c>
      <c r="D3755" s="95" t="n">
        <v>46156</v>
      </c>
      <c r="E3755" s="92" t="inlineStr">
        <is>
          <t>KR</t>
        </is>
      </c>
      <c r="F3755" s="92" t="n">
        <v>63001000</v>
      </c>
      <c r="G3755" s="92" t="n">
        <v>1951</v>
      </c>
      <c r="H3755" s="93" t="n">
        <v>3826000</v>
      </c>
      <c r="I3755" s="92" t="inlineStr">
        <is>
          <t>5월 SW 유지보수 - Z시스템</t>
        </is>
      </c>
      <c r="J3755" s="92" t="inlineStr">
        <is>
          <t>V10012</t>
        </is>
      </c>
      <c r="K3755" s="92" t="inlineStr">
        <is>
          <t>Z시스템</t>
        </is>
      </c>
      <c r="M3755" s="9">
        <f>IF($A3755="","",VALUE($A3755&amp;"")*12+VALUE($B3755&amp;""))</f>
        <v/>
      </c>
      <c r="N3755" s="64">
        <f>IF($A3755="","",IFERROR(INDEX(부서매핑!$C$5:$C$504,MATCH($G3755&amp;"",부서매핑!$A$5:$A$504,0)),"미매핑"))</f>
        <v/>
      </c>
      <c r="O3755" s="9">
        <f>IF($A3755="","",N3755&amp;"|"&amp;$F3755)</f>
        <v/>
      </c>
      <c r="P3755" s="94">
        <f>IF($A3755="",0,$H3755*설정!$C$23)</f>
        <v/>
      </c>
      <c r="Q3755" s="64">
        <f>IF($A3755="","",IF(O3755&lt;&gt;원인분석!$C$9,"",IF(AND(M3755&gt;=원인분석!$C$10,M3755&lt;=원인분석!$C$11),"당기",IF(AND(M3755&gt;=원인분석!$C$12,M3755&lt;=원인분석!$C$13),"비교",""))))</f>
        <v/>
      </c>
      <c r="R3755" s="9">
        <f>IF(Q3755="","",$K3755&amp;"")</f>
        <v/>
      </c>
      <c r="S3755" s="9">
        <f>IF(Q3755="","",IF(MATCH(R3755,$R$5:$R$100000,0)=ROW()-4,ROW(),""))</f>
        <v/>
      </c>
      <c r="T3755" s="9">
        <f>IF(Q3755="당기",ABS(P3755)+ROW()/1000000000,"")</f>
        <v/>
      </c>
      <c r="U3755" s="9">
        <f>IF(Q3755="비교",ABS(P3755)+ROW()/1000000000,"")</f>
        <v/>
      </c>
      <c r="V3755" s="64">
        <f>IF($A3755="","",IF(COUNTIF(변동분석!$E$7:$E$506,O3755)&gt;0,"Y","N"))</f>
        <v/>
      </c>
      <c r="W3755" s="64">
        <f>IF($A3755="","",IFERROR(INDEX(계정매핑!$D$5:$D$504,MATCH($F3755&amp;"",계정매핑!$A$5:$A$504,0)),"미매핑"))</f>
        <v/>
      </c>
      <c r="X3755" s="9">
        <f>IF($A3755="","",$F3755&amp;"")</f>
        <v/>
      </c>
      <c r="Y3755" s="94">
        <f>IF($A3755="",0,IF(AE3755="직접",IF(AF3755="비귀속",$P3755,0),$P3755*(1-AG3755)*IFERROR(INDEX(계정대체기준!$F$20:$F$49,MATCH($N3755,계정대체기준!$A$20:$A$49,0)),1)))</f>
        <v/>
      </c>
      <c r="Z3755" s="94">
        <f>IF($A3755="",0,IF(AE3755="직접",IF(AF3755="신계약비",$P3755,0),$P3755*(1-AG3755)*IFERROR(INDEX(계정대체기준!$C$20:$C$49,MATCH($N3755,계정대체기준!$A$20:$A$49,0)),0)))</f>
        <v/>
      </c>
      <c r="AA3755" s="94">
        <f>IF($A3755="",0,IF(AE3755="직접",IF(OR(AF3755="유지비",AF3755="손해조사비"),$P3755,0),$P3755*(1-AG3755)*IFERROR(INDEX(계정대체기준!$D$20:$D$49,MATCH($N3755,계정대체기준!$A$20:$A$49,0)),0)))</f>
        <v/>
      </c>
      <c r="AB3755" s="94">
        <f>IF($A3755="",0,IF(AE3755="직접",IF(AF3755="수금비",$P3755,0),$P3755*(1-AG3755)*IFERROR(INDEX(계정대체기준!$E$20:$E$49,MATCH($N3755,계정대체기준!$A$20:$A$49,0)),0)))</f>
        <v/>
      </c>
      <c r="AC3755" s="9">
        <f>IF(AND($A3755&lt;&gt;"",M3755=설정!$C$20,Z3755&gt;0),Z3755+ROW()/1000000000,"")</f>
        <v/>
      </c>
      <c r="AD3755" s="94">
        <f>IF($A3755="",0,$P3755*AG3755)</f>
        <v/>
      </c>
      <c r="AE3755" s="64">
        <f>IF($A3755="","",IFERROR(INDEX(계정매핑!$E$5:$E$504,MATCH($F3755&amp;"",계정매핑!$A$5:$A$504,0))&amp;"","공통비"))</f>
        <v/>
      </c>
      <c r="AF3755" s="64">
        <f>IF($A3755="","",IF(AE3755="직접",IFERROR(INDEX(계정매핑!$F$5:$F$504,MATCH($F3755&amp;"",계정매핑!$A$5:$A$504,0))&amp;"","비귀속"),""))</f>
        <v/>
      </c>
      <c r="AG3755" s="96">
        <f>IF($A3755="",0,IF(AND(AE3755&lt;&gt;"직접",IFERROR(INDEX(계정매핑!$G$5:$G$504,MATCH($F3755&amp;"",계정매핑!$A$5:$A$504,0))&amp;"","")="유지비",COUNTIF(계정대체기준!$A$6:$A$15,$N3755)&gt;0),IFERROR(INDEX(계정대체기준!$E$6:$E$15,MATCH(VALUE($A3755&amp;""),계정대체기준!$D$6:$D$15,0)),0),0))</f>
        <v/>
      </c>
      <c r="AH3755" s="64">
        <f>IF($A3755="","",IF(AD3755=0,"",IF(OR(COUNTIF(계정대체기준!$A$77:$A$86,$N3755)&gt;0,ISNUMBER(MATCH($X3755,계정대체기준!$D$77:$D$86,0)),ISNUMBER(MATCH($F3755,계정대체기준!$D$77:$D$86,0))),"Y","N")))</f>
        <v/>
      </c>
    </row>
    <row r="3756">
      <c r="A3756" s="92" t="n">
        <v>2026</v>
      </c>
      <c r="B3756" s="92" t="n">
        <v>5</v>
      </c>
      <c r="C3756" s="92" t="inlineStr">
        <is>
          <t>5100001034</t>
        </is>
      </c>
      <c r="D3756" s="95" t="n">
        <v>46156</v>
      </c>
      <c r="E3756" s="92" t="inlineStr">
        <is>
          <t>KR</t>
        </is>
      </c>
      <c r="F3756" s="92" t="n">
        <v>63101000</v>
      </c>
      <c r="G3756" s="92" t="n">
        <v>1602</v>
      </c>
      <c r="H3756" s="93" t="n">
        <v>6712000</v>
      </c>
      <c r="I3756" s="92" t="inlineStr">
        <is>
          <t>5월 사무실 임차료 - BB부동산</t>
        </is>
      </c>
      <c r="J3756" s="92" t="inlineStr">
        <is>
          <t>V10028</t>
        </is>
      </c>
      <c r="K3756" s="92" t="inlineStr">
        <is>
          <t>BB부동산</t>
        </is>
      </c>
      <c r="M3756" s="9">
        <f>IF($A3756="","",VALUE($A3756&amp;"")*12+VALUE($B3756&amp;""))</f>
        <v/>
      </c>
      <c r="N3756" s="64">
        <f>IF($A3756="","",IFERROR(INDEX(부서매핑!$C$5:$C$504,MATCH($G3756&amp;"",부서매핑!$A$5:$A$504,0)),"미매핑"))</f>
        <v/>
      </c>
      <c r="O3756" s="9">
        <f>IF($A3756="","",N3756&amp;"|"&amp;$F3756)</f>
        <v/>
      </c>
      <c r="P3756" s="94">
        <f>IF($A3756="",0,$H3756*설정!$C$23)</f>
        <v/>
      </c>
      <c r="Q3756" s="64">
        <f>IF($A3756="","",IF(O3756&lt;&gt;원인분석!$C$9,"",IF(AND(M3756&gt;=원인분석!$C$10,M3756&lt;=원인분석!$C$11),"당기",IF(AND(M3756&gt;=원인분석!$C$12,M3756&lt;=원인분석!$C$13),"비교",""))))</f>
        <v/>
      </c>
      <c r="R3756" s="9">
        <f>IF(Q3756="","",$K3756&amp;"")</f>
        <v/>
      </c>
      <c r="S3756" s="9">
        <f>IF(Q3756="","",IF(MATCH(R3756,$R$5:$R$100000,0)=ROW()-4,ROW(),""))</f>
        <v/>
      </c>
      <c r="T3756" s="9">
        <f>IF(Q3756="당기",ABS(P3756)+ROW()/1000000000,"")</f>
        <v/>
      </c>
      <c r="U3756" s="9">
        <f>IF(Q3756="비교",ABS(P3756)+ROW()/1000000000,"")</f>
        <v/>
      </c>
      <c r="V3756" s="64">
        <f>IF($A3756="","",IF(COUNTIF(변동분석!$E$7:$E$506,O3756)&gt;0,"Y","N"))</f>
        <v/>
      </c>
      <c r="W3756" s="64">
        <f>IF($A3756="","",IFERROR(INDEX(계정매핑!$D$5:$D$504,MATCH($F3756&amp;"",계정매핑!$A$5:$A$504,0)),"미매핑"))</f>
        <v/>
      </c>
      <c r="X3756" s="9">
        <f>IF($A3756="","",$F3756&amp;"")</f>
        <v/>
      </c>
      <c r="Y3756" s="94">
        <f>IF($A3756="",0,IF(AE3756="직접",IF(AF3756="비귀속",$P3756,0),$P3756*(1-AG3756)*IFERROR(INDEX(계정대체기준!$F$20:$F$49,MATCH($N3756,계정대체기준!$A$20:$A$49,0)),1)))</f>
        <v/>
      </c>
      <c r="Z3756" s="94">
        <f>IF($A3756="",0,IF(AE3756="직접",IF(AF3756="신계약비",$P3756,0),$P3756*(1-AG3756)*IFERROR(INDEX(계정대체기준!$C$20:$C$49,MATCH($N3756,계정대체기준!$A$20:$A$49,0)),0)))</f>
        <v/>
      </c>
      <c r="AA3756" s="94">
        <f>IF($A3756="",0,IF(AE3756="직접",IF(OR(AF3756="유지비",AF3756="손해조사비"),$P3756,0),$P3756*(1-AG3756)*IFERROR(INDEX(계정대체기준!$D$20:$D$49,MATCH($N3756,계정대체기준!$A$20:$A$49,0)),0)))</f>
        <v/>
      </c>
      <c r="AB3756" s="94">
        <f>IF($A3756="",0,IF(AE3756="직접",IF(AF3756="수금비",$P3756,0),$P3756*(1-AG3756)*IFERROR(INDEX(계정대체기준!$E$20:$E$49,MATCH($N3756,계정대체기준!$A$20:$A$49,0)),0)))</f>
        <v/>
      </c>
      <c r="AC3756" s="9">
        <f>IF(AND($A3756&lt;&gt;"",M3756=설정!$C$20,Z3756&gt;0),Z3756+ROW()/1000000000,"")</f>
        <v/>
      </c>
      <c r="AD3756" s="94">
        <f>IF($A3756="",0,$P3756*AG3756)</f>
        <v/>
      </c>
      <c r="AE3756" s="64">
        <f>IF($A3756="","",IFERROR(INDEX(계정매핑!$E$5:$E$504,MATCH($F3756&amp;"",계정매핑!$A$5:$A$504,0))&amp;"","공통비"))</f>
        <v/>
      </c>
      <c r="AF3756" s="64">
        <f>IF($A3756="","",IF(AE3756="직접",IFERROR(INDEX(계정매핑!$F$5:$F$504,MATCH($F3756&amp;"",계정매핑!$A$5:$A$504,0))&amp;"","비귀속"),""))</f>
        <v/>
      </c>
      <c r="AG3756" s="96">
        <f>IF($A3756="",0,IF(AND(AE3756&lt;&gt;"직접",IFERROR(INDEX(계정매핑!$G$5:$G$504,MATCH($F3756&amp;"",계정매핑!$A$5:$A$504,0))&amp;"","")="유지비",COUNTIF(계정대체기준!$A$6:$A$15,$N3756)&gt;0),IFERROR(INDEX(계정대체기준!$E$6:$E$15,MATCH(VALUE($A3756&amp;""),계정대체기준!$D$6:$D$15,0)),0),0))</f>
        <v/>
      </c>
      <c r="AH3756" s="64">
        <f>IF($A3756="","",IF(AD3756=0,"",IF(OR(COUNTIF(계정대체기준!$A$77:$A$86,$N3756)&gt;0,ISNUMBER(MATCH($X3756,계정대체기준!$D$77:$D$86,0)),ISNUMBER(MATCH($F3756,계정대체기준!$D$77:$D$86,0))),"Y","N")))</f>
        <v/>
      </c>
    </row>
    <row r="3757">
      <c r="A3757" s="92" t="n">
        <v>2026</v>
      </c>
      <c r="B3757" s="92" t="n">
        <v>5</v>
      </c>
      <c r="C3757" s="92" t="inlineStr">
        <is>
          <t>5100001035</t>
        </is>
      </c>
      <c r="D3757" s="95" t="n">
        <v>46157</v>
      </c>
      <c r="E3757" s="92" t="inlineStr">
        <is>
          <t>KR</t>
        </is>
      </c>
      <c r="F3757" s="92" t="n">
        <v>62102000</v>
      </c>
      <c r="G3757" s="92" t="n">
        <v>1101</v>
      </c>
      <c r="H3757" s="93" t="n">
        <v>94000</v>
      </c>
      <c r="I3757" s="92" t="inlineStr">
        <is>
          <t>5월 해외출장 - N호텔</t>
        </is>
      </c>
      <c r="J3757" s="92" t="inlineStr">
        <is>
          <t>V10009</t>
        </is>
      </c>
      <c r="K3757" s="92" t="inlineStr">
        <is>
          <t>N호텔</t>
        </is>
      </c>
      <c r="M3757" s="9">
        <f>IF($A3757="","",VALUE($A3757&amp;"")*12+VALUE($B3757&amp;""))</f>
        <v/>
      </c>
      <c r="N3757" s="64">
        <f>IF($A3757="","",IFERROR(INDEX(부서매핑!$C$5:$C$504,MATCH($G3757&amp;"",부서매핑!$A$5:$A$504,0)),"미매핑"))</f>
        <v/>
      </c>
      <c r="O3757" s="9">
        <f>IF($A3757="","",N3757&amp;"|"&amp;$F3757)</f>
        <v/>
      </c>
      <c r="P3757" s="94">
        <f>IF($A3757="",0,$H3757*설정!$C$23)</f>
        <v/>
      </c>
      <c r="Q3757" s="64">
        <f>IF($A3757="","",IF(O3757&lt;&gt;원인분석!$C$9,"",IF(AND(M3757&gt;=원인분석!$C$10,M3757&lt;=원인분석!$C$11),"당기",IF(AND(M3757&gt;=원인분석!$C$12,M3757&lt;=원인분석!$C$13),"비교",""))))</f>
        <v/>
      </c>
      <c r="R3757" s="9">
        <f>IF(Q3757="","",$K3757&amp;"")</f>
        <v/>
      </c>
      <c r="S3757" s="9">
        <f>IF(Q3757="","",IF(MATCH(R3757,$R$5:$R$100000,0)=ROW()-4,ROW(),""))</f>
        <v/>
      </c>
      <c r="T3757" s="9">
        <f>IF(Q3757="당기",ABS(P3757)+ROW()/1000000000,"")</f>
        <v/>
      </c>
      <c r="U3757" s="9">
        <f>IF(Q3757="비교",ABS(P3757)+ROW()/1000000000,"")</f>
        <v/>
      </c>
      <c r="V3757" s="64">
        <f>IF($A3757="","",IF(COUNTIF(변동분석!$E$7:$E$506,O3757)&gt;0,"Y","N"))</f>
        <v/>
      </c>
      <c r="W3757" s="64">
        <f>IF($A3757="","",IFERROR(INDEX(계정매핑!$D$5:$D$504,MATCH($F3757&amp;"",계정매핑!$A$5:$A$504,0)),"미매핑"))</f>
        <v/>
      </c>
      <c r="X3757" s="9">
        <f>IF($A3757="","",$F3757&amp;"")</f>
        <v/>
      </c>
      <c r="Y3757" s="94">
        <f>IF($A3757="",0,IF(AE3757="직접",IF(AF3757="비귀속",$P3757,0),$P3757*(1-AG3757)*IFERROR(INDEX(계정대체기준!$F$20:$F$49,MATCH($N3757,계정대체기준!$A$20:$A$49,0)),1)))</f>
        <v/>
      </c>
      <c r="Z3757" s="94">
        <f>IF($A3757="",0,IF(AE3757="직접",IF(AF3757="신계약비",$P3757,0),$P3757*(1-AG3757)*IFERROR(INDEX(계정대체기준!$C$20:$C$49,MATCH($N3757,계정대체기준!$A$20:$A$49,0)),0)))</f>
        <v/>
      </c>
      <c r="AA3757" s="94">
        <f>IF($A3757="",0,IF(AE3757="직접",IF(OR(AF3757="유지비",AF3757="손해조사비"),$P3757,0),$P3757*(1-AG3757)*IFERROR(INDEX(계정대체기준!$D$20:$D$49,MATCH($N3757,계정대체기준!$A$20:$A$49,0)),0)))</f>
        <v/>
      </c>
      <c r="AB3757" s="94">
        <f>IF($A3757="",0,IF(AE3757="직접",IF(AF3757="수금비",$P3757,0),$P3757*(1-AG3757)*IFERROR(INDEX(계정대체기준!$E$20:$E$49,MATCH($N3757,계정대체기준!$A$20:$A$49,0)),0)))</f>
        <v/>
      </c>
      <c r="AC3757" s="9">
        <f>IF(AND($A3757&lt;&gt;"",M3757=설정!$C$20,Z3757&gt;0),Z3757+ROW()/1000000000,"")</f>
        <v/>
      </c>
      <c r="AD3757" s="94">
        <f>IF($A3757="",0,$P3757*AG3757)</f>
        <v/>
      </c>
      <c r="AE3757" s="64">
        <f>IF($A3757="","",IFERROR(INDEX(계정매핑!$E$5:$E$504,MATCH($F3757&amp;"",계정매핑!$A$5:$A$504,0))&amp;"","공통비"))</f>
        <v/>
      </c>
      <c r="AF3757" s="64">
        <f>IF($A3757="","",IF(AE3757="직접",IFERROR(INDEX(계정매핑!$F$5:$F$504,MATCH($F3757&amp;"",계정매핑!$A$5:$A$504,0))&amp;"","비귀속"),""))</f>
        <v/>
      </c>
      <c r="AG3757" s="96">
        <f>IF($A3757="",0,IF(AND(AE3757&lt;&gt;"직접",IFERROR(INDEX(계정매핑!$G$5:$G$504,MATCH($F3757&amp;"",계정매핑!$A$5:$A$504,0))&amp;"","")="유지비",COUNTIF(계정대체기준!$A$6:$A$15,$N3757)&gt;0),IFERROR(INDEX(계정대체기준!$E$6:$E$15,MATCH(VALUE($A3757&amp;""),계정대체기준!$D$6:$D$15,0)),0),0))</f>
        <v/>
      </c>
      <c r="AH3757" s="64">
        <f>IF($A3757="","",IF(AD3757=0,"",IF(OR(COUNTIF(계정대체기준!$A$77:$A$86,$N3757)&gt;0,ISNUMBER(MATCH($X3757,계정대체기준!$D$77:$D$86,0)),ISNUMBER(MATCH($F3757,계정대체기준!$D$77:$D$86,0))),"Y","N")))</f>
        <v/>
      </c>
    </row>
    <row r="3758">
      <c r="A3758" s="92" t="n">
        <v>2026</v>
      </c>
      <c r="B3758" s="92" t="n">
        <v>5</v>
      </c>
      <c r="C3758" s="92" t="inlineStr">
        <is>
          <t>5100001036</t>
        </is>
      </c>
      <c r="D3758" s="95" t="n">
        <v>46157</v>
      </c>
      <c r="E3758" s="92" t="inlineStr">
        <is>
          <t>KR</t>
        </is>
      </c>
      <c r="F3758" s="92" t="n">
        <v>62201000</v>
      </c>
      <c r="G3758" s="92" t="n">
        <v>1201</v>
      </c>
      <c r="H3758" s="93" t="n">
        <v>163000</v>
      </c>
      <c r="I3758" s="92" t="inlineStr">
        <is>
          <t>5월 통신요금 - O텔레콤</t>
        </is>
      </c>
      <c r="J3758" s="92" t="inlineStr">
        <is>
          <t>V10002</t>
        </is>
      </c>
      <c r="K3758" s="92" t="inlineStr">
        <is>
          <t>O텔레콤</t>
        </is>
      </c>
      <c r="M3758" s="9">
        <f>IF($A3758="","",VALUE($A3758&amp;"")*12+VALUE($B3758&amp;""))</f>
        <v/>
      </c>
      <c r="N3758" s="64">
        <f>IF($A3758="","",IFERROR(INDEX(부서매핑!$C$5:$C$504,MATCH($G3758&amp;"",부서매핑!$A$5:$A$504,0)),"미매핑"))</f>
        <v/>
      </c>
      <c r="O3758" s="9">
        <f>IF($A3758="","",N3758&amp;"|"&amp;$F3758)</f>
        <v/>
      </c>
      <c r="P3758" s="94">
        <f>IF($A3758="",0,$H3758*설정!$C$23)</f>
        <v/>
      </c>
      <c r="Q3758" s="64">
        <f>IF($A3758="","",IF(O3758&lt;&gt;원인분석!$C$9,"",IF(AND(M3758&gt;=원인분석!$C$10,M3758&lt;=원인분석!$C$11),"당기",IF(AND(M3758&gt;=원인분석!$C$12,M3758&lt;=원인분석!$C$13),"비교",""))))</f>
        <v/>
      </c>
      <c r="R3758" s="9">
        <f>IF(Q3758="","",$K3758&amp;"")</f>
        <v/>
      </c>
      <c r="S3758" s="9">
        <f>IF(Q3758="","",IF(MATCH(R3758,$R$5:$R$100000,0)=ROW()-4,ROW(),""))</f>
        <v/>
      </c>
      <c r="T3758" s="9">
        <f>IF(Q3758="당기",ABS(P3758)+ROW()/1000000000,"")</f>
        <v/>
      </c>
      <c r="U3758" s="9">
        <f>IF(Q3758="비교",ABS(P3758)+ROW()/1000000000,"")</f>
        <v/>
      </c>
      <c r="V3758" s="64">
        <f>IF($A3758="","",IF(COUNTIF(변동분석!$E$7:$E$506,O3758)&gt;0,"Y","N"))</f>
        <v/>
      </c>
      <c r="W3758" s="64">
        <f>IF($A3758="","",IFERROR(INDEX(계정매핑!$D$5:$D$504,MATCH($F3758&amp;"",계정매핑!$A$5:$A$504,0)),"미매핑"))</f>
        <v/>
      </c>
      <c r="X3758" s="9">
        <f>IF($A3758="","",$F3758&amp;"")</f>
        <v/>
      </c>
      <c r="Y3758" s="94">
        <f>IF($A3758="",0,IF(AE3758="직접",IF(AF3758="비귀속",$P3758,0),$P3758*(1-AG3758)*IFERROR(INDEX(계정대체기준!$F$20:$F$49,MATCH($N3758,계정대체기준!$A$20:$A$49,0)),1)))</f>
        <v/>
      </c>
      <c r="Z3758" s="94">
        <f>IF($A3758="",0,IF(AE3758="직접",IF(AF3758="신계약비",$P3758,0),$P3758*(1-AG3758)*IFERROR(INDEX(계정대체기준!$C$20:$C$49,MATCH($N3758,계정대체기준!$A$20:$A$49,0)),0)))</f>
        <v/>
      </c>
      <c r="AA3758" s="94">
        <f>IF($A3758="",0,IF(AE3758="직접",IF(OR(AF3758="유지비",AF3758="손해조사비"),$P3758,0),$P3758*(1-AG3758)*IFERROR(INDEX(계정대체기준!$D$20:$D$49,MATCH($N3758,계정대체기준!$A$20:$A$49,0)),0)))</f>
        <v/>
      </c>
      <c r="AB3758" s="94">
        <f>IF($A3758="",0,IF(AE3758="직접",IF(AF3758="수금비",$P3758,0),$P3758*(1-AG3758)*IFERROR(INDEX(계정대체기준!$E$20:$E$49,MATCH($N3758,계정대체기준!$A$20:$A$49,0)),0)))</f>
        <v/>
      </c>
      <c r="AC3758" s="9">
        <f>IF(AND($A3758&lt;&gt;"",M3758=설정!$C$20,Z3758&gt;0),Z3758+ROW()/1000000000,"")</f>
        <v/>
      </c>
      <c r="AD3758" s="94">
        <f>IF($A3758="",0,$P3758*AG3758)</f>
        <v/>
      </c>
      <c r="AE3758" s="64">
        <f>IF($A3758="","",IFERROR(INDEX(계정매핑!$E$5:$E$504,MATCH($F3758&amp;"",계정매핑!$A$5:$A$504,0))&amp;"","공통비"))</f>
        <v/>
      </c>
      <c r="AF3758" s="64">
        <f>IF($A3758="","",IF(AE3758="직접",IFERROR(INDEX(계정매핑!$F$5:$F$504,MATCH($F3758&amp;"",계정매핑!$A$5:$A$504,0))&amp;"","비귀속"),""))</f>
        <v/>
      </c>
      <c r="AG3758" s="96">
        <f>IF($A3758="",0,IF(AND(AE3758&lt;&gt;"직접",IFERROR(INDEX(계정매핑!$G$5:$G$504,MATCH($F3758&amp;"",계정매핑!$A$5:$A$504,0))&amp;"","")="유지비",COUNTIF(계정대체기준!$A$6:$A$15,$N3758)&gt;0),IFERROR(INDEX(계정대체기준!$E$6:$E$15,MATCH(VALUE($A3758&amp;""),계정대체기준!$D$6:$D$15,0)),0),0))</f>
        <v/>
      </c>
      <c r="AH3758" s="64">
        <f>IF($A3758="","",IF(AD3758=0,"",IF(OR(COUNTIF(계정대체기준!$A$77:$A$86,$N3758)&gt;0,ISNUMBER(MATCH($X3758,계정대체기준!$D$77:$D$86,0)),ISNUMBER(MATCH($F3758,계정대체기준!$D$77:$D$86,0))),"Y","N")))</f>
        <v/>
      </c>
    </row>
    <row r="3759">
      <c r="A3759" s="92" t="n">
        <v>2026</v>
      </c>
      <c r="B3759" s="92" t="n">
        <v>5</v>
      </c>
      <c r="C3759" s="92" t="inlineStr">
        <is>
          <t>5100001037</t>
        </is>
      </c>
      <c r="D3759" s="95" t="n">
        <v>46157</v>
      </c>
      <c r="E3759" s="92" t="inlineStr">
        <is>
          <t>KR</t>
        </is>
      </c>
      <c r="F3759" s="92" t="n">
        <v>62201000</v>
      </c>
      <c r="G3759" s="92" t="n">
        <v>1601</v>
      </c>
      <c r="H3759" s="93" t="n">
        <v>634000</v>
      </c>
      <c r="I3759" s="92" t="inlineStr">
        <is>
          <t>5월 통신요금 - O텔레콤</t>
        </is>
      </c>
      <c r="J3759" s="92" t="inlineStr">
        <is>
          <t>V10002</t>
        </is>
      </c>
      <c r="K3759" s="92" t="inlineStr">
        <is>
          <t>O텔레콤</t>
        </is>
      </c>
      <c r="M3759" s="9">
        <f>IF($A3759="","",VALUE($A3759&amp;"")*12+VALUE($B3759&amp;""))</f>
        <v/>
      </c>
      <c r="N3759" s="64">
        <f>IF($A3759="","",IFERROR(INDEX(부서매핑!$C$5:$C$504,MATCH($G3759&amp;"",부서매핑!$A$5:$A$504,0)),"미매핑"))</f>
        <v/>
      </c>
      <c r="O3759" s="9">
        <f>IF($A3759="","",N3759&amp;"|"&amp;$F3759)</f>
        <v/>
      </c>
      <c r="P3759" s="94">
        <f>IF($A3759="",0,$H3759*설정!$C$23)</f>
        <v/>
      </c>
      <c r="Q3759" s="64">
        <f>IF($A3759="","",IF(O3759&lt;&gt;원인분석!$C$9,"",IF(AND(M3759&gt;=원인분석!$C$10,M3759&lt;=원인분석!$C$11),"당기",IF(AND(M3759&gt;=원인분석!$C$12,M3759&lt;=원인분석!$C$13),"비교",""))))</f>
        <v/>
      </c>
      <c r="R3759" s="9">
        <f>IF(Q3759="","",$K3759&amp;"")</f>
        <v/>
      </c>
      <c r="S3759" s="9">
        <f>IF(Q3759="","",IF(MATCH(R3759,$R$5:$R$100000,0)=ROW()-4,ROW(),""))</f>
        <v/>
      </c>
      <c r="T3759" s="9">
        <f>IF(Q3759="당기",ABS(P3759)+ROW()/1000000000,"")</f>
        <v/>
      </c>
      <c r="U3759" s="9">
        <f>IF(Q3759="비교",ABS(P3759)+ROW()/1000000000,"")</f>
        <v/>
      </c>
      <c r="V3759" s="64">
        <f>IF($A3759="","",IF(COUNTIF(변동분석!$E$7:$E$506,O3759)&gt;0,"Y","N"))</f>
        <v/>
      </c>
      <c r="W3759" s="64">
        <f>IF($A3759="","",IFERROR(INDEX(계정매핑!$D$5:$D$504,MATCH($F3759&amp;"",계정매핑!$A$5:$A$504,0)),"미매핑"))</f>
        <v/>
      </c>
      <c r="X3759" s="9">
        <f>IF($A3759="","",$F3759&amp;"")</f>
        <v/>
      </c>
      <c r="Y3759" s="94">
        <f>IF($A3759="",0,IF(AE3759="직접",IF(AF3759="비귀속",$P3759,0),$P3759*(1-AG3759)*IFERROR(INDEX(계정대체기준!$F$20:$F$49,MATCH($N3759,계정대체기준!$A$20:$A$49,0)),1)))</f>
        <v/>
      </c>
      <c r="Z3759" s="94">
        <f>IF($A3759="",0,IF(AE3759="직접",IF(AF3759="신계약비",$P3759,0),$P3759*(1-AG3759)*IFERROR(INDEX(계정대체기준!$C$20:$C$49,MATCH($N3759,계정대체기준!$A$20:$A$49,0)),0)))</f>
        <v/>
      </c>
      <c r="AA3759" s="94">
        <f>IF($A3759="",0,IF(AE3759="직접",IF(OR(AF3759="유지비",AF3759="손해조사비"),$P3759,0),$P3759*(1-AG3759)*IFERROR(INDEX(계정대체기준!$D$20:$D$49,MATCH($N3759,계정대체기준!$A$20:$A$49,0)),0)))</f>
        <v/>
      </c>
      <c r="AB3759" s="94">
        <f>IF($A3759="",0,IF(AE3759="직접",IF(AF3759="수금비",$P3759,0),$P3759*(1-AG3759)*IFERROR(INDEX(계정대체기준!$E$20:$E$49,MATCH($N3759,계정대체기준!$A$20:$A$49,0)),0)))</f>
        <v/>
      </c>
      <c r="AC3759" s="9">
        <f>IF(AND($A3759&lt;&gt;"",M3759=설정!$C$20,Z3759&gt;0),Z3759+ROW()/1000000000,"")</f>
        <v/>
      </c>
      <c r="AD3759" s="94">
        <f>IF($A3759="",0,$P3759*AG3759)</f>
        <v/>
      </c>
      <c r="AE3759" s="64">
        <f>IF($A3759="","",IFERROR(INDEX(계정매핑!$E$5:$E$504,MATCH($F3759&amp;"",계정매핑!$A$5:$A$504,0))&amp;"","공통비"))</f>
        <v/>
      </c>
      <c r="AF3759" s="64">
        <f>IF($A3759="","",IF(AE3759="직접",IFERROR(INDEX(계정매핑!$F$5:$F$504,MATCH($F3759&amp;"",계정매핑!$A$5:$A$504,0))&amp;"","비귀속"),""))</f>
        <v/>
      </c>
      <c r="AG3759" s="96">
        <f>IF($A3759="",0,IF(AND(AE3759&lt;&gt;"직접",IFERROR(INDEX(계정매핑!$G$5:$G$504,MATCH($F3759&amp;"",계정매핑!$A$5:$A$504,0))&amp;"","")="유지비",COUNTIF(계정대체기준!$A$6:$A$15,$N3759)&gt;0),IFERROR(INDEX(계정대체기준!$E$6:$E$15,MATCH(VALUE($A3759&amp;""),계정대체기준!$D$6:$D$15,0)),0),0))</f>
        <v/>
      </c>
      <c r="AH3759" s="64">
        <f>IF($A3759="","",IF(AD3759=0,"",IF(OR(COUNTIF(계정대체기준!$A$77:$A$86,$N3759)&gt;0,ISNUMBER(MATCH($X3759,계정대체기준!$D$77:$D$86,0)),ISNUMBER(MATCH($F3759,계정대체기준!$D$77:$D$86,0))),"Y","N")))</f>
        <v/>
      </c>
    </row>
    <row r="3760">
      <c r="A3760" s="92" t="n">
        <v>2026</v>
      </c>
      <c r="B3760" s="92" t="n">
        <v>5</v>
      </c>
      <c r="C3760" s="92" t="inlineStr">
        <is>
          <t>5100001038</t>
        </is>
      </c>
      <c r="D3760" s="95" t="n">
        <v>46157</v>
      </c>
      <c r="E3760" s="92" t="inlineStr">
        <is>
          <t>KR</t>
        </is>
      </c>
      <c r="F3760" s="92" t="n">
        <v>62301000</v>
      </c>
      <c r="G3760" s="92" t="n">
        <v>1701</v>
      </c>
      <c r="H3760" s="93" t="n">
        <v>234000</v>
      </c>
      <c r="I3760" s="92" t="inlineStr">
        <is>
          <t>5월 소모품 구입 - Q오피스</t>
        </is>
      </c>
      <c r="J3760" s="92" t="inlineStr">
        <is>
          <t>V10003</t>
        </is>
      </c>
      <c r="K3760" s="92" t="inlineStr">
        <is>
          <t>Q오피스</t>
        </is>
      </c>
      <c r="M3760" s="9">
        <f>IF($A3760="","",VALUE($A3760&amp;"")*12+VALUE($B3760&amp;""))</f>
        <v/>
      </c>
      <c r="N3760" s="64">
        <f>IF($A3760="","",IFERROR(INDEX(부서매핑!$C$5:$C$504,MATCH($G3760&amp;"",부서매핑!$A$5:$A$504,0)),"미매핑"))</f>
        <v/>
      </c>
      <c r="O3760" s="9">
        <f>IF($A3760="","",N3760&amp;"|"&amp;$F3760)</f>
        <v/>
      </c>
      <c r="P3760" s="94">
        <f>IF($A3760="",0,$H3760*설정!$C$23)</f>
        <v/>
      </c>
      <c r="Q3760" s="64">
        <f>IF($A3760="","",IF(O3760&lt;&gt;원인분석!$C$9,"",IF(AND(M3760&gt;=원인분석!$C$10,M3760&lt;=원인분석!$C$11),"당기",IF(AND(M3760&gt;=원인분석!$C$12,M3760&lt;=원인분석!$C$13),"비교",""))))</f>
        <v/>
      </c>
      <c r="R3760" s="9">
        <f>IF(Q3760="","",$K3760&amp;"")</f>
        <v/>
      </c>
      <c r="S3760" s="9">
        <f>IF(Q3760="","",IF(MATCH(R3760,$R$5:$R$100000,0)=ROW()-4,ROW(),""))</f>
        <v/>
      </c>
      <c r="T3760" s="9">
        <f>IF(Q3760="당기",ABS(P3760)+ROW()/1000000000,"")</f>
        <v/>
      </c>
      <c r="U3760" s="9">
        <f>IF(Q3760="비교",ABS(P3760)+ROW()/1000000000,"")</f>
        <v/>
      </c>
      <c r="V3760" s="64">
        <f>IF($A3760="","",IF(COUNTIF(변동분석!$E$7:$E$506,O3760)&gt;0,"Y","N"))</f>
        <v/>
      </c>
      <c r="W3760" s="64">
        <f>IF($A3760="","",IFERROR(INDEX(계정매핑!$D$5:$D$504,MATCH($F3760&amp;"",계정매핑!$A$5:$A$504,0)),"미매핑"))</f>
        <v/>
      </c>
      <c r="X3760" s="9">
        <f>IF($A3760="","",$F3760&amp;"")</f>
        <v/>
      </c>
      <c r="Y3760" s="94">
        <f>IF($A3760="",0,IF(AE3760="직접",IF(AF3760="비귀속",$P3760,0),$P3760*(1-AG3760)*IFERROR(INDEX(계정대체기준!$F$20:$F$49,MATCH($N3760,계정대체기준!$A$20:$A$49,0)),1)))</f>
        <v/>
      </c>
      <c r="Z3760" s="94">
        <f>IF($A3760="",0,IF(AE3760="직접",IF(AF3760="신계약비",$P3760,0),$P3760*(1-AG3760)*IFERROR(INDEX(계정대체기준!$C$20:$C$49,MATCH($N3760,계정대체기준!$A$20:$A$49,0)),0)))</f>
        <v/>
      </c>
      <c r="AA3760" s="94">
        <f>IF($A3760="",0,IF(AE3760="직접",IF(OR(AF3760="유지비",AF3760="손해조사비"),$P3760,0),$P3760*(1-AG3760)*IFERROR(INDEX(계정대체기준!$D$20:$D$49,MATCH($N3760,계정대체기준!$A$20:$A$49,0)),0)))</f>
        <v/>
      </c>
      <c r="AB3760" s="94">
        <f>IF($A3760="",0,IF(AE3760="직접",IF(AF3760="수금비",$P3760,0),$P3760*(1-AG3760)*IFERROR(INDEX(계정대체기준!$E$20:$E$49,MATCH($N3760,계정대체기준!$A$20:$A$49,0)),0)))</f>
        <v/>
      </c>
      <c r="AC3760" s="9">
        <f>IF(AND($A3760&lt;&gt;"",M3760=설정!$C$20,Z3760&gt;0),Z3760+ROW()/1000000000,"")</f>
        <v/>
      </c>
      <c r="AD3760" s="94">
        <f>IF($A3760="",0,$P3760*AG3760)</f>
        <v/>
      </c>
      <c r="AE3760" s="64">
        <f>IF($A3760="","",IFERROR(INDEX(계정매핑!$E$5:$E$504,MATCH($F3760&amp;"",계정매핑!$A$5:$A$504,0))&amp;"","공통비"))</f>
        <v/>
      </c>
      <c r="AF3760" s="64">
        <f>IF($A3760="","",IF(AE3760="직접",IFERROR(INDEX(계정매핑!$F$5:$F$504,MATCH($F3760&amp;"",계정매핑!$A$5:$A$504,0))&amp;"","비귀속"),""))</f>
        <v/>
      </c>
      <c r="AG3760" s="96">
        <f>IF($A3760="",0,IF(AND(AE3760&lt;&gt;"직접",IFERROR(INDEX(계정매핑!$G$5:$G$504,MATCH($F3760&amp;"",계정매핑!$A$5:$A$504,0))&amp;"","")="유지비",COUNTIF(계정대체기준!$A$6:$A$15,$N3760)&gt;0),IFERROR(INDEX(계정대체기준!$E$6:$E$15,MATCH(VALUE($A3760&amp;""),계정대체기준!$D$6:$D$15,0)),0),0))</f>
        <v/>
      </c>
      <c r="AH3760" s="64">
        <f>IF($A3760="","",IF(AD3760=0,"",IF(OR(COUNTIF(계정대체기준!$A$77:$A$86,$N3760)&gt;0,ISNUMBER(MATCH($X3760,계정대체기준!$D$77:$D$86,0)),ISNUMBER(MATCH($F3760,계정대체기준!$D$77:$D$86,0))),"Y","N")))</f>
        <v/>
      </c>
    </row>
    <row r="3761">
      <c r="A3761" s="92" t="n">
        <v>2026</v>
      </c>
      <c r="B3761" s="92" t="n">
        <v>5</v>
      </c>
      <c r="C3761" s="92" t="inlineStr">
        <is>
          <t>5100001039</t>
        </is>
      </c>
      <c r="D3761" s="95" t="n">
        <v>46157</v>
      </c>
      <c r="E3761" s="92" t="inlineStr">
        <is>
          <t>KR</t>
        </is>
      </c>
      <c r="F3761" s="92" t="n">
        <v>62301000</v>
      </c>
      <c r="G3761" s="92" t="n">
        <v>1801</v>
      </c>
      <c r="H3761" s="93" t="n">
        <v>319000</v>
      </c>
      <c r="I3761" s="92" t="inlineStr">
        <is>
          <t>5월 소모품 구입 - R문구</t>
        </is>
      </c>
      <c r="J3761" s="92" t="inlineStr">
        <is>
          <t>V10022</t>
        </is>
      </c>
      <c r="K3761" s="92" t="inlineStr">
        <is>
          <t>R문구</t>
        </is>
      </c>
      <c r="M3761" s="9">
        <f>IF($A3761="","",VALUE($A3761&amp;"")*12+VALUE($B3761&amp;""))</f>
        <v/>
      </c>
      <c r="N3761" s="64">
        <f>IF($A3761="","",IFERROR(INDEX(부서매핑!$C$5:$C$504,MATCH($G3761&amp;"",부서매핑!$A$5:$A$504,0)),"미매핑"))</f>
        <v/>
      </c>
      <c r="O3761" s="9">
        <f>IF($A3761="","",N3761&amp;"|"&amp;$F3761)</f>
        <v/>
      </c>
      <c r="P3761" s="94">
        <f>IF($A3761="",0,$H3761*설정!$C$23)</f>
        <v/>
      </c>
      <c r="Q3761" s="64">
        <f>IF($A3761="","",IF(O3761&lt;&gt;원인분석!$C$9,"",IF(AND(M3761&gt;=원인분석!$C$10,M3761&lt;=원인분석!$C$11),"당기",IF(AND(M3761&gt;=원인분석!$C$12,M3761&lt;=원인분석!$C$13),"비교",""))))</f>
        <v/>
      </c>
      <c r="R3761" s="9">
        <f>IF(Q3761="","",$K3761&amp;"")</f>
        <v/>
      </c>
      <c r="S3761" s="9">
        <f>IF(Q3761="","",IF(MATCH(R3761,$R$5:$R$100000,0)=ROW()-4,ROW(),""))</f>
        <v/>
      </c>
      <c r="T3761" s="9">
        <f>IF(Q3761="당기",ABS(P3761)+ROW()/1000000000,"")</f>
        <v/>
      </c>
      <c r="U3761" s="9">
        <f>IF(Q3761="비교",ABS(P3761)+ROW()/1000000000,"")</f>
        <v/>
      </c>
      <c r="V3761" s="64">
        <f>IF($A3761="","",IF(COUNTIF(변동분석!$E$7:$E$506,O3761)&gt;0,"Y","N"))</f>
        <v/>
      </c>
      <c r="W3761" s="64">
        <f>IF($A3761="","",IFERROR(INDEX(계정매핑!$D$5:$D$504,MATCH($F3761&amp;"",계정매핑!$A$5:$A$504,0)),"미매핑"))</f>
        <v/>
      </c>
      <c r="X3761" s="9">
        <f>IF($A3761="","",$F3761&amp;"")</f>
        <v/>
      </c>
      <c r="Y3761" s="94">
        <f>IF($A3761="",0,IF(AE3761="직접",IF(AF3761="비귀속",$P3761,0),$P3761*(1-AG3761)*IFERROR(INDEX(계정대체기준!$F$20:$F$49,MATCH($N3761,계정대체기준!$A$20:$A$49,0)),1)))</f>
        <v/>
      </c>
      <c r="Z3761" s="94">
        <f>IF($A3761="",0,IF(AE3761="직접",IF(AF3761="신계약비",$P3761,0),$P3761*(1-AG3761)*IFERROR(INDEX(계정대체기준!$C$20:$C$49,MATCH($N3761,계정대체기준!$A$20:$A$49,0)),0)))</f>
        <v/>
      </c>
      <c r="AA3761" s="94">
        <f>IF($A3761="",0,IF(AE3761="직접",IF(OR(AF3761="유지비",AF3761="손해조사비"),$P3761,0),$P3761*(1-AG3761)*IFERROR(INDEX(계정대체기준!$D$20:$D$49,MATCH($N3761,계정대체기준!$A$20:$A$49,0)),0)))</f>
        <v/>
      </c>
      <c r="AB3761" s="94">
        <f>IF($A3761="",0,IF(AE3761="직접",IF(AF3761="수금비",$P3761,0),$P3761*(1-AG3761)*IFERROR(INDEX(계정대체기준!$E$20:$E$49,MATCH($N3761,계정대체기준!$A$20:$A$49,0)),0)))</f>
        <v/>
      </c>
      <c r="AC3761" s="9">
        <f>IF(AND($A3761&lt;&gt;"",M3761=설정!$C$20,Z3761&gt;0),Z3761+ROW()/1000000000,"")</f>
        <v/>
      </c>
      <c r="AD3761" s="94">
        <f>IF($A3761="",0,$P3761*AG3761)</f>
        <v/>
      </c>
      <c r="AE3761" s="64">
        <f>IF($A3761="","",IFERROR(INDEX(계정매핑!$E$5:$E$504,MATCH($F3761&amp;"",계정매핑!$A$5:$A$504,0))&amp;"","공통비"))</f>
        <v/>
      </c>
      <c r="AF3761" s="64">
        <f>IF($A3761="","",IF(AE3761="직접",IFERROR(INDEX(계정매핑!$F$5:$F$504,MATCH($F3761&amp;"",계정매핑!$A$5:$A$504,0))&amp;"","비귀속"),""))</f>
        <v/>
      </c>
      <c r="AG3761" s="96">
        <f>IF($A3761="",0,IF(AND(AE3761&lt;&gt;"직접",IFERROR(INDEX(계정매핑!$G$5:$G$504,MATCH($F3761&amp;"",계정매핑!$A$5:$A$504,0))&amp;"","")="유지비",COUNTIF(계정대체기준!$A$6:$A$15,$N3761)&gt;0),IFERROR(INDEX(계정대체기준!$E$6:$E$15,MATCH(VALUE($A3761&amp;""),계정대체기준!$D$6:$D$15,0)),0),0))</f>
        <v/>
      </c>
      <c r="AH3761" s="64">
        <f>IF($A3761="","",IF(AD3761=0,"",IF(OR(COUNTIF(계정대체기준!$A$77:$A$86,$N3761)&gt;0,ISNUMBER(MATCH($X3761,계정대체기준!$D$77:$D$86,0)),ISNUMBER(MATCH($F3761,계정대체기준!$D$77:$D$86,0))),"Y","N")))</f>
        <v/>
      </c>
    </row>
    <row r="3762">
      <c r="A3762" s="92" t="n">
        <v>2026</v>
      </c>
      <c r="B3762" s="92" t="n">
        <v>5</v>
      </c>
      <c r="C3762" s="92" t="inlineStr">
        <is>
          <t>5100001040</t>
        </is>
      </c>
      <c r="D3762" s="95" t="n">
        <v>46157</v>
      </c>
      <c r="E3762" s="92" t="inlineStr">
        <is>
          <t>KR</t>
        </is>
      </c>
      <c r="F3762" s="92" t="n">
        <v>62401000</v>
      </c>
      <c r="G3762" s="92" t="n">
        <v>1401</v>
      </c>
      <c r="H3762" s="93" t="n">
        <v>244000</v>
      </c>
      <c r="I3762" s="92" t="inlineStr">
        <is>
          <t>5월 인쇄물 제작 - S출판</t>
        </is>
      </c>
      <c r="J3762" s="92" t="inlineStr">
        <is>
          <t>V10015</t>
        </is>
      </c>
      <c r="K3762" s="92" t="inlineStr">
        <is>
          <t>S출판</t>
        </is>
      </c>
      <c r="M3762" s="9">
        <f>IF($A3762="","",VALUE($A3762&amp;"")*12+VALUE($B3762&amp;""))</f>
        <v/>
      </c>
      <c r="N3762" s="64">
        <f>IF($A3762="","",IFERROR(INDEX(부서매핑!$C$5:$C$504,MATCH($G3762&amp;"",부서매핑!$A$5:$A$504,0)),"미매핑"))</f>
        <v/>
      </c>
      <c r="O3762" s="9">
        <f>IF($A3762="","",N3762&amp;"|"&amp;$F3762)</f>
        <v/>
      </c>
      <c r="P3762" s="94">
        <f>IF($A3762="",0,$H3762*설정!$C$23)</f>
        <v/>
      </c>
      <c r="Q3762" s="64">
        <f>IF($A3762="","",IF(O3762&lt;&gt;원인분석!$C$9,"",IF(AND(M3762&gt;=원인분석!$C$10,M3762&lt;=원인분석!$C$11),"당기",IF(AND(M3762&gt;=원인분석!$C$12,M3762&lt;=원인분석!$C$13),"비교",""))))</f>
        <v/>
      </c>
      <c r="R3762" s="9">
        <f>IF(Q3762="","",$K3762&amp;"")</f>
        <v/>
      </c>
      <c r="S3762" s="9">
        <f>IF(Q3762="","",IF(MATCH(R3762,$R$5:$R$100000,0)=ROW()-4,ROW(),""))</f>
        <v/>
      </c>
      <c r="T3762" s="9">
        <f>IF(Q3762="당기",ABS(P3762)+ROW()/1000000000,"")</f>
        <v/>
      </c>
      <c r="U3762" s="9">
        <f>IF(Q3762="비교",ABS(P3762)+ROW()/1000000000,"")</f>
        <v/>
      </c>
      <c r="V3762" s="64">
        <f>IF($A3762="","",IF(COUNTIF(변동분석!$E$7:$E$506,O3762)&gt;0,"Y","N"))</f>
        <v/>
      </c>
      <c r="W3762" s="64">
        <f>IF($A3762="","",IFERROR(INDEX(계정매핑!$D$5:$D$504,MATCH($F3762&amp;"",계정매핑!$A$5:$A$504,0)),"미매핑"))</f>
        <v/>
      </c>
      <c r="X3762" s="9">
        <f>IF($A3762="","",$F3762&amp;"")</f>
        <v/>
      </c>
      <c r="Y3762" s="94">
        <f>IF($A3762="",0,IF(AE3762="직접",IF(AF3762="비귀속",$P3762,0),$P3762*(1-AG3762)*IFERROR(INDEX(계정대체기준!$F$20:$F$49,MATCH($N3762,계정대체기준!$A$20:$A$49,0)),1)))</f>
        <v/>
      </c>
      <c r="Z3762" s="94">
        <f>IF($A3762="",0,IF(AE3762="직접",IF(AF3762="신계약비",$P3762,0),$P3762*(1-AG3762)*IFERROR(INDEX(계정대체기준!$C$20:$C$49,MATCH($N3762,계정대체기준!$A$20:$A$49,0)),0)))</f>
        <v/>
      </c>
      <c r="AA3762" s="94">
        <f>IF($A3762="",0,IF(AE3762="직접",IF(OR(AF3762="유지비",AF3762="손해조사비"),$P3762,0),$P3762*(1-AG3762)*IFERROR(INDEX(계정대체기준!$D$20:$D$49,MATCH($N3762,계정대체기준!$A$20:$A$49,0)),0)))</f>
        <v/>
      </c>
      <c r="AB3762" s="94">
        <f>IF($A3762="",0,IF(AE3762="직접",IF(AF3762="수금비",$P3762,0),$P3762*(1-AG3762)*IFERROR(INDEX(계정대체기준!$E$20:$E$49,MATCH($N3762,계정대체기준!$A$20:$A$49,0)),0)))</f>
        <v/>
      </c>
      <c r="AC3762" s="9">
        <f>IF(AND($A3762&lt;&gt;"",M3762=설정!$C$20,Z3762&gt;0),Z3762+ROW()/1000000000,"")</f>
        <v/>
      </c>
      <c r="AD3762" s="94">
        <f>IF($A3762="",0,$P3762*AG3762)</f>
        <v/>
      </c>
      <c r="AE3762" s="64">
        <f>IF($A3762="","",IFERROR(INDEX(계정매핑!$E$5:$E$504,MATCH($F3762&amp;"",계정매핑!$A$5:$A$504,0))&amp;"","공통비"))</f>
        <v/>
      </c>
      <c r="AF3762" s="64">
        <f>IF($A3762="","",IF(AE3762="직접",IFERROR(INDEX(계정매핑!$F$5:$F$504,MATCH($F3762&amp;"",계정매핑!$A$5:$A$504,0))&amp;"","비귀속"),""))</f>
        <v/>
      </c>
      <c r="AG3762" s="96">
        <f>IF($A3762="",0,IF(AND(AE3762&lt;&gt;"직접",IFERROR(INDEX(계정매핑!$G$5:$G$504,MATCH($F3762&amp;"",계정매핑!$A$5:$A$504,0))&amp;"","")="유지비",COUNTIF(계정대체기준!$A$6:$A$15,$N3762)&gt;0),IFERROR(INDEX(계정대체기준!$E$6:$E$15,MATCH(VALUE($A3762&amp;""),계정대체기준!$D$6:$D$15,0)),0),0))</f>
        <v/>
      </c>
      <c r="AH3762" s="64">
        <f>IF($A3762="","",IF(AD3762=0,"",IF(OR(COUNTIF(계정대체기준!$A$77:$A$86,$N3762)&gt;0,ISNUMBER(MATCH($X3762,계정대체기준!$D$77:$D$86,0)),ISNUMBER(MATCH($F3762,계정대체기준!$D$77:$D$86,0))),"Y","N")))</f>
        <v/>
      </c>
    </row>
    <row r="3763">
      <c r="A3763" s="92" t="n">
        <v>2026</v>
      </c>
      <c r="B3763" s="92" t="n">
        <v>5</v>
      </c>
      <c r="C3763" s="92" t="inlineStr">
        <is>
          <t>5100001041</t>
        </is>
      </c>
      <c r="D3763" s="95" t="n">
        <v>46157</v>
      </c>
      <c r="E3763" s="92" t="inlineStr">
        <is>
          <t>KR</t>
        </is>
      </c>
      <c r="F3763" s="92" t="n">
        <v>62501000</v>
      </c>
      <c r="G3763" s="92" t="n">
        <v>1701</v>
      </c>
      <c r="H3763" s="93" t="n">
        <v>157000</v>
      </c>
      <c r="I3763" s="92" t="inlineStr">
        <is>
          <t>5월 회의 다과 - (법인카드)</t>
        </is>
      </c>
      <c r="J3763" s="92" t="inlineStr">
        <is>
          <t>V10010</t>
        </is>
      </c>
      <c r="K3763" s="92" t="inlineStr">
        <is>
          <t>(법인카드)</t>
        </is>
      </c>
      <c r="M3763" s="9">
        <f>IF($A3763="","",VALUE($A3763&amp;"")*12+VALUE($B3763&amp;""))</f>
        <v/>
      </c>
      <c r="N3763" s="64">
        <f>IF($A3763="","",IFERROR(INDEX(부서매핑!$C$5:$C$504,MATCH($G3763&amp;"",부서매핑!$A$5:$A$504,0)),"미매핑"))</f>
        <v/>
      </c>
      <c r="O3763" s="9">
        <f>IF($A3763="","",N3763&amp;"|"&amp;$F3763)</f>
        <v/>
      </c>
      <c r="P3763" s="94">
        <f>IF($A3763="",0,$H3763*설정!$C$23)</f>
        <v/>
      </c>
      <c r="Q3763" s="64">
        <f>IF($A3763="","",IF(O3763&lt;&gt;원인분석!$C$9,"",IF(AND(M3763&gt;=원인분석!$C$10,M3763&lt;=원인분석!$C$11),"당기",IF(AND(M3763&gt;=원인분석!$C$12,M3763&lt;=원인분석!$C$13),"비교",""))))</f>
        <v/>
      </c>
      <c r="R3763" s="9">
        <f>IF(Q3763="","",$K3763&amp;"")</f>
        <v/>
      </c>
      <c r="S3763" s="9">
        <f>IF(Q3763="","",IF(MATCH(R3763,$R$5:$R$100000,0)=ROW()-4,ROW(),""))</f>
        <v/>
      </c>
      <c r="T3763" s="9">
        <f>IF(Q3763="당기",ABS(P3763)+ROW()/1000000000,"")</f>
        <v/>
      </c>
      <c r="U3763" s="9">
        <f>IF(Q3763="비교",ABS(P3763)+ROW()/1000000000,"")</f>
        <v/>
      </c>
      <c r="V3763" s="64">
        <f>IF($A3763="","",IF(COUNTIF(변동분석!$E$7:$E$506,O3763)&gt;0,"Y","N"))</f>
        <v/>
      </c>
      <c r="W3763" s="64">
        <f>IF($A3763="","",IFERROR(INDEX(계정매핑!$D$5:$D$504,MATCH($F3763&amp;"",계정매핑!$A$5:$A$504,0)),"미매핑"))</f>
        <v/>
      </c>
      <c r="X3763" s="9">
        <f>IF($A3763="","",$F3763&amp;"")</f>
        <v/>
      </c>
      <c r="Y3763" s="94">
        <f>IF($A3763="",0,IF(AE3763="직접",IF(AF3763="비귀속",$P3763,0),$P3763*(1-AG3763)*IFERROR(INDEX(계정대체기준!$F$20:$F$49,MATCH($N3763,계정대체기준!$A$20:$A$49,0)),1)))</f>
        <v/>
      </c>
      <c r="Z3763" s="94">
        <f>IF($A3763="",0,IF(AE3763="직접",IF(AF3763="신계약비",$P3763,0),$P3763*(1-AG3763)*IFERROR(INDEX(계정대체기준!$C$20:$C$49,MATCH($N3763,계정대체기준!$A$20:$A$49,0)),0)))</f>
        <v/>
      </c>
      <c r="AA3763" s="94">
        <f>IF($A3763="",0,IF(AE3763="직접",IF(OR(AF3763="유지비",AF3763="손해조사비"),$P3763,0),$P3763*(1-AG3763)*IFERROR(INDEX(계정대체기준!$D$20:$D$49,MATCH($N3763,계정대체기준!$A$20:$A$49,0)),0)))</f>
        <v/>
      </c>
      <c r="AB3763" s="94">
        <f>IF($A3763="",0,IF(AE3763="직접",IF(AF3763="수금비",$P3763,0),$P3763*(1-AG3763)*IFERROR(INDEX(계정대체기준!$E$20:$E$49,MATCH($N3763,계정대체기준!$A$20:$A$49,0)),0)))</f>
        <v/>
      </c>
      <c r="AC3763" s="9">
        <f>IF(AND($A3763&lt;&gt;"",M3763=설정!$C$20,Z3763&gt;0),Z3763+ROW()/1000000000,"")</f>
        <v/>
      </c>
      <c r="AD3763" s="94">
        <f>IF($A3763="",0,$P3763*AG3763)</f>
        <v/>
      </c>
      <c r="AE3763" s="64">
        <f>IF($A3763="","",IFERROR(INDEX(계정매핑!$E$5:$E$504,MATCH($F3763&amp;"",계정매핑!$A$5:$A$504,0))&amp;"","공통비"))</f>
        <v/>
      </c>
      <c r="AF3763" s="64">
        <f>IF($A3763="","",IF(AE3763="직접",IFERROR(INDEX(계정매핑!$F$5:$F$504,MATCH($F3763&amp;"",계정매핑!$A$5:$A$504,0))&amp;"","비귀속"),""))</f>
        <v/>
      </c>
      <c r="AG3763" s="96">
        <f>IF($A3763="",0,IF(AND(AE3763&lt;&gt;"직접",IFERROR(INDEX(계정매핑!$G$5:$G$504,MATCH($F3763&amp;"",계정매핑!$A$5:$A$504,0))&amp;"","")="유지비",COUNTIF(계정대체기준!$A$6:$A$15,$N3763)&gt;0),IFERROR(INDEX(계정대체기준!$E$6:$E$15,MATCH(VALUE($A3763&amp;""),계정대체기준!$D$6:$D$15,0)),0),0))</f>
        <v/>
      </c>
      <c r="AH3763" s="64">
        <f>IF($A3763="","",IF(AD3763=0,"",IF(OR(COUNTIF(계정대체기준!$A$77:$A$86,$N3763)&gt;0,ISNUMBER(MATCH($X3763,계정대체기준!$D$77:$D$86,0)),ISNUMBER(MATCH($F3763,계정대체기준!$D$77:$D$86,0))),"Y","N")))</f>
        <v/>
      </c>
    </row>
    <row r="3764">
      <c r="A3764" s="92" t="n">
        <v>2026</v>
      </c>
      <c r="B3764" s="92" t="n">
        <v>5</v>
      </c>
      <c r="C3764" s="92" t="inlineStr">
        <is>
          <t>5100001042</t>
        </is>
      </c>
      <c r="D3764" s="95" t="n">
        <v>46157</v>
      </c>
      <c r="E3764" s="92" t="inlineStr">
        <is>
          <t>KR</t>
        </is>
      </c>
      <c r="F3764" s="92" t="n">
        <v>62701000</v>
      </c>
      <c r="G3764" s="92" t="n">
        <v>1501</v>
      </c>
      <c r="H3764" s="93" t="n">
        <v>29704000</v>
      </c>
      <c r="I3764" s="92" t="inlineStr">
        <is>
          <t>5월 광고 집행 - E미디어</t>
        </is>
      </c>
      <c r="J3764" s="92" t="inlineStr">
        <is>
          <t>V10033</t>
        </is>
      </c>
      <c r="K3764" s="92" t="inlineStr">
        <is>
          <t>E미디어</t>
        </is>
      </c>
      <c r="M3764" s="9">
        <f>IF($A3764="","",VALUE($A3764&amp;"")*12+VALUE($B3764&amp;""))</f>
        <v/>
      </c>
      <c r="N3764" s="64">
        <f>IF($A3764="","",IFERROR(INDEX(부서매핑!$C$5:$C$504,MATCH($G3764&amp;"",부서매핑!$A$5:$A$504,0)),"미매핑"))</f>
        <v/>
      </c>
      <c r="O3764" s="9">
        <f>IF($A3764="","",N3764&amp;"|"&amp;$F3764)</f>
        <v/>
      </c>
      <c r="P3764" s="94">
        <f>IF($A3764="",0,$H3764*설정!$C$23)</f>
        <v/>
      </c>
      <c r="Q3764" s="64">
        <f>IF($A3764="","",IF(O3764&lt;&gt;원인분석!$C$9,"",IF(AND(M3764&gt;=원인분석!$C$10,M3764&lt;=원인분석!$C$11),"당기",IF(AND(M3764&gt;=원인분석!$C$12,M3764&lt;=원인분석!$C$13),"비교",""))))</f>
        <v/>
      </c>
      <c r="R3764" s="9">
        <f>IF(Q3764="","",$K3764&amp;"")</f>
        <v/>
      </c>
      <c r="S3764" s="9">
        <f>IF(Q3764="","",IF(MATCH(R3764,$R$5:$R$100000,0)=ROW()-4,ROW(),""))</f>
        <v/>
      </c>
      <c r="T3764" s="9">
        <f>IF(Q3764="당기",ABS(P3764)+ROW()/1000000000,"")</f>
        <v/>
      </c>
      <c r="U3764" s="9">
        <f>IF(Q3764="비교",ABS(P3764)+ROW()/1000000000,"")</f>
        <v/>
      </c>
      <c r="V3764" s="64">
        <f>IF($A3764="","",IF(COUNTIF(변동분석!$E$7:$E$506,O3764)&gt;0,"Y","N"))</f>
        <v/>
      </c>
      <c r="W3764" s="64">
        <f>IF($A3764="","",IFERROR(INDEX(계정매핑!$D$5:$D$504,MATCH($F3764&amp;"",계정매핑!$A$5:$A$504,0)),"미매핑"))</f>
        <v/>
      </c>
      <c r="X3764" s="9">
        <f>IF($A3764="","",$F3764&amp;"")</f>
        <v/>
      </c>
      <c r="Y3764" s="94">
        <f>IF($A3764="",0,IF(AE3764="직접",IF(AF3764="비귀속",$P3764,0),$P3764*(1-AG3764)*IFERROR(INDEX(계정대체기준!$F$20:$F$49,MATCH($N3764,계정대체기준!$A$20:$A$49,0)),1)))</f>
        <v/>
      </c>
      <c r="Z3764" s="94">
        <f>IF($A3764="",0,IF(AE3764="직접",IF(AF3764="신계약비",$P3764,0),$P3764*(1-AG3764)*IFERROR(INDEX(계정대체기준!$C$20:$C$49,MATCH($N3764,계정대체기준!$A$20:$A$49,0)),0)))</f>
        <v/>
      </c>
      <c r="AA3764" s="94">
        <f>IF($A3764="",0,IF(AE3764="직접",IF(OR(AF3764="유지비",AF3764="손해조사비"),$P3764,0),$P3764*(1-AG3764)*IFERROR(INDEX(계정대체기준!$D$20:$D$49,MATCH($N3764,계정대체기준!$A$20:$A$49,0)),0)))</f>
        <v/>
      </c>
      <c r="AB3764" s="94">
        <f>IF($A3764="",0,IF(AE3764="직접",IF(AF3764="수금비",$P3764,0),$P3764*(1-AG3764)*IFERROR(INDEX(계정대체기준!$E$20:$E$49,MATCH($N3764,계정대체기준!$A$20:$A$49,0)),0)))</f>
        <v/>
      </c>
      <c r="AC3764" s="9">
        <f>IF(AND($A3764&lt;&gt;"",M3764=설정!$C$20,Z3764&gt;0),Z3764+ROW()/1000000000,"")</f>
        <v/>
      </c>
      <c r="AD3764" s="94">
        <f>IF($A3764="",0,$P3764*AG3764)</f>
        <v/>
      </c>
      <c r="AE3764" s="64">
        <f>IF($A3764="","",IFERROR(INDEX(계정매핑!$E$5:$E$504,MATCH($F3764&amp;"",계정매핑!$A$5:$A$504,0))&amp;"","공통비"))</f>
        <v/>
      </c>
      <c r="AF3764" s="64">
        <f>IF($A3764="","",IF(AE3764="직접",IFERROR(INDEX(계정매핑!$F$5:$F$504,MATCH($F3764&amp;"",계정매핑!$A$5:$A$504,0))&amp;"","비귀속"),""))</f>
        <v/>
      </c>
      <c r="AG3764" s="96">
        <f>IF($A3764="",0,IF(AND(AE3764&lt;&gt;"직접",IFERROR(INDEX(계정매핑!$G$5:$G$504,MATCH($F3764&amp;"",계정매핑!$A$5:$A$504,0))&amp;"","")="유지비",COUNTIF(계정대체기준!$A$6:$A$15,$N3764)&gt;0),IFERROR(INDEX(계정대체기준!$E$6:$E$15,MATCH(VALUE($A3764&amp;""),계정대체기준!$D$6:$D$15,0)),0),0))</f>
        <v/>
      </c>
      <c r="AH3764" s="64">
        <f>IF($A3764="","",IF(AD3764=0,"",IF(OR(COUNTIF(계정대체기준!$A$77:$A$86,$N3764)&gt;0,ISNUMBER(MATCH($X3764,계정대체기준!$D$77:$D$86,0)),ISNUMBER(MATCH($F3764,계정대체기준!$D$77:$D$86,0))),"Y","N")))</f>
        <v/>
      </c>
    </row>
    <row r="3765">
      <c r="A3765" s="92" t="n">
        <v>2026</v>
      </c>
      <c r="B3765" s="92" t="n">
        <v>5</v>
      </c>
      <c r="C3765" s="92" t="inlineStr">
        <is>
          <t>5100001043</t>
        </is>
      </c>
      <c r="D3765" s="95" t="n">
        <v>46157</v>
      </c>
      <c r="E3765" s="92" t="inlineStr">
        <is>
          <t>KR</t>
        </is>
      </c>
      <c r="F3765" s="92" t="n">
        <v>62902000</v>
      </c>
      <c r="G3765" s="92" t="n">
        <v>1101</v>
      </c>
      <c r="H3765" s="93" t="n">
        <v>2024000</v>
      </c>
      <c r="I3765" s="92" t="inlineStr">
        <is>
          <t>5월 업무 위탁 수수료 - J콜센터</t>
        </is>
      </c>
      <c r="J3765" s="92" t="inlineStr">
        <is>
          <t>V10016</t>
        </is>
      </c>
      <c r="K3765" s="92" t="inlineStr">
        <is>
          <t>J콜센터</t>
        </is>
      </c>
      <c r="M3765" s="9">
        <f>IF($A3765="","",VALUE($A3765&amp;"")*12+VALUE($B3765&amp;""))</f>
        <v/>
      </c>
      <c r="N3765" s="64">
        <f>IF($A3765="","",IFERROR(INDEX(부서매핑!$C$5:$C$504,MATCH($G3765&amp;"",부서매핑!$A$5:$A$504,0)),"미매핑"))</f>
        <v/>
      </c>
      <c r="O3765" s="9">
        <f>IF($A3765="","",N3765&amp;"|"&amp;$F3765)</f>
        <v/>
      </c>
      <c r="P3765" s="94">
        <f>IF($A3765="",0,$H3765*설정!$C$23)</f>
        <v/>
      </c>
      <c r="Q3765" s="64">
        <f>IF($A3765="","",IF(O3765&lt;&gt;원인분석!$C$9,"",IF(AND(M3765&gt;=원인분석!$C$10,M3765&lt;=원인분석!$C$11),"당기",IF(AND(M3765&gt;=원인분석!$C$12,M3765&lt;=원인분석!$C$13),"비교",""))))</f>
        <v/>
      </c>
      <c r="R3765" s="9">
        <f>IF(Q3765="","",$K3765&amp;"")</f>
        <v/>
      </c>
      <c r="S3765" s="9">
        <f>IF(Q3765="","",IF(MATCH(R3765,$R$5:$R$100000,0)=ROW()-4,ROW(),""))</f>
        <v/>
      </c>
      <c r="T3765" s="9">
        <f>IF(Q3765="당기",ABS(P3765)+ROW()/1000000000,"")</f>
        <v/>
      </c>
      <c r="U3765" s="9">
        <f>IF(Q3765="비교",ABS(P3765)+ROW()/1000000000,"")</f>
        <v/>
      </c>
      <c r="V3765" s="64">
        <f>IF($A3765="","",IF(COUNTIF(변동분석!$E$7:$E$506,O3765)&gt;0,"Y","N"))</f>
        <v/>
      </c>
      <c r="W3765" s="64">
        <f>IF($A3765="","",IFERROR(INDEX(계정매핑!$D$5:$D$504,MATCH($F3765&amp;"",계정매핑!$A$5:$A$504,0)),"미매핑"))</f>
        <v/>
      </c>
      <c r="X3765" s="9">
        <f>IF($A3765="","",$F3765&amp;"")</f>
        <v/>
      </c>
      <c r="Y3765" s="94">
        <f>IF($A3765="",0,IF(AE3765="직접",IF(AF3765="비귀속",$P3765,0),$P3765*(1-AG3765)*IFERROR(INDEX(계정대체기준!$F$20:$F$49,MATCH($N3765,계정대체기준!$A$20:$A$49,0)),1)))</f>
        <v/>
      </c>
      <c r="Z3765" s="94">
        <f>IF($A3765="",0,IF(AE3765="직접",IF(AF3765="신계약비",$P3765,0),$P3765*(1-AG3765)*IFERROR(INDEX(계정대체기준!$C$20:$C$49,MATCH($N3765,계정대체기준!$A$20:$A$49,0)),0)))</f>
        <v/>
      </c>
      <c r="AA3765" s="94">
        <f>IF($A3765="",0,IF(AE3765="직접",IF(OR(AF3765="유지비",AF3765="손해조사비"),$P3765,0),$P3765*(1-AG3765)*IFERROR(INDEX(계정대체기준!$D$20:$D$49,MATCH($N3765,계정대체기준!$A$20:$A$49,0)),0)))</f>
        <v/>
      </c>
      <c r="AB3765" s="94">
        <f>IF($A3765="",0,IF(AE3765="직접",IF(AF3765="수금비",$P3765,0),$P3765*(1-AG3765)*IFERROR(INDEX(계정대체기준!$E$20:$E$49,MATCH($N3765,계정대체기준!$A$20:$A$49,0)),0)))</f>
        <v/>
      </c>
      <c r="AC3765" s="9">
        <f>IF(AND($A3765&lt;&gt;"",M3765=설정!$C$20,Z3765&gt;0),Z3765+ROW()/1000000000,"")</f>
        <v/>
      </c>
      <c r="AD3765" s="94">
        <f>IF($A3765="",0,$P3765*AG3765)</f>
        <v/>
      </c>
      <c r="AE3765" s="64">
        <f>IF($A3765="","",IFERROR(INDEX(계정매핑!$E$5:$E$504,MATCH($F3765&amp;"",계정매핑!$A$5:$A$504,0))&amp;"","공통비"))</f>
        <v/>
      </c>
      <c r="AF3765" s="64">
        <f>IF($A3765="","",IF(AE3765="직접",IFERROR(INDEX(계정매핑!$F$5:$F$504,MATCH($F3765&amp;"",계정매핑!$A$5:$A$504,0))&amp;"","비귀속"),""))</f>
        <v/>
      </c>
      <c r="AG3765" s="96">
        <f>IF($A3765="",0,IF(AND(AE3765&lt;&gt;"직접",IFERROR(INDEX(계정매핑!$G$5:$G$504,MATCH($F3765&amp;"",계정매핑!$A$5:$A$504,0))&amp;"","")="유지비",COUNTIF(계정대체기준!$A$6:$A$15,$N3765)&gt;0),IFERROR(INDEX(계정대체기준!$E$6:$E$15,MATCH(VALUE($A3765&amp;""),계정대체기준!$D$6:$D$15,0)),0),0))</f>
        <v/>
      </c>
      <c r="AH3765" s="64">
        <f>IF($A3765="","",IF(AD3765=0,"",IF(OR(COUNTIF(계정대체기준!$A$77:$A$86,$N3765)&gt;0,ISNUMBER(MATCH($X3765,계정대체기준!$D$77:$D$86,0)),ISNUMBER(MATCH($F3765,계정대체기준!$D$77:$D$86,0))),"Y","N")))</f>
        <v/>
      </c>
    </row>
    <row r="3766">
      <c r="A3766" s="92" t="n">
        <v>2026</v>
      </c>
      <c r="B3766" s="92" t="n">
        <v>5</v>
      </c>
      <c r="C3766" s="92" t="inlineStr">
        <is>
          <t>5100001044</t>
        </is>
      </c>
      <c r="D3766" s="95" t="n">
        <v>46158</v>
      </c>
      <c r="E3766" s="92" t="inlineStr">
        <is>
          <t>KR</t>
        </is>
      </c>
      <c r="F3766" s="92" t="n">
        <v>62101000</v>
      </c>
      <c r="G3766" s="92" t="n">
        <v>1101</v>
      </c>
      <c r="H3766" s="93" t="n">
        <v>298000</v>
      </c>
      <c r="I3766" s="92" t="inlineStr">
        <is>
          <t>5월 국내출장 - (법인카드)</t>
        </is>
      </c>
      <c r="J3766" s="92" t="inlineStr">
        <is>
          <t>V10010</t>
        </is>
      </c>
      <c r="K3766" s="92" t="inlineStr">
        <is>
          <t>(법인카드)</t>
        </is>
      </c>
      <c r="M3766" s="9">
        <f>IF($A3766="","",VALUE($A3766&amp;"")*12+VALUE($B3766&amp;""))</f>
        <v/>
      </c>
      <c r="N3766" s="64">
        <f>IF($A3766="","",IFERROR(INDEX(부서매핑!$C$5:$C$504,MATCH($G3766&amp;"",부서매핑!$A$5:$A$504,0)),"미매핑"))</f>
        <v/>
      </c>
      <c r="O3766" s="9">
        <f>IF($A3766="","",N3766&amp;"|"&amp;$F3766)</f>
        <v/>
      </c>
      <c r="P3766" s="94">
        <f>IF($A3766="",0,$H3766*설정!$C$23)</f>
        <v/>
      </c>
      <c r="Q3766" s="64">
        <f>IF($A3766="","",IF(O3766&lt;&gt;원인분석!$C$9,"",IF(AND(M3766&gt;=원인분석!$C$10,M3766&lt;=원인분석!$C$11),"당기",IF(AND(M3766&gt;=원인분석!$C$12,M3766&lt;=원인분석!$C$13),"비교",""))))</f>
        <v/>
      </c>
      <c r="R3766" s="9">
        <f>IF(Q3766="","",$K3766&amp;"")</f>
        <v/>
      </c>
      <c r="S3766" s="9">
        <f>IF(Q3766="","",IF(MATCH(R3766,$R$5:$R$100000,0)=ROW()-4,ROW(),""))</f>
        <v/>
      </c>
      <c r="T3766" s="9">
        <f>IF(Q3766="당기",ABS(P3766)+ROW()/1000000000,"")</f>
        <v/>
      </c>
      <c r="U3766" s="9">
        <f>IF(Q3766="비교",ABS(P3766)+ROW()/1000000000,"")</f>
        <v/>
      </c>
      <c r="V3766" s="64">
        <f>IF($A3766="","",IF(COUNTIF(변동분석!$E$7:$E$506,O3766)&gt;0,"Y","N"))</f>
        <v/>
      </c>
      <c r="W3766" s="64">
        <f>IF($A3766="","",IFERROR(INDEX(계정매핑!$D$5:$D$504,MATCH($F3766&amp;"",계정매핑!$A$5:$A$504,0)),"미매핑"))</f>
        <v/>
      </c>
      <c r="X3766" s="9">
        <f>IF($A3766="","",$F3766&amp;"")</f>
        <v/>
      </c>
      <c r="Y3766" s="94">
        <f>IF($A3766="",0,IF(AE3766="직접",IF(AF3766="비귀속",$P3766,0),$P3766*(1-AG3766)*IFERROR(INDEX(계정대체기준!$F$20:$F$49,MATCH($N3766,계정대체기준!$A$20:$A$49,0)),1)))</f>
        <v/>
      </c>
      <c r="Z3766" s="94">
        <f>IF($A3766="",0,IF(AE3766="직접",IF(AF3766="신계약비",$P3766,0),$P3766*(1-AG3766)*IFERROR(INDEX(계정대체기준!$C$20:$C$49,MATCH($N3766,계정대체기준!$A$20:$A$49,0)),0)))</f>
        <v/>
      </c>
      <c r="AA3766" s="94">
        <f>IF($A3766="",0,IF(AE3766="직접",IF(OR(AF3766="유지비",AF3766="손해조사비"),$P3766,0),$P3766*(1-AG3766)*IFERROR(INDEX(계정대체기준!$D$20:$D$49,MATCH($N3766,계정대체기준!$A$20:$A$49,0)),0)))</f>
        <v/>
      </c>
      <c r="AB3766" s="94">
        <f>IF($A3766="",0,IF(AE3766="직접",IF(AF3766="수금비",$P3766,0),$P3766*(1-AG3766)*IFERROR(INDEX(계정대체기준!$E$20:$E$49,MATCH($N3766,계정대체기준!$A$20:$A$49,0)),0)))</f>
        <v/>
      </c>
      <c r="AC3766" s="9">
        <f>IF(AND($A3766&lt;&gt;"",M3766=설정!$C$20,Z3766&gt;0),Z3766+ROW()/1000000000,"")</f>
        <v/>
      </c>
      <c r="AD3766" s="94">
        <f>IF($A3766="",0,$P3766*AG3766)</f>
        <v/>
      </c>
      <c r="AE3766" s="64">
        <f>IF($A3766="","",IFERROR(INDEX(계정매핑!$E$5:$E$504,MATCH($F3766&amp;"",계정매핑!$A$5:$A$504,0))&amp;"","공통비"))</f>
        <v/>
      </c>
      <c r="AF3766" s="64">
        <f>IF($A3766="","",IF(AE3766="직접",IFERROR(INDEX(계정매핑!$F$5:$F$504,MATCH($F3766&amp;"",계정매핑!$A$5:$A$504,0))&amp;"","비귀속"),""))</f>
        <v/>
      </c>
      <c r="AG3766" s="96">
        <f>IF($A3766="",0,IF(AND(AE3766&lt;&gt;"직접",IFERROR(INDEX(계정매핑!$G$5:$G$504,MATCH($F3766&amp;"",계정매핑!$A$5:$A$504,0))&amp;"","")="유지비",COUNTIF(계정대체기준!$A$6:$A$15,$N3766)&gt;0),IFERROR(INDEX(계정대체기준!$E$6:$E$15,MATCH(VALUE($A3766&amp;""),계정대체기준!$D$6:$D$15,0)),0),0))</f>
        <v/>
      </c>
      <c r="AH3766" s="64">
        <f>IF($A3766="","",IF(AD3766=0,"",IF(OR(COUNTIF(계정대체기준!$A$77:$A$86,$N3766)&gt;0,ISNUMBER(MATCH($X3766,계정대체기준!$D$77:$D$86,0)),ISNUMBER(MATCH($F3766,계정대체기준!$D$77:$D$86,0))),"Y","N")))</f>
        <v/>
      </c>
    </row>
    <row r="3767">
      <c r="A3767" s="92" t="n">
        <v>2026</v>
      </c>
      <c r="B3767" s="92" t="n">
        <v>5</v>
      </c>
      <c r="C3767" s="92" t="inlineStr">
        <is>
          <t>5100001045</t>
        </is>
      </c>
      <c r="D3767" s="95" t="n">
        <v>46158</v>
      </c>
      <c r="E3767" s="92" t="inlineStr">
        <is>
          <t>KR</t>
        </is>
      </c>
      <c r="F3767" s="92" t="n">
        <v>62101000</v>
      </c>
      <c r="G3767" s="92" t="n">
        <v>1301</v>
      </c>
      <c r="H3767" s="93" t="n">
        <v>444000</v>
      </c>
      <c r="I3767" s="92" t="inlineStr">
        <is>
          <t>5월 국내출장 - M항공</t>
        </is>
      </c>
      <c r="J3767" s="92" t="inlineStr">
        <is>
          <t>V10001</t>
        </is>
      </c>
      <c r="K3767" s="92" t="inlineStr">
        <is>
          <t>M항공</t>
        </is>
      </c>
      <c r="M3767" s="9">
        <f>IF($A3767="","",VALUE($A3767&amp;"")*12+VALUE($B3767&amp;""))</f>
        <v/>
      </c>
      <c r="N3767" s="64">
        <f>IF($A3767="","",IFERROR(INDEX(부서매핑!$C$5:$C$504,MATCH($G3767&amp;"",부서매핑!$A$5:$A$504,0)),"미매핑"))</f>
        <v/>
      </c>
      <c r="O3767" s="9">
        <f>IF($A3767="","",N3767&amp;"|"&amp;$F3767)</f>
        <v/>
      </c>
      <c r="P3767" s="94">
        <f>IF($A3767="",0,$H3767*설정!$C$23)</f>
        <v/>
      </c>
      <c r="Q3767" s="64">
        <f>IF($A3767="","",IF(O3767&lt;&gt;원인분석!$C$9,"",IF(AND(M3767&gt;=원인분석!$C$10,M3767&lt;=원인분석!$C$11),"당기",IF(AND(M3767&gt;=원인분석!$C$12,M3767&lt;=원인분석!$C$13),"비교",""))))</f>
        <v/>
      </c>
      <c r="R3767" s="9">
        <f>IF(Q3767="","",$K3767&amp;"")</f>
        <v/>
      </c>
      <c r="S3767" s="9">
        <f>IF(Q3767="","",IF(MATCH(R3767,$R$5:$R$100000,0)=ROW()-4,ROW(),""))</f>
        <v/>
      </c>
      <c r="T3767" s="9">
        <f>IF(Q3767="당기",ABS(P3767)+ROW()/1000000000,"")</f>
        <v/>
      </c>
      <c r="U3767" s="9">
        <f>IF(Q3767="비교",ABS(P3767)+ROW()/1000000000,"")</f>
        <v/>
      </c>
      <c r="V3767" s="64">
        <f>IF($A3767="","",IF(COUNTIF(변동분석!$E$7:$E$506,O3767)&gt;0,"Y","N"))</f>
        <v/>
      </c>
      <c r="W3767" s="64">
        <f>IF($A3767="","",IFERROR(INDEX(계정매핑!$D$5:$D$504,MATCH($F3767&amp;"",계정매핑!$A$5:$A$504,0)),"미매핑"))</f>
        <v/>
      </c>
      <c r="X3767" s="9">
        <f>IF($A3767="","",$F3767&amp;"")</f>
        <v/>
      </c>
      <c r="Y3767" s="94">
        <f>IF($A3767="",0,IF(AE3767="직접",IF(AF3767="비귀속",$P3767,0),$P3767*(1-AG3767)*IFERROR(INDEX(계정대체기준!$F$20:$F$49,MATCH($N3767,계정대체기준!$A$20:$A$49,0)),1)))</f>
        <v/>
      </c>
      <c r="Z3767" s="94">
        <f>IF($A3767="",0,IF(AE3767="직접",IF(AF3767="신계약비",$P3767,0),$P3767*(1-AG3767)*IFERROR(INDEX(계정대체기준!$C$20:$C$49,MATCH($N3767,계정대체기준!$A$20:$A$49,0)),0)))</f>
        <v/>
      </c>
      <c r="AA3767" s="94">
        <f>IF($A3767="",0,IF(AE3767="직접",IF(OR(AF3767="유지비",AF3767="손해조사비"),$P3767,0),$P3767*(1-AG3767)*IFERROR(INDEX(계정대체기준!$D$20:$D$49,MATCH($N3767,계정대체기준!$A$20:$A$49,0)),0)))</f>
        <v/>
      </c>
      <c r="AB3767" s="94">
        <f>IF($A3767="",0,IF(AE3767="직접",IF(AF3767="수금비",$P3767,0),$P3767*(1-AG3767)*IFERROR(INDEX(계정대체기준!$E$20:$E$49,MATCH($N3767,계정대체기준!$A$20:$A$49,0)),0)))</f>
        <v/>
      </c>
      <c r="AC3767" s="9">
        <f>IF(AND($A3767&lt;&gt;"",M3767=설정!$C$20,Z3767&gt;0),Z3767+ROW()/1000000000,"")</f>
        <v/>
      </c>
      <c r="AD3767" s="94">
        <f>IF($A3767="",0,$P3767*AG3767)</f>
        <v/>
      </c>
      <c r="AE3767" s="64">
        <f>IF($A3767="","",IFERROR(INDEX(계정매핑!$E$5:$E$504,MATCH($F3767&amp;"",계정매핑!$A$5:$A$504,0))&amp;"","공통비"))</f>
        <v/>
      </c>
      <c r="AF3767" s="64">
        <f>IF($A3767="","",IF(AE3767="직접",IFERROR(INDEX(계정매핑!$F$5:$F$504,MATCH($F3767&amp;"",계정매핑!$A$5:$A$504,0))&amp;"","비귀속"),""))</f>
        <v/>
      </c>
      <c r="AG3767" s="96">
        <f>IF($A3767="",0,IF(AND(AE3767&lt;&gt;"직접",IFERROR(INDEX(계정매핑!$G$5:$G$504,MATCH($F3767&amp;"",계정매핑!$A$5:$A$504,0))&amp;"","")="유지비",COUNTIF(계정대체기준!$A$6:$A$15,$N3767)&gt;0),IFERROR(INDEX(계정대체기준!$E$6:$E$15,MATCH(VALUE($A3767&amp;""),계정대체기준!$D$6:$D$15,0)),0),0))</f>
        <v/>
      </c>
      <c r="AH3767" s="64">
        <f>IF($A3767="","",IF(AD3767=0,"",IF(OR(COUNTIF(계정대체기준!$A$77:$A$86,$N3767)&gt;0,ISNUMBER(MATCH($X3767,계정대체기준!$D$77:$D$86,0)),ISNUMBER(MATCH($F3767,계정대체기준!$D$77:$D$86,0))),"Y","N")))</f>
        <v/>
      </c>
    </row>
    <row r="3768">
      <c r="A3768" s="92" t="n">
        <v>2026</v>
      </c>
      <c r="B3768" s="92" t="n">
        <v>5</v>
      </c>
      <c r="C3768" s="92" t="inlineStr">
        <is>
          <t>5100001046</t>
        </is>
      </c>
      <c r="D3768" s="95" t="n">
        <v>46158</v>
      </c>
      <c r="E3768" s="92" t="inlineStr">
        <is>
          <t>KR</t>
        </is>
      </c>
      <c r="F3768" s="92" t="n">
        <v>62101000</v>
      </c>
      <c r="G3768" s="92" t="n">
        <v>1801</v>
      </c>
      <c r="H3768" s="93" t="n">
        <v>156000</v>
      </c>
      <c r="I3768" s="92" t="inlineStr">
        <is>
          <t>5월 국내출장 - M항공</t>
        </is>
      </c>
      <c r="J3768" s="92" t="inlineStr">
        <is>
          <t>V10001</t>
        </is>
      </c>
      <c r="K3768" s="92" t="inlineStr">
        <is>
          <t>M항공</t>
        </is>
      </c>
      <c r="M3768" s="9">
        <f>IF($A3768="","",VALUE($A3768&amp;"")*12+VALUE($B3768&amp;""))</f>
        <v/>
      </c>
      <c r="N3768" s="64">
        <f>IF($A3768="","",IFERROR(INDEX(부서매핑!$C$5:$C$504,MATCH($G3768&amp;"",부서매핑!$A$5:$A$504,0)),"미매핑"))</f>
        <v/>
      </c>
      <c r="O3768" s="9">
        <f>IF($A3768="","",N3768&amp;"|"&amp;$F3768)</f>
        <v/>
      </c>
      <c r="P3768" s="94">
        <f>IF($A3768="",0,$H3768*설정!$C$23)</f>
        <v/>
      </c>
      <c r="Q3768" s="64">
        <f>IF($A3768="","",IF(O3768&lt;&gt;원인분석!$C$9,"",IF(AND(M3768&gt;=원인분석!$C$10,M3768&lt;=원인분석!$C$11),"당기",IF(AND(M3768&gt;=원인분석!$C$12,M3768&lt;=원인분석!$C$13),"비교",""))))</f>
        <v/>
      </c>
      <c r="R3768" s="9">
        <f>IF(Q3768="","",$K3768&amp;"")</f>
        <v/>
      </c>
      <c r="S3768" s="9">
        <f>IF(Q3768="","",IF(MATCH(R3768,$R$5:$R$100000,0)=ROW()-4,ROW(),""))</f>
        <v/>
      </c>
      <c r="T3768" s="9">
        <f>IF(Q3768="당기",ABS(P3768)+ROW()/1000000000,"")</f>
        <v/>
      </c>
      <c r="U3768" s="9">
        <f>IF(Q3768="비교",ABS(P3768)+ROW()/1000000000,"")</f>
        <v/>
      </c>
      <c r="V3768" s="64">
        <f>IF($A3768="","",IF(COUNTIF(변동분석!$E$7:$E$506,O3768)&gt;0,"Y","N"))</f>
        <v/>
      </c>
      <c r="W3768" s="64">
        <f>IF($A3768="","",IFERROR(INDEX(계정매핑!$D$5:$D$504,MATCH($F3768&amp;"",계정매핑!$A$5:$A$504,0)),"미매핑"))</f>
        <v/>
      </c>
      <c r="X3768" s="9">
        <f>IF($A3768="","",$F3768&amp;"")</f>
        <v/>
      </c>
      <c r="Y3768" s="94">
        <f>IF($A3768="",0,IF(AE3768="직접",IF(AF3768="비귀속",$P3768,0),$P3768*(1-AG3768)*IFERROR(INDEX(계정대체기준!$F$20:$F$49,MATCH($N3768,계정대체기준!$A$20:$A$49,0)),1)))</f>
        <v/>
      </c>
      <c r="Z3768" s="94">
        <f>IF($A3768="",0,IF(AE3768="직접",IF(AF3768="신계약비",$P3768,0),$P3768*(1-AG3768)*IFERROR(INDEX(계정대체기준!$C$20:$C$49,MATCH($N3768,계정대체기준!$A$20:$A$49,0)),0)))</f>
        <v/>
      </c>
      <c r="AA3768" s="94">
        <f>IF($A3768="",0,IF(AE3768="직접",IF(OR(AF3768="유지비",AF3768="손해조사비"),$P3768,0),$P3768*(1-AG3768)*IFERROR(INDEX(계정대체기준!$D$20:$D$49,MATCH($N3768,계정대체기준!$A$20:$A$49,0)),0)))</f>
        <v/>
      </c>
      <c r="AB3768" s="94">
        <f>IF($A3768="",0,IF(AE3768="직접",IF(AF3768="수금비",$P3768,0),$P3768*(1-AG3768)*IFERROR(INDEX(계정대체기준!$E$20:$E$49,MATCH($N3768,계정대체기준!$A$20:$A$49,0)),0)))</f>
        <v/>
      </c>
      <c r="AC3768" s="9">
        <f>IF(AND($A3768&lt;&gt;"",M3768=설정!$C$20,Z3768&gt;0),Z3768+ROW()/1000000000,"")</f>
        <v/>
      </c>
      <c r="AD3768" s="94">
        <f>IF($A3768="",0,$P3768*AG3768)</f>
        <v/>
      </c>
      <c r="AE3768" s="64">
        <f>IF($A3768="","",IFERROR(INDEX(계정매핑!$E$5:$E$504,MATCH($F3768&amp;"",계정매핑!$A$5:$A$504,0))&amp;"","공통비"))</f>
        <v/>
      </c>
      <c r="AF3768" s="64">
        <f>IF($A3768="","",IF(AE3768="직접",IFERROR(INDEX(계정매핑!$F$5:$F$504,MATCH($F3768&amp;"",계정매핑!$A$5:$A$504,0))&amp;"","비귀속"),""))</f>
        <v/>
      </c>
      <c r="AG3768" s="96">
        <f>IF($A3768="",0,IF(AND(AE3768&lt;&gt;"직접",IFERROR(INDEX(계정매핑!$G$5:$G$504,MATCH($F3768&amp;"",계정매핑!$A$5:$A$504,0))&amp;"","")="유지비",COUNTIF(계정대체기준!$A$6:$A$15,$N3768)&gt;0),IFERROR(INDEX(계정대체기준!$E$6:$E$15,MATCH(VALUE($A3768&amp;""),계정대체기준!$D$6:$D$15,0)),0),0))</f>
        <v/>
      </c>
      <c r="AH3768" s="64">
        <f>IF($A3768="","",IF(AD3768=0,"",IF(OR(COUNTIF(계정대체기준!$A$77:$A$86,$N3768)&gt;0,ISNUMBER(MATCH($X3768,계정대체기준!$D$77:$D$86,0)),ISNUMBER(MATCH($F3768,계정대체기준!$D$77:$D$86,0))),"Y","N")))</f>
        <v/>
      </c>
    </row>
    <row r="3769">
      <c r="A3769" s="92" t="n">
        <v>2026</v>
      </c>
      <c r="B3769" s="92" t="n">
        <v>5</v>
      </c>
      <c r="C3769" s="92" t="inlineStr">
        <is>
          <t>5100001047</t>
        </is>
      </c>
      <c r="D3769" s="95" t="n">
        <v>46158</v>
      </c>
      <c r="E3769" s="92" t="inlineStr">
        <is>
          <t>KR</t>
        </is>
      </c>
      <c r="F3769" s="92" t="n">
        <v>62102000</v>
      </c>
      <c r="G3769" s="92" t="n">
        <v>1951</v>
      </c>
      <c r="H3769" s="93" t="n">
        <v>54000</v>
      </c>
      <c r="I3769" s="92" t="inlineStr">
        <is>
          <t>5월 해외출장 - M항공</t>
        </is>
      </c>
      <c r="J3769" s="92" t="inlineStr">
        <is>
          <t>V10001</t>
        </is>
      </c>
      <c r="K3769" s="92" t="inlineStr">
        <is>
          <t>M항공</t>
        </is>
      </c>
      <c r="M3769" s="9">
        <f>IF($A3769="","",VALUE($A3769&amp;"")*12+VALUE($B3769&amp;""))</f>
        <v/>
      </c>
      <c r="N3769" s="64">
        <f>IF($A3769="","",IFERROR(INDEX(부서매핑!$C$5:$C$504,MATCH($G3769&amp;"",부서매핑!$A$5:$A$504,0)),"미매핑"))</f>
        <v/>
      </c>
      <c r="O3769" s="9">
        <f>IF($A3769="","",N3769&amp;"|"&amp;$F3769)</f>
        <v/>
      </c>
      <c r="P3769" s="94">
        <f>IF($A3769="",0,$H3769*설정!$C$23)</f>
        <v/>
      </c>
      <c r="Q3769" s="64">
        <f>IF($A3769="","",IF(O3769&lt;&gt;원인분석!$C$9,"",IF(AND(M3769&gt;=원인분석!$C$10,M3769&lt;=원인분석!$C$11),"당기",IF(AND(M3769&gt;=원인분석!$C$12,M3769&lt;=원인분석!$C$13),"비교",""))))</f>
        <v/>
      </c>
      <c r="R3769" s="9">
        <f>IF(Q3769="","",$K3769&amp;"")</f>
        <v/>
      </c>
      <c r="S3769" s="9">
        <f>IF(Q3769="","",IF(MATCH(R3769,$R$5:$R$100000,0)=ROW()-4,ROW(),""))</f>
        <v/>
      </c>
      <c r="T3769" s="9">
        <f>IF(Q3769="당기",ABS(P3769)+ROW()/1000000000,"")</f>
        <v/>
      </c>
      <c r="U3769" s="9">
        <f>IF(Q3769="비교",ABS(P3769)+ROW()/1000000000,"")</f>
        <v/>
      </c>
      <c r="V3769" s="64">
        <f>IF($A3769="","",IF(COUNTIF(변동분석!$E$7:$E$506,O3769)&gt;0,"Y","N"))</f>
        <v/>
      </c>
      <c r="W3769" s="64">
        <f>IF($A3769="","",IFERROR(INDEX(계정매핑!$D$5:$D$504,MATCH($F3769&amp;"",계정매핑!$A$5:$A$504,0)),"미매핑"))</f>
        <v/>
      </c>
      <c r="X3769" s="9">
        <f>IF($A3769="","",$F3769&amp;"")</f>
        <v/>
      </c>
      <c r="Y3769" s="94">
        <f>IF($A3769="",0,IF(AE3769="직접",IF(AF3769="비귀속",$P3769,0),$P3769*(1-AG3769)*IFERROR(INDEX(계정대체기준!$F$20:$F$49,MATCH($N3769,계정대체기준!$A$20:$A$49,0)),1)))</f>
        <v/>
      </c>
      <c r="Z3769" s="94">
        <f>IF($A3769="",0,IF(AE3769="직접",IF(AF3769="신계약비",$P3769,0),$P3769*(1-AG3769)*IFERROR(INDEX(계정대체기준!$C$20:$C$49,MATCH($N3769,계정대체기준!$A$20:$A$49,0)),0)))</f>
        <v/>
      </c>
      <c r="AA3769" s="94">
        <f>IF($A3769="",0,IF(AE3769="직접",IF(OR(AF3769="유지비",AF3769="손해조사비"),$P3769,0),$P3769*(1-AG3769)*IFERROR(INDEX(계정대체기준!$D$20:$D$49,MATCH($N3769,계정대체기준!$A$20:$A$49,0)),0)))</f>
        <v/>
      </c>
      <c r="AB3769" s="94">
        <f>IF($A3769="",0,IF(AE3769="직접",IF(AF3769="수금비",$P3769,0),$P3769*(1-AG3769)*IFERROR(INDEX(계정대체기준!$E$20:$E$49,MATCH($N3769,계정대체기준!$A$20:$A$49,0)),0)))</f>
        <v/>
      </c>
      <c r="AC3769" s="9">
        <f>IF(AND($A3769&lt;&gt;"",M3769=설정!$C$20,Z3769&gt;0),Z3769+ROW()/1000000000,"")</f>
        <v/>
      </c>
      <c r="AD3769" s="94">
        <f>IF($A3769="",0,$P3769*AG3769)</f>
        <v/>
      </c>
      <c r="AE3769" s="64">
        <f>IF($A3769="","",IFERROR(INDEX(계정매핑!$E$5:$E$504,MATCH($F3769&amp;"",계정매핑!$A$5:$A$504,0))&amp;"","공통비"))</f>
        <v/>
      </c>
      <c r="AF3769" s="64">
        <f>IF($A3769="","",IF(AE3769="직접",IFERROR(INDEX(계정매핑!$F$5:$F$504,MATCH($F3769&amp;"",계정매핑!$A$5:$A$504,0))&amp;"","비귀속"),""))</f>
        <v/>
      </c>
      <c r="AG3769" s="96">
        <f>IF($A3769="",0,IF(AND(AE3769&lt;&gt;"직접",IFERROR(INDEX(계정매핑!$G$5:$G$504,MATCH($F3769&amp;"",계정매핑!$A$5:$A$504,0))&amp;"","")="유지비",COUNTIF(계정대체기준!$A$6:$A$15,$N3769)&gt;0),IFERROR(INDEX(계정대체기준!$E$6:$E$15,MATCH(VALUE($A3769&amp;""),계정대체기준!$D$6:$D$15,0)),0),0))</f>
        <v/>
      </c>
      <c r="AH3769" s="64">
        <f>IF($A3769="","",IF(AD3769=0,"",IF(OR(COUNTIF(계정대체기준!$A$77:$A$86,$N3769)&gt;0,ISNUMBER(MATCH($X3769,계정대체기준!$D$77:$D$86,0)),ISNUMBER(MATCH($F3769,계정대체기준!$D$77:$D$86,0))),"Y","N")))</f>
        <v/>
      </c>
    </row>
    <row r="3770">
      <c r="A3770" s="92" t="n">
        <v>2026</v>
      </c>
      <c r="B3770" s="92" t="n">
        <v>5</v>
      </c>
      <c r="C3770" s="92" t="inlineStr">
        <is>
          <t>5100001048</t>
        </is>
      </c>
      <c r="D3770" s="95" t="n">
        <v>46158</v>
      </c>
      <c r="E3770" s="92" t="inlineStr">
        <is>
          <t>KR</t>
        </is>
      </c>
      <c r="F3770" s="92" t="n">
        <v>62201000</v>
      </c>
      <c r="G3770" s="92" t="n">
        <v>1801</v>
      </c>
      <c r="H3770" s="93" t="n">
        <v>9588000</v>
      </c>
      <c r="I3770" s="92" t="inlineStr">
        <is>
          <t>5월 통신요금 - O텔레콤</t>
        </is>
      </c>
      <c r="J3770" s="92" t="inlineStr">
        <is>
          <t>V10002</t>
        </is>
      </c>
      <c r="K3770" s="92" t="inlineStr">
        <is>
          <t>O텔레콤</t>
        </is>
      </c>
      <c r="M3770" s="9">
        <f>IF($A3770="","",VALUE($A3770&amp;"")*12+VALUE($B3770&amp;""))</f>
        <v/>
      </c>
      <c r="N3770" s="64">
        <f>IF($A3770="","",IFERROR(INDEX(부서매핑!$C$5:$C$504,MATCH($G3770&amp;"",부서매핑!$A$5:$A$504,0)),"미매핑"))</f>
        <v/>
      </c>
      <c r="O3770" s="9">
        <f>IF($A3770="","",N3770&amp;"|"&amp;$F3770)</f>
        <v/>
      </c>
      <c r="P3770" s="94">
        <f>IF($A3770="",0,$H3770*설정!$C$23)</f>
        <v/>
      </c>
      <c r="Q3770" s="64">
        <f>IF($A3770="","",IF(O3770&lt;&gt;원인분석!$C$9,"",IF(AND(M3770&gt;=원인분석!$C$10,M3770&lt;=원인분석!$C$11),"당기",IF(AND(M3770&gt;=원인분석!$C$12,M3770&lt;=원인분석!$C$13),"비교",""))))</f>
        <v/>
      </c>
      <c r="R3770" s="9">
        <f>IF(Q3770="","",$K3770&amp;"")</f>
        <v/>
      </c>
      <c r="S3770" s="9">
        <f>IF(Q3770="","",IF(MATCH(R3770,$R$5:$R$100000,0)=ROW()-4,ROW(),""))</f>
        <v/>
      </c>
      <c r="T3770" s="9">
        <f>IF(Q3770="당기",ABS(P3770)+ROW()/1000000000,"")</f>
        <v/>
      </c>
      <c r="U3770" s="9">
        <f>IF(Q3770="비교",ABS(P3770)+ROW()/1000000000,"")</f>
        <v/>
      </c>
      <c r="V3770" s="64">
        <f>IF($A3770="","",IF(COUNTIF(변동분석!$E$7:$E$506,O3770)&gt;0,"Y","N"))</f>
        <v/>
      </c>
      <c r="W3770" s="64">
        <f>IF($A3770="","",IFERROR(INDEX(계정매핑!$D$5:$D$504,MATCH($F3770&amp;"",계정매핑!$A$5:$A$504,0)),"미매핑"))</f>
        <v/>
      </c>
      <c r="X3770" s="9">
        <f>IF($A3770="","",$F3770&amp;"")</f>
        <v/>
      </c>
      <c r="Y3770" s="94">
        <f>IF($A3770="",0,IF(AE3770="직접",IF(AF3770="비귀속",$P3770,0),$P3770*(1-AG3770)*IFERROR(INDEX(계정대체기준!$F$20:$F$49,MATCH($N3770,계정대체기준!$A$20:$A$49,0)),1)))</f>
        <v/>
      </c>
      <c r="Z3770" s="94">
        <f>IF($A3770="",0,IF(AE3770="직접",IF(AF3770="신계약비",$P3770,0),$P3770*(1-AG3770)*IFERROR(INDEX(계정대체기준!$C$20:$C$49,MATCH($N3770,계정대체기준!$A$20:$A$49,0)),0)))</f>
        <v/>
      </c>
      <c r="AA3770" s="94">
        <f>IF($A3770="",0,IF(AE3770="직접",IF(OR(AF3770="유지비",AF3770="손해조사비"),$P3770,0),$P3770*(1-AG3770)*IFERROR(INDEX(계정대체기준!$D$20:$D$49,MATCH($N3770,계정대체기준!$A$20:$A$49,0)),0)))</f>
        <v/>
      </c>
      <c r="AB3770" s="94">
        <f>IF($A3770="",0,IF(AE3770="직접",IF(AF3770="수금비",$P3770,0),$P3770*(1-AG3770)*IFERROR(INDEX(계정대체기준!$E$20:$E$49,MATCH($N3770,계정대체기준!$A$20:$A$49,0)),0)))</f>
        <v/>
      </c>
      <c r="AC3770" s="9">
        <f>IF(AND($A3770&lt;&gt;"",M3770=설정!$C$20,Z3770&gt;0),Z3770+ROW()/1000000000,"")</f>
        <v/>
      </c>
      <c r="AD3770" s="94">
        <f>IF($A3770="",0,$P3770*AG3770)</f>
        <v/>
      </c>
      <c r="AE3770" s="64">
        <f>IF($A3770="","",IFERROR(INDEX(계정매핑!$E$5:$E$504,MATCH($F3770&amp;"",계정매핑!$A$5:$A$504,0))&amp;"","공통비"))</f>
        <v/>
      </c>
      <c r="AF3770" s="64">
        <f>IF($A3770="","",IF(AE3770="직접",IFERROR(INDEX(계정매핑!$F$5:$F$504,MATCH($F3770&amp;"",계정매핑!$A$5:$A$504,0))&amp;"","비귀속"),""))</f>
        <v/>
      </c>
      <c r="AG3770" s="96">
        <f>IF($A3770="",0,IF(AND(AE3770&lt;&gt;"직접",IFERROR(INDEX(계정매핑!$G$5:$G$504,MATCH($F3770&amp;"",계정매핑!$A$5:$A$504,0))&amp;"","")="유지비",COUNTIF(계정대체기준!$A$6:$A$15,$N3770)&gt;0),IFERROR(INDEX(계정대체기준!$E$6:$E$15,MATCH(VALUE($A3770&amp;""),계정대체기준!$D$6:$D$15,0)),0),0))</f>
        <v/>
      </c>
      <c r="AH3770" s="64">
        <f>IF($A3770="","",IF(AD3770=0,"",IF(OR(COUNTIF(계정대체기준!$A$77:$A$86,$N3770)&gt;0,ISNUMBER(MATCH($X3770,계정대체기준!$D$77:$D$86,0)),ISNUMBER(MATCH($F3770,계정대체기준!$D$77:$D$86,0))),"Y","N")))</f>
        <v/>
      </c>
    </row>
    <row r="3771">
      <c r="A3771" s="92" t="n">
        <v>2026</v>
      </c>
      <c r="B3771" s="92" t="n">
        <v>5</v>
      </c>
      <c r="C3771" s="92" t="inlineStr">
        <is>
          <t>5100001049</t>
        </is>
      </c>
      <c r="D3771" s="95" t="n">
        <v>46158</v>
      </c>
      <c r="E3771" s="92" t="inlineStr">
        <is>
          <t>KR</t>
        </is>
      </c>
      <c r="F3771" s="92" t="n">
        <v>62501000</v>
      </c>
      <c r="G3771" s="92" t="n">
        <v>1602</v>
      </c>
      <c r="H3771" s="93" t="n">
        <v>517000</v>
      </c>
      <c r="I3771" s="92" t="inlineStr">
        <is>
          <t>5월 회의 다과 - T케이터링</t>
        </is>
      </c>
      <c r="J3771" s="92" t="inlineStr">
        <is>
          <t>V10005</t>
        </is>
      </c>
      <c r="K3771" s="92" t="inlineStr">
        <is>
          <t>T케이터링</t>
        </is>
      </c>
      <c r="M3771" s="9">
        <f>IF($A3771="","",VALUE($A3771&amp;"")*12+VALUE($B3771&amp;""))</f>
        <v/>
      </c>
      <c r="N3771" s="64">
        <f>IF($A3771="","",IFERROR(INDEX(부서매핑!$C$5:$C$504,MATCH($G3771&amp;"",부서매핑!$A$5:$A$504,0)),"미매핑"))</f>
        <v/>
      </c>
      <c r="O3771" s="9">
        <f>IF($A3771="","",N3771&amp;"|"&amp;$F3771)</f>
        <v/>
      </c>
      <c r="P3771" s="94">
        <f>IF($A3771="",0,$H3771*설정!$C$23)</f>
        <v/>
      </c>
      <c r="Q3771" s="64">
        <f>IF($A3771="","",IF(O3771&lt;&gt;원인분석!$C$9,"",IF(AND(M3771&gt;=원인분석!$C$10,M3771&lt;=원인분석!$C$11),"당기",IF(AND(M3771&gt;=원인분석!$C$12,M3771&lt;=원인분석!$C$13),"비교",""))))</f>
        <v/>
      </c>
      <c r="R3771" s="9">
        <f>IF(Q3771="","",$K3771&amp;"")</f>
        <v/>
      </c>
      <c r="S3771" s="9">
        <f>IF(Q3771="","",IF(MATCH(R3771,$R$5:$R$100000,0)=ROW()-4,ROW(),""))</f>
        <v/>
      </c>
      <c r="T3771" s="9">
        <f>IF(Q3771="당기",ABS(P3771)+ROW()/1000000000,"")</f>
        <v/>
      </c>
      <c r="U3771" s="9">
        <f>IF(Q3771="비교",ABS(P3771)+ROW()/1000000000,"")</f>
        <v/>
      </c>
      <c r="V3771" s="64">
        <f>IF($A3771="","",IF(COUNTIF(변동분석!$E$7:$E$506,O3771)&gt;0,"Y","N"))</f>
        <v/>
      </c>
      <c r="W3771" s="64">
        <f>IF($A3771="","",IFERROR(INDEX(계정매핑!$D$5:$D$504,MATCH($F3771&amp;"",계정매핑!$A$5:$A$504,0)),"미매핑"))</f>
        <v/>
      </c>
      <c r="X3771" s="9">
        <f>IF($A3771="","",$F3771&amp;"")</f>
        <v/>
      </c>
      <c r="Y3771" s="94">
        <f>IF($A3771="",0,IF(AE3771="직접",IF(AF3771="비귀속",$P3771,0),$P3771*(1-AG3771)*IFERROR(INDEX(계정대체기준!$F$20:$F$49,MATCH($N3771,계정대체기준!$A$20:$A$49,0)),1)))</f>
        <v/>
      </c>
      <c r="Z3771" s="94">
        <f>IF($A3771="",0,IF(AE3771="직접",IF(AF3771="신계약비",$P3771,0),$P3771*(1-AG3771)*IFERROR(INDEX(계정대체기준!$C$20:$C$49,MATCH($N3771,계정대체기준!$A$20:$A$49,0)),0)))</f>
        <v/>
      </c>
      <c r="AA3771" s="94">
        <f>IF($A3771="",0,IF(AE3771="직접",IF(OR(AF3771="유지비",AF3771="손해조사비"),$P3771,0),$P3771*(1-AG3771)*IFERROR(INDEX(계정대체기준!$D$20:$D$49,MATCH($N3771,계정대체기준!$A$20:$A$49,0)),0)))</f>
        <v/>
      </c>
      <c r="AB3771" s="94">
        <f>IF($A3771="",0,IF(AE3771="직접",IF(AF3771="수금비",$P3771,0),$P3771*(1-AG3771)*IFERROR(INDEX(계정대체기준!$E$20:$E$49,MATCH($N3771,계정대체기준!$A$20:$A$49,0)),0)))</f>
        <v/>
      </c>
      <c r="AC3771" s="9">
        <f>IF(AND($A3771&lt;&gt;"",M3771=설정!$C$20,Z3771&gt;0),Z3771+ROW()/1000000000,"")</f>
        <v/>
      </c>
      <c r="AD3771" s="94">
        <f>IF($A3771="",0,$P3771*AG3771)</f>
        <v/>
      </c>
      <c r="AE3771" s="64">
        <f>IF($A3771="","",IFERROR(INDEX(계정매핑!$E$5:$E$504,MATCH($F3771&amp;"",계정매핑!$A$5:$A$504,0))&amp;"","공통비"))</f>
        <v/>
      </c>
      <c r="AF3771" s="64">
        <f>IF($A3771="","",IF(AE3771="직접",IFERROR(INDEX(계정매핑!$F$5:$F$504,MATCH($F3771&amp;"",계정매핑!$A$5:$A$504,0))&amp;"","비귀속"),""))</f>
        <v/>
      </c>
      <c r="AG3771" s="96">
        <f>IF($A3771="",0,IF(AND(AE3771&lt;&gt;"직접",IFERROR(INDEX(계정매핑!$G$5:$G$504,MATCH($F3771&amp;"",계정매핑!$A$5:$A$504,0))&amp;"","")="유지비",COUNTIF(계정대체기준!$A$6:$A$15,$N3771)&gt;0),IFERROR(INDEX(계정대체기준!$E$6:$E$15,MATCH(VALUE($A3771&amp;""),계정대체기준!$D$6:$D$15,0)),0),0))</f>
        <v/>
      </c>
      <c r="AH3771" s="64">
        <f>IF($A3771="","",IF(AD3771=0,"",IF(OR(COUNTIF(계정대체기준!$A$77:$A$86,$N3771)&gt;0,ISNUMBER(MATCH($X3771,계정대체기준!$D$77:$D$86,0)),ISNUMBER(MATCH($F3771,계정대체기준!$D$77:$D$86,0))),"Y","N")))</f>
        <v/>
      </c>
    </row>
    <row r="3772">
      <c r="A3772" s="92" t="n">
        <v>2026</v>
      </c>
      <c r="B3772" s="92" t="n">
        <v>5</v>
      </c>
      <c r="C3772" s="92" t="inlineStr">
        <is>
          <t>5100001050</t>
        </is>
      </c>
      <c r="D3772" s="95" t="n">
        <v>46158</v>
      </c>
      <c r="E3772" s="92" t="inlineStr">
        <is>
          <t>KR</t>
        </is>
      </c>
      <c r="F3772" s="92" t="n">
        <v>62601000</v>
      </c>
      <c r="G3772" s="92" t="n">
        <v>1501</v>
      </c>
      <c r="H3772" s="93" t="n">
        <v>1720000</v>
      </c>
      <c r="I3772" s="92" t="inlineStr">
        <is>
          <t>5월 업무추진 - (법인카드)</t>
        </is>
      </c>
      <c r="J3772" s="92" t="inlineStr">
        <is>
          <t>V10010</t>
        </is>
      </c>
      <c r="K3772" s="92" t="inlineStr">
        <is>
          <t>(법인카드)</t>
        </is>
      </c>
      <c r="M3772" s="9">
        <f>IF($A3772="","",VALUE($A3772&amp;"")*12+VALUE($B3772&amp;""))</f>
        <v/>
      </c>
      <c r="N3772" s="64">
        <f>IF($A3772="","",IFERROR(INDEX(부서매핑!$C$5:$C$504,MATCH($G3772&amp;"",부서매핑!$A$5:$A$504,0)),"미매핑"))</f>
        <v/>
      </c>
      <c r="O3772" s="9">
        <f>IF($A3772="","",N3772&amp;"|"&amp;$F3772)</f>
        <v/>
      </c>
      <c r="P3772" s="94">
        <f>IF($A3772="",0,$H3772*설정!$C$23)</f>
        <v/>
      </c>
      <c r="Q3772" s="64">
        <f>IF($A3772="","",IF(O3772&lt;&gt;원인분석!$C$9,"",IF(AND(M3772&gt;=원인분석!$C$10,M3772&lt;=원인분석!$C$11),"당기",IF(AND(M3772&gt;=원인분석!$C$12,M3772&lt;=원인분석!$C$13),"비교",""))))</f>
        <v/>
      </c>
      <c r="R3772" s="9">
        <f>IF(Q3772="","",$K3772&amp;"")</f>
        <v/>
      </c>
      <c r="S3772" s="9">
        <f>IF(Q3772="","",IF(MATCH(R3772,$R$5:$R$100000,0)=ROW()-4,ROW(),""))</f>
        <v/>
      </c>
      <c r="T3772" s="9">
        <f>IF(Q3772="당기",ABS(P3772)+ROW()/1000000000,"")</f>
        <v/>
      </c>
      <c r="U3772" s="9">
        <f>IF(Q3772="비교",ABS(P3772)+ROW()/1000000000,"")</f>
        <v/>
      </c>
      <c r="V3772" s="64">
        <f>IF($A3772="","",IF(COUNTIF(변동분석!$E$7:$E$506,O3772)&gt;0,"Y","N"))</f>
        <v/>
      </c>
      <c r="W3772" s="64">
        <f>IF($A3772="","",IFERROR(INDEX(계정매핑!$D$5:$D$504,MATCH($F3772&amp;"",계정매핑!$A$5:$A$504,0)),"미매핑"))</f>
        <v/>
      </c>
      <c r="X3772" s="9">
        <f>IF($A3772="","",$F3772&amp;"")</f>
        <v/>
      </c>
      <c r="Y3772" s="94">
        <f>IF($A3772="",0,IF(AE3772="직접",IF(AF3772="비귀속",$P3772,0),$P3772*(1-AG3772)*IFERROR(INDEX(계정대체기준!$F$20:$F$49,MATCH($N3772,계정대체기준!$A$20:$A$49,0)),1)))</f>
        <v/>
      </c>
      <c r="Z3772" s="94">
        <f>IF($A3772="",0,IF(AE3772="직접",IF(AF3772="신계약비",$P3772,0),$P3772*(1-AG3772)*IFERROR(INDEX(계정대체기준!$C$20:$C$49,MATCH($N3772,계정대체기준!$A$20:$A$49,0)),0)))</f>
        <v/>
      </c>
      <c r="AA3772" s="94">
        <f>IF($A3772="",0,IF(AE3772="직접",IF(OR(AF3772="유지비",AF3772="손해조사비"),$P3772,0),$P3772*(1-AG3772)*IFERROR(INDEX(계정대체기준!$D$20:$D$49,MATCH($N3772,계정대체기준!$A$20:$A$49,0)),0)))</f>
        <v/>
      </c>
      <c r="AB3772" s="94">
        <f>IF($A3772="",0,IF(AE3772="직접",IF(AF3772="수금비",$P3772,0),$P3772*(1-AG3772)*IFERROR(INDEX(계정대체기준!$E$20:$E$49,MATCH($N3772,계정대체기준!$A$20:$A$49,0)),0)))</f>
        <v/>
      </c>
      <c r="AC3772" s="9">
        <f>IF(AND($A3772&lt;&gt;"",M3772=설정!$C$20,Z3772&gt;0),Z3772+ROW()/1000000000,"")</f>
        <v/>
      </c>
      <c r="AD3772" s="94">
        <f>IF($A3772="",0,$P3772*AG3772)</f>
        <v/>
      </c>
      <c r="AE3772" s="64">
        <f>IF($A3772="","",IFERROR(INDEX(계정매핑!$E$5:$E$504,MATCH($F3772&amp;"",계정매핑!$A$5:$A$504,0))&amp;"","공통비"))</f>
        <v/>
      </c>
      <c r="AF3772" s="64">
        <f>IF($A3772="","",IF(AE3772="직접",IFERROR(INDEX(계정매핑!$F$5:$F$504,MATCH($F3772&amp;"",계정매핑!$A$5:$A$504,0))&amp;"","비귀속"),""))</f>
        <v/>
      </c>
      <c r="AG3772" s="96">
        <f>IF($A3772="",0,IF(AND(AE3772&lt;&gt;"직접",IFERROR(INDEX(계정매핑!$G$5:$G$504,MATCH($F3772&amp;"",계정매핑!$A$5:$A$504,0))&amp;"","")="유지비",COUNTIF(계정대체기준!$A$6:$A$15,$N3772)&gt;0),IFERROR(INDEX(계정대체기준!$E$6:$E$15,MATCH(VALUE($A3772&amp;""),계정대체기준!$D$6:$D$15,0)),0),0))</f>
        <v/>
      </c>
      <c r="AH3772" s="64">
        <f>IF($A3772="","",IF(AD3772=0,"",IF(OR(COUNTIF(계정대체기준!$A$77:$A$86,$N3772)&gt;0,ISNUMBER(MATCH($X3772,계정대체기준!$D$77:$D$86,0)),ISNUMBER(MATCH($F3772,계정대체기준!$D$77:$D$86,0))),"Y","N")))</f>
        <v/>
      </c>
    </row>
    <row r="3773">
      <c r="A3773" s="92" t="n">
        <v>2026</v>
      </c>
      <c r="B3773" s="92" t="n">
        <v>5</v>
      </c>
      <c r="C3773" s="92" t="inlineStr">
        <is>
          <t>5100001051</t>
        </is>
      </c>
      <c r="D3773" s="95" t="n">
        <v>46158</v>
      </c>
      <c r="E3773" s="92" t="inlineStr">
        <is>
          <t>KR</t>
        </is>
      </c>
      <c r="F3773" s="92" t="n">
        <v>62802000</v>
      </c>
      <c r="G3773" s="92" t="n">
        <v>1301</v>
      </c>
      <c r="H3773" s="93" t="n">
        <v>3054000</v>
      </c>
      <c r="I3773" s="92" t="inlineStr">
        <is>
          <t>5월 위탁교육 - V아카데미</t>
        </is>
      </c>
      <c r="J3773" s="92" t="inlineStr">
        <is>
          <t>V10027</t>
        </is>
      </c>
      <c r="K3773" s="92" t="inlineStr">
        <is>
          <t>V아카데미</t>
        </is>
      </c>
      <c r="M3773" s="9">
        <f>IF($A3773="","",VALUE($A3773&amp;"")*12+VALUE($B3773&amp;""))</f>
        <v/>
      </c>
      <c r="N3773" s="64">
        <f>IF($A3773="","",IFERROR(INDEX(부서매핑!$C$5:$C$504,MATCH($G3773&amp;"",부서매핑!$A$5:$A$504,0)),"미매핑"))</f>
        <v/>
      </c>
      <c r="O3773" s="9">
        <f>IF($A3773="","",N3773&amp;"|"&amp;$F3773)</f>
        <v/>
      </c>
      <c r="P3773" s="94">
        <f>IF($A3773="",0,$H3773*설정!$C$23)</f>
        <v/>
      </c>
      <c r="Q3773" s="64">
        <f>IF($A3773="","",IF(O3773&lt;&gt;원인분석!$C$9,"",IF(AND(M3773&gt;=원인분석!$C$10,M3773&lt;=원인분석!$C$11),"당기",IF(AND(M3773&gt;=원인분석!$C$12,M3773&lt;=원인분석!$C$13),"비교",""))))</f>
        <v/>
      </c>
      <c r="R3773" s="9">
        <f>IF(Q3773="","",$K3773&amp;"")</f>
        <v/>
      </c>
      <c r="S3773" s="9">
        <f>IF(Q3773="","",IF(MATCH(R3773,$R$5:$R$100000,0)=ROW()-4,ROW(),""))</f>
        <v/>
      </c>
      <c r="T3773" s="9">
        <f>IF(Q3773="당기",ABS(P3773)+ROW()/1000000000,"")</f>
        <v/>
      </c>
      <c r="U3773" s="9">
        <f>IF(Q3773="비교",ABS(P3773)+ROW()/1000000000,"")</f>
        <v/>
      </c>
      <c r="V3773" s="64">
        <f>IF($A3773="","",IF(COUNTIF(변동분석!$E$7:$E$506,O3773)&gt;0,"Y","N"))</f>
        <v/>
      </c>
      <c r="W3773" s="64">
        <f>IF($A3773="","",IFERROR(INDEX(계정매핑!$D$5:$D$504,MATCH($F3773&amp;"",계정매핑!$A$5:$A$504,0)),"미매핑"))</f>
        <v/>
      </c>
      <c r="X3773" s="9">
        <f>IF($A3773="","",$F3773&amp;"")</f>
        <v/>
      </c>
      <c r="Y3773" s="94">
        <f>IF($A3773="",0,IF(AE3773="직접",IF(AF3773="비귀속",$P3773,0),$P3773*(1-AG3773)*IFERROR(INDEX(계정대체기준!$F$20:$F$49,MATCH($N3773,계정대체기준!$A$20:$A$49,0)),1)))</f>
        <v/>
      </c>
      <c r="Z3773" s="94">
        <f>IF($A3773="",0,IF(AE3773="직접",IF(AF3773="신계약비",$P3773,0),$P3773*(1-AG3773)*IFERROR(INDEX(계정대체기준!$C$20:$C$49,MATCH($N3773,계정대체기준!$A$20:$A$49,0)),0)))</f>
        <v/>
      </c>
      <c r="AA3773" s="94">
        <f>IF($A3773="",0,IF(AE3773="직접",IF(OR(AF3773="유지비",AF3773="손해조사비"),$P3773,0),$P3773*(1-AG3773)*IFERROR(INDEX(계정대체기준!$D$20:$D$49,MATCH($N3773,계정대체기준!$A$20:$A$49,0)),0)))</f>
        <v/>
      </c>
      <c r="AB3773" s="94">
        <f>IF($A3773="",0,IF(AE3773="직접",IF(AF3773="수금비",$P3773,0),$P3773*(1-AG3773)*IFERROR(INDEX(계정대체기준!$E$20:$E$49,MATCH($N3773,계정대체기준!$A$20:$A$49,0)),0)))</f>
        <v/>
      </c>
      <c r="AC3773" s="9">
        <f>IF(AND($A3773&lt;&gt;"",M3773=설정!$C$20,Z3773&gt;0),Z3773+ROW()/1000000000,"")</f>
        <v/>
      </c>
      <c r="AD3773" s="94">
        <f>IF($A3773="",0,$P3773*AG3773)</f>
        <v/>
      </c>
      <c r="AE3773" s="64">
        <f>IF($A3773="","",IFERROR(INDEX(계정매핑!$E$5:$E$504,MATCH($F3773&amp;"",계정매핑!$A$5:$A$504,0))&amp;"","공통비"))</f>
        <v/>
      </c>
      <c r="AF3773" s="64">
        <f>IF($A3773="","",IF(AE3773="직접",IFERROR(INDEX(계정매핑!$F$5:$F$504,MATCH($F3773&amp;"",계정매핑!$A$5:$A$504,0))&amp;"","비귀속"),""))</f>
        <v/>
      </c>
      <c r="AG3773" s="96">
        <f>IF($A3773="",0,IF(AND(AE3773&lt;&gt;"직접",IFERROR(INDEX(계정매핑!$G$5:$G$504,MATCH($F3773&amp;"",계정매핑!$A$5:$A$504,0))&amp;"","")="유지비",COUNTIF(계정대체기준!$A$6:$A$15,$N3773)&gt;0),IFERROR(INDEX(계정대체기준!$E$6:$E$15,MATCH(VALUE($A3773&amp;""),계정대체기준!$D$6:$D$15,0)),0),0))</f>
        <v/>
      </c>
      <c r="AH3773" s="64">
        <f>IF($A3773="","",IF(AD3773=0,"",IF(OR(COUNTIF(계정대체기준!$A$77:$A$86,$N3773)&gt;0,ISNUMBER(MATCH($X3773,계정대체기준!$D$77:$D$86,0)),ISNUMBER(MATCH($F3773,계정대체기준!$D$77:$D$86,0))),"Y","N")))</f>
        <v/>
      </c>
    </row>
    <row r="3774">
      <c r="A3774" s="92" t="n">
        <v>2026</v>
      </c>
      <c r="B3774" s="92" t="n">
        <v>5</v>
      </c>
      <c r="C3774" s="92" t="inlineStr">
        <is>
          <t>5100001052</t>
        </is>
      </c>
      <c r="D3774" s="95" t="n">
        <v>46158</v>
      </c>
      <c r="E3774" s="92" t="inlineStr">
        <is>
          <t>KR</t>
        </is>
      </c>
      <c r="F3774" s="92" t="n">
        <v>62901000</v>
      </c>
      <c r="G3774" s="92" t="n">
        <v>1401</v>
      </c>
      <c r="H3774" s="93" t="n">
        <v>6707000</v>
      </c>
      <c r="I3774" s="92" t="inlineStr">
        <is>
          <t>5월 자문 수수료 - W컨설팅</t>
        </is>
      </c>
      <c r="J3774" s="92" t="inlineStr">
        <is>
          <t>V10006</t>
        </is>
      </c>
      <c r="K3774" s="92" t="inlineStr">
        <is>
          <t>W컨설팅</t>
        </is>
      </c>
      <c r="M3774" s="9">
        <f>IF($A3774="","",VALUE($A3774&amp;"")*12+VALUE($B3774&amp;""))</f>
        <v/>
      </c>
      <c r="N3774" s="64">
        <f>IF($A3774="","",IFERROR(INDEX(부서매핑!$C$5:$C$504,MATCH($G3774&amp;"",부서매핑!$A$5:$A$504,0)),"미매핑"))</f>
        <v/>
      </c>
      <c r="O3774" s="9">
        <f>IF($A3774="","",N3774&amp;"|"&amp;$F3774)</f>
        <v/>
      </c>
      <c r="P3774" s="94">
        <f>IF($A3774="",0,$H3774*설정!$C$23)</f>
        <v/>
      </c>
      <c r="Q3774" s="64">
        <f>IF($A3774="","",IF(O3774&lt;&gt;원인분석!$C$9,"",IF(AND(M3774&gt;=원인분석!$C$10,M3774&lt;=원인분석!$C$11),"당기",IF(AND(M3774&gt;=원인분석!$C$12,M3774&lt;=원인분석!$C$13),"비교",""))))</f>
        <v/>
      </c>
      <c r="R3774" s="9">
        <f>IF(Q3774="","",$K3774&amp;"")</f>
        <v/>
      </c>
      <c r="S3774" s="9">
        <f>IF(Q3774="","",IF(MATCH(R3774,$R$5:$R$100000,0)=ROW()-4,ROW(),""))</f>
        <v/>
      </c>
      <c r="T3774" s="9">
        <f>IF(Q3774="당기",ABS(P3774)+ROW()/1000000000,"")</f>
        <v/>
      </c>
      <c r="U3774" s="9">
        <f>IF(Q3774="비교",ABS(P3774)+ROW()/1000000000,"")</f>
        <v/>
      </c>
      <c r="V3774" s="64">
        <f>IF($A3774="","",IF(COUNTIF(변동분석!$E$7:$E$506,O3774)&gt;0,"Y","N"))</f>
        <v/>
      </c>
      <c r="W3774" s="64">
        <f>IF($A3774="","",IFERROR(INDEX(계정매핑!$D$5:$D$504,MATCH($F3774&amp;"",계정매핑!$A$5:$A$504,0)),"미매핑"))</f>
        <v/>
      </c>
      <c r="X3774" s="9">
        <f>IF($A3774="","",$F3774&amp;"")</f>
        <v/>
      </c>
      <c r="Y3774" s="94">
        <f>IF($A3774="",0,IF(AE3774="직접",IF(AF3774="비귀속",$P3774,0),$P3774*(1-AG3774)*IFERROR(INDEX(계정대체기준!$F$20:$F$49,MATCH($N3774,계정대체기준!$A$20:$A$49,0)),1)))</f>
        <v/>
      </c>
      <c r="Z3774" s="94">
        <f>IF($A3774="",0,IF(AE3774="직접",IF(AF3774="신계약비",$P3774,0),$P3774*(1-AG3774)*IFERROR(INDEX(계정대체기준!$C$20:$C$49,MATCH($N3774,계정대체기준!$A$20:$A$49,0)),0)))</f>
        <v/>
      </c>
      <c r="AA3774" s="94">
        <f>IF($A3774="",0,IF(AE3774="직접",IF(OR(AF3774="유지비",AF3774="손해조사비"),$P3774,0),$P3774*(1-AG3774)*IFERROR(INDEX(계정대체기준!$D$20:$D$49,MATCH($N3774,계정대체기준!$A$20:$A$49,0)),0)))</f>
        <v/>
      </c>
      <c r="AB3774" s="94">
        <f>IF($A3774="",0,IF(AE3774="직접",IF(AF3774="수금비",$P3774,0),$P3774*(1-AG3774)*IFERROR(INDEX(계정대체기준!$E$20:$E$49,MATCH($N3774,계정대체기준!$A$20:$A$49,0)),0)))</f>
        <v/>
      </c>
      <c r="AC3774" s="9">
        <f>IF(AND($A3774&lt;&gt;"",M3774=설정!$C$20,Z3774&gt;0),Z3774+ROW()/1000000000,"")</f>
        <v/>
      </c>
      <c r="AD3774" s="94">
        <f>IF($A3774="",0,$P3774*AG3774)</f>
        <v/>
      </c>
      <c r="AE3774" s="64">
        <f>IF($A3774="","",IFERROR(INDEX(계정매핑!$E$5:$E$504,MATCH($F3774&amp;"",계정매핑!$A$5:$A$504,0))&amp;"","공통비"))</f>
        <v/>
      </c>
      <c r="AF3774" s="64">
        <f>IF($A3774="","",IF(AE3774="직접",IFERROR(INDEX(계정매핑!$F$5:$F$504,MATCH($F3774&amp;"",계정매핑!$A$5:$A$504,0))&amp;"","비귀속"),""))</f>
        <v/>
      </c>
      <c r="AG3774" s="96">
        <f>IF($A3774="",0,IF(AND(AE3774&lt;&gt;"직접",IFERROR(INDEX(계정매핑!$G$5:$G$504,MATCH($F3774&amp;"",계정매핑!$A$5:$A$504,0))&amp;"","")="유지비",COUNTIF(계정대체기준!$A$6:$A$15,$N3774)&gt;0),IFERROR(INDEX(계정대체기준!$E$6:$E$15,MATCH(VALUE($A3774&amp;""),계정대체기준!$D$6:$D$15,0)),0),0))</f>
        <v/>
      </c>
      <c r="AH3774" s="64">
        <f>IF($A3774="","",IF(AD3774=0,"",IF(OR(COUNTIF(계정대체기준!$A$77:$A$86,$N3774)&gt;0,ISNUMBER(MATCH($X3774,계정대체기준!$D$77:$D$86,0)),ISNUMBER(MATCH($F3774,계정대체기준!$D$77:$D$86,0))),"Y","N")))</f>
        <v/>
      </c>
    </row>
    <row r="3775">
      <c r="A3775" s="92" t="n">
        <v>2026</v>
      </c>
      <c r="B3775" s="92" t="n">
        <v>5</v>
      </c>
      <c r="C3775" s="92" t="inlineStr">
        <is>
          <t>5100001053</t>
        </is>
      </c>
      <c r="D3775" s="95" t="n">
        <v>46158</v>
      </c>
      <c r="E3775" s="92" t="inlineStr">
        <is>
          <t>KR</t>
        </is>
      </c>
      <c r="F3775" s="92" t="n">
        <v>62901000</v>
      </c>
      <c r="G3775" s="92" t="n">
        <v>1951</v>
      </c>
      <c r="H3775" s="93" t="n">
        <v>3141000</v>
      </c>
      <c r="I3775" s="92" t="inlineStr">
        <is>
          <t>5월 자문 수수료 - K회계법인</t>
        </is>
      </c>
      <c r="J3775" s="92" t="inlineStr">
        <is>
          <t>V10011</t>
        </is>
      </c>
      <c r="K3775" s="92" t="inlineStr">
        <is>
          <t>K회계법인</t>
        </is>
      </c>
      <c r="M3775" s="9">
        <f>IF($A3775="","",VALUE($A3775&amp;"")*12+VALUE($B3775&amp;""))</f>
        <v/>
      </c>
      <c r="N3775" s="64">
        <f>IF($A3775="","",IFERROR(INDEX(부서매핑!$C$5:$C$504,MATCH($G3775&amp;"",부서매핑!$A$5:$A$504,0)),"미매핑"))</f>
        <v/>
      </c>
      <c r="O3775" s="9">
        <f>IF($A3775="","",N3775&amp;"|"&amp;$F3775)</f>
        <v/>
      </c>
      <c r="P3775" s="94">
        <f>IF($A3775="",0,$H3775*설정!$C$23)</f>
        <v/>
      </c>
      <c r="Q3775" s="64">
        <f>IF($A3775="","",IF(O3775&lt;&gt;원인분석!$C$9,"",IF(AND(M3775&gt;=원인분석!$C$10,M3775&lt;=원인분석!$C$11),"당기",IF(AND(M3775&gt;=원인분석!$C$12,M3775&lt;=원인분석!$C$13),"비교",""))))</f>
        <v/>
      </c>
      <c r="R3775" s="9">
        <f>IF(Q3775="","",$K3775&amp;"")</f>
        <v/>
      </c>
      <c r="S3775" s="9">
        <f>IF(Q3775="","",IF(MATCH(R3775,$R$5:$R$100000,0)=ROW()-4,ROW(),""))</f>
        <v/>
      </c>
      <c r="T3775" s="9">
        <f>IF(Q3775="당기",ABS(P3775)+ROW()/1000000000,"")</f>
        <v/>
      </c>
      <c r="U3775" s="9">
        <f>IF(Q3775="비교",ABS(P3775)+ROW()/1000000000,"")</f>
        <v/>
      </c>
      <c r="V3775" s="64">
        <f>IF($A3775="","",IF(COUNTIF(변동분석!$E$7:$E$506,O3775)&gt;0,"Y","N"))</f>
        <v/>
      </c>
      <c r="W3775" s="64">
        <f>IF($A3775="","",IFERROR(INDEX(계정매핑!$D$5:$D$504,MATCH($F3775&amp;"",계정매핑!$A$5:$A$504,0)),"미매핑"))</f>
        <v/>
      </c>
      <c r="X3775" s="9">
        <f>IF($A3775="","",$F3775&amp;"")</f>
        <v/>
      </c>
      <c r="Y3775" s="94">
        <f>IF($A3775="",0,IF(AE3775="직접",IF(AF3775="비귀속",$P3775,0),$P3775*(1-AG3775)*IFERROR(INDEX(계정대체기준!$F$20:$F$49,MATCH($N3775,계정대체기준!$A$20:$A$49,0)),1)))</f>
        <v/>
      </c>
      <c r="Z3775" s="94">
        <f>IF($A3775="",0,IF(AE3775="직접",IF(AF3775="신계약비",$P3775,0),$P3775*(1-AG3775)*IFERROR(INDEX(계정대체기준!$C$20:$C$49,MATCH($N3775,계정대체기준!$A$20:$A$49,0)),0)))</f>
        <v/>
      </c>
      <c r="AA3775" s="94">
        <f>IF($A3775="",0,IF(AE3775="직접",IF(OR(AF3775="유지비",AF3775="손해조사비"),$P3775,0),$P3775*(1-AG3775)*IFERROR(INDEX(계정대체기준!$D$20:$D$49,MATCH($N3775,계정대체기준!$A$20:$A$49,0)),0)))</f>
        <v/>
      </c>
      <c r="AB3775" s="94">
        <f>IF($A3775="",0,IF(AE3775="직접",IF(AF3775="수금비",$P3775,0),$P3775*(1-AG3775)*IFERROR(INDEX(계정대체기준!$E$20:$E$49,MATCH($N3775,계정대체기준!$A$20:$A$49,0)),0)))</f>
        <v/>
      </c>
      <c r="AC3775" s="9">
        <f>IF(AND($A3775&lt;&gt;"",M3775=설정!$C$20,Z3775&gt;0),Z3775+ROW()/1000000000,"")</f>
        <v/>
      </c>
      <c r="AD3775" s="94">
        <f>IF($A3775="",0,$P3775*AG3775)</f>
        <v/>
      </c>
      <c r="AE3775" s="64">
        <f>IF($A3775="","",IFERROR(INDEX(계정매핑!$E$5:$E$504,MATCH($F3775&amp;"",계정매핑!$A$5:$A$504,0))&amp;"","공통비"))</f>
        <v/>
      </c>
      <c r="AF3775" s="64">
        <f>IF($A3775="","",IF(AE3775="직접",IFERROR(INDEX(계정매핑!$F$5:$F$504,MATCH($F3775&amp;"",계정매핑!$A$5:$A$504,0))&amp;"","비귀속"),""))</f>
        <v/>
      </c>
      <c r="AG3775" s="96">
        <f>IF($A3775="",0,IF(AND(AE3775&lt;&gt;"직접",IFERROR(INDEX(계정매핑!$G$5:$G$504,MATCH($F3775&amp;"",계정매핑!$A$5:$A$504,0))&amp;"","")="유지비",COUNTIF(계정대체기준!$A$6:$A$15,$N3775)&gt;0),IFERROR(INDEX(계정대체기준!$E$6:$E$15,MATCH(VALUE($A3775&amp;""),계정대체기준!$D$6:$D$15,0)),0),0))</f>
        <v/>
      </c>
      <c r="AH3775" s="64">
        <f>IF($A3775="","",IF(AD3775=0,"",IF(OR(COUNTIF(계정대체기준!$A$77:$A$86,$N3775)&gt;0,ISNUMBER(MATCH($X3775,계정대체기준!$D$77:$D$86,0)),ISNUMBER(MATCH($F3775,계정대체기준!$D$77:$D$86,0))),"Y","N")))</f>
        <v/>
      </c>
    </row>
    <row r="3776">
      <c r="A3776" s="92" t="n">
        <v>2026</v>
      </c>
      <c r="B3776" s="92" t="n">
        <v>5</v>
      </c>
      <c r="C3776" s="92" t="inlineStr">
        <is>
          <t>5100001054</t>
        </is>
      </c>
      <c r="D3776" s="95" t="n">
        <v>46158</v>
      </c>
      <c r="E3776" s="92" t="inlineStr">
        <is>
          <t>KR</t>
        </is>
      </c>
      <c r="F3776" s="92" t="n">
        <v>62902000</v>
      </c>
      <c r="G3776" s="92" t="n">
        <v>1951</v>
      </c>
      <c r="H3776" s="93" t="n">
        <v>4522000</v>
      </c>
      <c r="I3776" s="92" t="inlineStr">
        <is>
          <t>5월 업무 위탁 수수료 - X서비스</t>
        </is>
      </c>
      <c r="J3776" s="92" t="inlineStr">
        <is>
          <t>V10020</t>
        </is>
      </c>
      <c r="K3776" s="92" t="inlineStr">
        <is>
          <t>X서비스</t>
        </is>
      </c>
      <c r="M3776" s="9">
        <f>IF($A3776="","",VALUE($A3776&amp;"")*12+VALUE($B3776&amp;""))</f>
        <v/>
      </c>
      <c r="N3776" s="64">
        <f>IF($A3776="","",IFERROR(INDEX(부서매핑!$C$5:$C$504,MATCH($G3776&amp;"",부서매핑!$A$5:$A$504,0)),"미매핑"))</f>
        <v/>
      </c>
      <c r="O3776" s="9">
        <f>IF($A3776="","",N3776&amp;"|"&amp;$F3776)</f>
        <v/>
      </c>
      <c r="P3776" s="94">
        <f>IF($A3776="",0,$H3776*설정!$C$23)</f>
        <v/>
      </c>
      <c r="Q3776" s="64">
        <f>IF($A3776="","",IF(O3776&lt;&gt;원인분석!$C$9,"",IF(AND(M3776&gt;=원인분석!$C$10,M3776&lt;=원인분석!$C$11),"당기",IF(AND(M3776&gt;=원인분석!$C$12,M3776&lt;=원인분석!$C$13),"비교",""))))</f>
        <v/>
      </c>
      <c r="R3776" s="9">
        <f>IF(Q3776="","",$K3776&amp;"")</f>
        <v/>
      </c>
      <c r="S3776" s="9">
        <f>IF(Q3776="","",IF(MATCH(R3776,$R$5:$R$100000,0)=ROW()-4,ROW(),""))</f>
        <v/>
      </c>
      <c r="T3776" s="9">
        <f>IF(Q3776="당기",ABS(P3776)+ROW()/1000000000,"")</f>
        <v/>
      </c>
      <c r="U3776" s="9">
        <f>IF(Q3776="비교",ABS(P3776)+ROW()/1000000000,"")</f>
        <v/>
      </c>
      <c r="V3776" s="64">
        <f>IF($A3776="","",IF(COUNTIF(변동분석!$E$7:$E$506,O3776)&gt;0,"Y","N"))</f>
        <v/>
      </c>
      <c r="W3776" s="64">
        <f>IF($A3776="","",IFERROR(INDEX(계정매핑!$D$5:$D$504,MATCH($F3776&amp;"",계정매핑!$A$5:$A$504,0)),"미매핑"))</f>
        <v/>
      </c>
      <c r="X3776" s="9">
        <f>IF($A3776="","",$F3776&amp;"")</f>
        <v/>
      </c>
      <c r="Y3776" s="94">
        <f>IF($A3776="",0,IF(AE3776="직접",IF(AF3776="비귀속",$P3776,0),$P3776*(1-AG3776)*IFERROR(INDEX(계정대체기준!$F$20:$F$49,MATCH($N3776,계정대체기준!$A$20:$A$49,0)),1)))</f>
        <v/>
      </c>
      <c r="Z3776" s="94">
        <f>IF($A3776="",0,IF(AE3776="직접",IF(AF3776="신계약비",$P3776,0),$P3776*(1-AG3776)*IFERROR(INDEX(계정대체기준!$C$20:$C$49,MATCH($N3776,계정대체기준!$A$20:$A$49,0)),0)))</f>
        <v/>
      </c>
      <c r="AA3776" s="94">
        <f>IF($A3776="",0,IF(AE3776="직접",IF(OR(AF3776="유지비",AF3776="손해조사비"),$P3776,0),$P3776*(1-AG3776)*IFERROR(INDEX(계정대체기준!$D$20:$D$49,MATCH($N3776,계정대체기준!$A$20:$A$49,0)),0)))</f>
        <v/>
      </c>
      <c r="AB3776" s="94">
        <f>IF($A3776="",0,IF(AE3776="직접",IF(AF3776="수금비",$P3776,0),$P3776*(1-AG3776)*IFERROR(INDEX(계정대체기준!$E$20:$E$49,MATCH($N3776,계정대체기준!$A$20:$A$49,0)),0)))</f>
        <v/>
      </c>
      <c r="AC3776" s="9">
        <f>IF(AND($A3776&lt;&gt;"",M3776=설정!$C$20,Z3776&gt;0),Z3776+ROW()/1000000000,"")</f>
        <v/>
      </c>
      <c r="AD3776" s="94">
        <f>IF($A3776="",0,$P3776*AG3776)</f>
        <v/>
      </c>
      <c r="AE3776" s="64">
        <f>IF($A3776="","",IFERROR(INDEX(계정매핑!$E$5:$E$504,MATCH($F3776&amp;"",계정매핑!$A$5:$A$504,0))&amp;"","공통비"))</f>
        <v/>
      </c>
      <c r="AF3776" s="64">
        <f>IF($A3776="","",IF(AE3776="직접",IFERROR(INDEX(계정매핑!$F$5:$F$504,MATCH($F3776&amp;"",계정매핑!$A$5:$A$504,0))&amp;"","비귀속"),""))</f>
        <v/>
      </c>
      <c r="AG3776" s="96">
        <f>IF($A3776="",0,IF(AND(AE3776&lt;&gt;"직접",IFERROR(INDEX(계정매핑!$G$5:$G$504,MATCH($F3776&amp;"",계정매핑!$A$5:$A$504,0))&amp;"","")="유지비",COUNTIF(계정대체기준!$A$6:$A$15,$N3776)&gt;0),IFERROR(INDEX(계정대체기준!$E$6:$E$15,MATCH(VALUE($A3776&amp;""),계정대체기준!$D$6:$D$15,0)),0),0))</f>
        <v/>
      </c>
      <c r="AH3776" s="64">
        <f>IF($A3776="","",IF(AD3776=0,"",IF(OR(COUNTIF(계정대체기준!$A$77:$A$86,$N3776)&gt;0,ISNUMBER(MATCH($X3776,계정대체기준!$D$77:$D$86,0)),ISNUMBER(MATCH($F3776,계정대체기준!$D$77:$D$86,0))),"Y","N")))</f>
        <v/>
      </c>
    </row>
    <row r="3777">
      <c r="A3777" s="92" t="n">
        <v>2026</v>
      </c>
      <c r="B3777" s="92" t="n">
        <v>5</v>
      </c>
      <c r="C3777" s="92" t="inlineStr">
        <is>
          <t>5100001055</t>
        </is>
      </c>
      <c r="D3777" s="95" t="n">
        <v>46158</v>
      </c>
      <c r="E3777" s="92" t="inlineStr">
        <is>
          <t>KR</t>
        </is>
      </c>
      <c r="F3777" s="92" t="n">
        <v>63601000</v>
      </c>
      <c r="G3777" s="92" t="n">
        <v>1801</v>
      </c>
      <c r="H3777" s="93" t="n">
        <v>13151000</v>
      </c>
      <c r="I3777" s="92" t="inlineStr">
        <is>
          <t>5월 손해사정 수수료 - DD손해사정</t>
        </is>
      </c>
      <c r="J3777" s="92" t="inlineStr">
        <is>
          <t>V10032</t>
        </is>
      </c>
      <c r="K3777" s="92" t="inlineStr">
        <is>
          <t>DD손해사정</t>
        </is>
      </c>
      <c r="M3777" s="9">
        <f>IF($A3777="","",VALUE($A3777&amp;"")*12+VALUE($B3777&amp;""))</f>
        <v/>
      </c>
      <c r="N3777" s="64">
        <f>IF($A3777="","",IFERROR(INDEX(부서매핑!$C$5:$C$504,MATCH($G3777&amp;"",부서매핑!$A$5:$A$504,0)),"미매핑"))</f>
        <v/>
      </c>
      <c r="O3777" s="9">
        <f>IF($A3777="","",N3777&amp;"|"&amp;$F3777)</f>
        <v/>
      </c>
      <c r="P3777" s="94">
        <f>IF($A3777="",0,$H3777*설정!$C$23)</f>
        <v/>
      </c>
      <c r="Q3777" s="64">
        <f>IF($A3777="","",IF(O3777&lt;&gt;원인분석!$C$9,"",IF(AND(M3777&gt;=원인분석!$C$10,M3777&lt;=원인분석!$C$11),"당기",IF(AND(M3777&gt;=원인분석!$C$12,M3777&lt;=원인분석!$C$13),"비교",""))))</f>
        <v/>
      </c>
      <c r="R3777" s="9">
        <f>IF(Q3777="","",$K3777&amp;"")</f>
        <v/>
      </c>
      <c r="S3777" s="9">
        <f>IF(Q3777="","",IF(MATCH(R3777,$R$5:$R$100000,0)=ROW()-4,ROW(),""))</f>
        <v/>
      </c>
      <c r="T3777" s="9">
        <f>IF(Q3777="당기",ABS(P3777)+ROW()/1000000000,"")</f>
        <v/>
      </c>
      <c r="U3777" s="9">
        <f>IF(Q3777="비교",ABS(P3777)+ROW()/1000000000,"")</f>
        <v/>
      </c>
      <c r="V3777" s="64">
        <f>IF($A3777="","",IF(COUNTIF(변동분석!$E$7:$E$506,O3777)&gt;0,"Y","N"))</f>
        <v/>
      </c>
      <c r="W3777" s="64">
        <f>IF($A3777="","",IFERROR(INDEX(계정매핑!$D$5:$D$504,MATCH($F3777&amp;"",계정매핑!$A$5:$A$504,0)),"미매핑"))</f>
        <v/>
      </c>
      <c r="X3777" s="9">
        <f>IF($A3777="","",$F3777&amp;"")</f>
        <v/>
      </c>
      <c r="Y3777" s="94">
        <f>IF($A3777="",0,IF(AE3777="직접",IF(AF3777="비귀속",$P3777,0),$P3777*(1-AG3777)*IFERROR(INDEX(계정대체기준!$F$20:$F$49,MATCH($N3777,계정대체기준!$A$20:$A$49,0)),1)))</f>
        <v/>
      </c>
      <c r="Z3777" s="94">
        <f>IF($A3777="",0,IF(AE3777="직접",IF(AF3777="신계약비",$P3777,0),$P3777*(1-AG3777)*IFERROR(INDEX(계정대체기준!$C$20:$C$49,MATCH($N3777,계정대체기준!$A$20:$A$49,0)),0)))</f>
        <v/>
      </c>
      <c r="AA3777" s="94">
        <f>IF($A3777="",0,IF(AE3777="직접",IF(OR(AF3777="유지비",AF3777="손해조사비"),$P3777,0),$P3777*(1-AG3777)*IFERROR(INDEX(계정대체기준!$D$20:$D$49,MATCH($N3777,계정대체기준!$A$20:$A$49,0)),0)))</f>
        <v/>
      </c>
      <c r="AB3777" s="94">
        <f>IF($A3777="",0,IF(AE3777="직접",IF(AF3777="수금비",$P3777,0),$P3777*(1-AG3777)*IFERROR(INDEX(계정대체기준!$E$20:$E$49,MATCH($N3777,계정대체기준!$A$20:$A$49,0)),0)))</f>
        <v/>
      </c>
      <c r="AC3777" s="9">
        <f>IF(AND($A3777&lt;&gt;"",M3777=설정!$C$20,Z3777&gt;0),Z3777+ROW()/1000000000,"")</f>
        <v/>
      </c>
      <c r="AD3777" s="94">
        <f>IF($A3777="",0,$P3777*AG3777)</f>
        <v/>
      </c>
      <c r="AE3777" s="64">
        <f>IF($A3777="","",IFERROR(INDEX(계정매핑!$E$5:$E$504,MATCH($F3777&amp;"",계정매핑!$A$5:$A$504,0))&amp;"","공통비"))</f>
        <v/>
      </c>
      <c r="AF3777" s="64">
        <f>IF($A3777="","",IF(AE3777="직접",IFERROR(INDEX(계정매핑!$F$5:$F$504,MATCH($F3777&amp;"",계정매핑!$A$5:$A$504,0))&amp;"","비귀속"),""))</f>
        <v/>
      </c>
      <c r="AG3777" s="96">
        <f>IF($A3777="",0,IF(AND(AE3777&lt;&gt;"직접",IFERROR(INDEX(계정매핑!$G$5:$G$504,MATCH($F3777&amp;"",계정매핑!$A$5:$A$504,0))&amp;"","")="유지비",COUNTIF(계정대체기준!$A$6:$A$15,$N3777)&gt;0),IFERROR(INDEX(계정대체기준!$E$6:$E$15,MATCH(VALUE($A3777&amp;""),계정대체기준!$D$6:$D$15,0)),0),0))</f>
        <v/>
      </c>
      <c r="AH3777" s="64">
        <f>IF($A3777="","",IF(AD3777=0,"",IF(OR(COUNTIF(계정대체기준!$A$77:$A$86,$N3777)&gt;0,ISNUMBER(MATCH($X3777,계정대체기준!$D$77:$D$86,0)),ISNUMBER(MATCH($F3777,계정대체기준!$D$77:$D$86,0))),"Y","N")))</f>
        <v/>
      </c>
    </row>
    <row r="3778">
      <c r="A3778" s="92" t="n">
        <v>2026</v>
      </c>
      <c r="B3778" s="92" t="n">
        <v>5</v>
      </c>
      <c r="C3778" s="92" t="inlineStr">
        <is>
          <t>5100001056</t>
        </is>
      </c>
      <c r="D3778" s="95" t="n">
        <v>46159</v>
      </c>
      <c r="E3778" s="92" t="inlineStr">
        <is>
          <t>KR</t>
        </is>
      </c>
      <c r="F3778" s="92" t="n">
        <v>62101000</v>
      </c>
      <c r="G3778" s="92" t="n">
        <v>1602</v>
      </c>
      <c r="H3778" s="93" t="n">
        <v>900000</v>
      </c>
      <c r="I3778" s="92" t="inlineStr">
        <is>
          <t>5월 국내출장 - (법인카드)</t>
        </is>
      </c>
      <c r="J3778" s="92" t="inlineStr">
        <is>
          <t>V10010</t>
        </is>
      </c>
      <c r="K3778" s="92" t="inlineStr">
        <is>
          <t>(법인카드)</t>
        </is>
      </c>
      <c r="M3778" s="9">
        <f>IF($A3778="","",VALUE($A3778&amp;"")*12+VALUE($B3778&amp;""))</f>
        <v/>
      </c>
      <c r="N3778" s="64">
        <f>IF($A3778="","",IFERROR(INDEX(부서매핑!$C$5:$C$504,MATCH($G3778&amp;"",부서매핑!$A$5:$A$504,0)),"미매핑"))</f>
        <v/>
      </c>
      <c r="O3778" s="9">
        <f>IF($A3778="","",N3778&amp;"|"&amp;$F3778)</f>
        <v/>
      </c>
      <c r="P3778" s="94">
        <f>IF($A3778="",0,$H3778*설정!$C$23)</f>
        <v/>
      </c>
      <c r="Q3778" s="64">
        <f>IF($A3778="","",IF(O3778&lt;&gt;원인분석!$C$9,"",IF(AND(M3778&gt;=원인분석!$C$10,M3778&lt;=원인분석!$C$11),"당기",IF(AND(M3778&gt;=원인분석!$C$12,M3778&lt;=원인분석!$C$13),"비교",""))))</f>
        <v/>
      </c>
      <c r="R3778" s="9">
        <f>IF(Q3778="","",$K3778&amp;"")</f>
        <v/>
      </c>
      <c r="S3778" s="9">
        <f>IF(Q3778="","",IF(MATCH(R3778,$R$5:$R$100000,0)=ROW()-4,ROW(),""))</f>
        <v/>
      </c>
      <c r="T3778" s="9">
        <f>IF(Q3778="당기",ABS(P3778)+ROW()/1000000000,"")</f>
        <v/>
      </c>
      <c r="U3778" s="9">
        <f>IF(Q3778="비교",ABS(P3778)+ROW()/1000000000,"")</f>
        <v/>
      </c>
      <c r="V3778" s="64">
        <f>IF($A3778="","",IF(COUNTIF(변동분석!$E$7:$E$506,O3778)&gt;0,"Y","N"))</f>
        <v/>
      </c>
      <c r="W3778" s="64">
        <f>IF($A3778="","",IFERROR(INDEX(계정매핑!$D$5:$D$504,MATCH($F3778&amp;"",계정매핑!$A$5:$A$504,0)),"미매핑"))</f>
        <v/>
      </c>
      <c r="X3778" s="9">
        <f>IF($A3778="","",$F3778&amp;"")</f>
        <v/>
      </c>
      <c r="Y3778" s="94">
        <f>IF($A3778="",0,IF(AE3778="직접",IF(AF3778="비귀속",$P3778,0),$P3778*(1-AG3778)*IFERROR(INDEX(계정대체기준!$F$20:$F$49,MATCH($N3778,계정대체기준!$A$20:$A$49,0)),1)))</f>
        <v/>
      </c>
      <c r="Z3778" s="94">
        <f>IF($A3778="",0,IF(AE3778="직접",IF(AF3778="신계약비",$P3778,0),$P3778*(1-AG3778)*IFERROR(INDEX(계정대체기준!$C$20:$C$49,MATCH($N3778,계정대체기준!$A$20:$A$49,0)),0)))</f>
        <v/>
      </c>
      <c r="AA3778" s="94">
        <f>IF($A3778="",0,IF(AE3778="직접",IF(OR(AF3778="유지비",AF3778="손해조사비"),$P3778,0),$P3778*(1-AG3778)*IFERROR(INDEX(계정대체기준!$D$20:$D$49,MATCH($N3778,계정대체기준!$A$20:$A$49,0)),0)))</f>
        <v/>
      </c>
      <c r="AB3778" s="94">
        <f>IF($A3778="",0,IF(AE3778="직접",IF(AF3778="수금비",$P3778,0),$P3778*(1-AG3778)*IFERROR(INDEX(계정대체기준!$E$20:$E$49,MATCH($N3778,계정대체기준!$A$20:$A$49,0)),0)))</f>
        <v/>
      </c>
      <c r="AC3778" s="9">
        <f>IF(AND($A3778&lt;&gt;"",M3778=설정!$C$20,Z3778&gt;0),Z3778+ROW()/1000000000,"")</f>
        <v/>
      </c>
      <c r="AD3778" s="94">
        <f>IF($A3778="",0,$P3778*AG3778)</f>
        <v/>
      </c>
      <c r="AE3778" s="64">
        <f>IF($A3778="","",IFERROR(INDEX(계정매핑!$E$5:$E$504,MATCH($F3778&amp;"",계정매핑!$A$5:$A$504,0))&amp;"","공통비"))</f>
        <v/>
      </c>
      <c r="AF3778" s="64">
        <f>IF($A3778="","",IF(AE3778="직접",IFERROR(INDEX(계정매핑!$F$5:$F$504,MATCH($F3778&amp;"",계정매핑!$A$5:$A$504,0))&amp;"","비귀속"),""))</f>
        <v/>
      </c>
      <c r="AG3778" s="96">
        <f>IF($A3778="",0,IF(AND(AE3778&lt;&gt;"직접",IFERROR(INDEX(계정매핑!$G$5:$G$504,MATCH($F3778&amp;"",계정매핑!$A$5:$A$504,0))&amp;"","")="유지비",COUNTIF(계정대체기준!$A$6:$A$15,$N3778)&gt;0),IFERROR(INDEX(계정대체기준!$E$6:$E$15,MATCH(VALUE($A3778&amp;""),계정대체기준!$D$6:$D$15,0)),0),0))</f>
        <v/>
      </c>
      <c r="AH3778" s="64">
        <f>IF($A3778="","",IF(AD3778=0,"",IF(OR(COUNTIF(계정대체기준!$A$77:$A$86,$N3778)&gt;0,ISNUMBER(MATCH($X3778,계정대체기준!$D$77:$D$86,0)),ISNUMBER(MATCH($F3778,계정대체기준!$D$77:$D$86,0))),"Y","N")))</f>
        <v/>
      </c>
    </row>
    <row r="3779">
      <c r="A3779" s="92" t="n">
        <v>2026</v>
      </c>
      <c r="B3779" s="92" t="n">
        <v>5</v>
      </c>
      <c r="C3779" s="92" t="inlineStr">
        <is>
          <t>5100001057</t>
        </is>
      </c>
      <c r="D3779" s="95" t="n">
        <v>46159</v>
      </c>
      <c r="E3779" s="92" t="inlineStr">
        <is>
          <t>KR</t>
        </is>
      </c>
      <c r="F3779" s="92" t="n">
        <v>62101000</v>
      </c>
      <c r="G3779" s="92" t="n">
        <v>1951</v>
      </c>
      <c r="H3779" s="93" t="n">
        <v>336000</v>
      </c>
      <c r="I3779" s="92" t="inlineStr">
        <is>
          <t>5월 국내출장 - (법인카드)</t>
        </is>
      </c>
      <c r="J3779" s="92" t="inlineStr">
        <is>
          <t>V10010</t>
        </is>
      </c>
      <c r="K3779" s="92" t="inlineStr">
        <is>
          <t>(법인카드)</t>
        </is>
      </c>
      <c r="M3779" s="9">
        <f>IF($A3779="","",VALUE($A3779&amp;"")*12+VALUE($B3779&amp;""))</f>
        <v/>
      </c>
      <c r="N3779" s="64">
        <f>IF($A3779="","",IFERROR(INDEX(부서매핑!$C$5:$C$504,MATCH($G3779&amp;"",부서매핑!$A$5:$A$504,0)),"미매핑"))</f>
        <v/>
      </c>
      <c r="O3779" s="9">
        <f>IF($A3779="","",N3779&amp;"|"&amp;$F3779)</f>
        <v/>
      </c>
      <c r="P3779" s="94">
        <f>IF($A3779="",0,$H3779*설정!$C$23)</f>
        <v/>
      </c>
      <c r="Q3779" s="64">
        <f>IF($A3779="","",IF(O3779&lt;&gt;원인분석!$C$9,"",IF(AND(M3779&gt;=원인분석!$C$10,M3779&lt;=원인분석!$C$11),"당기",IF(AND(M3779&gt;=원인분석!$C$12,M3779&lt;=원인분석!$C$13),"비교",""))))</f>
        <v/>
      </c>
      <c r="R3779" s="9">
        <f>IF(Q3779="","",$K3779&amp;"")</f>
        <v/>
      </c>
      <c r="S3779" s="9">
        <f>IF(Q3779="","",IF(MATCH(R3779,$R$5:$R$100000,0)=ROW()-4,ROW(),""))</f>
        <v/>
      </c>
      <c r="T3779" s="9">
        <f>IF(Q3779="당기",ABS(P3779)+ROW()/1000000000,"")</f>
        <v/>
      </c>
      <c r="U3779" s="9">
        <f>IF(Q3779="비교",ABS(P3779)+ROW()/1000000000,"")</f>
        <v/>
      </c>
      <c r="V3779" s="64">
        <f>IF($A3779="","",IF(COUNTIF(변동분석!$E$7:$E$506,O3779)&gt;0,"Y","N"))</f>
        <v/>
      </c>
      <c r="W3779" s="64">
        <f>IF($A3779="","",IFERROR(INDEX(계정매핑!$D$5:$D$504,MATCH($F3779&amp;"",계정매핑!$A$5:$A$504,0)),"미매핑"))</f>
        <v/>
      </c>
      <c r="X3779" s="9">
        <f>IF($A3779="","",$F3779&amp;"")</f>
        <v/>
      </c>
      <c r="Y3779" s="94">
        <f>IF($A3779="",0,IF(AE3779="직접",IF(AF3779="비귀속",$P3779,0),$P3779*(1-AG3779)*IFERROR(INDEX(계정대체기준!$F$20:$F$49,MATCH($N3779,계정대체기준!$A$20:$A$49,0)),1)))</f>
        <v/>
      </c>
      <c r="Z3779" s="94">
        <f>IF($A3779="",0,IF(AE3779="직접",IF(AF3779="신계약비",$P3779,0),$P3779*(1-AG3779)*IFERROR(INDEX(계정대체기준!$C$20:$C$49,MATCH($N3779,계정대체기준!$A$20:$A$49,0)),0)))</f>
        <v/>
      </c>
      <c r="AA3779" s="94">
        <f>IF($A3779="",0,IF(AE3779="직접",IF(OR(AF3779="유지비",AF3779="손해조사비"),$P3779,0),$P3779*(1-AG3779)*IFERROR(INDEX(계정대체기준!$D$20:$D$49,MATCH($N3779,계정대체기준!$A$20:$A$49,0)),0)))</f>
        <v/>
      </c>
      <c r="AB3779" s="94">
        <f>IF($A3779="",0,IF(AE3779="직접",IF(AF3779="수금비",$P3779,0),$P3779*(1-AG3779)*IFERROR(INDEX(계정대체기준!$E$20:$E$49,MATCH($N3779,계정대체기준!$A$20:$A$49,0)),0)))</f>
        <v/>
      </c>
      <c r="AC3779" s="9">
        <f>IF(AND($A3779&lt;&gt;"",M3779=설정!$C$20,Z3779&gt;0),Z3779+ROW()/1000000000,"")</f>
        <v/>
      </c>
      <c r="AD3779" s="94">
        <f>IF($A3779="",0,$P3779*AG3779)</f>
        <v/>
      </c>
      <c r="AE3779" s="64">
        <f>IF($A3779="","",IFERROR(INDEX(계정매핑!$E$5:$E$504,MATCH($F3779&amp;"",계정매핑!$A$5:$A$504,0))&amp;"","공통비"))</f>
        <v/>
      </c>
      <c r="AF3779" s="64">
        <f>IF($A3779="","",IF(AE3779="직접",IFERROR(INDEX(계정매핑!$F$5:$F$504,MATCH($F3779&amp;"",계정매핑!$A$5:$A$504,0))&amp;"","비귀속"),""))</f>
        <v/>
      </c>
      <c r="AG3779" s="96">
        <f>IF($A3779="",0,IF(AND(AE3779&lt;&gt;"직접",IFERROR(INDEX(계정매핑!$G$5:$G$504,MATCH($F3779&amp;"",계정매핑!$A$5:$A$504,0))&amp;"","")="유지비",COUNTIF(계정대체기준!$A$6:$A$15,$N3779)&gt;0),IFERROR(INDEX(계정대체기준!$E$6:$E$15,MATCH(VALUE($A3779&amp;""),계정대체기준!$D$6:$D$15,0)),0),0))</f>
        <v/>
      </c>
      <c r="AH3779" s="64">
        <f>IF($A3779="","",IF(AD3779=0,"",IF(OR(COUNTIF(계정대체기준!$A$77:$A$86,$N3779)&gt;0,ISNUMBER(MATCH($X3779,계정대체기준!$D$77:$D$86,0)),ISNUMBER(MATCH($F3779,계정대체기준!$D$77:$D$86,0))),"Y","N")))</f>
        <v/>
      </c>
    </row>
    <row r="3780">
      <c r="A3780" s="92" t="n">
        <v>2026</v>
      </c>
      <c r="B3780" s="92" t="n">
        <v>5</v>
      </c>
      <c r="C3780" s="92" t="inlineStr">
        <is>
          <t>5100001058</t>
        </is>
      </c>
      <c r="D3780" s="95" t="n">
        <v>46159</v>
      </c>
      <c r="E3780" s="92" t="inlineStr">
        <is>
          <t>KR</t>
        </is>
      </c>
      <c r="F3780" s="92" t="n">
        <v>62102000</v>
      </c>
      <c r="G3780" s="92" t="n">
        <v>1951</v>
      </c>
      <c r="H3780" s="93" t="n">
        <v>94000</v>
      </c>
      <c r="I3780" s="92" t="inlineStr">
        <is>
          <t>5월 해외출장 - N호텔</t>
        </is>
      </c>
      <c r="J3780" s="92" t="inlineStr">
        <is>
          <t>V10009</t>
        </is>
      </c>
      <c r="K3780" s="92" t="inlineStr">
        <is>
          <t>N호텔</t>
        </is>
      </c>
      <c r="M3780" s="9">
        <f>IF($A3780="","",VALUE($A3780&amp;"")*12+VALUE($B3780&amp;""))</f>
        <v/>
      </c>
      <c r="N3780" s="64">
        <f>IF($A3780="","",IFERROR(INDEX(부서매핑!$C$5:$C$504,MATCH($G3780&amp;"",부서매핑!$A$5:$A$504,0)),"미매핑"))</f>
        <v/>
      </c>
      <c r="O3780" s="9">
        <f>IF($A3780="","",N3780&amp;"|"&amp;$F3780)</f>
        <v/>
      </c>
      <c r="P3780" s="94">
        <f>IF($A3780="",0,$H3780*설정!$C$23)</f>
        <v/>
      </c>
      <c r="Q3780" s="64">
        <f>IF($A3780="","",IF(O3780&lt;&gt;원인분석!$C$9,"",IF(AND(M3780&gt;=원인분석!$C$10,M3780&lt;=원인분석!$C$11),"당기",IF(AND(M3780&gt;=원인분석!$C$12,M3780&lt;=원인분석!$C$13),"비교",""))))</f>
        <v/>
      </c>
      <c r="R3780" s="9">
        <f>IF(Q3780="","",$K3780&amp;"")</f>
        <v/>
      </c>
      <c r="S3780" s="9">
        <f>IF(Q3780="","",IF(MATCH(R3780,$R$5:$R$100000,0)=ROW()-4,ROW(),""))</f>
        <v/>
      </c>
      <c r="T3780" s="9">
        <f>IF(Q3780="당기",ABS(P3780)+ROW()/1000000000,"")</f>
        <v/>
      </c>
      <c r="U3780" s="9">
        <f>IF(Q3780="비교",ABS(P3780)+ROW()/1000000000,"")</f>
        <v/>
      </c>
      <c r="V3780" s="64">
        <f>IF($A3780="","",IF(COUNTIF(변동분석!$E$7:$E$506,O3780)&gt;0,"Y","N"))</f>
        <v/>
      </c>
      <c r="W3780" s="64">
        <f>IF($A3780="","",IFERROR(INDEX(계정매핑!$D$5:$D$504,MATCH($F3780&amp;"",계정매핑!$A$5:$A$504,0)),"미매핑"))</f>
        <v/>
      </c>
      <c r="X3780" s="9">
        <f>IF($A3780="","",$F3780&amp;"")</f>
        <v/>
      </c>
      <c r="Y3780" s="94">
        <f>IF($A3780="",0,IF(AE3780="직접",IF(AF3780="비귀속",$P3780,0),$P3780*(1-AG3780)*IFERROR(INDEX(계정대체기준!$F$20:$F$49,MATCH($N3780,계정대체기준!$A$20:$A$49,0)),1)))</f>
        <v/>
      </c>
      <c r="Z3780" s="94">
        <f>IF($A3780="",0,IF(AE3780="직접",IF(AF3780="신계약비",$P3780,0),$P3780*(1-AG3780)*IFERROR(INDEX(계정대체기준!$C$20:$C$49,MATCH($N3780,계정대체기준!$A$20:$A$49,0)),0)))</f>
        <v/>
      </c>
      <c r="AA3780" s="94">
        <f>IF($A3780="",0,IF(AE3780="직접",IF(OR(AF3780="유지비",AF3780="손해조사비"),$P3780,0),$P3780*(1-AG3780)*IFERROR(INDEX(계정대체기준!$D$20:$D$49,MATCH($N3780,계정대체기준!$A$20:$A$49,0)),0)))</f>
        <v/>
      </c>
      <c r="AB3780" s="94">
        <f>IF($A3780="",0,IF(AE3780="직접",IF(AF3780="수금비",$P3780,0),$P3780*(1-AG3780)*IFERROR(INDEX(계정대체기준!$E$20:$E$49,MATCH($N3780,계정대체기준!$A$20:$A$49,0)),0)))</f>
        <v/>
      </c>
      <c r="AC3780" s="9">
        <f>IF(AND($A3780&lt;&gt;"",M3780=설정!$C$20,Z3780&gt;0),Z3780+ROW()/1000000000,"")</f>
        <v/>
      </c>
      <c r="AD3780" s="94">
        <f>IF($A3780="",0,$P3780*AG3780)</f>
        <v/>
      </c>
      <c r="AE3780" s="64">
        <f>IF($A3780="","",IFERROR(INDEX(계정매핑!$E$5:$E$504,MATCH($F3780&amp;"",계정매핑!$A$5:$A$504,0))&amp;"","공통비"))</f>
        <v/>
      </c>
      <c r="AF3780" s="64">
        <f>IF($A3780="","",IF(AE3780="직접",IFERROR(INDEX(계정매핑!$F$5:$F$504,MATCH($F3780&amp;"",계정매핑!$A$5:$A$504,0))&amp;"","비귀속"),""))</f>
        <v/>
      </c>
      <c r="AG3780" s="96">
        <f>IF($A3780="",0,IF(AND(AE3780&lt;&gt;"직접",IFERROR(INDEX(계정매핑!$G$5:$G$504,MATCH($F3780&amp;"",계정매핑!$A$5:$A$504,0))&amp;"","")="유지비",COUNTIF(계정대체기준!$A$6:$A$15,$N3780)&gt;0),IFERROR(INDEX(계정대체기준!$E$6:$E$15,MATCH(VALUE($A3780&amp;""),계정대체기준!$D$6:$D$15,0)),0),0))</f>
        <v/>
      </c>
      <c r="AH3780" s="64">
        <f>IF($A3780="","",IF(AD3780=0,"",IF(OR(COUNTIF(계정대체기준!$A$77:$A$86,$N3780)&gt;0,ISNUMBER(MATCH($X3780,계정대체기준!$D$77:$D$86,0)),ISNUMBER(MATCH($F3780,계정대체기준!$D$77:$D$86,0))),"Y","N")))</f>
        <v/>
      </c>
    </row>
    <row r="3781">
      <c r="A3781" s="92" t="n">
        <v>2026</v>
      </c>
      <c r="B3781" s="92" t="n">
        <v>5</v>
      </c>
      <c r="C3781" s="92" t="inlineStr">
        <is>
          <t>5100001059</t>
        </is>
      </c>
      <c r="D3781" s="95" t="n">
        <v>46159</v>
      </c>
      <c r="E3781" s="92" t="inlineStr">
        <is>
          <t>KR</t>
        </is>
      </c>
      <c r="F3781" s="92" t="n">
        <v>62201000</v>
      </c>
      <c r="G3781" s="92" t="n">
        <v>1701</v>
      </c>
      <c r="H3781" s="93" t="n">
        <v>3914000</v>
      </c>
      <c r="I3781" s="92" t="inlineStr">
        <is>
          <t>5월 통신요금 - O텔레콤</t>
        </is>
      </c>
      <c r="J3781" s="92" t="inlineStr">
        <is>
          <t>V10002</t>
        </is>
      </c>
      <c r="K3781" s="92" t="inlineStr">
        <is>
          <t>O텔레콤</t>
        </is>
      </c>
      <c r="M3781" s="9">
        <f>IF($A3781="","",VALUE($A3781&amp;"")*12+VALUE($B3781&amp;""))</f>
        <v/>
      </c>
      <c r="N3781" s="64">
        <f>IF($A3781="","",IFERROR(INDEX(부서매핑!$C$5:$C$504,MATCH($G3781&amp;"",부서매핑!$A$5:$A$504,0)),"미매핑"))</f>
        <v/>
      </c>
      <c r="O3781" s="9">
        <f>IF($A3781="","",N3781&amp;"|"&amp;$F3781)</f>
        <v/>
      </c>
      <c r="P3781" s="94">
        <f>IF($A3781="",0,$H3781*설정!$C$23)</f>
        <v/>
      </c>
      <c r="Q3781" s="64">
        <f>IF($A3781="","",IF(O3781&lt;&gt;원인분석!$C$9,"",IF(AND(M3781&gt;=원인분석!$C$10,M3781&lt;=원인분석!$C$11),"당기",IF(AND(M3781&gt;=원인분석!$C$12,M3781&lt;=원인분석!$C$13),"비교",""))))</f>
        <v/>
      </c>
      <c r="R3781" s="9">
        <f>IF(Q3781="","",$K3781&amp;"")</f>
        <v/>
      </c>
      <c r="S3781" s="9">
        <f>IF(Q3781="","",IF(MATCH(R3781,$R$5:$R$100000,0)=ROW()-4,ROW(),""))</f>
        <v/>
      </c>
      <c r="T3781" s="9">
        <f>IF(Q3781="당기",ABS(P3781)+ROW()/1000000000,"")</f>
        <v/>
      </c>
      <c r="U3781" s="9">
        <f>IF(Q3781="비교",ABS(P3781)+ROW()/1000000000,"")</f>
        <v/>
      </c>
      <c r="V3781" s="64">
        <f>IF($A3781="","",IF(COUNTIF(변동분석!$E$7:$E$506,O3781)&gt;0,"Y","N"))</f>
        <v/>
      </c>
      <c r="W3781" s="64">
        <f>IF($A3781="","",IFERROR(INDEX(계정매핑!$D$5:$D$504,MATCH($F3781&amp;"",계정매핑!$A$5:$A$504,0)),"미매핑"))</f>
        <v/>
      </c>
      <c r="X3781" s="9">
        <f>IF($A3781="","",$F3781&amp;"")</f>
        <v/>
      </c>
      <c r="Y3781" s="94">
        <f>IF($A3781="",0,IF(AE3781="직접",IF(AF3781="비귀속",$P3781,0),$P3781*(1-AG3781)*IFERROR(INDEX(계정대체기준!$F$20:$F$49,MATCH($N3781,계정대체기준!$A$20:$A$49,0)),1)))</f>
        <v/>
      </c>
      <c r="Z3781" s="94">
        <f>IF($A3781="",0,IF(AE3781="직접",IF(AF3781="신계약비",$P3781,0),$P3781*(1-AG3781)*IFERROR(INDEX(계정대체기준!$C$20:$C$49,MATCH($N3781,계정대체기준!$A$20:$A$49,0)),0)))</f>
        <v/>
      </c>
      <c r="AA3781" s="94">
        <f>IF($A3781="",0,IF(AE3781="직접",IF(OR(AF3781="유지비",AF3781="손해조사비"),$P3781,0),$P3781*(1-AG3781)*IFERROR(INDEX(계정대체기준!$D$20:$D$49,MATCH($N3781,계정대체기준!$A$20:$A$49,0)),0)))</f>
        <v/>
      </c>
      <c r="AB3781" s="94">
        <f>IF($A3781="",0,IF(AE3781="직접",IF(AF3781="수금비",$P3781,0),$P3781*(1-AG3781)*IFERROR(INDEX(계정대체기준!$E$20:$E$49,MATCH($N3781,계정대체기준!$A$20:$A$49,0)),0)))</f>
        <v/>
      </c>
      <c r="AC3781" s="9">
        <f>IF(AND($A3781&lt;&gt;"",M3781=설정!$C$20,Z3781&gt;0),Z3781+ROW()/1000000000,"")</f>
        <v/>
      </c>
      <c r="AD3781" s="94">
        <f>IF($A3781="",0,$P3781*AG3781)</f>
        <v/>
      </c>
      <c r="AE3781" s="64">
        <f>IF($A3781="","",IFERROR(INDEX(계정매핑!$E$5:$E$504,MATCH($F3781&amp;"",계정매핑!$A$5:$A$504,0))&amp;"","공통비"))</f>
        <v/>
      </c>
      <c r="AF3781" s="64">
        <f>IF($A3781="","",IF(AE3781="직접",IFERROR(INDEX(계정매핑!$F$5:$F$504,MATCH($F3781&amp;"",계정매핑!$A$5:$A$504,0))&amp;"","비귀속"),""))</f>
        <v/>
      </c>
      <c r="AG3781" s="96">
        <f>IF($A3781="",0,IF(AND(AE3781&lt;&gt;"직접",IFERROR(INDEX(계정매핑!$G$5:$G$504,MATCH($F3781&amp;"",계정매핑!$A$5:$A$504,0))&amp;"","")="유지비",COUNTIF(계정대체기준!$A$6:$A$15,$N3781)&gt;0),IFERROR(INDEX(계정대체기준!$E$6:$E$15,MATCH(VALUE($A3781&amp;""),계정대체기준!$D$6:$D$15,0)),0),0))</f>
        <v/>
      </c>
      <c r="AH3781" s="64">
        <f>IF($A3781="","",IF(AD3781=0,"",IF(OR(COUNTIF(계정대체기준!$A$77:$A$86,$N3781)&gt;0,ISNUMBER(MATCH($X3781,계정대체기준!$D$77:$D$86,0)),ISNUMBER(MATCH($F3781,계정대체기준!$D$77:$D$86,0))),"Y","N")))</f>
        <v/>
      </c>
    </row>
    <row r="3782">
      <c r="A3782" s="92" t="n">
        <v>2026</v>
      </c>
      <c r="B3782" s="92" t="n">
        <v>5</v>
      </c>
      <c r="C3782" s="92" t="inlineStr">
        <is>
          <t>5100001060</t>
        </is>
      </c>
      <c r="D3782" s="95" t="n">
        <v>46159</v>
      </c>
      <c r="E3782" s="92" t="inlineStr">
        <is>
          <t>KR</t>
        </is>
      </c>
      <c r="F3782" s="92" t="n">
        <v>62301000</v>
      </c>
      <c r="G3782" s="92" t="n">
        <v>1101</v>
      </c>
      <c r="H3782" s="93" t="n">
        <v>205000</v>
      </c>
      <c r="I3782" s="92" t="inlineStr">
        <is>
          <t>5월 소모품 구입 - R문구</t>
        </is>
      </c>
      <c r="J3782" s="92" t="inlineStr">
        <is>
          <t>V10022</t>
        </is>
      </c>
      <c r="K3782" s="92" t="inlineStr">
        <is>
          <t>R문구</t>
        </is>
      </c>
      <c r="M3782" s="9">
        <f>IF($A3782="","",VALUE($A3782&amp;"")*12+VALUE($B3782&amp;""))</f>
        <v/>
      </c>
      <c r="N3782" s="64">
        <f>IF($A3782="","",IFERROR(INDEX(부서매핑!$C$5:$C$504,MATCH($G3782&amp;"",부서매핑!$A$5:$A$504,0)),"미매핑"))</f>
        <v/>
      </c>
      <c r="O3782" s="9">
        <f>IF($A3782="","",N3782&amp;"|"&amp;$F3782)</f>
        <v/>
      </c>
      <c r="P3782" s="94">
        <f>IF($A3782="",0,$H3782*설정!$C$23)</f>
        <v/>
      </c>
      <c r="Q3782" s="64">
        <f>IF($A3782="","",IF(O3782&lt;&gt;원인분석!$C$9,"",IF(AND(M3782&gt;=원인분석!$C$10,M3782&lt;=원인분석!$C$11),"당기",IF(AND(M3782&gt;=원인분석!$C$12,M3782&lt;=원인분석!$C$13),"비교",""))))</f>
        <v/>
      </c>
      <c r="R3782" s="9">
        <f>IF(Q3782="","",$K3782&amp;"")</f>
        <v/>
      </c>
      <c r="S3782" s="9">
        <f>IF(Q3782="","",IF(MATCH(R3782,$R$5:$R$100000,0)=ROW()-4,ROW(),""))</f>
        <v/>
      </c>
      <c r="T3782" s="9">
        <f>IF(Q3782="당기",ABS(P3782)+ROW()/1000000000,"")</f>
        <v/>
      </c>
      <c r="U3782" s="9">
        <f>IF(Q3782="비교",ABS(P3782)+ROW()/1000000000,"")</f>
        <v/>
      </c>
      <c r="V3782" s="64">
        <f>IF($A3782="","",IF(COUNTIF(변동분석!$E$7:$E$506,O3782)&gt;0,"Y","N"))</f>
        <v/>
      </c>
      <c r="W3782" s="64">
        <f>IF($A3782="","",IFERROR(INDEX(계정매핑!$D$5:$D$504,MATCH($F3782&amp;"",계정매핑!$A$5:$A$504,0)),"미매핑"))</f>
        <v/>
      </c>
      <c r="X3782" s="9">
        <f>IF($A3782="","",$F3782&amp;"")</f>
        <v/>
      </c>
      <c r="Y3782" s="94">
        <f>IF($A3782="",0,IF(AE3782="직접",IF(AF3782="비귀속",$P3782,0),$P3782*(1-AG3782)*IFERROR(INDEX(계정대체기준!$F$20:$F$49,MATCH($N3782,계정대체기준!$A$20:$A$49,0)),1)))</f>
        <v/>
      </c>
      <c r="Z3782" s="94">
        <f>IF($A3782="",0,IF(AE3782="직접",IF(AF3782="신계약비",$P3782,0),$P3782*(1-AG3782)*IFERROR(INDEX(계정대체기준!$C$20:$C$49,MATCH($N3782,계정대체기준!$A$20:$A$49,0)),0)))</f>
        <v/>
      </c>
      <c r="AA3782" s="94">
        <f>IF($A3782="",0,IF(AE3782="직접",IF(OR(AF3782="유지비",AF3782="손해조사비"),$P3782,0),$P3782*(1-AG3782)*IFERROR(INDEX(계정대체기준!$D$20:$D$49,MATCH($N3782,계정대체기준!$A$20:$A$49,0)),0)))</f>
        <v/>
      </c>
      <c r="AB3782" s="94">
        <f>IF($A3782="",0,IF(AE3782="직접",IF(AF3782="수금비",$P3782,0),$P3782*(1-AG3782)*IFERROR(INDEX(계정대체기준!$E$20:$E$49,MATCH($N3782,계정대체기준!$A$20:$A$49,0)),0)))</f>
        <v/>
      </c>
      <c r="AC3782" s="9">
        <f>IF(AND($A3782&lt;&gt;"",M3782=설정!$C$20,Z3782&gt;0),Z3782+ROW()/1000000000,"")</f>
        <v/>
      </c>
      <c r="AD3782" s="94">
        <f>IF($A3782="",0,$P3782*AG3782)</f>
        <v/>
      </c>
      <c r="AE3782" s="64">
        <f>IF($A3782="","",IFERROR(INDEX(계정매핑!$E$5:$E$504,MATCH($F3782&amp;"",계정매핑!$A$5:$A$504,0))&amp;"","공통비"))</f>
        <v/>
      </c>
      <c r="AF3782" s="64">
        <f>IF($A3782="","",IF(AE3782="직접",IFERROR(INDEX(계정매핑!$F$5:$F$504,MATCH($F3782&amp;"",계정매핑!$A$5:$A$504,0))&amp;"","비귀속"),""))</f>
        <v/>
      </c>
      <c r="AG3782" s="96">
        <f>IF($A3782="",0,IF(AND(AE3782&lt;&gt;"직접",IFERROR(INDEX(계정매핑!$G$5:$G$504,MATCH($F3782&amp;"",계정매핑!$A$5:$A$504,0))&amp;"","")="유지비",COUNTIF(계정대체기준!$A$6:$A$15,$N3782)&gt;0),IFERROR(INDEX(계정대체기준!$E$6:$E$15,MATCH(VALUE($A3782&amp;""),계정대체기준!$D$6:$D$15,0)),0),0))</f>
        <v/>
      </c>
      <c r="AH3782" s="64">
        <f>IF($A3782="","",IF(AD3782=0,"",IF(OR(COUNTIF(계정대체기준!$A$77:$A$86,$N3782)&gt;0,ISNUMBER(MATCH($X3782,계정대체기준!$D$77:$D$86,0)),ISNUMBER(MATCH($F3782,계정대체기준!$D$77:$D$86,0))),"Y","N")))</f>
        <v/>
      </c>
    </row>
    <row r="3783">
      <c r="A3783" s="92" t="n">
        <v>2026</v>
      </c>
      <c r="B3783" s="92" t="n">
        <v>5</v>
      </c>
      <c r="C3783" s="92" t="inlineStr">
        <is>
          <t>5100001061</t>
        </is>
      </c>
      <c r="D3783" s="95" t="n">
        <v>46159</v>
      </c>
      <c r="E3783" s="92" t="inlineStr">
        <is>
          <t>KR</t>
        </is>
      </c>
      <c r="F3783" s="92" t="n">
        <v>62301000</v>
      </c>
      <c r="G3783" s="92" t="n">
        <v>1201</v>
      </c>
      <c r="H3783" s="93" t="n">
        <v>231000</v>
      </c>
      <c r="I3783" s="92" t="inlineStr">
        <is>
          <t>5월 소모품 구입 - Q오피스</t>
        </is>
      </c>
      <c r="J3783" s="92" t="inlineStr">
        <is>
          <t>V10003</t>
        </is>
      </c>
      <c r="K3783" s="92" t="inlineStr">
        <is>
          <t>Q오피스</t>
        </is>
      </c>
      <c r="M3783" s="9">
        <f>IF($A3783="","",VALUE($A3783&amp;"")*12+VALUE($B3783&amp;""))</f>
        <v/>
      </c>
      <c r="N3783" s="64">
        <f>IF($A3783="","",IFERROR(INDEX(부서매핑!$C$5:$C$504,MATCH($G3783&amp;"",부서매핑!$A$5:$A$504,0)),"미매핑"))</f>
        <v/>
      </c>
      <c r="O3783" s="9">
        <f>IF($A3783="","",N3783&amp;"|"&amp;$F3783)</f>
        <v/>
      </c>
      <c r="P3783" s="94">
        <f>IF($A3783="",0,$H3783*설정!$C$23)</f>
        <v/>
      </c>
      <c r="Q3783" s="64">
        <f>IF($A3783="","",IF(O3783&lt;&gt;원인분석!$C$9,"",IF(AND(M3783&gt;=원인분석!$C$10,M3783&lt;=원인분석!$C$11),"당기",IF(AND(M3783&gt;=원인분석!$C$12,M3783&lt;=원인분석!$C$13),"비교",""))))</f>
        <v/>
      </c>
      <c r="R3783" s="9">
        <f>IF(Q3783="","",$K3783&amp;"")</f>
        <v/>
      </c>
      <c r="S3783" s="9">
        <f>IF(Q3783="","",IF(MATCH(R3783,$R$5:$R$100000,0)=ROW()-4,ROW(),""))</f>
        <v/>
      </c>
      <c r="T3783" s="9">
        <f>IF(Q3783="당기",ABS(P3783)+ROW()/1000000000,"")</f>
        <v/>
      </c>
      <c r="U3783" s="9">
        <f>IF(Q3783="비교",ABS(P3783)+ROW()/1000000000,"")</f>
        <v/>
      </c>
      <c r="V3783" s="64">
        <f>IF($A3783="","",IF(COUNTIF(변동분석!$E$7:$E$506,O3783)&gt;0,"Y","N"))</f>
        <v/>
      </c>
      <c r="W3783" s="64">
        <f>IF($A3783="","",IFERROR(INDEX(계정매핑!$D$5:$D$504,MATCH($F3783&amp;"",계정매핑!$A$5:$A$504,0)),"미매핑"))</f>
        <v/>
      </c>
      <c r="X3783" s="9">
        <f>IF($A3783="","",$F3783&amp;"")</f>
        <v/>
      </c>
      <c r="Y3783" s="94">
        <f>IF($A3783="",0,IF(AE3783="직접",IF(AF3783="비귀속",$P3783,0),$P3783*(1-AG3783)*IFERROR(INDEX(계정대체기준!$F$20:$F$49,MATCH($N3783,계정대체기준!$A$20:$A$49,0)),1)))</f>
        <v/>
      </c>
      <c r="Z3783" s="94">
        <f>IF($A3783="",0,IF(AE3783="직접",IF(AF3783="신계약비",$P3783,0),$P3783*(1-AG3783)*IFERROR(INDEX(계정대체기준!$C$20:$C$49,MATCH($N3783,계정대체기준!$A$20:$A$49,0)),0)))</f>
        <v/>
      </c>
      <c r="AA3783" s="94">
        <f>IF($A3783="",0,IF(AE3783="직접",IF(OR(AF3783="유지비",AF3783="손해조사비"),$P3783,0),$P3783*(1-AG3783)*IFERROR(INDEX(계정대체기준!$D$20:$D$49,MATCH($N3783,계정대체기준!$A$20:$A$49,0)),0)))</f>
        <v/>
      </c>
      <c r="AB3783" s="94">
        <f>IF($A3783="",0,IF(AE3783="직접",IF(AF3783="수금비",$P3783,0),$P3783*(1-AG3783)*IFERROR(INDEX(계정대체기준!$E$20:$E$49,MATCH($N3783,계정대체기준!$A$20:$A$49,0)),0)))</f>
        <v/>
      </c>
      <c r="AC3783" s="9">
        <f>IF(AND($A3783&lt;&gt;"",M3783=설정!$C$20,Z3783&gt;0),Z3783+ROW()/1000000000,"")</f>
        <v/>
      </c>
      <c r="AD3783" s="94">
        <f>IF($A3783="",0,$P3783*AG3783)</f>
        <v/>
      </c>
      <c r="AE3783" s="64">
        <f>IF($A3783="","",IFERROR(INDEX(계정매핑!$E$5:$E$504,MATCH($F3783&amp;"",계정매핑!$A$5:$A$504,0))&amp;"","공통비"))</f>
        <v/>
      </c>
      <c r="AF3783" s="64">
        <f>IF($A3783="","",IF(AE3783="직접",IFERROR(INDEX(계정매핑!$F$5:$F$504,MATCH($F3783&amp;"",계정매핑!$A$5:$A$504,0))&amp;"","비귀속"),""))</f>
        <v/>
      </c>
      <c r="AG3783" s="96">
        <f>IF($A3783="",0,IF(AND(AE3783&lt;&gt;"직접",IFERROR(INDEX(계정매핑!$G$5:$G$504,MATCH($F3783&amp;"",계정매핑!$A$5:$A$504,0))&amp;"","")="유지비",COUNTIF(계정대체기준!$A$6:$A$15,$N3783)&gt;0),IFERROR(INDEX(계정대체기준!$E$6:$E$15,MATCH(VALUE($A3783&amp;""),계정대체기준!$D$6:$D$15,0)),0),0))</f>
        <v/>
      </c>
      <c r="AH3783" s="64">
        <f>IF($A3783="","",IF(AD3783=0,"",IF(OR(COUNTIF(계정대체기준!$A$77:$A$86,$N3783)&gt;0,ISNUMBER(MATCH($X3783,계정대체기준!$D$77:$D$86,0)),ISNUMBER(MATCH($F3783,계정대체기준!$D$77:$D$86,0))),"Y","N")))</f>
        <v/>
      </c>
    </row>
    <row r="3784">
      <c r="A3784" s="92" t="n">
        <v>2026</v>
      </c>
      <c r="B3784" s="92" t="n">
        <v>5</v>
      </c>
      <c r="C3784" s="92" t="inlineStr">
        <is>
          <t>5100001062</t>
        </is>
      </c>
      <c r="D3784" s="95" t="n">
        <v>46159</v>
      </c>
      <c r="E3784" s="92" t="inlineStr">
        <is>
          <t>KR</t>
        </is>
      </c>
      <c r="F3784" s="92" t="n">
        <v>62501000</v>
      </c>
      <c r="G3784" s="92" t="n">
        <v>1101</v>
      </c>
      <c r="H3784" s="93" t="n">
        <v>260000</v>
      </c>
      <c r="I3784" s="92" t="inlineStr">
        <is>
          <t>5월 회의 다과 - T케이터링</t>
        </is>
      </c>
      <c r="J3784" s="92" t="inlineStr">
        <is>
          <t>V10005</t>
        </is>
      </c>
      <c r="K3784" s="92" t="inlineStr">
        <is>
          <t>T케이터링</t>
        </is>
      </c>
      <c r="M3784" s="9">
        <f>IF($A3784="","",VALUE($A3784&amp;"")*12+VALUE($B3784&amp;""))</f>
        <v/>
      </c>
      <c r="N3784" s="64">
        <f>IF($A3784="","",IFERROR(INDEX(부서매핑!$C$5:$C$504,MATCH($G3784&amp;"",부서매핑!$A$5:$A$504,0)),"미매핑"))</f>
        <v/>
      </c>
      <c r="O3784" s="9">
        <f>IF($A3784="","",N3784&amp;"|"&amp;$F3784)</f>
        <v/>
      </c>
      <c r="P3784" s="94">
        <f>IF($A3784="",0,$H3784*설정!$C$23)</f>
        <v/>
      </c>
      <c r="Q3784" s="64">
        <f>IF($A3784="","",IF(O3784&lt;&gt;원인분석!$C$9,"",IF(AND(M3784&gt;=원인분석!$C$10,M3784&lt;=원인분석!$C$11),"당기",IF(AND(M3784&gt;=원인분석!$C$12,M3784&lt;=원인분석!$C$13),"비교",""))))</f>
        <v/>
      </c>
      <c r="R3784" s="9">
        <f>IF(Q3784="","",$K3784&amp;"")</f>
        <v/>
      </c>
      <c r="S3784" s="9">
        <f>IF(Q3784="","",IF(MATCH(R3784,$R$5:$R$100000,0)=ROW()-4,ROW(),""))</f>
        <v/>
      </c>
      <c r="T3784" s="9">
        <f>IF(Q3784="당기",ABS(P3784)+ROW()/1000000000,"")</f>
        <v/>
      </c>
      <c r="U3784" s="9">
        <f>IF(Q3784="비교",ABS(P3784)+ROW()/1000000000,"")</f>
        <v/>
      </c>
      <c r="V3784" s="64">
        <f>IF($A3784="","",IF(COUNTIF(변동분석!$E$7:$E$506,O3784)&gt;0,"Y","N"))</f>
        <v/>
      </c>
      <c r="W3784" s="64">
        <f>IF($A3784="","",IFERROR(INDEX(계정매핑!$D$5:$D$504,MATCH($F3784&amp;"",계정매핑!$A$5:$A$504,0)),"미매핑"))</f>
        <v/>
      </c>
      <c r="X3784" s="9">
        <f>IF($A3784="","",$F3784&amp;"")</f>
        <v/>
      </c>
      <c r="Y3784" s="94">
        <f>IF($A3784="",0,IF(AE3784="직접",IF(AF3784="비귀속",$P3784,0),$P3784*(1-AG3784)*IFERROR(INDEX(계정대체기준!$F$20:$F$49,MATCH($N3784,계정대체기준!$A$20:$A$49,0)),1)))</f>
        <v/>
      </c>
      <c r="Z3784" s="94">
        <f>IF($A3784="",0,IF(AE3784="직접",IF(AF3784="신계약비",$P3784,0),$P3784*(1-AG3784)*IFERROR(INDEX(계정대체기준!$C$20:$C$49,MATCH($N3784,계정대체기준!$A$20:$A$49,0)),0)))</f>
        <v/>
      </c>
      <c r="AA3784" s="94">
        <f>IF($A3784="",0,IF(AE3784="직접",IF(OR(AF3784="유지비",AF3784="손해조사비"),$P3784,0),$P3784*(1-AG3784)*IFERROR(INDEX(계정대체기준!$D$20:$D$49,MATCH($N3784,계정대체기준!$A$20:$A$49,0)),0)))</f>
        <v/>
      </c>
      <c r="AB3784" s="94">
        <f>IF($A3784="",0,IF(AE3784="직접",IF(AF3784="수금비",$P3784,0),$P3784*(1-AG3784)*IFERROR(INDEX(계정대체기준!$E$20:$E$49,MATCH($N3784,계정대체기준!$A$20:$A$49,0)),0)))</f>
        <v/>
      </c>
      <c r="AC3784" s="9">
        <f>IF(AND($A3784&lt;&gt;"",M3784=설정!$C$20,Z3784&gt;0),Z3784+ROW()/1000000000,"")</f>
        <v/>
      </c>
      <c r="AD3784" s="94">
        <f>IF($A3784="",0,$P3784*AG3784)</f>
        <v/>
      </c>
      <c r="AE3784" s="64">
        <f>IF($A3784="","",IFERROR(INDEX(계정매핑!$E$5:$E$504,MATCH($F3784&amp;"",계정매핑!$A$5:$A$504,0))&amp;"","공통비"))</f>
        <v/>
      </c>
      <c r="AF3784" s="64">
        <f>IF($A3784="","",IF(AE3784="직접",IFERROR(INDEX(계정매핑!$F$5:$F$504,MATCH($F3784&amp;"",계정매핑!$A$5:$A$504,0))&amp;"","비귀속"),""))</f>
        <v/>
      </c>
      <c r="AG3784" s="96">
        <f>IF($A3784="",0,IF(AND(AE3784&lt;&gt;"직접",IFERROR(INDEX(계정매핑!$G$5:$G$504,MATCH($F3784&amp;"",계정매핑!$A$5:$A$504,0))&amp;"","")="유지비",COUNTIF(계정대체기준!$A$6:$A$15,$N3784)&gt;0),IFERROR(INDEX(계정대체기준!$E$6:$E$15,MATCH(VALUE($A3784&amp;""),계정대체기준!$D$6:$D$15,0)),0),0))</f>
        <v/>
      </c>
      <c r="AH3784" s="64">
        <f>IF($A3784="","",IF(AD3784=0,"",IF(OR(COUNTIF(계정대체기준!$A$77:$A$86,$N3784)&gt;0,ISNUMBER(MATCH($X3784,계정대체기준!$D$77:$D$86,0)),ISNUMBER(MATCH($F3784,계정대체기준!$D$77:$D$86,0))),"Y","N")))</f>
        <v/>
      </c>
    </row>
    <row r="3785">
      <c r="A3785" s="92" t="n">
        <v>2026</v>
      </c>
      <c r="B3785" s="92" t="n">
        <v>5</v>
      </c>
      <c r="C3785" s="92" t="inlineStr">
        <is>
          <t>5100001063</t>
        </is>
      </c>
      <c r="D3785" s="95" t="n">
        <v>46159</v>
      </c>
      <c r="E3785" s="92" t="inlineStr">
        <is>
          <t>KR</t>
        </is>
      </c>
      <c r="F3785" s="92" t="n">
        <v>62501000</v>
      </c>
      <c r="G3785" s="92" t="n">
        <v>1201</v>
      </c>
      <c r="H3785" s="93" t="n">
        <v>152000</v>
      </c>
      <c r="I3785" s="92" t="inlineStr">
        <is>
          <t>5월 회의 다과 - (법인카드)</t>
        </is>
      </c>
      <c r="J3785" s="92" t="inlineStr">
        <is>
          <t>V10010</t>
        </is>
      </c>
      <c r="K3785" s="92" t="inlineStr">
        <is>
          <t>(법인카드)</t>
        </is>
      </c>
      <c r="M3785" s="9">
        <f>IF($A3785="","",VALUE($A3785&amp;"")*12+VALUE($B3785&amp;""))</f>
        <v/>
      </c>
      <c r="N3785" s="64">
        <f>IF($A3785="","",IFERROR(INDEX(부서매핑!$C$5:$C$504,MATCH($G3785&amp;"",부서매핑!$A$5:$A$504,0)),"미매핑"))</f>
        <v/>
      </c>
      <c r="O3785" s="9">
        <f>IF($A3785="","",N3785&amp;"|"&amp;$F3785)</f>
        <v/>
      </c>
      <c r="P3785" s="94">
        <f>IF($A3785="",0,$H3785*설정!$C$23)</f>
        <v/>
      </c>
      <c r="Q3785" s="64">
        <f>IF($A3785="","",IF(O3785&lt;&gt;원인분석!$C$9,"",IF(AND(M3785&gt;=원인분석!$C$10,M3785&lt;=원인분석!$C$11),"당기",IF(AND(M3785&gt;=원인분석!$C$12,M3785&lt;=원인분석!$C$13),"비교",""))))</f>
        <v/>
      </c>
      <c r="R3785" s="9">
        <f>IF(Q3785="","",$K3785&amp;"")</f>
        <v/>
      </c>
      <c r="S3785" s="9">
        <f>IF(Q3785="","",IF(MATCH(R3785,$R$5:$R$100000,0)=ROW()-4,ROW(),""))</f>
        <v/>
      </c>
      <c r="T3785" s="9">
        <f>IF(Q3785="당기",ABS(P3785)+ROW()/1000000000,"")</f>
        <v/>
      </c>
      <c r="U3785" s="9">
        <f>IF(Q3785="비교",ABS(P3785)+ROW()/1000000000,"")</f>
        <v/>
      </c>
      <c r="V3785" s="64">
        <f>IF($A3785="","",IF(COUNTIF(변동분석!$E$7:$E$506,O3785)&gt;0,"Y","N"))</f>
        <v/>
      </c>
      <c r="W3785" s="64">
        <f>IF($A3785="","",IFERROR(INDEX(계정매핑!$D$5:$D$504,MATCH($F3785&amp;"",계정매핑!$A$5:$A$504,0)),"미매핑"))</f>
        <v/>
      </c>
      <c r="X3785" s="9">
        <f>IF($A3785="","",$F3785&amp;"")</f>
        <v/>
      </c>
      <c r="Y3785" s="94">
        <f>IF($A3785="",0,IF(AE3785="직접",IF(AF3785="비귀속",$P3785,0),$P3785*(1-AG3785)*IFERROR(INDEX(계정대체기준!$F$20:$F$49,MATCH($N3785,계정대체기준!$A$20:$A$49,0)),1)))</f>
        <v/>
      </c>
      <c r="Z3785" s="94">
        <f>IF($A3785="",0,IF(AE3785="직접",IF(AF3785="신계약비",$P3785,0),$P3785*(1-AG3785)*IFERROR(INDEX(계정대체기준!$C$20:$C$49,MATCH($N3785,계정대체기준!$A$20:$A$49,0)),0)))</f>
        <v/>
      </c>
      <c r="AA3785" s="94">
        <f>IF($A3785="",0,IF(AE3785="직접",IF(OR(AF3785="유지비",AF3785="손해조사비"),$P3785,0),$P3785*(1-AG3785)*IFERROR(INDEX(계정대체기준!$D$20:$D$49,MATCH($N3785,계정대체기준!$A$20:$A$49,0)),0)))</f>
        <v/>
      </c>
      <c r="AB3785" s="94">
        <f>IF($A3785="",0,IF(AE3785="직접",IF(AF3785="수금비",$P3785,0),$P3785*(1-AG3785)*IFERROR(INDEX(계정대체기준!$E$20:$E$49,MATCH($N3785,계정대체기준!$A$20:$A$49,0)),0)))</f>
        <v/>
      </c>
      <c r="AC3785" s="9">
        <f>IF(AND($A3785&lt;&gt;"",M3785=설정!$C$20,Z3785&gt;0),Z3785+ROW()/1000000000,"")</f>
        <v/>
      </c>
      <c r="AD3785" s="94">
        <f>IF($A3785="",0,$P3785*AG3785)</f>
        <v/>
      </c>
      <c r="AE3785" s="64">
        <f>IF($A3785="","",IFERROR(INDEX(계정매핑!$E$5:$E$504,MATCH($F3785&amp;"",계정매핑!$A$5:$A$504,0))&amp;"","공통비"))</f>
        <v/>
      </c>
      <c r="AF3785" s="64">
        <f>IF($A3785="","",IF(AE3785="직접",IFERROR(INDEX(계정매핑!$F$5:$F$504,MATCH($F3785&amp;"",계정매핑!$A$5:$A$504,0))&amp;"","비귀속"),""))</f>
        <v/>
      </c>
      <c r="AG3785" s="96">
        <f>IF($A3785="",0,IF(AND(AE3785&lt;&gt;"직접",IFERROR(INDEX(계정매핑!$G$5:$G$504,MATCH($F3785&amp;"",계정매핑!$A$5:$A$504,0))&amp;"","")="유지비",COUNTIF(계정대체기준!$A$6:$A$15,$N3785)&gt;0),IFERROR(INDEX(계정대체기준!$E$6:$E$15,MATCH(VALUE($A3785&amp;""),계정대체기준!$D$6:$D$15,0)),0),0))</f>
        <v/>
      </c>
      <c r="AH3785" s="64">
        <f>IF($A3785="","",IF(AD3785=0,"",IF(OR(COUNTIF(계정대체기준!$A$77:$A$86,$N3785)&gt;0,ISNUMBER(MATCH($X3785,계정대체기준!$D$77:$D$86,0)),ISNUMBER(MATCH($F3785,계정대체기준!$D$77:$D$86,0))),"Y","N")))</f>
        <v/>
      </c>
    </row>
    <row r="3786">
      <c r="A3786" s="92" t="n">
        <v>2026</v>
      </c>
      <c r="B3786" s="92" t="n">
        <v>5</v>
      </c>
      <c r="C3786" s="92" t="inlineStr">
        <is>
          <t>5100001064</t>
        </is>
      </c>
      <c r="D3786" s="95" t="n">
        <v>46159</v>
      </c>
      <c r="E3786" s="92" t="inlineStr">
        <is>
          <t>KR</t>
        </is>
      </c>
      <c r="F3786" s="92" t="n">
        <v>62501000</v>
      </c>
      <c r="G3786" s="92" t="n">
        <v>1201</v>
      </c>
      <c r="H3786" s="93" t="n">
        <v>138000</v>
      </c>
      <c r="I3786" s="92" t="inlineStr">
        <is>
          <t>5월 회의 다과 - (법인카드)</t>
        </is>
      </c>
      <c r="J3786" s="92" t="inlineStr">
        <is>
          <t>V10010</t>
        </is>
      </c>
      <c r="K3786" s="92" t="inlineStr">
        <is>
          <t>(법인카드)</t>
        </is>
      </c>
      <c r="M3786" s="9">
        <f>IF($A3786="","",VALUE($A3786&amp;"")*12+VALUE($B3786&amp;""))</f>
        <v/>
      </c>
      <c r="N3786" s="64">
        <f>IF($A3786="","",IFERROR(INDEX(부서매핑!$C$5:$C$504,MATCH($G3786&amp;"",부서매핑!$A$5:$A$504,0)),"미매핑"))</f>
        <v/>
      </c>
      <c r="O3786" s="9">
        <f>IF($A3786="","",N3786&amp;"|"&amp;$F3786)</f>
        <v/>
      </c>
      <c r="P3786" s="94">
        <f>IF($A3786="",0,$H3786*설정!$C$23)</f>
        <v/>
      </c>
      <c r="Q3786" s="64">
        <f>IF($A3786="","",IF(O3786&lt;&gt;원인분석!$C$9,"",IF(AND(M3786&gt;=원인분석!$C$10,M3786&lt;=원인분석!$C$11),"당기",IF(AND(M3786&gt;=원인분석!$C$12,M3786&lt;=원인분석!$C$13),"비교",""))))</f>
        <v/>
      </c>
      <c r="R3786" s="9">
        <f>IF(Q3786="","",$K3786&amp;"")</f>
        <v/>
      </c>
      <c r="S3786" s="9">
        <f>IF(Q3786="","",IF(MATCH(R3786,$R$5:$R$100000,0)=ROW()-4,ROW(),""))</f>
        <v/>
      </c>
      <c r="T3786" s="9">
        <f>IF(Q3786="당기",ABS(P3786)+ROW()/1000000000,"")</f>
        <v/>
      </c>
      <c r="U3786" s="9">
        <f>IF(Q3786="비교",ABS(P3786)+ROW()/1000000000,"")</f>
        <v/>
      </c>
      <c r="V3786" s="64">
        <f>IF($A3786="","",IF(COUNTIF(변동분석!$E$7:$E$506,O3786)&gt;0,"Y","N"))</f>
        <v/>
      </c>
      <c r="W3786" s="64">
        <f>IF($A3786="","",IFERROR(INDEX(계정매핑!$D$5:$D$504,MATCH($F3786&amp;"",계정매핑!$A$5:$A$504,0)),"미매핑"))</f>
        <v/>
      </c>
      <c r="X3786" s="9">
        <f>IF($A3786="","",$F3786&amp;"")</f>
        <v/>
      </c>
      <c r="Y3786" s="94">
        <f>IF($A3786="",0,IF(AE3786="직접",IF(AF3786="비귀속",$P3786,0),$P3786*(1-AG3786)*IFERROR(INDEX(계정대체기준!$F$20:$F$49,MATCH($N3786,계정대체기준!$A$20:$A$49,0)),1)))</f>
        <v/>
      </c>
      <c r="Z3786" s="94">
        <f>IF($A3786="",0,IF(AE3786="직접",IF(AF3786="신계약비",$P3786,0),$P3786*(1-AG3786)*IFERROR(INDEX(계정대체기준!$C$20:$C$49,MATCH($N3786,계정대체기준!$A$20:$A$49,0)),0)))</f>
        <v/>
      </c>
      <c r="AA3786" s="94">
        <f>IF($A3786="",0,IF(AE3786="직접",IF(OR(AF3786="유지비",AF3786="손해조사비"),$P3786,0),$P3786*(1-AG3786)*IFERROR(INDEX(계정대체기준!$D$20:$D$49,MATCH($N3786,계정대체기준!$A$20:$A$49,0)),0)))</f>
        <v/>
      </c>
      <c r="AB3786" s="94">
        <f>IF($A3786="",0,IF(AE3786="직접",IF(AF3786="수금비",$P3786,0),$P3786*(1-AG3786)*IFERROR(INDEX(계정대체기준!$E$20:$E$49,MATCH($N3786,계정대체기준!$A$20:$A$49,0)),0)))</f>
        <v/>
      </c>
      <c r="AC3786" s="9">
        <f>IF(AND($A3786&lt;&gt;"",M3786=설정!$C$20,Z3786&gt;0),Z3786+ROW()/1000000000,"")</f>
        <v/>
      </c>
      <c r="AD3786" s="94">
        <f>IF($A3786="",0,$P3786*AG3786)</f>
        <v/>
      </c>
      <c r="AE3786" s="64">
        <f>IF($A3786="","",IFERROR(INDEX(계정매핑!$E$5:$E$504,MATCH($F3786&amp;"",계정매핑!$A$5:$A$504,0))&amp;"","공통비"))</f>
        <v/>
      </c>
      <c r="AF3786" s="64">
        <f>IF($A3786="","",IF(AE3786="직접",IFERROR(INDEX(계정매핑!$F$5:$F$504,MATCH($F3786&amp;"",계정매핑!$A$5:$A$504,0))&amp;"","비귀속"),""))</f>
        <v/>
      </c>
      <c r="AG3786" s="96">
        <f>IF($A3786="",0,IF(AND(AE3786&lt;&gt;"직접",IFERROR(INDEX(계정매핑!$G$5:$G$504,MATCH($F3786&amp;"",계정매핑!$A$5:$A$504,0))&amp;"","")="유지비",COUNTIF(계정대체기준!$A$6:$A$15,$N3786)&gt;0),IFERROR(INDEX(계정대체기준!$E$6:$E$15,MATCH(VALUE($A3786&amp;""),계정대체기준!$D$6:$D$15,0)),0),0))</f>
        <v/>
      </c>
      <c r="AH3786" s="64">
        <f>IF($A3786="","",IF(AD3786=0,"",IF(OR(COUNTIF(계정대체기준!$A$77:$A$86,$N3786)&gt;0,ISNUMBER(MATCH($X3786,계정대체기준!$D$77:$D$86,0)),ISNUMBER(MATCH($F3786,계정대체기준!$D$77:$D$86,0))),"Y","N")))</f>
        <v/>
      </c>
    </row>
    <row r="3787">
      <c r="A3787" s="92" t="n">
        <v>2026</v>
      </c>
      <c r="B3787" s="92" t="n">
        <v>5</v>
      </c>
      <c r="C3787" s="92" t="inlineStr">
        <is>
          <t>5100001065</t>
        </is>
      </c>
      <c r="D3787" s="95" t="n">
        <v>46159</v>
      </c>
      <c r="E3787" s="92" t="inlineStr">
        <is>
          <t>KR</t>
        </is>
      </c>
      <c r="F3787" s="92" t="n">
        <v>62901000</v>
      </c>
      <c r="G3787" s="92" t="n">
        <v>1201</v>
      </c>
      <c r="H3787" s="93" t="n">
        <v>6729000</v>
      </c>
      <c r="I3787" s="92" t="inlineStr">
        <is>
          <t>5월 자문 수수료 - K회계법인</t>
        </is>
      </c>
      <c r="J3787" s="92" t="inlineStr">
        <is>
          <t>V10011</t>
        </is>
      </c>
      <c r="K3787" s="92" t="inlineStr">
        <is>
          <t>K회계법인</t>
        </is>
      </c>
      <c r="M3787" s="9">
        <f>IF($A3787="","",VALUE($A3787&amp;"")*12+VALUE($B3787&amp;""))</f>
        <v/>
      </c>
      <c r="N3787" s="64">
        <f>IF($A3787="","",IFERROR(INDEX(부서매핑!$C$5:$C$504,MATCH($G3787&amp;"",부서매핑!$A$5:$A$504,0)),"미매핑"))</f>
        <v/>
      </c>
      <c r="O3787" s="9">
        <f>IF($A3787="","",N3787&amp;"|"&amp;$F3787)</f>
        <v/>
      </c>
      <c r="P3787" s="94">
        <f>IF($A3787="",0,$H3787*설정!$C$23)</f>
        <v/>
      </c>
      <c r="Q3787" s="64">
        <f>IF($A3787="","",IF(O3787&lt;&gt;원인분석!$C$9,"",IF(AND(M3787&gt;=원인분석!$C$10,M3787&lt;=원인분석!$C$11),"당기",IF(AND(M3787&gt;=원인분석!$C$12,M3787&lt;=원인분석!$C$13),"비교",""))))</f>
        <v/>
      </c>
      <c r="R3787" s="9">
        <f>IF(Q3787="","",$K3787&amp;"")</f>
        <v/>
      </c>
      <c r="S3787" s="9">
        <f>IF(Q3787="","",IF(MATCH(R3787,$R$5:$R$100000,0)=ROW()-4,ROW(),""))</f>
        <v/>
      </c>
      <c r="T3787" s="9">
        <f>IF(Q3787="당기",ABS(P3787)+ROW()/1000000000,"")</f>
        <v/>
      </c>
      <c r="U3787" s="9">
        <f>IF(Q3787="비교",ABS(P3787)+ROW()/1000000000,"")</f>
        <v/>
      </c>
      <c r="V3787" s="64">
        <f>IF($A3787="","",IF(COUNTIF(변동분석!$E$7:$E$506,O3787)&gt;0,"Y","N"))</f>
        <v/>
      </c>
      <c r="W3787" s="64">
        <f>IF($A3787="","",IFERROR(INDEX(계정매핑!$D$5:$D$504,MATCH($F3787&amp;"",계정매핑!$A$5:$A$504,0)),"미매핑"))</f>
        <v/>
      </c>
      <c r="X3787" s="9">
        <f>IF($A3787="","",$F3787&amp;"")</f>
        <v/>
      </c>
      <c r="Y3787" s="94">
        <f>IF($A3787="",0,IF(AE3787="직접",IF(AF3787="비귀속",$P3787,0),$P3787*(1-AG3787)*IFERROR(INDEX(계정대체기준!$F$20:$F$49,MATCH($N3787,계정대체기준!$A$20:$A$49,0)),1)))</f>
        <v/>
      </c>
      <c r="Z3787" s="94">
        <f>IF($A3787="",0,IF(AE3787="직접",IF(AF3787="신계약비",$P3787,0),$P3787*(1-AG3787)*IFERROR(INDEX(계정대체기준!$C$20:$C$49,MATCH($N3787,계정대체기준!$A$20:$A$49,0)),0)))</f>
        <v/>
      </c>
      <c r="AA3787" s="94">
        <f>IF($A3787="",0,IF(AE3787="직접",IF(OR(AF3787="유지비",AF3787="손해조사비"),$P3787,0),$P3787*(1-AG3787)*IFERROR(INDEX(계정대체기준!$D$20:$D$49,MATCH($N3787,계정대체기준!$A$20:$A$49,0)),0)))</f>
        <v/>
      </c>
      <c r="AB3787" s="94">
        <f>IF($A3787="",0,IF(AE3787="직접",IF(AF3787="수금비",$P3787,0),$P3787*(1-AG3787)*IFERROR(INDEX(계정대체기준!$E$20:$E$49,MATCH($N3787,계정대체기준!$A$20:$A$49,0)),0)))</f>
        <v/>
      </c>
      <c r="AC3787" s="9">
        <f>IF(AND($A3787&lt;&gt;"",M3787=설정!$C$20,Z3787&gt;0),Z3787+ROW()/1000000000,"")</f>
        <v/>
      </c>
      <c r="AD3787" s="94">
        <f>IF($A3787="",0,$P3787*AG3787)</f>
        <v/>
      </c>
      <c r="AE3787" s="64">
        <f>IF($A3787="","",IFERROR(INDEX(계정매핑!$E$5:$E$504,MATCH($F3787&amp;"",계정매핑!$A$5:$A$504,0))&amp;"","공통비"))</f>
        <v/>
      </c>
      <c r="AF3787" s="64">
        <f>IF($A3787="","",IF(AE3787="직접",IFERROR(INDEX(계정매핑!$F$5:$F$504,MATCH($F3787&amp;"",계정매핑!$A$5:$A$504,0))&amp;"","비귀속"),""))</f>
        <v/>
      </c>
      <c r="AG3787" s="96">
        <f>IF($A3787="",0,IF(AND(AE3787&lt;&gt;"직접",IFERROR(INDEX(계정매핑!$G$5:$G$504,MATCH($F3787&amp;"",계정매핑!$A$5:$A$504,0))&amp;"","")="유지비",COUNTIF(계정대체기준!$A$6:$A$15,$N3787)&gt;0),IFERROR(INDEX(계정대체기준!$E$6:$E$15,MATCH(VALUE($A3787&amp;""),계정대체기준!$D$6:$D$15,0)),0),0))</f>
        <v/>
      </c>
      <c r="AH3787" s="64">
        <f>IF($A3787="","",IF(AD3787=0,"",IF(OR(COUNTIF(계정대체기준!$A$77:$A$86,$N3787)&gt;0,ISNUMBER(MATCH($X3787,계정대체기준!$D$77:$D$86,0)),ISNUMBER(MATCH($F3787,계정대체기준!$D$77:$D$86,0))),"Y","N")))</f>
        <v/>
      </c>
    </row>
    <row r="3788">
      <c r="A3788" s="92" t="n">
        <v>2026</v>
      </c>
      <c r="B3788" s="92" t="n">
        <v>5</v>
      </c>
      <c r="C3788" s="92" t="inlineStr">
        <is>
          <t>5100001066</t>
        </is>
      </c>
      <c r="D3788" s="95" t="n">
        <v>46159</v>
      </c>
      <c r="E3788" s="92" t="inlineStr">
        <is>
          <t>KR</t>
        </is>
      </c>
      <c r="F3788" s="92" t="n">
        <v>62902000</v>
      </c>
      <c r="G3788" s="92" t="n">
        <v>1801</v>
      </c>
      <c r="H3788" s="93" t="n">
        <v>1837000</v>
      </c>
      <c r="I3788" s="92" t="inlineStr">
        <is>
          <t>5월 콜 위탁 수수료(건별)</t>
        </is>
      </c>
      <c r="J3788" s="92" t="inlineStr">
        <is>
          <t>V10016</t>
        </is>
      </c>
      <c r="K3788" s="92" t="inlineStr">
        <is>
          <t>J콜센터</t>
        </is>
      </c>
      <c r="M3788" s="9">
        <f>IF($A3788="","",VALUE($A3788&amp;"")*12+VALUE($B3788&amp;""))</f>
        <v/>
      </c>
      <c r="N3788" s="64">
        <f>IF($A3788="","",IFERROR(INDEX(부서매핑!$C$5:$C$504,MATCH($G3788&amp;"",부서매핑!$A$5:$A$504,0)),"미매핑"))</f>
        <v/>
      </c>
      <c r="O3788" s="9">
        <f>IF($A3788="","",N3788&amp;"|"&amp;$F3788)</f>
        <v/>
      </c>
      <c r="P3788" s="94">
        <f>IF($A3788="",0,$H3788*설정!$C$23)</f>
        <v/>
      </c>
      <c r="Q3788" s="64">
        <f>IF($A3788="","",IF(O3788&lt;&gt;원인분석!$C$9,"",IF(AND(M3788&gt;=원인분석!$C$10,M3788&lt;=원인분석!$C$11),"당기",IF(AND(M3788&gt;=원인분석!$C$12,M3788&lt;=원인분석!$C$13),"비교",""))))</f>
        <v/>
      </c>
      <c r="R3788" s="9">
        <f>IF(Q3788="","",$K3788&amp;"")</f>
        <v/>
      </c>
      <c r="S3788" s="9">
        <f>IF(Q3788="","",IF(MATCH(R3788,$R$5:$R$100000,0)=ROW()-4,ROW(),""))</f>
        <v/>
      </c>
      <c r="T3788" s="9">
        <f>IF(Q3788="당기",ABS(P3788)+ROW()/1000000000,"")</f>
        <v/>
      </c>
      <c r="U3788" s="9">
        <f>IF(Q3788="비교",ABS(P3788)+ROW()/1000000000,"")</f>
        <v/>
      </c>
      <c r="V3788" s="64">
        <f>IF($A3788="","",IF(COUNTIF(변동분석!$E$7:$E$506,O3788)&gt;0,"Y","N"))</f>
        <v/>
      </c>
      <c r="W3788" s="64">
        <f>IF($A3788="","",IFERROR(INDEX(계정매핑!$D$5:$D$504,MATCH($F3788&amp;"",계정매핑!$A$5:$A$504,0)),"미매핑"))</f>
        <v/>
      </c>
      <c r="X3788" s="9">
        <f>IF($A3788="","",$F3788&amp;"")</f>
        <v/>
      </c>
      <c r="Y3788" s="94">
        <f>IF($A3788="",0,IF(AE3788="직접",IF(AF3788="비귀속",$P3788,0),$P3788*(1-AG3788)*IFERROR(INDEX(계정대체기준!$F$20:$F$49,MATCH($N3788,계정대체기준!$A$20:$A$49,0)),1)))</f>
        <v/>
      </c>
      <c r="Z3788" s="94">
        <f>IF($A3788="",0,IF(AE3788="직접",IF(AF3788="신계약비",$P3788,0),$P3788*(1-AG3788)*IFERROR(INDEX(계정대체기준!$C$20:$C$49,MATCH($N3788,계정대체기준!$A$20:$A$49,0)),0)))</f>
        <v/>
      </c>
      <c r="AA3788" s="94">
        <f>IF($A3788="",0,IF(AE3788="직접",IF(OR(AF3788="유지비",AF3788="손해조사비"),$P3788,0),$P3788*(1-AG3788)*IFERROR(INDEX(계정대체기준!$D$20:$D$49,MATCH($N3788,계정대체기준!$A$20:$A$49,0)),0)))</f>
        <v/>
      </c>
      <c r="AB3788" s="94">
        <f>IF($A3788="",0,IF(AE3788="직접",IF(AF3788="수금비",$P3788,0),$P3788*(1-AG3788)*IFERROR(INDEX(계정대체기준!$E$20:$E$49,MATCH($N3788,계정대체기준!$A$20:$A$49,0)),0)))</f>
        <v/>
      </c>
      <c r="AC3788" s="9">
        <f>IF(AND($A3788&lt;&gt;"",M3788=설정!$C$20,Z3788&gt;0),Z3788+ROW()/1000000000,"")</f>
        <v/>
      </c>
      <c r="AD3788" s="94">
        <f>IF($A3788="",0,$P3788*AG3788)</f>
        <v/>
      </c>
      <c r="AE3788" s="64">
        <f>IF($A3788="","",IFERROR(INDEX(계정매핑!$E$5:$E$504,MATCH($F3788&amp;"",계정매핑!$A$5:$A$504,0))&amp;"","공통비"))</f>
        <v/>
      </c>
      <c r="AF3788" s="64">
        <f>IF($A3788="","",IF(AE3788="직접",IFERROR(INDEX(계정매핑!$F$5:$F$504,MATCH($F3788&amp;"",계정매핑!$A$5:$A$504,0))&amp;"","비귀속"),""))</f>
        <v/>
      </c>
      <c r="AG3788" s="96">
        <f>IF($A3788="",0,IF(AND(AE3788&lt;&gt;"직접",IFERROR(INDEX(계정매핑!$G$5:$G$504,MATCH($F3788&amp;"",계정매핑!$A$5:$A$504,0))&amp;"","")="유지비",COUNTIF(계정대체기준!$A$6:$A$15,$N3788)&gt;0),IFERROR(INDEX(계정대체기준!$E$6:$E$15,MATCH(VALUE($A3788&amp;""),계정대체기준!$D$6:$D$15,0)),0),0))</f>
        <v/>
      </c>
      <c r="AH3788" s="64">
        <f>IF($A3788="","",IF(AD3788=0,"",IF(OR(COUNTIF(계정대체기준!$A$77:$A$86,$N3788)&gt;0,ISNUMBER(MATCH($X3788,계정대체기준!$D$77:$D$86,0)),ISNUMBER(MATCH($F3788,계정대체기준!$D$77:$D$86,0))),"Y","N")))</f>
        <v/>
      </c>
    </row>
    <row r="3789">
      <c r="A3789" s="92" t="n">
        <v>2026</v>
      </c>
      <c r="B3789" s="92" t="n">
        <v>5</v>
      </c>
      <c r="C3789" s="92" t="inlineStr">
        <is>
          <t>5100001067</t>
        </is>
      </c>
      <c r="D3789" s="95" t="n">
        <v>46159</v>
      </c>
      <c r="E3789" s="92" t="inlineStr">
        <is>
          <t>KR</t>
        </is>
      </c>
      <c r="F3789" s="92" t="n">
        <v>62902000</v>
      </c>
      <c r="G3789" s="92" t="n">
        <v>1801</v>
      </c>
      <c r="H3789" s="93" t="n">
        <v>1836000</v>
      </c>
      <c r="I3789" s="92" t="inlineStr">
        <is>
          <t>5월 콜 위탁 수수료(건별)</t>
        </is>
      </c>
      <c r="J3789" s="92" t="inlineStr">
        <is>
          <t>V10016</t>
        </is>
      </c>
      <c r="K3789" s="92" t="inlineStr">
        <is>
          <t>J콜센터</t>
        </is>
      </c>
      <c r="M3789" s="9">
        <f>IF($A3789="","",VALUE($A3789&amp;"")*12+VALUE($B3789&amp;""))</f>
        <v/>
      </c>
      <c r="N3789" s="64">
        <f>IF($A3789="","",IFERROR(INDEX(부서매핑!$C$5:$C$504,MATCH($G3789&amp;"",부서매핑!$A$5:$A$504,0)),"미매핑"))</f>
        <v/>
      </c>
      <c r="O3789" s="9">
        <f>IF($A3789="","",N3789&amp;"|"&amp;$F3789)</f>
        <v/>
      </c>
      <c r="P3789" s="94">
        <f>IF($A3789="",0,$H3789*설정!$C$23)</f>
        <v/>
      </c>
      <c r="Q3789" s="64">
        <f>IF($A3789="","",IF(O3789&lt;&gt;원인분석!$C$9,"",IF(AND(M3789&gt;=원인분석!$C$10,M3789&lt;=원인분석!$C$11),"당기",IF(AND(M3789&gt;=원인분석!$C$12,M3789&lt;=원인분석!$C$13),"비교",""))))</f>
        <v/>
      </c>
      <c r="R3789" s="9">
        <f>IF(Q3789="","",$K3789&amp;"")</f>
        <v/>
      </c>
      <c r="S3789" s="9">
        <f>IF(Q3789="","",IF(MATCH(R3789,$R$5:$R$100000,0)=ROW()-4,ROW(),""))</f>
        <v/>
      </c>
      <c r="T3789" s="9">
        <f>IF(Q3789="당기",ABS(P3789)+ROW()/1000000000,"")</f>
        <v/>
      </c>
      <c r="U3789" s="9">
        <f>IF(Q3789="비교",ABS(P3789)+ROW()/1000000000,"")</f>
        <v/>
      </c>
      <c r="V3789" s="64">
        <f>IF($A3789="","",IF(COUNTIF(변동분석!$E$7:$E$506,O3789)&gt;0,"Y","N"))</f>
        <v/>
      </c>
      <c r="W3789" s="64">
        <f>IF($A3789="","",IFERROR(INDEX(계정매핑!$D$5:$D$504,MATCH($F3789&amp;"",계정매핑!$A$5:$A$504,0)),"미매핑"))</f>
        <v/>
      </c>
      <c r="X3789" s="9">
        <f>IF($A3789="","",$F3789&amp;"")</f>
        <v/>
      </c>
      <c r="Y3789" s="94">
        <f>IF($A3789="",0,IF(AE3789="직접",IF(AF3789="비귀속",$P3789,0),$P3789*(1-AG3789)*IFERROR(INDEX(계정대체기준!$F$20:$F$49,MATCH($N3789,계정대체기준!$A$20:$A$49,0)),1)))</f>
        <v/>
      </c>
      <c r="Z3789" s="94">
        <f>IF($A3789="",0,IF(AE3789="직접",IF(AF3789="신계약비",$P3789,0),$P3789*(1-AG3789)*IFERROR(INDEX(계정대체기준!$C$20:$C$49,MATCH($N3789,계정대체기준!$A$20:$A$49,0)),0)))</f>
        <v/>
      </c>
      <c r="AA3789" s="94">
        <f>IF($A3789="",0,IF(AE3789="직접",IF(OR(AF3789="유지비",AF3789="손해조사비"),$P3789,0),$P3789*(1-AG3789)*IFERROR(INDEX(계정대체기준!$D$20:$D$49,MATCH($N3789,계정대체기준!$A$20:$A$49,0)),0)))</f>
        <v/>
      </c>
      <c r="AB3789" s="94">
        <f>IF($A3789="",0,IF(AE3789="직접",IF(AF3789="수금비",$P3789,0),$P3789*(1-AG3789)*IFERROR(INDEX(계정대체기준!$E$20:$E$49,MATCH($N3789,계정대체기준!$A$20:$A$49,0)),0)))</f>
        <v/>
      </c>
      <c r="AC3789" s="9">
        <f>IF(AND($A3789&lt;&gt;"",M3789=설정!$C$20,Z3789&gt;0),Z3789+ROW()/1000000000,"")</f>
        <v/>
      </c>
      <c r="AD3789" s="94">
        <f>IF($A3789="",0,$P3789*AG3789)</f>
        <v/>
      </c>
      <c r="AE3789" s="64">
        <f>IF($A3789="","",IFERROR(INDEX(계정매핑!$E$5:$E$504,MATCH($F3789&amp;"",계정매핑!$A$5:$A$504,0))&amp;"","공통비"))</f>
        <v/>
      </c>
      <c r="AF3789" s="64">
        <f>IF($A3789="","",IF(AE3789="직접",IFERROR(INDEX(계정매핑!$F$5:$F$504,MATCH($F3789&amp;"",계정매핑!$A$5:$A$504,0))&amp;"","비귀속"),""))</f>
        <v/>
      </c>
      <c r="AG3789" s="96">
        <f>IF($A3789="",0,IF(AND(AE3789&lt;&gt;"직접",IFERROR(INDEX(계정매핑!$G$5:$G$504,MATCH($F3789&amp;"",계정매핑!$A$5:$A$504,0))&amp;"","")="유지비",COUNTIF(계정대체기준!$A$6:$A$15,$N3789)&gt;0),IFERROR(INDEX(계정대체기준!$E$6:$E$15,MATCH(VALUE($A3789&amp;""),계정대체기준!$D$6:$D$15,0)),0),0))</f>
        <v/>
      </c>
      <c r="AH3789" s="64">
        <f>IF($A3789="","",IF(AD3789=0,"",IF(OR(COUNTIF(계정대체기준!$A$77:$A$86,$N3789)&gt;0,ISNUMBER(MATCH($X3789,계정대체기준!$D$77:$D$86,0)),ISNUMBER(MATCH($F3789,계정대체기준!$D$77:$D$86,0))),"Y","N")))</f>
        <v/>
      </c>
    </row>
    <row r="3790">
      <c r="A3790" s="92" t="n">
        <v>2026</v>
      </c>
      <c r="B3790" s="92" t="n">
        <v>5</v>
      </c>
      <c r="C3790" s="92" t="inlineStr">
        <is>
          <t>5100001068</t>
        </is>
      </c>
      <c r="D3790" s="95" t="n">
        <v>46160</v>
      </c>
      <c r="E3790" s="92" t="inlineStr">
        <is>
          <t>KR</t>
        </is>
      </c>
      <c r="F3790" s="92" t="n">
        <v>62101000</v>
      </c>
      <c r="G3790" s="92" t="n">
        <v>1201</v>
      </c>
      <c r="H3790" s="93" t="n">
        <v>222000</v>
      </c>
      <c r="I3790" s="92" t="inlineStr">
        <is>
          <t>5월 국내출장 - (법인카드)</t>
        </is>
      </c>
      <c r="J3790" s="92" t="inlineStr">
        <is>
          <t>V10010</t>
        </is>
      </c>
      <c r="K3790" s="92" t="inlineStr">
        <is>
          <t>(법인카드)</t>
        </is>
      </c>
      <c r="M3790" s="9">
        <f>IF($A3790="","",VALUE($A3790&amp;"")*12+VALUE($B3790&amp;""))</f>
        <v/>
      </c>
      <c r="N3790" s="64">
        <f>IF($A3790="","",IFERROR(INDEX(부서매핑!$C$5:$C$504,MATCH($G3790&amp;"",부서매핑!$A$5:$A$504,0)),"미매핑"))</f>
        <v/>
      </c>
      <c r="O3790" s="9">
        <f>IF($A3790="","",N3790&amp;"|"&amp;$F3790)</f>
        <v/>
      </c>
      <c r="P3790" s="94">
        <f>IF($A3790="",0,$H3790*설정!$C$23)</f>
        <v/>
      </c>
      <c r="Q3790" s="64">
        <f>IF($A3790="","",IF(O3790&lt;&gt;원인분석!$C$9,"",IF(AND(M3790&gt;=원인분석!$C$10,M3790&lt;=원인분석!$C$11),"당기",IF(AND(M3790&gt;=원인분석!$C$12,M3790&lt;=원인분석!$C$13),"비교",""))))</f>
        <v/>
      </c>
      <c r="R3790" s="9">
        <f>IF(Q3790="","",$K3790&amp;"")</f>
        <v/>
      </c>
      <c r="S3790" s="9">
        <f>IF(Q3790="","",IF(MATCH(R3790,$R$5:$R$100000,0)=ROW()-4,ROW(),""))</f>
        <v/>
      </c>
      <c r="T3790" s="9">
        <f>IF(Q3790="당기",ABS(P3790)+ROW()/1000000000,"")</f>
        <v/>
      </c>
      <c r="U3790" s="9">
        <f>IF(Q3790="비교",ABS(P3790)+ROW()/1000000000,"")</f>
        <v/>
      </c>
      <c r="V3790" s="64">
        <f>IF($A3790="","",IF(COUNTIF(변동분석!$E$7:$E$506,O3790)&gt;0,"Y","N"))</f>
        <v/>
      </c>
      <c r="W3790" s="64">
        <f>IF($A3790="","",IFERROR(INDEX(계정매핑!$D$5:$D$504,MATCH($F3790&amp;"",계정매핑!$A$5:$A$504,0)),"미매핑"))</f>
        <v/>
      </c>
      <c r="X3790" s="9">
        <f>IF($A3790="","",$F3790&amp;"")</f>
        <v/>
      </c>
      <c r="Y3790" s="94">
        <f>IF($A3790="",0,IF(AE3790="직접",IF(AF3790="비귀속",$P3790,0),$P3790*(1-AG3790)*IFERROR(INDEX(계정대체기준!$F$20:$F$49,MATCH($N3790,계정대체기준!$A$20:$A$49,0)),1)))</f>
        <v/>
      </c>
      <c r="Z3790" s="94">
        <f>IF($A3790="",0,IF(AE3790="직접",IF(AF3790="신계약비",$P3790,0),$P3790*(1-AG3790)*IFERROR(INDEX(계정대체기준!$C$20:$C$49,MATCH($N3790,계정대체기준!$A$20:$A$49,0)),0)))</f>
        <v/>
      </c>
      <c r="AA3790" s="94">
        <f>IF($A3790="",0,IF(AE3790="직접",IF(OR(AF3790="유지비",AF3790="손해조사비"),$P3790,0),$P3790*(1-AG3790)*IFERROR(INDEX(계정대체기준!$D$20:$D$49,MATCH($N3790,계정대체기준!$A$20:$A$49,0)),0)))</f>
        <v/>
      </c>
      <c r="AB3790" s="94">
        <f>IF($A3790="",0,IF(AE3790="직접",IF(AF3790="수금비",$P3790,0),$P3790*(1-AG3790)*IFERROR(INDEX(계정대체기준!$E$20:$E$49,MATCH($N3790,계정대체기준!$A$20:$A$49,0)),0)))</f>
        <v/>
      </c>
      <c r="AC3790" s="9">
        <f>IF(AND($A3790&lt;&gt;"",M3790=설정!$C$20,Z3790&gt;0),Z3790+ROW()/1000000000,"")</f>
        <v/>
      </c>
      <c r="AD3790" s="94">
        <f>IF($A3790="",0,$P3790*AG3790)</f>
        <v/>
      </c>
      <c r="AE3790" s="64">
        <f>IF($A3790="","",IFERROR(INDEX(계정매핑!$E$5:$E$504,MATCH($F3790&amp;"",계정매핑!$A$5:$A$504,0))&amp;"","공통비"))</f>
        <v/>
      </c>
      <c r="AF3790" s="64">
        <f>IF($A3790="","",IF(AE3790="직접",IFERROR(INDEX(계정매핑!$F$5:$F$504,MATCH($F3790&amp;"",계정매핑!$A$5:$A$504,0))&amp;"","비귀속"),""))</f>
        <v/>
      </c>
      <c r="AG3790" s="96">
        <f>IF($A3790="",0,IF(AND(AE3790&lt;&gt;"직접",IFERROR(INDEX(계정매핑!$G$5:$G$504,MATCH($F3790&amp;"",계정매핑!$A$5:$A$504,0))&amp;"","")="유지비",COUNTIF(계정대체기준!$A$6:$A$15,$N3790)&gt;0),IFERROR(INDEX(계정대체기준!$E$6:$E$15,MATCH(VALUE($A3790&amp;""),계정대체기준!$D$6:$D$15,0)),0),0))</f>
        <v/>
      </c>
      <c r="AH3790" s="64">
        <f>IF($A3790="","",IF(AD3790=0,"",IF(OR(COUNTIF(계정대체기준!$A$77:$A$86,$N3790)&gt;0,ISNUMBER(MATCH($X3790,계정대체기준!$D$77:$D$86,0)),ISNUMBER(MATCH($F3790,계정대체기준!$D$77:$D$86,0))),"Y","N")))</f>
        <v/>
      </c>
    </row>
    <row r="3791">
      <c r="A3791" s="92" t="n">
        <v>2026</v>
      </c>
      <c r="B3791" s="92" t="n">
        <v>5</v>
      </c>
      <c r="C3791" s="92" t="inlineStr">
        <is>
          <t>5100001069</t>
        </is>
      </c>
      <c r="D3791" s="95" t="n">
        <v>46160</v>
      </c>
      <c r="E3791" s="92" t="inlineStr">
        <is>
          <t>KR</t>
        </is>
      </c>
      <c r="F3791" s="92" t="n">
        <v>62101000</v>
      </c>
      <c r="G3791" s="92" t="n">
        <v>1701</v>
      </c>
      <c r="H3791" s="93" t="n">
        <v>302000</v>
      </c>
      <c r="I3791" s="92" t="inlineStr">
        <is>
          <t>5월 국내출장 - L여행사</t>
        </is>
      </c>
      <c r="J3791" s="92" t="inlineStr">
        <is>
          <t>V10018</t>
        </is>
      </c>
      <c r="K3791" s="92" t="inlineStr">
        <is>
          <t>L여행사</t>
        </is>
      </c>
      <c r="M3791" s="9">
        <f>IF($A3791="","",VALUE($A3791&amp;"")*12+VALUE($B3791&amp;""))</f>
        <v/>
      </c>
      <c r="N3791" s="64">
        <f>IF($A3791="","",IFERROR(INDEX(부서매핑!$C$5:$C$504,MATCH($G3791&amp;"",부서매핑!$A$5:$A$504,0)),"미매핑"))</f>
        <v/>
      </c>
      <c r="O3791" s="9">
        <f>IF($A3791="","",N3791&amp;"|"&amp;$F3791)</f>
        <v/>
      </c>
      <c r="P3791" s="94">
        <f>IF($A3791="",0,$H3791*설정!$C$23)</f>
        <v/>
      </c>
      <c r="Q3791" s="64">
        <f>IF($A3791="","",IF(O3791&lt;&gt;원인분석!$C$9,"",IF(AND(M3791&gt;=원인분석!$C$10,M3791&lt;=원인분석!$C$11),"당기",IF(AND(M3791&gt;=원인분석!$C$12,M3791&lt;=원인분석!$C$13),"비교",""))))</f>
        <v/>
      </c>
      <c r="R3791" s="9">
        <f>IF(Q3791="","",$K3791&amp;"")</f>
        <v/>
      </c>
      <c r="S3791" s="9">
        <f>IF(Q3791="","",IF(MATCH(R3791,$R$5:$R$100000,0)=ROW()-4,ROW(),""))</f>
        <v/>
      </c>
      <c r="T3791" s="9">
        <f>IF(Q3791="당기",ABS(P3791)+ROW()/1000000000,"")</f>
        <v/>
      </c>
      <c r="U3791" s="9">
        <f>IF(Q3791="비교",ABS(P3791)+ROW()/1000000000,"")</f>
        <v/>
      </c>
      <c r="V3791" s="64">
        <f>IF($A3791="","",IF(COUNTIF(변동분석!$E$7:$E$506,O3791)&gt;0,"Y","N"))</f>
        <v/>
      </c>
      <c r="W3791" s="64">
        <f>IF($A3791="","",IFERROR(INDEX(계정매핑!$D$5:$D$504,MATCH($F3791&amp;"",계정매핑!$A$5:$A$504,0)),"미매핑"))</f>
        <v/>
      </c>
      <c r="X3791" s="9">
        <f>IF($A3791="","",$F3791&amp;"")</f>
        <v/>
      </c>
      <c r="Y3791" s="94">
        <f>IF($A3791="",0,IF(AE3791="직접",IF(AF3791="비귀속",$P3791,0),$P3791*(1-AG3791)*IFERROR(INDEX(계정대체기준!$F$20:$F$49,MATCH($N3791,계정대체기준!$A$20:$A$49,0)),1)))</f>
        <v/>
      </c>
      <c r="Z3791" s="94">
        <f>IF($A3791="",0,IF(AE3791="직접",IF(AF3791="신계약비",$P3791,0),$P3791*(1-AG3791)*IFERROR(INDEX(계정대체기준!$C$20:$C$49,MATCH($N3791,계정대체기준!$A$20:$A$49,0)),0)))</f>
        <v/>
      </c>
      <c r="AA3791" s="94">
        <f>IF($A3791="",0,IF(AE3791="직접",IF(OR(AF3791="유지비",AF3791="손해조사비"),$P3791,0),$P3791*(1-AG3791)*IFERROR(INDEX(계정대체기준!$D$20:$D$49,MATCH($N3791,계정대체기준!$A$20:$A$49,0)),0)))</f>
        <v/>
      </c>
      <c r="AB3791" s="94">
        <f>IF($A3791="",0,IF(AE3791="직접",IF(AF3791="수금비",$P3791,0),$P3791*(1-AG3791)*IFERROR(INDEX(계정대체기준!$E$20:$E$49,MATCH($N3791,계정대체기준!$A$20:$A$49,0)),0)))</f>
        <v/>
      </c>
      <c r="AC3791" s="9">
        <f>IF(AND($A3791&lt;&gt;"",M3791=설정!$C$20,Z3791&gt;0),Z3791+ROW()/1000000000,"")</f>
        <v/>
      </c>
      <c r="AD3791" s="94">
        <f>IF($A3791="",0,$P3791*AG3791)</f>
        <v/>
      </c>
      <c r="AE3791" s="64">
        <f>IF($A3791="","",IFERROR(INDEX(계정매핑!$E$5:$E$504,MATCH($F3791&amp;"",계정매핑!$A$5:$A$504,0))&amp;"","공통비"))</f>
        <v/>
      </c>
      <c r="AF3791" s="64">
        <f>IF($A3791="","",IF(AE3791="직접",IFERROR(INDEX(계정매핑!$F$5:$F$504,MATCH($F3791&amp;"",계정매핑!$A$5:$A$504,0))&amp;"","비귀속"),""))</f>
        <v/>
      </c>
      <c r="AG3791" s="96">
        <f>IF($A3791="",0,IF(AND(AE3791&lt;&gt;"직접",IFERROR(INDEX(계정매핑!$G$5:$G$504,MATCH($F3791&amp;"",계정매핑!$A$5:$A$504,0))&amp;"","")="유지비",COUNTIF(계정대체기준!$A$6:$A$15,$N3791)&gt;0),IFERROR(INDEX(계정대체기준!$E$6:$E$15,MATCH(VALUE($A3791&amp;""),계정대체기준!$D$6:$D$15,0)),0),0))</f>
        <v/>
      </c>
      <c r="AH3791" s="64">
        <f>IF($A3791="","",IF(AD3791=0,"",IF(OR(COUNTIF(계정대체기준!$A$77:$A$86,$N3791)&gt;0,ISNUMBER(MATCH($X3791,계정대체기준!$D$77:$D$86,0)),ISNUMBER(MATCH($F3791,계정대체기준!$D$77:$D$86,0))),"Y","N")))</f>
        <v/>
      </c>
    </row>
    <row r="3792">
      <c r="A3792" s="92" t="n">
        <v>2026</v>
      </c>
      <c r="B3792" s="92" t="n">
        <v>5</v>
      </c>
      <c r="C3792" s="92" t="inlineStr">
        <is>
          <t>5100001070</t>
        </is>
      </c>
      <c r="D3792" s="95" t="n">
        <v>46160</v>
      </c>
      <c r="E3792" s="92" t="inlineStr">
        <is>
          <t>KR</t>
        </is>
      </c>
      <c r="F3792" s="92" t="n">
        <v>62102000</v>
      </c>
      <c r="G3792" s="92" t="n">
        <v>1301</v>
      </c>
      <c r="H3792" s="93" t="n">
        <v>67000</v>
      </c>
      <c r="I3792" s="92" t="inlineStr">
        <is>
          <t>5월 해외출장 - N호텔</t>
        </is>
      </c>
      <c r="J3792" s="92" t="inlineStr">
        <is>
          <t>V10009</t>
        </is>
      </c>
      <c r="K3792" s="92" t="inlineStr">
        <is>
          <t>N호텔</t>
        </is>
      </c>
      <c r="M3792" s="9">
        <f>IF($A3792="","",VALUE($A3792&amp;"")*12+VALUE($B3792&amp;""))</f>
        <v/>
      </c>
      <c r="N3792" s="64">
        <f>IF($A3792="","",IFERROR(INDEX(부서매핑!$C$5:$C$504,MATCH($G3792&amp;"",부서매핑!$A$5:$A$504,0)),"미매핑"))</f>
        <v/>
      </c>
      <c r="O3792" s="9">
        <f>IF($A3792="","",N3792&amp;"|"&amp;$F3792)</f>
        <v/>
      </c>
      <c r="P3792" s="94">
        <f>IF($A3792="",0,$H3792*설정!$C$23)</f>
        <v/>
      </c>
      <c r="Q3792" s="64">
        <f>IF($A3792="","",IF(O3792&lt;&gt;원인분석!$C$9,"",IF(AND(M3792&gt;=원인분석!$C$10,M3792&lt;=원인분석!$C$11),"당기",IF(AND(M3792&gt;=원인분석!$C$12,M3792&lt;=원인분석!$C$13),"비교",""))))</f>
        <v/>
      </c>
      <c r="R3792" s="9">
        <f>IF(Q3792="","",$K3792&amp;"")</f>
        <v/>
      </c>
      <c r="S3792" s="9">
        <f>IF(Q3792="","",IF(MATCH(R3792,$R$5:$R$100000,0)=ROW()-4,ROW(),""))</f>
        <v/>
      </c>
      <c r="T3792" s="9">
        <f>IF(Q3792="당기",ABS(P3792)+ROW()/1000000000,"")</f>
        <v/>
      </c>
      <c r="U3792" s="9">
        <f>IF(Q3792="비교",ABS(P3792)+ROW()/1000000000,"")</f>
        <v/>
      </c>
      <c r="V3792" s="64">
        <f>IF($A3792="","",IF(COUNTIF(변동분석!$E$7:$E$506,O3792)&gt;0,"Y","N"))</f>
        <v/>
      </c>
      <c r="W3792" s="64">
        <f>IF($A3792="","",IFERROR(INDEX(계정매핑!$D$5:$D$504,MATCH($F3792&amp;"",계정매핑!$A$5:$A$504,0)),"미매핑"))</f>
        <v/>
      </c>
      <c r="X3792" s="9">
        <f>IF($A3792="","",$F3792&amp;"")</f>
        <v/>
      </c>
      <c r="Y3792" s="94">
        <f>IF($A3792="",0,IF(AE3792="직접",IF(AF3792="비귀속",$P3792,0),$P3792*(1-AG3792)*IFERROR(INDEX(계정대체기준!$F$20:$F$49,MATCH($N3792,계정대체기준!$A$20:$A$49,0)),1)))</f>
        <v/>
      </c>
      <c r="Z3792" s="94">
        <f>IF($A3792="",0,IF(AE3792="직접",IF(AF3792="신계약비",$P3792,0),$P3792*(1-AG3792)*IFERROR(INDEX(계정대체기준!$C$20:$C$49,MATCH($N3792,계정대체기준!$A$20:$A$49,0)),0)))</f>
        <v/>
      </c>
      <c r="AA3792" s="94">
        <f>IF($A3792="",0,IF(AE3792="직접",IF(OR(AF3792="유지비",AF3792="손해조사비"),$P3792,0),$P3792*(1-AG3792)*IFERROR(INDEX(계정대체기준!$D$20:$D$49,MATCH($N3792,계정대체기준!$A$20:$A$49,0)),0)))</f>
        <v/>
      </c>
      <c r="AB3792" s="94">
        <f>IF($A3792="",0,IF(AE3792="직접",IF(AF3792="수금비",$P3792,0),$P3792*(1-AG3792)*IFERROR(INDEX(계정대체기준!$E$20:$E$49,MATCH($N3792,계정대체기준!$A$20:$A$49,0)),0)))</f>
        <v/>
      </c>
      <c r="AC3792" s="9">
        <f>IF(AND($A3792&lt;&gt;"",M3792=설정!$C$20,Z3792&gt;0),Z3792+ROW()/1000000000,"")</f>
        <v/>
      </c>
      <c r="AD3792" s="94">
        <f>IF($A3792="",0,$P3792*AG3792)</f>
        <v/>
      </c>
      <c r="AE3792" s="64">
        <f>IF($A3792="","",IFERROR(INDEX(계정매핑!$E$5:$E$504,MATCH($F3792&amp;"",계정매핑!$A$5:$A$504,0))&amp;"","공통비"))</f>
        <v/>
      </c>
      <c r="AF3792" s="64">
        <f>IF($A3792="","",IF(AE3792="직접",IFERROR(INDEX(계정매핑!$F$5:$F$504,MATCH($F3792&amp;"",계정매핑!$A$5:$A$504,0))&amp;"","비귀속"),""))</f>
        <v/>
      </c>
      <c r="AG3792" s="96">
        <f>IF($A3792="",0,IF(AND(AE3792&lt;&gt;"직접",IFERROR(INDEX(계정매핑!$G$5:$G$504,MATCH($F3792&amp;"",계정매핑!$A$5:$A$504,0))&amp;"","")="유지비",COUNTIF(계정대체기준!$A$6:$A$15,$N3792)&gt;0),IFERROR(INDEX(계정대체기준!$E$6:$E$15,MATCH(VALUE($A3792&amp;""),계정대체기준!$D$6:$D$15,0)),0),0))</f>
        <v/>
      </c>
      <c r="AH3792" s="64">
        <f>IF($A3792="","",IF(AD3792=0,"",IF(OR(COUNTIF(계정대체기준!$A$77:$A$86,$N3792)&gt;0,ISNUMBER(MATCH($X3792,계정대체기준!$D$77:$D$86,0)),ISNUMBER(MATCH($F3792,계정대체기준!$D$77:$D$86,0))),"Y","N")))</f>
        <v/>
      </c>
    </row>
    <row r="3793">
      <c r="A3793" s="92" t="n">
        <v>2026</v>
      </c>
      <c r="B3793" s="92" t="n">
        <v>5</v>
      </c>
      <c r="C3793" s="92" t="inlineStr">
        <is>
          <t>5100001071</t>
        </is>
      </c>
      <c r="D3793" s="95" t="n">
        <v>46160</v>
      </c>
      <c r="E3793" s="92" t="inlineStr">
        <is>
          <t>KR</t>
        </is>
      </c>
      <c r="F3793" s="92" t="n">
        <v>62201000</v>
      </c>
      <c r="G3793" s="92" t="n">
        <v>1951</v>
      </c>
      <c r="H3793" s="93" t="n">
        <v>331000</v>
      </c>
      <c r="I3793" s="92" t="inlineStr">
        <is>
          <t>5월 통신요금 - P통신</t>
        </is>
      </c>
      <c r="J3793" s="92" t="inlineStr">
        <is>
          <t>V10014</t>
        </is>
      </c>
      <c r="K3793" s="92" t="inlineStr">
        <is>
          <t>P통신</t>
        </is>
      </c>
      <c r="M3793" s="9">
        <f>IF($A3793="","",VALUE($A3793&amp;"")*12+VALUE($B3793&amp;""))</f>
        <v/>
      </c>
      <c r="N3793" s="64">
        <f>IF($A3793="","",IFERROR(INDEX(부서매핑!$C$5:$C$504,MATCH($G3793&amp;"",부서매핑!$A$5:$A$504,0)),"미매핑"))</f>
        <v/>
      </c>
      <c r="O3793" s="9">
        <f>IF($A3793="","",N3793&amp;"|"&amp;$F3793)</f>
        <v/>
      </c>
      <c r="P3793" s="94">
        <f>IF($A3793="",0,$H3793*설정!$C$23)</f>
        <v/>
      </c>
      <c r="Q3793" s="64">
        <f>IF($A3793="","",IF(O3793&lt;&gt;원인분석!$C$9,"",IF(AND(M3793&gt;=원인분석!$C$10,M3793&lt;=원인분석!$C$11),"당기",IF(AND(M3793&gt;=원인분석!$C$12,M3793&lt;=원인분석!$C$13),"비교",""))))</f>
        <v/>
      </c>
      <c r="R3793" s="9">
        <f>IF(Q3793="","",$K3793&amp;"")</f>
        <v/>
      </c>
      <c r="S3793" s="9">
        <f>IF(Q3793="","",IF(MATCH(R3793,$R$5:$R$100000,0)=ROW()-4,ROW(),""))</f>
        <v/>
      </c>
      <c r="T3793" s="9">
        <f>IF(Q3793="당기",ABS(P3793)+ROW()/1000000000,"")</f>
        <v/>
      </c>
      <c r="U3793" s="9">
        <f>IF(Q3793="비교",ABS(P3793)+ROW()/1000000000,"")</f>
        <v/>
      </c>
      <c r="V3793" s="64">
        <f>IF($A3793="","",IF(COUNTIF(변동분석!$E$7:$E$506,O3793)&gt;0,"Y","N"))</f>
        <v/>
      </c>
      <c r="W3793" s="64">
        <f>IF($A3793="","",IFERROR(INDEX(계정매핑!$D$5:$D$504,MATCH($F3793&amp;"",계정매핑!$A$5:$A$504,0)),"미매핑"))</f>
        <v/>
      </c>
      <c r="X3793" s="9">
        <f>IF($A3793="","",$F3793&amp;"")</f>
        <v/>
      </c>
      <c r="Y3793" s="94">
        <f>IF($A3793="",0,IF(AE3793="직접",IF(AF3793="비귀속",$P3793,0),$P3793*(1-AG3793)*IFERROR(INDEX(계정대체기준!$F$20:$F$49,MATCH($N3793,계정대체기준!$A$20:$A$49,0)),1)))</f>
        <v/>
      </c>
      <c r="Z3793" s="94">
        <f>IF($A3793="",0,IF(AE3793="직접",IF(AF3793="신계약비",$P3793,0),$P3793*(1-AG3793)*IFERROR(INDEX(계정대체기준!$C$20:$C$49,MATCH($N3793,계정대체기준!$A$20:$A$49,0)),0)))</f>
        <v/>
      </c>
      <c r="AA3793" s="94">
        <f>IF($A3793="",0,IF(AE3793="직접",IF(OR(AF3793="유지비",AF3793="손해조사비"),$P3793,0),$P3793*(1-AG3793)*IFERROR(INDEX(계정대체기준!$D$20:$D$49,MATCH($N3793,계정대체기준!$A$20:$A$49,0)),0)))</f>
        <v/>
      </c>
      <c r="AB3793" s="94">
        <f>IF($A3793="",0,IF(AE3793="직접",IF(AF3793="수금비",$P3793,0),$P3793*(1-AG3793)*IFERROR(INDEX(계정대체기준!$E$20:$E$49,MATCH($N3793,계정대체기준!$A$20:$A$49,0)),0)))</f>
        <v/>
      </c>
      <c r="AC3793" s="9">
        <f>IF(AND($A3793&lt;&gt;"",M3793=설정!$C$20,Z3793&gt;0),Z3793+ROW()/1000000000,"")</f>
        <v/>
      </c>
      <c r="AD3793" s="94">
        <f>IF($A3793="",0,$P3793*AG3793)</f>
        <v/>
      </c>
      <c r="AE3793" s="64">
        <f>IF($A3793="","",IFERROR(INDEX(계정매핑!$E$5:$E$504,MATCH($F3793&amp;"",계정매핑!$A$5:$A$504,0))&amp;"","공통비"))</f>
        <v/>
      </c>
      <c r="AF3793" s="64">
        <f>IF($A3793="","",IF(AE3793="직접",IFERROR(INDEX(계정매핑!$F$5:$F$504,MATCH($F3793&amp;"",계정매핑!$A$5:$A$504,0))&amp;"","비귀속"),""))</f>
        <v/>
      </c>
      <c r="AG3793" s="96">
        <f>IF($A3793="",0,IF(AND(AE3793&lt;&gt;"직접",IFERROR(INDEX(계정매핑!$G$5:$G$504,MATCH($F3793&amp;"",계정매핑!$A$5:$A$504,0))&amp;"","")="유지비",COUNTIF(계정대체기준!$A$6:$A$15,$N3793)&gt;0),IFERROR(INDEX(계정대체기준!$E$6:$E$15,MATCH(VALUE($A3793&amp;""),계정대체기준!$D$6:$D$15,0)),0),0))</f>
        <v/>
      </c>
      <c r="AH3793" s="64">
        <f>IF($A3793="","",IF(AD3793=0,"",IF(OR(COUNTIF(계정대체기준!$A$77:$A$86,$N3793)&gt;0,ISNUMBER(MATCH($X3793,계정대체기준!$D$77:$D$86,0)),ISNUMBER(MATCH($F3793,계정대체기준!$D$77:$D$86,0))),"Y","N")))</f>
        <v/>
      </c>
    </row>
    <row r="3794">
      <c r="A3794" s="92" t="n">
        <v>2026</v>
      </c>
      <c r="B3794" s="92" t="n">
        <v>5</v>
      </c>
      <c r="C3794" s="92" t="inlineStr">
        <is>
          <t>5100001072</t>
        </is>
      </c>
      <c r="D3794" s="95" t="n">
        <v>46160</v>
      </c>
      <c r="E3794" s="92" t="inlineStr">
        <is>
          <t>KR</t>
        </is>
      </c>
      <c r="F3794" s="92" t="n">
        <v>62301000</v>
      </c>
      <c r="G3794" s="92" t="n">
        <v>1301</v>
      </c>
      <c r="H3794" s="93" t="n">
        <v>217000</v>
      </c>
      <c r="I3794" s="92" t="inlineStr">
        <is>
          <t>5월 소모품 구입 - R문구</t>
        </is>
      </c>
      <c r="J3794" s="92" t="inlineStr">
        <is>
          <t>V10022</t>
        </is>
      </c>
      <c r="K3794" s="92" t="inlineStr">
        <is>
          <t>R문구</t>
        </is>
      </c>
      <c r="M3794" s="9">
        <f>IF($A3794="","",VALUE($A3794&amp;"")*12+VALUE($B3794&amp;""))</f>
        <v/>
      </c>
      <c r="N3794" s="64">
        <f>IF($A3794="","",IFERROR(INDEX(부서매핑!$C$5:$C$504,MATCH($G3794&amp;"",부서매핑!$A$5:$A$504,0)),"미매핑"))</f>
        <v/>
      </c>
      <c r="O3794" s="9">
        <f>IF($A3794="","",N3794&amp;"|"&amp;$F3794)</f>
        <v/>
      </c>
      <c r="P3794" s="94">
        <f>IF($A3794="",0,$H3794*설정!$C$23)</f>
        <v/>
      </c>
      <c r="Q3794" s="64">
        <f>IF($A3794="","",IF(O3794&lt;&gt;원인분석!$C$9,"",IF(AND(M3794&gt;=원인분석!$C$10,M3794&lt;=원인분석!$C$11),"당기",IF(AND(M3794&gt;=원인분석!$C$12,M3794&lt;=원인분석!$C$13),"비교",""))))</f>
        <v/>
      </c>
      <c r="R3794" s="9">
        <f>IF(Q3794="","",$K3794&amp;"")</f>
        <v/>
      </c>
      <c r="S3794" s="9">
        <f>IF(Q3794="","",IF(MATCH(R3794,$R$5:$R$100000,0)=ROW()-4,ROW(),""))</f>
        <v/>
      </c>
      <c r="T3794" s="9">
        <f>IF(Q3794="당기",ABS(P3794)+ROW()/1000000000,"")</f>
        <v/>
      </c>
      <c r="U3794" s="9">
        <f>IF(Q3794="비교",ABS(P3794)+ROW()/1000000000,"")</f>
        <v/>
      </c>
      <c r="V3794" s="64">
        <f>IF($A3794="","",IF(COUNTIF(변동분석!$E$7:$E$506,O3794)&gt;0,"Y","N"))</f>
        <v/>
      </c>
      <c r="W3794" s="64">
        <f>IF($A3794="","",IFERROR(INDEX(계정매핑!$D$5:$D$504,MATCH($F3794&amp;"",계정매핑!$A$5:$A$504,0)),"미매핑"))</f>
        <v/>
      </c>
      <c r="X3794" s="9">
        <f>IF($A3794="","",$F3794&amp;"")</f>
        <v/>
      </c>
      <c r="Y3794" s="94">
        <f>IF($A3794="",0,IF(AE3794="직접",IF(AF3794="비귀속",$P3794,0),$P3794*(1-AG3794)*IFERROR(INDEX(계정대체기준!$F$20:$F$49,MATCH($N3794,계정대체기준!$A$20:$A$49,0)),1)))</f>
        <v/>
      </c>
      <c r="Z3794" s="94">
        <f>IF($A3794="",0,IF(AE3794="직접",IF(AF3794="신계약비",$P3794,0),$P3794*(1-AG3794)*IFERROR(INDEX(계정대체기준!$C$20:$C$49,MATCH($N3794,계정대체기준!$A$20:$A$49,0)),0)))</f>
        <v/>
      </c>
      <c r="AA3794" s="94">
        <f>IF($A3794="",0,IF(AE3794="직접",IF(OR(AF3794="유지비",AF3794="손해조사비"),$P3794,0),$P3794*(1-AG3794)*IFERROR(INDEX(계정대체기준!$D$20:$D$49,MATCH($N3794,계정대체기준!$A$20:$A$49,0)),0)))</f>
        <v/>
      </c>
      <c r="AB3794" s="94">
        <f>IF($A3794="",0,IF(AE3794="직접",IF(AF3794="수금비",$P3794,0),$P3794*(1-AG3794)*IFERROR(INDEX(계정대체기준!$E$20:$E$49,MATCH($N3794,계정대체기준!$A$20:$A$49,0)),0)))</f>
        <v/>
      </c>
      <c r="AC3794" s="9">
        <f>IF(AND($A3794&lt;&gt;"",M3794=설정!$C$20,Z3794&gt;0),Z3794+ROW()/1000000000,"")</f>
        <v/>
      </c>
      <c r="AD3794" s="94">
        <f>IF($A3794="",0,$P3794*AG3794)</f>
        <v/>
      </c>
      <c r="AE3794" s="64">
        <f>IF($A3794="","",IFERROR(INDEX(계정매핑!$E$5:$E$504,MATCH($F3794&amp;"",계정매핑!$A$5:$A$504,0))&amp;"","공통비"))</f>
        <v/>
      </c>
      <c r="AF3794" s="64">
        <f>IF($A3794="","",IF(AE3794="직접",IFERROR(INDEX(계정매핑!$F$5:$F$504,MATCH($F3794&amp;"",계정매핑!$A$5:$A$504,0))&amp;"","비귀속"),""))</f>
        <v/>
      </c>
      <c r="AG3794" s="96">
        <f>IF($A3794="",0,IF(AND(AE3794&lt;&gt;"직접",IFERROR(INDEX(계정매핑!$G$5:$G$504,MATCH($F3794&amp;"",계정매핑!$A$5:$A$504,0))&amp;"","")="유지비",COUNTIF(계정대체기준!$A$6:$A$15,$N3794)&gt;0),IFERROR(INDEX(계정대체기준!$E$6:$E$15,MATCH(VALUE($A3794&amp;""),계정대체기준!$D$6:$D$15,0)),0),0))</f>
        <v/>
      </c>
      <c r="AH3794" s="64">
        <f>IF($A3794="","",IF(AD3794=0,"",IF(OR(COUNTIF(계정대체기준!$A$77:$A$86,$N3794)&gt;0,ISNUMBER(MATCH($X3794,계정대체기준!$D$77:$D$86,0)),ISNUMBER(MATCH($F3794,계정대체기준!$D$77:$D$86,0))),"Y","N")))</f>
        <v/>
      </c>
    </row>
    <row r="3795">
      <c r="A3795" s="92" t="n">
        <v>2026</v>
      </c>
      <c r="B3795" s="92" t="n">
        <v>5</v>
      </c>
      <c r="C3795" s="92" t="inlineStr">
        <is>
          <t>5100001073</t>
        </is>
      </c>
      <c r="D3795" s="95" t="n">
        <v>46160</v>
      </c>
      <c r="E3795" s="92" t="inlineStr">
        <is>
          <t>KR</t>
        </is>
      </c>
      <c r="F3795" s="92" t="n">
        <v>62501000</v>
      </c>
      <c r="G3795" s="92" t="n">
        <v>1101</v>
      </c>
      <c r="H3795" s="93" t="n">
        <v>235000</v>
      </c>
      <c r="I3795" s="92" t="inlineStr">
        <is>
          <t>5월 회의 다과 - T케이터링</t>
        </is>
      </c>
      <c r="J3795" s="92" t="inlineStr">
        <is>
          <t>V10005</t>
        </is>
      </c>
      <c r="K3795" s="92" t="inlineStr">
        <is>
          <t>T케이터링</t>
        </is>
      </c>
      <c r="M3795" s="9">
        <f>IF($A3795="","",VALUE($A3795&amp;"")*12+VALUE($B3795&amp;""))</f>
        <v/>
      </c>
      <c r="N3795" s="64">
        <f>IF($A3795="","",IFERROR(INDEX(부서매핑!$C$5:$C$504,MATCH($G3795&amp;"",부서매핑!$A$5:$A$504,0)),"미매핑"))</f>
        <v/>
      </c>
      <c r="O3795" s="9">
        <f>IF($A3795="","",N3795&amp;"|"&amp;$F3795)</f>
        <v/>
      </c>
      <c r="P3795" s="94">
        <f>IF($A3795="",0,$H3795*설정!$C$23)</f>
        <v/>
      </c>
      <c r="Q3795" s="64">
        <f>IF($A3795="","",IF(O3795&lt;&gt;원인분석!$C$9,"",IF(AND(M3795&gt;=원인분석!$C$10,M3795&lt;=원인분석!$C$11),"당기",IF(AND(M3795&gt;=원인분석!$C$12,M3795&lt;=원인분석!$C$13),"비교",""))))</f>
        <v/>
      </c>
      <c r="R3795" s="9">
        <f>IF(Q3795="","",$K3795&amp;"")</f>
        <v/>
      </c>
      <c r="S3795" s="9">
        <f>IF(Q3795="","",IF(MATCH(R3795,$R$5:$R$100000,0)=ROW()-4,ROW(),""))</f>
        <v/>
      </c>
      <c r="T3795" s="9">
        <f>IF(Q3795="당기",ABS(P3795)+ROW()/1000000000,"")</f>
        <v/>
      </c>
      <c r="U3795" s="9">
        <f>IF(Q3795="비교",ABS(P3795)+ROW()/1000000000,"")</f>
        <v/>
      </c>
      <c r="V3795" s="64">
        <f>IF($A3795="","",IF(COUNTIF(변동분석!$E$7:$E$506,O3795)&gt;0,"Y","N"))</f>
        <v/>
      </c>
      <c r="W3795" s="64">
        <f>IF($A3795="","",IFERROR(INDEX(계정매핑!$D$5:$D$504,MATCH($F3795&amp;"",계정매핑!$A$5:$A$504,0)),"미매핑"))</f>
        <v/>
      </c>
      <c r="X3795" s="9">
        <f>IF($A3795="","",$F3795&amp;"")</f>
        <v/>
      </c>
      <c r="Y3795" s="94">
        <f>IF($A3795="",0,IF(AE3795="직접",IF(AF3795="비귀속",$P3795,0),$P3795*(1-AG3795)*IFERROR(INDEX(계정대체기준!$F$20:$F$49,MATCH($N3795,계정대체기준!$A$20:$A$49,0)),1)))</f>
        <v/>
      </c>
      <c r="Z3795" s="94">
        <f>IF($A3795="",0,IF(AE3795="직접",IF(AF3795="신계약비",$P3795,0),$P3795*(1-AG3795)*IFERROR(INDEX(계정대체기준!$C$20:$C$49,MATCH($N3795,계정대체기준!$A$20:$A$49,0)),0)))</f>
        <v/>
      </c>
      <c r="AA3795" s="94">
        <f>IF($A3795="",0,IF(AE3795="직접",IF(OR(AF3795="유지비",AF3795="손해조사비"),$P3795,0),$P3795*(1-AG3795)*IFERROR(INDEX(계정대체기준!$D$20:$D$49,MATCH($N3795,계정대체기준!$A$20:$A$49,0)),0)))</f>
        <v/>
      </c>
      <c r="AB3795" s="94">
        <f>IF($A3795="",0,IF(AE3795="직접",IF(AF3795="수금비",$P3795,0),$P3795*(1-AG3795)*IFERROR(INDEX(계정대체기준!$E$20:$E$49,MATCH($N3795,계정대체기준!$A$20:$A$49,0)),0)))</f>
        <v/>
      </c>
      <c r="AC3795" s="9">
        <f>IF(AND($A3795&lt;&gt;"",M3795=설정!$C$20,Z3795&gt;0),Z3795+ROW()/1000000000,"")</f>
        <v/>
      </c>
      <c r="AD3795" s="94">
        <f>IF($A3795="",0,$P3795*AG3795)</f>
        <v/>
      </c>
      <c r="AE3795" s="64">
        <f>IF($A3795="","",IFERROR(INDEX(계정매핑!$E$5:$E$504,MATCH($F3795&amp;"",계정매핑!$A$5:$A$504,0))&amp;"","공통비"))</f>
        <v/>
      </c>
      <c r="AF3795" s="64">
        <f>IF($A3795="","",IF(AE3795="직접",IFERROR(INDEX(계정매핑!$F$5:$F$504,MATCH($F3795&amp;"",계정매핑!$A$5:$A$504,0))&amp;"","비귀속"),""))</f>
        <v/>
      </c>
      <c r="AG3795" s="96">
        <f>IF($A3795="",0,IF(AND(AE3795&lt;&gt;"직접",IFERROR(INDEX(계정매핑!$G$5:$G$504,MATCH($F3795&amp;"",계정매핑!$A$5:$A$504,0))&amp;"","")="유지비",COUNTIF(계정대체기준!$A$6:$A$15,$N3795)&gt;0),IFERROR(INDEX(계정대체기준!$E$6:$E$15,MATCH(VALUE($A3795&amp;""),계정대체기준!$D$6:$D$15,0)),0),0))</f>
        <v/>
      </c>
      <c r="AH3795" s="64">
        <f>IF($A3795="","",IF(AD3795=0,"",IF(OR(COUNTIF(계정대체기준!$A$77:$A$86,$N3795)&gt;0,ISNUMBER(MATCH($X3795,계정대체기준!$D$77:$D$86,0)),ISNUMBER(MATCH($F3795,계정대체기준!$D$77:$D$86,0))),"Y","N")))</f>
        <v/>
      </c>
    </row>
    <row r="3796">
      <c r="A3796" s="92" t="n">
        <v>2026</v>
      </c>
      <c r="B3796" s="92" t="n">
        <v>5</v>
      </c>
      <c r="C3796" s="92" t="inlineStr">
        <is>
          <t>5100001074</t>
        </is>
      </c>
      <c r="D3796" s="95" t="n">
        <v>46160</v>
      </c>
      <c r="E3796" s="92" t="inlineStr">
        <is>
          <t>KR</t>
        </is>
      </c>
      <c r="F3796" s="92" t="n">
        <v>62501000</v>
      </c>
      <c r="G3796" s="92" t="n">
        <v>1201</v>
      </c>
      <c r="H3796" s="93" t="n">
        <v>121000</v>
      </c>
      <c r="I3796" s="92" t="inlineStr">
        <is>
          <t>5월 회의 다과 - T케이터링</t>
        </is>
      </c>
      <c r="J3796" s="92" t="inlineStr">
        <is>
          <t>V10005</t>
        </is>
      </c>
      <c r="K3796" s="92" t="inlineStr">
        <is>
          <t>T케이터링</t>
        </is>
      </c>
      <c r="M3796" s="9">
        <f>IF($A3796="","",VALUE($A3796&amp;"")*12+VALUE($B3796&amp;""))</f>
        <v/>
      </c>
      <c r="N3796" s="64">
        <f>IF($A3796="","",IFERROR(INDEX(부서매핑!$C$5:$C$504,MATCH($G3796&amp;"",부서매핑!$A$5:$A$504,0)),"미매핑"))</f>
        <v/>
      </c>
      <c r="O3796" s="9">
        <f>IF($A3796="","",N3796&amp;"|"&amp;$F3796)</f>
        <v/>
      </c>
      <c r="P3796" s="94">
        <f>IF($A3796="",0,$H3796*설정!$C$23)</f>
        <v/>
      </c>
      <c r="Q3796" s="64">
        <f>IF($A3796="","",IF(O3796&lt;&gt;원인분석!$C$9,"",IF(AND(M3796&gt;=원인분석!$C$10,M3796&lt;=원인분석!$C$11),"당기",IF(AND(M3796&gt;=원인분석!$C$12,M3796&lt;=원인분석!$C$13),"비교",""))))</f>
        <v/>
      </c>
      <c r="R3796" s="9">
        <f>IF(Q3796="","",$K3796&amp;"")</f>
        <v/>
      </c>
      <c r="S3796" s="9">
        <f>IF(Q3796="","",IF(MATCH(R3796,$R$5:$R$100000,0)=ROW()-4,ROW(),""))</f>
        <v/>
      </c>
      <c r="T3796" s="9">
        <f>IF(Q3796="당기",ABS(P3796)+ROW()/1000000000,"")</f>
        <v/>
      </c>
      <c r="U3796" s="9">
        <f>IF(Q3796="비교",ABS(P3796)+ROW()/1000000000,"")</f>
        <v/>
      </c>
      <c r="V3796" s="64">
        <f>IF($A3796="","",IF(COUNTIF(변동분석!$E$7:$E$506,O3796)&gt;0,"Y","N"))</f>
        <v/>
      </c>
      <c r="W3796" s="64">
        <f>IF($A3796="","",IFERROR(INDEX(계정매핑!$D$5:$D$504,MATCH($F3796&amp;"",계정매핑!$A$5:$A$504,0)),"미매핑"))</f>
        <v/>
      </c>
      <c r="X3796" s="9">
        <f>IF($A3796="","",$F3796&amp;"")</f>
        <v/>
      </c>
      <c r="Y3796" s="94">
        <f>IF($A3796="",0,IF(AE3796="직접",IF(AF3796="비귀속",$P3796,0),$P3796*(1-AG3796)*IFERROR(INDEX(계정대체기준!$F$20:$F$49,MATCH($N3796,계정대체기준!$A$20:$A$49,0)),1)))</f>
        <v/>
      </c>
      <c r="Z3796" s="94">
        <f>IF($A3796="",0,IF(AE3796="직접",IF(AF3796="신계약비",$P3796,0),$P3796*(1-AG3796)*IFERROR(INDEX(계정대체기준!$C$20:$C$49,MATCH($N3796,계정대체기준!$A$20:$A$49,0)),0)))</f>
        <v/>
      </c>
      <c r="AA3796" s="94">
        <f>IF($A3796="",0,IF(AE3796="직접",IF(OR(AF3796="유지비",AF3796="손해조사비"),$P3796,0),$P3796*(1-AG3796)*IFERROR(INDEX(계정대체기준!$D$20:$D$49,MATCH($N3796,계정대체기준!$A$20:$A$49,0)),0)))</f>
        <v/>
      </c>
      <c r="AB3796" s="94">
        <f>IF($A3796="",0,IF(AE3796="직접",IF(AF3796="수금비",$P3796,0),$P3796*(1-AG3796)*IFERROR(INDEX(계정대체기준!$E$20:$E$49,MATCH($N3796,계정대체기준!$A$20:$A$49,0)),0)))</f>
        <v/>
      </c>
      <c r="AC3796" s="9">
        <f>IF(AND($A3796&lt;&gt;"",M3796=설정!$C$20,Z3796&gt;0),Z3796+ROW()/1000000000,"")</f>
        <v/>
      </c>
      <c r="AD3796" s="94">
        <f>IF($A3796="",0,$P3796*AG3796)</f>
        <v/>
      </c>
      <c r="AE3796" s="64">
        <f>IF($A3796="","",IFERROR(INDEX(계정매핑!$E$5:$E$504,MATCH($F3796&amp;"",계정매핑!$A$5:$A$504,0))&amp;"","공통비"))</f>
        <v/>
      </c>
      <c r="AF3796" s="64">
        <f>IF($A3796="","",IF(AE3796="직접",IFERROR(INDEX(계정매핑!$F$5:$F$504,MATCH($F3796&amp;"",계정매핑!$A$5:$A$504,0))&amp;"","비귀속"),""))</f>
        <v/>
      </c>
      <c r="AG3796" s="96">
        <f>IF($A3796="",0,IF(AND(AE3796&lt;&gt;"직접",IFERROR(INDEX(계정매핑!$G$5:$G$504,MATCH($F3796&amp;"",계정매핑!$A$5:$A$504,0))&amp;"","")="유지비",COUNTIF(계정대체기준!$A$6:$A$15,$N3796)&gt;0),IFERROR(INDEX(계정대체기준!$E$6:$E$15,MATCH(VALUE($A3796&amp;""),계정대체기준!$D$6:$D$15,0)),0),0))</f>
        <v/>
      </c>
      <c r="AH3796" s="64">
        <f>IF($A3796="","",IF(AD3796=0,"",IF(OR(COUNTIF(계정대체기준!$A$77:$A$86,$N3796)&gt;0,ISNUMBER(MATCH($X3796,계정대체기준!$D$77:$D$86,0)),ISNUMBER(MATCH($F3796,계정대체기준!$D$77:$D$86,0))),"Y","N")))</f>
        <v/>
      </c>
    </row>
    <row r="3797">
      <c r="A3797" s="92" t="n">
        <v>2026</v>
      </c>
      <c r="B3797" s="92" t="n">
        <v>5</v>
      </c>
      <c r="C3797" s="92" t="inlineStr">
        <is>
          <t>5100001075</t>
        </is>
      </c>
      <c r="D3797" s="95" t="n">
        <v>46160</v>
      </c>
      <c r="E3797" s="92" t="inlineStr">
        <is>
          <t>KR</t>
        </is>
      </c>
      <c r="F3797" s="92" t="n">
        <v>62902000</v>
      </c>
      <c r="G3797" s="92" t="n">
        <v>1401</v>
      </c>
      <c r="H3797" s="93" t="n">
        <v>2241000</v>
      </c>
      <c r="I3797" s="92" t="inlineStr">
        <is>
          <t>5월 업무 위탁 수수료 - X서비스</t>
        </is>
      </c>
      <c r="J3797" s="92" t="inlineStr">
        <is>
          <t>V10020</t>
        </is>
      </c>
      <c r="K3797" s="92" t="inlineStr">
        <is>
          <t>X서비스</t>
        </is>
      </c>
      <c r="M3797" s="9">
        <f>IF($A3797="","",VALUE($A3797&amp;"")*12+VALUE($B3797&amp;""))</f>
        <v/>
      </c>
      <c r="N3797" s="64">
        <f>IF($A3797="","",IFERROR(INDEX(부서매핑!$C$5:$C$504,MATCH($G3797&amp;"",부서매핑!$A$5:$A$504,0)),"미매핑"))</f>
        <v/>
      </c>
      <c r="O3797" s="9">
        <f>IF($A3797="","",N3797&amp;"|"&amp;$F3797)</f>
        <v/>
      </c>
      <c r="P3797" s="94">
        <f>IF($A3797="",0,$H3797*설정!$C$23)</f>
        <v/>
      </c>
      <c r="Q3797" s="64">
        <f>IF($A3797="","",IF(O3797&lt;&gt;원인분석!$C$9,"",IF(AND(M3797&gt;=원인분석!$C$10,M3797&lt;=원인분석!$C$11),"당기",IF(AND(M3797&gt;=원인분석!$C$12,M3797&lt;=원인분석!$C$13),"비교",""))))</f>
        <v/>
      </c>
      <c r="R3797" s="9">
        <f>IF(Q3797="","",$K3797&amp;"")</f>
        <v/>
      </c>
      <c r="S3797" s="9">
        <f>IF(Q3797="","",IF(MATCH(R3797,$R$5:$R$100000,0)=ROW()-4,ROW(),""))</f>
        <v/>
      </c>
      <c r="T3797" s="9">
        <f>IF(Q3797="당기",ABS(P3797)+ROW()/1000000000,"")</f>
        <v/>
      </c>
      <c r="U3797" s="9">
        <f>IF(Q3797="비교",ABS(P3797)+ROW()/1000000000,"")</f>
        <v/>
      </c>
      <c r="V3797" s="64">
        <f>IF($A3797="","",IF(COUNTIF(변동분석!$E$7:$E$506,O3797)&gt;0,"Y","N"))</f>
        <v/>
      </c>
      <c r="W3797" s="64">
        <f>IF($A3797="","",IFERROR(INDEX(계정매핑!$D$5:$D$504,MATCH($F3797&amp;"",계정매핑!$A$5:$A$504,0)),"미매핑"))</f>
        <v/>
      </c>
      <c r="X3797" s="9">
        <f>IF($A3797="","",$F3797&amp;"")</f>
        <v/>
      </c>
      <c r="Y3797" s="94">
        <f>IF($A3797="",0,IF(AE3797="직접",IF(AF3797="비귀속",$P3797,0),$P3797*(1-AG3797)*IFERROR(INDEX(계정대체기준!$F$20:$F$49,MATCH($N3797,계정대체기준!$A$20:$A$49,0)),1)))</f>
        <v/>
      </c>
      <c r="Z3797" s="94">
        <f>IF($A3797="",0,IF(AE3797="직접",IF(AF3797="신계약비",$P3797,0),$P3797*(1-AG3797)*IFERROR(INDEX(계정대체기준!$C$20:$C$49,MATCH($N3797,계정대체기준!$A$20:$A$49,0)),0)))</f>
        <v/>
      </c>
      <c r="AA3797" s="94">
        <f>IF($A3797="",0,IF(AE3797="직접",IF(OR(AF3797="유지비",AF3797="손해조사비"),$P3797,0),$P3797*(1-AG3797)*IFERROR(INDEX(계정대체기준!$D$20:$D$49,MATCH($N3797,계정대체기준!$A$20:$A$49,0)),0)))</f>
        <v/>
      </c>
      <c r="AB3797" s="94">
        <f>IF($A3797="",0,IF(AE3797="직접",IF(AF3797="수금비",$P3797,0),$P3797*(1-AG3797)*IFERROR(INDEX(계정대체기준!$E$20:$E$49,MATCH($N3797,계정대체기준!$A$20:$A$49,0)),0)))</f>
        <v/>
      </c>
      <c r="AC3797" s="9">
        <f>IF(AND($A3797&lt;&gt;"",M3797=설정!$C$20,Z3797&gt;0),Z3797+ROW()/1000000000,"")</f>
        <v/>
      </c>
      <c r="AD3797" s="94">
        <f>IF($A3797="",0,$P3797*AG3797)</f>
        <v/>
      </c>
      <c r="AE3797" s="64">
        <f>IF($A3797="","",IFERROR(INDEX(계정매핑!$E$5:$E$504,MATCH($F3797&amp;"",계정매핑!$A$5:$A$504,0))&amp;"","공통비"))</f>
        <v/>
      </c>
      <c r="AF3797" s="64">
        <f>IF($A3797="","",IF(AE3797="직접",IFERROR(INDEX(계정매핑!$F$5:$F$504,MATCH($F3797&amp;"",계정매핑!$A$5:$A$504,0))&amp;"","비귀속"),""))</f>
        <v/>
      </c>
      <c r="AG3797" s="96">
        <f>IF($A3797="",0,IF(AND(AE3797&lt;&gt;"직접",IFERROR(INDEX(계정매핑!$G$5:$G$504,MATCH($F3797&amp;"",계정매핑!$A$5:$A$504,0))&amp;"","")="유지비",COUNTIF(계정대체기준!$A$6:$A$15,$N3797)&gt;0),IFERROR(INDEX(계정대체기준!$E$6:$E$15,MATCH(VALUE($A3797&amp;""),계정대체기준!$D$6:$D$15,0)),0),0))</f>
        <v/>
      </c>
      <c r="AH3797" s="64">
        <f>IF($A3797="","",IF(AD3797=0,"",IF(OR(COUNTIF(계정대체기준!$A$77:$A$86,$N3797)&gt;0,ISNUMBER(MATCH($X3797,계정대체기준!$D$77:$D$86,0)),ISNUMBER(MATCH($F3797,계정대체기준!$D$77:$D$86,0))),"Y","N")))</f>
        <v/>
      </c>
    </row>
    <row r="3798">
      <c r="A3798" s="92" t="n">
        <v>2026</v>
      </c>
      <c r="B3798" s="92" t="n">
        <v>5</v>
      </c>
      <c r="C3798" s="92" t="inlineStr">
        <is>
          <t>5100001076</t>
        </is>
      </c>
      <c r="D3798" s="95" t="n">
        <v>46161</v>
      </c>
      <c r="E3798" s="92" t="inlineStr">
        <is>
          <t>KR</t>
        </is>
      </c>
      <c r="F3798" s="92" t="n">
        <v>62101000</v>
      </c>
      <c r="G3798" s="92" t="n">
        <v>1501</v>
      </c>
      <c r="H3798" s="93" t="n">
        <v>429000</v>
      </c>
      <c r="I3798" s="92" t="inlineStr">
        <is>
          <t>5월 국내출장 - M항공</t>
        </is>
      </c>
      <c r="J3798" s="92" t="inlineStr">
        <is>
          <t>V10001</t>
        </is>
      </c>
      <c r="K3798" s="92" t="inlineStr">
        <is>
          <t>M항공</t>
        </is>
      </c>
      <c r="M3798" s="9">
        <f>IF($A3798="","",VALUE($A3798&amp;"")*12+VALUE($B3798&amp;""))</f>
        <v/>
      </c>
      <c r="N3798" s="64">
        <f>IF($A3798="","",IFERROR(INDEX(부서매핑!$C$5:$C$504,MATCH($G3798&amp;"",부서매핑!$A$5:$A$504,0)),"미매핑"))</f>
        <v/>
      </c>
      <c r="O3798" s="9">
        <f>IF($A3798="","",N3798&amp;"|"&amp;$F3798)</f>
        <v/>
      </c>
      <c r="P3798" s="94">
        <f>IF($A3798="",0,$H3798*설정!$C$23)</f>
        <v/>
      </c>
      <c r="Q3798" s="64">
        <f>IF($A3798="","",IF(O3798&lt;&gt;원인분석!$C$9,"",IF(AND(M3798&gt;=원인분석!$C$10,M3798&lt;=원인분석!$C$11),"당기",IF(AND(M3798&gt;=원인분석!$C$12,M3798&lt;=원인분석!$C$13),"비교",""))))</f>
        <v/>
      </c>
      <c r="R3798" s="9">
        <f>IF(Q3798="","",$K3798&amp;"")</f>
        <v/>
      </c>
      <c r="S3798" s="9">
        <f>IF(Q3798="","",IF(MATCH(R3798,$R$5:$R$100000,0)=ROW()-4,ROW(),""))</f>
        <v/>
      </c>
      <c r="T3798" s="9">
        <f>IF(Q3798="당기",ABS(P3798)+ROW()/1000000000,"")</f>
        <v/>
      </c>
      <c r="U3798" s="9">
        <f>IF(Q3798="비교",ABS(P3798)+ROW()/1000000000,"")</f>
        <v/>
      </c>
      <c r="V3798" s="64">
        <f>IF($A3798="","",IF(COUNTIF(변동분석!$E$7:$E$506,O3798)&gt;0,"Y","N"))</f>
        <v/>
      </c>
      <c r="W3798" s="64">
        <f>IF($A3798="","",IFERROR(INDEX(계정매핑!$D$5:$D$504,MATCH($F3798&amp;"",계정매핑!$A$5:$A$504,0)),"미매핑"))</f>
        <v/>
      </c>
      <c r="X3798" s="9">
        <f>IF($A3798="","",$F3798&amp;"")</f>
        <v/>
      </c>
      <c r="Y3798" s="94">
        <f>IF($A3798="",0,IF(AE3798="직접",IF(AF3798="비귀속",$P3798,0),$P3798*(1-AG3798)*IFERROR(INDEX(계정대체기준!$F$20:$F$49,MATCH($N3798,계정대체기준!$A$20:$A$49,0)),1)))</f>
        <v/>
      </c>
      <c r="Z3798" s="94">
        <f>IF($A3798="",0,IF(AE3798="직접",IF(AF3798="신계약비",$P3798,0),$P3798*(1-AG3798)*IFERROR(INDEX(계정대체기준!$C$20:$C$49,MATCH($N3798,계정대체기준!$A$20:$A$49,0)),0)))</f>
        <v/>
      </c>
      <c r="AA3798" s="94">
        <f>IF($A3798="",0,IF(AE3798="직접",IF(OR(AF3798="유지비",AF3798="손해조사비"),$P3798,0),$P3798*(1-AG3798)*IFERROR(INDEX(계정대체기준!$D$20:$D$49,MATCH($N3798,계정대체기준!$A$20:$A$49,0)),0)))</f>
        <v/>
      </c>
      <c r="AB3798" s="94">
        <f>IF($A3798="",0,IF(AE3798="직접",IF(AF3798="수금비",$P3798,0),$P3798*(1-AG3798)*IFERROR(INDEX(계정대체기준!$E$20:$E$49,MATCH($N3798,계정대체기준!$A$20:$A$49,0)),0)))</f>
        <v/>
      </c>
      <c r="AC3798" s="9">
        <f>IF(AND($A3798&lt;&gt;"",M3798=설정!$C$20,Z3798&gt;0),Z3798+ROW()/1000000000,"")</f>
        <v/>
      </c>
      <c r="AD3798" s="94">
        <f>IF($A3798="",0,$P3798*AG3798)</f>
        <v/>
      </c>
      <c r="AE3798" s="64">
        <f>IF($A3798="","",IFERROR(INDEX(계정매핑!$E$5:$E$504,MATCH($F3798&amp;"",계정매핑!$A$5:$A$504,0))&amp;"","공통비"))</f>
        <v/>
      </c>
      <c r="AF3798" s="64">
        <f>IF($A3798="","",IF(AE3798="직접",IFERROR(INDEX(계정매핑!$F$5:$F$504,MATCH($F3798&amp;"",계정매핑!$A$5:$A$504,0))&amp;"","비귀속"),""))</f>
        <v/>
      </c>
      <c r="AG3798" s="96">
        <f>IF($A3798="",0,IF(AND(AE3798&lt;&gt;"직접",IFERROR(INDEX(계정매핑!$G$5:$G$504,MATCH($F3798&amp;"",계정매핑!$A$5:$A$504,0))&amp;"","")="유지비",COUNTIF(계정대체기준!$A$6:$A$15,$N3798)&gt;0),IFERROR(INDEX(계정대체기준!$E$6:$E$15,MATCH(VALUE($A3798&amp;""),계정대체기준!$D$6:$D$15,0)),0),0))</f>
        <v/>
      </c>
      <c r="AH3798" s="64">
        <f>IF($A3798="","",IF(AD3798=0,"",IF(OR(COUNTIF(계정대체기준!$A$77:$A$86,$N3798)&gt;0,ISNUMBER(MATCH($X3798,계정대체기준!$D$77:$D$86,0)),ISNUMBER(MATCH($F3798,계정대체기준!$D$77:$D$86,0))),"Y","N")))</f>
        <v/>
      </c>
    </row>
    <row r="3799">
      <c r="A3799" s="92" t="n">
        <v>2026</v>
      </c>
      <c r="B3799" s="92" t="n">
        <v>5</v>
      </c>
      <c r="C3799" s="92" t="inlineStr">
        <is>
          <t>5100001077</t>
        </is>
      </c>
      <c r="D3799" s="95" t="n">
        <v>46161</v>
      </c>
      <c r="E3799" s="92" t="inlineStr">
        <is>
          <t>KR</t>
        </is>
      </c>
      <c r="F3799" s="92" t="n">
        <v>62101000</v>
      </c>
      <c r="G3799" s="92" t="n">
        <v>1801</v>
      </c>
      <c r="H3799" s="93" t="n">
        <v>244000</v>
      </c>
      <c r="I3799" s="92" t="inlineStr">
        <is>
          <t>5월 국내출장 - (법인카드)</t>
        </is>
      </c>
      <c r="J3799" s="92" t="inlineStr">
        <is>
          <t>V10010</t>
        </is>
      </c>
      <c r="K3799" s="92" t="inlineStr">
        <is>
          <t>(법인카드)</t>
        </is>
      </c>
      <c r="M3799" s="9">
        <f>IF($A3799="","",VALUE($A3799&amp;"")*12+VALUE($B3799&amp;""))</f>
        <v/>
      </c>
      <c r="N3799" s="64">
        <f>IF($A3799="","",IFERROR(INDEX(부서매핑!$C$5:$C$504,MATCH($G3799&amp;"",부서매핑!$A$5:$A$504,0)),"미매핑"))</f>
        <v/>
      </c>
      <c r="O3799" s="9">
        <f>IF($A3799="","",N3799&amp;"|"&amp;$F3799)</f>
        <v/>
      </c>
      <c r="P3799" s="94">
        <f>IF($A3799="",0,$H3799*설정!$C$23)</f>
        <v/>
      </c>
      <c r="Q3799" s="64">
        <f>IF($A3799="","",IF(O3799&lt;&gt;원인분석!$C$9,"",IF(AND(M3799&gt;=원인분석!$C$10,M3799&lt;=원인분석!$C$11),"당기",IF(AND(M3799&gt;=원인분석!$C$12,M3799&lt;=원인분석!$C$13),"비교",""))))</f>
        <v/>
      </c>
      <c r="R3799" s="9">
        <f>IF(Q3799="","",$K3799&amp;"")</f>
        <v/>
      </c>
      <c r="S3799" s="9">
        <f>IF(Q3799="","",IF(MATCH(R3799,$R$5:$R$100000,0)=ROW()-4,ROW(),""))</f>
        <v/>
      </c>
      <c r="T3799" s="9">
        <f>IF(Q3799="당기",ABS(P3799)+ROW()/1000000000,"")</f>
        <v/>
      </c>
      <c r="U3799" s="9">
        <f>IF(Q3799="비교",ABS(P3799)+ROW()/1000000000,"")</f>
        <v/>
      </c>
      <c r="V3799" s="64">
        <f>IF($A3799="","",IF(COUNTIF(변동분석!$E$7:$E$506,O3799)&gt;0,"Y","N"))</f>
        <v/>
      </c>
      <c r="W3799" s="64">
        <f>IF($A3799="","",IFERROR(INDEX(계정매핑!$D$5:$D$504,MATCH($F3799&amp;"",계정매핑!$A$5:$A$504,0)),"미매핑"))</f>
        <v/>
      </c>
      <c r="X3799" s="9">
        <f>IF($A3799="","",$F3799&amp;"")</f>
        <v/>
      </c>
      <c r="Y3799" s="94">
        <f>IF($A3799="",0,IF(AE3799="직접",IF(AF3799="비귀속",$P3799,0),$P3799*(1-AG3799)*IFERROR(INDEX(계정대체기준!$F$20:$F$49,MATCH($N3799,계정대체기준!$A$20:$A$49,0)),1)))</f>
        <v/>
      </c>
      <c r="Z3799" s="94">
        <f>IF($A3799="",0,IF(AE3799="직접",IF(AF3799="신계약비",$P3799,0),$P3799*(1-AG3799)*IFERROR(INDEX(계정대체기준!$C$20:$C$49,MATCH($N3799,계정대체기준!$A$20:$A$49,0)),0)))</f>
        <v/>
      </c>
      <c r="AA3799" s="94">
        <f>IF($A3799="",0,IF(AE3799="직접",IF(OR(AF3799="유지비",AF3799="손해조사비"),$P3799,0),$P3799*(1-AG3799)*IFERROR(INDEX(계정대체기준!$D$20:$D$49,MATCH($N3799,계정대체기준!$A$20:$A$49,0)),0)))</f>
        <v/>
      </c>
      <c r="AB3799" s="94">
        <f>IF($A3799="",0,IF(AE3799="직접",IF(AF3799="수금비",$P3799,0),$P3799*(1-AG3799)*IFERROR(INDEX(계정대체기준!$E$20:$E$49,MATCH($N3799,계정대체기준!$A$20:$A$49,0)),0)))</f>
        <v/>
      </c>
      <c r="AC3799" s="9">
        <f>IF(AND($A3799&lt;&gt;"",M3799=설정!$C$20,Z3799&gt;0),Z3799+ROW()/1000000000,"")</f>
        <v/>
      </c>
      <c r="AD3799" s="94">
        <f>IF($A3799="",0,$P3799*AG3799)</f>
        <v/>
      </c>
      <c r="AE3799" s="64">
        <f>IF($A3799="","",IFERROR(INDEX(계정매핑!$E$5:$E$504,MATCH($F3799&amp;"",계정매핑!$A$5:$A$504,0))&amp;"","공통비"))</f>
        <v/>
      </c>
      <c r="AF3799" s="64">
        <f>IF($A3799="","",IF(AE3799="직접",IFERROR(INDEX(계정매핑!$F$5:$F$504,MATCH($F3799&amp;"",계정매핑!$A$5:$A$504,0))&amp;"","비귀속"),""))</f>
        <v/>
      </c>
      <c r="AG3799" s="96">
        <f>IF($A3799="",0,IF(AND(AE3799&lt;&gt;"직접",IFERROR(INDEX(계정매핑!$G$5:$G$504,MATCH($F3799&amp;"",계정매핑!$A$5:$A$504,0))&amp;"","")="유지비",COUNTIF(계정대체기준!$A$6:$A$15,$N3799)&gt;0),IFERROR(INDEX(계정대체기준!$E$6:$E$15,MATCH(VALUE($A3799&amp;""),계정대체기준!$D$6:$D$15,0)),0),0))</f>
        <v/>
      </c>
      <c r="AH3799" s="64">
        <f>IF($A3799="","",IF(AD3799=0,"",IF(OR(COUNTIF(계정대체기준!$A$77:$A$86,$N3799)&gt;0,ISNUMBER(MATCH($X3799,계정대체기준!$D$77:$D$86,0)),ISNUMBER(MATCH($F3799,계정대체기준!$D$77:$D$86,0))),"Y","N")))</f>
        <v/>
      </c>
    </row>
    <row r="3800">
      <c r="A3800" s="92" t="n">
        <v>2026</v>
      </c>
      <c r="B3800" s="92" t="n">
        <v>5</v>
      </c>
      <c r="C3800" s="92" t="inlineStr">
        <is>
          <t>5100001078</t>
        </is>
      </c>
      <c r="D3800" s="95" t="n">
        <v>46161</v>
      </c>
      <c r="E3800" s="92" t="inlineStr">
        <is>
          <t>KR</t>
        </is>
      </c>
      <c r="F3800" s="92" t="n">
        <v>62102000</v>
      </c>
      <c r="G3800" s="92" t="n">
        <v>1801</v>
      </c>
      <c r="H3800" s="93" t="n">
        <v>41000</v>
      </c>
      <c r="I3800" s="92" t="inlineStr">
        <is>
          <t>5월 해외출장 - N호텔</t>
        </is>
      </c>
      <c r="J3800" s="92" t="inlineStr">
        <is>
          <t>V10009</t>
        </is>
      </c>
      <c r="K3800" s="92" t="inlineStr">
        <is>
          <t>N호텔</t>
        </is>
      </c>
      <c r="M3800" s="9">
        <f>IF($A3800="","",VALUE($A3800&amp;"")*12+VALUE($B3800&amp;""))</f>
        <v/>
      </c>
      <c r="N3800" s="64">
        <f>IF($A3800="","",IFERROR(INDEX(부서매핑!$C$5:$C$504,MATCH($G3800&amp;"",부서매핑!$A$5:$A$504,0)),"미매핑"))</f>
        <v/>
      </c>
      <c r="O3800" s="9">
        <f>IF($A3800="","",N3800&amp;"|"&amp;$F3800)</f>
        <v/>
      </c>
      <c r="P3800" s="94">
        <f>IF($A3800="",0,$H3800*설정!$C$23)</f>
        <v/>
      </c>
      <c r="Q3800" s="64">
        <f>IF($A3800="","",IF(O3800&lt;&gt;원인분석!$C$9,"",IF(AND(M3800&gt;=원인분석!$C$10,M3800&lt;=원인분석!$C$11),"당기",IF(AND(M3800&gt;=원인분석!$C$12,M3800&lt;=원인분석!$C$13),"비교",""))))</f>
        <v/>
      </c>
      <c r="R3800" s="9">
        <f>IF(Q3800="","",$K3800&amp;"")</f>
        <v/>
      </c>
      <c r="S3800" s="9">
        <f>IF(Q3800="","",IF(MATCH(R3800,$R$5:$R$100000,0)=ROW()-4,ROW(),""))</f>
        <v/>
      </c>
      <c r="T3800" s="9">
        <f>IF(Q3800="당기",ABS(P3800)+ROW()/1000000000,"")</f>
        <v/>
      </c>
      <c r="U3800" s="9">
        <f>IF(Q3800="비교",ABS(P3800)+ROW()/1000000000,"")</f>
        <v/>
      </c>
      <c r="V3800" s="64">
        <f>IF($A3800="","",IF(COUNTIF(변동분석!$E$7:$E$506,O3800)&gt;0,"Y","N"))</f>
        <v/>
      </c>
      <c r="W3800" s="64">
        <f>IF($A3800="","",IFERROR(INDEX(계정매핑!$D$5:$D$504,MATCH($F3800&amp;"",계정매핑!$A$5:$A$504,0)),"미매핑"))</f>
        <v/>
      </c>
      <c r="X3800" s="9">
        <f>IF($A3800="","",$F3800&amp;"")</f>
        <v/>
      </c>
      <c r="Y3800" s="94">
        <f>IF($A3800="",0,IF(AE3800="직접",IF(AF3800="비귀속",$P3800,0),$P3800*(1-AG3800)*IFERROR(INDEX(계정대체기준!$F$20:$F$49,MATCH($N3800,계정대체기준!$A$20:$A$49,0)),1)))</f>
        <v/>
      </c>
      <c r="Z3800" s="94">
        <f>IF($A3800="",0,IF(AE3800="직접",IF(AF3800="신계약비",$P3800,0),$P3800*(1-AG3800)*IFERROR(INDEX(계정대체기준!$C$20:$C$49,MATCH($N3800,계정대체기준!$A$20:$A$49,0)),0)))</f>
        <v/>
      </c>
      <c r="AA3800" s="94">
        <f>IF($A3800="",0,IF(AE3800="직접",IF(OR(AF3800="유지비",AF3800="손해조사비"),$P3800,0),$P3800*(1-AG3800)*IFERROR(INDEX(계정대체기준!$D$20:$D$49,MATCH($N3800,계정대체기준!$A$20:$A$49,0)),0)))</f>
        <v/>
      </c>
      <c r="AB3800" s="94">
        <f>IF($A3800="",0,IF(AE3800="직접",IF(AF3800="수금비",$P3800,0),$P3800*(1-AG3800)*IFERROR(INDEX(계정대체기준!$E$20:$E$49,MATCH($N3800,계정대체기준!$A$20:$A$49,0)),0)))</f>
        <v/>
      </c>
      <c r="AC3800" s="9">
        <f>IF(AND($A3800&lt;&gt;"",M3800=설정!$C$20,Z3800&gt;0),Z3800+ROW()/1000000000,"")</f>
        <v/>
      </c>
      <c r="AD3800" s="94">
        <f>IF($A3800="",0,$P3800*AG3800)</f>
        <v/>
      </c>
      <c r="AE3800" s="64">
        <f>IF($A3800="","",IFERROR(INDEX(계정매핑!$E$5:$E$504,MATCH($F3800&amp;"",계정매핑!$A$5:$A$504,0))&amp;"","공통비"))</f>
        <v/>
      </c>
      <c r="AF3800" s="64">
        <f>IF($A3800="","",IF(AE3800="직접",IFERROR(INDEX(계정매핑!$F$5:$F$504,MATCH($F3800&amp;"",계정매핑!$A$5:$A$504,0))&amp;"","비귀속"),""))</f>
        <v/>
      </c>
      <c r="AG3800" s="96">
        <f>IF($A3800="",0,IF(AND(AE3800&lt;&gt;"직접",IFERROR(INDEX(계정매핑!$G$5:$G$504,MATCH($F3800&amp;"",계정매핑!$A$5:$A$504,0))&amp;"","")="유지비",COUNTIF(계정대체기준!$A$6:$A$15,$N3800)&gt;0),IFERROR(INDEX(계정대체기준!$E$6:$E$15,MATCH(VALUE($A3800&amp;""),계정대체기준!$D$6:$D$15,0)),0),0))</f>
        <v/>
      </c>
      <c r="AH3800" s="64">
        <f>IF($A3800="","",IF(AD3800=0,"",IF(OR(COUNTIF(계정대체기준!$A$77:$A$86,$N3800)&gt;0,ISNUMBER(MATCH($X3800,계정대체기준!$D$77:$D$86,0)),ISNUMBER(MATCH($F3800,계정대체기준!$D$77:$D$86,0))),"Y","N")))</f>
        <v/>
      </c>
    </row>
    <row r="3801">
      <c r="A3801" s="92" t="n">
        <v>2026</v>
      </c>
      <c r="B3801" s="92" t="n">
        <v>5</v>
      </c>
      <c r="C3801" s="92" t="inlineStr">
        <is>
          <t>5100001079</t>
        </is>
      </c>
      <c r="D3801" s="95" t="n">
        <v>46161</v>
      </c>
      <c r="E3801" s="92" t="inlineStr">
        <is>
          <t>KR</t>
        </is>
      </c>
      <c r="F3801" s="92" t="n">
        <v>62301000</v>
      </c>
      <c r="G3801" s="92" t="n">
        <v>1301</v>
      </c>
      <c r="H3801" s="93" t="n">
        <v>214000</v>
      </c>
      <c r="I3801" s="92" t="inlineStr">
        <is>
          <t>5월 소모품 구입 - Q오피스</t>
        </is>
      </c>
      <c r="J3801" s="92" t="inlineStr">
        <is>
          <t>V10003</t>
        </is>
      </c>
      <c r="K3801" s="92" t="inlineStr">
        <is>
          <t>Q오피스</t>
        </is>
      </c>
      <c r="M3801" s="9">
        <f>IF($A3801="","",VALUE($A3801&amp;"")*12+VALUE($B3801&amp;""))</f>
        <v/>
      </c>
      <c r="N3801" s="64">
        <f>IF($A3801="","",IFERROR(INDEX(부서매핑!$C$5:$C$504,MATCH($G3801&amp;"",부서매핑!$A$5:$A$504,0)),"미매핑"))</f>
        <v/>
      </c>
      <c r="O3801" s="9">
        <f>IF($A3801="","",N3801&amp;"|"&amp;$F3801)</f>
        <v/>
      </c>
      <c r="P3801" s="94">
        <f>IF($A3801="",0,$H3801*설정!$C$23)</f>
        <v/>
      </c>
      <c r="Q3801" s="64">
        <f>IF($A3801="","",IF(O3801&lt;&gt;원인분석!$C$9,"",IF(AND(M3801&gt;=원인분석!$C$10,M3801&lt;=원인분석!$C$11),"당기",IF(AND(M3801&gt;=원인분석!$C$12,M3801&lt;=원인분석!$C$13),"비교",""))))</f>
        <v/>
      </c>
      <c r="R3801" s="9">
        <f>IF(Q3801="","",$K3801&amp;"")</f>
        <v/>
      </c>
      <c r="S3801" s="9">
        <f>IF(Q3801="","",IF(MATCH(R3801,$R$5:$R$100000,0)=ROW()-4,ROW(),""))</f>
        <v/>
      </c>
      <c r="T3801" s="9">
        <f>IF(Q3801="당기",ABS(P3801)+ROW()/1000000000,"")</f>
        <v/>
      </c>
      <c r="U3801" s="9">
        <f>IF(Q3801="비교",ABS(P3801)+ROW()/1000000000,"")</f>
        <v/>
      </c>
      <c r="V3801" s="64">
        <f>IF($A3801="","",IF(COUNTIF(변동분석!$E$7:$E$506,O3801)&gt;0,"Y","N"))</f>
        <v/>
      </c>
      <c r="W3801" s="64">
        <f>IF($A3801="","",IFERROR(INDEX(계정매핑!$D$5:$D$504,MATCH($F3801&amp;"",계정매핑!$A$5:$A$504,0)),"미매핑"))</f>
        <v/>
      </c>
      <c r="X3801" s="9">
        <f>IF($A3801="","",$F3801&amp;"")</f>
        <v/>
      </c>
      <c r="Y3801" s="94">
        <f>IF($A3801="",0,IF(AE3801="직접",IF(AF3801="비귀속",$P3801,0),$P3801*(1-AG3801)*IFERROR(INDEX(계정대체기준!$F$20:$F$49,MATCH($N3801,계정대체기준!$A$20:$A$49,0)),1)))</f>
        <v/>
      </c>
      <c r="Z3801" s="94">
        <f>IF($A3801="",0,IF(AE3801="직접",IF(AF3801="신계약비",$P3801,0),$P3801*(1-AG3801)*IFERROR(INDEX(계정대체기준!$C$20:$C$49,MATCH($N3801,계정대체기준!$A$20:$A$49,0)),0)))</f>
        <v/>
      </c>
      <c r="AA3801" s="94">
        <f>IF($A3801="",0,IF(AE3801="직접",IF(OR(AF3801="유지비",AF3801="손해조사비"),$P3801,0),$P3801*(1-AG3801)*IFERROR(INDEX(계정대체기준!$D$20:$D$49,MATCH($N3801,계정대체기준!$A$20:$A$49,0)),0)))</f>
        <v/>
      </c>
      <c r="AB3801" s="94">
        <f>IF($A3801="",0,IF(AE3801="직접",IF(AF3801="수금비",$P3801,0),$P3801*(1-AG3801)*IFERROR(INDEX(계정대체기준!$E$20:$E$49,MATCH($N3801,계정대체기준!$A$20:$A$49,0)),0)))</f>
        <v/>
      </c>
      <c r="AC3801" s="9">
        <f>IF(AND($A3801&lt;&gt;"",M3801=설정!$C$20,Z3801&gt;0),Z3801+ROW()/1000000000,"")</f>
        <v/>
      </c>
      <c r="AD3801" s="94">
        <f>IF($A3801="",0,$P3801*AG3801)</f>
        <v/>
      </c>
      <c r="AE3801" s="64">
        <f>IF($A3801="","",IFERROR(INDEX(계정매핑!$E$5:$E$504,MATCH($F3801&amp;"",계정매핑!$A$5:$A$504,0))&amp;"","공통비"))</f>
        <v/>
      </c>
      <c r="AF3801" s="64">
        <f>IF($A3801="","",IF(AE3801="직접",IFERROR(INDEX(계정매핑!$F$5:$F$504,MATCH($F3801&amp;"",계정매핑!$A$5:$A$504,0))&amp;"","비귀속"),""))</f>
        <v/>
      </c>
      <c r="AG3801" s="96">
        <f>IF($A3801="",0,IF(AND(AE3801&lt;&gt;"직접",IFERROR(INDEX(계정매핑!$G$5:$G$504,MATCH($F3801&amp;"",계정매핑!$A$5:$A$504,0))&amp;"","")="유지비",COUNTIF(계정대체기준!$A$6:$A$15,$N3801)&gt;0),IFERROR(INDEX(계정대체기준!$E$6:$E$15,MATCH(VALUE($A3801&amp;""),계정대체기준!$D$6:$D$15,0)),0),0))</f>
        <v/>
      </c>
      <c r="AH3801" s="64">
        <f>IF($A3801="","",IF(AD3801=0,"",IF(OR(COUNTIF(계정대체기준!$A$77:$A$86,$N3801)&gt;0,ISNUMBER(MATCH($X3801,계정대체기준!$D$77:$D$86,0)),ISNUMBER(MATCH($F3801,계정대체기준!$D$77:$D$86,0))),"Y","N")))</f>
        <v/>
      </c>
    </row>
    <row r="3802">
      <c r="A3802" s="92" t="n">
        <v>2026</v>
      </c>
      <c r="B3802" s="92" t="n">
        <v>5</v>
      </c>
      <c r="C3802" s="92" t="inlineStr">
        <is>
          <t>5100001080</t>
        </is>
      </c>
      <c r="D3802" s="95" t="n">
        <v>46161</v>
      </c>
      <c r="E3802" s="92" t="inlineStr">
        <is>
          <t>KR</t>
        </is>
      </c>
      <c r="F3802" s="92" t="n">
        <v>62401000</v>
      </c>
      <c r="G3802" s="92" t="n">
        <v>1801</v>
      </c>
      <c r="H3802" s="93" t="n">
        <v>2252000</v>
      </c>
      <c r="I3802" s="92" t="inlineStr">
        <is>
          <t>5월 인쇄물 제작 - G인쇄</t>
        </is>
      </c>
      <c r="J3802" s="92" t="inlineStr">
        <is>
          <t>V10004</t>
        </is>
      </c>
      <c r="K3802" s="92" t="inlineStr">
        <is>
          <t>G인쇄</t>
        </is>
      </c>
      <c r="M3802" s="9">
        <f>IF($A3802="","",VALUE($A3802&amp;"")*12+VALUE($B3802&amp;""))</f>
        <v/>
      </c>
      <c r="N3802" s="64">
        <f>IF($A3802="","",IFERROR(INDEX(부서매핑!$C$5:$C$504,MATCH($G3802&amp;"",부서매핑!$A$5:$A$504,0)),"미매핑"))</f>
        <v/>
      </c>
      <c r="O3802" s="9">
        <f>IF($A3802="","",N3802&amp;"|"&amp;$F3802)</f>
        <v/>
      </c>
      <c r="P3802" s="94">
        <f>IF($A3802="",0,$H3802*설정!$C$23)</f>
        <v/>
      </c>
      <c r="Q3802" s="64">
        <f>IF($A3802="","",IF(O3802&lt;&gt;원인분석!$C$9,"",IF(AND(M3802&gt;=원인분석!$C$10,M3802&lt;=원인분석!$C$11),"당기",IF(AND(M3802&gt;=원인분석!$C$12,M3802&lt;=원인분석!$C$13),"비교",""))))</f>
        <v/>
      </c>
      <c r="R3802" s="9">
        <f>IF(Q3802="","",$K3802&amp;"")</f>
        <v/>
      </c>
      <c r="S3802" s="9">
        <f>IF(Q3802="","",IF(MATCH(R3802,$R$5:$R$100000,0)=ROW()-4,ROW(),""))</f>
        <v/>
      </c>
      <c r="T3802" s="9">
        <f>IF(Q3802="당기",ABS(P3802)+ROW()/1000000000,"")</f>
        <v/>
      </c>
      <c r="U3802" s="9">
        <f>IF(Q3802="비교",ABS(P3802)+ROW()/1000000000,"")</f>
        <v/>
      </c>
      <c r="V3802" s="64">
        <f>IF($A3802="","",IF(COUNTIF(변동분석!$E$7:$E$506,O3802)&gt;0,"Y","N"))</f>
        <v/>
      </c>
      <c r="W3802" s="64">
        <f>IF($A3802="","",IFERROR(INDEX(계정매핑!$D$5:$D$504,MATCH($F3802&amp;"",계정매핑!$A$5:$A$504,0)),"미매핑"))</f>
        <v/>
      </c>
      <c r="X3802" s="9">
        <f>IF($A3802="","",$F3802&amp;"")</f>
        <v/>
      </c>
      <c r="Y3802" s="94">
        <f>IF($A3802="",0,IF(AE3802="직접",IF(AF3802="비귀속",$P3802,0),$P3802*(1-AG3802)*IFERROR(INDEX(계정대체기준!$F$20:$F$49,MATCH($N3802,계정대체기준!$A$20:$A$49,0)),1)))</f>
        <v/>
      </c>
      <c r="Z3802" s="94">
        <f>IF($A3802="",0,IF(AE3802="직접",IF(AF3802="신계약비",$P3802,0),$P3802*(1-AG3802)*IFERROR(INDEX(계정대체기준!$C$20:$C$49,MATCH($N3802,계정대체기준!$A$20:$A$49,0)),0)))</f>
        <v/>
      </c>
      <c r="AA3802" s="94">
        <f>IF($A3802="",0,IF(AE3802="직접",IF(OR(AF3802="유지비",AF3802="손해조사비"),$P3802,0),$P3802*(1-AG3802)*IFERROR(INDEX(계정대체기준!$D$20:$D$49,MATCH($N3802,계정대체기준!$A$20:$A$49,0)),0)))</f>
        <v/>
      </c>
      <c r="AB3802" s="94">
        <f>IF($A3802="",0,IF(AE3802="직접",IF(AF3802="수금비",$P3802,0),$P3802*(1-AG3802)*IFERROR(INDEX(계정대체기준!$E$20:$E$49,MATCH($N3802,계정대체기준!$A$20:$A$49,0)),0)))</f>
        <v/>
      </c>
      <c r="AC3802" s="9">
        <f>IF(AND($A3802&lt;&gt;"",M3802=설정!$C$20,Z3802&gt;0),Z3802+ROW()/1000000000,"")</f>
        <v/>
      </c>
      <c r="AD3802" s="94">
        <f>IF($A3802="",0,$P3802*AG3802)</f>
        <v/>
      </c>
      <c r="AE3802" s="64">
        <f>IF($A3802="","",IFERROR(INDEX(계정매핑!$E$5:$E$504,MATCH($F3802&amp;"",계정매핑!$A$5:$A$504,0))&amp;"","공통비"))</f>
        <v/>
      </c>
      <c r="AF3802" s="64">
        <f>IF($A3802="","",IF(AE3802="직접",IFERROR(INDEX(계정매핑!$F$5:$F$504,MATCH($F3802&amp;"",계정매핑!$A$5:$A$504,0))&amp;"","비귀속"),""))</f>
        <v/>
      </c>
      <c r="AG3802" s="96">
        <f>IF($A3802="",0,IF(AND(AE3802&lt;&gt;"직접",IFERROR(INDEX(계정매핑!$G$5:$G$504,MATCH($F3802&amp;"",계정매핑!$A$5:$A$504,0))&amp;"","")="유지비",COUNTIF(계정대체기준!$A$6:$A$15,$N3802)&gt;0),IFERROR(INDEX(계정대체기준!$E$6:$E$15,MATCH(VALUE($A3802&amp;""),계정대체기준!$D$6:$D$15,0)),0),0))</f>
        <v/>
      </c>
      <c r="AH3802" s="64">
        <f>IF($A3802="","",IF(AD3802=0,"",IF(OR(COUNTIF(계정대체기준!$A$77:$A$86,$N3802)&gt;0,ISNUMBER(MATCH($X3802,계정대체기준!$D$77:$D$86,0)),ISNUMBER(MATCH($F3802,계정대체기준!$D$77:$D$86,0))),"Y","N")))</f>
        <v/>
      </c>
    </row>
    <row r="3803">
      <c r="A3803" s="92" t="n">
        <v>2026</v>
      </c>
      <c r="B3803" s="92" t="n">
        <v>5</v>
      </c>
      <c r="C3803" s="92" t="inlineStr">
        <is>
          <t>5100001081</t>
        </is>
      </c>
      <c r="D3803" s="95" t="n">
        <v>46161</v>
      </c>
      <c r="E3803" s="92" t="inlineStr">
        <is>
          <t>KR</t>
        </is>
      </c>
      <c r="F3803" s="92" t="n">
        <v>62601000</v>
      </c>
      <c r="G3803" s="92" t="n">
        <v>1101</v>
      </c>
      <c r="H3803" s="93" t="n">
        <v>1361000</v>
      </c>
      <c r="I3803" s="92" t="inlineStr">
        <is>
          <t>5월 업무추진 - (법인카드)</t>
        </is>
      </c>
      <c r="J3803" s="92" t="inlineStr">
        <is>
          <t>V10010</t>
        </is>
      </c>
      <c r="K3803" s="92" t="inlineStr">
        <is>
          <t>(법인카드)</t>
        </is>
      </c>
      <c r="M3803" s="9">
        <f>IF($A3803="","",VALUE($A3803&amp;"")*12+VALUE($B3803&amp;""))</f>
        <v/>
      </c>
      <c r="N3803" s="64">
        <f>IF($A3803="","",IFERROR(INDEX(부서매핑!$C$5:$C$504,MATCH($G3803&amp;"",부서매핑!$A$5:$A$504,0)),"미매핑"))</f>
        <v/>
      </c>
      <c r="O3803" s="9">
        <f>IF($A3803="","",N3803&amp;"|"&amp;$F3803)</f>
        <v/>
      </c>
      <c r="P3803" s="94">
        <f>IF($A3803="",0,$H3803*설정!$C$23)</f>
        <v/>
      </c>
      <c r="Q3803" s="64">
        <f>IF($A3803="","",IF(O3803&lt;&gt;원인분석!$C$9,"",IF(AND(M3803&gt;=원인분석!$C$10,M3803&lt;=원인분석!$C$11),"당기",IF(AND(M3803&gt;=원인분석!$C$12,M3803&lt;=원인분석!$C$13),"비교",""))))</f>
        <v/>
      </c>
      <c r="R3803" s="9">
        <f>IF(Q3803="","",$K3803&amp;"")</f>
        <v/>
      </c>
      <c r="S3803" s="9">
        <f>IF(Q3803="","",IF(MATCH(R3803,$R$5:$R$100000,0)=ROW()-4,ROW(),""))</f>
        <v/>
      </c>
      <c r="T3803" s="9">
        <f>IF(Q3803="당기",ABS(P3803)+ROW()/1000000000,"")</f>
        <v/>
      </c>
      <c r="U3803" s="9">
        <f>IF(Q3803="비교",ABS(P3803)+ROW()/1000000000,"")</f>
        <v/>
      </c>
      <c r="V3803" s="64">
        <f>IF($A3803="","",IF(COUNTIF(변동분석!$E$7:$E$506,O3803)&gt;0,"Y","N"))</f>
        <v/>
      </c>
      <c r="W3803" s="64">
        <f>IF($A3803="","",IFERROR(INDEX(계정매핑!$D$5:$D$504,MATCH($F3803&amp;"",계정매핑!$A$5:$A$504,0)),"미매핑"))</f>
        <v/>
      </c>
      <c r="X3803" s="9">
        <f>IF($A3803="","",$F3803&amp;"")</f>
        <v/>
      </c>
      <c r="Y3803" s="94">
        <f>IF($A3803="",0,IF(AE3803="직접",IF(AF3803="비귀속",$P3803,0),$P3803*(1-AG3803)*IFERROR(INDEX(계정대체기준!$F$20:$F$49,MATCH($N3803,계정대체기준!$A$20:$A$49,0)),1)))</f>
        <v/>
      </c>
      <c r="Z3803" s="94">
        <f>IF($A3803="",0,IF(AE3803="직접",IF(AF3803="신계약비",$P3803,0),$P3803*(1-AG3803)*IFERROR(INDEX(계정대체기준!$C$20:$C$49,MATCH($N3803,계정대체기준!$A$20:$A$49,0)),0)))</f>
        <v/>
      </c>
      <c r="AA3803" s="94">
        <f>IF($A3803="",0,IF(AE3803="직접",IF(OR(AF3803="유지비",AF3803="손해조사비"),$P3803,0),$P3803*(1-AG3803)*IFERROR(INDEX(계정대체기준!$D$20:$D$49,MATCH($N3803,계정대체기준!$A$20:$A$49,0)),0)))</f>
        <v/>
      </c>
      <c r="AB3803" s="94">
        <f>IF($A3803="",0,IF(AE3803="직접",IF(AF3803="수금비",$P3803,0),$P3803*(1-AG3803)*IFERROR(INDEX(계정대체기준!$E$20:$E$49,MATCH($N3803,계정대체기준!$A$20:$A$49,0)),0)))</f>
        <v/>
      </c>
      <c r="AC3803" s="9">
        <f>IF(AND($A3803&lt;&gt;"",M3803=설정!$C$20,Z3803&gt;0),Z3803+ROW()/1000000000,"")</f>
        <v/>
      </c>
      <c r="AD3803" s="94">
        <f>IF($A3803="",0,$P3803*AG3803)</f>
        <v/>
      </c>
      <c r="AE3803" s="64">
        <f>IF($A3803="","",IFERROR(INDEX(계정매핑!$E$5:$E$504,MATCH($F3803&amp;"",계정매핑!$A$5:$A$504,0))&amp;"","공통비"))</f>
        <v/>
      </c>
      <c r="AF3803" s="64">
        <f>IF($A3803="","",IF(AE3803="직접",IFERROR(INDEX(계정매핑!$F$5:$F$504,MATCH($F3803&amp;"",계정매핑!$A$5:$A$504,0))&amp;"","비귀속"),""))</f>
        <v/>
      </c>
      <c r="AG3803" s="96">
        <f>IF($A3803="",0,IF(AND(AE3803&lt;&gt;"직접",IFERROR(INDEX(계정매핑!$G$5:$G$504,MATCH($F3803&amp;"",계정매핑!$A$5:$A$504,0))&amp;"","")="유지비",COUNTIF(계정대체기준!$A$6:$A$15,$N3803)&gt;0),IFERROR(INDEX(계정대체기준!$E$6:$E$15,MATCH(VALUE($A3803&amp;""),계정대체기준!$D$6:$D$15,0)),0),0))</f>
        <v/>
      </c>
      <c r="AH3803" s="64">
        <f>IF($A3803="","",IF(AD3803=0,"",IF(OR(COUNTIF(계정대체기준!$A$77:$A$86,$N3803)&gt;0,ISNUMBER(MATCH($X3803,계정대체기준!$D$77:$D$86,0)),ISNUMBER(MATCH($F3803,계정대체기준!$D$77:$D$86,0))),"Y","N")))</f>
        <v/>
      </c>
    </row>
    <row r="3804">
      <c r="A3804" s="92" t="n">
        <v>2026</v>
      </c>
      <c r="B3804" s="92" t="n">
        <v>5</v>
      </c>
      <c r="C3804" s="92" t="inlineStr">
        <is>
          <t>5100001082</t>
        </is>
      </c>
      <c r="D3804" s="95" t="n">
        <v>46161</v>
      </c>
      <c r="E3804" s="92" t="inlineStr">
        <is>
          <t>KR</t>
        </is>
      </c>
      <c r="F3804" s="92" t="n">
        <v>63501000</v>
      </c>
      <c r="G3804" s="92" t="n">
        <v>1901</v>
      </c>
      <c r="H3804" s="93" t="n">
        <v>444459000</v>
      </c>
      <c r="I3804" s="92" t="inlineStr">
        <is>
          <t>5월 모집수수료 - (전속설계사)</t>
        </is>
      </c>
      <c r="J3804" s="92" t="inlineStr">
        <is>
          <t>V10021</t>
        </is>
      </c>
      <c r="K3804" s="92" t="inlineStr">
        <is>
          <t>(전속설계사)</t>
        </is>
      </c>
      <c r="M3804" s="9">
        <f>IF($A3804="","",VALUE($A3804&amp;"")*12+VALUE($B3804&amp;""))</f>
        <v/>
      </c>
      <c r="N3804" s="64">
        <f>IF($A3804="","",IFERROR(INDEX(부서매핑!$C$5:$C$504,MATCH($G3804&amp;"",부서매핑!$A$5:$A$504,0)),"미매핑"))</f>
        <v/>
      </c>
      <c r="O3804" s="9">
        <f>IF($A3804="","",N3804&amp;"|"&amp;$F3804)</f>
        <v/>
      </c>
      <c r="P3804" s="94">
        <f>IF($A3804="",0,$H3804*설정!$C$23)</f>
        <v/>
      </c>
      <c r="Q3804" s="64">
        <f>IF($A3804="","",IF(O3804&lt;&gt;원인분석!$C$9,"",IF(AND(M3804&gt;=원인분석!$C$10,M3804&lt;=원인분석!$C$11),"당기",IF(AND(M3804&gt;=원인분석!$C$12,M3804&lt;=원인분석!$C$13),"비교",""))))</f>
        <v/>
      </c>
      <c r="R3804" s="9">
        <f>IF(Q3804="","",$K3804&amp;"")</f>
        <v/>
      </c>
      <c r="S3804" s="9">
        <f>IF(Q3804="","",IF(MATCH(R3804,$R$5:$R$100000,0)=ROW()-4,ROW(),""))</f>
        <v/>
      </c>
      <c r="T3804" s="9">
        <f>IF(Q3804="당기",ABS(P3804)+ROW()/1000000000,"")</f>
        <v/>
      </c>
      <c r="U3804" s="9">
        <f>IF(Q3804="비교",ABS(P3804)+ROW()/1000000000,"")</f>
        <v/>
      </c>
      <c r="V3804" s="64">
        <f>IF($A3804="","",IF(COUNTIF(변동분석!$E$7:$E$506,O3804)&gt;0,"Y","N"))</f>
        <v/>
      </c>
      <c r="W3804" s="64">
        <f>IF($A3804="","",IFERROR(INDEX(계정매핑!$D$5:$D$504,MATCH($F3804&amp;"",계정매핑!$A$5:$A$504,0)),"미매핑"))</f>
        <v/>
      </c>
      <c r="X3804" s="9">
        <f>IF($A3804="","",$F3804&amp;"")</f>
        <v/>
      </c>
      <c r="Y3804" s="94">
        <f>IF($A3804="",0,IF(AE3804="직접",IF(AF3804="비귀속",$P3804,0),$P3804*(1-AG3804)*IFERROR(INDEX(계정대체기준!$F$20:$F$49,MATCH($N3804,계정대체기준!$A$20:$A$49,0)),1)))</f>
        <v/>
      </c>
      <c r="Z3804" s="94">
        <f>IF($A3804="",0,IF(AE3804="직접",IF(AF3804="신계약비",$P3804,0),$P3804*(1-AG3804)*IFERROR(INDEX(계정대체기준!$C$20:$C$49,MATCH($N3804,계정대체기준!$A$20:$A$49,0)),0)))</f>
        <v/>
      </c>
      <c r="AA3804" s="94">
        <f>IF($A3804="",0,IF(AE3804="직접",IF(OR(AF3804="유지비",AF3804="손해조사비"),$P3804,0),$P3804*(1-AG3804)*IFERROR(INDEX(계정대체기준!$D$20:$D$49,MATCH($N3804,계정대체기준!$A$20:$A$49,0)),0)))</f>
        <v/>
      </c>
      <c r="AB3804" s="94">
        <f>IF($A3804="",0,IF(AE3804="직접",IF(AF3804="수금비",$P3804,0),$P3804*(1-AG3804)*IFERROR(INDEX(계정대체기준!$E$20:$E$49,MATCH($N3804,계정대체기준!$A$20:$A$49,0)),0)))</f>
        <v/>
      </c>
      <c r="AC3804" s="9">
        <f>IF(AND($A3804&lt;&gt;"",M3804=설정!$C$20,Z3804&gt;0),Z3804+ROW()/1000000000,"")</f>
        <v/>
      </c>
      <c r="AD3804" s="94">
        <f>IF($A3804="",0,$P3804*AG3804)</f>
        <v/>
      </c>
      <c r="AE3804" s="64">
        <f>IF($A3804="","",IFERROR(INDEX(계정매핑!$E$5:$E$504,MATCH($F3804&amp;"",계정매핑!$A$5:$A$504,0))&amp;"","공통비"))</f>
        <v/>
      </c>
      <c r="AF3804" s="64">
        <f>IF($A3804="","",IF(AE3804="직접",IFERROR(INDEX(계정매핑!$F$5:$F$504,MATCH($F3804&amp;"",계정매핑!$A$5:$A$504,0))&amp;"","비귀속"),""))</f>
        <v/>
      </c>
      <c r="AG3804" s="96">
        <f>IF($A3804="",0,IF(AND(AE3804&lt;&gt;"직접",IFERROR(INDEX(계정매핑!$G$5:$G$504,MATCH($F3804&amp;"",계정매핑!$A$5:$A$504,0))&amp;"","")="유지비",COUNTIF(계정대체기준!$A$6:$A$15,$N3804)&gt;0),IFERROR(INDEX(계정대체기준!$E$6:$E$15,MATCH(VALUE($A3804&amp;""),계정대체기준!$D$6:$D$15,0)),0),0))</f>
        <v/>
      </c>
      <c r="AH3804" s="64">
        <f>IF($A3804="","",IF(AD3804=0,"",IF(OR(COUNTIF(계정대체기준!$A$77:$A$86,$N3804)&gt;0,ISNUMBER(MATCH($X3804,계정대체기준!$D$77:$D$86,0)),ISNUMBER(MATCH($F3804,계정대체기준!$D$77:$D$86,0))),"Y","N")))</f>
        <v/>
      </c>
    </row>
    <row r="3805">
      <c r="A3805" s="92" t="n">
        <v>2026</v>
      </c>
      <c r="B3805" s="92" t="n">
        <v>5</v>
      </c>
      <c r="C3805" s="92" t="inlineStr">
        <is>
          <t>5100001083</t>
        </is>
      </c>
      <c r="D3805" s="95" t="n">
        <v>46162</v>
      </c>
      <c r="E3805" s="92" t="inlineStr">
        <is>
          <t>KR</t>
        </is>
      </c>
      <c r="F3805" s="92" t="n">
        <v>62101000</v>
      </c>
      <c r="G3805" s="92" t="n">
        <v>1401</v>
      </c>
      <c r="H3805" s="93" t="n">
        <v>459000</v>
      </c>
      <c r="I3805" s="92" t="inlineStr">
        <is>
          <t>5월 국내출장 - (법인카드)</t>
        </is>
      </c>
      <c r="J3805" s="92" t="inlineStr">
        <is>
          <t>V10010</t>
        </is>
      </c>
      <c r="K3805" s="92" t="inlineStr">
        <is>
          <t>(법인카드)</t>
        </is>
      </c>
      <c r="M3805" s="9">
        <f>IF($A3805="","",VALUE($A3805&amp;"")*12+VALUE($B3805&amp;""))</f>
        <v/>
      </c>
      <c r="N3805" s="64">
        <f>IF($A3805="","",IFERROR(INDEX(부서매핑!$C$5:$C$504,MATCH($G3805&amp;"",부서매핑!$A$5:$A$504,0)),"미매핑"))</f>
        <v/>
      </c>
      <c r="O3805" s="9">
        <f>IF($A3805="","",N3805&amp;"|"&amp;$F3805)</f>
        <v/>
      </c>
      <c r="P3805" s="94">
        <f>IF($A3805="",0,$H3805*설정!$C$23)</f>
        <v/>
      </c>
      <c r="Q3805" s="64">
        <f>IF($A3805="","",IF(O3805&lt;&gt;원인분석!$C$9,"",IF(AND(M3805&gt;=원인분석!$C$10,M3805&lt;=원인분석!$C$11),"당기",IF(AND(M3805&gt;=원인분석!$C$12,M3805&lt;=원인분석!$C$13),"비교",""))))</f>
        <v/>
      </c>
      <c r="R3805" s="9">
        <f>IF(Q3805="","",$K3805&amp;"")</f>
        <v/>
      </c>
      <c r="S3805" s="9">
        <f>IF(Q3805="","",IF(MATCH(R3805,$R$5:$R$100000,0)=ROW()-4,ROW(),""))</f>
        <v/>
      </c>
      <c r="T3805" s="9">
        <f>IF(Q3805="당기",ABS(P3805)+ROW()/1000000000,"")</f>
        <v/>
      </c>
      <c r="U3805" s="9">
        <f>IF(Q3805="비교",ABS(P3805)+ROW()/1000000000,"")</f>
        <v/>
      </c>
      <c r="V3805" s="64">
        <f>IF($A3805="","",IF(COUNTIF(변동분석!$E$7:$E$506,O3805)&gt;0,"Y","N"))</f>
        <v/>
      </c>
      <c r="W3805" s="64">
        <f>IF($A3805="","",IFERROR(INDEX(계정매핑!$D$5:$D$504,MATCH($F3805&amp;"",계정매핑!$A$5:$A$504,0)),"미매핑"))</f>
        <v/>
      </c>
      <c r="X3805" s="9">
        <f>IF($A3805="","",$F3805&amp;"")</f>
        <v/>
      </c>
      <c r="Y3805" s="94">
        <f>IF($A3805="",0,IF(AE3805="직접",IF(AF3805="비귀속",$P3805,0),$P3805*(1-AG3805)*IFERROR(INDEX(계정대체기준!$F$20:$F$49,MATCH($N3805,계정대체기준!$A$20:$A$49,0)),1)))</f>
        <v/>
      </c>
      <c r="Z3805" s="94">
        <f>IF($A3805="",0,IF(AE3805="직접",IF(AF3805="신계약비",$P3805,0),$P3805*(1-AG3805)*IFERROR(INDEX(계정대체기준!$C$20:$C$49,MATCH($N3805,계정대체기준!$A$20:$A$49,0)),0)))</f>
        <v/>
      </c>
      <c r="AA3805" s="94">
        <f>IF($A3805="",0,IF(AE3805="직접",IF(OR(AF3805="유지비",AF3805="손해조사비"),$P3805,0),$P3805*(1-AG3805)*IFERROR(INDEX(계정대체기준!$D$20:$D$49,MATCH($N3805,계정대체기준!$A$20:$A$49,0)),0)))</f>
        <v/>
      </c>
      <c r="AB3805" s="94">
        <f>IF($A3805="",0,IF(AE3805="직접",IF(AF3805="수금비",$P3805,0),$P3805*(1-AG3805)*IFERROR(INDEX(계정대체기준!$E$20:$E$49,MATCH($N3805,계정대체기준!$A$20:$A$49,0)),0)))</f>
        <v/>
      </c>
      <c r="AC3805" s="9">
        <f>IF(AND($A3805&lt;&gt;"",M3805=설정!$C$20,Z3805&gt;0),Z3805+ROW()/1000000000,"")</f>
        <v/>
      </c>
      <c r="AD3805" s="94">
        <f>IF($A3805="",0,$P3805*AG3805)</f>
        <v/>
      </c>
      <c r="AE3805" s="64">
        <f>IF($A3805="","",IFERROR(INDEX(계정매핑!$E$5:$E$504,MATCH($F3805&amp;"",계정매핑!$A$5:$A$504,0))&amp;"","공통비"))</f>
        <v/>
      </c>
      <c r="AF3805" s="64">
        <f>IF($A3805="","",IF(AE3805="직접",IFERROR(INDEX(계정매핑!$F$5:$F$504,MATCH($F3805&amp;"",계정매핑!$A$5:$A$504,0))&amp;"","비귀속"),""))</f>
        <v/>
      </c>
      <c r="AG3805" s="96">
        <f>IF($A3805="",0,IF(AND(AE3805&lt;&gt;"직접",IFERROR(INDEX(계정매핑!$G$5:$G$504,MATCH($F3805&amp;"",계정매핑!$A$5:$A$504,0))&amp;"","")="유지비",COUNTIF(계정대체기준!$A$6:$A$15,$N3805)&gt;0),IFERROR(INDEX(계정대체기준!$E$6:$E$15,MATCH(VALUE($A3805&amp;""),계정대체기준!$D$6:$D$15,0)),0),0))</f>
        <v/>
      </c>
      <c r="AH3805" s="64">
        <f>IF($A3805="","",IF(AD3805=0,"",IF(OR(COUNTIF(계정대체기준!$A$77:$A$86,$N3805)&gt;0,ISNUMBER(MATCH($X3805,계정대체기준!$D$77:$D$86,0)),ISNUMBER(MATCH($F3805,계정대체기준!$D$77:$D$86,0))),"Y","N")))</f>
        <v/>
      </c>
    </row>
    <row r="3806">
      <c r="A3806" s="92" t="n">
        <v>2026</v>
      </c>
      <c r="B3806" s="92" t="n">
        <v>5</v>
      </c>
      <c r="C3806" s="92" t="inlineStr">
        <is>
          <t>5100001084</t>
        </is>
      </c>
      <c r="D3806" s="95" t="n">
        <v>46162</v>
      </c>
      <c r="E3806" s="92" t="inlineStr">
        <is>
          <t>KR</t>
        </is>
      </c>
      <c r="F3806" s="92" t="n">
        <v>62201000</v>
      </c>
      <c r="G3806" s="92" t="n">
        <v>1201</v>
      </c>
      <c r="H3806" s="93" t="n">
        <v>116000</v>
      </c>
      <c r="I3806" s="92" t="inlineStr">
        <is>
          <t>5월 통신요금 - P통신</t>
        </is>
      </c>
      <c r="J3806" s="92" t="inlineStr">
        <is>
          <t>V10014</t>
        </is>
      </c>
      <c r="K3806" s="92" t="inlineStr">
        <is>
          <t>P통신</t>
        </is>
      </c>
      <c r="M3806" s="9">
        <f>IF($A3806="","",VALUE($A3806&amp;"")*12+VALUE($B3806&amp;""))</f>
        <v/>
      </c>
      <c r="N3806" s="64">
        <f>IF($A3806="","",IFERROR(INDEX(부서매핑!$C$5:$C$504,MATCH($G3806&amp;"",부서매핑!$A$5:$A$504,0)),"미매핑"))</f>
        <v/>
      </c>
      <c r="O3806" s="9">
        <f>IF($A3806="","",N3806&amp;"|"&amp;$F3806)</f>
        <v/>
      </c>
      <c r="P3806" s="94">
        <f>IF($A3806="",0,$H3806*설정!$C$23)</f>
        <v/>
      </c>
      <c r="Q3806" s="64">
        <f>IF($A3806="","",IF(O3806&lt;&gt;원인분석!$C$9,"",IF(AND(M3806&gt;=원인분석!$C$10,M3806&lt;=원인분석!$C$11),"당기",IF(AND(M3806&gt;=원인분석!$C$12,M3806&lt;=원인분석!$C$13),"비교",""))))</f>
        <v/>
      </c>
      <c r="R3806" s="9">
        <f>IF(Q3806="","",$K3806&amp;"")</f>
        <v/>
      </c>
      <c r="S3806" s="9">
        <f>IF(Q3806="","",IF(MATCH(R3806,$R$5:$R$100000,0)=ROW()-4,ROW(),""))</f>
        <v/>
      </c>
      <c r="T3806" s="9">
        <f>IF(Q3806="당기",ABS(P3806)+ROW()/1000000000,"")</f>
        <v/>
      </c>
      <c r="U3806" s="9">
        <f>IF(Q3806="비교",ABS(P3806)+ROW()/1000000000,"")</f>
        <v/>
      </c>
      <c r="V3806" s="64">
        <f>IF($A3806="","",IF(COUNTIF(변동분석!$E$7:$E$506,O3806)&gt;0,"Y","N"))</f>
        <v/>
      </c>
      <c r="W3806" s="64">
        <f>IF($A3806="","",IFERROR(INDEX(계정매핑!$D$5:$D$504,MATCH($F3806&amp;"",계정매핑!$A$5:$A$504,0)),"미매핑"))</f>
        <v/>
      </c>
      <c r="X3806" s="9">
        <f>IF($A3806="","",$F3806&amp;"")</f>
        <v/>
      </c>
      <c r="Y3806" s="94">
        <f>IF($A3806="",0,IF(AE3806="직접",IF(AF3806="비귀속",$P3806,0),$P3806*(1-AG3806)*IFERROR(INDEX(계정대체기준!$F$20:$F$49,MATCH($N3806,계정대체기준!$A$20:$A$49,0)),1)))</f>
        <v/>
      </c>
      <c r="Z3806" s="94">
        <f>IF($A3806="",0,IF(AE3806="직접",IF(AF3806="신계약비",$P3806,0),$P3806*(1-AG3806)*IFERROR(INDEX(계정대체기준!$C$20:$C$49,MATCH($N3806,계정대체기준!$A$20:$A$49,0)),0)))</f>
        <v/>
      </c>
      <c r="AA3806" s="94">
        <f>IF($A3806="",0,IF(AE3806="직접",IF(OR(AF3806="유지비",AF3806="손해조사비"),$P3806,0),$P3806*(1-AG3806)*IFERROR(INDEX(계정대체기준!$D$20:$D$49,MATCH($N3806,계정대체기준!$A$20:$A$49,0)),0)))</f>
        <v/>
      </c>
      <c r="AB3806" s="94">
        <f>IF($A3806="",0,IF(AE3806="직접",IF(AF3806="수금비",$P3806,0),$P3806*(1-AG3806)*IFERROR(INDEX(계정대체기준!$E$20:$E$49,MATCH($N3806,계정대체기준!$A$20:$A$49,0)),0)))</f>
        <v/>
      </c>
      <c r="AC3806" s="9">
        <f>IF(AND($A3806&lt;&gt;"",M3806=설정!$C$20,Z3806&gt;0),Z3806+ROW()/1000000000,"")</f>
        <v/>
      </c>
      <c r="AD3806" s="94">
        <f>IF($A3806="",0,$P3806*AG3806)</f>
        <v/>
      </c>
      <c r="AE3806" s="64">
        <f>IF($A3806="","",IFERROR(INDEX(계정매핑!$E$5:$E$504,MATCH($F3806&amp;"",계정매핑!$A$5:$A$504,0))&amp;"","공통비"))</f>
        <v/>
      </c>
      <c r="AF3806" s="64">
        <f>IF($A3806="","",IF(AE3806="직접",IFERROR(INDEX(계정매핑!$F$5:$F$504,MATCH($F3806&amp;"",계정매핑!$A$5:$A$504,0))&amp;"","비귀속"),""))</f>
        <v/>
      </c>
      <c r="AG3806" s="96">
        <f>IF($A3806="",0,IF(AND(AE3806&lt;&gt;"직접",IFERROR(INDEX(계정매핑!$G$5:$G$504,MATCH($F3806&amp;"",계정매핑!$A$5:$A$504,0))&amp;"","")="유지비",COUNTIF(계정대체기준!$A$6:$A$15,$N3806)&gt;0),IFERROR(INDEX(계정대체기준!$E$6:$E$15,MATCH(VALUE($A3806&amp;""),계정대체기준!$D$6:$D$15,0)),0),0))</f>
        <v/>
      </c>
      <c r="AH3806" s="64">
        <f>IF($A3806="","",IF(AD3806=0,"",IF(OR(COUNTIF(계정대체기준!$A$77:$A$86,$N3806)&gt;0,ISNUMBER(MATCH($X3806,계정대체기준!$D$77:$D$86,0)),ISNUMBER(MATCH($F3806,계정대체기준!$D$77:$D$86,0))),"Y","N")))</f>
        <v/>
      </c>
    </row>
    <row r="3807">
      <c r="A3807" s="92" t="n">
        <v>2026</v>
      </c>
      <c r="B3807" s="92" t="n">
        <v>5</v>
      </c>
      <c r="C3807" s="92" t="inlineStr">
        <is>
          <t>5100001085</t>
        </is>
      </c>
      <c r="D3807" s="95" t="n">
        <v>46162</v>
      </c>
      <c r="E3807" s="92" t="inlineStr">
        <is>
          <t>KR</t>
        </is>
      </c>
      <c r="F3807" s="92" t="n">
        <v>62201000</v>
      </c>
      <c r="G3807" s="92" t="n">
        <v>1601</v>
      </c>
      <c r="H3807" s="93" t="n">
        <v>932000</v>
      </c>
      <c r="I3807" s="92" t="inlineStr">
        <is>
          <t>5월 통신요금 - O텔레콤</t>
        </is>
      </c>
      <c r="J3807" s="92" t="inlineStr">
        <is>
          <t>V10002</t>
        </is>
      </c>
      <c r="K3807" s="92" t="inlineStr">
        <is>
          <t>O텔레콤</t>
        </is>
      </c>
      <c r="M3807" s="9">
        <f>IF($A3807="","",VALUE($A3807&amp;"")*12+VALUE($B3807&amp;""))</f>
        <v/>
      </c>
      <c r="N3807" s="64">
        <f>IF($A3807="","",IFERROR(INDEX(부서매핑!$C$5:$C$504,MATCH($G3807&amp;"",부서매핑!$A$5:$A$504,0)),"미매핑"))</f>
        <v/>
      </c>
      <c r="O3807" s="9">
        <f>IF($A3807="","",N3807&amp;"|"&amp;$F3807)</f>
        <v/>
      </c>
      <c r="P3807" s="94">
        <f>IF($A3807="",0,$H3807*설정!$C$23)</f>
        <v/>
      </c>
      <c r="Q3807" s="64">
        <f>IF($A3807="","",IF(O3807&lt;&gt;원인분석!$C$9,"",IF(AND(M3807&gt;=원인분석!$C$10,M3807&lt;=원인분석!$C$11),"당기",IF(AND(M3807&gt;=원인분석!$C$12,M3807&lt;=원인분석!$C$13),"비교",""))))</f>
        <v/>
      </c>
      <c r="R3807" s="9">
        <f>IF(Q3807="","",$K3807&amp;"")</f>
        <v/>
      </c>
      <c r="S3807" s="9">
        <f>IF(Q3807="","",IF(MATCH(R3807,$R$5:$R$100000,0)=ROW()-4,ROW(),""))</f>
        <v/>
      </c>
      <c r="T3807" s="9">
        <f>IF(Q3807="당기",ABS(P3807)+ROW()/1000000000,"")</f>
        <v/>
      </c>
      <c r="U3807" s="9">
        <f>IF(Q3807="비교",ABS(P3807)+ROW()/1000000000,"")</f>
        <v/>
      </c>
      <c r="V3807" s="64">
        <f>IF($A3807="","",IF(COUNTIF(변동분석!$E$7:$E$506,O3807)&gt;0,"Y","N"))</f>
        <v/>
      </c>
      <c r="W3807" s="64">
        <f>IF($A3807="","",IFERROR(INDEX(계정매핑!$D$5:$D$504,MATCH($F3807&amp;"",계정매핑!$A$5:$A$504,0)),"미매핑"))</f>
        <v/>
      </c>
      <c r="X3807" s="9">
        <f>IF($A3807="","",$F3807&amp;"")</f>
        <v/>
      </c>
      <c r="Y3807" s="94">
        <f>IF($A3807="",0,IF(AE3807="직접",IF(AF3807="비귀속",$P3807,0),$P3807*(1-AG3807)*IFERROR(INDEX(계정대체기준!$F$20:$F$49,MATCH($N3807,계정대체기준!$A$20:$A$49,0)),1)))</f>
        <v/>
      </c>
      <c r="Z3807" s="94">
        <f>IF($A3807="",0,IF(AE3807="직접",IF(AF3807="신계약비",$P3807,0),$P3807*(1-AG3807)*IFERROR(INDEX(계정대체기준!$C$20:$C$49,MATCH($N3807,계정대체기준!$A$20:$A$49,0)),0)))</f>
        <v/>
      </c>
      <c r="AA3807" s="94">
        <f>IF($A3807="",0,IF(AE3807="직접",IF(OR(AF3807="유지비",AF3807="손해조사비"),$P3807,0),$P3807*(1-AG3807)*IFERROR(INDEX(계정대체기준!$D$20:$D$49,MATCH($N3807,계정대체기준!$A$20:$A$49,0)),0)))</f>
        <v/>
      </c>
      <c r="AB3807" s="94">
        <f>IF($A3807="",0,IF(AE3807="직접",IF(AF3807="수금비",$P3807,0),$P3807*(1-AG3807)*IFERROR(INDEX(계정대체기준!$E$20:$E$49,MATCH($N3807,계정대체기준!$A$20:$A$49,0)),0)))</f>
        <v/>
      </c>
      <c r="AC3807" s="9">
        <f>IF(AND($A3807&lt;&gt;"",M3807=설정!$C$20,Z3807&gt;0),Z3807+ROW()/1000000000,"")</f>
        <v/>
      </c>
      <c r="AD3807" s="94">
        <f>IF($A3807="",0,$P3807*AG3807)</f>
        <v/>
      </c>
      <c r="AE3807" s="64">
        <f>IF($A3807="","",IFERROR(INDEX(계정매핑!$E$5:$E$504,MATCH($F3807&amp;"",계정매핑!$A$5:$A$504,0))&amp;"","공통비"))</f>
        <v/>
      </c>
      <c r="AF3807" s="64">
        <f>IF($A3807="","",IF(AE3807="직접",IFERROR(INDEX(계정매핑!$F$5:$F$504,MATCH($F3807&amp;"",계정매핑!$A$5:$A$504,0))&amp;"","비귀속"),""))</f>
        <v/>
      </c>
      <c r="AG3807" s="96">
        <f>IF($A3807="",0,IF(AND(AE3807&lt;&gt;"직접",IFERROR(INDEX(계정매핑!$G$5:$G$504,MATCH($F3807&amp;"",계정매핑!$A$5:$A$504,0))&amp;"","")="유지비",COUNTIF(계정대체기준!$A$6:$A$15,$N3807)&gt;0),IFERROR(INDEX(계정대체기준!$E$6:$E$15,MATCH(VALUE($A3807&amp;""),계정대체기준!$D$6:$D$15,0)),0),0))</f>
        <v/>
      </c>
      <c r="AH3807" s="64">
        <f>IF($A3807="","",IF(AD3807=0,"",IF(OR(COUNTIF(계정대체기준!$A$77:$A$86,$N3807)&gt;0,ISNUMBER(MATCH($X3807,계정대체기준!$D$77:$D$86,0)),ISNUMBER(MATCH($F3807,계정대체기준!$D$77:$D$86,0))),"Y","N")))</f>
        <v/>
      </c>
    </row>
    <row r="3808">
      <c r="A3808" s="92" t="n">
        <v>2026</v>
      </c>
      <c r="B3808" s="92" t="n">
        <v>5</v>
      </c>
      <c r="C3808" s="92" t="inlineStr">
        <is>
          <t>5100001086</t>
        </is>
      </c>
      <c r="D3808" s="95" t="n">
        <v>46162</v>
      </c>
      <c r="E3808" s="92" t="inlineStr">
        <is>
          <t>KR</t>
        </is>
      </c>
      <c r="F3808" s="92" t="n">
        <v>62401000</v>
      </c>
      <c r="G3808" s="92" t="n">
        <v>1501</v>
      </c>
      <c r="H3808" s="93" t="n">
        <v>1776000</v>
      </c>
      <c r="I3808" s="92" t="inlineStr">
        <is>
          <t>5월 인쇄물 제작 - S출판</t>
        </is>
      </c>
      <c r="J3808" s="92" t="inlineStr">
        <is>
          <t>V10015</t>
        </is>
      </c>
      <c r="K3808" s="92" t="inlineStr">
        <is>
          <t>S출판</t>
        </is>
      </c>
      <c r="M3808" s="9">
        <f>IF($A3808="","",VALUE($A3808&amp;"")*12+VALUE($B3808&amp;""))</f>
        <v/>
      </c>
      <c r="N3808" s="64">
        <f>IF($A3808="","",IFERROR(INDEX(부서매핑!$C$5:$C$504,MATCH($G3808&amp;"",부서매핑!$A$5:$A$504,0)),"미매핑"))</f>
        <v/>
      </c>
      <c r="O3808" s="9">
        <f>IF($A3808="","",N3808&amp;"|"&amp;$F3808)</f>
        <v/>
      </c>
      <c r="P3808" s="94">
        <f>IF($A3808="",0,$H3808*설정!$C$23)</f>
        <v/>
      </c>
      <c r="Q3808" s="64">
        <f>IF($A3808="","",IF(O3808&lt;&gt;원인분석!$C$9,"",IF(AND(M3808&gt;=원인분석!$C$10,M3808&lt;=원인분석!$C$11),"당기",IF(AND(M3808&gt;=원인분석!$C$12,M3808&lt;=원인분석!$C$13),"비교",""))))</f>
        <v/>
      </c>
      <c r="R3808" s="9">
        <f>IF(Q3808="","",$K3808&amp;"")</f>
        <v/>
      </c>
      <c r="S3808" s="9">
        <f>IF(Q3808="","",IF(MATCH(R3808,$R$5:$R$100000,0)=ROW()-4,ROW(),""))</f>
        <v/>
      </c>
      <c r="T3808" s="9">
        <f>IF(Q3808="당기",ABS(P3808)+ROW()/1000000000,"")</f>
        <v/>
      </c>
      <c r="U3808" s="9">
        <f>IF(Q3808="비교",ABS(P3808)+ROW()/1000000000,"")</f>
        <v/>
      </c>
      <c r="V3808" s="64">
        <f>IF($A3808="","",IF(COUNTIF(변동분석!$E$7:$E$506,O3808)&gt;0,"Y","N"))</f>
        <v/>
      </c>
      <c r="W3808" s="64">
        <f>IF($A3808="","",IFERROR(INDEX(계정매핑!$D$5:$D$504,MATCH($F3808&amp;"",계정매핑!$A$5:$A$504,0)),"미매핑"))</f>
        <v/>
      </c>
      <c r="X3808" s="9">
        <f>IF($A3808="","",$F3808&amp;"")</f>
        <v/>
      </c>
      <c r="Y3808" s="94">
        <f>IF($A3808="",0,IF(AE3808="직접",IF(AF3808="비귀속",$P3808,0),$P3808*(1-AG3808)*IFERROR(INDEX(계정대체기준!$F$20:$F$49,MATCH($N3808,계정대체기준!$A$20:$A$49,0)),1)))</f>
        <v/>
      </c>
      <c r="Z3808" s="94">
        <f>IF($A3808="",0,IF(AE3808="직접",IF(AF3808="신계약비",$P3808,0),$P3808*(1-AG3808)*IFERROR(INDEX(계정대체기준!$C$20:$C$49,MATCH($N3808,계정대체기준!$A$20:$A$49,0)),0)))</f>
        <v/>
      </c>
      <c r="AA3808" s="94">
        <f>IF($A3808="",0,IF(AE3808="직접",IF(OR(AF3808="유지비",AF3808="손해조사비"),$P3808,0),$P3808*(1-AG3808)*IFERROR(INDEX(계정대체기준!$D$20:$D$49,MATCH($N3808,계정대체기준!$A$20:$A$49,0)),0)))</f>
        <v/>
      </c>
      <c r="AB3808" s="94">
        <f>IF($A3808="",0,IF(AE3808="직접",IF(AF3808="수금비",$P3808,0),$P3808*(1-AG3808)*IFERROR(INDEX(계정대체기준!$E$20:$E$49,MATCH($N3808,계정대체기준!$A$20:$A$49,0)),0)))</f>
        <v/>
      </c>
      <c r="AC3808" s="9">
        <f>IF(AND($A3808&lt;&gt;"",M3808=설정!$C$20,Z3808&gt;0),Z3808+ROW()/1000000000,"")</f>
        <v/>
      </c>
      <c r="AD3808" s="94">
        <f>IF($A3808="",0,$P3808*AG3808)</f>
        <v/>
      </c>
      <c r="AE3808" s="64">
        <f>IF($A3808="","",IFERROR(INDEX(계정매핑!$E$5:$E$504,MATCH($F3808&amp;"",계정매핑!$A$5:$A$504,0))&amp;"","공통비"))</f>
        <v/>
      </c>
      <c r="AF3808" s="64">
        <f>IF($A3808="","",IF(AE3808="직접",IFERROR(INDEX(계정매핑!$F$5:$F$504,MATCH($F3808&amp;"",계정매핑!$A$5:$A$504,0))&amp;"","비귀속"),""))</f>
        <v/>
      </c>
      <c r="AG3808" s="96">
        <f>IF($A3808="",0,IF(AND(AE3808&lt;&gt;"직접",IFERROR(INDEX(계정매핑!$G$5:$G$504,MATCH($F3808&amp;"",계정매핑!$A$5:$A$504,0))&amp;"","")="유지비",COUNTIF(계정대체기준!$A$6:$A$15,$N3808)&gt;0),IFERROR(INDEX(계정대체기준!$E$6:$E$15,MATCH(VALUE($A3808&amp;""),계정대체기준!$D$6:$D$15,0)),0),0))</f>
        <v/>
      </c>
      <c r="AH3808" s="64">
        <f>IF($A3808="","",IF(AD3808=0,"",IF(OR(COUNTIF(계정대체기준!$A$77:$A$86,$N3808)&gt;0,ISNUMBER(MATCH($X3808,계정대체기준!$D$77:$D$86,0)),ISNUMBER(MATCH($F3808,계정대체기준!$D$77:$D$86,0))),"Y","N")))</f>
        <v/>
      </c>
    </row>
    <row r="3809">
      <c r="A3809" s="92" t="n">
        <v>2026</v>
      </c>
      <c r="B3809" s="92" t="n">
        <v>5</v>
      </c>
      <c r="C3809" s="92" t="inlineStr">
        <is>
          <t>5100001087</t>
        </is>
      </c>
      <c r="D3809" s="95" t="n">
        <v>46162</v>
      </c>
      <c r="E3809" s="92" t="inlineStr">
        <is>
          <t>KR</t>
        </is>
      </c>
      <c r="F3809" s="92" t="n">
        <v>62401000</v>
      </c>
      <c r="G3809" s="92" t="n">
        <v>1502</v>
      </c>
      <c r="H3809" s="93" t="n">
        <v>1334000</v>
      </c>
      <c r="I3809" s="92" t="inlineStr">
        <is>
          <t>5월 인쇄물 제작 - G인쇄</t>
        </is>
      </c>
      <c r="J3809" s="92" t="inlineStr">
        <is>
          <t>V10004</t>
        </is>
      </c>
      <c r="K3809" s="92" t="inlineStr">
        <is>
          <t>G인쇄</t>
        </is>
      </c>
      <c r="M3809" s="9">
        <f>IF($A3809="","",VALUE($A3809&amp;"")*12+VALUE($B3809&amp;""))</f>
        <v/>
      </c>
      <c r="N3809" s="64">
        <f>IF($A3809="","",IFERROR(INDEX(부서매핑!$C$5:$C$504,MATCH($G3809&amp;"",부서매핑!$A$5:$A$504,0)),"미매핑"))</f>
        <v/>
      </c>
      <c r="O3809" s="9">
        <f>IF($A3809="","",N3809&amp;"|"&amp;$F3809)</f>
        <v/>
      </c>
      <c r="P3809" s="94">
        <f>IF($A3809="",0,$H3809*설정!$C$23)</f>
        <v/>
      </c>
      <c r="Q3809" s="64">
        <f>IF($A3809="","",IF(O3809&lt;&gt;원인분석!$C$9,"",IF(AND(M3809&gt;=원인분석!$C$10,M3809&lt;=원인분석!$C$11),"당기",IF(AND(M3809&gt;=원인분석!$C$12,M3809&lt;=원인분석!$C$13),"비교",""))))</f>
        <v/>
      </c>
      <c r="R3809" s="9">
        <f>IF(Q3809="","",$K3809&amp;"")</f>
        <v/>
      </c>
      <c r="S3809" s="9">
        <f>IF(Q3809="","",IF(MATCH(R3809,$R$5:$R$100000,0)=ROW()-4,ROW(),""))</f>
        <v/>
      </c>
      <c r="T3809" s="9">
        <f>IF(Q3809="당기",ABS(P3809)+ROW()/1000000000,"")</f>
        <v/>
      </c>
      <c r="U3809" s="9">
        <f>IF(Q3809="비교",ABS(P3809)+ROW()/1000000000,"")</f>
        <v/>
      </c>
      <c r="V3809" s="64">
        <f>IF($A3809="","",IF(COUNTIF(변동분석!$E$7:$E$506,O3809)&gt;0,"Y","N"))</f>
        <v/>
      </c>
      <c r="W3809" s="64">
        <f>IF($A3809="","",IFERROR(INDEX(계정매핑!$D$5:$D$504,MATCH($F3809&amp;"",계정매핑!$A$5:$A$504,0)),"미매핑"))</f>
        <v/>
      </c>
      <c r="X3809" s="9">
        <f>IF($A3809="","",$F3809&amp;"")</f>
        <v/>
      </c>
      <c r="Y3809" s="94">
        <f>IF($A3809="",0,IF(AE3809="직접",IF(AF3809="비귀속",$P3809,0),$P3809*(1-AG3809)*IFERROR(INDEX(계정대체기준!$F$20:$F$49,MATCH($N3809,계정대체기준!$A$20:$A$49,0)),1)))</f>
        <v/>
      </c>
      <c r="Z3809" s="94">
        <f>IF($A3809="",0,IF(AE3809="직접",IF(AF3809="신계약비",$P3809,0),$P3809*(1-AG3809)*IFERROR(INDEX(계정대체기준!$C$20:$C$49,MATCH($N3809,계정대체기준!$A$20:$A$49,0)),0)))</f>
        <v/>
      </c>
      <c r="AA3809" s="94">
        <f>IF($A3809="",0,IF(AE3809="직접",IF(OR(AF3809="유지비",AF3809="손해조사비"),$P3809,0),$P3809*(1-AG3809)*IFERROR(INDEX(계정대체기준!$D$20:$D$49,MATCH($N3809,계정대체기준!$A$20:$A$49,0)),0)))</f>
        <v/>
      </c>
      <c r="AB3809" s="94">
        <f>IF($A3809="",0,IF(AE3809="직접",IF(AF3809="수금비",$P3809,0),$P3809*(1-AG3809)*IFERROR(INDEX(계정대체기준!$E$20:$E$49,MATCH($N3809,계정대체기준!$A$20:$A$49,0)),0)))</f>
        <v/>
      </c>
      <c r="AC3809" s="9">
        <f>IF(AND($A3809&lt;&gt;"",M3809=설정!$C$20,Z3809&gt;0),Z3809+ROW()/1000000000,"")</f>
        <v/>
      </c>
      <c r="AD3809" s="94">
        <f>IF($A3809="",0,$P3809*AG3809)</f>
        <v/>
      </c>
      <c r="AE3809" s="64">
        <f>IF($A3809="","",IFERROR(INDEX(계정매핑!$E$5:$E$504,MATCH($F3809&amp;"",계정매핑!$A$5:$A$504,0))&amp;"","공통비"))</f>
        <v/>
      </c>
      <c r="AF3809" s="64">
        <f>IF($A3809="","",IF(AE3809="직접",IFERROR(INDEX(계정매핑!$F$5:$F$504,MATCH($F3809&amp;"",계정매핑!$A$5:$A$504,0))&amp;"","비귀속"),""))</f>
        <v/>
      </c>
      <c r="AG3809" s="96">
        <f>IF($A3809="",0,IF(AND(AE3809&lt;&gt;"직접",IFERROR(INDEX(계정매핑!$G$5:$G$504,MATCH($F3809&amp;"",계정매핑!$A$5:$A$504,0))&amp;"","")="유지비",COUNTIF(계정대체기준!$A$6:$A$15,$N3809)&gt;0),IFERROR(INDEX(계정대체기준!$E$6:$E$15,MATCH(VALUE($A3809&amp;""),계정대체기준!$D$6:$D$15,0)),0),0))</f>
        <v/>
      </c>
      <c r="AH3809" s="64">
        <f>IF($A3809="","",IF(AD3809=0,"",IF(OR(COUNTIF(계정대체기준!$A$77:$A$86,$N3809)&gt;0,ISNUMBER(MATCH($X3809,계정대체기준!$D$77:$D$86,0)),ISNUMBER(MATCH($F3809,계정대체기준!$D$77:$D$86,0))),"Y","N")))</f>
        <v/>
      </c>
    </row>
    <row r="3810">
      <c r="A3810" s="92" t="n">
        <v>2026</v>
      </c>
      <c r="B3810" s="92" t="n">
        <v>5</v>
      </c>
      <c r="C3810" s="92" t="inlineStr">
        <is>
          <t>5100001088</t>
        </is>
      </c>
      <c r="D3810" s="95" t="n">
        <v>46162</v>
      </c>
      <c r="E3810" s="92" t="inlineStr">
        <is>
          <t>KR</t>
        </is>
      </c>
      <c r="F3810" s="92" t="n">
        <v>62901000</v>
      </c>
      <c r="G3810" s="92" t="n">
        <v>1401</v>
      </c>
      <c r="H3810" s="93" t="n">
        <v>7036000</v>
      </c>
      <c r="I3810" s="92" t="inlineStr">
        <is>
          <t>5월 자문 수수료 - W컨설팅</t>
        </is>
      </c>
      <c r="J3810" s="92" t="inlineStr">
        <is>
          <t>V10006</t>
        </is>
      </c>
      <c r="K3810" s="92" t="inlineStr">
        <is>
          <t>W컨설팅</t>
        </is>
      </c>
      <c r="M3810" s="9">
        <f>IF($A3810="","",VALUE($A3810&amp;"")*12+VALUE($B3810&amp;""))</f>
        <v/>
      </c>
      <c r="N3810" s="64">
        <f>IF($A3810="","",IFERROR(INDEX(부서매핑!$C$5:$C$504,MATCH($G3810&amp;"",부서매핑!$A$5:$A$504,0)),"미매핑"))</f>
        <v/>
      </c>
      <c r="O3810" s="9">
        <f>IF($A3810="","",N3810&amp;"|"&amp;$F3810)</f>
        <v/>
      </c>
      <c r="P3810" s="94">
        <f>IF($A3810="",0,$H3810*설정!$C$23)</f>
        <v/>
      </c>
      <c r="Q3810" s="64">
        <f>IF($A3810="","",IF(O3810&lt;&gt;원인분석!$C$9,"",IF(AND(M3810&gt;=원인분석!$C$10,M3810&lt;=원인분석!$C$11),"당기",IF(AND(M3810&gt;=원인분석!$C$12,M3810&lt;=원인분석!$C$13),"비교",""))))</f>
        <v/>
      </c>
      <c r="R3810" s="9">
        <f>IF(Q3810="","",$K3810&amp;"")</f>
        <v/>
      </c>
      <c r="S3810" s="9">
        <f>IF(Q3810="","",IF(MATCH(R3810,$R$5:$R$100000,0)=ROW()-4,ROW(),""))</f>
        <v/>
      </c>
      <c r="T3810" s="9">
        <f>IF(Q3810="당기",ABS(P3810)+ROW()/1000000000,"")</f>
        <v/>
      </c>
      <c r="U3810" s="9">
        <f>IF(Q3810="비교",ABS(P3810)+ROW()/1000000000,"")</f>
        <v/>
      </c>
      <c r="V3810" s="64">
        <f>IF($A3810="","",IF(COUNTIF(변동분석!$E$7:$E$506,O3810)&gt;0,"Y","N"))</f>
        <v/>
      </c>
      <c r="W3810" s="64">
        <f>IF($A3810="","",IFERROR(INDEX(계정매핑!$D$5:$D$504,MATCH($F3810&amp;"",계정매핑!$A$5:$A$504,0)),"미매핑"))</f>
        <v/>
      </c>
      <c r="X3810" s="9">
        <f>IF($A3810="","",$F3810&amp;"")</f>
        <v/>
      </c>
      <c r="Y3810" s="94">
        <f>IF($A3810="",0,IF(AE3810="직접",IF(AF3810="비귀속",$P3810,0),$P3810*(1-AG3810)*IFERROR(INDEX(계정대체기준!$F$20:$F$49,MATCH($N3810,계정대체기준!$A$20:$A$49,0)),1)))</f>
        <v/>
      </c>
      <c r="Z3810" s="94">
        <f>IF($A3810="",0,IF(AE3810="직접",IF(AF3810="신계약비",$P3810,0),$P3810*(1-AG3810)*IFERROR(INDEX(계정대체기준!$C$20:$C$49,MATCH($N3810,계정대체기준!$A$20:$A$49,0)),0)))</f>
        <v/>
      </c>
      <c r="AA3810" s="94">
        <f>IF($A3810="",0,IF(AE3810="직접",IF(OR(AF3810="유지비",AF3810="손해조사비"),$P3810,0),$P3810*(1-AG3810)*IFERROR(INDEX(계정대체기준!$D$20:$D$49,MATCH($N3810,계정대체기준!$A$20:$A$49,0)),0)))</f>
        <v/>
      </c>
      <c r="AB3810" s="94">
        <f>IF($A3810="",0,IF(AE3810="직접",IF(AF3810="수금비",$P3810,0),$P3810*(1-AG3810)*IFERROR(INDEX(계정대체기준!$E$20:$E$49,MATCH($N3810,계정대체기준!$A$20:$A$49,0)),0)))</f>
        <v/>
      </c>
      <c r="AC3810" s="9">
        <f>IF(AND($A3810&lt;&gt;"",M3810=설정!$C$20,Z3810&gt;0),Z3810+ROW()/1000000000,"")</f>
        <v/>
      </c>
      <c r="AD3810" s="94">
        <f>IF($A3810="",0,$P3810*AG3810)</f>
        <v/>
      </c>
      <c r="AE3810" s="64">
        <f>IF($A3810="","",IFERROR(INDEX(계정매핑!$E$5:$E$504,MATCH($F3810&amp;"",계정매핑!$A$5:$A$504,0))&amp;"","공통비"))</f>
        <v/>
      </c>
      <c r="AF3810" s="64">
        <f>IF($A3810="","",IF(AE3810="직접",IFERROR(INDEX(계정매핑!$F$5:$F$504,MATCH($F3810&amp;"",계정매핑!$A$5:$A$504,0))&amp;"","비귀속"),""))</f>
        <v/>
      </c>
      <c r="AG3810" s="96">
        <f>IF($A3810="",0,IF(AND(AE3810&lt;&gt;"직접",IFERROR(INDEX(계정매핑!$G$5:$G$504,MATCH($F3810&amp;"",계정매핑!$A$5:$A$504,0))&amp;"","")="유지비",COUNTIF(계정대체기준!$A$6:$A$15,$N3810)&gt;0),IFERROR(INDEX(계정대체기준!$E$6:$E$15,MATCH(VALUE($A3810&amp;""),계정대체기준!$D$6:$D$15,0)),0),0))</f>
        <v/>
      </c>
      <c r="AH3810" s="64">
        <f>IF($A3810="","",IF(AD3810=0,"",IF(OR(COUNTIF(계정대체기준!$A$77:$A$86,$N3810)&gt;0,ISNUMBER(MATCH($X3810,계정대체기준!$D$77:$D$86,0)),ISNUMBER(MATCH($F3810,계정대체기준!$D$77:$D$86,0))),"Y","N")))</f>
        <v/>
      </c>
    </row>
    <row r="3811">
      <c r="A3811" s="92" t="n">
        <v>2026</v>
      </c>
      <c r="B3811" s="92" t="n">
        <v>5</v>
      </c>
      <c r="C3811" s="92" t="inlineStr">
        <is>
          <t>5100001089</t>
        </is>
      </c>
      <c r="D3811" s="95" t="n">
        <v>46162</v>
      </c>
      <c r="E3811" s="92" t="inlineStr">
        <is>
          <t>KR</t>
        </is>
      </c>
      <c r="F3811" s="92" t="n">
        <v>62901000</v>
      </c>
      <c r="G3811" s="92" t="n">
        <v>1951</v>
      </c>
      <c r="H3811" s="93" t="n">
        <v>5000000</v>
      </c>
      <c r="I3811" s="92" t="inlineStr">
        <is>
          <t>5월 자문 수수료 - W컨설팅</t>
        </is>
      </c>
      <c r="J3811" s="92" t="inlineStr">
        <is>
          <t>V10006</t>
        </is>
      </c>
      <c r="K3811" s="92" t="inlineStr">
        <is>
          <t>W컨설팅</t>
        </is>
      </c>
      <c r="M3811" s="9">
        <f>IF($A3811="","",VALUE($A3811&amp;"")*12+VALUE($B3811&amp;""))</f>
        <v/>
      </c>
      <c r="N3811" s="64">
        <f>IF($A3811="","",IFERROR(INDEX(부서매핑!$C$5:$C$504,MATCH($G3811&amp;"",부서매핑!$A$5:$A$504,0)),"미매핑"))</f>
        <v/>
      </c>
      <c r="O3811" s="9">
        <f>IF($A3811="","",N3811&amp;"|"&amp;$F3811)</f>
        <v/>
      </c>
      <c r="P3811" s="94">
        <f>IF($A3811="",0,$H3811*설정!$C$23)</f>
        <v/>
      </c>
      <c r="Q3811" s="64">
        <f>IF($A3811="","",IF(O3811&lt;&gt;원인분석!$C$9,"",IF(AND(M3811&gt;=원인분석!$C$10,M3811&lt;=원인분석!$C$11),"당기",IF(AND(M3811&gt;=원인분석!$C$12,M3811&lt;=원인분석!$C$13),"비교",""))))</f>
        <v/>
      </c>
      <c r="R3811" s="9">
        <f>IF(Q3811="","",$K3811&amp;"")</f>
        <v/>
      </c>
      <c r="S3811" s="9">
        <f>IF(Q3811="","",IF(MATCH(R3811,$R$5:$R$100000,0)=ROW()-4,ROW(),""))</f>
        <v/>
      </c>
      <c r="T3811" s="9">
        <f>IF(Q3811="당기",ABS(P3811)+ROW()/1000000000,"")</f>
        <v/>
      </c>
      <c r="U3811" s="9">
        <f>IF(Q3811="비교",ABS(P3811)+ROW()/1000000000,"")</f>
        <v/>
      </c>
      <c r="V3811" s="64">
        <f>IF($A3811="","",IF(COUNTIF(변동분석!$E$7:$E$506,O3811)&gt;0,"Y","N"))</f>
        <v/>
      </c>
      <c r="W3811" s="64">
        <f>IF($A3811="","",IFERROR(INDEX(계정매핑!$D$5:$D$504,MATCH($F3811&amp;"",계정매핑!$A$5:$A$504,0)),"미매핑"))</f>
        <v/>
      </c>
      <c r="X3811" s="9">
        <f>IF($A3811="","",$F3811&amp;"")</f>
        <v/>
      </c>
      <c r="Y3811" s="94">
        <f>IF($A3811="",0,IF(AE3811="직접",IF(AF3811="비귀속",$P3811,0),$P3811*(1-AG3811)*IFERROR(INDEX(계정대체기준!$F$20:$F$49,MATCH($N3811,계정대체기준!$A$20:$A$49,0)),1)))</f>
        <v/>
      </c>
      <c r="Z3811" s="94">
        <f>IF($A3811="",0,IF(AE3811="직접",IF(AF3811="신계약비",$P3811,0),$P3811*(1-AG3811)*IFERROR(INDEX(계정대체기준!$C$20:$C$49,MATCH($N3811,계정대체기준!$A$20:$A$49,0)),0)))</f>
        <v/>
      </c>
      <c r="AA3811" s="94">
        <f>IF($A3811="",0,IF(AE3811="직접",IF(OR(AF3811="유지비",AF3811="손해조사비"),$P3811,0),$P3811*(1-AG3811)*IFERROR(INDEX(계정대체기준!$D$20:$D$49,MATCH($N3811,계정대체기준!$A$20:$A$49,0)),0)))</f>
        <v/>
      </c>
      <c r="AB3811" s="94">
        <f>IF($A3811="",0,IF(AE3811="직접",IF(AF3811="수금비",$P3811,0),$P3811*(1-AG3811)*IFERROR(INDEX(계정대체기준!$E$20:$E$49,MATCH($N3811,계정대체기준!$A$20:$A$49,0)),0)))</f>
        <v/>
      </c>
      <c r="AC3811" s="9">
        <f>IF(AND($A3811&lt;&gt;"",M3811=설정!$C$20,Z3811&gt;0),Z3811+ROW()/1000000000,"")</f>
        <v/>
      </c>
      <c r="AD3811" s="94">
        <f>IF($A3811="",0,$P3811*AG3811)</f>
        <v/>
      </c>
      <c r="AE3811" s="64">
        <f>IF($A3811="","",IFERROR(INDEX(계정매핑!$E$5:$E$504,MATCH($F3811&amp;"",계정매핑!$A$5:$A$504,0))&amp;"","공통비"))</f>
        <v/>
      </c>
      <c r="AF3811" s="64">
        <f>IF($A3811="","",IF(AE3811="직접",IFERROR(INDEX(계정매핑!$F$5:$F$504,MATCH($F3811&amp;"",계정매핑!$A$5:$A$504,0))&amp;"","비귀속"),""))</f>
        <v/>
      </c>
      <c r="AG3811" s="96">
        <f>IF($A3811="",0,IF(AND(AE3811&lt;&gt;"직접",IFERROR(INDEX(계정매핑!$G$5:$G$504,MATCH($F3811&amp;"",계정매핑!$A$5:$A$504,0))&amp;"","")="유지비",COUNTIF(계정대체기준!$A$6:$A$15,$N3811)&gt;0),IFERROR(INDEX(계정대체기준!$E$6:$E$15,MATCH(VALUE($A3811&amp;""),계정대체기준!$D$6:$D$15,0)),0),0))</f>
        <v/>
      </c>
      <c r="AH3811" s="64">
        <f>IF($A3811="","",IF(AD3811=0,"",IF(OR(COUNTIF(계정대체기준!$A$77:$A$86,$N3811)&gt;0,ISNUMBER(MATCH($X3811,계정대체기준!$D$77:$D$86,0)),ISNUMBER(MATCH($F3811,계정대체기준!$D$77:$D$86,0))),"Y","N")))</f>
        <v/>
      </c>
    </row>
    <row r="3812">
      <c r="A3812" s="92" t="n">
        <v>2026</v>
      </c>
      <c r="B3812" s="92" t="n">
        <v>5</v>
      </c>
      <c r="C3812" s="92" t="inlineStr">
        <is>
          <t>5100001090</t>
        </is>
      </c>
      <c r="D3812" s="95" t="n">
        <v>46162</v>
      </c>
      <c r="E3812" s="92" t="inlineStr">
        <is>
          <t>KR</t>
        </is>
      </c>
      <c r="F3812" s="92" t="n">
        <v>62902000</v>
      </c>
      <c r="G3812" s="92" t="n">
        <v>1101</v>
      </c>
      <c r="H3812" s="93" t="n">
        <v>1795000</v>
      </c>
      <c r="I3812" s="92" t="inlineStr">
        <is>
          <t>5월 업무 위탁 수수료 - X서비스</t>
        </is>
      </c>
      <c r="J3812" s="92" t="inlineStr">
        <is>
          <t>V10020</t>
        </is>
      </c>
      <c r="K3812" s="92" t="inlineStr">
        <is>
          <t>X서비스</t>
        </is>
      </c>
      <c r="M3812" s="9">
        <f>IF($A3812="","",VALUE($A3812&amp;"")*12+VALUE($B3812&amp;""))</f>
        <v/>
      </c>
      <c r="N3812" s="64">
        <f>IF($A3812="","",IFERROR(INDEX(부서매핑!$C$5:$C$504,MATCH($G3812&amp;"",부서매핑!$A$5:$A$504,0)),"미매핑"))</f>
        <v/>
      </c>
      <c r="O3812" s="9">
        <f>IF($A3812="","",N3812&amp;"|"&amp;$F3812)</f>
        <v/>
      </c>
      <c r="P3812" s="94">
        <f>IF($A3812="",0,$H3812*설정!$C$23)</f>
        <v/>
      </c>
      <c r="Q3812" s="64">
        <f>IF($A3812="","",IF(O3812&lt;&gt;원인분석!$C$9,"",IF(AND(M3812&gt;=원인분석!$C$10,M3812&lt;=원인분석!$C$11),"당기",IF(AND(M3812&gt;=원인분석!$C$12,M3812&lt;=원인분석!$C$13),"비교",""))))</f>
        <v/>
      </c>
      <c r="R3812" s="9">
        <f>IF(Q3812="","",$K3812&amp;"")</f>
        <v/>
      </c>
      <c r="S3812" s="9">
        <f>IF(Q3812="","",IF(MATCH(R3812,$R$5:$R$100000,0)=ROW()-4,ROW(),""))</f>
        <v/>
      </c>
      <c r="T3812" s="9">
        <f>IF(Q3812="당기",ABS(P3812)+ROW()/1000000000,"")</f>
        <v/>
      </c>
      <c r="U3812" s="9">
        <f>IF(Q3812="비교",ABS(P3812)+ROW()/1000000000,"")</f>
        <v/>
      </c>
      <c r="V3812" s="64">
        <f>IF($A3812="","",IF(COUNTIF(변동분석!$E$7:$E$506,O3812)&gt;0,"Y","N"))</f>
        <v/>
      </c>
      <c r="W3812" s="64">
        <f>IF($A3812="","",IFERROR(INDEX(계정매핑!$D$5:$D$504,MATCH($F3812&amp;"",계정매핑!$A$5:$A$504,0)),"미매핑"))</f>
        <v/>
      </c>
      <c r="X3812" s="9">
        <f>IF($A3812="","",$F3812&amp;"")</f>
        <v/>
      </c>
      <c r="Y3812" s="94">
        <f>IF($A3812="",0,IF(AE3812="직접",IF(AF3812="비귀속",$P3812,0),$P3812*(1-AG3812)*IFERROR(INDEX(계정대체기준!$F$20:$F$49,MATCH($N3812,계정대체기준!$A$20:$A$49,0)),1)))</f>
        <v/>
      </c>
      <c r="Z3812" s="94">
        <f>IF($A3812="",0,IF(AE3812="직접",IF(AF3812="신계약비",$P3812,0),$P3812*(1-AG3812)*IFERROR(INDEX(계정대체기준!$C$20:$C$49,MATCH($N3812,계정대체기준!$A$20:$A$49,0)),0)))</f>
        <v/>
      </c>
      <c r="AA3812" s="94">
        <f>IF($A3812="",0,IF(AE3812="직접",IF(OR(AF3812="유지비",AF3812="손해조사비"),$P3812,0),$P3812*(1-AG3812)*IFERROR(INDEX(계정대체기준!$D$20:$D$49,MATCH($N3812,계정대체기준!$A$20:$A$49,0)),0)))</f>
        <v/>
      </c>
      <c r="AB3812" s="94">
        <f>IF($A3812="",0,IF(AE3812="직접",IF(AF3812="수금비",$P3812,0),$P3812*(1-AG3812)*IFERROR(INDEX(계정대체기준!$E$20:$E$49,MATCH($N3812,계정대체기준!$A$20:$A$49,0)),0)))</f>
        <v/>
      </c>
      <c r="AC3812" s="9">
        <f>IF(AND($A3812&lt;&gt;"",M3812=설정!$C$20,Z3812&gt;0),Z3812+ROW()/1000000000,"")</f>
        <v/>
      </c>
      <c r="AD3812" s="94">
        <f>IF($A3812="",0,$P3812*AG3812)</f>
        <v/>
      </c>
      <c r="AE3812" s="64">
        <f>IF($A3812="","",IFERROR(INDEX(계정매핑!$E$5:$E$504,MATCH($F3812&amp;"",계정매핑!$A$5:$A$504,0))&amp;"","공통비"))</f>
        <v/>
      </c>
      <c r="AF3812" s="64">
        <f>IF($A3812="","",IF(AE3812="직접",IFERROR(INDEX(계정매핑!$F$5:$F$504,MATCH($F3812&amp;"",계정매핑!$A$5:$A$504,0))&amp;"","비귀속"),""))</f>
        <v/>
      </c>
      <c r="AG3812" s="96">
        <f>IF($A3812="",0,IF(AND(AE3812&lt;&gt;"직접",IFERROR(INDEX(계정매핑!$G$5:$G$504,MATCH($F3812&amp;"",계정매핑!$A$5:$A$504,0))&amp;"","")="유지비",COUNTIF(계정대체기준!$A$6:$A$15,$N3812)&gt;0),IFERROR(INDEX(계정대체기준!$E$6:$E$15,MATCH(VALUE($A3812&amp;""),계정대체기준!$D$6:$D$15,0)),0),0))</f>
        <v/>
      </c>
      <c r="AH3812" s="64">
        <f>IF($A3812="","",IF(AD3812=0,"",IF(OR(COUNTIF(계정대체기준!$A$77:$A$86,$N3812)&gt;0,ISNUMBER(MATCH($X3812,계정대체기준!$D$77:$D$86,0)),ISNUMBER(MATCH($F3812,계정대체기준!$D$77:$D$86,0))),"Y","N")))</f>
        <v/>
      </c>
    </row>
    <row r="3813">
      <c r="A3813" s="92" t="n">
        <v>2026</v>
      </c>
      <c r="B3813" s="92" t="n">
        <v>5</v>
      </c>
      <c r="C3813" s="92" t="inlineStr">
        <is>
          <t>5100001091</t>
        </is>
      </c>
      <c r="D3813" s="95" t="n">
        <v>46162</v>
      </c>
      <c r="E3813" s="92" t="inlineStr">
        <is>
          <t>KR</t>
        </is>
      </c>
      <c r="F3813" s="92" t="n">
        <v>62902000</v>
      </c>
      <c r="G3813" s="92" t="n">
        <v>1401</v>
      </c>
      <c r="H3813" s="93" t="n">
        <v>1529000</v>
      </c>
      <c r="I3813" s="92" t="inlineStr">
        <is>
          <t>5월 업무 위탁 수수료 - J콜센터</t>
        </is>
      </c>
      <c r="J3813" s="92" t="inlineStr">
        <is>
          <t>V10016</t>
        </is>
      </c>
      <c r="K3813" s="92" t="inlineStr">
        <is>
          <t>J콜센터</t>
        </is>
      </c>
      <c r="M3813" s="9">
        <f>IF($A3813="","",VALUE($A3813&amp;"")*12+VALUE($B3813&amp;""))</f>
        <v/>
      </c>
      <c r="N3813" s="64">
        <f>IF($A3813="","",IFERROR(INDEX(부서매핑!$C$5:$C$504,MATCH($G3813&amp;"",부서매핑!$A$5:$A$504,0)),"미매핑"))</f>
        <v/>
      </c>
      <c r="O3813" s="9">
        <f>IF($A3813="","",N3813&amp;"|"&amp;$F3813)</f>
        <v/>
      </c>
      <c r="P3813" s="94">
        <f>IF($A3813="",0,$H3813*설정!$C$23)</f>
        <v/>
      </c>
      <c r="Q3813" s="64">
        <f>IF($A3813="","",IF(O3813&lt;&gt;원인분석!$C$9,"",IF(AND(M3813&gt;=원인분석!$C$10,M3813&lt;=원인분석!$C$11),"당기",IF(AND(M3813&gt;=원인분석!$C$12,M3813&lt;=원인분석!$C$13),"비교",""))))</f>
        <v/>
      </c>
      <c r="R3813" s="9">
        <f>IF(Q3813="","",$K3813&amp;"")</f>
        <v/>
      </c>
      <c r="S3813" s="9">
        <f>IF(Q3813="","",IF(MATCH(R3813,$R$5:$R$100000,0)=ROW()-4,ROW(),""))</f>
        <v/>
      </c>
      <c r="T3813" s="9">
        <f>IF(Q3813="당기",ABS(P3813)+ROW()/1000000000,"")</f>
        <v/>
      </c>
      <c r="U3813" s="9">
        <f>IF(Q3813="비교",ABS(P3813)+ROW()/1000000000,"")</f>
        <v/>
      </c>
      <c r="V3813" s="64">
        <f>IF($A3813="","",IF(COUNTIF(변동분석!$E$7:$E$506,O3813)&gt;0,"Y","N"))</f>
        <v/>
      </c>
      <c r="W3813" s="64">
        <f>IF($A3813="","",IFERROR(INDEX(계정매핑!$D$5:$D$504,MATCH($F3813&amp;"",계정매핑!$A$5:$A$504,0)),"미매핑"))</f>
        <v/>
      </c>
      <c r="X3813" s="9">
        <f>IF($A3813="","",$F3813&amp;"")</f>
        <v/>
      </c>
      <c r="Y3813" s="94">
        <f>IF($A3813="",0,IF(AE3813="직접",IF(AF3813="비귀속",$P3813,0),$P3813*(1-AG3813)*IFERROR(INDEX(계정대체기준!$F$20:$F$49,MATCH($N3813,계정대체기준!$A$20:$A$49,0)),1)))</f>
        <v/>
      </c>
      <c r="Z3813" s="94">
        <f>IF($A3813="",0,IF(AE3813="직접",IF(AF3813="신계약비",$P3813,0),$P3813*(1-AG3813)*IFERROR(INDEX(계정대체기준!$C$20:$C$49,MATCH($N3813,계정대체기준!$A$20:$A$49,0)),0)))</f>
        <v/>
      </c>
      <c r="AA3813" s="94">
        <f>IF($A3813="",0,IF(AE3813="직접",IF(OR(AF3813="유지비",AF3813="손해조사비"),$P3813,0),$P3813*(1-AG3813)*IFERROR(INDEX(계정대체기준!$D$20:$D$49,MATCH($N3813,계정대체기준!$A$20:$A$49,0)),0)))</f>
        <v/>
      </c>
      <c r="AB3813" s="94">
        <f>IF($A3813="",0,IF(AE3813="직접",IF(AF3813="수금비",$P3813,0),$P3813*(1-AG3813)*IFERROR(INDEX(계정대체기준!$E$20:$E$49,MATCH($N3813,계정대체기준!$A$20:$A$49,0)),0)))</f>
        <v/>
      </c>
      <c r="AC3813" s="9">
        <f>IF(AND($A3813&lt;&gt;"",M3813=설정!$C$20,Z3813&gt;0),Z3813+ROW()/1000000000,"")</f>
        <v/>
      </c>
      <c r="AD3813" s="94">
        <f>IF($A3813="",0,$P3813*AG3813)</f>
        <v/>
      </c>
      <c r="AE3813" s="64">
        <f>IF($A3813="","",IFERROR(INDEX(계정매핑!$E$5:$E$504,MATCH($F3813&amp;"",계정매핑!$A$5:$A$504,0))&amp;"","공통비"))</f>
        <v/>
      </c>
      <c r="AF3813" s="64">
        <f>IF($A3813="","",IF(AE3813="직접",IFERROR(INDEX(계정매핑!$F$5:$F$504,MATCH($F3813&amp;"",계정매핑!$A$5:$A$504,0))&amp;"","비귀속"),""))</f>
        <v/>
      </c>
      <c r="AG3813" s="96">
        <f>IF($A3813="",0,IF(AND(AE3813&lt;&gt;"직접",IFERROR(INDEX(계정매핑!$G$5:$G$504,MATCH($F3813&amp;"",계정매핑!$A$5:$A$504,0))&amp;"","")="유지비",COUNTIF(계정대체기준!$A$6:$A$15,$N3813)&gt;0),IFERROR(INDEX(계정대체기준!$E$6:$E$15,MATCH(VALUE($A3813&amp;""),계정대체기준!$D$6:$D$15,0)),0),0))</f>
        <v/>
      </c>
      <c r="AH3813" s="64">
        <f>IF($A3813="","",IF(AD3813=0,"",IF(OR(COUNTIF(계정대체기준!$A$77:$A$86,$N3813)&gt;0,ISNUMBER(MATCH($X3813,계정대체기준!$D$77:$D$86,0)),ISNUMBER(MATCH($F3813,계정대체기준!$D$77:$D$86,0))),"Y","N")))</f>
        <v/>
      </c>
    </row>
    <row r="3814">
      <c r="A3814" s="92" t="n">
        <v>2026</v>
      </c>
      <c r="B3814" s="92" t="n">
        <v>5</v>
      </c>
      <c r="C3814" s="92" t="inlineStr">
        <is>
          <t>5100001092</t>
        </is>
      </c>
      <c r="D3814" s="95" t="n">
        <v>46163</v>
      </c>
      <c r="E3814" s="92" t="inlineStr">
        <is>
          <t>KR</t>
        </is>
      </c>
      <c r="F3814" s="92" t="n">
        <v>62101000</v>
      </c>
      <c r="G3814" s="92" t="n">
        <v>1101</v>
      </c>
      <c r="H3814" s="93" t="n">
        <v>425000</v>
      </c>
      <c r="I3814" s="92" t="inlineStr">
        <is>
          <t>5월 국내출장 - L여행사</t>
        </is>
      </c>
      <c r="J3814" s="92" t="inlineStr">
        <is>
          <t>V10018</t>
        </is>
      </c>
      <c r="K3814" s="92" t="inlineStr">
        <is>
          <t>L여행사</t>
        </is>
      </c>
      <c r="M3814" s="9">
        <f>IF($A3814="","",VALUE($A3814&amp;"")*12+VALUE($B3814&amp;""))</f>
        <v/>
      </c>
      <c r="N3814" s="64">
        <f>IF($A3814="","",IFERROR(INDEX(부서매핑!$C$5:$C$504,MATCH($G3814&amp;"",부서매핑!$A$5:$A$504,0)),"미매핑"))</f>
        <v/>
      </c>
      <c r="O3814" s="9">
        <f>IF($A3814="","",N3814&amp;"|"&amp;$F3814)</f>
        <v/>
      </c>
      <c r="P3814" s="94">
        <f>IF($A3814="",0,$H3814*설정!$C$23)</f>
        <v/>
      </c>
      <c r="Q3814" s="64">
        <f>IF($A3814="","",IF(O3814&lt;&gt;원인분석!$C$9,"",IF(AND(M3814&gt;=원인분석!$C$10,M3814&lt;=원인분석!$C$11),"당기",IF(AND(M3814&gt;=원인분석!$C$12,M3814&lt;=원인분석!$C$13),"비교",""))))</f>
        <v/>
      </c>
      <c r="R3814" s="9">
        <f>IF(Q3814="","",$K3814&amp;"")</f>
        <v/>
      </c>
      <c r="S3814" s="9">
        <f>IF(Q3814="","",IF(MATCH(R3814,$R$5:$R$100000,0)=ROW()-4,ROW(),""))</f>
        <v/>
      </c>
      <c r="T3814" s="9">
        <f>IF(Q3814="당기",ABS(P3814)+ROW()/1000000000,"")</f>
        <v/>
      </c>
      <c r="U3814" s="9">
        <f>IF(Q3814="비교",ABS(P3814)+ROW()/1000000000,"")</f>
        <v/>
      </c>
      <c r="V3814" s="64">
        <f>IF($A3814="","",IF(COUNTIF(변동분석!$E$7:$E$506,O3814)&gt;0,"Y","N"))</f>
        <v/>
      </c>
      <c r="W3814" s="64">
        <f>IF($A3814="","",IFERROR(INDEX(계정매핑!$D$5:$D$504,MATCH($F3814&amp;"",계정매핑!$A$5:$A$504,0)),"미매핑"))</f>
        <v/>
      </c>
      <c r="X3814" s="9">
        <f>IF($A3814="","",$F3814&amp;"")</f>
        <v/>
      </c>
      <c r="Y3814" s="94">
        <f>IF($A3814="",0,IF(AE3814="직접",IF(AF3814="비귀속",$P3814,0),$P3814*(1-AG3814)*IFERROR(INDEX(계정대체기준!$F$20:$F$49,MATCH($N3814,계정대체기준!$A$20:$A$49,0)),1)))</f>
        <v/>
      </c>
      <c r="Z3814" s="94">
        <f>IF($A3814="",0,IF(AE3814="직접",IF(AF3814="신계약비",$P3814,0),$P3814*(1-AG3814)*IFERROR(INDEX(계정대체기준!$C$20:$C$49,MATCH($N3814,계정대체기준!$A$20:$A$49,0)),0)))</f>
        <v/>
      </c>
      <c r="AA3814" s="94">
        <f>IF($A3814="",0,IF(AE3814="직접",IF(OR(AF3814="유지비",AF3814="손해조사비"),$P3814,0),$P3814*(1-AG3814)*IFERROR(INDEX(계정대체기준!$D$20:$D$49,MATCH($N3814,계정대체기준!$A$20:$A$49,0)),0)))</f>
        <v/>
      </c>
      <c r="AB3814" s="94">
        <f>IF($A3814="",0,IF(AE3814="직접",IF(AF3814="수금비",$P3814,0),$P3814*(1-AG3814)*IFERROR(INDEX(계정대체기준!$E$20:$E$49,MATCH($N3814,계정대체기준!$A$20:$A$49,0)),0)))</f>
        <v/>
      </c>
      <c r="AC3814" s="9">
        <f>IF(AND($A3814&lt;&gt;"",M3814=설정!$C$20,Z3814&gt;0),Z3814+ROW()/1000000000,"")</f>
        <v/>
      </c>
      <c r="AD3814" s="94">
        <f>IF($A3814="",0,$P3814*AG3814)</f>
        <v/>
      </c>
      <c r="AE3814" s="64">
        <f>IF($A3814="","",IFERROR(INDEX(계정매핑!$E$5:$E$504,MATCH($F3814&amp;"",계정매핑!$A$5:$A$504,0))&amp;"","공통비"))</f>
        <v/>
      </c>
      <c r="AF3814" s="64">
        <f>IF($A3814="","",IF(AE3814="직접",IFERROR(INDEX(계정매핑!$F$5:$F$504,MATCH($F3814&amp;"",계정매핑!$A$5:$A$504,0))&amp;"","비귀속"),""))</f>
        <v/>
      </c>
      <c r="AG3814" s="96">
        <f>IF($A3814="",0,IF(AND(AE3814&lt;&gt;"직접",IFERROR(INDEX(계정매핑!$G$5:$G$504,MATCH($F3814&amp;"",계정매핑!$A$5:$A$504,0))&amp;"","")="유지비",COUNTIF(계정대체기준!$A$6:$A$15,$N3814)&gt;0),IFERROR(INDEX(계정대체기준!$E$6:$E$15,MATCH(VALUE($A3814&amp;""),계정대체기준!$D$6:$D$15,0)),0),0))</f>
        <v/>
      </c>
      <c r="AH3814" s="64">
        <f>IF($A3814="","",IF(AD3814=0,"",IF(OR(COUNTIF(계정대체기준!$A$77:$A$86,$N3814)&gt;0,ISNUMBER(MATCH($X3814,계정대체기준!$D$77:$D$86,0)),ISNUMBER(MATCH($F3814,계정대체기준!$D$77:$D$86,0))),"Y","N")))</f>
        <v/>
      </c>
    </row>
    <row r="3815">
      <c r="A3815" s="92" t="n">
        <v>2026</v>
      </c>
      <c r="B3815" s="92" t="n">
        <v>5</v>
      </c>
      <c r="C3815" s="92" t="inlineStr">
        <is>
          <t>5100001093</t>
        </is>
      </c>
      <c r="D3815" s="95" t="n">
        <v>46163</v>
      </c>
      <c r="E3815" s="92" t="inlineStr">
        <is>
          <t>KR</t>
        </is>
      </c>
      <c r="F3815" s="92" t="n">
        <v>62201000</v>
      </c>
      <c r="G3815" s="92" t="n">
        <v>1501</v>
      </c>
      <c r="H3815" s="93" t="n">
        <v>366000</v>
      </c>
      <c r="I3815" s="92" t="inlineStr">
        <is>
          <t>5월 통신요금 - O텔레콤</t>
        </is>
      </c>
      <c r="J3815" s="92" t="inlineStr">
        <is>
          <t>V10002</t>
        </is>
      </c>
      <c r="K3815" s="92" t="inlineStr">
        <is>
          <t>O텔레콤</t>
        </is>
      </c>
      <c r="M3815" s="9">
        <f>IF($A3815="","",VALUE($A3815&amp;"")*12+VALUE($B3815&amp;""))</f>
        <v/>
      </c>
      <c r="N3815" s="64">
        <f>IF($A3815="","",IFERROR(INDEX(부서매핑!$C$5:$C$504,MATCH($G3815&amp;"",부서매핑!$A$5:$A$504,0)),"미매핑"))</f>
        <v/>
      </c>
      <c r="O3815" s="9">
        <f>IF($A3815="","",N3815&amp;"|"&amp;$F3815)</f>
        <v/>
      </c>
      <c r="P3815" s="94">
        <f>IF($A3815="",0,$H3815*설정!$C$23)</f>
        <v/>
      </c>
      <c r="Q3815" s="64">
        <f>IF($A3815="","",IF(O3815&lt;&gt;원인분석!$C$9,"",IF(AND(M3815&gt;=원인분석!$C$10,M3815&lt;=원인분석!$C$11),"당기",IF(AND(M3815&gt;=원인분석!$C$12,M3815&lt;=원인분석!$C$13),"비교",""))))</f>
        <v/>
      </c>
      <c r="R3815" s="9">
        <f>IF(Q3815="","",$K3815&amp;"")</f>
        <v/>
      </c>
      <c r="S3815" s="9">
        <f>IF(Q3815="","",IF(MATCH(R3815,$R$5:$R$100000,0)=ROW()-4,ROW(),""))</f>
        <v/>
      </c>
      <c r="T3815" s="9">
        <f>IF(Q3815="당기",ABS(P3815)+ROW()/1000000000,"")</f>
        <v/>
      </c>
      <c r="U3815" s="9">
        <f>IF(Q3815="비교",ABS(P3815)+ROW()/1000000000,"")</f>
        <v/>
      </c>
      <c r="V3815" s="64">
        <f>IF($A3815="","",IF(COUNTIF(변동분석!$E$7:$E$506,O3815)&gt;0,"Y","N"))</f>
        <v/>
      </c>
      <c r="W3815" s="64">
        <f>IF($A3815="","",IFERROR(INDEX(계정매핑!$D$5:$D$504,MATCH($F3815&amp;"",계정매핑!$A$5:$A$504,0)),"미매핑"))</f>
        <v/>
      </c>
      <c r="X3815" s="9">
        <f>IF($A3815="","",$F3815&amp;"")</f>
        <v/>
      </c>
      <c r="Y3815" s="94">
        <f>IF($A3815="",0,IF(AE3815="직접",IF(AF3815="비귀속",$P3815,0),$P3815*(1-AG3815)*IFERROR(INDEX(계정대체기준!$F$20:$F$49,MATCH($N3815,계정대체기준!$A$20:$A$49,0)),1)))</f>
        <v/>
      </c>
      <c r="Z3815" s="94">
        <f>IF($A3815="",0,IF(AE3815="직접",IF(AF3815="신계약비",$P3815,0),$P3815*(1-AG3815)*IFERROR(INDEX(계정대체기준!$C$20:$C$49,MATCH($N3815,계정대체기준!$A$20:$A$49,0)),0)))</f>
        <v/>
      </c>
      <c r="AA3815" s="94">
        <f>IF($A3815="",0,IF(AE3815="직접",IF(OR(AF3815="유지비",AF3815="손해조사비"),$P3815,0),$P3815*(1-AG3815)*IFERROR(INDEX(계정대체기준!$D$20:$D$49,MATCH($N3815,계정대체기준!$A$20:$A$49,0)),0)))</f>
        <v/>
      </c>
      <c r="AB3815" s="94">
        <f>IF($A3815="",0,IF(AE3815="직접",IF(AF3815="수금비",$P3815,0),$P3815*(1-AG3815)*IFERROR(INDEX(계정대체기준!$E$20:$E$49,MATCH($N3815,계정대체기준!$A$20:$A$49,0)),0)))</f>
        <v/>
      </c>
      <c r="AC3815" s="9">
        <f>IF(AND($A3815&lt;&gt;"",M3815=설정!$C$20,Z3815&gt;0),Z3815+ROW()/1000000000,"")</f>
        <v/>
      </c>
      <c r="AD3815" s="94">
        <f>IF($A3815="",0,$P3815*AG3815)</f>
        <v/>
      </c>
      <c r="AE3815" s="64">
        <f>IF($A3815="","",IFERROR(INDEX(계정매핑!$E$5:$E$504,MATCH($F3815&amp;"",계정매핑!$A$5:$A$504,0))&amp;"","공통비"))</f>
        <v/>
      </c>
      <c r="AF3815" s="64">
        <f>IF($A3815="","",IF(AE3815="직접",IFERROR(INDEX(계정매핑!$F$5:$F$504,MATCH($F3815&amp;"",계정매핑!$A$5:$A$504,0))&amp;"","비귀속"),""))</f>
        <v/>
      </c>
      <c r="AG3815" s="96">
        <f>IF($A3815="",0,IF(AND(AE3815&lt;&gt;"직접",IFERROR(INDEX(계정매핑!$G$5:$G$504,MATCH($F3815&amp;"",계정매핑!$A$5:$A$504,0))&amp;"","")="유지비",COUNTIF(계정대체기준!$A$6:$A$15,$N3815)&gt;0),IFERROR(INDEX(계정대체기준!$E$6:$E$15,MATCH(VALUE($A3815&amp;""),계정대체기준!$D$6:$D$15,0)),0),0))</f>
        <v/>
      </c>
      <c r="AH3815" s="64">
        <f>IF($A3815="","",IF(AD3815=0,"",IF(OR(COUNTIF(계정대체기준!$A$77:$A$86,$N3815)&gt;0,ISNUMBER(MATCH($X3815,계정대체기준!$D$77:$D$86,0)),ISNUMBER(MATCH($F3815,계정대체기준!$D$77:$D$86,0))),"Y","N")))</f>
        <v/>
      </c>
    </row>
    <row r="3816">
      <c r="A3816" s="92" t="n">
        <v>2026</v>
      </c>
      <c r="B3816" s="92" t="n">
        <v>5</v>
      </c>
      <c r="C3816" s="92" t="inlineStr">
        <is>
          <t>5100001094</t>
        </is>
      </c>
      <c r="D3816" s="95" t="n">
        <v>46163</v>
      </c>
      <c r="E3816" s="92" t="inlineStr">
        <is>
          <t>KR</t>
        </is>
      </c>
      <c r="F3816" s="92" t="n">
        <v>62301000</v>
      </c>
      <c r="G3816" s="92" t="n">
        <v>1602</v>
      </c>
      <c r="H3816" s="93" t="n">
        <v>296000</v>
      </c>
      <c r="I3816" s="92" t="inlineStr">
        <is>
          <t>5월 소모품 구입 - Q오피스</t>
        </is>
      </c>
      <c r="J3816" s="92" t="inlineStr">
        <is>
          <t>V10003</t>
        </is>
      </c>
      <c r="K3816" s="92" t="inlineStr">
        <is>
          <t>Q오피스</t>
        </is>
      </c>
      <c r="M3816" s="9">
        <f>IF($A3816="","",VALUE($A3816&amp;"")*12+VALUE($B3816&amp;""))</f>
        <v/>
      </c>
      <c r="N3816" s="64">
        <f>IF($A3816="","",IFERROR(INDEX(부서매핑!$C$5:$C$504,MATCH($G3816&amp;"",부서매핑!$A$5:$A$504,0)),"미매핑"))</f>
        <v/>
      </c>
      <c r="O3816" s="9">
        <f>IF($A3816="","",N3816&amp;"|"&amp;$F3816)</f>
        <v/>
      </c>
      <c r="P3816" s="94">
        <f>IF($A3816="",0,$H3816*설정!$C$23)</f>
        <v/>
      </c>
      <c r="Q3816" s="64">
        <f>IF($A3816="","",IF(O3816&lt;&gt;원인분석!$C$9,"",IF(AND(M3816&gt;=원인분석!$C$10,M3816&lt;=원인분석!$C$11),"당기",IF(AND(M3816&gt;=원인분석!$C$12,M3816&lt;=원인분석!$C$13),"비교",""))))</f>
        <v/>
      </c>
      <c r="R3816" s="9">
        <f>IF(Q3816="","",$K3816&amp;"")</f>
        <v/>
      </c>
      <c r="S3816" s="9">
        <f>IF(Q3816="","",IF(MATCH(R3816,$R$5:$R$100000,0)=ROW()-4,ROW(),""))</f>
        <v/>
      </c>
      <c r="T3816" s="9">
        <f>IF(Q3816="당기",ABS(P3816)+ROW()/1000000000,"")</f>
        <v/>
      </c>
      <c r="U3816" s="9">
        <f>IF(Q3816="비교",ABS(P3816)+ROW()/1000000000,"")</f>
        <v/>
      </c>
      <c r="V3816" s="64">
        <f>IF($A3816="","",IF(COUNTIF(변동분석!$E$7:$E$506,O3816)&gt;0,"Y","N"))</f>
        <v/>
      </c>
      <c r="W3816" s="64">
        <f>IF($A3816="","",IFERROR(INDEX(계정매핑!$D$5:$D$504,MATCH($F3816&amp;"",계정매핑!$A$5:$A$504,0)),"미매핑"))</f>
        <v/>
      </c>
      <c r="X3816" s="9">
        <f>IF($A3816="","",$F3816&amp;"")</f>
        <v/>
      </c>
      <c r="Y3816" s="94">
        <f>IF($A3816="",0,IF(AE3816="직접",IF(AF3816="비귀속",$P3816,0),$P3816*(1-AG3816)*IFERROR(INDEX(계정대체기준!$F$20:$F$49,MATCH($N3816,계정대체기준!$A$20:$A$49,0)),1)))</f>
        <v/>
      </c>
      <c r="Z3816" s="94">
        <f>IF($A3816="",0,IF(AE3816="직접",IF(AF3816="신계약비",$P3816,0),$P3816*(1-AG3816)*IFERROR(INDEX(계정대체기준!$C$20:$C$49,MATCH($N3816,계정대체기준!$A$20:$A$49,0)),0)))</f>
        <v/>
      </c>
      <c r="AA3816" s="94">
        <f>IF($A3816="",0,IF(AE3816="직접",IF(OR(AF3816="유지비",AF3816="손해조사비"),$P3816,0),$P3816*(1-AG3816)*IFERROR(INDEX(계정대체기준!$D$20:$D$49,MATCH($N3816,계정대체기준!$A$20:$A$49,0)),0)))</f>
        <v/>
      </c>
      <c r="AB3816" s="94">
        <f>IF($A3816="",0,IF(AE3816="직접",IF(AF3816="수금비",$P3816,0),$P3816*(1-AG3816)*IFERROR(INDEX(계정대체기준!$E$20:$E$49,MATCH($N3816,계정대체기준!$A$20:$A$49,0)),0)))</f>
        <v/>
      </c>
      <c r="AC3816" s="9">
        <f>IF(AND($A3816&lt;&gt;"",M3816=설정!$C$20,Z3816&gt;0),Z3816+ROW()/1000000000,"")</f>
        <v/>
      </c>
      <c r="AD3816" s="94">
        <f>IF($A3816="",0,$P3816*AG3816)</f>
        <v/>
      </c>
      <c r="AE3816" s="64">
        <f>IF($A3816="","",IFERROR(INDEX(계정매핑!$E$5:$E$504,MATCH($F3816&amp;"",계정매핑!$A$5:$A$504,0))&amp;"","공통비"))</f>
        <v/>
      </c>
      <c r="AF3816" s="64">
        <f>IF($A3816="","",IF(AE3816="직접",IFERROR(INDEX(계정매핑!$F$5:$F$504,MATCH($F3816&amp;"",계정매핑!$A$5:$A$504,0))&amp;"","비귀속"),""))</f>
        <v/>
      </c>
      <c r="AG3816" s="96">
        <f>IF($A3816="",0,IF(AND(AE3816&lt;&gt;"직접",IFERROR(INDEX(계정매핑!$G$5:$G$504,MATCH($F3816&amp;"",계정매핑!$A$5:$A$504,0))&amp;"","")="유지비",COUNTIF(계정대체기준!$A$6:$A$15,$N3816)&gt;0),IFERROR(INDEX(계정대체기준!$E$6:$E$15,MATCH(VALUE($A3816&amp;""),계정대체기준!$D$6:$D$15,0)),0),0))</f>
        <v/>
      </c>
      <c r="AH3816" s="64">
        <f>IF($A3816="","",IF(AD3816=0,"",IF(OR(COUNTIF(계정대체기준!$A$77:$A$86,$N3816)&gt;0,ISNUMBER(MATCH($X3816,계정대체기준!$D$77:$D$86,0)),ISNUMBER(MATCH($F3816,계정대체기준!$D$77:$D$86,0))),"Y","N")))</f>
        <v/>
      </c>
    </row>
    <row r="3817">
      <c r="A3817" s="92" t="n">
        <v>2026</v>
      </c>
      <c r="B3817" s="92" t="n">
        <v>5</v>
      </c>
      <c r="C3817" s="92" t="inlineStr">
        <is>
          <t>5100001095</t>
        </is>
      </c>
      <c r="D3817" s="95" t="n">
        <v>46163</v>
      </c>
      <c r="E3817" s="92" t="inlineStr">
        <is>
          <t>KR</t>
        </is>
      </c>
      <c r="F3817" s="92" t="n">
        <v>62301000</v>
      </c>
      <c r="G3817" s="92" t="n">
        <v>1801</v>
      </c>
      <c r="H3817" s="93" t="n">
        <v>214000</v>
      </c>
      <c r="I3817" s="92" t="inlineStr">
        <is>
          <t>5월 소모품 구입 - R문구</t>
        </is>
      </c>
      <c r="J3817" s="92" t="inlineStr">
        <is>
          <t>V10022</t>
        </is>
      </c>
      <c r="K3817" s="92" t="inlineStr">
        <is>
          <t>R문구</t>
        </is>
      </c>
      <c r="M3817" s="9">
        <f>IF($A3817="","",VALUE($A3817&amp;"")*12+VALUE($B3817&amp;""))</f>
        <v/>
      </c>
      <c r="N3817" s="64">
        <f>IF($A3817="","",IFERROR(INDEX(부서매핑!$C$5:$C$504,MATCH($G3817&amp;"",부서매핑!$A$5:$A$504,0)),"미매핑"))</f>
        <v/>
      </c>
      <c r="O3817" s="9">
        <f>IF($A3817="","",N3817&amp;"|"&amp;$F3817)</f>
        <v/>
      </c>
      <c r="P3817" s="94">
        <f>IF($A3817="",0,$H3817*설정!$C$23)</f>
        <v/>
      </c>
      <c r="Q3817" s="64">
        <f>IF($A3817="","",IF(O3817&lt;&gt;원인분석!$C$9,"",IF(AND(M3817&gt;=원인분석!$C$10,M3817&lt;=원인분석!$C$11),"당기",IF(AND(M3817&gt;=원인분석!$C$12,M3817&lt;=원인분석!$C$13),"비교",""))))</f>
        <v/>
      </c>
      <c r="R3817" s="9">
        <f>IF(Q3817="","",$K3817&amp;"")</f>
        <v/>
      </c>
      <c r="S3817" s="9">
        <f>IF(Q3817="","",IF(MATCH(R3817,$R$5:$R$100000,0)=ROW()-4,ROW(),""))</f>
        <v/>
      </c>
      <c r="T3817" s="9">
        <f>IF(Q3817="당기",ABS(P3817)+ROW()/1000000000,"")</f>
        <v/>
      </c>
      <c r="U3817" s="9">
        <f>IF(Q3817="비교",ABS(P3817)+ROW()/1000000000,"")</f>
        <v/>
      </c>
      <c r="V3817" s="64">
        <f>IF($A3817="","",IF(COUNTIF(변동분석!$E$7:$E$506,O3817)&gt;0,"Y","N"))</f>
        <v/>
      </c>
      <c r="W3817" s="64">
        <f>IF($A3817="","",IFERROR(INDEX(계정매핑!$D$5:$D$504,MATCH($F3817&amp;"",계정매핑!$A$5:$A$504,0)),"미매핑"))</f>
        <v/>
      </c>
      <c r="X3817" s="9">
        <f>IF($A3817="","",$F3817&amp;"")</f>
        <v/>
      </c>
      <c r="Y3817" s="94">
        <f>IF($A3817="",0,IF(AE3817="직접",IF(AF3817="비귀속",$P3817,0),$P3817*(1-AG3817)*IFERROR(INDEX(계정대체기준!$F$20:$F$49,MATCH($N3817,계정대체기준!$A$20:$A$49,0)),1)))</f>
        <v/>
      </c>
      <c r="Z3817" s="94">
        <f>IF($A3817="",0,IF(AE3817="직접",IF(AF3817="신계약비",$P3817,0),$P3817*(1-AG3817)*IFERROR(INDEX(계정대체기준!$C$20:$C$49,MATCH($N3817,계정대체기준!$A$20:$A$49,0)),0)))</f>
        <v/>
      </c>
      <c r="AA3817" s="94">
        <f>IF($A3817="",0,IF(AE3817="직접",IF(OR(AF3817="유지비",AF3817="손해조사비"),$P3817,0),$P3817*(1-AG3817)*IFERROR(INDEX(계정대체기준!$D$20:$D$49,MATCH($N3817,계정대체기준!$A$20:$A$49,0)),0)))</f>
        <v/>
      </c>
      <c r="AB3817" s="94">
        <f>IF($A3817="",0,IF(AE3817="직접",IF(AF3817="수금비",$P3817,0),$P3817*(1-AG3817)*IFERROR(INDEX(계정대체기준!$E$20:$E$49,MATCH($N3817,계정대체기준!$A$20:$A$49,0)),0)))</f>
        <v/>
      </c>
      <c r="AC3817" s="9">
        <f>IF(AND($A3817&lt;&gt;"",M3817=설정!$C$20,Z3817&gt;0),Z3817+ROW()/1000000000,"")</f>
        <v/>
      </c>
      <c r="AD3817" s="94">
        <f>IF($A3817="",0,$P3817*AG3817)</f>
        <v/>
      </c>
      <c r="AE3817" s="64">
        <f>IF($A3817="","",IFERROR(INDEX(계정매핑!$E$5:$E$504,MATCH($F3817&amp;"",계정매핑!$A$5:$A$504,0))&amp;"","공통비"))</f>
        <v/>
      </c>
      <c r="AF3817" s="64">
        <f>IF($A3817="","",IF(AE3817="직접",IFERROR(INDEX(계정매핑!$F$5:$F$504,MATCH($F3817&amp;"",계정매핑!$A$5:$A$504,0))&amp;"","비귀속"),""))</f>
        <v/>
      </c>
      <c r="AG3817" s="96">
        <f>IF($A3817="",0,IF(AND(AE3817&lt;&gt;"직접",IFERROR(INDEX(계정매핑!$G$5:$G$504,MATCH($F3817&amp;"",계정매핑!$A$5:$A$504,0))&amp;"","")="유지비",COUNTIF(계정대체기준!$A$6:$A$15,$N3817)&gt;0),IFERROR(INDEX(계정대체기준!$E$6:$E$15,MATCH(VALUE($A3817&amp;""),계정대체기준!$D$6:$D$15,0)),0),0))</f>
        <v/>
      </c>
      <c r="AH3817" s="64">
        <f>IF($A3817="","",IF(AD3817=0,"",IF(OR(COUNTIF(계정대체기준!$A$77:$A$86,$N3817)&gt;0,ISNUMBER(MATCH($X3817,계정대체기준!$D$77:$D$86,0)),ISNUMBER(MATCH($F3817,계정대체기준!$D$77:$D$86,0))),"Y","N")))</f>
        <v/>
      </c>
    </row>
    <row r="3818">
      <c r="A3818" s="92" t="n">
        <v>2026</v>
      </c>
      <c r="B3818" s="92" t="n">
        <v>5</v>
      </c>
      <c r="C3818" s="92" t="inlineStr">
        <is>
          <t>5100001096</t>
        </is>
      </c>
      <c r="D3818" s="95" t="n">
        <v>46163</v>
      </c>
      <c r="E3818" s="92" t="inlineStr">
        <is>
          <t>KR</t>
        </is>
      </c>
      <c r="F3818" s="92" t="n">
        <v>62501000</v>
      </c>
      <c r="G3818" s="92" t="n">
        <v>1101</v>
      </c>
      <c r="H3818" s="93" t="n">
        <v>239000</v>
      </c>
      <c r="I3818" s="92" t="inlineStr">
        <is>
          <t>5월 회의 다과 - (법인카드)</t>
        </is>
      </c>
      <c r="J3818" s="92" t="inlineStr">
        <is>
          <t>V10010</t>
        </is>
      </c>
      <c r="K3818" s="92" t="inlineStr">
        <is>
          <t>(법인카드)</t>
        </is>
      </c>
      <c r="M3818" s="9">
        <f>IF($A3818="","",VALUE($A3818&amp;"")*12+VALUE($B3818&amp;""))</f>
        <v/>
      </c>
      <c r="N3818" s="64">
        <f>IF($A3818="","",IFERROR(INDEX(부서매핑!$C$5:$C$504,MATCH($G3818&amp;"",부서매핑!$A$5:$A$504,0)),"미매핑"))</f>
        <v/>
      </c>
      <c r="O3818" s="9">
        <f>IF($A3818="","",N3818&amp;"|"&amp;$F3818)</f>
        <v/>
      </c>
      <c r="P3818" s="94">
        <f>IF($A3818="",0,$H3818*설정!$C$23)</f>
        <v/>
      </c>
      <c r="Q3818" s="64">
        <f>IF($A3818="","",IF(O3818&lt;&gt;원인분석!$C$9,"",IF(AND(M3818&gt;=원인분석!$C$10,M3818&lt;=원인분석!$C$11),"당기",IF(AND(M3818&gt;=원인분석!$C$12,M3818&lt;=원인분석!$C$13),"비교",""))))</f>
        <v/>
      </c>
      <c r="R3818" s="9">
        <f>IF(Q3818="","",$K3818&amp;"")</f>
        <v/>
      </c>
      <c r="S3818" s="9">
        <f>IF(Q3818="","",IF(MATCH(R3818,$R$5:$R$100000,0)=ROW()-4,ROW(),""))</f>
        <v/>
      </c>
      <c r="T3818" s="9">
        <f>IF(Q3818="당기",ABS(P3818)+ROW()/1000000000,"")</f>
        <v/>
      </c>
      <c r="U3818" s="9">
        <f>IF(Q3818="비교",ABS(P3818)+ROW()/1000000000,"")</f>
        <v/>
      </c>
      <c r="V3818" s="64">
        <f>IF($A3818="","",IF(COUNTIF(변동분석!$E$7:$E$506,O3818)&gt;0,"Y","N"))</f>
        <v/>
      </c>
      <c r="W3818" s="64">
        <f>IF($A3818="","",IFERROR(INDEX(계정매핑!$D$5:$D$504,MATCH($F3818&amp;"",계정매핑!$A$5:$A$504,0)),"미매핑"))</f>
        <v/>
      </c>
      <c r="X3818" s="9">
        <f>IF($A3818="","",$F3818&amp;"")</f>
        <v/>
      </c>
      <c r="Y3818" s="94">
        <f>IF($A3818="",0,IF(AE3818="직접",IF(AF3818="비귀속",$P3818,0),$P3818*(1-AG3818)*IFERROR(INDEX(계정대체기준!$F$20:$F$49,MATCH($N3818,계정대체기준!$A$20:$A$49,0)),1)))</f>
        <v/>
      </c>
      <c r="Z3818" s="94">
        <f>IF($A3818="",0,IF(AE3818="직접",IF(AF3818="신계약비",$P3818,0),$P3818*(1-AG3818)*IFERROR(INDEX(계정대체기준!$C$20:$C$49,MATCH($N3818,계정대체기준!$A$20:$A$49,0)),0)))</f>
        <v/>
      </c>
      <c r="AA3818" s="94">
        <f>IF($A3818="",0,IF(AE3818="직접",IF(OR(AF3818="유지비",AF3818="손해조사비"),$P3818,0),$P3818*(1-AG3818)*IFERROR(INDEX(계정대체기준!$D$20:$D$49,MATCH($N3818,계정대체기준!$A$20:$A$49,0)),0)))</f>
        <v/>
      </c>
      <c r="AB3818" s="94">
        <f>IF($A3818="",0,IF(AE3818="직접",IF(AF3818="수금비",$P3818,0),$P3818*(1-AG3818)*IFERROR(INDEX(계정대체기준!$E$20:$E$49,MATCH($N3818,계정대체기준!$A$20:$A$49,0)),0)))</f>
        <v/>
      </c>
      <c r="AC3818" s="9">
        <f>IF(AND($A3818&lt;&gt;"",M3818=설정!$C$20,Z3818&gt;0),Z3818+ROW()/1000000000,"")</f>
        <v/>
      </c>
      <c r="AD3818" s="94">
        <f>IF($A3818="",0,$P3818*AG3818)</f>
        <v/>
      </c>
      <c r="AE3818" s="64">
        <f>IF($A3818="","",IFERROR(INDEX(계정매핑!$E$5:$E$504,MATCH($F3818&amp;"",계정매핑!$A$5:$A$504,0))&amp;"","공통비"))</f>
        <v/>
      </c>
      <c r="AF3818" s="64">
        <f>IF($A3818="","",IF(AE3818="직접",IFERROR(INDEX(계정매핑!$F$5:$F$504,MATCH($F3818&amp;"",계정매핑!$A$5:$A$504,0))&amp;"","비귀속"),""))</f>
        <v/>
      </c>
      <c r="AG3818" s="96">
        <f>IF($A3818="",0,IF(AND(AE3818&lt;&gt;"직접",IFERROR(INDEX(계정매핑!$G$5:$G$504,MATCH($F3818&amp;"",계정매핑!$A$5:$A$504,0))&amp;"","")="유지비",COUNTIF(계정대체기준!$A$6:$A$15,$N3818)&gt;0),IFERROR(INDEX(계정대체기준!$E$6:$E$15,MATCH(VALUE($A3818&amp;""),계정대체기준!$D$6:$D$15,0)),0),0))</f>
        <v/>
      </c>
      <c r="AH3818" s="64">
        <f>IF($A3818="","",IF(AD3818=0,"",IF(OR(COUNTIF(계정대체기준!$A$77:$A$86,$N3818)&gt;0,ISNUMBER(MATCH($X3818,계정대체기준!$D$77:$D$86,0)),ISNUMBER(MATCH($F3818,계정대체기준!$D$77:$D$86,0))),"Y","N")))</f>
        <v/>
      </c>
    </row>
    <row r="3819">
      <c r="A3819" s="92" t="n">
        <v>2026</v>
      </c>
      <c r="B3819" s="92" t="n">
        <v>5</v>
      </c>
      <c r="C3819" s="92" t="inlineStr">
        <is>
          <t>5100001097</t>
        </is>
      </c>
      <c r="D3819" s="95" t="n">
        <v>46163</v>
      </c>
      <c r="E3819" s="92" t="inlineStr">
        <is>
          <t>KR</t>
        </is>
      </c>
      <c r="F3819" s="92" t="n">
        <v>62501000</v>
      </c>
      <c r="G3819" s="92" t="n">
        <v>1301</v>
      </c>
      <c r="H3819" s="93" t="n">
        <v>121000</v>
      </c>
      <c r="I3819" s="92" t="inlineStr">
        <is>
          <t>5월 회의 다과 - (법인카드)</t>
        </is>
      </c>
      <c r="J3819" s="92" t="inlineStr">
        <is>
          <t>V10010</t>
        </is>
      </c>
      <c r="K3819" s="92" t="inlineStr">
        <is>
          <t>(법인카드)</t>
        </is>
      </c>
      <c r="M3819" s="9">
        <f>IF($A3819="","",VALUE($A3819&amp;"")*12+VALUE($B3819&amp;""))</f>
        <v/>
      </c>
      <c r="N3819" s="64">
        <f>IF($A3819="","",IFERROR(INDEX(부서매핑!$C$5:$C$504,MATCH($G3819&amp;"",부서매핑!$A$5:$A$504,0)),"미매핑"))</f>
        <v/>
      </c>
      <c r="O3819" s="9">
        <f>IF($A3819="","",N3819&amp;"|"&amp;$F3819)</f>
        <v/>
      </c>
      <c r="P3819" s="94">
        <f>IF($A3819="",0,$H3819*설정!$C$23)</f>
        <v/>
      </c>
      <c r="Q3819" s="64">
        <f>IF($A3819="","",IF(O3819&lt;&gt;원인분석!$C$9,"",IF(AND(M3819&gt;=원인분석!$C$10,M3819&lt;=원인분석!$C$11),"당기",IF(AND(M3819&gt;=원인분석!$C$12,M3819&lt;=원인분석!$C$13),"비교",""))))</f>
        <v/>
      </c>
      <c r="R3819" s="9">
        <f>IF(Q3819="","",$K3819&amp;"")</f>
        <v/>
      </c>
      <c r="S3819" s="9">
        <f>IF(Q3819="","",IF(MATCH(R3819,$R$5:$R$100000,0)=ROW()-4,ROW(),""))</f>
        <v/>
      </c>
      <c r="T3819" s="9">
        <f>IF(Q3819="당기",ABS(P3819)+ROW()/1000000000,"")</f>
        <v/>
      </c>
      <c r="U3819" s="9">
        <f>IF(Q3819="비교",ABS(P3819)+ROW()/1000000000,"")</f>
        <v/>
      </c>
      <c r="V3819" s="64">
        <f>IF($A3819="","",IF(COUNTIF(변동분석!$E$7:$E$506,O3819)&gt;0,"Y","N"))</f>
        <v/>
      </c>
      <c r="W3819" s="64">
        <f>IF($A3819="","",IFERROR(INDEX(계정매핑!$D$5:$D$504,MATCH($F3819&amp;"",계정매핑!$A$5:$A$504,0)),"미매핑"))</f>
        <v/>
      </c>
      <c r="X3819" s="9">
        <f>IF($A3819="","",$F3819&amp;"")</f>
        <v/>
      </c>
      <c r="Y3819" s="94">
        <f>IF($A3819="",0,IF(AE3819="직접",IF(AF3819="비귀속",$P3819,0),$P3819*(1-AG3819)*IFERROR(INDEX(계정대체기준!$F$20:$F$49,MATCH($N3819,계정대체기준!$A$20:$A$49,0)),1)))</f>
        <v/>
      </c>
      <c r="Z3819" s="94">
        <f>IF($A3819="",0,IF(AE3819="직접",IF(AF3819="신계약비",$P3819,0),$P3819*(1-AG3819)*IFERROR(INDEX(계정대체기준!$C$20:$C$49,MATCH($N3819,계정대체기준!$A$20:$A$49,0)),0)))</f>
        <v/>
      </c>
      <c r="AA3819" s="94">
        <f>IF($A3819="",0,IF(AE3819="직접",IF(OR(AF3819="유지비",AF3819="손해조사비"),$P3819,0),$P3819*(1-AG3819)*IFERROR(INDEX(계정대체기준!$D$20:$D$49,MATCH($N3819,계정대체기준!$A$20:$A$49,0)),0)))</f>
        <v/>
      </c>
      <c r="AB3819" s="94">
        <f>IF($A3819="",0,IF(AE3819="직접",IF(AF3819="수금비",$P3819,0),$P3819*(1-AG3819)*IFERROR(INDEX(계정대체기준!$E$20:$E$49,MATCH($N3819,계정대체기준!$A$20:$A$49,0)),0)))</f>
        <v/>
      </c>
      <c r="AC3819" s="9">
        <f>IF(AND($A3819&lt;&gt;"",M3819=설정!$C$20,Z3819&gt;0),Z3819+ROW()/1000000000,"")</f>
        <v/>
      </c>
      <c r="AD3819" s="94">
        <f>IF($A3819="",0,$P3819*AG3819)</f>
        <v/>
      </c>
      <c r="AE3819" s="64">
        <f>IF($A3819="","",IFERROR(INDEX(계정매핑!$E$5:$E$504,MATCH($F3819&amp;"",계정매핑!$A$5:$A$504,0))&amp;"","공통비"))</f>
        <v/>
      </c>
      <c r="AF3819" s="64">
        <f>IF($A3819="","",IF(AE3819="직접",IFERROR(INDEX(계정매핑!$F$5:$F$504,MATCH($F3819&amp;"",계정매핑!$A$5:$A$504,0))&amp;"","비귀속"),""))</f>
        <v/>
      </c>
      <c r="AG3819" s="96">
        <f>IF($A3819="",0,IF(AND(AE3819&lt;&gt;"직접",IFERROR(INDEX(계정매핑!$G$5:$G$504,MATCH($F3819&amp;"",계정매핑!$A$5:$A$504,0))&amp;"","")="유지비",COUNTIF(계정대체기준!$A$6:$A$15,$N3819)&gt;0),IFERROR(INDEX(계정대체기준!$E$6:$E$15,MATCH(VALUE($A3819&amp;""),계정대체기준!$D$6:$D$15,0)),0),0))</f>
        <v/>
      </c>
      <c r="AH3819" s="64">
        <f>IF($A3819="","",IF(AD3819=0,"",IF(OR(COUNTIF(계정대체기준!$A$77:$A$86,$N3819)&gt;0,ISNUMBER(MATCH($X3819,계정대체기준!$D$77:$D$86,0)),ISNUMBER(MATCH($F3819,계정대체기준!$D$77:$D$86,0))),"Y","N")))</f>
        <v/>
      </c>
    </row>
    <row r="3820">
      <c r="A3820" s="92" t="n">
        <v>2026</v>
      </c>
      <c r="B3820" s="92" t="n">
        <v>5</v>
      </c>
      <c r="C3820" s="92" t="inlineStr">
        <is>
          <t>5100001098</t>
        </is>
      </c>
      <c r="D3820" s="95" t="n">
        <v>46163</v>
      </c>
      <c r="E3820" s="92" t="inlineStr">
        <is>
          <t>KR</t>
        </is>
      </c>
      <c r="F3820" s="92" t="n">
        <v>62501000</v>
      </c>
      <c r="G3820" s="92" t="n">
        <v>1301</v>
      </c>
      <c r="H3820" s="93" t="n">
        <v>202000</v>
      </c>
      <c r="I3820" s="92" t="inlineStr">
        <is>
          <t>5월 회의 다과 - (법인카드)</t>
        </is>
      </c>
      <c r="J3820" s="92" t="inlineStr">
        <is>
          <t>V10010</t>
        </is>
      </c>
      <c r="K3820" s="92" t="inlineStr">
        <is>
          <t>(법인카드)</t>
        </is>
      </c>
      <c r="M3820" s="9">
        <f>IF($A3820="","",VALUE($A3820&amp;"")*12+VALUE($B3820&amp;""))</f>
        <v/>
      </c>
      <c r="N3820" s="64">
        <f>IF($A3820="","",IFERROR(INDEX(부서매핑!$C$5:$C$504,MATCH($G3820&amp;"",부서매핑!$A$5:$A$504,0)),"미매핑"))</f>
        <v/>
      </c>
      <c r="O3820" s="9">
        <f>IF($A3820="","",N3820&amp;"|"&amp;$F3820)</f>
        <v/>
      </c>
      <c r="P3820" s="94">
        <f>IF($A3820="",0,$H3820*설정!$C$23)</f>
        <v/>
      </c>
      <c r="Q3820" s="64">
        <f>IF($A3820="","",IF(O3820&lt;&gt;원인분석!$C$9,"",IF(AND(M3820&gt;=원인분석!$C$10,M3820&lt;=원인분석!$C$11),"당기",IF(AND(M3820&gt;=원인분석!$C$12,M3820&lt;=원인분석!$C$13),"비교",""))))</f>
        <v/>
      </c>
      <c r="R3820" s="9">
        <f>IF(Q3820="","",$K3820&amp;"")</f>
        <v/>
      </c>
      <c r="S3820" s="9">
        <f>IF(Q3820="","",IF(MATCH(R3820,$R$5:$R$100000,0)=ROW()-4,ROW(),""))</f>
        <v/>
      </c>
      <c r="T3820" s="9">
        <f>IF(Q3820="당기",ABS(P3820)+ROW()/1000000000,"")</f>
        <v/>
      </c>
      <c r="U3820" s="9">
        <f>IF(Q3820="비교",ABS(P3820)+ROW()/1000000000,"")</f>
        <v/>
      </c>
      <c r="V3820" s="64">
        <f>IF($A3820="","",IF(COUNTIF(변동분석!$E$7:$E$506,O3820)&gt;0,"Y","N"))</f>
        <v/>
      </c>
      <c r="W3820" s="64">
        <f>IF($A3820="","",IFERROR(INDEX(계정매핑!$D$5:$D$504,MATCH($F3820&amp;"",계정매핑!$A$5:$A$504,0)),"미매핑"))</f>
        <v/>
      </c>
      <c r="X3820" s="9">
        <f>IF($A3820="","",$F3820&amp;"")</f>
        <v/>
      </c>
      <c r="Y3820" s="94">
        <f>IF($A3820="",0,IF(AE3820="직접",IF(AF3820="비귀속",$P3820,0),$P3820*(1-AG3820)*IFERROR(INDEX(계정대체기준!$F$20:$F$49,MATCH($N3820,계정대체기준!$A$20:$A$49,0)),1)))</f>
        <v/>
      </c>
      <c r="Z3820" s="94">
        <f>IF($A3820="",0,IF(AE3820="직접",IF(AF3820="신계약비",$P3820,0),$P3820*(1-AG3820)*IFERROR(INDEX(계정대체기준!$C$20:$C$49,MATCH($N3820,계정대체기준!$A$20:$A$49,0)),0)))</f>
        <v/>
      </c>
      <c r="AA3820" s="94">
        <f>IF($A3820="",0,IF(AE3820="직접",IF(OR(AF3820="유지비",AF3820="손해조사비"),$P3820,0),$P3820*(1-AG3820)*IFERROR(INDEX(계정대체기준!$D$20:$D$49,MATCH($N3820,계정대체기준!$A$20:$A$49,0)),0)))</f>
        <v/>
      </c>
      <c r="AB3820" s="94">
        <f>IF($A3820="",0,IF(AE3820="직접",IF(AF3820="수금비",$P3820,0),$P3820*(1-AG3820)*IFERROR(INDEX(계정대체기준!$E$20:$E$49,MATCH($N3820,계정대체기준!$A$20:$A$49,0)),0)))</f>
        <v/>
      </c>
      <c r="AC3820" s="9">
        <f>IF(AND($A3820&lt;&gt;"",M3820=설정!$C$20,Z3820&gt;0),Z3820+ROW()/1000000000,"")</f>
        <v/>
      </c>
      <c r="AD3820" s="94">
        <f>IF($A3820="",0,$P3820*AG3820)</f>
        <v/>
      </c>
      <c r="AE3820" s="64">
        <f>IF($A3820="","",IFERROR(INDEX(계정매핑!$E$5:$E$504,MATCH($F3820&amp;"",계정매핑!$A$5:$A$504,0))&amp;"","공통비"))</f>
        <v/>
      </c>
      <c r="AF3820" s="64">
        <f>IF($A3820="","",IF(AE3820="직접",IFERROR(INDEX(계정매핑!$F$5:$F$504,MATCH($F3820&amp;"",계정매핑!$A$5:$A$504,0))&amp;"","비귀속"),""))</f>
        <v/>
      </c>
      <c r="AG3820" s="96">
        <f>IF($A3820="",0,IF(AND(AE3820&lt;&gt;"직접",IFERROR(INDEX(계정매핑!$G$5:$G$504,MATCH($F3820&amp;"",계정매핑!$A$5:$A$504,0))&amp;"","")="유지비",COUNTIF(계정대체기준!$A$6:$A$15,$N3820)&gt;0),IFERROR(INDEX(계정대체기준!$E$6:$E$15,MATCH(VALUE($A3820&amp;""),계정대체기준!$D$6:$D$15,0)),0),0))</f>
        <v/>
      </c>
      <c r="AH3820" s="64">
        <f>IF($A3820="","",IF(AD3820=0,"",IF(OR(COUNTIF(계정대체기준!$A$77:$A$86,$N3820)&gt;0,ISNUMBER(MATCH($X3820,계정대체기준!$D$77:$D$86,0)),ISNUMBER(MATCH($F3820,계정대체기준!$D$77:$D$86,0))),"Y","N")))</f>
        <v/>
      </c>
    </row>
    <row r="3821">
      <c r="A3821" s="92" t="n">
        <v>2026</v>
      </c>
      <c r="B3821" s="92" t="n">
        <v>5</v>
      </c>
      <c r="C3821" s="92" t="inlineStr">
        <is>
          <t>5100001099</t>
        </is>
      </c>
      <c r="D3821" s="95" t="n">
        <v>46163</v>
      </c>
      <c r="E3821" s="92" t="inlineStr">
        <is>
          <t>KR</t>
        </is>
      </c>
      <c r="F3821" s="92" t="n">
        <v>62902000</v>
      </c>
      <c r="G3821" s="92" t="n">
        <v>1801</v>
      </c>
      <c r="H3821" s="93" t="n">
        <v>1749000</v>
      </c>
      <c r="I3821" s="92" t="inlineStr">
        <is>
          <t>5월 콜 위탁 수수료(건별)</t>
        </is>
      </c>
      <c r="J3821" s="92" t="inlineStr">
        <is>
          <t>V10016</t>
        </is>
      </c>
      <c r="K3821" s="92" t="inlineStr">
        <is>
          <t>J콜센터</t>
        </is>
      </c>
      <c r="M3821" s="9">
        <f>IF($A3821="","",VALUE($A3821&amp;"")*12+VALUE($B3821&amp;""))</f>
        <v/>
      </c>
      <c r="N3821" s="64">
        <f>IF($A3821="","",IFERROR(INDEX(부서매핑!$C$5:$C$504,MATCH($G3821&amp;"",부서매핑!$A$5:$A$504,0)),"미매핑"))</f>
        <v/>
      </c>
      <c r="O3821" s="9">
        <f>IF($A3821="","",N3821&amp;"|"&amp;$F3821)</f>
        <v/>
      </c>
      <c r="P3821" s="94">
        <f>IF($A3821="",0,$H3821*설정!$C$23)</f>
        <v/>
      </c>
      <c r="Q3821" s="64">
        <f>IF($A3821="","",IF(O3821&lt;&gt;원인분석!$C$9,"",IF(AND(M3821&gt;=원인분석!$C$10,M3821&lt;=원인분석!$C$11),"당기",IF(AND(M3821&gt;=원인분석!$C$12,M3821&lt;=원인분석!$C$13),"비교",""))))</f>
        <v/>
      </c>
      <c r="R3821" s="9">
        <f>IF(Q3821="","",$K3821&amp;"")</f>
        <v/>
      </c>
      <c r="S3821" s="9">
        <f>IF(Q3821="","",IF(MATCH(R3821,$R$5:$R$100000,0)=ROW()-4,ROW(),""))</f>
        <v/>
      </c>
      <c r="T3821" s="9">
        <f>IF(Q3821="당기",ABS(P3821)+ROW()/1000000000,"")</f>
        <v/>
      </c>
      <c r="U3821" s="9">
        <f>IF(Q3821="비교",ABS(P3821)+ROW()/1000000000,"")</f>
        <v/>
      </c>
      <c r="V3821" s="64">
        <f>IF($A3821="","",IF(COUNTIF(변동분석!$E$7:$E$506,O3821)&gt;0,"Y","N"))</f>
        <v/>
      </c>
      <c r="W3821" s="64">
        <f>IF($A3821="","",IFERROR(INDEX(계정매핑!$D$5:$D$504,MATCH($F3821&amp;"",계정매핑!$A$5:$A$504,0)),"미매핑"))</f>
        <v/>
      </c>
      <c r="X3821" s="9">
        <f>IF($A3821="","",$F3821&amp;"")</f>
        <v/>
      </c>
      <c r="Y3821" s="94">
        <f>IF($A3821="",0,IF(AE3821="직접",IF(AF3821="비귀속",$P3821,0),$P3821*(1-AG3821)*IFERROR(INDEX(계정대체기준!$F$20:$F$49,MATCH($N3821,계정대체기준!$A$20:$A$49,0)),1)))</f>
        <v/>
      </c>
      <c r="Z3821" s="94">
        <f>IF($A3821="",0,IF(AE3821="직접",IF(AF3821="신계약비",$P3821,0),$P3821*(1-AG3821)*IFERROR(INDEX(계정대체기준!$C$20:$C$49,MATCH($N3821,계정대체기준!$A$20:$A$49,0)),0)))</f>
        <v/>
      </c>
      <c r="AA3821" s="94">
        <f>IF($A3821="",0,IF(AE3821="직접",IF(OR(AF3821="유지비",AF3821="손해조사비"),$P3821,0),$P3821*(1-AG3821)*IFERROR(INDEX(계정대체기준!$D$20:$D$49,MATCH($N3821,계정대체기준!$A$20:$A$49,0)),0)))</f>
        <v/>
      </c>
      <c r="AB3821" s="94">
        <f>IF($A3821="",0,IF(AE3821="직접",IF(AF3821="수금비",$P3821,0),$P3821*(1-AG3821)*IFERROR(INDEX(계정대체기준!$E$20:$E$49,MATCH($N3821,계정대체기준!$A$20:$A$49,0)),0)))</f>
        <v/>
      </c>
      <c r="AC3821" s="9">
        <f>IF(AND($A3821&lt;&gt;"",M3821=설정!$C$20,Z3821&gt;0),Z3821+ROW()/1000000000,"")</f>
        <v/>
      </c>
      <c r="AD3821" s="94">
        <f>IF($A3821="",0,$P3821*AG3821)</f>
        <v/>
      </c>
      <c r="AE3821" s="64">
        <f>IF($A3821="","",IFERROR(INDEX(계정매핑!$E$5:$E$504,MATCH($F3821&amp;"",계정매핑!$A$5:$A$504,0))&amp;"","공통비"))</f>
        <v/>
      </c>
      <c r="AF3821" s="64">
        <f>IF($A3821="","",IF(AE3821="직접",IFERROR(INDEX(계정매핑!$F$5:$F$504,MATCH($F3821&amp;"",계정매핑!$A$5:$A$504,0))&amp;"","비귀속"),""))</f>
        <v/>
      </c>
      <c r="AG3821" s="96">
        <f>IF($A3821="",0,IF(AND(AE3821&lt;&gt;"직접",IFERROR(INDEX(계정매핑!$G$5:$G$504,MATCH($F3821&amp;"",계정매핑!$A$5:$A$504,0))&amp;"","")="유지비",COUNTIF(계정대체기준!$A$6:$A$15,$N3821)&gt;0),IFERROR(INDEX(계정대체기준!$E$6:$E$15,MATCH(VALUE($A3821&amp;""),계정대체기준!$D$6:$D$15,0)),0),0))</f>
        <v/>
      </c>
      <c r="AH3821" s="64">
        <f>IF($A3821="","",IF(AD3821=0,"",IF(OR(COUNTIF(계정대체기준!$A$77:$A$86,$N3821)&gt;0,ISNUMBER(MATCH($X3821,계정대체기준!$D$77:$D$86,0)),ISNUMBER(MATCH($F3821,계정대체기준!$D$77:$D$86,0))),"Y","N")))</f>
        <v/>
      </c>
    </row>
    <row r="3822">
      <c r="A3822" s="92" t="n">
        <v>2026</v>
      </c>
      <c r="B3822" s="92" t="n">
        <v>5</v>
      </c>
      <c r="C3822" s="92" t="inlineStr">
        <is>
          <t>5100001100</t>
        </is>
      </c>
      <c r="D3822" s="95" t="n">
        <v>46163</v>
      </c>
      <c r="E3822" s="92" t="inlineStr">
        <is>
          <t>KR</t>
        </is>
      </c>
      <c r="F3822" s="92" t="n">
        <v>63502000</v>
      </c>
      <c r="G3822" s="92" t="n">
        <v>1901</v>
      </c>
      <c r="H3822" s="93" t="n">
        <v>215922000</v>
      </c>
      <c r="I3822" s="92" t="inlineStr">
        <is>
          <t>5월 유지수수료 - CC금융서비스</t>
        </is>
      </c>
      <c r="J3822" s="92" t="inlineStr">
        <is>
          <t>V10029</t>
        </is>
      </c>
      <c r="K3822" s="92" t="inlineStr">
        <is>
          <t>CC금융서비스</t>
        </is>
      </c>
      <c r="M3822" s="9">
        <f>IF($A3822="","",VALUE($A3822&amp;"")*12+VALUE($B3822&amp;""))</f>
        <v/>
      </c>
      <c r="N3822" s="64">
        <f>IF($A3822="","",IFERROR(INDEX(부서매핑!$C$5:$C$504,MATCH($G3822&amp;"",부서매핑!$A$5:$A$504,0)),"미매핑"))</f>
        <v/>
      </c>
      <c r="O3822" s="9">
        <f>IF($A3822="","",N3822&amp;"|"&amp;$F3822)</f>
        <v/>
      </c>
      <c r="P3822" s="94">
        <f>IF($A3822="",0,$H3822*설정!$C$23)</f>
        <v/>
      </c>
      <c r="Q3822" s="64">
        <f>IF($A3822="","",IF(O3822&lt;&gt;원인분석!$C$9,"",IF(AND(M3822&gt;=원인분석!$C$10,M3822&lt;=원인분석!$C$11),"당기",IF(AND(M3822&gt;=원인분석!$C$12,M3822&lt;=원인분석!$C$13),"비교",""))))</f>
        <v/>
      </c>
      <c r="R3822" s="9">
        <f>IF(Q3822="","",$K3822&amp;"")</f>
        <v/>
      </c>
      <c r="S3822" s="9">
        <f>IF(Q3822="","",IF(MATCH(R3822,$R$5:$R$100000,0)=ROW()-4,ROW(),""))</f>
        <v/>
      </c>
      <c r="T3822" s="9">
        <f>IF(Q3822="당기",ABS(P3822)+ROW()/1000000000,"")</f>
        <v/>
      </c>
      <c r="U3822" s="9">
        <f>IF(Q3822="비교",ABS(P3822)+ROW()/1000000000,"")</f>
        <v/>
      </c>
      <c r="V3822" s="64">
        <f>IF($A3822="","",IF(COUNTIF(변동분석!$E$7:$E$506,O3822)&gt;0,"Y","N"))</f>
        <v/>
      </c>
      <c r="W3822" s="64">
        <f>IF($A3822="","",IFERROR(INDEX(계정매핑!$D$5:$D$504,MATCH($F3822&amp;"",계정매핑!$A$5:$A$504,0)),"미매핑"))</f>
        <v/>
      </c>
      <c r="X3822" s="9">
        <f>IF($A3822="","",$F3822&amp;"")</f>
        <v/>
      </c>
      <c r="Y3822" s="94">
        <f>IF($A3822="",0,IF(AE3822="직접",IF(AF3822="비귀속",$P3822,0),$P3822*(1-AG3822)*IFERROR(INDEX(계정대체기준!$F$20:$F$49,MATCH($N3822,계정대체기준!$A$20:$A$49,0)),1)))</f>
        <v/>
      </c>
      <c r="Z3822" s="94">
        <f>IF($A3822="",0,IF(AE3822="직접",IF(AF3822="신계약비",$P3822,0),$P3822*(1-AG3822)*IFERROR(INDEX(계정대체기준!$C$20:$C$49,MATCH($N3822,계정대체기준!$A$20:$A$49,0)),0)))</f>
        <v/>
      </c>
      <c r="AA3822" s="94">
        <f>IF($A3822="",0,IF(AE3822="직접",IF(OR(AF3822="유지비",AF3822="손해조사비"),$P3822,0),$P3822*(1-AG3822)*IFERROR(INDEX(계정대체기준!$D$20:$D$49,MATCH($N3822,계정대체기준!$A$20:$A$49,0)),0)))</f>
        <v/>
      </c>
      <c r="AB3822" s="94">
        <f>IF($A3822="",0,IF(AE3822="직접",IF(AF3822="수금비",$P3822,0),$P3822*(1-AG3822)*IFERROR(INDEX(계정대체기준!$E$20:$E$49,MATCH($N3822,계정대체기준!$A$20:$A$49,0)),0)))</f>
        <v/>
      </c>
      <c r="AC3822" s="9">
        <f>IF(AND($A3822&lt;&gt;"",M3822=설정!$C$20,Z3822&gt;0),Z3822+ROW()/1000000000,"")</f>
        <v/>
      </c>
      <c r="AD3822" s="94">
        <f>IF($A3822="",0,$P3822*AG3822)</f>
        <v/>
      </c>
      <c r="AE3822" s="64">
        <f>IF($A3822="","",IFERROR(INDEX(계정매핑!$E$5:$E$504,MATCH($F3822&amp;"",계정매핑!$A$5:$A$504,0))&amp;"","공통비"))</f>
        <v/>
      </c>
      <c r="AF3822" s="64">
        <f>IF($A3822="","",IF(AE3822="직접",IFERROR(INDEX(계정매핑!$F$5:$F$504,MATCH($F3822&amp;"",계정매핑!$A$5:$A$504,0))&amp;"","비귀속"),""))</f>
        <v/>
      </c>
      <c r="AG3822" s="96">
        <f>IF($A3822="",0,IF(AND(AE3822&lt;&gt;"직접",IFERROR(INDEX(계정매핑!$G$5:$G$504,MATCH($F3822&amp;"",계정매핑!$A$5:$A$504,0))&amp;"","")="유지비",COUNTIF(계정대체기준!$A$6:$A$15,$N3822)&gt;0),IFERROR(INDEX(계정대체기준!$E$6:$E$15,MATCH(VALUE($A3822&amp;""),계정대체기준!$D$6:$D$15,0)),0),0))</f>
        <v/>
      </c>
      <c r="AH3822" s="64">
        <f>IF($A3822="","",IF(AD3822=0,"",IF(OR(COUNTIF(계정대체기준!$A$77:$A$86,$N3822)&gt;0,ISNUMBER(MATCH($X3822,계정대체기준!$D$77:$D$86,0)),ISNUMBER(MATCH($F3822,계정대체기준!$D$77:$D$86,0))),"Y","N")))</f>
        <v/>
      </c>
    </row>
    <row r="3823">
      <c r="A3823" s="92" t="n">
        <v>2026</v>
      </c>
      <c r="B3823" s="92" t="n">
        <v>5</v>
      </c>
      <c r="C3823" s="92" t="inlineStr">
        <is>
          <t>5100001101</t>
        </is>
      </c>
      <c r="D3823" s="95" t="n">
        <v>46164</v>
      </c>
      <c r="E3823" s="92" t="inlineStr">
        <is>
          <t>KR</t>
        </is>
      </c>
      <c r="F3823" s="92" t="n">
        <v>62101000</v>
      </c>
      <c r="G3823" s="92" t="n">
        <v>1101</v>
      </c>
      <c r="H3823" s="93" t="n">
        <v>458000</v>
      </c>
      <c r="I3823" s="92" t="inlineStr">
        <is>
          <t>5월 국내출장 - (법인카드)</t>
        </is>
      </c>
      <c r="J3823" s="92" t="inlineStr">
        <is>
          <t>V10010</t>
        </is>
      </c>
      <c r="K3823" s="92" t="inlineStr">
        <is>
          <t>(법인카드)</t>
        </is>
      </c>
      <c r="M3823" s="9">
        <f>IF($A3823="","",VALUE($A3823&amp;"")*12+VALUE($B3823&amp;""))</f>
        <v/>
      </c>
      <c r="N3823" s="64">
        <f>IF($A3823="","",IFERROR(INDEX(부서매핑!$C$5:$C$504,MATCH($G3823&amp;"",부서매핑!$A$5:$A$504,0)),"미매핑"))</f>
        <v/>
      </c>
      <c r="O3823" s="9">
        <f>IF($A3823="","",N3823&amp;"|"&amp;$F3823)</f>
        <v/>
      </c>
      <c r="P3823" s="94">
        <f>IF($A3823="",0,$H3823*설정!$C$23)</f>
        <v/>
      </c>
      <c r="Q3823" s="64">
        <f>IF($A3823="","",IF(O3823&lt;&gt;원인분석!$C$9,"",IF(AND(M3823&gt;=원인분석!$C$10,M3823&lt;=원인분석!$C$11),"당기",IF(AND(M3823&gt;=원인분석!$C$12,M3823&lt;=원인분석!$C$13),"비교",""))))</f>
        <v/>
      </c>
      <c r="R3823" s="9">
        <f>IF(Q3823="","",$K3823&amp;"")</f>
        <v/>
      </c>
      <c r="S3823" s="9">
        <f>IF(Q3823="","",IF(MATCH(R3823,$R$5:$R$100000,0)=ROW()-4,ROW(),""))</f>
        <v/>
      </c>
      <c r="T3823" s="9">
        <f>IF(Q3823="당기",ABS(P3823)+ROW()/1000000000,"")</f>
        <v/>
      </c>
      <c r="U3823" s="9">
        <f>IF(Q3823="비교",ABS(P3823)+ROW()/1000000000,"")</f>
        <v/>
      </c>
      <c r="V3823" s="64">
        <f>IF($A3823="","",IF(COUNTIF(변동분석!$E$7:$E$506,O3823)&gt;0,"Y","N"))</f>
        <v/>
      </c>
      <c r="W3823" s="64">
        <f>IF($A3823="","",IFERROR(INDEX(계정매핑!$D$5:$D$504,MATCH($F3823&amp;"",계정매핑!$A$5:$A$504,0)),"미매핑"))</f>
        <v/>
      </c>
      <c r="X3823" s="9">
        <f>IF($A3823="","",$F3823&amp;"")</f>
        <v/>
      </c>
      <c r="Y3823" s="94">
        <f>IF($A3823="",0,IF(AE3823="직접",IF(AF3823="비귀속",$P3823,0),$P3823*(1-AG3823)*IFERROR(INDEX(계정대체기준!$F$20:$F$49,MATCH($N3823,계정대체기준!$A$20:$A$49,0)),1)))</f>
        <v/>
      </c>
      <c r="Z3823" s="94">
        <f>IF($A3823="",0,IF(AE3823="직접",IF(AF3823="신계약비",$P3823,0),$P3823*(1-AG3823)*IFERROR(INDEX(계정대체기준!$C$20:$C$49,MATCH($N3823,계정대체기준!$A$20:$A$49,0)),0)))</f>
        <v/>
      </c>
      <c r="AA3823" s="94">
        <f>IF($A3823="",0,IF(AE3823="직접",IF(OR(AF3823="유지비",AF3823="손해조사비"),$P3823,0),$P3823*(1-AG3823)*IFERROR(INDEX(계정대체기준!$D$20:$D$49,MATCH($N3823,계정대체기준!$A$20:$A$49,0)),0)))</f>
        <v/>
      </c>
      <c r="AB3823" s="94">
        <f>IF($A3823="",0,IF(AE3823="직접",IF(AF3823="수금비",$P3823,0),$P3823*(1-AG3823)*IFERROR(INDEX(계정대체기준!$E$20:$E$49,MATCH($N3823,계정대체기준!$A$20:$A$49,0)),0)))</f>
        <v/>
      </c>
      <c r="AC3823" s="9">
        <f>IF(AND($A3823&lt;&gt;"",M3823=설정!$C$20,Z3823&gt;0),Z3823+ROW()/1000000000,"")</f>
        <v/>
      </c>
      <c r="AD3823" s="94">
        <f>IF($A3823="",0,$P3823*AG3823)</f>
        <v/>
      </c>
      <c r="AE3823" s="64">
        <f>IF($A3823="","",IFERROR(INDEX(계정매핑!$E$5:$E$504,MATCH($F3823&amp;"",계정매핑!$A$5:$A$504,0))&amp;"","공통비"))</f>
        <v/>
      </c>
      <c r="AF3823" s="64">
        <f>IF($A3823="","",IF(AE3823="직접",IFERROR(INDEX(계정매핑!$F$5:$F$504,MATCH($F3823&amp;"",계정매핑!$A$5:$A$504,0))&amp;"","비귀속"),""))</f>
        <v/>
      </c>
      <c r="AG3823" s="96">
        <f>IF($A3823="",0,IF(AND(AE3823&lt;&gt;"직접",IFERROR(INDEX(계정매핑!$G$5:$G$504,MATCH($F3823&amp;"",계정매핑!$A$5:$A$504,0))&amp;"","")="유지비",COUNTIF(계정대체기준!$A$6:$A$15,$N3823)&gt;0),IFERROR(INDEX(계정대체기준!$E$6:$E$15,MATCH(VALUE($A3823&amp;""),계정대체기준!$D$6:$D$15,0)),0),0))</f>
        <v/>
      </c>
      <c r="AH3823" s="64">
        <f>IF($A3823="","",IF(AD3823=0,"",IF(OR(COUNTIF(계정대체기준!$A$77:$A$86,$N3823)&gt;0,ISNUMBER(MATCH($X3823,계정대체기준!$D$77:$D$86,0)),ISNUMBER(MATCH($F3823,계정대체기준!$D$77:$D$86,0))),"Y","N")))</f>
        <v/>
      </c>
    </row>
    <row r="3824">
      <c r="A3824" s="92" t="n">
        <v>2026</v>
      </c>
      <c r="B3824" s="92" t="n">
        <v>5</v>
      </c>
      <c r="C3824" s="92" t="inlineStr">
        <is>
          <t>5100001102</t>
        </is>
      </c>
      <c r="D3824" s="95" t="n">
        <v>46164</v>
      </c>
      <c r="E3824" s="92" t="inlineStr">
        <is>
          <t>KR</t>
        </is>
      </c>
      <c r="F3824" s="92" t="n">
        <v>62101000</v>
      </c>
      <c r="G3824" s="92" t="n">
        <v>1401</v>
      </c>
      <c r="H3824" s="93" t="n">
        <v>451000</v>
      </c>
      <c r="I3824" s="92" t="inlineStr">
        <is>
          <t>5월 국내출장 - (법인카드)</t>
        </is>
      </c>
      <c r="J3824" s="92" t="inlineStr">
        <is>
          <t>V10010</t>
        </is>
      </c>
      <c r="K3824" s="92" t="inlineStr">
        <is>
          <t>(법인카드)</t>
        </is>
      </c>
      <c r="M3824" s="9">
        <f>IF($A3824="","",VALUE($A3824&amp;"")*12+VALUE($B3824&amp;""))</f>
        <v/>
      </c>
      <c r="N3824" s="64">
        <f>IF($A3824="","",IFERROR(INDEX(부서매핑!$C$5:$C$504,MATCH($G3824&amp;"",부서매핑!$A$5:$A$504,0)),"미매핑"))</f>
        <v/>
      </c>
      <c r="O3824" s="9">
        <f>IF($A3824="","",N3824&amp;"|"&amp;$F3824)</f>
        <v/>
      </c>
      <c r="P3824" s="94">
        <f>IF($A3824="",0,$H3824*설정!$C$23)</f>
        <v/>
      </c>
      <c r="Q3824" s="64">
        <f>IF($A3824="","",IF(O3824&lt;&gt;원인분석!$C$9,"",IF(AND(M3824&gt;=원인분석!$C$10,M3824&lt;=원인분석!$C$11),"당기",IF(AND(M3824&gt;=원인분석!$C$12,M3824&lt;=원인분석!$C$13),"비교",""))))</f>
        <v/>
      </c>
      <c r="R3824" s="9">
        <f>IF(Q3824="","",$K3824&amp;"")</f>
        <v/>
      </c>
      <c r="S3824" s="9">
        <f>IF(Q3824="","",IF(MATCH(R3824,$R$5:$R$100000,0)=ROW()-4,ROW(),""))</f>
        <v/>
      </c>
      <c r="T3824" s="9">
        <f>IF(Q3824="당기",ABS(P3824)+ROW()/1000000000,"")</f>
        <v/>
      </c>
      <c r="U3824" s="9">
        <f>IF(Q3824="비교",ABS(P3824)+ROW()/1000000000,"")</f>
        <v/>
      </c>
      <c r="V3824" s="64">
        <f>IF($A3824="","",IF(COUNTIF(변동분석!$E$7:$E$506,O3824)&gt;0,"Y","N"))</f>
        <v/>
      </c>
      <c r="W3824" s="64">
        <f>IF($A3824="","",IFERROR(INDEX(계정매핑!$D$5:$D$504,MATCH($F3824&amp;"",계정매핑!$A$5:$A$504,0)),"미매핑"))</f>
        <v/>
      </c>
      <c r="X3824" s="9">
        <f>IF($A3824="","",$F3824&amp;"")</f>
        <v/>
      </c>
      <c r="Y3824" s="94">
        <f>IF($A3824="",0,IF(AE3824="직접",IF(AF3824="비귀속",$P3824,0),$P3824*(1-AG3824)*IFERROR(INDEX(계정대체기준!$F$20:$F$49,MATCH($N3824,계정대체기준!$A$20:$A$49,0)),1)))</f>
        <v/>
      </c>
      <c r="Z3824" s="94">
        <f>IF($A3824="",0,IF(AE3824="직접",IF(AF3824="신계약비",$P3824,0),$P3824*(1-AG3824)*IFERROR(INDEX(계정대체기준!$C$20:$C$49,MATCH($N3824,계정대체기준!$A$20:$A$49,0)),0)))</f>
        <v/>
      </c>
      <c r="AA3824" s="94">
        <f>IF($A3824="",0,IF(AE3824="직접",IF(OR(AF3824="유지비",AF3824="손해조사비"),$P3824,0),$P3824*(1-AG3824)*IFERROR(INDEX(계정대체기준!$D$20:$D$49,MATCH($N3824,계정대체기준!$A$20:$A$49,0)),0)))</f>
        <v/>
      </c>
      <c r="AB3824" s="94">
        <f>IF($A3824="",0,IF(AE3824="직접",IF(AF3824="수금비",$P3824,0),$P3824*(1-AG3824)*IFERROR(INDEX(계정대체기준!$E$20:$E$49,MATCH($N3824,계정대체기준!$A$20:$A$49,0)),0)))</f>
        <v/>
      </c>
      <c r="AC3824" s="9">
        <f>IF(AND($A3824&lt;&gt;"",M3824=설정!$C$20,Z3824&gt;0),Z3824+ROW()/1000000000,"")</f>
        <v/>
      </c>
      <c r="AD3824" s="94">
        <f>IF($A3824="",0,$P3824*AG3824)</f>
        <v/>
      </c>
      <c r="AE3824" s="64">
        <f>IF($A3824="","",IFERROR(INDEX(계정매핑!$E$5:$E$504,MATCH($F3824&amp;"",계정매핑!$A$5:$A$504,0))&amp;"","공통비"))</f>
        <v/>
      </c>
      <c r="AF3824" s="64">
        <f>IF($A3824="","",IF(AE3824="직접",IFERROR(INDEX(계정매핑!$F$5:$F$504,MATCH($F3824&amp;"",계정매핑!$A$5:$A$504,0))&amp;"","비귀속"),""))</f>
        <v/>
      </c>
      <c r="AG3824" s="96">
        <f>IF($A3824="",0,IF(AND(AE3824&lt;&gt;"직접",IFERROR(INDEX(계정매핑!$G$5:$G$504,MATCH($F3824&amp;"",계정매핑!$A$5:$A$504,0))&amp;"","")="유지비",COUNTIF(계정대체기준!$A$6:$A$15,$N3824)&gt;0),IFERROR(INDEX(계정대체기준!$E$6:$E$15,MATCH(VALUE($A3824&amp;""),계정대체기준!$D$6:$D$15,0)),0),0))</f>
        <v/>
      </c>
      <c r="AH3824" s="64">
        <f>IF($A3824="","",IF(AD3824=0,"",IF(OR(COUNTIF(계정대체기준!$A$77:$A$86,$N3824)&gt;0,ISNUMBER(MATCH($X3824,계정대체기준!$D$77:$D$86,0)),ISNUMBER(MATCH($F3824,계정대체기준!$D$77:$D$86,0))),"Y","N")))</f>
        <v/>
      </c>
    </row>
    <row r="3825">
      <c r="A3825" s="92" t="n">
        <v>2026</v>
      </c>
      <c r="B3825" s="92" t="n">
        <v>5</v>
      </c>
      <c r="C3825" s="92" t="inlineStr">
        <is>
          <t>5100001103</t>
        </is>
      </c>
      <c r="D3825" s="95" t="n">
        <v>46164</v>
      </c>
      <c r="E3825" s="92" t="inlineStr">
        <is>
          <t>KR</t>
        </is>
      </c>
      <c r="F3825" s="92" t="n">
        <v>62101000</v>
      </c>
      <c r="G3825" s="92" t="n">
        <v>1801</v>
      </c>
      <c r="H3825" s="93" t="n">
        <v>245000</v>
      </c>
      <c r="I3825" s="92" t="inlineStr">
        <is>
          <t>5월 국내출장 - (법인카드)</t>
        </is>
      </c>
      <c r="J3825" s="92" t="inlineStr">
        <is>
          <t>V10010</t>
        </is>
      </c>
      <c r="K3825" s="92" t="inlineStr">
        <is>
          <t>(법인카드)</t>
        </is>
      </c>
      <c r="M3825" s="9">
        <f>IF($A3825="","",VALUE($A3825&amp;"")*12+VALUE($B3825&amp;""))</f>
        <v/>
      </c>
      <c r="N3825" s="64">
        <f>IF($A3825="","",IFERROR(INDEX(부서매핑!$C$5:$C$504,MATCH($G3825&amp;"",부서매핑!$A$5:$A$504,0)),"미매핑"))</f>
        <v/>
      </c>
      <c r="O3825" s="9">
        <f>IF($A3825="","",N3825&amp;"|"&amp;$F3825)</f>
        <v/>
      </c>
      <c r="P3825" s="94">
        <f>IF($A3825="",0,$H3825*설정!$C$23)</f>
        <v/>
      </c>
      <c r="Q3825" s="64">
        <f>IF($A3825="","",IF(O3825&lt;&gt;원인분석!$C$9,"",IF(AND(M3825&gt;=원인분석!$C$10,M3825&lt;=원인분석!$C$11),"당기",IF(AND(M3825&gt;=원인분석!$C$12,M3825&lt;=원인분석!$C$13),"비교",""))))</f>
        <v/>
      </c>
      <c r="R3825" s="9">
        <f>IF(Q3825="","",$K3825&amp;"")</f>
        <v/>
      </c>
      <c r="S3825" s="9">
        <f>IF(Q3825="","",IF(MATCH(R3825,$R$5:$R$100000,0)=ROW()-4,ROW(),""))</f>
        <v/>
      </c>
      <c r="T3825" s="9">
        <f>IF(Q3825="당기",ABS(P3825)+ROW()/1000000000,"")</f>
        <v/>
      </c>
      <c r="U3825" s="9">
        <f>IF(Q3825="비교",ABS(P3825)+ROW()/1000000000,"")</f>
        <v/>
      </c>
      <c r="V3825" s="64">
        <f>IF($A3825="","",IF(COUNTIF(변동분석!$E$7:$E$506,O3825)&gt;0,"Y","N"))</f>
        <v/>
      </c>
      <c r="W3825" s="64">
        <f>IF($A3825="","",IFERROR(INDEX(계정매핑!$D$5:$D$504,MATCH($F3825&amp;"",계정매핑!$A$5:$A$504,0)),"미매핑"))</f>
        <v/>
      </c>
      <c r="X3825" s="9">
        <f>IF($A3825="","",$F3825&amp;"")</f>
        <v/>
      </c>
      <c r="Y3825" s="94">
        <f>IF($A3825="",0,IF(AE3825="직접",IF(AF3825="비귀속",$P3825,0),$P3825*(1-AG3825)*IFERROR(INDEX(계정대체기준!$F$20:$F$49,MATCH($N3825,계정대체기준!$A$20:$A$49,0)),1)))</f>
        <v/>
      </c>
      <c r="Z3825" s="94">
        <f>IF($A3825="",0,IF(AE3825="직접",IF(AF3825="신계약비",$P3825,0),$P3825*(1-AG3825)*IFERROR(INDEX(계정대체기준!$C$20:$C$49,MATCH($N3825,계정대체기준!$A$20:$A$49,0)),0)))</f>
        <v/>
      </c>
      <c r="AA3825" s="94">
        <f>IF($A3825="",0,IF(AE3825="직접",IF(OR(AF3825="유지비",AF3825="손해조사비"),$P3825,0),$P3825*(1-AG3825)*IFERROR(INDEX(계정대체기준!$D$20:$D$49,MATCH($N3825,계정대체기준!$A$20:$A$49,0)),0)))</f>
        <v/>
      </c>
      <c r="AB3825" s="94">
        <f>IF($A3825="",0,IF(AE3825="직접",IF(AF3825="수금비",$P3825,0),$P3825*(1-AG3825)*IFERROR(INDEX(계정대체기준!$E$20:$E$49,MATCH($N3825,계정대체기준!$A$20:$A$49,0)),0)))</f>
        <v/>
      </c>
      <c r="AC3825" s="9">
        <f>IF(AND($A3825&lt;&gt;"",M3825=설정!$C$20,Z3825&gt;0),Z3825+ROW()/1000000000,"")</f>
        <v/>
      </c>
      <c r="AD3825" s="94">
        <f>IF($A3825="",0,$P3825*AG3825)</f>
        <v/>
      </c>
      <c r="AE3825" s="64">
        <f>IF($A3825="","",IFERROR(INDEX(계정매핑!$E$5:$E$504,MATCH($F3825&amp;"",계정매핑!$A$5:$A$504,0))&amp;"","공통비"))</f>
        <v/>
      </c>
      <c r="AF3825" s="64">
        <f>IF($A3825="","",IF(AE3825="직접",IFERROR(INDEX(계정매핑!$F$5:$F$504,MATCH($F3825&amp;"",계정매핑!$A$5:$A$504,0))&amp;"","비귀속"),""))</f>
        <v/>
      </c>
      <c r="AG3825" s="96">
        <f>IF($A3825="",0,IF(AND(AE3825&lt;&gt;"직접",IFERROR(INDEX(계정매핑!$G$5:$G$504,MATCH($F3825&amp;"",계정매핑!$A$5:$A$504,0))&amp;"","")="유지비",COUNTIF(계정대체기준!$A$6:$A$15,$N3825)&gt;0),IFERROR(INDEX(계정대체기준!$E$6:$E$15,MATCH(VALUE($A3825&amp;""),계정대체기준!$D$6:$D$15,0)),0),0))</f>
        <v/>
      </c>
      <c r="AH3825" s="64">
        <f>IF($A3825="","",IF(AD3825=0,"",IF(OR(COUNTIF(계정대체기준!$A$77:$A$86,$N3825)&gt;0,ISNUMBER(MATCH($X3825,계정대체기준!$D$77:$D$86,0)),ISNUMBER(MATCH($F3825,계정대체기준!$D$77:$D$86,0))),"Y","N")))</f>
        <v/>
      </c>
    </row>
    <row r="3826">
      <c r="A3826" s="92" t="n">
        <v>2026</v>
      </c>
      <c r="B3826" s="92" t="n">
        <v>5</v>
      </c>
      <c r="C3826" s="92" t="inlineStr">
        <is>
          <t>5100001104</t>
        </is>
      </c>
      <c r="D3826" s="95" t="n">
        <v>46164</v>
      </c>
      <c r="E3826" s="92" t="inlineStr">
        <is>
          <t>KR</t>
        </is>
      </c>
      <c r="F3826" s="92" t="n">
        <v>62102000</v>
      </c>
      <c r="G3826" s="92" t="n">
        <v>1951</v>
      </c>
      <c r="H3826" s="93" t="n">
        <v>49000</v>
      </c>
      <c r="I3826" s="92" t="inlineStr">
        <is>
          <t>5월 해외출장 - M항공</t>
        </is>
      </c>
      <c r="J3826" s="92" t="inlineStr">
        <is>
          <t>V10001</t>
        </is>
      </c>
      <c r="K3826" s="92" t="inlineStr">
        <is>
          <t>M항공</t>
        </is>
      </c>
      <c r="M3826" s="9">
        <f>IF($A3826="","",VALUE($A3826&amp;"")*12+VALUE($B3826&amp;""))</f>
        <v/>
      </c>
      <c r="N3826" s="64">
        <f>IF($A3826="","",IFERROR(INDEX(부서매핑!$C$5:$C$504,MATCH($G3826&amp;"",부서매핑!$A$5:$A$504,0)),"미매핑"))</f>
        <v/>
      </c>
      <c r="O3826" s="9">
        <f>IF($A3826="","",N3826&amp;"|"&amp;$F3826)</f>
        <v/>
      </c>
      <c r="P3826" s="94">
        <f>IF($A3826="",0,$H3826*설정!$C$23)</f>
        <v/>
      </c>
      <c r="Q3826" s="64">
        <f>IF($A3826="","",IF(O3826&lt;&gt;원인분석!$C$9,"",IF(AND(M3826&gt;=원인분석!$C$10,M3826&lt;=원인분석!$C$11),"당기",IF(AND(M3826&gt;=원인분석!$C$12,M3826&lt;=원인분석!$C$13),"비교",""))))</f>
        <v/>
      </c>
      <c r="R3826" s="9">
        <f>IF(Q3826="","",$K3826&amp;"")</f>
        <v/>
      </c>
      <c r="S3826" s="9">
        <f>IF(Q3826="","",IF(MATCH(R3826,$R$5:$R$100000,0)=ROW()-4,ROW(),""))</f>
        <v/>
      </c>
      <c r="T3826" s="9">
        <f>IF(Q3826="당기",ABS(P3826)+ROW()/1000000000,"")</f>
        <v/>
      </c>
      <c r="U3826" s="9">
        <f>IF(Q3826="비교",ABS(P3826)+ROW()/1000000000,"")</f>
        <v/>
      </c>
      <c r="V3826" s="64">
        <f>IF($A3826="","",IF(COUNTIF(변동분석!$E$7:$E$506,O3826)&gt;0,"Y","N"))</f>
        <v/>
      </c>
      <c r="W3826" s="64">
        <f>IF($A3826="","",IFERROR(INDEX(계정매핑!$D$5:$D$504,MATCH($F3826&amp;"",계정매핑!$A$5:$A$504,0)),"미매핑"))</f>
        <v/>
      </c>
      <c r="X3826" s="9">
        <f>IF($A3826="","",$F3826&amp;"")</f>
        <v/>
      </c>
      <c r="Y3826" s="94">
        <f>IF($A3826="",0,IF(AE3826="직접",IF(AF3826="비귀속",$P3826,0),$P3826*(1-AG3826)*IFERROR(INDEX(계정대체기준!$F$20:$F$49,MATCH($N3826,계정대체기준!$A$20:$A$49,0)),1)))</f>
        <v/>
      </c>
      <c r="Z3826" s="94">
        <f>IF($A3826="",0,IF(AE3826="직접",IF(AF3826="신계약비",$P3826,0),$P3826*(1-AG3826)*IFERROR(INDEX(계정대체기준!$C$20:$C$49,MATCH($N3826,계정대체기준!$A$20:$A$49,0)),0)))</f>
        <v/>
      </c>
      <c r="AA3826" s="94">
        <f>IF($A3826="",0,IF(AE3826="직접",IF(OR(AF3826="유지비",AF3826="손해조사비"),$P3826,0),$P3826*(1-AG3826)*IFERROR(INDEX(계정대체기준!$D$20:$D$49,MATCH($N3826,계정대체기준!$A$20:$A$49,0)),0)))</f>
        <v/>
      </c>
      <c r="AB3826" s="94">
        <f>IF($A3826="",0,IF(AE3826="직접",IF(AF3826="수금비",$P3826,0),$P3826*(1-AG3826)*IFERROR(INDEX(계정대체기준!$E$20:$E$49,MATCH($N3826,계정대체기준!$A$20:$A$49,0)),0)))</f>
        <v/>
      </c>
      <c r="AC3826" s="9">
        <f>IF(AND($A3826&lt;&gt;"",M3826=설정!$C$20,Z3826&gt;0),Z3826+ROW()/1000000000,"")</f>
        <v/>
      </c>
      <c r="AD3826" s="94">
        <f>IF($A3826="",0,$P3826*AG3826)</f>
        <v/>
      </c>
      <c r="AE3826" s="64">
        <f>IF($A3826="","",IFERROR(INDEX(계정매핑!$E$5:$E$504,MATCH($F3826&amp;"",계정매핑!$A$5:$A$504,0))&amp;"","공통비"))</f>
        <v/>
      </c>
      <c r="AF3826" s="64">
        <f>IF($A3826="","",IF(AE3826="직접",IFERROR(INDEX(계정매핑!$F$5:$F$504,MATCH($F3826&amp;"",계정매핑!$A$5:$A$504,0))&amp;"","비귀속"),""))</f>
        <v/>
      </c>
      <c r="AG3826" s="96">
        <f>IF($A3826="",0,IF(AND(AE3826&lt;&gt;"직접",IFERROR(INDEX(계정매핑!$G$5:$G$504,MATCH($F3826&amp;"",계정매핑!$A$5:$A$504,0))&amp;"","")="유지비",COUNTIF(계정대체기준!$A$6:$A$15,$N3826)&gt;0),IFERROR(INDEX(계정대체기준!$E$6:$E$15,MATCH(VALUE($A3826&amp;""),계정대체기준!$D$6:$D$15,0)),0),0))</f>
        <v/>
      </c>
      <c r="AH3826" s="64">
        <f>IF($A3826="","",IF(AD3826=0,"",IF(OR(COUNTIF(계정대체기준!$A$77:$A$86,$N3826)&gt;0,ISNUMBER(MATCH($X3826,계정대체기준!$D$77:$D$86,0)),ISNUMBER(MATCH($F3826,계정대체기준!$D$77:$D$86,0))),"Y","N")))</f>
        <v/>
      </c>
    </row>
    <row r="3827">
      <c r="A3827" s="92" t="n">
        <v>2026</v>
      </c>
      <c r="B3827" s="92" t="n">
        <v>5</v>
      </c>
      <c r="C3827" s="92" t="inlineStr">
        <is>
          <t>5100001105</t>
        </is>
      </c>
      <c r="D3827" s="95" t="n">
        <v>46164</v>
      </c>
      <c r="E3827" s="92" t="inlineStr">
        <is>
          <t>KR</t>
        </is>
      </c>
      <c r="F3827" s="92" t="n">
        <v>62201000</v>
      </c>
      <c r="G3827" s="92" t="n">
        <v>1101</v>
      </c>
      <c r="H3827" s="93" t="n">
        <v>279000</v>
      </c>
      <c r="I3827" s="92" t="inlineStr">
        <is>
          <t>5월 통신요금 - P통신</t>
        </is>
      </c>
      <c r="J3827" s="92" t="inlineStr">
        <is>
          <t>V10014</t>
        </is>
      </c>
      <c r="K3827" s="92" t="inlineStr">
        <is>
          <t>P통신</t>
        </is>
      </c>
      <c r="M3827" s="9">
        <f>IF($A3827="","",VALUE($A3827&amp;"")*12+VALUE($B3827&amp;""))</f>
        <v/>
      </c>
      <c r="N3827" s="64">
        <f>IF($A3827="","",IFERROR(INDEX(부서매핑!$C$5:$C$504,MATCH($G3827&amp;"",부서매핑!$A$5:$A$504,0)),"미매핑"))</f>
        <v/>
      </c>
      <c r="O3827" s="9">
        <f>IF($A3827="","",N3827&amp;"|"&amp;$F3827)</f>
        <v/>
      </c>
      <c r="P3827" s="94">
        <f>IF($A3827="",0,$H3827*설정!$C$23)</f>
        <v/>
      </c>
      <c r="Q3827" s="64">
        <f>IF($A3827="","",IF(O3827&lt;&gt;원인분석!$C$9,"",IF(AND(M3827&gt;=원인분석!$C$10,M3827&lt;=원인분석!$C$11),"당기",IF(AND(M3827&gt;=원인분석!$C$12,M3827&lt;=원인분석!$C$13),"비교",""))))</f>
        <v/>
      </c>
      <c r="R3827" s="9">
        <f>IF(Q3827="","",$K3827&amp;"")</f>
        <v/>
      </c>
      <c r="S3827" s="9">
        <f>IF(Q3827="","",IF(MATCH(R3827,$R$5:$R$100000,0)=ROW()-4,ROW(),""))</f>
        <v/>
      </c>
      <c r="T3827" s="9">
        <f>IF(Q3827="당기",ABS(P3827)+ROW()/1000000000,"")</f>
        <v/>
      </c>
      <c r="U3827" s="9">
        <f>IF(Q3827="비교",ABS(P3827)+ROW()/1000000000,"")</f>
        <v/>
      </c>
      <c r="V3827" s="64">
        <f>IF($A3827="","",IF(COUNTIF(변동분석!$E$7:$E$506,O3827)&gt;0,"Y","N"))</f>
        <v/>
      </c>
      <c r="W3827" s="64">
        <f>IF($A3827="","",IFERROR(INDEX(계정매핑!$D$5:$D$504,MATCH($F3827&amp;"",계정매핑!$A$5:$A$504,0)),"미매핑"))</f>
        <v/>
      </c>
      <c r="X3827" s="9">
        <f>IF($A3827="","",$F3827&amp;"")</f>
        <v/>
      </c>
      <c r="Y3827" s="94">
        <f>IF($A3827="",0,IF(AE3827="직접",IF(AF3827="비귀속",$P3827,0),$P3827*(1-AG3827)*IFERROR(INDEX(계정대체기준!$F$20:$F$49,MATCH($N3827,계정대체기준!$A$20:$A$49,0)),1)))</f>
        <v/>
      </c>
      <c r="Z3827" s="94">
        <f>IF($A3827="",0,IF(AE3827="직접",IF(AF3827="신계약비",$P3827,0),$P3827*(1-AG3827)*IFERROR(INDEX(계정대체기준!$C$20:$C$49,MATCH($N3827,계정대체기준!$A$20:$A$49,0)),0)))</f>
        <v/>
      </c>
      <c r="AA3827" s="94">
        <f>IF($A3827="",0,IF(AE3827="직접",IF(OR(AF3827="유지비",AF3827="손해조사비"),$P3827,0),$P3827*(1-AG3827)*IFERROR(INDEX(계정대체기준!$D$20:$D$49,MATCH($N3827,계정대체기준!$A$20:$A$49,0)),0)))</f>
        <v/>
      </c>
      <c r="AB3827" s="94">
        <f>IF($A3827="",0,IF(AE3827="직접",IF(AF3827="수금비",$P3827,0),$P3827*(1-AG3827)*IFERROR(INDEX(계정대체기준!$E$20:$E$49,MATCH($N3827,계정대체기준!$A$20:$A$49,0)),0)))</f>
        <v/>
      </c>
      <c r="AC3827" s="9">
        <f>IF(AND($A3827&lt;&gt;"",M3827=설정!$C$20,Z3827&gt;0),Z3827+ROW()/1000000000,"")</f>
        <v/>
      </c>
      <c r="AD3827" s="94">
        <f>IF($A3827="",0,$P3827*AG3827)</f>
        <v/>
      </c>
      <c r="AE3827" s="64">
        <f>IF($A3827="","",IFERROR(INDEX(계정매핑!$E$5:$E$504,MATCH($F3827&amp;"",계정매핑!$A$5:$A$504,0))&amp;"","공통비"))</f>
        <v/>
      </c>
      <c r="AF3827" s="64">
        <f>IF($A3827="","",IF(AE3827="직접",IFERROR(INDEX(계정매핑!$F$5:$F$504,MATCH($F3827&amp;"",계정매핑!$A$5:$A$504,0))&amp;"","비귀속"),""))</f>
        <v/>
      </c>
      <c r="AG3827" s="96">
        <f>IF($A3827="",0,IF(AND(AE3827&lt;&gt;"직접",IFERROR(INDEX(계정매핑!$G$5:$G$504,MATCH($F3827&amp;"",계정매핑!$A$5:$A$504,0))&amp;"","")="유지비",COUNTIF(계정대체기준!$A$6:$A$15,$N3827)&gt;0),IFERROR(INDEX(계정대체기준!$E$6:$E$15,MATCH(VALUE($A3827&amp;""),계정대체기준!$D$6:$D$15,0)),0),0))</f>
        <v/>
      </c>
      <c r="AH3827" s="64">
        <f>IF($A3827="","",IF(AD3827=0,"",IF(OR(COUNTIF(계정대체기준!$A$77:$A$86,$N3827)&gt;0,ISNUMBER(MATCH($X3827,계정대체기준!$D$77:$D$86,0)),ISNUMBER(MATCH($F3827,계정대체기준!$D$77:$D$86,0))),"Y","N")))</f>
        <v/>
      </c>
    </row>
    <row r="3828">
      <c r="A3828" s="92" t="n">
        <v>2026</v>
      </c>
      <c r="B3828" s="92" t="n">
        <v>5</v>
      </c>
      <c r="C3828" s="92" t="inlineStr">
        <is>
          <t>5100001106</t>
        </is>
      </c>
      <c r="D3828" s="95" t="n">
        <v>46164</v>
      </c>
      <c r="E3828" s="92" t="inlineStr">
        <is>
          <t>KR</t>
        </is>
      </c>
      <c r="F3828" s="92" t="n">
        <v>62501000</v>
      </c>
      <c r="G3828" s="92" t="n">
        <v>1301</v>
      </c>
      <c r="H3828" s="93" t="n">
        <v>241000</v>
      </c>
      <c r="I3828" s="92" t="inlineStr">
        <is>
          <t>5월 회의 다과 - T케이터링</t>
        </is>
      </c>
      <c r="J3828" s="92" t="inlineStr">
        <is>
          <t>V10005</t>
        </is>
      </c>
      <c r="K3828" s="92" t="inlineStr">
        <is>
          <t>T케이터링</t>
        </is>
      </c>
      <c r="M3828" s="9">
        <f>IF($A3828="","",VALUE($A3828&amp;"")*12+VALUE($B3828&amp;""))</f>
        <v/>
      </c>
      <c r="N3828" s="64">
        <f>IF($A3828="","",IFERROR(INDEX(부서매핑!$C$5:$C$504,MATCH($G3828&amp;"",부서매핑!$A$5:$A$504,0)),"미매핑"))</f>
        <v/>
      </c>
      <c r="O3828" s="9">
        <f>IF($A3828="","",N3828&amp;"|"&amp;$F3828)</f>
        <v/>
      </c>
      <c r="P3828" s="94">
        <f>IF($A3828="",0,$H3828*설정!$C$23)</f>
        <v/>
      </c>
      <c r="Q3828" s="64">
        <f>IF($A3828="","",IF(O3828&lt;&gt;원인분석!$C$9,"",IF(AND(M3828&gt;=원인분석!$C$10,M3828&lt;=원인분석!$C$11),"당기",IF(AND(M3828&gt;=원인분석!$C$12,M3828&lt;=원인분석!$C$13),"비교",""))))</f>
        <v/>
      </c>
      <c r="R3828" s="9">
        <f>IF(Q3828="","",$K3828&amp;"")</f>
        <v/>
      </c>
      <c r="S3828" s="9">
        <f>IF(Q3828="","",IF(MATCH(R3828,$R$5:$R$100000,0)=ROW()-4,ROW(),""))</f>
        <v/>
      </c>
      <c r="T3828" s="9">
        <f>IF(Q3828="당기",ABS(P3828)+ROW()/1000000000,"")</f>
        <v/>
      </c>
      <c r="U3828" s="9">
        <f>IF(Q3828="비교",ABS(P3828)+ROW()/1000000000,"")</f>
        <v/>
      </c>
      <c r="V3828" s="64">
        <f>IF($A3828="","",IF(COUNTIF(변동분석!$E$7:$E$506,O3828)&gt;0,"Y","N"))</f>
        <v/>
      </c>
      <c r="W3828" s="64">
        <f>IF($A3828="","",IFERROR(INDEX(계정매핑!$D$5:$D$504,MATCH($F3828&amp;"",계정매핑!$A$5:$A$504,0)),"미매핑"))</f>
        <v/>
      </c>
      <c r="X3828" s="9">
        <f>IF($A3828="","",$F3828&amp;"")</f>
        <v/>
      </c>
      <c r="Y3828" s="94">
        <f>IF($A3828="",0,IF(AE3828="직접",IF(AF3828="비귀속",$P3828,0),$P3828*(1-AG3828)*IFERROR(INDEX(계정대체기준!$F$20:$F$49,MATCH($N3828,계정대체기준!$A$20:$A$49,0)),1)))</f>
        <v/>
      </c>
      <c r="Z3828" s="94">
        <f>IF($A3828="",0,IF(AE3828="직접",IF(AF3828="신계약비",$P3828,0),$P3828*(1-AG3828)*IFERROR(INDEX(계정대체기준!$C$20:$C$49,MATCH($N3828,계정대체기준!$A$20:$A$49,0)),0)))</f>
        <v/>
      </c>
      <c r="AA3828" s="94">
        <f>IF($A3828="",0,IF(AE3828="직접",IF(OR(AF3828="유지비",AF3828="손해조사비"),$P3828,0),$P3828*(1-AG3828)*IFERROR(INDEX(계정대체기준!$D$20:$D$49,MATCH($N3828,계정대체기준!$A$20:$A$49,0)),0)))</f>
        <v/>
      </c>
      <c r="AB3828" s="94">
        <f>IF($A3828="",0,IF(AE3828="직접",IF(AF3828="수금비",$P3828,0),$P3828*(1-AG3828)*IFERROR(INDEX(계정대체기준!$E$20:$E$49,MATCH($N3828,계정대체기준!$A$20:$A$49,0)),0)))</f>
        <v/>
      </c>
      <c r="AC3828" s="9">
        <f>IF(AND($A3828&lt;&gt;"",M3828=설정!$C$20,Z3828&gt;0),Z3828+ROW()/1000000000,"")</f>
        <v/>
      </c>
      <c r="AD3828" s="94">
        <f>IF($A3828="",0,$P3828*AG3828)</f>
        <v/>
      </c>
      <c r="AE3828" s="64">
        <f>IF($A3828="","",IFERROR(INDEX(계정매핑!$E$5:$E$504,MATCH($F3828&amp;"",계정매핑!$A$5:$A$504,0))&amp;"","공통비"))</f>
        <v/>
      </c>
      <c r="AF3828" s="64">
        <f>IF($A3828="","",IF(AE3828="직접",IFERROR(INDEX(계정매핑!$F$5:$F$504,MATCH($F3828&amp;"",계정매핑!$A$5:$A$504,0))&amp;"","비귀속"),""))</f>
        <v/>
      </c>
      <c r="AG3828" s="96">
        <f>IF($A3828="",0,IF(AND(AE3828&lt;&gt;"직접",IFERROR(INDEX(계정매핑!$G$5:$G$504,MATCH($F3828&amp;"",계정매핑!$A$5:$A$504,0))&amp;"","")="유지비",COUNTIF(계정대체기준!$A$6:$A$15,$N3828)&gt;0),IFERROR(INDEX(계정대체기준!$E$6:$E$15,MATCH(VALUE($A3828&amp;""),계정대체기준!$D$6:$D$15,0)),0),0))</f>
        <v/>
      </c>
      <c r="AH3828" s="64">
        <f>IF($A3828="","",IF(AD3828=0,"",IF(OR(COUNTIF(계정대체기준!$A$77:$A$86,$N3828)&gt;0,ISNUMBER(MATCH($X3828,계정대체기준!$D$77:$D$86,0)),ISNUMBER(MATCH($F3828,계정대체기준!$D$77:$D$86,0))),"Y","N")))</f>
        <v/>
      </c>
    </row>
    <row r="3829">
      <c r="A3829" s="92" t="n">
        <v>2026</v>
      </c>
      <c r="B3829" s="92" t="n">
        <v>5</v>
      </c>
      <c r="C3829" s="92" t="inlineStr">
        <is>
          <t>5100001107</t>
        </is>
      </c>
      <c r="D3829" s="95" t="n">
        <v>46164</v>
      </c>
      <c r="E3829" s="92" t="inlineStr">
        <is>
          <t>KR</t>
        </is>
      </c>
      <c r="F3829" s="92" t="n">
        <v>62801000</v>
      </c>
      <c r="G3829" s="92" t="n">
        <v>1301</v>
      </c>
      <c r="H3829" s="93" t="n">
        <v>7062000</v>
      </c>
      <c r="I3829" s="92" t="inlineStr">
        <is>
          <t>5월 사내교육 - (사내강사료)</t>
        </is>
      </c>
      <c r="J3829" s="92" t="inlineStr">
        <is>
          <t>V10024</t>
        </is>
      </c>
      <c r="K3829" s="92" t="inlineStr">
        <is>
          <t>(사내강사료)</t>
        </is>
      </c>
      <c r="M3829" s="9">
        <f>IF($A3829="","",VALUE($A3829&amp;"")*12+VALUE($B3829&amp;""))</f>
        <v/>
      </c>
      <c r="N3829" s="64">
        <f>IF($A3829="","",IFERROR(INDEX(부서매핑!$C$5:$C$504,MATCH($G3829&amp;"",부서매핑!$A$5:$A$504,0)),"미매핑"))</f>
        <v/>
      </c>
      <c r="O3829" s="9">
        <f>IF($A3829="","",N3829&amp;"|"&amp;$F3829)</f>
        <v/>
      </c>
      <c r="P3829" s="94">
        <f>IF($A3829="",0,$H3829*설정!$C$23)</f>
        <v/>
      </c>
      <c r="Q3829" s="64">
        <f>IF($A3829="","",IF(O3829&lt;&gt;원인분석!$C$9,"",IF(AND(M3829&gt;=원인분석!$C$10,M3829&lt;=원인분석!$C$11),"당기",IF(AND(M3829&gt;=원인분석!$C$12,M3829&lt;=원인분석!$C$13),"비교",""))))</f>
        <v/>
      </c>
      <c r="R3829" s="9">
        <f>IF(Q3829="","",$K3829&amp;"")</f>
        <v/>
      </c>
      <c r="S3829" s="9">
        <f>IF(Q3829="","",IF(MATCH(R3829,$R$5:$R$100000,0)=ROW()-4,ROW(),""))</f>
        <v/>
      </c>
      <c r="T3829" s="9">
        <f>IF(Q3829="당기",ABS(P3829)+ROW()/1000000000,"")</f>
        <v/>
      </c>
      <c r="U3829" s="9">
        <f>IF(Q3829="비교",ABS(P3829)+ROW()/1000000000,"")</f>
        <v/>
      </c>
      <c r="V3829" s="64">
        <f>IF($A3829="","",IF(COUNTIF(변동분석!$E$7:$E$506,O3829)&gt;0,"Y","N"))</f>
        <v/>
      </c>
      <c r="W3829" s="64">
        <f>IF($A3829="","",IFERROR(INDEX(계정매핑!$D$5:$D$504,MATCH($F3829&amp;"",계정매핑!$A$5:$A$504,0)),"미매핑"))</f>
        <v/>
      </c>
      <c r="X3829" s="9">
        <f>IF($A3829="","",$F3829&amp;"")</f>
        <v/>
      </c>
      <c r="Y3829" s="94">
        <f>IF($A3829="",0,IF(AE3829="직접",IF(AF3829="비귀속",$P3829,0),$P3829*(1-AG3829)*IFERROR(INDEX(계정대체기준!$F$20:$F$49,MATCH($N3829,계정대체기준!$A$20:$A$49,0)),1)))</f>
        <v/>
      </c>
      <c r="Z3829" s="94">
        <f>IF($A3829="",0,IF(AE3829="직접",IF(AF3829="신계약비",$P3829,0),$P3829*(1-AG3829)*IFERROR(INDEX(계정대체기준!$C$20:$C$49,MATCH($N3829,계정대체기준!$A$20:$A$49,0)),0)))</f>
        <v/>
      </c>
      <c r="AA3829" s="94">
        <f>IF($A3829="",0,IF(AE3829="직접",IF(OR(AF3829="유지비",AF3829="손해조사비"),$P3829,0),$P3829*(1-AG3829)*IFERROR(INDEX(계정대체기준!$D$20:$D$49,MATCH($N3829,계정대체기준!$A$20:$A$49,0)),0)))</f>
        <v/>
      </c>
      <c r="AB3829" s="94">
        <f>IF($A3829="",0,IF(AE3829="직접",IF(AF3829="수금비",$P3829,0),$P3829*(1-AG3829)*IFERROR(INDEX(계정대체기준!$E$20:$E$49,MATCH($N3829,계정대체기준!$A$20:$A$49,0)),0)))</f>
        <v/>
      </c>
      <c r="AC3829" s="9">
        <f>IF(AND($A3829&lt;&gt;"",M3829=설정!$C$20,Z3829&gt;0),Z3829+ROW()/1000000000,"")</f>
        <v/>
      </c>
      <c r="AD3829" s="94">
        <f>IF($A3829="",0,$P3829*AG3829)</f>
        <v/>
      </c>
      <c r="AE3829" s="64">
        <f>IF($A3829="","",IFERROR(INDEX(계정매핑!$E$5:$E$504,MATCH($F3829&amp;"",계정매핑!$A$5:$A$504,0))&amp;"","공통비"))</f>
        <v/>
      </c>
      <c r="AF3829" s="64">
        <f>IF($A3829="","",IF(AE3829="직접",IFERROR(INDEX(계정매핑!$F$5:$F$504,MATCH($F3829&amp;"",계정매핑!$A$5:$A$504,0))&amp;"","비귀속"),""))</f>
        <v/>
      </c>
      <c r="AG3829" s="96">
        <f>IF($A3829="",0,IF(AND(AE3829&lt;&gt;"직접",IFERROR(INDEX(계정매핑!$G$5:$G$504,MATCH($F3829&amp;"",계정매핑!$A$5:$A$504,0))&amp;"","")="유지비",COUNTIF(계정대체기준!$A$6:$A$15,$N3829)&gt;0),IFERROR(INDEX(계정대체기준!$E$6:$E$15,MATCH(VALUE($A3829&amp;""),계정대체기준!$D$6:$D$15,0)),0),0))</f>
        <v/>
      </c>
      <c r="AH3829" s="64">
        <f>IF($A3829="","",IF(AD3829=0,"",IF(OR(COUNTIF(계정대체기준!$A$77:$A$86,$N3829)&gt;0,ISNUMBER(MATCH($X3829,계정대체기준!$D$77:$D$86,0)),ISNUMBER(MATCH($F3829,계정대체기준!$D$77:$D$86,0))),"Y","N")))</f>
        <v/>
      </c>
    </row>
    <row r="3830">
      <c r="A3830" s="92" t="n">
        <v>2026</v>
      </c>
      <c r="B3830" s="92" t="n">
        <v>5</v>
      </c>
      <c r="C3830" s="92" t="inlineStr">
        <is>
          <t>5100001108</t>
        </is>
      </c>
      <c r="D3830" s="95" t="n">
        <v>46164</v>
      </c>
      <c r="E3830" s="92" t="inlineStr">
        <is>
          <t>KR</t>
        </is>
      </c>
      <c r="F3830" s="92" t="n">
        <v>62902000</v>
      </c>
      <c r="G3830" s="92" t="n">
        <v>1201</v>
      </c>
      <c r="H3830" s="93" t="n">
        <v>3649000</v>
      </c>
      <c r="I3830" s="92" t="inlineStr">
        <is>
          <t>5월 업무 위탁 수수료 - J콜센터</t>
        </is>
      </c>
      <c r="J3830" s="92" t="inlineStr">
        <is>
          <t>V10016</t>
        </is>
      </c>
      <c r="K3830" s="92" t="inlineStr">
        <is>
          <t>J콜센터</t>
        </is>
      </c>
      <c r="M3830" s="9">
        <f>IF($A3830="","",VALUE($A3830&amp;"")*12+VALUE($B3830&amp;""))</f>
        <v/>
      </c>
      <c r="N3830" s="64">
        <f>IF($A3830="","",IFERROR(INDEX(부서매핑!$C$5:$C$504,MATCH($G3830&amp;"",부서매핑!$A$5:$A$504,0)),"미매핑"))</f>
        <v/>
      </c>
      <c r="O3830" s="9">
        <f>IF($A3830="","",N3830&amp;"|"&amp;$F3830)</f>
        <v/>
      </c>
      <c r="P3830" s="94">
        <f>IF($A3830="",0,$H3830*설정!$C$23)</f>
        <v/>
      </c>
      <c r="Q3830" s="64">
        <f>IF($A3830="","",IF(O3830&lt;&gt;원인분석!$C$9,"",IF(AND(M3830&gt;=원인분석!$C$10,M3830&lt;=원인분석!$C$11),"당기",IF(AND(M3830&gt;=원인분석!$C$12,M3830&lt;=원인분석!$C$13),"비교",""))))</f>
        <v/>
      </c>
      <c r="R3830" s="9">
        <f>IF(Q3830="","",$K3830&amp;"")</f>
        <v/>
      </c>
      <c r="S3830" s="9">
        <f>IF(Q3830="","",IF(MATCH(R3830,$R$5:$R$100000,0)=ROW()-4,ROW(),""))</f>
        <v/>
      </c>
      <c r="T3830" s="9">
        <f>IF(Q3830="당기",ABS(P3830)+ROW()/1000000000,"")</f>
        <v/>
      </c>
      <c r="U3830" s="9">
        <f>IF(Q3830="비교",ABS(P3830)+ROW()/1000000000,"")</f>
        <v/>
      </c>
      <c r="V3830" s="64">
        <f>IF($A3830="","",IF(COUNTIF(변동분석!$E$7:$E$506,O3830)&gt;0,"Y","N"))</f>
        <v/>
      </c>
      <c r="W3830" s="64">
        <f>IF($A3830="","",IFERROR(INDEX(계정매핑!$D$5:$D$504,MATCH($F3830&amp;"",계정매핑!$A$5:$A$504,0)),"미매핑"))</f>
        <v/>
      </c>
      <c r="X3830" s="9">
        <f>IF($A3830="","",$F3830&amp;"")</f>
        <v/>
      </c>
      <c r="Y3830" s="94">
        <f>IF($A3830="",0,IF(AE3830="직접",IF(AF3830="비귀속",$P3830,0),$P3830*(1-AG3830)*IFERROR(INDEX(계정대체기준!$F$20:$F$49,MATCH($N3830,계정대체기준!$A$20:$A$49,0)),1)))</f>
        <v/>
      </c>
      <c r="Z3830" s="94">
        <f>IF($A3830="",0,IF(AE3830="직접",IF(AF3830="신계약비",$P3830,0),$P3830*(1-AG3830)*IFERROR(INDEX(계정대체기준!$C$20:$C$49,MATCH($N3830,계정대체기준!$A$20:$A$49,0)),0)))</f>
        <v/>
      </c>
      <c r="AA3830" s="94">
        <f>IF($A3830="",0,IF(AE3830="직접",IF(OR(AF3830="유지비",AF3830="손해조사비"),$P3830,0),$P3830*(1-AG3830)*IFERROR(INDEX(계정대체기준!$D$20:$D$49,MATCH($N3830,계정대체기준!$A$20:$A$49,0)),0)))</f>
        <v/>
      </c>
      <c r="AB3830" s="94">
        <f>IF($A3830="",0,IF(AE3830="직접",IF(AF3830="수금비",$P3830,0),$P3830*(1-AG3830)*IFERROR(INDEX(계정대체기준!$E$20:$E$49,MATCH($N3830,계정대체기준!$A$20:$A$49,0)),0)))</f>
        <v/>
      </c>
      <c r="AC3830" s="9">
        <f>IF(AND($A3830&lt;&gt;"",M3830=설정!$C$20,Z3830&gt;0),Z3830+ROW()/1000000000,"")</f>
        <v/>
      </c>
      <c r="AD3830" s="94">
        <f>IF($A3830="",0,$P3830*AG3830)</f>
        <v/>
      </c>
      <c r="AE3830" s="64">
        <f>IF($A3830="","",IFERROR(INDEX(계정매핑!$E$5:$E$504,MATCH($F3830&amp;"",계정매핑!$A$5:$A$504,0))&amp;"","공통비"))</f>
        <v/>
      </c>
      <c r="AF3830" s="64">
        <f>IF($A3830="","",IF(AE3830="직접",IFERROR(INDEX(계정매핑!$F$5:$F$504,MATCH($F3830&amp;"",계정매핑!$A$5:$A$504,0))&amp;"","비귀속"),""))</f>
        <v/>
      </c>
      <c r="AG3830" s="96">
        <f>IF($A3830="",0,IF(AND(AE3830&lt;&gt;"직접",IFERROR(INDEX(계정매핑!$G$5:$G$504,MATCH($F3830&amp;"",계정매핑!$A$5:$A$504,0))&amp;"","")="유지비",COUNTIF(계정대체기준!$A$6:$A$15,$N3830)&gt;0),IFERROR(INDEX(계정대체기준!$E$6:$E$15,MATCH(VALUE($A3830&amp;""),계정대체기준!$D$6:$D$15,0)),0),0))</f>
        <v/>
      </c>
      <c r="AH3830" s="64">
        <f>IF($A3830="","",IF(AD3830=0,"",IF(OR(COUNTIF(계정대체기준!$A$77:$A$86,$N3830)&gt;0,ISNUMBER(MATCH($X3830,계정대체기준!$D$77:$D$86,0)),ISNUMBER(MATCH($F3830,계정대체기준!$D$77:$D$86,0))),"Y","N")))</f>
        <v/>
      </c>
    </row>
    <row r="3831">
      <c r="A3831" s="92" t="n">
        <v>2026</v>
      </c>
      <c r="B3831" s="92" t="n">
        <v>5</v>
      </c>
      <c r="C3831" s="92" t="inlineStr">
        <is>
          <t>5100001109</t>
        </is>
      </c>
      <c r="D3831" s="95" t="n">
        <v>46164</v>
      </c>
      <c r="E3831" s="92" t="inlineStr">
        <is>
          <t>KR</t>
        </is>
      </c>
      <c r="F3831" s="92" t="n">
        <v>63101000</v>
      </c>
      <c r="G3831" s="92" t="n">
        <v>1601</v>
      </c>
      <c r="H3831" s="93" t="n">
        <v>3384000</v>
      </c>
      <c r="I3831" s="92" t="inlineStr">
        <is>
          <t>5월 사무실 임차료 - BB부동산</t>
        </is>
      </c>
      <c r="J3831" s="92" t="inlineStr">
        <is>
          <t>V10028</t>
        </is>
      </c>
      <c r="K3831" s="92" t="inlineStr">
        <is>
          <t>BB부동산</t>
        </is>
      </c>
      <c r="M3831" s="9">
        <f>IF($A3831="","",VALUE($A3831&amp;"")*12+VALUE($B3831&amp;""))</f>
        <v/>
      </c>
      <c r="N3831" s="64">
        <f>IF($A3831="","",IFERROR(INDEX(부서매핑!$C$5:$C$504,MATCH($G3831&amp;"",부서매핑!$A$5:$A$504,0)),"미매핑"))</f>
        <v/>
      </c>
      <c r="O3831" s="9">
        <f>IF($A3831="","",N3831&amp;"|"&amp;$F3831)</f>
        <v/>
      </c>
      <c r="P3831" s="94">
        <f>IF($A3831="",0,$H3831*설정!$C$23)</f>
        <v/>
      </c>
      <c r="Q3831" s="64">
        <f>IF($A3831="","",IF(O3831&lt;&gt;원인분석!$C$9,"",IF(AND(M3831&gt;=원인분석!$C$10,M3831&lt;=원인분석!$C$11),"당기",IF(AND(M3831&gt;=원인분석!$C$12,M3831&lt;=원인분석!$C$13),"비교",""))))</f>
        <v/>
      </c>
      <c r="R3831" s="9">
        <f>IF(Q3831="","",$K3831&amp;"")</f>
        <v/>
      </c>
      <c r="S3831" s="9">
        <f>IF(Q3831="","",IF(MATCH(R3831,$R$5:$R$100000,0)=ROW()-4,ROW(),""))</f>
        <v/>
      </c>
      <c r="T3831" s="9">
        <f>IF(Q3831="당기",ABS(P3831)+ROW()/1000000000,"")</f>
        <v/>
      </c>
      <c r="U3831" s="9">
        <f>IF(Q3831="비교",ABS(P3831)+ROW()/1000000000,"")</f>
        <v/>
      </c>
      <c r="V3831" s="64">
        <f>IF($A3831="","",IF(COUNTIF(변동분석!$E$7:$E$506,O3831)&gt;0,"Y","N"))</f>
        <v/>
      </c>
      <c r="W3831" s="64">
        <f>IF($A3831="","",IFERROR(INDEX(계정매핑!$D$5:$D$504,MATCH($F3831&amp;"",계정매핑!$A$5:$A$504,0)),"미매핑"))</f>
        <v/>
      </c>
      <c r="X3831" s="9">
        <f>IF($A3831="","",$F3831&amp;"")</f>
        <v/>
      </c>
      <c r="Y3831" s="94">
        <f>IF($A3831="",0,IF(AE3831="직접",IF(AF3831="비귀속",$P3831,0),$P3831*(1-AG3831)*IFERROR(INDEX(계정대체기준!$F$20:$F$49,MATCH($N3831,계정대체기준!$A$20:$A$49,0)),1)))</f>
        <v/>
      </c>
      <c r="Z3831" s="94">
        <f>IF($A3831="",0,IF(AE3831="직접",IF(AF3831="신계약비",$P3831,0),$P3831*(1-AG3831)*IFERROR(INDEX(계정대체기준!$C$20:$C$49,MATCH($N3831,계정대체기준!$A$20:$A$49,0)),0)))</f>
        <v/>
      </c>
      <c r="AA3831" s="94">
        <f>IF($A3831="",0,IF(AE3831="직접",IF(OR(AF3831="유지비",AF3831="손해조사비"),$P3831,0),$P3831*(1-AG3831)*IFERROR(INDEX(계정대체기준!$D$20:$D$49,MATCH($N3831,계정대체기준!$A$20:$A$49,0)),0)))</f>
        <v/>
      </c>
      <c r="AB3831" s="94">
        <f>IF($A3831="",0,IF(AE3831="직접",IF(AF3831="수금비",$P3831,0),$P3831*(1-AG3831)*IFERROR(INDEX(계정대체기준!$E$20:$E$49,MATCH($N3831,계정대체기준!$A$20:$A$49,0)),0)))</f>
        <v/>
      </c>
      <c r="AC3831" s="9">
        <f>IF(AND($A3831&lt;&gt;"",M3831=설정!$C$20,Z3831&gt;0),Z3831+ROW()/1000000000,"")</f>
        <v/>
      </c>
      <c r="AD3831" s="94">
        <f>IF($A3831="",0,$P3831*AG3831)</f>
        <v/>
      </c>
      <c r="AE3831" s="64">
        <f>IF($A3831="","",IFERROR(INDEX(계정매핑!$E$5:$E$504,MATCH($F3831&amp;"",계정매핑!$A$5:$A$504,0))&amp;"","공통비"))</f>
        <v/>
      </c>
      <c r="AF3831" s="64">
        <f>IF($A3831="","",IF(AE3831="직접",IFERROR(INDEX(계정매핑!$F$5:$F$504,MATCH($F3831&amp;"",계정매핑!$A$5:$A$504,0))&amp;"","비귀속"),""))</f>
        <v/>
      </c>
      <c r="AG3831" s="96">
        <f>IF($A3831="",0,IF(AND(AE3831&lt;&gt;"직접",IFERROR(INDEX(계정매핑!$G$5:$G$504,MATCH($F3831&amp;"",계정매핑!$A$5:$A$504,0))&amp;"","")="유지비",COUNTIF(계정대체기준!$A$6:$A$15,$N3831)&gt;0),IFERROR(INDEX(계정대체기준!$E$6:$E$15,MATCH(VALUE($A3831&amp;""),계정대체기준!$D$6:$D$15,0)),0),0))</f>
        <v/>
      </c>
      <c r="AH3831" s="64">
        <f>IF($A3831="","",IF(AD3831=0,"",IF(OR(COUNTIF(계정대체기준!$A$77:$A$86,$N3831)&gt;0,ISNUMBER(MATCH($X3831,계정대체기준!$D$77:$D$86,0)),ISNUMBER(MATCH($F3831,계정대체기준!$D$77:$D$86,0))),"Y","N")))</f>
        <v/>
      </c>
    </row>
    <row r="3832">
      <c r="A3832" s="92" t="n">
        <v>2026</v>
      </c>
      <c r="B3832" s="92" t="n">
        <v>5</v>
      </c>
      <c r="C3832" s="92" t="inlineStr">
        <is>
          <t>5100001110</t>
        </is>
      </c>
      <c r="D3832" s="95" t="n">
        <v>46165</v>
      </c>
      <c r="E3832" s="92" t="inlineStr">
        <is>
          <t>KR</t>
        </is>
      </c>
      <c r="F3832" s="92" t="n">
        <v>62101000</v>
      </c>
      <c r="G3832" s="92" t="n">
        <v>1401</v>
      </c>
      <c r="H3832" s="93" t="n">
        <v>571000</v>
      </c>
      <c r="I3832" s="92" t="inlineStr">
        <is>
          <t>5월 국내출장 - M항공</t>
        </is>
      </c>
      <c r="J3832" s="92" t="inlineStr">
        <is>
          <t>V10001</t>
        </is>
      </c>
      <c r="K3832" s="92" t="inlineStr">
        <is>
          <t>M항공</t>
        </is>
      </c>
      <c r="M3832" s="9">
        <f>IF($A3832="","",VALUE($A3832&amp;"")*12+VALUE($B3832&amp;""))</f>
        <v/>
      </c>
      <c r="N3832" s="64">
        <f>IF($A3832="","",IFERROR(INDEX(부서매핑!$C$5:$C$504,MATCH($G3832&amp;"",부서매핑!$A$5:$A$504,0)),"미매핑"))</f>
        <v/>
      </c>
      <c r="O3832" s="9">
        <f>IF($A3832="","",N3832&amp;"|"&amp;$F3832)</f>
        <v/>
      </c>
      <c r="P3832" s="94">
        <f>IF($A3832="",0,$H3832*설정!$C$23)</f>
        <v/>
      </c>
      <c r="Q3832" s="64">
        <f>IF($A3832="","",IF(O3832&lt;&gt;원인분석!$C$9,"",IF(AND(M3832&gt;=원인분석!$C$10,M3832&lt;=원인분석!$C$11),"당기",IF(AND(M3832&gt;=원인분석!$C$12,M3832&lt;=원인분석!$C$13),"비교",""))))</f>
        <v/>
      </c>
      <c r="R3832" s="9">
        <f>IF(Q3832="","",$K3832&amp;"")</f>
        <v/>
      </c>
      <c r="S3832" s="9">
        <f>IF(Q3832="","",IF(MATCH(R3832,$R$5:$R$100000,0)=ROW()-4,ROW(),""))</f>
        <v/>
      </c>
      <c r="T3832" s="9">
        <f>IF(Q3832="당기",ABS(P3832)+ROW()/1000000000,"")</f>
        <v/>
      </c>
      <c r="U3832" s="9">
        <f>IF(Q3832="비교",ABS(P3832)+ROW()/1000000000,"")</f>
        <v/>
      </c>
      <c r="V3832" s="64">
        <f>IF($A3832="","",IF(COUNTIF(변동분석!$E$7:$E$506,O3832)&gt;0,"Y","N"))</f>
        <v/>
      </c>
      <c r="W3832" s="64">
        <f>IF($A3832="","",IFERROR(INDEX(계정매핑!$D$5:$D$504,MATCH($F3832&amp;"",계정매핑!$A$5:$A$504,0)),"미매핑"))</f>
        <v/>
      </c>
      <c r="X3832" s="9">
        <f>IF($A3832="","",$F3832&amp;"")</f>
        <v/>
      </c>
      <c r="Y3832" s="94">
        <f>IF($A3832="",0,IF(AE3832="직접",IF(AF3832="비귀속",$P3832,0),$P3832*(1-AG3832)*IFERROR(INDEX(계정대체기준!$F$20:$F$49,MATCH($N3832,계정대체기준!$A$20:$A$49,0)),1)))</f>
        <v/>
      </c>
      <c r="Z3832" s="94">
        <f>IF($A3832="",0,IF(AE3832="직접",IF(AF3832="신계약비",$P3832,0),$P3832*(1-AG3832)*IFERROR(INDEX(계정대체기준!$C$20:$C$49,MATCH($N3832,계정대체기준!$A$20:$A$49,0)),0)))</f>
        <v/>
      </c>
      <c r="AA3832" s="94">
        <f>IF($A3832="",0,IF(AE3832="직접",IF(OR(AF3832="유지비",AF3832="손해조사비"),$P3832,0),$P3832*(1-AG3832)*IFERROR(INDEX(계정대체기준!$D$20:$D$49,MATCH($N3832,계정대체기준!$A$20:$A$49,0)),0)))</f>
        <v/>
      </c>
      <c r="AB3832" s="94">
        <f>IF($A3832="",0,IF(AE3832="직접",IF(AF3832="수금비",$P3832,0),$P3832*(1-AG3832)*IFERROR(INDEX(계정대체기준!$E$20:$E$49,MATCH($N3832,계정대체기준!$A$20:$A$49,0)),0)))</f>
        <v/>
      </c>
      <c r="AC3832" s="9">
        <f>IF(AND($A3832&lt;&gt;"",M3832=설정!$C$20,Z3832&gt;0),Z3832+ROW()/1000000000,"")</f>
        <v/>
      </c>
      <c r="AD3832" s="94">
        <f>IF($A3832="",0,$P3832*AG3832)</f>
        <v/>
      </c>
      <c r="AE3832" s="64">
        <f>IF($A3832="","",IFERROR(INDEX(계정매핑!$E$5:$E$504,MATCH($F3832&amp;"",계정매핑!$A$5:$A$504,0))&amp;"","공통비"))</f>
        <v/>
      </c>
      <c r="AF3832" s="64">
        <f>IF($A3832="","",IF(AE3832="직접",IFERROR(INDEX(계정매핑!$F$5:$F$504,MATCH($F3832&amp;"",계정매핑!$A$5:$A$504,0))&amp;"","비귀속"),""))</f>
        <v/>
      </c>
      <c r="AG3832" s="96">
        <f>IF($A3832="",0,IF(AND(AE3832&lt;&gt;"직접",IFERROR(INDEX(계정매핑!$G$5:$G$504,MATCH($F3832&amp;"",계정매핑!$A$5:$A$504,0))&amp;"","")="유지비",COUNTIF(계정대체기준!$A$6:$A$15,$N3832)&gt;0),IFERROR(INDEX(계정대체기준!$E$6:$E$15,MATCH(VALUE($A3832&amp;""),계정대체기준!$D$6:$D$15,0)),0),0))</f>
        <v/>
      </c>
      <c r="AH3832" s="64">
        <f>IF($A3832="","",IF(AD3832=0,"",IF(OR(COUNTIF(계정대체기준!$A$77:$A$86,$N3832)&gt;0,ISNUMBER(MATCH($X3832,계정대체기준!$D$77:$D$86,0)),ISNUMBER(MATCH($F3832,계정대체기준!$D$77:$D$86,0))),"Y","N")))</f>
        <v/>
      </c>
    </row>
    <row r="3833">
      <c r="A3833" s="92" t="n">
        <v>2026</v>
      </c>
      <c r="B3833" s="92" t="n">
        <v>5</v>
      </c>
      <c r="C3833" s="92" t="inlineStr">
        <is>
          <t>5100001111</t>
        </is>
      </c>
      <c r="D3833" s="95" t="n">
        <v>46165</v>
      </c>
      <c r="E3833" s="92" t="inlineStr">
        <is>
          <t>KR</t>
        </is>
      </c>
      <c r="F3833" s="92" t="n">
        <v>62101000</v>
      </c>
      <c r="G3833" s="92" t="n">
        <v>1801</v>
      </c>
      <c r="H3833" s="93" t="n">
        <v>163000</v>
      </c>
      <c r="I3833" s="92" t="inlineStr">
        <is>
          <t>5월 국내출장 - L여행사</t>
        </is>
      </c>
      <c r="J3833" s="92" t="inlineStr">
        <is>
          <t>V10018</t>
        </is>
      </c>
      <c r="K3833" s="92" t="inlineStr">
        <is>
          <t>L여행사</t>
        </is>
      </c>
      <c r="M3833" s="9">
        <f>IF($A3833="","",VALUE($A3833&amp;"")*12+VALUE($B3833&amp;""))</f>
        <v/>
      </c>
      <c r="N3833" s="64">
        <f>IF($A3833="","",IFERROR(INDEX(부서매핑!$C$5:$C$504,MATCH($G3833&amp;"",부서매핑!$A$5:$A$504,0)),"미매핑"))</f>
        <v/>
      </c>
      <c r="O3833" s="9">
        <f>IF($A3833="","",N3833&amp;"|"&amp;$F3833)</f>
        <v/>
      </c>
      <c r="P3833" s="94">
        <f>IF($A3833="",0,$H3833*설정!$C$23)</f>
        <v/>
      </c>
      <c r="Q3833" s="64">
        <f>IF($A3833="","",IF(O3833&lt;&gt;원인분석!$C$9,"",IF(AND(M3833&gt;=원인분석!$C$10,M3833&lt;=원인분석!$C$11),"당기",IF(AND(M3833&gt;=원인분석!$C$12,M3833&lt;=원인분석!$C$13),"비교",""))))</f>
        <v/>
      </c>
      <c r="R3833" s="9">
        <f>IF(Q3833="","",$K3833&amp;"")</f>
        <v/>
      </c>
      <c r="S3833" s="9">
        <f>IF(Q3833="","",IF(MATCH(R3833,$R$5:$R$100000,0)=ROW()-4,ROW(),""))</f>
        <v/>
      </c>
      <c r="T3833" s="9">
        <f>IF(Q3833="당기",ABS(P3833)+ROW()/1000000000,"")</f>
        <v/>
      </c>
      <c r="U3833" s="9">
        <f>IF(Q3833="비교",ABS(P3833)+ROW()/1000000000,"")</f>
        <v/>
      </c>
      <c r="V3833" s="64">
        <f>IF($A3833="","",IF(COUNTIF(변동분석!$E$7:$E$506,O3833)&gt;0,"Y","N"))</f>
        <v/>
      </c>
      <c r="W3833" s="64">
        <f>IF($A3833="","",IFERROR(INDEX(계정매핑!$D$5:$D$504,MATCH($F3833&amp;"",계정매핑!$A$5:$A$504,0)),"미매핑"))</f>
        <v/>
      </c>
      <c r="X3833" s="9">
        <f>IF($A3833="","",$F3833&amp;"")</f>
        <v/>
      </c>
      <c r="Y3833" s="94">
        <f>IF($A3833="",0,IF(AE3833="직접",IF(AF3833="비귀속",$P3833,0),$P3833*(1-AG3833)*IFERROR(INDEX(계정대체기준!$F$20:$F$49,MATCH($N3833,계정대체기준!$A$20:$A$49,0)),1)))</f>
        <v/>
      </c>
      <c r="Z3833" s="94">
        <f>IF($A3833="",0,IF(AE3833="직접",IF(AF3833="신계약비",$P3833,0),$P3833*(1-AG3833)*IFERROR(INDEX(계정대체기준!$C$20:$C$49,MATCH($N3833,계정대체기준!$A$20:$A$49,0)),0)))</f>
        <v/>
      </c>
      <c r="AA3833" s="94">
        <f>IF($A3833="",0,IF(AE3833="직접",IF(OR(AF3833="유지비",AF3833="손해조사비"),$P3833,0),$P3833*(1-AG3833)*IFERROR(INDEX(계정대체기준!$D$20:$D$49,MATCH($N3833,계정대체기준!$A$20:$A$49,0)),0)))</f>
        <v/>
      </c>
      <c r="AB3833" s="94">
        <f>IF($A3833="",0,IF(AE3833="직접",IF(AF3833="수금비",$P3833,0),$P3833*(1-AG3833)*IFERROR(INDEX(계정대체기준!$E$20:$E$49,MATCH($N3833,계정대체기준!$A$20:$A$49,0)),0)))</f>
        <v/>
      </c>
      <c r="AC3833" s="9">
        <f>IF(AND($A3833&lt;&gt;"",M3833=설정!$C$20,Z3833&gt;0),Z3833+ROW()/1000000000,"")</f>
        <v/>
      </c>
      <c r="AD3833" s="94">
        <f>IF($A3833="",0,$P3833*AG3833)</f>
        <v/>
      </c>
      <c r="AE3833" s="64">
        <f>IF($A3833="","",IFERROR(INDEX(계정매핑!$E$5:$E$504,MATCH($F3833&amp;"",계정매핑!$A$5:$A$504,0))&amp;"","공통비"))</f>
        <v/>
      </c>
      <c r="AF3833" s="64">
        <f>IF($A3833="","",IF(AE3833="직접",IFERROR(INDEX(계정매핑!$F$5:$F$504,MATCH($F3833&amp;"",계정매핑!$A$5:$A$504,0))&amp;"","비귀속"),""))</f>
        <v/>
      </c>
      <c r="AG3833" s="96">
        <f>IF($A3833="",0,IF(AND(AE3833&lt;&gt;"직접",IFERROR(INDEX(계정매핑!$G$5:$G$504,MATCH($F3833&amp;"",계정매핑!$A$5:$A$504,0))&amp;"","")="유지비",COUNTIF(계정대체기준!$A$6:$A$15,$N3833)&gt;0),IFERROR(INDEX(계정대체기준!$E$6:$E$15,MATCH(VALUE($A3833&amp;""),계정대체기준!$D$6:$D$15,0)),0),0))</f>
        <v/>
      </c>
      <c r="AH3833" s="64">
        <f>IF($A3833="","",IF(AD3833=0,"",IF(OR(COUNTIF(계정대체기준!$A$77:$A$86,$N3833)&gt;0,ISNUMBER(MATCH($X3833,계정대체기준!$D$77:$D$86,0)),ISNUMBER(MATCH($F3833,계정대체기준!$D$77:$D$86,0))),"Y","N")))</f>
        <v/>
      </c>
    </row>
    <row r="3834">
      <c r="A3834" s="92" t="n">
        <v>2026</v>
      </c>
      <c r="B3834" s="92" t="n">
        <v>5</v>
      </c>
      <c r="C3834" s="92" t="inlineStr">
        <is>
          <t>5100001112</t>
        </is>
      </c>
      <c r="D3834" s="95" t="n">
        <v>46165</v>
      </c>
      <c r="E3834" s="92" t="inlineStr">
        <is>
          <t>KR</t>
        </is>
      </c>
      <c r="F3834" s="92" t="n">
        <v>62102000</v>
      </c>
      <c r="G3834" s="92" t="n">
        <v>1701</v>
      </c>
      <c r="H3834" s="93" t="n">
        <v>68000</v>
      </c>
      <c r="I3834" s="92" t="inlineStr">
        <is>
          <t>5월 해외출장 - M항공</t>
        </is>
      </c>
      <c r="J3834" s="92" t="inlineStr">
        <is>
          <t>V10001</t>
        </is>
      </c>
      <c r="K3834" s="92" t="inlineStr">
        <is>
          <t>M항공</t>
        </is>
      </c>
      <c r="M3834" s="9">
        <f>IF($A3834="","",VALUE($A3834&amp;"")*12+VALUE($B3834&amp;""))</f>
        <v/>
      </c>
      <c r="N3834" s="64">
        <f>IF($A3834="","",IFERROR(INDEX(부서매핑!$C$5:$C$504,MATCH($G3834&amp;"",부서매핑!$A$5:$A$504,0)),"미매핑"))</f>
        <v/>
      </c>
      <c r="O3834" s="9">
        <f>IF($A3834="","",N3834&amp;"|"&amp;$F3834)</f>
        <v/>
      </c>
      <c r="P3834" s="94">
        <f>IF($A3834="",0,$H3834*설정!$C$23)</f>
        <v/>
      </c>
      <c r="Q3834" s="64">
        <f>IF($A3834="","",IF(O3834&lt;&gt;원인분석!$C$9,"",IF(AND(M3834&gt;=원인분석!$C$10,M3834&lt;=원인분석!$C$11),"당기",IF(AND(M3834&gt;=원인분석!$C$12,M3834&lt;=원인분석!$C$13),"비교",""))))</f>
        <v/>
      </c>
      <c r="R3834" s="9">
        <f>IF(Q3834="","",$K3834&amp;"")</f>
        <v/>
      </c>
      <c r="S3834" s="9">
        <f>IF(Q3834="","",IF(MATCH(R3834,$R$5:$R$100000,0)=ROW()-4,ROW(),""))</f>
        <v/>
      </c>
      <c r="T3834" s="9">
        <f>IF(Q3834="당기",ABS(P3834)+ROW()/1000000000,"")</f>
        <v/>
      </c>
      <c r="U3834" s="9">
        <f>IF(Q3834="비교",ABS(P3834)+ROW()/1000000000,"")</f>
        <v/>
      </c>
      <c r="V3834" s="64">
        <f>IF($A3834="","",IF(COUNTIF(변동분석!$E$7:$E$506,O3834)&gt;0,"Y","N"))</f>
        <v/>
      </c>
      <c r="W3834" s="64">
        <f>IF($A3834="","",IFERROR(INDEX(계정매핑!$D$5:$D$504,MATCH($F3834&amp;"",계정매핑!$A$5:$A$504,0)),"미매핑"))</f>
        <v/>
      </c>
      <c r="X3834" s="9">
        <f>IF($A3834="","",$F3834&amp;"")</f>
        <v/>
      </c>
      <c r="Y3834" s="94">
        <f>IF($A3834="",0,IF(AE3834="직접",IF(AF3834="비귀속",$P3834,0),$P3834*(1-AG3834)*IFERROR(INDEX(계정대체기준!$F$20:$F$49,MATCH($N3834,계정대체기준!$A$20:$A$49,0)),1)))</f>
        <v/>
      </c>
      <c r="Z3834" s="94">
        <f>IF($A3834="",0,IF(AE3834="직접",IF(AF3834="신계약비",$P3834,0),$P3834*(1-AG3834)*IFERROR(INDEX(계정대체기준!$C$20:$C$49,MATCH($N3834,계정대체기준!$A$20:$A$49,0)),0)))</f>
        <v/>
      </c>
      <c r="AA3834" s="94">
        <f>IF($A3834="",0,IF(AE3834="직접",IF(OR(AF3834="유지비",AF3834="손해조사비"),$P3834,0),$P3834*(1-AG3834)*IFERROR(INDEX(계정대체기준!$D$20:$D$49,MATCH($N3834,계정대체기준!$A$20:$A$49,0)),0)))</f>
        <v/>
      </c>
      <c r="AB3834" s="94">
        <f>IF($A3834="",0,IF(AE3834="직접",IF(AF3834="수금비",$P3834,0),$P3834*(1-AG3834)*IFERROR(INDEX(계정대체기준!$E$20:$E$49,MATCH($N3834,계정대체기준!$A$20:$A$49,0)),0)))</f>
        <v/>
      </c>
      <c r="AC3834" s="9">
        <f>IF(AND($A3834&lt;&gt;"",M3834=설정!$C$20,Z3834&gt;0),Z3834+ROW()/1000000000,"")</f>
        <v/>
      </c>
      <c r="AD3834" s="94">
        <f>IF($A3834="",0,$P3834*AG3834)</f>
        <v/>
      </c>
      <c r="AE3834" s="64">
        <f>IF($A3834="","",IFERROR(INDEX(계정매핑!$E$5:$E$504,MATCH($F3834&amp;"",계정매핑!$A$5:$A$504,0))&amp;"","공통비"))</f>
        <v/>
      </c>
      <c r="AF3834" s="64">
        <f>IF($A3834="","",IF(AE3834="직접",IFERROR(INDEX(계정매핑!$F$5:$F$504,MATCH($F3834&amp;"",계정매핑!$A$5:$A$504,0))&amp;"","비귀속"),""))</f>
        <v/>
      </c>
      <c r="AG3834" s="96">
        <f>IF($A3834="",0,IF(AND(AE3834&lt;&gt;"직접",IFERROR(INDEX(계정매핑!$G$5:$G$504,MATCH($F3834&amp;"",계정매핑!$A$5:$A$504,0))&amp;"","")="유지비",COUNTIF(계정대체기준!$A$6:$A$15,$N3834)&gt;0),IFERROR(INDEX(계정대체기준!$E$6:$E$15,MATCH(VALUE($A3834&amp;""),계정대체기준!$D$6:$D$15,0)),0),0))</f>
        <v/>
      </c>
      <c r="AH3834" s="64">
        <f>IF($A3834="","",IF(AD3834=0,"",IF(OR(COUNTIF(계정대체기준!$A$77:$A$86,$N3834)&gt;0,ISNUMBER(MATCH($X3834,계정대체기준!$D$77:$D$86,0)),ISNUMBER(MATCH($F3834,계정대체기준!$D$77:$D$86,0))),"Y","N")))</f>
        <v/>
      </c>
    </row>
    <row r="3835">
      <c r="A3835" s="92" t="n">
        <v>2026</v>
      </c>
      <c r="B3835" s="92" t="n">
        <v>5</v>
      </c>
      <c r="C3835" s="92" t="inlineStr">
        <is>
          <t>5100001113</t>
        </is>
      </c>
      <c r="D3835" s="95" t="n">
        <v>46165</v>
      </c>
      <c r="E3835" s="92" t="inlineStr">
        <is>
          <t>KR</t>
        </is>
      </c>
      <c r="F3835" s="92" t="n">
        <v>62102000</v>
      </c>
      <c r="G3835" s="92" t="n">
        <v>1701</v>
      </c>
      <c r="H3835" s="93" t="n">
        <v>83000</v>
      </c>
      <c r="I3835" s="92" t="inlineStr">
        <is>
          <t>5월 해외출장 - N호텔</t>
        </is>
      </c>
      <c r="J3835" s="92" t="inlineStr">
        <is>
          <t>V10009</t>
        </is>
      </c>
      <c r="K3835" s="92" t="inlineStr">
        <is>
          <t>N호텔</t>
        </is>
      </c>
      <c r="M3835" s="9">
        <f>IF($A3835="","",VALUE($A3835&amp;"")*12+VALUE($B3835&amp;""))</f>
        <v/>
      </c>
      <c r="N3835" s="64">
        <f>IF($A3835="","",IFERROR(INDEX(부서매핑!$C$5:$C$504,MATCH($G3835&amp;"",부서매핑!$A$5:$A$504,0)),"미매핑"))</f>
        <v/>
      </c>
      <c r="O3835" s="9">
        <f>IF($A3835="","",N3835&amp;"|"&amp;$F3835)</f>
        <v/>
      </c>
      <c r="P3835" s="94">
        <f>IF($A3835="",0,$H3835*설정!$C$23)</f>
        <v/>
      </c>
      <c r="Q3835" s="64">
        <f>IF($A3835="","",IF(O3835&lt;&gt;원인분석!$C$9,"",IF(AND(M3835&gt;=원인분석!$C$10,M3835&lt;=원인분석!$C$11),"당기",IF(AND(M3835&gt;=원인분석!$C$12,M3835&lt;=원인분석!$C$13),"비교",""))))</f>
        <v/>
      </c>
      <c r="R3835" s="9">
        <f>IF(Q3835="","",$K3835&amp;"")</f>
        <v/>
      </c>
      <c r="S3835" s="9">
        <f>IF(Q3835="","",IF(MATCH(R3835,$R$5:$R$100000,0)=ROW()-4,ROW(),""))</f>
        <v/>
      </c>
      <c r="T3835" s="9">
        <f>IF(Q3835="당기",ABS(P3835)+ROW()/1000000000,"")</f>
        <v/>
      </c>
      <c r="U3835" s="9">
        <f>IF(Q3835="비교",ABS(P3835)+ROW()/1000000000,"")</f>
        <v/>
      </c>
      <c r="V3835" s="64">
        <f>IF($A3835="","",IF(COUNTIF(변동분석!$E$7:$E$506,O3835)&gt;0,"Y","N"))</f>
        <v/>
      </c>
      <c r="W3835" s="64">
        <f>IF($A3835="","",IFERROR(INDEX(계정매핑!$D$5:$D$504,MATCH($F3835&amp;"",계정매핑!$A$5:$A$504,0)),"미매핑"))</f>
        <v/>
      </c>
      <c r="X3835" s="9">
        <f>IF($A3835="","",$F3835&amp;"")</f>
        <v/>
      </c>
      <c r="Y3835" s="94">
        <f>IF($A3835="",0,IF(AE3835="직접",IF(AF3835="비귀속",$P3835,0),$P3835*(1-AG3835)*IFERROR(INDEX(계정대체기준!$F$20:$F$49,MATCH($N3835,계정대체기준!$A$20:$A$49,0)),1)))</f>
        <v/>
      </c>
      <c r="Z3835" s="94">
        <f>IF($A3835="",0,IF(AE3835="직접",IF(AF3835="신계약비",$P3835,0),$P3835*(1-AG3835)*IFERROR(INDEX(계정대체기준!$C$20:$C$49,MATCH($N3835,계정대체기준!$A$20:$A$49,0)),0)))</f>
        <v/>
      </c>
      <c r="AA3835" s="94">
        <f>IF($A3835="",0,IF(AE3835="직접",IF(OR(AF3835="유지비",AF3835="손해조사비"),$P3835,0),$P3835*(1-AG3835)*IFERROR(INDEX(계정대체기준!$D$20:$D$49,MATCH($N3835,계정대체기준!$A$20:$A$49,0)),0)))</f>
        <v/>
      </c>
      <c r="AB3835" s="94">
        <f>IF($A3835="",0,IF(AE3835="직접",IF(AF3835="수금비",$P3835,0),$P3835*(1-AG3835)*IFERROR(INDEX(계정대체기준!$E$20:$E$49,MATCH($N3835,계정대체기준!$A$20:$A$49,0)),0)))</f>
        <v/>
      </c>
      <c r="AC3835" s="9">
        <f>IF(AND($A3835&lt;&gt;"",M3835=설정!$C$20,Z3835&gt;0),Z3835+ROW()/1000000000,"")</f>
        <v/>
      </c>
      <c r="AD3835" s="94">
        <f>IF($A3835="",0,$P3835*AG3835)</f>
        <v/>
      </c>
      <c r="AE3835" s="64">
        <f>IF($A3835="","",IFERROR(INDEX(계정매핑!$E$5:$E$504,MATCH($F3835&amp;"",계정매핑!$A$5:$A$504,0))&amp;"","공통비"))</f>
        <v/>
      </c>
      <c r="AF3835" s="64">
        <f>IF($A3835="","",IF(AE3835="직접",IFERROR(INDEX(계정매핑!$F$5:$F$504,MATCH($F3835&amp;"",계정매핑!$A$5:$A$504,0))&amp;"","비귀속"),""))</f>
        <v/>
      </c>
      <c r="AG3835" s="96">
        <f>IF($A3835="",0,IF(AND(AE3835&lt;&gt;"직접",IFERROR(INDEX(계정매핑!$G$5:$G$504,MATCH($F3835&amp;"",계정매핑!$A$5:$A$504,0))&amp;"","")="유지비",COUNTIF(계정대체기준!$A$6:$A$15,$N3835)&gt;0),IFERROR(INDEX(계정대체기준!$E$6:$E$15,MATCH(VALUE($A3835&amp;""),계정대체기준!$D$6:$D$15,0)),0),0))</f>
        <v/>
      </c>
      <c r="AH3835" s="64">
        <f>IF($A3835="","",IF(AD3835=0,"",IF(OR(COUNTIF(계정대체기준!$A$77:$A$86,$N3835)&gt;0,ISNUMBER(MATCH($X3835,계정대체기준!$D$77:$D$86,0)),ISNUMBER(MATCH($F3835,계정대체기준!$D$77:$D$86,0))),"Y","N")))</f>
        <v/>
      </c>
    </row>
    <row r="3836">
      <c r="A3836" s="92" t="n">
        <v>2026</v>
      </c>
      <c r="B3836" s="92" t="n">
        <v>5</v>
      </c>
      <c r="C3836" s="92" t="inlineStr">
        <is>
          <t>5100001114</t>
        </is>
      </c>
      <c r="D3836" s="95" t="n">
        <v>46165</v>
      </c>
      <c r="E3836" s="92" t="inlineStr">
        <is>
          <t>KR</t>
        </is>
      </c>
      <c r="F3836" s="92" t="n">
        <v>62102000</v>
      </c>
      <c r="G3836" s="92" t="n">
        <v>1801</v>
      </c>
      <c r="H3836" s="93" t="n">
        <v>33000</v>
      </c>
      <c r="I3836" s="92" t="inlineStr">
        <is>
          <t>5월 해외출장 - M항공</t>
        </is>
      </c>
      <c r="J3836" s="92" t="inlineStr">
        <is>
          <t>V10001</t>
        </is>
      </c>
      <c r="K3836" s="92" t="inlineStr">
        <is>
          <t>M항공</t>
        </is>
      </c>
      <c r="M3836" s="9">
        <f>IF($A3836="","",VALUE($A3836&amp;"")*12+VALUE($B3836&amp;""))</f>
        <v/>
      </c>
      <c r="N3836" s="64">
        <f>IF($A3836="","",IFERROR(INDEX(부서매핑!$C$5:$C$504,MATCH($G3836&amp;"",부서매핑!$A$5:$A$504,0)),"미매핑"))</f>
        <v/>
      </c>
      <c r="O3836" s="9">
        <f>IF($A3836="","",N3836&amp;"|"&amp;$F3836)</f>
        <v/>
      </c>
      <c r="P3836" s="94">
        <f>IF($A3836="",0,$H3836*설정!$C$23)</f>
        <v/>
      </c>
      <c r="Q3836" s="64">
        <f>IF($A3836="","",IF(O3836&lt;&gt;원인분석!$C$9,"",IF(AND(M3836&gt;=원인분석!$C$10,M3836&lt;=원인분석!$C$11),"당기",IF(AND(M3836&gt;=원인분석!$C$12,M3836&lt;=원인분석!$C$13),"비교",""))))</f>
        <v/>
      </c>
      <c r="R3836" s="9">
        <f>IF(Q3836="","",$K3836&amp;"")</f>
        <v/>
      </c>
      <c r="S3836" s="9">
        <f>IF(Q3836="","",IF(MATCH(R3836,$R$5:$R$100000,0)=ROW()-4,ROW(),""))</f>
        <v/>
      </c>
      <c r="T3836" s="9">
        <f>IF(Q3836="당기",ABS(P3836)+ROW()/1000000000,"")</f>
        <v/>
      </c>
      <c r="U3836" s="9">
        <f>IF(Q3836="비교",ABS(P3836)+ROW()/1000000000,"")</f>
        <v/>
      </c>
      <c r="V3836" s="64">
        <f>IF($A3836="","",IF(COUNTIF(변동분석!$E$7:$E$506,O3836)&gt;0,"Y","N"))</f>
        <v/>
      </c>
      <c r="W3836" s="64">
        <f>IF($A3836="","",IFERROR(INDEX(계정매핑!$D$5:$D$504,MATCH($F3836&amp;"",계정매핑!$A$5:$A$504,0)),"미매핑"))</f>
        <v/>
      </c>
      <c r="X3836" s="9">
        <f>IF($A3836="","",$F3836&amp;"")</f>
        <v/>
      </c>
      <c r="Y3836" s="94">
        <f>IF($A3836="",0,IF(AE3836="직접",IF(AF3836="비귀속",$P3836,0),$P3836*(1-AG3836)*IFERROR(INDEX(계정대체기준!$F$20:$F$49,MATCH($N3836,계정대체기준!$A$20:$A$49,0)),1)))</f>
        <v/>
      </c>
      <c r="Z3836" s="94">
        <f>IF($A3836="",0,IF(AE3836="직접",IF(AF3836="신계약비",$P3836,0),$P3836*(1-AG3836)*IFERROR(INDEX(계정대체기준!$C$20:$C$49,MATCH($N3836,계정대체기준!$A$20:$A$49,0)),0)))</f>
        <v/>
      </c>
      <c r="AA3836" s="94">
        <f>IF($A3836="",0,IF(AE3836="직접",IF(OR(AF3836="유지비",AF3836="손해조사비"),$P3836,0),$P3836*(1-AG3836)*IFERROR(INDEX(계정대체기준!$D$20:$D$49,MATCH($N3836,계정대체기준!$A$20:$A$49,0)),0)))</f>
        <v/>
      </c>
      <c r="AB3836" s="94">
        <f>IF($A3836="",0,IF(AE3836="직접",IF(AF3836="수금비",$P3836,0),$P3836*(1-AG3836)*IFERROR(INDEX(계정대체기준!$E$20:$E$49,MATCH($N3836,계정대체기준!$A$20:$A$49,0)),0)))</f>
        <v/>
      </c>
      <c r="AC3836" s="9">
        <f>IF(AND($A3836&lt;&gt;"",M3836=설정!$C$20,Z3836&gt;0),Z3836+ROW()/1000000000,"")</f>
        <v/>
      </c>
      <c r="AD3836" s="94">
        <f>IF($A3836="",0,$P3836*AG3836)</f>
        <v/>
      </c>
      <c r="AE3836" s="64">
        <f>IF($A3836="","",IFERROR(INDEX(계정매핑!$E$5:$E$504,MATCH($F3836&amp;"",계정매핑!$A$5:$A$504,0))&amp;"","공통비"))</f>
        <v/>
      </c>
      <c r="AF3836" s="64">
        <f>IF($A3836="","",IF(AE3836="직접",IFERROR(INDEX(계정매핑!$F$5:$F$504,MATCH($F3836&amp;"",계정매핑!$A$5:$A$504,0))&amp;"","비귀속"),""))</f>
        <v/>
      </c>
      <c r="AG3836" s="96">
        <f>IF($A3836="",0,IF(AND(AE3836&lt;&gt;"직접",IFERROR(INDEX(계정매핑!$G$5:$G$504,MATCH($F3836&amp;"",계정매핑!$A$5:$A$504,0))&amp;"","")="유지비",COUNTIF(계정대체기준!$A$6:$A$15,$N3836)&gt;0),IFERROR(INDEX(계정대체기준!$E$6:$E$15,MATCH(VALUE($A3836&amp;""),계정대체기준!$D$6:$D$15,0)),0),0))</f>
        <v/>
      </c>
      <c r="AH3836" s="64">
        <f>IF($A3836="","",IF(AD3836=0,"",IF(OR(COUNTIF(계정대체기준!$A$77:$A$86,$N3836)&gt;0,ISNUMBER(MATCH($X3836,계정대체기준!$D$77:$D$86,0)),ISNUMBER(MATCH($F3836,계정대체기준!$D$77:$D$86,0))),"Y","N")))</f>
        <v/>
      </c>
    </row>
    <row r="3837">
      <c r="A3837" s="92" t="n">
        <v>2026</v>
      </c>
      <c r="B3837" s="92" t="n">
        <v>5</v>
      </c>
      <c r="C3837" s="92" t="inlineStr">
        <is>
          <t>5100001115</t>
        </is>
      </c>
      <c r="D3837" s="95" t="n">
        <v>46165</v>
      </c>
      <c r="E3837" s="92" t="inlineStr">
        <is>
          <t>KR</t>
        </is>
      </c>
      <c r="F3837" s="92" t="n">
        <v>62401000</v>
      </c>
      <c r="G3837" s="92" t="n">
        <v>1502</v>
      </c>
      <c r="H3837" s="93" t="n">
        <v>1188000</v>
      </c>
      <c r="I3837" s="92" t="inlineStr">
        <is>
          <t>5월 인쇄물 제작 - S출판</t>
        </is>
      </c>
      <c r="J3837" s="92" t="inlineStr">
        <is>
          <t>V10015</t>
        </is>
      </c>
      <c r="K3837" s="92" t="inlineStr">
        <is>
          <t>S출판</t>
        </is>
      </c>
      <c r="M3837" s="9">
        <f>IF($A3837="","",VALUE($A3837&amp;"")*12+VALUE($B3837&amp;""))</f>
        <v/>
      </c>
      <c r="N3837" s="64">
        <f>IF($A3837="","",IFERROR(INDEX(부서매핑!$C$5:$C$504,MATCH($G3837&amp;"",부서매핑!$A$5:$A$504,0)),"미매핑"))</f>
        <v/>
      </c>
      <c r="O3837" s="9">
        <f>IF($A3837="","",N3837&amp;"|"&amp;$F3837)</f>
        <v/>
      </c>
      <c r="P3837" s="94">
        <f>IF($A3837="",0,$H3837*설정!$C$23)</f>
        <v/>
      </c>
      <c r="Q3837" s="64">
        <f>IF($A3837="","",IF(O3837&lt;&gt;원인분석!$C$9,"",IF(AND(M3837&gt;=원인분석!$C$10,M3837&lt;=원인분석!$C$11),"당기",IF(AND(M3837&gt;=원인분석!$C$12,M3837&lt;=원인분석!$C$13),"비교",""))))</f>
        <v/>
      </c>
      <c r="R3837" s="9">
        <f>IF(Q3837="","",$K3837&amp;"")</f>
        <v/>
      </c>
      <c r="S3837" s="9">
        <f>IF(Q3837="","",IF(MATCH(R3837,$R$5:$R$100000,0)=ROW()-4,ROW(),""))</f>
        <v/>
      </c>
      <c r="T3837" s="9">
        <f>IF(Q3837="당기",ABS(P3837)+ROW()/1000000000,"")</f>
        <v/>
      </c>
      <c r="U3837" s="9">
        <f>IF(Q3837="비교",ABS(P3837)+ROW()/1000000000,"")</f>
        <v/>
      </c>
      <c r="V3837" s="64">
        <f>IF($A3837="","",IF(COUNTIF(변동분석!$E$7:$E$506,O3837)&gt;0,"Y","N"))</f>
        <v/>
      </c>
      <c r="W3837" s="64">
        <f>IF($A3837="","",IFERROR(INDEX(계정매핑!$D$5:$D$504,MATCH($F3837&amp;"",계정매핑!$A$5:$A$504,0)),"미매핑"))</f>
        <v/>
      </c>
      <c r="X3837" s="9">
        <f>IF($A3837="","",$F3837&amp;"")</f>
        <v/>
      </c>
      <c r="Y3837" s="94">
        <f>IF($A3837="",0,IF(AE3837="직접",IF(AF3837="비귀속",$P3837,0),$P3837*(1-AG3837)*IFERROR(INDEX(계정대체기준!$F$20:$F$49,MATCH($N3837,계정대체기준!$A$20:$A$49,0)),1)))</f>
        <v/>
      </c>
      <c r="Z3837" s="94">
        <f>IF($A3837="",0,IF(AE3837="직접",IF(AF3837="신계약비",$P3837,0),$P3837*(1-AG3837)*IFERROR(INDEX(계정대체기준!$C$20:$C$49,MATCH($N3837,계정대체기준!$A$20:$A$49,0)),0)))</f>
        <v/>
      </c>
      <c r="AA3837" s="94">
        <f>IF($A3837="",0,IF(AE3837="직접",IF(OR(AF3837="유지비",AF3837="손해조사비"),$P3837,0),$P3837*(1-AG3837)*IFERROR(INDEX(계정대체기준!$D$20:$D$49,MATCH($N3837,계정대체기준!$A$20:$A$49,0)),0)))</f>
        <v/>
      </c>
      <c r="AB3837" s="94">
        <f>IF($A3837="",0,IF(AE3837="직접",IF(AF3837="수금비",$P3837,0),$P3837*(1-AG3837)*IFERROR(INDEX(계정대체기준!$E$20:$E$49,MATCH($N3837,계정대체기준!$A$20:$A$49,0)),0)))</f>
        <v/>
      </c>
      <c r="AC3837" s="9">
        <f>IF(AND($A3837&lt;&gt;"",M3837=설정!$C$20,Z3837&gt;0),Z3837+ROW()/1000000000,"")</f>
        <v/>
      </c>
      <c r="AD3837" s="94">
        <f>IF($A3837="",0,$P3837*AG3837)</f>
        <v/>
      </c>
      <c r="AE3837" s="64">
        <f>IF($A3837="","",IFERROR(INDEX(계정매핑!$E$5:$E$504,MATCH($F3837&amp;"",계정매핑!$A$5:$A$504,0))&amp;"","공통비"))</f>
        <v/>
      </c>
      <c r="AF3837" s="64">
        <f>IF($A3837="","",IF(AE3837="직접",IFERROR(INDEX(계정매핑!$F$5:$F$504,MATCH($F3837&amp;"",계정매핑!$A$5:$A$504,0))&amp;"","비귀속"),""))</f>
        <v/>
      </c>
      <c r="AG3837" s="96">
        <f>IF($A3837="",0,IF(AND(AE3837&lt;&gt;"직접",IFERROR(INDEX(계정매핑!$G$5:$G$504,MATCH($F3837&amp;"",계정매핑!$A$5:$A$504,0))&amp;"","")="유지비",COUNTIF(계정대체기준!$A$6:$A$15,$N3837)&gt;0),IFERROR(INDEX(계정대체기준!$E$6:$E$15,MATCH(VALUE($A3837&amp;""),계정대체기준!$D$6:$D$15,0)),0),0))</f>
        <v/>
      </c>
      <c r="AH3837" s="64">
        <f>IF($A3837="","",IF(AD3837=0,"",IF(OR(COUNTIF(계정대체기준!$A$77:$A$86,$N3837)&gt;0,ISNUMBER(MATCH($X3837,계정대체기준!$D$77:$D$86,0)),ISNUMBER(MATCH($F3837,계정대체기준!$D$77:$D$86,0))),"Y","N")))</f>
        <v/>
      </c>
    </row>
    <row r="3838">
      <c r="A3838" s="92" t="n">
        <v>2026</v>
      </c>
      <c r="B3838" s="92" t="n">
        <v>5</v>
      </c>
      <c r="C3838" s="92" t="inlineStr">
        <is>
          <t>5100001116</t>
        </is>
      </c>
      <c r="D3838" s="95" t="n">
        <v>46165</v>
      </c>
      <c r="E3838" s="92" t="inlineStr">
        <is>
          <t>KR</t>
        </is>
      </c>
      <c r="F3838" s="92" t="n">
        <v>62901000</v>
      </c>
      <c r="G3838" s="92" t="n">
        <v>1101</v>
      </c>
      <c r="H3838" s="93" t="n">
        <v>3111000</v>
      </c>
      <c r="I3838" s="92" t="inlineStr">
        <is>
          <t>5월 자문 수수료 - K회계법인</t>
        </is>
      </c>
      <c r="J3838" s="92" t="inlineStr">
        <is>
          <t>V10011</t>
        </is>
      </c>
      <c r="K3838" s="92" t="inlineStr">
        <is>
          <t>K회계법인</t>
        </is>
      </c>
      <c r="M3838" s="9">
        <f>IF($A3838="","",VALUE($A3838&amp;"")*12+VALUE($B3838&amp;""))</f>
        <v/>
      </c>
      <c r="N3838" s="64">
        <f>IF($A3838="","",IFERROR(INDEX(부서매핑!$C$5:$C$504,MATCH($G3838&amp;"",부서매핑!$A$5:$A$504,0)),"미매핑"))</f>
        <v/>
      </c>
      <c r="O3838" s="9">
        <f>IF($A3838="","",N3838&amp;"|"&amp;$F3838)</f>
        <v/>
      </c>
      <c r="P3838" s="94">
        <f>IF($A3838="",0,$H3838*설정!$C$23)</f>
        <v/>
      </c>
      <c r="Q3838" s="64">
        <f>IF($A3838="","",IF(O3838&lt;&gt;원인분석!$C$9,"",IF(AND(M3838&gt;=원인분석!$C$10,M3838&lt;=원인분석!$C$11),"당기",IF(AND(M3838&gt;=원인분석!$C$12,M3838&lt;=원인분석!$C$13),"비교",""))))</f>
        <v/>
      </c>
      <c r="R3838" s="9">
        <f>IF(Q3838="","",$K3838&amp;"")</f>
        <v/>
      </c>
      <c r="S3838" s="9">
        <f>IF(Q3838="","",IF(MATCH(R3838,$R$5:$R$100000,0)=ROW()-4,ROW(),""))</f>
        <v/>
      </c>
      <c r="T3838" s="9">
        <f>IF(Q3838="당기",ABS(P3838)+ROW()/1000000000,"")</f>
        <v/>
      </c>
      <c r="U3838" s="9">
        <f>IF(Q3838="비교",ABS(P3838)+ROW()/1000000000,"")</f>
        <v/>
      </c>
      <c r="V3838" s="64">
        <f>IF($A3838="","",IF(COUNTIF(변동분석!$E$7:$E$506,O3838)&gt;0,"Y","N"))</f>
        <v/>
      </c>
      <c r="W3838" s="64">
        <f>IF($A3838="","",IFERROR(INDEX(계정매핑!$D$5:$D$504,MATCH($F3838&amp;"",계정매핑!$A$5:$A$504,0)),"미매핑"))</f>
        <v/>
      </c>
      <c r="X3838" s="9">
        <f>IF($A3838="","",$F3838&amp;"")</f>
        <v/>
      </c>
      <c r="Y3838" s="94">
        <f>IF($A3838="",0,IF(AE3838="직접",IF(AF3838="비귀속",$P3838,0),$P3838*(1-AG3838)*IFERROR(INDEX(계정대체기준!$F$20:$F$49,MATCH($N3838,계정대체기준!$A$20:$A$49,0)),1)))</f>
        <v/>
      </c>
      <c r="Z3838" s="94">
        <f>IF($A3838="",0,IF(AE3838="직접",IF(AF3838="신계약비",$P3838,0),$P3838*(1-AG3838)*IFERROR(INDEX(계정대체기준!$C$20:$C$49,MATCH($N3838,계정대체기준!$A$20:$A$49,0)),0)))</f>
        <v/>
      </c>
      <c r="AA3838" s="94">
        <f>IF($A3838="",0,IF(AE3838="직접",IF(OR(AF3838="유지비",AF3838="손해조사비"),$P3838,0),$P3838*(1-AG3838)*IFERROR(INDEX(계정대체기준!$D$20:$D$49,MATCH($N3838,계정대체기준!$A$20:$A$49,0)),0)))</f>
        <v/>
      </c>
      <c r="AB3838" s="94">
        <f>IF($A3838="",0,IF(AE3838="직접",IF(AF3838="수금비",$P3838,0),$P3838*(1-AG3838)*IFERROR(INDEX(계정대체기준!$E$20:$E$49,MATCH($N3838,계정대체기준!$A$20:$A$49,0)),0)))</f>
        <v/>
      </c>
      <c r="AC3838" s="9">
        <f>IF(AND($A3838&lt;&gt;"",M3838=설정!$C$20,Z3838&gt;0),Z3838+ROW()/1000000000,"")</f>
        <v/>
      </c>
      <c r="AD3838" s="94">
        <f>IF($A3838="",0,$P3838*AG3838)</f>
        <v/>
      </c>
      <c r="AE3838" s="64">
        <f>IF($A3838="","",IFERROR(INDEX(계정매핑!$E$5:$E$504,MATCH($F3838&amp;"",계정매핑!$A$5:$A$504,0))&amp;"","공통비"))</f>
        <v/>
      </c>
      <c r="AF3838" s="64">
        <f>IF($A3838="","",IF(AE3838="직접",IFERROR(INDEX(계정매핑!$F$5:$F$504,MATCH($F3838&amp;"",계정매핑!$A$5:$A$504,0))&amp;"","비귀속"),""))</f>
        <v/>
      </c>
      <c r="AG3838" s="96">
        <f>IF($A3838="",0,IF(AND(AE3838&lt;&gt;"직접",IFERROR(INDEX(계정매핑!$G$5:$G$504,MATCH($F3838&amp;"",계정매핑!$A$5:$A$504,0))&amp;"","")="유지비",COUNTIF(계정대체기준!$A$6:$A$15,$N3838)&gt;0),IFERROR(INDEX(계정대체기준!$E$6:$E$15,MATCH(VALUE($A3838&amp;""),계정대체기준!$D$6:$D$15,0)),0),0))</f>
        <v/>
      </c>
      <c r="AH3838" s="64">
        <f>IF($A3838="","",IF(AD3838=0,"",IF(OR(COUNTIF(계정대체기준!$A$77:$A$86,$N3838)&gt;0,ISNUMBER(MATCH($X3838,계정대체기준!$D$77:$D$86,0)),ISNUMBER(MATCH($F3838,계정대체기준!$D$77:$D$86,0))),"Y","N")))</f>
        <v/>
      </c>
    </row>
    <row r="3839">
      <c r="A3839" s="92" t="n">
        <v>2026</v>
      </c>
      <c r="B3839" s="92" t="n">
        <v>5</v>
      </c>
      <c r="C3839" s="92" t="inlineStr">
        <is>
          <t>5100001117</t>
        </is>
      </c>
      <c r="D3839" s="95" t="n">
        <v>46165</v>
      </c>
      <c r="E3839" s="92" t="inlineStr">
        <is>
          <t>KR</t>
        </is>
      </c>
      <c r="F3839" s="92" t="n">
        <v>63001000</v>
      </c>
      <c r="G3839" s="92" t="n">
        <v>1701</v>
      </c>
      <c r="H3839" s="93" t="n">
        <v>24959000</v>
      </c>
      <c r="I3839" s="92" t="inlineStr">
        <is>
          <t>5월 SW 유지보수 - Z시스템</t>
        </is>
      </c>
      <c r="J3839" s="92" t="inlineStr">
        <is>
          <t>V10012</t>
        </is>
      </c>
      <c r="K3839" s="92" t="inlineStr">
        <is>
          <t>Z시스템</t>
        </is>
      </c>
      <c r="M3839" s="9">
        <f>IF($A3839="","",VALUE($A3839&amp;"")*12+VALUE($B3839&amp;""))</f>
        <v/>
      </c>
      <c r="N3839" s="64">
        <f>IF($A3839="","",IFERROR(INDEX(부서매핑!$C$5:$C$504,MATCH($G3839&amp;"",부서매핑!$A$5:$A$504,0)),"미매핑"))</f>
        <v/>
      </c>
      <c r="O3839" s="9">
        <f>IF($A3839="","",N3839&amp;"|"&amp;$F3839)</f>
        <v/>
      </c>
      <c r="P3839" s="94">
        <f>IF($A3839="",0,$H3839*설정!$C$23)</f>
        <v/>
      </c>
      <c r="Q3839" s="64">
        <f>IF($A3839="","",IF(O3839&lt;&gt;원인분석!$C$9,"",IF(AND(M3839&gt;=원인분석!$C$10,M3839&lt;=원인분석!$C$11),"당기",IF(AND(M3839&gt;=원인분석!$C$12,M3839&lt;=원인분석!$C$13),"비교",""))))</f>
        <v/>
      </c>
      <c r="R3839" s="9">
        <f>IF(Q3839="","",$K3839&amp;"")</f>
        <v/>
      </c>
      <c r="S3839" s="9">
        <f>IF(Q3839="","",IF(MATCH(R3839,$R$5:$R$100000,0)=ROW()-4,ROW(),""))</f>
        <v/>
      </c>
      <c r="T3839" s="9">
        <f>IF(Q3839="당기",ABS(P3839)+ROW()/1000000000,"")</f>
        <v/>
      </c>
      <c r="U3839" s="9">
        <f>IF(Q3839="비교",ABS(P3839)+ROW()/1000000000,"")</f>
        <v/>
      </c>
      <c r="V3839" s="64">
        <f>IF($A3839="","",IF(COUNTIF(변동분석!$E$7:$E$506,O3839)&gt;0,"Y","N"))</f>
        <v/>
      </c>
      <c r="W3839" s="64">
        <f>IF($A3839="","",IFERROR(INDEX(계정매핑!$D$5:$D$504,MATCH($F3839&amp;"",계정매핑!$A$5:$A$504,0)),"미매핑"))</f>
        <v/>
      </c>
      <c r="X3839" s="9">
        <f>IF($A3839="","",$F3839&amp;"")</f>
        <v/>
      </c>
      <c r="Y3839" s="94">
        <f>IF($A3839="",0,IF(AE3839="직접",IF(AF3839="비귀속",$P3839,0),$P3839*(1-AG3839)*IFERROR(INDEX(계정대체기준!$F$20:$F$49,MATCH($N3839,계정대체기준!$A$20:$A$49,0)),1)))</f>
        <v/>
      </c>
      <c r="Z3839" s="94">
        <f>IF($A3839="",0,IF(AE3839="직접",IF(AF3839="신계약비",$P3839,0),$P3839*(1-AG3839)*IFERROR(INDEX(계정대체기준!$C$20:$C$49,MATCH($N3839,계정대체기준!$A$20:$A$49,0)),0)))</f>
        <v/>
      </c>
      <c r="AA3839" s="94">
        <f>IF($A3839="",0,IF(AE3839="직접",IF(OR(AF3839="유지비",AF3839="손해조사비"),$P3839,0),$P3839*(1-AG3839)*IFERROR(INDEX(계정대체기준!$D$20:$D$49,MATCH($N3839,계정대체기준!$A$20:$A$49,0)),0)))</f>
        <v/>
      </c>
      <c r="AB3839" s="94">
        <f>IF($A3839="",0,IF(AE3839="직접",IF(AF3839="수금비",$P3839,0),$P3839*(1-AG3839)*IFERROR(INDEX(계정대체기준!$E$20:$E$49,MATCH($N3839,계정대체기준!$A$20:$A$49,0)),0)))</f>
        <v/>
      </c>
      <c r="AC3839" s="9">
        <f>IF(AND($A3839&lt;&gt;"",M3839=설정!$C$20,Z3839&gt;0),Z3839+ROW()/1000000000,"")</f>
        <v/>
      </c>
      <c r="AD3839" s="94">
        <f>IF($A3839="",0,$P3839*AG3839)</f>
        <v/>
      </c>
      <c r="AE3839" s="64">
        <f>IF($A3839="","",IFERROR(INDEX(계정매핑!$E$5:$E$504,MATCH($F3839&amp;"",계정매핑!$A$5:$A$504,0))&amp;"","공통비"))</f>
        <v/>
      </c>
      <c r="AF3839" s="64">
        <f>IF($A3839="","",IF(AE3839="직접",IFERROR(INDEX(계정매핑!$F$5:$F$504,MATCH($F3839&amp;"",계정매핑!$A$5:$A$504,0))&amp;"","비귀속"),""))</f>
        <v/>
      </c>
      <c r="AG3839" s="96">
        <f>IF($A3839="",0,IF(AND(AE3839&lt;&gt;"직접",IFERROR(INDEX(계정매핑!$G$5:$G$504,MATCH($F3839&amp;"",계정매핑!$A$5:$A$504,0))&amp;"","")="유지비",COUNTIF(계정대체기준!$A$6:$A$15,$N3839)&gt;0),IFERROR(INDEX(계정대체기준!$E$6:$E$15,MATCH(VALUE($A3839&amp;""),계정대체기준!$D$6:$D$15,0)),0),0))</f>
        <v/>
      </c>
      <c r="AH3839" s="64">
        <f>IF($A3839="","",IF(AD3839=0,"",IF(OR(COUNTIF(계정대체기준!$A$77:$A$86,$N3839)&gt;0,ISNUMBER(MATCH($X3839,계정대체기준!$D$77:$D$86,0)),ISNUMBER(MATCH($F3839,계정대체기준!$D$77:$D$86,0))),"Y","N")))</f>
        <v/>
      </c>
    </row>
    <row r="3840">
      <c r="A3840" s="92" t="n">
        <v>2026</v>
      </c>
      <c r="B3840" s="92" t="n">
        <v>5</v>
      </c>
      <c r="C3840" s="92" t="inlineStr">
        <is>
          <t>5100001118</t>
        </is>
      </c>
      <c r="D3840" s="95" t="n">
        <v>46166</v>
      </c>
      <c r="E3840" s="92" t="inlineStr">
        <is>
          <t>KR</t>
        </is>
      </c>
      <c r="F3840" s="92" t="n">
        <v>62101000</v>
      </c>
      <c r="G3840" s="92" t="n">
        <v>1101</v>
      </c>
      <c r="H3840" s="93" t="n">
        <v>462000</v>
      </c>
      <c r="I3840" s="92" t="inlineStr">
        <is>
          <t>5월 국내출장 - L여행사</t>
        </is>
      </c>
      <c r="J3840" s="92" t="inlineStr">
        <is>
          <t>V10018</t>
        </is>
      </c>
      <c r="K3840" s="92" t="inlineStr">
        <is>
          <t>L여행사</t>
        </is>
      </c>
      <c r="M3840" s="9">
        <f>IF($A3840="","",VALUE($A3840&amp;"")*12+VALUE($B3840&amp;""))</f>
        <v/>
      </c>
      <c r="N3840" s="64">
        <f>IF($A3840="","",IFERROR(INDEX(부서매핑!$C$5:$C$504,MATCH($G3840&amp;"",부서매핑!$A$5:$A$504,0)),"미매핑"))</f>
        <v/>
      </c>
      <c r="O3840" s="9">
        <f>IF($A3840="","",N3840&amp;"|"&amp;$F3840)</f>
        <v/>
      </c>
      <c r="P3840" s="94">
        <f>IF($A3840="",0,$H3840*설정!$C$23)</f>
        <v/>
      </c>
      <c r="Q3840" s="64">
        <f>IF($A3840="","",IF(O3840&lt;&gt;원인분석!$C$9,"",IF(AND(M3840&gt;=원인분석!$C$10,M3840&lt;=원인분석!$C$11),"당기",IF(AND(M3840&gt;=원인분석!$C$12,M3840&lt;=원인분석!$C$13),"비교",""))))</f>
        <v/>
      </c>
      <c r="R3840" s="9">
        <f>IF(Q3840="","",$K3840&amp;"")</f>
        <v/>
      </c>
      <c r="S3840" s="9">
        <f>IF(Q3840="","",IF(MATCH(R3840,$R$5:$R$100000,0)=ROW()-4,ROW(),""))</f>
        <v/>
      </c>
      <c r="T3840" s="9">
        <f>IF(Q3840="당기",ABS(P3840)+ROW()/1000000000,"")</f>
        <v/>
      </c>
      <c r="U3840" s="9">
        <f>IF(Q3840="비교",ABS(P3840)+ROW()/1000000000,"")</f>
        <v/>
      </c>
      <c r="V3840" s="64">
        <f>IF($A3840="","",IF(COUNTIF(변동분석!$E$7:$E$506,O3840)&gt;0,"Y","N"))</f>
        <v/>
      </c>
      <c r="W3840" s="64">
        <f>IF($A3840="","",IFERROR(INDEX(계정매핑!$D$5:$D$504,MATCH($F3840&amp;"",계정매핑!$A$5:$A$504,0)),"미매핑"))</f>
        <v/>
      </c>
      <c r="X3840" s="9">
        <f>IF($A3840="","",$F3840&amp;"")</f>
        <v/>
      </c>
      <c r="Y3840" s="94">
        <f>IF($A3840="",0,IF(AE3840="직접",IF(AF3840="비귀속",$P3840,0),$P3840*(1-AG3840)*IFERROR(INDEX(계정대체기준!$F$20:$F$49,MATCH($N3840,계정대체기준!$A$20:$A$49,0)),1)))</f>
        <v/>
      </c>
      <c r="Z3840" s="94">
        <f>IF($A3840="",0,IF(AE3840="직접",IF(AF3840="신계약비",$P3840,0),$P3840*(1-AG3840)*IFERROR(INDEX(계정대체기준!$C$20:$C$49,MATCH($N3840,계정대체기준!$A$20:$A$49,0)),0)))</f>
        <v/>
      </c>
      <c r="AA3840" s="94">
        <f>IF($A3840="",0,IF(AE3840="직접",IF(OR(AF3840="유지비",AF3840="손해조사비"),$P3840,0),$P3840*(1-AG3840)*IFERROR(INDEX(계정대체기준!$D$20:$D$49,MATCH($N3840,계정대체기준!$A$20:$A$49,0)),0)))</f>
        <v/>
      </c>
      <c r="AB3840" s="94">
        <f>IF($A3840="",0,IF(AE3840="직접",IF(AF3840="수금비",$P3840,0),$P3840*(1-AG3840)*IFERROR(INDEX(계정대체기준!$E$20:$E$49,MATCH($N3840,계정대체기준!$A$20:$A$49,0)),0)))</f>
        <v/>
      </c>
      <c r="AC3840" s="9">
        <f>IF(AND($A3840&lt;&gt;"",M3840=설정!$C$20,Z3840&gt;0),Z3840+ROW()/1000000000,"")</f>
        <v/>
      </c>
      <c r="AD3840" s="94">
        <f>IF($A3840="",0,$P3840*AG3840)</f>
        <v/>
      </c>
      <c r="AE3840" s="64">
        <f>IF($A3840="","",IFERROR(INDEX(계정매핑!$E$5:$E$504,MATCH($F3840&amp;"",계정매핑!$A$5:$A$504,0))&amp;"","공통비"))</f>
        <v/>
      </c>
      <c r="AF3840" s="64">
        <f>IF($A3840="","",IF(AE3840="직접",IFERROR(INDEX(계정매핑!$F$5:$F$504,MATCH($F3840&amp;"",계정매핑!$A$5:$A$504,0))&amp;"","비귀속"),""))</f>
        <v/>
      </c>
      <c r="AG3840" s="96">
        <f>IF($A3840="",0,IF(AND(AE3840&lt;&gt;"직접",IFERROR(INDEX(계정매핑!$G$5:$G$504,MATCH($F3840&amp;"",계정매핑!$A$5:$A$504,0))&amp;"","")="유지비",COUNTIF(계정대체기준!$A$6:$A$15,$N3840)&gt;0),IFERROR(INDEX(계정대체기준!$E$6:$E$15,MATCH(VALUE($A3840&amp;""),계정대체기준!$D$6:$D$15,0)),0),0))</f>
        <v/>
      </c>
      <c r="AH3840" s="64">
        <f>IF($A3840="","",IF(AD3840=0,"",IF(OR(COUNTIF(계정대체기준!$A$77:$A$86,$N3840)&gt;0,ISNUMBER(MATCH($X3840,계정대체기준!$D$77:$D$86,0)),ISNUMBER(MATCH($F3840,계정대체기준!$D$77:$D$86,0))),"Y","N")))</f>
        <v/>
      </c>
    </row>
    <row r="3841">
      <c r="A3841" s="92" t="n">
        <v>2026</v>
      </c>
      <c r="B3841" s="92" t="n">
        <v>5</v>
      </c>
      <c r="C3841" s="92" t="inlineStr">
        <is>
          <t>5100001119</t>
        </is>
      </c>
      <c r="D3841" s="95" t="n">
        <v>46166</v>
      </c>
      <c r="E3841" s="92" t="inlineStr">
        <is>
          <t>KR</t>
        </is>
      </c>
      <c r="F3841" s="92" t="n">
        <v>62102000</v>
      </c>
      <c r="G3841" s="92" t="n">
        <v>1101</v>
      </c>
      <c r="H3841" s="93" t="n">
        <v>92000</v>
      </c>
      <c r="I3841" s="92" t="inlineStr">
        <is>
          <t>5월 해외출장 - N호텔</t>
        </is>
      </c>
      <c r="J3841" s="92" t="inlineStr">
        <is>
          <t>V10009</t>
        </is>
      </c>
      <c r="K3841" s="92" t="inlineStr">
        <is>
          <t>N호텔</t>
        </is>
      </c>
      <c r="M3841" s="9">
        <f>IF($A3841="","",VALUE($A3841&amp;"")*12+VALUE($B3841&amp;""))</f>
        <v/>
      </c>
      <c r="N3841" s="64">
        <f>IF($A3841="","",IFERROR(INDEX(부서매핑!$C$5:$C$504,MATCH($G3841&amp;"",부서매핑!$A$5:$A$504,0)),"미매핑"))</f>
        <v/>
      </c>
      <c r="O3841" s="9">
        <f>IF($A3841="","",N3841&amp;"|"&amp;$F3841)</f>
        <v/>
      </c>
      <c r="P3841" s="94">
        <f>IF($A3841="",0,$H3841*설정!$C$23)</f>
        <v/>
      </c>
      <c r="Q3841" s="64">
        <f>IF($A3841="","",IF(O3841&lt;&gt;원인분석!$C$9,"",IF(AND(M3841&gt;=원인분석!$C$10,M3841&lt;=원인분석!$C$11),"당기",IF(AND(M3841&gt;=원인분석!$C$12,M3841&lt;=원인분석!$C$13),"비교",""))))</f>
        <v/>
      </c>
      <c r="R3841" s="9">
        <f>IF(Q3841="","",$K3841&amp;"")</f>
        <v/>
      </c>
      <c r="S3841" s="9">
        <f>IF(Q3841="","",IF(MATCH(R3841,$R$5:$R$100000,0)=ROW()-4,ROW(),""))</f>
        <v/>
      </c>
      <c r="T3841" s="9">
        <f>IF(Q3841="당기",ABS(P3841)+ROW()/1000000000,"")</f>
        <v/>
      </c>
      <c r="U3841" s="9">
        <f>IF(Q3841="비교",ABS(P3841)+ROW()/1000000000,"")</f>
        <v/>
      </c>
      <c r="V3841" s="64">
        <f>IF($A3841="","",IF(COUNTIF(변동분석!$E$7:$E$506,O3841)&gt;0,"Y","N"))</f>
        <v/>
      </c>
      <c r="W3841" s="64">
        <f>IF($A3841="","",IFERROR(INDEX(계정매핑!$D$5:$D$504,MATCH($F3841&amp;"",계정매핑!$A$5:$A$504,0)),"미매핑"))</f>
        <v/>
      </c>
      <c r="X3841" s="9">
        <f>IF($A3841="","",$F3841&amp;"")</f>
        <v/>
      </c>
      <c r="Y3841" s="94">
        <f>IF($A3841="",0,IF(AE3841="직접",IF(AF3841="비귀속",$P3841,0),$P3841*(1-AG3841)*IFERROR(INDEX(계정대체기준!$F$20:$F$49,MATCH($N3841,계정대체기준!$A$20:$A$49,0)),1)))</f>
        <v/>
      </c>
      <c r="Z3841" s="94">
        <f>IF($A3841="",0,IF(AE3841="직접",IF(AF3841="신계약비",$P3841,0),$P3841*(1-AG3841)*IFERROR(INDEX(계정대체기준!$C$20:$C$49,MATCH($N3841,계정대체기준!$A$20:$A$49,0)),0)))</f>
        <v/>
      </c>
      <c r="AA3841" s="94">
        <f>IF($A3841="",0,IF(AE3841="직접",IF(OR(AF3841="유지비",AF3841="손해조사비"),$P3841,0),$P3841*(1-AG3841)*IFERROR(INDEX(계정대체기준!$D$20:$D$49,MATCH($N3841,계정대체기준!$A$20:$A$49,0)),0)))</f>
        <v/>
      </c>
      <c r="AB3841" s="94">
        <f>IF($A3841="",0,IF(AE3841="직접",IF(AF3841="수금비",$P3841,0),$P3841*(1-AG3841)*IFERROR(INDEX(계정대체기준!$E$20:$E$49,MATCH($N3841,계정대체기준!$A$20:$A$49,0)),0)))</f>
        <v/>
      </c>
      <c r="AC3841" s="9">
        <f>IF(AND($A3841&lt;&gt;"",M3841=설정!$C$20,Z3841&gt;0),Z3841+ROW()/1000000000,"")</f>
        <v/>
      </c>
      <c r="AD3841" s="94">
        <f>IF($A3841="",0,$P3841*AG3841)</f>
        <v/>
      </c>
      <c r="AE3841" s="64">
        <f>IF($A3841="","",IFERROR(INDEX(계정매핑!$E$5:$E$504,MATCH($F3841&amp;"",계정매핑!$A$5:$A$504,0))&amp;"","공통비"))</f>
        <v/>
      </c>
      <c r="AF3841" s="64">
        <f>IF($A3841="","",IF(AE3841="직접",IFERROR(INDEX(계정매핑!$F$5:$F$504,MATCH($F3841&amp;"",계정매핑!$A$5:$A$504,0))&amp;"","비귀속"),""))</f>
        <v/>
      </c>
      <c r="AG3841" s="96">
        <f>IF($A3841="",0,IF(AND(AE3841&lt;&gt;"직접",IFERROR(INDEX(계정매핑!$G$5:$G$504,MATCH($F3841&amp;"",계정매핑!$A$5:$A$504,0))&amp;"","")="유지비",COUNTIF(계정대체기준!$A$6:$A$15,$N3841)&gt;0),IFERROR(INDEX(계정대체기준!$E$6:$E$15,MATCH(VALUE($A3841&amp;""),계정대체기준!$D$6:$D$15,0)),0),0))</f>
        <v/>
      </c>
      <c r="AH3841" s="64">
        <f>IF($A3841="","",IF(AD3841=0,"",IF(OR(COUNTIF(계정대체기준!$A$77:$A$86,$N3841)&gt;0,ISNUMBER(MATCH($X3841,계정대체기준!$D$77:$D$86,0)),ISNUMBER(MATCH($F3841,계정대체기준!$D$77:$D$86,0))),"Y","N")))</f>
        <v/>
      </c>
    </row>
    <row r="3842">
      <c r="A3842" s="92" t="n">
        <v>2026</v>
      </c>
      <c r="B3842" s="92" t="n">
        <v>5</v>
      </c>
      <c r="C3842" s="92" t="inlineStr">
        <is>
          <t>5100001120</t>
        </is>
      </c>
      <c r="D3842" s="95" t="n">
        <v>46166</v>
      </c>
      <c r="E3842" s="92" t="inlineStr">
        <is>
          <t>KR</t>
        </is>
      </c>
      <c r="F3842" s="92" t="n">
        <v>62501000</v>
      </c>
      <c r="G3842" s="92" t="n">
        <v>1301</v>
      </c>
      <c r="H3842" s="93" t="n">
        <v>118000</v>
      </c>
      <c r="I3842" s="92" t="inlineStr">
        <is>
          <t>5월 회의 다과 - T케이터링</t>
        </is>
      </c>
      <c r="J3842" s="92" t="inlineStr">
        <is>
          <t>V10005</t>
        </is>
      </c>
      <c r="K3842" s="92" t="inlineStr">
        <is>
          <t>T케이터링</t>
        </is>
      </c>
      <c r="M3842" s="9">
        <f>IF($A3842="","",VALUE($A3842&amp;"")*12+VALUE($B3842&amp;""))</f>
        <v/>
      </c>
      <c r="N3842" s="64">
        <f>IF($A3842="","",IFERROR(INDEX(부서매핑!$C$5:$C$504,MATCH($G3842&amp;"",부서매핑!$A$5:$A$504,0)),"미매핑"))</f>
        <v/>
      </c>
      <c r="O3842" s="9">
        <f>IF($A3842="","",N3842&amp;"|"&amp;$F3842)</f>
        <v/>
      </c>
      <c r="P3842" s="94">
        <f>IF($A3842="",0,$H3842*설정!$C$23)</f>
        <v/>
      </c>
      <c r="Q3842" s="64">
        <f>IF($A3842="","",IF(O3842&lt;&gt;원인분석!$C$9,"",IF(AND(M3842&gt;=원인분석!$C$10,M3842&lt;=원인분석!$C$11),"당기",IF(AND(M3842&gt;=원인분석!$C$12,M3842&lt;=원인분석!$C$13),"비교",""))))</f>
        <v/>
      </c>
      <c r="R3842" s="9">
        <f>IF(Q3842="","",$K3842&amp;"")</f>
        <v/>
      </c>
      <c r="S3842" s="9">
        <f>IF(Q3842="","",IF(MATCH(R3842,$R$5:$R$100000,0)=ROW()-4,ROW(),""))</f>
        <v/>
      </c>
      <c r="T3842" s="9">
        <f>IF(Q3842="당기",ABS(P3842)+ROW()/1000000000,"")</f>
        <v/>
      </c>
      <c r="U3842" s="9">
        <f>IF(Q3842="비교",ABS(P3842)+ROW()/1000000000,"")</f>
        <v/>
      </c>
      <c r="V3842" s="64">
        <f>IF($A3842="","",IF(COUNTIF(변동분석!$E$7:$E$506,O3842)&gt;0,"Y","N"))</f>
        <v/>
      </c>
      <c r="W3842" s="64">
        <f>IF($A3842="","",IFERROR(INDEX(계정매핑!$D$5:$D$504,MATCH($F3842&amp;"",계정매핑!$A$5:$A$504,0)),"미매핑"))</f>
        <v/>
      </c>
      <c r="X3842" s="9">
        <f>IF($A3842="","",$F3842&amp;"")</f>
        <v/>
      </c>
      <c r="Y3842" s="94">
        <f>IF($A3842="",0,IF(AE3842="직접",IF(AF3842="비귀속",$P3842,0),$P3842*(1-AG3842)*IFERROR(INDEX(계정대체기준!$F$20:$F$49,MATCH($N3842,계정대체기준!$A$20:$A$49,0)),1)))</f>
        <v/>
      </c>
      <c r="Z3842" s="94">
        <f>IF($A3842="",0,IF(AE3842="직접",IF(AF3842="신계약비",$P3842,0),$P3842*(1-AG3842)*IFERROR(INDEX(계정대체기준!$C$20:$C$49,MATCH($N3842,계정대체기준!$A$20:$A$49,0)),0)))</f>
        <v/>
      </c>
      <c r="AA3842" s="94">
        <f>IF($A3842="",0,IF(AE3842="직접",IF(OR(AF3842="유지비",AF3842="손해조사비"),$P3842,0),$P3842*(1-AG3842)*IFERROR(INDEX(계정대체기준!$D$20:$D$49,MATCH($N3842,계정대체기준!$A$20:$A$49,0)),0)))</f>
        <v/>
      </c>
      <c r="AB3842" s="94">
        <f>IF($A3842="",0,IF(AE3842="직접",IF(AF3842="수금비",$P3842,0),$P3842*(1-AG3842)*IFERROR(INDEX(계정대체기준!$E$20:$E$49,MATCH($N3842,계정대체기준!$A$20:$A$49,0)),0)))</f>
        <v/>
      </c>
      <c r="AC3842" s="9">
        <f>IF(AND($A3842&lt;&gt;"",M3842=설정!$C$20,Z3842&gt;0),Z3842+ROW()/1000000000,"")</f>
        <v/>
      </c>
      <c r="AD3842" s="94">
        <f>IF($A3842="",0,$P3842*AG3842)</f>
        <v/>
      </c>
      <c r="AE3842" s="64">
        <f>IF($A3842="","",IFERROR(INDEX(계정매핑!$E$5:$E$504,MATCH($F3842&amp;"",계정매핑!$A$5:$A$504,0))&amp;"","공통비"))</f>
        <v/>
      </c>
      <c r="AF3842" s="64">
        <f>IF($A3842="","",IF(AE3842="직접",IFERROR(INDEX(계정매핑!$F$5:$F$504,MATCH($F3842&amp;"",계정매핑!$A$5:$A$504,0))&amp;"","비귀속"),""))</f>
        <v/>
      </c>
      <c r="AG3842" s="96">
        <f>IF($A3842="",0,IF(AND(AE3842&lt;&gt;"직접",IFERROR(INDEX(계정매핑!$G$5:$G$504,MATCH($F3842&amp;"",계정매핑!$A$5:$A$504,0))&amp;"","")="유지비",COUNTIF(계정대체기준!$A$6:$A$15,$N3842)&gt;0),IFERROR(INDEX(계정대체기준!$E$6:$E$15,MATCH(VALUE($A3842&amp;""),계정대체기준!$D$6:$D$15,0)),0),0))</f>
        <v/>
      </c>
      <c r="AH3842" s="64">
        <f>IF($A3842="","",IF(AD3842=0,"",IF(OR(COUNTIF(계정대체기준!$A$77:$A$86,$N3842)&gt;0,ISNUMBER(MATCH($X3842,계정대체기준!$D$77:$D$86,0)),ISNUMBER(MATCH($F3842,계정대체기준!$D$77:$D$86,0))),"Y","N")))</f>
        <v/>
      </c>
    </row>
    <row r="3843">
      <c r="A3843" s="92" t="n">
        <v>2026</v>
      </c>
      <c r="B3843" s="92" t="n">
        <v>5</v>
      </c>
      <c r="C3843" s="92" t="inlineStr">
        <is>
          <t>5100001121</t>
        </is>
      </c>
      <c r="D3843" s="95" t="n">
        <v>46166</v>
      </c>
      <c r="E3843" s="92" t="inlineStr">
        <is>
          <t>KR</t>
        </is>
      </c>
      <c r="F3843" s="92" t="n">
        <v>62801000</v>
      </c>
      <c r="G3843" s="92" t="n">
        <v>1301</v>
      </c>
      <c r="H3843" s="93" t="n">
        <v>4297000</v>
      </c>
      <c r="I3843" s="92" t="inlineStr">
        <is>
          <t>5월 사내교육 - (사내강사료)</t>
        </is>
      </c>
      <c r="J3843" s="92" t="inlineStr">
        <is>
          <t>V10024</t>
        </is>
      </c>
      <c r="K3843" s="92" t="inlineStr">
        <is>
          <t>(사내강사료)</t>
        </is>
      </c>
      <c r="M3843" s="9">
        <f>IF($A3843="","",VALUE($A3843&amp;"")*12+VALUE($B3843&amp;""))</f>
        <v/>
      </c>
      <c r="N3843" s="64">
        <f>IF($A3843="","",IFERROR(INDEX(부서매핑!$C$5:$C$504,MATCH($G3843&amp;"",부서매핑!$A$5:$A$504,0)),"미매핑"))</f>
        <v/>
      </c>
      <c r="O3843" s="9">
        <f>IF($A3843="","",N3843&amp;"|"&amp;$F3843)</f>
        <v/>
      </c>
      <c r="P3843" s="94">
        <f>IF($A3843="",0,$H3843*설정!$C$23)</f>
        <v/>
      </c>
      <c r="Q3843" s="64">
        <f>IF($A3843="","",IF(O3843&lt;&gt;원인분석!$C$9,"",IF(AND(M3843&gt;=원인분석!$C$10,M3843&lt;=원인분석!$C$11),"당기",IF(AND(M3843&gt;=원인분석!$C$12,M3843&lt;=원인분석!$C$13),"비교",""))))</f>
        <v/>
      </c>
      <c r="R3843" s="9">
        <f>IF(Q3843="","",$K3843&amp;"")</f>
        <v/>
      </c>
      <c r="S3843" s="9">
        <f>IF(Q3843="","",IF(MATCH(R3843,$R$5:$R$100000,0)=ROW()-4,ROW(),""))</f>
        <v/>
      </c>
      <c r="T3843" s="9">
        <f>IF(Q3843="당기",ABS(P3843)+ROW()/1000000000,"")</f>
        <v/>
      </c>
      <c r="U3843" s="9">
        <f>IF(Q3843="비교",ABS(P3843)+ROW()/1000000000,"")</f>
        <v/>
      </c>
      <c r="V3843" s="64">
        <f>IF($A3843="","",IF(COUNTIF(변동분석!$E$7:$E$506,O3843)&gt;0,"Y","N"))</f>
        <v/>
      </c>
      <c r="W3843" s="64">
        <f>IF($A3843="","",IFERROR(INDEX(계정매핑!$D$5:$D$504,MATCH($F3843&amp;"",계정매핑!$A$5:$A$504,0)),"미매핑"))</f>
        <v/>
      </c>
      <c r="X3843" s="9">
        <f>IF($A3843="","",$F3843&amp;"")</f>
        <v/>
      </c>
      <c r="Y3843" s="94">
        <f>IF($A3843="",0,IF(AE3843="직접",IF(AF3843="비귀속",$P3843,0),$P3843*(1-AG3843)*IFERROR(INDEX(계정대체기준!$F$20:$F$49,MATCH($N3843,계정대체기준!$A$20:$A$49,0)),1)))</f>
        <v/>
      </c>
      <c r="Z3843" s="94">
        <f>IF($A3843="",0,IF(AE3843="직접",IF(AF3843="신계약비",$P3843,0),$P3843*(1-AG3843)*IFERROR(INDEX(계정대체기준!$C$20:$C$49,MATCH($N3843,계정대체기준!$A$20:$A$49,0)),0)))</f>
        <v/>
      </c>
      <c r="AA3843" s="94">
        <f>IF($A3843="",0,IF(AE3843="직접",IF(OR(AF3843="유지비",AF3843="손해조사비"),$P3843,0),$P3843*(1-AG3843)*IFERROR(INDEX(계정대체기준!$D$20:$D$49,MATCH($N3843,계정대체기준!$A$20:$A$49,0)),0)))</f>
        <v/>
      </c>
      <c r="AB3843" s="94">
        <f>IF($A3843="",0,IF(AE3843="직접",IF(AF3843="수금비",$P3843,0),$P3843*(1-AG3843)*IFERROR(INDEX(계정대체기준!$E$20:$E$49,MATCH($N3843,계정대체기준!$A$20:$A$49,0)),0)))</f>
        <v/>
      </c>
      <c r="AC3843" s="9">
        <f>IF(AND($A3843&lt;&gt;"",M3843=설정!$C$20,Z3843&gt;0),Z3843+ROW()/1000000000,"")</f>
        <v/>
      </c>
      <c r="AD3843" s="94">
        <f>IF($A3843="",0,$P3843*AG3843)</f>
        <v/>
      </c>
      <c r="AE3843" s="64">
        <f>IF($A3843="","",IFERROR(INDEX(계정매핑!$E$5:$E$504,MATCH($F3843&amp;"",계정매핑!$A$5:$A$504,0))&amp;"","공통비"))</f>
        <v/>
      </c>
      <c r="AF3843" s="64">
        <f>IF($A3843="","",IF(AE3843="직접",IFERROR(INDEX(계정매핑!$F$5:$F$504,MATCH($F3843&amp;"",계정매핑!$A$5:$A$504,0))&amp;"","비귀속"),""))</f>
        <v/>
      </c>
      <c r="AG3843" s="96">
        <f>IF($A3843="",0,IF(AND(AE3843&lt;&gt;"직접",IFERROR(INDEX(계정매핑!$G$5:$G$504,MATCH($F3843&amp;"",계정매핑!$A$5:$A$504,0))&amp;"","")="유지비",COUNTIF(계정대체기준!$A$6:$A$15,$N3843)&gt;0),IFERROR(INDEX(계정대체기준!$E$6:$E$15,MATCH(VALUE($A3843&amp;""),계정대체기준!$D$6:$D$15,0)),0),0))</f>
        <v/>
      </c>
      <c r="AH3843" s="64">
        <f>IF($A3843="","",IF(AD3843=0,"",IF(OR(COUNTIF(계정대체기준!$A$77:$A$86,$N3843)&gt;0,ISNUMBER(MATCH($X3843,계정대체기준!$D$77:$D$86,0)),ISNUMBER(MATCH($F3843,계정대체기준!$D$77:$D$86,0))),"Y","N")))</f>
        <v/>
      </c>
    </row>
    <row r="3844">
      <c r="A3844" s="92" t="n">
        <v>2026</v>
      </c>
      <c r="B3844" s="92" t="n">
        <v>5</v>
      </c>
      <c r="C3844" s="92" t="inlineStr">
        <is>
          <t>5100001122</t>
        </is>
      </c>
      <c r="D3844" s="95" t="n">
        <v>46166</v>
      </c>
      <c r="E3844" s="92" t="inlineStr">
        <is>
          <t>KR</t>
        </is>
      </c>
      <c r="F3844" s="92" t="n">
        <v>62901000</v>
      </c>
      <c r="G3844" s="92" t="n">
        <v>1801</v>
      </c>
      <c r="H3844" s="93" t="n">
        <v>7050000</v>
      </c>
      <c r="I3844" s="92" t="inlineStr">
        <is>
          <t>5월 자문 수수료 - K회계법인</t>
        </is>
      </c>
      <c r="J3844" s="92" t="inlineStr">
        <is>
          <t>V10011</t>
        </is>
      </c>
      <c r="K3844" s="92" t="inlineStr">
        <is>
          <t>K회계법인</t>
        </is>
      </c>
      <c r="M3844" s="9">
        <f>IF($A3844="","",VALUE($A3844&amp;"")*12+VALUE($B3844&amp;""))</f>
        <v/>
      </c>
      <c r="N3844" s="64">
        <f>IF($A3844="","",IFERROR(INDEX(부서매핑!$C$5:$C$504,MATCH($G3844&amp;"",부서매핑!$A$5:$A$504,0)),"미매핑"))</f>
        <v/>
      </c>
      <c r="O3844" s="9">
        <f>IF($A3844="","",N3844&amp;"|"&amp;$F3844)</f>
        <v/>
      </c>
      <c r="P3844" s="94">
        <f>IF($A3844="",0,$H3844*설정!$C$23)</f>
        <v/>
      </c>
      <c r="Q3844" s="64">
        <f>IF($A3844="","",IF(O3844&lt;&gt;원인분석!$C$9,"",IF(AND(M3844&gt;=원인분석!$C$10,M3844&lt;=원인분석!$C$11),"당기",IF(AND(M3844&gt;=원인분석!$C$12,M3844&lt;=원인분석!$C$13),"비교",""))))</f>
        <v/>
      </c>
      <c r="R3844" s="9">
        <f>IF(Q3844="","",$K3844&amp;"")</f>
        <v/>
      </c>
      <c r="S3844" s="9">
        <f>IF(Q3844="","",IF(MATCH(R3844,$R$5:$R$100000,0)=ROW()-4,ROW(),""))</f>
        <v/>
      </c>
      <c r="T3844" s="9">
        <f>IF(Q3844="당기",ABS(P3844)+ROW()/1000000000,"")</f>
        <v/>
      </c>
      <c r="U3844" s="9">
        <f>IF(Q3844="비교",ABS(P3844)+ROW()/1000000000,"")</f>
        <v/>
      </c>
      <c r="V3844" s="64">
        <f>IF($A3844="","",IF(COUNTIF(변동분석!$E$7:$E$506,O3844)&gt;0,"Y","N"))</f>
        <v/>
      </c>
      <c r="W3844" s="64">
        <f>IF($A3844="","",IFERROR(INDEX(계정매핑!$D$5:$D$504,MATCH($F3844&amp;"",계정매핑!$A$5:$A$504,0)),"미매핑"))</f>
        <v/>
      </c>
      <c r="X3844" s="9">
        <f>IF($A3844="","",$F3844&amp;"")</f>
        <v/>
      </c>
      <c r="Y3844" s="94">
        <f>IF($A3844="",0,IF(AE3844="직접",IF(AF3844="비귀속",$P3844,0),$P3844*(1-AG3844)*IFERROR(INDEX(계정대체기준!$F$20:$F$49,MATCH($N3844,계정대체기준!$A$20:$A$49,0)),1)))</f>
        <v/>
      </c>
      <c r="Z3844" s="94">
        <f>IF($A3844="",0,IF(AE3844="직접",IF(AF3844="신계약비",$P3844,0),$P3844*(1-AG3844)*IFERROR(INDEX(계정대체기준!$C$20:$C$49,MATCH($N3844,계정대체기준!$A$20:$A$49,0)),0)))</f>
        <v/>
      </c>
      <c r="AA3844" s="94">
        <f>IF($A3844="",0,IF(AE3844="직접",IF(OR(AF3844="유지비",AF3844="손해조사비"),$P3844,0),$P3844*(1-AG3844)*IFERROR(INDEX(계정대체기준!$D$20:$D$49,MATCH($N3844,계정대체기준!$A$20:$A$49,0)),0)))</f>
        <v/>
      </c>
      <c r="AB3844" s="94">
        <f>IF($A3844="",0,IF(AE3844="직접",IF(AF3844="수금비",$P3844,0),$P3844*(1-AG3844)*IFERROR(INDEX(계정대체기준!$E$20:$E$49,MATCH($N3844,계정대체기준!$A$20:$A$49,0)),0)))</f>
        <v/>
      </c>
      <c r="AC3844" s="9">
        <f>IF(AND($A3844&lt;&gt;"",M3844=설정!$C$20,Z3844&gt;0),Z3844+ROW()/1000000000,"")</f>
        <v/>
      </c>
      <c r="AD3844" s="94">
        <f>IF($A3844="",0,$P3844*AG3844)</f>
        <v/>
      </c>
      <c r="AE3844" s="64">
        <f>IF($A3844="","",IFERROR(INDEX(계정매핑!$E$5:$E$504,MATCH($F3844&amp;"",계정매핑!$A$5:$A$504,0))&amp;"","공통비"))</f>
        <v/>
      </c>
      <c r="AF3844" s="64">
        <f>IF($A3844="","",IF(AE3844="직접",IFERROR(INDEX(계정매핑!$F$5:$F$504,MATCH($F3844&amp;"",계정매핑!$A$5:$A$504,0))&amp;"","비귀속"),""))</f>
        <v/>
      </c>
      <c r="AG3844" s="96">
        <f>IF($A3844="",0,IF(AND(AE3844&lt;&gt;"직접",IFERROR(INDEX(계정매핑!$G$5:$G$504,MATCH($F3844&amp;"",계정매핑!$A$5:$A$504,0))&amp;"","")="유지비",COUNTIF(계정대체기준!$A$6:$A$15,$N3844)&gt;0),IFERROR(INDEX(계정대체기준!$E$6:$E$15,MATCH(VALUE($A3844&amp;""),계정대체기준!$D$6:$D$15,0)),0),0))</f>
        <v/>
      </c>
      <c r="AH3844" s="64">
        <f>IF($A3844="","",IF(AD3844=0,"",IF(OR(COUNTIF(계정대체기준!$A$77:$A$86,$N3844)&gt;0,ISNUMBER(MATCH($X3844,계정대체기준!$D$77:$D$86,0)),ISNUMBER(MATCH($F3844,계정대체기준!$D$77:$D$86,0))),"Y","N")))</f>
        <v/>
      </c>
    </row>
    <row r="3845">
      <c r="A3845" s="92" t="n">
        <v>2026</v>
      </c>
      <c r="B3845" s="92" t="n">
        <v>5</v>
      </c>
      <c r="C3845" s="92" t="inlineStr">
        <is>
          <t>5100001123</t>
        </is>
      </c>
      <c r="D3845" s="95" t="n">
        <v>46166</v>
      </c>
      <c r="E3845" s="92" t="inlineStr">
        <is>
          <t>KR</t>
        </is>
      </c>
      <c r="F3845" s="92" t="n">
        <v>63201000</v>
      </c>
      <c r="G3845" s="92" t="n">
        <v>1602</v>
      </c>
      <c r="H3845" s="93" t="n">
        <v>5751000</v>
      </c>
      <c r="I3845" s="92" t="inlineStr">
        <is>
          <t>5월 차량 유지 - D정비</t>
        </is>
      </c>
      <c r="J3845" s="92" t="inlineStr">
        <is>
          <t>V10025</t>
        </is>
      </c>
      <c r="K3845" s="92" t="inlineStr">
        <is>
          <t>D정비</t>
        </is>
      </c>
      <c r="M3845" s="9">
        <f>IF($A3845="","",VALUE($A3845&amp;"")*12+VALUE($B3845&amp;""))</f>
        <v/>
      </c>
      <c r="N3845" s="64">
        <f>IF($A3845="","",IFERROR(INDEX(부서매핑!$C$5:$C$504,MATCH($G3845&amp;"",부서매핑!$A$5:$A$504,0)),"미매핑"))</f>
        <v/>
      </c>
      <c r="O3845" s="9">
        <f>IF($A3845="","",N3845&amp;"|"&amp;$F3845)</f>
        <v/>
      </c>
      <c r="P3845" s="94">
        <f>IF($A3845="",0,$H3845*설정!$C$23)</f>
        <v/>
      </c>
      <c r="Q3845" s="64">
        <f>IF($A3845="","",IF(O3845&lt;&gt;원인분석!$C$9,"",IF(AND(M3845&gt;=원인분석!$C$10,M3845&lt;=원인분석!$C$11),"당기",IF(AND(M3845&gt;=원인분석!$C$12,M3845&lt;=원인분석!$C$13),"비교",""))))</f>
        <v/>
      </c>
      <c r="R3845" s="9">
        <f>IF(Q3845="","",$K3845&amp;"")</f>
        <v/>
      </c>
      <c r="S3845" s="9">
        <f>IF(Q3845="","",IF(MATCH(R3845,$R$5:$R$100000,0)=ROW()-4,ROW(),""))</f>
        <v/>
      </c>
      <c r="T3845" s="9">
        <f>IF(Q3845="당기",ABS(P3845)+ROW()/1000000000,"")</f>
        <v/>
      </c>
      <c r="U3845" s="9">
        <f>IF(Q3845="비교",ABS(P3845)+ROW()/1000000000,"")</f>
        <v/>
      </c>
      <c r="V3845" s="64">
        <f>IF($A3845="","",IF(COUNTIF(변동분석!$E$7:$E$506,O3845)&gt;0,"Y","N"))</f>
        <v/>
      </c>
      <c r="W3845" s="64">
        <f>IF($A3845="","",IFERROR(INDEX(계정매핑!$D$5:$D$504,MATCH($F3845&amp;"",계정매핑!$A$5:$A$504,0)),"미매핑"))</f>
        <v/>
      </c>
      <c r="X3845" s="9">
        <f>IF($A3845="","",$F3845&amp;"")</f>
        <v/>
      </c>
      <c r="Y3845" s="94">
        <f>IF($A3845="",0,IF(AE3845="직접",IF(AF3845="비귀속",$P3845,0),$P3845*(1-AG3845)*IFERROR(INDEX(계정대체기준!$F$20:$F$49,MATCH($N3845,계정대체기준!$A$20:$A$49,0)),1)))</f>
        <v/>
      </c>
      <c r="Z3845" s="94">
        <f>IF($A3845="",0,IF(AE3845="직접",IF(AF3845="신계약비",$P3845,0),$P3845*(1-AG3845)*IFERROR(INDEX(계정대체기준!$C$20:$C$49,MATCH($N3845,계정대체기준!$A$20:$A$49,0)),0)))</f>
        <v/>
      </c>
      <c r="AA3845" s="94">
        <f>IF($A3845="",0,IF(AE3845="직접",IF(OR(AF3845="유지비",AF3845="손해조사비"),$P3845,0),$P3845*(1-AG3845)*IFERROR(INDEX(계정대체기준!$D$20:$D$49,MATCH($N3845,계정대체기준!$A$20:$A$49,0)),0)))</f>
        <v/>
      </c>
      <c r="AB3845" s="94">
        <f>IF($A3845="",0,IF(AE3845="직접",IF(AF3845="수금비",$P3845,0),$P3845*(1-AG3845)*IFERROR(INDEX(계정대체기준!$E$20:$E$49,MATCH($N3845,계정대체기준!$A$20:$A$49,0)),0)))</f>
        <v/>
      </c>
      <c r="AC3845" s="9">
        <f>IF(AND($A3845&lt;&gt;"",M3845=설정!$C$20,Z3845&gt;0),Z3845+ROW()/1000000000,"")</f>
        <v/>
      </c>
      <c r="AD3845" s="94">
        <f>IF($A3845="",0,$P3845*AG3845)</f>
        <v/>
      </c>
      <c r="AE3845" s="64">
        <f>IF($A3845="","",IFERROR(INDEX(계정매핑!$E$5:$E$504,MATCH($F3845&amp;"",계정매핑!$A$5:$A$504,0))&amp;"","공통비"))</f>
        <v/>
      </c>
      <c r="AF3845" s="64">
        <f>IF($A3845="","",IF(AE3845="직접",IFERROR(INDEX(계정매핑!$F$5:$F$504,MATCH($F3845&amp;"",계정매핑!$A$5:$A$504,0))&amp;"","비귀속"),""))</f>
        <v/>
      </c>
      <c r="AG3845" s="96">
        <f>IF($A3845="",0,IF(AND(AE3845&lt;&gt;"직접",IFERROR(INDEX(계정매핑!$G$5:$G$504,MATCH($F3845&amp;"",계정매핑!$A$5:$A$504,0))&amp;"","")="유지비",COUNTIF(계정대체기준!$A$6:$A$15,$N3845)&gt;0),IFERROR(INDEX(계정대체기준!$E$6:$E$15,MATCH(VALUE($A3845&amp;""),계정대체기준!$D$6:$D$15,0)),0),0))</f>
        <v/>
      </c>
      <c r="AH3845" s="64">
        <f>IF($A3845="","",IF(AD3845=0,"",IF(OR(COUNTIF(계정대체기준!$A$77:$A$86,$N3845)&gt;0,ISNUMBER(MATCH($X3845,계정대체기준!$D$77:$D$86,0)),ISNUMBER(MATCH($F3845,계정대체기준!$D$77:$D$86,0))),"Y","N")))</f>
        <v/>
      </c>
    </row>
    <row r="3846">
      <c r="A3846" s="92" t="n">
        <v>2026</v>
      </c>
      <c r="B3846" s="92" t="n">
        <v>5</v>
      </c>
      <c r="C3846" s="92" t="inlineStr">
        <is>
          <t>5100001124</t>
        </is>
      </c>
      <c r="D3846" s="95" t="n">
        <v>46167</v>
      </c>
      <c r="E3846" s="92" t="inlineStr">
        <is>
          <t>KR</t>
        </is>
      </c>
      <c r="F3846" s="92" t="n">
        <v>62102000</v>
      </c>
      <c r="G3846" s="92" t="n">
        <v>1951</v>
      </c>
      <c r="H3846" s="93" t="n">
        <v>54000</v>
      </c>
      <c r="I3846" s="92" t="inlineStr">
        <is>
          <t>5월 해외출장 - N호텔</t>
        </is>
      </c>
      <c r="J3846" s="92" t="inlineStr">
        <is>
          <t>V10009</t>
        </is>
      </c>
      <c r="K3846" s="92" t="inlineStr">
        <is>
          <t>N호텔</t>
        </is>
      </c>
      <c r="M3846" s="9">
        <f>IF($A3846="","",VALUE($A3846&amp;"")*12+VALUE($B3846&amp;""))</f>
        <v/>
      </c>
      <c r="N3846" s="64">
        <f>IF($A3846="","",IFERROR(INDEX(부서매핑!$C$5:$C$504,MATCH($G3846&amp;"",부서매핑!$A$5:$A$504,0)),"미매핑"))</f>
        <v/>
      </c>
      <c r="O3846" s="9">
        <f>IF($A3846="","",N3846&amp;"|"&amp;$F3846)</f>
        <v/>
      </c>
      <c r="P3846" s="94">
        <f>IF($A3846="",0,$H3846*설정!$C$23)</f>
        <v/>
      </c>
      <c r="Q3846" s="64">
        <f>IF($A3846="","",IF(O3846&lt;&gt;원인분석!$C$9,"",IF(AND(M3846&gt;=원인분석!$C$10,M3846&lt;=원인분석!$C$11),"당기",IF(AND(M3846&gt;=원인분석!$C$12,M3846&lt;=원인분석!$C$13),"비교",""))))</f>
        <v/>
      </c>
      <c r="R3846" s="9">
        <f>IF(Q3846="","",$K3846&amp;"")</f>
        <v/>
      </c>
      <c r="S3846" s="9">
        <f>IF(Q3846="","",IF(MATCH(R3846,$R$5:$R$100000,0)=ROW()-4,ROW(),""))</f>
        <v/>
      </c>
      <c r="T3846" s="9">
        <f>IF(Q3846="당기",ABS(P3846)+ROW()/1000000000,"")</f>
        <v/>
      </c>
      <c r="U3846" s="9">
        <f>IF(Q3846="비교",ABS(P3846)+ROW()/1000000000,"")</f>
        <v/>
      </c>
      <c r="V3846" s="64">
        <f>IF($A3846="","",IF(COUNTIF(변동분석!$E$7:$E$506,O3846)&gt;0,"Y","N"))</f>
        <v/>
      </c>
      <c r="W3846" s="64">
        <f>IF($A3846="","",IFERROR(INDEX(계정매핑!$D$5:$D$504,MATCH($F3846&amp;"",계정매핑!$A$5:$A$504,0)),"미매핑"))</f>
        <v/>
      </c>
      <c r="X3846" s="9">
        <f>IF($A3846="","",$F3846&amp;"")</f>
        <v/>
      </c>
      <c r="Y3846" s="94">
        <f>IF($A3846="",0,IF(AE3846="직접",IF(AF3846="비귀속",$P3846,0),$P3846*(1-AG3846)*IFERROR(INDEX(계정대체기준!$F$20:$F$49,MATCH($N3846,계정대체기준!$A$20:$A$49,0)),1)))</f>
        <v/>
      </c>
      <c r="Z3846" s="94">
        <f>IF($A3846="",0,IF(AE3846="직접",IF(AF3846="신계약비",$P3846,0),$P3846*(1-AG3846)*IFERROR(INDEX(계정대체기준!$C$20:$C$49,MATCH($N3846,계정대체기준!$A$20:$A$49,0)),0)))</f>
        <v/>
      </c>
      <c r="AA3846" s="94">
        <f>IF($A3846="",0,IF(AE3846="직접",IF(OR(AF3846="유지비",AF3846="손해조사비"),$P3846,0),$P3846*(1-AG3846)*IFERROR(INDEX(계정대체기준!$D$20:$D$49,MATCH($N3846,계정대체기준!$A$20:$A$49,0)),0)))</f>
        <v/>
      </c>
      <c r="AB3846" s="94">
        <f>IF($A3846="",0,IF(AE3846="직접",IF(AF3846="수금비",$P3846,0),$P3846*(1-AG3846)*IFERROR(INDEX(계정대체기준!$E$20:$E$49,MATCH($N3846,계정대체기준!$A$20:$A$49,0)),0)))</f>
        <v/>
      </c>
      <c r="AC3846" s="9">
        <f>IF(AND($A3846&lt;&gt;"",M3846=설정!$C$20,Z3846&gt;0),Z3846+ROW()/1000000000,"")</f>
        <v/>
      </c>
      <c r="AD3846" s="94">
        <f>IF($A3846="",0,$P3846*AG3846)</f>
        <v/>
      </c>
      <c r="AE3846" s="64">
        <f>IF($A3846="","",IFERROR(INDEX(계정매핑!$E$5:$E$504,MATCH($F3846&amp;"",계정매핑!$A$5:$A$504,0))&amp;"","공통비"))</f>
        <v/>
      </c>
      <c r="AF3846" s="64">
        <f>IF($A3846="","",IF(AE3846="직접",IFERROR(INDEX(계정매핑!$F$5:$F$504,MATCH($F3846&amp;"",계정매핑!$A$5:$A$504,0))&amp;"","비귀속"),""))</f>
        <v/>
      </c>
      <c r="AG3846" s="96">
        <f>IF($A3846="",0,IF(AND(AE3846&lt;&gt;"직접",IFERROR(INDEX(계정매핑!$G$5:$G$504,MATCH($F3846&amp;"",계정매핑!$A$5:$A$504,0))&amp;"","")="유지비",COUNTIF(계정대체기준!$A$6:$A$15,$N3846)&gt;0),IFERROR(INDEX(계정대체기준!$E$6:$E$15,MATCH(VALUE($A3846&amp;""),계정대체기준!$D$6:$D$15,0)),0),0))</f>
        <v/>
      </c>
      <c r="AH3846" s="64">
        <f>IF($A3846="","",IF(AD3846=0,"",IF(OR(COUNTIF(계정대체기준!$A$77:$A$86,$N3846)&gt;0,ISNUMBER(MATCH($X3846,계정대체기준!$D$77:$D$86,0)),ISNUMBER(MATCH($F3846,계정대체기준!$D$77:$D$86,0))),"Y","N")))</f>
        <v/>
      </c>
    </row>
    <row r="3847">
      <c r="A3847" s="92" t="n">
        <v>2026</v>
      </c>
      <c r="B3847" s="92" t="n">
        <v>5</v>
      </c>
      <c r="C3847" s="92" t="inlineStr">
        <is>
          <t>5100001125</t>
        </is>
      </c>
      <c r="D3847" s="95" t="n">
        <v>46167</v>
      </c>
      <c r="E3847" s="92" t="inlineStr">
        <is>
          <t>KR</t>
        </is>
      </c>
      <c r="F3847" s="92" t="n">
        <v>62201000</v>
      </c>
      <c r="G3847" s="92" t="n">
        <v>1101</v>
      </c>
      <c r="H3847" s="93" t="n">
        <v>309000</v>
      </c>
      <c r="I3847" s="92" t="inlineStr">
        <is>
          <t>5월 통신요금 - P통신</t>
        </is>
      </c>
      <c r="J3847" s="92" t="inlineStr">
        <is>
          <t>V10014</t>
        </is>
      </c>
      <c r="K3847" s="92" t="inlineStr">
        <is>
          <t>P통신</t>
        </is>
      </c>
      <c r="M3847" s="9">
        <f>IF($A3847="","",VALUE($A3847&amp;"")*12+VALUE($B3847&amp;""))</f>
        <v/>
      </c>
      <c r="N3847" s="64">
        <f>IF($A3847="","",IFERROR(INDEX(부서매핑!$C$5:$C$504,MATCH($G3847&amp;"",부서매핑!$A$5:$A$504,0)),"미매핑"))</f>
        <v/>
      </c>
      <c r="O3847" s="9">
        <f>IF($A3847="","",N3847&amp;"|"&amp;$F3847)</f>
        <v/>
      </c>
      <c r="P3847" s="94">
        <f>IF($A3847="",0,$H3847*설정!$C$23)</f>
        <v/>
      </c>
      <c r="Q3847" s="64">
        <f>IF($A3847="","",IF(O3847&lt;&gt;원인분석!$C$9,"",IF(AND(M3847&gt;=원인분석!$C$10,M3847&lt;=원인분석!$C$11),"당기",IF(AND(M3847&gt;=원인분석!$C$12,M3847&lt;=원인분석!$C$13),"비교",""))))</f>
        <v/>
      </c>
      <c r="R3847" s="9">
        <f>IF(Q3847="","",$K3847&amp;"")</f>
        <v/>
      </c>
      <c r="S3847" s="9">
        <f>IF(Q3847="","",IF(MATCH(R3847,$R$5:$R$100000,0)=ROW()-4,ROW(),""))</f>
        <v/>
      </c>
      <c r="T3847" s="9">
        <f>IF(Q3847="당기",ABS(P3847)+ROW()/1000000000,"")</f>
        <v/>
      </c>
      <c r="U3847" s="9">
        <f>IF(Q3847="비교",ABS(P3847)+ROW()/1000000000,"")</f>
        <v/>
      </c>
      <c r="V3847" s="64">
        <f>IF($A3847="","",IF(COUNTIF(변동분석!$E$7:$E$506,O3847)&gt;0,"Y","N"))</f>
        <v/>
      </c>
      <c r="W3847" s="64">
        <f>IF($A3847="","",IFERROR(INDEX(계정매핑!$D$5:$D$504,MATCH($F3847&amp;"",계정매핑!$A$5:$A$504,0)),"미매핑"))</f>
        <v/>
      </c>
      <c r="X3847" s="9">
        <f>IF($A3847="","",$F3847&amp;"")</f>
        <v/>
      </c>
      <c r="Y3847" s="94">
        <f>IF($A3847="",0,IF(AE3847="직접",IF(AF3847="비귀속",$P3847,0),$P3847*(1-AG3847)*IFERROR(INDEX(계정대체기준!$F$20:$F$49,MATCH($N3847,계정대체기준!$A$20:$A$49,0)),1)))</f>
        <v/>
      </c>
      <c r="Z3847" s="94">
        <f>IF($A3847="",0,IF(AE3847="직접",IF(AF3847="신계약비",$P3847,0),$P3847*(1-AG3847)*IFERROR(INDEX(계정대체기준!$C$20:$C$49,MATCH($N3847,계정대체기준!$A$20:$A$49,0)),0)))</f>
        <v/>
      </c>
      <c r="AA3847" s="94">
        <f>IF($A3847="",0,IF(AE3847="직접",IF(OR(AF3847="유지비",AF3847="손해조사비"),$P3847,0),$P3847*(1-AG3847)*IFERROR(INDEX(계정대체기준!$D$20:$D$49,MATCH($N3847,계정대체기준!$A$20:$A$49,0)),0)))</f>
        <v/>
      </c>
      <c r="AB3847" s="94">
        <f>IF($A3847="",0,IF(AE3847="직접",IF(AF3847="수금비",$P3847,0),$P3847*(1-AG3847)*IFERROR(INDEX(계정대체기준!$E$20:$E$49,MATCH($N3847,계정대체기준!$A$20:$A$49,0)),0)))</f>
        <v/>
      </c>
      <c r="AC3847" s="9">
        <f>IF(AND($A3847&lt;&gt;"",M3847=설정!$C$20,Z3847&gt;0),Z3847+ROW()/1000000000,"")</f>
        <v/>
      </c>
      <c r="AD3847" s="94">
        <f>IF($A3847="",0,$P3847*AG3847)</f>
        <v/>
      </c>
      <c r="AE3847" s="64">
        <f>IF($A3847="","",IFERROR(INDEX(계정매핑!$E$5:$E$504,MATCH($F3847&amp;"",계정매핑!$A$5:$A$504,0))&amp;"","공통비"))</f>
        <v/>
      </c>
      <c r="AF3847" s="64">
        <f>IF($A3847="","",IF(AE3847="직접",IFERROR(INDEX(계정매핑!$F$5:$F$504,MATCH($F3847&amp;"",계정매핑!$A$5:$A$504,0))&amp;"","비귀속"),""))</f>
        <v/>
      </c>
      <c r="AG3847" s="96">
        <f>IF($A3847="",0,IF(AND(AE3847&lt;&gt;"직접",IFERROR(INDEX(계정매핑!$G$5:$G$504,MATCH($F3847&amp;"",계정매핑!$A$5:$A$504,0))&amp;"","")="유지비",COUNTIF(계정대체기준!$A$6:$A$15,$N3847)&gt;0),IFERROR(INDEX(계정대체기준!$E$6:$E$15,MATCH(VALUE($A3847&amp;""),계정대체기준!$D$6:$D$15,0)),0),0))</f>
        <v/>
      </c>
      <c r="AH3847" s="64">
        <f>IF($A3847="","",IF(AD3847=0,"",IF(OR(COUNTIF(계정대체기준!$A$77:$A$86,$N3847)&gt;0,ISNUMBER(MATCH($X3847,계정대체기준!$D$77:$D$86,0)),ISNUMBER(MATCH($F3847,계정대체기준!$D$77:$D$86,0))),"Y","N")))</f>
        <v/>
      </c>
    </row>
    <row r="3848">
      <c r="A3848" s="92" t="n">
        <v>2026</v>
      </c>
      <c r="B3848" s="92" t="n">
        <v>5</v>
      </c>
      <c r="C3848" s="92" t="inlineStr">
        <is>
          <t>5100001126</t>
        </is>
      </c>
      <c r="D3848" s="95" t="n">
        <v>46167</v>
      </c>
      <c r="E3848" s="92" t="inlineStr">
        <is>
          <t>KR</t>
        </is>
      </c>
      <c r="F3848" s="92" t="n">
        <v>62301000</v>
      </c>
      <c r="G3848" s="92" t="n">
        <v>1801</v>
      </c>
      <c r="H3848" s="93" t="n">
        <v>256000</v>
      </c>
      <c r="I3848" s="92" t="inlineStr">
        <is>
          <t>5월 소모품 구입 - Q오피스</t>
        </is>
      </c>
      <c r="J3848" s="92" t="inlineStr">
        <is>
          <t>V10003</t>
        </is>
      </c>
      <c r="K3848" s="92" t="inlineStr">
        <is>
          <t>Q오피스</t>
        </is>
      </c>
      <c r="M3848" s="9">
        <f>IF($A3848="","",VALUE($A3848&amp;"")*12+VALUE($B3848&amp;""))</f>
        <v/>
      </c>
      <c r="N3848" s="64">
        <f>IF($A3848="","",IFERROR(INDEX(부서매핑!$C$5:$C$504,MATCH($G3848&amp;"",부서매핑!$A$5:$A$504,0)),"미매핑"))</f>
        <v/>
      </c>
      <c r="O3848" s="9">
        <f>IF($A3848="","",N3848&amp;"|"&amp;$F3848)</f>
        <v/>
      </c>
      <c r="P3848" s="94">
        <f>IF($A3848="",0,$H3848*설정!$C$23)</f>
        <v/>
      </c>
      <c r="Q3848" s="64">
        <f>IF($A3848="","",IF(O3848&lt;&gt;원인분석!$C$9,"",IF(AND(M3848&gt;=원인분석!$C$10,M3848&lt;=원인분석!$C$11),"당기",IF(AND(M3848&gt;=원인분석!$C$12,M3848&lt;=원인분석!$C$13),"비교",""))))</f>
        <v/>
      </c>
      <c r="R3848" s="9">
        <f>IF(Q3848="","",$K3848&amp;"")</f>
        <v/>
      </c>
      <c r="S3848" s="9">
        <f>IF(Q3848="","",IF(MATCH(R3848,$R$5:$R$100000,0)=ROW()-4,ROW(),""))</f>
        <v/>
      </c>
      <c r="T3848" s="9">
        <f>IF(Q3848="당기",ABS(P3848)+ROW()/1000000000,"")</f>
        <v/>
      </c>
      <c r="U3848" s="9">
        <f>IF(Q3848="비교",ABS(P3848)+ROW()/1000000000,"")</f>
        <v/>
      </c>
      <c r="V3848" s="64">
        <f>IF($A3848="","",IF(COUNTIF(변동분석!$E$7:$E$506,O3848)&gt;0,"Y","N"))</f>
        <v/>
      </c>
      <c r="W3848" s="64">
        <f>IF($A3848="","",IFERROR(INDEX(계정매핑!$D$5:$D$504,MATCH($F3848&amp;"",계정매핑!$A$5:$A$504,0)),"미매핑"))</f>
        <v/>
      </c>
      <c r="X3848" s="9">
        <f>IF($A3848="","",$F3848&amp;"")</f>
        <v/>
      </c>
      <c r="Y3848" s="94">
        <f>IF($A3848="",0,IF(AE3848="직접",IF(AF3848="비귀속",$P3848,0),$P3848*(1-AG3848)*IFERROR(INDEX(계정대체기준!$F$20:$F$49,MATCH($N3848,계정대체기준!$A$20:$A$49,0)),1)))</f>
        <v/>
      </c>
      <c r="Z3848" s="94">
        <f>IF($A3848="",0,IF(AE3848="직접",IF(AF3848="신계약비",$P3848,0),$P3848*(1-AG3848)*IFERROR(INDEX(계정대체기준!$C$20:$C$49,MATCH($N3848,계정대체기준!$A$20:$A$49,0)),0)))</f>
        <v/>
      </c>
      <c r="AA3848" s="94">
        <f>IF($A3848="",0,IF(AE3848="직접",IF(OR(AF3848="유지비",AF3848="손해조사비"),$P3848,0),$P3848*(1-AG3848)*IFERROR(INDEX(계정대체기준!$D$20:$D$49,MATCH($N3848,계정대체기준!$A$20:$A$49,0)),0)))</f>
        <v/>
      </c>
      <c r="AB3848" s="94">
        <f>IF($A3848="",0,IF(AE3848="직접",IF(AF3848="수금비",$P3848,0),$P3848*(1-AG3848)*IFERROR(INDEX(계정대체기준!$E$20:$E$49,MATCH($N3848,계정대체기준!$A$20:$A$49,0)),0)))</f>
        <v/>
      </c>
      <c r="AC3848" s="9">
        <f>IF(AND($A3848&lt;&gt;"",M3848=설정!$C$20,Z3848&gt;0),Z3848+ROW()/1000000000,"")</f>
        <v/>
      </c>
      <c r="AD3848" s="94">
        <f>IF($A3848="",0,$P3848*AG3848)</f>
        <v/>
      </c>
      <c r="AE3848" s="64">
        <f>IF($A3848="","",IFERROR(INDEX(계정매핑!$E$5:$E$504,MATCH($F3848&amp;"",계정매핑!$A$5:$A$504,0))&amp;"","공통비"))</f>
        <v/>
      </c>
      <c r="AF3848" s="64">
        <f>IF($A3848="","",IF(AE3848="직접",IFERROR(INDEX(계정매핑!$F$5:$F$504,MATCH($F3848&amp;"",계정매핑!$A$5:$A$504,0))&amp;"","비귀속"),""))</f>
        <v/>
      </c>
      <c r="AG3848" s="96">
        <f>IF($A3848="",0,IF(AND(AE3848&lt;&gt;"직접",IFERROR(INDEX(계정매핑!$G$5:$G$504,MATCH($F3848&amp;"",계정매핑!$A$5:$A$504,0))&amp;"","")="유지비",COUNTIF(계정대체기준!$A$6:$A$15,$N3848)&gt;0),IFERROR(INDEX(계정대체기준!$E$6:$E$15,MATCH(VALUE($A3848&amp;""),계정대체기준!$D$6:$D$15,0)),0),0))</f>
        <v/>
      </c>
      <c r="AH3848" s="64">
        <f>IF($A3848="","",IF(AD3848=0,"",IF(OR(COUNTIF(계정대체기준!$A$77:$A$86,$N3848)&gt;0,ISNUMBER(MATCH($X3848,계정대체기준!$D$77:$D$86,0)),ISNUMBER(MATCH($F3848,계정대체기준!$D$77:$D$86,0))),"Y","N")))</f>
        <v/>
      </c>
    </row>
    <row r="3849">
      <c r="A3849" s="92" t="n">
        <v>2026</v>
      </c>
      <c r="B3849" s="92" t="n">
        <v>5</v>
      </c>
      <c r="C3849" s="92" t="inlineStr">
        <is>
          <t>5100001127</t>
        </is>
      </c>
      <c r="D3849" s="95" t="n">
        <v>46167</v>
      </c>
      <c r="E3849" s="92" t="inlineStr">
        <is>
          <t>KR</t>
        </is>
      </c>
      <c r="F3849" s="92" t="n">
        <v>62902000</v>
      </c>
      <c r="G3849" s="92" t="n">
        <v>1201</v>
      </c>
      <c r="H3849" s="93" t="n">
        <v>2882000</v>
      </c>
      <c r="I3849" s="92" t="inlineStr">
        <is>
          <t>5월 업무 위탁 수수료 - X서비스</t>
        </is>
      </c>
      <c r="J3849" s="92" t="inlineStr">
        <is>
          <t>V10020</t>
        </is>
      </c>
      <c r="K3849" s="92" t="inlineStr">
        <is>
          <t>X서비스</t>
        </is>
      </c>
      <c r="M3849" s="9">
        <f>IF($A3849="","",VALUE($A3849&amp;"")*12+VALUE($B3849&amp;""))</f>
        <v/>
      </c>
      <c r="N3849" s="64">
        <f>IF($A3849="","",IFERROR(INDEX(부서매핑!$C$5:$C$504,MATCH($G3849&amp;"",부서매핑!$A$5:$A$504,0)),"미매핑"))</f>
        <v/>
      </c>
      <c r="O3849" s="9">
        <f>IF($A3849="","",N3849&amp;"|"&amp;$F3849)</f>
        <v/>
      </c>
      <c r="P3849" s="94">
        <f>IF($A3849="",0,$H3849*설정!$C$23)</f>
        <v/>
      </c>
      <c r="Q3849" s="64">
        <f>IF($A3849="","",IF(O3849&lt;&gt;원인분석!$C$9,"",IF(AND(M3849&gt;=원인분석!$C$10,M3849&lt;=원인분석!$C$11),"당기",IF(AND(M3849&gt;=원인분석!$C$12,M3849&lt;=원인분석!$C$13),"비교",""))))</f>
        <v/>
      </c>
      <c r="R3849" s="9">
        <f>IF(Q3849="","",$K3849&amp;"")</f>
        <v/>
      </c>
      <c r="S3849" s="9">
        <f>IF(Q3849="","",IF(MATCH(R3849,$R$5:$R$100000,0)=ROW()-4,ROW(),""))</f>
        <v/>
      </c>
      <c r="T3849" s="9">
        <f>IF(Q3849="당기",ABS(P3849)+ROW()/1000000000,"")</f>
        <v/>
      </c>
      <c r="U3849" s="9">
        <f>IF(Q3849="비교",ABS(P3849)+ROW()/1000000000,"")</f>
        <v/>
      </c>
      <c r="V3849" s="64">
        <f>IF($A3849="","",IF(COUNTIF(변동분석!$E$7:$E$506,O3849)&gt;0,"Y","N"))</f>
        <v/>
      </c>
      <c r="W3849" s="64">
        <f>IF($A3849="","",IFERROR(INDEX(계정매핑!$D$5:$D$504,MATCH($F3849&amp;"",계정매핑!$A$5:$A$504,0)),"미매핑"))</f>
        <v/>
      </c>
      <c r="X3849" s="9">
        <f>IF($A3849="","",$F3849&amp;"")</f>
        <v/>
      </c>
      <c r="Y3849" s="94">
        <f>IF($A3849="",0,IF(AE3849="직접",IF(AF3849="비귀속",$P3849,0),$P3849*(1-AG3849)*IFERROR(INDEX(계정대체기준!$F$20:$F$49,MATCH($N3849,계정대체기준!$A$20:$A$49,0)),1)))</f>
        <v/>
      </c>
      <c r="Z3849" s="94">
        <f>IF($A3849="",0,IF(AE3849="직접",IF(AF3849="신계약비",$P3849,0),$P3849*(1-AG3849)*IFERROR(INDEX(계정대체기준!$C$20:$C$49,MATCH($N3849,계정대체기준!$A$20:$A$49,0)),0)))</f>
        <v/>
      </c>
      <c r="AA3849" s="94">
        <f>IF($A3849="",0,IF(AE3849="직접",IF(OR(AF3849="유지비",AF3849="손해조사비"),$P3849,0),$P3849*(1-AG3849)*IFERROR(INDEX(계정대체기준!$D$20:$D$49,MATCH($N3849,계정대체기준!$A$20:$A$49,0)),0)))</f>
        <v/>
      </c>
      <c r="AB3849" s="94">
        <f>IF($A3849="",0,IF(AE3849="직접",IF(AF3849="수금비",$P3849,0),$P3849*(1-AG3849)*IFERROR(INDEX(계정대체기준!$E$20:$E$49,MATCH($N3849,계정대체기준!$A$20:$A$49,0)),0)))</f>
        <v/>
      </c>
      <c r="AC3849" s="9">
        <f>IF(AND($A3849&lt;&gt;"",M3849=설정!$C$20,Z3849&gt;0),Z3849+ROW()/1000000000,"")</f>
        <v/>
      </c>
      <c r="AD3849" s="94">
        <f>IF($A3849="",0,$P3849*AG3849)</f>
        <v/>
      </c>
      <c r="AE3849" s="64">
        <f>IF($A3849="","",IFERROR(INDEX(계정매핑!$E$5:$E$504,MATCH($F3849&amp;"",계정매핑!$A$5:$A$504,0))&amp;"","공통비"))</f>
        <v/>
      </c>
      <c r="AF3849" s="64">
        <f>IF($A3849="","",IF(AE3849="직접",IFERROR(INDEX(계정매핑!$F$5:$F$504,MATCH($F3849&amp;"",계정매핑!$A$5:$A$504,0))&amp;"","비귀속"),""))</f>
        <v/>
      </c>
      <c r="AG3849" s="96">
        <f>IF($A3849="",0,IF(AND(AE3849&lt;&gt;"직접",IFERROR(INDEX(계정매핑!$G$5:$G$504,MATCH($F3849&amp;"",계정매핑!$A$5:$A$504,0))&amp;"","")="유지비",COUNTIF(계정대체기준!$A$6:$A$15,$N3849)&gt;0),IFERROR(INDEX(계정대체기준!$E$6:$E$15,MATCH(VALUE($A3849&amp;""),계정대체기준!$D$6:$D$15,0)),0),0))</f>
        <v/>
      </c>
      <c r="AH3849" s="64">
        <f>IF($A3849="","",IF(AD3849=0,"",IF(OR(COUNTIF(계정대체기준!$A$77:$A$86,$N3849)&gt;0,ISNUMBER(MATCH($X3849,계정대체기준!$D$77:$D$86,0)),ISNUMBER(MATCH($F3849,계정대체기준!$D$77:$D$86,0))),"Y","N")))</f>
        <v/>
      </c>
    </row>
    <row r="3850">
      <c r="A3850" s="92" t="n">
        <v>2026</v>
      </c>
      <c r="B3850" s="92" t="n">
        <v>5</v>
      </c>
      <c r="C3850" s="92" t="inlineStr">
        <is>
          <t>5100001128</t>
        </is>
      </c>
      <c r="D3850" s="95" t="n">
        <v>46167</v>
      </c>
      <c r="E3850" s="92" t="inlineStr">
        <is>
          <t>KR</t>
        </is>
      </c>
      <c r="F3850" s="92" t="n">
        <v>62902000</v>
      </c>
      <c r="G3850" s="92" t="n">
        <v>1401</v>
      </c>
      <c r="H3850" s="93" t="n">
        <v>1239000</v>
      </c>
      <c r="I3850" s="92" t="inlineStr">
        <is>
          <t>5월 업무 위탁 수수료 - J콜센터</t>
        </is>
      </c>
      <c r="J3850" s="92" t="inlineStr">
        <is>
          <t>V10016</t>
        </is>
      </c>
      <c r="K3850" s="92" t="inlineStr">
        <is>
          <t>J콜센터</t>
        </is>
      </c>
      <c r="M3850" s="9">
        <f>IF($A3850="","",VALUE($A3850&amp;"")*12+VALUE($B3850&amp;""))</f>
        <v/>
      </c>
      <c r="N3850" s="64">
        <f>IF($A3850="","",IFERROR(INDEX(부서매핑!$C$5:$C$504,MATCH($G3850&amp;"",부서매핑!$A$5:$A$504,0)),"미매핑"))</f>
        <v/>
      </c>
      <c r="O3850" s="9">
        <f>IF($A3850="","",N3850&amp;"|"&amp;$F3850)</f>
        <v/>
      </c>
      <c r="P3850" s="94">
        <f>IF($A3850="",0,$H3850*설정!$C$23)</f>
        <v/>
      </c>
      <c r="Q3850" s="64">
        <f>IF($A3850="","",IF(O3850&lt;&gt;원인분석!$C$9,"",IF(AND(M3850&gt;=원인분석!$C$10,M3850&lt;=원인분석!$C$11),"당기",IF(AND(M3850&gt;=원인분석!$C$12,M3850&lt;=원인분석!$C$13),"비교",""))))</f>
        <v/>
      </c>
      <c r="R3850" s="9">
        <f>IF(Q3850="","",$K3850&amp;"")</f>
        <v/>
      </c>
      <c r="S3850" s="9">
        <f>IF(Q3850="","",IF(MATCH(R3850,$R$5:$R$100000,0)=ROW()-4,ROW(),""))</f>
        <v/>
      </c>
      <c r="T3850" s="9">
        <f>IF(Q3850="당기",ABS(P3850)+ROW()/1000000000,"")</f>
        <v/>
      </c>
      <c r="U3850" s="9">
        <f>IF(Q3850="비교",ABS(P3850)+ROW()/1000000000,"")</f>
        <v/>
      </c>
      <c r="V3850" s="64">
        <f>IF($A3850="","",IF(COUNTIF(변동분석!$E$7:$E$506,O3850)&gt;0,"Y","N"))</f>
        <v/>
      </c>
      <c r="W3850" s="64">
        <f>IF($A3850="","",IFERROR(INDEX(계정매핑!$D$5:$D$504,MATCH($F3850&amp;"",계정매핑!$A$5:$A$504,0)),"미매핑"))</f>
        <v/>
      </c>
      <c r="X3850" s="9">
        <f>IF($A3850="","",$F3850&amp;"")</f>
        <v/>
      </c>
      <c r="Y3850" s="94">
        <f>IF($A3850="",0,IF(AE3850="직접",IF(AF3850="비귀속",$P3850,0),$P3850*(1-AG3850)*IFERROR(INDEX(계정대체기준!$F$20:$F$49,MATCH($N3850,계정대체기준!$A$20:$A$49,0)),1)))</f>
        <v/>
      </c>
      <c r="Z3850" s="94">
        <f>IF($A3850="",0,IF(AE3850="직접",IF(AF3850="신계약비",$P3850,0),$P3850*(1-AG3850)*IFERROR(INDEX(계정대체기준!$C$20:$C$49,MATCH($N3850,계정대체기준!$A$20:$A$49,0)),0)))</f>
        <v/>
      </c>
      <c r="AA3850" s="94">
        <f>IF($A3850="",0,IF(AE3850="직접",IF(OR(AF3850="유지비",AF3850="손해조사비"),$P3850,0),$P3850*(1-AG3850)*IFERROR(INDEX(계정대체기준!$D$20:$D$49,MATCH($N3850,계정대체기준!$A$20:$A$49,0)),0)))</f>
        <v/>
      </c>
      <c r="AB3850" s="94">
        <f>IF($A3850="",0,IF(AE3850="직접",IF(AF3850="수금비",$P3850,0),$P3850*(1-AG3850)*IFERROR(INDEX(계정대체기준!$E$20:$E$49,MATCH($N3850,계정대체기준!$A$20:$A$49,0)),0)))</f>
        <v/>
      </c>
      <c r="AC3850" s="9">
        <f>IF(AND($A3850&lt;&gt;"",M3850=설정!$C$20,Z3850&gt;0),Z3850+ROW()/1000000000,"")</f>
        <v/>
      </c>
      <c r="AD3850" s="94">
        <f>IF($A3850="",0,$P3850*AG3850)</f>
        <v/>
      </c>
      <c r="AE3850" s="64">
        <f>IF($A3850="","",IFERROR(INDEX(계정매핑!$E$5:$E$504,MATCH($F3850&amp;"",계정매핑!$A$5:$A$504,0))&amp;"","공통비"))</f>
        <v/>
      </c>
      <c r="AF3850" s="64">
        <f>IF($A3850="","",IF(AE3850="직접",IFERROR(INDEX(계정매핑!$F$5:$F$504,MATCH($F3850&amp;"",계정매핑!$A$5:$A$504,0))&amp;"","비귀속"),""))</f>
        <v/>
      </c>
      <c r="AG3850" s="96">
        <f>IF($A3850="",0,IF(AND(AE3850&lt;&gt;"직접",IFERROR(INDEX(계정매핑!$G$5:$G$504,MATCH($F3850&amp;"",계정매핑!$A$5:$A$504,0))&amp;"","")="유지비",COUNTIF(계정대체기준!$A$6:$A$15,$N3850)&gt;0),IFERROR(INDEX(계정대체기준!$E$6:$E$15,MATCH(VALUE($A3850&amp;""),계정대체기준!$D$6:$D$15,0)),0),0))</f>
        <v/>
      </c>
      <c r="AH3850" s="64">
        <f>IF($A3850="","",IF(AD3850=0,"",IF(OR(COUNTIF(계정대체기준!$A$77:$A$86,$N3850)&gt;0,ISNUMBER(MATCH($X3850,계정대체기준!$D$77:$D$86,0)),ISNUMBER(MATCH($F3850,계정대체기준!$D$77:$D$86,0))),"Y","N")))</f>
        <v/>
      </c>
    </row>
    <row r="3851">
      <c r="A3851" s="92" t="n">
        <v>2026</v>
      </c>
      <c r="B3851" s="92" t="n">
        <v>5</v>
      </c>
      <c r="C3851" s="92" t="inlineStr">
        <is>
          <t>5100001129</t>
        </is>
      </c>
      <c r="D3851" s="95" t="n">
        <v>46167</v>
      </c>
      <c r="E3851" s="92" t="inlineStr">
        <is>
          <t>KR</t>
        </is>
      </c>
      <c r="F3851" s="92" t="n">
        <v>62902000</v>
      </c>
      <c r="G3851" s="92" t="n">
        <v>1801</v>
      </c>
      <c r="H3851" s="93" t="n">
        <v>1752000</v>
      </c>
      <c r="I3851" s="92" t="inlineStr">
        <is>
          <t>5월 콜 위탁 수수료(건별)</t>
        </is>
      </c>
      <c r="J3851" s="92" t="inlineStr">
        <is>
          <t>V10016</t>
        </is>
      </c>
      <c r="K3851" s="92" t="inlineStr">
        <is>
          <t>J콜센터</t>
        </is>
      </c>
      <c r="M3851" s="9">
        <f>IF($A3851="","",VALUE($A3851&amp;"")*12+VALUE($B3851&amp;""))</f>
        <v/>
      </c>
      <c r="N3851" s="64">
        <f>IF($A3851="","",IFERROR(INDEX(부서매핑!$C$5:$C$504,MATCH($G3851&amp;"",부서매핑!$A$5:$A$504,0)),"미매핑"))</f>
        <v/>
      </c>
      <c r="O3851" s="9">
        <f>IF($A3851="","",N3851&amp;"|"&amp;$F3851)</f>
        <v/>
      </c>
      <c r="P3851" s="94">
        <f>IF($A3851="",0,$H3851*설정!$C$23)</f>
        <v/>
      </c>
      <c r="Q3851" s="64">
        <f>IF($A3851="","",IF(O3851&lt;&gt;원인분석!$C$9,"",IF(AND(M3851&gt;=원인분석!$C$10,M3851&lt;=원인분석!$C$11),"당기",IF(AND(M3851&gt;=원인분석!$C$12,M3851&lt;=원인분석!$C$13),"비교",""))))</f>
        <v/>
      </c>
      <c r="R3851" s="9">
        <f>IF(Q3851="","",$K3851&amp;"")</f>
        <v/>
      </c>
      <c r="S3851" s="9">
        <f>IF(Q3851="","",IF(MATCH(R3851,$R$5:$R$100000,0)=ROW()-4,ROW(),""))</f>
        <v/>
      </c>
      <c r="T3851" s="9">
        <f>IF(Q3851="당기",ABS(P3851)+ROW()/1000000000,"")</f>
        <v/>
      </c>
      <c r="U3851" s="9">
        <f>IF(Q3851="비교",ABS(P3851)+ROW()/1000000000,"")</f>
        <v/>
      </c>
      <c r="V3851" s="64">
        <f>IF($A3851="","",IF(COUNTIF(변동분석!$E$7:$E$506,O3851)&gt;0,"Y","N"))</f>
        <v/>
      </c>
      <c r="W3851" s="64">
        <f>IF($A3851="","",IFERROR(INDEX(계정매핑!$D$5:$D$504,MATCH($F3851&amp;"",계정매핑!$A$5:$A$504,0)),"미매핑"))</f>
        <v/>
      </c>
      <c r="X3851" s="9">
        <f>IF($A3851="","",$F3851&amp;"")</f>
        <v/>
      </c>
      <c r="Y3851" s="94">
        <f>IF($A3851="",0,IF(AE3851="직접",IF(AF3851="비귀속",$P3851,0),$P3851*(1-AG3851)*IFERROR(INDEX(계정대체기준!$F$20:$F$49,MATCH($N3851,계정대체기준!$A$20:$A$49,0)),1)))</f>
        <v/>
      </c>
      <c r="Z3851" s="94">
        <f>IF($A3851="",0,IF(AE3851="직접",IF(AF3851="신계약비",$P3851,0),$P3851*(1-AG3851)*IFERROR(INDEX(계정대체기준!$C$20:$C$49,MATCH($N3851,계정대체기준!$A$20:$A$49,0)),0)))</f>
        <v/>
      </c>
      <c r="AA3851" s="94">
        <f>IF($A3851="",0,IF(AE3851="직접",IF(OR(AF3851="유지비",AF3851="손해조사비"),$P3851,0),$P3851*(1-AG3851)*IFERROR(INDEX(계정대체기준!$D$20:$D$49,MATCH($N3851,계정대체기준!$A$20:$A$49,0)),0)))</f>
        <v/>
      </c>
      <c r="AB3851" s="94">
        <f>IF($A3851="",0,IF(AE3851="직접",IF(AF3851="수금비",$P3851,0),$P3851*(1-AG3851)*IFERROR(INDEX(계정대체기준!$E$20:$E$49,MATCH($N3851,계정대체기준!$A$20:$A$49,0)),0)))</f>
        <v/>
      </c>
      <c r="AC3851" s="9">
        <f>IF(AND($A3851&lt;&gt;"",M3851=설정!$C$20,Z3851&gt;0),Z3851+ROW()/1000000000,"")</f>
        <v/>
      </c>
      <c r="AD3851" s="94">
        <f>IF($A3851="",0,$P3851*AG3851)</f>
        <v/>
      </c>
      <c r="AE3851" s="64">
        <f>IF($A3851="","",IFERROR(INDEX(계정매핑!$E$5:$E$504,MATCH($F3851&amp;"",계정매핑!$A$5:$A$504,0))&amp;"","공통비"))</f>
        <v/>
      </c>
      <c r="AF3851" s="64">
        <f>IF($A3851="","",IF(AE3851="직접",IFERROR(INDEX(계정매핑!$F$5:$F$504,MATCH($F3851&amp;"",계정매핑!$A$5:$A$504,0))&amp;"","비귀속"),""))</f>
        <v/>
      </c>
      <c r="AG3851" s="96">
        <f>IF($A3851="",0,IF(AND(AE3851&lt;&gt;"직접",IFERROR(INDEX(계정매핑!$G$5:$G$504,MATCH($F3851&amp;"",계정매핑!$A$5:$A$504,0))&amp;"","")="유지비",COUNTIF(계정대체기준!$A$6:$A$15,$N3851)&gt;0),IFERROR(INDEX(계정대체기준!$E$6:$E$15,MATCH(VALUE($A3851&amp;""),계정대체기준!$D$6:$D$15,0)),0),0))</f>
        <v/>
      </c>
      <c r="AH3851" s="64">
        <f>IF($A3851="","",IF(AD3851=0,"",IF(OR(COUNTIF(계정대체기준!$A$77:$A$86,$N3851)&gt;0,ISNUMBER(MATCH($X3851,계정대체기준!$D$77:$D$86,0)),ISNUMBER(MATCH($F3851,계정대체기준!$D$77:$D$86,0))),"Y","N")))</f>
        <v/>
      </c>
    </row>
    <row r="3852">
      <c r="A3852" s="92" t="n">
        <v>2026</v>
      </c>
      <c r="B3852" s="92" t="n">
        <v>5</v>
      </c>
      <c r="C3852" s="92" t="inlineStr">
        <is>
          <t>5100001130</t>
        </is>
      </c>
      <c r="D3852" s="95" t="n">
        <v>46167</v>
      </c>
      <c r="E3852" s="92" t="inlineStr">
        <is>
          <t>KR</t>
        </is>
      </c>
      <c r="F3852" s="92" t="n">
        <v>63002000</v>
      </c>
      <c r="G3852" s="92" t="n">
        <v>1701</v>
      </c>
      <c r="H3852" s="93" t="n">
        <v>79000000</v>
      </c>
      <c r="I3852" s="92" t="inlineStr">
        <is>
          <t>5월 클라우드 사용료 - C클라우드</t>
        </is>
      </c>
      <c r="J3852" s="92" t="inlineStr">
        <is>
          <t>V10026</t>
        </is>
      </c>
      <c r="K3852" s="92" t="inlineStr">
        <is>
          <t>C클라우드</t>
        </is>
      </c>
      <c r="M3852" s="9">
        <f>IF($A3852="","",VALUE($A3852&amp;"")*12+VALUE($B3852&amp;""))</f>
        <v/>
      </c>
      <c r="N3852" s="64">
        <f>IF($A3852="","",IFERROR(INDEX(부서매핑!$C$5:$C$504,MATCH($G3852&amp;"",부서매핑!$A$5:$A$504,0)),"미매핑"))</f>
        <v/>
      </c>
      <c r="O3852" s="9">
        <f>IF($A3852="","",N3852&amp;"|"&amp;$F3852)</f>
        <v/>
      </c>
      <c r="P3852" s="94">
        <f>IF($A3852="",0,$H3852*설정!$C$23)</f>
        <v/>
      </c>
      <c r="Q3852" s="64">
        <f>IF($A3852="","",IF(O3852&lt;&gt;원인분석!$C$9,"",IF(AND(M3852&gt;=원인분석!$C$10,M3852&lt;=원인분석!$C$11),"당기",IF(AND(M3852&gt;=원인분석!$C$12,M3852&lt;=원인분석!$C$13),"비교",""))))</f>
        <v/>
      </c>
      <c r="R3852" s="9">
        <f>IF(Q3852="","",$K3852&amp;"")</f>
        <v/>
      </c>
      <c r="S3852" s="9">
        <f>IF(Q3852="","",IF(MATCH(R3852,$R$5:$R$100000,0)=ROW()-4,ROW(),""))</f>
        <v/>
      </c>
      <c r="T3852" s="9">
        <f>IF(Q3852="당기",ABS(P3852)+ROW()/1000000000,"")</f>
        <v/>
      </c>
      <c r="U3852" s="9">
        <f>IF(Q3852="비교",ABS(P3852)+ROW()/1000000000,"")</f>
        <v/>
      </c>
      <c r="V3852" s="64">
        <f>IF($A3852="","",IF(COUNTIF(변동분석!$E$7:$E$506,O3852)&gt;0,"Y","N"))</f>
        <v/>
      </c>
      <c r="W3852" s="64">
        <f>IF($A3852="","",IFERROR(INDEX(계정매핑!$D$5:$D$504,MATCH($F3852&amp;"",계정매핑!$A$5:$A$504,0)),"미매핑"))</f>
        <v/>
      </c>
      <c r="X3852" s="9">
        <f>IF($A3852="","",$F3852&amp;"")</f>
        <v/>
      </c>
      <c r="Y3852" s="94">
        <f>IF($A3852="",0,IF(AE3852="직접",IF(AF3852="비귀속",$P3852,0),$P3852*(1-AG3852)*IFERROR(INDEX(계정대체기준!$F$20:$F$49,MATCH($N3852,계정대체기준!$A$20:$A$49,0)),1)))</f>
        <v/>
      </c>
      <c r="Z3852" s="94">
        <f>IF($A3852="",0,IF(AE3852="직접",IF(AF3852="신계약비",$P3852,0),$P3852*(1-AG3852)*IFERROR(INDEX(계정대체기준!$C$20:$C$49,MATCH($N3852,계정대체기준!$A$20:$A$49,0)),0)))</f>
        <v/>
      </c>
      <c r="AA3852" s="94">
        <f>IF($A3852="",0,IF(AE3852="직접",IF(OR(AF3852="유지비",AF3852="손해조사비"),$P3852,0),$P3852*(1-AG3852)*IFERROR(INDEX(계정대체기준!$D$20:$D$49,MATCH($N3852,계정대체기준!$A$20:$A$49,0)),0)))</f>
        <v/>
      </c>
      <c r="AB3852" s="94">
        <f>IF($A3852="",0,IF(AE3852="직접",IF(AF3852="수금비",$P3852,0),$P3852*(1-AG3852)*IFERROR(INDEX(계정대체기준!$E$20:$E$49,MATCH($N3852,계정대체기준!$A$20:$A$49,0)),0)))</f>
        <v/>
      </c>
      <c r="AC3852" s="9">
        <f>IF(AND($A3852&lt;&gt;"",M3852=설정!$C$20,Z3852&gt;0),Z3852+ROW()/1000000000,"")</f>
        <v/>
      </c>
      <c r="AD3852" s="94">
        <f>IF($A3852="",0,$P3852*AG3852)</f>
        <v/>
      </c>
      <c r="AE3852" s="64">
        <f>IF($A3852="","",IFERROR(INDEX(계정매핑!$E$5:$E$504,MATCH($F3852&amp;"",계정매핑!$A$5:$A$504,0))&amp;"","공통비"))</f>
        <v/>
      </c>
      <c r="AF3852" s="64">
        <f>IF($A3852="","",IF(AE3852="직접",IFERROR(INDEX(계정매핑!$F$5:$F$504,MATCH($F3852&amp;"",계정매핑!$A$5:$A$504,0))&amp;"","비귀속"),""))</f>
        <v/>
      </c>
      <c r="AG3852" s="96">
        <f>IF($A3852="",0,IF(AND(AE3852&lt;&gt;"직접",IFERROR(INDEX(계정매핑!$G$5:$G$504,MATCH($F3852&amp;"",계정매핑!$A$5:$A$504,0))&amp;"","")="유지비",COUNTIF(계정대체기준!$A$6:$A$15,$N3852)&gt;0),IFERROR(INDEX(계정대체기준!$E$6:$E$15,MATCH(VALUE($A3852&amp;""),계정대체기준!$D$6:$D$15,0)),0),0))</f>
        <v/>
      </c>
      <c r="AH3852" s="64">
        <f>IF($A3852="","",IF(AD3852=0,"",IF(OR(COUNTIF(계정대체기준!$A$77:$A$86,$N3852)&gt;0,ISNUMBER(MATCH($X3852,계정대체기준!$D$77:$D$86,0)),ISNUMBER(MATCH($F3852,계정대체기준!$D$77:$D$86,0))),"Y","N")))</f>
        <v/>
      </c>
    </row>
    <row r="3853">
      <c r="A3853" s="92" t="n">
        <v>2026</v>
      </c>
      <c r="B3853" s="92" t="n">
        <v>5</v>
      </c>
      <c r="C3853" s="92" t="inlineStr">
        <is>
          <t>5100001131</t>
        </is>
      </c>
      <c r="D3853" s="95" t="n">
        <v>46167</v>
      </c>
      <c r="E3853" s="92" t="inlineStr">
        <is>
          <t>KR</t>
        </is>
      </c>
      <c r="F3853" s="92" t="n">
        <v>63501000</v>
      </c>
      <c r="G3853" s="92" t="n">
        <v>1901</v>
      </c>
      <c r="H3853" s="93" t="n">
        <v>571411000</v>
      </c>
      <c r="I3853" s="92" t="inlineStr">
        <is>
          <t>5월 모집수수료 - BB에셋</t>
        </is>
      </c>
      <c r="J3853" s="92" t="inlineStr">
        <is>
          <t>V10013</t>
        </is>
      </c>
      <c r="K3853" s="92" t="inlineStr">
        <is>
          <t>BB에셋</t>
        </is>
      </c>
      <c r="M3853" s="9">
        <f>IF($A3853="","",VALUE($A3853&amp;"")*12+VALUE($B3853&amp;""))</f>
        <v/>
      </c>
      <c r="N3853" s="64">
        <f>IF($A3853="","",IFERROR(INDEX(부서매핑!$C$5:$C$504,MATCH($G3853&amp;"",부서매핑!$A$5:$A$504,0)),"미매핑"))</f>
        <v/>
      </c>
      <c r="O3853" s="9">
        <f>IF($A3853="","",N3853&amp;"|"&amp;$F3853)</f>
        <v/>
      </c>
      <c r="P3853" s="94">
        <f>IF($A3853="",0,$H3853*설정!$C$23)</f>
        <v/>
      </c>
      <c r="Q3853" s="64">
        <f>IF($A3853="","",IF(O3853&lt;&gt;원인분석!$C$9,"",IF(AND(M3853&gt;=원인분석!$C$10,M3853&lt;=원인분석!$C$11),"당기",IF(AND(M3853&gt;=원인분석!$C$12,M3853&lt;=원인분석!$C$13),"비교",""))))</f>
        <v/>
      </c>
      <c r="R3853" s="9">
        <f>IF(Q3853="","",$K3853&amp;"")</f>
        <v/>
      </c>
      <c r="S3853" s="9">
        <f>IF(Q3853="","",IF(MATCH(R3853,$R$5:$R$100000,0)=ROW()-4,ROW(),""))</f>
        <v/>
      </c>
      <c r="T3853" s="9">
        <f>IF(Q3853="당기",ABS(P3853)+ROW()/1000000000,"")</f>
        <v/>
      </c>
      <c r="U3853" s="9">
        <f>IF(Q3853="비교",ABS(P3853)+ROW()/1000000000,"")</f>
        <v/>
      </c>
      <c r="V3853" s="64">
        <f>IF($A3853="","",IF(COUNTIF(변동분석!$E$7:$E$506,O3853)&gt;0,"Y","N"))</f>
        <v/>
      </c>
      <c r="W3853" s="64">
        <f>IF($A3853="","",IFERROR(INDEX(계정매핑!$D$5:$D$504,MATCH($F3853&amp;"",계정매핑!$A$5:$A$504,0)),"미매핑"))</f>
        <v/>
      </c>
      <c r="X3853" s="9">
        <f>IF($A3853="","",$F3853&amp;"")</f>
        <v/>
      </c>
      <c r="Y3853" s="94">
        <f>IF($A3853="",0,IF(AE3853="직접",IF(AF3853="비귀속",$P3853,0),$P3853*(1-AG3853)*IFERROR(INDEX(계정대체기준!$F$20:$F$49,MATCH($N3853,계정대체기준!$A$20:$A$49,0)),1)))</f>
        <v/>
      </c>
      <c r="Z3853" s="94">
        <f>IF($A3853="",0,IF(AE3853="직접",IF(AF3853="신계약비",$P3853,0),$P3853*(1-AG3853)*IFERROR(INDEX(계정대체기준!$C$20:$C$49,MATCH($N3853,계정대체기준!$A$20:$A$49,0)),0)))</f>
        <v/>
      </c>
      <c r="AA3853" s="94">
        <f>IF($A3853="",0,IF(AE3853="직접",IF(OR(AF3853="유지비",AF3853="손해조사비"),$P3853,0),$P3853*(1-AG3853)*IFERROR(INDEX(계정대체기준!$D$20:$D$49,MATCH($N3853,계정대체기준!$A$20:$A$49,0)),0)))</f>
        <v/>
      </c>
      <c r="AB3853" s="94">
        <f>IF($A3853="",0,IF(AE3853="직접",IF(AF3853="수금비",$P3853,0),$P3853*(1-AG3853)*IFERROR(INDEX(계정대체기준!$E$20:$E$49,MATCH($N3853,계정대체기준!$A$20:$A$49,0)),0)))</f>
        <v/>
      </c>
      <c r="AC3853" s="9">
        <f>IF(AND($A3853&lt;&gt;"",M3853=설정!$C$20,Z3853&gt;0),Z3853+ROW()/1000000000,"")</f>
        <v/>
      </c>
      <c r="AD3853" s="94">
        <f>IF($A3853="",0,$P3853*AG3853)</f>
        <v/>
      </c>
      <c r="AE3853" s="64">
        <f>IF($A3853="","",IFERROR(INDEX(계정매핑!$E$5:$E$504,MATCH($F3853&amp;"",계정매핑!$A$5:$A$504,0))&amp;"","공통비"))</f>
        <v/>
      </c>
      <c r="AF3853" s="64">
        <f>IF($A3853="","",IF(AE3853="직접",IFERROR(INDEX(계정매핑!$F$5:$F$504,MATCH($F3853&amp;"",계정매핑!$A$5:$A$504,0))&amp;"","비귀속"),""))</f>
        <v/>
      </c>
      <c r="AG3853" s="96">
        <f>IF($A3853="",0,IF(AND(AE3853&lt;&gt;"직접",IFERROR(INDEX(계정매핑!$G$5:$G$504,MATCH($F3853&amp;"",계정매핑!$A$5:$A$504,0))&amp;"","")="유지비",COUNTIF(계정대체기준!$A$6:$A$15,$N3853)&gt;0),IFERROR(INDEX(계정대체기준!$E$6:$E$15,MATCH(VALUE($A3853&amp;""),계정대체기준!$D$6:$D$15,0)),0),0))</f>
        <v/>
      </c>
      <c r="AH3853" s="64">
        <f>IF($A3853="","",IF(AD3853=0,"",IF(OR(COUNTIF(계정대체기준!$A$77:$A$86,$N3853)&gt;0,ISNUMBER(MATCH($X3853,계정대체기준!$D$77:$D$86,0)),ISNUMBER(MATCH($F3853,계정대체기준!$D$77:$D$86,0))),"Y","N")))</f>
        <v/>
      </c>
    </row>
    <row r="3854">
      <c r="A3854" s="92" t="n">
        <v>2026</v>
      </c>
      <c r="B3854" s="92" t="n">
        <v>5</v>
      </c>
      <c r="C3854" s="92" t="inlineStr">
        <is>
          <t>5100001132</t>
        </is>
      </c>
      <c r="D3854" s="95" t="n">
        <v>46167</v>
      </c>
      <c r="E3854" s="92" t="inlineStr">
        <is>
          <t>KR</t>
        </is>
      </c>
      <c r="F3854" s="92" t="n">
        <v>63501000</v>
      </c>
      <c r="G3854" s="92" t="n">
        <v>1902</v>
      </c>
      <c r="H3854" s="93" t="n">
        <v>304485000</v>
      </c>
      <c r="I3854" s="92" t="inlineStr">
        <is>
          <t>5월 모집수수료 - AA보험대리점</t>
        </is>
      </c>
      <c r="J3854" s="92" t="inlineStr">
        <is>
          <t>V10034</t>
        </is>
      </c>
      <c r="K3854" s="92" t="inlineStr">
        <is>
          <t>AA보험대리점</t>
        </is>
      </c>
      <c r="M3854" s="9">
        <f>IF($A3854="","",VALUE($A3854&amp;"")*12+VALUE($B3854&amp;""))</f>
        <v/>
      </c>
      <c r="N3854" s="64">
        <f>IF($A3854="","",IFERROR(INDEX(부서매핑!$C$5:$C$504,MATCH($G3854&amp;"",부서매핑!$A$5:$A$504,0)),"미매핑"))</f>
        <v/>
      </c>
      <c r="O3854" s="9">
        <f>IF($A3854="","",N3854&amp;"|"&amp;$F3854)</f>
        <v/>
      </c>
      <c r="P3854" s="94">
        <f>IF($A3854="",0,$H3854*설정!$C$23)</f>
        <v/>
      </c>
      <c r="Q3854" s="64">
        <f>IF($A3854="","",IF(O3854&lt;&gt;원인분석!$C$9,"",IF(AND(M3854&gt;=원인분석!$C$10,M3854&lt;=원인분석!$C$11),"당기",IF(AND(M3854&gt;=원인분석!$C$12,M3854&lt;=원인분석!$C$13),"비교",""))))</f>
        <v/>
      </c>
      <c r="R3854" s="9">
        <f>IF(Q3854="","",$K3854&amp;"")</f>
        <v/>
      </c>
      <c r="S3854" s="9">
        <f>IF(Q3854="","",IF(MATCH(R3854,$R$5:$R$100000,0)=ROW()-4,ROW(),""))</f>
        <v/>
      </c>
      <c r="T3854" s="9">
        <f>IF(Q3854="당기",ABS(P3854)+ROW()/1000000000,"")</f>
        <v/>
      </c>
      <c r="U3854" s="9">
        <f>IF(Q3854="비교",ABS(P3854)+ROW()/1000000000,"")</f>
        <v/>
      </c>
      <c r="V3854" s="64">
        <f>IF($A3854="","",IF(COUNTIF(변동분석!$E$7:$E$506,O3854)&gt;0,"Y","N"))</f>
        <v/>
      </c>
      <c r="W3854" s="64">
        <f>IF($A3854="","",IFERROR(INDEX(계정매핑!$D$5:$D$504,MATCH($F3854&amp;"",계정매핑!$A$5:$A$504,0)),"미매핑"))</f>
        <v/>
      </c>
      <c r="X3854" s="9">
        <f>IF($A3854="","",$F3854&amp;"")</f>
        <v/>
      </c>
      <c r="Y3854" s="94">
        <f>IF($A3854="",0,IF(AE3854="직접",IF(AF3854="비귀속",$P3854,0),$P3854*(1-AG3854)*IFERROR(INDEX(계정대체기준!$F$20:$F$49,MATCH($N3854,계정대체기준!$A$20:$A$49,0)),1)))</f>
        <v/>
      </c>
      <c r="Z3854" s="94">
        <f>IF($A3854="",0,IF(AE3854="직접",IF(AF3854="신계약비",$P3854,0),$P3854*(1-AG3854)*IFERROR(INDEX(계정대체기준!$C$20:$C$49,MATCH($N3854,계정대체기준!$A$20:$A$49,0)),0)))</f>
        <v/>
      </c>
      <c r="AA3854" s="94">
        <f>IF($A3854="",0,IF(AE3854="직접",IF(OR(AF3854="유지비",AF3854="손해조사비"),$P3854,0),$P3854*(1-AG3854)*IFERROR(INDEX(계정대체기준!$D$20:$D$49,MATCH($N3854,계정대체기준!$A$20:$A$49,0)),0)))</f>
        <v/>
      </c>
      <c r="AB3854" s="94">
        <f>IF($A3854="",0,IF(AE3854="직접",IF(AF3854="수금비",$P3854,0),$P3854*(1-AG3854)*IFERROR(INDEX(계정대체기준!$E$20:$E$49,MATCH($N3854,계정대체기준!$A$20:$A$49,0)),0)))</f>
        <v/>
      </c>
      <c r="AC3854" s="9">
        <f>IF(AND($A3854&lt;&gt;"",M3854=설정!$C$20,Z3854&gt;0),Z3854+ROW()/1000000000,"")</f>
        <v/>
      </c>
      <c r="AD3854" s="94">
        <f>IF($A3854="",0,$P3854*AG3854)</f>
        <v/>
      </c>
      <c r="AE3854" s="64">
        <f>IF($A3854="","",IFERROR(INDEX(계정매핑!$E$5:$E$504,MATCH($F3854&amp;"",계정매핑!$A$5:$A$504,0))&amp;"","공통비"))</f>
        <v/>
      </c>
      <c r="AF3854" s="64">
        <f>IF($A3854="","",IF(AE3854="직접",IFERROR(INDEX(계정매핑!$F$5:$F$504,MATCH($F3854&amp;"",계정매핑!$A$5:$A$504,0))&amp;"","비귀속"),""))</f>
        <v/>
      </c>
      <c r="AG3854" s="96">
        <f>IF($A3854="",0,IF(AND(AE3854&lt;&gt;"직접",IFERROR(INDEX(계정매핑!$G$5:$G$504,MATCH($F3854&amp;"",계정매핑!$A$5:$A$504,0))&amp;"","")="유지비",COUNTIF(계정대체기준!$A$6:$A$15,$N3854)&gt;0),IFERROR(INDEX(계정대체기준!$E$6:$E$15,MATCH(VALUE($A3854&amp;""),계정대체기준!$D$6:$D$15,0)),0),0))</f>
        <v/>
      </c>
      <c r="AH3854" s="64">
        <f>IF($A3854="","",IF(AD3854=0,"",IF(OR(COUNTIF(계정대체기준!$A$77:$A$86,$N3854)&gt;0,ISNUMBER(MATCH($X3854,계정대체기준!$D$77:$D$86,0)),ISNUMBER(MATCH($F3854,계정대체기준!$D$77:$D$86,0))),"Y","N")))</f>
        <v/>
      </c>
    </row>
    <row r="3855">
      <c r="A3855" s="92" t="n">
        <v>2026</v>
      </c>
      <c r="B3855" s="92" t="n">
        <v>5</v>
      </c>
      <c r="C3855" s="92" t="inlineStr">
        <is>
          <t>5100001133</t>
        </is>
      </c>
      <c r="D3855" s="95" t="n">
        <v>46168</v>
      </c>
      <c r="E3855" s="92" t="inlineStr">
        <is>
          <t>KR</t>
        </is>
      </c>
      <c r="F3855" s="92" t="n">
        <v>62101000</v>
      </c>
      <c r="G3855" s="92" t="n">
        <v>1602</v>
      </c>
      <c r="H3855" s="93" t="n">
        <v>1711000</v>
      </c>
      <c r="I3855" s="92" t="inlineStr">
        <is>
          <t>5월 국내출장 - L여행사</t>
        </is>
      </c>
      <c r="J3855" s="92" t="inlineStr">
        <is>
          <t>V10018</t>
        </is>
      </c>
      <c r="K3855" s="92" t="inlineStr">
        <is>
          <t>L여행사</t>
        </is>
      </c>
      <c r="M3855" s="9">
        <f>IF($A3855="","",VALUE($A3855&amp;"")*12+VALUE($B3855&amp;""))</f>
        <v/>
      </c>
      <c r="N3855" s="64">
        <f>IF($A3855="","",IFERROR(INDEX(부서매핑!$C$5:$C$504,MATCH($G3855&amp;"",부서매핑!$A$5:$A$504,0)),"미매핑"))</f>
        <v/>
      </c>
      <c r="O3855" s="9">
        <f>IF($A3855="","",N3855&amp;"|"&amp;$F3855)</f>
        <v/>
      </c>
      <c r="P3855" s="94">
        <f>IF($A3855="",0,$H3855*설정!$C$23)</f>
        <v/>
      </c>
      <c r="Q3855" s="64">
        <f>IF($A3855="","",IF(O3855&lt;&gt;원인분석!$C$9,"",IF(AND(M3855&gt;=원인분석!$C$10,M3855&lt;=원인분석!$C$11),"당기",IF(AND(M3855&gt;=원인분석!$C$12,M3855&lt;=원인분석!$C$13),"비교",""))))</f>
        <v/>
      </c>
      <c r="R3855" s="9">
        <f>IF(Q3855="","",$K3855&amp;"")</f>
        <v/>
      </c>
      <c r="S3855" s="9">
        <f>IF(Q3855="","",IF(MATCH(R3855,$R$5:$R$100000,0)=ROW()-4,ROW(),""))</f>
        <v/>
      </c>
      <c r="T3855" s="9">
        <f>IF(Q3855="당기",ABS(P3855)+ROW()/1000000000,"")</f>
        <v/>
      </c>
      <c r="U3855" s="9">
        <f>IF(Q3855="비교",ABS(P3855)+ROW()/1000000000,"")</f>
        <v/>
      </c>
      <c r="V3855" s="64">
        <f>IF($A3855="","",IF(COUNTIF(변동분석!$E$7:$E$506,O3855)&gt;0,"Y","N"))</f>
        <v/>
      </c>
      <c r="W3855" s="64">
        <f>IF($A3855="","",IFERROR(INDEX(계정매핑!$D$5:$D$504,MATCH($F3855&amp;"",계정매핑!$A$5:$A$504,0)),"미매핑"))</f>
        <v/>
      </c>
      <c r="X3855" s="9">
        <f>IF($A3855="","",$F3855&amp;"")</f>
        <v/>
      </c>
      <c r="Y3855" s="94">
        <f>IF($A3855="",0,IF(AE3855="직접",IF(AF3855="비귀속",$P3855,0),$P3855*(1-AG3855)*IFERROR(INDEX(계정대체기준!$F$20:$F$49,MATCH($N3855,계정대체기준!$A$20:$A$49,0)),1)))</f>
        <v/>
      </c>
      <c r="Z3855" s="94">
        <f>IF($A3855="",0,IF(AE3855="직접",IF(AF3855="신계약비",$P3855,0),$P3855*(1-AG3855)*IFERROR(INDEX(계정대체기준!$C$20:$C$49,MATCH($N3855,계정대체기준!$A$20:$A$49,0)),0)))</f>
        <v/>
      </c>
      <c r="AA3855" s="94">
        <f>IF($A3855="",0,IF(AE3855="직접",IF(OR(AF3855="유지비",AF3855="손해조사비"),$P3855,0),$P3855*(1-AG3855)*IFERROR(INDEX(계정대체기준!$D$20:$D$49,MATCH($N3855,계정대체기준!$A$20:$A$49,0)),0)))</f>
        <v/>
      </c>
      <c r="AB3855" s="94">
        <f>IF($A3855="",0,IF(AE3855="직접",IF(AF3855="수금비",$P3855,0),$P3855*(1-AG3855)*IFERROR(INDEX(계정대체기준!$E$20:$E$49,MATCH($N3855,계정대체기준!$A$20:$A$49,0)),0)))</f>
        <v/>
      </c>
      <c r="AC3855" s="9">
        <f>IF(AND($A3855&lt;&gt;"",M3855=설정!$C$20,Z3855&gt;0),Z3855+ROW()/1000000000,"")</f>
        <v/>
      </c>
      <c r="AD3855" s="94">
        <f>IF($A3855="",0,$P3855*AG3855)</f>
        <v/>
      </c>
      <c r="AE3855" s="64">
        <f>IF($A3855="","",IFERROR(INDEX(계정매핑!$E$5:$E$504,MATCH($F3855&amp;"",계정매핑!$A$5:$A$504,0))&amp;"","공통비"))</f>
        <v/>
      </c>
      <c r="AF3855" s="64">
        <f>IF($A3855="","",IF(AE3855="직접",IFERROR(INDEX(계정매핑!$F$5:$F$504,MATCH($F3855&amp;"",계정매핑!$A$5:$A$504,0))&amp;"","비귀속"),""))</f>
        <v/>
      </c>
      <c r="AG3855" s="96">
        <f>IF($A3855="",0,IF(AND(AE3855&lt;&gt;"직접",IFERROR(INDEX(계정매핑!$G$5:$G$504,MATCH($F3855&amp;"",계정매핑!$A$5:$A$504,0))&amp;"","")="유지비",COUNTIF(계정대체기준!$A$6:$A$15,$N3855)&gt;0),IFERROR(INDEX(계정대체기준!$E$6:$E$15,MATCH(VALUE($A3855&amp;""),계정대체기준!$D$6:$D$15,0)),0),0))</f>
        <v/>
      </c>
      <c r="AH3855" s="64">
        <f>IF($A3855="","",IF(AD3855=0,"",IF(OR(COUNTIF(계정대체기준!$A$77:$A$86,$N3855)&gt;0,ISNUMBER(MATCH($X3855,계정대체기준!$D$77:$D$86,0)),ISNUMBER(MATCH($F3855,계정대체기준!$D$77:$D$86,0))),"Y","N")))</f>
        <v/>
      </c>
    </row>
    <row r="3856">
      <c r="A3856" s="92" t="n">
        <v>2026</v>
      </c>
      <c r="B3856" s="92" t="n">
        <v>5</v>
      </c>
      <c r="C3856" s="92" t="inlineStr">
        <is>
          <t>5100001134</t>
        </is>
      </c>
      <c r="D3856" s="95" t="n">
        <v>46168</v>
      </c>
      <c r="E3856" s="92" t="inlineStr">
        <is>
          <t>KR</t>
        </is>
      </c>
      <c r="F3856" s="92" t="n">
        <v>62101000</v>
      </c>
      <c r="G3856" s="92" t="n">
        <v>1951</v>
      </c>
      <c r="H3856" s="93" t="n">
        <v>216000</v>
      </c>
      <c r="I3856" s="92" t="inlineStr">
        <is>
          <t>5월 국내출장 - L여행사</t>
        </is>
      </c>
      <c r="J3856" s="92" t="inlineStr">
        <is>
          <t>V10018</t>
        </is>
      </c>
      <c r="K3856" s="92" t="inlineStr">
        <is>
          <t>L여행사</t>
        </is>
      </c>
      <c r="M3856" s="9">
        <f>IF($A3856="","",VALUE($A3856&amp;"")*12+VALUE($B3856&amp;""))</f>
        <v/>
      </c>
      <c r="N3856" s="64">
        <f>IF($A3856="","",IFERROR(INDEX(부서매핑!$C$5:$C$504,MATCH($G3856&amp;"",부서매핑!$A$5:$A$504,0)),"미매핑"))</f>
        <v/>
      </c>
      <c r="O3856" s="9">
        <f>IF($A3856="","",N3856&amp;"|"&amp;$F3856)</f>
        <v/>
      </c>
      <c r="P3856" s="94">
        <f>IF($A3856="",0,$H3856*설정!$C$23)</f>
        <v/>
      </c>
      <c r="Q3856" s="64">
        <f>IF($A3856="","",IF(O3856&lt;&gt;원인분석!$C$9,"",IF(AND(M3856&gt;=원인분석!$C$10,M3856&lt;=원인분석!$C$11),"당기",IF(AND(M3856&gt;=원인분석!$C$12,M3856&lt;=원인분석!$C$13),"비교",""))))</f>
        <v/>
      </c>
      <c r="R3856" s="9">
        <f>IF(Q3856="","",$K3856&amp;"")</f>
        <v/>
      </c>
      <c r="S3856" s="9">
        <f>IF(Q3856="","",IF(MATCH(R3856,$R$5:$R$100000,0)=ROW()-4,ROW(),""))</f>
        <v/>
      </c>
      <c r="T3856" s="9">
        <f>IF(Q3856="당기",ABS(P3856)+ROW()/1000000000,"")</f>
        <v/>
      </c>
      <c r="U3856" s="9">
        <f>IF(Q3856="비교",ABS(P3856)+ROW()/1000000000,"")</f>
        <v/>
      </c>
      <c r="V3856" s="64">
        <f>IF($A3856="","",IF(COUNTIF(변동분석!$E$7:$E$506,O3856)&gt;0,"Y","N"))</f>
        <v/>
      </c>
      <c r="W3856" s="64">
        <f>IF($A3856="","",IFERROR(INDEX(계정매핑!$D$5:$D$504,MATCH($F3856&amp;"",계정매핑!$A$5:$A$504,0)),"미매핑"))</f>
        <v/>
      </c>
      <c r="X3856" s="9">
        <f>IF($A3856="","",$F3856&amp;"")</f>
        <v/>
      </c>
      <c r="Y3856" s="94">
        <f>IF($A3856="",0,IF(AE3856="직접",IF(AF3856="비귀속",$P3856,0),$P3856*(1-AG3856)*IFERROR(INDEX(계정대체기준!$F$20:$F$49,MATCH($N3856,계정대체기준!$A$20:$A$49,0)),1)))</f>
        <v/>
      </c>
      <c r="Z3856" s="94">
        <f>IF($A3856="",0,IF(AE3856="직접",IF(AF3856="신계약비",$P3856,0),$P3856*(1-AG3856)*IFERROR(INDEX(계정대체기준!$C$20:$C$49,MATCH($N3856,계정대체기준!$A$20:$A$49,0)),0)))</f>
        <v/>
      </c>
      <c r="AA3856" s="94">
        <f>IF($A3856="",0,IF(AE3856="직접",IF(OR(AF3856="유지비",AF3856="손해조사비"),$P3856,0),$P3856*(1-AG3856)*IFERROR(INDEX(계정대체기준!$D$20:$D$49,MATCH($N3856,계정대체기준!$A$20:$A$49,0)),0)))</f>
        <v/>
      </c>
      <c r="AB3856" s="94">
        <f>IF($A3856="",0,IF(AE3856="직접",IF(AF3856="수금비",$P3856,0),$P3856*(1-AG3856)*IFERROR(INDEX(계정대체기준!$E$20:$E$49,MATCH($N3856,계정대체기준!$A$20:$A$49,0)),0)))</f>
        <v/>
      </c>
      <c r="AC3856" s="9">
        <f>IF(AND($A3856&lt;&gt;"",M3856=설정!$C$20,Z3856&gt;0),Z3856+ROW()/1000000000,"")</f>
        <v/>
      </c>
      <c r="AD3856" s="94">
        <f>IF($A3856="",0,$P3856*AG3856)</f>
        <v/>
      </c>
      <c r="AE3856" s="64">
        <f>IF($A3856="","",IFERROR(INDEX(계정매핑!$E$5:$E$504,MATCH($F3856&amp;"",계정매핑!$A$5:$A$504,0))&amp;"","공통비"))</f>
        <v/>
      </c>
      <c r="AF3856" s="64">
        <f>IF($A3856="","",IF(AE3856="직접",IFERROR(INDEX(계정매핑!$F$5:$F$504,MATCH($F3856&amp;"",계정매핑!$A$5:$A$504,0))&amp;"","비귀속"),""))</f>
        <v/>
      </c>
      <c r="AG3856" s="96">
        <f>IF($A3856="",0,IF(AND(AE3856&lt;&gt;"직접",IFERROR(INDEX(계정매핑!$G$5:$G$504,MATCH($F3856&amp;"",계정매핑!$A$5:$A$504,0))&amp;"","")="유지비",COUNTIF(계정대체기준!$A$6:$A$15,$N3856)&gt;0),IFERROR(INDEX(계정대체기준!$E$6:$E$15,MATCH(VALUE($A3856&amp;""),계정대체기준!$D$6:$D$15,0)),0),0))</f>
        <v/>
      </c>
      <c r="AH3856" s="64">
        <f>IF($A3856="","",IF(AD3856=0,"",IF(OR(COUNTIF(계정대체기준!$A$77:$A$86,$N3856)&gt;0,ISNUMBER(MATCH($X3856,계정대체기준!$D$77:$D$86,0)),ISNUMBER(MATCH($F3856,계정대체기준!$D$77:$D$86,0))),"Y","N")))</f>
        <v/>
      </c>
    </row>
    <row r="3857">
      <c r="A3857" s="92" t="n">
        <v>2026</v>
      </c>
      <c r="B3857" s="92" t="n">
        <v>5</v>
      </c>
      <c r="C3857" s="92" t="inlineStr">
        <is>
          <t>5100001135</t>
        </is>
      </c>
      <c r="D3857" s="95" t="n">
        <v>46168</v>
      </c>
      <c r="E3857" s="92" t="inlineStr">
        <is>
          <t>KR</t>
        </is>
      </c>
      <c r="F3857" s="92" t="n">
        <v>62101000</v>
      </c>
      <c r="G3857" s="92" t="n">
        <v>1951</v>
      </c>
      <c r="H3857" s="93" t="n">
        <v>356000</v>
      </c>
      <c r="I3857" s="92" t="inlineStr">
        <is>
          <t>5월 국내출장 - (법인카드)</t>
        </is>
      </c>
      <c r="J3857" s="92" t="inlineStr">
        <is>
          <t>V10010</t>
        </is>
      </c>
      <c r="K3857" s="92" t="inlineStr">
        <is>
          <t>(법인카드)</t>
        </is>
      </c>
      <c r="M3857" s="9">
        <f>IF($A3857="","",VALUE($A3857&amp;"")*12+VALUE($B3857&amp;""))</f>
        <v/>
      </c>
      <c r="N3857" s="64">
        <f>IF($A3857="","",IFERROR(INDEX(부서매핑!$C$5:$C$504,MATCH($G3857&amp;"",부서매핑!$A$5:$A$504,0)),"미매핑"))</f>
        <v/>
      </c>
      <c r="O3857" s="9">
        <f>IF($A3857="","",N3857&amp;"|"&amp;$F3857)</f>
        <v/>
      </c>
      <c r="P3857" s="94">
        <f>IF($A3857="",0,$H3857*설정!$C$23)</f>
        <v/>
      </c>
      <c r="Q3857" s="64">
        <f>IF($A3857="","",IF(O3857&lt;&gt;원인분석!$C$9,"",IF(AND(M3857&gt;=원인분석!$C$10,M3857&lt;=원인분석!$C$11),"당기",IF(AND(M3857&gt;=원인분석!$C$12,M3857&lt;=원인분석!$C$13),"비교",""))))</f>
        <v/>
      </c>
      <c r="R3857" s="9">
        <f>IF(Q3857="","",$K3857&amp;"")</f>
        <v/>
      </c>
      <c r="S3857" s="9">
        <f>IF(Q3857="","",IF(MATCH(R3857,$R$5:$R$100000,0)=ROW()-4,ROW(),""))</f>
        <v/>
      </c>
      <c r="T3857" s="9">
        <f>IF(Q3857="당기",ABS(P3857)+ROW()/1000000000,"")</f>
        <v/>
      </c>
      <c r="U3857" s="9">
        <f>IF(Q3857="비교",ABS(P3857)+ROW()/1000000000,"")</f>
        <v/>
      </c>
      <c r="V3857" s="64">
        <f>IF($A3857="","",IF(COUNTIF(변동분석!$E$7:$E$506,O3857)&gt;0,"Y","N"))</f>
        <v/>
      </c>
      <c r="W3857" s="64">
        <f>IF($A3857="","",IFERROR(INDEX(계정매핑!$D$5:$D$504,MATCH($F3857&amp;"",계정매핑!$A$5:$A$504,0)),"미매핑"))</f>
        <v/>
      </c>
      <c r="X3857" s="9">
        <f>IF($A3857="","",$F3857&amp;"")</f>
        <v/>
      </c>
      <c r="Y3857" s="94">
        <f>IF($A3857="",0,IF(AE3857="직접",IF(AF3857="비귀속",$P3857,0),$P3857*(1-AG3857)*IFERROR(INDEX(계정대체기준!$F$20:$F$49,MATCH($N3857,계정대체기준!$A$20:$A$49,0)),1)))</f>
        <v/>
      </c>
      <c r="Z3857" s="94">
        <f>IF($A3857="",0,IF(AE3857="직접",IF(AF3857="신계약비",$P3857,0),$P3857*(1-AG3857)*IFERROR(INDEX(계정대체기준!$C$20:$C$49,MATCH($N3857,계정대체기준!$A$20:$A$49,0)),0)))</f>
        <v/>
      </c>
      <c r="AA3857" s="94">
        <f>IF($A3857="",0,IF(AE3857="직접",IF(OR(AF3857="유지비",AF3857="손해조사비"),$P3857,0),$P3857*(1-AG3857)*IFERROR(INDEX(계정대체기준!$D$20:$D$49,MATCH($N3857,계정대체기준!$A$20:$A$49,0)),0)))</f>
        <v/>
      </c>
      <c r="AB3857" s="94">
        <f>IF($A3857="",0,IF(AE3857="직접",IF(AF3857="수금비",$P3857,0),$P3857*(1-AG3857)*IFERROR(INDEX(계정대체기준!$E$20:$E$49,MATCH($N3857,계정대체기준!$A$20:$A$49,0)),0)))</f>
        <v/>
      </c>
      <c r="AC3857" s="9">
        <f>IF(AND($A3857&lt;&gt;"",M3857=설정!$C$20,Z3857&gt;0),Z3857+ROW()/1000000000,"")</f>
        <v/>
      </c>
      <c r="AD3857" s="94">
        <f>IF($A3857="",0,$P3857*AG3857)</f>
        <v/>
      </c>
      <c r="AE3857" s="64">
        <f>IF($A3857="","",IFERROR(INDEX(계정매핑!$E$5:$E$504,MATCH($F3857&amp;"",계정매핑!$A$5:$A$504,0))&amp;"","공통비"))</f>
        <v/>
      </c>
      <c r="AF3857" s="64">
        <f>IF($A3857="","",IF(AE3857="직접",IFERROR(INDEX(계정매핑!$F$5:$F$504,MATCH($F3857&amp;"",계정매핑!$A$5:$A$504,0))&amp;"","비귀속"),""))</f>
        <v/>
      </c>
      <c r="AG3857" s="96">
        <f>IF($A3857="",0,IF(AND(AE3857&lt;&gt;"직접",IFERROR(INDEX(계정매핑!$G$5:$G$504,MATCH($F3857&amp;"",계정매핑!$A$5:$A$504,0))&amp;"","")="유지비",COUNTIF(계정대체기준!$A$6:$A$15,$N3857)&gt;0),IFERROR(INDEX(계정대체기준!$E$6:$E$15,MATCH(VALUE($A3857&amp;""),계정대체기준!$D$6:$D$15,0)),0),0))</f>
        <v/>
      </c>
      <c r="AH3857" s="64">
        <f>IF($A3857="","",IF(AD3857=0,"",IF(OR(COUNTIF(계정대체기준!$A$77:$A$86,$N3857)&gt;0,ISNUMBER(MATCH($X3857,계정대체기준!$D$77:$D$86,0)),ISNUMBER(MATCH($F3857,계정대체기준!$D$77:$D$86,0))),"Y","N")))</f>
        <v/>
      </c>
    </row>
    <row r="3858">
      <c r="A3858" s="92" t="n">
        <v>2026</v>
      </c>
      <c r="B3858" s="92" t="n">
        <v>5</v>
      </c>
      <c r="C3858" s="92" t="inlineStr">
        <is>
          <t>5100001136</t>
        </is>
      </c>
      <c r="D3858" s="95" t="n">
        <v>46168</v>
      </c>
      <c r="E3858" s="92" t="inlineStr">
        <is>
          <t>KR</t>
        </is>
      </c>
      <c r="F3858" s="92" t="n">
        <v>62102000</v>
      </c>
      <c r="G3858" s="92" t="n">
        <v>1502</v>
      </c>
      <c r="H3858" s="93" t="n">
        <v>131000</v>
      </c>
      <c r="I3858" s="92" t="inlineStr">
        <is>
          <t>5월 해외출장 - N호텔</t>
        </is>
      </c>
      <c r="J3858" s="92" t="inlineStr">
        <is>
          <t>V10009</t>
        </is>
      </c>
      <c r="K3858" s="92" t="inlineStr">
        <is>
          <t>N호텔</t>
        </is>
      </c>
      <c r="M3858" s="9">
        <f>IF($A3858="","",VALUE($A3858&amp;"")*12+VALUE($B3858&amp;""))</f>
        <v/>
      </c>
      <c r="N3858" s="64">
        <f>IF($A3858="","",IFERROR(INDEX(부서매핑!$C$5:$C$504,MATCH($G3858&amp;"",부서매핑!$A$5:$A$504,0)),"미매핑"))</f>
        <v/>
      </c>
      <c r="O3858" s="9">
        <f>IF($A3858="","",N3858&amp;"|"&amp;$F3858)</f>
        <v/>
      </c>
      <c r="P3858" s="94">
        <f>IF($A3858="",0,$H3858*설정!$C$23)</f>
        <v/>
      </c>
      <c r="Q3858" s="64">
        <f>IF($A3858="","",IF(O3858&lt;&gt;원인분석!$C$9,"",IF(AND(M3858&gt;=원인분석!$C$10,M3858&lt;=원인분석!$C$11),"당기",IF(AND(M3858&gt;=원인분석!$C$12,M3858&lt;=원인분석!$C$13),"비교",""))))</f>
        <v/>
      </c>
      <c r="R3858" s="9">
        <f>IF(Q3858="","",$K3858&amp;"")</f>
        <v/>
      </c>
      <c r="S3858" s="9">
        <f>IF(Q3858="","",IF(MATCH(R3858,$R$5:$R$100000,0)=ROW()-4,ROW(),""))</f>
        <v/>
      </c>
      <c r="T3858" s="9">
        <f>IF(Q3858="당기",ABS(P3858)+ROW()/1000000000,"")</f>
        <v/>
      </c>
      <c r="U3858" s="9">
        <f>IF(Q3858="비교",ABS(P3858)+ROW()/1000000000,"")</f>
        <v/>
      </c>
      <c r="V3858" s="64">
        <f>IF($A3858="","",IF(COUNTIF(변동분석!$E$7:$E$506,O3858)&gt;0,"Y","N"))</f>
        <v/>
      </c>
      <c r="W3858" s="64">
        <f>IF($A3858="","",IFERROR(INDEX(계정매핑!$D$5:$D$504,MATCH($F3858&amp;"",계정매핑!$A$5:$A$504,0)),"미매핑"))</f>
        <v/>
      </c>
      <c r="X3858" s="9">
        <f>IF($A3858="","",$F3858&amp;"")</f>
        <v/>
      </c>
      <c r="Y3858" s="94">
        <f>IF($A3858="",0,IF(AE3858="직접",IF(AF3858="비귀속",$P3858,0),$P3858*(1-AG3858)*IFERROR(INDEX(계정대체기준!$F$20:$F$49,MATCH($N3858,계정대체기준!$A$20:$A$49,0)),1)))</f>
        <v/>
      </c>
      <c r="Z3858" s="94">
        <f>IF($A3858="",0,IF(AE3858="직접",IF(AF3858="신계약비",$P3858,0),$P3858*(1-AG3858)*IFERROR(INDEX(계정대체기준!$C$20:$C$49,MATCH($N3858,계정대체기준!$A$20:$A$49,0)),0)))</f>
        <v/>
      </c>
      <c r="AA3858" s="94">
        <f>IF($A3858="",0,IF(AE3858="직접",IF(OR(AF3858="유지비",AF3858="손해조사비"),$P3858,0),$P3858*(1-AG3858)*IFERROR(INDEX(계정대체기준!$D$20:$D$49,MATCH($N3858,계정대체기준!$A$20:$A$49,0)),0)))</f>
        <v/>
      </c>
      <c r="AB3858" s="94">
        <f>IF($A3858="",0,IF(AE3858="직접",IF(AF3858="수금비",$P3858,0),$P3858*(1-AG3858)*IFERROR(INDEX(계정대체기준!$E$20:$E$49,MATCH($N3858,계정대체기준!$A$20:$A$49,0)),0)))</f>
        <v/>
      </c>
      <c r="AC3858" s="9">
        <f>IF(AND($A3858&lt;&gt;"",M3858=설정!$C$20,Z3858&gt;0),Z3858+ROW()/1000000000,"")</f>
        <v/>
      </c>
      <c r="AD3858" s="94">
        <f>IF($A3858="",0,$P3858*AG3858)</f>
        <v/>
      </c>
      <c r="AE3858" s="64">
        <f>IF($A3858="","",IFERROR(INDEX(계정매핑!$E$5:$E$504,MATCH($F3858&amp;"",계정매핑!$A$5:$A$504,0))&amp;"","공통비"))</f>
        <v/>
      </c>
      <c r="AF3858" s="64">
        <f>IF($A3858="","",IF(AE3858="직접",IFERROR(INDEX(계정매핑!$F$5:$F$504,MATCH($F3858&amp;"",계정매핑!$A$5:$A$504,0))&amp;"","비귀속"),""))</f>
        <v/>
      </c>
      <c r="AG3858" s="96">
        <f>IF($A3858="",0,IF(AND(AE3858&lt;&gt;"직접",IFERROR(INDEX(계정매핑!$G$5:$G$504,MATCH($F3858&amp;"",계정매핑!$A$5:$A$504,0))&amp;"","")="유지비",COUNTIF(계정대체기준!$A$6:$A$15,$N3858)&gt;0),IFERROR(INDEX(계정대체기준!$E$6:$E$15,MATCH(VALUE($A3858&amp;""),계정대체기준!$D$6:$D$15,0)),0),0))</f>
        <v/>
      </c>
      <c r="AH3858" s="64">
        <f>IF($A3858="","",IF(AD3858=0,"",IF(OR(COUNTIF(계정대체기준!$A$77:$A$86,$N3858)&gt;0,ISNUMBER(MATCH($X3858,계정대체기준!$D$77:$D$86,0)),ISNUMBER(MATCH($F3858,계정대체기준!$D$77:$D$86,0))),"Y","N")))</f>
        <v/>
      </c>
    </row>
    <row r="3859">
      <c r="A3859" s="92" t="n">
        <v>2026</v>
      </c>
      <c r="B3859" s="92" t="n">
        <v>5</v>
      </c>
      <c r="C3859" s="92" t="inlineStr">
        <is>
          <t>5100001137</t>
        </is>
      </c>
      <c r="D3859" s="95" t="n">
        <v>46168</v>
      </c>
      <c r="E3859" s="92" t="inlineStr">
        <is>
          <t>KR</t>
        </is>
      </c>
      <c r="F3859" s="92" t="n">
        <v>62301000</v>
      </c>
      <c r="G3859" s="92" t="n">
        <v>1501</v>
      </c>
      <c r="H3859" s="93" t="n">
        <v>146000</v>
      </c>
      <c r="I3859" s="92" t="inlineStr">
        <is>
          <t>5월 소모품 구입 - R문구</t>
        </is>
      </c>
      <c r="J3859" s="92" t="inlineStr">
        <is>
          <t>V10022</t>
        </is>
      </c>
      <c r="K3859" s="92" t="inlineStr">
        <is>
          <t>R문구</t>
        </is>
      </c>
      <c r="M3859" s="9">
        <f>IF($A3859="","",VALUE($A3859&amp;"")*12+VALUE($B3859&amp;""))</f>
        <v/>
      </c>
      <c r="N3859" s="64">
        <f>IF($A3859="","",IFERROR(INDEX(부서매핑!$C$5:$C$504,MATCH($G3859&amp;"",부서매핑!$A$5:$A$504,0)),"미매핑"))</f>
        <v/>
      </c>
      <c r="O3859" s="9">
        <f>IF($A3859="","",N3859&amp;"|"&amp;$F3859)</f>
        <v/>
      </c>
      <c r="P3859" s="94">
        <f>IF($A3859="",0,$H3859*설정!$C$23)</f>
        <v/>
      </c>
      <c r="Q3859" s="64">
        <f>IF($A3859="","",IF(O3859&lt;&gt;원인분석!$C$9,"",IF(AND(M3859&gt;=원인분석!$C$10,M3859&lt;=원인분석!$C$11),"당기",IF(AND(M3859&gt;=원인분석!$C$12,M3859&lt;=원인분석!$C$13),"비교",""))))</f>
        <v/>
      </c>
      <c r="R3859" s="9">
        <f>IF(Q3859="","",$K3859&amp;"")</f>
        <v/>
      </c>
      <c r="S3859" s="9">
        <f>IF(Q3859="","",IF(MATCH(R3859,$R$5:$R$100000,0)=ROW()-4,ROW(),""))</f>
        <v/>
      </c>
      <c r="T3859" s="9">
        <f>IF(Q3859="당기",ABS(P3859)+ROW()/1000000000,"")</f>
        <v/>
      </c>
      <c r="U3859" s="9">
        <f>IF(Q3859="비교",ABS(P3859)+ROW()/1000000000,"")</f>
        <v/>
      </c>
      <c r="V3859" s="64">
        <f>IF($A3859="","",IF(COUNTIF(변동분석!$E$7:$E$506,O3859)&gt;0,"Y","N"))</f>
        <v/>
      </c>
      <c r="W3859" s="64">
        <f>IF($A3859="","",IFERROR(INDEX(계정매핑!$D$5:$D$504,MATCH($F3859&amp;"",계정매핑!$A$5:$A$504,0)),"미매핑"))</f>
        <v/>
      </c>
      <c r="X3859" s="9">
        <f>IF($A3859="","",$F3859&amp;"")</f>
        <v/>
      </c>
      <c r="Y3859" s="94">
        <f>IF($A3859="",0,IF(AE3859="직접",IF(AF3859="비귀속",$P3859,0),$P3859*(1-AG3859)*IFERROR(INDEX(계정대체기준!$F$20:$F$49,MATCH($N3859,계정대체기준!$A$20:$A$49,0)),1)))</f>
        <v/>
      </c>
      <c r="Z3859" s="94">
        <f>IF($A3859="",0,IF(AE3859="직접",IF(AF3859="신계약비",$P3859,0),$P3859*(1-AG3859)*IFERROR(INDEX(계정대체기준!$C$20:$C$49,MATCH($N3859,계정대체기준!$A$20:$A$49,0)),0)))</f>
        <v/>
      </c>
      <c r="AA3859" s="94">
        <f>IF($A3859="",0,IF(AE3859="직접",IF(OR(AF3859="유지비",AF3859="손해조사비"),$P3859,0),$P3859*(1-AG3859)*IFERROR(INDEX(계정대체기준!$D$20:$D$49,MATCH($N3859,계정대체기준!$A$20:$A$49,0)),0)))</f>
        <v/>
      </c>
      <c r="AB3859" s="94">
        <f>IF($A3859="",0,IF(AE3859="직접",IF(AF3859="수금비",$P3859,0),$P3859*(1-AG3859)*IFERROR(INDEX(계정대체기준!$E$20:$E$49,MATCH($N3859,계정대체기준!$A$20:$A$49,0)),0)))</f>
        <v/>
      </c>
      <c r="AC3859" s="9">
        <f>IF(AND($A3859&lt;&gt;"",M3859=설정!$C$20,Z3859&gt;0),Z3859+ROW()/1000000000,"")</f>
        <v/>
      </c>
      <c r="AD3859" s="94">
        <f>IF($A3859="",0,$P3859*AG3859)</f>
        <v/>
      </c>
      <c r="AE3859" s="64">
        <f>IF($A3859="","",IFERROR(INDEX(계정매핑!$E$5:$E$504,MATCH($F3859&amp;"",계정매핑!$A$5:$A$504,0))&amp;"","공통비"))</f>
        <v/>
      </c>
      <c r="AF3859" s="64">
        <f>IF($A3859="","",IF(AE3859="직접",IFERROR(INDEX(계정매핑!$F$5:$F$504,MATCH($F3859&amp;"",계정매핑!$A$5:$A$504,0))&amp;"","비귀속"),""))</f>
        <v/>
      </c>
      <c r="AG3859" s="96">
        <f>IF($A3859="",0,IF(AND(AE3859&lt;&gt;"직접",IFERROR(INDEX(계정매핑!$G$5:$G$504,MATCH($F3859&amp;"",계정매핑!$A$5:$A$504,0))&amp;"","")="유지비",COUNTIF(계정대체기준!$A$6:$A$15,$N3859)&gt;0),IFERROR(INDEX(계정대체기준!$E$6:$E$15,MATCH(VALUE($A3859&amp;""),계정대체기준!$D$6:$D$15,0)),0),0))</f>
        <v/>
      </c>
      <c r="AH3859" s="64">
        <f>IF($A3859="","",IF(AD3859=0,"",IF(OR(COUNTIF(계정대체기준!$A$77:$A$86,$N3859)&gt;0,ISNUMBER(MATCH($X3859,계정대체기준!$D$77:$D$86,0)),ISNUMBER(MATCH($F3859,계정대체기준!$D$77:$D$86,0))),"Y","N")))</f>
        <v/>
      </c>
    </row>
    <row r="3860">
      <c r="A3860" s="92" t="n">
        <v>2026</v>
      </c>
      <c r="B3860" s="92" t="n">
        <v>5</v>
      </c>
      <c r="C3860" s="92" t="inlineStr">
        <is>
          <t>5100001138</t>
        </is>
      </c>
      <c r="D3860" s="95" t="n">
        <v>46168</v>
      </c>
      <c r="E3860" s="92" t="inlineStr">
        <is>
          <t>KR</t>
        </is>
      </c>
      <c r="F3860" s="92" t="n">
        <v>62401000</v>
      </c>
      <c r="G3860" s="92" t="n">
        <v>1401</v>
      </c>
      <c r="H3860" s="93" t="n">
        <v>239000</v>
      </c>
      <c r="I3860" s="92" t="inlineStr">
        <is>
          <t>5월 인쇄물 제작 - G인쇄</t>
        </is>
      </c>
      <c r="J3860" s="92" t="inlineStr">
        <is>
          <t>V10004</t>
        </is>
      </c>
      <c r="K3860" s="92" t="inlineStr">
        <is>
          <t>G인쇄</t>
        </is>
      </c>
      <c r="M3860" s="9">
        <f>IF($A3860="","",VALUE($A3860&amp;"")*12+VALUE($B3860&amp;""))</f>
        <v/>
      </c>
      <c r="N3860" s="64">
        <f>IF($A3860="","",IFERROR(INDEX(부서매핑!$C$5:$C$504,MATCH($G3860&amp;"",부서매핑!$A$5:$A$504,0)),"미매핑"))</f>
        <v/>
      </c>
      <c r="O3860" s="9">
        <f>IF($A3860="","",N3860&amp;"|"&amp;$F3860)</f>
        <v/>
      </c>
      <c r="P3860" s="94">
        <f>IF($A3860="",0,$H3860*설정!$C$23)</f>
        <v/>
      </c>
      <c r="Q3860" s="64">
        <f>IF($A3860="","",IF(O3860&lt;&gt;원인분석!$C$9,"",IF(AND(M3860&gt;=원인분석!$C$10,M3860&lt;=원인분석!$C$11),"당기",IF(AND(M3860&gt;=원인분석!$C$12,M3860&lt;=원인분석!$C$13),"비교",""))))</f>
        <v/>
      </c>
      <c r="R3860" s="9">
        <f>IF(Q3860="","",$K3860&amp;"")</f>
        <v/>
      </c>
      <c r="S3860" s="9">
        <f>IF(Q3860="","",IF(MATCH(R3860,$R$5:$R$100000,0)=ROW()-4,ROW(),""))</f>
        <v/>
      </c>
      <c r="T3860" s="9">
        <f>IF(Q3860="당기",ABS(P3860)+ROW()/1000000000,"")</f>
        <v/>
      </c>
      <c r="U3860" s="9">
        <f>IF(Q3860="비교",ABS(P3860)+ROW()/1000000000,"")</f>
        <v/>
      </c>
      <c r="V3860" s="64">
        <f>IF($A3860="","",IF(COUNTIF(변동분석!$E$7:$E$506,O3860)&gt;0,"Y","N"))</f>
        <v/>
      </c>
      <c r="W3860" s="64">
        <f>IF($A3860="","",IFERROR(INDEX(계정매핑!$D$5:$D$504,MATCH($F3860&amp;"",계정매핑!$A$5:$A$504,0)),"미매핑"))</f>
        <v/>
      </c>
      <c r="X3860" s="9">
        <f>IF($A3860="","",$F3860&amp;"")</f>
        <v/>
      </c>
      <c r="Y3860" s="94">
        <f>IF($A3860="",0,IF(AE3860="직접",IF(AF3860="비귀속",$P3860,0),$P3860*(1-AG3860)*IFERROR(INDEX(계정대체기준!$F$20:$F$49,MATCH($N3860,계정대체기준!$A$20:$A$49,0)),1)))</f>
        <v/>
      </c>
      <c r="Z3860" s="94">
        <f>IF($A3860="",0,IF(AE3860="직접",IF(AF3860="신계약비",$P3860,0),$P3860*(1-AG3860)*IFERROR(INDEX(계정대체기준!$C$20:$C$49,MATCH($N3860,계정대체기준!$A$20:$A$49,0)),0)))</f>
        <v/>
      </c>
      <c r="AA3860" s="94">
        <f>IF($A3860="",0,IF(AE3860="직접",IF(OR(AF3860="유지비",AF3860="손해조사비"),$P3860,0),$P3860*(1-AG3860)*IFERROR(INDEX(계정대체기준!$D$20:$D$49,MATCH($N3860,계정대체기준!$A$20:$A$49,0)),0)))</f>
        <v/>
      </c>
      <c r="AB3860" s="94">
        <f>IF($A3860="",0,IF(AE3860="직접",IF(AF3860="수금비",$P3860,0),$P3860*(1-AG3860)*IFERROR(INDEX(계정대체기준!$E$20:$E$49,MATCH($N3860,계정대체기준!$A$20:$A$49,0)),0)))</f>
        <v/>
      </c>
      <c r="AC3860" s="9">
        <f>IF(AND($A3860&lt;&gt;"",M3860=설정!$C$20,Z3860&gt;0),Z3860+ROW()/1000000000,"")</f>
        <v/>
      </c>
      <c r="AD3860" s="94">
        <f>IF($A3860="",0,$P3860*AG3860)</f>
        <v/>
      </c>
      <c r="AE3860" s="64">
        <f>IF($A3860="","",IFERROR(INDEX(계정매핑!$E$5:$E$504,MATCH($F3860&amp;"",계정매핑!$A$5:$A$504,0))&amp;"","공통비"))</f>
        <v/>
      </c>
      <c r="AF3860" s="64">
        <f>IF($A3860="","",IF(AE3860="직접",IFERROR(INDEX(계정매핑!$F$5:$F$504,MATCH($F3860&amp;"",계정매핑!$A$5:$A$504,0))&amp;"","비귀속"),""))</f>
        <v/>
      </c>
      <c r="AG3860" s="96">
        <f>IF($A3860="",0,IF(AND(AE3860&lt;&gt;"직접",IFERROR(INDEX(계정매핑!$G$5:$G$504,MATCH($F3860&amp;"",계정매핑!$A$5:$A$504,0))&amp;"","")="유지비",COUNTIF(계정대체기준!$A$6:$A$15,$N3860)&gt;0),IFERROR(INDEX(계정대체기준!$E$6:$E$15,MATCH(VALUE($A3860&amp;""),계정대체기준!$D$6:$D$15,0)),0),0))</f>
        <v/>
      </c>
      <c r="AH3860" s="64">
        <f>IF($A3860="","",IF(AD3860=0,"",IF(OR(COUNTIF(계정대체기준!$A$77:$A$86,$N3860)&gt;0,ISNUMBER(MATCH($X3860,계정대체기준!$D$77:$D$86,0)),ISNUMBER(MATCH($F3860,계정대체기준!$D$77:$D$86,0))),"Y","N")))</f>
        <v/>
      </c>
    </row>
    <row r="3861">
      <c r="A3861" s="92" t="n">
        <v>2026</v>
      </c>
      <c r="B3861" s="92" t="n">
        <v>5</v>
      </c>
      <c r="C3861" s="92" t="inlineStr">
        <is>
          <t>5100001139</t>
        </is>
      </c>
      <c r="D3861" s="95" t="n">
        <v>46168</v>
      </c>
      <c r="E3861" s="92" t="inlineStr">
        <is>
          <t>KR</t>
        </is>
      </c>
      <c r="F3861" s="92" t="n">
        <v>62501000</v>
      </c>
      <c r="G3861" s="92" t="n">
        <v>1502</v>
      </c>
      <c r="H3861" s="93" t="n">
        <v>352000</v>
      </c>
      <c r="I3861" s="92" t="inlineStr">
        <is>
          <t>5월 회의 다과 - (법인카드)</t>
        </is>
      </c>
      <c r="J3861" s="92" t="inlineStr">
        <is>
          <t>V10010</t>
        </is>
      </c>
      <c r="K3861" s="92" t="inlineStr">
        <is>
          <t>(법인카드)</t>
        </is>
      </c>
      <c r="M3861" s="9">
        <f>IF($A3861="","",VALUE($A3861&amp;"")*12+VALUE($B3861&amp;""))</f>
        <v/>
      </c>
      <c r="N3861" s="64">
        <f>IF($A3861="","",IFERROR(INDEX(부서매핑!$C$5:$C$504,MATCH($G3861&amp;"",부서매핑!$A$5:$A$504,0)),"미매핑"))</f>
        <v/>
      </c>
      <c r="O3861" s="9">
        <f>IF($A3861="","",N3861&amp;"|"&amp;$F3861)</f>
        <v/>
      </c>
      <c r="P3861" s="94">
        <f>IF($A3861="",0,$H3861*설정!$C$23)</f>
        <v/>
      </c>
      <c r="Q3861" s="64">
        <f>IF($A3861="","",IF(O3861&lt;&gt;원인분석!$C$9,"",IF(AND(M3861&gt;=원인분석!$C$10,M3861&lt;=원인분석!$C$11),"당기",IF(AND(M3861&gt;=원인분석!$C$12,M3861&lt;=원인분석!$C$13),"비교",""))))</f>
        <v/>
      </c>
      <c r="R3861" s="9">
        <f>IF(Q3861="","",$K3861&amp;"")</f>
        <v/>
      </c>
      <c r="S3861" s="9">
        <f>IF(Q3861="","",IF(MATCH(R3861,$R$5:$R$100000,0)=ROW()-4,ROW(),""))</f>
        <v/>
      </c>
      <c r="T3861" s="9">
        <f>IF(Q3861="당기",ABS(P3861)+ROW()/1000000000,"")</f>
        <v/>
      </c>
      <c r="U3861" s="9">
        <f>IF(Q3861="비교",ABS(P3861)+ROW()/1000000000,"")</f>
        <v/>
      </c>
      <c r="V3861" s="64">
        <f>IF($A3861="","",IF(COUNTIF(변동분석!$E$7:$E$506,O3861)&gt;0,"Y","N"))</f>
        <v/>
      </c>
      <c r="W3861" s="64">
        <f>IF($A3861="","",IFERROR(INDEX(계정매핑!$D$5:$D$504,MATCH($F3861&amp;"",계정매핑!$A$5:$A$504,0)),"미매핑"))</f>
        <v/>
      </c>
      <c r="X3861" s="9">
        <f>IF($A3861="","",$F3861&amp;"")</f>
        <v/>
      </c>
      <c r="Y3861" s="94">
        <f>IF($A3861="",0,IF(AE3861="직접",IF(AF3861="비귀속",$P3861,0),$P3861*(1-AG3861)*IFERROR(INDEX(계정대체기준!$F$20:$F$49,MATCH($N3861,계정대체기준!$A$20:$A$49,0)),1)))</f>
        <v/>
      </c>
      <c r="Z3861" s="94">
        <f>IF($A3861="",0,IF(AE3861="직접",IF(AF3861="신계약비",$P3861,0),$P3861*(1-AG3861)*IFERROR(INDEX(계정대체기준!$C$20:$C$49,MATCH($N3861,계정대체기준!$A$20:$A$49,0)),0)))</f>
        <v/>
      </c>
      <c r="AA3861" s="94">
        <f>IF($A3861="",0,IF(AE3861="직접",IF(OR(AF3861="유지비",AF3861="손해조사비"),$P3861,0),$P3861*(1-AG3861)*IFERROR(INDEX(계정대체기준!$D$20:$D$49,MATCH($N3861,계정대체기준!$A$20:$A$49,0)),0)))</f>
        <v/>
      </c>
      <c r="AB3861" s="94">
        <f>IF($A3861="",0,IF(AE3861="직접",IF(AF3861="수금비",$P3861,0),$P3861*(1-AG3861)*IFERROR(INDEX(계정대체기준!$E$20:$E$49,MATCH($N3861,계정대체기준!$A$20:$A$49,0)),0)))</f>
        <v/>
      </c>
      <c r="AC3861" s="9">
        <f>IF(AND($A3861&lt;&gt;"",M3861=설정!$C$20,Z3861&gt;0),Z3861+ROW()/1000000000,"")</f>
        <v/>
      </c>
      <c r="AD3861" s="94">
        <f>IF($A3861="",0,$P3861*AG3861)</f>
        <v/>
      </c>
      <c r="AE3861" s="64">
        <f>IF($A3861="","",IFERROR(INDEX(계정매핑!$E$5:$E$504,MATCH($F3861&amp;"",계정매핑!$A$5:$A$504,0))&amp;"","공통비"))</f>
        <v/>
      </c>
      <c r="AF3861" s="64">
        <f>IF($A3861="","",IF(AE3861="직접",IFERROR(INDEX(계정매핑!$F$5:$F$504,MATCH($F3861&amp;"",계정매핑!$A$5:$A$504,0))&amp;"","비귀속"),""))</f>
        <v/>
      </c>
      <c r="AG3861" s="96">
        <f>IF($A3861="",0,IF(AND(AE3861&lt;&gt;"직접",IFERROR(INDEX(계정매핑!$G$5:$G$504,MATCH($F3861&amp;"",계정매핑!$A$5:$A$504,0))&amp;"","")="유지비",COUNTIF(계정대체기준!$A$6:$A$15,$N3861)&gt;0),IFERROR(INDEX(계정대체기준!$E$6:$E$15,MATCH(VALUE($A3861&amp;""),계정대체기준!$D$6:$D$15,0)),0),0))</f>
        <v/>
      </c>
      <c r="AH3861" s="64">
        <f>IF($A3861="","",IF(AD3861=0,"",IF(OR(COUNTIF(계정대체기준!$A$77:$A$86,$N3861)&gt;0,ISNUMBER(MATCH($X3861,계정대체기준!$D$77:$D$86,0)),ISNUMBER(MATCH($F3861,계정대체기준!$D$77:$D$86,0))),"Y","N")))</f>
        <v/>
      </c>
    </row>
    <row r="3862">
      <c r="A3862" s="92" t="n">
        <v>2026</v>
      </c>
      <c r="B3862" s="92" t="n">
        <v>5</v>
      </c>
      <c r="C3862" s="92" t="inlineStr">
        <is>
          <t>5100001140</t>
        </is>
      </c>
      <c r="D3862" s="95" t="n">
        <v>46168</v>
      </c>
      <c r="E3862" s="92" t="inlineStr">
        <is>
          <t>KR</t>
        </is>
      </c>
      <c r="F3862" s="92" t="n">
        <v>62902000</v>
      </c>
      <c r="G3862" s="92" t="n">
        <v>1201</v>
      </c>
      <c r="H3862" s="93" t="n">
        <v>3723000</v>
      </c>
      <c r="I3862" s="92" t="inlineStr">
        <is>
          <t>5월 업무 위탁 수수료 - J콜센터</t>
        </is>
      </c>
      <c r="J3862" s="92" t="inlineStr">
        <is>
          <t>V10016</t>
        </is>
      </c>
      <c r="K3862" s="92" t="inlineStr">
        <is>
          <t>J콜센터</t>
        </is>
      </c>
      <c r="M3862" s="9">
        <f>IF($A3862="","",VALUE($A3862&amp;"")*12+VALUE($B3862&amp;""))</f>
        <v/>
      </c>
      <c r="N3862" s="64">
        <f>IF($A3862="","",IFERROR(INDEX(부서매핑!$C$5:$C$504,MATCH($G3862&amp;"",부서매핑!$A$5:$A$504,0)),"미매핑"))</f>
        <v/>
      </c>
      <c r="O3862" s="9">
        <f>IF($A3862="","",N3862&amp;"|"&amp;$F3862)</f>
        <v/>
      </c>
      <c r="P3862" s="94">
        <f>IF($A3862="",0,$H3862*설정!$C$23)</f>
        <v/>
      </c>
      <c r="Q3862" s="64">
        <f>IF($A3862="","",IF(O3862&lt;&gt;원인분석!$C$9,"",IF(AND(M3862&gt;=원인분석!$C$10,M3862&lt;=원인분석!$C$11),"당기",IF(AND(M3862&gt;=원인분석!$C$12,M3862&lt;=원인분석!$C$13),"비교",""))))</f>
        <v/>
      </c>
      <c r="R3862" s="9">
        <f>IF(Q3862="","",$K3862&amp;"")</f>
        <v/>
      </c>
      <c r="S3862" s="9">
        <f>IF(Q3862="","",IF(MATCH(R3862,$R$5:$R$100000,0)=ROW()-4,ROW(),""))</f>
        <v/>
      </c>
      <c r="T3862" s="9">
        <f>IF(Q3862="당기",ABS(P3862)+ROW()/1000000000,"")</f>
        <v/>
      </c>
      <c r="U3862" s="9">
        <f>IF(Q3862="비교",ABS(P3862)+ROW()/1000000000,"")</f>
        <v/>
      </c>
      <c r="V3862" s="64">
        <f>IF($A3862="","",IF(COUNTIF(변동분석!$E$7:$E$506,O3862)&gt;0,"Y","N"))</f>
        <v/>
      </c>
      <c r="W3862" s="64">
        <f>IF($A3862="","",IFERROR(INDEX(계정매핑!$D$5:$D$504,MATCH($F3862&amp;"",계정매핑!$A$5:$A$504,0)),"미매핑"))</f>
        <v/>
      </c>
      <c r="X3862" s="9">
        <f>IF($A3862="","",$F3862&amp;"")</f>
        <v/>
      </c>
      <c r="Y3862" s="94">
        <f>IF($A3862="",0,IF(AE3862="직접",IF(AF3862="비귀속",$P3862,0),$P3862*(1-AG3862)*IFERROR(INDEX(계정대체기준!$F$20:$F$49,MATCH($N3862,계정대체기준!$A$20:$A$49,0)),1)))</f>
        <v/>
      </c>
      <c r="Z3862" s="94">
        <f>IF($A3862="",0,IF(AE3862="직접",IF(AF3862="신계약비",$P3862,0),$P3862*(1-AG3862)*IFERROR(INDEX(계정대체기준!$C$20:$C$49,MATCH($N3862,계정대체기준!$A$20:$A$49,0)),0)))</f>
        <v/>
      </c>
      <c r="AA3862" s="94">
        <f>IF($A3862="",0,IF(AE3862="직접",IF(OR(AF3862="유지비",AF3862="손해조사비"),$P3862,0),$P3862*(1-AG3862)*IFERROR(INDEX(계정대체기준!$D$20:$D$49,MATCH($N3862,계정대체기준!$A$20:$A$49,0)),0)))</f>
        <v/>
      </c>
      <c r="AB3862" s="94">
        <f>IF($A3862="",0,IF(AE3862="직접",IF(AF3862="수금비",$P3862,0),$P3862*(1-AG3862)*IFERROR(INDEX(계정대체기준!$E$20:$E$49,MATCH($N3862,계정대체기준!$A$20:$A$49,0)),0)))</f>
        <v/>
      </c>
      <c r="AC3862" s="9">
        <f>IF(AND($A3862&lt;&gt;"",M3862=설정!$C$20,Z3862&gt;0),Z3862+ROW()/1000000000,"")</f>
        <v/>
      </c>
      <c r="AD3862" s="94">
        <f>IF($A3862="",0,$P3862*AG3862)</f>
        <v/>
      </c>
      <c r="AE3862" s="64">
        <f>IF($A3862="","",IFERROR(INDEX(계정매핑!$E$5:$E$504,MATCH($F3862&amp;"",계정매핑!$A$5:$A$504,0))&amp;"","공통비"))</f>
        <v/>
      </c>
      <c r="AF3862" s="64">
        <f>IF($A3862="","",IF(AE3862="직접",IFERROR(INDEX(계정매핑!$F$5:$F$504,MATCH($F3862&amp;"",계정매핑!$A$5:$A$504,0))&amp;"","비귀속"),""))</f>
        <v/>
      </c>
      <c r="AG3862" s="96">
        <f>IF($A3862="",0,IF(AND(AE3862&lt;&gt;"직접",IFERROR(INDEX(계정매핑!$G$5:$G$504,MATCH($F3862&amp;"",계정매핑!$A$5:$A$504,0))&amp;"","")="유지비",COUNTIF(계정대체기준!$A$6:$A$15,$N3862)&gt;0),IFERROR(INDEX(계정대체기준!$E$6:$E$15,MATCH(VALUE($A3862&amp;""),계정대체기준!$D$6:$D$15,0)),0),0))</f>
        <v/>
      </c>
      <c r="AH3862" s="64">
        <f>IF($A3862="","",IF(AD3862=0,"",IF(OR(COUNTIF(계정대체기준!$A$77:$A$86,$N3862)&gt;0,ISNUMBER(MATCH($X3862,계정대체기준!$D$77:$D$86,0)),ISNUMBER(MATCH($F3862,계정대체기준!$D$77:$D$86,0))),"Y","N")))</f>
        <v/>
      </c>
    </row>
    <row r="3863">
      <c r="A3863" s="92" t="n">
        <v>2026</v>
      </c>
      <c r="B3863" s="92" t="n">
        <v>5</v>
      </c>
      <c r="C3863" s="92" t="inlineStr">
        <is>
          <t>5100001141</t>
        </is>
      </c>
      <c r="D3863" s="95" t="n">
        <v>46168</v>
      </c>
      <c r="E3863" s="92" t="inlineStr">
        <is>
          <t>KR</t>
        </is>
      </c>
      <c r="F3863" s="92" t="n">
        <v>62902000</v>
      </c>
      <c r="G3863" s="92" t="n">
        <v>1801</v>
      </c>
      <c r="H3863" s="93" t="n">
        <v>1811000</v>
      </c>
      <c r="I3863" s="92" t="inlineStr">
        <is>
          <t>5월 콜 위탁 수수료(건별)</t>
        </is>
      </c>
      <c r="J3863" s="92" t="inlineStr">
        <is>
          <t>V10016</t>
        </is>
      </c>
      <c r="K3863" s="92" t="inlineStr">
        <is>
          <t>J콜센터</t>
        </is>
      </c>
      <c r="M3863" s="9">
        <f>IF($A3863="","",VALUE($A3863&amp;"")*12+VALUE($B3863&amp;""))</f>
        <v/>
      </c>
      <c r="N3863" s="64">
        <f>IF($A3863="","",IFERROR(INDEX(부서매핑!$C$5:$C$504,MATCH($G3863&amp;"",부서매핑!$A$5:$A$504,0)),"미매핑"))</f>
        <v/>
      </c>
      <c r="O3863" s="9">
        <f>IF($A3863="","",N3863&amp;"|"&amp;$F3863)</f>
        <v/>
      </c>
      <c r="P3863" s="94">
        <f>IF($A3863="",0,$H3863*설정!$C$23)</f>
        <v/>
      </c>
      <c r="Q3863" s="64">
        <f>IF($A3863="","",IF(O3863&lt;&gt;원인분석!$C$9,"",IF(AND(M3863&gt;=원인분석!$C$10,M3863&lt;=원인분석!$C$11),"당기",IF(AND(M3863&gt;=원인분석!$C$12,M3863&lt;=원인분석!$C$13),"비교",""))))</f>
        <v/>
      </c>
      <c r="R3863" s="9">
        <f>IF(Q3863="","",$K3863&amp;"")</f>
        <v/>
      </c>
      <c r="S3863" s="9">
        <f>IF(Q3863="","",IF(MATCH(R3863,$R$5:$R$100000,0)=ROW()-4,ROW(),""))</f>
        <v/>
      </c>
      <c r="T3863" s="9">
        <f>IF(Q3863="당기",ABS(P3863)+ROW()/1000000000,"")</f>
        <v/>
      </c>
      <c r="U3863" s="9">
        <f>IF(Q3863="비교",ABS(P3863)+ROW()/1000000000,"")</f>
        <v/>
      </c>
      <c r="V3863" s="64">
        <f>IF($A3863="","",IF(COUNTIF(변동분석!$E$7:$E$506,O3863)&gt;0,"Y","N"))</f>
        <v/>
      </c>
      <c r="W3863" s="64">
        <f>IF($A3863="","",IFERROR(INDEX(계정매핑!$D$5:$D$504,MATCH($F3863&amp;"",계정매핑!$A$5:$A$504,0)),"미매핑"))</f>
        <v/>
      </c>
      <c r="X3863" s="9">
        <f>IF($A3863="","",$F3863&amp;"")</f>
        <v/>
      </c>
      <c r="Y3863" s="94">
        <f>IF($A3863="",0,IF(AE3863="직접",IF(AF3863="비귀속",$P3863,0),$P3863*(1-AG3863)*IFERROR(INDEX(계정대체기준!$F$20:$F$49,MATCH($N3863,계정대체기준!$A$20:$A$49,0)),1)))</f>
        <v/>
      </c>
      <c r="Z3863" s="94">
        <f>IF($A3863="",0,IF(AE3863="직접",IF(AF3863="신계약비",$P3863,0),$P3863*(1-AG3863)*IFERROR(INDEX(계정대체기준!$C$20:$C$49,MATCH($N3863,계정대체기준!$A$20:$A$49,0)),0)))</f>
        <v/>
      </c>
      <c r="AA3863" s="94">
        <f>IF($A3863="",0,IF(AE3863="직접",IF(OR(AF3863="유지비",AF3863="손해조사비"),$P3863,0),$P3863*(1-AG3863)*IFERROR(INDEX(계정대체기준!$D$20:$D$49,MATCH($N3863,계정대체기준!$A$20:$A$49,0)),0)))</f>
        <v/>
      </c>
      <c r="AB3863" s="94">
        <f>IF($A3863="",0,IF(AE3863="직접",IF(AF3863="수금비",$P3863,0),$P3863*(1-AG3863)*IFERROR(INDEX(계정대체기준!$E$20:$E$49,MATCH($N3863,계정대체기준!$A$20:$A$49,0)),0)))</f>
        <v/>
      </c>
      <c r="AC3863" s="9">
        <f>IF(AND($A3863&lt;&gt;"",M3863=설정!$C$20,Z3863&gt;0),Z3863+ROW()/1000000000,"")</f>
        <v/>
      </c>
      <c r="AD3863" s="94">
        <f>IF($A3863="",0,$P3863*AG3863)</f>
        <v/>
      </c>
      <c r="AE3863" s="64">
        <f>IF($A3863="","",IFERROR(INDEX(계정매핑!$E$5:$E$504,MATCH($F3863&amp;"",계정매핑!$A$5:$A$504,0))&amp;"","공통비"))</f>
        <v/>
      </c>
      <c r="AF3863" s="64">
        <f>IF($A3863="","",IF(AE3863="직접",IFERROR(INDEX(계정매핑!$F$5:$F$504,MATCH($F3863&amp;"",계정매핑!$A$5:$A$504,0))&amp;"","비귀속"),""))</f>
        <v/>
      </c>
      <c r="AG3863" s="96">
        <f>IF($A3863="",0,IF(AND(AE3863&lt;&gt;"직접",IFERROR(INDEX(계정매핑!$G$5:$G$504,MATCH($F3863&amp;"",계정매핑!$A$5:$A$504,0))&amp;"","")="유지비",COUNTIF(계정대체기준!$A$6:$A$15,$N3863)&gt;0),IFERROR(INDEX(계정대체기준!$E$6:$E$15,MATCH(VALUE($A3863&amp;""),계정대체기준!$D$6:$D$15,0)),0),0))</f>
        <v/>
      </c>
      <c r="AH3863" s="64">
        <f>IF($A3863="","",IF(AD3863=0,"",IF(OR(COUNTIF(계정대체기준!$A$77:$A$86,$N3863)&gt;0,ISNUMBER(MATCH($X3863,계정대체기준!$D$77:$D$86,0)),ISNUMBER(MATCH($F3863,계정대체기준!$D$77:$D$86,0))),"Y","N")))</f>
        <v/>
      </c>
    </row>
    <row r="3864">
      <c r="A3864" s="92" t="n">
        <v>2026</v>
      </c>
      <c r="B3864" s="92" t="n">
        <v>5</v>
      </c>
      <c r="C3864" s="92" t="inlineStr">
        <is>
          <t>5100001142</t>
        </is>
      </c>
      <c r="D3864" s="95" t="n">
        <v>46169</v>
      </c>
      <c r="E3864" s="92" t="inlineStr">
        <is>
          <t>KR</t>
        </is>
      </c>
      <c r="F3864" s="92" t="n">
        <v>62101000</v>
      </c>
      <c r="G3864" s="92" t="n">
        <v>1101</v>
      </c>
      <c r="H3864" s="93" t="n">
        <v>310000</v>
      </c>
      <c r="I3864" s="92" t="inlineStr">
        <is>
          <t>5월 국내출장 - M항공</t>
        </is>
      </c>
      <c r="J3864" s="92" t="inlineStr">
        <is>
          <t>V10001</t>
        </is>
      </c>
      <c r="K3864" s="92" t="inlineStr">
        <is>
          <t>M항공</t>
        </is>
      </c>
      <c r="M3864" s="9">
        <f>IF($A3864="","",VALUE($A3864&amp;"")*12+VALUE($B3864&amp;""))</f>
        <v/>
      </c>
      <c r="N3864" s="64">
        <f>IF($A3864="","",IFERROR(INDEX(부서매핑!$C$5:$C$504,MATCH($G3864&amp;"",부서매핑!$A$5:$A$504,0)),"미매핑"))</f>
        <v/>
      </c>
      <c r="O3864" s="9">
        <f>IF($A3864="","",N3864&amp;"|"&amp;$F3864)</f>
        <v/>
      </c>
      <c r="P3864" s="94">
        <f>IF($A3864="",0,$H3864*설정!$C$23)</f>
        <v/>
      </c>
      <c r="Q3864" s="64">
        <f>IF($A3864="","",IF(O3864&lt;&gt;원인분석!$C$9,"",IF(AND(M3864&gt;=원인분석!$C$10,M3864&lt;=원인분석!$C$11),"당기",IF(AND(M3864&gt;=원인분석!$C$12,M3864&lt;=원인분석!$C$13),"비교",""))))</f>
        <v/>
      </c>
      <c r="R3864" s="9">
        <f>IF(Q3864="","",$K3864&amp;"")</f>
        <v/>
      </c>
      <c r="S3864" s="9">
        <f>IF(Q3864="","",IF(MATCH(R3864,$R$5:$R$100000,0)=ROW()-4,ROW(),""))</f>
        <v/>
      </c>
      <c r="T3864" s="9">
        <f>IF(Q3864="당기",ABS(P3864)+ROW()/1000000000,"")</f>
        <v/>
      </c>
      <c r="U3864" s="9">
        <f>IF(Q3864="비교",ABS(P3864)+ROW()/1000000000,"")</f>
        <v/>
      </c>
      <c r="V3864" s="64">
        <f>IF($A3864="","",IF(COUNTIF(변동분석!$E$7:$E$506,O3864)&gt;0,"Y","N"))</f>
        <v/>
      </c>
      <c r="W3864" s="64">
        <f>IF($A3864="","",IFERROR(INDEX(계정매핑!$D$5:$D$504,MATCH($F3864&amp;"",계정매핑!$A$5:$A$504,0)),"미매핑"))</f>
        <v/>
      </c>
      <c r="X3864" s="9">
        <f>IF($A3864="","",$F3864&amp;"")</f>
        <v/>
      </c>
      <c r="Y3864" s="94">
        <f>IF($A3864="",0,IF(AE3864="직접",IF(AF3864="비귀속",$P3864,0),$P3864*(1-AG3864)*IFERROR(INDEX(계정대체기준!$F$20:$F$49,MATCH($N3864,계정대체기준!$A$20:$A$49,0)),1)))</f>
        <v/>
      </c>
      <c r="Z3864" s="94">
        <f>IF($A3864="",0,IF(AE3864="직접",IF(AF3864="신계약비",$P3864,0),$P3864*(1-AG3864)*IFERROR(INDEX(계정대체기준!$C$20:$C$49,MATCH($N3864,계정대체기준!$A$20:$A$49,0)),0)))</f>
        <v/>
      </c>
      <c r="AA3864" s="94">
        <f>IF($A3864="",0,IF(AE3864="직접",IF(OR(AF3864="유지비",AF3864="손해조사비"),$P3864,0),$P3864*(1-AG3864)*IFERROR(INDEX(계정대체기준!$D$20:$D$49,MATCH($N3864,계정대체기준!$A$20:$A$49,0)),0)))</f>
        <v/>
      </c>
      <c r="AB3864" s="94">
        <f>IF($A3864="",0,IF(AE3864="직접",IF(AF3864="수금비",$P3864,0),$P3864*(1-AG3864)*IFERROR(INDEX(계정대체기준!$E$20:$E$49,MATCH($N3864,계정대체기준!$A$20:$A$49,0)),0)))</f>
        <v/>
      </c>
      <c r="AC3864" s="9">
        <f>IF(AND($A3864&lt;&gt;"",M3864=설정!$C$20,Z3864&gt;0),Z3864+ROW()/1000000000,"")</f>
        <v/>
      </c>
      <c r="AD3864" s="94">
        <f>IF($A3864="",0,$P3864*AG3864)</f>
        <v/>
      </c>
      <c r="AE3864" s="64">
        <f>IF($A3864="","",IFERROR(INDEX(계정매핑!$E$5:$E$504,MATCH($F3864&amp;"",계정매핑!$A$5:$A$504,0))&amp;"","공통비"))</f>
        <v/>
      </c>
      <c r="AF3864" s="64">
        <f>IF($A3864="","",IF(AE3864="직접",IFERROR(INDEX(계정매핑!$F$5:$F$504,MATCH($F3864&amp;"",계정매핑!$A$5:$A$504,0))&amp;"","비귀속"),""))</f>
        <v/>
      </c>
      <c r="AG3864" s="96">
        <f>IF($A3864="",0,IF(AND(AE3864&lt;&gt;"직접",IFERROR(INDEX(계정매핑!$G$5:$G$504,MATCH($F3864&amp;"",계정매핑!$A$5:$A$504,0))&amp;"","")="유지비",COUNTIF(계정대체기준!$A$6:$A$15,$N3864)&gt;0),IFERROR(INDEX(계정대체기준!$E$6:$E$15,MATCH(VALUE($A3864&amp;""),계정대체기준!$D$6:$D$15,0)),0),0))</f>
        <v/>
      </c>
      <c r="AH3864" s="64">
        <f>IF($A3864="","",IF(AD3864=0,"",IF(OR(COUNTIF(계정대체기준!$A$77:$A$86,$N3864)&gt;0,ISNUMBER(MATCH($X3864,계정대체기준!$D$77:$D$86,0)),ISNUMBER(MATCH($F3864,계정대체기준!$D$77:$D$86,0))),"Y","N")))</f>
        <v/>
      </c>
    </row>
    <row r="3865">
      <c r="A3865" s="92" t="n">
        <v>2026</v>
      </c>
      <c r="B3865" s="92" t="n">
        <v>5</v>
      </c>
      <c r="C3865" s="92" t="inlineStr">
        <is>
          <t>5100001143</t>
        </is>
      </c>
      <c r="D3865" s="95" t="n">
        <v>46169</v>
      </c>
      <c r="E3865" s="92" t="inlineStr">
        <is>
          <t>KR</t>
        </is>
      </c>
      <c r="F3865" s="92" t="n">
        <v>62101000</v>
      </c>
      <c r="G3865" s="92" t="n">
        <v>1201</v>
      </c>
      <c r="H3865" s="93" t="n">
        <v>213000</v>
      </c>
      <c r="I3865" s="92" t="inlineStr">
        <is>
          <t>5월 국내출장 - M항공</t>
        </is>
      </c>
      <c r="J3865" s="92" t="inlineStr">
        <is>
          <t>V10001</t>
        </is>
      </c>
      <c r="K3865" s="92" t="inlineStr">
        <is>
          <t>M항공</t>
        </is>
      </c>
      <c r="M3865" s="9">
        <f>IF($A3865="","",VALUE($A3865&amp;"")*12+VALUE($B3865&amp;""))</f>
        <v/>
      </c>
      <c r="N3865" s="64">
        <f>IF($A3865="","",IFERROR(INDEX(부서매핑!$C$5:$C$504,MATCH($G3865&amp;"",부서매핑!$A$5:$A$504,0)),"미매핑"))</f>
        <v/>
      </c>
      <c r="O3865" s="9">
        <f>IF($A3865="","",N3865&amp;"|"&amp;$F3865)</f>
        <v/>
      </c>
      <c r="P3865" s="94">
        <f>IF($A3865="",0,$H3865*설정!$C$23)</f>
        <v/>
      </c>
      <c r="Q3865" s="64">
        <f>IF($A3865="","",IF(O3865&lt;&gt;원인분석!$C$9,"",IF(AND(M3865&gt;=원인분석!$C$10,M3865&lt;=원인분석!$C$11),"당기",IF(AND(M3865&gt;=원인분석!$C$12,M3865&lt;=원인분석!$C$13),"비교",""))))</f>
        <v/>
      </c>
      <c r="R3865" s="9">
        <f>IF(Q3865="","",$K3865&amp;"")</f>
        <v/>
      </c>
      <c r="S3865" s="9">
        <f>IF(Q3865="","",IF(MATCH(R3865,$R$5:$R$100000,0)=ROW()-4,ROW(),""))</f>
        <v/>
      </c>
      <c r="T3865" s="9">
        <f>IF(Q3865="당기",ABS(P3865)+ROW()/1000000000,"")</f>
        <v/>
      </c>
      <c r="U3865" s="9">
        <f>IF(Q3865="비교",ABS(P3865)+ROW()/1000000000,"")</f>
        <v/>
      </c>
      <c r="V3865" s="64">
        <f>IF($A3865="","",IF(COUNTIF(변동분석!$E$7:$E$506,O3865)&gt;0,"Y","N"))</f>
        <v/>
      </c>
      <c r="W3865" s="64">
        <f>IF($A3865="","",IFERROR(INDEX(계정매핑!$D$5:$D$504,MATCH($F3865&amp;"",계정매핑!$A$5:$A$504,0)),"미매핑"))</f>
        <v/>
      </c>
      <c r="X3865" s="9">
        <f>IF($A3865="","",$F3865&amp;"")</f>
        <v/>
      </c>
      <c r="Y3865" s="94">
        <f>IF($A3865="",0,IF(AE3865="직접",IF(AF3865="비귀속",$P3865,0),$P3865*(1-AG3865)*IFERROR(INDEX(계정대체기준!$F$20:$F$49,MATCH($N3865,계정대체기준!$A$20:$A$49,0)),1)))</f>
        <v/>
      </c>
      <c r="Z3865" s="94">
        <f>IF($A3865="",0,IF(AE3865="직접",IF(AF3865="신계약비",$P3865,0),$P3865*(1-AG3865)*IFERROR(INDEX(계정대체기준!$C$20:$C$49,MATCH($N3865,계정대체기준!$A$20:$A$49,0)),0)))</f>
        <v/>
      </c>
      <c r="AA3865" s="94">
        <f>IF($A3865="",0,IF(AE3865="직접",IF(OR(AF3865="유지비",AF3865="손해조사비"),$P3865,0),$P3865*(1-AG3865)*IFERROR(INDEX(계정대체기준!$D$20:$D$49,MATCH($N3865,계정대체기준!$A$20:$A$49,0)),0)))</f>
        <v/>
      </c>
      <c r="AB3865" s="94">
        <f>IF($A3865="",0,IF(AE3865="직접",IF(AF3865="수금비",$P3865,0),$P3865*(1-AG3865)*IFERROR(INDEX(계정대체기준!$E$20:$E$49,MATCH($N3865,계정대체기준!$A$20:$A$49,0)),0)))</f>
        <v/>
      </c>
      <c r="AC3865" s="9">
        <f>IF(AND($A3865&lt;&gt;"",M3865=설정!$C$20,Z3865&gt;0),Z3865+ROW()/1000000000,"")</f>
        <v/>
      </c>
      <c r="AD3865" s="94">
        <f>IF($A3865="",0,$P3865*AG3865)</f>
        <v/>
      </c>
      <c r="AE3865" s="64">
        <f>IF($A3865="","",IFERROR(INDEX(계정매핑!$E$5:$E$504,MATCH($F3865&amp;"",계정매핑!$A$5:$A$504,0))&amp;"","공통비"))</f>
        <v/>
      </c>
      <c r="AF3865" s="64">
        <f>IF($A3865="","",IF(AE3865="직접",IFERROR(INDEX(계정매핑!$F$5:$F$504,MATCH($F3865&amp;"",계정매핑!$A$5:$A$504,0))&amp;"","비귀속"),""))</f>
        <v/>
      </c>
      <c r="AG3865" s="96">
        <f>IF($A3865="",0,IF(AND(AE3865&lt;&gt;"직접",IFERROR(INDEX(계정매핑!$G$5:$G$504,MATCH($F3865&amp;"",계정매핑!$A$5:$A$504,0))&amp;"","")="유지비",COUNTIF(계정대체기준!$A$6:$A$15,$N3865)&gt;0),IFERROR(INDEX(계정대체기준!$E$6:$E$15,MATCH(VALUE($A3865&amp;""),계정대체기준!$D$6:$D$15,0)),0),0))</f>
        <v/>
      </c>
      <c r="AH3865" s="64">
        <f>IF($A3865="","",IF(AD3865=0,"",IF(OR(COUNTIF(계정대체기준!$A$77:$A$86,$N3865)&gt;0,ISNUMBER(MATCH($X3865,계정대체기준!$D$77:$D$86,0)),ISNUMBER(MATCH($F3865,계정대체기준!$D$77:$D$86,0))),"Y","N")))</f>
        <v/>
      </c>
    </row>
    <row r="3866">
      <c r="A3866" s="92" t="n">
        <v>2026</v>
      </c>
      <c r="B3866" s="92" t="n">
        <v>5</v>
      </c>
      <c r="C3866" s="92" t="inlineStr">
        <is>
          <t>5100001144</t>
        </is>
      </c>
      <c r="D3866" s="95" t="n">
        <v>46169</v>
      </c>
      <c r="E3866" s="92" t="inlineStr">
        <is>
          <t>KR</t>
        </is>
      </c>
      <c r="F3866" s="92" t="n">
        <v>62101000</v>
      </c>
      <c r="G3866" s="92" t="n">
        <v>1501</v>
      </c>
      <c r="H3866" s="93" t="n">
        <v>522000</v>
      </c>
      <c r="I3866" s="92" t="inlineStr">
        <is>
          <t>5월 국내출장 - L여행사</t>
        </is>
      </c>
      <c r="J3866" s="92" t="inlineStr">
        <is>
          <t>V10018</t>
        </is>
      </c>
      <c r="K3866" s="92" t="inlineStr">
        <is>
          <t>L여행사</t>
        </is>
      </c>
      <c r="M3866" s="9">
        <f>IF($A3866="","",VALUE($A3866&amp;"")*12+VALUE($B3866&amp;""))</f>
        <v/>
      </c>
      <c r="N3866" s="64">
        <f>IF($A3866="","",IFERROR(INDEX(부서매핑!$C$5:$C$504,MATCH($G3866&amp;"",부서매핑!$A$5:$A$504,0)),"미매핑"))</f>
        <v/>
      </c>
      <c r="O3866" s="9">
        <f>IF($A3866="","",N3866&amp;"|"&amp;$F3866)</f>
        <v/>
      </c>
      <c r="P3866" s="94">
        <f>IF($A3866="",0,$H3866*설정!$C$23)</f>
        <v/>
      </c>
      <c r="Q3866" s="64">
        <f>IF($A3866="","",IF(O3866&lt;&gt;원인분석!$C$9,"",IF(AND(M3866&gt;=원인분석!$C$10,M3866&lt;=원인분석!$C$11),"당기",IF(AND(M3866&gt;=원인분석!$C$12,M3866&lt;=원인분석!$C$13),"비교",""))))</f>
        <v/>
      </c>
      <c r="R3866" s="9">
        <f>IF(Q3866="","",$K3866&amp;"")</f>
        <v/>
      </c>
      <c r="S3866" s="9">
        <f>IF(Q3866="","",IF(MATCH(R3866,$R$5:$R$100000,0)=ROW()-4,ROW(),""))</f>
        <v/>
      </c>
      <c r="T3866" s="9">
        <f>IF(Q3866="당기",ABS(P3866)+ROW()/1000000000,"")</f>
        <v/>
      </c>
      <c r="U3866" s="9">
        <f>IF(Q3866="비교",ABS(P3866)+ROW()/1000000000,"")</f>
        <v/>
      </c>
      <c r="V3866" s="64">
        <f>IF($A3866="","",IF(COUNTIF(변동분석!$E$7:$E$506,O3866)&gt;0,"Y","N"))</f>
        <v/>
      </c>
      <c r="W3866" s="64">
        <f>IF($A3866="","",IFERROR(INDEX(계정매핑!$D$5:$D$504,MATCH($F3866&amp;"",계정매핑!$A$5:$A$504,0)),"미매핑"))</f>
        <v/>
      </c>
      <c r="X3866" s="9">
        <f>IF($A3866="","",$F3866&amp;"")</f>
        <v/>
      </c>
      <c r="Y3866" s="94">
        <f>IF($A3866="",0,IF(AE3866="직접",IF(AF3866="비귀속",$P3866,0),$P3866*(1-AG3866)*IFERROR(INDEX(계정대체기준!$F$20:$F$49,MATCH($N3866,계정대체기준!$A$20:$A$49,0)),1)))</f>
        <v/>
      </c>
      <c r="Z3866" s="94">
        <f>IF($A3866="",0,IF(AE3866="직접",IF(AF3866="신계약비",$P3866,0),$P3866*(1-AG3866)*IFERROR(INDEX(계정대체기준!$C$20:$C$49,MATCH($N3866,계정대체기준!$A$20:$A$49,0)),0)))</f>
        <v/>
      </c>
      <c r="AA3866" s="94">
        <f>IF($A3866="",0,IF(AE3866="직접",IF(OR(AF3866="유지비",AF3866="손해조사비"),$P3866,0),$P3866*(1-AG3866)*IFERROR(INDEX(계정대체기준!$D$20:$D$49,MATCH($N3866,계정대체기준!$A$20:$A$49,0)),0)))</f>
        <v/>
      </c>
      <c r="AB3866" s="94">
        <f>IF($A3866="",0,IF(AE3866="직접",IF(AF3866="수금비",$P3866,0),$P3866*(1-AG3866)*IFERROR(INDEX(계정대체기준!$E$20:$E$49,MATCH($N3866,계정대체기준!$A$20:$A$49,0)),0)))</f>
        <v/>
      </c>
      <c r="AC3866" s="9">
        <f>IF(AND($A3866&lt;&gt;"",M3866=설정!$C$20,Z3866&gt;0),Z3866+ROW()/1000000000,"")</f>
        <v/>
      </c>
      <c r="AD3866" s="94">
        <f>IF($A3866="",0,$P3866*AG3866)</f>
        <v/>
      </c>
      <c r="AE3866" s="64">
        <f>IF($A3866="","",IFERROR(INDEX(계정매핑!$E$5:$E$504,MATCH($F3866&amp;"",계정매핑!$A$5:$A$504,0))&amp;"","공통비"))</f>
        <v/>
      </c>
      <c r="AF3866" s="64">
        <f>IF($A3866="","",IF(AE3866="직접",IFERROR(INDEX(계정매핑!$F$5:$F$504,MATCH($F3866&amp;"",계정매핑!$A$5:$A$504,0))&amp;"","비귀속"),""))</f>
        <v/>
      </c>
      <c r="AG3866" s="96">
        <f>IF($A3866="",0,IF(AND(AE3866&lt;&gt;"직접",IFERROR(INDEX(계정매핑!$G$5:$G$504,MATCH($F3866&amp;"",계정매핑!$A$5:$A$504,0))&amp;"","")="유지비",COUNTIF(계정대체기준!$A$6:$A$15,$N3866)&gt;0),IFERROR(INDEX(계정대체기준!$E$6:$E$15,MATCH(VALUE($A3866&amp;""),계정대체기준!$D$6:$D$15,0)),0),0))</f>
        <v/>
      </c>
      <c r="AH3866" s="64">
        <f>IF($A3866="","",IF(AD3866=0,"",IF(OR(COUNTIF(계정대체기준!$A$77:$A$86,$N3866)&gt;0,ISNUMBER(MATCH($X3866,계정대체기준!$D$77:$D$86,0)),ISNUMBER(MATCH($F3866,계정대체기준!$D$77:$D$86,0))),"Y","N")))</f>
        <v/>
      </c>
    </row>
    <row r="3867">
      <c r="A3867" s="92" t="n">
        <v>2026</v>
      </c>
      <c r="B3867" s="92" t="n">
        <v>5</v>
      </c>
      <c r="C3867" s="92" t="inlineStr">
        <is>
          <t>5100001145</t>
        </is>
      </c>
      <c r="D3867" s="95" t="n">
        <v>46169</v>
      </c>
      <c r="E3867" s="92" t="inlineStr">
        <is>
          <t>KR</t>
        </is>
      </c>
      <c r="F3867" s="92" t="n">
        <v>62101000</v>
      </c>
      <c r="G3867" s="92" t="n">
        <v>1701</v>
      </c>
      <c r="H3867" s="93" t="n">
        <v>143000</v>
      </c>
      <c r="I3867" s="92" t="inlineStr">
        <is>
          <t>5월 국내출장 - M항공</t>
        </is>
      </c>
      <c r="J3867" s="92" t="inlineStr">
        <is>
          <t>V10001</t>
        </is>
      </c>
      <c r="K3867" s="92" t="inlineStr">
        <is>
          <t>M항공</t>
        </is>
      </c>
      <c r="M3867" s="9">
        <f>IF($A3867="","",VALUE($A3867&amp;"")*12+VALUE($B3867&amp;""))</f>
        <v/>
      </c>
      <c r="N3867" s="64">
        <f>IF($A3867="","",IFERROR(INDEX(부서매핑!$C$5:$C$504,MATCH($G3867&amp;"",부서매핑!$A$5:$A$504,0)),"미매핑"))</f>
        <v/>
      </c>
      <c r="O3867" s="9">
        <f>IF($A3867="","",N3867&amp;"|"&amp;$F3867)</f>
        <v/>
      </c>
      <c r="P3867" s="94">
        <f>IF($A3867="",0,$H3867*설정!$C$23)</f>
        <v/>
      </c>
      <c r="Q3867" s="64">
        <f>IF($A3867="","",IF(O3867&lt;&gt;원인분석!$C$9,"",IF(AND(M3867&gt;=원인분석!$C$10,M3867&lt;=원인분석!$C$11),"당기",IF(AND(M3867&gt;=원인분석!$C$12,M3867&lt;=원인분석!$C$13),"비교",""))))</f>
        <v/>
      </c>
      <c r="R3867" s="9">
        <f>IF(Q3867="","",$K3867&amp;"")</f>
        <v/>
      </c>
      <c r="S3867" s="9">
        <f>IF(Q3867="","",IF(MATCH(R3867,$R$5:$R$100000,0)=ROW()-4,ROW(),""))</f>
        <v/>
      </c>
      <c r="T3867" s="9">
        <f>IF(Q3867="당기",ABS(P3867)+ROW()/1000000000,"")</f>
        <v/>
      </c>
      <c r="U3867" s="9">
        <f>IF(Q3867="비교",ABS(P3867)+ROW()/1000000000,"")</f>
        <v/>
      </c>
      <c r="V3867" s="64">
        <f>IF($A3867="","",IF(COUNTIF(변동분석!$E$7:$E$506,O3867)&gt;0,"Y","N"))</f>
        <v/>
      </c>
      <c r="W3867" s="64">
        <f>IF($A3867="","",IFERROR(INDEX(계정매핑!$D$5:$D$504,MATCH($F3867&amp;"",계정매핑!$A$5:$A$504,0)),"미매핑"))</f>
        <v/>
      </c>
      <c r="X3867" s="9">
        <f>IF($A3867="","",$F3867&amp;"")</f>
        <v/>
      </c>
      <c r="Y3867" s="94">
        <f>IF($A3867="",0,IF(AE3867="직접",IF(AF3867="비귀속",$P3867,0),$P3867*(1-AG3867)*IFERROR(INDEX(계정대체기준!$F$20:$F$49,MATCH($N3867,계정대체기준!$A$20:$A$49,0)),1)))</f>
        <v/>
      </c>
      <c r="Z3867" s="94">
        <f>IF($A3867="",0,IF(AE3867="직접",IF(AF3867="신계약비",$P3867,0),$P3867*(1-AG3867)*IFERROR(INDEX(계정대체기준!$C$20:$C$49,MATCH($N3867,계정대체기준!$A$20:$A$49,0)),0)))</f>
        <v/>
      </c>
      <c r="AA3867" s="94">
        <f>IF($A3867="",0,IF(AE3867="직접",IF(OR(AF3867="유지비",AF3867="손해조사비"),$P3867,0),$P3867*(1-AG3867)*IFERROR(INDEX(계정대체기준!$D$20:$D$49,MATCH($N3867,계정대체기준!$A$20:$A$49,0)),0)))</f>
        <v/>
      </c>
      <c r="AB3867" s="94">
        <f>IF($A3867="",0,IF(AE3867="직접",IF(AF3867="수금비",$P3867,0),$P3867*(1-AG3867)*IFERROR(INDEX(계정대체기준!$E$20:$E$49,MATCH($N3867,계정대체기준!$A$20:$A$49,0)),0)))</f>
        <v/>
      </c>
      <c r="AC3867" s="9">
        <f>IF(AND($A3867&lt;&gt;"",M3867=설정!$C$20,Z3867&gt;0),Z3867+ROW()/1000000000,"")</f>
        <v/>
      </c>
      <c r="AD3867" s="94">
        <f>IF($A3867="",0,$P3867*AG3867)</f>
        <v/>
      </c>
      <c r="AE3867" s="64">
        <f>IF($A3867="","",IFERROR(INDEX(계정매핑!$E$5:$E$504,MATCH($F3867&amp;"",계정매핑!$A$5:$A$504,0))&amp;"","공통비"))</f>
        <v/>
      </c>
      <c r="AF3867" s="64">
        <f>IF($A3867="","",IF(AE3867="직접",IFERROR(INDEX(계정매핑!$F$5:$F$504,MATCH($F3867&amp;"",계정매핑!$A$5:$A$504,0))&amp;"","비귀속"),""))</f>
        <v/>
      </c>
      <c r="AG3867" s="96">
        <f>IF($A3867="",0,IF(AND(AE3867&lt;&gt;"직접",IFERROR(INDEX(계정매핑!$G$5:$G$504,MATCH($F3867&amp;"",계정매핑!$A$5:$A$504,0))&amp;"","")="유지비",COUNTIF(계정대체기준!$A$6:$A$15,$N3867)&gt;0),IFERROR(INDEX(계정대체기준!$E$6:$E$15,MATCH(VALUE($A3867&amp;""),계정대체기준!$D$6:$D$15,0)),0),0))</f>
        <v/>
      </c>
      <c r="AH3867" s="64">
        <f>IF($A3867="","",IF(AD3867=0,"",IF(OR(COUNTIF(계정대체기준!$A$77:$A$86,$N3867)&gt;0,ISNUMBER(MATCH($X3867,계정대체기준!$D$77:$D$86,0)),ISNUMBER(MATCH($F3867,계정대체기준!$D$77:$D$86,0))),"Y","N")))</f>
        <v/>
      </c>
    </row>
    <row r="3868">
      <c r="A3868" s="92" t="n">
        <v>2026</v>
      </c>
      <c r="B3868" s="92" t="n">
        <v>5</v>
      </c>
      <c r="C3868" s="92" t="inlineStr">
        <is>
          <t>5100001146</t>
        </is>
      </c>
      <c r="D3868" s="95" t="n">
        <v>46169</v>
      </c>
      <c r="E3868" s="92" t="inlineStr">
        <is>
          <t>KR</t>
        </is>
      </c>
      <c r="F3868" s="92" t="n">
        <v>62501000</v>
      </c>
      <c r="G3868" s="92" t="n">
        <v>1501</v>
      </c>
      <c r="H3868" s="93" t="n">
        <v>320000</v>
      </c>
      <c r="I3868" s="92" t="inlineStr">
        <is>
          <t>5월 회의 다과 - T케이터링</t>
        </is>
      </c>
      <c r="J3868" s="92" t="inlineStr">
        <is>
          <t>V10005</t>
        </is>
      </c>
      <c r="K3868" s="92" t="inlineStr">
        <is>
          <t>T케이터링</t>
        </is>
      </c>
      <c r="M3868" s="9">
        <f>IF($A3868="","",VALUE($A3868&amp;"")*12+VALUE($B3868&amp;""))</f>
        <v/>
      </c>
      <c r="N3868" s="64">
        <f>IF($A3868="","",IFERROR(INDEX(부서매핑!$C$5:$C$504,MATCH($G3868&amp;"",부서매핑!$A$5:$A$504,0)),"미매핑"))</f>
        <v/>
      </c>
      <c r="O3868" s="9">
        <f>IF($A3868="","",N3868&amp;"|"&amp;$F3868)</f>
        <v/>
      </c>
      <c r="P3868" s="94">
        <f>IF($A3868="",0,$H3868*설정!$C$23)</f>
        <v/>
      </c>
      <c r="Q3868" s="64">
        <f>IF($A3868="","",IF(O3868&lt;&gt;원인분석!$C$9,"",IF(AND(M3868&gt;=원인분석!$C$10,M3868&lt;=원인분석!$C$11),"당기",IF(AND(M3868&gt;=원인분석!$C$12,M3868&lt;=원인분석!$C$13),"비교",""))))</f>
        <v/>
      </c>
      <c r="R3868" s="9">
        <f>IF(Q3868="","",$K3868&amp;"")</f>
        <v/>
      </c>
      <c r="S3868" s="9">
        <f>IF(Q3868="","",IF(MATCH(R3868,$R$5:$R$100000,0)=ROW()-4,ROW(),""))</f>
        <v/>
      </c>
      <c r="T3868" s="9">
        <f>IF(Q3868="당기",ABS(P3868)+ROW()/1000000000,"")</f>
        <v/>
      </c>
      <c r="U3868" s="9">
        <f>IF(Q3868="비교",ABS(P3868)+ROW()/1000000000,"")</f>
        <v/>
      </c>
      <c r="V3868" s="64">
        <f>IF($A3868="","",IF(COUNTIF(변동분석!$E$7:$E$506,O3868)&gt;0,"Y","N"))</f>
        <v/>
      </c>
      <c r="W3868" s="64">
        <f>IF($A3868="","",IFERROR(INDEX(계정매핑!$D$5:$D$504,MATCH($F3868&amp;"",계정매핑!$A$5:$A$504,0)),"미매핑"))</f>
        <v/>
      </c>
      <c r="X3868" s="9">
        <f>IF($A3868="","",$F3868&amp;"")</f>
        <v/>
      </c>
      <c r="Y3868" s="94">
        <f>IF($A3868="",0,IF(AE3868="직접",IF(AF3868="비귀속",$P3868,0),$P3868*(1-AG3868)*IFERROR(INDEX(계정대체기준!$F$20:$F$49,MATCH($N3868,계정대체기준!$A$20:$A$49,0)),1)))</f>
        <v/>
      </c>
      <c r="Z3868" s="94">
        <f>IF($A3868="",0,IF(AE3868="직접",IF(AF3868="신계약비",$P3868,0),$P3868*(1-AG3868)*IFERROR(INDEX(계정대체기준!$C$20:$C$49,MATCH($N3868,계정대체기준!$A$20:$A$49,0)),0)))</f>
        <v/>
      </c>
      <c r="AA3868" s="94">
        <f>IF($A3868="",0,IF(AE3868="직접",IF(OR(AF3868="유지비",AF3868="손해조사비"),$P3868,0),$P3868*(1-AG3868)*IFERROR(INDEX(계정대체기준!$D$20:$D$49,MATCH($N3868,계정대체기준!$A$20:$A$49,0)),0)))</f>
        <v/>
      </c>
      <c r="AB3868" s="94">
        <f>IF($A3868="",0,IF(AE3868="직접",IF(AF3868="수금비",$P3868,0),$P3868*(1-AG3868)*IFERROR(INDEX(계정대체기준!$E$20:$E$49,MATCH($N3868,계정대체기준!$A$20:$A$49,0)),0)))</f>
        <v/>
      </c>
      <c r="AC3868" s="9">
        <f>IF(AND($A3868&lt;&gt;"",M3868=설정!$C$20,Z3868&gt;0),Z3868+ROW()/1000000000,"")</f>
        <v/>
      </c>
      <c r="AD3868" s="94">
        <f>IF($A3868="",0,$P3868*AG3868)</f>
        <v/>
      </c>
      <c r="AE3868" s="64">
        <f>IF($A3868="","",IFERROR(INDEX(계정매핑!$E$5:$E$504,MATCH($F3868&amp;"",계정매핑!$A$5:$A$504,0))&amp;"","공통비"))</f>
        <v/>
      </c>
      <c r="AF3868" s="64">
        <f>IF($A3868="","",IF(AE3868="직접",IFERROR(INDEX(계정매핑!$F$5:$F$504,MATCH($F3868&amp;"",계정매핑!$A$5:$A$504,0))&amp;"","비귀속"),""))</f>
        <v/>
      </c>
      <c r="AG3868" s="96">
        <f>IF($A3868="",0,IF(AND(AE3868&lt;&gt;"직접",IFERROR(INDEX(계정매핑!$G$5:$G$504,MATCH($F3868&amp;"",계정매핑!$A$5:$A$504,0))&amp;"","")="유지비",COUNTIF(계정대체기준!$A$6:$A$15,$N3868)&gt;0),IFERROR(INDEX(계정대체기준!$E$6:$E$15,MATCH(VALUE($A3868&amp;""),계정대체기준!$D$6:$D$15,0)),0),0))</f>
        <v/>
      </c>
      <c r="AH3868" s="64">
        <f>IF($A3868="","",IF(AD3868=0,"",IF(OR(COUNTIF(계정대체기준!$A$77:$A$86,$N3868)&gt;0,ISNUMBER(MATCH($X3868,계정대체기준!$D$77:$D$86,0)),ISNUMBER(MATCH($F3868,계정대체기준!$D$77:$D$86,0))),"Y","N")))</f>
        <v/>
      </c>
    </row>
    <row r="3869">
      <c r="A3869" s="92" t="n">
        <v>2026</v>
      </c>
      <c r="B3869" s="92" t="n">
        <v>5</v>
      </c>
      <c r="C3869" s="92" t="inlineStr">
        <is>
          <t>5100001147</t>
        </is>
      </c>
      <c r="D3869" s="95" t="n">
        <v>46169</v>
      </c>
      <c r="E3869" s="92" t="inlineStr">
        <is>
          <t>KR</t>
        </is>
      </c>
      <c r="F3869" s="92" t="n">
        <v>63201000</v>
      </c>
      <c r="G3869" s="92" t="n">
        <v>1601</v>
      </c>
      <c r="H3869" s="93" t="n">
        <v>1954000</v>
      </c>
      <c r="I3869" s="92" t="inlineStr">
        <is>
          <t>5월 차량 유지 - H에너지</t>
        </is>
      </c>
      <c r="J3869" s="92" t="inlineStr">
        <is>
          <t>V10030</t>
        </is>
      </c>
      <c r="K3869" s="92" t="inlineStr">
        <is>
          <t>H에너지</t>
        </is>
      </c>
      <c r="M3869" s="9">
        <f>IF($A3869="","",VALUE($A3869&amp;"")*12+VALUE($B3869&amp;""))</f>
        <v/>
      </c>
      <c r="N3869" s="64">
        <f>IF($A3869="","",IFERROR(INDEX(부서매핑!$C$5:$C$504,MATCH($G3869&amp;"",부서매핑!$A$5:$A$504,0)),"미매핑"))</f>
        <v/>
      </c>
      <c r="O3869" s="9">
        <f>IF($A3869="","",N3869&amp;"|"&amp;$F3869)</f>
        <v/>
      </c>
      <c r="P3869" s="94">
        <f>IF($A3869="",0,$H3869*설정!$C$23)</f>
        <v/>
      </c>
      <c r="Q3869" s="64">
        <f>IF($A3869="","",IF(O3869&lt;&gt;원인분석!$C$9,"",IF(AND(M3869&gt;=원인분석!$C$10,M3869&lt;=원인분석!$C$11),"당기",IF(AND(M3869&gt;=원인분석!$C$12,M3869&lt;=원인분석!$C$13),"비교",""))))</f>
        <v/>
      </c>
      <c r="R3869" s="9">
        <f>IF(Q3869="","",$K3869&amp;"")</f>
        <v/>
      </c>
      <c r="S3869" s="9">
        <f>IF(Q3869="","",IF(MATCH(R3869,$R$5:$R$100000,0)=ROW()-4,ROW(),""))</f>
        <v/>
      </c>
      <c r="T3869" s="9">
        <f>IF(Q3869="당기",ABS(P3869)+ROW()/1000000000,"")</f>
        <v/>
      </c>
      <c r="U3869" s="9">
        <f>IF(Q3869="비교",ABS(P3869)+ROW()/1000000000,"")</f>
        <v/>
      </c>
      <c r="V3869" s="64">
        <f>IF($A3869="","",IF(COUNTIF(변동분석!$E$7:$E$506,O3869)&gt;0,"Y","N"))</f>
        <v/>
      </c>
      <c r="W3869" s="64">
        <f>IF($A3869="","",IFERROR(INDEX(계정매핑!$D$5:$D$504,MATCH($F3869&amp;"",계정매핑!$A$5:$A$504,0)),"미매핑"))</f>
        <v/>
      </c>
      <c r="X3869" s="9">
        <f>IF($A3869="","",$F3869&amp;"")</f>
        <v/>
      </c>
      <c r="Y3869" s="94">
        <f>IF($A3869="",0,IF(AE3869="직접",IF(AF3869="비귀속",$P3869,0),$P3869*(1-AG3869)*IFERROR(INDEX(계정대체기준!$F$20:$F$49,MATCH($N3869,계정대체기준!$A$20:$A$49,0)),1)))</f>
        <v/>
      </c>
      <c r="Z3869" s="94">
        <f>IF($A3869="",0,IF(AE3869="직접",IF(AF3869="신계약비",$P3869,0),$P3869*(1-AG3869)*IFERROR(INDEX(계정대체기준!$C$20:$C$49,MATCH($N3869,계정대체기준!$A$20:$A$49,0)),0)))</f>
        <v/>
      </c>
      <c r="AA3869" s="94">
        <f>IF($A3869="",0,IF(AE3869="직접",IF(OR(AF3869="유지비",AF3869="손해조사비"),$P3869,0),$P3869*(1-AG3869)*IFERROR(INDEX(계정대체기준!$D$20:$D$49,MATCH($N3869,계정대체기준!$A$20:$A$49,0)),0)))</f>
        <v/>
      </c>
      <c r="AB3869" s="94">
        <f>IF($A3869="",0,IF(AE3869="직접",IF(AF3869="수금비",$P3869,0),$P3869*(1-AG3869)*IFERROR(INDEX(계정대체기준!$E$20:$E$49,MATCH($N3869,계정대체기준!$A$20:$A$49,0)),0)))</f>
        <v/>
      </c>
      <c r="AC3869" s="9">
        <f>IF(AND($A3869&lt;&gt;"",M3869=설정!$C$20,Z3869&gt;0),Z3869+ROW()/1000000000,"")</f>
        <v/>
      </c>
      <c r="AD3869" s="94">
        <f>IF($A3869="",0,$P3869*AG3869)</f>
        <v/>
      </c>
      <c r="AE3869" s="64">
        <f>IF($A3869="","",IFERROR(INDEX(계정매핑!$E$5:$E$504,MATCH($F3869&amp;"",계정매핑!$A$5:$A$504,0))&amp;"","공통비"))</f>
        <v/>
      </c>
      <c r="AF3869" s="64">
        <f>IF($A3869="","",IF(AE3869="직접",IFERROR(INDEX(계정매핑!$F$5:$F$504,MATCH($F3869&amp;"",계정매핑!$A$5:$A$504,0))&amp;"","비귀속"),""))</f>
        <v/>
      </c>
      <c r="AG3869" s="96">
        <f>IF($A3869="",0,IF(AND(AE3869&lt;&gt;"직접",IFERROR(INDEX(계정매핑!$G$5:$G$504,MATCH($F3869&amp;"",계정매핑!$A$5:$A$504,0))&amp;"","")="유지비",COUNTIF(계정대체기준!$A$6:$A$15,$N3869)&gt;0),IFERROR(INDEX(계정대체기준!$E$6:$E$15,MATCH(VALUE($A3869&amp;""),계정대체기준!$D$6:$D$15,0)),0),0))</f>
        <v/>
      </c>
      <c r="AH3869" s="64">
        <f>IF($A3869="","",IF(AD3869=0,"",IF(OR(COUNTIF(계정대체기준!$A$77:$A$86,$N3869)&gt;0,ISNUMBER(MATCH($X3869,계정대체기준!$D$77:$D$86,0)),ISNUMBER(MATCH($F3869,계정대체기준!$D$77:$D$86,0))),"Y","N")))</f>
        <v/>
      </c>
    </row>
    <row r="3870">
      <c r="A3870" s="92" t="n">
        <v>2026</v>
      </c>
      <c r="B3870" s="92" t="n">
        <v>6</v>
      </c>
      <c r="C3870" s="92" t="inlineStr">
        <is>
          <t>5100001148</t>
        </is>
      </c>
      <c r="D3870" s="95" t="n">
        <v>46175</v>
      </c>
      <c r="E3870" s="92" t="inlineStr">
        <is>
          <t>KR</t>
        </is>
      </c>
      <c r="F3870" s="92" t="n">
        <v>62201000</v>
      </c>
      <c r="G3870" s="92" t="n">
        <v>1201</v>
      </c>
      <c r="H3870" s="93" t="n">
        <v>95000</v>
      </c>
      <c r="I3870" s="92" t="inlineStr">
        <is>
          <t>6월 통신요금 - O텔레콤</t>
        </is>
      </c>
      <c r="J3870" s="92" t="inlineStr">
        <is>
          <t>V10002</t>
        </is>
      </c>
      <c r="K3870" s="92" t="inlineStr">
        <is>
          <t>O텔레콤</t>
        </is>
      </c>
      <c r="M3870" s="9">
        <f>IF($A3870="","",VALUE($A3870&amp;"")*12+VALUE($B3870&amp;""))</f>
        <v/>
      </c>
      <c r="N3870" s="64">
        <f>IF($A3870="","",IFERROR(INDEX(부서매핑!$C$5:$C$504,MATCH($G3870&amp;"",부서매핑!$A$5:$A$504,0)),"미매핑"))</f>
        <v/>
      </c>
      <c r="O3870" s="9">
        <f>IF($A3870="","",N3870&amp;"|"&amp;$F3870)</f>
        <v/>
      </c>
      <c r="P3870" s="94">
        <f>IF($A3870="",0,$H3870*설정!$C$23)</f>
        <v/>
      </c>
      <c r="Q3870" s="64">
        <f>IF($A3870="","",IF(O3870&lt;&gt;원인분석!$C$9,"",IF(AND(M3870&gt;=원인분석!$C$10,M3870&lt;=원인분석!$C$11),"당기",IF(AND(M3870&gt;=원인분석!$C$12,M3870&lt;=원인분석!$C$13),"비교",""))))</f>
        <v/>
      </c>
      <c r="R3870" s="9">
        <f>IF(Q3870="","",$K3870&amp;"")</f>
        <v/>
      </c>
      <c r="S3870" s="9">
        <f>IF(Q3870="","",IF(MATCH(R3870,$R$5:$R$100000,0)=ROW()-4,ROW(),""))</f>
        <v/>
      </c>
      <c r="T3870" s="9">
        <f>IF(Q3870="당기",ABS(P3870)+ROW()/1000000000,"")</f>
        <v/>
      </c>
      <c r="U3870" s="9">
        <f>IF(Q3870="비교",ABS(P3870)+ROW()/1000000000,"")</f>
        <v/>
      </c>
      <c r="V3870" s="64">
        <f>IF($A3870="","",IF(COUNTIF(변동분석!$E$7:$E$506,O3870)&gt;0,"Y","N"))</f>
        <v/>
      </c>
      <c r="W3870" s="64">
        <f>IF($A3870="","",IFERROR(INDEX(계정매핑!$D$5:$D$504,MATCH($F3870&amp;"",계정매핑!$A$5:$A$504,0)),"미매핑"))</f>
        <v/>
      </c>
      <c r="X3870" s="9">
        <f>IF($A3870="","",$F3870&amp;"")</f>
        <v/>
      </c>
      <c r="Y3870" s="94">
        <f>IF($A3870="",0,IF(AE3870="직접",IF(AF3870="비귀속",$P3870,0),$P3870*(1-AG3870)*IFERROR(INDEX(계정대체기준!$F$20:$F$49,MATCH($N3870,계정대체기준!$A$20:$A$49,0)),1)))</f>
        <v/>
      </c>
      <c r="Z3870" s="94">
        <f>IF($A3870="",0,IF(AE3870="직접",IF(AF3870="신계약비",$P3870,0),$P3870*(1-AG3870)*IFERROR(INDEX(계정대체기준!$C$20:$C$49,MATCH($N3870,계정대체기준!$A$20:$A$49,0)),0)))</f>
        <v/>
      </c>
      <c r="AA3870" s="94">
        <f>IF($A3870="",0,IF(AE3870="직접",IF(OR(AF3870="유지비",AF3870="손해조사비"),$P3870,0),$P3870*(1-AG3870)*IFERROR(INDEX(계정대체기준!$D$20:$D$49,MATCH($N3870,계정대체기준!$A$20:$A$49,0)),0)))</f>
        <v/>
      </c>
      <c r="AB3870" s="94">
        <f>IF($A3870="",0,IF(AE3870="직접",IF(AF3870="수금비",$P3870,0),$P3870*(1-AG3870)*IFERROR(INDEX(계정대체기준!$E$20:$E$49,MATCH($N3870,계정대체기준!$A$20:$A$49,0)),0)))</f>
        <v/>
      </c>
      <c r="AC3870" s="9">
        <f>IF(AND($A3870&lt;&gt;"",M3870=설정!$C$20,Z3870&gt;0),Z3870+ROW()/1000000000,"")</f>
        <v/>
      </c>
      <c r="AD3870" s="94">
        <f>IF($A3870="",0,$P3870*AG3870)</f>
        <v/>
      </c>
      <c r="AE3870" s="64">
        <f>IF($A3870="","",IFERROR(INDEX(계정매핑!$E$5:$E$504,MATCH($F3870&amp;"",계정매핑!$A$5:$A$504,0))&amp;"","공통비"))</f>
        <v/>
      </c>
      <c r="AF3870" s="64">
        <f>IF($A3870="","",IF(AE3870="직접",IFERROR(INDEX(계정매핑!$F$5:$F$504,MATCH($F3870&amp;"",계정매핑!$A$5:$A$504,0))&amp;"","비귀속"),""))</f>
        <v/>
      </c>
      <c r="AG3870" s="96">
        <f>IF($A3870="",0,IF(AND(AE3870&lt;&gt;"직접",IFERROR(INDEX(계정매핑!$G$5:$G$504,MATCH($F3870&amp;"",계정매핑!$A$5:$A$504,0))&amp;"","")="유지비",COUNTIF(계정대체기준!$A$6:$A$15,$N3870)&gt;0),IFERROR(INDEX(계정대체기준!$E$6:$E$15,MATCH(VALUE($A3870&amp;""),계정대체기준!$D$6:$D$15,0)),0),0))</f>
        <v/>
      </c>
      <c r="AH3870" s="64">
        <f>IF($A3870="","",IF(AD3870=0,"",IF(OR(COUNTIF(계정대체기준!$A$77:$A$86,$N3870)&gt;0,ISNUMBER(MATCH($X3870,계정대체기준!$D$77:$D$86,0)),ISNUMBER(MATCH($F3870,계정대체기준!$D$77:$D$86,0))),"Y","N")))</f>
        <v/>
      </c>
    </row>
    <row r="3871">
      <c r="A3871" s="92" t="n">
        <v>2026</v>
      </c>
      <c r="B3871" s="92" t="n">
        <v>6</v>
      </c>
      <c r="C3871" s="92" t="inlineStr">
        <is>
          <t>5100001149</t>
        </is>
      </c>
      <c r="D3871" s="95" t="n">
        <v>46175</v>
      </c>
      <c r="E3871" s="92" t="inlineStr">
        <is>
          <t>KR</t>
        </is>
      </c>
      <c r="F3871" s="92" t="n">
        <v>62401000</v>
      </c>
      <c r="G3871" s="92" t="n">
        <v>1801</v>
      </c>
      <c r="H3871" s="93" t="n">
        <v>1425000</v>
      </c>
      <c r="I3871" s="92" t="inlineStr">
        <is>
          <t>6월 인쇄물 제작 - S출판</t>
        </is>
      </c>
      <c r="J3871" s="92" t="inlineStr">
        <is>
          <t>V10015</t>
        </is>
      </c>
      <c r="K3871" s="92" t="inlineStr">
        <is>
          <t>S출판</t>
        </is>
      </c>
      <c r="M3871" s="9">
        <f>IF($A3871="","",VALUE($A3871&amp;"")*12+VALUE($B3871&amp;""))</f>
        <v/>
      </c>
      <c r="N3871" s="64">
        <f>IF($A3871="","",IFERROR(INDEX(부서매핑!$C$5:$C$504,MATCH($G3871&amp;"",부서매핑!$A$5:$A$504,0)),"미매핑"))</f>
        <v/>
      </c>
      <c r="O3871" s="9">
        <f>IF($A3871="","",N3871&amp;"|"&amp;$F3871)</f>
        <v/>
      </c>
      <c r="P3871" s="94">
        <f>IF($A3871="",0,$H3871*설정!$C$23)</f>
        <v/>
      </c>
      <c r="Q3871" s="64">
        <f>IF($A3871="","",IF(O3871&lt;&gt;원인분석!$C$9,"",IF(AND(M3871&gt;=원인분석!$C$10,M3871&lt;=원인분석!$C$11),"당기",IF(AND(M3871&gt;=원인분석!$C$12,M3871&lt;=원인분석!$C$13),"비교",""))))</f>
        <v/>
      </c>
      <c r="R3871" s="9">
        <f>IF(Q3871="","",$K3871&amp;"")</f>
        <v/>
      </c>
      <c r="S3871" s="9">
        <f>IF(Q3871="","",IF(MATCH(R3871,$R$5:$R$100000,0)=ROW()-4,ROW(),""))</f>
        <v/>
      </c>
      <c r="T3871" s="9">
        <f>IF(Q3871="당기",ABS(P3871)+ROW()/1000000000,"")</f>
        <v/>
      </c>
      <c r="U3871" s="9">
        <f>IF(Q3871="비교",ABS(P3871)+ROW()/1000000000,"")</f>
        <v/>
      </c>
      <c r="V3871" s="64">
        <f>IF($A3871="","",IF(COUNTIF(변동분석!$E$7:$E$506,O3871)&gt;0,"Y","N"))</f>
        <v/>
      </c>
      <c r="W3871" s="64">
        <f>IF($A3871="","",IFERROR(INDEX(계정매핑!$D$5:$D$504,MATCH($F3871&amp;"",계정매핑!$A$5:$A$504,0)),"미매핑"))</f>
        <v/>
      </c>
      <c r="X3871" s="9">
        <f>IF($A3871="","",$F3871&amp;"")</f>
        <v/>
      </c>
      <c r="Y3871" s="94">
        <f>IF($A3871="",0,IF(AE3871="직접",IF(AF3871="비귀속",$P3871,0),$P3871*(1-AG3871)*IFERROR(INDEX(계정대체기준!$F$20:$F$49,MATCH($N3871,계정대체기준!$A$20:$A$49,0)),1)))</f>
        <v/>
      </c>
      <c r="Z3871" s="94">
        <f>IF($A3871="",0,IF(AE3871="직접",IF(AF3871="신계약비",$P3871,0),$P3871*(1-AG3871)*IFERROR(INDEX(계정대체기준!$C$20:$C$49,MATCH($N3871,계정대체기준!$A$20:$A$49,0)),0)))</f>
        <v/>
      </c>
      <c r="AA3871" s="94">
        <f>IF($A3871="",0,IF(AE3871="직접",IF(OR(AF3871="유지비",AF3871="손해조사비"),$P3871,0),$P3871*(1-AG3871)*IFERROR(INDEX(계정대체기준!$D$20:$D$49,MATCH($N3871,계정대체기준!$A$20:$A$49,0)),0)))</f>
        <v/>
      </c>
      <c r="AB3871" s="94">
        <f>IF($A3871="",0,IF(AE3871="직접",IF(AF3871="수금비",$P3871,0),$P3871*(1-AG3871)*IFERROR(INDEX(계정대체기준!$E$20:$E$49,MATCH($N3871,계정대체기준!$A$20:$A$49,0)),0)))</f>
        <v/>
      </c>
      <c r="AC3871" s="9">
        <f>IF(AND($A3871&lt;&gt;"",M3871=설정!$C$20,Z3871&gt;0),Z3871+ROW()/1000000000,"")</f>
        <v/>
      </c>
      <c r="AD3871" s="94">
        <f>IF($A3871="",0,$P3871*AG3871)</f>
        <v/>
      </c>
      <c r="AE3871" s="64">
        <f>IF($A3871="","",IFERROR(INDEX(계정매핑!$E$5:$E$504,MATCH($F3871&amp;"",계정매핑!$A$5:$A$504,0))&amp;"","공통비"))</f>
        <v/>
      </c>
      <c r="AF3871" s="64">
        <f>IF($A3871="","",IF(AE3871="직접",IFERROR(INDEX(계정매핑!$F$5:$F$504,MATCH($F3871&amp;"",계정매핑!$A$5:$A$504,0))&amp;"","비귀속"),""))</f>
        <v/>
      </c>
      <c r="AG3871" s="96">
        <f>IF($A3871="",0,IF(AND(AE3871&lt;&gt;"직접",IFERROR(INDEX(계정매핑!$G$5:$G$504,MATCH($F3871&amp;"",계정매핑!$A$5:$A$504,0))&amp;"","")="유지비",COUNTIF(계정대체기준!$A$6:$A$15,$N3871)&gt;0),IFERROR(INDEX(계정대체기준!$E$6:$E$15,MATCH(VALUE($A3871&amp;""),계정대체기준!$D$6:$D$15,0)),0),0))</f>
        <v/>
      </c>
      <c r="AH3871" s="64">
        <f>IF($A3871="","",IF(AD3871=0,"",IF(OR(COUNTIF(계정대체기준!$A$77:$A$86,$N3871)&gt;0,ISNUMBER(MATCH($X3871,계정대체기준!$D$77:$D$86,0)),ISNUMBER(MATCH($F3871,계정대체기준!$D$77:$D$86,0))),"Y","N")))</f>
        <v/>
      </c>
    </row>
    <row r="3872">
      <c r="A3872" s="92" t="n">
        <v>2026</v>
      </c>
      <c r="B3872" s="92" t="n">
        <v>6</v>
      </c>
      <c r="C3872" s="92" t="inlineStr">
        <is>
          <t>5100001150</t>
        </is>
      </c>
      <c r="D3872" s="95" t="n">
        <v>46175</v>
      </c>
      <c r="E3872" s="92" t="inlineStr">
        <is>
          <t>KR</t>
        </is>
      </c>
      <c r="F3872" s="92" t="n">
        <v>62501000</v>
      </c>
      <c r="G3872" s="92" t="n">
        <v>1401</v>
      </c>
      <c r="H3872" s="93" t="n">
        <v>98000</v>
      </c>
      <c r="I3872" s="92" t="inlineStr">
        <is>
          <t>6월 회의 다과 - T케이터링</t>
        </is>
      </c>
      <c r="J3872" s="92" t="inlineStr">
        <is>
          <t>V10005</t>
        </is>
      </c>
      <c r="K3872" s="92" t="inlineStr">
        <is>
          <t>T케이터링</t>
        </is>
      </c>
      <c r="M3872" s="9">
        <f>IF($A3872="","",VALUE($A3872&amp;"")*12+VALUE($B3872&amp;""))</f>
        <v/>
      </c>
      <c r="N3872" s="64">
        <f>IF($A3872="","",IFERROR(INDEX(부서매핑!$C$5:$C$504,MATCH($G3872&amp;"",부서매핑!$A$5:$A$504,0)),"미매핑"))</f>
        <v/>
      </c>
      <c r="O3872" s="9">
        <f>IF($A3872="","",N3872&amp;"|"&amp;$F3872)</f>
        <v/>
      </c>
      <c r="P3872" s="94">
        <f>IF($A3872="",0,$H3872*설정!$C$23)</f>
        <v/>
      </c>
      <c r="Q3872" s="64">
        <f>IF($A3872="","",IF(O3872&lt;&gt;원인분석!$C$9,"",IF(AND(M3872&gt;=원인분석!$C$10,M3872&lt;=원인분석!$C$11),"당기",IF(AND(M3872&gt;=원인분석!$C$12,M3872&lt;=원인분석!$C$13),"비교",""))))</f>
        <v/>
      </c>
      <c r="R3872" s="9">
        <f>IF(Q3872="","",$K3872&amp;"")</f>
        <v/>
      </c>
      <c r="S3872" s="9">
        <f>IF(Q3872="","",IF(MATCH(R3872,$R$5:$R$100000,0)=ROW()-4,ROW(),""))</f>
        <v/>
      </c>
      <c r="T3872" s="9">
        <f>IF(Q3872="당기",ABS(P3872)+ROW()/1000000000,"")</f>
        <v/>
      </c>
      <c r="U3872" s="9">
        <f>IF(Q3872="비교",ABS(P3872)+ROW()/1000000000,"")</f>
        <v/>
      </c>
      <c r="V3872" s="64">
        <f>IF($A3872="","",IF(COUNTIF(변동분석!$E$7:$E$506,O3872)&gt;0,"Y","N"))</f>
        <v/>
      </c>
      <c r="W3872" s="64">
        <f>IF($A3872="","",IFERROR(INDEX(계정매핑!$D$5:$D$504,MATCH($F3872&amp;"",계정매핑!$A$5:$A$504,0)),"미매핑"))</f>
        <v/>
      </c>
      <c r="X3872" s="9">
        <f>IF($A3872="","",$F3872&amp;"")</f>
        <v/>
      </c>
      <c r="Y3872" s="94">
        <f>IF($A3872="",0,IF(AE3872="직접",IF(AF3872="비귀속",$P3872,0),$P3872*(1-AG3872)*IFERROR(INDEX(계정대체기준!$F$20:$F$49,MATCH($N3872,계정대체기준!$A$20:$A$49,0)),1)))</f>
        <v/>
      </c>
      <c r="Z3872" s="94">
        <f>IF($A3872="",0,IF(AE3872="직접",IF(AF3872="신계약비",$P3872,0),$P3872*(1-AG3872)*IFERROR(INDEX(계정대체기준!$C$20:$C$49,MATCH($N3872,계정대체기준!$A$20:$A$49,0)),0)))</f>
        <v/>
      </c>
      <c r="AA3872" s="94">
        <f>IF($A3872="",0,IF(AE3872="직접",IF(OR(AF3872="유지비",AF3872="손해조사비"),$P3872,0),$P3872*(1-AG3872)*IFERROR(INDEX(계정대체기준!$D$20:$D$49,MATCH($N3872,계정대체기준!$A$20:$A$49,0)),0)))</f>
        <v/>
      </c>
      <c r="AB3872" s="94">
        <f>IF($A3872="",0,IF(AE3872="직접",IF(AF3872="수금비",$P3872,0),$P3872*(1-AG3872)*IFERROR(INDEX(계정대체기준!$E$20:$E$49,MATCH($N3872,계정대체기준!$A$20:$A$49,0)),0)))</f>
        <v/>
      </c>
      <c r="AC3872" s="9">
        <f>IF(AND($A3872&lt;&gt;"",M3872=설정!$C$20,Z3872&gt;0),Z3872+ROW()/1000000000,"")</f>
        <v/>
      </c>
      <c r="AD3872" s="94">
        <f>IF($A3872="",0,$P3872*AG3872)</f>
        <v/>
      </c>
      <c r="AE3872" s="64">
        <f>IF($A3872="","",IFERROR(INDEX(계정매핑!$E$5:$E$504,MATCH($F3872&amp;"",계정매핑!$A$5:$A$504,0))&amp;"","공통비"))</f>
        <v/>
      </c>
      <c r="AF3872" s="64">
        <f>IF($A3872="","",IF(AE3872="직접",IFERROR(INDEX(계정매핑!$F$5:$F$504,MATCH($F3872&amp;"",계정매핑!$A$5:$A$504,0))&amp;"","비귀속"),""))</f>
        <v/>
      </c>
      <c r="AG3872" s="96">
        <f>IF($A3872="",0,IF(AND(AE3872&lt;&gt;"직접",IFERROR(INDEX(계정매핑!$G$5:$G$504,MATCH($F3872&amp;"",계정매핑!$A$5:$A$504,0))&amp;"","")="유지비",COUNTIF(계정대체기준!$A$6:$A$15,$N3872)&gt;0),IFERROR(INDEX(계정대체기준!$E$6:$E$15,MATCH(VALUE($A3872&amp;""),계정대체기준!$D$6:$D$15,0)),0),0))</f>
        <v/>
      </c>
      <c r="AH3872" s="64">
        <f>IF($A3872="","",IF(AD3872=0,"",IF(OR(COUNTIF(계정대체기준!$A$77:$A$86,$N3872)&gt;0,ISNUMBER(MATCH($X3872,계정대체기준!$D$77:$D$86,0)),ISNUMBER(MATCH($F3872,계정대체기준!$D$77:$D$86,0))),"Y","N")))</f>
        <v/>
      </c>
    </row>
    <row r="3873">
      <c r="A3873" s="92" t="n">
        <v>2026</v>
      </c>
      <c r="B3873" s="92" t="n">
        <v>6</v>
      </c>
      <c r="C3873" s="92" t="inlineStr">
        <is>
          <t>5100001151</t>
        </is>
      </c>
      <c r="D3873" s="95" t="n">
        <v>46175</v>
      </c>
      <c r="E3873" s="92" t="inlineStr">
        <is>
          <t>KR</t>
        </is>
      </c>
      <c r="F3873" s="92" t="n">
        <v>62501000</v>
      </c>
      <c r="G3873" s="92" t="n">
        <v>1601</v>
      </c>
      <c r="H3873" s="93" t="n">
        <v>517000</v>
      </c>
      <c r="I3873" s="92" t="inlineStr">
        <is>
          <t>6월 회의 다과 - T케이터링</t>
        </is>
      </c>
      <c r="J3873" s="92" t="inlineStr">
        <is>
          <t>V10005</t>
        </is>
      </c>
      <c r="K3873" s="92" t="inlineStr">
        <is>
          <t>T케이터링</t>
        </is>
      </c>
      <c r="M3873" s="9">
        <f>IF($A3873="","",VALUE($A3873&amp;"")*12+VALUE($B3873&amp;""))</f>
        <v/>
      </c>
      <c r="N3873" s="64">
        <f>IF($A3873="","",IFERROR(INDEX(부서매핑!$C$5:$C$504,MATCH($G3873&amp;"",부서매핑!$A$5:$A$504,0)),"미매핑"))</f>
        <v/>
      </c>
      <c r="O3873" s="9">
        <f>IF($A3873="","",N3873&amp;"|"&amp;$F3873)</f>
        <v/>
      </c>
      <c r="P3873" s="94">
        <f>IF($A3873="",0,$H3873*설정!$C$23)</f>
        <v/>
      </c>
      <c r="Q3873" s="64">
        <f>IF($A3873="","",IF(O3873&lt;&gt;원인분석!$C$9,"",IF(AND(M3873&gt;=원인분석!$C$10,M3873&lt;=원인분석!$C$11),"당기",IF(AND(M3873&gt;=원인분석!$C$12,M3873&lt;=원인분석!$C$13),"비교",""))))</f>
        <v/>
      </c>
      <c r="R3873" s="9">
        <f>IF(Q3873="","",$K3873&amp;"")</f>
        <v/>
      </c>
      <c r="S3873" s="9">
        <f>IF(Q3873="","",IF(MATCH(R3873,$R$5:$R$100000,0)=ROW()-4,ROW(),""))</f>
        <v/>
      </c>
      <c r="T3873" s="9">
        <f>IF(Q3873="당기",ABS(P3873)+ROW()/1000000000,"")</f>
        <v/>
      </c>
      <c r="U3873" s="9">
        <f>IF(Q3873="비교",ABS(P3873)+ROW()/1000000000,"")</f>
        <v/>
      </c>
      <c r="V3873" s="64">
        <f>IF($A3873="","",IF(COUNTIF(변동분석!$E$7:$E$506,O3873)&gt;0,"Y","N"))</f>
        <v/>
      </c>
      <c r="W3873" s="64">
        <f>IF($A3873="","",IFERROR(INDEX(계정매핑!$D$5:$D$504,MATCH($F3873&amp;"",계정매핑!$A$5:$A$504,0)),"미매핑"))</f>
        <v/>
      </c>
      <c r="X3873" s="9">
        <f>IF($A3873="","",$F3873&amp;"")</f>
        <v/>
      </c>
      <c r="Y3873" s="94">
        <f>IF($A3873="",0,IF(AE3873="직접",IF(AF3873="비귀속",$P3873,0),$P3873*(1-AG3873)*IFERROR(INDEX(계정대체기준!$F$20:$F$49,MATCH($N3873,계정대체기준!$A$20:$A$49,0)),1)))</f>
        <v/>
      </c>
      <c r="Z3873" s="94">
        <f>IF($A3873="",0,IF(AE3873="직접",IF(AF3873="신계약비",$P3873,0),$P3873*(1-AG3873)*IFERROR(INDEX(계정대체기준!$C$20:$C$49,MATCH($N3873,계정대체기준!$A$20:$A$49,0)),0)))</f>
        <v/>
      </c>
      <c r="AA3873" s="94">
        <f>IF($A3873="",0,IF(AE3873="직접",IF(OR(AF3873="유지비",AF3873="손해조사비"),$P3873,0),$P3873*(1-AG3873)*IFERROR(INDEX(계정대체기준!$D$20:$D$49,MATCH($N3873,계정대체기준!$A$20:$A$49,0)),0)))</f>
        <v/>
      </c>
      <c r="AB3873" s="94">
        <f>IF($A3873="",0,IF(AE3873="직접",IF(AF3873="수금비",$P3873,0),$P3873*(1-AG3873)*IFERROR(INDEX(계정대체기준!$E$20:$E$49,MATCH($N3873,계정대체기준!$A$20:$A$49,0)),0)))</f>
        <v/>
      </c>
      <c r="AC3873" s="9">
        <f>IF(AND($A3873&lt;&gt;"",M3873=설정!$C$20,Z3873&gt;0),Z3873+ROW()/1000000000,"")</f>
        <v/>
      </c>
      <c r="AD3873" s="94">
        <f>IF($A3873="",0,$P3873*AG3873)</f>
        <v/>
      </c>
      <c r="AE3873" s="64">
        <f>IF($A3873="","",IFERROR(INDEX(계정매핑!$E$5:$E$504,MATCH($F3873&amp;"",계정매핑!$A$5:$A$504,0))&amp;"","공통비"))</f>
        <v/>
      </c>
      <c r="AF3873" s="64">
        <f>IF($A3873="","",IF(AE3873="직접",IFERROR(INDEX(계정매핑!$F$5:$F$504,MATCH($F3873&amp;"",계정매핑!$A$5:$A$504,0))&amp;"","비귀속"),""))</f>
        <v/>
      </c>
      <c r="AG3873" s="96">
        <f>IF($A3873="",0,IF(AND(AE3873&lt;&gt;"직접",IFERROR(INDEX(계정매핑!$G$5:$G$504,MATCH($F3873&amp;"",계정매핑!$A$5:$A$504,0))&amp;"","")="유지비",COUNTIF(계정대체기준!$A$6:$A$15,$N3873)&gt;0),IFERROR(INDEX(계정대체기준!$E$6:$E$15,MATCH(VALUE($A3873&amp;""),계정대체기준!$D$6:$D$15,0)),0),0))</f>
        <v/>
      </c>
      <c r="AH3873" s="64">
        <f>IF($A3873="","",IF(AD3873=0,"",IF(OR(COUNTIF(계정대체기준!$A$77:$A$86,$N3873)&gt;0,ISNUMBER(MATCH($X3873,계정대체기준!$D$77:$D$86,0)),ISNUMBER(MATCH($F3873,계정대체기준!$D$77:$D$86,0))),"Y","N")))</f>
        <v/>
      </c>
    </row>
    <row r="3874">
      <c r="A3874" s="92" t="n">
        <v>2026</v>
      </c>
      <c r="B3874" s="92" t="n">
        <v>6</v>
      </c>
      <c r="C3874" s="92" t="inlineStr">
        <is>
          <t>5100001152</t>
        </is>
      </c>
      <c r="D3874" s="95" t="n">
        <v>46175</v>
      </c>
      <c r="E3874" s="92" t="inlineStr">
        <is>
          <t>KR</t>
        </is>
      </c>
      <c r="F3874" s="92" t="n">
        <v>62601000</v>
      </c>
      <c r="G3874" s="92" t="n">
        <v>1301</v>
      </c>
      <c r="H3874" s="93" t="n">
        <v>829000</v>
      </c>
      <c r="I3874" s="92" t="inlineStr">
        <is>
          <t>6월 업무추진 - (법인카드)</t>
        </is>
      </c>
      <c r="J3874" s="92" t="inlineStr">
        <is>
          <t>V10010</t>
        </is>
      </c>
      <c r="K3874" s="92" t="inlineStr">
        <is>
          <t>(법인카드)</t>
        </is>
      </c>
      <c r="M3874" s="9">
        <f>IF($A3874="","",VALUE($A3874&amp;"")*12+VALUE($B3874&amp;""))</f>
        <v/>
      </c>
      <c r="N3874" s="64">
        <f>IF($A3874="","",IFERROR(INDEX(부서매핑!$C$5:$C$504,MATCH($G3874&amp;"",부서매핑!$A$5:$A$504,0)),"미매핑"))</f>
        <v/>
      </c>
      <c r="O3874" s="9">
        <f>IF($A3874="","",N3874&amp;"|"&amp;$F3874)</f>
        <v/>
      </c>
      <c r="P3874" s="94">
        <f>IF($A3874="",0,$H3874*설정!$C$23)</f>
        <v/>
      </c>
      <c r="Q3874" s="64">
        <f>IF($A3874="","",IF(O3874&lt;&gt;원인분석!$C$9,"",IF(AND(M3874&gt;=원인분석!$C$10,M3874&lt;=원인분석!$C$11),"당기",IF(AND(M3874&gt;=원인분석!$C$12,M3874&lt;=원인분석!$C$13),"비교",""))))</f>
        <v/>
      </c>
      <c r="R3874" s="9">
        <f>IF(Q3874="","",$K3874&amp;"")</f>
        <v/>
      </c>
      <c r="S3874" s="9">
        <f>IF(Q3874="","",IF(MATCH(R3874,$R$5:$R$100000,0)=ROW()-4,ROW(),""))</f>
        <v/>
      </c>
      <c r="T3874" s="9">
        <f>IF(Q3874="당기",ABS(P3874)+ROW()/1000000000,"")</f>
        <v/>
      </c>
      <c r="U3874" s="9">
        <f>IF(Q3874="비교",ABS(P3874)+ROW()/1000000000,"")</f>
        <v/>
      </c>
      <c r="V3874" s="64">
        <f>IF($A3874="","",IF(COUNTIF(변동분석!$E$7:$E$506,O3874)&gt;0,"Y","N"))</f>
        <v/>
      </c>
      <c r="W3874" s="64">
        <f>IF($A3874="","",IFERROR(INDEX(계정매핑!$D$5:$D$504,MATCH($F3874&amp;"",계정매핑!$A$5:$A$504,0)),"미매핑"))</f>
        <v/>
      </c>
      <c r="X3874" s="9">
        <f>IF($A3874="","",$F3874&amp;"")</f>
        <v/>
      </c>
      <c r="Y3874" s="94">
        <f>IF($A3874="",0,IF(AE3874="직접",IF(AF3874="비귀속",$P3874,0),$P3874*(1-AG3874)*IFERROR(INDEX(계정대체기준!$F$20:$F$49,MATCH($N3874,계정대체기준!$A$20:$A$49,0)),1)))</f>
        <v/>
      </c>
      <c r="Z3874" s="94">
        <f>IF($A3874="",0,IF(AE3874="직접",IF(AF3874="신계약비",$P3874,0),$P3874*(1-AG3874)*IFERROR(INDEX(계정대체기준!$C$20:$C$49,MATCH($N3874,계정대체기준!$A$20:$A$49,0)),0)))</f>
        <v/>
      </c>
      <c r="AA3874" s="94">
        <f>IF($A3874="",0,IF(AE3874="직접",IF(OR(AF3874="유지비",AF3874="손해조사비"),$P3874,0),$P3874*(1-AG3874)*IFERROR(INDEX(계정대체기준!$D$20:$D$49,MATCH($N3874,계정대체기준!$A$20:$A$49,0)),0)))</f>
        <v/>
      </c>
      <c r="AB3874" s="94">
        <f>IF($A3874="",0,IF(AE3874="직접",IF(AF3874="수금비",$P3874,0),$P3874*(1-AG3874)*IFERROR(INDEX(계정대체기준!$E$20:$E$49,MATCH($N3874,계정대체기준!$A$20:$A$49,0)),0)))</f>
        <v/>
      </c>
      <c r="AC3874" s="9">
        <f>IF(AND($A3874&lt;&gt;"",M3874=설정!$C$20,Z3874&gt;0),Z3874+ROW()/1000000000,"")</f>
        <v/>
      </c>
      <c r="AD3874" s="94">
        <f>IF($A3874="",0,$P3874*AG3874)</f>
        <v/>
      </c>
      <c r="AE3874" s="64">
        <f>IF($A3874="","",IFERROR(INDEX(계정매핑!$E$5:$E$504,MATCH($F3874&amp;"",계정매핑!$A$5:$A$504,0))&amp;"","공통비"))</f>
        <v/>
      </c>
      <c r="AF3874" s="64">
        <f>IF($A3874="","",IF(AE3874="직접",IFERROR(INDEX(계정매핑!$F$5:$F$504,MATCH($F3874&amp;"",계정매핑!$A$5:$A$504,0))&amp;"","비귀속"),""))</f>
        <v/>
      </c>
      <c r="AG3874" s="96">
        <f>IF($A3874="",0,IF(AND(AE3874&lt;&gt;"직접",IFERROR(INDEX(계정매핑!$G$5:$G$504,MATCH($F3874&amp;"",계정매핑!$A$5:$A$504,0))&amp;"","")="유지비",COUNTIF(계정대체기준!$A$6:$A$15,$N3874)&gt;0),IFERROR(INDEX(계정대체기준!$E$6:$E$15,MATCH(VALUE($A3874&amp;""),계정대체기준!$D$6:$D$15,0)),0),0))</f>
        <v/>
      </c>
      <c r="AH3874" s="64">
        <f>IF($A3874="","",IF(AD3874=0,"",IF(OR(COUNTIF(계정대체기준!$A$77:$A$86,$N3874)&gt;0,ISNUMBER(MATCH($X3874,계정대체기준!$D$77:$D$86,0)),ISNUMBER(MATCH($F3874,계정대체기준!$D$77:$D$86,0))),"Y","N")))</f>
        <v/>
      </c>
    </row>
    <row r="3875">
      <c r="A3875" s="92" t="n">
        <v>2026</v>
      </c>
      <c r="B3875" s="92" t="n">
        <v>6</v>
      </c>
      <c r="C3875" s="92" t="inlineStr">
        <is>
          <t>5100001153</t>
        </is>
      </c>
      <c r="D3875" s="95" t="n">
        <v>46175</v>
      </c>
      <c r="E3875" s="92" t="inlineStr">
        <is>
          <t>KR</t>
        </is>
      </c>
      <c r="F3875" s="92" t="n">
        <v>62902000</v>
      </c>
      <c r="G3875" s="92" t="n">
        <v>1801</v>
      </c>
      <c r="H3875" s="93" t="n">
        <v>1848000</v>
      </c>
      <c r="I3875" s="92" t="inlineStr">
        <is>
          <t>6월 콜 위탁 수수료(건별)</t>
        </is>
      </c>
      <c r="J3875" s="92" t="inlineStr">
        <is>
          <t>V10016</t>
        </is>
      </c>
      <c r="K3875" s="92" t="inlineStr">
        <is>
          <t>J콜센터</t>
        </is>
      </c>
      <c r="M3875" s="9">
        <f>IF($A3875="","",VALUE($A3875&amp;"")*12+VALUE($B3875&amp;""))</f>
        <v/>
      </c>
      <c r="N3875" s="64">
        <f>IF($A3875="","",IFERROR(INDEX(부서매핑!$C$5:$C$504,MATCH($G3875&amp;"",부서매핑!$A$5:$A$504,0)),"미매핑"))</f>
        <v/>
      </c>
      <c r="O3875" s="9">
        <f>IF($A3875="","",N3875&amp;"|"&amp;$F3875)</f>
        <v/>
      </c>
      <c r="P3875" s="94">
        <f>IF($A3875="",0,$H3875*설정!$C$23)</f>
        <v/>
      </c>
      <c r="Q3875" s="64">
        <f>IF($A3875="","",IF(O3875&lt;&gt;원인분석!$C$9,"",IF(AND(M3875&gt;=원인분석!$C$10,M3875&lt;=원인분석!$C$11),"당기",IF(AND(M3875&gt;=원인분석!$C$12,M3875&lt;=원인분석!$C$13),"비교",""))))</f>
        <v/>
      </c>
      <c r="R3875" s="9">
        <f>IF(Q3875="","",$K3875&amp;"")</f>
        <v/>
      </c>
      <c r="S3875" s="9">
        <f>IF(Q3875="","",IF(MATCH(R3875,$R$5:$R$100000,0)=ROW()-4,ROW(),""))</f>
        <v/>
      </c>
      <c r="T3875" s="9">
        <f>IF(Q3875="당기",ABS(P3875)+ROW()/1000000000,"")</f>
        <v/>
      </c>
      <c r="U3875" s="9">
        <f>IF(Q3875="비교",ABS(P3875)+ROW()/1000000000,"")</f>
        <v/>
      </c>
      <c r="V3875" s="64">
        <f>IF($A3875="","",IF(COUNTIF(변동분석!$E$7:$E$506,O3875)&gt;0,"Y","N"))</f>
        <v/>
      </c>
      <c r="W3875" s="64">
        <f>IF($A3875="","",IFERROR(INDEX(계정매핑!$D$5:$D$504,MATCH($F3875&amp;"",계정매핑!$A$5:$A$504,0)),"미매핑"))</f>
        <v/>
      </c>
      <c r="X3875" s="9">
        <f>IF($A3875="","",$F3875&amp;"")</f>
        <v/>
      </c>
      <c r="Y3875" s="94">
        <f>IF($A3875="",0,IF(AE3875="직접",IF(AF3875="비귀속",$P3875,0),$P3875*(1-AG3875)*IFERROR(INDEX(계정대체기준!$F$20:$F$49,MATCH($N3875,계정대체기준!$A$20:$A$49,0)),1)))</f>
        <v/>
      </c>
      <c r="Z3875" s="94">
        <f>IF($A3875="",0,IF(AE3875="직접",IF(AF3875="신계약비",$P3875,0),$P3875*(1-AG3875)*IFERROR(INDEX(계정대체기준!$C$20:$C$49,MATCH($N3875,계정대체기준!$A$20:$A$49,0)),0)))</f>
        <v/>
      </c>
      <c r="AA3875" s="94">
        <f>IF($A3875="",0,IF(AE3875="직접",IF(OR(AF3875="유지비",AF3875="손해조사비"),$P3875,0),$P3875*(1-AG3875)*IFERROR(INDEX(계정대체기준!$D$20:$D$49,MATCH($N3875,계정대체기준!$A$20:$A$49,0)),0)))</f>
        <v/>
      </c>
      <c r="AB3875" s="94">
        <f>IF($A3875="",0,IF(AE3875="직접",IF(AF3875="수금비",$P3875,0),$P3875*(1-AG3875)*IFERROR(INDEX(계정대체기준!$E$20:$E$49,MATCH($N3875,계정대체기준!$A$20:$A$49,0)),0)))</f>
        <v/>
      </c>
      <c r="AC3875" s="9">
        <f>IF(AND($A3875&lt;&gt;"",M3875=설정!$C$20,Z3875&gt;0),Z3875+ROW()/1000000000,"")</f>
        <v/>
      </c>
      <c r="AD3875" s="94">
        <f>IF($A3875="",0,$P3875*AG3875)</f>
        <v/>
      </c>
      <c r="AE3875" s="64">
        <f>IF($A3875="","",IFERROR(INDEX(계정매핑!$E$5:$E$504,MATCH($F3875&amp;"",계정매핑!$A$5:$A$504,0))&amp;"","공통비"))</f>
        <v/>
      </c>
      <c r="AF3875" s="64">
        <f>IF($A3875="","",IF(AE3875="직접",IFERROR(INDEX(계정매핑!$F$5:$F$504,MATCH($F3875&amp;"",계정매핑!$A$5:$A$504,0))&amp;"","비귀속"),""))</f>
        <v/>
      </c>
      <c r="AG3875" s="96">
        <f>IF($A3875="",0,IF(AND(AE3875&lt;&gt;"직접",IFERROR(INDEX(계정매핑!$G$5:$G$504,MATCH($F3875&amp;"",계정매핑!$A$5:$A$504,0))&amp;"","")="유지비",COUNTIF(계정대체기준!$A$6:$A$15,$N3875)&gt;0),IFERROR(INDEX(계정대체기준!$E$6:$E$15,MATCH(VALUE($A3875&amp;""),계정대체기준!$D$6:$D$15,0)),0),0))</f>
        <v/>
      </c>
      <c r="AH3875" s="64">
        <f>IF($A3875="","",IF(AD3875=0,"",IF(OR(COUNTIF(계정대체기준!$A$77:$A$86,$N3875)&gt;0,ISNUMBER(MATCH($X3875,계정대체기준!$D$77:$D$86,0)),ISNUMBER(MATCH($F3875,계정대체기준!$D$77:$D$86,0))),"Y","N")))</f>
        <v/>
      </c>
    </row>
    <row r="3876">
      <c r="A3876" s="92" t="n">
        <v>2026</v>
      </c>
      <c r="B3876" s="92" t="n">
        <v>6</v>
      </c>
      <c r="C3876" s="92" t="inlineStr">
        <is>
          <t>5100001154</t>
        </is>
      </c>
      <c r="D3876" s="95" t="n">
        <v>46176</v>
      </c>
      <c r="E3876" s="92" t="inlineStr">
        <is>
          <t>KR</t>
        </is>
      </c>
      <c r="F3876" s="92" t="n">
        <v>62102000</v>
      </c>
      <c r="G3876" s="92" t="n">
        <v>1201</v>
      </c>
      <c r="H3876" s="93" t="n">
        <v>56000</v>
      </c>
      <c r="I3876" s="92" t="inlineStr">
        <is>
          <t>6월 해외출장 - M항공</t>
        </is>
      </c>
      <c r="J3876" s="92" t="inlineStr">
        <is>
          <t>V10001</t>
        </is>
      </c>
      <c r="K3876" s="92" t="inlineStr">
        <is>
          <t>M항공</t>
        </is>
      </c>
      <c r="M3876" s="9">
        <f>IF($A3876="","",VALUE($A3876&amp;"")*12+VALUE($B3876&amp;""))</f>
        <v/>
      </c>
      <c r="N3876" s="64">
        <f>IF($A3876="","",IFERROR(INDEX(부서매핑!$C$5:$C$504,MATCH($G3876&amp;"",부서매핑!$A$5:$A$504,0)),"미매핑"))</f>
        <v/>
      </c>
      <c r="O3876" s="9">
        <f>IF($A3876="","",N3876&amp;"|"&amp;$F3876)</f>
        <v/>
      </c>
      <c r="P3876" s="94">
        <f>IF($A3876="",0,$H3876*설정!$C$23)</f>
        <v/>
      </c>
      <c r="Q3876" s="64">
        <f>IF($A3876="","",IF(O3876&lt;&gt;원인분석!$C$9,"",IF(AND(M3876&gt;=원인분석!$C$10,M3876&lt;=원인분석!$C$11),"당기",IF(AND(M3876&gt;=원인분석!$C$12,M3876&lt;=원인분석!$C$13),"비교",""))))</f>
        <v/>
      </c>
      <c r="R3876" s="9">
        <f>IF(Q3876="","",$K3876&amp;"")</f>
        <v/>
      </c>
      <c r="S3876" s="9">
        <f>IF(Q3876="","",IF(MATCH(R3876,$R$5:$R$100000,0)=ROW()-4,ROW(),""))</f>
        <v/>
      </c>
      <c r="T3876" s="9">
        <f>IF(Q3876="당기",ABS(P3876)+ROW()/1000000000,"")</f>
        <v/>
      </c>
      <c r="U3876" s="9">
        <f>IF(Q3876="비교",ABS(P3876)+ROW()/1000000000,"")</f>
        <v/>
      </c>
      <c r="V3876" s="64">
        <f>IF($A3876="","",IF(COUNTIF(변동분석!$E$7:$E$506,O3876)&gt;0,"Y","N"))</f>
        <v/>
      </c>
      <c r="W3876" s="64">
        <f>IF($A3876="","",IFERROR(INDEX(계정매핑!$D$5:$D$504,MATCH($F3876&amp;"",계정매핑!$A$5:$A$504,0)),"미매핑"))</f>
        <v/>
      </c>
      <c r="X3876" s="9">
        <f>IF($A3876="","",$F3876&amp;"")</f>
        <v/>
      </c>
      <c r="Y3876" s="94">
        <f>IF($A3876="",0,IF(AE3876="직접",IF(AF3876="비귀속",$P3876,0),$P3876*(1-AG3876)*IFERROR(INDEX(계정대체기준!$F$20:$F$49,MATCH($N3876,계정대체기준!$A$20:$A$49,0)),1)))</f>
        <v/>
      </c>
      <c r="Z3876" s="94">
        <f>IF($A3876="",0,IF(AE3876="직접",IF(AF3876="신계약비",$P3876,0),$P3876*(1-AG3876)*IFERROR(INDEX(계정대체기준!$C$20:$C$49,MATCH($N3876,계정대체기준!$A$20:$A$49,0)),0)))</f>
        <v/>
      </c>
      <c r="AA3876" s="94">
        <f>IF($A3876="",0,IF(AE3876="직접",IF(OR(AF3876="유지비",AF3876="손해조사비"),$P3876,0),$P3876*(1-AG3876)*IFERROR(INDEX(계정대체기준!$D$20:$D$49,MATCH($N3876,계정대체기준!$A$20:$A$49,0)),0)))</f>
        <v/>
      </c>
      <c r="AB3876" s="94">
        <f>IF($A3876="",0,IF(AE3876="직접",IF(AF3876="수금비",$P3876,0),$P3876*(1-AG3876)*IFERROR(INDEX(계정대체기준!$E$20:$E$49,MATCH($N3876,계정대체기준!$A$20:$A$49,0)),0)))</f>
        <v/>
      </c>
      <c r="AC3876" s="9">
        <f>IF(AND($A3876&lt;&gt;"",M3876=설정!$C$20,Z3876&gt;0),Z3876+ROW()/1000000000,"")</f>
        <v/>
      </c>
      <c r="AD3876" s="94">
        <f>IF($A3876="",0,$P3876*AG3876)</f>
        <v/>
      </c>
      <c r="AE3876" s="64">
        <f>IF($A3876="","",IFERROR(INDEX(계정매핑!$E$5:$E$504,MATCH($F3876&amp;"",계정매핑!$A$5:$A$504,0))&amp;"","공통비"))</f>
        <v/>
      </c>
      <c r="AF3876" s="64">
        <f>IF($A3876="","",IF(AE3876="직접",IFERROR(INDEX(계정매핑!$F$5:$F$504,MATCH($F3876&amp;"",계정매핑!$A$5:$A$504,0))&amp;"","비귀속"),""))</f>
        <v/>
      </c>
      <c r="AG3876" s="96">
        <f>IF($A3876="",0,IF(AND(AE3876&lt;&gt;"직접",IFERROR(INDEX(계정매핑!$G$5:$G$504,MATCH($F3876&amp;"",계정매핑!$A$5:$A$504,0))&amp;"","")="유지비",COUNTIF(계정대체기준!$A$6:$A$15,$N3876)&gt;0),IFERROR(INDEX(계정대체기준!$E$6:$E$15,MATCH(VALUE($A3876&amp;""),계정대체기준!$D$6:$D$15,0)),0),0))</f>
        <v/>
      </c>
      <c r="AH3876" s="64">
        <f>IF($A3876="","",IF(AD3876=0,"",IF(OR(COUNTIF(계정대체기준!$A$77:$A$86,$N3876)&gt;0,ISNUMBER(MATCH($X3876,계정대체기준!$D$77:$D$86,0)),ISNUMBER(MATCH($F3876,계정대체기준!$D$77:$D$86,0))),"Y","N")))</f>
        <v/>
      </c>
    </row>
    <row r="3877">
      <c r="A3877" s="92" t="n">
        <v>2026</v>
      </c>
      <c r="B3877" s="92" t="n">
        <v>6</v>
      </c>
      <c r="C3877" s="92" t="inlineStr">
        <is>
          <t>5100001155</t>
        </is>
      </c>
      <c r="D3877" s="95" t="n">
        <v>46176</v>
      </c>
      <c r="E3877" s="92" t="inlineStr">
        <is>
          <t>KR</t>
        </is>
      </c>
      <c r="F3877" s="92" t="n">
        <v>62102000</v>
      </c>
      <c r="G3877" s="92" t="n">
        <v>1201</v>
      </c>
      <c r="H3877" s="93" t="n">
        <v>50000</v>
      </c>
      <c r="I3877" s="92" t="inlineStr">
        <is>
          <t>6월 해외출장 - N호텔</t>
        </is>
      </c>
      <c r="J3877" s="92" t="inlineStr">
        <is>
          <t>V10009</t>
        </is>
      </c>
      <c r="K3877" s="92" t="inlineStr">
        <is>
          <t>N호텔</t>
        </is>
      </c>
      <c r="M3877" s="9">
        <f>IF($A3877="","",VALUE($A3877&amp;"")*12+VALUE($B3877&amp;""))</f>
        <v/>
      </c>
      <c r="N3877" s="64">
        <f>IF($A3877="","",IFERROR(INDEX(부서매핑!$C$5:$C$504,MATCH($G3877&amp;"",부서매핑!$A$5:$A$504,0)),"미매핑"))</f>
        <v/>
      </c>
      <c r="O3877" s="9">
        <f>IF($A3877="","",N3877&amp;"|"&amp;$F3877)</f>
        <v/>
      </c>
      <c r="P3877" s="94">
        <f>IF($A3877="",0,$H3877*설정!$C$23)</f>
        <v/>
      </c>
      <c r="Q3877" s="64">
        <f>IF($A3877="","",IF(O3877&lt;&gt;원인분석!$C$9,"",IF(AND(M3877&gt;=원인분석!$C$10,M3877&lt;=원인분석!$C$11),"당기",IF(AND(M3877&gt;=원인분석!$C$12,M3877&lt;=원인분석!$C$13),"비교",""))))</f>
        <v/>
      </c>
      <c r="R3877" s="9">
        <f>IF(Q3877="","",$K3877&amp;"")</f>
        <v/>
      </c>
      <c r="S3877" s="9">
        <f>IF(Q3877="","",IF(MATCH(R3877,$R$5:$R$100000,0)=ROW()-4,ROW(),""))</f>
        <v/>
      </c>
      <c r="T3877" s="9">
        <f>IF(Q3877="당기",ABS(P3877)+ROW()/1000000000,"")</f>
        <v/>
      </c>
      <c r="U3877" s="9">
        <f>IF(Q3877="비교",ABS(P3877)+ROW()/1000000000,"")</f>
        <v/>
      </c>
      <c r="V3877" s="64">
        <f>IF($A3877="","",IF(COUNTIF(변동분석!$E$7:$E$506,O3877)&gt;0,"Y","N"))</f>
        <v/>
      </c>
      <c r="W3877" s="64">
        <f>IF($A3877="","",IFERROR(INDEX(계정매핑!$D$5:$D$504,MATCH($F3877&amp;"",계정매핑!$A$5:$A$504,0)),"미매핑"))</f>
        <v/>
      </c>
      <c r="X3877" s="9">
        <f>IF($A3877="","",$F3877&amp;"")</f>
        <v/>
      </c>
      <c r="Y3877" s="94">
        <f>IF($A3877="",0,IF(AE3877="직접",IF(AF3877="비귀속",$P3877,0),$P3877*(1-AG3877)*IFERROR(INDEX(계정대체기준!$F$20:$F$49,MATCH($N3877,계정대체기준!$A$20:$A$49,0)),1)))</f>
        <v/>
      </c>
      <c r="Z3877" s="94">
        <f>IF($A3877="",0,IF(AE3877="직접",IF(AF3877="신계약비",$P3877,0),$P3877*(1-AG3877)*IFERROR(INDEX(계정대체기준!$C$20:$C$49,MATCH($N3877,계정대체기준!$A$20:$A$49,0)),0)))</f>
        <v/>
      </c>
      <c r="AA3877" s="94">
        <f>IF($A3877="",0,IF(AE3877="직접",IF(OR(AF3877="유지비",AF3877="손해조사비"),$P3877,0),$P3877*(1-AG3877)*IFERROR(INDEX(계정대체기준!$D$20:$D$49,MATCH($N3877,계정대체기준!$A$20:$A$49,0)),0)))</f>
        <v/>
      </c>
      <c r="AB3877" s="94">
        <f>IF($A3877="",0,IF(AE3877="직접",IF(AF3877="수금비",$P3877,0),$P3877*(1-AG3877)*IFERROR(INDEX(계정대체기준!$E$20:$E$49,MATCH($N3877,계정대체기준!$A$20:$A$49,0)),0)))</f>
        <v/>
      </c>
      <c r="AC3877" s="9">
        <f>IF(AND($A3877&lt;&gt;"",M3877=설정!$C$20,Z3877&gt;0),Z3877+ROW()/1000000000,"")</f>
        <v/>
      </c>
      <c r="AD3877" s="94">
        <f>IF($A3877="",0,$P3877*AG3877)</f>
        <v/>
      </c>
      <c r="AE3877" s="64">
        <f>IF($A3877="","",IFERROR(INDEX(계정매핑!$E$5:$E$504,MATCH($F3877&amp;"",계정매핑!$A$5:$A$504,0))&amp;"","공통비"))</f>
        <v/>
      </c>
      <c r="AF3877" s="64">
        <f>IF($A3877="","",IF(AE3877="직접",IFERROR(INDEX(계정매핑!$F$5:$F$504,MATCH($F3877&amp;"",계정매핑!$A$5:$A$504,0))&amp;"","비귀속"),""))</f>
        <v/>
      </c>
      <c r="AG3877" s="96">
        <f>IF($A3877="",0,IF(AND(AE3877&lt;&gt;"직접",IFERROR(INDEX(계정매핑!$G$5:$G$504,MATCH($F3877&amp;"",계정매핑!$A$5:$A$504,0))&amp;"","")="유지비",COUNTIF(계정대체기준!$A$6:$A$15,$N3877)&gt;0),IFERROR(INDEX(계정대체기준!$E$6:$E$15,MATCH(VALUE($A3877&amp;""),계정대체기준!$D$6:$D$15,0)),0),0))</f>
        <v/>
      </c>
      <c r="AH3877" s="64">
        <f>IF($A3877="","",IF(AD3877=0,"",IF(OR(COUNTIF(계정대체기준!$A$77:$A$86,$N3877)&gt;0,ISNUMBER(MATCH($X3877,계정대체기준!$D$77:$D$86,0)),ISNUMBER(MATCH($F3877,계정대체기준!$D$77:$D$86,0))),"Y","N")))</f>
        <v/>
      </c>
    </row>
    <row r="3878">
      <c r="A3878" s="92" t="n">
        <v>2026</v>
      </c>
      <c r="B3878" s="92" t="n">
        <v>6</v>
      </c>
      <c r="C3878" s="92" t="inlineStr">
        <is>
          <t>5100001156</t>
        </is>
      </c>
      <c r="D3878" s="95" t="n">
        <v>46176</v>
      </c>
      <c r="E3878" s="92" t="inlineStr">
        <is>
          <t>KR</t>
        </is>
      </c>
      <c r="F3878" s="92" t="n">
        <v>62201000</v>
      </c>
      <c r="G3878" s="92" t="n">
        <v>1401</v>
      </c>
      <c r="H3878" s="93" t="n">
        <v>172000</v>
      </c>
      <c r="I3878" s="92" t="inlineStr">
        <is>
          <t>6월 통신요금 - O텔레콤</t>
        </is>
      </c>
      <c r="J3878" s="92" t="inlineStr">
        <is>
          <t>V10002</t>
        </is>
      </c>
      <c r="K3878" s="92" t="inlineStr">
        <is>
          <t>O텔레콤</t>
        </is>
      </c>
      <c r="M3878" s="9">
        <f>IF($A3878="","",VALUE($A3878&amp;"")*12+VALUE($B3878&amp;""))</f>
        <v/>
      </c>
      <c r="N3878" s="64">
        <f>IF($A3878="","",IFERROR(INDEX(부서매핑!$C$5:$C$504,MATCH($G3878&amp;"",부서매핑!$A$5:$A$504,0)),"미매핑"))</f>
        <v/>
      </c>
      <c r="O3878" s="9">
        <f>IF($A3878="","",N3878&amp;"|"&amp;$F3878)</f>
        <v/>
      </c>
      <c r="P3878" s="94">
        <f>IF($A3878="",0,$H3878*설정!$C$23)</f>
        <v/>
      </c>
      <c r="Q3878" s="64">
        <f>IF($A3878="","",IF(O3878&lt;&gt;원인분석!$C$9,"",IF(AND(M3878&gt;=원인분석!$C$10,M3878&lt;=원인분석!$C$11),"당기",IF(AND(M3878&gt;=원인분석!$C$12,M3878&lt;=원인분석!$C$13),"비교",""))))</f>
        <v/>
      </c>
      <c r="R3878" s="9">
        <f>IF(Q3878="","",$K3878&amp;"")</f>
        <v/>
      </c>
      <c r="S3878" s="9">
        <f>IF(Q3878="","",IF(MATCH(R3878,$R$5:$R$100000,0)=ROW()-4,ROW(),""))</f>
        <v/>
      </c>
      <c r="T3878" s="9">
        <f>IF(Q3878="당기",ABS(P3878)+ROW()/1000000000,"")</f>
        <v/>
      </c>
      <c r="U3878" s="9">
        <f>IF(Q3878="비교",ABS(P3878)+ROW()/1000000000,"")</f>
        <v/>
      </c>
      <c r="V3878" s="64">
        <f>IF($A3878="","",IF(COUNTIF(변동분석!$E$7:$E$506,O3878)&gt;0,"Y","N"))</f>
        <v/>
      </c>
      <c r="W3878" s="64">
        <f>IF($A3878="","",IFERROR(INDEX(계정매핑!$D$5:$D$504,MATCH($F3878&amp;"",계정매핑!$A$5:$A$504,0)),"미매핑"))</f>
        <v/>
      </c>
      <c r="X3878" s="9">
        <f>IF($A3878="","",$F3878&amp;"")</f>
        <v/>
      </c>
      <c r="Y3878" s="94">
        <f>IF($A3878="",0,IF(AE3878="직접",IF(AF3878="비귀속",$P3878,0),$P3878*(1-AG3878)*IFERROR(INDEX(계정대체기준!$F$20:$F$49,MATCH($N3878,계정대체기준!$A$20:$A$49,0)),1)))</f>
        <v/>
      </c>
      <c r="Z3878" s="94">
        <f>IF($A3878="",0,IF(AE3878="직접",IF(AF3878="신계약비",$P3878,0),$P3878*(1-AG3878)*IFERROR(INDEX(계정대체기준!$C$20:$C$49,MATCH($N3878,계정대체기준!$A$20:$A$49,0)),0)))</f>
        <v/>
      </c>
      <c r="AA3878" s="94">
        <f>IF($A3878="",0,IF(AE3878="직접",IF(OR(AF3878="유지비",AF3878="손해조사비"),$P3878,0),$P3878*(1-AG3878)*IFERROR(INDEX(계정대체기준!$D$20:$D$49,MATCH($N3878,계정대체기준!$A$20:$A$49,0)),0)))</f>
        <v/>
      </c>
      <c r="AB3878" s="94">
        <f>IF($A3878="",0,IF(AE3878="직접",IF(AF3878="수금비",$P3878,0),$P3878*(1-AG3878)*IFERROR(INDEX(계정대체기준!$E$20:$E$49,MATCH($N3878,계정대체기준!$A$20:$A$49,0)),0)))</f>
        <v/>
      </c>
      <c r="AC3878" s="9">
        <f>IF(AND($A3878&lt;&gt;"",M3878=설정!$C$20,Z3878&gt;0),Z3878+ROW()/1000000000,"")</f>
        <v/>
      </c>
      <c r="AD3878" s="94">
        <f>IF($A3878="",0,$P3878*AG3878)</f>
        <v/>
      </c>
      <c r="AE3878" s="64">
        <f>IF($A3878="","",IFERROR(INDEX(계정매핑!$E$5:$E$504,MATCH($F3878&amp;"",계정매핑!$A$5:$A$504,0))&amp;"","공통비"))</f>
        <v/>
      </c>
      <c r="AF3878" s="64">
        <f>IF($A3878="","",IF(AE3878="직접",IFERROR(INDEX(계정매핑!$F$5:$F$504,MATCH($F3878&amp;"",계정매핑!$A$5:$A$504,0))&amp;"","비귀속"),""))</f>
        <v/>
      </c>
      <c r="AG3878" s="96">
        <f>IF($A3878="",0,IF(AND(AE3878&lt;&gt;"직접",IFERROR(INDEX(계정매핑!$G$5:$G$504,MATCH($F3878&amp;"",계정매핑!$A$5:$A$504,0))&amp;"","")="유지비",COUNTIF(계정대체기준!$A$6:$A$15,$N3878)&gt;0),IFERROR(INDEX(계정대체기준!$E$6:$E$15,MATCH(VALUE($A3878&amp;""),계정대체기준!$D$6:$D$15,0)),0),0))</f>
        <v/>
      </c>
      <c r="AH3878" s="64">
        <f>IF($A3878="","",IF(AD3878=0,"",IF(OR(COUNTIF(계정대체기준!$A$77:$A$86,$N3878)&gt;0,ISNUMBER(MATCH($X3878,계정대체기준!$D$77:$D$86,0)),ISNUMBER(MATCH($F3878,계정대체기준!$D$77:$D$86,0))),"Y","N")))</f>
        <v/>
      </c>
    </row>
    <row r="3879">
      <c r="A3879" s="92" t="n">
        <v>2026</v>
      </c>
      <c r="B3879" s="92" t="n">
        <v>6</v>
      </c>
      <c r="C3879" s="92" t="inlineStr">
        <is>
          <t>5100001157</t>
        </is>
      </c>
      <c r="D3879" s="95" t="n">
        <v>46176</v>
      </c>
      <c r="E3879" s="92" t="inlineStr">
        <is>
          <t>KR</t>
        </is>
      </c>
      <c r="F3879" s="92" t="n">
        <v>62301000</v>
      </c>
      <c r="G3879" s="92" t="n">
        <v>1201</v>
      </c>
      <c r="H3879" s="93" t="n">
        <v>185000</v>
      </c>
      <c r="I3879" s="92" t="inlineStr">
        <is>
          <t>6월 소모품 구입 - Q오피스</t>
        </is>
      </c>
      <c r="J3879" s="92" t="inlineStr">
        <is>
          <t>V10003</t>
        </is>
      </c>
      <c r="K3879" s="92" t="inlineStr">
        <is>
          <t>Q오피스</t>
        </is>
      </c>
      <c r="M3879" s="9">
        <f>IF($A3879="","",VALUE($A3879&amp;"")*12+VALUE($B3879&amp;""))</f>
        <v/>
      </c>
      <c r="N3879" s="64">
        <f>IF($A3879="","",IFERROR(INDEX(부서매핑!$C$5:$C$504,MATCH($G3879&amp;"",부서매핑!$A$5:$A$504,0)),"미매핑"))</f>
        <v/>
      </c>
      <c r="O3879" s="9">
        <f>IF($A3879="","",N3879&amp;"|"&amp;$F3879)</f>
        <v/>
      </c>
      <c r="P3879" s="94">
        <f>IF($A3879="",0,$H3879*설정!$C$23)</f>
        <v/>
      </c>
      <c r="Q3879" s="64">
        <f>IF($A3879="","",IF(O3879&lt;&gt;원인분석!$C$9,"",IF(AND(M3879&gt;=원인분석!$C$10,M3879&lt;=원인분석!$C$11),"당기",IF(AND(M3879&gt;=원인분석!$C$12,M3879&lt;=원인분석!$C$13),"비교",""))))</f>
        <v/>
      </c>
      <c r="R3879" s="9">
        <f>IF(Q3879="","",$K3879&amp;"")</f>
        <v/>
      </c>
      <c r="S3879" s="9">
        <f>IF(Q3879="","",IF(MATCH(R3879,$R$5:$R$100000,0)=ROW()-4,ROW(),""))</f>
        <v/>
      </c>
      <c r="T3879" s="9">
        <f>IF(Q3879="당기",ABS(P3879)+ROW()/1000000000,"")</f>
        <v/>
      </c>
      <c r="U3879" s="9">
        <f>IF(Q3879="비교",ABS(P3879)+ROW()/1000000000,"")</f>
        <v/>
      </c>
      <c r="V3879" s="64">
        <f>IF($A3879="","",IF(COUNTIF(변동분석!$E$7:$E$506,O3879)&gt;0,"Y","N"))</f>
        <v/>
      </c>
      <c r="W3879" s="64">
        <f>IF($A3879="","",IFERROR(INDEX(계정매핑!$D$5:$D$504,MATCH($F3879&amp;"",계정매핑!$A$5:$A$504,0)),"미매핑"))</f>
        <v/>
      </c>
      <c r="X3879" s="9">
        <f>IF($A3879="","",$F3879&amp;"")</f>
        <v/>
      </c>
      <c r="Y3879" s="94">
        <f>IF($A3879="",0,IF(AE3879="직접",IF(AF3879="비귀속",$P3879,0),$P3879*(1-AG3879)*IFERROR(INDEX(계정대체기준!$F$20:$F$49,MATCH($N3879,계정대체기준!$A$20:$A$49,0)),1)))</f>
        <v/>
      </c>
      <c r="Z3879" s="94">
        <f>IF($A3879="",0,IF(AE3879="직접",IF(AF3879="신계약비",$P3879,0),$P3879*(1-AG3879)*IFERROR(INDEX(계정대체기준!$C$20:$C$49,MATCH($N3879,계정대체기준!$A$20:$A$49,0)),0)))</f>
        <v/>
      </c>
      <c r="AA3879" s="94">
        <f>IF($A3879="",0,IF(AE3879="직접",IF(OR(AF3879="유지비",AF3879="손해조사비"),$P3879,0),$P3879*(1-AG3879)*IFERROR(INDEX(계정대체기준!$D$20:$D$49,MATCH($N3879,계정대체기준!$A$20:$A$49,0)),0)))</f>
        <v/>
      </c>
      <c r="AB3879" s="94">
        <f>IF($A3879="",0,IF(AE3879="직접",IF(AF3879="수금비",$P3879,0),$P3879*(1-AG3879)*IFERROR(INDEX(계정대체기준!$E$20:$E$49,MATCH($N3879,계정대체기준!$A$20:$A$49,0)),0)))</f>
        <v/>
      </c>
      <c r="AC3879" s="9">
        <f>IF(AND($A3879&lt;&gt;"",M3879=설정!$C$20,Z3879&gt;0),Z3879+ROW()/1000000000,"")</f>
        <v/>
      </c>
      <c r="AD3879" s="94">
        <f>IF($A3879="",0,$P3879*AG3879)</f>
        <v/>
      </c>
      <c r="AE3879" s="64">
        <f>IF($A3879="","",IFERROR(INDEX(계정매핑!$E$5:$E$504,MATCH($F3879&amp;"",계정매핑!$A$5:$A$504,0))&amp;"","공통비"))</f>
        <v/>
      </c>
      <c r="AF3879" s="64">
        <f>IF($A3879="","",IF(AE3879="직접",IFERROR(INDEX(계정매핑!$F$5:$F$504,MATCH($F3879&amp;"",계정매핑!$A$5:$A$504,0))&amp;"","비귀속"),""))</f>
        <v/>
      </c>
      <c r="AG3879" s="96">
        <f>IF($A3879="",0,IF(AND(AE3879&lt;&gt;"직접",IFERROR(INDEX(계정매핑!$G$5:$G$504,MATCH($F3879&amp;"",계정매핑!$A$5:$A$504,0))&amp;"","")="유지비",COUNTIF(계정대체기준!$A$6:$A$15,$N3879)&gt;0),IFERROR(INDEX(계정대체기준!$E$6:$E$15,MATCH(VALUE($A3879&amp;""),계정대체기준!$D$6:$D$15,0)),0),0))</f>
        <v/>
      </c>
      <c r="AH3879" s="64">
        <f>IF($A3879="","",IF(AD3879=0,"",IF(OR(COUNTIF(계정대체기준!$A$77:$A$86,$N3879)&gt;0,ISNUMBER(MATCH($X3879,계정대체기준!$D$77:$D$86,0)),ISNUMBER(MATCH($F3879,계정대체기준!$D$77:$D$86,0))),"Y","N")))</f>
        <v/>
      </c>
    </row>
    <row r="3880">
      <c r="A3880" s="92" t="n">
        <v>2026</v>
      </c>
      <c r="B3880" s="92" t="n">
        <v>6</v>
      </c>
      <c r="C3880" s="92" t="inlineStr">
        <is>
          <t>5100001158</t>
        </is>
      </c>
      <c r="D3880" s="95" t="n">
        <v>46176</v>
      </c>
      <c r="E3880" s="92" t="inlineStr">
        <is>
          <t>KR</t>
        </is>
      </c>
      <c r="F3880" s="92" t="n">
        <v>62301000</v>
      </c>
      <c r="G3880" s="92" t="n">
        <v>1301</v>
      </c>
      <c r="H3880" s="93" t="n">
        <v>288000</v>
      </c>
      <c r="I3880" s="92" t="inlineStr">
        <is>
          <t>6월 소모품 구입 - R문구</t>
        </is>
      </c>
      <c r="J3880" s="92" t="inlineStr">
        <is>
          <t>V10022</t>
        </is>
      </c>
      <c r="K3880" s="92" t="inlineStr">
        <is>
          <t>R문구</t>
        </is>
      </c>
      <c r="M3880" s="9">
        <f>IF($A3880="","",VALUE($A3880&amp;"")*12+VALUE($B3880&amp;""))</f>
        <v/>
      </c>
      <c r="N3880" s="64">
        <f>IF($A3880="","",IFERROR(INDEX(부서매핑!$C$5:$C$504,MATCH($G3880&amp;"",부서매핑!$A$5:$A$504,0)),"미매핑"))</f>
        <v/>
      </c>
      <c r="O3880" s="9">
        <f>IF($A3880="","",N3880&amp;"|"&amp;$F3880)</f>
        <v/>
      </c>
      <c r="P3880" s="94">
        <f>IF($A3880="",0,$H3880*설정!$C$23)</f>
        <v/>
      </c>
      <c r="Q3880" s="64">
        <f>IF($A3880="","",IF(O3880&lt;&gt;원인분석!$C$9,"",IF(AND(M3880&gt;=원인분석!$C$10,M3880&lt;=원인분석!$C$11),"당기",IF(AND(M3880&gt;=원인분석!$C$12,M3880&lt;=원인분석!$C$13),"비교",""))))</f>
        <v/>
      </c>
      <c r="R3880" s="9">
        <f>IF(Q3880="","",$K3880&amp;"")</f>
        <v/>
      </c>
      <c r="S3880" s="9">
        <f>IF(Q3880="","",IF(MATCH(R3880,$R$5:$R$100000,0)=ROW()-4,ROW(),""))</f>
        <v/>
      </c>
      <c r="T3880" s="9">
        <f>IF(Q3880="당기",ABS(P3880)+ROW()/1000000000,"")</f>
        <v/>
      </c>
      <c r="U3880" s="9">
        <f>IF(Q3880="비교",ABS(P3880)+ROW()/1000000000,"")</f>
        <v/>
      </c>
      <c r="V3880" s="64">
        <f>IF($A3880="","",IF(COUNTIF(변동분석!$E$7:$E$506,O3880)&gt;0,"Y","N"))</f>
        <v/>
      </c>
      <c r="W3880" s="64">
        <f>IF($A3880="","",IFERROR(INDEX(계정매핑!$D$5:$D$504,MATCH($F3880&amp;"",계정매핑!$A$5:$A$504,0)),"미매핑"))</f>
        <v/>
      </c>
      <c r="X3880" s="9">
        <f>IF($A3880="","",$F3880&amp;"")</f>
        <v/>
      </c>
      <c r="Y3880" s="94">
        <f>IF($A3880="",0,IF(AE3880="직접",IF(AF3880="비귀속",$P3880,0),$P3880*(1-AG3880)*IFERROR(INDEX(계정대체기준!$F$20:$F$49,MATCH($N3880,계정대체기준!$A$20:$A$49,0)),1)))</f>
        <v/>
      </c>
      <c r="Z3880" s="94">
        <f>IF($A3880="",0,IF(AE3880="직접",IF(AF3880="신계약비",$P3880,0),$P3880*(1-AG3880)*IFERROR(INDEX(계정대체기준!$C$20:$C$49,MATCH($N3880,계정대체기준!$A$20:$A$49,0)),0)))</f>
        <v/>
      </c>
      <c r="AA3880" s="94">
        <f>IF($A3880="",0,IF(AE3880="직접",IF(OR(AF3880="유지비",AF3880="손해조사비"),$P3880,0),$P3880*(1-AG3880)*IFERROR(INDEX(계정대체기준!$D$20:$D$49,MATCH($N3880,계정대체기준!$A$20:$A$49,0)),0)))</f>
        <v/>
      </c>
      <c r="AB3880" s="94">
        <f>IF($A3880="",0,IF(AE3880="직접",IF(AF3880="수금비",$P3880,0),$P3880*(1-AG3880)*IFERROR(INDEX(계정대체기준!$E$20:$E$49,MATCH($N3880,계정대체기준!$A$20:$A$49,0)),0)))</f>
        <v/>
      </c>
      <c r="AC3880" s="9">
        <f>IF(AND($A3880&lt;&gt;"",M3880=설정!$C$20,Z3880&gt;0),Z3880+ROW()/1000000000,"")</f>
        <v/>
      </c>
      <c r="AD3880" s="94">
        <f>IF($A3880="",0,$P3880*AG3880)</f>
        <v/>
      </c>
      <c r="AE3880" s="64">
        <f>IF($A3880="","",IFERROR(INDEX(계정매핑!$E$5:$E$504,MATCH($F3880&amp;"",계정매핑!$A$5:$A$504,0))&amp;"","공통비"))</f>
        <v/>
      </c>
      <c r="AF3880" s="64">
        <f>IF($A3880="","",IF(AE3880="직접",IFERROR(INDEX(계정매핑!$F$5:$F$504,MATCH($F3880&amp;"",계정매핑!$A$5:$A$504,0))&amp;"","비귀속"),""))</f>
        <v/>
      </c>
      <c r="AG3880" s="96">
        <f>IF($A3880="",0,IF(AND(AE3880&lt;&gt;"직접",IFERROR(INDEX(계정매핑!$G$5:$G$504,MATCH($F3880&amp;"",계정매핑!$A$5:$A$504,0))&amp;"","")="유지비",COUNTIF(계정대체기준!$A$6:$A$15,$N3880)&gt;0),IFERROR(INDEX(계정대체기준!$E$6:$E$15,MATCH(VALUE($A3880&amp;""),계정대체기준!$D$6:$D$15,0)),0),0))</f>
        <v/>
      </c>
      <c r="AH3880" s="64">
        <f>IF($A3880="","",IF(AD3880=0,"",IF(OR(COUNTIF(계정대체기준!$A$77:$A$86,$N3880)&gt;0,ISNUMBER(MATCH($X3880,계정대체기준!$D$77:$D$86,0)),ISNUMBER(MATCH($F3880,계정대체기준!$D$77:$D$86,0))),"Y","N")))</f>
        <v/>
      </c>
    </row>
    <row r="3881">
      <c r="A3881" s="92" t="n">
        <v>2026</v>
      </c>
      <c r="B3881" s="92" t="n">
        <v>6</v>
      </c>
      <c r="C3881" s="92" t="inlineStr">
        <is>
          <t>5100001159</t>
        </is>
      </c>
      <c r="D3881" s="95" t="n">
        <v>46176</v>
      </c>
      <c r="E3881" s="92" t="inlineStr">
        <is>
          <t>KR</t>
        </is>
      </c>
      <c r="F3881" s="92" t="n">
        <v>62301000</v>
      </c>
      <c r="G3881" s="92" t="n">
        <v>1801</v>
      </c>
      <c r="H3881" s="93" t="n">
        <v>515000</v>
      </c>
      <c r="I3881" s="92" t="inlineStr">
        <is>
          <t>6월 소모품 구입 - R문구</t>
        </is>
      </c>
      <c r="J3881" s="92" t="inlineStr">
        <is>
          <t>V10022</t>
        </is>
      </c>
      <c r="K3881" s="92" t="inlineStr">
        <is>
          <t>R문구</t>
        </is>
      </c>
      <c r="M3881" s="9">
        <f>IF($A3881="","",VALUE($A3881&amp;"")*12+VALUE($B3881&amp;""))</f>
        <v/>
      </c>
      <c r="N3881" s="64">
        <f>IF($A3881="","",IFERROR(INDEX(부서매핑!$C$5:$C$504,MATCH($G3881&amp;"",부서매핑!$A$5:$A$504,0)),"미매핑"))</f>
        <v/>
      </c>
      <c r="O3881" s="9">
        <f>IF($A3881="","",N3881&amp;"|"&amp;$F3881)</f>
        <v/>
      </c>
      <c r="P3881" s="94">
        <f>IF($A3881="",0,$H3881*설정!$C$23)</f>
        <v/>
      </c>
      <c r="Q3881" s="64">
        <f>IF($A3881="","",IF(O3881&lt;&gt;원인분석!$C$9,"",IF(AND(M3881&gt;=원인분석!$C$10,M3881&lt;=원인분석!$C$11),"당기",IF(AND(M3881&gt;=원인분석!$C$12,M3881&lt;=원인분석!$C$13),"비교",""))))</f>
        <v/>
      </c>
      <c r="R3881" s="9">
        <f>IF(Q3881="","",$K3881&amp;"")</f>
        <v/>
      </c>
      <c r="S3881" s="9">
        <f>IF(Q3881="","",IF(MATCH(R3881,$R$5:$R$100000,0)=ROW()-4,ROW(),""))</f>
        <v/>
      </c>
      <c r="T3881" s="9">
        <f>IF(Q3881="당기",ABS(P3881)+ROW()/1000000000,"")</f>
        <v/>
      </c>
      <c r="U3881" s="9">
        <f>IF(Q3881="비교",ABS(P3881)+ROW()/1000000000,"")</f>
        <v/>
      </c>
      <c r="V3881" s="64">
        <f>IF($A3881="","",IF(COUNTIF(변동분석!$E$7:$E$506,O3881)&gt;0,"Y","N"))</f>
        <v/>
      </c>
      <c r="W3881" s="64">
        <f>IF($A3881="","",IFERROR(INDEX(계정매핑!$D$5:$D$504,MATCH($F3881&amp;"",계정매핑!$A$5:$A$504,0)),"미매핑"))</f>
        <v/>
      </c>
      <c r="X3881" s="9">
        <f>IF($A3881="","",$F3881&amp;"")</f>
        <v/>
      </c>
      <c r="Y3881" s="94">
        <f>IF($A3881="",0,IF(AE3881="직접",IF(AF3881="비귀속",$P3881,0),$P3881*(1-AG3881)*IFERROR(INDEX(계정대체기준!$F$20:$F$49,MATCH($N3881,계정대체기준!$A$20:$A$49,0)),1)))</f>
        <v/>
      </c>
      <c r="Z3881" s="94">
        <f>IF($A3881="",0,IF(AE3881="직접",IF(AF3881="신계약비",$P3881,0),$P3881*(1-AG3881)*IFERROR(INDEX(계정대체기준!$C$20:$C$49,MATCH($N3881,계정대체기준!$A$20:$A$49,0)),0)))</f>
        <v/>
      </c>
      <c r="AA3881" s="94">
        <f>IF($A3881="",0,IF(AE3881="직접",IF(OR(AF3881="유지비",AF3881="손해조사비"),$P3881,0),$P3881*(1-AG3881)*IFERROR(INDEX(계정대체기준!$D$20:$D$49,MATCH($N3881,계정대체기준!$A$20:$A$49,0)),0)))</f>
        <v/>
      </c>
      <c r="AB3881" s="94">
        <f>IF($A3881="",0,IF(AE3881="직접",IF(AF3881="수금비",$P3881,0),$P3881*(1-AG3881)*IFERROR(INDEX(계정대체기준!$E$20:$E$49,MATCH($N3881,계정대체기준!$A$20:$A$49,0)),0)))</f>
        <v/>
      </c>
      <c r="AC3881" s="9">
        <f>IF(AND($A3881&lt;&gt;"",M3881=설정!$C$20,Z3881&gt;0),Z3881+ROW()/1000000000,"")</f>
        <v/>
      </c>
      <c r="AD3881" s="94">
        <f>IF($A3881="",0,$P3881*AG3881)</f>
        <v/>
      </c>
      <c r="AE3881" s="64">
        <f>IF($A3881="","",IFERROR(INDEX(계정매핑!$E$5:$E$504,MATCH($F3881&amp;"",계정매핑!$A$5:$A$504,0))&amp;"","공통비"))</f>
        <v/>
      </c>
      <c r="AF3881" s="64">
        <f>IF($A3881="","",IF(AE3881="직접",IFERROR(INDEX(계정매핑!$F$5:$F$504,MATCH($F3881&amp;"",계정매핑!$A$5:$A$504,0))&amp;"","비귀속"),""))</f>
        <v/>
      </c>
      <c r="AG3881" s="96">
        <f>IF($A3881="",0,IF(AND(AE3881&lt;&gt;"직접",IFERROR(INDEX(계정매핑!$G$5:$G$504,MATCH($F3881&amp;"",계정매핑!$A$5:$A$504,0))&amp;"","")="유지비",COUNTIF(계정대체기준!$A$6:$A$15,$N3881)&gt;0),IFERROR(INDEX(계정대체기준!$E$6:$E$15,MATCH(VALUE($A3881&amp;""),계정대체기준!$D$6:$D$15,0)),0),0))</f>
        <v/>
      </c>
      <c r="AH3881" s="64">
        <f>IF($A3881="","",IF(AD3881=0,"",IF(OR(COUNTIF(계정대체기준!$A$77:$A$86,$N3881)&gt;0,ISNUMBER(MATCH($X3881,계정대체기준!$D$77:$D$86,0)),ISNUMBER(MATCH($F3881,계정대체기준!$D$77:$D$86,0))),"Y","N")))</f>
        <v/>
      </c>
    </row>
    <row r="3882">
      <c r="A3882" s="92" t="n">
        <v>2026</v>
      </c>
      <c r="B3882" s="92" t="n">
        <v>6</v>
      </c>
      <c r="C3882" s="92" t="inlineStr">
        <is>
          <t>5100001160</t>
        </is>
      </c>
      <c r="D3882" s="95" t="n">
        <v>46176</v>
      </c>
      <c r="E3882" s="92" t="inlineStr">
        <is>
          <t>KR</t>
        </is>
      </c>
      <c r="F3882" s="92" t="n">
        <v>62501000</v>
      </c>
      <c r="G3882" s="92" t="n">
        <v>1601</v>
      </c>
      <c r="H3882" s="93" t="n">
        <v>391000</v>
      </c>
      <c r="I3882" s="92" t="inlineStr">
        <is>
          <t>6월 회의 다과 - (법인카드)</t>
        </is>
      </c>
      <c r="J3882" s="92" t="inlineStr">
        <is>
          <t>V10010</t>
        </is>
      </c>
      <c r="K3882" s="92" t="inlineStr">
        <is>
          <t>(법인카드)</t>
        </is>
      </c>
      <c r="M3882" s="9">
        <f>IF($A3882="","",VALUE($A3882&amp;"")*12+VALUE($B3882&amp;""))</f>
        <v/>
      </c>
      <c r="N3882" s="64">
        <f>IF($A3882="","",IFERROR(INDEX(부서매핑!$C$5:$C$504,MATCH($G3882&amp;"",부서매핑!$A$5:$A$504,0)),"미매핑"))</f>
        <v/>
      </c>
      <c r="O3882" s="9">
        <f>IF($A3882="","",N3882&amp;"|"&amp;$F3882)</f>
        <v/>
      </c>
      <c r="P3882" s="94">
        <f>IF($A3882="",0,$H3882*설정!$C$23)</f>
        <v/>
      </c>
      <c r="Q3882" s="64">
        <f>IF($A3882="","",IF(O3882&lt;&gt;원인분석!$C$9,"",IF(AND(M3882&gt;=원인분석!$C$10,M3882&lt;=원인분석!$C$11),"당기",IF(AND(M3882&gt;=원인분석!$C$12,M3882&lt;=원인분석!$C$13),"비교",""))))</f>
        <v/>
      </c>
      <c r="R3882" s="9">
        <f>IF(Q3882="","",$K3882&amp;"")</f>
        <v/>
      </c>
      <c r="S3882" s="9">
        <f>IF(Q3882="","",IF(MATCH(R3882,$R$5:$R$100000,0)=ROW()-4,ROW(),""))</f>
        <v/>
      </c>
      <c r="T3882" s="9">
        <f>IF(Q3882="당기",ABS(P3882)+ROW()/1000000000,"")</f>
        <v/>
      </c>
      <c r="U3882" s="9">
        <f>IF(Q3882="비교",ABS(P3882)+ROW()/1000000000,"")</f>
        <v/>
      </c>
      <c r="V3882" s="64">
        <f>IF($A3882="","",IF(COUNTIF(변동분석!$E$7:$E$506,O3882)&gt;0,"Y","N"))</f>
        <v/>
      </c>
      <c r="W3882" s="64">
        <f>IF($A3882="","",IFERROR(INDEX(계정매핑!$D$5:$D$504,MATCH($F3882&amp;"",계정매핑!$A$5:$A$504,0)),"미매핑"))</f>
        <v/>
      </c>
      <c r="X3882" s="9">
        <f>IF($A3882="","",$F3882&amp;"")</f>
        <v/>
      </c>
      <c r="Y3882" s="94">
        <f>IF($A3882="",0,IF(AE3882="직접",IF(AF3882="비귀속",$P3882,0),$P3882*(1-AG3882)*IFERROR(INDEX(계정대체기준!$F$20:$F$49,MATCH($N3882,계정대체기준!$A$20:$A$49,0)),1)))</f>
        <v/>
      </c>
      <c r="Z3882" s="94">
        <f>IF($A3882="",0,IF(AE3882="직접",IF(AF3882="신계약비",$P3882,0),$P3882*(1-AG3882)*IFERROR(INDEX(계정대체기준!$C$20:$C$49,MATCH($N3882,계정대체기준!$A$20:$A$49,0)),0)))</f>
        <v/>
      </c>
      <c r="AA3882" s="94">
        <f>IF($A3882="",0,IF(AE3882="직접",IF(OR(AF3882="유지비",AF3882="손해조사비"),$P3882,0),$P3882*(1-AG3882)*IFERROR(INDEX(계정대체기준!$D$20:$D$49,MATCH($N3882,계정대체기준!$A$20:$A$49,0)),0)))</f>
        <v/>
      </c>
      <c r="AB3882" s="94">
        <f>IF($A3882="",0,IF(AE3882="직접",IF(AF3882="수금비",$P3882,0),$P3882*(1-AG3882)*IFERROR(INDEX(계정대체기준!$E$20:$E$49,MATCH($N3882,계정대체기준!$A$20:$A$49,0)),0)))</f>
        <v/>
      </c>
      <c r="AC3882" s="9">
        <f>IF(AND($A3882&lt;&gt;"",M3882=설정!$C$20,Z3882&gt;0),Z3882+ROW()/1000000000,"")</f>
        <v/>
      </c>
      <c r="AD3882" s="94">
        <f>IF($A3882="",0,$P3882*AG3882)</f>
        <v/>
      </c>
      <c r="AE3882" s="64">
        <f>IF($A3882="","",IFERROR(INDEX(계정매핑!$E$5:$E$504,MATCH($F3882&amp;"",계정매핑!$A$5:$A$504,0))&amp;"","공통비"))</f>
        <v/>
      </c>
      <c r="AF3882" s="64">
        <f>IF($A3882="","",IF(AE3882="직접",IFERROR(INDEX(계정매핑!$F$5:$F$504,MATCH($F3882&amp;"",계정매핑!$A$5:$A$504,0))&amp;"","비귀속"),""))</f>
        <v/>
      </c>
      <c r="AG3882" s="96">
        <f>IF($A3882="",0,IF(AND(AE3882&lt;&gt;"직접",IFERROR(INDEX(계정매핑!$G$5:$G$504,MATCH($F3882&amp;"",계정매핑!$A$5:$A$504,0))&amp;"","")="유지비",COUNTIF(계정대체기준!$A$6:$A$15,$N3882)&gt;0),IFERROR(INDEX(계정대체기준!$E$6:$E$15,MATCH(VALUE($A3882&amp;""),계정대체기준!$D$6:$D$15,0)),0),0))</f>
        <v/>
      </c>
      <c r="AH3882" s="64">
        <f>IF($A3882="","",IF(AD3882=0,"",IF(OR(COUNTIF(계정대체기준!$A$77:$A$86,$N3882)&gt;0,ISNUMBER(MATCH($X3882,계정대체기준!$D$77:$D$86,0)),ISNUMBER(MATCH($F3882,계정대체기준!$D$77:$D$86,0))),"Y","N")))</f>
        <v/>
      </c>
    </row>
    <row r="3883">
      <c r="A3883" s="92" t="n">
        <v>2026</v>
      </c>
      <c r="B3883" s="92" t="n">
        <v>6</v>
      </c>
      <c r="C3883" s="92" t="inlineStr">
        <is>
          <t>5100001161</t>
        </is>
      </c>
      <c r="D3883" s="95" t="n">
        <v>46176</v>
      </c>
      <c r="E3883" s="92" t="inlineStr">
        <is>
          <t>KR</t>
        </is>
      </c>
      <c r="F3883" s="92" t="n">
        <v>62501000</v>
      </c>
      <c r="G3883" s="92" t="n">
        <v>1701</v>
      </c>
      <c r="H3883" s="93" t="n">
        <v>140000</v>
      </c>
      <c r="I3883" s="92" t="inlineStr">
        <is>
          <t>6월 회의 다과 - T케이터링</t>
        </is>
      </c>
      <c r="J3883" s="92" t="inlineStr">
        <is>
          <t>V10005</t>
        </is>
      </c>
      <c r="K3883" s="92" t="inlineStr">
        <is>
          <t>T케이터링</t>
        </is>
      </c>
      <c r="M3883" s="9">
        <f>IF($A3883="","",VALUE($A3883&amp;"")*12+VALUE($B3883&amp;""))</f>
        <v/>
      </c>
      <c r="N3883" s="64">
        <f>IF($A3883="","",IFERROR(INDEX(부서매핑!$C$5:$C$504,MATCH($G3883&amp;"",부서매핑!$A$5:$A$504,0)),"미매핑"))</f>
        <v/>
      </c>
      <c r="O3883" s="9">
        <f>IF($A3883="","",N3883&amp;"|"&amp;$F3883)</f>
        <v/>
      </c>
      <c r="P3883" s="94">
        <f>IF($A3883="",0,$H3883*설정!$C$23)</f>
        <v/>
      </c>
      <c r="Q3883" s="64">
        <f>IF($A3883="","",IF(O3883&lt;&gt;원인분석!$C$9,"",IF(AND(M3883&gt;=원인분석!$C$10,M3883&lt;=원인분석!$C$11),"당기",IF(AND(M3883&gt;=원인분석!$C$12,M3883&lt;=원인분석!$C$13),"비교",""))))</f>
        <v/>
      </c>
      <c r="R3883" s="9">
        <f>IF(Q3883="","",$K3883&amp;"")</f>
        <v/>
      </c>
      <c r="S3883" s="9">
        <f>IF(Q3883="","",IF(MATCH(R3883,$R$5:$R$100000,0)=ROW()-4,ROW(),""))</f>
        <v/>
      </c>
      <c r="T3883" s="9">
        <f>IF(Q3883="당기",ABS(P3883)+ROW()/1000000000,"")</f>
        <v/>
      </c>
      <c r="U3883" s="9">
        <f>IF(Q3883="비교",ABS(P3883)+ROW()/1000000000,"")</f>
        <v/>
      </c>
      <c r="V3883" s="64">
        <f>IF($A3883="","",IF(COUNTIF(변동분석!$E$7:$E$506,O3883)&gt;0,"Y","N"))</f>
        <v/>
      </c>
      <c r="W3883" s="64">
        <f>IF($A3883="","",IFERROR(INDEX(계정매핑!$D$5:$D$504,MATCH($F3883&amp;"",계정매핑!$A$5:$A$504,0)),"미매핑"))</f>
        <v/>
      </c>
      <c r="X3883" s="9">
        <f>IF($A3883="","",$F3883&amp;"")</f>
        <v/>
      </c>
      <c r="Y3883" s="94">
        <f>IF($A3883="",0,IF(AE3883="직접",IF(AF3883="비귀속",$P3883,0),$P3883*(1-AG3883)*IFERROR(INDEX(계정대체기준!$F$20:$F$49,MATCH($N3883,계정대체기준!$A$20:$A$49,0)),1)))</f>
        <v/>
      </c>
      <c r="Z3883" s="94">
        <f>IF($A3883="",0,IF(AE3883="직접",IF(AF3883="신계약비",$P3883,0),$P3883*(1-AG3883)*IFERROR(INDEX(계정대체기준!$C$20:$C$49,MATCH($N3883,계정대체기준!$A$20:$A$49,0)),0)))</f>
        <v/>
      </c>
      <c r="AA3883" s="94">
        <f>IF($A3883="",0,IF(AE3883="직접",IF(OR(AF3883="유지비",AF3883="손해조사비"),$P3883,0),$P3883*(1-AG3883)*IFERROR(INDEX(계정대체기준!$D$20:$D$49,MATCH($N3883,계정대체기준!$A$20:$A$49,0)),0)))</f>
        <v/>
      </c>
      <c r="AB3883" s="94">
        <f>IF($A3883="",0,IF(AE3883="직접",IF(AF3883="수금비",$P3883,0),$P3883*(1-AG3883)*IFERROR(INDEX(계정대체기준!$E$20:$E$49,MATCH($N3883,계정대체기준!$A$20:$A$49,0)),0)))</f>
        <v/>
      </c>
      <c r="AC3883" s="9">
        <f>IF(AND($A3883&lt;&gt;"",M3883=설정!$C$20,Z3883&gt;0),Z3883+ROW()/1000000000,"")</f>
        <v/>
      </c>
      <c r="AD3883" s="94">
        <f>IF($A3883="",0,$P3883*AG3883)</f>
        <v/>
      </c>
      <c r="AE3883" s="64">
        <f>IF($A3883="","",IFERROR(INDEX(계정매핑!$E$5:$E$504,MATCH($F3883&amp;"",계정매핑!$A$5:$A$504,0))&amp;"","공통비"))</f>
        <v/>
      </c>
      <c r="AF3883" s="64">
        <f>IF($A3883="","",IF(AE3883="직접",IFERROR(INDEX(계정매핑!$F$5:$F$504,MATCH($F3883&amp;"",계정매핑!$A$5:$A$504,0))&amp;"","비귀속"),""))</f>
        <v/>
      </c>
      <c r="AG3883" s="96">
        <f>IF($A3883="",0,IF(AND(AE3883&lt;&gt;"직접",IFERROR(INDEX(계정매핑!$G$5:$G$504,MATCH($F3883&amp;"",계정매핑!$A$5:$A$504,0))&amp;"","")="유지비",COUNTIF(계정대체기준!$A$6:$A$15,$N3883)&gt;0),IFERROR(INDEX(계정대체기준!$E$6:$E$15,MATCH(VALUE($A3883&amp;""),계정대체기준!$D$6:$D$15,0)),0),0))</f>
        <v/>
      </c>
      <c r="AH3883" s="64">
        <f>IF($A3883="","",IF(AD3883=0,"",IF(OR(COUNTIF(계정대체기준!$A$77:$A$86,$N3883)&gt;0,ISNUMBER(MATCH($X3883,계정대체기준!$D$77:$D$86,0)),ISNUMBER(MATCH($F3883,계정대체기준!$D$77:$D$86,0))),"Y","N")))</f>
        <v/>
      </c>
    </row>
    <row r="3884">
      <c r="A3884" s="92" t="n">
        <v>2026</v>
      </c>
      <c r="B3884" s="92" t="n">
        <v>6</v>
      </c>
      <c r="C3884" s="92" t="inlineStr">
        <is>
          <t>5100001162</t>
        </is>
      </c>
      <c r="D3884" s="95" t="n">
        <v>46176</v>
      </c>
      <c r="E3884" s="92" t="inlineStr">
        <is>
          <t>KR</t>
        </is>
      </c>
      <c r="F3884" s="92" t="n">
        <v>62601000</v>
      </c>
      <c r="G3884" s="92" t="n">
        <v>1501</v>
      </c>
      <c r="H3884" s="93" t="n">
        <v>2875000</v>
      </c>
      <c r="I3884" s="92" t="inlineStr">
        <is>
          <t>6월 업무추진 - (법인카드)</t>
        </is>
      </c>
      <c r="J3884" s="92" t="inlineStr">
        <is>
          <t>V10010</t>
        </is>
      </c>
      <c r="K3884" s="92" t="inlineStr">
        <is>
          <t>(법인카드)</t>
        </is>
      </c>
      <c r="M3884" s="9">
        <f>IF($A3884="","",VALUE($A3884&amp;"")*12+VALUE($B3884&amp;""))</f>
        <v/>
      </c>
      <c r="N3884" s="64">
        <f>IF($A3884="","",IFERROR(INDEX(부서매핑!$C$5:$C$504,MATCH($G3884&amp;"",부서매핑!$A$5:$A$504,0)),"미매핑"))</f>
        <v/>
      </c>
      <c r="O3884" s="9">
        <f>IF($A3884="","",N3884&amp;"|"&amp;$F3884)</f>
        <v/>
      </c>
      <c r="P3884" s="94">
        <f>IF($A3884="",0,$H3884*설정!$C$23)</f>
        <v/>
      </c>
      <c r="Q3884" s="64">
        <f>IF($A3884="","",IF(O3884&lt;&gt;원인분석!$C$9,"",IF(AND(M3884&gt;=원인분석!$C$10,M3884&lt;=원인분석!$C$11),"당기",IF(AND(M3884&gt;=원인분석!$C$12,M3884&lt;=원인분석!$C$13),"비교",""))))</f>
        <v/>
      </c>
      <c r="R3884" s="9">
        <f>IF(Q3884="","",$K3884&amp;"")</f>
        <v/>
      </c>
      <c r="S3884" s="9">
        <f>IF(Q3884="","",IF(MATCH(R3884,$R$5:$R$100000,0)=ROW()-4,ROW(),""))</f>
        <v/>
      </c>
      <c r="T3884" s="9">
        <f>IF(Q3884="당기",ABS(P3884)+ROW()/1000000000,"")</f>
        <v/>
      </c>
      <c r="U3884" s="9">
        <f>IF(Q3884="비교",ABS(P3884)+ROW()/1000000000,"")</f>
        <v/>
      </c>
      <c r="V3884" s="64">
        <f>IF($A3884="","",IF(COUNTIF(변동분석!$E$7:$E$506,O3884)&gt;0,"Y","N"))</f>
        <v/>
      </c>
      <c r="W3884" s="64">
        <f>IF($A3884="","",IFERROR(INDEX(계정매핑!$D$5:$D$504,MATCH($F3884&amp;"",계정매핑!$A$5:$A$504,0)),"미매핑"))</f>
        <v/>
      </c>
      <c r="X3884" s="9">
        <f>IF($A3884="","",$F3884&amp;"")</f>
        <v/>
      </c>
      <c r="Y3884" s="94">
        <f>IF($A3884="",0,IF(AE3884="직접",IF(AF3884="비귀속",$P3884,0),$P3884*(1-AG3884)*IFERROR(INDEX(계정대체기준!$F$20:$F$49,MATCH($N3884,계정대체기준!$A$20:$A$49,0)),1)))</f>
        <v/>
      </c>
      <c r="Z3884" s="94">
        <f>IF($A3884="",0,IF(AE3884="직접",IF(AF3884="신계약비",$P3884,0),$P3884*(1-AG3884)*IFERROR(INDEX(계정대체기준!$C$20:$C$49,MATCH($N3884,계정대체기준!$A$20:$A$49,0)),0)))</f>
        <v/>
      </c>
      <c r="AA3884" s="94">
        <f>IF($A3884="",0,IF(AE3884="직접",IF(OR(AF3884="유지비",AF3884="손해조사비"),$P3884,0),$P3884*(1-AG3884)*IFERROR(INDEX(계정대체기준!$D$20:$D$49,MATCH($N3884,계정대체기준!$A$20:$A$49,0)),0)))</f>
        <v/>
      </c>
      <c r="AB3884" s="94">
        <f>IF($A3884="",0,IF(AE3884="직접",IF(AF3884="수금비",$P3884,0),$P3884*(1-AG3884)*IFERROR(INDEX(계정대체기준!$E$20:$E$49,MATCH($N3884,계정대체기준!$A$20:$A$49,0)),0)))</f>
        <v/>
      </c>
      <c r="AC3884" s="9">
        <f>IF(AND($A3884&lt;&gt;"",M3884=설정!$C$20,Z3884&gt;0),Z3884+ROW()/1000000000,"")</f>
        <v/>
      </c>
      <c r="AD3884" s="94">
        <f>IF($A3884="",0,$P3884*AG3884)</f>
        <v/>
      </c>
      <c r="AE3884" s="64">
        <f>IF($A3884="","",IFERROR(INDEX(계정매핑!$E$5:$E$504,MATCH($F3884&amp;"",계정매핑!$A$5:$A$504,0))&amp;"","공통비"))</f>
        <v/>
      </c>
      <c r="AF3884" s="64">
        <f>IF($A3884="","",IF(AE3884="직접",IFERROR(INDEX(계정매핑!$F$5:$F$504,MATCH($F3884&amp;"",계정매핑!$A$5:$A$504,0))&amp;"","비귀속"),""))</f>
        <v/>
      </c>
      <c r="AG3884" s="96">
        <f>IF($A3884="",0,IF(AND(AE3884&lt;&gt;"직접",IFERROR(INDEX(계정매핑!$G$5:$G$504,MATCH($F3884&amp;"",계정매핑!$A$5:$A$504,0))&amp;"","")="유지비",COUNTIF(계정대체기준!$A$6:$A$15,$N3884)&gt;0),IFERROR(INDEX(계정대체기준!$E$6:$E$15,MATCH(VALUE($A3884&amp;""),계정대체기준!$D$6:$D$15,0)),0),0))</f>
        <v/>
      </c>
      <c r="AH3884" s="64">
        <f>IF($A3884="","",IF(AD3884=0,"",IF(OR(COUNTIF(계정대체기준!$A$77:$A$86,$N3884)&gt;0,ISNUMBER(MATCH($X3884,계정대체기준!$D$77:$D$86,0)),ISNUMBER(MATCH($F3884,계정대체기준!$D$77:$D$86,0))),"Y","N")))</f>
        <v/>
      </c>
    </row>
    <row r="3885">
      <c r="A3885" s="92" t="n">
        <v>2026</v>
      </c>
      <c r="B3885" s="92" t="n">
        <v>6</v>
      </c>
      <c r="C3885" s="92" t="inlineStr">
        <is>
          <t>5100001163</t>
        </is>
      </c>
      <c r="D3885" s="95" t="n">
        <v>46176</v>
      </c>
      <c r="E3885" s="92" t="inlineStr">
        <is>
          <t>KR</t>
        </is>
      </c>
      <c r="F3885" s="92" t="n">
        <v>62902000</v>
      </c>
      <c r="G3885" s="92" t="n">
        <v>1801</v>
      </c>
      <c r="H3885" s="93" t="n">
        <v>3000000</v>
      </c>
      <c r="I3885" s="92" t="inlineStr">
        <is>
          <t>6월 업무 위탁 수수료 - X서비스</t>
        </is>
      </c>
      <c r="J3885" s="92" t="inlineStr">
        <is>
          <t>V10020</t>
        </is>
      </c>
      <c r="K3885" s="92" t="inlineStr">
        <is>
          <t>X서비스</t>
        </is>
      </c>
      <c r="M3885" s="9">
        <f>IF($A3885="","",VALUE($A3885&amp;"")*12+VALUE($B3885&amp;""))</f>
        <v/>
      </c>
      <c r="N3885" s="64">
        <f>IF($A3885="","",IFERROR(INDEX(부서매핑!$C$5:$C$504,MATCH($G3885&amp;"",부서매핑!$A$5:$A$504,0)),"미매핑"))</f>
        <v/>
      </c>
      <c r="O3885" s="9">
        <f>IF($A3885="","",N3885&amp;"|"&amp;$F3885)</f>
        <v/>
      </c>
      <c r="P3885" s="94">
        <f>IF($A3885="",0,$H3885*설정!$C$23)</f>
        <v/>
      </c>
      <c r="Q3885" s="64">
        <f>IF($A3885="","",IF(O3885&lt;&gt;원인분석!$C$9,"",IF(AND(M3885&gt;=원인분석!$C$10,M3885&lt;=원인분석!$C$11),"당기",IF(AND(M3885&gt;=원인분석!$C$12,M3885&lt;=원인분석!$C$13),"비교",""))))</f>
        <v/>
      </c>
      <c r="R3885" s="9">
        <f>IF(Q3885="","",$K3885&amp;"")</f>
        <v/>
      </c>
      <c r="S3885" s="9">
        <f>IF(Q3885="","",IF(MATCH(R3885,$R$5:$R$100000,0)=ROW()-4,ROW(),""))</f>
        <v/>
      </c>
      <c r="T3885" s="9">
        <f>IF(Q3885="당기",ABS(P3885)+ROW()/1000000000,"")</f>
        <v/>
      </c>
      <c r="U3885" s="9">
        <f>IF(Q3885="비교",ABS(P3885)+ROW()/1000000000,"")</f>
        <v/>
      </c>
      <c r="V3885" s="64">
        <f>IF($A3885="","",IF(COUNTIF(변동분석!$E$7:$E$506,O3885)&gt;0,"Y","N"))</f>
        <v/>
      </c>
      <c r="W3885" s="64">
        <f>IF($A3885="","",IFERROR(INDEX(계정매핑!$D$5:$D$504,MATCH($F3885&amp;"",계정매핑!$A$5:$A$504,0)),"미매핑"))</f>
        <v/>
      </c>
      <c r="X3885" s="9">
        <f>IF($A3885="","",$F3885&amp;"")</f>
        <v/>
      </c>
      <c r="Y3885" s="94">
        <f>IF($A3885="",0,IF(AE3885="직접",IF(AF3885="비귀속",$P3885,0),$P3885*(1-AG3885)*IFERROR(INDEX(계정대체기준!$F$20:$F$49,MATCH($N3885,계정대체기준!$A$20:$A$49,0)),1)))</f>
        <v/>
      </c>
      <c r="Z3885" s="94">
        <f>IF($A3885="",0,IF(AE3885="직접",IF(AF3885="신계약비",$P3885,0),$P3885*(1-AG3885)*IFERROR(INDEX(계정대체기준!$C$20:$C$49,MATCH($N3885,계정대체기준!$A$20:$A$49,0)),0)))</f>
        <v/>
      </c>
      <c r="AA3885" s="94">
        <f>IF($A3885="",0,IF(AE3885="직접",IF(OR(AF3885="유지비",AF3885="손해조사비"),$P3885,0),$P3885*(1-AG3885)*IFERROR(INDEX(계정대체기준!$D$20:$D$49,MATCH($N3885,계정대체기준!$A$20:$A$49,0)),0)))</f>
        <v/>
      </c>
      <c r="AB3885" s="94">
        <f>IF($A3885="",0,IF(AE3885="직접",IF(AF3885="수금비",$P3885,0),$P3885*(1-AG3885)*IFERROR(INDEX(계정대체기준!$E$20:$E$49,MATCH($N3885,계정대체기준!$A$20:$A$49,0)),0)))</f>
        <v/>
      </c>
      <c r="AC3885" s="9">
        <f>IF(AND($A3885&lt;&gt;"",M3885=설정!$C$20,Z3885&gt;0),Z3885+ROW()/1000000000,"")</f>
        <v/>
      </c>
      <c r="AD3885" s="94">
        <f>IF($A3885="",0,$P3885*AG3885)</f>
        <v/>
      </c>
      <c r="AE3885" s="64">
        <f>IF($A3885="","",IFERROR(INDEX(계정매핑!$E$5:$E$504,MATCH($F3885&amp;"",계정매핑!$A$5:$A$504,0))&amp;"","공통비"))</f>
        <v/>
      </c>
      <c r="AF3885" s="64">
        <f>IF($A3885="","",IF(AE3885="직접",IFERROR(INDEX(계정매핑!$F$5:$F$504,MATCH($F3885&amp;"",계정매핑!$A$5:$A$504,0))&amp;"","비귀속"),""))</f>
        <v/>
      </c>
      <c r="AG3885" s="96">
        <f>IF($A3885="",0,IF(AND(AE3885&lt;&gt;"직접",IFERROR(INDEX(계정매핑!$G$5:$G$504,MATCH($F3885&amp;"",계정매핑!$A$5:$A$504,0))&amp;"","")="유지비",COUNTIF(계정대체기준!$A$6:$A$15,$N3885)&gt;0),IFERROR(INDEX(계정대체기준!$E$6:$E$15,MATCH(VALUE($A3885&amp;""),계정대체기준!$D$6:$D$15,0)),0),0))</f>
        <v/>
      </c>
      <c r="AH3885" s="64">
        <f>IF($A3885="","",IF(AD3885=0,"",IF(OR(COUNTIF(계정대체기준!$A$77:$A$86,$N3885)&gt;0,ISNUMBER(MATCH($X3885,계정대체기준!$D$77:$D$86,0)),ISNUMBER(MATCH($F3885,계정대체기준!$D$77:$D$86,0))),"Y","N")))</f>
        <v/>
      </c>
    </row>
    <row r="3886">
      <c r="A3886" s="92" t="n">
        <v>2026</v>
      </c>
      <c r="B3886" s="92" t="n">
        <v>6</v>
      </c>
      <c r="C3886" s="92" t="inlineStr">
        <is>
          <t>5100001164</t>
        </is>
      </c>
      <c r="D3886" s="95" t="n">
        <v>46177</v>
      </c>
      <c r="E3886" s="92" t="inlineStr">
        <is>
          <t>KR</t>
        </is>
      </c>
      <c r="F3886" s="92" t="n">
        <v>62101000</v>
      </c>
      <c r="G3886" s="92" t="n">
        <v>1101</v>
      </c>
      <c r="H3886" s="93" t="n">
        <v>401000</v>
      </c>
      <c r="I3886" s="92" t="inlineStr">
        <is>
          <t>6월 국내출장 - M항공</t>
        </is>
      </c>
      <c r="J3886" s="92" t="inlineStr">
        <is>
          <t>V10001</t>
        </is>
      </c>
      <c r="K3886" s="92" t="inlineStr">
        <is>
          <t>M항공</t>
        </is>
      </c>
      <c r="M3886" s="9">
        <f>IF($A3886="","",VALUE($A3886&amp;"")*12+VALUE($B3886&amp;""))</f>
        <v/>
      </c>
      <c r="N3886" s="64">
        <f>IF($A3886="","",IFERROR(INDEX(부서매핑!$C$5:$C$504,MATCH($G3886&amp;"",부서매핑!$A$5:$A$504,0)),"미매핑"))</f>
        <v/>
      </c>
      <c r="O3886" s="9">
        <f>IF($A3886="","",N3886&amp;"|"&amp;$F3886)</f>
        <v/>
      </c>
      <c r="P3886" s="94">
        <f>IF($A3886="",0,$H3886*설정!$C$23)</f>
        <v/>
      </c>
      <c r="Q3886" s="64">
        <f>IF($A3886="","",IF(O3886&lt;&gt;원인분석!$C$9,"",IF(AND(M3886&gt;=원인분석!$C$10,M3886&lt;=원인분석!$C$11),"당기",IF(AND(M3886&gt;=원인분석!$C$12,M3886&lt;=원인분석!$C$13),"비교",""))))</f>
        <v/>
      </c>
      <c r="R3886" s="9">
        <f>IF(Q3886="","",$K3886&amp;"")</f>
        <v/>
      </c>
      <c r="S3886" s="9">
        <f>IF(Q3886="","",IF(MATCH(R3886,$R$5:$R$100000,0)=ROW()-4,ROW(),""))</f>
        <v/>
      </c>
      <c r="T3886" s="9">
        <f>IF(Q3886="당기",ABS(P3886)+ROW()/1000000000,"")</f>
        <v/>
      </c>
      <c r="U3886" s="9">
        <f>IF(Q3886="비교",ABS(P3886)+ROW()/1000000000,"")</f>
        <v/>
      </c>
      <c r="V3886" s="64">
        <f>IF($A3886="","",IF(COUNTIF(변동분석!$E$7:$E$506,O3886)&gt;0,"Y","N"))</f>
        <v/>
      </c>
      <c r="W3886" s="64">
        <f>IF($A3886="","",IFERROR(INDEX(계정매핑!$D$5:$D$504,MATCH($F3886&amp;"",계정매핑!$A$5:$A$504,0)),"미매핑"))</f>
        <v/>
      </c>
      <c r="X3886" s="9">
        <f>IF($A3886="","",$F3886&amp;"")</f>
        <v/>
      </c>
      <c r="Y3886" s="94">
        <f>IF($A3886="",0,IF(AE3886="직접",IF(AF3886="비귀속",$P3886,0),$P3886*(1-AG3886)*IFERROR(INDEX(계정대체기준!$F$20:$F$49,MATCH($N3886,계정대체기준!$A$20:$A$49,0)),1)))</f>
        <v/>
      </c>
      <c r="Z3886" s="94">
        <f>IF($A3886="",0,IF(AE3886="직접",IF(AF3886="신계약비",$P3886,0),$P3886*(1-AG3886)*IFERROR(INDEX(계정대체기준!$C$20:$C$49,MATCH($N3886,계정대체기준!$A$20:$A$49,0)),0)))</f>
        <v/>
      </c>
      <c r="AA3886" s="94">
        <f>IF($A3886="",0,IF(AE3886="직접",IF(OR(AF3886="유지비",AF3886="손해조사비"),$P3886,0),$P3886*(1-AG3886)*IFERROR(INDEX(계정대체기준!$D$20:$D$49,MATCH($N3886,계정대체기준!$A$20:$A$49,0)),0)))</f>
        <v/>
      </c>
      <c r="AB3886" s="94">
        <f>IF($A3886="",0,IF(AE3886="직접",IF(AF3886="수금비",$P3886,0),$P3886*(1-AG3886)*IFERROR(INDEX(계정대체기준!$E$20:$E$49,MATCH($N3886,계정대체기준!$A$20:$A$49,0)),0)))</f>
        <v/>
      </c>
      <c r="AC3886" s="9">
        <f>IF(AND($A3886&lt;&gt;"",M3886=설정!$C$20,Z3886&gt;0),Z3886+ROW()/1000000000,"")</f>
        <v/>
      </c>
      <c r="AD3886" s="94">
        <f>IF($A3886="",0,$P3886*AG3886)</f>
        <v/>
      </c>
      <c r="AE3886" s="64">
        <f>IF($A3886="","",IFERROR(INDEX(계정매핑!$E$5:$E$504,MATCH($F3886&amp;"",계정매핑!$A$5:$A$504,0))&amp;"","공통비"))</f>
        <v/>
      </c>
      <c r="AF3886" s="64">
        <f>IF($A3886="","",IF(AE3886="직접",IFERROR(INDEX(계정매핑!$F$5:$F$504,MATCH($F3886&amp;"",계정매핑!$A$5:$A$504,0))&amp;"","비귀속"),""))</f>
        <v/>
      </c>
      <c r="AG3886" s="96">
        <f>IF($A3886="",0,IF(AND(AE3886&lt;&gt;"직접",IFERROR(INDEX(계정매핑!$G$5:$G$504,MATCH($F3886&amp;"",계정매핑!$A$5:$A$504,0))&amp;"","")="유지비",COUNTIF(계정대체기준!$A$6:$A$15,$N3886)&gt;0),IFERROR(INDEX(계정대체기준!$E$6:$E$15,MATCH(VALUE($A3886&amp;""),계정대체기준!$D$6:$D$15,0)),0),0))</f>
        <v/>
      </c>
      <c r="AH3886" s="64">
        <f>IF($A3886="","",IF(AD3886=0,"",IF(OR(COUNTIF(계정대체기준!$A$77:$A$86,$N3886)&gt;0,ISNUMBER(MATCH($X3886,계정대체기준!$D$77:$D$86,0)),ISNUMBER(MATCH($F3886,계정대체기준!$D$77:$D$86,0))),"Y","N")))</f>
        <v/>
      </c>
    </row>
    <row r="3887">
      <c r="A3887" s="92" t="n">
        <v>2026</v>
      </c>
      <c r="B3887" s="92" t="n">
        <v>6</v>
      </c>
      <c r="C3887" s="92" t="inlineStr">
        <is>
          <t>5100001165</t>
        </is>
      </c>
      <c r="D3887" s="95" t="n">
        <v>46177</v>
      </c>
      <c r="E3887" s="92" t="inlineStr">
        <is>
          <t>KR</t>
        </is>
      </c>
      <c r="F3887" s="92" t="n">
        <v>62101000</v>
      </c>
      <c r="G3887" s="92" t="n">
        <v>1601</v>
      </c>
      <c r="H3887" s="93" t="n">
        <v>885000</v>
      </c>
      <c r="I3887" s="92" t="inlineStr">
        <is>
          <t>6월 국내출장 - M항공</t>
        </is>
      </c>
      <c r="J3887" s="92" t="inlineStr">
        <is>
          <t>V10001</t>
        </is>
      </c>
      <c r="K3887" s="92" t="inlineStr">
        <is>
          <t>M항공</t>
        </is>
      </c>
      <c r="M3887" s="9">
        <f>IF($A3887="","",VALUE($A3887&amp;"")*12+VALUE($B3887&amp;""))</f>
        <v/>
      </c>
      <c r="N3887" s="64">
        <f>IF($A3887="","",IFERROR(INDEX(부서매핑!$C$5:$C$504,MATCH($G3887&amp;"",부서매핑!$A$5:$A$504,0)),"미매핑"))</f>
        <v/>
      </c>
      <c r="O3887" s="9">
        <f>IF($A3887="","",N3887&amp;"|"&amp;$F3887)</f>
        <v/>
      </c>
      <c r="P3887" s="94">
        <f>IF($A3887="",0,$H3887*설정!$C$23)</f>
        <v/>
      </c>
      <c r="Q3887" s="64">
        <f>IF($A3887="","",IF(O3887&lt;&gt;원인분석!$C$9,"",IF(AND(M3887&gt;=원인분석!$C$10,M3887&lt;=원인분석!$C$11),"당기",IF(AND(M3887&gt;=원인분석!$C$12,M3887&lt;=원인분석!$C$13),"비교",""))))</f>
        <v/>
      </c>
      <c r="R3887" s="9">
        <f>IF(Q3887="","",$K3887&amp;"")</f>
        <v/>
      </c>
      <c r="S3887" s="9">
        <f>IF(Q3887="","",IF(MATCH(R3887,$R$5:$R$100000,0)=ROW()-4,ROW(),""))</f>
        <v/>
      </c>
      <c r="T3887" s="9">
        <f>IF(Q3887="당기",ABS(P3887)+ROW()/1000000000,"")</f>
        <v/>
      </c>
      <c r="U3887" s="9">
        <f>IF(Q3887="비교",ABS(P3887)+ROW()/1000000000,"")</f>
        <v/>
      </c>
      <c r="V3887" s="64">
        <f>IF($A3887="","",IF(COUNTIF(변동분석!$E$7:$E$506,O3887)&gt;0,"Y","N"))</f>
        <v/>
      </c>
      <c r="W3887" s="64">
        <f>IF($A3887="","",IFERROR(INDEX(계정매핑!$D$5:$D$504,MATCH($F3887&amp;"",계정매핑!$A$5:$A$504,0)),"미매핑"))</f>
        <v/>
      </c>
      <c r="X3887" s="9">
        <f>IF($A3887="","",$F3887&amp;"")</f>
        <v/>
      </c>
      <c r="Y3887" s="94">
        <f>IF($A3887="",0,IF(AE3887="직접",IF(AF3887="비귀속",$P3887,0),$P3887*(1-AG3887)*IFERROR(INDEX(계정대체기준!$F$20:$F$49,MATCH($N3887,계정대체기준!$A$20:$A$49,0)),1)))</f>
        <v/>
      </c>
      <c r="Z3887" s="94">
        <f>IF($A3887="",0,IF(AE3887="직접",IF(AF3887="신계약비",$P3887,0),$P3887*(1-AG3887)*IFERROR(INDEX(계정대체기준!$C$20:$C$49,MATCH($N3887,계정대체기준!$A$20:$A$49,0)),0)))</f>
        <v/>
      </c>
      <c r="AA3887" s="94">
        <f>IF($A3887="",0,IF(AE3887="직접",IF(OR(AF3887="유지비",AF3887="손해조사비"),$P3887,0),$P3887*(1-AG3887)*IFERROR(INDEX(계정대체기준!$D$20:$D$49,MATCH($N3887,계정대체기준!$A$20:$A$49,0)),0)))</f>
        <v/>
      </c>
      <c r="AB3887" s="94">
        <f>IF($A3887="",0,IF(AE3887="직접",IF(AF3887="수금비",$P3887,0),$P3887*(1-AG3887)*IFERROR(INDEX(계정대체기준!$E$20:$E$49,MATCH($N3887,계정대체기준!$A$20:$A$49,0)),0)))</f>
        <v/>
      </c>
      <c r="AC3887" s="9">
        <f>IF(AND($A3887&lt;&gt;"",M3887=설정!$C$20,Z3887&gt;0),Z3887+ROW()/1000000000,"")</f>
        <v/>
      </c>
      <c r="AD3887" s="94">
        <f>IF($A3887="",0,$P3887*AG3887)</f>
        <v/>
      </c>
      <c r="AE3887" s="64">
        <f>IF($A3887="","",IFERROR(INDEX(계정매핑!$E$5:$E$504,MATCH($F3887&amp;"",계정매핑!$A$5:$A$504,0))&amp;"","공통비"))</f>
        <v/>
      </c>
      <c r="AF3887" s="64">
        <f>IF($A3887="","",IF(AE3887="직접",IFERROR(INDEX(계정매핑!$F$5:$F$504,MATCH($F3887&amp;"",계정매핑!$A$5:$A$504,0))&amp;"","비귀속"),""))</f>
        <v/>
      </c>
      <c r="AG3887" s="96">
        <f>IF($A3887="",0,IF(AND(AE3887&lt;&gt;"직접",IFERROR(INDEX(계정매핑!$G$5:$G$504,MATCH($F3887&amp;"",계정매핑!$A$5:$A$504,0))&amp;"","")="유지비",COUNTIF(계정대체기준!$A$6:$A$15,$N3887)&gt;0),IFERROR(INDEX(계정대체기준!$E$6:$E$15,MATCH(VALUE($A3887&amp;""),계정대체기준!$D$6:$D$15,0)),0),0))</f>
        <v/>
      </c>
      <c r="AH3887" s="64">
        <f>IF($A3887="","",IF(AD3887=0,"",IF(OR(COUNTIF(계정대체기준!$A$77:$A$86,$N3887)&gt;0,ISNUMBER(MATCH($X3887,계정대체기준!$D$77:$D$86,0)),ISNUMBER(MATCH($F3887,계정대체기준!$D$77:$D$86,0))),"Y","N")))</f>
        <v/>
      </c>
    </row>
    <row r="3888">
      <c r="A3888" s="92" t="n">
        <v>2026</v>
      </c>
      <c r="B3888" s="92" t="n">
        <v>6</v>
      </c>
      <c r="C3888" s="92" t="inlineStr">
        <is>
          <t>5100001166</t>
        </is>
      </c>
      <c r="D3888" s="95" t="n">
        <v>46177</v>
      </c>
      <c r="E3888" s="92" t="inlineStr">
        <is>
          <t>KR</t>
        </is>
      </c>
      <c r="F3888" s="92" t="n">
        <v>62201000</v>
      </c>
      <c r="G3888" s="92" t="n">
        <v>1401</v>
      </c>
      <c r="H3888" s="93" t="n">
        <v>193000</v>
      </c>
      <c r="I3888" s="92" t="inlineStr">
        <is>
          <t>6월 통신요금 - P통신</t>
        </is>
      </c>
      <c r="J3888" s="92" t="inlineStr">
        <is>
          <t>V10014</t>
        </is>
      </c>
      <c r="K3888" s="92" t="inlineStr">
        <is>
          <t>P통신</t>
        </is>
      </c>
      <c r="M3888" s="9">
        <f>IF($A3888="","",VALUE($A3888&amp;"")*12+VALUE($B3888&amp;""))</f>
        <v/>
      </c>
      <c r="N3888" s="64">
        <f>IF($A3888="","",IFERROR(INDEX(부서매핑!$C$5:$C$504,MATCH($G3888&amp;"",부서매핑!$A$5:$A$504,0)),"미매핑"))</f>
        <v/>
      </c>
      <c r="O3888" s="9">
        <f>IF($A3888="","",N3888&amp;"|"&amp;$F3888)</f>
        <v/>
      </c>
      <c r="P3888" s="94">
        <f>IF($A3888="",0,$H3888*설정!$C$23)</f>
        <v/>
      </c>
      <c r="Q3888" s="64">
        <f>IF($A3888="","",IF(O3888&lt;&gt;원인분석!$C$9,"",IF(AND(M3888&gt;=원인분석!$C$10,M3888&lt;=원인분석!$C$11),"당기",IF(AND(M3888&gt;=원인분석!$C$12,M3888&lt;=원인분석!$C$13),"비교",""))))</f>
        <v/>
      </c>
      <c r="R3888" s="9">
        <f>IF(Q3888="","",$K3888&amp;"")</f>
        <v/>
      </c>
      <c r="S3888" s="9">
        <f>IF(Q3888="","",IF(MATCH(R3888,$R$5:$R$100000,0)=ROW()-4,ROW(),""))</f>
        <v/>
      </c>
      <c r="T3888" s="9">
        <f>IF(Q3888="당기",ABS(P3888)+ROW()/1000000000,"")</f>
        <v/>
      </c>
      <c r="U3888" s="9">
        <f>IF(Q3888="비교",ABS(P3888)+ROW()/1000000000,"")</f>
        <v/>
      </c>
      <c r="V3888" s="64">
        <f>IF($A3888="","",IF(COUNTIF(변동분석!$E$7:$E$506,O3888)&gt;0,"Y","N"))</f>
        <v/>
      </c>
      <c r="W3888" s="64">
        <f>IF($A3888="","",IFERROR(INDEX(계정매핑!$D$5:$D$504,MATCH($F3888&amp;"",계정매핑!$A$5:$A$504,0)),"미매핑"))</f>
        <v/>
      </c>
      <c r="X3888" s="9">
        <f>IF($A3888="","",$F3888&amp;"")</f>
        <v/>
      </c>
      <c r="Y3888" s="94">
        <f>IF($A3888="",0,IF(AE3888="직접",IF(AF3888="비귀속",$P3888,0),$P3888*(1-AG3888)*IFERROR(INDEX(계정대체기준!$F$20:$F$49,MATCH($N3888,계정대체기준!$A$20:$A$49,0)),1)))</f>
        <v/>
      </c>
      <c r="Z3888" s="94">
        <f>IF($A3888="",0,IF(AE3888="직접",IF(AF3888="신계약비",$P3888,0),$P3888*(1-AG3888)*IFERROR(INDEX(계정대체기준!$C$20:$C$49,MATCH($N3888,계정대체기준!$A$20:$A$49,0)),0)))</f>
        <v/>
      </c>
      <c r="AA3888" s="94">
        <f>IF($A3888="",0,IF(AE3888="직접",IF(OR(AF3888="유지비",AF3888="손해조사비"),$P3888,0),$P3888*(1-AG3888)*IFERROR(INDEX(계정대체기준!$D$20:$D$49,MATCH($N3888,계정대체기준!$A$20:$A$49,0)),0)))</f>
        <v/>
      </c>
      <c r="AB3888" s="94">
        <f>IF($A3888="",0,IF(AE3888="직접",IF(AF3888="수금비",$P3888,0),$P3888*(1-AG3888)*IFERROR(INDEX(계정대체기준!$E$20:$E$49,MATCH($N3888,계정대체기준!$A$20:$A$49,0)),0)))</f>
        <v/>
      </c>
      <c r="AC3888" s="9">
        <f>IF(AND($A3888&lt;&gt;"",M3888=설정!$C$20,Z3888&gt;0),Z3888+ROW()/1000000000,"")</f>
        <v/>
      </c>
      <c r="AD3888" s="94">
        <f>IF($A3888="",0,$P3888*AG3888)</f>
        <v/>
      </c>
      <c r="AE3888" s="64">
        <f>IF($A3888="","",IFERROR(INDEX(계정매핑!$E$5:$E$504,MATCH($F3888&amp;"",계정매핑!$A$5:$A$504,0))&amp;"","공통비"))</f>
        <v/>
      </c>
      <c r="AF3888" s="64">
        <f>IF($A3888="","",IF(AE3888="직접",IFERROR(INDEX(계정매핑!$F$5:$F$504,MATCH($F3888&amp;"",계정매핑!$A$5:$A$504,0))&amp;"","비귀속"),""))</f>
        <v/>
      </c>
      <c r="AG3888" s="96">
        <f>IF($A3888="",0,IF(AND(AE3888&lt;&gt;"직접",IFERROR(INDEX(계정매핑!$G$5:$G$504,MATCH($F3888&amp;"",계정매핑!$A$5:$A$504,0))&amp;"","")="유지비",COUNTIF(계정대체기준!$A$6:$A$15,$N3888)&gt;0),IFERROR(INDEX(계정대체기준!$E$6:$E$15,MATCH(VALUE($A3888&amp;""),계정대체기준!$D$6:$D$15,0)),0),0))</f>
        <v/>
      </c>
      <c r="AH3888" s="64">
        <f>IF($A3888="","",IF(AD3888=0,"",IF(OR(COUNTIF(계정대체기준!$A$77:$A$86,$N3888)&gt;0,ISNUMBER(MATCH($X3888,계정대체기준!$D$77:$D$86,0)),ISNUMBER(MATCH($F3888,계정대체기준!$D$77:$D$86,0))),"Y","N")))</f>
        <v/>
      </c>
    </row>
    <row r="3889">
      <c r="A3889" s="92" t="n">
        <v>2026</v>
      </c>
      <c r="B3889" s="92" t="n">
        <v>6</v>
      </c>
      <c r="C3889" s="92" t="inlineStr">
        <is>
          <t>5100001167</t>
        </is>
      </c>
      <c r="D3889" s="95" t="n">
        <v>46177</v>
      </c>
      <c r="E3889" s="92" t="inlineStr">
        <is>
          <t>KR</t>
        </is>
      </c>
      <c r="F3889" s="92" t="n">
        <v>62301000</v>
      </c>
      <c r="G3889" s="92" t="n">
        <v>1301</v>
      </c>
      <c r="H3889" s="93" t="n">
        <v>297000</v>
      </c>
      <c r="I3889" s="92" t="inlineStr">
        <is>
          <t>6월 소모품 구입 - Q오피스</t>
        </is>
      </c>
      <c r="J3889" s="92" t="inlineStr">
        <is>
          <t>V10003</t>
        </is>
      </c>
      <c r="K3889" s="92" t="inlineStr">
        <is>
          <t>Q오피스</t>
        </is>
      </c>
      <c r="M3889" s="9">
        <f>IF($A3889="","",VALUE($A3889&amp;"")*12+VALUE($B3889&amp;""))</f>
        <v/>
      </c>
      <c r="N3889" s="64">
        <f>IF($A3889="","",IFERROR(INDEX(부서매핑!$C$5:$C$504,MATCH($G3889&amp;"",부서매핑!$A$5:$A$504,0)),"미매핑"))</f>
        <v/>
      </c>
      <c r="O3889" s="9">
        <f>IF($A3889="","",N3889&amp;"|"&amp;$F3889)</f>
        <v/>
      </c>
      <c r="P3889" s="94">
        <f>IF($A3889="",0,$H3889*설정!$C$23)</f>
        <v/>
      </c>
      <c r="Q3889" s="64">
        <f>IF($A3889="","",IF(O3889&lt;&gt;원인분석!$C$9,"",IF(AND(M3889&gt;=원인분석!$C$10,M3889&lt;=원인분석!$C$11),"당기",IF(AND(M3889&gt;=원인분석!$C$12,M3889&lt;=원인분석!$C$13),"비교",""))))</f>
        <v/>
      </c>
      <c r="R3889" s="9">
        <f>IF(Q3889="","",$K3889&amp;"")</f>
        <v/>
      </c>
      <c r="S3889" s="9">
        <f>IF(Q3889="","",IF(MATCH(R3889,$R$5:$R$100000,0)=ROW()-4,ROW(),""))</f>
        <v/>
      </c>
      <c r="T3889" s="9">
        <f>IF(Q3889="당기",ABS(P3889)+ROW()/1000000000,"")</f>
        <v/>
      </c>
      <c r="U3889" s="9">
        <f>IF(Q3889="비교",ABS(P3889)+ROW()/1000000000,"")</f>
        <v/>
      </c>
      <c r="V3889" s="64">
        <f>IF($A3889="","",IF(COUNTIF(변동분석!$E$7:$E$506,O3889)&gt;0,"Y","N"))</f>
        <v/>
      </c>
      <c r="W3889" s="64">
        <f>IF($A3889="","",IFERROR(INDEX(계정매핑!$D$5:$D$504,MATCH($F3889&amp;"",계정매핑!$A$5:$A$504,0)),"미매핑"))</f>
        <v/>
      </c>
      <c r="X3889" s="9">
        <f>IF($A3889="","",$F3889&amp;"")</f>
        <v/>
      </c>
      <c r="Y3889" s="94">
        <f>IF($A3889="",0,IF(AE3889="직접",IF(AF3889="비귀속",$P3889,0),$P3889*(1-AG3889)*IFERROR(INDEX(계정대체기준!$F$20:$F$49,MATCH($N3889,계정대체기준!$A$20:$A$49,0)),1)))</f>
        <v/>
      </c>
      <c r="Z3889" s="94">
        <f>IF($A3889="",0,IF(AE3889="직접",IF(AF3889="신계약비",$P3889,0),$P3889*(1-AG3889)*IFERROR(INDEX(계정대체기준!$C$20:$C$49,MATCH($N3889,계정대체기준!$A$20:$A$49,0)),0)))</f>
        <v/>
      </c>
      <c r="AA3889" s="94">
        <f>IF($A3889="",0,IF(AE3889="직접",IF(OR(AF3889="유지비",AF3889="손해조사비"),$P3889,0),$P3889*(1-AG3889)*IFERROR(INDEX(계정대체기준!$D$20:$D$49,MATCH($N3889,계정대체기준!$A$20:$A$49,0)),0)))</f>
        <v/>
      </c>
      <c r="AB3889" s="94">
        <f>IF($A3889="",0,IF(AE3889="직접",IF(AF3889="수금비",$P3889,0),$P3889*(1-AG3889)*IFERROR(INDEX(계정대체기준!$E$20:$E$49,MATCH($N3889,계정대체기준!$A$20:$A$49,0)),0)))</f>
        <v/>
      </c>
      <c r="AC3889" s="9">
        <f>IF(AND($A3889&lt;&gt;"",M3889=설정!$C$20,Z3889&gt;0),Z3889+ROW()/1000000000,"")</f>
        <v/>
      </c>
      <c r="AD3889" s="94">
        <f>IF($A3889="",0,$P3889*AG3889)</f>
        <v/>
      </c>
      <c r="AE3889" s="64">
        <f>IF($A3889="","",IFERROR(INDEX(계정매핑!$E$5:$E$504,MATCH($F3889&amp;"",계정매핑!$A$5:$A$504,0))&amp;"","공통비"))</f>
        <v/>
      </c>
      <c r="AF3889" s="64">
        <f>IF($A3889="","",IF(AE3889="직접",IFERROR(INDEX(계정매핑!$F$5:$F$504,MATCH($F3889&amp;"",계정매핑!$A$5:$A$504,0))&amp;"","비귀속"),""))</f>
        <v/>
      </c>
      <c r="AG3889" s="96">
        <f>IF($A3889="",0,IF(AND(AE3889&lt;&gt;"직접",IFERROR(INDEX(계정매핑!$G$5:$G$504,MATCH($F3889&amp;"",계정매핑!$A$5:$A$504,0))&amp;"","")="유지비",COUNTIF(계정대체기준!$A$6:$A$15,$N3889)&gt;0),IFERROR(INDEX(계정대체기준!$E$6:$E$15,MATCH(VALUE($A3889&amp;""),계정대체기준!$D$6:$D$15,0)),0),0))</f>
        <v/>
      </c>
      <c r="AH3889" s="64">
        <f>IF($A3889="","",IF(AD3889=0,"",IF(OR(COUNTIF(계정대체기준!$A$77:$A$86,$N3889)&gt;0,ISNUMBER(MATCH($X3889,계정대체기준!$D$77:$D$86,0)),ISNUMBER(MATCH($F3889,계정대체기준!$D$77:$D$86,0))),"Y","N")))</f>
        <v/>
      </c>
    </row>
    <row r="3890">
      <c r="A3890" s="92" t="n">
        <v>2026</v>
      </c>
      <c r="B3890" s="92" t="n">
        <v>6</v>
      </c>
      <c r="C3890" s="92" t="inlineStr">
        <is>
          <t>5100001168</t>
        </is>
      </c>
      <c r="D3890" s="95" t="n">
        <v>46177</v>
      </c>
      <c r="E3890" s="92" t="inlineStr">
        <is>
          <t>KR</t>
        </is>
      </c>
      <c r="F3890" s="92" t="n">
        <v>62902000</v>
      </c>
      <c r="G3890" s="92" t="n">
        <v>1801</v>
      </c>
      <c r="H3890" s="93" t="n">
        <v>1850000</v>
      </c>
      <c r="I3890" s="92" t="inlineStr">
        <is>
          <t>6월 콜 위탁 수수료(건별)</t>
        </is>
      </c>
      <c r="J3890" s="92" t="inlineStr">
        <is>
          <t>V10016</t>
        </is>
      </c>
      <c r="K3890" s="92" t="inlineStr">
        <is>
          <t>J콜센터</t>
        </is>
      </c>
      <c r="M3890" s="9">
        <f>IF($A3890="","",VALUE($A3890&amp;"")*12+VALUE($B3890&amp;""))</f>
        <v/>
      </c>
      <c r="N3890" s="64">
        <f>IF($A3890="","",IFERROR(INDEX(부서매핑!$C$5:$C$504,MATCH($G3890&amp;"",부서매핑!$A$5:$A$504,0)),"미매핑"))</f>
        <v/>
      </c>
      <c r="O3890" s="9">
        <f>IF($A3890="","",N3890&amp;"|"&amp;$F3890)</f>
        <v/>
      </c>
      <c r="P3890" s="94">
        <f>IF($A3890="",0,$H3890*설정!$C$23)</f>
        <v/>
      </c>
      <c r="Q3890" s="64">
        <f>IF($A3890="","",IF(O3890&lt;&gt;원인분석!$C$9,"",IF(AND(M3890&gt;=원인분석!$C$10,M3890&lt;=원인분석!$C$11),"당기",IF(AND(M3890&gt;=원인분석!$C$12,M3890&lt;=원인분석!$C$13),"비교",""))))</f>
        <v/>
      </c>
      <c r="R3890" s="9">
        <f>IF(Q3890="","",$K3890&amp;"")</f>
        <v/>
      </c>
      <c r="S3890" s="9">
        <f>IF(Q3890="","",IF(MATCH(R3890,$R$5:$R$100000,0)=ROW()-4,ROW(),""))</f>
        <v/>
      </c>
      <c r="T3890" s="9">
        <f>IF(Q3890="당기",ABS(P3890)+ROW()/1000000000,"")</f>
        <v/>
      </c>
      <c r="U3890" s="9">
        <f>IF(Q3890="비교",ABS(P3890)+ROW()/1000000000,"")</f>
        <v/>
      </c>
      <c r="V3890" s="64">
        <f>IF($A3890="","",IF(COUNTIF(변동분석!$E$7:$E$506,O3890)&gt;0,"Y","N"))</f>
        <v/>
      </c>
      <c r="W3890" s="64">
        <f>IF($A3890="","",IFERROR(INDEX(계정매핑!$D$5:$D$504,MATCH($F3890&amp;"",계정매핑!$A$5:$A$504,0)),"미매핑"))</f>
        <v/>
      </c>
      <c r="X3890" s="9">
        <f>IF($A3890="","",$F3890&amp;"")</f>
        <v/>
      </c>
      <c r="Y3890" s="94">
        <f>IF($A3890="",0,IF(AE3890="직접",IF(AF3890="비귀속",$P3890,0),$P3890*(1-AG3890)*IFERROR(INDEX(계정대체기준!$F$20:$F$49,MATCH($N3890,계정대체기준!$A$20:$A$49,0)),1)))</f>
        <v/>
      </c>
      <c r="Z3890" s="94">
        <f>IF($A3890="",0,IF(AE3890="직접",IF(AF3890="신계약비",$P3890,0),$P3890*(1-AG3890)*IFERROR(INDEX(계정대체기준!$C$20:$C$49,MATCH($N3890,계정대체기준!$A$20:$A$49,0)),0)))</f>
        <v/>
      </c>
      <c r="AA3890" s="94">
        <f>IF($A3890="",0,IF(AE3890="직접",IF(OR(AF3890="유지비",AF3890="손해조사비"),$P3890,0),$P3890*(1-AG3890)*IFERROR(INDEX(계정대체기준!$D$20:$D$49,MATCH($N3890,계정대체기준!$A$20:$A$49,0)),0)))</f>
        <v/>
      </c>
      <c r="AB3890" s="94">
        <f>IF($A3890="",0,IF(AE3890="직접",IF(AF3890="수금비",$P3890,0),$P3890*(1-AG3890)*IFERROR(INDEX(계정대체기준!$E$20:$E$49,MATCH($N3890,계정대체기준!$A$20:$A$49,0)),0)))</f>
        <v/>
      </c>
      <c r="AC3890" s="9">
        <f>IF(AND($A3890&lt;&gt;"",M3890=설정!$C$20,Z3890&gt;0),Z3890+ROW()/1000000000,"")</f>
        <v/>
      </c>
      <c r="AD3890" s="94">
        <f>IF($A3890="",0,$P3890*AG3890)</f>
        <v/>
      </c>
      <c r="AE3890" s="64">
        <f>IF($A3890="","",IFERROR(INDEX(계정매핑!$E$5:$E$504,MATCH($F3890&amp;"",계정매핑!$A$5:$A$504,0))&amp;"","공통비"))</f>
        <v/>
      </c>
      <c r="AF3890" s="64">
        <f>IF($A3890="","",IF(AE3890="직접",IFERROR(INDEX(계정매핑!$F$5:$F$504,MATCH($F3890&amp;"",계정매핑!$A$5:$A$504,0))&amp;"","비귀속"),""))</f>
        <v/>
      </c>
      <c r="AG3890" s="96">
        <f>IF($A3890="",0,IF(AND(AE3890&lt;&gt;"직접",IFERROR(INDEX(계정매핑!$G$5:$G$504,MATCH($F3890&amp;"",계정매핑!$A$5:$A$504,0))&amp;"","")="유지비",COUNTIF(계정대체기준!$A$6:$A$15,$N3890)&gt;0),IFERROR(INDEX(계정대체기준!$E$6:$E$15,MATCH(VALUE($A3890&amp;""),계정대체기준!$D$6:$D$15,0)),0),0))</f>
        <v/>
      </c>
      <c r="AH3890" s="64">
        <f>IF($A3890="","",IF(AD3890=0,"",IF(OR(COUNTIF(계정대체기준!$A$77:$A$86,$N3890)&gt;0,ISNUMBER(MATCH($X3890,계정대체기준!$D$77:$D$86,0)),ISNUMBER(MATCH($F3890,계정대체기준!$D$77:$D$86,0))),"Y","N")))</f>
        <v/>
      </c>
    </row>
    <row r="3891">
      <c r="A3891" s="92" t="n">
        <v>2026</v>
      </c>
      <c r="B3891" s="92" t="n">
        <v>6</v>
      </c>
      <c r="C3891" s="92" t="inlineStr">
        <is>
          <t>5100001169</t>
        </is>
      </c>
      <c r="D3891" s="95" t="n">
        <v>46178</v>
      </c>
      <c r="E3891" s="92" t="inlineStr">
        <is>
          <t>KR</t>
        </is>
      </c>
      <c r="F3891" s="92" t="n">
        <v>62101000</v>
      </c>
      <c r="G3891" s="92" t="n">
        <v>1951</v>
      </c>
      <c r="H3891" s="93" t="n">
        <v>431000</v>
      </c>
      <c r="I3891" s="92" t="inlineStr">
        <is>
          <t>6월 국내출장 - M항공</t>
        </is>
      </c>
      <c r="J3891" s="92" t="inlineStr">
        <is>
          <t>V10001</t>
        </is>
      </c>
      <c r="K3891" s="92" t="inlineStr">
        <is>
          <t>M항공</t>
        </is>
      </c>
      <c r="M3891" s="9">
        <f>IF($A3891="","",VALUE($A3891&amp;"")*12+VALUE($B3891&amp;""))</f>
        <v/>
      </c>
      <c r="N3891" s="64">
        <f>IF($A3891="","",IFERROR(INDEX(부서매핑!$C$5:$C$504,MATCH($G3891&amp;"",부서매핑!$A$5:$A$504,0)),"미매핑"))</f>
        <v/>
      </c>
      <c r="O3891" s="9">
        <f>IF($A3891="","",N3891&amp;"|"&amp;$F3891)</f>
        <v/>
      </c>
      <c r="P3891" s="94">
        <f>IF($A3891="",0,$H3891*설정!$C$23)</f>
        <v/>
      </c>
      <c r="Q3891" s="64">
        <f>IF($A3891="","",IF(O3891&lt;&gt;원인분석!$C$9,"",IF(AND(M3891&gt;=원인분석!$C$10,M3891&lt;=원인분석!$C$11),"당기",IF(AND(M3891&gt;=원인분석!$C$12,M3891&lt;=원인분석!$C$13),"비교",""))))</f>
        <v/>
      </c>
      <c r="R3891" s="9">
        <f>IF(Q3891="","",$K3891&amp;"")</f>
        <v/>
      </c>
      <c r="S3891" s="9">
        <f>IF(Q3891="","",IF(MATCH(R3891,$R$5:$R$100000,0)=ROW()-4,ROW(),""))</f>
        <v/>
      </c>
      <c r="T3891" s="9">
        <f>IF(Q3891="당기",ABS(P3891)+ROW()/1000000000,"")</f>
        <v/>
      </c>
      <c r="U3891" s="9">
        <f>IF(Q3891="비교",ABS(P3891)+ROW()/1000000000,"")</f>
        <v/>
      </c>
      <c r="V3891" s="64">
        <f>IF($A3891="","",IF(COUNTIF(변동분석!$E$7:$E$506,O3891)&gt;0,"Y","N"))</f>
        <v/>
      </c>
      <c r="W3891" s="64">
        <f>IF($A3891="","",IFERROR(INDEX(계정매핑!$D$5:$D$504,MATCH($F3891&amp;"",계정매핑!$A$5:$A$504,0)),"미매핑"))</f>
        <v/>
      </c>
      <c r="X3891" s="9">
        <f>IF($A3891="","",$F3891&amp;"")</f>
        <v/>
      </c>
      <c r="Y3891" s="94">
        <f>IF($A3891="",0,IF(AE3891="직접",IF(AF3891="비귀속",$P3891,0),$P3891*(1-AG3891)*IFERROR(INDEX(계정대체기준!$F$20:$F$49,MATCH($N3891,계정대체기준!$A$20:$A$49,0)),1)))</f>
        <v/>
      </c>
      <c r="Z3891" s="94">
        <f>IF($A3891="",0,IF(AE3891="직접",IF(AF3891="신계약비",$P3891,0),$P3891*(1-AG3891)*IFERROR(INDEX(계정대체기준!$C$20:$C$49,MATCH($N3891,계정대체기준!$A$20:$A$49,0)),0)))</f>
        <v/>
      </c>
      <c r="AA3891" s="94">
        <f>IF($A3891="",0,IF(AE3891="직접",IF(OR(AF3891="유지비",AF3891="손해조사비"),$P3891,0),$P3891*(1-AG3891)*IFERROR(INDEX(계정대체기준!$D$20:$D$49,MATCH($N3891,계정대체기준!$A$20:$A$49,0)),0)))</f>
        <v/>
      </c>
      <c r="AB3891" s="94">
        <f>IF($A3891="",0,IF(AE3891="직접",IF(AF3891="수금비",$P3891,0),$P3891*(1-AG3891)*IFERROR(INDEX(계정대체기준!$E$20:$E$49,MATCH($N3891,계정대체기준!$A$20:$A$49,0)),0)))</f>
        <v/>
      </c>
      <c r="AC3891" s="9">
        <f>IF(AND($A3891&lt;&gt;"",M3891=설정!$C$20,Z3891&gt;0),Z3891+ROW()/1000000000,"")</f>
        <v/>
      </c>
      <c r="AD3891" s="94">
        <f>IF($A3891="",0,$P3891*AG3891)</f>
        <v/>
      </c>
      <c r="AE3891" s="64">
        <f>IF($A3891="","",IFERROR(INDEX(계정매핑!$E$5:$E$504,MATCH($F3891&amp;"",계정매핑!$A$5:$A$504,0))&amp;"","공통비"))</f>
        <v/>
      </c>
      <c r="AF3891" s="64">
        <f>IF($A3891="","",IF(AE3891="직접",IFERROR(INDEX(계정매핑!$F$5:$F$504,MATCH($F3891&amp;"",계정매핑!$A$5:$A$504,0))&amp;"","비귀속"),""))</f>
        <v/>
      </c>
      <c r="AG3891" s="96">
        <f>IF($A3891="",0,IF(AND(AE3891&lt;&gt;"직접",IFERROR(INDEX(계정매핑!$G$5:$G$504,MATCH($F3891&amp;"",계정매핑!$A$5:$A$504,0))&amp;"","")="유지비",COUNTIF(계정대체기준!$A$6:$A$15,$N3891)&gt;0),IFERROR(INDEX(계정대체기준!$E$6:$E$15,MATCH(VALUE($A3891&amp;""),계정대체기준!$D$6:$D$15,0)),0),0))</f>
        <v/>
      </c>
      <c r="AH3891" s="64">
        <f>IF($A3891="","",IF(AD3891=0,"",IF(OR(COUNTIF(계정대체기준!$A$77:$A$86,$N3891)&gt;0,ISNUMBER(MATCH($X3891,계정대체기준!$D$77:$D$86,0)),ISNUMBER(MATCH($F3891,계정대체기준!$D$77:$D$86,0))),"Y","N")))</f>
        <v/>
      </c>
    </row>
    <row r="3892">
      <c r="A3892" s="92" t="n">
        <v>2026</v>
      </c>
      <c r="B3892" s="92" t="n">
        <v>6</v>
      </c>
      <c r="C3892" s="92" t="inlineStr">
        <is>
          <t>5100001170</t>
        </is>
      </c>
      <c r="D3892" s="95" t="n">
        <v>46178</v>
      </c>
      <c r="E3892" s="92" t="inlineStr">
        <is>
          <t>KR</t>
        </is>
      </c>
      <c r="F3892" s="92" t="n">
        <v>62102000</v>
      </c>
      <c r="G3892" s="92" t="n">
        <v>1101</v>
      </c>
      <c r="H3892" s="93" t="n">
        <v>227000</v>
      </c>
      <c r="I3892" s="92" t="inlineStr">
        <is>
          <t>6월 해외출장 - M항공</t>
        </is>
      </c>
      <c r="J3892" s="92" t="inlineStr">
        <is>
          <t>V10001</t>
        </is>
      </c>
      <c r="K3892" s="92" t="inlineStr">
        <is>
          <t>M항공</t>
        </is>
      </c>
      <c r="M3892" s="9">
        <f>IF($A3892="","",VALUE($A3892&amp;"")*12+VALUE($B3892&amp;""))</f>
        <v/>
      </c>
      <c r="N3892" s="64">
        <f>IF($A3892="","",IFERROR(INDEX(부서매핑!$C$5:$C$504,MATCH($G3892&amp;"",부서매핑!$A$5:$A$504,0)),"미매핑"))</f>
        <v/>
      </c>
      <c r="O3892" s="9">
        <f>IF($A3892="","",N3892&amp;"|"&amp;$F3892)</f>
        <v/>
      </c>
      <c r="P3892" s="94">
        <f>IF($A3892="",0,$H3892*설정!$C$23)</f>
        <v/>
      </c>
      <c r="Q3892" s="64">
        <f>IF($A3892="","",IF(O3892&lt;&gt;원인분석!$C$9,"",IF(AND(M3892&gt;=원인분석!$C$10,M3892&lt;=원인분석!$C$11),"당기",IF(AND(M3892&gt;=원인분석!$C$12,M3892&lt;=원인분석!$C$13),"비교",""))))</f>
        <v/>
      </c>
      <c r="R3892" s="9">
        <f>IF(Q3892="","",$K3892&amp;"")</f>
        <v/>
      </c>
      <c r="S3892" s="9">
        <f>IF(Q3892="","",IF(MATCH(R3892,$R$5:$R$100000,0)=ROW()-4,ROW(),""))</f>
        <v/>
      </c>
      <c r="T3892" s="9">
        <f>IF(Q3892="당기",ABS(P3892)+ROW()/1000000000,"")</f>
        <v/>
      </c>
      <c r="U3892" s="9">
        <f>IF(Q3892="비교",ABS(P3892)+ROW()/1000000000,"")</f>
        <v/>
      </c>
      <c r="V3892" s="64">
        <f>IF($A3892="","",IF(COUNTIF(변동분석!$E$7:$E$506,O3892)&gt;0,"Y","N"))</f>
        <v/>
      </c>
      <c r="W3892" s="64">
        <f>IF($A3892="","",IFERROR(INDEX(계정매핑!$D$5:$D$504,MATCH($F3892&amp;"",계정매핑!$A$5:$A$504,0)),"미매핑"))</f>
        <v/>
      </c>
      <c r="X3892" s="9">
        <f>IF($A3892="","",$F3892&amp;"")</f>
        <v/>
      </c>
      <c r="Y3892" s="94">
        <f>IF($A3892="",0,IF(AE3892="직접",IF(AF3892="비귀속",$P3892,0),$P3892*(1-AG3892)*IFERROR(INDEX(계정대체기준!$F$20:$F$49,MATCH($N3892,계정대체기준!$A$20:$A$49,0)),1)))</f>
        <v/>
      </c>
      <c r="Z3892" s="94">
        <f>IF($A3892="",0,IF(AE3892="직접",IF(AF3892="신계약비",$P3892,0),$P3892*(1-AG3892)*IFERROR(INDEX(계정대체기준!$C$20:$C$49,MATCH($N3892,계정대체기준!$A$20:$A$49,0)),0)))</f>
        <v/>
      </c>
      <c r="AA3892" s="94">
        <f>IF($A3892="",0,IF(AE3892="직접",IF(OR(AF3892="유지비",AF3892="손해조사비"),$P3892,0),$P3892*(1-AG3892)*IFERROR(INDEX(계정대체기준!$D$20:$D$49,MATCH($N3892,계정대체기준!$A$20:$A$49,0)),0)))</f>
        <v/>
      </c>
      <c r="AB3892" s="94">
        <f>IF($A3892="",0,IF(AE3892="직접",IF(AF3892="수금비",$P3892,0),$P3892*(1-AG3892)*IFERROR(INDEX(계정대체기준!$E$20:$E$49,MATCH($N3892,계정대체기준!$A$20:$A$49,0)),0)))</f>
        <v/>
      </c>
      <c r="AC3892" s="9">
        <f>IF(AND($A3892&lt;&gt;"",M3892=설정!$C$20,Z3892&gt;0),Z3892+ROW()/1000000000,"")</f>
        <v/>
      </c>
      <c r="AD3892" s="94">
        <f>IF($A3892="",0,$P3892*AG3892)</f>
        <v/>
      </c>
      <c r="AE3892" s="64">
        <f>IF($A3892="","",IFERROR(INDEX(계정매핑!$E$5:$E$504,MATCH($F3892&amp;"",계정매핑!$A$5:$A$504,0))&amp;"","공통비"))</f>
        <v/>
      </c>
      <c r="AF3892" s="64">
        <f>IF($A3892="","",IF(AE3892="직접",IFERROR(INDEX(계정매핑!$F$5:$F$504,MATCH($F3892&amp;"",계정매핑!$A$5:$A$504,0))&amp;"","비귀속"),""))</f>
        <v/>
      </c>
      <c r="AG3892" s="96">
        <f>IF($A3892="",0,IF(AND(AE3892&lt;&gt;"직접",IFERROR(INDEX(계정매핑!$G$5:$G$504,MATCH($F3892&amp;"",계정매핑!$A$5:$A$504,0))&amp;"","")="유지비",COUNTIF(계정대체기준!$A$6:$A$15,$N3892)&gt;0),IFERROR(INDEX(계정대체기준!$E$6:$E$15,MATCH(VALUE($A3892&amp;""),계정대체기준!$D$6:$D$15,0)),0),0))</f>
        <v/>
      </c>
      <c r="AH3892" s="64">
        <f>IF($A3892="","",IF(AD3892=0,"",IF(OR(COUNTIF(계정대체기준!$A$77:$A$86,$N3892)&gt;0,ISNUMBER(MATCH($X3892,계정대체기준!$D$77:$D$86,0)),ISNUMBER(MATCH($F3892,계정대체기준!$D$77:$D$86,0))),"Y","N")))</f>
        <v/>
      </c>
    </row>
    <row r="3893">
      <c r="A3893" s="92" t="n">
        <v>2026</v>
      </c>
      <c r="B3893" s="92" t="n">
        <v>6</v>
      </c>
      <c r="C3893" s="92" t="inlineStr">
        <is>
          <t>5100001171</t>
        </is>
      </c>
      <c r="D3893" s="95" t="n">
        <v>46178</v>
      </c>
      <c r="E3893" s="92" t="inlineStr">
        <is>
          <t>KR</t>
        </is>
      </c>
      <c r="F3893" s="92" t="n">
        <v>62102000</v>
      </c>
      <c r="G3893" s="92" t="n">
        <v>1801</v>
      </c>
      <c r="H3893" s="93" t="n">
        <v>27000</v>
      </c>
      <c r="I3893" s="92" t="inlineStr">
        <is>
          <t>6월 해외출장 - N호텔</t>
        </is>
      </c>
      <c r="J3893" s="92" t="inlineStr">
        <is>
          <t>V10009</t>
        </is>
      </c>
      <c r="K3893" s="92" t="inlineStr">
        <is>
          <t>N호텔</t>
        </is>
      </c>
      <c r="M3893" s="9">
        <f>IF($A3893="","",VALUE($A3893&amp;"")*12+VALUE($B3893&amp;""))</f>
        <v/>
      </c>
      <c r="N3893" s="64">
        <f>IF($A3893="","",IFERROR(INDEX(부서매핑!$C$5:$C$504,MATCH($G3893&amp;"",부서매핑!$A$5:$A$504,0)),"미매핑"))</f>
        <v/>
      </c>
      <c r="O3893" s="9">
        <f>IF($A3893="","",N3893&amp;"|"&amp;$F3893)</f>
        <v/>
      </c>
      <c r="P3893" s="94">
        <f>IF($A3893="",0,$H3893*설정!$C$23)</f>
        <v/>
      </c>
      <c r="Q3893" s="64">
        <f>IF($A3893="","",IF(O3893&lt;&gt;원인분석!$C$9,"",IF(AND(M3893&gt;=원인분석!$C$10,M3893&lt;=원인분석!$C$11),"당기",IF(AND(M3893&gt;=원인분석!$C$12,M3893&lt;=원인분석!$C$13),"비교",""))))</f>
        <v/>
      </c>
      <c r="R3893" s="9">
        <f>IF(Q3893="","",$K3893&amp;"")</f>
        <v/>
      </c>
      <c r="S3893" s="9">
        <f>IF(Q3893="","",IF(MATCH(R3893,$R$5:$R$100000,0)=ROW()-4,ROW(),""))</f>
        <v/>
      </c>
      <c r="T3893" s="9">
        <f>IF(Q3893="당기",ABS(P3893)+ROW()/1000000000,"")</f>
        <v/>
      </c>
      <c r="U3893" s="9">
        <f>IF(Q3893="비교",ABS(P3893)+ROW()/1000000000,"")</f>
        <v/>
      </c>
      <c r="V3893" s="64">
        <f>IF($A3893="","",IF(COUNTIF(변동분석!$E$7:$E$506,O3893)&gt;0,"Y","N"))</f>
        <v/>
      </c>
      <c r="W3893" s="64">
        <f>IF($A3893="","",IFERROR(INDEX(계정매핑!$D$5:$D$504,MATCH($F3893&amp;"",계정매핑!$A$5:$A$504,0)),"미매핑"))</f>
        <v/>
      </c>
      <c r="X3893" s="9">
        <f>IF($A3893="","",$F3893&amp;"")</f>
        <v/>
      </c>
      <c r="Y3893" s="94">
        <f>IF($A3893="",0,IF(AE3893="직접",IF(AF3893="비귀속",$P3893,0),$P3893*(1-AG3893)*IFERROR(INDEX(계정대체기준!$F$20:$F$49,MATCH($N3893,계정대체기준!$A$20:$A$49,0)),1)))</f>
        <v/>
      </c>
      <c r="Z3893" s="94">
        <f>IF($A3893="",0,IF(AE3893="직접",IF(AF3893="신계약비",$P3893,0),$P3893*(1-AG3893)*IFERROR(INDEX(계정대체기준!$C$20:$C$49,MATCH($N3893,계정대체기준!$A$20:$A$49,0)),0)))</f>
        <v/>
      </c>
      <c r="AA3893" s="94">
        <f>IF($A3893="",0,IF(AE3893="직접",IF(OR(AF3893="유지비",AF3893="손해조사비"),$P3893,0),$P3893*(1-AG3893)*IFERROR(INDEX(계정대체기준!$D$20:$D$49,MATCH($N3893,계정대체기준!$A$20:$A$49,0)),0)))</f>
        <v/>
      </c>
      <c r="AB3893" s="94">
        <f>IF($A3893="",0,IF(AE3893="직접",IF(AF3893="수금비",$P3893,0),$P3893*(1-AG3893)*IFERROR(INDEX(계정대체기준!$E$20:$E$49,MATCH($N3893,계정대체기준!$A$20:$A$49,0)),0)))</f>
        <v/>
      </c>
      <c r="AC3893" s="9">
        <f>IF(AND($A3893&lt;&gt;"",M3893=설정!$C$20,Z3893&gt;0),Z3893+ROW()/1000000000,"")</f>
        <v/>
      </c>
      <c r="AD3893" s="94">
        <f>IF($A3893="",0,$P3893*AG3893)</f>
        <v/>
      </c>
      <c r="AE3893" s="64">
        <f>IF($A3893="","",IFERROR(INDEX(계정매핑!$E$5:$E$504,MATCH($F3893&amp;"",계정매핑!$A$5:$A$504,0))&amp;"","공통비"))</f>
        <v/>
      </c>
      <c r="AF3893" s="64">
        <f>IF($A3893="","",IF(AE3893="직접",IFERROR(INDEX(계정매핑!$F$5:$F$504,MATCH($F3893&amp;"",계정매핑!$A$5:$A$504,0))&amp;"","비귀속"),""))</f>
        <v/>
      </c>
      <c r="AG3893" s="96">
        <f>IF($A3893="",0,IF(AND(AE3893&lt;&gt;"직접",IFERROR(INDEX(계정매핑!$G$5:$G$504,MATCH($F3893&amp;"",계정매핑!$A$5:$A$504,0))&amp;"","")="유지비",COUNTIF(계정대체기준!$A$6:$A$15,$N3893)&gt;0),IFERROR(INDEX(계정대체기준!$E$6:$E$15,MATCH(VALUE($A3893&amp;""),계정대체기준!$D$6:$D$15,0)),0),0))</f>
        <v/>
      </c>
      <c r="AH3893" s="64">
        <f>IF($A3893="","",IF(AD3893=0,"",IF(OR(COUNTIF(계정대체기준!$A$77:$A$86,$N3893)&gt;0,ISNUMBER(MATCH($X3893,계정대체기준!$D$77:$D$86,0)),ISNUMBER(MATCH($F3893,계정대체기준!$D$77:$D$86,0))),"Y","N")))</f>
        <v/>
      </c>
    </row>
    <row r="3894">
      <c r="A3894" s="92" t="n">
        <v>2026</v>
      </c>
      <c r="B3894" s="92" t="n">
        <v>6</v>
      </c>
      <c r="C3894" s="92" t="inlineStr">
        <is>
          <t>5100001172</t>
        </is>
      </c>
      <c r="D3894" s="95" t="n">
        <v>46178</v>
      </c>
      <c r="E3894" s="92" t="inlineStr">
        <is>
          <t>KR</t>
        </is>
      </c>
      <c r="F3894" s="92" t="n">
        <v>62201000</v>
      </c>
      <c r="G3894" s="92" t="n">
        <v>1951</v>
      </c>
      <c r="H3894" s="93" t="n">
        <v>232000</v>
      </c>
      <c r="I3894" s="92" t="inlineStr">
        <is>
          <t>6월 통신요금 - P통신</t>
        </is>
      </c>
      <c r="J3894" s="92" t="inlineStr">
        <is>
          <t>V10014</t>
        </is>
      </c>
      <c r="K3894" s="92" t="inlineStr">
        <is>
          <t>P통신</t>
        </is>
      </c>
      <c r="M3894" s="9">
        <f>IF($A3894="","",VALUE($A3894&amp;"")*12+VALUE($B3894&amp;""))</f>
        <v/>
      </c>
      <c r="N3894" s="64">
        <f>IF($A3894="","",IFERROR(INDEX(부서매핑!$C$5:$C$504,MATCH($G3894&amp;"",부서매핑!$A$5:$A$504,0)),"미매핑"))</f>
        <v/>
      </c>
      <c r="O3894" s="9">
        <f>IF($A3894="","",N3894&amp;"|"&amp;$F3894)</f>
        <v/>
      </c>
      <c r="P3894" s="94">
        <f>IF($A3894="",0,$H3894*설정!$C$23)</f>
        <v/>
      </c>
      <c r="Q3894" s="64">
        <f>IF($A3894="","",IF(O3894&lt;&gt;원인분석!$C$9,"",IF(AND(M3894&gt;=원인분석!$C$10,M3894&lt;=원인분석!$C$11),"당기",IF(AND(M3894&gt;=원인분석!$C$12,M3894&lt;=원인분석!$C$13),"비교",""))))</f>
        <v/>
      </c>
      <c r="R3894" s="9">
        <f>IF(Q3894="","",$K3894&amp;"")</f>
        <v/>
      </c>
      <c r="S3894" s="9">
        <f>IF(Q3894="","",IF(MATCH(R3894,$R$5:$R$100000,0)=ROW()-4,ROW(),""))</f>
        <v/>
      </c>
      <c r="T3894" s="9">
        <f>IF(Q3894="당기",ABS(P3894)+ROW()/1000000000,"")</f>
        <v/>
      </c>
      <c r="U3894" s="9">
        <f>IF(Q3894="비교",ABS(P3894)+ROW()/1000000000,"")</f>
        <v/>
      </c>
      <c r="V3894" s="64">
        <f>IF($A3894="","",IF(COUNTIF(변동분석!$E$7:$E$506,O3894)&gt;0,"Y","N"))</f>
        <v/>
      </c>
      <c r="W3894" s="64">
        <f>IF($A3894="","",IFERROR(INDEX(계정매핑!$D$5:$D$504,MATCH($F3894&amp;"",계정매핑!$A$5:$A$504,0)),"미매핑"))</f>
        <v/>
      </c>
      <c r="X3894" s="9">
        <f>IF($A3894="","",$F3894&amp;"")</f>
        <v/>
      </c>
      <c r="Y3894" s="94">
        <f>IF($A3894="",0,IF(AE3894="직접",IF(AF3894="비귀속",$P3894,0),$P3894*(1-AG3894)*IFERROR(INDEX(계정대체기준!$F$20:$F$49,MATCH($N3894,계정대체기준!$A$20:$A$49,0)),1)))</f>
        <v/>
      </c>
      <c r="Z3894" s="94">
        <f>IF($A3894="",0,IF(AE3894="직접",IF(AF3894="신계약비",$P3894,0),$P3894*(1-AG3894)*IFERROR(INDEX(계정대체기준!$C$20:$C$49,MATCH($N3894,계정대체기준!$A$20:$A$49,0)),0)))</f>
        <v/>
      </c>
      <c r="AA3894" s="94">
        <f>IF($A3894="",0,IF(AE3894="직접",IF(OR(AF3894="유지비",AF3894="손해조사비"),$P3894,0),$P3894*(1-AG3894)*IFERROR(INDEX(계정대체기준!$D$20:$D$49,MATCH($N3894,계정대체기준!$A$20:$A$49,0)),0)))</f>
        <v/>
      </c>
      <c r="AB3894" s="94">
        <f>IF($A3894="",0,IF(AE3894="직접",IF(AF3894="수금비",$P3894,0),$P3894*(1-AG3894)*IFERROR(INDEX(계정대체기준!$E$20:$E$49,MATCH($N3894,계정대체기준!$A$20:$A$49,0)),0)))</f>
        <v/>
      </c>
      <c r="AC3894" s="9">
        <f>IF(AND($A3894&lt;&gt;"",M3894=설정!$C$20,Z3894&gt;0),Z3894+ROW()/1000000000,"")</f>
        <v/>
      </c>
      <c r="AD3894" s="94">
        <f>IF($A3894="",0,$P3894*AG3894)</f>
        <v/>
      </c>
      <c r="AE3894" s="64">
        <f>IF($A3894="","",IFERROR(INDEX(계정매핑!$E$5:$E$504,MATCH($F3894&amp;"",계정매핑!$A$5:$A$504,0))&amp;"","공통비"))</f>
        <v/>
      </c>
      <c r="AF3894" s="64">
        <f>IF($A3894="","",IF(AE3894="직접",IFERROR(INDEX(계정매핑!$F$5:$F$504,MATCH($F3894&amp;"",계정매핑!$A$5:$A$504,0))&amp;"","비귀속"),""))</f>
        <v/>
      </c>
      <c r="AG3894" s="96">
        <f>IF($A3894="",0,IF(AND(AE3894&lt;&gt;"직접",IFERROR(INDEX(계정매핑!$G$5:$G$504,MATCH($F3894&amp;"",계정매핑!$A$5:$A$504,0))&amp;"","")="유지비",COUNTIF(계정대체기준!$A$6:$A$15,$N3894)&gt;0),IFERROR(INDEX(계정대체기준!$E$6:$E$15,MATCH(VALUE($A3894&amp;""),계정대체기준!$D$6:$D$15,0)),0),0))</f>
        <v/>
      </c>
      <c r="AH3894" s="64">
        <f>IF($A3894="","",IF(AD3894=0,"",IF(OR(COUNTIF(계정대체기준!$A$77:$A$86,$N3894)&gt;0,ISNUMBER(MATCH($X3894,계정대체기준!$D$77:$D$86,0)),ISNUMBER(MATCH($F3894,계정대체기준!$D$77:$D$86,0))),"Y","N")))</f>
        <v/>
      </c>
    </row>
    <row r="3895">
      <c r="A3895" s="92" t="n">
        <v>2026</v>
      </c>
      <c r="B3895" s="92" t="n">
        <v>6</v>
      </c>
      <c r="C3895" s="92" t="inlineStr">
        <is>
          <t>5100001173</t>
        </is>
      </c>
      <c r="D3895" s="95" t="n">
        <v>46178</v>
      </c>
      <c r="E3895" s="92" t="inlineStr">
        <is>
          <t>KR</t>
        </is>
      </c>
      <c r="F3895" s="92" t="n">
        <v>62301000</v>
      </c>
      <c r="G3895" s="92" t="n">
        <v>1101</v>
      </c>
      <c r="H3895" s="93" t="n">
        <v>200000</v>
      </c>
      <c r="I3895" s="92" t="inlineStr">
        <is>
          <t>6월 소모품 구입 - Q오피스</t>
        </is>
      </c>
      <c r="J3895" s="92" t="inlineStr">
        <is>
          <t>V10003</t>
        </is>
      </c>
      <c r="K3895" s="92" t="inlineStr">
        <is>
          <t>Q오피스</t>
        </is>
      </c>
      <c r="M3895" s="9">
        <f>IF($A3895="","",VALUE($A3895&amp;"")*12+VALUE($B3895&amp;""))</f>
        <v/>
      </c>
      <c r="N3895" s="64">
        <f>IF($A3895="","",IFERROR(INDEX(부서매핑!$C$5:$C$504,MATCH($G3895&amp;"",부서매핑!$A$5:$A$504,0)),"미매핑"))</f>
        <v/>
      </c>
      <c r="O3895" s="9">
        <f>IF($A3895="","",N3895&amp;"|"&amp;$F3895)</f>
        <v/>
      </c>
      <c r="P3895" s="94">
        <f>IF($A3895="",0,$H3895*설정!$C$23)</f>
        <v/>
      </c>
      <c r="Q3895" s="64">
        <f>IF($A3895="","",IF(O3895&lt;&gt;원인분석!$C$9,"",IF(AND(M3895&gt;=원인분석!$C$10,M3895&lt;=원인분석!$C$11),"당기",IF(AND(M3895&gt;=원인분석!$C$12,M3895&lt;=원인분석!$C$13),"비교",""))))</f>
        <v/>
      </c>
      <c r="R3895" s="9">
        <f>IF(Q3895="","",$K3895&amp;"")</f>
        <v/>
      </c>
      <c r="S3895" s="9">
        <f>IF(Q3895="","",IF(MATCH(R3895,$R$5:$R$100000,0)=ROW()-4,ROW(),""))</f>
        <v/>
      </c>
      <c r="T3895" s="9">
        <f>IF(Q3895="당기",ABS(P3895)+ROW()/1000000000,"")</f>
        <v/>
      </c>
      <c r="U3895" s="9">
        <f>IF(Q3895="비교",ABS(P3895)+ROW()/1000000000,"")</f>
        <v/>
      </c>
      <c r="V3895" s="64">
        <f>IF($A3895="","",IF(COUNTIF(변동분석!$E$7:$E$506,O3895)&gt;0,"Y","N"))</f>
        <v/>
      </c>
      <c r="W3895" s="64">
        <f>IF($A3895="","",IFERROR(INDEX(계정매핑!$D$5:$D$504,MATCH($F3895&amp;"",계정매핑!$A$5:$A$504,0)),"미매핑"))</f>
        <v/>
      </c>
      <c r="X3895" s="9">
        <f>IF($A3895="","",$F3895&amp;"")</f>
        <v/>
      </c>
      <c r="Y3895" s="94">
        <f>IF($A3895="",0,IF(AE3895="직접",IF(AF3895="비귀속",$P3895,0),$P3895*(1-AG3895)*IFERROR(INDEX(계정대체기준!$F$20:$F$49,MATCH($N3895,계정대체기준!$A$20:$A$49,0)),1)))</f>
        <v/>
      </c>
      <c r="Z3895" s="94">
        <f>IF($A3895="",0,IF(AE3895="직접",IF(AF3895="신계약비",$P3895,0),$P3895*(1-AG3895)*IFERROR(INDEX(계정대체기준!$C$20:$C$49,MATCH($N3895,계정대체기준!$A$20:$A$49,0)),0)))</f>
        <v/>
      </c>
      <c r="AA3895" s="94">
        <f>IF($A3895="",0,IF(AE3895="직접",IF(OR(AF3895="유지비",AF3895="손해조사비"),$P3895,0),$P3895*(1-AG3895)*IFERROR(INDEX(계정대체기준!$D$20:$D$49,MATCH($N3895,계정대체기준!$A$20:$A$49,0)),0)))</f>
        <v/>
      </c>
      <c r="AB3895" s="94">
        <f>IF($A3895="",0,IF(AE3895="직접",IF(AF3895="수금비",$P3895,0),$P3895*(1-AG3895)*IFERROR(INDEX(계정대체기준!$E$20:$E$49,MATCH($N3895,계정대체기준!$A$20:$A$49,0)),0)))</f>
        <v/>
      </c>
      <c r="AC3895" s="9">
        <f>IF(AND($A3895&lt;&gt;"",M3895=설정!$C$20,Z3895&gt;0),Z3895+ROW()/1000000000,"")</f>
        <v/>
      </c>
      <c r="AD3895" s="94">
        <f>IF($A3895="",0,$P3895*AG3895)</f>
        <v/>
      </c>
      <c r="AE3895" s="64">
        <f>IF($A3895="","",IFERROR(INDEX(계정매핑!$E$5:$E$504,MATCH($F3895&amp;"",계정매핑!$A$5:$A$504,0))&amp;"","공통비"))</f>
        <v/>
      </c>
      <c r="AF3895" s="64">
        <f>IF($A3895="","",IF(AE3895="직접",IFERROR(INDEX(계정매핑!$F$5:$F$504,MATCH($F3895&amp;"",계정매핑!$A$5:$A$504,0))&amp;"","비귀속"),""))</f>
        <v/>
      </c>
      <c r="AG3895" s="96">
        <f>IF($A3895="",0,IF(AND(AE3895&lt;&gt;"직접",IFERROR(INDEX(계정매핑!$G$5:$G$504,MATCH($F3895&amp;"",계정매핑!$A$5:$A$504,0))&amp;"","")="유지비",COUNTIF(계정대체기준!$A$6:$A$15,$N3895)&gt;0),IFERROR(INDEX(계정대체기준!$E$6:$E$15,MATCH(VALUE($A3895&amp;""),계정대체기준!$D$6:$D$15,0)),0),0))</f>
        <v/>
      </c>
      <c r="AH3895" s="64">
        <f>IF($A3895="","",IF(AD3895=0,"",IF(OR(COUNTIF(계정대체기준!$A$77:$A$86,$N3895)&gt;0,ISNUMBER(MATCH($X3895,계정대체기준!$D$77:$D$86,0)),ISNUMBER(MATCH($F3895,계정대체기준!$D$77:$D$86,0))),"Y","N")))</f>
        <v/>
      </c>
    </row>
    <row r="3896">
      <c r="A3896" s="92" t="n">
        <v>2026</v>
      </c>
      <c r="B3896" s="92" t="n">
        <v>6</v>
      </c>
      <c r="C3896" s="92" t="inlineStr">
        <is>
          <t>5100001174</t>
        </is>
      </c>
      <c r="D3896" s="95" t="n">
        <v>46178</v>
      </c>
      <c r="E3896" s="92" t="inlineStr">
        <is>
          <t>KR</t>
        </is>
      </c>
      <c r="F3896" s="92" t="n">
        <v>62501000</v>
      </c>
      <c r="G3896" s="92" t="n">
        <v>1401</v>
      </c>
      <c r="H3896" s="93" t="n">
        <v>143000</v>
      </c>
      <c r="I3896" s="92" t="inlineStr">
        <is>
          <t>6월 회의 다과 - (법인카드)</t>
        </is>
      </c>
      <c r="J3896" s="92" t="inlineStr">
        <is>
          <t>V10010</t>
        </is>
      </c>
      <c r="K3896" s="92" t="inlineStr">
        <is>
          <t>(법인카드)</t>
        </is>
      </c>
      <c r="M3896" s="9">
        <f>IF($A3896="","",VALUE($A3896&amp;"")*12+VALUE($B3896&amp;""))</f>
        <v/>
      </c>
      <c r="N3896" s="64">
        <f>IF($A3896="","",IFERROR(INDEX(부서매핑!$C$5:$C$504,MATCH($G3896&amp;"",부서매핑!$A$5:$A$504,0)),"미매핑"))</f>
        <v/>
      </c>
      <c r="O3896" s="9">
        <f>IF($A3896="","",N3896&amp;"|"&amp;$F3896)</f>
        <v/>
      </c>
      <c r="P3896" s="94">
        <f>IF($A3896="",0,$H3896*설정!$C$23)</f>
        <v/>
      </c>
      <c r="Q3896" s="64">
        <f>IF($A3896="","",IF(O3896&lt;&gt;원인분석!$C$9,"",IF(AND(M3896&gt;=원인분석!$C$10,M3896&lt;=원인분석!$C$11),"당기",IF(AND(M3896&gt;=원인분석!$C$12,M3896&lt;=원인분석!$C$13),"비교",""))))</f>
        <v/>
      </c>
      <c r="R3896" s="9">
        <f>IF(Q3896="","",$K3896&amp;"")</f>
        <v/>
      </c>
      <c r="S3896" s="9">
        <f>IF(Q3896="","",IF(MATCH(R3896,$R$5:$R$100000,0)=ROW()-4,ROW(),""))</f>
        <v/>
      </c>
      <c r="T3896" s="9">
        <f>IF(Q3896="당기",ABS(P3896)+ROW()/1000000000,"")</f>
        <v/>
      </c>
      <c r="U3896" s="9">
        <f>IF(Q3896="비교",ABS(P3896)+ROW()/1000000000,"")</f>
        <v/>
      </c>
      <c r="V3896" s="64">
        <f>IF($A3896="","",IF(COUNTIF(변동분석!$E$7:$E$506,O3896)&gt;0,"Y","N"))</f>
        <v/>
      </c>
      <c r="W3896" s="64">
        <f>IF($A3896="","",IFERROR(INDEX(계정매핑!$D$5:$D$504,MATCH($F3896&amp;"",계정매핑!$A$5:$A$504,0)),"미매핑"))</f>
        <v/>
      </c>
      <c r="X3896" s="9">
        <f>IF($A3896="","",$F3896&amp;"")</f>
        <v/>
      </c>
      <c r="Y3896" s="94">
        <f>IF($A3896="",0,IF(AE3896="직접",IF(AF3896="비귀속",$P3896,0),$P3896*(1-AG3896)*IFERROR(INDEX(계정대체기준!$F$20:$F$49,MATCH($N3896,계정대체기준!$A$20:$A$49,0)),1)))</f>
        <v/>
      </c>
      <c r="Z3896" s="94">
        <f>IF($A3896="",0,IF(AE3896="직접",IF(AF3896="신계약비",$P3896,0),$P3896*(1-AG3896)*IFERROR(INDEX(계정대체기준!$C$20:$C$49,MATCH($N3896,계정대체기준!$A$20:$A$49,0)),0)))</f>
        <v/>
      </c>
      <c r="AA3896" s="94">
        <f>IF($A3896="",0,IF(AE3896="직접",IF(OR(AF3896="유지비",AF3896="손해조사비"),$P3896,0),$P3896*(1-AG3896)*IFERROR(INDEX(계정대체기준!$D$20:$D$49,MATCH($N3896,계정대체기준!$A$20:$A$49,0)),0)))</f>
        <v/>
      </c>
      <c r="AB3896" s="94">
        <f>IF($A3896="",0,IF(AE3896="직접",IF(AF3896="수금비",$P3896,0),$P3896*(1-AG3896)*IFERROR(INDEX(계정대체기준!$E$20:$E$49,MATCH($N3896,계정대체기준!$A$20:$A$49,0)),0)))</f>
        <v/>
      </c>
      <c r="AC3896" s="9">
        <f>IF(AND($A3896&lt;&gt;"",M3896=설정!$C$20,Z3896&gt;0),Z3896+ROW()/1000000000,"")</f>
        <v/>
      </c>
      <c r="AD3896" s="94">
        <f>IF($A3896="",0,$P3896*AG3896)</f>
        <v/>
      </c>
      <c r="AE3896" s="64">
        <f>IF($A3896="","",IFERROR(INDEX(계정매핑!$E$5:$E$504,MATCH($F3896&amp;"",계정매핑!$A$5:$A$504,0))&amp;"","공통비"))</f>
        <v/>
      </c>
      <c r="AF3896" s="64">
        <f>IF($A3896="","",IF(AE3896="직접",IFERROR(INDEX(계정매핑!$F$5:$F$504,MATCH($F3896&amp;"",계정매핑!$A$5:$A$504,0))&amp;"","비귀속"),""))</f>
        <v/>
      </c>
      <c r="AG3896" s="96">
        <f>IF($A3896="",0,IF(AND(AE3896&lt;&gt;"직접",IFERROR(INDEX(계정매핑!$G$5:$G$504,MATCH($F3896&amp;"",계정매핑!$A$5:$A$504,0))&amp;"","")="유지비",COUNTIF(계정대체기준!$A$6:$A$15,$N3896)&gt;0),IFERROR(INDEX(계정대체기준!$E$6:$E$15,MATCH(VALUE($A3896&amp;""),계정대체기준!$D$6:$D$15,0)),0),0))</f>
        <v/>
      </c>
      <c r="AH3896" s="64">
        <f>IF($A3896="","",IF(AD3896=0,"",IF(OR(COUNTIF(계정대체기준!$A$77:$A$86,$N3896)&gt;0,ISNUMBER(MATCH($X3896,계정대체기준!$D$77:$D$86,0)),ISNUMBER(MATCH($F3896,계정대체기준!$D$77:$D$86,0))),"Y","N")))</f>
        <v/>
      </c>
    </row>
    <row r="3897">
      <c r="A3897" s="92" t="n">
        <v>2026</v>
      </c>
      <c r="B3897" s="92" t="n">
        <v>6</v>
      </c>
      <c r="C3897" s="92" t="inlineStr">
        <is>
          <t>5100001175</t>
        </is>
      </c>
      <c r="D3897" s="95" t="n">
        <v>46178</v>
      </c>
      <c r="E3897" s="92" t="inlineStr">
        <is>
          <t>KR</t>
        </is>
      </c>
      <c r="F3897" s="92" t="n">
        <v>62501000</v>
      </c>
      <c r="G3897" s="92" t="n">
        <v>1701</v>
      </c>
      <c r="H3897" s="93" t="n">
        <v>85000</v>
      </c>
      <c r="I3897" s="92" t="inlineStr">
        <is>
          <t>6월 회의 다과 - (법인카드)</t>
        </is>
      </c>
      <c r="J3897" s="92" t="inlineStr">
        <is>
          <t>V10010</t>
        </is>
      </c>
      <c r="K3897" s="92" t="inlineStr">
        <is>
          <t>(법인카드)</t>
        </is>
      </c>
      <c r="M3897" s="9">
        <f>IF($A3897="","",VALUE($A3897&amp;"")*12+VALUE($B3897&amp;""))</f>
        <v/>
      </c>
      <c r="N3897" s="64">
        <f>IF($A3897="","",IFERROR(INDEX(부서매핑!$C$5:$C$504,MATCH($G3897&amp;"",부서매핑!$A$5:$A$504,0)),"미매핑"))</f>
        <v/>
      </c>
      <c r="O3897" s="9">
        <f>IF($A3897="","",N3897&amp;"|"&amp;$F3897)</f>
        <v/>
      </c>
      <c r="P3897" s="94">
        <f>IF($A3897="",0,$H3897*설정!$C$23)</f>
        <v/>
      </c>
      <c r="Q3897" s="64">
        <f>IF($A3897="","",IF(O3897&lt;&gt;원인분석!$C$9,"",IF(AND(M3897&gt;=원인분석!$C$10,M3897&lt;=원인분석!$C$11),"당기",IF(AND(M3897&gt;=원인분석!$C$12,M3897&lt;=원인분석!$C$13),"비교",""))))</f>
        <v/>
      </c>
      <c r="R3897" s="9">
        <f>IF(Q3897="","",$K3897&amp;"")</f>
        <v/>
      </c>
      <c r="S3897" s="9">
        <f>IF(Q3897="","",IF(MATCH(R3897,$R$5:$R$100000,0)=ROW()-4,ROW(),""))</f>
        <v/>
      </c>
      <c r="T3897" s="9">
        <f>IF(Q3897="당기",ABS(P3897)+ROW()/1000000000,"")</f>
        <v/>
      </c>
      <c r="U3897" s="9">
        <f>IF(Q3897="비교",ABS(P3897)+ROW()/1000000000,"")</f>
        <v/>
      </c>
      <c r="V3897" s="64">
        <f>IF($A3897="","",IF(COUNTIF(변동분석!$E$7:$E$506,O3897)&gt;0,"Y","N"))</f>
        <v/>
      </c>
      <c r="W3897" s="64">
        <f>IF($A3897="","",IFERROR(INDEX(계정매핑!$D$5:$D$504,MATCH($F3897&amp;"",계정매핑!$A$5:$A$504,0)),"미매핑"))</f>
        <v/>
      </c>
      <c r="X3897" s="9">
        <f>IF($A3897="","",$F3897&amp;"")</f>
        <v/>
      </c>
      <c r="Y3897" s="94">
        <f>IF($A3897="",0,IF(AE3897="직접",IF(AF3897="비귀속",$P3897,0),$P3897*(1-AG3897)*IFERROR(INDEX(계정대체기준!$F$20:$F$49,MATCH($N3897,계정대체기준!$A$20:$A$49,0)),1)))</f>
        <v/>
      </c>
      <c r="Z3897" s="94">
        <f>IF($A3897="",0,IF(AE3897="직접",IF(AF3897="신계약비",$P3897,0),$P3897*(1-AG3897)*IFERROR(INDEX(계정대체기준!$C$20:$C$49,MATCH($N3897,계정대체기준!$A$20:$A$49,0)),0)))</f>
        <v/>
      </c>
      <c r="AA3897" s="94">
        <f>IF($A3897="",0,IF(AE3897="직접",IF(OR(AF3897="유지비",AF3897="손해조사비"),$P3897,0),$P3897*(1-AG3897)*IFERROR(INDEX(계정대체기준!$D$20:$D$49,MATCH($N3897,계정대체기준!$A$20:$A$49,0)),0)))</f>
        <v/>
      </c>
      <c r="AB3897" s="94">
        <f>IF($A3897="",0,IF(AE3897="직접",IF(AF3897="수금비",$P3897,0),$P3897*(1-AG3897)*IFERROR(INDEX(계정대체기준!$E$20:$E$49,MATCH($N3897,계정대체기준!$A$20:$A$49,0)),0)))</f>
        <v/>
      </c>
      <c r="AC3897" s="9">
        <f>IF(AND($A3897&lt;&gt;"",M3897=설정!$C$20,Z3897&gt;0),Z3897+ROW()/1000000000,"")</f>
        <v/>
      </c>
      <c r="AD3897" s="94">
        <f>IF($A3897="",0,$P3897*AG3897)</f>
        <v/>
      </c>
      <c r="AE3897" s="64">
        <f>IF($A3897="","",IFERROR(INDEX(계정매핑!$E$5:$E$504,MATCH($F3897&amp;"",계정매핑!$A$5:$A$504,0))&amp;"","공통비"))</f>
        <v/>
      </c>
      <c r="AF3897" s="64">
        <f>IF($A3897="","",IF(AE3897="직접",IFERROR(INDEX(계정매핑!$F$5:$F$504,MATCH($F3897&amp;"",계정매핑!$A$5:$A$504,0))&amp;"","비귀속"),""))</f>
        <v/>
      </c>
      <c r="AG3897" s="96">
        <f>IF($A3897="",0,IF(AND(AE3897&lt;&gt;"직접",IFERROR(INDEX(계정매핑!$G$5:$G$504,MATCH($F3897&amp;"",계정매핑!$A$5:$A$504,0))&amp;"","")="유지비",COUNTIF(계정대체기준!$A$6:$A$15,$N3897)&gt;0),IFERROR(INDEX(계정대체기준!$E$6:$E$15,MATCH(VALUE($A3897&amp;""),계정대체기준!$D$6:$D$15,0)),0),0))</f>
        <v/>
      </c>
      <c r="AH3897" s="64">
        <f>IF($A3897="","",IF(AD3897=0,"",IF(OR(COUNTIF(계정대체기준!$A$77:$A$86,$N3897)&gt;0,ISNUMBER(MATCH($X3897,계정대체기준!$D$77:$D$86,0)),ISNUMBER(MATCH($F3897,계정대체기준!$D$77:$D$86,0))),"Y","N")))</f>
        <v/>
      </c>
    </row>
    <row r="3898">
      <c r="A3898" s="92" t="n">
        <v>2026</v>
      </c>
      <c r="B3898" s="92" t="n">
        <v>6</v>
      </c>
      <c r="C3898" s="92" t="inlineStr">
        <is>
          <t>5100001176</t>
        </is>
      </c>
      <c r="D3898" s="95" t="n">
        <v>46178</v>
      </c>
      <c r="E3898" s="92" t="inlineStr">
        <is>
          <t>KR</t>
        </is>
      </c>
      <c r="F3898" s="92" t="n">
        <v>62601000</v>
      </c>
      <c r="G3898" s="92" t="n">
        <v>1101</v>
      </c>
      <c r="H3898" s="93" t="n">
        <v>1917000</v>
      </c>
      <c r="I3898" s="92" t="inlineStr">
        <is>
          <t>6월 업무추진 - (법인카드)</t>
        </is>
      </c>
      <c r="J3898" s="92" t="inlineStr">
        <is>
          <t>V10010</t>
        </is>
      </c>
      <c r="K3898" s="92" t="inlineStr">
        <is>
          <t>(법인카드)</t>
        </is>
      </c>
      <c r="M3898" s="9">
        <f>IF($A3898="","",VALUE($A3898&amp;"")*12+VALUE($B3898&amp;""))</f>
        <v/>
      </c>
      <c r="N3898" s="64">
        <f>IF($A3898="","",IFERROR(INDEX(부서매핑!$C$5:$C$504,MATCH($G3898&amp;"",부서매핑!$A$5:$A$504,0)),"미매핑"))</f>
        <v/>
      </c>
      <c r="O3898" s="9">
        <f>IF($A3898="","",N3898&amp;"|"&amp;$F3898)</f>
        <v/>
      </c>
      <c r="P3898" s="94">
        <f>IF($A3898="",0,$H3898*설정!$C$23)</f>
        <v/>
      </c>
      <c r="Q3898" s="64">
        <f>IF($A3898="","",IF(O3898&lt;&gt;원인분석!$C$9,"",IF(AND(M3898&gt;=원인분석!$C$10,M3898&lt;=원인분석!$C$11),"당기",IF(AND(M3898&gt;=원인분석!$C$12,M3898&lt;=원인분석!$C$13),"비교",""))))</f>
        <v/>
      </c>
      <c r="R3898" s="9">
        <f>IF(Q3898="","",$K3898&amp;"")</f>
        <v/>
      </c>
      <c r="S3898" s="9">
        <f>IF(Q3898="","",IF(MATCH(R3898,$R$5:$R$100000,0)=ROW()-4,ROW(),""))</f>
        <v/>
      </c>
      <c r="T3898" s="9">
        <f>IF(Q3898="당기",ABS(P3898)+ROW()/1000000000,"")</f>
        <v/>
      </c>
      <c r="U3898" s="9">
        <f>IF(Q3898="비교",ABS(P3898)+ROW()/1000000000,"")</f>
        <v/>
      </c>
      <c r="V3898" s="64">
        <f>IF($A3898="","",IF(COUNTIF(변동분석!$E$7:$E$506,O3898)&gt;0,"Y","N"))</f>
        <v/>
      </c>
      <c r="W3898" s="64">
        <f>IF($A3898="","",IFERROR(INDEX(계정매핑!$D$5:$D$504,MATCH($F3898&amp;"",계정매핑!$A$5:$A$504,0)),"미매핑"))</f>
        <v/>
      </c>
      <c r="X3898" s="9">
        <f>IF($A3898="","",$F3898&amp;"")</f>
        <v/>
      </c>
      <c r="Y3898" s="94">
        <f>IF($A3898="",0,IF(AE3898="직접",IF(AF3898="비귀속",$P3898,0),$P3898*(1-AG3898)*IFERROR(INDEX(계정대체기준!$F$20:$F$49,MATCH($N3898,계정대체기준!$A$20:$A$49,0)),1)))</f>
        <v/>
      </c>
      <c r="Z3898" s="94">
        <f>IF($A3898="",0,IF(AE3898="직접",IF(AF3898="신계약비",$P3898,0),$P3898*(1-AG3898)*IFERROR(INDEX(계정대체기준!$C$20:$C$49,MATCH($N3898,계정대체기준!$A$20:$A$49,0)),0)))</f>
        <v/>
      </c>
      <c r="AA3898" s="94">
        <f>IF($A3898="",0,IF(AE3898="직접",IF(OR(AF3898="유지비",AF3898="손해조사비"),$P3898,0),$P3898*(1-AG3898)*IFERROR(INDEX(계정대체기준!$D$20:$D$49,MATCH($N3898,계정대체기준!$A$20:$A$49,0)),0)))</f>
        <v/>
      </c>
      <c r="AB3898" s="94">
        <f>IF($A3898="",0,IF(AE3898="직접",IF(AF3898="수금비",$P3898,0),$P3898*(1-AG3898)*IFERROR(INDEX(계정대체기준!$E$20:$E$49,MATCH($N3898,계정대체기준!$A$20:$A$49,0)),0)))</f>
        <v/>
      </c>
      <c r="AC3898" s="9">
        <f>IF(AND($A3898&lt;&gt;"",M3898=설정!$C$20,Z3898&gt;0),Z3898+ROW()/1000000000,"")</f>
        <v/>
      </c>
      <c r="AD3898" s="94">
        <f>IF($A3898="",0,$P3898*AG3898)</f>
        <v/>
      </c>
      <c r="AE3898" s="64">
        <f>IF($A3898="","",IFERROR(INDEX(계정매핑!$E$5:$E$504,MATCH($F3898&amp;"",계정매핑!$A$5:$A$504,0))&amp;"","공통비"))</f>
        <v/>
      </c>
      <c r="AF3898" s="64">
        <f>IF($A3898="","",IF(AE3898="직접",IFERROR(INDEX(계정매핑!$F$5:$F$504,MATCH($F3898&amp;"",계정매핑!$A$5:$A$504,0))&amp;"","비귀속"),""))</f>
        <v/>
      </c>
      <c r="AG3898" s="96">
        <f>IF($A3898="",0,IF(AND(AE3898&lt;&gt;"직접",IFERROR(INDEX(계정매핑!$G$5:$G$504,MATCH($F3898&amp;"",계정매핑!$A$5:$A$504,0))&amp;"","")="유지비",COUNTIF(계정대체기준!$A$6:$A$15,$N3898)&gt;0),IFERROR(INDEX(계정대체기준!$E$6:$E$15,MATCH(VALUE($A3898&amp;""),계정대체기준!$D$6:$D$15,0)),0),0))</f>
        <v/>
      </c>
      <c r="AH3898" s="64">
        <f>IF($A3898="","",IF(AD3898=0,"",IF(OR(COUNTIF(계정대체기준!$A$77:$A$86,$N3898)&gt;0,ISNUMBER(MATCH($X3898,계정대체기준!$D$77:$D$86,0)),ISNUMBER(MATCH($F3898,계정대체기준!$D$77:$D$86,0))),"Y","N")))</f>
        <v/>
      </c>
    </row>
    <row r="3899">
      <c r="A3899" s="92" t="n">
        <v>2026</v>
      </c>
      <c r="B3899" s="92" t="n">
        <v>6</v>
      </c>
      <c r="C3899" s="92" t="inlineStr">
        <is>
          <t>5100001177</t>
        </is>
      </c>
      <c r="D3899" s="95" t="n">
        <v>46178</v>
      </c>
      <c r="E3899" s="92" t="inlineStr">
        <is>
          <t>KR</t>
        </is>
      </c>
      <c r="F3899" s="92" t="n">
        <v>62802000</v>
      </c>
      <c r="G3899" s="92" t="n">
        <v>1301</v>
      </c>
      <c r="H3899" s="93" t="n">
        <v>6701000</v>
      </c>
      <c r="I3899" s="92" t="inlineStr">
        <is>
          <t>6월 위탁교육 - V아카데미</t>
        </is>
      </c>
      <c r="J3899" s="92" t="inlineStr">
        <is>
          <t>V10027</t>
        </is>
      </c>
      <c r="K3899" s="92" t="inlineStr">
        <is>
          <t>V아카데미</t>
        </is>
      </c>
      <c r="M3899" s="9">
        <f>IF($A3899="","",VALUE($A3899&amp;"")*12+VALUE($B3899&amp;""))</f>
        <v/>
      </c>
      <c r="N3899" s="64">
        <f>IF($A3899="","",IFERROR(INDEX(부서매핑!$C$5:$C$504,MATCH($G3899&amp;"",부서매핑!$A$5:$A$504,0)),"미매핑"))</f>
        <v/>
      </c>
      <c r="O3899" s="9">
        <f>IF($A3899="","",N3899&amp;"|"&amp;$F3899)</f>
        <v/>
      </c>
      <c r="P3899" s="94">
        <f>IF($A3899="",0,$H3899*설정!$C$23)</f>
        <v/>
      </c>
      <c r="Q3899" s="64">
        <f>IF($A3899="","",IF(O3899&lt;&gt;원인분석!$C$9,"",IF(AND(M3899&gt;=원인분석!$C$10,M3899&lt;=원인분석!$C$11),"당기",IF(AND(M3899&gt;=원인분석!$C$12,M3899&lt;=원인분석!$C$13),"비교",""))))</f>
        <v/>
      </c>
      <c r="R3899" s="9">
        <f>IF(Q3899="","",$K3899&amp;"")</f>
        <v/>
      </c>
      <c r="S3899" s="9">
        <f>IF(Q3899="","",IF(MATCH(R3899,$R$5:$R$100000,0)=ROW()-4,ROW(),""))</f>
        <v/>
      </c>
      <c r="T3899" s="9">
        <f>IF(Q3899="당기",ABS(P3899)+ROW()/1000000000,"")</f>
        <v/>
      </c>
      <c r="U3899" s="9">
        <f>IF(Q3899="비교",ABS(P3899)+ROW()/1000000000,"")</f>
        <v/>
      </c>
      <c r="V3899" s="64">
        <f>IF($A3899="","",IF(COUNTIF(변동분석!$E$7:$E$506,O3899)&gt;0,"Y","N"))</f>
        <v/>
      </c>
      <c r="W3899" s="64">
        <f>IF($A3899="","",IFERROR(INDEX(계정매핑!$D$5:$D$504,MATCH($F3899&amp;"",계정매핑!$A$5:$A$504,0)),"미매핑"))</f>
        <v/>
      </c>
      <c r="X3899" s="9">
        <f>IF($A3899="","",$F3899&amp;"")</f>
        <v/>
      </c>
      <c r="Y3899" s="94">
        <f>IF($A3899="",0,IF(AE3899="직접",IF(AF3899="비귀속",$P3899,0),$P3899*(1-AG3899)*IFERROR(INDEX(계정대체기준!$F$20:$F$49,MATCH($N3899,계정대체기준!$A$20:$A$49,0)),1)))</f>
        <v/>
      </c>
      <c r="Z3899" s="94">
        <f>IF($A3899="",0,IF(AE3899="직접",IF(AF3899="신계약비",$P3899,0),$P3899*(1-AG3899)*IFERROR(INDEX(계정대체기준!$C$20:$C$49,MATCH($N3899,계정대체기준!$A$20:$A$49,0)),0)))</f>
        <v/>
      </c>
      <c r="AA3899" s="94">
        <f>IF($A3899="",0,IF(AE3899="직접",IF(OR(AF3899="유지비",AF3899="손해조사비"),$P3899,0),$P3899*(1-AG3899)*IFERROR(INDEX(계정대체기준!$D$20:$D$49,MATCH($N3899,계정대체기준!$A$20:$A$49,0)),0)))</f>
        <v/>
      </c>
      <c r="AB3899" s="94">
        <f>IF($A3899="",0,IF(AE3899="직접",IF(AF3899="수금비",$P3899,0),$P3899*(1-AG3899)*IFERROR(INDEX(계정대체기준!$E$20:$E$49,MATCH($N3899,계정대체기준!$A$20:$A$49,0)),0)))</f>
        <v/>
      </c>
      <c r="AC3899" s="9">
        <f>IF(AND($A3899&lt;&gt;"",M3899=설정!$C$20,Z3899&gt;0),Z3899+ROW()/1000000000,"")</f>
        <v/>
      </c>
      <c r="AD3899" s="94">
        <f>IF($A3899="",0,$P3899*AG3899)</f>
        <v/>
      </c>
      <c r="AE3899" s="64">
        <f>IF($A3899="","",IFERROR(INDEX(계정매핑!$E$5:$E$504,MATCH($F3899&amp;"",계정매핑!$A$5:$A$504,0))&amp;"","공통비"))</f>
        <v/>
      </c>
      <c r="AF3899" s="64">
        <f>IF($A3899="","",IF(AE3899="직접",IFERROR(INDEX(계정매핑!$F$5:$F$504,MATCH($F3899&amp;"",계정매핑!$A$5:$A$504,0))&amp;"","비귀속"),""))</f>
        <v/>
      </c>
      <c r="AG3899" s="96">
        <f>IF($A3899="",0,IF(AND(AE3899&lt;&gt;"직접",IFERROR(INDEX(계정매핑!$G$5:$G$504,MATCH($F3899&amp;"",계정매핑!$A$5:$A$504,0))&amp;"","")="유지비",COUNTIF(계정대체기준!$A$6:$A$15,$N3899)&gt;0),IFERROR(INDEX(계정대체기준!$E$6:$E$15,MATCH(VALUE($A3899&amp;""),계정대체기준!$D$6:$D$15,0)),0),0))</f>
        <v/>
      </c>
      <c r="AH3899" s="64">
        <f>IF($A3899="","",IF(AD3899=0,"",IF(OR(COUNTIF(계정대체기준!$A$77:$A$86,$N3899)&gt;0,ISNUMBER(MATCH($X3899,계정대체기준!$D$77:$D$86,0)),ISNUMBER(MATCH($F3899,계정대체기준!$D$77:$D$86,0))),"Y","N")))</f>
        <v/>
      </c>
    </row>
    <row r="3900">
      <c r="A3900" s="92" t="n">
        <v>2026</v>
      </c>
      <c r="B3900" s="92" t="n">
        <v>6</v>
      </c>
      <c r="C3900" s="92" t="inlineStr">
        <is>
          <t>5100001178</t>
        </is>
      </c>
      <c r="D3900" s="95" t="n">
        <v>46178</v>
      </c>
      <c r="E3900" s="92" t="inlineStr">
        <is>
          <t>KR</t>
        </is>
      </c>
      <c r="F3900" s="92" t="n">
        <v>62901000</v>
      </c>
      <c r="G3900" s="92" t="n">
        <v>1951</v>
      </c>
      <c r="H3900" s="93" t="n">
        <v>7149000</v>
      </c>
      <c r="I3900" s="92" t="inlineStr">
        <is>
          <t>6월 자문 수수료 - K회계법인</t>
        </is>
      </c>
      <c r="J3900" s="92" t="inlineStr">
        <is>
          <t>V10011</t>
        </is>
      </c>
      <c r="K3900" s="92" t="inlineStr">
        <is>
          <t>K회계법인</t>
        </is>
      </c>
      <c r="M3900" s="9">
        <f>IF($A3900="","",VALUE($A3900&amp;"")*12+VALUE($B3900&amp;""))</f>
        <v/>
      </c>
      <c r="N3900" s="64">
        <f>IF($A3900="","",IFERROR(INDEX(부서매핑!$C$5:$C$504,MATCH($G3900&amp;"",부서매핑!$A$5:$A$504,0)),"미매핑"))</f>
        <v/>
      </c>
      <c r="O3900" s="9">
        <f>IF($A3900="","",N3900&amp;"|"&amp;$F3900)</f>
        <v/>
      </c>
      <c r="P3900" s="94">
        <f>IF($A3900="",0,$H3900*설정!$C$23)</f>
        <v/>
      </c>
      <c r="Q3900" s="64">
        <f>IF($A3900="","",IF(O3900&lt;&gt;원인분석!$C$9,"",IF(AND(M3900&gt;=원인분석!$C$10,M3900&lt;=원인분석!$C$11),"당기",IF(AND(M3900&gt;=원인분석!$C$12,M3900&lt;=원인분석!$C$13),"비교",""))))</f>
        <v/>
      </c>
      <c r="R3900" s="9">
        <f>IF(Q3900="","",$K3900&amp;"")</f>
        <v/>
      </c>
      <c r="S3900" s="9">
        <f>IF(Q3900="","",IF(MATCH(R3900,$R$5:$R$100000,0)=ROW()-4,ROW(),""))</f>
        <v/>
      </c>
      <c r="T3900" s="9">
        <f>IF(Q3900="당기",ABS(P3900)+ROW()/1000000000,"")</f>
        <v/>
      </c>
      <c r="U3900" s="9">
        <f>IF(Q3900="비교",ABS(P3900)+ROW()/1000000000,"")</f>
        <v/>
      </c>
      <c r="V3900" s="64">
        <f>IF($A3900="","",IF(COUNTIF(변동분석!$E$7:$E$506,O3900)&gt;0,"Y","N"))</f>
        <v/>
      </c>
      <c r="W3900" s="64">
        <f>IF($A3900="","",IFERROR(INDEX(계정매핑!$D$5:$D$504,MATCH($F3900&amp;"",계정매핑!$A$5:$A$504,0)),"미매핑"))</f>
        <v/>
      </c>
      <c r="X3900" s="9">
        <f>IF($A3900="","",$F3900&amp;"")</f>
        <v/>
      </c>
      <c r="Y3900" s="94">
        <f>IF($A3900="",0,IF(AE3900="직접",IF(AF3900="비귀속",$P3900,0),$P3900*(1-AG3900)*IFERROR(INDEX(계정대체기준!$F$20:$F$49,MATCH($N3900,계정대체기준!$A$20:$A$49,0)),1)))</f>
        <v/>
      </c>
      <c r="Z3900" s="94">
        <f>IF($A3900="",0,IF(AE3900="직접",IF(AF3900="신계약비",$P3900,0),$P3900*(1-AG3900)*IFERROR(INDEX(계정대체기준!$C$20:$C$49,MATCH($N3900,계정대체기준!$A$20:$A$49,0)),0)))</f>
        <v/>
      </c>
      <c r="AA3900" s="94">
        <f>IF($A3900="",0,IF(AE3900="직접",IF(OR(AF3900="유지비",AF3900="손해조사비"),$P3900,0),$P3900*(1-AG3900)*IFERROR(INDEX(계정대체기준!$D$20:$D$49,MATCH($N3900,계정대체기준!$A$20:$A$49,0)),0)))</f>
        <v/>
      </c>
      <c r="AB3900" s="94">
        <f>IF($A3900="",0,IF(AE3900="직접",IF(AF3900="수금비",$P3900,0),$P3900*(1-AG3900)*IFERROR(INDEX(계정대체기준!$E$20:$E$49,MATCH($N3900,계정대체기준!$A$20:$A$49,0)),0)))</f>
        <v/>
      </c>
      <c r="AC3900" s="9">
        <f>IF(AND($A3900&lt;&gt;"",M3900=설정!$C$20,Z3900&gt;0),Z3900+ROW()/1000000000,"")</f>
        <v/>
      </c>
      <c r="AD3900" s="94">
        <f>IF($A3900="",0,$P3900*AG3900)</f>
        <v/>
      </c>
      <c r="AE3900" s="64">
        <f>IF($A3900="","",IFERROR(INDEX(계정매핑!$E$5:$E$504,MATCH($F3900&amp;"",계정매핑!$A$5:$A$504,0))&amp;"","공통비"))</f>
        <v/>
      </c>
      <c r="AF3900" s="64">
        <f>IF($A3900="","",IF(AE3900="직접",IFERROR(INDEX(계정매핑!$F$5:$F$504,MATCH($F3900&amp;"",계정매핑!$A$5:$A$504,0))&amp;"","비귀속"),""))</f>
        <v/>
      </c>
      <c r="AG3900" s="96">
        <f>IF($A3900="",0,IF(AND(AE3900&lt;&gt;"직접",IFERROR(INDEX(계정매핑!$G$5:$G$504,MATCH($F3900&amp;"",계정매핑!$A$5:$A$504,0))&amp;"","")="유지비",COUNTIF(계정대체기준!$A$6:$A$15,$N3900)&gt;0),IFERROR(INDEX(계정대체기준!$E$6:$E$15,MATCH(VALUE($A3900&amp;""),계정대체기준!$D$6:$D$15,0)),0),0))</f>
        <v/>
      </c>
      <c r="AH3900" s="64">
        <f>IF($A3900="","",IF(AD3900=0,"",IF(OR(COUNTIF(계정대체기준!$A$77:$A$86,$N3900)&gt;0,ISNUMBER(MATCH($X3900,계정대체기준!$D$77:$D$86,0)),ISNUMBER(MATCH($F3900,계정대체기준!$D$77:$D$86,0))),"Y","N")))</f>
        <v/>
      </c>
    </row>
    <row r="3901">
      <c r="A3901" s="92" t="n">
        <v>2026</v>
      </c>
      <c r="B3901" s="92" t="n">
        <v>6</v>
      </c>
      <c r="C3901" s="92" t="inlineStr">
        <is>
          <t>5100001179</t>
        </is>
      </c>
      <c r="D3901" s="95" t="n">
        <v>46178</v>
      </c>
      <c r="E3901" s="92" t="inlineStr">
        <is>
          <t>KR</t>
        </is>
      </c>
      <c r="F3901" s="92" t="n">
        <v>63502000</v>
      </c>
      <c r="G3901" s="92" t="n">
        <v>1902</v>
      </c>
      <c r="H3901" s="93" t="n">
        <v>192583000</v>
      </c>
      <c r="I3901" s="92" t="inlineStr">
        <is>
          <t>6월 유지수수료 - CC금융서비스</t>
        </is>
      </c>
      <c r="J3901" s="92" t="inlineStr">
        <is>
          <t>V10029</t>
        </is>
      </c>
      <c r="K3901" s="92" t="inlineStr">
        <is>
          <t>CC금융서비스</t>
        </is>
      </c>
      <c r="M3901" s="9">
        <f>IF($A3901="","",VALUE($A3901&amp;"")*12+VALUE($B3901&amp;""))</f>
        <v/>
      </c>
      <c r="N3901" s="64">
        <f>IF($A3901="","",IFERROR(INDEX(부서매핑!$C$5:$C$504,MATCH($G3901&amp;"",부서매핑!$A$5:$A$504,0)),"미매핑"))</f>
        <v/>
      </c>
      <c r="O3901" s="9">
        <f>IF($A3901="","",N3901&amp;"|"&amp;$F3901)</f>
        <v/>
      </c>
      <c r="P3901" s="94">
        <f>IF($A3901="",0,$H3901*설정!$C$23)</f>
        <v/>
      </c>
      <c r="Q3901" s="64">
        <f>IF($A3901="","",IF(O3901&lt;&gt;원인분석!$C$9,"",IF(AND(M3901&gt;=원인분석!$C$10,M3901&lt;=원인분석!$C$11),"당기",IF(AND(M3901&gt;=원인분석!$C$12,M3901&lt;=원인분석!$C$13),"비교",""))))</f>
        <v/>
      </c>
      <c r="R3901" s="9">
        <f>IF(Q3901="","",$K3901&amp;"")</f>
        <v/>
      </c>
      <c r="S3901" s="9">
        <f>IF(Q3901="","",IF(MATCH(R3901,$R$5:$R$100000,0)=ROW()-4,ROW(),""))</f>
        <v/>
      </c>
      <c r="T3901" s="9">
        <f>IF(Q3901="당기",ABS(P3901)+ROW()/1000000000,"")</f>
        <v/>
      </c>
      <c r="U3901" s="9">
        <f>IF(Q3901="비교",ABS(P3901)+ROW()/1000000000,"")</f>
        <v/>
      </c>
      <c r="V3901" s="64">
        <f>IF($A3901="","",IF(COUNTIF(변동분석!$E$7:$E$506,O3901)&gt;0,"Y","N"))</f>
        <v/>
      </c>
      <c r="W3901" s="64">
        <f>IF($A3901="","",IFERROR(INDEX(계정매핑!$D$5:$D$504,MATCH($F3901&amp;"",계정매핑!$A$5:$A$504,0)),"미매핑"))</f>
        <v/>
      </c>
      <c r="X3901" s="9">
        <f>IF($A3901="","",$F3901&amp;"")</f>
        <v/>
      </c>
      <c r="Y3901" s="94">
        <f>IF($A3901="",0,IF(AE3901="직접",IF(AF3901="비귀속",$P3901,0),$P3901*(1-AG3901)*IFERROR(INDEX(계정대체기준!$F$20:$F$49,MATCH($N3901,계정대체기준!$A$20:$A$49,0)),1)))</f>
        <v/>
      </c>
      <c r="Z3901" s="94">
        <f>IF($A3901="",0,IF(AE3901="직접",IF(AF3901="신계약비",$P3901,0),$P3901*(1-AG3901)*IFERROR(INDEX(계정대체기준!$C$20:$C$49,MATCH($N3901,계정대체기준!$A$20:$A$49,0)),0)))</f>
        <v/>
      </c>
      <c r="AA3901" s="94">
        <f>IF($A3901="",0,IF(AE3901="직접",IF(OR(AF3901="유지비",AF3901="손해조사비"),$P3901,0),$P3901*(1-AG3901)*IFERROR(INDEX(계정대체기준!$D$20:$D$49,MATCH($N3901,계정대체기준!$A$20:$A$49,0)),0)))</f>
        <v/>
      </c>
      <c r="AB3901" s="94">
        <f>IF($A3901="",0,IF(AE3901="직접",IF(AF3901="수금비",$P3901,0),$P3901*(1-AG3901)*IFERROR(INDEX(계정대체기준!$E$20:$E$49,MATCH($N3901,계정대체기준!$A$20:$A$49,0)),0)))</f>
        <v/>
      </c>
      <c r="AC3901" s="9">
        <f>IF(AND($A3901&lt;&gt;"",M3901=설정!$C$20,Z3901&gt;0),Z3901+ROW()/1000000000,"")</f>
        <v/>
      </c>
      <c r="AD3901" s="94">
        <f>IF($A3901="",0,$P3901*AG3901)</f>
        <v/>
      </c>
      <c r="AE3901" s="64">
        <f>IF($A3901="","",IFERROR(INDEX(계정매핑!$E$5:$E$504,MATCH($F3901&amp;"",계정매핑!$A$5:$A$504,0))&amp;"","공통비"))</f>
        <v/>
      </c>
      <c r="AF3901" s="64">
        <f>IF($A3901="","",IF(AE3901="직접",IFERROR(INDEX(계정매핑!$F$5:$F$504,MATCH($F3901&amp;"",계정매핑!$A$5:$A$504,0))&amp;"","비귀속"),""))</f>
        <v/>
      </c>
      <c r="AG3901" s="96">
        <f>IF($A3901="",0,IF(AND(AE3901&lt;&gt;"직접",IFERROR(INDEX(계정매핑!$G$5:$G$504,MATCH($F3901&amp;"",계정매핑!$A$5:$A$504,0))&amp;"","")="유지비",COUNTIF(계정대체기준!$A$6:$A$15,$N3901)&gt;0),IFERROR(INDEX(계정대체기준!$E$6:$E$15,MATCH(VALUE($A3901&amp;""),계정대체기준!$D$6:$D$15,0)),0),0))</f>
        <v/>
      </c>
      <c r="AH3901" s="64">
        <f>IF($A3901="","",IF(AD3901=0,"",IF(OR(COUNTIF(계정대체기준!$A$77:$A$86,$N3901)&gt;0,ISNUMBER(MATCH($X3901,계정대체기준!$D$77:$D$86,0)),ISNUMBER(MATCH($F3901,계정대체기준!$D$77:$D$86,0))),"Y","N")))</f>
        <v/>
      </c>
    </row>
    <row r="3902">
      <c r="A3902" s="92" t="n">
        <v>2026</v>
      </c>
      <c r="B3902" s="92" t="n">
        <v>6</v>
      </c>
      <c r="C3902" s="92" t="inlineStr">
        <is>
          <t>5100001180</t>
        </is>
      </c>
      <c r="D3902" s="95" t="n">
        <v>46179</v>
      </c>
      <c r="E3902" s="92" t="inlineStr">
        <is>
          <t>KR</t>
        </is>
      </c>
      <c r="F3902" s="92" t="n">
        <v>62101000</v>
      </c>
      <c r="G3902" s="92" t="n">
        <v>1301</v>
      </c>
      <c r="H3902" s="93" t="n">
        <v>537000</v>
      </c>
      <c r="I3902" s="92" t="inlineStr">
        <is>
          <t>6월 국내출장 - L여행사</t>
        </is>
      </c>
      <c r="J3902" s="92" t="inlineStr">
        <is>
          <t>V10018</t>
        </is>
      </c>
      <c r="K3902" s="92" t="inlineStr">
        <is>
          <t>L여행사</t>
        </is>
      </c>
      <c r="M3902" s="9">
        <f>IF($A3902="","",VALUE($A3902&amp;"")*12+VALUE($B3902&amp;""))</f>
        <v/>
      </c>
      <c r="N3902" s="64">
        <f>IF($A3902="","",IFERROR(INDEX(부서매핑!$C$5:$C$504,MATCH($G3902&amp;"",부서매핑!$A$5:$A$504,0)),"미매핑"))</f>
        <v/>
      </c>
      <c r="O3902" s="9">
        <f>IF($A3902="","",N3902&amp;"|"&amp;$F3902)</f>
        <v/>
      </c>
      <c r="P3902" s="94">
        <f>IF($A3902="",0,$H3902*설정!$C$23)</f>
        <v/>
      </c>
      <c r="Q3902" s="64">
        <f>IF($A3902="","",IF(O3902&lt;&gt;원인분석!$C$9,"",IF(AND(M3902&gt;=원인분석!$C$10,M3902&lt;=원인분석!$C$11),"당기",IF(AND(M3902&gt;=원인분석!$C$12,M3902&lt;=원인분석!$C$13),"비교",""))))</f>
        <v/>
      </c>
      <c r="R3902" s="9">
        <f>IF(Q3902="","",$K3902&amp;"")</f>
        <v/>
      </c>
      <c r="S3902" s="9">
        <f>IF(Q3902="","",IF(MATCH(R3902,$R$5:$R$100000,0)=ROW()-4,ROW(),""))</f>
        <v/>
      </c>
      <c r="T3902" s="9">
        <f>IF(Q3902="당기",ABS(P3902)+ROW()/1000000000,"")</f>
        <v/>
      </c>
      <c r="U3902" s="9">
        <f>IF(Q3902="비교",ABS(P3902)+ROW()/1000000000,"")</f>
        <v/>
      </c>
      <c r="V3902" s="64">
        <f>IF($A3902="","",IF(COUNTIF(변동분석!$E$7:$E$506,O3902)&gt;0,"Y","N"))</f>
        <v/>
      </c>
      <c r="W3902" s="64">
        <f>IF($A3902="","",IFERROR(INDEX(계정매핑!$D$5:$D$504,MATCH($F3902&amp;"",계정매핑!$A$5:$A$504,0)),"미매핑"))</f>
        <v/>
      </c>
      <c r="X3902" s="9">
        <f>IF($A3902="","",$F3902&amp;"")</f>
        <v/>
      </c>
      <c r="Y3902" s="94">
        <f>IF($A3902="",0,IF(AE3902="직접",IF(AF3902="비귀속",$P3902,0),$P3902*(1-AG3902)*IFERROR(INDEX(계정대체기준!$F$20:$F$49,MATCH($N3902,계정대체기준!$A$20:$A$49,0)),1)))</f>
        <v/>
      </c>
      <c r="Z3902" s="94">
        <f>IF($A3902="",0,IF(AE3902="직접",IF(AF3902="신계약비",$P3902,0),$P3902*(1-AG3902)*IFERROR(INDEX(계정대체기준!$C$20:$C$49,MATCH($N3902,계정대체기준!$A$20:$A$49,0)),0)))</f>
        <v/>
      </c>
      <c r="AA3902" s="94">
        <f>IF($A3902="",0,IF(AE3902="직접",IF(OR(AF3902="유지비",AF3902="손해조사비"),$P3902,0),$P3902*(1-AG3902)*IFERROR(INDEX(계정대체기준!$D$20:$D$49,MATCH($N3902,계정대체기준!$A$20:$A$49,0)),0)))</f>
        <v/>
      </c>
      <c r="AB3902" s="94">
        <f>IF($A3902="",0,IF(AE3902="직접",IF(AF3902="수금비",$P3902,0),$P3902*(1-AG3902)*IFERROR(INDEX(계정대체기준!$E$20:$E$49,MATCH($N3902,계정대체기준!$A$20:$A$49,0)),0)))</f>
        <v/>
      </c>
      <c r="AC3902" s="9">
        <f>IF(AND($A3902&lt;&gt;"",M3902=설정!$C$20,Z3902&gt;0),Z3902+ROW()/1000000000,"")</f>
        <v/>
      </c>
      <c r="AD3902" s="94">
        <f>IF($A3902="",0,$P3902*AG3902)</f>
        <v/>
      </c>
      <c r="AE3902" s="64">
        <f>IF($A3902="","",IFERROR(INDEX(계정매핑!$E$5:$E$504,MATCH($F3902&amp;"",계정매핑!$A$5:$A$504,0))&amp;"","공통비"))</f>
        <v/>
      </c>
      <c r="AF3902" s="64">
        <f>IF($A3902="","",IF(AE3902="직접",IFERROR(INDEX(계정매핑!$F$5:$F$504,MATCH($F3902&amp;"",계정매핑!$A$5:$A$504,0))&amp;"","비귀속"),""))</f>
        <v/>
      </c>
      <c r="AG3902" s="96">
        <f>IF($A3902="",0,IF(AND(AE3902&lt;&gt;"직접",IFERROR(INDEX(계정매핑!$G$5:$G$504,MATCH($F3902&amp;"",계정매핑!$A$5:$A$504,0))&amp;"","")="유지비",COUNTIF(계정대체기준!$A$6:$A$15,$N3902)&gt;0),IFERROR(INDEX(계정대체기준!$E$6:$E$15,MATCH(VALUE($A3902&amp;""),계정대체기준!$D$6:$D$15,0)),0),0))</f>
        <v/>
      </c>
      <c r="AH3902" s="64">
        <f>IF($A3902="","",IF(AD3902=0,"",IF(OR(COUNTIF(계정대체기준!$A$77:$A$86,$N3902)&gt;0,ISNUMBER(MATCH($X3902,계정대체기준!$D$77:$D$86,0)),ISNUMBER(MATCH($F3902,계정대체기준!$D$77:$D$86,0))),"Y","N")))</f>
        <v/>
      </c>
    </row>
    <row r="3903">
      <c r="A3903" s="92" t="n">
        <v>2026</v>
      </c>
      <c r="B3903" s="92" t="n">
        <v>6</v>
      </c>
      <c r="C3903" s="92" t="inlineStr">
        <is>
          <t>5100001181</t>
        </is>
      </c>
      <c r="D3903" s="95" t="n">
        <v>46179</v>
      </c>
      <c r="E3903" s="92" t="inlineStr">
        <is>
          <t>KR</t>
        </is>
      </c>
      <c r="F3903" s="92" t="n">
        <v>62102000</v>
      </c>
      <c r="G3903" s="92" t="n">
        <v>1401</v>
      </c>
      <c r="H3903" s="93" t="n">
        <v>103000</v>
      </c>
      <c r="I3903" s="92" t="inlineStr">
        <is>
          <t>6월 해외출장 - M항공</t>
        </is>
      </c>
      <c r="J3903" s="92" t="inlineStr">
        <is>
          <t>V10001</t>
        </is>
      </c>
      <c r="K3903" s="92" t="inlineStr">
        <is>
          <t>M항공</t>
        </is>
      </c>
      <c r="M3903" s="9">
        <f>IF($A3903="","",VALUE($A3903&amp;"")*12+VALUE($B3903&amp;""))</f>
        <v/>
      </c>
      <c r="N3903" s="64">
        <f>IF($A3903="","",IFERROR(INDEX(부서매핑!$C$5:$C$504,MATCH($G3903&amp;"",부서매핑!$A$5:$A$504,0)),"미매핑"))</f>
        <v/>
      </c>
      <c r="O3903" s="9">
        <f>IF($A3903="","",N3903&amp;"|"&amp;$F3903)</f>
        <v/>
      </c>
      <c r="P3903" s="94">
        <f>IF($A3903="",0,$H3903*설정!$C$23)</f>
        <v/>
      </c>
      <c r="Q3903" s="64">
        <f>IF($A3903="","",IF(O3903&lt;&gt;원인분석!$C$9,"",IF(AND(M3903&gt;=원인분석!$C$10,M3903&lt;=원인분석!$C$11),"당기",IF(AND(M3903&gt;=원인분석!$C$12,M3903&lt;=원인분석!$C$13),"비교",""))))</f>
        <v/>
      </c>
      <c r="R3903" s="9">
        <f>IF(Q3903="","",$K3903&amp;"")</f>
        <v/>
      </c>
      <c r="S3903" s="9">
        <f>IF(Q3903="","",IF(MATCH(R3903,$R$5:$R$100000,0)=ROW()-4,ROW(),""))</f>
        <v/>
      </c>
      <c r="T3903" s="9">
        <f>IF(Q3903="당기",ABS(P3903)+ROW()/1000000000,"")</f>
        <v/>
      </c>
      <c r="U3903" s="9">
        <f>IF(Q3903="비교",ABS(P3903)+ROW()/1000000000,"")</f>
        <v/>
      </c>
      <c r="V3903" s="64">
        <f>IF($A3903="","",IF(COUNTIF(변동분석!$E$7:$E$506,O3903)&gt;0,"Y","N"))</f>
        <v/>
      </c>
      <c r="W3903" s="64">
        <f>IF($A3903="","",IFERROR(INDEX(계정매핑!$D$5:$D$504,MATCH($F3903&amp;"",계정매핑!$A$5:$A$504,0)),"미매핑"))</f>
        <v/>
      </c>
      <c r="X3903" s="9">
        <f>IF($A3903="","",$F3903&amp;"")</f>
        <v/>
      </c>
      <c r="Y3903" s="94">
        <f>IF($A3903="",0,IF(AE3903="직접",IF(AF3903="비귀속",$P3903,0),$P3903*(1-AG3903)*IFERROR(INDEX(계정대체기준!$F$20:$F$49,MATCH($N3903,계정대체기준!$A$20:$A$49,0)),1)))</f>
        <v/>
      </c>
      <c r="Z3903" s="94">
        <f>IF($A3903="",0,IF(AE3903="직접",IF(AF3903="신계약비",$P3903,0),$P3903*(1-AG3903)*IFERROR(INDEX(계정대체기준!$C$20:$C$49,MATCH($N3903,계정대체기준!$A$20:$A$49,0)),0)))</f>
        <v/>
      </c>
      <c r="AA3903" s="94">
        <f>IF($A3903="",0,IF(AE3903="직접",IF(OR(AF3903="유지비",AF3903="손해조사비"),$P3903,0),$P3903*(1-AG3903)*IFERROR(INDEX(계정대체기준!$D$20:$D$49,MATCH($N3903,계정대체기준!$A$20:$A$49,0)),0)))</f>
        <v/>
      </c>
      <c r="AB3903" s="94">
        <f>IF($A3903="",0,IF(AE3903="직접",IF(AF3903="수금비",$P3903,0),$P3903*(1-AG3903)*IFERROR(INDEX(계정대체기준!$E$20:$E$49,MATCH($N3903,계정대체기준!$A$20:$A$49,0)),0)))</f>
        <v/>
      </c>
      <c r="AC3903" s="9">
        <f>IF(AND($A3903&lt;&gt;"",M3903=설정!$C$20,Z3903&gt;0),Z3903+ROW()/1000000000,"")</f>
        <v/>
      </c>
      <c r="AD3903" s="94">
        <f>IF($A3903="",0,$P3903*AG3903)</f>
        <v/>
      </c>
      <c r="AE3903" s="64">
        <f>IF($A3903="","",IFERROR(INDEX(계정매핑!$E$5:$E$504,MATCH($F3903&amp;"",계정매핑!$A$5:$A$504,0))&amp;"","공통비"))</f>
        <v/>
      </c>
      <c r="AF3903" s="64">
        <f>IF($A3903="","",IF(AE3903="직접",IFERROR(INDEX(계정매핑!$F$5:$F$504,MATCH($F3903&amp;"",계정매핑!$A$5:$A$504,0))&amp;"","비귀속"),""))</f>
        <v/>
      </c>
      <c r="AG3903" s="96">
        <f>IF($A3903="",0,IF(AND(AE3903&lt;&gt;"직접",IFERROR(INDEX(계정매핑!$G$5:$G$504,MATCH($F3903&amp;"",계정매핑!$A$5:$A$504,0))&amp;"","")="유지비",COUNTIF(계정대체기준!$A$6:$A$15,$N3903)&gt;0),IFERROR(INDEX(계정대체기준!$E$6:$E$15,MATCH(VALUE($A3903&amp;""),계정대체기준!$D$6:$D$15,0)),0),0))</f>
        <v/>
      </c>
      <c r="AH3903" s="64">
        <f>IF($A3903="","",IF(AD3903=0,"",IF(OR(COUNTIF(계정대체기준!$A$77:$A$86,$N3903)&gt;0,ISNUMBER(MATCH($X3903,계정대체기준!$D$77:$D$86,0)),ISNUMBER(MATCH($F3903,계정대체기준!$D$77:$D$86,0))),"Y","N")))</f>
        <v/>
      </c>
    </row>
    <row r="3904">
      <c r="A3904" s="92" t="n">
        <v>2026</v>
      </c>
      <c r="B3904" s="92" t="n">
        <v>6</v>
      </c>
      <c r="C3904" s="92" t="inlineStr">
        <is>
          <t>5100001182</t>
        </is>
      </c>
      <c r="D3904" s="95" t="n">
        <v>46179</v>
      </c>
      <c r="E3904" s="92" t="inlineStr">
        <is>
          <t>KR</t>
        </is>
      </c>
      <c r="F3904" s="92" t="n">
        <v>62201000</v>
      </c>
      <c r="G3904" s="92" t="n">
        <v>1401</v>
      </c>
      <c r="H3904" s="93" t="n">
        <v>148000</v>
      </c>
      <c r="I3904" s="92" t="inlineStr">
        <is>
          <t>6월 통신요금 - P통신</t>
        </is>
      </c>
      <c r="J3904" s="92" t="inlineStr">
        <is>
          <t>V10014</t>
        </is>
      </c>
      <c r="K3904" s="92" t="inlineStr">
        <is>
          <t>P통신</t>
        </is>
      </c>
      <c r="M3904" s="9">
        <f>IF($A3904="","",VALUE($A3904&amp;"")*12+VALUE($B3904&amp;""))</f>
        <v/>
      </c>
      <c r="N3904" s="64">
        <f>IF($A3904="","",IFERROR(INDEX(부서매핑!$C$5:$C$504,MATCH($G3904&amp;"",부서매핑!$A$5:$A$504,0)),"미매핑"))</f>
        <v/>
      </c>
      <c r="O3904" s="9">
        <f>IF($A3904="","",N3904&amp;"|"&amp;$F3904)</f>
        <v/>
      </c>
      <c r="P3904" s="94">
        <f>IF($A3904="",0,$H3904*설정!$C$23)</f>
        <v/>
      </c>
      <c r="Q3904" s="64">
        <f>IF($A3904="","",IF(O3904&lt;&gt;원인분석!$C$9,"",IF(AND(M3904&gt;=원인분석!$C$10,M3904&lt;=원인분석!$C$11),"당기",IF(AND(M3904&gt;=원인분석!$C$12,M3904&lt;=원인분석!$C$13),"비교",""))))</f>
        <v/>
      </c>
      <c r="R3904" s="9">
        <f>IF(Q3904="","",$K3904&amp;"")</f>
        <v/>
      </c>
      <c r="S3904" s="9">
        <f>IF(Q3904="","",IF(MATCH(R3904,$R$5:$R$100000,0)=ROW()-4,ROW(),""))</f>
        <v/>
      </c>
      <c r="T3904" s="9">
        <f>IF(Q3904="당기",ABS(P3904)+ROW()/1000000000,"")</f>
        <v/>
      </c>
      <c r="U3904" s="9">
        <f>IF(Q3904="비교",ABS(P3904)+ROW()/1000000000,"")</f>
        <v/>
      </c>
      <c r="V3904" s="64">
        <f>IF($A3904="","",IF(COUNTIF(변동분석!$E$7:$E$506,O3904)&gt;0,"Y","N"))</f>
        <v/>
      </c>
      <c r="W3904" s="64">
        <f>IF($A3904="","",IFERROR(INDEX(계정매핑!$D$5:$D$504,MATCH($F3904&amp;"",계정매핑!$A$5:$A$504,0)),"미매핑"))</f>
        <v/>
      </c>
      <c r="X3904" s="9">
        <f>IF($A3904="","",$F3904&amp;"")</f>
        <v/>
      </c>
      <c r="Y3904" s="94">
        <f>IF($A3904="",0,IF(AE3904="직접",IF(AF3904="비귀속",$P3904,0),$P3904*(1-AG3904)*IFERROR(INDEX(계정대체기준!$F$20:$F$49,MATCH($N3904,계정대체기준!$A$20:$A$49,0)),1)))</f>
        <v/>
      </c>
      <c r="Z3904" s="94">
        <f>IF($A3904="",0,IF(AE3904="직접",IF(AF3904="신계약비",$P3904,0),$P3904*(1-AG3904)*IFERROR(INDEX(계정대체기준!$C$20:$C$49,MATCH($N3904,계정대체기준!$A$20:$A$49,0)),0)))</f>
        <v/>
      </c>
      <c r="AA3904" s="94">
        <f>IF($A3904="",0,IF(AE3904="직접",IF(OR(AF3904="유지비",AF3904="손해조사비"),$P3904,0),$P3904*(1-AG3904)*IFERROR(INDEX(계정대체기준!$D$20:$D$49,MATCH($N3904,계정대체기준!$A$20:$A$49,0)),0)))</f>
        <v/>
      </c>
      <c r="AB3904" s="94">
        <f>IF($A3904="",0,IF(AE3904="직접",IF(AF3904="수금비",$P3904,0),$P3904*(1-AG3904)*IFERROR(INDEX(계정대체기준!$E$20:$E$49,MATCH($N3904,계정대체기준!$A$20:$A$49,0)),0)))</f>
        <v/>
      </c>
      <c r="AC3904" s="9">
        <f>IF(AND($A3904&lt;&gt;"",M3904=설정!$C$20,Z3904&gt;0),Z3904+ROW()/1000000000,"")</f>
        <v/>
      </c>
      <c r="AD3904" s="94">
        <f>IF($A3904="",0,$P3904*AG3904)</f>
        <v/>
      </c>
      <c r="AE3904" s="64">
        <f>IF($A3904="","",IFERROR(INDEX(계정매핑!$E$5:$E$504,MATCH($F3904&amp;"",계정매핑!$A$5:$A$504,0))&amp;"","공통비"))</f>
        <v/>
      </c>
      <c r="AF3904" s="64">
        <f>IF($A3904="","",IF(AE3904="직접",IFERROR(INDEX(계정매핑!$F$5:$F$504,MATCH($F3904&amp;"",계정매핑!$A$5:$A$504,0))&amp;"","비귀속"),""))</f>
        <v/>
      </c>
      <c r="AG3904" s="96">
        <f>IF($A3904="",0,IF(AND(AE3904&lt;&gt;"직접",IFERROR(INDEX(계정매핑!$G$5:$G$504,MATCH($F3904&amp;"",계정매핑!$A$5:$A$504,0))&amp;"","")="유지비",COUNTIF(계정대체기준!$A$6:$A$15,$N3904)&gt;0),IFERROR(INDEX(계정대체기준!$E$6:$E$15,MATCH(VALUE($A3904&amp;""),계정대체기준!$D$6:$D$15,0)),0),0))</f>
        <v/>
      </c>
      <c r="AH3904" s="64">
        <f>IF($A3904="","",IF(AD3904=0,"",IF(OR(COUNTIF(계정대체기준!$A$77:$A$86,$N3904)&gt;0,ISNUMBER(MATCH($X3904,계정대체기준!$D$77:$D$86,0)),ISNUMBER(MATCH($F3904,계정대체기준!$D$77:$D$86,0))),"Y","N")))</f>
        <v/>
      </c>
    </row>
    <row r="3905">
      <c r="A3905" s="92" t="n">
        <v>2026</v>
      </c>
      <c r="B3905" s="92" t="n">
        <v>6</v>
      </c>
      <c r="C3905" s="92" t="inlineStr">
        <is>
          <t>5100001183</t>
        </is>
      </c>
      <c r="D3905" s="95" t="n">
        <v>46179</v>
      </c>
      <c r="E3905" s="92" t="inlineStr">
        <is>
          <t>KR</t>
        </is>
      </c>
      <c r="F3905" s="92" t="n">
        <v>62601000</v>
      </c>
      <c r="G3905" s="92" t="n">
        <v>1301</v>
      </c>
      <c r="H3905" s="93" t="n">
        <v>786000</v>
      </c>
      <c r="I3905" s="92" t="inlineStr">
        <is>
          <t>6월 업무추진 - (법인카드)</t>
        </is>
      </c>
      <c r="J3905" s="92" t="inlineStr">
        <is>
          <t>V10010</t>
        </is>
      </c>
      <c r="K3905" s="92" t="inlineStr">
        <is>
          <t>(법인카드)</t>
        </is>
      </c>
      <c r="M3905" s="9">
        <f>IF($A3905="","",VALUE($A3905&amp;"")*12+VALUE($B3905&amp;""))</f>
        <v/>
      </c>
      <c r="N3905" s="64">
        <f>IF($A3905="","",IFERROR(INDEX(부서매핑!$C$5:$C$504,MATCH($G3905&amp;"",부서매핑!$A$5:$A$504,0)),"미매핑"))</f>
        <v/>
      </c>
      <c r="O3905" s="9">
        <f>IF($A3905="","",N3905&amp;"|"&amp;$F3905)</f>
        <v/>
      </c>
      <c r="P3905" s="94">
        <f>IF($A3905="",0,$H3905*설정!$C$23)</f>
        <v/>
      </c>
      <c r="Q3905" s="64">
        <f>IF($A3905="","",IF(O3905&lt;&gt;원인분석!$C$9,"",IF(AND(M3905&gt;=원인분석!$C$10,M3905&lt;=원인분석!$C$11),"당기",IF(AND(M3905&gt;=원인분석!$C$12,M3905&lt;=원인분석!$C$13),"비교",""))))</f>
        <v/>
      </c>
      <c r="R3905" s="9">
        <f>IF(Q3905="","",$K3905&amp;"")</f>
        <v/>
      </c>
      <c r="S3905" s="9">
        <f>IF(Q3905="","",IF(MATCH(R3905,$R$5:$R$100000,0)=ROW()-4,ROW(),""))</f>
        <v/>
      </c>
      <c r="T3905" s="9">
        <f>IF(Q3905="당기",ABS(P3905)+ROW()/1000000000,"")</f>
        <v/>
      </c>
      <c r="U3905" s="9">
        <f>IF(Q3905="비교",ABS(P3905)+ROW()/1000000000,"")</f>
        <v/>
      </c>
      <c r="V3905" s="64">
        <f>IF($A3905="","",IF(COUNTIF(변동분석!$E$7:$E$506,O3905)&gt;0,"Y","N"))</f>
        <v/>
      </c>
      <c r="W3905" s="64">
        <f>IF($A3905="","",IFERROR(INDEX(계정매핑!$D$5:$D$504,MATCH($F3905&amp;"",계정매핑!$A$5:$A$504,0)),"미매핑"))</f>
        <v/>
      </c>
      <c r="X3905" s="9">
        <f>IF($A3905="","",$F3905&amp;"")</f>
        <v/>
      </c>
      <c r="Y3905" s="94">
        <f>IF($A3905="",0,IF(AE3905="직접",IF(AF3905="비귀속",$P3905,0),$P3905*(1-AG3905)*IFERROR(INDEX(계정대체기준!$F$20:$F$49,MATCH($N3905,계정대체기준!$A$20:$A$49,0)),1)))</f>
        <v/>
      </c>
      <c r="Z3905" s="94">
        <f>IF($A3905="",0,IF(AE3905="직접",IF(AF3905="신계약비",$P3905,0),$P3905*(1-AG3905)*IFERROR(INDEX(계정대체기준!$C$20:$C$49,MATCH($N3905,계정대체기준!$A$20:$A$49,0)),0)))</f>
        <v/>
      </c>
      <c r="AA3905" s="94">
        <f>IF($A3905="",0,IF(AE3905="직접",IF(OR(AF3905="유지비",AF3905="손해조사비"),$P3905,0),$P3905*(1-AG3905)*IFERROR(INDEX(계정대체기준!$D$20:$D$49,MATCH($N3905,계정대체기준!$A$20:$A$49,0)),0)))</f>
        <v/>
      </c>
      <c r="AB3905" s="94">
        <f>IF($A3905="",0,IF(AE3905="직접",IF(AF3905="수금비",$P3905,0),$P3905*(1-AG3905)*IFERROR(INDEX(계정대체기준!$E$20:$E$49,MATCH($N3905,계정대체기준!$A$20:$A$49,0)),0)))</f>
        <v/>
      </c>
      <c r="AC3905" s="9">
        <f>IF(AND($A3905&lt;&gt;"",M3905=설정!$C$20,Z3905&gt;0),Z3905+ROW()/1000000000,"")</f>
        <v/>
      </c>
      <c r="AD3905" s="94">
        <f>IF($A3905="",0,$P3905*AG3905)</f>
        <v/>
      </c>
      <c r="AE3905" s="64">
        <f>IF($A3905="","",IFERROR(INDEX(계정매핑!$E$5:$E$504,MATCH($F3905&amp;"",계정매핑!$A$5:$A$504,0))&amp;"","공통비"))</f>
        <v/>
      </c>
      <c r="AF3905" s="64">
        <f>IF($A3905="","",IF(AE3905="직접",IFERROR(INDEX(계정매핑!$F$5:$F$504,MATCH($F3905&amp;"",계정매핑!$A$5:$A$504,0))&amp;"","비귀속"),""))</f>
        <v/>
      </c>
      <c r="AG3905" s="96">
        <f>IF($A3905="",0,IF(AND(AE3905&lt;&gt;"직접",IFERROR(INDEX(계정매핑!$G$5:$G$504,MATCH($F3905&amp;"",계정매핑!$A$5:$A$504,0))&amp;"","")="유지비",COUNTIF(계정대체기준!$A$6:$A$15,$N3905)&gt;0),IFERROR(INDEX(계정대체기준!$E$6:$E$15,MATCH(VALUE($A3905&amp;""),계정대체기준!$D$6:$D$15,0)),0),0))</f>
        <v/>
      </c>
      <c r="AH3905" s="64">
        <f>IF($A3905="","",IF(AD3905=0,"",IF(OR(COUNTIF(계정대체기준!$A$77:$A$86,$N3905)&gt;0,ISNUMBER(MATCH($X3905,계정대체기준!$D$77:$D$86,0)),ISNUMBER(MATCH($F3905,계정대체기준!$D$77:$D$86,0))),"Y","N")))</f>
        <v/>
      </c>
    </row>
    <row r="3906">
      <c r="A3906" s="92" t="n">
        <v>2026</v>
      </c>
      <c r="B3906" s="92" t="n">
        <v>6</v>
      </c>
      <c r="C3906" s="92" t="inlineStr">
        <is>
          <t>5100001184</t>
        </is>
      </c>
      <c r="D3906" s="95" t="n">
        <v>46179</v>
      </c>
      <c r="E3906" s="92" t="inlineStr">
        <is>
          <t>KR</t>
        </is>
      </c>
      <c r="F3906" s="92" t="n">
        <v>62901000</v>
      </c>
      <c r="G3906" s="92" t="n">
        <v>1201</v>
      </c>
      <c r="H3906" s="93" t="n">
        <v>5380000</v>
      </c>
      <c r="I3906" s="92" t="inlineStr">
        <is>
          <t>6월 자문 수수료 - W컨설팅</t>
        </is>
      </c>
      <c r="J3906" s="92" t="inlineStr">
        <is>
          <t>V10006</t>
        </is>
      </c>
      <c r="K3906" s="92" t="inlineStr">
        <is>
          <t>W컨설팅</t>
        </is>
      </c>
      <c r="M3906" s="9">
        <f>IF($A3906="","",VALUE($A3906&amp;"")*12+VALUE($B3906&amp;""))</f>
        <v/>
      </c>
      <c r="N3906" s="64">
        <f>IF($A3906="","",IFERROR(INDEX(부서매핑!$C$5:$C$504,MATCH($G3906&amp;"",부서매핑!$A$5:$A$504,0)),"미매핑"))</f>
        <v/>
      </c>
      <c r="O3906" s="9">
        <f>IF($A3906="","",N3906&amp;"|"&amp;$F3906)</f>
        <v/>
      </c>
      <c r="P3906" s="94">
        <f>IF($A3906="",0,$H3906*설정!$C$23)</f>
        <v/>
      </c>
      <c r="Q3906" s="64">
        <f>IF($A3906="","",IF(O3906&lt;&gt;원인분석!$C$9,"",IF(AND(M3906&gt;=원인분석!$C$10,M3906&lt;=원인분석!$C$11),"당기",IF(AND(M3906&gt;=원인분석!$C$12,M3906&lt;=원인분석!$C$13),"비교",""))))</f>
        <v/>
      </c>
      <c r="R3906" s="9">
        <f>IF(Q3906="","",$K3906&amp;"")</f>
        <v/>
      </c>
      <c r="S3906" s="9">
        <f>IF(Q3906="","",IF(MATCH(R3906,$R$5:$R$100000,0)=ROW()-4,ROW(),""))</f>
        <v/>
      </c>
      <c r="T3906" s="9">
        <f>IF(Q3906="당기",ABS(P3906)+ROW()/1000000000,"")</f>
        <v/>
      </c>
      <c r="U3906" s="9">
        <f>IF(Q3906="비교",ABS(P3906)+ROW()/1000000000,"")</f>
        <v/>
      </c>
      <c r="V3906" s="64">
        <f>IF($A3906="","",IF(COUNTIF(변동분석!$E$7:$E$506,O3906)&gt;0,"Y","N"))</f>
        <v/>
      </c>
      <c r="W3906" s="64">
        <f>IF($A3906="","",IFERROR(INDEX(계정매핑!$D$5:$D$504,MATCH($F3906&amp;"",계정매핑!$A$5:$A$504,0)),"미매핑"))</f>
        <v/>
      </c>
      <c r="X3906" s="9">
        <f>IF($A3906="","",$F3906&amp;"")</f>
        <v/>
      </c>
      <c r="Y3906" s="94">
        <f>IF($A3906="",0,IF(AE3906="직접",IF(AF3906="비귀속",$P3906,0),$P3906*(1-AG3906)*IFERROR(INDEX(계정대체기준!$F$20:$F$49,MATCH($N3906,계정대체기준!$A$20:$A$49,0)),1)))</f>
        <v/>
      </c>
      <c r="Z3906" s="94">
        <f>IF($A3906="",0,IF(AE3906="직접",IF(AF3906="신계약비",$P3906,0),$P3906*(1-AG3906)*IFERROR(INDEX(계정대체기준!$C$20:$C$49,MATCH($N3906,계정대체기준!$A$20:$A$49,0)),0)))</f>
        <v/>
      </c>
      <c r="AA3906" s="94">
        <f>IF($A3906="",0,IF(AE3906="직접",IF(OR(AF3906="유지비",AF3906="손해조사비"),$P3906,0),$P3906*(1-AG3906)*IFERROR(INDEX(계정대체기준!$D$20:$D$49,MATCH($N3906,계정대체기준!$A$20:$A$49,0)),0)))</f>
        <v/>
      </c>
      <c r="AB3906" s="94">
        <f>IF($A3906="",0,IF(AE3906="직접",IF(AF3906="수금비",$P3906,0),$P3906*(1-AG3906)*IFERROR(INDEX(계정대체기준!$E$20:$E$49,MATCH($N3906,계정대체기준!$A$20:$A$49,0)),0)))</f>
        <v/>
      </c>
      <c r="AC3906" s="9">
        <f>IF(AND($A3906&lt;&gt;"",M3906=설정!$C$20,Z3906&gt;0),Z3906+ROW()/1000000000,"")</f>
        <v/>
      </c>
      <c r="AD3906" s="94">
        <f>IF($A3906="",0,$P3906*AG3906)</f>
        <v/>
      </c>
      <c r="AE3906" s="64">
        <f>IF($A3906="","",IFERROR(INDEX(계정매핑!$E$5:$E$504,MATCH($F3906&amp;"",계정매핑!$A$5:$A$504,0))&amp;"","공통비"))</f>
        <v/>
      </c>
      <c r="AF3906" s="64">
        <f>IF($A3906="","",IF(AE3906="직접",IFERROR(INDEX(계정매핑!$F$5:$F$504,MATCH($F3906&amp;"",계정매핑!$A$5:$A$504,0))&amp;"","비귀속"),""))</f>
        <v/>
      </c>
      <c r="AG3906" s="96">
        <f>IF($A3906="",0,IF(AND(AE3906&lt;&gt;"직접",IFERROR(INDEX(계정매핑!$G$5:$G$504,MATCH($F3906&amp;"",계정매핑!$A$5:$A$504,0))&amp;"","")="유지비",COUNTIF(계정대체기준!$A$6:$A$15,$N3906)&gt;0),IFERROR(INDEX(계정대체기준!$E$6:$E$15,MATCH(VALUE($A3906&amp;""),계정대체기준!$D$6:$D$15,0)),0),0))</f>
        <v/>
      </c>
      <c r="AH3906" s="64">
        <f>IF($A3906="","",IF(AD3906=0,"",IF(OR(COUNTIF(계정대체기준!$A$77:$A$86,$N3906)&gt;0,ISNUMBER(MATCH($X3906,계정대체기준!$D$77:$D$86,0)),ISNUMBER(MATCH($F3906,계정대체기준!$D$77:$D$86,0))),"Y","N")))</f>
        <v/>
      </c>
    </row>
    <row r="3907">
      <c r="A3907" s="92" t="n">
        <v>2026</v>
      </c>
      <c r="B3907" s="92" t="n">
        <v>6</v>
      </c>
      <c r="C3907" s="92" t="inlineStr">
        <is>
          <t>5100001185</t>
        </is>
      </c>
      <c r="D3907" s="95" t="n">
        <v>46179</v>
      </c>
      <c r="E3907" s="92" t="inlineStr">
        <is>
          <t>KR</t>
        </is>
      </c>
      <c r="F3907" s="92" t="n">
        <v>62902000</v>
      </c>
      <c r="G3907" s="92" t="n">
        <v>1801</v>
      </c>
      <c r="H3907" s="93" t="n">
        <v>1825000</v>
      </c>
      <c r="I3907" s="92" t="inlineStr">
        <is>
          <t>6월 콜 위탁 수수료(건별)</t>
        </is>
      </c>
      <c r="J3907" s="92" t="inlineStr">
        <is>
          <t>V10016</t>
        </is>
      </c>
      <c r="K3907" s="92" t="inlineStr">
        <is>
          <t>J콜센터</t>
        </is>
      </c>
      <c r="M3907" s="9">
        <f>IF($A3907="","",VALUE($A3907&amp;"")*12+VALUE($B3907&amp;""))</f>
        <v/>
      </c>
      <c r="N3907" s="64">
        <f>IF($A3907="","",IFERROR(INDEX(부서매핑!$C$5:$C$504,MATCH($G3907&amp;"",부서매핑!$A$5:$A$504,0)),"미매핑"))</f>
        <v/>
      </c>
      <c r="O3907" s="9">
        <f>IF($A3907="","",N3907&amp;"|"&amp;$F3907)</f>
        <v/>
      </c>
      <c r="P3907" s="94">
        <f>IF($A3907="",0,$H3907*설정!$C$23)</f>
        <v/>
      </c>
      <c r="Q3907" s="64">
        <f>IF($A3907="","",IF(O3907&lt;&gt;원인분석!$C$9,"",IF(AND(M3907&gt;=원인분석!$C$10,M3907&lt;=원인분석!$C$11),"당기",IF(AND(M3907&gt;=원인분석!$C$12,M3907&lt;=원인분석!$C$13),"비교",""))))</f>
        <v/>
      </c>
      <c r="R3907" s="9">
        <f>IF(Q3907="","",$K3907&amp;"")</f>
        <v/>
      </c>
      <c r="S3907" s="9">
        <f>IF(Q3907="","",IF(MATCH(R3907,$R$5:$R$100000,0)=ROW()-4,ROW(),""))</f>
        <v/>
      </c>
      <c r="T3907" s="9">
        <f>IF(Q3907="당기",ABS(P3907)+ROW()/1000000000,"")</f>
        <v/>
      </c>
      <c r="U3907" s="9">
        <f>IF(Q3907="비교",ABS(P3907)+ROW()/1000000000,"")</f>
        <v/>
      </c>
      <c r="V3907" s="64">
        <f>IF($A3907="","",IF(COUNTIF(변동분석!$E$7:$E$506,O3907)&gt;0,"Y","N"))</f>
        <v/>
      </c>
      <c r="W3907" s="64">
        <f>IF($A3907="","",IFERROR(INDEX(계정매핑!$D$5:$D$504,MATCH($F3907&amp;"",계정매핑!$A$5:$A$504,0)),"미매핑"))</f>
        <v/>
      </c>
      <c r="X3907" s="9">
        <f>IF($A3907="","",$F3907&amp;"")</f>
        <v/>
      </c>
      <c r="Y3907" s="94">
        <f>IF($A3907="",0,IF(AE3907="직접",IF(AF3907="비귀속",$P3907,0),$P3907*(1-AG3907)*IFERROR(INDEX(계정대체기준!$F$20:$F$49,MATCH($N3907,계정대체기준!$A$20:$A$49,0)),1)))</f>
        <v/>
      </c>
      <c r="Z3907" s="94">
        <f>IF($A3907="",0,IF(AE3907="직접",IF(AF3907="신계약비",$P3907,0),$P3907*(1-AG3907)*IFERROR(INDEX(계정대체기준!$C$20:$C$49,MATCH($N3907,계정대체기준!$A$20:$A$49,0)),0)))</f>
        <v/>
      </c>
      <c r="AA3907" s="94">
        <f>IF($A3907="",0,IF(AE3907="직접",IF(OR(AF3907="유지비",AF3907="손해조사비"),$P3907,0),$P3907*(1-AG3907)*IFERROR(INDEX(계정대체기준!$D$20:$D$49,MATCH($N3907,계정대체기준!$A$20:$A$49,0)),0)))</f>
        <v/>
      </c>
      <c r="AB3907" s="94">
        <f>IF($A3907="",0,IF(AE3907="직접",IF(AF3907="수금비",$P3907,0),$P3907*(1-AG3907)*IFERROR(INDEX(계정대체기준!$E$20:$E$49,MATCH($N3907,계정대체기준!$A$20:$A$49,0)),0)))</f>
        <v/>
      </c>
      <c r="AC3907" s="9">
        <f>IF(AND($A3907&lt;&gt;"",M3907=설정!$C$20,Z3907&gt;0),Z3907+ROW()/1000000000,"")</f>
        <v/>
      </c>
      <c r="AD3907" s="94">
        <f>IF($A3907="",0,$P3907*AG3907)</f>
        <v/>
      </c>
      <c r="AE3907" s="64">
        <f>IF($A3907="","",IFERROR(INDEX(계정매핑!$E$5:$E$504,MATCH($F3907&amp;"",계정매핑!$A$5:$A$504,0))&amp;"","공통비"))</f>
        <v/>
      </c>
      <c r="AF3907" s="64">
        <f>IF($A3907="","",IF(AE3907="직접",IFERROR(INDEX(계정매핑!$F$5:$F$504,MATCH($F3907&amp;"",계정매핑!$A$5:$A$504,0))&amp;"","비귀속"),""))</f>
        <v/>
      </c>
      <c r="AG3907" s="96">
        <f>IF($A3907="",0,IF(AND(AE3907&lt;&gt;"직접",IFERROR(INDEX(계정매핑!$G$5:$G$504,MATCH($F3907&amp;"",계정매핑!$A$5:$A$504,0))&amp;"","")="유지비",COUNTIF(계정대체기준!$A$6:$A$15,$N3907)&gt;0),IFERROR(INDEX(계정대체기준!$E$6:$E$15,MATCH(VALUE($A3907&amp;""),계정대체기준!$D$6:$D$15,0)),0),0))</f>
        <v/>
      </c>
      <c r="AH3907" s="64">
        <f>IF($A3907="","",IF(AD3907=0,"",IF(OR(COUNTIF(계정대체기준!$A$77:$A$86,$N3907)&gt;0,ISNUMBER(MATCH($X3907,계정대체기준!$D$77:$D$86,0)),ISNUMBER(MATCH($F3907,계정대체기준!$D$77:$D$86,0))),"Y","N")))</f>
        <v/>
      </c>
    </row>
    <row r="3908">
      <c r="A3908" s="92" t="n">
        <v>2026</v>
      </c>
      <c r="B3908" s="92" t="n">
        <v>6</v>
      </c>
      <c r="C3908" s="92" t="inlineStr">
        <is>
          <t>5100001186</t>
        </is>
      </c>
      <c r="D3908" s="95" t="n">
        <v>46180</v>
      </c>
      <c r="E3908" s="92" t="inlineStr">
        <is>
          <t>KR</t>
        </is>
      </c>
      <c r="F3908" s="92" t="n">
        <v>62102000</v>
      </c>
      <c r="G3908" s="92" t="n">
        <v>1401</v>
      </c>
      <c r="H3908" s="93" t="n">
        <v>105000</v>
      </c>
      <c r="I3908" s="92" t="inlineStr">
        <is>
          <t>6월 해외출장 - N호텔</t>
        </is>
      </c>
      <c r="J3908" s="92" t="inlineStr">
        <is>
          <t>V10009</t>
        </is>
      </c>
      <c r="K3908" s="92" t="inlineStr">
        <is>
          <t>N호텔</t>
        </is>
      </c>
      <c r="M3908" s="9">
        <f>IF($A3908="","",VALUE($A3908&amp;"")*12+VALUE($B3908&amp;""))</f>
        <v/>
      </c>
      <c r="N3908" s="64">
        <f>IF($A3908="","",IFERROR(INDEX(부서매핑!$C$5:$C$504,MATCH($G3908&amp;"",부서매핑!$A$5:$A$504,0)),"미매핑"))</f>
        <v/>
      </c>
      <c r="O3908" s="9">
        <f>IF($A3908="","",N3908&amp;"|"&amp;$F3908)</f>
        <v/>
      </c>
      <c r="P3908" s="94">
        <f>IF($A3908="",0,$H3908*설정!$C$23)</f>
        <v/>
      </c>
      <c r="Q3908" s="64">
        <f>IF($A3908="","",IF(O3908&lt;&gt;원인분석!$C$9,"",IF(AND(M3908&gt;=원인분석!$C$10,M3908&lt;=원인분석!$C$11),"당기",IF(AND(M3908&gt;=원인분석!$C$12,M3908&lt;=원인분석!$C$13),"비교",""))))</f>
        <v/>
      </c>
      <c r="R3908" s="9">
        <f>IF(Q3908="","",$K3908&amp;"")</f>
        <v/>
      </c>
      <c r="S3908" s="9">
        <f>IF(Q3908="","",IF(MATCH(R3908,$R$5:$R$100000,0)=ROW()-4,ROW(),""))</f>
        <v/>
      </c>
      <c r="T3908" s="9">
        <f>IF(Q3908="당기",ABS(P3908)+ROW()/1000000000,"")</f>
        <v/>
      </c>
      <c r="U3908" s="9">
        <f>IF(Q3908="비교",ABS(P3908)+ROW()/1000000000,"")</f>
        <v/>
      </c>
      <c r="V3908" s="64">
        <f>IF($A3908="","",IF(COUNTIF(변동분석!$E$7:$E$506,O3908)&gt;0,"Y","N"))</f>
        <v/>
      </c>
      <c r="W3908" s="64">
        <f>IF($A3908="","",IFERROR(INDEX(계정매핑!$D$5:$D$504,MATCH($F3908&amp;"",계정매핑!$A$5:$A$504,0)),"미매핑"))</f>
        <v/>
      </c>
      <c r="X3908" s="9">
        <f>IF($A3908="","",$F3908&amp;"")</f>
        <v/>
      </c>
      <c r="Y3908" s="94">
        <f>IF($A3908="",0,IF(AE3908="직접",IF(AF3908="비귀속",$P3908,0),$P3908*(1-AG3908)*IFERROR(INDEX(계정대체기준!$F$20:$F$49,MATCH($N3908,계정대체기준!$A$20:$A$49,0)),1)))</f>
        <v/>
      </c>
      <c r="Z3908" s="94">
        <f>IF($A3908="",0,IF(AE3908="직접",IF(AF3908="신계약비",$P3908,0),$P3908*(1-AG3908)*IFERROR(INDEX(계정대체기준!$C$20:$C$49,MATCH($N3908,계정대체기준!$A$20:$A$49,0)),0)))</f>
        <v/>
      </c>
      <c r="AA3908" s="94">
        <f>IF($A3908="",0,IF(AE3908="직접",IF(OR(AF3908="유지비",AF3908="손해조사비"),$P3908,0),$P3908*(1-AG3908)*IFERROR(INDEX(계정대체기준!$D$20:$D$49,MATCH($N3908,계정대체기준!$A$20:$A$49,0)),0)))</f>
        <v/>
      </c>
      <c r="AB3908" s="94">
        <f>IF($A3908="",0,IF(AE3908="직접",IF(AF3908="수금비",$P3908,0),$P3908*(1-AG3908)*IFERROR(INDEX(계정대체기준!$E$20:$E$49,MATCH($N3908,계정대체기준!$A$20:$A$49,0)),0)))</f>
        <v/>
      </c>
      <c r="AC3908" s="9">
        <f>IF(AND($A3908&lt;&gt;"",M3908=설정!$C$20,Z3908&gt;0),Z3908+ROW()/1000000000,"")</f>
        <v/>
      </c>
      <c r="AD3908" s="94">
        <f>IF($A3908="",0,$P3908*AG3908)</f>
        <v/>
      </c>
      <c r="AE3908" s="64">
        <f>IF($A3908="","",IFERROR(INDEX(계정매핑!$E$5:$E$504,MATCH($F3908&amp;"",계정매핑!$A$5:$A$504,0))&amp;"","공통비"))</f>
        <v/>
      </c>
      <c r="AF3908" s="64">
        <f>IF($A3908="","",IF(AE3908="직접",IFERROR(INDEX(계정매핑!$F$5:$F$504,MATCH($F3908&amp;"",계정매핑!$A$5:$A$504,0))&amp;"","비귀속"),""))</f>
        <v/>
      </c>
      <c r="AG3908" s="96">
        <f>IF($A3908="",0,IF(AND(AE3908&lt;&gt;"직접",IFERROR(INDEX(계정매핑!$G$5:$G$504,MATCH($F3908&amp;"",계정매핑!$A$5:$A$504,0))&amp;"","")="유지비",COUNTIF(계정대체기준!$A$6:$A$15,$N3908)&gt;0),IFERROR(INDEX(계정대체기준!$E$6:$E$15,MATCH(VALUE($A3908&amp;""),계정대체기준!$D$6:$D$15,0)),0),0))</f>
        <v/>
      </c>
      <c r="AH3908" s="64">
        <f>IF($A3908="","",IF(AD3908=0,"",IF(OR(COUNTIF(계정대체기준!$A$77:$A$86,$N3908)&gt;0,ISNUMBER(MATCH($X3908,계정대체기준!$D$77:$D$86,0)),ISNUMBER(MATCH($F3908,계정대체기준!$D$77:$D$86,0))),"Y","N")))</f>
        <v/>
      </c>
    </row>
    <row r="3909">
      <c r="A3909" s="92" t="n">
        <v>2026</v>
      </c>
      <c r="B3909" s="92" t="n">
        <v>6</v>
      </c>
      <c r="C3909" s="92" t="inlineStr">
        <is>
          <t>5100001187</t>
        </is>
      </c>
      <c r="D3909" s="95" t="n">
        <v>46180</v>
      </c>
      <c r="E3909" s="92" t="inlineStr">
        <is>
          <t>KR</t>
        </is>
      </c>
      <c r="F3909" s="92" t="n">
        <v>62301000</v>
      </c>
      <c r="G3909" s="92" t="n">
        <v>1401</v>
      </c>
      <c r="H3909" s="93" t="n">
        <v>212000</v>
      </c>
      <c r="I3909" s="92" t="inlineStr">
        <is>
          <t>6월 소모품 구입 - R문구</t>
        </is>
      </c>
      <c r="J3909" s="92" t="inlineStr">
        <is>
          <t>V10022</t>
        </is>
      </c>
      <c r="K3909" s="92" t="inlineStr">
        <is>
          <t>R문구</t>
        </is>
      </c>
      <c r="M3909" s="9">
        <f>IF($A3909="","",VALUE($A3909&amp;"")*12+VALUE($B3909&amp;""))</f>
        <v/>
      </c>
      <c r="N3909" s="64">
        <f>IF($A3909="","",IFERROR(INDEX(부서매핑!$C$5:$C$504,MATCH($G3909&amp;"",부서매핑!$A$5:$A$504,0)),"미매핑"))</f>
        <v/>
      </c>
      <c r="O3909" s="9">
        <f>IF($A3909="","",N3909&amp;"|"&amp;$F3909)</f>
        <v/>
      </c>
      <c r="P3909" s="94">
        <f>IF($A3909="",0,$H3909*설정!$C$23)</f>
        <v/>
      </c>
      <c r="Q3909" s="64">
        <f>IF($A3909="","",IF(O3909&lt;&gt;원인분석!$C$9,"",IF(AND(M3909&gt;=원인분석!$C$10,M3909&lt;=원인분석!$C$11),"당기",IF(AND(M3909&gt;=원인분석!$C$12,M3909&lt;=원인분석!$C$13),"비교",""))))</f>
        <v/>
      </c>
      <c r="R3909" s="9">
        <f>IF(Q3909="","",$K3909&amp;"")</f>
        <v/>
      </c>
      <c r="S3909" s="9">
        <f>IF(Q3909="","",IF(MATCH(R3909,$R$5:$R$100000,0)=ROW()-4,ROW(),""))</f>
        <v/>
      </c>
      <c r="T3909" s="9">
        <f>IF(Q3909="당기",ABS(P3909)+ROW()/1000000000,"")</f>
        <v/>
      </c>
      <c r="U3909" s="9">
        <f>IF(Q3909="비교",ABS(P3909)+ROW()/1000000000,"")</f>
        <v/>
      </c>
      <c r="V3909" s="64">
        <f>IF($A3909="","",IF(COUNTIF(변동분석!$E$7:$E$506,O3909)&gt;0,"Y","N"))</f>
        <v/>
      </c>
      <c r="W3909" s="64">
        <f>IF($A3909="","",IFERROR(INDEX(계정매핑!$D$5:$D$504,MATCH($F3909&amp;"",계정매핑!$A$5:$A$504,0)),"미매핑"))</f>
        <v/>
      </c>
      <c r="X3909" s="9">
        <f>IF($A3909="","",$F3909&amp;"")</f>
        <v/>
      </c>
      <c r="Y3909" s="94">
        <f>IF($A3909="",0,IF(AE3909="직접",IF(AF3909="비귀속",$P3909,0),$P3909*(1-AG3909)*IFERROR(INDEX(계정대체기준!$F$20:$F$49,MATCH($N3909,계정대체기준!$A$20:$A$49,0)),1)))</f>
        <v/>
      </c>
      <c r="Z3909" s="94">
        <f>IF($A3909="",0,IF(AE3909="직접",IF(AF3909="신계약비",$P3909,0),$P3909*(1-AG3909)*IFERROR(INDEX(계정대체기준!$C$20:$C$49,MATCH($N3909,계정대체기준!$A$20:$A$49,0)),0)))</f>
        <v/>
      </c>
      <c r="AA3909" s="94">
        <f>IF($A3909="",0,IF(AE3909="직접",IF(OR(AF3909="유지비",AF3909="손해조사비"),$P3909,0),$P3909*(1-AG3909)*IFERROR(INDEX(계정대체기준!$D$20:$D$49,MATCH($N3909,계정대체기준!$A$20:$A$49,0)),0)))</f>
        <v/>
      </c>
      <c r="AB3909" s="94">
        <f>IF($A3909="",0,IF(AE3909="직접",IF(AF3909="수금비",$P3909,0),$P3909*(1-AG3909)*IFERROR(INDEX(계정대체기준!$E$20:$E$49,MATCH($N3909,계정대체기준!$A$20:$A$49,0)),0)))</f>
        <v/>
      </c>
      <c r="AC3909" s="9">
        <f>IF(AND($A3909&lt;&gt;"",M3909=설정!$C$20,Z3909&gt;0),Z3909+ROW()/1000000000,"")</f>
        <v/>
      </c>
      <c r="AD3909" s="94">
        <f>IF($A3909="",0,$P3909*AG3909)</f>
        <v/>
      </c>
      <c r="AE3909" s="64">
        <f>IF($A3909="","",IFERROR(INDEX(계정매핑!$E$5:$E$504,MATCH($F3909&amp;"",계정매핑!$A$5:$A$504,0))&amp;"","공통비"))</f>
        <v/>
      </c>
      <c r="AF3909" s="64">
        <f>IF($A3909="","",IF(AE3909="직접",IFERROR(INDEX(계정매핑!$F$5:$F$504,MATCH($F3909&amp;"",계정매핑!$A$5:$A$504,0))&amp;"","비귀속"),""))</f>
        <v/>
      </c>
      <c r="AG3909" s="96">
        <f>IF($A3909="",0,IF(AND(AE3909&lt;&gt;"직접",IFERROR(INDEX(계정매핑!$G$5:$G$504,MATCH($F3909&amp;"",계정매핑!$A$5:$A$504,0))&amp;"","")="유지비",COUNTIF(계정대체기준!$A$6:$A$15,$N3909)&gt;0),IFERROR(INDEX(계정대체기준!$E$6:$E$15,MATCH(VALUE($A3909&amp;""),계정대체기준!$D$6:$D$15,0)),0),0))</f>
        <v/>
      </c>
      <c r="AH3909" s="64">
        <f>IF($A3909="","",IF(AD3909=0,"",IF(OR(COUNTIF(계정대체기준!$A$77:$A$86,$N3909)&gt;0,ISNUMBER(MATCH($X3909,계정대체기준!$D$77:$D$86,0)),ISNUMBER(MATCH($F3909,계정대체기준!$D$77:$D$86,0))),"Y","N")))</f>
        <v/>
      </c>
    </row>
    <row r="3910">
      <c r="A3910" s="92" t="n">
        <v>2026</v>
      </c>
      <c r="B3910" s="92" t="n">
        <v>6</v>
      </c>
      <c r="C3910" s="92" t="inlineStr">
        <is>
          <t>5100001188</t>
        </is>
      </c>
      <c r="D3910" s="95" t="n">
        <v>46180</v>
      </c>
      <c r="E3910" s="92" t="inlineStr">
        <is>
          <t>KR</t>
        </is>
      </c>
      <c r="F3910" s="92" t="n">
        <v>62501000</v>
      </c>
      <c r="G3910" s="92" t="n">
        <v>1301</v>
      </c>
      <c r="H3910" s="93" t="n">
        <v>212000</v>
      </c>
      <c r="I3910" s="92" t="inlineStr">
        <is>
          <t>6월 회의 다과 - T케이터링</t>
        </is>
      </c>
      <c r="J3910" s="92" t="inlineStr">
        <is>
          <t>V10005</t>
        </is>
      </c>
      <c r="K3910" s="92" t="inlineStr">
        <is>
          <t>T케이터링</t>
        </is>
      </c>
      <c r="M3910" s="9">
        <f>IF($A3910="","",VALUE($A3910&amp;"")*12+VALUE($B3910&amp;""))</f>
        <v/>
      </c>
      <c r="N3910" s="64">
        <f>IF($A3910="","",IFERROR(INDEX(부서매핑!$C$5:$C$504,MATCH($G3910&amp;"",부서매핑!$A$5:$A$504,0)),"미매핑"))</f>
        <v/>
      </c>
      <c r="O3910" s="9">
        <f>IF($A3910="","",N3910&amp;"|"&amp;$F3910)</f>
        <v/>
      </c>
      <c r="P3910" s="94">
        <f>IF($A3910="",0,$H3910*설정!$C$23)</f>
        <v/>
      </c>
      <c r="Q3910" s="64">
        <f>IF($A3910="","",IF(O3910&lt;&gt;원인분석!$C$9,"",IF(AND(M3910&gt;=원인분석!$C$10,M3910&lt;=원인분석!$C$11),"당기",IF(AND(M3910&gt;=원인분석!$C$12,M3910&lt;=원인분석!$C$13),"비교",""))))</f>
        <v/>
      </c>
      <c r="R3910" s="9">
        <f>IF(Q3910="","",$K3910&amp;"")</f>
        <v/>
      </c>
      <c r="S3910" s="9">
        <f>IF(Q3910="","",IF(MATCH(R3910,$R$5:$R$100000,0)=ROW()-4,ROW(),""))</f>
        <v/>
      </c>
      <c r="T3910" s="9">
        <f>IF(Q3910="당기",ABS(P3910)+ROW()/1000000000,"")</f>
        <v/>
      </c>
      <c r="U3910" s="9">
        <f>IF(Q3910="비교",ABS(P3910)+ROW()/1000000000,"")</f>
        <v/>
      </c>
      <c r="V3910" s="64">
        <f>IF($A3910="","",IF(COUNTIF(변동분석!$E$7:$E$506,O3910)&gt;0,"Y","N"))</f>
        <v/>
      </c>
      <c r="W3910" s="64">
        <f>IF($A3910="","",IFERROR(INDEX(계정매핑!$D$5:$D$504,MATCH($F3910&amp;"",계정매핑!$A$5:$A$504,0)),"미매핑"))</f>
        <v/>
      </c>
      <c r="X3910" s="9">
        <f>IF($A3910="","",$F3910&amp;"")</f>
        <v/>
      </c>
      <c r="Y3910" s="94">
        <f>IF($A3910="",0,IF(AE3910="직접",IF(AF3910="비귀속",$P3910,0),$P3910*(1-AG3910)*IFERROR(INDEX(계정대체기준!$F$20:$F$49,MATCH($N3910,계정대체기준!$A$20:$A$49,0)),1)))</f>
        <v/>
      </c>
      <c r="Z3910" s="94">
        <f>IF($A3910="",0,IF(AE3910="직접",IF(AF3910="신계약비",$P3910,0),$P3910*(1-AG3910)*IFERROR(INDEX(계정대체기준!$C$20:$C$49,MATCH($N3910,계정대체기준!$A$20:$A$49,0)),0)))</f>
        <v/>
      </c>
      <c r="AA3910" s="94">
        <f>IF($A3910="",0,IF(AE3910="직접",IF(OR(AF3910="유지비",AF3910="손해조사비"),$P3910,0),$P3910*(1-AG3910)*IFERROR(INDEX(계정대체기준!$D$20:$D$49,MATCH($N3910,계정대체기준!$A$20:$A$49,0)),0)))</f>
        <v/>
      </c>
      <c r="AB3910" s="94">
        <f>IF($A3910="",0,IF(AE3910="직접",IF(AF3910="수금비",$P3910,0),$P3910*(1-AG3910)*IFERROR(INDEX(계정대체기준!$E$20:$E$49,MATCH($N3910,계정대체기준!$A$20:$A$49,0)),0)))</f>
        <v/>
      </c>
      <c r="AC3910" s="9">
        <f>IF(AND($A3910&lt;&gt;"",M3910=설정!$C$20,Z3910&gt;0),Z3910+ROW()/1000000000,"")</f>
        <v/>
      </c>
      <c r="AD3910" s="94">
        <f>IF($A3910="",0,$P3910*AG3910)</f>
        <v/>
      </c>
      <c r="AE3910" s="64">
        <f>IF($A3910="","",IFERROR(INDEX(계정매핑!$E$5:$E$504,MATCH($F3910&amp;"",계정매핑!$A$5:$A$504,0))&amp;"","공통비"))</f>
        <v/>
      </c>
      <c r="AF3910" s="64">
        <f>IF($A3910="","",IF(AE3910="직접",IFERROR(INDEX(계정매핑!$F$5:$F$504,MATCH($F3910&amp;"",계정매핑!$A$5:$A$504,0))&amp;"","비귀속"),""))</f>
        <v/>
      </c>
      <c r="AG3910" s="96">
        <f>IF($A3910="",0,IF(AND(AE3910&lt;&gt;"직접",IFERROR(INDEX(계정매핑!$G$5:$G$504,MATCH($F3910&amp;"",계정매핑!$A$5:$A$504,0))&amp;"","")="유지비",COUNTIF(계정대체기준!$A$6:$A$15,$N3910)&gt;0),IFERROR(INDEX(계정대체기준!$E$6:$E$15,MATCH(VALUE($A3910&amp;""),계정대체기준!$D$6:$D$15,0)),0),0))</f>
        <v/>
      </c>
      <c r="AH3910" s="64">
        <f>IF($A3910="","",IF(AD3910=0,"",IF(OR(COUNTIF(계정대체기준!$A$77:$A$86,$N3910)&gt;0,ISNUMBER(MATCH($X3910,계정대체기준!$D$77:$D$86,0)),ISNUMBER(MATCH($F3910,계정대체기준!$D$77:$D$86,0))),"Y","N")))</f>
        <v/>
      </c>
    </row>
    <row r="3911">
      <c r="A3911" s="92" t="n">
        <v>2026</v>
      </c>
      <c r="B3911" s="92" t="n">
        <v>6</v>
      </c>
      <c r="C3911" s="92" t="inlineStr">
        <is>
          <t>5100001189</t>
        </is>
      </c>
      <c r="D3911" s="95" t="n">
        <v>46180</v>
      </c>
      <c r="E3911" s="92" t="inlineStr">
        <is>
          <t>KR</t>
        </is>
      </c>
      <c r="F3911" s="92" t="n">
        <v>62902000</v>
      </c>
      <c r="G3911" s="92" t="n">
        <v>1201</v>
      </c>
      <c r="H3911" s="93" t="n">
        <v>4977000</v>
      </c>
      <c r="I3911" s="92" t="inlineStr">
        <is>
          <t>6월 업무 위탁 수수료 - X서비스</t>
        </is>
      </c>
      <c r="J3911" s="92" t="inlineStr">
        <is>
          <t>V10020</t>
        </is>
      </c>
      <c r="K3911" s="92" t="inlineStr">
        <is>
          <t>X서비스</t>
        </is>
      </c>
      <c r="M3911" s="9">
        <f>IF($A3911="","",VALUE($A3911&amp;"")*12+VALUE($B3911&amp;""))</f>
        <v/>
      </c>
      <c r="N3911" s="64">
        <f>IF($A3911="","",IFERROR(INDEX(부서매핑!$C$5:$C$504,MATCH($G3911&amp;"",부서매핑!$A$5:$A$504,0)),"미매핑"))</f>
        <v/>
      </c>
      <c r="O3911" s="9">
        <f>IF($A3911="","",N3911&amp;"|"&amp;$F3911)</f>
        <v/>
      </c>
      <c r="P3911" s="94">
        <f>IF($A3911="",0,$H3911*설정!$C$23)</f>
        <v/>
      </c>
      <c r="Q3911" s="64">
        <f>IF($A3911="","",IF(O3911&lt;&gt;원인분석!$C$9,"",IF(AND(M3911&gt;=원인분석!$C$10,M3911&lt;=원인분석!$C$11),"당기",IF(AND(M3911&gt;=원인분석!$C$12,M3911&lt;=원인분석!$C$13),"비교",""))))</f>
        <v/>
      </c>
      <c r="R3911" s="9">
        <f>IF(Q3911="","",$K3911&amp;"")</f>
        <v/>
      </c>
      <c r="S3911" s="9">
        <f>IF(Q3911="","",IF(MATCH(R3911,$R$5:$R$100000,0)=ROW()-4,ROW(),""))</f>
        <v/>
      </c>
      <c r="T3911" s="9">
        <f>IF(Q3911="당기",ABS(P3911)+ROW()/1000000000,"")</f>
        <v/>
      </c>
      <c r="U3911" s="9">
        <f>IF(Q3911="비교",ABS(P3911)+ROW()/1000000000,"")</f>
        <v/>
      </c>
      <c r="V3911" s="64">
        <f>IF($A3911="","",IF(COUNTIF(변동분석!$E$7:$E$506,O3911)&gt;0,"Y","N"))</f>
        <v/>
      </c>
      <c r="W3911" s="64">
        <f>IF($A3911="","",IFERROR(INDEX(계정매핑!$D$5:$D$504,MATCH($F3911&amp;"",계정매핑!$A$5:$A$504,0)),"미매핑"))</f>
        <v/>
      </c>
      <c r="X3911" s="9">
        <f>IF($A3911="","",$F3911&amp;"")</f>
        <v/>
      </c>
      <c r="Y3911" s="94">
        <f>IF($A3911="",0,IF(AE3911="직접",IF(AF3911="비귀속",$P3911,0),$P3911*(1-AG3911)*IFERROR(INDEX(계정대체기준!$F$20:$F$49,MATCH($N3911,계정대체기준!$A$20:$A$49,0)),1)))</f>
        <v/>
      </c>
      <c r="Z3911" s="94">
        <f>IF($A3911="",0,IF(AE3911="직접",IF(AF3911="신계약비",$P3911,0),$P3911*(1-AG3911)*IFERROR(INDEX(계정대체기준!$C$20:$C$49,MATCH($N3911,계정대체기준!$A$20:$A$49,0)),0)))</f>
        <v/>
      </c>
      <c r="AA3911" s="94">
        <f>IF($A3911="",0,IF(AE3911="직접",IF(OR(AF3911="유지비",AF3911="손해조사비"),$P3911,0),$P3911*(1-AG3911)*IFERROR(INDEX(계정대체기준!$D$20:$D$49,MATCH($N3911,계정대체기준!$A$20:$A$49,0)),0)))</f>
        <v/>
      </c>
      <c r="AB3911" s="94">
        <f>IF($A3911="",0,IF(AE3911="직접",IF(AF3911="수금비",$P3911,0),$P3911*(1-AG3911)*IFERROR(INDEX(계정대체기준!$E$20:$E$49,MATCH($N3911,계정대체기준!$A$20:$A$49,0)),0)))</f>
        <v/>
      </c>
      <c r="AC3911" s="9">
        <f>IF(AND($A3911&lt;&gt;"",M3911=설정!$C$20,Z3911&gt;0),Z3911+ROW()/1000000000,"")</f>
        <v/>
      </c>
      <c r="AD3911" s="94">
        <f>IF($A3911="",0,$P3911*AG3911)</f>
        <v/>
      </c>
      <c r="AE3911" s="64">
        <f>IF($A3911="","",IFERROR(INDEX(계정매핑!$E$5:$E$504,MATCH($F3911&amp;"",계정매핑!$A$5:$A$504,0))&amp;"","공통비"))</f>
        <v/>
      </c>
      <c r="AF3911" s="64">
        <f>IF($A3911="","",IF(AE3911="직접",IFERROR(INDEX(계정매핑!$F$5:$F$504,MATCH($F3911&amp;"",계정매핑!$A$5:$A$504,0))&amp;"","비귀속"),""))</f>
        <v/>
      </c>
      <c r="AG3911" s="96">
        <f>IF($A3911="",0,IF(AND(AE3911&lt;&gt;"직접",IFERROR(INDEX(계정매핑!$G$5:$G$504,MATCH($F3911&amp;"",계정매핑!$A$5:$A$504,0))&amp;"","")="유지비",COUNTIF(계정대체기준!$A$6:$A$15,$N3911)&gt;0),IFERROR(INDEX(계정대체기준!$E$6:$E$15,MATCH(VALUE($A3911&amp;""),계정대체기준!$D$6:$D$15,0)),0),0))</f>
        <v/>
      </c>
      <c r="AH3911" s="64">
        <f>IF($A3911="","",IF(AD3911=0,"",IF(OR(COUNTIF(계정대체기준!$A$77:$A$86,$N3911)&gt;0,ISNUMBER(MATCH($X3911,계정대체기준!$D$77:$D$86,0)),ISNUMBER(MATCH($F3911,계정대체기준!$D$77:$D$86,0))),"Y","N")))</f>
        <v/>
      </c>
    </row>
    <row r="3912">
      <c r="A3912" s="92" t="n">
        <v>2026</v>
      </c>
      <c r="B3912" s="92" t="n">
        <v>6</v>
      </c>
      <c r="C3912" s="92" t="inlineStr">
        <is>
          <t>5100001190</t>
        </is>
      </c>
      <c r="D3912" s="95" t="n">
        <v>46181</v>
      </c>
      <c r="E3912" s="92" t="inlineStr">
        <is>
          <t>KR</t>
        </is>
      </c>
      <c r="F3912" s="92" t="n">
        <v>62101000</v>
      </c>
      <c r="G3912" s="92" t="n">
        <v>1101</v>
      </c>
      <c r="H3912" s="93" t="n">
        <v>398000</v>
      </c>
      <c r="I3912" s="92" t="inlineStr">
        <is>
          <t>6월 국내출장 - (법인카드)</t>
        </is>
      </c>
      <c r="J3912" s="92" t="inlineStr">
        <is>
          <t>V10010</t>
        </is>
      </c>
      <c r="K3912" s="92" t="inlineStr">
        <is>
          <t>(법인카드)</t>
        </is>
      </c>
      <c r="M3912" s="9">
        <f>IF($A3912="","",VALUE($A3912&amp;"")*12+VALUE($B3912&amp;""))</f>
        <v/>
      </c>
      <c r="N3912" s="64">
        <f>IF($A3912="","",IFERROR(INDEX(부서매핑!$C$5:$C$504,MATCH($G3912&amp;"",부서매핑!$A$5:$A$504,0)),"미매핑"))</f>
        <v/>
      </c>
      <c r="O3912" s="9">
        <f>IF($A3912="","",N3912&amp;"|"&amp;$F3912)</f>
        <v/>
      </c>
      <c r="P3912" s="94">
        <f>IF($A3912="",0,$H3912*설정!$C$23)</f>
        <v/>
      </c>
      <c r="Q3912" s="64">
        <f>IF($A3912="","",IF(O3912&lt;&gt;원인분석!$C$9,"",IF(AND(M3912&gt;=원인분석!$C$10,M3912&lt;=원인분석!$C$11),"당기",IF(AND(M3912&gt;=원인분석!$C$12,M3912&lt;=원인분석!$C$13),"비교",""))))</f>
        <v/>
      </c>
      <c r="R3912" s="9">
        <f>IF(Q3912="","",$K3912&amp;"")</f>
        <v/>
      </c>
      <c r="S3912" s="9">
        <f>IF(Q3912="","",IF(MATCH(R3912,$R$5:$R$100000,0)=ROW()-4,ROW(),""))</f>
        <v/>
      </c>
      <c r="T3912" s="9">
        <f>IF(Q3912="당기",ABS(P3912)+ROW()/1000000000,"")</f>
        <v/>
      </c>
      <c r="U3912" s="9">
        <f>IF(Q3912="비교",ABS(P3912)+ROW()/1000000000,"")</f>
        <v/>
      </c>
      <c r="V3912" s="64">
        <f>IF($A3912="","",IF(COUNTIF(변동분석!$E$7:$E$506,O3912)&gt;0,"Y","N"))</f>
        <v/>
      </c>
      <c r="W3912" s="64">
        <f>IF($A3912="","",IFERROR(INDEX(계정매핑!$D$5:$D$504,MATCH($F3912&amp;"",계정매핑!$A$5:$A$504,0)),"미매핑"))</f>
        <v/>
      </c>
      <c r="X3912" s="9">
        <f>IF($A3912="","",$F3912&amp;"")</f>
        <v/>
      </c>
      <c r="Y3912" s="94">
        <f>IF($A3912="",0,IF(AE3912="직접",IF(AF3912="비귀속",$P3912,0),$P3912*(1-AG3912)*IFERROR(INDEX(계정대체기준!$F$20:$F$49,MATCH($N3912,계정대체기준!$A$20:$A$49,0)),1)))</f>
        <v/>
      </c>
      <c r="Z3912" s="94">
        <f>IF($A3912="",0,IF(AE3912="직접",IF(AF3912="신계약비",$P3912,0),$P3912*(1-AG3912)*IFERROR(INDEX(계정대체기준!$C$20:$C$49,MATCH($N3912,계정대체기준!$A$20:$A$49,0)),0)))</f>
        <v/>
      </c>
      <c r="AA3912" s="94">
        <f>IF($A3912="",0,IF(AE3912="직접",IF(OR(AF3912="유지비",AF3912="손해조사비"),$P3912,0),$P3912*(1-AG3912)*IFERROR(INDEX(계정대체기준!$D$20:$D$49,MATCH($N3912,계정대체기준!$A$20:$A$49,0)),0)))</f>
        <v/>
      </c>
      <c r="AB3912" s="94">
        <f>IF($A3912="",0,IF(AE3912="직접",IF(AF3912="수금비",$P3912,0),$P3912*(1-AG3912)*IFERROR(INDEX(계정대체기준!$E$20:$E$49,MATCH($N3912,계정대체기준!$A$20:$A$49,0)),0)))</f>
        <v/>
      </c>
      <c r="AC3912" s="9">
        <f>IF(AND($A3912&lt;&gt;"",M3912=설정!$C$20,Z3912&gt;0),Z3912+ROW()/1000000000,"")</f>
        <v/>
      </c>
      <c r="AD3912" s="94">
        <f>IF($A3912="",0,$P3912*AG3912)</f>
        <v/>
      </c>
      <c r="AE3912" s="64">
        <f>IF($A3912="","",IFERROR(INDEX(계정매핑!$E$5:$E$504,MATCH($F3912&amp;"",계정매핑!$A$5:$A$504,0))&amp;"","공통비"))</f>
        <v/>
      </c>
      <c r="AF3912" s="64">
        <f>IF($A3912="","",IF(AE3912="직접",IFERROR(INDEX(계정매핑!$F$5:$F$504,MATCH($F3912&amp;"",계정매핑!$A$5:$A$504,0))&amp;"","비귀속"),""))</f>
        <v/>
      </c>
      <c r="AG3912" s="96">
        <f>IF($A3912="",0,IF(AND(AE3912&lt;&gt;"직접",IFERROR(INDEX(계정매핑!$G$5:$G$504,MATCH($F3912&amp;"",계정매핑!$A$5:$A$504,0))&amp;"","")="유지비",COUNTIF(계정대체기준!$A$6:$A$15,$N3912)&gt;0),IFERROR(INDEX(계정대체기준!$E$6:$E$15,MATCH(VALUE($A3912&amp;""),계정대체기준!$D$6:$D$15,0)),0),0))</f>
        <v/>
      </c>
      <c r="AH3912" s="64">
        <f>IF($A3912="","",IF(AD3912=0,"",IF(OR(COUNTIF(계정대체기준!$A$77:$A$86,$N3912)&gt;0,ISNUMBER(MATCH($X3912,계정대체기준!$D$77:$D$86,0)),ISNUMBER(MATCH($F3912,계정대체기준!$D$77:$D$86,0))),"Y","N")))</f>
        <v/>
      </c>
    </row>
    <row r="3913">
      <c r="A3913" s="92" t="n">
        <v>2026</v>
      </c>
      <c r="B3913" s="92" t="n">
        <v>6</v>
      </c>
      <c r="C3913" s="92" t="inlineStr">
        <is>
          <t>5100001191</t>
        </is>
      </c>
      <c r="D3913" s="95" t="n">
        <v>46181</v>
      </c>
      <c r="E3913" s="92" t="inlineStr">
        <is>
          <t>KR</t>
        </is>
      </c>
      <c r="F3913" s="92" t="n">
        <v>62101000</v>
      </c>
      <c r="G3913" s="92" t="n">
        <v>1301</v>
      </c>
      <c r="H3913" s="93" t="n">
        <v>733000</v>
      </c>
      <c r="I3913" s="92" t="inlineStr">
        <is>
          <t>6월 국내출장 - (법인카드)</t>
        </is>
      </c>
      <c r="J3913" s="92" t="inlineStr">
        <is>
          <t>V10010</t>
        </is>
      </c>
      <c r="K3913" s="92" t="inlineStr">
        <is>
          <t>(법인카드)</t>
        </is>
      </c>
      <c r="M3913" s="9">
        <f>IF($A3913="","",VALUE($A3913&amp;"")*12+VALUE($B3913&amp;""))</f>
        <v/>
      </c>
      <c r="N3913" s="64">
        <f>IF($A3913="","",IFERROR(INDEX(부서매핑!$C$5:$C$504,MATCH($G3913&amp;"",부서매핑!$A$5:$A$504,0)),"미매핑"))</f>
        <v/>
      </c>
      <c r="O3913" s="9">
        <f>IF($A3913="","",N3913&amp;"|"&amp;$F3913)</f>
        <v/>
      </c>
      <c r="P3913" s="94">
        <f>IF($A3913="",0,$H3913*설정!$C$23)</f>
        <v/>
      </c>
      <c r="Q3913" s="64">
        <f>IF($A3913="","",IF(O3913&lt;&gt;원인분석!$C$9,"",IF(AND(M3913&gt;=원인분석!$C$10,M3913&lt;=원인분석!$C$11),"당기",IF(AND(M3913&gt;=원인분석!$C$12,M3913&lt;=원인분석!$C$13),"비교",""))))</f>
        <v/>
      </c>
      <c r="R3913" s="9">
        <f>IF(Q3913="","",$K3913&amp;"")</f>
        <v/>
      </c>
      <c r="S3913" s="9">
        <f>IF(Q3913="","",IF(MATCH(R3913,$R$5:$R$100000,0)=ROW()-4,ROW(),""))</f>
        <v/>
      </c>
      <c r="T3913" s="9">
        <f>IF(Q3913="당기",ABS(P3913)+ROW()/1000000000,"")</f>
        <v/>
      </c>
      <c r="U3913" s="9">
        <f>IF(Q3913="비교",ABS(P3913)+ROW()/1000000000,"")</f>
        <v/>
      </c>
      <c r="V3913" s="64">
        <f>IF($A3913="","",IF(COUNTIF(변동분석!$E$7:$E$506,O3913)&gt;0,"Y","N"))</f>
        <v/>
      </c>
      <c r="W3913" s="64">
        <f>IF($A3913="","",IFERROR(INDEX(계정매핑!$D$5:$D$504,MATCH($F3913&amp;"",계정매핑!$A$5:$A$504,0)),"미매핑"))</f>
        <v/>
      </c>
      <c r="X3913" s="9">
        <f>IF($A3913="","",$F3913&amp;"")</f>
        <v/>
      </c>
      <c r="Y3913" s="94">
        <f>IF($A3913="",0,IF(AE3913="직접",IF(AF3913="비귀속",$P3913,0),$P3913*(1-AG3913)*IFERROR(INDEX(계정대체기준!$F$20:$F$49,MATCH($N3913,계정대체기준!$A$20:$A$49,0)),1)))</f>
        <v/>
      </c>
      <c r="Z3913" s="94">
        <f>IF($A3913="",0,IF(AE3913="직접",IF(AF3913="신계약비",$P3913,0),$P3913*(1-AG3913)*IFERROR(INDEX(계정대체기준!$C$20:$C$49,MATCH($N3913,계정대체기준!$A$20:$A$49,0)),0)))</f>
        <v/>
      </c>
      <c r="AA3913" s="94">
        <f>IF($A3913="",0,IF(AE3913="직접",IF(OR(AF3913="유지비",AF3913="손해조사비"),$P3913,0),$P3913*(1-AG3913)*IFERROR(INDEX(계정대체기준!$D$20:$D$49,MATCH($N3913,계정대체기준!$A$20:$A$49,0)),0)))</f>
        <v/>
      </c>
      <c r="AB3913" s="94">
        <f>IF($A3913="",0,IF(AE3913="직접",IF(AF3913="수금비",$P3913,0),$P3913*(1-AG3913)*IFERROR(INDEX(계정대체기준!$E$20:$E$49,MATCH($N3913,계정대체기준!$A$20:$A$49,0)),0)))</f>
        <v/>
      </c>
      <c r="AC3913" s="9">
        <f>IF(AND($A3913&lt;&gt;"",M3913=설정!$C$20,Z3913&gt;0),Z3913+ROW()/1000000000,"")</f>
        <v/>
      </c>
      <c r="AD3913" s="94">
        <f>IF($A3913="",0,$P3913*AG3913)</f>
        <v/>
      </c>
      <c r="AE3913" s="64">
        <f>IF($A3913="","",IFERROR(INDEX(계정매핑!$E$5:$E$504,MATCH($F3913&amp;"",계정매핑!$A$5:$A$504,0))&amp;"","공통비"))</f>
        <v/>
      </c>
      <c r="AF3913" s="64">
        <f>IF($A3913="","",IF(AE3913="직접",IFERROR(INDEX(계정매핑!$F$5:$F$504,MATCH($F3913&amp;"",계정매핑!$A$5:$A$504,0))&amp;"","비귀속"),""))</f>
        <v/>
      </c>
      <c r="AG3913" s="96">
        <f>IF($A3913="",0,IF(AND(AE3913&lt;&gt;"직접",IFERROR(INDEX(계정매핑!$G$5:$G$504,MATCH($F3913&amp;"",계정매핑!$A$5:$A$504,0))&amp;"","")="유지비",COUNTIF(계정대체기준!$A$6:$A$15,$N3913)&gt;0),IFERROR(INDEX(계정대체기준!$E$6:$E$15,MATCH(VALUE($A3913&amp;""),계정대체기준!$D$6:$D$15,0)),0),0))</f>
        <v/>
      </c>
      <c r="AH3913" s="64">
        <f>IF($A3913="","",IF(AD3913=0,"",IF(OR(COUNTIF(계정대체기준!$A$77:$A$86,$N3913)&gt;0,ISNUMBER(MATCH($X3913,계정대체기준!$D$77:$D$86,0)),ISNUMBER(MATCH($F3913,계정대체기준!$D$77:$D$86,0))),"Y","N")))</f>
        <v/>
      </c>
    </row>
    <row r="3914">
      <c r="A3914" s="92" t="n">
        <v>2026</v>
      </c>
      <c r="B3914" s="92" t="n">
        <v>6</v>
      </c>
      <c r="C3914" s="92" t="inlineStr">
        <is>
          <t>5100001192</t>
        </is>
      </c>
      <c r="D3914" s="95" t="n">
        <v>46181</v>
      </c>
      <c r="E3914" s="92" t="inlineStr">
        <is>
          <t>KR</t>
        </is>
      </c>
      <c r="F3914" s="92" t="n">
        <v>62101000</v>
      </c>
      <c r="G3914" s="92" t="n">
        <v>1701</v>
      </c>
      <c r="H3914" s="93" t="n">
        <v>194000</v>
      </c>
      <c r="I3914" s="92" t="inlineStr">
        <is>
          <t>6월 국내출장 - M항공</t>
        </is>
      </c>
      <c r="J3914" s="92" t="inlineStr">
        <is>
          <t>V10001</t>
        </is>
      </c>
      <c r="K3914" s="92" t="inlineStr">
        <is>
          <t>M항공</t>
        </is>
      </c>
      <c r="M3914" s="9">
        <f>IF($A3914="","",VALUE($A3914&amp;"")*12+VALUE($B3914&amp;""))</f>
        <v/>
      </c>
      <c r="N3914" s="64">
        <f>IF($A3914="","",IFERROR(INDEX(부서매핑!$C$5:$C$504,MATCH($G3914&amp;"",부서매핑!$A$5:$A$504,0)),"미매핑"))</f>
        <v/>
      </c>
      <c r="O3914" s="9">
        <f>IF($A3914="","",N3914&amp;"|"&amp;$F3914)</f>
        <v/>
      </c>
      <c r="P3914" s="94">
        <f>IF($A3914="",0,$H3914*설정!$C$23)</f>
        <v/>
      </c>
      <c r="Q3914" s="64">
        <f>IF($A3914="","",IF(O3914&lt;&gt;원인분석!$C$9,"",IF(AND(M3914&gt;=원인분석!$C$10,M3914&lt;=원인분석!$C$11),"당기",IF(AND(M3914&gt;=원인분석!$C$12,M3914&lt;=원인분석!$C$13),"비교",""))))</f>
        <v/>
      </c>
      <c r="R3914" s="9">
        <f>IF(Q3914="","",$K3914&amp;"")</f>
        <v/>
      </c>
      <c r="S3914" s="9">
        <f>IF(Q3914="","",IF(MATCH(R3914,$R$5:$R$100000,0)=ROW()-4,ROW(),""))</f>
        <v/>
      </c>
      <c r="T3914" s="9">
        <f>IF(Q3914="당기",ABS(P3914)+ROW()/1000000000,"")</f>
        <v/>
      </c>
      <c r="U3914" s="9">
        <f>IF(Q3914="비교",ABS(P3914)+ROW()/1000000000,"")</f>
        <v/>
      </c>
      <c r="V3914" s="64">
        <f>IF($A3914="","",IF(COUNTIF(변동분석!$E$7:$E$506,O3914)&gt;0,"Y","N"))</f>
        <v/>
      </c>
      <c r="W3914" s="64">
        <f>IF($A3914="","",IFERROR(INDEX(계정매핑!$D$5:$D$504,MATCH($F3914&amp;"",계정매핑!$A$5:$A$504,0)),"미매핑"))</f>
        <v/>
      </c>
      <c r="X3914" s="9">
        <f>IF($A3914="","",$F3914&amp;"")</f>
        <v/>
      </c>
      <c r="Y3914" s="94">
        <f>IF($A3914="",0,IF(AE3914="직접",IF(AF3914="비귀속",$P3914,0),$P3914*(1-AG3914)*IFERROR(INDEX(계정대체기준!$F$20:$F$49,MATCH($N3914,계정대체기준!$A$20:$A$49,0)),1)))</f>
        <v/>
      </c>
      <c r="Z3914" s="94">
        <f>IF($A3914="",0,IF(AE3914="직접",IF(AF3914="신계약비",$P3914,0),$P3914*(1-AG3914)*IFERROR(INDEX(계정대체기준!$C$20:$C$49,MATCH($N3914,계정대체기준!$A$20:$A$49,0)),0)))</f>
        <v/>
      </c>
      <c r="AA3914" s="94">
        <f>IF($A3914="",0,IF(AE3914="직접",IF(OR(AF3914="유지비",AF3914="손해조사비"),$P3914,0),$P3914*(1-AG3914)*IFERROR(INDEX(계정대체기준!$D$20:$D$49,MATCH($N3914,계정대체기준!$A$20:$A$49,0)),0)))</f>
        <v/>
      </c>
      <c r="AB3914" s="94">
        <f>IF($A3914="",0,IF(AE3914="직접",IF(AF3914="수금비",$P3914,0),$P3914*(1-AG3914)*IFERROR(INDEX(계정대체기준!$E$20:$E$49,MATCH($N3914,계정대체기준!$A$20:$A$49,0)),0)))</f>
        <v/>
      </c>
      <c r="AC3914" s="9">
        <f>IF(AND($A3914&lt;&gt;"",M3914=설정!$C$20,Z3914&gt;0),Z3914+ROW()/1000000000,"")</f>
        <v/>
      </c>
      <c r="AD3914" s="94">
        <f>IF($A3914="",0,$P3914*AG3914)</f>
        <v/>
      </c>
      <c r="AE3914" s="64">
        <f>IF($A3914="","",IFERROR(INDEX(계정매핑!$E$5:$E$504,MATCH($F3914&amp;"",계정매핑!$A$5:$A$504,0))&amp;"","공통비"))</f>
        <v/>
      </c>
      <c r="AF3914" s="64">
        <f>IF($A3914="","",IF(AE3914="직접",IFERROR(INDEX(계정매핑!$F$5:$F$504,MATCH($F3914&amp;"",계정매핑!$A$5:$A$504,0))&amp;"","비귀속"),""))</f>
        <v/>
      </c>
      <c r="AG3914" s="96">
        <f>IF($A3914="",0,IF(AND(AE3914&lt;&gt;"직접",IFERROR(INDEX(계정매핑!$G$5:$G$504,MATCH($F3914&amp;"",계정매핑!$A$5:$A$504,0))&amp;"","")="유지비",COUNTIF(계정대체기준!$A$6:$A$15,$N3914)&gt;0),IFERROR(INDEX(계정대체기준!$E$6:$E$15,MATCH(VALUE($A3914&amp;""),계정대체기준!$D$6:$D$15,0)),0),0))</f>
        <v/>
      </c>
      <c r="AH3914" s="64">
        <f>IF($A3914="","",IF(AD3914=0,"",IF(OR(COUNTIF(계정대체기준!$A$77:$A$86,$N3914)&gt;0,ISNUMBER(MATCH($X3914,계정대체기준!$D$77:$D$86,0)),ISNUMBER(MATCH($F3914,계정대체기준!$D$77:$D$86,0))),"Y","N")))</f>
        <v/>
      </c>
    </row>
    <row r="3915">
      <c r="A3915" s="92" t="n">
        <v>2026</v>
      </c>
      <c r="B3915" s="92" t="n">
        <v>6</v>
      </c>
      <c r="C3915" s="92" t="inlineStr">
        <is>
          <t>5100001193</t>
        </is>
      </c>
      <c r="D3915" s="95" t="n">
        <v>46181</v>
      </c>
      <c r="E3915" s="92" t="inlineStr">
        <is>
          <t>KR</t>
        </is>
      </c>
      <c r="F3915" s="92" t="n">
        <v>62201000</v>
      </c>
      <c r="G3915" s="92" t="n">
        <v>1301</v>
      </c>
      <c r="H3915" s="93" t="n">
        <v>150000</v>
      </c>
      <c r="I3915" s="92" t="inlineStr">
        <is>
          <t>6월 통신요금 - P통신</t>
        </is>
      </c>
      <c r="J3915" s="92" t="inlineStr">
        <is>
          <t>V10014</t>
        </is>
      </c>
      <c r="K3915" s="92" t="inlineStr">
        <is>
          <t>P통신</t>
        </is>
      </c>
      <c r="M3915" s="9">
        <f>IF($A3915="","",VALUE($A3915&amp;"")*12+VALUE($B3915&amp;""))</f>
        <v/>
      </c>
      <c r="N3915" s="64">
        <f>IF($A3915="","",IFERROR(INDEX(부서매핑!$C$5:$C$504,MATCH($G3915&amp;"",부서매핑!$A$5:$A$504,0)),"미매핑"))</f>
        <v/>
      </c>
      <c r="O3915" s="9">
        <f>IF($A3915="","",N3915&amp;"|"&amp;$F3915)</f>
        <v/>
      </c>
      <c r="P3915" s="94">
        <f>IF($A3915="",0,$H3915*설정!$C$23)</f>
        <v/>
      </c>
      <c r="Q3915" s="64">
        <f>IF($A3915="","",IF(O3915&lt;&gt;원인분석!$C$9,"",IF(AND(M3915&gt;=원인분석!$C$10,M3915&lt;=원인분석!$C$11),"당기",IF(AND(M3915&gt;=원인분석!$C$12,M3915&lt;=원인분석!$C$13),"비교",""))))</f>
        <v/>
      </c>
      <c r="R3915" s="9">
        <f>IF(Q3915="","",$K3915&amp;"")</f>
        <v/>
      </c>
      <c r="S3915" s="9">
        <f>IF(Q3915="","",IF(MATCH(R3915,$R$5:$R$100000,0)=ROW()-4,ROW(),""))</f>
        <v/>
      </c>
      <c r="T3915" s="9">
        <f>IF(Q3915="당기",ABS(P3915)+ROW()/1000000000,"")</f>
        <v/>
      </c>
      <c r="U3915" s="9">
        <f>IF(Q3915="비교",ABS(P3915)+ROW()/1000000000,"")</f>
        <v/>
      </c>
      <c r="V3915" s="64">
        <f>IF($A3915="","",IF(COUNTIF(변동분석!$E$7:$E$506,O3915)&gt;0,"Y","N"))</f>
        <v/>
      </c>
      <c r="W3915" s="64">
        <f>IF($A3915="","",IFERROR(INDEX(계정매핑!$D$5:$D$504,MATCH($F3915&amp;"",계정매핑!$A$5:$A$504,0)),"미매핑"))</f>
        <v/>
      </c>
      <c r="X3915" s="9">
        <f>IF($A3915="","",$F3915&amp;"")</f>
        <v/>
      </c>
      <c r="Y3915" s="94">
        <f>IF($A3915="",0,IF(AE3915="직접",IF(AF3915="비귀속",$P3915,0),$P3915*(1-AG3915)*IFERROR(INDEX(계정대체기준!$F$20:$F$49,MATCH($N3915,계정대체기준!$A$20:$A$49,0)),1)))</f>
        <v/>
      </c>
      <c r="Z3915" s="94">
        <f>IF($A3915="",0,IF(AE3915="직접",IF(AF3915="신계약비",$P3915,0),$P3915*(1-AG3915)*IFERROR(INDEX(계정대체기준!$C$20:$C$49,MATCH($N3915,계정대체기준!$A$20:$A$49,0)),0)))</f>
        <v/>
      </c>
      <c r="AA3915" s="94">
        <f>IF($A3915="",0,IF(AE3915="직접",IF(OR(AF3915="유지비",AF3915="손해조사비"),$P3915,0),$P3915*(1-AG3915)*IFERROR(INDEX(계정대체기준!$D$20:$D$49,MATCH($N3915,계정대체기준!$A$20:$A$49,0)),0)))</f>
        <v/>
      </c>
      <c r="AB3915" s="94">
        <f>IF($A3915="",0,IF(AE3915="직접",IF(AF3915="수금비",$P3915,0),$P3915*(1-AG3915)*IFERROR(INDEX(계정대체기준!$E$20:$E$49,MATCH($N3915,계정대체기준!$A$20:$A$49,0)),0)))</f>
        <v/>
      </c>
      <c r="AC3915" s="9">
        <f>IF(AND($A3915&lt;&gt;"",M3915=설정!$C$20,Z3915&gt;0),Z3915+ROW()/1000000000,"")</f>
        <v/>
      </c>
      <c r="AD3915" s="94">
        <f>IF($A3915="",0,$P3915*AG3915)</f>
        <v/>
      </c>
      <c r="AE3915" s="64">
        <f>IF($A3915="","",IFERROR(INDEX(계정매핑!$E$5:$E$504,MATCH($F3915&amp;"",계정매핑!$A$5:$A$504,0))&amp;"","공통비"))</f>
        <v/>
      </c>
      <c r="AF3915" s="64">
        <f>IF($A3915="","",IF(AE3915="직접",IFERROR(INDEX(계정매핑!$F$5:$F$504,MATCH($F3915&amp;"",계정매핑!$A$5:$A$504,0))&amp;"","비귀속"),""))</f>
        <v/>
      </c>
      <c r="AG3915" s="96">
        <f>IF($A3915="",0,IF(AND(AE3915&lt;&gt;"직접",IFERROR(INDEX(계정매핑!$G$5:$G$504,MATCH($F3915&amp;"",계정매핑!$A$5:$A$504,0))&amp;"","")="유지비",COUNTIF(계정대체기준!$A$6:$A$15,$N3915)&gt;0),IFERROR(INDEX(계정대체기준!$E$6:$E$15,MATCH(VALUE($A3915&amp;""),계정대체기준!$D$6:$D$15,0)),0),0))</f>
        <v/>
      </c>
      <c r="AH3915" s="64">
        <f>IF($A3915="","",IF(AD3915=0,"",IF(OR(COUNTIF(계정대체기준!$A$77:$A$86,$N3915)&gt;0,ISNUMBER(MATCH($X3915,계정대체기준!$D$77:$D$86,0)),ISNUMBER(MATCH($F3915,계정대체기준!$D$77:$D$86,0))),"Y","N")))</f>
        <v/>
      </c>
    </row>
    <row r="3916">
      <c r="A3916" s="92" t="n">
        <v>2026</v>
      </c>
      <c r="B3916" s="92" t="n">
        <v>6</v>
      </c>
      <c r="C3916" s="92" t="inlineStr">
        <is>
          <t>5100001194</t>
        </is>
      </c>
      <c r="D3916" s="95" t="n">
        <v>46181</v>
      </c>
      <c r="E3916" s="92" t="inlineStr">
        <is>
          <t>KR</t>
        </is>
      </c>
      <c r="F3916" s="92" t="n">
        <v>62301000</v>
      </c>
      <c r="G3916" s="92" t="n">
        <v>1601</v>
      </c>
      <c r="H3916" s="93" t="n">
        <v>525000</v>
      </c>
      <c r="I3916" s="92" t="inlineStr">
        <is>
          <t>6월 소모품 구입 - R문구</t>
        </is>
      </c>
      <c r="J3916" s="92" t="inlineStr">
        <is>
          <t>V10022</t>
        </is>
      </c>
      <c r="K3916" s="92" t="inlineStr">
        <is>
          <t>R문구</t>
        </is>
      </c>
      <c r="M3916" s="9">
        <f>IF($A3916="","",VALUE($A3916&amp;"")*12+VALUE($B3916&amp;""))</f>
        <v/>
      </c>
      <c r="N3916" s="64">
        <f>IF($A3916="","",IFERROR(INDEX(부서매핑!$C$5:$C$504,MATCH($G3916&amp;"",부서매핑!$A$5:$A$504,0)),"미매핑"))</f>
        <v/>
      </c>
      <c r="O3916" s="9">
        <f>IF($A3916="","",N3916&amp;"|"&amp;$F3916)</f>
        <v/>
      </c>
      <c r="P3916" s="94">
        <f>IF($A3916="",0,$H3916*설정!$C$23)</f>
        <v/>
      </c>
      <c r="Q3916" s="64">
        <f>IF($A3916="","",IF(O3916&lt;&gt;원인분석!$C$9,"",IF(AND(M3916&gt;=원인분석!$C$10,M3916&lt;=원인분석!$C$11),"당기",IF(AND(M3916&gt;=원인분석!$C$12,M3916&lt;=원인분석!$C$13),"비교",""))))</f>
        <v/>
      </c>
      <c r="R3916" s="9">
        <f>IF(Q3916="","",$K3916&amp;"")</f>
        <v/>
      </c>
      <c r="S3916" s="9">
        <f>IF(Q3916="","",IF(MATCH(R3916,$R$5:$R$100000,0)=ROW()-4,ROW(),""))</f>
        <v/>
      </c>
      <c r="T3916" s="9">
        <f>IF(Q3916="당기",ABS(P3916)+ROW()/1000000000,"")</f>
        <v/>
      </c>
      <c r="U3916" s="9">
        <f>IF(Q3916="비교",ABS(P3916)+ROW()/1000000000,"")</f>
        <v/>
      </c>
      <c r="V3916" s="64">
        <f>IF($A3916="","",IF(COUNTIF(변동분석!$E$7:$E$506,O3916)&gt;0,"Y","N"))</f>
        <v/>
      </c>
      <c r="W3916" s="64">
        <f>IF($A3916="","",IFERROR(INDEX(계정매핑!$D$5:$D$504,MATCH($F3916&amp;"",계정매핑!$A$5:$A$504,0)),"미매핑"))</f>
        <v/>
      </c>
      <c r="X3916" s="9">
        <f>IF($A3916="","",$F3916&amp;"")</f>
        <v/>
      </c>
      <c r="Y3916" s="94">
        <f>IF($A3916="",0,IF(AE3916="직접",IF(AF3916="비귀속",$P3916,0),$P3916*(1-AG3916)*IFERROR(INDEX(계정대체기준!$F$20:$F$49,MATCH($N3916,계정대체기준!$A$20:$A$49,0)),1)))</f>
        <v/>
      </c>
      <c r="Z3916" s="94">
        <f>IF($A3916="",0,IF(AE3916="직접",IF(AF3916="신계약비",$P3916,0),$P3916*(1-AG3916)*IFERROR(INDEX(계정대체기준!$C$20:$C$49,MATCH($N3916,계정대체기준!$A$20:$A$49,0)),0)))</f>
        <v/>
      </c>
      <c r="AA3916" s="94">
        <f>IF($A3916="",0,IF(AE3916="직접",IF(OR(AF3916="유지비",AF3916="손해조사비"),$P3916,0),$P3916*(1-AG3916)*IFERROR(INDEX(계정대체기준!$D$20:$D$49,MATCH($N3916,계정대체기준!$A$20:$A$49,0)),0)))</f>
        <v/>
      </c>
      <c r="AB3916" s="94">
        <f>IF($A3916="",0,IF(AE3916="직접",IF(AF3916="수금비",$P3916,0),$P3916*(1-AG3916)*IFERROR(INDEX(계정대체기준!$E$20:$E$49,MATCH($N3916,계정대체기준!$A$20:$A$49,0)),0)))</f>
        <v/>
      </c>
      <c r="AC3916" s="9">
        <f>IF(AND($A3916&lt;&gt;"",M3916=설정!$C$20,Z3916&gt;0),Z3916+ROW()/1000000000,"")</f>
        <v/>
      </c>
      <c r="AD3916" s="94">
        <f>IF($A3916="",0,$P3916*AG3916)</f>
        <v/>
      </c>
      <c r="AE3916" s="64">
        <f>IF($A3916="","",IFERROR(INDEX(계정매핑!$E$5:$E$504,MATCH($F3916&amp;"",계정매핑!$A$5:$A$504,0))&amp;"","공통비"))</f>
        <v/>
      </c>
      <c r="AF3916" s="64">
        <f>IF($A3916="","",IF(AE3916="직접",IFERROR(INDEX(계정매핑!$F$5:$F$504,MATCH($F3916&amp;"",계정매핑!$A$5:$A$504,0))&amp;"","비귀속"),""))</f>
        <v/>
      </c>
      <c r="AG3916" s="96">
        <f>IF($A3916="",0,IF(AND(AE3916&lt;&gt;"직접",IFERROR(INDEX(계정매핑!$G$5:$G$504,MATCH($F3916&amp;"",계정매핑!$A$5:$A$504,0))&amp;"","")="유지비",COUNTIF(계정대체기준!$A$6:$A$15,$N3916)&gt;0),IFERROR(INDEX(계정대체기준!$E$6:$E$15,MATCH(VALUE($A3916&amp;""),계정대체기준!$D$6:$D$15,0)),0),0))</f>
        <v/>
      </c>
      <c r="AH3916" s="64">
        <f>IF($A3916="","",IF(AD3916=0,"",IF(OR(COUNTIF(계정대체기준!$A$77:$A$86,$N3916)&gt;0,ISNUMBER(MATCH($X3916,계정대체기준!$D$77:$D$86,0)),ISNUMBER(MATCH($F3916,계정대체기준!$D$77:$D$86,0))),"Y","N")))</f>
        <v/>
      </c>
    </row>
    <row r="3917">
      <c r="A3917" s="92" t="n">
        <v>2026</v>
      </c>
      <c r="B3917" s="92" t="n">
        <v>6</v>
      </c>
      <c r="C3917" s="92" t="inlineStr">
        <is>
          <t>5100001195</t>
        </is>
      </c>
      <c r="D3917" s="95" t="n">
        <v>46181</v>
      </c>
      <c r="E3917" s="92" t="inlineStr">
        <is>
          <t>KR</t>
        </is>
      </c>
      <c r="F3917" s="92" t="n">
        <v>62601000</v>
      </c>
      <c r="G3917" s="92" t="n">
        <v>1602</v>
      </c>
      <c r="H3917" s="93" t="n">
        <v>1730000</v>
      </c>
      <c r="I3917" s="92" t="inlineStr">
        <is>
          <t>6월 업무추진 - (법인카드)</t>
        </is>
      </c>
      <c r="J3917" s="92" t="inlineStr">
        <is>
          <t>V10010</t>
        </is>
      </c>
      <c r="K3917" s="92" t="inlineStr">
        <is>
          <t>(법인카드)</t>
        </is>
      </c>
      <c r="M3917" s="9">
        <f>IF($A3917="","",VALUE($A3917&amp;"")*12+VALUE($B3917&amp;""))</f>
        <v/>
      </c>
      <c r="N3917" s="64">
        <f>IF($A3917="","",IFERROR(INDEX(부서매핑!$C$5:$C$504,MATCH($G3917&amp;"",부서매핑!$A$5:$A$504,0)),"미매핑"))</f>
        <v/>
      </c>
      <c r="O3917" s="9">
        <f>IF($A3917="","",N3917&amp;"|"&amp;$F3917)</f>
        <v/>
      </c>
      <c r="P3917" s="94">
        <f>IF($A3917="",0,$H3917*설정!$C$23)</f>
        <v/>
      </c>
      <c r="Q3917" s="64">
        <f>IF($A3917="","",IF(O3917&lt;&gt;원인분석!$C$9,"",IF(AND(M3917&gt;=원인분석!$C$10,M3917&lt;=원인분석!$C$11),"당기",IF(AND(M3917&gt;=원인분석!$C$12,M3917&lt;=원인분석!$C$13),"비교",""))))</f>
        <v/>
      </c>
      <c r="R3917" s="9">
        <f>IF(Q3917="","",$K3917&amp;"")</f>
        <v/>
      </c>
      <c r="S3917" s="9">
        <f>IF(Q3917="","",IF(MATCH(R3917,$R$5:$R$100000,0)=ROW()-4,ROW(),""))</f>
        <v/>
      </c>
      <c r="T3917" s="9">
        <f>IF(Q3917="당기",ABS(P3917)+ROW()/1000000000,"")</f>
        <v/>
      </c>
      <c r="U3917" s="9">
        <f>IF(Q3917="비교",ABS(P3917)+ROW()/1000000000,"")</f>
        <v/>
      </c>
      <c r="V3917" s="64">
        <f>IF($A3917="","",IF(COUNTIF(변동분석!$E$7:$E$506,O3917)&gt;0,"Y","N"))</f>
        <v/>
      </c>
      <c r="W3917" s="64">
        <f>IF($A3917="","",IFERROR(INDEX(계정매핑!$D$5:$D$504,MATCH($F3917&amp;"",계정매핑!$A$5:$A$504,0)),"미매핑"))</f>
        <v/>
      </c>
      <c r="X3917" s="9">
        <f>IF($A3917="","",$F3917&amp;"")</f>
        <v/>
      </c>
      <c r="Y3917" s="94">
        <f>IF($A3917="",0,IF(AE3917="직접",IF(AF3917="비귀속",$P3917,0),$P3917*(1-AG3917)*IFERROR(INDEX(계정대체기준!$F$20:$F$49,MATCH($N3917,계정대체기준!$A$20:$A$49,0)),1)))</f>
        <v/>
      </c>
      <c r="Z3917" s="94">
        <f>IF($A3917="",0,IF(AE3917="직접",IF(AF3917="신계약비",$P3917,0),$P3917*(1-AG3917)*IFERROR(INDEX(계정대체기준!$C$20:$C$49,MATCH($N3917,계정대체기준!$A$20:$A$49,0)),0)))</f>
        <v/>
      </c>
      <c r="AA3917" s="94">
        <f>IF($A3917="",0,IF(AE3917="직접",IF(OR(AF3917="유지비",AF3917="손해조사비"),$P3917,0),$P3917*(1-AG3917)*IFERROR(INDEX(계정대체기준!$D$20:$D$49,MATCH($N3917,계정대체기준!$A$20:$A$49,0)),0)))</f>
        <v/>
      </c>
      <c r="AB3917" s="94">
        <f>IF($A3917="",0,IF(AE3917="직접",IF(AF3917="수금비",$P3917,0),$P3917*(1-AG3917)*IFERROR(INDEX(계정대체기준!$E$20:$E$49,MATCH($N3917,계정대체기준!$A$20:$A$49,0)),0)))</f>
        <v/>
      </c>
      <c r="AC3917" s="9">
        <f>IF(AND($A3917&lt;&gt;"",M3917=설정!$C$20,Z3917&gt;0),Z3917+ROW()/1000000000,"")</f>
        <v/>
      </c>
      <c r="AD3917" s="94">
        <f>IF($A3917="",0,$P3917*AG3917)</f>
        <v/>
      </c>
      <c r="AE3917" s="64">
        <f>IF($A3917="","",IFERROR(INDEX(계정매핑!$E$5:$E$504,MATCH($F3917&amp;"",계정매핑!$A$5:$A$504,0))&amp;"","공통비"))</f>
        <v/>
      </c>
      <c r="AF3917" s="64">
        <f>IF($A3917="","",IF(AE3917="직접",IFERROR(INDEX(계정매핑!$F$5:$F$504,MATCH($F3917&amp;"",계정매핑!$A$5:$A$504,0))&amp;"","비귀속"),""))</f>
        <v/>
      </c>
      <c r="AG3917" s="96">
        <f>IF($A3917="",0,IF(AND(AE3917&lt;&gt;"직접",IFERROR(INDEX(계정매핑!$G$5:$G$504,MATCH($F3917&amp;"",계정매핑!$A$5:$A$504,0))&amp;"","")="유지비",COUNTIF(계정대체기준!$A$6:$A$15,$N3917)&gt;0),IFERROR(INDEX(계정대체기준!$E$6:$E$15,MATCH(VALUE($A3917&amp;""),계정대체기준!$D$6:$D$15,0)),0),0))</f>
        <v/>
      </c>
      <c r="AH3917" s="64">
        <f>IF($A3917="","",IF(AD3917=0,"",IF(OR(COUNTIF(계정대체기준!$A$77:$A$86,$N3917)&gt;0,ISNUMBER(MATCH($X3917,계정대체기준!$D$77:$D$86,0)),ISNUMBER(MATCH($F3917,계정대체기준!$D$77:$D$86,0))),"Y","N")))</f>
        <v/>
      </c>
    </row>
    <row r="3918">
      <c r="A3918" s="92" t="n">
        <v>2026</v>
      </c>
      <c r="B3918" s="92" t="n">
        <v>6</v>
      </c>
      <c r="C3918" s="92" t="inlineStr">
        <is>
          <t>5100001196</t>
        </is>
      </c>
      <c r="D3918" s="95" t="n">
        <v>46181</v>
      </c>
      <c r="E3918" s="92" t="inlineStr">
        <is>
          <t>KR</t>
        </is>
      </c>
      <c r="F3918" s="92" t="n">
        <v>62901000</v>
      </c>
      <c r="G3918" s="92" t="n">
        <v>1101</v>
      </c>
      <c r="H3918" s="93" t="n">
        <v>1824000</v>
      </c>
      <c r="I3918" s="92" t="inlineStr">
        <is>
          <t>6월 자문 수수료 - K회계법인</t>
        </is>
      </c>
      <c r="J3918" s="92" t="inlineStr">
        <is>
          <t>V10011</t>
        </is>
      </c>
      <c r="K3918" s="92" t="inlineStr">
        <is>
          <t>K회계법인</t>
        </is>
      </c>
      <c r="M3918" s="9">
        <f>IF($A3918="","",VALUE($A3918&amp;"")*12+VALUE($B3918&amp;""))</f>
        <v/>
      </c>
      <c r="N3918" s="64">
        <f>IF($A3918="","",IFERROR(INDEX(부서매핑!$C$5:$C$504,MATCH($G3918&amp;"",부서매핑!$A$5:$A$504,0)),"미매핑"))</f>
        <v/>
      </c>
      <c r="O3918" s="9">
        <f>IF($A3918="","",N3918&amp;"|"&amp;$F3918)</f>
        <v/>
      </c>
      <c r="P3918" s="94">
        <f>IF($A3918="",0,$H3918*설정!$C$23)</f>
        <v/>
      </c>
      <c r="Q3918" s="64">
        <f>IF($A3918="","",IF(O3918&lt;&gt;원인분석!$C$9,"",IF(AND(M3918&gt;=원인분석!$C$10,M3918&lt;=원인분석!$C$11),"당기",IF(AND(M3918&gt;=원인분석!$C$12,M3918&lt;=원인분석!$C$13),"비교",""))))</f>
        <v/>
      </c>
      <c r="R3918" s="9">
        <f>IF(Q3918="","",$K3918&amp;"")</f>
        <v/>
      </c>
      <c r="S3918" s="9">
        <f>IF(Q3918="","",IF(MATCH(R3918,$R$5:$R$100000,0)=ROW()-4,ROW(),""))</f>
        <v/>
      </c>
      <c r="T3918" s="9">
        <f>IF(Q3918="당기",ABS(P3918)+ROW()/1000000000,"")</f>
        <v/>
      </c>
      <c r="U3918" s="9">
        <f>IF(Q3918="비교",ABS(P3918)+ROW()/1000000000,"")</f>
        <v/>
      </c>
      <c r="V3918" s="64">
        <f>IF($A3918="","",IF(COUNTIF(변동분석!$E$7:$E$506,O3918)&gt;0,"Y","N"))</f>
        <v/>
      </c>
      <c r="W3918" s="64">
        <f>IF($A3918="","",IFERROR(INDEX(계정매핑!$D$5:$D$504,MATCH($F3918&amp;"",계정매핑!$A$5:$A$504,0)),"미매핑"))</f>
        <v/>
      </c>
      <c r="X3918" s="9">
        <f>IF($A3918="","",$F3918&amp;"")</f>
        <v/>
      </c>
      <c r="Y3918" s="94">
        <f>IF($A3918="",0,IF(AE3918="직접",IF(AF3918="비귀속",$P3918,0),$P3918*(1-AG3918)*IFERROR(INDEX(계정대체기준!$F$20:$F$49,MATCH($N3918,계정대체기준!$A$20:$A$49,0)),1)))</f>
        <v/>
      </c>
      <c r="Z3918" s="94">
        <f>IF($A3918="",0,IF(AE3918="직접",IF(AF3918="신계약비",$P3918,0),$P3918*(1-AG3918)*IFERROR(INDEX(계정대체기준!$C$20:$C$49,MATCH($N3918,계정대체기준!$A$20:$A$49,0)),0)))</f>
        <v/>
      </c>
      <c r="AA3918" s="94">
        <f>IF($A3918="",0,IF(AE3918="직접",IF(OR(AF3918="유지비",AF3918="손해조사비"),$P3918,0),$P3918*(1-AG3918)*IFERROR(INDEX(계정대체기준!$D$20:$D$49,MATCH($N3918,계정대체기준!$A$20:$A$49,0)),0)))</f>
        <v/>
      </c>
      <c r="AB3918" s="94">
        <f>IF($A3918="",0,IF(AE3918="직접",IF(AF3918="수금비",$P3918,0),$P3918*(1-AG3918)*IFERROR(INDEX(계정대체기준!$E$20:$E$49,MATCH($N3918,계정대체기준!$A$20:$A$49,0)),0)))</f>
        <v/>
      </c>
      <c r="AC3918" s="9">
        <f>IF(AND($A3918&lt;&gt;"",M3918=설정!$C$20,Z3918&gt;0),Z3918+ROW()/1000000000,"")</f>
        <v/>
      </c>
      <c r="AD3918" s="94">
        <f>IF($A3918="",0,$P3918*AG3918)</f>
        <v/>
      </c>
      <c r="AE3918" s="64">
        <f>IF($A3918="","",IFERROR(INDEX(계정매핑!$E$5:$E$504,MATCH($F3918&amp;"",계정매핑!$A$5:$A$504,0))&amp;"","공통비"))</f>
        <v/>
      </c>
      <c r="AF3918" s="64">
        <f>IF($A3918="","",IF(AE3918="직접",IFERROR(INDEX(계정매핑!$F$5:$F$504,MATCH($F3918&amp;"",계정매핑!$A$5:$A$504,0))&amp;"","비귀속"),""))</f>
        <v/>
      </c>
      <c r="AG3918" s="96">
        <f>IF($A3918="",0,IF(AND(AE3918&lt;&gt;"직접",IFERROR(INDEX(계정매핑!$G$5:$G$504,MATCH($F3918&amp;"",계정매핑!$A$5:$A$504,0))&amp;"","")="유지비",COUNTIF(계정대체기준!$A$6:$A$15,$N3918)&gt;0),IFERROR(INDEX(계정대체기준!$E$6:$E$15,MATCH(VALUE($A3918&amp;""),계정대체기준!$D$6:$D$15,0)),0),0))</f>
        <v/>
      </c>
      <c r="AH3918" s="64">
        <f>IF($A3918="","",IF(AD3918=0,"",IF(OR(COUNTIF(계정대체기준!$A$77:$A$86,$N3918)&gt;0,ISNUMBER(MATCH($X3918,계정대체기준!$D$77:$D$86,0)),ISNUMBER(MATCH($F3918,계정대체기준!$D$77:$D$86,0))),"Y","N")))</f>
        <v/>
      </c>
    </row>
    <row r="3919">
      <c r="A3919" s="92" t="n">
        <v>2026</v>
      </c>
      <c r="B3919" s="92" t="n">
        <v>6</v>
      </c>
      <c r="C3919" s="92" t="inlineStr">
        <is>
          <t>5100001197</t>
        </is>
      </c>
      <c r="D3919" s="95" t="n">
        <v>46181</v>
      </c>
      <c r="E3919" s="92" t="inlineStr">
        <is>
          <t>KR</t>
        </is>
      </c>
      <c r="F3919" s="92" t="n">
        <v>62902000</v>
      </c>
      <c r="G3919" s="92" t="n">
        <v>1401</v>
      </c>
      <c r="H3919" s="93" t="n">
        <v>1459000</v>
      </c>
      <c r="I3919" s="92" t="inlineStr">
        <is>
          <t>6월 업무 위탁 수수료 - J콜센터</t>
        </is>
      </c>
      <c r="J3919" s="92" t="inlineStr">
        <is>
          <t>V10016</t>
        </is>
      </c>
      <c r="K3919" s="92" t="inlineStr">
        <is>
          <t>J콜센터</t>
        </is>
      </c>
      <c r="M3919" s="9">
        <f>IF($A3919="","",VALUE($A3919&amp;"")*12+VALUE($B3919&amp;""))</f>
        <v/>
      </c>
      <c r="N3919" s="64">
        <f>IF($A3919="","",IFERROR(INDEX(부서매핑!$C$5:$C$504,MATCH($G3919&amp;"",부서매핑!$A$5:$A$504,0)),"미매핑"))</f>
        <v/>
      </c>
      <c r="O3919" s="9">
        <f>IF($A3919="","",N3919&amp;"|"&amp;$F3919)</f>
        <v/>
      </c>
      <c r="P3919" s="94">
        <f>IF($A3919="",0,$H3919*설정!$C$23)</f>
        <v/>
      </c>
      <c r="Q3919" s="64">
        <f>IF($A3919="","",IF(O3919&lt;&gt;원인분석!$C$9,"",IF(AND(M3919&gt;=원인분석!$C$10,M3919&lt;=원인분석!$C$11),"당기",IF(AND(M3919&gt;=원인분석!$C$12,M3919&lt;=원인분석!$C$13),"비교",""))))</f>
        <v/>
      </c>
      <c r="R3919" s="9">
        <f>IF(Q3919="","",$K3919&amp;"")</f>
        <v/>
      </c>
      <c r="S3919" s="9">
        <f>IF(Q3919="","",IF(MATCH(R3919,$R$5:$R$100000,0)=ROW()-4,ROW(),""))</f>
        <v/>
      </c>
      <c r="T3919" s="9">
        <f>IF(Q3919="당기",ABS(P3919)+ROW()/1000000000,"")</f>
        <v/>
      </c>
      <c r="U3919" s="9">
        <f>IF(Q3919="비교",ABS(P3919)+ROW()/1000000000,"")</f>
        <v/>
      </c>
      <c r="V3919" s="64">
        <f>IF($A3919="","",IF(COUNTIF(변동분석!$E$7:$E$506,O3919)&gt;0,"Y","N"))</f>
        <v/>
      </c>
      <c r="W3919" s="64">
        <f>IF($A3919="","",IFERROR(INDEX(계정매핑!$D$5:$D$504,MATCH($F3919&amp;"",계정매핑!$A$5:$A$504,0)),"미매핑"))</f>
        <v/>
      </c>
      <c r="X3919" s="9">
        <f>IF($A3919="","",$F3919&amp;"")</f>
        <v/>
      </c>
      <c r="Y3919" s="94">
        <f>IF($A3919="",0,IF(AE3919="직접",IF(AF3919="비귀속",$P3919,0),$P3919*(1-AG3919)*IFERROR(INDEX(계정대체기준!$F$20:$F$49,MATCH($N3919,계정대체기준!$A$20:$A$49,0)),1)))</f>
        <v/>
      </c>
      <c r="Z3919" s="94">
        <f>IF($A3919="",0,IF(AE3919="직접",IF(AF3919="신계약비",$P3919,0),$P3919*(1-AG3919)*IFERROR(INDEX(계정대체기준!$C$20:$C$49,MATCH($N3919,계정대체기준!$A$20:$A$49,0)),0)))</f>
        <v/>
      </c>
      <c r="AA3919" s="94">
        <f>IF($A3919="",0,IF(AE3919="직접",IF(OR(AF3919="유지비",AF3919="손해조사비"),$P3919,0),$P3919*(1-AG3919)*IFERROR(INDEX(계정대체기준!$D$20:$D$49,MATCH($N3919,계정대체기준!$A$20:$A$49,0)),0)))</f>
        <v/>
      </c>
      <c r="AB3919" s="94">
        <f>IF($A3919="",0,IF(AE3919="직접",IF(AF3919="수금비",$P3919,0),$P3919*(1-AG3919)*IFERROR(INDEX(계정대체기준!$E$20:$E$49,MATCH($N3919,계정대체기준!$A$20:$A$49,0)),0)))</f>
        <v/>
      </c>
      <c r="AC3919" s="9">
        <f>IF(AND($A3919&lt;&gt;"",M3919=설정!$C$20,Z3919&gt;0),Z3919+ROW()/1000000000,"")</f>
        <v/>
      </c>
      <c r="AD3919" s="94">
        <f>IF($A3919="",0,$P3919*AG3919)</f>
        <v/>
      </c>
      <c r="AE3919" s="64">
        <f>IF($A3919="","",IFERROR(INDEX(계정매핑!$E$5:$E$504,MATCH($F3919&amp;"",계정매핑!$A$5:$A$504,0))&amp;"","공통비"))</f>
        <v/>
      </c>
      <c r="AF3919" s="64">
        <f>IF($A3919="","",IF(AE3919="직접",IFERROR(INDEX(계정매핑!$F$5:$F$504,MATCH($F3919&amp;"",계정매핑!$A$5:$A$504,0))&amp;"","비귀속"),""))</f>
        <v/>
      </c>
      <c r="AG3919" s="96">
        <f>IF($A3919="",0,IF(AND(AE3919&lt;&gt;"직접",IFERROR(INDEX(계정매핑!$G$5:$G$504,MATCH($F3919&amp;"",계정매핑!$A$5:$A$504,0))&amp;"","")="유지비",COUNTIF(계정대체기준!$A$6:$A$15,$N3919)&gt;0),IFERROR(INDEX(계정대체기준!$E$6:$E$15,MATCH(VALUE($A3919&amp;""),계정대체기준!$D$6:$D$15,0)),0),0))</f>
        <v/>
      </c>
      <c r="AH3919" s="64">
        <f>IF($A3919="","",IF(AD3919=0,"",IF(OR(COUNTIF(계정대체기준!$A$77:$A$86,$N3919)&gt;0,ISNUMBER(MATCH($X3919,계정대체기준!$D$77:$D$86,0)),ISNUMBER(MATCH($F3919,계정대체기준!$D$77:$D$86,0))),"Y","N")))</f>
        <v/>
      </c>
    </row>
    <row r="3920">
      <c r="A3920" s="92" t="n">
        <v>2026</v>
      </c>
      <c r="B3920" s="92" t="n">
        <v>6</v>
      </c>
      <c r="C3920" s="92" t="inlineStr">
        <is>
          <t>5100001198</t>
        </is>
      </c>
      <c r="D3920" s="95" t="n">
        <v>46182</v>
      </c>
      <c r="E3920" s="92" t="inlineStr">
        <is>
          <t>KR</t>
        </is>
      </c>
      <c r="F3920" s="92" t="n">
        <v>62101000</v>
      </c>
      <c r="G3920" s="92" t="n">
        <v>1401</v>
      </c>
      <c r="H3920" s="93" t="n">
        <v>736000</v>
      </c>
      <c r="I3920" s="92" t="inlineStr">
        <is>
          <t>6월 국내출장 - M항공</t>
        </is>
      </c>
      <c r="J3920" s="92" t="inlineStr">
        <is>
          <t>V10001</t>
        </is>
      </c>
      <c r="K3920" s="92" t="inlineStr">
        <is>
          <t>M항공</t>
        </is>
      </c>
      <c r="M3920" s="9">
        <f>IF($A3920="","",VALUE($A3920&amp;"")*12+VALUE($B3920&amp;""))</f>
        <v/>
      </c>
      <c r="N3920" s="64">
        <f>IF($A3920="","",IFERROR(INDEX(부서매핑!$C$5:$C$504,MATCH($G3920&amp;"",부서매핑!$A$5:$A$504,0)),"미매핑"))</f>
        <v/>
      </c>
      <c r="O3920" s="9">
        <f>IF($A3920="","",N3920&amp;"|"&amp;$F3920)</f>
        <v/>
      </c>
      <c r="P3920" s="94">
        <f>IF($A3920="",0,$H3920*설정!$C$23)</f>
        <v/>
      </c>
      <c r="Q3920" s="64">
        <f>IF($A3920="","",IF(O3920&lt;&gt;원인분석!$C$9,"",IF(AND(M3920&gt;=원인분석!$C$10,M3920&lt;=원인분석!$C$11),"당기",IF(AND(M3920&gt;=원인분석!$C$12,M3920&lt;=원인분석!$C$13),"비교",""))))</f>
        <v/>
      </c>
      <c r="R3920" s="9">
        <f>IF(Q3920="","",$K3920&amp;"")</f>
        <v/>
      </c>
      <c r="S3920" s="9">
        <f>IF(Q3920="","",IF(MATCH(R3920,$R$5:$R$100000,0)=ROW()-4,ROW(),""))</f>
        <v/>
      </c>
      <c r="T3920" s="9">
        <f>IF(Q3920="당기",ABS(P3920)+ROW()/1000000000,"")</f>
        <v/>
      </c>
      <c r="U3920" s="9">
        <f>IF(Q3920="비교",ABS(P3920)+ROW()/1000000000,"")</f>
        <v/>
      </c>
      <c r="V3920" s="64">
        <f>IF($A3920="","",IF(COUNTIF(변동분석!$E$7:$E$506,O3920)&gt;0,"Y","N"))</f>
        <v/>
      </c>
      <c r="W3920" s="64">
        <f>IF($A3920="","",IFERROR(INDEX(계정매핑!$D$5:$D$504,MATCH($F3920&amp;"",계정매핑!$A$5:$A$504,0)),"미매핑"))</f>
        <v/>
      </c>
      <c r="X3920" s="9">
        <f>IF($A3920="","",$F3920&amp;"")</f>
        <v/>
      </c>
      <c r="Y3920" s="94">
        <f>IF($A3920="",0,IF(AE3920="직접",IF(AF3920="비귀속",$P3920,0),$P3920*(1-AG3920)*IFERROR(INDEX(계정대체기준!$F$20:$F$49,MATCH($N3920,계정대체기준!$A$20:$A$49,0)),1)))</f>
        <v/>
      </c>
      <c r="Z3920" s="94">
        <f>IF($A3920="",0,IF(AE3920="직접",IF(AF3920="신계약비",$P3920,0),$P3920*(1-AG3920)*IFERROR(INDEX(계정대체기준!$C$20:$C$49,MATCH($N3920,계정대체기준!$A$20:$A$49,0)),0)))</f>
        <v/>
      </c>
      <c r="AA3920" s="94">
        <f>IF($A3920="",0,IF(AE3920="직접",IF(OR(AF3920="유지비",AF3920="손해조사비"),$P3920,0),$P3920*(1-AG3920)*IFERROR(INDEX(계정대체기준!$D$20:$D$49,MATCH($N3920,계정대체기준!$A$20:$A$49,0)),0)))</f>
        <v/>
      </c>
      <c r="AB3920" s="94">
        <f>IF($A3920="",0,IF(AE3920="직접",IF(AF3920="수금비",$P3920,0),$P3920*(1-AG3920)*IFERROR(INDEX(계정대체기준!$E$20:$E$49,MATCH($N3920,계정대체기준!$A$20:$A$49,0)),0)))</f>
        <v/>
      </c>
      <c r="AC3920" s="9">
        <f>IF(AND($A3920&lt;&gt;"",M3920=설정!$C$20,Z3920&gt;0),Z3920+ROW()/1000000000,"")</f>
        <v/>
      </c>
      <c r="AD3920" s="94">
        <f>IF($A3920="",0,$P3920*AG3920)</f>
        <v/>
      </c>
      <c r="AE3920" s="64">
        <f>IF($A3920="","",IFERROR(INDEX(계정매핑!$E$5:$E$504,MATCH($F3920&amp;"",계정매핑!$A$5:$A$504,0))&amp;"","공통비"))</f>
        <v/>
      </c>
      <c r="AF3920" s="64">
        <f>IF($A3920="","",IF(AE3920="직접",IFERROR(INDEX(계정매핑!$F$5:$F$504,MATCH($F3920&amp;"",계정매핑!$A$5:$A$504,0))&amp;"","비귀속"),""))</f>
        <v/>
      </c>
      <c r="AG3920" s="96">
        <f>IF($A3920="",0,IF(AND(AE3920&lt;&gt;"직접",IFERROR(INDEX(계정매핑!$G$5:$G$504,MATCH($F3920&amp;"",계정매핑!$A$5:$A$504,0))&amp;"","")="유지비",COUNTIF(계정대체기준!$A$6:$A$15,$N3920)&gt;0),IFERROR(INDEX(계정대체기준!$E$6:$E$15,MATCH(VALUE($A3920&amp;""),계정대체기준!$D$6:$D$15,0)),0),0))</f>
        <v/>
      </c>
      <c r="AH3920" s="64">
        <f>IF($A3920="","",IF(AD3920=0,"",IF(OR(COUNTIF(계정대체기준!$A$77:$A$86,$N3920)&gt;0,ISNUMBER(MATCH($X3920,계정대체기준!$D$77:$D$86,0)),ISNUMBER(MATCH($F3920,계정대체기준!$D$77:$D$86,0))),"Y","N")))</f>
        <v/>
      </c>
    </row>
    <row r="3921">
      <c r="A3921" s="92" t="n">
        <v>2026</v>
      </c>
      <c r="B3921" s="92" t="n">
        <v>6</v>
      </c>
      <c r="C3921" s="92" t="inlineStr">
        <is>
          <t>5100001199</t>
        </is>
      </c>
      <c r="D3921" s="95" t="n">
        <v>46182</v>
      </c>
      <c r="E3921" s="92" t="inlineStr">
        <is>
          <t>KR</t>
        </is>
      </c>
      <c r="F3921" s="92" t="n">
        <v>62101000</v>
      </c>
      <c r="G3921" s="92" t="n">
        <v>1601</v>
      </c>
      <c r="H3921" s="93" t="n">
        <v>1012000</v>
      </c>
      <c r="I3921" s="92" t="inlineStr">
        <is>
          <t>6월 국내출장 - L여행사</t>
        </is>
      </c>
      <c r="J3921" s="92" t="inlineStr">
        <is>
          <t>V10018</t>
        </is>
      </c>
      <c r="K3921" s="92" t="inlineStr">
        <is>
          <t>L여행사</t>
        </is>
      </c>
      <c r="M3921" s="9">
        <f>IF($A3921="","",VALUE($A3921&amp;"")*12+VALUE($B3921&amp;""))</f>
        <v/>
      </c>
      <c r="N3921" s="64">
        <f>IF($A3921="","",IFERROR(INDEX(부서매핑!$C$5:$C$504,MATCH($G3921&amp;"",부서매핑!$A$5:$A$504,0)),"미매핑"))</f>
        <v/>
      </c>
      <c r="O3921" s="9">
        <f>IF($A3921="","",N3921&amp;"|"&amp;$F3921)</f>
        <v/>
      </c>
      <c r="P3921" s="94">
        <f>IF($A3921="",0,$H3921*설정!$C$23)</f>
        <v/>
      </c>
      <c r="Q3921" s="64">
        <f>IF($A3921="","",IF(O3921&lt;&gt;원인분석!$C$9,"",IF(AND(M3921&gt;=원인분석!$C$10,M3921&lt;=원인분석!$C$11),"당기",IF(AND(M3921&gt;=원인분석!$C$12,M3921&lt;=원인분석!$C$13),"비교",""))))</f>
        <v/>
      </c>
      <c r="R3921" s="9">
        <f>IF(Q3921="","",$K3921&amp;"")</f>
        <v/>
      </c>
      <c r="S3921" s="9">
        <f>IF(Q3921="","",IF(MATCH(R3921,$R$5:$R$100000,0)=ROW()-4,ROW(),""))</f>
        <v/>
      </c>
      <c r="T3921" s="9">
        <f>IF(Q3921="당기",ABS(P3921)+ROW()/1000000000,"")</f>
        <v/>
      </c>
      <c r="U3921" s="9">
        <f>IF(Q3921="비교",ABS(P3921)+ROW()/1000000000,"")</f>
        <v/>
      </c>
      <c r="V3921" s="64">
        <f>IF($A3921="","",IF(COUNTIF(변동분석!$E$7:$E$506,O3921)&gt;0,"Y","N"))</f>
        <v/>
      </c>
      <c r="W3921" s="64">
        <f>IF($A3921="","",IFERROR(INDEX(계정매핑!$D$5:$D$504,MATCH($F3921&amp;"",계정매핑!$A$5:$A$504,0)),"미매핑"))</f>
        <v/>
      </c>
      <c r="X3921" s="9">
        <f>IF($A3921="","",$F3921&amp;"")</f>
        <v/>
      </c>
      <c r="Y3921" s="94">
        <f>IF($A3921="",0,IF(AE3921="직접",IF(AF3921="비귀속",$P3921,0),$P3921*(1-AG3921)*IFERROR(INDEX(계정대체기준!$F$20:$F$49,MATCH($N3921,계정대체기준!$A$20:$A$49,0)),1)))</f>
        <v/>
      </c>
      <c r="Z3921" s="94">
        <f>IF($A3921="",0,IF(AE3921="직접",IF(AF3921="신계약비",$P3921,0),$P3921*(1-AG3921)*IFERROR(INDEX(계정대체기준!$C$20:$C$49,MATCH($N3921,계정대체기준!$A$20:$A$49,0)),0)))</f>
        <v/>
      </c>
      <c r="AA3921" s="94">
        <f>IF($A3921="",0,IF(AE3921="직접",IF(OR(AF3921="유지비",AF3921="손해조사비"),$P3921,0),$P3921*(1-AG3921)*IFERROR(INDEX(계정대체기준!$D$20:$D$49,MATCH($N3921,계정대체기준!$A$20:$A$49,0)),0)))</f>
        <v/>
      </c>
      <c r="AB3921" s="94">
        <f>IF($A3921="",0,IF(AE3921="직접",IF(AF3921="수금비",$P3921,0),$P3921*(1-AG3921)*IFERROR(INDEX(계정대체기준!$E$20:$E$49,MATCH($N3921,계정대체기준!$A$20:$A$49,0)),0)))</f>
        <v/>
      </c>
      <c r="AC3921" s="9">
        <f>IF(AND($A3921&lt;&gt;"",M3921=설정!$C$20,Z3921&gt;0),Z3921+ROW()/1000000000,"")</f>
        <v/>
      </c>
      <c r="AD3921" s="94">
        <f>IF($A3921="",0,$P3921*AG3921)</f>
        <v/>
      </c>
      <c r="AE3921" s="64">
        <f>IF($A3921="","",IFERROR(INDEX(계정매핑!$E$5:$E$504,MATCH($F3921&amp;"",계정매핑!$A$5:$A$504,0))&amp;"","공통비"))</f>
        <v/>
      </c>
      <c r="AF3921" s="64">
        <f>IF($A3921="","",IF(AE3921="직접",IFERROR(INDEX(계정매핑!$F$5:$F$504,MATCH($F3921&amp;"",계정매핑!$A$5:$A$504,0))&amp;"","비귀속"),""))</f>
        <v/>
      </c>
      <c r="AG3921" s="96">
        <f>IF($A3921="",0,IF(AND(AE3921&lt;&gt;"직접",IFERROR(INDEX(계정매핑!$G$5:$G$504,MATCH($F3921&amp;"",계정매핑!$A$5:$A$504,0))&amp;"","")="유지비",COUNTIF(계정대체기준!$A$6:$A$15,$N3921)&gt;0),IFERROR(INDEX(계정대체기준!$E$6:$E$15,MATCH(VALUE($A3921&amp;""),계정대체기준!$D$6:$D$15,0)),0),0))</f>
        <v/>
      </c>
      <c r="AH3921" s="64">
        <f>IF($A3921="","",IF(AD3921=0,"",IF(OR(COUNTIF(계정대체기준!$A$77:$A$86,$N3921)&gt;0,ISNUMBER(MATCH($X3921,계정대체기준!$D$77:$D$86,0)),ISNUMBER(MATCH($F3921,계정대체기준!$D$77:$D$86,0))),"Y","N")))</f>
        <v/>
      </c>
    </row>
    <row r="3922">
      <c r="A3922" s="92" t="n">
        <v>2026</v>
      </c>
      <c r="B3922" s="92" t="n">
        <v>6</v>
      </c>
      <c r="C3922" s="92" t="inlineStr">
        <is>
          <t>5100001200</t>
        </is>
      </c>
      <c r="D3922" s="95" t="n">
        <v>46182</v>
      </c>
      <c r="E3922" s="92" t="inlineStr">
        <is>
          <t>KR</t>
        </is>
      </c>
      <c r="F3922" s="92" t="n">
        <v>62101000</v>
      </c>
      <c r="G3922" s="92" t="n">
        <v>1601</v>
      </c>
      <c r="H3922" s="93" t="n">
        <v>1479000</v>
      </c>
      <c r="I3922" s="92" t="inlineStr">
        <is>
          <t>6월 국내출장 - (법인카드)</t>
        </is>
      </c>
      <c r="J3922" s="92" t="inlineStr">
        <is>
          <t>V10010</t>
        </is>
      </c>
      <c r="K3922" s="92" t="inlineStr">
        <is>
          <t>(법인카드)</t>
        </is>
      </c>
      <c r="M3922" s="9">
        <f>IF($A3922="","",VALUE($A3922&amp;"")*12+VALUE($B3922&amp;""))</f>
        <v/>
      </c>
      <c r="N3922" s="64">
        <f>IF($A3922="","",IFERROR(INDEX(부서매핑!$C$5:$C$504,MATCH($G3922&amp;"",부서매핑!$A$5:$A$504,0)),"미매핑"))</f>
        <v/>
      </c>
      <c r="O3922" s="9">
        <f>IF($A3922="","",N3922&amp;"|"&amp;$F3922)</f>
        <v/>
      </c>
      <c r="P3922" s="94">
        <f>IF($A3922="",0,$H3922*설정!$C$23)</f>
        <v/>
      </c>
      <c r="Q3922" s="64">
        <f>IF($A3922="","",IF(O3922&lt;&gt;원인분석!$C$9,"",IF(AND(M3922&gt;=원인분석!$C$10,M3922&lt;=원인분석!$C$11),"당기",IF(AND(M3922&gt;=원인분석!$C$12,M3922&lt;=원인분석!$C$13),"비교",""))))</f>
        <v/>
      </c>
      <c r="R3922" s="9">
        <f>IF(Q3922="","",$K3922&amp;"")</f>
        <v/>
      </c>
      <c r="S3922" s="9">
        <f>IF(Q3922="","",IF(MATCH(R3922,$R$5:$R$100000,0)=ROW()-4,ROW(),""))</f>
        <v/>
      </c>
      <c r="T3922" s="9">
        <f>IF(Q3922="당기",ABS(P3922)+ROW()/1000000000,"")</f>
        <v/>
      </c>
      <c r="U3922" s="9">
        <f>IF(Q3922="비교",ABS(P3922)+ROW()/1000000000,"")</f>
        <v/>
      </c>
      <c r="V3922" s="64">
        <f>IF($A3922="","",IF(COUNTIF(변동분석!$E$7:$E$506,O3922)&gt;0,"Y","N"))</f>
        <v/>
      </c>
      <c r="W3922" s="64">
        <f>IF($A3922="","",IFERROR(INDEX(계정매핑!$D$5:$D$504,MATCH($F3922&amp;"",계정매핑!$A$5:$A$504,0)),"미매핑"))</f>
        <v/>
      </c>
      <c r="X3922" s="9">
        <f>IF($A3922="","",$F3922&amp;"")</f>
        <v/>
      </c>
      <c r="Y3922" s="94">
        <f>IF($A3922="",0,IF(AE3922="직접",IF(AF3922="비귀속",$P3922,0),$P3922*(1-AG3922)*IFERROR(INDEX(계정대체기준!$F$20:$F$49,MATCH($N3922,계정대체기준!$A$20:$A$49,0)),1)))</f>
        <v/>
      </c>
      <c r="Z3922" s="94">
        <f>IF($A3922="",0,IF(AE3922="직접",IF(AF3922="신계약비",$P3922,0),$P3922*(1-AG3922)*IFERROR(INDEX(계정대체기준!$C$20:$C$49,MATCH($N3922,계정대체기준!$A$20:$A$49,0)),0)))</f>
        <v/>
      </c>
      <c r="AA3922" s="94">
        <f>IF($A3922="",0,IF(AE3922="직접",IF(OR(AF3922="유지비",AF3922="손해조사비"),$P3922,0),$P3922*(1-AG3922)*IFERROR(INDEX(계정대체기준!$D$20:$D$49,MATCH($N3922,계정대체기준!$A$20:$A$49,0)),0)))</f>
        <v/>
      </c>
      <c r="AB3922" s="94">
        <f>IF($A3922="",0,IF(AE3922="직접",IF(AF3922="수금비",$P3922,0),$P3922*(1-AG3922)*IFERROR(INDEX(계정대체기준!$E$20:$E$49,MATCH($N3922,계정대체기준!$A$20:$A$49,0)),0)))</f>
        <v/>
      </c>
      <c r="AC3922" s="9">
        <f>IF(AND($A3922&lt;&gt;"",M3922=설정!$C$20,Z3922&gt;0),Z3922+ROW()/1000000000,"")</f>
        <v/>
      </c>
      <c r="AD3922" s="94">
        <f>IF($A3922="",0,$P3922*AG3922)</f>
        <v/>
      </c>
      <c r="AE3922" s="64">
        <f>IF($A3922="","",IFERROR(INDEX(계정매핑!$E$5:$E$504,MATCH($F3922&amp;"",계정매핑!$A$5:$A$504,0))&amp;"","공통비"))</f>
        <v/>
      </c>
      <c r="AF3922" s="64">
        <f>IF($A3922="","",IF(AE3922="직접",IFERROR(INDEX(계정매핑!$F$5:$F$504,MATCH($F3922&amp;"",계정매핑!$A$5:$A$504,0))&amp;"","비귀속"),""))</f>
        <v/>
      </c>
      <c r="AG3922" s="96">
        <f>IF($A3922="",0,IF(AND(AE3922&lt;&gt;"직접",IFERROR(INDEX(계정매핑!$G$5:$G$504,MATCH($F3922&amp;"",계정매핑!$A$5:$A$504,0))&amp;"","")="유지비",COUNTIF(계정대체기준!$A$6:$A$15,$N3922)&gt;0),IFERROR(INDEX(계정대체기준!$E$6:$E$15,MATCH(VALUE($A3922&amp;""),계정대체기준!$D$6:$D$15,0)),0),0))</f>
        <v/>
      </c>
      <c r="AH3922" s="64">
        <f>IF($A3922="","",IF(AD3922=0,"",IF(OR(COUNTIF(계정대체기준!$A$77:$A$86,$N3922)&gt;0,ISNUMBER(MATCH($X3922,계정대체기준!$D$77:$D$86,0)),ISNUMBER(MATCH($F3922,계정대체기준!$D$77:$D$86,0))),"Y","N")))</f>
        <v/>
      </c>
    </row>
    <row r="3923">
      <c r="A3923" s="92" t="n">
        <v>2026</v>
      </c>
      <c r="B3923" s="92" t="n">
        <v>6</v>
      </c>
      <c r="C3923" s="92" t="inlineStr">
        <is>
          <t>5100001201</t>
        </is>
      </c>
      <c r="D3923" s="95" t="n">
        <v>46182</v>
      </c>
      <c r="E3923" s="92" t="inlineStr">
        <is>
          <t>KR</t>
        </is>
      </c>
      <c r="F3923" s="92" t="n">
        <v>62101000</v>
      </c>
      <c r="G3923" s="92" t="n">
        <v>1601</v>
      </c>
      <c r="H3923" s="93" t="n">
        <v>876000</v>
      </c>
      <c r="I3923" s="92" t="inlineStr">
        <is>
          <t>6월 국내출장 - (법인카드)</t>
        </is>
      </c>
      <c r="J3923" s="92" t="inlineStr">
        <is>
          <t>V10010</t>
        </is>
      </c>
      <c r="K3923" s="92" t="inlineStr">
        <is>
          <t>(법인카드)</t>
        </is>
      </c>
      <c r="M3923" s="9">
        <f>IF($A3923="","",VALUE($A3923&amp;"")*12+VALUE($B3923&amp;""))</f>
        <v/>
      </c>
      <c r="N3923" s="64">
        <f>IF($A3923="","",IFERROR(INDEX(부서매핑!$C$5:$C$504,MATCH($G3923&amp;"",부서매핑!$A$5:$A$504,0)),"미매핑"))</f>
        <v/>
      </c>
      <c r="O3923" s="9">
        <f>IF($A3923="","",N3923&amp;"|"&amp;$F3923)</f>
        <v/>
      </c>
      <c r="P3923" s="94">
        <f>IF($A3923="",0,$H3923*설정!$C$23)</f>
        <v/>
      </c>
      <c r="Q3923" s="64">
        <f>IF($A3923="","",IF(O3923&lt;&gt;원인분석!$C$9,"",IF(AND(M3923&gt;=원인분석!$C$10,M3923&lt;=원인분석!$C$11),"당기",IF(AND(M3923&gt;=원인분석!$C$12,M3923&lt;=원인분석!$C$13),"비교",""))))</f>
        <v/>
      </c>
      <c r="R3923" s="9">
        <f>IF(Q3923="","",$K3923&amp;"")</f>
        <v/>
      </c>
      <c r="S3923" s="9">
        <f>IF(Q3923="","",IF(MATCH(R3923,$R$5:$R$100000,0)=ROW()-4,ROW(),""))</f>
        <v/>
      </c>
      <c r="T3923" s="9">
        <f>IF(Q3923="당기",ABS(P3923)+ROW()/1000000000,"")</f>
        <v/>
      </c>
      <c r="U3923" s="9">
        <f>IF(Q3923="비교",ABS(P3923)+ROW()/1000000000,"")</f>
        <v/>
      </c>
      <c r="V3923" s="64">
        <f>IF($A3923="","",IF(COUNTIF(변동분석!$E$7:$E$506,O3923)&gt;0,"Y","N"))</f>
        <v/>
      </c>
      <c r="W3923" s="64">
        <f>IF($A3923="","",IFERROR(INDEX(계정매핑!$D$5:$D$504,MATCH($F3923&amp;"",계정매핑!$A$5:$A$504,0)),"미매핑"))</f>
        <v/>
      </c>
      <c r="X3923" s="9">
        <f>IF($A3923="","",$F3923&amp;"")</f>
        <v/>
      </c>
      <c r="Y3923" s="94">
        <f>IF($A3923="",0,IF(AE3923="직접",IF(AF3923="비귀속",$P3923,0),$P3923*(1-AG3923)*IFERROR(INDEX(계정대체기준!$F$20:$F$49,MATCH($N3923,계정대체기준!$A$20:$A$49,0)),1)))</f>
        <v/>
      </c>
      <c r="Z3923" s="94">
        <f>IF($A3923="",0,IF(AE3923="직접",IF(AF3923="신계약비",$P3923,0),$P3923*(1-AG3923)*IFERROR(INDEX(계정대체기준!$C$20:$C$49,MATCH($N3923,계정대체기준!$A$20:$A$49,0)),0)))</f>
        <v/>
      </c>
      <c r="AA3923" s="94">
        <f>IF($A3923="",0,IF(AE3923="직접",IF(OR(AF3923="유지비",AF3923="손해조사비"),$P3923,0),$P3923*(1-AG3923)*IFERROR(INDEX(계정대체기준!$D$20:$D$49,MATCH($N3923,계정대체기준!$A$20:$A$49,0)),0)))</f>
        <v/>
      </c>
      <c r="AB3923" s="94">
        <f>IF($A3923="",0,IF(AE3923="직접",IF(AF3923="수금비",$P3923,0),$P3923*(1-AG3923)*IFERROR(INDEX(계정대체기준!$E$20:$E$49,MATCH($N3923,계정대체기준!$A$20:$A$49,0)),0)))</f>
        <v/>
      </c>
      <c r="AC3923" s="9">
        <f>IF(AND($A3923&lt;&gt;"",M3923=설정!$C$20,Z3923&gt;0),Z3923+ROW()/1000000000,"")</f>
        <v/>
      </c>
      <c r="AD3923" s="94">
        <f>IF($A3923="",0,$P3923*AG3923)</f>
        <v/>
      </c>
      <c r="AE3923" s="64">
        <f>IF($A3923="","",IFERROR(INDEX(계정매핑!$E$5:$E$504,MATCH($F3923&amp;"",계정매핑!$A$5:$A$504,0))&amp;"","공통비"))</f>
        <v/>
      </c>
      <c r="AF3923" s="64">
        <f>IF($A3923="","",IF(AE3923="직접",IFERROR(INDEX(계정매핑!$F$5:$F$504,MATCH($F3923&amp;"",계정매핑!$A$5:$A$504,0))&amp;"","비귀속"),""))</f>
        <v/>
      </c>
      <c r="AG3923" s="96">
        <f>IF($A3923="",0,IF(AND(AE3923&lt;&gt;"직접",IFERROR(INDEX(계정매핑!$G$5:$G$504,MATCH($F3923&amp;"",계정매핑!$A$5:$A$504,0))&amp;"","")="유지비",COUNTIF(계정대체기준!$A$6:$A$15,$N3923)&gt;0),IFERROR(INDEX(계정대체기준!$E$6:$E$15,MATCH(VALUE($A3923&amp;""),계정대체기준!$D$6:$D$15,0)),0),0))</f>
        <v/>
      </c>
      <c r="AH3923" s="64">
        <f>IF($A3923="","",IF(AD3923=0,"",IF(OR(COUNTIF(계정대체기준!$A$77:$A$86,$N3923)&gt;0,ISNUMBER(MATCH($X3923,계정대체기준!$D$77:$D$86,0)),ISNUMBER(MATCH($F3923,계정대체기준!$D$77:$D$86,0))),"Y","N")))</f>
        <v/>
      </c>
    </row>
    <row r="3924">
      <c r="A3924" s="92" t="n">
        <v>2026</v>
      </c>
      <c r="B3924" s="92" t="n">
        <v>6</v>
      </c>
      <c r="C3924" s="92" t="inlineStr">
        <is>
          <t>5100001202</t>
        </is>
      </c>
      <c r="D3924" s="95" t="n">
        <v>46182</v>
      </c>
      <c r="E3924" s="92" t="inlineStr">
        <is>
          <t>KR</t>
        </is>
      </c>
      <c r="F3924" s="92" t="n">
        <v>62501000</v>
      </c>
      <c r="G3924" s="92" t="n">
        <v>1301</v>
      </c>
      <c r="H3924" s="93" t="n">
        <v>148000</v>
      </c>
      <c r="I3924" s="92" t="inlineStr">
        <is>
          <t>6월 회의 다과 - (법인카드)</t>
        </is>
      </c>
      <c r="J3924" s="92" t="inlineStr">
        <is>
          <t>V10010</t>
        </is>
      </c>
      <c r="K3924" s="92" t="inlineStr">
        <is>
          <t>(법인카드)</t>
        </is>
      </c>
      <c r="M3924" s="9">
        <f>IF($A3924="","",VALUE($A3924&amp;"")*12+VALUE($B3924&amp;""))</f>
        <v/>
      </c>
      <c r="N3924" s="64">
        <f>IF($A3924="","",IFERROR(INDEX(부서매핑!$C$5:$C$504,MATCH($G3924&amp;"",부서매핑!$A$5:$A$504,0)),"미매핑"))</f>
        <v/>
      </c>
      <c r="O3924" s="9">
        <f>IF($A3924="","",N3924&amp;"|"&amp;$F3924)</f>
        <v/>
      </c>
      <c r="P3924" s="94">
        <f>IF($A3924="",0,$H3924*설정!$C$23)</f>
        <v/>
      </c>
      <c r="Q3924" s="64">
        <f>IF($A3924="","",IF(O3924&lt;&gt;원인분석!$C$9,"",IF(AND(M3924&gt;=원인분석!$C$10,M3924&lt;=원인분석!$C$11),"당기",IF(AND(M3924&gt;=원인분석!$C$12,M3924&lt;=원인분석!$C$13),"비교",""))))</f>
        <v/>
      </c>
      <c r="R3924" s="9">
        <f>IF(Q3924="","",$K3924&amp;"")</f>
        <v/>
      </c>
      <c r="S3924" s="9">
        <f>IF(Q3924="","",IF(MATCH(R3924,$R$5:$R$100000,0)=ROW()-4,ROW(),""))</f>
        <v/>
      </c>
      <c r="T3924" s="9">
        <f>IF(Q3924="당기",ABS(P3924)+ROW()/1000000000,"")</f>
        <v/>
      </c>
      <c r="U3924" s="9">
        <f>IF(Q3924="비교",ABS(P3924)+ROW()/1000000000,"")</f>
        <v/>
      </c>
      <c r="V3924" s="64">
        <f>IF($A3924="","",IF(COUNTIF(변동분석!$E$7:$E$506,O3924)&gt;0,"Y","N"))</f>
        <v/>
      </c>
      <c r="W3924" s="64">
        <f>IF($A3924="","",IFERROR(INDEX(계정매핑!$D$5:$D$504,MATCH($F3924&amp;"",계정매핑!$A$5:$A$504,0)),"미매핑"))</f>
        <v/>
      </c>
      <c r="X3924" s="9">
        <f>IF($A3924="","",$F3924&amp;"")</f>
        <v/>
      </c>
      <c r="Y3924" s="94">
        <f>IF($A3924="",0,IF(AE3924="직접",IF(AF3924="비귀속",$P3924,0),$P3924*(1-AG3924)*IFERROR(INDEX(계정대체기준!$F$20:$F$49,MATCH($N3924,계정대체기준!$A$20:$A$49,0)),1)))</f>
        <v/>
      </c>
      <c r="Z3924" s="94">
        <f>IF($A3924="",0,IF(AE3924="직접",IF(AF3924="신계약비",$P3924,0),$P3924*(1-AG3924)*IFERROR(INDEX(계정대체기준!$C$20:$C$49,MATCH($N3924,계정대체기준!$A$20:$A$49,0)),0)))</f>
        <v/>
      </c>
      <c r="AA3924" s="94">
        <f>IF($A3924="",0,IF(AE3924="직접",IF(OR(AF3924="유지비",AF3924="손해조사비"),$P3924,0),$P3924*(1-AG3924)*IFERROR(INDEX(계정대체기준!$D$20:$D$49,MATCH($N3924,계정대체기준!$A$20:$A$49,0)),0)))</f>
        <v/>
      </c>
      <c r="AB3924" s="94">
        <f>IF($A3924="",0,IF(AE3924="직접",IF(AF3924="수금비",$P3924,0),$P3924*(1-AG3924)*IFERROR(INDEX(계정대체기준!$E$20:$E$49,MATCH($N3924,계정대체기준!$A$20:$A$49,0)),0)))</f>
        <v/>
      </c>
      <c r="AC3924" s="9">
        <f>IF(AND($A3924&lt;&gt;"",M3924=설정!$C$20,Z3924&gt;0),Z3924+ROW()/1000000000,"")</f>
        <v/>
      </c>
      <c r="AD3924" s="94">
        <f>IF($A3924="",0,$P3924*AG3924)</f>
        <v/>
      </c>
      <c r="AE3924" s="64">
        <f>IF($A3924="","",IFERROR(INDEX(계정매핑!$E$5:$E$504,MATCH($F3924&amp;"",계정매핑!$A$5:$A$504,0))&amp;"","공통비"))</f>
        <v/>
      </c>
      <c r="AF3924" s="64">
        <f>IF($A3924="","",IF(AE3924="직접",IFERROR(INDEX(계정매핑!$F$5:$F$504,MATCH($F3924&amp;"",계정매핑!$A$5:$A$504,0))&amp;"","비귀속"),""))</f>
        <v/>
      </c>
      <c r="AG3924" s="96">
        <f>IF($A3924="",0,IF(AND(AE3924&lt;&gt;"직접",IFERROR(INDEX(계정매핑!$G$5:$G$504,MATCH($F3924&amp;"",계정매핑!$A$5:$A$504,0))&amp;"","")="유지비",COUNTIF(계정대체기준!$A$6:$A$15,$N3924)&gt;0),IFERROR(INDEX(계정대체기준!$E$6:$E$15,MATCH(VALUE($A3924&amp;""),계정대체기준!$D$6:$D$15,0)),0),0))</f>
        <v/>
      </c>
      <c r="AH3924" s="64">
        <f>IF($A3924="","",IF(AD3924=0,"",IF(OR(COUNTIF(계정대체기준!$A$77:$A$86,$N3924)&gt;0,ISNUMBER(MATCH($X3924,계정대체기준!$D$77:$D$86,0)),ISNUMBER(MATCH($F3924,계정대체기준!$D$77:$D$86,0))),"Y","N")))</f>
        <v/>
      </c>
    </row>
    <row r="3925">
      <c r="A3925" s="92" t="n">
        <v>2026</v>
      </c>
      <c r="B3925" s="92" t="n">
        <v>6</v>
      </c>
      <c r="C3925" s="92" t="inlineStr">
        <is>
          <t>5100001203</t>
        </is>
      </c>
      <c r="D3925" s="95" t="n">
        <v>46182</v>
      </c>
      <c r="E3925" s="92" t="inlineStr">
        <is>
          <t>KR</t>
        </is>
      </c>
      <c r="F3925" s="92" t="n">
        <v>62701000</v>
      </c>
      <c r="G3925" s="92" t="n">
        <v>1501</v>
      </c>
      <c r="H3925" s="93" t="n">
        <v>41978000</v>
      </c>
      <c r="I3925" s="92" t="inlineStr">
        <is>
          <t>6월 광고 집행 - F애드</t>
        </is>
      </c>
      <c r="J3925" s="92" t="inlineStr">
        <is>
          <t>V10023</t>
        </is>
      </c>
      <c r="K3925" s="92" t="inlineStr">
        <is>
          <t>F애드</t>
        </is>
      </c>
      <c r="M3925" s="9">
        <f>IF($A3925="","",VALUE($A3925&amp;"")*12+VALUE($B3925&amp;""))</f>
        <v/>
      </c>
      <c r="N3925" s="64">
        <f>IF($A3925="","",IFERROR(INDEX(부서매핑!$C$5:$C$504,MATCH($G3925&amp;"",부서매핑!$A$5:$A$504,0)),"미매핑"))</f>
        <v/>
      </c>
      <c r="O3925" s="9">
        <f>IF($A3925="","",N3925&amp;"|"&amp;$F3925)</f>
        <v/>
      </c>
      <c r="P3925" s="94">
        <f>IF($A3925="",0,$H3925*설정!$C$23)</f>
        <v/>
      </c>
      <c r="Q3925" s="64">
        <f>IF($A3925="","",IF(O3925&lt;&gt;원인분석!$C$9,"",IF(AND(M3925&gt;=원인분석!$C$10,M3925&lt;=원인분석!$C$11),"당기",IF(AND(M3925&gt;=원인분석!$C$12,M3925&lt;=원인분석!$C$13),"비교",""))))</f>
        <v/>
      </c>
      <c r="R3925" s="9">
        <f>IF(Q3925="","",$K3925&amp;"")</f>
        <v/>
      </c>
      <c r="S3925" s="9">
        <f>IF(Q3925="","",IF(MATCH(R3925,$R$5:$R$100000,0)=ROW()-4,ROW(),""))</f>
        <v/>
      </c>
      <c r="T3925" s="9">
        <f>IF(Q3925="당기",ABS(P3925)+ROW()/1000000000,"")</f>
        <v/>
      </c>
      <c r="U3925" s="9">
        <f>IF(Q3925="비교",ABS(P3925)+ROW()/1000000000,"")</f>
        <v/>
      </c>
      <c r="V3925" s="64">
        <f>IF($A3925="","",IF(COUNTIF(변동분석!$E$7:$E$506,O3925)&gt;0,"Y","N"))</f>
        <v/>
      </c>
      <c r="W3925" s="64">
        <f>IF($A3925="","",IFERROR(INDEX(계정매핑!$D$5:$D$504,MATCH($F3925&amp;"",계정매핑!$A$5:$A$504,0)),"미매핑"))</f>
        <v/>
      </c>
      <c r="X3925" s="9">
        <f>IF($A3925="","",$F3925&amp;"")</f>
        <v/>
      </c>
      <c r="Y3925" s="94">
        <f>IF($A3925="",0,IF(AE3925="직접",IF(AF3925="비귀속",$P3925,0),$P3925*(1-AG3925)*IFERROR(INDEX(계정대체기준!$F$20:$F$49,MATCH($N3925,계정대체기준!$A$20:$A$49,0)),1)))</f>
        <v/>
      </c>
      <c r="Z3925" s="94">
        <f>IF($A3925="",0,IF(AE3925="직접",IF(AF3925="신계약비",$P3925,0),$P3925*(1-AG3925)*IFERROR(INDEX(계정대체기준!$C$20:$C$49,MATCH($N3925,계정대체기준!$A$20:$A$49,0)),0)))</f>
        <v/>
      </c>
      <c r="AA3925" s="94">
        <f>IF($A3925="",0,IF(AE3925="직접",IF(OR(AF3925="유지비",AF3925="손해조사비"),$P3925,0),$P3925*(1-AG3925)*IFERROR(INDEX(계정대체기준!$D$20:$D$49,MATCH($N3925,계정대체기준!$A$20:$A$49,0)),0)))</f>
        <v/>
      </c>
      <c r="AB3925" s="94">
        <f>IF($A3925="",0,IF(AE3925="직접",IF(AF3925="수금비",$P3925,0),$P3925*(1-AG3925)*IFERROR(INDEX(계정대체기준!$E$20:$E$49,MATCH($N3925,계정대체기준!$A$20:$A$49,0)),0)))</f>
        <v/>
      </c>
      <c r="AC3925" s="9">
        <f>IF(AND($A3925&lt;&gt;"",M3925=설정!$C$20,Z3925&gt;0),Z3925+ROW()/1000000000,"")</f>
        <v/>
      </c>
      <c r="AD3925" s="94">
        <f>IF($A3925="",0,$P3925*AG3925)</f>
        <v/>
      </c>
      <c r="AE3925" s="64">
        <f>IF($A3925="","",IFERROR(INDEX(계정매핑!$E$5:$E$504,MATCH($F3925&amp;"",계정매핑!$A$5:$A$504,0))&amp;"","공통비"))</f>
        <v/>
      </c>
      <c r="AF3925" s="64">
        <f>IF($A3925="","",IF(AE3925="직접",IFERROR(INDEX(계정매핑!$F$5:$F$504,MATCH($F3925&amp;"",계정매핑!$A$5:$A$504,0))&amp;"","비귀속"),""))</f>
        <v/>
      </c>
      <c r="AG3925" s="96">
        <f>IF($A3925="",0,IF(AND(AE3925&lt;&gt;"직접",IFERROR(INDEX(계정매핑!$G$5:$G$504,MATCH($F3925&amp;"",계정매핑!$A$5:$A$504,0))&amp;"","")="유지비",COUNTIF(계정대체기준!$A$6:$A$15,$N3925)&gt;0),IFERROR(INDEX(계정대체기준!$E$6:$E$15,MATCH(VALUE($A3925&amp;""),계정대체기준!$D$6:$D$15,0)),0),0))</f>
        <v/>
      </c>
      <c r="AH3925" s="64">
        <f>IF($A3925="","",IF(AD3925=0,"",IF(OR(COUNTIF(계정대체기준!$A$77:$A$86,$N3925)&gt;0,ISNUMBER(MATCH($X3925,계정대체기준!$D$77:$D$86,0)),ISNUMBER(MATCH($F3925,계정대체기준!$D$77:$D$86,0))),"Y","N")))</f>
        <v/>
      </c>
    </row>
    <row r="3926">
      <c r="A3926" s="92" t="n">
        <v>2026</v>
      </c>
      <c r="B3926" s="92" t="n">
        <v>6</v>
      </c>
      <c r="C3926" s="92" t="inlineStr">
        <is>
          <t>5100001204</t>
        </is>
      </c>
      <c r="D3926" s="95" t="n">
        <v>46182</v>
      </c>
      <c r="E3926" s="92" t="inlineStr">
        <is>
          <t>KR</t>
        </is>
      </c>
      <c r="F3926" s="92" t="n">
        <v>62902000</v>
      </c>
      <c r="G3926" s="92" t="n">
        <v>1401</v>
      </c>
      <c r="H3926" s="93" t="n">
        <v>2414000</v>
      </c>
      <c r="I3926" s="92" t="inlineStr">
        <is>
          <t>6월 업무 위탁 수수료 - X서비스</t>
        </is>
      </c>
      <c r="J3926" s="92" t="inlineStr">
        <is>
          <t>V10020</t>
        </is>
      </c>
      <c r="K3926" s="92" t="inlineStr">
        <is>
          <t>X서비스</t>
        </is>
      </c>
      <c r="M3926" s="9">
        <f>IF($A3926="","",VALUE($A3926&amp;"")*12+VALUE($B3926&amp;""))</f>
        <v/>
      </c>
      <c r="N3926" s="64">
        <f>IF($A3926="","",IFERROR(INDEX(부서매핑!$C$5:$C$504,MATCH($G3926&amp;"",부서매핑!$A$5:$A$504,0)),"미매핑"))</f>
        <v/>
      </c>
      <c r="O3926" s="9">
        <f>IF($A3926="","",N3926&amp;"|"&amp;$F3926)</f>
        <v/>
      </c>
      <c r="P3926" s="94">
        <f>IF($A3926="",0,$H3926*설정!$C$23)</f>
        <v/>
      </c>
      <c r="Q3926" s="64">
        <f>IF($A3926="","",IF(O3926&lt;&gt;원인분석!$C$9,"",IF(AND(M3926&gt;=원인분석!$C$10,M3926&lt;=원인분석!$C$11),"당기",IF(AND(M3926&gt;=원인분석!$C$12,M3926&lt;=원인분석!$C$13),"비교",""))))</f>
        <v/>
      </c>
      <c r="R3926" s="9">
        <f>IF(Q3926="","",$K3926&amp;"")</f>
        <v/>
      </c>
      <c r="S3926" s="9">
        <f>IF(Q3926="","",IF(MATCH(R3926,$R$5:$R$100000,0)=ROW()-4,ROW(),""))</f>
        <v/>
      </c>
      <c r="T3926" s="9">
        <f>IF(Q3926="당기",ABS(P3926)+ROW()/1000000000,"")</f>
        <v/>
      </c>
      <c r="U3926" s="9">
        <f>IF(Q3926="비교",ABS(P3926)+ROW()/1000000000,"")</f>
        <v/>
      </c>
      <c r="V3926" s="64">
        <f>IF($A3926="","",IF(COUNTIF(변동분석!$E$7:$E$506,O3926)&gt;0,"Y","N"))</f>
        <v/>
      </c>
      <c r="W3926" s="64">
        <f>IF($A3926="","",IFERROR(INDEX(계정매핑!$D$5:$D$504,MATCH($F3926&amp;"",계정매핑!$A$5:$A$504,0)),"미매핑"))</f>
        <v/>
      </c>
      <c r="X3926" s="9">
        <f>IF($A3926="","",$F3926&amp;"")</f>
        <v/>
      </c>
      <c r="Y3926" s="94">
        <f>IF($A3926="",0,IF(AE3926="직접",IF(AF3926="비귀속",$P3926,0),$P3926*(1-AG3926)*IFERROR(INDEX(계정대체기준!$F$20:$F$49,MATCH($N3926,계정대체기준!$A$20:$A$49,0)),1)))</f>
        <v/>
      </c>
      <c r="Z3926" s="94">
        <f>IF($A3926="",0,IF(AE3926="직접",IF(AF3926="신계약비",$P3926,0),$P3926*(1-AG3926)*IFERROR(INDEX(계정대체기준!$C$20:$C$49,MATCH($N3926,계정대체기준!$A$20:$A$49,0)),0)))</f>
        <v/>
      </c>
      <c r="AA3926" s="94">
        <f>IF($A3926="",0,IF(AE3926="직접",IF(OR(AF3926="유지비",AF3926="손해조사비"),$P3926,0),$P3926*(1-AG3926)*IFERROR(INDEX(계정대체기준!$D$20:$D$49,MATCH($N3926,계정대체기준!$A$20:$A$49,0)),0)))</f>
        <v/>
      </c>
      <c r="AB3926" s="94">
        <f>IF($A3926="",0,IF(AE3926="직접",IF(AF3926="수금비",$P3926,0),$P3926*(1-AG3926)*IFERROR(INDEX(계정대체기준!$E$20:$E$49,MATCH($N3926,계정대체기준!$A$20:$A$49,0)),0)))</f>
        <v/>
      </c>
      <c r="AC3926" s="9">
        <f>IF(AND($A3926&lt;&gt;"",M3926=설정!$C$20,Z3926&gt;0),Z3926+ROW()/1000000000,"")</f>
        <v/>
      </c>
      <c r="AD3926" s="94">
        <f>IF($A3926="",0,$P3926*AG3926)</f>
        <v/>
      </c>
      <c r="AE3926" s="64">
        <f>IF($A3926="","",IFERROR(INDEX(계정매핑!$E$5:$E$504,MATCH($F3926&amp;"",계정매핑!$A$5:$A$504,0))&amp;"","공통비"))</f>
        <v/>
      </c>
      <c r="AF3926" s="64">
        <f>IF($A3926="","",IF(AE3926="직접",IFERROR(INDEX(계정매핑!$F$5:$F$504,MATCH($F3926&amp;"",계정매핑!$A$5:$A$504,0))&amp;"","비귀속"),""))</f>
        <v/>
      </c>
      <c r="AG3926" s="96">
        <f>IF($A3926="",0,IF(AND(AE3926&lt;&gt;"직접",IFERROR(INDEX(계정매핑!$G$5:$G$504,MATCH($F3926&amp;"",계정매핑!$A$5:$A$504,0))&amp;"","")="유지비",COUNTIF(계정대체기준!$A$6:$A$15,$N3926)&gt;0),IFERROR(INDEX(계정대체기준!$E$6:$E$15,MATCH(VALUE($A3926&amp;""),계정대체기준!$D$6:$D$15,0)),0),0))</f>
        <v/>
      </c>
      <c r="AH3926" s="64">
        <f>IF($A3926="","",IF(AD3926=0,"",IF(OR(COUNTIF(계정대체기준!$A$77:$A$86,$N3926)&gt;0,ISNUMBER(MATCH($X3926,계정대체기준!$D$77:$D$86,0)),ISNUMBER(MATCH($F3926,계정대체기준!$D$77:$D$86,0))),"Y","N")))</f>
        <v/>
      </c>
    </row>
    <row r="3927">
      <c r="A3927" s="92" t="n">
        <v>2026</v>
      </c>
      <c r="B3927" s="92" t="n">
        <v>6</v>
      </c>
      <c r="C3927" s="92" t="inlineStr">
        <is>
          <t>5100001205</t>
        </is>
      </c>
      <c r="D3927" s="95" t="n">
        <v>46182</v>
      </c>
      <c r="E3927" s="92" t="inlineStr">
        <is>
          <t>KR</t>
        </is>
      </c>
      <c r="F3927" s="92" t="n">
        <v>62902000</v>
      </c>
      <c r="G3927" s="92" t="n">
        <v>1951</v>
      </c>
      <c r="H3927" s="93" t="n">
        <v>5093000</v>
      </c>
      <c r="I3927" s="92" t="inlineStr">
        <is>
          <t>6월 업무 위탁 수수료 - X서비스</t>
        </is>
      </c>
      <c r="J3927" s="92" t="inlineStr">
        <is>
          <t>V10020</t>
        </is>
      </c>
      <c r="K3927" s="92" t="inlineStr">
        <is>
          <t>X서비스</t>
        </is>
      </c>
      <c r="M3927" s="9">
        <f>IF($A3927="","",VALUE($A3927&amp;"")*12+VALUE($B3927&amp;""))</f>
        <v/>
      </c>
      <c r="N3927" s="64">
        <f>IF($A3927="","",IFERROR(INDEX(부서매핑!$C$5:$C$504,MATCH($G3927&amp;"",부서매핑!$A$5:$A$504,0)),"미매핑"))</f>
        <v/>
      </c>
      <c r="O3927" s="9">
        <f>IF($A3927="","",N3927&amp;"|"&amp;$F3927)</f>
        <v/>
      </c>
      <c r="P3927" s="94">
        <f>IF($A3927="",0,$H3927*설정!$C$23)</f>
        <v/>
      </c>
      <c r="Q3927" s="64">
        <f>IF($A3927="","",IF(O3927&lt;&gt;원인분석!$C$9,"",IF(AND(M3927&gt;=원인분석!$C$10,M3927&lt;=원인분석!$C$11),"당기",IF(AND(M3927&gt;=원인분석!$C$12,M3927&lt;=원인분석!$C$13),"비교",""))))</f>
        <v/>
      </c>
      <c r="R3927" s="9">
        <f>IF(Q3927="","",$K3927&amp;"")</f>
        <v/>
      </c>
      <c r="S3927" s="9">
        <f>IF(Q3927="","",IF(MATCH(R3927,$R$5:$R$100000,0)=ROW()-4,ROW(),""))</f>
        <v/>
      </c>
      <c r="T3927" s="9">
        <f>IF(Q3927="당기",ABS(P3927)+ROW()/1000000000,"")</f>
        <v/>
      </c>
      <c r="U3927" s="9">
        <f>IF(Q3927="비교",ABS(P3927)+ROW()/1000000000,"")</f>
        <v/>
      </c>
      <c r="V3927" s="64">
        <f>IF($A3927="","",IF(COUNTIF(변동분석!$E$7:$E$506,O3927)&gt;0,"Y","N"))</f>
        <v/>
      </c>
      <c r="W3927" s="64">
        <f>IF($A3927="","",IFERROR(INDEX(계정매핑!$D$5:$D$504,MATCH($F3927&amp;"",계정매핑!$A$5:$A$504,0)),"미매핑"))</f>
        <v/>
      </c>
      <c r="X3927" s="9">
        <f>IF($A3927="","",$F3927&amp;"")</f>
        <v/>
      </c>
      <c r="Y3927" s="94">
        <f>IF($A3927="",0,IF(AE3927="직접",IF(AF3927="비귀속",$P3927,0),$P3927*(1-AG3927)*IFERROR(INDEX(계정대체기준!$F$20:$F$49,MATCH($N3927,계정대체기준!$A$20:$A$49,0)),1)))</f>
        <v/>
      </c>
      <c r="Z3927" s="94">
        <f>IF($A3927="",0,IF(AE3927="직접",IF(AF3927="신계약비",$P3927,0),$P3927*(1-AG3927)*IFERROR(INDEX(계정대체기준!$C$20:$C$49,MATCH($N3927,계정대체기준!$A$20:$A$49,0)),0)))</f>
        <v/>
      </c>
      <c r="AA3927" s="94">
        <f>IF($A3927="",0,IF(AE3927="직접",IF(OR(AF3927="유지비",AF3927="손해조사비"),$P3927,0),$P3927*(1-AG3927)*IFERROR(INDEX(계정대체기준!$D$20:$D$49,MATCH($N3927,계정대체기준!$A$20:$A$49,0)),0)))</f>
        <v/>
      </c>
      <c r="AB3927" s="94">
        <f>IF($A3927="",0,IF(AE3927="직접",IF(AF3927="수금비",$P3927,0),$P3927*(1-AG3927)*IFERROR(INDEX(계정대체기준!$E$20:$E$49,MATCH($N3927,계정대체기준!$A$20:$A$49,0)),0)))</f>
        <v/>
      </c>
      <c r="AC3927" s="9">
        <f>IF(AND($A3927&lt;&gt;"",M3927=설정!$C$20,Z3927&gt;0),Z3927+ROW()/1000000000,"")</f>
        <v/>
      </c>
      <c r="AD3927" s="94">
        <f>IF($A3927="",0,$P3927*AG3927)</f>
        <v/>
      </c>
      <c r="AE3927" s="64">
        <f>IF($A3927="","",IFERROR(INDEX(계정매핑!$E$5:$E$504,MATCH($F3927&amp;"",계정매핑!$A$5:$A$504,0))&amp;"","공통비"))</f>
        <v/>
      </c>
      <c r="AF3927" s="64">
        <f>IF($A3927="","",IF(AE3927="직접",IFERROR(INDEX(계정매핑!$F$5:$F$504,MATCH($F3927&amp;"",계정매핑!$A$5:$A$504,0))&amp;"","비귀속"),""))</f>
        <v/>
      </c>
      <c r="AG3927" s="96">
        <f>IF($A3927="",0,IF(AND(AE3927&lt;&gt;"직접",IFERROR(INDEX(계정매핑!$G$5:$G$504,MATCH($F3927&amp;"",계정매핑!$A$5:$A$504,0))&amp;"","")="유지비",COUNTIF(계정대체기준!$A$6:$A$15,$N3927)&gt;0),IFERROR(INDEX(계정대체기준!$E$6:$E$15,MATCH(VALUE($A3927&amp;""),계정대체기준!$D$6:$D$15,0)),0),0))</f>
        <v/>
      </c>
      <c r="AH3927" s="64">
        <f>IF($A3927="","",IF(AD3927=0,"",IF(OR(COUNTIF(계정대체기준!$A$77:$A$86,$N3927)&gt;0,ISNUMBER(MATCH($X3927,계정대체기준!$D$77:$D$86,0)),ISNUMBER(MATCH($F3927,계정대체기준!$D$77:$D$86,0))),"Y","N")))</f>
        <v/>
      </c>
    </row>
    <row r="3928">
      <c r="A3928" s="92" t="n">
        <v>2026</v>
      </c>
      <c r="B3928" s="92" t="n">
        <v>6</v>
      </c>
      <c r="C3928" s="92" t="inlineStr">
        <is>
          <t>5100001206</t>
        </is>
      </c>
      <c r="D3928" s="95" t="n">
        <v>46182</v>
      </c>
      <c r="E3928" s="92" t="inlineStr">
        <is>
          <t>KR</t>
        </is>
      </c>
      <c r="F3928" s="92" t="n">
        <v>63002000</v>
      </c>
      <c r="G3928" s="92" t="n">
        <v>1951</v>
      </c>
      <c r="H3928" s="93" t="n">
        <v>4894000</v>
      </c>
      <c r="I3928" s="92" t="inlineStr">
        <is>
          <t>6월 클라우드 사용료 - C클라우드</t>
        </is>
      </c>
      <c r="J3928" s="92" t="inlineStr">
        <is>
          <t>V10026</t>
        </is>
      </c>
      <c r="K3928" s="92" t="inlineStr">
        <is>
          <t>C클라우드</t>
        </is>
      </c>
      <c r="M3928" s="9">
        <f>IF($A3928="","",VALUE($A3928&amp;"")*12+VALUE($B3928&amp;""))</f>
        <v/>
      </c>
      <c r="N3928" s="64">
        <f>IF($A3928="","",IFERROR(INDEX(부서매핑!$C$5:$C$504,MATCH($G3928&amp;"",부서매핑!$A$5:$A$504,0)),"미매핑"))</f>
        <v/>
      </c>
      <c r="O3928" s="9">
        <f>IF($A3928="","",N3928&amp;"|"&amp;$F3928)</f>
        <v/>
      </c>
      <c r="P3928" s="94">
        <f>IF($A3928="",0,$H3928*설정!$C$23)</f>
        <v/>
      </c>
      <c r="Q3928" s="64">
        <f>IF($A3928="","",IF(O3928&lt;&gt;원인분석!$C$9,"",IF(AND(M3928&gt;=원인분석!$C$10,M3928&lt;=원인분석!$C$11),"당기",IF(AND(M3928&gt;=원인분석!$C$12,M3928&lt;=원인분석!$C$13),"비교",""))))</f>
        <v/>
      </c>
      <c r="R3928" s="9">
        <f>IF(Q3928="","",$K3928&amp;"")</f>
        <v/>
      </c>
      <c r="S3928" s="9">
        <f>IF(Q3928="","",IF(MATCH(R3928,$R$5:$R$100000,0)=ROW()-4,ROW(),""))</f>
        <v/>
      </c>
      <c r="T3928" s="9">
        <f>IF(Q3928="당기",ABS(P3928)+ROW()/1000000000,"")</f>
        <v/>
      </c>
      <c r="U3928" s="9">
        <f>IF(Q3928="비교",ABS(P3928)+ROW()/1000000000,"")</f>
        <v/>
      </c>
      <c r="V3928" s="64">
        <f>IF($A3928="","",IF(COUNTIF(변동분석!$E$7:$E$506,O3928)&gt;0,"Y","N"))</f>
        <v/>
      </c>
      <c r="W3928" s="64">
        <f>IF($A3928="","",IFERROR(INDEX(계정매핑!$D$5:$D$504,MATCH($F3928&amp;"",계정매핑!$A$5:$A$504,0)),"미매핑"))</f>
        <v/>
      </c>
      <c r="X3928" s="9">
        <f>IF($A3928="","",$F3928&amp;"")</f>
        <v/>
      </c>
      <c r="Y3928" s="94">
        <f>IF($A3928="",0,IF(AE3928="직접",IF(AF3928="비귀속",$P3928,0),$P3928*(1-AG3928)*IFERROR(INDEX(계정대체기준!$F$20:$F$49,MATCH($N3928,계정대체기준!$A$20:$A$49,0)),1)))</f>
        <v/>
      </c>
      <c r="Z3928" s="94">
        <f>IF($A3928="",0,IF(AE3928="직접",IF(AF3928="신계약비",$P3928,0),$P3928*(1-AG3928)*IFERROR(INDEX(계정대체기준!$C$20:$C$49,MATCH($N3928,계정대체기준!$A$20:$A$49,0)),0)))</f>
        <v/>
      </c>
      <c r="AA3928" s="94">
        <f>IF($A3928="",0,IF(AE3928="직접",IF(OR(AF3928="유지비",AF3928="손해조사비"),$P3928,0),$P3928*(1-AG3928)*IFERROR(INDEX(계정대체기준!$D$20:$D$49,MATCH($N3928,계정대체기준!$A$20:$A$49,0)),0)))</f>
        <v/>
      </c>
      <c r="AB3928" s="94">
        <f>IF($A3928="",0,IF(AE3928="직접",IF(AF3928="수금비",$P3928,0),$P3928*(1-AG3928)*IFERROR(INDEX(계정대체기준!$E$20:$E$49,MATCH($N3928,계정대체기준!$A$20:$A$49,0)),0)))</f>
        <v/>
      </c>
      <c r="AC3928" s="9">
        <f>IF(AND($A3928&lt;&gt;"",M3928=설정!$C$20,Z3928&gt;0),Z3928+ROW()/1000000000,"")</f>
        <v/>
      </c>
      <c r="AD3928" s="94">
        <f>IF($A3928="",0,$P3928*AG3928)</f>
        <v/>
      </c>
      <c r="AE3928" s="64">
        <f>IF($A3928="","",IFERROR(INDEX(계정매핑!$E$5:$E$504,MATCH($F3928&amp;"",계정매핑!$A$5:$A$504,0))&amp;"","공통비"))</f>
        <v/>
      </c>
      <c r="AF3928" s="64">
        <f>IF($A3928="","",IF(AE3928="직접",IFERROR(INDEX(계정매핑!$F$5:$F$504,MATCH($F3928&amp;"",계정매핑!$A$5:$A$504,0))&amp;"","비귀속"),""))</f>
        <v/>
      </c>
      <c r="AG3928" s="96">
        <f>IF($A3928="",0,IF(AND(AE3928&lt;&gt;"직접",IFERROR(INDEX(계정매핑!$G$5:$G$504,MATCH($F3928&amp;"",계정매핑!$A$5:$A$504,0))&amp;"","")="유지비",COUNTIF(계정대체기준!$A$6:$A$15,$N3928)&gt;0),IFERROR(INDEX(계정대체기준!$E$6:$E$15,MATCH(VALUE($A3928&amp;""),계정대체기준!$D$6:$D$15,0)),0),0))</f>
        <v/>
      </c>
      <c r="AH3928" s="64">
        <f>IF($A3928="","",IF(AD3928=0,"",IF(OR(COUNTIF(계정대체기준!$A$77:$A$86,$N3928)&gt;0,ISNUMBER(MATCH($X3928,계정대체기준!$D$77:$D$86,0)),ISNUMBER(MATCH($F3928,계정대체기준!$D$77:$D$86,0))),"Y","N")))</f>
        <v/>
      </c>
    </row>
    <row r="3929">
      <c r="A3929" s="92" t="n">
        <v>2026</v>
      </c>
      <c r="B3929" s="92" t="n">
        <v>6</v>
      </c>
      <c r="C3929" s="92" t="inlineStr">
        <is>
          <t>5100001207</t>
        </is>
      </c>
      <c r="D3929" s="95" t="n">
        <v>46182</v>
      </c>
      <c r="E3929" s="92" t="inlineStr">
        <is>
          <t>KR</t>
        </is>
      </c>
      <c r="F3929" s="92" t="n">
        <v>63501000</v>
      </c>
      <c r="G3929" s="92" t="n">
        <v>1901</v>
      </c>
      <c r="H3929" s="93" t="n">
        <v>549230000</v>
      </c>
      <c r="I3929" s="92" t="inlineStr">
        <is>
          <t>6월 모집수수료 - AA보험대리점</t>
        </is>
      </c>
      <c r="J3929" s="92" t="inlineStr">
        <is>
          <t>V10034</t>
        </is>
      </c>
      <c r="K3929" s="92" t="inlineStr">
        <is>
          <t>AA보험대리점</t>
        </is>
      </c>
      <c r="M3929" s="9">
        <f>IF($A3929="","",VALUE($A3929&amp;"")*12+VALUE($B3929&amp;""))</f>
        <v/>
      </c>
      <c r="N3929" s="64">
        <f>IF($A3929="","",IFERROR(INDEX(부서매핑!$C$5:$C$504,MATCH($G3929&amp;"",부서매핑!$A$5:$A$504,0)),"미매핑"))</f>
        <v/>
      </c>
      <c r="O3929" s="9">
        <f>IF($A3929="","",N3929&amp;"|"&amp;$F3929)</f>
        <v/>
      </c>
      <c r="P3929" s="94">
        <f>IF($A3929="",0,$H3929*설정!$C$23)</f>
        <v/>
      </c>
      <c r="Q3929" s="64">
        <f>IF($A3929="","",IF(O3929&lt;&gt;원인분석!$C$9,"",IF(AND(M3929&gt;=원인분석!$C$10,M3929&lt;=원인분석!$C$11),"당기",IF(AND(M3929&gt;=원인분석!$C$12,M3929&lt;=원인분석!$C$13),"비교",""))))</f>
        <v/>
      </c>
      <c r="R3929" s="9">
        <f>IF(Q3929="","",$K3929&amp;"")</f>
        <v/>
      </c>
      <c r="S3929" s="9">
        <f>IF(Q3929="","",IF(MATCH(R3929,$R$5:$R$100000,0)=ROW()-4,ROW(),""))</f>
        <v/>
      </c>
      <c r="T3929" s="9">
        <f>IF(Q3929="당기",ABS(P3929)+ROW()/1000000000,"")</f>
        <v/>
      </c>
      <c r="U3929" s="9">
        <f>IF(Q3929="비교",ABS(P3929)+ROW()/1000000000,"")</f>
        <v/>
      </c>
      <c r="V3929" s="64">
        <f>IF($A3929="","",IF(COUNTIF(변동분석!$E$7:$E$506,O3929)&gt;0,"Y","N"))</f>
        <v/>
      </c>
      <c r="W3929" s="64">
        <f>IF($A3929="","",IFERROR(INDEX(계정매핑!$D$5:$D$504,MATCH($F3929&amp;"",계정매핑!$A$5:$A$504,0)),"미매핑"))</f>
        <v/>
      </c>
      <c r="X3929" s="9">
        <f>IF($A3929="","",$F3929&amp;"")</f>
        <v/>
      </c>
      <c r="Y3929" s="94">
        <f>IF($A3929="",0,IF(AE3929="직접",IF(AF3929="비귀속",$P3929,0),$P3929*(1-AG3929)*IFERROR(INDEX(계정대체기준!$F$20:$F$49,MATCH($N3929,계정대체기준!$A$20:$A$49,0)),1)))</f>
        <v/>
      </c>
      <c r="Z3929" s="94">
        <f>IF($A3929="",0,IF(AE3929="직접",IF(AF3929="신계약비",$P3929,0),$P3929*(1-AG3929)*IFERROR(INDEX(계정대체기준!$C$20:$C$49,MATCH($N3929,계정대체기준!$A$20:$A$49,0)),0)))</f>
        <v/>
      </c>
      <c r="AA3929" s="94">
        <f>IF($A3929="",0,IF(AE3929="직접",IF(OR(AF3929="유지비",AF3929="손해조사비"),$P3929,0),$P3929*(1-AG3929)*IFERROR(INDEX(계정대체기준!$D$20:$D$49,MATCH($N3929,계정대체기준!$A$20:$A$49,0)),0)))</f>
        <v/>
      </c>
      <c r="AB3929" s="94">
        <f>IF($A3929="",0,IF(AE3929="직접",IF(AF3929="수금비",$P3929,0),$P3929*(1-AG3929)*IFERROR(INDEX(계정대체기준!$E$20:$E$49,MATCH($N3929,계정대체기준!$A$20:$A$49,0)),0)))</f>
        <v/>
      </c>
      <c r="AC3929" s="9">
        <f>IF(AND($A3929&lt;&gt;"",M3929=설정!$C$20,Z3929&gt;0),Z3929+ROW()/1000000000,"")</f>
        <v/>
      </c>
      <c r="AD3929" s="94">
        <f>IF($A3929="",0,$P3929*AG3929)</f>
        <v/>
      </c>
      <c r="AE3929" s="64">
        <f>IF($A3929="","",IFERROR(INDEX(계정매핑!$E$5:$E$504,MATCH($F3929&amp;"",계정매핑!$A$5:$A$504,0))&amp;"","공통비"))</f>
        <v/>
      </c>
      <c r="AF3929" s="64">
        <f>IF($A3929="","",IF(AE3929="직접",IFERROR(INDEX(계정매핑!$F$5:$F$504,MATCH($F3929&amp;"",계정매핑!$A$5:$A$504,0))&amp;"","비귀속"),""))</f>
        <v/>
      </c>
      <c r="AG3929" s="96">
        <f>IF($A3929="",0,IF(AND(AE3929&lt;&gt;"직접",IFERROR(INDEX(계정매핑!$G$5:$G$504,MATCH($F3929&amp;"",계정매핑!$A$5:$A$504,0))&amp;"","")="유지비",COUNTIF(계정대체기준!$A$6:$A$15,$N3929)&gt;0),IFERROR(INDEX(계정대체기준!$E$6:$E$15,MATCH(VALUE($A3929&amp;""),계정대체기준!$D$6:$D$15,0)),0),0))</f>
        <v/>
      </c>
      <c r="AH3929" s="64">
        <f>IF($A3929="","",IF(AD3929=0,"",IF(OR(COUNTIF(계정대체기준!$A$77:$A$86,$N3929)&gt;0,ISNUMBER(MATCH($X3929,계정대체기준!$D$77:$D$86,0)),ISNUMBER(MATCH($F3929,계정대체기준!$D$77:$D$86,0))),"Y","N")))</f>
        <v/>
      </c>
    </row>
    <row r="3930">
      <c r="A3930" s="92" t="n">
        <v>2026</v>
      </c>
      <c r="B3930" s="92" t="n">
        <v>6</v>
      </c>
      <c r="C3930" s="92" t="inlineStr">
        <is>
          <t>5100001208</t>
        </is>
      </c>
      <c r="D3930" s="95" t="n">
        <v>46183</v>
      </c>
      <c r="E3930" s="92" t="inlineStr">
        <is>
          <t>KR</t>
        </is>
      </c>
      <c r="F3930" s="92" t="n">
        <v>62101000</v>
      </c>
      <c r="G3930" s="92" t="n">
        <v>1301</v>
      </c>
      <c r="H3930" s="93" t="n">
        <v>414000</v>
      </c>
      <c r="I3930" s="92" t="inlineStr">
        <is>
          <t>6월 국내출장 - M항공</t>
        </is>
      </c>
      <c r="J3930" s="92" t="inlineStr">
        <is>
          <t>V10001</t>
        </is>
      </c>
      <c r="K3930" s="92" t="inlineStr">
        <is>
          <t>M항공</t>
        </is>
      </c>
      <c r="M3930" s="9">
        <f>IF($A3930="","",VALUE($A3930&amp;"")*12+VALUE($B3930&amp;""))</f>
        <v/>
      </c>
      <c r="N3930" s="64">
        <f>IF($A3930="","",IFERROR(INDEX(부서매핑!$C$5:$C$504,MATCH($G3930&amp;"",부서매핑!$A$5:$A$504,0)),"미매핑"))</f>
        <v/>
      </c>
      <c r="O3930" s="9">
        <f>IF($A3930="","",N3930&amp;"|"&amp;$F3930)</f>
        <v/>
      </c>
      <c r="P3930" s="94">
        <f>IF($A3930="",0,$H3930*설정!$C$23)</f>
        <v/>
      </c>
      <c r="Q3930" s="64">
        <f>IF($A3930="","",IF(O3930&lt;&gt;원인분석!$C$9,"",IF(AND(M3930&gt;=원인분석!$C$10,M3930&lt;=원인분석!$C$11),"당기",IF(AND(M3930&gt;=원인분석!$C$12,M3930&lt;=원인분석!$C$13),"비교",""))))</f>
        <v/>
      </c>
      <c r="R3930" s="9">
        <f>IF(Q3930="","",$K3930&amp;"")</f>
        <v/>
      </c>
      <c r="S3930" s="9">
        <f>IF(Q3930="","",IF(MATCH(R3930,$R$5:$R$100000,0)=ROW()-4,ROW(),""))</f>
        <v/>
      </c>
      <c r="T3930" s="9">
        <f>IF(Q3930="당기",ABS(P3930)+ROW()/1000000000,"")</f>
        <v/>
      </c>
      <c r="U3930" s="9">
        <f>IF(Q3930="비교",ABS(P3930)+ROW()/1000000000,"")</f>
        <v/>
      </c>
      <c r="V3930" s="64">
        <f>IF($A3930="","",IF(COUNTIF(변동분석!$E$7:$E$506,O3930)&gt;0,"Y","N"))</f>
        <v/>
      </c>
      <c r="W3930" s="64">
        <f>IF($A3930="","",IFERROR(INDEX(계정매핑!$D$5:$D$504,MATCH($F3930&amp;"",계정매핑!$A$5:$A$504,0)),"미매핑"))</f>
        <v/>
      </c>
      <c r="X3930" s="9">
        <f>IF($A3930="","",$F3930&amp;"")</f>
        <v/>
      </c>
      <c r="Y3930" s="94">
        <f>IF($A3930="",0,IF(AE3930="직접",IF(AF3930="비귀속",$P3930,0),$P3930*(1-AG3930)*IFERROR(INDEX(계정대체기준!$F$20:$F$49,MATCH($N3930,계정대체기준!$A$20:$A$49,0)),1)))</f>
        <v/>
      </c>
      <c r="Z3930" s="94">
        <f>IF($A3930="",0,IF(AE3930="직접",IF(AF3930="신계약비",$P3930,0),$P3930*(1-AG3930)*IFERROR(INDEX(계정대체기준!$C$20:$C$49,MATCH($N3930,계정대체기준!$A$20:$A$49,0)),0)))</f>
        <v/>
      </c>
      <c r="AA3930" s="94">
        <f>IF($A3930="",0,IF(AE3930="직접",IF(OR(AF3930="유지비",AF3930="손해조사비"),$P3930,0),$P3930*(1-AG3930)*IFERROR(INDEX(계정대체기준!$D$20:$D$49,MATCH($N3930,계정대체기준!$A$20:$A$49,0)),0)))</f>
        <v/>
      </c>
      <c r="AB3930" s="94">
        <f>IF($A3930="",0,IF(AE3930="직접",IF(AF3930="수금비",$P3930,0),$P3930*(1-AG3930)*IFERROR(INDEX(계정대체기준!$E$20:$E$49,MATCH($N3930,계정대체기준!$A$20:$A$49,0)),0)))</f>
        <v/>
      </c>
      <c r="AC3930" s="9">
        <f>IF(AND($A3930&lt;&gt;"",M3930=설정!$C$20,Z3930&gt;0),Z3930+ROW()/1000000000,"")</f>
        <v/>
      </c>
      <c r="AD3930" s="94">
        <f>IF($A3930="",0,$P3930*AG3930)</f>
        <v/>
      </c>
      <c r="AE3930" s="64">
        <f>IF($A3930="","",IFERROR(INDEX(계정매핑!$E$5:$E$504,MATCH($F3930&amp;"",계정매핑!$A$5:$A$504,0))&amp;"","공통비"))</f>
        <v/>
      </c>
      <c r="AF3930" s="64">
        <f>IF($A3930="","",IF(AE3930="직접",IFERROR(INDEX(계정매핑!$F$5:$F$504,MATCH($F3930&amp;"",계정매핑!$A$5:$A$504,0))&amp;"","비귀속"),""))</f>
        <v/>
      </c>
      <c r="AG3930" s="96">
        <f>IF($A3930="",0,IF(AND(AE3930&lt;&gt;"직접",IFERROR(INDEX(계정매핑!$G$5:$G$504,MATCH($F3930&amp;"",계정매핑!$A$5:$A$504,0))&amp;"","")="유지비",COUNTIF(계정대체기준!$A$6:$A$15,$N3930)&gt;0),IFERROR(INDEX(계정대체기준!$E$6:$E$15,MATCH(VALUE($A3930&amp;""),계정대체기준!$D$6:$D$15,0)),0),0))</f>
        <v/>
      </c>
      <c r="AH3930" s="64">
        <f>IF($A3930="","",IF(AD3930=0,"",IF(OR(COUNTIF(계정대체기준!$A$77:$A$86,$N3930)&gt;0,ISNUMBER(MATCH($X3930,계정대체기준!$D$77:$D$86,0)),ISNUMBER(MATCH($F3930,계정대체기준!$D$77:$D$86,0))),"Y","N")))</f>
        <v/>
      </c>
    </row>
    <row r="3931">
      <c r="A3931" s="92" t="n">
        <v>2026</v>
      </c>
      <c r="B3931" s="92" t="n">
        <v>6</v>
      </c>
      <c r="C3931" s="92" t="inlineStr">
        <is>
          <t>5100001209</t>
        </is>
      </c>
      <c r="D3931" s="95" t="n">
        <v>46183</v>
      </c>
      <c r="E3931" s="92" t="inlineStr">
        <is>
          <t>KR</t>
        </is>
      </c>
      <c r="F3931" s="92" t="n">
        <v>62102000</v>
      </c>
      <c r="G3931" s="92" t="n">
        <v>1301</v>
      </c>
      <c r="H3931" s="93" t="n">
        <v>62000</v>
      </c>
      <c r="I3931" s="92" t="inlineStr">
        <is>
          <t>6월 해외출장 - N호텔</t>
        </is>
      </c>
      <c r="J3931" s="92" t="inlineStr">
        <is>
          <t>V10009</t>
        </is>
      </c>
      <c r="K3931" s="92" t="inlineStr">
        <is>
          <t>N호텔</t>
        </is>
      </c>
      <c r="M3931" s="9">
        <f>IF($A3931="","",VALUE($A3931&amp;"")*12+VALUE($B3931&amp;""))</f>
        <v/>
      </c>
      <c r="N3931" s="64">
        <f>IF($A3931="","",IFERROR(INDEX(부서매핑!$C$5:$C$504,MATCH($G3931&amp;"",부서매핑!$A$5:$A$504,0)),"미매핑"))</f>
        <v/>
      </c>
      <c r="O3931" s="9">
        <f>IF($A3931="","",N3931&amp;"|"&amp;$F3931)</f>
        <v/>
      </c>
      <c r="P3931" s="94">
        <f>IF($A3931="",0,$H3931*설정!$C$23)</f>
        <v/>
      </c>
      <c r="Q3931" s="64">
        <f>IF($A3931="","",IF(O3931&lt;&gt;원인분석!$C$9,"",IF(AND(M3931&gt;=원인분석!$C$10,M3931&lt;=원인분석!$C$11),"당기",IF(AND(M3931&gt;=원인분석!$C$12,M3931&lt;=원인분석!$C$13),"비교",""))))</f>
        <v/>
      </c>
      <c r="R3931" s="9">
        <f>IF(Q3931="","",$K3931&amp;"")</f>
        <v/>
      </c>
      <c r="S3931" s="9">
        <f>IF(Q3931="","",IF(MATCH(R3931,$R$5:$R$100000,0)=ROW()-4,ROW(),""))</f>
        <v/>
      </c>
      <c r="T3931" s="9">
        <f>IF(Q3931="당기",ABS(P3931)+ROW()/1000000000,"")</f>
        <v/>
      </c>
      <c r="U3931" s="9">
        <f>IF(Q3931="비교",ABS(P3931)+ROW()/1000000000,"")</f>
        <v/>
      </c>
      <c r="V3931" s="64">
        <f>IF($A3931="","",IF(COUNTIF(변동분석!$E$7:$E$506,O3931)&gt;0,"Y","N"))</f>
        <v/>
      </c>
      <c r="W3931" s="64">
        <f>IF($A3931="","",IFERROR(INDEX(계정매핑!$D$5:$D$504,MATCH($F3931&amp;"",계정매핑!$A$5:$A$504,0)),"미매핑"))</f>
        <v/>
      </c>
      <c r="X3931" s="9">
        <f>IF($A3931="","",$F3931&amp;"")</f>
        <v/>
      </c>
      <c r="Y3931" s="94">
        <f>IF($A3931="",0,IF(AE3931="직접",IF(AF3931="비귀속",$P3931,0),$P3931*(1-AG3931)*IFERROR(INDEX(계정대체기준!$F$20:$F$49,MATCH($N3931,계정대체기준!$A$20:$A$49,0)),1)))</f>
        <v/>
      </c>
      <c r="Z3931" s="94">
        <f>IF($A3931="",0,IF(AE3931="직접",IF(AF3931="신계약비",$P3931,0),$P3931*(1-AG3931)*IFERROR(INDEX(계정대체기준!$C$20:$C$49,MATCH($N3931,계정대체기준!$A$20:$A$49,0)),0)))</f>
        <v/>
      </c>
      <c r="AA3931" s="94">
        <f>IF($A3931="",0,IF(AE3931="직접",IF(OR(AF3931="유지비",AF3931="손해조사비"),$P3931,0),$P3931*(1-AG3931)*IFERROR(INDEX(계정대체기준!$D$20:$D$49,MATCH($N3931,계정대체기준!$A$20:$A$49,0)),0)))</f>
        <v/>
      </c>
      <c r="AB3931" s="94">
        <f>IF($A3931="",0,IF(AE3931="직접",IF(AF3931="수금비",$P3931,0),$P3931*(1-AG3931)*IFERROR(INDEX(계정대체기준!$E$20:$E$49,MATCH($N3931,계정대체기준!$A$20:$A$49,0)),0)))</f>
        <v/>
      </c>
      <c r="AC3931" s="9">
        <f>IF(AND($A3931&lt;&gt;"",M3931=설정!$C$20,Z3931&gt;0),Z3931+ROW()/1000000000,"")</f>
        <v/>
      </c>
      <c r="AD3931" s="94">
        <f>IF($A3931="",0,$P3931*AG3931)</f>
        <v/>
      </c>
      <c r="AE3931" s="64">
        <f>IF($A3931="","",IFERROR(INDEX(계정매핑!$E$5:$E$504,MATCH($F3931&amp;"",계정매핑!$A$5:$A$504,0))&amp;"","공통비"))</f>
        <v/>
      </c>
      <c r="AF3931" s="64">
        <f>IF($A3931="","",IF(AE3931="직접",IFERROR(INDEX(계정매핑!$F$5:$F$504,MATCH($F3931&amp;"",계정매핑!$A$5:$A$504,0))&amp;"","비귀속"),""))</f>
        <v/>
      </c>
      <c r="AG3931" s="96">
        <f>IF($A3931="",0,IF(AND(AE3931&lt;&gt;"직접",IFERROR(INDEX(계정매핑!$G$5:$G$504,MATCH($F3931&amp;"",계정매핑!$A$5:$A$504,0))&amp;"","")="유지비",COUNTIF(계정대체기준!$A$6:$A$15,$N3931)&gt;0),IFERROR(INDEX(계정대체기준!$E$6:$E$15,MATCH(VALUE($A3931&amp;""),계정대체기준!$D$6:$D$15,0)),0),0))</f>
        <v/>
      </c>
      <c r="AH3931" s="64">
        <f>IF($A3931="","",IF(AD3931=0,"",IF(OR(COUNTIF(계정대체기준!$A$77:$A$86,$N3931)&gt;0,ISNUMBER(MATCH($X3931,계정대체기준!$D$77:$D$86,0)),ISNUMBER(MATCH($F3931,계정대체기준!$D$77:$D$86,0))),"Y","N")))</f>
        <v/>
      </c>
    </row>
    <row r="3932">
      <c r="A3932" s="92" t="n">
        <v>2026</v>
      </c>
      <c r="B3932" s="92" t="n">
        <v>6</v>
      </c>
      <c r="C3932" s="92" t="inlineStr">
        <is>
          <t>5100001210</t>
        </is>
      </c>
      <c r="D3932" s="95" t="n">
        <v>46183</v>
      </c>
      <c r="E3932" s="92" t="inlineStr">
        <is>
          <t>KR</t>
        </is>
      </c>
      <c r="F3932" s="92" t="n">
        <v>62201000</v>
      </c>
      <c r="G3932" s="92" t="n">
        <v>1502</v>
      </c>
      <c r="H3932" s="93" t="n">
        <v>264000</v>
      </c>
      <c r="I3932" s="92" t="inlineStr">
        <is>
          <t>6월 통신요금 - P통신</t>
        </is>
      </c>
      <c r="J3932" s="92" t="inlineStr">
        <is>
          <t>V10014</t>
        </is>
      </c>
      <c r="K3932" s="92" t="inlineStr">
        <is>
          <t>P통신</t>
        </is>
      </c>
      <c r="M3932" s="9">
        <f>IF($A3932="","",VALUE($A3932&amp;"")*12+VALUE($B3932&amp;""))</f>
        <v/>
      </c>
      <c r="N3932" s="64">
        <f>IF($A3932="","",IFERROR(INDEX(부서매핑!$C$5:$C$504,MATCH($G3932&amp;"",부서매핑!$A$5:$A$504,0)),"미매핑"))</f>
        <v/>
      </c>
      <c r="O3932" s="9">
        <f>IF($A3932="","",N3932&amp;"|"&amp;$F3932)</f>
        <v/>
      </c>
      <c r="P3932" s="94">
        <f>IF($A3932="",0,$H3932*설정!$C$23)</f>
        <v/>
      </c>
      <c r="Q3932" s="64">
        <f>IF($A3932="","",IF(O3932&lt;&gt;원인분석!$C$9,"",IF(AND(M3932&gt;=원인분석!$C$10,M3932&lt;=원인분석!$C$11),"당기",IF(AND(M3932&gt;=원인분석!$C$12,M3932&lt;=원인분석!$C$13),"비교",""))))</f>
        <v/>
      </c>
      <c r="R3932" s="9">
        <f>IF(Q3932="","",$K3932&amp;"")</f>
        <v/>
      </c>
      <c r="S3932" s="9">
        <f>IF(Q3932="","",IF(MATCH(R3932,$R$5:$R$100000,0)=ROW()-4,ROW(),""))</f>
        <v/>
      </c>
      <c r="T3932" s="9">
        <f>IF(Q3932="당기",ABS(P3932)+ROW()/1000000000,"")</f>
        <v/>
      </c>
      <c r="U3932" s="9">
        <f>IF(Q3932="비교",ABS(P3932)+ROW()/1000000000,"")</f>
        <v/>
      </c>
      <c r="V3932" s="64">
        <f>IF($A3932="","",IF(COUNTIF(변동분석!$E$7:$E$506,O3932)&gt;0,"Y","N"))</f>
        <v/>
      </c>
      <c r="W3932" s="64">
        <f>IF($A3932="","",IFERROR(INDEX(계정매핑!$D$5:$D$504,MATCH($F3932&amp;"",계정매핑!$A$5:$A$504,0)),"미매핑"))</f>
        <v/>
      </c>
      <c r="X3932" s="9">
        <f>IF($A3932="","",$F3932&amp;"")</f>
        <v/>
      </c>
      <c r="Y3932" s="94">
        <f>IF($A3932="",0,IF(AE3932="직접",IF(AF3932="비귀속",$P3932,0),$P3932*(1-AG3932)*IFERROR(INDEX(계정대체기준!$F$20:$F$49,MATCH($N3932,계정대체기준!$A$20:$A$49,0)),1)))</f>
        <v/>
      </c>
      <c r="Z3932" s="94">
        <f>IF($A3932="",0,IF(AE3932="직접",IF(AF3932="신계약비",$P3932,0),$P3932*(1-AG3932)*IFERROR(INDEX(계정대체기준!$C$20:$C$49,MATCH($N3932,계정대체기준!$A$20:$A$49,0)),0)))</f>
        <v/>
      </c>
      <c r="AA3932" s="94">
        <f>IF($A3932="",0,IF(AE3932="직접",IF(OR(AF3932="유지비",AF3932="손해조사비"),$P3932,0),$P3932*(1-AG3932)*IFERROR(INDEX(계정대체기준!$D$20:$D$49,MATCH($N3932,계정대체기준!$A$20:$A$49,0)),0)))</f>
        <v/>
      </c>
      <c r="AB3932" s="94">
        <f>IF($A3932="",0,IF(AE3932="직접",IF(AF3932="수금비",$P3932,0),$P3932*(1-AG3932)*IFERROR(INDEX(계정대체기준!$E$20:$E$49,MATCH($N3932,계정대체기준!$A$20:$A$49,0)),0)))</f>
        <v/>
      </c>
      <c r="AC3932" s="9">
        <f>IF(AND($A3932&lt;&gt;"",M3932=설정!$C$20,Z3932&gt;0),Z3932+ROW()/1000000000,"")</f>
        <v/>
      </c>
      <c r="AD3932" s="94">
        <f>IF($A3932="",0,$P3932*AG3932)</f>
        <v/>
      </c>
      <c r="AE3932" s="64">
        <f>IF($A3932="","",IFERROR(INDEX(계정매핑!$E$5:$E$504,MATCH($F3932&amp;"",계정매핑!$A$5:$A$504,0))&amp;"","공통비"))</f>
        <v/>
      </c>
      <c r="AF3932" s="64">
        <f>IF($A3932="","",IF(AE3932="직접",IFERROR(INDEX(계정매핑!$F$5:$F$504,MATCH($F3932&amp;"",계정매핑!$A$5:$A$504,0))&amp;"","비귀속"),""))</f>
        <v/>
      </c>
      <c r="AG3932" s="96">
        <f>IF($A3932="",0,IF(AND(AE3932&lt;&gt;"직접",IFERROR(INDEX(계정매핑!$G$5:$G$504,MATCH($F3932&amp;"",계정매핑!$A$5:$A$504,0))&amp;"","")="유지비",COUNTIF(계정대체기준!$A$6:$A$15,$N3932)&gt;0),IFERROR(INDEX(계정대체기준!$E$6:$E$15,MATCH(VALUE($A3932&amp;""),계정대체기준!$D$6:$D$15,0)),0),0))</f>
        <v/>
      </c>
      <c r="AH3932" s="64">
        <f>IF($A3932="","",IF(AD3932=0,"",IF(OR(COUNTIF(계정대체기준!$A$77:$A$86,$N3932)&gt;0,ISNUMBER(MATCH($X3932,계정대체기준!$D$77:$D$86,0)),ISNUMBER(MATCH($F3932,계정대체기준!$D$77:$D$86,0))),"Y","N")))</f>
        <v/>
      </c>
    </row>
    <row r="3933">
      <c r="A3933" s="92" t="n">
        <v>2026</v>
      </c>
      <c r="B3933" s="92" t="n">
        <v>6</v>
      </c>
      <c r="C3933" s="92" t="inlineStr">
        <is>
          <t>5100001211</t>
        </is>
      </c>
      <c r="D3933" s="95" t="n">
        <v>46183</v>
      </c>
      <c r="E3933" s="92" t="inlineStr">
        <is>
          <t>KR</t>
        </is>
      </c>
      <c r="F3933" s="92" t="n">
        <v>62201000</v>
      </c>
      <c r="G3933" s="92" t="n">
        <v>1951</v>
      </c>
      <c r="H3933" s="93" t="n">
        <v>245000</v>
      </c>
      <c r="I3933" s="92" t="inlineStr">
        <is>
          <t>6월 통신요금 - O텔레콤</t>
        </is>
      </c>
      <c r="J3933" s="92" t="inlineStr">
        <is>
          <t>V10002</t>
        </is>
      </c>
      <c r="K3933" s="92" t="inlineStr">
        <is>
          <t>O텔레콤</t>
        </is>
      </c>
      <c r="M3933" s="9">
        <f>IF($A3933="","",VALUE($A3933&amp;"")*12+VALUE($B3933&amp;""))</f>
        <v/>
      </c>
      <c r="N3933" s="64">
        <f>IF($A3933="","",IFERROR(INDEX(부서매핑!$C$5:$C$504,MATCH($G3933&amp;"",부서매핑!$A$5:$A$504,0)),"미매핑"))</f>
        <v/>
      </c>
      <c r="O3933" s="9">
        <f>IF($A3933="","",N3933&amp;"|"&amp;$F3933)</f>
        <v/>
      </c>
      <c r="P3933" s="94">
        <f>IF($A3933="",0,$H3933*설정!$C$23)</f>
        <v/>
      </c>
      <c r="Q3933" s="64">
        <f>IF($A3933="","",IF(O3933&lt;&gt;원인분석!$C$9,"",IF(AND(M3933&gt;=원인분석!$C$10,M3933&lt;=원인분석!$C$11),"당기",IF(AND(M3933&gt;=원인분석!$C$12,M3933&lt;=원인분석!$C$13),"비교",""))))</f>
        <v/>
      </c>
      <c r="R3933" s="9">
        <f>IF(Q3933="","",$K3933&amp;"")</f>
        <v/>
      </c>
      <c r="S3933" s="9">
        <f>IF(Q3933="","",IF(MATCH(R3933,$R$5:$R$100000,0)=ROW()-4,ROW(),""))</f>
        <v/>
      </c>
      <c r="T3933" s="9">
        <f>IF(Q3933="당기",ABS(P3933)+ROW()/1000000000,"")</f>
        <v/>
      </c>
      <c r="U3933" s="9">
        <f>IF(Q3933="비교",ABS(P3933)+ROW()/1000000000,"")</f>
        <v/>
      </c>
      <c r="V3933" s="64">
        <f>IF($A3933="","",IF(COUNTIF(변동분석!$E$7:$E$506,O3933)&gt;0,"Y","N"))</f>
        <v/>
      </c>
      <c r="W3933" s="64">
        <f>IF($A3933="","",IFERROR(INDEX(계정매핑!$D$5:$D$504,MATCH($F3933&amp;"",계정매핑!$A$5:$A$504,0)),"미매핑"))</f>
        <v/>
      </c>
      <c r="X3933" s="9">
        <f>IF($A3933="","",$F3933&amp;"")</f>
        <v/>
      </c>
      <c r="Y3933" s="94">
        <f>IF($A3933="",0,IF(AE3933="직접",IF(AF3933="비귀속",$P3933,0),$P3933*(1-AG3933)*IFERROR(INDEX(계정대체기준!$F$20:$F$49,MATCH($N3933,계정대체기준!$A$20:$A$49,0)),1)))</f>
        <v/>
      </c>
      <c r="Z3933" s="94">
        <f>IF($A3933="",0,IF(AE3933="직접",IF(AF3933="신계약비",$P3933,0),$P3933*(1-AG3933)*IFERROR(INDEX(계정대체기준!$C$20:$C$49,MATCH($N3933,계정대체기준!$A$20:$A$49,0)),0)))</f>
        <v/>
      </c>
      <c r="AA3933" s="94">
        <f>IF($A3933="",0,IF(AE3933="직접",IF(OR(AF3933="유지비",AF3933="손해조사비"),$P3933,0),$P3933*(1-AG3933)*IFERROR(INDEX(계정대체기준!$D$20:$D$49,MATCH($N3933,계정대체기준!$A$20:$A$49,0)),0)))</f>
        <v/>
      </c>
      <c r="AB3933" s="94">
        <f>IF($A3933="",0,IF(AE3933="직접",IF(AF3933="수금비",$P3933,0),$P3933*(1-AG3933)*IFERROR(INDEX(계정대체기준!$E$20:$E$49,MATCH($N3933,계정대체기준!$A$20:$A$49,0)),0)))</f>
        <v/>
      </c>
      <c r="AC3933" s="9">
        <f>IF(AND($A3933&lt;&gt;"",M3933=설정!$C$20,Z3933&gt;0),Z3933+ROW()/1000000000,"")</f>
        <v/>
      </c>
      <c r="AD3933" s="94">
        <f>IF($A3933="",0,$P3933*AG3933)</f>
        <v/>
      </c>
      <c r="AE3933" s="64">
        <f>IF($A3933="","",IFERROR(INDEX(계정매핑!$E$5:$E$504,MATCH($F3933&amp;"",계정매핑!$A$5:$A$504,0))&amp;"","공통비"))</f>
        <v/>
      </c>
      <c r="AF3933" s="64">
        <f>IF($A3933="","",IF(AE3933="직접",IFERROR(INDEX(계정매핑!$F$5:$F$504,MATCH($F3933&amp;"",계정매핑!$A$5:$A$504,0))&amp;"","비귀속"),""))</f>
        <v/>
      </c>
      <c r="AG3933" s="96">
        <f>IF($A3933="",0,IF(AND(AE3933&lt;&gt;"직접",IFERROR(INDEX(계정매핑!$G$5:$G$504,MATCH($F3933&amp;"",계정매핑!$A$5:$A$504,0))&amp;"","")="유지비",COUNTIF(계정대체기준!$A$6:$A$15,$N3933)&gt;0),IFERROR(INDEX(계정대체기준!$E$6:$E$15,MATCH(VALUE($A3933&amp;""),계정대체기준!$D$6:$D$15,0)),0),0))</f>
        <v/>
      </c>
      <c r="AH3933" s="64">
        <f>IF($A3933="","",IF(AD3933=0,"",IF(OR(COUNTIF(계정대체기준!$A$77:$A$86,$N3933)&gt;0,ISNUMBER(MATCH($X3933,계정대체기준!$D$77:$D$86,0)),ISNUMBER(MATCH($F3933,계정대체기준!$D$77:$D$86,0))),"Y","N")))</f>
        <v/>
      </c>
    </row>
    <row r="3934">
      <c r="A3934" s="92" t="n">
        <v>2026</v>
      </c>
      <c r="B3934" s="92" t="n">
        <v>6</v>
      </c>
      <c r="C3934" s="92" t="inlineStr">
        <is>
          <t>5100001212</t>
        </is>
      </c>
      <c r="D3934" s="95" t="n">
        <v>46183</v>
      </c>
      <c r="E3934" s="92" t="inlineStr">
        <is>
          <t>KR</t>
        </is>
      </c>
      <c r="F3934" s="92" t="n">
        <v>62401000</v>
      </c>
      <c r="G3934" s="92" t="n">
        <v>1801</v>
      </c>
      <c r="H3934" s="93" t="n">
        <v>2028000</v>
      </c>
      <c r="I3934" s="92" t="inlineStr">
        <is>
          <t>6월 인쇄물 제작 - G인쇄</t>
        </is>
      </c>
      <c r="J3934" s="92" t="inlineStr">
        <is>
          <t>V10004</t>
        </is>
      </c>
      <c r="K3934" s="92" t="inlineStr">
        <is>
          <t>G인쇄</t>
        </is>
      </c>
      <c r="M3934" s="9">
        <f>IF($A3934="","",VALUE($A3934&amp;"")*12+VALUE($B3934&amp;""))</f>
        <v/>
      </c>
      <c r="N3934" s="64">
        <f>IF($A3934="","",IFERROR(INDEX(부서매핑!$C$5:$C$504,MATCH($G3934&amp;"",부서매핑!$A$5:$A$504,0)),"미매핑"))</f>
        <v/>
      </c>
      <c r="O3934" s="9">
        <f>IF($A3934="","",N3934&amp;"|"&amp;$F3934)</f>
        <v/>
      </c>
      <c r="P3934" s="94">
        <f>IF($A3934="",0,$H3934*설정!$C$23)</f>
        <v/>
      </c>
      <c r="Q3934" s="64">
        <f>IF($A3934="","",IF(O3934&lt;&gt;원인분석!$C$9,"",IF(AND(M3934&gt;=원인분석!$C$10,M3934&lt;=원인분석!$C$11),"당기",IF(AND(M3934&gt;=원인분석!$C$12,M3934&lt;=원인분석!$C$13),"비교",""))))</f>
        <v/>
      </c>
      <c r="R3934" s="9">
        <f>IF(Q3934="","",$K3934&amp;"")</f>
        <v/>
      </c>
      <c r="S3934" s="9">
        <f>IF(Q3934="","",IF(MATCH(R3934,$R$5:$R$100000,0)=ROW()-4,ROW(),""))</f>
        <v/>
      </c>
      <c r="T3934" s="9">
        <f>IF(Q3934="당기",ABS(P3934)+ROW()/1000000000,"")</f>
        <v/>
      </c>
      <c r="U3934" s="9">
        <f>IF(Q3934="비교",ABS(P3934)+ROW()/1000000000,"")</f>
        <v/>
      </c>
      <c r="V3934" s="64">
        <f>IF($A3934="","",IF(COUNTIF(변동분석!$E$7:$E$506,O3934)&gt;0,"Y","N"))</f>
        <v/>
      </c>
      <c r="W3934" s="64">
        <f>IF($A3934="","",IFERROR(INDEX(계정매핑!$D$5:$D$504,MATCH($F3934&amp;"",계정매핑!$A$5:$A$504,0)),"미매핑"))</f>
        <v/>
      </c>
      <c r="X3934" s="9">
        <f>IF($A3934="","",$F3934&amp;"")</f>
        <v/>
      </c>
      <c r="Y3934" s="94">
        <f>IF($A3934="",0,IF(AE3934="직접",IF(AF3934="비귀속",$P3934,0),$P3934*(1-AG3934)*IFERROR(INDEX(계정대체기준!$F$20:$F$49,MATCH($N3934,계정대체기준!$A$20:$A$49,0)),1)))</f>
        <v/>
      </c>
      <c r="Z3934" s="94">
        <f>IF($A3934="",0,IF(AE3934="직접",IF(AF3934="신계약비",$P3934,0),$P3934*(1-AG3934)*IFERROR(INDEX(계정대체기준!$C$20:$C$49,MATCH($N3934,계정대체기준!$A$20:$A$49,0)),0)))</f>
        <v/>
      </c>
      <c r="AA3934" s="94">
        <f>IF($A3934="",0,IF(AE3934="직접",IF(OR(AF3934="유지비",AF3934="손해조사비"),$P3934,0),$P3934*(1-AG3934)*IFERROR(INDEX(계정대체기준!$D$20:$D$49,MATCH($N3934,계정대체기준!$A$20:$A$49,0)),0)))</f>
        <v/>
      </c>
      <c r="AB3934" s="94">
        <f>IF($A3934="",0,IF(AE3934="직접",IF(AF3934="수금비",$P3934,0),$P3934*(1-AG3934)*IFERROR(INDEX(계정대체기준!$E$20:$E$49,MATCH($N3934,계정대체기준!$A$20:$A$49,0)),0)))</f>
        <v/>
      </c>
      <c r="AC3934" s="9">
        <f>IF(AND($A3934&lt;&gt;"",M3934=설정!$C$20,Z3934&gt;0),Z3934+ROW()/1000000000,"")</f>
        <v/>
      </c>
      <c r="AD3934" s="94">
        <f>IF($A3934="",0,$P3934*AG3934)</f>
        <v/>
      </c>
      <c r="AE3934" s="64">
        <f>IF($A3934="","",IFERROR(INDEX(계정매핑!$E$5:$E$504,MATCH($F3934&amp;"",계정매핑!$A$5:$A$504,0))&amp;"","공통비"))</f>
        <v/>
      </c>
      <c r="AF3934" s="64">
        <f>IF($A3934="","",IF(AE3934="직접",IFERROR(INDEX(계정매핑!$F$5:$F$504,MATCH($F3934&amp;"",계정매핑!$A$5:$A$504,0))&amp;"","비귀속"),""))</f>
        <v/>
      </c>
      <c r="AG3934" s="96">
        <f>IF($A3934="",0,IF(AND(AE3934&lt;&gt;"직접",IFERROR(INDEX(계정매핑!$G$5:$G$504,MATCH($F3934&amp;"",계정매핑!$A$5:$A$504,0))&amp;"","")="유지비",COUNTIF(계정대체기준!$A$6:$A$15,$N3934)&gt;0),IFERROR(INDEX(계정대체기준!$E$6:$E$15,MATCH(VALUE($A3934&amp;""),계정대체기준!$D$6:$D$15,0)),0),0))</f>
        <v/>
      </c>
      <c r="AH3934" s="64">
        <f>IF($A3934="","",IF(AD3934=0,"",IF(OR(COUNTIF(계정대체기준!$A$77:$A$86,$N3934)&gt;0,ISNUMBER(MATCH($X3934,계정대체기준!$D$77:$D$86,0)),ISNUMBER(MATCH($F3934,계정대체기준!$D$77:$D$86,0))),"Y","N")))</f>
        <v/>
      </c>
    </row>
    <row r="3935">
      <c r="A3935" s="92" t="n">
        <v>2026</v>
      </c>
      <c r="B3935" s="92" t="n">
        <v>6</v>
      </c>
      <c r="C3935" s="92" t="inlineStr">
        <is>
          <t>5100001213</t>
        </is>
      </c>
      <c r="D3935" s="95" t="n">
        <v>46183</v>
      </c>
      <c r="E3935" s="92" t="inlineStr">
        <is>
          <t>KR</t>
        </is>
      </c>
      <c r="F3935" s="92" t="n">
        <v>62501000</v>
      </c>
      <c r="G3935" s="92" t="n">
        <v>1401</v>
      </c>
      <c r="H3935" s="93" t="n">
        <v>117000</v>
      </c>
      <c r="I3935" s="92" t="inlineStr">
        <is>
          <t>6월 회의 다과 - (법인카드)</t>
        </is>
      </c>
      <c r="J3935" s="92" t="inlineStr">
        <is>
          <t>V10010</t>
        </is>
      </c>
      <c r="K3935" s="92" t="inlineStr">
        <is>
          <t>(법인카드)</t>
        </is>
      </c>
      <c r="M3935" s="9">
        <f>IF($A3935="","",VALUE($A3935&amp;"")*12+VALUE($B3935&amp;""))</f>
        <v/>
      </c>
      <c r="N3935" s="64">
        <f>IF($A3935="","",IFERROR(INDEX(부서매핑!$C$5:$C$504,MATCH($G3935&amp;"",부서매핑!$A$5:$A$504,0)),"미매핑"))</f>
        <v/>
      </c>
      <c r="O3935" s="9">
        <f>IF($A3935="","",N3935&amp;"|"&amp;$F3935)</f>
        <v/>
      </c>
      <c r="P3935" s="94">
        <f>IF($A3935="",0,$H3935*설정!$C$23)</f>
        <v/>
      </c>
      <c r="Q3935" s="64">
        <f>IF($A3935="","",IF(O3935&lt;&gt;원인분석!$C$9,"",IF(AND(M3935&gt;=원인분석!$C$10,M3935&lt;=원인분석!$C$11),"당기",IF(AND(M3935&gt;=원인분석!$C$12,M3935&lt;=원인분석!$C$13),"비교",""))))</f>
        <v/>
      </c>
      <c r="R3935" s="9">
        <f>IF(Q3935="","",$K3935&amp;"")</f>
        <v/>
      </c>
      <c r="S3935" s="9">
        <f>IF(Q3935="","",IF(MATCH(R3935,$R$5:$R$100000,0)=ROW()-4,ROW(),""))</f>
        <v/>
      </c>
      <c r="T3935" s="9">
        <f>IF(Q3935="당기",ABS(P3935)+ROW()/1000000000,"")</f>
        <v/>
      </c>
      <c r="U3935" s="9">
        <f>IF(Q3935="비교",ABS(P3935)+ROW()/1000000000,"")</f>
        <v/>
      </c>
      <c r="V3935" s="64">
        <f>IF($A3935="","",IF(COUNTIF(변동분석!$E$7:$E$506,O3935)&gt;0,"Y","N"))</f>
        <v/>
      </c>
      <c r="W3935" s="64">
        <f>IF($A3935="","",IFERROR(INDEX(계정매핑!$D$5:$D$504,MATCH($F3935&amp;"",계정매핑!$A$5:$A$504,0)),"미매핑"))</f>
        <v/>
      </c>
      <c r="X3935" s="9">
        <f>IF($A3935="","",$F3935&amp;"")</f>
        <v/>
      </c>
      <c r="Y3935" s="94">
        <f>IF($A3935="",0,IF(AE3935="직접",IF(AF3935="비귀속",$P3935,0),$P3935*(1-AG3935)*IFERROR(INDEX(계정대체기준!$F$20:$F$49,MATCH($N3935,계정대체기준!$A$20:$A$49,0)),1)))</f>
        <v/>
      </c>
      <c r="Z3935" s="94">
        <f>IF($A3935="",0,IF(AE3935="직접",IF(AF3935="신계약비",$P3935,0),$P3935*(1-AG3935)*IFERROR(INDEX(계정대체기준!$C$20:$C$49,MATCH($N3935,계정대체기준!$A$20:$A$49,0)),0)))</f>
        <v/>
      </c>
      <c r="AA3935" s="94">
        <f>IF($A3935="",0,IF(AE3935="직접",IF(OR(AF3935="유지비",AF3935="손해조사비"),$P3935,0),$P3935*(1-AG3935)*IFERROR(INDEX(계정대체기준!$D$20:$D$49,MATCH($N3935,계정대체기준!$A$20:$A$49,0)),0)))</f>
        <v/>
      </c>
      <c r="AB3935" s="94">
        <f>IF($A3935="",0,IF(AE3935="직접",IF(AF3935="수금비",$P3935,0),$P3935*(1-AG3935)*IFERROR(INDEX(계정대체기준!$E$20:$E$49,MATCH($N3935,계정대체기준!$A$20:$A$49,0)),0)))</f>
        <v/>
      </c>
      <c r="AC3935" s="9">
        <f>IF(AND($A3935&lt;&gt;"",M3935=설정!$C$20,Z3935&gt;0),Z3935+ROW()/1000000000,"")</f>
        <v/>
      </c>
      <c r="AD3935" s="94">
        <f>IF($A3935="",0,$P3935*AG3935)</f>
        <v/>
      </c>
      <c r="AE3935" s="64">
        <f>IF($A3935="","",IFERROR(INDEX(계정매핑!$E$5:$E$504,MATCH($F3935&amp;"",계정매핑!$A$5:$A$504,0))&amp;"","공통비"))</f>
        <v/>
      </c>
      <c r="AF3935" s="64">
        <f>IF($A3935="","",IF(AE3935="직접",IFERROR(INDEX(계정매핑!$F$5:$F$504,MATCH($F3935&amp;"",계정매핑!$A$5:$A$504,0))&amp;"","비귀속"),""))</f>
        <v/>
      </c>
      <c r="AG3935" s="96">
        <f>IF($A3935="",0,IF(AND(AE3935&lt;&gt;"직접",IFERROR(INDEX(계정매핑!$G$5:$G$504,MATCH($F3935&amp;"",계정매핑!$A$5:$A$504,0))&amp;"","")="유지비",COUNTIF(계정대체기준!$A$6:$A$15,$N3935)&gt;0),IFERROR(INDEX(계정대체기준!$E$6:$E$15,MATCH(VALUE($A3935&amp;""),계정대체기준!$D$6:$D$15,0)),0),0))</f>
        <v/>
      </c>
      <c r="AH3935" s="64">
        <f>IF($A3935="","",IF(AD3935=0,"",IF(OR(COUNTIF(계정대체기준!$A$77:$A$86,$N3935)&gt;0,ISNUMBER(MATCH($X3935,계정대체기준!$D$77:$D$86,0)),ISNUMBER(MATCH($F3935,계정대체기준!$D$77:$D$86,0))),"Y","N")))</f>
        <v/>
      </c>
    </row>
    <row r="3936">
      <c r="A3936" s="92" t="n">
        <v>2026</v>
      </c>
      <c r="B3936" s="92" t="n">
        <v>6</v>
      </c>
      <c r="C3936" s="92" t="inlineStr">
        <is>
          <t>5100001214</t>
        </is>
      </c>
      <c r="D3936" s="95" t="n">
        <v>46183</v>
      </c>
      <c r="E3936" s="92" t="inlineStr">
        <is>
          <t>KR</t>
        </is>
      </c>
      <c r="F3936" s="92" t="n">
        <v>62501000</v>
      </c>
      <c r="G3936" s="92" t="n">
        <v>1501</v>
      </c>
      <c r="H3936" s="93" t="n">
        <v>417000</v>
      </c>
      <c r="I3936" s="92" t="inlineStr">
        <is>
          <t>6월 회의 다과 - T케이터링</t>
        </is>
      </c>
      <c r="J3936" s="92" t="inlineStr">
        <is>
          <t>V10005</t>
        </is>
      </c>
      <c r="K3936" s="92" t="inlineStr">
        <is>
          <t>T케이터링</t>
        </is>
      </c>
      <c r="M3936" s="9">
        <f>IF($A3936="","",VALUE($A3936&amp;"")*12+VALUE($B3936&amp;""))</f>
        <v/>
      </c>
      <c r="N3936" s="64">
        <f>IF($A3936="","",IFERROR(INDEX(부서매핑!$C$5:$C$504,MATCH($G3936&amp;"",부서매핑!$A$5:$A$504,0)),"미매핑"))</f>
        <v/>
      </c>
      <c r="O3936" s="9">
        <f>IF($A3936="","",N3936&amp;"|"&amp;$F3936)</f>
        <v/>
      </c>
      <c r="P3936" s="94">
        <f>IF($A3936="",0,$H3936*설정!$C$23)</f>
        <v/>
      </c>
      <c r="Q3936" s="64">
        <f>IF($A3936="","",IF(O3936&lt;&gt;원인분석!$C$9,"",IF(AND(M3936&gt;=원인분석!$C$10,M3936&lt;=원인분석!$C$11),"당기",IF(AND(M3936&gt;=원인분석!$C$12,M3936&lt;=원인분석!$C$13),"비교",""))))</f>
        <v/>
      </c>
      <c r="R3936" s="9">
        <f>IF(Q3936="","",$K3936&amp;"")</f>
        <v/>
      </c>
      <c r="S3936" s="9">
        <f>IF(Q3936="","",IF(MATCH(R3936,$R$5:$R$100000,0)=ROW()-4,ROW(),""))</f>
        <v/>
      </c>
      <c r="T3936" s="9">
        <f>IF(Q3936="당기",ABS(P3936)+ROW()/1000000000,"")</f>
        <v/>
      </c>
      <c r="U3936" s="9">
        <f>IF(Q3936="비교",ABS(P3936)+ROW()/1000000000,"")</f>
        <v/>
      </c>
      <c r="V3936" s="64">
        <f>IF($A3936="","",IF(COUNTIF(변동분석!$E$7:$E$506,O3936)&gt;0,"Y","N"))</f>
        <v/>
      </c>
      <c r="W3936" s="64">
        <f>IF($A3936="","",IFERROR(INDEX(계정매핑!$D$5:$D$504,MATCH($F3936&amp;"",계정매핑!$A$5:$A$504,0)),"미매핑"))</f>
        <v/>
      </c>
      <c r="X3936" s="9">
        <f>IF($A3936="","",$F3936&amp;"")</f>
        <v/>
      </c>
      <c r="Y3936" s="94">
        <f>IF($A3936="",0,IF(AE3936="직접",IF(AF3936="비귀속",$P3936,0),$P3936*(1-AG3936)*IFERROR(INDEX(계정대체기준!$F$20:$F$49,MATCH($N3936,계정대체기준!$A$20:$A$49,0)),1)))</f>
        <v/>
      </c>
      <c r="Z3936" s="94">
        <f>IF($A3936="",0,IF(AE3936="직접",IF(AF3936="신계약비",$P3936,0),$P3936*(1-AG3936)*IFERROR(INDEX(계정대체기준!$C$20:$C$49,MATCH($N3936,계정대체기준!$A$20:$A$49,0)),0)))</f>
        <v/>
      </c>
      <c r="AA3936" s="94">
        <f>IF($A3936="",0,IF(AE3936="직접",IF(OR(AF3936="유지비",AF3936="손해조사비"),$P3936,0),$P3936*(1-AG3936)*IFERROR(INDEX(계정대체기준!$D$20:$D$49,MATCH($N3936,계정대체기준!$A$20:$A$49,0)),0)))</f>
        <v/>
      </c>
      <c r="AB3936" s="94">
        <f>IF($A3936="",0,IF(AE3936="직접",IF(AF3936="수금비",$P3936,0),$P3936*(1-AG3936)*IFERROR(INDEX(계정대체기준!$E$20:$E$49,MATCH($N3936,계정대체기준!$A$20:$A$49,0)),0)))</f>
        <v/>
      </c>
      <c r="AC3936" s="9">
        <f>IF(AND($A3936&lt;&gt;"",M3936=설정!$C$20,Z3936&gt;0),Z3936+ROW()/1000000000,"")</f>
        <v/>
      </c>
      <c r="AD3936" s="94">
        <f>IF($A3936="",0,$P3936*AG3936)</f>
        <v/>
      </c>
      <c r="AE3936" s="64">
        <f>IF($A3936="","",IFERROR(INDEX(계정매핑!$E$5:$E$504,MATCH($F3936&amp;"",계정매핑!$A$5:$A$504,0))&amp;"","공통비"))</f>
        <v/>
      </c>
      <c r="AF3936" s="64">
        <f>IF($A3936="","",IF(AE3936="직접",IFERROR(INDEX(계정매핑!$F$5:$F$504,MATCH($F3936&amp;"",계정매핑!$A$5:$A$504,0))&amp;"","비귀속"),""))</f>
        <v/>
      </c>
      <c r="AG3936" s="96">
        <f>IF($A3936="",0,IF(AND(AE3936&lt;&gt;"직접",IFERROR(INDEX(계정매핑!$G$5:$G$504,MATCH($F3936&amp;"",계정매핑!$A$5:$A$504,0))&amp;"","")="유지비",COUNTIF(계정대체기준!$A$6:$A$15,$N3936)&gt;0),IFERROR(INDEX(계정대체기준!$E$6:$E$15,MATCH(VALUE($A3936&amp;""),계정대체기준!$D$6:$D$15,0)),0),0))</f>
        <v/>
      </c>
      <c r="AH3936" s="64">
        <f>IF($A3936="","",IF(AD3936=0,"",IF(OR(COUNTIF(계정대체기준!$A$77:$A$86,$N3936)&gt;0,ISNUMBER(MATCH($X3936,계정대체기준!$D$77:$D$86,0)),ISNUMBER(MATCH($F3936,계정대체기준!$D$77:$D$86,0))),"Y","N")))</f>
        <v/>
      </c>
    </row>
    <row r="3937">
      <c r="A3937" s="92" t="n">
        <v>2026</v>
      </c>
      <c r="B3937" s="92" t="n">
        <v>6</v>
      </c>
      <c r="C3937" s="92" t="inlineStr">
        <is>
          <t>5100001215</t>
        </is>
      </c>
      <c r="D3937" s="95" t="n">
        <v>46183</v>
      </c>
      <c r="E3937" s="92" t="inlineStr">
        <is>
          <t>KR</t>
        </is>
      </c>
      <c r="F3937" s="92" t="n">
        <v>62901000</v>
      </c>
      <c r="G3937" s="92" t="n">
        <v>1101</v>
      </c>
      <c r="H3937" s="93" t="n">
        <v>3054000</v>
      </c>
      <c r="I3937" s="92" t="inlineStr">
        <is>
          <t>6월 자문 수수료 - W컨설팅</t>
        </is>
      </c>
      <c r="J3937" s="92" t="inlineStr">
        <is>
          <t>V10006</t>
        </is>
      </c>
      <c r="K3937" s="92" t="inlineStr">
        <is>
          <t>W컨설팅</t>
        </is>
      </c>
      <c r="M3937" s="9">
        <f>IF($A3937="","",VALUE($A3937&amp;"")*12+VALUE($B3937&amp;""))</f>
        <v/>
      </c>
      <c r="N3937" s="64">
        <f>IF($A3937="","",IFERROR(INDEX(부서매핑!$C$5:$C$504,MATCH($G3937&amp;"",부서매핑!$A$5:$A$504,0)),"미매핑"))</f>
        <v/>
      </c>
      <c r="O3937" s="9">
        <f>IF($A3937="","",N3937&amp;"|"&amp;$F3937)</f>
        <v/>
      </c>
      <c r="P3937" s="94">
        <f>IF($A3937="",0,$H3937*설정!$C$23)</f>
        <v/>
      </c>
      <c r="Q3937" s="64">
        <f>IF($A3937="","",IF(O3937&lt;&gt;원인분석!$C$9,"",IF(AND(M3937&gt;=원인분석!$C$10,M3937&lt;=원인분석!$C$11),"당기",IF(AND(M3937&gt;=원인분석!$C$12,M3937&lt;=원인분석!$C$13),"비교",""))))</f>
        <v/>
      </c>
      <c r="R3937" s="9">
        <f>IF(Q3937="","",$K3937&amp;"")</f>
        <v/>
      </c>
      <c r="S3937" s="9">
        <f>IF(Q3937="","",IF(MATCH(R3937,$R$5:$R$100000,0)=ROW()-4,ROW(),""))</f>
        <v/>
      </c>
      <c r="T3937" s="9">
        <f>IF(Q3937="당기",ABS(P3937)+ROW()/1000000000,"")</f>
        <v/>
      </c>
      <c r="U3937" s="9">
        <f>IF(Q3937="비교",ABS(P3937)+ROW()/1000000000,"")</f>
        <v/>
      </c>
      <c r="V3937" s="64">
        <f>IF($A3937="","",IF(COUNTIF(변동분석!$E$7:$E$506,O3937)&gt;0,"Y","N"))</f>
        <v/>
      </c>
      <c r="W3937" s="64">
        <f>IF($A3937="","",IFERROR(INDEX(계정매핑!$D$5:$D$504,MATCH($F3937&amp;"",계정매핑!$A$5:$A$504,0)),"미매핑"))</f>
        <v/>
      </c>
      <c r="X3937" s="9">
        <f>IF($A3937="","",$F3937&amp;"")</f>
        <v/>
      </c>
      <c r="Y3937" s="94">
        <f>IF($A3937="",0,IF(AE3937="직접",IF(AF3937="비귀속",$P3937,0),$P3937*(1-AG3937)*IFERROR(INDEX(계정대체기준!$F$20:$F$49,MATCH($N3937,계정대체기준!$A$20:$A$49,0)),1)))</f>
        <v/>
      </c>
      <c r="Z3937" s="94">
        <f>IF($A3937="",0,IF(AE3937="직접",IF(AF3937="신계약비",$P3937,0),$P3937*(1-AG3937)*IFERROR(INDEX(계정대체기준!$C$20:$C$49,MATCH($N3937,계정대체기준!$A$20:$A$49,0)),0)))</f>
        <v/>
      </c>
      <c r="AA3937" s="94">
        <f>IF($A3937="",0,IF(AE3937="직접",IF(OR(AF3937="유지비",AF3937="손해조사비"),$P3937,0),$P3937*(1-AG3937)*IFERROR(INDEX(계정대체기준!$D$20:$D$49,MATCH($N3937,계정대체기준!$A$20:$A$49,0)),0)))</f>
        <v/>
      </c>
      <c r="AB3937" s="94">
        <f>IF($A3937="",0,IF(AE3937="직접",IF(AF3937="수금비",$P3937,0),$P3937*(1-AG3937)*IFERROR(INDEX(계정대체기준!$E$20:$E$49,MATCH($N3937,계정대체기준!$A$20:$A$49,0)),0)))</f>
        <v/>
      </c>
      <c r="AC3937" s="9">
        <f>IF(AND($A3937&lt;&gt;"",M3937=설정!$C$20,Z3937&gt;0),Z3937+ROW()/1000000000,"")</f>
        <v/>
      </c>
      <c r="AD3937" s="94">
        <f>IF($A3937="",0,$P3937*AG3937)</f>
        <v/>
      </c>
      <c r="AE3937" s="64">
        <f>IF($A3937="","",IFERROR(INDEX(계정매핑!$E$5:$E$504,MATCH($F3937&amp;"",계정매핑!$A$5:$A$504,0))&amp;"","공통비"))</f>
        <v/>
      </c>
      <c r="AF3937" s="64">
        <f>IF($A3937="","",IF(AE3937="직접",IFERROR(INDEX(계정매핑!$F$5:$F$504,MATCH($F3937&amp;"",계정매핑!$A$5:$A$504,0))&amp;"","비귀속"),""))</f>
        <v/>
      </c>
      <c r="AG3937" s="96">
        <f>IF($A3937="",0,IF(AND(AE3937&lt;&gt;"직접",IFERROR(INDEX(계정매핑!$G$5:$G$504,MATCH($F3937&amp;"",계정매핑!$A$5:$A$504,0))&amp;"","")="유지비",COUNTIF(계정대체기준!$A$6:$A$15,$N3937)&gt;0),IFERROR(INDEX(계정대체기준!$E$6:$E$15,MATCH(VALUE($A3937&amp;""),계정대체기준!$D$6:$D$15,0)),0),0))</f>
        <v/>
      </c>
      <c r="AH3937" s="64">
        <f>IF($A3937="","",IF(AD3937=0,"",IF(OR(COUNTIF(계정대체기준!$A$77:$A$86,$N3937)&gt;0,ISNUMBER(MATCH($X3937,계정대체기준!$D$77:$D$86,0)),ISNUMBER(MATCH($F3937,계정대체기준!$D$77:$D$86,0))),"Y","N")))</f>
        <v/>
      </c>
    </row>
    <row r="3938">
      <c r="A3938" s="92" t="n">
        <v>2026</v>
      </c>
      <c r="B3938" s="92" t="n">
        <v>6</v>
      </c>
      <c r="C3938" s="92" t="inlineStr">
        <is>
          <t>5100001216</t>
        </is>
      </c>
      <c r="D3938" s="95" t="n">
        <v>46183</v>
      </c>
      <c r="E3938" s="92" t="inlineStr">
        <is>
          <t>KR</t>
        </is>
      </c>
      <c r="F3938" s="92" t="n">
        <v>62901000</v>
      </c>
      <c r="G3938" s="92" t="n">
        <v>1951</v>
      </c>
      <c r="H3938" s="93" t="n">
        <v>4353000</v>
      </c>
      <c r="I3938" s="92" t="inlineStr">
        <is>
          <t>6월 자문 수수료 - K회계법인</t>
        </is>
      </c>
      <c r="J3938" s="92" t="inlineStr">
        <is>
          <t>V10011</t>
        </is>
      </c>
      <c r="K3938" s="92" t="inlineStr">
        <is>
          <t>K회계법인</t>
        </is>
      </c>
      <c r="M3938" s="9">
        <f>IF($A3938="","",VALUE($A3938&amp;"")*12+VALUE($B3938&amp;""))</f>
        <v/>
      </c>
      <c r="N3938" s="64">
        <f>IF($A3938="","",IFERROR(INDEX(부서매핑!$C$5:$C$504,MATCH($G3938&amp;"",부서매핑!$A$5:$A$504,0)),"미매핑"))</f>
        <v/>
      </c>
      <c r="O3938" s="9">
        <f>IF($A3938="","",N3938&amp;"|"&amp;$F3938)</f>
        <v/>
      </c>
      <c r="P3938" s="94">
        <f>IF($A3938="",0,$H3938*설정!$C$23)</f>
        <v/>
      </c>
      <c r="Q3938" s="64">
        <f>IF($A3938="","",IF(O3938&lt;&gt;원인분석!$C$9,"",IF(AND(M3938&gt;=원인분석!$C$10,M3938&lt;=원인분석!$C$11),"당기",IF(AND(M3938&gt;=원인분석!$C$12,M3938&lt;=원인분석!$C$13),"비교",""))))</f>
        <v/>
      </c>
      <c r="R3938" s="9">
        <f>IF(Q3938="","",$K3938&amp;"")</f>
        <v/>
      </c>
      <c r="S3938" s="9">
        <f>IF(Q3938="","",IF(MATCH(R3938,$R$5:$R$100000,0)=ROW()-4,ROW(),""))</f>
        <v/>
      </c>
      <c r="T3938" s="9">
        <f>IF(Q3938="당기",ABS(P3938)+ROW()/1000000000,"")</f>
        <v/>
      </c>
      <c r="U3938" s="9">
        <f>IF(Q3938="비교",ABS(P3938)+ROW()/1000000000,"")</f>
        <v/>
      </c>
      <c r="V3938" s="64">
        <f>IF($A3938="","",IF(COUNTIF(변동분석!$E$7:$E$506,O3938)&gt;0,"Y","N"))</f>
        <v/>
      </c>
      <c r="W3938" s="64">
        <f>IF($A3938="","",IFERROR(INDEX(계정매핑!$D$5:$D$504,MATCH($F3938&amp;"",계정매핑!$A$5:$A$504,0)),"미매핑"))</f>
        <v/>
      </c>
      <c r="X3938" s="9">
        <f>IF($A3938="","",$F3938&amp;"")</f>
        <v/>
      </c>
      <c r="Y3938" s="94">
        <f>IF($A3938="",0,IF(AE3938="직접",IF(AF3938="비귀속",$P3938,0),$P3938*(1-AG3938)*IFERROR(INDEX(계정대체기준!$F$20:$F$49,MATCH($N3938,계정대체기준!$A$20:$A$49,0)),1)))</f>
        <v/>
      </c>
      <c r="Z3938" s="94">
        <f>IF($A3938="",0,IF(AE3938="직접",IF(AF3938="신계약비",$P3938,0),$P3938*(1-AG3938)*IFERROR(INDEX(계정대체기준!$C$20:$C$49,MATCH($N3938,계정대체기준!$A$20:$A$49,0)),0)))</f>
        <v/>
      </c>
      <c r="AA3938" s="94">
        <f>IF($A3938="",0,IF(AE3938="직접",IF(OR(AF3938="유지비",AF3938="손해조사비"),$P3938,0),$P3938*(1-AG3938)*IFERROR(INDEX(계정대체기준!$D$20:$D$49,MATCH($N3938,계정대체기준!$A$20:$A$49,0)),0)))</f>
        <v/>
      </c>
      <c r="AB3938" s="94">
        <f>IF($A3938="",0,IF(AE3938="직접",IF(AF3938="수금비",$P3938,0),$P3938*(1-AG3938)*IFERROR(INDEX(계정대체기준!$E$20:$E$49,MATCH($N3938,계정대체기준!$A$20:$A$49,0)),0)))</f>
        <v/>
      </c>
      <c r="AC3938" s="9">
        <f>IF(AND($A3938&lt;&gt;"",M3938=설정!$C$20,Z3938&gt;0),Z3938+ROW()/1000000000,"")</f>
        <v/>
      </c>
      <c r="AD3938" s="94">
        <f>IF($A3938="",0,$P3938*AG3938)</f>
        <v/>
      </c>
      <c r="AE3938" s="64">
        <f>IF($A3938="","",IFERROR(INDEX(계정매핑!$E$5:$E$504,MATCH($F3938&amp;"",계정매핑!$A$5:$A$504,0))&amp;"","공통비"))</f>
        <v/>
      </c>
      <c r="AF3938" s="64">
        <f>IF($A3938="","",IF(AE3938="직접",IFERROR(INDEX(계정매핑!$F$5:$F$504,MATCH($F3938&amp;"",계정매핑!$A$5:$A$504,0))&amp;"","비귀속"),""))</f>
        <v/>
      </c>
      <c r="AG3938" s="96">
        <f>IF($A3938="",0,IF(AND(AE3938&lt;&gt;"직접",IFERROR(INDEX(계정매핑!$G$5:$G$504,MATCH($F3938&amp;"",계정매핑!$A$5:$A$504,0))&amp;"","")="유지비",COUNTIF(계정대체기준!$A$6:$A$15,$N3938)&gt;0),IFERROR(INDEX(계정대체기준!$E$6:$E$15,MATCH(VALUE($A3938&amp;""),계정대체기준!$D$6:$D$15,0)),0),0))</f>
        <v/>
      </c>
      <c r="AH3938" s="64">
        <f>IF($A3938="","",IF(AD3938=0,"",IF(OR(COUNTIF(계정대체기준!$A$77:$A$86,$N3938)&gt;0,ISNUMBER(MATCH($X3938,계정대체기준!$D$77:$D$86,0)),ISNUMBER(MATCH($F3938,계정대체기준!$D$77:$D$86,0))),"Y","N")))</f>
        <v/>
      </c>
    </row>
    <row r="3939">
      <c r="A3939" s="92" t="n">
        <v>2026</v>
      </c>
      <c r="B3939" s="92" t="n">
        <v>6</v>
      </c>
      <c r="C3939" s="92" t="inlineStr">
        <is>
          <t>5100001217</t>
        </is>
      </c>
      <c r="D3939" s="95" t="n">
        <v>46183</v>
      </c>
      <c r="E3939" s="92" t="inlineStr">
        <is>
          <t>KR</t>
        </is>
      </c>
      <c r="F3939" s="92" t="n">
        <v>62902000</v>
      </c>
      <c r="G3939" s="92" t="n">
        <v>1101</v>
      </c>
      <c r="H3939" s="93" t="n">
        <v>3014000</v>
      </c>
      <c r="I3939" s="92" t="inlineStr">
        <is>
          <t>6월 업무 위탁 수수료 - J콜센터</t>
        </is>
      </c>
      <c r="J3939" s="92" t="inlineStr">
        <is>
          <t>V10016</t>
        </is>
      </c>
      <c r="K3939" s="92" t="inlineStr">
        <is>
          <t>J콜센터</t>
        </is>
      </c>
      <c r="M3939" s="9">
        <f>IF($A3939="","",VALUE($A3939&amp;"")*12+VALUE($B3939&amp;""))</f>
        <v/>
      </c>
      <c r="N3939" s="64">
        <f>IF($A3939="","",IFERROR(INDEX(부서매핑!$C$5:$C$504,MATCH($G3939&amp;"",부서매핑!$A$5:$A$504,0)),"미매핑"))</f>
        <v/>
      </c>
      <c r="O3939" s="9">
        <f>IF($A3939="","",N3939&amp;"|"&amp;$F3939)</f>
        <v/>
      </c>
      <c r="P3939" s="94">
        <f>IF($A3939="",0,$H3939*설정!$C$23)</f>
        <v/>
      </c>
      <c r="Q3939" s="64">
        <f>IF($A3939="","",IF(O3939&lt;&gt;원인분석!$C$9,"",IF(AND(M3939&gt;=원인분석!$C$10,M3939&lt;=원인분석!$C$11),"당기",IF(AND(M3939&gt;=원인분석!$C$12,M3939&lt;=원인분석!$C$13),"비교",""))))</f>
        <v/>
      </c>
      <c r="R3939" s="9">
        <f>IF(Q3939="","",$K3939&amp;"")</f>
        <v/>
      </c>
      <c r="S3939" s="9">
        <f>IF(Q3939="","",IF(MATCH(R3939,$R$5:$R$100000,0)=ROW()-4,ROW(),""))</f>
        <v/>
      </c>
      <c r="T3939" s="9">
        <f>IF(Q3939="당기",ABS(P3939)+ROW()/1000000000,"")</f>
        <v/>
      </c>
      <c r="U3939" s="9">
        <f>IF(Q3939="비교",ABS(P3939)+ROW()/1000000000,"")</f>
        <v/>
      </c>
      <c r="V3939" s="64">
        <f>IF($A3939="","",IF(COUNTIF(변동분석!$E$7:$E$506,O3939)&gt;0,"Y","N"))</f>
        <v/>
      </c>
      <c r="W3939" s="64">
        <f>IF($A3939="","",IFERROR(INDEX(계정매핑!$D$5:$D$504,MATCH($F3939&amp;"",계정매핑!$A$5:$A$504,0)),"미매핑"))</f>
        <v/>
      </c>
      <c r="X3939" s="9">
        <f>IF($A3939="","",$F3939&amp;"")</f>
        <v/>
      </c>
      <c r="Y3939" s="94">
        <f>IF($A3939="",0,IF(AE3939="직접",IF(AF3939="비귀속",$P3939,0),$P3939*(1-AG3939)*IFERROR(INDEX(계정대체기준!$F$20:$F$49,MATCH($N3939,계정대체기준!$A$20:$A$49,0)),1)))</f>
        <v/>
      </c>
      <c r="Z3939" s="94">
        <f>IF($A3939="",0,IF(AE3939="직접",IF(AF3939="신계약비",$P3939,0),$P3939*(1-AG3939)*IFERROR(INDEX(계정대체기준!$C$20:$C$49,MATCH($N3939,계정대체기준!$A$20:$A$49,0)),0)))</f>
        <v/>
      </c>
      <c r="AA3939" s="94">
        <f>IF($A3939="",0,IF(AE3939="직접",IF(OR(AF3939="유지비",AF3939="손해조사비"),$P3939,0),$P3939*(1-AG3939)*IFERROR(INDEX(계정대체기준!$D$20:$D$49,MATCH($N3939,계정대체기준!$A$20:$A$49,0)),0)))</f>
        <v/>
      </c>
      <c r="AB3939" s="94">
        <f>IF($A3939="",0,IF(AE3939="직접",IF(AF3939="수금비",$P3939,0),$P3939*(1-AG3939)*IFERROR(INDEX(계정대체기준!$E$20:$E$49,MATCH($N3939,계정대체기준!$A$20:$A$49,0)),0)))</f>
        <v/>
      </c>
      <c r="AC3939" s="9">
        <f>IF(AND($A3939&lt;&gt;"",M3939=설정!$C$20,Z3939&gt;0),Z3939+ROW()/1000000000,"")</f>
        <v/>
      </c>
      <c r="AD3939" s="94">
        <f>IF($A3939="",0,$P3939*AG3939)</f>
        <v/>
      </c>
      <c r="AE3939" s="64">
        <f>IF($A3939="","",IFERROR(INDEX(계정매핑!$E$5:$E$504,MATCH($F3939&amp;"",계정매핑!$A$5:$A$504,0))&amp;"","공통비"))</f>
        <v/>
      </c>
      <c r="AF3939" s="64">
        <f>IF($A3939="","",IF(AE3939="직접",IFERROR(INDEX(계정매핑!$F$5:$F$504,MATCH($F3939&amp;"",계정매핑!$A$5:$A$504,0))&amp;"","비귀속"),""))</f>
        <v/>
      </c>
      <c r="AG3939" s="96">
        <f>IF($A3939="",0,IF(AND(AE3939&lt;&gt;"직접",IFERROR(INDEX(계정매핑!$G$5:$G$504,MATCH($F3939&amp;"",계정매핑!$A$5:$A$504,0))&amp;"","")="유지비",COUNTIF(계정대체기준!$A$6:$A$15,$N3939)&gt;0),IFERROR(INDEX(계정대체기준!$E$6:$E$15,MATCH(VALUE($A3939&amp;""),계정대체기준!$D$6:$D$15,0)),0),0))</f>
        <v/>
      </c>
      <c r="AH3939" s="64">
        <f>IF($A3939="","",IF(AD3939=0,"",IF(OR(COUNTIF(계정대체기준!$A$77:$A$86,$N3939)&gt;0,ISNUMBER(MATCH($X3939,계정대체기준!$D$77:$D$86,0)),ISNUMBER(MATCH($F3939,계정대체기준!$D$77:$D$86,0))),"Y","N")))</f>
        <v/>
      </c>
    </row>
    <row r="3940">
      <c r="A3940" s="92" t="n">
        <v>2026</v>
      </c>
      <c r="B3940" s="92" t="n">
        <v>6</v>
      </c>
      <c r="C3940" s="92" t="inlineStr">
        <is>
          <t>5100001218</t>
        </is>
      </c>
      <c r="D3940" s="95" t="n">
        <v>46183</v>
      </c>
      <c r="E3940" s="92" t="inlineStr">
        <is>
          <t>KR</t>
        </is>
      </c>
      <c r="F3940" s="92" t="n">
        <v>62902000</v>
      </c>
      <c r="G3940" s="92" t="n">
        <v>1101</v>
      </c>
      <c r="H3940" s="93" t="n">
        <v>2289000</v>
      </c>
      <c r="I3940" s="92" t="inlineStr">
        <is>
          <t>6월 업무 위탁 수수료 - X서비스</t>
        </is>
      </c>
      <c r="J3940" s="92" t="inlineStr">
        <is>
          <t>V10020</t>
        </is>
      </c>
      <c r="K3940" s="92" t="inlineStr">
        <is>
          <t>X서비스</t>
        </is>
      </c>
      <c r="M3940" s="9">
        <f>IF($A3940="","",VALUE($A3940&amp;"")*12+VALUE($B3940&amp;""))</f>
        <v/>
      </c>
      <c r="N3940" s="64">
        <f>IF($A3940="","",IFERROR(INDEX(부서매핑!$C$5:$C$504,MATCH($G3940&amp;"",부서매핑!$A$5:$A$504,0)),"미매핑"))</f>
        <v/>
      </c>
      <c r="O3940" s="9">
        <f>IF($A3940="","",N3940&amp;"|"&amp;$F3940)</f>
        <v/>
      </c>
      <c r="P3940" s="94">
        <f>IF($A3940="",0,$H3940*설정!$C$23)</f>
        <v/>
      </c>
      <c r="Q3940" s="64">
        <f>IF($A3940="","",IF(O3940&lt;&gt;원인분석!$C$9,"",IF(AND(M3940&gt;=원인분석!$C$10,M3940&lt;=원인분석!$C$11),"당기",IF(AND(M3940&gt;=원인분석!$C$12,M3940&lt;=원인분석!$C$13),"비교",""))))</f>
        <v/>
      </c>
      <c r="R3940" s="9">
        <f>IF(Q3940="","",$K3940&amp;"")</f>
        <v/>
      </c>
      <c r="S3940" s="9">
        <f>IF(Q3940="","",IF(MATCH(R3940,$R$5:$R$100000,0)=ROW()-4,ROW(),""))</f>
        <v/>
      </c>
      <c r="T3940" s="9">
        <f>IF(Q3940="당기",ABS(P3940)+ROW()/1000000000,"")</f>
        <v/>
      </c>
      <c r="U3940" s="9">
        <f>IF(Q3940="비교",ABS(P3940)+ROW()/1000000000,"")</f>
        <v/>
      </c>
      <c r="V3940" s="64">
        <f>IF($A3940="","",IF(COUNTIF(변동분석!$E$7:$E$506,O3940)&gt;0,"Y","N"))</f>
        <v/>
      </c>
      <c r="W3940" s="64">
        <f>IF($A3940="","",IFERROR(INDEX(계정매핑!$D$5:$D$504,MATCH($F3940&amp;"",계정매핑!$A$5:$A$504,0)),"미매핑"))</f>
        <v/>
      </c>
      <c r="X3940" s="9">
        <f>IF($A3940="","",$F3940&amp;"")</f>
        <v/>
      </c>
      <c r="Y3940" s="94">
        <f>IF($A3940="",0,IF(AE3940="직접",IF(AF3940="비귀속",$P3940,0),$P3940*(1-AG3940)*IFERROR(INDEX(계정대체기준!$F$20:$F$49,MATCH($N3940,계정대체기준!$A$20:$A$49,0)),1)))</f>
        <v/>
      </c>
      <c r="Z3940" s="94">
        <f>IF($A3940="",0,IF(AE3940="직접",IF(AF3940="신계약비",$P3940,0),$P3940*(1-AG3940)*IFERROR(INDEX(계정대체기준!$C$20:$C$49,MATCH($N3940,계정대체기준!$A$20:$A$49,0)),0)))</f>
        <v/>
      </c>
      <c r="AA3940" s="94">
        <f>IF($A3940="",0,IF(AE3940="직접",IF(OR(AF3940="유지비",AF3940="손해조사비"),$P3940,0),$P3940*(1-AG3940)*IFERROR(INDEX(계정대체기준!$D$20:$D$49,MATCH($N3940,계정대체기준!$A$20:$A$49,0)),0)))</f>
        <v/>
      </c>
      <c r="AB3940" s="94">
        <f>IF($A3940="",0,IF(AE3940="직접",IF(AF3940="수금비",$P3940,0),$P3940*(1-AG3940)*IFERROR(INDEX(계정대체기준!$E$20:$E$49,MATCH($N3940,계정대체기준!$A$20:$A$49,0)),0)))</f>
        <v/>
      </c>
      <c r="AC3940" s="9">
        <f>IF(AND($A3940&lt;&gt;"",M3940=설정!$C$20,Z3940&gt;0),Z3940+ROW()/1000000000,"")</f>
        <v/>
      </c>
      <c r="AD3940" s="94">
        <f>IF($A3940="",0,$P3940*AG3940)</f>
        <v/>
      </c>
      <c r="AE3940" s="64">
        <f>IF($A3940="","",IFERROR(INDEX(계정매핑!$E$5:$E$504,MATCH($F3940&amp;"",계정매핑!$A$5:$A$504,0))&amp;"","공통비"))</f>
        <v/>
      </c>
      <c r="AF3940" s="64">
        <f>IF($A3940="","",IF(AE3940="직접",IFERROR(INDEX(계정매핑!$F$5:$F$504,MATCH($F3940&amp;"",계정매핑!$A$5:$A$504,0))&amp;"","비귀속"),""))</f>
        <v/>
      </c>
      <c r="AG3940" s="96">
        <f>IF($A3940="",0,IF(AND(AE3940&lt;&gt;"직접",IFERROR(INDEX(계정매핑!$G$5:$G$504,MATCH($F3940&amp;"",계정매핑!$A$5:$A$504,0))&amp;"","")="유지비",COUNTIF(계정대체기준!$A$6:$A$15,$N3940)&gt;0),IFERROR(INDEX(계정대체기준!$E$6:$E$15,MATCH(VALUE($A3940&amp;""),계정대체기준!$D$6:$D$15,0)),0),0))</f>
        <v/>
      </c>
      <c r="AH3940" s="64">
        <f>IF($A3940="","",IF(AD3940=0,"",IF(OR(COUNTIF(계정대체기준!$A$77:$A$86,$N3940)&gt;0,ISNUMBER(MATCH($X3940,계정대체기준!$D$77:$D$86,0)),ISNUMBER(MATCH($F3940,계정대체기준!$D$77:$D$86,0))),"Y","N")))</f>
        <v/>
      </c>
    </row>
    <row r="3941">
      <c r="A3941" s="92" t="n">
        <v>2026</v>
      </c>
      <c r="B3941" s="92" t="n">
        <v>6</v>
      </c>
      <c r="C3941" s="92" t="inlineStr">
        <is>
          <t>5100001219</t>
        </is>
      </c>
      <c r="D3941" s="95" t="n">
        <v>46183</v>
      </c>
      <c r="E3941" s="92" t="inlineStr">
        <is>
          <t>KR</t>
        </is>
      </c>
      <c r="F3941" s="92" t="n">
        <v>63001000</v>
      </c>
      <c r="G3941" s="92" t="n">
        <v>1951</v>
      </c>
      <c r="H3941" s="93" t="n">
        <v>4070000</v>
      </c>
      <c r="I3941" s="92" t="inlineStr">
        <is>
          <t>6월 SW 유지보수 - Y소프트</t>
        </is>
      </c>
      <c r="J3941" s="92" t="inlineStr">
        <is>
          <t>V10017</t>
        </is>
      </c>
      <c r="K3941" s="92" t="inlineStr">
        <is>
          <t>Y소프트</t>
        </is>
      </c>
      <c r="M3941" s="9">
        <f>IF($A3941="","",VALUE($A3941&amp;"")*12+VALUE($B3941&amp;""))</f>
        <v/>
      </c>
      <c r="N3941" s="64">
        <f>IF($A3941="","",IFERROR(INDEX(부서매핑!$C$5:$C$504,MATCH($G3941&amp;"",부서매핑!$A$5:$A$504,0)),"미매핑"))</f>
        <v/>
      </c>
      <c r="O3941" s="9">
        <f>IF($A3941="","",N3941&amp;"|"&amp;$F3941)</f>
        <v/>
      </c>
      <c r="P3941" s="94">
        <f>IF($A3941="",0,$H3941*설정!$C$23)</f>
        <v/>
      </c>
      <c r="Q3941" s="64">
        <f>IF($A3941="","",IF(O3941&lt;&gt;원인분석!$C$9,"",IF(AND(M3941&gt;=원인분석!$C$10,M3941&lt;=원인분석!$C$11),"당기",IF(AND(M3941&gt;=원인분석!$C$12,M3941&lt;=원인분석!$C$13),"비교",""))))</f>
        <v/>
      </c>
      <c r="R3941" s="9">
        <f>IF(Q3941="","",$K3941&amp;"")</f>
        <v/>
      </c>
      <c r="S3941" s="9">
        <f>IF(Q3941="","",IF(MATCH(R3941,$R$5:$R$100000,0)=ROW()-4,ROW(),""))</f>
        <v/>
      </c>
      <c r="T3941" s="9">
        <f>IF(Q3941="당기",ABS(P3941)+ROW()/1000000000,"")</f>
        <v/>
      </c>
      <c r="U3941" s="9">
        <f>IF(Q3941="비교",ABS(P3941)+ROW()/1000000000,"")</f>
        <v/>
      </c>
      <c r="V3941" s="64">
        <f>IF($A3941="","",IF(COUNTIF(변동분석!$E$7:$E$506,O3941)&gt;0,"Y","N"))</f>
        <v/>
      </c>
      <c r="W3941" s="64">
        <f>IF($A3941="","",IFERROR(INDEX(계정매핑!$D$5:$D$504,MATCH($F3941&amp;"",계정매핑!$A$5:$A$504,0)),"미매핑"))</f>
        <v/>
      </c>
      <c r="X3941" s="9">
        <f>IF($A3941="","",$F3941&amp;"")</f>
        <v/>
      </c>
      <c r="Y3941" s="94">
        <f>IF($A3941="",0,IF(AE3941="직접",IF(AF3941="비귀속",$P3941,0),$P3941*(1-AG3941)*IFERROR(INDEX(계정대체기준!$F$20:$F$49,MATCH($N3941,계정대체기준!$A$20:$A$49,0)),1)))</f>
        <v/>
      </c>
      <c r="Z3941" s="94">
        <f>IF($A3941="",0,IF(AE3941="직접",IF(AF3941="신계약비",$P3941,0),$P3941*(1-AG3941)*IFERROR(INDEX(계정대체기준!$C$20:$C$49,MATCH($N3941,계정대체기준!$A$20:$A$49,0)),0)))</f>
        <v/>
      </c>
      <c r="AA3941" s="94">
        <f>IF($A3941="",0,IF(AE3941="직접",IF(OR(AF3941="유지비",AF3941="손해조사비"),$P3941,0),$P3941*(1-AG3941)*IFERROR(INDEX(계정대체기준!$D$20:$D$49,MATCH($N3941,계정대체기준!$A$20:$A$49,0)),0)))</f>
        <v/>
      </c>
      <c r="AB3941" s="94">
        <f>IF($A3941="",0,IF(AE3941="직접",IF(AF3941="수금비",$P3941,0),$P3941*(1-AG3941)*IFERROR(INDEX(계정대체기준!$E$20:$E$49,MATCH($N3941,계정대체기준!$A$20:$A$49,0)),0)))</f>
        <v/>
      </c>
      <c r="AC3941" s="9">
        <f>IF(AND($A3941&lt;&gt;"",M3941=설정!$C$20,Z3941&gt;0),Z3941+ROW()/1000000000,"")</f>
        <v/>
      </c>
      <c r="AD3941" s="94">
        <f>IF($A3941="",0,$P3941*AG3941)</f>
        <v/>
      </c>
      <c r="AE3941" s="64">
        <f>IF($A3941="","",IFERROR(INDEX(계정매핑!$E$5:$E$504,MATCH($F3941&amp;"",계정매핑!$A$5:$A$504,0))&amp;"","공통비"))</f>
        <v/>
      </c>
      <c r="AF3941" s="64">
        <f>IF($A3941="","",IF(AE3941="직접",IFERROR(INDEX(계정매핑!$F$5:$F$504,MATCH($F3941&amp;"",계정매핑!$A$5:$A$504,0))&amp;"","비귀속"),""))</f>
        <v/>
      </c>
      <c r="AG3941" s="96">
        <f>IF($A3941="",0,IF(AND(AE3941&lt;&gt;"직접",IFERROR(INDEX(계정매핑!$G$5:$G$504,MATCH($F3941&amp;"",계정매핑!$A$5:$A$504,0))&amp;"","")="유지비",COUNTIF(계정대체기준!$A$6:$A$15,$N3941)&gt;0),IFERROR(INDEX(계정대체기준!$E$6:$E$15,MATCH(VALUE($A3941&amp;""),계정대체기준!$D$6:$D$15,0)),0),0))</f>
        <v/>
      </c>
      <c r="AH3941" s="64">
        <f>IF($A3941="","",IF(AD3941=0,"",IF(OR(COUNTIF(계정대체기준!$A$77:$A$86,$N3941)&gt;0,ISNUMBER(MATCH($X3941,계정대체기준!$D$77:$D$86,0)),ISNUMBER(MATCH($F3941,계정대체기준!$D$77:$D$86,0))),"Y","N")))</f>
        <v/>
      </c>
    </row>
    <row r="3942">
      <c r="A3942" s="92" t="n">
        <v>2026</v>
      </c>
      <c r="B3942" s="92" t="n">
        <v>6</v>
      </c>
      <c r="C3942" s="92" t="inlineStr">
        <is>
          <t>5100001220</t>
        </is>
      </c>
      <c r="D3942" s="95" t="n">
        <v>46183</v>
      </c>
      <c r="E3942" s="92" t="inlineStr">
        <is>
          <t>KR</t>
        </is>
      </c>
      <c r="F3942" s="92" t="n">
        <v>63101000</v>
      </c>
      <c r="G3942" s="92" t="n">
        <v>1602</v>
      </c>
      <c r="H3942" s="93" t="n">
        <v>4267000</v>
      </c>
      <c r="I3942" s="92" t="inlineStr">
        <is>
          <t>6월 사무실 임차료 - AA빌딩</t>
        </is>
      </c>
      <c r="J3942" s="92" t="inlineStr">
        <is>
          <t>V10007</t>
        </is>
      </c>
      <c r="K3942" s="92" t="inlineStr">
        <is>
          <t>AA빌딩</t>
        </is>
      </c>
      <c r="M3942" s="9">
        <f>IF($A3942="","",VALUE($A3942&amp;"")*12+VALUE($B3942&amp;""))</f>
        <v/>
      </c>
      <c r="N3942" s="64">
        <f>IF($A3942="","",IFERROR(INDEX(부서매핑!$C$5:$C$504,MATCH($G3942&amp;"",부서매핑!$A$5:$A$504,0)),"미매핑"))</f>
        <v/>
      </c>
      <c r="O3942" s="9">
        <f>IF($A3942="","",N3942&amp;"|"&amp;$F3942)</f>
        <v/>
      </c>
      <c r="P3942" s="94">
        <f>IF($A3942="",0,$H3942*설정!$C$23)</f>
        <v/>
      </c>
      <c r="Q3942" s="64">
        <f>IF($A3942="","",IF(O3942&lt;&gt;원인분석!$C$9,"",IF(AND(M3942&gt;=원인분석!$C$10,M3942&lt;=원인분석!$C$11),"당기",IF(AND(M3942&gt;=원인분석!$C$12,M3942&lt;=원인분석!$C$13),"비교",""))))</f>
        <v/>
      </c>
      <c r="R3942" s="9">
        <f>IF(Q3942="","",$K3942&amp;"")</f>
        <v/>
      </c>
      <c r="S3942" s="9">
        <f>IF(Q3942="","",IF(MATCH(R3942,$R$5:$R$100000,0)=ROW()-4,ROW(),""))</f>
        <v/>
      </c>
      <c r="T3942" s="9">
        <f>IF(Q3942="당기",ABS(P3942)+ROW()/1000000000,"")</f>
        <v/>
      </c>
      <c r="U3942" s="9">
        <f>IF(Q3942="비교",ABS(P3942)+ROW()/1000000000,"")</f>
        <v/>
      </c>
      <c r="V3942" s="64">
        <f>IF($A3942="","",IF(COUNTIF(변동분석!$E$7:$E$506,O3942)&gt;0,"Y","N"))</f>
        <v/>
      </c>
      <c r="W3942" s="64">
        <f>IF($A3942="","",IFERROR(INDEX(계정매핑!$D$5:$D$504,MATCH($F3942&amp;"",계정매핑!$A$5:$A$504,0)),"미매핑"))</f>
        <v/>
      </c>
      <c r="X3942" s="9">
        <f>IF($A3942="","",$F3942&amp;"")</f>
        <v/>
      </c>
      <c r="Y3942" s="94">
        <f>IF($A3942="",0,IF(AE3942="직접",IF(AF3942="비귀속",$P3942,0),$P3942*(1-AG3942)*IFERROR(INDEX(계정대체기준!$F$20:$F$49,MATCH($N3942,계정대체기준!$A$20:$A$49,0)),1)))</f>
        <v/>
      </c>
      <c r="Z3942" s="94">
        <f>IF($A3942="",0,IF(AE3942="직접",IF(AF3942="신계약비",$P3942,0),$P3942*(1-AG3942)*IFERROR(INDEX(계정대체기준!$C$20:$C$49,MATCH($N3942,계정대체기준!$A$20:$A$49,0)),0)))</f>
        <v/>
      </c>
      <c r="AA3942" s="94">
        <f>IF($A3942="",0,IF(AE3942="직접",IF(OR(AF3942="유지비",AF3942="손해조사비"),$P3942,0),$P3942*(1-AG3942)*IFERROR(INDEX(계정대체기준!$D$20:$D$49,MATCH($N3942,계정대체기준!$A$20:$A$49,0)),0)))</f>
        <v/>
      </c>
      <c r="AB3942" s="94">
        <f>IF($A3942="",0,IF(AE3942="직접",IF(AF3942="수금비",$P3942,0),$P3942*(1-AG3942)*IFERROR(INDEX(계정대체기준!$E$20:$E$49,MATCH($N3942,계정대체기준!$A$20:$A$49,0)),0)))</f>
        <v/>
      </c>
      <c r="AC3942" s="9">
        <f>IF(AND($A3942&lt;&gt;"",M3942=설정!$C$20,Z3942&gt;0),Z3942+ROW()/1000000000,"")</f>
        <v/>
      </c>
      <c r="AD3942" s="94">
        <f>IF($A3942="",0,$P3942*AG3942)</f>
        <v/>
      </c>
      <c r="AE3942" s="64">
        <f>IF($A3942="","",IFERROR(INDEX(계정매핑!$E$5:$E$504,MATCH($F3942&amp;"",계정매핑!$A$5:$A$504,0))&amp;"","공통비"))</f>
        <v/>
      </c>
      <c r="AF3942" s="64">
        <f>IF($A3942="","",IF(AE3942="직접",IFERROR(INDEX(계정매핑!$F$5:$F$504,MATCH($F3942&amp;"",계정매핑!$A$5:$A$504,0))&amp;"","비귀속"),""))</f>
        <v/>
      </c>
      <c r="AG3942" s="96">
        <f>IF($A3942="",0,IF(AND(AE3942&lt;&gt;"직접",IFERROR(INDEX(계정매핑!$G$5:$G$504,MATCH($F3942&amp;"",계정매핑!$A$5:$A$504,0))&amp;"","")="유지비",COUNTIF(계정대체기준!$A$6:$A$15,$N3942)&gt;0),IFERROR(INDEX(계정대체기준!$E$6:$E$15,MATCH(VALUE($A3942&amp;""),계정대체기준!$D$6:$D$15,0)),0),0))</f>
        <v/>
      </c>
      <c r="AH3942" s="64">
        <f>IF($A3942="","",IF(AD3942=0,"",IF(OR(COUNTIF(계정대체기준!$A$77:$A$86,$N3942)&gt;0,ISNUMBER(MATCH($X3942,계정대체기준!$D$77:$D$86,0)),ISNUMBER(MATCH($F3942,계정대체기준!$D$77:$D$86,0))),"Y","N")))</f>
        <v/>
      </c>
    </row>
    <row r="3943">
      <c r="A3943" s="92" t="n">
        <v>2026</v>
      </c>
      <c r="B3943" s="92" t="n">
        <v>6</v>
      </c>
      <c r="C3943" s="92" t="inlineStr">
        <is>
          <t>5100001221</t>
        </is>
      </c>
      <c r="D3943" s="95" t="n">
        <v>46183</v>
      </c>
      <c r="E3943" s="92" t="inlineStr">
        <is>
          <t>KR</t>
        </is>
      </c>
      <c r="F3943" s="92" t="n">
        <v>63501000</v>
      </c>
      <c r="G3943" s="92" t="n">
        <v>1901</v>
      </c>
      <c r="H3943" s="93" t="n">
        <v>383186000</v>
      </c>
      <c r="I3943" s="92" t="inlineStr">
        <is>
          <t>6월 모집수수료 - (전속설계사)</t>
        </is>
      </c>
      <c r="J3943" s="92" t="inlineStr">
        <is>
          <t>V10021</t>
        </is>
      </c>
      <c r="K3943" s="92" t="inlineStr">
        <is>
          <t>(전속설계사)</t>
        </is>
      </c>
      <c r="M3943" s="9">
        <f>IF($A3943="","",VALUE($A3943&amp;"")*12+VALUE($B3943&amp;""))</f>
        <v/>
      </c>
      <c r="N3943" s="64">
        <f>IF($A3943="","",IFERROR(INDEX(부서매핑!$C$5:$C$504,MATCH($G3943&amp;"",부서매핑!$A$5:$A$504,0)),"미매핑"))</f>
        <v/>
      </c>
      <c r="O3943" s="9">
        <f>IF($A3943="","",N3943&amp;"|"&amp;$F3943)</f>
        <v/>
      </c>
      <c r="P3943" s="94">
        <f>IF($A3943="",0,$H3943*설정!$C$23)</f>
        <v/>
      </c>
      <c r="Q3943" s="64">
        <f>IF($A3943="","",IF(O3943&lt;&gt;원인분석!$C$9,"",IF(AND(M3943&gt;=원인분석!$C$10,M3943&lt;=원인분석!$C$11),"당기",IF(AND(M3943&gt;=원인분석!$C$12,M3943&lt;=원인분석!$C$13),"비교",""))))</f>
        <v/>
      </c>
      <c r="R3943" s="9">
        <f>IF(Q3943="","",$K3943&amp;"")</f>
        <v/>
      </c>
      <c r="S3943" s="9">
        <f>IF(Q3943="","",IF(MATCH(R3943,$R$5:$R$100000,0)=ROW()-4,ROW(),""))</f>
        <v/>
      </c>
      <c r="T3943" s="9">
        <f>IF(Q3943="당기",ABS(P3943)+ROW()/1000000000,"")</f>
        <v/>
      </c>
      <c r="U3943" s="9">
        <f>IF(Q3943="비교",ABS(P3943)+ROW()/1000000000,"")</f>
        <v/>
      </c>
      <c r="V3943" s="64">
        <f>IF($A3943="","",IF(COUNTIF(변동분석!$E$7:$E$506,O3943)&gt;0,"Y","N"))</f>
        <v/>
      </c>
      <c r="W3943" s="64">
        <f>IF($A3943="","",IFERROR(INDEX(계정매핑!$D$5:$D$504,MATCH($F3943&amp;"",계정매핑!$A$5:$A$504,0)),"미매핑"))</f>
        <v/>
      </c>
      <c r="X3943" s="9">
        <f>IF($A3943="","",$F3943&amp;"")</f>
        <v/>
      </c>
      <c r="Y3943" s="94">
        <f>IF($A3943="",0,IF(AE3943="직접",IF(AF3943="비귀속",$P3943,0),$P3943*(1-AG3943)*IFERROR(INDEX(계정대체기준!$F$20:$F$49,MATCH($N3943,계정대체기준!$A$20:$A$49,0)),1)))</f>
        <v/>
      </c>
      <c r="Z3943" s="94">
        <f>IF($A3943="",0,IF(AE3943="직접",IF(AF3943="신계약비",$P3943,0),$P3943*(1-AG3943)*IFERROR(INDEX(계정대체기준!$C$20:$C$49,MATCH($N3943,계정대체기준!$A$20:$A$49,0)),0)))</f>
        <v/>
      </c>
      <c r="AA3943" s="94">
        <f>IF($A3943="",0,IF(AE3943="직접",IF(OR(AF3943="유지비",AF3943="손해조사비"),$P3943,0),$P3943*(1-AG3943)*IFERROR(INDEX(계정대체기준!$D$20:$D$49,MATCH($N3943,계정대체기준!$A$20:$A$49,0)),0)))</f>
        <v/>
      </c>
      <c r="AB3943" s="94">
        <f>IF($A3943="",0,IF(AE3943="직접",IF(AF3943="수금비",$P3943,0),$P3943*(1-AG3943)*IFERROR(INDEX(계정대체기준!$E$20:$E$49,MATCH($N3943,계정대체기준!$A$20:$A$49,0)),0)))</f>
        <v/>
      </c>
      <c r="AC3943" s="9">
        <f>IF(AND($A3943&lt;&gt;"",M3943=설정!$C$20,Z3943&gt;0),Z3943+ROW()/1000000000,"")</f>
        <v/>
      </c>
      <c r="AD3943" s="94">
        <f>IF($A3943="",0,$P3943*AG3943)</f>
        <v/>
      </c>
      <c r="AE3943" s="64">
        <f>IF($A3943="","",IFERROR(INDEX(계정매핑!$E$5:$E$504,MATCH($F3943&amp;"",계정매핑!$A$5:$A$504,0))&amp;"","공통비"))</f>
        <v/>
      </c>
      <c r="AF3943" s="64">
        <f>IF($A3943="","",IF(AE3943="직접",IFERROR(INDEX(계정매핑!$F$5:$F$504,MATCH($F3943&amp;"",계정매핑!$A$5:$A$504,0))&amp;"","비귀속"),""))</f>
        <v/>
      </c>
      <c r="AG3943" s="96">
        <f>IF($A3943="",0,IF(AND(AE3943&lt;&gt;"직접",IFERROR(INDEX(계정매핑!$G$5:$G$504,MATCH($F3943&amp;"",계정매핑!$A$5:$A$504,0))&amp;"","")="유지비",COUNTIF(계정대체기준!$A$6:$A$15,$N3943)&gt;0),IFERROR(INDEX(계정대체기준!$E$6:$E$15,MATCH(VALUE($A3943&amp;""),계정대체기준!$D$6:$D$15,0)),0),0))</f>
        <v/>
      </c>
      <c r="AH3943" s="64">
        <f>IF($A3943="","",IF(AD3943=0,"",IF(OR(COUNTIF(계정대체기준!$A$77:$A$86,$N3943)&gt;0,ISNUMBER(MATCH($X3943,계정대체기준!$D$77:$D$86,0)),ISNUMBER(MATCH($F3943,계정대체기준!$D$77:$D$86,0))),"Y","N")))</f>
        <v/>
      </c>
    </row>
    <row r="3944">
      <c r="A3944" s="92" t="n">
        <v>2026</v>
      </c>
      <c r="B3944" s="92" t="n">
        <v>6</v>
      </c>
      <c r="C3944" s="92" t="inlineStr">
        <is>
          <t>5100001222</t>
        </is>
      </c>
      <c r="D3944" s="95" t="n">
        <v>46184</v>
      </c>
      <c r="E3944" s="92" t="inlineStr">
        <is>
          <t>KR</t>
        </is>
      </c>
      <c r="F3944" s="92" t="n">
        <v>62101000</v>
      </c>
      <c r="G3944" s="92" t="n">
        <v>1201</v>
      </c>
      <c r="H3944" s="93" t="n">
        <v>352000</v>
      </c>
      <c r="I3944" s="92" t="inlineStr">
        <is>
          <t>6월 국내출장 - M항공</t>
        </is>
      </c>
      <c r="J3944" s="92" t="inlineStr">
        <is>
          <t>V10001</t>
        </is>
      </c>
      <c r="K3944" s="92" t="inlineStr">
        <is>
          <t>M항공</t>
        </is>
      </c>
      <c r="M3944" s="9">
        <f>IF($A3944="","",VALUE($A3944&amp;"")*12+VALUE($B3944&amp;""))</f>
        <v/>
      </c>
      <c r="N3944" s="64">
        <f>IF($A3944="","",IFERROR(INDEX(부서매핑!$C$5:$C$504,MATCH($G3944&amp;"",부서매핑!$A$5:$A$504,0)),"미매핑"))</f>
        <v/>
      </c>
      <c r="O3944" s="9">
        <f>IF($A3944="","",N3944&amp;"|"&amp;$F3944)</f>
        <v/>
      </c>
      <c r="P3944" s="94">
        <f>IF($A3944="",0,$H3944*설정!$C$23)</f>
        <v/>
      </c>
      <c r="Q3944" s="64">
        <f>IF($A3944="","",IF(O3944&lt;&gt;원인분석!$C$9,"",IF(AND(M3944&gt;=원인분석!$C$10,M3944&lt;=원인분석!$C$11),"당기",IF(AND(M3944&gt;=원인분석!$C$12,M3944&lt;=원인분석!$C$13),"비교",""))))</f>
        <v/>
      </c>
      <c r="R3944" s="9">
        <f>IF(Q3944="","",$K3944&amp;"")</f>
        <v/>
      </c>
      <c r="S3944" s="9">
        <f>IF(Q3944="","",IF(MATCH(R3944,$R$5:$R$100000,0)=ROW()-4,ROW(),""))</f>
        <v/>
      </c>
      <c r="T3944" s="9">
        <f>IF(Q3944="당기",ABS(P3944)+ROW()/1000000000,"")</f>
        <v/>
      </c>
      <c r="U3944" s="9">
        <f>IF(Q3944="비교",ABS(P3944)+ROW()/1000000000,"")</f>
        <v/>
      </c>
      <c r="V3944" s="64">
        <f>IF($A3944="","",IF(COUNTIF(변동분석!$E$7:$E$506,O3944)&gt;0,"Y","N"))</f>
        <v/>
      </c>
      <c r="W3944" s="64">
        <f>IF($A3944="","",IFERROR(INDEX(계정매핑!$D$5:$D$504,MATCH($F3944&amp;"",계정매핑!$A$5:$A$504,0)),"미매핑"))</f>
        <v/>
      </c>
      <c r="X3944" s="9">
        <f>IF($A3944="","",$F3944&amp;"")</f>
        <v/>
      </c>
      <c r="Y3944" s="94">
        <f>IF($A3944="",0,IF(AE3944="직접",IF(AF3944="비귀속",$P3944,0),$P3944*(1-AG3944)*IFERROR(INDEX(계정대체기준!$F$20:$F$49,MATCH($N3944,계정대체기준!$A$20:$A$49,0)),1)))</f>
        <v/>
      </c>
      <c r="Z3944" s="94">
        <f>IF($A3944="",0,IF(AE3944="직접",IF(AF3944="신계약비",$P3944,0),$P3944*(1-AG3944)*IFERROR(INDEX(계정대체기준!$C$20:$C$49,MATCH($N3944,계정대체기준!$A$20:$A$49,0)),0)))</f>
        <v/>
      </c>
      <c r="AA3944" s="94">
        <f>IF($A3944="",0,IF(AE3944="직접",IF(OR(AF3944="유지비",AF3944="손해조사비"),$P3944,0),$P3944*(1-AG3944)*IFERROR(INDEX(계정대체기준!$D$20:$D$49,MATCH($N3944,계정대체기준!$A$20:$A$49,0)),0)))</f>
        <v/>
      </c>
      <c r="AB3944" s="94">
        <f>IF($A3944="",0,IF(AE3944="직접",IF(AF3944="수금비",$P3944,0),$P3944*(1-AG3944)*IFERROR(INDEX(계정대체기준!$E$20:$E$49,MATCH($N3944,계정대체기준!$A$20:$A$49,0)),0)))</f>
        <v/>
      </c>
      <c r="AC3944" s="9">
        <f>IF(AND($A3944&lt;&gt;"",M3944=설정!$C$20,Z3944&gt;0),Z3944+ROW()/1000000000,"")</f>
        <v/>
      </c>
      <c r="AD3944" s="94">
        <f>IF($A3944="",0,$P3944*AG3944)</f>
        <v/>
      </c>
      <c r="AE3944" s="64">
        <f>IF($A3944="","",IFERROR(INDEX(계정매핑!$E$5:$E$504,MATCH($F3944&amp;"",계정매핑!$A$5:$A$504,0))&amp;"","공통비"))</f>
        <v/>
      </c>
      <c r="AF3944" s="64">
        <f>IF($A3944="","",IF(AE3944="직접",IFERROR(INDEX(계정매핑!$F$5:$F$504,MATCH($F3944&amp;"",계정매핑!$A$5:$A$504,0))&amp;"","비귀속"),""))</f>
        <v/>
      </c>
      <c r="AG3944" s="96">
        <f>IF($A3944="",0,IF(AND(AE3944&lt;&gt;"직접",IFERROR(INDEX(계정매핑!$G$5:$G$504,MATCH($F3944&amp;"",계정매핑!$A$5:$A$504,0))&amp;"","")="유지비",COUNTIF(계정대체기준!$A$6:$A$15,$N3944)&gt;0),IFERROR(INDEX(계정대체기준!$E$6:$E$15,MATCH(VALUE($A3944&amp;""),계정대체기준!$D$6:$D$15,0)),0),0))</f>
        <v/>
      </c>
      <c r="AH3944" s="64">
        <f>IF($A3944="","",IF(AD3944=0,"",IF(OR(COUNTIF(계정대체기준!$A$77:$A$86,$N3944)&gt;0,ISNUMBER(MATCH($X3944,계정대체기준!$D$77:$D$86,0)),ISNUMBER(MATCH($F3944,계정대체기준!$D$77:$D$86,0))),"Y","N")))</f>
        <v/>
      </c>
    </row>
    <row r="3945">
      <c r="A3945" s="92" t="n">
        <v>2026</v>
      </c>
      <c r="B3945" s="92" t="n">
        <v>6</v>
      </c>
      <c r="C3945" s="92" t="inlineStr">
        <is>
          <t>5100001223</t>
        </is>
      </c>
      <c r="D3945" s="95" t="n">
        <v>46184</v>
      </c>
      <c r="E3945" s="92" t="inlineStr">
        <is>
          <t>KR</t>
        </is>
      </c>
      <c r="F3945" s="92" t="n">
        <v>62101000</v>
      </c>
      <c r="G3945" s="92" t="n">
        <v>1701</v>
      </c>
      <c r="H3945" s="93" t="n">
        <v>318000</v>
      </c>
      <c r="I3945" s="92" t="inlineStr">
        <is>
          <t>6월 국내출장 - L여행사</t>
        </is>
      </c>
      <c r="J3945" s="92" t="inlineStr">
        <is>
          <t>V10018</t>
        </is>
      </c>
      <c r="K3945" s="92" t="inlineStr">
        <is>
          <t>L여행사</t>
        </is>
      </c>
      <c r="M3945" s="9">
        <f>IF($A3945="","",VALUE($A3945&amp;"")*12+VALUE($B3945&amp;""))</f>
        <v/>
      </c>
      <c r="N3945" s="64">
        <f>IF($A3945="","",IFERROR(INDEX(부서매핑!$C$5:$C$504,MATCH($G3945&amp;"",부서매핑!$A$5:$A$504,0)),"미매핑"))</f>
        <v/>
      </c>
      <c r="O3945" s="9">
        <f>IF($A3945="","",N3945&amp;"|"&amp;$F3945)</f>
        <v/>
      </c>
      <c r="P3945" s="94">
        <f>IF($A3945="",0,$H3945*설정!$C$23)</f>
        <v/>
      </c>
      <c r="Q3945" s="64">
        <f>IF($A3945="","",IF(O3945&lt;&gt;원인분석!$C$9,"",IF(AND(M3945&gt;=원인분석!$C$10,M3945&lt;=원인분석!$C$11),"당기",IF(AND(M3945&gt;=원인분석!$C$12,M3945&lt;=원인분석!$C$13),"비교",""))))</f>
        <v/>
      </c>
      <c r="R3945" s="9">
        <f>IF(Q3945="","",$K3945&amp;"")</f>
        <v/>
      </c>
      <c r="S3945" s="9">
        <f>IF(Q3945="","",IF(MATCH(R3945,$R$5:$R$100000,0)=ROW()-4,ROW(),""))</f>
        <v/>
      </c>
      <c r="T3945" s="9">
        <f>IF(Q3945="당기",ABS(P3945)+ROW()/1000000000,"")</f>
        <v/>
      </c>
      <c r="U3945" s="9">
        <f>IF(Q3945="비교",ABS(P3945)+ROW()/1000000000,"")</f>
        <v/>
      </c>
      <c r="V3945" s="64">
        <f>IF($A3945="","",IF(COUNTIF(변동분석!$E$7:$E$506,O3945)&gt;0,"Y","N"))</f>
        <v/>
      </c>
      <c r="W3945" s="64">
        <f>IF($A3945="","",IFERROR(INDEX(계정매핑!$D$5:$D$504,MATCH($F3945&amp;"",계정매핑!$A$5:$A$504,0)),"미매핑"))</f>
        <v/>
      </c>
      <c r="X3945" s="9">
        <f>IF($A3945="","",$F3945&amp;"")</f>
        <v/>
      </c>
      <c r="Y3945" s="94">
        <f>IF($A3945="",0,IF(AE3945="직접",IF(AF3945="비귀속",$P3945,0),$P3945*(1-AG3945)*IFERROR(INDEX(계정대체기준!$F$20:$F$49,MATCH($N3945,계정대체기준!$A$20:$A$49,0)),1)))</f>
        <v/>
      </c>
      <c r="Z3945" s="94">
        <f>IF($A3945="",0,IF(AE3945="직접",IF(AF3945="신계약비",$P3945,0),$P3945*(1-AG3945)*IFERROR(INDEX(계정대체기준!$C$20:$C$49,MATCH($N3945,계정대체기준!$A$20:$A$49,0)),0)))</f>
        <v/>
      </c>
      <c r="AA3945" s="94">
        <f>IF($A3945="",0,IF(AE3945="직접",IF(OR(AF3945="유지비",AF3945="손해조사비"),$P3945,0),$P3945*(1-AG3945)*IFERROR(INDEX(계정대체기준!$D$20:$D$49,MATCH($N3945,계정대체기준!$A$20:$A$49,0)),0)))</f>
        <v/>
      </c>
      <c r="AB3945" s="94">
        <f>IF($A3945="",0,IF(AE3945="직접",IF(AF3945="수금비",$P3945,0),$P3945*(1-AG3945)*IFERROR(INDEX(계정대체기준!$E$20:$E$49,MATCH($N3945,계정대체기준!$A$20:$A$49,0)),0)))</f>
        <v/>
      </c>
      <c r="AC3945" s="9">
        <f>IF(AND($A3945&lt;&gt;"",M3945=설정!$C$20,Z3945&gt;0),Z3945+ROW()/1000000000,"")</f>
        <v/>
      </c>
      <c r="AD3945" s="94">
        <f>IF($A3945="",0,$P3945*AG3945)</f>
        <v/>
      </c>
      <c r="AE3945" s="64">
        <f>IF($A3945="","",IFERROR(INDEX(계정매핑!$E$5:$E$504,MATCH($F3945&amp;"",계정매핑!$A$5:$A$504,0))&amp;"","공통비"))</f>
        <v/>
      </c>
      <c r="AF3945" s="64">
        <f>IF($A3945="","",IF(AE3945="직접",IFERROR(INDEX(계정매핑!$F$5:$F$504,MATCH($F3945&amp;"",계정매핑!$A$5:$A$504,0))&amp;"","비귀속"),""))</f>
        <v/>
      </c>
      <c r="AG3945" s="96">
        <f>IF($A3945="",0,IF(AND(AE3945&lt;&gt;"직접",IFERROR(INDEX(계정매핑!$G$5:$G$504,MATCH($F3945&amp;"",계정매핑!$A$5:$A$504,0))&amp;"","")="유지비",COUNTIF(계정대체기준!$A$6:$A$15,$N3945)&gt;0),IFERROR(INDEX(계정대체기준!$E$6:$E$15,MATCH(VALUE($A3945&amp;""),계정대체기준!$D$6:$D$15,0)),0),0))</f>
        <v/>
      </c>
      <c r="AH3945" s="64">
        <f>IF($A3945="","",IF(AD3945=0,"",IF(OR(COUNTIF(계정대체기준!$A$77:$A$86,$N3945)&gt;0,ISNUMBER(MATCH($X3945,계정대체기준!$D$77:$D$86,0)),ISNUMBER(MATCH($F3945,계정대체기준!$D$77:$D$86,0))),"Y","N")))</f>
        <v/>
      </c>
    </row>
    <row r="3946">
      <c r="A3946" s="92" t="n">
        <v>2026</v>
      </c>
      <c r="B3946" s="92" t="n">
        <v>6</v>
      </c>
      <c r="C3946" s="92" t="inlineStr">
        <is>
          <t>5100001224</t>
        </is>
      </c>
      <c r="D3946" s="95" t="n">
        <v>46184</v>
      </c>
      <c r="E3946" s="92" t="inlineStr">
        <is>
          <t>KR</t>
        </is>
      </c>
      <c r="F3946" s="92" t="n">
        <v>62101000</v>
      </c>
      <c r="G3946" s="92" t="n">
        <v>1701</v>
      </c>
      <c r="H3946" s="93" t="n">
        <v>197000</v>
      </c>
      <c r="I3946" s="92" t="inlineStr">
        <is>
          <t>6월 국내출장 - L여행사</t>
        </is>
      </c>
      <c r="J3946" s="92" t="inlineStr">
        <is>
          <t>V10018</t>
        </is>
      </c>
      <c r="K3946" s="92" t="inlineStr">
        <is>
          <t>L여행사</t>
        </is>
      </c>
      <c r="M3946" s="9">
        <f>IF($A3946="","",VALUE($A3946&amp;"")*12+VALUE($B3946&amp;""))</f>
        <v/>
      </c>
      <c r="N3946" s="64">
        <f>IF($A3946="","",IFERROR(INDEX(부서매핑!$C$5:$C$504,MATCH($G3946&amp;"",부서매핑!$A$5:$A$504,0)),"미매핑"))</f>
        <v/>
      </c>
      <c r="O3946" s="9">
        <f>IF($A3946="","",N3946&amp;"|"&amp;$F3946)</f>
        <v/>
      </c>
      <c r="P3946" s="94">
        <f>IF($A3946="",0,$H3946*설정!$C$23)</f>
        <v/>
      </c>
      <c r="Q3946" s="64">
        <f>IF($A3946="","",IF(O3946&lt;&gt;원인분석!$C$9,"",IF(AND(M3946&gt;=원인분석!$C$10,M3946&lt;=원인분석!$C$11),"당기",IF(AND(M3946&gt;=원인분석!$C$12,M3946&lt;=원인분석!$C$13),"비교",""))))</f>
        <v/>
      </c>
      <c r="R3946" s="9">
        <f>IF(Q3946="","",$K3946&amp;"")</f>
        <v/>
      </c>
      <c r="S3946" s="9">
        <f>IF(Q3946="","",IF(MATCH(R3946,$R$5:$R$100000,0)=ROW()-4,ROW(),""))</f>
        <v/>
      </c>
      <c r="T3946" s="9">
        <f>IF(Q3946="당기",ABS(P3946)+ROW()/1000000000,"")</f>
        <v/>
      </c>
      <c r="U3946" s="9">
        <f>IF(Q3946="비교",ABS(P3946)+ROW()/1000000000,"")</f>
        <v/>
      </c>
      <c r="V3946" s="64">
        <f>IF($A3946="","",IF(COUNTIF(변동분석!$E$7:$E$506,O3946)&gt;0,"Y","N"))</f>
        <v/>
      </c>
      <c r="W3946" s="64">
        <f>IF($A3946="","",IFERROR(INDEX(계정매핑!$D$5:$D$504,MATCH($F3946&amp;"",계정매핑!$A$5:$A$504,0)),"미매핑"))</f>
        <v/>
      </c>
      <c r="X3946" s="9">
        <f>IF($A3946="","",$F3946&amp;"")</f>
        <v/>
      </c>
      <c r="Y3946" s="94">
        <f>IF($A3946="",0,IF(AE3946="직접",IF(AF3946="비귀속",$P3946,0),$P3946*(1-AG3946)*IFERROR(INDEX(계정대체기준!$F$20:$F$49,MATCH($N3946,계정대체기준!$A$20:$A$49,0)),1)))</f>
        <v/>
      </c>
      <c r="Z3946" s="94">
        <f>IF($A3946="",0,IF(AE3946="직접",IF(AF3946="신계약비",$P3946,0),$P3946*(1-AG3946)*IFERROR(INDEX(계정대체기준!$C$20:$C$49,MATCH($N3946,계정대체기준!$A$20:$A$49,0)),0)))</f>
        <v/>
      </c>
      <c r="AA3946" s="94">
        <f>IF($A3946="",0,IF(AE3946="직접",IF(OR(AF3946="유지비",AF3946="손해조사비"),$P3946,0),$P3946*(1-AG3946)*IFERROR(INDEX(계정대체기준!$D$20:$D$49,MATCH($N3946,계정대체기준!$A$20:$A$49,0)),0)))</f>
        <v/>
      </c>
      <c r="AB3946" s="94">
        <f>IF($A3946="",0,IF(AE3946="직접",IF(AF3946="수금비",$P3946,0),$P3946*(1-AG3946)*IFERROR(INDEX(계정대체기준!$E$20:$E$49,MATCH($N3946,계정대체기준!$A$20:$A$49,0)),0)))</f>
        <v/>
      </c>
      <c r="AC3946" s="9">
        <f>IF(AND($A3946&lt;&gt;"",M3946=설정!$C$20,Z3946&gt;0),Z3946+ROW()/1000000000,"")</f>
        <v/>
      </c>
      <c r="AD3946" s="94">
        <f>IF($A3946="",0,$P3946*AG3946)</f>
        <v/>
      </c>
      <c r="AE3946" s="64">
        <f>IF($A3946="","",IFERROR(INDEX(계정매핑!$E$5:$E$504,MATCH($F3946&amp;"",계정매핑!$A$5:$A$504,0))&amp;"","공통비"))</f>
        <v/>
      </c>
      <c r="AF3946" s="64">
        <f>IF($A3946="","",IF(AE3946="직접",IFERROR(INDEX(계정매핑!$F$5:$F$504,MATCH($F3946&amp;"",계정매핑!$A$5:$A$504,0))&amp;"","비귀속"),""))</f>
        <v/>
      </c>
      <c r="AG3946" s="96">
        <f>IF($A3946="",0,IF(AND(AE3946&lt;&gt;"직접",IFERROR(INDEX(계정매핑!$G$5:$G$504,MATCH($F3946&amp;"",계정매핑!$A$5:$A$504,0))&amp;"","")="유지비",COUNTIF(계정대체기준!$A$6:$A$15,$N3946)&gt;0),IFERROR(INDEX(계정대체기준!$E$6:$E$15,MATCH(VALUE($A3946&amp;""),계정대체기준!$D$6:$D$15,0)),0),0))</f>
        <v/>
      </c>
      <c r="AH3946" s="64">
        <f>IF($A3946="","",IF(AD3946=0,"",IF(OR(COUNTIF(계정대체기준!$A$77:$A$86,$N3946)&gt;0,ISNUMBER(MATCH($X3946,계정대체기준!$D$77:$D$86,0)),ISNUMBER(MATCH($F3946,계정대체기준!$D$77:$D$86,0))),"Y","N")))</f>
        <v/>
      </c>
    </row>
    <row r="3947">
      <c r="A3947" s="92" t="n">
        <v>2026</v>
      </c>
      <c r="B3947" s="92" t="n">
        <v>6</v>
      </c>
      <c r="C3947" s="92" t="inlineStr">
        <is>
          <t>5100001225</t>
        </is>
      </c>
      <c r="D3947" s="95" t="n">
        <v>46184</v>
      </c>
      <c r="E3947" s="92" t="inlineStr">
        <is>
          <t>KR</t>
        </is>
      </c>
      <c r="F3947" s="92" t="n">
        <v>62102000</v>
      </c>
      <c r="G3947" s="92" t="n">
        <v>1801</v>
      </c>
      <c r="H3947" s="93" t="n">
        <v>24000</v>
      </c>
      <c r="I3947" s="92" t="inlineStr">
        <is>
          <t>6월 해외출장 - N호텔</t>
        </is>
      </c>
      <c r="J3947" s="92" t="inlineStr">
        <is>
          <t>V10009</t>
        </is>
      </c>
      <c r="K3947" s="92" t="inlineStr">
        <is>
          <t>N호텔</t>
        </is>
      </c>
      <c r="M3947" s="9">
        <f>IF($A3947="","",VALUE($A3947&amp;"")*12+VALUE($B3947&amp;""))</f>
        <v/>
      </c>
      <c r="N3947" s="64">
        <f>IF($A3947="","",IFERROR(INDEX(부서매핑!$C$5:$C$504,MATCH($G3947&amp;"",부서매핑!$A$5:$A$504,0)),"미매핑"))</f>
        <v/>
      </c>
      <c r="O3947" s="9">
        <f>IF($A3947="","",N3947&amp;"|"&amp;$F3947)</f>
        <v/>
      </c>
      <c r="P3947" s="94">
        <f>IF($A3947="",0,$H3947*설정!$C$23)</f>
        <v/>
      </c>
      <c r="Q3947" s="64">
        <f>IF($A3947="","",IF(O3947&lt;&gt;원인분석!$C$9,"",IF(AND(M3947&gt;=원인분석!$C$10,M3947&lt;=원인분석!$C$11),"당기",IF(AND(M3947&gt;=원인분석!$C$12,M3947&lt;=원인분석!$C$13),"비교",""))))</f>
        <v/>
      </c>
      <c r="R3947" s="9">
        <f>IF(Q3947="","",$K3947&amp;"")</f>
        <v/>
      </c>
      <c r="S3947" s="9">
        <f>IF(Q3947="","",IF(MATCH(R3947,$R$5:$R$100000,0)=ROW()-4,ROW(),""))</f>
        <v/>
      </c>
      <c r="T3947" s="9">
        <f>IF(Q3947="당기",ABS(P3947)+ROW()/1000000000,"")</f>
        <v/>
      </c>
      <c r="U3947" s="9">
        <f>IF(Q3947="비교",ABS(P3947)+ROW()/1000000000,"")</f>
        <v/>
      </c>
      <c r="V3947" s="64">
        <f>IF($A3947="","",IF(COUNTIF(변동분석!$E$7:$E$506,O3947)&gt;0,"Y","N"))</f>
        <v/>
      </c>
      <c r="W3947" s="64">
        <f>IF($A3947="","",IFERROR(INDEX(계정매핑!$D$5:$D$504,MATCH($F3947&amp;"",계정매핑!$A$5:$A$504,0)),"미매핑"))</f>
        <v/>
      </c>
      <c r="X3947" s="9">
        <f>IF($A3947="","",$F3947&amp;"")</f>
        <v/>
      </c>
      <c r="Y3947" s="94">
        <f>IF($A3947="",0,IF(AE3947="직접",IF(AF3947="비귀속",$P3947,0),$P3947*(1-AG3947)*IFERROR(INDEX(계정대체기준!$F$20:$F$49,MATCH($N3947,계정대체기준!$A$20:$A$49,0)),1)))</f>
        <v/>
      </c>
      <c r="Z3947" s="94">
        <f>IF($A3947="",0,IF(AE3947="직접",IF(AF3947="신계약비",$P3947,0),$P3947*(1-AG3947)*IFERROR(INDEX(계정대체기준!$C$20:$C$49,MATCH($N3947,계정대체기준!$A$20:$A$49,0)),0)))</f>
        <v/>
      </c>
      <c r="AA3947" s="94">
        <f>IF($A3947="",0,IF(AE3947="직접",IF(OR(AF3947="유지비",AF3947="손해조사비"),$P3947,0),$P3947*(1-AG3947)*IFERROR(INDEX(계정대체기준!$D$20:$D$49,MATCH($N3947,계정대체기준!$A$20:$A$49,0)),0)))</f>
        <v/>
      </c>
      <c r="AB3947" s="94">
        <f>IF($A3947="",0,IF(AE3947="직접",IF(AF3947="수금비",$P3947,0),$P3947*(1-AG3947)*IFERROR(INDEX(계정대체기준!$E$20:$E$49,MATCH($N3947,계정대체기준!$A$20:$A$49,0)),0)))</f>
        <v/>
      </c>
      <c r="AC3947" s="9">
        <f>IF(AND($A3947&lt;&gt;"",M3947=설정!$C$20,Z3947&gt;0),Z3947+ROW()/1000000000,"")</f>
        <v/>
      </c>
      <c r="AD3947" s="94">
        <f>IF($A3947="",0,$P3947*AG3947)</f>
        <v/>
      </c>
      <c r="AE3947" s="64">
        <f>IF($A3947="","",IFERROR(INDEX(계정매핑!$E$5:$E$504,MATCH($F3947&amp;"",계정매핑!$A$5:$A$504,0))&amp;"","공통비"))</f>
        <v/>
      </c>
      <c r="AF3947" s="64">
        <f>IF($A3947="","",IF(AE3947="직접",IFERROR(INDEX(계정매핑!$F$5:$F$504,MATCH($F3947&amp;"",계정매핑!$A$5:$A$504,0))&amp;"","비귀속"),""))</f>
        <v/>
      </c>
      <c r="AG3947" s="96">
        <f>IF($A3947="",0,IF(AND(AE3947&lt;&gt;"직접",IFERROR(INDEX(계정매핑!$G$5:$G$504,MATCH($F3947&amp;"",계정매핑!$A$5:$A$504,0))&amp;"","")="유지비",COUNTIF(계정대체기준!$A$6:$A$15,$N3947)&gt;0),IFERROR(INDEX(계정대체기준!$E$6:$E$15,MATCH(VALUE($A3947&amp;""),계정대체기준!$D$6:$D$15,0)),0),0))</f>
        <v/>
      </c>
      <c r="AH3947" s="64">
        <f>IF($A3947="","",IF(AD3947=0,"",IF(OR(COUNTIF(계정대체기준!$A$77:$A$86,$N3947)&gt;0,ISNUMBER(MATCH($X3947,계정대체기준!$D$77:$D$86,0)),ISNUMBER(MATCH($F3947,계정대체기준!$D$77:$D$86,0))),"Y","N")))</f>
        <v/>
      </c>
    </row>
    <row r="3948">
      <c r="A3948" s="92" t="n">
        <v>2026</v>
      </c>
      <c r="B3948" s="92" t="n">
        <v>6</v>
      </c>
      <c r="C3948" s="92" t="inlineStr">
        <is>
          <t>5100001226</t>
        </is>
      </c>
      <c r="D3948" s="95" t="n">
        <v>46184</v>
      </c>
      <c r="E3948" s="92" t="inlineStr">
        <is>
          <t>KR</t>
        </is>
      </c>
      <c r="F3948" s="92" t="n">
        <v>62301000</v>
      </c>
      <c r="G3948" s="92" t="n">
        <v>1201</v>
      </c>
      <c r="H3948" s="93" t="n">
        <v>182000</v>
      </c>
      <c r="I3948" s="92" t="inlineStr">
        <is>
          <t>6월 소모품 구입 - R문구</t>
        </is>
      </c>
      <c r="J3948" s="92" t="inlineStr">
        <is>
          <t>V10022</t>
        </is>
      </c>
      <c r="K3948" s="92" t="inlineStr">
        <is>
          <t>R문구</t>
        </is>
      </c>
      <c r="M3948" s="9">
        <f>IF($A3948="","",VALUE($A3948&amp;"")*12+VALUE($B3948&amp;""))</f>
        <v/>
      </c>
      <c r="N3948" s="64">
        <f>IF($A3948="","",IFERROR(INDEX(부서매핑!$C$5:$C$504,MATCH($G3948&amp;"",부서매핑!$A$5:$A$504,0)),"미매핑"))</f>
        <v/>
      </c>
      <c r="O3948" s="9">
        <f>IF($A3948="","",N3948&amp;"|"&amp;$F3948)</f>
        <v/>
      </c>
      <c r="P3948" s="94">
        <f>IF($A3948="",0,$H3948*설정!$C$23)</f>
        <v/>
      </c>
      <c r="Q3948" s="64">
        <f>IF($A3948="","",IF(O3948&lt;&gt;원인분석!$C$9,"",IF(AND(M3948&gt;=원인분석!$C$10,M3948&lt;=원인분석!$C$11),"당기",IF(AND(M3948&gt;=원인분석!$C$12,M3948&lt;=원인분석!$C$13),"비교",""))))</f>
        <v/>
      </c>
      <c r="R3948" s="9">
        <f>IF(Q3948="","",$K3948&amp;"")</f>
        <v/>
      </c>
      <c r="S3948" s="9">
        <f>IF(Q3948="","",IF(MATCH(R3948,$R$5:$R$100000,0)=ROW()-4,ROW(),""))</f>
        <v/>
      </c>
      <c r="T3948" s="9">
        <f>IF(Q3948="당기",ABS(P3948)+ROW()/1000000000,"")</f>
        <v/>
      </c>
      <c r="U3948" s="9">
        <f>IF(Q3948="비교",ABS(P3948)+ROW()/1000000000,"")</f>
        <v/>
      </c>
      <c r="V3948" s="64">
        <f>IF($A3948="","",IF(COUNTIF(변동분석!$E$7:$E$506,O3948)&gt;0,"Y","N"))</f>
        <v/>
      </c>
      <c r="W3948" s="64">
        <f>IF($A3948="","",IFERROR(INDEX(계정매핑!$D$5:$D$504,MATCH($F3948&amp;"",계정매핑!$A$5:$A$504,0)),"미매핑"))</f>
        <v/>
      </c>
      <c r="X3948" s="9">
        <f>IF($A3948="","",$F3948&amp;"")</f>
        <v/>
      </c>
      <c r="Y3948" s="94">
        <f>IF($A3948="",0,IF(AE3948="직접",IF(AF3948="비귀속",$P3948,0),$P3948*(1-AG3948)*IFERROR(INDEX(계정대체기준!$F$20:$F$49,MATCH($N3948,계정대체기준!$A$20:$A$49,0)),1)))</f>
        <v/>
      </c>
      <c r="Z3948" s="94">
        <f>IF($A3948="",0,IF(AE3948="직접",IF(AF3948="신계약비",$P3948,0),$P3948*(1-AG3948)*IFERROR(INDEX(계정대체기준!$C$20:$C$49,MATCH($N3948,계정대체기준!$A$20:$A$49,0)),0)))</f>
        <v/>
      </c>
      <c r="AA3948" s="94">
        <f>IF($A3948="",0,IF(AE3948="직접",IF(OR(AF3948="유지비",AF3948="손해조사비"),$P3948,0),$P3948*(1-AG3948)*IFERROR(INDEX(계정대체기준!$D$20:$D$49,MATCH($N3948,계정대체기준!$A$20:$A$49,0)),0)))</f>
        <v/>
      </c>
      <c r="AB3948" s="94">
        <f>IF($A3948="",0,IF(AE3948="직접",IF(AF3948="수금비",$P3948,0),$P3948*(1-AG3948)*IFERROR(INDEX(계정대체기준!$E$20:$E$49,MATCH($N3948,계정대체기준!$A$20:$A$49,0)),0)))</f>
        <v/>
      </c>
      <c r="AC3948" s="9">
        <f>IF(AND($A3948&lt;&gt;"",M3948=설정!$C$20,Z3948&gt;0),Z3948+ROW()/1000000000,"")</f>
        <v/>
      </c>
      <c r="AD3948" s="94">
        <f>IF($A3948="",0,$P3948*AG3948)</f>
        <v/>
      </c>
      <c r="AE3948" s="64">
        <f>IF($A3948="","",IFERROR(INDEX(계정매핑!$E$5:$E$504,MATCH($F3948&amp;"",계정매핑!$A$5:$A$504,0))&amp;"","공통비"))</f>
        <v/>
      </c>
      <c r="AF3948" s="64">
        <f>IF($A3948="","",IF(AE3948="직접",IFERROR(INDEX(계정매핑!$F$5:$F$504,MATCH($F3948&amp;"",계정매핑!$A$5:$A$504,0))&amp;"","비귀속"),""))</f>
        <v/>
      </c>
      <c r="AG3948" s="96">
        <f>IF($A3948="",0,IF(AND(AE3948&lt;&gt;"직접",IFERROR(INDEX(계정매핑!$G$5:$G$504,MATCH($F3948&amp;"",계정매핑!$A$5:$A$504,0))&amp;"","")="유지비",COUNTIF(계정대체기준!$A$6:$A$15,$N3948)&gt;0),IFERROR(INDEX(계정대체기준!$E$6:$E$15,MATCH(VALUE($A3948&amp;""),계정대체기준!$D$6:$D$15,0)),0),0))</f>
        <v/>
      </c>
      <c r="AH3948" s="64">
        <f>IF($A3948="","",IF(AD3948=0,"",IF(OR(COUNTIF(계정대체기준!$A$77:$A$86,$N3948)&gt;0,ISNUMBER(MATCH($X3948,계정대체기준!$D$77:$D$86,0)),ISNUMBER(MATCH($F3948,계정대체기준!$D$77:$D$86,0))),"Y","N")))</f>
        <v/>
      </c>
    </row>
    <row r="3949">
      <c r="A3949" s="92" t="n">
        <v>2026</v>
      </c>
      <c r="B3949" s="92" t="n">
        <v>6</v>
      </c>
      <c r="C3949" s="92" t="inlineStr">
        <is>
          <t>5100001227</t>
        </is>
      </c>
      <c r="D3949" s="95" t="n">
        <v>46184</v>
      </c>
      <c r="E3949" s="92" t="inlineStr">
        <is>
          <t>KR</t>
        </is>
      </c>
      <c r="F3949" s="92" t="n">
        <v>62801000</v>
      </c>
      <c r="G3949" s="92" t="n">
        <v>1301</v>
      </c>
      <c r="H3949" s="93" t="n">
        <v>4781000</v>
      </c>
      <c r="I3949" s="92" t="inlineStr">
        <is>
          <t>6월 사내교육 - (사내강사료)</t>
        </is>
      </c>
      <c r="J3949" s="92" t="inlineStr">
        <is>
          <t>V10024</t>
        </is>
      </c>
      <c r="K3949" s="92" t="inlineStr">
        <is>
          <t>(사내강사료)</t>
        </is>
      </c>
      <c r="M3949" s="9">
        <f>IF($A3949="","",VALUE($A3949&amp;"")*12+VALUE($B3949&amp;""))</f>
        <v/>
      </c>
      <c r="N3949" s="64">
        <f>IF($A3949="","",IFERROR(INDEX(부서매핑!$C$5:$C$504,MATCH($G3949&amp;"",부서매핑!$A$5:$A$504,0)),"미매핑"))</f>
        <v/>
      </c>
      <c r="O3949" s="9">
        <f>IF($A3949="","",N3949&amp;"|"&amp;$F3949)</f>
        <v/>
      </c>
      <c r="P3949" s="94">
        <f>IF($A3949="",0,$H3949*설정!$C$23)</f>
        <v/>
      </c>
      <c r="Q3949" s="64">
        <f>IF($A3949="","",IF(O3949&lt;&gt;원인분석!$C$9,"",IF(AND(M3949&gt;=원인분석!$C$10,M3949&lt;=원인분석!$C$11),"당기",IF(AND(M3949&gt;=원인분석!$C$12,M3949&lt;=원인분석!$C$13),"비교",""))))</f>
        <v/>
      </c>
      <c r="R3949" s="9">
        <f>IF(Q3949="","",$K3949&amp;"")</f>
        <v/>
      </c>
      <c r="S3949" s="9">
        <f>IF(Q3949="","",IF(MATCH(R3949,$R$5:$R$100000,0)=ROW()-4,ROW(),""))</f>
        <v/>
      </c>
      <c r="T3949" s="9">
        <f>IF(Q3949="당기",ABS(P3949)+ROW()/1000000000,"")</f>
        <v/>
      </c>
      <c r="U3949" s="9">
        <f>IF(Q3949="비교",ABS(P3949)+ROW()/1000000000,"")</f>
        <v/>
      </c>
      <c r="V3949" s="64">
        <f>IF($A3949="","",IF(COUNTIF(변동분석!$E$7:$E$506,O3949)&gt;0,"Y","N"))</f>
        <v/>
      </c>
      <c r="W3949" s="64">
        <f>IF($A3949="","",IFERROR(INDEX(계정매핑!$D$5:$D$504,MATCH($F3949&amp;"",계정매핑!$A$5:$A$504,0)),"미매핑"))</f>
        <v/>
      </c>
      <c r="X3949" s="9">
        <f>IF($A3949="","",$F3949&amp;"")</f>
        <v/>
      </c>
      <c r="Y3949" s="94">
        <f>IF($A3949="",0,IF(AE3949="직접",IF(AF3949="비귀속",$P3949,0),$P3949*(1-AG3949)*IFERROR(INDEX(계정대체기준!$F$20:$F$49,MATCH($N3949,계정대체기준!$A$20:$A$49,0)),1)))</f>
        <v/>
      </c>
      <c r="Z3949" s="94">
        <f>IF($A3949="",0,IF(AE3949="직접",IF(AF3949="신계약비",$P3949,0),$P3949*(1-AG3949)*IFERROR(INDEX(계정대체기준!$C$20:$C$49,MATCH($N3949,계정대체기준!$A$20:$A$49,0)),0)))</f>
        <v/>
      </c>
      <c r="AA3949" s="94">
        <f>IF($A3949="",0,IF(AE3949="직접",IF(OR(AF3949="유지비",AF3949="손해조사비"),$P3949,0),$P3949*(1-AG3949)*IFERROR(INDEX(계정대체기준!$D$20:$D$49,MATCH($N3949,계정대체기준!$A$20:$A$49,0)),0)))</f>
        <v/>
      </c>
      <c r="AB3949" s="94">
        <f>IF($A3949="",0,IF(AE3949="직접",IF(AF3949="수금비",$P3949,0),$P3949*(1-AG3949)*IFERROR(INDEX(계정대체기준!$E$20:$E$49,MATCH($N3949,계정대체기준!$A$20:$A$49,0)),0)))</f>
        <v/>
      </c>
      <c r="AC3949" s="9">
        <f>IF(AND($A3949&lt;&gt;"",M3949=설정!$C$20,Z3949&gt;0),Z3949+ROW()/1000000000,"")</f>
        <v/>
      </c>
      <c r="AD3949" s="94">
        <f>IF($A3949="",0,$P3949*AG3949)</f>
        <v/>
      </c>
      <c r="AE3949" s="64">
        <f>IF($A3949="","",IFERROR(INDEX(계정매핑!$E$5:$E$504,MATCH($F3949&amp;"",계정매핑!$A$5:$A$504,0))&amp;"","공통비"))</f>
        <v/>
      </c>
      <c r="AF3949" s="64">
        <f>IF($A3949="","",IF(AE3949="직접",IFERROR(INDEX(계정매핑!$F$5:$F$504,MATCH($F3949&amp;"",계정매핑!$A$5:$A$504,0))&amp;"","비귀속"),""))</f>
        <v/>
      </c>
      <c r="AG3949" s="96">
        <f>IF($A3949="",0,IF(AND(AE3949&lt;&gt;"직접",IFERROR(INDEX(계정매핑!$G$5:$G$504,MATCH($F3949&amp;"",계정매핑!$A$5:$A$504,0))&amp;"","")="유지비",COUNTIF(계정대체기준!$A$6:$A$15,$N3949)&gt;0),IFERROR(INDEX(계정대체기준!$E$6:$E$15,MATCH(VALUE($A3949&amp;""),계정대체기준!$D$6:$D$15,0)),0),0))</f>
        <v/>
      </c>
      <c r="AH3949" s="64">
        <f>IF($A3949="","",IF(AD3949=0,"",IF(OR(COUNTIF(계정대체기준!$A$77:$A$86,$N3949)&gt;0,ISNUMBER(MATCH($X3949,계정대체기준!$D$77:$D$86,0)),ISNUMBER(MATCH($F3949,계정대체기준!$D$77:$D$86,0))),"Y","N")))</f>
        <v/>
      </c>
    </row>
    <row r="3950">
      <c r="A3950" s="92" t="n">
        <v>2026</v>
      </c>
      <c r="B3950" s="92" t="n">
        <v>6</v>
      </c>
      <c r="C3950" s="92" t="inlineStr">
        <is>
          <t>5100001228</t>
        </is>
      </c>
      <c r="D3950" s="95" t="n">
        <v>46184</v>
      </c>
      <c r="E3950" s="92" t="inlineStr">
        <is>
          <t>KR</t>
        </is>
      </c>
      <c r="F3950" s="92" t="n">
        <v>62901000</v>
      </c>
      <c r="G3950" s="92" t="n">
        <v>1101</v>
      </c>
      <c r="H3950" s="93" t="n">
        <v>3048000</v>
      </c>
      <c r="I3950" s="92" t="inlineStr">
        <is>
          <t>6월 자문 수수료 - W컨설팅</t>
        </is>
      </c>
      <c r="J3950" s="92" t="inlineStr">
        <is>
          <t>V10006</t>
        </is>
      </c>
      <c r="K3950" s="92" t="inlineStr">
        <is>
          <t>W컨설팅</t>
        </is>
      </c>
      <c r="M3950" s="9">
        <f>IF($A3950="","",VALUE($A3950&amp;"")*12+VALUE($B3950&amp;""))</f>
        <v/>
      </c>
      <c r="N3950" s="64">
        <f>IF($A3950="","",IFERROR(INDEX(부서매핑!$C$5:$C$504,MATCH($G3950&amp;"",부서매핑!$A$5:$A$504,0)),"미매핑"))</f>
        <v/>
      </c>
      <c r="O3950" s="9">
        <f>IF($A3950="","",N3950&amp;"|"&amp;$F3950)</f>
        <v/>
      </c>
      <c r="P3950" s="94">
        <f>IF($A3950="",0,$H3950*설정!$C$23)</f>
        <v/>
      </c>
      <c r="Q3950" s="64">
        <f>IF($A3950="","",IF(O3950&lt;&gt;원인분석!$C$9,"",IF(AND(M3950&gt;=원인분석!$C$10,M3950&lt;=원인분석!$C$11),"당기",IF(AND(M3950&gt;=원인분석!$C$12,M3950&lt;=원인분석!$C$13),"비교",""))))</f>
        <v/>
      </c>
      <c r="R3950" s="9">
        <f>IF(Q3950="","",$K3950&amp;"")</f>
        <v/>
      </c>
      <c r="S3950" s="9">
        <f>IF(Q3950="","",IF(MATCH(R3950,$R$5:$R$100000,0)=ROW()-4,ROW(),""))</f>
        <v/>
      </c>
      <c r="T3950" s="9">
        <f>IF(Q3950="당기",ABS(P3950)+ROW()/1000000000,"")</f>
        <v/>
      </c>
      <c r="U3950" s="9">
        <f>IF(Q3950="비교",ABS(P3950)+ROW()/1000000000,"")</f>
        <v/>
      </c>
      <c r="V3950" s="64">
        <f>IF($A3950="","",IF(COUNTIF(변동분석!$E$7:$E$506,O3950)&gt;0,"Y","N"))</f>
        <v/>
      </c>
      <c r="W3950" s="64">
        <f>IF($A3950="","",IFERROR(INDEX(계정매핑!$D$5:$D$504,MATCH($F3950&amp;"",계정매핑!$A$5:$A$504,0)),"미매핑"))</f>
        <v/>
      </c>
      <c r="X3950" s="9">
        <f>IF($A3950="","",$F3950&amp;"")</f>
        <v/>
      </c>
      <c r="Y3950" s="94">
        <f>IF($A3950="",0,IF(AE3950="직접",IF(AF3950="비귀속",$P3950,0),$P3950*(1-AG3950)*IFERROR(INDEX(계정대체기준!$F$20:$F$49,MATCH($N3950,계정대체기준!$A$20:$A$49,0)),1)))</f>
        <v/>
      </c>
      <c r="Z3950" s="94">
        <f>IF($A3950="",0,IF(AE3950="직접",IF(AF3950="신계약비",$P3950,0),$P3950*(1-AG3950)*IFERROR(INDEX(계정대체기준!$C$20:$C$49,MATCH($N3950,계정대체기준!$A$20:$A$49,0)),0)))</f>
        <v/>
      </c>
      <c r="AA3950" s="94">
        <f>IF($A3950="",0,IF(AE3950="직접",IF(OR(AF3950="유지비",AF3950="손해조사비"),$P3950,0),$P3950*(1-AG3950)*IFERROR(INDEX(계정대체기준!$D$20:$D$49,MATCH($N3950,계정대체기준!$A$20:$A$49,0)),0)))</f>
        <v/>
      </c>
      <c r="AB3950" s="94">
        <f>IF($A3950="",0,IF(AE3950="직접",IF(AF3950="수금비",$P3950,0),$P3950*(1-AG3950)*IFERROR(INDEX(계정대체기준!$E$20:$E$49,MATCH($N3950,계정대체기준!$A$20:$A$49,0)),0)))</f>
        <v/>
      </c>
      <c r="AC3950" s="9">
        <f>IF(AND($A3950&lt;&gt;"",M3950=설정!$C$20,Z3950&gt;0),Z3950+ROW()/1000000000,"")</f>
        <v/>
      </c>
      <c r="AD3950" s="94">
        <f>IF($A3950="",0,$P3950*AG3950)</f>
        <v/>
      </c>
      <c r="AE3950" s="64">
        <f>IF($A3950="","",IFERROR(INDEX(계정매핑!$E$5:$E$504,MATCH($F3950&amp;"",계정매핑!$A$5:$A$504,0))&amp;"","공통비"))</f>
        <v/>
      </c>
      <c r="AF3950" s="64">
        <f>IF($A3950="","",IF(AE3950="직접",IFERROR(INDEX(계정매핑!$F$5:$F$504,MATCH($F3950&amp;"",계정매핑!$A$5:$A$504,0))&amp;"","비귀속"),""))</f>
        <v/>
      </c>
      <c r="AG3950" s="96">
        <f>IF($A3950="",0,IF(AND(AE3950&lt;&gt;"직접",IFERROR(INDEX(계정매핑!$G$5:$G$504,MATCH($F3950&amp;"",계정매핑!$A$5:$A$504,0))&amp;"","")="유지비",COUNTIF(계정대체기준!$A$6:$A$15,$N3950)&gt;0),IFERROR(INDEX(계정대체기준!$E$6:$E$15,MATCH(VALUE($A3950&amp;""),계정대체기준!$D$6:$D$15,0)),0),0))</f>
        <v/>
      </c>
      <c r="AH3950" s="64">
        <f>IF($A3950="","",IF(AD3950=0,"",IF(OR(COUNTIF(계정대체기준!$A$77:$A$86,$N3950)&gt;0,ISNUMBER(MATCH($X3950,계정대체기준!$D$77:$D$86,0)),ISNUMBER(MATCH($F3950,계정대체기준!$D$77:$D$86,0))),"Y","N")))</f>
        <v/>
      </c>
    </row>
    <row r="3951">
      <c r="A3951" s="92" t="n">
        <v>2026</v>
      </c>
      <c r="B3951" s="92" t="n">
        <v>6</v>
      </c>
      <c r="C3951" s="92" t="inlineStr">
        <is>
          <t>5100001229</t>
        </is>
      </c>
      <c r="D3951" s="95" t="n">
        <v>46184</v>
      </c>
      <c r="E3951" s="92" t="inlineStr">
        <is>
          <t>KR</t>
        </is>
      </c>
      <c r="F3951" s="92" t="n">
        <v>62901000</v>
      </c>
      <c r="G3951" s="92" t="n">
        <v>1401</v>
      </c>
      <c r="H3951" s="93" t="n">
        <v>9147000</v>
      </c>
      <c r="I3951" s="92" t="inlineStr">
        <is>
          <t>6월 자문 수수료 - W컨설팅</t>
        </is>
      </c>
      <c r="J3951" s="92" t="inlineStr">
        <is>
          <t>V10006</t>
        </is>
      </c>
      <c r="K3951" s="92" t="inlineStr">
        <is>
          <t>W컨설팅</t>
        </is>
      </c>
      <c r="M3951" s="9">
        <f>IF($A3951="","",VALUE($A3951&amp;"")*12+VALUE($B3951&amp;""))</f>
        <v/>
      </c>
      <c r="N3951" s="64">
        <f>IF($A3951="","",IFERROR(INDEX(부서매핑!$C$5:$C$504,MATCH($G3951&amp;"",부서매핑!$A$5:$A$504,0)),"미매핑"))</f>
        <v/>
      </c>
      <c r="O3951" s="9">
        <f>IF($A3951="","",N3951&amp;"|"&amp;$F3951)</f>
        <v/>
      </c>
      <c r="P3951" s="94">
        <f>IF($A3951="",0,$H3951*설정!$C$23)</f>
        <v/>
      </c>
      <c r="Q3951" s="64">
        <f>IF($A3951="","",IF(O3951&lt;&gt;원인분석!$C$9,"",IF(AND(M3951&gt;=원인분석!$C$10,M3951&lt;=원인분석!$C$11),"당기",IF(AND(M3951&gt;=원인분석!$C$12,M3951&lt;=원인분석!$C$13),"비교",""))))</f>
        <v/>
      </c>
      <c r="R3951" s="9">
        <f>IF(Q3951="","",$K3951&amp;"")</f>
        <v/>
      </c>
      <c r="S3951" s="9">
        <f>IF(Q3951="","",IF(MATCH(R3951,$R$5:$R$100000,0)=ROW()-4,ROW(),""))</f>
        <v/>
      </c>
      <c r="T3951" s="9">
        <f>IF(Q3951="당기",ABS(P3951)+ROW()/1000000000,"")</f>
        <v/>
      </c>
      <c r="U3951" s="9">
        <f>IF(Q3951="비교",ABS(P3951)+ROW()/1000000000,"")</f>
        <v/>
      </c>
      <c r="V3951" s="64">
        <f>IF($A3951="","",IF(COUNTIF(변동분석!$E$7:$E$506,O3951)&gt;0,"Y","N"))</f>
        <v/>
      </c>
      <c r="W3951" s="64">
        <f>IF($A3951="","",IFERROR(INDEX(계정매핑!$D$5:$D$504,MATCH($F3951&amp;"",계정매핑!$A$5:$A$504,0)),"미매핑"))</f>
        <v/>
      </c>
      <c r="X3951" s="9">
        <f>IF($A3951="","",$F3951&amp;"")</f>
        <v/>
      </c>
      <c r="Y3951" s="94">
        <f>IF($A3951="",0,IF(AE3951="직접",IF(AF3951="비귀속",$P3951,0),$P3951*(1-AG3951)*IFERROR(INDEX(계정대체기준!$F$20:$F$49,MATCH($N3951,계정대체기준!$A$20:$A$49,0)),1)))</f>
        <v/>
      </c>
      <c r="Z3951" s="94">
        <f>IF($A3951="",0,IF(AE3951="직접",IF(AF3951="신계약비",$P3951,0),$P3951*(1-AG3951)*IFERROR(INDEX(계정대체기준!$C$20:$C$49,MATCH($N3951,계정대체기준!$A$20:$A$49,0)),0)))</f>
        <v/>
      </c>
      <c r="AA3951" s="94">
        <f>IF($A3951="",0,IF(AE3951="직접",IF(OR(AF3951="유지비",AF3951="손해조사비"),$P3951,0),$P3951*(1-AG3951)*IFERROR(INDEX(계정대체기준!$D$20:$D$49,MATCH($N3951,계정대체기준!$A$20:$A$49,0)),0)))</f>
        <v/>
      </c>
      <c r="AB3951" s="94">
        <f>IF($A3951="",0,IF(AE3951="직접",IF(AF3951="수금비",$P3951,0),$P3951*(1-AG3951)*IFERROR(INDEX(계정대체기준!$E$20:$E$49,MATCH($N3951,계정대체기준!$A$20:$A$49,0)),0)))</f>
        <v/>
      </c>
      <c r="AC3951" s="9">
        <f>IF(AND($A3951&lt;&gt;"",M3951=설정!$C$20,Z3951&gt;0),Z3951+ROW()/1000000000,"")</f>
        <v/>
      </c>
      <c r="AD3951" s="94">
        <f>IF($A3951="",0,$P3951*AG3951)</f>
        <v/>
      </c>
      <c r="AE3951" s="64">
        <f>IF($A3951="","",IFERROR(INDEX(계정매핑!$E$5:$E$504,MATCH($F3951&amp;"",계정매핑!$A$5:$A$504,0))&amp;"","공통비"))</f>
        <v/>
      </c>
      <c r="AF3951" s="64">
        <f>IF($A3951="","",IF(AE3951="직접",IFERROR(INDEX(계정매핑!$F$5:$F$504,MATCH($F3951&amp;"",계정매핑!$A$5:$A$504,0))&amp;"","비귀속"),""))</f>
        <v/>
      </c>
      <c r="AG3951" s="96">
        <f>IF($A3951="",0,IF(AND(AE3951&lt;&gt;"직접",IFERROR(INDEX(계정매핑!$G$5:$G$504,MATCH($F3951&amp;"",계정매핑!$A$5:$A$504,0))&amp;"","")="유지비",COUNTIF(계정대체기준!$A$6:$A$15,$N3951)&gt;0),IFERROR(INDEX(계정대체기준!$E$6:$E$15,MATCH(VALUE($A3951&amp;""),계정대체기준!$D$6:$D$15,0)),0),0))</f>
        <v/>
      </c>
      <c r="AH3951" s="64">
        <f>IF($A3951="","",IF(AD3951=0,"",IF(OR(COUNTIF(계정대체기준!$A$77:$A$86,$N3951)&gt;0,ISNUMBER(MATCH($X3951,계정대체기준!$D$77:$D$86,0)),ISNUMBER(MATCH($F3951,계정대체기준!$D$77:$D$86,0))),"Y","N")))</f>
        <v/>
      </c>
    </row>
    <row r="3952">
      <c r="A3952" s="92" t="n">
        <v>2026</v>
      </c>
      <c r="B3952" s="92" t="n">
        <v>6</v>
      </c>
      <c r="C3952" s="92" t="inlineStr">
        <is>
          <t>5100001230</t>
        </is>
      </c>
      <c r="D3952" s="95" t="n">
        <v>46185</v>
      </c>
      <c r="E3952" s="92" t="inlineStr">
        <is>
          <t>KR</t>
        </is>
      </c>
      <c r="F3952" s="92" t="n">
        <v>62301000</v>
      </c>
      <c r="G3952" s="92" t="n">
        <v>1401</v>
      </c>
      <c r="H3952" s="93" t="n">
        <v>157000</v>
      </c>
      <c r="I3952" s="92" t="inlineStr">
        <is>
          <t>6월 소모품 구입 - Q오피스</t>
        </is>
      </c>
      <c r="J3952" s="92" t="inlineStr">
        <is>
          <t>V10003</t>
        </is>
      </c>
      <c r="K3952" s="92" t="inlineStr">
        <is>
          <t>Q오피스</t>
        </is>
      </c>
      <c r="M3952" s="9">
        <f>IF($A3952="","",VALUE($A3952&amp;"")*12+VALUE($B3952&amp;""))</f>
        <v/>
      </c>
      <c r="N3952" s="64">
        <f>IF($A3952="","",IFERROR(INDEX(부서매핑!$C$5:$C$504,MATCH($G3952&amp;"",부서매핑!$A$5:$A$504,0)),"미매핑"))</f>
        <v/>
      </c>
      <c r="O3952" s="9">
        <f>IF($A3952="","",N3952&amp;"|"&amp;$F3952)</f>
        <v/>
      </c>
      <c r="P3952" s="94">
        <f>IF($A3952="",0,$H3952*설정!$C$23)</f>
        <v/>
      </c>
      <c r="Q3952" s="64">
        <f>IF($A3952="","",IF(O3952&lt;&gt;원인분석!$C$9,"",IF(AND(M3952&gt;=원인분석!$C$10,M3952&lt;=원인분석!$C$11),"당기",IF(AND(M3952&gt;=원인분석!$C$12,M3952&lt;=원인분석!$C$13),"비교",""))))</f>
        <v/>
      </c>
      <c r="R3952" s="9">
        <f>IF(Q3952="","",$K3952&amp;"")</f>
        <v/>
      </c>
      <c r="S3952" s="9">
        <f>IF(Q3952="","",IF(MATCH(R3952,$R$5:$R$100000,0)=ROW()-4,ROW(),""))</f>
        <v/>
      </c>
      <c r="T3952" s="9">
        <f>IF(Q3952="당기",ABS(P3952)+ROW()/1000000000,"")</f>
        <v/>
      </c>
      <c r="U3952" s="9">
        <f>IF(Q3952="비교",ABS(P3952)+ROW()/1000000000,"")</f>
        <v/>
      </c>
      <c r="V3952" s="64">
        <f>IF($A3952="","",IF(COUNTIF(변동분석!$E$7:$E$506,O3952)&gt;0,"Y","N"))</f>
        <v/>
      </c>
      <c r="W3952" s="64">
        <f>IF($A3952="","",IFERROR(INDEX(계정매핑!$D$5:$D$504,MATCH($F3952&amp;"",계정매핑!$A$5:$A$504,0)),"미매핑"))</f>
        <v/>
      </c>
      <c r="X3952" s="9">
        <f>IF($A3952="","",$F3952&amp;"")</f>
        <v/>
      </c>
      <c r="Y3952" s="94">
        <f>IF($A3952="",0,IF(AE3952="직접",IF(AF3952="비귀속",$P3952,0),$P3952*(1-AG3952)*IFERROR(INDEX(계정대체기준!$F$20:$F$49,MATCH($N3952,계정대체기준!$A$20:$A$49,0)),1)))</f>
        <v/>
      </c>
      <c r="Z3952" s="94">
        <f>IF($A3952="",0,IF(AE3952="직접",IF(AF3952="신계약비",$P3952,0),$P3952*(1-AG3952)*IFERROR(INDEX(계정대체기준!$C$20:$C$49,MATCH($N3952,계정대체기준!$A$20:$A$49,0)),0)))</f>
        <v/>
      </c>
      <c r="AA3952" s="94">
        <f>IF($A3952="",0,IF(AE3952="직접",IF(OR(AF3952="유지비",AF3952="손해조사비"),$P3952,0),$P3952*(1-AG3952)*IFERROR(INDEX(계정대체기준!$D$20:$D$49,MATCH($N3952,계정대체기준!$A$20:$A$49,0)),0)))</f>
        <v/>
      </c>
      <c r="AB3952" s="94">
        <f>IF($A3952="",0,IF(AE3952="직접",IF(AF3952="수금비",$P3952,0),$P3952*(1-AG3952)*IFERROR(INDEX(계정대체기준!$E$20:$E$49,MATCH($N3952,계정대체기준!$A$20:$A$49,0)),0)))</f>
        <v/>
      </c>
      <c r="AC3952" s="9">
        <f>IF(AND($A3952&lt;&gt;"",M3952=설정!$C$20,Z3952&gt;0),Z3952+ROW()/1000000000,"")</f>
        <v/>
      </c>
      <c r="AD3952" s="94">
        <f>IF($A3952="",0,$P3952*AG3952)</f>
        <v/>
      </c>
      <c r="AE3952" s="64">
        <f>IF($A3952="","",IFERROR(INDEX(계정매핑!$E$5:$E$504,MATCH($F3952&amp;"",계정매핑!$A$5:$A$504,0))&amp;"","공통비"))</f>
        <v/>
      </c>
      <c r="AF3952" s="64">
        <f>IF($A3952="","",IF(AE3952="직접",IFERROR(INDEX(계정매핑!$F$5:$F$504,MATCH($F3952&amp;"",계정매핑!$A$5:$A$504,0))&amp;"","비귀속"),""))</f>
        <v/>
      </c>
      <c r="AG3952" s="96">
        <f>IF($A3952="",0,IF(AND(AE3952&lt;&gt;"직접",IFERROR(INDEX(계정매핑!$G$5:$G$504,MATCH($F3952&amp;"",계정매핑!$A$5:$A$504,0))&amp;"","")="유지비",COUNTIF(계정대체기준!$A$6:$A$15,$N3952)&gt;0),IFERROR(INDEX(계정대체기준!$E$6:$E$15,MATCH(VALUE($A3952&amp;""),계정대체기준!$D$6:$D$15,0)),0),0))</f>
        <v/>
      </c>
      <c r="AH3952" s="64">
        <f>IF($A3952="","",IF(AD3952=0,"",IF(OR(COUNTIF(계정대체기준!$A$77:$A$86,$N3952)&gt;0,ISNUMBER(MATCH($X3952,계정대체기준!$D$77:$D$86,0)),ISNUMBER(MATCH($F3952,계정대체기준!$D$77:$D$86,0))),"Y","N")))</f>
        <v/>
      </c>
    </row>
    <row r="3953">
      <c r="A3953" s="92" t="n">
        <v>2026</v>
      </c>
      <c r="B3953" s="92" t="n">
        <v>6</v>
      </c>
      <c r="C3953" s="92" t="inlineStr">
        <is>
          <t>5100001231</t>
        </is>
      </c>
      <c r="D3953" s="95" t="n">
        <v>46185</v>
      </c>
      <c r="E3953" s="92" t="inlineStr">
        <is>
          <t>KR</t>
        </is>
      </c>
      <c r="F3953" s="92" t="n">
        <v>62301000</v>
      </c>
      <c r="G3953" s="92" t="n">
        <v>1801</v>
      </c>
      <c r="H3953" s="93" t="n">
        <v>300000</v>
      </c>
      <c r="I3953" s="92" t="inlineStr">
        <is>
          <t>6월 소모품 구입 - Q오피스</t>
        </is>
      </c>
      <c r="J3953" s="92" t="inlineStr">
        <is>
          <t>V10003</t>
        </is>
      </c>
      <c r="K3953" s="92" t="inlineStr">
        <is>
          <t>Q오피스</t>
        </is>
      </c>
      <c r="M3953" s="9">
        <f>IF($A3953="","",VALUE($A3953&amp;"")*12+VALUE($B3953&amp;""))</f>
        <v/>
      </c>
      <c r="N3953" s="64">
        <f>IF($A3953="","",IFERROR(INDEX(부서매핑!$C$5:$C$504,MATCH($G3953&amp;"",부서매핑!$A$5:$A$504,0)),"미매핑"))</f>
        <v/>
      </c>
      <c r="O3953" s="9">
        <f>IF($A3953="","",N3953&amp;"|"&amp;$F3953)</f>
        <v/>
      </c>
      <c r="P3953" s="94">
        <f>IF($A3953="",0,$H3953*설정!$C$23)</f>
        <v/>
      </c>
      <c r="Q3953" s="64">
        <f>IF($A3953="","",IF(O3953&lt;&gt;원인분석!$C$9,"",IF(AND(M3953&gt;=원인분석!$C$10,M3953&lt;=원인분석!$C$11),"당기",IF(AND(M3953&gt;=원인분석!$C$12,M3953&lt;=원인분석!$C$13),"비교",""))))</f>
        <v/>
      </c>
      <c r="R3953" s="9">
        <f>IF(Q3953="","",$K3953&amp;"")</f>
        <v/>
      </c>
      <c r="S3953" s="9">
        <f>IF(Q3953="","",IF(MATCH(R3953,$R$5:$R$100000,0)=ROW()-4,ROW(),""))</f>
        <v/>
      </c>
      <c r="T3953" s="9">
        <f>IF(Q3953="당기",ABS(P3953)+ROW()/1000000000,"")</f>
        <v/>
      </c>
      <c r="U3953" s="9">
        <f>IF(Q3953="비교",ABS(P3953)+ROW()/1000000000,"")</f>
        <v/>
      </c>
      <c r="V3953" s="64">
        <f>IF($A3953="","",IF(COUNTIF(변동분석!$E$7:$E$506,O3953)&gt;0,"Y","N"))</f>
        <v/>
      </c>
      <c r="W3953" s="64">
        <f>IF($A3953="","",IFERROR(INDEX(계정매핑!$D$5:$D$504,MATCH($F3953&amp;"",계정매핑!$A$5:$A$504,0)),"미매핑"))</f>
        <v/>
      </c>
      <c r="X3953" s="9">
        <f>IF($A3953="","",$F3953&amp;"")</f>
        <v/>
      </c>
      <c r="Y3953" s="94">
        <f>IF($A3953="",0,IF(AE3953="직접",IF(AF3953="비귀속",$P3953,0),$P3953*(1-AG3953)*IFERROR(INDEX(계정대체기준!$F$20:$F$49,MATCH($N3953,계정대체기준!$A$20:$A$49,0)),1)))</f>
        <v/>
      </c>
      <c r="Z3953" s="94">
        <f>IF($A3953="",0,IF(AE3953="직접",IF(AF3953="신계약비",$P3953,0),$P3953*(1-AG3953)*IFERROR(INDEX(계정대체기준!$C$20:$C$49,MATCH($N3953,계정대체기준!$A$20:$A$49,0)),0)))</f>
        <v/>
      </c>
      <c r="AA3953" s="94">
        <f>IF($A3953="",0,IF(AE3953="직접",IF(OR(AF3953="유지비",AF3953="손해조사비"),$P3953,0),$P3953*(1-AG3953)*IFERROR(INDEX(계정대체기준!$D$20:$D$49,MATCH($N3953,계정대체기준!$A$20:$A$49,0)),0)))</f>
        <v/>
      </c>
      <c r="AB3953" s="94">
        <f>IF($A3953="",0,IF(AE3953="직접",IF(AF3953="수금비",$P3953,0),$P3953*(1-AG3953)*IFERROR(INDEX(계정대체기준!$E$20:$E$49,MATCH($N3953,계정대체기준!$A$20:$A$49,0)),0)))</f>
        <v/>
      </c>
      <c r="AC3953" s="9">
        <f>IF(AND($A3953&lt;&gt;"",M3953=설정!$C$20,Z3953&gt;0),Z3953+ROW()/1000000000,"")</f>
        <v/>
      </c>
      <c r="AD3953" s="94">
        <f>IF($A3953="",0,$P3953*AG3953)</f>
        <v/>
      </c>
      <c r="AE3953" s="64">
        <f>IF($A3953="","",IFERROR(INDEX(계정매핑!$E$5:$E$504,MATCH($F3953&amp;"",계정매핑!$A$5:$A$504,0))&amp;"","공통비"))</f>
        <v/>
      </c>
      <c r="AF3953" s="64">
        <f>IF($A3953="","",IF(AE3953="직접",IFERROR(INDEX(계정매핑!$F$5:$F$504,MATCH($F3953&amp;"",계정매핑!$A$5:$A$504,0))&amp;"","비귀속"),""))</f>
        <v/>
      </c>
      <c r="AG3953" s="96">
        <f>IF($A3953="",0,IF(AND(AE3953&lt;&gt;"직접",IFERROR(INDEX(계정매핑!$G$5:$G$504,MATCH($F3953&amp;"",계정매핑!$A$5:$A$504,0))&amp;"","")="유지비",COUNTIF(계정대체기준!$A$6:$A$15,$N3953)&gt;0),IFERROR(INDEX(계정대체기준!$E$6:$E$15,MATCH(VALUE($A3953&amp;""),계정대체기준!$D$6:$D$15,0)),0),0))</f>
        <v/>
      </c>
      <c r="AH3953" s="64">
        <f>IF($A3953="","",IF(AD3953=0,"",IF(OR(COUNTIF(계정대체기준!$A$77:$A$86,$N3953)&gt;0,ISNUMBER(MATCH($X3953,계정대체기준!$D$77:$D$86,0)),ISNUMBER(MATCH($F3953,계정대체기준!$D$77:$D$86,0))),"Y","N")))</f>
        <v/>
      </c>
    </row>
    <row r="3954">
      <c r="A3954" s="92" t="n">
        <v>2026</v>
      </c>
      <c r="B3954" s="92" t="n">
        <v>6</v>
      </c>
      <c r="C3954" s="92" t="inlineStr">
        <is>
          <t>5100001232</t>
        </is>
      </c>
      <c r="D3954" s="95" t="n">
        <v>46185</v>
      </c>
      <c r="E3954" s="92" t="inlineStr">
        <is>
          <t>KR</t>
        </is>
      </c>
      <c r="F3954" s="92" t="n">
        <v>62501000</v>
      </c>
      <c r="G3954" s="92" t="n">
        <v>1401</v>
      </c>
      <c r="H3954" s="93" t="n">
        <v>105000</v>
      </c>
      <c r="I3954" s="92" t="inlineStr">
        <is>
          <t>6월 회의 다과 - T케이터링</t>
        </is>
      </c>
      <c r="J3954" s="92" t="inlineStr">
        <is>
          <t>V10005</t>
        </is>
      </c>
      <c r="K3954" s="92" t="inlineStr">
        <is>
          <t>T케이터링</t>
        </is>
      </c>
      <c r="M3954" s="9">
        <f>IF($A3954="","",VALUE($A3954&amp;"")*12+VALUE($B3954&amp;""))</f>
        <v/>
      </c>
      <c r="N3954" s="64">
        <f>IF($A3954="","",IFERROR(INDEX(부서매핑!$C$5:$C$504,MATCH($G3954&amp;"",부서매핑!$A$5:$A$504,0)),"미매핑"))</f>
        <v/>
      </c>
      <c r="O3954" s="9">
        <f>IF($A3954="","",N3954&amp;"|"&amp;$F3954)</f>
        <v/>
      </c>
      <c r="P3954" s="94">
        <f>IF($A3954="",0,$H3954*설정!$C$23)</f>
        <v/>
      </c>
      <c r="Q3954" s="64">
        <f>IF($A3954="","",IF(O3954&lt;&gt;원인분석!$C$9,"",IF(AND(M3954&gt;=원인분석!$C$10,M3954&lt;=원인분석!$C$11),"당기",IF(AND(M3954&gt;=원인분석!$C$12,M3954&lt;=원인분석!$C$13),"비교",""))))</f>
        <v/>
      </c>
      <c r="R3954" s="9">
        <f>IF(Q3954="","",$K3954&amp;"")</f>
        <v/>
      </c>
      <c r="S3954" s="9">
        <f>IF(Q3954="","",IF(MATCH(R3954,$R$5:$R$100000,0)=ROW()-4,ROW(),""))</f>
        <v/>
      </c>
      <c r="T3954" s="9">
        <f>IF(Q3954="당기",ABS(P3954)+ROW()/1000000000,"")</f>
        <v/>
      </c>
      <c r="U3954" s="9">
        <f>IF(Q3954="비교",ABS(P3954)+ROW()/1000000000,"")</f>
        <v/>
      </c>
      <c r="V3954" s="64">
        <f>IF($A3954="","",IF(COUNTIF(변동분석!$E$7:$E$506,O3954)&gt;0,"Y","N"))</f>
        <v/>
      </c>
      <c r="W3954" s="64">
        <f>IF($A3954="","",IFERROR(INDEX(계정매핑!$D$5:$D$504,MATCH($F3954&amp;"",계정매핑!$A$5:$A$504,0)),"미매핑"))</f>
        <v/>
      </c>
      <c r="X3954" s="9">
        <f>IF($A3954="","",$F3954&amp;"")</f>
        <v/>
      </c>
      <c r="Y3954" s="94">
        <f>IF($A3954="",0,IF(AE3954="직접",IF(AF3954="비귀속",$P3954,0),$P3954*(1-AG3954)*IFERROR(INDEX(계정대체기준!$F$20:$F$49,MATCH($N3954,계정대체기준!$A$20:$A$49,0)),1)))</f>
        <v/>
      </c>
      <c r="Z3954" s="94">
        <f>IF($A3954="",0,IF(AE3954="직접",IF(AF3954="신계약비",$P3954,0),$P3954*(1-AG3954)*IFERROR(INDEX(계정대체기준!$C$20:$C$49,MATCH($N3954,계정대체기준!$A$20:$A$49,0)),0)))</f>
        <v/>
      </c>
      <c r="AA3954" s="94">
        <f>IF($A3954="",0,IF(AE3954="직접",IF(OR(AF3954="유지비",AF3954="손해조사비"),$P3954,0),$P3954*(1-AG3954)*IFERROR(INDEX(계정대체기준!$D$20:$D$49,MATCH($N3954,계정대체기준!$A$20:$A$49,0)),0)))</f>
        <v/>
      </c>
      <c r="AB3954" s="94">
        <f>IF($A3954="",0,IF(AE3954="직접",IF(AF3954="수금비",$P3954,0),$P3954*(1-AG3954)*IFERROR(INDEX(계정대체기준!$E$20:$E$49,MATCH($N3954,계정대체기준!$A$20:$A$49,0)),0)))</f>
        <v/>
      </c>
      <c r="AC3954" s="9">
        <f>IF(AND($A3954&lt;&gt;"",M3954=설정!$C$20,Z3954&gt;0),Z3954+ROW()/1000000000,"")</f>
        <v/>
      </c>
      <c r="AD3954" s="94">
        <f>IF($A3954="",0,$P3954*AG3954)</f>
        <v/>
      </c>
      <c r="AE3954" s="64">
        <f>IF($A3954="","",IFERROR(INDEX(계정매핑!$E$5:$E$504,MATCH($F3954&amp;"",계정매핑!$A$5:$A$504,0))&amp;"","공통비"))</f>
        <v/>
      </c>
      <c r="AF3954" s="64">
        <f>IF($A3954="","",IF(AE3954="직접",IFERROR(INDEX(계정매핑!$F$5:$F$504,MATCH($F3954&amp;"",계정매핑!$A$5:$A$504,0))&amp;"","비귀속"),""))</f>
        <v/>
      </c>
      <c r="AG3954" s="96">
        <f>IF($A3954="",0,IF(AND(AE3954&lt;&gt;"직접",IFERROR(INDEX(계정매핑!$G$5:$G$504,MATCH($F3954&amp;"",계정매핑!$A$5:$A$504,0))&amp;"","")="유지비",COUNTIF(계정대체기준!$A$6:$A$15,$N3954)&gt;0),IFERROR(INDEX(계정대체기준!$E$6:$E$15,MATCH(VALUE($A3954&amp;""),계정대체기준!$D$6:$D$15,0)),0),0))</f>
        <v/>
      </c>
      <c r="AH3954" s="64">
        <f>IF($A3954="","",IF(AD3954=0,"",IF(OR(COUNTIF(계정대체기준!$A$77:$A$86,$N3954)&gt;0,ISNUMBER(MATCH($X3954,계정대체기준!$D$77:$D$86,0)),ISNUMBER(MATCH($F3954,계정대체기준!$D$77:$D$86,0))),"Y","N")))</f>
        <v/>
      </c>
    </row>
    <row r="3955">
      <c r="A3955" s="92" t="n">
        <v>2026</v>
      </c>
      <c r="B3955" s="92" t="n">
        <v>6</v>
      </c>
      <c r="C3955" s="92" t="inlineStr">
        <is>
          <t>5100001233</t>
        </is>
      </c>
      <c r="D3955" s="95" t="n">
        <v>46185</v>
      </c>
      <c r="E3955" s="92" t="inlineStr">
        <is>
          <t>KR</t>
        </is>
      </c>
      <c r="F3955" s="92" t="n">
        <v>62701000</v>
      </c>
      <c r="G3955" s="92" t="n">
        <v>1502</v>
      </c>
      <c r="H3955" s="93" t="n">
        <v>40911000</v>
      </c>
      <c r="I3955" s="92" t="inlineStr">
        <is>
          <t>6월 광고 집행 - E미디어</t>
        </is>
      </c>
      <c r="J3955" s="92" t="inlineStr">
        <is>
          <t>V10033</t>
        </is>
      </c>
      <c r="K3955" s="92" t="inlineStr">
        <is>
          <t>E미디어</t>
        </is>
      </c>
      <c r="M3955" s="9">
        <f>IF($A3955="","",VALUE($A3955&amp;"")*12+VALUE($B3955&amp;""))</f>
        <v/>
      </c>
      <c r="N3955" s="64">
        <f>IF($A3955="","",IFERROR(INDEX(부서매핑!$C$5:$C$504,MATCH($G3955&amp;"",부서매핑!$A$5:$A$504,0)),"미매핑"))</f>
        <v/>
      </c>
      <c r="O3955" s="9">
        <f>IF($A3955="","",N3955&amp;"|"&amp;$F3955)</f>
        <v/>
      </c>
      <c r="P3955" s="94">
        <f>IF($A3955="",0,$H3955*설정!$C$23)</f>
        <v/>
      </c>
      <c r="Q3955" s="64">
        <f>IF($A3955="","",IF(O3955&lt;&gt;원인분석!$C$9,"",IF(AND(M3955&gt;=원인분석!$C$10,M3955&lt;=원인분석!$C$11),"당기",IF(AND(M3955&gt;=원인분석!$C$12,M3955&lt;=원인분석!$C$13),"비교",""))))</f>
        <v/>
      </c>
      <c r="R3955" s="9">
        <f>IF(Q3955="","",$K3955&amp;"")</f>
        <v/>
      </c>
      <c r="S3955" s="9">
        <f>IF(Q3955="","",IF(MATCH(R3955,$R$5:$R$100000,0)=ROW()-4,ROW(),""))</f>
        <v/>
      </c>
      <c r="T3955" s="9">
        <f>IF(Q3955="당기",ABS(P3955)+ROW()/1000000000,"")</f>
        <v/>
      </c>
      <c r="U3955" s="9">
        <f>IF(Q3955="비교",ABS(P3955)+ROW()/1000000000,"")</f>
        <v/>
      </c>
      <c r="V3955" s="64">
        <f>IF($A3955="","",IF(COUNTIF(변동분석!$E$7:$E$506,O3955)&gt;0,"Y","N"))</f>
        <v/>
      </c>
      <c r="W3955" s="64">
        <f>IF($A3955="","",IFERROR(INDEX(계정매핑!$D$5:$D$504,MATCH($F3955&amp;"",계정매핑!$A$5:$A$504,0)),"미매핑"))</f>
        <v/>
      </c>
      <c r="X3955" s="9">
        <f>IF($A3955="","",$F3955&amp;"")</f>
        <v/>
      </c>
      <c r="Y3955" s="94">
        <f>IF($A3955="",0,IF(AE3955="직접",IF(AF3955="비귀속",$P3955,0),$P3955*(1-AG3955)*IFERROR(INDEX(계정대체기준!$F$20:$F$49,MATCH($N3955,계정대체기준!$A$20:$A$49,0)),1)))</f>
        <v/>
      </c>
      <c r="Z3955" s="94">
        <f>IF($A3955="",0,IF(AE3955="직접",IF(AF3955="신계약비",$P3955,0),$P3955*(1-AG3955)*IFERROR(INDEX(계정대체기준!$C$20:$C$49,MATCH($N3955,계정대체기준!$A$20:$A$49,0)),0)))</f>
        <v/>
      </c>
      <c r="AA3955" s="94">
        <f>IF($A3955="",0,IF(AE3955="직접",IF(OR(AF3955="유지비",AF3955="손해조사비"),$P3955,0),$P3955*(1-AG3955)*IFERROR(INDEX(계정대체기준!$D$20:$D$49,MATCH($N3955,계정대체기준!$A$20:$A$49,0)),0)))</f>
        <v/>
      </c>
      <c r="AB3955" s="94">
        <f>IF($A3955="",0,IF(AE3955="직접",IF(AF3955="수금비",$P3955,0),$P3955*(1-AG3955)*IFERROR(INDEX(계정대체기준!$E$20:$E$49,MATCH($N3955,계정대체기준!$A$20:$A$49,0)),0)))</f>
        <v/>
      </c>
      <c r="AC3955" s="9">
        <f>IF(AND($A3955&lt;&gt;"",M3955=설정!$C$20,Z3955&gt;0),Z3955+ROW()/1000000000,"")</f>
        <v/>
      </c>
      <c r="AD3955" s="94">
        <f>IF($A3955="",0,$P3955*AG3955)</f>
        <v/>
      </c>
      <c r="AE3955" s="64">
        <f>IF($A3955="","",IFERROR(INDEX(계정매핑!$E$5:$E$504,MATCH($F3955&amp;"",계정매핑!$A$5:$A$504,0))&amp;"","공통비"))</f>
        <v/>
      </c>
      <c r="AF3955" s="64">
        <f>IF($A3955="","",IF(AE3955="직접",IFERROR(INDEX(계정매핑!$F$5:$F$504,MATCH($F3955&amp;"",계정매핑!$A$5:$A$504,0))&amp;"","비귀속"),""))</f>
        <v/>
      </c>
      <c r="AG3955" s="96">
        <f>IF($A3955="",0,IF(AND(AE3955&lt;&gt;"직접",IFERROR(INDEX(계정매핑!$G$5:$G$504,MATCH($F3955&amp;"",계정매핑!$A$5:$A$504,0))&amp;"","")="유지비",COUNTIF(계정대체기준!$A$6:$A$15,$N3955)&gt;0),IFERROR(INDEX(계정대체기준!$E$6:$E$15,MATCH(VALUE($A3955&amp;""),계정대체기준!$D$6:$D$15,0)),0),0))</f>
        <v/>
      </c>
      <c r="AH3955" s="64">
        <f>IF($A3955="","",IF(AD3955=0,"",IF(OR(COUNTIF(계정대체기준!$A$77:$A$86,$N3955)&gt;0,ISNUMBER(MATCH($X3955,계정대체기준!$D$77:$D$86,0)),ISNUMBER(MATCH($F3955,계정대체기준!$D$77:$D$86,0))),"Y","N")))</f>
        <v/>
      </c>
    </row>
    <row r="3956">
      <c r="A3956" s="92" t="n">
        <v>2026</v>
      </c>
      <c r="B3956" s="92" t="n">
        <v>6</v>
      </c>
      <c r="C3956" s="92" t="inlineStr">
        <is>
          <t>5100001234</t>
        </is>
      </c>
      <c r="D3956" s="95" t="n">
        <v>46185</v>
      </c>
      <c r="E3956" s="92" t="inlineStr">
        <is>
          <t>KR</t>
        </is>
      </c>
      <c r="F3956" s="92" t="n">
        <v>62902000</v>
      </c>
      <c r="G3956" s="92" t="n">
        <v>1801</v>
      </c>
      <c r="H3956" s="93" t="n">
        <v>1851000</v>
      </c>
      <c r="I3956" s="92" t="inlineStr">
        <is>
          <t>6월 콜 위탁 수수료(건별)</t>
        </is>
      </c>
      <c r="J3956" s="92" t="inlineStr">
        <is>
          <t>V10016</t>
        </is>
      </c>
      <c r="K3956" s="92" t="inlineStr">
        <is>
          <t>J콜센터</t>
        </is>
      </c>
      <c r="M3956" s="9">
        <f>IF($A3956="","",VALUE($A3956&amp;"")*12+VALUE($B3956&amp;""))</f>
        <v/>
      </c>
      <c r="N3956" s="64">
        <f>IF($A3956="","",IFERROR(INDEX(부서매핑!$C$5:$C$504,MATCH($G3956&amp;"",부서매핑!$A$5:$A$504,0)),"미매핑"))</f>
        <v/>
      </c>
      <c r="O3956" s="9">
        <f>IF($A3956="","",N3956&amp;"|"&amp;$F3956)</f>
        <v/>
      </c>
      <c r="P3956" s="94">
        <f>IF($A3956="",0,$H3956*설정!$C$23)</f>
        <v/>
      </c>
      <c r="Q3956" s="64">
        <f>IF($A3956="","",IF(O3956&lt;&gt;원인분석!$C$9,"",IF(AND(M3956&gt;=원인분석!$C$10,M3956&lt;=원인분석!$C$11),"당기",IF(AND(M3956&gt;=원인분석!$C$12,M3956&lt;=원인분석!$C$13),"비교",""))))</f>
        <v/>
      </c>
      <c r="R3956" s="9">
        <f>IF(Q3956="","",$K3956&amp;"")</f>
        <v/>
      </c>
      <c r="S3956" s="9">
        <f>IF(Q3956="","",IF(MATCH(R3956,$R$5:$R$100000,0)=ROW()-4,ROW(),""))</f>
        <v/>
      </c>
      <c r="T3956" s="9">
        <f>IF(Q3956="당기",ABS(P3956)+ROW()/1000000000,"")</f>
        <v/>
      </c>
      <c r="U3956" s="9">
        <f>IF(Q3956="비교",ABS(P3956)+ROW()/1000000000,"")</f>
        <v/>
      </c>
      <c r="V3956" s="64">
        <f>IF($A3956="","",IF(COUNTIF(변동분석!$E$7:$E$506,O3956)&gt;0,"Y","N"))</f>
        <v/>
      </c>
      <c r="W3956" s="64">
        <f>IF($A3956="","",IFERROR(INDEX(계정매핑!$D$5:$D$504,MATCH($F3956&amp;"",계정매핑!$A$5:$A$504,0)),"미매핑"))</f>
        <v/>
      </c>
      <c r="X3956" s="9">
        <f>IF($A3956="","",$F3956&amp;"")</f>
        <v/>
      </c>
      <c r="Y3956" s="94">
        <f>IF($A3956="",0,IF(AE3956="직접",IF(AF3956="비귀속",$P3956,0),$P3956*(1-AG3956)*IFERROR(INDEX(계정대체기준!$F$20:$F$49,MATCH($N3956,계정대체기준!$A$20:$A$49,0)),1)))</f>
        <v/>
      </c>
      <c r="Z3956" s="94">
        <f>IF($A3956="",0,IF(AE3956="직접",IF(AF3956="신계약비",$P3956,0),$P3956*(1-AG3956)*IFERROR(INDEX(계정대체기준!$C$20:$C$49,MATCH($N3956,계정대체기준!$A$20:$A$49,0)),0)))</f>
        <v/>
      </c>
      <c r="AA3956" s="94">
        <f>IF($A3956="",0,IF(AE3956="직접",IF(OR(AF3956="유지비",AF3956="손해조사비"),$P3956,0),$P3956*(1-AG3956)*IFERROR(INDEX(계정대체기준!$D$20:$D$49,MATCH($N3956,계정대체기준!$A$20:$A$49,0)),0)))</f>
        <v/>
      </c>
      <c r="AB3956" s="94">
        <f>IF($A3956="",0,IF(AE3956="직접",IF(AF3956="수금비",$P3956,0),$P3956*(1-AG3956)*IFERROR(INDEX(계정대체기준!$E$20:$E$49,MATCH($N3956,계정대체기준!$A$20:$A$49,0)),0)))</f>
        <v/>
      </c>
      <c r="AC3956" s="9">
        <f>IF(AND($A3956&lt;&gt;"",M3956=설정!$C$20,Z3956&gt;0),Z3956+ROW()/1000000000,"")</f>
        <v/>
      </c>
      <c r="AD3956" s="94">
        <f>IF($A3956="",0,$P3956*AG3956)</f>
        <v/>
      </c>
      <c r="AE3956" s="64">
        <f>IF($A3956="","",IFERROR(INDEX(계정매핑!$E$5:$E$504,MATCH($F3956&amp;"",계정매핑!$A$5:$A$504,0))&amp;"","공통비"))</f>
        <v/>
      </c>
      <c r="AF3956" s="64">
        <f>IF($A3956="","",IF(AE3956="직접",IFERROR(INDEX(계정매핑!$F$5:$F$504,MATCH($F3956&amp;"",계정매핑!$A$5:$A$504,0))&amp;"","비귀속"),""))</f>
        <v/>
      </c>
      <c r="AG3956" s="96">
        <f>IF($A3956="",0,IF(AND(AE3956&lt;&gt;"직접",IFERROR(INDEX(계정매핑!$G$5:$G$504,MATCH($F3956&amp;"",계정매핑!$A$5:$A$504,0))&amp;"","")="유지비",COUNTIF(계정대체기준!$A$6:$A$15,$N3956)&gt;0),IFERROR(INDEX(계정대체기준!$E$6:$E$15,MATCH(VALUE($A3956&amp;""),계정대체기준!$D$6:$D$15,0)),0),0))</f>
        <v/>
      </c>
      <c r="AH3956" s="64">
        <f>IF($A3956="","",IF(AD3956=0,"",IF(OR(COUNTIF(계정대체기준!$A$77:$A$86,$N3956)&gt;0,ISNUMBER(MATCH($X3956,계정대체기준!$D$77:$D$86,0)),ISNUMBER(MATCH($F3956,계정대체기준!$D$77:$D$86,0))),"Y","N")))</f>
        <v/>
      </c>
    </row>
    <row r="3957">
      <c r="A3957" s="92" t="n">
        <v>2026</v>
      </c>
      <c r="B3957" s="92" t="n">
        <v>6</v>
      </c>
      <c r="C3957" s="92" t="inlineStr">
        <is>
          <t>5100001235</t>
        </is>
      </c>
      <c r="D3957" s="95" t="n">
        <v>46185</v>
      </c>
      <c r="E3957" s="92" t="inlineStr">
        <is>
          <t>KR</t>
        </is>
      </c>
      <c r="F3957" s="92" t="n">
        <v>62902000</v>
      </c>
      <c r="G3957" s="92" t="n">
        <v>1951</v>
      </c>
      <c r="H3957" s="93" t="n">
        <v>3221000</v>
      </c>
      <c r="I3957" s="92" t="inlineStr">
        <is>
          <t>6월 업무 위탁 수수료 - J콜센터</t>
        </is>
      </c>
      <c r="J3957" s="92" t="inlineStr">
        <is>
          <t>V10016</t>
        </is>
      </c>
      <c r="K3957" s="92" t="inlineStr">
        <is>
          <t>J콜센터</t>
        </is>
      </c>
      <c r="M3957" s="9">
        <f>IF($A3957="","",VALUE($A3957&amp;"")*12+VALUE($B3957&amp;""))</f>
        <v/>
      </c>
      <c r="N3957" s="64">
        <f>IF($A3957="","",IFERROR(INDEX(부서매핑!$C$5:$C$504,MATCH($G3957&amp;"",부서매핑!$A$5:$A$504,0)),"미매핑"))</f>
        <v/>
      </c>
      <c r="O3957" s="9">
        <f>IF($A3957="","",N3957&amp;"|"&amp;$F3957)</f>
        <v/>
      </c>
      <c r="P3957" s="94">
        <f>IF($A3957="",0,$H3957*설정!$C$23)</f>
        <v/>
      </c>
      <c r="Q3957" s="64">
        <f>IF($A3957="","",IF(O3957&lt;&gt;원인분석!$C$9,"",IF(AND(M3957&gt;=원인분석!$C$10,M3957&lt;=원인분석!$C$11),"당기",IF(AND(M3957&gt;=원인분석!$C$12,M3957&lt;=원인분석!$C$13),"비교",""))))</f>
        <v/>
      </c>
      <c r="R3957" s="9">
        <f>IF(Q3957="","",$K3957&amp;"")</f>
        <v/>
      </c>
      <c r="S3957" s="9">
        <f>IF(Q3957="","",IF(MATCH(R3957,$R$5:$R$100000,0)=ROW()-4,ROW(),""))</f>
        <v/>
      </c>
      <c r="T3957" s="9">
        <f>IF(Q3957="당기",ABS(P3957)+ROW()/1000000000,"")</f>
        <v/>
      </c>
      <c r="U3957" s="9">
        <f>IF(Q3957="비교",ABS(P3957)+ROW()/1000000000,"")</f>
        <v/>
      </c>
      <c r="V3957" s="64">
        <f>IF($A3957="","",IF(COUNTIF(변동분석!$E$7:$E$506,O3957)&gt;0,"Y","N"))</f>
        <v/>
      </c>
      <c r="W3957" s="64">
        <f>IF($A3957="","",IFERROR(INDEX(계정매핑!$D$5:$D$504,MATCH($F3957&amp;"",계정매핑!$A$5:$A$504,0)),"미매핑"))</f>
        <v/>
      </c>
      <c r="X3957" s="9">
        <f>IF($A3957="","",$F3957&amp;"")</f>
        <v/>
      </c>
      <c r="Y3957" s="94">
        <f>IF($A3957="",0,IF(AE3957="직접",IF(AF3957="비귀속",$P3957,0),$P3957*(1-AG3957)*IFERROR(INDEX(계정대체기준!$F$20:$F$49,MATCH($N3957,계정대체기준!$A$20:$A$49,0)),1)))</f>
        <v/>
      </c>
      <c r="Z3957" s="94">
        <f>IF($A3957="",0,IF(AE3957="직접",IF(AF3957="신계약비",$P3957,0),$P3957*(1-AG3957)*IFERROR(INDEX(계정대체기준!$C$20:$C$49,MATCH($N3957,계정대체기준!$A$20:$A$49,0)),0)))</f>
        <v/>
      </c>
      <c r="AA3957" s="94">
        <f>IF($A3957="",0,IF(AE3957="직접",IF(OR(AF3957="유지비",AF3957="손해조사비"),$P3957,0),$P3957*(1-AG3957)*IFERROR(INDEX(계정대체기준!$D$20:$D$49,MATCH($N3957,계정대체기준!$A$20:$A$49,0)),0)))</f>
        <v/>
      </c>
      <c r="AB3957" s="94">
        <f>IF($A3957="",0,IF(AE3957="직접",IF(AF3957="수금비",$P3957,0),$P3957*(1-AG3957)*IFERROR(INDEX(계정대체기준!$E$20:$E$49,MATCH($N3957,계정대체기준!$A$20:$A$49,0)),0)))</f>
        <v/>
      </c>
      <c r="AC3957" s="9">
        <f>IF(AND($A3957&lt;&gt;"",M3957=설정!$C$20,Z3957&gt;0),Z3957+ROW()/1000000000,"")</f>
        <v/>
      </c>
      <c r="AD3957" s="94">
        <f>IF($A3957="",0,$P3957*AG3957)</f>
        <v/>
      </c>
      <c r="AE3957" s="64">
        <f>IF($A3957="","",IFERROR(INDEX(계정매핑!$E$5:$E$504,MATCH($F3957&amp;"",계정매핑!$A$5:$A$504,0))&amp;"","공통비"))</f>
        <v/>
      </c>
      <c r="AF3957" s="64">
        <f>IF($A3957="","",IF(AE3957="직접",IFERROR(INDEX(계정매핑!$F$5:$F$504,MATCH($F3957&amp;"",계정매핑!$A$5:$A$504,0))&amp;"","비귀속"),""))</f>
        <v/>
      </c>
      <c r="AG3957" s="96">
        <f>IF($A3957="",0,IF(AND(AE3957&lt;&gt;"직접",IFERROR(INDEX(계정매핑!$G$5:$G$504,MATCH($F3957&amp;"",계정매핑!$A$5:$A$504,0))&amp;"","")="유지비",COUNTIF(계정대체기준!$A$6:$A$15,$N3957)&gt;0),IFERROR(INDEX(계정대체기준!$E$6:$E$15,MATCH(VALUE($A3957&amp;""),계정대체기준!$D$6:$D$15,0)),0),0))</f>
        <v/>
      </c>
      <c r="AH3957" s="64">
        <f>IF($A3957="","",IF(AD3957=0,"",IF(OR(COUNTIF(계정대체기준!$A$77:$A$86,$N3957)&gt;0,ISNUMBER(MATCH($X3957,계정대체기준!$D$77:$D$86,0)),ISNUMBER(MATCH($F3957,계정대체기준!$D$77:$D$86,0))),"Y","N")))</f>
        <v/>
      </c>
    </row>
    <row r="3958">
      <c r="A3958" s="92" t="n">
        <v>2026</v>
      </c>
      <c r="B3958" s="92" t="n">
        <v>6</v>
      </c>
      <c r="C3958" s="92" t="inlineStr">
        <is>
          <t>5100001236</t>
        </is>
      </c>
      <c r="D3958" s="95" t="n">
        <v>46185</v>
      </c>
      <c r="E3958" s="92" t="inlineStr">
        <is>
          <t>KR</t>
        </is>
      </c>
      <c r="F3958" s="92" t="n">
        <v>63501000</v>
      </c>
      <c r="G3958" s="92" t="n">
        <v>1902</v>
      </c>
      <c r="H3958" s="93" t="n">
        <v>549007000</v>
      </c>
      <c r="I3958" s="92" t="inlineStr">
        <is>
          <t>6월 모집수수료 - BB에셋</t>
        </is>
      </c>
      <c r="J3958" s="92" t="inlineStr">
        <is>
          <t>V10013</t>
        </is>
      </c>
      <c r="K3958" s="92" t="inlineStr">
        <is>
          <t>BB에셋</t>
        </is>
      </c>
      <c r="M3958" s="9">
        <f>IF($A3958="","",VALUE($A3958&amp;"")*12+VALUE($B3958&amp;""))</f>
        <v/>
      </c>
      <c r="N3958" s="64">
        <f>IF($A3958="","",IFERROR(INDEX(부서매핑!$C$5:$C$504,MATCH($G3958&amp;"",부서매핑!$A$5:$A$504,0)),"미매핑"))</f>
        <v/>
      </c>
      <c r="O3958" s="9">
        <f>IF($A3958="","",N3958&amp;"|"&amp;$F3958)</f>
        <v/>
      </c>
      <c r="P3958" s="94">
        <f>IF($A3958="",0,$H3958*설정!$C$23)</f>
        <v/>
      </c>
      <c r="Q3958" s="64">
        <f>IF($A3958="","",IF(O3958&lt;&gt;원인분석!$C$9,"",IF(AND(M3958&gt;=원인분석!$C$10,M3958&lt;=원인분석!$C$11),"당기",IF(AND(M3958&gt;=원인분석!$C$12,M3958&lt;=원인분석!$C$13),"비교",""))))</f>
        <v/>
      </c>
      <c r="R3958" s="9">
        <f>IF(Q3958="","",$K3958&amp;"")</f>
        <v/>
      </c>
      <c r="S3958" s="9">
        <f>IF(Q3958="","",IF(MATCH(R3958,$R$5:$R$100000,0)=ROW()-4,ROW(),""))</f>
        <v/>
      </c>
      <c r="T3958" s="9">
        <f>IF(Q3958="당기",ABS(P3958)+ROW()/1000000000,"")</f>
        <v/>
      </c>
      <c r="U3958" s="9">
        <f>IF(Q3958="비교",ABS(P3958)+ROW()/1000000000,"")</f>
        <v/>
      </c>
      <c r="V3958" s="64">
        <f>IF($A3958="","",IF(COUNTIF(변동분석!$E$7:$E$506,O3958)&gt;0,"Y","N"))</f>
        <v/>
      </c>
      <c r="W3958" s="64">
        <f>IF($A3958="","",IFERROR(INDEX(계정매핑!$D$5:$D$504,MATCH($F3958&amp;"",계정매핑!$A$5:$A$504,0)),"미매핑"))</f>
        <v/>
      </c>
      <c r="X3958" s="9">
        <f>IF($A3958="","",$F3958&amp;"")</f>
        <v/>
      </c>
      <c r="Y3958" s="94">
        <f>IF($A3958="",0,IF(AE3958="직접",IF(AF3958="비귀속",$P3958,0),$P3958*(1-AG3958)*IFERROR(INDEX(계정대체기준!$F$20:$F$49,MATCH($N3958,계정대체기준!$A$20:$A$49,0)),1)))</f>
        <v/>
      </c>
      <c r="Z3958" s="94">
        <f>IF($A3958="",0,IF(AE3958="직접",IF(AF3958="신계약비",$P3958,0),$P3958*(1-AG3958)*IFERROR(INDEX(계정대체기준!$C$20:$C$49,MATCH($N3958,계정대체기준!$A$20:$A$49,0)),0)))</f>
        <v/>
      </c>
      <c r="AA3958" s="94">
        <f>IF($A3958="",0,IF(AE3958="직접",IF(OR(AF3958="유지비",AF3958="손해조사비"),$P3958,0),$P3958*(1-AG3958)*IFERROR(INDEX(계정대체기준!$D$20:$D$49,MATCH($N3958,계정대체기준!$A$20:$A$49,0)),0)))</f>
        <v/>
      </c>
      <c r="AB3958" s="94">
        <f>IF($A3958="",0,IF(AE3958="직접",IF(AF3958="수금비",$P3958,0),$P3958*(1-AG3958)*IFERROR(INDEX(계정대체기준!$E$20:$E$49,MATCH($N3958,계정대체기준!$A$20:$A$49,0)),0)))</f>
        <v/>
      </c>
      <c r="AC3958" s="9">
        <f>IF(AND($A3958&lt;&gt;"",M3958=설정!$C$20,Z3958&gt;0),Z3958+ROW()/1000000000,"")</f>
        <v/>
      </c>
      <c r="AD3958" s="94">
        <f>IF($A3958="",0,$P3958*AG3958)</f>
        <v/>
      </c>
      <c r="AE3958" s="64">
        <f>IF($A3958="","",IFERROR(INDEX(계정매핑!$E$5:$E$504,MATCH($F3958&amp;"",계정매핑!$A$5:$A$504,0))&amp;"","공통비"))</f>
        <v/>
      </c>
      <c r="AF3958" s="64">
        <f>IF($A3958="","",IF(AE3958="직접",IFERROR(INDEX(계정매핑!$F$5:$F$504,MATCH($F3958&amp;"",계정매핑!$A$5:$A$504,0))&amp;"","비귀속"),""))</f>
        <v/>
      </c>
      <c r="AG3958" s="96">
        <f>IF($A3958="",0,IF(AND(AE3958&lt;&gt;"직접",IFERROR(INDEX(계정매핑!$G$5:$G$504,MATCH($F3958&amp;"",계정매핑!$A$5:$A$504,0))&amp;"","")="유지비",COUNTIF(계정대체기준!$A$6:$A$15,$N3958)&gt;0),IFERROR(INDEX(계정대체기준!$E$6:$E$15,MATCH(VALUE($A3958&amp;""),계정대체기준!$D$6:$D$15,0)),0),0))</f>
        <v/>
      </c>
      <c r="AH3958" s="64">
        <f>IF($A3958="","",IF(AD3958=0,"",IF(OR(COUNTIF(계정대체기준!$A$77:$A$86,$N3958)&gt;0,ISNUMBER(MATCH($X3958,계정대체기준!$D$77:$D$86,0)),ISNUMBER(MATCH($F3958,계정대체기준!$D$77:$D$86,0))),"Y","N")))</f>
        <v/>
      </c>
    </row>
    <row r="3959">
      <c r="A3959" s="92" t="n">
        <v>2026</v>
      </c>
      <c r="B3959" s="92" t="n">
        <v>6</v>
      </c>
      <c r="C3959" s="92" t="inlineStr">
        <is>
          <t>5100001237</t>
        </is>
      </c>
      <c r="D3959" s="95" t="n">
        <v>46186</v>
      </c>
      <c r="E3959" s="92" t="inlineStr">
        <is>
          <t>KR</t>
        </is>
      </c>
      <c r="F3959" s="92" t="n">
        <v>62102000</v>
      </c>
      <c r="G3959" s="92" t="n">
        <v>1101</v>
      </c>
      <c r="H3959" s="93" t="n">
        <v>154000</v>
      </c>
      <c r="I3959" s="92" t="inlineStr">
        <is>
          <t>6월 해외출장 - N호텔</t>
        </is>
      </c>
      <c r="J3959" s="92" t="inlineStr">
        <is>
          <t>V10009</t>
        </is>
      </c>
      <c r="K3959" s="92" t="inlineStr">
        <is>
          <t>N호텔</t>
        </is>
      </c>
      <c r="M3959" s="9">
        <f>IF($A3959="","",VALUE($A3959&amp;"")*12+VALUE($B3959&amp;""))</f>
        <v/>
      </c>
      <c r="N3959" s="64">
        <f>IF($A3959="","",IFERROR(INDEX(부서매핑!$C$5:$C$504,MATCH($G3959&amp;"",부서매핑!$A$5:$A$504,0)),"미매핑"))</f>
        <v/>
      </c>
      <c r="O3959" s="9">
        <f>IF($A3959="","",N3959&amp;"|"&amp;$F3959)</f>
        <v/>
      </c>
      <c r="P3959" s="94">
        <f>IF($A3959="",0,$H3959*설정!$C$23)</f>
        <v/>
      </c>
      <c r="Q3959" s="64">
        <f>IF($A3959="","",IF(O3959&lt;&gt;원인분석!$C$9,"",IF(AND(M3959&gt;=원인분석!$C$10,M3959&lt;=원인분석!$C$11),"당기",IF(AND(M3959&gt;=원인분석!$C$12,M3959&lt;=원인분석!$C$13),"비교",""))))</f>
        <v/>
      </c>
      <c r="R3959" s="9">
        <f>IF(Q3959="","",$K3959&amp;"")</f>
        <v/>
      </c>
      <c r="S3959" s="9">
        <f>IF(Q3959="","",IF(MATCH(R3959,$R$5:$R$100000,0)=ROW()-4,ROW(),""))</f>
        <v/>
      </c>
      <c r="T3959" s="9">
        <f>IF(Q3959="당기",ABS(P3959)+ROW()/1000000000,"")</f>
        <v/>
      </c>
      <c r="U3959" s="9">
        <f>IF(Q3959="비교",ABS(P3959)+ROW()/1000000000,"")</f>
        <v/>
      </c>
      <c r="V3959" s="64">
        <f>IF($A3959="","",IF(COUNTIF(변동분석!$E$7:$E$506,O3959)&gt;0,"Y","N"))</f>
        <v/>
      </c>
      <c r="W3959" s="64">
        <f>IF($A3959="","",IFERROR(INDEX(계정매핑!$D$5:$D$504,MATCH($F3959&amp;"",계정매핑!$A$5:$A$504,0)),"미매핑"))</f>
        <v/>
      </c>
      <c r="X3959" s="9">
        <f>IF($A3959="","",$F3959&amp;"")</f>
        <v/>
      </c>
      <c r="Y3959" s="94">
        <f>IF($A3959="",0,IF(AE3959="직접",IF(AF3959="비귀속",$P3959,0),$P3959*(1-AG3959)*IFERROR(INDEX(계정대체기준!$F$20:$F$49,MATCH($N3959,계정대체기준!$A$20:$A$49,0)),1)))</f>
        <v/>
      </c>
      <c r="Z3959" s="94">
        <f>IF($A3959="",0,IF(AE3959="직접",IF(AF3959="신계약비",$P3959,0),$P3959*(1-AG3959)*IFERROR(INDEX(계정대체기준!$C$20:$C$49,MATCH($N3959,계정대체기준!$A$20:$A$49,0)),0)))</f>
        <v/>
      </c>
      <c r="AA3959" s="94">
        <f>IF($A3959="",0,IF(AE3959="직접",IF(OR(AF3959="유지비",AF3959="손해조사비"),$P3959,0),$P3959*(1-AG3959)*IFERROR(INDEX(계정대체기준!$D$20:$D$49,MATCH($N3959,계정대체기준!$A$20:$A$49,0)),0)))</f>
        <v/>
      </c>
      <c r="AB3959" s="94">
        <f>IF($A3959="",0,IF(AE3959="직접",IF(AF3959="수금비",$P3959,0),$P3959*(1-AG3959)*IFERROR(INDEX(계정대체기준!$E$20:$E$49,MATCH($N3959,계정대체기준!$A$20:$A$49,0)),0)))</f>
        <v/>
      </c>
      <c r="AC3959" s="9">
        <f>IF(AND($A3959&lt;&gt;"",M3959=설정!$C$20,Z3959&gt;0),Z3959+ROW()/1000000000,"")</f>
        <v/>
      </c>
      <c r="AD3959" s="94">
        <f>IF($A3959="",0,$P3959*AG3959)</f>
        <v/>
      </c>
      <c r="AE3959" s="64">
        <f>IF($A3959="","",IFERROR(INDEX(계정매핑!$E$5:$E$504,MATCH($F3959&amp;"",계정매핑!$A$5:$A$504,0))&amp;"","공통비"))</f>
        <v/>
      </c>
      <c r="AF3959" s="64">
        <f>IF($A3959="","",IF(AE3959="직접",IFERROR(INDEX(계정매핑!$F$5:$F$504,MATCH($F3959&amp;"",계정매핑!$A$5:$A$504,0))&amp;"","비귀속"),""))</f>
        <v/>
      </c>
      <c r="AG3959" s="96">
        <f>IF($A3959="",0,IF(AND(AE3959&lt;&gt;"직접",IFERROR(INDEX(계정매핑!$G$5:$G$504,MATCH($F3959&amp;"",계정매핑!$A$5:$A$504,0))&amp;"","")="유지비",COUNTIF(계정대체기준!$A$6:$A$15,$N3959)&gt;0),IFERROR(INDEX(계정대체기준!$E$6:$E$15,MATCH(VALUE($A3959&amp;""),계정대체기준!$D$6:$D$15,0)),0),0))</f>
        <v/>
      </c>
      <c r="AH3959" s="64">
        <f>IF($A3959="","",IF(AD3959=0,"",IF(OR(COUNTIF(계정대체기준!$A$77:$A$86,$N3959)&gt;0,ISNUMBER(MATCH($X3959,계정대체기준!$D$77:$D$86,0)),ISNUMBER(MATCH($F3959,계정대체기준!$D$77:$D$86,0))),"Y","N")))</f>
        <v/>
      </c>
    </row>
    <row r="3960">
      <c r="A3960" s="92" t="n">
        <v>2026</v>
      </c>
      <c r="B3960" s="92" t="n">
        <v>6</v>
      </c>
      <c r="C3960" s="92" t="inlineStr">
        <is>
          <t>5100001238</t>
        </is>
      </c>
      <c r="D3960" s="95" t="n">
        <v>46186</v>
      </c>
      <c r="E3960" s="92" t="inlineStr">
        <is>
          <t>KR</t>
        </is>
      </c>
      <c r="F3960" s="92" t="n">
        <v>62102000</v>
      </c>
      <c r="G3960" s="92" t="n">
        <v>1801</v>
      </c>
      <c r="H3960" s="93" t="n">
        <v>41000</v>
      </c>
      <c r="I3960" s="92" t="inlineStr">
        <is>
          <t>6월 해외출장 - M항공</t>
        </is>
      </c>
      <c r="J3960" s="92" t="inlineStr">
        <is>
          <t>V10001</t>
        </is>
      </c>
      <c r="K3960" s="92" t="inlineStr">
        <is>
          <t>M항공</t>
        </is>
      </c>
      <c r="M3960" s="9">
        <f>IF($A3960="","",VALUE($A3960&amp;"")*12+VALUE($B3960&amp;""))</f>
        <v/>
      </c>
      <c r="N3960" s="64">
        <f>IF($A3960="","",IFERROR(INDEX(부서매핑!$C$5:$C$504,MATCH($G3960&amp;"",부서매핑!$A$5:$A$504,0)),"미매핑"))</f>
        <v/>
      </c>
      <c r="O3960" s="9">
        <f>IF($A3960="","",N3960&amp;"|"&amp;$F3960)</f>
        <v/>
      </c>
      <c r="P3960" s="94">
        <f>IF($A3960="",0,$H3960*설정!$C$23)</f>
        <v/>
      </c>
      <c r="Q3960" s="64">
        <f>IF($A3960="","",IF(O3960&lt;&gt;원인분석!$C$9,"",IF(AND(M3960&gt;=원인분석!$C$10,M3960&lt;=원인분석!$C$11),"당기",IF(AND(M3960&gt;=원인분석!$C$12,M3960&lt;=원인분석!$C$13),"비교",""))))</f>
        <v/>
      </c>
      <c r="R3960" s="9">
        <f>IF(Q3960="","",$K3960&amp;"")</f>
        <v/>
      </c>
      <c r="S3960" s="9">
        <f>IF(Q3960="","",IF(MATCH(R3960,$R$5:$R$100000,0)=ROW()-4,ROW(),""))</f>
        <v/>
      </c>
      <c r="T3960" s="9">
        <f>IF(Q3960="당기",ABS(P3960)+ROW()/1000000000,"")</f>
        <v/>
      </c>
      <c r="U3960" s="9">
        <f>IF(Q3960="비교",ABS(P3960)+ROW()/1000000000,"")</f>
        <v/>
      </c>
      <c r="V3960" s="64">
        <f>IF($A3960="","",IF(COUNTIF(변동분석!$E$7:$E$506,O3960)&gt;0,"Y","N"))</f>
        <v/>
      </c>
      <c r="W3960" s="64">
        <f>IF($A3960="","",IFERROR(INDEX(계정매핑!$D$5:$D$504,MATCH($F3960&amp;"",계정매핑!$A$5:$A$504,0)),"미매핑"))</f>
        <v/>
      </c>
      <c r="X3960" s="9">
        <f>IF($A3960="","",$F3960&amp;"")</f>
        <v/>
      </c>
      <c r="Y3960" s="94">
        <f>IF($A3960="",0,IF(AE3960="직접",IF(AF3960="비귀속",$P3960,0),$P3960*(1-AG3960)*IFERROR(INDEX(계정대체기준!$F$20:$F$49,MATCH($N3960,계정대체기준!$A$20:$A$49,0)),1)))</f>
        <v/>
      </c>
      <c r="Z3960" s="94">
        <f>IF($A3960="",0,IF(AE3960="직접",IF(AF3960="신계약비",$P3960,0),$P3960*(1-AG3960)*IFERROR(INDEX(계정대체기준!$C$20:$C$49,MATCH($N3960,계정대체기준!$A$20:$A$49,0)),0)))</f>
        <v/>
      </c>
      <c r="AA3960" s="94">
        <f>IF($A3960="",0,IF(AE3960="직접",IF(OR(AF3960="유지비",AF3960="손해조사비"),$P3960,0),$P3960*(1-AG3960)*IFERROR(INDEX(계정대체기준!$D$20:$D$49,MATCH($N3960,계정대체기준!$A$20:$A$49,0)),0)))</f>
        <v/>
      </c>
      <c r="AB3960" s="94">
        <f>IF($A3960="",0,IF(AE3960="직접",IF(AF3960="수금비",$P3960,0),$P3960*(1-AG3960)*IFERROR(INDEX(계정대체기준!$E$20:$E$49,MATCH($N3960,계정대체기준!$A$20:$A$49,0)),0)))</f>
        <v/>
      </c>
      <c r="AC3960" s="9">
        <f>IF(AND($A3960&lt;&gt;"",M3960=설정!$C$20,Z3960&gt;0),Z3960+ROW()/1000000000,"")</f>
        <v/>
      </c>
      <c r="AD3960" s="94">
        <f>IF($A3960="",0,$P3960*AG3960)</f>
        <v/>
      </c>
      <c r="AE3960" s="64">
        <f>IF($A3960="","",IFERROR(INDEX(계정매핑!$E$5:$E$504,MATCH($F3960&amp;"",계정매핑!$A$5:$A$504,0))&amp;"","공통비"))</f>
        <v/>
      </c>
      <c r="AF3960" s="64">
        <f>IF($A3960="","",IF(AE3960="직접",IFERROR(INDEX(계정매핑!$F$5:$F$504,MATCH($F3960&amp;"",계정매핑!$A$5:$A$504,0))&amp;"","비귀속"),""))</f>
        <v/>
      </c>
      <c r="AG3960" s="96">
        <f>IF($A3960="",0,IF(AND(AE3960&lt;&gt;"직접",IFERROR(INDEX(계정매핑!$G$5:$G$504,MATCH($F3960&amp;"",계정매핑!$A$5:$A$504,0))&amp;"","")="유지비",COUNTIF(계정대체기준!$A$6:$A$15,$N3960)&gt;0),IFERROR(INDEX(계정대체기준!$E$6:$E$15,MATCH(VALUE($A3960&amp;""),계정대체기준!$D$6:$D$15,0)),0),0))</f>
        <v/>
      </c>
      <c r="AH3960" s="64">
        <f>IF($A3960="","",IF(AD3960=0,"",IF(OR(COUNTIF(계정대체기준!$A$77:$A$86,$N3960)&gt;0,ISNUMBER(MATCH($X3960,계정대체기준!$D$77:$D$86,0)),ISNUMBER(MATCH($F3960,계정대체기준!$D$77:$D$86,0))),"Y","N")))</f>
        <v/>
      </c>
    </row>
    <row r="3961">
      <c r="A3961" s="92" t="n">
        <v>2026</v>
      </c>
      <c r="B3961" s="92" t="n">
        <v>6</v>
      </c>
      <c r="C3961" s="92" t="inlineStr">
        <is>
          <t>5100001239</t>
        </is>
      </c>
      <c r="D3961" s="95" t="n">
        <v>46186</v>
      </c>
      <c r="E3961" s="92" t="inlineStr">
        <is>
          <t>KR</t>
        </is>
      </c>
      <c r="F3961" s="92" t="n">
        <v>62201000</v>
      </c>
      <c r="G3961" s="92" t="n">
        <v>1601</v>
      </c>
      <c r="H3961" s="93" t="n">
        <v>719000</v>
      </c>
      <c r="I3961" s="92" t="inlineStr">
        <is>
          <t>6월 통신요금 - P통신</t>
        </is>
      </c>
      <c r="J3961" s="92" t="inlineStr">
        <is>
          <t>V10014</t>
        </is>
      </c>
      <c r="K3961" s="92" t="inlineStr">
        <is>
          <t>P통신</t>
        </is>
      </c>
      <c r="M3961" s="9">
        <f>IF($A3961="","",VALUE($A3961&amp;"")*12+VALUE($B3961&amp;""))</f>
        <v/>
      </c>
      <c r="N3961" s="64">
        <f>IF($A3961="","",IFERROR(INDEX(부서매핑!$C$5:$C$504,MATCH($G3961&amp;"",부서매핑!$A$5:$A$504,0)),"미매핑"))</f>
        <v/>
      </c>
      <c r="O3961" s="9">
        <f>IF($A3961="","",N3961&amp;"|"&amp;$F3961)</f>
        <v/>
      </c>
      <c r="P3961" s="94">
        <f>IF($A3961="",0,$H3961*설정!$C$23)</f>
        <v/>
      </c>
      <c r="Q3961" s="64">
        <f>IF($A3961="","",IF(O3961&lt;&gt;원인분석!$C$9,"",IF(AND(M3961&gt;=원인분석!$C$10,M3961&lt;=원인분석!$C$11),"당기",IF(AND(M3961&gt;=원인분석!$C$12,M3961&lt;=원인분석!$C$13),"비교",""))))</f>
        <v/>
      </c>
      <c r="R3961" s="9">
        <f>IF(Q3961="","",$K3961&amp;"")</f>
        <v/>
      </c>
      <c r="S3961" s="9">
        <f>IF(Q3961="","",IF(MATCH(R3961,$R$5:$R$100000,0)=ROW()-4,ROW(),""))</f>
        <v/>
      </c>
      <c r="T3961" s="9">
        <f>IF(Q3961="당기",ABS(P3961)+ROW()/1000000000,"")</f>
        <v/>
      </c>
      <c r="U3961" s="9">
        <f>IF(Q3961="비교",ABS(P3961)+ROW()/1000000000,"")</f>
        <v/>
      </c>
      <c r="V3961" s="64">
        <f>IF($A3961="","",IF(COUNTIF(변동분석!$E$7:$E$506,O3961)&gt;0,"Y","N"))</f>
        <v/>
      </c>
      <c r="W3961" s="64">
        <f>IF($A3961="","",IFERROR(INDEX(계정매핑!$D$5:$D$504,MATCH($F3961&amp;"",계정매핑!$A$5:$A$504,0)),"미매핑"))</f>
        <v/>
      </c>
      <c r="X3961" s="9">
        <f>IF($A3961="","",$F3961&amp;"")</f>
        <v/>
      </c>
      <c r="Y3961" s="94">
        <f>IF($A3961="",0,IF(AE3961="직접",IF(AF3961="비귀속",$P3961,0),$P3961*(1-AG3961)*IFERROR(INDEX(계정대체기준!$F$20:$F$49,MATCH($N3961,계정대체기준!$A$20:$A$49,0)),1)))</f>
        <v/>
      </c>
      <c r="Z3961" s="94">
        <f>IF($A3961="",0,IF(AE3961="직접",IF(AF3961="신계약비",$P3961,0),$P3961*(1-AG3961)*IFERROR(INDEX(계정대체기준!$C$20:$C$49,MATCH($N3961,계정대체기준!$A$20:$A$49,0)),0)))</f>
        <v/>
      </c>
      <c r="AA3961" s="94">
        <f>IF($A3961="",0,IF(AE3961="직접",IF(OR(AF3961="유지비",AF3961="손해조사비"),$P3961,0),$P3961*(1-AG3961)*IFERROR(INDEX(계정대체기준!$D$20:$D$49,MATCH($N3961,계정대체기준!$A$20:$A$49,0)),0)))</f>
        <v/>
      </c>
      <c r="AB3961" s="94">
        <f>IF($A3961="",0,IF(AE3961="직접",IF(AF3961="수금비",$P3961,0),$P3961*(1-AG3961)*IFERROR(INDEX(계정대체기준!$E$20:$E$49,MATCH($N3961,계정대체기준!$A$20:$A$49,0)),0)))</f>
        <v/>
      </c>
      <c r="AC3961" s="9">
        <f>IF(AND($A3961&lt;&gt;"",M3961=설정!$C$20,Z3961&gt;0),Z3961+ROW()/1000000000,"")</f>
        <v/>
      </c>
      <c r="AD3961" s="94">
        <f>IF($A3961="",0,$P3961*AG3961)</f>
        <v/>
      </c>
      <c r="AE3961" s="64">
        <f>IF($A3961="","",IFERROR(INDEX(계정매핑!$E$5:$E$504,MATCH($F3961&amp;"",계정매핑!$A$5:$A$504,0))&amp;"","공통비"))</f>
        <v/>
      </c>
      <c r="AF3961" s="64">
        <f>IF($A3961="","",IF(AE3961="직접",IFERROR(INDEX(계정매핑!$F$5:$F$504,MATCH($F3961&amp;"",계정매핑!$A$5:$A$504,0))&amp;"","비귀속"),""))</f>
        <v/>
      </c>
      <c r="AG3961" s="96">
        <f>IF($A3961="",0,IF(AND(AE3961&lt;&gt;"직접",IFERROR(INDEX(계정매핑!$G$5:$G$504,MATCH($F3961&amp;"",계정매핑!$A$5:$A$504,0))&amp;"","")="유지비",COUNTIF(계정대체기준!$A$6:$A$15,$N3961)&gt;0),IFERROR(INDEX(계정대체기준!$E$6:$E$15,MATCH(VALUE($A3961&amp;""),계정대체기준!$D$6:$D$15,0)),0),0))</f>
        <v/>
      </c>
      <c r="AH3961" s="64">
        <f>IF($A3961="","",IF(AD3961=0,"",IF(OR(COUNTIF(계정대체기준!$A$77:$A$86,$N3961)&gt;0,ISNUMBER(MATCH($X3961,계정대체기준!$D$77:$D$86,0)),ISNUMBER(MATCH($F3961,계정대체기준!$D$77:$D$86,0))),"Y","N")))</f>
        <v/>
      </c>
    </row>
    <row r="3962">
      <c r="A3962" s="92" t="n">
        <v>2026</v>
      </c>
      <c r="B3962" s="92" t="n">
        <v>6</v>
      </c>
      <c r="C3962" s="92" t="inlineStr">
        <is>
          <t>5100001240</t>
        </is>
      </c>
      <c r="D3962" s="95" t="n">
        <v>46186</v>
      </c>
      <c r="E3962" s="92" t="inlineStr">
        <is>
          <t>KR</t>
        </is>
      </c>
      <c r="F3962" s="92" t="n">
        <v>62601000</v>
      </c>
      <c r="G3962" s="92" t="n">
        <v>1101</v>
      </c>
      <c r="H3962" s="93" t="n">
        <v>1673000</v>
      </c>
      <c r="I3962" s="92" t="inlineStr">
        <is>
          <t>6월 업무추진 - (법인카드)</t>
        </is>
      </c>
      <c r="J3962" s="92" t="inlineStr">
        <is>
          <t>V10010</t>
        </is>
      </c>
      <c r="K3962" s="92" t="inlineStr">
        <is>
          <t>(법인카드)</t>
        </is>
      </c>
      <c r="M3962" s="9">
        <f>IF($A3962="","",VALUE($A3962&amp;"")*12+VALUE($B3962&amp;""))</f>
        <v/>
      </c>
      <c r="N3962" s="64">
        <f>IF($A3962="","",IFERROR(INDEX(부서매핑!$C$5:$C$504,MATCH($G3962&amp;"",부서매핑!$A$5:$A$504,0)),"미매핑"))</f>
        <v/>
      </c>
      <c r="O3962" s="9">
        <f>IF($A3962="","",N3962&amp;"|"&amp;$F3962)</f>
        <v/>
      </c>
      <c r="P3962" s="94">
        <f>IF($A3962="",0,$H3962*설정!$C$23)</f>
        <v/>
      </c>
      <c r="Q3962" s="64">
        <f>IF($A3962="","",IF(O3962&lt;&gt;원인분석!$C$9,"",IF(AND(M3962&gt;=원인분석!$C$10,M3962&lt;=원인분석!$C$11),"당기",IF(AND(M3962&gt;=원인분석!$C$12,M3962&lt;=원인분석!$C$13),"비교",""))))</f>
        <v/>
      </c>
      <c r="R3962" s="9">
        <f>IF(Q3962="","",$K3962&amp;"")</f>
        <v/>
      </c>
      <c r="S3962" s="9">
        <f>IF(Q3962="","",IF(MATCH(R3962,$R$5:$R$100000,0)=ROW()-4,ROW(),""))</f>
        <v/>
      </c>
      <c r="T3962" s="9">
        <f>IF(Q3962="당기",ABS(P3962)+ROW()/1000000000,"")</f>
        <v/>
      </c>
      <c r="U3962" s="9">
        <f>IF(Q3962="비교",ABS(P3962)+ROW()/1000000000,"")</f>
        <v/>
      </c>
      <c r="V3962" s="64">
        <f>IF($A3962="","",IF(COUNTIF(변동분석!$E$7:$E$506,O3962)&gt;0,"Y","N"))</f>
        <v/>
      </c>
      <c r="W3962" s="64">
        <f>IF($A3962="","",IFERROR(INDEX(계정매핑!$D$5:$D$504,MATCH($F3962&amp;"",계정매핑!$A$5:$A$504,0)),"미매핑"))</f>
        <v/>
      </c>
      <c r="X3962" s="9">
        <f>IF($A3962="","",$F3962&amp;"")</f>
        <v/>
      </c>
      <c r="Y3962" s="94">
        <f>IF($A3962="",0,IF(AE3962="직접",IF(AF3962="비귀속",$P3962,0),$P3962*(1-AG3962)*IFERROR(INDEX(계정대체기준!$F$20:$F$49,MATCH($N3962,계정대체기준!$A$20:$A$49,0)),1)))</f>
        <v/>
      </c>
      <c r="Z3962" s="94">
        <f>IF($A3962="",0,IF(AE3962="직접",IF(AF3962="신계약비",$P3962,0),$P3962*(1-AG3962)*IFERROR(INDEX(계정대체기준!$C$20:$C$49,MATCH($N3962,계정대체기준!$A$20:$A$49,0)),0)))</f>
        <v/>
      </c>
      <c r="AA3962" s="94">
        <f>IF($A3962="",0,IF(AE3962="직접",IF(OR(AF3962="유지비",AF3962="손해조사비"),$P3962,0),$P3962*(1-AG3962)*IFERROR(INDEX(계정대체기준!$D$20:$D$49,MATCH($N3962,계정대체기준!$A$20:$A$49,0)),0)))</f>
        <v/>
      </c>
      <c r="AB3962" s="94">
        <f>IF($A3962="",0,IF(AE3962="직접",IF(AF3962="수금비",$P3962,0),$P3962*(1-AG3962)*IFERROR(INDEX(계정대체기준!$E$20:$E$49,MATCH($N3962,계정대체기준!$A$20:$A$49,0)),0)))</f>
        <v/>
      </c>
      <c r="AC3962" s="9">
        <f>IF(AND($A3962&lt;&gt;"",M3962=설정!$C$20,Z3962&gt;0),Z3962+ROW()/1000000000,"")</f>
        <v/>
      </c>
      <c r="AD3962" s="94">
        <f>IF($A3962="",0,$P3962*AG3962)</f>
        <v/>
      </c>
      <c r="AE3962" s="64">
        <f>IF($A3962="","",IFERROR(INDEX(계정매핑!$E$5:$E$504,MATCH($F3962&amp;"",계정매핑!$A$5:$A$504,0))&amp;"","공통비"))</f>
        <v/>
      </c>
      <c r="AF3962" s="64">
        <f>IF($A3962="","",IF(AE3962="직접",IFERROR(INDEX(계정매핑!$F$5:$F$504,MATCH($F3962&amp;"",계정매핑!$A$5:$A$504,0))&amp;"","비귀속"),""))</f>
        <v/>
      </c>
      <c r="AG3962" s="96">
        <f>IF($A3962="",0,IF(AND(AE3962&lt;&gt;"직접",IFERROR(INDEX(계정매핑!$G$5:$G$504,MATCH($F3962&amp;"",계정매핑!$A$5:$A$504,0))&amp;"","")="유지비",COUNTIF(계정대체기준!$A$6:$A$15,$N3962)&gt;0),IFERROR(INDEX(계정대체기준!$E$6:$E$15,MATCH(VALUE($A3962&amp;""),계정대체기준!$D$6:$D$15,0)),0),0))</f>
        <v/>
      </c>
      <c r="AH3962" s="64">
        <f>IF($A3962="","",IF(AD3962=0,"",IF(OR(COUNTIF(계정대체기준!$A$77:$A$86,$N3962)&gt;0,ISNUMBER(MATCH($X3962,계정대체기준!$D$77:$D$86,0)),ISNUMBER(MATCH($F3962,계정대체기준!$D$77:$D$86,0))),"Y","N")))</f>
        <v/>
      </c>
    </row>
    <row r="3963">
      <c r="A3963" s="92" t="n">
        <v>2026</v>
      </c>
      <c r="B3963" s="92" t="n">
        <v>6</v>
      </c>
      <c r="C3963" s="92" t="inlineStr">
        <is>
          <t>5100001241</t>
        </is>
      </c>
      <c r="D3963" s="95" t="n">
        <v>46186</v>
      </c>
      <c r="E3963" s="92" t="inlineStr">
        <is>
          <t>KR</t>
        </is>
      </c>
      <c r="F3963" s="92" t="n">
        <v>62802000</v>
      </c>
      <c r="G3963" s="92" t="n">
        <v>1301</v>
      </c>
      <c r="H3963" s="93" t="n">
        <v>4271000</v>
      </c>
      <c r="I3963" s="92" t="inlineStr">
        <is>
          <t>6월 위탁교육 - I교육원</t>
        </is>
      </c>
      <c r="J3963" s="92" t="inlineStr">
        <is>
          <t>V10019</t>
        </is>
      </c>
      <c r="K3963" s="92" t="inlineStr">
        <is>
          <t>I교육원</t>
        </is>
      </c>
      <c r="M3963" s="9">
        <f>IF($A3963="","",VALUE($A3963&amp;"")*12+VALUE($B3963&amp;""))</f>
        <v/>
      </c>
      <c r="N3963" s="64">
        <f>IF($A3963="","",IFERROR(INDEX(부서매핑!$C$5:$C$504,MATCH($G3963&amp;"",부서매핑!$A$5:$A$504,0)),"미매핑"))</f>
        <v/>
      </c>
      <c r="O3963" s="9">
        <f>IF($A3963="","",N3963&amp;"|"&amp;$F3963)</f>
        <v/>
      </c>
      <c r="P3963" s="94">
        <f>IF($A3963="",0,$H3963*설정!$C$23)</f>
        <v/>
      </c>
      <c r="Q3963" s="64">
        <f>IF($A3963="","",IF(O3963&lt;&gt;원인분석!$C$9,"",IF(AND(M3963&gt;=원인분석!$C$10,M3963&lt;=원인분석!$C$11),"당기",IF(AND(M3963&gt;=원인분석!$C$12,M3963&lt;=원인분석!$C$13),"비교",""))))</f>
        <v/>
      </c>
      <c r="R3963" s="9">
        <f>IF(Q3963="","",$K3963&amp;"")</f>
        <v/>
      </c>
      <c r="S3963" s="9">
        <f>IF(Q3963="","",IF(MATCH(R3963,$R$5:$R$100000,0)=ROW()-4,ROW(),""))</f>
        <v/>
      </c>
      <c r="T3963" s="9">
        <f>IF(Q3963="당기",ABS(P3963)+ROW()/1000000000,"")</f>
        <v/>
      </c>
      <c r="U3963" s="9">
        <f>IF(Q3963="비교",ABS(P3963)+ROW()/1000000000,"")</f>
        <v/>
      </c>
      <c r="V3963" s="64">
        <f>IF($A3963="","",IF(COUNTIF(변동분석!$E$7:$E$506,O3963)&gt;0,"Y","N"))</f>
        <v/>
      </c>
      <c r="W3963" s="64">
        <f>IF($A3963="","",IFERROR(INDEX(계정매핑!$D$5:$D$504,MATCH($F3963&amp;"",계정매핑!$A$5:$A$504,0)),"미매핑"))</f>
        <v/>
      </c>
      <c r="X3963" s="9">
        <f>IF($A3963="","",$F3963&amp;"")</f>
        <v/>
      </c>
      <c r="Y3963" s="94">
        <f>IF($A3963="",0,IF(AE3963="직접",IF(AF3963="비귀속",$P3963,0),$P3963*(1-AG3963)*IFERROR(INDEX(계정대체기준!$F$20:$F$49,MATCH($N3963,계정대체기준!$A$20:$A$49,0)),1)))</f>
        <v/>
      </c>
      <c r="Z3963" s="94">
        <f>IF($A3963="",0,IF(AE3963="직접",IF(AF3963="신계약비",$P3963,0),$P3963*(1-AG3963)*IFERROR(INDEX(계정대체기준!$C$20:$C$49,MATCH($N3963,계정대체기준!$A$20:$A$49,0)),0)))</f>
        <v/>
      </c>
      <c r="AA3963" s="94">
        <f>IF($A3963="",0,IF(AE3963="직접",IF(OR(AF3963="유지비",AF3963="손해조사비"),$P3963,0),$P3963*(1-AG3963)*IFERROR(INDEX(계정대체기준!$D$20:$D$49,MATCH($N3963,계정대체기준!$A$20:$A$49,0)),0)))</f>
        <v/>
      </c>
      <c r="AB3963" s="94">
        <f>IF($A3963="",0,IF(AE3963="직접",IF(AF3963="수금비",$P3963,0),$P3963*(1-AG3963)*IFERROR(INDEX(계정대체기준!$E$20:$E$49,MATCH($N3963,계정대체기준!$A$20:$A$49,0)),0)))</f>
        <v/>
      </c>
      <c r="AC3963" s="9">
        <f>IF(AND($A3963&lt;&gt;"",M3963=설정!$C$20,Z3963&gt;0),Z3963+ROW()/1000000000,"")</f>
        <v/>
      </c>
      <c r="AD3963" s="94">
        <f>IF($A3963="",0,$P3963*AG3963)</f>
        <v/>
      </c>
      <c r="AE3963" s="64">
        <f>IF($A3963="","",IFERROR(INDEX(계정매핑!$E$5:$E$504,MATCH($F3963&amp;"",계정매핑!$A$5:$A$504,0))&amp;"","공통비"))</f>
        <v/>
      </c>
      <c r="AF3963" s="64">
        <f>IF($A3963="","",IF(AE3963="직접",IFERROR(INDEX(계정매핑!$F$5:$F$504,MATCH($F3963&amp;"",계정매핑!$A$5:$A$504,0))&amp;"","비귀속"),""))</f>
        <v/>
      </c>
      <c r="AG3963" s="96">
        <f>IF($A3963="",0,IF(AND(AE3963&lt;&gt;"직접",IFERROR(INDEX(계정매핑!$G$5:$G$504,MATCH($F3963&amp;"",계정매핑!$A$5:$A$504,0))&amp;"","")="유지비",COUNTIF(계정대체기준!$A$6:$A$15,$N3963)&gt;0),IFERROR(INDEX(계정대체기준!$E$6:$E$15,MATCH(VALUE($A3963&amp;""),계정대체기준!$D$6:$D$15,0)),0),0))</f>
        <v/>
      </c>
      <c r="AH3963" s="64">
        <f>IF($A3963="","",IF(AD3963=0,"",IF(OR(COUNTIF(계정대체기준!$A$77:$A$86,$N3963)&gt;0,ISNUMBER(MATCH($X3963,계정대체기준!$D$77:$D$86,0)),ISNUMBER(MATCH($F3963,계정대체기준!$D$77:$D$86,0))),"Y","N")))</f>
        <v/>
      </c>
    </row>
    <row r="3964">
      <c r="A3964" s="92" t="n">
        <v>2026</v>
      </c>
      <c r="B3964" s="92" t="n">
        <v>6</v>
      </c>
      <c r="C3964" s="92" t="inlineStr">
        <is>
          <t>5100001242</t>
        </is>
      </c>
      <c r="D3964" s="95" t="n">
        <v>46186</v>
      </c>
      <c r="E3964" s="92" t="inlineStr">
        <is>
          <t>KR</t>
        </is>
      </c>
      <c r="F3964" s="92" t="n">
        <v>62902000</v>
      </c>
      <c r="G3964" s="92" t="n">
        <v>1801</v>
      </c>
      <c r="H3964" s="93" t="n">
        <v>1787000</v>
      </c>
      <c r="I3964" s="92" t="inlineStr">
        <is>
          <t>6월 콜 위탁 수수료(건별)</t>
        </is>
      </c>
      <c r="J3964" s="92" t="inlineStr">
        <is>
          <t>V10016</t>
        </is>
      </c>
      <c r="K3964" s="92" t="inlineStr">
        <is>
          <t>J콜센터</t>
        </is>
      </c>
      <c r="M3964" s="9">
        <f>IF($A3964="","",VALUE($A3964&amp;"")*12+VALUE($B3964&amp;""))</f>
        <v/>
      </c>
      <c r="N3964" s="64">
        <f>IF($A3964="","",IFERROR(INDEX(부서매핑!$C$5:$C$504,MATCH($G3964&amp;"",부서매핑!$A$5:$A$504,0)),"미매핑"))</f>
        <v/>
      </c>
      <c r="O3964" s="9">
        <f>IF($A3964="","",N3964&amp;"|"&amp;$F3964)</f>
        <v/>
      </c>
      <c r="P3964" s="94">
        <f>IF($A3964="",0,$H3964*설정!$C$23)</f>
        <v/>
      </c>
      <c r="Q3964" s="64">
        <f>IF($A3964="","",IF(O3964&lt;&gt;원인분석!$C$9,"",IF(AND(M3964&gt;=원인분석!$C$10,M3964&lt;=원인분석!$C$11),"당기",IF(AND(M3964&gt;=원인분석!$C$12,M3964&lt;=원인분석!$C$13),"비교",""))))</f>
        <v/>
      </c>
      <c r="R3964" s="9">
        <f>IF(Q3964="","",$K3964&amp;"")</f>
        <v/>
      </c>
      <c r="S3964" s="9">
        <f>IF(Q3964="","",IF(MATCH(R3964,$R$5:$R$100000,0)=ROW()-4,ROW(),""))</f>
        <v/>
      </c>
      <c r="T3964" s="9">
        <f>IF(Q3964="당기",ABS(P3964)+ROW()/1000000000,"")</f>
        <v/>
      </c>
      <c r="U3964" s="9">
        <f>IF(Q3964="비교",ABS(P3964)+ROW()/1000000000,"")</f>
        <v/>
      </c>
      <c r="V3964" s="64">
        <f>IF($A3964="","",IF(COUNTIF(변동분석!$E$7:$E$506,O3964)&gt;0,"Y","N"))</f>
        <v/>
      </c>
      <c r="W3964" s="64">
        <f>IF($A3964="","",IFERROR(INDEX(계정매핑!$D$5:$D$504,MATCH($F3964&amp;"",계정매핑!$A$5:$A$504,0)),"미매핑"))</f>
        <v/>
      </c>
      <c r="X3964" s="9">
        <f>IF($A3964="","",$F3964&amp;"")</f>
        <v/>
      </c>
      <c r="Y3964" s="94">
        <f>IF($A3964="",0,IF(AE3964="직접",IF(AF3964="비귀속",$P3964,0),$P3964*(1-AG3964)*IFERROR(INDEX(계정대체기준!$F$20:$F$49,MATCH($N3964,계정대체기준!$A$20:$A$49,0)),1)))</f>
        <v/>
      </c>
      <c r="Z3964" s="94">
        <f>IF($A3964="",0,IF(AE3964="직접",IF(AF3964="신계약비",$P3964,0),$P3964*(1-AG3964)*IFERROR(INDEX(계정대체기준!$C$20:$C$49,MATCH($N3964,계정대체기준!$A$20:$A$49,0)),0)))</f>
        <v/>
      </c>
      <c r="AA3964" s="94">
        <f>IF($A3964="",0,IF(AE3964="직접",IF(OR(AF3964="유지비",AF3964="손해조사비"),$P3964,0),$P3964*(1-AG3964)*IFERROR(INDEX(계정대체기준!$D$20:$D$49,MATCH($N3964,계정대체기준!$A$20:$A$49,0)),0)))</f>
        <v/>
      </c>
      <c r="AB3964" s="94">
        <f>IF($A3964="",0,IF(AE3964="직접",IF(AF3964="수금비",$P3964,0),$P3964*(1-AG3964)*IFERROR(INDEX(계정대체기준!$E$20:$E$49,MATCH($N3964,계정대체기준!$A$20:$A$49,0)),0)))</f>
        <v/>
      </c>
      <c r="AC3964" s="9">
        <f>IF(AND($A3964&lt;&gt;"",M3964=설정!$C$20,Z3964&gt;0),Z3964+ROW()/1000000000,"")</f>
        <v/>
      </c>
      <c r="AD3964" s="94">
        <f>IF($A3964="",0,$P3964*AG3964)</f>
        <v/>
      </c>
      <c r="AE3964" s="64">
        <f>IF($A3964="","",IFERROR(INDEX(계정매핑!$E$5:$E$504,MATCH($F3964&amp;"",계정매핑!$A$5:$A$504,0))&amp;"","공통비"))</f>
        <v/>
      </c>
      <c r="AF3964" s="64">
        <f>IF($A3964="","",IF(AE3964="직접",IFERROR(INDEX(계정매핑!$F$5:$F$504,MATCH($F3964&amp;"",계정매핑!$A$5:$A$504,0))&amp;"","비귀속"),""))</f>
        <v/>
      </c>
      <c r="AG3964" s="96">
        <f>IF($A3964="",0,IF(AND(AE3964&lt;&gt;"직접",IFERROR(INDEX(계정매핑!$G$5:$G$504,MATCH($F3964&amp;"",계정매핑!$A$5:$A$504,0))&amp;"","")="유지비",COUNTIF(계정대체기준!$A$6:$A$15,$N3964)&gt;0),IFERROR(INDEX(계정대체기준!$E$6:$E$15,MATCH(VALUE($A3964&amp;""),계정대체기준!$D$6:$D$15,0)),0),0))</f>
        <v/>
      </c>
      <c r="AH3964" s="64">
        <f>IF($A3964="","",IF(AD3964=0,"",IF(OR(COUNTIF(계정대체기준!$A$77:$A$86,$N3964)&gt;0,ISNUMBER(MATCH($X3964,계정대체기준!$D$77:$D$86,0)),ISNUMBER(MATCH($F3964,계정대체기준!$D$77:$D$86,0))),"Y","N")))</f>
        <v/>
      </c>
    </row>
    <row r="3965">
      <c r="A3965" s="92" t="n">
        <v>2026</v>
      </c>
      <c r="B3965" s="92" t="n">
        <v>6</v>
      </c>
      <c r="C3965" s="92" t="inlineStr">
        <is>
          <t>5100001243</t>
        </is>
      </c>
      <c r="D3965" s="95" t="n">
        <v>46186</v>
      </c>
      <c r="E3965" s="92" t="inlineStr">
        <is>
          <t>KR</t>
        </is>
      </c>
      <c r="F3965" s="92" t="n">
        <v>62902000</v>
      </c>
      <c r="G3965" s="92" t="n">
        <v>1801</v>
      </c>
      <c r="H3965" s="93" t="n">
        <v>1761000</v>
      </c>
      <c r="I3965" s="92" t="inlineStr">
        <is>
          <t>6월 콜 위탁 수수료(건별)</t>
        </is>
      </c>
      <c r="J3965" s="92" t="inlineStr">
        <is>
          <t>V10016</t>
        </is>
      </c>
      <c r="K3965" s="92" t="inlineStr">
        <is>
          <t>J콜센터</t>
        </is>
      </c>
      <c r="M3965" s="9">
        <f>IF($A3965="","",VALUE($A3965&amp;"")*12+VALUE($B3965&amp;""))</f>
        <v/>
      </c>
      <c r="N3965" s="64">
        <f>IF($A3965="","",IFERROR(INDEX(부서매핑!$C$5:$C$504,MATCH($G3965&amp;"",부서매핑!$A$5:$A$504,0)),"미매핑"))</f>
        <v/>
      </c>
      <c r="O3965" s="9">
        <f>IF($A3965="","",N3965&amp;"|"&amp;$F3965)</f>
        <v/>
      </c>
      <c r="P3965" s="94">
        <f>IF($A3965="",0,$H3965*설정!$C$23)</f>
        <v/>
      </c>
      <c r="Q3965" s="64">
        <f>IF($A3965="","",IF(O3965&lt;&gt;원인분석!$C$9,"",IF(AND(M3965&gt;=원인분석!$C$10,M3965&lt;=원인분석!$C$11),"당기",IF(AND(M3965&gt;=원인분석!$C$12,M3965&lt;=원인분석!$C$13),"비교",""))))</f>
        <v/>
      </c>
      <c r="R3965" s="9">
        <f>IF(Q3965="","",$K3965&amp;"")</f>
        <v/>
      </c>
      <c r="S3965" s="9">
        <f>IF(Q3965="","",IF(MATCH(R3965,$R$5:$R$100000,0)=ROW()-4,ROW(),""))</f>
        <v/>
      </c>
      <c r="T3965" s="9">
        <f>IF(Q3965="당기",ABS(P3965)+ROW()/1000000000,"")</f>
        <v/>
      </c>
      <c r="U3965" s="9">
        <f>IF(Q3965="비교",ABS(P3965)+ROW()/1000000000,"")</f>
        <v/>
      </c>
      <c r="V3965" s="64">
        <f>IF($A3965="","",IF(COUNTIF(변동분석!$E$7:$E$506,O3965)&gt;0,"Y","N"))</f>
        <v/>
      </c>
      <c r="W3965" s="64">
        <f>IF($A3965="","",IFERROR(INDEX(계정매핑!$D$5:$D$504,MATCH($F3965&amp;"",계정매핑!$A$5:$A$504,0)),"미매핑"))</f>
        <v/>
      </c>
      <c r="X3965" s="9">
        <f>IF($A3965="","",$F3965&amp;"")</f>
        <v/>
      </c>
      <c r="Y3965" s="94">
        <f>IF($A3965="",0,IF(AE3965="직접",IF(AF3965="비귀속",$P3965,0),$P3965*(1-AG3965)*IFERROR(INDEX(계정대체기준!$F$20:$F$49,MATCH($N3965,계정대체기준!$A$20:$A$49,0)),1)))</f>
        <v/>
      </c>
      <c r="Z3965" s="94">
        <f>IF($A3965="",0,IF(AE3965="직접",IF(AF3965="신계약비",$P3965,0),$P3965*(1-AG3965)*IFERROR(INDEX(계정대체기준!$C$20:$C$49,MATCH($N3965,계정대체기준!$A$20:$A$49,0)),0)))</f>
        <v/>
      </c>
      <c r="AA3965" s="94">
        <f>IF($A3965="",0,IF(AE3965="직접",IF(OR(AF3965="유지비",AF3965="손해조사비"),$P3965,0),$P3965*(1-AG3965)*IFERROR(INDEX(계정대체기준!$D$20:$D$49,MATCH($N3965,계정대체기준!$A$20:$A$49,0)),0)))</f>
        <v/>
      </c>
      <c r="AB3965" s="94">
        <f>IF($A3965="",0,IF(AE3965="직접",IF(AF3965="수금비",$P3965,0),$P3965*(1-AG3965)*IFERROR(INDEX(계정대체기준!$E$20:$E$49,MATCH($N3965,계정대체기준!$A$20:$A$49,0)),0)))</f>
        <v/>
      </c>
      <c r="AC3965" s="9">
        <f>IF(AND($A3965&lt;&gt;"",M3965=설정!$C$20,Z3965&gt;0),Z3965+ROW()/1000000000,"")</f>
        <v/>
      </c>
      <c r="AD3965" s="94">
        <f>IF($A3965="",0,$P3965*AG3965)</f>
        <v/>
      </c>
      <c r="AE3965" s="64">
        <f>IF($A3965="","",IFERROR(INDEX(계정매핑!$E$5:$E$504,MATCH($F3965&amp;"",계정매핑!$A$5:$A$504,0))&amp;"","공통비"))</f>
        <v/>
      </c>
      <c r="AF3965" s="64">
        <f>IF($A3965="","",IF(AE3965="직접",IFERROR(INDEX(계정매핑!$F$5:$F$504,MATCH($F3965&amp;"",계정매핑!$A$5:$A$504,0))&amp;"","비귀속"),""))</f>
        <v/>
      </c>
      <c r="AG3965" s="96">
        <f>IF($A3965="",0,IF(AND(AE3965&lt;&gt;"직접",IFERROR(INDEX(계정매핑!$G$5:$G$504,MATCH($F3965&amp;"",계정매핑!$A$5:$A$504,0))&amp;"","")="유지비",COUNTIF(계정대체기준!$A$6:$A$15,$N3965)&gt;0),IFERROR(INDEX(계정대체기준!$E$6:$E$15,MATCH(VALUE($A3965&amp;""),계정대체기준!$D$6:$D$15,0)),0),0))</f>
        <v/>
      </c>
      <c r="AH3965" s="64">
        <f>IF($A3965="","",IF(AD3965=0,"",IF(OR(COUNTIF(계정대체기준!$A$77:$A$86,$N3965)&gt;0,ISNUMBER(MATCH($X3965,계정대체기준!$D$77:$D$86,0)),ISNUMBER(MATCH($F3965,계정대체기준!$D$77:$D$86,0))),"Y","N")))</f>
        <v/>
      </c>
    </row>
    <row r="3966">
      <c r="A3966" s="92" t="n">
        <v>2026</v>
      </c>
      <c r="B3966" s="92" t="n">
        <v>6</v>
      </c>
      <c r="C3966" s="92" t="inlineStr">
        <is>
          <t>5100001244</t>
        </is>
      </c>
      <c r="D3966" s="95" t="n">
        <v>46187</v>
      </c>
      <c r="E3966" s="92" t="inlineStr">
        <is>
          <t>KR</t>
        </is>
      </c>
      <c r="F3966" s="92" t="n">
        <v>62101000</v>
      </c>
      <c r="G3966" s="92" t="n">
        <v>1401</v>
      </c>
      <c r="H3966" s="93" t="n">
        <v>514000</v>
      </c>
      <c r="I3966" s="92" t="inlineStr">
        <is>
          <t>6월 국내출장 - (법인카드)</t>
        </is>
      </c>
      <c r="J3966" s="92" t="inlineStr">
        <is>
          <t>V10010</t>
        </is>
      </c>
      <c r="K3966" s="92" t="inlineStr">
        <is>
          <t>(법인카드)</t>
        </is>
      </c>
      <c r="M3966" s="9">
        <f>IF($A3966="","",VALUE($A3966&amp;"")*12+VALUE($B3966&amp;""))</f>
        <v/>
      </c>
      <c r="N3966" s="64">
        <f>IF($A3966="","",IFERROR(INDEX(부서매핑!$C$5:$C$504,MATCH($G3966&amp;"",부서매핑!$A$5:$A$504,0)),"미매핑"))</f>
        <v/>
      </c>
      <c r="O3966" s="9">
        <f>IF($A3966="","",N3966&amp;"|"&amp;$F3966)</f>
        <v/>
      </c>
      <c r="P3966" s="94">
        <f>IF($A3966="",0,$H3966*설정!$C$23)</f>
        <v/>
      </c>
      <c r="Q3966" s="64">
        <f>IF($A3966="","",IF(O3966&lt;&gt;원인분석!$C$9,"",IF(AND(M3966&gt;=원인분석!$C$10,M3966&lt;=원인분석!$C$11),"당기",IF(AND(M3966&gt;=원인분석!$C$12,M3966&lt;=원인분석!$C$13),"비교",""))))</f>
        <v/>
      </c>
      <c r="R3966" s="9">
        <f>IF(Q3966="","",$K3966&amp;"")</f>
        <v/>
      </c>
      <c r="S3966" s="9">
        <f>IF(Q3966="","",IF(MATCH(R3966,$R$5:$R$100000,0)=ROW()-4,ROW(),""))</f>
        <v/>
      </c>
      <c r="T3966" s="9">
        <f>IF(Q3966="당기",ABS(P3966)+ROW()/1000000000,"")</f>
        <v/>
      </c>
      <c r="U3966" s="9">
        <f>IF(Q3966="비교",ABS(P3966)+ROW()/1000000000,"")</f>
        <v/>
      </c>
      <c r="V3966" s="64">
        <f>IF($A3966="","",IF(COUNTIF(변동분석!$E$7:$E$506,O3966)&gt;0,"Y","N"))</f>
        <v/>
      </c>
      <c r="W3966" s="64">
        <f>IF($A3966="","",IFERROR(INDEX(계정매핑!$D$5:$D$504,MATCH($F3966&amp;"",계정매핑!$A$5:$A$504,0)),"미매핑"))</f>
        <v/>
      </c>
      <c r="X3966" s="9">
        <f>IF($A3966="","",$F3966&amp;"")</f>
        <v/>
      </c>
      <c r="Y3966" s="94">
        <f>IF($A3966="",0,IF(AE3966="직접",IF(AF3966="비귀속",$P3966,0),$P3966*(1-AG3966)*IFERROR(INDEX(계정대체기준!$F$20:$F$49,MATCH($N3966,계정대체기준!$A$20:$A$49,0)),1)))</f>
        <v/>
      </c>
      <c r="Z3966" s="94">
        <f>IF($A3966="",0,IF(AE3966="직접",IF(AF3966="신계약비",$P3966,0),$P3966*(1-AG3966)*IFERROR(INDEX(계정대체기준!$C$20:$C$49,MATCH($N3966,계정대체기준!$A$20:$A$49,0)),0)))</f>
        <v/>
      </c>
      <c r="AA3966" s="94">
        <f>IF($A3966="",0,IF(AE3966="직접",IF(OR(AF3966="유지비",AF3966="손해조사비"),$P3966,0),$P3966*(1-AG3966)*IFERROR(INDEX(계정대체기준!$D$20:$D$49,MATCH($N3966,계정대체기준!$A$20:$A$49,0)),0)))</f>
        <v/>
      </c>
      <c r="AB3966" s="94">
        <f>IF($A3966="",0,IF(AE3966="직접",IF(AF3966="수금비",$P3966,0),$P3966*(1-AG3966)*IFERROR(INDEX(계정대체기준!$E$20:$E$49,MATCH($N3966,계정대체기준!$A$20:$A$49,0)),0)))</f>
        <v/>
      </c>
      <c r="AC3966" s="9">
        <f>IF(AND($A3966&lt;&gt;"",M3966=설정!$C$20,Z3966&gt;0),Z3966+ROW()/1000000000,"")</f>
        <v/>
      </c>
      <c r="AD3966" s="94">
        <f>IF($A3966="",0,$P3966*AG3966)</f>
        <v/>
      </c>
      <c r="AE3966" s="64">
        <f>IF($A3966="","",IFERROR(INDEX(계정매핑!$E$5:$E$504,MATCH($F3966&amp;"",계정매핑!$A$5:$A$504,0))&amp;"","공통비"))</f>
        <v/>
      </c>
      <c r="AF3966" s="64">
        <f>IF($A3966="","",IF(AE3966="직접",IFERROR(INDEX(계정매핑!$F$5:$F$504,MATCH($F3966&amp;"",계정매핑!$A$5:$A$504,0))&amp;"","비귀속"),""))</f>
        <v/>
      </c>
      <c r="AG3966" s="96">
        <f>IF($A3966="",0,IF(AND(AE3966&lt;&gt;"직접",IFERROR(INDEX(계정매핑!$G$5:$G$504,MATCH($F3966&amp;"",계정매핑!$A$5:$A$504,0))&amp;"","")="유지비",COUNTIF(계정대체기준!$A$6:$A$15,$N3966)&gt;0),IFERROR(INDEX(계정대체기준!$E$6:$E$15,MATCH(VALUE($A3966&amp;""),계정대체기준!$D$6:$D$15,0)),0),0))</f>
        <v/>
      </c>
      <c r="AH3966" s="64">
        <f>IF($A3966="","",IF(AD3966=0,"",IF(OR(COUNTIF(계정대체기준!$A$77:$A$86,$N3966)&gt;0,ISNUMBER(MATCH($X3966,계정대체기준!$D$77:$D$86,0)),ISNUMBER(MATCH($F3966,계정대체기준!$D$77:$D$86,0))),"Y","N")))</f>
        <v/>
      </c>
    </row>
    <row r="3967">
      <c r="A3967" s="92" t="n">
        <v>2026</v>
      </c>
      <c r="B3967" s="92" t="n">
        <v>6</v>
      </c>
      <c r="C3967" s="92" t="inlineStr">
        <is>
          <t>5100001245</t>
        </is>
      </c>
      <c r="D3967" s="95" t="n">
        <v>46187</v>
      </c>
      <c r="E3967" s="92" t="inlineStr">
        <is>
          <t>KR</t>
        </is>
      </c>
      <c r="F3967" s="92" t="n">
        <v>62201000</v>
      </c>
      <c r="G3967" s="92" t="n">
        <v>1101</v>
      </c>
      <c r="H3967" s="93" t="n">
        <v>254000</v>
      </c>
      <c r="I3967" s="92" t="inlineStr">
        <is>
          <t>6월 통신요금 - O텔레콤</t>
        </is>
      </c>
      <c r="J3967" s="92" t="inlineStr">
        <is>
          <t>V10002</t>
        </is>
      </c>
      <c r="K3967" s="92" t="inlineStr">
        <is>
          <t>O텔레콤</t>
        </is>
      </c>
      <c r="M3967" s="9">
        <f>IF($A3967="","",VALUE($A3967&amp;"")*12+VALUE($B3967&amp;""))</f>
        <v/>
      </c>
      <c r="N3967" s="64">
        <f>IF($A3967="","",IFERROR(INDEX(부서매핑!$C$5:$C$504,MATCH($G3967&amp;"",부서매핑!$A$5:$A$504,0)),"미매핑"))</f>
        <v/>
      </c>
      <c r="O3967" s="9">
        <f>IF($A3967="","",N3967&amp;"|"&amp;$F3967)</f>
        <v/>
      </c>
      <c r="P3967" s="94">
        <f>IF($A3967="",0,$H3967*설정!$C$23)</f>
        <v/>
      </c>
      <c r="Q3967" s="64">
        <f>IF($A3967="","",IF(O3967&lt;&gt;원인분석!$C$9,"",IF(AND(M3967&gt;=원인분석!$C$10,M3967&lt;=원인분석!$C$11),"당기",IF(AND(M3967&gt;=원인분석!$C$12,M3967&lt;=원인분석!$C$13),"비교",""))))</f>
        <v/>
      </c>
      <c r="R3967" s="9">
        <f>IF(Q3967="","",$K3967&amp;"")</f>
        <v/>
      </c>
      <c r="S3967" s="9">
        <f>IF(Q3967="","",IF(MATCH(R3967,$R$5:$R$100000,0)=ROW()-4,ROW(),""))</f>
        <v/>
      </c>
      <c r="T3967" s="9">
        <f>IF(Q3967="당기",ABS(P3967)+ROW()/1000000000,"")</f>
        <v/>
      </c>
      <c r="U3967" s="9">
        <f>IF(Q3967="비교",ABS(P3967)+ROW()/1000000000,"")</f>
        <v/>
      </c>
      <c r="V3967" s="64">
        <f>IF($A3967="","",IF(COUNTIF(변동분석!$E$7:$E$506,O3967)&gt;0,"Y","N"))</f>
        <v/>
      </c>
      <c r="W3967" s="64">
        <f>IF($A3967="","",IFERROR(INDEX(계정매핑!$D$5:$D$504,MATCH($F3967&amp;"",계정매핑!$A$5:$A$504,0)),"미매핑"))</f>
        <v/>
      </c>
      <c r="X3967" s="9">
        <f>IF($A3967="","",$F3967&amp;"")</f>
        <v/>
      </c>
      <c r="Y3967" s="94">
        <f>IF($A3967="",0,IF(AE3967="직접",IF(AF3967="비귀속",$P3967,0),$P3967*(1-AG3967)*IFERROR(INDEX(계정대체기준!$F$20:$F$49,MATCH($N3967,계정대체기준!$A$20:$A$49,0)),1)))</f>
        <v/>
      </c>
      <c r="Z3967" s="94">
        <f>IF($A3967="",0,IF(AE3967="직접",IF(AF3967="신계약비",$P3967,0),$P3967*(1-AG3967)*IFERROR(INDEX(계정대체기준!$C$20:$C$49,MATCH($N3967,계정대체기준!$A$20:$A$49,0)),0)))</f>
        <v/>
      </c>
      <c r="AA3967" s="94">
        <f>IF($A3967="",0,IF(AE3967="직접",IF(OR(AF3967="유지비",AF3967="손해조사비"),$P3967,0),$P3967*(1-AG3967)*IFERROR(INDEX(계정대체기준!$D$20:$D$49,MATCH($N3967,계정대체기준!$A$20:$A$49,0)),0)))</f>
        <v/>
      </c>
      <c r="AB3967" s="94">
        <f>IF($A3967="",0,IF(AE3967="직접",IF(AF3967="수금비",$P3967,0),$P3967*(1-AG3967)*IFERROR(INDEX(계정대체기준!$E$20:$E$49,MATCH($N3967,계정대체기준!$A$20:$A$49,0)),0)))</f>
        <v/>
      </c>
      <c r="AC3967" s="9">
        <f>IF(AND($A3967&lt;&gt;"",M3967=설정!$C$20,Z3967&gt;0),Z3967+ROW()/1000000000,"")</f>
        <v/>
      </c>
      <c r="AD3967" s="94">
        <f>IF($A3967="",0,$P3967*AG3967)</f>
        <v/>
      </c>
      <c r="AE3967" s="64">
        <f>IF($A3967="","",IFERROR(INDEX(계정매핑!$E$5:$E$504,MATCH($F3967&amp;"",계정매핑!$A$5:$A$504,0))&amp;"","공통비"))</f>
        <v/>
      </c>
      <c r="AF3967" s="64">
        <f>IF($A3967="","",IF(AE3967="직접",IFERROR(INDEX(계정매핑!$F$5:$F$504,MATCH($F3967&amp;"",계정매핑!$A$5:$A$504,0))&amp;"","비귀속"),""))</f>
        <v/>
      </c>
      <c r="AG3967" s="96">
        <f>IF($A3967="",0,IF(AND(AE3967&lt;&gt;"직접",IFERROR(INDEX(계정매핑!$G$5:$G$504,MATCH($F3967&amp;"",계정매핑!$A$5:$A$504,0))&amp;"","")="유지비",COUNTIF(계정대체기준!$A$6:$A$15,$N3967)&gt;0),IFERROR(INDEX(계정대체기준!$E$6:$E$15,MATCH(VALUE($A3967&amp;""),계정대체기준!$D$6:$D$15,0)),0),0))</f>
        <v/>
      </c>
      <c r="AH3967" s="64">
        <f>IF($A3967="","",IF(AD3967=0,"",IF(OR(COUNTIF(계정대체기준!$A$77:$A$86,$N3967)&gt;0,ISNUMBER(MATCH($X3967,계정대체기준!$D$77:$D$86,0)),ISNUMBER(MATCH($F3967,계정대체기준!$D$77:$D$86,0))),"Y","N")))</f>
        <v/>
      </c>
    </row>
    <row r="3968">
      <c r="A3968" s="92" t="n">
        <v>2026</v>
      </c>
      <c r="B3968" s="92" t="n">
        <v>6</v>
      </c>
      <c r="C3968" s="92" t="inlineStr">
        <is>
          <t>5100001246</t>
        </is>
      </c>
      <c r="D3968" s="95" t="n">
        <v>46187</v>
      </c>
      <c r="E3968" s="92" t="inlineStr">
        <is>
          <t>KR</t>
        </is>
      </c>
      <c r="F3968" s="92" t="n">
        <v>62301000</v>
      </c>
      <c r="G3968" s="92" t="n">
        <v>1701</v>
      </c>
      <c r="H3968" s="93" t="n">
        <v>306000</v>
      </c>
      <c r="I3968" s="92" t="inlineStr">
        <is>
          <t>6월 소모품 구입 - Q오피스</t>
        </is>
      </c>
      <c r="J3968" s="92" t="inlineStr">
        <is>
          <t>V10003</t>
        </is>
      </c>
      <c r="K3968" s="92" t="inlineStr">
        <is>
          <t>Q오피스</t>
        </is>
      </c>
      <c r="M3968" s="9">
        <f>IF($A3968="","",VALUE($A3968&amp;"")*12+VALUE($B3968&amp;""))</f>
        <v/>
      </c>
      <c r="N3968" s="64">
        <f>IF($A3968="","",IFERROR(INDEX(부서매핑!$C$5:$C$504,MATCH($G3968&amp;"",부서매핑!$A$5:$A$504,0)),"미매핑"))</f>
        <v/>
      </c>
      <c r="O3968" s="9">
        <f>IF($A3968="","",N3968&amp;"|"&amp;$F3968)</f>
        <v/>
      </c>
      <c r="P3968" s="94">
        <f>IF($A3968="",0,$H3968*설정!$C$23)</f>
        <v/>
      </c>
      <c r="Q3968" s="64">
        <f>IF($A3968="","",IF(O3968&lt;&gt;원인분석!$C$9,"",IF(AND(M3968&gt;=원인분석!$C$10,M3968&lt;=원인분석!$C$11),"당기",IF(AND(M3968&gt;=원인분석!$C$12,M3968&lt;=원인분석!$C$13),"비교",""))))</f>
        <v/>
      </c>
      <c r="R3968" s="9">
        <f>IF(Q3968="","",$K3968&amp;"")</f>
        <v/>
      </c>
      <c r="S3968" s="9">
        <f>IF(Q3968="","",IF(MATCH(R3968,$R$5:$R$100000,0)=ROW()-4,ROW(),""))</f>
        <v/>
      </c>
      <c r="T3968" s="9">
        <f>IF(Q3968="당기",ABS(P3968)+ROW()/1000000000,"")</f>
        <v/>
      </c>
      <c r="U3968" s="9">
        <f>IF(Q3968="비교",ABS(P3968)+ROW()/1000000000,"")</f>
        <v/>
      </c>
      <c r="V3968" s="64">
        <f>IF($A3968="","",IF(COUNTIF(변동분석!$E$7:$E$506,O3968)&gt;0,"Y","N"))</f>
        <v/>
      </c>
      <c r="W3968" s="64">
        <f>IF($A3968="","",IFERROR(INDEX(계정매핑!$D$5:$D$504,MATCH($F3968&amp;"",계정매핑!$A$5:$A$504,0)),"미매핑"))</f>
        <v/>
      </c>
      <c r="X3968" s="9">
        <f>IF($A3968="","",$F3968&amp;"")</f>
        <v/>
      </c>
      <c r="Y3968" s="94">
        <f>IF($A3968="",0,IF(AE3968="직접",IF(AF3968="비귀속",$P3968,0),$P3968*(1-AG3968)*IFERROR(INDEX(계정대체기준!$F$20:$F$49,MATCH($N3968,계정대체기준!$A$20:$A$49,0)),1)))</f>
        <v/>
      </c>
      <c r="Z3968" s="94">
        <f>IF($A3968="",0,IF(AE3968="직접",IF(AF3968="신계약비",$P3968,0),$P3968*(1-AG3968)*IFERROR(INDEX(계정대체기준!$C$20:$C$49,MATCH($N3968,계정대체기준!$A$20:$A$49,0)),0)))</f>
        <v/>
      </c>
      <c r="AA3968" s="94">
        <f>IF($A3968="",0,IF(AE3968="직접",IF(OR(AF3968="유지비",AF3968="손해조사비"),$P3968,0),$P3968*(1-AG3968)*IFERROR(INDEX(계정대체기준!$D$20:$D$49,MATCH($N3968,계정대체기준!$A$20:$A$49,0)),0)))</f>
        <v/>
      </c>
      <c r="AB3968" s="94">
        <f>IF($A3968="",0,IF(AE3968="직접",IF(AF3968="수금비",$P3968,0),$P3968*(1-AG3968)*IFERROR(INDEX(계정대체기준!$E$20:$E$49,MATCH($N3968,계정대체기준!$A$20:$A$49,0)),0)))</f>
        <v/>
      </c>
      <c r="AC3968" s="9">
        <f>IF(AND($A3968&lt;&gt;"",M3968=설정!$C$20,Z3968&gt;0),Z3968+ROW()/1000000000,"")</f>
        <v/>
      </c>
      <c r="AD3968" s="94">
        <f>IF($A3968="",0,$P3968*AG3968)</f>
        <v/>
      </c>
      <c r="AE3968" s="64">
        <f>IF($A3968="","",IFERROR(INDEX(계정매핑!$E$5:$E$504,MATCH($F3968&amp;"",계정매핑!$A$5:$A$504,0))&amp;"","공통비"))</f>
        <v/>
      </c>
      <c r="AF3968" s="64">
        <f>IF($A3968="","",IF(AE3968="직접",IFERROR(INDEX(계정매핑!$F$5:$F$504,MATCH($F3968&amp;"",계정매핑!$A$5:$A$504,0))&amp;"","비귀속"),""))</f>
        <v/>
      </c>
      <c r="AG3968" s="96">
        <f>IF($A3968="",0,IF(AND(AE3968&lt;&gt;"직접",IFERROR(INDEX(계정매핑!$G$5:$G$504,MATCH($F3968&amp;"",계정매핑!$A$5:$A$504,0))&amp;"","")="유지비",COUNTIF(계정대체기준!$A$6:$A$15,$N3968)&gt;0),IFERROR(INDEX(계정대체기준!$E$6:$E$15,MATCH(VALUE($A3968&amp;""),계정대체기준!$D$6:$D$15,0)),0),0))</f>
        <v/>
      </c>
      <c r="AH3968" s="64">
        <f>IF($A3968="","",IF(AD3968=0,"",IF(OR(COUNTIF(계정대체기준!$A$77:$A$86,$N3968)&gt;0,ISNUMBER(MATCH($X3968,계정대체기준!$D$77:$D$86,0)),ISNUMBER(MATCH($F3968,계정대체기준!$D$77:$D$86,0))),"Y","N")))</f>
        <v/>
      </c>
    </row>
    <row r="3969">
      <c r="A3969" s="92" t="n">
        <v>2026</v>
      </c>
      <c r="B3969" s="92" t="n">
        <v>6</v>
      </c>
      <c r="C3969" s="92" t="inlineStr">
        <is>
          <t>5100001247</t>
        </is>
      </c>
      <c r="D3969" s="95" t="n">
        <v>46187</v>
      </c>
      <c r="E3969" s="92" t="inlineStr">
        <is>
          <t>KR</t>
        </is>
      </c>
      <c r="F3969" s="92" t="n">
        <v>62501000</v>
      </c>
      <c r="G3969" s="92" t="n">
        <v>1201</v>
      </c>
      <c r="H3969" s="93" t="n">
        <v>96000</v>
      </c>
      <c r="I3969" s="92" t="inlineStr">
        <is>
          <t>6월 회의 다과 - T케이터링</t>
        </is>
      </c>
      <c r="J3969" s="92" t="inlineStr">
        <is>
          <t>V10005</t>
        </is>
      </c>
      <c r="K3969" s="92" t="inlineStr">
        <is>
          <t>T케이터링</t>
        </is>
      </c>
      <c r="M3969" s="9">
        <f>IF($A3969="","",VALUE($A3969&amp;"")*12+VALUE($B3969&amp;""))</f>
        <v/>
      </c>
      <c r="N3969" s="64">
        <f>IF($A3969="","",IFERROR(INDEX(부서매핑!$C$5:$C$504,MATCH($G3969&amp;"",부서매핑!$A$5:$A$504,0)),"미매핑"))</f>
        <v/>
      </c>
      <c r="O3969" s="9">
        <f>IF($A3969="","",N3969&amp;"|"&amp;$F3969)</f>
        <v/>
      </c>
      <c r="P3969" s="94">
        <f>IF($A3969="",0,$H3969*설정!$C$23)</f>
        <v/>
      </c>
      <c r="Q3969" s="64">
        <f>IF($A3969="","",IF(O3969&lt;&gt;원인분석!$C$9,"",IF(AND(M3969&gt;=원인분석!$C$10,M3969&lt;=원인분석!$C$11),"당기",IF(AND(M3969&gt;=원인분석!$C$12,M3969&lt;=원인분석!$C$13),"비교",""))))</f>
        <v/>
      </c>
      <c r="R3969" s="9">
        <f>IF(Q3969="","",$K3969&amp;"")</f>
        <v/>
      </c>
      <c r="S3969" s="9">
        <f>IF(Q3969="","",IF(MATCH(R3969,$R$5:$R$100000,0)=ROW()-4,ROW(),""))</f>
        <v/>
      </c>
      <c r="T3969" s="9">
        <f>IF(Q3969="당기",ABS(P3969)+ROW()/1000000000,"")</f>
        <v/>
      </c>
      <c r="U3969" s="9">
        <f>IF(Q3969="비교",ABS(P3969)+ROW()/1000000000,"")</f>
        <v/>
      </c>
      <c r="V3969" s="64">
        <f>IF($A3969="","",IF(COUNTIF(변동분석!$E$7:$E$506,O3969)&gt;0,"Y","N"))</f>
        <v/>
      </c>
      <c r="W3969" s="64">
        <f>IF($A3969="","",IFERROR(INDEX(계정매핑!$D$5:$D$504,MATCH($F3969&amp;"",계정매핑!$A$5:$A$504,0)),"미매핑"))</f>
        <v/>
      </c>
      <c r="X3969" s="9">
        <f>IF($A3969="","",$F3969&amp;"")</f>
        <v/>
      </c>
      <c r="Y3969" s="94">
        <f>IF($A3969="",0,IF(AE3969="직접",IF(AF3969="비귀속",$P3969,0),$P3969*(1-AG3969)*IFERROR(INDEX(계정대체기준!$F$20:$F$49,MATCH($N3969,계정대체기준!$A$20:$A$49,0)),1)))</f>
        <v/>
      </c>
      <c r="Z3969" s="94">
        <f>IF($A3969="",0,IF(AE3969="직접",IF(AF3969="신계약비",$P3969,0),$P3969*(1-AG3969)*IFERROR(INDEX(계정대체기준!$C$20:$C$49,MATCH($N3969,계정대체기준!$A$20:$A$49,0)),0)))</f>
        <v/>
      </c>
      <c r="AA3969" s="94">
        <f>IF($A3969="",0,IF(AE3969="직접",IF(OR(AF3969="유지비",AF3969="손해조사비"),$P3969,0),$P3969*(1-AG3969)*IFERROR(INDEX(계정대체기준!$D$20:$D$49,MATCH($N3969,계정대체기준!$A$20:$A$49,0)),0)))</f>
        <v/>
      </c>
      <c r="AB3969" s="94">
        <f>IF($A3969="",0,IF(AE3969="직접",IF(AF3969="수금비",$P3969,0),$P3969*(1-AG3969)*IFERROR(INDEX(계정대체기준!$E$20:$E$49,MATCH($N3969,계정대체기준!$A$20:$A$49,0)),0)))</f>
        <v/>
      </c>
      <c r="AC3969" s="9">
        <f>IF(AND($A3969&lt;&gt;"",M3969=설정!$C$20,Z3969&gt;0),Z3969+ROW()/1000000000,"")</f>
        <v/>
      </c>
      <c r="AD3969" s="94">
        <f>IF($A3969="",0,$P3969*AG3969)</f>
        <v/>
      </c>
      <c r="AE3969" s="64">
        <f>IF($A3969="","",IFERROR(INDEX(계정매핑!$E$5:$E$504,MATCH($F3969&amp;"",계정매핑!$A$5:$A$504,0))&amp;"","공통비"))</f>
        <v/>
      </c>
      <c r="AF3969" s="64">
        <f>IF($A3969="","",IF(AE3969="직접",IFERROR(INDEX(계정매핑!$F$5:$F$504,MATCH($F3969&amp;"",계정매핑!$A$5:$A$504,0))&amp;"","비귀속"),""))</f>
        <v/>
      </c>
      <c r="AG3969" s="96">
        <f>IF($A3969="",0,IF(AND(AE3969&lt;&gt;"직접",IFERROR(INDEX(계정매핑!$G$5:$G$504,MATCH($F3969&amp;"",계정매핑!$A$5:$A$504,0))&amp;"","")="유지비",COUNTIF(계정대체기준!$A$6:$A$15,$N3969)&gt;0),IFERROR(INDEX(계정대체기준!$E$6:$E$15,MATCH(VALUE($A3969&amp;""),계정대체기준!$D$6:$D$15,0)),0),0))</f>
        <v/>
      </c>
      <c r="AH3969" s="64">
        <f>IF($A3969="","",IF(AD3969=0,"",IF(OR(COUNTIF(계정대체기준!$A$77:$A$86,$N3969)&gt;0,ISNUMBER(MATCH($X3969,계정대체기준!$D$77:$D$86,0)),ISNUMBER(MATCH($F3969,계정대체기준!$D$77:$D$86,0))),"Y","N")))</f>
        <v/>
      </c>
    </row>
    <row r="3970">
      <c r="A3970" s="92" t="n">
        <v>2026</v>
      </c>
      <c r="B3970" s="92" t="n">
        <v>6</v>
      </c>
      <c r="C3970" s="92" t="inlineStr">
        <is>
          <t>5100001248</t>
        </is>
      </c>
      <c r="D3970" s="95" t="n">
        <v>46187</v>
      </c>
      <c r="E3970" s="92" t="inlineStr">
        <is>
          <t>KR</t>
        </is>
      </c>
      <c r="F3970" s="92" t="n">
        <v>62801000</v>
      </c>
      <c r="G3970" s="92" t="n">
        <v>1301</v>
      </c>
      <c r="H3970" s="93" t="n">
        <v>4464000</v>
      </c>
      <c r="I3970" s="92" t="inlineStr">
        <is>
          <t>6월 사내교육 - U에듀</t>
        </is>
      </c>
      <c r="J3970" s="92" t="inlineStr">
        <is>
          <t>V10031</t>
        </is>
      </c>
      <c r="K3970" s="92" t="inlineStr">
        <is>
          <t>U에듀</t>
        </is>
      </c>
      <c r="M3970" s="9">
        <f>IF($A3970="","",VALUE($A3970&amp;"")*12+VALUE($B3970&amp;""))</f>
        <v/>
      </c>
      <c r="N3970" s="64">
        <f>IF($A3970="","",IFERROR(INDEX(부서매핑!$C$5:$C$504,MATCH($G3970&amp;"",부서매핑!$A$5:$A$504,0)),"미매핑"))</f>
        <v/>
      </c>
      <c r="O3970" s="9">
        <f>IF($A3970="","",N3970&amp;"|"&amp;$F3970)</f>
        <v/>
      </c>
      <c r="P3970" s="94">
        <f>IF($A3970="",0,$H3970*설정!$C$23)</f>
        <v/>
      </c>
      <c r="Q3970" s="64">
        <f>IF($A3970="","",IF(O3970&lt;&gt;원인분석!$C$9,"",IF(AND(M3970&gt;=원인분석!$C$10,M3970&lt;=원인분석!$C$11),"당기",IF(AND(M3970&gt;=원인분석!$C$12,M3970&lt;=원인분석!$C$13),"비교",""))))</f>
        <v/>
      </c>
      <c r="R3970" s="9">
        <f>IF(Q3970="","",$K3970&amp;"")</f>
        <v/>
      </c>
      <c r="S3970" s="9">
        <f>IF(Q3970="","",IF(MATCH(R3970,$R$5:$R$100000,0)=ROW()-4,ROW(),""))</f>
        <v/>
      </c>
      <c r="T3970" s="9">
        <f>IF(Q3970="당기",ABS(P3970)+ROW()/1000000000,"")</f>
        <v/>
      </c>
      <c r="U3970" s="9">
        <f>IF(Q3970="비교",ABS(P3970)+ROW()/1000000000,"")</f>
        <v/>
      </c>
      <c r="V3970" s="64">
        <f>IF($A3970="","",IF(COUNTIF(변동분석!$E$7:$E$506,O3970)&gt;0,"Y","N"))</f>
        <v/>
      </c>
      <c r="W3970" s="64">
        <f>IF($A3970="","",IFERROR(INDEX(계정매핑!$D$5:$D$504,MATCH($F3970&amp;"",계정매핑!$A$5:$A$504,0)),"미매핑"))</f>
        <v/>
      </c>
      <c r="X3970" s="9">
        <f>IF($A3970="","",$F3970&amp;"")</f>
        <v/>
      </c>
      <c r="Y3970" s="94">
        <f>IF($A3970="",0,IF(AE3970="직접",IF(AF3970="비귀속",$P3970,0),$P3970*(1-AG3970)*IFERROR(INDEX(계정대체기준!$F$20:$F$49,MATCH($N3970,계정대체기준!$A$20:$A$49,0)),1)))</f>
        <v/>
      </c>
      <c r="Z3970" s="94">
        <f>IF($A3970="",0,IF(AE3970="직접",IF(AF3970="신계약비",$P3970,0),$P3970*(1-AG3970)*IFERROR(INDEX(계정대체기준!$C$20:$C$49,MATCH($N3970,계정대체기준!$A$20:$A$49,0)),0)))</f>
        <v/>
      </c>
      <c r="AA3970" s="94">
        <f>IF($A3970="",0,IF(AE3970="직접",IF(OR(AF3970="유지비",AF3970="손해조사비"),$P3970,0),$P3970*(1-AG3970)*IFERROR(INDEX(계정대체기준!$D$20:$D$49,MATCH($N3970,계정대체기준!$A$20:$A$49,0)),0)))</f>
        <v/>
      </c>
      <c r="AB3970" s="94">
        <f>IF($A3970="",0,IF(AE3970="직접",IF(AF3970="수금비",$P3970,0),$P3970*(1-AG3970)*IFERROR(INDEX(계정대체기준!$E$20:$E$49,MATCH($N3970,계정대체기준!$A$20:$A$49,0)),0)))</f>
        <v/>
      </c>
      <c r="AC3970" s="9">
        <f>IF(AND($A3970&lt;&gt;"",M3970=설정!$C$20,Z3970&gt;0),Z3970+ROW()/1000000000,"")</f>
        <v/>
      </c>
      <c r="AD3970" s="94">
        <f>IF($A3970="",0,$P3970*AG3970)</f>
        <v/>
      </c>
      <c r="AE3970" s="64">
        <f>IF($A3970="","",IFERROR(INDEX(계정매핑!$E$5:$E$504,MATCH($F3970&amp;"",계정매핑!$A$5:$A$504,0))&amp;"","공통비"))</f>
        <v/>
      </c>
      <c r="AF3970" s="64">
        <f>IF($A3970="","",IF(AE3970="직접",IFERROR(INDEX(계정매핑!$F$5:$F$504,MATCH($F3970&amp;"",계정매핑!$A$5:$A$504,0))&amp;"","비귀속"),""))</f>
        <v/>
      </c>
      <c r="AG3970" s="96">
        <f>IF($A3970="",0,IF(AND(AE3970&lt;&gt;"직접",IFERROR(INDEX(계정매핑!$G$5:$G$504,MATCH($F3970&amp;"",계정매핑!$A$5:$A$504,0))&amp;"","")="유지비",COUNTIF(계정대체기준!$A$6:$A$15,$N3970)&gt;0),IFERROR(INDEX(계정대체기준!$E$6:$E$15,MATCH(VALUE($A3970&amp;""),계정대체기준!$D$6:$D$15,0)),0),0))</f>
        <v/>
      </c>
      <c r="AH3970" s="64">
        <f>IF($A3970="","",IF(AD3970=0,"",IF(OR(COUNTIF(계정대체기준!$A$77:$A$86,$N3970)&gt;0,ISNUMBER(MATCH($X3970,계정대체기준!$D$77:$D$86,0)),ISNUMBER(MATCH($F3970,계정대체기준!$D$77:$D$86,0))),"Y","N")))</f>
        <v/>
      </c>
    </row>
    <row r="3971">
      <c r="A3971" s="92" t="n">
        <v>2026</v>
      </c>
      <c r="B3971" s="92" t="n">
        <v>6</v>
      </c>
      <c r="C3971" s="92" t="inlineStr">
        <is>
          <t>5100001249</t>
        </is>
      </c>
      <c r="D3971" s="95" t="n">
        <v>46187</v>
      </c>
      <c r="E3971" s="92" t="inlineStr">
        <is>
          <t>KR</t>
        </is>
      </c>
      <c r="F3971" s="92" t="n">
        <v>63001000</v>
      </c>
      <c r="G3971" s="92" t="n">
        <v>1701</v>
      </c>
      <c r="H3971" s="93" t="n">
        <v>21844000</v>
      </c>
      <c r="I3971" s="92" t="inlineStr">
        <is>
          <t>6월 SW 유지보수 - Z시스템</t>
        </is>
      </c>
      <c r="J3971" s="92" t="inlineStr">
        <is>
          <t>V10012</t>
        </is>
      </c>
      <c r="K3971" s="92" t="inlineStr">
        <is>
          <t>Z시스템</t>
        </is>
      </c>
      <c r="M3971" s="9">
        <f>IF($A3971="","",VALUE($A3971&amp;"")*12+VALUE($B3971&amp;""))</f>
        <v/>
      </c>
      <c r="N3971" s="64">
        <f>IF($A3971="","",IFERROR(INDEX(부서매핑!$C$5:$C$504,MATCH($G3971&amp;"",부서매핑!$A$5:$A$504,0)),"미매핑"))</f>
        <v/>
      </c>
      <c r="O3971" s="9">
        <f>IF($A3971="","",N3971&amp;"|"&amp;$F3971)</f>
        <v/>
      </c>
      <c r="P3971" s="94">
        <f>IF($A3971="",0,$H3971*설정!$C$23)</f>
        <v/>
      </c>
      <c r="Q3971" s="64">
        <f>IF($A3971="","",IF(O3971&lt;&gt;원인분석!$C$9,"",IF(AND(M3971&gt;=원인분석!$C$10,M3971&lt;=원인분석!$C$11),"당기",IF(AND(M3971&gt;=원인분석!$C$12,M3971&lt;=원인분석!$C$13),"비교",""))))</f>
        <v/>
      </c>
      <c r="R3971" s="9">
        <f>IF(Q3971="","",$K3971&amp;"")</f>
        <v/>
      </c>
      <c r="S3971" s="9">
        <f>IF(Q3971="","",IF(MATCH(R3971,$R$5:$R$100000,0)=ROW()-4,ROW(),""))</f>
        <v/>
      </c>
      <c r="T3971" s="9">
        <f>IF(Q3971="당기",ABS(P3971)+ROW()/1000000000,"")</f>
        <v/>
      </c>
      <c r="U3971" s="9">
        <f>IF(Q3971="비교",ABS(P3971)+ROW()/1000000000,"")</f>
        <v/>
      </c>
      <c r="V3971" s="64">
        <f>IF($A3971="","",IF(COUNTIF(변동분석!$E$7:$E$506,O3971)&gt;0,"Y","N"))</f>
        <v/>
      </c>
      <c r="W3971" s="64">
        <f>IF($A3971="","",IFERROR(INDEX(계정매핑!$D$5:$D$504,MATCH($F3971&amp;"",계정매핑!$A$5:$A$504,0)),"미매핑"))</f>
        <v/>
      </c>
      <c r="X3971" s="9">
        <f>IF($A3971="","",$F3971&amp;"")</f>
        <v/>
      </c>
      <c r="Y3971" s="94">
        <f>IF($A3971="",0,IF(AE3971="직접",IF(AF3971="비귀속",$P3971,0),$P3971*(1-AG3971)*IFERROR(INDEX(계정대체기준!$F$20:$F$49,MATCH($N3971,계정대체기준!$A$20:$A$49,0)),1)))</f>
        <v/>
      </c>
      <c r="Z3971" s="94">
        <f>IF($A3971="",0,IF(AE3971="직접",IF(AF3971="신계약비",$P3971,0),$P3971*(1-AG3971)*IFERROR(INDEX(계정대체기준!$C$20:$C$49,MATCH($N3971,계정대체기준!$A$20:$A$49,0)),0)))</f>
        <v/>
      </c>
      <c r="AA3971" s="94">
        <f>IF($A3971="",0,IF(AE3971="직접",IF(OR(AF3971="유지비",AF3971="손해조사비"),$P3971,0),$P3971*(1-AG3971)*IFERROR(INDEX(계정대체기준!$D$20:$D$49,MATCH($N3971,계정대체기준!$A$20:$A$49,0)),0)))</f>
        <v/>
      </c>
      <c r="AB3971" s="94">
        <f>IF($A3971="",0,IF(AE3971="직접",IF(AF3971="수금비",$P3971,0),$P3971*(1-AG3971)*IFERROR(INDEX(계정대체기준!$E$20:$E$49,MATCH($N3971,계정대체기준!$A$20:$A$49,0)),0)))</f>
        <v/>
      </c>
      <c r="AC3971" s="9">
        <f>IF(AND($A3971&lt;&gt;"",M3971=설정!$C$20,Z3971&gt;0),Z3971+ROW()/1000000000,"")</f>
        <v/>
      </c>
      <c r="AD3971" s="94">
        <f>IF($A3971="",0,$P3971*AG3971)</f>
        <v/>
      </c>
      <c r="AE3971" s="64">
        <f>IF($A3971="","",IFERROR(INDEX(계정매핑!$E$5:$E$504,MATCH($F3971&amp;"",계정매핑!$A$5:$A$504,0))&amp;"","공통비"))</f>
        <v/>
      </c>
      <c r="AF3971" s="64">
        <f>IF($A3971="","",IF(AE3971="직접",IFERROR(INDEX(계정매핑!$F$5:$F$504,MATCH($F3971&amp;"",계정매핑!$A$5:$A$504,0))&amp;"","비귀속"),""))</f>
        <v/>
      </c>
      <c r="AG3971" s="96">
        <f>IF($A3971="",0,IF(AND(AE3971&lt;&gt;"직접",IFERROR(INDEX(계정매핑!$G$5:$G$504,MATCH($F3971&amp;"",계정매핑!$A$5:$A$504,0))&amp;"","")="유지비",COUNTIF(계정대체기준!$A$6:$A$15,$N3971)&gt;0),IFERROR(INDEX(계정대체기준!$E$6:$E$15,MATCH(VALUE($A3971&amp;""),계정대체기준!$D$6:$D$15,0)),0),0))</f>
        <v/>
      </c>
      <c r="AH3971" s="64">
        <f>IF($A3971="","",IF(AD3971=0,"",IF(OR(COUNTIF(계정대체기준!$A$77:$A$86,$N3971)&gt;0,ISNUMBER(MATCH($X3971,계정대체기준!$D$77:$D$86,0)),ISNUMBER(MATCH($F3971,계정대체기준!$D$77:$D$86,0))),"Y","N")))</f>
        <v/>
      </c>
    </row>
    <row r="3972">
      <c r="A3972" s="92" t="n">
        <v>2026</v>
      </c>
      <c r="B3972" s="92" t="n">
        <v>6</v>
      </c>
      <c r="C3972" s="92" t="inlineStr">
        <is>
          <t>5100001250</t>
        </is>
      </c>
      <c r="D3972" s="95" t="n">
        <v>46187</v>
      </c>
      <c r="E3972" s="92" t="inlineStr">
        <is>
          <t>KR</t>
        </is>
      </c>
      <c r="F3972" s="92" t="n">
        <v>63101000</v>
      </c>
      <c r="G3972" s="92" t="n">
        <v>1601</v>
      </c>
      <c r="H3972" s="93" t="n">
        <v>5444000</v>
      </c>
      <c r="I3972" s="92" t="inlineStr">
        <is>
          <t>6월 사무실 임차료 - BB부동산</t>
        </is>
      </c>
      <c r="J3972" s="92" t="inlineStr">
        <is>
          <t>V10028</t>
        </is>
      </c>
      <c r="K3972" s="92" t="inlineStr">
        <is>
          <t>BB부동산</t>
        </is>
      </c>
      <c r="M3972" s="9">
        <f>IF($A3972="","",VALUE($A3972&amp;"")*12+VALUE($B3972&amp;""))</f>
        <v/>
      </c>
      <c r="N3972" s="64">
        <f>IF($A3972="","",IFERROR(INDEX(부서매핑!$C$5:$C$504,MATCH($G3972&amp;"",부서매핑!$A$5:$A$504,0)),"미매핑"))</f>
        <v/>
      </c>
      <c r="O3972" s="9">
        <f>IF($A3972="","",N3972&amp;"|"&amp;$F3972)</f>
        <v/>
      </c>
      <c r="P3972" s="94">
        <f>IF($A3972="",0,$H3972*설정!$C$23)</f>
        <v/>
      </c>
      <c r="Q3972" s="64">
        <f>IF($A3972="","",IF(O3972&lt;&gt;원인분석!$C$9,"",IF(AND(M3972&gt;=원인분석!$C$10,M3972&lt;=원인분석!$C$11),"당기",IF(AND(M3972&gt;=원인분석!$C$12,M3972&lt;=원인분석!$C$13),"비교",""))))</f>
        <v/>
      </c>
      <c r="R3972" s="9">
        <f>IF(Q3972="","",$K3972&amp;"")</f>
        <v/>
      </c>
      <c r="S3972" s="9">
        <f>IF(Q3972="","",IF(MATCH(R3972,$R$5:$R$100000,0)=ROW()-4,ROW(),""))</f>
        <v/>
      </c>
      <c r="T3972" s="9">
        <f>IF(Q3972="당기",ABS(P3972)+ROW()/1000000000,"")</f>
        <v/>
      </c>
      <c r="U3972" s="9">
        <f>IF(Q3972="비교",ABS(P3972)+ROW()/1000000000,"")</f>
        <v/>
      </c>
      <c r="V3972" s="64">
        <f>IF($A3972="","",IF(COUNTIF(변동분석!$E$7:$E$506,O3972)&gt;0,"Y","N"))</f>
        <v/>
      </c>
      <c r="W3972" s="64">
        <f>IF($A3972="","",IFERROR(INDEX(계정매핑!$D$5:$D$504,MATCH($F3972&amp;"",계정매핑!$A$5:$A$504,0)),"미매핑"))</f>
        <v/>
      </c>
      <c r="X3972" s="9">
        <f>IF($A3972="","",$F3972&amp;"")</f>
        <v/>
      </c>
      <c r="Y3972" s="94">
        <f>IF($A3972="",0,IF(AE3972="직접",IF(AF3972="비귀속",$P3972,0),$P3972*(1-AG3972)*IFERROR(INDEX(계정대체기준!$F$20:$F$49,MATCH($N3972,계정대체기준!$A$20:$A$49,0)),1)))</f>
        <v/>
      </c>
      <c r="Z3972" s="94">
        <f>IF($A3972="",0,IF(AE3972="직접",IF(AF3972="신계약비",$P3972,0),$P3972*(1-AG3972)*IFERROR(INDEX(계정대체기준!$C$20:$C$49,MATCH($N3972,계정대체기준!$A$20:$A$49,0)),0)))</f>
        <v/>
      </c>
      <c r="AA3972" s="94">
        <f>IF($A3972="",0,IF(AE3972="직접",IF(OR(AF3972="유지비",AF3972="손해조사비"),$P3972,0),$P3972*(1-AG3972)*IFERROR(INDEX(계정대체기준!$D$20:$D$49,MATCH($N3972,계정대체기준!$A$20:$A$49,0)),0)))</f>
        <v/>
      </c>
      <c r="AB3972" s="94">
        <f>IF($A3972="",0,IF(AE3972="직접",IF(AF3972="수금비",$P3972,0),$P3972*(1-AG3972)*IFERROR(INDEX(계정대체기준!$E$20:$E$49,MATCH($N3972,계정대체기준!$A$20:$A$49,0)),0)))</f>
        <v/>
      </c>
      <c r="AC3972" s="9">
        <f>IF(AND($A3972&lt;&gt;"",M3972=설정!$C$20,Z3972&gt;0),Z3972+ROW()/1000000000,"")</f>
        <v/>
      </c>
      <c r="AD3972" s="94">
        <f>IF($A3972="",0,$P3972*AG3972)</f>
        <v/>
      </c>
      <c r="AE3972" s="64">
        <f>IF($A3972="","",IFERROR(INDEX(계정매핑!$E$5:$E$504,MATCH($F3972&amp;"",계정매핑!$A$5:$A$504,0))&amp;"","공통비"))</f>
        <v/>
      </c>
      <c r="AF3972" s="64">
        <f>IF($A3972="","",IF(AE3972="직접",IFERROR(INDEX(계정매핑!$F$5:$F$504,MATCH($F3972&amp;"",계정매핑!$A$5:$A$504,0))&amp;"","비귀속"),""))</f>
        <v/>
      </c>
      <c r="AG3972" s="96">
        <f>IF($A3972="",0,IF(AND(AE3972&lt;&gt;"직접",IFERROR(INDEX(계정매핑!$G$5:$G$504,MATCH($F3972&amp;"",계정매핑!$A$5:$A$504,0))&amp;"","")="유지비",COUNTIF(계정대체기준!$A$6:$A$15,$N3972)&gt;0),IFERROR(INDEX(계정대체기준!$E$6:$E$15,MATCH(VALUE($A3972&amp;""),계정대체기준!$D$6:$D$15,0)),0),0))</f>
        <v/>
      </c>
      <c r="AH3972" s="64">
        <f>IF($A3972="","",IF(AD3972=0,"",IF(OR(COUNTIF(계정대체기준!$A$77:$A$86,$N3972)&gt;0,ISNUMBER(MATCH($X3972,계정대체기준!$D$77:$D$86,0)),ISNUMBER(MATCH($F3972,계정대체기준!$D$77:$D$86,0))),"Y","N")))</f>
        <v/>
      </c>
    </row>
    <row r="3973">
      <c r="A3973" s="92" t="n">
        <v>2026</v>
      </c>
      <c r="B3973" s="92" t="n">
        <v>6</v>
      </c>
      <c r="C3973" s="92" t="inlineStr">
        <is>
          <t>5100001251</t>
        </is>
      </c>
      <c r="D3973" s="95" t="n">
        <v>46188</v>
      </c>
      <c r="E3973" s="92" t="inlineStr">
        <is>
          <t>KR</t>
        </is>
      </c>
      <c r="F3973" s="92" t="n">
        <v>62101000</v>
      </c>
      <c r="G3973" s="92" t="n">
        <v>1601</v>
      </c>
      <c r="H3973" s="93" t="n">
        <v>1527000</v>
      </c>
      <c r="I3973" s="92" t="inlineStr">
        <is>
          <t>6월 국내출장 - L여행사</t>
        </is>
      </c>
      <c r="J3973" s="92" t="inlineStr">
        <is>
          <t>V10018</t>
        </is>
      </c>
      <c r="K3973" s="92" t="inlineStr">
        <is>
          <t>L여행사</t>
        </is>
      </c>
      <c r="M3973" s="9">
        <f>IF($A3973="","",VALUE($A3973&amp;"")*12+VALUE($B3973&amp;""))</f>
        <v/>
      </c>
      <c r="N3973" s="64">
        <f>IF($A3973="","",IFERROR(INDEX(부서매핑!$C$5:$C$504,MATCH($G3973&amp;"",부서매핑!$A$5:$A$504,0)),"미매핑"))</f>
        <v/>
      </c>
      <c r="O3973" s="9">
        <f>IF($A3973="","",N3973&amp;"|"&amp;$F3973)</f>
        <v/>
      </c>
      <c r="P3973" s="94">
        <f>IF($A3973="",0,$H3973*설정!$C$23)</f>
        <v/>
      </c>
      <c r="Q3973" s="64">
        <f>IF($A3973="","",IF(O3973&lt;&gt;원인분석!$C$9,"",IF(AND(M3973&gt;=원인분석!$C$10,M3973&lt;=원인분석!$C$11),"당기",IF(AND(M3973&gt;=원인분석!$C$12,M3973&lt;=원인분석!$C$13),"비교",""))))</f>
        <v/>
      </c>
      <c r="R3973" s="9">
        <f>IF(Q3973="","",$K3973&amp;"")</f>
        <v/>
      </c>
      <c r="S3973" s="9">
        <f>IF(Q3973="","",IF(MATCH(R3973,$R$5:$R$100000,0)=ROW()-4,ROW(),""))</f>
        <v/>
      </c>
      <c r="T3973" s="9">
        <f>IF(Q3973="당기",ABS(P3973)+ROW()/1000000000,"")</f>
        <v/>
      </c>
      <c r="U3973" s="9">
        <f>IF(Q3973="비교",ABS(P3973)+ROW()/1000000000,"")</f>
        <v/>
      </c>
      <c r="V3973" s="64">
        <f>IF($A3973="","",IF(COUNTIF(변동분석!$E$7:$E$506,O3973)&gt;0,"Y","N"))</f>
        <v/>
      </c>
      <c r="W3973" s="64">
        <f>IF($A3973="","",IFERROR(INDEX(계정매핑!$D$5:$D$504,MATCH($F3973&amp;"",계정매핑!$A$5:$A$504,0)),"미매핑"))</f>
        <v/>
      </c>
      <c r="X3973" s="9">
        <f>IF($A3973="","",$F3973&amp;"")</f>
        <v/>
      </c>
      <c r="Y3973" s="94">
        <f>IF($A3973="",0,IF(AE3973="직접",IF(AF3973="비귀속",$P3973,0),$P3973*(1-AG3973)*IFERROR(INDEX(계정대체기준!$F$20:$F$49,MATCH($N3973,계정대체기준!$A$20:$A$49,0)),1)))</f>
        <v/>
      </c>
      <c r="Z3973" s="94">
        <f>IF($A3973="",0,IF(AE3973="직접",IF(AF3973="신계약비",$P3973,0),$P3973*(1-AG3973)*IFERROR(INDEX(계정대체기준!$C$20:$C$49,MATCH($N3973,계정대체기준!$A$20:$A$49,0)),0)))</f>
        <v/>
      </c>
      <c r="AA3973" s="94">
        <f>IF($A3973="",0,IF(AE3973="직접",IF(OR(AF3973="유지비",AF3973="손해조사비"),$P3973,0),$P3973*(1-AG3973)*IFERROR(INDEX(계정대체기준!$D$20:$D$49,MATCH($N3973,계정대체기준!$A$20:$A$49,0)),0)))</f>
        <v/>
      </c>
      <c r="AB3973" s="94">
        <f>IF($A3973="",0,IF(AE3973="직접",IF(AF3973="수금비",$P3973,0),$P3973*(1-AG3973)*IFERROR(INDEX(계정대체기준!$E$20:$E$49,MATCH($N3973,계정대체기준!$A$20:$A$49,0)),0)))</f>
        <v/>
      </c>
      <c r="AC3973" s="9">
        <f>IF(AND($A3973&lt;&gt;"",M3973=설정!$C$20,Z3973&gt;0),Z3973+ROW()/1000000000,"")</f>
        <v/>
      </c>
      <c r="AD3973" s="94">
        <f>IF($A3973="",0,$P3973*AG3973)</f>
        <v/>
      </c>
      <c r="AE3973" s="64">
        <f>IF($A3973="","",IFERROR(INDEX(계정매핑!$E$5:$E$504,MATCH($F3973&amp;"",계정매핑!$A$5:$A$504,0))&amp;"","공통비"))</f>
        <v/>
      </c>
      <c r="AF3973" s="64">
        <f>IF($A3973="","",IF(AE3973="직접",IFERROR(INDEX(계정매핑!$F$5:$F$504,MATCH($F3973&amp;"",계정매핑!$A$5:$A$504,0))&amp;"","비귀속"),""))</f>
        <v/>
      </c>
      <c r="AG3973" s="96">
        <f>IF($A3973="",0,IF(AND(AE3973&lt;&gt;"직접",IFERROR(INDEX(계정매핑!$G$5:$G$504,MATCH($F3973&amp;"",계정매핑!$A$5:$A$504,0))&amp;"","")="유지비",COUNTIF(계정대체기준!$A$6:$A$15,$N3973)&gt;0),IFERROR(INDEX(계정대체기준!$E$6:$E$15,MATCH(VALUE($A3973&amp;""),계정대체기준!$D$6:$D$15,0)),0),0))</f>
        <v/>
      </c>
      <c r="AH3973" s="64">
        <f>IF($A3973="","",IF(AD3973=0,"",IF(OR(COUNTIF(계정대체기준!$A$77:$A$86,$N3973)&gt;0,ISNUMBER(MATCH($X3973,계정대체기준!$D$77:$D$86,0)),ISNUMBER(MATCH($F3973,계정대체기준!$D$77:$D$86,0))),"Y","N")))</f>
        <v/>
      </c>
    </row>
    <row r="3974">
      <c r="A3974" s="92" t="n">
        <v>2026</v>
      </c>
      <c r="B3974" s="92" t="n">
        <v>6</v>
      </c>
      <c r="C3974" s="92" t="inlineStr">
        <is>
          <t>5100001252</t>
        </is>
      </c>
      <c r="D3974" s="95" t="n">
        <v>46188</v>
      </c>
      <c r="E3974" s="92" t="inlineStr">
        <is>
          <t>KR</t>
        </is>
      </c>
      <c r="F3974" s="92" t="n">
        <v>62102000</v>
      </c>
      <c r="G3974" s="92" t="n">
        <v>1801</v>
      </c>
      <c r="H3974" s="93" t="n">
        <v>34000</v>
      </c>
      <c r="I3974" s="92" t="inlineStr">
        <is>
          <t>6월 해외출장 - M항공</t>
        </is>
      </c>
      <c r="J3974" s="92" t="inlineStr">
        <is>
          <t>V10001</t>
        </is>
      </c>
      <c r="K3974" s="92" t="inlineStr">
        <is>
          <t>M항공</t>
        </is>
      </c>
      <c r="M3974" s="9">
        <f>IF($A3974="","",VALUE($A3974&amp;"")*12+VALUE($B3974&amp;""))</f>
        <v/>
      </c>
      <c r="N3974" s="64">
        <f>IF($A3974="","",IFERROR(INDEX(부서매핑!$C$5:$C$504,MATCH($G3974&amp;"",부서매핑!$A$5:$A$504,0)),"미매핑"))</f>
        <v/>
      </c>
      <c r="O3974" s="9">
        <f>IF($A3974="","",N3974&amp;"|"&amp;$F3974)</f>
        <v/>
      </c>
      <c r="P3974" s="94">
        <f>IF($A3974="",0,$H3974*설정!$C$23)</f>
        <v/>
      </c>
      <c r="Q3974" s="64">
        <f>IF($A3974="","",IF(O3974&lt;&gt;원인분석!$C$9,"",IF(AND(M3974&gt;=원인분석!$C$10,M3974&lt;=원인분석!$C$11),"당기",IF(AND(M3974&gt;=원인분석!$C$12,M3974&lt;=원인분석!$C$13),"비교",""))))</f>
        <v/>
      </c>
      <c r="R3974" s="9">
        <f>IF(Q3974="","",$K3974&amp;"")</f>
        <v/>
      </c>
      <c r="S3974" s="9">
        <f>IF(Q3974="","",IF(MATCH(R3974,$R$5:$R$100000,0)=ROW()-4,ROW(),""))</f>
        <v/>
      </c>
      <c r="T3974" s="9">
        <f>IF(Q3974="당기",ABS(P3974)+ROW()/1000000000,"")</f>
        <v/>
      </c>
      <c r="U3974" s="9">
        <f>IF(Q3974="비교",ABS(P3974)+ROW()/1000000000,"")</f>
        <v/>
      </c>
      <c r="V3974" s="64">
        <f>IF($A3974="","",IF(COUNTIF(변동분석!$E$7:$E$506,O3974)&gt;0,"Y","N"))</f>
        <v/>
      </c>
      <c r="W3974" s="64">
        <f>IF($A3974="","",IFERROR(INDEX(계정매핑!$D$5:$D$504,MATCH($F3974&amp;"",계정매핑!$A$5:$A$504,0)),"미매핑"))</f>
        <v/>
      </c>
      <c r="X3974" s="9">
        <f>IF($A3974="","",$F3974&amp;"")</f>
        <v/>
      </c>
      <c r="Y3974" s="94">
        <f>IF($A3974="",0,IF(AE3974="직접",IF(AF3974="비귀속",$P3974,0),$P3974*(1-AG3974)*IFERROR(INDEX(계정대체기준!$F$20:$F$49,MATCH($N3974,계정대체기준!$A$20:$A$49,0)),1)))</f>
        <v/>
      </c>
      <c r="Z3974" s="94">
        <f>IF($A3974="",0,IF(AE3974="직접",IF(AF3974="신계약비",$P3974,0),$P3974*(1-AG3974)*IFERROR(INDEX(계정대체기준!$C$20:$C$49,MATCH($N3974,계정대체기준!$A$20:$A$49,0)),0)))</f>
        <v/>
      </c>
      <c r="AA3974" s="94">
        <f>IF($A3974="",0,IF(AE3974="직접",IF(OR(AF3974="유지비",AF3974="손해조사비"),$P3974,0),$P3974*(1-AG3974)*IFERROR(INDEX(계정대체기준!$D$20:$D$49,MATCH($N3974,계정대체기준!$A$20:$A$49,0)),0)))</f>
        <v/>
      </c>
      <c r="AB3974" s="94">
        <f>IF($A3974="",0,IF(AE3974="직접",IF(AF3974="수금비",$P3974,0),$P3974*(1-AG3974)*IFERROR(INDEX(계정대체기준!$E$20:$E$49,MATCH($N3974,계정대체기준!$A$20:$A$49,0)),0)))</f>
        <v/>
      </c>
      <c r="AC3974" s="9">
        <f>IF(AND($A3974&lt;&gt;"",M3974=설정!$C$20,Z3974&gt;0),Z3974+ROW()/1000000000,"")</f>
        <v/>
      </c>
      <c r="AD3974" s="94">
        <f>IF($A3974="",0,$P3974*AG3974)</f>
        <v/>
      </c>
      <c r="AE3974" s="64">
        <f>IF($A3974="","",IFERROR(INDEX(계정매핑!$E$5:$E$504,MATCH($F3974&amp;"",계정매핑!$A$5:$A$504,0))&amp;"","공통비"))</f>
        <v/>
      </c>
      <c r="AF3974" s="64">
        <f>IF($A3974="","",IF(AE3974="직접",IFERROR(INDEX(계정매핑!$F$5:$F$504,MATCH($F3974&amp;"",계정매핑!$A$5:$A$504,0))&amp;"","비귀속"),""))</f>
        <v/>
      </c>
      <c r="AG3974" s="96">
        <f>IF($A3974="",0,IF(AND(AE3974&lt;&gt;"직접",IFERROR(INDEX(계정매핑!$G$5:$G$504,MATCH($F3974&amp;"",계정매핑!$A$5:$A$504,0))&amp;"","")="유지비",COUNTIF(계정대체기준!$A$6:$A$15,$N3974)&gt;0),IFERROR(INDEX(계정대체기준!$E$6:$E$15,MATCH(VALUE($A3974&amp;""),계정대체기준!$D$6:$D$15,0)),0),0))</f>
        <v/>
      </c>
      <c r="AH3974" s="64">
        <f>IF($A3974="","",IF(AD3974=0,"",IF(OR(COUNTIF(계정대체기준!$A$77:$A$86,$N3974)&gt;0,ISNUMBER(MATCH($X3974,계정대체기준!$D$77:$D$86,0)),ISNUMBER(MATCH($F3974,계정대체기준!$D$77:$D$86,0))),"Y","N")))</f>
        <v/>
      </c>
    </row>
    <row r="3975">
      <c r="A3975" s="92" t="n">
        <v>2026</v>
      </c>
      <c r="B3975" s="92" t="n">
        <v>6</v>
      </c>
      <c r="C3975" s="92" t="inlineStr">
        <is>
          <t>5100001253</t>
        </is>
      </c>
      <c r="D3975" s="95" t="n">
        <v>46188</v>
      </c>
      <c r="E3975" s="92" t="inlineStr">
        <is>
          <t>KR</t>
        </is>
      </c>
      <c r="F3975" s="92" t="n">
        <v>62102000</v>
      </c>
      <c r="G3975" s="92" t="n">
        <v>1951</v>
      </c>
      <c r="H3975" s="93" t="n">
        <v>123000</v>
      </c>
      <c r="I3975" s="92" t="inlineStr">
        <is>
          <t>6월 해외출장 - N호텔</t>
        </is>
      </c>
      <c r="J3975" s="92" t="inlineStr">
        <is>
          <t>V10009</t>
        </is>
      </c>
      <c r="K3975" s="92" t="inlineStr">
        <is>
          <t>N호텔</t>
        </is>
      </c>
      <c r="M3975" s="9">
        <f>IF($A3975="","",VALUE($A3975&amp;"")*12+VALUE($B3975&amp;""))</f>
        <v/>
      </c>
      <c r="N3975" s="64">
        <f>IF($A3975="","",IFERROR(INDEX(부서매핑!$C$5:$C$504,MATCH($G3975&amp;"",부서매핑!$A$5:$A$504,0)),"미매핑"))</f>
        <v/>
      </c>
      <c r="O3975" s="9">
        <f>IF($A3975="","",N3975&amp;"|"&amp;$F3975)</f>
        <v/>
      </c>
      <c r="P3975" s="94">
        <f>IF($A3975="",0,$H3975*설정!$C$23)</f>
        <v/>
      </c>
      <c r="Q3975" s="64">
        <f>IF($A3975="","",IF(O3975&lt;&gt;원인분석!$C$9,"",IF(AND(M3975&gt;=원인분석!$C$10,M3975&lt;=원인분석!$C$11),"당기",IF(AND(M3975&gt;=원인분석!$C$12,M3975&lt;=원인분석!$C$13),"비교",""))))</f>
        <v/>
      </c>
      <c r="R3975" s="9">
        <f>IF(Q3975="","",$K3975&amp;"")</f>
        <v/>
      </c>
      <c r="S3975" s="9">
        <f>IF(Q3975="","",IF(MATCH(R3975,$R$5:$R$100000,0)=ROW()-4,ROW(),""))</f>
        <v/>
      </c>
      <c r="T3975" s="9">
        <f>IF(Q3975="당기",ABS(P3975)+ROW()/1000000000,"")</f>
        <v/>
      </c>
      <c r="U3975" s="9">
        <f>IF(Q3975="비교",ABS(P3975)+ROW()/1000000000,"")</f>
        <v/>
      </c>
      <c r="V3975" s="64">
        <f>IF($A3975="","",IF(COUNTIF(변동분석!$E$7:$E$506,O3975)&gt;0,"Y","N"))</f>
        <v/>
      </c>
      <c r="W3975" s="64">
        <f>IF($A3975="","",IFERROR(INDEX(계정매핑!$D$5:$D$504,MATCH($F3975&amp;"",계정매핑!$A$5:$A$504,0)),"미매핑"))</f>
        <v/>
      </c>
      <c r="X3975" s="9">
        <f>IF($A3975="","",$F3975&amp;"")</f>
        <v/>
      </c>
      <c r="Y3975" s="94">
        <f>IF($A3975="",0,IF(AE3975="직접",IF(AF3975="비귀속",$P3975,0),$P3975*(1-AG3975)*IFERROR(INDEX(계정대체기준!$F$20:$F$49,MATCH($N3975,계정대체기준!$A$20:$A$49,0)),1)))</f>
        <v/>
      </c>
      <c r="Z3975" s="94">
        <f>IF($A3975="",0,IF(AE3975="직접",IF(AF3975="신계약비",$P3975,0),$P3975*(1-AG3975)*IFERROR(INDEX(계정대체기준!$C$20:$C$49,MATCH($N3975,계정대체기준!$A$20:$A$49,0)),0)))</f>
        <v/>
      </c>
      <c r="AA3975" s="94">
        <f>IF($A3975="",0,IF(AE3975="직접",IF(OR(AF3975="유지비",AF3975="손해조사비"),$P3975,0),$P3975*(1-AG3975)*IFERROR(INDEX(계정대체기준!$D$20:$D$49,MATCH($N3975,계정대체기준!$A$20:$A$49,0)),0)))</f>
        <v/>
      </c>
      <c r="AB3975" s="94">
        <f>IF($A3975="",0,IF(AE3975="직접",IF(AF3975="수금비",$P3975,0),$P3975*(1-AG3975)*IFERROR(INDEX(계정대체기준!$E$20:$E$49,MATCH($N3975,계정대체기준!$A$20:$A$49,0)),0)))</f>
        <v/>
      </c>
      <c r="AC3975" s="9">
        <f>IF(AND($A3975&lt;&gt;"",M3975=설정!$C$20,Z3975&gt;0),Z3975+ROW()/1000000000,"")</f>
        <v/>
      </c>
      <c r="AD3975" s="94">
        <f>IF($A3975="",0,$P3975*AG3975)</f>
        <v/>
      </c>
      <c r="AE3975" s="64">
        <f>IF($A3975="","",IFERROR(INDEX(계정매핑!$E$5:$E$504,MATCH($F3975&amp;"",계정매핑!$A$5:$A$504,0))&amp;"","공통비"))</f>
        <v/>
      </c>
      <c r="AF3975" s="64">
        <f>IF($A3975="","",IF(AE3975="직접",IFERROR(INDEX(계정매핑!$F$5:$F$504,MATCH($F3975&amp;"",계정매핑!$A$5:$A$504,0))&amp;"","비귀속"),""))</f>
        <v/>
      </c>
      <c r="AG3975" s="96">
        <f>IF($A3975="",0,IF(AND(AE3975&lt;&gt;"직접",IFERROR(INDEX(계정매핑!$G$5:$G$504,MATCH($F3975&amp;"",계정매핑!$A$5:$A$504,0))&amp;"","")="유지비",COUNTIF(계정대체기준!$A$6:$A$15,$N3975)&gt;0),IFERROR(INDEX(계정대체기준!$E$6:$E$15,MATCH(VALUE($A3975&amp;""),계정대체기준!$D$6:$D$15,0)),0),0))</f>
        <v/>
      </c>
      <c r="AH3975" s="64">
        <f>IF($A3975="","",IF(AD3975=0,"",IF(OR(COUNTIF(계정대체기준!$A$77:$A$86,$N3975)&gt;0,ISNUMBER(MATCH($X3975,계정대체기준!$D$77:$D$86,0)),ISNUMBER(MATCH($F3975,계정대체기준!$D$77:$D$86,0))),"Y","N")))</f>
        <v/>
      </c>
    </row>
    <row r="3976">
      <c r="A3976" s="92" t="n">
        <v>2026</v>
      </c>
      <c r="B3976" s="92" t="n">
        <v>6</v>
      </c>
      <c r="C3976" s="92" t="inlineStr">
        <is>
          <t>5100001254</t>
        </is>
      </c>
      <c r="D3976" s="95" t="n">
        <v>46188</v>
      </c>
      <c r="E3976" s="92" t="inlineStr">
        <is>
          <t>KR</t>
        </is>
      </c>
      <c r="F3976" s="92" t="n">
        <v>62201000</v>
      </c>
      <c r="G3976" s="92" t="n">
        <v>1301</v>
      </c>
      <c r="H3976" s="93" t="n">
        <v>209000</v>
      </c>
      <c r="I3976" s="92" t="inlineStr">
        <is>
          <t>6월 통신요금 - O텔레콤</t>
        </is>
      </c>
      <c r="J3976" s="92" t="inlineStr">
        <is>
          <t>V10002</t>
        </is>
      </c>
      <c r="K3976" s="92" t="inlineStr">
        <is>
          <t>O텔레콤</t>
        </is>
      </c>
      <c r="M3976" s="9">
        <f>IF($A3976="","",VALUE($A3976&amp;"")*12+VALUE($B3976&amp;""))</f>
        <v/>
      </c>
      <c r="N3976" s="64">
        <f>IF($A3976="","",IFERROR(INDEX(부서매핑!$C$5:$C$504,MATCH($G3976&amp;"",부서매핑!$A$5:$A$504,0)),"미매핑"))</f>
        <v/>
      </c>
      <c r="O3976" s="9">
        <f>IF($A3976="","",N3976&amp;"|"&amp;$F3976)</f>
        <v/>
      </c>
      <c r="P3976" s="94">
        <f>IF($A3976="",0,$H3976*설정!$C$23)</f>
        <v/>
      </c>
      <c r="Q3976" s="64">
        <f>IF($A3976="","",IF(O3976&lt;&gt;원인분석!$C$9,"",IF(AND(M3976&gt;=원인분석!$C$10,M3976&lt;=원인분석!$C$11),"당기",IF(AND(M3976&gt;=원인분석!$C$12,M3976&lt;=원인분석!$C$13),"비교",""))))</f>
        <v/>
      </c>
      <c r="R3976" s="9">
        <f>IF(Q3976="","",$K3976&amp;"")</f>
        <v/>
      </c>
      <c r="S3976" s="9">
        <f>IF(Q3976="","",IF(MATCH(R3976,$R$5:$R$100000,0)=ROW()-4,ROW(),""))</f>
        <v/>
      </c>
      <c r="T3976" s="9">
        <f>IF(Q3976="당기",ABS(P3976)+ROW()/1000000000,"")</f>
        <v/>
      </c>
      <c r="U3976" s="9">
        <f>IF(Q3976="비교",ABS(P3976)+ROW()/1000000000,"")</f>
        <v/>
      </c>
      <c r="V3976" s="64">
        <f>IF($A3976="","",IF(COUNTIF(변동분석!$E$7:$E$506,O3976)&gt;0,"Y","N"))</f>
        <v/>
      </c>
      <c r="W3976" s="64">
        <f>IF($A3976="","",IFERROR(INDEX(계정매핑!$D$5:$D$504,MATCH($F3976&amp;"",계정매핑!$A$5:$A$504,0)),"미매핑"))</f>
        <v/>
      </c>
      <c r="X3976" s="9">
        <f>IF($A3976="","",$F3976&amp;"")</f>
        <v/>
      </c>
      <c r="Y3976" s="94">
        <f>IF($A3976="",0,IF(AE3976="직접",IF(AF3976="비귀속",$P3976,0),$P3976*(1-AG3976)*IFERROR(INDEX(계정대체기준!$F$20:$F$49,MATCH($N3976,계정대체기준!$A$20:$A$49,0)),1)))</f>
        <v/>
      </c>
      <c r="Z3976" s="94">
        <f>IF($A3976="",0,IF(AE3976="직접",IF(AF3976="신계약비",$P3976,0),$P3976*(1-AG3976)*IFERROR(INDEX(계정대체기준!$C$20:$C$49,MATCH($N3976,계정대체기준!$A$20:$A$49,0)),0)))</f>
        <v/>
      </c>
      <c r="AA3976" s="94">
        <f>IF($A3976="",0,IF(AE3976="직접",IF(OR(AF3976="유지비",AF3976="손해조사비"),$P3976,0),$P3976*(1-AG3976)*IFERROR(INDEX(계정대체기준!$D$20:$D$49,MATCH($N3976,계정대체기준!$A$20:$A$49,0)),0)))</f>
        <v/>
      </c>
      <c r="AB3976" s="94">
        <f>IF($A3976="",0,IF(AE3976="직접",IF(AF3976="수금비",$P3976,0),$P3976*(1-AG3976)*IFERROR(INDEX(계정대체기준!$E$20:$E$49,MATCH($N3976,계정대체기준!$A$20:$A$49,0)),0)))</f>
        <v/>
      </c>
      <c r="AC3976" s="9">
        <f>IF(AND($A3976&lt;&gt;"",M3976=설정!$C$20,Z3976&gt;0),Z3976+ROW()/1000000000,"")</f>
        <v/>
      </c>
      <c r="AD3976" s="94">
        <f>IF($A3976="",0,$P3976*AG3976)</f>
        <v/>
      </c>
      <c r="AE3976" s="64">
        <f>IF($A3976="","",IFERROR(INDEX(계정매핑!$E$5:$E$504,MATCH($F3976&amp;"",계정매핑!$A$5:$A$504,0))&amp;"","공통비"))</f>
        <v/>
      </c>
      <c r="AF3976" s="64">
        <f>IF($A3976="","",IF(AE3976="직접",IFERROR(INDEX(계정매핑!$F$5:$F$504,MATCH($F3976&amp;"",계정매핑!$A$5:$A$504,0))&amp;"","비귀속"),""))</f>
        <v/>
      </c>
      <c r="AG3976" s="96">
        <f>IF($A3976="",0,IF(AND(AE3976&lt;&gt;"직접",IFERROR(INDEX(계정매핑!$G$5:$G$504,MATCH($F3976&amp;"",계정매핑!$A$5:$A$504,0))&amp;"","")="유지비",COUNTIF(계정대체기준!$A$6:$A$15,$N3976)&gt;0),IFERROR(INDEX(계정대체기준!$E$6:$E$15,MATCH(VALUE($A3976&amp;""),계정대체기준!$D$6:$D$15,0)),0),0))</f>
        <v/>
      </c>
      <c r="AH3976" s="64">
        <f>IF($A3976="","",IF(AD3976=0,"",IF(OR(COUNTIF(계정대체기준!$A$77:$A$86,$N3976)&gt;0,ISNUMBER(MATCH($X3976,계정대체기준!$D$77:$D$86,0)),ISNUMBER(MATCH($F3976,계정대체기준!$D$77:$D$86,0))),"Y","N")))</f>
        <v/>
      </c>
    </row>
    <row r="3977">
      <c r="A3977" s="92" t="n">
        <v>2026</v>
      </c>
      <c r="B3977" s="92" t="n">
        <v>6</v>
      </c>
      <c r="C3977" s="92" t="inlineStr">
        <is>
          <t>5100001255</t>
        </is>
      </c>
      <c r="D3977" s="95" t="n">
        <v>46188</v>
      </c>
      <c r="E3977" s="92" t="inlineStr">
        <is>
          <t>KR</t>
        </is>
      </c>
      <c r="F3977" s="92" t="n">
        <v>62501000</v>
      </c>
      <c r="G3977" s="92" t="n">
        <v>1201</v>
      </c>
      <c r="H3977" s="93" t="n">
        <v>142000</v>
      </c>
      <c r="I3977" s="92" t="inlineStr">
        <is>
          <t>6월 회의 다과 - (법인카드)</t>
        </is>
      </c>
      <c r="J3977" s="92" t="inlineStr">
        <is>
          <t>V10010</t>
        </is>
      </c>
      <c r="K3977" s="92" t="inlineStr">
        <is>
          <t>(법인카드)</t>
        </is>
      </c>
      <c r="M3977" s="9">
        <f>IF($A3977="","",VALUE($A3977&amp;"")*12+VALUE($B3977&amp;""))</f>
        <v/>
      </c>
      <c r="N3977" s="64">
        <f>IF($A3977="","",IFERROR(INDEX(부서매핑!$C$5:$C$504,MATCH($G3977&amp;"",부서매핑!$A$5:$A$504,0)),"미매핑"))</f>
        <v/>
      </c>
      <c r="O3977" s="9">
        <f>IF($A3977="","",N3977&amp;"|"&amp;$F3977)</f>
        <v/>
      </c>
      <c r="P3977" s="94">
        <f>IF($A3977="",0,$H3977*설정!$C$23)</f>
        <v/>
      </c>
      <c r="Q3977" s="64">
        <f>IF($A3977="","",IF(O3977&lt;&gt;원인분석!$C$9,"",IF(AND(M3977&gt;=원인분석!$C$10,M3977&lt;=원인분석!$C$11),"당기",IF(AND(M3977&gt;=원인분석!$C$12,M3977&lt;=원인분석!$C$13),"비교",""))))</f>
        <v/>
      </c>
      <c r="R3977" s="9">
        <f>IF(Q3977="","",$K3977&amp;"")</f>
        <v/>
      </c>
      <c r="S3977" s="9">
        <f>IF(Q3977="","",IF(MATCH(R3977,$R$5:$R$100000,0)=ROW()-4,ROW(),""))</f>
        <v/>
      </c>
      <c r="T3977" s="9">
        <f>IF(Q3977="당기",ABS(P3977)+ROW()/1000000000,"")</f>
        <v/>
      </c>
      <c r="U3977" s="9">
        <f>IF(Q3977="비교",ABS(P3977)+ROW()/1000000000,"")</f>
        <v/>
      </c>
      <c r="V3977" s="64">
        <f>IF($A3977="","",IF(COUNTIF(변동분석!$E$7:$E$506,O3977)&gt;0,"Y","N"))</f>
        <v/>
      </c>
      <c r="W3977" s="64">
        <f>IF($A3977="","",IFERROR(INDEX(계정매핑!$D$5:$D$504,MATCH($F3977&amp;"",계정매핑!$A$5:$A$504,0)),"미매핑"))</f>
        <v/>
      </c>
      <c r="X3977" s="9">
        <f>IF($A3977="","",$F3977&amp;"")</f>
        <v/>
      </c>
      <c r="Y3977" s="94">
        <f>IF($A3977="",0,IF(AE3977="직접",IF(AF3977="비귀속",$P3977,0),$P3977*(1-AG3977)*IFERROR(INDEX(계정대체기준!$F$20:$F$49,MATCH($N3977,계정대체기준!$A$20:$A$49,0)),1)))</f>
        <v/>
      </c>
      <c r="Z3977" s="94">
        <f>IF($A3977="",0,IF(AE3977="직접",IF(AF3977="신계약비",$P3977,0),$P3977*(1-AG3977)*IFERROR(INDEX(계정대체기준!$C$20:$C$49,MATCH($N3977,계정대체기준!$A$20:$A$49,0)),0)))</f>
        <v/>
      </c>
      <c r="AA3977" s="94">
        <f>IF($A3977="",0,IF(AE3977="직접",IF(OR(AF3977="유지비",AF3977="손해조사비"),$P3977,0),$P3977*(1-AG3977)*IFERROR(INDEX(계정대체기준!$D$20:$D$49,MATCH($N3977,계정대체기준!$A$20:$A$49,0)),0)))</f>
        <v/>
      </c>
      <c r="AB3977" s="94">
        <f>IF($A3977="",0,IF(AE3977="직접",IF(AF3977="수금비",$P3977,0),$P3977*(1-AG3977)*IFERROR(INDEX(계정대체기준!$E$20:$E$49,MATCH($N3977,계정대체기준!$A$20:$A$49,0)),0)))</f>
        <v/>
      </c>
      <c r="AC3977" s="9">
        <f>IF(AND($A3977&lt;&gt;"",M3977=설정!$C$20,Z3977&gt;0),Z3977+ROW()/1000000000,"")</f>
        <v/>
      </c>
      <c r="AD3977" s="94">
        <f>IF($A3977="",0,$P3977*AG3977)</f>
        <v/>
      </c>
      <c r="AE3977" s="64">
        <f>IF($A3977="","",IFERROR(INDEX(계정매핑!$E$5:$E$504,MATCH($F3977&amp;"",계정매핑!$A$5:$A$504,0))&amp;"","공통비"))</f>
        <v/>
      </c>
      <c r="AF3977" s="64">
        <f>IF($A3977="","",IF(AE3977="직접",IFERROR(INDEX(계정매핑!$F$5:$F$504,MATCH($F3977&amp;"",계정매핑!$A$5:$A$504,0))&amp;"","비귀속"),""))</f>
        <v/>
      </c>
      <c r="AG3977" s="96">
        <f>IF($A3977="",0,IF(AND(AE3977&lt;&gt;"직접",IFERROR(INDEX(계정매핑!$G$5:$G$504,MATCH($F3977&amp;"",계정매핑!$A$5:$A$504,0))&amp;"","")="유지비",COUNTIF(계정대체기준!$A$6:$A$15,$N3977)&gt;0),IFERROR(INDEX(계정대체기준!$E$6:$E$15,MATCH(VALUE($A3977&amp;""),계정대체기준!$D$6:$D$15,0)),0),0))</f>
        <v/>
      </c>
      <c r="AH3977" s="64">
        <f>IF($A3977="","",IF(AD3977=0,"",IF(OR(COUNTIF(계정대체기준!$A$77:$A$86,$N3977)&gt;0,ISNUMBER(MATCH($X3977,계정대체기준!$D$77:$D$86,0)),ISNUMBER(MATCH($F3977,계정대체기준!$D$77:$D$86,0))),"Y","N")))</f>
        <v/>
      </c>
    </row>
    <row r="3978">
      <c r="A3978" s="92" t="n">
        <v>2026</v>
      </c>
      <c r="B3978" s="92" t="n">
        <v>6</v>
      </c>
      <c r="C3978" s="92" t="inlineStr">
        <is>
          <t>5100001256</t>
        </is>
      </c>
      <c r="D3978" s="95" t="n">
        <v>46188</v>
      </c>
      <c r="E3978" s="92" t="inlineStr">
        <is>
          <t>KR</t>
        </is>
      </c>
      <c r="F3978" s="92" t="n">
        <v>62902000</v>
      </c>
      <c r="G3978" s="92" t="n">
        <v>1801</v>
      </c>
      <c r="H3978" s="93" t="n">
        <v>1847000</v>
      </c>
      <c r="I3978" s="92" t="inlineStr">
        <is>
          <t>6월 콜 위탁 수수료(건별)</t>
        </is>
      </c>
      <c r="J3978" s="92" t="inlineStr">
        <is>
          <t>V10016</t>
        </is>
      </c>
      <c r="K3978" s="92" t="inlineStr">
        <is>
          <t>J콜센터</t>
        </is>
      </c>
      <c r="M3978" s="9">
        <f>IF($A3978="","",VALUE($A3978&amp;"")*12+VALUE($B3978&amp;""))</f>
        <v/>
      </c>
      <c r="N3978" s="64">
        <f>IF($A3978="","",IFERROR(INDEX(부서매핑!$C$5:$C$504,MATCH($G3978&amp;"",부서매핑!$A$5:$A$504,0)),"미매핑"))</f>
        <v/>
      </c>
      <c r="O3978" s="9">
        <f>IF($A3978="","",N3978&amp;"|"&amp;$F3978)</f>
        <v/>
      </c>
      <c r="P3978" s="94">
        <f>IF($A3978="",0,$H3978*설정!$C$23)</f>
        <v/>
      </c>
      <c r="Q3978" s="64">
        <f>IF($A3978="","",IF(O3978&lt;&gt;원인분석!$C$9,"",IF(AND(M3978&gt;=원인분석!$C$10,M3978&lt;=원인분석!$C$11),"당기",IF(AND(M3978&gt;=원인분석!$C$12,M3978&lt;=원인분석!$C$13),"비교",""))))</f>
        <v/>
      </c>
      <c r="R3978" s="9">
        <f>IF(Q3978="","",$K3978&amp;"")</f>
        <v/>
      </c>
      <c r="S3978" s="9">
        <f>IF(Q3978="","",IF(MATCH(R3978,$R$5:$R$100000,0)=ROW()-4,ROW(),""))</f>
        <v/>
      </c>
      <c r="T3978" s="9">
        <f>IF(Q3978="당기",ABS(P3978)+ROW()/1000000000,"")</f>
        <v/>
      </c>
      <c r="U3978" s="9">
        <f>IF(Q3978="비교",ABS(P3978)+ROW()/1000000000,"")</f>
        <v/>
      </c>
      <c r="V3978" s="64">
        <f>IF($A3978="","",IF(COUNTIF(변동분석!$E$7:$E$506,O3978)&gt;0,"Y","N"))</f>
        <v/>
      </c>
      <c r="W3978" s="64">
        <f>IF($A3978="","",IFERROR(INDEX(계정매핑!$D$5:$D$504,MATCH($F3978&amp;"",계정매핑!$A$5:$A$504,0)),"미매핑"))</f>
        <v/>
      </c>
      <c r="X3978" s="9">
        <f>IF($A3978="","",$F3978&amp;"")</f>
        <v/>
      </c>
      <c r="Y3978" s="94">
        <f>IF($A3978="",0,IF(AE3978="직접",IF(AF3978="비귀속",$P3978,0),$P3978*(1-AG3978)*IFERROR(INDEX(계정대체기준!$F$20:$F$49,MATCH($N3978,계정대체기준!$A$20:$A$49,0)),1)))</f>
        <v/>
      </c>
      <c r="Z3978" s="94">
        <f>IF($A3978="",0,IF(AE3978="직접",IF(AF3978="신계약비",$P3978,0),$P3978*(1-AG3978)*IFERROR(INDEX(계정대체기준!$C$20:$C$49,MATCH($N3978,계정대체기준!$A$20:$A$49,0)),0)))</f>
        <v/>
      </c>
      <c r="AA3978" s="94">
        <f>IF($A3978="",0,IF(AE3978="직접",IF(OR(AF3978="유지비",AF3978="손해조사비"),$P3978,0),$P3978*(1-AG3978)*IFERROR(INDEX(계정대체기준!$D$20:$D$49,MATCH($N3978,계정대체기준!$A$20:$A$49,0)),0)))</f>
        <v/>
      </c>
      <c r="AB3978" s="94">
        <f>IF($A3978="",0,IF(AE3978="직접",IF(AF3978="수금비",$P3978,0),$P3978*(1-AG3978)*IFERROR(INDEX(계정대체기준!$E$20:$E$49,MATCH($N3978,계정대체기준!$A$20:$A$49,0)),0)))</f>
        <v/>
      </c>
      <c r="AC3978" s="9">
        <f>IF(AND($A3978&lt;&gt;"",M3978=설정!$C$20,Z3978&gt;0),Z3978+ROW()/1000000000,"")</f>
        <v/>
      </c>
      <c r="AD3978" s="94">
        <f>IF($A3978="",0,$P3978*AG3978)</f>
        <v/>
      </c>
      <c r="AE3978" s="64">
        <f>IF($A3978="","",IFERROR(INDEX(계정매핑!$E$5:$E$504,MATCH($F3978&amp;"",계정매핑!$A$5:$A$504,0))&amp;"","공통비"))</f>
        <v/>
      </c>
      <c r="AF3978" s="64">
        <f>IF($A3978="","",IF(AE3978="직접",IFERROR(INDEX(계정매핑!$F$5:$F$504,MATCH($F3978&amp;"",계정매핑!$A$5:$A$504,0))&amp;"","비귀속"),""))</f>
        <v/>
      </c>
      <c r="AG3978" s="96">
        <f>IF($A3978="",0,IF(AND(AE3978&lt;&gt;"직접",IFERROR(INDEX(계정매핑!$G$5:$G$504,MATCH($F3978&amp;"",계정매핑!$A$5:$A$504,0))&amp;"","")="유지비",COUNTIF(계정대체기준!$A$6:$A$15,$N3978)&gt;0),IFERROR(INDEX(계정대체기준!$E$6:$E$15,MATCH(VALUE($A3978&amp;""),계정대체기준!$D$6:$D$15,0)),0),0))</f>
        <v/>
      </c>
      <c r="AH3978" s="64">
        <f>IF($A3978="","",IF(AD3978=0,"",IF(OR(COUNTIF(계정대체기준!$A$77:$A$86,$N3978)&gt;0,ISNUMBER(MATCH($X3978,계정대체기준!$D$77:$D$86,0)),ISNUMBER(MATCH($F3978,계정대체기준!$D$77:$D$86,0))),"Y","N")))</f>
        <v/>
      </c>
    </row>
    <row r="3979">
      <c r="A3979" s="92" t="n">
        <v>2026</v>
      </c>
      <c r="B3979" s="92" t="n">
        <v>6</v>
      </c>
      <c r="C3979" s="92" t="inlineStr">
        <is>
          <t>5100001257</t>
        </is>
      </c>
      <c r="D3979" s="95" t="n">
        <v>46188</v>
      </c>
      <c r="E3979" s="92" t="inlineStr">
        <is>
          <t>KR</t>
        </is>
      </c>
      <c r="F3979" s="92" t="n">
        <v>63501000</v>
      </c>
      <c r="G3979" s="92" t="n">
        <v>1902</v>
      </c>
      <c r="H3979" s="93" t="n">
        <v>296486000</v>
      </c>
      <c r="I3979" s="92" t="inlineStr">
        <is>
          <t>6월 모집수수료 - (전속설계사)</t>
        </is>
      </c>
      <c r="J3979" s="92" t="inlineStr">
        <is>
          <t>V10021</t>
        </is>
      </c>
      <c r="K3979" s="92" t="inlineStr">
        <is>
          <t>(전속설계사)</t>
        </is>
      </c>
      <c r="M3979" s="9">
        <f>IF($A3979="","",VALUE($A3979&amp;"")*12+VALUE($B3979&amp;""))</f>
        <v/>
      </c>
      <c r="N3979" s="64">
        <f>IF($A3979="","",IFERROR(INDEX(부서매핑!$C$5:$C$504,MATCH($G3979&amp;"",부서매핑!$A$5:$A$504,0)),"미매핑"))</f>
        <v/>
      </c>
      <c r="O3979" s="9">
        <f>IF($A3979="","",N3979&amp;"|"&amp;$F3979)</f>
        <v/>
      </c>
      <c r="P3979" s="94">
        <f>IF($A3979="",0,$H3979*설정!$C$23)</f>
        <v/>
      </c>
      <c r="Q3979" s="64">
        <f>IF($A3979="","",IF(O3979&lt;&gt;원인분석!$C$9,"",IF(AND(M3979&gt;=원인분석!$C$10,M3979&lt;=원인분석!$C$11),"당기",IF(AND(M3979&gt;=원인분석!$C$12,M3979&lt;=원인분석!$C$13),"비교",""))))</f>
        <v/>
      </c>
      <c r="R3979" s="9">
        <f>IF(Q3979="","",$K3979&amp;"")</f>
        <v/>
      </c>
      <c r="S3979" s="9">
        <f>IF(Q3979="","",IF(MATCH(R3979,$R$5:$R$100000,0)=ROW()-4,ROW(),""))</f>
        <v/>
      </c>
      <c r="T3979" s="9">
        <f>IF(Q3979="당기",ABS(P3979)+ROW()/1000000000,"")</f>
        <v/>
      </c>
      <c r="U3979" s="9">
        <f>IF(Q3979="비교",ABS(P3979)+ROW()/1000000000,"")</f>
        <v/>
      </c>
      <c r="V3979" s="64">
        <f>IF($A3979="","",IF(COUNTIF(변동분석!$E$7:$E$506,O3979)&gt;0,"Y","N"))</f>
        <v/>
      </c>
      <c r="W3979" s="64">
        <f>IF($A3979="","",IFERROR(INDEX(계정매핑!$D$5:$D$504,MATCH($F3979&amp;"",계정매핑!$A$5:$A$504,0)),"미매핑"))</f>
        <v/>
      </c>
      <c r="X3979" s="9">
        <f>IF($A3979="","",$F3979&amp;"")</f>
        <v/>
      </c>
      <c r="Y3979" s="94">
        <f>IF($A3979="",0,IF(AE3979="직접",IF(AF3979="비귀속",$P3979,0),$P3979*(1-AG3979)*IFERROR(INDEX(계정대체기준!$F$20:$F$49,MATCH($N3979,계정대체기준!$A$20:$A$49,0)),1)))</f>
        <v/>
      </c>
      <c r="Z3979" s="94">
        <f>IF($A3979="",0,IF(AE3979="직접",IF(AF3979="신계약비",$P3979,0),$P3979*(1-AG3979)*IFERROR(INDEX(계정대체기준!$C$20:$C$49,MATCH($N3979,계정대체기준!$A$20:$A$49,0)),0)))</f>
        <v/>
      </c>
      <c r="AA3979" s="94">
        <f>IF($A3979="",0,IF(AE3979="직접",IF(OR(AF3979="유지비",AF3979="손해조사비"),$P3979,0),$P3979*(1-AG3979)*IFERROR(INDEX(계정대체기준!$D$20:$D$49,MATCH($N3979,계정대체기준!$A$20:$A$49,0)),0)))</f>
        <v/>
      </c>
      <c r="AB3979" s="94">
        <f>IF($A3979="",0,IF(AE3979="직접",IF(AF3979="수금비",$P3979,0),$P3979*(1-AG3979)*IFERROR(INDEX(계정대체기준!$E$20:$E$49,MATCH($N3979,계정대체기준!$A$20:$A$49,0)),0)))</f>
        <v/>
      </c>
      <c r="AC3979" s="9">
        <f>IF(AND($A3979&lt;&gt;"",M3979=설정!$C$20,Z3979&gt;0),Z3979+ROW()/1000000000,"")</f>
        <v/>
      </c>
      <c r="AD3979" s="94">
        <f>IF($A3979="",0,$P3979*AG3979)</f>
        <v/>
      </c>
      <c r="AE3979" s="64">
        <f>IF($A3979="","",IFERROR(INDEX(계정매핑!$E$5:$E$504,MATCH($F3979&amp;"",계정매핑!$A$5:$A$504,0))&amp;"","공통비"))</f>
        <v/>
      </c>
      <c r="AF3979" s="64">
        <f>IF($A3979="","",IF(AE3979="직접",IFERROR(INDEX(계정매핑!$F$5:$F$504,MATCH($F3979&amp;"",계정매핑!$A$5:$A$504,0))&amp;"","비귀속"),""))</f>
        <v/>
      </c>
      <c r="AG3979" s="96">
        <f>IF($A3979="",0,IF(AND(AE3979&lt;&gt;"직접",IFERROR(INDEX(계정매핑!$G$5:$G$504,MATCH($F3979&amp;"",계정매핑!$A$5:$A$504,0))&amp;"","")="유지비",COUNTIF(계정대체기준!$A$6:$A$15,$N3979)&gt;0),IFERROR(INDEX(계정대체기준!$E$6:$E$15,MATCH(VALUE($A3979&amp;""),계정대체기준!$D$6:$D$15,0)),0),0))</f>
        <v/>
      </c>
      <c r="AH3979" s="64">
        <f>IF($A3979="","",IF(AD3979=0,"",IF(OR(COUNTIF(계정대체기준!$A$77:$A$86,$N3979)&gt;0,ISNUMBER(MATCH($X3979,계정대체기준!$D$77:$D$86,0)),ISNUMBER(MATCH($F3979,계정대체기준!$D$77:$D$86,0))),"Y","N")))</f>
        <v/>
      </c>
    </row>
    <row r="3980">
      <c r="A3980" s="92" t="n">
        <v>2026</v>
      </c>
      <c r="B3980" s="92" t="n">
        <v>6</v>
      </c>
      <c r="C3980" s="92" t="inlineStr">
        <is>
          <t>5100001258</t>
        </is>
      </c>
      <c r="D3980" s="95" t="n">
        <v>46189</v>
      </c>
      <c r="E3980" s="92" t="inlineStr">
        <is>
          <t>KR</t>
        </is>
      </c>
      <c r="F3980" s="92" t="n">
        <v>62102000</v>
      </c>
      <c r="G3980" s="92" t="n">
        <v>1701</v>
      </c>
      <c r="H3980" s="93" t="n">
        <v>54000</v>
      </c>
      <c r="I3980" s="92" t="inlineStr">
        <is>
          <t>6월 해외출장 - M항공</t>
        </is>
      </c>
      <c r="J3980" s="92" t="inlineStr">
        <is>
          <t>V10001</t>
        </is>
      </c>
      <c r="K3980" s="92" t="inlineStr">
        <is>
          <t>M항공</t>
        </is>
      </c>
      <c r="M3980" s="9">
        <f>IF($A3980="","",VALUE($A3980&amp;"")*12+VALUE($B3980&amp;""))</f>
        <v/>
      </c>
      <c r="N3980" s="64">
        <f>IF($A3980="","",IFERROR(INDEX(부서매핑!$C$5:$C$504,MATCH($G3980&amp;"",부서매핑!$A$5:$A$504,0)),"미매핑"))</f>
        <v/>
      </c>
      <c r="O3980" s="9">
        <f>IF($A3980="","",N3980&amp;"|"&amp;$F3980)</f>
        <v/>
      </c>
      <c r="P3980" s="94">
        <f>IF($A3980="",0,$H3980*설정!$C$23)</f>
        <v/>
      </c>
      <c r="Q3980" s="64">
        <f>IF($A3980="","",IF(O3980&lt;&gt;원인분석!$C$9,"",IF(AND(M3980&gt;=원인분석!$C$10,M3980&lt;=원인분석!$C$11),"당기",IF(AND(M3980&gt;=원인분석!$C$12,M3980&lt;=원인분석!$C$13),"비교",""))))</f>
        <v/>
      </c>
      <c r="R3980" s="9">
        <f>IF(Q3980="","",$K3980&amp;"")</f>
        <v/>
      </c>
      <c r="S3980" s="9">
        <f>IF(Q3980="","",IF(MATCH(R3980,$R$5:$R$100000,0)=ROW()-4,ROW(),""))</f>
        <v/>
      </c>
      <c r="T3980" s="9">
        <f>IF(Q3980="당기",ABS(P3980)+ROW()/1000000000,"")</f>
        <v/>
      </c>
      <c r="U3980" s="9">
        <f>IF(Q3980="비교",ABS(P3980)+ROW()/1000000000,"")</f>
        <v/>
      </c>
      <c r="V3980" s="64">
        <f>IF($A3980="","",IF(COUNTIF(변동분석!$E$7:$E$506,O3980)&gt;0,"Y","N"))</f>
        <v/>
      </c>
      <c r="W3980" s="64">
        <f>IF($A3980="","",IFERROR(INDEX(계정매핑!$D$5:$D$504,MATCH($F3980&amp;"",계정매핑!$A$5:$A$504,0)),"미매핑"))</f>
        <v/>
      </c>
      <c r="X3980" s="9">
        <f>IF($A3980="","",$F3980&amp;"")</f>
        <v/>
      </c>
      <c r="Y3980" s="94">
        <f>IF($A3980="",0,IF(AE3980="직접",IF(AF3980="비귀속",$P3980,0),$P3980*(1-AG3980)*IFERROR(INDEX(계정대체기준!$F$20:$F$49,MATCH($N3980,계정대체기준!$A$20:$A$49,0)),1)))</f>
        <v/>
      </c>
      <c r="Z3980" s="94">
        <f>IF($A3980="",0,IF(AE3980="직접",IF(AF3980="신계약비",$P3980,0),$P3980*(1-AG3980)*IFERROR(INDEX(계정대체기준!$C$20:$C$49,MATCH($N3980,계정대체기준!$A$20:$A$49,0)),0)))</f>
        <v/>
      </c>
      <c r="AA3980" s="94">
        <f>IF($A3980="",0,IF(AE3980="직접",IF(OR(AF3980="유지비",AF3980="손해조사비"),$P3980,0),$P3980*(1-AG3980)*IFERROR(INDEX(계정대체기준!$D$20:$D$49,MATCH($N3980,계정대체기준!$A$20:$A$49,0)),0)))</f>
        <v/>
      </c>
      <c r="AB3980" s="94">
        <f>IF($A3980="",0,IF(AE3980="직접",IF(AF3980="수금비",$P3980,0),$P3980*(1-AG3980)*IFERROR(INDEX(계정대체기준!$E$20:$E$49,MATCH($N3980,계정대체기준!$A$20:$A$49,0)),0)))</f>
        <v/>
      </c>
      <c r="AC3980" s="9">
        <f>IF(AND($A3980&lt;&gt;"",M3980=설정!$C$20,Z3980&gt;0),Z3980+ROW()/1000000000,"")</f>
        <v/>
      </c>
      <c r="AD3980" s="94">
        <f>IF($A3980="",0,$P3980*AG3980)</f>
        <v/>
      </c>
      <c r="AE3980" s="64">
        <f>IF($A3980="","",IFERROR(INDEX(계정매핑!$E$5:$E$504,MATCH($F3980&amp;"",계정매핑!$A$5:$A$504,0))&amp;"","공통비"))</f>
        <v/>
      </c>
      <c r="AF3980" s="64">
        <f>IF($A3980="","",IF(AE3980="직접",IFERROR(INDEX(계정매핑!$F$5:$F$504,MATCH($F3980&amp;"",계정매핑!$A$5:$A$504,0))&amp;"","비귀속"),""))</f>
        <v/>
      </c>
      <c r="AG3980" s="96">
        <f>IF($A3980="",0,IF(AND(AE3980&lt;&gt;"직접",IFERROR(INDEX(계정매핑!$G$5:$G$504,MATCH($F3980&amp;"",계정매핑!$A$5:$A$504,0))&amp;"","")="유지비",COUNTIF(계정대체기준!$A$6:$A$15,$N3980)&gt;0),IFERROR(INDEX(계정대체기준!$E$6:$E$15,MATCH(VALUE($A3980&amp;""),계정대체기준!$D$6:$D$15,0)),0),0))</f>
        <v/>
      </c>
      <c r="AH3980" s="64">
        <f>IF($A3980="","",IF(AD3980=0,"",IF(OR(COUNTIF(계정대체기준!$A$77:$A$86,$N3980)&gt;0,ISNUMBER(MATCH($X3980,계정대체기준!$D$77:$D$86,0)),ISNUMBER(MATCH($F3980,계정대체기준!$D$77:$D$86,0))),"Y","N")))</f>
        <v/>
      </c>
    </row>
    <row r="3981">
      <c r="A3981" s="92" t="n">
        <v>2026</v>
      </c>
      <c r="B3981" s="92" t="n">
        <v>6</v>
      </c>
      <c r="C3981" s="92" t="inlineStr">
        <is>
          <t>5100001259</t>
        </is>
      </c>
      <c r="D3981" s="95" t="n">
        <v>46189</v>
      </c>
      <c r="E3981" s="92" t="inlineStr">
        <is>
          <t>KR</t>
        </is>
      </c>
      <c r="F3981" s="92" t="n">
        <v>62102000</v>
      </c>
      <c r="G3981" s="92" t="n">
        <v>1701</v>
      </c>
      <c r="H3981" s="93" t="n">
        <v>27000</v>
      </c>
      <c r="I3981" s="92" t="inlineStr">
        <is>
          <t>6월 해외출장 - N호텔</t>
        </is>
      </c>
      <c r="J3981" s="92" t="inlineStr">
        <is>
          <t>V10009</t>
        </is>
      </c>
      <c r="K3981" s="92" t="inlineStr">
        <is>
          <t>N호텔</t>
        </is>
      </c>
      <c r="M3981" s="9">
        <f>IF($A3981="","",VALUE($A3981&amp;"")*12+VALUE($B3981&amp;""))</f>
        <v/>
      </c>
      <c r="N3981" s="64">
        <f>IF($A3981="","",IFERROR(INDEX(부서매핑!$C$5:$C$504,MATCH($G3981&amp;"",부서매핑!$A$5:$A$504,0)),"미매핑"))</f>
        <v/>
      </c>
      <c r="O3981" s="9">
        <f>IF($A3981="","",N3981&amp;"|"&amp;$F3981)</f>
        <v/>
      </c>
      <c r="P3981" s="94">
        <f>IF($A3981="",0,$H3981*설정!$C$23)</f>
        <v/>
      </c>
      <c r="Q3981" s="64">
        <f>IF($A3981="","",IF(O3981&lt;&gt;원인분석!$C$9,"",IF(AND(M3981&gt;=원인분석!$C$10,M3981&lt;=원인분석!$C$11),"당기",IF(AND(M3981&gt;=원인분석!$C$12,M3981&lt;=원인분석!$C$13),"비교",""))))</f>
        <v/>
      </c>
      <c r="R3981" s="9">
        <f>IF(Q3981="","",$K3981&amp;"")</f>
        <v/>
      </c>
      <c r="S3981" s="9">
        <f>IF(Q3981="","",IF(MATCH(R3981,$R$5:$R$100000,0)=ROW()-4,ROW(),""))</f>
        <v/>
      </c>
      <c r="T3981" s="9">
        <f>IF(Q3981="당기",ABS(P3981)+ROW()/1000000000,"")</f>
        <v/>
      </c>
      <c r="U3981" s="9">
        <f>IF(Q3981="비교",ABS(P3981)+ROW()/1000000000,"")</f>
        <v/>
      </c>
      <c r="V3981" s="64">
        <f>IF($A3981="","",IF(COUNTIF(변동분석!$E$7:$E$506,O3981)&gt;0,"Y","N"))</f>
        <v/>
      </c>
      <c r="W3981" s="64">
        <f>IF($A3981="","",IFERROR(INDEX(계정매핑!$D$5:$D$504,MATCH($F3981&amp;"",계정매핑!$A$5:$A$504,0)),"미매핑"))</f>
        <v/>
      </c>
      <c r="X3981" s="9">
        <f>IF($A3981="","",$F3981&amp;"")</f>
        <v/>
      </c>
      <c r="Y3981" s="94">
        <f>IF($A3981="",0,IF(AE3981="직접",IF(AF3981="비귀속",$P3981,0),$P3981*(1-AG3981)*IFERROR(INDEX(계정대체기준!$F$20:$F$49,MATCH($N3981,계정대체기준!$A$20:$A$49,0)),1)))</f>
        <v/>
      </c>
      <c r="Z3981" s="94">
        <f>IF($A3981="",0,IF(AE3981="직접",IF(AF3981="신계약비",$P3981,0),$P3981*(1-AG3981)*IFERROR(INDEX(계정대체기준!$C$20:$C$49,MATCH($N3981,계정대체기준!$A$20:$A$49,0)),0)))</f>
        <v/>
      </c>
      <c r="AA3981" s="94">
        <f>IF($A3981="",0,IF(AE3981="직접",IF(OR(AF3981="유지비",AF3981="손해조사비"),$P3981,0),$P3981*(1-AG3981)*IFERROR(INDEX(계정대체기준!$D$20:$D$49,MATCH($N3981,계정대체기준!$A$20:$A$49,0)),0)))</f>
        <v/>
      </c>
      <c r="AB3981" s="94">
        <f>IF($A3981="",0,IF(AE3981="직접",IF(AF3981="수금비",$P3981,0),$P3981*(1-AG3981)*IFERROR(INDEX(계정대체기준!$E$20:$E$49,MATCH($N3981,계정대체기준!$A$20:$A$49,0)),0)))</f>
        <v/>
      </c>
      <c r="AC3981" s="9">
        <f>IF(AND($A3981&lt;&gt;"",M3981=설정!$C$20,Z3981&gt;0),Z3981+ROW()/1000000000,"")</f>
        <v/>
      </c>
      <c r="AD3981" s="94">
        <f>IF($A3981="",0,$P3981*AG3981)</f>
        <v/>
      </c>
      <c r="AE3981" s="64">
        <f>IF($A3981="","",IFERROR(INDEX(계정매핑!$E$5:$E$504,MATCH($F3981&amp;"",계정매핑!$A$5:$A$504,0))&amp;"","공통비"))</f>
        <v/>
      </c>
      <c r="AF3981" s="64">
        <f>IF($A3981="","",IF(AE3981="직접",IFERROR(INDEX(계정매핑!$F$5:$F$504,MATCH($F3981&amp;"",계정매핑!$A$5:$A$504,0))&amp;"","비귀속"),""))</f>
        <v/>
      </c>
      <c r="AG3981" s="96">
        <f>IF($A3981="",0,IF(AND(AE3981&lt;&gt;"직접",IFERROR(INDEX(계정매핑!$G$5:$G$504,MATCH($F3981&amp;"",계정매핑!$A$5:$A$504,0))&amp;"","")="유지비",COUNTIF(계정대체기준!$A$6:$A$15,$N3981)&gt;0),IFERROR(INDEX(계정대체기준!$E$6:$E$15,MATCH(VALUE($A3981&amp;""),계정대체기준!$D$6:$D$15,0)),0),0))</f>
        <v/>
      </c>
      <c r="AH3981" s="64">
        <f>IF($A3981="","",IF(AD3981=0,"",IF(OR(COUNTIF(계정대체기준!$A$77:$A$86,$N3981)&gt;0,ISNUMBER(MATCH($X3981,계정대체기준!$D$77:$D$86,0)),ISNUMBER(MATCH($F3981,계정대체기준!$D$77:$D$86,0))),"Y","N")))</f>
        <v/>
      </c>
    </row>
    <row r="3982">
      <c r="A3982" s="92" t="n">
        <v>2026</v>
      </c>
      <c r="B3982" s="92" t="n">
        <v>6</v>
      </c>
      <c r="C3982" s="92" t="inlineStr">
        <is>
          <t>5100001260</t>
        </is>
      </c>
      <c r="D3982" s="95" t="n">
        <v>46189</v>
      </c>
      <c r="E3982" s="92" t="inlineStr">
        <is>
          <t>KR</t>
        </is>
      </c>
      <c r="F3982" s="92" t="n">
        <v>62201000</v>
      </c>
      <c r="G3982" s="92" t="n">
        <v>1801</v>
      </c>
      <c r="H3982" s="93" t="n">
        <v>5001000</v>
      </c>
      <c r="I3982" s="92" t="inlineStr">
        <is>
          <t>6월 통신요금 - P통신</t>
        </is>
      </c>
      <c r="J3982" s="92" t="inlineStr">
        <is>
          <t>V10014</t>
        </is>
      </c>
      <c r="K3982" s="92" t="inlineStr">
        <is>
          <t>P통신</t>
        </is>
      </c>
      <c r="M3982" s="9">
        <f>IF($A3982="","",VALUE($A3982&amp;"")*12+VALUE($B3982&amp;""))</f>
        <v/>
      </c>
      <c r="N3982" s="64">
        <f>IF($A3982="","",IFERROR(INDEX(부서매핑!$C$5:$C$504,MATCH($G3982&amp;"",부서매핑!$A$5:$A$504,0)),"미매핑"))</f>
        <v/>
      </c>
      <c r="O3982" s="9">
        <f>IF($A3982="","",N3982&amp;"|"&amp;$F3982)</f>
        <v/>
      </c>
      <c r="P3982" s="94">
        <f>IF($A3982="",0,$H3982*설정!$C$23)</f>
        <v/>
      </c>
      <c r="Q3982" s="64">
        <f>IF($A3982="","",IF(O3982&lt;&gt;원인분석!$C$9,"",IF(AND(M3982&gt;=원인분석!$C$10,M3982&lt;=원인분석!$C$11),"당기",IF(AND(M3982&gt;=원인분석!$C$12,M3982&lt;=원인분석!$C$13),"비교",""))))</f>
        <v/>
      </c>
      <c r="R3982" s="9">
        <f>IF(Q3982="","",$K3982&amp;"")</f>
        <v/>
      </c>
      <c r="S3982" s="9">
        <f>IF(Q3982="","",IF(MATCH(R3982,$R$5:$R$100000,0)=ROW()-4,ROW(),""))</f>
        <v/>
      </c>
      <c r="T3982" s="9">
        <f>IF(Q3982="당기",ABS(P3982)+ROW()/1000000000,"")</f>
        <v/>
      </c>
      <c r="U3982" s="9">
        <f>IF(Q3982="비교",ABS(P3982)+ROW()/1000000000,"")</f>
        <v/>
      </c>
      <c r="V3982" s="64">
        <f>IF($A3982="","",IF(COUNTIF(변동분석!$E$7:$E$506,O3982)&gt;0,"Y","N"))</f>
        <v/>
      </c>
      <c r="W3982" s="64">
        <f>IF($A3982="","",IFERROR(INDEX(계정매핑!$D$5:$D$504,MATCH($F3982&amp;"",계정매핑!$A$5:$A$504,0)),"미매핑"))</f>
        <v/>
      </c>
      <c r="X3982" s="9">
        <f>IF($A3982="","",$F3982&amp;"")</f>
        <v/>
      </c>
      <c r="Y3982" s="94">
        <f>IF($A3982="",0,IF(AE3982="직접",IF(AF3982="비귀속",$P3982,0),$P3982*(1-AG3982)*IFERROR(INDEX(계정대체기준!$F$20:$F$49,MATCH($N3982,계정대체기준!$A$20:$A$49,0)),1)))</f>
        <v/>
      </c>
      <c r="Z3982" s="94">
        <f>IF($A3982="",0,IF(AE3982="직접",IF(AF3982="신계약비",$P3982,0),$P3982*(1-AG3982)*IFERROR(INDEX(계정대체기준!$C$20:$C$49,MATCH($N3982,계정대체기준!$A$20:$A$49,0)),0)))</f>
        <v/>
      </c>
      <c r="AA3982" s="94">
        <f>IF($A3982="",0,IF(AE3982="직접",IF(OR(AF3982="유지비",AF3982="손해조사비"),$P3982,0),$P3982*(1-AG3982)*IFERROR(INDEX(계정대체기준!$D$20:$D$49,MATCH($N3982,계정대체기준!$A$20:$A$49,0)),0)))</f>
        <v/>
      </c>
      <c r="AB3982" s="94">
        <f>IF($A3982="",0,IF(AE3982="직접",IF(AF3982="수금비",$P3982,0),$P3982*(1-AG3982)*IFERROR(INDEX(계정대체기준!$E$20:$E$49,MATCH($N3982,계정대체기준!$A$20:$A$49,0)),0)))</f>
        <v/>
      </c>
      <c r="AC3982" s="9">
        <f>IF(AND($A3982&lt;&gt;"",M3982=설정!$C$20,Z3982&gt;0),Z3982+ROW()/1000000000,"")</f>
        <v/>
      </c>
      <c r="AD3982" s="94">
        <f>IF($A3982="",0,$P3982*AG3982)</f>
        <v/>
      </c>
      <c r="AE3982" s="64">
        <f>IF($A3982="","",IFERROR(INDEX(계정매핑!$E$5:$E$504,MATCH($F3982&amp;"",계정매핑!$A$5:$A$504,0))&amp;"","공통비"))</f>
        <v/>
      </c>
      <c r="AF3982" s="64">
        <f>IF($A3982="","",IF(AE3982="직접",IFERROR(INDEX(계정매핑!$F$5:$F$504,MATCH($F3982&amp;"",계정매핑!$A$5:$A$504,0))&amp;"","비귀속"),""))</f>
        <v/>
      </c>
      <c r="AG3982" s="96">
        <f>IF($A3982="",0,IF(AND(AE3982&lt;&gt;"직접",IFERROR(INDEX(계정매핑!$G$5:$G$504,MATCH($F3982&amp;"",계정매핑!$A$5:$A$504,0))&amp;"","")="유지비",COUNTIF(계정대체기준!$A$6:$A$15,$N3982)&gt;0),IFERROR(INDEX(계정대체기준!$E$6:$E$15,MATCH(VALUE($A3982&amp;""),계정대체기준!$D$6:$D$15,0)),0),0))</f>
        <v/>
      </c>
      <c r="AH3982" s="64">
        <f>IF($A3982="","",IF(AD3982=0,"",IF(OR(COUNTIF(계정대체기준!$A$77:$A$86,$N3982)&gt;0,ISNUMBER(MATCH($X3982,계정대체기준!$D$77:$D$86,0)),ISNUMBER(MATCH($F3982,계정대체기준!$D$77:$D$86,0))),"Y","N")))</f>
        <v/>
      </c>
    </row>
    <row r="3983">
      <c r="A3983" s="92" t="n">
        <v>2026</v>
      </c>
      <c r="B3983" s="92" t="n">
        <v>6</v>
      </c>
      <c r="C3983" s="92" t="inlineStr">
        <is>
          <t>5100001261</t>
        </is>
      </c>
      <c r="D3983" s="95" t="n">
        <v>46189</v>
      </c>
      <c r="E3983" s="92" t="inlineStr">
        <is>
          <t>KR</t>
        </is>
      </c>
      <c r="F3983" s="92" t="n">
        <v>62301000</v>
      </c>
      <c r="G3983" s="92" t="n">
        <v>1501</v>
      </c>
      <c r="H3983" s="93" t="n">
        <v>363000</v>
      </c>
      <c r="I3983" s="92" t="inlineStr">
        <is>
          <t>6월 소모품 구입 - Q오피스</t>
        </is>
      </c>
      <c r="J3983" s="92" t="inlineStr">
        <is>
          <t>V10003</t>
        </is>
      </c>
      <c r="K3983" s="92" t="inlineStr">
        <is>
          <t>Q오피스</t>
        </is>
      </c>
      <c r="M3983" s="9">
        <f>IF($A3983="","",VALUE($A3983&amp;"")*12+VALUE($B3983&amp;""))</f>
        <v/>
      </c>
      <c r="N3983" s="64">
        <f>IF($A3983="","",IFERROR(INDEX(부서매핑!$C$5:$C$504,MATCH($G3983&amp;"",부서매핑!$A$5:$A$504,0)),"미매핑"))</f>
        <v/>
      </c>
      <c r="O3983" s="9">
        <f>IF($A3983="","",N3983&amp;"|"&amp;$F3983)</f>
        <v/>
      </c>
      <c r="P3983" s="94">
        <f>IF($A3983="",0,$H3983*설정!$C$23)</f>
        <v/>
      </c>
      <c r="Q3983" s="64">
        <f>IF($A3983="","",IF(O3983&lt;&gt;원인분석!$C$9,"",IF(AND(M3983&gt;=원인분석!$C$10,M3983&lt;=원인분석!$C$11),"당기",IF(AND(M3983&gt;=원인분석!$C$12,M3983&lt;=원인분석!$C$13),"비교",""))))</f>
        <v/>
      </c>
      <c r="R3983" s="9">
        <f>IF(Q3983="","",$K3983&amp;"")</f>
        <v/>
      </c>
      <c r="S3983" s="9">
        <f>IF(Q3983="","",IF(MATCH(R3983,$R$5:$R$100000,0)=ROW()-4,ROW(),""))</f>
        <v/>
      </c>
      <c r="T3983" s="9">
        <f>IF(Q3983="당기",ABS(P3983)+ROW()/1000000000,"")</f>
        <v/>
      </c>
      <c r="U3983" s="9">
        <f>IF(Q3983="비교",ABS(P3983)+ROW()/1000000000,"")</f>
        <v/>
      </c>
      <c r="V3983" s="64">
        <f>IF($A3983="","",IF(COUNTIF(변동분석!$E$7:$E$506,O3983)&gt;0,"Y","N"))</f>
        <v/>
      </c>
      <c r="W3983" s="64">
        <f>IF($A3983="","",IFERROR(INDEX(계정매핑!$D$5:$D$504,MATCH($F3983&amp;"",계정매핑!$A$5:$A$504,0)),"미매핑"))</f>
        <v/>
      </c>
      <c r="X3983" s="9">
        <f>IF($A3983="","",$F3983&amp;"")</f>
        <v/>
      </c>
      <c r="Y3983" s="94">
        <f>IF($A3983="",0,IF(AE3983="직접",IF(AF3983="비귀속",$P3983,0),$P3983*(1-AG3983)*IFERROR(INDEX(계정대체기준!$F$20:$F$49,MATCH($N3983,계정대체기준!$A$20:$A$49,0)),1)))</f>
        <v/>
      </c>
      <c r="Z3983" s="94">
        <f>IF($A3983="",0,IF(AE3983="직접",IF(AF3983="신계약비",$P3983,0),$P3983*(1-AG3983)*IFERROR(INDEX(계정대체기준!$C$20:$C$49,MATCH($N3983,계정대체기준!$A$20:$A$49,0)),0)))</f>
        <v/>
      </c>
      <c r="AA3983" s="94">
        <f>IF($A3983="",0,IF(AE3983="직접",IF(OR(AF3983="유지비",AF3983="손해조사비"),$P3983,0),$P3983*(1-AG3983)*IFERROR(INDEX(계정대체기준!$D$20:$D$49,MATCH($N3983,계정대체기준!$A$20:$A$49,0)),0)))</f>
        <v/>
      </c>
      <c r="AB3983" s="94">
        <f>IF($A3983="",0,IF(AE3983="직접",IF(AF3983="수금비",$P3983,0),$P3983*(1-AG3983)*IFERROR(INDEX(계정대체기준!$E$20:$E$49,MATCH($N3983,계정대체기준!$A$20:$A$49,0)),0)))</f>
        <v/>
      </c>
      <c r="AC3983" s="9">
        <f>IF(AND($A3983&lt;&gt;"",M3983=설정!$C$20,Z3983&gt;0),Z3983+ROW()/1000000000,"")</f>
        <v/>
      </c>
      <c r="AD3983" s="94">
        <f>IF($A3983="",0,$P3983*AG3983)</f>
        <v/>
      </c>
      <c r="AE3983" s="64">
        <f>IF($A3983="","",IFERROR(INDEX(계정매핑!$E$5:$E$504,MATCH($F3983&amp;"",계정매핑!$A$5:$A$504,0))&amp;"","공통비"))</f>
        <v/>
      </c>
      <c r="AF3983" s="64">
        <f>IF($A3983="","",IF(AE3983="직접",IFERROR(INDEX(계정매핑!$F$5:$F$504,MATCH($F3983&amp;"",계정매핑!$A$5:$A$504,0))&amp;"","비귀속"),""))</f>
        <v/>
      </c>
      <c r="AG3983" s="96">
        <f>IF($A3983="",0,IF(AND(AE3983&lt;&gt;"직접",IFERROR(INDEX(계정매핑!$G$5:$G$504,MATCH($F3983&amp;"",계정매핑!$A$5:$A$504,0))&amp;"","")="유지비",COUNTIF(계정대체기준!$A$6:$A$15,$N3983)&gt;0),IFERROR(INDEX(계정대체기준!$E$6:$E$15,MATCH(VALUE($A3983&amp;""),계정대체기준!$D$6:$D$15,0)),0),0))</f>
        <v/>
      </c>
      <c r="AH3983" s="64">
        <f>IF($A3983="","",IF(AD3983=0,"",IF(OR(COUNTIF(계정대체기준!$A$77:$A$86,$N3983)&gt;0,ISNUMBER(MATCH($X3983,계정대체기준!$D$77:$D$86,0)),ISNUMBER(MATCH($F3983,계정대체기준!$D$77:$D$86,0))),"Y","N")))</f>
        <v/>
      </c>
    </row>
    <row r="3984">
      <c r="A3984" s="92" t="n">
        <v>2026</v>
      </c>
      <c r="B3984" s="92" t="n">
        <v>6</v>
      </c>
      <c r="C3984" s="92" t="inlineStr">
        <is>
          <t>5100001262</t>
        </is>
      </c>
      <c r="D3984" s="95" t="n">
        <v>46189</v>
      </c>
      <c r="E3984" s="92" t="inlineStr">
        <is>
          <t>KR</t>
        </is>
      </c>
      <c r="F3984" s="92" t="n">
        <v>62301000</v>
      </c>
      <c r="G3984" s="92" t="n">
        <v>1502</v>
      </c>
      <c r="H3984" s="93" t="n">
        <v>383000</v>
      </c>
      <c r="I3984" s="92" t="inlineStr">
        <is>
          <t>6월 소모품 구입 - R문구</t>
        </is>
      </c>
      <c r="J3984" s="92" t="inlineStr">
        <is>
          <t>V10022</t>
        </is>
      </c>
      <c r="K3984" s="92" t="inlineStr">
        <is>
          <t>R문구</t>
        </is>
      </c>
      <c r="M3984" s="9">
        <f>IF($A3984="","",VALUE($A3984&amp;"")*12+VALUE($B3984&amp;""))</f>
        <v/>
      </c>
      <c r="N3984" s="64">
        <f>IF($A3984="","",IFERROR(INDEX(부서매핑!$C$5:$C$504,MATCH($G3984&amp;"",부서매핑!$A$5:$A$504,0)),"미매핑"))</f>
        <v/>
      </c>
      <c r="O3984" s="9">
        <f>IF($A3984="","",N3984&amp;"|"&amp;$F3984)</f>
        <v/>
      </c>
      <c r="P3984" s="94">
        <f>IF($A3984="",0,$H3984*설정!$C$23)</f>
        <v/>
      </c>
      <c r="Q3984" s="64">
        <f>IF($A3984="","",IF(O3984&lt;&gt;원인분석!$C$9,"",IF(AND(M3984&gt;=원인분석!$C$10,M3984&lt;=원인분석!$C$11),"당기",IF(AND(M3984&gt;=원인분석!$C$12,M3984&lt;=원인분석!$C$13),"비교",""))))</f>
        <v/>
      </c>
      <c r="R3984" s="9">
        <f>IF(Q3984="","",$K3984&amp;"")</f>
        <v/>
      </c>
      <c r="S3984" s="9">
        <f>IF(Q3984="","",IF(MATCH(R3984,$R$5:$R$100000,0)=ROW()-4,ROW(),""))</f>
        <v/>
      </c>
      <c r="T3984" s="9">
        <f>IF(Q3984="당기",ABS(P3984)+ROW()/1000000000,"")</f>
        <v/>
      </c>
      <c r="U3984" s="9">
        <f>IF(Q3984="비교",ABS(P3984)+ROW()/1000000000,"")</f>
        <v/>
      </c>
      <c r="V3984" s="64">
        <f>IF($A3984="","",IF(COUNTIF(변동분석!$E$7:$E$506,O3984)&gt;0,"Y","N"))</f>
        <v/>
      </c>
      <c r="W3984" s="64">
        <f>IF($A3984="","",IFERROR(INDEX(계정매핑!$D$5:$D$504,MATCH($F3984&amp;"",계정매핑!$A$5:$A$504,0)),"미매핑"))</f>
        <v/>
      </c>
      <c r="X3984" s="9">
        <f>IF($A3984="","",$F3984&amp;"")</f>
        <v/>
      </c>
      <c r="Y3984" s="94">
        <f>IF($A3984="",0,IF(AE3984="직접",IF(AF3984="비귀속",$P3984,0),$P3984*(1-AG3984)*IFERROR(INDEX(계정대체기준!$F$20:$F$49,MATCH($N3984,계정대체기준!$A$20:$A$49,0)),1)))</f>
        <v/>
      </c>
      <c r="Z3984" s="94">
        <f>IF($A3984="",0,IF(AE3984="직접",IF(AF3984="신계약비",$P3984,0),$P3984*(1-AG3984)*IFERROR(INDEX(계정대체기준!$C$20:$C$49,MATCH($N3984,계정대체기준!$A$20:$A$49,0)),0)))</f>
        <v/>
      </c>
      <c r="AA3984" s="94">
        <f>IF($A3984="",0,IF(AE3984="직접",IF(OR(AF3984="유지비",AF3984="손해조사비"),$P3984,0),$P3984*(1-AG3984)*IFERROR(INDEX(계정대체기준!$D$20:$D$49,MATCH($N3984,계정대체기준!$A$20:$A$49,0)),0)))</f>
        <v/>
      </c>
      <c r="AB3984" s="94">
        <f>IF($A3984="",0,IF(AE3984="직접",IF(AF3984="수금비",$P3984,0),$P3984*(1-AG3984)*IFERROR(INDEX(계정대체기준!$E$20:$E$49,MATCH($N3984,계정대체기준!$A$20:$A$49,0)),0)))</f>
        <v/>
      </c>
      <c r="AC3984" s="9">
        <f>IF(AND($A3984&lt;&gt;"",M3984=설정!$C$20,Z3984&gt;0),Z3984+ROW()/1000000000,"")</f>
        <v/>
      </c>
      <c r="AD3984" s="94">
        <f>IF($A3984="",0,$P3984*AG3984)</f>
        <v/>
      </c>
      <c r="AE3984" s="64">
        <f>IF($A3984="","",IFERROR(INDEX(계정매핑!$E$5:$E$504,MATCH($F3984&amp;"",계정매핑!$A$5:$A$504,0))&amp;"","공통비"))</f>
        <v/>
      </c>
      <c r="AF3984" s="64">
        <f>IF($A3984="","",IF(AE3984="직접",IFERROR(INDEX(계정매핑!$F$5:$F$504,MATCH($F3984&amp;"",계정매핑!$A$5:$A$504,0))&amp;"","비귀속"),""))</f>
        <v/>
      </c>
      <c r="AG3984" s="96">
        <f>IF($A3984="",0,IF(AND(AE3984&lt;&gt;"직접",IFERROR(INDEX(계정매핑!$G$5:$G$504,MATCH($F3984&amp;"",계정매핑!$A$5:$A$504,0))&amp;"","")="유지비",COUNTIF(계정대체기준!$A$6:$A$15,$N3984)&gt;0),IFERROR(INDEX(계정대체기준!$E$6:$E$15,MATCH(VALUE($A3984&amp;""),계정대체기준!$D$6:$D$15,0)),0),0))</f>
        <v/>
      </c>
      <c r="AH3984" s="64">
        <f>IF($A3984="","",IF(AD3984=0,"",IF(OR(COUNTIF(계정대체기준!$A$77:$A$86,$N3984)&gt;0,ISNUMBER(MATCH($X3984,계정대체기준!$D$77:$D$86,0)),ISNUMBER(MATCH($F3984,계정대체기준!$D$77:$D$86,0))),"Y","N")))</f>
        <v/>
      </c>
    </row>
    <row r="3985">
      <c r="A3985" s="92" t="n">
        <v>2026</v>
      </c>
      <c r="B3985" s="92" t="n">
        <v>6</v>
      </c>
      <c r="C3985" s="92" t="inlineStr">
        <is>
          <t>5100001263</t>
        </is>
      </c>
      <c r="D3985" s="95" t="n">
        <v>46189</v>
      </c>
      <c r="E3985" s="92" t="inlineStr">
        <is>
          <t>KR</t>
        </is>
      </c>
      <c r="F3985" s="92" t="n">
        <v>62501000</v>
      </c>
      <c r="G3985" s="92" t="n">
        <v>1201</v>
      </c>
      <c r="H3985" s="93" t="n">
        <v>160000</v>
      </c>
      <c r="I3985" s="92" t="inlineStr">
        <is>
          <t>6월 회의 다과 - (법인카드)</t>
        </is>
      </c>
      <c r="J3985" s="92" t="inlineStr">
        <is>
          <t>V10010</t>
        </is>
      </c>
      <c r="K3985" s="92" t="inlineStr">
        <is>
          <t>(법인카드)</t>
        </is>
      </c>
      <c r="M3985" s="9">
        <f>IF($A3985="","",VALUE($A3985&amp;"")*12+VALUE($B3985&amp;""))</f>
        <v/>
      </c>
      <c r="N3985" s="64">
        <f>IF($A3985="","",IFERROR(INDEX(부서매핑!$C$5:$C$504,MATCH($G3985&amp;"",부서매핑!$A$5:$A$504,0)),"미매핑"))</f>
        <v/>
      </c>
      <c r="O3985" s="9">
        <f>IF($A3985="","",N3985&amp;"|"&amp;$F3985)</f>
        <v/>
      </c>
      <c r="P3985" s="94">
        <f>IF($A3985="",0,$H3985*설정!$C$23)</f>
        <v/>
      </c>
      <c r="Q3985" s="64">
        <f>IF($A3985="","",IF(O3985&lt;&gt;원인분석!$C$9,"",IF(AND(M3985&gt;=원인분석!$C$10,M3985&lt;=원인분석!$C$11),"당기",IF(AND(M3985&gt;=원인분석!$C$12,M3985&lt;=원인분석!$C$13),"비교",""))))</f>
        <v/>
      </c>
      <c r="R3985" s="9">
        <f>IF(Q3985="","",$K3985&amp;"")</f>
        <v/>
      </c>
      <c r="S3985" s="9">
        <f>IF(Q3985="","",IF(MATCH(R3985,$R$5:$R$100000,0)=ROW()-4,ROW(),""))</f>
        <v/>
      </c>
      <c r="T3985" s="9">
        <f>IF(Q3985="당기",ABS(P3985)+ROW()/1000000000,"")</f>
        <v/>
      </c>
      <c r="U3985" s="9">
        <f>IF(Q3985="비교",ABS(P3985)+ROW()/1000000000,"")</f>
        <v/>
      </c>
      <c r="V3985" s="64">
        <f>IF($A3985="","",IF(COUNTIF(변동분석!$E$7:$E$506,O3985)&gt;0,"Y","N"))</f>
        <v/>
      </c>
      <c r="W3985" s="64">
        <f>IF($A3985="","",IFERROR(INDEX(계정매핑!$D$5:$D$504,MATCH($F3985&amp;"",계정매핑!$A$5:$A$504,0)),"미매핑"))</f>
        <v/>
      </c>
      <c r="X3985" s="9">
        <f>IF($A3985="","",$F3985&amp;"")</f>
        <v/>
      </c>
      <c r="Y3985" s="94">
        <f>IF($A3985="",0,IF(AE3985="직접",IF(AF3985="비귀속",$P3985,0),$P3985*(1-AG3985)*IFERROR(INDEX(계정대체기준!$F$20:$F$49,MATCH($N3985,계정대체기준!$A$20:$A$49,0)),1)))</f>
        <v/>
      </c>
      <c r="Z3985" s="94">
        <f>IF($A3985="",0,IF(AE3985="직접",IF(AF3985="신계약비",$P3985,0),$P3985*(1-AG3985)*IFERROR(INDEX(계정대체기준!$C$20:$C$49,MATCH($N3985,계정대체기준!$A$20:$A$49,0)),0)))</f>
        <v/>
      </c>
      <c r="AA3985" s="94">
        <f>IF($A3985="",0,IF(AE3985="직접",IF(OR(AF3985="유지비",AF3985="손해조사비"),$P3985,0),$P3985*(1-AG3985)*IFERROR(INDEX(계정대체기준!$D$20:$D$49,MATCH($N3985,계정대체기준!$A$20:$A$49,0)),0)))</f>
        <v/>
      </c>
      <c r="AB3985" s="94">
        <f>IF($A3985="",0,IF(AE3985="직접",IF(AF3985="수금비",$P3985,0),$P3985*(1-AG3985)*IFERROR(INDEX(계정대체기준!$E$20:$E$49,MATCH($N3985,계정대체기준!$A$20:$A$49,0)),0)))</f>
        <v/>
      </c>
      <c r="AC3985" s="9">
        <f>IF(AND($A3985&lt;&gt;"",M3985=설정!$C$20,Z3985&gt;0),Z3985+ROW()/1000000000,"")</f>
        <v/>
      </c>
      <c r="AD3985" s="94">
        <f>IF($A3985="",0,$P3985*AG3985)</f>
        <v/>
      </c>
      <c r="AE3985" s="64">
        <f>IF($A3985="","",IFERROR(INDEX(계정매핑!$E$5:$E$504,MATCH($F3985&amp;"",계정매핑!$A$5:$A$504,0))&amp;"","공통비"))</f>
        <v/>
      </c>
      <c r="AF3985" s="64">
        <f>IF($A3985="","",IF(AE3985="직접",IFERROR(INDEX(계정매핑!$F$5:$F$504,MATCH($F3985&amp;"",계정매핑!$A$5:$A$504,0))&amp;"","비귀속"),""))</f>
        <v/>
      </c>
      <c r="AG3985" s="96">
        <f>IF($A3985="",0,IF(AND(AE3985&lt;&gt;"직접",IFERROR(INDEX(계정매핑!$G$5:$G$504,MATCH($F3985&amp;"",계정매핑!$A$5:$A$504,0))&amp;"","")="유지비",COUNTIF(계정대체기준!$A$6:$A$15,$N3985)&gt;0),IFERROR(INDEX(계정대체기준!$E$6:$E$15,MATCH(VALUE($A3985&amp;""),계정대체기준!$D$6:$D$15,0)),0),0))</f>
        <v/>
      </c>
      <c r="AH3985" s="64">
        <f>IF($A3985="","",IF(AD3985=0,"",IF(OR(COUNTIF(계정대체기준!$A$77:$A$86,$N3985)&gt;0,ISNUMBER(MATCH($X3985,계정대체기준!$D$77:$D$86,0)),ISNUMBER(MATCH($F3985,계정대체기준!$D$77:$D$86,0))),"Y","N")))</f>
        <v/>
      </c>
    </row>
    <row r="3986">
      <c r="A3986" s="92" t="n">
        <v>2026</v>
      </c>
      <c r="B3986" s="92" t="n">
        <v>6</v>
      </c>
      <c r="C3986" s="92" t="inlineStr">
        <is>
          <t>5100001264</t>
        </is>
      </c>
      <c r="D3986" s="95" t="n">
        <v>46189</v>
      </c>
      <c r="E3986" s="92" t="inlineStr">
        <is>
          <t>KR</t>
        </is>
      </c>
      <c r="F3986" s="92" t="n">
        <v>62701000</v>
      </c>
      <c r="G3986" s="92" t="n">
        <v>1502</v>
      </c>
      <c r="H3986" s="93" t="n">
        <v>19746000</v>
      </c>
      <c r="I3986" s="92" t="inlineStr">
        <is>
          <t>6월 광고 집행 - F애드</t>
        </is>
      </c>
      <c r="J3986" s="92" t="inlineStr">
        <is>
          <t>V10023</t>
        </is>
      </c>
      <c r="K3986" s="92" t="inlineStr">
        <is>
          <t>F애드</t>
        </is>
      </c>
      <c r="M3986" s="9">
        <f>IF($A3986="","",VALUE($A3986&amp;"")*12+VALUE($B3986&amp;""))</f>
        <v/>
      </c>
      <c r="N3986" s="64">
        <f>IF($A3986="","",IFERROR(INDEX(부서매핑!$C$5:$C$504,MATCH($G3986&amp;"",부서매핑!$A$5:$A$504,0)),"미매핑"))</f>
        <v/>
      </c>
      <c r="O3986" s="9">
        <f>IF($A3986="","",N3986&amp;"|"&amp;$F3986)</f>
        <v/>
      </c>
      <c r="P3986" s="94">
        <f>IF($A3986="",0,$H3986*설정!$C$23)</f>
        <v/>
      </c>
      <c r="Q3986" s="64">
        <f>IF($A3986="","",IF(O3986&lt;&gt;원인분석!$C$9,"",IF(AND(M3986&gt;=원인분석!$C$10,M3986&lt;=원인분석!$C$11),"당기",IF(AND(M3986&gt;=원인분석!$C$12,M3986&lt;=원인분석!$C$13),"비교",""))))</f>
        <v/>
      </c>
      <c r="R3986" s="9">
        <f>IF(Q3986="","",$K3986&amp;"")</f>
        <v/>
      </c>
      <c r="S3986" s="9">
        <f>IF(Q3986="","",IF(MATCH(R3986,$R$5:$R$100000,0)=ROW()-4,ROW(),""))</f>
        <v/>
      </c>
      <c r="T3986" s="9">
        <f>IF(Q3986="당기",ABS(P3986)+ROW()/1000000000,"")</f>
        <v/>
      </c>
      <c r="U3986" s="9">
        <f>IF(Q3986="비교",ABS(P3986)+ROW()/1000000000,"")</f>
        <v/>
      </c>
      <c r="V3986" s="64">
        <f>IF($A3986="","",IF(COUNTIF(변동분석!$E$7:$E$506,O3986)&gt;0,"Y","N"))</f>
        <v/>
      </c>
      <c r="W3986" s="64">
        <f>IF($A3986="","",IFERROR(INDEX(계정매핑!$D$5:$D$504,MATCH($F3986&amp;"",계정매핑!$A$5:$A$504,0)),"미매핑"))</f>
        <v/>
      </c>
      <c r="X3986" s="9">
        <f>IF($A3986="","",$F3986&amp;"")</f>
        <v/>
      </c>
      <c r="Y3986" s="94">
        <f>IF($A3986="",0,IF(AE3986="직접",IF(AF3986="비귀속",$P3986,0),$P3986*(1-AG3986)*IFERROR(INDEX(계정대체기준!$F$20:$F$49,MATCH($N3986,계정대체기준!$A$20:$A$49,0)),1)))</f>
        <v/>
      </c>
      <c r="Z3986" s="94">
        <f>IF($A3986="",0,IF(AE3986="직접",IF(AF3986="신계약비",$P3986,0),$P3986*(1-AG3986)*IFERROR(INDEX(계정대체기준!$C$20:$C$49,MATCH($N3986,계정대체기준!$A$20:$A$49,0)),0)))</f>
        <v/>
      </c>
      <c r="AA3986" s="94">
        <f>IF($A3986="",0,IF(AE3986="직접",IF(OR(AF3986="유지비",AF3986="손해조사비"),$P3986,0),$P3986*(1-AG3986)*IFERROR(INDEX(계정대체기준!$D$20:$D$49,MATCH($N3986,계정대체기준!$A$20:$A$49,0)),0)))</f>
        <v/>
      </c>
      <c r="AB3986" s="94">
        <f>IF($A3986="",0,IF(AE3986="직접",IF(AF3986="수금비",$P3986,0),$P3986*(1-AG3986)*IFERROR(INDEX(계정대체기준!$E$20:$E$49,MATCH($N3986,계정대체기준!$A$20:$A$49,0)),0)))</f>
        <v/>
      </c>
      <c r="AC3986" s="9">
        <f>IF(AND($A3986&lt;&gt;"",M3986=설정!$C$20,Z3986&gt;0),Z3986+ROW()/1000000000,"")</f>
        <v/>
      </c>
      <c r="AD3986" s="94">
        <f>IF($A3986="",0,$P3986*AG3986)</f>
        <v/>
      </c>
      <c r="AE3986" s="64">
        <f>IF($A3986="","",IFERROR(INDEX(계정매핑!$E$5:$E$504,MATCH($F3986&amp;"",계정매핑!$A$5:$A$504,0))&amp;"","공통비"))</f>
        <v/>
      </c>
      <c r="AF3986" s="64">
        <f>IF($A3986="","",IF(AE3986="직접",IFERROR(INDEX(계정매핑!$F$5:$F$504,MATCH($F3986&amp;"",계정매핑!$A$5:$A$504,0))&amp;"","비귀속"),""))</f>
        <v/>
      </c>
      <c r="AG3986" s="96">
        <f>IF($A3986="",0,IF(AND(AE3986&lt;&gt;"직접",IFERROR(INDEX(계정매핑!$G$5:$G$504,MATCH($F3986&amp;"",계정매핑!$A$5:$A$504,0))&amp;"","")="유지비",COUNTIF(계정대체기준!$A$6:$A$15,$N3986)&gt;0),IFERROR(INDEX(계정대체기준!$E$6:$E$15,MATCH(VALUE($A3986&amp;""),계정대체기준!$D$6:$D$15,0)),0),0))</f>
        <v/>
      </c>
      <c r="AH3986" s="64">
        <f>IF($A3986="","",IF(AD3986=0,"",IF(OR(COUNTIF(계정대체기준!$A$77:$A$86,$N3986)&gt;0,ISNUMBER(MATCH($X3986,계정대체기준!$D$77:$D$86,0)),ISNUMBER(MATCH($F3986,계정대체기준!$D$77:$D$86,0))),"Y","N")))</f>
        <v/>
      </c>
    </row>
    <row r="3987">
      <c r="A3987" s="92" t="n">
        <v>2026</v>
      </c>
      <c r="B3987" s="92" t="n">
        <v>6</v>
      </c>
      <c r="C3987" s="92" t="inlineStr">
        <is>
          <t>5100001265</t>
        </is>
      </c>
      <c r="D3987" s="95" t="n">
        <v>46189</v>
      </c>
      <c r="E3987" s="92" t="inlineStr">
        <is>
          <t>KR</t>
        </is>
      </c>
      <c r="F3987" s="92" t="n">
        <v>62901000</v>
      </c>
      <c r="G3987" s="92" t="n">
        <v>1401</v>
      </c>
      <c r="H3987" s="93" t="n">
        <v>9240000</v>
      </c>
      <c r="I3987" s="92" t="inlineStr">
        <is>
          <t>6월 자문 수수료 - K회계법인</t>
        </is>
      </c>
      <c r="J3987" s="92" t="inlineStr">
        <is>
          <t>V10011</t>
        </is>
      </c>
      <c r="K3987" s="92" t="inlineStr">
        <is>
          <t>K회계법인</t>
        </is>
      </c>
      <c r="M3987" s="9">
        <f>IF($A3987="","",VALUE($A3987&amp;"")*12+VALUE($B3987&amp;""))</f>
        <v/>
      </c>
      <c r="N3987" s="64">
        <f>IF($A3987="","",IFERROR(INDEX(부서매핑!$C$5:$C$504,MATCH($G3987&amp;"",부서매핑!$A$5:$A$504,0)),"미매핑"))</f>
        <v/>
      </c>
      <c r="O3987" s="9">
        <f>IF($A3987="","",N3987&amp;"|"&amp;$F3987)</f>
        <v/>
      </c>
      <c r="P3987" s="94">
        <f>IF($A3987="",0,$H3987*설정!$C$23)</f>
        <v/>
      </c>
      <c r="Q3987" s="64">
        <f>IF($A3987="","",IF(O3987&lt;&gt;원인분석!$C$9,"",IF(AND(M3987&gt;=원인분석!$C$10,M3987&lt;=원인분석!$C$11),"당기",IF(AND(M3987&gt;=원인분석!$C$12,M3987&lt;=원인분석!$C$13),"비교",""))))</f>
        <v/>
      </c>
      <c r="R3987" s="9">
        <f>IF(Q3987="","",$K3987&amp;"")</f>
        <v/>
      </c>
      <c r="S3987" s="9">
        <f>IF(Q3987="","",IF(MATCH(R3987,$R$5:$R$100000,0)=ROW()-4,ROW(),""))</f>
        <v/>
      </c>
      <c r="T3987" s="9">
        <f>IF(Q3987="당기",ABS(P3987)+ROW()/1000000000,"")</f>
        <v/>
      </c>
      <c r="U3987" s="9">
        <f>IF(Q3987="비교",ABS(P3987)+ROW()/1000000000,"")</f>
        <v/>
      </c>
      <c r="V3987" s="64">
        <f>IF($A3987="","",IF(COUNTIF(변동분석!$E$7:$E$506,O3987)&gt;0,"Y","N"))</f>
        <v/>
      </c>
      <c r="W3987" s="64">
        <f>IF($A3987="","",IFERROR(INDEX(계정매핑!$D$5:$D$504,MATCH($F3987&amp;"",계정매핑!$A$5:$A$504,0)),"미매핑"))</f>
        <v/>
      </c>
      <c r="X3987" s="9">
        <f>IF($A3987="","",$F3987&amp;"")</f>
        <v/>
      </c>
      <c r="Y3987" s="94">
        <f>IF($A3987="",0,IF(AE3987="직접",IF(AF3987="비귀속",$P3987,0),$P3987*(1-AG3987)*IFERROR(INDEX(계정대체기준!$F$20:$F$49,MATCH($N3987,계정대체기준!$A$20:$A$49,0)),1)))</f>
        <v/>
      </c>
      <c r="Z3987" s="94">
        <f>IF($A3987="",0,IF(AE3987="직접",IF(AF3987="신계약비",$P3987,0),$P3987*(1-AG3987)*IFERROR(INDEX(계정대체기준!$C$20:$C$49,MATCH($N3987,계정대체기준!$A$20:$A$49,0)),0)))</f>
        <v/>
      </c>
      <c r="AA3987" s="94">
        <f>IF($A3987="",0,IF(AE3987="직접",IF(OR(AF3987="유지비",AF3987="손해조사비"),$P3987,0),$P3987*(1-AG3987)*IFERROR(INDEX(계정대체기준!$D$20:$D$49,MATCH($N3987,계정대체기준!$A$20:$A$49,0)),0)))</f>
        <v/>
      </c>
      <c r="AB3987" s="94">
        <f>IF($A3987="",0,IF(AE3987="직접",IF(AF3987="수금비",$P3987,0),$P3987*(1-AG3987)*IFERROR(INDEX(계정대체기준!$E$20:$E$49,MATCH($N3987,계정대체기준!$A$20:$A$49,0)),0)))</f>
        <v/>
      </c>
      <c r="AC3987" s="9">
        <f>IF(AND($A3987&lt;&gt;"",M3987=설정!$C$20,Z3987&gt;0),Z3987+ROW()/1000000000,"")</f>
        <v/>
      </c>
      <c r="AD3987" s="94">
        <f>IF($A3987="",0,$P3987*AG3987)</f>
        <v/>
      </c>
      <c r="AE3987" s="64">
        <f>IF($A3987="","",IFERROR(INDEX(계정매핑!$E$5:$E$504,MATCH($F3987&amp;"",계정매핑!$A$5:$A$504,0))&amp;"","공통비"))</f>
        <v/>
      </c>
      <c r="AF3987" s="64">
        <f>IF($A3987="","",IF(AE3987="직접",IFERROR(INDEX(계정매핑!$F$5:$F$504,MATCH($F3987&amp;"",계정매핑!$A$5:$A$504,0))&amp;"","비귀속"),""))</f>
        <v/>
      </c>
      <c r="AG3987" s="96">
        <f>IF($A3987="",0,IF(AND(AE3987&lt;&gt;"직접",IFERROR(INDEX(계정매핑!$G$5:$G$504,MATCH($F3987&amp;"",계정매핑!$A$5:$A$504,0))&amp;"","")="유지비",COUNTIF(계정대체기준!$A$6:$A$15,$N3987)&gt;0),IFERROR(INDEX(계정대체기준!$E$6:$E$15,MATCH(VALUE($A3987&amp;""),계정대체기준!$D$6:$D$15,0)),0),0))</f>
        <v/>
      </c>
      <c r="AH3987" s="64">
        <f>IF($A3987="","",IF(AD3987=0,"",IF(OR(COUNTIF(계정대체기준!$A$77:$A$86,$N3987)&gt;0,ISNUMBER(MATCH($X3987,계정대체기준!$D$77:$D$86,0)),ISNUMBER(MATCH($F3987,계정대체기준!$D$77:$D$86,0))),"Y","N")))</f>
        <v/>
      </c>
    </row>
    <row r="3988">
      <c r="A3988" s="92" t="n">
        <v>2026</v>
      </c>
      <c r="B3988" s="92" t="n">
        <v>6</v>
      </c>
      <c r="C3988" s="92" t="inlineStr">
        <is>
          <t>5100001266</t>
        </is>
      </c>
      <c r="D3988" s="95" t="n">
        <v>46189</v>
      </c>
      <c r="E3988" s="92" t="inlineStr">
        <is>
          <t>KR</t>
        </is>
      </c>
      <c r="F3988" s="92" t="n">
        <v>63601000</v>
      </c>
      <c r="G3988" s="92" t="n">
        <v>1801</v>
      </c>
      <c r="H3988" s="93" t="n">
        <v>10061000</v>
      </c>
      <c r="I3988" s="92" t="inlineStr">
        <is>
          <t>6월 손해사정 수수료 - DD손해사정</t>
        </is>
      </c>
      <c r="J3988" s="92" t="inlineStr">
        <is>
          <t>V10032</t>
        </is>
      </c>
      <c r="K3988" s="92" t="inlineStr">
        <is>
          <t>DD손해사정</t>
        </is>
      </c>
      <c r="M3988" s="9">
        <f>IF($A3988="","",VALUE($A3988&amp;"")*12+VALUE($B3988&amp;""))</f>
        <v/>
      </c>
      <c r="N3988" s="64">
        <f>IF($A3988="","",IFERROR(INDEX(부서매핑!$C$5:$C$504,MATCH($G3988&amp;"",부서매핑!$A$5:$A$504,0)),"미매핑"))</f>
        <v/>
      </c>
      <c r="O3988" s="9">
        <f>IF($A3988="","",N3988&amp;"|"&amp;$F3988)</f>
        <v/>
      </c>
      <c r="P3988" s="94">
        <f>IF($A3988="",0,$H3988*설정!$C$23)</f>
        <v/>
      </c>
      <c r="Q3988" s="64">
        <f>IF($A3988="","",IF(O3988&lt;&gt;원인분석!$C$9,"",IF(AND(M3988&gt;=원인분석!$C$10,M3988&lt;=원인분석!$C$11),"당기",IF(AND(M3988&gt;=원인분석!$C$12,M3988&lt;=원인분석!$C$13),"비교",""))))</f>
        <v/>
      </c>
      <c r="R3988" s="9">
        <f>IF(Q3988="","",$K3988&amp;"")</f>
        <v/>
      </c>
      <c r="S3988" s="9">
        <f>IF(Q3988="","",IF(MATCH(R3988,$R$5:$R$100000,0)=ROW()-4,ROW(),""))</f>
        <v/>
      </c>
      <c r="T3988" s="9">
        <f>IF(Q3988="당기",ABS(P3988)+ROW()/1000000000,"")</f>
        <v/>
      </c>
      <c r="U3988" s="9">
        <f>IF(Q3988="비교",ABS(P3988)+ROW()/1000000000,"")</f>
        <v/>
      </c>
      <c r="V3988" s="64">
        <f>IF($A3988="","",IF(COUNTIF(변동분석!$E$7:$E$506,O3988)&gt;0,"Y","N"))</f>
        <v/>
      </c>
      <c r="W3988" s="64">
        <f>IF($A3988="","",IFERROR(INDEX(계정매핑!$D$5:$D$504,MATCH($F3988&amp;"",계정매핑!$A$5:$A$504,0)),"미매핑"))</f>
        <v/>
      </c>
      <c r="X3988" s="9">
        <f>IF($A3988="","",$F3988&amp;"")</f>
        <v/>
      </c>
      <c r="Y3988" s="94">
        <f>IF($A3988="",0,IF(AE3988="직접",IF(AF3988="비귀속",$P3988,0),$P3988*(1-AG3988)*IFERROR(INDEX(계정대체기준!$F$20:$F$49,MATCH($N3988,계정대체기준!$A$20:$A$49,0)),1)))</f>
        <v/>
      </c>
      <c r="Z3988" s="94">
        <f>IF($A3988="",0,IF(AE3988="직접",IF(AF3988="신계약비",$P3988,0),$P3988*(1-AG3988)*IFERROR(INDEX(계정대체기준!$C$20:$C$49,MATCH($N3988,계정대체기준!$A$20:$A$49,0)),0)))</f>
        <v/>
      </c>
      <c r="AA3988" s="94">
        <f>IF($A3988="",0,IF(AE3988="직접",IF(OR(AF3988="유지비",AF3988="손해조사비"),$P3988,0),$P3988*(1-AG3988)*IFERROR(INDEX(계정대체기준!$D$20:$D$49,MATCH($N3988,계정대체기준!$A$20:$A$49,0)),0)))</f>
        <v/>
      </c>
      <c r="AB3988" s="94">
        <f>IF($A3988="",0,IF(AE3988="직접",IF(AF3988="수금비",$P3988,0),$P3988*(1-AG3988)*IFERROR(INDEX(계정대체기준!$E$20:$E$49,MATCH($N3988,계정대체기준!$A$20:$A$49,0)),0)))</f>
        <v/>
      </c>
      <c r="AC3988" s="9">
        <f>IF(AND($A3988&lt;&gt;"",M3988=설정!$C$20,Z3988&gt;0),Z3988+ROW()/1000000000,"")</f>
        <v/>
      </c>
      <c r="AD3988" s="94">
        <f>IF($A3988="",0,$P3988*AG3988)</f>
        <v/>
      </c>
      <c r="AE3988" s="64">
        <f>IF($A3988="","",IFERROR(INDEX(계정매핑!$E$5:$E$504,MATCH($F3988&amp;"",계정매핑!$A$5:$A$504,0))&amp;"","공통비"))</f>
        <v/>
      </c>
      <c r="AF3988" s="64">
        <f>IF($A3988="","",IF(AE3988="직접",IFERROR(INDEX(계정매핑!$F$5:$F$504,MATCH($F3988&amp;"",계정매핑!$A$5:$A$504,0))&amp;"","비귀속"),""))</f>
        <v/>
      </c>
      <c r="AG3988" s="96">
        <f>IF($A3988="",0,IF(AND(AE3988&lt;&gt;"직접",IFERROR(INDEX(계정매핑!$G$5:$G$504,MATCH($F3988&amp;"",계정매핑!$A$5:$A$504,0))&amp;"","")="유지비",COUNTIF(계정대체기준!$A$6:$A$15,$N3988)&gt;0),IFERROR(INDEX(계정대체기준!$E$6:$E$15,MATCH(VALUE($A3988&amp;""),계정대체기준!$D$6:$D$15,0)),0),0))</f>
        <v/>
      </c>
      <c r="AH3988" s="64">
        <f>IF($A3988="","",IF(AD3988=0,"",IF(OR(COUNTIF(계정대체기준!$A$77:$A$86,$N3988)&gt;0,ISNUMBER(MATCH($X3988,계정대체기준!$D$77:$D$86,0)),ISNUMBER(MATCH($F3988,계정대체기준!$D$77:$D$86,0))),"Y","N")))</f>
        <v/>
      </c>
    </row>
    <row r="3989">
      <c r="A3989" s="92" t="n">
        <v>2026</v>
      </c>
      <c r="B3989" s="92" t="n">
        <v>6</v>
      </c>
      <c r="C3989" s="92" t="inlineStr">
        <is>
          <t>5100001267</t>
        </is>
      </c>
      <c r="D3989" s="95" t="n">
        <v>46190</v>
      </c>
      <c r="E3989" s="92" t="inlineStr">
        <is>
          <t>KR</t>
        </is>
      </c>
      <c r="F3989" s="92" t="n">
        <v>62101000</v>
      </c>
      <c r="G3989" s="92" t="n">
        <v>1501</v>
      </c>
      <c r="H3989" s="93" t="n">
        <v>771000</v>
      </c>
      <c r="I3989" s="92" t="inlineStr">
        <is>
          <t>6월 국내출장 - M항공</t>
        </is>
      </c>
      <c r="J3989" s="92" t="inlineStr">
        <is>
          <t>V10001</t>
        </is>
      </c>
      <c r="K3989" s="92" t="inlineStr">
        <is>
          <t>M항공</t>
        </is>
      </c>
      <c r="M3989" s="9">
        <f>IF($A3989="","",VALUE($A3989&amp;"")*12+VALUE($B3989&amp;""))</f>
        <v/>
      </c>
      <c r="N3989" s="64">
        <f>IF($A3989="","",IFERROR(INDEX(부서매핑!$C$5:$C$504,MATCH($G3989&amp;"",부서매핑!$A$5:$A$504,0)),"미매핑"))</f>
        <v/>
      </c>
      <c r="O3989" s="9">
        <f>IF($A3989="","",N3989&amp;"|"&amp;$F3989)</f>
        <v/>
      </c>
      <c r="P3989" s="94">
        <f>IF($A3989="",0,$H3989*설정!$C$23)</f>
        <v/>
      </c>
      <c r="Q3989" s="64">
        <f>IF($A3989="","",IF(O3989&lt;&gt;원인분석!$C$9,"",IF(AND(M3989&gt;=원인분석!$C$10,M3989&lt;=원인분석!$C$11),"당기",IF(AND(M3989&gt;=원인분석!$C$12,M3989&lt;=원인분석!$C$13),"비교",""))))</f>
        <v/>
      </c>
      <c r="R3989" s="9">
        <f>IF(Q3989="","",$K3989&amp;"")</f>
        <v/>
      </c>
      <c r="S3989" s="9">
        <f>IF(Q3989="","",IF(MATCH(R3989,$R$5:$R$100000,0)=ROW()-4,ROW(),""))</f>
        <v/>
      </c>
      <c r="T3989" s="9">
        <f>IF(Q3989="당기",ABS(P3989)+ROW()/1000000000,"")</f>
        <v/>
      </c>
      <c r="U3989" s="9">
        <f>IF(Q3989="비교",ABS(P3989)+ROW()/1000000000,"")</f>
        <v/>
      </c>
      <c r="V3989" s="64">
        <f>IF($A3989="","",IF(COUNTIF(변동분석!$E$7:$E$506,O3989)&gt;0,"Y","N"))</f>
        <v/>
      </c>
      <c r="W3989" s="64">
        <f>IF($A3989="","",IFERROR(INDEX(계정매핑!$D$5:$D$504,MATCH($F3989&amp;"",계정매핑!$A$5:$A$504,0)),"미매핑"))</f>
        <v/>
      </c>
      <c r="X3989" s="9">
        <f>IF($A3989="","",$F3989&amp;"")</f>
        <v/>
      </c>
      <c r="Y3989" s="94">
        <f>IF($A3989="",0,IF(AE3989="직접",IF(AF3989="비귀속",$P3989,0),$P3989*(1-AG3989)*IFERROR(INDEX(계정대체기준!$F$20:$F$49,MATCH($N3989,계정대체기준!$A$20:$A$49,0)),1)))</f>
        <v/>
      </c>
      <c r="Z3989" s="94">
        <f>IF($A3989="",0,IF(AE3989="직접",IF(AF3989="신계약비",$P3989,0),$P3989*(1-AG3989)*IFERROR(INDEX(계정대체기준!$C$20:$C$49,MATCH($N3989,계정대체기준!$A$20:$A$49,0)),0)))</f>
        <v/>
      </c>
      <c r="AA3989" s="94">
        <f>IF($A3989="",0,IF(AE3989="직접",IF(OR(AF3989="유지비",AF3989="손해조사비"),$P3989,0),$P3989*(1-AG3989)*IFERROR(INDEX(계정대체기준!$D$20:$D$49,MATCH($N3989,계정대체기준!$A$20:$A$49,0)),0)))</f>
        <v/>
      </c>
      <c r="AB3989" s="94">
        <f>IF($A3989="",0,IF(AE3989="직접",IF(AF3989="수금비",$P3989,0),$P3989*(1-AG3989)*IFERROR(INDEX(계정대체기준!$E$20:$E$49,MATCH($N3989,계정대체기준!$A$20:$A$49,0)),0)))</f>
        <v/>
      </c>
      <c r="AC3989" s="9">
        <f>IF(AND($A3989&lt;&gt;"",M3989=설정!$C$20,Z3989&gt;0),Z3989+ROW()/1000000000,"")</f>
        <v/>
      </c>
      <c r="AD3989" s="94">
        <f>IF($A3989="",0,$P3989*AG3989)</f>
        <v/>
      </c>
      <c r="AE3989" s="64">
        <f>IF($A3989="","",IFERROR(INDEX(계정매핑!$E$5:$E$504,MATCH($F3989&amp;"",계정매핑!$A$5:$A$504,0))&amp;"","공통비"))</f>
        <v/>
      </c>
      <c r="AF3989" s="64">
        <f>IF($A3989="","",IF(AE3989="직접",IFERROR(INDEX(계정매핑!$F$5:$F$504,MATCH($F3989&amp;"",계정매핑!$A$5:$A$504,0))&amp;"","비귀속"),""))</f>
        <v/>
      </c>
      <c r="AG3989" s="96">
        <f>IF($A3989="",0,IF(AND(AE3989&lt;&gt;"직접",IFERROR(INDEX(계정매핑!$G$5:$G$504,MATCH($F3989&amp;"",계정매핑!$A$5:$A$504,0))&amp;"","")="유지비",COUNTIF(계정대체기준!$A$6:$A$15,$N3989)&gt;0),IFERROR(INDEX(계정대체기준!$E$6:$E$15,MATCH(VALUE($A3989&amp;""),계정대체기준!$D$6:$D$15,0)),0),0))</f>
        <v/>
      </c>
      <c r="AH3989" s="64">
        <f>IF($A3989="","",IF(AD3989=0,"",IF(OR(COUNTIF(계정대체기준!$A$77:$A$86,$N3989)&gt;0,ISNUMBER(MATCH($X3989,계정대체기준!$D$77:$D$86,0)),ISNUMBER(MATCH($F3989,계정대체기준!$D$77:$D$86,0))),"Y","N")))</f>
        <v/>
      </c>
    </row>
    <row r="3990">
      <c r="A3990" s="92" t="n">
        <v>2026</v>
      </c>
      <c r="B3990" s="92" t="n">
        <v>6</v>
      </c>
      <c r="C3990" s="92" t="inlineStr">
        <is>
          <t>5100001268</t>
        </is>
      </c>
      <c r="D3990" s="95" t="n">
        <v>46190</v>
      </c>
      <c r="E3990" s="92" t="inlineStr">
        <is>
          <t>KR</t>
        </is>
      </c>
      <c r="F3990" s="92" t="n">
        <v>62102000</v>
      </c>
      <c r="G3990" s="92" t="n">
        <v>1201</v>
      </c>
      <c r="H3990" s="93" t="n">
        <v>46000</v>
      </c>
      <c r="I3990" s="92" t="inlineStr">
        <is>
          <t>6월 해외출장 - N호텔</t>
        </is>
      </c>
      <c r="J3990" s="92" t="inlineStr">
        <is>
          <t>V10009</t>
        </is>
      </c>
      <c r="K3990" s="92" t="inlineStr">
        <is>
          <t>N호텔</t>
        </is>
      </c>
      <c r="M3990" s="9">
        <f>IF($A3990="","",VALUE($A3990&amp;"")*12+VALUE($B3990&amp;""))</f>
        <v/>
      </c>
      <c r="N3990" s="64">
        <f>IF($A3990="","",IFERROR(INDEX(부서매핑!$C$5:$C$504,MATCH($G3990&amp;"",부서매핑!$A$5:$A$504,0)),"미매핑"))</f>
        <v/>
      </c>
      <c r="O3990" s="9">
        <f>IF($A3990="","",N3990&amp;"|"&amp;$F3990)</f>
        <v/>
      </c>
      <c r="P3990" s="94">
        <f>IF($A3990="",0,$H3990*설정!$C$23)</f>
        <v/>
      </c>
      <c r="Q3990" s="64">
        <f>IF($A3990="","",IF(O3990&lt;&gt;원인분석!$C$9,"",IF(AND(M3990&gt;=원인분석!$C$10,M3990&lt;=원인분석!$C$11),"당기",IF(AND(M3990&gt;=원인분석!$C$12,M3990&lt;=원인분석!$C$13),"비교",""))))</f>
        <v/>
      </c>
      <c r="R3990" s="9">
        <f>IF(Q3990="","",$K3990&amp;"")</f>
        <v/>
      </c>
      <c r="S3990" s="9">
        <f>IF(Q3990="","",IF(MATCH(R3990,$R$5:$R$100000,0)=ROW()-4,ROW(),""))</f>
        <v/>
      </c>
      <c r="T3990" s="9">
        <f>IF(Q3990="당기",ABS(P3990)+ROW()/1000000000,"")</f>
        <v/>
      </c>
      <c r="U3990" s="9">
        <f>IF(Q3990="비교",ABS(P3990)+ROW()/1000000000,"")</f>
        <v/>
      </c>
      <c r="V3990" s="64">
        <f>IF($A3990="","",IF(COUNTIF(변동분석!$E$7:$E$506,O3990)&gt;0,"Y","N"))</f>
        <v/>
      </c>
      <c r="W3990" s="64">
        <f>IF($A3990="","",IFERROR(INDEX(계정매핑!$D$5:$D$504,MATCH($F3990&amp;"",계정매핑!$A$5:$A$504,0)),"미매핑"))</f>
        <v/>
      </c>
      <c r="X3990" s="9">
        <f>IF($A3990="","",$F3990&amp;"")</f>
        <v/>
      </c>
      <c r="Y3990" s="94">
        <f>IF($A3990="",0,IF(AE3990="직접",IF(AF3990="비귀속",$P3990,0),$P3990*(1-AG3990)*IFERROR(INDEX(계정대체기준!$F$20:$F$49,MATCH($N3990,계정대체기준!$A$20:$A$49,0)),1)))</f>
        <v/>
      </c>
      <c r="Z3990" s="94">
        <f>IF($A3990="",0,IF(AE3990="직접",IF(AF3990="신계약비",$P3990,0),$P3990*(1-AG3990)*IFERROR(INDEX(계정대체기준!$C$20:$C$49,MATCH($N3990,계정대체기준!$A$20:$A$49,0)),0)))</f>
        <v/>
      </c>
      <c r="AA3990" s="94">
        <f>IF($A3990="",0,IF(AE3990="직접",IF(OR(AF3990="유지비",AF3990="손해조사비"),$P3990,0),$P3990*(1-AG3990)*IFERROR(INDEX(계정대체기준!$D$20:$D$49,MATCH($N3990,계정대체기준!$A$20:$A$49,0)),0)))</f>
        <v/>
      </c>
      <c r="AB3990" s="94">
        <f>IF($A3990="",0,IF(AE3990="직접",IF(AF3990="수금비",$P3990,0),$P3990*(1-AG3990)*IFERROR(INDEX(계정대체기준!$E$20:$E$49,MATCH($N3990,계정대체기준!$A$20:$A$49,0)),0)))</f>
        <v/>
      </c>
      <c r="AC3990" s="9">
        <f>IF(AND($A3990&lt;&gt;"",M3990=설정!$C$20,Z3990&gt;0),Z3990+ROW()/1000000000,"")</f>
        <v/>
      </c>
      <c r="AD3990" s="94">
        <f>IF($A3990="",0,$P3990*AG3990)</f>
        <v/>
      </c>
      <c r="AE3990" s="64">
        <f>IF($A3990="","",IFERROR(INDEX(계정매핑!$E$5:$E$504,MATCH($F3990&amp;"",계정매핑!$A$5:$A$504,0))&amp;"","공통비"))</f>
        <v/>
      </c>
      <c r="AF3990" s="64">
        <f>IF($A3990="","",IF(AE3990="직접",IFERROR(INDEX(계정매핑!$F$5:$F$504,MATCH($F3990&amp;"",계정매핑!$A$5:$A$504,0))&amp;"","비귀속"),""))</f>
        <v/>
      </c>
      <c r="AG3990" s="96">
        <f>IF($A3990="",0,IF(AND(AE3990&lt;&gt;"직접",IFERROR(INDEX(계정매핑!$G$5:$G$504,MATCH($F3990&amp;"",계정매핑!$A$5:$A$504,0))&amp;"","")="유지비",COUNTIF(계정대체기준!$A$6:$A$15,$N3990)&gt;0),IFERROR(INDEX(계정대체기준!$E$6:$E$15,MATCH(VALUE($A3990&amp;""),계정대체기준!$D$6:$D$15,0)),0),0))</f>
        <v/>
      </c>
      <c r="AH3990" s="64">
        <f>IF($A3990="","",IF(AD3990=0,"",IF(OR(COUNTIF(계정대체기준!$A$77:$A$86,$N3990)&gt;0,ISNUMBER(MATCH($X3990,계정대체기준!$D$77:$D$86,0)),ISNUMBER(MATCH($F3990,계정대체기준!$D$77:$D$86,0))),"Y","N")))</f>
        <v/>
      </c>
    </row>
    <row r="3991">
      <c r="A3991" s="92" t="n">
        <v>2026</v>
      </c>
      <c r="B3991" s="92" t="n">
        <v>6</v>
      </c>
      <c r="C3991" s="92" t="inlineStr">
        <is>
          <t>5100001269</t>
        </is>
      </c>
      <c r="D3991" s="95" t="n">
        <v>46190</v>
      </c>
      <c r="E3991" s="92" t="inlineStr">
        <is>
          <t>KR</t>
        </is>
      </c>
      <c r="F3991" s="92" t="n">
        <v>62102000</v>
      </c>
      <c r="G3991" s="92" t="n">
        <v>1301</v>
      </c>
      <c r="H3991" s="93" t="n">
        <v>86000</v>
      </c>
      <c r="I3991" s="92" t="inlineStr">
        <is>
          <t>6월 해외출장 - M항공</t>
        </is>
      </c>
      <c r="J3991" s="92" t="inlineStr">
        <is>
          <t>V10001</t>
        </is>
      </c>
      <c r="K3991" s="92" t="inlineStr">
        <is>
          <t>M항공</t>
        </is>
      </c>
      <c r="M3991" s="9">
        <f>IF($A3991="","",VALUE($A3991&amp;"")*12+VALUE($B3991&amp;""))</f>
        <v/>
      </c>
      <c r="N3991" s="64">
        <f>IF($A3991="","",IFERROR(INDEX(부서매핑!$C$5:$C$504,MATCH($G3991&amp;"",부서매핑!$A$5:$A$504,0)),"미매핑"))</f>
        <v/>
      </c>
      <c r="O3991" s="9">
        <f>IF($A3991="","",N3991&amp;"|"&amp;$F3991)</f>
        <v/>
      </c>
      <c r="P3991" s="94">
        <f>IF($A3991="",0,$H3991*설정!$C$23)</f>
        <v/>
      </c>
      <c r="Q3991" s="64">
        <f>IF($A3991="","",IF(O3991&lt;&gt;원인분석!$C$9,"",IF(AND(M3991&gt;=원인분석!$C$10,M3991&lt;=원인분석!$C$11),"당기",IF(AND(M3991&gt;=원인분석!$C$12,M3991&lt;=원인분석!$C$13),"비교",""))))</f>
        <v/>
      </c>
      <c r="R3991" s="9">
        <f>IF(Q3991="","",$K3991&amp;"")</f>
        <v/>
      </c>
      <c r="S3991" s="9">
        <f>IF(Q3991="","",IF(MATCH(R3991,$R$5:$R$100000,0)=ROW()-4,ROW(),""))</f>
        <v/>
      </c>
      <c r="T3991" s="9">
        <f>IF(Q3991="당기",ABS(P3991)+ROW()/1000000000,"")</f>
        <v/>
      </c>
      <c r="U3991" s="9">
        <f>IF(Q3991="비교",ABS(P3991)+ROW()/1000000000,"")</f>
        <v/>
      </c>
      <c r="V3991" s="64">
        <f>IF($A3991="","",IF(COUNTIF(변동분석!$E$7:$E$506,O3991)&gt;0,"Y","N"))</f>
        <v/>
      </c>
      <c r="W3991" s="64">
        <f>IF($A3991="","",IFERROR(INDEX(계정매핑!$D$5:$D$504,MATCH($F3991&amp;"",계정매핑!$A$5:$A$504,0)),"미매핑"))</f>
        <v/>
      </c>
      <c r="X3991" s="9">
        <f>IF($A3991="","",$F3991&amp;"")</f>
        <v/>
      </c>
      <c r="Y3991" s="94">
        <f>IF($A3991="",0,IF(AE3991="직접",IF(AF3991="비귀속",$P3991,0),$P3991*(1-AG3991)*IFERROR(INDEX(계정대체기준!$F$20:$F$49,MATCH($N3991,계정대체기준!$A$20:$A$49,0)),1)))</f>
        <v/>
      </c>
      <c r="Z3991" s="94">
        <f>IF($A3991="",0,IF(AE3991="직접",IF(AF3991="신계약비",$P3991,0),$P3991*(1-AG3991)*IFERROR(INDEX(계정대체기준!$C$20:$C$49,MATCH($N3991,계정대체기준!$A$20:$A$49,0)),0)))</f>
        <v/>
      </c>
      <c r="AA3991" s="94">
        <f>IF($A3991="",0,IF(AE3991="직접",IF(OR(AF3991="유지비",AF3991="손해조사비"),$P3991,0),$P3991*(1-AG3991)*IFERROR(INDEX(계정대체기준!$D$20:$D$49,MATCH($N3991,계정대체기준!$A$20:$A$49,0)),0)))</f>
        <v/>
      </c>
      <c r="AB3991" s="94">
        <f>IF($A3991="",0,IF(AE3991="직접",IF(AF3991="수금비",$P3991,0),$P3991*(1-AG3991)*IFERROR(INDEX(계정대체기준!$E$20:$E$49,MATCH($N3991,계정대체기준!$A$20:$A$49,0)),0)))</f>
        <v/>
      </c>
      <c r="AC3991" s="9">
        <f>IF(AND($A3991&lt;&gt;"",M3991=설정!$C$20,Z3991&gt;0),Z3991+ROW()/1000000000,"")</f>
        <v/>
      </c>
      <c r="AD3991" s="94">
        <f>IF($A3991="",0,$P3991*AG3991)</f>
        <v/>
      </c>
      <c r="AE3991" s="64">
        <f>IF($A3991="","",IFERROR(INDEX(계정매핑!$E$5:$E$504,MATCH($F3991&amp;"",계정매핑!$A$5:$A$504,0))&amp;"","공통비"))</f>
        <v/>
      </c>
      <c r="AF3991" s="64">
        <f>IF($A3991="","",IF(AE3991="직접",IFERROR(INDEX(계정매핑!$F$5:$F$504,MATCH($F3991&amp;"",계정매핑!$A$5:$A$504,0))&amp;"","비귀속"),""))</f>
        <v/>
      </c>
      <c r="AG3991" s="96">
        <f>IF($A3991="",0,IF(AND(AE3991&lt;&gt;"직접",IFERROR(INDEX(계정매핑!$G$5:$G$504,MATCH($F3991&amp;"",계정매핑!$A$5:$A$504,0))&amp;"","")="유지비",COUNTIF(계정대체기준!$A$6:$A$15,$N3991)&gt;0),IFERROR(INDEX(계정대체기준!$E$6:$E$15,MATCH(VALUE($A3991&amp;""),계정대체기준!$D$6:$D$15,0)),0),0))</f>
        <v/>
      </c>
      <c r="AH3991" s="64">
        <f>IF($A3991="","",IF(AD3991=0,"",IF(OR(COUNTIF(계정대체기준!$A$77:$A$86,$N3991)&gt;0,ISNUMBER(MATCH($X3991,계정대체기준!$D$77:$D$86,0)),ISNUMBER(MATCH($F3991,계정대체기준!$D$77:$D$86,0))),"Y","N")))</f>
        <v/>
      </c>
    </row>
    <row r="3992">
      <c r="A3992" s="92" t="n">
        <v>2026</v>
      </c>
      <c r="B3992" s="92" t="n">
        <v>6</v>
      </c>
      <c r="C3992" s="92" t="inlineStr">
        <is>
          <t>5100001270</t>
        </is>
      </c>
      <c r="D3992" s="95" t="n">
        <v>46190</v>
      </c>
      <c r="E3992" s="92" t="inlineStr">
        <is>
          <t>KR</t>
        </is>
      </c>
      <c r="F3992" s="92" t="n">
        <v>62102000</v>
      </c>
      <c r="G3992" s="92" t="n">
        <v>1401</v>
      </c>
      <c r="H3992" s="93" t="n">
        <v>87000</v>
      </c>
      <c r="I3992" s="92" t="inlineStr">
        <is>
          <t>6월 해외출장 - N호텔</t>
        </is>
      </c>
      <c r="J3992" s="92" t="inlineStr">
        <is>
          <t>V10009</t>
        </is>
      </c>
      <c r="K3992" s="92" t="inlineStr">
        <is>
          <t>N호텔</t>
        </is>
      </c>
      <c r="M3992" s="9">
        <f>IF($A3992="","",VALUE($A3992&amp;"")*12+VALUE($B3992&amp;""))</f>
        <v/>
      </c>
      <c r="N3992" s="64">
        <f>IF($A3992="","",IFERROR(INDEX(부서매핑!$C$5:$C$504,MATCH($G3992&amp;"",부서매핑!$A$5:$A$504,0)),"미매핑"))</f>
        <v/>
      </c>
      <c r="O3992" s="9">
        <f>IF($A3992="","",N3992&amp;"|"&amp;$F3992)</f>
        <v/>
      </c>
      <c r="P3992" s="94">
        <f>IF($A3992="",0,$H3992*설정!$C$23)</f>
        <v/>
      </c>
      <c r="Q3992" s="64">
        <f>IF($A3992="","",IF(O3992&lt;&gt;원인분석!$C$9,"",IF(AND(M3992&gt;=원인분석!$C$10,M3992&lt;=원인분석!$C$11),"당기",IF(AND(M3992&gt;=원인분석!$C$12,M3992&lt;=원인분석!$C$13),"비교",""))))</f>
        <v/>
      </c>
      <c r="R3992" s="9">
        <f>IF(Q3992="","",$K3992&amp;"")</f>
        <v/>
      </c>
      <c r="S3992" s="9">
        <f>IF(Q3992="","",IF(MATCH(R3992,$R$5:$R$100000,0)=ROW()-4,ROW(),""))</f>
        <v/>
      </c>
      <c r="T3992" s="9">
        <f>IF(Q3992="당기",ABS(P3992)+ROW()/1000000000,"")</f>
        <v/>
      </c>
      <c r="U3992" s="9">
        <f>IF(Q3992="비교",ABS(P3992)+ROW()/1000000000,"")</f>
        <v/>
      </c>
      <c r="V3992" s="64">
        <f>IF($A3992="","",IF(COUNTIF(변동분석!$E$7:$E$506,O3992)&gt;0,"Y","N"))</f>
        <v/>
      </c>
      <c r="W3992" s="64">
        <f>IF($A3992="","",IFERROR(INDEX(계정매핑!$D$5:$D$504,MATCH($F3992&amp;"",계정매핑!$A$5:$A$504,0)),"미매핑"))</f>
        <v/>
      </c>
      <c r="X3992" s="9">
        <f>IF($A3992="","",$F3992&amp;"")</f>
        <v/>
      </c>
      <c r="Y3992" s="94">
        <f>IF($A3992="",0,IF(AE3992="직접",IF(AF3992="비귀속",$P3992,0),$P3992*(1-AG3992)*IFERROR(INDEX(계정대체기준!$F$20:$F$49,MATCH($N3992,계정대체기준!$A$20:$A$49,0)),1)))</f>
        <v/>
      </c>
      <c r="Z3992" s="94">
        <f>IF($A3992="",0,IF(AE3992="직접",IF(AF3992="신계약비",$P3992,0),$P3992*(1-AG3992)*IFERROR(INDEX(계정대체기준!$C$20:$C$49,MATCH($N3992,계정대체기준!$A$20:$A$49,0)),0)))</f>
        <v/>
      </c>
      <c r="AA3992" s="94">
        <f>IF($A3992="",0,IF(AE3992="직접",IF(OR(AF3992="유지비",AF3992="손해조사비"),$P3992,0),$P3992*(1-AG3992)*IFERROR(INDEX(계정대체기준!$D$20:$D$49,MATCH($N3992,계정대체기준!$A$20:$A$49,0)),0)))</f>
        <v/>
      </c>
      <c r="AB3992" s="94">
        <f>IF($A3992="",0,IF(AE3992="직접",IF(AF3992="수금비",$P3992,0),$P3992*(1-AG3992)*IFERROR(INDEX(계정대체기준!$E$20:$E$49,MATCH($N3992,계정대체기준!$A$20:$A$49,0)),0)))</f>
        <v/>
      </c>
      <c r="AC3992" s="9">
        <f>IF(AND($A3992&lt;&gt;"",M3992=설정!$C$20,Z3992&gt;0),Z3992+ROW()/1000000000,"")</f>
        <v/>
      </c>
      <c r="AD3992" s="94">
        <f>IF($A3992="",0,$P3992*AG3992)</f>
        <v/>
      </c>
      <c r="AE3992" s="64">
        <f>IF($A3992="","",IFERROR(INDEX(계정매핑!$E$5:$E$504,MATCH($F3992&amp;"",계정매핑!$A$5:$A$504,0))&amp;"","공통비"))</f>
        <v/>
      </c>
      <c r="AF3992" s="64">
        <f>IF($A3992="","",IF(AE3992="직접",IFERROR(INDEX(계정매핑!$F$5:$F$504,MATCH($F3992&amp;"",계정매핑!$A$5:$A$504,0))&amp;"","비귀속"),""))</f>
        <v/>
      </c>
      <c r="AG3992" s="96">
        <f>IF($A3992="",0,IF(AND(AE3992&lt;&gt;"직접",IFERROR(INDEX(계정매핑!$G$5:$G$504,MATCH($F3992&amp;"",계정매핑!$A$5:$A$504,0))&amp;"","")="유지비",COUNTIF(계정대체기준!$A$6:$A$15,$N3992)&gt;0),IFERROR(INDEX(계정대체기준!$E$6:$E$15,MATCH(VALUE($A3992&amp;""),계정대체기준!$D$6:$D$15,0)),0),0))</f>
        <v/>
      </c>
      <c r="AH3992" s="64">
        <f>IF($A3992="","",IF(AD3992=0,"",IF(OR(COUNTIF(계정대체기준!$A$77:$A$86,$N3992)&gt;0,ISNUMBER(MATCH($X3992,계정대체기준!$D$77:$D$86,0)),ISNUMBER(MATCH($F3992,계정대체기준!$D$77:$D$86,0))),"Y","N")))</f>
        <v/>
      </c>
    </row>
    <row r="3993">
      <c r="A3993" s="92" t="n">
        <v>2026</v>
      </c>
      <c r="B3993" s="92" t="n">
        <v>6</v>
      </c>
      <c r="C3993" s="92" t="inlineStr">
        <is>
          <t>5100001271</t>
        </is>
      </c>
      <c r="D3993" s="95" t="n">
        <v>46190</v>
      </c>
      <c r="E3993" s="92" t="inlineStr">
        <is>
          <t>KR</t>
        </is>
      </c>
      <c r="F3993" s="92" t="n">
        <v>62201000</v>
      </c>
      <c r="G3993" s="92" t="n">
        <v>1501</v>
      </c>
      <c r="H3993" s="93" t="n">
        <v>376000</v>
      </c>
      <c r="I3993" s="92" t="inlineStr">
        <is>
          <t>6월 통신요금 - O텔레콤</t>
        </is>
      </c>
      <c r="J3993" s="92" t="inlineStr">
        <is>
          <t>V10002</t>
        </is>
      </c>
      <c r="K3993" s="92" t="inlineStr">
        <is>
          <t>O텔레콤</t>
        </is>
      </c>
      <c r="M3993" s="9">
        <f>IF($A3993="","",VALUE($A3993&amp;"")*12+VALUE($B3993&amp;""))</f>
        <v/>
      </c>
      <c r="N3993" s="64">
        <f>IF($A3993="","",IFERROR(INDEX(부서매핑!$C$5:$C$504,MATCH($G3993&amp;"",부서매핑!$A$5:$A$504,0)),"미매핑"))</f>
        <v/>
      </c>
      <c r="O3993" s="9">
        <f>IF($A3993="","",N3993&amp;"|"&amp;$F3993)</f>
        <v/>
      </c>
      <c r="P3993" s="94">
        <f>IF($A3993="",0,$H3993*설정!$C$23)</f>
        <v/>
      </c>
      <c r="Q3993" s="64">
        <f>IF($A3993="","",IF(O3993&lt;&gt;원인분석!$C$9,"",IF(AND(M3993&gt;=원인분석!$C$10,M3993&lt;=원인분석!$C$11),"당기",IF(AND(M3993&gt;=원인분석!$C$12,M3993&lt;=원인분석!$C$13),"비교",""))))</f>
        <v/>
      </c>
      <c r="R3993" s="9">
        <f>IF(Q3993="","",$K3993&amp;"")</f>
        <v/>
      </c>
      <c r="S3993" s="9">
        <f>IF(Q3993="","",IF(MATCH(R3993,$R$5:$R$100000,0)=ROW()-4,ROW(),""))</f>
        <v/>
      </c>
      <c r="T3993" s="9">
        <f>IF(Q3993="당기",ABS(P3993)+ROW()/1000000000,"")</f>
        <v/>
      </c>
      <c r="U3993" s="9">
        <f>IF(Q3993="비교",ABS(P3993)+ROW()/1000000000,"")</f>
        <v/>
      </c>
      <c r="V3993" s="64">
        <f>IF($A3993="","",IF(COUNTIF(변동분석!$E$7:$E$506,O3993)&gt;0,"Y","N"))</f>
        <v/>
      </c>
      <c r="W3993" s="64">
        <f>IF($A3993="","",IFERROR(INDEX(계정매핑!$D$5:$D$504,MATCH($F3993&amp;"",계정매핑!$A$5:$A$504,0)),"미매핑"))</f>
        <v/>
      </c>
      <c r="X3993" s="9">
        <f>IF($A3993="","",$F3993&amp;"")</f>
        <v/>
      </c>
      <c r="Y3993" s="94">
        <f>IF($A3993="",0,IF(AE3993="직접",IF(AF3993="비귀속",$P3993,0),$P3993*(1-AG3993)*IFERROR(INDEX(계정대체기준!$F$20:$F$49,MATCH($N3993,계정대체기준!$A$20:$A$49,0)),1)))</f>
        <v/>
      </c>
      <c r="Z3993" s="94">
        <f>IF($A3993="",0,IF(AE3993="직접",IF(AF3993="신계약비",$P3993,0),$P3993*(1-AG3993)*IFERROR(INDEX(계정대체기준!$C$20:$C$49,MATCH($N3993,계정대체기준!$A$20:$A$49,0)),0)))</f>
        <v/>
      </c>
      <c r="AA3993" s="94">
        <f>IF($A3993="",0,IF(AE3993="직접",IF(OR(AF3993="유지비",AF3993="손해조사비"),$P3993,0),$P3993*(1-AG3993)*IFERROR(INDEX(계정대체기준!$D$20:$D$49,MATCH($N3993,계정대체기준!$A$20:$A$49,0)),0)))</f>
        <v/>
      </c>
      <c r="AB3993" s="94">
        <f>IF($A3993="",0,IF(AE3993="직접",IF(AF3993="수금비",$P3993,0),$P3993*(1-AG3993)*IFERROR(INDEX(계정대체기준!$E$20:$E$49,MATCH($N3993,계정대체기준!$A$20:$A$49,0)),0)))</f>
        <v/>
      </c>
      <c r="AC3993" s="9">
        <f>IF(AND($A3993&lt;&gt;"",M3993=설정!$C$20,Z3993&gt;0),Z3993+ROW()/1000000000,"")</f>
        <v/>
      </c>
      <c r="AD3993" s="94">
        <f>IF($A3993="",0,$P3993*AG3993)</f>
        <v/>
      </c>
      <c r="AE3993" s="64">
        <f>IF($A3993="","",IFERROR(INDEX(계정매핑!$E$5:$E$504,MATCH($F3993&amp;"",계정매핑!$A$5:$A$504,0))&amp;"","공통비"))</f>
        <v/>
      </c>
      <c r="AF3993" s="64">
        <f>IF($A3993="","",IF(AE3993="직접",IFERROR(INDEX(계정매핑!$F$5:$F$504,MATCH($F3993&amp;"",계정매핑!$A$5:$A$504,0))&amp;"","비귀속"),""))</f>
        <v/>
      </c>
      <c r="AG3993" s="96">
        <f>IF($A3993="",0,IF(AND(AE3993&lt;&gt;"직접",IFERROR(INDEX(계정매핑!$G$5:$G$504,MATCH($F3993&amp;"",계정매핑!$A$5:$A$504,0))&amp;"","")="유지비",COUNTIF(계정대체기준!$A$6:$A$15,$N3993)&gt;0),IFERROR(INDEX(계정대체기준!$E$6:$E$15,MATCH(VALUE($A3993&amp;""),계정대체기준!$D$6:$D$15,0)),0),0))</f>
        <v/>
      </c>
      <c r="AH3993" s="64">
        <f>IF($A3993="","",IF(AD3993=0,"",IF(OR(COUNTIF(계정대체기준!$A$77:$A$86,$N3993)&gt;0,ISNUMBER(MATCH($X3993,계정대체기준!$D$77:$D$86,0)),ISNUMBER(MATCH($F3993,계정대체기준!$D$77:$D$86,0))),"Y","N")))</f>
        <v/>
      </c>
    </row>
    <row r="3994">
      <c r="A3994" s="92" t="n">
        <v>2026</v>
      </c>
      <c r="B3994" s="92" t="n">
        <v>6</v>
      </c>
      <c r="C3994" s="92" t="inlineStr">
        <is>
          <t>5100001272</t>
        </is>
      </c>
      <c r="D3994" s="95" t="n">
        <v>46190</v>
      </c>
      <c r="E3994" s="92" t="inlineStr">
        <is>
          <t>KR</t>
        </is>
      </c>
      <c r="F3994" s="92" t="n">
        <v>62201000</v>
      </c>
      <c r="G3994" s="92" t="n">
        <v>1801</v>
      </c>
      <c r="H3994" s="93" t="n">
        <v>7826000</v>
      </c>
      <c r="I3994" s="92" t="inlineStr">
        <is>
          <t>6월 통신요금 - O텔레콤</t>
        </is>
      </c>
      <c r="J3994" s="92" t="inlineStr">
        <is>
          <t>V10002</t>
        </is>
      </c>
      <c r="K3994" s="92" t="inlineStr">
        <is>
          <t>O텔레콤</t>
        </is>
      </c>
      <c r="M3994" s="9">
        <f>IF($A3994="","",VALUE($A3994&amp;"")*12+VALUE($B3994&amp;""))</f>
        <v/>
      </c>
      <c r="N3994" s="64">
        <f>IF($A3994="","",IFERROR(INDEX(부서매핑!$C$5:$C$504,MATCH($G3994&amp;"",부서매핑!$A$5:$A$504,0)),"미매핑"))</f>
        <v/>
      </c>
      <c r="O3994" s="9">
        <f>IF($A3994="","",N3994&amp;"|"&amp;$F3994)</f>
        <v/>
      </c>
      <c r="P3994" s="94">
        <f>IF($A3994="",0,$H3994*설정!$C$23)</f>
        <v/>
      </c>
      <c r="Q3994" s="64">
        <f>IF($A3994="","",IF(O3994&lt;&gt;원인분석!$C$9,"",IF(AND(M3994&gt;=원인분석!$C$10,M3994&lt;=원인분석!$C$11),"당기",IF(AND(M3994&gt;=원인분석!$C$12,M3994&lt;=원인분석!$C$13),"비교",""))))</f>
        <v/>
      </c>
      <c r="R3994" s="9">
        <f>IF(Q3994="","",$K3994&amp;"")</f>
        <v/>
      </c>
      <c r="S3994" s="9">
        <f>IF(Q3994="","",IF(MATCH(R3994,$R$5:$R$100000,0)=ROW()-4,ROW(),""))</f>
        <v/>
      </c>
      <c r="T3994" s="9">
        <f>IF(Q3994="당기",ABS(P3994)+ROW()/1000000000,"")</f>
        <v/>
      </c>
      <c r="U3994" s="9">
        <f>IF(Q3994="비교",ABS(P3994)+ROW()/1000000000,"")</f>
        <v/>
      </c>
      <c r="V3994" s="64">
        <f>IF($A3994="","",IF(COUNTIF(변동분석!$E$7:$E$506,O3994)&gt;0,"Y","N"))</f>
        <v/>
      </c>
      <c r="W3994" s="64">
        <f>IF($A3994="","",IFERROR(INDEX(계정매핑!$D$5:$D$504,MATCH($F3994&amp;"",계정매핑!$A$5:$A$504,0)),"미매핑"))</f>
        <v/>
      </c>
      <c r="X3994" s="9">
        <f>IF($A3994="","",$F3994&amp;"")</f>
        <v/>
      </c>
      <c r="Y3994" s="94">
        <f>IF($A3994="",0,IF(AE3994="직접",IF(AF3994="비귀속",$P3994,0),$P3994*(1-AG3994)*IFERROR(INDEX(계정대체기준!$F$20:$F$49,MATCH($N3994,계정대체기준!$A$20:$A$49,0)),1)))</f>
        <v/>
      </c>
      <c r="Z3994" s="94">
        <f>IF($A3994="",0,IF(AE3994="직접",IF(AF3994="신계약비",$P3994,0),$P3994*(1-AG3994)*IFERROR(INDEX(계정대체기준!$C$20:$C$49,MATCH($N3994,계정대체기준!$A$20:$A$49,0)),0)))</f>
        <v/>
      </c>
      <c r="AA3994" s="94">
        <f>IF($A3994="",0,IF(AE3994="직접",IF(OR(AF3994="유지비",AF3994="손해조사비"),$P3994,0),$P3994*(1-AG3994)*IFERROR(INDEX(계정대체기준!$D$20:$D$49,MATCH($N3994,계정대체기준!$A$20:$A$49,0)),0)))</f>
        <v/>
      </c>
      <c r="AB3994" s="94">
        <f>IF($A3994="",0,IF(AE3994="직접",IF(AF3994="수금비",$P3994,0),$P3994*(1-AG3994)*IFERROR(INDEX(계정대체기준!$E$20:$E$49,MATCH($N3994,계정대체기준!$A$20:$A$49,0)),0)))</f>
        <v/>
      </c>
      <c r="AC3994" s="9">
        <f>IF(AND($A3994&lt;&gt;"",M3994=설정!$C$20,Z3994&gt;0),Z3994+ROW()/1000000000,"")</f>
        <v/>
      </c>
      <c r="AD3994" s="94">
        <f>IF($A3994="",0,$P3994*AG3994)</f>
        <v/>
      </c>
      <c r="AE3994" s="64">
        <f>IF($A3994="","",IFERROR(INDEX(계정매핑!$E$5:$E$504,MATCH($F3994&amp;"",계정매핑!$A$5:$A$504,0))&amp;"","공통비"))</f>
        <v/>
      </c>
      <c r="AF3994" s="64">
        <f>IF($A3994="","",IF(AE3994="직접",IFERROR(INDEX(계정매핑!$F$5:$F$504,MATCH($F3994&amp;"",계정매핑!$A$5:$A$504,0))&amp;"","비귀속"),""))</f>
        <v/>
      </c>
      <c r="AG3994" s="96">
        <f>IF($A3994="",0,IF(AND(AE3994&lt;&gt;"직접",IFERROR(INDEX(계정매핑!$G$5:$G$504,MATCH($F3994&amp;"",계정매핑!$A$5:$A$504,0))&amp;"","")="유지비",COUNTIF(계정대체기준!$A$6:$A$15,$N3994)&gt;0),IFERROR(INDEX(계정대체기준!$E$6:$E$15,MATCH(VALUE($A3994&amp;""),계정대체기준!$D$6:$D$15,0)),0),0))</f>
        <v/>
      </c>
      <c r="AH3994" s="64">
        <f>IF($A3994="","",IF(AD3994=0,"",IF(OR(COUNTIF(계정대체기준!$A$77:$A$86,$N3994)&gt;0,ISNUMBER(MATCH($X3994,계정대체기준!$D$77:$D$86,0)),ISNUMBER(MATCH($F3994,계정대체기준!$D$77:$D$86,0))),"Y","N")))</f>
        <v/>
      </c>
    </row>
    <row r="3995">
      <c r="A3995" s="92" t="n">
        <v>2026</v>
      </c>
      <c r="B3995" s="92" t="n">
        <v>6</v>
      </c>
      <c r="C3995" s="92" t="inlineStr">
        <is>
          <t>5100001273</t>
        </is>
      </c>
      <c r="D3995" s="95" t="n">
        <v>46190</v>
      </c>
      <c r="E3995" s="92" t="inlineStr">
        <is>
          <t>KR</t>
        </is>
      </c>
      <c r="F3995" s="92" t="n">
        <v>62301000</v>
      </c>
      <c r="G3995" s="92" t="n">
        <v>1601</v>
      </c>
      <c r="H3995" s="93" t="n">
        <v>569000</v>
      </c>
      <c r="I3995" s="92" t="inlineStr">
        <is>
          <t>6월 소모품 구입 - Q오피스</t>
        </is>
      </c>
      <c r="J3995" s="92" t="inlineStr">
        <is>
          <t>V10003</t>
        </is>
      </c>
      <c r="K3995" s="92" t="inlineStr">
        <is>
          <t>Q오피스</t>
        </is>
      </c>
      <c r="M3995" s="9">
        <f>IF($A3995="","",VALUE($A3995&amp;"")*12+VALUE($B3995&amp;""))</f>
        <v/>
      </c>
      <c r="N3995" s="64">
        <f>IF($A3995="","",IFERROR(INDEX(부서매핑!$C$5:$C$504,MATCH($G3995&amp;"",부서매핑!$A$5:$A$504,0)),"미매핑"))</f>
        <v/>
      </c>
      <c r="O3995" s="9">
        <f>IF($A3995="","",N3995&amp;"|"&amp;$F3995)</f>
        <v/>
      </c>
      <c r="P3995" s="94">
        <f>IF($A3995="",0,$H3995*설정!$C$23)</f>
        <v/>
      </c>
      <c r="Q3995" s="64">
        <f>IF($A3995="","",IF(O3995&lt;&gt;원인분석!$C$9,"",IF(AND(M3995&gt;=원인분석!$C$10,M3995&lt;=원인분석!$C$11),"당기",IF(AND(M3995&gt;=원인분석!$C$12,M3995&lt;=원인분석!$C$13),"비교",""))))</f>
        <v/>
      </c>
      <c r="R3995" s="9">
        <f>IF(Q3995="","",$K3995&amp;"")</f>
        <v/>
      </c>
      <c r="S3995" s="9">
        <f>IF(Q3995="","",IF(MATCH(R3995,$R$5:$R$100000,0)=ROW()-4,ROW(),""))</f>
        <v/>
      </c>
      <c r="T3995" s="9">
        <f>IF(Q3995="당기",ABS(P3995)+ROW()/1000000000,"")</f>
        <v/>
      </c>
      <c r="U3995" s="9">
        <f>IF(Q3995="비교",ABS(P3995)+ROW()/1000000000,"")</f>
        <v/>
      </c>
      <c r="V3995" s="64">
        <f>IF($A3995="","",IF(COUNTIF(변동분석!$E$7:$E$506,O3995)&gt;0,"Y","N"))</f>
        <v/>
      </c>
      <c r="W3995" s="64">
        <f>IF($A3995="","",IFERROR(INDEX(계정매핑!$D$5:$D$504,MATCH($F3995&amp;"",계정매핑!$A$5:$A$504,0)),"미매핑"))</f>
        <v/>
      </c>
      <c r="X3995" s="9">
        <f>IF($A3995="","",$F3995&amp;"")</f>
        <v/>
      </c>
      <c r="Y3995" s="94">
        <f>IF($A3995="",0,IF(AE3995="직접",IF(AF3995="비귀속",$P3995,0),$P3995*(1-AG3995)*IFERROR(INDEX(계정대체기준!$F$20:$F$49,MATCH($N3995,계정대체기준!$A$20:$A$49,0)),1)))</f>
        <v/>
      </c>
      <c r="Z3995" s="94">
        <f>IF($A3995="",0,IF(AE3995="직접",IF(AF3995="신계약비",$P3995,0),$P3995*(1-AG3995)*IFERROR(INDEX(계정대체기준!$C$20:$C$49,MATCH($N3995,계정대체기준!$A$20:$A$49,0)),0)))</f>
        <v/>
      </c>
      <c r="AA3995" s="94">
        <f>IF($A3995="",0,IF(AE3995="직접",IF(OR(AF3995="유지비",AF3995="손해조사비"),$P3995,0),$P3995*(1-AG3995)*IFERROR(INDEX(계정대체기준!$D$20:$D$49,MATCH($N3995,계정대체기준!$A$20:$A$49,0)),0)))</f>
        <v/>
      </c>
      <c r="AB3995" s="94">
        <f>IF($A3995="",0,IF(AE3995="직접",IF(AF3995="수금비",$P3995,0),$P3995*(1-AG3995)*IFERROR(INDEX(계정대체기준!$E$20:$E$49,MATCH($N3995,계정대체기준!$A$20:$A$49,0)),0)))</f>
        <v/>
      </c>
      <c r="AC3995" s="9">
        <f>IF(AND($A3995&lt;&gt;"",M3995=설정!$C$20,Z3995&gt;0),Z3995+ROW()/1000000000,"")</f>
        <v/>
      </c>
      <c r="AD3995" s="94">
        <f>IF($A3995="",0,$P3995*AG3995)</f>
        <v/>
      </c>
      <c r="AE3995" s="64">
        <f>IF($A3995="","",IFERROR(INDEX(계정매핑!$E$5:$E$504,MATCH($F3995&amp;"",계정매핑!$A$5:$A$504,0))&amp;"","공통비"))</f>
        <v/>
      </c>
      <c r="AF3995" s="64">
        <f>IF($A3995="","",IF(AE3995="직접",IFERROR(INDEX(계정매핑!$F$5:$F$504,MATCH($F3995&amp;"",계정매핑!$A$5:$A$504,0))&amp;"","비귀속"),""))</f>
        <v/>
      </c>
      <c r="AG3995" s="96">
        <f>IF($A3995="",0,IF(AND(AE3995&lt;&gt;"직접",IFERROR(INDEX(계정매핑!$G$5:$G$504,MATCH($F3995&amp;"",계정매핑!$A$5:$A$504,0))&amp;"","")="유지비",COUNTIF(계정대체기준!$A$6:$A$15,$N3995)&gt;0),IFERROR(INDEX(계정대체기준!$E$6:$E$15,MATCH(VALUE($A3995&amp;""),계정대체기준!$D$6:$D$15,0)),0),0))</f>
        <v/>
      </c>
      <c r="AH3995" s="64">
        <f>IF($A3995="","",IF(AD3995=0,"",IF(OR(COUNTIF(계정대체기준!$A$77:$A$86,$N3995)&gt;0,ISNUMBER(MATCH($X3995,계정대체기준!$D$77:$D$86,0)),ISNUMBER(MATCH($F3995,계정대체기준!$D$77:$D$86,0))),"Y","N")))</f>
        <v/>
      </c>
    </row>
    <row r="3996">
      <c r="A3996" s="92" t="n">
        <v>2026</v>
      </c>
      <c r="B3996" s="92" t="n">
        <v>6</v>
      </c>
      <c r="C3996" s="92" t="inlineStr">
        <is>
          <t>5100001274</t>
        </is>
      </c>
      <c r="D3996" s="95" t="n">
        <v>46190</v>
      </c>
      <c r="E3996" s="92" t="inlineStr">
        <is>
          <t>KR</t>
        </is>
      </c>
      <c r="F3996" s="92" t="n">
        <v>62901000</v>
      </c>
      <c r="G3996" s="92" t="n">
        <v>1801</v>
      </c>
      <c r="H3996" s="93" t="n">
        <v>16054000</v>
      </c>
      <c r="I3996" s="92" t="inlineStr">
        <is>
          <t>6월 자문 수수료 - W컨설팅</t>
        </is>
      </c>
      <c r="J3996" s="92" t="inlineStr">
        <is>
          <t>V10006</t>
        </is>
      </c>
      <c r="K3996" s="92" t="inlineStr">
        <is>
          <t>W컨설팅</t>
        </is>
      </c>
      <c r="M3996" s="9">
        <f>IF($A3996="","",VALUE($A3996&amp;"")*12+VALUE($B3996&amp;""))</f>
        <v/>
      </c>
      <c r="N3996" s="64">
        <f>IF($A3996="","",IFERROR(INDEX(부서매핑!$C$5:$C$504,MATCH($G3996&amp;"",부서매핑!$A$5:$A$504,0)),"미매핑"))</f>
        <v/>
      </c>
      <c r="O3996" s="9">
        <f>IF($A3996="","",N3996&amp;"|"&amp;$F3996)</f>
        <v/>
      </c>
      <c r="P3996" s="94">
        <f>IF($A3996="",0,$H3996*설정!$C$23)</f>
        <v/>
      </c>
      <c r="Q3996" s="64">
        <f>IF($A3996="","",IF(O3996&lt;&gt;원인분석!$C$9,"",IF(AND(M3996&gt;=원인분석!$C$10,M3996&lt;=원인분석!$C$11),"당기",IF(AND(M3996&gt;=원인분석!$C$12,M3996&lt;=원인분석!$C$13),"비교",""))))</f>
        <v/>
      </c>
      <c r="R3996" s="9">
        <f>IF(Q3996="","",$K3996&amp;"")</f>
        <v/>
      </c>
      <c r="S3996" s="9">
        <f>IF(Q3996="","",IF(MATCH(R3996,$R$5:$R$100000,0)=ROW()-4,ROW(),""))</f>
        <v/>
      </c>
      <c r="T3996" s="9">
        <f>IF(Q3996="당기",ABS(P3996)+ROW()/1000000000,"")</f>
        <v/>
      </c>
      <c r="U3996" s="9">
        <f>IF(Q3996="비교",ABS(P3996)+ROW()/1000000000,"")</f>
        <v/>
      </c>
      <c r="V3996" s="64">
        <f>IF($A3996="","",IF(COUNTIF(변동분석!$E$7:$E$506,O3996)&gt;0,"Y","N"))</f>
        <v/>
      </c>
      <c r="W3996" s="64">
        <f>IF($A3996="","",IFERROR(INDEX(계정매핑!$D$5:$D$504,MATCH($F3996&amp;"",계정매핑!$A$5:$A$504,0)),"미매핑"))</f>
        <v/>
      </c>
      <c r="X3996" s="9">
        <f>IF($A3996="","",$F3996&amp;"")</f>
        <v/>
      </c>
      <c r="Y3996" s="94">
        <f>IF($A3996="",0,IF(AE3996="직접",IF(AF3996="비귀속",$P3996,0),$P3996*(1-AG3996)*IFERROR(INDEX(계정대체기준!$F$20:$F$49,MATCH($N3996,계정대체기준!$A$20:$A$49,0)),1)))</f>
        <v/>
      </c>
      <c r="Z3996" s="94">
        <f>IF($A3996="",0,IF(AE3996="직접",IF(AF3996="신계약비",$P3996,0),$P3996*(1-AG3996)*IFERROR(INDEX(계정대체기준!$C$20:$C$49,MATCH($N3996,계정대체기준!$A$20:$A$49,0)),0)))</f>
        <v/>
      </c>
      <c r="AA3996" s="94">
        <f>IF($A3996="",0,IF(AE3996="직접",IF(OR(AF3996="유지비",AF3996="손해조사비"),$P3996,0),$P3996*(1-AG3996)*IFERROR(INDEX(계정대체기준!$D$20:$D$49,MATCH($N3996,계정대체기준!$A$20:$A$49,0)),0)))</f>
        <v/>
      </c>
      <c r="AB3996" s="94">
        <f>IF($A3996="",0,IF(AE3996="직접",IF(AF3996="수금비",$P3996,0),$P3996*(1-AG3996)*IFERROR(INDEX(계정대체기준!$E$20:$E$49,MATCH($N3996,계정대체기준!$A$20:$A$49,0)),0)))</f>
        <v/>
      </c>
      <c r="AC3996" s="9">
        <f>IF(AND($A3996&lt;&gt;"",M3996=설정!$C$20,Z3996&gt;0),Z3996+ROW()/1000000000,"")</f>
        <v/>
      </c>
      <c r="AD3996" s="94">
        <f>IF($A3996="",0,$P3996*AG3996)</f>
        <v/>
      </c>
      <c r="AE3996" s="64">
        <f>IF($A3996="","",IFERROR(INDEX(계정매핑!$E$5:$E$504,MATCH($F3996&amp;"",계정매핑!$A$5:$A$504,0))&amp;"","공통비"))</f>
        <v/>
      </c>
      <c r="AF3996" s="64">
        <f>IF($A3996="","",IF(AE3996="직접",IFERROR(INDEX(계정매핑!$F$5:$F$504,MATCH($F3996&amp;"",계정매핑!$A$5:$A$504,0))&amp;"","비귀속"),""))</f>
        <v/>
      </c>
      <c r="AG3996" s="96">
        <f>IF($A3996="",0,IF(AND(AE3996&lt;&gt;"직접",IFERROR(INDEX(계정매핑!$G$5:$G$504,MATCH($F3996&amp;"",계정매핑!$A$5:$A$504,0))&amp;"","")="유지비",COUNTIF(계정대체기준!$A$6:$A$15,$N3996)&gt;0),IFERROR(INDEX(계정대체기준!$E$6:$E$15,MATCH(VALUE($A3996&amp;""),계정대체기준!$D$6:$D$15,0)),0),0))</f>
        <v/>
      </c>
      <c r="AH3996" s="64">
        <f>IF($A3996="","",IF(AD3996=0,"",IF(OR(COUNTIF(계정대체기준!$A$77:$A$86,$N3996)&gt;0,ISNUMBER(MATCH($X3996,계정대체기준!$D$77:$D$86,0)),ISNUMBER(MATCH($F3996,계정대체기준!$D$77:$D$86,0))),"Y","N")))</f>
        <v/>
      </c>
    </row>
    <row r="3997">
      <c r="A3997" s="92" t="n">
        <v>2026</v>
      </c>
      <c r="B3997" s="92" t="n">
        <v>6</v>
      </c>
      <c r="C3997" s="92" t="inlineStr">
        <is>
          <t>5100001275</t>
        </is>
      </c>
      <c r="D3997" s="95" t="n">
        <v>46190</v>
      </c>
      <c r="E3997" s="92" t="inlineStr">
        <is>
          <t>KR</t>
        </is>
      </c>
      <c r="F3997" s="92" t="n">
        <v>62902000</v>
      </c>
      <c r="G3997" s="92" t="n">
        <v>1401</v>
      </c>
      <c r="H3997" s="93" t="n">
        <v>2163000</v>
      </c>
      <c r="I3997" s="92" t="inlineStr">
        <is>
          <t>6월 업무 위탁 수수료 - J콜센터</t>
        </is>
      </c>
      <c r="J3997" s="92" t="inlineStr">
        <is>
          <t>V10016</t>
        </is>
      </c>
      <c r="K3997" s="92" t="inlineStr">
        <is>
          <t>J콜센터</t>
        </is>
      </c>
      <c r="M3997" s="9">
        <f>IF($A3997="","",VALUE($A3997&amp;"")*12+VALUE($B3997&amp;""))</f>
        <v/>
      </c>
      <c r="N3997" s="64">
        <f>IF($A3997="","",IFERROR(INDEX(부서매핑!$C$5:$C$504,MATCH($G3997&amp;"",부서매핑!$A$5:$A$504,0)),"미매핑"))</f>
        <v/>
      </c>
      <c r="O3997" s="9">
        <f>IF($A3997="","",N3997&amp;"|"&amp;$F3997)</f>
        <v/>
      </c>
      <c r="P3997" s="94">
        <f>IF($A3997="",0,$H3997*설정!$C$23)</f>
        <v/>
      </c>
      <c r="Q3997" s="64">
        <f>IF($A3997="","",IF(O3997&lt;&gt;원인분석!$C$9,"",IF(AND(M3997&gt;=원인분석!$C$10,M3997&lt;=원인분석!$C$11),"당기",IF(AND(M3997&gt;=원인분석!$C$12,M3997&lt;=원인분석!$C$13),"비교",""))))</f>
        <v/>
      </c>
      <c r="R3997" s="9">
        <f>IF(Q3997="","",$K3997&amp;"")</f>
        <v/>
      </c>
      <c r="S3997" s="9">
        <f>IF(Q3997="","",IF(MATCH(R3997,$R$5:$R$100000,0)=ROW()-4,ROW(),""))</f>
        <v/>
      </c>
      <c r="T3997" s="9">
        <f>IF(Q3997="당기",ABS(P3997)+ROW()/1000000000,"")</f>
        <v/>
      </c>
      <c r="U3997" s="9">
        <f>IF(Q3997="비교",ABS(P3997)+ROW()/1000000000,"")</f>
        <v/>
      </c>
      <c r="V3997" s="64">
        <f>IF($A3997="","",IF(COUNTIF(변동분석!$E$7:$E$506,O3997)&gt;0,"Y","N"))</f>
        <v/>
      </c>
      <c r="W3997" s="64">
        <f>IF($A3997="","",IFERROR(INDEX(계정매핑!$D$5:$D$504,MATCH($F3997&amp;"",계정매핑!$A$5:$A$504,0)),"미매핑"))</f>
        <v/>
      </c>
      <c r="X3997" s="9">
        <f>IF($A3997="","",$F3997&amp;"")</f>
        <v/>
      </c>
      <c r="Y3997" s="94">
        <f>IF($A3997="",0,IF(AE3997="직접",IF(AF3997="비귀속",$P3997,0),$P3997*(1-AG3997)*IFERROR(INDEX(계정대체기준!$F$20:$F$49,MATCH($N3997,계정대체기준!$A$20:$A$49,0)),1)))</f>
        <v/>
      </c>
      <c r="Z3997" s="94">
        <f>IF($A3997="",0,IF(AE3997="직접",IF(AF3997="신계약비",$P3997,0),$P3997*(1-AG3997)*IFERROR(INDEX(계정대체기준!$C$20:$C$49,MATCH($N3997,계정대체기준!$A$20:$A$49,0)),0)))</f>
        <v/>
      </c>
      <c r="AA3997" s="94">
        <f>IF($A3997="",0,IF(AE3997="직접",IF(OR(AF3997="유지비",AF3997="손해조사비"),$P3997,0),$P3997*(1-AG3997)*IFERROR(INDEX(계정대체기준!$D$20:$D$49,MATCH($N3997,계정대체기준!$A$20:$A$49,0)),0)))</f>
        <v/>
      </c>
      <c r="AB3997" s="94">
        <f>IF($A3997="",0,IF(AE3997="직접",IF(AF3997="수금비",$P3997,0),$P3997*(1-AG3997)*IFERROR(INDEX(계정대체기준!$E$20:$E$49,MATCH($N3997,계정대체기준!$A$20:$A$49,0)),0)))</f>
        <v/>
      </c>
      <c r="AC3997" s="9">
        <f>IF(AND($A3997&lt;&gt;"",M3997=설정!$C$20,Z3997&gt;0),Z3997+ROW()/1000000000,"")</f>
        <v/>
      </c>
      <c r="AD3997" s="94">
        <f>IF($A3997="",0,$P3997*AG3997)</f>
        <v/>
      </c>
      <c r="AE3997" s="64">
        <f>IF($A3997="","",IFERROR(INDEX(계정매핑!$E$5:$E$504,MATCH($F3997&amp;"",계정매핑!$A$5:$A$504,0))&amp;"","공통비"))</f>
        <v/>
      </c>
      <c r="AF3997" s="64">
        <f>IF($A3997="","",IF(AE3997="직접",IFERROR(INDEX(계정매핑!$F$5:$F$504,MATCH($F3997&amp;"",계정매핑!$A$5:$A$504,0))&amp;"","비귀속"),""))</f>
        <v/>
      </c>
      <c r="AG3997" s="96">
        <f>IF($A3997="",0,IF(AND(AE3997&lt;&gt;"직접",IFERROR(INDEX(계정매핑!$G$5:$G$504,MATCH($F3997&amp;"",계정매핑!$A$5:$A$504,0))&amp;"","")="유지비",COUNTIF(계정대체기준!$A$6:$A$15,$N3997)&gt;0),IFERROR(INDEX(계정대체기준!$E$6:$E$15,MATCH(VALUE($A3997&amp;""),계정대체기준!$D$6:$D$15,0)),0),0))</f>
        <v/>
      </c>
      <c r="AH3997" s="64">
        <f>IF($A3997="","",IF(AD3997=0,"",IF(OR(COUNTIF(계정대체기준!$A$77:$A$86,$N3997)&gt;0,ISNUMBER(MATCH($X3997,계정대체기준!$D$77:$D$86,0)),ISNUMBER(MATCH($F3997,계정대체기준!$D$77:$D$86,0))),"Y","N")))</f>
        <v/>
      </c>
    </row>
    <row r="3998">
      <c r="A3998" s="92" t="n">
        <v>2026</v>
      </c>
      <c r="B3998" s="92" t="n">
        <v>6</v>
      </c>
      <c r="C3998" s="92" t="inlineStr">
        <is>
          <t>5100001276</t>
        </is>
      </c>
      <c r="D3998" s="95" t="n">
        <v>46191</v>
      </c>
      <c r="E3998" s="92" t="inlineStr">
        <is>
          <t>KR</t>
        </is>
      </c>
      <c r="F3998" s="92" t="n">
        <v>62102000</v>
      </c>
      <c r="G3998" s="92" t="n">
        <v>1301</v>
      </c>
      <c r="H3998" s="93" t="n">
        <v>101000</v>
      </c>
      <c r="I3998" s="92" t="inlineStr">
        <is>
          <t>6월 해외출장 - N호텔</t>
        </is>
      </c>
      <c r="J3998" s="92" t="inlineStr">
        <is>
          <t>V10009</t>
        </is>
      </c>
      <c r="K3998" s="92" t="inlineStr">
        <is>
          <t>N호텔</t>
        </is>
      </c>
      <c r="M3998" s="9">
        <f>IF($A3998="","",VALUE($A3998&amp;"")*12+VALUE($B3998&amp;""))</f>
        <v/>
      </c>
      <c r="N3998" s="64">
        <f>IF($A3998="","",IFERROR(INDEX(부서매핑!$C$5:$C$504,MATCH($G3998&amp;"",부서매핑!$A$5:$A$504,0)),"미매핑"))</f>
        <v/>
      </c>
      <c r="O3998" s="9">
        <f>IF($A3998="","",N3998&amp;"|"&amp;$F3998)</f>
        <v/>
      </c>
      <c r="P3998" s="94">
        <f>IF($A3998="",0,$H3998*설정!$C$23)</f>
        <v/>
      </c>
      <c r="Q3998" s="64">
        <f>IF($A3998="","",IF(O3998&lt;&gt;원인분석!$C$9,"",IF(AND(M3998&gt;=원인분석!$C$10,M3998&lt;=원인분석!$C$11),"당기",IF(AND(M3998&gt;=원인분석!$C$12,M3998&lt;=원인분석!$C$13),"비교",""))))</f>
        <v/>
      </c>
      <c r="R3998" s="9">
        <f>IF(Q3998="","",$K3998&amp;"")</f>
        <v/>
      </c>
      <c r="S3998" s="9">
        <f>IF(Q3998="","",IF(MATCH(R3998,$R$5:$R$100000,0)=ROW()-4,ROW(),""))</f>
        <v/>
      </c>
      <c r="T3998" s="9">
        <f>IF(Q3998="당기",ABS(P3998)+ROW()/1000000000,"")</f>
        <v/>
      </c>
      <c r="U3998" s="9">
        <f>IF(Q3998="비교",ABS(P3998)+ROW()/1000000000,"")</f>
        <v/>
      </c>
      <c r="V3998" s="64">
        <f>IF($A3998="","",IF(COUNTIF(변동분석!$E$7:$E$506,O3998)&gt;0,"Y","N"))</f>
        <v/>
      </c>
      <c r="W3998" s="64">
        <f>IF($A3998="","",IFERROR(INDEX(계정매핑!$D$5:$D$504,MATCH($F3998&amp;"",계정매핑!$A$5:$A$504,0)),"미매핑"))</f>
        <v/>
      </c>
      <c r="X3998" s="9">
        <f>IF($A3998="","",$F3998&amp;"")</f>
        <v/>
      </c>
      <c r="Y3998" s="94">
        <f>IF($A3998="",0,IF(AE3998="직접",IF(AF3998="비귀속",$P3998,0),$P3998*(1-AG3998)*IFERROR(INDEX(계정대체기준!$F$20:$F$49,MATCH($N3998,계정대체기준!$A$20:$A$49,0)),1)))</f>
        <v/>
      </c>
      <c r="Z3998" s="94">
        <f>IF($A3998="",0,IF(AE3998="직접",IF(AF3998="신계약비",$P3998,0),$P3998*(1-AG3998)*IFERROR(INDEX(계정대체기준!$C$20:$C$49,MATCH($N3998,계정대체기준!$A$20:$A$49,0)),0)))</f>
        <v/>
      </c>
      <c r="AA3998" s="94">
        <f>IF($A3998="",0,IF(AE3998="직접",IF(OR(AF3998="유지비",AF3998="손해조사비"),$P3998,0),$P3998*(1-AG3998)*IFERROR(INDEX(계정대체기준!$D$20:$D$49,MATCH($N3998,계정대체기준!$A$20:$A$49,0)),0)))</f>
        <v/>
      </c>
      <c r="AB3998" s="94">
        <f>IF($A3998="",0,IF(AE3998="직접",IF(AF3998="수금비",$P3998,0),$P3998*(1-AG3998)*IFERROR(INDEX(계정대체기준!$E$20:$E$49,MATCH($N3998,계정대체기준!$A$20:$A$49,0)),0)))</f>
        <v/>
      </c>
      <c r="AC3998" s="9">
        <f>IF(AND($A3998&lt;&gt;"",M3998=설정!$C$20,Z3998&gt;0),Z3998+ROW()/1000000000,"")</f>
        <v/>
      </c>
      <c r="AD3998" s="94">
        <f>IF($A3998="",0,$P3998*AG3998)</f>
        <v/>
      </c>
      <c r="AE3998" s="64">
        <f>IF($A3998="","",IFERROR(INDEX(계정매핑!$E$5:$E$504,MATCH($F3998&amp;"",계정매핑!$A$5:$A$504,0))&amp;"","공통비"))</f>
        <v/>
      </c>
      <c r="AF3998" s="64">
        <f>IF($A3998="","",IF(AE3998="직접",IFERROR(INDEX(계정매핑!$F$5:$F$504,MATCH($F3998&amp;"",계정매핑!$A$5:$A$504,0))&amp;"","비귀속"),""))</f>
        <v/>
      </c>
      <c r="AG3998" s="96">
        <f>IF($A3998="",0,IF(AND(AE3998&lt;&gt;"직접",IFERROR(INDEX(계정매핑!$G$5:$G$504,MATCH($F3998&amp;"",계정매핑!$A$5:$A$504,0))&amp;"","")="유지비",COUNTIF(계정대체기준!$A$6:$A$15,$N3998)&gt;0),IFERROR(INDEX(계정대체기준!$E$6:$E$15,MATCH(VALUE($A3998&amp;""),계정대체기준!$D$6:$D$15,0)),0),0))</f>
        <v/>
      </c>
      <c r="AH3998" s="64">
        <f>IF($A3998="","",IF(AD3998=0,"",IF(OR(COUNTIF(계정대체기준!$A$77:$A$86,$N3998)&gt;0,ISNUMBER(MATCH($X3998,계정대체기준!$D$77:$D$86,0)),ISNUMBER(MATCH($F3998,계정대체기준!$D$77:$D$86,0))),"Y","N")))</f>
        <v/>
      </c>
    </row>
    <row r="3999">
      <c r="A3999" s="92" t="n">
        <v>2026</v>
      </c>
      <c r="B3999" s="92" t="n">
        <v>6</v>
      </c>
      <c r="C3999" s="92" t="inlineStr">
        <is>
          <t>5100001277</t>
        </is>
      </c>
      <c r="D3999" s="95" t="n">
        <v>46191</v>
      </c>
      <c r="E3999" s="92" t="inlineStr">
        <is>
          <t>KR</t>
        </is>
      </c>
      <c r="F3999" s="92" t="n">
        <v>62901000</v>
      </c>
      <c r="G3999" s="92" t="n">
        <v>1201</v>
      </c>
      <c r="H3999" s="93" t="n">
        <v>5960000</v>
      </c>
      <c r="I3999" s="92" t="inlineStr">
        <is>
          <t>6월 자문 수수료 - K회계법인</t>
        </is>
      </c>
      <c r="J3999" s="92" t="inlineStr">
        <is>
          <t>V10011</t>
        </is>
      </c>
      <c r="K3999" s="92" t="inlineStr">
        <is>
          <t>K회계법인</t>
        </is>
      </c>
      <c r="M3999" s="9">
        <f>IF($A3999="","",VALUE($A3999&amp;"")*12+VALUE($B3999&amp;""))</f>
        <v/>
      </c>
      <c r="N3999" s="64">
        <f>IF($A3999="","",IFERROR(INDEX(부서매핑!$C$5:$C$504,MATCH($G3999&amp;"",부서매핑!$A$5:$A$504,0)),"미매핑"))</f>
        <v/>
      </c>
      <c r="O3999" s="9">
        <f>IF($A3999="","",N3999&amp;"|"&amp;$F3999)</f>
        <v/>
      </c>
      <c r="P3999" s="94">
        <f>IF($A3999="",0,$H3999*설정!$C$23)</f>
        <v/>
      </c>
      <c r="Q3999" s="64">
        <f>IF($A3999="","",IF(O3999&lt;&gt;원인분석!$C$9,"",IF(AND(M3999&gt;=원인분석!$C$10,M3999&lt;=원인분석!$C$11),"당기",IF(AND(M3999&gt;=원인분석!$C$12,M3999&lt;=원인분석!$C$13),"비교",""))))</f>
        <v/>
      </c>
      <c r="R3999" s="9">
        <f>IF(Q3999="","",$K3999&amp;"")</f>
        <v/>
      </c>
      <c r="S3999" s="9">
        <f>IF(Q3999="","",IF(MATCH(R3999,$R$5:$R$100000,0)=ROW()-4,ROW(),""))</f>
        <v/>
      </c>
      <c r="T3999" s="9">
        <f>IF(Q3999="당기",ABS(P3999)+ROW()/1000000000,"")</f>
        <v/>
      </c>
      <c r="U3999" s="9">
        <f>IF(Q3999="비교",ABS(P3999)+ROW()/1000000000,"")</f>
        <v/>
      </c>
      <c r="V3999" s="64">
        <f>IF($A3999="","",IF(COUNTIF(변동분석!$E$7:$E$506,O3999)&gt;0,"Y","N"))</f>
        <v/>
      </c>
      <c r="W3999" s="64">
        <f>IF($A3999="","",IFERROR(INDEX(계정매핑!$D$5:$D$504,MATCH($F3999&amp;"",계정매핑!$A$5:$A$504,0)),"미매핑"))</f>
        <v/>
      </c>
      <c r="X3999" s="9">
        <f>IF($A3999="","",$F3999&amp;"")</f>
        <v/>
      </c>
      <c r="Y3999" s="94">
        <f>IF($A3999="",0,IF(AE3999="직접",IF(AF3999="비귀속",$P3999,0),$P3999*(1-AG3999)*IFERROR(INDEX(계정대체기준!$F$20:$F$49,MATCH($N3999,계정대체기준!$A$20:$A$49,0)),1)))</f>
        <v/>
      </c>
      <c r="Z3999" s="94">
        <f>IF($A3999="",0,IF(AE3999="직접",IF(AF3999="신계약비",$P3999,0),$P3999*(1-AG3999)*IFERROR(INDEX(계정대체기준!$C$20:$C$49,MATCH($N3999,계정대체기준!$A$20:$A$49,0)),0)))</f>
        <v/>
      </c>
      <c r="AA3999" s="94">
        <f>IF($A3999="",0,IF(AE3999="직접",IF(OR(AF3999="유지비",AF3999="손해조사비"),$P3999,0),$P3999*(1-AG3999)*IFERROR(INDEX(계정대체기준!$D$20:$D$49,MATCH($N3999,계정대체기준!$A$20:$A$49,0)),0)))</f>
        <v/>
      </c>
      <c r="AB3999" s="94">
        <f>IF($A3999="",0,IF(AE3999="직접",IF(AF3999="수금비",$P3999,0),$P3999*(1-AG3999)*IFERROR(INDEX(계정대체기준!$E$20:$E$49,MATCH($N3999,계정대체기준!$A$20:$A$49,0)),0)))</f>
        <v/>
      </c>
      <c r="AC3999" s="9">
        <f>IF(AND($A3999&lt;&gt;"",M3999=설정!$C$20,Z3999&gt;0),Z3999+ROW()/1000000000,"")</f>
        <v/>
      </c>
      <c r="AD3999" s="94">
        <f>IF($A3999="",0,$P3999*AG3999)</f>
        <v/>
      </c>
      <c r="AE3999" s="64">
        <f>IF($A3999="","",IFERROR(INDEX(계정매핑!$E$5:$E$504,MATCH($F3999&amp;"",계정매핑!$A$5:$A$504,0))&amp;"","공통비"))</f>
        <v/>
      </c>
      <c r="AF3999" s="64">
        <f>IF($A3999="","",IF(AE3999="직접",IFERROR(INDEX(계정매핑!$F$5:$F$504,MATCH($F3999&amp;"",계정매핑!$A$5:$A$504,0))&amp;"","비귀속"),""))</f>
        <v/>
      </c>
      <c r="AG3999" s="96">
        <f>IF($A3999="",0,IF(AND(AE3999&lt;&gt;"직접",IFERROR(INDEX(계정매핑!$G$5:$G$504,MATCH($F3999&amp;"",계정매핑!$A$5:$A$504,0))&amp;"","")="유지비",COUNTIF(계정대체기준!$A$6:$A$15,$N3999)&gt;0),IFERROR(INDEX(계정대체기준!$E$6:$E$15,MATCH(VALUE($A3999&amp;""),계정대체기준!$D$6:$D$15,0)),0),0))</f>
        <v/>
      </c>
      <c r="AH3999" s="64">
        <f>IF($A3999="","",IF(AD3999=0,"",IF(OR(COUNTIF(계정대체기준!$A$77:$A$86,$N3999)&gt;0,ISNUMBER(MATCH($X3999,계정대체기준!$D$77:$D$86,0)),ISNUMBER(MATCH($F3999,계정대체기준!$D$77:$D$86,0))),"Y","N")))</f>
        <v/>
      </c>
    </row>
    <row r="4000">
      <c r="A4000" s="92" t="n">
        <v>2026</v>
      </c>
      <c r="B4000" s="92" t="n">
        <v>6</v>
      </c>
      <c r="C4000" s="92" t="inlineStr">
        <is>
          <t>5100001278</t>
        </is>
      </c>
      <c r="D4000" s="95" t="n">
        <v>46191</v>
      </c>
      <c r="E4000" s="92" t="inlineStr">
        <is>
          <t>KR</t>
        </is>
      </c>
      <c r="F4000" s="92" t="n">
        <v>63201000</v>
      </c>
      <c r="G4000" s="92" t="n">
        <v>1602</v>
      </c>
      <c r="H4000" s="93" t="n">
        <v>5982000</v>
      </c>
      <c r="I4000" s="92" t="inlineStr">
        <is>
          <t>6월 차량 유지 - D정비</t>
        </is>
      </c>
      <c r="J4000" s="92" t="inlineStr">
        <is>
          <t>V10025</t>
        </is>
      </c>
      <c r="K4000" s="92" t="inlineStr">
        <is>
          <t>D정비</t>
        </is>
      </c>
      <c r="M4000" s="9">
        <f>IF($A4000="","",VALUE($A4000&amp;"")*12+VALUE($B4000&amp;""))</f>
        <v/>
      </c>
      <c r="N4000" s="64">
        <f>IF($A4000="","",IFERROR(INDEX(부서매핑!$C$5:$C$504,MATCH($G4000&amp;"",부서매핑!$A$5:$A$504,0)),"미매핑"))</f>
        <v/>
      </c>
      <c r="O4000" s="9">
        <f>IF($A4000="","",N4000&amp;"|"&amp;$F4000)</f>
        <v/>
      </c>
      <c r="P4000" s="94">
        <f>IF($A4000="",0,$H4000*설정!$C$23)</f>
        <v/>
      </c>
      <c r="Q4000" s="64">
        <f>IF($A4000="","",IF(O4000&lt;&gt;원인분석!$C$9,"",IF(AND(M4000&gt;=원인분석!$C$10,M4000&lt;=원인분석!$C$11),"당기",IF(AND(M4000&gt;=원인분석!$C$12,M4000&lt;=원인분석!$C$13),"비교",""))))</f>
        <v/>
      </c>
      <c r="R4000" s="9">
        <f>IF(Q4000="","",$K4000&amp;"")</f>
        <v/>
      </c>
      <c r="S4000" s="9">
        <f>IF(Q4000="","",IF(MATCH(R4000,$R$5:$R$100000,0)=ROW()-4,ROW(),""))</f>
        <v/>
      </c>
      <c r="T4000" s="9">
        <f>IF(Q4000="당기",ABS(P4000)+ROW()/1000000000,"")</f>
        <v/>
      </c>
      <c r="U4000" s="9">
        <f>IF(Q4000="비교",ABS(P4000)+ROW()/1000000000,"")</f>
        <v/>
      </c>
      <c r="V4000" s="64">
        <f>IF($A4000="","",IF(COUNTIF(변동분석!$E$7:$E$506,O4000)&gt;0,"Y","N"))</f>
        <v/>
      </c>
      <c r="W4000" s="64">
        <f>IF($A4000="","",IFERROR(INDEX(계정매핑!$D$5:$D$504,MATCH($F4000&amp;"",계정매핑!$A$5:$A$504,0)),"미매핑"))</f>
        <v/>
      </c>
      <c r="X4000" s="9">
        <f>IF($A4000="","",$F4000&amp;"")</f>
        <v/>
      </c>
      <c r="Y4000" s="94">
        <f>IF($A4000="",0,IF(AE4000="직접",IF(AF4000="비귀속",$P4000,0),$P4000*(1-AG4000)*IFERROR(INDEX(계정대체기준!$F$20:$F$49,MATCH($N4000,계정대체기준!$A$20:$A$49,0)),1)))</f>
        <v/>
      </c>
      <c r="Z4000" s="94">
        <f>IF($A4000="",0,IF(AE4000="직접",IF(AF4000="신계약비",$P4000,0),$P4000*(1-AG4000)*IFERROR(INDEX(계정대체기준!$C$20:$C$49,MATCH($N4000,계정대체기준!$A$20:$A$49,0)),0)))</f>
        <v/>
      </c>
      <c r="AA4000" s="94">
        <f>IF($A4000="",0,IF(AE4000="직접",IF(OR(AF4000="유지비",AF4000="손해조사비"),$P4000,0),$P4000*(1-AG4000)*IFERROR(INDEX(계정대체기준!$D$20:$D$49,MATCH($N4000,계정대체기준!$A$20:$A$49,0)),0)))</f>
        <v/>
      </c>
      <c r="AB4000" s="94">
        <f>IF($A4000="",0,IF(AE4000="직접",IF(AF4000="수금비",$P4000,0),$P4000*(1-AG4000)*IFERROR(INDEX(계정대체기준!$E$20:$E$49,MATCH($N4000,계정대체기준!$A$20:$A$49,0)),0)))</f>
        <v/>
      </c>
      <c r="AC4000" s="9">
        <f>IF(AND($A4000&lt;&gt;"",M4000=설정!$C$20,Z4000&gt;0),Z4000+ROW()/1000000000,"")</f>
        <v/>
      </c>
      <c r="AD4000" s="94">
        <f>IF($A4000="",0,$P4000*AG4000)</f>
        <v/>
      </c>
      <c r="AE4000" s="64">
        <f>IF($A4000="","",IFERROR(INDEX(계정매핑!$E$5:$E$504,MATCH($F4000&amp;"",계정매핑!$A$5:$A$504,0))&amp;"","공통비"))</f>
        <v/>
      </c>
      <c r="AF4000" s="64">
        <f>IF($A4000="","",IF(AE4000="직접",IFERROR(INDEX(계정매핑!$F$5:$F$504,MATCH($F4000&amp;"",계정매핑!$A$5:$A$504,0))&amp;"","비귀속"),""))</f>
        <v/>
      </c>
      <c r="AG4000" s="96">
        <f>IF($A4000="",0,IF(AND(AE4000&lt;&gt;"직접",IFERROR(INDEX(계정매핑!$G$5:$G$504,MATCH($F4000&amp;"",계정매핑!$A$5:$A$504,0))&amp;"","")="유지비",COUNTIF(계정대체기준!$A$6:$A$15,$N4000)&gt;0),IFERROR(INDEX(계정대체기준!$E$6:$E$15,MATCH(VALUE($A4000&amp;""),계정대체기준!$D$6:$D$15,0)),0),0))</f>
        <v/>
      </c>
      <c r="AH4000" s="64">
        <f>IF($A4000="","",IF(AD4000=0,"",IF(OR(COUNTIF(계정대체기준!$A$77:$A$86,$N4000)&gt;0,ISNUMBER(MATCH($X4000,계정대체기준!$D$77:$D$86,0)),ISNUMBER(MATCH($F4000,계정대체기준!$D$77:$D$86,0))),"Y","N")))</f>
        <v/>
      </c>
    </row>
    <row r="4001">
      <c r="A4001" s="92" t="n">
        <v>2026</v>
      </c>
      <c r="B4001" s="92" t="n">
        <v>6</v>
      </c>
      <c r="C4001" s="92" t="inlineStr">
        <is>
          <t>5100001279</t>
        </is>
      </c>
      <c r="D4001" s="95" t="n">
        <v>46192</v>
      </c>
      <c r="E4001" s="92" t="inlineStr">
        <is>
          <t>KR</t>
        </is>
      </c>
      <c r="F4001" s="92" t="n">
        <v>62101000</v>
      </c>
      <c r="G4001" s="92" t="n">
        <v>1101</v>
      </c>
      <c r="H4001" s="93" t="n">
        <v>717000</v>
      </c>
      <c r="I4001" s="92" t="inlineStr">
        <is>
          <t>6월 국내출장 - L여행사</t>
        </is>
      </c>
      <c r="J4001" s="92" t="inlineStr">
        <is>
          <t>V10018</t>
        </is>
      </c>
      <c r="K4001" s="92" t="inlineStr">
        <is>
          <t>L여행사</t>
        </is>
      </c>
      <c r="M4001" s="9">
        <f>IF($A4001="","",VALUE($A4001&amp;"")*12+VALUE($B4001&amp;""))</f>
        <v/>
      </c>
      <c r="N4001" s="64">
        <f>IF($A4001="","",IFERROR(INDEX(부서매핑!$C$5:$C$504,MATCH($G4001&amp;"",부서매핑!$A$5:$A$504,0)),"미매핑"))</f>
        <v/>
      </c>
      <c r="O4001" s="9">
        <f>IF($A4001="","",N4001&amp;"|"&amp;$F4001)</f>
        <v/>
      </c>
      <c r="P4001" s="94">
        <f>IF($A4001="",0,$H4001*설정!$C$23)</f>
        <v/>
      </c>
      <c r="Q4001" s="64">
        <f>IF($A4001="","",IF(O4001&lt;&gt;원인분석!$C$9,"",IF(AND(M4001&gt;=원인분석!$C$10,M4001&lt;=원인분석!$C$11),"당기",IF(AND(M4001&gt;=원인분석!$C$12,M4001&lt;=원인분석!$C$13),"비교",""))))</f>
        <v/>
      </c>
      <c r="R4001" s="9">
        <f>IF(Q4001="","",$K4001&amp;"")</f>
        <v/>
      </c>
      <c r="S4001" s="9">
        <f>IF(Q4001="","",IF(MATCH(R4001,$R$5:$R$100000,0)=ROW()-4,ROW(),""))</f>
        <v/>
      </c>
      <c r="T4001" s="9">
        <f>IF(Q4001="당기",ABS(P4001)+ROW()/1000000000,"")</f>
        <v/>
      </c>
      <c r="U4001" s="9">
        <f>IF(Q4001="비교",ABS(P4001)+ROW()/1000000000,"")</f>
        <v/>
      </c>
      <c r="V4001" s="64">
        <f>IF($A4001="","",IF(COUNTIF(변동분석!$E$7:$E$506,O4001)&gt;0,"Y","N"))</f>
        <v/>
      </c>
      <c r="W4001" s="64">
        <f>IF($A4001="","",IFERROR(INDEX(계정매핑!$D$5:$D$504,MATCH($F4001&amp;"",계정매핑!$A$5:$A$504,0)),"미매핑"))</f>
        <v/>
      </c>
      <c r="X4001" s="9">
        <f>IF($A4001="","",$F4001&amp;"")</f>
        <v/>
      </c>
      <c r="Y4001" s="94">
        <f>IF($A4001="",0,IF(AE4001="직접",IF(AF4001="비귀속",$P4001,0),$P4001*(1-AG4001)*IFERROR(INDEX(계정대체기준!$F$20:$F$49,MATCH($N4001,계정대체기준!$A$20:$A$49,0)),1)))</f>
        <v/>
      </c>
      <c r="Z4001" s="94">
        <f>IF($A4001="",0,IF(AE4001="직접",IF(AF4001="신계약비",$P4001,0),$P4001*(1-AG4001)*IFERROR(INDEX(계정대체기준!$C$20:$C$49,MATCH($N4001,계정대체기준!$A$20:$A$49,0)),0)))</f>
        <v/>
      </c>
      <c r="AA4001" s="94">
        <f>IF($A4001="",0,IF(AE4001="직접",IF(OR(AF4001="유지비",AF4001="손해조사비"),$P4001,0),$P4001*(1-AG4001)*IFERROR(INDEX(계정대체기준!$D$20:$D$49,MATCH($N4001,계정대체기준!$A$20:$A$49,0)),0)))</f>
        <v/>
      </c>
      <c r="AB4001" s="94">
        <f>IF($A4001="",0,IF(AE4001="직접",IF(AF4001="수금비",$P4001,0),$P4001*(1-AG4001)*IFERROR(INDEX(계정대체기준!$E$20:$E$49,MATCH($N4001,계정대체기준!$A$20:$A$49,0)),0)))</f>
        <v/>
      </c>
      <c r="AC4001" s="9">
        <f>IF(AND($A4001&lt;&gt;"",M4001=설정!$C$20,Z4001&gt;0),Z4001+ROW()/1000000000,"")</f>
        <v/>
      </c>
      <c r="AD4001" s="94">
        <f>IF($A4001="",0,$P4001*AG4001)</f>
        <v/>
      </c>
      <c r="AE4001" s="64">
        <f>IF($A4001="","",IFERROR(INDEX(계정매핑!$E$5:$E$504,MATCH($F4001&amp;"",계정매핑!$A$5:$A$504,0))&amp;"","공통비"))</f>
        <v/>
      </c>
      <c r="AF4001" s="64">
        <f>IF($A4001="","",IF(AE4001="직접",IFERROR(INDEX(계정매핑!$F$5:$F$504,MATCH($F4001&amp;"",계정매핑!$A$5:$A$504,0))&amp;"","비귀속"),""))</f>
        <v/>
      </c>
      <c r="AG4001" s="96">
        <f>IF($A4001="",0,IF(AND(AE4001&lt;&gt;"직접",IFERROR(INDEX(계정매핑!$G$5:$G$504,MATCH($F4001&amp;"",계정매핑!$A$5:$A$504,0))&amp;"","")="유지비",COUNTIF(계정대체기준!$A$6:$A$15,$N4001)&gt;0),IFERROR(INDEX(계정대체기준!$E$6:$E$15,MATCH(VALUE($A4001&amp;""),계정대체기준!$D$6:$D$15,0)),0),0))</f>
        <v/>
      </c>
      <c r="AH4001" s="64">
        <f>IF($A4001="","",IF(AD4001=0,"",IF(OR(COUNTIF(계정대체기준!$A$77:$A$86,$N4001)&gt;0,ISNUMBER(MATCH($X4001,계정대체기준!$D$77:$D$86,0)),ISNUMBER(MATCH($F4001,계정대체기준!$D$77:$D$86,0))),"Y","N")))</f>
        <v/>
      </c>
    </row>
    <row r="4002">
      <c r="A4002" s="92" t="n">
        <v>2026</v>
      </c>
      <c r="B4002" s="92" t="n">
        <v>6</v>
      </c>
      <c r="C4002" s="92" t="inlineStr">
        <is>
          <t>5100001280</t>
        </is>
      </c>
      <c r="D4002" s="95" t="n">
        <v>46192</v>
      </c>
      <c r="E4002" s="92" t="inlineStr">
        <is>
          <t>KR</t>
        </is>
      </c>
      <c r="F4002" s="92" t="n">
        <v>62101000</v>
      </c>
      <c r="G4002" s="92" t="n">
        <v>1801</v>
      </c>
      <c r="H4002" s="93" t="n">
        <v>237000</v>
      </c>
      <c r="I4002" s="92" t="inlineStr">
        <is>
          <t>6월 국내출장 - L여행사</t>
        </is>
      </c>
      <c r="J4002" s="92" t="inlineStr">
        <is>
          <t>V10018</t>
        </is>
      </c>
      <c r="K4002" s="92" t="inlineStr">
        <is>
          <t>L여행사</t>
        </is>
      </c>
      <c r="M4002" s="9">
        <f>IF($A4002="","",VALUE($A4002&amp;"")*12+VALUE($B4002&amp;""))</f>
        <v/>
      </c>
      <c r="N4002" s="64">
        <f>IF($A4002="","",IFERROR(INDEX(부서매핑!$C$5:$C$504,MATCH($G4002&amp;"",부서매핑!$A$5:$A$504,0)),"미매핑"))</f>
        <v/>
      </c>
      <c r="O4002" s="9">
        <f>IF($A4002="","",N4002&amp;"|"&amp;$F4002)</f>
        <v/>
      </c>
      <c r="P4002" s="94">
        <f>IF($A4002="",0,$H4002*설정!$C$23)</f>
        <v/>
      </c>
      <c r="Q4002" s="64">
        <f>IF($A4002="","",IF(O4002&lt;&gt;원인분석!$C$9,"",IF(AND(M4002&gt;=원인분석!$C$10,M4002&lt;=원인분석!$C$11),"당기",IF(AND(M4002&gt;=원인분석!$C$12,M4002&lt;=원인분석!$C$13),"비교",""))))</f>
        <v/>
      </c>
      <c r="R4002" s="9">
        <f>IF(Q4002="","",$K4002&amp;"")</f>
        <v/>
      </c>
      <c r="S4002" s="9">
        <f>IF(Q4002="","",IF(MATCH(R4002,$R$5:$R$100000,0)=ROW()-4,ROW(),""))</f>
        <v/>
      </c>
      <c r="T4002" s="9">
        <f>IF(Q4002="당기",ABS(P4002)+ROW()/1000000000,"")</f>
        <v/>
      </c>
      <c r="U4002" s="9">
        <f>IF(Q4002="비교",ABS(P4002)+ROW()/1000000000,"")</f>
        <v/>
      </c>
      <c r="V4002" s="64">
        <f>IF($A4002="","",IF(COUNTIF(변동분석!$E$7:$E$506,O4002)&gt;0,"Y","N"))</f>
        <v/>
      </c>
      <c r="W4002" s="64">
        <f>IF($A4002="","",IFERROR(INDEX(계정매핑!$D$5:$D$504,MATCH($F4002&amp;"",계정매핑!$A$5:$A$504,0)),"미매핑"))</f>
        <v/>
      </c>
      <c r="X4002" s="9">
        <f>IF($A4002="","",$F4002&amp;"")</f>
        <v/>
      </c>
      <c r="Y4002" s="94">
        <f>IF($A4002="",0,IF(AE4002="직접",IF(AF4002="비귀속",$P4002,0),$P4002*(1-AG4002)*IFERROR(INDEX(계정대체기준!$F$20:$F$49,MATCH($N4002,계정대체기준!$A$20:$A$49,0)),1)))</f>
        <v/>
      </c>
      <c r="Z4002" s="94">
        <f>IF($A4002="",0,IF(AE4002="직접",IF(AF4002="신계약비",$P4002,0),$P4002*(1-AG4002)*IFERROR(INDEX(계정대체기준!$C$20:$C$49,MATCH($N4002,계정대체기준!$A$20:$A$49,0)),0)))</f>
        <v/>
      </c>
      <c r="AA4002" s="94">
        <f>IF($A4002="",0,IF(AE4002="직접",IF(OR(AF4002="유지비",AF4002="손해조사비"),$P4002,0),$P4002*(1-AG4002)*IFERROR(INDEX(계정대체기준!$D$20:$D$49,MATCH($N4002,계정대체기준!$A$20:$A$49,0)),0)))</f>
        <v/>
      </c>
      <c r="AB4002" s="94">
        <f>IF($A4002="",0,IF(AE4002="직접",IF(AF4002="수금비",$P4002,0),$P4002*(1-AG4002)*IFERROR(INDEX(계정대체기준!$E$20:$E$49,MATCH($N4002,계정대체기준!$A$20:$A$49,0)),0)))</f>
        <v/>
      </c>
      <c r="AC4002" s="9">
        <f>IF(AND($A4002&lt;&gt;"",M4002=설정!$C$20,Z4002&gt;0),Z4002+ROW()/1000000000,"")</f>
        <v/>
      </c>
      <c r="AD4002" s="94">
        <f>IF($A4002="",0,$P4002*AG4002)</f>
        <v/>
      </c>
      <c r="AE4002" s="64">
        <f>IF($A4002="","",IFERROR(INDEX(계정매핑!$E$5:$E$504,MATCH($F4002&amp;"",계정매핑!$A$5:$A$504,0))&amp;"","공통비"))</f>
        <v/>
      </c>
      <c r="AF4002" s="64">
        <f>IF($A4002="","",IF(AE4002="직접",IFERROR(INDEX(계정매핑!$F$5:$F$504,MATCH($F4002&amp;"",계정매핑!$A$5:$A$504,0))&amp;"","비귀속"),""))</f>
        <v/>
      </c>
      <c r="AG4002" s="96">
        <f>IF($A4002="",0,IF(AND(AE4002&lt;&gt;"직접",IFERROR(INDEX(계정매핑!$G$5:$G$504,MATCH($F4002&amp;"",계정매핑!$A$5:$A$504,0))&amp;"","")="유지비",COUNTIF(계정대체기준!$A$6:$A$15,$N4002)&gt;0),IFERROR(INDEX(계정대체기준!$E$6:$E$15,MATCH(VALUE($A4002&amp;""),계정대체기준!$D$6:$D$15,0)),0),0))</f>
        <v/>
      </c>
      <c r="AH4002" s="64">
        <f>IF($A4002="","",IF(AD4002=0,"",IF(OR(COUNTIF(계정대체기준!$A$77:$A$86,$N4002)&gt;0,ISNUMBER(MATCH($X4002,계정대체기준!$D$77:$D$86,0)),ISNUMBER(MATCH($F4002,계정대체기준!$D$77:$D$86,0))),"Y","N")))</f>
        <v/>
      </c>
    </row>
    <row r="4003">
      <c r="A4003" s="92" t="n">
        <v>2026</v>
      </c>
      <c r="B4003" s="92" t="n">
        <v>6</v>
      </c>
      <c r="C4003" s="92" t="inlineStr">
        <is>
          <t>5100001281</t>
        </is>
      </c>
      <c r="D4003" s="95" t="n">
        <v>46192</v>
      </c>
      <c r="E4003" s="92" t="inlineStr">
        <is>
          <t>KR</t>
        </is>
      </c>
      <c r="F4003" s="92" t="n">
        <v>62102000</v>
      </c>
      <c r="G4003" s="92" t="n">
        <v>1701</v>
      </c>
      <c r="H4003" s="93" t="n">
        <v>32000</v>
      </c>
      <c r="I4003" s="92" t="inlineStr">
        <is>
          <t>6월 해외출장 - N호텔</t>
        </is>
      </c>
      <c r="J4003" s="92" t="inlineStr">
        <is>
          <t>V10009</t>
        </is>
      </c>
      <c r="K4003" s="92" t="inlineStr">
        <is>
          <t>N호텔</t>
        </is>
      </c>
      <c r="M4003" s="9">
        <f>IF($A4003="","",VALUE($A4003&amp;"")*12+VALUE($B4003&amp;""))</f>
        <v/>
      </c>
      <c r="N4003" s="64">
        <f>IF($A4003="","",IFERROR(INDEX(부서매핑!$C$5:$C$504,MATCH($G4003&amp;"",부서매핑!$A$5:$A$504,0)),"미매핑"))</f>
        <v/>
      </c>
      <c r="O4003" s="9">
        <f>IF($A4003="","",N4003&amp;"|"&amp;$F4003)</f>
        <v/>
      </c>
      <c r="P4003" s="94">
        <f>IF($A4003="",0,$H4003*설정!$C$23)</f>
        <v/>
      </c>
      <c r="Q4003" s="64">
        <f>IF($A4003="","",IF(O4003&lt;&gt;원인분석!$C$9,"",IF(AND(M4003&gt;=원인분석!$C$10,M4003&lt;=원인분석!$C$11),"당기",IF(AND(M4003&gt;=원인분석!$C$12,M4003&lt;=원인분석!$C$13),"비교",""))))</f>
        <v/>
      </c>
      <c r="R4003" s="9">
        <f>IF(Q4003="","",$K4003&amp;"")</f>
        <v/>
      </c>
      <c r="S4003" s="9">
        <f>IF(Q4003="","",IF(MATCH(R4003,$R$5:$R$100000,0)=ROW()-4,ROW(),""))</f>
        <v/>
      </c>
      <c r="T4003" s="9">
        <f>IF(Q4003="당기",ABS(P4003)+ROW()/1000000000,"")</f>
        <v/>
      </c>
      <c r="U4003" s="9">
        <f>IF(Q4003="비교",ABS(P4003)+ROW()/1000000000,"")</f>
        <v/>
      </c>
      <c r="V4003" s="64">
        <f>IF($A4003="","",IF(COUNTIF(변동분석!$E$7:$E$506,O4003)&gt;0,"Y","N"))</f>
        <v/>
      </c>
      <c r="W4003" s="64">
        <f>IF($A4003="","",IFERROR(INDEX(계정매핑!$D$5:$D$504,MATCH($F4003&amp;"",계정매핑!$A$5:$A$504,0)),"미매핑"))</f>
        <v/>
      </c>
      <c r="X4003" s="9">
        <f>IF($A4003="","",$F4003&amp;"")</f>
        <v/>
      </c>
      <c r="Y4003" s="94">
        <f>IF($A4003="",0,IF(AE4003="직접",IF(AF4003="비귀속",$P4003,0),$P4003*(1-AG4003)*IFERROR(INDEX(계정대체기준!$F$20:$F$49,MATCH($N4003,계정대체기준!$A$20:$A$49,0)),1)))</f>
        <v/>
      </c>
      <c r="Z4003" s="94">
        <f>IF($A4003="",0,IF(AE4003="직접",IF(AF4003="신계약비",$P4003,0),$P4003*(1-AG4003)*IFERROR(INDEX(계정대체기준!$C$20:$C$49,MATCH($N4003,계정대체기준!$A$20:$A$49,0)),0)))</f>
        <v/>
      </c>
      <c r="AA4003" s="94">
        <f>IF($A4003="",0,IF(AE4003="직접",IF(OR(AF4003="유지비",AF4003="손해조사비"),$P4003,0),$P4003*(1-AG4003)*IFERROR(INDEX(계정대체기준!$D$20:$D$49,MATCH($N4003,계정대체기준!$A$20:$A$49,0)),0)))</f>
        <v/>
      </c>
      <c r="AB4003" s="94">
        <f>IF($A4003="",0,IF(AE4003="직접",IF(AF4003="수금비",$P4003,0),$P4003*(1-AG4003)*IFERROR(INDEX(계정대체기준!$E$20:$E$49,MATCH($N4003,계정대체기준!$A$20:$A$49,0)),0)))</f>
        <v/>
      </c>
      <c r="AC4003" s="9">
        <f>IF(AND($A4003&lt;&gt;"",M4003=설정!$C$20,Z4003&gt;0),Z4003+ROW()/1000000000,"")</f>
        <v/>
      </c>
      <c r="AD4003" s="94">
        <f>IF($A4003="",0,$P4003*AG4003)</f>
        <v/>
      </c>
      <c r="AE4003" s="64">
        <f>IF($A4003="","",IFERROR(INDEX(계정매핑!$E$5:$E$504,MATCH($F4003&amp;"",계정매핑!$A$5:$A$504,0))&amp;"","공통비"))</f>
        <v/>
      </c>
      <c r="AF4003" s="64">
        <f>IF($A4003="","",IF(AE4003="직접",IFERROR(INDEX(계정매핑!$F$5:$F$504,MATCH($F4003&amp;"",계정매핑!$A$5:$A$504,0))&amp;"","비귀속"),""))</f>
        <v/>
      </c>
      <c r="AG4003" s="96">
        <f>IF($A4003="",0,IF(AND(AE4003&lt;&gt;"직접",IFERROR(INDEX(계정매핑!$G$5:$G$504,MATCH($F4003&amp;"",계정매핑!$A$5:$A$504,0))&amp;"","")="유지비",COUNTIF(계정대체기준!$A$6:$A$15,$N4003)&gt;0),IFERROR(INDEX(계정대체기준!$E$6:$E$15,MATCH(VALUE($A4003&amp;""),계정대체기준!$D$6:$D$15,0)),0),0))</f>
        <v/>
      </c>
      <c r="AH4003" s="64">
        <f>IF($A4003="","",IF(AD4003=0,"",IF(OR(COUNTIF(계정대체기준!$A$77:$A$86,$N4003)&gt;0,ISNUMBER(MATCH($X4003,계정대체기준!$D$77:$D$86,0)),ISNUMBER(MATCH($F4003,계정대체기준!$D$77:$D$86,0))),"Y","N")))</f>
        <v/>
      </c>
    </row>
    <row r="4004">
      <c r="A4004" s="92" t="n">
        <v>2026</v>
      </c>
      <c r="B4004" s="92" t="n">
        <v>6</v>
      </c>
      <c r="C4004" s="92" t="inlineStr">
        <is>
          <t>5100001282</t>
        </is>
      </c>
      <c r="D4004" s="95" t="n">
        <v>46192</v>
      </c>
      <c r="E4004" s="92" t="inlineStr">
        <is>
          <t>KR</t>
        </is>
      </c>
      <c r="F4004" s="92" t="n">
        <v>62201000</v>
      </c>
      <c r="G4004" s="92" t="n">
        <v>1201</v>
      </c>
      <c r="H4004" s="93" t="n">
        <v>126000</v>
      </c>
      <c r="I4004" s="92" t="inlineStr">
        <is>
          <t>6월 통신요금 - O텔레콤</t>
        </is>
      </c>
      <c r="J4004" s="92" t="inlineStr">
        <is>
          <t>V10002</t>
        </is>
      </c>
      <c r="K4004" s="92" t="inlineStr">
        <is>
          <t>O텔레콤</t>
        </is>
      </c>
      <c r="M4004" s="9">
        <f>IF($A4004="","",VALUE($A4004&amp;"")*12+VALUE($B4004&amp;""))</f>
        <v/>
      </c>
      <c r="N4004" s="64">
        <f>IF($A4004="","",IFERROR(INDEX(부서매핑!$C$5:$C$504,MATCH($G4004&amp;"",부서매핑!$A$5:$A$504,0)),"미매핑"))</f>
        <v/>
      </c>
      <c r="O4004" s="9">
        <f>IF($A4004="","",N4004&amp;"|"&amp;$F4004)</f>
        <v/>
      </c>
      <c r="P4004" s="94">
        <f>IF($A4004="",0,$H4004*설정!$C$23)</f>
        <v/>
      </c>
      <c r="Q4004" s="64">
        <f>IF($A4004="","",IF(O4004&lt;&gt;원인분석!$C$9,"",IF(AND(M4004&gt;=원인분석!$C$10,M4004&lt;=원인분석!$C$11),"당기",IF(AND(M4004&gt;=원인분석!$C$12,M4004&lt;=원인분석!$C$13),"비교",""))))</f>
        <v/>
      </c>
      <c r="R4004" s="9">
        <f>IF(Q4004="","",$K4004&amp;"")</f>
        <v/>
      </c>
      <c r="S4004" s="9">
        <f>IF(Q4004="","",IF(MATCH(R4004,$R$5:$R$100000,0)=ROW()-4,ROW(),""))</f>
        <v/>
      </c>
      <c r="T4004" s="9">
        <f>IF(Q4004="당기",ABS(P4004)+ROW()/1000000000,"")</f>
        <v/>
      </c>
      <c r="U4004" s="9">
        <f>IF(Q4004="비교",ABS(P4004)+ROW()/1000000000,"")</f>
        <v/>
      </c>
      <c r="V4004" s="64">
        <f>IF($A4004="","",IF(COUNTIF(변동분석!$E$7:$E$506,O4004)&gt;0,"Y","N"))</f>
        <v/>
      </c>
      <c r="W4004" s="64">
        <f>IF($A4004="","",IFERROR(INDEX(계정매핑!$D$5:$D$504,MATCH($F4004&amp;"",계정매핑!$A$5:$A$504,0)),"미매핑"))</f>
        <v/>
      </c>
      <c r="X4004" s="9">
        <f>IF($A4004="","",$F4004&amp;"")</f>
        <v/>
      </c>
      <c r="Y4004" s="94">
        <f>IF($A4004="",0,IF(AE4004="직접",IF(AF4004="비귀속",$P4004,0),$P4004*(1-AG4004)*IFERROR(INDEX(계정대체기준!$F$20:$F$49,MATCH($N4004,계정대체기준!$A$20:$A$49,0)),1)))</f>
        <v/>
      </c>
      <c r="Z4004" s="94">
        <f>IF($A4004="",0,IF(AE4004="직접",IF(AF4004="신계약비",$P4004,0),$P4004*(1-AG4004)*IFERROR(INDEX(계정대체기준!$C$20:$C$49,MATCH($N4004,계정대체기준!$A$20:$A$49,0)),0)))</f>
        <v/>
      </c>
      <c r="AA4004" s="94">
        <f>IF($A4004="",0,IF(AE4004="직접",IF(OR(AF4004="유지비",AF4004="손해조사비"),$P4004,0),$P4004*(1-AG4004)*IFERROR(INDEX(계정대체기준!$D$20:$D$49,MATCH($N4004,계정대체기준!$A$20:$A$49,0)),0)))</f>
        <v/>
      </c>
      <c r="AB4004" s="94">
        <f>IF($A4004="",0,IF(AE4004="직접",IF(AF4004="수금비",$P4004,0),$P4004*(1-AG4004)*IFERROR(INDEX(계정대체기준!$E$20:$E$49,MATCH($N4004,계정대체기준!$A$20:$A$49,0)),0)))</f>
        <v/>
      </c>
      <c r="AC4004" s="9">
        <f>IF(AND($A4004&lt;&gt;"",M4004=설정!$C$20,Z4004&gt;0),Z4004+ROW()/1000000000,"")</f>
        <v/>
      </c>
      <c r="AD4004" s="94">
        <f>IF($A4004="",0,$P4004*AG4004)</f>
        <v/>
      </c>
      <c r="AE4004" s="64">
        <f>IF($A4004="","",IFERROR(INDEX(계정매핑!$E$5:$E$504,MATCH($F4004&amp;"",계정매핑!$A$5:$A$504,0))&amp;"","공통비"))</f>
        <v/>
      </c>
      <c r="AF4004" s="64">
        <f>IF($A4004="","",IF(AE4004="직접",IFERROR(INDEX(계정매핑!$F$5:$F$504,MATCH($F4004&amp;"",계정매핑!$A$5:$A$504,0))&amp;"","비귀속"),""))</f>
        <v/>
      </c>
      <c r="AG4004" s="96">
        <f>IF($A4004="",0,IF(AND(AE4004&lt;&gt;"직접",IFERROR(INDEX(계정매핑!$G$5:$G$504,MATCH($F4004&amp;"",계정매핑!$A$5:$A$504,0))&amp;"","")="유지비",COUNTIF(계정대체기준!$A$6:$A$15,$N4004)&gt;0),IFERROR(INDEX(계정대체기준!$E$6:$E$15,MATCH(VALUE($A4004&amp;""),계정대체기준!$D$6:$D$15,0)),0),0))</f>
        <v/>
      </c>
      <c r="AH4004" s="64">
        <f>IF($A4004="","",IF(AD4004=0,"",IF(OR(COUNTIF(계정대체기준!$A$77:$A$86,$N4004)&gt;0,ISNUMBER(MATCH($X4004,계정대체기준!$D$77:$D$86,0)),ISNUMBER(MATCH($F4004,계정대체기준!$D$77:$D$86,0))),"Y","N")))</f>
        <v/>
      </c>
    </row>
    <row r="4005">
      <c r="A4005" s="92" t="n">
        <v>2026</v>
      </c>
      <c r="B4005" s="92" t="n">
        <v>6</v>
      </c>
      <c r="C4005" s="92" t="inlineStr">
        <is>
          <t>5100001283</t>
        </is>
      </c>
      <c r="D4005" s="95" t="n">
        <v>46192</v>
      </c>
      <c r="E4005" s="92" t="inlineStr">
        <is>
          <t>KR</t>
        </is>
      </c>
      <c r="F4005" s="92" t="n">
        <v>62201000</v>
      </c>
      <c r="G4005" s="92" t="n">
        <v>1501</v>
      </c>
      <c r="H4005" s="93" t="n">
        <v>337000</v>
      </c>
      <c r="I4005" s="92" t="inlineStr">
        <is>
          <t>6월 통신요금 - P통신</t>
        </is>
      </c>
      <c r="J4005" s="92" t="inlineStr">
        <is>
          <t>V10014</t>
        </is>
      </c>
      <c r="K4005" s="92" t="inlineStr">
        <is>
          <t>P통신</t>
        </is>
      </c>
      <c r="M4005" s="9">
        <f>IF($A4005="","",VALUE($A4005&amp;"")*12+VALUE($B4005&amp;""))</f>
        <v/>
      </c>
      <c r="N4005" s="64">
        <f>IF($A4005="","",IFERROR(INDEX(부서매핑!$C$5:$C$504,MATCH($G4005&amp;"",부서매핑!$A$5:$A$504,0)),"미매핑"))</f>
        <v/>
      </c>
      <c r="O4005" s="9">
        <f>IF($A4005="","",N4005&amp;"|"&amp;$F4005)</f>
        <v/>
      </c>
      <c r="P4005" s="94">
        <f>IF($A4005="",0,$H4005*설정!$C$23)</f>
        <v/>
      </c>
      <c r="Q4005" s="64">
        <f>IF($A4005="","",IF(O4005&lt;&gt;원인분석!$C$9,"",IF(AND(M4005&gt;=원인분석!$C$10,M4005&lt;=원인분석!$C$11),"당기",IF(AND(M4005&gt;=원인분석!$C$12,M4005&lt;=원인분석!$C$13),"비교",""))))</f>
        <v/>
      </c>
      <c r="R4005" s="9">
        <f>IF(Q4005="","",$K4005&amp;"")</f>
        <v/>
      </c>
      <c r="S4005" s="9">
        <f>IF(Q4005="","",IF(MATCH(R4005,$R$5:$R$100000,0)=ROW()-4,ROW(),""))</f>
        <v/>
      </c>
      <c r="T4005" s="9">
        <f>IF(Q4005="당기",ABS(P4005)+ROW()/1000000000,"")</f>
        <v/>
      </c>
      <c r="U4005" s="9">
        <f>IF(Q4005="비교",ABS(P4005)+ROW()/1000000000,"")</f>
        <v/>
      </c>
      <c r="V4005" s="64">
        <f>IF($A4005="","",IF(COUNTIF(변동분석!$E$7:$E$506,O4005)&gt;0,"Y","N"))</f>
        <v/>
      </c>
      <c r="W4005" s="64">
        <f>IF($A4005="","",IFERROR(INDEX(계정매핑!$D$5:$D$504,MATCH($F4005&amp;"",계정매핑!$A$5:$A$504,0)),"미매핑"))</f>
        <v/>
      </c>
      <c r="X4005" s="9">
        <f>IF($A4005="","",$F4005&amp;"")</f>
        <v/>
      </c>
      <c r="Y4005" s="94">
        <f>IF($A4005="",0,IF(AE4005="직접",IF(AF4005="비귀속",$P4005,0),$P4005*(1-AG4005)*IFERROR(INDEX(계정대체기준!$F$20:$F$49,MATCH($N4005,계정대체기준!$A$20:$A$49,0)),1)))</f>
        <v/>
      </c>
      <c r="Z4005" s="94">
        <f>IF($A4005="",0,IF(AE4005="직접",IF(AF4005="신계약비",$P4005,0),$P4005*(1-AG4005)*IFERROR(INDEX(계정대체기준!$C$20:$C$49,MATCH($N4005,계정대체기준!$A$20:$A$49,0)),0)))</f>
        <v/>
      </c>
      <c r="AA4005" s="94">
        <f>IF($A4005="",0,IF(AE4005="직접",IF(OR(AF4005="유지비",AF4005="손해조사비"),$P4005,0),$P4005*(1-AG4005)*IFERROR(INDEX(계정대체기준!$D$20:$D$49,MATCH($N4005,계정대체기준!$A$20:$A$49,0)),0)))</f>
        <v/>
      </c>
      <c r="AB4005" s="94">
        <f>IF($A4005="",0,IF(AE4005="직접",IF(AF4005="수금비",$P4005,0),$P4005*(1-AG4005)*IFERROR(INDEX(계정대체기준!$E$20:$E$49,MATCH($N4005,계정대체기준!$A$20:$A$49,0)),0)))</f>
        <v/>
      </c>
      <c r="AC4005" s="9">
        <f>IF(AND($A4005&lt;&gt;"",M4005=설정!$C$20,Z4005&gt;0),Z4005+ROW()/1000000000,"")</f>
        <v/>
      </c>
      <c r="AD4005" s="94">
        <f>IF($A4005="",0,$P4005*AG4005)</f>
        <v/>
      </c>
      <c r="AE4005" s="64">
        <f>IF($A4005="","",IFERROR(INDEX(계정매핑!$E$5:$E$504,MATCH($F4005&amp;"",계정매핑!$A$5:$A$504,0))&amp;"","공통비"))</f>
        <v/>
      </c>
      <c r="AF4005" s="64">
        <f>IF($A4005="","",IF(AE4005="직접",IFERROR(INDEX(계정매핑!$F$5:$F$504,MATCH($F4005&amp;"",계정매핑!$A$5:$A$504,0))&amp;"","비귀속"),""))</f>
        <v/>
      </c>
      <c r="AG4005" s="96">
        <f>IF($A4005="",0,IF(AND(AE4005&lt;&gt;"직접",IFERROR(INDEX(계정매핑!$G$5:$G$504,MATCH($F4005&amp;"",계정매핑!$A$5:$A$504,0))&amp;"","")="유지비",COUNTIF(계정대체기준!$A$6:$A$15,$N4005)&gt;0),IFERROR(INDEX(계정대체기준!$E$6:$E$15,MATCH(VALUE($A4005&amp;""),계정대체기준!$D$6:$D$15,0)),0),0))</f>
        <v/>
      </c>
      <c r="AH4005" s="64">
        <f>IF($A4005="","",IF(AD4005=0,"",IF(OR(COUNTIF(계정대체기준!$A$77:$A$86,$N4005)&gt;0,ISNUMBER(MATCH($X4005,계정대체기준!$D$77:$D$86,0)),ISNUMBER(MATCH($F4005,계정대체기준!$D$77:$D$86,0))),"Y","N")))</f>
        <v/>
      </c>
    </row>
    <row r="4006">
      <c r="A4006" s="92" t="n">
        <v>2026</v>
      </c>
      <c r="B4006" s="92" t="n">
        <v>6</v>
      </c>
      <c r="C4006" s="92" t="inlineStr">
        <is>
          <t>5100001284</t>
        </is>
      </c>
      <c r="D4006" s="95" t="n">
        <v>46192</v>
      </c>
      <c r="E4006" s="92" t="inlineStr">
        <is>
          <t>KR</t>
        </is>
      </c>
      <c r="F4006" s="92" t="n">
        <v>62201000</v>
      </c>
      <c r="G4006" s="92" t="n">
        <v>1951</v>
      </c>
      <c r="H4006" s="93" t="n">
        <v>289000</v>
      </c>
      <c r="I4006" s="92" t="inlineStr">
        <is>
          <t>6월 통신요금 - P통신</t>
        </is>
      </c>
      <c r="J4006" s="92" t="inlineStr">
        <is>
          <t>V10014</t>
        </is>
      </c>
      <c r="K4006" s="92" t="inlineStr">
        <is>
          <t>P통신</t>
        </is>
      </c>
      <c r="M4006" s="9">
        <f>IF($A4006="","",VALUE($A4006&amp;"")*12+VALUE($B4006&amp;""))</f>
        <v/>
      </c>
      <c r="N4006" s="64">
        <f>IF($A4006="","",IFERROR(INDEX(부서매핑!$C$5:$C$504,MATCH($G4006&amp;"",부서매핑!$A$5:$A$504,0)),"미매핑"))</f>
        <v/>
      </c>
      <c r="O4006" s="9">
        <f>IF($A4006="","",N4006&amp;"|"&amp;$F4006)</f>
        <v/>
      </c>
      <c r="P4006" s="94">
        <f>IF($A4006="",0,$H4006*설정!$C$23)</f>
        <v/>
      </c>
      <c r="Q4006" s="64">
        <f>IF($A4006="","",IF(O4006&lt;&gt;원인분석!$C$9,"",IF(AND(M4006&gt;=원인분석!$C$10,M4006&lt;=원인분석!$C$11),"당기",IF(AND(M4006&gt;=원인분석!$C$12,M4006&lt;=원인분석!$C$13),"비교",""))))</f>
        <v/>
      </c>
      <c r="R4006" s="9">
        <f>IF(Q4006="","",$K4006&amp;"")</f>
        <v/>
      </c>
      <c r="S4006" s="9">
        <f>IF(Q4006="","",IF(MATCH(R4006,$R$5:$R$100000,0)=ROW()-4,ROW(),""))</f>
        <v/>
      </c>
      <c r="T4006" s="9">
        <f>IF(Q4006="당기",ABS(P4006)+ROW()/1000000000,"")</f>
        <v/>
      </c>
      <c r="U4006" s="9">
        <f>IF(Q4006="비교",ABS(P4006)+ROW()/1000000000,"")</f>
        <v/>
      </c>
      <c r="V4006" s="64">
        <f>IF($A4006="","",IF(COUNTIF(변동분석!$E$7:$E$506,O4006)&gt;0,"Y","N"))</f>
        <v/>
      </c>
      <c r="W4006" s="64">
        <f>IF($A4006="","",IFERROR(INDEX(계정매핑!$D$5:$D$504,MATCH($F4006&amp;"",계정매핑!$A$5:$A$504,0)),"미매핑"))</f>
        <v/>
      </c>
      <c r="X4006" s="9">
        <f>IF($A4006="","",$F4006&amp;"")</f>
        <v/>
      </c>
      <c r="Y4006" s="94">
        <f>IF($A4006="",0,IF(AE4006="직접",IF(AF4006="비귀속",$P4006,0),$P4006*(1-AG4006)*IFERROR(INDEX(계정대체기준!$F$20:$F$49,MATCH($N4006,계정대체기준!$A$20:$A$49,0)),1)))</f>
        <v/>
      </c>
      <c r="Z4006" s="94">
        <f>IF($A4006="",0,IF(AE4006="직접",IF(AF4006="신계약비",$P4006,0),$P4006*(1-AG4006)*IFERROR(INDEX(계정대체기준!$C$20:$C$49,MATCH($N4006,계정대체기준!$A$20:$A$49,0)),0)))</f>
        <v/>
      </c>
      <c r="AA4006" s="94">
        <f>IF($A4006="",0,IF(AE4006="직접",IF(OR(AF4006="유지비",AF4006="손해조사비"),$P4006,0),$P4006*(1-AG4006)*IFERROR(INDEX(계정대체기준!$D$20:$D$49,MATCH($N4006,계정대체기준!$A$20:$A$49,0)),0)))</f>
        <v/>
      </c>
      <c r="AB4006" s="94">
        <f>IF($A4006="",0,IF(AE4006="직접",IF(AF4006="수금비",$P4006,0),$P4006*(1-AG4006)*IFERROR(INDEX(계정대체기준!$E$20:$E$49,MATCH($N4006,계정대체기준!$A$20:$A$49,0)),0)))</f>
        <v/>
      </c>
      <c r="AC4006" s="9">
        <f>IF(AND($A4006&lt;&gt;"",M4006=설정!$C$20,Z4006&gt;0),Z4006+ROW()/1000000000,"")</f>
        <v/>
      </c>
      <c r="AD4006" s="94">
        <f>IF($A4006="",0,$P4006*AG4006)</f>
        <v/>
      </c>
      <c r="AE4006" s="64">
        <f>IF($A4006="","",IFERROR(INDEX(계정매핑!$E$5:$E$504,MATCH($F4006&amp;"",계정매핑!$A$5:$A$504,0))&amp;"","공통비"))</f>
        <v/>
      </c>
      <c r="AF4006" s="64">
        <f>IF($A4006="","",IF(AE4006="직접",IFERROR(INDEX(계정매핑!$F$5:$F$504,MATCH($F4006&amp;"",계정매핑!$A$5:$A$504,0))&amp;"","비귀속"),""))</f>
        <v/>
      </c>
      <c r="AG4006" s="96">
        <f>IF($A4006="",0,IF(AND(AE4006&lt;&gt;"직접",IFERROR(INDEX(계정매핑!$G$5:$G$504,MATCH($F4006&amp;"",계정매핑!$A$5:$A$504,0))&amp;"","")="유지비",COUNTIF(계정대체기준!$A$6:$A$15,$N4006)&gt;0),IFERROR(INDEX(계정대체기준!$E$6:$E$15,MATCH(VALUE($A4006&amp;""),계정대체기준!$D$6:$D$15,0)),0),0))</f>
        <v/>
      </c>
      <c r="AH4006" s="64">
        <f>IF($A4006="","",IF(AD4006=0,"",IF(OR(COUNTIF(계정대체기준!$A$77:$A$86,$N4006)&gt;0,ISNUMBER(MATCH($X4006,계정대체기준!$D$77:$D$86,0)),ISNUMBER(MATCH($F4006,계정대체기준!$D$77:$D$86,0))),"Y","N")))</f>
        <v/>
      </c>
    </row>
    <row r="4007">
      <c r="A4007" s="92" t="n">
        <v>2026</v>
      </c>
      <c r="B4007" s="92" t="n">
        <v>6</v>
      </c>
      <c r="C4007" s="92" t="inlineStr">
        <is>
          <t>5100001285</t>
        </is>
      </c>
      <c r="D4007" s="95" t="n">
        <v>46192</v>
      </c>
      <c r="E4007" s="92" t="inlineStr">
        <is>
          <t>KR</t>
        </is>
      </c>
      <c r="F4007" s="92" t="n">
        <v>62801000</v>
      </c>
      <c r="G4007" s="92" t="n">
        <v>1301</v>
      </c>
      <c r="H4007" s="93" t="n">
        <v>3986000</v>
      </c>
      <c r="I4007" s="92" t="inlineStr">
        <is>
          <t>6월 사내교육 - U에듀</t>
        </is>
      </c>
      <c r="J4007" s="92" t="inlineStr">
        <is>
          <t>V10031</t>
        </is>
      </c>
      <c r="K4007" s="92" t="inlineStr">
        <is>
          <t>U에듀</t>
        </is>
      </c>
      <c r="M4007" s="9">
        <f>IF($A4007="","",VALUE($A4007&amp;"")*12+VALUE($B4007&amp;""))</f>
        <v/>
      </c>
      <c r="N4007" s="64">
        <f>IF($A4007="","",IFERROR(INDEX(부서매핑!$C$5:$C$504,MATCH($G4007&amp;"",부서매핑!$A$5:$A$504,0)),"미매핑"))</f>
        <v/>
      </c>
      <c r="O4007" s="9">
        <f>IF($A4007="","",N4007&amp;"|"&amp;$F4007)</f>
        <v/>
      </c>
      <c r="P4007" s="94">
        <f>IF($A4007="",0,$H4007*설정!$C$23)</f>
        <v/>
      </c>
      <c r="Q4007" s="64">
        <f>IF($A4007="","",IF(O4007&lt;&gt;원인분석!$C$9,"",IF(AND(M4007&gt;=원인분석!$C$10,M4007&lt;=원인분석!$C$11),"당기",IF(AND(M4007&gt;=원인분석!$C$12,M4007&lt;=원인분석!$C$13),"비교",""))))</f>
        <v/>
      </c>
      <c r="R4007" s="9">
        <f>IF(Q4007="","",$K4007&amp;"")</f>
        <v/>
      </c>
      <c r="S4007" s="9">
        <f>IF(Q4007="","",IF(MATCH(R4007,$R$5:$R$100000,0)=ROW()-4,ROW(),""))</f>
        <v/>
      </c>
      <c r="T4007" s="9">
        <f>IF(Q4007="당기",ABS(P4007)+ROW()/1000000000,"")</f>
        <v/>
      </c>
      <c r="U4007" s="9">
        <f>IF(Q4007="비교",ABS(P4007)+ROW()/1000000000,"")</f>
        <v/>
      </c>
      <c r="V4007" s="64">
        <f>IF($A4007="","",IF(COUNTIF(변동분석!$E$7:$E$506,O4007)&gt;0,"Y","N"))</f>
        <v/>
      </c>
      <c r="W4007" s="64">
        <f>IF($A4007="","",IFERROR(INDEX(계정매핑!$D$5:$D$504,MATCH($F4007&amp;"",계정매핑!$A$5:$A$504,0)),"미매핑"))</f>
        <v/>
      </c>
      <c r="X4007" s="9">
        <f>IF($A4007="","",$F4007&amp;"")</f>
        <v/>
      </c>
      <c r="Y4007" s="94">
        <f>IF($A4007="",0,IF(AE4007="직접",IF(AF4007="비귀속",$P4007,0),$P4007*(1-AG4007)*IFERROR(INDEX(계정대체기준!$F$20:$F$49,MATCH($N4007,계정대체기준!$A$20:$A$49,0)),1)))</f>
        <v/>
      </c>
      <c r="Z4007" s="94">
        <f>IF($A4007="",0,IF(AE4007="직접",IF(AF4007="신계약비",$P4007,0),$P4007*(1-AG4007)*IFERROR(INDEX(계정대체기준!$C$20:$C$49,MATCH($N4007,계정대체기준!$A$20:$A$49,0)),0)))</f>
        <v/>
      </c>
      <c r="AA4007" s="94">
        <f>IF($A4007="",0,IF(AE4007="직접",IF(OR(AF4007="유지비",AF4007="손해조사비"),$P4007,0),$P4007*(1-AG4007)*IFERROR(INDEX(계정대체기준!$D$20:$D$49,MATCH($N4007,계정대체기준!$A$20:$A$49,0)),0)))</f>
        <v/>
      </c>
      <c r="AB4007" s="94">
        <f>IF($A4007="",0,IF(AE4007="직접",IF(AF4007="수금비",$P4007,0),$P4007*(1-AG4007)*IFERROR(INDEX(계정대체기준!$E$20:$E$49,MATCH($N4007,계정대체기준!$A$20:$A$49,0)),0)))</f>
        <v/>
      </c>
      <c r="AC4007" s="9">
        <f>IF(AND($A4007&lt;&gt;"",M4007=설정!$C$20,Z4007&gt;0),Z4007+ROW()/1000000000,"")</f>
        <v/>
      </c>
      <c r="AD4007" s="94">
        <f>IF($A4007="",0,$P4007*AG4007)</f>
        <v/>
      </c>
      <c r="AE4007" s="64">
        <f>IF($A4007="","",IFERROR(INDEX(계정매핑!$E$5:$E$504,MATCH($F4007&amp;"",계정매핑!$A$5:$A$504,0))&amp;"","공통비"))</f>
        <v/>
      </c>
      <c r="AF4007" s="64">
        <f>IF($A4007="","",IF(AE4007="직접",IFERROR(INDEX(계정매핑!$F$5:$F$504,MATCH($F4007&amp;"",계정매핑!$A$5:$A$504,0))&amp;"","비귀속"),""))</f>
        <v/>
      </c>
      <c r="AG4007" s="96">
        <f>IF($A4007="",0,IF(AND(AE4007&lt;&gt;"직접",IFERROR(INDEX(계정매핑!$G$5:$G$504,MATCH($F4007&amp;"",계정매핑!$A$5:$A$504,0))&amp;"","")="유지비",COUNTIF(계정대체기준!$A$6:$A$15,$N4007)&gt;0),IFERROR(INDEX(계정대체기준!$E$6:$E$15,MATCH(VALUE($A4007&amp;""),계정대체기준!$D$6:$D$15,0)),0),0))</f>
        <v/>
      </c>
      <c r="AH4007" s="64">
        <f>IF($A4007="","",IF(AD4007=0,"",IF(OR(COUNTIF(계정대체기준!$A$77:$A$86,$N4007)&gt;0,ISNUMBER(MATCH($X4007,계정대체기준!$D$77:$D$86,0)),ISNUMBER(MATCH($F4007,계정대체기준!$D$77:$D$86,0))),"Y","N")))</f>
        <v/>
      </c>
    </row>
    <row r="4008">
      <c r="A4008" s="92" t="n">
        <v>2026</v>
      </c>
      <c r="B4008" s="92" t="n">
        <v>6</v>
      </c>
      <c r="C4008" s="92" t="inlineStr">
        <is>
          <t>5100001286</t>
        </is>
      </c>
      <c r="D4008" s="95" t="n">
        <v>46192</v>
      </c>
      <c r="E4008" s="92" t="inlineStr">
        <is>
          <t>KR</t>
        </is>
      </c>
      <c r="F4008" s="92" t="n">
        <v>62902000</v>
      </c>
      <c r="G4008" s="92" t="n">
        <v>1201</v>
      </c>
      <c r="H4008" s="93" t="n">
        <v>4179000</v>
      </c>
      <c r="I4008" s="92" t="inlineStr">
        <is>
          <t>6월 업무 위탁 수수료 - J콜센터</t>
        </is>
      </c>
      <c r="J4008" s="92" t="inlineStr">
        <is>
          <t>V10016</t>
        </is>
      </c>
      <c r="K4008" s="92" t="inlineStr">
        <is>
          <t>J콜센터</t>
        </is>
      </c>
      <c r="M4008" s="9">
        <f>IF($A4008="","",VALUE($A4008&amp;"")*12+VALUE($B4008&amp;""))</f>
        <v/>
      </c>
      <c r="N4008" s="64">
        <f>IF($A4008="","",IFERROR(INDEX(부서매핑!$C$5:$C$504,MATCH($G4008&amp;"",부서매핑!$A$5:$A$504,0)),"미매핑"))</f>
        <v/>
      </c>
      <c r="O4008" s="9">
        <f>IF($A4008="","",N4008&amp;"|"&amp;$F4008)</f>
        <v/>
      </c>
      <c r="P4008" s="94">
        <f>IF($A4008="",0,$H4008*설정!$C$23)</f>
        <v/>
      </c>
      <c r="Q4008" s="64">
        <f>IF($A4008="","",IF(O4008&lt;&gt;원인분석!$C$9,"",IF(AND(M4008&gt;=원인분석!$C$10,M4008&lt;=원인분석!$C$11),"당기",IF(AND(M4008&gt;=원인분석!$C$12,M4008&lt;=원인분석!$C$13),"비교",""))))</f>
        <v/>
      </c>
      <c r="R4008" s="9">
        <f>IF(Q4008="","",$K4008&amp;"")</f>
        <v/>
      </c>
      <c r="S4008" s="9">
        <f>IF(Q4008="","",IF(MATCH(R4008,$R$5:$R$100000,0)=ROW()-4,ROW(),""))</f>
        <v/>
      </c>
      <c r="T4008" s="9">
        <f>IF(Q4008="당기",ABS(P4008)+ROW()/1000000000,"")</f>
        <v/>
      </c>
      <c r="U4008" s="9">
        <f>IF(Q4008="비교",ABS(P4008)+ROW()/1000000000,"")</f>
        <v/>
      </c>
      <c r="V4008" s="64">
        <f>IF($A4008="","",IF(COUNTIF(변동분석!$E$7:$E$506,O4008)&gt;0,"Y","N"))</f>
        <v/>
      </c>
      <c r="W4008" s="64">
        <f>IF($A4008="","",IFERROR(INDEX(계정매핑!$D$5:$D$504,MATCH($F4008&amp;"",계정매핑!$A$5:$A$504,0)),"미매핑"))</f>
        <v/>
      </c>
      <c r="X4008" s="9">
        <f>IF($A4008="","",$F4008&amp;"")</f>
        <v/>
      </c>
      <c r="Y4008" s="94">
        <f>IF($A4008="",0,IF(AE4008="직접",IF(AF4008="비귀속",$P4008,0),$P4008*(1-AG4008)*IFERROR(INDEX(계정대체기준!$F$20:$F$49,MATCH($N4008,계정대체기준!$A$20:$A$49,0)),1)))</f>
        <v/>
      </c>
      <c r="Z4008" s="94">
        <f>IF($A4008="",0,IF(AE4008="직접",IF(AF4008="신계약비",$P4008,0),$P4008*(1-AG4008)*IFERROR(INDEX(계정대체기준!$C$20:$C$49,MATCH($N4008,계정대체기준!$A$20:$A$49,0)),0)))</f>
        <v/>
      </c>
      <c r="AA4008" s="94">
        <f>IF($A4008="",0,IF(AE4008="직접",IF(OR(AF4008="유지비",AF4008="손해조사비"),$P4008,0),$P4008*(1-AG4008)*IFERROR(INDEX(계정대체기준!$D$20:$D$49,MATCH($N4008,계정대체기준!$A$20:$A$49,0)),0)))</f>
        <v/>
      </c>
      <c r="AB4008" s="94">
        <f>IF($A4008="",0,IF(AE4008="직접",IF(AF4008="수금비",$P4008,0),$P4008*(1-AG4008)*IFERROR(INDEX(계정대체기준!$E$20:$E$49,MATCH($N4008,계정대체기준!$A$20:$A$49,0)),0)))</f>
        <v/>
      </c>
      <c r="AC4008" s="9">
        <f>IF(AND($A4008&lt;&gt;"",M4008=설정!$C$20,Z4008&gt;0),Z4008+ROW()/1000000000,"")</f>
        <v/>
      </c>
      <c r="AD4008" s="94">
        <f>IF($A4008="",0,$P4008*AG4008)</f>
        <v/>
      </c>
      <c r="AE4008" s="64">
        <f>IF($A4008="","",IFERROR(INDEX(계정매핑!$E$5:$E$504,MATCH($F4008&amp;"",계정매핑!$A$5:$A$504,0))&amp;"","공통비"))</f>
        <v/>
      </c>
      <c r="AF4008" s="64">
        <f>IF($A4008="","",IF(AE4008="직접",IFERROR(INDEX(계정매핑!$F$5:$F$504,MATCH($F4008&amp;"",계정매핑!$A$5:$A$504,0))&amp;"","비귀속"),""))</f>
        <v/>
      </c>
      <c r="AG4008" s="96">
        <f>IF($A4008="",0,IF(AND(AE4008&lt;&gt;"직접",IFERROR(INDEX(계정매핑!$G$5:$G$504,MATCH($F4008&amp;"",계정매핑!$A$5:$A$504,0))&amp;"","")="유지비",COUNTIF(계정대체기준!$A$6:$A$15,$N4008)&gt;0),IFERROR(INDEX(계정대체기준!$E$6:$E$15,MATCH(VALUE($A4008&amp;""),계정대체기준!$D$6:$D$15,0)),0),0))</f>
        <v/>
      </c>
      <c r="AH4008" s="64">
        <f>IF($A4008="","",IF(AD4008=0,"",IF(OR(COUNTIF(계정대체기준!$A$77:$A$86,$N4008)&gt;0,ISNUMBER(MATCH($X4008,계정대체기준!$D$77:$D$86,0)),ISNUMBER(MATCH($F4008,계정대체기준!$D$77:$D$86,0))),"Y","N")))</f>
        <v/>
      </c>
    </row>
    <row r="4009">
      <c r="A4009" s="92" t="n">
        <v>2026</v>
      </c>
      <c r="B4009" s="92" t="n">
        <v>6</v>
      </c>
      <c r="C4009" s="92" t="inlineStr">
        <is>
          <t>5100001287</t>
        </is>
      </c>
      <c r="D4009" s="95" t="n">
        <v>46192</v>
      </c>
      <c r="E4009" s="92" t="inlineStr">
        <is>
          <t>KR</t>
        </is>
      </c>
      <c r="F4009" s="92" t="n">
        <v>62902000</v>
      </c>
      <c r="G4009" s="92" t="n">
        <v>1401</v>
      </c>
      <c r="H4009" s="93" t="n">
        <v>1380000</v>
      </c>
      <c r="I4009" s="92" t="inlineStr">
        <is>
          <t>6월 업무 위탁 수수료 - X서비스</t>
        </is>
      </c>
      <c r="J4009" s="92" t="inlineStr">
        <is>
          <t>V10020</t>
        </is>
      </c>
      <c r="K4009" s="92" t="inlineStr">
        <is>
          <t>X서비스</t>
        </is>
      </c>
      <c r="M4009" s="9">
        <f>IF($A4009="","",VALUE($A4009&amp;"")*12+VALUE($B4009&amp;""))</f>
        <v/>
      </c>
      <c r="N4009" s="64">
        <f>IF($A4009="","",IFERROR(INDEX(부서매핑!$C$5:$C$504,MATCH($G4009&amp;"",부서매핑!$A$5:$A$504,0)),"미매핑"))</f>
        <v/>
      </c>
      <c r="O4009" s="9">
        <f>IF($A4009="","",N4009&amp;"|"&amp;$F4009)</f>
        <v/>
      </c>
      <c r="P4009" s="94">
        <f>IF($A4009="",0,$H4009*설정!$C$23)</f>
        <v/>
      </c>
      <c r="Q4009" s="64">
        <f>IF($A4009="","",IF(O4009&lt;&gt;원인분석!$C$9,"",IF(AND(M4009&gt;=원인분석!$C$10,M4009&lt;=원인분석!$C$11),"당기",IF(AND(M4009&gt;=원인분석!$C$12,M4009&lt;=원인분석!$C$13),"비교",""))))</f>
        <v/>
      </c>
      <c r="R4009" s="9">
        <f>IF(Q4009="","",$K4009&amp;"")</f>
        <v/>
      </c>
      <c r="S4009" s="9">
        <f>IF(Q4009="","",IF(MATCH(R4009,$R$5:$R$100000,0)=ROW()-4,ROW(),""))</f>
        <v/>
      </c>
      <c r="T4009" s="9">
        <f>IF(Q4009="당기",ABS(P4009)+ROW()/1000000000,"")</f>
        <v/>
      </c>
      <c r="U4009" s="9">
        <f>IF(Q4009="비교",ABS(P4009)+ROW()/1000000000,"")</f>
        <v/>
      </c>
      <c r="V4009" s="64">
        <f>IF($A4009="","",IF(COUNTIF(변동분석!$E$7:$E$506,O4009)&gt;0,"Y","N"))</f>
        <v/>
      </c>
      <c r="W4009" s="64">
        <f>IF($A4009="","",IFERROR(INDEX(계정매핑!$D$5:$D$504,MATCH($F4009&amp;"",계정매핑!$A$5:$A$504,0)),"미매핑"))</f>
        <v/>
      </c>
      <c r="X4009" s="9">
        <f>IF($A4009="","",$F4009&amp;"")</f>
        <v/>
      </c>
      <c r="Y4009" s="94">
        <f>IF($A4009="",0,IF(AE4009="직접",IF(AF4009="비귀속",$P4009,0),$P4009*(1-AG4009)*IFERROR(INDEX(계정대체기준!$F$20:$F$49,MATCH($N4009,계정대체기준!$A$20:$A$49,0)),1)))</f>
        <v/>
      </c>
      <c r="Z4009" s="94">
        <f>IF($A4009="",0,IF(AE4009="직접",IF(AF4009="신계약비",$P4009,0),$P4009*(1-AG4009)*IFERROR(INDEX(계정대체기준!$C$20:$C$49,MATCH($N4009,계정대체기준!$A$20:$A$49,0)),0)))</f>
        <v/>
      </c>
      <c r="AA4009" s="94">
        <f>IF($A4009="",0,IF(AE4009="직접",IF(OR(AF4009="유지비",AF4009="손해조사비"),$P4009,0),$P4009*(1-AG4009)*IFERROR(INDEX(계정대체기준!$D$20:$D$49,MATCH($N4009,계정대체기준!$A$20:$A$49,0)),0)))</f>
        <v/>
      </c>
      <c r="AB4009" s="94">
        <f>IF($A4009="",0,IF(AE4009="직접",IF(AF4009="수금비",$P4009,0),$P4009*(1-AG4009)*IFERROR(INDEX(계정대체기준!$E$20:$E$49,MATCH($N4009,계정대체기준!$A$20:$A$49,0)),0)))</f>
        <v/>
      </c>
      <c r="AC4009" s="9">
        <f>IF(AND($A4009&lt;&gt;"",M4009=설정!$C$20,Z4009&gt;0),Z4009+ROW()/1000000000,"")</f>
        <v/>
      </c>
      <c r="AD4009" s="94">
        <f>IF($A4009="",0,$P4009*AG4009)</f>
        <v/>
      </c>
      <c r="AE4009" s="64">
        <f>IF($A4009="","",IFERROR(INDEX(계정매핑!$E$5:$E$504,MATCH($F4009&amp;"",계정매핑!$A$5:$A$504,0))&amp;"","공통비"))</f>
        <v/>
      </c>
      <c r="AF4009" s="64">
        <f>IF($A4009="","",IF(AE4009="직접",IFERROR(INDEX(계정매핑!$F$5:$F$504,MATCH($F4009&amp;"",계정매핑!$A$5:$A$504,0))&amp;"","비귀속"),""))</f>
        <v/>
      </c>
      <c r="AG4009" s="96">
        <f>IF($A4009="",0,IF(AND(AE4009&lt;&gt;"직접",IFERROR(INDEX(계정매핑!$G$5:$G$504,MATCH($F4009&amp;"",계정매핑!$A$5:$A$504,0))&amp;"","")="유지비",COUNTIF(계정대체기준!$A$6:$A$15,$N4009)&gt;0),IFERROR(INDEX(계정대체기준!$E$6:$E$15,MATCH(VALUE($A4009&amp;""),계정대체기준!$D$6:$D$15,0)),0),0))</f>
        <v/>
      </c>
      <c r="AH4009" s="64">
        <f>IF($A4009="","",IF(AD4009=0,"",IF(OR(COUNTIF(계정대체기준!$A$77:$A$86,$N4009)&gt;0,ISNUMBER(MATCH($X4009,계정대체기준!$D$77:$D$86,0)),ISNUMBER(MATCH($F4009,계정대체기준!$D$77:$D$86,0))),"Y","N")))</f>
        <v/>
      </c>
    </row>
    <row r="4010">
      <c r="A4010" s="92" t="n">
        <v>2026</v>
      </c>
      <c r="B4010" s="92" t="n">
        <v>6</v>
      </c>
      <c r="C4010" s="92" t="inlineStr">
        <is>
          <t>5100001288</t>
        </is>
      </c>
      <c r="D4010" s="95" t="n">
        <v>46193</v>
      </c>
      <c r="E4010" s="92" t="inlineStr">
        <is>
          <t>KR</t>
        </is>
      </c>
      <c r="F4010" s="92" t="n">
        <v>62101000</v>
      </c>
      <c r="G4010" s="92" t="n">
        <v>1502</v>
      </c>
      <c r="H4010" s="93" t="n">
        <v>785000</v>
      </c>
      <c r="I4010" s="92" t="inlineStr">
        <is>
          <t>6월 국내출장 - L여행사</t>
        </is>
      </c>
      <c r="J4010" s="92" t="inlineStr">
        <is>
          <t>V10018</t>
        </is>
      </c>
      <c r="K4010" s="92" t="inlineStr">
        <is>
          <t>L여행사</t>
        </is>
      </c>
      <c r="M4010" s="9">
        <f>IF($A4010="","",VALUE($A4010&amp;"")*12+VALUE($B4010&amp;""))</f>
        <v/>
      </c>
      <c r="N4010" s="64">
        <f>IF($A4010="","",IFERROR(INDEX(부서매핑!$C$5:$C$504,MATCH($G4010&amp;"",부서매핑!$A$5:$A$504,0)),"미매핑"))</f>
        <v/>
      </c>
      <c r="O4010" s="9">
        <f>IF($A4010="","",N4010&amp;"|"&amp;$F4010)</f>
        <v/>
      </c>
      <c r="P4010" s="94">
        <f>IF($A4010="",0,$H4010*설정!$C$23)</f>
        <v/>
      </c>
      <c r="Q4010" s="64">
        <f>IF($A4010="","",IF(O4010&lt;&gt;원인분석!$C$9,"",IF(AND(M4010&gt;=원인분석!$C$10,M4010&lt;=원인분석!$C$11),"당기",IF(AND(M4010&gt;=원인분석!$C$12,M4010&lt;=원인분석!$C$13),"비교",""))))</f>
        <v/>
      </c>
      <c r="R4010" s="9">
        <f>IF(Q4010="","",$K4010&amp;"")</f>
        <v/>
      </c>
      <c r="S4010" s="9">
        <f>IF(Q4010="","",IF(MATCH(R4010,$R$5:$R$100000,0)=ROW()-4,ROW(),""))</f>
        <v/>
      </c>
      <c r="T4010" s="9">
        <f>IF(Q4010="당기",ABS(P4010)+ROW()/1000000000,"")</f>
        <v/>
      </c>
      <c r="U4010" s="9">
        <f>IF(Q4010="비교",ABS(P4010)+ROW()/1000000000,"")</f>
        <v/>
      </c>
      <c r="V4010" s="64">
        <f>IF($A4010="","",IF(COUNTIF(변동분석!$E$7:$E$506,O4010)&gt;0,"Y","N"))</f>
        <v/>
      </c>
      <c r="W4010" s="64">
        <f>IF($A4010="","",IFERROR(INDEX(계정매핑!$D$5:$D$504,MATCH($F4010&amp;"",계정매핑!$A$5:$A$504,0)),"미매핑"))</f>
        <v/>
      </c>
      <c r="X4010" s="9">
        <f>IF($A4010="","",$F4010&amp;"")</f>
        <v/>
      </c>
      <c r="Y4010" s="94">
        <f>IF($A4010="",0,IF(AE4010="직접",IF(AF4010="비귀속",$P4010,0),$P4010*(1-AG4010)*IFERROR(INDEX(계정대체기준!$F$20:$F$49,MATCH($N4010,계정대체기준!$A$20:$A$49,0)),1)))</f>
        <v/>
      </c>
      <c r="Z4010" s="94">
        <f>IF($A4010="",0,IF(AE4010="직접",IF(AF4010="신계약비",$P4010,0),$P4010*(1-AG4010)*IFERROR(INDEX(계정대체기준!$C$20:$C$49,MATCH($N4010,계정대체기준!$A$20:$A$49,0)),0)))</f>
        <v/>
      </c>
      <c r="AA4010" s="94">
        <f>IF($A4010="",0,IF(AE4010="직접",IF(OR(AF4010="유지비",AF4010="손해조사비"),$P4010,0),$P4010*(1-AG4010)*IFERROR(INDEX(계정대체기준!$D$20:$D$49,MATCH($N4010,계정대체기준!$A$20:$A$49,0)),0)))</f>
        <v/>
      </c>
      <c r="AB4010" s="94">
        <f>IF($A4010="",0,IF(AE4010="직접",IF(AF4010="수금비",$P4010,0),$P4010*(1-AG4010)*IFERROR(INDEX(계정대체기준!$E$20:$E$49,MATCH($N4010,계정대체기준!$A$20:$A$49,0)),0)))</f>
        <v/>
      </c>
      <c r="AC4010" s="9">
        <f>IF(AND($A4010&lt;&gt;"",M4010=설정!$C$20,Z4010&gt;0),Z4010+ROW()/1000000000,"")</f>
        <v/>
      </c>
      <c r="AD4010" s="94">
        <f>IF($A4010="",0,$P4010*AG4010)</f>
        <v/>
      </c>
      <c r="AE4010" s="64">
        <f>IF($A4010="","",IFERROR(INDEX(계정매핑!$E$5:$E$504,MATCH($F4010&amp;"",계정매핑!$A$5:$A$504,0))&amp;"","공통비"))</f>
        <v/>
      </c>
      <c r="AF4010" s="64">
        <f>IF($A4010="","",IF(AE4010="직접",IFERROR(INDEX(계정매핑!$F$5:$F$504,MATCH($F4010&amp;"",계정매핑!$A$5:$A$504,0))&amp;"","비귀속"),""))</f>
        <v/>
      </c>
      <c r="AG4010" s="96">
        <f>IF($A4010="",0,IF(AND(AE4010&lt;&gt;"직접",IFERROR(INDEX(계정매핑!$G$5:$G$504,MATCH($F4010&amp;"",계정매핑!$A$5:$A$504,0))&amp;"","")="유지비",COUNTIF(계정대체기준!$A$6:$A$15,$N4010)&gt;0),IFERROR(INDEX(계정대체기준!$E$6:$E$15,MATCH(VALUE($A4010&amp;""),계정대체기준!$D$6:$D$15,0)),0),0))</f>
        <v/>
      </c>
      <c r="AH4010" s="64">
        <f>IF($A4010="","",IF(AD4010=0,"",IF(OR(COUNTIF(계정대체기준!$A$77:$A$86,$N4010)&gt;0,ISNUMBER(MATCH($X4010,계정대체기준!$D$77:$D$86,0)),ISNUMBER(MATCH($F4010,계정대체기준!$D$77:$D$86,0))),"Y","N")))</f>
        <v/>
      </c>
    </row>
    <row r="4011">
      <c r="A4011" s="92" t="n">
        <v>2026</v>
      </c>
      <c r="B4011" s="92" t="n">
        <v>6</v>
      </c>
      <c r="C4011" s="92" t="inlineStr">
        <is>
          <t>5100001289</t>
        </is>
      </c>
      <c r="D4011" s="95" t="n">
        <v>46193</v>
      </c>
      <c r="E4011" s="92" t="inlineStr">
        <is>
          <t>KR</t>
        </is>
      </c>
      <c r="F4011" s="92" t="n">
        <v>62201000</v>
      </c>
      <c r="G4011" s="92" t="n">
        <v>1701</v>
      </c>
      <c r="H4011" s="93" t="n">
        <v>4841000</v>
      </c>
      <c r="I4011" s="92" t="inlineStr">
        <is>
          <t>6월 통신요금 - O텔레콤</t>
        </is>
      </c>
      <c r="J4011" s="92" t="inlineStr">
        <is>
          <t>V10002</t>
        </is>
      </c>
      <c r="K4011" s="92" t="inlineStr">
        <is>
          <t>O텔레콤</t>
        </is>
      </c>
      <c r="M4011" s="9">
        <f>IF($A4011="","",VALUE($A4011&amp;"")*12+VALUE($B4011&amp;""))</f>
        <v/>
      </c>
      <c r="N4011" s="64">
        <f>IF($A4011="","",IFERROR(INDEX(부서매핑!$C$5:$C$504,MATCH($G4011&amp;"",부서매핑!$A$5:$A$504,0)),"미매핑"))</f>
        <v/>
      </c>
      <c r="O4011" s="9">
        <f>IF($A4011="","",N4011&amp;"|"&amp;$F4011)</f>
        <v/>
      </c>
      <c r="P4011" s="94">
        <f>IF($A4011="",0,$H4011*설정!$C$23)</f>
        <v/>
      </c>
      <c r="Q4011" s="64">
        <f>IF($A4011="","",IF(O4011&lt;&gt;원인분석!$C$9,"",IF(AND(M4011&gt;=원인분석!$C$10,M4011&lt;=원인분석!$C$11),"당기",IF(AND(M4011&gt;=원인분석!$C$12,M4011&lt;=원인분석!$C$13),"비교",""))))</f>
        <v/>
      </c>
      <c r="R4011" s="9">
        <f>IF(Q4011="","",$K4011&amp;"")</f>
        <v/>
      </c>
      <c r="S4011" s="9">
        <f>IF(Q4011="","",IF(MATCH(R4011,$R$5:$R$100000,0)=ROW()-4,ROW(),""))</f>
        <v/>
      </c>
      <c r="T4011" s="9">
        <f>IF(Q4011="당기",ABS(P4011)+ROW()/1000000000,"")</f>
        <v/>
      </c>
      <c r="U4011" s="9">
        <f>IF(Q4011="비교",ABS(P4011)+ROW()/1000000000,"")</f>
        <v/>
      </c>
      <c r="V4011" s="64">
        <f>IF($A4011="","",IF(COUNTIF(변동분석!$E$7:$E$506,O4011)&gt;0,"Y","N"))</f>
        <v/>
      </c>
      <c r="W4011" s="64">
        <f>IF($A4011="","",IFERROR(INDEX(계정매핑!$D$5:$D$504,MATCH($F4011&amp;"",계정매핑!$A$5:$A$504,0)),"미매핑"))</f>
        <v/>
      </c>
      <c r="X4011" s="9">
        <f>IF($A4011="","",$F4011&amp;"")</f>
        <v/>
      </c>
      <c r="Y4011" s="94">
        <f>IF($A4011="",0,IF(AE4011="직접",IF(AF4011="비귀속",$P4011,0),$P4011*(1-AG4011)*IFERROR(INDEX(계정대체기준!$F$20:$F$49,MATCH($N4011,계정대체기준!$A$20:$A$49,0)),1)))</f>
        <v/>
      </c>
      <c r="Z4011" s="94">
        <f>IF($A4011="",0,IF(AE4011="직접",IF(AF4011="신계약비",$P4011,0),$P4011*(1-AG4011)*IFERROR(INDEX(계정대체기준!$C$20:$C$49,MATCH($N4011,계정대체기준!$A$20:$A$49,0)),0)))</f>
        <v/>
      </c>
      <c r="AA4011" s="94">
        <f>IF($A4011="",0,IF(AE4011="직접",IF(OR(AF4011="유지비",AF4011="손해조사비"),$P4011,0),$P4011*(1-AG4011)*IFERROR(INDEX(계정대체기준!$D$20:$D$49,MATCH($N4011,계정대체기준!$A$20:$A$49,0)),0)))</f>
        <v/>
      </c>
      <c r="AB4011" s="94">
        <f>IF($A4011="",0,IF(AE4011="직접",IF(AF4011="수금비",$P4011,0),$P4011*(1-AG4011)*IFERROR(INDEX(계정대체기준!$E$20:$E$49,MATCH($N4011,계정대체기준!$A$20:$A$49,0)),0)))</f>
        <v/>
      </c>
      <c r="AC4011" s="9">
        <f>IF(AND($A4011&lt;&gt;"",M4011=설정!$C$20,Z4011&gt;0),Z4011+ROW()/1000000000,"")</f>
        <v/>
      </c>
      <c r="AD4011" s="94">
        <f>IF($A4011="",0,$P4011*AG4011)</f>
        <v/>
      </c>
      <c r="AE4011" s="64">
        <f>IF($A4011="","",IFERROR(INDEX(계정매핑!$E$5:$E$504,MATCH($F4011&amp;"",계정매핑!$A$5:$A$504,0))&amp;"","공통비"))</f>
        <v/>
      </c>
      <c r="AF4011" s="64">
        <f>IF($A4011="","",IF(AE4011="직접",IFERROR(INDEX(계정매핑!$F$5:$F$504,MATCH($F4011&amp;"",계정매핑!$A$5:$A$504,0))&amp;"","비귀속"),""))</f>
        <v/>
      </c>
      <c r="AG4011" s="96">
        <f>IF($A4011="",0,IF(AND(AE4011&lt;&gt;"직접",IFERROR(INDEX(계정매핑!$G$5:$G$504,MATCH($F4011&amp;"",계정매핑!$A$5:$A$504,0))&amp;"","")="유지비",COUNTIF(계정대체기준!$A$6:$A$15,$N4011)&gt;0),IFERROR(INDEX(계정대체기준!$E$6:$E$15,MATCH(VALUE($A4011&amp;""),계정대체기준!$D$6:$D$15,0)),0),0))</f>
        <v/>
      </c>
      <c r="AH4011" s="64">
        <f>IF($A4011="","",IF(AD4011=0,"",IF(OR(COUNTIF(계정대체기준!$A$77:$A$86,$N4011)&gt;0,ISNUMBER(MATCH($X4011,계정대체기준!$D$77:$D$86,0)),ISNUMBER(MATCH($F4011,계정대체기준!$D$77:$D$86,0))),"Y","N")))</f>
        <v/>
      </c>
    </row>
    <row r="4012">
      <c r="A4012" s="92" t="n">
        <v>2026</v>
      </c>
      <c r="B4012" s="92" t="n">
        <v>6</v>
      </c>
      <c r="C4012" s="92" t="inlineStr">
        <is>
          <t>5100001290</t>
        </is>
      </c>
      <c r="D4012" s="95" t="n">
        <v>46193</v>
      </c>
      <c r="E4012" s="92" t="inlineStr">
        <is>
          <t>KR</t>
        </is>
      </c>
      <c r="F4012" s="92" t="n">
        <v>62301000</v>
      </c>
      <c r="G4012" s="92" t="n">
        <v>1101</v>
      </c>
      <c r="H4012" s="93" t="n">
        <v>144000</v>
      </c>
      <c r="I4012" s="92" t="inlineStr">
        <is>
          <t>6월 소모품 구입 - R문구</t>
        </is>
      </c>
      <c r="J4012" s="92" t="inlineStr">
        <is>
          <t>V10022</t>
        </is>
      </c>
      <c r="K4012" s="92" t="inlineStr">
        <is>
          <t>R문구</t>
        </is>
      </c>
      <c r="M4012" s="9">
        <f>IF($A4012="","",VALUE($A4012&amp;"")*12+VALUE($B4012&amp;""))</f>
        <v/>
      </c>
      <c r="N4012" s="64">
        <f>IF($A4012="","",IFERROR(INDEX(부서매핑!$C$5:$C$504,MATCH($G4012&amp;"",부서매핑!$A$5:$A$504,0)),"미매핑"))</f>
        <v/>
      </c>
      <c r="O4012" s="9">
        <f>IF($A4012="","",N4012&amp;"|"&amp;$F4012)</f>
        <v/>
      </c>
      <c r="P4012" s="94">
        <f>IF($A4012="",0,$H4012*설정!$C$23)</f>
        <v/>
      </c>
      <c r="Q4012" s="64">
        <f>IF($A4012="","",IF(O4012&lt;&gt;원인분석!$C$9,"",IF(AND(M4012&gt;=원인분석!$C$10,M4012&lt;=원인분석!$C$11),"당기",IF(AND(M4012&gt;=원인분석!$C$12,M4012&lt;=원인분석!$C$13),"비교",""))))</f>
        <v/>
      </c>
      <c r="R4012" s="9">
        <f>IF(Q4012="","",$K4012&amp;"")</f>
        <v/>
      </c>
      <c r="S4012" s="9">
        <f>IF(Q4012="","",IF(MATCH(R4012,$R$5:$R$100000,0)=ROW()-4,ROW(),""))</f>
        <v/>
      </c>
      <c r="T4012" s="9">
        <f>IF(Q4012="당기",ABS(P4012)+ROW()/1000000000,"")</f>
        <v/>
      </c>
      <c r="U4012" s="9">
        <f>IF(Q4012="비교",ABS(P4012)+ROW()/1000000000,"")</f>
        <v/>
      </c>
      <c r="V4012" s="64">
        <f>IF($A4012="","",IF(COUNTIF(변동분석!$E$7:$E$506,O4012)&gt;0,"Y","N"))</f>
        <v/>
      </c>
      <c r="W4012" s="64">
        <f>IF($A4012="","",IFERROR(INDEX(계정매핑!$D$5:$D$504,MATCH($F4012&amp;"",계정매핑!$A$5:$A$504,0)),"미매핑"))</f>
        <v/>
      </c>
      <c r="X4012" s="9">
        <f>IF($A4012="","",$F4012&amp;"")</f>
        <v/>
      </c>
      <c r="Y4012" s="94">
        <f>IF($A4012="",0,IF(AE4012="직접",IF(AF4012="비귀속",$P4012,0),$P4012*(1-AG4012)*IFERROR(INDEX(계정대체기준!$F$20:$F$49,MATCH($N4012,계정대체기준!$A$20:$A$49,0)),1)))</f>
        <v/>
      </c>
      <c r="Z4012" s="94">
        <f>IF($A4012="",0,IF(AE4012="직접",IF(AF4012="신계약비",$P4012,0),$P4012*(1-AG4012)*IFERROR(INDEX(계정대체기준!$C$20:$C$49,MATCH($N4012,계정대체기준!$A$20:$A$49,0)),0)))</f>
        <v/>
      </c>
      <c r="AA4012" s="94">
        <f>IF($A4012="",0,IF(AE4012="직접",IF(OR(AF4012="유지비",AF4012="손해조사비"),$P4012,0),$P4012*(1-AG4012)*IFERROR(INDEX(계정대체기준!$D$20:$D$49,MATCH($N4012,계정대체기준!$A$20:$A$49,0)),0)))</f>
        <v/>
      </c>
      <c r="AB4012" s="94">
        <f>IF($A4012="",0,IF(AE4012="직접",IF(AF4012="수금비",$P4012,0),$P4012*(1-AG4012)*IFERROR(INDEX(계정대체기준!$E$20:$E$49,MATCH($N4012,계정대체기준!$A$20:$A$49,0)),0)))</f>
        <v/>
      </c>
      <c r="AC4012" s="9">
        <f>IF(AND($A4012&lt;&gt;"",M4012=설정!$C$20,Z4012&gt;0),Z4012+ROW()/1000000000,"")</f>
        <v/>
      </c>
      <c r="AD4012" s="94">
        <f>IF($A4012="",0,$P4012*AG4012)</f>
        <v/>
      </c>
      <c r="AE4012" s="64">
        <f>IF($A4012="","",IFERROR(INDEX(계정매핑!$E$5:$E$504,MATCH($F4012&amp;"",계정매핑!$A$5:$A$504,0))&amp;"","공통비"))</f>
        <v/>
      </c>
      <c r="AF4012" s="64">
        <f>IF($A4012="","",IF(AE4012="직접",IFERROR(INDEX(계정매핑!$F$5:$F$504,MATCH($F4012&amp;"",계정매핑!$A$5:$A$504,0))&amp;"","비귀속"),""))</f>
        <v/>
      </c>
      <c r="AG4012" s="96">
        <f>IF($A4012="",0,IF(AND(AE4012&lt;&gt;"직접",IFERROR(INDEX(계정매핑!$G$5:$G$504,MATCH($F4012&amp;"",계정매핑!$A$5:$A$504,0))&amp;"","")="유지비",COUNTIF(계정대체기준!$A$6:$A$15,$N4012)&gt;0),IFERROR(INDEX(계정대체기준!$E$6:$E$15,MATCH(VALUE($A4012&amp;""),계정대체기준!$D$6:$D$15,0)),0),0))</f>
        <v/>
      </c>
      <c r="AH4012" s="64">
        <f>IF($A4012="","",IF(AD4012=0,"",IF(OR(COUNTIF(계정대체기준!$A$77:$A$86,$N4012)&gt;0,ISNUMBER(MATCH($X4012,계정대체기준!$D$77:$D$86,0)),ISNUMBER(MATCH($F4012,계정대체기준!$D$77:$D$86,0))),"Y","N")))</f>
        <v/>
      </c>
    </row>
    <row r="4013">
      <c r="A4013" s="92" t="n">
        <v>2026</v>
      </c>
      <c r="B4013" s="92" t="n">
        <v>6</v>
      </c>
      <c r="C4013" s="92" t="inlineStr">
        <is>
          <t>5100001291</t>
        </is>
      </c>
      <c r="D4013" s="95" t="n">
        <v>46193</v>
      </c>
      <c r="E4013" s="92" t="inlineStr">
        <is>
          <t>KR</t>
        </is>
      </c>
      <c r="F4013" s="92" t="n">
        <v>62401000</v>
      </c>
      <c r="G4013" s="92" t="n">
        <v>1501</v>
      </c>
      <c r="H4013" s="93" t="n">
        <v>2431000</v>
      </c>
      <c r="I4013" s="92" t="inlineStr">
        <is>
          <t>6월 인쇄물 제작 - S출판</t>
        </is>
      </c>
      <c r="J4013" s="92" t="inlineStr">
        <is>
          <t>V10015</t>
        </is>
      </c>
      <c r="K4013" s="92" t="inlineStr">
        <is>
          <t>S출판</t>
        </is>
      </c>
      <c r="M4013" s="9">
        <f>IF($A4013="","",VALUE($A4013&amp;"")*12+VALUE($B4013&amp;""))</f>
        <v/>
      </c>
      <c r="N4013" s="64">
        <f>IF($A4013="","",IFERROR(INDEX(부서매핑!$C$5:$C$504,MATCH($G4013&amp;"",부서매핑!$A$5:$A$504,0)),"미매핑"))</f>
        <v/>
      </c>
      <c r="O4013" s="9">
        <f>IF($A4013="","",N4013&amp;"|"&amp;$F4013)</f>
        <v/>
      </c>
      <c r="P4013" s="94">
        <f>IF($A4013="",0,$H4013*설정!$C$23)</f>
        <v/>
      </c>
      <c r="Q4013" s="64">
        <f>IF($A4013="","",IF(O4013&lt;&gt;원인분석!$C$9,"",IF(AND(M4013&gt;=원인분석!$C$10,M4013&lt;=원인분석!$C$11),"당기",IF(AND(M4013&gt;=원인분석!$C$12,M4013&lt;=원인분석!$C$13),"비교",""))))</f>
        <v/>
      </c>
      <c r="R4013" s="9">
        <f>IF(Q4013="","",$K4013&amp;"")</f>
        <v/>
      </c>
      <c r="S4013" s="9">
        <f>IF(Q4013="","",IF(MATCH(R4013,$R$5:$R$100000,0)=ROW()-4,ROW(),""))</f>
        <v/>
      </c>
      <c r="T4013" s="9">
        <f>IF(Q4013="당기",ABS(P4013)+ROW()/1000000000,"")</f>
        <v/>
      </c>
      <c r="U4013" s="9">
        <f>IF(Q4013="비교",ABS(P4013)+ROW()/1000000000,"")</f>
        <v/>
      </c>
      <c r="V4013" s="64">
        <f>IF($A4013="","",IF(COUNTIF(변동분석!$E$7:$E$506,O4013)&gt;0,"Y","N"))</f>
        <v/>
      </c>
      <c r="W4013" s="64">
        <f>IF($A4013="","",IFERROR(INDEX(계정매핑!$D$5:$D$504,MATCH($F4013&amp;"",계정매핑!$A$5:$A$504,0)),"미매핑"))</f>
        <v/>
      </c>
      <c r="X4013" s="9">
        <f>IF($A4013="","",$F4013&amp;"")</f>
        <v/>
      </c>
      <c r="Y4013" s="94">
        <f>IF($A4013="",0,IF(AE4013="직접",IF(AF4013="비귀속",$P4013,0),$P4013*(1-AG4013)*IFERROR(INDEX(계정대체기준!$F$20:$F$49,MATCH($N4013,계정대체기준!$A$20:$A$49,0)),1)))</f>
        <v/>
      </c>
      <c r="Z4013" s="94">
        <f>IF($A4013="",0,IF(AE4013="직접",IF(AF4013="신계약비",$P4013,0),$P4013*(1-AG4013)*IFERROR(INDEX(계정대체기준!$C$20:$C$49,MATCH($N4013,계정대체기준!$A$20:$A$49,0)),0)))</f>
        <v/>
      </c>
      <c r="AA4013" s="94">
        <f>IF($A4013="",0,IF(AE4013="직접",IF(OR(AF4013="유지비",AF4013="손해조사비"),$P4013,0),$P4013*(1-AG4013)*IFERROR(INDEX(계정대체기준!$D$20:$D$49,MATCH($N4013,계정대체기준!$A$20:$A$49,0)),0)))</f>
        <v/>
      </c>
      <c r="AB4013" s="94">
        <f>IF($A4013="",0,IF(AE4013="직접",IF(AF4013="수금비",$P4013,0),$P4013*(1-AG4013)*IFERROR(INDEX(계정대체기준!$E$20:$E$49,MATCH($N4013,계정대체기준!$A$20:$A$49,0)),0)))</f>
        <v/>
      </c>
      <c r="AC4013" s="9">
        <f>IF(AND($A4013&lt;&gt;"",M4013=설정!$C$20,Z4013&gt;0),Z4013+ROW()/1000000000,"")</f>
        <v/>
      </c>
      <c r="AD4013" s="94">
        <f>IF($A4013="",0,$P4013*AG4013)</f>
        <v/>
      </c>
      <c r="AE4013" s="64">
        <f>IF($A4013="","",IFERROR(INDEX(계정매핑!$E$5:$E$504,MATCH($F4013&amp;"",계정매핑!$A$5:$A$504,0))&amp;"","공통비"))</f>
        <v/>
      </c>
      <c r="AF4013" s="64">
        <f>IF($A4013="","",IF(AE4013="직접",IFERROR(INDEX(계정매핑!$F$5:$F$504,MATCH($F4013&amp;"",계정매핑!$A$5:$A$504,0))&amp;"","비귀속"),""))</f>
        <v/>
      </c>
      <c r="AG4013" s="96">
        <f>IF($A4013="",0,IF(AND(AE4013&lt;&gt;"직접",IFERROR(INDEX(계정매핑!$G$5:$G$504,MATCH($F4013&amp;"",계정매핑!$A$5:$A$504,0))&amp;"","")="유지비",COUNTIF(계정대체기준!$A$6:$A$15,$N4013)&gt;0),IFERROR(INDEX(계정대체기준!$E$6:$E$15,MATCH(VALUE($A4013&amp;""),계정대체기준!$D$6:$D$15,0)),0),0))</f>
        <v/>
      </c>
      <c r="AH4013" s="64">
        <f>IF($A4013="","",IF(AD4013=0,"",IF(OR(COUNTIF(계정대체기준!$A$77:$A$86,$N4013)&gt;0,ISNUMBER(MATCH($X4013,계정대체기준!$D$77:$D$86,0)),ISNUMBER(MATCH($F4013,계정대체기준!$D$77:$D$86,0))),"Y","N")))</f>
        <v/>
      </c>
    </row>
    <row r="4014">
      <c r="A4014" s="92" t="n">
        <v>2026</v>
      </c>
      <c r="B4014" s="92" t="n">
        <v>6</v>
      </c>
      <c r="C4014" s="92" t="inlineStr">
        <is>
          <t>5100001292</t>
        </is>
      </c>
      <c r="D4014" s="95" t="n">
        <v>46193</v>
      </c>
      <c r="E4014" s="92" t="inlineStr">
        <is>
          <t>KR</t>
        </is>
      </c>
      <c r="F4014" s="92" t="n">
        <v>62501000</v>
      </c>
      <c r="G4014" s="92" t="n">
        <v>1301</v>
      </c>
      <c r="H4014" s="93" t="n">
        <v>327000</v>
      </c>
      <c r="I4014" s="92" t="inlineStr">
        <is>
          <t>6월 회의 다과 - (법인카드)</t>
        </is>
      </c>
      <c r="J4014" s="92" t="inlineStr">
        <is>
          <t>V10010</t>
        </is>
      </c>
      <c r="K4014" s="92" t="inlineStr">
        <is>
          <t>(법인카드)</t>
        </is>
      </c>
      <c r="M4014" s="9">
        <f>IF($A4014="","",VALUE($A4014&amp;"")*12+VALUE($B4014&amp;""))</f>
        <v/>
      </c>
      <c r="N4014" s="64">
        <f>IF($A4014="","",IFERROR(INDEX(부서매핑!$C$5:$C$504,MATCH($G4014&amp;"",부서매핑!$A$5:$A$504,0)),"미매핑"))</f>
        <v/>
      </c>
      <c r="O4014" s="9">
        <f>IF($A4014="","",N4014&amp;"|"&amp;$F4014)</f>
        <v/>
      </c>
      <c r="P4014" s="94">
        <f>IF($A4014="",0,$H4014*설정!$C$23)</f>
        <v/>
      </c>
      <c r="Q4014" s="64">
        <f>IF($A4014="","",IF(O4014&lt;&gt;원인분석!$C$9,"",IF(AND(M4014&gt;=원인분석!$C$10,M4014&lt;=원인분석!$C$11),"당기",IF(AND(M4014&gt;=원인분석!$C$12,M4014&lt;=원인분석!$C$13),"비교",""))))</f>
        <v/>
      </c>
      <c r="R4014" s="9">
        <f>IF(Q4014="","",$K4014&amp;"")</f>
        <v/>
      </c>
      <c r="S4014" s="9">
        <f>IF(Q4014="","",IF(MATCH(R4014,$R$5:$R$100000,0)=ROW()-4,ROW(),""))</f>
        <v/>
      </c>
      <c r="T4014" s="9">
        <f>IF(Q4014="당기",ABS(P4014)+ROW()/1000000000,"")</f>
        <v/>
      </c>
      <c r="U4014" s="9">
        <f>IF(Q4014="비교",ABS(P4014)+ROW()/1000000000,"")</f>
        <v/>
      </c>
      <c r="V4014" s="64">
        <f>IF($A4014="","",IF(COUNTIF(변동분석!$E$7:$E$506,O4014)&gt;0,"Y","N"))</f>
        <v/>
      </c>
      <c r="W4014" s="64">
        <f>IF($A4014="","",IFERROR(INDEX(계정매핑!$D$5:$D$504,MATCH($F4014&amp;"",계정매핑!$A$5:$A$504,0)),"미매핑"))</f>
        <v/>
      </c>
      <c r="X4014" s="9">
        <f>IF($A4014="","",$F4014&amp;"")</f>
        <v/>
      </c>
      <c r="Y4014" s="94">
        <f>IF($A4014="",0,IF(AE4014="직접",IF(AF4014="비귀속",$P4014,0),$P4014*(1-AG4014)*IFERROR(INDEX(계정대체기준!$F$20:$F$49,MATCH($N4014,계정대체기준!$A$20:$A$49,0)),1)))</f>
        <v/>
      </c>
      <c r="Z4014" s="94">
        <f>IF($A4014="",0,IF(AE4014="직접",IF(AF4014="신계약비",$P4014,0),$P4014*(1-AG4014)*IFERROR(INDEX(계정대체기준!$C$20:$C$49,MATCH($N4014,계정대체기준!$A$20:$A$49,0)),0)))</f>
        <v/>
      </c>
      <c r="AA4014" s="94">
        <f>IF($A4014="",0,IF(AE4014="직접",IF(OR(AF4014="유지비",AF4014="손해조사비"),$P4014,0),$P4014*(1-AG4014)*IFERROR(INDEX(계정대체기준!$D$20:$D$49,MATCH($N4014,계정대체기준!$A$20:$A$49,0)),0)))</f>
        <v/>
      </c>
      <c r="AB4014" s="94">
        <f>IF($A4014="",0,IF(AE4014="직접",IF(AF4014="수금비",$P4014,0),$P4014*(1-AG4014)*IFERROR(INDEX(계정대체기준!$E$20:$E$49,MATCH($N4014,계정대체기준!$A$20:$A$49,0)),0)))</f>
        <v/>
      </c>
      <c r="AC4014" s="9">
        <f>IF(AND($A4014&lt;&gt;"",M4014=설정!$C$20,Z4014&gt;0),Z4014+ROW()/1000000000,"")</f>
        <v/>
      </c>
      <c r="AD4014" s="94">
        <f>IF($A4014="",0,$P4014*AG4014)</f>
        <v/>
      </c>
      <c r="AE4014" s="64">
        <f>IF($A4014="","",IFERROR(INDEX(계정매핑!$E$5:$E$504,MATCH($F4014&amp;"",계정매핑!$A$5:$A$504,0))&amp;"","공통비"))</f>
        <v/>
      </c>
      <c r="AF4014" s="64">
        <f>IF($A4014="","",IF(AE4014="직접",IFERROR(INDEX(계정매핑!$F$5:$F$504,MATCH($F4014&amp;"",계정매핑!$A$5:$A$504,0))&amp;"","비귀속"),""))</f>
        <v/>
      </c>
      <c r="AG4014" s="96">
        <f>IF($A4014="",0,IF(AND(AE4014&lt;&gt;"직접",IFERROR(INDEX(계정매핑!$G$5:$G$504,MATCH($F4014&amp;"",계정매핑!$A$5:$A$504,0))&amp;"","")="유지비",COUNTIF(계정대체기준!$A$6:$A$15,$N4014)&gt;0),IFERROR(INDEX(계정대체기준!$E$6:$E$15,MATCH(VALUE($A4014&amp;""),계정대체기준!$D$6:$D$15,0)),0),0))</f>
        <v/>
      </c>
      <c r="AH4014" s="64">
        <f>IF($A4014="","",IF(AD4014=0,"",IF(OR(COUNTIF(계정대체기준!$A$77:$A$86,$N4014)&gt;0,ISNUMBER(MATCH($X4014,계정대체기준!$D$77:$D$86,0)),ISNUMBER(MATCH($F4014,계정대체기준!$D$77:$D$86,0))),"Y","N")))</f>
        <v/>
      </c>
    </row>
    <row r="4015">
      <c r="A4015" s="92" t="n">
        <v>2026</v>
      </c>
      <c r="B4015" s="92" t="n">
        <v>6</v>
      </c>
      <c r="C4015" s="92" t="inlineStr">
        <is>
          <t>5100001293</t>
        </is>
      </c>
      <c r="D4015" s="95" t="n">
        <v>46193</v>
      </c>
      <c r="E4015" s="92" t="inlineStr">
        <is>
          <t>KR</t>
        </is>
      </c>
      <c r="F4015" s="92" t="n">
        <v>62901000</v>
      </c>
      <c r="G4015" s="92" t="n">
        <v>1201</v>
      </c>
      <c r="H4015" s="93" t="n">
        <v>5322000</v>
      </c>
      <c r="I4015" s="92" t="inlineStr">
        <is>
          <t>6월 자문 수수료 - W컨설팅</t>
        </is>
      </c>
      <c r="J4015" s="92" t="inlineStr">
        <is>
          <t>V10006</t>
        </is>
      </c>
      <c r="K4015" s="92" t="inlineStr">
        <is>
          <t>W컨설팅</t>
        </is>
      </c>
      <c r="M4015" s="9">
        <f>IF($A4015="","",VALUE($A4015&amp;"")*12+VALUE($B4015&amp;""))</f>
        <v/>
      </c>
      <c r="N4015" s="64">
        <f>IF($A4015="","",IFERROR(INDEX(부서매핑!$C$5:$C$504,MATCH($G4015&amp;"",부서매핑!$A$5:$A$504,0)),"미매핑"))</f>
        <v/>
      </c>
      <c r="O4015" s="9">
        <f>IF($A4015="","",N4015&amp;"|"&amp;$F4015)</f>
        <v/>
      </c>
      <c r="P4015" s="94">
        <f>IF($A4015="",0,$H4015*설정!$C$23)</f>
        <v/>
      </c>
      <c r="Q4015" s="64">
        <f>IF($A4015="","",IF(O4015&lt;&gt;원인분석!$C$9,"",IF(AND(M4015&gt;=원인분석!$C$10,M4015&lt;=원인분석!$C$11),"당기",IF(AND(M4015&gt;=원인분석!$C$12,M4015&lt;=원인분석!$C$13),"비교",""))))</f>
        <v/>
      </c>
      <c r="R4015" s="9">
        <f>IF(Q4015="","",$K4015&amp;"")</f>
        <v/>
      </c>
      <c r="S4015" s="9">
        <f>IF(Q4015="","",IF(MATCH(R4015,$R$5:$R$100000,0)=ROW()-4,ROW(),""))</f>
        <v/>
      </c>
      <c r="T4015" s="9">
        <f>IF(Q4015="당기",ABS(P4015)+ROW()/1000000000,"")</f>
        <v/>
      </c>
      <c r="U4015" s="9">
        <f>IF(Q4015="비교",ABS(P4015)+ROW()/1000000000,"")</f>
        <v/>
      </c>
      <c r="V4015" s="64">
        <f>IF($A4015="","",IF(COUNTIF(변동분석!$E$7:$E$506,O4015)&gt;0,"Y","N"))</f>
        <v/>
      </c>
      <c r="W4015" s="64">
        <f>IF($A4015="","",IFERROR(INDEX(계정매핑!$D$5:$D$504,MATCH($F4015&amp;"",계정매핑!$A$5:$A$504,0)),"미매핑"))</f>
        <v/>
      </c>
      <c r="X4015" s="9">
        <f>IF($A4015="","",$F4015&amp;"")</f>
        <v/>
      </c>
      <c r="Y4015" s="94">
        <f>IF($A4015="",0,IF(AE4015="직접",IF(AF4015="비귀속",$P4015,0),$P4015*(1-AG4015)*IFERROR(INDEX(계정대체기준!$F$20:$F$49,MATCH($N4015,계정대체기준!$A$20:$A$49,0)),1)))</f>
        <v/>
      </c>
      <c r="Z4015" s="94">
        <f>IF($A4015="",0,IF(AE4015="직접",IF(AF4015="신계약비",$P4015,0),$P4015*(1-AG4015)*IFERROR(INDEX(계정대체기준!$C$20:$C$49,MATCH($N4015,계정대체기준!$A$20:$A$49,0)),0)))</f>
        <v/>
      </c>
      <c r="AA4015" s="94">
        <f>IF($A4015="",0,IF(AE4015="직접",IF(OR(AF4015="유지비",AF4015="손해조사비"),$P4015,0),$P4015*(1-AG4015)*IFERROR(INDEX(계정대체기준!$D$20:$D$49,MATCH($N4015,계정대체기준!$A$20:$A$49,0)),0)))</f>
        <v/>
      </c>
      <c r="AB4015" s="94">
        <f>IF($A4015="",0,IF(AE4015="직접",IF(AF4015="수금비",$P4015,0),$P4015*(1-AG4015)*IFERROR(INDEX(계정대체기준!$E$20:$E$49,MATCH($N4015,계정대체기준!$A$20:$A$49,0)),0)))</f>
        <v/>
      </c>
      <c r="AC4015" s="9">
        <f>IF(AND($A4015&lt;&gt;"",M4015=설정!$C$20,Z4015&gt;0),Z4015+ROW()/1000000000,"")</f>
        <v/>
      </c>
      <c r="AD4015" s="94">
        <f>IF($A4015="",0,$P4015*AG4015)</f>
        <v/>
      </c>
      <c r="AE4015" s="64">
        <f>IF($A4015="","",IFERROR(INDEX(계정매핑!$E$5:$E$504,MATCH($F4015&amp;"",계정매핑!$A$5:$A$504,0))&amp;"","공통비"))</f>
        <v/>
      </c>
      <c r="AF4015" s="64">
        <f>IF($A4015="","",IF(AE4015="직접",IFERROR(INDEX(계정매핑!$F$5:$F$504,MATCH($F4015&amp;"",계정매핑!$A$5:$A$504,0))&amp;"","비귀속"),""))</f>
        <v/>
      </c>
      <c r="AG4015" s="96">
        <f>IF($A4015="",0,IF(AND(AE4015&lt;&gt;"직접",IFERROR(INDEX(계정매핑!$G$5:$G$504,MATCH($F4015&amp;"",계정매핑!$A$5:$A$504,0))&amp;"","")="유지비",COUNTIF(계정대체기준!$A$6:$A$15,$N4015)&gt;0),IFERROR(INDEX(계정대체기준!$E$6:$E$15,MATCH(VALUE($A4015&amp;""),계정대체기준!$D$6:$D$15,0)),0),0))</f>
        <v/>
      </c>
      <c r="AH4015" s="64">
        <f>IF($A4015="","",IF(AD4015=0,"",IF(OR(COUNTIF(계정대체기준!$A$77:$A$86,$N4015)&gt;0,ISNUMBER(MATCH($X4015,계정대체기준!$D$77:$D$86,0)),ISNUMBER(MATCH($F4015,계정대체기준!$D$77:$D$86,0))),"Y","N")))</f>
        <v/>
      </c>
    </row>
    <row r="4016">
      <c r="A4016" s="92" t="n">
        <v>2026</v>
      </c>
      <c r="B4016" s="92" t="n">
        <v>6</v>
      </c>
      <c r="C4016" s="92" t="inlineStr">
        <is>
          <t>5100001294</t>
        </is>
      </c>
      <c r="D4016" s="95" t="n">
        <v>46193</v>
      </c>
      <c r="E4016" s="92" t="inlineStr">
        <is>
          <t>KR</t>
        </is>
      </c>
      <c r="F4016" s="92" t="n">
        <v>63502000</v>
      </c>
      <c r="G4016" s="92" t="n">
        <v>1902</v>
      </c>
      <c r="H4016" s="93" t="n">
        <v>259088000</v>
      </c>
      <c r="I4016" s="92" t="inlineStr">
        <is>
          <t>6월 유지수수료 - (전속설계사)</t>
        </is>
      </c>
      <c r="J4016" s="92" t="inlineStr">
        <is>
          <t>V10021</t>
        </is>
      </c>
      <c r="K4016" s="92" t="inlineStr">
        <is>
          <t>(전속설계사)</t>
        </is>
      </c>
      <c r="M4016" s="9">
        <f>IF($A4016="","",VALUE($A4016&amp;"")*12+VALUE($B4016&amp;""))</f>
        <v/>
      </c>
      <c r="N4016" s="64">
        <f>IF($A4016="","",IFERROR(INDEX(부서매핑!$C$5:$C$504,MATCH($G4016&amp;"",부서매핑!$A$5:$A$504,0)),"미매핑"))</f>
        <v/>
      </c>
      <c r="O4016" s="9">
        <f>IF($A4016="","",N4016&amp;"|"&amp;$F4016)</f>
        <v/>
      </c>
      <c r="P4016" s="94">
        <f>IF($A4016="",0,$H4016*설정!$C$23)</f>
        <v/>
      </c>
      <c r="Q4016" s="64">
        <f>IF($A4016="","",IF(O4016&lt;&gt;원인분석!$C$9,"",IF(AND(M4016&gt;=원인분석!$C$10,M4016&lt;=원인분석!$C$11),"당기",IF(AND(M4016&gt;=원인분석!$C$12,M4016&lt;=원인분석!$C$13),"비교",""))))</f>
        <v/>
      </c>
      <c r="R4016" s="9">
        <f>IF(Q4016="","",$K4016&amp;"")</f>
        <v/>
      </c>
      <c r="S4016" s="9">
        <f>IF(Q4016="","",IF(MATCH(R4016,$R$5:$R$100000,0)=ROW()-4,ROW(),""))</f>
        <v/>
      </c>
      <c r="T4016" s="9">
        <f>IF(Q4016="당기",ABS(P4016)+ROW()/1000000000,"")</f>
        <v/>
      </c>
      <c r="U4016" s="9">
        <f>IF(Q4016="비교",ABS(P4016)+ROW()/1000000000,"")</f>
        <v/>
      </c>
      <c r="V4016" s="64">
        <f>IF($A4016="","",IF(COUNTIF(변동분석!$E$7:$E$506,O4016)&gt;0,"Y","N"))</f>
        <v/>
      </c>
      <c r="W4016" s="64">
        <f>IF($A4016="","",IFERROR(INDEX(계정매핑!$D$5:$D$504,MATCH($F4016&amp;"",계정매핑!$A$5:$A$504,0)),"미매핑"))</f>
        <v/>
      </c>
      <c r="X4016" s="9">
        <f>IF($A4016="","",$F4016&amp;"")</f>
        <v/>
      </c>
      <c r="Y4016" s="94">
        <f>IF($A4016="",0,IF(AE4016="직접",IF(AF4016="비귀속",$P4016,0),$P4016*(1-AG4016)*IFERROR(INDEX(계정대체기준!$F$20:$F$49,MATCH($N4016,계정대체기준!$A$20:$A$49,0)),1)))</f>
        <v/>
      </c>
      <c r="Z4016" s="94">
        <f>IF($A4016="",0,IF(AE4016="직접",IF(AF4016="신계약비",$P4016,0),$P4016*(1-AG4016)*IFERROR(INDEX(계정대체기준!$C$20:$C$49,MATCH($N4016,계정대체기준!$A$20:$A$49,0)),0)))</f>
        <v/>
      </c>
      <c r="AA4016" s="94">
        <f>IF($A4016="",0,IF(AE4016="직접",IF(OR(AF4016="유지비",AF4016="손해조사비"),$P4016,0),$P4016*(1-AG4016)*IFERROR(INDEX(계정대체기준!$D$20:$D$49,MATCH($N4016,계정대체기준!$A$20:$A$49,0)),0)))</f>
        <v/>
      </c>
      <c r="AB4016" s="94">
        <f>IF($A4016="",0,IF(AE4016="직접",IF(AF4016="수금비",$P4016,0),$P4016*(1-AG4016)*IFERROR(INDEX(계정대체기준!$E$20:$E$49,MATCH($N4016,계정대체기준!$A$20:$A$49,0)),0)))</f>
        <v/>
      </c>
      <c r="AC4016" s="9">
        <f>IF(AND($A4016&lt;&gt;"",M4016=설정!$C$20,Z4016&gt;0),Z4016+ROW()/1000000000,"")</f>
        <v/>
      </c>
      <c r="AD4016" s="94">
        <f>IF($A4016="",0,$P4016*AG4016)</f>
        <v/>
      </c>
      <c r="AE4016" s="64">
        <f>IF($A4016="","",IFERROR(INDEX(계정매핑!$E$5:$E$504,MATCH($F4016&amp;"",계정매핑!$A$5:$A$504,0))&amp;"","공통비"))</f>
        <v/>
      </c>
      <c r="AF4016" s="64">
        <f>IF($A4016="","",IF(AE4016="직접",IFERROR(INDEX(계정매핑!$F$5:$F$504,MATCH($F4016&amp;"",계정매핑!$A$5:$A$504,0))&amp;"","비귀속"),""))</f>
        <v/>
      </c>
      <c r="AG4016" s="96">
        <f>IF($A4016="",0,IF(AND(AE4016&lt;&gt;"직접",IFERROR(INDEX(계정매핑!$G$5:$G$504,MATCH($F4016&amp;"",계정매핑!$A$5:$A$504,0))&amp;"","")="유지비",COUNTIF(계정대체기준!$A$6:$A$15,$N4016)&gt;0),IFERROR(INDEX(계정대체기준!$E$6:$E$15,MATCH(VALUE($A4016&amp;""),계정대체기준!$D$6:$D$15,0)),0),0))</f>
        <v/>
      </c>
      <c r="AH4016" s="64">
        <f>IF($A4016="","",IF(AD4016=0,"",IF(OR(COUNTIF(계정대체기준!$A$77:$A$86,$N4016)&gt;0,ISNUMBER(MATCH($X4016,계정대체기준!$D$77:$D$86,0)),ISNUMBER(MATCH($F4016,계정대체기준!$D$77:$D$86,0))),"Y","N")))</f>
        <v/>
      </c>
    </row>
    <row r="4017">
      <c r="A4017" s="92" t="n">
        <v>2026</v>
      </c>
      <c r="B4017" s="92" t="n">
        <v>6</v>
      </c>
      <c r="C4017" s="92" t="inlineStr">
        <is>
          <t>5100001295</t>
        </is>
      </c>
      <c r="D4017" s="95" t="n">
        <v>46194</v>
      </c>
      <c r="E4017" s="92" t="inlineStr">
        <is>
          <t>KR</t>
        </is>
      </c>
      <c r="F4017" s="92" t="n">
        <v>62201000</v>
      </c>
      <c r="G4017" s="92" t="n">
        <v>1601</v>
      </c>
      <c r="H4017" s="93" t="n">
        <v>759000</v>
      </c>
      <c r="I4017" s="92" t="inlineStr">
        <is>
          <t>6월 통신요금 - P통신</t>
        </is>
      </c>
      <c r="J4017" s="92" t="inlineStr">
        <is>
          <t>V10014</t>
        </is>
      </c>
      <c r="K4017" s="92" t="inlineStr">
        <is>
          <t>P통신</t>
        </is>
      </c>
      <c r="M4017" s="9">
        <f>IF($A4017="","",VALUE($A4017&amp;"")*12+VALUE($B4017&amp;""))</f>
        <v/>
      </c>
      <c r="N4017" s="64">
        <f>IF($A4017="","",IFERROR(INDEX(부서매핑!$C$5:$C$504,MATCH($G4017&amp;"",부서매핑!$A$5:$A$504,0)),"미매핑"))</f>
        <v/>
      </c>
      <c r="O4017" s="9">
        <f>IF($A4017="","",N4017&amp;"|"&amp;$F4017)</f>
        <v/>
      </c>
      <c r="P4017" s="94">
        <f>IF($A4017="",0,$H4017*설정!$C$23)</f>
        <v/>
      </c>
      <c r="Q4017" s="64">
        <f>IF($A4017="","",IF(O4017&lt;&gt;원인분석!$C$9,"",IF(AND(M4017&gt;=원인분석!$C$10,M4017&lt;=원인분석!$C$11),"당기",IF(AND(M4017&gt;=원인분석!$C$12,M4017&lt;=원인분석!$C$13),"비교",""))))</f>
        <v/>
      </c>
      <c r="R4017" s="9">
        <f>IF(Q4017="","",$K4017&amp;"")</f>
        <v/>
      </c>
      <c r="S4017" s="9">
        <f>IF(Q4017="","",IF(MATCH(R4017,$R$5:$R$100000,0)=ROW()-4,ROW(),""))</f>
        <v/>
      </c>
      <c r="T4017" s="9">
        <f>IF(Q4017="당기",ABS(P4017)+ROW()/1000000000,"")</f>
        <v/>
      </c>
      <c r="U4017" s="9">
        <f>IF(Q4017="비교",ABS(P4017)+ROW()/1000000000,"")</f>
        <v/>
      </c>
      <c r="V4017" s="64">
        <f>IF($A4017="","",IF(COUNTIF(변동분석!$E$7:$E$506,O4017)&gt;0,"Y","N"))</f>
        <v/>
      </c>
      <c r="W4017" s="64">
        <f>IF($A4017="","",IFERROR(INDEX(계정매핑!$D$5:$D$504,MATCH($F4017&amp;"",계정매핑!$A$5:$A$504,0)),"미매핑"))</f>
        <v/>
      </c>
      <c r="X4017" s="9">
        <f>IF($A4017="","",$F4017&amp;"")</f>
        <v/>
      </c>
      <c r="Y4017" s="94">
        <f>IF($A4017="",0,IF(AE4017="직접",IF(AF4017="비귀속",$P4017,0),$P4017*(1-AG4017)*IFERROR(INDEX(계정대체기준!$F$20:$F$49,MATCH($N4017,계정대체기준!$A$20:$A$49,0)),1)))</f>
        <v/>
      </c>
      <c r="Z4017" s="94">
        <f>IF($A4017="",0,IF(AE4017="직접",IF(AF4017="신계약비",$P4017,0),$P4017*(1-AG4017)*IFERROR(INDEX(계정대체기준!$C$20:$C$49,MATCH($N4017,계정대체기준!$A$20:$A$49,0)),0)))</f>
        <v/>
      </c>
      <c r="AA4017" s="94">
        <f>IF($A4017="",0,IF(AE4017="직접",IF(OR(AF4017="유지비",AF4017="손해조사비"),$P4017,0),$P4017*(1-AG4017)*IFERROR(INDEX(계정대체기준!$D$20:$D$49,MATCH($N4017,계정대체기준!$A$20:$A$49,0)),0)))</f>
        <v/>
      </c>
      <c r="AB4017" s="94">
        <f>IF($A4017="",0,IF(AE4017="직접",IF(AF4017="수금비",$P4017,0),$P4017*(1-AG4017)*IFERROR(INDEX(계정대체기준!$E$20:$E$49,MATCH($N4017,계정대체기준!$A$20:$A$49,0)),0)))</f>
        <v/>
      </c>
      <c r="AC4017" s="9">
        <f>IF(AND($A4017&lt;&gt;"",M4017=설정!$C$20,Z4017&gt;0),Z4017+ROW()/1000000000,"")</f>
        <v/>
      </c>
      <c r="AD4017" s="94">
        <f>IF($A4017="",0,$P4017*AG4017)</f>
        <v/>
      </c>
      <c r="AE4017" s="64">
        <f>IF($A4017="","",IFERROR(INDEX(계정매핑!$E$5:$E$504,MATCH($F4017&amp;"",계정매핑!$A$5:$A$504,0))&amp;"","공통비"))</f>
        <v/>
      </c>
      <c r="AF4017" s="64">
        <f>IF($A4017="","",IF(AE4017="직접",IFERROR(INDEX(계정매핑!$F$5:$F$504,MATCH($F4017&amp;"",계정매핑!$A$5:$A$504,0))&amp;"","비귀속"),""))</f>
        <v/>
      </c>
      <c r="AG4017" s="96">
        <f>IF($A4017="",0,IF(AND(AE4017&lt;&gt;"직접",IFERROR(INDEX(계정매핑!$G$5:$G$504,MATCH($F4017&amp;"",계정매핑!$A$5:$A$504,0))&amp;"","")="유지비",COUNTIF(계정대체기준!$A$6:$A$15,$N4017)&gt;0),IFERROR(INDEX(계정대체기준!$E$6:$E$15,MATCH(VALUE($A4017&amp;""),계정대체기준!$D$6:$D$15,0)),0),0))</f>
        <v/>
      </c>
      <c r="AH4017" s="64">
        <f>IF($A4017="","",IF(AD4017=0,"",IF(OR(COUNTIF(계정대체기준!$A$77:$A$86,$N4017)&gt;0,ISNUMBER(MATCH($X4017,계정대체기준!$D$77:$D$86,0)),ISNUMBER(MATCH($F4017,계정대체기준!$D$77:$D$86,0))),"Y","N")))</f>
        <v/>
      </c>
    </row>
    <row r="4018">
      <c r="A4018" s="92" t="n">
        <v>2026</v>
      </c>
      <c r="B4018" s="92" t="n">
        <v>6</v>
      </c>
      <c r="C4018" s="92" t="inlineStr">
        <is>
          <t>5100001296</t>
        </is>
      </c>
      <c r="D4018" s="95" t="n">
        <v>46194</v>
      </c>
      <c r="E4018" s="92" t="inlineStr">
        <is>
          <t>KR</t>
        </is>
      </c>
      <c r="F4018" s="92" t="n">
        <v>62301000</v>
      </c>
      <c r="G4018" s="92" t="n">
        <v>1801</v>
      </c>
      <c r="H4018" s="93" t="n">
        <v>358000</v>
      </c>
      <c r="I4018" s="92" t="inlineStr">
        <is>
          <t>6월 소모품 구입 - R문구</t>
        </is>
      </c>
      <c r="J4018" s="92" t="inlineStr">
        <is>
          <t>V10022</t>
        </is>
      </c>
      <c r="K4018" s="92" t="inlineStr">
        <is>
          <t>R문구</t>
        </is>
      </c>
      <c r="M4018" s="9">
        <f>IF($A4018="","",VALUE($A4018&amp;"")*12+VALUE($B4018&amp;""))</f>
        <v/>
      </c>
      <c r="N4018" s="64">
        <f>IF($A4018="","",IFERROR(INDEX(부서매핑!$C$5:$C$504,MATCH($G4018&amp;"",부서매핑!$A$5:$A$504,0)),"미매핑"))</f>
        <v/>
      </c>
      <c r="O4018" s="9">
        <f>IF($A4018="","",N4018&amp;"|"&amp;$F4018)</f>
        <v/>
      </c>
      <c r="P4018" s="94">
        <f>IF($A4018="",0,$H4018*설정!$C$23)</f>
        <v/>
      </c>
      <c r="Q4018" s="64">
        <f>IF($A4018="","",IF(O4018&lt;&gt;원인분석!$C$9,"",IF(AND(M4018&gt;=원인분석!$C$10,M4018&lt;=원인분석!$C$11),"당기",IF(AND(M4018&gt;=원인분석!$C$12,M4018&lt;=원인분석!$C$13),"비교",""))))</f>
        <v/>
      </c>
      <c r="R4018" s="9">
        <f>IF(Q4018="","",$K4018&amp;"")</f>
        <v/>
      </c>
      <c r="S4018" s="9">
        <f>IF(Q4018="","",IF(MATCH(R4018,$R$5:$R$100000,0)=ROW()-4,ROW(),""))</f>
        <v/>
      </c>
      <c r="T4018" s="9">
        <f>IF(Q4018="당기",ABS(P4018)+ROW()/1000000000,"")</f>
        <v/>
      </c>
      <c r="U4018" s="9">
        <f>IF(Q4018="비교",ABS(P4018)+ROW()/1000000000,"")</f>
        <v/>
      </c>
      <c r="V4018" s="64">
        <f>IF($A4018="","",IF(COUNTIF(변동분석!$E$7:$E$506,O4018)&gt;0,"Y","N"))</f>
        <v/>
      </c>
      <c r="W4018" s="64">
        <f>IF($A4018="","",IFERROR(INDEX(계정매핑!$D$5:$D$504,MATCH($F4018&amp;"",계정매핑!$A$5:$A$504,0)),"미매핑"))</f>
        <v/>
      </c>
      <c r="X4018" s="9">
        <f>IF($A4018="","",$F4018&amp;"")</f>
        <v/>
      </c>
      <c r="Y4018" s="94">
        <f>IF($A4018="",0,IF(AE4018="직접",IF(AF4018="비귀속",$P4018,0),$P4018*(1-AG4018)*IFERROR(INDEX(계정대체기준!$F$20:$F$49,MATCH($N4018,계정대체기준!$A$20:$A$49,0)),1)))</f>
        <v/>
      </c>
      <c r="Z4018" s="94">
        <f>IF($A4018="",0,IF(AE4018="직접",IF(AF4018="신계약비",$P4018,0),$P4018*(1-AG4018)*IFERROR(INDEX(계정대체기준!$C$20:$C$49,MATCH($N4018,계정대체기준!$A$20:$A$49,0)),0)))</f>
        <v/>
      </c>
      <c r="AA4018" s="94">
        <f>IF($A4018="",0,IF(AE4018="직접",IF(OR(AF4018="유지비",AF4018="손해조사비"),$P4018,0),$P4018*(1-AG4018)*IFERROR(INDEX(계정대체기준!$D$20:$D$49,MATCH($N4018,계정대체기준!$A$20:$A$49,0)),0)))</f>
        <v/>
      </c>
      <c r="AB4018" s="94">
        <f>IF($A4018="",0,IF(AE4018="직접",IF(AF4018="수금비",$P4018,0),$P4018*(1-AG4018)*IFERROR(INDEX(계정대체기준!$E$20:$E$49,MATCH($N4018,계정대체기준!$A$20:$A$49,0)),0)))</f>
        <v/>
      </c>
      <c r="AC4018" s="9">
        <f>IF(AND($A4018&lt;&gt;"",M4018=설정!$C$20,Z4018&gt;0),Z4018+ROW()/1000000000,"")</f>
        <v/>
      </c>
      <c r="AD4018" s="94">
        <f>IF($A4018="",0,$P4018*AG4018)</f>
        <v/>
      </c>
      <c r="AE4018" s="64">
        <f>IF($A4018="","",IFERROR(INDEX(계정매핑!$E$5:$E$504,MATCH($F4018&amp;"",계정매핑!$A$5:$A$504,0))&amp;"","공통비"))</f>
        <v/>
      </c>
      <c r="AF4018" s="64">
        <f>IF($A4018="","",IF(AE4018="직접",IFERROR(INDEX(계정매핑!$F$5:$F$504,MATCH($F4018&amp;"",계정매핑!$A$5:$A$504,0))&amp;"","비귀속"),""))</f>
        <v/>
      </c>
      <c r="AG4018" s="96">
        <f>IF($A4018="",0,IF(AND(AE4018&lt;&gt;"직접",IFERROR(INDEX(계정매핑!$G$5:$G$504,MATCH($F4018&amp;"",계정매핑!$A$5:$A$504,0))&amp;"","")="유지비",COUNTIF(계정대체기준!$A$6:$A$15,$N4018)&gt;0),IFERROR(INDEX(계정대체기준!$E$6:$E$15,MATCH(VALUE($A4018&amp;""),계정대체기준!$D$6:$D$15,0)),0),0))</f>
        <v/>
      </c>
      <c r="AH4018" s="64">
        <f>IF($A4018="","",IF(AD4018=0,"",IF(OR(COUNTIF(계정대체기준!$A$77:$A$86,$N4018)&gt;0,ISNUMBER(MATCH($X4018,계정대체기준!$D$77:$D$86,0)),ISNUMBER(MATCH($F4018,계정대체기준!$D$77:$D$86,0))),"Y","N")))</f>
        <v/>
      </c>
    </row>
    <row r="4019">
      <c r="A4019" s="92" t="n">
        <v>2026</v>
      </c>
      <c r="B4019" s="92" t="n">
        <v>6</v>
      </c>
      <c r="C4019" s="92" t="inlineStr">
        <is>
          <t>5100001297</t>
        </is>
      </c>
      <c r="D4019" s="95" t="n">
        <v>46194</v>
      </c>
      <c r="E4019" s="92" t="inlineStr">
        <is>
          <t>KR</t>
        </is>
      </c>
      <c r="F4019" s="92" t="n">
        <v>62501000</v>
      </c>
      <c r="G4019" s="92" t="n">
        <v>1501</v>
      </c>
      <c r="H4019" s="93" t="n">
        <v>457000</v>
      </c>
      <c r="I4019" s="92" t="inlineStr">
        <is>
          <t>6월 회의 다과 - T케이터링</t>
        </is>
      </c>
      <c r="J4019" s="92" t="inlineStr">
        <is>
          <t>V10005</t>
        </is>
      </c>
      <c r="K4019" s="92" t="inlineStr">
        <is>
          <t>T케이터링</t>
        </is>
      </c>
      <c r="M4019" s="9">
        <f>IF($A4019="","",VALUE($A4019&amp;"")*12+VALUE($B4019&amp;""))</f>
        <v/>
      </c>
      <c r="N4019" s="64">
        <f>IF($A4019="","",IFERROR(INDEX(부서매핑!$C$5:$C$504,MATCH($G4019&amp;"",부서매핑!$A$5:$A$504,0)),"미매핑"))</f>
        <v/>
      </c>
      <c r="O4019" s="9">
        <f>IF($A4019="","",N4019&amp;"|"&amp;$F4019)</f>
        <v/>
      </c>
      <c r="P4019" s="94">
        <f>IF($A4019="",0,$H4019*설정!$C$23)</f>
        <v/>
      </c>
      <c r="Q4019" s="64">
        <f>IF($A4019="","",IF(O4019&lt;&gt;원인분석!$C$9,"",IF(AND(M4019&gt;=원인분석!$C$10,M4019&lt;=원인분석!$C$11),"당기",IF(AND(M4019&gt;=원인분석!$C$12,M4019&lt;=원인분석!$C$13),"비교",""))))</f>
        <v/>
      </c>
      <c r="R4019" s="9">
        <f>IF(Q4019="","",$K4019&amp;"")</f>
        <v/>
      </c>
      <c r="S4019" s="9">
        <f>IF(Q4019="","",IF(MATCH(R4019,$R$5:$R$100000,0)=ROW()-4,ROW(),""))</f>
        <v/>
      </c>
      <c r="T4019" s="9">
        <f>IF(Q4019="당기",ABS(P4019)+ROW()/1000000000,"")</f>
        <v/>
      </c>
      <c r="U4019" s="9">
        <f>IF(Q4019="비교",ABS(P4019)+ROW()/1000000000,"")</f>
        <v/>
      </c>
      <c r="V4019" s="64">
        <f>IF($A4019="","",IF(COUNTIF(변동분석!$E$7:$E$506,O4019)&gt;0,"Y","N"))</f>
        <v/>
      </c>
      <c r="W4019" s="64">
        <f>IF($A4019="","",IFERROR(INDEX(계정매핑!$D$5:$D$504,MATCH($F4019&amp;"",계정매핑!$A$5:$A$504,0)),"미매핑"))</f>
        <v/>
      </c>
      <c r="X4019" s="9">
        <f>IF($A4019="","",$F4019&amp;"")</f>
        <v/>
      </c>
      <c r="Y4019" s="94">
        <f>IF($A4019="",0,IF(AE4019="직접",IF(AF4019="비귀속",$P4019,0),$P4019*(1-AG4019)*IFERROR(INDEX(계정대체기준!$F$20:$F$49,MATCH($N4019,계정대체기준!$A$20:$A$49,0)),1)))</f>
        <v/>
      </c>
      <c r="Z4019" s="94">
        <f>IF($A4019="",0,IF(AE4019="직접",IF(AF4019="신계약비",$P4019,0),$P4019*(1-AG4019)*IFERROR(INDEX(계정대체기준!$C$20:$C$49,MATCH($N4019,계정대체기준!$A$20:$A$49,0)),0)))</f>
        <v/>
      </c>
      <c r="AA4019" s="94">
        <f>IF($A4019="",0,IF(AE4019="직접",IF(OR(AF4019="유지비",AF4019="손해조사비"),$P4019,0),$P4019*(1-AG4019)*IFERROR(INDEX(계정대체기준!$D$20:$D$49,MATCH($N4019,계정대체기준!$A$20:$A$49,0)),0)))</f>
        <v/>
      </c>
      <c r="AB4019" s="94">
        <f>IF($A4019="",0,IF(AE4019="직접",IF(AF4019="수금비",$P4019,0),$P4019*(1-AG4019)*IFERROR(INDEX(계정대체기준!$E$20:$E$49,MATCH($N4019,계정대체기준!$A$20:$A$49,0)),0)))</f>
        <v/>
      </c>
      <c r="AC4019" s="9">
        <f>IF(AND($A4019&lt;&gt;"",M4019=설정!$C$20,Z4019&gt;0),Z4019+ROW()/1000000000,"")</f>
        <v/>
      </c>
      <c r="AD4019" s="94">
        <f>IF($A4019="",0,$P4019*AG4019)</f>
        <v/>
      </c>
      <c r="AE4019" s="64">
        <f>IF($A4019="","",IFERROR(INDEX(계정매핑!$E$5:$E$504,MATCH($F4019&amp;"",계정매핑!$A$5:$A$504,0))&amp;"","공통비"))</f>
        <v/>
      </c>
      <c r="AF4019" s="64">
        <f>IF($A4019="","",IF(AE4019="직접",IFERROR(INDEX(계정매핑!$F$5:$F$504,MATCH($F4019&amp;"",계정매핑!$A$5:$A$504,0))&amp;"","비귀속"),""))</f>
        <v/>
      </c>
      <c r="AG4019" s="96">
        <f>IF($A4019="",0,IF(AND(AE4019&lt;&gt;"직접",IFERROR(INDEX(계정매핑!$G$5:$G$504,MATCH($F4019&amp;"",계정매핑!$A$5:$A$504,0))&amp;"","")="유지비",COUNTIF(계정대체기준!$A$6:$A$15,$N4019)&gt;0),IFERROR(INDEX(계정대체기준!$E$6:$E$15,MATCH(VALUE($A4019&amp;""),계정대체기준!$D$6:$D$15,0)),0),0))</f>
        <v/>
      </c>
      <c r="AH4019" s="64">
        <f>IF($A4019="","",IF(AD4019=0,"",IF(OR(COUNTIF(계정대체기준!$A$77:$A$86,$N4019)&gt;0,ISNUMBER(MATCH($X4019,계정대체기준!$D$77:$D$86,0)),ISNUMBER(MATCH($F4019,계정대체기준!$D$77:$D$86,0))),"Y","N")))</f>
        <v/>
      </c>
    </row>
    <row r="4020">
      <c r="A4020" s="92" t="n">
        <v>2026</v>
      </c>
      <c r="B4020" s="92" t="n">
        <v>6</v>
      </c>
      <c r="C4020" s="92" t="inlineStr">
        <is>
          <t>5100001298</t>
        </is>
      </c>
      <c r="D4020" s="95" t="n">
        <v>46194</v>
      </c>
      <c r="E4020" s="92" t="inlineStr">
        <is>
          <t>KR</t>
        </is>
      </c>
      <c r="F4020" s="92" t="n">
        <v>62902000</v>
      </c>
      <c r="G4020" s="92" t="n">
        <v>1801</v>
      </c>
      <c r="H4020" s="93" t="n">
        <v>1796000</v>
      </c>
      <c r="I4020" s="92" t="inlineStr">
        <is>
          <t>6월 콜 위탁 수수료(건별)</t>
        </is>
      </c>
      <c r="J4020" s="92" t="inlineStr">
        <is>
          <t>V10016</t>
        </is>
      </c>
      <c r="K4020" s="92" t="inlineStr">
        <is>
          <t>J콜센터</t>
        </is>
      </c>
      <c r="M4020" s="9">
        <f>IF($A4020="","",VALUE($A4020&amp;"")*12+VALUE($B4020&amp;""))</f>
        <v/>
      </c>
      <c r="N4020" s="64">
        <f>IF($A4020="","",IFERROR(INDEX(부서매핑!$C$5:$C$504,MATCH($G4020&amp;"",부서매핑!$A$5:$A$504,0)),"미매핑"))</f>
        <v/>
      </c>
      <c r="O4020" s="9">
        <f>IF($A4020="","",N4020&amp;"|"&amp;$F4020)</f>
        <v/>
      </c>
      <c r="P4020" s="94">
        <f>IF($A4020="",0,$H4020*설정!$C$23)</f>
        <v/>
      </c>
      <c r="Q4020" s="64">
        <f>IF($A4020="","",IF(O4020&lt;&gt;원인분석!$C$9,"",IF(AND(M4020&gt;=원인분석!$C$10,M4020&lt;=원인분석!$C$11),"당기",IF(AND(M4020&gt;=원인분석!$C$12,M4020&lt;=원인분석!$C$13),"비교",""))))</f>
        <v/>
      </c>
      <c r="R4020" s="9">
        <f>IF(Q4020="","",$K4020&amp;"")</f>
        <v/>
      </c>
      <c r="S4020" s="9">
        <f>IF(Q4020="","",IF(MATCH(R4020,$R$5:$R$100000,0)=ROW()-4,ROW(),""))</f>
        <v/>
      </c>
      <c r="T4020" s="9">
        <f>IF(Q4020="당기",ABS(P4020)+ROW()/1000000000,"")</f>
        <v/>
      </c>
      <c r="U4020" s="9">
        <f>IF(Q4020="비교",ABS(P4020)+ROW()/1000000000,"")</f>
        <v/>
      </c>
      <c r="V4020" s="64">
        <f>IF($A4020="","",IF(COUNTIF(변동분석!$E$7:$E$506,O4020)&gt;0,"Y","N"))</f>
        <v/>
      </c>
      <c r="W4020" s="64">
        <f>IF($A4020="","",IFERROR(INDEX(계정매핑!$D$5:$D$504,MATCH($F4020&amp;"",계정매핑!$A$5:$A$504,0)),"미매핑"))</f>
        <v/>
      </c>
      <c r="X4020" s="9">
        <f>IF($A4020="","",$F4020&amp;"")</f>
        <v/>
      </c>
      <c r="Y4020" s="94">
        <f>IF($A4020="",0,IF(AE4020="직접",IF(AF4020="비귀속",$P4020,0),$P4020*(1-AG4020)*IFERROR(INDEX(계정대체기준!$F$20:$F$49,MATCH($N4020,계정대체기준!$A$20:$A$49,0)),1)))</f>
        <v/>
      </c>
      <c r="Z4020" s="94">
        <f>IF($A4020="",0,IF(AE4020="직접",IF(AF4020="신계약비",$P4020,0),$P4020*(1-AG4020)*IFERROR(INDEX(계정대체기준!$C$20:$C$49,MATCH($N4020,계정대체기준!$A$20:$A$49,0)),0)))</f>
        <v/>
      </c>
      <c r="AA4020" s="94">
        <f>IF($A4020="",0,IF(AE4020="직접",IF(OR(AF4020="유지비",AF4020="손해조사비"),$P4020,0),$P4020*(1-AG4020)*IFERROR(INDEX(계정대체기준!$D$20:$D$49,MATCH($N4020,계정대체기준!$A$20:$A$49,0)),0)))</f>
        <v/>
      </c>
      <c r="AB4020" s="94">
        <f>IF($A4020="",0,IF(AE4020="직접",IF(AF4020="수금비",$P4020,0),$P4020*(1-AG4020)*IFERROR(INDEX(계정대체기준!$E$20:$E$49,MATCH($N4020,계정대체기준!$A$20:$A$49,0)),0)))</f>
        <v/>
      </c>
      <c r="AC4020" s="9">
        <f>IF(AND($A4020&lt;&gt;"",M4020=설정!$C$20,Z4020&gt;0),Z4020+ROW()/1000000000,"")</f>
        <v/>
      </c>
      <c r="AD4020" s="94">
        <f>IF($A4020="",0,$P4020*AG4020)</f>
        <v/>
      </c>
      <c r="AE4020" s="64">
        <f>IF($A4020="","",IFERROR(INDEX(계정매핑!$E$5:$E$504,MATCH($F4020&amp;"",계정매핑!$A$5:$A$504,0))&amp;"","공통비"))</f>
        <v/>
      </c>
      <c r="AF4020" s="64">
        <f>IF($A4020="","",IF(AE4020="직접",IFERROR(INDEX(계정매핑!$F$5:$F$504,MATCH($F4020&amp;"",계정매핑!$A$5:$A$504,0))&amp;"","비귀속"),""))</f>
        <v/>
      </c>
      <c r="AG4020" s="96">
        <f>IF($A4020="",0,IF(AND(AE4020&lt;&gt;"직접",IFERROR(INDEX(계정매핑!$G$5:$G$504,MATCH($F4020&amp;"",계정매핑!$A$5:$A$504,0))&amp;"","")="유지비",COUNTIF(계정대체기준!$A$6:$A$15,$N4020)&gt;0),IFERROR(INDEX(계정대체기준!$E$6:$E$15,MATCH(VALUE($A4020&amp;""),계정대체기준!$D$6:$D$15,0)),0),0))</f>
        <v/>
      </c>
      <c r="AH4020" s="64">
        <f>IF($A4020="","",IF(AD4020=0,"",IF(OR(COUNTIF(계정대체기준!$A$77:$A$86,$N4020)&gt;0,ISNUMBER(MATCH($X4020,계정대체기준!$D$77:$D$86,0)),ISNUMBER(MATCH($F4020,계정대체기준!$D$77:$D$86,0))),"Y","N")))</f>
        <v/>
      </c>
    </row>
    <row r="4021">
      <c r="A4021" s="92" t="n">
        <v>2026</v>
      </c>
      <c r="B4021" s="92" t="n">
        <v>6</v>
      </c>
      <c r="C4021" s="92" t="inlineStr">
        <is>
          <t>5100001299</t>
        </is>
      </c>
      <c r="D4021" s="95" t="n">
        <v>46194</v>
      </c>
      <c r="E4021" s="92" t="inlineStr">
        <is>
          <t>KR</t>
        </is>
      </c>
      <c r="F4021" s="92" t="n">
        <v>63101000</v>
      </c>
      <c r="G4021" s="92" t="n">
        <v>1602</v>
      </c>
      <c r="H4021" s="93" t="n">
        <v>5220000</v>
      </c>
      <c r="I4021" s="92" t="inlineStr">
        <is>
          <t>6월 사무실 임차료 - BB부동산</t>
        </is>
      </c>
      <c r="J4021" s="92" t="inlineStr">
        <is>
          <t>V10028</t>
        </is>
      </c>
      <c r="K4021" s="92" t="inlineStr">
        <is>
          <t>BB부동산</t>
        </is>
      </c>
      <c r="M4021" s="9">
        <f>IF($A4021="","",VALUE($A4021&amp;"")*12+VALUE($B4021&amp;""))</f>
        <v/>
      </c>
      <c r="N4021" s="64">
        <f>IF($A4021="","",IFERROR(INDEX(부서매핑!$C$5:$C$504,MATCH($G4021&amp;"",부서매핑!$A$5:$A$504,0)),"미매핑"))</f>
        <v/>
      </c>
      <c r="O4021" s="9">
        <f>IF($A4021="","",N4021&amp;"|"&amp;$F4021)</f>
        <v/>
      </c>
      <c r="P4021" s="94">
        <f>IF($A4021="",0,$H4021*설정!$C$23)</f>
        <v/>
      </c>
      <c r="Q4021" s="64">
        <f>IF($A4021="","",IF(O4021&lt;&gt;원인분석!$C$9,"",IF(AND(M4021&gt;=원인분석!$C$10,M4021&lt;=원인분석!$C$11),"당기",IF(AND(M4021&gt;=원인분석!$C$12,M4021&lt;=원인분석!$C$13),"비교",""))))</f>
        <v/>
      </c>
      <c r="R4021" s="9">
        <f>IF(Q4021="","",$K4021&amp;"")</f>
        <v/>
      </c>
      <c r="S4021" s="9">
        <f>IF(Q4021="","",IF(MATCH(R4021,$R$5:$R$100000,0)=ROW()-4,ROW(),""))</f>
        <v/>
      </c>
      <c r="T4021" s="9">
        <f>IF(Q4021="당기",ABS(P4021)+ROW()/1000000000,"")</f>
        <v/>
      </c>
      <c r="U4021" s="9">
        <f>IF(Q4021="비교",ABS(P4021)+ROW()/1000000000,"")</f>
        <v/>
      </c>
      <c r="V4021" s="64">
        <f>IF($A4021="","",IF(COUNTIF(변동분석!$E$7:$E$506,O4021)&gt;0,"Y","N"))</f>
        <v/>
      </c>
      <c r="W4021" s="64">
        <f>IF($A4021="","",IFERROR(INDEX(계정매핑!$D$5:$D$504,MATCH($F4021&amp;"",계정매핑!$A$5:$A$504,0)),"미매핑"))</f>
        <v/>
      </c>
      <c r="X4021" s="9">
        <f>IF($A4021="","",$F4021&amp;"")</f>
        <v/>
      </c>
      <c r="Y4021" s="94">
        <f>IF($A4021="",0,IF(AE4021="직접",IF(AF4021="비귀속",$P4021,0),$P4021*(1-AG4021)*IFERROR(INDEX(계정대체기준!$F$20:$F$49,MATCH($N4021,계정대체기준!$A$20:$A$49,0)),1)))</f>
        <v/>
      </c>
      <c r="Z4021" s="94">
        <f>IF($A4021="",0,IF(AE4021="직접",IF(AF4021="신계약비",$P4021,0),$P4021*(1-AG4021)*IFERROR(INDEX(계정대체기준!$C$20:$C$49,MATCH($N4021,계정대체기준!$A$20:$A$49,0)),0)))</f>
        <v/>
      </c>
      <c r="AA4021" s="94">
        <f>IF($A4021="",0,IF(AE4021="직접",IF(OR(AF4021="유지비",AF4021="손해조사비"),$P4021,0),$P4021*(1-AG4021)*IFERROR(INDEX(계정대체기준!$D$20:$D$49,MATCH($N4021,계정대체기준!$A$20:$A$49,0)),0)))</f>
        <v/>
      </c>
      <c r="AB4021" s="94">
        <f>IF($A4021="",0,IF(AE4021="직접",IF(AF4021="수금비",$P4021,0),$P4021*(1-AG4021)*IFERROR(INDEX(계정대체기준!$E$20:$E$49,MATCH($N4021,계정대체기준!$A$20:$A$49,0)),0)))</f>
        <v/>
      </c>
      <c r="AC4021" s="9">
        <f>IF(AND($A4021&lt;&gt;"",M4021=설정!$C$20,Z4021&gt;0),Z4021+ROW()/1000000000,"")</f>
        <v/>
      </c>
      <c r="AD4021" s="94">
        <f>IF($A4021="",0,$P4021*AG4021)</f>
        <v/>
      </c>
      <c r="AE4021" s="64">
        <f>IF($A4021="","",IFERROR(INDEX(계정매핑!$E$5:$E$504,MATCH($F4021&amp;"",계정매핑!$A$5:$A$504,0))&amp;"","공통비"))</f>
        <v/>
      </c>
      <c r="AF4021" s="64">
        <f>IF($A4021="","",IF(AE4021="직접",IFERROR(INDEX(계정매핑!$F$5:$F$504,MATCH($F4021&amp;"",계정매핑!$A$5:$A$504,0))&amp;"","비귀속"),""))</f>
        <v/>
      </c>
      <c r="AG4021" s="96">
        <f>IF($A4021="",0,IF(AND(AE4021&lt;&gt;"직접",IFERROR(INDEX(계정매핑!$G$5:$G$504,MATCH($F4021&amp;"",계정매핑!$A$5:$A$504,0))&amp;"","")="유지비",COUNTIF(계정대체기준!$A$6:$A$15,$N4021)&gt;0),IFERROR(INDEX(계정대체기준!$E$6:$E$15,MATCH(VALUE($A4021&amp;""),계정대체기준!$D$6:$D$15,0)),0),0))</f>
        <v/>
      </c>
      <c r="AH4021" s="64">
        <f>IF($A4021="","",IF(AD4021=0,"",IF(OR(COUNTIF(계정대체기준!$A$77:$A$86,$N4021)&gt;0,ISNUMBER(MATCH($X4021,계정대체기준!$D$77:$D$86,0)),ISNUMBER(MATCH($F4021,계정대체기준!$D$77:$D$86,0))),"Y","N")))</f>
        <v/>
      </c>
    </row>
    <row r="4022">
      <c r="A4022" s="92" t="n">
        <v>2026</v>
      </c>
      <c r="B4022" s="92" t="n">
        <v>6</v>
      </c>
      <c r="C4022" s="92" t="inlineStr">
        <is>
          <t>5100001300</t>
        </is>
      </c>
      <c r="D4022" s="95" t="n">
        <v>46195</v>
      </c>
      <c r="E4022" s="92" t="inlineStr">
        <is>
          <t>KR</t>
        </is>
      </c>
      <c r="F4022" s="92" t="n">
        <v>62101000</v>
      </c>
      <c r="G4022" s="92" t="n">
        <v>1502</v>
      </c>
      <c r="H4022" s="93" t="n">
        <v>549000</v>
      </c>
      <c r="I4022" s="92" t="inlineStr">
        <is>
          <t>6월 국내출장 - (법인카드)</t>
        </is>
      </c>
      <c r="J4022" s="92" t="inlineStr">
        <is>
          <t>V10010</t>
        </is>
      </c>
      <c r="K4022" s="92" t="inlineStr">
        <is>
          <t>(법인카드)</t>
        </is>
      </c>
      <c r="M4022" s="9">
        <f>IF($A4022="","",VALUE($A4022&amp;"")*12+VALUE($B4022&amp;""))</f>
        <v/>
      </c>
      <c r="N4022" s="64">
        <f>IF($A4022="","",IFERROR(INDEX(부서매핑!$C$5:$C$504,MATCH($G4022&amp;"",부서매핑!$A$5:$A$504,0)),"미매핑"))</f>
        <v/>
      </c>
      <c r="O4022" s="9">
        <f>IF($A4022="","",N4022&amp;"|"&amp;$F4022)</f>
        <v/>
      </c>
      <c r="P4022" s="94">
        <f>IF($A4022="",0,$H4022*설정!$C$23)</f>
        <v/>
      </c>
      <c r="Q4022" s="64">
        <f>IF($A4022="","",IF(O4022&lt;&gt;원인분석!$C$9,"",IF(AND(M4022&gt;=원인분석!$C$10,M4022&lt;=원인분석!$C$11),"당기",IF(AND(M4022&gt;=원인분석!$C$12,M4022&lt;=원인분석!$C$13),"비교",""))))</f>
        <v/>
      </c>
      <c r="R4022" s="9">
        <f>IF(Q4022="","",$K4022&amp;"")</f>
        <v/>
      </c>
      <c r="S4022" s="9">
        <f>IF(Q4022="","",IF(MATCH(R4022,$R$5:$R$100000,0)=ROW()-4,ROW(),""))</f>
        <v/>
      </c>
      <c r="T4022" s="9">
        <f>IF(Q4022="당기",ABS(P4022)+ROW()/1000000000,"")</f>
        <v/>
      </c>
      <c r="U4022" s="9">
        <f>IF(Q4022="비교",ABS(P4022)+ROW()/1000000000,"")</f>
        <v/>
      </c>
      <c r="V4022" s="64">
        <f>IF($A4022="","",IF(COUNTIF(변동분석!$E$7:$E$506,O4022)&gt;0,"Y","N"))</f>
        <v/>
      </c>
      <c r="W4022" s="64">
        <f>IF($A4022="","",IFERROR(INDEX(계정매핑!$D$5:$D$504,MATCH($F4022&amp;"",계정매핑!$A$5:$A$504,0)),"미매핑"))</f>
        <v/>
      </c>
      <c r="X4022" s="9">
        <f>IF($A4022="","",$F4022&amp;"")</f>
        <v/>
      </c>
      <c r="Y4022" s="94">
        <f>IF($A4022="",0,IF(AE4022="직접",IF(AF4022="비귀속",$P4022,0),$P4022*(1-AG4022)*IFERROR(INDEX(계정대체기준!$F$20:$F$49,MATCH($N4022,계정대체기준!$A$20:$A$49,0)),1)))</f>
        <v/>
      </c>
      <c r="Z4022" s="94">
        <f>IF($A4022="",0,IF(AE4022="직접",IF(AF4022="신계약비",$P4022,0),$P4022*(1-AG4022)*IFERROR(INDEX(계정대체기준!$C$20:$C$49,MATCH($N4022,계정대체기준!$A$20:$A$49,0)),0)))</f>
        <v/>
      </c>
      <c r="AA4022" s="94">
        <f>IF($A4022="",0,IF(AE4022="직접",IF(OR(AF4022="유지비",AF4022="손해조사비"),$P4022,0),$P4022*(1-AG4022)*IFERROR(INDEX(계정대체기준!$D$20:$D$49,MATCH($N4022,계정대체기준!$A$20:$A$49,0)),0)))</f>
        <v/>
      </c>
      <c r="AB4022" s="94">
        <f>IF($A4022="",0,IF(AE4022="직접",IF(AF4022="수금비",$P4022,0),$P4022*(1-AG4022)*IFERROR(INDEX(계정대체기준!$E$20:$E$49,MATCH($N4022,계정대체기준!$A$20:$A$49,0)),0)))</f>
        <v/>
      </c>
      <c r="AC4022" s="9">
        <f>IF(AND($A4022&lt;&gt;"",M4022=설정!$C$20,Z4022&gt;0),Z4022+ROW()/1000000000,"")</f>
        <v/>
      </c>
      <c r="AD4022" s="94">
        <f>IF($A4022="",0,$P4022*AG4022)</f>
        <v/>
      </c>
      <c r="AE4022" s="64">
        <f>IF($A4022="","",IFERROR(INDEX(계정매핑!$E$5:$E$504,MATCH($F4022&amp;"",계정매핑!$A$5:$A$504,0))&amp;"","공통비"))</f>
        <v/>
      </c>
      <c r="AF4022" s="64">
        <f>IF($A4022="","",IF(AE4022="직접",IFERROR(INDEX(계정매핑!$F$5:$F$504,MATCH($F4022&amp;"",계정매핑!$A$5:$A$504,0))&amp;"","비귀속"),""))</f>
        <v/>
      </c>
      <c r="AG4022" s="96">
        <f>IF($A4022="",0,IF(AND(AE4022&lt;&gt;"직접",IFERROR(INDEX(계정매핑!$G$5:$G$504,MATCH($F4022&amp;"",계정매핑!$A$5:$A$504,0))&amp;"","")="유지비",COUNTIF(계정대체기준!$A$6:$A$15,$N4022)&gt;0),IFERROR(INDEX(계정대체기준!$E$6:$E$15,MATCH(VALUE($A4022&amp;""),계정대체기준!$D$6:$D$15,0)),0),0))</f>
        <v/>
      </c>
      <c r="AH4022" s="64">
        <f>IF($A4022="","",IF(AD4022=0,"",IF(OR(COUNTIF(계정대체기준!$A$77:$A$86,$N4022)&gt;0,ISNUMBER(MATCH($X4022,계정대체기준!$D$77:$D$86,0)),ISNUMBER(MATCH($F4022,계정대체기준!$D$77:$D$86,0))),"Y","N")))</f>
        <v/>
      </c>
    </row>
    <row r="4023">
      <c r="A4023" s="92" t="n">
        <v>2026</v>
      </c>
      <c r="B4023" s="92" t="n">
        <v>6</v>
      </c>
      <c r="C4023" s="92" t="inlineStr">
        <is>
          <t>5100001301</t>
        </is>
      </c>
      <c r="D4023" s="95" t="n">
        <v>46195</v>
      </c>
      <c r="E4023" s="92" t="inlineStr">
        <is>
          <t>KR</t>
        </is>
      </c>
      <c r="F4023" s="92" t="n">
        <v>62101000</v>
      </c>
      <c r="G4023" s="92" t="n">
        <v>1951</v>
      </c>
      <c r="H4023" s="93" t="n">
        <v>413000</v>
      </c>
      <c r="I4023" s="92" t="inlineStr">
        <is>
          <t>6월 국내출장 - (법인카드)</t>
        </is>
      </c>
      <c r="J4023" s="92" t="inlineStr">
        <is>
          <t>V10010</t>
        </is>
      </c>
      <c r="K4023" s="92" t="inlineStr">
        <is>
          <t>(법인카드)</t>
        </is>
      </c>
      <c r="M4023" s="9">
        <f>IF($A4023="","",VALUE($A4023&amp;"")*12+VALUE($B4023&amp;""))</f>
        <v/>
      </c>
      <c r="N4023" s="64">
        <f>IF($A4023="","",IFERROR(INDEX(부서매핑!$C$5:$C$504,MATCH($G4023&amp;"",부서매핑!$A$5:$A$504,0)),"미매핑"))</f>
        <v/>
      </c>
      <c r="O4023" s="9">
        <f>IF($A4023="","",N4023&amp;"|"&amp;$F4023)</f>
        <v/>
      </c>
      <c r="P4023" s="94">
        <f>IF($A4023="",0,$H4023*설정!$C$23)</f>
        <v/>
      </c>
      <c r="Q4023" s="64">
        <f>IF($A4023="","",IF(O4023&lt;&gt;원인분석!$C$9,"",IF(AND(M4023&gt;=원인분석!$C$10,M4023&lt;=원인분석!$C$11),"당기",IF(AND(M4023&gt;=원인분석!$C$12,M4023&lt;=원인분석!$C$13),"비교",""))))</f>
        <v/>
      </c>
      <c r="R4023" s="9">
        <f>IF(Q4023="","",$K4023&amp;"")</f>
        <v/>
      </c>
      <c r="S4023" s="9">
        <f>IF(Q4023="","",IF(MATCH(R4023,$R$5:$R$100000,0)=ROW()-4,ROW(),""))</f>
        <v/>
      </c>
      <c r="T4023" s="9">
        <f>IF(Q4023="당기",ABS(P4023)+ROW()/1000000000,"")</f>
        <v/>
      </c>
      <c r="U4023" s="9">
        <f>IF(Q4023="비교",ABS(P4023)+ROW()/1000000000,"")</f>
        <v/>
      </c>
      <c r="V4023" s="64">
        <f>IF($A4023="","",IF(COUNTIF(변동분석!$E$7:$E$506,O4023)&gt;0,"Y","N"))</f>
        <v/>
      </c>
      <c r="W4023" s="64">
        <f>IF($A4023="","",IFERROR(INDEX(계정매핑!$D$5:$D$504,MATCH($F4023&amp;"",계정매핑!$A$5:$A$504,0)),"미매핑"))</f>
        <v/>
      </c>
      <c r="X4023" s="9">
        <f>IF($A4023="","",$F4023&amp;"")</f>
        <v/>
      </c>
      <c r="Y4023" s="94">
        <f>IF($A4023="",0,IF(AE4023="직접",IF(AF4023="비귀속",$P4023,0),$P4023*(1-AG4023)*IFERROR(INDEX(계정대체기준!$F$20:$F$49,MATCH($N4023,계정대체기준!$A$20:$A$49,0)),1)))</f>
        <v/>
      </c>
      <c r="Z4023" s="94">
        <f>IF($A4023="",0,IF(AE4023="직접",IF(AF4023="신계약비",$P4023,0),$P4023*(1-AG4023)*IFERROR(INDEX(계정대체기준!$C$20:$C$49,MATCH($N4023,계정대체기준!$A$20:$A$49,0)),0)))</f>
        <v/>
      </c>
      <c r="AA4023" s="94">
        <f>IF($A4023="",0,IF(AE4023="직접",IF(OR(AF4023="유지비",AF4023="손해조사비"),$P4023,0),$P4023*(1-AG4023)*IFERROR(INDEX(계정대체기준!$D$20:$D$49,MATCH($N4023,계정대체기준!$A$20:$A$49,0)),0)))</f>
        <v/>
      </c>
      <c r="AB4023" s="94">
        <f>IF($A4023="",0,IF(AE4023="직접",IF(AF4023="수금비",$P4023,0),$P4023*(1-AG4023)*IFERROR(INDEX(계정대체기준!$E$20:$E$49,MATCH($N4023,계정대체기준!$A$20:$A$49,0)),0)))</f>
        <v/>
      </c>
      <c r="AC4023" s="9">
        <f>IF(AND($A4023&lt;&gt;"",M4023=설정!$C$20,Z4023&gt;0),Z4023+ROW()/1000000000,"")</f>
        <v/>
      </c>
      <c r="AD4023" s="94">
        <f>IF($A4023="",0,$P4023*AG4023)</f>
        <v/>
      </c>
      <c r="AE4023" s="64">
        <f>IF($A4023="","",IFERROR(INDEX(계정매핑!$E$5:$E$504,MATCH($F4023&amp;"",계정매핑!$A$5:$A$504,0))&amp;"","공통비"))</f>
        <v/>
      </c>
      <c r="AF4023" s="64">
        <f>IF($A4023="","",IF(AE4023="직접",IFERROR(INDEX(계정매핑!$F$5:$F$504,MATCH($F4023&amp;"",계정매핑!$A$5:$A$504,0))&amp;"","비귀속"),""))</f>
        <v/>
      </c>
      <c r="AG4023" s="96">
        <f>IF($A4023="",0,IF(AND(AE4023&lt;&gt;"직접",IFERROR(INDEX(계정매핑!$G$5:$G$504,MATCH($F4023&amp;"",계정매핑!$A$5:$A$504,0))&amp;"","")="유지비",COUNTIF(계정대체기준!$A$6:$A$15,$N4023)&gt;0),IFERROR(INDEX(계정대체기준!$E$6:$E$15,MATCH(VALUE($A4023&amp;""),계정대체기준!$D$6:$D$15,0)),0),0))</f>
        <v/>
      </c>
      <c r="AH4023" s="64">
        <f>IF($A4023="","",IF(AD4023=0,"",IF(OR(COUNTIF(계정대체기준!$A$77:$A$86,$N4023)&gt;0,ISNUMBER(MATCH($X4023,계정대체기준!$D$77:$D$86,0)),ISNUMBER(MATCH($F4023,계정대체기준!$D$77:$D$86,0))),"Y","N")))</f>
        <v/>
      </c>
    </row>
    <row r="4024">
      <c r="A4024" s="92" t="n">
        <v>2026</v>
      </c>
      <c r="B4024" s="92" t="n">
        <v>6</v>
      </c>
      <c r="C4024" s="92" t="inlineStr">
        <is>
          <t>5100001302</t>
        </is>
      </c>
      <c r="D4024" s="95" t="n">
        <v>46195</v>
      </c>
      <c r="E4024" s="92" t="inlineStr">
        <is>
          <t>KR</t>
        </is>
      </c>
      <c r="F4024" s="92" t="n">
        <v>62102000</v>
      </c>
      <c r="G4024" s="92" t="n">
        <v>1201</v>
      </c>
      <c r="H4024" s="93" t="n">
        <v>57000</v>
      </c>
      <c r="I4024" s="92" t="inlineStr">
        <is>
          <t>6월 해외출장 - M항공</t>
        </is>
      </c>
      <c r="J4024" s="92" t="inlineStr">
        <is>
          <t>V10001</t>
        </is>
      </c>
      <c r="K4024" s="92" t="inlineStr">
        <is>
          <t>M항공</t>
        </is>
      </c>
      <c r="M4024" s="9">
        <f>IF($A4024="","",VALUE($A4024&amp;"")*12+VALUE($B4024&amp;""))</f>
        <v/>
      </c>
      <c r="N4024" s="64">
        <f>IF($A4024="","",IFERROR(INDEX(부서매핑!$C$5:$C$504,MATCH($G4024&amp;"",부서매핑!$A$5:$A$504,0)),"미매핑"))</f>
        <v/>
      </c>
      <c r="O4024" s="9">
        <f>IF($A4024="","",N4024&amp;"|"&amp;$F4024)</f>
        <v/>
      </c>
      <c r="P4024" s="94">
        <f>IF($A4024="",0,$H4024*설정!$C$23)</f>
        <v/>
      </c>
      <c r="Q4024" s="64">
        <f>IF($A4024="","",IF(O4024&lt;&gt;원인분석!$C$9,"",IF(AND(M4024&gt;=원인분석!$C$10,M4024&lt;=원인분석!$C$11),"당기",IF(AND(M4024&gt;=원인분석!$C$12,M4024&lt;=원인분석!$C$13),"비교",""))))</f>
        <v/>
      </c>
      <c r="R4024" s="9">
        <f>IF(Q4024="","",$K4024&amp;"")</f>
        <v/>
      </c>
      <c r="S4024" s="9">
        <f>IF(Q4024="","",IF(MATCH(R4024,$R$5:$R$100000,0)=ROW()-4,ROW(),""))</f>
        <v/>
      </c>
      <c r="T4024" s="9">
        <f>IF(Q4024="당기",ABS(P4024)+ROW()/1000000000,"")</f>
        <v/>
      </c>
      <c r="U4024" s="9">
        <f>IF(Q4024="비교",ABS(P4024)+ROW()/1000000000,"")</f>
        <v/>
      </c>
      <c r="V4024" s="64">
        <f>IF($A4024="","",IF(COUNTIF(변동분석!$E$7:$E$506,O4024)&gt;0,"Y","N"))</f>
        <v/>
      </c>
      <c r="W4024" s="64">
        <f>IF($A4024="","",IFERROR(INDEX(계정매핑!$D$5:$D$504,MATCH($F4024&amp;"",계정매핑!$A$5:$A$504,0)),"미매핑"))</f>
        <v/>
      </c>
      <c r="X4024" s="9">
        <f>IF($A4024="","",$F4024&amp;"")</f>
        <v/>
      </c>
      <c r="Y4024" s="94">
        <f>IF($A4024="",0,IF(AE4024="직접",IF(AF4024="비귀속",$P4024,0),$P4024*(1-AG4024)*IFERROR(INDEX(계정대체기준!$F$20:$F$49,MATCH($N4024,계정대체기준!$A$20:$A$49,0)),1)))</f>
        <v/>
      </c>
      <c r="Z4024" s="94">
        <f>IF($A4024="",0,IF(AE4024="직접",IF(AF4024="신계약비",$P4024,0),$P4024*(1-AG4024)*IFERROR(INDEX(계정대체기준!$C$20:$C$49,MATCH($N4024,계정대체기준!$A$20:$A$49,0)),0)))</f>
        <v/>
      </c>
      <c r="AA4024" s="94">
        <f>IF($A4024="",0,IF(AE4024="직접",IF(OR(AF4024="유지비",AF4024="손해조사비"),$P4024,0),$P4024*(1-AG4024)*IFERROR(INDEX(계정대체기준!$D$20:$D$49,MATCH($N4024,계정대체기준!$A$20:$A$49,0)),0)))</f>
        <v/>
      </c>
      <c r="AB4024" s="94">
        <f>IF($A4024="",0,IF(AE4024="직접",IF(AF4024="수금비",$P4024,0),$P4024*(1-AG4024)*IFERROR(INDEX(계정대체기준!$E$20:$E$49,MATCH($N4024,계정대체기준!$A$20:$A$49,0)),0)))</f>
        <v/>
      </c>
      <c r="AC4024" s="9">
        <f>IF(AND($A4024&lt;&gt;"",M4024=설정!$C$20,Z4024&gt;0),Z4024+ROW()/1000000000,"")</f>
        <v/>
      </c>
      <c r="AD4024" s="94">
        <f>IF($A4024="",0,$P4024*AG4024)</f>
        <v/>
      </c>
      <c r="AE4024" s="64">
        <f>IF($A4024="","",IFERROR(INDEX(계정매핑!$E$5:$E$504,MATCH($F4024&amp;"",계정매핑!$A$5:$A$504,0))&amp;"","공통비"))</f>
        <v/>
      </c>
      <c r="AF4024" s="64">
        <f>IF($A4024="","",IF(AE4024="직접",IFERROR(INDEX(계정매핑!$F$5:$F$504,MATCH($F4024&amp;"",계정매핑!$A$5:$A$504,0))&amp;"","비귀속"),""))</f>
        <v/>
      </c>
      <c r="AG4024" s="96">
        <f>IF($A4024="",0,IF(AND(AE4024&lt;&gt;"직접",IFERROR(INDEX(계정매핑!$G$5:$G$504,MATCH($F4024&amp;"",계정매핑!$A$5:$A$504,0))&amp;"","")="유지비",COUNTIF(계정대체기준!$A$6:$A$15,$N4024)&gt;0),IFERROR(INDEX(계정대체기준!$E$6:$E$15,MATCH(VALUE($A4024&amp;""),계정대체기준!$D$6:$D$15,0)),0),0))</f>
        <v/>
      </c>
      <c r="AH4024" s="64">
        <f>IF($A4024="","",IF(AD4024=0,"",IF(OR(COUNTIF(계정대체기준!$A$77:$A$86,$N4024)&gt;0,ISNUMBER(MATCH($X4024,계정대체기준!$D$77:$D$86,0)),ISNUMBER(MATCH($F4024,계정대체기준!$D$77:$D$86,0))),"Y","N")))</f>
        <v/>
      </c>
    </row>
    <row r="4025">
      <c r="A4025" s="92" t="n">
        <v>2026</v>
      </c>
      <c r="B4025" s="92" t="n">
        <v>6</v>
      </c>
      <c r="C4025" s="92" t="inlineStr">
        <is>
          <t>5100001303</t>
        </is>
      </c>
      <c r="D4025" s="95" t="n">
        <v>46195</v>
      </c>
      <c r="E4025" s="92" t="inlineStr">
        <is>
          <t>KR</t>
        </is>
      </c>
      <c r="F4025" s="92" t="n">
        <v>62102000</v>
      </c>
      <c r="G4025" s="92" t="n">
        <v>1701</v>
      </c>
      <c r="H4025" s="93" t="n">
        <v>37000</v>
      </c>
      <c r="I4025" s="92" t="inlineStr">
        <is>
          <t>6월 해외출장 - M항공</t>
        </is>
      </c>
      <c r="J4025" s="92" t="inlineStr">
        <is>
          <t>V10001</t>
        </is>
      </c>
      <c r="K4025" s="92" t="inlineStr">
        <is>
          <t>M항공</t>
        </is>
      </c>
      <c r="M4025" s="9">
        <f>IF($A4025="","",VALUE($A4025&amp;"")*12+VALUE($B4025&amp;""))</f>
        <v/>
      </c>
      <c r="N4025" s="64">
        <f>IF($A4025="","",IFERROR(INDEX(부서매핑!$C$5:$C$504,MATCH($G4025&amp;"",부서매핑!$A$5:$A$504,0)),"미매핑"))</f>
        <v/>
      </c>
      <c r="O4025" s="9">
        <f>IF($A4025="","",N4025&amp;"|"&amp;$F4025)</f>
        <v/>
      </c>
      <c r="P4025" s="94">
        <f>IF($A4025="",0,$H4025*설정!$C$23)</f>
        <v/>
      </c>
      <c r="Q4025" s="64">
        <f>IF($A4025="","",IF(O4025&lt;&gt;원인분석!$C$9,"",IF(AND(M4025&gt;=원인분석!$C$10,M4025&lt;=원인분석!$C$11),"당기",IF(AND(M4025&gt;=원인분석!$C$12,M4025&lt;=원인분석!$C$13),"비교",""))))</f>
        <v/>
      </c>
      <c r="R4025" s="9">
        <f>IF(Q4025="","",$K4025&amp;"")</f>
        <v/>
      </c>
      <c r="S4025" s="9">
        <f>IF(Q4025="","",IF(MATCH(R4025,$R$5:$R$100000,0)=ROW()-4,ROW(),""))</f>
        <v/>
      </c>
      <c r="T4025" s="9">
        <f>IF(Q4025="당기",ABS(P4025)+ROW()/1000000000,"")</f>
        <v/>
      </c>
      <c r="U4025" s="9">
        <f>IF(Q4025="비교",ABS(P4025)+ROW()/1000000000,"")</f>
        <v/>
      </c>
      <c r="V4025" s="64">
        <f>IF($A4025="","",IF(COUNTIF(변동분석!$E$7:$E$506,O4025)&gt;0,"Y","N"))</f>
        <v/>
      </c>
      <c r="W4025" s="64">
        <f>IF($A4025="","",IFERROR(INDEX(계정매핑!$D$5:$D$504,MATCH($F4025&amp;"",계정매핑!$A$5:$A$504,0)),"미매핑"))</f>
        <v/>
      </c>
      <c r="X4025" s="9">
        <f>IF($A4025="","",$F4025&amp;"")</f>
        <v/>
      </c>
      <c r="Y4025" s="94">
        <f>IF($A4025="",0,IF(AE4025="직접",IF(AF4025="비귀속",$P4025,0),$P4025*(1-AG4025)*IFERROR(INDEX(계정대체기준!$F$20:$F$49,MATCH($N4025,계정대체기준!$A$20:$A$49,0)),1)))</f>
        <v/>
      </c>
      <c r="Z4025" s="94">
        <f>IF($A4025="",0,IF(AE4025="직접",IF(AF4025="신계약비",$P4025,0),$P4025*(1-AG4025)*IFERROR(INDEX(계정대체기준!$C$20:$C$49,MATCH($N4025,계정대체기준!$A$20:$A$49,0)),0)))</f>
        <v/>
      </c>
      <c r="AA4025" s="94">
        <f>IF($A4025="",0,IF(AE4025="직접",IF(OR(AF4025="유지비",AF4025="손해조사비"),$P4025,0),$P4025*(1-AG4025)*IFERROR(INDEX(계정대체기준!$D$20:$D$49,MATCH($N4025,계정대체기준!$A$20:$A$49,0)),0)))</f>
        <v/>
      </c>
      <c r="AB4025" s="94">
        <f>IF($A4025="",0,IF(AE4025="직접",IF(AF4025="수금비",$P4025,0),$P4025*(1-AG4025)*IFERROR(INDEX(계정대체기준!$E$20:$E$49,MATCH($N4025,계정대체기준!$A$20:$A$49,0)),0)))</f>
        <v/>
      </c>
      <c r="AC4025" s="9">
        <f>IF(AND($A4025&lt;&gt;"",M4025=설정!$C$20,Z4025&gt;0),Z4025+ROW()/1000000000,"")</f>
        <v/>
      </c>
      <c r="AD4025" s="94">
        <f>IF($A4025="",0,$P4025*AG4025)</f>
        <v/>
      </c>
      <c r="AE4025" s="64">
        <f>IF($A4025="","",IFERROR(INDEX(계정매핑!$E$5:$E$504,MATCH($F4025&amp;"",계정매핑!$A$5:$A$504,0))&amp;"","공통비"))</f>
        <v/>
      </c>
      <c r="AF4025" s="64">
        <f>IF($A4025="","",IF(AE4025="직접",IFERROR(INDEX(계정매핑!$F$5:$F$504,MATCH($F4025&amp;"",계정매핑!$A$5:$A$504,0))&amp;"","비귀속"),""))</f>
        <v/>
      </c>
      <c r="AG4025" s="96">
        <f>IF($A4025="",0,IF(AND(AE4025&lt;&gt;"직접",IFERROR(INDEX(계정매핑!$G$5:$G$504,MATCH($F4025&amp;"",계정매핑!$A$5:$A$504,0))&amp;"","")="유지비",COUNTIF(계정대체기준!$A$6:$A$15,$N4025)&gt;0),IFERROR(INDEX(계정대체기준!$E$6:$E$15,MATCH(VALUE($A4025&amp;""),계정대체기준!$D$6:$D$15,0)),0),0))</f>
        <v/>
      </c>
      <c r="AH4025" s="64">
        <f>IF($A4025="","",IF(AD4025=0,"",IF(OR(COUNTIF(계정대체기준!$A$77:$A$86,$N4025)&gt;0,ISNUMBER(MATCH($X4025,계정대체기준!$D$77:$D$86,0)),ISNUMBER(MATCH($F4025,계정대체기준!$D$77:$D$86,0))),"Y","N")))</f>
        <v/>
      </c>
    </row>
    <row r="4026">
      <c r="A4026" s="92" t="n">
        <v>2026</v>
      </c>
      <c r="B4026" s="92" t="n">
        <v>6</v>
      </c>
      <c r="C4026" s="92" t="inlineStr">
        <is>
          <t>5100001304</t>
        </is>
      </c>
      <c r="D4026" s="95" t="n">
        <v>46195</v>
      </c>
      <c r="E4026" s="92" t="inlineStr">
        <is>
          <t>KR</t>
        </is>
      </c>
      <c r="F4026" s="92" t="n">
        <v>62201000</v>
      </c>
      <c r="G4026" s="92" t="n">
        <v>1602</v>
      </c>
      <c r="H4026" s="93" t="n">
        <v>365000</v>
      </c>
      <c r="I4026" s="92" t="inlineStr">
        <is>
          <t>6월 통신요금 - O텔레콤</t>
        </is>
      </c>
      <c r="J4026" s="92" t="inlineStr">
        <is>
          <t>V10002</t>
        </is>
      </c>
      <c r="K4026" s="92" t="inlineStr">
        <is>
          <t>O텔레콤</t>
        </is>
      </c>
      <c r="M4026" s="9">
        <f>IF($A4026="","",VALUE($A4026&amp;"")*12+VALUE($B4026&amp;""))</f>
        <v/>
      </c>
      <c r="N4026" s="64">
        <f>IF($A4026="","",IFERROR(INDEX(부서매핑!$C$5:$C$504,MATCH($G4026&amp;"",부서매핑!$A$5:$A$504,0)),"미매핑"))</f>
        <v/>
      </c>
      <c r="O4026" s="9">
        <f>IF($A4026="","",N4026&amp;"|"&amp;$F4026)</f>
        <v/>
      </c>
      <c r="P4026" s="94">
        <f>IF($A4026="",0,$H4026*설정!$C$23)</f>
        <v/>
      </c>
      <c r="Q4026" s="64">
        <f>IF($A4026="","",IF(O4026&lt;&gt;원인분석!$C$9,"",IF(AND(M4026&gt;=원인분석!$C$10,M4026&lt;=원인분석!$C$11),"당기",IF(AND(M4026&gt;=원인분석!$C$12,M4026&lt;=원인분석!$C$13),"비교",""))))</f>
        <v/>
      </c>
      <c r="R4026" s="9">
        <f>IF(Q4026="","",$K4026&amp;"")</f>
        <v/>
      </c>
      <c r="S4026" s="9">
        <f>IF(Q4026="","",IF(MATCH(R4026,$R$5:$R$100000,0)=ROW()-4,ROW(),""))</f>
        <v/>
      </c>
      <c r="T4026" s="9">
        <f>IF(Q4026="당기",ABS(P4026)+ROW()/1000000000,"")</f>
        <v/>
      </c>
      <c r="U4026" s="9">
        <f>IF(Q4026="비교",ABS(P4026)+ROW()/1000000000,"")</f>
        <v/>
      </c>
      <c r="V4026" s="64">
        <f>IF($A4026="","",IF(COUNTIF(변동분석!$E$7:$E$506,O4026)&gt;0,"Y","N"))</f>
        <v/>
      </c>
      <c r="W4026" s="64">
        <f>IF($A4026="","",IFERROR(INDEX(계정매핑!$D$5:$D$504,MATCH($F4026&amp;"",계정매핑!$A$5:$A$504,0)),"미매핑"))</f>
        <v/>
      </c>
      <c r="X4026" s="9">
        <f>IF($A4026="","",$F4026&amp;"")</f>
        <v/>
      </c>
      <c r="Y4026" s="94">
        <f>IF($A4026="",0,IF(AE4026="직접",IF(AF4026="비귀속",$P4026,0),$P4026*(1-AG4026)*IFERROR(INDEX(계정대체기준!$F$20:$F$49,MATCH($N4026,계정대체기준!$A$20:$A$49,0)),1)))</f>
        <v/>
      </c>
      <c r="Z4026" s="94">
        <f>IF($A4026="",0,IF(AE4026="직접",IF(AF4026="신계약비",$P4026,0),$P4026*(1-AG4026)*IFERROR(INDEX(계정대체기준!$C$20:$C$49,MATCH($N4026,계정대체기준!$A$20:$A$49,0)),0)))</f>
        <v/>
      </c>
      <c r="AA4026" s="94">
        <f>IF($A4026="",0,IF(AE4026="직접",IF(OR(AF4026="유지비",AF4026="손해조사비"),$P4026,0),$P4026*(1-AG4026)*IFERROR(INDEX(계정대체기준!$D$20:$D$49,MATCH($N4026,계정대체기준!$A$20:$A$49,0)),0)))</f>
        <v/>
      </c>
      <c r="AB4026" s="94">
        <f>IF($A4026="",0,IF(AE4026="직접",IF(AF4026="수금비",$P4026,0),$P4026*(1-AG4026)*IFERROR(INDEX(계정대체기준!$E$20:$E$49,MATCH($N4026,계정대체기준!$A$20:$A$49,0)),0)))</f>
        <v/>
      </c>
      <c r="AC4026" s="9">
        <f>IF(AND($A4026&lt;&gt;"",M4026=설정!$C$20,Z4026&gt;0),Z4026+ROW()/1000000000,"")</f>
        <v/>
      </c>
      <c r="AD4026" s="94">
        <f>IF($A4026="",0,$P4026*AG4026)</f>
        <v/>
      </c>
      <c r="AE4026" s="64">
        <f>IF($A4026="","",IFERROR(INDEX(계정매핑!$E$5:$E$504,MATCH($F4026&amp;"",계정매핑!$A$5:$A$504,0))&amp;"","공통비"))</f>
        <v/>
      </c>
      <c r="AF4026" s="64">
        <f>IF($A4026="","",IF(AE4026="직접",IFERROR(INDEX(계정매핑!$F$5:$F$504,MATCH($F4026&amp;"",계정매핑!$A$5:$A$504,0))&amp;"","비귀속"),""))</f>
        <v/>
      </c>
      <c r="AG4026" s="96">
        <f>IF($A4026="",0,IF(AND(AE4026&lt;&gt;"직접",IFERROR(INDEX(계정매핑!$G$5:$G$504,MATCH($F4026&amp;"",계정매핑!$A$5:$A$504,0))&amp;"","")="유지비",COUNTIF(계정대체기준!$A$6:$A$15,$N4026)&gt;0),IFERROR(INDEX(계정대체기준!$E$6:$E$15,MATCH(VALUE($A4026&amp;""),계정대체기준!$D$6:$D$15,0)),0),0))</f>
        <v/>
      </c>
      <c r="AH4026" s="64">
        <f>IF($A4026="","",IF(AD4026=0,"",IF(OR(COUNTIF(계정대체기준!$A$77:$A$86,$N4026)&gt;0,ISNUMBER(MATCH($X4026,계정대체기준!$D$77:$D$86,0)),ISNUMBER(MATCH($F4026,계정대체기준!$D$77:$D$86,0))),"Y","N")))</f>
        <v/>
      </c>
    </row>
    <row r="4027">
      <c r="A4027" s="92" t="n">
        <v>2026</v>
      </c>
      <c r="B4027" s="92" t="n">
        <v>6</v>
      </c>
      <c r="C4027" s="92" t="inlineStr">
        <is>
          <t>5100001305</t>
        </is>
      </c>
      <c r="D4027" s="95" t="n">
        <v>46195</v>
      </c>
      <c r="E4027" s="92" t="inlineStr">
        <is>
          <t>KR</t>
        </is>
      </c>
      <c r="F4027" s="92" t="n">
        <v>62201000</v>
      </c>
      <c r="G4027" s="92" t="n">
        <v>1801</v>
      </c>
      <c r="H4027" s="93" t="n">
        <v>4698000</v>
      </c>
      <c r="I4027" s="92" t="inlineStr">
        <is>
          <t>6월 통신요금 - O텔레콤</t>
        </is>
      </c>
      <c r="J4027" s="92" t="inlineStr">
        <is>
          <t>V10002</t>
        </is>
      </c>
      <c r="K4027" s="92" t="inlineStr">
        <is>
          <t>O텔레콤</t>
        </is>
      </c>
      <c r="M4027" s="9">
        <f>IF($A4027="","",VALUE($A4027&amp;"")*12+VALUE($B4027&amp;""))</f>
        <v/>
      </c>
      <c r="N4027" s="64">
        <f>IF($A4027="","",IFERROR(INDEX(부서매핑!$C$5:$C$504,MATCH($G4027&amp;"",부서매핑!$A$5:$A$504,0)),"미매핑"))</f>
        <v/>
      </c>
      <c r="O4027" s="9">
        <f>IF($A4027="","",N4027&amp;"|"&amp;$F4027)</f>
        <v/>
      </c>
      <c r="P4027" s="94">
        <f>IF($A4027="",0,$H4027*설정!$C$23)</f>
        <v/>
      </c>
      <c r="Q4027" s="64">
        <f>IF($A4027="","",IF(O4027&lt;&gt;원인분석!$C$9,"",IF(AND(M4027&gt;=원인분석!$C$10,M4027&lt;=원인분석!$C$11),"당기",IF(AND(M4027&gt;=원인분석!$C$12,M4027&lt;=원인분석!$C$13),"비교",""))))</f>
        <v/>
      </c>
      <c r="R4027" s="9">
        <f>IF(Q4027="","",$K4027&amp;"")</f>
        <v/>
      </c>
      <c r="S4027" s="9">
        <f>IF(Q4027="","",IF(MATCH(R4027,$R$5:$R$100000,0)=ROW()-4,ROW(),""))</f>
        <v/>
      </c>
      <c r="T4027" s="9">
        <f>IF(Q4027="당기",ABS(P4027)+ROW()/1000000000,"")</f>
        <v/>
      </c>
      <c r="U4027" s="9">
        <f>IF(Q4027="비교",ABS(P4027)+ROW()/1000000000,"")</f>
        <v/>
      </c>
      <c r="V4027" s="64">
        <f>IF($A4027="","",IF(COUNTIF(변동분석!$E$7:$E$506,O4027)&gt;0,"Y","N"))</f>
        <v/>
      </c>
      <c r="W4027" s="64">
        <f>IF($A4027="","",IFERROR(INDEX(계정매핑!$D$5:$D$504,MATCH($F4027&amp;"",계정매핑!$A$5:$A$504,0)),"미매핑"))</f>
        <v/>
      </c>
      <c r="X4027" s="9">
        <f>IF($A4027="","",$F4027&amp;"")</f>
        <v/>
      </c>
      <c r="Y4027" s="94">
        <f>IF($A4027="",0,IF(AE4027="직접",IF(AF4027="비귀속",$P4027,0),$P4027*(1-AG4027)*IFERROR(INDEX(계정대체기준!$F$20:$F$49,MATCH($N4027,계정대체기준!$A$20:$A$49,0)),1)))</f>
        <v/>
      </c>
      <c r="Z4027" s="94">
        <f>IF($A4027="",0,IF(AE4027="직접",IF(AF4027="신계약비",$P4027,0),$P4027*(1-AG4027)*IFERROR(INDEX(계정대체기준!$C$20:$C$49,MATCH($N4027,계정대체기준!$A$20:$A$49,0)),0)))</f>
        <v/>
      </c>
      <c r="AA4027" s="94">
        <f>IF($A4027="",0,IF(AE4027="직접",IF(OR(AF4027="유지비",AF4027="손해조사비"),$P4027,0),$P4027*(1-AG4027)*IFERROR(INDEX(계정대체기준!$D$20:$D$49,MATCH($N4027,계정대체기준!$A$20:$A$49,0)),0)))</f>
        <v/>
      </c>
      <c r="AB4027" s="94">
        <f>IF($A4027="",0,IF(AE4027="직접",IF(AF4027="수금비",$P4027,0),$P4027*(1-AG4027)*IFERROR(INDEX(계정대체기준!$E$20:$E$49,MATCH($N4027,계정대체기준!$A$20:$A$49,0)),0)))</f>
        <v/>
      </c>
      <c r="AC4027" s="9">
        <f>IF(AND($A4027&lt;&gt;"",M4027=설정!$C$20,Z4027&gt;0),Z4027+ROW()/1000000000,"")</f>
        <v/>
      </c>
      <c r="AD4027" s="94">
        <f>IF($A4027="",0,$P4027*AG4027)</f>
        <v/>
      </c>
      <c r="AE4027" s="64">
        <f>IF($A4027="","",IFERROR(INDEX(계정매핑!$E$5:$E$504,MATCH($F4027&amp;"",계정매핑!$A$5:$A$504,0))&amp;"","공통비"))</f>
        <v/>
      </c>
      <c r="AF4027" s="64">
        <f>IF($A4027="","",IF(AE4027="직접",IFERROR(INDEX(계정매핑!$F$5:$F$504,MATCH($F4027&amp;"",계정매핑!$A$5:$A$504,0))&amp;"","비귀속"),""))</f>
        <v/>
      </c>
      <c r="AG4027" s="96">
        <f>IF($A4027="",0,IF(AND(AE4027&lt;&gt;"직접",IFERROR(INDEX(계정매핑!$G$5:$G$504,MATCH($F4027&amp;"",계정매핑!$A$5:$A$504,0))&amp;"","")="유지비",COUNTIF(계정대체기준!$A$6:$A$15,$N4027)&gt;0),IFERROR(INDEX(계정대체기준!$E$6:$E$15,MATCH(VALUE($A4027&amp;""),계정대체기준!$D$6:$D$15,0)),0),0))</f>
        <v/>
      </c>
      <c r="AH4027" s="64">
        <f>IF($A4027="","",IF(AD4027=0,"",IF(OR(COUNTIF(계정대체기준!$A$77:$A$86,$N4027)&gt;0,ISNUMBER(MATCH($X4027,계정대체기준!$D$77:$D$86,0)),ISNUMBER(MATCH($F4027,계정대체기준!$D$77:$D$86,0))),"Y","N")))</f>
        <v/>
      </c>
    </row>
    <row r="4028">
      <c r="A4028" s="92" t="n">
        <v>2026</v>
      </c>
      <c r="B4028" s="92" t="n">
        <v>6</v>
      </c>
      <c r="C4028" s="92" t="inlineStr">
        <is>
          <t>5100001306</t>
        </is>
      </c>
      <c r="D4028" s="95" t="n">
        <v>46195</v>
      </c>
      <c r="E4028" s="92" t="inlineStr">
        <is>
          <t>KR</t>
        </is>
      </c>
      <c r="F4028" s="92" t="n">
        <v>62401000</v>
      </c>
      <c r="G4028" s="92" t="n">
        <v>1401</v>
      </c>
      <c r="H4028" s="93" t="n">
        <v>274000</v>
      </c>
      <c r="I4028" s="92" t="inlineStr">
        <is>
          <t>6월 인쇄물 제작 - G인쇄</t>
        </is>
      </c>
      <c r="J4028" s="92" t="inlineStr">
        <is>
          <t>V10004</t>
        </is>
      </c>
      <c r="K4028" s="92" t="inlineStr">
        <is>
          <t>G인쇄</t>
        </is>
      </c>
      <c r="M4028" s="9">
        <f>IF($A4028="","",VALUE($A4028&amp;"")*12+VALUE($B4028&amp;""))</f>
        <v/>
      </c>
      <c r="N4028" s="64">
        <f>IF($A4028="","",IFERROR(INDEX(부서매핑!$C$5:$C$504,MATCH($G4028&amp;"",부서매핑!$A$5:$A$504,0)),"미매핑"))</f>
        <v/>
      </c>
      <c r="O4028" s="9">
        <f>IF($A4028="","",N4028&amp;"|"&amp;$F4028)</f>
        <v/>
      </c>
      <c r="P4028" s="94">
        <f>IF($A4028="",0,$H4028*설정!$C$23)</f>
        <v/>
      </c>
      <c r="Q4028" s="64">
        <f>IF($A4028="","",IF(O4028&lt;&gt;원인분석!$C$9,"",IF(AND(M4028&gt;=원인분석!$C$10,M4028&lt;=원인분석!$C$11),"당기",IF(AND(M4028&gt;=원인분석!$C$12,M4028&lt;=원인분석!$C$13),"비교",""))))</f>
        <v/>
      </c>
      <c r="R4028" s="9">
        <f>IF(Q4028="","",$K4028&amp;"")</f>
        <v/>
      </c>
      <c r="S4028" s="9">
        <f>IF(Q4028="","",IF(MATCH(R4028,$R$5:$R$100000,0)=ROW()-4,ROW(),""))</f>
        <v/>
      </c>
      <c r="T4028" s="9">
        <f>IF(Q4028="당기",ABS(P4028)+ROW()/1000000000,"")</f>
        <v/>
      </c>
      <c r="U4028" s="9">
        <f>IF(Q4028="비교",ABS(P4028)+ROW()/1000000000,"")</f>
        <v/>
      </c>
      <c r="V4028" s="64">
        <f>IF($A4028="","",IF(COUNTIF(변동분석!$E$7:$E$506,O4028)&gt;0,"Y","N"))</f>
        <v/>
      </c>
      <c r="W4028" s="64">
        <f>IF($A4028="","",IFERROR(INDEX(계정매핑!$D$5:$D$504,MATCH($F4028&amp;"",계정매핑!$A$5:$A$504,0)),"미매핑"))</f>
        <v/>
      </c>
      <c r="X4028" s="9">
        <f>IF($A4028="","",$F4028&amp;"")</f>
        <v/>
      </c>
      <c r="Y4028" s="94">
        <f>IF($A4028="",0,IF(AE4028="직접",IF(AF4028="비귀속",$P4028,0),$P4028*(1-AG4028)*IFERROR(INDEX(계정대체기준!$F$20:$F$49,MATCH($N4028,계정대체기준!$A$20:$A$49,0)),1)))</f>
        <v/>
      </c>
      <c r="Z4028" s="94">
        <f>IF($A4028="",0,IF(AE4028="직접",IF(AF4028="신계약비",$P4028,0),$P4028*(1-AG4028)*IFERROR(INDEX(계정대체기준!$C$20:$C$49,MATCH($N4028,계정대체기준!$A$20:$A$49,0)),0)))</f>
        <v/>
      </c>
      <c r="AA4028" s="94">
        <f>IF($A4028="",0,IF(AE4028="직접",IF(OR(AF4028="유지비",AF4028="손해조사비"),$P4028,0),$P4028*(1-AG4028)*IFERROR(INDEX(계정대체기준!$D$20:$D$49,MATCH($N4028,계정대체기준!$A$20:$A$49,0)),0)))</f>
        <v/>
      </c>
      <c r="AB4028" s="94">
        <f>IF($A4028="",0,IF(AE4028="직접",IF(AF4028="수금비",$P4028,0),$P4028*(1-AG4028)*IFERROR(INDEX(계정대체기준!$E$20:$E$49,MATCH($N4028,계정대체기준!$A$20:$A$49,0)),0)))</f>
        <v/>
      </c>
      <c r="AC4028" s="9">
        <f>IF(AND($A4028&lt;&gt;"",M4028=설정!$C$20,Z4028&gt;0),Z4028+ROW()/1000000000,"")</f>
        <v/>
      </c>
      <c r="AD4028" s="94">
        <f>IF($A4028="",0,$P4028*AG4028)</f>
        <v/>
      </c>
      <c r="AE4028" s="64">
        <f>IF($A4028="","",IFERROR(INDEX(계정매핑!$E$5:$E$504,MATCH($F4028&amp;"",계정매핑!$A$5:$A$504,0))&amp;"","공통비"))</f>
        <v/>
      </c>
      <c r="AF4028" s="64">
        <f>IF($A4028="","",IF(AE4028="직접",IFERROR(INDEX(계정매핑!$F$5:$F$504,MATCH($F4028&amp;"",계정매핑!$A$5:$A$504,0))&amp;"","비귀속"),""))</f>
        <v/>
      </c>
      <c r="AG4028" s="96">
        <f>IF($A4028="",0,IF(AND(AE4028&lt;&gt;"직접",IFERROR(INDEX(계정매핑!$G$5:$G$504,MATCH($F4028&amp;"",계정매핑!$A$5:$A$504,0))&amp;"","")="유지비",COUNTIF(계정대체기준!$A$6:$A$15,$N4028)&gt;0),IFERROR(INDEX(계정대체기준!$E$6:$E$15,MATCH(VALUE($A4028&amp;""),계정대체기준!$D$6:$D$15,0)),0),0))</f>
        <v/>
      </c>
      <c r="AH4028" s="64">
        <f>IF($A4028="","",IF(AD4028=0,"",IF(OR(COUNTIF(계정대체기준!$A$77:$A$86,$N4028)&gt;0,ISNUMBER(MATCH($X4028,계정대체기준!$D$77:$D$86,0)),ISNUMBER(MATCH($F4028,계정대체기준!$D$77:$D$86,0))),"Y","N")))</f>
        <v/>
      </c>
    </row>
    <row r="4029">
      <c r="A4029" s="92" t="n">
        <v>2026</v>
      </c>
      <c r="B4029" s="92" t="n">
        <v>6</v>
      </c>
      <c r="C4029" s="92" t="inlineStr">
        <is>
          <t>5100001307</t>
        </is>
      </c>
      <c r="D4029" s="95" t="n">
        <v>46195</v>
      </c>
      <c r="E4029" s="92" t="inlineStr">
        <is>
          <t>KR</t>
        </is>
      </c>
      <c r="F4029" s="92" t="n">
        <v>62401000</v>
      </c>
      <c r="G4029" s="92" t="n">
        <v>1502</v>
      </c>
      <c r="H4029" s="93" t="n">
        <v>2254000</v>
      </c>
      <c r="I4029" s="92" t="inlineStr">
        <is>
          <t>6월 인쇄물 제작 - G인쇄</t>
        </is>
      </c>
      <c r="J4029" s="92" t="inlineStr">
        <is>
          <t>V10004</t>
        </is>
      </c>
      <c r="K4029" s="92" t="inlineStr">
        <is>
          <t>G인쇄</t>
        </is>
      </c>
      <c r="M4029" s="9">
        <f>IF($A4029="","",VALUE($A4029&amp;"")*12+VALUE($B4029&amp;""))</f>
        <v/>
      </c>
      <c r="N4029" s="64">
        <f>IF($A4029="","",IFERROR(INDEX(부서매핑!$C$5:$C$504,MATCH($G4029&amp;"",부서매핑!$A$5:$A$504,0)),"미매핑"))</f>
        <v/>
      </c>
      <c r="O4029" s="9">
        <f>IF($A4029="","",N4029&amp;"|"&amp;$F4029)</f>
        <v/>
      </c>
      <c r="P4029" s="94">
        <f>IF($A4029="",0,$H4029*설정!$C$23)</f>
        <v/>
      </c>
      <c r="Q4029" s="64">
        <f>IF($A4029="","",IF(O4029&lt;&gt;원인분석!$C$9,"",IF(AND(M4029&gt;=원인분석!$C$10,M4029&lt;=원인분석!$C$11),"당기",IF(AND(M4029&gt;=원인분석!$C$12,M4029&lt;=원인분석!$C$13),"비교",""))))</f>
        <v/>
      </c>
      <c r="R4029" s="9">
        <f>IF(Q4029="","",$K4029&amp;"")</f>
        <v/>
      </c>
      <c r="S4029" s="9">
        <f>IF(Q4029="","",IF(MATCH(R4029,$R$5:$R$100000,0)=ROW()-4,ROW(),""))</f>
        <v/>
      </c>
      <c r="T4029" s="9">
        <f>IF(Q4029="당기",ABS(P4029)+ROW()/1000000000,"")</f>
        <v/>
      </c>
      <c r="U4029" s="9">
        <f>IF(Q4029="비교",ABS(P4029)+ROW()/1000000000,"")</f>
        <v/>
      </c>
      <c r="V4029" s="64">
        <f>IF($A4029="","",IF(COUNTIF(변동분석!$E$7:$E$506,O4029)&gt;0,"Y","N"))</f>
        <v/>
      </c>
      <c r="W4029" s="64">
        <f>IF($A4029="","",IFERROR(INDEX(계정매핑!$D$5:$D$504,MATCH($F4029&amp;"",계정매핑!$A$5:$A$504,0)),"미매핑"))</f>
        <v/>
      </c>
      <c r="X4029" s="9">
        <f>IF($A4029="","",$F4029&amp;"")</f>
        <v/>
      </c>
      <c r="Y4029" s="94">
        <f>IF($A4029="",0,IF(AE4029="직접",IF(AF4029="비귀속",$P4029,0),$P4029*(1-AG4029)*IFERROR(INDEX(계정대체기준!$F$20:$F$49,MATCH($N4029,계정대체기준!$A$20:$A$49,0)),1)))</f>
        <v/>
      </c>
      <c r="Z4029" s="94">
        <f>IF($A4029="",0,IF(AE4029="직접",IF(AF4029="신계약비",$P4029,0),$P4029*(1-AG4029)*IFERROR(INDEX(계정대체기준!$C$20:$C$49,MATCH($N4029,계정대체기준!$A$20:$A$49,0)),0)))</f>
        <v/>
      </c>
      <c r="AA4029" s="94">
        <f>IF($A4029="",0,IF(AE4029="직접",IF(OR(AF4029="유지비",AF4029="손해조사비"),$P4029,0),$P4029*(1-AG4029)*IFERROR(INDEX(계정대체기준!$D$20:$D$49,MATCH($N4029,계정대체기준!$A$20:$A$49,0)),0)))</f>
        <v/>
      </c>
      <c r="AB4029" s="94">
        <f>IF($A4029="",0,IF(AE4029="직접",IF(AF4029="수금비",$P4029,0),$P4029*(1-AG4029)*IFERROR(INDEX(계정대체기준!$E$20:$E$49,MATCH($N4029,계정대체기준!$A$20:$A$49,0)),0)))</f>
        <v/>
      </c>
      <c r="AC4029" s="9">
        <f>IF(AND($A4029&lt;&gt;"",M4029=설정!$C$20,Z4029&gt;0),Z4029+ROW()/1000000000,"")</f>
        <v/>
      </c>
      <c r="AD4029" s="94">
        <f>IF($A4029="",0,$P4029*AG4029)</f>
        <v/>
      </c>
      <c r="AE4029" s="64">
        <f>IF($A4029="","",IFERROR(INDEX(계정매핑!$E$5:$E$504,MATCH($F4029&amp;"",계정매핑!$A$5:$A$504,0))&amp;"","공통비"))</f>
        <v/>
      </c>
      <c r="AF4029" s="64">
        <f>IF($A4029="","",IF(AE4029="직접",IFERROR(INDEX(계정매핑!$F$5:$F$504,MATCH($F4029&amp;"",계정매핑!$A$5:$A$504,0))&amp;"","비귀속"),""))</f>
        <v/>
      </c>
      <c r="AG4029" s="96">
        <f>IF($A4029="",0,IF(AND(AE4029&lt;&gt;"직접",IFERROR(INDEX(계정매핑!$G$5:$G$504,MATCH($F4029&amp;"",계정매핑!$A$5:$A$504,0))&amp;"","")="유지비",COUNTIF(계정대체기준!$A$6:$A$15,$N4029)&gt;0),IFERROR(INDEX(계정대체기준!$E$6:$E$15,MATCH(VALUE($A4029&amp;""),계정대체기준!$D$6:$D$15,0)),0),0))</f>
        <v/>
      </c>
      <c r="AH4029" s="64">
        <f>IF($A4029="","",IF(AD4029=0,"",IF(OR(COUNTIF(계정대체기준!$A$77:$A$86,$N4029)&gt;0,ISNUMBER(MATCH($X4029,계정대체기준!$D$77:$D$86,0)),ISNUMBER(MATCH($F4029,계정대체기준!$D$77:$D$86,0))),"Y","N")))</f>
        <v/>
      </c>
    </row>
    <row r="4030">
      <c r="A4030" s="92" t="n">
        <v>2026</v>
      </c>
      <c r="B4030" s="92" t="n">
        <v>6</v>
      </c>
      <c r="C4030" s="92" t="inlineStr">
        <is>
          <t>5100001308</t>
        </is>
      </c>
      <c r="D4030" s="95" t="n">
        <v>46195</v>
      </c>
      <c r="E4030" s="92" t="inlineStr">
        <is>
          <t>KR</t>
        </is>
      </c>
      <c r="F4030" s="92" t="n">
        <v>62501000</v>
      </c>
      <c r="G4030" s="92" t="n">
        <v>1101</v>
      </c>
      <c r="H4030" s="93" t="n">
        <v>389000</v>
      </c>
      <c r="I4030" s="92" t="inlineStr">
        <is>
          <t>6월 회의 다과 - (법인카드)</t>
        </is>
      </c>
      <c r="J4030" s="92" t="inlineStr">
        <is>
          <t>V10010</t>
        </is>
      </c>
      <c r="K4030" s="92" t="inlineStr">
        <is>
          <t>(법인카드)</t>
        </is>
      </c>
      <c r="M4030" s="9">
        <f>IF($A4030="","",VALUE($A4030&amp;"")*12+VALUE($B4030&amp;""))</f>
        <v/>
      </c>
      <c r="N4030" s="64">
        <f>IF($A4030="","",IFERROR(INDEX(부서매핑!$C$5:$C$504,MATCH($G4030&amp;"",부서매핑!$A$5:$A$504,0)),"미매핑"))</f>
        <v/>
      </c>
      <c r="O4030" s="9">
        <f>IF($A4030="","",N4030&amp;"|"&amp;$F4030)</f>
        <v/>
      </c>
      <c r="P4030" s="94">
        <f>IF($A4030="",0,$H4030*설정!$C$23)</f>
        <v/>
      </c>
      <c r="Q4030" s="64">
        <f>IF($A4030="","",IF(O4030&lt;&gt;원인분석!$C$9,"",IF(AND(M4030&gt;=원인분석!$C$10,M4030&lt;=원인분석!$C$11),"당기",IF(AND(M4030&gt;=원인분석!$C$12,M4030&lt;=원인분석!$C$13),"비교",""))))</f>
        <v/>
      </c>
      <c r="R4030" s="9">
        <f>IF(Q4030="","",$K4030&amp;"")</f>
        <v/>
      </c>
      <c r="S4030" s="9">
        <f>IF(Q4030="","",IF(MATCH(R4030,$R$5:$R$100000,0)=ROW()-4,ROW(),""))</f>
        <v/>
      </c>
      <c r="T4030" s="9">
        <f>IF(Q4030="당기",ABS(P4030)+ROW()/1000000000,"")</f>
        <v/>
      </c>
      <c r="U4030" s="9">
        <f>IF(Q4030="비교",ABS(P4030)+ROW()/1000000000,"")</f>
        <v/>
      </c>
      <c r="V4030" s="64">
        <f>IF($A4030="","",IF(COUNTIF(변동분석!$E$7:$E$506,O4030)&gt;0,"Y","N"))</f>
        <v/>
      </c>
      <c r="W4030" s="64">
        <f>IF($A4030="","",IFERROR(INDEX(계정매핑!$D$5:$D$504,MATCH($F4030&amp;"",계정매핑!$A$5:$A$504,0)),"미매핑"))</f>
        <v/>
      </c>
      <c r="X4030" s="9">
        <f>IF($A4030="","",$F4030&amp;"")</f>
        <v/>
      </c>
      <c r="Y4030" s="94">
        <f>IF($A4030="",0,IF(AE4030="직접",IF(AF4030="비귀속",$P4030,0),$P4030*(1-AG4030)*IFERROR(INDEX(계정대체기준!$F$20:$F$49,MATCH($N4030,계정대체기준!$A$20:$A$49,0)),1)))</f>
        <v/>
      </c>
      <c r="Z4030" s="94">
        <f>IF($A4030="",0,IF(AE4030="직접",IF(AF4030="신계약비",$P4030,0),$P4030*(1-AG4030)*IFERROR(INDEX(계정대체기준!$C$20:$C$49,MATCH($N4030,계정대체기준!$A$20:$A$49,0)),0)))</f>
        <v/>
      </c>
      <c r="AA4030" s="94">
        <f>IF($A4030="",0,IF(AE4030="직접",IF(OR(AF4030="유지비",AF4030="손해조사비"),$P4030,0),$P4030*(1-AG4030)*IFERROR(INDEX(계정대체기준!$D$20:$D$49,MATCH($N4030,계정대체기준!$A$20:$A$49,0)),0)))</f>
        <v/>
      </c>
      <c r="AB4030" s="94">
        <f>IF($A4030="",0,IF(AE4030="직접",IF(AF4030="수금비",$P4030,0),$P4030*(1-AG4030)*IFERROR(INDEX(계정대체기준!$E$20:$E$49,MATCH($N4030,계정대체기준!$A$20:$A$49,0)),0)))</f>
        <v/>
      </c>
      <c r="AC4030" s="9">
        <f>IF(AND($A4030&lt;&gt;"",M4030=설정!$C$20,Z4030&gt;0),Z4030+ROW()/1000000000,"")</f>
        <v/>
      </c>
      <c r="AD4030" s="94">
        <f>IF($A4030="",0,$P4030*AG4030)</f>
        <v/>
      </c>
      <c r="AE4030" s="64">
        <f>IF($A4030="","",IFERROR(INDEX(계정매핑!$E$5:$E$504,MATCH($F4030&amp;"",계정매핑!$A$5:$A$504,0))&amp;"","공통비"))</f>
        <v/>
      </c>
      <c r="AF4030" s="64">
        <f>IF($A4030="","",IF(AE4030="직접",IFERROR(INDEX(계정매핑!$F$5:$F$504,MATCH($F4030&amp;"",계정매핑!$A$5:$A$504,0))&amp;"","비귀속"),""))</f>
        <v/>
      </c>
      <c r="AG4030" s="96">
        <f>IF($A4030="",0,IF(AND(AE4030&lt;&gt;"직접",IFERROR(INDEX(계정매핑!$G$5:$G$504,MATCH($F4030&amp;"",계정매핑!$A$5:$A$504,0))&amp;"","")="유지비",COUNTIF(계정대체기준!$A$6:$A$15,$N4030)&gt;0),IFERROR(INDEX(계정대체기준!$E$6:$E$15,MATCH(VALUE($A4030&amp;""),계정대체기준!$D$6:$D$15,0)),0),0))</f>
        <v/>
      </c>
      <c r="AH4030" s="64">
        <f>IF($A4030="","",IF(AD4030=0,"",IF(OR(COUNTIF(계정대체기준!$A$77:$A$86,$N4030)&gt;0,ISNUMBER(MATCH($X4030,계정대체기준!$D$77:$D$86,0)),ISNUMBER(MATCH($F4030,계정대체기준!$D$77:$D$86,0))),"Y","N")))</f>
        <v/>
      </c>
    </row>
    <row r="4031">
      <c r="A4031" s="92" t="n">
        <v>2026</v>
      </c>
      <c r="B4031" s="92" t="n">
        <v>6</v>
      </c>
      <c r="C4031" s="92" t="inlineStr">
        <is>
          <t>5100001309</t>
        </is>
      </c>
      <c r="D4031" s="95" t="n">
        <v>46195</v>
      </c>
      <c r="E4031" s="92" t="inlineStr">
        <is>
          <t>KR</t>
        </is>
      </c>
      <c r="F4031" s="92" t="n">
        <v>62601000</v>
      </c>
      <c r="G4031" s="92" t="n">
        <v>1602</v>
      </c>
      <c r="H4031" s="93" t="n">
        <v>1667000</v>
      </c>
      <c r="I4031" s="92" t="inlineStr">
        <is>
          <t>6월 업무추진 - (법인카드)</t>
        </is>
      </c>
      <c r="J4031" s="92" t="inlineStr">
        <is>
          <t>V10010</t>
        </is>
      </c>
      <c r="K4031" s="92" t="inlineStr">
        <is>
          <t>(법인카드)</t>
        </is>
      </c>
      <c r="M4031" s="9">
        <f>IF($A4031="","",VALUE($A4031&amp;"")*12+VALUE($B4031&amp;""))</f>
        <v/>
      </c>
      <c r="N4031" s="64">
        <f>IF($A4031="","",IFERROR(INDEX(부서매핑!$C$5:$C$504,MATCH($G4031&amp;"",부서매핑!$A$5:$A$504,0)),"미매핑"))</f>
        <v/>
      </c>
      <c r="O4031" s="9">
        <f>IF($A4031="","",N4031&amp;"|"&amp;$F4031)</f>
        <v/>
      </c>
      <c r="P4031" s="94">
        <f>IF($A4031="",0,$H4031*설정!$C$23)</f>
        <v/>
      </c>
      <c r="Q4031" s="64">
        <f>IF($A4031="","",IF(O4031&lt;&gt;원인분석!$C$9,"",IF(AND(M4031&gt;=원인분석!$C$10,M4031&lt;=원인분석!$C$11),"당기",IF(AND(M4031&gt;=원인분석!$C$12,M4031&lt;=원인분석!$C$13),"비교",""))))</f>
        <v/>
      </c>
      <c r="R4031" s="9">
        <f>IF(Q4031="","",$K4031&amp;"")</f>
        <v/>
      </c>
      <c r="S4031" s="9">
        <f>IF(Q4031="","",IF(MATCH(R4031,$R$5:$R$100000,0)=ROW()-4,ROW(),""))</f>
        <v/>
      </c>
      <c r="T4031" s="9">
        <f>IF(Q4031="당기",ABS(P4031)+ROW()/1000000000,"")</f>
        <v/>
      </c>
      <c r="U4031" s="9">
        <f>IF(Q4031="비교",ABS(P4031)+ROW()/1000000000,"")</f>
        <v/>
      </c>
      <c r="V4031" s="64">
        <f>IF($A4031="","",IF(COUNTIF(변동분석!$E$7:$E$506,O4031)&gt;0,"Y","N"))</f>
        <v/>
      </c>
      <c r="W4031" s="64">
        <f>IF($A4031="","",IFERROR(INDEX(계정매핑!$D$5:$D$504,MATCH($F4031&amp;"",계정매핑!$A$5:$A$504,0)),"미매핑"))</f>
        <v/>
      </c>
      <c r="X4031" s="9">
        <f>IF($A4031="","",$F4031&amp;"")</f>
        <v/>
      </c>
      <c r="Y4031" s="94">
        <f>IF($A4031="",0,IF(AE4031="직접",IF(AF4031="비귀속",$P4031,0),$P4031*(1-AG4031)*IFERROR(INDEX(계정대체기준!$F$20:$F$49,MATCH($N4031,계정대체기준!$A$20:$A$49,0)),1)))</f>
        <v/>
      </c>
      <c r="Z4031" s="94">
        <f>IF($A4031="",0,IF(AE4031="직접",IF(AF4031="신계약비",$P4031,0),$P4031*(1-AG4031)*IFERROR(INDEX(계정대체기준!$C$20:$C$49,MATCH($N4031,계정대체기준!$A$20:$A$49,0)),0)))</f>
        <v/>
      </c>
      <c r="AA4031" s="94">
        <f>IF($A4031="",0,IF(AE4031="직접",IF(OR(AF4031="유지비",AF4031="손해조사비"),$P4031,0),$P4031*(1-AG4031)*IFERROR(INDEX(계정대체기준!$D$20:$D$49,MATCH($N4031,계정대체기준!$A$20:$A$49,0)),0)))</f>
        <v/>
      </c>
      <c r="AB4031" s="94">
        <f>IF($A4031="",0,IF(AE4031="직접",IF(AF4031="수금비",$P4031,0),$P4031*(1-AG4031)*IFERROR(INDEX(계정대체기준!$E$20:$E$49,MATCH($N4031,계정대체기준!$A$20:$A$49,0)),0)))</f>
        <v/>
      </c>
      <c r="AC4031" s="9">
        <f>IF(AND($A4031&lt;&gt;"",M4031=설정!$C$20,Z4031&gt;0),Z4031+ROW()/1000000000,"")</f>
        <v/>
      </c>
      <c r="AD4031" s="94">
        <f>IF($A4031="",0,$P4031*AG4031)</f>
        <v/>
      </c>
      <c r="AE4031" s="64">
        <f>IF($A4031="","",IFERROR(INDEX(계정매핑!$E$5:$E$504,MATCH($F4031&amp;"",계정매핑!$A$5:$A$504,0))&amp;"","공통비"))</f>
        <v/>
      </c>
      <c r="AF4031" s="64">
        <f>IF($A4031="","",IF(AE4031="직접",IFERROR(INDEX(계정매핑!$F$5:$F$504,MATCH($F4031&amp;"",계정매핑!$A$5:$A$504,0))&amp;"","비귀속"),""))</f>
        <v/>
      </c>
      <c r="AG4031" s="96">
        <f>IF($A4031="",0,IF(AND(AE4031&lt;&gt;"직접",IFERROR(INDEX(계정매핑!$G$5:$G$504,MATCH($F4031&amp;"",계정매핑!$A$5:$A$504,0))&amp;"","")="유지비",COUNTIF(계정대체기준!$A$6:$A$15,$N4031)&gt;0),IFERROR(INDEX(계정대체기준!$E$6:$E$15,MATCH(VALUE($A4031&amp;""),계정대체기준!$D$6:$D$15,0)),0),0))</f>
        <v/>
      </c>
      <c r="AH4031" s="64">
        <f>IF($A4031="","",IF(AD4031=0,"",IF(OR(COUNTIF(계정대체기준!$A$77:$A$86,$N4031)&gt;0,ISNUMBER(MATCH($X4031,계정대체기준!$D$77:$D$86,0)),ISNUMBER(MATCH($F4031,계정대체기준!$D$77:$D$86,0))),"Y","N")))</f>
        <v/>
      </c>
    </row>
    <row r="4032">
      <c r="A4032" s="92" t="n">
        <v>2026</v>
      </c>
      <c r="B4032" s="92" t="n">
        <v>6</v>
      </c>
      <c r="C4032" s="92" t="inlineStr">
        <is>
          <t>5100001310</t>
        </is>
      </c>
      <c r="D4032" s="95" t="n">
        <v>46195</v>
      </c>
      <c r="E4032" s="92" t="inlineStr">
        <is>
          <t>KR</t>
        </is>
      </c>
      <c r="F4032" s="92" t="n">
        <v>62701000</v>
      </c>
      <c r="G4032" s="92" t="n">
        <v>1502</v>
      </c>
      <c r="H4032" s="93" t="n">
        <v>37364000</v>
      </c>
      <c r="I4032" s="92" t="inlineStr">
        <is>
          <t>6월 광고 집행 - E미디어</t>
        </is>
      </c>
      <c r="J4032" s="92" t="inlineStr">
        <is>
          <t>V10033</t>
        </is>
      </c>
      <c r="K4032" s="92" t="inlineStr">
        <is>
          <t>E미디어</t>
        </is>
      </c>
      <c r="M4032" s="9">
        <f>IF($A4032="","",VALUE($A4032&amp;"")*12+VALUE($B4032&amp;""))</f>
        <v/>
      </c>
      <c r="N4032" s="64">
        <f>IF($A4032="","",IFERROR(INDEX(부서매핑!$C$5:$C$504,MATCH($G4032&amp;"",부서매핑!$A$5:$A$504,0)),"미매핑"))</f>
        <v/>
      </c>
      <c r="O4032" s="9">
        <f>IF($A4032="","",N4032&amp;"|"&amp;$F4032)</f>
        <v/>
      </c>
      <c r="P4032" s="94">
        <f>IF($A4032="",0,$H4032*설정!$C$23)</f>
        <v/>
      </c>
      <c r="Q4032" s="64">
        <f>IF($A4032="","",IF(O4032&lt;&gt;원인분석!$C$9,"",IF(AND(M4032&gt;=원인분석!$C$10,M4032&lt;=원인분석!$C$11),"당기",IF(AND(M4032&gt;=원인분석!$C$12,M4032&lt;=원인분석!$C$13),"비교",""))))</f>
        <v/>
      </c>
      <c r="R4032" s="9">
        <f>IF(Q4032="","",$K4032&amp;"")</f>
        <v/>
      </c>
      <c r="S4032" s="9">
        <f>IF(Q4032="","",IF(MATCH(R4032,$R$5:$R$100000,0)=ROW()-4,ROW(),""))</f>
        <v/>
      </c>
      <c r="T4032" s="9">
        <f>IF(Q4032="당기",ABS(P4032)+ROW()/1000000000,"")</f>
        <v/>
      </c>
      <c r="U4032" s="9">
        <f>IF(Q4032="비교",ABS(P4032)+ROW()/1000000000,"")</f>
        <v/>
      </c>
      <c r="V4032" s="64">
        <f>IF($A4032="","",IF(COUNTIF(변동분석!$E$7:$E$506,O4032)&gt;0,"Y","N"))</f>
        <v/>
      </c>
      <c r="W4032" s="64">
        <f>IF($A4032="","",IFERROR(INDEX(계정매핑!$D$5:$D$504,MATCH($F4032&amp;"",계정매핑!$A$5:$A$504,0)),"미매핑"))</f>
        <v/>
      </c>
      <c r="X4032" s="9">
        <f>IF($A4032="","",$F4032&amp;"")</f>
        <v/>
      </c>
      <c r="Y4032" s="94">
        <f>IF($A4032="",0,IF(AE4032="직접",IF(AF4032="비귀속",$P4032,0),$P4032*(1-AG4032)*IFERROR(INDEX(계정대체기준!$F$20:$F$49,MATCH($N4032,계정대체기준!$A$20:$A$49,0)),1)))</f>
        <v/>
      </c>
      <c r="Z4032" s="94">
        <f>IF($A4032="",0,IF(AE4032="직접",IF(AF4032="신계약비",$P4032,0),$P4032*(1-AG4032)*IFERROR(INDEX(계정대체기준!$C$20:$C$49,MATCH($N4032,계정대체기준!$A$20:$A$49,0)),0)))</f>
        <v/>
      </c>
      <c r="AA4032" s="94">
        <f>IF($A4032="",0,IF(AE4032="직접",IF(OR(AF4032="유지비",AF4032="손해조사비"),$P4032,0),$P4032*(1-AG4032)*IFERROR(INDEX(계정대체기준!$D$20:$D$49,MATCH($N4032,계정대체기준!$A$20:$A$49,0)),0)))</f>
        <v/>
      </c>
      <c r="AB4032" s="94">
        <f>IF($A4032="",0,IF(AE4032="직접",IF(AF4032="수금비",$P4032,0),$P4032*(1-AG4032)*IFERROR(INDEX(계정대체기준!$E$20:$E$49,MATCH($N4032,계정대체기준!$A$20:$A$49,0)),0)))</f>
        <v/>
      </c>
      <c r="AC4032" s="9">
        <f>IF(AND($A4032&lt;&gt;"",M4032=설정!$C$20,Z4032&gt;0),Z4032+ROW()/1000000000,"")</f>
        <v/>
      </c>
      <c r="AD4032" s="94">
        <f>IF($A4032="",0,$P4032*AG4032)</f>
        <v/>
      </c>
      <c r="AE4032" s="64">
        <f>IF($A4032="","",IFERROR(INDEX(계정매핑!$E$5:$E$504,MATCH($F4032&amp;"",계정매핑!$A$5:$A$504,0))&amp;"","공통비"))</f>
        <v/>
      </c>
      <c r="AF4032" s="64">
        <f>IF($A4032="","",IF(AE4032="직접",IFERROR(INDEX(계정매핑!$F$5:$F$504,MATCH($F4032&amp;"",계정매핑!$A$5:$A$504,0))&amp;"","비귀속"),""))</f>
        <v/>
      </c>
      <c r="AG4032" s="96">
        <f>IF($A4032="",0,IF(AND(AE4032&lt;&gt;"직접",IFERROR(INDEX(계정매핑!$G$5:$G$504,MATCH($F4032&amp;"",계정매핑!$A$5:$A$504,0))&amp;"","")="유지비",COUNTIF(계정대체기준!$A$6:$A$15,$N4032)&gt;0),IFERROR(INDEX(계정대체기준!$E$6:$E$15,MATCH(VALUE($A4032&amp;""),계정대체기준!$D$6:$D$15,0)),0),0))</f>
        <v/>
      </c>
      <c r="AH4032" s="64">
        <f>IF($A4032="","",IF(AD4032=0,"",IF(OR(COUNTIF(계정대체기준!$A$77:$A$86,$N4032)&gt;0,ISNUMBER(MATCH($X4032,계정대체기준!$D$77:$D$86,0)),ISNUMBER(MATCH($F4032,계정대체기준!$D$77:$D$86,0))),"Y","N")))</f>
        <v/>
      </c>
    </row>
    <row r="4033">
      <c r="A4033" s="92" t="n">
        <v>2026</v>
      </c>
      <c r="B4033" s="92" t="n">
        <v>6</v>
      </c>
      <c r="C4033" s="92" t="inlineStr">
        <is>
          <t>5100001311</t>
        </is>
      </c>
      <c r="D4033" s="95" t="n">
        <v>46195</v>
      </c>
      <c r="E4033" s="92" t="inlineStr">
        <is>
          <t>KR</t>
        </is>
      </c>
      <c r="F4033" s="92" t="n">
        <v>62902000</v>
      </c>
      <c r="G4033" s="92" t="n">
        <v>1801</v>
      </c>
      <c r="H4033" s="93" t="n">
        <v>1805000</v>
      </c>
      <c r="I4033" s="92" t="inlineStr">
        <is>
          <t>6월 콜 위탁 수수료(건별)</t>
        </is>
      </c>
      <c r="J4033" s="92" t="inlineStr">
        <is>
          <t>V10016</t>
        </is>
      </c>
      <c r="K4033" s="92" t="inlineStr">
        <is>
          <t>J콜센터</t>
        </is>
      </c>
      <c r="M4033" s="9">
        <f>IF($A4033="","",VALUE($A4033&amp;"")*12+VALUE($B4033&amp;""))</f>
        <v/>
      </c>
      <c r="N4033" s="64">
        <f>IF($A4033="","",IFERROR(INDEX(부서매핑!$C$5:$C$504,MATCH($G4033&amp;"",부서매핑!$A$5:$A$504,0)),"미매핑"))</f>
        <v/>
      </c>
      <c r="O4033" s="9">
        <f>IF($A4033="","",N4033&amp;"|"&amp;$F4033)</f>
        <v/>
      </c>
      <c r="P4033" s="94">
        <f>IF($A4033="",0,$H4033*설정!$C$23)</f>
        <v/>
      </c>
      <c r="Q4033" s="64">
        <f>IF($A4033="","",IF(O4033&lt;&gt;원인분석!$C$9,"",IF(AND(M4033&gt;=원인분석!$C$10,M4033&lt;=원인분석!$C$11),"당기",IF(AND(M4033&gt;=원인분석!$C$12,M4033&lt;=원인분석!$C$13),"비교",""))))</f>
        <v/>
      </c>
      <c r="R4033" s="9">
        <f>IF(Q4033="","",$K4033&amp;"")</f>
        <v/>
      </c>
      <c r="S4033" s="9">
        <f>IF(Q4033="","",IF(MATCH(R4033,$R$5:$R$100000,0)=ROW()-4,ROW(),""))</f>
        <v/>
      </c>
      <c r="T4033" s="9">
        <f>IF(Q4033="당기",ABS(P4033)+ROW()/1000000000,"")</f>
        <v/>
      </c>
      <c r="U4033" s="9">
        <f>IF(Q4033="비교",ABS(P4033)+ROW()/1000000000,"")</f>
        <v/>
      </c>
      <c r="V4033" s="64">
        <f>IF($A4033="","",IF(COUNTIF(변동분석!$E$7:$E$506,O4033)&gt;0,"Y","N"))</f>
        <v/>
      </c>
      <c r="W4033" s="64">
        <f>IF($A4033="","",IFERROR(INDEX(계정매핑!$D$5:$D$504,MATCH($F4033&amp;"",계정매핑!$A$5:$A$504,0)),"미매핑"))</f>
        <v/>
      </c>
      <c r="X4033" s="9">
        <f>IF($A4033="","",$F4033&amp;"")</f>
        <v/>
      </c>
      <c r="Y4033" s="94">
        <f>IF($A4033="",0,IF(AE4033="직접",IF(AF4033="비귀속",$P4033,0),$P4033*(1-AG4033)*IFERROR(INDEX(계정대체기준!$F$20:$F$49,MATCH($N4033,계정대체기준!$A$20:$A$49,0)),1)))</f>
        <v/>
      </c>
      <c r="Z4033" s="94">
        <f>IF($A4033="",0,IF(AE4033="직접",IF(AF4033="신계약비",$P4033,0),$P4033*(1-AG4033)*IFERROR(INDEX(계정대체기준!$C$20:$C$49,MATCH($N4033,계정대체기준!$A$20:$A$49,0)),0)))</f>
        <v/>
      </c>
      <c r="AA4033" s="94">
        <f>IF($A4033="",0,IF(AE4033="직접",IF(OR(AF4033="유지비",AF4033="손해조사비"),$P4033,0),$P4033*(1-AG4033)*IFERROR(INDEX(계정대체기준!$D$20:$D$49,MATCH($N4033,계정대체기준!$A$20:$A$49,0)),0)))</f>
        <v/>
      </c>
      <c r="AB4033" s="94">
        <f>IF($A4033="",0,IF(AE4033="직접",IF(AF4033="수금비",$P4033,0),$P4033*(1-AG4033)*IFERROR(INDEX(계정대체기준!$E$20:$E$49,MATCH($N4033,계정대체기준!$A$20:$A$49,0)),0)))</f>
        <v/>
      </c>
      <c r="AC4033" s="9">
        <f>IF(AND($A4033&lt;&gt;"",M4033=설정!$C$20,Z4033&gt;0),Z4033+ROW()/1000000000,"")</f>
        <v/>
      </c>
      <c r="AD4033" s="94">
        <f>IF($A4033="",0,$P4033*AG4033)</f>
        <v/>
      </c>
      <c r="AE4033" s="64">
        <f>IF($A4033="","",IFERROR(INDEX(계정매핑!$E$5:$E$504,MATCH($F4033&amp;"",계정매핑!$A$5:$A$504,0))&amp;"","공통비"))</f>
        <v/>
      </c>
      <c r="AF4033" s="64">
        <f>IF($A4033="","",IF(AE4033="직접",IFERROR(INDEX(계정매핑!$F$5:$F$504,MATCH($F4033&amp;"",계정매핑!$A$5:$A$504,0))&amp;"","비귀속"),""))</f>
        <v/>
      </c>
      <c r="AG4033" s="96">
        <f>IF($A4033="",0,IF(AND(AE4033&lt;&gt;"직접",IFERROR(INDEX(계정매핑!$G$5:$G$504,MATCH($F4033&amp;"",계정매핑!$A$5:$A$504,0))&amp;"","")="유지비",COUNTIF(계정대체기준!$A$6:$A$15,$N4033)&gt;0),IFERROR(INDEX(계정대체기준!$E$6:$E$15,MATCH(VALUE($A4033&amp;""),계정대체기준!$D$6:$D$15,0)),0),0))</f>
        <v/>
      </c>
      <c r="AH4033" s="64">
        <f>IF($A4033="","",IF(AD4033=0,"",IF(OR(COUNTIF(계정대체기준!$A$77:$A$86,$N4033)&gt;0,ISNUMBER(MATCH($X4033,계정대체기준!$D$77:$D$86,0)),ISNUMBER(MATCH($F4033,계정대체기준!$D$77:$D$86,0))),"Y","N")))</f>
        <v/>
      </c>
    </row>
    <row r="4034">
      <c r="A4034" s="92" t="n">
        <v>2026</v>
      </c>
      <c r="B4034" s="92" t="n">
        <v>6</v>
      </c>
      <c r="C4034" s="92" t="inlineStr">
        <is>
          <t>5100001312</t>
        </is>
      </c>
      <c r="D4034" s="95" t="n">
        <v>46195</v>
      </c>
      <c r="E4034" s="92" t="inlineStr">
        <is>
          <t>KR</t>
        </is>
      </c>
      <c r="F4034" s="92" t="n">
        <v>62902000</v>
      </c>
      <c r="G4034" s="92" t="n">
        <v>1801</v>
      </c>
      <c r="H4034" s="93" t="n">
        <v>1824000</v>
      </c>
      <c r="I4034" s="92" t="inlineStr">
        <is>
          <t>6월 콜 위탁 수수료(건별)</t>
        </is>
      </c>
      <c r="J4034" s="92" t="inlineStr">
        <is>
          <t>V10016</t>
        </is>
      </c>
      <c r="K4034" s="92" t="inlineStr">
        <is>
          <t>J콜센터</t>
        </is>
      </c>
      <c r="M4034" s="9">
        <f>IF($A4034="","",VALUE($A4034&amp;"")*12+VALUE($B4034&amp;""))</f>
        <v/>
      </c>
      <c r="N4034" s="64">
        <f>IF($A4034="","",IFERROR(INDEX(부서매핑!$C$5:$C$504,MATCH($G4034&amp;"",부서매핑!$A$5:$A$504,0)),"미매핑"))</f>
        <v/>
      </c>
      <c r="O4034" s="9">
        <f>IF($A4034="","",N4034&amp;"|"&amp;$F4034)</f>
        <v/>
      </c>
      <c r="P4034" s="94">
        <f>IF($A4034="",0,$H4034*설정!$C$23)</f>
        <v/>
      </c>
      <c r="Q4034" s="64">
        <f>IF($A4034="","",IF(O4034&lt;&gt;원인분석!$C$9,"",IF(AND(M4034&gt;=원인분석!$C$10,M4034&lt;=원인분석!$C$11),"당기",IF(AND(M4034&gt;=원인분석!$C$12,M4034&lt;=원인분석!$C$13),"비교",""))))</f>
        <v/>
      </c>
      <c r="R4034" s="9">
        <f>IF(Q4034="","",$K4034&amp;"")</f>
        <v/>
      </c>
      <c r="S4034" s="9">
        <f>IF(Q4034="","",IF(MATCH(R4034,$R$5:$R$100000,0)=ROW()-4,ROW(),""))</f>
        <v/>
      </c>
      <c r="T4034" s="9">
        <f>IF(Q4034="당기",ABS(P4034)+ROW()/1000000000,"")</f>
        <v/>
      </c>
      <c r="U4034" s="9">
        <f>IF(Q4034="비교",ABS(P4034)+ROW()/1000000000,"")</f>
        <v/>
      </c>
      <c r="V4034" s="64">
        <f>IF($A4034="","",IF(COUNTIF(변동분석!$E$7:$E$506,O4034)&gt;0,"Y","N"))</f>
        <v/>
      </c>
      <c r="W4034" s="64">
        <f>IF($A4034="","",IFERROR(INDEX(계정매핑!$D$5:$D$504,MATCH($F4034&amp;"",계정매핑!$A$5:$A$504,0)),"미매핑"))</f>
        <v/>
      </c>
      <c r="X4034" s="9">
        <f>IF($A4034="","",$F4034&amp;"")</f>
        <v/>
      </c>
      <c r="Y4034" s="94">
        <f>IF($A4034="",0,IF(AE4034="직접",IF(AF4034="비귀속",$P4034,0),$P4034*(1-AG4034)*IFERROR(INDEX(계정대체기준!$F$20:$F$49,MATCH($N4034,계정대체기준!$A$20:$A$49,0)),1)))</f>
        <v/>
      </c>
      <c r="Z4034" s="94">
        <f>IF($A4034="",0,IF(AE4034="직접",IF(AF4034="신계약비",$P4034,0),$P4034*(1-AG4034)*IFERROR(INDEX(계정대체기준!$C$20:$C$49,MATCH($N4034,계정대체기준!$A$20:$A$49,0)),0)))</f>
        <v/>
      </c>
      <c r="AA4034" s="94">
        <f>IF($A4034="",0,IF(AE4034="직접",IF(OR(AF4034="유지비",AF4034="손해조사비"),$P4034,0),$P4034*(1-AG4034)*IFERROR(INDEX(계정대체기준!$D$20:$D$49,MATCH($N4034,계정대체기준!$A$20:$A$49,0)),0)))</f>
        <v/>
      </c>
      <c r="AB4034" s="94">
        <f>IF($A4034="",0,IF(AE4034="직접",IF(AF4034="수금비",$P4034,0),$P4034*(1-AG4034)*IFERROR(INDEX(계정대체기준!$E$20:$E$49,MATCH($N4034,계정대체기준!$A$20:$A$49,0)),0)))</f>
        <v/>
      </c>
      <c r="AC4034" s="9">
        <f>IF(AND($A4034&lt;&gt;"",M4034=설정!$C$20,Z4034&gt;0),Z4034+ROW()/1000000000,"")</f>
        <v/>
      </c>
      <c r="AD4034" s="94">
        <f>IF($A4034="",0,$P4034*AG4034)</f>
        <v/>
      </c>
      <c r="AE4034" s="64">
        <f>IF($A4034="","",IFERROR(INDEX(계정매핑!$E$5:$E$504,MATCH($F4034&amp;"",계정매핑!$A$5:$A$504,0))&amp;"","공통비"))</f>
        <v/>
      </c>
      <c r="AF4034" s="64">
        <f>IF($A4034="","",IF(AE4034="직접",IFERROR(INDEX(계정매핑!$F$5:$F$504,MATCH($F4034&amp;"",계정매핑!$A$5:$A$504,0))&amp;"","비귀속"),""))</f>
        <v/>
      </c>
      <c r="AG4034" s="96">
        <f>IF($A4034="",0,IF(AND(AE4034&lt;&gt;"직접",IFERROR(INDEX(계정매핑!$G$5:$G$504,MATCH($F4034&amp;"",계정매핑!$A$5:$A$504,0))&amp;"","")="유지비",COUNTIF(계정대체기준!$A$6:$A$15,$N4034)&gt;0),IFERROR(INDEX(계정대체기준!$E$6:$E$15,MATCH(VALUE($A4034&amp;""),계정대체기준!$D$6:$D$15,0)),0),0))</f>
        <v/>
      </c>
      <c r="AH4034" s="64">
        <f>IF($A4034="","",IF(AD4034=0,"",IF(OR(COUNTIF(계정대체기준!$A$77:$A$86,$N4034)&gt;0,ISNUMBER(MATCH($X4034,계정대체기준!$D$77:$D$86,0)),ISNUMBER(MATCH($F4034,계정대체기준!$D$77:$D$86,0))),"Y","N")))</f>
        <v/>
      </c>
    </row>
    <row r="4035">
      <c r="A4035" s="92" t="n">
        <v>2026</v>
      </c>
      <c r="B4035" s="92" t="n">
        <v>6</v>
      </c>
      <c r="C4035" s="92" t="inlineStr">
        <is>
          <t>5100001313</t>
        </is>
      </c>
      <c r="D4035" s="95" t="n">
        <v>46196</v>
      </c>
      <c r="E4035" s="92" t="inlineStr">
        <is>
          <t>KR</t>
        </is>
      </c>
      <c r="F4035" s="92" t="n">
        <v>62101000</v>
      </c>
      <c r="G4035" s="92" t="n">
        <v>1701</v>
      </c>
      <c r="H4035" s="93" t="n">
        <v>276000</v>
      </c>
      <c r="I4035" s="92" t="inlineStr">
        <is>
          <t>6월 국내출장 - (법인카드)</t>
        </is>
      </c>
      <c r="J4035" s="92" t="inlineStr">
        <is>
          <t>V10010</t>
        </is>
      </c>
      <c r="K4035" s="92" t="inlineStr">
        <is>
          <t>(법인카드)</t>
        </is>
      </c>
      <c r="M4035" s="9">
        <f>IF($A4035="","",VALUE($A4035&amp;"")*12+VALUE($B4035&amp;""))</f>
        <v/>
      </c>
      <c r="N4035" s="64">
        <f>IF($A4035="","",IFERROR(INDEX(부서매핑!$C$5:$C$504,MATCH($G4035&amp;"",부서매핑!$A$5:$A$504,0)),"미매핑"))</f>
        <v/>
      </c>
      <c r="O4035" s="9">
        <f>IF($A4035="","",N4035&amp;"|"&amp;$F4035)</f>
        <v/>
      </c>
      <c r="P4035" s="94">
        <f>IF($A4035="",0,$H4035*설정!$C$23)</f>
        <v/>
      </c>
      <c r="Q4035" s="64">
        <f>IF($A4035="","",IF(O4035&lt;&gt;원인분석!$C$9,"",IF(AND(M4035&gt;=원인분석!$C$10,M4035&lt;=원인분석!$C$11),"당기",IF(AND(M4035&gt;=원인분석!$C$12,M4035&lt;=원인분석!$C$13),"비교",""))))</f>
        <v/>
      </c>
      <c r="R4035" s="9">
        <f>IF(Q4035="","",$K4035&amp;"")</f>
        <v/>
      </c>
      <c r="S4035" s="9">
        <f>IF(Q4035="","",IF(MATCH(R4035,$R$5:$R$100000,0)=ROW()-4,ROW(),""))</f>
        <v/>
      </c>
      <c r="T4035" s="9">
        <f>IF(Q4035="당기",ABS(P4035)+ROW()/1000000000,"")</f>
        <v/>
      </c>
      <c r="U4035" s="9">
        <f>IF(Q4035="비교",ABS(P4035)+ROW()/1000000000,"")</f>
        <v/>
      </c>
      <c r="V4035" s="64">
        <f>IF($A4035="","",IF(COUNTIF(변동분석!$E$7:$E$506,O4035)&gt;0,"Y","N"))</f>
        <v/>
      </c>
      <c r="W4035" s="64">
        <f>IF($A4035="","",IFERROR(INDEX(계정매핑!$D$5:$D$504,MATCH($F4035&amp;"",계정매핑!$A$5:$A$504,0)),"미매핑"))</f>
        <v/>
      </c>
      <c r="X4035" s="9">
        <f>IF($A4035="","",$F4035&amp;"")</f>
        <v/>
      </c>
      <c r="Y4035" s="94">
        <f>IF($A4035="",0,IF(AE4035="직접",IF(AF4035="비귀속",$P4035,0),$P4035*(1-AG4035)*IFERROR(INDEX(계정대체기준!$F$20:$F$49,MATCH($N4035,계정대체기준!$A$20:$A$49,0)),1)))</f>
        <v/>
      </c>
      <c r="Z4035" s="94">
        <f>IF($A4035="",0,IF(AE4035="직접",IF(AF4035="신계약비",$P4035,0),$P4035*(1-AG4035)*IFERROR(INDEX(계정대체기준!$C$20:$C$49,MATCH($N4035,계정대체기준!$A$20:$A$49,0)),0)))</f>
        <v/>
      </c>
      <c r="AA4035" s="94">
        <f>IF($A4035="",0,IF(AE4035="직접",IF(OR(AF4035="유지비",AF4035="손해조사비"),$P4035,0),$P4035*(1-AG4035)*IFERROR(INDEX(계정대체기준!$D$20:$D$49,MATCH($N4035,계정대체기준!$A$20:$A$49,0)),0)))</f>
        <v/>
      </c>
      <c r="AB4035" s="94">
        <f>IF($A4035="",0,IF(AE4035="직접",IF(AF4035="수금비",$P4035,0),$P4035*(1-AG4035)*IFERROR(INDEX(계정대체기준!$E$20:$E$49,MATCH($N4035,계정대체기준!$A$20:$A$49,0)),0)))</f>
        <v/>
      </c>
      <c r="AC4035" s="9">
        <f>IF(AND($A4035&lt;&gt;"",M4035=설정!$C$20,Z4035&gt;0),Z4035+ROW()/1000000000,"")</f>
        <v/>
      </c>
      <c r="AD4035" s="94">
        <f>IF($A4035="",0,$P4035*AG4035)</f>
        <v/>
      </c>
      <c r="AE4035" s="64">
        <f>IF($A4035="","",IFERROR(INDEX(계정매핑!$E$5:$E$504,MATCH($F4035&amp;"",계정매핑!$A$5:$A$504,0))&amp;"","공통비"))</f>
        <v/>
      </c>
      <c r="AF4035" s="64">
        <f>IF($A4035="","",IF(AE4035="직접",IFERROR(INDEX(계정매핑!$F$5:$F$504,MATCH($F4035&amp;"",계정매핑!$A$5:$A$504,0))&amp;"","비귀속"),""))</f>
        <v/>
      </c>
      <c r="AG4035" s="96">
        <f>IF($A4035="",0,IF(AND(AE4035&lt;&gt;"직접",IFERROR(INDEX(계정매핑!$G$5:$G$504,MATCH($F4035&amp;"",계정매핑!$A$5:$A$504,0))&amp;"","")="유지비",COUNTIF(계정대체기준!$A$6:$A$15,$N4035)&gt;0),IFERROR(INDEX(계정대체기준!$E$6:$E$15,MATCH(VALUE($A4035&amp;""),계정대체기준!$D$6:$D$15,0)),0),0))</f>
        <v/>
      </c>
      <c r="AH4035" s="64">
        <f>IF($A4035="","",IF(AD4035=0,"",IF(OR(COUNTIF(계정대체기준!$A$77:$A$86,$N4035)&gt;0,ISNUMBER(MATCH($X4035,계정대체기준!$D$77:$D$86,0)),ISNUMBER(MATCH($F4035,계정대체기준!$D$77:$D$86,0))),"Y","N")))</f>
        <v/>
      </c>
    </row>
    <row r="4036">
      <c r="A4036" s="92" t="n">
        <v>2026</v>
      </c>
      <c r="B4036" s="92" t="n">
        <v>6</v>
      </c>
      <c r="C4036" s="92" t="inlineStr">
        <is>
          <t>5100001314</t>
        </is>
      </c>
      <c r="D4036" s="95" t="n">
        <v>46196</v>
      </c>
      <c r="E4036" s="92" t="inlineStr">
        <is>
          <t>KR</t>
        </is>
      </c>
      <c r="F4036" s="92" t="n">
        <v>62102000</v>
      </c>
      <c r="G4036" s="92" t="n">
        <v>1501</v>
      </c>
      <c r="H4036" s="93" t="n">
        <v>297000</v>
      </c>
      <c r="I4036" s="92" t="inlineStr">
        <is>
          <t>6월 해외출장 - M항공</t>
        </is>
      </c>
      <c r="J4036" s="92" t="inlineStr">
        <is>
          <t>V10001</t>
        </is>
      </c>
      <c r="K4036" s="92" t="inlineStr">
        <is>
          <t>M항공</t>
        </is>
      </c>
      <c r="M4036" s="9">
        <f>IF($A4036="","",VALUE($A4036&amp;"")*12+VALUE($B4036&amp;""))</f>
        <v/>
      </c>
      <c r="N4036" s="64">
        <f>IF($A4036="","",IFERROR(INDEX(부서매핑!$C$5:$C$504,MATCH($G4036&amp;"",부서매핑!$A$5:$A$504,0)),"미매핑"))</f>
        <v/>
      </c>
      <c r="O4036" s="9">
        <f>IF($A4036="","",N4036&amp;"|"&amp;$F4036)</f>
        <v/>
      </c>
      <c r="P4036" s="94">
        <f>IF($A4036="",0,$H4036*설정!$C$23)</f>
        <v/>
      </c>
      <c r="Q4036" s="64">
        <f>IF($A4036="","",IF(O4036&lt;&gt;원인분석!$C$9,"",IF(AND(M4036&gt;=원인분석!$C$10,M4036&lt;=원인분석!$C$11),"당기",IF(AND(M4036&gt;=원인분석!$C$12,M4036&lt;=원인분석!$C$13),"비교",""))))</f>
        <v/>
      </c>
      <c r="R4036" s="9">
        <f>IF(Q4036="","",$K4036&amp;"")</f>
        <v/>
      </c>
      <c r="S4036" s="9">
        <f>IF(Q4036="","",IF(MATCH(R4036,$R$5:$R$100000,0)=ROW()-4,ROW(),""))</f>
        <v/>
      </c>
      <c r="T4036" s="9">
        <f>IF(Q4036="당기",ABS(P4036)+ROW()/1000000000,"")</f>
        <v/>
      </c>
      <c r="U4036" s="9">
        <f>IF(Q4036="비교",ABS(P4036)+ROW()/1000000000,"")</f>
        <v/>
      </c>
      <c r="V4036" s="64">
        <f>IF($A4036="","",IF(COUNTIF(변동분석!$E$7:$E$506,O4036)&gt;0,"Y","N"))</f>
        <v/>
      </c>
      <c r="W4036" s="64">
        <f>IF($A4036="","",IFERROR(INDEX(계정매핑!$D$5:$D$504,MATCH($F4036&amp;"",계정매핑!$A$5:$A$504,0)),"미매핑"))</f>
        <v/>
      </c>
      <c r="X4036" s="9">
        <f>IF($A4036="","",$F4036&amp;"")</f>
        <v/>
      </c>
      <c r="Y4036" s="94">
        <f>IF($A4036="",0,IF(AE4036="직접",IF(AF4036="비귀속",$P4036,0),$P4036*(1-AG4036)*IFERROR(INDEX(계정대체기준!$F$20:$F$49,MATCH($N4036,계정대체기준!$A$20:$A$49,0)),1)))</f>
        <v/>
      </c>
      <c r="Z4036" s="94">
        <f>IF($A4036="",0,IF(AE4036="직접",IF(AF4036="신계약비",$P4036,0),$P4036*(1-AG4036)*IFERROR(INDEX(계정대체기준!$C$20:$C$49,MATCH($N4036,계정대체기준!$A$20:$A$49,0)),0)))</f>
        <v/>
      </c>
      <c r="AA4036" s="94">
        <f>IF($A4036="",0,IF(AE4036="직접",IF(OR(AF4036="유지비",AF4036="손해조사비"),$P4036,0),$P4036*(1-AG4036)*IFERROR(INDEX(계정대체기준!$D$20:$D$49,MATCH($N4036,계정대체기준!$A$20:$A$49,0)),0)))</f>
        <v/>
      </c>
      <c r="AB4036" s="94">
        <f>IF($A4036="",0,IF(AE4036="직접",IF(AF4036="수금비",$P4036,0),$P4036*(1-AG4036)*IFERROR(INDEX(계정대체기준!$E$20:$E$49,MATCH($N4036,계정대체기준!$A$20:$A$49,0)),0)))</f>
        <v/>
      </c>
      <c r="AC4036" s="9">
        <f>IF(AND($A4036&lt;&gt;"",M4036=설정!$C$20,Z4036&gt;0),Z4036+ROW()/1000000000,"")</f>
        <v/>
      </c>
      <c r="AD4036" s="94">
        <f>IF($A4036="",0,$P4036*AG4036)</f>
        <v/>
      </c>
      <c r="AE4036" s="64">
        <f>IF($A4036="","",IFERROR(INDEX(계정매핑!$E$5:$E$504,MATCH($F4036&amp;"",계정매핑!$A$5:$A$504,0))&amp;"","공통비"))</f>
        <v/>
      </c>
      <c r="AF4036" s="64">
        <f>IF($A4036="","",IF(AE4036="직접",IFERROR(INDEX(계정매핑!$F$5:$F$504,MATCH($F4036&amp;"",계정매핑!$A$5:$A$504,0))&amp;"","비귀속"),""))</f>
        <v/>
      </c>
      <c r="AG4036" s="96">
        <f>IF($A4036="",0,IF(AND(AE4036&lt;&gt;"직접",IFERROR(INDEX(계정매핑!$G$5:$G$504,MATCH($F4036&amp;"",계정매핑!$A$5:$A$504,0))&amp;"","")="유지비",COUNTIF(계정대체기준!$A$6:$A$15,$N4036)&gt;0),IFERROR(INDEX(계정대체기준!$E$6:$E$15,MATCH(VALUE($A4036&amp;""),계정대체기준!$D$6:$D$15,0)),0),0))</f>
        <v/>
      </c>
      <c r="AH4036" s="64">
        <f>IF($A4036="","",IF(AD4036=0,"",IF(OR(COUNTIF(계정대체기준!$A$77:$A$86,$N4036)&gt;0,ISNUMBER(MATCH($X4036,계정대체기준!$D$77:$D$86,0)),ISNUMBER(MATCH($F4036,계정대체기준!$D$77:$D$86,0))),"Y","N")))</f>
        <v/>
      </c>
    </row>
    <row r="4037">
      <c r="A4037" s="92" t="n">
        <v>2026</v>
      </c>
      <c r="B4037" s="92" t="n">
        <v>6</v>
      </c>
      <c r="C4037" s="92" t="inlineStr">
        <is>
          <t>5100001315</t>
        </is>
      </c>
      <c r="D4037" s="95" t="n">
        <v>46196</v>
      </c>
      <c r="E4037" s="92" t="inlineStr">
        <is>
          <t>KR</t>
        </is>
      </c>
      <c r="F4037" s="92" t="n">
        <v>62102000</v>
      </c>
      <c r="G4037" s="92" t="n">
        <v>1951</v>
      </c>
      <c r="H4037" s="93" t="n">
        <v>133000</v>
      </c>
      <c r="I4037" s="92" t="inlineStr">
        <is>
          <t>6월 해외출장 - M항공</t>
        </is>
      </c>
      <c r="J4037" s="92" t="inlineStr">
        <is>
          <t>V10001</t>
        </is>
      </c>
      <c r="K4037" s="92" t="inlineStr">
        <is>
          <t>M항공</t>
        </is>
      </c>
      <c r="M4037" s="9">
        <f>IF($A4037="","",VALUE($A4037&amp;"")*12+VALUE($B4037&amp;""))</f>
        <v/>
      </c>
      <c r="N4037" s="64">
        <f>IF($A4037="","",IFERROR(INDEX(부서매핑!$C$5:$C$504,MATCH($G4037&amp;"",부서매핑!$A$5:$A$504,0)),"미매핑"))</f>
        <v/>
      </c>
      <c r="O4037" s="9">
        <f>IF($A4037="","",N4037&amp;"|"&amp;$F4037)</f>
        <v/>
      </c>
      <c r="P4037" s="94">
        <f>IF($A4037="",0,$H4037*설정!$C$23)</f>
        <v/>
      </c>
      <c r="Q4037" s="64">
        <f>IF($A4037="","",IF(O4037&lt;&gt;원인분석!$C$9,"",IF(AND(M4037&gt;=원인분석!$C$10,M4037&lt;=원인분석!$C$11),"당기",IF(AND(M4037&gt;=원인분석!$C$12,M4037&lt;=원인분석!$C$13),"비교",""))))</f>
        <v/>
      </c>
      <c r="R4037" s="9">
        <f>IF(Q4037="","",$K4037&amp;"")</f>
        <v/>
      </c>
      <c r="S4037" s="9">
        <f>IF(Q4037="","",IF(MATCH(R4037,$R$5:$R$100000,0)=ROW()-4,ROW(),""))</f>
        <v/>
      </c>
      <c r="T4037" s="9">
        <f>IF(Q4037="당기",ABS(P4037)+ROW()/1000000000,"")</f>
        <v/>
      </c>
      <c r="U4037" s="9">
        <f>IF(Q4037="비교",ABS(P4037)+ROW()/1000000000,"")</f>
        <v/>
      </c>
      <c r="V4037" s="64">
        <f>IF($A4037="","",IF(COUNTIF(변동분석!$E$7:$E$506,O4037)&gt;0,"Y","N"))</f>
        <v/>
      </c>
      <c r="W4037" s="64">
        <f>IF($A4037="","",IFERROR(INDEX(계정매핑!$D$5:$D$504,MATCH($F4037&amp;"",계정매핑!$A$5:$A$504,0)),"미매핑"))</f>
        <v/>
      </c>
      <c r="X4037" s="9">
        <f>IF($A4037="","",$F4037&amp;"")</f>
        <v/>
      </c>
      <c r="Y4037" s="94">
        <f>IF($A4037="",0,IF(AE4037="직접",IF(AF4037="비귀속",$P4037,0),$P4037*(1-AG4037)*IFERROR(INDEX(계정대체기준!$F$20:$F$49,MATCH($N4037,계정대체기준!$A$20:$A$49,0)),1)))</f>
        <v/>
      </c>
      <c r="Z4037" s="94">
        <f>IF($A4037="",0,IF(AE4037="직접",IF(AF4037="신계약비",$P4037,0),$P4037*(1-AG4037)*IFERROR(INDEX(계정대체기준!$C$20:$C$49,MATCH($N4037,계정대체기준!$A$20:$A$49,0)),0)))</f>
        <v/>
      </c>
      <c r="AA4037" s="94">
        <f>IF($A4037="",0,IF(AE4037="직접",IF(OR(AF4037="유지비",AF4037="손해조사비"),$P4037,0),$P4037*(1-AG4037)*IFERROR(INDEX(계정대체기준!$D$20:$D$49,MATCH($N4037,계정대체기준!$A$20:$A$49,0)),0)))</f>
        <v/>
      </c>
      <c r="AB4037" s="94">
        <f>IF($A4037="",0,IF(AE4037="직접",IF(AF4037="수금비",$P4037,0),$P4037*(1-AG4037)*IFERROR(INDEX(계정대체기준!$E$20:$E$49,MATCH($N4037,계정대체기준!$A$20:$A$49,0)),0)))</f>
        <v/>
      </c>
      <c r="AC4037" s="9">
        <f>IF(AND($A4037&lt;&gt;"",M4037=설정!$C$20,Z4037&gt;0),Z4037+ROW()/1000000000,"")</f>
        <v/>
      </c>
      <c r="AD4037" s="94">
        <f>IF($A4037="",0,$P4037*AG4037)</f>
        <v/>
      </c>
      <c r="AE4037" s="64">
        <f>IF($A4037="","",IFERROR(INDEX(계정매핑!$E$5:$E$504,MATCH($F4037&amp;"",계정매핑!$A$5:$A$504,0))&amp;"","공통비"))</f>
        <v/>
      </c>
      <c r="AF4037" s="64">
        <f>IF($A4037="","",IF(AE4037="직접",IFERROR(INDEX(계정매핑!$F$5:$F$504,MATCH($F4037&amp;"",계정매핑!$A$5:$A$504,0))&amp;"","비귀속"),""))</f>
        <v/>
      </c>
      <c r="AG4037" s="96">
        <f>IF($A4037="",0,IF(AND(AE4037&lt;&gt;"직접",IFERROR(INDEX(계정매핑!$G$5:$G$504,MATCH($F4037&amp;"",계정매핑!$A$5:$A$504,0))&amp;"","")="유지비",COUNTIF(계정대체기준!$A$6:$A$15,$N4037)&gt;0),IFERROR(INDEX(계정대체기준!$E$6:$E$15,MATCH(VALUE($A4037&amp;""),계정대체기준!$D$6:$D$15,0)),0),0))</f>
        <v/>
      </c>
      <c r="AH4037" s="64">
        <f>IF($A4037="","",IF(AD4037=0,"",IF(OR(COUNTIF(계정대체기준!$A$77:$A$86,$N4037)&gt;0,ISNUMBER(MATCH($X4037,계정대체기준!$D$77:$D$86,0)),ISNUMBER(MATCH($F4037,계정대체기준!$D$77:$D$86,0))),"Y","N")))</f>
        <v/>
      </c>
    </row>
    <row r="4038">
      <c r="A4038" s="92" t="n">
        <v>2026</v>
      </c>
      <c r="B4038" s="92" t="n">
        <v>6</v>
      </c>
      <c r="C4038" s="92" t="inlineStr">
        <is>
          <t>5100001316</t>
        </is>
      </c>
      <c r="D4038" s="95" t="n">
        <v>46196</v>
      </c>
      <c r="E4038" s="92" t="inlineStr">
        <is>
          <t>KR</t>
        </is>
      </c>
      <c r="F4038" s="92" t="n">
        <v>62201000</v>
      </c>
      <c r="G4038" s="92" t="n">
        <v>1101</v>
      </c>
      <c r="H4038" s="93" t="n">
        <v>254000</v>
      </c>
      <c r="I4038" s="92" t="inlineStr">
        <is>
          <t>6월 통신요금 - P통신</t>
        </is>
      </c>
      <c r="J4038" s="92" t="inlineStr">
        <is>
          <t>V10014</t>
        </is>
      </c>
      <c r="K4038" s="92" t="inlineStr">
        <is>
          <t>P통신</t>
        </is>
      </c>
      <c r="M4038" s="9">
        <f>IF($A4038="","",VALUE($A4038&amp;"")*12+VALUE($B4038&amp;""))</f>
        <v/>
      </c>
      <c r="N4038" s="64">
        <f>IF($A4038="","",IFERROR(INDEX(부서매핑!$C$5:$C$504,MATCH($G4038&amp;"",부서매핑!$A$5:$A$504,0)),"미매핑"))</f>
        <v/>
      </c>
      <c r="O4038" s="9">
        <f>IF($A4038="","",N4038&amp;"|"&amp;$F4038)</f>
        <v/>
      </c>
      <c r="P4038" s="94">
        <f>IF($A4038="",0,$H4038*설정!$C$23)</f>
        <v/>
      </c>
      <c r="Q4038" s="64">
        <f>IF($A4038="","",IF(O4038&lt;&gt;원인분석!$C$9,"",IF(AND(M4038&gt;=원인분석!$C$10,M4038&lt;=원인분석!$C$11),"당기",IF(AND(M4038&gt;=원인분석!$C$12,M4038&lt;=원인분석!$C$13),"비교",""))))</f>
        <v/>
      </c>
      <c r="R4038" s="9">
        <f>IF(Q4038="","",$K4038&amp;"")</f>
        <v/>
      </c>
      <c r="S4038" s="9">
        <f>IF(Q4038="","",IF(MATCH(R4038,$R$5:$R$100000,0)=ROW()-4,ROW(),""))</f>
        <v/>
      </c>
      <c r="T4038" s="9">
        <f>IF(Q4038="당기",ABS(P4038)+ROW()/1000000000,"")</f>
        <v/>
      </c>
      <c r="U4038" s="9">
        <f>IF(Q4038="비교",ABS(P4038)+ROW()/1000000000,"")</f>
        <v/>
      </c>
      <c r="V4038" s="64">
        <f>IF($A4038="","",IF(COUNTIF(변동분석!$E$7:$E$506,O4038)&gt;0,"Y","N"))</f>
        <v/>
      </c>
      <c r="W4038" s="64">
        <f>IF($A4038="","",IFERROR(INDEX(계정매핑!$D$5:$D$504,MATCH($F4038&amp;"",계정매핑!$A$5:$A$504,0)),"미매핑"))</f>
        <v/>
      </c>
      <c r="X4038" s="9">
        <f>IF($A4038="","",$F4038&amp;"")</f>
        <v/>
      </c>
      <c r="Y4038" s="94">
        <f>IF($A4038="",0,IF(AE4038="직접",IF(AF4038="비귀속",$P4038,0),$P4038*(1-AG4038)*IFERROR(INDEX(계정대체기준!$F$20:$F$49,MATCH($N4038,계정대체기준!$A$20:$A$49,0)),1)))</f>
        <v/>
      </c>
      <c r="Z4038" s="94">
        <f>IF($A4038="",0,IF(AE4038="직접",IF(AF4038="신계약비",$P4038,0),$P4038*(1-AG4038)*IFERROR(INDEX(계정대체기준!$C$20:$C$49,MATCH($N4038,계정대체기준!$A$20:$A$49,0)),0)))</f>
        <v/>
      </c>
      <c r="AA4038" s="94">
        <f>IF($A4038="",0,IF(AE4038="직접",IF(OR(AF4038="유지비",AF4038="손해조사비"),$P4038,0),$P4038*(1-AG4038)*IFERROR(INDEX(계정대체기준!$D$20:$D$49,MATCH($N4038,계정대체기준!$A$20:$A$49,0)),0)))</f>
        <v/>
      </c>
      <c r="AB4038" s="94">
        <f>IF($A4038="",0,IF(AE4038="직접",IF(AF4038="수금비",$P4038,0),$P4038*(1-AG4038)*IFERROR(INDEX(계정대체기준!$E$20:$E$49,MATCH($N4038,계정대체기준!$A$20:$A$49,0)),0)))</f>
        <v/>
      </c>
      <c r="AC4038" s="9">
        <f>IF(AND($A4038&lt;&gt;"",M4038=설정!$C$20,Z4038&gt;0),Z4038+ROW()/1000000000,"")</f>
        <v/>
      </c>
      <c r="AD4038" s="94">
        <f>IF($A4038="",0,$P4038*AG4038)</f>
        <v/>
      </c>
      <c r="AE4038" s="64">
        <f>IF($A4038="","",IFERROR(INDEX(계정매핑!$E$5:$E$504,MATCH($F4038&amp;"",계정매핑!$A$5:$A$504,0))&amp;"","공통비"))</f>
        <v/>
      </c>
      <c r="AF4038" s="64">
        <f>IF($A4038="","",IF(AE4038="직접",IFERROR(INDEX(계정매핑!$F$5:$F$504,MATCH($F4038&amp;"",계정매핑!$A$5:$A$504,0))&amp;"","비귀속"),""))</f>
        <v/>
      </c>
      <c r="AG4038" s="96">
        <f>IF($A4038="",0,IF(AND(AE4038&lt;&gt;"직접",IFERROR(INDEX(계정매핑!$G$5:$G$504,MATCH($F4038&amp;"",계정매핑!$A$5:$A$504,0))&amp;"","")="유지비",COUNTIF(계정대체기준!$A$6:$A$15,$N4038)&gt;0),IFERROR(INDEX(계정대체기준!$E$6:$E$15,MATCH(VALUE($A4038&amp;""),계정대체기준!$D$6:$D$15,0)),0),0))</f>
        <v/>
      </c>
      <c r="AH4038" s="64">
        <f>IF($A4038="","",IF(AD4038=0,"",IF(OR(COUNTIF(계정대체기준!$A$77:$A$86,$N4038)&gt;0,ISNUMBER(MATCH($X4038,계정대체기준!$D$77:$D$86,0)),ISNUMBER(MATCH($F4038,계정대체기준!$D$77:$D$86,0))),"Y","N")))</f>
        <v/>
      </c>
    </row>
    <row r="4039">
      <c r="A4039" s="92" t="n">
        <v>2026</v>
      </c>
      <c r="B4039" s="92" t="n">
        <v>6</v>
      </c>
      <c r="C4039" s="92" t="inlineStr">
        <is>
          <t>5100001317</t>
        </is>
      </c>
      <c r="D4039" s="95" t="n">
        <v>46196</v>
      </c>
      <c r="E4039" s="92" t="inlineStr">
        <is>
          <t>KR</t>
        </is>
      </c>
      <c r="F4039" s="92" t="n">
        <v>62201000</v>
      </c>
      <c r="G4039" s="92" t="n">
        <v>1701</v>
      </c>
      <c r="H4039" s="93" t="n">
        <v>3404000</v>
      </c>
      <c r="I4039" s="92" t="inlineStr">
        <is>
          <t>6월 통신요금 - P통신</t>
        </is>
      </c>
      <c r="J4039" s="92" t="inlineStr">
        <is>
          <t>V10014</t>
        </is>
      </c>
      <c r="K4039" s="92" t="inlineStr">
        <is>
          <t>P통신</t>
        </is>
      </c>
      <c r="M4039" s="9">
        <f>IF($A4039="","",VALUE($A4039&amp;"")*12+VALUE($B4039&amp;""))</f>
        <v/>
      </c>
      <c r="N4039" s="64">
        <f>IF($A4039="","",IFERROR(INDEX(부서매핑!$C$5:$C$504,MATCH($G4039&amp;"",부서매핑!$A$5:$A$504,0)),"미매핑"))</f>
        <v/>
      </c>
      <c r="O4039" s="9">
        <f>IF($A4039="","",N4039&amp;"|"&amp;$F4039)</f>
        <v/>
      </c>
      <c r="P4039" s="94">
        <f>IF($A4039="",0,$H4039*설정!$C$23)</f>
        <v/>
      </c>
      <c r="Q4039" s="64">
        <f>IF($A4039="","",IF(O4039&lt;&gt;원인분석!$C$9,"",IF(AND(M4039&gt;=원인분석!$C$10,M4039&lt;=원인분석!$C$11),"당기",IF(AND(M4039&gt;=원인분석!$C$12,M4039&lt;=원인분석!$C$13),"비교",""))))</f>
        <v/>
      </c>
      <c r="R4039" s="9">
        <f>IF(Q4039="","",$K4039&amp;"")</f>
        <v/>
      </c>
      <c r="S4039" s="9">
        <f>IF(Q4039="","",IF(MATCH(R4039,$R$5:$R$100000,0)=ROW()-4,ROW(),""))</f>
        <v/>
      </c>
      <c r="T4039" s="9">
        <f>IF(Q4039="당기",ABS(P4039)+ROW()/1000000000,"")</f>
        <v/>
      </c>
      <c r="U4039" s="9">
        <f>IF(Q4039="비교",ABS(P4039)+ROW()/1000000000,"")</f>
        <v/>
      </c>
      <c r="V4039" s="64">
        <f>IF($A4039="","",IF(COUNTIF(변동분석!$E$7:$E$506,O4039)&gt;0,"Y","N"))</f>
        <v/>
      </c>
      <c r="W4039" s="64">
        <f>IF($A4039="","",IFERROR(INDEX(계정매핑!$D$5:$D$504,MATCH($F4039&amp;"",계정매핑!$A$5:$A$504,0)),"미매핑"))</f>
        <v/>
      </c>
      <c r="X4039" s="9">
        <f>IF($A4039="","",$F4039&amp;"")</f>
        <v/>
      </c>
      <c r="Y4039" s="94">
        <f>IF($A4039="",0,IF(AE4039="직접",IF(AF4039="비귀속",$P4039,0),$P4039*(1-AG4039)*IFERROR(INDEX(계정대체기준!$F$20:$F$49,MATCH($N4039,계정대체기준!$A$20:$A$49,0)),1)))</f>
        <v/>
      </c>
      <c r="Z4039" s="94">
        <f>IF($A4039="",0,IF(AE4039="직접",IF(AF4039="신계약비",$P4039,0),$P4039*(1-AG4039)*IFERROR(INDEX(계정대체기준!$C$20:$C$49,MATCH($N4039,계정대체기준!$A$20:$A$49,0)),0)))</f>
        <v/>
      </c>
      <c r="AA4039" s="94">
        <f>IF($A4039="",0,IF(AE4039="직접",IF(OR(AF4039="유지비",AF4039="손해조사비"),$P4039,0),$P4039*(1-AG4039)*IFERROR(INDEX(계정대체기준!$D$20:$D$49,MATCH($N4039,계정대체기준!$A$20:$A$49,0)),0)))</f>
        <v/>
      </c>
      <c r="AB4039" s="94">
        <f>IF($A4039="",0,IF(AE4039="직접",IF(AF4039="수금비",$P4039,0),$P4039*(1-AG4039)*IFERROR(INDEX(계정대체기준!$E$20:$E$49,MATCH($N4039,계정대체기준!$A$20:$A$49,0)),0)))</f>
        <v/>
      </c>
      <c r="AC4039" s="9">
        <f>IF(AND($A4039&lt;&gt;"",M4039=설정!$C$20,Z4039&gt;0),Z4039+ROW()/1000000000,"")</f>
        <v/>
      </c>
      <c r="AD4039" s="94">
        <f>IF($A4039="",0,$P4039*AG4039)</f>
        <v/>
      </c>
      <c r="AE4039" s="64">
        <f>IF($A4039="","",IFERROR(INDEX(계정매핑!$E$5:$E$504,MATCH($F4039&amp;"",계정매핑!$A$5:$A$504,0))&amp;"","공통비"))</f>
        <v/>
      </c>
      <c r="AF4039" s="64">
        <f>IF($A4039="","",IF(AE4039="직접",IFERROR(INDEX(계정매핑!$F$5:$F$504,MATCH($F4039&amp;"",계정매핑!$A$5:$A$504,0))&amp;"","비귀속"),""))</f>
        <v/>
      </c>
      <c r="AG4039" s="96">
        <f>IF($A4039="",0,IF(AND(AE4039&lt;&gt;"직접",IFERROR(INDEX(계정매핑!$G$5:$G$504,MATCH($F4039&amp;"",계정매핑!$A$5:$A$504,0))&amp;"","")="유지비",COUNTIF(계정대체기준!$A$6:$A$15,$N4039)&gt;0),IFERROR(INDEX(계정대체기준!$E$6:$E$15,MATCH(VALUE($A4039&amp;""),계정대체기준!$D$6:$D$15,0)),0),0))</f>
        <v/>
      </c>
      <c r="AH4039" s="64">
        <f>IF($A4039="","",IF(AD4039=0,"",IF(OR(COUNTIF(계정대체기준!$A$77:$A$86,$N4039)&gt;0,ISNUMBER(MATCH($X4039,계정대체기준!$D$77:$D$86,0)),ISNUMBER(MATCH($F4039,계정대체기준!$D$77:$D$86,0))),"Y","N")))</f>
        <v/>
      </c>
    </row>
    <row r="4040">
      <c r="A4040" s="92" t="n">
        <v>2026</v>
      </c>
      <c r="B4040" s="92" t="n">
        <v>6</v>
      </c>
      <c r="C4040" s="92" t="inlineStr">
        <is>
          <t>5100001318</t>
        </is>
      </c>
      <c r="D4040" s="95" t="n">
        <v>46196</v>
      </c>
      <c r="E4040" s="92" t="inlineStr">
        <is>
          <t>KR</t>
        </is>
      </c>
      <c r="F4040" s="92" t="n">
        <v>62301000</v>
      </c>
      <c r="G4040" s="92" t="n">
        <v>1201</v>
      </c>
      <c r="H4040" s="93" t="n">
        <v>225000</v>
      </c>
      <c r="I4040" s="92" t="inlineStr">
        <is>
          <t>6월 소모품 구입 - R문구</t>
        </is>
      </c>
      <c r="J4040" s="92" t="inlineStr">
        <is>
          <t>V10022</t>
        </is>
      </c>
      <c r="K4040" s="92" t="inlineStr">
        <is>
          <t>R문구</t>
        </is>
      </c>
      <c r="M4040" s="9">
        <f>IF($A4040="","",VALUE($A4040&amp;"")*12+VALUE($B4040&amp;""))</f>
        <v/>
      </c>
      <c r="N4040" s="64">
        <f>IF($A4040="","",IFERROR(INDEX(부서매핑!$C$5:$C$504,MATCH($G4040&amp;"",부서매핑!$A$5:$A$504,0)),"미매핑"))</f>
        <v/>
      </c>
      <c r="O4040" s="9">
        <f>IF($A4040="","",N4040&amp;"|"&amp;$F4040)</f>
        <v/>
      </c>
      <c r="P4040" s="94">
        <f>IF($A4040="",0,$H4040*설정!$C$23)</f>
        <v/>
      </c>
      <c r="Q4040" s="64">
        <f>IF($A4040="","",IF(O4040&lt;&gt;원인분석!$C$9,"",IF(AND(M4040&gt;=원인분석!$C$10,M4040&lt;=원인분석!$C$11),"당기",IF(AND(M4040&gt;=원인분석!$C$12,M4040&lt;=원인분석!$C$13),"비교",""))))</f>
        <v/>
      </c>
      <c r="R4040" s="9">
        <f>IF(Q4040="","",$K4040&amp;"")</f>
        <v/>
      </c>
      <c r="S4040" s="9">
        <f>IF(Q4040="","",IF(MATCH(R4040,$R$5:$R$100000,0)=ROW()-4,ROW(),""))</f>
        <v/>
      </c>
      <c r="T4040" s="9">
        <f>IF(Q4040="당기",ABS(P4040)+ROW()/1000000000,"")</f>
        <v/>
      </c>
      <c r="U4040" s="9">
        <f>IF(Q4040="비교",ABS(P4040)+ROW()/1000000000,"")</f>
        <v/>
      </c>
      <c r="V4040" s="64">
        <f>IF($A4040="","",IF(COUNTIF(변동분석!$E$7:$E$506,O4040)&gt;0,"Y","N"))</f>
        <v/>
      </c>
      <c r="W4040" s="64">
        <f>IF($A4040="","",IFERROR(INDEX(계정매핑!$D$5:$D$504,MATCH($F4040&amp;"",계정매핑!$A$5:$A$504,0)),"미매핑"))</f>
        <v/>
      </c>
      <c r="X4040" s="9">
        <f>IF($A4040="","",$F4040&amp;"")</f>
        <v/>
      </c>
      <c r="Y4040" s="94">
        <f>IF($A4040="",0,IF(AE4040="직접",IF(AF4040="비귀속",$P4040,0),$P4040*(1-AG4040)*IFERROR(INDEX(계정대체기준!$F$20:$F$49,MATCH($N4040,계정대체기준!$A$20:$A$49,0)),1)))</f>
        <v/>
      </c>
      <c r="Z4040" s="94">
        <f>IF($A4040="",0,IF(AE4040="직접",IF(AF4040="신계약비",$P4040,0),$P4040*(1-AG4040)*IFERROR(INDEX(계정대체기준!$C$20:$C$49,MATCH($N4040,계정대체기준!$A$20:$A$49,0)),0)))</f>
        <v/>
      </c>
      <c r="AA4040" s="94">
        <f>IF($A4040="",0,IF(AE4040="직접",IF(OR(AF4040="유지비",AF4040="손해조사비"),$P4040,0),$P4040*(1-AG4040)*IFERROR(INDEX(계정대체기준!$D$20:$D$49,MATCH($N4040,계정대체기준!$A$20:$A$49,0)),0)))</f>
        <v/>
      </c>
      <c r="AB4040" s="94">
        <f>IF($A4040="",0,IF(AE4040="직접",IF(AF4040="수금비",$P4040,0),$P4040*(1-AG4040)*IFERROR(INDEX(계정대체기준!$E$20:$E$49,MATCH($N4040,계정대체기준!$A$20:$A$49,0)),0)))</f>
        <v/>
      </c>
      <c r="AC4040" s="9">
        <f>IF(AND($A4040&lt;&gt;"",M4040=설정!$C$20,Z4040&gt;0),Z4040+ROW()/1000000000,"")</f>
        <v/>
      </c>
      <c r="AD4040" s="94">
        <f>IF($A4040="",0,$P4040*AG4040)</f>
        <v/>
      </c>
      <c r="AE4040" s="64">
        <f>IF($A4040="","",IFERROR(INDEX(계정매핑!$E$5:$E$504,MATCH($F4040&amp;"",계정매핑!$A$5:$A$504,0))&amp;"","공통비"))</f>
        <v/>
      </c>
      <c r="AF4040" s="64">
        <f>IF($A4040="","",IF(AE4040="직접",IFERROR(INDEX(계정매핑!$F$5:$F$504,MATCH($F4040&amp;"",계정매핑!$A$5:$A$504,0))&amp;"","비귀속"),""))</f>
        <v/>
      </c>
      <c r="AG4040" s="96">
        <f>IF($A4040="",0,IF(AND(AE4040&lt;&gt;"직접",IFERROR(INDEX(계정매핑!$G$5:$G$504,MATCH($F4040&amp;"",계정매핑!$A$5:$A$504,0))&amp;"","")="유지비",COUNTIF(계정대체기준!$A$6:$A$15,$N4040)&gt;0),IFERROR(INDEX(계정대체기준!$E$6:$E$15,MATCH(VALUE($A4040&amp;""),계정대체기준!$D$6:$D$15,0)),0),0))</f>
        <v/>
      </c>
      <c r="AH4040" s="64">
        <f>IF($A4040="","",IF(AD4040=0,"",IF(OR(COUNTIF(계정대체기준!$A$77:$A$86,$N4040)&gt;0,ISNUMBER(MATCH($X4040,계정대체기준!$D$77:$D$86,0)),ISNUMBER(MATCH($F4040,계정대체기준!$D$77:$D$86,0))),"Y","N")))</f>
        <v/>
      </c>
    </row>
    <row r="4041">
      <c r="A4041" s="92" t="n">
        <v>2026</v>
      </c>
      <c r="B4041" s="92" t="n">
        <v>6</v>
      </c>
      <c r="C4041" s="92" t="inlineStr">
        <is>
          <t>5100001319</t>
        </is>
      </c>
      <c r="D4041" s="95" t="n">
        <v>46196</v>
      </c>
      <c r="E4041" s="92" t="inlineStr">
        <is>
          <t>KR</t>
        </is>
      </c>
      <c r="F4041" s="92" t="n">
        <v>62301000</v>
      </c>
      <c r="G4041" s="92" t="n">
        <v>1301</v>
      </c>
      <c r="H4041" s="93" t="n">
        <v>179000</v>
      </c>
      <c r="I4041" s="92" t="inlineStr">
        <is>
          <t>6월 소모품 구입 - R문구</t>
        </is>
      </c>
      <c r="J4041" s="92" t="inlineStr">
        <is>
          <t>V10022</t>
        </is>
      </c>
      <c r="K4041" s="92" t="inlineStr">
        <is>
          <t>R문구</t>
        </is>
      </c>
      <c r="M4041" s="9">
        <f>IF($A4041="","",VALUE($A4041&amp;"")*12+VALUE($B4041&amp;""))</f>
        <v/>
      </c>
      <c r="N4041" s="64">
        <f>IF($A4041="","",IFERROR(INDEX(부서매핑!$C$5:$C$504,MATCH($G4041&amp;"",부서매핑!$A$5:$A$504,0)),"미매핑"))</f>
        <v/>
      </c>
      <c r="O4041" s="9">
        <f>IF($A4041="","",N4041&amp;"|"&amp;$F4041)</f>
        <v/>
      </c>
      <c r="P4041" s="94">
        <f>IF($A4041="",0,$H4041*설정!$C$23)</f>
        <v/>
      </c>
      <c r="Q4041" s="64">
        <f>IF($A4041="","",IF(O4041&lt;&gt;원인분석!$C$9,"",IF(AND(M4041&gt;=원인분석!$C$10,M4041&lt;=원인분석!$C$11),"당기",IF(AND(M4041&gt;=원인분석!$C$12,M4041&lt;=원인분석!$C$13),"비교",""))))</f>
        <v/>
      </c>
      <c r="R4041" s="9">
        <f>IF(Q4041="","",$K4041&amp;"")</f>
        <v/>
      </c>
      <c r="S4041" s="9">
        <f>IF(Q4041="","",IF(MATCH(R4041,$R$5:$R$100000,0)=ROW()-4,ROW(),""))</f>
        <v/>
      </c>
      <c r="T4041" s="9">
        <f>IF(Q4041="당기",ABS(P4041)+ROW()/1000000000,"")</f>
        <v/>
      </c>
      <c r="U4041" s="9">
        <f>IF(Q4041="비교",ABS(P4041)+ROW()/1000000000,"")</f>
        <v/>
      </c>
      <c r="V4041" s="64">
        <f>IF($A4041="","",IF(COUNTIF(변동분석!$E$7:$E$506,O4041)&gt;0,"Y","N"))</f>
        <v/>
      </c>
      <c r="W4041" s="64">
        <f>IF($A4041="","",IFERROR(INDEX(계정매핑!$D$5:$D$504,MATCH($F4041&amp;"",계정매핑!$A$5:$A$504,0)),"미매핑"))</f>
        <v/>
      </c>
      <c r="X4041" s="9">
        <f>IF($A4041="","",$F4041&amp;"")</f>
        <v/>
      </c>
      <c r="Y4041" s="94">
        <f>IF($A4041="",0,IF(AE4041="직접",IF(AF4041="비귀속",$P4041,0),$P4041*(1-AG4041)*IFERROR(INDEX(계정대체기준!$F$20:$F$49,MATCH($N4041,계정대체기준!$A$20:$A$49,0)),1)))</f>
        <v/>
      </c>
      <c r="Z4041" s="94">
        <f>IF($A4041="",0,IF(AE4041="직접",IF(AF4041="신계약비",$P4041,0),$P4041*(1-AG4041)*IFERROR(INDEX(계정대체기준!$C$20:$C$49,MATCH($N4041,계정대체기준!$A$20:$A$49,0)),0)))</f>
        <v/>
      </c>
      <c r="AA4041" s="94">
        <f>IF($A4041="",0,IF(AE4041="직접",IF(OR(AF4041="유지비",AF4041="손해조사비"),$P4041,0),$P4041*(1-AG4041)*IFERROR(INDEX(계정대체기준!$D$20:$D$49,MATCH($N4041,계정대체기준!$A$20:$A$49,0)),0)))</f>
        <v/>
      </c>
      <c r="AB4041" s="94">
        <f>IF($A4041="",0,IF(AE4041="직접",IF(AF4041="수금비",$P4041,0),$P4041*(1-AG4041)*IFERROR(INDEX(계정대체기준!$E$20:$E$49,MATCH($N4041,계정대체기준!$A$20:$A$49,0)),0)))</f>
        <v/>
      </c>
      <c r="AC4041" s="9">
        <f>IF(AND($A4041&lt;&gt;"",M4041=설정!$C$20,Z4041&gt;0),Z4041+ROW()/1000000000,"")</f>
        <v/>
      </c>
      <c r="AD4041" s="94">
        <f>IF($A4041="",0,$P4041*AG4041)</f>
        <v/>
      </c>
      <c r="AE4041" s="64">
        <f>IF($A4041="","",IFERROR(INDEX(계정매핑!$E$5:$E$504,MATCH($F4041&amp;"",계정매핑!$A$5:$A$504,0))&amp;"","공통비"))</f>
        <v/>
      </c>
      <c r="AF4041" s="64">
        <f>IF($A4041="","",IF(AE4041="직접",IFERROR(INDEX(계정매핑!$F$5:$F$504,MATCH($F4041&amp;"",계정매핑!$A$5:$A$504,0))&amp;"","비귀속"),""))</f>
        <v/>
      </c>
      <c r="AG4041" s="96">
        <f>IF($A4041="",0,IF(AND(AE4041&lt;&gt;"직접",IFERROR(INDEX(계정매핑!$G$5:$G$504,MATCH($F4041&amp;"",계정매핑!$A$5:$A$504,0))&amp;"","")="유지비",COUNTIF(계정대체기준!$A$6:$A$15,$N4041)&gt;0),IFERROR(INDEX(계정대체기준!$E$6:$E$15,MATCH(VALUE($A4041&amp;""),계정대체기준!$D$6:$D$15,0)),0),0))</f>
        <v/>
      </c>
      <c r="AH4041" s="64">
        <f>IF($A4041="","",IF(AD4041=0,"",IF(OR(COUNTIF(계정대체기준!$A$77:$A$86,$N4041)&gt;0,ISNUMBER(MATCH($X4041,계정대체기준!$D$77:$D$86,0)),ISNUMBER(MATCH($F4041,계정대체기준!$D$77:$D$86,0))),"Y","N")))</f>
        <v/>
      </c>
    </row>
    <row r="4042">
      <c r="A4042" s="92" t="n">
        <v>2026</v>
      </c>
      <c r="B4042" s="92" t="n">
        <v>6</v>
      </c>
      <c r="C4042" s="92" t="inlineStr">
        <is>
          <t>5100001320</t>
        </is>
      </c>
      <c r="D4042" s="95" t="n">
        <v>46196</v>
      </c>
      <c r="E4042" s="92" t="inlineStr">
        <is>
          <t>KR</t>
        </is>
      </c>
      <c r="F4042" s="92" t="n">
        <v>62401000</v>
      </c>
      <c r="G4042" s="92" t="n">
        <v>1401</v>
      </c>
      <c r="H4042" s="93" t="n">
        <v>287000</v>
      </c>
      <c r="I4042" s="92" t="inlineStr">
        <is>
          <t>6월 인쇄물 제작 - G인쇄</t>
        </is>
      </c>
      <c r="J4042" s="92" t="inlineStr">
        <is>
          <t>V10004</t>
        </is>
      </c>
      <c r="K4042" s="92" t="inlineStr">
        <is>
          <t>G인쇄</t>
        </is>
      </c>
      <c r="M4042" s="9">
        <f>IF($A4042="","",VALUE($A4042&amp;"")*12+VALUE($B4042&amp;""))</f>
        <v/>
      </c>
      <c r="N4042" s="64">
        <f>IF($A4042="","",IFERROR(INDEX(부서매핑!$C$5:$C$504,MATCH($G4042&amp;"",부서매핑!$A$5:$A$504,0)),"미매핑"))</f>
        <v/>
      </c>
      <c r="O4042" s="9">
        <f>IF($A4042="","",N4042&amp;"|"&amp;$F4042)</f>
        <v/>
      </c>
      <c r="P4042" s="94">
        <f>IF($A4042="",0,$H4042*설정!$C$23)</f>
        <v/>
      </c>
      <c r="Q4042" s="64">
        <f>IF($A4042="","",IF(O4042&lt;&gt;원인분석!$C$9,"",IF(AND(M4042&gt;=원인분석!$C$10,M4042&lt;=원인분석!$C$11),"당기",IF(AND(M4042&gt;=원인분석!$C$12,M4042&lt;=원인분석!$C$13),"비교",""))))</f>
        <v/>
      </c>
      <c r="R4042" s="9">
        <f>IF(Q4042="","",$K4042&amp;"")</f>
        <v/>
      </c>
      <c r="S4042" s="9">
        <f>IF(Q4042="","",IF(MATCH(R4042,$R$5:$R$100000,0)=ROW()-4,ROW(),""))</f>
        <v/>
      </c>
      <c r="T4042" s="9">
        <f>IF(Q4042="당기",ABS(P4042)+ROW()/1000000000,"")</f>
        <v/>
      </c>
      <c r="U4042" s="9">
        <f>IF(Q4042="비교",ABS(P4042)+ROW()/1000000000,"")</f>
        <v/>
      </c>
      <c r="V4042" s="64">
        <f>IF($A4042="","",IF(COUNTIF(변동분석!$E$7:$E$506,O4042)&gt;0,"Y","N"))</f>
        <v/>
      </c>
      <c r="W4042" s="64">
        <f>IF($A4042="","",IFERROR(INDEX(계정매핑!$D$5:$D$504,MATCH($F4042&amp;"",계정매핑!$A$5:$A$504,0)),"미매핑"))</f>
        <v/>
      </c>
      <c r="X4042" s="9">
        <f>IF($A4042="","",$F4042&amp;"")</f>
        <v/>
      </c>
      <c r="Y4042" s="94">
        <f>IF($A4042="",0,IF(AE4042="직접",IF(AF4042="비귀속",$P4042,0),$P4042*(1-AG4042)*IFERROR(INDEX(계정대체기준!$F$20:$F$49,MATCH($N4042,계정대체기준!$A$20:$A$49,0)),1)))</f>
        <v/>
      </c>
      <c r="Z4042" s="94">
        <f>IF($A4042="",0,IF(AE4042="직접",IF(AF4042="신계약비",$P4042,0),$P4042*(1-AG4042)*IFERROR(INDEX(계정대체기준!$C$20:$C$49,MATCH($N4042,계정대체기준!$A$20:$A$49,0)),0)))</f>
        <v/>
      </c>
      <c r="AA4042" s="94">
        <f>IF($A4042="",0,IF(AE4042="직접",IF(OR(AF4042="유지비",AF4042="손해조사비"),$P4042,0),$P4042*(1-AG4042)*IFERROR(INDEX(계정대체기준!$D$20:$D$49,MATCH($N4042,계정대체기준!$A$20:$A$49,0)),0)))</f>
        <v/>
      </c>
      <c r="AB4042" s="94">
        <f>IF($A4042="",0,IF(AE4042="직접",IF(AF4042="수금비",$P4042,0),$P4042*(1-AG4042)*IFERROR(INDEX(계정대체기준!$E$20:$E$49,MATCH($N4042,계정대체기준!$A$20:$A$49,0)),0)))</f>
        <v/>
      </c>
      <c r="AC4042" s="9">
        <f>IF(AND($A4042&lt;&gt;"",M4042=설정!$C$20,Z4042&gt;0),Z4042+ROW()/1000000000,"")</f>
        <v/>
      </c>
      <c r="AD4042" s="94">
        <f>IF($A4042="",0,$P4042*AG4042)</f>
        <v/>
      </c>
      <c r="AE4042" s="64">
        <f>IF($A4042="","",IFERROR(INDEX(계정매핑!$E$5:$E$504,MATCH($F4042&amp;"",계정매핑!$A$5:$A$504,0))&amp;"","공통비"))</f>
        <v/>
      </c>
      <c r="AF4042" s="64">
        <f>IF($A4042="","",IF(AE4042="직접",IFERROR(INDEX(계정매핑!$F$5:$F$504,MATCH($F4042&amp;"",계정매핑!$A$5:$A$504,0))&amp;"","비귀속"),""))</f>
        <v/>
      </c>
      <c r="AG4042" s="96">
        <f>IF($A4042="",0,IF(AND(AE4042&lt;&gt;"직접",IFERROR(INDEX(계정매핑!$G$5:$G$504,MATCH($F4042&amp;"",계정매핑!$A$5:$A$504,0))&amp;"","")="유지비",COUNTIF(계정대체기준!$A$6:$A$15,$N4042)&gt;0),IFERROR(INDEX(계정대체기준!$E$6:$E$15,MATCH(VALUE($A4042&amp;""),계정대체기준!$D$6:$D$15,0)),0),0))</f>
        <v/>
      </c>
      <c r="AH4042" s="64">
        <f>IF($A4042="","",IF(AD4042=0,"",IF(OR(COUNTIF(계정대체기준!$A$77:$A$86,$N4042)&gt;0,ISNUMBER(MATCH($X4042,계정대체기준!$D$77:$D$86,0)),ISNUMBER(MATCH($F4042,계정대체기준!$D$77:$D$86,0))),"Y","N")))</f>
        <v/>
      </c>
    </row>
    <row r="4043">
      <c r="A4043" s="92" t="n">
        <v>2026</v>
      </c>
      <c r="B4043" s="92" t="n">
        <v>6</v>
      </c>
      <c r="C4043" s="92" t="inlineStr">
        <is>
          <t>5100001321</t>
        </is>
      </c>
      <c r="D4043" s="95" t="n">
        <v>46196</v>
      </c>
      <c r="E4043" s="92" t="inlineStr">
        <is>
          <t>KR</t>
        </is>
      </c>
      <c r="F4043" s="92" t="n">
        <v>62401000</v>
      </c>
      <c r="G4043" s="92" t="n">
        <v>1401</v>
      </c>
      <c r="H4043" s="93" t="n">
        <v>364000</v>
      </c>
      <c r="I4043" s="92" t="inlineStr">
        <is>
          <t>6월 인쇄물 제작 - S출판</t>
        </is>
      </c>
      <c r="J4043" s="92" t="inlineStr">
        <is>
          <t>V10015</t>
        </is>
      </c>
      <c r="K4043" s="92" t="inlineStr">
        <is>
          <t>S출판</t>
        </is>
      </c>
      <c r="M4043" s="9">
        <f>IF($A4043="","",VALUE($A4043&amp;"")*12+VALUE($B4043&amp;""))</f>
        <v/>
      </c>
      <c r="N4043" s="64">
        <f>IF($A4043="","",IFERROR(INDEX(부서매핑!$C$5:$C$504,MATCH($G4043&amp;"",부서매핑!$A$5:$A$504,0)),"미매핑"))</f>
        <v/>
      </c>
      <c r="O4043" s="9">
        <f>IF($A4043="","",N4043&amp;"|"&amp;$F4043)</f>
        <v/>
      </c>
      <c r="P4043" s="94">
        <f>IF($A4043="",0,$H4043*설정!$C$23)</f>
        <v/>
      </c>
      <c r="Q4043" s="64">
        <f>IF($A4043="","",IF(O4043&lt;&gt;원인분석!$C$9,"",IF(AND(M4043&gt;=원인분석!$C$10,M4043&lt;=원인분석!$C$11),"당기",IF(AND(M4043&gt;=원인분석!$C$12,M4043&lt;=원인분석!$C$13),"비교",""))))</f>
        <v/>
      </c>
      <c r="R4043" s="9">
        <f>IF(Q4043="","",$K4043&amp;"")</f>
        <v/>
      </c>
      <c r="S4043" s="9">
        <f>IF(Q4043="","",IF(MATCH(R4043,$R$5:$R$100000,0)=ROW()-4,ROW(),""))</f>
        <v/>
      </c>
      <c r="T4043" s="9">
        <f>IF(Q4043="당기",ABS(P4043)+ROW()/1000000000,"")</f>
        <v/>
      </c>
      <c r="U4043" s="9">
        <f>IF(Q4043="비교",ABS(P4043)+ROW()/1000000000,"")</f>
        <v/>
      </c>
      <c r="V4043" s="64">
        <f>IF($A4043="","",IF(COUNTIF(변동분석!$E$7:$E$506,O4043)&gt;0,"Y","N"))</f>
        <v/>
      </c>
      <c r="W4043" s="64">
        <f>IF($A4043="","",IFERROR(INDEX(계정매핑!$D$5:$D$504,MATCH($F4043&amp;"",계정매핑!$A$5:$A$504,0)),"미매핑"))</f>
        <v/>
      </c>
      <c r="X4043" s="9">
        <f>IF($A4043="","",$F4043&amp;"")</f>
        <v/>
      </c>
      <c r="Y4043" s="94">
        <f>IF($A4043="",0,IF(AE4043="직접",IF(AF4043="비귀속",$P4043,0),$P4043*(1-AG4043)*IFERROR(INDEX(계정대체기준!$F$20:$F$49,MATCH($N4043,계정대체기준!$A$20:$A$49,0)),1)))</f>
        <v/>
      </c>
      <c r="Z4043" s="94">
        <f>IF($A4043="",0,IF(AE4043="직접",IF(AF4043="신계약비",$P4043,0),$P4043*(1-AG4043)*IFERROR(INDEX(계정대체기준!$C$20:$C$49,MATCH($N4043,계정대체기준!$A$20:$A$49,0)),0)))</f>
        <v/>
      </c>
      <c r="AA4043" s="94">
        <f>IF($A4043="",0,IF(AE4043="직접",IF(OR(AF4043="유지비",AF4043="손해조사비"),$P4043,0),$P4043*(1-AG4043)*IFERROR(INDEX(계정대체기준!$D$20:$D$49,MATCH($N4043,계정대체기준!$A$20:$A$49,0)),0)))</f>
        <v/>
      </c>
      <c r="AB4043" s="94">
        <f>IF($A4043="",0,IF(AE4043="직접",IF(AF4043="수금비",$P4043,0),$P4043*(1-AG4043)*IFERROR(INDEX(계정대체기준!$E$20:$E$49,MATCH($N4043,계정대체기준!$A$20:$A$49,0)),0)))</f>
        <v/>
      </c>
      <c r="AC4043" s="9">
        <f>IF(AND($A4043&lt;&gt;"",M4043=설정!$C$20,Z4043&gt;0),Z4043+ROW()/1000000000,"")</f>
        <v/>
      </c>
      <c r="AD4043" s="94">
        <f>IF($A4043="",0,$P4043*AG4043)</f>
        <v/>
      </c>
      <c r="AE4043" s="64">
        <f>IF($A4043="","",IFERROR(INDEX(계정매핑!$E$5:$E$504,MATCH($F4043&amp;"",계정매핑!$A$5:$A$504,0))&amp;"","공통비"))</f>
        <v/>
      </c>
      <c r="AF4043" s="64">
        <f>IF($A4043="","",IF(AE4043="직접",IFERROR(INDEX(계정매핑!$F$5:$F$504,MATCH($F4043&amp;"",계정매핑!$A$5:$A$504,0))&amp;"","비귀속"),""))</f>
        <v/>
      </c>
      <c r="AG4043" s="96">
        <f>IF($A4043="",0,IF(AND(AE4043&lt;&gt;"직접",IFERROR(INDEX(계정매핑!$G$5:$G$504,MATCH($F4043&amp;"",계정매핑!$A$5:$A$504,0))&amp;"","")="유지비",COUNTIF(계정대체기준!$A$6:$A$15,$N4043)&gt;0),IFERROR(INDEX(계정대체기준!$E$6:$E$15,MATCH(VALUE($A4043&amp;""),계정대체기준!$D$6:$D$15,0)),0),0))</f>
        <v/>
      </c>
      <c r="AH4043" s="64">
        <f>IF($A4043="","",IF(AD4043=0,"",IF(OR(COUNTIF(계정대체기준!$A$77:$A$86,$N4043)&gt;0,ISNUMBER(MATCH($X4043,계정대체기준!$D$77:$D$86,0)),ISNUMBER(MATCH($F4043,계정대체기준!$D$77:$D$86,0))),"Y","N")))</f>
        <v/>
      </c>
    </row>
    <row r="4044">
      <c r="A4044" s="92" t="n">
        <v>2026</v>
      </c>
      <c r="B4044" s="92" t="n">
        <v>6</v>
      </c>
      <c r="C4044" s="92" t="inlineStr">
        <is>
          <t>5100001322</t>
        </is>
      </c>
      <c r="D4044" s="95" t="n">
        <v>46196</v>
      </c>
      <c r="E4044" s="92" t="inlineStr">
        <is>
          <t>KR</t>
        </is>
      </c>
      <c r="F4044" s="92" t="n">
        <v>62901000</v>
      </c>
      <c r="G4044" s="92" t="n">
        <v>1101</v>
      </c>
      <c r="H4044" s="93" t="n">
        <v>2568000</v>
      </c>
      <c r="I4044" s="92" t="inlineStr">
        <is>
          <t>6월 자문 수수료 - K회계법인</t>
        </is>
      </c>
      <c r="J4044" s="92" t="inlineStr">
        <is>
          <t>V10011</t>
        </is>
      </c>
      <c r="K4044" s="92" t="inlineStr">
        <is>
          <t>K회계법인</t>
        </is>
      </c>
      <c r="M4044" s="9">
        <f>IF($A4044="","",VALUE($A4044&amp;"")*12+VALUE($B4044&amp;""))</f>
        <v/>
      </c>
      <c r="N4044" s="64">
        <f>IF($A4044="","",IFERROR(INDEX(부서매핑!$C$5:$C$504,MATCH($G4044&amp;"",부서매핑!$A$5:$A$504,0)),"미매핑"))</f>
        <v/>
      </c>
      <c r="O4044" s="9">
        <f>IF($A4044="","",N4044&amp;"|"&amp;$F4044)</f>
        <v/>
      </c>
      <c r="P4044" s="94">
        <f>IF($A4044="",0,$H4044*설정!$C$23)</f>
        <v/>
      </c>
      <c r="Q4044" s="64">
        <f>IF($A4044="","",IF(O4044&lt;&gt;원인분석!$C$9,"",IF(AND(M4044&gt;=원인분석!$C$10,M4044&lt;=원인분석!$C$11),"당기",IF(AND(M4044&gt;=원인분석!$C$12,M4044&lt;=원인분석!$C$13),"비교",""))))</f>
        <v/>
      </c>
      <c r="R4044" s="9">
        <f>IF(Q4044="","",$K4044&amp;"")</f>
        <v/>
      </c>
      <c r="S4044" s="9">
        <f>IF(Q4044="","",IF(MATCH(R4044,$R$5:$R$100000,0)=ROW()-4,ROW(),""))</f>
        <v/>
      </c>
      <c r="T4044" s="9">
        <f>IF(Q4044="당기",ABS(P4044)+ROW()/1000000000,"")</f>
        <v/>
      </c>
      <c r="U4044" s="9">
        <f>IF(Q4044="비교",ABS(P4044)+ROW()/1000000000,"")</f>
        <v/>
      </c>
      <c r="V4044" s="64">
        <f>IF($A4044="","",IF(COUNTIF(변동분석!$E$7:$E$506,O4044)&gt;0,"Y","N"))</f>
        <v/>
      </c>
      <c r="W4044" s="64">
        <f>IF($A4044="","",IFERROR(INDEX(계정매핑!$D$5:$D$504,MATCH($F4044&amp;"",계정매핑!$A$5:$A$504,0)),"미매핑"))</f>
        <v/>
      </c>
      <c r="X4044" s="9">
        <f>IF($A4044="","",$F4044&amp;"")</f>
        <v/>
      </c>
      <c r="Y4044" s="94">
        <f>IF($A4044="",0,IF(AE4044="직접",IF(AF4044="비귀속",$P4044,0),$P4044*(1-AG4044)*IFERROR(INDEX(계정대체기준!$F$20:$F$49,MATCH($N4044,계정대체기준!$A$20:$A$49,0)),1)))</f>
        <v/>
      </c>
      <c r="Z4044" s="94">
        <f>IF($A4044="",0,IF(AE4044="직접",IF(AF4044="신계약비",$P4044,0),$P4044*(1-AG4044)*IFERROR(INDEX(계정대체기준!$C$20:$C$49,MATCH($N4044,계정대체기준!$A$20:$A$49,0)),0)))</f>
        <v/>
      </c>
      <c r="AA4044" s="94">
        <f>IF($A4044="",0,IF(AE4044="직접",IF(OR(AF4044="유지비",AF4044="손해조사비"),$P4044,0),$P4044*(1-AG4044)*IFERROR(INDEX(계정대체기준!$D$20:$D$49,MATCH($N4044,계정대체기준!$A$20:$A$49,0)),0)))</f>
        <v/>
      </c>
      <c r="AB4044" s="94">
        <f>IF($A4044="",0,IF(AE4044="직접",IF(AF4044="수금비",$P4044,0),$P4044*(1-AG4044)*IFERROR(INDEX(계정대체기준!$E$20:$E$49,MATCH($N4044,계정대체기준!$A$20:$A$49,0)),0)))</f>
        <v/>
      </c>
      <c r="AC4044" s="9">
        <f>IF(AND($A4044&lt;&gt;"",M4044=설정!$C$20,Z4044&gt;0),Z4044+ROW()/1000000000,"")</f>
        <v/>
      </c>
      <c r="AD4044" s="94">
        <f>IF($A4044="",0,$P4044*AG4044)</f>
        <v/>
      </c>
      <c r="AE4044" s="64">
        <f>IF($A4044="","",IFERROR(INDEX(계정매핑!$E$5:$E$504,MATCH($F4044&amp;"",계정매핑!$A$5:$A$504,0))&amp;"","공통비"))</f>
        <v/>
      </c>
      <c r="AF4044" s="64">
        <f>IF($A4044="","",IF(AE4044="직접",IFERROR(INDEX(계정매핑!$F$5:$F$504,MATCH($F4044&amp;"",계정매핑!$A$5:$A$504,0))&amp;"","비귀속"),""))</f>
        <v/>
      </c>
      <c r="AG4044" s="96">
        <f>IF($A4044="",0,IF(AND(AE4044&lt;&gt;"직접",IFERROR(INDEX(계정매핑!$G$5:$G$504,MATCH($F4044&amp;"",계정매핑!$A$5:$A$504,0))&amp;"","")="유지비",COUNTIF(계정대체기준!$A$6:$A$15,$N4044)&gt;0),IFERROR(INDEX(계정대체기준!$E$6:$E$15,MATCH(VALUE($A4044&amp;""),계정대체기준!$D$6:$D$15,0)),0),0))</f>
        <v/>
      </c>
      <c r="AH4044" s="64">
        <f>IF($A4044="","",IF(AD4044=0,"",IF(OR(COUNTIF(계정대체기준!$A$77:$A$86,$N4044)&gt;0,ISNUMBER(MATCH($X4044,계정대체기준!$D$77:$D$86,0)),ISNUMBER(MATCH($F4044,계정대체기준!$D$77:$D$86,0))),"Y","N")))</f>
        <v/>
      </c>
    </row>
    <row r="4045">
      <c r="A4045" s="92" t="n">
        <v>2026</v>
      </c>
      <c r="B4045" s="92" t="n">
        <v>6</v>
      </c>
      <c r="C4045" s="92" t="inlineStr">
        <is>
          <t>5100001323</t>
        </is>
      </c>
      <c r="D4045" s="95" t="n">
        <v>46196</v>
      </c>
      <c r="E4045" s="92" t="inlineStr">
        <is>
          <t>KR</t>
        </is>
      </c>
      <c r="F4045" s="92" t="n">
        <v>62901000</v>
      </c>
      <c r="G4045" s="92" t="n">
        <v>1801</v>
      </c>
      <c r="H4045" s="93" t="n">
        <v>15008000</v>
      </c>
      <c r="I4045" s="92" t="inlineStr">
        <is>
          <t>6월 자문 수수료 - K회계법인</t>
        </is>
      </c>
      <c r="J4045" s="92" t="inlineStr">
        <is>
          <t>V10011</t>
        </is>
      </c>
      <c r="K4045" s="92" t="inlineStr">
        <is>
          <t>K회계법인</t>
        </is>
      </c>
      <c r="M4045" s="9">
        <f>IF($A4045="","",VALUE($A4045&amp;"")*12+VALUE($B4045&amp;""))</f>
        <v/>
      </c>
      <c r="N4045" s="64">
        <f>IF($A4045="","",IFERROR(INDEX(부서매핑!$C$5:$C$504,MATCH($G4045&amp;"",부서매핑!$A$5:$A$504,0)),"미매핑"))</f>
        <v/>
      </c>
      <c r="O4045" s="9">
        <f>IF($A4045="","",N4045&amp;"|"&amp;$F4045)</f>
        <v/>
      </c>
      <c r="P4045" s="94">
        <f>IF($A4045="",0,$H4045*설정!$C$23)</f>
        <v/>
      </c>
      <c r="Q4045" s="64">
        <f>IF($A4045="","",IF(O4045&lt;&gt;원인분석!$C$9,"",IF(AND(M4045&gt;=원인분석!$C$10,M4045&lt;=원인분석!$C$11),"당기",IF(AND(M4045&gt;=원인분석!$C$12,M4045&lt;=원인분석!$C$13),"비교",""))))</f>
        <v/>
      </c>
      <c r="R4045" s="9">
        <f>IF(Q4045="","",$K4045&amp;"")</f>
        <v/>
      </c>
      <c r="S4045" s="9">
        <f>IF(Q4045="","",IF(MATCH(R4045,$R$5:$R$100000,0)=ROW()-4,ROW(),""))</f>
        <v/>
      </c>
      <c r="T4045" s="9">
        <f>IF(Q4045="당기",ABS(P4045)+ROW()/1000000000,"")</f>
        <v/>
      </c>
      <c r="U4045" s="9">
        <f>IF(Q4045="비교",ABS(P4045)+ROW()/1000000000,"")</f>
        <v/>
      </c>
      <c r="V4045" s="64">
        <f>IF($A4045="","",IF(COUNTIF(변동분석!$E$7:$E$506,O4045)&gt;0,"Y","N"))</f>
        <v/>
      </c>
      <c r="W4045" s="64">
        <f>IF($A4045="","",IFERROR(INDEX(계정매핑!$D$5:$D$504,MATCH($F4045&amp;"",계정매핑!$A$5:$A$504,0)),"미매핑"))</f>
        <v/>
      </c>
      <c r="X4045" s="9">
        <f>IF($A4045="","",$F4045&amp;"")</f>
        <v/>
      </c>
      <c r="Y4045" s="94">
        <f>IF($A4045="",0,IF(AE4045="직접",IF(AF4045="비귀속",$P4045,0),$P4045*(1-AG4045)*IFERROR(INDEX(계정대체기준!$F$20:$F$49,MATCH($N4045,계정대체기준!$A$20:$A$49,0)),1)))</f>
        <v/>
      </c>
      <c r="Z4045" s="94">
        <f>IF($A4045="",0,IF(AE4045="직접",IF(AF4045="신계약비",$P4045,0),$P4045*(1-AG4045)*IFERROR(INDEX(계정대체기준!$C$20:$C$49,MATCH($N4045,계정대체기준!$A$20:$A$49,0)),0)))</f>
        <v/>
      </c>
      <c r="AA4045" s="94">
        <f>IF($A4045="",0,IF(AE4045="직접",IF(OR(AF4045="유지비",AF4045="손해조사비"),$P4045,0),$P4045*(1-AG4045)*IFERROR(INDEX(계정대체기준!$D$20:$D$49,MATCH($N4045,계정대체기준!$A$20:$A$49,0)),0)))</f>
        <v/>
      </c>
      <c r="AB4045" s="94">
        <f>IF($A4045="",0,IF(AE4045="직접",IF(AF4045="수금비",$P4045,0),$P4045*(1-AG4045)*IFERROR(INDEX(계정대체기준!$E$20:$E$49,MATCH($N4045,계정대체기준!$A$20:$A$49,0)),0)))</f>
        <v/>
      </c>
      <c r="AC4045" s="9">
        <f>IF(AND($A4045&lt;&gt;"",M4045=설정!$C$20,Z4045&gt;0),Z4045+ROW()/1000000000,"")</f>
        <v/>
      </c>
      <c r="AD4045" s="94">
        <f>IF($A4045="",0,$P4045*AG4045)</f>
        <v/>
      </c>
      <c r="AE4045" s="64">
        <f>IF($A4045="","",IFERROR(INDEX(계정매핑!$E$5:$E$504,MATCH($F4045&amp;"",계정매핑!$A$5:$A$504,0))&amp;"","공통비"))</f>
        <v/>
      </c>
      <c r="AF4045" s="64">
        <f>IF($A4045="","",IF(AE4045="직접",IFERROR(INDEX(계정매핑!$F$5:$F$504,MATCH($F4045&amp;"",계정매핑!$A$5:$A$504,0))&amp;"","비귀속"),""))</f>
        <v/>
      </c>
      <c r="AG4045" s="96">
        <f>IF($A4045="",0,IF(AND(AE4045&lt;&gt;"직접",IFERROR(INDEX(계정매핑!$G$5:$G$504,MATCH($F4045&amp;"",계정매핑!$A$5:$A$504,0))&amp;"","")="유지비",COUNTIF(계정대체기준!$A$6:$A$15,$N4045)&gt;0),IFERROR(INDEX(계정대체기준!$E$6:$E$15,MATCH(VALUE($A4045&amp;""),계정대체기준!$D$6:$D$15,0)),0),0))</f>
        <v/>
      </c>
      <c r="AH4045" s="64">
        <f>IF($A4045="","",IF(AD4045=0,"",IF(OR(COUNTIF(계정대체기준!$A$77:$A$86,$N4045)&gt;0,ISNUMBER(MATCH($X4045,계정대체기준!$D$77:$D$86,0)),ISNUMBER(MATCH($F4045,계정대체기준!$D$77:$D$86,0))),"Y","N")))</f>
        <v/>
      </c>
    </row>
    <row r="4046">
      <c r="A4046" s="92" t="n">
        <v>2026</v>
      </c>
      <c r="B4046" s="92" t="n">
        <v>6</v>
      </c>
      <c r="C4046" s="92" t="inlineStr">
        <is>
          <t>5100001324</t>
        </is>
      </c>
      <c r="D4046" s="95" t="n">
        <v>46197</v>
      </c>
      <c r="E4046" s="92" t="inlineStr">
        <is>
          <t>KR</t>
        </is>
      </c>
      <c r="F4046" s="92" t="n">
        <v>62101000</v>
      </c>
      <c r="G4046" s="92" t="n">
        <v>1801</v>
      </c>
      <c r="H4046" s="93" t="n">
        <v>148000</v>
      </c>
      <c r="I4046" s="92" t="inlineStr">
        <is>
          <t>6월 국내출장 - (법인카드)</t>
        </is>
      </c>
      <c r="J4046" s="92" t="inlineStr">
        <is>
          <t>V10010</t>
        </is>
      </c>
      <c r="K4046" s="92" t="inlineStr">
        <is>
          <t>(법인카드)</t>
        </is>
      </c>
      <c r="M4046" s="9">
        <f>IF($A4046="","",VALUE($A4046&amp;"")*12+VALUE($B4046&amp;""))</f>
        <v/>
      </c>
      <c r="N4046" s="64">
        <f>IF($A4046="","",IFERROR(INDEX(부서매핑!$C$5:$C$504,MATCH($G4046&amp;"",부서매핑!$A$5:$A$504,0)),"미매핑"))</f>
        <v/>
      </c>
      <c r="O4046" s="9">
        <f>IF($A4046="","",N4046&amp;"|"&amp;$F4046)</f>
        <v/>
      </c>
      <c r="P4046" s="94">
        <f>IF($A4046="",0,$H4046*설정!$C$23)</f>
        <v/>
      </c>
      <c r="Q4046" s="64">
        <f>IF($A4046="","",IF(O4046&lt;&gt;원인분석!$C$9,"",IF(AND(M4046&gt;=원인분석!$C$10,M4046&lt;=원인분석!$C$11),"당기",IF(AND(M4046&gt;=원인분석!$C$12,M4046&lt;=원인분석!$C$13),"비교",""))))</f>
        <v/>
      </c>
      <c r="R4046" s="9">
        <f>IF(Q4046="","",$K4046&amp;"")</f>
        <v/>
      </c>
      <c r="S4046" s="9">
        <f>IF(Q4046="","",IF(MATCH(R4046,$R$5:$R$100000,0)=ROW()-4,ROW(),""))</f>
        <v/>
      </c>
      <c r="T4046" s="9">
        <f>IF(Q4046="당기",ABS(P4046)+ROW()/1000000000,"")</f>
        <v/>
      </c>
      <c r="U4046" s="9">
        <f>IF(Q4046="비교",ABS(P4046)+ROW()/1000000000,"")</f>
        <v/>
      </c>
      <c r="V4046" s="64">
        <f>IF($A4046="","",IF(COUNTIF(변동분석!$E$7:$E$506,O4046)&gt;0,"Y","N"))</f>
        <v/>
      </c>
      <c r="W4046" s="64">
        <f>IF($A4046="","",IFERROR(INDEX(계정매핑!$D$5:$D$504,MATCH($F4046&amp;"",계정매핑!$A$5:$A$504,0)),"미매핑"))</f>
        <v/>
      </c>
      <c r="X4046" s="9">
        <f>IF($A4046="","",$F4046&amp;"")</f>
        <v/>
      </c>
      <c r="Y4046" s="94">
        <f>IF($A4046="",0,IF(AE4046="직접",IF(AF4046="비귀속",$P4046,0),$P4046*(1-AG4046)*IFERROR(INDEX(계정대체기준!$F$20:$F$49,MATCH($N4046,계정대체기준!$A$20:$A$49,0)),1)))</f>
        <v/>
      </c>
      <c r="Z4046" s="94">
        <f>IF($A4046="",0,IF(AE4046="직접",IF(AF4046="신계약비",$P4046,0),$P4046*(1-AG4046)*IFERROR(INDEX(계정대체기준!$C$20:$C$49,MATCH($N4046,계정대체기준!$A$20:$A$49,0)),0)))</f>
        <v/>
      </c>
      <c r="AA4046" s="94">
        <f>IF($A4046="",0,IF(AE4046="직접",IF(OR(AF4046="유지비",AF4046="손해조사비"),$P4046,0),$P4046*(1-AG4046)*IFERROR(INDEX(계정대체기준!$D$20:$D$49,MATCH($N4046,계정대체기준!$A$20:$A$49,0)),0)))</f>
        <v/>
      </c>
      <c r="AB4046" s="94">
        <f>IF($A4046="",0,IF(AE4046="직접",IF(AF4046="수금비",$P4046,0),$P4046*(1-AG4046)*IFERROR(INDEX(계정대체기준!$E$20:$E$49,MATCH($N4046,계정대체기준!$A$20:$A$49,0)),0)))</f>
        <v/>
      </c>
      <c r="AC4046" s="9">
        <f>IF(AND($A4046&lt;&gt;"",M4046=설정!$C$20,Z4046&gt;0),Z4046+ROW()/1000000000,"")</f>
        <v/>
      </c>
      <c r="AD4046" s="94">
        <f>IF($A4046="",0,$P4046*AG4046)</f>
        <v/>
      </c>
      <c r="AE4046" s="64">
        <f>IF($A4046="","",IFERROR(INDEX(계정매핑!$E$5:$E$504,MATCH($F4046&amp;"",계정매핑!$A$5:$A$504,0))&amp;"","공통비"))</f>
        <v/>
      </c>
      <c r="AF4046" s="64">
        <f>IF($A4046="","",IF(AE4046="직접",IFERROR(INDEX(계정매핑!$F$5:$F$504,MATCH($F4046&amp;"",계정매핑!$A$5:$A$504,0))&amp;"","비귀속"),""))</f>
        <v/>
      </c>
      <c r="AG4046" s="96">
        <f>IF($A4046="",0,IF(AND(AE4046&lt;&gt;"직접",IFERROR(INDEX(계정매핑!$G$5:$G$504,MATCH($F4046&amp;"",계정매핑!$A$5:$A$504,0))&amp;"","")="유지비",COUNTIF(계정대체기준!$A$6:$A$15,$N4046)&gt;0),IFERROR(INDEX(계정대체기준!$E$6:$E$15,MATCH(VALUE($A4046&amp;""),계정대체기준!$D$6:$D$15,0)),0),0))</f>
        <v/>
      </c>
      <c r="AH4046" s="64">
        <f>IF($A4046="","",IF(AD4046=0,"",IF(OR(COUNTIF(계정대체기준!$A$77:$A$86,$N4046)&gt;0,ISNUMBER(MATCH($X4046,계정대체기준!$D$77:$D$86,0)),ISNUMBER(MATCH($F4046,계정대체기준!$D$77:$D$86,0))),"Y","N")))</f>
        <v/>
      </c>
    </row>
    <row r="4047">
      <c r="A4047" s="92" t="n">
        <v>2026</v>
      </c>
      <c r="B4047" s="92" t="n">
        <v>6</v>
      </c>
      <c r="C4047" s="92" t="inlineStr">
        <is>
          <t>5100001325</t>
        </is>
      </c>
      <c r="D4047" s="95" t="n">
        <v>46197</v>
      </c>
      <c r="E4047" s="92" t="inlineStr">
        <is>
          <t>KR</t>
        </is>
      </c>
      <c r="F4047" s="92" t="n">
        <v>62102000</v>
      </c>
      <c r="G4047" s="92" t="n">
        <v>1502</v>
      </c>
      <c r="H4047" s="93" t="n">
        <v>213000</v>
      </c>
      <c r="I4047" s="92" t="inlineStr">
        <is>
          <t>6월 해외출장 - N호텔</t>
        </is>
      </c>
      <c r="J4047" s="92" t="inlineStr">
        <is>
          <t>V10009</t>
        </is>
      </c>
      <c r="K4047" s="92" t="inlineStr">
        <is>
          <t>N호텔</t>
        </is>
      </c>
      <c r="M4047" s="9">
        <f>IF($A4047="","",VALUE($A4047&amp;"")*12+VALUE($B4047&amp;""))</f>
        <v/>
      </c>
      <c r="N4047" s="64">
        <f>IF($A4047="","",IFERROR(INDEX(부서매핑!$C$5:$C$504,MATCH($G4047&amp;"",부서매핑!$A$5:$A$504,0)),"미매핑"))</f>
        <v/>
      </c>
      <c r="O4047" s="9">
        <f>IF($A4047="","",N4047&amp;"|"&amp;$F4047)</f>
        <v/>
      </c>
      <c r="P4047" s="94">
        <f>IF($A4047="",0,$H4047*설정!$C$23)</f>
        <v/>
      </c>
      <c r="Q4047" s="64">
        <f>IF($A4047="","",IF(O4047&lt;&gt;원인분석!$C$9,"",IF(AND(M4047&gt;=원인분석!$C$10,M4047&lt;=원인분석!$C$11),"당기",IF(AND(M4047&gt;=원인분석!$C$12,M4047&lt;=원인분석!$C$13),"비교",""))))</f>
        <v/>
      </c>
      <c r="R4047" s="9">
        <f>IF(Q4047="","",$K4047&amp;"")</f>
        <v/>
      </c>
      <c r="S4047" s="9">
        <f>IF(Q4047="","",IF(MATCH(R4047,$R$5:$R$100000,0)=ROW()-4,ROW(),""))</f>
        <v/>
      </c>
      <c r="T4047" s="9">
        <f>IF(Q4047="당기",ABS(P4047)+ROW()/1000000000,"")</f>
        <v/>
      </c>
      <c r="U4047" s="9">
        <f>IF(Q4047="비교",ABS(P4047)+ROW()/1000000000,"")</f>
        <v/>
      </c>
      <c r="V4047" s="64">
        <f>IF($A4047="","",IF(COUNTIF(변동분석!$E$7:$E$506,O4047)&gt;0,"Y","N"))</f>
        <v/>
      </c>
      <c r="W4047" s="64">
        <f>IF($A4047="","",IFERROR(INDEX(계정매핑!$D$5:$D$504,MATCH($F4047&amp;"",계정매핑!$A$5:$A$504,0)),"미매핑"))</f>
        <v/>
      </c>
      <c r="X4047" s="9">
        <f>IF($A4047="","",$F4047&amp;"")</f>
        <v/>
      </c>
      <c r="Y4047" s="94">
        <f>IF($A4047="",0,IF(AE4047="직접",IF(AF4047="비귀속",$P4047,0),$P4047*(1-AG4047)*IFERROR(INDEX(계정대체기준!$F$20:$F$49,MATCH($N4047,계정대체기준!$A$20:$A$49,0)),1)))</f>
        <v/>
      </c>
      <c r="Z4047" s="94">
        <f>IF($A4047="",0,IF(AE4047="직접",IF(AF4047="신계약비",$P4047,0),$P4047*(1-AG4047)*IFERROR(INDEX(계정대체기준!$C$20:$C$49,MATCH($N4047,계정대체기준!$A$20:$A$49,0)),0)))</f>
        <v/>
      </c>
      <c r="AA4047" s="94">
        <f>IF($A4047="",0,IF(AE4047="직접",IF(OR(AF4047="유지비",AF4047="손해조사비"),$P4047,0),$P4047*(1-AG4047)*IFERROR(INDEX(계정대체기준!$D$20:$D$49,MATCH($N4047,계정대체기준!$A$20:$A$49,0)),0)))</f>
        <v/>
      </c>
      <c r="AB4047" s="94">
        <f>IF($A4047="",0,IF(AE4047="직접",IF(AF4047="수금비",$P4047,0),$P4047*(1-AG4047)*IFERROR(INDEX(계정대체기준!$E$20:$E$49,MATCH($N4047,계정대체기준!$A$20:$A$49,0)),0)))</f>
        <v/>
      </c>
      <c r="AC4047" s="9">
        <f>IF(AND($A4047&lt;&gt;"",M4047=설정!$C$20,Z4047&gt;0),Z4047+ROW()/1000000000,"")</f>
        <v/>
      </c>
      <c r="AD4047" s="94">
        <f>IF($A4047="",0,$P4047*AG4047)</f>
        <v/>
      </c>
      <c r="AE4047" s="64">
        <f>IF($A4047="","",IFERROR(INDEX(계정매핑!$E$5:$E$504,MATCH($F4047&amp;"",계정매핑!$A$5:$A$504,0))&amp;"","공통비"))</f>
        <v/>
      </c>
      <c r="AF4047" s="64">
        <f>IF($A4047="","",IF(AE4047="직접",IFERROR(INDEX(계정매핑!$F$5:$F$504,MATCH($F4047&amp;"",계정매핑!$A$5:$A$504,0))&amp;"","비귀속"),""))</f>
        <v/>
      </c>
      <c r="AG4047" s="96">
        <f>IF($A4047="",0,IF(AND(AE4047&lt;&gt;"직접",IFERROR(INDEX(계정매핑!$G$5:$G$504,MATCH($F4047&amp;"",계정매핑!$A$5:$A$504,0))&amp;"","")="유지비",COUNTIF(계정대체기준!$A$6:$A$15,$N4047)&gt;0),IFERROR(INDEX(계정대체기준!$E$6:$E$15,MATCH(VALUE($A4047&amp;""),계정대체기준!$D$6:$D$15,0)),0),0))</f>
        <v/>
      </c>
      <c r="AH4047" s="64">
        <f>IF($A4047="","",IF(AD4047=0,"",IF(OR(COUNTIF(계정대체기준!$A$77:$A$86,$N4047)&gt;0,ISNUMBER(MATCH($X4047,계정대체기준!$D$77:$D$86,0)),ISNUMBER(MATCH($F4047,계정대체기준!$D$77:$D$86,0))),"Y","N")))</f>
        <v/>
      </c>
    </row>
    <row r="4048">
      <c r="A4048" s="92" t="n">
        <v>2026</v>
      </c>
      <c r="B4048" s="92" t="n">
        <v>6</v>
      </c>
      <c r="C4048" s="92" t="inlineStr">
        <is>
          <t>5100001326</t>
        </is>
      </c>
      <c r="D4048" s="95" t="n">
        <v>46197</v>
      </c>
      <c r="E4048" s="92" t="inlineStr">
        <is>
          <t>KR</t>
        </is>
      </c>
      <c r="F4048" s="92" t="n">
        <v>62102000</v>
      </c>
      <c r="G4048" s="92" t="n">
        <v>1601</v>
      </c>
      <c r="H4048" s="93" t="n">
        <v>544000</v>
      </c>
      <c r="I4048" s="92" t="inlineStr">
        <is>
          <t>6월 해외출장 - N호텔</t>
        </is>
      </c>
      <c r="J4048" s="92" t="inlineStr">
        <is>
          <t>V10009</t>
        </is>
      </c>
      <c r="K4048" s="92" t="inlineStr">
        <is>
          <t>N호텔</t>
        </is>
      </c>
      <c r="M4048" s="9">
        <f>IF($A4048="","",VALUE($A4048&amp;"")*12+VALUE($B4048&amp;""))</f>
        <v/>
      </c>
      <c r="N4048" s="64">
        <f>IF($A4048="","",IFERROR(INDEX(부서매핑!$C$5:$C$504,MATCH($G4048&amp;"",부서매핑!$A$5:$A$504,0)),"미매핑"))</f>
        <v/>
      </c>
      <c r="O4048" s="9">
        <f>IF($A4048="","",N4048&amp;"|"&amp;$F4048)</f>
        <v/>
      </c>
      <c r="P4048" s="94">
        <f>IF($A4048="",0,$H4048*설정!$C$23)</f>
        <v/>
      </c>
      <c r="Q4048" s="64">
        <f>IF($A4048="","",IF(O4048&lt;&gt;원인분석!$C$9,"",IF(AND(M4048&gt;=원인분석!$C$10,M4048&lt;=원인분석!$C$11),"당기",IF(AND(M4048&gt;=원인분석!$C$12,M4048&lt;=원인분석!$C$13),"비교",""))))</f>
        <v/>
      </c>
      <c r="R4048" s="9">
        <f>IF(Q4048="","",$K4048&amp;"")</f>
        <v/>
      </c>
      <c r="S4048" s="9">
        <f>IF(Q4048="","",IF(MATCH(R4048,$R$5:$R$100000,0)=ROW()-4,ROW(),""))</f>
        <v/>
      </c>
      <c r="T4048" s="9">
        <f>IF(Q4048="당기",ABS(P4048)+ROW()/1000000000,"")</f>
        <v/>
      </c>
      <c r="U4048" s="9">
        <f>IF(Q4048="비교",ABS(P4048)+ROW()/1000000000,"")</f>
        <v/>
      </c>
      <c r="V4048" s="64">
        <f>IF($A4048="","",IF(COUNTIF(변동분석!$E$7:$E$506,O4048)&gt;0,"Y","N"))</f>
        <v/>
      </c>
      <c r="W4048" s="64">
        <f>IF($A4048="","",IFERROR(INDEX(계정매핑!$D$5:$D$504,MATCH($F4048&amp;"",계정매핑!$A$5:$A$504,0)),"미매핑"))</f>
        <v/>
      </c>
      <c r="X4048" s="9">
        <f>IF($A4048="","",$F4048&amp;"")</f>
        <v/>
      </c>
      <c r="Y4048" s="94">
        <f>IF($A4048="",0,IF(AE4048="직접",IF(AF4048="비귀속",$P4048,0),$P4048*(1-AG4048)*IFERROR(INDEX(계정대체기준!$F$20:$F$49,MATCH($N4048,계정대체기준!$A$20:$A$49,0)),1)))</f>
        <v/>
      </c>
      <c r="Z4048" s="94">
        <f>IF($A4048="",0,IF(AE4048="직접",IF(AF4048="신계약비",$P4048,0),$P4048*(1-AG4048)*IFERROR(INDEX(계정대체기준!$C$20:$C$49,MATCH($N4048,계정대체기준!$A$20:$A$49,0)),0)))</f>
        <v/>
      </c>
      <c r="AA4048" s="94">
        <f>IF($A4048="",0,IF(AE4048="직접",IF(OR(AF4048="유지비",AF4048="손해조사비"),$P4048,0),$P4048*(1-AG4048)*IFERROR(INDEX(계정대체기준!$D$20:$D$49,MATCH($N4048,계정대체기준!$A$20:$A$49,0)),0)))</f>
        <v/>
      </c>
      <c r="AB4048" s="94">
        <f>IF($A4048="",0,IF(AE4048="직접",IF(AF4048="수금비",$P4048,0),$P4048*(1-AG4048)*IFERROR(INDEX(계정대체기준!$E$20:$E$49,MATCH($N4048,계정대체기준!$A$20:$A$49,0)),0)))</f>
        <v/>
      </c>
      <c r="AC4048" s="9">
        <f>IF(AND($A4048&lt;&gt;"",M4048=설정!$C$20,Z4048&gt;0),Z4048+ROW()/1000000000,"")</f>
        <v/>
      </c>
      <c r="AD4048" s="94">
        <f>IF($A4048="",0,$P4048*AG4048)</f>
        <v/>
      </c>
      <c r="AE4048" s="64">
        <f>IF($A4048="","",IFERROR(INDEX(계정매핑!$E$5:$E$504,MATCH($F4048&amp;"",계정매핑!$A$5:$A$504,0))&amp;"","공통비"))</f>
        <v/>
      </c>
      <c r="AF4048" s="64">
        <f>IF($A4048="","",IF(AE4048="직접",IFERROR(INDEX(계정매핑!$F$5:$F$504,MATCH($F4048&amp;"",계정매핑!$A$5:$A$504,0))&amp;"","비귀속"),""))</f>
        <v/>
      </c>
      <c r="AG4048" s="96">
        <f>IF($A4048="",0,IF(AND(AE4048&lt;&gt;"직접",IFERROR(INDEX(계정매핑!$G$5:$G$504,MATCH($F4048&amp;"",계정매핑!$A$5:$A$504,0))&amp;"","")="유지비",COUNTIF(계정대체기준!$A$6:$A$15,$N4048)&gt;0),IFERROR(INDEX(계정대체기준!$E$6:$E$15,MATCH(VALUE($A4048&amp;""),계정대체기준!$D$6:$D$15,0)),0),0))</f>
        <v/>
      </c>
      <c r="AH4048" s="64">
        <f>IF($A4048="","",IF(AD4048=0,"",IF(OR(COUNTIF(계정대체기준!$A$77:$A$86,$N4048)&gt;0,ISNUMBER(MATCH($X4048,계정대체기준!$D$77:$D$86,0)),ISNUMBER(MATCH($F4048,계정대체기준!$D$77:$D$86,0))),"Y","N")))</f>
        <v/>
      </c>
    </row>
    <row r="4049">
      <c r="A4049" s="92" t="n">
        <v>2026</v>
      </c>
      <c r="B4049" s="92" t="n">
        <v>6</v>
      </c>
      <c r="C4049" s="92" t="inlineStr">
        <is>
          <t>5100001327</t>
        </is>
      </c>
      <c r="D4049" s="95" t="n">
        <v>46197</v>
      </c>
      <c r="E4049" s="92" t="inlineStr">
        <is>
          <t>KR</t>
        </is>
      </c>
      <c r="F4049" s="92" t="n">
        <v>62201000</v>
      </c>
      <c r="G4049" s="92" t="n">
        <v>1301</v>
      </c>
      <c r="H4049" s="93" t="n">
        <v>198000</v>
      </c>
      <c r="I4049" s="92" t="inlineStr">
        <is>
          <t>6월 통신요금 - P통신</t>
        </is>
      </c>
      <c r="J4049" s="92" t="inlineStr">
        <is>
          <t>V10014</t>
        </is>
      </c>
      <c r="K4049" s="92" t="inlineStr">
        <is>
          <t>P통신</t>
        </is>
      </c>
      <c r="M4049" s="9">
        <f>IF($A4049="","",VALUE($A4049&amp;"")*12+VALUE($B4049&amp;""))</f>
        <v/>
      </c>
      <c r="N4049" s="64">
        <f>IF($A4049="","",IFERROR(INDEX(부서매핑!$C$5:$C$504,MATCH($G4049&amp;"",부서매핑!$A$5:$A$504,0)),"미매핑"))</f>
        <v/>
      </c>
      <c r="O4049" s="9">
        <f>IF($A4049="","",N4049&amp;"|"&amp;$F4049)</f>
        <v/>
      </c>
      <c r="P4049" s="94">
        <f>IF($A4049="",0,$H4049*설정!$C$23)</f>
        <v/>
      </c>
      <c r="Q4049" s="64">
        <f>IF($A4049="","",IF(O4049&lt;&gt;원인분석!$C$9,"",IF(AND(M4049&gt;=원인분석!$C$10,M4049&lt;=원인분석!$C$11),"당기",IF(AND(M4049&gt;=원인분석!$C$12,M4049&lt;=원인분석!$C$13),"비교",""))))</f>
        <v/>
      </c>
      <c r="R4049" s="9">
        <f>IF(Q4049="","",$K4049&amp;"")</f>
        <v/>
      </c>
      <c r="S4049" s="9">
        <f>IF(Q4049="","",IF(MATCH(R4049,$R$5:$R$100000,0)=ROW()-4,ROW(),""))</f>
        <v/>
      </c>
      <c r="T4049" s="9">
        <f>IF(Q4049="당기",ABS(P4049)+ROW()/1000000000,"")</f>
        <v/>
      </c>
      <c r="U4049" s="9">
        <f>IF(Q4049="비교",ABS(P4049)+ROW()/1000000000,"")</f>
        <v/>
      </c>
      <c r="V4049" s="64">
        <f>IF($A4049="","",IF(COUNTIF(변동분석!$E$7:$E$506,O4049)&gt;0,"Y","N"))</f>
        <v/>
      </c>
      <c r="W4049" s="64">
        <f>IF($A4049="","",IFERROR(INDEX(계정매핑!$D$5:$D$504,MATCH($F4049&amp;"",계정매핑!$A$5:$A$504,0)),"미매핑"))</f>
        <v/>
      </c>
      <c r="X4049" s="9">
        <f>IF($A4049="","",$F4049&amp;"")</f>
        <v/>
      </c>
      <c r="Y4049" s="94">
        <f>IF($A4049="",0,IF(AE4049="직접",IF(AF4049="비귀속",$P4049,0),$P4049*(1-AG4049)*IFERROR(INDEX(계정대체기준!$F$20:$F$49,MATCH($N4049,계정대체기준!$A$20:$A$49,0)),1)))</f>
        <v/>
      </c>
      <c r="Z4049" s="94">
        <f>IF($A4049="",0,IF(AE4049="직접",IF(AF4049="신계약비",$P4049,0),$P4049*(1-AG4049)*IFERROR(INDEX(계정대체기준!$C$20:$C$49,MATCH($N4049,계정대체기준!$A$20:$A$49,0)),0)))</f>
        <v/>
      </c>
      <c r="AA4049" s="94">
        <f>IF($A4049="",0,IF(AE4049="직접",IF(OR(AF4049="유지비",AF4049="손해조사비"),$P4049,0),$P4049*(1-AG4049)*IFERROR(INDEX(계정대체기준!$D$20:$D$49,MATCH($N4049,계정대체기준!$A$20:$A$49,0)),0)))</f>
        <v/>
      </c>
      <c r="AB4049" s="94">
        <f>IF($A4049="",0,IF(AE4049="직접",IF(AF4049="수금비",$P4049,0),$P4049*(1-AG4049)*IFERROR(INDEX(계정대체기준!$E$20:$E$49,MATCH($N4049,계정대체기준!$A$20:$A$49,0)),0)))</f>
        <v/>
      </c>
      <c r="AC4049" s="9">
        <f>IF(AND($A4049&lt;&gt;"",M4049=설정!$C$20,Z4049&gt;0),Z4049+ROW()/1000000000,"")</f>
        <v/>
      </c>
      <c r="AD4049" s="94">
        <f>IF($A4049="",0,$P4049*AG4049)</f>
        <v/>
      </c>
      <c r="AE4049" s="64">
        <f>IF($A4049="","",IFERROR(INDEX(계정매핑!$E$5:$E$504,MATCH($F4049&amp;"",계정매핑!$A$5:$A$504,0))&amp;"","공통비"))</f>
        <v/>
      </c>
      <c r="AF4049" s="64">
        <f>IF($A4049="","",IF(AE4049="직접",IFERROR(INDEX(계정매핑!$F$5:$F$504,MATCH($F4049&amp;"",계정매핑!$A$5:$A$504,0))&amp;"","비귀속"),""))</f>
        <v/>
      </c>
      <c r="AG4049" s="96">
        <f>IF($A4049="",0,IF(AND(AE4049&lt;&gt;"직접",IFERROR(INDEX(계정매핑!$G$5:$G$504,MATCH($F4049&amp;"",계정매핑!$A$5:$A$504,0))&amp;"","")="유지비",COUNTIF(계정대체기준!$A$6:$A$15,$N4049)&gt;0),IFERROR(INDEX(계정대체기준!$E$6:$E$15,MATCH(VALUE($A4049&amp;""),계정대체기준!$D$6:$D$15,0)),0),0))</f>
        <v/>
      </c>
      <c r="AH4049" s="64">
        <f>IF($A4049="","",IF(AD4049=0,"",IF(OR(COUNTIF(계정대체기준!$A$77:$A$86,$N4049)&gt;0,ISNUMBER(MATCH($X4049,계정대체기준!$D$77:$D$86,0)),ISNUMBER(MATCH($F4049,계정대체기준!$D$77:$D$86,0))),"Y","N")))</f>
        <v/>
      </c>
    </row>
    <row r="4050">
      <c r="A4050" s="92" t="n">
        <v>2026</v>
      </c>
      <c r="B4050" s="92" t="n">
        <v>6</v>
      </c>
      <c r="C4050" s="92" t="inlineStr">
        <is>
          <t>5100001328</t>
        </is>
      </c>
      <c r="D4050" s="95" t="n">
        <v>46197</v>
      </c>
      <c r="E4050" s="92" t="inlineStr">
        <is>
          <t>KR</t>
        </is>
      </c>
      <c r="F4050" s="92" t="n">
        <v>62201000</v>
      </c>
      <c r="G4050" s="92" t="n">
        <v>1701</v>
      </c>
      <c r="H4050" s="93" t="n">
        <v>4057000</v>
      </c>
      <c r="I4050" s="92" t="inlineStr">
        <is>
          <t>6월 통신요금 - P통신</t>
        </is>
      </c>
      <c r="J4050" s="92" t="inlineStr">
        <is>
          <t>V10014</t>
        </is>
      </c>
      <c r="K4050" s="92" t="inlineStr">
        <is>
          <t>P통신</t>
        </is>
      </c>
      <c r="M4050" s="9">
        <f>IF($A4050="","",VALUE($A4050&amp;"")*12+VALUE($B4050&amp;""))</f>
        <v/>
      </c>
      <c r="N4050" s="64">
        <f>IF($A4050="","",IFERROR(INDEX(부서매핑!$C$5:$C$504,MATCH($G4050&amp;"",부서매핑!$A$5:$A$504,0)),"미매핑"))</f>
        <v/>
      </c>
      <c r="O4050" s="9">
        <f>IF($A4050="","",N4050&amp;"|"&amp;$F4050)</f>
        <v/>
      </c>
      <c r="P4050" s="94">
        <f>IF($A4050="",0,$H4050*설정!$C$23)</f>
        <v/>
      </c>
      <c r="Q4050" s="64">
        <f>IF($A4050="","",IF(O4050&lt;&gt;원인분석!$C$9,"",IF(AND(M4050&gt;=원인분석!$C$10,M4050&lt;=원인분석!$C$11),"당기",IF(AND(M4050&gt;=원인분석!$C$12,M4050&lt;=원인분석!$C$13),"비교",""))))</f>
        <v/>
      </c>
      <c r="R4050" s="9">
        <f>IF(Q4050="","",$K4050&amp;"")</f>
        <v/>
      </c>
      <c r="S4050" s="9">
        <f>IF(Q4050="","",IF(MATCH(R4050,$R$5:$R$100000,0)=ROW()-4,ROW(),""))</f>
        <v/>
      </c>
      <c r="T4050" s="9">
        <f>IF(Q4050="당기",ABS(P4050)+ROW()/1000000000,"")</f>
        <v/>
      </c>
      <c r="U4050" s="9">
        <f>IF(Q4050="비교",ABS(P4050)+ROW()/1000000000,"")</f>
        <v/>
      </c>
      <c r="V4050" s="64">
        <f>IF($A4050="","",IF(COUNTIF(변동분석!$E$7:$E$506,O4050)&gt;0,"Y","N"))</f>
        <v/>
      </c>
      <c r="W4050" s="64">
        <f>IF($A4050="","",IFERROR(INDEX(계정매핑!$D$5:$D$504,MATCH($F4050&amp;"",계정매핑!$A$5:$A$504,0)),"미매핑"))</f>
        <v/>
      </c>
      <c r="X4050" s="9">
        <f>IF($A4050="","",$F4050&amp;"")</f>
        <v/>
      </c>
      <c r="Y4050" s="94">
        <f>IF($A4050="",0,IF(AE4050="직접",IF(AF4050="비귀속",$P4050,0),$P4050*(1-AG4050)*IFERROR(INDEX(계정대체기준!$F$20:$F$49,MATCH($N4050,계정대체기준!$A$20:$A$49,0)),1)))</f>
        <v/>
      </c>
      <c r="Z4050" s="94">
        <f>IF($A4050="",0,IF(AE4050="직접",IF(AF4050="신계약비",$P4050,0),$P4050*(1-AG4050)*IFERROR(INDEX(계정대체기준!$C$20:$C$49,MATCH($N4050,계정대체기준!$A$20:$A$49,0)),0)))</f>
        <v/>
      </c>
      <c r="AA4050" s="94">
        <f>IF($A4050="",0,IF(AE4050="직접",IF(OR(AF4050="유지비",AF4050="손해조사비"),$P4050,0),$P4050*(1-AG4050)*IFERROR(INDEX(계정대체기준!$D$20:$D$49,MATCH($N4050,계정대체기준!$A$20:$A$49,0)),0)))</f>
        <v/>
      </c>
      <c r="AB4050" s="94">
        <f>IF($A4050="",0,IF(AE4050="직접",IF(AF4050="수금비",$P4050,0),$P4050*(1-AG4050)*IFERROR(INDEX(계정대체기준!$E$20:$E$49,MATCH($N4050,계정대체기준!$A$20:$A$49,0)),0)))</f>
        <v/>
      </c>
      <c r="AC4050" s="9">
        <f>IF(AND($A4050&lt;&gt;"",M4050=설정!$C$20,Z4050&gt;0),Z4050+ROW()/1000000000,"")</f>
        <v/>
      </c>
      <c r="AD4050" s="94">
        <f>IF($A4050="",0,$P4050*AG4050)</f>
        <v/>
      </c>
      <c r="AE4050" s="64">
        <f>IF($A4050="","",IFERROR(INDEX(계정매핑!$E$5:$E$504,MATCH($F4050&amp;"",계정매핑!$A$5:$A$504,0))&amp;"","공통비"))</f>
        <v/>
      </c>
      <c r="AF4050" s="64">
        <f>IF($A4050="","",IF(AE4050="직접",IFERROR(INDEX(계정매핑!$F$5:$F$504,MATCH($F4050&amp;"",계정매핑!$A$5:$A$504,0))&amp;"","비귀속"),""))</f>
        <v/>
      </c>
      <c r="AG4050" s="96">
        <f>IF($A4050="",0,IF(AND(AE4050&lt;&gt;"직접",IFERROR(INDEX(계정매핑!$G$5:$G$504,MATCH($F4050&amp;"",계정매핑!$A$5:$A$504,0))&amp;"","")="유지비",COUNTIF(계정대체기준!$A$6:$A$15,$N4050)&gt;0),IFERROR(INDEX(계정대체기준!$E$6:$E$15,MATCH(VALUE($A4050&amp;""),계정대체기준!$D$6:$D$15,0)),0),0))</f>
        <v/>
      </c>
      <c r="AH4050" s="64">
        <f>IF($A4050="","",IF(AD4050=0,"",IF(OR(COUNTIF(계정대체기준!$A$77:$A$86,$N4050)&gt;0,ISNUMBER(MATCH($X4050,계정대체기준!$D$77:$D$86,0)),ISNUMBER(MATCH($F4050,계정대체기준!$D$77:$D$86,0))),"Y","N")))</f>
        <v/>
      </c>
    </row>
    <row r="4051">
      <c r="A4051" s="92" t="n">
        <v>2026</v>
      </c>
      <c r="B4051" s="92" t="n">
        <v>6</v>
      </c>
      <c r="C4051" s="92" t="inlineStr">
        <is>
          <t>5100001329</t>
        </is>
      </c>
      <c r="D4051" s="95" t="n">
        <v>46197</v>
      </c>
      <c r="E4051" s="92" t="inlineStr">
        <is>
          <t>KR</t>
        </is>
      </c>
      <c r="F4051" s="92" t="n">
        <v>62201000</v>
      </c>
      <c r="G4051" s="92" t="n">
        <v>1951</v>
      </c>
      <c r="H4051" s="93" t="n">
        <v>142000</v>
      </c>
      <c r="I4051" s="92" t="inlineStr">
        <is>
          <t>6월 통신요금 - O텔레콤</t>
        </is>
      </c>
      <c r="J4051" s="92" t="inlineStr">
        <is>
          <t>V10002</t>
        </is>
      </c>
      <c r="K4051" s="92" t="inlineStr">
        <is>
          <t>O텔레콤</t>
        </is>
      </c>
      <c r="M4051" s="9">
        <f>IF($A4051="","",VALUE($A4051&amp;"")*12+VALUE($B4051&amp;""))</f>
        <v/>
      </c>
      <c r="N4051" s="64">
        <f>IF($A4051="","",IFERROR(INDEX(부서매핑!$C$5:$C$504,MATCH($G4051&amp;"",부서매핑!$A$5:$A$504,0)),"미매핑"))</f>
        <v/>
      </c>
      <c r="O4051" s="9">
        <f>IF($A4051="","",N4051&amp;"|"&amp;$F4051)</f>
        <v/>
      </c>
      <c r="P4051" s="94">
        <f>IF($A4051="",0,$H4051*설정!$C$23)</f>
        <v/>
      </c>
      <c r="Q4051" s="64">
        <f>IF($A4051="","",IF(O4051&lt;&gt;원인분석!$C$9,"",IF(AND(M4051&gt;=원인분석!$C$10,M4051&lt;=원인분석!$C$11),"당기",IF(AND(M4051&gt;=원인분석!$C$12,M4051&lt;=원인분석!$C$13),"비교",""))))</f>
        <v/>
      </c>
      <c r="R4051" s="9">
        <f>IF(Q4051="","",$K4051&amp;"")</f>
        <v/>
      </c>
      <c r="S4051" s="9">
        <f>IF(Q4051="","",IF(MATCH(R4051,$R$5:$R$100000,0)=ROW()-4,ROW(),""))</f>
        <v/>
      </c>
      <c r="T4051" s="9">
        <f>IF(Q4051="당기",ABS(P4051)+ROW()/1000000000,"")</f>
        <v/>
      </c>
      <c r="U4051" s="9">
        <f>IF(Q4051="비교",ABS(P4051)+ROW()/1000000000,"")</f>
        <v/>
      </c>
      <c r="V4051" s="64">
        <f>IF($A4051="","",IF(COUNTIF(변동분석!$E$7:$E$506,O4051)&gt;0,"Y","N"))</f>
        <v/>
      </c>
      <c r="W4051" s="64">
        <f>IF($A4051="","",IFERROR(INDEX(계정매핑!$D$5:$D$504,MATCH($F4051&amp;"",계정매핑!$A$5:$A$504,0)),"미매핑"))</f>
        <v/>
      </c>
      <c r="X4051" s="9">
        <f>IF($A4051="","",$F4051&amp;"")</f>
        <v/>
      </c>
      <c r="Y4051" s="94">
        <f>IF($A4051="",0,IF(AE4051="직접",IF(AF4051="비귀속",$P4051,0),$P4051*(1-AG4051)*IFERROR(INDEX(계정대체기준!$F$20:$F$49,MATCH($N4051,계정대체기준!$A$20:$A$49,0)),1)))</f>
        <v/>
      </c>
      <c r="Z4051" s="94">
        <f>IF($A4051="",0,IF(AE4051="직접",IF(AF4051="신계약비",$P4051,0),$P4051*(1-AG4051)*IFERROR(INDEX(계정대체기준!$C$20:$C$49,MATCH($N4051,계정대체기준!$A$20:$A$49,0)),0)))</f>
        <v/>
      </c>
      <c r="AA4051" s="94">
        <f>IF($A4051="",0,IF(AE4051="직접",IF(OR(AF4051="유지비",AF4051="손해조사비"),$P4051,0),$P4051*(1-AG4051)*IFERROR(INDEX(계정대체기준!$D$20:$D$49,MATCH($N4051,계정대체기준!$A$20:$A$49,0)),0)))</f>
        <v/>
      </c>
      <c r="AB4051" s="94">
        <f>IF($A4051="",0,IF(AE4051="직접",IF(AF4051="수금비",$P4051,0),$P4051*(1-AG4051)*IFERROR(INDEX(계정대체기준!$E$20:$E$49,MATCH($N4051,계정대체기준!$A$20:$A$49,0)),0)))</f>
        <v/>
      </c>
      <c r="AC4051" s="9">
        <f>IF(AND($A4051&lt;&gt;"",M4051=설정!$C$20,Z4051&gt;0),Z4051+ROW()/1000000000,"")</f>
        <v/>
      </c>
      <c r="AD4051" s="94">
        <f>IF($A4051="",0,$P4051*AG4051)</f>
        <v/>
      </c>
      <c r="AE4051" s="64">
        <f>IF($A4051="","",IFERROR(INDEX(계정매핑!$E$5:$E$504,MATCH($F4051&amp;"",계정매핑!$A$5:$A$504,0))&amp;"","공통비"))</f>
        <v/>
      </c>
      <c r="AF4051" s="64">
        <f>IF($A4051="","",IF(AE4051="직접",IFERROR(INDEX(계정매핑!$F$5:$F$504,MATCH($F4051&amp;"",계정매핑!$A$5:$A$504,0))&amp;"","비귀속"),""))</f>
        <v/>
      </c>
      <c r="AG4051" s="96">
        <f>IF($A4051="",0,IF(AND(AE4051&lt;&gt;"직접",IFERROR(INDEX(계정매핑!$G$5:$G$504,MATCH($F4051&amp;"",계정매핑!$A$5:$A$504,0))&amp;"","")="유지비",COUNTIF(계정대체기준!$A$6:$A$15,$N4051)&gt;0),IFERROR(INDEX(계정대체기준!$E$6:$E$15,MATCH(VALUE($A4051&amp;""),계정대체기준!$D$6:$D$15,0)),0),0))</f>
        <v/>
      </c>
      <c r="AH4051" s="64">
        <f>IF($A4051="","",IF(AD4051=0,"",IF(OR(COUNTIF(계정대체기준!$A$77:$A$86,$N4051)&gt;0,ISNUMBER(MATCH($X4051,계정대체기준!$D$77:$D$86,0)),ISNUMBER(MATCH($F4051,계정대체기준!$D$77:$D$86,0))),"Y","N")))</f>
        <v/>
      </c>
    </row>
    <row r="4052">
      <c r="A4052" s="92" t="n">
        <v>2026</v>
      </c>
      <c r="B4052" s="92" t="n">
        <v>6</v>
      </c>
      <c r="C4052" s="92" t="inlineStr">
        <is>
          <t>5100001330</t>
        </is>
      </c>
      <c r="D4052" s="95" t="n">
        <v>46197</v>
      </c>
      <c r="E4052" s="92" t="inlineStr">
        <is>
          <t>KR</t>
        </is>
      </c>
      <c r="F4052" s="92" t="n">
        <v>62301000</v>
      </c>
      <c r="G4052" s="92" t="n">
        <v>1701</v>
      </c>
      <c r="H4052" s="93" t="n">
        <v>199000</v>
      </c>
      <c r="I4052" s="92" t="inlineStr">
        <is>
          <t>6월 소모품 구입 - R문구</t>
        </is>
      </c>
      <c r="J4052" s="92" t="inlineStr">
        <is>
          <t>V10022</t>
        </is>
      </c>
      <c r="K4052" s="92" t="inlineStr">
        <is>
          <t>R문구</t>
        </is>
      </c>
      <c r="M4052" s="9">
        <f>IF($A4052="","",VALUE($A4052&amp;"")*12+VALUE($B4052&amp;""))</f>
        <v/>
      </c>
      <c r="N4052" s="64">
        <f>IF($A4052="","",IFERROR(INDEX(부서매핑!$C$5:$C$504,MATCH($G4052&amp;"",부서매핑!$A$5:$A$504,0)),"미매핑"))</f>
        <v/>
      </c>
      <c r="O4052" s="9">
        <f>IF($A4052="","",N4052&amp;"|"&amp;$F4052)</f>
        <v/>
      </c>
      <c r="P4052" s="94">
        <f>IF($A4052="",0,$H4052*설정!$C$23)</f>
        <v/>
      </c>
      <c r="Q4052" s="64">
        <f>IF($A4052="","",IF(O4052&lt;&gt;원인분석!$C$9,"",IF(AND(M4052&gt;=원인분석!$C$10,M4052&lt;=원인분석!$C$11),"당기",IF(AND(M4052&gt;=원인분석!$C$12,M4052&lt;=원인분석!$C$13),"비교",""))))</f>
        <v/>
      </c>
      <c r="R4052" s="9">
        <f>IF(Q4052="","",$K4052&amp;"")</f>
        <v/>
      </c>
      <c r="S4052" s="9">
        <f>IF(Q4052="","",IF(MATCH(R4052,$R$5:$R$100000,0)=ROW()-4,ROW(),""))</f>
        <v/>
      </c>
      <c r="T4052" s="9">
        <f>IF(Q4052="당기",ABS(P4052)+ROW()/1000000000,"")</f>
        <v/>
      </c>
      <c r="U4052" s="9">
        <f>IF(Q4052="비교",ABS(P4052)+ROW()/1000000000,"")</f>
        <v/>
      </c>
      <c r="V4052" s="64">
        <f>IF($A4052="","",IF(COUNTIF(변동분석!$E$7:$E$506,O4052)&gt;0,"Y","N"))</f>
        <v/>
      </c>
      <c r="W4052" s="64">
        <f>IF($A4052="","",IFERROR(INDEX(계정매핑!$D$5:$D$504,MATCH($F4052&amp;"",계정매핑!$A$5:$A$504,0)),"미매핑"))</f>
        <v/>
      </c>
      <c r="X4052" s="9">
        <f>IF($A4052="","",$F4052&amp;"")</f>
        <v/>
      </c>
      <c r="Y4052" s="94">
        <f>IF($A4052="",0,IF(AE4052="직접",IF(AF4052="비귀속",$P4052,0),$P4052*(1-AG4052)*IFERROR(INDEX(계정대체기준!$F$20:$F$49,MATCH($N4052,계정대체기준!$A$20:$A$49,0)),1)))</f>
        <v/>
      </c>
      <c r="Z4052" s="94">
        <f>IF($A4052="",0,IF(AE4052="직접",IF(AF4052="신계약비",$P4052,0),$P4052*(1-AG4052)*IFERROR(INDEX(계정대체기준!$C$20:$C$49,MATCH($N4052,계정대체기준!$A$20:$A$49,0)),0)))</f>
        <v/>
      </c>
      <c r="AA4052" s="94">
        <f>IF($A4052="",0,IF(AE4052="직접",IF(OR(AF4052="유지비",AF4052="손해조사비"),$P4052,0),$P4052*(1-AG4052)*IFERROR(INDEX(계정대체기준!$D$20:$D$49,MATCH($N4052,계정대체기준!$A$20:$A$49,0)),0)))</f>
        <v/>
      </c>
      <c r="AB4052" s="94">
        <f>IF($A4052="",0,IF(AE4052="직접",IF(AF4052="수금비",$P4052,0),$P4052*(1-AG4052)*IFERROR(INDEX(계정대체기준!$E$20:$E$49,MATCH($N4052,계정대체기준!$A$20:$A$49,0)),0)))</f>
        <v/>
      </c>
      <c r="AC4052" s="9">
        <f>IF(AND($A4052&lt;&gt;"",M4052=설정!$C$20,Z4052&gt;0),Z4052+ROW()/1000000000,"")</f>
        <v/>
      </c>
      <c r="AD4052" s="94">
        <f>IF($A4052="",0,$P4052*AG4052)</f>
        <v/>
      </c>
      <c r="AE4052" s="64">
        <f>IF($A4052="","",IFERROR(INDEX(계정매핑!$E$5:$E$504,MATCH($F4052&amp;"",계정매핑!$A$5:$A$504,0))&amp;"","공통비"))</f>
        <v/>
      </c>
      <c r="AF4052" s="64">
        <f>IF($A4052="","",IF(AE4052="직접",IFERROR(INDEX(계정매핑!$F$5:$F$504,MATCH($F4052&amp;"",계정매핑!$A$5:$A$504,0))&amp;"","비귀속"),""))</f>
        <v/>
      </c>
      <c r="AG4052" s="96">
        <f>IF($A4052="",0,IF(AND(AE4052&lt;&gt;"직접",IFERROR(INDEX(계정매핑!$G$5:$G$504,MATCH($F4052&amp;"",계정매핑!$A$5:$A$504,0))&amp;"","")="유지비",COUNTIF(계정대체기준!$A$6:$A$15,$N4052)&gt;0),IFERROR(INDEX(계정대체기준!$E$6:$E$15,MATCH(VALUE($A4052&amp;""),계정대체기준!$D$6:$D$15,0)),0),0))</f>
        <v/>
      </c>
      <c r="AH4052" s="64">
        <f>IF($A4052="","",IF(AD4052=0,"",IF(OR(COUNTIF(계정대체기준!$A$77:$A$86,$N4052)&gt;0,ISNUMBER(MATCH($X4052,계정대체기준!$D$77:$D$86,0)),ISNUMBER(MATCH($F4052,계정대체기준!$D$77:$D$86,0))),"Y","N")))</f>
        <v/>
      </c>
    </row>
    <row r="4053">
      <c r="A4053" s="92" t="n">
        <v>2026</v>
      </c>
      <c r="B4053" s="92" t="n">
        <v>6</v>
      </c>
      <c r="C4053" s="92" t="inlineStr">
        <is>
          <t>5100001331</t>
        </is>
      </c>
      <c r="D4053" s="95" t="n">
        <v>46197</v>
      </c>
      <c r="E4053" s="92" t="inlineStr">
        <is>
          <t>KR</t>
        </is>
      </c>
      <c r="F4053" s="92" t="n">
        <v>62501000</v>
      </c>
      <c r="G4053" s="92" t="n">
        <v>1601</v>
      </c>
      <c r="H4053" s="93" t="n">
        <v>470000</v>
      </c>
      <c r="I4053" s="92" t="inlineStr">
        <is>
          <t>6월 회의 다과 - T케이터링</t>
        </is>
      </c>
      <c r="J4053" s="92" t="inlineStr">
        <is>
          <t>V10005</t>
        </is>
      </c>
      <c r="K4053" s="92" t="inlineStr">
        <is>
          <t>T케이터링</t>
        </is>
      </c>
      <c r="M4053" s="9">
        <f>IF($A4053="","",VALUE($A4053&amp;"")*12+VALUE($B4053&amp;""))</f>
        <v/>
      </c>
      <c r="N4053" s="64">
        <f>IF($A4053="","",IFERROR(INDEX(부서매핑!$C$5:$C$504,MATCH($G4053&amp;"",부서매핑!$A$5:$A$504,0)),"미매핑"))</f>
        <v/>
      </c>
      <c r="O4053" s="9">
        <f>IF($A4053="","",N4053&amp;"|"&amp;$F4053)</f>
        <v/>
      </c>
      <c r="P4053" s="94">
        <f>IF($A4053="",0,$H4053*설정!$C$23)</f>
        <v/>
      </c>
      <c r="Q4053" s="64">
        <f>IF($A4053="","",IF(O4053&lt;&gt;원인분석!$C$9,"",IF(AND(M4053&gt;=원인분석!$C$10,M4053&lt;=원인분석!$C$11),"당기",IF(AND(M4053&gt;=원인분석!$C$12,M4053&lt;=원인분석!$C$13),"비교",""))))</f>
        <v/>
      </c>
      <c r="R4053" s="9">
        <f>IF(Q4053="","",$K4053&amp;"")</f>
        <v/>
      </c>
      <c r="S4053" s="9">
        <f>IF(Q4053="","",IF(MATCH(R4053,$R$5:$R$100000,0)=ROW()-4,ROW(),""))</f>
        <v/>
      </c>
      <c r="T4053" s="9">
        <f>IF(Q4053="당기",ABS(P4053)+ROW()/1000000000,"")</f>
        <v/>
      </c>
      <c r="U4053" s="9">
        <f>IF(Q4053="비교",ABS(P4053)+ROW()/1000000000,"")</f>
        <v/>
      </c>
      <c r="V4053" s="64">
        <f>IF($A4053="","",IF(COUNTIF(변동분석!$E$7:$E$506,O4053)&gt;0,"Y","N"))</f>
        <v/>
      </c>
      <c r="W4053" s="64">
        <f>IF($A4053="","",IFERROR(INDEX(계정매핑!$D$5:$D$504,MATCH($F4053&amp;"",계정매핑!$A$5:$A$504,0)),"미매핑"))</f>
        <v/>
      </c>
      <c r="X4053" s="9">
        <f>IF($A4053="","",$F4053&amp;"")</f>
        <v/>
      </c>
      <c r="Y4053" s="94">
        <f>IF($A4053="",0,IF(AE4053="직접",IF(AF4053="비귀속",$P4053,0),$P4053*(1-AG4053)*IFERROR(INDEX(계정대체기준!$F$20:$F$49,MATCH($N4053,계정대체기준!$A$20:$A$49,0)),1)))</f>
        <v/>
      </c>
      <c r="Z4053" s="94">
        <f>IF($A4053="",0,IF(AE4053="직접",IF(AF4053="신계약비",$P4053,0),$P4053*(1-AG4053)*IFERROR(INDEX(계정대체기준!$C$20:$C$49,MATCH($N4053,계정대체기준!$A$20:$A$49,0)),0)))</f>
        <v/>
      </c>
      <c r="AA4053" s="94">
        <f>IF($A4053="",0,IF(AE4053="직접",IF(OR(AF4053="유지비",AF4053="손해조사비"),$P4053,0),$P4053*(1-AG4053)*IFERROR(INDEX(계정대체기준!$D$20:$D$49,MATCH($N4053,계정대체기준!$A$20:$A$49,0)),0)))</f>
        <v/>
      </c>
      <c r="AB4053" s="94">
        <f>IF($A4053="",0,IF(AE4053="직접",IF(AF4053="수금비",$P4053,0),$P4053*(1-AG4053)*IFERROR(INDEX(계정대체기준!$E$20:$E$49,MATCH($N4053,계정대체기준!$A$20:$A$49,0)),0)))</f>
        <v/>
      </c>
      <c r="AC4053" s="9">
        <f>IF(AND($A4053&lt;&gt;"",M4053=설정!$C$20,Z4053&gt;0),Z4053+ROW()/1000000000,"")</f>
        <v/>
      </c>
      <c r="AD4053" s="94">
        <f>IF($A4053="",0,$P4053*AG4053)</f>
        <v/>
      </c>
      <c r="AE4053" s="64">
        <f>IF($A4053="","",IFERROR(INDEX(계정매핑!$E$5:$E$504,MATCH($F4053&amp;"",계정매핑!$A$5:$A$504,0))&amp;"","공통비"))</f>
        <v/>
      </c>
      <c r="AF4053" s="64">
        <f>IF($A4053="","",IF(AE4053="직접",IFERROR(INDEX(계정매핑!$F$5:$F$504,MATCH($F4053&amp;"",계정매핑!$A$5:$A$504,0))&amp;"","비귀속"),""))</f>
        <v/>
      </c>
      <c r="AG4053" s="96">
        <f>IF($A4053="",0,IF(AND(AE4053&lt;&gt;"직접",IFERROR(INDEX(계정매핑!$G$5:$G$504,MATCH($F4053&amp;"",계정매핑!$A$5:$A$504,0))&amp;"","")="유지비",COUNTIF(계정대체기준!$A$6:$A$15,$N4053)&gt;0),IFERROR(INDEX(계정대체기준!$E$6:$E$15,MATCH(VALUE($A4053&amp;""),계정대체기준!$D$6:$D$15,0)),0),0))</f>
        <v/>
      </c>
      <c r="AH4053" s="64">
        <f>IF($A4053="","",IF(AD4053=0,"",IF(OR(COUNTIF(계정대체기준!$A$77:$A$86,$N4053)&gt;0,ISNUMBER(MATCH($X4053,계정대체기준!$D$77:$D$86,0)),ISNUMBER(MATCH($F4053,계정대체기준!$D$77:$D$86,0))),"Y","N")))</f>
        <v/>
      </c>
    </row>
    <row r="4054">
      <c r="A4054" s="92" t="n">
        <v>2026</v>
      </c>
      <c r="B4054" s="92" t="n">
        <v>6</v>
      </c>
      <c r="C4054" s="92" t="inlineStr">
        <is>
          <t>5100001332</t>
        </is>
      </c>
      <c r="D4054" s="95" t="n">
        <v>46197</v>
      </c>
      <c r="E4054" s="92" t="inlineStr">
        <is>
          <t>KR</t>
        </is>
      </c>
      <c r="F4054" s="92" t="n">
        <v>62501000</v>
      </c>
      <c r="G4054" s="92" t="n">
        <v>1801</v>
      </c>
      <c r="H4054" s="93" t="n">
        <v>188000</v>
      </c>
      <c r="I4054" s="92" t="inlineStr">
        <is>
          <t>6월 회의 다과 - T케이터링</t>
        </is>
      </c>
      <c r="J4054" s="92" t="inlineStr">
        <is>
          <t>V10005</t>
        </is>
      </c>
      <c r="K4054" s="92" t="inlineStr">
        <is>
          <t>T케이터링</t>
        </is>
      </c>
      <c r="M4054" s="9">
        <f>IF($A4054="","",VALUE($A4054&amp;"")*12+VALUE($B4054&amp;""))</f>
        <v/>
      </c>
      <c r="N4054" s="64">
        <f>IF($A4054="","",IFERROR(INDEX(부서매핑!$C$5:$C$504,MATCH($G4054&amp;"",부서매핑!$A$5:$A$504,0)),"미매핑"))</f>
        <v/>
      </c>
      <c r="O4054" s="9">
        <f>IF($A4054="","",N4054&amp;"|"&amp;$F4054)</f>
        <v/>
      </c>
      <c r="P4054" s="94">
        <f>IF($A4054="",0,$H4054*설정!$C$23)</f>
        <v/>
      </c>
      <c r="Q4054" s="64">
        <f>IF($A4054="","",IF(O4054&lt;&gt;원인분석!$C$9,"",IF(AND(M4054&gt;=원인분석!$C$10,M4054&lt;=원인분석!$C$11),"당기",IF(AND(M4054&gt;=원인분석!$C$12,M4054&lt;=원인분석!$C$13),"비교",""))))</f>
        <v/>
      </c>
      <c r="R4054" s="9">
        <f>IF(Q4054="","",$K4054&amp;"")</f>
        <v/>
      </c>
      <c r="S4054" s="9">
        <f>IF(Q4054="","",IF(MATCH(R4054,$R$5:$R$100000,0)=ROW()-4,ROW(),""))</f>
        <v/>
      </c>
      <c r="T4054" s="9">
        <f>IF(Q4054="당기",ABS(P4054)+ROW()/1000000000,"")</f>
        <v/>
      </c>
      <c r="U4054" s="9">
        <f>IF(Q4054="비교",ABS(P4054)+ROW()/1000000000,"")</f>
        <v/>
      </c>
      <c r="V4054" s="64">
        <f>IF($A4054="","",IF(COUNTIF(변동분석!$E$7:$E$506,O4054)&gt;0,"Y","N"))</f>
        <v/>
      </c>
      <c r="W4054" s="64">
        <f>IF($A4054="","",IFERROR(INDEX(계정매핑!$D$5:$D$504,MATCH($F4054&amp;"",계정매핑!$A$5:$A$504,0)),"미매핑"))</f>
        <v/>
      </c>
      <c r="X4054" s="9">
        <f>IF($A4054="","",$F4054&amp;"")</f>
        <v/>
      </c>
      <c r="Y4054" s="94">
        <f>IF($A4054="",0,IF(AE4054="직접",IF(AF4054="비귀속",$P4054,0),$P4054*(1-AG4054)*IFERROR(INDEX(계정대체기준!$F$20:$F$49,MATCH($N4054,계정대체기준!$A$20:$A$49,0)),1)))</f>
        <v/>
      </c>
      <c r="Z4054" s="94">
        <f>IF($A4054="",0,IF(AE4054="직접",IF(AF4054="신계약비",$P4054,0),$P4054*(1-AG4054)*IFERROR(INDEX(계정대체기준!$C$20:$C$49,MATCH($N4054,계정대체기준!$A$20:$A$49,0)),0)))</f>
        <v/>
      </c>
      <c r="AA4054" s="94">
        <f>IF($A4054="",0,IF(AE4054="직접",IF(OR(AF4054="유지비",AF4054="손해조사비"),$P4054,0),$P4054*(1-AG4054)*IFERROR(INDEX(계정대체기준!$D$20:$D$49,MATCH($N4054,계정대체기준!$A$20:$A$49,0)),0)))</f>
        <v/>
      </c>
      <c r="AB4054" s="94">
        <f>IF($A4054="",0,IF(AE4054="직접",IF(AF4054="수금비",$P4054,0),$P4054*(1-AG4054)*IFERROR(INDEX(계정대체기준!$E$20:$E$49,MATCH($N4054,계정대체기준!$A$20:$A$49,0)),0)))</f>
        <v/>
      </c>
      <c r="AC4054" s="9">
        <f>IF(AND($A4054&lt;&gt;"",M4054=설정!$C$20,Z4054&gt;0),Z4054+ROW()/1000000000,"")</f>
        <v/>
      </c>
      <c r="AD4054" s="94">
        <f>IF($A4054="",0,$P4054*AG4054)</f>
        <v/>
      </c>
      <c r="AE4054" s="64">
        <f>IF($A4054="","",IFERROR(INDEX(계정매핑!$E$5:$E$504,MATCH($F4054&amp;"",계정매핑!$A$5:$A$504,0))&amp;"","공통비"))</f>
        <v/>
      </c>
      <c r="AF4054" s="64">
        <f>IF($A4054="","",IF(AE4054="직접",IFERROR(INDEX(계정매핑!$F$5:$F$504,MATCH($F4054&amp;"",계정매핑!$A$5:$A$504,0))&amp;"","비귀속"),""))</f>
        <v/>
      </c>
      <c r="AG4054" s="96">
        <f>IF($A4054="",0,IF(AND(AE4054&lt;&gt;"직접",IFERROR(INDEX(계정매핑!$G$5:$G$504,MATCH($F4054&amp;"",계정매핑!$A$5:$A$504,0))&amp;"","")="유지비",COUNTIF(계정대체기준!$A$6:$A$15,$N4054)&gt;0),IFERROR(INDEX(계정대체기준!$E$6:$E$15,MATCH(VALUE($A4054&amp;""),계정대체기준!$D$6:$D$15,0)),0),0))</f>
        <v/>
      </c>
      <c r="AH4054" s="64">
        <f>IF($A4054="","",IF(AD4054=0,"",IF(OR(COUNTIF(계정대체기준!$A$77:$A$86,$N4054)&gt;0,ISNUMBER(MATCH($X4054,계정대체기준!$D$77:$D$86,0)),ISNUMBER(MATCH($F4054,계정대체기준!$D$77:$D$86,0))),"Y","N")))</f>
        <v/>
      </c>
    </row>
    <row r="4055">
      <c r="A4055" s="92" t="n">
        <v>2026</v>
      </c>
      <c r="B4055" s="92" t="n">
        <v>6</v>
      </c>
      <c r="C4055" s="92" t="inlineStr">
        <is>
          <t>5100001333</t>
        </is>
      </c>
      <c r="D4055" s="95" t="n">
        <v>46197</v>
      </c>
      <c r="E4055" s="92" t="inlineStr">
        <is>
          <t>KR</t>
        </is>
      </c>
      <c r="F4055" s="92" t="n">
        <v>62801000</v>
      </c>
      <c r="G4055" s="92" t="n">
        <v>1301</v>
      </c>
      <c r="H4055" s="93" t="n">
        <v>2666000</v>
      </c>
      <c r="I4055" s="92" t="inlineStr">
        <is>
          <t>6월 사내교육 - (사내강사료)</t>
        </is>
      </c>
      <c r="J4055" s="92" t="inlineStr">
        <is>
          <t>V10024</t>
        </is>
      </c>
      <c r="K4055" s="92" t="inlineStr">
        <is>
          <t>(사내강사료)</t>
        </is>
      </c>
      <c r="M4055" s="9">
        <f>IF($A4055="","",VALUE($A4055&amp;"")*12+VALUE($B4055&amp;""))</f>
        <v/>
      </c>
      <c r="N4055" s="64">
        <f>IF($A4055="","",IFERROR(INDEX(부서매핑!$C$5:$C$504,MATCH($G4055&amp;"",부서매핑!$A$5:$A$504,0)),"미매핑"))</f>
        <v/>
      </c>
      <c r="O4055" s="9">
        <f>IF($A4055="","",N4055&amp;"|"&amp;$F4055)</f>
        <v/>
      </c>
      <c r="P4055" s="94">
        <f>IF($A4055="",0,$H4055*설정!$C$23)</f>
        <v/>
      </c>
      <c r="Q4055" s="64">
        <f>IF($A4055="","",IF(O4055&lt;&gt;원인분석!$C$9,"",IF(AND(M4055&gt;=원인분석!$C$10,M4055&lt;=원인분석!$C$11),"당기",IF(AND(M4055&gt;=원인분석!$C$12,M4055&lt;=원인분석!$C$13),"비교",""))))</f>
        <v/>
      </c>
      <c r="R4055" s="9">
        <f>IF(Q4055="","",$K4055&amp;"")</f>
        <v/>
      </c>
      <c r="S4055" s="9">
        <f>IF(Q4055="","",IF(MATCH(R4055,$R$5:$R$100000,0)=ROW()-4,ROW(),""))</f>
        <v/>
      </c>
      <c r="T4055" s="9">
        <f>IF(Q4055="당기",ABS(P4055)+ROW()/1000000000,"")</f>
        <v/>
      </c>
      <c r="U4055" s="9">
        <f>IF(Q4055="비교",ABS(P4055)+ROW()/1000000000,"")</f>
        <v/>
      </c>
      <c r="V4055" s="64">
        <f>IF($A4055="","",IF(COUNTIF(변동분석!$E$7:$E$506,O4055)&gt;0,"Y","N"))</f>
        <v/>
      </c>
      <c r="W4055" s="64">
        <f>IF($A4055="","",IFERROR(INDEX(계정매핑!$D$5:$D$504,MATCH($F4055&amp;"",계정매핑!$A$5:$A$504,0)),"미매핑"))</f>
        <v/>
      </c>
      <c r="X4055" s="9">
        <f>IF($A4055="","",$F4055&amp;"")</f>
        <v/>
      </c>
      <c r="Y4055" s="94">
        <f>IF($A4055="",0,IF(AE4055="직접",IF(AF4055="비귀속",$P4055,0),$P4055*(1-AG4055)*IFERROR(INDEX(계정대체기준!$F$20:$F$49,MATCH($N4055,계정대체기준!$A$20:$A$49,0)),1)))</f>
        <v/>
      </c>
      <c r="Z4055" s="94">
        <f>IF($A4055="",0,IF(AE4055="직접",IF(AF4055="신계약비",$P4055,0),$P4055*(1-AG4055)*IFERROR(INDEX(계정대체기준!$C$20:$C$49,MATCH($N4055,계정대체기준!$A$20:$A$49,0)),0)))</f>
        <v/>
      </c>
      <c r="AA4055" s="94">
        <f>IF($A4055="",0,IF(AE4055="직접",IF(OR(AF4055="유지비",AF4055="손해조사비"),$P4055,0),$P4055*(1-AG4055)*IFERROR(INDEX(계정대체기준!$D$20:$D$49,MATCH($N4055,계정대체기준!$A$20:$A$49,0)),0)))</f>
        <v/>
      </c>
      <c r="AB4055" s="94">
        <f>IF($A4055="",0,IF(AE4055="직접",IF(AF4055="수금비",$P4055,0),$P4055*(1-AG4055)*IFERROR(INDEX(계정대체기준!$E$20:$E$49,MATCH($N4055,계정대체기준!$A$20:$A$49,0)),0)))</f>
        <v/>
      </c>
      <c r="AC4055" s="9">
        <f>IF(AND($A4055&lt;&gt;"",M4055=설정!$C$20,Z4055&gt;0),Z4055+ROW()/1000000000,"")</f>
        <v/>
      </c>
      <c r="AD4055" s="94">
        <f>IF($A4055="",0,$P4055*AG4055)</f>
        <v/>
      </c>
      <c r="AE4055" s="64">
        <f>IF($A4055="","",IFERROR(INDEX(계정매핑!$E$5:$E$504,MATCH($F4055&amp;"",계정매핑!$A$5:$A$504,0))&amp;"","공통비"))</f>
        <v/>
      </c>
      <c r="AF4055" s="64">
        <f>IF($A4055="","",IF(AE4055="직접",IFERROR(INDEX(계정매핑!$F$5:$F$504,MATCH($F4055&amp;"",계정매핑!$A$5:$A$504,0))&amp;"","비귀속"),""))</f>
        <v/>
      </c>
      <c r="AG4055" s="96">
        <f>IF($A4055="",0,IF(AND(AE4055&lt;&gt;"직접",IFERROR(INDEX(계정매핑!$G$5:$G$504,MATCH($F4055&amp;"",계정매핑!$A$5:$A$504,0))&amp;"","")="유지비",COUNTIF(계정대체기준!$A$6:$A$15,$N4055)&gt;0),IFERROR(INDEX(계정대체기준!$E$6:$E$15,MATCH(VALUE($A4055&amp;""),계정대체기준!$D$6:$D$15,0)),0),0))</f>
        <v/>
      </c>
      <c r="AH4055" s="64">
        <f>IF($A4055="","",IF(AD4055=0,"",IF(OR(COUNTIF(계정대체기준!$A$77:$A$86,$N4055)&gt;0,ISNUMBER(MATCH($X4055,계정대체기준!$D$77:$D$86,0)),ISNUMBER(MATCH($F4055,계정대체기준!$D$77:$D$86,0))),"Y","N")))</f>
        <v/>
      </c>
    </row>
    <row r="4056">
      <c r="A4056" s="92" t="n">
        <v>2026</v>
      </c>
      <c r="B4056" s="92" t="n">
        <v>6</v>
      </c>
      <c r="C4056" s="92" t="inlineStr">
        <is>
          <t>5100001334</t>
        </is>
      </c>
      <c r="D4056" s="95" t="n">
        <v>46197</v>
      </c>
      <c r="E4056" s="92" t="inlineStr">
        <is>
          <t>KR</t>
        </is>
      </c>
      <c r="F4056" s="92" t="n">
        <v>62901000</v>
      </c>
      <c r="G4056" s="92" t="n">
        <v>1201</v>
      </c>
      <c r="H4056" s="93" t="n">
        <v>2709000</v>
      </c>
      <c r="I4056" s="92" t="inlineStr">
        <is>
          <t>6월 자문 수수료 - K회계법인</t>
        </is>
      </c>
      <c r="J4056" s="92" t="inlineStr">
        <is>
          <t>V10011</t>
        </is>
      </c>
      <c r="K4056" s="92" t="inlineStr">
        <is>
          <t>K회계법인</t>
        </is>
      </c>
      <c r="M4056" s="9">
        <f>IF($A4056="","",VALUE($A4056&amp;"")*12+VALUE($B4056&amp;""))</f>
        <v/>
      </c>
      <c r="N4056" s="64">
        <f>IF($A4056="","",IFERROR(INDEX(부서매핑!$C$5:$C$504,MATCH($G4056&amp;"",부서매핑!$A$5:$A$504,0)),"미매핑"))</f>
        <v/>
      </c>
      <c r="O4056" s="9">
        <f>IF($A4056="","",N4056&amp;"|"&amp;$F4056)</f>
        <v/>
      </c>
      <c r="P4056" s="94">
        <f>IF($A4056="",0,$H4056*설정!$C$23)</f>
        <v/>
      </c>
      <c r="Q4056" s="64">
        <f>IF($A4056="","",IF(O4056&lt;&gt;원인분석!$C$9,"",IF(AND(M4056&gt;=원인분석!$C$10,M4056&lt;=원인분석!$C$11),"당기",IF(AND(M4056&gt;=원인분석!$C$12,M4056&lt;=원인분석!$C$13),"비교",""))))</f>
        <v/>
      </c>
      <c r="R4056" s="9">
        <f>IF(Q4056="","",$K4056&amp;"")</f>
        <v/>
      </c>
      <c r="S4056" s="9">
        <f>IF(Q4056="","",IF(MATCH(R4056,$R$5:$R$100000,0)=ROW()-4,ROW(),""))</f>
        <v/>
      </c>
      <c r="T4056" s="9">
        <f>IF(Q4056="당기",ABS(P4056)+ROW()/1000000000,"")</f>
        <v/>
      </c>
      <c r="U4056" s="9">
        <f>IF(Q4056="비교",ABS(P4056)+ROW()/1000000000,"")</f>
        <v/>
      </c>
      <c r="V4056" s="64">
        <f>IF($A4056="","",IF(COUNTIF(변동분석!$E$7:$E$506,O4056)&gt;0,"Y","N"))</f>
        <v/>
      </c>
      <c r="W4056" s="64">
        <f>IF($A4056="","",IFERROR(INDEX(계정매핑!$D$5:$D$504,MATCH($F4056&amp;"",계정매핑!$A$5:$A$504,0)),"미매핑"))</f>
        <v/>
      </c>
      <c r="X4056" s="9">
        <f>IF($A4056="","",$F4056&amp;"")</f>
        <v/>
      </c>
      <c r="Y4056" s="94">
        <f>IF($A4056="",0,IF(AE4056="직접",IF(AF4056="비귀속",$P4056,0),$P4056*(1-AG4056)*IFERROR(INDEX(계정대체기준!$F$20:$F$49,MATCH($N4056,계정대체기준!$A$20:$A$49,0)),1)))</f>
        <v/>
      </c>
      <c r="Z4056" s="94">
        <f>IF($A4056="",0,IF(AE4056="직접",IF(AF4056="신계약비",$P4056,0),$P4056*(1-AG4056)*IFERROR(INDEX(계정대체기준!$C$20:$C$49,MATCH($N4056,계정대체기준!$A$20:$A$49,0)),0)))</f>
        <v/>
      </c>
      <c r="AA4056" s="94">
        <f>IF($A4056="",0,IF(AE4056="직접",IF(OR(AF4056="유지비",AF4056="손해조사비"),$P4056,0),$P4056*(1-AG4056)*IFERROR(INDEX(계정대체기준!$D$20:$D$49,MATCH($N4056,계정대체기준!$A$20:$A$49,0)),0)))</f>
        <v/>
      </c>
      <c r="AB4056" s="94">
        <f>IF($A4056="",0,IF(AE4056="직접",IF(AF4056="수금비",$P4056,0),$P4056*(1-AG4056)*IFERROR(INDEX(계정대체기준!$E$20:$E$49,MATCH($N4056,계정대체기준!$A$20:$A$49,0)),0)))</f>
        <v/>
      </c>
      <c r="AC4056" s="9">
        <f>IF(AND($A4056&lt;&gt;"",M4056=설정!$C$20,Z4056&gt;0),Z4056+ROW()/1000000000,"")</f>
        <v/>
      </c>
      <c r="AD4056" s="94">
        <f>IF($A4056="",0,$P4056*AG4056)</f>
        <v/>
      </c>
      <c r="AE4056" s="64">
        <f>IF($A4056="","",IFERROR(INDEX(계정매핑!$E$5:$E$504,MATCH($F4056&amp;"",계정매핑!$A$5:$A$504,0))&amp;"","공통비"))</f>
        <v/>
      </c>
      <c r="AF4056" s="64">
        <f>IF($A4056="","",IF(AE4056="직접",IFERROR(INDEX(계정매핑!$F$5:$F$504,MATCH($F4056&amp;"",계정매핑!$A$5:$A$504,0))&amp;"","비귀속"),""))</f>
        <v/>
      </c>
      <c r="AG4056" s="96">
        <f>IF($A4056="",0,IF(AND(AE4056&lt;&gt;"직접",IFERROR(INDEX(계정매핑!$G$5:$G$504,MATCH($F4056&amp;"",계정매핑!$A$5:$A$504,0))&amp;"","")="유지비",COUNTIF(계정대체기준!$A$6:$A$15,$N4056)&gt;0),IFERROR(INDEX(계정대체기준!$E$6:$E$15,MATCH(VALUE($A4056&amp;""),계정대체기준!$D$6:$D$15,0)),0),0))</f>
        <v/>
      </c>
      <c r="AH4056" s="64">
        <f>IF($A4056="","",IF(AD4056=0,"",IF(OR(COUNTIF(계정대체기준!$A$77:$A$86,$N4056)&gt;0,ISNUMBER(MATCH($X4056,계정대체기준!$D$77:$D$86,0)),ISNUMBER(MATCH($F4056,계정대체기준!$D$77:$D$86,0))),"Y","N")))</f>
        <v/>
      </c>
    </row>
    <row r="4057">
      <c r="A4057" s="92" t="n">
        <v>2026</v>
      </c>
      <c r="B4057" s="92" t="n">
        <v>6</v>
      </c>
      <c r="C4057" s="92" t="inlineStr">
        <is>
          <t>5100001335</t>
        </is>
      </c>
      <c r="D4057" s="95" t="n">
        <v>46197</v>
      </c>
      <c r="E4057" s="92" t="inlineStr">
        <is>
          <t>KR</t>
        </is>
      </c>
      <c r="F4057" s="92" t="n">
        <v>63001000</v>
      </c>
      <c r="G4057" s="92" t="n">
        <v>1701</v>
      </c>
      <c r="H4057" s="93" t="n">
        <v>37735000</v>
      </c>
      <c r="I4057" s="92" t="inlineStr">
        <is>
          <t>6월 SW 유지보수 - Y소프트</t>
        </is>
      </c>
      <c r="J4057" s="92" t="inlineStr">
        <is>
          <t>V10017</t>
        </is>
      </c>
      <c r="K4057" s="92" t="inlineStr">
        <is>
          <t>Y소프트</t>
        </is>
      </c>
      <c r="M4057" s="9">
        <f>IF($A4057="","",VALUE($A4057&amp;"")*12+VALUE($B4057&amp;""))</f>
        <v/>
      </c>
      <c r="N4057" s="64">
        <f>IF($A4057="","",IFERROR(INDEX(부서매핑!$C$5:$C$504,MATCH($G4057&amp;"",부서매핑!$A$5:$A$504,0)),"미매핑"))</f>
        <v/>
      </c>
      <c r="O4057" s="9">
        <f>IF($A4057="","",N4057&amp;"|"&amp;$F4057)</f>
        <v/>
      </c>
      <c r="P4057" s="94">
        <f>IF($A4057="",0,$H4057*설정!$C$23)</f>
        <v/>
      </c>
      <c r="Q4057" s="64">
        <f>IF($A4057="","",IF(O4057&lt;&gt;원인분석!$C$9,"",IF(AND(M4057&gt;=원인분석!$C$10,M4057&lt;=원인분석!$C$11),"당기",IF(AND(M4057&gt;=원인분석!$C$12,M4057&lt;=원인분석!$C$13),"비교",""))))</f>
        <v/>
      </c>
      <c r="R4057" s="9">
        <f>IF(Q4057="","",$K4057&amp;"")</f>
        <v/>
      </c>
      <c r="S4057" s="9">
        <f>IF(Q4057="","",IF(MATCH(R4057,$R$5:$R$100000,0)=ROW()-4,ROW(),""))</f>
        <v/>
      </c>
      <c r="T4057" s="9">
        <f>IF(Q4057="당기",ABS(P4057)+ROW()/1000000000,"")</f>
        <v/>
      </c>
      <c r="U4057" s="9">
        <f>IF(Q4057="비교",ABS(P4057)+ROW()/1000000000,"")</f>
        <v/>
      </c>
      <c r="V4057" s="64">
        <f>IF($A4057="","",IF(COUNTIF(변동분석!$E$7:$E$506,O4057)&gt;0,"Y","N"))</f>
        <v/>
      </c>
      <c r="W4057" s="64">
        <f>IF($A4057="","",IFERROR(INDEX(계정매핑!$D$5:$D$504,MATCH($F4057&amp;"",계정매핑!$A$5:$A$504,0)),"미매핑"))</f>
        <v/>
      </c>
      <c r="X4057" s="9">
        <f>IF($A4057="","",$F4057&amp;"")</f>
        <v/>
      </c>
      <c r="Y4057" s="94">
        <f>IF($A4057="",0,IF(AE4057="직접",IF(AF4057="비귀속",$P4057,0),$P4057*(1-AG4057)*IFERROR(INDEX(계정대체기준!$F$20:$F$49,MATCH($N4057,계정대체기준!$A$20:$A$49,0)),1)))</f>
        <v/>
      </c>
      <c r="Z4057" s="94">
        <f>IF($A4057="",0,IF(AE4057="직접",IF(AF4057="신계약비",$P4057,0),$P4057*(1-AG4057)*IFERROR(INDEX(계정대체기준!$C$20:$C$49,MATCH($N4057,계정대체기준!$A$20:$A$49,0)),0)))</f>
        <v/>
      </c>
      <c r="AA4057" s="94">
        <f>IF($A4057="",0,IF(AE4057="직접",IF(OR(AF4057="유지비",AF4057="손해조사비"),$P4057,0),$P4057*(1-AG4057)*IFERROR(INDEX(계정대체기준!$D$20:$D$49,MATCH($N4057,계정대체기준!$A$20:$A$49,0)),0)))</f>
        <v/>
      </c>
      <c r="AB4057" s="94">
        <f>IF($A4057="",0,IF(AE4057="직접",IF(AF4057="수금비",$P4057,0),$P4057*(1-AG4057)*IFERROR(INDEX(계정대체기준!$E$20:$E$49,MATCH($N4057,계정대체기준!$A$20:$A$49,0)),0)))</f>
        <v/>
      </c>
      <c r="AC4057" s="9">
        <f>IF(AND($A4057&lt;&gt;"",M4057=설정!$C$20,Z4057&gt;0),Z4057+ROW()/1000000000,"")</f>
        <v/>
      </c>
      <c r="AD4057" s="94">
        <f>IF($A4057="",0,$P4057*AG4057)</f>
        <v/>
      </c>
      <c r="AE4057" s="64">
        <f>IF($A4057="","",IFERROR(INDEX(계정매핑!$E$5:$E$504,MATCH($F4057&amp;"",계정매핑!$A$5:$A$504,0))&amp;"","공통비"))</f>
        <v/>
      </c>
      <c r="AF4057" s="64">
        <f>IF($A4057="","",IF(AE4057="직접",IFERROR(INDEX(계정매핑!$F$5:$F$504,MATCH($F4057&amp;"",계정매핑!$A$5:$A$504,0))&amp;"","비귀속"),""))</f>
        <v/>
      </c>
      <c r="AG4057" s="96">
        <f>IF($A4057="",0,IF(AND(AE4057&lt;&gt;"직접",IFERROR(INDEX(계정매핑!$G$5:$G$504,MATCH($F4057&amp;"",계정매핑!$A$5:$A$504,0))&amp;"","")="유지비",COUNTIF(계정대체기준!$A$6:$A$15,$N4057)&gt;0),IFERROR(INDEX(계정대체기준!$E$6:$E$15,MATCH(VALUE($A4057&amp;""),계정대체기준!$D$6:$D$15,0)),0),0))</f>
        <v/>
      </c>
      <c r="AH4057" s="64">
        <f>IF($A4057="","",IF(AD4057=0,"",IF(OR(COUNTIF(계정대체기준!$A$77:$A$86,$N4057)&gt;0,ISNUMBER(MATCH($X4057,계정대체기준!$D$77:$D$86,0)),ISNUMBER(MATCH($F4057,계정대체기준!$D$77:$D$86,0))),"Y","N")))</f>
        <v/>
      </c>
    </row>
    <row r="4058">
      <c r="A4058" s="92" t="n">
        <v>2026</v>
      </c>
      <c r="B4058" s="92" t="n">
        <v>6</v>
      </c>
      <c r="C4058" s="92" t="inlineStr">
        <is>
          <t>5100001336</t>
        </is>
      </c>
      <c r="D4058" s="95" t="n">
        <v>46197</v>
      </c>
      <c r="E4058" s="92" t="inlineStr">
        <is>
          <t>KR</t>
        </is>
      </c>
      <c r="F4058" s="92" t="n">
        <v>63001000</v>
      </c>
      <c r="G4058" s="92" t="n">
        <v>1951</v>
      </c>
      <c r="H4058" s="93" t="n">
        <v>2438000</v>
      </c>
      <c r="I4058" s="92" t="inlineStr">
        <is>
          <t>6월 SW 유지보수 - Z시스템</t>
        </is>
      </c>
      <c r="J4058" s="92" t="inlineStr">
        <is>
          <t>V10012</t>
        </is>
      </c>
      <c r="K4058" s="92" t="inlineStr">
        <is>
          <t>Z시스템</t>
        </is>
      </c>
      <c r="M4058" s="9">
        <f>IF($A4058="","",VALUE($A4058&amp;"")*12+VALUE($B4058&amp;""))</f>
        <v/>
      </c>
      <c r="N4058" s="64">
        <f>IF($A4058="","",IFERROR(INDEX(부서매핑!$C$5:$C$504,MATCH($G4058&amp;"",부서매핑!$A$5:$A$504,0)),"미매핑"))</f>
        <v/>
      </c>
      <c r="O4058" s="9">
        <f>IF($A4058="","",N4058&amp;"|"&amp;$F4058)</f>
        <v/>
      </c>
      <c r="P4058" s="94">
        <f>IF($A4058="",0,$H4058*설정!$C$23)</f>
        <v/>
      </c>
      <c r="Q4058" s="64">
        <f>IF($A4058="","",IF(O4058&lt;&gt;원인분석!$C$9,"",IF(AND(M4058&gt;=원인분석!$C$10,M4058&lt;=원인분석!$C$11),"당기",IF(AND(M4058&gt;=원인분석!$C$12,M4058&lt;=원인분석!$C$13),"비교",""))))</f>
        <v/>
      </c>
      <c r="R4058" s="9">
        <f>IF(Q4058="","",$K4058&amp;"")</f>
        <v/>
      </c>
      <c r="S4058" s="9">
        <f>IF(Q4058="","",IF(MATCH(R4058,$R$5:$R$100000,0)=ROW()-4,ROW(),""))</f>
        <v/>
      </c>
      <c r="T4058" s="9">
        <f>IF(Q4058="당기",ABS(P4058)+ROW()/1000000000,"")</f>
        <v/>
      </c>
      <c r="U4058" s="9">
        <f>IF(Q4058="비교",ABS(P4058)+ROW()/1000000000,"")</f>
        <v/>
      </c>
      <c r="V4058" s="64">
        <f>IF($A4058="","",IF(COUNTIF(변동분석!$E$7:$E$506,O4058)&gt;0,"Y","N"))</f>
        <v/>
      </c>
      <c r="W4058" s="64">
        <f>IF($A4058="","",IFERROR(INDEX(계정매핑!$D$5:$D$504,MATCH($F4058&amp;"",계정매핑!$A$5:$A$504,0)),"미매핑"))</f>
        <v/>
      </c>
      <c r="X4058" s="9">
        <f>IF($A4058="","",$F4058&amp;"")</f>
        <v/>
      </c>
      <c r="Y4058" s="94">
        <f>IF($A4058="",0,IF(AE4058="직접",IF(AF4058="비귀속",$P4058,0),$P4058*(1-AG4058)*IFERROR(INDEX(계정대체기준!$F$20:$F$49,MATCH($N4058,계정대체기준!$A$20:$A$49,0)),1)))</f>
        <v/>
      </c>
      <c r="Z4058" s="94">
        <f>IF($A4058="",0,IF(AE4058="직접",IF(AF4058="신계약비",$P4058,0),$P4058*(1-AG4058)*IFERROR(INDEX(계정대체기준!$C$20:$C$49,MATCH($N4058,계정대체기준!$A$20:$A$49,0)),0)))</f>
        <v/>
      </c>
      <c r="AA4058" s="94">
        <f>IF($A4058="",0,IF(AE4058="직접",IF(OR(AF4058="유지비",AF4058="손해조사비"),$P4058,0),$P4058*(1-AG4058)*IFERROR(INDEX(계정대체기준!$D$20:$D$49,MATCH($N4058,계정대체기준!$A$20:$A$49,0)),0)))</f>
        <v/>
      </c>
      <c r="AB4058" s="94">
        <f>IF($A4058="",0,IF(AE4058="직접",IF(AF4058="수금비",$P4058,0),$P4058*(1-AG4058)*IFERROR(INDEX(계정대체기준!$E$20:$E$49,MATCH($N4058,계정대체기준!$A$20:$A$49,0)),0)))</f>
        <v/>
      </c>
      <c r="AC4058" s="9">
        <f>IF(AND($A4058&lt;&gt;"",M4058=설정!$C$20,Z4058&gt;0),Z4058+ROW()/1000000000,"")</f>
        <v/>
      </c>
      <c r="AD4058" s="94">
        <f>IF($A4058="",0,$P4058*AG4058)</f>
        <v/>
      </c>
      <c r="AE4058" s="64">
        <f>IF($A4058="","",IFERROR(INDEX(계정매핑!$E$5:$E$504,MATCH($F4058&amp;"",계정매핑!$A$5:$A$504,0))&amp;"","공통비"))</f>
        <v/>
      </c>
      <c r="AF4058" s="64">
        <f>IF($A4058="","",IF(AE4058="직접",IFERROR(INDEX(계정매핑!$F$5:$F$504,MATCH($F4058&amp;"",계정매핑!$A$5:$A$504,0))&amp;"","비귀속"),""))</f>
        <v/>
      </c>
      <c r="AG4058" s="96">
        <f>IF($A4058="",0,IF(AND(AE4058&lt;&gt;"직접",IFERROR(INDEX(계정매핑!$G$5:$G$504,MATCH($F4058&amp;"",계정매핑!$A$5:$A$504,0))&amp;"","")="유지비",COUNTIF(계정대체기준!$A$6:$A$15,$N4058)&gt;0),IFERROR(INDEX(계정대체기준!$E$6:$E$15,MATCH(VALUE($A4058&amp;""),계정대체기준!$D$6:$D$15,0)),0),0))</f>
        <v/>
      </c>
      <c r="AH4058" s="64">
        <f>IF($A4058="","",IF(AD4058=0,"",IF(OR(COUNTIF(계정대체기준!$A$77:$A$86,$N4058)&gt;0,ISNUMBER(MATCH($X4058,계정대체기준!$D$77:$D$86,0)),ISNUMBER(MATCH($F4058,계정대체기준!$D$77:$D$86,0))),"Y","N")))</f>
        <v/>
      </c>
    </row>
    <row r="4059">
      <c r="A4059" s="92" t="n">
        <v>2026</v>
      </c>
      <c r="B4059" s="92" t="n">
        <v>6</v>
      </c>
      <c r="C4059" s="92" t="inlineStr">
        <is>
          <t>5100001337</t>
        </is>
      </c>
      <c r="D4059" s="95" t="n">
        <v>46197</v>
      </c>
      <c r="E4059" s="92" t="inlineStr">
        <is>
          <t>KR</t>
        </is>
      </c>
      <c r="F4059" s="92" t="n">
        <v>63201000</v>
      </c>
      <c r="G4059" s="92" t="n">
        <v>1601</v>
      </c>
      <c r="H4059" s="93" t="n">
        <v>2064000</v>
      </c>
      <c r="I4059" s="92" t="inlineStr">
        <is>
          <t>6월 차량 유지 - H에너지</t>
        </is>
      </c>
      <c r="J4059" s="92" t="inlineStr">
        <is>
          <t>V10030</t>
        </is>
      </c>
      <c r="K4059" s="92" t="inlineStr">
        <is>
          <t>H에너지</t>
        </is>
      </c>
      <c r="M4059" s="9">
        <f>IF($A4059="","",VALUE($A4059&amp;"")*12+VALUE($B4059&amp;""))</f>
        <v/>
      </c>
      <c r="N4059" s="64">
        <f>IF($A4059="","",IFERROR(INDEX(부서매핑!$C$5:$C$504,MATCH($G4059&amp;"",부서매핑!$A$5:$A$504,0)),"미매핑"))</f>
        <v/>
      </c>
      <c r="O4059" s="9">
        <f>IF($A4059="","",N4059&amp;"|"&amp;$F4059)</f>
        <v/>
      </c>
      <c r="P4059" s="94">
        <f>IF($A4059="",0,$H4059*설정!$C$23)</f>
        <v/>
      </c>
      <c r="Q4059" s="64">
        <f>IF($A4059="","",IF(O4059&lt;&gt;원인분석!$C$9,"",IF(AND(M4059&gt;=원인분석!$C$10,M4059&lt;=원인분석!$C$11),"당기",IF(AND(M4059&gt;=원인분석!$C$12,M4059&lt;=원인분석!$C$13),"비교",""))))</f>
        <v/>
      </c>
      <c r="R4059" s="9">
        <f>IF(Q4059="","",$K4059&amp;"")</f>
        <v/>
      </c>
      <c r="S4059" s="9">
        <f>IF(Q4059="","",IF(MATCH(R4059,$R$5:$R$100000,0)=ROW()-4,ROW(),""))</f>
        <v/>
      </c>
      <c r="T4059" s="9">
        <f>IF(Q4059="당기",ABS(P4059)+ROW()/1000000000,"")</f>
        <v/>
      </c>
      <c r="U4059" s="9">
        <f>IF(Q4059="비교",ABS(P4059)+ROW()/1000000000,"")</f>
        <v/>
      </c>
      <c r="V4059" s="64">
        <f>IF($A4059="","",IF(COUNTIF(변동분석!$E$7:$E$506,O4059)&gt;0,"Y","N"))</f>
        <v/>
      </c>
      <c r="W4059" s="64">
        <f>IF($A4059="","",IFERROR(INDEX(계정매핑!$D$5:$D$504,MATCH($F4059&amp;"",계정매핑!$A$5:$A$504,0)),"미매핑"))</f>
        <v/>
      </c>
      <c r="X4059" s="9">
        <f>IF($A4059="","",$F4059&amp;"")</f>
        <v/>
      </c>
      <c r="Y4059" s="94">
        <f>IF($A4059="",0,IF(AE4059="직접",IF(AF4059="비귀속",$P4059,0),$P4059*(1-AG4059)*IFERROR(INDEX(계정대체기준!$F$20:$F$49,MATCH($N4059,계정대체기준!$A$20:$A$49,0)),1)))</f>
        <v/>
      </c>
      <c r="Z4059" s="94">
        <f>IF($A4059="",0,IF(AE4059="직접",IF(AF4059="신계약비",$P4059,0),$P4059*(1-AG4059)*IFERROR(INDEX(계정대체기준!$C$20:$C$49,MATCH($N4059,계정대체기준!$A$20:$A$49,0)),0)))</f>
        <v/>
      </c>
      <c r="AA4059" s="94">
        <f>IF($A4059="",0,IF(AE4059="직접",IF(OR(AF4059="유지비",AF4059="손해조사비"),$P4059,0),$P4059*(1-AG4059)*IFERROR(INDEX(계정대체기준!$D$20:$D$49,MATCH($N4059,계정대체기준!$A$20:$A$49,0)),0)))</f>
        <v/>
      </c>
      <c r="AB4059" s="94">
        <f>IF($A4059="",0,IF(AE4059="직접",IF(AF4059="수금비",$P4059,0),$P4059*(1-AG4059)*IFERROR(INDEX(계정대체기준!$E$20:$E$49,MATCH($N4059,계정대체기준!$A$20:$A$49,0)),0)))</f>
        <v/>
      </c>
      <c r="AC4059" s="9">
        <f>IF(AND($A4059&lt;&gt;"",M4059=설정!$C$20,Z4059&gt;0),Z4059+ROW()/1000000000,"")</f>
        <v/>
      </c>
      <c r="AD4059" s="94">
        <f>IF($A4059="",0,$P4059*AG4059)</f>
        <v/>
      </c>
      <c r="AE4059" s="64">
        <f>IF($A4059="","",IFERROR(INDEX(계정매핑!$E$5:$E$504,MATCH($F4059&amp;"",계정매핑!$A$5:$A$504,0))&amp;"","공통비"))</f>
        <v/>
      </c>
      <c r="AF4059" s="64">
        <f>IF($A4059="","",IF(AE4059="직접",IFERROR(INDEX(계정매핑!$F$5:$F$504,MATCH($F4059&amp;"",계정매핑!$A$5:$A$504,0))&amp;"","비귀속"),""))</f>
        <v/>
      </c>
      <c r="AG4059" s="96">
        <f>IF($A4059="",0,IF(AND(AE4059&lt;&gt;"직접",IFERROR(INDEX(계정매핑!$G$5:$G$504,MATCH($F4059&amp;"",계정매핑!$A$5:$A$504,0))&amp;"","")="유지비",COUNTIF(계정대체기준!$A$6:$A$15,$N4059)&gt;0),IFERROR(INDEX(계정대체기준!$E$6:$E$15,MATCH(VALUE($A4059&amp;""),계정대체기준!$D$6:$D$15,0)),0),0))</f>
        <v/>
      </c>
      <c r="AH4059" s="64">
        <f>IF($A4059="","",IF(AD4059=0,"",IF(OR(COUNTIF(계정대체기준!$A$77:$A$86,$N4059)&gt;0,ISNUMBER(MATCH($X4059,계정대체기준!$D$77:$D$86,0)),ISNUMBER(MATCH($F4059,계정대체기준!$D$77:$D$86,0))),"Y","N")))</f>
        <v/>
      </c>
    </row>
    <row r="4060">
      <c r="A4060" s="92" t="n">
        <v>2026</v>
      </c>
      <c r="B4060" s="92" t="n">
        <v>6</v>
      </c>
      <c r="C4060" s="92" t="inlineStr">
        <is>
          <t>5100001338</t>
        </is>
      </c>
      <c r="D4060" s="95" t="n">
        <v>46198</v>
      </c>
      <c r="E4060" s="92" t="inlineStr">
        <is>
          <t>KR</t>
        </is>
      </c>
      <c r="F4060" s="92" t="n">
        <v>62101000</v>
      </c>
      <c r="G4060" s="92" t="n">
        <v>1801</v>
      </c>
      <c r="H4060" s="93" t="n">
        <v>189000</v>
      </c>
      <c r="I4060" s="92" t="inlineStr">
        <is>
          <t>6월 국내출장 - M항공</t>
        </is>
      </c>
      <c r="J4060" s="92" t="inlineStr">
        <is>
          <t>V10001</t>
        </is>
      </c>
      <c r="K4060" s="92" t="inlineStr">
        <is>
          <t>M항공</t>
        </is>
      </c>
      <c r="M4060" s="9">
        <f>IF($A4060="","",VALUE($A4060&amp;"")*12+VALUE($B4060&amp;""))</f>
        <v/>
      </c>
      <c r="N4060" s="64">
        <f>IF($A4060="","",IFERROR(INDEX(부서매핑!$C$5:$C$504,MATCH($G4060&amp;"",부서매핑!$A$5:$A$504,0)),"미매핑"))</f>
        <v/>
      </c>
      <c r="O4060" s="9">
        <f>IF($A4060="","",N4060&amp;"|"&amp;$F4060)</f>
        <v/>
      </c>
      <c r="P4060" s="94">
        <f>IF($A4060="",0,$H4060*설정!$C$23)</f>
        <v/>
      </c>
      <c r="Q4060" s="64">
        <f>IF($A4060="","",IF(O4060&lt;&gt;원인분석!$C$9,"",IF(AND(M4060&gt;=원인분석!$C$10,M4060&lt;=원인분석!$C$11),"당기",IF(AND(M4060&gt;=원인분석!$C$12,M4060&lt;=원인분석!$C$13),"비교",""))))</f>
        <v/>
      </c>
      <c r="R4060" s="9">
        <f>IF(Q4060="","",$K4060&amp;"")</f>
        <v/>
      </c>
      <c r="S4060" s="9">
        <f>IF(Q4060="","",IF(MATCH(R4060,$R$5:$R$100000,0)=ROW()-4,ROW(),""))</f>
        <v/>
      </c>
      <c r="T4060" s="9">
        <f>IF(Q4060="당기",ABS(P4060)+ROW()/1000000000,"")</f>
        <v/>
      </c>
      <c r="U4060" s="9">
        <f>IF(Q4060="비교",ABS(P4060)+ROW()/1000000000,"")</f>
        <v/>
      </c>
      <c r="V4060" s="64">
        <f>IF($A4060="","",IF(COUNTIF(변동분석!$E$7:$E$506,O4060)&gt;0,"Y","N"))</f>
        <v/>
      </c>
      <c r="W4060" s="64">
        <f>IF($A4060="","",IFERROR(INDEX(계정매핑!$D$5:$D$504,MATCH($F4060&amp;"",계정매핑!$A$5:$A$504,0)),"미매핑"))</f>
        <v/>
      </c>
      <c r="X4060" s="9">
        <f>IF($A4060="","",$F4060&amp;"")</f>
        <v/>
      </c>
      <c r="Y4060" s="94">
        <f>IF($A4060="",0,IF(AE4060="직접",IF(AF4060="비귀속",$P4060,0),$P4060*(1-AG4060)*IFERROR(INDEX(계정대체기준!$F$20:$F$49,MATCH($N4060,계정대체기준!$A$20:$A$49,0)),1)))</f>
        <v/>
      </c>
      <c r="Z4060" s="94">
        <f>IF($A4060="",0,IF(AE4060="직접",IF(AF4060="신계약비",$P4060,0),$P4060*(1-AG4060)*IFERROR(INDEX(계정대체기준!$C$20:$C$49,MATCH($N4060,계정대체기준!$A$20:$A$49,0)),0)))</f>
        <v/>
      </c>
      <c r="AA4060" s="94">
        <f>IF($A4060="",0,IF(AE4060="직접",IF(OR(AF4060="유지비",AF4060="손해조사비"),$P4060,0),$P4060*(1-AG4060)*IFERROR(INDEX(계정대체기준!$D$20:$D$49,MATCH($N4060,계정대체기준!$A$20:$A$49,0)),0)))</f>
        <v/>
      </c>
      <c r="AB4060" s="94">
        <f>IF($A4060="",0,IF(AE4060="직접",IF(AF4060="수금비",$P4060,0),$P4060*(1-AG4060)*IFERROR(INDEX(계정대체기준!$E$20:$E$49,MATCH($N4060,계정대체기준!$A$20:$A$49,0)),0)))</f>
        <v/>
      </c>
      <c r="AC4060" s="9">
        <f>IF(AND($A4060&lt;&gt;"",M4060=설정!$C$20,Z4060&gt;0),Z4060+ROW()/1000000000,"")</f>
        <v/>
      </c>
      <c r="AD4060" s="94">
        <f>IF($A4060="",0,$P4060*AG4060)</f>
        <v/>
      </c>
      <c r="AE4060" s="64">
        <f>IF($A4060="","",IFERROR(INDEX(계정매핑!$E$5:$E$504,MATCH($F4060&amp;"",계정매핑!$A$5:$A$504,0))&amp;"","공통비"))</f>
        <v/>
      </c>
      <c r="AF4060" s="64">
        <f>IF($A4060="","",IF(AE4060="직접",IFERROR(INDEX(계정매핑!$F$5:$F$504,MATCH($F4060&amp;"",계정매핑!$A$5:$A$504,0))&amp;"","비귀속"),""))</f>
        <v/>
      </c>
      <c r="AG4060" s="96">
        <f>IF($A4060="",0,IF(AND(AE4060&lt;&gt;"직접",IFERROR(INDEX(계정매핑!$G$5:$G$504,MATCH($F4060&amp;"",계정매핑!$A$5:$A$504,0))&amp;"","")="유지비",COUNTIF(계정대체기준!$A$6:$A$15,$N4060)&gt;0),IFERROR(INDEX(계정대체기준!$E$6:$E$15,MATCH(VALUE($A4060&amp;""),계정대체기준!$D$6:$D$15,0)),0),0))</f>
        <v/>
      </c>
      <c r="AH4060" s="64">
        <f>IF($A4060="","",IF(AD4060=0,"",IF(OR(COUNTIF(계정대체기준!$A$77:$A$86,$N4060)&gt;0,ISNUMBER(MATCH($X4060,계정대체기준!$D$77:$D$86,0)),ISNUMBER(MATCH($F4060,계정대체기준!$D$77:$D$86,0))),"Y","N")))</f>
        <v/>
      </c>
    </row>
    <row r="4061">
      <c r="A4061" s="92" t="n">
        <v>2026</v>
      </c>
      <c r="B4061" s="92" t="n">
        <v>6</v>
      </c>
      <c r="C4061" s="92" t="inlineStr">
        <is>
          <t>5100001339</t>
        </is>
      </c>
      <c r="D4061" s="95" t="n">
        <v>46198</v>
      </c>
      <c r="E4061" s="92" t="inlineStr">
        <is>
          <t>KR</t>
        </is>
      </c>
      <c r="F4061" s="92" t="n">
        <v>62301000</v>
      </c>
      <c r="G4061" s="92" t="n">
        <v>1101</v>
      </c>
      <c r="H4061" s="93" t="n">
        <v>132000</v>
      </c>
      <c r="I4061" s="92" t="inlineStr">
        <is>
          <t>6월 소모품 구입 - Q오피스</t>
        </is>
      </c>
      <c r="J4061" s="92" t="inlineStr">
        <is>
          <t>V10003</t>
        </is>
      </c>
      <c r="K4061" s="92" t="inlineStr">
        <is>
          <t>Q오피스</t>
        </is>
      </c>
      <c r="M4061" s="9">
        <f>IF($A4061="","",VALUE($A4061&amp;"")*12+VALUE($B4061&amp;""))</f>
        <v/>
      </c>
      <c r="N4061" s="64">
        <f>IF($A4061="","",IFERROR(INDEX(부서매핑!$C$5:$C$504,MATCH($G4061&amp;"",부서매핑!$A$5:$A$504,0)),"미매핑"))</f>
        <v/>
      </c>
      <c r="O4061" s="9">
        <f>IF($A4061="","",N4061&amp;"|"&amp;$F4061)</f>
        <v/>
      </c>
      <c r="P4061" s="94">
        <f>IF($A4061="",0,$H4061*설정!$C$23)</f>
        <v/>
      </c>
      <c r="Q4061" s="64">
        <f>IF($A4061="","",IF(O4061&lt;&gt;원인분석!$C$9,"",IF(AND(M4061&gt;=원인분석!$C$10,M4061&lt;=원인분석!$C$11),"당기",IF(AND(M4061&gt;=원인분석!$C$12,M4061&lt;=원인분석!$C$13),"비교",""))))</f>
        <v/>
      </c>
      <c r="R4061" s="9">
        <f>IF(Q4061="","",$K4061&amp;"")</f>
        <v/>
      </c>
      <c r="S4061" s="9">
        <f>IF(Q4061="","",IF(MATCH(R4061,$R$5:$R$100000,0)=ROW()-4,ROW(),""))</f>
        <v/>
      </c>
      <c r="T4061" s="9">
        <f>IF(Q4061="당기",ABS(P4061)+ROW()/1000000000,"")</f>
        <v/>
      </c>
      <c r="U4061" s="9">
        <f>IF(Q4061="비교",ABS(P4061)+ROW()/1000000000,"")</f>
        <v/>
      </c>
      <c r="V4061" s="64">
        <f>IF($A4061="","",IF(COUNTIF(변동분석!$E$7:$E$506,O4061)&gt;0,"Y","N"))</f>
        <v/>
      </c>
      <c r="W4061" s="64">
        <f>IF($A4061="","",IFERROR(INDEX(계정매핑!$D$5:$D$504,MATCH($F4061&amp;"",계정매핑!$A$5:$A$504,0)),"미매핑"))</f>
        <v/>
      </c>
      <c r="X4061" s="9">
        <f>IF($A4061="","",$F4061&amp;"")</f>
        <v/>
      </c>
      <c r="Y4061" s="94">
        <f>IF($A4061="",0,IF(AE4061="직접",IF(AF4061="비귀속",$P4061,0),$P4061*(1-AG4061)*IFERROR(INDEX(계정대체기준!$F$20:$F$49,MATCH($N4061,계정대체기준!$A$20:$A$49,0)),1)))</f>
        <v/>
      </c>
      <c r="Z4061" s="94">
        <f>IF($A4061="",0,IF(AE4061="직접",IF(AF4061="신계약비",$P4061,0),$P4061*(1-AG4061)*IFERROR(INDEX(계정대체기준!$C$20:$C$49,MATCH($N4061,계정대체기준!$A$20:$A$49,0)),0)))</f>
        <v/>
      </c>
      <c r="AA4061" s="94">
        <f>IF($A4061="",0,IF(AE4061="직접",IF(OR(AF4061="유지비",AF4061="손해조사비"),$P4061,0),$P4061*(1-AG4061)*IFERROR(INDEX(계정대체기준!$D$20:$D$49,MATCH($N4061,계정대체기준!$A$20:$A$49,0)),0)))</f>
        <v/>
      </c>
      <c r="AB4061" s="94">
        <f>IF($A4061="",0,IF(AE4061="직접",IF(AF4061="수금비",$P4061,0),$P4061*(1-AG4061)*IFERROR(INDEX(계정대체기준!$E$20:$E$49,MATCH($N4061,계정대체기준!$A$20:$A$49,0)),0)))</f>
        <v/>
      </c>
      <c r="AC4061" s="9">
        <f>IF(AND($A4061&lt;&gt;"",M4061=설정!$C$20,Z4061&gt;0),Z4061+ROW()/1000000000,"")</f>
        <v/>
      </c>
      <c r="AD4061" s="94">
        <f>IF($A4061="",0,$P4061*AG4061)</f>
        <v/>
      </c>
      <c r="AE4061" s="64">
        <f>IF($A4061="","",IFERROR(INDEX(계정매핑!$E$5:$E$504,MATCH($F4061&amp;"",계정매핑!$A$5:$A$504,0))&amp;"","공통비"))</f>
        <v/>
      </c>
      <c r="AF4061" s="64">
        <f>IF($A4061="","",IF(AE4061="직접",IFERROR(INDEX(계정매핑!$F$5:$F$504,MATCH($F4061&amp;"",계정매핑!$A$5:$A$504,0))&amp;"","비귀속"),""))</f>
        <v/>
      </c>
      <c r="AG4061" s="96">
        <f>IF($A4061="",0,IF(AND(AE4061&lt;&gt;"직접",IFERROR(INDEX(계정매핑!$G$5:$G$504,MATCH($F4061&amp;"",계정매핑!$A$5:$A$504,0))&amp;"","")="유지비",COUNTIF(계정대체기준!$A$6:$A$15,$N4061)&gt;0),IFERROR(INDEX(계정대체기준!$E$6:$E$15,MATCH(VALUE($A4061&amp;""),계정대체기준!$D$6:$D$15,0)),0),0))</f>
        <v/>
      </c>
      <c r="AH4061" s="64">
        <f>IF($A4061="","",IF(AD4061=0,"",IF(OR(COUNTIF(계정대체기준!$A$77:$A$86,$N4061)&gt;0,ISNUMBER(MATCH($X4061,계정대체기준!$D$77:$D$86,0)),ISNUMBER(MATCH($F4061,계정대체기준!$D$77:$D$86,0))),"Y","N")))</f>
        <v/>
      </c>
    </row>
    <row r="4062">
      <c r="A4062" s="92" t="n">
        <v>2026</v>
      </c>
      <c r="B4062" s="92" t="n">
        <v>6</v>
      </c>
      <c r="C4062" s="92" t="inlineStr">
        <is>
          <t>5100001340</t>
        </is>
      </c>
      <c r="D4062" s="95" t="n">
        <v>46198</v>
      </c>
      <c r="E4062" s="92" t="inlineStr">
        <is>
          <t>KR</t>
        </is>
      </c>
      <c r="F4062" s="92" t="n">
        <v>62401000</v>
      </c>
      <c r="G4062" s="92" t="n">
        <v>1502</v>
      </c>
      <c r="H4062" s="93" t="n">
        <v>1811000</v>
      </c>
      <c r="I4062" s="92" t="inlineStr">
        <is>
          <t>6월 인쇄물 제작 - G인쇄</t>
        </is>
      </c>
      <c r="J4062" s="92" t="inlineStr">
        <is>
          <t>V10004</t>
        </is>
      </c>
      <c r="K4062" s="92" t="inlineStr">
        <is>
          <t>G인쇄</t>
        </is>
      </c>
      <c r="M4062" s="9">
        <f>IF($A4062="","",VALUE($A4062&amp;"")*12+VALUE($B4062&amp;""))</f>
        <v/>
      </c>
      <c r="N4062" s="64">
        <f>IF($A4062="","",IFERROR(INDEX(부서매핑!$C$5:$C$504,MATCH($G4062&amp;"",부서매핑!$A$5:$A$504,0)),"미매핑"))</f>
        <v/>
      </c>
      <c r="O4062" s="9">
        <f>IF($A4062="","",N4062&amp;"|"&amp;$F4062)</f>
        <v/>
      </c>
      <c r="P4062" s="94">
        <f>IF($A4062="",0,$H4062*설정!$C$23)</f>
        <v/>
      </c>
      <c r="Q4062" s="64">
        <f>IF($A4062="","",IF(O4062&lt;&gt;원인분석!$C$9,"",IF(AND(M4062&gt;=원인분석!$C$10,M4062&lt;=원인분석!$C$11),"당기",IF(AND(M4062&gt;=원인분석!$C$12,M4062&lt;=원인분석!$C$13),"비교",""))))</f>
        <v/>
      </c>
      <c r="R4062" s="9">
        <f>IF(Q4062="","",$K4062&amp;"")</f>
        <v/>
      </c>
      <c r="S4062" s="9">
        <f>IF(Q4062="","",IF(MATCH(R4062,$R$5:$R$100000,0)=ROW()-4,ROW(),""))</f>
        <v/>
      </c>
      <c r="T4062" s="9">
        <f>IF(Q4062="당기",ABS(P4062)+ROW()/1000000000,"")</f>
        <v/>
      </c>
      <c r="U4062" s="9">
        <f>IF(Q4062="비교",ABS(P4062)+ROW()/1000000000,"")</f>
        <v/>
      </c>
      <c r="V4062" s="64">
        <f>IF($A4062="","",IF(COUNTIF(변동분석!$E$7:$E$506,O4062)&gt;0,"Y","N"))</f>
        <v/>
      </c>
      <c r="W4062" s="64">
        <f>IF($A4062="","",IFERROR(INDEX(계정매핑!$D$5:$D$504,MATCH($F4062&amp;"",계정매핑!$A$5:$A$504,0)),"미매핑"))</f>
        <v/>
      </c>
      <c r="X4062" s="9">
        <f>IF($A4062="","",$F4062&amp;"")</f>
        <v/>
      </c>
      <c r="Y4062" s="94">
        <f>IF($A4062="",0,IF(AE4062="직접",IF(AF4062="비귀속",$P4062,0),$P4062*(1-AG4062)*IFERROR(INDEX(계정대체기준!$F$20:$F$49,MATCH($N4062,계정대체기준!$A$20:$A$49,0)),1)))</f>
        <v/>
      </c>
      <c r="Z4062" s="94">
        <f>IF($A4062="",0,IF(AE4062="직접",IF(AF4062="신계약비",$P4062,0),$P4062*(1-AG4062)*IFERROR(INDEX(계정대체기준!$C$20:$C$49,MATCH($N4062,계정대체기준!$A$20:$A$49,0)),0)))</f>
        <v/>
      </c>
      <c r="AA4062" s="94">
        <f>IF($A4062="",0,IF(AE4062="직접",IF(OR(AF4062="유지비",AF4062="손해조사비"),$P4062,0),$P4062*(1-AG4062)*IFERROR(INDEX(계정대체기준!$D$20:$D$49,MATCH($N4062,계정대체기준!$A$20:$A$49,0)),0)))</f>
        <v/>
      </c>
      <c r="AB4062" s="94">
        <f>IF($A4062="",0,IF(AE4062="직접",IF(AF4062="수금비",$P4062,0),$P4062*(1-AG4062)*IFERROR(INDEX(계정대체기준!$E$20:$E$49,MATCH($N4062,계정대체기준!$A$20:$A$49,0)),0)))</f>
        <v/>
      </c>
      <c r="AC4062" s="9">
        <f>IF(AND($A4062&lt;&gt;"",M4062=설정!$C$20,Z4062&gt;0),Z4062+ROW()/1000000000,"")</f>
        <v/>
      </c>
      <c r="AD4062" s="94">
        <f>IF($A4062="",0,$P4062*AG4062)</f>
        <v/>
      </c>
      <c r="AE4062" s="64">
        <f>IF($A4062="","",IFERROR(INDEX(계정매핑!$E$5:$E$504,MATCH($F4062&amp;"",계정매핑!$A$5:$A$504,0))&amp;"","공통비"))</f>
        <v/>
      </c>
      <c r="AF4062" s="64">
        <f>IF($A4062="","",IF(AE4062="직접",IFERROR(INDEX(계정매핑!$F$5:$F$504,MATCH($F4062&amp;"",계정매핑!$A$5:$A$504,0))&amp;"","비귀속"),""))</f>
        <v/>
      </c>
      <c r="AG4062" s="96">
        <f>IF($A4062="",0,IF(AND(AE4062&lt;&gt;"직접",IFERROR(INDEX(계정매핑!$G$5:$G$504,MATCH($F4062&amp;"",계정매핑!$A$5:$A$504,0))&amp;"","")="유지비",COUNTIF(계정대체기준!$A$6:$A$15,$N4062)&gt;0),IFERROR(INDEX(계정대체기준!$E$6:$E$15,MATCH(VALUE($A4062&amp;""),계정대체기준!$D$6:$D$15,0)),0),0))</f>
        <v/>
      </c>
      <c r="AH4062" s="64">
        <f>IF($A4062="","",IF(AD4062=0,"",IF(OR(COUNTIF(계정대체기준!$A$77:$A$86,$N4062)&gt;0,ISNUMBER(MATCH($X4062,계정대체기준!$D$77:$D$86,0)),ISNUMBER(MATCH($F4062,계정대체기준!$D$77:$D$86,0))),"Y","N")))</f>
        <v/>
      </c>
    </row>
    <row r="4063">
      <c r="A4063" s="92" t="n">
        <v>2026</v>
      </c>
      <c r="B4063" s="92" t="n">
        <v>6</v>
      </c>
      <c r="C4063" s="92" t="inlineStr">
        <is>
          <t>5100001341</t>
        </is>
      </c>
      <c r="D4063" s="95" t="n">
        <v>46198</v>
      </c>
      <c r="E4063" s="92" t="inlineStr">
        <is>
          <t>KR</t>
        </is>
      </c>
      <c r="F4063" s="92" t="n">
        <v>62501000</v>
      </c>
      <c r="G4063" s="92" t="n">
        <v>1501</v>
      </c>
      <c r="H4063" s="93" t="n">
        <v>282000</v>
      </c>
      <c r="I4063" s="92" t="inlineStr">
        <is>
          <t>6월 회의 다과 - (법인카드)</t>
        </is>
      </c>
      <c r="J4063" s="92" t="inlineStr">
        <is>
          <t>V10010</t>
        </is>
      </c>
      <c r="K4063" s="92" t="inlineStr">
        <is>
          <t>(법인카드)</t>
        </is>
      </c>
      <c r="M4063" s="9">
        <f>IF($A4063="","",VALUE($A4063&amp;"")*12+VALUE($B4063&amp;""))</f>
        <v/>
      </c>
      <c r="N4063" s="64">
        <f>IF($A4063="","",IFERROR(INDEX(부서매핑!$C$5:$C$504,MATCH($G4063&amp;"",부서매핑!$A$5:$A$504,0)),"미매핑"))</f>
        <v/>
      </c>
      <c r="O4063" s="9">
        <f>IF($A4063="","",N4063&amp;"|"&amp;$F4063)</f>
        <v/>
      </c>
      <c r="P4063" s="94">
        <f>IF($A4063="",0,$H4063*설정!$C$23)</f>
        <v/>
      </c>
      <c r="Q4063" s="64">
        <f>IF($A4063="","",IF(O4063&lt;&gt;원인분석!$C$9,"",IF(AND(M4063&gt;=원인분석!$C$10,M4063&lt;=원인분석!$C$11),"당기",IF(AND(M4063&gt;=원인분석!$C$12,M4063&lt;=원인분석!$C$13),"비교",""))))</f>
        <v/>
      </c>
      <c r="R4063" s="9">
        <f>IF(Q4063="","",$K4063&amp;"")</f>
        <v/>
      </c>
      <c r="S4063" s="9">
        <f>IF(Q4063="","",IF(MATCH(R4063,$R$5:$R$100000,0)=ROW()-4,ROW(),""))</f>
        <v/>
      </c>
      <c r="T4063" s="9">
        <f>IF(Q4063="당기",ABS(P4063)+ROW()/1000000000,"")</f>
        <v/>
      </c>
      <c r="U4063" s="9">
        <f>IF(Q4063="비교",ABS(P4063)+ROW()/1000000000,"")</f>
        <v/>
      </c>
      <c r="V4063" s="64">
        <f>IF($A4063="","",IF(COUNTIF(변동분석!$E$7:$E$506,O4063)&gt;0,"Y","N"))</f>
        <v/>
      </c>
      <c r="W4063" s="64">
        <f>IF($A4063="","",IFERROR(INDEX(계정매핑!$D$5:$D$504,MATCH($F4063&amp;"",계정매핑!$A$5:$A$504,0)),"미매핑"))</f>
        <v/>
      </c>
      <c r="X4063" s="9">
        <f>IF($A4063="","",$F4063&amp;"")</f>
        <v/>
      </c>
      <c r="Y4063" s="94">
        <f>IF($A4063="",0,IF(AE4063="직접",IF(AF4063="비귀속",$P4063,0),$P4063*(1-AG4063)*IFERROR(INDEX(계정대체기준!$F$20:$F$49,MATCH($N4063,계정대체기준!$A$20:$A$49,0)),1)))</f>
        <v/>
      </c>
      <c r="Z4063" s="94">
        <f>IF($A4063="",0,IF(AE4063="직접",IF(AF4063="신계약비",$P4063,0),$P4063*(1-AG4063)*IFERROR(INDEX(계정대체기준!$C$20:$C$49,MATCH($N4063,계정대체기준!$A$20:$A$49,0)),0)))</f>
        <v/>
      </c>
      <c r="AA4063" s="94">
        <f>IF($A4063="",0,IF(AE4063="직접",IF(OR(AF4063="유지비",AF4063="손해조사비"),$P4063,0),$P4063*(1-AG4063)*IFERROR(INDEX(계정대체기준!$D$20:$D$49,MATCH($N4063,계정대체기준!$A$20:$A$49,0)),0)))</f>
        <v/>
      </c>
      <c r="AB4063" s="94">
        <f>IF($A4063="",0,IF(AE4063="직접",IF(AF4063="수금비",$P4063,0),$P4063*(1-AG4063)*IFERROR(INDEX(계정대체기준!$E$20:$E$49,MATCH($N4063,계정대체기준!$A$20:$A$49,0)),0)))</f>
        <v/>
      </c>
      <c r="AC4063" s="9">
        <f>IF(AND($A4063&lt;&gt;"",M4063=설정!$C$20,Z4063&gt;0),Z4063+ROW()/1000000000,"")</f>
        <v/>
      </c>
      <c r="AD4063" s="94">
        <f>IF($A4063="",0,$P4063*AG4063)</f>
        <v/>
      </c>
      <c r="AE4063" s="64">
        <f>IF($A4063="","",IFERROR(INDEX(계정매핑!$E$5:$E$504,MATCH($F4063&amp;"",계정매핑!$A$5:$A$504,0))&amp;"","공통비"))</f>
        <v/>
      </c>
      <c r="AF4063" s="64">
        <f>IF($A4063="","",IF(AE4063="직접",IFERROR(INDEX(계정매핑!$F$5:$F$504,MATCH($F4063&amp;"",계정매핑!$A$5:$A$504,0))&amp;"","비귀속"),""))</f>
        <v/>
      </c>
      <c r="AG4063" s="96">
        <f>IF($A4063="",0,IF(AND(AE4063&lt;&gt;"직접",IFERROR(INDEX(계정매핑!$G$5:$G$504,MATCH($F4063&amp;"",계정매핑!$A$5:$A$504,0))&amp;"","")="유지비",COUNTIF(계정대체기준!$A$6:$A$15,$N4063)&gt;0),IFERROR(INDEX(계정대체기준!$E$6:$E$15,MATCH(VALUE($A4063&amp;""),계정대체기준!$D$6:$D$15,0)),0),0))</f>
        <v/>
      </c>
      <c r="AH4063" s="64">
        <f>IF($A4063="","",IF(AD4063=0,"",IF(OR(COUNTIF(계정대체기준!$A$77:$A$86,$N4063)&gt;0,ISNUMBER(MATCH($X4063,계정대체기준!$D$77:$D$86,0)),ISNUMBER(MATCH($F4063,계정대체기준!$D$77:$D$86,0))),"Y","N")))</f>
        <v/>
      </c>
    </row>
    <row r="4064">
      <c r="A4064" s="92" t="n">
        <v>2026</v>
      </c>
      <c r="B4064" s="92" t="n">
        <v>6</v>
      </c>
      <c r="C4064" s="92" t="inlineStr">
        <is>
          <t>5100001342</t>
        </is>
      </c>
      <c r="D4064" s="95" t="n">
        <v>46198</v>
      </c>
      <c r="E4064" s="92" t="inlineStr">
        <is>
          <t>KR</t>
        </is>
      </c>
      <c r="F4064" s="92" t="n">
        <v>62501000</v>
      </c>
      <c r="G4064" s="92" t="n">
        <v>1701</v>
      </c>
      <c r="H4064" s="93" t="n">
        <v>145000</v>
      </c>
      <c r="I4064" s="92" t="inlineStr">
        <is>
          <t>6월 회의 다과 - T케이터링</t>
        </is>
      </c>
      <c r="J4064" s="92" t="inlineStr">
        <is>
          <t>V10005</t>
        </is>
      </c>
      <c r="K4064" s="92" t="inlineStr">
        <is>
          <t>T케이터링</t>
        </is>
      </c>
      <c r="M4064" s="9">
        <f>IF($A4064="","",VALUE($A4064&amp;"")*12+VALUE($B4064&amp;""))</f>
        <v/>
      </c>
      <c r="N4064" s="64">
        <f>IF($A4064="","",IFERROR(INDEX(부서매핑!$C$5:$C$504,MATCH($G4064&amp;"",부서매핑!$A$5:$A$504,0)),"미매핑"))</f>
        <v/>
      </c>
      <c r="O4064" s="9">
        <f>IF($A4064="","",N4064&amp;"|"&amp;$F4064)</f>
        <v/>
      </c>
      <c r="P4064" s="94">
        <f>IF($A4064="",0,$H4064*설정!$C$23)</f>
        <v/>
      </c>
      <c r="Q4064" s="64">
        <f>IF($A4064="","",IF(O4064&lt;&gt;원인분석!$C$9,"",IF(AND(M4064&gt;=원인분석!$C$10,M4064&lt;=원인분석!$C$11),"당기",IF(AND(M4064&gt;=원인분석!$C$12,M4064&lt;=원인분석!$C$13),"비교",""))))</f>
        <v/>
      </c>
      <c r="R4064" s="9">
        <f>IF(Q4064="","",$K4064&amp;"")</f>
        <v/>
      </c>
      <c r="S4064" s="9">
        <f>IF(Q4064="","",IF(MATCH(R4064,$R$5:$R$100000,0)=ROW()-4,ROW(),""))</f>
        <v/>
      </c>
      <c r="T4064" s="9">
        <f>IF(Q4064="당기",ABS(P4064)+ROW()/1000000000,"")</f>
        <v/>
      </c>
      <c r="U4064" s="9">
        <f>IF(Q4064="비교",ABS(P4064)+ROW()/1000000000,"")</f>
        <v/>
      </c>
      <c r="V4064" s="64">
        <f>IF($A4064="","",IF(COUNTIF(변동분석!$E$7:$E$506,O4064)&gt;0,"Y","N"))</f>
        <v/>
      </c>
      <c r="W4064" s="64">
        <f>IF($A4064="","",IFERROR(INDEX(계정매핑!$D$5:$D$504,MATCH($F4064&amp;"",계정매핑!$A$5:$A$504,0)),"미매핑"))</f>
        <v/>
      </c>
      <c r="X4064" s="9">
        <f>IF($A4064="","",$F4064&amp;"")</f>
        <v/>
      </c>
      <c r="Y4064" s="94">
        <f>IF($A4064="",0,IF(AE4064="직접",IF(AF4064="비귀속",$P4064,0),$P4064*(1-AG4064)*IFERROR(INDEX(계정대체기준!$F$20:$F$49,MATCH($N4064,계정대체기준!$A$20:$A$49,0)),1)))</f>
        <v/>
      </c>
      <c r="Z4064" s="94">
        <f>IF($A4064="",0,IF(AE4064="직접",IF(AF4064="신계약비",$P4064,0),$P4064*(1-AG4064)*IFERROR(INDEX(계정대체기준!$C$20:$C$49,MATCH($N4064,계정대체기준!$A$20:$A$49,0)),0)))</f>
        <v/>
      </c>
      <c r="AA4064" s="94">
        <f>IF($A4064="",0,IF(AE4064="직접",IF(OR(AF4064="유지비",AF4064="손해조사비"),$P4064,0),$P4064*(1-AG4064)*IFERROR(INDEX(계정대체기준!$D$20:$D$49,MATCH($N4064,계정대체기준!$A$20:$A$49,0)),0)))</f>
        <v/>
      </c>
      <c r="AB4064" s="94">
        <f>IF($A4064="",0,IF(AE4064="직접",IF(AF4064="수금비",$P4064,0),$P4064*(1-AG4064)*IFERROR(INDEX(계정대체기준!$E$20:$E$49,MATCH($N4064,계정대체기준!$A$20:$A$49,0)),0)))</f>
        <v/>
      </c>
      <c r="AC4064" s="9">
        <f>IF(AND($A4064&lt;&gt;"",M4064=설정!$C$20,Z4064&gt;0),Z4064+ROW()/1000000000,"")</f>
        <v/>
      </c>
      <c r="AD4064" s="94">
        <f>IF($A4064="",0,$P4064*AG4064)</f>
        <v/>
      </c>
      <c r="AE4064" s="64">
        <f>IF($A4064="","",IFERROR(INDEX(계정매핑!$E$5:$E$504,MATCH($F4064&amp;"",계정매핑!$A$5:$A$504,0))&amp;"","공통비"))</f>
        <v/>
      </c>
      <c r="AF4064" s="64">
        <f>IF($A4064="","",IF(AE4064="직접",IFERROR(INDEX(계정매핑!$F$5:$F$504,MATCH($F4064&amp;"",계정매핑!$A$5:$A$504,0))&amp;"","비귀속"),""))</f>
        <v/>
      </c>
      <c r="AG4064" s="96">
        <f>IF($A4064="",0,IF(AND(AE4064&lt;&gt;"직접",IFERROR(INDEX(계정매핑!$G$5:$G$504,MATCH($F4064&amp;"",계정매핑!$A$5:$A$504,0))&amp;"","")="유지비",COUNTIF(계정대체기준!$A$6:$A$15,$N4064)&gt;0),IFERROR(INDEX(계정대체기준!$E$6:$E$15,MATCH(VALUE($A4064&amp;""),계정대체기준!$D$6:$D$15,0)),0),0))</f>
        <v/>
      </c>
      <c r="AH4064" s="64">
        <f>IF($A4064="","",IF(AD4064=0,"",IF(OR(COUNTIF(계정대체기준!$A$77:$A$86,$N4064)&gt;0,ISNUMBER(MATCH($X4064,계정대체기준!$D$77:$D$86,0)),ISNUMBER(MATCH($F4064,계정대체기준!$D$77:$D$86,0))),"Y","N")))</f>
        <v/>
      </c>
    </row>
    <row r="4065">
      <c r="A4065" s="92" t="n">
        <v>2026</v>
      </c>
      <c r="B4065" s="92" t="n">
        <v>6</v>
      </c>
      <c r="C4065" s="92" t="inlineStr">
        <is>
          <t>5100001343</t>
        </is>
      </c>
      <c r="D4065" s="95" t="n">
        <v>46198</v>
      </c>
      <c r="E4065" s="92" t="inlineStr">
        <is>
          <t>KR</t>
        </is>
      </c>
      <c r="F4065" s="92" t="n">
        <v>62501000</v>
      </c>
      <c r="G4065" s="92" t="n">
        <v>1801</v>
      </c>
      <c r="H4065" s="93" t="n">
        <v>216000</v>
      </c>
      <c r="I4065" s="92" t="inlineStr">
        <is>
          <t>6월 회의 다과 - (법인카드)</t>
        </is>
      </c>
      <c r="J4065" s="92" t="inlineStr">
        <is>
          <t>V10010</t>
        </is>
      </c>
      <c r="K4065" s="92" t="inlineStr">
        <is>
          <t>(법인카드)</t>
        </is>
      </c>
      <c r="M4065" s="9">
        <f>IF($A4065="","",VALUE($A4065&amp;"")*12+VALUE($B4065&amp;""))</f>
        <v/>
      </c>
      <c r="N4065" s="64">
        <f>IF($A4065="","",IFERROR(INDEX(부서매핑!$C$5:$C$504,MATCH($G4065&amp;"",부서매핑!$A$5:$A$504,0)),"미매핑"))</f>
        <v/>
      </c>
      <c r="O4065" s="9">
        <f>IF($A4065="","",N4065&amp;"|"&amp;$F4065)</f>
        <v/>
      </c>
      <c r="P4065" s="94">
        <f>IF($A4065="",0,$H4065*설정!$C$23)</f>
        <v/>
      </c>
      <c r="Q4065" s="64">
        <f>IF($A4065="","",IF(O4065&lt;&gt;원인분석!$C$9,"",IF(AND(M4065&gt;=원인분석!$C$10,M4065&lt;=원인분석!$C$11),"당기",IF(AND(M4065&gt;=원인분석!$C$12,M4065&lt;=원인분석!$C$13),"비교",""))))</f>
        <v/>
      </c>
      <c r="R4065" s="9">
        <f>IF(Q4065="","",$K4065&amp;"")</f>
        <v/>
      </c>
      <c r="S4065" s="9">
        <f>IF(Q4065="","",IF(MATCH(R4065,$R$5:$R$100000,0)=ROW()-4,ROW(),""))</f>
        <v/>
      </c>
      <c r="T4065" s="9">
        <f>IF(Q4065="당기",ABS(P4065)+ROW()/1000000000,"")</f>
        <v/>
      </c>
      <c r="U4065" s="9">
        <f>IF(Q4065="비교",ABS(P4065)+ROW()/1000000000,"")</f>
        <v/>
      </c>
      <c r="V4065" s="64">
        <f>IF($A4065="","",IF(COUNTIF(변동분석!$E$7:$E$506,O4065)&gt;0,"Y","N"))</f>
        <v/>
      </c>
      <c r="W4065" s="64">
        <f>IF($A4065="","",IFERROR(INDEX(계정매핑!$D$5:$D$504,MATCH($F4065&amp;"",계정매핑!$A$5:$A$504,0)),"미매핑"))</f>
        <v/>
      </c>
      <c r="X4065" s="9">
        <f>IF($A4065="","",$F4065&amp;"")</f>
        <v/>
      </c>
      <c r="Y4065" s="94">
        <f>IF($A4065="",0,IF(AE4065="직접",IF(AF4065="비귀속",$P4065,0),$P4065*(1-AG4065)*IFERROR(INDEX(계정대체기준!$F$20:$F$49,MATCH($N4065,계정대체기준!$A$20:$A$49,0)),1)))</f>
        <v/>
      </c>
      <c r="Z4065" s="94">
        <f>IF($A4065="",0,IF(AE4065="직접",IF(AF4065="신계약비",$P4065,0),$P4065*(1-AG4065)*IFERROR(INDEX(계정대체기준!$C$20:$C$49,MATCH($N4065,계정대체기준!$A$20:$A$49,0)),0)))</f>
        <v/>
      </c>
      <c r="AA4065" s="94">
        <f>IF($A4065="",0,IF(AE4065="직접",IF(OR(AF4065="유지비",AF4065="손해조사비"),$P4065,0),$P4065*(1-AG4065)*IFERROR(INDEX(계정대체기준!$D$20:$D$49,MATCH($N4065,계정대체기준!$A$20:$A$49,0)),0)))</f>
        <v/>
      </c>
      <c r="AB4065" s="94">
        <f>IF($A4065="",0,IF(AE4065="직접",IF(AF4065="수금비",$P4065,0),$P4065*(1-AG4065)*IFERROR(INDEX(계정대체기준!$E$20:$E$49,MATCH($N4065,계정대체기준!$A$20:$A$49,0)),0)))</f>
        <v/>
      </c>
      <c r="AC4065" s="9">
        <f>IF(AND($A4065&lt;&gt;"",M4065=설정!$C$20,Z4065&gt;0),Z4065+ROW()/1000000000,"")</f>
        <v/>
      </c>
      <c r="AD4065" s="94">
        <f>IF($A4065="",0,$P4065*AG4065)</f>
        <v/>
      </c>
      <c r="AE4065" s="64">
        <f>IF($A4065="","",IFERROR(INDEX(계정매핑!$E$5:$E$504,MATCH($F4065&amp;"",계정매핑!$A$5:$A$504,0))&amp;"","공통비"))</f>
        <v/>
      </c>
      <c r="AF4065" s="64">
        <f>IF($A4065="","",IF(AE4065="직접",IFERROR(INDEX(계정매핑!$F$5:$F$504,MATCH($F4065&amp;"",계정매핑!$A$5:$A$504,0))&amp;"","비귀속"),""))</f>
        <v/>
      </c>
      <c r="AG4065" s="96">
        <f>IF($A4065="",0,IF(AND(AE4065&lt;&gt;"직접",IFERROR(INDEX(계정매핑!$G$5:$G$504,MATCH($F4065&amp;"",계정매핑!$A$5:$A$504,0))&amp;"","")="유지비",COUNTIF(계정대체기준!$A$6:$A$15,$N4065)&gt;0),IFERROR(INDEX(계정대체기준!$E$6:$E$15,MATCH(VALUE($A4065&amp;""),계정대체기준!$D$6:$D$15,0)),0),0))</f>
        <v/>
      </c>
      <c r="AH4065" s="64">
        <f>IF($A4065="","",IF(AD4065=0,"",IF(OR(COUNTIF(계정대체기준!$A$77:$A$86,$N4065)&gt;0,ISNUMBER(MATCH($X4065,계정대체기준!$D$77:$D$86,0)),ISNUMBER(MATCH($F4065,계정대체기준!$D$77:$D$86,0))),"Y","N")))</f>
        <v/>
      </c>
    </row>
    <row r="4066">
      <c r="A4066" s="92" t="n">
        <v>2026</v>
      </c>
      <c r="B4066" s="92" t="n">
        <v>6</v>
      </c>
      <c r="C4066" s="92" t="inlineStr">
        <is>
          <t>5100001344</t>
        </is>
      </c>
      <c r="D4066" s="95" t="n">
        <v>46198</v>
      </c>
      <c r="E4066" s="92" t="inlineStr">
        <is>
          <t>KR</t>
        </is>
      </c>
      <c r="F4066" s="92" t="n">
        <v>63001000</v>
      </c>
      <c r="G4066" s="92" t="n">
        <v>1951</v>
      </c>
      <c r="H4066" s="93" t="n">
        <v>3191000</v>
      </c>
      <c r="I4066" s="92" t="inlineStr">
        <is>
          <t>6월 SW 유지보수 - Z시스템</t>
        </is>
      </c>
      <c r="J4066" s="92" t="inlineStr">
        <is>
          <t>V10012</t>
        </is>
      </c>
      <c r="K4066" s="92" t="inlineStr">
        <is>
          <t>Z시스템</t>
        </is>
      </c>
      <c r="M4066" s="9">
        <f>IF($A4066="","",VALUE($A4066&amp;"")*12+VALUE($B4066&amp;""))</f>
        <v/>
      </c>
      <c r="N4066" s="64">
        <f>IF($A4066="","",IFERROR(INDEX(부서매핑!$C$5:$C$504,MATCH($G4066&amp;"",부서매핑!$A$5:$A$504,0)),"미매핑"))</f>
        <v/>
      </c>
      <c r="O4066" s="9">
        <f>IF($A4066="","",N4066&amp;"|"&amp;$F4066)</f>
        <v/>
      </c>
      <c r="P4066" s="94">
        <f>IF($A4066="",0,$H4066*설정!$C$23)</f>
        <v/>
      </c>
      <c r="Q4066" s="64">
        <f>IF($A4066="","",IF(O4066&lt;&gt;원인분석!$C$9,"",IF(AND(M4066&gt;=원인분석!$C$10,M4066&lt;=원인분석!$C$11),"당기",IF(AND(M4066&gt;=원인분석!$C$12,M4066&lt;=원인분석!$C$13),"비교",""))))</f>
        <v/>
      </c>
      <c r="R4066" s="9">
        <f>IF(Q4066="","",$K4066&amp;"")</f>
        <v/>
      </c>
      <c r="S4066" s="9">
        <f>IF(Q4066="","",IF(MATCH(R4066,$R$5:$R$100000,0)=ROW()-4,ROW(),""))</f>
        <v/>
      </c>
      <c r="T4066" s="9">
        <f>IF(Q4066="당기",ABS(P4066)+ROW()/1000000000,"")</f>
        <v/>
      </c>
      <c r="U4066" s="9">
        <f>IF(Q4066="비교",ABS(P4066)+ROW()/1000000000,"")</f>
        <v/>
      </c>
      <c r="V4066" s="64">
        <f>IF($A4066="","",IF(COUNTIF(변동분석!$E$7:$E$506,O4066)&gt;0,"Y","N"))</f>
        <v/>
      </c>
      <c r="W4066" s="64">
        <f>IF($A4066="","",IFERROR(INDEX(계정매핑!$D$5:$D$504,MATCH($F4066&amp;"",계정매핑!$A$5:$A$504,0)),"미매핑"))</f>
        <v/>
      </c>
      <c r="X4066" s="9">
        <f>IF($A4066="","",$F4066&amp;"")</f>
        <v/>
      </c>
      <c r="Y4066" s="94">
        <f>IF($A4066="",0,IF(AE4066="직접",IF(AF4066="비귀속",$P4066,0),$P4066*(1-AG4066)*IFERROR(INDEX(계정대체기준!$F$20:$F$49,MATCH($N4066,계정대체기준!$A$20:$A$49,0)),1)))</f>
        <v/>
      </c>
      <c r="Z4066" s="94">
        <f>IF($A4066="",0,IF(AE4066="직접",IF(AF4066="신계약비",$P4066,0),$P4066*(1-AG4066)*IFERROR(INDEX(계정대체기준!$C$20:$C$49,MATCH($N4066,계정대체기준!$A$20:$A$49,0)),0)))</f>
        <v/>
      </c>
      <c r="AA4066" s="94">
        <f>IF($A4066="",0,IF(AE4066="직접",IF(OR(AF4066="유지비",AF4066="손해조사비"),$P4066,0),$P4066*(1-AG4066)*IFERROR(INDEX(계정대체기준!$D$20:$D$49,MATCH($N4066,계정대체기준!$A$20:$A$49,0)),0)))</f>
        <v/>
      </c>
      <c r="AB4066" s="94">
        <f>IF($A4066="",0,IF(AE4066="직접",IF(AF4066="수금비",$P4066,0),$P4066*(1-AG4066)*IFERROR(INDEX(계정대체기준!$E$20:$E$49,MATCH($N4066,계정대체기준!$A$20:$A$49,0)),0)))</f>
        <v/>
      </c>
      <c r="AC4066" s="9">
        <f>IF(AND($A4066&lt;&gt;"",M4066=설정!$C$20,Z4066&gt;0),Z4066+ROW()/1000000000,"")</f>
        <v/>
      </c>
      <c r="AD4066" s="94">
        <f>IF($A4066="",0,$P4066*AG4066)</f>
        <v/>
      </c>
      <c r="AE4066" s="64">
        <f>IF($A4066="","",IFERROR(INDEX(계정매핑!$E$5:$E$504,MATCH($F4066&amp;"",계정매핑!$A$5:$A$504,0))&amp;"","공통비"))</f>
        <v/>
      </c>
      <c r="AF4066" s="64">
        <f>IF($A4066="","",IF(AE4066="직접",IFERROR(INDEX(계정매핑!$F$5:$F$504,MATCH($F4066&amp;"",계정매핑!$A$5:$A$504,0))&amp;"","비귀속"),""))</f>
        <v/>
      </c>
      <c r="AG4066" s="96">
        <f>IF($A4066="",0,IF(AND(AE4066&lt;&gt;"직접",IFERROR(INDEX(계정매핑!$G$5:$G$504,MATCH($F4066&amp;"",계정매핑!$A$5:$A$504,0))&amp;"","")="유지비",COUNTIF(계정대체기준!$A$6:$A$15,$N4066)&gt;0),IFERROR(INDEX(계정대체기준!$E$6:$E$15,MATCH(VALUE($A4066&amp;""),계정대체기준!$D$6:$D$15,0)),0),0))</f>
        <v/>
      </c>
      <c r="AH4066" s="64">
        <f>IF($A4066="","",IF(AD4066=0,"",IF(OR(COUNTIF(계정대체기준!$A$77:$A$86,$N4066)&gt;0,ISNUMBER(MATCH($X4066,계정대체기준!$D$77:$D$86,0)),ISNUMBER(MATCH($F4066,계정대체기준!$D$77:$D$86,0))),"Y","N")))</f>
        <v/>
      </c>
    </row>
    <row r="4067">
      <c r="A4067" s="92" t="n">
        <v>2026</v>
      </c>
      <c r="B4067" s="92" t="n">
        <v>6</v>
      </c>
      <c r="C4067" s="92" t="inlineStr">
        <is>
          <t>5100001345</t>
        </is>
      </c>
      <c r="D4067" s="95" t="n">
        <v>46198</v>
      </c>
      <c r="E4067" s="92" t="inlineStr">
        <is>
          <t>KR</t>
        </is>
      </c>
      <c r="F4067" s="92" t="n">
        <v>63002000</v>
      </c>
      <c r="G4067" s="92" t="n">
        <v>1701</v>
      </c>
      <c r="H4067" s="93" t="n">
        <v>80000000</v>
      </c>
      <c r="I4067" s="92" t="inlineStr">
        <is>
          <t>6월 클라우드 사용료 - C클라우드</t>
        </is>
      </c>
      <c r="J4067" s="92" t="inlineStr">
        <is>
          <t>V10026</t>
        </is>
      </c>
      <c r="K4067" s="92" t="inlineStr">
        <is>
          <t>C클라우드</t>
        </is>
      </c>
      <c r="M4067" s="9">
        <f>IF($A4067="","",VALUE($A4067&amp;"")*12+VALUE($B4067&amp;""))</f>
        <v/>
      </c>
      <c r="N4067" s="64">
        <f>IF($A4067="","",IFERROR(INDEX(부서매핑!$C$5:$C$504,MATCH($G4067&amp;"",부서매핑!$A$5:$A$504,0)),"미매핑"))</f>
        <v/>
      </c>
      <c r="O4067" s="9">
        <f>IF($A4067="","",N4067&amp;"|"&amp;$F4067)</f>
        <v/>
      </c>
      <c r="P4067" s="94">
        <f>IF($A4067="",0,$H4067*설정!$C$23)</f>
        <v/>
      </c>
      <c r="Q4067" s="64">
        <f>IF($A4067="","",IF(O4067&lt;&gt;원인분석!$C$9,"",IF(AND(M4067&gt;=원인분석!$C$10,M4067&lt;=원인분석!$C$11),"당기",IF(AND(M4067&gt;=원인분석!$C$12,M4067&lt;=원인분석!$C$13),"비교",""))))</f>
        <v/>
      </c>
      <c r="R4067" s="9">
        <f>IF(Q4067="","",$K4067&amp;"")</f>
        <v/>
      </c>
      <c r="S4067" s="9">
        <f>IF(Q4067="","",IF(MATCH(R4067,$R$5:$R$100000,0)=ROW()-4,ROW(),""))</f>
        <v/>
      </c>
      <c r="T4067" s="9">
        <f>IF(Q4067="당기",ABS(P4067)+ROW()/1000000000,"")</f>
        <v/>
      </c>
      <c r="U4067" s="9">
        <f>IF(Q4067="비교",ABS(P4067)+ROW()/1000000000,"")</f>
        <v/>
      </c>
      <c r="V4067" s="64">
        <f>IF($A4067="","",IF(COUNTIF(변동분석!$E$7:$E$506,O4067)&gt;0,"Y","N"))</f>
        <v/>
      </c>
      <c r="W4067" s="64">
        <f>IF($A4067="","",IFERROR(INDEX(계정매핑!$D$5:$D$504,MATCH($F4067&amp;"",계정매핑!$A$5:$A$504,0)),"미매핑"))</f>
        <v/>
      </c>
      <c r="X4067" s="9">
        <f>IF($A4067="","",$F4067&amp;"")</f>
        <v/>
      </c>
      <c r="Y4067" s="94">
        <f>IF($A4067="",0,IF(AE4067="직접",IF(AF4067="비귀속",$P4067,0),$P4067*(1-AG4067)*IFERROR(INDEX(계정대체기준!$F$20:$F$49,MATCH($N4067,계정대체기준!$A$20:$A$49,0)),1)))</f>
        <v/>
      </c>
      <c r="Z4067" s="94">
        <f>IF($A4067="",0,IF(AE4067="직접",IF(AF4067="신계약비",$P4067,0),$P4067*(1-AG4067)*IFERROR(INDEX(계정대체기준!$C$20:$C$49,MATCH($N4067,계정대체기준!$A$20:$A$49,0)),0)))</f>
        <v/>
      </c>
      <c r="AA4067" s="94">
        <f>IF($A4067="",0,IF(AE4067="직접",IF(OR(AF4067="유지비",AF4067="손해조사비"),$P4067,0),$P4067*(1-AG4067)*IFERROR(INDEX(계정대체기준!$D$20:$D$49,MATCH($N4067,계정대체기준!$A$20:$A$49,0)),0)))</f>
        <v/>
      </c>
      <c r="AB4067" s="94">
        <f>IF($A4067="",0,IF(AE4067="직접",IF(AF4067="수금비",$P4067,0),$P4067*(1-AG4067)*IFERROR(INDEX(계정대체기준!$E$20:$E$49,MATCH($N4067,계정대체기준!$A$20:$A$49,0)),0)))</f>
        <v/>
      </c>
      <c r="AC4067" s="9">
        <f>IF(AND($A4067&lt;&gt;"",M4067=설정!$C$20,Z4067&gt;0),Z4067+ROW()/1000000000,"")</f>
        <v/>
      </c>
      <c r="AD4067" s="94">
        <f>IF($A4067="",0,$P4067*AG4067)</f>
        <v/>
      </c>
      <c r="AE4067" s="64">
        <f>IF($A4067="","",IFERROR(INDEX(계정매핑!$E$5:$E$504,MATCH($F4067&amp;"",계정매핑!$A$5:$A$504,0))&amp;"","공통비"))</f>
        <v/>
      </c>
      <c r="AF4067" s="64">
        <f>IF($A4067="","",IF(AE4067="직접",IFERROR(INDEX(계정매핑!$F$5:$F$504,MATCH($F4067&amp;"",계정매핑!$A$5:$A$504,0))&amp;"","비귀속"),""))</f>
        <v/>
      </c>
      <c r="AG4067" s="96">
        <f>IF($A4067="",0,IF(AND(AE4067&lt;&gt;"직접",IFERROR(INDEX(계정매핑!$G$5:$G$504,MATCH($F4067&amp;"",계정매핑!$A$5:$A$504,0))&amp;"","")="유지비",COUNTIF(계정대체기준!$A$6:$A$15,$N4067)&gt;0),IFERROR(INDEX(계정대체기준!$E$6:$E$15,MATCH(VALUE($A4067&amp;""),계정대체기준!$D$6:$D$15,0)),0),0))</f>
        <v/>
      </c>
      <c r="AH4067" s="64">
        <f>IF($A4067="","",IF(AD4067=0,"",IF(OR(COUNTIF(계정대체기준!$A$77:$A$86,$N4067)&gt;0,ISNUMBER(MATCH($X4067,계정대체기준!$D$77:$D$86,0)),ISNUMBER(MATCH($F4067,계정대체기준!$D$77:$D$86,0))),"Y","N")))</f>
        <v/>
      </c>
    </row>
    <row r="4068">
      <c r="A4068" s="92" t="n">
        <v>2026</v>
      </c>
      <c r="B4068" s="92" t="n">
        <v>6</v>
      </c>
      <c r="C4068" s="92" t="inlineStr">
        <is>
          <t>5100001346</t>
        </is>
      </c>
      <c r="D4068" s="95" t="n">
        <v>46198</v>
      </c>
      <c r="E4068" s="92" t="inlineStr">
        <is>
          <t>KR</t>
        </is>
      </c>
      <c r="F4068" s="92" t="n">
        <v>63002000</v>
      </c>
      <c r="G4068" s="92" t="n">
        <v>1951</v>
      </c>
      <c r="H4068" s="93" t="n">
        <v>2819000</v>
      </c>
      <c r="I4068" s="92" t="inlineStr">
        <is>
          <t>6월 클라우드 사용료 - C클라우드</t>
        </is>
      </c>
      <c r="J4068" s="92" t="inlineStr">
        <is>
          <t>V10026</t>
        </is>
      </c>
      <c r="K4068" s="92" t="inlineStr">
        <is>
          <t>C클라우드</t>
        </is>
      </c>
      <c r="M4068" s="9">
        <f>IF($A4068="","",VALUE($A4068&amp;"")*12+VALUE($B4068&amp;""))</f>
        <v/>
      </c>
      <c r="N4068" s="64">
        <f>IF($A4068="","",IFERROR(INDEX(부서매핑!$C$5:$C$504,MATCH($G4068&amp;"",부서매핑!$A$5:$A$504,0)),"미매핑"))</f>
        <v/>
      </c>
      <c r="O4068" s="9">
        <f>IF($A4068="","",N4068&amp;"|"&amp;$F4068)</f>
        <v/>
      </c>
      <c r="P4068" s="94">
        <f>IF($A4068="",0,$H4068*설정!$C$23)</f>
        <v/>
      </c>
      <c r="Q4068" s="64">
        <f>IF($A4068="","",IF(O4068&lt;&gt;원인분석!$C$9,"",IF(AND(M4068&gt;=원인분석!$C$10,M4068&lt;=원인분석!$C$11),"당기",IF(AND(M4068&gt;=원인분석!$C$12,M4068&lt;=원인분석!$C$13),"비교",""))))</f>
        <v/>
      </c>
      <c r="R4068" s="9">
        <f>IF(Q4068="","",$K4068&amp;"")</f>
        <v/>
      </c>
      <c r="S4068" s="9">
        <f>IF(Q4068="","",IF(MATCH(R4068,$R$5:$R$100000,0)=ROW()-4,ROW(),""))</f>
        <v/>
      </c>
      <c r="T4068" s="9">
        <f>IF(Q4068="당기",ABS(P4068)+ROW()/1000000000,"")</f>
        <v/>
      </c>
      <c r="U4068" s="9">
        <f>IF(Q4068="비교",ABS(P4068)+ROW()/1000000000,"")</f>
        <v/>
      </c>
      <c r="V4068" s="64">
        <f>IF($A4068="","",IF(COUNTIF(변동분석!$E$7:$E$506,O4068)&gt;0,"Y","N"))</f>
        <v/>
      </c>
      <c r="W4068" s="64">
        <f>IF($A4068="","",IFERROR(INDEX(계정매핑!$D$5:$D$504,MATCH($F4068&amp;"",계정매핑!$A$5:$A$504,0)),"미매핑"))</f>
        <v/>
      </c>
      <c r="X4068" s="9">
        <f>IF($A4068="","",$F4068&amp;"")</f>
        <v/>
      </c>
      <c r="Y4068" s="94">
        <f>IF($A4068="",0,IF(AE4068="직접",IF(AF4068="비귀속",$P4068,0),$P4068*(1-AG4068)*IFERROR(INDEX(계정대체기준!$F$20:$F$49,MATCH($N4068,계정대체기준!$A$20:$A$49,0)),1)))</f>
        <v/>
      </c>
      <c r="Z4068" s="94">
        <f>IF($A4068="",0,IF(AE4068="직접",IF(AF4068="신계약비",$P4068,0),$P4068*(1-AG4068)*IFERROR(INDEX(계정대체기준!$C$20:$C$49,MATCH($N4068,계정대체기준!$A$20:$A$49,0)),0)))</f>
        <v/>
      </c>
      <c r="AA4068" s="94">
        <f>IF($A4068="",0,IF(AE4068="직접",IF(OR(AF4068="유지비",AF4068="손해조사비"),$P4068,0),$P4068*(1-AG4068)*IFERROR(INDEX(계정대체기준!$D$20:$D$49,MATCH($N4068,계정대체기준!$A$20:$A$49,0)),0)))</f>
        <v/>
      </c>
      <c r="AB4068" s="94">
        <f>IF($A4068="",0,IF(AE4068="직접",IF(AF4068="수금비",$P4068,0),$P4068*(1-AG4068)*IFERROR(INDEX(계정대체기준!$E$20:$E$49,MATCH($N4068,계정대체기준!$A$20:$A$49,0)),0)))</f>
        <v/>
      </c>
      <c r="AC4068" s="9">
        <f>IF(AND($A4068&lt;&gt;"",M4068=설정!$C$20,Z4068&gt;0),Z4068+ROW()/1000000000,"")</f>
        <v/>
      </c>
      <c r="AD4068" s="94">
        <f>IF($A4068="",0,$P4068*AG4068)</f>
        <v/>
      </c>
      <c r="AE4068" s="64">
        <f>IF($A4068="","",IFERROR(INDEX(계정매핑!$E$5:$E$504,MATCH($F4068&amp;"",계정매핑!$A$5:$A$504,0))&amp;"","공통비"))</f>
        <v/>
      </c>
      <c r="AF4068" s="64">
        <f>IF($A4068="","",IF(AE4068="직접",IFERROR(INDEX(계정매핑!$F$5:$F$504,MATCH($F4068&amp;"",계정매핑!$A$5:$A$504,0))&amp;"","비귀속"),""))</f>
        <v/>
      </c>
      <c r="AG4068" s="96">
        <f>IF($A4068="",0,IF(AND(AE4068&lt;&gt;"직접",IFERROR(INDEX(계정매핑!$G$5:$G$504,MATCH($F4068&amp;"",계정매핑!$A$5:$A$504,0))&amp;"","")="유지비",COUNTIF(계정대체기준!$A$6:$A$15,$N4068)&gt;0),IFERROR(INDEX(계정대체기준!$E$6:$E$15,MATCH(VALUE($A4068&amp;""),계정대체기준!$D$6:$D$15,0)),0),0))</f>
        <v/>
      </c>
      <c r="AH4068" s="64">
        <f>IF($A4068="","",IF(AD4068=0,"",IF(OR(COUNTIF(계정대체기준!$A$77:$A$86,$N4068)&gt;0,ISNUMBER(MATCH($X4068,계정대체기준!$D$77:$D$86,0)),ISNUMBER(MATCH($F4068,계정대체기준!$D$77:$D$86,0))),"Y","N")))</f>
        <v/>
      </c>
    </row>
    <row r="4069">
      <c r="A4069" s="92" t="n">
        <v>2026</v>
      </c>
      <c r="B4069" s="92" t="n">
        <v>6</v>
      </c>
      <c r="C4069" s="92" t="inlineStr">
        <is>
          <t>5100001347</t>
        </is>
      </c>
      <c r="D4069" s="95" t="n">
        <v>46199</v>
      </c>
      <c r="E4069" s="92" t="inlineStr">
        <is>
          <t>KR</t>
        </is>
      </c>
      <c r="F4069" s="92" t="n">
        <v>62101000</v>
      </c>
      <c r="G4069" s="92" t="n">
        <v>1201</v>
      </c>
      <c r="H4069" s="93" t="n">
        <v>321000</v>
      </c>
      <c r="I4069" s="92" t="inlineStr">
        <is>
          <t>6월 국내출장 - L여행사</t>
        </is>
      </c>
      <c r="J4069" s="92" t="inlineStr">
        <is>
          <t>V10018</t>
        </is>
      </c>
      <c r="K4069" s="92" t="inlineStr">
        <is>
          <t>L여행사</t>
        </is>
      </c>
      <c r="M4069" s="9">
        <f>IF($A4069="","",VALUE($A4069&amp;"")*12+VALUE($B4069&amp;""))</f>
        <v/>
      </c>
      <c r="N4069" s="64">
        <f>IF($A4069="","",IFERROR(INDEX(부서매핑!$C$5:$C$504,MATCH($G4069&amp;"",부서매핑!$A$5:$A$504,0)),"미매핑"))</f>
        <v/>
      </c>
      <c r="O4069" s="9">
        <f>IF($A4069="","",N4069&amp;"|"&amp;$F4069)</f>
        <v/>
      </c>
      <c r="P4069" s="94">
        <f>IF($A4069="",0,$H4069*설정!$C$23)</f>
        <v/>
      </c>
      <c r="Q4069" s="64">
        <f>IF($A4069="","",IF(O4069&lt;&gt;원인분석!$C$9,"",IF(AND(M4069&gt;=원인분석!$C$10,M4069&lt;=원인분석!$C$11),"당기",IF(AND(M4069&gt;=원인분석!$C$12,M4069&lt;=원인분석!$C$13),"비교",""))))</f>
        <v/>
      </c>
      <c r="R4069" s="9">
        <f>IF(Q4069="","",$K4069&amp;"")</f>
        <v/>
      </c>
      <c r="S4069" s="9">
        <f>IF(Q4069="","",IF(MATCH(R4069,$R$5:$R$100000,0)=ROW()-4,ROW(),""))</f>
        <v/>
      </c>
      <c r="T4069" s="9">
        <f>IF(Q4069="당기",ABS(P4069)+ROW()/1000000000,"")</f>
        <v/>
      </c>
      <c r="U4069" s="9">
        <f>IF(Q4069="비교",ABS(P4069)+ROW()/1000000000,"")</f>
        <v/>
      </c>
      <c r="V4069" s="64">
        <f>IF($A4069="","",IF(COUNTIF(변동분석!$E$7:$E$506,O4069)&gt;0,"Y","N"))</f>
        <v/>
      </c>
      <c r="W4069" s="64">
        <f>IF($A4069="","",IFERROR(INDEX(계정매핑!$D$5:$D$504,MATCH($F4069&amp;"",계정매핑!$A$5:$A$504,0)),"미매핑"))</f>
        <v/>
      </c>
      <c r="X4069" s="9">
        <f>IF($A4069="","",$F4069&amp;"")</f>
        <v/>
      </c>
      <c r="Y4069" s="94">
        <f>IF($A4069="",0,IF(AE4069="직접",IF(AF4069="비귀속",$P4069,0),$P4069*(1-AG4069)*IFERROR(INDEX(계정대체기준!$F$20:$F$49,MATCH($N4069,계정대체기준!$A$20:$A$49,0)),1)))</f>
        <v/>
      </c>
      <c r="Z4069" s="94">
        <f>IF($A4069="",0,IF(AE4069="직접",IF(AF4069="신계약비",$P4069,0),$P4069*(1-AG4069)*IFERROR(INDEX(계정대체기준!$C$20:$C$49,MATCH($N4069,계정대체기준!$A$20:$A$49,0)),0)))</f>
        <v/>
      </c>
      <c r="AA4069" s="94">
        <f>IF($A4069="",0,IF(AE4069="직접",IF(OR(AF4069="유지비",AF4069="손해조사비"),$P4069,0),$P4069*(1-AG4069)*IFERROR(INDEX(계정대체기준!$D$20:$D$49,MATCH($N4069,계정대체기준!$A$20:$A$49,0)),0)))</f>
        <v/>
      </c>
      <c r="AB4069" s="94">
        <f>IF($A4069="",0,IF(AE4069="직접",IF(AF4069="수금비",$P4069,0),$P4069*(1-AG4069)*IFERROR(INDEX(계정대체기준!$E$20:$E$49,MATCH($N4069,계정대체기준!$A$20:$A$49,0)),0)))</f>
        <v/>
      </c>
      <c r="AC4069" s="9">
        <f>IF(AND($A4069&lt;&gt;"",M4069=설정!$C$20,Z4069&gt;0),Z4069+ROW()/1000000000,"")</f>
        <v/>
      </c>
      <c r="AD4069" s="94">
        <f>IF($A4069="",0,$P4069*AG4069)</f>
        <v/>
      </c>
      <c r="AE4069" s="64">
        <f>IF($A4069="","",IFERROR(INDEX(계정매핑!$E$5:$E$504,MATCH($F4069&amp;"",계정매핑!$A$5:$A$504,0))&amp;"","공통비"))</f>
        <v/>
      </c>
      <c r="AF4069" s="64">
        <f>IF($A4069="","",IF(AE4069="직접",IFERROR(INDEX(계정매핑!$F$5:$F$504,MATCH($F4069&amp;"",계정매핑!$A$5:$A$504,0))&amp;"","비귀속"),""))</f>
        <v/>
      </c>
      <c r="AG4069" s="96">
        <f>IF($A4069="",0,IF(AND(AE4069&lt;&gt;"직접",IFERROR(INDEX(계정매핑!$G$5:$G$504,MATCH($F4069&amp;"",계정매핑!$A$5:$A$504,0))&amp;"","")="유지비",COUNTIF(계정대체기준!$A$6:$A$15,$N4069)&gt;0),IFERROR(INDEX(계정대체기준!$E$6:$E$15,MATCH(VALUE($A4069&amp;""),계정대체기준!$D$6:$D$15,0)),0),0))</f>
        <v/>
      </c>
      <c r="AH4069" s="64">
        <f>IF($A4069="","",IF(AD4069=0,"",IF(OR(COUNTIF(계정대체기준!$A$77:$A$86,$N4069)&gt;0,ISNUMBER(MATCH($X4069,계정대체기준!$D$77:$D$86,0)),ISNUMBER(MATCH($F4069,계정대체기준!$D$77:$D$86,0))),"Y","N")))</f>
        <v/>
      </c>
    </row>
    <row r="4070">
      <c r="A4070" s="92" t="n">
        <v>2026</v>
      </c>
      <c r="B4070" s="92" t="n">
        <v>6</v>
      </c>
      <c r="C4070" s="92" t="inlineStr">
        <is>
          <t>5100001348</t>
        </is>
      </c>
      <c r="D4070" s="95" t="n">
        <v>46199</v>
      </c>
      <c r="E4070" s="92" t="inlineStr">
        <is>
          <t>KR</t>
        </is>
      </c>
      <c r="F4070" s="92" t="n">
        <v>62101000</v>
      </c>
      <c r="G4070" s="92" t="n">
        <v>1201</v>
      </c>
      <c r="H4070" s="93" t="n">
        <v>417000</v>
      </c>
      <c r="I4070" s="92" t="inlineStr">
        <is>
          <t>6월 국내출장 - (법인카드)</t>
        </is>
      </c>
      <c r="J4070" s="92" t="inlineStr">
        <is>
          <t>V10010</t>
        </is>
      </c>
      <c r="K4070" s="92" t="inlineStr">
        <is>
          <t>(법인카드)</t>
        </is>
      </c>
      <c r="M4070" s="9">
        <f>IF($A4070="","",VALUE($A4070&amp;"")*12+VALUE($B4070&amp;""))</f>
        <v/>
      </c>
      <c r="N4070" s="64">
        <f>IF($A4070="","",IFERROR(INDEX(부서매핑!$C$5:$C$504,MATCH($G4070&amp;"",부서매핑!$A$5:$A$504,0)),"미매핑"))</f>
        <v/>
      </c>
      <c r="O4070" s="9">
        <f>IF($A4070="","",N4070&amp;"|"&amp;$F4070)</f>
        <v/>
      </c>
      <c r="P4070" s="94">
        <f>IF($A4070="",0,$H4070*설정!$C$23)</f>
        <v/>
      </c>
      <c r="Q4070" s="64">
        <f>IF($A4070="","",IF(O4070&lt;&gt;원인분석!$C$9,"",IF(AND(M4070&gt;=원인분석!$C$10,M4070&lt;=원인분석!$C$11),"당기",IF(AND(M4070&gt;=원인분석!$C$12,M4070&lt;=원인분석!$C$13),"비교",""))))</f>
        <v/>
      </c>
      <c r="R4070" s="9">
        <f>IF(Q4070="","",$K4070&amp;"")</f>
        <v/>
      </c>
      <c r="S4070" s="9">
        <f>IF(Q4070="","",IF(MATCH(R4070,$R$5:$R$100000,0)=ROW()-4,ROW(),""))</f>
        <v/>
      </c>
      <c r="T4070" s="9">
        <f>IF(Q4070="당기",ABS(P4070)+ROW()/1000000000,"")</f>
        <v/>
      </c>
      <c r="U4070" s="9">
        <f>IF(Q4070="비교",ABS(P4070)+ROW()/1000000000,"")</f>
        <v/>
      </c>
      <c r="V4070" s="64">
        <f>IF($A4070="","",IF(COUNTIF(변동분석!$E$7:$E$506,O4070)&gt;0,"Y","N"))</f>
        <v/>
      </c>
      <c r="W4070" s="64">
        <f>IF($A4070="","",IFERROR(INDEX(계정매핑!$D$5:$D$504,MATCH($F4070&amp;"",계정매핑!$A$5:$A$504,0)),"미매핑"))</f>
        <v/>
      </c>
      <c r="X4070" s="9">
        <f>IF($A4070="","",$F4070&amp;"")</f>
        <v/>
      </c>
      <c r="Y4070" s="94">
        <f>IF($A4070="",0,IF(AE4070="직접",IF(AF4070="비귀속",$P4070,0),$P4070*(1-AG4070)*IFERROR(INDEX(계정대체기준!$F$20:$F$49,MATCH($N4070,계정대체기준!$A$20:$A$49,0)),1)))</f>
        <v/>
      </c>
      <c r="Z4070" s="94">
        <f>IF($A4070="",0,IF(AE4070="직접",IF(AF4070="신계약비",$P4070,0),$P4070*(1-AG4070)*IFERROR(INDEX(계정대체기준!$C$20:$C$49,MATCH($N4070,계정대체기준!$A$20:$A$49,0)),0)))</f>
        <v/>
      </c>
      <c r="AA4070" s="94">
        <f>IF($A4070="",0,IF(AE4070="직접",IF(OR(AF4070="유지비",AF4070="손해조사비"),$P4070,0),$P4070*(1-AG4070)*IFERROR(INDEX(계정대체기준!$D$20:$D$49,MATCH($N4070,계정대체기준!$A$20:$A$49,0)),0)))</f>
        <v/>
      </c>
      <c r="AB4070" s="94">
        <f>IF($A4070="",0,IF(AE4070="직접",IF(AF4070="수금비",$P4070,0),$P4070*(1-AG4070)*IFERROR(INDEX(계정대체기준!$E$20:$E$49,MATCH($N4070,계정대체기준!$A$20:$A$49,0)),0)))</f>
        <v/>
      </c>
      <c r="AC4070" s="9">
        <f>IF(AND($A4070&lt;&gt;"",M4070=설정!$C$20,Z4070&gt;0),Z4070+ROW()/1000000000,"")</f>
        <v/>
      </c>
      <c r="AD4070" s="94">
        <f>IF($A4070="",0,$P4070*AG4070)</f>
        <v/>
      </c>
      <c r="AE4070" s="64">
        <f>IF($A4070="","",IFERROR(INDEX(계정매핑!$E$5:$E$504,MATCH($F4070&amp;"",계정매핑!$A$5:$A$504,0))&amp;"","공통비"))</f>
        <v/>
      </c>
      <c r="AF4070" s="64">
        <f>IF($A4070="","",IF(AE4070="직접",IFERROR(INDEX(계정매핑!$F$5:$F$504,MATCH($F4070&amp;"",계정매핑!$A$5:$A$504,0))&amp;"","비귀속"),""))</f>
        <v/>
      </c>
      <c r="AG4070" s="96">
        <f>IF($A4070="",0,IF(AND(AE4070&lt;&gt;"직접",IFERROR(INDEX(계정매핑!$G$5:$G$504,MATCH($F4070&amp;"",계정매핑!$A$5:$A$504,0))&amp;"","")="유지비",COUNTIF(계정대체기준!$A$6:$A$15,$N4070)&gt;0),IFERROR(INDEX(계정대체기준!$E$6:$E$15,MATCH(VALUE($A4070&amp;""),계정대체기준!$D$6:$D$15,0)),0),0))</f>
        <v/>
      </c>
      <c r="AH4070" s="64">
        <f>IF($A4070="","",IF(AD4070=0,"",IF(OR(COUNTIF(계정대체기준!$A$77:$A$86,$N4070)&gt;0,ISNUMBER(MATCH($X4070,계정대체기준!$D$77:$D$86,0)),ISNUMBER(MATCH($F4070,계정대체기준!$D$77:$D$86,0))),"Y","N")))</f>
        <v/>
      </c>
    </row>
    <row r="4071">
      <c r="A4071" s="92" t="n">
        <v>2026</v>
      </c>
      <c r="B4071" s="92" t="n">
        <v>6</v>
      </c>
      <c r="C4071" s="92" t="inlineStr">
        <is>
          <t>5100001349</t>
        </is>
      </c>
      <c r="D4071" s="95" t="n">
        <v>46199</v>
      </c>
      <c r="E4071" s="92" t="inlineStr">
        <is>
          <t>KR</t>
        </is>
      </c>
      <c r="F4071" s="92" t="n">
        <v>62101000</v>
      </c>
      <c r="G4071" s="92" t="n">
        <v>1401</v>
      </c>
      <c r="H4071" s="93" t="n">
        <v>465000</v>
      </c>
      <c r="I4071" s="92" t="inlineStr">
        <is>
          <t>6월 국내출장 - L여행사</t>
        </is>
      </c>
      <c r="J4071" s="92" t="inlineStr">
        <is>
          <t>V10018</t>
        </is>
      </c>
      <c r="K4071" s="92" t="inlineStr">
        <is>
          <t>L여행사</t>
        </is>
      </c>
      <c r="M4071" s="9">
        <f>IF($A4071="","",VALUE($A4071&amp;"")*12+VALUE($B4071&amp;""))</f>
        <v/>
      </c>
      <c r="N4071" s="64">
        <f>IF($A4071="","",IFERROR(INDEX(부서매핑!$C$5:$C$504,MATCH($G4071&amp;"",부서매핑!$A$5:$A$504,0)),"미매핑"))</f>
        <v/>
      </c>
      <c r="O4071" s="9">
        <f>IF($A4071="","",N4071&amp;"|"&amp;$F4071)</f>
        <v/>
      </c>
      <c r="P4071" s="94">
        <f>IF($A4071="",0,$H4071*설정!$C$23)</f>
        <v/>
      </c>
      <c r="Q4071" s="64">
        <f>IF($A4071="","",IF(O4071&lt;&gt;원인분석!$C$9,"",IF(AND(M4071&gt;=원인분석!$C$10,M4071&lt;=원인분석!$C$11),"당기",IF(AND(M4071&gt;=원인분석!$C$12,M4071&lt;=원인분석!$C$13),"비교",""))))</f>
        <v/>
      </c>
      <c r="R4071" s="9">
        <f>IF(Q4071="","",$K4071&amp;"")</f>
        <v/>
      </c>
      <c r="S4071" s="9">
        <f>IF(Q4071="","",IF(MATCH(R4071,$R$5:$R$100000,0)=ROW()-4,ROW(),""))</f>
        <v/>
      </c>
      <c r="T4071" s="9">
        <f>IF(Q4071="당기",ABS(P4071)+ROW()/1000000000,"")</f>
        <v/>
      </c>
      <c r="U4071" s="9">
        <f>IF(Q4071="비교",ABS(P4071)+ROW()/1000000000,"")</f>
        <v/>
      </c>
      <c r="V4071" s="64">
        <f>IF($A4071="","",IF(COUNTIF(변동분석!$E$7:$E$506,O4071)&gt;0,"Y","N"))</f>
        <v/>
      </c>
      <c r="W4071" s="64">
        <f>IF($A4071="","",IFERROR(INDEX(계정매핑!$D$5:$D$504,MATCH($F4071&amp;"",계정매핑!$A$5:$A$504,0)),"미매핑"))</f>
        <v/>
      </c>
      <c r="X4071" s="9">
        <f>IF($A4071="","",$F4071&amp;"")</f>
        <v/>
      </c>
      <c r="Y4071" s="94">
        <f>IF($A4071="",0,IF(AE4071="직접",IF(AF4071="비귀속",$P4071,0),$P4071*(1-AG4071)*IFERROR(INDEX(계정대체기준!$F$20:$F$49,MATCH($N4071,계정대체기준!$A$20:$A$49,0)),1)))</f>
        <v/>
      </c>
      <c r="Z4071" s="94">
        <f>IF($A4071="",0,IF(AE4071="직접",IF(AF4071="신계약비",$P4071,0),$P4071*(1-AG4071)*IFERROR(INDEX(계정대체기준!$C$20:$C$49,MATCH($N4071,계정대체기준!$A$20:$A$49,0)),0)))</f>
        <v/>
      </c>
      <c r="AA4071" s="94">
        <f>IF($A4071="",0,IF(AE4071="직접",IF(OR(AF4071="유지비",AF4071="손해조사비"),$P4071,0),$P4071*(1-AG4071)*IFERROR(INDEX(계정대체기준!$D$20:$D$49,MATCH($N4071,계정대체기준!$A$20:$A$49,0)),0)))</f>
        <v/>
      </c>
      <c r="AB4071" s="94">
        <f>IF($A4071="",0,IF(AE4071="직접",IF(AF4071="수금비",$P4071,0),$P4071*(1-AG4071)*IFERROR(INDEX(계정대체기준!$E$20:$E$49,MATCH($N4071,계정대체기준!$A$20:$A$49,0)),0)))</f>
        <v/>
      </c>
      <c r="AC4071" s="9">
        <f>IF(AND($A4071&lt;&gt;"",M4071=설정!$C$20,Z4071&gt;0),Z4071+ROW()/1000000000,"")</f>
        <v/>
      </c>
      <c r="AD4071" s="94">
        <f>IF($A4071="",0,$P4071*AG4071)</f>
        <v/>
      </c>
      <c r="AE4071" s="64">
        <f>IF($A4071="","",IFERROR(INDEX(계정매핑!$E$5:$E$504,MATCH($F4071&amp;"",계정매핑!$A$5:$A$504,0))&amp;"","공통비"))</f>
        <v/>
      </c>
      <c r="AF4071" s="64">
        <f>IF($A4071="","",IF(AE4071="직접",IFERROR(INDEX(계정매핑!$F$5:$F$504,MATCH($F4071&amp;"",계정매핑!$A$5:$A$504,0))&amp;"","비귀속"),""))</f>
        <v/>
      </c>
      <c r="AG4071" s="96">
        <f>IF($A4071="",0,IF(AND(AE4071&lt;&gt;"직접",IFERROR(INDEX(계정매핑!$G$5:$G$504,MATCH($F4071&amp;"",계정매핑!$A$5:$A$504,0))&amp;"","")="유지비",COUNTIF(계정대체기준!$A$6:$A$15,$N4071)&gt;0),IFERROR(INDEX(계정대체기준!$E$6:$E$15,MATCH(VALUE($A4071&amp;""),계정대체기준!$D$6:$D$15,0)),0),0))</f>
        <v/>
      </c>
      <c r="AH4071" s="64">
        <f>IF($A4071="","",IF(AD4071=0,"",IF(OR(COUNTIF(계정대체기준!$A$77:$A$86,$N4071)&gt;0,ISNUMBER(MATCH($X4071,계정대체기준!$D$77:$D$86,0)),ISNUMBER(MATCH($F4071,계정대체기준!$D$77:$D$86,0))),"Y","N")))</f>
        <v/>
      </c>
    </row>
    <row r="4072">
      <c r="A4072" s="92" t="n">
        <v>2026</v>
      </c>
      <c r="B4072" s="92" t="n">
        <v>6</v>
      </c>
      <c r="C4072" s="92" t="inlineStr">
        <is>
          <t>5100001350</t>
        </is>
      </c>
      <c r="D4072" s="95" t="n">
        <v>46199</v>
      </c>
      <c r="E4072" s="92" t="inlineStr">
        <is>
          <t>KR</t>
        </is>
      </c>
      <c r="F4072" s="92" t="n">
        <v>62101000</v>
      </c>
      <c r="G4072" s="92" t="n">
        <v>1501</v>
      </c>
      <c r="H4072" s="93" t="n">
        <v>477000</v>
      </c>
      <c r="I4072" s="92" t="inlineStr">
        <is>
          <t>6월 국내출장 - (법인카드)</t>
        </is>
      </c>
      <c r="J4072" s="92" t="inlineStr">
        <is>
          <t>V10010</t>
        </is>
      </c>
      <c r="K4072" s="92" t="inlineStr">
        <is>
          <t>(법인카드)</t>
        </is>
      </c>
      <c r="M4072" s="9">
        <f>IF($A4072="","",VALUE($A4072&amp;"")*12+VALUE($B4072&amp;""))</f>
        <v/>
      </c>
      <c r="N4072" s="64">
        <f>IF($A4072="","",IFERROR(INDEX(부서매핑!$C$5:$C$504,MATCH($G4072&amp;"",부서매핑!$A$5:$A$504,0)),"미매핑"))</f>
        <v/>
      </c>
      <c r="O4072" s="9">
        <f>IF($A4072="","",N4072&amp;"|"&amp;$F4072)</f>
        <v/>
      </c>
      <c r="P4072" s="94">
        <f>IF($A4072="",0,$H4072*설정!$C$23)</f>
        <v/>
      </c>
      <c r="Q4072" s="64">
        <f>IF($A4072="","",IF(O4072&lt;&gt;원인분석!$C$9,"",IF(AND(M4072&gt;=원인분석!$C$10,M4072&lt;=원인분석!$C$11),"당기",IF(AND(M4072&gt;=원인분석!$C$12,M4072&lt;=원인분석!$C$13),"비교",""))))</f>
        <v/>
      </c>
      <c r="R4072" s="9">
        <f>IF(Q4072="","",$K4072&amp;"")</f>
        <v/>
      </c>
      <c r="S4072" s="9">
        <f>IF(Q4072="","",IF(MATCH(R4072,$R$5:$R$100000,0)=ROW()-4,ROW(),""))</f>
        <v/>
      </c>
      <c r="T4072" s="9">
        <f>IF(Q4072="당기",ABS(P4072)+ROW()/1000000000,"")</f>
        <v/>
      </c>
      <c r="U4072" s="9">
        <f>IF(Q4072="비교",ABS(P4072)+ROW()/1000000000,"")</f>
        <v/>
      </c>
      <c r="V4072" s="64">
        <f>IF($A4072="","",IF(COUNTIF(변동분석!$E$7:$E$506,O4072)&gt;0,"Y","N"))</f>
        <v/>
      </c>
      <c r="W4072" s="64">
        <f>IF($A4072="","",IFERROR(INDEX(계정매핑!$D$5:$D$504,MATCH($F4072&amp;"",계정매핑!$A$5:$A$504,0)),"미매핑"))</f>
        <v/>
      </c>
      <c r="X4072" s="9">
        <f>IF($A4072="","",$F4072&amp;"")</f>
        <v/>
      </c>
      <c r="Y4072" s="94">
        <f>IF($A4072="",0,IF(AE4072="직접",IF(AF4072="비귀속",$P4072,0),$P4072*(1-AG4072)*IFERROR(INDEX(계정대체기준!$F$20:$F$49,MATCH($N4072,계정대체기준!$A$20:$A$49,0)),1)))</f>
        <v/>
      </c>
      <c r="Z4072" s="94">
        <f>IF($A4072="",0,IF(AE4072="직접",IF(AF4072="신계약비",$P4072,0),$P4072*(1-AG4072)*IFERROR(INDEX(계정대체기준!$C$20:$C$49,MATCH($N4072,계정대체기준!$A$20:$A$49,0)),0)))</f>
        <v/>
      </c>
      <c r="AA4072" s="94">
        <f>IF($A4072="",0,IF(AE4072="직접",IF(OR(AF4072="유지비",AF4072="손해조사비"),$P4072,0),$P4072*(1-AG4072)*IFERROR(INDEX(계정대체기준!$D$20:$D$49,MATCH($N4072,계정대체기준!$A$20:$A$49,0)),0)))</f>
        <v/>
      </c>
      <c r="AB4072" s="94">
        <f>IF($A4072="",0,IF(AE4072="직접",IF(AF4072="수금비",$P4072,0),$P4072*(1-AG4072)*IFERROR(INDEX(계정대체기준!$E$20:$E$49,MATCH($N4072,계정대체기준!$A$20:$A$49,0)),0)))</f>
        <v/>
      </c>
      <c r="AC4072" s="9">
        <f>IF(AND($A4072&lt;&gt;"",M4072=설정!$C$20,Z4072&gt;0),Z4072+ROW()/1000000000,"")</f>
        <v/>
      </c>
      <c r="AD4072" s="94">
        <f>IF($A4072="",0,$P4072*AG4072)</f>
        <v/>
      </c>
      <c r="AE4072" s="64">
        <f>IF($A4072="","",IFERROR(INDEX(계정매핑!$E$5:$E$504,MATCH($F4072&amp;"",계정매핑!$A$5:$A$504,0))&amp;"","공통비"))</f>
        <v/>
      </c>
      <c r="AF4072" s="64">
        <f>IF($A4072="","",IF(AE4072="직접",IFERROR(INDEX(계정매핑!$F$5:$F$504,MATCH($F4072&amp;"",계정매핑!$A$5:$A$504,0))&amp;"","비귀속"),""))</f>
        <v/>
      </c>
      <c r="AG4072" s="96">
        <f>IF($A4072="",0,IF(AND(AE4072&lt;&gt;"직접",IFERROR(INDEX(계정매핑!$G$5:$G$504,MATCH($F4072&amp;"",계정매핑!$A$5:$A$504,0))&amp;"","")="유지비",COUNTIF(계정대체기준!$A$6:$A$15,$N4072)&gt;0),IFERROR(INDEX(계정대체기준!$E$6:$E$15,MATCH(VALUE($A4072&amp;""),계정대체기준!$D$6:$D$15,0)),0),0))</f>
        <v/>
      </c>
      <c r="AH4072" s="64">
        <f>IF($A4072="","",IF(AD4072=0,"",IF(OR(COUNTIF(계정대체기준!$A$77:$A$86,$N4072)&gt;0,ISNUMBER(MATCH($X4072,계정대체기준!$D$77:$D$86,0)),ISNUMBER(MATCH($F4072,계정대체기준!$D$77:$D$86,0))),"Y","N")))</f>
        <v/>
      </c>
    </row>
    <row r="4073">
      <c r="A4073" s="92" t="n">
        <v>2026</v>
      </c>
      <c r="B4073" s="92" t="n">
        <v>6</v>
      </c>
      <c r="C4073" s="92" t="inlineStr">
        <is>
          <t>5100001351</t>
        </is>
      </c>
      <c r="D4073" s="95" t="n">
        <v>46199</v>
      </c>
      <c r="E4073" s="92" t="inlineStr">
        <is>
          <t>KR</t>
        </is>
      </c>
      <c r="F4073" s="92" t="n">
        <v>62102000</v>
      </c>
      <c r="G4073" s="92" t="n">
        <v>1602</v>
      </c>
      <c r="H4073" s="93" t="n">
        <v>575000</v>
      </c>
      <c r="I4073" s="92" t="inlineStr">
        <is>
          <t>6월 해외출장 - M항공</t>
        </is>
      </c>
      <c r="J4073" s="92" t="inlineStr">
        <is>
          <t>V10001</t>
        </is>
      </c>
      <c r="K4073" s="92" t="inlineStr">
        <is>
          <t>M항공</t>
        </is>
      </c>
      <c r="M4073" s="9">
        <f>IF($A4073="","",VALUE($A4073&amp;"")*12+VALUE($B4073&amp;""))</f>
        <v/>
      </c>
      <c r="N4073" s="64">
        <f>IF($A4073="","",IFERROR(INDEX(부서매핑!$C$5:$C$504,MATCH($G4073&amp;"",부서매핑!$A$5:$A$504,0)),"미매핑"))</f>
        <v/>
      </c>
      <c r="O4073" s="9">
        <f>IF($A4073="","",N4073&amp;"|"&amp;$F4073)</f>
        <v/>
      </c>
      <c r="P4073" s="94">
        <f>IF($A4073="",0,$H4073*설정!$C$23)</f>
        <v/>
      </c>
      <c r="Q4073" s="64">
        <f>IF($A4073="","",IF(O4073&lt;&gt;원인분석!$C$9,"",IF(AND(M4073&gt;=원인분석!$C$10,M4073&lt;=원인분석!$C$11),"당기",IF(AND(M4073&gt;=원인분석!$C$12,M4073&lt;=원인분석!$C$13),"비교",""))))</f>
        <v/>
      </c>
      <c r="R4073" s="9">
        <f>IF(Q4073="","",$K4073&amp;"")</f>
        <v/>
      </c>
      <c r="S4073" s="9">
        <f>IF(Q4073="","",IF(MATCH(R4073,$R$5:$R$100000,0)=ROW()-4,ROW(),""))</f>
        <v/>
      </c>
      <c r="T4073" s="9">
        <f>IF(Q4073="당기",ABS(P4073)+ROW()/1000000000,"")</f>
        <v/>
      </c>
      <c r="U4073" s="9">
        <f>IF(Q4073="비교",ABS(P4073)+ROW()/1000000000,"")</f>
        <v/>
      </c>
      <c r="V4073" s="64">
        <f>IF($A4073="","",IF(COUNTIF(변동분석!$E$7:$E$506,O4073)&gt;0,"Y","N"))</f>
        <v/>
      </c>
      <c r="W4073" s="64">
        <f>IF($A4073="","",IFERROR(INDEX(계정매핑!$D$5:$D$504,MATCH($F4073&amp;"",계정매핑!$A$5:$A$504,0)),"미매핑"))</f>
        <v/>
      </c>
      <c r="X4073" s="9">
        <f>IF($A4073="","",$F4073&amp;"")</f>
        <v/>
      </c>
      <c r="Y4073" s="94">
        <f>IF($A4073="",0,IF(AE4073="직접",IF(AF4073="비귀속",$P4073,0),$P4073*(1-AG4073)*IFERROR(INDEX(계정대체기준!$F$20:$F$49,MATCH($N4073,계정대체기준!$A$20:$A$49,0)),1)))</f>
        <v/>
      </c>
      <c r="Z4073" s="94">
        <f>IF($A4073="",0,IF(AE4073="직접",IF(AF4073="신계약비",$P4073,0),$P4073*(1-AG4073)*IFERROR(INDEX(계정대체기준!$C$20:$C$49,MATCH($N4073,계정대체기준!$A$20:$A$49,0)),0)))</f>
        <v/>
      </c>
      <c r="AA4073" s="94">
        <f>IF($A4073="",0,IF(AE4073="직접",IF(OR(AF4073="유지비",AF4073="손해조사비"),$P4073,0),$P4073*(1-AG4073)*IFERROR(INDEX(계정대체기준!$D$20:$D$49,MATCH($N4073,계정대체기준!$A$20:$A$49,0)),0)))</f>
        <v/>
      </c>
      <c r="AB4073" s="94">
        <f>IF($A4073="",0,IF(AE4073="직접",IF(AF4073="수금비",$P4073,0),$P4073*(1-AG4073)*IFERROR(INDEX(계정대체기준!$E$20:$E$49,MATCH($N4073,계정대체기준!$A$20:$A$49,0)),0)))</f>
        <v/>
      </c>
      <c r="AC4073" s="9">
        <f>IF(AND($A4073&lt;&gt;"",M4073=설정!$C$20,Z4073&gt;0),Z4073+ROW()/1000000000,"")</f>
        <v/>
      </c>
      <c r="AD4073" s="94">
        <f>IF($A4073="",0,$P4073*AG4073)</f>
        <v/>
      </c>
      <c r="AE4073" s="64">
        <f>IF($A4073="","",IFERROR(INDEX(계정매핑!$E$5:$E$504,MATCH($F4073&amp;"",계정매핑!$A$5:$A$504,0))&amp;"","공통비"))</f>
        <v/>
      </c>
      <c r="AF4073" s="64">
        <f>IF($A4073="","",IF(AE4073="직접",IFERROR(INDEX(계정매핑!$F$5:$F$504,MATCH($F4073&amp;"",계정매핑!$A$5:$A$504,0))&amp;"","비귀속"),""))</f>
        <v/>
      </c>
      <c r="AG4073" s="96">
        <f>IF($A4073="",0,IF(AND(AE4073&lt;&gt;"직접",IFERROR(INDEX(계정매핑!$G$5:$G$504,MATCH($F4073&amp;"",계정매핑!$A$5:$A$504,0))&amp;"","")="유지비",COUNTIF(계정대체기준!$A$6:$A$15,$N4073)&gt;0),IFERROR(INDEX(계정대체기준!$E$6:$E$15,MATCH(VALUE($A4073&amp;""),계정대체기준!$D$6:$D$15,0)),0),0))</f>
        <v/>
      </c>
      <c r="AH4073" s="64">
        <f>IF($A4073="","",IF(AD4073=0,"",IF(OR(COUNTIF(계정대체기준!$A$77:$A$86,$N4073)&gt;0,ISNUMBER(MATCH($X4073,계정대체기준!$D$77:$D$86,0)),ISNUMBER(MATCH($F4073,계정대체기준!$D$77:$D$86,0))),"Y","N")))</f>
        <v/>
      </c>
    </row>
    <row r="4074">
      <c r="A4074" s="92" t="n">
        <v>2026</v>
      </c>
      <c r="B4074" s="92" t="n">
        <v>6</v>
      </c>
      <c r="C4074" s="92" t="inlineStr">
        <is>
          <t>5100001352</t>
        </is>
      </c>
      <c r="D4074" s="95" t="n">
        <v>46199</v>
      </c>
      <c r="E4074" s="92" t="inlineStr">
        <is>
          <t>KR</t>
        </is>
      </c>
      <c r="F4074" s="92" t="n">
        <v>62201000</v>
      </c>
      <c r="G4074" s="92" t="n">
        <v>1201</v>
      </c>
      <c r="H4074" s="93" t="n">
        <v>138000</v>
      </c>
      <c r="I4074" s="92" t="inlineStr">
        <is>
          <t>6월 통신요금 - P통신</t>
        </is>
      </c>
      <c r="J4074" s="92" t="inlineStr">
        <is>
          <t>V10014</t>
        </is>
      </c>
      <c r="K4074" s="92" t="inlineStr">
        <is>
          <t>P통신</t>
        </is>
      </c>
      <c r="M4074" s="9">
        <f>IF($A4074="","",VALUE($A4074&amp;"")*12+VALUE($B4074&amp;""))</f>
        <v/>
      </c>
      <c r="N4074" s="64">
        <f>IF($A4074="","",IFERROR(INDEX(부서매핑!$C$5:$C$504,MATCH($G4074&amp;"",부서매핑!$A$5:$A$504,0)),"미매핑"))</f>
        <v/>
      </c>
      <c r="O4074" s="9">
        <f>IF($A4074="","",N4074&amp;"|"&amp;$F4074)</f>
        <v/>
      </c>
      <c r="P4074" s="94">
        <f>IF($A4074="",0,$H4074*설정!$C$23)</f>
        <v/>
      </c>
      <c r="Q4074" s="64">
        <f>IF($A4074="","",IF(O4074&lt;&gt;원인분석!$C$9,"",IF(AND(M4074&gt;=원인분석!$C$10,M4074&lt;=원인분석!$C$11),"당기",IF(AND(M4074&gt;=원인분석!$C$12,M4074&lt;=원인분석!$C$13),"비교",""))))</f>
        <v/>
      </c>
      <c r="R4074" s="9">
        <f>IF(Q4074="","",$K4074&amp;"")</f>
        <v/>
      </c>
      <c r="S4074" s="9">
        <f>IF(Q4074="","",IF(MATCH(R4074,$R$5:$R$100000,0)=ROW()-4,ROW(),""))</f>
        <v/>
      </c>
      <c r="T4074" s="9">
        <f>IF(Q4074="당기",ABS(P4074)+ROW()/1000000000,"")</f>
        <v/>
      </c>
      <c r="U4074" s="9">
        <f>IF(Q4074="비교",ABS(P4074)+ROW()/1000000000,"")</f>
        <v/>
      </c>
      <c r="V4074" s="64">
        <f>IF($A4074="","",IF(COUNTIF(변동분석!$E$7:$E$506,O4074)&gt;0,"Y","N"))</f>
        <v/>
      </c>
      <c r="W4074" s="64">
        <f>IF($A4074="","",IFERROR(INDEX(계정매핑!$D$5:$D$504,MATCH($F4074&amp;"",계정매핑!$A$5:$A$504,0)),"미매핑"))</f>
        <v/>
      </c>
      <c r="X4074" s="9">
        <f>IF($A4074="","",$F4074&amp;"")</f>
        <v/>
      </c>
      <c r="Y4074" s="94">
        <f>IF($A4074="",0,IF(AE4074="직접",IF(AF4074="비귀속",$P4074,0),$P4074*(1-AG4074)*IFERROR(INDEX(계정대체기준!$F$20:$F$49,MATCH($N4074,계정대체기준!$A$20:$A$49,0)),1)))</f>
        <v/>
      </c>
      <c r="Z4074" s="94">
        <f>IF($A4074="",0,IF(AE4074="직접",IF(AF4074="신계약비",$P4074,0),$P4074*(1-AG4074)*IFERROR(INDEX(계정대체기준!$C$20:$C$49,MATCH($N4074,계정대체기준!$A$20:$A$49,0)),0)))</f>
        <v/>
      </c>
      <c r="AA4074" s="94">
        <f>IF($A4074="",0,IF(AE4074="직접",IF(OR(AF4074="유지비",AF4074="손해조사비"),$P4074,0),$P4074*(1-AG4074)*IFERROR(INDEX(계정대체기준!$D$20:$D$49,MATCH($N4074,계정대체기준!$A$20:$A$49,0)),0)))</f>
        <v/>
      </c>
      <c r="AB4074" s="94">
        <f>IF($A4074="",0,IF(AE4074="직접",IF(AF4074="수금비",$P4074,0),$P4074*(1-AG4074)*IFERROR(INDEX(계정대체기준!$E$20:$E$49,MATCH($N4074,계정대체기준!$A$20:$A$49,0)),0)))</f>
        <v/>
      </c>
      <c r="AC4074" s="9">
        <f>IF(AND($A4074&lt;&gt;"",M4074=설정!$C$20,Z4074&gt;0),Z4074+ROW()/1000000000,"")</f>
        <v/>
      </c>
      <c r="AD4074" s="94">
        <f>IF($A4074="",0,$P4074*AG4074)</f>
        <v/>
      </c>
      <c r="AE4074" s="64">
        <f>IF($A4074="","",IFERROR(INDEX(계정매핑!$E$5:$E$504,MATCH($F4074&amp;"",계정매핑!$A$5:$A$504,0))&amp;"","공통비"))</f>
        <v/>
      </c>
      <c r="AF4074" s="64">
        <f>IF($A4074="","",IF(AE4074="직접",IFERROR(INDEX(계정매핑!$F$5:$F$504,MATCH($F4074&amp;"",계정매핑!$A$5:$A$504,0))&amp;"","비귀속"),""))</f>
        <v/>
      </c>
      <c r="AG4074" s="96">
        <f>IF($A4074="",0,IF(AND(AE4074&lt;&gt;"직접",IFERROR(INDEX(계정매핑!$G$5:$G$504,MATCH($F4074&amp;"",계정매핑!$A$5:$A$504,0))&amp;"","")="유지비",COUNTIF(계정대체기준!$A$6:$A$15,$N4074)&gt;0),IFERROR(INDEX(계정대체기준!$E$6:$E$15,MATCH(VALUE($A4074&amp;""),계정대체기준!$D$6:$D$15,0)),0),0))</f>
        <v/>
      </c>
      <c r="AH4074" s="64">
        <f>IF($A4074="","",IF(AD4074=0,"",IF(OR(COUNTIF(계정대체기준!$A$77:$A$86,$N4074)&gt;0,ISNUMBER(MATCH($X4074,계정대체기준!$D$77:$D$86,0)),ISNUMBER(MATCH($F4074,계정대체기준!$D$77:$D$86,0))),"Y","N")))</f>
        <v/>
      </c>
    </row>
    <row r="4075">
      <c r="A4075" s="92" t="n">
        <v>2026</v>
      </c>
      <c r="B4075" s="92" t="n">
        <v>6</v>
      </c>
      <c r="C4075" s="92" t="inlineStr">
        <is>
          <t>5100001353</t>
        </is>
      </c>
      <c r="D4075" s="95" t="n">
        <v>46199</v>
      </c>
      <c r="E4075" s="92" t="inlineStr">
        <is>
          <t>KR</t>
        </is>
      </c>
      <c r="F4075" s="92" t="n">
        <v>62301000</v>
      </c>
      <c r="G4075" s="92" t="n">
        <v>1701</v>
      </c>
      <c r="H4075" s="93" t="n">
        <v>352000</v>
      </c>
      <c r="I4075" s="92" t="inlineStr">
        <is>
          <t>6월 소모품 구입 - R문구</t>
        </is>
      </c>
      <c r="J4075" s="92" t="inlineStr">
        <is>
          <t>V10022</t>
        </is>
      </c>
      <c r="K4075" s="92" t="inlineStr">
        <is>
          <t>R문구</t>
        </is>
      </c>
      <c r="M4075" s="9">
        <f>IF($A4075="","",VALUE($A4075&amp;"")*12+VALUE($B4075&amp;""))</f>
        <v/>
      </c>
      <c r="N4075" s="64">
        <f>IF($A4075="","",IFERROR(INDEX(부서매핑!$C$5:$C$504,MATCH($G4075&amp;"",부서매핑!$A$5:$A$504,0)),"미매핑"))</f>
        <v/>
      </c>
      <c r="O4075" s="9">
        <f>IF($A4075="","",N4075&amp;"|"&amp;$F4075)</f>
        <v/>
      </c>
      <c r="P4075" s="94">
        <f>IF($A4075="",0,$H4075*설정!$C$23)</f>
        <v/>
      </c>
      <c r="Q4075" s="64">
        <f>IF($A4075="","",IF(O4075&lt;&gt;원인분석!$C$9,"",IF(AND(M4075&gt;=원인분석!$C$10,M4075&lt;=원인분석!$C$11),"당기",IF(AND(M4075&gt;=원인분석!$C$12,M4075&lt;=원인분석!$C$13),"비교",""))))</f>
        <v/>
      </c>
      <c r="R4075" s="9">
        <f>IF(Q4075="","",$K4075&amp;"")</f>
        <v/>
      </c>
      <c r="S4075" s="9">
        <f>IF(Q4075="","",IF(MATCH(R4075,$R$5:$R$100000,0)=ROW()-4,ROW(),""))</f>
        <v/>
      </c>
      <c r="T4075" s="9">
        <f>IF(Q4075="당기",ABS(P4075)+ROW()/1000000000,"")</f>
        <v/>
      </c>
      <c r="U4075" s="9">
        <f>IF(Q4075="비교",ABS(P4075)+ROW()/1000000000,"")</f>
        <v/>
      </c>
      <c r="V4075" s="64">
        <f>IF($A4075="","",IF(COUNTIF(변동분석!$E$7:$E$506,O4075)&gt;0,"Y","N"))</f>
        <v/>
      </c>
      <c r="W4075" s="64">
        <f>IF($A4075="","",IFERROR(INDEX(계정매핑!$D$5:$D$504,MATCH($F4075&amp;"",계정매핑!$A$5:$A$504,0)),"미매핑"))</f>
        <v/>
      </c>
      <c r="X4075" s="9">
        <f>IF($A4075="","",$F4075&amp;"")</f>
        <v/>
      </c>
      <c r="Y4075" s="94">
        <f>IF($A4075="",0,IF(AE4075="직접",IF(AF4075="비귀속",$P4075,0),$P4075*(1-AG4075)*IFERROR(INDEX(계정대체기준!$F$20:$F$49,MATCH($N4075,계정대체기준!$A$20:$A$49,0)),1)))</f>
        <v/>
      </c>
      <c r="Z4075" s="94">
        <f>IF($A4075="",0,IF(AE4075="직접",IF(AF4075="신계약비",$P4075,0),$P4075*(1-AG4075)*IFERROR(INDEX(계정대체기준!$C$20:$C$49,MATCH($N4075,계정대체기준!$A$20:$A$49,0)),0)))</f>
        <v/>
      </c>
      <c r="AA4075" s="94">
        <f>IF($A4075="",0,IF(AE4075="직접",IF(OR(AF4075="유지비",AF4075="손해조사비"),$P4075,0),$P4075*(1-AG4075)*IFERROR(INDEX(계정대체기준!$D$20:$D$49,MATCH($N4075,계정대체기준!$A$20:$A$49,0)),0)))</f>
        <v/>
      </c>
      <c r="AB4075" s="94">
        <f>IF($A4075="",0,IF(AE4075="직접",IF(AF4075="수금비",$P4075,0),$P4075*(1-AG4075)*IFERROR(INDEX(계정대체기준!$E$20:$E$49,MATCH($N4075,계정대체기준!$A$20:$A$49,0)),0)))</f>
        <v/>
      </c>
      <c r="AC4075" s="9">
        <f>IF(AND($A4075&lt;&gt;"",M4075=설정!$C$20,Z4075&gt;0),Z4075+ROW()/1000000000,"")</f>
        <v/>
      </c>
      <c r="AD4075" s="94">
        <f>IF($A4075="",0,$P4075*AG4075)</f>
        <v/>
      </c>
      <c r="AE4075" s="64">
        <f>IF($A4075="","",IFERROR(INDEX(계정매핑!$E$5:$E$504,MATCH($F4075&amp;"",계정매핑!$A$5:$A$504,0))&amp;"","공통비"))</f>
        <v/>
      </c>
      <c r="AF4075" s="64">
        <f>IF($A4075="","",IF(AE4075="직접",IFERROR(INDEX(계정매핑!$F$5:$F$504,MATCH($F4075&amp;"",계정매핑!$A$5:$A$504,0))&amp;"","비귀속"),""))</f>
        <v/>
      </c>
      <c r="AG4075" s="96">
        <f>IF($A4075="",0,IF(AND(AE4075&lt;&gt;"직접",IFERROR(INDEX(계정매핑!$G$5:$G$504,MATCH($F4075&amp;"",계정매핑!$A$5:$A$504,0))&amp;"","")="유지비",COUNTIF(계정대체기준!$A$6:$A$15,$N4075)&gt;0),IFERROR(INDEX(계정대체기준!$E$6:$E$15,MATCH(VALUE($A4075&amp;""),계정대체기준!$D$6:$D$15,0)),0),0))</f>
        <v/>
      </c>
      <c r="AH4075" s="64">
        <f>IF($A4075="","",IF(AD4075=0,"",IF(OR(COUNTIF(계정대체기준!$A$77:$A$86,$N4075)&gt;0,ISNUMBER(MATCH($X4075,계정대체기준!$D$77:$D$86,0)),ISNUMBER(MATCH($F4075,계정대체기준!$D$77:$D$86,0))),"Y","N")))</f>
        <v/>
      </c>
    </row>
    <row r="4076">
      <c r="A4076" s="92" t="n">
        <v>2026</v>
      </c>
      <c r="B4076" s="92" t="n">
        <v>6</v>
      </c>
      <c r="C4076" s="92" t="inlineStr">
        <is>
          <t>5100001354</t>
        </is>
      </c>
      <c r="D4076" s="95" t="n">
        <v>46199</v>
      </c>
      <c r="E4076" s="92" t="inlineStr">
        <is>
          <t>KR</t>
        </is>
      </c>
      <c r="F4076" s="92" t="n">
        <v>62901000</v>
      </c>
      <c r="G4076" s="92" t="n">
        <v>1951</v>
      </c>
      <c r="H4076" s="93" t="n">
        <v>6843000</v>
      </c>
      <c r="I4076" s="92" t="inlineStr">
        <is>
          <t>6월 자문 수수료 - W컨설팅</t>
        </is>
      </c>
      <c r="J4076" s="92" t="inlineStr">
        <is>
          <t>V10006</t>
        </is>
      </c>
      <c r="K4076" s="92" t="inlineStr">
        <is>
          <t>W컨설팅</t>
        </is>
      </c>
      <c r="M4076" s="9">
        <f>IF($A4076="","",VALUE($A4076&amp;"")*12+VALUE($B4076&amp;""))</f>
        <v/>
      </c>
      <c r="N4076" s="64">
        <f>IF($A4076="","",IFERROR(INDEX(부서매핑!$C$5:$C$504,MATCH($G4076&amp;"",부서매핑!$A$5:$A$504,0)),"미매핑"))</f>
        <v/>
      </c>
      <c r="O4076" s="9">
        <f>IF($A4076="","",N4076&amp;"|"&amp;$F4076)</f>
        <v/>
      </c>
      <c r="P4076" s="94">
        <f>IF($A4076="",0,$H4076*설정!$C$23)</f>
        <v/>
      </c>
      <c r="Q4076" s="64">
        <f>IF($A4076="","",IF(O4076&lt;&gt;원인분석!$C$9,"",IF(AND(M4076&gt;=원인분석!$C$10,M4076&lt;=원인분석!$C$11),"당기",IF(AND(M4076&gt;=원인분석!$C$12,M4076&lt;=원인분석!$C$13),"비교",""))))</f>
        <v/>
      </c>
      <c r="R4076" s="9">
        <f>IF(Q4076="","",$K4076&amp;"")</f>
        <v/>
      </c>
      <c r="S4076" s="9">
        <f>IF(Q4076="","",IF(MATCH(R4076,$R$5:$R$100000,0)=ROW()-4,ROW(),""))</f>
        <v/>
      </c>
      <c r="T4076" s="9">
        <f>IF(Q4076="당기",ABS(P4076)+ROW()/1000000000,"")</f>
        <v/>
      </c>
      <c r="U4076" s="9">
        <f>IF(Q4076="비교",ABS(P4076)+ROW()/1000000000,"")</f>
        <v/>
      </c>
      <c r="V4076" s="64">
        <f>IF($A4076="","",IF(COUNTIF(변동분석!$E$7:$E$506,O4076)&gt;0,"Y","N"))</f>
        <v/>
      </c>
      <c r="W4076" s="64">
        <f>IF($A4076="","",IFERROR(INDEX(계정매핑!$D$5:$D$504,MATCH($F4076&amp;"",계정매핑!$A$5:$A$504,0)),"미매핑"))</f>
        <v/>
      </c>
      <c r="X4076" s="9">
        <f>IF($A4076="","",$F4076&amp;"")</f>
        <v/>
      </c>
      <c r="Y4076" s="94">
        <f>IF($A4076="",0,IF(AE4076="직접",IF(AF4076="비귀속",$P4076,0),$P4076*(1-AG4076)*IFERROR(INDEX(계정대체기준!$F$20:$F$49,MATCH($N4076,계정대체기준!$A$20:$A$49,0)),1)))</f>
        <v/>
      </c>
      <c r="Z4076" s="94">
        <f>IF($A4076="",0,IF(AE4076="직접",IF(AF4076="신계약비",$P4076,0),$P4076*(1-AG4076)*IFERROR(INDEX(계정대체기준!$C$20:$C$49,MATCH($N4076,계정대체기준!$A$20:$A$49,0)),0)))</f>
        <v/>
      </c>
      <c r="AA4076" s="94">
        <f>IF($A4076="",0,IF(AE4076="직접",IF(OR(AF4076="유지비",AF4076="손해조사비"),$P4076,0),$P4076*(1-AG4076)*IFERROR(INDEX(계정대체기준!$D$20:$D$49,MATCH($N4076,계정대체기준!$A$20:$A$49,0)),0)))</f>
        <v/>
      </c>
      <c r="AB4076" s="94">
        <f>IF($A4076="",0,IF(AE4076="직접",IF(AF4076="수금비",$P4076,0),$P4076*(1-AG4076)*IFERROR(INDEX(계정대체기준!$E$20:$E$49,MATCH($N4076,계정대체기준!$A$20:$A$49,0)),0)))</f>
        <v/>
      </c>
      <c r="AC4076" s="9">
        <f>IF(AND($A4076&lt;&gt;"",M4076=설정!$C$20,Z4076&gt;0),Z4076+ROW()/1000000000,"")</f>
        <v/>
      </c>
      <c r="AD4076" s="94">
        <f>IF($A4076="",0,$P4076*AG4076)</f>
        <v/>
      </c>
      <c r="AE4076" s="64">
        <f>IF($A4076="","",IFERROR(INDEX(계정매핑!$E$5:$E$504,MATCH($F4076&amp;"",계정매핑!$A$5:$A$504,0))&amp;"","공통비"))</f>
        <v/>
      </c>
      <c r="AF4076" s="64">
        <f>IF($A4076="","",IF(AE4076="직접",IFERROR(INDEX(계정매핑!$F$5:$F$504,MATCH($F4076&amp;"",계정매핑!$A$5:$A$504,0))&amp;"","비귀속"),""))</f>
        <v/>
      </c>
      <c r="AG4076" s="96">
        <f>IF($A4076="",0,IF(AND(AE4076&lt;&gt;"직접",IFERROR(INDEX(계정매핑!$G$5:$G$504,MATCH($F4076&amp;"",계정매핑!$A$5:$A$504,0))&amp;"","")="유지비",COUNTIF(계정대체기준!$A$6:$A$15,$N4076)&gt;0),IFERROR(INDEX(계정대체기준!$E$6:$E$15,MATCH(VALUE($A4076&amp;""),계정대체기준!$D$6:$D$15,0)),0),0))</f>
        <v/>
      </c>
      <c r="AH4076" s="64">
        <f>IF($A4076="","",IF(AD4076=0,"",IF(OR(COUNTIF(계정대체기준!$A$77:$A$86,$N4076)&gt;0,ISNUMBER(MATCH($X4076,계정대체기준!$D$77:$D$86,0)),ISNUMBER(MATCH($F4076,계정대체기준!$D$77:$D$86,0))),"Y","N")))</f>
        <v/>
      </c>
    </row>
    <row r="4077">
      <c r="A4077" s="92" t="n">
        <v>2026</v>
      </c>
      <c r="B4077" s="92" t="n">
        <v>6</v>
      </c>
      <c r="C4077" s="92" t="inlineStr">
        <is>
          <t>5100001355</t>
        </is>
      </c>
      <c r="D4077" s="95" t="n">
        <v>46200</v>
      </c>
      <c r="E4077" s="92" t="inlineStr">
        <is>
          <t>KR</t>
        </is>
      </c>
      <c r="F4077" s="92" t="n">
        <v>62101000</v>
      </c>
      <c r="G4077" s="92" t="n">
        <v>1101</v>
      </c>
      <c r="H4077" s="93" t="n">
        <v>803000</v>
      </c>
      <c r="I4077" s="92" t="inlineStr">
        <is>
          <t>6월 국내출장 - L여행사</t>
        </is>
      </c>
      <c r="J4077" s="92" t="inlineStr">
        <is>
          <t>V10018</t>
        </is>
      </c>
      <c r="K4077" s="92" t="inlineStr">
        <is>
          <t>L여행사</t>
        </is>
      </c>
      <c r="M4077" s="9">
        <f>IF($A4077="","",VALUE($A4077&amp;"")*12+VALUE($B4077&amp;""))</f>
        <v/>
      </c>
      <c r="N4077" s="64">
        <f>IF($A4077="","",IFERROR(INDEX(부서매핑!$C$5:$C$504,MATCH($G4077&amp;"",부서매핑!$A$5:$A$504,0)),"미매핑"))</f>
        <v/>
      </c>
      <c r="O4077" s="9">
        <f>IF($A4077="","",N4077&amp;"|"&amp;$F4077)</f>
        <v/>
      </c>
      <c r="P4077" s="94">
        <f>IF($A4077="",0,$H4077*설정!$C$23)</f>
        <v/>
      </c>
      <c r="Q4077" s="64">
        <f>IF($A4077="","",IF(O4077&lt;&gt;원인분석!$C$9,"",IF(AND(M4077&gt;=원인분석!$C$10,M4077&lt;=원인분석!$C$11),"당기",IF(AND(M4077&gt;=원인분석!$C$12,M4077&lt;=원인분석!$C$13),"비교",""))))</f>
        <v/>
      </c>
      <c r="R4077" s="9">
        <f>IF(Q4077="","",$K4077&amp;"")</f>
        <v/>
      </c>
      <c r="S4077" s="9">
        <f>IF(Q4077="","",IF(MATCH(R4077,$R$5:$R$100000,0)=ROW()-4,ROW(),""))</f>
        <v/>
      </c>
      <c r="T4077" s="9">
        <f>IF(Q4077="당기",ABS(P4077)+ROW()/1000000000,"")</f>
        <v/>
      </c>
      <c r="U4077" s="9">
        <f>IF(Q4077="비교",ABS(P4077)+ROW()/1000000000,"")</f>
        <v/>
      </c>
      <c r="V4077" s="64">
        <f>IF($A4077="","",IF(COUNTIF(변동분석!$E$7:$E$506,O4077)&gt;0,"Y","N"))</f>
        <v/>
      </c>
      <c r="W4077" s="64">
        <f>IF($A4077="","",IFERROR(INDEX(계정매핑!$D$5:$D$504,MATCH($F4077&amp;"",계정매핑!$A$5:$A$504,0)),"미매핑"))</f>
        <v/>
      </c>
      <c r="X4077" s="9">
        <f>IF($A4077="","",$F4077&amp;"")</f>
        <v/>
      </c>
      <c r="Y4077" s="94">
        <f>IF($A4077="",0,IF(AE4077="직접",IF(AF4077="비귀속",$P4077,0),$P4077*(1-AG4077)*IFERROR(INDEX(계정대체기준!$F$20:$F$49,MATCH($N4077,계정대체기준!$A$20:$A$49,0)),1)))</f>
        <v/>
      </c>
      <c r="Z4077" s="94">
        <f>IF($A4077="",0,IF(AE4077="직접",IF(AF4077="신계약비",$P4077,0),$P4077*(1-AG4077)*IFERROR(INDEX(계정대체기준!$C$20:$C$49,MATCH($N4077,계정대체기준!$A$20:$A$49,0)),0)))</f>
        <v/>
      </c>
      <c r="AA4077" s="94">
        <f>IF($A4077="",0,IF(AE4077="직접",IF(OR(AF4077="유지비",AF4077="손해조사비"),$P4077,0),$P4077*(1-AG4077)*IFERROR(INDEX(계정대체기준!$D$20:$D$49,MATCH($N4077,계정대체기준!$A$20:$A$49,0)),0)))</f>
        <v/>
      </c>
      <c r="AB4077" s="94">
        <f>IF($A4077="",0,IF(AE4077="직접",IF(AF4077="수금비",$P4077,0),$P4077*(1-AG4077)*IFERROR(INDEX(계정대체기준!$E$20:$E$49,MATCH($N4077,계정대체기준!$A$20:$A$49,0)),0)))</f>
        <v/>
      </c>
      <c r="AC4077" s="9">
        <f>IF(AND($A4077&lt;&gt;"",M4077=설정!$C$20,Z4077&gt;0),Z4077+ROW()/1000000000,"")</f>
        <v/>
      </c>
      <c r="AD4077" s="94">
        <f>IF($A4077="",0,$P4077*AG4077)</f>
        <v/>
      </c>
      <c r="AE4077" s="64">
        <f>IF($A4077="","",IFERROR(INDEX(계정매핑!$E$5:$E$504,MATCH($F4077&amp;"",계정매핑!$A$5:$A$504,0))&amp;"","공통비"))</f>
        <v/>
      </c>
      <c r="AF4077" s="64">
        <f>IF($A4077="","",IF(AE4077="직접",IFERROR(INDEX(계정매핑!$F$5:$F$504,MATCH($F4077&amp;"",계정매핑!$A$5:$A$504,0))&amp;"","비귀속"),""))</f>
        <v/>
      </c>
      <c r="AG4077" s="96">
        <f>IF($A4077="",0,IF(AND(AE4077&lt;&gt;"직접",IFERROR(INDEX(계정매핑!$G$5:$G$504,MATCH($F4077&amp;"",계정매핑!$A$5:$A$504,0))&amp;"","")="유지비",COUNTIF(계정대체기준!$A$6:$A$15,$N4077)&gt;0),IFERROR(INDEX(계정대체기준!$E$6:$E$15,MATCH(VALUE($A4077&amp;""),계정대체기준!$D$6:$D$15,0)),0),0))</f>
        <v/>
      </c>
      <c r="AH4077" s="64">
        <f>IF($A4077="","",IF(AD4077=0,"",IF(OR(COUNTIF(계정대체기준!$A$77:$A$86,$N4077)&gt;0,ISNUMBER(MATCH($X4077,계정대체기준!$D$77:$D$86,0)),ISNUMBER(MATCH($F4077,계정대체기준!$D$77:$D$86,0))),"Y","N")))</f>
        <v/>
      </c>
    </row>
    <row r="4078">
      <c r="A4078" s="92" t="n">
        <v>2026</v>
      </c>
      <c r="B4078" s="92" t="n">
        <v>6</v>
      </c>
      <c r="C4078" s="92" t="inlineStr">
        <is>
          <t>5100001356</t>
        </is>
      </c>
      <c r="D4078" s="95" t="n">
        <v>46200</v>
      </c>
      <c r="E4078" s="92" t="inlineStr">
        <is>
          <t>KR</t>
        </is>
      </c>
      <c r="F4078" s="92" t="n">
        <v>62101000</v>
      </c>
      <c r="G4078" s="92" t="n">
        <v>1801</v>
      </c>
      <c r="H4078" s="93" t="n">
        <v>277000</v>
      </c>
      <c r="I4078" s="92" t="inlineStr">
        <is>
          <t>6월 국내출장 - (법인카드)</t>
        </is>
      </c>
      <c r="J4078" s="92" t="inlineStr">
        <is>
          <t>V10010</t>
        </is>
      </c>
      <c r="K4078" s="92" t="inlineStr">
        <is>
          <t>(법인카드)</t>
        </is>
      </c>
      <c r="M4078" s="9">
        <f>IF($A4078="","",VALUE($A4078&amp;"")*12+VALUE($B4078&amp;""))</f>
        <v/>
      </c>
      <c r="N4078" s="64">
        <f>IF($A4078="","",IFERROR(INDEX(부서매핑!$C$5:$C$504,MATCH($G4078&amp;"",부서매핑!$A$5:$A$504,0)),"미매핑"))</f>
        <v/>
      </c>
      <c r="O4078" s="9">
        <f>IF($A4078="","",N4078&amp;"|"&amp;$F4078)</f>
        <v/>
      </c>
      <c r="P4078" s="94">
        <f>IF($A4078="",0,$H4078*설정!$C$23)</f>
        <v/>
      </c>
      <c r="Q4078" s="64">
        <f>IF($A4078="","",IF(O4078&lt;&gt;원인분석!$C$9,"",IF(AND(M4078&gt;=원인분석!$C$10,M4078&lt;=원인분석!$C$11),"당기",IF(AND(M4078&gt;=원인분석!$C$12,M4078&lt;=원인분석!$C$13),"비교",""))))</f>
        <v/>
      </c>
      <c r="R4078" s="9">
        <f>IF(Q4078="","",$K4078&amp;"")</f>
        <v/>
      </c>
      <c r="S4078" s="9">
        <f>IF(Q4078="","",IF(MATCH(R4078,$R$5:$R$100000,0)=ROW()-4,ROW(),""))</f>
        <v/>
      </c>
      <c r="T4078" s="9">
        <f>IF(Q4078="당기",ABS(P4078)+ROW()/1000000000,"")</f>
        <v/>
      </c>
      <c r="U4078" s="9">
        <f>IF(Q4078="비교",ABS(P4078)+ROW()/1000000000,"")</f>
        <v/>
      </c>
      <c r="V4078" s="64">
        <f>IF($A4078="","",IF(COUNTIF(변동분석!$E$7:$E$506,O4078)&gt;0,"Y","N"))</f>
        <v/>
      </c>
      <c r="W4078" s="64">
        <f>IF($A4078="","",IFERROR(INDEX(계정매핑!$D$5:$D$504,MATCH($F4078&amp;"",계정매핑!$A$5:$A$504,0)),"미매핑"))</f>
        <v/>
      </c>
      <c r="X4078" s="9">
        <f>IF($A4078="","",$F4078&amp;"")</f>
        <v/>
      </c>
      <c r="Y4078" s="94">
        <f>IF($A4078="",0,IF(AE4078="직접",IF(AF4078="비귀속",$P4078,0),$P4078*(1-AG4078)*IFERROR(INDEX(계정대체기준!$F$20:$F$49,MATCH($N4078,계정대체기준!$A$20:$A$49,0)),1)))</f>
        <v/>
      </c>
      <c r="Z4078" s="94">
        <f>IF($A4078="",0,IF(AE4078="직접",IF(AF4078="신계약비",$P4078,0),$P4078*(1-AG4078)*IFERROR(INDEX(계정대체기준!$C$20:$C$49,MATCH($N4078,계정대체기준!$A$20:$A$49,0)),0)))</f>
        <v/>
      </c>
      <c r="AA4078" s="94">
        <f>IF($A4078="",0,IF(AE4078="직접",IF(OR(AF4078="유지비",AF4078="손해조사비"),$P4078,0),$P4078*(1-AG4078)*IFERROR(INDEX(계정대체기준!$D$20:$D$49,MATCH($N4078,계정대체기준!$A$20:$A$49,0)),0)))</f>
        <v/>
      </c>
      <c r="AB4078" s="94">
        <f>IF($A4078="",0,IF(AE4078="직접",IF(AF4078="수금비",$P4078,0),$P4078*(1-AG4078)*IFERROR(INDEX(계정대체기준!$E$20:$E$49,MATCH($N4078,계정대체기준!$A$20:$A$49,0)),0)))</f>
        <v/>
      </c>
      <c r="AC4078" s="9">
        <f>IF(AND($A4078&lt;&gt;"",M4078=설정!$C$20,Z4078&gt;0),Z4078+ROW()/1000000000,"")</f>
        <v/>
      </c>
      <c r="AD4078" s="94">
        <f>IF($A4078="",0,$P4078*AG4078)</f>
        <v/>
      </c>
      <c r="AE4078" s="64">
        <f>IF($A4078="","",IFERROR(INDEX(계정매핑!$E$5:$E$504,MATCH($F4078&amp;"",계정매핑!$A$5:$A$504,0))&amp;"","공통비"))</f>
        <v/>
      </c>
      <c r="AF4078" s="64">
        <f>IF($A4078="","",IF(AE4078="직접",IFERROR(INDEX(계정매핑!$F$5:$F$504,MATCH($F4078&amp;"",계정매핑!$A$5:$A$504,0))&amp;"","비귀속"),""))</f>
        <v/>
      </c>
      <c r="AG4078" s="96">
        <f>IF($A4078="",0,IF(AND(AE4078&lt;&gt;"직접",IFERROR(INDEX(계정매핑!$G$5:$G$504,MATCH($F4078&amp;"",계정매핑!$A$5:$A$504,0))&amp;"","")="유지비",COUNTIF(계정대체기준!$A$6:$A$15,$N4078)&gt;0),IFERROR(INDEX(계정대체기준!$E$6:$E$15,MATCH(VALUE($A4078&amp;""),계정대체기준!$D$6:$D$15,0)),0),0))</f>
        <v/>
      </c>
      <c r="AH4078" s="64">
        <f>IF($A4078="","",IF(AD4078=0,"",IF(OR(COUNTIF(계정대체기준!$A$77:$A$86,$N4078)&gt;0,ISNUMBER(MATCH($X4078,계정대체기준!$D$77:$D$86,0)),ISNUMBER(MATCH($F4078,계정대체기준!$D$77:$D$86,0))),"Y","N")))</f>
        <v/>
      </c>
    </row>
    <row r="4079">
      <c r="A4079" s="92" t="n">
        <v>2026</v>
      </c>
      <c r="B4079" s="92" t="n">
        <v>6</v>
      </c>
      <c r="C4079" s="92" t="inlineStr">
        <is>
          <t>5100001357</t>
        </is>
      </c>
      <c r="D4079" s="95" t="n">
        <v>46200</v>
      </c>
      <c r="E4079" s="92" t="inlineStr">
        <is>
          <t>KR</t>
        </is>
      </c>
      <c r="F4079" s="92" t="n">
        <v>62101000</v>
      </c>
      <c r="G4079" s="92" t="n">
        <v>1951</v>
      </c>
      <c r="H4079" s="93" t="n">
        <v>384000</v>
      </c>
      <c r="I4079" s="92" t="inlineStr">
        <is>
          <t>6월 국내출장 - L여행사</t>
        </is>
      </c>
      <c r="J4079" s="92" t="inlineStr">
        <is>
          <t>V10018</t>
        </is>
      </c>
      <c r="K4079" s="92" t="inlineStr">
        <is>
          <t>L여행사</t>
        </is>
      </c>
      <c r="M4079" s="9">
        <f>IF($A4079="","",VALUE($A4079&amp;"")*12+VALUE($B4079&amp;""))</f>
        <v/>
      </c>
      <c r="N4079" s="64">
        <f>IF($A4079="","",IFERROR(INDEX(부서매핑!$C$5:$C$504,MATCH($G4079&amp;"",부서매핑!$A$5:$A$504,0)),"미매핑"))</f>
        <v/>
      </c>
      <c r="O4079" s="9">
        <f>IF($A4079="","",N4079&amp;"|"&amp;$F4079)</f>
        <v/>
      </c>
      <c r="P4079" s="94">
        <f>IF($A4079="",0,$H4079*설정!$C$23)</f>
        <v/>
      </c>
      <c r="Q4079" s="64">
        <f>IF($A4079="","",IF(O4079&lt;&gt;원인분석!$C$9,"",IF(AND(M4079&gt;=원인분석!$C$10,M4079&lt;=원인분석!$C$11),"당기",IF(AND(M4079&gt;=원인분석!$C$12,M4079&lt;=원인분석!$C$13),"비교",""))))</f>
        <v/>
      </c>
      <c r="R4079" s="9">
        <f>IF(Q4079="","",$K4079&amp;"")</f>
        <v/>
      </c>
      <c r="S4079" s="9">
        <f>IF(Q4079="","",IF(MATCH(R4079,$R$5:$R$100000,0)=ROW()-4,ROW(),""))</f>
        <v/>
      </c>
      <c r="T4079" s="9">
        <f>IF(Q4079="당기",ABS(P4079)+ROW()/1000000000,"")</f>
        <v/>
      </c>
      <c r="U4079" s="9">
        <f>IF(Q4079="비교",ABS(P4079)+ROW()/1000000000,"")</f>
        <v/>
      </c>
      <c r="V4079" s="64">
        <f>IF($A4079="","",IF(COUNTIF(변동분석!$E$7:$E$506,O4079)&gt;0,"Y","N"))</f>
        <v/>
      </c>
      <c r="W4079" s="64">
        <f>IF($A4079="","",IFERROR(INDEX(계정매핑!$D$5:$D$504,MATCH($F4079&amp;"",계정매핑!$A$5:$A$504,0)),"미매핑"))</f>
        <v/>
      </c>
      <c r="X4079" s="9">
        <f>IF($A4079="","",$F4079&amp;"")</f>
        <v/>
      </c>
      <c r="Y4079" s="94">
        <f>IF($A4079="",0,IF(AE4079="직접",IF(AF4079="비귀속",$P4079,0),$P4079*(1-AG4079)*IFERROR(INDEX(계정대체기준!$F$20:$F$49,MATCH($N4079,계정대체기준!$A$20:$A$49,0)),1)))</f>
        <v/>
      </c>
      <c r="Z4079" s="94">
        <f>IF($A4079="",0,IF(AE4079="직접",IF(AF4079="신계약비",$P4079,0),$P4079*(1-AG4079)*IFERROR(INDEX(계정대체기준!$C$20:$C$49,MATCH($N4079,계정대체기준!$A$20:$A$49,0)),0)))</f>
        <v/>
      </c>
      <c r="AA4079" s="94">
        <f>IF($A4079="",0,IF(AE4079="직접",IF(OR(AF4079="유지비",AF4079="손해조사비"),$P4079,0),$P4079*(1-AG4079)*IFERROR(INDEX(계정대체기준!$D$20:$D$49,MATCH($N4079,계정대체기준!$A$20:$A$49,0)),0)))</f>
        <v/>
      </c>
      <c r="AB4079" s="94">
        <f>IF($A4079="",0,IF(AE4079="직접",IF(AF4079="수금비",$P4079,0),$P4079*(1-AG4079)*IFERROR(INDEX(계정대체기준!$E$20:$E$49,MATCH($N4079,계정대체기준!$A$20:$A$49,0)),0)))</f>
        <v/>
      </c>
      <c r="AC4079" s="9">
        <f>IF(AND($A4079&lt;&gt;"",M4079=설정!$C$20,Z4079&gt;0),Z4079+ROW()/1000000000,"")</f>
        <v/>
      </c>
      <c r="AD4079" s="94">
        <f>IF($A4079="",0,$P4079*AG4079)</f>
        <v/>
      </c>
      <c r="AE4079" s="64">
        <f>IF($A4079="","",IFERROR(INDEX(계정매핑!$E$5:$E$504,MATCH($F4079&amp;"",계정매핑!$A$5:$A$504,0))&amp;"","공통비"))</f>
        <v/>
      </c>
      <c r="AF4079" s="64">
        <f>IF($A4079="","",IF(AE4079="직접",IFERROR(INDEX(계정매핑!$F$5:$F$504,MATCH($F4079&amp;"",계정매핑!$A$5:$A$504,0))&amp;"","비귀속"),""))</f>
        <v/>
      </c>
      <c r="AG4079" s="96">
        <f>IF($A4079="",0,IF(AND(AE4079&lt;&gt;"직접",IFERROR(INDEX(계정매핑!$G$5:$G$504,MATCH($F4079&amp;"",계정매핑!$A$5:$A$504,0))&amp;"","")="유지비",COUNTIF(계정대체기준!$A$6:$A$15,$N4079)&gt;0),IFERROR(INDEX(계정대체기준!$E$6:$E$15,MATCH(VALUE($A4079&amp;""),계정대체기준!$D$6:$D$15,0)),0),0))</f>
        <v/>
      </c>
      <c r="AH4079" s="64">
        <f>IF($A4079="","",IF(AD4079=0,"",IF(OR(COUNTIF(계정대체기준!$A$77:$A$86,$N4079)&gt;0,ISNUMBER(MATCH($X4079,계정대체기준!$D$77:$D$86,0)),ISNUMBER(MATCH($F4079,계정대체기준!$D$77:$D$86,0))),"Y","N")))</f>
        <v/>
      </c>
    </row>
    <row r="4080">
      <c r="A4080" s="92" t="n">
        <v>2026</v>
      </c>
      <c r="B4080" s="92" t="n">
        <v>6</v>
      </c>
      <c r="C4080" s="92" t="inlineStr">
        <is>
          <t>5100001358</t>
        </is>
      </c>
      <c r="D4080" s="95" t="n">
        <v>46200</v>
      </c>
      <c r="E4080" s="92" t="inlineStr">
        <is>
          <t>KR</t>
        </is>
      </c>
      <c r="F4080" s="92" t="n">
        <v>62101000</v>
      </c>
      <c r="G4080" s="92" t="n">
        <v>1951</v>
      </c>
      <c r="H4080" s="93" t="n">
        <v>327000</v>
      </c>
      <c r="I4080" s="92" t="inlineStr">
        <is>
          <t>6월 국내출장 - L여행사</t>
        </is>
      </c>
      <c r="J4080" s="92" t="inlineStr">
        <is>
          <t>V10018</t>
        </is>
      </c>
      <c r="K4080" s="92" t="inlineStr">
        <is>
          <t>L여행사</t>
        </is>
      </c>
      <c r="M4080" s="9">
        <f>IF($A4080="","",VALUE($A4080&amp;"")*12+VALUE($B4080&amp;""))</f>
        <v/>
      </c>
      <c r="N4080" s="64">
        <f>IF($A4080="","",IFERROR(INDEX(부서매핑!$C$5:$C$504,MATCH($G4080&amp;"",부서매핑!$A$5:$A$504,0)),"미매핑"))</f>
        <v/>
      </c>
      <c r="O4080" s="9">
        <f>IF($A4080="","",N4080&amp;"|"&amp;$F4080)</f>
        <v/>
      </c>
      <c r="P4080" s="94">
        <f>IF($A4080="",0,$H4080*설정!$C$23)</f>
        <v/>
      </c>
      <c r="Q4080" s="64">
        <f>IF($A4080="","",IF(O4080&lt;&gt;원인분석!$C$9,"",IF(AND(M4080&gt;=원인분석!$C$10,M4080&lt;=원인분석!$C$11),"당기",IF(AND(M4080&gt;=원인분석!$C$12,M4080&lt;=원인분석!$C$13),"비교",""))))</f>
        <v/>
      </c>
      <c r="R4080" s="9">
        <f>IF(Q4080="","",$K4080&amp;"")</f>
        <v/>
      </c>
      <c r="S4080" s="9">
        <f>IF(Q4080="","",IF(MATCH(R4080,$R$5:$R$100000,0)=ROW()-4,ROW(),""))</f>
        <v/>
      </c>
      <c r="T4080" s="9">
        <f>IF(Q4080="당기",ABS(P4080)+ROW()/1000000000,"")</f>
        <v/>
      </c>
      <c r="U4080" s="9">
        <f>IF(Q4080="비교",ABS(P4080)+ROW()/1000000000,"")</f>
        <v/>
      </c>
      <c r="V4080" s="64">
        <f>IF($A4080="","",IF(COUNTIF(변동분석!$E$7:$E$506,O4080)&gt;0,"Y","N"))</f>
        <v/>
      </c>
      <c r="W4080" s="64">
        <f>IF($A4080="","",IFERROR(INDEX(계정매핑!$D$5:$D$504,MATCH($F4080&amp;"",계정매핑!$A$5:$A$504,0)),"미매핑"))</f>
        <v/>
      </c>
      <c r="X4080" s="9">
        <f>IF($A4080="","",$F4080&amp;"")</f>
        <v/>
      </c>
      <c r="Y4080" s="94">
        <f>IF($A4080="",0,IF(AE4080="직접",IF(AF4080="비귀속",$P4080,0),$P4080*(1-AG4080)*IFERROR(INDEX(계정대체기준!$F$20:$F$49,MATCH($N4080,계정대체기준!$A$20:$A$49,0)),1)))</f>
        <v/>
      </c>
      <c r="Z4080" s="94">
        <f>IF($A4080="",0,IF(AE4080="직접",IF(AF4080="신계약비",$P4080,0),$P4080*(1-AG4080)*IFERROR(INDEX(계정대체기준!$C$20:$C$49,MATCH($N4080,계정대체기준!$A$20:$A$49,0)),0)))</f>
        <v/>
      </c>
      <c r="AA4080" s="94">
        <f>IF($A4080="",0,IF(AE4080="직접",IF(OR(AF4080="유지비",AF4080="손해조사비"),$P4080,0),$P4080*(1-AG4080)*IFERROR(INDEX(계정대체기준!$D$20:$D$49,MATCH($N4080,계정대체기준!$A$20:$A$49,0)),0)))</f>
        <v/>
      </c>
      <c r="AB4080" s="94">
        <f>IF($A4080="",0,IF(AE4080="직접",IF(AF4080="수금비",$P4080,0),$P4080*(1-AG4080)*IFERROR(INDEX(계정대체기준!$E$20:$E$49,MATCH($N4080,계정대체기준!$A$20:$A$49,0)),0)))</f>
        <v/>
      </c>
      <c r="AC4080" s="9">
        <f>IF(AND($A4080&lt;&gt;"",M4080=설정!$C$20,Z4080&gt;0),Z4080+ROW()/1000000000,"")</f>
        <v/>
      </c>
      <c r="AD4080" s="94">
        <f>IF($A4080="",0,$P4080*AG4080)</f>
        <v/>
      </c>
      <c r="AE4080" s="64">
        <f>IF($A4080="","",IFERROR(INDEX(계정매핑!$E$5:$E$504,MATCH($F4080&amp;"",계정매핑!$A$5:$A$504,0))&amp;"","공통비"))</f>
        <v/>
      </c>
      <c r="AF4080" s="64">
        <f>IF($A4080="","",IF(AE4080="직접",IFERROR(INDEX(계정매핑!$F$5:$F$504,MATCH($F4080&amp;"",계정매핑!$A$5:$A$504,0))&amp;"","비귀속"),""))</f>
        <v/>
      </c>
      <c r="AG4080" s="96">
        <f>IF($A4080="",0,IF(AND(AE4080&lt;&gt;"직접",IFERROR(INDEX(계정매핑!$G$5:$G$504,MATCH($F4080&amp;"",계정매핑!$A$5:$A$504,0))&amp;"","")="유지비",COUNTIF(계정대체기준!$A$6:$A$15,$N4080)&gt;0),IFERROR(INDEX(계정대체기준!$E$6:$E$15,MATCH(VALUE($A4080&amp;""),계정대체기준!$D$6:$D$15,0)),0),0))</f>
        <v/>
      </c>
      <c r="AH4080" s="64">
        <f>IF($A4080="","",IF(AD4080=0,"",IF(OR(COUNTIF(계정대체기준!$A$77:$A$86,$N4080)&gt;0,ISNUMBER(MATCH($X4080,계정대체기준!$D$77:$D$86,0)),ISNUMBER(MATCH($F4080,계정대체기준!$D$77:$D$86,0))),"Y","N")))</f>
        <v/>
      </c>
    </row>
    <row r="4081">
      <c r="A4081" s="92" t="n">
        <v>2026</v>
      </c>
      <c r="B4081" s="92" t="n">
        <v>6</v>
      </c>
      <c r="C4081" s="92" t="inlineStr">
        <is>
          <t>5100001359</t>
        </is>
      </c>
      <c r="D4081" s="95" t="n">
        <v>46200</v>
      </c>
      <c r="E4081" s="92" t="inlineStr">
        <is>
          <t>KR</t>
        </is>
      </c>
      <c r="F4081" s="92" t="n">
        <v>62201000</v>
      </c>
      <c r="G4081" s="92" t="n">
        <v>1101</v>
      </c>
      <c r="H4081" s="93" t="n">
        <v>213000</v>
      </c>
      <c r="I4081" s="92" t="inlineStr">
        <is>
          <t>6월 통신요금 - P통신</t>
        </is>
      </c>
      <c r="J4081" s="92" t="inlineStr">
        <is>
          <t>V10014</t>
        </is>
      </c>
      <c r="K4081" s="92" t="inlineStr">
        <is>
          <t>P통신</t>
        </is>
      </c>
      <c r="M4081" s="9">
        <f>IF($A4081="","",VALUE($A4081&amp;"")*12+VALUE($B4081&amp;""))</f>
        <v/>
      </c>
      <c r="N4081" s="64">
        <f>IF($A4081="","",IFERROR(INDEX(부서매핑!$C$5:$C$504,MATCH($G4081&amp;"",부서매핑!$A$5:$A$504,0)),"미매핑"))</f>
        <v/>
      </c>
      <c r="O4081" s="9">
        <f>IF($A4081="","",N4081&amp;"|"&amp;$F4081)</f>
        <v/>
      </c>
      <c r="P4081" s="94">
        <f>IF($A4081="",0,$H4081*설정!$C$23)</f>
        <v/>
      </c>
      <c r="Q4081" s="64">
        <f>IF($A4081="","",IF(O4081&lt;&gt;원인분석!$C$9,"",IF(AND(M4081&gt;=원인분석!$C$10,M4081&lt;=원인분석!$C$11),"당기",IF(AND(M4081&gt;=원인분석!$C$12,M4081&lt;=원인분석!$C$13),"비교",""))))</f>
        <v/>
      </c>
      <c r="R4081" s="9">
        <f>IF(Q4081="","",$K4081&amp;"")</f>
        <v/>
      </c>
      <c r="S4081" s="9">
        <f>IF(Q4081="","",IF(MATCH(R4081,$R$5:$R$100000,0)=ROW()-4,ROW(),""))</f>
        <v/>
      </c>
      <c r="T4081" s="9">
        <f>IF(Q4081="당기",ABS(P4081)+ROW()/1000000000,"")</f>
        <v/>
      </c>
      <c r="U4081" s="9">
        <f>IF(Q4081="비교",ABS(P4081)+ROW()/1000000000,"")</f>
        <v/>
      </c>
      <c r="V4081" s="64">
        <f>IF($A4081="","",IF(COUNTIF(변동분석!$E$7:$E$506,O4081)&gt;0,"Y","N"))</f>
        <v/>
      </c>
      <c r="W4081" s="64">
        <f>IF($A4081="","",IFERROR(INDEX(계정매핑!$D$5:$D$504,MATCH($F4081&amp;"",계정매핑!$A$5:$A$504,0)),"미매핑"))</f>
        <v/>
      </c>
      <c r="X4081" s="9">
        <f>IF($A4081="","",$F4081&amp;"")</f>
        <v/>
      </c>
      <c r="Y4081" s="94">
        <f>IF($A4081="",0,IF(AE4081="직접",IF(AF4081="비귀속",$P4081,0),$P4081*(1-AG4081)*IFERROR(INDEX(계정대체기준!$F$20:$F$49,MATCH($N4081,계정대체기준!$A$20:$A$49,0)),1)))</f>
        <v/>
      </c>
      <c r="Z4081" s="94">
        <f>IF($A4081="",0,IF(AE4081="직접",IF(AF4081="신계약비",$P4081,0),$P4081*(1-AG4081)*IFERROR(INDEX(계정대체기준!$C$20:$C$49,MATCH($N4081,계정대체기준!$A$20:$A$49,0)),0)))</f>
        <v/>
      </c>
      <c r="AA4081" s="94">
        <f>IF($A4081="",0,IF(AE4081="직접",IF(OR(AF4081="유지비",AF4081="손해조사비"),$P4081,0),$P4081*(1-AG4081)*IFERROR(INDEX(계정대체기준!$D$20:$D$49,MATCH($N4081,계정대체기준!$A$20:$A$49,0)),0)))</f>
        <v/>
      </c>
      <c r="AB4081" s="94">
        <f>IF($A4081="",0,IF(AE4081="직접",IF(AF4081="수금비",$P4081,0),$P4081*(1-AG4081)*IFERROR(INDEX(계정대체기준!$E$20:$E$49,MATCH($N4081,계정대체기준!$A$20:$A$49,0)),0)))</f>
        <v/>
      </c>
      <c r="AC4081" s="9">
        <f>IF(AND($A4081&lt;&gt;"",M4081=설정!$C$20,Z4081&gt;0),Z4081+ROW()/1000000000,"")</f>
        <v/>
      </c>
      <c r="AD4081" s="94">
        <f>IF($A4081="",0,$P4081*AG4081)</f>
        <v/>
      </c>
      <c r="AE4081" s="64">
        <f>IF($A4081="","",IFERROR(INDEX(계정매핑!$E$5:$E$504,MATCH($F4081&amp;"",계정매핑!$A$5:$A$504,0))&amp;"","공통비"))</f>
        <v/>
      </c>
      <c r="AF4081" s="64">
        <f>IF($A4081="","",IF(AE4081="직접",IFERROR(INDEX(계정매핑!$F$5:$F$504,MATCH($F4081&amp;"",계정매핑!$A$5:$A$504,0))&amp;"","비귀속"),""))</f>
        <v/>
      </c>
      <c r="AG4081" s="96">
        <f>IF($A4081="",0,IF(AND(AE4081&lt;&gt;"직접",IFERROR(INDEX(계정매핑!$G$5:$G$504,MATCH($F4081&amp;"",계정매핑!$A$5:$A$504,0))&amp;"","")="유지비",COUNTIF(계정대체기준!$A$6:$A$15,$N4081)&gt;0),IFERROR(INDEX(계정대체기준!$E$6:$E$15,MATCH(VALUE($A4081&amp;""),계정대체기준!$D$6:$D$15,0)),0),0))</f>
        <v/>
      </c>
      <c r="AH4081" s="64">
        <f>IF($A4081="","",IF(AD4081=0,"",IF(OR(COUNTIF(계정대체기준!$A$77:$A$86,$N4081)&gt;0,ISNUMBER(MATCH($X4081,계정대체기준!$D$77:$D$86,0)),ISNUMBER(MATCH($F4081,계정대체기준!$D$77:$D$86,0))),"Y","N")))</f>
        <v/>
      </c>
    </row>
    <row r="4082">
      <c r="A4082" s="92" t="n">
        <v>2026</v>
      </c>
      <c r="B4082" s="92" t="n">
        <v>6</v>
      </c>
      <c r="C4082" s="92" t="inlineStr">
        <is>
          <t>5100001360</t>
        </is>
      </c>
      <c r="D4082" s="95" t="n">
        <v>46200</v>
      </c>
      <c r="E4082" s="92" t="inlineStr">
        <is>
          <t>KR</t>
        </is>
      </c>
      <c r="F4082" s="92" t="n">
        <v>62201000</v>
      </c>
      <c r="G4082" s="92" t="n">
        <v>1201</v>
      </c>
      <c r="H4082" s="93" t="n">
        <v>125000</v>
      </c>
      <c r="I4082" s="92" t="inlineStr">
        <is>
          <t>6월 통신요금 - P통신</t>
        </is>
      </c>
      <c r="J4082" s="92" t="inlineStr">
        <is>
          <t>V10014</t>
        </is>
      </c>
      <c r="K4082" s="92" t="inlineStr">
        <is>
          <t>P통신</t>
        </is>
      </c>
      <c r="M4082" s="9">
        <f>IF($A4082="","",VALUE($A4082&amp;"")*12+VALUE($B4082&amp;""))</f>
        <v/>
      </c>
      <c r="N4082" s="64">
        <f>IF($A4082="","",IFERROR(INDEX(부서매핑!$C$5:$C$504,MATCH($G4082&amp;"",부서매핑!$A$5:$A$504,0)),"미매핑"))</f>
        <v/>
      </c>
      <c r="O4082" s="9">
        <f>IF($A4082="","",N4082&amp;"|"&amp;$F4082)</f>
        <v/>
      </c>
      <c r="P4082" s="94">
        <f>IF($A4082="",0,$H4082*설정!$C$23)</f>
        <v/>
      </c>
      <c r="Q4082" s="64">
        <f>IF($A4082="","",IF(O4082&lt;&gt;원인분석!$C$9,"",IF(AND(M4082&gt;=원인분석!$C$10,M4082&lt;=원인분석!$C$11),"당기",IF(AND(M4082&gt;=원인분석!$C$12,M4082&lt;=원인분석!$C$13),"비교",""))))</f>
        <v/>
      </c>
      <c r="R4082" s="9">
        <f>IF(Q4082="","",$K4082&amp;"")</f>
        <v/>
      </c>
      <c r="S4082" s="9">
        <f>IF(Q4082="","",IF(MATCH(R4082,$R$5:$R$100000,0)=ROW()-4,ROW(),""))</f>
        <v/>
      </c>
      <c r="T4082" s="9">
        <f>IF(Q4082="당기",ABS(P4082)+ROW()/1000000000,"")</f>
        <v/>
      </c>
      <c r="U4082" s="9">
        <f>IF(Q4082="비교",ABS(P4082)+ROW()/1000000000,"")</f>
        <v/>
      </c>
      <c r="V4082" s="64">
        <f>IF($A4082="","",IF(COUNTIF(변동분석!$E$7:$E$506,O4082)&gt;0,"Y","N"))</f>
        <v/>
      </c>
      <c r="W4082" s="64">
        <f>IF($A4082="","",IFERROR(INDEX(계정매핑!$D$5:$D$504,MATCH($F4082&amp;"",계정매핑!$A$5:$A$504,0)),"미매핑"))</f>
        <v/>
      </c>
      <c r="X4082" s="9">
        <f>IF($A4082="","",$F4082&amp;"")</f>
        <v/>
      </c>
      <c r="Y4082" s="94">
        <f>IF($A4082="",0,IF(AE4082="직접",IF(AF4082="비귀속",$P4082,0),$P4082*(1-AG4082)*IFERROR(INDEX(계정대체기준!$F$20:$F$49,MATCH($N4082,계정대체기준!$A$20:$A$49,0)),1)))</f>
        <v/>
      </c>
      <c r="Z4082" s="94">
        <f>IF($A4082="",0,IF(AE4082="직접",IF(AF4082="신계약비",$P4082,0),$P4082*(1-AG4082)*IFERROR(INDEX(계정대체기준!$C$20:$C$49,MATCH($N4082,계정대체기준!$A$20:$A$49,0)),0)))</f>
        <v/>
      </c>
      <c r="AA4082" s="94">
        <f>IF($A4082="",0,IF(AE4082="직접",IF(OR(AF4082="유지비",AF4082="손해조사비"),$P4082,0),$P4082*(1-AG4082)*IFERROR(INDEX(계정대체기준!$D$20:$D$49,MATCH($N4082,계정대체기준!$A$20:$A$49,0)),0)))</f>
        <v/>
      </c>
      <c r="AB4082" s="94">
        <f>IF($A4082="",0,IF(AE4082="직접",IF(AF4082="수금비",$P4082,0),$P4082*(1-AG4082)*IFERROR(INDEX(계정대체기준!$E$20:$E$49,MATCH($N4082,계정대체기준!$A$20:$A$49,0)),0)))</f>
        <v/>
      </c>
      <c r="AC4082" s="9">
        <f>IF(AND($A4082&lt;&gt;"",M4082=설정!$C$20,Z4082&gt;0),Z4082+ROW()/1000000000,"")</f>
        <v/>
      </c>
      <c r="AD4082" s="94">
        <f>IF($A4082="",0,$P4082*AG4082)</f>
        <v/>
      </c>
      <c r="AE4082" s="64">
        <f>IF($A4082="","",IFERROR(INDEX(계정매핑!$E$5:$E$504,MATCH($F4082&amp;"",계정매핑!$A$5:$A$504,0))&amp;"","공통비"))</f>
        <v/>
      </c>
      <c r="AF4082" s="64">
        <f>IF($A4082="","",IF(AE4082="직접",IFERROR(INDEX(계정매핑!$F$5:$F$504,MATCH($F4082&amp;"",계정매핑!$A$5:$A$504,0))&amp;"","비귀속"),""))</f>
        <v/>
      </c>
      <c r="AG4082" s="96">
        <f>IF($A4082="",0,IF(AND(AE4082&lt;&gt;"직접",IFERROR(INDEX(계정매핑!$G$5:$G$504,MATCH($F4082&amp;"",계정매핑!$A$5:$A$504,0))&amp;"","")="유지비",COUNTIF(계정대체기준!$A$6:$A$15,$N4082)&gt;0),IFERROR(INDEX(계정대체기준!$E$6:$E$15,MATCH(VALUE($A4082&amp;""),계정대체기준!$D$6:$D$15,0)),0),0))</f>
        <v/>
      </c>
      <c r="AH4082" s="64">
        <f>IF($A4082="","",IF(AD4082=0,"",IF(OR(COUNTIF(계정대체기준!$A$77:$A$86,$N4082)&gt;0,ISNUMBER(MATCH($X4082,계정대체기준!$D$77:$D$86,0)),ISNUMBER(MATCH($F4082,계정대체기준!$D$77:$D$86,0))),"Y","N")))</f>
        <v/>
      </c>
    </row>
    <row r="4083">
      <c r="A4083" s="92" t="n">
        <v>2026</v>
      </c>
      <c r="B4083" s="92" t="n">
        <v>6</v>
      </c>
      <c r="C4083" s="92" t="inlineStr">
        <is>
          <t>5100001361</t>
        </is>
      </c>
      <c r="D4083" s="95" t="n">
        <v>46200</v>
      </c>
      <c r="E4083" s="92" t="inlineStr">
        <is>
          <t>KR</t>
        </is>
      </c>
      <c r="F4083" s="92" t="n">
        <v>62401000</v>
      </c>
      <c r="G4083" s="92" t="n">
        <v>1801</v>
      </c>
      <c r="H4083" s="93" t="n">
        <v>2441000</v>
      </c>
      <c r="I4083" s="92" t="inlineStr">
        <is>
          <t>6월 인쇄물 제작 - S출판</t>
        </is>
      </c>
      <c r="J4083" s="92" t="inlineStr">
        <is>
          <t>V10015</t>
        </is>
      </c>
      <c r="K4083" s="92" t="inlineStr">
        <is>
          <t>S출판</t>
        </is>
      </c>
      <c r="M4083" s="9">
        <f>IF($A4083="","",VALUE($A4083&amp;"")*12+VALUE($B4083&amp;""))</f>
        <v/>
      </c>
      <c r="N4083" s="64">
        <f>IF($A4083="","",IFERROR(INDEX(부서매핑!$C$5:$C$504,MATCH($G4083&amp;"",부서매핑!$A$5:$A$504,0)),"미매핑"))</f>
        <v/>
      </c>
      <c r="O4083" s="9">
        <f>IF($A4083="","",N4083&amp;"|"&amp;$F4083)</f>
        <v/>
      </c>
      <c r="P4083" s="94">
        <f>IF($A4083="",0,$H4083*설정!$C$23)</f>
        <v/>
      </c>
      <c r="Q4083" s="64">
        <f>IF($A4083="","",IF(O4083&lt;&gt;원인분석!$C$9,"",IF(AND(M4083&gt;=원인분석!$C$10,M4083&lt;=원인분석!$C$11),"당기",IF(AND(M4083&gt;=원인분석!$C$12,M4083&lt;=원인분석!$C$13),"비교",""))))</f>
        <v/>
      </c>
      <c r="R4083" s="9">
        <f>IF(Q4083="","",$K4083&amp;"")</f>
        <v/>
      </c>
      <c r="S4083" s="9">
        <f>IF(Q4083="","",IF(MATCH(R4083,$R$5:$R$100000,0)=ROW()-4,ROW(),""))</f>
        <v/>
      </c>
      <c r="T4083" s="9">
        <f>IF(Q4083="당기",ABS(P4083)+ROW()/1000000000,"")</f>
        <v/>
      </c>
      <c r="U4083" s="9">
        <f>IF(Q4083="비교",ABS(P4083)+ROW()/1000000000,"")</f>
        <v/>
      </c>
      <c r="V4083" s="64">
        <f>IF($A4083="","",IF(COUNTIF(변동분석!$E$7:$E$506,O4083)&gt;0,"Y","N"))</f>
        <v/>
      </c>
      <c r="W4083" s="64">
        <f>IF($A4083="","",IFERROR(INDEX(계정매핑!$D$5:$D$504,MATCH($F4083&amp;"",계정매핑!$A$5:$A$504,0)),"미매핑"))</f>
        <v/>
      </c>
      <c r="X4083" s="9">
        <f>IF($A4083="","",$F4083&amp;"")</f>
        <v/>
      </c>
      <c r="Y4083" s="94">
        <f>IF($A4083="",0,IF(AE4083="직접",IF(AF4083="비귀속",$P4083,0),$P4083*(1-AG4083)*IFERROR(INDEX(계정대체기준!$F$20:$F$49,MATCH($N4083,계정대체기준!$A$20:$A$49,0)),1)))</f>
        <v/>
      </c>
      <c r="Z4083" s="94">
        <f>IF($A4083="",0,IF(AE4083="직접",IF(AF4083="신계약비",$P4083,0),$P4083*(1-AG4083)*IFERROR(INDEX(계정대체기준!$C$20:$C$49,MATCH($N4083,계정대체기준!$A$20:$A$49,0)),0)))</f>
        <v/>
      </c>
      <c r="AA4083" s="94">
        <f>IF($A4083="",0,IF(AE4083="직접",IF(OR(AF4083="유지비",AF4083="손해조사비"),$P4083,0),$P4083*(1-AG4083)*IFERROR(INDEX(계정대체기준!$D$20:$D$49,MATCH($N4083,계정대체기준!$A$20:$A$49,0)),0)))</f>
        <v/>
      </c>
      <c r="AB4083" s="94">
        <f>IF($A4083="",0,IF(AE4083="직접",IF(AF4083="수금비",$P4083,0),$P4083*(1-AG4083)*IFERROR(INDEX(계정대체기준!$E$20:$E$49,MATCH($N4083,계정대체기준!$A$20:$A$49,0)),0)))</f>
        <v/>
      </c>
      <c r="AC4083" s="9">
        <f>IF(AND($A4083&lt;&gt;"",M4083=설정!$C$20,Z4083&gt;0),Z4083+ROW()/1000000000,"")</f>
        <v/>
      </c>
      <c r="AD4083" s="94">
        <f>IF($A4083="",0,$P4083*AG4083)</f>
        <v/>
      </c>
      <c r="AE4083" s="64">
        <f>IF($A4083="","",IFERROR(INDEX(계정매핑!$E$5:$E$504,MATCH($F4083&amp;"",계정매핑!$A$5:$A$504,0))&amp;"","공통비"))</f>
        <v/>
      </c>
      <c r="AF4083" s="64">
        <f>IF($A4083="","",IF(AE4083="직접",IFERROR(INDEX(계정매핑!$F$5:$F$504,MATCH($F4083&amp;"",계정매핑!$A$5:$A$504,0))&amp;"","비귀속"),""))</f>
        <v/>
      </c>
      <c r="AG4083" s="96">
        <f>IF($A4083="",0,IF(AND(AE4083&lt;&gt;"직접",IFERROR(INDEX(계정매핑!$G$5:$G$504,MATCH($F4083&amp;"",계정매핑!$A$5:$A$504,0))&amp;"","")="유지비",COUNTIF(계정대체기준!$A$6:$A$15,$N4083)&gt;0),IFERROR(INDEX(계정대체기준!$E$6:$E$15,MATCH(VALUE($A4083&amp;""),계정대체기준!$D$6:$D$15,0)),0),0))</f>
        <v/>
      </c>
      <c r="AH4083" s="64">
        <f>IF($A4083="","",IF(AD4083=0,"",IF(OR(COUNTIF(계정대체기준!$A$77:$A$86,$N4083)&gt;0,ISNUMBER(MATCH($X4083,계정대체기준!$D$77:$D$86,0)),ISNUMBER(MATCH($F4083,계정대체기준!$D$77:$D$86,0))),"Y","N")))</f>
        <v/>
      </c>
    </row>
    <row r="4084">
      <c r="A4084" s="92" t="n">
        <v>2026</v>
      </c>
      <c r="B4084" s="92" t="n">
        <v>6</v>
      </c>
      <c r="C4084" s="92" t="inlineStr">
        <is>
          <t>5100001362</t>
        </is>
      </c>
      <c r="D4084" s="95" t="n">
        <v>46200</v>
      </c>
      <c r="E4084" s="92" t="inlineStr">
        <is>
          <t>KR</t>
        </is>
      </c>
      <c r="F4084" s="92" t="n">
        <v>62501000</v>
      </c>
      <c r="G4084" s="92" t="n">
        <v>1101</v>
      </c>
      <c r="H4084" s="93" t="n">
        <v>418000</v>
      </c>
      <c r="I4084" s="92" t="inlineStr">
        <is>
          <t>6월 회의 다과 - T케이터링</t>
        </is>
      </c>
      <c r="J4084" s="92" t="inlineStr">
        <is>
          <t>V10005</t>
        </is>
      </c>
      <c r="K4084" s="92" t="inlineStr">
        <is>
          <t>T케이터링</t>
        </is>
      </c>
      <c r="M4084" s="9">
        <f>IF($A4084="","",VALUE($A4084&amp;"")*12+VALUE($B4084&amp;""))</f>
        <v/>
      </c>
      <c r="N4084" s="64">
        <f>IF($A4084="","",IFERROR(INDEX(부서매핑!$C$5:$C$504,MATCH($G4084&amp;"",부서매핑!$A$5:$A$504,0)),"미매핑"))</f>
        <v/>
      </c>
      <c r="O4084" s="9">
        <f>IF($A4084="","",N4084&amp;"|"&amp;$F4084)</f>
        <v/>
      </c>
      <c r="P4084" s="94">
        <f>IF($A4084="",0,$H4084*설정!$C$23)</f>
        <v/>
      </c>
      <c r="Q4084" s="64">
        <f>IF($A4084="","",IF(O4084&lt;&gt;원인분석!$C$9,"",IF(AND(M4084&gt;=원인분석!$C$10,M4084&lt;=원인분석!$C$11),"당기",IF(AND(M4084&gt;=원인분석!$C$12,M4084&lt;=원인분석!$C$13),"비교",""))))</f>
        <v/>
      </c>
      <c r="R4084" s="9">
        <f>IF(Q4084="","",$K4084&amp;"")</f>
        <v/>
      </c>
      <c r="S4084" s="9">
        <f>IF(Q4084="","",IF(MATCH(R4084,$R$5:$R$100000,0)=ROW()-4,ROW(),""))</f>
        <v/>
      </c>
      <c r="T4084" s="9">
        <f>IF(Q4084="당기",ABS(P4084)+ROW()/1000000000,"")</f>
        <v/>
      </c>
      <c r="U4084" s="9">
        <f>IF(Q4084="비교",ABS(P4084)+ROW()/1000000000,"")</f>
        <v/>
      </c>
      <c r="V4084" s="64">
        <f>IF($A4084="","",IF(COUNTIF(변동분석!$E$7:$E$506,O4084)&gt;0,"Y","N"))</f>
        <v/>
      </c>
      <c r="W4084" s="64">
        <f>IF($A4084="","",IFERROR(INDEX(계정매핑!$D$5:$D$504,MATCH($F4084&amp;"",계정매핑!$A$5:$A$504,0)),"미매핑"))</f>
        <v/>
      </c>
      <c r="X4084" s="9">
        <f>IF($A4084="","",$F4084&amp;"")</f>
        <v/>
      </c>
      <c r="Y4084" s="94">
        <f>IF($A4084="",0,IF(AE4084="직접",IF(AF4084="비귀속",$P4084,0),$P4084*(1-AG4084)*IFERROR(INDEX(계정대체기준!$F$20:$F$49,MATCH($N4084,계정대체기준!$A$20:$A$49,0)),1)))</f>
        <v/>
      </c>
      <c r="Z4084" s="94">
        <f>IF($A4084="",0,IF(AE4084="직접",IF(AF4084="신계약비",$P4084,0),$P4084*(1-AG4084)*IFERROR(INDEX(계정대체기준!$C$20:$C$49,MATCH($N4084,계정대체기준!$A$20:$A$49,0)),0)))</f>
        <v/>
      </c>
      <c r="AA4084" s="94">
        <f>IF($A4084="",0,IF(AE4084="직접",IF(OR(AF4084="유지비",AF4084="손해조사비"),$P4084,0),$P4084*(1-AG4084)*IFERROR(INDEX(계정대체기준!$D$20:$D$49,MATCH($N4084,계정대체기준!$A$20:$A$49,0)),0)))</f>
        <v/>
      </c>
      <c r="AB4084" s="94">
        <f>IF($A4084="",0,IF(AE4084="직접",IF(AF4084="수금비",$P4084,0),$P4084*(1-AG4084)*IFERROR(INDEX(계정대체기준!$E$20:$E$49,MATCH($N4084,계정대체기준!$A$20:$A$49,0)),0)))</f>
        <v/>
      </c>
      <c r="AC4084" s="9">
        <f>IF(AND($A4084&lt;&gt;"",M4084=설정!$C$20,Z4084&gt;0),Z4084+ROW()/1000000000,"")</f>
        <v/>
      </c>
      <c r="AD4084" s="94">
        <f>IF($A4084="",0,$P4084*AG4084)</f>
        <v/>
      </c>
      <c r="AE4084" s="64">
        <f>IF($A4084="","",IFERROR(INDEX(계정매핑!$E$5:$E$504,MATCH($F4084&amp;"",계정매핑!$A$5:$A$504,0))&amp;"","공통비"))</f>
        <v/>
      </c>
      <c r="AF4084" s="64">
        <f>IF($A4084="","",IF(AE4084="직접",IFERROR(INDEX(계정매핑!$F$5:$F$504,MATCH($F4084&amp;"",계정매핑!$A$5:$A$504,0))&amp;"","비귀속"),""))</f>
        <v/>
      </c>
      <c r="AG4084" s="96">
        <f>IF($A4084="",0,IF(AND(AE4084&lt;&gt;"직접",IFERROR(INDEX(계정매핑!$G$5:$G$504,MATCH($F4084&amp;"",계정매핑!$A$5:$A$504,0))&amp;"","")="유지비",COUNTIF(계정대체기준!$A$6:$A$15,$N4084)&gt;0),IFERROR(INDEX(계정대체기준!$E$6:$E$15,MATCH(VALUE($A4084&amp;""),계정대체기준!$D$6:$D$15,0)),0),0))</f>
        <v/>
      </c>
      <c r="AH4084" s="64">
        <f>IF($A4084="","",IF(AD4084=0,"",IF(OR(COUNTIF(계정대체기준!$A$77:$A$86,$N4084)&gt;0,ISNUMBER(MATCH($X4084,계정대체기준!$D$77:$D$86,0)),ISNUMBER(MATCH($F4084,계정대체기준!$D$77:$D$86,0))),"Y","N")))</f>
        <v/>
      </c>
    </row>
    <row r="4085">
      <c r="A4085" s="92" t="n">
        <v>2026</v>
      </c>
      <c r="B4085" s="92" t="n">
        <v>6</v>
      </c>
      <c r="C4085" s="92" t="inlineStr">
        <is>
          <t>5100001363</t>
        </is>
      </c>
      <c r="D4085" s="95" t="n">
        <v>46200</v>
      </c>
      <c r="E4085" s="92" t="inlineStr">
        <is>
          <t>KR</t>
        </is>
      </c>
      <c r="F4085" s="92" t="n">
        <v>63001000</v>
      </c>
      <c r="G4085" s="92" t="n">
        <v>1701</v>
      </c>
      <c r="H4085" s="93" t="n">
        <v>37563000</v>
      </c>
      <c r="I4085" s="92" t="inlineStr">
        <is>
          <t>6월 SW 유지보수 - Z시스템</t>
        </is>
      </c>
      <c r="J4085" s="92" t="inlineStr">
        <is>
          <t>V10012</t>
        </is>
      </c>
      <c r="K4085" s="92" t="inlineStr">
        <is>
          <t>Z시스템</t>
        </is>
      </c>
      <c r="M4085" s="9">
        <f>IF($A4085="","",VALUE($A4085&amp;"")*12+VALUE($B4085&amp;""))</f>
        <v/>
      </c>
      <c r="N4085" s="64">
        <f>IF($A4085="","",IFERROR(INDEX(부서매핑!$C$5:$C$504,MATCH($G4085&amp;"",부서매핑!$A$5:$A$504,0)),"미매핑"))</f>
        <v/>
      </c>
      <c r="O4085" s="9">
        <f>IF($A4085="","",N4085&amp;"|"&amp;$F4085)</f>
        <v/>
      </c>
      <c r="P4085" s="94">
        <f>IF($A4085="",0,$H4085*설정!$C$23)</f>
        <v/>
      </c>
      <c r="Q4085" s="64">
        <f>IF($A4085="","",IF(O4085&lt;&gt;원인분석!$C$9,"",IF(AND(M4085&gt;=원인분석!$C$10,M4085&lt;=원인분석!$C$11),"당기",IF(AND(M4085&gt;=원인분석!$C$12,M4085&lt;=원인분석!$C$13),"비교",""))))</f>
        <v/>
      </c>
      <c r="R4085" s="9">
        <f>IF(Q4085="","",$K4085&amp;"")</f>
        <v/>
      </c>
      <c r="S4085" s="9">
        <f>IF(Q4085="","",IF(MATCH(R4085,$R$5:$R$100000,0)=ROW()-4,ROW(),""))</f>
        <v/>
      </c>
      <c r="T4085" s="9">
        <f>IF(Q4085="당기",ABS(P4085)+ROW()/1000000000,"")</f>
        <v/>
      </c>
      <c r="U4085" s="9">
        <f>IF(Q4085="비교",ABS(P4085)+ROW()/1000000000,"")</f>
        <v/>
      </c>
      <c r="V4085" s="64">
        <f>IF($A4085="","",IF(COUNTIF(변동분석!$E$7:$E$506,O4085)&gt;0,"Y","N"))</f>
        <v/>
      </c>
      <c r="W4085" s="64">
        <f>IF($A4085="","",IFERROR(INDEX(계정매핑!$D$5:$D$504,MATCH($F4085&amp;"",계정매핑!$A$5:$A$504,0)),"미매핑"))</f>
        <v/>
      </c>
      <c r="X4085" s="9">
        <f>IF($A4085="","",$F4085&amp;"")</f>
        <v/>
      </c>
      <c r="Y4085" s="94">
        <f>IF($A4085="",0,IF(AE4085="직접",IF(AF4085="비귀속",$P4085,0),$P4085*(1-AG4085)*IFERROR(INDEX(계정대체기준!$F$20:$F$49,MATCH($N4085,계정대체기준!$A$20:$A$49,0)),1)))</f>
        <v/>
      </c>
      <c r="Z4085" s="94">
        <f>IF($A4085="",0,IF(AE4085="직접",IF(AF4085="신계약비",$P4085,0),$P4085*(1-AG4085)*IFERROR(INDEX(계정대체기준!$C$20:$C$49,MATCH($N4085,계정대체기준!$A$20:$A$49,0)),0)))</f>
        <v/>
      </c>
      <c r="AA4085" s="94">
        <f>IF($A4085="",0,IF(AE4085="직접",IF(OR(AF4085="유지비",AF4085="손해조사비"),$P4085,0),$P4085*(1-AG4085)*IFERROR(INDEX(계정대체기준!$D$20:$D$49,MATCH($N4085,계정대체기준!$A$20:$A$49,0)),0)))</f>
        <v/>
      </c>
      <c r="AB4085" s="94">
        <f>IF($A4085="",0,IF(AE4085="직접",IF(AF4085="수금비",$P4085,0),$P4085*(1-AG4085)*IFERROR(INDEX(계정대체기준!$E$20:$E$49,MATCH($N4085,계정대체기준!$A$20:$A$49,0)),0)))</f>
        <v/>
      </c>
      <c r="AC4085" s="9">
        <f>IF(AND($A4085&lt;&gt;"",M4085=설정!$C$20,Z4085&gt;0),Z4085+ROW()/1000000000,"")</f>
        <v/>
      </c>
      <c r="AD4085" s="94">
        <f>IF($A4085="",0,$P4085*AG4085)</f>
        <v/>
      </c>
      <c r="AE4085" s="64">
        <f>IF($A4085="","",IFERROR(INDEX(계정매핑!$E$5:$E$504,MATCH($F4085&amp;"",계정매핑!$A$5:$A$504,0))&amp;"","공통비"))</f>
        <v/>
      </c>
      <c r="AF4085" s="64">
        <f>IF($A4085="","",IF(AE4085="직접",IFERROR(INDEX(계정매핑!$F$5:$F$504,MATCH($F4085&amp;"",계정매핑!$A$5:$A$504,0))&amp;"","비귀속"),""))</f>
        <v/>
      </c>
      <c r="AG4085" s="96">
        <f>IF($A4085="",0,IF(AND(AE4085&lt;&gt;"직접",IFERROR(INDEX(계정매핑!$G$5:$G$504,MATCH($F4085&amp;"",계정매핑!$A$5:$A$504,0))&amp;"","")="유지비",COUNTIF(계정대체기준!$A$6:$A$15,$N4085)&gt;0),IFERROR(INDEX(계정대체기준!$E$6:$E$15,MATCH(VALUE($A4085&amp;""),계정대체기준!$D$6:$D$15,0)),0),0))</f>
        <v/>
      </c>
      <c r="AH4085" s="64">
        <f>IF($A4085="","",IF(AD4085=0,"",IF(OR(COUNTIF(계정대체기준!$A$77:$A$86,$N4085)&gt;0,ISNUMBER(MATCH($X4085,계정대체기준!$D$77:$D$86,0)),ISNUMBER(MATCH($F4085,계정대체기준!$D$77:$D$86,0))),"Y","N")))</f>
        <v/>
      </c>
    </row>
    <row r="4086">
      <c r="A4086" s="92" t="n">
        <v>2026</v>
      </c>
      <c r="B4086" s="92" t="n">
        <v>6</v>
      </c>
      <c r="C4086" s="92" t="inlineStr">
        <is>
          <t>5100001364</t>
        </is>
      </c>
      <c r="D4086" s="95" t="n">
        <v>46200</v>
      </c>
      <c r="E4086" s="92" t="inlineStr">
        <is>
          <t>KR</t>
        </is>
      </c>
      <c r="F4086" s="92" t="n">
        <v>63601000</v>
      </c>
      <c r="G4086" s="92" t="n">
        <v>1801</v>
      </c>
      <c r="H4086" s="93" t="n">
        <v>5756000</v>
      </c>
      <c r="I4086" s="92" t="inlineStr">
        <is>
          <t>6월 손해사정 수수료 - DD손해사정</t>
        </is>
      </c>
      <c r="J4086" s="92" t="inlineStr">
        <is>
          <t>V10032</t>
        </is>
      </c>
      <c r="K4086" s="92" t="inlineStr">
        <is>
          <t>DD손해사정</t>
        </is>
      </c>
      <c r="M4086" s="9">
        <f>IF($A4086="","",VALUE($A4086&amp;"")*12+VALUE($B4086&amp;""))</f>
        <v/>
      </c>
      <c r="N4086" s="64">
        <f>IF($A4086="","",IFERROR(INDEX(부서매핑!$C$5:$C$504,MATCH($G4086&amp;"",부서매핑!$A$5:$A$504,0)),"미매핑"))</f>
        <v/>
      </c>
      <c r="O4086" s="9">
        <f>IF($A4086="","",N4086&amp;"|"&amp;$F4086)</f>
        <v/>
      </c>
      <c r="P4086" s="94">
        <f>IF($A4086="",0,$H4086*설정!$C$23)</f>
        <v/>
      </c>
      <c r="Q4086" s="64">
        <f>IF($A4086="","",IF(O4086&lt;&gt;원인분석!$C$9,"",IF(AND(M4086&gt;=원인분석!$C$10,M4086&lt;=원인분석!$C$11),"당기",IF(AND(M4086&gt;=원인분석!$C$12,M4086&lt;=원인분석!$C$13),"비교",""))))</f>
        <v/>
      </c>
      <c r="R4086" s="9">
        <f>IF(Q4086="","",$K4086&amp;"")</f>
        <v/>
      </c>
      <c r="S4086" s="9">
        <f>IF(Q4086="","",IF(MATCH(R4086,$R$5:$R$100000,0)=ROW()-4,ROW(),""))</f>
        <v/>
      </c>
      <c r="T4086" s="9">
        <f>IF(Q4086="당기",ABS(P4086)+ROW()/1000000000,"")</f>
        <v/>
      </c>
      <c r="U4086" s="9">
        <f>IF(Q4086="비교",ABS(P4086)+ROW()/1000000000,"")</f>
        <v/>
      </c>
      <c r="V4086" s="64">
        <f>IF($A4086="","",IF(COUNTIF(변동분석!$E$7:$E$506,O4086)&gt;0,"Y","N"))</f>
        <v/>
      </c>
      <c r="W4086" s="64">
        <f>IF($A4086="","",IFERROR(INDEX(계정매핑!$D$5:$D$504,MATCH($F4086&amp;"",계정매핑!$A$5:$A$504,0)),"미매핑"))</f>
        <v/>
      </c>
      <c r="X4086" s="9">
        <f>IF($A4086="","",$F4086&amp;"")</f>
        <v/>
      </c>
      <c r="Y4086" s="94">
        <f>IF($A4086="",0,IF(AE4086="직접",IF(AF4086="비귀속",$P4086,0),$P4086*(1-AG4086)*IFERROR(INDEX(계정대체기준!$F$20:$F$49,MATCH($N4086,계정대체기준!$A$20:$A$49,0)),1)))</f>
        <v/>
      </c>
      <c r="Z4086" s="94">
        <f>IF($A4086="",0,IF(AE4086="직접",IF(AF4086="신계약비",$P4086,0),$P4086*(1-AG4086)*IFERROR(INDEX(계정대체기준!$C$20:$C$49,MATCH($N4086,계정대체기준!$A$20:$A$49,0)),0)))</f>
        <v/>
      </c>
      <c r="AA4086" s="94">
        <f>IF($A4086="",0,IF(AE4086="직접",IF(OR(AF4086="유지비",AF4086="손해조사비"),$P4086,0),$P4086*(1-AG4086)*IFERROR(INDEX(계정대체기준!$D$20:$D$49,MATCH($N4086,계정대체기준!$A$20:$A$49,0)),0)))</f>
        <v/>
      </c>
      <c r="AB4086" s="94">
        <f>IF($A4086="",0,IF(AE4086="직접",IF(AF4086="수금비",$P4086,0),$P4086*(1-AG4086)*IFERROR(INDEX(계정대체기준!$E$20:$E$49,MATCH($N4086,계정대체기준!$A$20:$A$49,0)),0)))</f>
        <v/>
      </c>
      <c r="AC4086" s="9">
        <f>IF(AND($A4086&lt;&gt;"",M4086=설정!$C$20,Z4086&gt;0),Z4086+ROW()/1000000000,"")</f>
        <v/>
      </c>
      <c r="AD4086" s="94">
        <f>IF($A4086="",0,$P4086*AG4086)</f>
        <v/>
      </c>
      <c r="AE4086" s="64">
        <f>IF($A4086="","",IFERROR(INDEX(계정매핑!$E$5:$E$504,MATCH($F4086&amp;"",계정매핑!$A$5:$A$504,0))&amp;"","공통비"))</f>
        <v/>
      </c>
      <c r="AF4086" s="64">
        <f>IF($A4086="","",IF(AE4086="직접",IFERROR(INDEX(계정매핑!$F$5:$F$504,MATCH($F4086&amp;"",계정매핑!$A$5:$A$504,0))&amp;"","비귀속"),""))</f>
        <v/>
      </c>
      <c r="AG4086" s="96">
        <f>IF($A4086="",0,IF(AND(AE4086&lt;&gt;"직접",IFERROR(INDEX(계정매핑!$G$5:$G$504,MATCH($F4086&amp;"",계정매핑!$A$5:$A$504,0))&amp;"","")="유지비",COUNTIF(계정대체기준!$A$6:$A$15,$N4086)&gt;0),IFERROR(INDEX(계정대체기준!$E$6:$E$15,MATCH(VALUE($A4086&amp;""),계정대체기준!$D$6:$D$15,0)),0),0))</f>
        <v/>
      </c>
      <c r="AH4086" s="64">
        <f>IF($A4086="","",IF(AD4086=0,"",IF(OR(COUNTIF(계정대체기준!$A$77:$A$86,$N4086)&gt;0,ISNUMBER(MATCH($X4086,계정대체기준!$D$77:$D$86,0)),ISNUMBER(MATCH($F4086,계정대체기준!$D$77:$D$86,0))),"Y","N")))</f>
        <v/>
      </c>
    </row>
    <row r="4087">
      <c r="A4087" s="92" t="n">
        <v>2026</v>
      </c>
      <c r="B4087" s="92" t="n">
        <v>6</v>
      </c>
      <c r="C4087" s="92" t="inlineStr">
        <is>
          <t>5100001365</t>
        </is>
      </c>
      <c r="D4087" s="95" t="n">
        <v>46200</v>
      </c>
      <c r="E4087" s="92" t="inlineStr">
        <is>
          <t>KR</t>
        </is>
      </c>
      <c r="F4087" s="92" t="n">
        <v>63601000</v>
      </c>
      <c r="G4087" s="92" t="n">
        <v>1801</v>
      </c>
      <c r="H4087" s="93" t="n">
        <v>7173000</v>
      </c>
      <c r="I4087" s="92" t="inlineStr">
        <is>
          <t>6월 손해사정 수수료 - EE손해사정</t>
        </is>
      </c>
      <c r="J4087" s="92" t="inlineStr">
        <is>
          <t>V10008</t>
        </is>
      </c>
      <c r="K4087" s="92" t="inlineStr">
        <is>
          <t>EE손해사정</t>
        </is>
      </c>
      <c r="M4087" s="9">
        <f>IF($A4087="","",VALUE($A4087&amp;"")*12+VALUE($B4087&amp;""))</f>
        <v/>
      </c>
      <c r="N4087" s="64">
        <f>IF($A4087="","",IFERROR(INDEX(부서매핑!$C$5:$C$504,MATCH($G4087&amp;"",부서매핑!$A$5:$A$504,0)),"미매핑"))</f>
        <v/>
      </c>
      <c r="O4087" s="9">
        <f>IF($A4087="","",N4087&amp;"|"&amp;$F4087)</f>
        <v/>
      </c>
      <c r="P4087" s="94">
        <f>IF($A4087="",0,$H4087*설정!$C$23)</f>
        <v/>
      </c>
      <c r="Q4087" s="64">
        <f>IF($A4087="","",IF(O4087&lt;&gt;원인분석!$C$9,"",IF(AND(M4087&gt;=원인분석!$C$10,M4087&lt;=원인분석!$C$11),"당기",IF(AND(M4087&gt;=원인분석!$C$12,M4087&lt;=원인분석!$C$13),"비교",""))))</f>
        <v/>
      </c>
      <c r="R4087" s="9">
        <f>IF(Q4087="","",$K4087&amp;"")</f>
        <v/>
      </c>
      <c r="S4087" s="9">
        <f>IF(Q4087="","",IF(MATCH(R4087,$R$5:$R$100000,0)=ROW()-4,ROW(),""))</f>
        <v/>
      </c>
      <c r="T4087" s="9">
        <f>IF(Q4087="당기",ABS(P4087)+ROW()/1000000000,"")</f>
        <v/>
      </c>
      <c r="U4087" s="9">
        <f>IF(Q4087="비교",ABS(P4087)+ROW()/1000000000,"")</f>
        <v/>
      </c>
      <c r="V4087" s="64">
        <f>IF($A4087="","",IF(COUNTIF(변동분석!$E$7:$E$506,O4087)&gt;0,"Y","N"))</f>
        <v/>
      </c>
      <c r="W4087" s="64">
        <f>IF($A4087="","",IFERROR(INDEX(계정매핑!$D$5:$D$504,MATCH($F4087&amp;"",계정매핑!$A$5:$A$504,0)),"미매핑"))</f>
        <v/>
      </c>
      <c r="X4087" s="9">
        <f>IF($A4087="","",$F4087&amp;"")</f>
        <v/>
      </c>
      <c r="Y4087" s="94">
        <f>IF($A4087="",0,IF(AE4087="직접",IF(AF4087="비귀속",$P4087,0),$P4087*(1-AG4087)*IFERROR(INDEX(계정대체기준!$F$20:$F$49,MATCH($N4087,계정대체기준!$A$20:$A$49,0)),1)))</f>
        <v/>
      </c>
      <c r="Z4087" s="94">
        <f>IF($A4087="",0,IF(AE4087="직접",IF(AF4087="신계약비",$P4087,0),$P4087*(1-AG4087)*IFERROR(INDEX(계정대체기준!$C$20:$C$49,MATCH($N4087,계정대체기준!$A$20:$A$49,0)),0)))</f>
        <v/>
      </c>
      <c r="AA4087" s="94">
        <f>IF($A4087="",0,IF(AE4087="직접",IF(OR(AF4087="유지비",AF4087="손해조사비"),$P4087,0),$P4087*(1-AG4087)*IFERROR(INDEX(계정대체기준!$D$20:$D$49,MATCH($N4087,계정대체기준!$A$20:$A$49,0)),0)))</f>
        <v/>
      </c>
      <c r="AB4087" s="94">
        <f>IF($A4087="",0,IF(AE4087="직접",IF(AF4087="수금비",$P4087,0),$P4087*(1-AG4087)*IFERROR(INDEX(계정대체기준!$E$20:$E$49,MATCH($N4087,계정대체기준!$A$20:$A$49,0)),0)))</f>
        <v/>
      </c>
      <c r="AC4087" s="9">
        <f>IF(AND($A4087&lt;&gt;"",M4087=설정!$C$20,Z4087&gt;0),Z4087+ROW()/1000000000,"")</f>
        <v/>
      </c>
      <c r="AD4087" s="94">
        <f>IF($A4087="",0,$P4087*AG4087)</f>
        <v/>
      </c>
      <c r="AE4087" s="64">
        <f>IF($A4087="","",IFERROR(INDEX(계정매핑!$E$5:$E$504,MATCH($F4087&amp;"",계정매핑!$A$5:$A$504,0))&amp;"","공통비"))</f>
        <v/>
      </c>
      <c r="AF4087" s="64">
        <f>IF($A4087="","",IF(AE4087="직접",IFERROR(INDEX(계정매핑!$F$5:$F$504,MATCH($F4087&amp;"",계정매핑!$A$5:$A$504,0))&amp;"","비귀속"),""))</f>
        <v/>
      </c>
      <c r="AG4087" s="96">
        <f>IF($A4087="",0,IF(AND(AE4087&lt;&gt;"직접",IFERROR(INDEX(계정매핑!$G$5:$G$504,MATCH($F4087&amp;"",계정매핑!$A$5:$A$504,0))&amp;"","")="유지비",COUNTIF(계정대체기준!$A$6:$A$15,$N4087)&gt;0),IFERROR(INDEX(계정대체기준!$E$6:$E$15,MATCH(VALUE($A4087&amp;""),계정대체기준!$D$6:$D$15,0)),0),0))</f>
        <v/>
      </c>
      <c r="AH4087" s="64">
        <f>IF($A4087="","",IF(AD4087=0,"",IF(OR(COUNTIF(계정대체기준!$A$77:$A$86,$N4087)&gt;0,ISNUMBER(MATCH($X4087,계정대체기준!$D$77:$D$86,0)),ISNUMBER(MATCH($F4087,계정대체기준!$D$77:$D$86,0))),"Y","N")))</f>
        <v/>
      </c>
    </row>
    <row r="4088">
      <c r="A4088" s="92" t="n">
        <v>2026</v>
      </c>
      <c r="B4088" s="92" t="n">
        <v>6</v>
      </c>
      <c r="C4088" s="92" t="inlineStr">
        <is>
          <t>5100001366</t>
        </is>
      </c>
      <c r="D4088" s="95" t="n">
        <v>46200</v>
      </c>
      <c r="E4088" s="92" t="inlineStr">
        <is>
          <t>KR</t>
        </is>
      </c>
      <c r="F4088" s="92" t="n">
        <v>63601000</v>
      </c>
      <c r="G4088" s="92" t="n">
        <v>1801</v>
      </c>
      <c r="H4088" s="93" t="n">
        <v>7216000</v>
      </c>
      <c r="I4088" s="92" t="inlineStr">
        <is>
          <t>6월 손해사정 수수료 - EE손해사정</t>
        </is>
      </c>
      <c r="J4088" s="92" t="inlineStr">
        <is>
          <t>V10008</t>
        </is>
      </c>
      <c r="K4088" s="92" t="inlineStr">
        <is>
          <t>EE손해사정</t>
        </is>
      </c>
      <c r="M4088" s="9">
        <f>IF($A4088="","",VALUE($A4088&amp;"")*12+VALUE($B4088&amp;""))</f>
        <v/>
      </c>
      <c r="N4088" s="64">
        <f>IF($A4088="","",IFERROR(INDEX(부서매핑!$C$5:$C$504,MATCH($G4088&amp;"",부서매핑!$A$5:$A$504,0)),"미매핑"))</f>
        <v/>
      </c>
      <c r="O4088" s="9">
        <f>IF($A4088="","",N4088&amp;"|"&amp;$F4088)</f>
        <v/>
      </c>
      <c r="P4088" s="94">
        <f>IF($A4088="",0,$H4088*설정!$C$23)</f>
        <v/>
      </c>
      <c r="Q4088" s="64">
        <f>IF($A4088="","",IF(O4088&lt;&gt;원인분석!$C$9,"",IF(AND(M4088&gt;=원인분석!$C$10,M4088&lt;=원인분석!$C$11),"당기",IF(AND(M4088&gt;=원인분석!$C$12,M4088&lt;=원인분석!$C$13),"비교",""))))</f>
        <v/>
      </c>
      <c r="R4088" s="9">
        <f>IF(Q4088="","",$K4088&amp;"")</f>
        <v/>
      </c>
      <c r="S4088" s="9">
        <f>IF(Q4088="","",IF(MATCH(R4088,$R$5:$R$100000,0)=ROW()-4,ROW(),""))</f>
        <v/>
      </c>
      <c r="T4088" s="9">
        <f>IF(Q4088="당기",ABS(P4088)+ROW()/1000000000,"")</f>
        <v/>
      </c>
      <c r="U4088" s="9">
        <f>IF(Q4088="비교",ABS(P4088)+ROW()/1000000000,"")</f>
        <v/>
      </c>
      <c r="V4088" s="64">
        <f>IF($A4088="","",IF(COUNTIF(변동분석!$E$7:$E$506,O4088)&gt;0,"Y","N"))</f>
        <v/>
      </c>
      <c r="W4088" s="64">
        <f>IF($A4088="","",IFERROR(INDEX(계정매핑!$D$5:$D$504,MATCH($F4088&amp;"",계정매핑!$A$5:$A$504,0)),"미매핑"))</f>
        <v/>
      </c>
      <c r="X4088" s="9">
        <f>IF($A4088="","",$F4088&amp;"")</f>
        <v/>
      </c>
      <c r="Y4088" s="94">
        <f>IF($A4088="",0,IF(AE4088="직접",IF(AF4088="비귀속",$P4088,0),$P4088*(1-AG4088)*IFERROR(INDEX(계정대체기준!$F$20:$F$49,MATCH($N4088,계정대체기준!$A$20:$A$49,0)),1)))</f>
        <v/>
      </c>
      <c r="Z4088" s="94">
        <f>IF($A4088="",0,IF(AE4088="직접",IF(AF4088="신계약비",$P4088,0),$P4088*(1-AG4088)*IFERROR(INDEX(계정대체기준!$C$20:$C$49,MATCH($N4088,계정대체기준!$A$20:$A$49,0)),0)))</f>
        <v/>
      </c>
      <c r="AA4088" s="94">
        <f>IF($A4088="",0,IF(AE4088="직접",IF(OR(AF4088="유지비",AF4088="손해조사비"),$P4088,0),$P4088*(1-AG4088)*IFERROR(INDEX(계정대체기준!$D$20:$D$49,MATCH($N4088,계정대체기준!$A$20:$A$49,0)),0)))</f>
        <v/>
      </c>
      <c r="AB4088" s="94">
        <f>IF($A4088="",0,IF(AE4088="직접",IF(AF4088="수금비",$P4088,0),$P4088*(1-AG4088)*IFERROR(INDEX(계정대체기준!$E$20:$E$49,MATCH($N4088,계정대체기준!$A$20:$A$49,0)),0)))</f>
        <v/>
      </c>
      <c r="AC4088" s="9">
        <f>IF(AND($A4088&lt;&gt;"",M4088=설정!$C$20,Z4088&gt;0),Z4088+ROW()/1000000000,"")</f>
        <v/>
      </c>
      <c r="AD4088" s="94">
        <f>IF($A4088="",0,$P4088*AG4088)</f>
        <v/>
      </c>
      <c r="AE4088" s="64">
        <f>IF($A4088="","",IFERROR(INDEX(계정매핑!$E$5:$E$504,MATCH($F4088&amp;"",계정매핑!$A$5:$A$504,0))&amp;"","공통비"))</f>
        <v/>
      </c>
      <c r="AF4088" s="64">
        <f>IF($A4088="","",IF(AE4088="직접",IFERROR(INDEX(계정매핑!$F$5:$F$504,MATCH($F4088&amp;"",계정매핑!$A$5:$A$504,0))&amp;"","비귀속"),""))</f>
        <v/>
      </c>
      <c r="AG4088" s="96">
        <f>IF($A4088="",0,IF(AND(AE4088&lt;&gt;"직접",IFERROR(INDEX(계정매핑!$G$5:$G$504,MATCH($F4088&amp;"",계정매핑!$A$5:$A$504,0))&amp;"","")="유지비",COUNTIF(계정대체기준!$A$6:$A$15,$N4088)&gt;0),IFERROR(INDEX(계정대체기준!$E$6:$E$15,MATCH(VALUE($A4088&amp;""),계정대체기준!$D$6:$D$15,0)),0),0))</f>
        <v/>
      </c>
      <c r="AH4088" s="64">
        <f>IF($A4088="","",IF(AD4088=0,"",IF(OR(COUNTIF(계정대체기준!$A$77:$A$86,$N4088)&gt;0,ISNUMBER(MATCH($X4088,계정대체기준!$D$77:$D$86,0)),ISNUMBER(MATCH($F4088,계정대체기준!$D$77:$D$86,0))),"Y","N")))</f>
        <v/>
      </c>
    </row>
    <row r="4089">
      <c r="A4089" s="92" t="n">
        <v>2026</v>
      </c>
      <c r="B4089" s="92" t="n">
        <v>7</v>
      </c>
      <c r="C4089" s="92" t="inlineStr">
        <is>
          <t>5100001367</t>
        </is>
      </c>
      <c r="D4089" s="95" t="n">
        <v>46205</v>
      </c>
      <c r="E4089" s="92" t="inlineStr">
        <is>
          <t>KR</t>
        </is>
      </c>
      <c r="F4089" s="92" t="n">
        <v>62101000</v>
      </c>
      <c r="G4089" s="92" t="n">
        <v>1301</v>
      </c>
      <c r="H4089" s="93" t="n">
        <v>383000</v>
      </c>
      <c r="I4089" s="92" t="inlineStr">
        <is>
          <t>7월 국내출장 - M항공</t>
        </is>
      </c>
      <c r="J4089" s="92" t="inlineStr">
        <is>
          <t>V10001</t>
        </is>
      </c>
      <c r="K4089" s="92" t="inlineStr">
        <is>
          <t>M항공</t>
        </is>
      </c>
      <c r="M4089" s="9">
        <f>IF($A4089="","",VALUE($A4089&amp;"")*12+VALUE($B4089&amp;""))</f>
        <v/>
      </c>
      <c r="N4089" s="64">
        <f>IF($A4089="","",IFERROR(INDEX(부서매핑!$C$5:$C$504,MATCH($G4089&amp;"",부서매핑!$A$5:$A$504,0)),"미매핑"))</f>
        <v/>
      </c>
      <c r="O4089" s="9">
        <f>IF($A4089="","",N4089&amp;"|"&amp;$F4089)</f>
        <v/>
      </c>
      <c r="P4089" s="94">
        <f>IF($A4089="",0,$H4089*설정!$C$23)</f>
        <v/>
      </c>
      <c r="Q4089" s="64">
        <f>IF($A4089="","",IF(O4089&lt;&gt;원인분석!$C$9,"",IF(AND(M4089&gt;=원인분석!$C$10,M4089&lt;=원인분석!$C$11),"당기",IF(AND(M4089&gt;=원인분석!$C$12,M4089&lt;=원인분석!$C$13),"비교",""))))</f>
        <v/>
      </c>
      <c r="R4089" s="9">
        <f>IF(Q4089="","",$K4089&amp;"")</f>
        <v/>
      </c>
      <c r="S4089" s="9">
        <f>IF(Q4089="","",IF(MATCH(R4089,$R$5:$R$100000,0)=ROW()-4,ROW(),""))</f>
        <v/>
      </c>
      <c r="T4089" s="9">
        <f>IF(Q4089="당기",ABS(P4089)+ROW()/1000000000,"")</f>
        <v/>
      </c>
      <c r="U4089" s="9">
        <f>IF(Q4089="비교",ABS(P4089)+ROW()/1000000000,"")</f>
        <v/>
      </c>
      <c r="V4089" s="64">
        <f>IF($A4089="","",IF(COUNTIF(변동분석!$E$7:$E$506,O4089)&gt;0,"Y","N"))</f>
        <v/>
      </c>
      <c r="W4089" s="64">
        <f>IF($A4089="","",IFERROR(INDEX(계정매핑!$D$5:$D$504,MATCH($F4089&amp;"",계정매핑!$A$5:$A$504,0)),"미매핑"))</f>
        <v/>
      </c>
      <c r="X4089" s="9">
        <f>IF($A4089="","",$F4089&amp;"")</f>
        <v/>
      </c>
      <c r="Y4089" s="94">
        <f>IF($A4089="",0,IF(AE4089="직접",IF(AF4089="비귀속",$P4089,0),$P4089*(1-AG4089)*IFERROR(INDEX(계정대체기준!$F$20:$F$49,MATCH($N4089,계정대체기준!$A$20:$A$49,0)),1)))</f>
        <v/>
      </c>
      <c r="Z4089" s="94">
        <f>IF($A4089="",0,IF(AE4089="직접",IF(AF4089="신계약비",$P4089,0),$P4089*(1-AG4089)*IFERROR(INDEX(계정대체기준!$C$20:$C$49,MATCH($N4089,계정대체기준!$A$20:$A$49,0)),0)))</f>
        <v/>
      </c>
      <c r="AA4089" s="94">
        <f>IF($A4089="",0,IF(AE4089="직접",IF(OR(AF4089="유지비",AF4089="손해조사비"),$P4089,0),$P4089*(1-AG4089)*IFERROR(INDEX(계정대체기준!$D$20:$D$49,MATCH($N4089,계정대체기준!$A$20:$A$49,0)),0)))</f>
        <v/>
      </c>
      <c r="AB4089" s="94">
        <f>IF($A4089="",0,IF(AE4089="직접",IF(AF4089="수금비",$P4089,0),$P4089*(1-AG4089)*IFERROR(INDEX(계정대체기준!$E$20:$E$49,MATCH($N4089,계정대체기준!$A$20:$A$49,0)),0)))</f>
        <v/>
      </c>
      <c r="AC4089" s="9">
        <f>IF(AND($A4089&lt;&gt;"",M4089=설정!$C$20,Z4089&gt;0),Z4089+ROW()/1000000000,"")</f>
        <v/>
      </c>
      <c r="AD4089" s="94">
        <f>IF($A4089="",0,$P4089*AG4089)</f>
        <v/>
      </c>
      <c r="AE4089" s="64">
        <f>IF($A4089="","",IFERROR(INDEX(계정매핑!$E$5:$E$504,MATCH($F4089&amp;"",계정매핑!$A$5:$A$504,0))&amp;"","공통비"))</f>
        <v/>
      </c>
      <c r="AF4089" s="64">
        <f>IF($A4089="","",IF(AE4089="직접",IFERROR(INDEX(계정매핑!$F$5:$F$504,MATCH($F4089&amp;"",계정매핑!$A$5:$A$504,0))&amp;"","비귀속"),""))</f>
        <v/>
      </c>
      <c r="AG4089" s="96">
        <f>IF($A4089="",0,IF(AND(AE4089&lt;&gt;"직접",IFERROR(INDEX(계정매핑!$G$5:$G$504,MATCH($F4089&amp;"",계정매핑!$A$5:$A$504,0))&amp;"","")="유지비",COUNTIF(계정대체기준!$A$6:$A$15,$N4089)&gt;0),IFERROR(INDEX(계정대체기준!$E$6:$E$15,MATCH(VALUE($A4089&amp;""),계정대체기준!$D$6:$D$15,0)),0),0))</f>
        <v/>
      </c>
      <c r="AH4089" s="64">
        <f>IF($A4089="","",IF(AD4089=0,"",IF(OR(COUNTIF(계정대체기준!$A$77:$A$86,$N4089)&gt;0,ISNUMBER(MATCH($X4089,계정대체기준!$D$77:$D$86,0)),ISNUMBER(MATCH($F4089,계정대체기준!$D$77:$D$86,0))),"Y","N")))</f>
        <v/>
      </c>
    </row>
    <row r="4090">
      <c r="A4090" s="92" t="n">
        <v>2026</v>
      </c>
      <c r="B4090" s="92" t="n">
        <v>7</v>
      </c>
      <c r="C4090" s="92" t="inlineStr">
        <is>
          <t>5100001368</t>
        </is>
      </c>
      <c r="D4090" s="95" t="n">
        <v>46205</v>
      </c>
      <c r="E4090" s="92" t="inlineStr">
        <is>
          <t>KR</t>
        </is>
      </c>
      <c r="F4090" s="92" t="n">
        <v>62101000</v>
      </c>
      <c r="G4090" s="92" t="n">
        <v>1601</v>
      </c>
      <c r="H4090" s="93" t="n">
        <v>942000</v>
      </c>
      <c r="I4090" s="92" t="inlineStr">
        <is>
          <t>7월 국내출장 - M항공</t>
        </is>
      </c>
      <c r="J4090" s="92" t="inlineStr">
        <is>
          <t>V10001</t>
        </is>
      </c>
      <c r="K4090" s="92" t="inlineStr">
        <is>
          <t>M항공</t>
        </is>
      </c>
      <c r="M4090" s="9">
        <f>IF($A4090="","",VALUE($A4090&amp;"")*12+VALUE($B4090&amp;""))</f>
        <v/>
      </c>
      <c r="N4090" s="64">
        <f>IF($A4090="","",IFERROR(INDEX(부서매핑!$C$5:$C$504,MATCH($G4090&amp;"",부서매핑!$A$5:$A$504,0)),"미매핑"))</f>
        <v/>
      </c>
      <c r="O4090" s="9">
        <f>IF($A4090="","",N4090&amp;"|"&amp;$F4090)</f>
        <v/>
      </c>
      <c r="P4090" s="94">
        <f>IF($A4090="",0,$H4090*설정!$C$23)</f>
        <v/>
      </c>
      <c r="Q4090" s="64">
        <f>IF($A4090="","",IF(O4090&lt;&gt;원인분석!$C$9,"",IF(AND(M4090&gt;=원인분석!$C$10,M4090&lt;=원인분석!$C$11),"당기",IF(AND(M4090&gt;=원인분석!$C$12,M4090&lt;=원인분석!$C$13),"비교",""))))</f>
        <v/>
      </c>
      <c r="R4090" s="9">
        <f>IF(Q4090="","",$K4090&amp;"")</f>
        <v/>
      </c>
      <c r="S4090" s="9">
        <f>IF(Q4090="","",IF(MATCH(R4090,$R$5:$R$100000,0)=ROW()-4,ROW(),""))</f>
        <v/>
      </c>
      <c r="T4090" s="9">
        <f>IF(Q4090="당기",ABS(P4090)+ROW()/1000000000,"")</f>
        <v/>
      </c>
      <c r="U4090" s="9">
        <f>IF(Q4090="비교",ABS(P4090)+ROW()/1000000000,"")</f>
        <v/>
      </c>
      <c r="V4090" s="64">
        <f>IF($A4090="","",IF(COUNTIF(변동분석!$E$7:$E$506,O4090)&gt;0,"Y","N"))</f>
        <v/>
      </c>
      <c r="W4090" s="64">
        <f>IF($A4090="","",IFERROR(INDEX(계정매핑!$D$5:$D$504,MATCH($F4090&amp;"",계정매핑!$A$5:$A$504,0)),"미매핑"))</f>
        <v/>
      </c>
      <c r="X4090" s="9">
        <f>IF($A4090="","",$F4090&amp;"")</f>
        <v/>
      </c>
      <c r="Y4090" s="94">
        <f>IF($A4090="",0,IF(AE4090="직접",IF(AF4090="비귀속",$P4090,0),$P4090*(1-AG4090)*IFERROR(INDEX(계정대체기준!$F$20:$F$49,MATCH($N4090,계정대체기준!$A$20:$A$49,0)),1)))</f>
        <v/>
      </c>
      <c r="Z4090" s="94">
        <f>IF($A4090="",0,IF(AE4090="직접",IF(AF4090="신계약비",$P4090,0),$P4090*(1-AG4090)*IFERROR(INDEX(계정대체기준!$C$20:$C$49,MATCH($N4090,계정대체기준!$A$20:$A$49,0)),0)))</f>
        <v/>
      </c>
      <c r="AA4090" s="94">
        <f>IF($A4090="",0,IF(AE4090="직접",IF(OR(AF4090="유지비",AF4090="손해조사비"),$P4090,0),$P4090*(1-AG4090)*IFERROR(INDEX(계정대체기준!$D$20:$D$49,MATCH($N4090,계정대체기준!$A$20:$A$49,0)),0)))</f>
        <v/>
      </c>
      <c r="AB4090" s="94">
        <f>IF($A4090="",0,IF(AE4090="직접",IF(AF4090="수금비",$P4090,0),$P4090*(1-AG4090)*IFERROR(INDEX(계정대체기준!$E$20:$E$49,MATCH($N4090,계정대체기준!$A$20:$A$49,0)),0)))</f>
        <v/>
      </c>
      <c r="AC4090" s="9">
        <f>IF(AND($A4090&lt;&gt;"",M4090=설정!$C$20,Z4090&gt;0),Z4090+ROW()/1000000000,"")</f>
        <v/>
      </c>
      <c r="AD4090" s="94">
        <f>IF($A4090="",0,$P4090*AG4090)</f>
        <v/>
      </c>
      <c r="AE4090" s="64">
        <f>IF($A4090="","",IFERROR(INDEX(계정매핑!$E$5:$E$504,MATCH($F4090&amp;"",계정매핑!$A$5:$A$504,0))&amp;"","공통비"))</f>
        <v/>
      </c>
      <c r="AF4090" s="64">
        <f>IF($A4090="","",IF(AE4090="직접",IFERROR(INDEX(계정매핑!$F$5:$F$504,MATCH($F4090&amp;"",계정매핑!$A$5:$A$504,0))&amp;"","비귀속"),""))</f>
        <v/>
      </c>
      <c r="AG4090" s="96">
        <f>IF($A4090="",0,IF(AND(AE4090&lt;&gt;"직접",IFERROR(INDEX(계정매핑!$G$5:$G$504,MATCH($F4090&amp;"",계정매핑!$A$5:$A$504,0))&amp;"","")="유지비",COUNTIF(계정대체기준!$A$6:$A$15,$N4090)&gt;0),IFERROR(INDEX(계정대체기준!$E$6:$E$15,MATCH(VALUE($A4090&amp;""),계정대체기준!$D$6:$D$15,0)),0),0))</f>
        <v/>
      </c>
      <c r="AH4090" s="64">
        <f>IF($A4090="","",IF(AD4090=0,"",IF(OR(COUNTIF(계정대체기준!$A$77:$A$86,$N4090)&gt;0,ISNUMBER(MATCH($X4090,계정대체기준!$D$77:$D$86,0)),ISNUMBER(MATCH($F4090,계정대체기준!$D$77:$D$86,0))),"Y","N")))</f>
        <v/>
      </c>
    </row>
    <row r="4091">
      <c r="A4091" s="92" t="n">
        <v>2026</v>
      </c>
      <c r="B4091" s="92" t="n">
        <v>7</v>
      </c>
      <c r="C4091" s="92" t="inlineStr">
        <is>
          <t>5100001369</t>
        </is>
      </c>
      <c r="D4091" s="95" t="n">
        <v>46205</v>
      </c>
      <c r="E4091" s="92" t="inlineStr">
        <is>
          <t>KR</t>
        </is>
      </c>
      <c r="F4091" s="92" t="n">
        <v>62102000</v>
      </c>
      <c r="G4091" s="92" t="n">
        <v>1301</v>
      </c>
      <c r="H4091" s="93" t="n">
        <v>148000</v>
      </c>
      <c r="I4091" s="92" t="inlineStr">
        <is>
          <t>7월 해외출장 - M항공</t>
        </is>
      </c>
      <c r="J4091" s="92" t="inlineStr">
        <is>
          <t>V10001</t>
        </is>
      </c>
      <c r="K4091" s="92" t="inlineStr">
        <is>
          <t>M항공</t>
        </is>
      </c>
      <c r="M4091" s="9">
        <f>IF($A4091="","",VALUE($A4091&amp;"")*12+VALUE($B4091&amp;""))</f>
        <v/>
      </c>
      <c r="N4091" s="64">
        <f>IF($A4091="","",IFERROR(INDEX(부서매핑!$C$5:$C$504,MATCH($G4091&amp;"",부서매핑!$A$5:$A$504,0)),"미매핑"))</f>
        <v/>
      </c>
      <c r="O4091" s="9">
        <f>IF($A4091="","",N4091&amp;"|"&amp;$F4091)</f>
        <v/>
      </c>
      <c r="P4091" s="94">
        <f>IF($A4091="",0,$H4091*설정!$C$23)</f>
        <v/>
      </c>
      <c r="Q4091" s="64">
        <f>IF($A4091="","",IF(O4091&lt;&gt;원인분석!$C$9,"",IF(AND(M4091&gt;=원인분석!$C$10,M4091&lt;=원인분석!$C$11),"당기",IF(AND(M4091&gt;=원인분석!$C$12,M4091&lt;=원인분석!$C$13),"비교",""))))</f>
        <v/>
      </c>
      <c r="R4091" s="9">
        <f>IF(Q4091="","",$K4091&amp;"")</f>
        <v/>
      </c>
      <c r="S4091" s="9">
        <f>IF(Q4091="","",IF(MATCH(R4091,$R$5:$R$100000,0)=ROW()-4,ROW(),""))</f>
        <v/>
      </c>
      <c r="T4091" s="9">
        <f>IF(Q4091="당기",ABS(P4091)+ROW()/1000000000,"")</f>
        <v/>
      </c>
      <c r="U4091" s="9">
        <f>IF(Q4091="비교",ABS(P4091)+ROW()/1000000000,"")</f>
        <v/>
      </c>
      <c r="V4091" s="64">
        <f>IF($A4091="","",IF(COUNTIF(변동분석!$E$7:$E$506,O4091)&gt;0,"Y","N"))</f>
        <v/>
      </c>
      <c r="W4091" s="64">
        <f>IF($A4091="","",IFERROR(INDEX(계정매핑!$D$5:$D$504,MATCH($F4091&amp;"",계정매핑!$A$5:$A$504,0)),"미매핑"))</f>
        <v/>
      </c>
      <c r="X4091" s="9">
        <f>IF($A4091="","",$F4091&amp;"")</f>
        <v/>
      </c>
      <c r="Y4091" s="94">
        <f>IF($A4091="",0,IF(AE4091="직접",IF(AF4091="비귀속",$P4091,0),$P4091*(1-AG4091)*IFERROR(INDEX(계정대체기준!$F$20:$F$49,MATCH($N4091,계정대체기준!$A$20:$A$49,0)),1)))</f>
        <v/>
      </c>
      <c r="Z4091" s="94">
        <f>IF($A4091="",0,IF(AE4091="직접",IF(AF4091="신계약비",$P4091,0),$P4091*(1-AG4091)*IFERROR(INDEX(계정대체기준!$C$20:$C$49,MATCH($N4091,계정대체기준!$A$20:$A$49,0)),0)))</f>
        <v/>
      </c>
      <c r="AA4091" s="94">
        <f>IF($A4091="",0,IF(AE4091="직접",IF(OR(AF4091="유지비",AF4091="손해조사비"),$P4091,0),$P4091*(1-AG4091)*IFERROR(INDEX(계정대체기준!$D$20:$D$49,MATCH($N4091,계정대체기준!$A$20:$A$49,0)),0)))</f>
        <v/>
      </c>
      <c r="AB4091" s="94">
        <f>IF($A4091="",0,IF(AE4091="직접",IF(AF4091="수금비",$P4091,0),$P4091*(1-AG4091)*IFERROR(INDEX(계정대체기준!$E$20:$E$49,MATCH($N4091,계정대체기준!$A$20:$A$49,0)),0)))</f>
        <v/>
      </c>
      <c r="AC4091" s="9">
        <f>IF(AND($A4091&lt;&gt;"",M4091=설정!$C$20,Z4091&gt;0),Z4091+ROW()/1000000000,"")</f>
        <v/>
      </c>
      <c r="AD4091" s="94">
        <f>IF($A4091="",0,$P4091*AG4091)</f>
        <v/>
      </c>
      <c r="AE4091" s="64">
        <f>IF($A4091="","",IFERROR(INDEX(계정매핑!$E$5:$E$504,MATCH($F4091&amp;"",계정매핑!$A$5:$A$504,0))&amp;"","공통비"))</f>
        <v/>
      </c>
      <c r="AF4091" s="64">
        <f>IF($A4091="","",IF(AE4091="직접",IFERROR(INDEX(계정매핑!$F$5:$F$504,MATCH($F4091&amp;"",계정매핑!$A$5:$A$504,0))&amp;"","비귀속"),""))</f>
        <v/>
      </c>
      <c r="AG4091" s="96">
        <f>IF($A4091="",0,IF(AND(AE4091&lt;&gt;"직접",IFERROR(INDEX(계정매핑!$G$5:$G$504,MATCH($F4091&amp;"",계정매핑!$A$5:$A$504,0))&amp;"","")="유지비",COUNTIF(계정대체기준!$A$6:$A$15,$N4091)&gt;0),IFERROR(INDEX(계정대체기준!$E$6:$E$15,MATCH(VALUE($A4091&amp;""),계정대체기준!$D$6:$D$15,0)),0),0))</f>
        <v/>
      </c>
      <c r="AH4091" s="64">
        <f>IF($A4091="","",IF(AD4091=0,"",IF(OR(COUNTIF(계정대체기준!$A$77:$A$86,$N4091)&gt;0,ISNUMBER(MATCH($X4091,계정대체기준!$D$77:$D$86,0)),ISNUMBER(MATCH($F4091,계정대체기준!$D$77:$D$86,0))),"Y","N")))</f>
        <v/>
      </c>
    </row>
    <row r="4092">
      <c r="A4092" s="92" t="n">
        <v>2026</v>
      </c>
      <c r="B4092" s="92" t="n">
        <v>7</v>
      </c>
      <c r="C4092" s="92" t="inlineStr">
        <is>
          <t>5100001370</t>
        </is>
      </c>
      <c r="D4092" s="95" t="n">
        <v>46205</v>
      </c>
      <c r="E4092" s="92" t="inlineStr">
        <is>
          <t>KR</t>
        </is>
      </c>
      <c r="F4092" s="92" t="n">
        <v>62102000</v>
      </c>
      <c r="G4092" s="92" t="n">
        <v>1801</v>
      </c>
      <c r="H4092" s="93" t="n">
        <v>37000</v>
      </c>
      <c r="I4092" s="92" t="inlineStr">
        <is>
          <t>7월 해외출장 - N호텔</t>
        </is>
      </c>
      <c r="J4092" s="92" t="inlineStr">
        <is>
          <t>V10009</t>
        </is>
      </c>
      <c r="K4092" s="92" t="inlineStr">
        <is>
          <t>N호텔</t>
        </is>
      </c>
      <c r="M4092" s="9">
        <f>IF($A4092="","",VALUE($A4092&amp;"")*12+VALUE($B4092&amp;""))</f>
        <v/>
      </c>
      <c r="N4092" s="64">
        <f>IF($A4092="","",IFERROR(INDEX(부서매핑!$C$5:$C$504,MATCH($G4092&amp;"",부서매핑!$A$5:$A$504,0)),"미매핑"))</f>
        <v/>
      </c>
      <c r="O4092" s="9">
        <f>IF($A4092="","",N4092&amp;"|"&amp;$F4092)</f>
        <v/>
      </c>
      <c r="P4092" s="94">
        <f>IF($A4092="",0,$H4092*설정!$C$23)</f>
        <v/>
      </c>
      <c r="Q4092" s="64">
        <f>IF($A4092="","",IF(O4092&lt;&gt;원인분석!$C$9,"",IF(AND(M4092&gt;=원인분석!$C$10,M4092&lt;=원인분석!$C$11),"당기",IF(AND(M4092&gt;=원인분석!$C$12,M4092&lt;=원인분석!$C$13),"비교",""))))</f>
        <v/>
      </c>
      <c r="R4092" s="9">
        <f>IF(Q4092="","",$K4092&amp;"")</f>
        <v/>
      </c>
      <c r="S4092" s="9">
        <f>IF(Q4092="","",IF(MATCH(R4092,$R$5:$R$100000,0)=ROW()-4,ROW(),""))</f>
        <v/>
      </c>
      <c r="T4092" s="9">
        <f>IF(Q4092="당기",ABS(P4092)+ROW()/1000000000,"")</f>
        <v/>
      </c>
      <c r="U4092" s="9">
        <f>IF(Q4092="비교",ABS(P4092)+ROW()/1000000000,"")</f>
        <v/>
      </c>
      <c r="V4092" s="64">
        <f>IF($A4092="","",IF(COUNTIF(변동분석!$E$7:$E$506,O4092)&gt;0,"Y","N"))</f>
        <v/>
      </c>
      <c r="W4092" s="64">
        <f>IF($A4092="","",IFERROR(INDEX(계정매핑!$D$5:$D$504,MATCH($F4092&amp;"",계정매핑!$A$5:$A$504,0)),"미매핑"))</f>
        <v/>
      </c>
      <c r="X4092" s="9">
        <f>IF($A4092="","",$F4092&amp;"")</f>
        <v/>
      </c>
      <c r="Y4092" s="94">
        <f>IF($A4092="",0,IF(AE4092="직접",IF(AF4092="비귀속",$P4092,0),$P4092*(1-AG4092)*IFERROR(INDEX(계정대체기준!$F$20:$F$49,MATCH($N4092,계정대체기준!$A$20:$A$49,0)),1)))</f>
        <v/>
      </c>
      <c r="Z4092" s="94">
        <f>IF($A4092="",0,IF(AE4092="직접",IF(AF4092="신계약비",$P4092,0),$P4092*(1-AG4092)*IFERROR(INDEX(계정대체기준!$C$20:$C$49,MATCH($N4092,계정대체기준!$A$20:$A$49,0)),0)))</f>
        <v/>
      </c>
      <c r="AA4092" s="94">
        <f>IF($A4092="",0,IF(AE4092="직접",IF(OR(AF4092="유지비",AF4092="손해조사비"),$P4092,0),$P4092*(1-AG4092)*IFERROR(INDEX(계정대체기준!$D$20:$D$49,MATCH($N4092,계정대체기준!$A$20:$A$49,0)),0)))</f>
        <v/>
      </c>
      <c r="AB4092" s="94">
        <f>IF($A4092="",0,IF(AE4092="직접",IF(AF4092="수금비",$P4092,0),$P4092*(1-AG4092)*IFERROR(INDEX(계정대체기준!$E$20:$E$49,MATCH($N4092,계정대체기준!$A$20:$A$49,0)),0)))</f>
        <v/>
      </c>
      <c r="AC4092" s="9">
        <f>IF(AND($A4092&lt;&gt;"",M4092=설정!$C$20,Z4092&gt;0),Z4092+ROW()/1000000000,"")</f>
        <v/>
      </c>
      <c r="AD4092" s="94">
        <f>IF($A4092="",0,$P4092*AG4092)</f>
        <v/>
      </c>
      <c r="AE4092" s="64">
        <f>IF($A4092="","",IFERROR(INDEX(계정매핑!$E$5:$E$504,MATCH($F4092&amp;"",계정매핑!$A$5:$A$504,0))&amp;"","공통비"))</f>
        <v/>
      </c>
      <c r="AF4092" s="64">
        <f>IF($A4092="","",IF(AE4092="직접",IFERROR(INDEX(계정매핑!$F$5:$F$504,MATCH($F4092&amp;"",계정매핑!$A$5:$A$504,0))&amp;"","비귀속"),""))</f>
        <v/>
      </c>
      <c r="AG4092" s="96">
        <f>IF($A4092="",0,IF(AND(AE4092&lt;&gt;"직접",IFERROR(INDEX(계정매핑!$G$5:$G$504,MATCH($F4092&amp;"",계정매핑!$A$5:$A$504,0))&amp;"","")="유지비",COUNTIF(계정대체기준!$A$6:$A$15,$N4092)&gt;0),IFERROR(INDEX(계정대체기준!$E$6:$E$15,MATCH(VALUE($A4092&amp;""),계정대체기준!$D$6:$D$15,0)),0),0))</f>
        <v/>
      </c>
      <c r="AH4092" s="64">
        <f>IF($A4092="","",IF(AD4092=0,"",IF(OR(COUNTIF(계정대체기준!$A$77:$A$86,$N4092)&gt;0,ISNUMBER(MATCH($X4092,계정대체기준!$D$77:$D$86,0)),ISNUMBER(MATCH($F4092,계정대체기준!$D$77:$D$86,0))),"Y","N")))</f>
        <v/>
      </c>
    </row>
    <row r="4093">
      <c r="A4093" s="92" t="n">
        <v>2026</v>
      </c>
      <c r="B4093" s="92" t="n">
        <v>7</v>
      </c>
      <c r="C4093" s="92" t="inlineStr">
        <is>
          <t>5100001371</t>
        </is>
      </c>
      <c r="D4093" s="95" t="n">
        <v>46205</v>
      </c>
      <c r="E4093" s="92" t="inlineStr">
        <is>
          <t>KR</t>
        </is>
      </c>
      <c r="F4093" s="92" t="n">
        <v>62201000</v>
      </c>
      <c r="G4093" s="92" t="n">
        <v>1101</v>
      </c>
      <c r="H4093" s="93" t="n">
        <v>422000</v>
      </c>
      <c r="I4093" s="92" t="inlineStr">
        <is>
          <t>7월 통신요금 - P통신</t>
        </is>
      </c>
      <c r="J4093" s="92" t="inlineStr">
        <is>
          <t>V10014</t>
        </is>
      </c>
      <c r="K4093" s="92" t="inlineStr">
        <is>
          <t>P통신</t>
        </is>
      </c>
      <c r="M4093" s="9">
        <f>IF($A4093="","",VALUE($A4093&amp;"")*12+VALUE($B4093&amp;""))</f>
        <v/>
      </c>
      <c r="N4093" s="64">
        <f>IF($A4093="","",IFERROR(INDEX(부서매핑!$C$5:$C$504,MATCH($G4093&amp;"",부서매핑!$A$5:$A$504,0)),"미매핑"))</f>
        <v/>
      </c>
      <c r="O4093" s="9">
        <f>IF($A4093="","",N4093&amp;"|"&amp;$F4093)</f>
        <v/>
      </c>
      <c r="P4093" s="94">
        <f>IF($A4093="",0,$H4093*설정!$C$23)</f>
        <v/>
      </c>
      <c r="Q4093" s="64">
        <f>IF($A4093="","",IF(O4093&lt;&gt;원인분석!$C$9,"",IF(AND(M4093&gt;=원인분석!$C$10,M4093&lt;=원인분석!$C$11),"당기",IF(AND(M4093&gt;=원인분석!$C$12,M4093&lt;=원인분석!$C$13),"비교",""))))</f>
        <v/>
      </c>
      <c r="R4093" s="9">
        <f>IF(Q4093="","",$K4093&amp;"")</f>
        <v/>
      </c>
      <c r="S4093" s="9">
        <f>IF(Q4093="","",IF(MATCH(R4093,$R$5:$R$100000,0)=ROW()-4,ROW(),""))</f>
        <v/>
      </c>
      <c r="T4093" s="9">
        <f>IF(Q4093="당기",ABS(P4093)+ROW()/1000000000,"")</f>
        <v/>
      </c>
      <c r="U4093" s="9">
        <f>IF(Q4093="비교",ABS(P4093)+ROW()/1000000000,"")</f>
        <v/>
      </c>
      <c r="V4093" s="64">
        <f>IF($A4093="","",IF(COUNTIF(변동분석!$E$7:$E$506,O4093)&gt;0,"Y","N"))</f>
        <v/>
      </c>
      <c r="W4093" s="64">
        <f>IF($A4093="","",IFERROR(INDEX(계정매핑!$D$5:$D$504,MATCH($F4093&amp;"",계정매핑!$A$5:$A$504,0)),"미매핑"))</f>
        <v/>
      </c>
      <c r="X4093" s="9">
        <f>IF($A4093="","",$F4093&amp;"")</f>
        <v/>
      </c>
      <c r="Y4093" s="94">
        <f>IF($A4093="",0,IF(AE4093="직접",IF(AF4093="비귀속",$P4093,0),$P4093*(1-AG4093)*IFERROR(INDEX(계정대체기준!$F$20:$F$49,MATCH($N4093,계정대체기준!$A$20:$A$49,0)),1)))</f>
        <v/>
      </c>
      <c r="Z4093" s="94">
        <f>IF($A4093="",0,IF(AE4093="직접",IF(AF4093="신계약비",$P4093,0),$P4093*(1-AG4093)*IFERROR(INDEX(계정대체기준!$C$20:$C$49,MATCH($N4093,계정대체기준!$A$20:$A$49,0)),0)))</f>
        <v/>
      </c>
      <c r="AA4093" s="94">
        <f>IF($A4093="",0,IF(AE4093="직접",IF(OR(AF4093="유지비",AF4093="손해조사비"),$P4093,0),$P4093*(1-AG4093)*IFERROR(INDEX(계정대체기준!$D$20:$D$49,MATCH($N4093,계정대체기준!$A$20:$A$49,0)),0)))</f>
        <v/>
      </c>
      <c r="AB4093" s="94">
        <f>IF($A4093="",0,IF(AE4093="직접",IF(AF4093="수금비",$P4093,0),$P4093*(1-AG4093)*IFERROR(INDEX(계정대체기준!$E$20:$E$49,MATCH($N4093,계정대체기준!$A$20:$A$49,0)),0)))</f>
        <v/>
      </c>
      <c r="AC4093" s="9">
        <f>IF(AND($A4093&lt;&gt;"",M4093=설정!$C$20,Z4093&gt;0),Z4093+ROW()/1000000000,"")</f>
        <v/>
      </c>
      <c r="AD4093" s="94">
        <f>IF($A4093="",0,$P4093*AG4093)</f>
        <v/>
      </c>
      <c r="AE4093" s="64">
        <f>IF($A4093="","",IFERROR(INDEX(계정매핑!$E$5:$E$504,MATCH($F4093&amp;"",계정매핑!$A$5:$A$504,0))&amp;"","공통비"))</f>
        <v/>
      </c>
      <c r="AF4093" s="64">
        <f>IF($A4093="","",IF(AE4093="직접",IFERROR(INDEX(계정매핑!$F$5:$F$504,MATCH($F4093&amp;"",계정매핑!$A$5:$A$504,0))&amp;"","비귀속"),""))</f>
        <v/>
      </c>
      <c r="AG4093" s="96">
        <f>IF($A4093="",0,IF(AND(AE4093&lt;&gt;"직접",IFERROR(INDEX(계정매핑!$G$5:$G$504,MATCH($F4093&amp;"",계정매핑!$A$5:$A$504,0))&amp;"","")="유지비",COUNTIF(계정대체기준!$A$6:$A$15,$N4093)&gt;0),IFERROR(INDEX(계정대체기준!$E$6:$E$15,MATCH(VALUE($A4093&amp;""),계정대체기준!$D$6:$D$15,0)),0),0))</f>
        <v/>
      </c>
      <c r="AH4093" s="64">
        <f>IF($A4093="","",IF(AD4093=0,"",IF(OR(COUNTIF(계정대체기준!$A$77:$A$86,$N4093)&gt;0,ISNUMBER(MATCH($X4093,계정대체기준!$D$77:$D$86,0)),ISNUMBER(MATCH($F4093,계정대체기준!$D$77:$D$86,0))),"Y","N")))</f>
        <v/>
      </c>
    </row>
    <row r="4094">
      <c r="A4094" s="92" t="n">
        <v>2026</v>
      </c>
      <c r="B4094" s="92" t="n">
        <v>7</v>
      </c>
      <c r="C4094" s="92" t="inlineStr">
        <is>
          <t>5100001372</t>
        </is>
      </c>
      <c r="D4094" s="95" t="n">
        <v>46205</v>
      </c>
      <c r="E4094" s="92" t="inlineStr">
        <is>
          <t>KR</t>
        </is>
      </c>
      <c r="F4094" s="92" t="n">
        <v>62201000</v>
      </c>
      <c r="G4094" s="92" t="n">
        <v>1502</v>
      </c>
      <c r="H4094" s="93" t="n">
        <v>311000</v>
      </c>
      <c r="I4094" s="92" t="inlineStr">
        <is>
          <t>7월 통신요금 - O텔레콤</t>
        </is>
      </c>
      <c r="J4094" s="92" t="inlineStr">
        <is>
          <t>V10002</t>
        </is>
      </c>
      <c r="K4094" s="92" t="inlineStr">
        <is>
          <t>O텔레콤</t>
        </is>
      </c>
      <c r="M4094" s="9">
        <f>IF($A4094="","",VALUE($A4094&amp;"")*12+VALUE($B4094&amp;""))</f>
        <v/>
      </c>
      <c r="N4094" s="64">
        <f>IF($A4094="","",IFERROR(INDEX(부서매핑!$C$5:$C$504,MATCH($G4094&amp;"",부서매핑!$A$5:$A$504,0)),"미매핑"))</f>
        <v/>
      </c>
      <c r="O4094" s="9">
        <f>IF($A4094="","",N4094&amp;"|"&amp;$F4094)</f>
        <v/>
      </c>
      <c r="P4094" s="94">
        <f>IF($A4094="",0,$H4094*설정!$C$23)</f>
        <v/>
      </c>
      <c r="Q4094" s="64">
        <f>IF($A4094="","",IF(O4094&lt;&gt;원인분석!$C$9,"",IF(AND(M4094&gt;=원인분석!$C$10,M4094&lt;=원인분석!$C$11),"당기",IF(AND(M4094&gt;=원인분석!$C$12,M4094&lt;=원인분석!$C$13),"비교",""))))</f>
        <v/>
      </c>
      <c r="R4094" s="9">
        <f>IF(Q4094="","",$K4094&amp;"")</f>
        <v/>
      </c>
      <c r="S4094" s="9">
        <f>IF(Q4094="","",IF(MATCH(R4094,$R$5:$R$100000,0)=ROW()-4,ROW(),""))</f>
        <v/>
      </c>
      <c r="T4094" s="9">
        <f>IF(Q4094="당기",ABS(P4094)+ROW()/1000000000,"")</f>
        <v/>
      </c>
      <c r="U4094" s="9">
        <f>IF(Q4094="비교",ABS(P4094)+ROW()/1000000000,"")</f>
        <v/>
      </c>
      <c r="V4094" s="64">
        <f>IF($A4094="","",IF(COUNTIF(변동분석!$E$7:$E$506,O4094)&gt;0,"Y","N"))</f>
        <v/>
      </c>
      <c r="W4094" s="64">
        <f>IF($A4094="","",IFERROR(INDEX(계정매핑!$D$5:$D$504,MATCH($F4094&amp;"",계정매핑!$A$5:$A$504,0)),"미매핑"))</f>
        <v/>
      </c>
      <c r="X4094" s="9">
        <f>IF($A4094="","",$F4094&amp;"")</f>
        <v/>
      </c>
      <c r="Y4094" s="94">
        <f>IF($A4094="",0,IF(AE4094="직접",IF(AF4094="비귀속",$P4094,0),$P4094*(1-AG4094)*IFERROR(INDEX(계정대체기준!$F$20:$F$49,MATCH($N4094,계정대체기준!$A$20:$A$49,0)),1)))</f>
        <v/>
      </c>
      <c r="Z4094" s="94">
        <f>IF($A4094="",0,IF(AE4094="직접",IF(AF4094="신계약비",$P4094,0),$P4094*(1-AG4094)*IFERROR(INDEX(계정대체기준!$C$20:$C$49,MATCH($N4094,계정대체기준!$A$20:$A$49,0)),0)))</f>
        <v/>
      </c>
      <c r="AA4094" s="94">
        <f>IF($A4094="",0,IF(AE4094="직접",IF(OR(AF4094="유지비",AF4094="손해조사비"),$P4094,0),$P4094*(1-AG4094)*IFERROR(INDEX(계정대체기준!$D$20:$D$49,MATCH($N4094,계정대체기준!$A$20:$A$49,0)),0)))</f>
        <v/>
      </c>
      <c r="AB4094" s="94">
        <f>IF($A4094="",0,IF(AE4094="직접",IF(AF4094="수금비",$P4094,0),$P4094*(1-AG4094)*IFERROR(INDEX(계정대체기준!$E$20:$E$49,MATCH($N4094,계정대체기준!$A$20:$A$49,0)),0)))</f>
        <v/>
      </c>
      <c r="AC4094" s="9">
        <f>IF(AND($A4094&lt;&gt;"",M4094=설정!$C$20,Z4094&gt;0),Z4094+ROW()/1000000000,"")</f>
        <v/>
      </c>
      <c r="AD4094" s="94">
        <f>IF($A4094="",0,$P4094*AG4094)</f>
        <v/>
      </c>
      <c r="AE4094" s="64">
        <f>IF($A4094="","",IFERROR(INDEX(계정매핑!$E$5:$E$504,MATCH($F4094&amp;"",계정매핑!$A$5:$A$504,0))&amp;"","공통비"))</f>
        <v/>
      </c>
      <c r="AF4094" s="64">
        <f>IF($A4094="","",IF(AE4094="직접",IFERROR(INDEX(계정매핑!$F$5:$F$504,MATCH($F4094&amp;"",계정매핑!$A$5:$A$504,0))&amp;"","비귀속"),""))</f>
        <v/>
      </c>
      <c r="AG4094" s="96">
        <f>IF($A4094="",0,IF(AND(AE4094&lt;&gt;"직접",IFERROR(INDEX(계정매핑!$G$5:$G$504,MATCH($F4094&amp;"",계정매핑!$A$5:$A$504,0))&amp;"","")="유지비",COUNTIF(계정대체기준!$A$6:$A$15,$N4094)&gt;0),IFERROR(INDEX(계정대체기준!$E$6:$E$15,MATCH(VALUE($A4094&amp;""),계정대체기준!$D$6:$D$15,0)),0),0))</f>
        <v/>
      </c>
      <c r="AH4094" s="64">
        <f>IF($A4094="","",IF(AD4094=0,"",IF(OR(COUNTIF(계정대체기준!$A$77:$A$86,$N4094)&gt;0,ISNUMBER(MATCH($X4094,계정대체기준!$D$77:$D$86,0)),ISNUMBER(MATCH($F4094,계정대체기준!$D$77:$D$86,0))),"Y","N")))</f>
        <v/>
      </c>
    </row>
    <row r="4095">
      <c r="A4095" s="92" t="n">
        <v>2026</v>
      </c>
      <c r="B4095" s="92" t="n">
        <v>7</v>
      </c>
      <c r="C4095" s="92" t="inlineStr">
        <is>
          <t>5100001373</t>
        </is>
      </c>
      <c r="D4095" s="95" t="n">
        <v>46205</v>
      </c>
      <c r="E4095" s="92" t="inlineStr">
        <is>
          <t>KR</t>
        </is>
      </c>
      <c r="F4095" s="92" t="n">
        <v>62301000</v>
      </c>
      <c r="G4095" s="92" t="n">
        <v>1101</v>
      </c>
      <c r="H4095" s="93" t="n">
        <v>162000</v>
      </c>
      <c r="I4095" s="92" t="inlineStr">
        <is>
          <t>7월 소모품 구입 - Q오피스</t>
        </is>
      </c>
      <c r="J4095" s="92" t="inlineStr">
        <is>
          <t>V10003</t>
        </is>
      </c>
      <c r="K4095" s="92" t="inlineStr">
        <is>
          <t>Q오피스</t>
        </is>
      </c>
      <c r="M4095" s="9">
        <f>IF($A4095="","",VALUE($A4095&amp;"")*12+VALUE($B4095&amp;""))</f>
        <v/>
      </c>
      <c r="N4095" s="64">
        <f>IF($A4095="","",IFERROR(INDEX(부서매핑!$C$5:$C$504,MATCH($G4095&amp;"",부서매핑!$A$5:$A$504,0)),"미매핑"))</f>
        <v/>
      </c>
      <c r="O4095" s="9">
        <f>IF($A4095="","",N4095&amp;"|"&amp;$F4095)</f>
        <v/>
      </c>
      <c r="P4095" s="94">
        <f>IF($A4095="",0,$H4095*설정!$C$23)</f>
        <v/>
      </c>
      <c r="Q4095" s="64">
        <f>IF($A4095="","",IF(O4095&lt;&gt;원인분석!$C$9,"",IF(AND(M4095&gt;=원인분석!$C$10,M4095&lt;=원인분석!$C$11),"당기",IF(AND(M4095&gt;=원인분석!$C$12,M4095&lt;=원인분석!$C$13),"비교",""))))</f>
        <v/>
      </c>
      <c r="R4095" s="9">
        <f>IF(Q4095="","",$K4095&amp;"")</f>
        <v/>
      </c>
      <c r="S4095" s="9">
        <f>IF(Q4095="","",IF(MATCH(R4095,$R$5:$R$100000,0)=ROW()-4,ROW(),""))</f>
        <v/>
      </c>
      <c r="T4095" s="9">
        <f>IF(Q4095="당기",ABS(P4095)+ROW()/1000000000,"")</f>
        <v/>
      </c>
      <c r="U4095" s="9">
        <f>IF(Q4095="비교",ABS(P4095)+ROW()/1000000000,"")</f>
        <v/>
      </c>
      <c r="V4095" s="64">
        <f>IF($A4095="","",IF(COUNTIF(변동분석!$E$7:$E$506,O4095)&gt;0,"Y","N"))</f>
        <v/>
      </c>
      <c r="W4095" s="64">
        <f>IF($A4095="","",IFERROR(INDEX(계정매핑!$D$5:$D$504,MATCH($F4095&amp;"",계정매핑!$A$5:$A$504,0)),"미매핑"))</f>
        <v/>
      </c>
      <c r="X4095" s="9">
        <f>IF($A4095="","",$F4095&amp;"")</f>
        <v/>
      </c>
      <c r="Y4095" s="94">
        <f>IF($A4095="",0,IF(AE4095="직접",IF(AF4095="비귀속",$P4095,0),$P4095*(1-AG4095)*IFERROR(INDEX(계정대체기준!$F$20:$F$49,MATCH($N4095,계정대체기준!$A$20:$A$49,0)),1)))</f>
        <v/>
      </c>
      <c r="Z4095" s="94">
        <f>IF($A4095="",0,IF(AE4095="직접",IF(AF4095="신계약비",$P4095,0),$P4095*(1-AG4095)*IFERROR(INDEX(계정대체기준!$C$20:$C$49,MATCH($N4095,계정대체기준!$A$20:$A$49,0)),0)))</f>
        <v/>
      </c>
      <c r="AA4095" s="94">
        <f>IF($A4095="",0,IF(AE4095="직접",IF(OR(AF4095="유지비",AF4095="손해조사비"),$P4095,0),$P4095*(1-AG4095)*IFERROR(INDEX(계정대체기준!$D$20:$D$49,MATCH($N4095,계정대체기준!$A$20:$A$49,0)),0)))</f>
        <v/>
      </c>
      <c r="AB4095" s="94">
        <f>IF($A4095="",0,IF(AE4095="직접",IF(AF4095="수금비",$P4095,0),$P4095*(1-AG4095)*IFERROR(INDEX(계정대체기준!$E$20:$E$49,MATCH($N4095,계정대체기준!$A$20:$A$49,0)),0)))</f>
        <v/>
      </c>
      <c r="AC4095" s="9">
        <f>IF(AND($A4095&lt;&gt;"",M4095=설정!$C$20,Z4095&gt;0),Z4095+ROW()/1000000000,"")</f>
        <v/>
      </c>
      <c r="AD4095" s="94">
        <f>IF($A4095="",0,$P4095*AG4095)</f>
        <v/>
      </c>
      <c r="AE4095" s="64">
        <f>IF($A4095="","",IFERROR(INDEX(계정매핑!$E$5:$E$504,MATCH($F4095&amp;"",계정매핑!$A$5:$A$504,0))&amp;"","공통비"))</f>
        <v/>
      </c>
      <c r="AF4095" s="64">
        <f>IF($A4095="","",IF(AE4095="직접",IFERROR(INDEX(계정매핑!$F$5:$F$504,MATCH($F4095&amp;"",계정매핑!$A$5:$A$504,0))&amp;"","비귀속"),""))</f>
        <v/>
      </c>
      <c r="AG4095" s="96">
        <f>IF($A4095="",0,IF(AND(AE4095&lt;&gt;"직접",IFERROR(INDEX(계정매핑!$G$5:$G$504,MATCH($F4095&amp;"",계정매핑!$A$5:$A$504,0))&amp;"","")="유지비",COUNTIF(계정대체기준!$A$6:$A$15,$N4095)&gt;0),IFERROR(INDEX(계정대체기준!$E$6:$E$15,MATCH(VALUE($A4095&amp;""),계정대체기준!$D$6:$D$15,0)),0),0))</f>
        <v/>
      </c>
      <c r="AH4095" s="64">
        <f>IF($A4095="","",IF(AD4095=0,"",IF(OR(COUNTIF(계정대체기준!$A$77:$A$86,$N4095)&gt;0,ISNUMBER(MATCH($X4095,계정대체기준!$D$77:$D$86,0)),ISNUMBER(MATCH($F4095,계정대체기준!$D$77:$D$86,0))),"Y","N")))</f>
        <v/>
      </c>
    </row>
    <row r="4096">
      <c r="A4096" s="92" t="n">
        <v>2026</v>
      </c>
      <c r="B4096" s="92" t="n">
        <v>7</v>
      </c>
      <c r="C4096" s="92" t="inlineStr">
        <is>
          <t>5100001374</t>
        </is>
      </c>
      <c r="D4096" s="95" t="n">
        <v>46205</v>
      </c>
      <c r="E4096" s="92" t="inlineStr">
        <is>
          <t>KR</t>
        </is>
      </c>
      <c r="F4096" s="92" t="n">
        <v>62301000</v>
      </c>
      <c r="G4096" s="92" t="n">
        <v>1401</v>
      </c>
      <c r="H4096" s="93" t="n">
        <v>116000</v>
      </c>
      <c r="I4096" s="92" t="inlineStr">
        <is>
          <t>7월 소모품 구입 - Q오피스</t>
        </is>
      </c>
      <c r="J4096" s="92" t="inlineStr">
        <is>
          <t>V10003</t>
        </is>
      </c>
      <c r="K4096" s="92" t="inlineStr">
        <is>
          <t>Q오피스</t>
        </is>
      </c>
      <c r="M4096" s="9">
        <f>IF($A4096="","",VALUE($A4096&amp;"")*12+VALUE($B4096&amp;""))</f>
        <v/>
      </c>
      <c r="N4096" s="64">
        <f>IF($A4096="","",IFERROR(INDEX(부서매핑!$C$5:$C$504,MATCH($G4096&amp;"",부서매핑!$A$5:$A$504,0)),"미매핑"))</f>
        <v/>
      </c>
      <c r="O4096" s="9">
        <f>IF($A4096="","",N4096&amp;"|"&amp;$F4096)</f>
        <v/>
      </c>
      <c r="P4096" s="94">
        <f>IF($A4096="",0,$H4096*설정!$C$23)</f>
        <v/>
      </c>
      <c r="Q4096" s="64">
        <f>IF($A4096="","",IF(O4096&lt;&gt;원인분석!$C$9,"",IF(AND(M4096&gt;=원인분석!$C$10,M4096&lt;=원인분석!$C$11),"당기",IF(AND(M4096&gt;=원인분석!$C$12,M4096&lt;=원인분석!$C$13),"비교",""))))</f>
        <v/>
      </c>
      <c r="R4096" s="9">
        <f>IF(Q4096="","",$K4096&amp;"")</f>
        <v/>
      </c>
      <c r="S4096" s="9">
        <f>IF(Q4096="","",IF(MATCH(R4096,$R$5:$R$100000,0)=ROW()-4,ROW(),""))</f>
        <v/>
      </c>
      <c r="T4096" s="9">
        <f>IF(Q4096="당기",ABS(P4096)+ROW()/1000000000,"")</f>
        <v/>
      </c>
      <c r="U4096" s="9">
        <f>IF(Q4096="비교",ABS(P4096)+ROW()/1000000000,"")</f>
        <v/>
      </c>
      <c r="V4096" s="64">
        <f>IF($A4096="","",IF(COUNTIF(변동분석!$E$7:$E$506,O4096)&gt;0,"Y","N"))</f>
        <v/>
      </c>
      <c r="W4096" s="64">
        <f>IF($A4096="","",IFERROR(INDEX(계정매핑!$D$5:$D$504,MATCH($F4096&amp;"",계정매핑!$A$5:$A$504,0)),"미매핑"))</f>
        <v/>
      </c>
      <c r="X4096" s="9">
        <f>IF($A4096="","",$F4096&amp;"")</f>
        <v/>
      </c>
      <c r="Y4096" s="94">
        <f>IF($A4096="",0,IF(AE4096="직접",IF(AF4096="비귀속",$P4096,0),$P4096*(1-AG4096)*IFERROR(INDEX(계정대체기준!$F$20:$F$49,MATCH($N4096,계정대체기준!$A$20:$A$49,0)),1)))</f>
        <v/>
      </c>
      <c r="Z4096" s="94">
        <f>IF($A4096="",0,IF(AE4096="직접",IF(AF4096="신계약비",$P4096,0),$P4096*(1-AG4096)*IFERROR(INDEX(계정대체기준!$C$20:$C$49,MATCH($N4096,계정대체기준!$A$20:$A$49,0)),0)))</f>
        <v/>
      </c>
      <c r="AA4096" s="94">
        <f>IF($A4096="",0,IF(AE4096="직접",IF(OR(AF4096="유지비",AF4096="손해조사비"),$P4096,0),$P4096*(1-AG4096)*IFERROR(INDEX(계정대체기준!$D$20:$D$49,MATCH($N4096,계정대체기준!$A$20:$A$49,0)),0)))</f>
        <v/>
      </c>
      <c r="AB4096" s="94">
        <f>IF($A4096="",0,IF(AE4096="직접",IF(AF4096="수금비",$P4096,0),$P4096*(1-AG4096)*IFERROR(INDEX(계정대체기준!$E$20:$E$49,MATCH($N4096,계정대체기준!$A$20:$A$49,0)),0)))</f>
        <v/>
      </c>
      <c r="AC4096" s="9">
        <f>IF(AND($A4096&lt;&gt;"",M4096=설정!$C$20,Z4096&gt;0),Z4096+ROW()/1000000000,"")</f>
        <v/>
      </c>
      <c r="AD4096" s="94">
        <f>IF($A4096="",0,$P4096*AG4096)</f>
        <v/>
      </c>
      <c r="AE4096" s="64">
        <f>IF($A4096="","",IFERROR(INDEX(계정매핑!$E$5:$E$504,MATCH($F4096&amp;"",계정매핑!$A$5:$A$504,0))&amp;"","공통비"))</f>
        <v/>
      </c>
      <c r="AF4096" s="64">
        <f>IF($A4096="","",IF(AE4096="직접",IFERROR(INDEX(계정매핑!$F$5:$F$504,MATCH($F4096&amp;"",계정매핑!$A$5:$A$504,0))&amp;"","비귀속"),""))</f>
        <v/>
      </c>
      <c r="AG4096" s="96">
        <f>IF($A4096="",0,IF(AND(AE4096&lt;&gt;"직접",IFERROR(INDEX(계정매핑!$G$5:$G$504,MATCH($F4096&amp;"",계정매핑!$A$5:$A$504,0))&amp;"","")="유지비",COUNTIF(계정대체기준!$A$6:$A$15,$N4096)&gt;0),IFERROR(INDEX(계정대체기준!$E$6:$E$15,MATCH(VALUE($A4096&amp;""),계정대체기준!$D$6:$D$15,0)),0),0))</f>
        <v/>
      </c>
      <c r="AH4096" s="64">
        <f>IF($A4096="","",IF(AD4096=0,"",IF(OR(COUNTIF(계정대체기준!$A$77:$A$86,$N4096)&gt;0,ISNUMBER(MATCH($X4096,계정대체기준!$D$77:$D$86,0)),ISNUMBER(MATCH($F4096,계정대체기준!$D$77:$D$86,0))),"Y","N")))</f>
        <v/>
      </c>
    </row>
    <row r="4097">
      <c r="A4097" s="92" t="n">
        <v>2026</v>
      </c>
      <c r="B4097" s="92" t="n">
        <v>7</v>
      </c>
      <c r="C4097" s="92" t="inlineStr">
        <is>
          <t>5100001375</t>
        </is>
      </c>
      <c r="D4097" s="95" t="n">
        <v>46205</v>
      </c>
      <c r="E4097" s="92" t="inlineStr">
        <is>
          <t>KR</t>
        </is>
      </c>
      <c r="F4097" s="92" t="n">
        <v>62501000</v>
      </c>
      <c r="G4097" s="92" t="n">
        <v>1401</v>
      </c>
      <c r="H4097" s="93" t="n">
        <v>141000</v>
      </c>
      <c r="I4097" s="92" t="inlineStr">
        <is>
          <t>7월 회의 다과 - T케이터링</t>
        </is>
      </c>
      <c r="J4097" s="92" t="inlineStr">
        <is>
          <t>V10005</t>
        </is>
      </c>
      <c r="K4097" s="92" t="inlineStr">
        <is>
          <t>T케이터링</t>
        </is>
      </c>
      <c r="M4097" s="9">
        <f>IF($A4097="","",VALUE($A4097&amp;"")*12+VALUE($B4097&amp;""))</f>
        <v/>
      </c>
      <c r="N4097" s="64">
        <f>IF($A4097="","",IFERROR(INDEX(부서매핑!$C$5:$C$504,MATCH($G4097&amp;"",부서매핑!$A$5:$A$504,0)),"미매핑"))</f>
        <v/>
      </c>
      <c r="O4097" s="9">
        <f>IF($A4097="","",N4097&amp;"|"&amp;$F4097)</f>
        <v/>
      </c>
      <c r="P4097" s="94">
        <f>IF($A4097="",0,$H4097*설정!$C$23)</f>
        <v/>
      </c>
      <c r="Q4097" s="64">
        <f>IF($A4097="","",IF(O4097&lt;&gt;원인분석!$C$9,"",IF(AND(M4097&gt;=원인분석!$C$10,M4097&lt;=원인분석!$C$11),"당기",IF(AND(M4097&gt;=원인분석!$C$12,M4097&lt;=원인분석!$C$13),"비교",""))))</f>
        <v/>
      </c>
      <c r="R4097" s="9">
        <f>IF(Q4097="","",$K4097&amp;"")</f>
        <v/>
      </c>
      <c r="S4097" s="9">
        <f>IF(Q4097="","",IF(MATCH(R4097,$R$5:$R$100000,0)=ROW()-4,ROW(),""))</f>
        <v/>
      </c>
      <c r="T4097" s="9">
        <f>IF(Q4097="당기",ABS(P4097)+ROW()/1000000000,"")</f>
        <v/>
      </c>
      <c r="U4097" s="9">
        <f>IF(Q4097="비교",ABS(P4097)+ROW()/1000000000,"")</f>
        <v/>
      </c>
      <c r="V4097" s="64">
        <f>IF($A4097="","",IF(COUNTIF(변동분석!$E$7:$E$506,O4097)&gt;0,"Y","N"))</f>
        <v/>
      </c>
      <c r="W4097" s="64">
        <f>IF($A4097="","",IFERROR(INDEX(계정매핑!$D$5:$D$504,MATCH($F4097&amp;"",계정매핑!$A$5:$A$504,0)),"미매핑"))</f>
        <v/>
      </c>
      <c r="X4097" s="9">
        <f>IF($A4097="","",$F4097&amp;"")</f>
        <v/>
      </c>
      <c r="Y4097" s="94">
        <f>IF($A4097="",0,IF(AE4097="직접",IF(AF4097="비귀속",$P4097,0),$P4097*(1-AG4097)*IFERROR(INDEX(계정대체기준!$F$20:$F$49,MATCH($N4097,계정대체기준!$A$20:$A$49,0)),1)))</f>
        <v/>
      </c>
      <c r="Z4097" s="94">
        <f>IF($A4097="",0,IF(AE4097="직접",IF(AF4097="신계약비",$P4097,0),$P4097*(1-AG4097)*IFERROR(INDEX(계정대체기준!$C$20:$C$49,MATCH($N4097,계정대체기준!$A$20:$A$49,0)),0)))</f>
        <v/>
      </c>
      <c r="AA4097" s="94">
        <f>IF($A4097="",0,IF(AE4097="직접",IF(OR(AF4097="유지비",AF4097="손해조사비"),$P4097,0),$P4097*(1-AG4097)*IFERROR(INDEX(계정대체기준!$D$20:$D$49,MATCH($N4097,계정대체기준!$A$20:$A$49,0)),0)))</f>
        <v/>
      </c>
      <c r="AB4097" s="94">
        <f>IF($A4097="",0,IF(AE4097="직접",IF(AF4097="수금비",$P4097,0),$P4097*(1-AG4097)*IFERROR(INDEX(계정대체기준!$E$20:$E$49,MATCH($N4097,계정대체기준!$A$20:$A$49,0)),0)))</f>
        <v/>
      </c>
      <c r="AC4097" s="9">
        <f>IF(AND($A4097&lt;&gt;"",M4097=설정!$C$20,Z4097&gt;0),Z4097+ROW()/1000000000,"")</f>
        <v/>
      </c>
      <c r="AD4097" s="94">
        <f>IF($A4097="",0,$P4097*AG4097)</f>
        <v/>
      </c>
      <c r="AE4097" s="64">
        <f>IF($A4097="","",IFERROR(INDEX(계정매핑!$E$5:$E$504,MATCH($F4097&amp;"",계정매핑!$A$5:$A$504,0))&amp;"","공통비"))</f>
        <v/>
      </c>
      <c r="AF4097" s="64">
        <f>IF($A4097="","",IF(AE4097="직접",IFERROR(INDEX(계정매핑!$F$5:$F$504,MATCH($F4097&amp;"",계정매핑!$A$5:$A$504,0))&amp;"","비귀속"),""))</f>
        <v/>
      </c>
      <c r="AG4097" s="96">
        <f>IF($A4097="",0,IF(AND(AE4097&lt;&gt;"직접",IFERROR(INDEX(계정매핑!$G$5:$G$504,MATCH($F4097&amp;"",계정매핑!$A$5:$A$504,0))&amp;"","")="유지비",COUNTIF(계정대체기준!$A$6:$A$15,$N4097)&gt;0),IFERROR(INDEX(계정대체기준!$E$6:$E$15,MATCH(VALUE($A4097&amp;""),계정대체기준!$D$6:$D$15,0)),0),0))</f>
        <v/>
      </c>
      <c r="AH4097" s="64">
        <f>IF($A4097="","",IF(AD4097=0,"",IF(OR(COUNTIF(계정대체기준!$A$77:$A$86,$N4097)&gt;0,ISNUMBER(MATCH($X4097,계정대체기준!$D$77:$D$86,0)),ISNUMBER(MATCH($F4097,계정대체기준!$D$77:$D$86,0))),"Y","N")))</f>
        <v/>
      </c>
    </row>
    <row r="4098">
      <c r="A4098" s="92" t="n">
        <v>2026</v>
      </c>
      <c r="B4098" s="92" t="n">
        <v>7</v>
      </c>
      <c r="C4098" s="92" t="inlineStr">
        <is>
          <t>5100001376</t>
        </is>
      </c>
      <c r="D4098" s="95" t="n">
        <v>46205</v>
      </c>
      <c r="E4098" s="92" t="inlineStr">
        <is>
          <t>KR</t>
        </is>
      </c>
      <c r="F4098" s="92" t="n">
        <v>62801000</v>
      </c>
      <c r="G4098" s="92" t="n">
        <v>1301</v>
      </c>
      <c r="H4098" s="93" t="n">
        <v>5718000</v>
      </c>
      <c r="I4098" s="92" t="inlineStr">
        <is>
          <t>7월 사내교육 - U에듀</t>
        </is>
      </c>
      <c r="J4098" s="92" t="inlineStr">
        <is>
          <t>V10031</t>
        </is>
      </c>
      <c r="K4098" s="92" t="inlineStr">
        <is>
          <t>U에듀</t>
        </is>
      </c>
      <c r="M4098" s="9">
        <f>IF($A4098="","",VALUE($A4098&amp;"")*12+VALUE($B4098&amp;""))</f>
        <v/>
      </c>
      <c r="N4098" s="64">
        <f>IF($A4098="","",IFERROR(INDEX(부서매핑!$C$5:$C$504,MATCH($G4098&amp;"",부서매핑!$A$5:$A$504,0)),"미매핑"))</f>
        <v/>
      </c>
      <c r="O4098" s="9">
        <f>IF($A4098="","",N4098&amp;"|"&amp;$F4098)</f>
        <v/>
      </c>
      <c r="P4098" s="94">
        <f>IF($A4098="",0,$H4098*설정!$C$23)</f>
        <v/>
      </c>
      <c r="Q4098" s="64">
        <f>IF($A4098="","",IF(O4098&lt;&gt;원인분석!$C$9,"",IF(AND(M4098&gt;=원인분석!$C$10,M4098&lt;=원인분석!$C$11),"당기",IF(AND(M4098&gt;=원인분석!$C$12,M4098&lt;=원인분석!$C$13),"비교",""))))</f>
        <v/>
      </c>
      <c r="R4098" s="9">
        <f>IF(Q4098="","",$K4098&amp;"")</f>
        <v/>
      </c>
      <c r="S4098" s="9">
        <f>IF(Q4098="","",IF(MATCH(R4098,$R$5:$R$100000,0)=ROW()-4,ROW(),""))</f>
        <v/>
      </c>
      <c r="T4098" s="9">
        <f>IF(Q4098="당기",ABS(P4098)+ROW()/1000000000,"")</f>
        <v/>
      </c>
      <c r="U4098" s="9">
        <f>IF(Q4098="비교",ABS(P4098)+ROW()/1000000000,"")</f>
        <v/>
      </c>
      <c r="V4098" s="64">
        <f>IF($A4098="","",IF(COUNTIF(변동분석!$E$7:$E$506,O4098)&gt;0,"Y","N"))</f>
        <v/>
      </c>
      <c r="W4098" s="64">
        <f>IF($A4098="","",IFERROR(INDEX(계정매핑!$D$5:$D$504,MATCH($F4098&amp;"",계정매핑!$A$5:$A$504,0)),"미매핑"))</f>
        <v/>
      </c>
      <c r="X4098" s="9">
        <f>IF($A4098="","",$F4098&amp;"")</f>
        <v/>
      </c>
      <c r="Y4098" s="94">
        <f>IF($A4098="",0,IF(AE4098="직접",IF(AF4098="비귀속",$P4098,0),$P4098*(1-AG4098)*IFERROR(INDEX(계정대체기준!$F$20:$F$49,MATCH($N4098,계정대체기준!$A$20:$A$49,0)),1)))</f>
        <v/>
      </c>
      <c r="Z4098" s="94">
        <f>IF($A4098="",0,IF(AE4098="직접",IF(AF4098="신계약비",$P4098,0),$P4098*(1-AG4098)*IFERROR(INDEX(계정대체기준!$C$20:$C$49,MATCH($N4098,계정대체기준!$A$20:$A$49,0)),0)))</f>
        <v/>
      </c>
      <c r="AA4098" s="94">
        <f>IF($A4098="",0,IF(AE4098="직접",IF(OR(AF4098="유지비",AF4098="손해조사비"),$P4098,0),$P4098*(1-AG4098)*IFERROR(INDEX(계정대체기준!$D$20:$D$49,MATCH($N4098,계정대체기준!$A$20:$A$49,0)),0)))</f>
        <v/>
      </c>
      <c r="AB4098" s="94">
        <f>IF($A4098="",0,IF(AE4098="직접",IF(AF4098="수금비",$P4098,0),$P4098*(1-AG4098)*IFERROR(INDEX(계정대체기준!$E$20:$E$49,MATCH($N4098,계정대체기준!$A$20:$A$49,0)),0)))</f>
        <v/>
      </c>
      <c r="AC4098" s="9">
        <f>IF(AND($A4098&lt;&gt;"",M4098=설정!$C$20,Z4098&gt;0),Z4098+ROW()/1000000000,"")</f>
        <v/>
      </c>
      <c r="AD4098" s="94">
        <f>IF($A4098="",0,$P4098*AG4098)</f>
        <v/>
      </c>
      <c r="AE4098" s="64">
        <f>IF($A4098="","",IFERROR(INDEX(계정매핑!$E$5:$E$504,MATCH($F4098&amp;"",계정매핑!$A$5:$A$504,0))&amp;"","공통비"))</f>
        <v/>
      </c>
      <c r="AF4098" s="64">
        <f>IF($A4098="","",IF(AE4098="직접",IFERROR(INDEX(계정매핑!$F$5:$F$504,MATCH($F4098&amp;"",계정매핑!$A$5:$A$504,0))&amp;"","비귀속"),""))</f>
        <v/>
      </c>
      <c r="AG4098" s="96">
        <f>IF($A4098="",0,IF(AND(AE4098&lt;&gt;"직접",IFERROR(INDEX(계정매핑!$G$5:$G$504,MATCH($F4098&amp;"",계정매핑!$A$5:$A$504,0))&amp;"","")="유지비",COUNTIF(계정대체기준!$A$6:$A$15,$N4098)&gt;0),IFERROR(INDEX(계정대체기준!$E$6:$E$15,MATCH(VALUE($A4098&amp;""),계정대체기준!$D$6:$D$15,0)),0),0))</f>
        <v/>
      </c>
      <c r="AH4098" s="64">
        <f>IF($A4098="","",IF(AD4098=0,"",IF(OR(COUNTIF(계정대체기준!$A$77:$A$86,$N4098)&gt;0,ISNUMBER(MATCH($X4098,계정대체기준!$D$77:$D$86,0)),ISNUMBER(MATCH($F4098,계정대체기준!$D$77:$D$86,0))),"Y","N")))</f>
        <v/>
      </c>
    </row>
    <row r="4099">
      <c r="A4099" s="92" t="n">
        <v>2026</v>
      </c>
      <c r="B4099" s="92" t="n">
        <v>7</v>
      </c>
      <c r="C4099" s="92" t="inlineStr">
        <is>
          <t>5100001377</t>
        </is>
      </c>
      <c r="D4099" s="95" t="n">
        <v>46205</v>
      </c>
      <c r="E4099" s="92" t="inlineStr">
        <is>
          <t>KR</t>
        </is>
      </c>
      <c r="F4099" s="92" t="n">
        <v>62901000</v>
      </c>
      <c r="G4099" s="92" t="n">
        <v>1201</v>
      </c>
      <c r="H4099" s="93" t="n">
        <v>7492000</v>
      </c>
      <c r="I4099" s="92" t="inlineStr">
        <is>
          <t>7월 자문 수수료 - K회계법인</t>
        </is>
      </c>
      <c r="J4099" s="92" t="inlineStr">
        <is>
          <t>V10011</t>
        </is>
      </c>
      <c r="K4099" s="92" t="inlineStr">
        <is>
          <t>K회계법인</t>
        </is>
      </c>
      <c r="M4099" s="9">
        <f>IF($A4099="","",VALUE($A4099&amp;"")*12+VALUE($B4099&amp;""))</f>
        <v/>
      </c>
      <c r="N4099" s="64">
        <f>IF($A4099="","",IFERROR(INDEX(부서매핑!$C$5:$C$504,MATCH($G4099&amp;"",부서매핑!$A$5:$A$504,0)),"미매핑"))</f>
        <v/>
      </c>
      <c r="O4099" s="9">
        <f>IF($A4099="","",N4099&amp;"|"&amp;$F4099)</f>
        <v/>
      </c>
      <c r="P4099" s="94">
        <f>IF($A4099="",0,$H4099*설정!$C$23)</f>
        <v/>
      </c>
      <c r="Q4099" s="64">
        <f>IF($A4099="","",IF(O4099&lt;&gt;원인분석!$C$9,"",IF(AND(M4099&gt;=원인분석!$C$10,M4099&lt;=원인분석!$C$11),"당기",IF(AND(M4099&gt;=원인분석!$C$12,M4099&lt;=원인분석!$C$13),"비교",""))))</f>
        <v/>
      </c>
      <c r="R4099" s="9">
        <f>IF(Q4099="","",$K4099&amp;"")</f>
        <v/>
      </c>
      <c r="S4099" s="9">
        <f>IF(Q4099="","",IF(MATCH(R4099,$R$5:$R$100000,0)=ROW()-4,ROW(),""))</f>
        <v/>
      </c>
      <c r="T4099" s="9">
        <f>IF(Q4099="당기",ABS(P4099)+ROW()/1000000000,"")</f>
        <v/>
      </c>
      <c r="U4099" s="9">
        <f>IF(Q4099="비교",ABS(P4099)+ROW()/1000000000,"")</f>
        <v/>
      </c>
      <c r="V4099" s="64">
        <f>IF($A4099="","",IF(COUNTIF(변동분석!$E$7:$E$506,O4099)&gt;0,"Y","N"))</f>
        <v/>
      </c>
      <c r="W4099" s="64">
        <f>IF($A4099="","",IFERROR(INDEX(계정매핑!$D$5:$D$504,MATCH($F4099&amp;"",계정매핑!$A$5:$A$504,0)),"미매핑"))</f>
        <v/>
      </c>
      <c r="X4099" s="9">
        <f>IF($A4099="","",$F4099&amp;"")</f>
        <v/>
      </c>
      <c r="Y4099" s="94">
        <f>IF($A4099="",0,IF(AE4099="직접",IF(AF4099="비귀속",$P4099,0),$P4099*(1-AG4099)*IFERROR(INDEX(계정대체기준!$F$20:$F$49,MATCH($N4099,계정대체기준!$A$20:$A$49,0)),1)))</f>
        <v/>
      </c>
      <c r="Z4099" s="94">
        <f>IF($A4099="",0,IF(AE4099="직접",IF(AF4099="신계약비",$P4099,0),$P4099*(1-AG4099)*IFERROR(INDEX(계정대체기준!$C$20:$C$49,MATCH($N4099,계정대체기준!$A$20:$A$49,0)),0)))</f>
        <v/>
      </c>
      <c r="AA4099" s="94">
        <f>IF($A4099="",0,IF(AE4099="직접",IF(OR(AF4099="유지비",AF4099="손해조사비"),$P4099,0),$P4099*(1-AG4099)*IFERROR(INDEX(계정대체기준!$D$20:$D$49,MATCH($N4099,계정대체기준!$A$20:$A$49,0)),0)))</f>
        <v/>
      </c>
      <c r="AB4099" s="94">
        <f>IF($A4099="",0,IF(AE4099="직접",IF(AF4099="수금비",$P4099,0),$P4099*(1-AG4099)*IFERROR(INDEX(계정대체기준!$E$20:$E$49,MATCH($N4099,계정대체기준!$A$20:$A$49,0)),0)))</f>
        <v/>
      </c>
      <c r="AC4099" s="9">
        <f>IF(AND($A4099&lt;&gt;"",M4099=설정!$C$20,Z4099&gt;0),Z4099+ROW()/1000000000,"")</f>
        <v/>
      </c>
      <c r="AD4099" s="94">
        <f>IF($A4099="",0,$P4099*AG4099)</f>
        <v/>
      </c>
      <c r="AE4099" s="64">
        <f>IF($A4099="","",IFERROR(INDEX(계정매핑!$E$5:$E$504,MATCH($F4099&amp;"",계정매핑!$A$5:$A$504,0))&amp;"","공통비"))</f>
        <v/>
      </c>
      <c r="AF4099" s="64">
        <f>IF($A4099="","",IF(AE4099="직접",IFERROR(INDEX(계정매핑!$F$5:$F$504,MATCH($F4099&amp;"",계정매핑!$A$5:$A$504,0))&amp;"","비귀속"),""))</f>
        <v/>
      </c>
      <c r="AG4099" s="96">
        <f>IF($A4099="",0,IF(AND(AE4099&lt;&gt;"직접",IFERROR(INDEX(계정매핑!$G$5:$G$504,MATCH($F4099&amp;"",계정매핑!$A$5:$A$504,0))&amp;"","")="유지비",COUNTIF(계정대체기준!$A$6:$A$15,$N4099)&gt;0),IFERROR(INDEX(계정대체기준!$E$6:$E$15,MATCH(VALUE($A4099&amp;""),계정대체기준!$D$6:$D$15,0)),0),0))</f>
        <v/>
      </c>
      <c r="AH4099" s="64">
        <f>IF($A4099="","",IF(AD4099=0,"",IF(OR(COUNTIF(계정대체기준!$A$77:$A$86,$N4099)&gt;0,ISNUMBER(MATCH($X4099,계정대체기준!$D$77:$D$86,0)),ISNUMBER(MATCH($F4099,계정대체기준!$D$77:$D$86,0))),"Y","N")))</f>
        <v/>
      </c>
    </row>
    <row r="4100">
      <c r="A4100" s="92" t="n">
        <v>2026</v>
      </c>
      <c r="B4100" s="92" t="n">
        <v>7</v>
      </c>
      <c r="C4100" s="92" t="inlineStr">
        <is>
          <t>5100001378</t>
        </is>
      </c>
      <c r="D4100" s="95" t="n">
        <v>46206</v>
      </c>
      <c r="E4100" s="92" t="inlineStr">
        <is>
          <t>KR</t>
        </is>
      </c>
      <c r="F4100" s="92" t="n">
        <v>62101000</v>
      </c>
      <c r="G4100" s="92" t="n">
        <v>1401</v>
      </c>
      <c r="H4100" s="93" t="n">
        <v>389000</v>
      </c>
      <c r="I4100" s="92" t="inlineStr">
        <is>
          <t>7월 국내출장 - L여행사</t>
        </is>
      </c>
      <c r="J4100" s="92" t="inlineStr">
        <is>
          <t>V10018</t>
        </is>
      </c>
      <c r="K4100" s="92" t="inlineStr">
        <is>
          <t>L여행사</t>
        </is>
      </c>
      <c r="M4100" s="9">
        <f>IF($A4100="","",VALUE($A4100&amp;"")*12+VALUE($B4100&amp;""))</f>
        <v/>
      </c>
      <c r="N4100" s="64">
        <f>IF($A4100="","",IFERROR(INDEX(부서매핑!$C$5:$C$504,MATCH($G4100&amp;"",부서매핑!$A$5:$A$504,0)),"미매핑"))</f>
        <v/>
      </c>
      <c r="O4100" s="9">
        <f>IF($A4100="","",N4100&amp;"|"&amp;$F4100)</f>
        <v/>
      </c>
      <c r="P4100" s="94">
        <f>IF($A4100="",0,$H4100*설정!$C$23)</f>
        <v/>
      </c>
      <c r="Q4100" s="64">
        <f>IF($A4100="","",IF(O4100&lt;&gt;원인분석!$C$9,"",IF(AND(M4100&gt;=원인분석!$C$10,M4100&lt;=원인분석!$C$11),"당기",IF(AND(M4100&gt;=원인분석!$C$12,M4100&lt;=원인분석!$C$13),"비교",""))))</f>
        <v/>
      </c>
      <c r="R4100" s="9">
        <f>IF(Q4100="","",$K4100&amp;"")</f>
        <v/>
      </c>
      <c r="S4100" s="9">
        <f>IF(Q4100="","",IF(MATCH(R4100,$R$5:$R$100000,0)=ROW()-4,ROW(),""))</f>
        <v/>
      </c>
      <c r="T4100" s="9">
        <f>IF(Q4100="당기",ABS(P4100)+ROW()/1000000000,"")</f>
        <v/>
      </c>
      <c r="U4100" s="9">
        <f>IF(Q4100="비교",ABS(P4100)+ROW()/1000000000,"")</f>
        <v/>
      </c>
      <c r="V4100" s="64">
        <f>IF($A4100="","",IF(COUNTIF(변동분석!$E$7:$E$506,O4100)&gt;0,"Y","N"))</f>
        <v/>
      </c>
      <c r="W4100" s="64">
        <f>IF($A4100="","",IFERROR(INDEX(계정매핑!$D$5:$D$504,MATCH($F4100&amp;"",계정매핑!$A$5:$A$504,0)),"미매핑"))</f>
        <v/>
      </c>
      <c r="X4100" s="9">
        <f>IF($A4100="","",$F4100&amp;"")</f>
        <v/>
      </c>
      <c r="Y4100" s="94">
        <f>IF($A4100="",0,IF(AE4100="직접",IF(AF4100="비귀속",$P4100,0),$P4100*(1-AG4100)*IFERROR(INDEX(계정대체기준!$F$20:$F$49,MATCH($N4100,계정대체기준!$A$20:$A$49,0)),1)))</f>
        <v/>
      </c>
      <c r="Z4100" s="94">
        <f>IF($A4100="",0,IF(AE4100="직접",IF(AF4100="신계약비",$P4100,0),$P4100*(1-AG4100)*IFERROR(INDEX(계정대체기준!$C$20:$C$49,MATCH($N4100,계정대체기준!$A$20:$A$49,0)),0)))</f>
        <v/>
      </c>
      <c r="AA4100" s="94">
        <f>IF($A4100="",0,IF(AE4100="직접",IF(OR(AF4100="유지비",AF4100="손해조사비"),$P4100,0),$P4100*(1-AG4100)*IFERROR(INDEX(계정대체기준!$D$20:$D$49,MATCH($N4100,계정대체기준!$A$20:$A$49,0)),0)))</f>
        <v/>
      </c>
      <c r="AB4100" s="94">
        <f>IF($A4100="",0,IF(AE4100="직접",IF(AF4100="수금비",$P4100,0),$P4100*(1-AG4100)*IFERROR(INDEX(계정대체기준!$E$20:$E$49,MATCH($N4100,계정대체기준!$A$20:$A$49,0)),0)))</f>
        <v/>
      </c>
      <c r="AC4100" s="9">
        <f>IF(AND($A4100&lt;&gt;"",M4100=설정!$C$20,Z4100&gt;0),Z4100+ROW()/1000000000,"")</f>
        <v/>
      </c>
      <c r="AD4100" s="94">
        <f>IF($A4100="",0,$P4100*AG4100)</f>
        <v/>
      </c>
      <c r="AE4100" s="64">
        <f>IF($A4100="","",IFERROR(INDEX(계정매핑!$E$5:$E$504,MATCH($F4100&amp;"",계정매핑!$A$5:$A$504,0))&amp;"","공통비"))</f>
        <v/>
      </c>
      <c r="AF4100" s="64">
        <f>IF($A4100="","",IF(AE4100="직접",IFERROR(INDEX(계정매핑!$F$5:$F$504,MATCH($F4100&amp;"",계정매핑!$A$5:$A$504,0))&amp;"","비귀속"),""))</f>
        <v/>
      </c>
      <c r="AG4100" s="96">
        <f>IF($A4100="",0,IF(AND(AE4100&lt;&gt;"직접",IFERROR(INDEX(계정매핑!$G$5:$G$504,MATCH($F4100&amp;"",계정매핑!$A$5:$A$504,0))&amp;"","")="유지비",COUNTIF(계정대체기준!$A$6:$A$15,$N4100)&gt;0),IFERROR(INDEX(계정대체기준!$E$6:$E$15,MATCH(VALUE($A4100&amp;""),계정대체기준!$D$6:$D$15,0)),0),0))</f>
        <v/>
      </c>
      <c r="AH4100" s="64">
        <f>IF($A4100="","",IF(AD4100=0,"",IF(OR(COUNTIF(계정대체기준!$A$77:$A$86,$N4100)&gt;0,ISNUMBER(MATCH($X4100,계정대체기준!$D$77:$D$86,0)),ISNUMBER(MATCH($F4100,계정대체기준!$D$77:$D$86,0))),"Y","N")))</f>
        <v/>
      </c>
    </row>
    <row r="4101">
      <c r="A4101" s="92" t="n">
        <v>2026</v>
      </c>
      <c r="B4101" s="92" t="n">
        <v>7</v>
      </c>
      <c r="C4101" s="92" t="inlineStr">
        <is>
          <t>5100001379</t>
        </is>
      </c>
      <c r="D4101" s="95" t="n">
        <v>46206</v>
      </c>
      <c r="E4101" s="92" t="inlineStr">
        <is>
          <t>KR</t>
        </is>
      </c>
      <c r="F4101" s="92" t="n">
        <v>62101000</v>
      </c>
      <c r="G4101" s="92" t="n">
        <v>1701</v>
      </c>
      <c r="H4101" s="93" t="n">
        <v>155000</v>
      </c>
      <c r="I4101" s="92" t="inlineStr">
        <is>
          <t>7월 국내출장 - L여행사</t>
        </is>
      </c>
      <c r="J4101" s="92" t="inlineStr">
        <is>
          <t>V10018</t>
        </is>
      </c>
      <c r="K4101" s="92" t="inlineStr">
        <is>
          <t>L여행사</t>
        </is>
      </c>
      <c r="M4101" s="9">
        <f>IF($A4101="","",VALUE($A4101&amp;"")*12+VALUE($B4101&amp;""))</f>
        <v/>
      </c>
      <c r="N4101" s="64">
        <f>IF($A4101="","",IFERROR(INDEX(부서매핑!$C$5:$C$504,MATCH($G4101&amp;"",부서매핑!$A$5:$A$504,0)),"미매핑"))</f>
        <v/>
      </c>
      <c r="O4101" s="9">
        <f>IF($A4101="","",N4101&amp;"|"&amp;$F4101)</f>
        <v/>
      </c>
      <c r="P4101" s="94">
        <f>IF($A4101="",0,$H4101*설정!$C$23)</f>
        <v/>
      </c>
      <c r="Q4101" s="64">
        <f>IF($A4101="","",IF(O4101&lt;&gt;원인분석!$C$9,"",IF(AND(M4101&gt;=원인분석!$C$10,M4101&lt;=원인분석!$C$11),"당기",IF(AND(M4101&gt;=원인분석!$C$12,M4101&lt;=원인분석!$C$13),"비교",""))))</f>
        <v/>
      </c>
      <c r="R4101" s="9">
        <f>IF(Q4101="","",$K4101&amp;"")</f>
        <v/>
      </c>
      <c r="S4101" s="9">
        <f>IF(Q4101="","",IF(MATCH(R4101,$R$5:$R$100000,0)=ROW()-4,ROW(),""))</f>
        <v/>
      </c>
      <c r="T4101" s="9">
        <f>IF(Q4101="당기",ABS(P4101)+ROW()/1000000000,"")</f>
        <v/>
      </c>
      <c r="U4101" s="9">
        <f>IF(Q4101="비교",ABS(P4101)+ROW()/1000000000,"")</f>
        <v/>
      </c>
      <c r="V4101" s="64">
        <f>IF($A4101="","",IF(COUNTIF(변동분석!$E$7:$E$506,O4101)&gt;0,"Y","N"))</f>
        <v/>
      </c>
      <c r="W4101" s="64">
        <f>IF($A4101="","",IFERROR(INDEX(계정매핑!$D$5:$D$504,MATCH($F4101&amp;"",계정매핑!$A$5:$A$504,0)),"미매핑"))</f>
        <v/>
      </c>
      <c r="X4101" s="9">
        <f>IF($A4101="","",$F4101&amp;"")</f>
        <v/>
      </c>
      <c r="Y4101" s="94">
        <f>IF($A4101="",0,IF(AE4101="직접",IF(AF4101="비귀속",$P4101,0),$P4101*(1-AG4101)*IFERROR(INDEX(계정대체기준!$F$20:$F$49,MATCH($N4101,계정대체기준!$A$20:$A$49,0)),1)))</f>
        <v/>
      </c>
      <c r="Z4101" s="94">
        <f>IF($A4101="",0,IF(AE4101="직접",IF(AF4101="신계약비",$P4101,0),$P4101*(1-AG4101)*IFERROR(INDEX(계정대체기준!$C$20:$C$49,MATCH($N4101,계정대체기준!$A$20:$A$49,0)),0)))</f>
        <v/>
      </c>
      <c r="AA4101" s="94">
        <f>IF($A4101="",0,IF(AE4101="직접",IF(OR(AF4101="유지비",AF4101="손해조사비"),$P4101,0),$P4101*(1-AG4101)*IFERROR(INDEX(계정대체기준!$D$20:$D$49,MATCH($N4101,계정대체기준!$A$20:$A$49,0)),0)))</f>
        <v/>
      </c>
      <c r="AB4101" s="94">
        <f>IF($A4101="",0,IF(AE4101="직접",IF(AF4101="수금비",$P4101,0),$P4101*(1-AG4101)*IFERROR(INDEX(계정대체기준!$E$20:$E$49,MATCH($N4101,계정대체기준!$A$20:$A$49,0)),0)))</f>
        <v/>
      </c>
      <c r="AC4101" s="9">
        <f>IF(AND($A4101&lt;&gt;"",M4101=설정!$C$20,Z4101&gt;0),Z4101+ROW()/1000000000,"")</f>
        <v/>
      </c>
      <c r="AD4101" s="94">
        <f>IF($A4101="",0,$P4101*AG4101)</f>
        <v/>
      </c>
      <c r="AE4101" s="64">
        <f>IF($A4101="","",IFERROR(INDEX(계정매핑!$E$5:$E$504,MATCH($F4101&amp;"",계정매핑!$A$5:$A$504,0))&amp;"","공통비"))</f>
        <v/>
      </c>
      <c r="AF4101" s="64">
        <f>IF($A4101="","",IF(AE4101="직접",IFERROR(INDEX(계정매핑!$F$5:$F$504,MATCH($F4101&amp;"",계정매핑!$A$5:$A$504,0))&amp;"","비귀속"),""))</f>
        <v/>
      </c>
      <c r="AG4101" s="96">
        <f>IF($A4101="",0,IF(AND(AE4101&lt;&gt;"직접",IFERROR(INDEX(계정매핑!$G$5:$G$504,MATCH($F4101&amp;"",계정매핑!$A$5:$A$504,0))&amp;"","")="유지비",COUNTIF(계정대체기준!$A$6:$A$15,$N4101)&gt;0),IFERROR(INDEX(계정대체기준!$E$6:$E$15,MATCH(VALUE($A4101&amp;""),계정대체기준!$D$6:$D$15,0)),0),0))</f>
        <v/>
      </c>
      <c r="AH4101" s="64">
        <f>IF($A4101="","",IF(AD4101=0,"",IF(OR(COUNTIF(계정대체기준!$A$77:$A$86,$N4101)&gt;0,ISNUMBER(MATCH($X4101,계정대체기준!$D$77:$D$86,0)),ISNUMBER(MATCH($F4101,계정대체기준!$D$77:$D$86,0))),"Y","N")))</f>
        <v/>
      </c>
    </row>
    <row r="4102">
      <c r="A4102" s="92" t="n">
        <v>2026</v>
      </c>
      <c r="B4102" s="92" t="n">
        <v>7</v>
      </c>
      <c r="C4102" s="92" t="inlineStr">
        <is>
          <t>5100001380</t>
        </is>
      </c>
      <c r="D4102" s="95" t="n">
        <v>46206</v>
      </c>
      <c r="E4102" s="92" t="inlineStr">
        <is>
          <t>KR</t>
        </is>
      </c>
      <c r="F4102" s="92" t="n">
        <v>62201000</v>
      </c>
      <c r="G4102" s="92" t="n">
        <v>1601</v>
      </c>
      <c r="H4102" s="93" t="n">
        <v>832000</v>
      </c>
      <c r="I4102" s="92" t="inlineStr">
        <is>
          <t>7월 통신요금 - P통신</t>
        </is>
      </c>
      <c r="J4102" s="92" t="inlineStr">
        <is>
          <t>V10014</t>
        </is>
      </c>
      <c r="K4102" s="92" t="inlineStr">
        <is>
          <t>P통신</t>
        </is>
      </c>
      <c r="M4102" s="9">
        <f>IF($A4102="","",VALUE($A4102&amp;"")*12+VALUE($B4102&amp;""))</f>
        <v/>
      </c>
      <c r="N4102" s="64">
        <f>IF($A4102="","",IFERROR(INDEX(부서매핑!$C$5:$C$504,MATCH($G4102&amp;"",부서매핑!$A$5:$A$504,0)),"미매핑"))</f>
        <v/>
      </c>
      <c r="O4102" s="9">
        <f>IF($A4102="","",N4102&amp;"|"&amp;$F4102)</f>
        <v/>
      </c>
      <c r="P4102" s="94">
        <f>IF($A4102="",0,$H4102*설정!$C$23)</f>
        <v/>
      </c>
      <c r="Q4102" s="64">
        <f>IF($A4102="","",IF(O4102&lt;&gt;원인분석!$C$9,"",IF(AND(M4102&gt;=원인분석!$C$10,M4102&lt;=원인분석!$C$11),"당기",IF(AND(M4102&gt;=원인분석!$C$12,M4102&lt;=원인분석!$C$13),"비교",""))))</f>
        <v/>
      </c>
      <c r="R4102" s="9">
        <f>IF(Q4102="","",$K4102&amp;"")</f>
        <v/>
      </c>
      <c r="S4102" s="9">
        <f>IF(Q4102="","",IF(MATCH(R4102,$R$5:$R$100000,0)=ROW()-4,ROW(),""))</f>
        <v/>
      </c>
      <c r="T4102" s="9">
        <f>IF(Q4102="당기",ABS(P4102)+ROW()/1000000000,"")</f>
        <v/>
      </c>
      <c r="U4102" s="9">
        <f>IF(Q4102="비교",ABS(P4102)+ROW()/1000000000,"")</f>
        <v/>
      </c>
      <c r="V4102" s="64">
        <f>IF($A4102="","",IF(COUNTIF(변동분석!$E$7:$E$506,O4102)&gt;0,"Y","N"))</f>
        <v/>
      </c>
      <c r="W4102" s="64">
        <f>IF($A4102="","",IFERROR(INDEX(계정매핑!$D$5:$D$504,MATCH($F4102&amp;"",계정매핑!$A$5:$A$504,0)),"미매핑"))</f>
        <v/>
      </c>
      <c r="X4102" s="9">
        <f>IF($A4102="","",$F4102&amp;"")</f>
        <v/>
      </c>
      <c r="Y4102" s="94">
        <f>IF($A4102="",0,IF(AE4102="직접",IF(AF4102="비귀속",$P4102,0),$P4102*(1-AG4102)*IFERROR(INDEX(계정대체기준!$F$20:$F$49,MATCH($N4102,계정대체기준!$A$20:$A$49,0)),1)))</f>
        <v/>
      </c>
      <c r="Z4102" s="94">
        <f>IF($A4102="",0,IF(AE4102="직접",IF(AF4102="신계약비",$P4102,0),$P4102*(1-AG4102)*IFERROR(INDEX(계정대체기준!$C$20:$C$49,MATCH($N4102,계정대체기준!$A$20:$A$49,0)),0)))</f>
        <v/>
      </c>
      <c r="AA4102" s="94">
        <f>IF($A4102="",0,IF(AE4102="직접",IF(OR(AF4102="유지비",AF4102="손해조사비"),$P4102,0),$P4102*(1-AG4102)*IFERROR(INDEX(계정대체기준!$D$20:$D$49,MATCH($N4102,계정대체기준!$A$20:$A$49,0)),0)))</f>
        <v/>
      </c>
      <c r="AB4102" s="94">
        <f>IF($A4102="",0,IF(AE4102="직접",IF(AF4102="수금비",$P4102,0),$P4102*(1-AG4102)*IFERROR(INDEX(계정대체기준!$E$20:$E$49,MATCH($N4102,계정대체기준!$A$20:$A$49,0)),0)))</f>
        <v/>
      </c>
      <c r="AC4102" s="9">
        <f>IF(AND($A4102&lt;&gt;"",M4102=설정!$C$20,Z4102&gt;0),Z4102+ROW()/1000000000,"")</f>
        <v/>
      </c>
      <c r="AD4102" s="94">
        <f>IF($A4102="",0,$P4102*AG4102)</f>
        <v/>
      </c>
      <c r="AE4102" s="64">
        <f>IF($A4102="","",IFERROR(INDEX(계정매핑!$E$5:$E$504,MATCH($F4102&amp;"",계정매핑!$A$5:$A$504,0))&amp;"","공통비"))</f>
        <v/>
      </c>
      <c r="AF4102" s="64">
        <f>IF($A4102="","",IF(AE4102="직접",IFERROR(INDEX(계정매핑!$F$5:$F$504,MATCH($F4102&amp;"",계정매핑!$A$5:$A$504,0))&amp;"","비귀속"),""))</f>
        <v/>
      </c>
      <c r="AG4102" s="96">
        <f>IF($A4102="",0,IF(AND(AE4102&lt;&gt;"직접",IFERROR(INDEX(계정매핑!$G$5:$G$504,MATCH($F4102&amp;"",계정매핑!$A$5:$A$504,0))&amp;"","")="유지비",COUNTIF(계정대체기준!$A$6:$A$15,$N4102)&gt;0),IFERROR(INDEX(계정대체기준!$E$6:$E$15,MATCH(VALUE($A4102&amp;""),계정대체기준!$D$6:$D$15,0)),0),0))</f>
        <v/>
      </c>
      <c r="AH4102" s="64">
        <f>IF($A4102="","",IF(AD4102=0,"",IF(OR(COUNTIF(계정대체기준!$A$77:$A$86,$N4102)&gt;0,ISNUMBER(MATCH($X4102,계정대체기준!$D$77:$D$86,0)),ISNUMBER(MATCH($F4102,계정대체기준!$D$77:$D$86,0))),"Y","N")))</f>
        <v/>
      </c>
    </row>
    <row r="4103">
      <c r="A4103" s="92" t="n">
        <v>2026</v>
      </c>
      <c r="B4103" s="92" t="n">
        <v>7</v>
      </c>
      <c r="C4103" s="92" t="inlineStr">
        <is>
          <t>5100001381</t>
        </is>
      </c>
      <c r="D4103" s="95" t="n">
        <v>46206</v>
      </c>
      <c r="E4103" s="92" t="inlineStr">
        <is>
          <t>KR</t>
        </is>
      </c>
      <c r="F4103" s="92" t="n">
        <v>62301000</v>
      </c>
      <c r="G4103" s="92" t="n">
        <v>1301</v>
      </c>
      <c r="H4103" s="93" t="n">
        <v>260000</v>
      </c>
      <c r="I4103" s="92" t="inlineStr">
        <is>
          <t>7월 소모품 구입 - R문구</t>
        </is>
      </c>
      <c r="J4103" s="92" t="inlineStr">
        <is>
          <t>V10022</t>
        </is>
      </c>
      <c r="K4103" s="92" t="inlineStr">
        <is>
          <t>R문구</t>
        </is>
      </c>
      <c r="M4103" s="9">
        <f>IF($A4103="","",VALUE($A4103&amp;"")*12+VALUE($B4103&amp;""))</f>
        <v/>
      </c>
      <c r="N4103" s="64">
        <f>IF($A4103="","",IFERROR(INDEX(부서매핑!$C$5:$C$504,MATCH($G4103&amp;"",부서매핑!$A$5:$A$504,0)),"미매핑"))</f>
        <v/>
      </c>
      <c r="O4103" s="9">
        <f>IF($A4103="","",N4103&amp;"|"&amp;$F4103)</f>
        <v/>
      </c>
      <c r="P4103" s="94">
        <f>IF($A4103="",0,$H4103*설정!$C$23)</f>
        <v/>
      </c>
      <c r="Q4103" s="64">
        <f>IF($A4103="","",IF(O4103&lt;&gt;원인분석!$C$9,"",IF(AND(M4103&gt;=원인분석!$C$10,M4103&lt;=원인분석!$C$11),"당기",IF(AND(M4103&gt;=원인분석!$C$12,M4103&lt;=원인분석!$C$13),"비교",""))))</f>
        <v/>
      </c>
      <c r="R4103" s="9">
        <f>IF(Q4103="","",$K4103&amp;"")</f>
        <v/>
      </c>
      <c r="S4103" s="9">
        <f>IF(Q4103="","",IF(MATCH(R4103,$R$5:$R$100000,0)=ROW()-4,ROW(),""))</f>
        <v/>
      </c>
      <c r="T4103" s="9">
        <f>IF(Q4103="당기",ABS(P4103)+ROW()/1000000000,"")</f>
        <v/>
      </c>
      <c r="U4103" s="9">
        <f>IF(Q4103="비교",ABS(P4103)+ROW()/1000000000,"")</f>
        <v/>
      </c>
      <c r="V4103" s="64">
        <f>IF($A4103="","",IF(COUNTIF(변동분석!$E$7:$E$506,O4103)&gt;0,"Y","N"))</f>
        <v/>
      </c>
      <c r="W4103" s="64">
        <f>IF($A4103="","",IFERROR(INDEX(계정매핑!$D$5:$D$504,MATCH($F4103&amp;"",계정매핑!$A$5:$A$504,0)),"미매핑"))</f>
        <v/>
      </c>
      <c r="X4103" s="9">
        <f>IF($A4103="","",$F4103&amp;"")</f>
        <v/>
      </c>
      <c r="Y4103" s="94">
        <f>IF($A4103="",0,IF(AE4103="직접",IF(AF4103="비귀속",$P4103,0),$P4103*(1-AG4103)*IFERROR(INDEX(계정대체기준!$F$20:$F$49,MATCH($N4103,계정대체기준!$A$20:$A$49,0)),1)))</f>
        <v/>
      </c>
      <c r="Z4103" s="94">
        <f>IF($A4103="",0,IF(AE4103="직접",IF(AF4103="신계약비",$P4103,0),$P4103*(1-AG4103)*IFERROR(INDEX(계정대체기준!$C$20:$C$49,MATCH($N4103,계정대체기준!$A$20:$A$49,0)),0)))</f>
        <v/>
      </c>
      <c r="AA4103" s="94">
        <f>IF($A4103="",0,IF(AE4103="직접",IF(OR(AF4103="유지비",AF4103="손해조사비"),$P4103,0),$P4103*(1-AG4103)*IFERROR(INDEX(계정대체기준!$D$20:$D$49,MATCH($N4103,계정대체기준!$A$20:$A$49,0)),0)))</f>
        <v/>
      </c>
      <c r="AB4103" s="94">
        <f>IF($A4103="",0,IF(AE4103="직접",IF(AF4103="수금비",$P4103,0),$P4103*(1-AG4103)*IFERROR(INDEX(계정대체기준!$E$20:$E$49,MATCH($N4103,계정대체기준!$A$20:$A$49,0)),0)))</f>
        <v/>
      </c>
      <c r="AC4103" s="9">
        <f>IF(AND($A4103&lt;&gt;"",M4103=설정!$C$20,Z4103&gt;0),Z4103+ROW()/1000000000,"")</f>
        <v/>
      </c>
      <c r="AD4103" s="94">
        <f>IF($A4103="",0,$P4103*AG4103)</f>
        <v/>
      </c>
      <c r="AE4103" s="64">
        <f>IF($A4103="","",IFERROR(INDEX(계정매핑!$E$5:$E$504,MATCH($F4103&amp;"",계정매핑!$A$5:$A$504,0))&amp;"","공통비"))</f>
        <v/>
      </c>
      <c r="AF4103" s="64">
        <f>IF($A4103="","",IF(AE4103="직접",IFERROR(INDEX(계정매핑!$F$5:$F$504,MATCH($F4103&amp;"",계정매핑!$A$5:$A$504,0))&amp;"","비귀속"),""))</f>
        <v/>
      </c>
      <c r="AG4103" s="96">
        <f>IF($A4103="",0,IF(AND(AE4103&lt;&gt;"직접",IFERROR(INDEX(계정매핑!$G$5:$G$504,MATCH($F4103&amp;"",계정매핑!$A$5:$A$504,0))&amp;"","")="유지비",COUNTIF(계정대체기준!$A$6:$A$15,$N4103)&gt;0),IFERROR(INDEX(계정대체기준!$E$6:$E$15,MATCH(VALUE($A4103&amp;""),계정대체기준!$D$6:$D$15,0)),0),0))</f>
        <v/>
      </c>
      <c r="AH4103" s="64">
        <f>IF($A4103="","",IF(AD4103=0,"",IF(OR(COUNTIF(계정대체기준!$A$77:$A$86,$N4103)&gt;0,ISNUMBER(MATCH($X4103,계정대체기준!$D$77:$D$86,0)),ISNUMBER(MATCH($F4103,계정대체기준!$D$77:$D$86,0))),"Y","N")))</f>
        <v/>
      </c>
    </row>
    <row r="4104">
      <c r="A4104" s="92" t="n">
        <v>2026</v>
      </c>
      <c r="B4104" s="92" t="n">
        <v>7</v>
      </c>
      <c r="C4104" s="92" t="inlineStr">
        <is>
          <t>5100001382</t>
        </is>
      </c>
      <c r="D4104" s="95" t="n">
        <v>46206</v>
      </c>
      <c r="E4104" s="92" t="inlineStr">
        <is>
          <t>KR</t>
        </is>
      </c>
      <c r="F4104" s="92" t="n">
        <v>62301000</v>
      </c>
      <c r="G4104" s="92" t="n">
        <v>1601</v>
      </c>
      <c r="H4104" s="93" t="n">
        <v>354000</v>
      </c>
      <c r="I4104" s="92" t="inlineStr">
        <is>
          <t>7월 소모품 구입 - Q오피스</t>
        </is>
      </c>
      <c r="J4104" s="92" t="inlineStr">
        <is>
          <t>V10003</t>
        </is>
      </c>
      <c r="K4104" s="92" t="inlineStr">
        <is>
          <t>Q오피스</t>
        </is>
      </c>
      <c r="M4104" s="9">
        <f>IF($A4104="","",VALUE($A4104&amp;"")*12+VALUE($B4104&amp;""))</f>
        <v/>
      </c>
      <c r="N4104" s="64">
        <f>IF($A4104="","",IFERROR(INDEX(부서매핑!$C$5:$C$504,MATCH($G4104&amp;"",부서매핑!$A$5:$A$504,0)),"미매핑"))</f>
        <v/>
      </c>
      <c r="O4104" s="9">
        <f>IF($A4104="","",N4104&amp;"|"&amp;$F4104)</f>
        <v/>
      </c>
      <c r="P4104" s="94">
        <f>IF($A4104="",0,$H4104*설정!$C$23)</f>
        <v/>
      </c>
      <c r="Q4104" s="64">
        <f>IF($A4104="","",IF(O4104&lt;&gt;원인분석!$C$9,"",IF(AND(M4104&gt;=원인분석!$C$10,M4104&lt;=원인분석!$C$11),"당기",IF(AND(M4104&gt;=원인분석!$C$12,M4104&lt;=원인분석!$C$13),"비교",""))))</f>
        <v/>
      </c>
      <c r="R4104" s="9">
        <f>IF(Q4104="","",$K4104&amp;"")</f>
        <v/>
      </c>
      <c r="S4104" s="9">
        <f>IF(Q4104="","",IF(MATCH(R4104,$R$5:$R$100000,0)=ROW()-4,ROW(),""))</f>
        <v/>
      </c>
      <c r="T4104" s="9">
        <f>IF(Q4104="당기",ABS(P4104)+ROW()/1000000000,"")</f>
        <v/>
      </c>
      <c r="U4104" s="9">
        <f>IF(Q4104="비교",ABS(P4104)+ROW()/1000000000,"")</f>
        <v/>
      </c>
      <c r="V4104" s="64">
        <f>IF($A4104="","",IF(COUNTIF(변동분석!$E$7:$E$506,O4104)&gt;0,"Y","N"))</f>
        <v/>
      </c>
      <c r="W4104" s="64">
        <f>IF($A4104="","",IFERROR(INDEX(계정매핑!$D$5:$D$504,MATCH($F4104&amp;"",계정매핑!$A$5:$A$504,0)),"미매핑"))</f>
        <v/>
      </c>
      <c r="X4104" s="9">
        <f>IF($A4104="","",$F4104&amp;"")</f>
        <v/>
      </c>
      <c r="Y4104" s="94">
        <f>IF($A4104="",0,IF(AE4104="직접",IF(AF4104="비귀속",$P4104,0),$P4104*(1-AG4104)*IFERROR(INDEX(계정대체기준!$F$20:$F$49,MATCH($N4104,계정대체기준!$A$20:$A$49,0)),1)))</f>
        <v/>
      </c>
      <c r="Z4104" s="94">
        <f>IF($A4104="",0,IF(AE4104="직접",IF(AF4104="신계약비",$P4104,0),$P4104*(1-AG4104)*IFERROR(INDEX(계정대체기준!$C$20:$C$49,MATCH($N4104,계정대체기준!$A$20:$A$49,0)),0)))</f>
        <v/>
      </c>
      <c r="AA4104" s="94">
        <f>IF($A4104="",0,IF(AE4104="직접",IF(OR(AF4104="유지비",AF4104="손해조사비"),$P4104,0),$P4104*(1-AG4104)*IFERROR(INDEX(계정대체기준!$D$20:$D$49,MATCH($N4104,계정대체기준!$A$20:$A$49,0)),0)))</f>
        <v/>
      </c>
      <c r="AB4104" s="94">
        <f>IF($A4104="",0,IF(AE4104="직접",IF(AF4104="수금비",$P4104,0),$P4104*(1-AG4104)*IFERROR(INDEX(계정대체기준!$E$20:$E$49,MATCH($N4104,계정대체기준!$A$20:$A$49,0)),0)))</f>
        <v/>
      </c>
      <c r="AC4104" s="9">
        <f>IF(AND($A4104&lt;&gt;"",M4104=설정!$C$20,Z4104&gt;0),Z4104+ROW()/1000000000,"")</f>
        <v/>
      </c>
      <c r="AD4104" s="94">
        <f>IF($A4104="",0,$P4104*AG4104)</f>
        <v/>
      </c>
      <c r="AE4104" s="64">
        <f>IF($A4104="","",IFERROR(INDEX(계정매핑!$E$5:$E$504,MATCH($F4104&amp;"",계정매핑!$A$5:$A$504,0))&amp;"","공통비"))</f>
        <v/>
      </c>
      <c r="AF4104" s="64">
        <f>IF($A4104="","",IF(AE4104="직접",IFERROR(INDEX(계정매핑!$F$5:$F$504,MATCH($F4104&amp;"",계정매핑!$A$5:$A$504,0))&amp;"","비귀속"),""))</f>
        <v/>
      </c>
      <c r="AG4104" s="96">
        <f>IF($A4104="",0,IF(AND(AE4104&lt;&gt;"직접",IFERROR(INDEX(계정매핑!$G$5:$G$504,MATCH($F4104&amp;"",계정매핑!$A$5:$A$504,0))&amp;"","")="유지비",COUNTIF(계정대체기준!$A$6:$A$15,$N4104)&gt;0),IFERROR(INDEX(계정대체기준!$E$6:$E$15,MATCH(VALUE($A4104&amp;""),계정대체기준!$D$6:$D$15,0)),0),0))</f>
        <v/>
      </c>
      <c r="AH4104" s="64">
        <f>IF($A4104="","",IF(AD4104=0,"",IF(OR(COUNTIF(계정대체기준!$A$77:$A$86,$N4104)&gt;0,ISNUMBER(MATCH($X4104,계정대체기준!$D$77:$D$86,0)),ISNUMBER(MATCH($F4104,계정대체기준!$D$77:$D$86,0))),"Y","N")))</f>
        <v/>
      </c>
    </row>
    <row r="4105">
      <c r="A4105" s="92" t="n">
        <v>2026</v>
      </c>
      <c r="B4105" s="92" t="n">
        <v>7</v>
      </c>
      <c r="C4105" s="92" t="inlineStr">
        <is>
          <t>5100001383</t>
        </is>
      </c>
      <c r="D4105" s="95" t="n">
        <v>46206</v>
      </c>
      <c r="E4105" s="92" t="inlineStr">
        <is>
          <t>KR</t>
        </is>
      </c>
      <c r="F4105" s="92" t="n">
        <v>62401000</v>
      </c>
      <c r="G4105" s="92" t="n">
        <v>1501</v>
      </c>
      <c r="H4105" s="93" t="n">
        <v>2399000</v>
      </c>
      <c r="I4105" s="92" t="inlineStr">
        <is>
          <t>7월 인쇄물 제작 - S출판</t>
        </is>
      </c>
      <c r="J4105" s="92" t="inlineStr">
        <is>
          <t>V10015</t>
        </is>
      </c>
      <c r="K4105" s="92" t="inlineStr">
        <is>
          <t>S출판</t>
        </is>
      </c>
      <c r="M4105" s="9">
        <f>IF($A4105="","",VALUE($A4105&amp;"")*12+VALUE($B4105&amp;""))</f>
        <v/>
      </c>
      <c r="N4105" s="64">
        <f>IF($A4105="","",IFERROR(INDEX(부서매핑!$C$5:$C$504,MATCH($G4105&amp;"",부서매핑!$A$5:$A$504,0)),"미매핑"))</f>
        <v/>
      </c>
      <c r="O4105" s="9">
        <f>IF($A4105="","",N4105&amp;"|"&amp;$F4105)</f>
        <v/>
      </c>
      <c r="P4105" s="94">
        <f>IF($A4105="",0,$H4105*설정!$C$23)</f>
        <v/>
      </c>
      <c r="Q4105" s="64">
        <f>IF($A4105="","",IF(O4105&lt;&gt;원인분석!$C$9,"",IF(AND(M4105&gt;=원인분석!$C$10,M4105&lt;=원인분석!$C$11),"당기",IF(AND(M4105&gt;=원인분석!$C$12,M4105&lt;=원인분석!$C$13),"비교",""))))</f>
        <v/>
      </c>
      <c r="R4105" s="9">
        <f>IF(Q4105="","",$K4105&amp;"")</f>
        <v/>
      </c>
      <c r="S4105" s="9">
        <f>IF(Q4105="","",IF(MATCH(R4105,$R$5:$R$100000,0)=ROW()-4,ROW(),""))</f>
        <v/>
      </c>
      <c r="T4105" s="9">
        <f>IF(Q4105="당기",ABS(P4105)+ROW()/1000000000,"")</f>
        <v/>
      </c>
      <c r="U4105" s="9">
        <f>IF(Q4105="비교",ABS(P4105)+ROW()/1000000000,"")</f>
        <v/>
      </c>
      <c r="V4105" s="64">
        <f>IF($A4105="","",IF(COUNTIF(변동분석!$E$7:$E$506,O4105)&gt;0,"Y","N"))</f>
        <v/>
      </c>
      <c r="W4105" s="64">
        <f>IF($A4105="","",IFERROR(INDEX(계정매핑!$D$5:$D$504,MATCH($F4105&amp;"",계정매핑!$A$5:$A$504,0)),"미매핑"))</f>
        <v/>
      </c>
      <c r="X4105" s="9">
        <f>IF($A4105="","",$F4105&amp;"")</f>
        <v/>
      </c>
      <c r="Y4105" s="94">
        <f>IF($A4105="",0,IF(AE4105="직접",IF(AF4105="비귀속",$P4105,0),$P4105*(1-AG4105)*IFERROR(INDEX(계정대체기준!$F$20:$F$49,MATCH($N4105,계정대체기준!$A$20:$A$49,0)),1)))</f>
        <v/>
      </c>
      <c r="Z4105" s="94">
        <f>IF($A4105="",0,IF(AE4105="직접",IF(AF4105="신계약비",$P4105,0),$P4105*(1-AG4105)*IFERROR(INDEX(계정대체기준!$C$20:$C$49,MATCH($N4105,계정대체기준!$A$20:$A$49,0)),0)))</f>
        <v/>
      </c>
      <c r="AA4105" s="94">
        <f>IF($A4105="",0,IF(AE4105="직접",IF(OR(AF4105="유지비",AF4105="손해조사비"),$P4105,0),$P4105*(1-AG4105)*IFERROR(INDEX(계정대체기준!$D$20:$D$49,MATCH($N4105,계정대체기준!$A$20:$A$49,0)),0)))</f>
        <v/>
      </c>
      <c r="AB4105" s="94">
        <f>IF($A4105="",0,IF(AE4105="직접",IF(AF4105="수금비",$P4105,0),$P4105*(1-AG4105)*IFERROR(INDEX(계정대체기준!$E$20:$E$49,MATCH($N4105,계정대체기준!$A$20:$A$49,0)),0)))</f>
        <v/>
      </c>
      <c r="AC4105" s="9">
        <f>IF(AND($A4105&lt;&gt;"",M4105=설정!$C$20,Z4105&gt;0),Z4105+ROW()/1000000000,"")</f>
        <v/>
      </c>
      <c r="AD4105" s="94">
        <f>IF($A4105="",0,$P4105*AG4105)</f>
        <v/>
      </c>
      <c r="AE4105" s="64">
        <f>IF($A4105="","",IFERROR(INDEX(계정매핑!$E$5:$E$504,MATCH($F4105&amp;"",계정매핑!$A$5:$A$504,0))&amp;"","공통비"))</f>
        <v/>
      </c>
      <c r="AF4105" s="64">
        <f>IF($A4105="","",IF(AE4105="직접",IFERROR(INDEX(계정매핑!$F$5:$F$504,MATCH($F4105&amp;"",계정매핑!$A$5:$A$504,0))&amp;"","비귀속"),""))</f>
        <v/>
      </c>
      <c r="AG4105" s="96">
        <f>IF($A4105="",0,IF(AND(AE4105&lt;&gt;"직접",IFERROR(INDEX(계정매핑!$G$5:$G$504,MATCH($F4105&amp;"",계정매핑!$A$5:$A$504,0))&amp;"","")="유지비",COUNTIF(계정대체기준!$A$6:$A$15,$N4105)&gt;0),IFERROR(INDEX(계정대체기준!$E$6:$E$15,MATCH(VALUE($A4105&amp;""),계정대체기준!$D$6:$D$15,0)),0),0))</f>
        <v/>
      </c>
      <c r="AH4105" s="64">
        <f>IF($A4105="","",IF(AD4105=0,"",IF(OR(COUNTIF(계정대체기준!$A$77:$A$86,$N4105)&gt;0,ISNUMBER(MATCH($X4105,계정대체기준!$D$77:$D$86,0)),ISNUMBER(MATCH($F4105,계정대체기준!$D$77:$D$86,0))),"Y","N")))</f>
        <v/>
      </c>
    </row>
    <row r="4106">
      <c r="A4106" s="92" t="n">
        <v>2026</v>
      </c>
      <c r="B4106" s="92" t="n">
        <v>7</v>
      </c>
      <c r="C4106" s="92" t="inlineStr">
        <is>
          <t>5100001384</t>
        </is>
      </c>
      <c r="D4106" s="95" t="n">
        <v>46206</v>
      </c>
      <c r="E4106" s="92" t="inlineStr">
        <is>
          <t>KR</t>
        </is>
      </c>
      <c r="F4106" s="92" t="n">
        <v>62401000</v>
      </c>
      <c r="G4106" s="92" t="n">
        <v>1801</v>
      </c>
      <c r="H4106" s="93" t="n">
        <v>1958000</v>
      </c>
      <c r="I4106" s="92" t="inlineStr">
        <is>
          <t>7월 인쇄물 제작 - G인쇄</t>
        </is>
      </c>
      <c r="J4106" s="92" t="inlineStr">
        <is>
          <t>V10004</t>
        </is>
      </c>
      <c r="K4106" s="92" t="inlineStr">
        <is>
          <t>G인쇄</t>
        </is>
      </c>
      <c r="M4106" s="9">
        <f>IF($A4106="","",VALUE($A4106&amp;"")*12+VALUE($B4106&amp;""))</f>
        <v/>
      </c>
      <c r="N4106" s="64">
        <f>IF($A4106="","",IFERROR(INDEX(부서매핑!$C$5:$C$504,MATCH($G4106&amp;"",부서매핑!$A$5:$A$504,0)),"미매핑"))</f>
        <v/>
      </c>
      <c r="O4106" s="9">
        <f>IF($A4106="","",N4106&amp;"|"&amp;$F4106)</f>
        <v/>
      </c>
      <c r="P4106" s="94">
        <f>IF($A4106="",0,$H4106*설정!$C$23)</f>
        <v/>
      </c>
      <c r="Q4106" s="64">
        <f>IF($A4106="","",IF(O4106&lt;&gt;원인분석!$C$9,"",IF(AND(M4106&gt;=원인분석!$C$10,M4106&lt;=원인분석!$C$11),"당기",IF(AND(M4106&gt;=원인분석!$C$12,M4106&lt;=원인분석!$C$13),"비교",""))))</f>
        <v/>
      </c>
      <c r="R4106" s="9">
        <f>IF(Q4106="","",$K4106&amp;"")</f>
        <v/>
      </c>
      <c r="S4106" s="9">
        <f>IF(Q4106="","",IF(MATCH(R4106,$R$5:$R$100000,0)=ROW()-4,ROW(),""))</f>
        <v/>
      </c>
      <c r="T4106" s="9">
        <f>IF(Q4106="당기",ABS(P4106)+ROW()/1000000000,"")</f>
        <v/>
      </c>
      <c r="U4106" s="9">
        <f>IF(Q4106="비교",ABS(P4106)+ROW()/1000000000,"")</f>
        <v/>
      </c>
      <c r="V4106" s="64">
        <f>IF($A4106="","",IF(COUNTIF(변동분석!$E$7:$E$506,O4106)&gt;0,"Y","N"))</f>
        <v/>
      </c>
      <c r="W4106" s="64">
        <f>IF($A4106="","",IFERROR(INDEX(계정매핑!$D$5:$D$504,MATCH($F4106&amp;"",계정매핑!$A$5:$A$504,0)),"미매핑"))</f>
        <v/>
      </c>
      <c r="X4106" s="9">
        <f>IF($A4106="","",$F4106&amp;"")</f>
        <v/>
      </c>
      <c r="Y4106" s="94">
        <f>IF($A4106="",0,IF(AE4106="직접",IF(AF4106="비귀속",$P4106,0),$P4106*(1-AG4106)*IFERROR(INDEX(계정대체기준!$F$20:$F$49,MATCH($N4106,계정대체기준!$A$20:$A$49,0)),1)))</f>
        <v/>
      </c>
      <c r="Z4106" s="94">
        <f>IF($A4106="",0,IF(AE4106="직접",IF(AF4106="신계약비",$P4106,0),$P4106*(1-AG4106)*IFERROR(INDEX(계정대체기준!$C$20:$C$49,MATCH($N4106,계정대체기준!$A$20:$A$49,0)),0)))</f>
        <v/>
      </c>
      <c r="AA4106" s="94">
        <f>IF($A4106="",0,IF(AE4106="직접",IF(OR(AF4106="유지비",AF4106="손해조사비"),$P4106,0),$P4106*(1-AG4106)*IFERROR(INDEX(계정대체기준!$D$20:$D$49,MATCH($N4106,계정대체기준!$A$20:$A$49,0)),0)))</f>
        <v/>
      </c>
      <c r="AB4106" s="94">
        <f>IF($A4106="",0,IF(AE4106="직접",IF(AF4106="수금비",$P4106,0),$P4106*(1-AG4106)*IFERROR(INDEX(계정대체기준!$E$20:$E$49,MATCH($N4106,계정대체기준!$A$20:$A$49,0)),0)))</f>
        <v/>
      </c>
      <c r="AC4106" s="9">
        <f>IF(AND($A4106&lt;&gt;"",M4106=설정!$C$20,Z4106&gt;0),Z4106+ROW()/1000000000,"")</f>
        <v/>
      </c>
      <c r="AD4106" s="94">
        <f>IF($A4106="",0,$P4106*AG4106)</f>
        <v/>
      </c>
      <c r="AE4106" s="64">
        <f>IF($A4106="","",IFERROR(INDEX(계정매핑!$E$5:$E$504,MATCH($F4106&amp;"",계정매핑!$A$5:$A$504,0))&amp;"","공통비"))</f>
        <v/>
      </c>
      <c r="AF4106" s="64">
        <f>IF($A4106="","",IF(AE4106="직접",IFERROR(INDEX(계정매핑!$F$5:$F$504,MATCH($F4106&amp;"",계정매핑!$A$5:$A$504,0))&amp;"","비귀속"),""))</f>
        <v/>
      </c>
      <c r="AG4106" s="96">
        <f>IF($A4106="",0,IF(AND(AE4106&lt;&gt;"직접",IFERROR(INDEX(계정매핑!$G$5:$G$504,MATCH($F4106&amp;"",계정매핑!$A$5:$A$504,0))&amp;"","")="유지비",COUNTIF(계정대체기준!$A$6:$A$15,$N4106)&gt;0),IFERROR(INDEX(계정대체기준!$E$6:$E$15,MATCH(VALUE($A4106&amp;""),계정대체기준!$D$6:$D$15,0)),0),0))</f>
        <v/>
      </c>
      <c r="AH4106" s="64">
        <f>IF($A4106="","",IF(AD4106=0,"",IF(OR(COUNTIF(계정대체기준!$A$77:$A$86,$N4106)&gt;0,ISNUMBER(MATCH($X4106,계정대체기준!$D$77:$D$86,0)),ISNUMBER(MATCH($F4106,계정대체기준!$D$77:$D$86,0))),"Y","N")))</f>
        <v/>
      </c>
    </row>
    <row r="4107">
      <c r="A4107" s="92" t="n">
        <v>2026</v>
      </c>
      <c r="B4107" s="92" t="n">
        <v>7</v>
      </c>
      <c r="C4107" s="92" t="inlineStr">
        <is>
          <t>5100001385</t>
        </is>
      </c>
      <c r="D4107" s="95" t="n">
        <v>46206</v>
      </c>
      <c r="E4107" s="92" t="inlineStr">
        <is>
          <t>KR</t>
        </is>
      </c>
      <c r="F4107" s="92" t="n">
        <v>62601000</v>
      </c>
      <c r="G4107" s="92" t="n">
        <v>1601</v>
      </c>
      <c r="H4107" s="93" t="n">
        <v>3136000</v>
      </c>
      <c r="I4107" s="92" t="inlineStr">
        <is>
          <t>7월 업무추진 - (법인카드)</t>
        </is>
      </c>
      <c r="J4107" s="92" t="inlineStr">
        <is>
          <t>V10010</t>
        </is>
      </c>
      <c r="K4107" s="92" t="inlineStr">
        <is>
          <t>(법인카드)</t>
        </is>
      </c>
      <c r="M4107" s="9">
        <f>IF($A4107="","",VALUE($A4107&amp;"")*12+VALUE($B4107&amp;""))</f>
        <v/>
      </c>
      <c r="N4107" s="64">
        <f>IF($A4107="","",IFERROR(INDEX(부서매핑!$C$5:$C$504,MATCH($G4107&amp;"",부서매핑!$A$5:$A$504,0)),"미매핑"))</f>
        <v/>
      </c>
      <c r="O4107" s="9">
        <f>IF($A4107="","",N4107&amp;"|"&amp;$F4107)</f>
        <v/>
      </c>
      <c r="P4107" s="94">
        <f>IF($A4107="",0,$H4107*설정!$C$23)</f>
        <v/>
      </c>
      <c r="Q4107" s="64">
        <f>IF($A4107="","",IF(O4107&lt;&gt;원인분석!$C$9,"",IF(AND(M4107&gt;=원인분석!$C$10,M4107&lt;=원인분석!$C$11),"당기",IF(AND(M4107&gt;=원인분석!$C$12,M4107&lt;=원인분석!$C$13),"비교",""))))</f>
        <v/>
      </c>
      <c r="R4107" s="9">
        <f>IF(Q4107="","",$K4107&amp;"")</f>
        <v/>
      </c>
      <c r="S4107" s="9">
        <f>IF(Q4107="","",IF(MATCH(R4107,$R$5:$R$100000,0)=ROW()-4,ROW(),""))</f>
        <v/>
      </c>
      <c r="T4107" s="9">
        <f>IF(Q4107="당기",ABS(P4107)+ROW()/1000000000,"")</f>
        <v/>
      </c>
      <c r="U4107" s="9">
        <f>IF(Q4107="비교",ABS(P4107)+ROW()/1000000000,"")</f>
        <v/>
      </c>
      <c r="V4107" s="64">
        <f>IF($A4107="","",IF(COUNTIF(변동분석!$E$7:$E$506,O4107)&gt;0,"Y","N"))</f>
        <v/>
      </c>
      <c r="W4107" s="64">
        <f>IF($A4107="","",IFERROR(INDEX(계정매핑!$D$5:$D$504,MATCH($F4107&amp;"",계정매핑!$A$5:$A$504,0)),"미매핑"))</f>
        <v/>
      </c>
      <c r="X4107" s="9">
        <f>IF($A4107="","",$F4107&amp;"")</f>
        <v/>
      </c>
      <c r="Y4107" s="94">
        <f>IF($A4107="",0,IF(AE4107="직접",IF(AF4107="비귀속",$P4107,0),$P4107*(1-AG4107)*IFERROR(INDEX(계정대체기준!$F$20:$F$49,MATCH($N4107,계정대체기준!$A$20:$A$49,0)),1)))</f>
        <v/>
      </c>
      <c r="Z4107" s="94">
        <f>IF($A4107="",0,IF(AE4107="직접",IF(AF4107="신계약비",$P4107,0),$P4107*(1-AG4107)*IFERROR(INDEX(계정대체기준!$C$20:$C$49,MATCH($N4107,계정대체기준!$A$20:$A$49,0)),0)))</f>
        <v/>
      </c>
      <c r="AA4107" s="94">
        <f>IF($A4107="",0,IF(AE4107="직접",IF(OR(AF4107="유지비",AF4107="손해조사비"),$P4107,0),$P4107*(1-AG4107)*IFERROR(INDEX(계정대체기준!$D$20:$D$49,MATCH($N4107,계정대체기준!$A$20:$A$49,0)),0)))</f>
        <v/>
      </c>
      <c r="AB4107" s="94">
        <f>IF($A4107="",0,IF(AE4107="직접",IF(AF4107="수금비",$P4107,0),$P4107*(1-AG4107)*IFERROR(INDEX(계정대체기준!$E$20:$E$49,MATCH($N4107,계정대체기준!$A$20:$A$49,0)),0)))</f>
        <v/>
      </c>
      <c r="AC4107" s="9">
        <f>IF(AND($A4107&lt;&gt;"",M4107=설정!$C$20,Z4107&gt;0),Z4107+ROW()/1000000000,"")</f>
        <v/>
      </c>
      <c r="AD4107" s="94">
        <f>IF($A4107="",0,$P4107*AG4107)</f>
        <v/>
      </c>
      <c r="AE4107" s="64">
        <f>IF($A4107="","",IFERROR(INDEX(계정매핑!$E$5:$E$504,MATCH($F4107&amp;"",계정매핑!$A$5:$A$504,0))&amp;"","공통비"))</f>
        <v/>
      </c>
      <c r="AF4107" s="64">
        <f>IF($A4107="","",IF(AE4107="직접",IFERROR(INDEX(계정매핑!$F$5:$F$504,MATCH($F4107&amp;"",계정매핑!$A$5:$A$504,0))&amp;"","비귀속"),""))</f>
        <v/>
      </c>
      <c r="AG4107" s="96">
        <f>IF($A4107="",0,IF(AND(AE4107&lt;&gt;"직접",IFERROR(INDEX(계정매핑!$G$5:$G$504,MATCH($F4107&amp;"",계정매핑!$A$5:$A$504,0))&amp;"","")="유지비",COUNTIF(계정대체기준!$A$6:$A$15,$N4107)&gt;0),IFERROR(INDEX(계정대체기준!$E$6:$E$15,MATCH(VALUE($A4107&amp;""),계정대체기준!$D$6:$D$15,0)),0),0))</f>
        <v/>
      </c>
      <c r="AH4107" s="64">
        <f>IF($A4107="","",IF(AD4107=0,"",IF(OR(COUNTIF(계정대체기준!$A$77:$A$86,$N4107)&gt;0,ISNUMBER(MATCH($X4107,계정대체기준!$D$77:$D$86,0)),ISNUMBER(MATCH($F4107,계정대체기준!$D$77:$D$86,0))),"Y","N")))</f>
        <v/>
      </c>
    </row>
    <row r="4108">
      <c r="A4108" s="92" t="n">
        <v>2026</v>
      </c>
      <c r="B4108" s="92" t="n">
        <v>7</v>
      </c>
      <c r="C4108" s="92" t="inlineStr">
        <is>
          <t>5100001386</t>
        </is>
      </c>
      <c r="D4108" s="95" t="n">
        <v>46207</v>
      </c>
      <c r="E4108" s="92" t="inlineStr">
        <is>
          <t>KR</t>
        </is>
      </c>
      <c r="F4108" s="92" t="n">
        <v>62201000</v>
      </c>
      <c r="G4108" s="92" t="n">
        <v>1801</v>
      </c>
      <c r="H4108" s="93" t="n">
        <v>7572000</v>
      </c>
      <c r="I4108" s="92" t="inlineStr">
        <is>
          <t>7월 통신요금 - P통신</t>
        </is>
      </c>
      <c r="J4108" s="92" t="inlineStr">
        <is>
          <t>V10014</t>
        </is>
      </c>
      <c r="K4108" s="92" t="inlineStr">
        <is>
          <t>P통신</t>
        </is>
      </c>
      <c r="M4108" s="9">
        <f>IF($A4108="","",VALUE($A4108&amp;"")*12+VALUE($B4108&amp;""))</f>
        <v/>
      </c>
      <c r="N4108" s="64">
        <f>IF($A4108="","",IFERROR(INDEX(부서매핑!$C$5:$C$504,MATCH($G4108&amp;"",부서매핑!$A$5:$A$504,0)),"미매핑"))</f>
        <v/>
      </c>
      <c r="O4108" s="9">
        <f>IF($A4108="","",N4108&amp;"|"&amp;$F4108)</f>
        <v/>
      </c>
      <c r="P4108" s="94">
        <f>IF($A4108="",0,$H4108*설정!$C$23)</f>
        <v/>
      </c>
      <c r="Q4108" s="64">
        <f>IF($A4108="","",IF(O4108&lt;&gt;원인분석!$C$9,"",IF(AND(M4108&gt;=원인분석!$C$10,M4108&lt;=원인분석!$C$11),"당기",IF(AND(M4108&gt;=원인분석!$C$12,M4108&lt;=원인분석!$C$13),"비교",""))))</f>
        <v/>
      </c>
      <c r="R4108" s="9">
        <f>IF(Q4108="","",$K4108&amp;"")</f>
        <v/>
      </c>
      <c r="S4108" s="9">
        <f>IF(Q4108="","",IF(MATCH(R4108,$R$5:$R$100000,0)=ROW()-4,ROW(),""))</f>
        <v/>
      </c>
      <c r="T4108" s="9">
        <f>IF(Q4108="당기",ABS(P4108)+ROW()/1000000000,"")</f>
        <v/>
      </c>
      <c r="U4108" s="9">
        <f>IF(Q4108="비교",ABS(P4108)+ROW()/1000000000,"")</f>
        <v/>
      </c>
      <c r="V4108" s="64">
        <f>IF($A4108="","",IF(COUNTIF(변동분석!$E$7:$E$506,O4108)&gt;0,"Y","N"))</f>
        <v/>
      </c>
      <c r="W4108" s="64">
        <f>IF($A4108="","",IFERROR(INDEX(계정매핑!$D$5:$D$504,MATCH($F4108&amp;"",계정매핑!$A$5:$A$504,0)),"미매핑"))</f>
        <v/>
      </c>
      <c r="X4108" s="9">
        <f>IF($A4108="","",$F4108&amp;"")</f>
        <v/>
      </c>
      <c r="Y4108" s="94">
        <f>IF($A4108="",0,IF(AE4108="직접",IF(AF4108="비귀속",$P4108,0),$P4108*(1-AG4108)*IFERROR(INDEX(계정대체기준!$F$20:$F$49,MATCH($N4108,계정대체기준!$A$20:$A$49,0)),1)))</f>
        <v/>
      </c>
      <c r="Z4108" s="94">
        <f>IF($A4108="",0,IF(AE4108="직접",IF(AF4108="신계약비",$P4108,0),$P4108*(1-AG4108)*IFERROR(INDEX(계정대체기준!$C$20:$C$49,MATCH($N4108,계정대체기준!$A$20:$A$49,0)),0)))</f>
        <v/>
      </c>
      <c r="AA4108" s="94">
        <f>IF($A4108="",0,IF(AE4108="직접",IF(OR(AF4108="유지비",AF4108="손해조사비"),$P4108,0),$P4108*(1-AG4108)*IFERROR(INDEX(계정대체기준!$D$20:$D$49,MATCH($N4108,계정대체기준!$A$20:$A$49,0)),0)))</f>
        <v/>
      </c>
      <c r="AB4108" s="94">
        <f>IF($A4108="",0,IF(AE4108="직접",IF(AF4108="수금비",$P4108,0),$P4108*(1-AG4108)*IFERROR(INDEX(계정대체기준!$E$20:$E$49,MATCH($N4108,계정대체기준!$A$20:$A$49,0)),0)))</f>
        <v/>
      </c>
      <c r="AC4108" s="9">
        <f>IF(AND($A4108&lt;&gt;"",M4108=설정!$C$20,Z4108&gt;0),Z4108+ROW()/1000000000,"")</f>
        <v/>
      </c>
      <c r="AD4108" s="94">
        <f>IF($A4108="",0,$P4108*AG4108)</f>
        <v/>
      </c>
      <c r="AE4108" s="64">
        <f>IF($A4108="","",IFERROR(INDEX(계정매핑!$E$5:$E$504,MATCH($F4108&amp;"",계정매핑!$A$5:$A$504,0))&amp;"","공통비"))</f>
        <v/>
      </c>
      <c r="AF4108" s="64">
        <f>IF($A4108="","",IF(AE4108="직접",IFERROR(INDEX(계정매핑!$F$5:$F$504,MATCH($F4108&amp;"",계정매핑!$A$5:$A$504,0))&amp;"","비귀속"),""))</f>
        <v/>
      </c>
      <c r="AG4108" s="96">
        <f>IF($A4108="",0,IF(AND(AE4108&lt;&gt;"직접",IFERROR(INDEX(계정매핑!$G$5:$G$504,MATCH($F4108&amp;"",계정매핑!$A$5:$A$504,0))&amp;"","")="유지비",COUNTIF(계정대체기준!$A$6:$A$15,$N4108)&gt;0),IFERROR(INDEX(계정대체기준!$E$6:$E$15,MATCH(VALUE($A4108&amp;""),계정대체기준!$D$6:$D$15,0)),0),0))</f>
        <v/>
      </c>
      <c r="AH4108" s="64">
        <f>IF($A4108="","",IF(AD4108=0,"",IF(OR(COUNTIF(계정대체기준!$A$77:$A$86,$N4108)&gt;0,ISNUMBER(MATCH($X4108,계정대체기준!$D$77:$D$86,0)),ISNUMBER(MATCH($F4108,계정대체기준!$D$77:$D$86,0))),"Y","N")))</f>
        <v/>
      </c>
    </row>
    <row r="4109">
      <c r="A4109" s="92" t="n">
        <v>2026</v>
      </c>
      <c r="B4109" s="92" t="n">
        <v>7</v>
      </c>
      <c r="C4109" s="92" t="inlineStr">
        <is>
          <t>5100001387</t>
        </is>
      </c>
      <c r="D4109" s="95" t="n">
        <v>46207</v>
      </c>
      <c r="E4109" s="92" t="inlineStr">
        <is>
          <t>KR</t>
        </is>
      </c>
      <c r="F4109" s="92" t="n">
        <v>62301000</v>
      </c>
      <c r="G4109" s="92" t="n">
        <v>1201</v>
      </c>
      <c r="H4109" s="93" t="n">
        <v>142000</v>
      </c>
      <c r="I4109" s="92" t="inlineStr">
        <is>
          <t>7월 소모품 구입 - R문구</t>
        </is>
      </c>
      <c r="J4109" s="92" t="inlineStr">
        <is>
          <t>V10022</t>
        </is>
      </c>
      <c r="K4109" s="92" t="inlineStr">
        <is>
          <t>R문구</t>
        </is>
      </c>
      <c r="M4109" s="9">
        <f>IF($A4109="","",VALUE($A4109&amp;"")*12+VALUE($B4109&amp;""))</f>
        <v/>
      </c>
      <c r="N4109" s="64">
        <f>IF($A4109="","",IFERROR(INDEX(부서매핑!$C$5:$C$504,MATCH($G4109&amp;"",부서매핑!$A$5:$A$504,0)),"미매핑"))</f>
        <v/>
      </c>
      <c r="O4109" s="9">
        <f>IF($A4109="","",N4109&amp;"|"&amp;$F4109)</f>
        <v/>
      </c>
      <c r="P4109" s="94">
        <f>IF($A4109="",0,$H4109*설정!$C$23)</f>
        <v/>
      </c>
      <c r="Q4109" s="64">
        <f>IF($A4109="","",IF(O4109&lt;&gt;원인분석!$C$9,"",IF(AND(M4109&gt;=원인분석!$C$10,M4109&lt;=원인분석!$C$11),"당기",IF(AND(M4109&gt;=원인분석!$C$12,M4109&lt;=원인분석!$C$13),"비교",""))))</f>
        <v/>
      </c>
      <c r="R4109" s="9">
        <f>IF(Q4109="","",$K4109&amp;"")</f>
        <v/>
      </c>
      <c r="S4109" s="9">
        <f>IF(Q4109="","",IF(MATCH(R4109,$R$5:$R$100000,0)=ROW()-4,ROW(),""))</f>
        <v/>
      </c>
      <c r="T4109" s="9">
        <f>IF(Q4109="당기",ABS(P4109)+ROW()/1000000000,"")</f>
        <v/>
      </c>
      <c r="U4109" s="9">
        <f>IF(Q4109="비교",ABS(P4109)+ROW()/1000000000,"")</f>
        <v/>
      </c>
      <c r="V4109" s="64">
        <f>IF($A4109="","",IF(COUNTIF(변동분석!$E$7:$E$506,O4109)&gt;0,"Y","N"))</f>
        <v/>
      </c>
      <c r="W4109" s="64">
        <f>IF($A4109="","",IFERROR(INDEX(계정매핑!$D$5:$D$504,MATCH($F4109&amp;"",계정매핑!$A$5:$A$504,0)),"미매핑"))</f>
        <v/>
      </c>
      <c r="X4109" s="9">
        <f>IF($A4109="","",$F4109&amp;"")</f>
        <v/>
      </c>
      <c r="Y4109" s="94">
        <f>IF($A4109="",0,IF(AE4109="직접",IF(AF4109="비귀속",$P4109,0),$P4109*(1-AG4109)*IFERROR(INDEX(계정대체기준!$F$20:$F$49,MATCH($N4109,계정대체기준!$A$20:$A$49,0)),1)))</f>
        <v/>
      </c>
      <c r="Z4109" s="94">
        <f>IF($A4109="",0,IF(AE4109="직접",IF(AF4109="신계약비",$P4109,0),$P4109*(1-AG4109)*IFERROR(INDEX(계정대체기준!$C$20:$C$49,MATCH($N4109,계정대체기준!$A$20:$A$49,0)),0)))</f>
        <v/>
      </c>
      <c r="AA4109" s="94">
        <f>IF($A4109="",0,IF(AE4109="직접",IF(OR(AF4109="유지비",AF4109="손해조사비"),$P4109,0),$P4109*(1-AG4109)*IFERROR(INDEX(계정대체기준!$D$20:$D$49,MATCH($N4109,계정대체기준!$A$20:$A$49,0)),0)))</f>
        <v/>
      </c>
      <c r="AB4109" s="94">
        <f>IF($A4109="",0,IF(AE4109="직접",IF(AF4109="수금비",$P4109,0),$P4109*(1-AG4109)*IFERROR(INDEX(계정대체기준!$E$20:$E$49,MATCH($N4109,계정대체기준!$A$20:$A$49,0)),0)))</f>
        <v/>
      </c>
      <c r="AC4109" s="9">
        <f>IF(AND($A4109&lt;&gt;"",M4109=설정!$C$20,Z4109&gt;0),Z4109+ROW()/1000000000,"")</f>
        <v/>
      </c>
      <c r="AD4109" s="94">
        <f>IF($A4109="",0,$P4109*AG4109)</f>
        <v/>
      </c>
      <c r="AE4109" s="64">
        <f>IF($A4109="","",IFERROR(INDEX(계정매핑!$E$5:$E$504,MATCH($F4109&amp;"",계정매핑!$A$5:$A$504,0))&amp;"","공통비"))</f>
        <v/>
      </c>
      <c r="AF4109" s="64">
        <f>IF($A4109="","",IF(AE4109="직접",IFERROR(INDEX(계정매핑!$F$5:$F$504,MATCH($F4109&amp;"",계정매핑!$A$5:$A$504,0))&amp;"","비귀속"),""))</f>
        <v/>
      </c>
      <c r="AG4109" s="96">
        <f>IF($A4109="",0,IF(AND(AE4109&lt;&gt;"직접",IFERROR(INDEX(계정매핑!$G$5:$G$504,MATCH($F4109&amp;"",계정매핑!$A$5:$A$504,0))&amp;"","")="유지비",COUNTIF(계정대체기준!$A$6:$A$15,$N4109)&gt;0),IFERROR(INDEX(계정대체기준!$E$6:$E$15,MATCH(VALUE($A4109&amp;""),계정대체기준!$D$6:$D$15,0)),0),0))</f>
        <v/>
      </c>
      <c r="AH4109" s="64">
        <f>IF($A4109="","",IF(AD4109=0,"",IF(OR(COUNTIF(계정대체기준!$A$77:$A$86,$N4109)&gt;0,ISNUMBER(MATCH($X4109,계정대체기준!$D$77:$D$86,0)),ISNUMBER(MATCH($F4109,계정대체기준!$D$77:$D$86,0))),"Y","N")))</f>
        <v/>
      </c>
    </row>
    <row r="4110">
      <c r="A4110" s="92" t="n">
        <v>2026</v>
      </c>
      <c r="B4110" s="92" t="n">
        <v>7</v>
      </c>
      <c r="C4110" s="92" t="inlineStr">
        <is>
          <t>5100001388</t>
        </is>
      </c>
      <c r="D4110" s="95" t="n">
        <v>46207</v>
      </c>
      <c r="E4110" s="92" t="inlineStr">
        <is>
          <t>KR</t>
        </is>
      </c>
      <c r="F4110" s="92" t="n">
        <v>62501000</v>
      </c>
      <c r="G4110" s="92" t="n">
        <v>1602</v>
      </c>
      <c r="H4110" s="93" t="n">
        <v>428000</v>
      </c>
      <c r="I4110" s="92" t="inlineStr">
        <is>
          <t>7월 회의 다과 - (법인카드)</t>
        </is>
      </c>
      <c r="J4110" s="92" t="inlineStr">
        <is>
          <t>V10010</t>
        </is>
      </c>
      <c r="K4110" s="92" t="inlineStr">
        <is>
          <t>(법인카드)</t>
        </is>
      </c>
      <c r="M4110" s="9">
        <f>IF($A4110="","",VALUE($A4110&amp;"")*12+VALUE($B4110&amp;""))</f>
        <v/>
      </c>
      <c r="N4110" s="64">
        <f>IF($A4110="","",IFERROR(INDEX(부서매핑!$C$5:$C$504,MATCH($G4110&amp;"",부서매핑!$A$5:$A$504,0)),"미매핑"))</f>
        <v/>
      </c>
      <c r="O4110" s="9">
        <f>IF($A4110="","",N4110&amp;"|"&amp;$F4110)</f>
        <v/>
      </c>
      <c r="P4110" s="94">
        <f>IF($A4110="",0,$H4110*설정!$C$23)</f>
        <v/>
      </c>
      <c r="Q4110" s="64">
        <f>IF($A4110="","",IF(O4110&lt;&gt;원인분석!$C$9,"",IF(AND(M4110&gt;=원인분석!$C$10,M4110&lt;=원인분석!$C$11),"당기",IF(AND(M4110&gt;=원인분석!$C$12,M4110&lt;=원인분석!$C$13),"비교",""))))</f>
        <v/>
      </c>
      <c r="R4110" s="9">
        <f>IF(Q4110="","",$K4110&amp;"")</f>
        <v/>
      </c>
      <c r="S4110" s="9">
        <f>IF(Q4110="","",IF(MATCH(R4110,$R$5:$R$100000,0)=ROW()-4,ROW(),""))</f>
        <v/>
      </c>
      <c r="T4110" s="9">
        <f>IF(Q4110="당기",ABS(P4110)+ROW()/1000000000,"")</f>
        <v/>
      </c>
      <c r="U4110" s="9">
        <f>IF(Q4110="비교",ABS(P4110)+ROW()/1000000000,"")</f>
        <v/>
      </c>
      <c r="V4110" s="64">
        <f>IF($A4110="","",IF(COUNTIF(변동분석!$E$7:$E$506,O4110)&gt;0,"Y","N"))</f>
        <v/>
      </c>
      <c r="W4110" s="64">
        <f>IF($A4110="","",IFERROR(INDEX(계정매핑!$D$5:$D$504,MATCH($F4110&amp;"",계정매핑!$A$5:$A$504,0)),"미매핑"))</f>
        <v/>
      </c>
      <c r="X4110" s="9">
        <f>IF($A4110="","",$F4110&amp;"")</f>
        <v/>
      </c>
      <c r="Y4110" s="94">
        <f>IF($A4110="",0,IF(AE4110="직접",IF(AF4110="비귀속",$P4110,0),$P4110*(1-AG4110)*IFERROR(INDEX(계정대체기준!$F$20:$F$49,MATCH($N4110,계정대체기준!$A$20:$A$49,0)),1)))</f>
        <v/>
      </c>
      <c r="Z4110" s="94">
        <f>IF($A4110="",0,IF(AE4110="직접",IF(AF4110="신계약비",$P4110,0),$P4110*(1-AG4110)*IFERROR(INDEX(계정대체기준!$C$20:$C$49,MATCH($N4110,계정대체기준!$A$20:$A$49,0)),0)))</f>
        <v/>
      </c>
      <c r="AA4110" s="94">
        <f>IF($A4110="",0,IF(AE4110="직접",IF(OR(AF4110="유지비",AF4110="손해조사비"),$P4110,0),$P4110*(1-AG4110)*IFERROR(INDEX(계정대체기준!$D$20:$D$49,MATCH($N4110,계정대체기준!$A$20:$A$49,0)),0)))</f>
        <v/>
      </c>
      <c r="AB4110" s="94">
        <f>IF($A4110="",0,IF(AE4110="직접",IF(AF4110="수금비",$P4110,0),$P4110*(1-AG4110)*IFERROR(INDEX(계정대체기준!$E$20:$E$49,MATCH($N4110,계정대체기준!$A$20:$A$49,0)),0)))</f>
        <v/>
      </c>
      <c r="AC4110" s="9">
        <f>IF(AND($A4110&lt;&gt;"",M4110=설정!$C$20,Z4110&gt;0),Z4110+ROW()/1000000000,"")</f>
        <v/>
      </c>
      <c r="AD4110" s="94">
        <f>IF($A4110="",0,$P4110*AG4110)</f>
        <v/>
      </c>
      <c r="AE4110" s="64">
        <f>IF($A4110="","",IFERROR(INDEX(계정매핑!$E$5:$E$504,MATCH($F4110&amp;"",계정매핑!$A$5:$A$504,0))&amp;"","공통비"))</f>
        <v/>
      </c>
      <c r="AF4110" s="64">
        <f>IF($A4110="","",IF(AE4110="직접",IFERROR(INDEX(계정매핑!$F$5:$F$504,MATCH($F4110&amp;"",계정매핑!$A$5:$A$504,0))&amp;"","비귀속"),""))</f>
        <v/>
      </c>
      <c r="AG4110" s="96">
        <f>IF($A4110="",0,IF(AND(AE4110&lt;&gt;"직접",IFERROR(INDEX(계정매핑!$G$5:$G$504,MATCH($F4110&amp;"",계정매핑!$A$5:$A$504,0))&amp;"","")="유지비",COUNTIF(계정대체기준!$A$6:$A$15,$N4110)&gt;0),IFERROR(INDEX(계정대체기준!$E$6:$E$15,MATCH(VALUE($A4110&amp;""),계정대체기준!$D$6:$D$15,0)),0),0))</f>
        <v/>
      </c>
      <c r="AH4110" s="64">
        <f>IF($A4110="","",IF(AD4110=0,"",IF(OR(COUNTIF(계정대체기준!$A$77:$A$86,$N4110)&gt;0,ISNUMBER(MATCH($X4110,계정대체기준!$D$77:$D$86,0)),ISNUMBER(MATCH($F4110,계정대체기준!$D$77:$D$86,0))),"Y","N")))</f>
        <v/>
      </c>
    </row>
    <row r="4111">
      <c r="A4111" s="92" t="n">
        <v>2026</v>
      </c>
      <c r="B4111" s="92" t="n">
        <v>7</v>
      </c>
      <c r="C4111" s="92" t="inlineStr">
        <is>
          <t>5100001389</t>
        </is>
      </c>
      <c r="D4111" s="95" t="n">
        <v>46207</v>
      </c>
      <c r="E4111" s="92" t="inlineStr">
        <is>
          <t>KR</t>
        </is>
      </c>
      <c r="F4111" s="92" t="n">
        <v>62601000</v>
      </c>
      <c r="G4111" s="92" t="n">
        <v>1301</v>
      </c>
      <c r="H4111" s="93" t="n">
        <v>736000</v>
      </c>
      <c r="I4111" s="92" t="inlineStr">
        <is>
          <t>7월 업무추진 - (법인카드)</t>
        </is>
      </c>
      <c r="J4111" s="92" t="inlineStr">
        <is>
          <t>V10010</t>
        </is>
      </c>
      <c r="K4111" s="92" t="inlineStr">
        <is>
          <t>(법인카드)</t>
        </is>
      </c>
      <c r="M4111" s="9">
        <f>IF($A4111="","",VALUE($A4111&amp;"")*12+VALUE($B4111&amp;""))</f>
        <v/>
      </c>
      <c r="N4111" s="64">
        <f>IF($A4111="","",IFERROR(INDEX(부서매핑!$C$5:$C$504,MATCH($G4111&amp;"",부서매핑!$A$5:$A$504,0)),"미매핑"))</f>
        <v/>
      </c>
      <c r="O4111" s="9">
        <f>IF($A4111="","",N4111&amp;"|"&amp;$F4111)</f>
        <v/>
      </c>
      <c r="P4111" s="94">
        <f>IF($A4111="",0,$H4111*설정!$C$23)</f>
        <v/>
      </c>
      <c r="Q4111" s="64">
        <f>IF($A4111="","",IF(O4111&lt;&gt;원인분석!$C$9,"",IF(AND(M4111&gt;=원인분석!$C$10,M4111&lt;=원인분석!$C$11),"당기",IF(AND(M4111&gt;=원인분석!$C$12,M4111&lt;=원인분석!$C$13),"비교",""))))</f>
        <v/>
      </c>
      <c r="R4111" s="9">
        <f>IF(Q4111="","",$K4111&amp;"")</f>
        <v/>
      </c>
      <c r="S4111" s="9">
        <f>IF(Q4111="","",IF(MATCH(R4111,$R$5:$R$100000,0)=ROW()-4,ROW(),""))</f>
        <v/>
      </c>
      <c r="T4111" s="9">
        <f>IF(Q4111="당기",ABS(P4111)+ROW()/1000000000,"")</f>
        <v/>
      </c>
      <c r="U4111" s="9">
        <f>IF(Q4111="비교",ABS(P4111)+ROW()/1000000000,"")</f>
        <v/>
      </c>
      <c r="V4111" s="64">
        <f>IF($A4111="","",IF(COUNTIF(변동분석!$E$7:$E$506,O4111)&gt;0,"Y","N"))</f>
        <v/>
      </c>
      <c r="W4111" s="64">
        <f>IF($A4111="","",IFERROR(INDEX(계정매핑!$D$5:$D$504,MATCH($F4111&amp;"",계정매핑!$A$5:$A$504,0)),"미매핑"))</f>
        <v/>
      </c>
      <c r="X4111" s="9">
        <f>IF($A4111="","",$F4111&amp;"")</f>
        <v/>
      </c>
      <c r="Y4111" s="94">
        <f>IF($A4111="",0,IF(AE4111="직접",IF(AF4111="비귀속",$P4111,0),$P4111*(1-AG4111)*IFERROR(INDEX(계정대체기준!$F$20:$F$49,MATCH($N4111,계정대체기준!$A$20:$A$49,0)),1)))</f>
        <v/>
      </c>
      <c r="Z4111" s="94">
        <f>IF($A4111="",0,IF(AE4111="직접",IF(AF4111="신계약비",$P4111,0),$P4111*(1-AG4111)*IFERROR(INDEX(계정대체기준!$C$20:$C$49,MATCH($N4111,계정대체기준!$A$20:$A$49,0)),0)))</f>
        <v/>
      </c>
      <c r="AA4111" s="94">
        <f>IF($A4111="",0,IF(AE4111="직접",IF(OR(AF4111="유지비",AF4111="손해조사비"),$P4111,0),$P4111*(1-AG4111)*IFERROR(INDEX(계정대체기준!$D$20:$D$49,MATCH($N4111,계정대체기준!$A$20:$A$49,0)),0)))</f>
        <v/>
      </c>
      <c r="AB4111" s="94">
        <f>IF($A4111="",0,IF(AE4111="직접",IF(AF4111="수금비",$P4111,0),$P4111*(1-AG4111)*IFERROR(INDEX(계정대체기준!$E$20:$E$49,MATCH($N4111,계정대체기준!$A$20:$A$49,0)),0)))</f>
        <v/>
      </c>
      <c r="AC4111" s="9">
        <f>IF(AND($A4111&lt;&gt;"",M4111=설정!$C$20,Z4111&gt;0),Z4111+ROW()/1000000000,"")</f>
        <v/>
      </c>
      <c r="AD4111" s="94">
        <f>IF($A4111="",0,$P4111*AG4111)</f>
        <v/>
      </c>
      <c r="AE4111" s="64">
        <f>IF($A4111="","",IFERROR(INDEX(계정매핑!$E$5:$E$504,MATCH($F4111&amp;"",계정매핑!$A$5:$A$504,0))&amp;"","공통비"))</f>
        <v/>
      </c>
      <c r="AF4111" s="64">
        <f>IF($A4111="","",IF(AE4111="직접",IFERROR(INDEX(계정매핑!$F$5:$F$504,MATCH($F4111&amp;"",계정매핑!$A$5:$A$504,0))&amp;"","비귀속"),""))</f>
        <v/>
      </c>
      <c r="AG4111" s="96">
        <f>IF($A4111="",0,IF(AND(AE4111&lt;&gt;"직접",IFERROR(INDEX(계정매핑!$G$5:$G$504,MATCH($F4111&amp;"",계정매핑!$A$5:$A$504,0))&amp;"","")="유지비",COUNTIF(계정대체기준!$A$6:$A$15,$N4111)&gt;0),IFERROR(INDEX(계정대체기준!$E$6:$E$15,MATCH(VALUE($A4111&amp;""),계정대체기준!$D$6:$D$15,0)),0),0))</f>
        <v/>
      </c>
      <c r="AH4111" s="64">
        <f>IF($A4111="","",IF(AD4111=0,"",IF(OR(COUNTIF(계정대체기준!$A$77:$A$86,$N4111)&gt;0,ISNUMBER(MATCH($X4111,계정대체기준!$D$77:$D$86,0)),ISNUMBER(MATCH($F4111,계정대체기준!$D$77:$D$86,0))),"Y","N")))</f>
        <v/>
      </c>
    </row>
    <row r="4112">
      <c r="A4112" s="92" t="n">
        <v>2026</v>
      </c>
      <c r="B4112" s="92" t="n">
        <v>7</v>
      </c>
      <c r="C4112" s="92" t="inlineStr">
        <is>
          <t>5100001390</t>
        </is>
      </c>
      <c r="D4112" s="95" t="n">
        <v>46207</v>
      </c>
      <c r="E4112" s="92" t="inlineStr">
        <is>
          <t>KR</t>
        </is>
      </c>
      <c r="F4112" s="92" t="n">
        <v>63501000</v>
      </c>
      <c r="G4112" s="92" t="n">
        <v>1901</v>
      </c>
      <c r="H4112" s="93" t="n">
        <v>303914000</v>
      </c>
      <c r="I4112" s="92" t="inlineStr">
        <is>
          <t>7월 모집수수료 - (전속설계사)</t>
        </is>
      </c>
      <c r="J4112" s="92" t="inlineStr">
        <is>
          <t>V10021</t>
        </is>
      </c>
      <c r="K4112" s="92" t="inlineStr">
        <is>
          <t>(전속설계사)</t>
        </is>
      </c>
      <c r="M4112" s="9">
        <f>IF($A4112="","",VALUE($A4112&amp;"")*12+VALUE($B4112&amp;""))</f>
        <v/>
      </c>
      <c r="N4112" s="64">
        <f>IF($A4112="","",IFERROR(INDEX(부서매핑!$C$5:$C$504,MATCH($G4112&amp;"",부서매핑!$A$5:$A$504,0)),"미매핑"))</f>
        <v/>
      </c>
      <c r="O4112" s="9">
        <f>IF($A4112="","",N4112&amp;"|"&amp;$F4112)</f>
        <v/>
      </c>
      <c r="P4112" s="94">
        <f>IF($A4112="",0,$H4112*설정!$C$23)</f>
        <v/>
      </c>
      <c r="Q4112" s="64">
        <f>IF($A4112="","",IF(O4112&lt;&gt;원인분석!$C$9,"",IF(AND(M4112&gt;=원인분석!$C$10,M4112&lt;=원인분석!$C$11),"당기",IF(AND(M4112&gt;=원인분석!$C$12,M4112&lt;=원인분석!$C$13),"비교",""))))</f>
        <v/>
      </c>
      <c r="R4112" s="9">
        <f>IF(Q4112="","",$K4112&amp;"")</f>
        <v/>
      </c>
      <c r="S4112" s="9">
        <f>IF(Q4112="","",IF(MATCH(R4112,$R$5:$R$100000,0)=ROW()-4,ROW(),""))</f>
        <v/>
      </c>
      <c r="T4112" s="9">
        <f>IF(Q4112="당기",ABS(P4112)+ROW()/1000000000,"")</f>
        <v/>
      </c>
      <c r="U4112" s="9">
        <f>IF(Q4112="비교",ABS(P4112)+ROW()/1000000000,"")</f>
        <v/>
      </c>
      <c r="V4112" s="64">
        <f>IF($A4112="","",IF(COUNTIF(변동분석!$E$7:$E$506,O4112)&gt;0,"Y","N"))</f>
        <v/>
      </c>
      <c r="W4112" s="64">
        <f>IF($A4112="","",IFERROR(INDEX(계정매핑!$D$5:$D$504,MATCH($F4112&amp;"",계정매핑!$A$5:$A$504,0)),"미매핑"))</f>
        <v/>
      </c>
      <c r="X4112" s="9">
        <f>IF($A4112="","",$F4112&amp;"")</f>
        <v/>
      </c>
      <c r="Y4112" s="94">
        <f>IF($A4112="",0,IF(AE4112="직접",IF(AF4112="비귀속",$P4112,0),$P4112*(1-AG4112)*IFERROR(INDEX(계정대체기준!$F$20:$F$49,MATCH($N4112,계정대체기준!$A$20:$A$49,0)),1)))</f>
        <v/>
      </c>
      <c r="Z4112" s="94">
        <f>IF($A4112="",0,IF(AE4112="직접",IF(AF4112="신계약비",$P4112,0),$P4112*(1-AG4112)*IFERROR(INDEX(계정대체기준!$C$20:$C$49,MATCH($N4112,계정대체기준!$A$20:$A$49,0)),0)))</f>
        <v/>
      </c>
      <c r="AA4112" s="94">
        <f>IF($A4112="",0,IF(AE4112="직접",IF(OR(AF4112="유지비",AF4112="손해조사비"),$P4112,0),$P4112*(1-AG4112)*IFERROR(INDEX(계정대체기준!$D$20:$D$49,MATCH($N4112,계정대체기준!$A$20:$A$49,0)),0)))</f>
        <v/>
      </c>
      <c r="AB4112" s="94">
        <f>IF($A4112="",0,IF(AE4112="직접",IF(AF4112="수금비",$P4112,0),$P4112*(1-AG4112)*IFERROR(INDEX(계정대체기준!$E$20:$E$49,MATCH($N4112,계정대체기준!$A$20:$A$49,0)),0)))</f>
        <v/>
      </c>
      <c r="AC4112" s="9">
        <f>IF(AND($A4112&lt;&gt;"",M4112=설정!$C$20,Z4112&gt;0),Z4112+ROW()/1000000000,"")</f>
        <v/>
      </c>
      <c r="AD4112" s="94">
        <f>IF($A4112="",0,$P4112*AG4112)</f>
        <v/>
      </c>
      <c r="AE4112" s="64">
        <f>IF($A4112="","",IFERROR(INDEX(계정매핑!$E$5:$E$504,MATCH($F4112&amp;"",계정매핑!$A$5:$A$504,0))&amp;"","공통비"))</f>
        <v/>
      </c>
      <c r="AF4112" s="64">
        <f>IF($A4112="","",IF(AE4112="직접",IFERROR(INDEX(계정매핑!$F$5:$F$504,MATCH($F4112&amp;"",계정매핑!$A$5:$A$504,0))&amp;"","비귀속"),""))</f>
        <v/>
      </c>
      <c r="AG4112" s="96">
        <f>IF($A4112="",0,IF(AND(AE4112&lt;&gt;"직접",IFERROR(INDEX(계정매핑!$G$5:$G$504,MATCH($F4112&amp;"",계정매핑!$A$5:$A$504,0))&amp;"","")="유지비",COUNTIF(계정대체기준!$A$6:$A$15,$N4112)&gt;0),IFERROR(INDEX(계정대체기준!$E$6:$E$15,MATCH(VALUE($A4112&amp;""),계정대체기준!$D$6:$D$15,0)),0),0))</f>
        <v/>
      </c>
      <c r="AH4112" s="64">
        <f>IF($A4112="","",IF(AD4112=0,"",IF(OR(COUNTIF(계정대체기준!$A$77:$A$86,$N4112)&gt;0,ISNUMBER(MATCH($X4112,계정대체기준!$D$77:$D$86,0)),ISNUMBER(MATCH($F4112,계정대체기준!$D$77:$D$86,0))),"Y","N")))</f>
        <v/>
      </c>
    </row>
    <row r="4113">
      <c r="A4113" s="92" t="n">
        <v>2026</v>
      </c>
      <c r="B4113" s="92" t="n">
        <v>7</v>
      </c>
      <c r="C4113" s="92" t="inlineStr">
        <is>
          <t>5100001391</t>
        </is>
      </c>
      <c r="D4113" s="95" t="n">
        <v>46208</v>
      </c>
      <c r="E4113" s="92" t="inlineStr">
        <is>
          <t>KR</t>
        </is>
      </c>
      <c r="F4113" s="92" t="n">
        <v>62101000</v>
      </c>
      <c r="G4113" s="92" t="n">
        <v>1401</v>
      </c>
      <c r="H4113" s="93" t="n">
        <v>200000</v>
      </c>
      <c r="I4113" s="92" t="inlineStr">
        <is>
          <t>7월 국내출장 - (법인카드)</t>
        </is>
      </c>
      <c r="J4113" s="92" t="inlineStr">
        <is>
          <t>V10010</t>
        </is>
      </c>
      <c r="K4113" s="92" t="inlineStr">
        <is>
          <t>(법인카드)</t>
        </is>
      </c>
      <c r="M4113" s="9">
        <f>IF($A4113="","",VALUE($A4113&amp;"")*12+VALUE($B4113&amp;""))</f>
        <v/>
      </c>
      <c r="N4113" s="64">
        <f>IF($A4113="","",IFERROR(INDEX(부서매핑!$C$5:$C$504,MATCH($G4113&amp;"",부서매핑!$A$5:$A$504,0)),"미매핑"))</f>
        <v/>
      </c>
      <c r="O4113" s="9">
        <f>IF($A4113="","",N4113&amp;"|"&amp;$F4113)</f>
        <v/>
      </c>
      <c r="P4113" s="94">
        <f>IF($A4113="",0,$H4113*설정!$C$23)</f>
        <v/>
      </c>
      <c r="Q4113" s="64">
        <f>IF($A4113="","",IF(O4113&lt;&gt;원인분석!$C$9,"",IF(AND(M4113&gt;=원인분석!$C$10,M4113&lt;=원인분석!$C$11),"당기",IF(AND(M4113&gt;=원인분석!$C$12,M4113&lt;=원인분석!$C$13),"비교",""))))</f>
        <v/>
      </c>
      <c r="R4113" s="9">
        <f>IF(Q4113="","",$K4113&amp;"")</f>
        <v/>
      </c>
      <c r="S4113" s="9">
        <f>IF(Q4113="","",IF(MATCH(R4113,$R$5:$R$100000,0)=ROW()-4,ROW(),""))</f>
        <v/>
      </c>
      <c r="T4113" s="9">
        <f>IF(Q4113="당기",ABS(P4113)+ROW()/1000000000,"")</f>
        <v/>
      </c>
      <c r="U4113" s="9">
        <f>IF(Q4113="비교",ABS(P4113)+ROW()/1000000000,"")</f>
        <v/>
      </c>
      <c r="V4113" s="64">
        <f>IF($A4113="","",IF(COUNTIF(변동분석!$E$7:$E$506,O4113)&gt;0,"Y","N"))</f>
        <v/>
      </c>
      <c r="W4113" s="64">
        <f>IF($A4113="","",IFERROR(INDEX(계정매핑!$D$5:$D$504,MATCH($F4113&amp;"",계정매핑!$A$5:$A$504,0)),"미매핑"))</f>
        <v/>
      </c>
      <c r="X4113" s="9">
        <f>IF($A4113="","",$F4113&amp;"")</f>
        <v/>
      </c>
      <c r="Y4113" s="94">
        <f>IF($A4113="",0,IF(AE4113="직접",IF(AF4113="비귀속",$P4113,0),$P4113*(1-AG4113)*IFERROR(INDEX(계정대체기준!$F$20:$F$49,MATCH($N4113,계정대체기준!$A$20:$A$49,0)),1)))</f>
        <v/>
      </c>
      <c r="Z4113" s="94">
        <f>IF($A4113="",0,IF(AE4113="직접",IF(AF4113="신계약비",$P4113,0),$P4113*(1-AG4113)*IFERROR(INDEX(계정대체기준!$C$20:$C$49,MATCH($N4113,계정대체기준!$A$20:$A$49,0)),0)))</f>
        <v/>
      </c>
      <c r="AA4113" s="94">
        <f>IF($A4113="",0,IF(AE4113="직접",IF(OR(AF4113="유지비",AF4113="손해조사비"),$P4113,0),$P4113*(1-AG4113)*IFERROR(INDEX(계정대체기준!$D$20:$D$49,MATCH($N4113,계정대체기준!$A$20:$A$49,0)),0)))</f>
        <v/>
      </c>
      <c r="AB4113" s="94">
        <f>IF($A4113="",0,IF(AE4113="직접",IF(AF4113="수금비",$P4113,0),$P4113*(1-AG4113)*IFERROR(INDEX(계정대체기준!$E$20:$E$49,MATCH($N4113,계정대체기준!$A$20:$A$49,0)),0)))</f>
        <v/>
      </c>
      <c r="AC4113" s="9">
        <f>IF(AND($A4113&lt;&gt;"",M4113=설정!$C$20,Z4113&gt;0),Z4113+ROW()/1000000000,"")</f>
        <v/>
      </c>
      <c r="AD4113" s="94">
        <f>IF($A4113="",0,$P4113*AG4113)</f>
        <v/>
      </c>
      <c r="AE4113" s="64">
        <f>IF($A4113="","",IFERROR(INDEX(계정매핑!$E$5:$E$504,MATCH($F4113&amp;"",계정매핑!$A$5:$A$504,0))&amp;"","공통비"))</f>
        <v/>
      </c>
      <c r="AF4113" s="64">
        <f>IF($A4113="","",IF(AE4113="직접",IFERROR(INDEX(계정매핑!$F$5:$F$504,MATCH($F4113&amp;"",계정매핑!$A$5:$A$504,0))&amp;"","비귀속"),""))</f>
        <v/>
      </c>
      <c r="AG4113" s="96">
        <f>IF($A4113="",0,IF(AND(AE4113&lt;&gt;"직접",IFERROR(INDEX(계정매핑!$G$5:$G$504,MATCH($F4113&amp;"",계정매핑!$A$5:$A$504,0))&amp;"","")="유지비",COUNTIF(계정대체기준!$A$6:$A$15,$N4113)&gt;0),IFERROR(INDEX(계정대체기준!$E$6:$E$15,MATCH(VALUE($A4113&amp;""),계정대체기준!$D$6:$D$15,0)),0),0))</f>
        <v/>
      </c>
      <c r="AH4113" s="64">
        <f>IF($A4113="","",IF(AD4113=0,"",IF(OR(COUNTIF(계정대체기준!$A$77:$A$86,$N4113)&gt;0,ISNUMBER(MATCH($X4113,계정대체기준!$D$77:$D$86,0)),ISNUMBER(MATCH($F4113,계정대체기준!$D$77:$D$86,0))),"Y","N")))</f>
        <v/>
      </c>
    </row>
    <row r="4114">
      <c r="A4114" s="92" t="n">
        <v>2026</v>
      </c>
      <c r="B4114" s="92" t="n">
        <v>7</v>
      </c>
      <c r="C4114" s="92" t="inlineStr">
        <is>
          <t>5100001392</t>
        </is>
      </c>
      <c r="D4114" s="95" t="n">
        <v>46208</v>
      </c>
      <c r="E4114" s="92" t="inlineStr">
        <is>
          <t>KR</t>
        </is>
      </c>
      <c r="F4114" s="92" t="n">
        <v>62101000</v>
      </c>
      <c r="G4114" s="92" t="n">
        <v>1601</v>
      </c>
      <c r="H4114" s="93" t="n">
        <v>912000</v>
      </c>
      <c r="I4114" s="92" t="inlineStr">
        <is>
          <t>7월 국내출장 - (법인카드)</t>
        </is>
      </c>
      <c r="J4114" s="92" t="inlineStr">
        <is>
          <t>V10010</t>
        </is>
      </c>
      <c r="K4114" s="92" t="inlineStr">
        <is>
          <t>(법인카드)</t>
        </is>
      </c>
      <c r="M4114" s="9">
        <f>IF($A4114="","",VALUE($A4114&amp;"")*12+VALUE($B4114&amp;""))</f>
        <v/>
      </c>
      <c r="N4114" s="64">
        <f>IF($A4114="","",IFERROR(INDEX(부서매핑!$C$5:$C$504,MATCH($G4114&amp;"",부서매핑!$A$5:$A$504,0)),"미매핑"))</f>
        <v/>
      </c>
      <c r="O4114" s="9">
        <f>IF($A4114="","",N4114&amp;"|"&amp;$F4114)</f>
        <v/>
      </c>
      <c r="P4114" s="94">
        <f>IF($A4114="",0,$H4114*설정!$C$23)</f>
        <v/>
      </c>
      <c r="Q4114" s="64">
        <f>IF($A4114="","",IF(O4114&lt;&gt;원인분석!$C$9,"",IF(AND(M4114&gt;=원인분석!$C$10,M4114&lt;=원인분석!$C$11),"당기",IF(AND(M4114&gt;=원인분석!$C$12,M4114&lt;=원인분석!$C$13),"비교",""))))</f>
        <v/>
      </c>
      <c r="R4114" s="9">
        <f>IF(Q4114="","",$K4114&amp;"")</f>
        <v/>
      </c>
      <c r="S4114" s="9">
        <f>IF(Q4114="","",IF(MATCH(R4114,$R$5:$R$100000,0)=ROW()-4,ROW(),""))</f>
        <v/>
      </c>
      <c r="T4114" s="9">
        <f>IF(Q4114="당기",ABS(P4114)+ROW()/1000000000,"")</f>
        <v/>
      </c>
      <c r="U4114" s="9">
        <f>IF(Q4114="비교",ABS(P4114)+ROW()/1000000000,"")</f>
        <v/>
      </c>
      <c r="V4114" s="64">
        <f>IF($A4114="","",IF(COUNTIF(변동분석!$E$7:$E$506,O4114)&gt;0,"Y","N"))</f>
        <v/>
      </c>
      <c r="W4114" s="64">
        <f>IF($A4114="","",IFERROR(INDEX(계정매핑!$D$5:$D$504,MATCH($F4114&amp;"",계정매핑!$A$5:$A$504,0)),"미매핑"))</f>
        <v/>
      </c>
      <c r="X4114" s="9">
        <f>IF($A4114="","",$F4114&amp;"")</f>
        <v/>
      </c>
      <c r="Y4114" s="94">
        <f>IF($A4114="",0,IF(AE4114="직접",IF(AF4114="비귀속",$P4114,0),$P4114*(1-AG4114)*IFERROR(INDEX(계정대체기준!$F$20:$F$49,MATCH($N4114,계정대체기준!$A$20:$A$49,0)),1)))</f>
        <v/>
      </c>
      <c r="Z4114" s="94">
        <f>IF($A4114="",0,IF(AE4114="직접",IF(AF4114="신계약비",$P4114,0),$P4114*(1-AG4114)*IFERROR(INDEX(계정대체기준!$C$20:$C$49,MATCH($N4114,계정대체기준!$A$20:$A$49,0)),0)))</f>
        <v/>
      </c>
      <c r="AA4114" s="94">
        <f>IF($A4114="",0,IF(AE4114="직접",IF(OR(AF4114="유지비",AF4114="손해조사비"),$P4114,0),$P4114*(1-AG4114)*IFERROR(INDEX(계정대체기준!$D$20:$D$49,MATCH($N4114,계정대체기준!$A$20:$A$49,0)),0)))</f>
        <v/>
      </c>
      <c r="AB4114" s="94">
        <f>IF($A4114="",0,IF(AE4114="직접",IF(AF4114="수금비",$P4114,0),$P4114*(1-AG4114)*IFERROR(INDEX(계정대체기준!$E$20:$E$49,MATCH($N4114,계정대체기준!$A$20:$A$49,0)),0)))</f>
        <v/>
      </c>
      <c r="AC4114" s="9">
        <f>IF(AND($A4114&lt;&gt;"",M4114=설정!$C$20,Z4114&gt;0),Z4114+ROW()/1000000000,"")</f>
        <v/>
      </c>
      <c r="AD4114" s="94">
        <f>IF($A4114="",0,$P4114*AG4114)</f>
        <v/>
      </c>
      <c r="AE4114" s="64">
        <f>IF($A4114="","",IFERROR(INDEX(계정매핑!$E$5:$E$504,MATCH($F4114&amp;"",계정매핑!$A$5:$A$504,0))&amp;"","공통비"))</f>
        <v/>
      </c>
      <c r="AF4114" s="64">
        <f>IF($A4114="","",IF(AE4114="직접",IFERROR(INDEX(계정매핑!$F$5:$F$504,MATCH($F4114&amp;"",계정매핑!$A$5:$A$504,0))&amp;"","비귀속"),""))</f>
        <v/>
      </c>
      <c r="AG4114" s="96">
        <f>IF($A4114="",0,IF(AND(AE4114&lt;&gt;"직접",IFERROR(INDEX(계정매핑!$G$5:$G$504,MATCH($F4114&amp;"",계정매핑!$A$5:$A$504,0))&amp;"","")="유지비",COUNTIF(계정대체기준!$A$6:$A$15,$N4114)&gt;0),IFERROR(INDEX(계정대체기준!$E$6:$E$15,MATCH(VALUE($A4114&amp;""),계정대체기준!$D$6:$D$15,0)),0),0))</f>
        <v/>
      </c>
      <c r="AH4114" s="64">
        <f>IF($A4114="","",IF(AD4114=0,"",IF(OR(COUNTIF(계정대체기준!$A$77:$A$86,$N4114)&gt;0,ISNUMBER(MATCH($X4114,계정대체기준!$D$77:$D$86,0)),ISNUMBER(MATCH($F4114,계정대체기준!$D$77:$D$86,0))),"Y","N")))</f>
        <v/>
      </c>
    </row>
    <row r="4115">
      <c r="A4115" s="92" t="n">
        <v>2026</v>
      </c>
      <c r="B4115" s="92" t="n">
        <v>7</v>
      </c>
      <c r="C4115" s="92" t="inlineStr">
        <is>
          <t>5100001393</t>
        </is>
      </c>
      <c r="D4115" s="95" t="n">
        <v>46208</v>
      </c>
      <c r="E4115" s="92" t="inlineStr">
        <is>
          <t>KR</t>
        </is>
      </c>
      <c r="F4115" s="92" t="n">
        <v>62102000</v>
      </c>
      <c r="G4115" s="92" t="n">
        <v>1951</v>
      </c>
      <c r="H4115" s="93" t="n">
        <v>69000</v>
      </c>
      <c r="I4115" s="92" t="inlineStr">
        <is>
          <t>7월 해외출장 - M항공</t>
        </is>
      </c>
      <c r="J4115" s="92" t="inlineStr">
        <is>
          <t>V10001</t>
        </is>
      </c>
      <c r="K4115" s="92" t="inlineStr">
        <is>
          <t>M항공</t>
        </is>
      </c>
      <c r="M4115" s="9">
        <f>IF($A4115="","",VALUE($A4115&amp;"")*12+VALUE($B4115&amp;""))</f>
        <v/>
      </c>
      <c r="N4115" s="64">
        <f>IF($A4115="","",IFERROR(INDEX(부서매핑!$C$5:$C$504,MATCH($G4115&amp;"",부서매핑!$A$5:$A$504,0)),"미매핑"))</f>
        <v/>
      </c>
      <c r="O4115" s="9">
        <f>IF($A4115="","",N4115&amp;"|"&amp;$F4115)</f>
        <v/>
      </c>
      <c r="P4115" s="94">
        <f>IF($A4115="",0,$H4115*설정!$C$23)</f>
        <v/>
      </c>
      <c r="Q4115" s="64">
        <f>IF($A4115="","",IF(O4115&lt;&gt;원인분석!$C$9,"",IF(AND(M4115&gt;=원인분석!$C$10,M4115&lt;=원인분석!$C$11),"당기",IF(AND(M4115&gt;=원인분석!$C$12,M4115&lt;=원인분석!$C$13),"비교",""))))</f>
        <v/>
      </c>
      <c r="R4115" s="9">
        <f>IF(Q4115="","",$K4115&amp;"")</f>
        <v/>
      </c>
      <c r="S4115" s="9">
        <f>IF(Q4115="","",IF(MATCH(R4115,$R$5:$R$100000,0)=ROW()-4,ROW(),""))</f>
        <v/>
      </c>
      <c r="T4115" s="9">
        <f>IF(Q4115="당기",ABS(P4115)+ROW()/1000000000,"")</f>
        <v/>
      </c>
      <c r="U4115" s="9">
        <f>IF(Q4115="비교",ABS(P4115)+ROW()/1000000000,"")</f>
        <v/>
      </c>
      <c r="V4115" s="64">
        <f>IF($A4115="","",IF(COUNTIF(변동분석!$E$7:$E$506,O4115)&gt;0,"Y","N"))</f>
        <v/>
      </c>
      <c r="W4115" s="64">
        <f>IF($A4115="","",IFERROR(INDEX(계정매핑!$D$5:$D$504,MATCH($F4115&amp;"",계정매핑!$A$5:$A$504,0)),"미매핑"))</f>
        <v/>
      </c>
      <c r="X4115" s="9">
        <f>IF($A4115="","",$F4115&amp;"")</f>
        <v/>
      </c>
      <c r="Y4115" s="94">
        <f>IF($A4115="",0,IF(AE4115="직접",IF(AF4115="비귀속",$P4115,0),$P4115*(1-AG4115)*IFERROR(INDEX(계정대체기준!$F$20:$F$49,MATCH($N4115,계정대체기준!$A$20:$A$49,0)),1)))</f>
        <v/>
      </c>
      <c r="Z4115" s="94">
        <f>IF($A4115="",0,IF(AE4115="직접",IF(AF4115="신계약비",$P4115,0),$P4115*(1-AG4115)*IFERROR(INDEX(계정대체기준!$C$20:$C$49,MATCH($N4115,계정대체기준!$A$20:$A$49,0)),0)))</f>
        <v/>
      </c>
      <c r="AA4115" s="94">
        <f>IF($A4115="",0,IF(AE4115="직접",IF(OR(AF4115="유지비",AF4115="손해조사비"),$P4115,0),$P4115*(1-AG4115)*IFERROR(INDEX(계정대체기준!$D$20:$D$49,MATCH($N4115,계정대체기준!$A$20:$A$49,0)),0)))</f>
        <v/>
      </c>
      <c r="AB4115" s="94">
        <f>IF($A4115="",0,IF(AE4115="직접",IF(AF4115="수금비",$P4115,0),$P4115*(1-AG4115)*IFERROR(INDEX(계정대체기준!$E$20:$E$49,MATCH($N4115,계정대체기준!$A$20:$A$49,0)),0)))</f>
        <v/>
      </c>
      <c r="AC4115" s="9">
        <f>IF(AND($A4115&lt;&gt;"",M4115=설정!$C$20,Z4115&gt;0),Z4115+ROW()/1000000000,"")</f>
        <v/>
      </c>
      <c r="AD4115" s="94">
        <f>IF($A4115="",0,$P4115*AG4115)</f>
        <v/>
      </c>
      <c r="AE4115" s="64">
        <f>IF($A4115="","",IFERROR(INDEX(계정매핑!$E$5:$E$504,MATCH($F4115&amp;"",계정매핑!$A$5:$A$504,0))&amp;"","공통비"))</f>
        <v/>
      </c>
      <c r="AF4115" s="64">
        <f>IF($A4115="","",IF(AE4115="직접",IFERROR(INDEX(계정매핑!$F$5:$F$504,MATCH($F4115&amp;"",계정매핑!$A$5:$A$504,0))&amp;"","비귀속"),""))</f>
        <v/>
      </c>
      <c r="AG4115" s="96">
        <f>IF($A4115="",0,IF(AND(AE4115&lt;&gt;"직접",IFERROR(INDEX(계정매핑!$G$5:$G$504,MATCH($F4115&amp;"",계정매핑!$A$5:$A$504,0))&amp;"","")="유지비",COUNTIF(계정대체기준!$A$6:$A$15,$N4115)&gt;0),IFERROR(INDEX(계정대체기준!$E$6:$E$15,MATCH(VALUE($A4115&amp;""),계정대체기준!$D$6:$D$15,0)),0),0))</f>
        <v/>
      </c>
      <c r="AH4115" s="64">
        <f>IF($A4115="","",IF(AD4115=0,"",IF(OR(COUNTIF(계정대체기준!$A$77:$A$86,$N4115)&gt;0,ISNUMBER(MATCH($X4115,계정대체기준!$D$77:$D$86,0)),ISNUMBER(MATCH($F4115,계정대체기준!$D$77:$D$86,0))),"Y","N")))</f>
        <v/>
      </c>
    </row>
    <row r="4116">
      <c r="A4116" s="92" t="n">
        <v>2026</v>
      </c>
      <c r="B4116" s="92" t="n">
        <v>7</v>
      </c>
      <c r="C4116" s="92" t="inlineStr">
        <is>
          <t>5100001394</t>
        </is>
      </c>
      <c r="D4116" s="95" t="n">
        <v>46208</v>
      </c>
      <c r="E4116" s="92" t="inlineStr">
        <is>
          <t>KR</t>
        </is>
      </c>
      <c r="F4116" s="92" t="n">
        <v>62201000</v>
      </c>
      <c r="G4116" s="92" t="n">
        <v>1201</v>
      </c>
      <c r="H4116" s="93" t="n">
        <v>157000</v>
      </c>
      <c r="I4116" s="92" t="inlineStr">
        <is>
          <t>7월 통신요금 - P통신</t>
        </is>
      </c>
      <c r="J4116" s="92" t="inlineStr">
        <is>
          <t>V10014</t>
        </is>
      </c>
      <c r="K4116" s="92" t="inlineStr">
        <is>
          <t>P통신</t>
        </is>
      </c>
      <c r="M4116" s="9">
        <f>IF($A4116="","",VALUE($A4116&amp;"")*12+VALUE($B4116&amp;""))</f>
        <v/>
      </c>
      <c r="N4116" s="64">
        <f>IF($A4116="","",IFERROR(INDEX(부서매핑!$C$5:$C$504,MATCH($G4116&amp;"",부서매핑!$A$5:$A$504,0)),"미매핑"))</f>
        <v/>
      </c>
      <c r="O4116" s="9">
        <f>IF($A4116="","",N4116&amp;"|"&amp;$F4116)</f>
        <v/>
      </c>
      <c r="P4116" s="94">
        <f>IF($A4116="",0,$H4116*설정!$C$23)</f>
        <v/>
      </c>
      <c r="Q4116" s="64">
        <f>IF($A4116="","",IF(O4116&lt;&gt;원인분석!$C$9,"",IF(AND(M4116&gt;=원인분석!$C$10,M4116&lt;=원인분석!$C$11),"당기",IF(AND(M4116&gt;=원인분석!$C$12,M4116&lt;=원인분석!$C$13),"비교",""))))</f>
        <v/>
      </c>
      <c r="R4116" s="9">
        <f>IF(Q4116="","",$K4116&amp;"")</f>
        <v/>
      </c>
      <c r="S4116" s="9">
        <f>IF(Q4116="","",IF(MATCH(R4116,$R$5:$R$100000,0)=ROW()-4,ROW(),""))</f>
        <v/>
      </c>
      <c r="T4116" s="9">
        <f>IF(Q4116="당기",ABS(P4116)+ROW()/1000000000,"")</f>
        <v/>
      </c>
      <c r="U4116" s="9">
        <f>IF(Q4116="비교",ABS(P4116)+ROW()/1000000000,"")</f>
        <v/>
      </c>
      <c r="V4116" s="64">
        <f>IF($A4116="","",IF(COUNTIF(변동분석!$E$7:$E$506,O4116)&gt;0,"Y","N"))</f>
        <v/>
      </c>
      <c r="W4116" s="64">
        <f>IF($A4116="","",IFERROR(INDEX(계정매핑!$D$5:$D$504,MATCH($F4116&amp;"",계정매핑!$A$5:$A$504,0)),"미매핑"))</f>
        <v/>
      </c>
      <c r="X4116" s="9">
        <f>IF($A4116="","",$F4116&amp;"")</f>
        <v/>
      </c>
      <c r="Y4116" s="94">
        <f>IF($A4116="",0,IF(AE4116="직접",IF(AF4116="비귀속",$P4116,0),$P4116*(1-AG4116)*IFERROR(INDEX(계정대체기준!$F$20:$F$49,MATCH($N4116,계정대체기준!$A$20:$A$49,0)),1)))</f>
        <v/>
      </c>
      <c r="Z4116" s="94">
        <f>IF($A4116="",0,IF(AE4116="직접",IF(AF4116="신계약비",$P4116,0),$P4116*(1-AG4116)*IFERROR(INDEX(계정대체기준!$C$20:$C$49,MATCH($N4116,계정대체기준!$A$20:$A$49,0)),0)))</f>
        <v/>
      </c>
      <c r="AA4116" s="94">
        <f>IF($A4116="",0,IF(AE4116="직접",IF(OR(AF4116="유지비",AF4116="손해조사비"),$P4116,0),$P4116*(1-AG4116)*IFERROR(INDEX(계정대체기준!$D$20:$D$49,MATCH($N4116,계정대체기준!$A$20:$A$49,0)),0)))</f>
        <v/>
      </c>
      <c r="AB4116" s="94">
        <f>IF($A4116="",0,IF(AE4116="직접",IF(AF4116="수금비",$P4116,0),$P4116*(1-AG4116)*IFERROR(INDEX(계정대체기준!$E$20:$E$49,MATCH($N4116,계정대체기준!$A$20:$A$49,0)),0)))</f>
        <v/>
      </c>
      <c r="AC4116" s="9">
        <f>IF(AND($A4116&lt;&gt;"",M4116=설정!$C$20,Z4116&gt;0),Z4116+ROW()/1000000000,"")</f>
        <v/>
      </c>
      <c r="AD4116" s="94">
        <f>IF($A4116="",0,$P4116*AG4116)</f>
        <v/>
      </c>
      <c r="AE4116" s="64">
        <f>IF($A4116="","",IFERROR(INDEX(계정매핑!$E$5:$E$504,MATCH($F4116&amp;"",계정매핑!$A$5:$A$504,0))&amp;"","공통비"))</f>
        <v/>
      </c>
      <c r="AF4116" s="64">
        <f>IF($A4116="","",IF(AE4116="직접",IFERROR(INDEX(계정매핑!$F$5:$F$504,MATCH($F4116&amp;"",계정매핑!$A$5:$A$504,0))&amp;"","비귀속"),""))</f>
        <v/>
      </c>
      <c r="AG4116" s="96">
        <f>IF($A4116="",0,IF(AND(AE4116&lt;&gt;"직접",IFERROR(INDEX(계정매핑!$G$5:$G$504,MATCH($F4116&amp;"",계정매핑!$A$5:$A$504,0))&amp;"","")="유지비",COUNTIF(계정대체기준!$A$6:$A$15,$N4116)&gt;0),IFERROR(INDEX(계정대체기준!$E$6:$E$15,MATCH(VALUE($A4116&amp;""),계정대체기준!$D$6:$D$15,0)),0),0))</f>
        <v/>
      </c>
      <c r="AH4116" s="64">
        <f>IF($A4116="","",IF(AD4116=0,"",IF(OR(COUNTIF(계정대체기준!$A$77:$A$86,$N4116)&gt;0,ISNUMBER(MATCH($X4116,계정대체기준!$D$77:$D$86,0)),ISNUMBER(MATCH($F4116,계정대체기준!$D$77:$D$86,0))),"Y","N")))</f>
        <v/>
      </c>
    </row>
    <row r="4117">
      <c r="A4117" s="92" t="n">
        <v>2026</v>
      </c>
      <c r="B4117" s="92" t="n">
        <v>7</v>
      </c>
      <c r="C4117" s="92" t="inlineStr">
        <is>
          <t>5100001395</t>
        </is>
      </c>
      <c r="D4117" s="95" t="n">
        <v>46208</v>
      </c>
      <c r="E4117" s="92" t="inlineStr">
        <is>
          <t>KR</t>
        </is>
      </c>
      <c r="F4117" s="92" t="n">
        <v>62401000</v>
      </c>
      <c r="G4117" s="92" t="n">
        <v>1502</v>
      </c>
      <c r="H4117" s="93" t="n">
        <v>1520000</v>
      </c>
      <c r="I4117" s="92" t="inlineStr">
        <is>
          <t>7월 인쇄물 제작 - G인쇄</t>
        </is>
      </c>
      <c r="J4117" s="92" t="inlineStr">
        <is>
          <t>V10004</t>
        </is>
      </c>
      <c r="K4117" s="92" t="inlineStr">
        <is>
          <t>G인쇄</t>
        </is>
      </c>
      <c r="M4117" s="9">
        <f>IF($A4117="","",VALUE($A4117&amp;"")*12+VALUE($B4117&amp;""))</f>
        <v/>
      </c>
      <c r="N4117" s="64">
        <f>IF($A4117="","",IFERROR(INDEX(부서매핑!$C$5:$C$504,MATCH($G4117&amp;"",부서매핑!$A$5:$A$504,0)),"미매핑"))</f>
        <v/>
      </c>
      <c r="O4117" s="9">
        <f>IF($A4117="","",N4117&amp;"|"&amp;$F4117)</f>
        <v/>
      </c>
      <c r="P4117" s="94">
        <f>IF($A4117="",0,$H4117*설정!$C$23)</f>
        <v/>
      </c>
      <c r="Q4117" s="64">
        <f>IF($A4117="","",IF(O4117&lt;&gt;원인분석!$C$9,"",IF(AND(M4117&gt;=원인분석!$C$10,M4117&lt;=원인분석!$C$11),"당기",IF(AND(M4117&gt;=원인분석!$C$12,M4117&lt;=원인분석!$C$13),"비교",""))))</f>
        <v/>
      </c>
      <c r="R4117" s="9">
        <f>IF(Q4117="","",$K4117&amp;"")</f>
        <v/>
      </c>
      <c r="S4117" s="9">
        <f>IF(Q4117="","",IF(MATCH(R4117,$R$5:$R$100000,0)=ROW()-4,ROW(),""))</f>
        <v/>
      </c>
      <c r="T4117" s="9">
        <f>IF(Q4117="당기",ABS(P4117)+ROW()/1000000000,"")</f>
        <v/>
      </c>
      <c r="U4117" s="9">
        <f>IF(Q4117="비교",ABS(P4117)+ROW()/1000000000,"")</f>
        <v/>
      </c>
      <c r="V4117" s="64">
        <f>IF($A4117="","",IF(COUNTIF(변동분석!$E$7:$E$506,O4117)&gt;0,"Y","N"))</f>
        <v/>
      </c>
      <c r="W4117" s="64">
        <f>IF($A4117="","",IFERROR(INDEX(계정매핑!$D$5:$D$504,MATCH($F4117&amp;"",계정매핑!$A$5:$A$504,0)),"미매핑"))</f>
        <v/>
      </c>
      <c r="X4117" s="9">
        <f>IF($A4117="","",$F4117&amp;"")</f>
        <v/>
      </c>
      <c r="Y4117" s="94">
        <f>IF($A4117="",0,IF(AE4117="직접",IF(AF4117="비귀속",$P4117,0),$P4117*(1-AG4117)*IFERROR(INDEX(계정대체기준!$F$20:$F$49,MATCH($N4117,계정대체기준!$A$20:$A$49,0)),1)))</f>
        <v/>
      </c>
      <c r="Z4117" s="94">
        <f>IF($A4117="",0,IF(AE4117="직접",IF(AF4117="신계약비",$P4117,0),$P4117*(1-AG4117)*IFERROR(INDEX(계정대체기준!$C$20:$C$49,MATCH($N4117,계정대체기준!$A$20:$A$49,0)),0)))</f>
        <v/>
      </c>
      <c r="AA4117" s="94">
        <f>IF($A4117="",0,IF(AE4117="직접",IF(OR(AF4117="유지비",AF4117="손해조사비"),$P4117,0),$P4117*(1-AG4117)*IFERROR(INDEX(계정대체기준!$D$20:$D$49,MATCH($N4117,계정대체기준!$A$20:$A$49,0)),0)))</f>
        <v/>
      </c>
      <c r="AB4117" s="94">
        <f>IF($A4117="",0,IF(AE4117="직접",IF(AF4117="수금비",$P4117,0),$P4117*(1-AG4117)*IFERROR(INDEX(계정대체기준!$E$20:$E$49,MATCH($N4117,계정대체기준!$A$20:$A$49,0)),0)))</f>
        <v/>
      </c>
      <c r="AC4117" s="9">
        <f>IF(AND($A4117&lt;&gt;"",M4117=설정!$C$20,Z4117&gt;0),Z4117+ROW()/1000000000,"")</f>
        <v/>
      </c>
      <c r="AD4117" s="94">
        <f>IF($A4117="",0,$P4117*AG4117)</f>
        <v/>
      </c>
      <c r="AE4117" s="64">
        <f>IF($A4117="","",IFERROR(INDEX(계정매핑!$E$5:$E$504,MATCH($F4117&amp;"",계정매핑!$A$5:$A$504,0))&amp;"","공통비"))</f>
        <v/>
      </c>
      <c r="AF4117" s="64">
        <f>IF($A4117="","",IF(AE4117="직접",IFERROR(INDEX(계정매핑!$F$5:$F$504,MATCH($F4117&amp;"",계정매핑!$A$5:$A$504,0))&amp;"","비귀속"),""))</f>
        <v/>
      </c>
      <c r="AG4117" s="96">
        <f>IF($A4117="",0,IF(AND(AE4117&lt;&gt;"직접",IFERROR(INDEX(계정매핑!$G$5:$G$504,MATCH($F4117&amp;"",계정매핑!$A$5:$A$504,0))&amp;"","")="유지비",COUNTIF(계정대체기준!$A$6:$A$15,$N4117)&gt;0),IFERROR(INDEX(계정대체기준!$E$6:$E$15,MATCH(VALUE($A4117&amp;""),계정대체기준!$D$6:$D$15,0)),0),0))</f>
        <v/>
      </c>
      <c r="AH4117" s="64">
        <f>IF($A4117="","",IF(AD4117=0,"",IF(OR(COUNTIF(계정대체기준!$A$77:$A$86,$N4117)&gt;0,ISNUMBER(MATCH($X4117,계정대체기준!$D$77:$D$86,0)),ISNUMBER(MATCH($F4117,계정대체기준!$D$77:$D$86,0))),"Y","N")))</f>
        <v/>
      </c>
    </row>
    <row r="4118">
      <c r="A4118" s="92" t="n">
        <v>2026</v>
      </c>
      <c r="B4118" s="92" t="n">
        <v>7</v>
      </c>
      <c r="C4118" s="92" t="inlineStr">
        <is>
          <t>5100001396</t>
        </is>
      </c>
      <c r="D4118" s="95" t="n">
        <v>46208</v>
      </c>
      <c r="E4118" s="92" t="inlineStr">
        <is>
          <t>KR</t>
        </is>
      </c>
      <c r="F4118" s="92" t="n">
        <v>62501000</v>
      </c>
      <c r="G4118" s="92" t="n">
        <v>1401</v>
      </c>
      <c r="H4118" s="93" t="n">
        <v>179000</v>
      </c>
      <c r="I4118" s="92" t="inlineStr">
        <is>
          <t>7월 회의 다과 - T케이터링</t>
        </is>
      </c>
      <c r="J4118" s="92" t="inlineStr">
        <is>
          <t>V10005</t>
        </is>
      </c>
      <c r="K4118" s="92" t="inlineStr">
        <is>
          <t>T케이터링</t>
        </is>
      </c>
      <c r="M4118" s="9">
        <f>IF($A4118="","",VALUE($A4118&amp;"")*12+VALUE($B4118&amp;""))</f>
        <v/>
      </c>
      <c r="N4118" s="64">
        <f>IF($A4118="","",IFERROR(INDEX(부서매핑!$C$5:$C$504,MATCH($G4118&amp;"",부서매핑!$A$5:$A$504,0)),"미매핑"))</f>
        <v/>
      </c>
      <c r="O4118" s="9">
        <f>IF($A4118="","",N4118&amp;"|"&amp;$F4118)</f>
        <v/>
      </c>
      <c r="P4118" s="94">
        <f>IF($A4118="",0,$H4118*설정!$C$23)</f>
        <v/>
      </c>
      <c r="Q4118" s="64">
        <f>IF($A4118="","",IF(O4118&lt;&gt;원인분석!$C$9,"",IF(AND(M4118&gt;=원인분석!$C$10,M4118&lt;=원인분석!$C$11),"당기",IF(AND(M4118&gt;=원인분석!$C$12,M4118&lt;=원인분석!$C$13),"비교",""))))</f>
        <v/>
      </c>
      <c r="R4118" s="9">
        <f>IF(Q4118="","",$K4118&amp;"")</f>
        <v/>
      </c>
      <c r="S4118" s="9">
        <f>IF(Q4118="","",IF(MATCH(R4118,$R$5:$R$100000,0)=ROW()-4,ROW(),""))</f>
        <v/>
      </c>
      <c r="T4118" s="9">
        <f>IF(Q4118="당기",ABS(P4118)+ROW()/1000000000,"")</f>
        <v/>
      </c>
      <c r="U4118" s="9">
        <f>IF(Q4118="비교",ABS(P4118)+ROW()/1000000000,"")</f>
        <v/>
      </c>
      <c r="V4118" s="64">
        <f>IF($A4118="","",IF(COUNTIF(변동분석!$E$7:$E$506,O4118)&gt;0,"Y","N"))</f>
        <v/>
      </c>
      <c r="W4118" s="64">
        <f>IF($A4118="","",IFERROR(INDEX(계정매핑!$D$5:$D$504,MATCH($F4118&amp;"",계정매핑!$A$5:$A$504,0)),"미매핑"))</f>
        <v/>
      </c>
      <c r="X4118" s="9">
        <f>IF($A4118="","",$F4118&amp;"")</f>
        <v/>
      </c>
      <c r="Y4118" s="94">
        <f>IF($A4118="",0,IF(AE4118="직접",IF(AF4118="비귀속",$P4118,0),$P4118*(1-AG4118)*IFERROR(INDEX(계정대체기준!$F$20:$F$49,MATCH($N4118,계정대체기준!$A$20:$A$49,0)),1)))</f>
        <v/>
      </c>
      <c r="Z4118" s="94">
        <f>IF($A4118="",0,IF(AE4118="직접",IF(AF4118="신계약비",$P4118,0),$P4118*(1-AG4118)*IFERROR(INDEX(계정대체기준!$C$20:$C$49,MATCH($N4118,계정대체기준!$A$20:$A$49,0)),0)))</f>
        <v/>
      </c>
      <c r="AA4118" s="94">
        <f>IF($A4118="",0,IF(AE4118="직접",IF(OR(AF4118="유지비",AF4118="손해조사비"),$P4118,0),$P4118*(1-AG4118)*IFERROR(INDEX(계정대체기준!$D$20:$D$49,MATCH($N4118,계정대체기준!$A$20:$A$49,0)),0)))</f>
        <v/>
      </c>
      <c r="AB4118" s="94">
        <f>IF($A4118="",0,IF(AE4118="직접",IF(AF4118="수금비",$P4118,0),$P4118*(1-AG4118)*IFERROR(INDEX(계정대체기준!$E$20:$E$49,MATCH($N4118,계정대체기준!$A$20:$A$49,0)),0)))</f>
        <v/>
      </c>
      <c r="AC4118" s="9">
        <f>IF(AND($A4118&lt;&gt;"",M4118=설정!$C$20,Z4118&gt;0),Z4118+ROW()/1000000000,"")</f>
        <v/>
      </c>
      <c r="AD4118" s="94">
        <f>IF($A4118="",0,$P4118*AG4118)</f>
        <v/>
      </c>
      <c r="AE4118" s="64">
        <f>IF($A4118="","",IFERROR(INDEX(계정매핑!$E$5:$E$504,MATCH($F4118&amp;"",계정매핑!$A$5:$A$504,0))&amp;"","공통비"))</f>
        <v/>
      </c>
      <c r="AF4118" s="64">
        <f>IF($A4118="","",IF(AE4118="직접",IFERROR(INDEX(계정매핑!$F$5:$F$504,MATCH($F4118&amp;"",계정매핑!$A$5:$A$504,0))&amp;"","비귀속"),""))</f>
        <v/>
      </c>
      <c r="AG4118" s="96">
        <f>IF($A4118="",0,IF(AND(AE4118&lt;&gt;"직접",IFERROR(INDEX(계정매핑!$G$5:$G$504,MATCH($F4118&amp;"",계정매핑!$A$5:$A$504,0))&amp;"","")="유지비",COUNTIF(계정대체기준!$A$6:$A$15,$N4118)&gt;0),IFERROR(INDEX(계정대체기준!$E$6:$E$15,MATCH(VALUE($A4118&amp;""),계정대체기준!$D$6:$D$15,0)),0),0))</f>
        <v/>
      </c>
      <c r="AH4118" s="64">
        <f>IF($A4118="","",IF(AD4118=0,"",IF(OR(COUNTIF(계정대체기준!$A$77:$A$86,$N4118)&gt;0,ISNUMBER(MATCH($X4118,계정대체기준!$D$77:$D$86,0)),ISNUMBER(MATCH($F4118,계정대체기준!$D$77:$D$86,0))),"Y","N")))</f>
        <v/>
      </c>
    </row>
    <row r="4119">
      <c r="A4119" s="92" t="n">
        <v>2026</v>
      </c>
      <c r="B4119" s="92" t="n">
        <v>7</v>
      </c>
      <c r="C4119" s="92" t="inlineStr">
        <is>
          <t>5100001397</t>
        </is>
      </c>
      <c r="D4119" s="95" t="n">
        <v>46208</v>
      </c>
      <c r="E4119" s="92" t="inlineStr">
        <is>
          <t>KR</t>
        </is>
      </c>
      <c r="F4119" s="92" t="n">
        <v>62501000</v>
      </c>
      <c r="G4119" s="92" t="n">
        <v>1601</v>
      </c>
      <c r="H4119" s="93" t="n">
        <v>335000</v>
      </c>
      <c r="I4119" s="92" t="inlineStr">
        <is>
          <t>7월 회의 다과 - T케이터링</t>
        </is>
      </c>
      <c r="J4119" s="92" t="inlineStr">
        <is>
          <t>V10005</t>
        </is>
      </c>
      <c r="K4119" s="92" t="inlineStr">
        <is>
          <t>T케이터링</t>
        </is>
      </c>
      <c r="M4119" s="9">
        <f>IF($A4119="","",VALUE($A4119&amp;"")*12+VALUE($B4119&amp;""))</f>
        <v/>
      </c>
      <c r="N4119" s="64">
        <f>IF($A4119="","",IFERROR(INDEX(부서매핑!$C$5:$C$504,MATCH($G4119&amp;"",부서매핑!$A$5:$A$504,0)),"미매핑"))</f>
        <v/>
      </c>
      <c r="O4119" s="9">
        <f>IF($A4119="","",N4119&amp;"|"&amp;$F4119)</f>
        <v/>
      </c>
      <c r="P4119" s="94">
        <f>IF($A4119="",0,$H4119*설정!$C$23)</f>
        <v/>
      </c>
      <c r="Q4119" s="64">
        <f>IF($A4119="","",IF(O4119&lt;&gt;원인분석!$C$9,"",IF(AND(M4119&gt;=원인분석!$C$10,M4119&lt;=원인분석!$C$11),"당기",IF(AND(M4119&gt;=원인분석!$C$12,M4119&lt;=원인분석!$C$13),"비교",""))))</f>
        <v/>
      </c>
      <c r="R4119" s="9">
        <f>IF(Q4119="","",$K4119&amp;"")</f>
        <v/>
      </c>
      <c r="S4119" s="9">
        <f>IF(Q4119="","",IF(MATCH(R4119,$R$5:$R$100000,0)=ROW()-4,ROW(),""))</f>
        <v/>
      </c>
      <c r="T4119" s="9">
        <f>IF(Q4119="당기",ABS(P4119)+ROW()/1000000000,"")</f>
        <v/>
      </c>
      <c r="U4119" s="9">
        <f>IF(Q4119="비교",ABS(P4119)+ROW()/1000000000,"")</f>
        <v/>
      </c>
      <c r="V4119" s="64">
        <f>IF($A4119="","",IF(COUNTIF(변동분석!$E$7:$E$506,O4119)&gt;0,"Y","N"))</f>
        <v/>
      </c>
      <c r="W4119" s="64">
        <f>IF($A4119="","",IFERROR(INDEX(계정매핑!$D$5:$D$504,MATCH($F4119&amp;"",계정매핑!$A$5:$A$504,0)),"미매핑"))</f>
        <v/>
      </c>
      <c r="X4119" s="9">
        <f>IF($A4119="","",$F4119&amp;"")</f>
        <v/>
      </c>
      <c r="Y4119" s="94">
        <f>IF($A4119="",0,IF(AE4119="직접",IF(AF4119="비귀속",$P4119,0),$P4119*(1-AG4119)*IFERROR(INDEX(계정대체기준!$F$20:$F$49,MATCH($N4119,계정대체기준!$A$20:$A$49,0)),1)))</f>
        <v/>
      </c>
      <c r="Z4119" s="94">
        <f>IF($A4119="",0,IF(AE4119="직접",IF(AF4119="신계약비",$P4119,0),$P4119*(1-AG4119)*IFERROR(INDEX(계정대체기준!$C$20:$C$49,MATCH($N4119,계정대체기준!$A$20:$A$49,0)),0)))</f>
        <v/>
      </c>
      <c r="AA4119" s="94">
        <f>IF($A4119="",0,IF(AE4119="직접",IF(OR(AF4119="유지비",AF4119="손해조사비"),$P4119,0),$P4119*(1-AG4119)*IFERROR(INDEX(계정대체기준!$D$20:$D$49,MATCH($N4119,계정대체기준!$A$20:$A$49,0)),0)))</f>
        <v/>
      </c>
      <c r="AB4119" s="94">
        <f>IF($A4119="",0,IF(AE4119="직접",IF(AF4119="수금비",$P4119,0),$P4119*(1-AG4119)*IFERROR(INDEX(계정대체기준!$E$20:$E$49,MATCH($N4119,계정대체기준!$A$20:$A$49,0)),0)))</f>
        <v/>
      </c>
      <c r="AC4119" s="9">
        <f>IF(AND($A4119&lt;&gt;"",M4119=설정!$C$20,Z4119&gt;0),Z4119+ROW()/1000000000,"")</f>
        <v/>
      </c>
      <c r="AD4119" s="94">
        <f>IF($A4119="",0,$P4119*AG4119)</f>
        <v/>
      </c>
      <c r="AE4119" s="64">
        <f>IF($A4119="","",IFERROR(INDEX(계정매핑!$E$5:$E$504,MATCH($F4119&amp;"",계정매핑!$A$5:$A$504,0))&amp;"","공통비"))</f>
        <v/>
      </c>
      <c r="AF4119" s="64">
        <f>IF($A4119="","",IF(AE4119="직접",IFERROR(INDEX(계정매핑!$F$5:$F$504,MATCH($F4119&amp;"",계정매핑!$A$5:$A$504,0))&amp;"","비귀속"),""))</f>
        <v/>
      </c>
      <c r="AG4119" s="96">
        <f>IF($A4119="",0,IF(AND(AE4119&lt;&gt;"직접",IFERROR(INDEX(계정매핑!$G$5:$G$504,MATCH($F4119&amp;"",계정매핑!$A$5:$A$504,0))&amp;"","")="유지비",COUNTIF(계정대체기준!$A$6:$A$15,$N4119)&gt;0),IFERROR(INDEX(계정대체기준!$E$6:$E$15,MATCH(VALUE($A4119&amp;""),계정대체기준!$D$6:$D$15,0)),0),0))</f>
        <v/>
      </c>
      <c r="AH4119" s="64">
        <f>IF($A4119="","",IF(AD4119=0,"",IF(OR(COUNTIF(계정대체기준!$A$77:$A$86,$N4119)&gt;0,ISNUMBER(MATCH($X4119,계정대체기준!$D$77:$D$86,0)),ISNUMBER(MATCH($F4119,계정대체기준!$D$77:$D$86,0))),"Y","N")))</f>
        <v/>
      </c>
    </row>
    <row r="4120">
      <c r="A4120" s="92" t="n">
        <v>2026</v>
      </c>
      <c r="B4120" s="92" t="n">
        <v>7</v>
      </c>
      <c r="C4120" s="92" t="inlineStr">
        <is>
          <t>5100001398</t>
        </is>
      </c>
      <c r="D4120" s="95" t="n">
        <v>46208</v>
      </c>
      <c r="E4120" s="92" t="inlineStr">
        <is>
          <t>KR</t>
        </is>
      </c>
      <c r="F4120" s="92" t="n">
        <v>62701000</v>
      </c>
      <c r="G4120" s="92" t="n">
        <v>1501</v>
      </c>
      <c r="H4120" s="93" t="n">
        <v>37417000</v>
      </c>
      <c r="I4120" s="92" t="inlineStr">
        <is>
          <t>7월 광고 집행 - E미디어</t>
        </is>
      </c>
      <c r="J4120" s="92" t="inlineStr">
        <is>
          <t>V10033</t>
        </is>
      </c>
      <c r="K4120" s="92" t="inlineStr">
        <is>
          <t>E미디어</t>
        </is>
      </c>
      <c r="M4120" s="9">
        <f>IF($A4120="","",VALUE($A4120&amp;"")*12+VALUE($B4120&amp;""))</f>
        <v/>
      </c>
      <c r="N4120" s="64">
        <f>IF($A4120="","",IFERROR(INDEX(부서매핑!$C$5:$C$504,MATCH($G4120&amp;"",부서매핑!$A$5:$A$504,0)),"미매핑"))</f>
        <v/>
      </c>
      <c r="O4120" s="9">
        <f>IF($A4120="","",N4120&amp;"|"&amp;$F4120)</f>
        <v/>
      </c>
      <c r="P4120" s="94">
        <f>IF($A4120="",0,$H4120*설정!$C$23)</f>
        <v/>
      </c>
      <c r="Q4120" s="64">
        <f>IF($A4120="","",IF(O4120&lt;&gt;원인분석!$C$9,"",IF(AND(M4120&gt;=원인분석!$C$10,M4120&lt;=원인분석!$C$11),"당기",IF(AND(M4120&gt;=원인분석!$C$12,M4120&lt;=원인분석!$C$13),"비교",""))))</f>
        <v/>
      </c>
      <c r="R4120" s="9">
        <f>IF(Q4120="","",$K4120&amp;"")</f>
        <v/>
      </c>
      <c r="S4120" s="9">
        <f>IF(Q4120="","",IF(MATCH(R4120,$R$5:$R$100000,0)=ROW()-4,ROW(),""))</f>
        <v/>
      </c>
      <c r="T4120" s="9">
        <f>IF(Q4120="당기",ABS(P4120)+ROW()/1000000000,"")</f>
        <v/>
      </c>
      <c r="U4120" s="9">
        <f>IF(Q4120="비교",ABS(P4120)+ROW()/1000000000,"")</f>
        <v/>
      </c>
      <c r="V4120" s="64">
        <f>IF($A4120="","",IF(COUNTIF(변동분석!$E$7:$E$506,O4120)&gt;0,"Y","N"))</f>
        <v/>
      </c>
      <c r="W4120" s="64">
        <f>IF($A4120="","",IFERROR(INDEX(계정매핑!$D$5:$D$504,MATCH($F4120&amp;"",계정매핑!$A$5:$A$504,0)),"미매핑"))</f>
        <v/>
      </c>
      <c r="X4120" s="9">
        <f>IF($A4120="","",$F4120&amp;"")</f>
        <v/>
      </c>
      <c r="Y4120" s="94">
        <f>IF($A4120="",0,IF(AE4120="직접",IF(AF4120="비귀속",$P4120,0),$P4120*(1-AG4120)*IFERROR(INDEX(계정대체기준!$F$20:$F$49,MATCH($N4120,계정대체기준!$A$20:$A$49,0)),1)))</f>
        <v/>
      </c>
      <c r="Z4120" s="94">
        <f>IF($A4120="",0,IF(AE4120="직접",IF(AF4120="신계약비",$P4120,0),$P4120*(1-AG4120)*IFERROR(INDEX(계정대체기준!$C$20:$C$49,MATCH($N4120,계정대체기준!$A$20:$A$49,0)),0)))</f>
        <v/>
      </c>
      <c r="AA4120" s="94">
        <f>IF($A4120="",0,IF(AE4120="직접",IF(OR(AF4120="유지비",AF4120="손해조사비"),$P4120,0),$P4120*(1-AG4120)*IFERROR(INDEX(계정대체기준!$D$20:$D$49,MATCH($N4120,계정대체기준!$A$20:$A$49,0)),0)))</f>
        <v/>
      </c>
      <c r="AB4120" s="94">
        <f>IF($A4120="",0,IF(AE4120="직접",IF(AF4120="수금비",$P4120,0),$P4120*(1-AG4120)*IFERROR(INDEX(계정대체기준!$E$20:$E$49,MATCH($N4120,계정대체기준!$A$20:$A$49,0)),0)))</f>
        <v/>
      </c>
      <c r="AC4120" s="9">
        <f>IF(AND($A4120&lt;&gt;"",M4120=설정!$C$20,Z4120&gt;0),Z4120+ROW()/1000000000,"")</f>
        <v/>
      </c>
      <c r="AD4120" s="94">
        <f>IF($A4120="",0,$P4120*AG4120)</f>
        <v/>
      </c>
      <c r="AE4120" s="64">
        <f>IF($A4120="","",IFERROR(INDEX(계정매핑!$E$5:$E$504,MATCH($F4120&amp;"",계정매핑!$A$5:$A$504,0))&amp;"","공통비"))</f>
        <v/>
      </c>
      <c r="AF4120" s="64">
        <f>IF($A4120="","",IF(AE4120="직접",IFERROR(INDEX(계정매핑!$F$5:$F$504,MATCH($F4120&amp;"",계정매핑!$A$5:$A$504,0))&amp;"","비귀속"),""))</f>
        <v/>
      </c>
      <c r="AG4120" s="96">
        <f>IF($A4120="",0,IF(AND(AE4120&lt;&gt;"직접",IFERROR(INDEX(계정매핑!$G$5:$G$504,MATCH($F4120&amp;"",계정매핑!$A$5:$A$504,0))&amp;"","")="유지비",COUNTIF(계정대체기준!$A$6:$A$15,$N4120)&gt;0),IFERROR(INDEX(계정대체기준!$E$6:$E$15,MATCH(VALUE($A4120&amp;""),계정대체기준!$D$6:$D$15,0)),0),0))</f>
        <v/>
      </c>
      <c r="AH4120" s="64">
        <f>IF($A4120="","",IF(AD4120=0,"",IF(OR(COUNTIF(계정대체기준!$A$77:$A$86,$N4120)&gt;0,ISNUMBER(MATCH($X4120,계정대체기준!$D$77:$D$86,0)),ISNUMBER(MATCH($F4120,계정대체기준!$D$77:$D$86,0))),"Y","N")))</f>
        <v/>
      </c>
    </row>
    <row r="4121">
      <c r="A4121" s="92" t="n">
        <v>2026</v>
      </c>
      <c r="B4121" s="92" t="n">
        <v>7</v>
      </c>
      <c r="C4121" s="92" t="inlineStr">
        <is>
          <t>5100001399</t>
        </is>
      </c>
      <c r="D4121" s="95" t="n">
        <v>46208</v>
      </c>
      <c r="E4121" s="92" t="inlineStr">
        <is>
          <t>KR</t>
        </is>
      </c>
      <c r="F4121" s="92" t="n">
        <v>62801000</v>
      </c>
      <c r="G4121" s="92" t="n">
        <v>1301</v>
      </c>
      <c r="H4121" s="93" t="n">
        <v>4832000</v>
      </c>
      <c r="I4121" s="92" t="inlineStr">
        <is>
          <t>7월 사내교육 - (사내강사료)</t>
        </is>
      </c>
      <c r="J4121" s="92" t="inlineStr">
        <is>
          <t>V10024</t>
        </is>
      </c>
      <c r="K4121" s="92" t="inlineStr">
        <is>
          <t>(사내강사료)</t>
        </is>
      </c>
      <c r="M4121" s="9">
        <f>IF($A4121="","",VALUE($A4121&amp;"")*12+VALUE($B4121&amp;""))</f>
        <v/>
      </c>
      <c r="N4121" s="64">
        <f>IF($A4121="","",IFERROR(INDEX(부서매핑!$C$5:$C$504,MATCH($G4121&amp;"",부서매핑!$A$5:$A$504,0)),"미매핑"))</f>
        <v/>
      </c>
      <c r="O4121" s="9">
        <f>IF($A4121="","",N4121&amp;"|"&amp;$F4121)</f>
        <v/>
      </c>
      <c r="P4121" s="94">
        <f>IF($A4121="",0,$H4121*설정!$C$23)</f>
        <v/>
      </c>
      <c r="Q4121" s="64">
        <f>IF($A4121="","",IF(O4121&lt;&gt;원인분석!$C$9,"",IF(AND(M4121&gt;=원인분석!$C$10,M4121&lt;=원인분석!$C$11),"당기",IF(AND(M4121&gt;=원인분석!$C$12,M4121&lt;=원인분석!$C$13),"비교",""))))</f>
        <v/>
      </c>
      <c r="R4121" s="9">
        <f>IF(Q4121="","",$K4121&amp;"")</f>
        <v/>
      </c>
      <c r="S4121" s="9">
        <f>IF(Q4121="","",IF(MATCH(R4121,$R$5:$R$100000,0)=ROW()-4,ROW(),""))</f>
        <v/>
      </c>
      <c r="T4121" s="9">
        <f>IF(Q4121="당기",ABS(P4121)+ROW()/1000000000,"")</f>
        <v/>
      </c>
      <c r="U4121" s="9">
        <f>IF(Q4121="비교",ABS(P4121)+ROW()/1000000000,"")</f>
        <v/>
      </c>
      <c r="V4121" s="64">
        <f>IF($A4121="","",IF(COUNTIF(변동분석!$E$7:$E$506,O4121)&gt;0,"Y","N"))</f>
        <v/>
      </c>
      <c r="W4121" s="64">
        <f>IF($A4121="","",IFERROR(INDEX(계정매핑!$D$5:$D$504,MATCH($F4121&amp;"",계정매핑!$A$5:$A$504,0)),"미매핑"))</f>
        <v/>
      </c>
      <c r="X4121" s="9">
        <f>IF($A4121="","",$F4121&amp;"")</f>
        <v/>
      </c>
      <c r="Y4121" s="94">
        <f>IF($A4121="",0,IF(AE4121="직접",IF(AF4121="비귀속",$P4121,0),$P4121*(1-AG4121)*IFERROR(INDEX(계정대체기준!$F$20:$F$49,MATCH($N4121,계정대체기준!$A$20:$A$49,0)),1)))</f>
        <v/>
      </c>
      <c r="Z4121" s="94">
        <f>IF($A4121="",0,IF(AE4121="직접",IF(AF4121="신계약비",$P4121,0),$P4121*(1-AG4121)*IFERROR(INDEX(계정대체기준!$C$20:$C$49,MATCH($N4121,계정대체기준!$A$20:$A$49,0)),0)))</f>
        <v/>
      </c>
      <c r="AA4121" s="94">
        <f>IF($A4121="",0,IF(AE4121="직접",IF(OR(AF4121="유지비",AF4121="손해조사비"),$P4121,0),$P4121*(1-AG4121)*IFERROR(INDEX(계정대체기준!$D$20:$D$49,MATCH($N4121,계정대체기준!$A$20:$A$49,0)),0)))</f>
        <v/>
      </c>
      <c r="AB4121" s="94">
        <f>IF($A4121="",0,IF(AE4121="직접",IF(AF4121="수금비",$P4121,0),$P4121*(1-AG4121)*IFERROR(INDEX(계정대체기준!$E$20:$E$49,MATCH($N4121,계정대체기준!$A$20:$A$49,0)),0)))</f>
        <v/>
      </c>
      <c r="AC4121" s="9">
        <f>IF(AND($A4121&lt;&gt;"",M4121=설정!$C$20,Z4121&gt;0),Z4121+ROW()/1000000000,"")</f>
        <v/>
      </c>
      <c r="AD4121" s="94">
        <f>IF($A4121="",0,$P4121*AG4121)</f>
        <v/>
      </c>
      <c r="AE4121" s="64">
        <f>IF($A4121="","",IFERROR(INDEX(계정매핑!$E$5:$E$504,MATCH($F4121&amp;"",계정매핑!$A$5:$A$504,0))&amp;"","공통비"))</f>
        <v/>
      </c>
      <c r="AF4121" s="64">
        <f>IF($A4121="","",IF(AE4121="직접",IFERROR(INDEX(계정매핑!$F$5:$F$504,MATCH($F4121&amp;"",계정매핑!$A$5:$A$504,0))&amp;"","비귀속"),""))</f>
        <v/>
      </c>
      <c r="AG4121" s="96">
        <f>IF($A4121="",0,IF(AND(AE4121&lt;&gt;"직접",IFERROR(INDEX(계정매핑!$G$5:$G$504,MATCH($F4121&amp;"",계정매핑!$A$5:$A$504,0))&amp;"","")="유지비",COUNTIF(계정대체기준!$A$6:$A$15,$N4121)&gt;0),IFERROR(INDEX(계정대체기준!$E$6:$E$15,MATCH(VALUE($A4121&amp;""),계정대체기준!$D$6:$D$15,0)),0),0))</f>
        <v/>
      </c>
      <c r="AH4121" s="64">
        <f>IF($A4121="","",IF(AD4121=0,"",IF(OR(COUNTIF(계정대체기준!$A$77:$A$86,$N4121)&gt;0,ISNUMBER(MATCH($X4121,계정대체기준!$D$77:$D$86,0)),ISNUMBER(MATCH($F4121,계정대체기준!$D$77:$D$86,0))),"Y","N")))</f>
        <v/>
      </c>
    </row>
    <row r="4122">
      <c r="A4122" s="92" t="n">
        <v>2026</v>
      </c>
      <c r="B4122" s="92" t="n">
        <v>7</v>
      </c>
      <c r="C4122" s="92" t="inlineStr">
        <is>
          <t>5100001400</t>
        </is>
      </c>
      <c r="D4122" s="95" t="n">
        <v>46208</v>
      </c>
      <c r="E4122" s="92" t="inlineStr">
        <is>
          <t>KR</t>
        </is>
      </c>
      <c r="F4122" s="92" t="n">
        <v>62901000</v>
      </c>
      <c r="G4122" s="92" t="n">
        <v>1101</v>
      </c>
      <c r="H4122" s="93" t="n">
        <v>4465000</v>
      </c>
      <c r="I4122" s="92" t="inlineStr">
        <is>
          <t>7월 자문 수수료 - K회계법인</t>
        </is>
      </c>
      <c r="J4122" s="92" t="inlineStr">
        <is>
          <t>V10011</t>
        </is>
      </c>
      <c r="K4122" s="92" t="inlineStr">
        <is>
          <t>K회계법인</t>
        </is>
      </c>
      <c r="M4122" s="9">
        <f>IF($A4122="","",VALUE($A4122&amp;"")*12+VALUE($B4122&amp;""))</f>
        <v/>
      </c>
      <c r="N4122" s="64">
        <f>IF($A4122="","",IFERROR(INDEX(부서매핑!$C$5:$C$504,MATCH($G4122&amp;"",부서매핑!$A$5:$A$504,0)),"미매핑"))</f>
        <v/>
      </c>
      <c r="O4122" s="9">
        <f>IF($A4122="","",N4122&amp;"|"&amp;$F4122)</f>
        <v/>
      </c>
      <c r="P4122" s="94">
        <f>IF($A4122="",0,$H4122*설정!$C$23)</f>
        <v/>
      </c>
      <c r="Q4122" s="64">
        <f>IF($A4122="","",IF(O4122&lt;&gt;원인분석!$C$9,"",IF(AND(M4122&gt;=원인분석!$C$10,M4122&lt;=원인분석!$C$11),"당기",IF(AND(M4122&gt;=원인분석!$C$12,M4122&lt;=원인분석!$C$13),"비교",""))))</f>
        <v/>
      </c>
      <c r="R4122" s="9">
        <f>IF(Q4122="","",$K4122&amp;"")</f>
        <v/>
      </c>
      <c r="S4122" s="9">
        <f>IF(Q4122="","",IF(MATCH(R4122,$R$5:$R$100000,0)=ROW()-4,ROW(),""))</f>
        <v/>
      </c>
      <c r="T4122" s="9">
        <f>IF(Q4122="당기",ABS(P4122)+ROW()/1000000000,"")</f>
        <v/>
      </c>
      <c r="U4122" s="9">
        <f>IF(Q4122="비교",ABS(P4122)+ROW()/1000000000,"")</f>
        <v/>
      </c>
      <c r="V4122" s="64">
        <f>IF($A4122="","",IF(COUNTIF(변동분석!$E$7:$E$506,O4122)&gt;0,"Y","N"))</f>
        <v/>
      </c>
      <c r="W4122" s="64">
        <f>IF($A4122="","",IFERROR(INDEX(계정매핑!$D$5:$D$504,MATCH($F4122&amp;"",계정매핑!$A$5:$A$504,0)),"미매핑"))</f>
        <v/>
      </c>
      <c r="X4122" s="9">
        <f>IF($A4122="","",$F4122&amp;"")</f>
        <v/>
      </c>
      <c r="Y4122" s="94">
        <f>IF($A4122="",0,IF(AE4122="직접",IF(AF4122="비귀속",$P4122,0),$P4122*(1-AG4122)*IFERROR(INDEX(계정대체기준!$F$20:$F$49,MATCH($N4122,계정대체기준!$A$20:$A$49,0)),1)))</f>
        <v/>
      </c>
      <c r="Z4122" s="94">
        <f>IF($A4122="",0,IF(AE4122="직접",IF(AF4122="신계약비",$P4122,0),$P4122*(1-AG4122)*IFERROR(INDEX(계정대체기준!$C$20:$C$49,MATCH($N4122,계정대체기준!$A$20:$A$49,0)),0)))</f>
        <v/>
      </c>
      <c r="AA4122" s="94">
        <f>IF($A4122="",0,IF(AE4122="직접",IF(OR(AF4122="유지비",AF4122="손해조사비"),$P4122,0),$P4122*(1-AG4122)*IFERROR(INDEX(계정대체기준!$D$20:$D$49,MATCH($N4122,계정대체기준!$A$20:$A$49,0)),0)))</f>
        <v/>
      </c>
      <c r="AB4122" s="94">
        <f>IF($A4122="",0,IF(AE4122="직접",IF(AF4122="수금비",$P4122,0),$P4122*(1-AG4122)*IFERROR(INDEX(계정대체기준!$E$20:$E$49,MATCH($N4122,계정대체기준!$A$20:$A$49,0)),0)))</f>
        <v/>
      </c>
      <c r="AC4122" s="9">
        <f>IF(AND($A4122&lt;&gt;"",M4122=설정!$C$20,Z4122&gt;0),Z4122+ROW()/1000000000,"")</f>
        <v/>
      </c>
      <c r="AD4122" s="94">
        <f>IF($A4122="",0,$P4122*AG4122)</f>
        <v/>
      </c>
      <c r="AE4122" s="64">
        <f>IF($A4122="","",IFERROR(INDEX(계정매핑!$E$5:$E$504,MATCH($F4122&amp;"",계정매핑!$A$5:$A$504,0))&amp;"","공통비"))</f>
        <v/>
      </c>
      <c r="AF4122" s="64">
        <f>IF($A4122="","",IF(AE4122="직접",IFERROR(INDEX(계정매핑!$F$5:$F$504,MATCH($F4122&amp;"",계정매핑!$A$5:$A$504,0))&amp;"","비귀속"),""))</f>
        <v/>
      </c>
      <c r="AG4122" s="96">
        <f>IF($A4122="",0,IF(AND(AE4122&lt;&gt;"직접",IFERROR(INDEX(계정매핑!$G$5:$G$504,MATCH($F4122&amp;"",계정매핑!$A$5:$A$504,0))&amp;"","")="유지비",COUNTIF(계정대체기준!$A$6:$A$15,$N4122)&gt;0),IFERROR(INDEX(계정대체기준!$E$6:$E$15,MATCH(VALUE($A4122&amp;""),계정대체기준!$D$6:$D$15,0)),0),0))</f>
        <v/>
      </c>
      <c r="AH4122" s="64">
        <f>IF($A4122="","",IF(AD4122=0,"",IF(OR(COUNTIF(계정대체기준!$A$77:$A$86,$N4122)&gt;0,ISNUMBER(MATCH($X4122,계정대체기준!$D$77:$D$86,0)),ISNUMBER(MATCH($F4122,계정대체기준!$D$77:$D$86,0))),"Y","N")))</f>
        <v/>
      </c>
    </row>
    <row r="4123">
      <c r="A4123" s="92" t="n">
        <v>2026</v>
      </c>
      <c r="B4123" s="92" t="n">
        <v>7</v>
      </c>
      <c r="C4123" s="92" t="inlineStr">
        <is>
          <t>5100001401</t>
        </is>
      </c>
      <c r="D4123" s="95" t="n">
        <v>46209</v>
      </c>
      <c r="E4123" s="92" t="inlineStr">
        <is>
          <t>KR</t>
        </is>
      </c>
      <c r="F4123" s="92" t="n">
        <v>62201000</v>
      </c>
      <c r="G4123" s="92" t="n">
        <v>1401</v>
      </c>
      <c r="H4123" s="93" t="n">
        <v>210000</v>
      </c>
      <c r="I4123" s="92" t="inlineStr">
        <is>
          <t>7월 통신요금 - P통신</t>
        </is>
      </c>
      <c r="J4123" s="92" t="inlineStr">
        <is>
          <t>V10014</t>
        </is>
      </c>
      <c r="K4123" s="92" t="inlineStr">
        <is>
          <t>P통신</t>
        </is>
      </c>
      <c r="M4123" s="9">
        <f>IF($A4123="","",VALUE($A4123&amp;"")*12+VALUE($B4123&amp;""))</f>
        <v/>
      </c>
      <c r="N4123" s="64">
        <f>IF($A4123="","",IFERROR(INDEX(부서매핑!$C$5:$C$504,MATCH($G4123&amp;"",부서매핑!$A$5:$A$504,0)),"미매핑"))</f>
        <v/>
      </c>
      <c r="O4123" s="9">
        <f>IF($A4123="","",N4123&amp;"|"&amp;$F4123)</f>
        <v/>
      </c>
      <c r="P4123" s="94">
        <f>IF($A4123="",0,$H4123*설정!$C$23)</f>
        <v/>
      </c>
      <c r="Q4123" s="64">
        <f>IF($A4123="","",IF(O4123&lt;&gt;원인분석!$C$9,"",IF(AND(M4123&gt;=원인분석!$C$10,M4123&lt;=원인분석!$C$11),"당기",IF(AND(M4123&gt;=원인분석!$C$12,M4123&lt;=원인분석!$C$13),"비교",""))))</f>
        <v/>
      </c>
      <c r="R4123" s="9">
        <f>IF(Q4123="","",$K4123&amp;"")</f>
        <v/>
      </c>
      <c r="S4123" s="9">
        <f>IF(Q4123="","",IF(MATCH(R4123,$R$5:$R$100000,0)=ROW()-4,ROW(),""))</f>
        <v/>
      </c>
      <c r="T4123" s="9">
        <f>IF(Q4123="당기",ABS(P4123)+ROW()/1000000000,"")</f>
        <v/>
      </c>
      <c r="U4123" s="9">
        <f>IF(Q4123="비교",ABS(P4123)+ROW()/1000000000,"")</f>
        <v/>
      </c>
      <c r="V4123" s="64">
        <f>IF($A4123="","",IF(COUNTIF(변동분석!$E$7:$E$506,O4123)&gt;0,"Y","N"))</f>
        <v/>
      </c>
      <c r="W4123" s="64">
        <f>IF($A4123="","",IFERROR(INDEX(계정매핑!$D$5:$D$504,MATCH($F4123&amp;"",계정매핑!$A$5:$A$504,0)),"미매핑"))</f>
        <v/>
      </c>
      <c r="X4123" s="9">
        <f>IF($A4123="","",$F4123&amp;"")</f>
        <v/>
      </c>
      <c r="Y4123" s="94">
        <f>IF($A4123="",0,IF(AE4123="직접",IF(AF4123="비귀속",$P4123,0),$P4123*(1-AG4123)*IFERROR(INDEX(계정대체기준!$F$20:$F$49,MATCH($N4123,계정대체기준!$A$20:$A$49,0)),1)))</f>
        <v/>
      </c>
      <c r="Z4123" s="94">
        <f>IF($A4123="",0,IF(AE4123="직접",IF(AF4123="신계약비",$P4123,0),$P4123*(1-AG4123)*IFERROR(INDEX(계정대체기준!$C$20:$C$49,MATCH($N4123,계정대체기준!$A$20:$A$49,0)),0)))</f>
        <v/>
      </c>
      <c r="AA4123" s="94">
        <f>IF($A4123="",0,IF(AE4123="직접",IF(OR(AF4123="유지비",AF4123="손해조사비"),$P4123,0),$P4123*(1-AG4123)*IFERROR(INDEX(계정대체기준!$D$20:$D$49,MATCH($N4123,계정대체기준!$A$20:$A$49,0)),0)))</f>
        <v/>
      </c>
      <c r="AB4123" s="94">
        <f>IF($A4123="",0,IF(AE4123="직접",IF(AF4123="수금비",$P4123,0),$P4123*(1-AG4123)*IFERROR(INDEX(계정대체기준!$E$20:$E$49,MATCH($N4123,계정대체기준!$A$20:$A$49,0)),0)))</f>
        <v/>
      </c>
      <c r="AC4123" s="9">
        <f>IF(AND($A4123&lt;&gt;"",M4123=설정!$C$20,Z4123&gt;0),Z4123+ROW()/1000000000,"")</f>
        <v/>
      </c>
      <c r="AD4123" s="94">
        <f>IF($A4123="",0,$P4123*AG4123)</f>
        <v/>
      </c>
      <c r="AE4123" s="64">
        <f>IF($A4123="","",IFERROR(INDEX(계정매핑!$E$5:$E$504,MATCH($F4123&amp;"",계정매핑!$A$5:$A$504,0))&amp;"","공통비"))</f>
        <v/>
      </c>
      <c r="AF4123" s="64">
        <f>IF($A4123="","",IF(AE4123="직접",IFERROR(INDEX(계정매핑!$F$5:$F$504,MATCH($F4123&amp;"",계정매핑!$A$5:$A$504,0))&amp;"","비귀속"),""))</f>
        <v/>
      </c>
      <c r="AG4123" s="96">
        <f>IF($A4123="",0,IF(AND(AE4123&lt;&gt;"직접",IFERROR(INDEX(계정매핑!$G$5:$G$504,MATCH($F4123&amp;"",계정매핑!$A$5:$A$504,0))&amp;"","")="유지비",COUNTIF(계정대체기준!$A$6:$A$15,$N4123)&gt;0),IFERROR(INDEX(계정대체기준!$E$6:$E$15,MATCH(VALUE($A4123&amp;""),계정대체기준!$D$6:$D$15,0)),0),0))</f>
        <v/>
      </c>
      <c r="AH4123" s="64">
        <f>IF($A4123="","",IF(AD4123=0,"",IF(OR(COUNTIF(계정대체기준!$A$77:$A$86,$N4123)&gt;0,ISNUMBER(MATCH($X4123,계정대체기준!$D$77:$D$86,0)),ISNUMBER(MATCH($F4123,계정대체기준!$D$77:$D$86,0))),"Y","N")))</f>
        <v/>
      </c>
    </row>
    <row r="4124">
      <c r="A4124" s="92" t="n">
        <v>2026</v>
      </c>
      <c r="B4124" s="92" t="n">
        <v>7</v>
      </c>
      <c r="C4124" s="92" t="inlineStr">
        <is>
          <t>5100001402</t>
        </is>
      </c>
      <c r="D4124" s="95" t="n">
        <v>46209</v>
      </c>
      <c r="E4124" s="92" t="inlineStr">
        <is>
          <t>KR</t>
        </is>
      </c>
      <c r="F4124" s="92" t="n">
        <v>62901000</v>
      </c>
      <c r="G4124" s="92" t="n">
        <v>1401</v>
      </c>
      <c r="H4124" s="93" t="n">
        <v>6548000</v>
      </c>
      <c r="I4124" s="92" t="inlineStr">
        <is>
          <t>7월 자문 수수료 - K회계법인</t>
        </is>
      </c>
      <c r="J4124" s="92" t="inlineStr">
        <is>
          <t>V10011</t>
        </is>
      </c>
      <c r="K4124" s="92" t="inlineStr">
        <is>
          <t>K회계법인</t>
        </is>
      </c>
      <c r="M4124" s="9">
        <f>IF($A4124="","",VALUE($A4124&amp;"")*12+VALUE($B4124&amp;""))</f>
        <v/>
      </c>
      <c r="N4124" s="64">
        <f>IF($A4124="","",IFERROR(INDEX(부서매핑!$C$5:$C$504,MATCH($G4124&amp;"",부서매핑!$A$5:$A$504,0)),"미매핑"))</f>
        <v/>
      </c>
      <c r="O4124" s="9">
        <f>IF($A4124="","",N4124&amp;"|"&amp;$F4124)</f>
        <v/>
      </c>
      <c r="P4124" s="94">
        <f>IF($A4124="",0,$H4124*설정!$C$23)</f>
        <v/>
      </c>
      <c r="Q4124" s="64">
        <f>IF($A4124="","",IF(O4124&lt;&gt;원인분석!$C$9,"",IF(AND(M4124&gt;=원인분석!$C$10,M4124&lt;=원인분석!$C$11),"당기",IF(AND(M4124&gt;=원인분석!$C$12,M4124&lt;=원인분석!$C$13),"비교",""))))</f>
        <v/>
      </c>
      <c r="R4124" s="9">
        <f>IF(Q4124="","",$K4124&amp;"")</f>
        <v/>
      </c>
      <c r="S4124" s="9">
        <f>IF(Q4124="","",IF(MATCH(R4124,$R$5:$R$100000,0)=ROW()-4,ROW(),""))</f>
        <v/>
      </c>
      <c r="T4124" s="9">
        <f>IF(Q4124="당기",ABS(P4124)+ROW()/1000000000,"")</f>
        <v/>
      </c>
      <c r="U4124" s="9">
        <f>IF(Q4124="비교",ABS(P4124)+ROW()/1000000000,"")</f>
        <v/>
      </c>
      <c r="V4124" s="64">
        <f>IF($A4124="","",IF(COUNTIF(변동분석!$E$7:$E$506,O4124)&gt;0,"Y","N"))</f>
        <v/>
      </c>
      <c r="W4124" s="64">
        <f>IF($A4124="","",IFERROR(INDEX(계정매핑!$D$5:$D$504,MATCH($F4124&amp;"",계정매핑!$A$5:$A$504,0)),"미매핑"))</f>
        <v/>
      </c>
      <c r="X4124" s="9">
        <f>IF($A4124="","",$F4124&amp;"")</f>
        <v/>
      </c>
      <c r="Y4124" s="94">
        <f>IF($A4124="",0,IF(AE4124="직접",IF(AF4124="비귀속",$P4124,0),$P4124*(1-AG4124)*IFERROR(INDEX(계정대체기준!$F$20:$F$49,MATCH($N4124,계정대체기준!$A$20:$A$49,0)),1)))</f>
        <v/>
      </c>
      <c r="Z4124" s="94">
        <f>IF($A4124="",0,IF(AE4124="직접",IF(AF4124="신계약비",$P4124,0),$P4124*(1-AG4124)*IFERROR(INDEX(계정대체기준!$C$20:$C$49,MATCH($N4124,계정대체기준!$A$20:$A$49,0)),0)))</f>
        <v/>
      </c>
      <c r="AA4124" s="94">
        <f>IF($A4124="",0,IF(AE4124="직접",IF(OR(AF4124="유지비",AF4124="손해조사비"),$P4124,0),$P4124*(1-AG4124)*IFERROR(INDEX(계정대체기준!$D$20:$D$49,MATCH($N4124,계정대체기준!$A$20:$A$49,0)),0)))</f>
        <v/>
      </c>
      <c r="AB4124" s="94">
        <f>IF($A4124="",0,IF(AE4124="직접",IF(AF4124="수금비",$P4124,0),$P4124*(1-AG4124)*IFERROR(INDEX(계정대체기준!$E$20:$E$49,MATCH($N4124,계정대체기준!$A$20:$A$49,0)),0)))</f>
        <v/>
      </c>
      <c r="AC4124" s="9">
        <f>IF(AND($A4124&lt;&gt;"",M4124=설정!$C$20,Z4124&gt;0),Z4124+ROW()/1000000000,"")</f>
        <v/>
      </c>
      <c r="AD4124" s="94">
        <f>IF($A4124="",0,$P4124*AG4124)</f>
        <v/>
      </c>
      <c r="AE4124" s="64">
        <f>IF($A4124="","",IFERROR(INDEX(계정매핑!$E$5:$E$504,MATCH($F4124&amp;"",계정매핑!$A$5:$A$504,0))&amp;"","공통비"))</f>
        <v/>
      </c>
      <c r="AF4124" s="64">
        <f>IF($A4124="","",IF(AE4124="직접",IFERROR(INDEX(계정매핑!$F$5:$F$504,MATCH($F4124&amp;"",계정매핑!$A$5:$A$504,0))&amp;"","비귀속"),""))</f>
        <v/>
      </c>
      <c r="AG4124" s="96">
        <f>IF($A4124="",0,IF(AND(AE4124&lt;&gt;"직접",IFERROR(INDEX(계정매핑!$G$5:$G$504,MATCH($F4124&amp;"",계정매핑!$A$5:$A$504,0))&amp;"","")="유지비",COUNTIF(계정대체기준!$A$6:$A$15,$N4124)&gt;0),IFERROR(INDEX(계정대체기준!$E$6:$E$15,MATCH(VALUE($A4124&amp;""),계정대체기준!$D$6:$D$15,0)),0),0))</f>
        <v/>
      </c>
      <c r="AH4124" s="64">
        <f>IF($A4124="","",IF(AD4124=0,"",IF(OR(COUNTIF(계정대체기준!$A$77:$A$86,$N4124)&gt;0,ISNUMBER(MATCH($X4124,계정대체기준!$D$77:$D$86,0)),ISNUMBER(MATCH($F4124,계정대체기준!$D$77:$D$86,0))),"Y","N")))</f>
        <v/>
      </c>
    </row>
    <row r="4125">
      <c r="A4125" s="92" t="n">
        <v>2026</v>
      </c>
      <c r="B4125" s="92" t="n">
        <v>7</v>
      </c>
      <c r="C4125" s="92" t="inlineStr">
        <is>
          <t>5100001403</t>
        </is>
      </c>
      <c r="D4125" s="95" t="n">
        <v>46209</v>
      </c>
      <c r="E4125" s="92" t="inlineStr">
        <is>
          <t>KR</t>
        </is>
      </c>
      <c r="F4125" s="92" t="n">
        <v>62902000</v>
      </c>
      <c r="G4125" s="92" t="n">
        <v>1201</v>
      </c>
      <c r="H4125" s="93" t="n">
        <v>6027000</v>
      </c>
      <c r="I4125" s="92" t="inlineStr">
        <is>
          <t>7월 업무 위탁 수수료 - X서비스</t>
        </is>
      </c>
      <c r="J4125" s="92" t="inlineStr">
        <is>
          <t>V10020</t>
        </is>
      </c>
      <c r="K4125" s="92" t="inlineStr">
        <is>
          <t>X서비스</t>
        </is>
      </c>
      <c r="M4125" s="9">
        <f>IF($A4125="","",VALUE($A4125&amp;"")*12+VALUE($B4125&amp;""))</f>
        <v/>
      </c>
      <c r="N4125" s="64">
        <f>IF($A4125="","",IFERROR(INDEX(부서매핑!$C$5:$C$504,MATCH($G4125&amp;"",부서매핑!$A$5:$A$504,0)),"미매핑"))</f>
        <v/>
      </c>
      <c r="O4125" s="9">
        <f>IF($A4125="","",N4125&amp;"|"&amp;$F4125)</f>
        <v/>
      </c>
      <c r="P4125" s="94">
        <f>IF($A4125="",0,$H4125*설정!$C$23)</f>
        <v/>
      </c>
      <c r="Q4125" s="64">
        <f>IF($A4125="","",IF(O4125&lt;&gt;원인분석!$C$9,"",IF(AND(M4125&gt;=원인분석!$C$10,M4125&lt;=원인분석!$C$11),"당기",IF(AND(M4125&gt;=원인분석!$C$12,M4125&lt;=원인분석!$C$13),"비교",""))))</f>
        <v/>
      </c>
      <c r="R4125" s="9">
        <f>IF(Q4125="","",$K4125&amp;"")</f>
        <v/>
      </c>
      <c r="S4125" s="9">
        <f>IF(Q4125="","",IF(MATCH(R4125,$R$5:$R$100000,0)=ROW()-4,ROW(),""))</f>
        <v/>
      </c>
      <c r="T4125" s="9">
        <f>IF(Q4125="당기",ABS(P4125)+ROW()/1000000000,"")</f>
        <v/>
      </c>
      <c r="U4125" s="9">
        <f>IF(Q4125="비교",ABS(P4125)+ROW()/1000000000,"")</f>
        <v/>
      </c>
      <c r="V4125" s="64">
        <f>IF($A4125="","",IF(COUNTIF(변동분석!$E$7:$E$506,O4125)&gt;0,"Y","N"))</f>
        <v/>
      </c>
      <c r="W4125" s="64">
        <f>IF($A4125="","",IFERROR(INDEX(계정매핑!$D$5:$D$504,MATCH($F4125&amp;"",계정매핑!$A$5:$A$504,0)),"미매핑"))</f>
        <v/>
      </c>
      <c r="X4125" s="9">
        <f>IF($A4125="","",$F4125&amp;"")</f>
        <v/>
      </c>
      <c r="Y4125" s="94">
        <f>IF($A4125="",0,IF(AE4125="직접",IF(AF4125="비귀속",$P4125,0),$P4125*(1-AG4125)*IFERROR(INDEX(계정대체기준!$F$20:$F$49,MATCH($N4125,계정대체기준!$A$20:$A$49,0)),1)))</f>
        <v/>
      </c>
      <c r="Z4125" s="94">
        <f>IF($A4125="",0,IF(AE4125="직접",IF(AF4125="신계약비",$P4125,0),$P4125*(1-AG4125)*IFERROR(INDEX(계정대체기준!$C$20:$C$49,MATCH($N4125,계정대체기준!$A$20:$A$49,0)),0)))</f>
        <v/>
      </c>
      <c r="AA4125" s="94">
        <f>IF($A4125="",0,IF(AE4125="직접",IF(OR(AF4125="유지비",AF4125="손해조사비"),$P4125,0),$P4125*(1-AG4125)*IFERROR(INDEX(계정대체기준!$D$20:$D$49,MATCH($N4125,계정대체기준!$A$20:$A$49,0)),0)))</f>
        <v/>
      </c>
      <c r="AB4125" s="94">
        <f>IF($A4125="",0,IF(AE4125="직접",IF(AF4125="수금비",$P4125,0),$P4125*(1-AG4125)*IFERROR(INDEX(계정대체기준!$E$20:$E$49,MATCH($N4125,계정대체기준!$A$20:$A$49,0)),0)))</f>
        <v/>
      </c>
      <c r="AC4125" s="9">
        <f>IF(AND($A4125&lt;&gt;"",M4125=설정!$C$20,Z4125&gt;0),Z4125+ROW()/1000000000,"")</f>
        <v/>
      </c>
      <c r="AD4125" s="94">
        <f>IF($A4125="",0,$P4125*AG4125)</f>
        <v/>
      </c>
      <c r="AE4125" s="64">
        <f>IF($A4125="","",IFERROR(INDEX(계정매핑!$E$5:$E$504,MATCH($F4125&amp;"",계정매핑!$A$5:$A$504,0))&amp;"","공통비"))</f>
        <v/>
      </c>
      <c r="AF4125" s="64">
        <f>IF($A4125="","",IF(AE4125="직접",IFERROR(INDEX(계정매핑!$F$5:$F$504,MATCH($F4125&amp;"",계정매핑!$A$5:$A$504,0))&amp;"","비귀속"),""))</f>
        <v/>
      </c>
      <c r="AG4125" s="96">
        <f>IF($A4125="",0,IF(AND(AE4125&lt;&gt;"직접",IFERROR(INDEX(계정매핑!$G$5:$G$504,MATCH($F4125&amp;"",계정매핑!$A$5:$A$504,0))&amp;"","")="유지비",COUNTIF(계정대체기준!$A$6:$A$15,$N4125)&gt;0),IFERROR(INDEX(계정대체기준!$E$6:$E$15,MATCH(VALUE($A4125&amp;""),계정대체기준!$D$6:$D$15,0)),0),0))</f>
        <v/>
      </c>
      <c r="AH4125" s="64">
        <f>IF($A4125="","",IF(AD4125=0,"",IF(OR(COUNTIF(계정대체기준!$A$77:$A$86,$N4125)&gt;0,ISNUMBER(MATCH($X4125,계정대체기준!$D$77:$D$86,0)),ISNUMBER(MATCH($F4125,계정대체기준!$D$77:$D$86,0))),"Y","N")))</f>
        <v/>
      </c>
    </row>
    <row r="4126">
      <c r="A4126" s="92" t="n">
        <v>2026</v>
      </c>
      <c r="B4126" s="92" t="n">
        <v>7</v>
      </c>
      <c r="C4126" s="92" t="inlineStr">
        <is>
          <t>5100001404</t>
        </is>
      </c>
      <c r="D4126" s="95" t="n">
        <v>46209</v>
      </c>
      <c r="E4126" s="92" t="inlineStr">
        <is>
          <t>KR</t>
        </is>
      </c>
      <c r="F4126" s="92" t="n">
        <v>63601000</v>
      </c>
      <c r="G4126" s="92" t="n">
        <v>1801</v>
      </c>
      <c r="H4126" s="93" t="n">
        <v>7787000</v>
      </c>
      <c r="I4126" s="92" t="inlineStr">
        <is>
          <t>7월 손해사정 수수료 - DD손해사정</t>
        </is>
      </c>
      <c r="J4126" s="92" t="inlineStr">
        <is>
          <t>V10032</t>
        </is>
      </c>
      <c r="K4126" s="92" t="inlineStr">
        <is>
          <t>DD손해사정</t>
        </is>
      </c>
      <c r="M4126" s="9">
        <f>IF($A4126="","",VALUE($A4126&amp;"")*12+VALUE($B4126&amp;""))</f>
        <v/>
      </c>
      <c r="N4126" s="64">
        <f>IF($A4126="","",IFERROR(INDEX(부서매핑!$C$5:$C$504,MATCH($G4126&amp;"",부서매핑!$A$5:$A$504,0)),"미매핑"))</f>
        <v/>
      </c>
      <c r="O4126" s="9">
        <f>IF($A4126="","",N4126&amp;"|"&amp;$F4126)</f>
        <v/>
      </c>
      <c r="P4126" s="94">
        <f>IF($A4126="",0,$H4126*설정!$C$23)</f>
        <v/>
      </c>
      <c r="Q4126" s="64">
        <f>IF($A4126="","",IF(O4126&lt;&gt;원인분석!$C$9,"",IF(AND(M4126&gt;=원인분석!$C$10,M4126&lt;=원인분석!$C$11),"당기",IF(AND(M4126&gt;=원인분석!$C$12,M4126&lt;=원인분석!$C$13),"비교",""))))</f>
        <v/>
      </c>
      <c r="R4126" s="9">
        <f>IF(Q4126="","",$K4126&amp;"")</f>
        <v/>
      </c>
      <c r="S4126" s="9">
        <f>IF(Q4126="","",IF(MATCH(R4126,$R$5:$R$100000,0)=ROW()-4,ROW(),""))</f>
        <v/>
      </c>
      <c r="T4126" s="9">
        <f>IF(Q4126="당기",ABS(P4126)+ROW()/1000000000,"")</f>
        <v/>
      </c>
      <c r="U4126" s="9">
        <f>IF(Q4126="비교",ABS(P4126)+ROW()/1000000000,"")</f>
        <v/>
      </c>
      <c r="V4126" s="64">
        <f>IF($A4126="","",IF(COUNTIF(변동분석!$E$7:$E$506,O4126)&gt;0,"Y","N"))</f>
        <v/>
      </c>
      <c r="W4126" s="64">
        <f>IF($A4126="","",IFERROR(INDEX(계정매핑!$D$5:$D$504,MATCH($F4126&amp;"",계정매핑!$A$5:$A$504,0)),"미매핑"))</f>
        <v/>
      </c>
      <c r="X4126" s="9">
        <f>IF($A4126="","",$F4126&amp;"")</f>
        <v/>
      </c>
      <c r="Y4126" s="94">
        <f>IF($A4126="",0,IF(AE4126="직접",IF(AF4126="비귀속",$P4126,0),$P4126*(1-AG4126)*IFERROR(INDEX(계정대체기준!$F$20:$F$49,MATCH($N4126,계정대체기준!$A$20:$A$49,0)),1)))</f>
        <v/>
      </c>
      <c r="Z4126" s="94">
        <f>IF($A4126="",0,IF(AE4126="직접",IF(AF4126="신계약비",$P4126,0),$P4126*(1-AG4126)*IFERROR(INDEX(계정대체기준!$C$20:$C$49,MATCH($N4126,계정대체기준!$A$20:$A$49,0)),0)))</f>
        <v/>
      </c>
      <c r="AA4126" s="94">
        <f>IF($A4126="",0,IF(AE4126="직접",IF(OR(AF4126="유지비",AF4126="손해조사비"),$P4126,0),$P4126*(1-AG4126)*IFERROR(INDEX(계정대체기준!$D$20:$D$49,MATCH($N4126,계정대체기준!$A$20:$A$49,0)),0)))</f>
        <v/>
      </c>
      <c r="AB4126" s="94">
        <f>IF($A4126="",0,IF(AE4126="직접",IF(AF4126="수금비",$P4126,0),$P4126*(1-AG4126)*IFERROR(INDEX(계정대체기준!$E$20:$E$49,MATCH($N4126,계정대체기준!$A$20:$A$49,0)),0)))</f>
        <v/>
      </c>
      <c r="AC4126" s="9">
        <f>IF(AND($A4126&lt;&gt;"",M4126=설정!$C$20,Z4126&gt;0),Z4126+ROW()/1000000000,"")</f>
        <v/>
      </c>
      <c r="AD4126" s="94">
        <f>IF($A4126="",0,$P4126*AG4126)</f>
        <v/>
      </c>
      <c r="AE4126" s="64">
        <f>IF($A4126="","",IFERROR(INDEX(계정매핑!$E$5:$E$504,MATCH($F4126&amp;"",계정매핑!$A$5:$A$504,0))&amp;"","공통비"))</f>
        <v/>
      </c>
      <c r="AF4126" s="64">
        <f>IF($A4126="","",IF(AE4126="직접",IFERROR(INDEX(계정매핑!$F$5:$F$504,MATCH($F4126&amp;"",계정매핑!$A$5:$A$504,0))&amp;"","비귀속"),""))</f>
        <v/>
      </c>
      <c r="AG4126" s="96">
        <f>IF($A4126="",0,IF(AND(AE4126&lt;&gt;"직접",IFERROR(INDEX(계정매핑!$G$5:$G$504,MATCH($F4126&amp;"",계정매핑!$A$5:$A$504,0))&amp;"","")="유지비",COUNTIF(계정대체기준!$A$6:$A$15,$N4126)&gt;0),IFERROR(INDEX(계정대체기준!$E$6:$E$15,MATCH(VALUE($A4126&amp;""),계정대체기준!$D$6:$D$15,0)),0),0))</f>
        <v/>
      </c>
      <c r="AH4126" s="64">
        <f>IF($A4126="","",IF(AD4126=0,"",IF(OR(COUNTIF(계정대체기준!$A$77:$A$86,$N4126)&gt;0,ISNUMBER(MATCH($X4126,계정대체기준!$D$77:$D$86,0)),ISNUMBER(MATCH($F4126,계정대체기준!$D$77:$D$86,0))),"Y","N")))</f>
        <v/>
      </c>
    </row>
    <row r="4127">
      <c r="A4127" s="92" t="n">
        <v>2026</v>
      </c>
      <c r="B4127" s="92" t="n">
        <v>7</v>
      </c>
      <c r="C4127" s="92" t="inlineStr">
        <is>
          <t>5100001405</t>
        </is>
      </c>
      <c r="D4127" s="95" t="n">
        <v>46210</v>
      </c>
      <c r="E4127" s="92" t="inlineStr">
        <is>
          <t>KR</t>
        </is>
      </c>
      <c r="F4127" s="92" t="n">
        <v>62101000</v>
      </c>
      <c r="G4127" s="92" t="n">
        <v>1501</v>
      </c>
      <c r="H4127" s="93" t="n">
        <v>821000</v>
      </c>
      <c r="I4127" s="92" t="inlineStr">
        <is>
          <t>7월 국내출장 - (법인카드)</t>
        </is>
      </c>
      <c r="J4127" s="92" t="inlineStr">
        <is>
          <t>V10010</t>
        </is>
      </c>
      <c r="K4127" s="92" t="inlineStr">
        <is>
          <t>(법인카드)</t>
        </is>
      </c>
      <c r="M4127" s="9">
        <f>IF($A4127="","",VALUE($A4127&amp;"")*12+VALUE($B4127&amp;""))</f>
        <v/>
      </c>
      <c r="N4127" s="64">
        <f>IF($A4127="","",IFERROR(INDEX(부서매핑!$C$5:$C$504,MATCH($G4127&amp;"",부서매핑!$A$5:$A$504,0)),"미매핑"))</f>
        <v/>
      </c>
      <c r="O4127" s="9">
        <f>IF($A4127="","",N4127&amp;"|"&amp;$F4127)</f>
        <v/>
      </c>
      <c r="P4127" s="94">
        <f>IF($A4127="",0,$H4127*설정!$C$23)</f>
        <v/>
      </c>
      <c r="Q4127" s="64">
        <f>IF($A4127="","",IF(O4127&lt;&gt;원인분석!$C$9,"",IF(AND(M4127&gt;=원인분석!$C$10,M4127&lt;=원인분석!$C$11),"당기",IF(AND(M4127&gt;=원인분석!$C$12,M4127&lt;=원인분석!$C$13),"비교",""))))</f>
        <v/>
      </c>
      <c r="R4127" s="9">
        <f>IF(Q4127="","",$K4127&amp;"")</f>
        <v/>
      </c>
      <c r="S4127" s="9">
        <f>IF(Q4127="","",IF(MATCH(R4127,$R$5:$R$100000,0)=ROW()-4,ROW(),""))</f>
        <v/>
      </c>
      <c r="T4127" s="9">
        <f>IF(Q4127="당기",ABS(P4127)+ROW()/1000000000,"")</f>
        <v/>
      </c>
      <c r="U4127" s="9">
        <f>IF(Q4127="비교",ABS(P4127)+ROW()/1000000000,"")</f>
        <v/>
      </c>
      <c r="V4127" s="64">
        <f>IF($A4127="","",IF(COUNTIF(변동분석!$E$7:$E$506,O4127)&gt;0,"Y","N"))</f>
        <v/>
      </c>
      <c r="W4127" s="64">
        <f>IF($A4127="","",IFERROR(INDEX(계정매핑!$D$5:$D$504,MATCH($F4127&amp;"",계정매핑!$A$5:$A$504,0)),"미매핑"))</f>
        <v/>
      </c>
      <c r="X4127" s="9">
        <f>IF($A4127="","",$F4127&amp;"")</f>
        <v/>
      </c>
      <c r="Y4127" s="94">
        <f>IF($A4127="",0,IF(AE4127="직접",IF(AF4127="비귀속",$P4127,0),$P4127*(1-AG4127)*IFERROR(INDEX(계정대체기준!$F$20:$F$49,MATCH($N4127,계정대체기준!$A$20:$A$49,0)),1)))</f>
        <v/>
      </c>
      <c r="Z4127" s="94">
        <f>IF($A4127="",0,IF(AE4127="직접",IF(AF4127="신계약비",$P4127,0),$P4127*(1-AG4127)*IFERROR(INDEX(계정대체기준!$C$20:$C$49,MATCH($N4127,계정대체기준!$A$20:$A$49,0)),0)))</f>
        <v/>
      </c>
      <c r="AA4127" s="94">
        <f>IF($A4127="",0,IF(AE4127="직접",IF(OR(AF4127="유지비",AF4127="손해조사비"),$P4127,0),$P4127*(1-AG4127)*IFERROR(INDEX(계정대체기준!$D$20:$D$49,MATCH($N4127,계정대체기준!$A$20:$A$49,0)),0)))</f>
        <v/>
      </c>
      <c r="AB4127" s="94">
        <f>IF($A4127="",0,IF(AE4127="직접",IF(AF4127="수금비",$P4127,0),$P4127*(1-AG4127)*IFERROR(INDEX(계정대체기준!$E$20:$E$49,MATCH($N4127,계정대체기준!$A$20:$A$49,0)),0)))</f>
        <v/>
      </c>
      <c r="AC4127" s="9">
        <f>IF(AND($A4127&lt;&gt;"",M4127=설정!$C$20,Z4127&gt;0),Z4127+ROW()/1000000000,"")</f>
        <v/>
      </c>
      <c r="AD4127" s="94">
        <f>IF($A4127="",0,$P4127*AG4127)</f>
        <v/>
      </c>
      <c r="AE4127" s="64">
        <f>IF($A4127="","",IFERROR(INDEX(계정매핑!$E$5:$E$504,MATCH($F4127&amp;"",계정매핑!$A$5:$A$504,0))&amp;"","공통비"))</f>
        <v/>
      </c>
      <c r="AF4127" s="64">
        <f>IF($A4127="","",IF(AE4127="직접",IFERROR(INDEX(계정매핑!$F$5:$F$504,MATCH($F4127&amp;"",계정매핑!$A$5:$A$504,0))&amp;"","비귀속"),""))</f>
        <v/>
      </c>
      <c r="AG4127" s="96">
        <f>IF($A4127="",0,IF(AND(AE4127&lt;&gt;"직접",IFERROR(INDEX(계정매핑!$G$5:$G$504,MATCH($F4127&amp;"",계정매핑!$A$5:$A$504,0))&amp;"","")="유지비",COUNTIF(계정대체기준!$A$6:$A$15,$N4127)&gt;0),IFERROR(INDEX(계정대체기준!$E$6:$E$15,MATCH(VALUE($A4127&amp;""),계정대체기준!$D$6:$D$15,0)),0),0))</f>
        <v/>
      </c>
      <c r="AH4127" s="64">
        <f>IF($A4127="","",IF(AD4127=0,"",IF(OR(COUNTIF(계정대체기준!$A$77:$A$86,$N4127)&gt;0,ISNUMBER(MATCH($X4127,계정대체기준!$D$77:$D$86,0)),ISNUMBER(MATCH($F4127,계정대체기준!$D$77:$D$86,0))),"Y","N")))</f>
        <v/>
      </c>
    </row>
    <row r="4128">
      <c r="A4128" s="92" t="n">
        <v>2026</v>
      </c>
      <c r="B4128" s="92" t="n">
        <v>7</v>
      </c>
      <c r="C4128" s="92" t="inlineStr">
        <is>
          <t>5100001406</t>
        </is>
      </c>
      <c r="D4128" s="95" t="n">
        <v>46210</v>
      </c>
      <c r="E4128" s="92" t="inlineStr">
        <is>
          <t>KR</t>
        </is>
      </c>
      <c r="F4128" s="92" t="n">
        <v>62101000</v>
      </c>
      <c r="G4128" s="92" t="n">
        <v>1701</v>
      </c>
      <c r="H4128" s="93" t="n">
        <v>225000</v>
      </c>
      <c r="I4128" s="92" t="inlineStr">
        <is>
          <t>7월 국내출장 - (법인카드)</t>
        </is>
      </c>
      <c r="J4128" s="92" t="inlineStr">
        <is>
          <t>V10010</t>
        </is>
      </c>
      <c r="K4128" s="92" t="inlineStr">
        <is>
          <t>(법인카드)</t>
        </is>
      </c>
      <c r="M4128" s="9">
        <f>IF($A4128="","",VALUE($A4128&amp;"")*12+VALUE($B4128&amp;""))</f>
        <v/>
      </c>
      <c r="N4128" s="64">
        <f>IF($A4128="","",IFERROR(INDEX(부서매핑!$C$5:$C$504,MATCH($G4128&amp;"",부서매핑!$A$5:$A$504,0)),"미매핑"))</f>
        <v/>
      </c>
      <c r="O4128" s="9">
        <f>IF($A4128="","",N4128&amp;"|"&amp;$F4128)</f>
        <v/>
      </c>
      <c r="P4128" s="94">
        <f>IF($A4128="",0,$H4128*설정!$C$23)</f>
        <v/>
      </c>
      <c r="Q4128" s="64">
        <f>IF($A4128="","",IF(O4128&lt;&gt;원인분석!$C$9,"",IF(AND(M4128&gt;=원인분석!$C$10,M4128&lt;=원인분석!$C$11),"당기",IF(AND(M4128&gt;=원인분석!$C$12,M4128&lt;=원인분석!$C$13),"비교",""))))</f>
        <v/>
      </c>
      <c r="R4128" s="9">
        <f>IF(Q4128="","",$K4128&amp;"")</f>
        <v/>
      </c>
      <c r="S4128" s="9">
        <f>IF(Q4128="","",IF(MATCH(R4128,$R$5:$R$100000,0)=ROW()-4,ROW(),""))</f>
        <v/>
      </c>
      <c r="T4128" s="9">
        <f>IF(Q4128="당기",ABS(P4128)+ROW()/1000000000,"")</f>
        <v/>
      </c>
      <c r="U4128" s="9">
        <f>IF(Q4128="비교",ABS(P4128)+ROW()/1000000000,"")</f>
        <v/>
      </c>
      <c r="V4128" s="64">
        <f>IF($A4128="","",IF(COUNTIF(변동분석!$E$7:$E$506,O4128)&gt;0,"Y","N"))</f>
        <v/>
      </c>
      <c r="W4128" s="64">
        <f>IF($A4128="","",IFERROR(INDEX(계정매핑!$D$5:$D$504,MATCH($F4128&amp;"",계정매핑!$A$5:$A$504,0)),"미매핑"))</f>
        <v/>
      </c>
      <c r="X4128" s="9">
        <f>IF($A4128="","",$F4128&amp;"")</f>
        <v/>
      </c>
      <c r="Y4128" s="94">
        <f>IF($A4128="",0,IF(AE4128="직접",IF(AF4128="비귀속",$P4128,0),$P4128*(1-AG4128)*IFERROR(INDEX(계정대체기준!$F$20:$F$49,MATCH($N4128,계정대체기준!$A$20:$A$49,0)),1)))</f>
        <v/>
      </c>
      <c r="Z4128" s="94">
        <f>IF($A4128="",0,IF(AE4128="직접",IF(AF4128="신계약비",$P4128,0),$P4128*(1-AG4128)*IFERROR(INDEX(계정대체기준!$C$20:$C$49,MATCH($N4128,계정대체기준!$A$20:$A$49,0)),0)))</f>
        <v/>
      </c>
      <c r="AA4128" s="94">
        <f>IF($A4128="",0,IF(AE4128="직접",IF(OR(AF4128="유지비",AF4128="손해조사비"),$P4128,0),$P4128*(1-AG4128)*IFERROR(INDEX(계정대체기준!$D$20:$D$49,MATCH($N4128,계정대체기준!$A$20:$A$49,0)),0)))</f>
        <v/>
      </c>
      <c r="AB4128" s="94">
        <f>IF($A4128="",0,IF(AE4128="직접",IF(AF4128="수금비",$P4128,0),$P4128*(1-AG4128)*IFERROR(INDEX(계정대체기준!$E$20:$E$49,MATCH($N4128,계정대체기준!$A$20:$A$49,0)),0)))</f>
        <v/>
      </c>
      <c r="AC4128" s="9">
        <f>IF(AND($A4128&lt;&gt;"",M4128=설정!$C$20,Z4128&gt;0),Z4128+ROW()/1000000000,"")</f>
        <v/>
      </c>
      <c r="AD4128" s="94">
        <f>IF($A4128="",0,$P4128*AG4128)</f>
        <v/>
      </c>
      <c r="AE4128" s="64">
        <f>IF($A4128="","",IFERROR(INDEX(계정매핑!$E$5:$E$504,MATCH($F4128&amp;"",계정매핑!$A$5:$A$504,0))&amp;"","공통비"))</f>
        <v/>
      </c>
      <c r="AF4128" s="64">
        <f>IF($A4128="","",IF(AE4128="직접",IFERROR(INDEX(계정매핑!$F$5:$F$504,MATCH($F4128&amp;"",계정매핑!$A$5:$A$504,0))&amp;"","비귀속"),""))</f>
        <v/>
      </c>
      <c r="AG4128" s="96">
        <f>IF($A4128="",0,IF(AND(AE4128&lt;&gt;"직접",IFERROR(INDEX(계정매핑!$G$5:$G$504,MATCH($F4128&amp;"",계정매핑!$A$5:$A$504,0))&amp;"","")="유지비",COUNTIF(계정대체기준!$A$6:$A$15,$N4128)&gt;0),IFERROR(INDEX(계정대체기준!$E$6:$E$15,MATCH(VALUE($A4128&amp;""),계정대체기준!$D$6:$D$15,0)),0),0))</f>
        <v/>
      </c>
      <c r="AH4128" s="64">
        <f>IF($A4128="","",IF(AD4128=0,"",IF(OR(COUNTIF(계정대체기준!$A$77:$A$86,$N4128)&gt;0,ISNUMBER(MATCH($X4128,계정대체기준!$D$77:$D$86,0)),ISNUMBER(MATCH($F4128,계정대체기준!$D$77:$D$86,0))),"Y","N")))</f>
        <v/>
      </c>
    </row>
    <row r="4129">
      <c r="A4129" s="92" t="n">
        <v>2026</v>
      </c>
      <c r="B4129" s="92" t="n">
        <v>7</v>
      </c>
      <c r="C4129" s="92" t="inlineStr">
        <is>
          <t>5100001407</t>
        </is>
      </c>
      <c r="D4129" s="95" t="n">
        <v>46210</v>
      </c>
      <c r="E4129" s="92" t="inlineStr">
        <is>
          <t>KR</t>
        </is>
      </c>
      <c r="F4129" s="92" t="n">
        <v>62101000</v>
      </c>
      <c r="G4129" s="92" t="n">
        <v>1801</v>
      </c>
      <c r="H4129" s="93" t="n">
        <v>122000</v>
      </c>
      <c r="I4129" s="92" t="inlineStr">
        <is>
          <t>7월 국내출장 - L여행사</t>
        </is>
      </c>
      <c r="J4129" s="92" t="inlineStr">
        <is>
          <t>V10018</t>
        </is>
      </c>
      <c r="K4129" s="92" t="inlineStr">
        <is>
          <t>L여행사</t>
        </is>
      </c>
      <c r="M4129" s="9">
        <f>IF($A4129="","",VALUE($A4129&amp;"")*12+VALUE($B4129&amp;""))</f>
        <v/>
      </c>
      <c r="N4129" s="64">
        <f>IF($A4129="","",IFERROR(INDEX(부서매핑!$C$5:$C$504,MATCH($G4129&amp;"",부서매핑!$A$5:$A$504,0)),"미매핑"))</f>
        <v/>
      </c>
      <c r="O4129" s="9">
        <f>IF($A4129="","",N4129&amp;"|"&amp;$F4129)</f>
        <v/>
      </c>
      <c r="P4129" s="94">
        <f>IF($A4129="",0,$H4129*설정!$C$23)</f>
        <v/>
      </c>
      <c r="Q4129" s="64">
        <f>IF($A4129="","",IF(O4129&lt;&gt;원인분석!$C$9,"",IF(AND(M4129&gt;=원인분석!$C$10,M4129&lt;=원인분석!$C$11),"당기",IF(AND(M4129&gt;=원인분석!$C$12,M4129&lt;=원인분석!$C$13),"비교",""))))</f>
        <v/>
      </c>
      <c r="R4129" s="9">
        <f>IF(Q4129="","",$K4129&amp;"")</f>
        <v/>
      </c>
      <c r="S4129" s="9">
        <f>IF(Q4129="","",IF(MATCH(R4129,$R$5:$R$100000,0)=ROW()-4,ROW(),""))</f>
        <v/>
      </c>
      <c r="T4129" s="9">
        <f>IF(Q4129="당기",ABS(P4129)+ROW()/1000000000,"")</f>
        <v/>
      </c>
      <c r="U4129" s="9">
        <f>IF(Q4129="비교",ABS(P4129)+ROW()/1000000000,"")</f>
        <v/>
      </c>
      <c r="V4129" s="64">
        <f>IF($A4129="","",IF(COUNTIF(변동분석!$E$7:$E$506,O4129)&gt;0,"Y","N"))</f>
        <v/>
      </c>
      <c r="W4129" s="64">
        <f>IF($A4129="","",IFERROR(INDEX(계정매핑!$D$5:$D$504,MATCH($F4129&amp;"",계정매핑!$A$5:$A$504,0)),"미매핑"))</f>
        <v/>
      </c>
      <c r="X4129" s="9">
        <f>IF($A4129="","",$F4129&amp;"")</f>
        <v/>
      </c>
      <c r="Y4129" s="94">
        <f>IF($A4129="",0,IF(AE4129="직접",IF(AF4129="비귀속",$P4129,0),$P4129*(1-AG4129)*IFERROR(INDEX(계정대체기준!$F$20:$F$49,MATCH($N4129,계정대체기준!$A$20:$A$49,0)),1)))</f>
        <v/>
      </c>
      <c r="Z4129" s="94">
        <f>IF($A4129="",0,IF(AE4129="직접",IF(AF4129="신계약비",$P4129,0),$P4129*(1-AG4129)*IFERROR(INDEX(계정대체기준!$C$20:$C$49,MATCH($N4129,계정대체기준!$A$20:$A$49,0)),0)))</f>
        <v/>
      </c>
      <c r="AA4129" s="94">
        <f>IF($A4129="",0,IF(AE4129="직접",IF(OR(AF4129="유지비",AF4129="손해조사비"),$P4129,0),$P4129*(1-AG4129)*IFERROR(INDEX(계정대체기준!$D$20:$D$49,MATCH($N4129,계정대체기준!$A$20:$A$49,0)),0)))</f>
        <v/>
      </c>
      <c r="AB4129" s="94">
        <f>IF($A4129="",0,IF(AE4129="직접",IF(AF4129="수금비",$P4129,0),$P4129*(1-AG4129)*IFERROR(INDEX(계정대체기준!$E$20:$E$49,MATCH($N4129,계정대체기준!$A$20:$A$49,0)),0)))</f>
        <v/>
      </c>
      <c r="AC4129" s="9">
        <f>IF(AND($A4129&lt;&gt;"",M4129=설정!$C$20,Z4129&gt;0),Z4129+ROW()/1000000000,"")</f>
        <v/>
      </c>
      <c r="AD4129" s="94">
        <f>IF($A4129="",0,$P4129*AG4129)</f>
        <v/>
      </c>
      <c r="AE4129" s="64">
        <f>IF($A4129="","",IFERROR(INDEX(계정매핑!$E$5:$E$504,MATCH($F4129&amp;"",계정매핑!$A$5:$A$504,0))&amp;"","공통비"))</f>
        <v/>
      </c>
      <c r="AF4129" s="64">
        <f>IF($A4129="","",IF(AE4129="직접",IFERROR(INDEX(계정매핑!$F$5:$F$504,MATCH($F4129&amp;"",계정매핑!$A$5:$A$504,0))&amp;"","비귀속"),""))</f>
        <v/>
      </c>
      <c r="AG4129" s="96">
        <f>IF($A4129="",0,IF(AND(AE4129&lt;&gt;"직접",IFERROR(INDEX(계정매핑!$G$5:$G$504,MATCH($F4129&amp;"",계정매핑!$A$5:$A$504,0))&amp;"","")="유지비",COUNTIF(계정대체기준!$A$6:$A$15,$N4129)&gt;0),IFERROR(INDEX(계정대체기준!$E$6:$E$15,MATCH(VALUE($A4129&amp;""),계정대체기준!$D$6:$D$15,0)),0),0))</f>
        <v/>
      </c>
      <c r="AH4129" s="64">
        <f>IF($A4129="","",IF(AD4129=0,"",IF(OR(COUNTIF(계정대체기준!$A$77:$A$86,$N4129)&gt;0,ISNUMBER(MATCH($X4129,계정대체기준!$D$77:$D$86,0)),ISNUMBER(MATCH($F4129,계정대체기준!$D$77:$D$86,0))),"Y","N")))</f>
        <v/>
      </c>
    </row>
    <row r="4130">
      <c r="A4130" s="92" t="n">
        <v>2026</v>
      </c>
      <c r="B4130" s="92" t="n">
        <v>7</v>
      </c>
      <c r="C4130" s="92" t="inlineStr">
        <is>
          <t>5100001408</t>
        </is>
      </c>
      <c r="D4130" s="95" t="n">
        <v>46210</v>
      </c>
      <c r="E4130" s="92" t="inlineStr">
        <is>
          <t>KR</t>
        </is>
      </c>
      <c r="F4130" s="92" t="n">
        <v>62101000</v>
      </c>
      <c r="G4130" s="92" t="n">
        <v>1801</v>
      </c>
      <c r="H4130" s="93" t="n">
        <v>244000</v>
      </c>
      <c r="I4130" s="92" t="inlineStr">
        <is>
          <t>7월 국내출장 - M항공</t>
        </is>
      </c>
      <c r="J4130" s="92" t="inlineStr">
        <is>
          <t>V10001</t>
        </is>
      </c>
      <c r="K4130" s="92" t="inlineStr">
        <is>
          <t>M항공</t>
        </is>
      </c>
      <c r="M4130" s="9">
        <f>IF($A4130="","",VALUE($A4130&amp;"")*12+VALUE($B4130&amp;""))</f>
        <v/>
      </c>
      <c r="N4130" s="64">
        <f>IF($A4130="","",IFERROR(INDEX(부서매핑!$C$5:$C$504,MATCH($G4130&amp;"",부서매핑!$A$5:$A$504,0)),"미매핑"))</f>
        <v/>
      </c>
      <c r="O4130" s="9">
        <f>IF($A4130="","",N4130&amp;"|"&amp;$F4130)</f>
        <v/>
      </c>
      <c r="P4130" s="94">
        <f>IF($A4130="",0,$H4130*설정!$C$23)</f>
        <v/>
      </c>
      <c r="Q4130" s="64">
        <f>IF($A4130="","",IF(O4130&lt;&gt;원인분석!$C$9,"",IF(AND(M4130&gt;=원인분석!$C$10,M4130&lt;=원인분석!$C$11),"당기",IF(AND(M4130&gt;=원인분석!$C$12,M4130&lt;=원인분석!$C$13),"비교",""))))</f>
        <v/>
      </c>
      <c r="R4130" s="9">
        <f>IF(Q4130="","",$K4130&amp;"")</f>
        <v/>
      </c>
      <c r="S4130" s="9">
        <f>IF(Q4130="","",IF(MATCH(R4130,$R$5:$R$100000,0)=ROW()-4,ROW(),""))</f>
        <v/>
      </c>
      <c r="T4130" s="9">
        <f>IF(Q4130="당기",ABS(P4130)+ROW()/1000000000,"")</f>
        <v/>
      </c>
      <c r="U4130" s="9">
        <f>IF(Q4130="비교",ABS(P4130)+ROW()/1000000000,"")</f>
        <v/>
      </c>
      <c r="V4130" s="64">
        <f>IF($A4130="","",IF(COUNTIF(변동분석!$E$7:$E$506,O4130)&gt;0,"Y","N"))</f>
        <v/>
      </c>
      <c r="W4130" s="64">
        <f>IF($A4130="","",IFERROR(INDEX(계정매핑!$D$5:$D$504,MATCH($F4130&amp;"",계정매핑!$A$5:$A$504,0)),"미매핑"))</f>
        <v/>
      </c>
      <c r="X4130" s="9">
        <f>IF($A4130="","",$F4130&amp;"")</f>
        <v/>
      </c>
      <c r="Y4130" s="94">
        <f>IF($A4130="",0,IF(AE4130="직접",IF(AF4130="비귀속",$P4130,0),$P4130*(1-AG4130)*IFERROR(INDEX(계정대체기준!$F$20:$F$49,MATCH($N4130,계정대체기준!$A$20:$A$49,0)),1)))</f>
        <v/>
      </c>
      <c r="Z4130" s="94">
        <f>IF($A4130="",0,IF(AE4130="직접",IF(AF4130="신계약비",$P4130,0),$P4130*(1-AG4130)*IFERROR(INDEX(계정대체기준!$C$20:$C$49,MATCH($N4130,계정대체기준!$A$20:$A$49,0)),0)))</f>
        <v/>
      </c>
      <c r="AA4130" s="94">
        <f>IF($A4130="",0,IF(AE4130="직접",IF(OR(AF4130="유지비",AF4130="손해조사비"),$P4130,0),$P4130*(1-AG4130)*IFERROR(INDEX(계정대체기준!$D$20:$D$49,MATCH($N4130,계정대체기준!$A$20:$A$49,0)),0)))</f>
        <v/>
      </c>
      <c r="AB4130" s="94">
        <f>IF($A4130="",0,IF(AE4130="직접",IF(AF4130="수금비",$P4130,0),$P4130*(1-AG4130)*IFERROR(INDEX(계정대체기준!$E$20:$E$49,MATCH($N4130,계정대체기준!$A$20:$A$49,0)),0)))</f>
        <v/>
      </c>
      <c r="AC4130" s="9">
        <f>IF(AND($A4130&lt;&gt;"",M4130=설정!$C$20,Z4130&gt;0),Z4130+ROW()/1000000000,"")</f>
        <v/>
      </c>
      <c r="AD4130" s="94">
        <f>IF($A4130="",0,$P4130*AG4130)</f>
        <v/>
      </c>
      <c r="AE4130" s="64">
        <f>IF($A4130="","",IFERROR(INDEX(계정매핑!$E$5:$E$504,MATCH($F4130&amp;"",계정매핑!$A$5:$A$504,0))&amp;"","공통비"))</f>
        <v/>
      </c>
      <c r="AF4130" s="64">
        <f>IF($A4130="","",IF(AE4130="직접",IFERROR(INDEX(계정매핑!$F$5:$F$504,MATCH($F4130&amp;"",계정매핑!$A$5:$A$504,0))&amp;"","비귀속"),""))</f>
        <v/>
      </c>
      <c r="AG4130" s="96">
        <f>IF($A4130="",0,IF(AND(AE4130&lt;&gt;"직접",IFERROR(INDEX(계정매핑!$G$5:$G$504,MATCH($F4130&amp;"",계정매핑!$A$5:$A$504,0))&amp;"","")="유지비",COUNTIF(계정대체기준!$A$6:$A$15,$N4130)&gt;0),IFERROR(INDEX(계정대체기준!$E$6:$E$15,MATCH(VALUE($A4130&amp;""),계정대체기준!$D$6:$D$15,0)),0),0))</f>
        <v/>
      </c>
      <c r="AH4130" s="64">
        <f>IF($A4130="","",IF(AD4130=0,"",IF(OR(COUNTIF(계정대체기준!$A$77:$A$86,$N4130)&gt;0,ISNUMBER(MATCH($X4130,계정대체기준!$D$77:$D$86,0)),ISNUMBER(MATCH($F4130,계정대체기준!$D$77:$D$86,0))),"Y","N")))</f>
        <v/>
      </c>
    </row>
    <row r="4131">
      <c r="A4131" s="92" t="n">
        <v>2026</v>
      </c>
      <c r="B4131" s="92" t="n">
        <v>7</v>
      </c>
      <c r="C4131" s="92" t="inlineStr">
        <is>
          <t>5100001409</t>
        </is>
      </c>
      <c r="D4131" s="95" t="n">
        <v>46210</v>
      </c>
      <c r="E4131" s="92" t="inlineStr">
        <is>
          <t>KR</t>
        </is>
      </c>
      <c r="F4131" s="92" t="n">
        <v>62101000</v>
      </c>
      <c r="G4131" s="92" t="n">
        <v>1951</v>
      </c>
      <c r="H4131" s="93" t="n">
        <v>594000</v>
      </c>
      <c r="I4131" s="92" t="inlineStr">
        <is>
          <t>7월 국내출장 - M항공</t>
        </is>
      </c>
      <c r="J4131" s="92" t="inlineStr">
        <is>
          <t>V10001</t>
        </is>
      </c>
      <c r="K4131" s="92" t="inlineStr">
        <is>
          <t>M항공</t>
        </is>
      </c>
      <c r="M4131" s="9">
        <f>IF($A4131="","",VALUE($A4131&amp;"")*12+VALUE($B4131&amp;""))</f>
        <v/>
      </c>
      <c r="N4131" s="64">
        <f>IF($A4131="","",IFERROR(INDEX(부서매핑!$C$5:$C$504,MATCH($G4131&amp;"",부서매핑!$A$5:$A$504,0)),"미매핑"))</f>
        <v/>
      </c>
      <c r="O4131" s="9">
        <f>IF($A4131="","",N4131&amp;"|"&amp;$F4131)</f>
        <v/>
      </c>
      <c r="P4131" s="94">
        <f>IF($A4131="",0,$H4131*설정!$C$23)</f>
        <v/>
      </c>
      <c r="Q4131" s="64">
        <f>IF($A4131="","",IF(O4131&lt;&gt;원인분석!$C$9,"",IF(AND(M4131&gt;=원인분석!$C$10,M4131&lt;=원인분석!$C$11),"당기",IF(AND(M4131&gt;=원인분석!$C$12,M4131&lt;=원인분석!$C$13),"비교",""))))</f>
        <v/>
      </c>
      <c r="R4131" s="9">
        <f>IF(Q4131="","",$K4131&amp;"")</f>
        <v/>
      </c>
      <c r="S4131" s="9">
        <f>IF(Q4131="","",IF(MATCH(R4131,$R$5:$R$100000,0)=ROW()-4,ROW(),""))</f>
        <v/>
      </c>
      <c r="T4131" s="9">
        <f>IF(Q4131="당기",ABS(P4131)+ROW()/1000000000,"")</f>
        <v/>
      </c>
      <c r="U4131" s="9">
        <f>IF(Q4131="비교",ABS(P4131)+ROW()/1000000000,"")</f>
        <v/>
      </c>
      <c r="V4131" s="64">
        <f>IF($A4131="","",IF(COUNTIF(변동분석!$E$7:$E$506,O4131)&gt;0,"Y","N"))</f>
        <v/>
      </c>
      <c r="W4131" s="64">
        <f>IF($A4131="","",IFERROR(INDEX(계정매핑!$D$5:$D$504,MATCH($F4131&amp;"",계정매핑!$A$5:$A$504,0)),"미매핑"))</f>
        <v/>
      </c>
      <c r="X4131" s="9">
        <f>IF($A4131="","",$F4131&amp;"")</f>
        <v/>
      </c>
      <c r="Y4131" s="94">
        <f>IF($A4131="",0,IF(AE4131="직접",IF(AF4131="비귀속",$P4131,0),$P4131*(1-AG4131)*IFERROR(INDEX(계정대체기준!$F$20:$F$49,MATCH($N4131,계정대체기준!$A$20:$A$49,0)),1)))</f>
        <v/>
      </c>
      <c r="Z4131" s="94">
        <f>IF($A4131="",0,IF(AE4131="직접",IF(AF4131="신계약비",$P4131,0),$P4131*(1-AG4131)*IFERROR(INDEX(계정대체기준!$C$20:$C$49,MATCH($N4131,계정대체기준!$A$20:$A$49,0)),0)))</f>
        <v/>
      </c>
      <c r="AA4131" s="94">
        <f>IF($A4131="",0,IF(AE4131="직접",IF(OR(AF4131="유지비",AF4131="손해조사비"),$P4131,0),$P4131*(1-AG4131)*IFERROR(INDEX(계정대체기준!$D$20:$D$49,MATCH($N4131,계정대체기준!$A$20:$A$49,0)),0)))</f>
        <v/>
      </c>
      <c r="AB4131" s="94">
        <f>IF($A4131="",0,IF(AE4131="직접",IF(AF4131="수금비",$P4131,0),$P4131*(1-AG4131)*IFERROR(INDEX(계정대체기준!$E$20:$E$49,MATCH($N4131,계정대체기준!$A$20:$A$49,0)),0)))</f>
        <v/>
      </c>
      <c r="AC4131" s="9">
        <f>IF(AND($A4131&lt;&gt;"",M4131=설정!$C$20,Z4131&gt;0),Z4131+ROW()/1000000000,"")</f>
        <v/>
      </c>
      <c r="AD4131" s="94">
        <f>IF($A4131="",0,$P4131*AG4131)</f>
        <v/>
      </c>
      <c r="AE4131" s="64">
        <f>IF($A4131="","",IFERROR(INDEX(계정매핑!$E$5:$E$504,MATCH($F4131&amp;"",계정매핑!$A$5:$A$504,0))&amp;"","공통비"))</f>
        <v/>
      </c>
      <c r="AF4131" s="64">
        <f>IF($A4131="","",IF(AE4131="직접",IFERROR(INDEX(계정매핑!$F$5:$F$504,MATCH($F4131&amp;"",계정매핑!$A$5:$A$504,0))&amp;"","비귀속"),""))</f>
        <v/>
      </c>
      <c r="AG4131" s="96">
        <f>IF($A4131="",0,IF(AND(AE4131&lt;&gt;"직접",IFERROR(INDEX(계정매핑!$G$5:$G$504,MATCH($F4131&amp;"",계정매핑!$A$5:$A$504,0))&amp;"","")="유지비",COUNTIF(계정대체기준!$A$6:$A$15,$N4131)&gt;0),IFERROR(INDEX(계정대체기준!$E$6:$E$15,MATCH(VALUE($A4131&amp;""),계정대체기준!$D$6:$D$15,0)),0),0))</f>
        <v/>
      </c>
      <c r="AH4131" s="64">
        <f>IF($A4131="","",IF(AD4131=0,"",IF(OR(COUNTIF(계정대체기준!$A$77:$A$86,$N4131)&gt;0,ISNUMBER(MATCH($X4131,계정대체기준!$D$77:$D$86,0)),ISNUMBER(MATCH($F4131,계정대체기준!$D$77:$D$86,0))),"Y","N")))</f>
        <v/>
      </c>
    </row>
    <row r="4132">
      <c r="A4132" s="92" t="n">
        <v>2026</v>
      </c>
      <c r="B4132" s="92" t="n">
        <v>7</v>
      </c>
      <c r="C4132" s="92" t="inlineStr">
        <is>
          <t>5100001410</t>
        </is>
      </c>
      <c r="D4132" s="95" t="n">
        <v>46210</v>
      </c>
      <c r="E4132" s="92" t="inlineStr">
        <is>
          <t>KR</t>
        </is>
      </c>
      <c r="F4132" s="92" t="n">
        <v>62101000</v>
      </c>
      <c r="G4132" s="92" t="n">
        <v>1951</v>
      </c>
      <c r="H4132" s="93" t="n">
        <v>470000</v>
      </c>
      <c r="I4132" s="92" t="inlineStr">
        <is>
          <t>7월 국내출장 - (법인카드)</t>
        </is>
      </c>
      <c r="J4132" s="92" t="inlineStr">
        <is>
          <t>V10010</t>
        </is>
      </c>
      <c r="K4132" s="92" t="inlineStr">
        <is>
          <t>(법인카드)</t>
        </is>
      </c>
      <c r="M4132" s="9">
        <f>IF($A4132="","",VALUE($A4132&amp;"")*12+VALUE($B4132&amp;""))</f>
        <v/>
      </c>
      <c r="N4132" s="64">
        <f>IF($A4132="","",IFERROR(INDEX(부서매핑!$C$5:$C$504,MATCH($G4132&amp;"",부서매핑!$A$5:$A$504,0)),"미매핑"))</f>
        <v/>
      </c>
      <c r="O4132" s="9">
        <f>IF($A4132="","",N4132&amp;"|"&amp;$F4132)</f>
        <v/>
      </c>
      <c r="P4132" s="94">
        <f>IF($A4132="",0,$H4132*설정!$C$23)</f>
        <v/>
      </c>
      <c r="Q4132" s="64">
        <f>IF($A4132="","",IF(O4132&lt;&gt;원인분석!$C$9,"",IF(AND(M4132&gt;=원인분석!$C$10,M4132&lt;=원인분석!$C$11),"당기",IF(AND(M4132&gt;=원인분석!$C$12,M4132&lt;=원인분석!$C$13),"비교",""))))</f>
        <v/>
      </c>
      <c r="R4132" s="9">
        <f>IF(Q4132="","",$K4132&amp;"")</f>
        <v/>
      </c>
      <c r="S4132" s="9">
        <f>IF(Q4132="","",IF(MATCH(R4132,$R$5:$R$100000,0)=ROW()-4,ROW(),""))</f>
        <v/>
      </c>
      <c r="T4132" s="9">
        <f>IF(Q4132="당기",ABS(P4132)+ROW()/1000000000,"")</f>
        <v/>
      </c>
      <c r="U4132" s="9">
        <f>IF(Q4132="비교",ABS(P4132)+ROW()/1000000000,"")</f>
        <v/>
      </c>
      <c r="V4132" s="64">
        <f>IF($A4132="","",IF(COUNTIF(변동분석!$E$7:$E$506,O4132)&gt;0,"Y","N"))</f>
        <v/>
      </c>
      <c r="W4132" s="64">
        <f>IF($A4132="","",IFERROR(INDEX(계정매핑!$D$5:$D$504,MATCH($F4132&amp;"",계정매핑!$A$5:$A$504,0)),"미매핑"))</f>
        <v/>
      </c>
      <c r="X4132" s="9">
        <f>IF($A4132="","",$F4132&amp;"")</f>
        <v/>
      </c>
      <c r="Y4132" s="94">
        <f>IF($A4132="",0,IF(AE4132="직접",IF(AF4132="비귀속",$P4132,0),$P4132*(1-AG4132)*IFERROR(INDEX(계정대체기준!$F$20:$F$49,MATCH($N4132,계정대체기준!$A$20:$A$49,0)),1)))</f>
        <v/>
      </c>
      <c r="Z4132" s="94">
        <f>IF($A4132="",0,IF(AE4132="직접",IF(AF4132="신계약비",$P4132,0),$P4132*(1-AG4132)*IFERROR(INDEX(계정대체기준!$C$20:$C$49,MATCH($N4132,계정대체기준!$A$20:$A$49,0)),0)))</f>
        <v/>
      </c>
      <c r="AA4132" s="94">
        <f>IF($A4132="",0,IF(AE4132="직접",IF(OR(AF4132="유지비",AF4132="손해조사비"),$P4132,0),$P4132*(1-AG4132)*IFERROR(INDEX(계정대체기준!$D$20:$D$49,MATCH($N4132,계정대체기준!$A$20:$A$49,0)),0)))</f>
        <v/>
      </c>
      <c r="AB4132" s="94">
        <f>IF($A4132="",0,IF(AE4132="직접",IF(AF4132="수금비",$P4132,0),$P4132*(1-AG4132)*IFERROR(INDEX(계정대체기준!$E$20:$E$49,MATCH($N4132,계정대체기준!$A$20:$A$49,0)),0)))</f>
        <v/>
      </c>
      <c r="AC4132" s="9">
        <f>IF(AND($A4132&lt;&gt;"",M4132=설정!$C$20,Z4132&gt;0),Z4132+ROW()/1000000000,"")</f>
        <v/>
      </c>
      <c r="AD4132" s="94">
        <f>IF($A4132="",0,$P4132*AG4132)</f>
        <v/>
      </c>
      <c r="AE4132" s="64">
        <f>IF($A4132="","",IFERROR(INDEX(계정매핑!$E$5:$E$504,MATCH($F4132&amp;"",계정매핑!$A$5:$A$504,0))&amp;"","공통비"))</f>
        <v/>
      </c>
      <c r="AF4132" s="64">
        <f>IF($A4132="","",IF(AE4132="직접",IFERROR(INDEX(계정매핑!$F$5:$F$504,MATCH($F4132&amp;"",계정매핑!$A$5:$A$504,0))&amp;"","비귀속"),""))</f>
        <v/>
      </c>
      <c r="AG4132" s="96">
        <f>IF($A4132="",0,IF(AND(AE4132&lt;&gt;"직접",IFERROR(INDEX(계정매핑!$G$5:$G$504,MATCH($F4132&amp;"",계정매핑!$A$5:$A$504,0))&amp;"","")="유지비",COUNTIF(계정대체기준!$A$6:$A$15,$N4132)&gt;0),IFERROR(INDEX(계정대체기준!$E$6:$E$15,MATCH(VALUE($A4132&amp;""),계정대체기준!$D$6:$D$15,0)),0),0))</f>
        <v/>
      </c>
      <c r="AH4132" s="64">
        <f>IF($A4132="","",IF(AD4132=0,"",IF(OR(COUNTIF(계정대체기준!$A$77:$A$86,$N4132)&gt;0,ISNUMBER(MATCH($X4132,계정대체기준!$D$77:$D$86,0)),ISNUMBER(MATCH($F4132,계정대체기준!$D$77:$D$86,0))),"Y","N")))</f>
        <v/>
      </c>
    </row>
    <row r="4133">
      <c r="A4133" s="92" t="n">
        <v>2026</v>
      </c>
      <c r="B4133" s="92" t="n">
        <v>7</v>
      </c>
      <c r="C4133" s="92" t="inlineStr">
        <is>
          <t>5100001411</t>
        </is>
      </c>
      <c r="D4133" s="95" t="n">
        <v>46210</v>
      </c>
      <c r="E4133" s="92" t="inlineStr">
        <is>
          <t>KR</t>
        </is>
      </c>
      <c r="F4133" s="92" t="n">
        <v>62102000</v>
      </c>
      <c r="G4133" s="92" t="n">
        <v>1502</v>
      </c>
      <c r="H4133" s="93" t="n">
        <v>176000</v>
      </c>
      <c r="I4133" s="92" t="inlineStr">
        <is>
          <t>7월 해외출장 - N호텔</t>
        </is>
      </c>
      <c r="J4133" s="92" t="inlineStr">
        <is>
          <t>V10009</t>
        </is>
      </c>
      <c r="K4133" s="92" t="inlineStr">
        <is>
          <t>N호텔</t>
        </is>
      </c>
      <c r="M4133" s="9">
        <f>IF($A4133="","",VALUE($A4133&amp;"")*12+VALUE($B4133&amp;""))</f>
        <v/>
      </c>
      <c r="N4133" s="64">
        <f>IF($A4133="","",IFERROR(INDEX(부서매핑!$C$5:$C$504,MATCH($G4133&amp;"",부서매핑!$A$5:$A$504,0)),"미매핑"))</f>
        <v/>
      </c>
      <c r="O4133" s="9">
        <f>IF($A4133="","",N4133&amp;"|"&amp;$F4133)</f>
        <v/>
      </c>
      <c r="P4133" s="94">
        <f>IF($A4133="",0,$H4133*설정!$C$23)</f>
        <v/>
      </c>
      <c r="Q4133" s="64">
        <f>IF($A4133="","",IF(O4133&lt;&gt;원인분석!$C$9,"",IF(AND(M4133&gt;=원인분석!$C$10,M4133&lt;=원인분석!$C$11),"당기",IF(AND(M4133&gt;=원인분석!$C$12,M4133&lt;=원인분석!$C$13),"비교",""))))</f>
        <v/>
      </c>
      <c r="R4133" s="9">
        <f>IF(Q4133="","",$K4133&amp;"")</f>
        <v/>
      </c>
      <c r="S4133" s="9">
        <f>IF(Q4133="","",IF(MATCH(R4133,$R$5:$R$100000,0)=ROW()-4,ROW(),""))</f>
        <v/>
      </c>
      <c r="T4133" s="9">
        <f>IF(Q4133="당기",ABS(P4133)+ROW()/1000000000,"")</f>
        <v/>
      </c>
      <c r="U4133" s="9">
        <f>IF(Q4133="비교",ABS(P4133)+ROW()/1000000000,"")</f>
        <v/>
      </c>
      <c r="V4133" s="64">
        <f>IF($A4133="","",IF(COUNTIF(변동분석!$E$7:$E$506,O4133)&gt;0,"Y","N"))</f>
        <v/>
      </c>
      <c r="W4133" s="64">
        <f>IF($A4133="","",IFERROR(INDEX(계정매핑!$D$5:$D$504,MATCH($F4133&amp;"",계정매핑!$A$5:$A$504,0)),"미매핑"))</f>
        <v/>
      </c>
      <c r="X4133" s="9">
        <f>IF($A4133="","",$F4133&amp;"")</f>
        <v/>
      </c>
      <c r="Y4133" s="94">
        <f>IF($A4133="",0,IF(AE4133="직접",IF(AF4133="비귀속",$P4133,0),$P4133*(1-AG4133)*IFERROR(INDEX(계정대체기준!$F$20:$F$49,MATCH($N4133,계정대체기준!$A$20:$A$49,0)),1)))</f>
        <v/>
      </c>
      <c r="Z4133" s="94">
        <f>IF($A4133="",0,IF(AE4133="직접",IF(AF4133="신계약비",$P4133,0),$P4133*(1-AG4133)*IFERROR(INDEX(계정대체기준!$C$20:$C$49,MATCH($N4133,계정대체기준!$A$20:$A$49,0)),0)))</f>
        <v/>
      </c>
      <c r="AA4133" s="94">
        <f>IF($A4133="",0,IF(AE4133="직접",IF(OR(AF4133="유지비",AF4133="손해조사비"),$P4133,0),$P4133*(1-AG4133)*IFERROR(INDEX(계정대체기준!$D$20:$D$49,MATCH($N4133,계정대체기준!$A$20:$A$49,0)),0)))</f>
        <v/>
      </c>
      <c r="AB4133" s="94">
        <f>IF($A4133="",0,IF(AE4133="직접",IF(AF4133="수금비",$P4133,0),$P4133*(1-AG4133)*IFERROR(INDEX(계정대체기준!$E$20:$E$49,MATCH($N4133,계정대체기준!$A$20:$A$49,0)),0)))</f>
        <v/>
      </c>
      <c r="AC4133" s="9">
        <f>IF(AND($A4133&lt;&gt;"",M4133=설정!$C$20,Z4133&gt;0),Z4133+ROW()/1000000000,"")</f>
        <v/>
      </c>
      <c r="AD4133" s="94">
        <f>IF($A4133="",0,$P4133*AG4133)</f>
        <v/>
      </c>
      <c r="AE4133" s="64">
        <f>IF($A4133="","",IFERROR(INDEX(계정매핑!$E$5:$E$504,MATCH($F4133&amp;"",계정매핑!$A$5:$A$504,0))&amp;"","공통비"))</f>
        <v/>
      </c>
      <c r="AF4133" s="64">
        <f>IF($A4133="","",IF(AE4133="직접",IFERROR(INDEX(계정매핑!$F$5:$F$504,MATCH($F4133&amp;"",계정매핑!$A$5:$A$504,0))&amp;"","비귀속"),""))</f>
        <v/>
      </c>
      <c r="AG4133" s="96">
        <f>IF($A4133="",0,IF(AND(AE4133&lt;&gt;"직접",IFERROR(INDEX(계정매핑!$G$5:$G$504,MATCH($F4133&amp;"",계정매핑!$A$5:$A$504,0))&amp;"","")="유지비",COUNTIF(계정대체기준!$A$6:$A$15,$N4133)&gt;0),IFERROR(INDEX(계정대체기준!$E$6:$E$15,MATCH(VALUE($A4133&amp;""),계정대체기준!$D$6:$D$15,0)),0),0))</f>
        <v/>
      </c>
      <c r="AH4133" s="64">
        <f>IF($A4133="","",IF(AD4133=0,"",IF(OR(COUNTIF(계정대체기준!$A$77:$A$86,$N4133)&gt;0,ISNUMBER(MATCH($X4133,계정대체기준!$D$77:$D$86,0)),ISNUMBER(MATCH($F4133,계정대체기준!$D$77:$D$86,0))),"Y","N")))</f>
        <v/>
      </c>
    </row>
    <row r="4134">
      <c r="A4134" s="92" t="n">
        <v>2026</v>
      </c>
      <c r="B4134" s="92" t="n">
        <v>7</v>
      </c>
      <c r="C4134" s="92" t="inlineStr">
        <is>
          <t>5100001412</t>
        </is>
      </c>
      <c r="D4134" s="95" t="n">
        <v>46210</v>
      </c>
      <c r="E4134" s="92" t="inlineStr">
        <is>
          <t>KR</t>
        </is>
      </c>
      <c r="F4134" s="92" t="n">
        <v>62102000</v>
      </c>
      <c r="G4134" s="92" t="n">
        <v>1801</v>
      </c>
      <c r="H4134" s="93" t="n">
        <v>39000</v>
      </c>
      <c r="I4134" s="92" t="inlineStr">
        <is>
          <t>7월 해외출장 - N호텔</t>
        </is>
      </c>
      <c r="J4134" s="92" t="inlineStr">
        <is>
          <t>V10009</t>
        </is>
      </c>
      <c r="K4134" s="92" t="inlineStr">
        <is>
          <t>N호텔</t>
        </is>
      </c>
      <c r="M4134" s="9">
        <f>IF($A4134="","",VALUE($A4134&amp;"")*12+VALUE($B4134&amp;""))</f>
        <v/>
      </c>
      <c r="N4134" s="64">
        <f>IF($A4134="","",IFERROR(INDEX(부서매핑!$C$5:$C$504,MATCH($G4134&amp;"",부서매핑!$A$5:$A$504,0)),"미매핑"))</f>
        <v/>
      </c>
      <c r="O4134" s="9">
        <f>IF($A4134="","",N4134&amp;"|"&amp;$F4134)</f>
        <v/>
      </c>
      <c r="P4134" s="94">
        <f>IF($A4134="",0,$H4134*설정!$C$23)</f>
        <v/>
      </c>
      <c r="Q4134" s="64">
        <f>IF($A4134="","",IF(O4134&lt;&gt;원인분석!$C$9,"",IF(AND(M4134&gt;=원인분석!$C$10,M4134&lt;=원인분석!$C$11),"당기",IF(AND(M4134&gt;=원인분석!$C$12,M4134&lt;=원인분석!$C$13),"비교",""))))</f>
        <v/>
      </c>
      <c r="R4134" s="9">
        <f>IF(Q4134="","",$K4134&amp;"")</f>
        <v/>
      </c>
      <c r="S4134" s="9">
        <f>IF(Q4134="","",IF(MATCH(R4134,$R$5:$R$100000,0)=ROW()-4,ROW(),""))</f>
        <v/>
      </c>
      <c r="T4134" s="9">
        <f>IF(Q4134="당기",ABS(P4134)+ROW()/1000000000,"")</f>
        <v/>
      </c>
      <c r="U4134" s="9">
        <f>IF(Q4134="비교",ABS(P4134)+ROW()/1000000000,"")</f>
        <v/>
      </c>
      <c r="V4134" s="64">
        <f>IF($A4134="","",IF(COUNTIF(변동분석!$E$7:$E$506,O4134)&gt;0,"Y","N"))</f>
        <v/>
      </c>
      <c r="W4134" s="64">
        <f>IF($A4134="","",IFERROR(INDEX(계정매핑!$D$5:$D$504,MATCH($F4134&amp;"",계정매핑!$A$5:$A$504,0)),"미매핑"))</f>
        <v/>
      </c>
      <c r="X4134" s="9">
        <f>IF($A4134="","",$F4134&amp;"")</f>
        <v/>
      </c>
      <c r="Y4134" s="94">
        <f>IF($A4134="",0,IF(AE4134="직접",IF(AF4134="비귀속",$P4134,0),$P4134*(1-AG4134)*IFERROR(INDEX(계정대체기준!$F$20:$F$49,MATCH($N4134,계정대체기준!$A$20:$A$49,0)),1)))</f>
        <v/>
      </c>
      <c r="Z4134" s="94">
        <f>IF($A4134="",0,IF(AE4134="직접",IF(AF4134="신계약비",$P4134,0),$P4134*(1-AG4134)*IFERROR(INDEX(계정대체기준!$C$20:$C$49,MATCH($N4134,계정대체기준!$A$20:$A$49,0)),0)))</f>
        <v/>
      </c>
      <c r="AA4134" s="94">
        <f>IF($A4134="",0,IF(AE4134="직접",IF(OR(AF4134="유지비",AF4134="손해조사비"),$P4134,0),$P4134*(1-AG4134)*IFERROR(INDEX(계정대체기준!$D$20:$D$49,MATCH($N4134,계정대체기준!$A$20:$A$49,0)),0)))</f>
        <v/>
      </c>
      <c r="AB4134" s="94">
        <f>IF($A4134="",0,IF(AE4134="직접",IF(AF4134="수금비",$P4134,0),$P4134*(1-AG4134)*IFERROR(INDEX(계정대체기준!$E$20:$E$49,MATCH($N4134,계정대체기준!$A$20:$A$49,0)),0)))</f>
        <v/>
      </c>
      <c r="AC4134" s="9">
        <f>IF(AND($A4134&lt;&gt;"",M4134=설정!$C$20,Z4134&gt;0),Z4134+ROW()/1000000000,"")</f>
        <v/>
      </c>
      <c r="AD4134" s="94">
        <f>IF($A4134="",0,$P4134*AG4134)</f>
        <v/>
      </c>
      <c r="AE4134" s="64">
        <f>IF($A4134="","",IFERROR(INDEX(계정매핑!$E$5:$E$504,MATCH($F4134&amp;"",계정매핑!$A$5:$A$504,0))&amp;"","공통비"))</f>
        <v/>
      </c>
      <c r="AF4134" s="64">
        <f>IF($A4134="","",IF(AE4134="직접",IFERROR(INDEX(계정매핑!$F$5:$F$504,MATCH($F4134&amp;"",계정매핑!$A$5:$A$504,0))&amp;"","비귀속"),""))</f>
        <v/>
      </c>
      <c r="AG4134" s="96">
        <f>IF($A4134="",0,IF(AND(AE4134&lt;&gt;"직접",IFERROR(INDEX(계정매핑!$G$5:$G$504,MATCH($F4134&amp;"",계정매핑!$A$5:$A$504,0))&amp;"","")="유지비",COUNTIF(계정대체기준!$A$6:$A$15,$N4134)&gt;0),IFERROR(INDEX(계정대체기준!$E$6:$E$15,MATCH(VALUE($A4134&amp;""),계정대체기준!$D$6:$D$15,0)),0),0))</f>
        <v/>
      </c>
      <c r="AH4134" s="64">
        <f>IF($A4134="","",IF(AD4134=0,"",IF(OR(COUNTIF(계정대체기준!$A$77:$A$86,$N4134)&gt;0,ISNUMBER(MATCH($X4134,계정대체기준!$D$77:$D$86,0)),ISNUMBER(MATCH($F4134,계정대체기준!$D$77:$D$86,0))),"Y","N")))</f>
        <v/>
      </c>
    </row>
    <row r="4135">
      <c r="A4135" s="92" t="n">
        <v>2026</v>
      </c>
      <c r="B4135" s="92" t="n">
        <v>7</v>
      </c>
      <c r="C4135" s="92" t="inlineStr">
        <is>
          <t>5100001413</t>
        </is>
      </c>
      <c r="D4135" s="95" t="n">
        <v>46210</v>
      </c>
      <c r="E4135" s="92" t="inlineStr">
        <is>
          <t>KR</t>
        </is>
      </c>
      <c r="F4135" s="92" t="n">
        <v>62201000</v>
      </c>
      <c r="G4135" s="92" t="n">
        <v>1701</v>
      </c>
      <c r="H4135" s="93" t="n">
        <v>4872000</v>
      </c>
      <c r="I4135" s="92" t="inlineStr">
        <is>
          <t>7월 통신요금 - P통신</t>
        </is>
      </c>
      <c r="J4135" s="92" t="inlineStr">
        <is>
          <t>V10014</t>
        </is>
      </c>
      <c r="K4135" s="92" t="inlineStr">
        <is>
          <t>P통신</t>
        </is>
      </c>
      <c r="M4135" s="9">
        <f>IF($A4135="","",VALUE($A4135&amp;"")*12+VALUE($B4135&amp;""))</f>
        <v/>
      </c>
      <c r="N4135" s="64">
        <f>IF($A4135="","",IFERROR(INDEX(부서매핑!$C$5:$C$504,MATCH($G4135&amp;"",부서매핑!$A$5:$A$504,0)),"미매핑"))</f>
        <v/>
      </c>
      <c r="O4135" s="9">
        <f>IF($A4135="","",N4135&amp;"|"&amp;$F4135)</f>
        <v/>
      </c>
      <c r="P4135" s="94">
        <f>IF($A4135="",0,$H4135*설정!$C$23)</f>
        <v/>
      </c>
      <c r="Q4135" s="64">
        <f>IF($A4135="","",IF(O4135&lt;&gt;원인분석!$C$9,"",IF(AND(M4135&gt;=원인분석!$C$10,M4135&lt;=원인분석!$C$11),"당기",IF(AND(M4135&gt;=원인분석!$C$12,M4135&lt;=원인분석!$C$13),"비교",""))))</f>
        <v/>
      </c>
      <c r="R4135" s="9">
        <f>IF(Q4135="","",$K4135&amp;"")</f>
        <v/>
      </c>
      <c r="S4135" s="9">
        <f>IF(Q4135="","",IF(MATCH(R4135,$R$5:$R$100000,0)=ROW()-4,ROW(),""))</f>
        <v/>
      </c>
      <c r="T4135" s="9">
        <f>IF(Q4135="당기",ABS(P4135)+ROW()/1000000000,"")</f>
        <v/>
      </c>
      <c r="U4135" s="9">
        <f>IF(Q4135="비교",ABS(P4135)+ROW()/1000000000,"")</f>
        <v/>
      </c>
      <c r="V4135" s="64">
        <f>IF($A4135="","",IF(COUNTIF(변동분석!$E$7:$E$506,O4135)&gt;0,"Y","N"))</f>
        <v/>
      </c>
      <c r="W4135" s="64">
        <f>IF($A4135="","",IFERROR(INDEX(계정매핑!$D$5:$D$504,MATCH($F4135&amp;"",계정매핑!$A$5:$A$504,0)),"미매핑"))</f>
        <v/>
      </c>
      <c r="X4135" s="9">
        <f>IF($A4135="","",$F4135&amp;"")</f>
        <v/>
      </c>
      <c r="Y4135" s="94">
        <f>IF($A4135="",0,IF(AE4135="직접",IF(AF4135="비귀속",$P4135,0),$P4135*(1-AG4135)*IFERROR(INDEX(계정대체기준!$F$20:$F$49,MATCH($N4135,계정대체기준!$A$20:$A$49,0)),1)))</f>
        <v/>
      </c>
      <c r="Z4135" s="94">
        <f>IF($A4135="",0,IF(AE4135="직접",IF(AF4135="신계약비",$P4135,0),$P4135*(1-AG4135)*IFERROR(INDEX(계정대체기준!$C$20:$C$49,MATCH($N4135,계정대체기준!$A$20:$A$49,0)),0)))</f>
        <v/>
      </c>
      <c r="AA4135" s="94">
        <f>IF($A4135="",0,IF(AE4135="직접",IF(OR(AF4135="유지비",AF4135="손해조사비"),$P4135,0),$P4135*(1-AG4135)*IFERROR(INDEX(계정대체기준!$D$20:$D$49,MATCH($N4135,계정대체기준!$A$20:$A$49,0)),0)))</f>
        <v/>
      </c>
      <c r="AB4135" s="94">
        <f>IF($A4135="",0,IF(AE4135="직접",IF(AF4135="수금비",$P4135,0),$P4135*(1-AG4135)*IFERROR(INDEX(계정대체기준!$E$20:$E$49,MATCH($N4135,계정대체기준!$A$20:$A$49,0)),0)))</f>
        <v/>
      </c>
      <c r="AC4135" s="9">
        <f>IF(AND($A4135&lt;&gt;"",M4135=설정!$C$20,Z4135&gt;0),Z4135+ROW()/1000000000,"")</f>
        <v/>
      </c>
      <c r="AD4135" s="94">
        <f>IF($A4135="",0,$P4135*AG4135)</f>
        <v/>
      </c>
      <c r="AE4135" s="64">
        <f>IF($A4135="","",IFERROR(INDEX(계정매핑!$E$5:$E$504,MATCH($F4135&amp;"",계정매핑!$A$5:$A$504,0))&amp;"","공통비"))</f>
        <v/>
      </c>
      <c r="AF4135" s="64">
        <f>IF($A4135="","",IF(AE4135="직접",IFERROR(INDEX(계정매핑!$F$5:$F$504,MATCH($F4135&amp;"",계정매핑!$A$5:$A$504,0))&amp;"","비귀속"),""))</f>
        <v/>
      </c>
      <c r="AG4135" s="96">
        <f>IF($A4135="",0,IF(AND(AE4135&lt;&gt;"직접",IFERROR(INDEX(계정매핑!$G$5:$G$504,MATCH($F4135&amp;"",계정매핑!$A$5:$A$504,0))&amp;"","")="유지비",COUNTIF(계정대체기준!$A$6:$A$15,$N4135)&gt;0),IFERROR(INDEX(계정대체기준!$E$6:$E$15,MATCH(VALUE($A4135&amp;""),계정대체기준!$D$6:$D$15,0)),0),0))</f>
        <v/>
      </c>
      <c r="AH4135" s="64">
        <f>IF($A4135="","",IF(AD4135=0,"",IF(OR(COUNTIF(계정대체기준!$A$77:$A$86,$N4135)&gt;0,ISNUMBER(MATCH($X4135,계정대체기준!$D$77:$D$86,0)),ISNUMBER(MATCH($F4135,계정대체기준!$D$77:$D$86,0))),"Y","N")))</f>
        <v/>
      </c>
    </row>
    <row r="4136">
      <c r="A4136" s="92" t="n">
        <v>2026</v>
      </c>
      <c r="B4136" s="92" t="n">
        <v>7</v>
      </c>
      <c r="C4136" s="92" t="inlineStr">
        <is>
          <t>5100001414</t>
        </is>
      </c>
      <c r="D4136" s="95" t="n">
        <v>46210</v>
      </c>
      <c r="E4136" s="92" t="inlineStr">
        <is>
          <t>KR</t>
        </is>
      </c>
      <c r="F4136" s="92" t="n">
        <v>62401000</v>
      </c>
      <c r="G4136" s="92" t="n">
        <v>1801</v>
      </c>
      <c r="H4136" s="93" t="n">
        <v>2332000</v>
      </c>
      <c r="I4136" s="92" t="inlineStr">
        <is>
          <t>7월 인쇄물 제작 - S출판</t>
        </is>
      </c>
      <c r="J4136" s="92" t="inlineStr">
        <is>
          <t>V10015</t>
        </is>
      </c>
      <c r="K4136" s="92" t="inlineStr">
        <is>
          <t>S출판</t>
        </is>
      </c>
      <c r="M4136" s="9">
        <f>IF($A4136="","",VALUE($A4136&amp;"")*12+VALUE($B4136&amp;""))</f>
        <v/>
      </c>
      <c r="N4136" s="64">
        <f>IF($A4136="","",IFERROR(INDEX(부서매핑!$C$5:$C$504,MATCH($G4136&amp;"",부서매핑!$A$5:$A$504,0)),"미매핑"))</f>
        <v/>
      </c>
      <c r="O4136" s="9">
        <f>IF($A4136="","",N4136&amp;"|"&amp;$F4136)</f>
        <v/>
      </c>
      <c r="P4136" s="94">
        <f>IF($A4136="",0,$H4136*설정!$C$23)</f>
        <v/>
      </c>
      <c r="Q4136" s="64">
        <f>IF($A4136="","",IF(O4136&lt;&gt;원인분석!$C$9,"",IF(AND(M4136&gt;=원인분석!$C$10,M4136&lt;=원인분석!$C$11),"당기",IF(AND(M4136&gt;=원인분석!$C$12,M4136&lt;=원인분석!$C$13),"비교",""))))</f>
        <v/>
      </c>
      <c r="R4136" s="9">
        <f>IF(Q4136="","",$K4136&amp;"")</f>
        <v/>
      </c>
      <c r="S4136" s="9">
        <f>IF(Q4136="","",IF(MATCH(R4136,$R$5:$R$100000,0)=ROW()-4,ROW(),""))</f>
        <v/>
      </c>
      <c r="T4136" s="9">
        <f>IF(Q4136="당기",ABS(P4136)+ROW()/1000000000,"")</f>
        <v/>
      </c>
      <c r="U4136" s="9">
        <f>IF(Q4136="비교",ABS(P4136)+ROW()/1000000000,"")</f>
        <v/>
      </c>
      <c r="V4136" s="64">
        <f>IF($A4136="","",IF(COUNTIF(변동분석!$E$7:$E$506,O4136)&gt;0,"Y","N"))</f>
        <v/>
      </c>
      <c r="W4136" s="64">
        <f>IF($A4136="","",IFERROR(INDEX(계정매핑!$D$5:$D$504,MATCH($F4136&amp;"",계정매핑!$A$5:$A$504,0)),"미매핑"))</f>
        <v/>
      </c>
      <c r="X4136" s="9">
        <f>IF($A4136="","",$F4136&amp;"")</f>
        <v/>
      </c>
      <c r="Y4136" s="94">
        <f>IF($A4136="",0,IF(AE4136="직접",IF(AF4136="비귀속",$P4136,0),$P4136*(1-AG4136)*IFERROR(INDEX(계정대체기준!$F$20:$F$49,MATCH($N4136,계정대체기준!$A$20:$A$49,0)),1)))</f>
        <v/>
      </c>
      <c r="Z4136" s="94">
        <f>IF($A4136="",0,IF(AE4136="직접",IF(AF4136="신계약비",$P4136,0),$P4136*(1-AG4136)*IFERROR(INDEX(계정대체기준!$C$20:$C$49,MATCH($N4136,계정대체기준!$A$20:$A$49,0)),0)))</f>
        <v/>
      </c>
      <c r="AA4136" s="94">
        <f>IF($A4136="",0,IF(AE4136="직접",IF(OR(AF4136="유지비",AF4136="손해조사비"),$P4136,0),$P4136*(1-AG4136)*IFERROR(INDEX(계정대체기준!$D$20:$D$49,MATCH($N4136,계정대체기준!$A$20:$A$49,0)),0)))</f>
        <v/>
      </c>
      <c r="AB4136" s="94">
        <f>IF($A4136="",0,IF(AE4136="직접",IF(AF4136="수금비",$P4136,0),$P4136*(1-AG4136)*IFERROR(INDEX(계정대체기준!$E$20:$E$49,MATCH($N4136,계정대체기준!$A$20:$A$49,0)),0)))</f>
        <v/>
      </c>
      <c r="AC4136" s="9">
        <f>IF(AND($A4136&lt;&gt;"",M4136=설정!$C$20,Z4136&gt;0),Z4136+ROW()/1000000000,"")</f>
        <v/>
      </c>
      <c r="AD4136" s="94">
        <f>IF($A4136="",0,$P4136*AG4136)</f>
        <v/>
      </c>
      <c r="AE4136" s="64">
        <f>IF($A4136="","",IFERROR(INDEX(계정매핑!$E$5:$E$504,MATCH($F4136&amp;"",계정매핑!$A$5:$A$504,0))&amp;"","공통비"))</f>
        <v/>
      </c>
      <c r="AF4136" s="64">
        <f>IF($A4136="","",IF(AE4136="직접",IFERROR(INDEX(계정매핑!$F$5:$F$504,MATCH($F4136&amp;"",계정매핑!$A$5:$A$504,0))&amp;"","비귀속"),""))</f>
        <v/>
      </c>
      <c r="AG4136" s="96">
        <f>IF($A4136="",0,IF(AND(AE4136&lt;&gt;"직접",IFERROR(INDEX(계정매핑!$G$5:$G$504,MATCH($F4136&amp;"",계정매핑!$A$5:$A$504,0))&amp;"","")="유지비",COUNTIF(계정대체기준!$A$6:$A$15,$N4136)&gt;0),IFERROR(INDEX(계정대체기준!$E$6:$E$15,MATCH(VALUE($A4136&amp;""),계정대체기준!$D$6:$D$15,0)),0),0))</f>
        <v/>
      </c>
      <c r="AH4136" s="64">
        <f>IF($A4136="","",IF(AD4136=0,"",IF(OR(COUNTIF(계정대체기준!$A$77:$A$86,$N4136)&gt;0,ISNUMBER(MATCH($X4136,계정대체기준!$D$77:$D$86,0)),ISNUMBER(MATCH($F4136,계정대체기준!$D$77:$D$86,0))),"Y","N")))</f>
        <v/>
      </c>
    </row>
    <row r="4137">
      <c r="A4137" s="92" t="n">
        <v>2026</v>
      </c>
      <c r="B4137" s="92" t="n">
        <v>7</v>
      </c>
      <c r="C4137" s="92" t="inlineStr">
        <is>
          <t>5100001415</t>
        </is>
      </c>
      <c r="D4137" s="95" t="n">
        <v>46210</v>
      </c>
      <c r="E4137" s="92" t="inlineStr">
        <is>
          <t>KR</t>
        </is>
      </c>
      <c r="F4137" s="92" t="n">
        <v>62601000</v>
      </c>
      <c r="G4137" s="92" t="n">
        <v>1301</v>
      </c>
      <c r="H4137" s="93" t="n">
        <v>858000</v>
      </c>
      <c r="I4137" s="92" t="inlineStr">
        <is>
          <t>7월 업무추진 - (법인카드)</t>
        </is>
      </c>
      <c r="J4137" s="92" t="inlineStr">
        <is>
          <t>V10010</t>
        </is>
      </c>
      <c r="K4137" s="92" t="inlineStr">
        <is>
          <t>(법인카드)</t>
        </is>
      </c>
      <c r="M4137" s="9">
        <f>IF($A4137="","",VALUE($A4137&amp;"")*12+VALUE($B4137&amp;""))</f>
        <v/>
      </c>
      <c r="N4137" s="64">
        <f>IF($A4137="","",IFERROR(INDEX(부서매핑!$C$5:$C$504,MATCH($G4137&amp;"",부서매핑!$A$5:$A$504,0)),"미매핑"))</f>
        <v/>
      </c>
      <c r="O4137" s="9">
        <f>IF($A4137="","",N4137&amp;"|"&amp;$F4137)</f>
        <v/>
      </c>
      <c r="P4137" s="94">
        <f>IF($A4137="",0,$H4137*설정!$C$23)</f>
        <v/>
      </c>
      <c r="Q4137" s="64">
        <f>IF($A4137="","",IF(O4137&lt;&gt;원인분석!$C$9,"",IF(AND(M4137&gt;=원인분석!$C$10,M4137&lt;=원인분석!$C$11),"당기",IF(AND(M4137&gt;=원인분석!$C$12,M4137&lt;=원인분석!$C$13),"비교",""))))</f>
        <v/>
      </c>
      <c r="R4137" s="9">
        <f>IF(Q4137="","",$K4137&amp;"")</f>
        <v/>
      </c>
      <c r="S4137" s="9">
        <f>IF(Q4137="","",IF(MATCH(R4137,$R$5:$R$100000,0)=ROW()-4,ROW(),""))</f>
        <v/>
      </c>
      <c r="T4137" s="9">
        <f>IF(Q4137="당기",ABS(P4137)+ROW()/1000000000,"")</f>
        <v/>
      </c>
      <c r="U4137" s="9">
        <f>IF(Q4137="비교",ABS(P4137)+ROW()/1000000000,"")</f>
        <v/>
      </c>
      <c r="V4137" s="64">
        <f>IF($A4137="","",IF(COUNTIF(변동분석!$E$7:$E$506,O4137)&gt;0,"Y","N"))</f>
        <v/>
      </c>
      <c r="W4137" s="64">
        <f>IF($A4137="","",IFERROR(INDEX(계정매핑!$D$5:$D$504,MATCH($F4137&amp;"",계정매핑!$A$5:$A$504,0)),"미매핑"))</f>
        <v/>
      </c>
      <c r="X4137" s="9">
        <f>IF($A4137="","",$F4137&amp;"")</f>
        <v/>
      </c>
      <c r="Y4137" s="94">
        <f>IF($A4137="",0,IF(AE4137="직접",IF(AF4137="비귀속",$P4137,0),$P4137*(1-AG4137)*IFERROR(INDEX(계정대체기준!$F$20:$F$49,MATCH($N4137,계정대체기준!$A$20:$A$49,0)),1)))</f>
        <v/>
      </c>
      <c r="Z4137" s="94">
        <f>IF($A4137="",0,IF(AE4137="직접",IF(AF4137="신계약비",$P4137,0),$P4137*(1-AG4137)*IFERROR(INDEX(계정대체기준!$C$20:$C$49,MATCH($N4137,계정대체기준!$A$20:$A$49,0)),0)))</f>
        <v/>
      </c>
      <c r="AA4137" s="94">
        <f>IF($A4137="",0,IF(AE4137="직접",IF(OR(AF4137="유지비",AF4137="손해조사비"),$P4137,0),$P4137*(1-AG4137)*IFERROR(INDEX(계정대체기준!$D$20:$D$49,MATCH($N4137,계정대체기준!$A$20:$A$49,0)),0)))</f>
        <v/>
      </c>
      <c r="AB4137" s="94">
        <f>IF($A4137="",0,IF(AE4137="직접",IF(AF4137="수금비",$P4137,0),$P4137*(1-AG4137)*IFERROR(INDEX(계정대체기준!$E$20:$E$49,MATCH($N4137,계정대체기준!$A$20:$A$49,0)),0)))</f>
        <v/>
      </c>
      <c r="AC4137" s="9">
        <f>IF(AND($A4137&lt;&gt;"",M4137=설정!$C$20,Z4137&gt;0),Z4137+ROW()/1000000000,"")</f>
        <v/>
      </c>
      <c r="AD4137" s="94">
        <f>IF($A4137="",0,$P4137*AG4137)</f>
        <v/>
      </c>
      <c r="AE4137" s="64">
        <f>IF($A4137="","",IFERROR(INDEX(계정매핑!$E$5:$E$504,MATCH($F4137&amp;"",계정매핑!$A$5:$A$504,0))&amp;"","공통비"))</f>
        <v/>
      </c>
      <c r="AF4137" s="64">
        <f>IF($A4137="","",IF(AE4137="직접",IFERROR(INDEX(계정매핑!$F$5:$F$504,MATCH($F4137&amp;"",계정매핑!$A$5:$A$504,0))&amp;"","비귀속"),""))</f>
        <v/>
      </c>
      <c r="AG4137" s="96">
        <f>IF($A4137="",0,IF(AND(AE4137&lt;&gt;"직접",IFERROR(INDEX(계정매핑!$G$5:$G$504,MATCH($F4137&amp;"",계정매핑!$A$5:$A$504,0))&amp;"","")="유지비",COUNTIF(계정대체기준!$A$6:$A$15,$N4137)&gt;0),IFERROR(INDEX(계정대체기준!$E$6:$E$15,MATCH(VALUE($A4137&amp;""),계정대체기준!$D$6:$D$15,0)),0),0))</f>
        <v/>
      </c>
      <c r="AH4137" s="64">
        <f>IF($A4137="","",IF(AD4137=0,"",IF(OR(COUNTIF(계정대체기준!$A$77:$A$86,$N4137)&gt;0,ISNUMBER(MATCH($X4137,계정대체기준!$D$77:$D$86,0)),ISNUMBER(MATCH($F4137,계정대체기준!$D$77:$D$86,0))),"Y","N")))</f>
        <v/>
      </c>
    </row>
    <row r="4138">
      <c r="A4138" s="92" t="n">
        <v>2026</v>
      </c>
      <c r="B4138" s="92" t="n">
        <v>7</v>
      </c>
      <c r="C4138" s="92" t="inlineStr">
        <is>
          <t>5100001416</t>
        </is>
      </c>
      <c r="D4138" s="95" t="n">
        <v>46210</v>
      </c>
      <c r="E4138" s="92" t="inlineStr">
        <is>
          <t>KR</t>
        </is>
      </c>
      <c r="F4138" s="92" t="n">
        <v>62902000</v>
      </c>
      <c r="G4138" s="92" t="n">
        <v>1801</v>
      </c>
      <c r="H4138" s="93" t="n">
        <v>1789000</v>
      </c>
      <c r="I4138" s="92" t="inlineStr">
        <is>
          <t>7월 콜 위탁 수수료(건별)</t>
        </is>
      </c>
      <c r="J4138" s="92" t="inlineStr">
        <is>
          <t>V10016</t>
        </is>
      </c>
      <c r="K4138" s="92" t="inlineStr">
        <is>
          <t>J콜센터</t>
        </is>
      </c>
      <c r="M4138" s="9">
        <f>IF($A4138="","",VALUE($A4138&amp;"")*12+VALUE($B4138&amp;""))</f>
        <v/>
      </c>
      <c r="N4138" s="64">
        <f>IF($A4138="","",IFERROR(INDEX(부서매핑!$C$5:$C$504,MATCH($G4138&amp;"",부서매핑!$A$5:$A$504,0)),"미매핑"))</f>
        <v/>
      </c>
      <c r="O4138" s="9">
        <f>IF($A4138="","",N4138&amp;"|"&amp;$F4138)</f>
        <v/>
      </c>
      <c r="P4138" s="94">
        <f>IF($A4138="",0,$H4138*설정!$C$23)</f>
        <v/>
      </c>
      <c r="Q4138" s="64">
        <f>IF($A4138="","",IF(O4138&lt;&gt;원인분석!$C$9,"",IF(AND(M4138&gt;=원인분석!$C$10,M4138&lt;=원인분석!$C$11),"당기",IF(AND(M4138&gt;=원인분석!$C$12,M4138&lt;=원인분석!$C$13),"비교",""))))</f>
        <v/>
      </c>
      <c r="R4138" s="9">
        <f>IF(Q4138="","",$K4138&amp;"")</f>
        <v/>
      </c>
      <c r="S4138" s="9">
        <f>IF(Q4138="","",IF(MATCH(R4138,$R$5:$R$100000,0)=ROW()-4,ROW(),""))</f>
        <v/>
      </c>
      <c r="T4138" s="9">
        <f>IF(Q4138="당기",ABS(P4138)+ROW()/1000000000,"")</f>
        <v/>
      </c>
      <c r="U4138" s="9">
        <f>IF(Q4138="비교",ABS(P4138)+ROW()/1000000000,"")</f>
        <v/>
      </c>
      <c r="V4138" s="64">
        <f>IF($A4138="","",IF(COUNTIF(변동분석!$E$7:$E$506,O4138)&gt;0,"Y","N"))</f>
        <v/>
      </c>
      <c r="W4138" s="64">
        <f>IF($A4138="","",IFERROR(INDEX(계정매핑!$D$5:$D$504,MATCH($F4138&amp;"",계정매핑!$A$5:$A$504,0)),"미매핑"))</f>
        <v/>
      </c>
      <c r="X4138" s="9">
        <f>IF($A4138="","",$F4138&amp;"")</f>
        <v/>
      </c>
      <c r="Y4138" s="94">
        <f>IF($A4138="",0,IF(AE4138="직접",IF(AF4138="비귀속",$P4138,0),$P4138*(1-AG4138)*IFERROR(INDEX(계정대체기준!$F$20:$F$49,MATCH($N4138,계정대체기준!$A$20:$A$49,0)),1)))</f>
        <v/>
      </c>
      <c r="Z4138" s="94">
        <f>IF($A4138="",0,IF(AE4138="직접",IF(AF4138="신계약비",$P4138,0),$P4138*(1-AG4138)*IFERROR(INDEX(계정대체기준!$C$20:$C$49,MATCH($N4138,계정대체기준!$A$20:$A$49,0)),0)))</f>
        <v/>
      </c>
      <c r="AA4138" s="94">
        <f>IF($A4138="",0,IF(AE4138="직접",IF(OR(AF4138="유지비",AF4138="손해조사비"),$P4138,0),$P4138*(1-AG4138)*IFERROR(INDEX(계정대체기준!$D$20:$D$49,MATCH($N4138,계정대체기준!$A$20:$A$49,0)),0)))</f>
        <v/>
      </c>
      <c r="AB4138" s="94">
        <f>IF($A4138="",0,IF(AE4138="직접",IF(AF4138="수금비",$P4138,0),$P4138*(1-AG4138)*IFERROR(INDEX(계정대체기준!$E$20:$E$49,MATCH($N4138,계정대체기준!$A$20:$A$49,0)),0)))</f>
        <v/>
      </c>
      <c r="AC4138" s="9">
        <f>IF(AND($A4138&lt;&gt;"",M4138=설정!$C$20,Z4138&gt;0),Z4138+ROW()/1000000000,"")</f>
        <v/>
      </c>
      <c r="AD4138" s="94">
        <f>IF($A4138="",0,$P4138*AG4138)</f>
        <v/>
      </c>
      <c r="AE4138" s="64">
        <f>IF($A4138="","",IFERROR(INDEX(계정매핑!$E$5:$E$504,MATCH($F4138&amp;"",계정매핑!$A$5:$A$504,0))&amp;"","공통비"))</f>
        <v/>
      </c>
      <c r="AF4138" s="64">
        <f>IF($A4138="","",IF(AE4138="직접",IFERROR(INDEX(계정매핑!$F$5:$F$504,MATCH($F4138&amp;"",계정매핑!$A$5:$A$504,0))&amp;"","비귀속"),""))</f>
        <v/>
      </c>
      <c r="AG4138" s="96">
        <f>IF($A4138="",0,IF(AND(AE4138&lt;&gt;"직접",IFERROR(INDEX(계정매핑!$G$5:$G$504,MATCH($F4138&amp;"",계정매핑!$A$5:$A$504,0))&amp;"","")="유지비",COUNTIF(계정대체기준!$A$6:$A$15,$N4138)&gt;0),IFERROR(INDEX(계정대체기준!$E$6:$E$15,MATCH(VALUE($A4138&amp;""),계정대체기준!$D$6:$D$15,0)),0),0))</f>
        <v/>
      </c>
      <c r="AH4138" s="64">
        <f>IF($A4138="","",IF(AD4138=0,"",IF(OR(COUNTIF(계정대체기준!$A$77:$A$86,$N4138)&gt;0,ISNUMBER(MATCH($X4138,계정대체기준!$D$77:$D$86,0)),ISNUMBER(MATCH($F4138,계정대체기준!$D$77:$D$86,0))),"Y","N")))</f>
        <v/>
      </c>
    </row>
    <row r="4139">
      <c r="A4139" s="92" t="n">
        <v>2026</v>
      </c>
      <c r="B4139" s="92" t="n">
        <v>7</v>
      </c>
      <c r="C4139" s="92" t="inlineStr">
        <is>
          <t>5100001417</t>
        </is>
      </c>
      <c r="D4139" s="95" t="n">
        <v>46210</v>
      </c>
      <c r="E4139" s="92" t="inlineStr">
        <is>
          <t>KR</t>
        </is>
      </c>
      <c r="F4139" s="92" t="n">
        <v>63601000</v>
      </c>
      <c r="G4139" s="92" t="n">
        <v>1801</v>
      </c>
      <c r="H4139" s="93" t="n">
        <v>11776000</v>
      </c>
      <c r="I4139" s="92" t="inlineStr">
        <is>
          <t>7월 손해사정 수수료 - DD손해사정</t>
        </is>
      </c>
      <c r="J4139" s="92" t="inlineStr">
        <is>
          <t>V10032</t>
        </is>
      </c>
      <c r="K4139" s="92" t="inlineStr">
        <is>
          <t>DD손해사정</t>
        </is>
      </c>
      <c r="M4139" s="9">
        <f>IF($A4139="","",VALUE($A4139&amp;"")*12+VALUE($B4139&amp;""))</f>
        <v/>
      </c>
      <c r="N4139" s="64">
        <f>IF($A4139="","",IFERROR(INDEX(부서매핑!$C$5:$C$504,MATCH($G4139&amp;"",부서매핑!$A$5:$A$504,0)),"미매핑"))</f>
        <v/>
      </c>
      <c r="O4139" s="9">
        <f>IF($A4139="","",N4139&amp;"|"&amp;$F4139)</f>
        <v/>
      </c>
      <c r="P4139" s="94">
        <f>IF($A4139="",0,$H4139*설정!$C$23)</f>
        <v/>
      </c>
      <c r="Q4139" s="64">
        <f>IF($A4139="","",IF(O4139&lt;&gt;원인분석!$C$9,"",IF(AND(M4139&gt;=원인분석!$C$10,M4139&lt;=원인분석!$C$11),"당기",IF(AND(M4139&gt;=원인분석!$C$12,M4139&lt;=원인분석!$C$13),"비교",""))))</f>
        <v/>
      </c>
      <c r="R4139" s="9">
        <f>IF(Q4139="","",$K4139&amp;"")</f>
        <v/>
      </c>
      <c r="S4139" s="9">
        <f>IF(Q4139="","",IF(MATCH(R4139,$R$5:$R$100000,0)=ROW()-4,ROW(),""))</f>
        <v/>
      </c>
      <c r="T4139" s="9">
        <f>IF(Q4139="당기",ABS(P4139)+ROW()/1000000000,"")</f>
        <v/>
      </c>
      <c r="U4139" s="9">
        <f>IF(Q4139="비교",ABS(P4139)+ROW()/1000000000,"")</f>
        <v/>
      </c>
      <c r="V4139" s="64">
        <f>IF($A4139="","",IF(COUNTIF(변동분석!$E$7:$E$506,O4139)&gt;0,"Y","N"))</f>
        <v/>
      </c>
      <c r="W4139" s="64">
        <f>IF($A4139="","",IFERROR(INDEX(계정매핑!$D$5:$D$504,MATCH($F4139&amp;"",계정매핑!$A$5:$A$504,0)),"미매핑"))</f>
        <v/>
      </c>
      <c r="X4139" s="9">
        <f>IF($A4139="","",$F4139&amp;"")</f>
        <v/>
      </c>
      <c r="Y4139" s="94">
        <f>IF($A4139="",0,IF(AE4139="직접",IF(AF4139="비귀속",$P4139,0),$P4139*(1-AG4139)*IFERROR(INDEX(계정대체기준!$F$20:$F$49,MATCH($N4139,계정대체기준!$A$20:$A$49,0)),1)))</f>
        <v/>
      </c>
      <c r="Z4139" s="94">
        <f>IF($A4139="",0,IF(AE4139="직접",IF(AF4139="신계약비",$P4139,0),$P4139*(1-AG4139)*IFERROR(INDEX(계정대체기준!$C$20:$C$49,MATCH($N4139,계정대체기준!$A$20:$A$49,0)),0)))</f>
        <v/>
      </c>
      <c r="AA4139" s="94">
        <f>IF($A4139="",0,IF(AE4139="직접",IF(OR(AF4139="유지비",AF4139="손해조사비"),$P4139,0),$P4139*(1-AG4139)*IFERROR(INDEX(계정대체기준!$D$20:$D$49,MATCH($N4139,계정대체기준!$A$20:$A$49,0)),0)))</f>
        <v/>
      </c>
      <c r="AB4139" s="94">
        <f>IF($A4139="",0,IF(AE4139="직접",IF(AF4139="수금비",$P4139,0),$P4139*(1-AG4139)*IFERROR(INDEX(계정대체기준!$E$20:$E$49,MATCH($N4139,계정대체기준!$A$20:$A$49,0)),0)))</f>
        <v/>
      </c>
      <c r="AC4139" s="9">
        <f>IF(AND($A4139&lt;&gt;"",M4139=설정!$C$20,Z4139&gt;0),Z4139+ROW()/1000000000,"")</f>
        <v/>
      </c>
      <c r="AD4139" s="94">
        <f>IF($A4139="",0,$P4139*AG4139)</f>
        <v/>
      </c>
      <c r="AE4139" s="64">
        <f>IF($A4139="","",IFERROR(INDEX(계정매핑!$E$5:$E$504,MATCH($F4139&amp;"",계정매핑!$A$5:$A$504,0))&amp;"","공통비"))</f>
        <v/>
      </c>
      <c r="AF4139" s="64">
        <f>IF($A4139="","",IF(AE4139="직접",IFERROR(INDEX(계정매핑!$F$5:$F$504,MATCH($F4139&amp;"",계정매핑!$A$5:$A$504,0))&amp;"","비귀속"),""))</f>
        <v/>
      </c>
      <c r="AG4139" s="96">
        <f>IF($A4139="",0,IF(AND(AE4139&lt;&gt;"직접",IFERROR(INDEX(계정매핑!$G$5:$G$504,MATCH($F4139&amp;"",계정매핑!$A$5:$A$504,0))&amp;"","")="유지비",COUNTIF(계정대체기준!$A$6:$A$15,$N4139)&gt;0),IFERROR(INDEX(계정대체기준!$E$6:$E$15,MATCH(VALUE($A4139&amp;""),계정대체기준!$D$6:$D$15,0)),0),0))</f>
        <v/>
      </c>
      <c r="AH4139" s="64">
        <f>IF($A4139="","",IF(AD4139=0,"",IF(OR(COUNTIF(계정대체기준!$A$77:$A$86,$N4139)&gt;0,ISNUMBER(MATCH($X4139,계정대체기준!$D$77:$D$86,0)),ISNUMBER(MATCH($F4139,계정대체기준!$D$77:$D$86,0))),"Y","N")))</f>
        <v/>
      </c>
    </row>
    <row r="4140">
      <c r="A4140" s="92" t="n">
        <v>2026</v>
      </c>
      <c r="B4140" s="92" t="n">
        <v>7</v>
      </c>
      <c r="C4140" s="92" t="inlineStr">
        <is>
          <t>5100001418</t>
        </is>
      </c>
      <c r="D4140" s="95" t="n">
        <v>46211</v>
      </c>
      <c r="E4140" s="92" t="inlineStr">
        <is>
          <t>KR</t>
        </is>
      </c>
      <c r="F4140" s="92" t="n">
        <v>62101000</v>
      </c>
      <c r="G4140" s="92" t="n">
        <v>1401</v>
      </c>
      <c r="H4140" s="93" t="n">
        <v>427000</v>
      </c>
      <c r="I4140" s="92" t="inlineStr">
        <is>
          <t>7월 국내출장 - (법인카드)</t>
        </is>
      </c>
      <c r="J4140" s="92" t="inlineStr">
        <is>
          <t>V10010</t>
        </is>
      </c>
      <c r="K4140" s="92" t="inlineStr">
        <is>
          <t>(법인카드)</t>
        </is>
      </c>
      <c r="M4140" s="9">
        <f>IF($A4140="","",VALUE($A4140&amp;"")*12+VALUE($B4140&amp;""))</f>
        <v/>
      </c>
      <c r="N4140" s="64">
        <f>IF($A4140="","",IFERROR(INDEX(부서매핑!$C$5:$C$504,MATCH($G4140&amp;"",부서매핑!$A$5:$A$504,0)),"미매핑"))</f>
        <v/>
      </c>
      <c r="O4140" s="9">
        <f>IF($A4140="","",N4140&amp;"|"&amp;$F4140)</f>
        <v/>
      </c>
      <c r="P4140" s="94">
        <f>IF($A4140="",0,$H4140*설정!$C$23)</f>
        <v/>
      </c>
      <c r="Q4140" s="64">
        <f>IF($A4140="","",IF(O4140&lt;&gt;원인분석!$C$9,"",IF(AND(M4140&gt;=원인분석!$C$10,M4140&lt;=원인분석!$C$11),"당기",IF(AND(M4140&gt;=원인분석!$C$12,M4140&lt;=원인분석!$C$13),"비교",""))))</f>
        <v/>
      </c>
      <c r="R4140" s="9">
        <f>IF(Q4140="","",$K4140&amp;"")</f>
        <v/>
      </c>
      <c r="S4140" s="9">
        <f>IF(Q4140="","",IF(MATCH(R4140,$R$5:$R$100000,0)=ROW()-4,ROW(),""))</f>
        <v/>
      </c>
      <c r="T4140" s="9">
        <f>IF(Q4140="당기",ABS(P4140)+ROW()/1000000000,"")</f>
        <v/>
      </c>
      <c r="U4140" s="9">
        <f>IF(Q4140="비교",ABS(P4140)+ROW()/1000000000,"")</f>
        <v/>
      </c>
      <c r="V4140" s="64">
        <f>IF($A4140="","",IF(COUNTIF(변동분석!$E$7:$E$506,O4140)&gt;0,"Y","N"))</f>
        <v/>
      </c>
      <c r="W4140" s="64">
        <f>IF($A4140="","",IFERROR(INDEX(계정매핑!$D$5:$D$504,MATCH($F4140&amp;"",계정매핑!$A$5:$A$504,0)),"미매핑"))</f>
        <v/>
      </c>
      <c r="X4140" s="9">
        <f>IF($A4140="","",$F4140&amp;"")</f>
        <v/>
      </c>
      <c r="Y4140" s="94">
        <f>IF($A4140="",0,IF(AE4140="직접",IF(AF4140="비귀속",$P4140,0),$P4140*(1-AG4140)*IFERROR(INDEX(계정대체기준!$F$20:$F$49,MATCH($N4140,계정대체기준!$A$20:$A$49,0)),1)))</f>
        <v/>
      </c>
      <c r="Z4140" s="94">
        <f>IF($A4140="",0,IF(AE4140="직접",IF(AF4140="신계약비",$P4140,0),$P4140*(1-AG4140)*IFERROR(INDEX(계정대체기준!$C$20:$C$49,MATCH($N4140,계정대체기준!$A$20:$A$49,0)),0)))</f>
        <v/>
      </c>
      <c r="AA4140" s="94">
        <f>IF($A4140="",0,IF(AE4140="직접",IF(OR(AF4140="유지비",AF4140="손해조사비"),$P4140,0),$P4140*(1-AG4140)*IFERROR(INDEX(계정대체기준!$D$20:$D$49,MATCH($N4140,계정대체기준!$A$20:$A$49,0)),0)))</f>
        <v/>
      </c>
      <c r="AB4140" s="94">
        <f>IF($A4140="",0,IF(AE4140="직접",IF(AF4140="수금비",$P4140,0),$P4140*(1-AG4140)*IFERROR(INDEX(계정대체기준!$E$20:$E$49,MATCH($N4140,계정대체기준!$A$20:$A$49,0)),0)))</f>
        <v/>
      </c>
      <c r="AC4140" s="9">
        <f>IF(AND($A4140&lt;&gt;"",M4140=설정!$C$20,Z4140&gt;0),Z4140+ROW()/1000000000,"")</f>
        <v/>
      </c>
      <c r="AD4140" s="94">
        <f>IF($A4140="",0,$P4140*AG4140)</f>
        <v/>
      </c>
      <c r="AE4140" s="64">
        <f>IF($A4140="","",IFERROR(INDEX(계정매핑!$E$5:$E$504,MATCH($F4140&amp;"",계정매핑!$A$5:$A$504,0))&amp;"","공통비"))</f>
        <v/>
      </c>
      <c r="AF4140" s="64">
        <f>IF($A4140="","",IF(AE4140="직접",IFERROR(INDEX(계정매핑!$F$5:$F$504,MATCH($F4140&amp;"",계정매핑!$A$5:$A$504,0))&amp;"","비귀속"),""))</f>
        <v/>
      </c>
      <c r="AG4140" s="96">
        <f>IF($A4140="",0,IF(AND(AE4140&lt;&gt;"직접",IFERROR(INDEX(계정매핑!$G$5:$G$504,MATCH($F4140&amp;"",계정매핑!$A$5:$A$504,0))&amp;"","")="유지비",COUNTIF(계정대체기준!$A$6:$A$15,$N4140)&gt;0),IFERROR(INDEX(계정대체기준!$E$6:$E$15,MATCH(VALUE($A4140&amp;""),계정대체기준!$D$6:$D$15,0)),0),0))</f>
        <v/>
      </c>
      <c r="AH4140" s="64">
        <f>IF($A4140="","",IF(AD4140=0,"",IF(OR(COUNTIF(계정대체기준!$A$77:$A$86,$N4140)&gt;0,ISNUMBER(MATCH($X4140,계정대체기준!$D$77:$D$86,0)),ISNUMBER(MATCH($F4140,계정대체기준!$D$77:$D$86,0))),"Y","N")))</f>
        <v/>
      </c>
    </row>
    <row r="4141">
      <c r="A4141" s="92" t="n">
        <v>2026</v>
      </c>
      <c r="B4141" s="92" t="n">
        <v>7</v>
      </c>
      <c r="C4141" s="92" t="inlineStr">
        <is>
          <t>5100001419</t>
        </is>
      </c>
      <c r="D4141" s="95" t="n">
        <v>46211</v>
      </c>
      <c r="E4141" s="92" t="inlineStr">
        <is>
          <t>KR</t>
        </is>
      </c>
      <c r="F4141" s="92" t="n">
        <v>62101000</v>
      </c>
      <c r="G4141" s="92" t="n">
        <v>1502</v>
      </c>
      <c r="H4141" s="93" t="n">
        <v>795000</v>
      </c>
      <c r="I4141" s="92" t="inlineStr">
        <is>
          <t>7월 국내출장 - L여행사</t>
        </is>
      </c>
      <c r="J4141" s="92" t="inlineStr">
        <is>
          <t>V10018</t>
        </is>
      </c>
      <c r="K4141" s="92" t="inlineStr">
        <is>
          <t>L여행사</t>
        </is>
      </c>
      <c r="M4141" s="9">
        <f>IF($A4141="","",VALUE($A4141&amp;"")*12+VALUE($B4141&amp;""))</f>
        <v/>
      </c>
      <c r="N4141" s="64">
        <f>IF($A4141="","",IFERROR(INDEX(부서매핑!$C$5:$C$504,MATCH($G4141&amp;"",부서매핑!$A$5:$A$504,0)),"미매핑"))</f>
        <v/>
      </c>
      <c r="O4141" s="9">
        <f>IF($A4141="","",N4141&amp;"|"&amp;$F4141)</f>
        <v/>
      </c>
      <c r="P4141" s="94">
        <f>IF($A4141="",0,$H4141*설정!$C$23)</f>
        <v/>
      </c>
      <c r="Q4141" s="64">
        <f>IF($A4141="","",IF(O4141&lt;&gt;원인분석!$C$9,"",IF(AND(M4141&gt;=원인분석!$C$10,M4141&lt;=원인분석!$C$11),"당기",IF(AND(M4141&gt;=원인분석!$C$12,M4141&lt;=원인분석!$C$13),"비교",""))))</f>
        <v/>
      </c>
      <c r="R4141" s="9">
        <f>IF(Q4141="","",$K4141&amp;"")</f>
        <v/>
      </c>
      <c r="S4141" s="9">
        <f>IF(Q4141="","",IF(MATCH(R4141,$R$5:$R$100000,0)=ROW()-4,ROW(),""))</f>
        <v/>
      </c>
      <c r="T4141" s="9">
        <f>IF(Q4141="당기",ABS(P4141)+ROW()/1000000000,"")</f>
        <v/>
      </c>
      <c r="U4141" s="9">
        <f>IF(Q4141="비교",ABS(P4141)+ROW()/1000000000,"")</f>
        <v/>
      </c>
      <c r="V4141" s="64">
        <f>IF($A4141="","",IF(COUNTIF(변동분석!$E$7:$E$506,O4141)&gt;0,"Y","N"))</f>
        <v/>
      </c>
      <c r="W4141" s="64">
        <f>IF($A4141="","",IFERROR(INDEX(계정매핑!$D$5:$D$504,MATCH($F4141&amp;"",계정매핑!$A$5:$A$504,0)),"미매핑"))</f>
        <v/>
      </c>
      <c r="X4141" s="9">
        <f>IF($A4141="","",$F4141&amp;"")</f>
        <v/>
      </c>
      <c r="Y4141" s="94">
        <f>IF($A4141="",0,IF(AE4141="직접",IF(AF4141="비귀속",$P4141,0),$P4141*(1-AG4141)*IFERROR(INDEX(계정대체기준!$F$20:$F$49,MATCH($N4141,계정대체기준!$A$20:$A$49,0)),1)))</f>
        <v/>
      </c>
      <c r="Z4141" s="94">
        <f>IF($A4141="",0,IF(AE4141="직접",IF(AF4141="신계약비",$P4141,0),$P4141*(1-AG4141)*IFERROR(INDEX(계정대체기준!$C$20:$C$49,MATCH($N4141,계정대체기준!$A$20:$A$49,0)),0)))</f>
        <v/>
      </c>
      <c r="AA4141" s="94">
        <f>IF($A4141="",0,IF(AE4141="직접",IF(OR(AF4141="유지비",AF4141="손해조사비"),$P4141,0),$P4141*(1-AG4141)*IFERROR(INDEX(계정대체기준!$D$20:$D$49,MATCH($N4141,계정대체기준!$A$20:$A$49,0)),0)))</f>
        <v/>
      </c>
      <c r="AB4141" s="94">
        <f>IF($A4141="",0,IF(AE4141="직접",IF(AF4141="수금비",$P4141,0),$P4141*(1-AG4141)*IFERROR(INDEX(계정대체기준!$E$20:$E$49,MATCH($N4141,계정대체기준!$A$20:$A$49,0)),0)))</f>
        <v/>
      </c>
      <c r="AC4141" s="9">
        <f>IF(AND($A4141&lt;&gt;"",M4141=설정!$C$20,Z4141&gt;0),Z4141+ROW()/1000000000,"")</f>
        <v/>
      </c>
      <c r="AD4141" s="94">
        <f>IF($A4141="",0,$P4141*AG4141)</f>
        <v/>
      </c>
      <c r="AE4141" s="64">
        <f>IF($A4141="","",IFERROR(INDEX(계정매핑!$E$5:$E$504,MATCH($F4141&amp;"",계정매핑!$A$5:$A$504,0))&amp;"","공통비"))</f>
        <v/>
      </c>
      <c r="AF4141" s="64">
        <f>IF($A4141="","",IF(AE4141="직접",IFERROR(INDEX(계정매핑!$F$5:$F$504,MATCH($F4141&amp;"",계정매핑!$A$5:$A$504,0))&amp;"","비귀속"),""))</f>
        <v/>
      </c>
      <c r="AG4141" s="96">
        <f>IF($A4141="",0,IF(AND(AE4141&lt;&gt;"직접",IFERROR(INDEX(계정매핑!$G$5:$G$504,MATCH($F4141&amp;"",계정매핑!$A$5:$A$504,0))&amp;"","")="유지비",COUNTIF(계정대체기준!$A$6:$A$15,$N4141)&gt;0),IFERROR(INDEX(계정대체기준!$E$6:$E$15,MATCH(VALUE($A4141&amp;""),계정대체기준!$D$6:$D$15,0)),0),0))</f>
        <v/>
      </c>
      <c r="AH4141" s="64">
        <f>IF($A4141="","",IF(AD4141=0,"",IF(OR(COUNTIF(계정대체기준!$A$77:$A$86,$N4141)&gt;0,ISNUMBER(MATCH($X4141,계정대체기준!$D$77:$D$86,0)),ISNUMBER(MATCH($F4141,계정대체기준!$D$77:$D$86,0))),"Y","N")))</f>
        <v/>
      </c>
    </row>
    <row r="4142">
      <c r="A4142" s="92" t="n">
        <v>2026</v>
      </c>
      <c r="B4142" s="92" t="n">
        <v>7</v>
      </c>
      <c r="C4142" s="92" t="inlineStr">
        <is>
          <t>5100001420</t>
        </is>
      </c>
      <c r="D4142" s="95" t="n">
        <v>46211</v>
      </c>
      <c r="E4142" s="92" t="inlineStr">
        <is>
          <t>KR</t>
        </is>
      </c>
      <c r="F4142" s="92" t="n">
        <v>62102000</v>
      </c>
      <c r="G4142" s="92" t="n">
        <v>1602</v>
      </c>
      <c r="H4142" s="93" t="n">
        <v>484000</v>
      </c>
      <c r="I4142" s="92" t="inlineStr">
        <is>
          <t>7월 해외출장 - N호텔</t>
        </is>
      </c>
      <c r="J4142" s="92" t="inlineStr">
        <is>
          <t>V10009</t>
        </is>
      </c>
      <c r="K4142" s="92" t="inlineStr">
        <is>
          <t>N호텔</t>
        </is>
      </c>
      <c r="M4142" s="9">
        <f>IF($A4142="","",VALUE($A4142&amp;"")*12+VALUE($B4142&amp;""))</f>
        <v/>
      </c>
      <c r="N4142" s="64">
        <f>IF($A4142="","",IFERROR(INDEX(부서매핑!$C$5:$C$504,MATCH($G4142&amp;"",부서매핑!$A$5:$A$504,0)),"미매핑"))</f>
        <v/>
      </c>
      <c r="O4142" s="9">
        <f>IF($A4142="","",N4142&amp;"|"&amp;$F4142)</f>
        <v/>
      </c>
      <c r="P4142" s="94">
        <f>IF($A4142="",0,$H4142*설정!$C$23)</f>
        <v/>
      </c>
      <c r="Q4142" s="64">
        <f>IF($A4142="","",IF(O4142&lt;&gt;원인분석!$C$9,"",IF(AND(M4142&gt;=원인분석!$C$10,M4142&lt;=원인분석!$C$11),"당기",IF(AND(M4142&gt;=원인분석!$C$12,M4142&lt;=원인분석!$C$13),"비교",""))))</f>
        <v/>
      </c>
      <c r="R4142" s="9">
        <f>IF(Q4142="","",$K4142&amp;"")</f>
        <v/>
      </c>
      <c r="S4142" s="9">
        <f>IF(Q4142="","",IF(MATCH(R4142,$R$5:$R$100000,0)=ROW()-4,ROW(),""))</f>
        <v/>
      </c>
      <c r="T4142" s="9">
        <f>IF(Q4142="당기",ABS(P4142)+ROW()/1000000000,"")</f>
        <v/>
      </c>
      <c r="U4142" s="9">
        <f>IF(Q4142="비교",ABS(P4142)+ROW()/1000000000,"")</f>
        <v/>
      </c>
      <c r="V4142" s="64">
        <f>IF($A4142="","",IF(COUNTIF(변동분석!$E$7:$E$506,O4142)&gt;0,"Y","N"))</f>
        <v/>
      </c>
      <c r="W4142" s="64">
        <f>IF($A4142="","",IFERROR(INDEX(계정매핑!$D$5:$D$504,MATCH($F4142&amp;"",계정매핑!$A$5:$A$504,0)),"미매핑"))</f>
        <v/>
      </c>
      <c r="X4142" s="9">
        <f>IF($A4142="","",$F4142&amp;"")</f>
        <v/>
      </c>
      <c r="Y4142" s="94">
        <f>IF($A4142="",0,IF(AE4142="직접",IF(AF4142="비귀속",$P4142,0),$P4142*(1-AG4142)*IFERROR(INDEX(계정대체기준!$F$20:$F$49,MATCH($N4142,계정대체기준!$A$20:$A$49,0)),1)))</f>
        <v/>
      </c>
      <c r="Z4142" s="94">
        <f>IF($A4142="",0,IF(AE4142="직접",IF(AF4142="신계약비",$P4142,0),$P4142*(1-AG4142)*IFERROR(INDEX(계정대체기준!$C$20:$C$49,MATCH($N4142,계정대체기준!$A$20:$A$49,0)),0)))</f>
        <v/>
      </c>
      <c r="AA4142" s="94">
        <f>IF($A4142="",0,IF(AE4142="직접",IF(OR(AF4142="유지비",AF4142="손해조사비"),$P4142,0),$P4142*(1-AG4142)*IFERROR(INDEX(계정대체기준!$D$20:$D$49,MATCH($N4142,계정대체기준!$A$20:$A$49,0)),0)))</f>
        <v/>
      </c>
      <c r="AB4142" s="94">
        <f>IF($A4142="",0,IF(AE4142="직접",IF(AF4142="수금비",$P4142,0),$P4142*(1-AG4142)*IFERROR(INDEX(계정대체기준!$E$20:$E$49,MATCH($N4142,계정대체기준!$A$20:$A$49,0)),0)))</f>
        <v/>
      </c>
      <c r="AC4142" s="9">
        <f>IF(AND($A4142&lt;&gt;"",M4142=설정!$C$20,Z4142&gt;0),Z4142+ROW()/1000000000,"")</f>
        <v/>
      </c>
      <c r="AD4142" s="94">
        <f>IF($A4142="",0,$P4142*AG4142)</f>
        <v/>
      </c>
      <c r="AE4142" s="64">
        <f>IF($A4142="","",IFERROR(INDEX(계정매핑!$E$5:$E$504,MATCH($F4142&amp;"",계정매핑!$A$5:$A$504,0))&amp;"","공통비"))</f>
        <v/>
      </c>
      <c r="AF4142" s="64">
        <f>IF($A4142="","",IF(AE4142="직접",IFERROR(INDEX(계정매핑!$F$5:$F$504,MATCH($F4142&amp;"",계정매핑!$A$5:$A$504,0))&amp;"","비귀속"),""))</f>
        <v/>
      </c>
      <c r="AG4142" s="96">
        <f>IF($A4142="",0,IF(AND(AE4142&lt;&gt;"직접",IFERROR(INDEX(계정매핑!$G$5:$G$504,MATCH($F4142&amp;"",계정매핑!$A$5:$A$504,0))&amp;"","")="유지비",COUNTIF(계정대체기준!$A$6:$A$15,$N4142)&gt;0),IFERROR(INDEX(계정대체기준!$E$6:$E$15,MATCH(VALUE($A4142&amp;""),계정대체기준!$D$6:$D$15,0)),0),0))</f>
        <v/>
      </c>
      <c r="AH4142" s="64">
        <f>IF($A4142="","",IF(AD4142=0,"",IF(OR(COUNTIF(계정대체기준!$A$77:$A$86,$N4142)&gt;0,ISNUMBER(MATCH($X4142,계정대체기준!$D$77:$D$86,0)),ISNUMBER(MATCH($F4142,계정대체기준!$D$77:$D$86,0))),"Y","N")))</f>
        <v/>
      </c>
    </row>
    <row r="4143">
      <c r="A4143" s="92" t="n">
        <v>2026</v>
      </c>
      <c r="B4143" s="92" t="n">
        <v>7</v>
      </c>
      <c r="C4143" s="92" t="inlineStr">
        <is>
          <t>5100001421</t>
        </is>
      </c>
      <c r="D4143" s="95" t="n">
        <v>46211</v>
      </c>
      <c r="E4143" s="92" t="inlineStr">
        <is>
          <t>KR</t>
        </is>
      </c>
      <c r="F4143" s="92" t="n">
        <v>62201000</v>
      </c>
      <c r="G4143" s="92" t="n">
        <v>1801</v>
      </c>
      <c r="H4143" s="93" t="n">
        <v>10553000</v>
      </c>
      <c r="I4143" s="92" t="inlineStr">
        <is>
          <t>7월 통신요금 - O텔레콤</t>
        </is>
      </c>
      <c r="J4143" s="92" t="inlineStr">
        <is>
          <t>V10002</t>
        </is>
      </c>
      <c r="K4143" s="92" t="inlineStr">
        <is>
          <t>O텔레콤</t>
        </is>
      </c>
      <c r="M4143" s="9">
        <f>IF($A4143="","",VALUE($A4143&amp;"")*12+VALUE($B4143&amp;""))</f>
        <v/>
      </c>
      <c r="N4143" s="64">
        <f>IF($A4143="","",IFERROR(INDEX(부서매핑!$C$5:$C$504,MATCH($G4143&amp;"",부서매핑!$A$5:$A$504,0)),"미매핑"))</f>
        <v/>
      </c>
      <c r="O4143" s="9">
        <f>IF($A4143="","",N4143&amp;"|"&amp;$F4143)</f>
        <v/>
      </c>
      <c r="P4143" s="94">
        <f>IF($A4143="",0,$H4143*설정!$C$23)</f>
        <v/>
      </c>
      <c r="Q4143" s="64">
        <f>IF($A4143="","",IF(O4143&lt;&gt;원인분석!$C$9,"",IF(AND(M4143&gt;=원인분석!$C$10,M4143&lt;=원인분석!$C$11),"당기",IF(AND(M4143&gt;=원인분석!$C$12,M4143&lt;=원인분석!$C$13),"비교",""))))</f>
        <v/>
      </c>
      <c r="R4143" s="9">
        <f>IF(Q4143="","",$K4143&amp;"")</f>
        <v/>
      </c>
      <c r="S4143" s="9">
        <f>IF(Q4143="","",IF(MATCH(R4143,$R$5:$R$100000,0)=ROW()-4,ROW(),""))</f>
        <v/>
      </c>
      <c r="T4143" s="9">
        <f>IF(Q4143="당기",ABS(P4143)+ROW()/1000000000,"")</f>
        <v/>
      </c>
      <c r="U4143" s="9">
        <f>IF(Q4143="비교",ABS(P4143)+ROW()/1000000000,"")</f>
        <v/>
      </c>
      <c r="V4143" s="64">
        <f>IF($A4143="","",IF(COUNTIF(변동분석!$E$7:$E$506,O4143)&gt;0,"Y","N"))</f>
        <v/>
      </c>
      <c r="W4143" s="64">
        <f>IF($A4143="","",IFERROR(INDEX(계정매핑!$D$5:$D$504,MATCH($F4143&amp;"",계정매핑!$A$5:$A$504,0)),"미매핑"))</f>
        <v/>
      </c>
      <c r="X4143" s="9">
        <f>IF($A4143="","",$F4143&amp;"")</f>
        <v/>
      </c>
      <c r="Y4143" s="94">
        <f>IF($A4143="",0,IF(AE4143="직접",IF(AF4143="비귀속",$P4143,0),$P4143*(1-AG4143)*IFERROR(INDEX(계정대체기준!$F$20:$F$49,MATCH($N4143,계정대체기준!$A$20:$A$49,0)),1)))</f>
        <v/>
      </c>
      <c r="Z4143" s="94">
        <f>IF($A4143="",0,IF(AE4143="직접",IF(AF4143="신계약비",$P4143,0),$P4143*(1-AG4143)*IFERROR(INDEX(계정대체기준!$C$20:$C$49,MATCH($N4143,계정대체기준!$A$20:$A$49,0)),0)))</f>
        <v/>
      </c>
      <c r="AA4143" s="94">
        <f>IF($A4143="",0,IF(AE4143="직접",IF(OR(AF4143="유지비",AF4143="손해조사비"),$P4143,0),$P4143*(1-AG4143)*IFERROR(INDEX(계정대체기준!$D$20:$D$49,MATCH($N4143,계정대체기준!$A$20:$A$49,0)),0)))</f>
        <v/>
      </c>
      <c r="AB4143" s="94">
        <f>IF($A4143="",0,IF(AE4143="직접",IF(AF4143="수금비",$P4143,0),$P4143*(1-AG4143)*IFERROR(INDEX(계정대체기준!$E$20:$E$49,MATCH($N4143,계정대체기준!$A$20:$A$49,0)),0)))</f>
        <v/>
      </c>
      <c r="AC4143" s="9">
        <f>IF(AND($A4143&lt;&gt;"",M4143=설정!$C$20,Z4143&gt;0),Z4143+ROW()/1000000000,"")</f>
        <v/>
      </c>
      <c r="AD4143" s="94">
        <f>IF($A4143="",0,$P4143*AG4143)</f>
        <v/>
      </c>
      <c r="AE4143" s="64">
        <f>IF($A4143="","",IFERROR(INDEX(계정매핑!$E$5:$E$504,MATCH($F4143&amp;"",계정매핑!$A$5:$A$504,0))&amp;"","공통비"))</f>
        <v/>
      </c>
      <c r="AF4143" s="64">
        <f>IF($A4143="","",IF(AE4143="직접",IFERROR(INDEX(계정매핑!$F$5:$F$504,MATCH($F4143&amp;"",계정매핑!$A$5:$A$504,0))&amp;"","비귀속"),""))</f>
        <v/>
      </c>
      <c r="AG4143" s="96">
        <f>IF($A4143="",0,IF(AND(AE4143&lt;&gt;"직접",IFERROR(INDEX(계정매핑!$G$5:$G$504,MATCH($F4143&amp;"",계정매핑!$A$5:$A$504,0))&amp;"","")="유지비",COUNTIF(계정대체기준!$A$6:$A$15,$N4143)&gt;0),IFERROR(INDEX(계정대체기준!$E$6:$E$15,MATCH(VALUE($A4143&amp;""),계정대체기준!$D$6:$D$15,0)),0),0))</f>
        <v/>
      </c>
      <c r="AH4143" s="64">
        <f>IF($A4143="","",IF(AD4143=0,"",IF(OR(COUNTIF(계정대체기준!$A$77:$A$86,$N4143)&gt;0,ISNUMBER(MATCH($X4143,계정대체기준!$D$77:$D$86,0)),ISNUMBER(MATCH($F4143,계정대체기준!$D$77:$D$86,0))),"Y","N")))</f>
        <v/>
      </c>
    </row>
    <row r="4144">
      <c r="A4144" s="92" t="n">
        <v>2026</v>
      </c>
      <c r="B4144" s="92" t="n">
        <v>7</v>
      </c>
      <c r="C4144" s="92" t="inlineStr">
        <is>
          <t>5100001422</t>
        </is>
      </c>
      <c r="D4144" s="95" t="n">
        <v>46211</v>
      </c>
      <c r="E4144" s="92" t="inlineStr">
        <is>
          <t>KR</t>
        </is>
      </c>
      <c r="F4144" s="92" t="n">
        <v>62301000</v>
      </c>
      <c r="G4144" s="92" t="n">
        <v>1201</v>
      </c>
      <c r="H4144" s="93" t="n">
        <v>247000</v>
      </c>
      <c r="I4144" s="92" t="inlineStr">
        <is>
          <t>7월 소모품 구입 - R문구</t>
        </is>
      </c>
      <c r="J4144" s="92" t="inlineStr">
        <is>
          <t>V10022</t>
        </is>
      </c>
      <c r="K4144" s="92" t="inlineStr">
        <is>
          <t>R문구</t>
        </is>
      </c>
      <c r="M4144" s="9">
        <f>IF($A4144="","",VALUE($A4144&amp;"")*12+VALUE($B4144&amp;""))</f>
        <v/>
      </c>
      <c r="N4144" s="64">
        <f>IF($A4144="","",IFERROR(INDEX(부서매핑!$C$5:$C$504,MATCH($G4144&amp;"",부서매핑!$A$5:$A$504,0)),"미매핑"))</f>
        <v/>
      </c>
      <c r="O4144" s="9">
        <f>IF($A4144="","",N4144&amp;"|"&amp;$F4144)</f>
        <v/>
      </c>
      <c r="P4144" s="94">
        <f>IF($A4144="",0,$H4144*설정!$C$23)</f>
        <v/>
      </c>
      <c r="Q4144" s="64">
        <f>IF($A4144="","",IF(O4144&lt;&gt;원인분석!$C$9,"",IF(AND(M4144&gt;=원인분석!$C$10,M4144&lt;=원인분석!$C$11),"당기",IF(AND(M4144&gt;=원인분석!$C$12,M4144&lt;=원인분석!$C$13),"비교",""))))</f>
        <v/>
      </c>
      <c r="R4144" s="9">
        <f>IF(Q4144="","",$K4144&amp;"")</f>
        <v/>
      </c>
      <c r="S4144" s="9">
        <f>IF(Q4144="","",IF(MATCH(R4144,$R$5:$R$100000,0)=ROW()-4,ROW(),""))</f>
        <v/>
      </c>
      <c r="T4144" s="9">
        <f>IF(Q4144="당기",ABS(P4144)+ROW()/1000000000,"")</f>
        <v/>
      </c>
      <c r="U4144" s="9">
        <f>IF(Q4144="비교",ABS(P4144)+ROW()/1000000000,"")</f>
        <v/>
      </c>
      <c r="V4144" s="64">
        <f>IF($A4144="","",IF(COUNTIF(변동분석!$E$7:$E$506,O4144)&gt;0,"Y","N"))</f>
        <v/>
      </c>
      <c r="W4144" s="64">
        <f>IF($A4144="","",IFERROR(INDEX(계정매핑!$D$5:$D$504,MATCH($F4144&amp;"",계정매핑!$A$5:$A$504,0)),"미매핑"))</f>
        <v/>
      </c>
      <c r="X4144" s="9">
        <f>IF($A4144="","",$F4144&amp;"")</f>
        <v/>
      </c>
      <c r="Y4144" s="94">
        <f>IF($A4144="",0,IF(AE4144="직접",IF(AF4144="비귀속",$P4144,0),$P4144*(1-AG4144)*IFERROR(INDEX(계정대체기준!$F$20:$F$49,MATCH($N4144,계정대체기준!$A$20:$A$49,0)),1)))</f>
        <v/>
      </c>
      <c r="Z4144" s="94">
        <f>IF($A4144="",0,IF(AE4144="직접",IF(AF4144="신계약비",$P4144,0),$P4144*(1-AG4144)*IFERROR(INDEX(계정대체기준!$C$20:$C$49,MATCH($N4144,계정대체기준!$A$20:$A$49,0)),0)))</f>
        <v/>
      </c>
      <c r="AA4144" s="94">
        <f>IF($A4144="",0,IF(AE4144="직접",IF(OR(AF4144="유지비",AF4144="손해조사비"),$P4144,0),$P4144*(1-AG4144)*IFERROR(INDEX(계정대체기준!$D$20:$D$49,MATCH($N4144,계정대체기준!$A$20:$A$49,0)),0)))</f>
        <v/>
      </c>
      <c r="AB4144" s="94">
        <f>IF($A4144="",0,IF(AE4144="직접",IF(AF4144="수금비",$P4144,0),$P4144*(1-AG4144)*IFERROR(INDEX(계정대체기준!$E$20:$E$49,MATCH($N4144,계정대체기준!$A$20:$A$49,0)),0)))</f>
        <v/>
      </c>
      <c r="AC4144" s="9">
        <f>IF(AND($A4144&lt;&gt;"",M4144=설정!$C$20,Z4144&gt;0),Z4144+ROW()/1000000000,"")</f>
        <v/>
      </c>
      <c r="AD4144" s="94">
        <f>IF($A4144="",0,$P4144*AG4144)</f>
        <v/>
      </c>
      <c r="AE4144" s="64">
        <f>IF($A4144="","",IFERROR(INDEX(계정매핑!$E$5:$E$504,MATCH($F4144&amp;"",계정매핑!$A$5:$A$504,0))&amp;"","공통비"))</f>
        <v/>
      </c>
      <c r="AF4144" s="64">
        <f>IF($A4144="","",IF(AE4144="직접",IFERROR(INDEX(계정매핑!$F$5:$F$504,MATCH($F4144&amp;"",계정매핑!$A$5:$A$504,0))&amp;"","비귀속"),""))</f>
        <v/>
      </c>
      <c r="AG4144" s="96">
        <f>IF($A4144="",0,IF(AND(AE4144&lt;&gt;"직접",IFERROR(INDEX(계정매핑!$G$5:$G$504,MATCH($F4144&amp;"",계정매핑!$A$5:$A$504,0))&amp;"","")="유지비",COUNTIF(계정대체기준!$A$6:$A$15,$N4144)&gt;0),IFERROR(INDEX(계정대체기준!$E$6:$E$15,MATCH(VALUE($A4144&amp;""),계정대체기준!$D$6:$D$15,0)),0),0))</f>
        <v/>
      </c>
      <c r="AH4144" s="64">
        <f>IF($A4144="","",IF(AD4144=0,"",IF(OR(COUNTIF(계정대체기준!$A$77:$A$86,$N4144)&gt;0,ISNUMBER(MATCH($X4144,계정대체기준!$D$77:$D$86,0)),ISNUMBER(MATCH($F4144,계정대체기준!$D$77:$D$86,0))),"Y","N")))</f>
        <v/>
      </c>
    </row>
    <row r="4145">
      <c r="A4145" s="92" t="n">
        <v>2026</v>
      </c>
      <c r="B4145" s="92" t="n">
        <v>7</v>
      </c>
      <c r="C4145" s="92" t="inlineStr">
        <is>
          <t>5100001423</t>
        </is>
      </c>
      <c r="D4145" s="95" t="n">
        <v>46211</v>
      </c>
      <c r="E4145" s="92" t="inlineStr">
        <is>
          <t>KR</t>
        </is>
      </c>
      <c r="F4145" s="92" t="n">
        <v>62301000</v>
      </c>
      <c r="G4145" s="92" t="n">
        <v>1301</v>
      </c>
      <c r="H4145" s="93" t="n">
        <v>362000</v>
      </c>
      <c r="I4145" s="92" t="inlineStr">
        <is>
          <t>7월 소모품 구입 - Q오피스</t>
        </is>
      </c>
      <c r="J4145" s="92" t="inlineStr">
        <is>
          <t>V10003</t>
        </is>
      </c>
      <c r="K4145" s="92" t="inlineStr">
        <is>
          <t>Q오피스</t>
        </is>
      </c>
      <c r="M4145" s="9">
        <f>IF($A4145="","",VALUE($A4145&amp;"")*12+VALUE($B4145&amp;""))</f>
        <v/>
      </c>
      <c r="N4145" s="64">
        <f>IF($A4145="","",IFERROR(INDEX(부서매핑!$C$5:$C$504,MATCH($G4145&amp;"",부서매핑!$A$5:$A$504,0)),"미매핑"))</f>
        <v/>
      </c>
      <c r="O4145" s="9">
        <f>IF($A4145="","",N4145&amp;"|"&amp;$F4145)</f>
        <v/>
      </c>
      <c r="P4145" s="94">
        <f>IF($A4145="",0,$H4145*설정!$C$23)</f>
        <v/>
      </c>
      <c r="Q4145" s="64">
        <f>IF($A4145="","",IF(O4145&lt;&gt;원인분석!$C$9,"",IF(AND(M4145&gt;=원인분석!$C$10,M4145&lt;=원인분석!$C$11),"당기",IF(AND(M4145&gt;=원인분석!$C$12,M4145&lt;=원인분석!$C$13),"비교",""))))</f>
        <v/>
      </c>
      <c r="R4145" s="9">
        <f>IF(Q4145="","",$K4145&amp;"")</f>
        <v/>
      </c>
      <c r="S4145" s="9">
        <f>IF(Q4145="","",IF(MATCH(R4145,$R$5:$R$100000,0)=ROW()-4,ROW(),""))</f>
        <v/>
      </c>
      <c r="T4145" s="9">
        <f>IF(Q4145="당기",ABS(P4145)+ROW()/1000000000,"")</f>
        <v/>
      </c>
      <c r="U4145" s="9">
        <f>IF(Q4145="비교",ABS(P4145)+ROW()/1000000000,"")</f>
        <v/>
      </c>
      <c r="V4145" s="64">
        <f>IF($A4145="","",IF(COUNTIF(변동분석!$E$7:$E$506,O4145)&gt;0,"Y","N"))</f>
        <v/>
      </c>
      <c r="W4145" s="64">
        <f>IF($A4145="","",IFERROR(INDEX(계정매핑!$D$5:$D$504,MATCH($F4145&amp;"",계정매핑!$A$5:$A$504,0)),"미매핑"))</f>
        <v/>
      </c>
      <c r="X4145" s="9">
        <f>IF($A4145="","",$F4145&amp;"")</f>
        <v/>
      </c>
      <c r="Y4145" s="94">
        <f>IF($A4145="",0,IF(AE4145="직접",IF(AF4145="비귀속",$P4145,0),$P4145*(1-AG4145)*IFERROR(INDEX(계정대체기준!$F$20:$F$49,MATCH($N4145,계정대체기준!$A$20:$A$49,0)),1)))</f>
        <v/>
      </c>
      <c r="Z4145" s="94">
        <f>IF($A4145="",0,IF(AE4145="직접",IF(AF4145="신계약비",$P4145,0),$P4145*(1-AG4145)*IFERROR(INDEX(계정대체기준!$C$20:$C$49,MATCH($N4145,계정대체기준!$A$20:$A$49,0)),0)))</f>
        <v/>
      </c>
      <c r="AA4145" s="94">
        <f>IF($A4145="",0,IF(AE4145="직접",IF(OR(AF4145="유지비",AF4145="손해조사비"),$P4145,0),$P4145*(1-AG4145)*IFERROR(INDEX(계정대체기준!$D$20:$D$49,MATCH($N4145,계정대체기준!$A$20:$A$49,0)),0)))</f>
        <v/>
      </c>
      <c r="AB4145" s="94">
        <f>IF($A4145="",0,IF(AE4145="직접",IF(AF4145="수금비",$P4145,0),$P4145*(1-AG4145)*IFERROR(INDEX(계정대체기준!$E$20:$E$49,MATCH($N4145,계정대체기준!$A$20:$A$49,0)),0)))</f>
        <v/>
      </c>
      <c r="AC4145" s="9">
        <f>IF(AND($A4145&lt;&gt;"",M4145=설정!$C$20,Z4145&gt;0),Z4145+ROW()/1000000000,"")</f>
        <v/>
      </c>
      <c r="AD4145" s="94">
        <f>IF($A4145="",0,$P4145*AG4145)</f>
        <v/>
      </c>
      <c r="AE4145" s="64">
        <f>IF($A4145="","",IFERROR(INDEX(계정매핑!$E$5:$E$504,MATCH($F4145&amp;"",계정매핑!$A$5:$A$504,0))&amp;"","공통비"))</f>
        <v/>
      </c>
      <c r="AF4145" s="64">
        <f>IF($A4145="","",IF(AE4145="직접",IFERROR(INDEX(계정매핑!$F$5:$F$504,MATCH($F4145&amp;"",계정매핑!$A$5:$A$504,0))&amp;"","비귀속"),""))</f>
        <v/>
      </c>
      <c r="AG4145" s="96">
        <f>IF($A4145="",0,IF(AND(AE4145&lt;&gt;"직접",IFERROR(INDEX(계정매핑!$G$5:$G$504,MATCH($F4145&amp;"",계정매핑!$A$5:$A$504,0))&amp;"","")="유지비",COUNTIF(계정대체기준!$A$6:$A$15,$N4145)&gt;0),IFERROR(INDEX(계정대체기준!$E$6:$E$15,MATCH(VALUE($A4145&amp;""),계정대체기준!$D$6:$D$15,0)),0),0))</f>
        <v/>
      </c>
      <c r="AH4145" s="64">
        <f>IF($A4145="","",IF(AD4145=0,"",IF(OR(COUNTIF(계정대체기준!$A$77:$A$86,$N4145)&gt;0,ISNUMBER(MATCH($X4145,계정대체기준!$D$77:$D$86,0)),ISNUMBER(MATCH($F4145,계정대체기준!$D$77:$D$86,0))),"Y","N")))</f>
        <v/>
      </c>
    </row>
    <row r="4146">
      <c r="A4146" s="92" t="n">
        <v>2026</v>
      </c>
      <c r="B4146" s="92" t="n">
        <v>7</v>
      </c>
      <c r="C4146" s="92" t="inlineStr">
        <is>
          <t>5100001424</t>
        </is>
      </c>
      <c r="D4146" s="95" t="n">
        <v>46211</v>
      </c>
      <c r="E4146" s="92" t="inlineStr">
        <is>
          <t>KR</t>
        </is>
      </c>
      <c r="F4146" s="92" t="n">
        <v>62301000</v>
      </c>
      <c r="G4146" s="92" t="n">
        <v>1502</v>
      </c>
      <c r="H4146" s="93" t="n">
        <v>169000</v>
      </c>
      <c r="I4146" s="92" t="inlineStr">
        <is>
          <t>7월 소모품 구입 - R문구</t>
        </is>
      </c>
      <c r="J4146" s="92" t="inlineStr">
        <is>
          <t>V10022</t>
        </is>
      </c>
      <c r="K4146" s="92" t="inlineStr">
        <is>
          <t>R문구</t>
        </is>
      </c>
      <c r="M4146" s="9">
        <f>IF($A4146="","",VALUE($A4146&amp;"")*12+VALUE($B4146&amp;""))</f>
        <v/>
      </c>
      <c r="N4146" s="64">
        <f>IF($A4146="","",IFERROR(INDEX(부서매핑!$C$5:$C$504,MATCH($G4146&amp;"",부서매핑!$A$5:$A$504,0)),"미매핑"))</f>
        <v/>
      </c>
      <c r="O4146" s="9">
        <f>IF($A4146="","",N4146&amp;"|"&amp;$F4146)</f>
        <v/>
      </c>
      <c r="P4146" s="94">
        <f>IF($A4146="",0,$H4146*설정!$C$23)</f>
        <v/>
      </c>
      <c r="Q4146" s="64">
        <f>IF($A4146="","",IF(O4146&lt;&gt;원인분석!$C$9,"",IF(AND(M4146&gt;=원인분석!$C$10,M4146&lt;=원인분석!$C$11),"당기",IF(AND(M4146&gt;=원인분석!$C$12,M4146&lt;=원인분석!$C$13),"비교",""))))</f>
        <v/>
      </c>
      <c r="R4146" s="9">
        <f>IF(Q4146="","",$K4146&amp;"")</f>
        <v/>
      </c>
      <c r="S4146" s="9">
        <f>IF(Q4146="","",IF(MATCH(R4146,$R$5:$R$100000,0)=ROW()-4,ROW(),""))</f>
        <v/>
      </c>
      <c r="T4146" s="9">
        <f>IF(Q4146="당기",ABS(P4146)+ROW()/1000000000,"")</f>
        <v/>
      </c>
      <c r="U4146" s="9">
        <f>IF(Q4146="비교",ABS(P4146)+ROW()/1000000000,"")</f>
        <v/>
      </c>
      <c r="V4146" s="64">
        <f>IF($A4146="","",IF(COUNTIF(변동분석!$E$7:$E$506,O4146)&gt;0,"Y","N"))</f>
        <v/>
      </c>
      <c r="W4146" s="64">
        <f>IF($A4146="","",IFERROR(INDEX(계정매핑!$D$5:$D$504,MATCH($F4146&amp;"",계정매핑!$A$5:$A$504,0)),"미매핑"))</f>
        <v/>
      </c>
      <c r="X4146" s="9">
        <f>IF($A4146="","",$F4146&amp;"")</f>
        <v/>
      </c>
      <c r="Y4146" s="94">
        <f>IF($A4146="",0,IF(AE4146="직접",IF(AF4146="비귀속",$P4146,0),$P4146*(1-AG4146)*IFERROR(INDEX(계정대체기준!$F$20:$F$49,MATCH($N4146,계정대체기준!$A$20:$A$49,0)),1)))</f>
        <v/>
      </c>
      <c r="Z4146" s="94">
        <f>IF($A4146="",0,IF(AE4146="직접",IF(AF4146="신계약비",$P4146,0),$P4146*(1-AG4146)*IFERROR(INDEX(계정대체기준!$C$20:$C$49,MATCH($N4146,계정대체기준!$A$20:$A$49,0)),0)))</f>
        <v/>
      </c>
      <c r="AA4146" s="94">
        <f>IF($A4146="",0,IF(AE4146="직접",IF(OR(AF4146="유지비",AF4146="손해조사비"),$P4146,0),$P4146*(1-AG4146)*IFERROR(INDEX(계정대체기준!$D$20:$D$49,MATCH($N4146,계정대체기준!$A$20:$A$49,0)),0)))</f>
        <v/>
      </c>
      <c r="AB4146" s="94">
        <f>IF($A4146="",0,IF(AE4146="직접",IF(AF4146="수금비",$P4146,0),$P4146*(1-AG4146)*IFERROR(INDEX(계정대체기준!$E$20:$E$49,MATCH($N4146,계정대체기준!$A$20:$A$49,0)),0)))</f>
        <v/>
      </c>
      <c r="AC4146" s="9">
        <f>IF(AND($A4146&lt;&gt;"",M4146=설정!$C$20,Z4146&gt;0),Z4146+ROW()/1000000000,"")</f>
        <v/>
      </c>
      <c r="AD4146" s="94">
        <f>IF($A4146="",0,$P4146*AG4146)</f>
        <v/>
      </c>
      <c r="AE4146" s="64">
        <f>IF($A4146="","",IFERROR(INDEX(계정매핑!$E$5:$E$504,MATCH($F4146&amp;"",계정매핑!$A$5:$A$504,0))&amp;"","공통비"))</f>
        <v/>
      </c>
      <c r="AF4146" s="64">
        <f>IF($A4146="","",IF(AE4146="직접",IFERROR(INDEX(계정매핑!$F$5:$F$504,MATCH($F4146&amp;"",계정매핑!$A$5:$A$504,0))&amp;"","비귀속"),""))</f>
        <v/>
      </c>
      <c r="AG4146" s="96">
        <f>IF($A4146="",0,IF(AND(AE4146&lt;&gt;"직접",IFERROR(INDEX(계정매핑!$G$5:$G$504,MATCH($F4146&amp;"",계정매핑!$A$5:$A$504,0))&amp;"","")="유지비",COUNTIF(계정대체기준!$A$6:$A$15,$N4146)&gt;0),IFERROR(INDEX(계정대체기준!$E$6:$E$15,MATCH(VALUE($A4146&amp;""),계정대체기준!$D$6:$D$15,0)),0),0))</f>
        <v/>
      </c>
      <c r="AH4146" s="64">
        <f>IF($A4146="","",IF(AD4146=0,"",IF(OR(COUNTIF(계정대체기준!$A$77:$A$86,$N4146)&gt;0,ISNUMBER(MATCH($X4146,계정대체기준!$D$77:$D$86,0)),ISNUMBER(MATCH($F4146,계정대체기준!$D$77:$D$86,0))),"Y","N")))</f>
        <v/>
      </c>
    </row>
    <row r="4147">
      <c r="A4147" s="92" t="n">
        <v>2026</v>
      </c>
      <c r="B4147" s="92" t="n">
        <v>7</v>
      </c>
      <c r="C4147" s="92" t="inlineStr">
        <is>
          <t>5100001425</t>
        </is>
      </c>
      <c r="D4147" s="95" t="n">
        <v>46211</v>
      </c>
      <c r="E4147" s="92" t="inlineStr">
        <is>
          <t>KR</t>
        </is>
      </c>
      <c r="F4147" s="92" t="n">
        <v>62401000</v>
      </c>
      <c r="G4147" s="92" t="n">
        <v>1401</v>
      </c>
      <c r="H4147" s="93" t="n">
        <v>141000</v>
      </c>
      <c r="I4147" s="92" t="inlineStr">
        <is>
          <t>7월 인쇄물 제작 - G인쇄</t>
        </is>
      </c>
      <c r="J4147" s="92" t="inlineStr">
        <is>
          <t>V10004</t>
        </is>
      </c>
      <c r="K4147" s="92" t="inlineStr">
        <is>
          <t>G인쇄</t>
        </is>
      </c>
      <c r="M4147" s="9">
        <f>IF($A4147="","",VALUE($A4147&amp;"")*12+VALUE($B4147&amp;""))</f>
        <v/>
      </c>
      <c r="N4147" s="64">
        <f>IF($A4147="","",IFERROR(INDEX(부서매핑!$C$5:$C$504,MATCH($G4147&amp;"",부서매핑!$A$5:$A$504,0)),"미매핑"))</f>
        <v/>
      </c>
      <c r="O4147" s="9">
        <f>IF($A4147="","",N4147&amp;"|"&amp;$F4147)</f>
        <v/>
      </c>
      <c r="P4147" s="94">
        <f>IF($A4147="",0,$H4147*설정!$C$23)</f>
        <v/>
      </c>
      <c r="Q4147" s="64">
        <f>IF($A4147="","",IF(O4147&lt;&gt;원인분석!$C$9,"",IF(AND(M4147&gt;=원인분석!$C$10,M4147&lt;=원인분석!$C$11),"당기",IF(AND(M4147&gt;=원인분석!$C$12,M4147&lt;=원인분석!$C$13),"비교",""))))</f>
        <v/>
      </c>
      <c r="R4147" s="9">
        <f>IF(Q4147="","",$K4147&amp;"")</f>
        <v/>
      </c>
      <c r="S4147" s="9">
        <f>IF(Q4147="","",IF(MATCH(R4147,$R$5:$R$100000,0)=ROW()-4,ROW(),""))</f>
        <v/>
      </c>
      <c r="T4147" s="9">
        <f>IF(Q4147="당기",ABS(P4147)+ROW()/1000000000,"")</f>
        <v/>
      </c>
      <c r="U4147" s="9">
        <f>IF(Q4147="비교",ABS(P4147)+ROW()/1000000000,"")</f>
        <v/>
      </c>
      <c r="V4147" s="64">
        <f>IF($A4147="","",IF(COUNTIF(변동분석!$E$7:$E$506,O4147)&gt;0,"Y","N"))</f>
        <v/>
      </c>
      <c r="W4147" s="64">
        <f>IF($A4147="","",IFERROR(INDEX(계정매핑!$D$5:$D$504,MATCH($F4147&amp;"",계정매핑!$A$5:$A$504,0)),"미매핑"))</f>
        <v/>
      </c>
      <c r="X4147" s="9">
        <f>IF($A4147="","",$F4147&amp;"")</f>
        <v/>
      </c>
      <c r="Y4147" s="94">
        <f>IF($A4147="",0,IF(AE4147="직접",IF(AF4147="비귀속",$P4147,0),$P4147*(1-AG4147)*IFERROR(INDEX(계정대체기준!$F$20:$F$49,MATCH($N4147,계정대체기준!$A$20:$A$49,0)),1)))</f>
        <v/>
      </c>
      <c r="Z4147" s="94">
        <f>IF($A4147="",0,IF(AE4147="직접",IF(AF4147="신계약비",$P4147,0),$P4147*(1-AG4147)*IFERROR(INDEX(계정대체기준!$C$20:$C$49,MATCH($N4147,계정대체기준!$A$20:$A$49,0)),0)))</f>
        <v/>
      </c>
      <c r="AA4147" s="94">
        <f>IF($A4147="",0,IF(AE4147="직접",IF(OR(AF4147="유지비",AF4147="손해조사비"),$P4147,0),$P4147*(1-AG4147)*IFERROR(INDEX(계정대체기준!$D$20:$D$49,MATCH($N4147,계정대체기준!$A$20:$A$49,0)),0)))</f>
        <v/>
      </c>
      <c r="AB4147" s="94">
        <f>IF($A4147="",0,IF(AE4147="직접",IF(AF4147="수금비",$P4147,0),$P4147*(1-AG4147)*IFERROR(INDEX(계정대체기준!$E$20:$E$49,MATCH($N4147,계정대체기준!$A$20:$A$49,0)),0)))</f>
        <v/>
      </c>
      <c r="AC4147" s="9">
        <f>IF(AND($A4147&lt;&gt;"",M4147=설정!$C$20,Z4147&gt;0),Z4147+ROW()/1000000000,"")</f>
        <v/>
      </c>
      <c r="AD4147" s="94">
        <f>IF($A4147="",0,$P4147*AG4147)</f>
        <v/>
      </c>
      <c r="AE4147" s="64">
        <f>IF($A4147="","",IFERROR(INDEX(계정매핑!$E$5:$E$504,MATCH($F4147&amp;"",계정매핑!$A$5:$A$504,0))&amp;"","공통비"))</f>
        <v/>
      </c>
      <c r="AF4147" s="64">
        <f>IF($A4147="","",IF(AE4147="직접",IFERROR(INDEX(계정매핑!$F$5:$F$504,MATCH($F4147&amp;"",계정매핑!$A$5:$A$504,0))&amp;"","비귀속"),""))</f>
        <v/>
      </c>
      <c r="AG4147" s="96">
        <f>IF($A4147="",0,IF(AND(AE4147&lt;&gt;"직접",IFERROR(INDEX(계정매핑!$G$5:$G$504,MATCH($F4147&amp;"",계정매핑!$A$5:$A$504,0))&amp;"","")="유지비",COUNTIF(계정대체기준!$A$6:$A$15,$N4147)&gt;0),IFERROR(INDEX(계정대체기준!$E$6:$E$15,MATCH(VALUE($A4147&amp;""),계정대체기준!$D$6:$D$15,0)),0),0))</f>
        <v/>
      </c>
      <c r="AH4147" s="64">
        <f>IF($A4147="","",IF(AD4147=0,"",IF(OR(COUNTIF(계정대체기준!$A$77:$A$86,$N4147)&gt;0,ISNUMBER(MATCH($X4147,계정대체기준!$D$77:$D$86,0)),ISNUMBER(MATCH($F4147,계정대체기준!$D$77:$D$86,0))),"Y","N")))</f>
        <v/>
      </c>
    </row>
    <row r="4148">
      <c r="A4148" s="92" t="n">
        <v>2026</v>
      </c>
      <c r="B4148" s="92" t="n">
        <v>7</v>
      </c>
      <c r="C4148" s="92" t="inlineStr">
        <is>
          <t>5100001426</t>
        </is>
      </c>
      <c r="D4148" s="95" t="n">
        <v>46211</v>
      </c>
      <c r="E4148" s="92" t="inlineStr">
        <is>
          <t>KR</t>
        </is>
      </c>
      <c r="F4148" s="92" t="n">
        <v>62501000</v>
      </c>
      <c r="G4148" s="92" t="n">
        <v>1601</v>
      </c>
      <c r="H4148" s="93" t="n">
        <v>657000</v>
      </c>
      <c r="I4148" s="92" t="inlineStr">
        <is>
          <t>7월 회의 다과 - T케이터링</t>
        </is>
      </c>
      <c r="J4148" s="92" t="inlineStr">
        <is>
          <t>V10005</t>
        </is>
      </c>
      <c r="K4148" s="92" t="inlineStr">
        <is>
          <t>T케이터링</t>
        </is>
      </c>
      <c r="M4148" s="9">
        <f>IF($A4148="","",VALUE($A4148&amp;"")*12+VALUE($B4148&amp;""))</f>
        <v/>
      </c>
      <c r="N4148" s="64">
        <f>IF($A4148="","",IFERROR(INDEX(부서매핑!$C$5:$C$504,MATCH($G4148&amp;"",부서매핑!$A$5:$A$504,0)),"미매핑"))</f>
        <v/>
      </c>
      <c r="O4148" s="9">
        <f>IF($A4148="","",N4148&amp;"|"&amp;$F4148)</f>
        <v/>
      </c>
      <c r="P4148" s="94">
        <f>IF($A4148="",0,$H4148*설정!$C$23)</f>
        <v/>
      </c>
      <c r="Q4148" s="64">
        <f>IF($A4148="","",IF(O4148&lt;&gt;원인분석!$C$9,"",IF(AND(M4148&gt;=원인분석!$C$10,M4148&lt;=원인분석!$C$11),"당기",IF(AND(M4148&gt;=원인분석!$C$12,M4148&lt;=원인분석!$C$13),"비교",""))))</f>
        <v/>
      </c>
      <c r="R4148" s="9">
        <f>IF(Q4148="","",$K4148&amp;"")</f>
        <v/>
      </c>
      <c r="S4148" s="9">
        <f>IF(Q4148="","",IF(MATCH(R4148,$R$5:$R$100000,0)=ROW()-4,ROW(),""))</f>
        <v/>
      </c>
      <c r="T4148" s="9">
        <f>IF(Q4148="당기",ABS(P4148)+ROW()/1000000000,"")</f>
        <v/>
      </c>
      <c r="U4148" s="9">
        <f>IF(Q4148="비교",ABS(P4148)+ROW()/1000000000,"")</f>
        <v/>
      </c>
      <c r="V4148" s="64">
        <f>IF($A4148="","",IF(COUNTIF(변동분석!$E$7:$E$506,O4148)&gt;0,"Y","N"))</f>
        <v/>
      </c>
      <c r="W4148" s="64">
        <f>IF($A4148="","",IFERROR(INDEX(계정매핑!$D$5:$D$504,MATCH($F4148&amp;"",계정매핑!$A$5:$A$504,0)),"미매핑"))</f>
        <v/>
      </c>
      <c r="X4148" s="9">
        <f>IF($A4148="","",$F4148&amp;"")</f>
        <v/>
      </c>
      <c r="Y4148" s="94">
        <f>IF($A4148="",0,IF(AE4148="직접",IF(AF4148="비귀속",$P4148,0),$P4148*(1-AG4148)*IFERROR(INDEX(계정대체기준!$F$20:$F$49,MATCH($N4148,계정대체기준!$A$20:$A$49,0)),1)))</f>
        <v/>
      </c>
      <c r="Z4148" s="94">
        <f>IF($A4148="",0,IF(AE4148="직접",IF(AF4148="신계약비",$P4148,0),$P4148*(1-AG4148)*IFERROR(INDEX(계정대체기준!$C$20:$C$49,MATCH($N4148,계정대체기준!$A$20:$A$49,0)),0)))</f>
        <v/>
      </c>
      <c r="AA4148" s="94">
        <f>IF($A4148="",0,IF(AE4148="직접",IF(OR(AF4148="유지비",AF4148="손해조사비"),$P4148,0),$P4148*(1-AG4148)*IFERROR(INDEX(계정대체기준!$D$20:$D$49,MATCH($N4148,계정대체기준!$A$20:$A$49,0)),0)))</f>
        <v/>
      </c>
      <c r="AB4148" s="94">
        <f>IF($A4148="",0,IF(AE4148="직접",IF(AF4148="수금비",$P4148,0),$P4148*(1-AG4148)*IFERROR(INDEX(계정대체기준!$E$20:$E$49,MATCH($N4148,계정대체기준!$A$20:$A$49,0)),0)))</f>
        <v/>
      </c>
      <c r="AC4148" s="9">
        <f>IF(AND($A4148&lt;&gt;"",M4148=설정!$C$20,Z4148&gt;0),Z4148+ROW()/1000000000,"")</f>
        <v/>
      </c>
      <c r="AD4148" s="94">
        <f>IF($A4148="",0,$P4148*AG4148)</f>
        <v/>
      </c>
      <c r="AE4148" s="64">
        <f>IF($A4148="","",IFERROR(INDEX(계정매핑!$E$5:$E$504,MATCH($F4148&amp;"",계정매핑!$A$5:$A$504,0))&amp;"","공통비"))</f>
        <v/>
      </c>
      <c r="AF4148" s="64">
        <f>IF($A4148="","",IF(AE4148="직접",IFERROR(INDEX(계정매핑!$F$5:$F$504,MATCH($F4148&amp;"",계정매핑!$A$5:$A$504,0))&amp;"","비귀속"),""))</f>
        <v/>
      </c>
      <c r="AG4148" s="96">
        <f>IF($A4148="",0,IF(AND(AE4148&lt;&gt;"직접",IFERROR(INDEX(계정매핑!$G$5:$G$504,MATCH($F4148&amp;"",계정매핑!$A$5:$A$504,0))&amp;"","")="유지비",COUNTIF(계정대체기준!$A$6:$A$15,$N4148)&gt;0),IFERROR(INDEX(계정대체기준!$E$6:$E$15,MATCH(VALUE($A4148&amp;""),계정대체기준!$D$6:$D$15,0)),0),0))</f>
        <v/>
      </c>
      <c r="AH4148" s="64">
        <f>IF($A4148="","",IF(AD4148=0,"",IF(OR(COUNTIF(계정대체기준!$A$77:$A$86,$N4148)&gt;0,ISNUMBER(MATCH($X4148,계정대체기준!$D$77:$D$86,0)),ISNUMBER(MATCH($F4148,계정대체기준!$D$77:$D$86,0))),"Y","N")))</f>
        <v/>
      </c>
    </row>
    <row r="4149">
      <c r="A4149" s="92" t="n">
        <v>2026</v>
      </c>
      <c r="B4149" s="92" t="n">
        <v>7</v>
      </c>
      <c r="C4149" s="92" t="inlineStr">
        <is>
          <t>5100001427</t>
        </is>
      </c>
      <c r="D4149" s="95" t="n">
        <v>46211</v>
      </c>
      <c r="E4149" s="92" t="inlineStr">
        <is>
          <t>KR</t>
        </is>
      </c>
      <c r="F4149" s="92" t="n">
        <v>62902000</v>
      </c>
      <c r="G4149" s="92" t="n">
        <v>1801</v>
      </c>
      <c r="H4149" s="93" t="n">
        <v>1801000</v>
      </c>
      <c r="I4149" s="92" t="inlineStr">
        <is>
          <t>7월 콜 위탁 수수료(건별)</t>
        </is>
      </c>
      <c r="J4149" s="92" t="inlineStr">
        <is>
          <t>V10016</t>
        </is>
      </c>
      <c r="K4149" s="92" t="inlineStr">
        <is>
          <t>J콜센터</t>
        </is>
      </c>
      <c r="M4149" s="9">
        <f>IF($A4149="","",VALUE($A4149&amp;"")*12+VALUE($B4149&amp;""))</f>
        <v/>
      </c>
      <c r="N4149" s="64">
        <f>IF($A4149="","",IFERROR(INDEX(부서매핑!$C$5:$C$504,MATCH($G4149&amp;"",부서매핑!$A$5:$A$504,0)),"미매핑"))</f>
        <v/>
      </c>
      <c r="O4149" s="9">
        <f>IF($A4149="","",N4149&amp;"|"&amp;$F4149)</f>
        <v/>
      </c>
      <c r="P4149" s="94">
        <f>IF($A4149="",0,$H4149*설정!$C$23)</f>
        <v/>
      </c>
      <c r="Q4149" s="64">
        <f>IF($A4149="","",IF(O4149&lt;&gt;원인분석!$C$9,"",IF(AND(M4149&gt;=원인분석!$C$10,M4149&lt;=원인분석!$C$11),"당기",IF(AND(M4149&gt;=원인분석!$C$12,M4149&lt;=원인분석!$C$13),"비교",""))))</f>
        <v/>
      </c>
      <c r="R4149" s="9">
        <f>IF(Q4149="","",$K4149&amp;"")</f>
        <v/>
      </c>
      <c r="S4149" s="9">
        <f>IF(Q4149="","",IF(MATCH(R4149,$R$5:$R$100000,0)=ROW()-4,ROW(),""))</f>
        <v/>
      </c>
      <c r="T4149" s="9">
        <f>IF(Q4149="당기",ABS(P4149)+ROW()/1000000000,"")</f>
        <v/>
      </c>
      <c r="U4149" s="9">
        <f>IF(Q4149="비교",ABS(P4149)+ROW()/1000000000,"")</f>
        <v/>
      </c>
      <c r="V4149" s="64">
        <f>IF($A4149="","",IF(COUNTIF(변동분석!$E$7:$E$506,O4149)&gt;0,"Y","N"))</f>
        <v/>
      </c>
      <c r="W4149" s="64">
        <f>IF($A4149="","",IFERROR(INDEX(계정매핑!$D$5:$D$504,MATCH($F4149&amp;"",계정매핑!$A$5:$A$504,0)),"미매핑"))</f>
        <v/>
      </c>
      <c r="X4149" s="9">
        <f>IF($A4149="","",$F4149&amp;"")</f>
        <v/>
      </c>
      <c r="Y4149" s="94">
        <f>IF($A4149="",0,IF(AE4149="직접",IF(AF4149="비귀속",$P4149,0),$P4149*(1-AG4149)*IFERROR(INDEX(계정대체기준!$F$20:$F$49,MATCH($N4149,계정대체기준!$A$20:$A$49,0)),1)))</f>
        <v/>
      </c>
      <c r="Z4149" s="94">
        <f>IF($A4149="",0,IF(AE4149="직접",IF(AF4149="신계약비",$P4149,0),$P4149*(1-AG4149)*IFERROR(INDEX(계정대체기준!$C$20:$C$49,MATCH($N4149,계정대체기준!$A$20:$A$49,0)),0)))</f>
        <v/>
      </c>
      <c r="AA4149" s="94">
        <f>IF($A4149="",0,IF(AE4149="직접",IF(OR(AF4149="유지비",AF4149="손해조사비"),$P4149,0),$P4149*(1-AG4149)*IFERROR(INDEX(계정대체기준!$D$20:$D$49,MATCH($N4149,계정대체기준!$A$20:$A$49,0)),0)))</f>
        <v/>
      </c>
      <c r="AB4149" s="94">
        <f>IF($A4149="",0,IF(AE4149="직접",IF(AF4149="수금비",$P4149,0),$P4149*(1-AG4149)*IFERROR(INDEX(계정대체기준!$E$20:$E$49,MATCH($N4149,계정대체기준!$A$20:$A$49,0)),0)))</f>
        <v/>
      </c>
      <c r="AC4149" s="9">
        <f>IF(AND($A4149&lt;&gt;"",M4149=설정!$C$20,Z4149&gt;0),Z4149+ROW()/1000000000,"")</f>
        <v/>
      </c>
      <c r="AD4149" s="94">
        <f>IF($A4149="",0,$P4149*AG4149)</f>
        <v/>
      </c>
      <c r="AE4149" s="64">
        <f>IF($A4149="","",IFERROR(INDEX(계정매핑!$E$5:$E$504,MATCH($F4149&amp;"",계정매핑!$A$5:$A$504,0))&amp;"","공통비"))</f>
        <v/>
      </c>
      <c r="AF4149" s="64">
        <f>IF($A4149="","",IF(AE4149="직접",IFERROR(INDEX(계정매핑!$F$5:$F$504,MATCH($F4149&amp;"",계정매핑!$A$5:$A$504,0))&amp;"","비귀속"),""))</f>
        <v/>
      </c>
      <c r="AG4149" s="96">
        <f>IF($A4149="",0,IF(AND(AE4149&lt;&gt;"직접",IFERROR(INDEX(계정매핑!$G$5:$G$504,MATCH($F4149&amp;"",계정매핑!$A$5:$A$504,0))&amp;"","")="유지비",COUNTIF(계정대체기준!$A$6:$A$15,$N4149)&gt;0),IFERROR(INDEX(계정대체기준!$E$6:$E$15,MATCH(VALUE($A4149&amp;""),계정대체기준!$D$6:$D$15,0)),0),0))</f>
        <v/>
      </c>
      <c r="AH4149" s="64">
        <f>IF($A4149="","",IF(AD4149=0,"",IF(OR(COUNTIF(계정대체기준!$A$77:$A$86,$N4149)&gt;0,ISNUMBER(MATCH($X4149,계정대체기준!$D$77:$D$86,0)),ISNUMBER(MATCH($F4149,계정대체기준!$D$77:$D$86,0))),"Y","N")))</f>
        <v/>
      </c>
    </row>
    <row r="4150">
      <c r="A4150" s="92" t="n">
        <v>2026</v>
      </c>
      <c r="B4150" s="92" t="n">
        <v>7</v>
      </c>
      <c r="C4150" s="92" t="inlineStr">
        <is>
          <t>5100001428</t>
        </is>
      </c>
      <c r="D4150" s="95" t="n">
        <v>46211</v>
      </c>
      <c r="E4150" s="92" t="inlineStr">
        <is>
          <t>KR</t>
        </is>
      </c>
      <c r="F4150" s="92" t="n">
        <v>62902000</v>
      </c>
      <c r="G4150" s="92" t="n">
        <v>1801</v>
      </c>
      <c r="H4150" s="93" t="n">
        <v>1796000</v>
      </c>
      <c r="I4150" s="92" t="inlineStr">
        <is>
          <t>7월 콜 위탁 수수료(건별)</t>
        </is>
      </c>
      <c r="J4150" s="92" t="inlineStr">
        <is>
          <t>V10016</t>
        </is>
      </c>
      <c r="K4150" s="92" t="inlineStr">
        <is>
          <t>J콜센터</t>
        </is>
      </c>
      <c r="M4150" s="9">
        <f>IF($A4150="","",VALUE($A4150&amp;"")*12+VALUE($B4150&amp;""))</f>
        <v/>
      </c>
      <c r="N4150" s="64">
        <f>IF($A4150="","",IFERROR(INDEX(부서매핑!$C$5:$C$504,MATCH($G4150&amp;"",부서매핑!$A$5:$A$504,0)),"미매핑"))</f>
        <v/>
      </c>
      <c r="O4150" s="9">
        <f>IF($A4150="","",N4150&amp;"|"&amp;$F4150)</f>
        <v/>
      </c>
      <c r="P4150" s="94">
        <f>IF($A4150="",0,$H4150*설정!$C$23)</f>
        <v/>
      </c>
      <c r="Q4150" s="64">
        <f>IF($A4150="","",IF(O4150&lt;&gt;원인분석!$C$9,"",IF(AND(M4150&gt;=원인분석!$C$10,M4150&lt;=원인분석!$C$11),"당기",IF(AND(M4150&gt;=원인분석!$C$12,M4150&lt;=원인분석!$C$13),"비교",""))))</f>
        <v/>
      </c>
      <c r="R4150" s="9">
        <f>IF(Q4150="","",$K4150&amp;"")</f>
        <v/>
      </c>
      <c r="S4150" s="9">
        <f>IF(Q4150="","",IF(MATCH(R4150,$R$5:$R$100000,0)=ROW()-4,ROW(),""))</f>
        <v/>
      </c>
      <c r="T4150" s="9">
        <f>IF(Q4150="당기",ABS(P4150)+ROW()/1000000000,"")</f>
        <v/>
      </c>
      <c r="U4150" s="9">
        <f>IF(Q4150="비교",ABS(P4150)+ROW()/1000000000,"")</f>
        <v/>
      </c>
      <c r="V4150" s="64">
        <f>IF($A4150="","",IF(COUNTIF(변동분석!$E$7:$E$506,O4150)&gt;0,"Y","N"))</f>
        <v/>
      </c>
      <c r="W4150" s="64">
        <f>IF($A4150="","",IFERROR(INDEX(계정매핑!$D$5:$D$504,MATCH($F4150&amp;"",계정매핑!$A$5:$A$504,0)),"미매핑"))</f>
        <v/>
      </c>
      <c r="X4150" s="9">
        <f>IF($A4150="","",$F4150&amp;"")</f>
        <v/>
      </c>
      <c r="Y4150" s="94">
        <f>IF($A4150="",0,IF(AE4150="직접",IF(AF4150="비귀속",$P4150,0),$P4150*(1-AG4150)*IFERROR(INDEX(계정대체기준!$F$20:$F$49,MATCH($N4150,계정대체기준!$A$20:$A$49,0)),1)))</f>
        <v/>
      </c>
      <c r="Z4150" s="94">
        <f>IF($A4150="",0,IF(AE4150="직접",IF(AF4150="신계약비",$P4150,0),$P4150*(1-AG4150)*IFERROR(INDEX(계정대체기준!$C$20:$C$49,MATCH($N4150,계정대체기준!$A$20:$A$49,0)),0)))</f>
        <v/>
      </c>
      <c r="AA4150" s="94">
        <f>IF($A4150="",0,IF(AE4150="직접",IF(OR(AF4150="유지비",AF4150="손해조사비"),$P4150,0),$P4150*(1-AG4150)*IFERROR(INDEX(계정대체기준!$D$20:$D$49,MATCH($N4150,계정대체기준!$A$20:$A$49,0)),0)))</f>
        <v/>
      </c>
      <c r="AB4150" s="94">
        <f>IF($A4150="",0,IF(AE4150="직접",IF(AF4150="수금비",$P4150,0),$P4150*(1-AG4150)*IFERROR(INDEX(계정대체기준!$E$20:$E$49,MATCH($N4150,계정대체기준!$A$20:$A$49,0)),0)))</f>
        <v/>
      </c>
      <c r="AC4150" s="9">
        <f>IF(AND($A4150&lt;&gt;"",M4150=설정!$C$20,Z4150&gt;0),Z4150+ROW()/1000000000,"")</f>
        <v/>
      </c>
      <c r="AD4150" s="94">
        <f>IF($A4150="",0,$P4150*AG4150)</f>
        <v/>
      </c>
      <c r="AE4150" s="64">
        <f>IF($A4150="","",IFERROR(INDEX(계정매핑!$E$5:$E$504,MATCH($F4150&amp;"",계정매핑!$A$5:$A$504,0))&amp;"","공통비"))</f>
        <v/>
      </c>
      <c r="AF4150" s="64">
        <f>IF($A4150="","",IF(AE4150="직접",IFERROR(INDEX(계정매핑!$F$5:$F$504,MATCH($F4150&amp;"",계정매핑!$A$5:$A$504,0))&amp;"","비귀속"),""))</f>
        <v/>
      </c>
      <c r="AG4150" s="96">
        <f>IF($A4150="",0,IF(AND(AE4150&lt;&gt;"직접",IFERROR(INDEX(계정매핑!$G$5:$G$504,MATCH($F4150&amp;"",계정매핑!$A$5:$A$504,0))&amp;"","")="유지비",COUNTIF(계정대체기준!$A$6:$A$15,$N4150)&gt;0),IFERROR(INDEX(계정대체기준!$E$6:$E$15,MATCH(VALUE($A4150&amp;""),계정대체기준!$D$6:$D$15,0)),0),0))</f>
        <v/>
      </c>
      <c r="AH4150" s="64">
        <f>IF($A4150="","",IF(AD4150=0,"",IF(OR(COUNTIF(계정대체기준!$A$77:$A$86,$N4150)&gt;0,ISNUMBER(MATCH($X4150,계정대체기준!$D$77:$D$86,0)),ISNUMBER(MATCH($F4150,계정대체기준!$D$77:$D$86,0))),"Y","N")))</f>
        <v/>
      </c>
    </row>
    <row r="4151">
      <c r="A4151" s="92" t="n">
        <v>2026</v>
      </c>
      <c r="B4151" s="92" t="n">
        <v>7</v>
      </c>
      <c r="C4151" s="92" t="inlineStr">
        <is>
          <t>5100001429</t>
        </is>
      </c>
      <c r="D4151" s="95" t="n">
        <v>46211</v>
      </c>
      <c r="E4151" s="92" t="inlineStr">
        <is>
          <t>KR</t>
        </is>
      </c>
      <c r="F4151" s="92" t="n">
        <v>62902000</v>
      </c>
      <c r="G4151" s="92" t="n">
        <v>1801</v>
      </c>
      <c r="H4151" s="93" t="n">
        <v>3000000</v>
      </c>
      <c r="I4151" s="92" t="inlineStr">
        <is>
          <t>7월 업무 위탁 수수료 - X서비스</t>
        </is>
      </c>
      <c r="J4151" s="92" t="inlineStr">
        <is>
          <t>V10020</t>
        </is>
      </c>
      <c r="K4151" s="92" t="inlineStr">
        <is>
          <t>X서비스</t>
        </is>
      </c>
      <c r="M4151" s="9">
        <f>IF($A4151="","",VALUE($A4151&amp;"")*12+VALUE($B4151&amp;""))</f>
        <v/>
      </c>
      <c r="N4151" s="64">
        <f>IF($A4151="","",IFERROR(INDEX(부서매핑!$C$5:$C$504,MATCH($G4151&amp;"",부서매핑!$A$5:$A$504,0)),"미매핑"))</f>
        <v/>
      </c>
      <c r="O4151" s="9">
        <f>IF($A4151="","",N4151&amp;"|"&amp;$F4151)</f>
        <v/>
      </c>
      <c r="P4151" s="94">
        <f>IF($A4151="",0,$H4151*설정!$C$23)</f>
        <v/>
      </c>
      <c r="Q4151" s="64">
        <f>IF($A4151="","",IF(O4151&lt;&gt;원인분석!$C$9,"",IF(AND(M4151&gt;=원인분석!$C$10,M4151&lt;=원인분석!$C$11),"당기",IF(AND(M4151&gt;=원인분석!$C$12,M4151&lt;=원인분석!$C$13),"비교",""))))</f>
        <v/>
      </c>
      <c r="R4151" s="9">
        <f>IF(Q4151="","",$K4151&amp;"")</f>
        <v/>
      </c>
      <c r="S4151" s="9">
        <f>IF(Q4151="","",IF(MATCH(R4151,$R$5:$R$100000,0)=ROW()-4,ROW(),""))</f>
        <v/>
      </c>
      <c r="T4151" s="9">
        <f>IF(Q4151="당기",ABS(P4151)+ROW()/1000000000,"")</f>
        <v/>
      </c>
      <c r="U4151" s="9">
        <f>IF(Q4151="비교",ABS(P4151)+ROW()/1000000000,"")</f>
        <v/>
      </c>
      <c r="V4151" s="64">
        <f>IF($A4151="","",IF(COUNTIF(변동분석!$E$7:$E$506,O4151)&gt;0,"Y","N"))</f>
        <v/>
      </c>
      <c r="W4151" s="64">
        <f>IF($A4151="","",IFERROR(INDEX(계정매핑!$D$5:$D$504,MATCH($F4151&amp;"",계정매핑!$A$5:$A$504,0)),"미매핑"))</f>
        <v/>
      </c>
      <c r="X4151" s="9">
        <f>IF($A4151="","",$F4151&amp;"")</f>
        <v/>
      </c>
      <c r="Y4151" s="94">
        <f>IF($A4151="",0,IF(AE4151="직접",IF(AF4151="비귀속",$P4151,0),$P4151*(1-AG4151)*IFERROR(INDEX(계정대체기준!$F$20:$F$49,MATCH($N4151,계정대체기준!$A$20:$A$49,0)),1)))</f>
        <v/>
      </c>
      <c r="Z4151" s="94">
        <f>IF($A4151="",0,IF(AE4151="직접",IF(AF4151="신계약비",$P4151,0),$P4151*(1-AG4151)*IFERROR(INDEX(계정대체기준!$C$20:$C$49,MATCH($N4151,계정대체기준!$A$20:$A$49,0)),0)))</f>
        <v/>
      </c>
      <c r="AA4151" s="94">
        <f>IF($A4151="",0,IF(AE4151="직접",IF(OR(AF4151="유지비",AF4151="손해조사비"),$P4151,0),$P4151*(1-AG4151)*IFERROR(INDEX(계정대체기준!$D$20:$D$49,MATCH($N4151,계정대체기준!$A$20:$A$49,0)),0)))</f>
        <v/>
      </c>
      <c r="AB4151" s="94">
        <f>IF($A4151="",0,IF(AE4151="직접",IF(AF4151="수금비",$P4151,0),$P4151*(1-AG4151)*IFERROR(INDEX(계정대체기준!$E$20:$E$49,MATCH($N4151,계정대체기준!$A$20:$A$49,0)),0)))</f>
        <v/>
      </c>
      <c r="AC4151" s="9">
        <f>IF(AND($A4151&lt;&gt;"",M4151=설정!$C$20,Z4151&gt;0),Z4151+ROW()/1000000000,"")</f>
        <v/>
      </c>
      <c r="AD4151" s="94">
        <f>IF($A4151="",0,$P4151*AG4151)</f>
        <v/>
      </c>
      <c r="AE4151" s="64">
        <f>IF($A4151="","",IFERROR(INDEX(계정매핑!$E$5:$E$504,MATCH($F4151&amp;"",계정매핑!$A$5:$A$504,0))&amp;"","공통비"))</f>
        <v/>
      </c>
      <c r="AF4151" s="64">
        <f>IF($A4151="","",IF(AE4151="직접",IFERROR(INDEX(계정매핑!$F$5:$F$504,MATCH($F4151&amp;"",계정매핑!$A$5:$A$504,0))&amp;"","비귀속"),""))</f>
        <v/>
      </c>
      <c r="AG4151" s="96">
        <f>IF($A4151="",0,IF(AND(AE4151&lt;&gt;"직접",IFERROR(INDEX(계정매핑!$G$5:$G$504,MATCH($F4151&amp;"",계정매핑!$A$5:$A$504,0))&amp;"","")="유지비",COUNTIF(계정대체기준!$A$6:$A$15,$N4151)&gt;0),IFERROR(INDEX(계정대체기준!$E$6:$E$15,MATCH(VALUE($A4151&amp;""),계정대체기준!$D$6:$D$15,0)),0),0))</f>
        <v/>
      </c>
      <c r="AH4151" s="64">
        <f>IF($A4151="","",IF(AD4151=0,"",IF(OR(COUNTIF(계정대체기준!$A$77:$A$86,$N4151)&gt;0,ISNUMBER(MATCH($X4151,계정대체기준!$D$77:$D$86,0)),ISNUMBER(MATCH($F4151,계정대체기준!$D$77:$D$86,0))),"Y","N")))</f>
        <v/>
      </c>
    </row>
    <row r="4152">
      <c r="A4152" s="92" t="n">
        <v>2026</v>
      </c>
      <c r="B4152" s="92" t="n">
        <v>7</v>
      </c>
      <c r="C4152" s="92" t="inlineStr">
        <is>
          <t>5100001430</t>
        </is>
      </c>
      <c r="D4152" s="95" t="n">
        <v>46211</v>
      </c>
      <c r="E4152" s="92" t="inlineStr">
        <is>
          <t>KR</t>
        </is>
      </c>
      <c r="F4152" s="92" t="n">
        <v>63001000</v>
      </c>
      <c r="G4152" s="92" t="n">
        <v>1701</v>
      </c>
      <c r="H4152" s="93" t="n">
        <v>28071000</v>
      </c>
      <c r="I4152" s="92" t="inlineStr">
        <is>
          <t>7월 SW 유지보수 - Z시스템</t>
        </is>
      </c>
      <c r="J4152" s="92" t="inlineStr">
        <is>
          <t>V10012</t>
        </is>
      </c>
      <c r="K4152" s="92" t="inlineStr">
        <is>
          <t>Z시스템</t>
        </is>
      </c>
      <c r="M4152" s="9">
        <f>IF($A4152="","",VALUE($A4152&amp;"")*12+VALUE($B4152&amp;""))</f>
        <v/>
      </c>
      <c r="N4152" s="64">
        <f>IF($A4152="","",IFERROR(INDEX(부서매핑!$C$5:$C$504,MATCH($G4152&amp;"",부서매핑!$A$5:$A$504,0)),"미매핑"))</f>
        <v/>
      </c>
      <c r="O4152" s="9">
        <f>IF($A4152="","",N4152&amp;"|"&amp;$F4152)</f>
        <v/>
      </c>
      <c r="P4152" s="94">
        <f>IF($A4152="",0,$H4152*설정!$C$23)</f>
        <v/>
      </c>
      <c r="Q4152" s="64">
        <f>IF($A4152="","",IF(O4152&lt;&gt;원인분석!$C$9,"",IF(AND(M4152&gt;=원인분석!$C$10,M4152&lt;=원인분석!$C$11),"당기",IF(AND(M4152&gt;=원인분석!$C$12,M4152&lt;=원인분석!$C$13),"비교",""))))</f>
        <v/>
      </c>
      <c r="R4152" s="9">
        <f>IF(Q4152="","",$K4152&amp;"")</f>
        <v/>
      </c>
      <c r="S4152" s="9">
        <f>IF(Q4152="","",IF(MATCH(R4152,$R$5:$R$100000,0)=ROW()-4,ROW(),""))</f>
        <v/>
      </c>
      <c r="T4152" s="9">
        <f>IF(Q4152="당기",ABS(P4152)+ROW()/1000000000,"")</f>
        <v/>
      </c>
      <c r="U4152" s="9">
        <f>IF(Q4152="비교",ABS(P4152)+ROW()/1000000000,"")</f>
        <v/>
      </c>
      <c r="V4152" s="64">
        <f>IF($A4152="","",IF(COUNTIF(변동분석!$E$7:$E$506,O4152)&gt;0,"Y","N"))</f>
        <v/>
      </c>
      <c r="W4152" s="64">
        <f>IF($A4152="","",IFERROR(INDEX(계정매핑!$D$5:$D$504,MATCH($F4152&amp;"",계정매핑!$A$5:$A$504,0)),"미매핑"))</f>
        <v/>
      </c>
      <c r="X4152" s="9">
        <f>IF($A4152="","",$F4152&amp;"")</f>
        <v/>
      </c>
      <c r="Y4152" s="94">
        <f>IF($A4152="",0,IF(AE4152="직접",IF(AF4152="비귀속",$P4152,0),$P4152*(1-AG4152)*IFERROR(INDEX(계정대체기준!$F$20:$F$49,MATCH($N4152,계정대체기준!$A$20:$A$49,0)),1)))</f>
        <v/>
      </c>
      <c r="Z4152" s="94">
        <f>IF($A4152="",0,IF(AE4152="직접",IF(AF4152="신계약비",$P4152,0),$P4152*(1-AG4152)*IFERROR(INDEX(계정대체기준!$C$20:$C$49,MATCH($N4152,계정대체기준!$A$20:$A$49,0)),0)))</f>
        <v/>
      </c>
      <c r="AA4152" s="94">
        <f>IF($A4152="",0,IF(AE4152="직접",IF(OR(AF4152="유지비",AF4152="손해조사비"),$P4152,0),$P4152*(1-AG4152)*IFERROR(INDEX(계정대체기준!$D$20:$D$49,MATCH($N4152,계정대체기준!$A$20:$A$49,0)),0)))</f>
        <v/>
      </c>
      <c r="AB4152" s="94">
        <f>IF($A4152="",0,IF(AE4152="직접",IF(AF4152="수금비",$P4152,0),$P4152*(1-AG4152)*IFERROR(INDEX(계정대체기준!$E$20:$E$49,MATCH($N4152,계정대체기준!$A$20:$A$49,0)),0)))</f>
        <v/>
      </c>
      <c r="AC4152" s="9">
        <f>IF(AND($A4152&lt;&gt;"",M4152=설정!$C$20,Z4152&gt;0),Z4152+ROW()/1000000000,"")</f>
        <v/>
      </c>
      <c r="AD4152" s="94">
        <f>IF($A4152="",0,$P4152*AG4152)</f>
        <v/>
      </c>
      <c r="AE4152" s="64">
        <f>IF($A4152="","",IFERROR(INDEX(계정매핑!$E$5:$E$504,MATCH($F4152&amp;"",계정매핑!$A$5:$A$504,0))&amp;"","공통비"))</f>
        <v/>
      </c>
      <c r="AF4152" s="64">
        <f>IF($A4152="","",IF(AE4152="직접",IFERROR(INDEX(계정매핑!$F$5:$F$504,MATCH($F4152&amp;"",계정매핑!$A$5:$A$504,0))&amp;"","비귀속"),""))</f>
        <v/>
      </c>
      <c r="AG4152" s="96">
        <f>IF($A4152="",0,IF(AND(AE4152&lt;&gt;"직접",IFERROR(INDEX(계정매핑!$G$5:$G$504,MATCH($F4152&amp;"",계정매핑!$A$5:$A$504,0))&amp;"","")="유지비",COUNTIF(계정대체기준!$A$6:$A$15,$N4152)&gt;0),IFERROR(INDEX(계정대체기준!$E$6:$E$15,MATCH(VALUE($A4152&amp;""),계정대체기준!$D$6:$D$15,0)),0),0))</f>
        <v/>
      </c>
      <c r="AH4152" s="64">
        <f>IF($A4152="","",IF(AD4152=0,"",IF(OR(COUNTIF(계정대체기준!$A$77:$A$86,$N4152)&gt;0,ISNUMBER(MATCH($X4152,계정대체기준!$D$77:$D$86,0)),ISNUMBER(MATCH($F4152,계정대체기준!$D$77:$D$86,0))),"Y","N")))</f>
        <v/>
      </c>
    </row>
    <row r="4153">
      <c r="A4153" s="92" t="n">
        <v>2026</v>
      </c>
      <c r="B4153" s="92" t="n">
        <v>7</v>
      </c>
      <c r="C4153" s="92" t="inlineStr">
        <is>
          <t>5100001431</t>
        </is>
      </c>
      <c r="D4153" s="95" t="n">
        <v>46211</v>
      </c>
      <c r="E4153" s="92" t="inlineStr">
        <is>
          <t>KR</t>
        </is>
      </c>
      <c r="F4153" s="92" t="n">
        <v>63601000</v>
      </c>
      <c r="G4153" s="92" t="n">
        <v>1801</v>
      </c>
      <c r="H4153" s="93" t="n">
        <v>10352000</v>
      </c>
      <c r="I4153" s="92" t="inlineStr">
        <is>
          <t>7월 손해사정 수수료 - EE손해사정</t>
        </is>
      </c>
      <c r="J4153" s="92" t="inlineStr">
        <is>
          <t>V10008</t>
        </is>
      </c>
      <c r="K4153" s="92" t="inlineStr">
        <is>
          <t>EE손해사정</t>
        </is>
      </c>
      <c r="M4153" s="9">
        <f>IF($A4153="","",VALUE($A4153&amp;"")*12+VALUE($B4153&amp;""))</f>
        <v/>
      </c>
      <c r="N4153" s="64">
        <f>IF($A4153="","",IFERROR(INDEX(부서매핑!$C$5:$C$504,MATCH($G4153&amp;"",부서매핑!$A$5:$A$504,0)),"미매핑"))</f>
        <v/>
      </c>
      <c r="O4153" s="9">
        <f>IF($A4153="","",N4153&amp;"|"&amp;$F4153)</f>
        <v/>
      </c>
      <c r="P4153" s="94">
        <f>IF($A4153="",0,$H4153*설정!$C$23)</f>
        <v/>
      </c>
      <c r="Q4153" s="64">
        <f>IF($A4153="","",IF(O4153&lt;&gt;원인분석!$C$9,"",IF(AND(M4153&gt;=원인분석!$C$10,M4153&lt;=원인분석!$C$11),"당기",IF(AND(M4153&gt;=원인분석!$C$12,M4153&lt;=원인분석!$C$13),"비교",""))))</f>
        <v/>
      </c>
      <c r="R4153" s="9">
        <f>IF(Q4153="","",$K4153&amp;"")</f>
        <v/>
      </c>
      <c r="S4153" s="9">
        <f>IF(Q4153="","",IF(MATCH(R4153,$R$5:$R$100000,0)=ROW()-4,ROW(),""))</f>
        <v/>
      </c>
      <c r="T4153" s="9">
        <f>IF(Q4153="당기",ABS(P4153)+ROW()/1000000000,"")</f>
        <v/>
      </c>
      <c r="U4153" s="9">
        <f>IF(Q4153="비교",ABS(P4153)+ROW()/1000000000,"")</f>
        <v/>
      </c>
      <c r="V4153" s="64">
        <f>IF($A4153="","",IF(COUNTIF(변동분석!$E$7:$E$506,O4153)&gt;0,"Y","N"))</f>
        <v/>
      </c>
      <c r="W4153" s="64">
        <f>IF($A4153="","",IFERROR(INDEX(계정매핑!$D$5:$D$504,MATCH($F4153&amp;"",계정매핑!$A$5:$A$504,0)),"미매핑"))</f>
        <v/>
      </c>
      <c r="X4153" s="9">
        <f>IF($A4153="","",$F4153&amp;"")</f>
        <v/>
      </c>
      <c r="Y4153" s="94">
        <f>IF($A4153="",0,IF(AE4153="직접",IF(AF4153="비귀속",$P4153,0),$P4153*(1-AG4153)*IFERROR(INDEX(계정대체기준!$F$20:$F$49,MATCH($N4153,계정대체기준!$A$20:$A$49,0)),1)))</f>
        <v/>
      </c>
      <c r="Z4153" s="94">
        <f>IF($A4153="",0,IF(AE4153="직접",IF(AF4153="신계약비",$P4153,0),$P4153*(1-AG4153)*IFERROR(INDEX(계정대체기준!$C$20:$C$49,MATCH($N4153,계정대체기준!$A$20:$A$49,0)),0)))</f>
        <v/>
      </c>
      <c r="AA4153" s="94">
        <f>IF($A4153="",0,IF(AE4153="직접",IF(OR(AF4153="유지비",AF4153="손해조사비"),$P4153,0),$P4153*(1-AG4153)*IFERROR(INDEX(계정대체기준!$D$20:$D$49,MATCH($N4153,계정대체기준!$A$20:$A$49,0)),0)))</f>
        <v/>
      </c>
      <c r="AB4153" s="94">
        <f>IF($A4153="",0,IF(AE4153="직접",IF(AF4153="수금비",$P4153,0),$P4153*(1-AG4153)*IFERROR(INDEX(계정대체기준!$E$20:$E$49,MATCH($N4153,계정대체기준!$A$20:$A$49,0)),0)))</f>
        <v/>
      </c>
      <c r="AC4153" s="9">
        <f>IF(AND($A4153&lt;&gt;"",M4153=설정!$C$20,Z4153&gt;0),Z4153+ROW()/1000000000,"")</f>
        <v/>
      </c>
      <c r="AD4153" s="94">
        <f>IF($A4153="",0,$P4153*AG4153)</f>
        <v/>
      </c>
      <c r="AE4153" s="64">
        <f>IF($A4153="","",IFERROR(INDEX(계정매핑!$E$5:$E$504,MATCH($F4153&amp;"",계정매핑!$A$5:$A$504,0))&amp;"","공통비"))</f>
        <v/>
      </c>
      <c r="AF4153" s="64">
        <f>IF($A4153="","",IF(AE4153="직접",IFERROR(INDEX(계정매핑!$F$5:$F$504,MATCH($F4153&amp;"",계정매핑!$A$5:$A$504,0))&amp;"","비귀속"),""))</f>
        <v/>
      </c>
      <c r="AG4153" s="96">
        <f>IF($A4153="",0,IF(AND(AE4153&lt;&gt;"직접",IFERROR(INDEX(계정매핑!$G$5:$G$504,MATCH($F4153&amp;"",계정매핑!$A$5:$A$504,0))&amp;"","")="유지비",COUNTIF(계정대체기준!$A$6:$A$15,$N4153)&gt;0),IFERROR(INDEX(계정대체기준!$E$6:$E$15,MATCH(VALUE($A4153&amp;""),계정대체기준!$D$6:$D$15,0)),0),0))</f>
        <v/>
      </c>
      <c r="AH4153" s="64">
        <f>IF($A4153="","",IF(AD4153=0,"",IF(OR(COUNTIF(계정대체기준!$A$77:$A$86,$N4153)&gt;0,ISNUMBER(MATCH($X4153,계정대체기준!$D$77:$D$86,0)),ISNUMBER(MATCH($F4153,계정대체기준!$D$77:$D$86,0))),"Y","N")))</f>
        <v/>
      </c>
    </row>
    <row r="4154">
      <c r="A4154" s="92" t="n">
        <v>2026</v>
      </c>
      <c r="B4154" s="92" t="n">
        <v>7</v>
      </c>
      <c r="C4154" s="92" t="inlineStr">
        <is>
          <t>5100001432</t>
        </is>
      </c>
      <c r="D4154" s="95" t="n">
        <v>46212</v>
      </c>
      <c r="E4154" s="92" t="inlineStr">
        <is>
          <t>KR</t>
        </is>
      </c>
      <c r="F4154" s="92" t="n">
        <v>62101000</v>
      </c>
      <c r="G4154" s="92" t="n">
        <v>1101</v>
      </c>
      <c r="H4154" s="93" t="n">
        <v>660000</v>
      </c>
      <c r="I4154" s="92" t="inlineStr">
        <is>
          <t>7월 국내출장 - (법인카드)</t>
        </is>
      </c>
      <c r="J4154" s="92" t="inlineStr">
        <is>
          <t>V10010</t>
        </is>
      </c>
      <c r="K4154" s="92" t="inlineStr">
        <is>
          <t>(법인카드)</t>
        </is>
      </c>
      <c r="M4154" s="9">
        <f>IF($A4154="","",VALUE($A4154&amp;"")*12+VALUE($B4154&amp;""))</f>
        <v/>
      </c>
      <c r="N4154" s="64">
        <f>IF($A4154="","",IFERROR(INDEX(부서매핑!$C$5:$C$504,MATCH($G4154&amp;"",부서매핑!$A$5:$A$504,0)),"미매핑"))</f>
        <v/>
      </c>
      <c r="O4154" s="9">
        <f>IF($A4154="","",N4154&amp;"|"&amp;$F4154)</f>
        <v/>
      </c>
      <c r="P4154" s="94">
        <f>IF($A4154="",0,$H4154*설정!$C$23)</f>
        <v/>
      </c>
      <c r="Q4154" s="64">
        <f>IF($A4154="","",IF(O4154&lt;&gt;원인분석!$C$9,"",IF(AND(M4154&gt;=원인분석!$C$10,M4154&lt;=원인분석!$C$11),"당기",IF(AND(M4154&gt;=원인분석!$C$12,M4154&lt;=원인분석!$C$13),"비교",""))))</f>
        <v/>
      </c>
      <c r="R4154" s="9">
        <f>IF(Q4154="","",$K4154&amp;"")</f>
        <v/>
      </c>
      <c r="S4154" s="9">
        <f>IF(Q4154="","",IF(MATCH(R4154,$R$5:$R$100000,0)=ROW()-4,ROW(),""))</f>
        <v/>
      </c>
      <c r="T4154" s="9">
        <f>IF(Q4154="당기",ABS(P4154)+ROW()/1000000000,"")</f>
        <v/>
      </c>
      <c r="U4154" s="9">
        <f>IF(Q4154="비교",ABS(P4154)+ROW()/1000000000,"")</f>
        <v/>
      </c>
      <c r="V4154" s="64">
        <f>IF($A4154="","",IF(COUNTIF(변동분석!$E$7:$E$506,O4154)&gt;0,"Y","N"))</f>
        <v/>
      </c>
      <c r="W4154" s="64">
        <f>IF($A4154="","",IFERROR(INDEX(계정매핑!$D$5:$D$504,MATCH($F4154&amp;"",계정매핑!$A$5:$A$504,0)),"미매핑"))</f>
        <v/>
      </c>
      <c r="X4154" s="9">
        <f>IF($A4154="","",$F4154&amp;"")</f>
        <v/>
      </c>
      <c r="Y4154" s="94">
        <f>IF($A4154="",0,IF(AE4154="직접",IF(AF4154="비귀속",$P4154,0),$P4154*(1-AG4154)*IFERROR(INDEX(계정대체기준!$F$20:$F$49,MATCH($N4154,계정대체기준!$A$20:$A$49,0)),1)))</f>
        <v/>
      </c>
      <c r="Z4154" s="94">
        <f>IF($A4154="",0,IF(AE4154="직접",IF(AF4154="신계약비",$P4154,0),$P4154*(1-AG4154)*IFERROR(INDEX(계정대체기준!$C$20:$C$49,MATCH($N4154,계정대체기준!$A$20:$A$49,0)),0)))</f>
        <v/>
      </c>
      <c r="AA4154" s="94">
        <f>IF($A4154="",0,IF(AE4154="직접",IF(OR(AF4154="유지비",AF4154="손해조사비"),$P4154,0),$P4154*(1-AG4154)*IFERROR(INDEX(계정대체기준!$D$20:$D$49,MATCH($N4154,계정대체기준!$A$20:$A$49,0)),0)))</f>
        <v/>
      </c>
      <c r="AB4154" s="94">
        <f>IF($A4154="",0,IF(AE4154="직접",IF(AF4154="수금비",$P4154,0),$P4154*(1-AG4154)*IFERROR(INDEX(계정대체기준!$E$20:$E$49,MATCH($N4154,계정대체기준!$A$20:$A$49,0)),0)))</f>
        <v/>
      </c>
      <c r="AC4154" s="9">
        <f>IF(AND($A4154&lt;&gt;"",M4154=설정!$C$20,Z4154&gt;0),Z4154+ROW()/1000000000,"")</f>
        <v/>
      </c>
      <c r="AD4154" s="94">
        <f>IF($A4154="",0,$P4154*AG4154)</f>
        <v/>
      </c>
      <c r="AE4154" s="64">
        <f>IF($A4154="","",IFERROR(INDEX(계정매핑!$E$5:$E$504,MATCH($F4154&amp;"",계정매핑!$A$5:$A$504,0))&amp;"","공통비"))</f>
        <v/>
      </c>
      <c r="AF4154" s="64">
        <f>IF($A4154="","",IF(AE4154="직접",IFERROR(INDEX(계정매핑!$F$5:$F$504,MATCH($F4154&amp;"",계정매핑!$A$5:$A$504,0))&amp;"","비귀속"),""))</f>
        <v/>
      </c>
      <c r="AG4154" s="96">
        <f>IF($A4154="",0,IF(AND(AE4154&lt;&gt;"직접",IFERROR(INDEX(계정매핑!$G$5:$G$504,MATCH($F4154&amp;"",계정매핑!$A$5:$A$504,0))&amp;"","")="유지비",COUNTIF(계정대체기준!$A$6:$A$15,$N4154)&gt;0),IFERROR(INDEX(계정대체기준!$E$6:$E$15,MATCH(VALUE($A4154&amp;""),계정대체기준!$D$6:$D$15,0)),0),0))</f>
        <v/>
      </c>
      <c r="AH4154" s="64">
        <f>IF($A4154="","",IF(AD4154=0,"",IF(OR(COUNTIF(계정대체기준!$A$77:$A$86,$N4154)&gt;0,ISNUMBER(MATCH($X4154,계정대체기준!$D$77:$D$86,0)),ISNUMBER(MATCH($F4154,계정대체기준!$D$77:$D$86,0))),"Y","N")))</f>
        <v/>
      </c>
    </row>
    <row r="4155">
      <c r="A4155" s="92" t="n">
        <v>2026</v>
      </c>
      <c r="B4155" s="92" t="n">
        <v>7</v>
      </c>
      <c r="C4155" s="92" t="inlineStr">
        <is>
          <t>5100001433</t>
        </is>
      </c>
      <c r="D4155" s="95" t="n">
        <v>46212</v>
      </c>
      <c r="E4155" s="92" t="inlineStr">
        <is>
          <t>KR</t>
        </is>
      </c>
      <c r="F4155" s="92" t="n">
        <v>62101000</v>
      </c>
      <c r="G4155" s="92" t="n">
        <v>1201</v>
      </c>
      <c r="H4155" s="93" t="n">
        <v>222000</v>
      </c>
      <c r="I4155" s="92" t="inlineStr">
        <is>
          <t>7월 국내출장 - M항공</t>
        </is>
      </c>
      <c r="J4155" s="92" t="inlineStr">
        <is>
          <t>V10001</t>
        </is>
      </c>
      <c r="K4155" s="92" t="inlineStr">
        <is>
          <t>M항공</t>
        </is>
      </c>
      <c r="M4155" s="9">
        <f>IF($A4155="","",VALUE($A4155&amp;"")*12+VALUE($B4155&amp;""))</f>
        <v/>
      </c>
      <c r="N4155" s="64">
        <f>IF($A4155="","",IFERROR(INDEX(부서매핑!$C$5:$C$504,MATCH($G4155&amp;"",부서매핑!$A$5:$A$504,0)),"미매핑"))</f>
        <v/>
      </c>
      <c r="O4155" s="9">
        <f>IF($A4155="","",N4155&amp;"|"&amp;$F4155)</f>
        <v/>
      </c>
      <c r="P4155" s="94">
        <f>IF($A4155="",0,$H4155*설정!$C$23)</f>
        <v/>
      </c>
      <c r="Q4155" s="64">
        <f>IF($A4155="","",IF(O4155&lt;&gt;원인분석!$C$9,"",IF(AND(M4155&gt;=원인분석!$C$10,M4155&lt;=원인분석!$C$11),"당기",IF(AND(M4155&gt;=원인분석!$C$12,M4155&lt;=원인분석!$C$13),"비교",""))))</f>
        <v/>
      </c>
      <c r="R4155" s="9">
        <f>IF(Q4155="","",$K4155&amp;"")</f>
        <v/>
      </c>
      <c r="S4155" s="9">
        <f>IF(Q4155="","",IF(MATCH(R4155,$R$5:$R$100000,0)=ROW()-4,ROW(),""))</f>
        <v/>
      </c>
      <c r="T4155" s="9">
        <f>IF(Q4155="당기",ABS(P4155)+ROW()/1000000000,"")</f>
        <v/>
      </c>
      <c r="U4155" s="9">
        <f>IF(Q4155="비교",ABS(P4155)+ROW()/1000000000,"")</f>
        <v/>
      </c>
      <c r="V4155" s="64">
        <f>IF($A4155="","",IF(COUNTIF(변동분석!$E$7:$E$506,O4155)&gt;0,"Y","N"))</f>
        <v/>
      </c>
      <c r="W4155" s="64">
        <f>IF($A4155="","",IFERROR(INDEX(계정매핑!$D$5:$D$504,MATCH($F4155&amp;"",계정매핑!$A$5:$A$504,0)),"미매핑"))</f>
        <v/>
      </c>
      <c r="X4155" s="9">
        <f>IF($A4155="","",$F4155&amp;"")</f>
        <v/>
      </c>
      <c r="Y4155" s="94">
        <f>IF($A4155="",0,IF(AE4155="직접",IF(AF4155="비귀속",$P4155,0),$P4155*(1-AG4155)*IFERROR(INDEX(계정대체기준!$F$20:$F$49,MATCH($N4155,계정대체기준!$A$20:$A$49,0)),1)))</f>
        <v/>
      </c>
      <c r="Z4155" s="94">
        <f>IF($A4155="",0,IF(AE4155="직접",IF(AF4155="신계약비",$P4155,0),$P4155*(1-AG4155)*IFERROR(INDEX(계정대체기준!$C$20:$C$49,MATCH($N4155,계정대체기준!$A$20:$A$49,0)),0)))</f>
        <v/>
      </c>
      <c r="AA4155" s="94">
        <f>IF($A4155="",0,IF(AE4155="직접",IF(OR(AF4155="유지비",AF4155="손해조사비"),$P4155,0),$P4155*(1-AG4155)*IFERROR(INDEX(계정대체기준!$D$20:$D$49,MATCH($N4155,계정대체기준!$A$20:$A$49,0)),0)))</f>
        <v/>
      </c>
      <c r="AB4155" s="94">
        <f>IF($A4155="",0,IF(AE4155="직접",IF(AF4155="수금비",$P4155,0),$P4155*(1-AG4155)*IFERROR(INDEX(계정대체기준!$E$20:$E$49,MATCH($N4155,계정대체기준!$A$20:$A$49,0)),0)))</f>
        <v/>
      </c>
      <c r="AC4155" s="9">
        <f>IF(AND($A4155&lt;&gt;"",M4155=설정!$C$20,Z4155&gt;0),Z4155+ROW()/1000000000,"")</f>
        <v/>
      </c>
      <c r="AD4155" s="94">
        <f>IF($A4155="",0,$P4155*AG4155)</f>
        <v/>
      </c>
      <c r="AE4155" s="64">
        <f>IF($A4155="","",IFERROR(INDEX(계정매핑!$E$5:$E$504,MATCH($F4155&amp;"",계정매핑!$A$5:$A$504,0))&amp;"","공통비"))</f>
        <v/>
      </c>
      <c r="AF4155" s="64">
        <f>IF($A4155="","",IF(AE4155="직접",IFERROR(INDEX(계정매핑!$F$5:$F$504,MATCH($F4155&amp;"",계정매핑!$A$5:$A$504,0))&amp;"","비귀속"),""))</f>
        <v/>
      </c>
      <c r="AG4155" s="96">
        <f>IF($A4155="",0,IF(AND(AE4155&lt;&gt;"직접",IFERROR(INDEX(계정매핑!$G$5:$G$504,MATCH($F4155&amp;"",계정매핑!$A$5:$A$504,0))&amp;"","")="유지비",COUNTIF(계정대체기준!$A$6:$A$15,$N4155)&gt;0),IFERROR(INDEX(계정대체기준!$E$6:$E$15,MATCH(VALUE($A4155&amp;""),계정대체기준!$D$6:$D$15,0)),0),0))</f>
        <v/>
      </c>
      <c r="AH4155" s="64">
        <f>IF($A4155="","",IF(AD4155=0,"",IF(OR(COUNTIF(계정대체기준!$A$77:$A$86,$N4155)&gt;0,ISNUMBER(MATCH($X4155,계정대체기준!$D$77:$D$86,0)),ISNUMBER(MATCH($F4155,계정대체기준!$D$77:$D$86,0))),"Y","N")))</f>
        <v/>
      </c>
    </row>
    <row r="4156">
      <c r="A4156" s="92" t="n">
        <v>2026</v>
      </c>
      <c r="B4156" s="92" t="n">
        <v>7</v>
      </c>
      <c r="C4156" s="92" t="inlineStr">
        <is>
          <t>5100001434</t>
        </is>
      </c>
      <c r="D4156" s="95" t="n">
        <v>46212</v>
      </c>
      <c r="E4156" s="92" t="inlineStr">
        <is>
          <t>KR</t>
        </is>
      </c>
      <c r="F4156" s="92" t="n">
        <v>62102000</v>
      </c>
      <c r="G4156" s="92" t="n">
        <v>1701</v>
      </c>
      <c r="H4156" s="93" t="n">
        <v>69000</v>
      </c>
      <c r="I4156" s="92" t="inlineStr">
        <is>
          <t>7월 해외출장 - M항공</t>
        </is>
      </c>
      <c r="J4156" s="92" t="inlineStr">
        <is>
          <t>V10001</t>
        </is>
      </c>
      <c r="K4156" s="92" t="inlineStr">
        <is>
          <t>M항공</t>
        </is>
      </c>
      <c r="M4156" s="9">
        <f>IF($A4156="","",VALUE($A4156&amp;"")*12+VALUE($B4156&amp;""))</f>
        <v/>
      </c>
      <c r="N4156" s="64">
        <f>IF($A4156="","",IFERROR(INDEX(부서매핑!$C$5:$C$504,MATCH($G4156&amp;"",부서매핑!$A$5:$A$504,0)),"미매핑"))</f>
        <v/>
      </c>
      <c r="O4156" s="9">
        <f>IF($A4156="","",N4156&amp;"|"&amp;$F4156)</f>
        <v/>
      </c>
      <c r="P4156" s="94">
        <f>IF($A4156="",0,$H4156*설정!$C$23)</f>
        <v/>
      </c>
      <c r="Q4156" s="64">
        <f>IF($A4156="","",IF(O4156&lt;&gt;원인분석!$C$9,"",IF(AND(M4156&gt;=원인분석!$C$10,M4156&lt;=원인분석!$C$11),"당기",IF(AND(M4156&gt;=원인분석!$C$12,M4156&lt;=원인분석!$C$13),"비교",""))))</f>
        <v/>
      </c>
      <c r="R4156" s="9">
        <f>IF(Q4156="","",$K4156&amp;"")</f>
        <v/>
      </c>
      <c r="S4156" s="9">
        <f>IF(Q4156="","",IF(MATCH(R4156,$R$5:$R$100000,0)=ROW()-4,ROW(),""))</f>
        <v/>
      </c>
      <c r="T4156" s="9">
        <f>IF(Q4156="당기",ABS(P4156)+ROW()/1000000000,"")</f>
        <v/>
      </c>
      <c r="U4156" s="9">
        <f>IF(Q4156="비교",ABS(P4156)+ROW()/1000000000,"")</f>
        <v/>
      </c>
      <c r="V4156" s="64">
        <f>IF($A4156="","",IF(COUNTIF(변동분석!$E$7:$E$506,O4156)&gt;0,"Y","N"))</f>
        <v/>
      </c>
      <c r="W4156" s="64">
        <f>IF($A4156="","",IFERROR(INDEX(계정매핑!$D$5:$D$504,MATCH($F4156&amp;"",계정매핑!$A$5:$A$504,0)),"미매핑"))</f>
        <v/>
      </c>
      <c r="X4156" s="9">
        <f>IF($A4156="","",$F4156&amp;"")</f>
        <v/>
      </c>
      <c r="Y4156" s="94">
        <f>IF($A4156="",0,IF(AE4156="직접",IF(AF4156="비귀속",$P4156,0),$P4156*(1-AG4156)*IFERROR(INDEX(계정대체기준!$F$20:$F$49,MATCH($N4156,계정대체기준!$A$20:$A$49,0)),1)))</f>
        <v/>
      </c>
      <c r="Z4156" s="94">
        <f>IF($A4156="",0,IF(AE4156="직접",IF(AF4156="신계약비",$P4156,0),$P4156*(1-AG4156)*IFERROR(INDEX(계정대체기준!$C$20:$C$49,MATCH($N4156,계정대체기준!$A$20:$A$49,0)),0)))</f>
        <v/>
      </c>
      <c r="AA4156" s="94">
        <f>IF($A4156="",0,IF(AE4156="직접",IF(OR(AF4156="유지비",AF4156="손해조사비"),$P4156,0),$P4156*(1-AG4156)*IFERROR(INDEX(계정대체기준!$D$20:$D$49,MATCH($N4156,계정대체기준!$A$20:$A$49,0)),0)))</f>
        <v/>
      </c>
      <c r="AB4156" s="94">
        <f>IF($A4156="",0,IF(AE4156="직접",IF(AF4156="수금비",$P4156,0),$P4156*(1-AG4156)*IFERROR(INDEX(계정대체기준!$E$20:$E$49,MATCH($N4156,계정대체기준!$A$20:$A$49,0)),0)))</f>
        <v/>
      </c>
      <c r="AC4156" s="9">
        <f>IF(AND($A4156&lt;&gt;"",M4156=설정!$C$20,Z4156&gt;0),Z4156+ROW()/1000000000,"")</f>
        <v/>
      </c>
      <c r="AD4156" s="94">
        <f>IF($A4156="",0,$P4156*AG4156)</f>
        <v/>
      </c>
      <c r="AE4156" s="64">
        <f>IF($A4156="","",IFERROR(INDEX(계정매핑!$E$5:$E$504,MATCH($F4156&amp;"",계정매핑!$A$5:$A$504,0))&amp;"","공통비"))</f>
        <v/>
      </c>
      <c r="AF4156" s="64">
        <f>IF($A4156="","",IF(AE4156="직접",IFERROR(INDEX(계정매핑!$F$5:$F$504,MATCH($F4156&amp;"",계정매핑!$A$5:$A$504,0))&amp;"","비귀속"),""))</f>
        <v/>
      </c>
      <c r="AG4156" s="96">
        <f>IF($A4156="",0,IF(AND(AE4156&lt;&gt;"직접",IFERROR(INDEX(계정매핑!$G$5:$G$504,MATCH($F4156&amp;"",계정매핑!$A$5:$A$504,0))&amp;"","")="유지비",COUNTIF(계정대체기준!$A$6:$A$15,$N4156)&gt;0),IFERROR(INDEX(계정대체기준!$E$6:$E$15,MATCH(VALUE($A4156&amp;""),계정대체기준!$D$6:$D$15,0)),0),0))</f>
        <v/>
      </c>
      <c r="AH4156" s="64">
        <f>IF($A4156="","",IF(AD4156=0,"",IF(OR(COUNTIF(계정대체기준!$A$77:$A$86,$N4156)&gt;0,ISNUMBER(MATCH($X4156,계정대체기준!$D$77:$D$86,0)),ISNUMBER(MATCH($F4156,계정대체기준!$D$77:$D$86,0))),"Y","N")))</f>
        <v/>
      </c>
    </row>
    <row r="4157">
      <c r="A4157" s="92" t="n">
        <v>2026</v>
      </c>
      <c r="B4157" s="92" t="n">
        <v>7</v>
      </c>
      <c r="C4157" s="92" t="inlineStr">
        <is>
          <t>5100001435</t>
        </is>
      </c>
      <c r="D4157" s="95" t="n">
        <v>46212</v>
      </c>
      <c r="E4157" s="92" t="inlineStr">
        <is>
          <t>KR</t>
        </is>
      </c>
      <c r="F4157" s="92" t="n">
        <v>62401000</v>
      </c>
      <c r="G4157" s="92" t="n">
        <v>1501</v>
      </c>
      <c r="H4157" s="93" t="n">
        <v>2375000</v>
      </c>
      <c r="I4157" s="92" t="inlineStr">
        <is>
          <t>7월 인쇄물 제작 - S출판</t>
        </is>
      </c>
      <c r="J4157" s="92" t="inlineStr">
        <is>
          <t>V10015</t>
        </is>
      </c>
      <c r="K4157" s="92" t="inlineStr">
        <is>
          <t>S출판</t>
        </is>
      </c>
      <c r="M4157" s="9">
        <f>IF($A4157="","",VALUE($A4157&amp;"")*12+VALUE($B4157&amp;""))</f>
        <v/>
      </c>
      <c r="N4157" s="64">
        <f>IF($A4157="","",IFERROR(INDEX(부서매핑!$C$5:$C$504,MATCH($G4157&amp;"",부서매핑!$A$5:$A$504,0)),"미매핑"))</f>
        <v/>
      </c>
      <c r="O4157" s="9">
        <f>IF($A4157="","",N4157&amp;"|"&amp;$F4157)</f>
        <v/>
      </c>
      <c r="P4157" s="94">
        <f>IF($A4157="",0,$H4157*설정!$C$23)</f>
        <v/>
      </c>
      <c r="Q4157" s="64">
        <f>IF($A4157="","",IF(O4157&lt;&gt;원인분석!$C$9,"",IF(AND(M4157&gt;=원인분석!$C$10,M4157&lt;=원인분석!$C$11),"당기",IF(AND(M4157&gt;=원인분석!$C$12,M4157&lt;=원인분석!$C$13),"비교",""))))</f>
        <v/>
      </c>
      <c r="R4157" s="9">
        <f>IF(Q4157="","",$K4157&amp;"")</f>
        <v/>
      </c>
      <c r="S4157" s="9">
        <f>IF(Q4157="","",IF(MATCH(R4157,$R$5:$R$100000,0)=ROW()-4,ROW(),""))</f>
        <v/>
      </c>
      <c r="T4157" s="9">
        <f>IF(Q4157="당기",ABS(P4157)+ROW()/1000000000,"")</f>
        <v/>
      </c>
      <c r="U4157" s="9">
        <f>IF(Q4157="비교",ABS(P4157)+ROW()/1000000000,"")</f>
        <v/>
      </c>
      <c r="V4157" s="64">
        <f>IF($A4157="","",IF(COUNTIF(변동분석!$E$7:$E$506,O4157)&gt;0,"Y","N"))</f>
        <v/>
      </c>
      <c r="W4157" s="64">
        <f>IF($A4157="","",IFERROR(INDEX(계정매핑!$D$5:$D$504,MATCH($F4157&amp;"",계정매핑!$A$5:$A$504,0)),"미매핑"))</f>
        <v/>
      </c>
      <c r="X4157" s="9">
        <f>IF($A4157="","",$F4157&amp;"")</f>
        <v/>
      </c>
      <c r="Y4157" s="94">
        <f>IF($A4157="",0,IF(AE4157="직접",IF(AF4157="비귀속",$P4157,0),$P4157*(1-AG4157)*IFERROR(INDEX(계정대체기준!$F$20:$F$49,MATCH($N4157,계정대체기준!$A$20:$A$49,0)),1)))</f>
        <v/>
      </c>
      <c r="Z4157" s="94">
        <f>IF($A4157="",0,IF(AE4157="직접",IF(AF4157="신계약비",$P4157,0),$P4157*(1-AG4157)*IFERROR(INDEX(계정대체기준!$C$20:$C$49,MATCH($N4157,계정대체기준!$A$20:$A$49,0)),0)))</f>
        <v/>
      </c>
      <c r="AA4157" s="94">
        <f>IF($A4157="",0,IF(AE4157="직접",IF(OR(AF4157="유지비",AF4157="손해조사비"),$P4157,0),$P4157*(1-AG4157)*IFERROR(INDEX(계정대체기준!$D$20:$D$49,MATCH($N4157,계정대체기준!$A$20:$A$49,0)),0)))</f>
        <v/>
      </c>
      <c r="AB4157" s="94">
        <f>IF($A4157="",0,IF(AE4157="직접",IF(AF4157="수금비",$P4157,0),$P4157*(1-AG4157)*IFERROR(INDEX(계정대체기준!$E$20:$E$49,MATCH($N4157,계정대체기준!$A$20:$A$49,0)),0)))</f>
        <v/>
      </c>
      <c r="AC4157" s="9">
        <f>IF(AND($A4157&lt;&gt;"",M4157=설정!$C$20,Z4157&gt;0),Z4157+ROW()/1000000000,"")</f>
        <v/>
      </c>
      <c r="AD4157" s="94">
        <f>IF($A4157="",0,$P4157*AG4157)</f>
        <v/>
      </c>
      <c r="AE4157" s="64">
        <f>IF($A4157="","",IFERROR(INDEX(계정매핑!$E$5:$E$504,MATCH($F4157&amp;"",계정매핑!$A$5:$A$504,0))&amp;"","공통비"))</f>
        <v/>
      </c>
      <c r="AF4157" s="64">
        <f>IF($A4157="","",IF(AE4157="직접",IFERROR(INDEX(계정매핑!$F$5:$F$504,MATCH($F4157&amp;"",계정매핑!$A$5:$A$504,0))&amp;"","비귀속"),""))</f>
        <v/>
      </c>
      <c r="AG4157" s="96">
        <f>IF($A4157="",0,IF(AND(AE4157&lt;&gt;"직접",IFERROR(INDEX(계정매핑!$G$5:$G$504,MATCH($F4157&amp;"",계정매핑!$A$5:$A$504,0))&amp;"","")="유지비",COUNTIF(계정대체기준!$A$6:$A$15,$N4157)&gt;0),IFERROR(INDEX(계정대체기준!$E$6:$E$15,MATCH(VALUE($A4157&amp;""),계정대체기준!$D$6:$D$15,0)),0),0))</f>
        <v/>
      </c>
      <c r="AH4157" s="64">
        <f>IF($A4157="","",IF(AD4157=0,"",IF(OR(COUNTIF(계정대체기준!$A$77:$A$86,$N4157)&gt;0,ISNUMBER(MATCH($X4157,계정대체기준!$D$77:$D$86,0)),ISNUMBER(MATCH($F4157,계정대체기준!$D$77:$D$86,0))),"Y","N")))</f>
        <v/>
      </c>
    </row>
    <row r="4158">
      <c r="A4158" s="92" t="n">
        <v>2026</v>
      </c>
      <c r="B4158" s="92" t="n">
        <v>7</v>
      </c>
      <c r="C4158" s="92" t="inlineStr">
        <is>
          <t>5100001436</t>
        </is>
      </c>
      <c r="D4158" s="95" t="n">
        <v>46212</v>
      </c>
      <c r="E4158" s="92" t="inlineStr">
        <is>
          <t>KR</t>
        </is>
      </c>
      <c r="F4158" s="92" t="n">
        <v>62901000</v>
      </c>
      <c r="G4158" s="92" t="n">
        <v>1201</v>
      </c>
      <c r="H4158" s="93" t="n">
        <v>5921000</v>
      </c>
      <c r="I4158" s="92" t="inlineStr">
        <is>
          <t>7월 자문 수수료 - K회계법인</t>
        </is>
      </c>
      <c r="J4158" s="92" t="inlineStr">
        <is>
          <t>V10011</t>
        </is>
      </c>
      <c r="K4158" s="92" t="inlineStr">
        <is>
          <t>K회계법인</t>
        </is>
      </c>
      <c r="M4158" s="9">
        <f>IF($A4158="","",VALUE($A4158&amp;"")*12+VALUE($B4158&amp;""))</f>
        <v/>
      </c>
      <c r="N4158" s="64">
        <f>IF($A4158="","",IFERROR(INDEX(부서매핑!$C$5:$C$504,MATCH($G4158&amp;"",부서매핑!$A$5:$A$504,0)),"미매핑"))</f>
        <v/>
      </c>
      <c r="O4158" s="9">
        <f>IF($A4158="","",N4158&amp;"|"&amp;$F4158)</f>
        <v/>
      </c>
      <c r="P4158" s="94">
        <f>IF($A4158="",0,$H4158*설정!$C$23)</f>
        <v/>
      </c>
      <c r="Q4158" s="64">
        <f>IF($A4158="","",IF(O4158&lt;&gt;원인분석!$C$9,"",IF(AND(M4158&gt;=원인분석!$C$10,M4158&lt;=원인분석!$C$11),"당기",IF(AND(M4158&gt;=원인분석!$C$12,M4158&lt;=원인분석!$C$13),"비교",""))))</f>
        <v/>
      </c>
      <c r="R4158" s="9">
        <f>IF(Q4158="","",$K4158&amp;"")</f>
        <v/>
      </c>
      <c r="S4158" s="9">
        <f>IF(Q4158="","",IF(MATCH(R4158,$R$5:$R$100000,0)=ROW()-4,ROW(),""))</f>
        <v/>
      </c>
      <c r="T4158" s="9">
        <f>IF(Q4158="당기",ABS(P4158)+ROW()/1000000000,"")</f>
        <v/>
      </c>
      <c r="U4158" s="9">
        <f>IF(Q4158="비교",ABS(P4158)+ROW()/1000000000,"")</f>
        <v/>
      </c>
      <c r="V4158" s="64">
        <f>IF($A4158="","",IF(COUNTIF(변동분석!$E$7:$E$506,O4158)&gt;0,"Y","N"))</f>
        <v/>
      </c>
      <c r="W4158" s="64">
        <f>IF($A4158="","",IFERROR(INDEX(계정매핑!$D$5:$D$504,MATCH($F4158&amp;"",계정매핑!$A$5:$A$504,0)),"미매핑"))</f>
        <v/>
      </c>
      <c r="X4158" s="9">
        <f>IF($A4158="","",$F4158&amp;"")</f>
        <v/>
      </c>
      <c r="Y4158" s="94">
        <f>IF($A4158="",0,IF(AE4158="직접",IF(AF4158="비귀속",$P4158,0),$P4158*(1-AG4158)*IFERROR(INDEX(계정대체기준!$F$20:$F$49,MATCH($N4158,계정대체기준!$A$20:$A$49,0)),1)))</f>
        <v/>
      </c>
      <c r="Z4158" s="94">
        <f>IF($A4158="",0,IF(AE4158="직접",IF(AF4158="신계약비",$P4158,0),$P4158*(1-AG4158)*IFERROR(INDEX(계정대체기준!$C$20:$C$49,MATCH($N4158,계정대체기준!$A$20:$A$49,0)),0)))</f>
        <v/>
      </c>
      <c r="AA4158" s="94">
        <f>IF($A4158="",0,IF(AE4158="직접",IF(OR(AF4158="유지비",AF4158="손해조사비"),$P4158,0),$P4158*(1-AG4158)*IFERROR(INDEX(계정대체기준!$D$20:$D$49,MATCH($N4158,계정대체기준!$A$20:$A$49,0)),0)))</f>
        <v/>
      </c>
      <c r="AB4158" s="94">
        <f>IF($A4158="",0,IF(AE4158="직접",IF(AF4158="수금비",$P4158,0),$P4158*(1-AG4158)*IFERROR(INDEX(계정대체기준!$E$20:$E$49,MATCH($N4158,계정대체기준!$A$20:$A$49,0)),0)))</f>
        <v/>
      </c>
      <c r="AC4158" s="9">
        <f>IF(AND($A4158&lt;&gt;"",M4158=설정!$C$20,Z4158&gt;0),Z4158+ROW()/1000000000,"")</f>
        <v/>
      </c>
      <c r="AD4158" s="94">
        <f>IF($A4158="",0,$P4158*AG4158)</f>
        <v/>
      </c>
      <c r="AE4158" s="64">
        <f>IF($A4158="","",IFERROR(INDEX(계정매핑!$E$5:$E$504,MATCH($F4158&amp;"",계정매핑!$A$5:$A$504,0))&amp;"","공통비"))</f>
        <v/>
      </c>
      <c r="AF4158" s="64">
        <f>IF($A4158="","",IF(AE4158="직접",IFERROR(INDEX(계정매핑!$F$5:$F$504,MATCH($F4158&amp;"",계정매핑!$A$5:$A$504,0))&amp;"","비귀속"),""))</f>
        <v/>
      </c>
      <c r="AG4158" s="96">
        <f>IF($A4158="",0,IF(AND(AE4158&lt;&gt;"직접",IFERROR(INDEX(계정매핑!$G$5:$G$504,MATCH($F4158&amp;"",계정매핑!$A$5:$A$504,0))&amp;"","")="유지비",COUNTIF(계정대체기준!$A$6:$A$15,$N4158)&gt;0),IFERROR(INDEX(계정대체기준!$E$6:$E$15,MATCH(VALUE($A4158&amp;""),계정대체기준!$D$6:$D$15,0)),0),0))</f>
        <v/>
      </c>
      <c r="AH4158" s="64">
        <f>IF($A4158="","",IF(AD4158=0,"",IF(OR(COUNTIF(계정대체기준!$A$77:$A$86,$N4158)&gt;0,ISNUMBER(MATCH($X4158,계정대체기준!$D$77:$D$86,0)),ISNUMBER(MATCH($F4158,계정대체기준!$D$77:$D$86,0))),"Y","N")))</f>
        <v/>
      </c>
    </row>
    <row r="4159">
      <c r="A4159" s="92" t="n">
        <v>2026</v>
      </c>
      <c r="B4159" s="92" t="n">
        <v>7</v>
      </c>
      <c r="C4159" s="92" t="inlineStr">
        <is>
          <t>5100001437</t>
        </is>
      </c>
      <c r="D4159" s="95" t="n">
        <v>46212</v>
      </c>
      <c r="E4159" s="92" t="inlineStr">
        <is>
          <t>KR</t>
        </is>
      </c>
      <c r="F4159" s="92" t="n">
        <v>62901000</v>
      </c>
      <c r="G4159" s="92" t="n">
        <v>1201</v>
      </c>
      <c r="H4159" s="93" t="n">
        <v>6461000</v>
      </c>
      <c r="I4159" s="92" t="inlineStr">
        <is>
          <t>7월 자문 수수료 - W컨설팅</t>
        </is>
      </c>
      <c r="J4159" s="92" t="inlineStr">
        <is>
          <t>V10006</t>
        </is>
      </c>
      <c r="K4159" s="92" t="inlineStr">
        <is>
          <t>W컨설팅</t>
        </is>
      </c>
      <c r="M4159" s="9">
        <f>IF($A4159="","",VALUE($A4159&amp;"")*12+VALUE($B4159&amp;""))</f>
        <v/>
      </c>
      <c r="N4159" s="64">
        <f>IF($A4159="","",IFERROR(INDEX(부서매핑!$C$5:$C$504,MATCH($G4159&amp;"",부서매핑!$A$5:$A$504,0)),"미매핑"))</f>
        <v/>
      </c>
      <c r="O4159" s="9">
        <f>IF($A4159="","",N4159&amp;"|"&amp;$F4159)</f>
        <v/>
      </c>
      <c r="P4159" s="94">
        <f>IF($A4159="",0,$H4159*설정!$C$23)</f>
        <v/>
      </c>
      <c r="Q4159" s="64">
        <f>IF($A4159="","",IF(O4159&lt;&gt;원인분석!$C$9,"",IF(AND(M4159&gt;=원인분석!$C$10,M4159&lt;=원인분석!$C$11),"당기",IF(AND(M4159&gt;=원인분석!$C$12,M4159&lt;=원인분석!$C$13),"비교",""))))</f>
        <v/>
      </c>
      <c r="R4159" s="9">
        <f>IF(Q4159="","",$K4159&amp;"")</f>
        <v/>
      </c>
      <c r="S4159" s="9">
        <f>IF(Q4159="","",IF(MATCH(R4159,$R$5:$R$100000,0)=ROW()-4,ROW(),""))</f>
        <v/>
      </c>
      <c r="T4159" s="9">
        <f>IF(Q4159="당기",ABS(P4159)+ROW()/1000000000,"")</f>
        <v/>
      </c>
      <c r="U4159" s="9">
        <f>IF(Q4159="비교",ABS(P4159)+ROW()/1000000000,"")</f>
        <v/>
      </c>
      <c r="V4159" s="64">
        <f>IF($A4159="","",IF(COUNTIF(변동분석!$E$7:$E$506,O4159)&gt;0,"Y","N"))</f>
        <v/>
      </c>
      <c r="W4159" s="64">
        <f>IF($A4159="","",IFERROR(INDEX(계정매핑!$D$5:$D$504,MATCH($F4159&amp;"",계정매핑!$A$5:$A$504,0)),"미매핑"))</f>
        <v/>
      </c>
      <c r="X4159" s="9">
        <f>IF($A4159="","",$F4159&amp;"")</f>
        <v/>
      </c>
      <c r="Y4159" s="94">
        <f>IF($A4159="",0,IF(AE4159="직접",IF(AF4159="비귀속",$P4159,0),$P4159*(1-AG4159)*IFERROR(INDEX(계정대체기준!$F$20:$F$49,MATCH($N4159,계정대체기준!$A$20:$A$49,0)),1)))</f>
        <v/>
      </c>
      <c r="Z4159" s="94">
        <f>IF($A4159="",0,IF(AE4159="직접",IF(AF4159="신계약비",$P4159,0),$P4159*(1-AG4159)*IFERROR(INDEX(계정대체기준!$C$20:$C$49,MATCH($N4159,계정대체기준!$A$20:$A$49,0)),0)))</f>
        <v/>
      </c>
      <c r="AA4159" s="94">
        <f>IF($A4159="",0,IF(AE4159="직접",IF(OR(AF4159="유지비",AF4159="손해조사비"),$P4159,0),$P4159*(1-AG4159)*IFERROR(INDEX(계정대체기준!$D$20:$D$49,MATCH($N4159,계정대체기준!$A$20:$A$49,0)),0)))</f>
        <v/>
      </c>
      <c r="AB4159" s="94">
        <f>IF($A4159="",0,IF(AE4159="직접",IF(AF4159="수금비",$P4159,0),$P4159*(1-AG4159)*IFERROR(INDEX(계정대체기준!$E$20:$E$49,MATCH($N4159,계정대체기준!$A$20:$A$49,0)),0)))</f>
        <v/>
      </c>
      <c r="AC4159" s="9">
        <f>IF(AND($A4159&lt;&gt;"",M4159=설정!$C$20,Z4159&gt;0),Z4159+ROW()/1000000000,"")</f>
        <v/>
      </c>
      <c r="AD4159" s="94">
        <f>IF($A4159="",0,$P4159*AG4159)</f>
        <v/>
      </c>
      <c r="AE4159" s="64">
        <f>IF($A4159="","",IFERROR(INDEX(계정매핑!$E$5:$E$504,MATCH($F4159&amp;"",계정매핑!$A$5:$A$504,0))&amp;"","공통비"))</f>
        <v/>
      </c>
      <c r="AF4159" s="64">
        <f>IF($A4159="","",IF(AE4159="직접",IFERROR(INDEX(계정매핑!$F$5:$F$504,MATCH($F4159&amp;"",계정매핑!$A$5:$A$504,0))&amp;"","비귀속"),""))</f>
        <v/>
      </c>
      <c r="AG4159" s="96">
        <f>IF($A4159="",0,IF(AND(AE4159&lt;&gt;"직접",IFERROR(INDEX(계정매핑!$G$5:$G$504,MATCH($F4159&amp;"",계정매핑!$A$5:$A$504,0))&amp;"","")="유지비",COUNTIF(계정대체기준!$A$6:$A$15,$N4159)&gt;0),IFERROR(INDEX(계정대체기준!$E$6:$E$15,MATCH(VALUE($A4159&amp;""),계정대체기준!$D$6:$D$15,0)),0),0))</f>
        <v/>
      </c>
      <c r="AH4159" s="64">
        <f>IF($A4159="","",IF(AD4159=0,"",IF(OR(COUNTIF(계정대체기준!$A$77:$A$86,$N4159)&gt;0,ISNUMBER(MATCH($X4159,계정대체기준!$D$77:$D$86,0)),ISNUMBER(MATCH($F4159,계정대체기준!$D$77:$D$86,0))),"Y","N")))</f>
        <v/>
      </c>
    </row>
    <row r="4160">
      <c r="A4160" s="92" t="n">
        <v>2026</v>
      </c>
      <c r="B4160" s="92" t="n">
        <v>7</v>
      </c>
      <c r="C4160" s="92" t="inlineStr">
        <is>
          <t>5100001438</t>
        </is>
      </c>
      <c r="D4160" s="95" t="n">
        <v>46212</v>
      </c>
      <c r="E4160" s="92" t="inlineStr">
        <is>
          <t>KR</t>
        </is>
      </c>
      <c r="F4160" s="92" t="n">
        <v>62902000</v>
      </c>
      <c r="G4160" s="92" t="n">
        <v>1801</v>
      </c>
      <c r="H4160" s="93" t="n">
        <v>1748000</v>
      </c>
      <c r="I4160" s="92" t="inlineStr">
        <is>
          <t>7월 콜 위탁 수수료(건별)</t>
        </is>
      </c>
      <c r="J4160" s="92" t="inlineStr">
        <is>
          <t>V10016</t>
        </is>
      </c>
      <c r="K4160" s="92" t="inlineStr">
        <is>
          <t>J콜센터</t>
        </is>
      </c>
      <c r="M4160" s="9">
        <f>IF($A4160="","",VALUE($A4160&amp;"")*12+VALUE($B4160&amp;""))</f>
        <v/>
      </c>
      <c r="N4160" s="64">
        <f>IF($A4160="","",IFERROR(INDEX(부서매핑!$C$5:$C$504,MATCH($G4160&amp;"",부서매핑!$A$5:$A$504,0)),"미매핑"))</f>
        <v/>
      </c>
      <c r="O4160" s="9">
        <f>IF($A4160="","",N4160&amp;"|"&amp;$F4160)</f>
        <v/>
      </c>
      <c r="P4160" s="94">
        <f>IF($A4160="",0,$H4160*설정!$C$23)</f>
        <v/>
      </c>
      <c r="Q4160" s="64">
        <f>IF($A4160="","",IF(O4160&lt;&gt;원인분석!$C$9,"",IF(AND(M4160&gt;=원인분석!$C$10,M4160&lt;=원인분석!$C$11),"당기",IF(AND(M4160&gt;=원인분석!$C$12,M4160&lt;=원인분석!$C$13),"비교",""))))</f>
        <v/>
      </c>
      <c r="R4160" s="9">
        <f>IF(Q4160="","",$K4160&amp;"")</f>
        <v/>
      </c>
      <c r="S4160" s="9">
        <f>IF(Q4160="","",IF(MATCH(R4160,$R$5:$R$100000,0)=ROW()-4,ROW(),""))</f>
        <v/>
      </c>
      <c r="T4160" s="9">
        <f>IF(Q4160="당기",ABS(P4160)+ROW()/1000000000,"")</f>
        <v/>
      </c>
      <c r="U4160" s="9">
        <f>IF(Q4160="비교",ABS(P4160)+ROW()/1000000000,"")</f>
        <v/>
      </c>
      <c r="V4160" s="64">
        <f>IF($A4160="","",IF(COUNTIF(변동분석!$E$7:$E$506,O4160)&gt;0,"Y","N"))</f>
        <v/>
      </c>
      <c r="W4160" s="64">
        <f>IF($A4160="","",IFERROR(INDEX(계정매핑!$D$5:$D$504,MATCH($F4160&amp;"",계정매핑!$A$5:$A$504,0)),"미매핑"))</f>
        <v/>
      </c>
      <c r="X4160" s="9">
        <f>IF($A4160="","",$F4160&amp;"")</f>
        <v/>
      </c>
      <c r="Y4160" s="94">
        <f>IF($A4160="",0,IF(AE4160="직접",IF(AF4160="비귀속",$P4160,0),$P4160*(1-AG4160)*IFERROR(INDEX(계정대체기준!$F$20:$F$49,MATCH($N4160,계정대체기준!$A$20:$A$49,0)),1)))</f>
        <v/>
      </c>
      <c r="Z4160" s="94">
        <f>IF($A4160="",0,IF(AE4160="직접",IF(AF4160="신계약비",$P4160,0),$P4160*(1-AG4160)*IFERROR(INDEX(계정대체기준!$C$20:$C$49,MATCH($N4160,계정대체기준!$A$20:$A$49,0)),0)))</f>
        <v/>
      </c>
      <c r="AA4160" s="94">
        <f>IF($A4160="",0,IF(AE4160="직접",IF(OR(AF4160="유지비",AF4160="손해조사비"),$P4160,0),$P4160*(1-AG4160)*IFERROR(INDEX(계정대체기준!$D$20:$D$49,MATCH($N4160,계정대체기준!$A$20:$A$49,0)),0)))</f>
        <v/>
      </c>
      <c r="AB4160" s="94">
        <f>IF($A4160="",0,IF(AE4160="직접",IF(AF4160="수금비",$P4160,0),$P4160*(1-AG4160)*IFERROR(INDEX(계정대체기준!$E$20:$E$49,MATCH($N4160,계정대체기준!$A$20:$A$49,0)),0)))</f>
        <v/>
      </c>
      <c r="AC4160" s="9">
        <f>IF(AND($A4160&lt;&gt;"",M4160=설정!$C$20,Z4160&gt;0),Z4160+ROW()/1000000000,"")</f>
        <v/>
      </c>
      <c r="AD4160" s="94">
        <f>IF($A4160="",0,$P4160*AG4160)</f>
        <v/>
      </c>
      <c r="AE4160" s="64">
        <f>IF($A4160="","",IFERROR(INDEX(계정매핑!$E$5:$E$504,MATCH($F4160&amp;"",계정매핑!$A$5:$A$504,0))&amp;"","공통비"))</f>
        <v/>
      </c>
      <c r="AF4160" s="64">
        <f>IF($A4160="","",IF(AE4160="직접",IFERROR(INDEX(계정매핑!$F$5:$F$504,MATCH($F4160&amp;"",계정매핑!$A$5:$A$504,0))&amp;"","비귀속"),""))</f>
        <v/>
      </c>
      <c r="AG4160" s="96">
        <f>IF($A4160="",0,IF(AND(AE4160&lt;&gt;"직접",IFERROR(INDEX(계정매핑!$G$5:$G$504,MATCH($F4160&amp;"",계정매핑!$A$5:$A$504,0))&amp;"","")="유지비",COUNTIF(계정대체기준!$A$6:$A$15,$N4160)&gt;0),IFERROR(INDEX(계정대체기준!$E$6:$E$15,MATCH(VALUE($A4160&amp;""),계정대체기준!$D$6:$D$15,0)),0),0))</f>
        <v/>
      </c>
      <c r="AH4160" s="64">
        <f>IF($A4160="","",IF(AD4160=0,"",IF(OR(COUNTIF(계정대체기준!$A$77:$A$86,$N4160)&gt;0,ISNUMBER(MATCH($X4160,계정대체기준!$D$77:$D$86,0)),ISNUMBER(MATCH($F4160,계정대체기준!$D$77:$D$86,0))),"Y","N")))</f>
        <v/>
      </c>
    </row>
    <row r="4161">
      <c r="A4161" s="92" t="n">
        <v>2026</v>
      </c>
      <c r="B4161" s="92" t="n">
        <v>7</v>
      </c>
      <c r="C4161" s="92" t="inlineStr">
        <is>
          <t>5100001439</t>
        </is>
      </c>
      <c r="D4161" s="95" t="n">
        <v>46213</v>
      </c>
      <c r="E4161" s="92" t="inlineStr">
        <is>
          <t>KR</t>
        </is>
      </c>
      <c r="F4161" s="92" t="n">
        <v>62102000</v>
      </c>
      <c r="G4161" s="92" t="n">
        <v>1201</v>
      </c>
      <c r="H4161" s="93" t="n">
        <v>60000</v>
      </c>
      <c r="I4161" s="92" t="inlineStr">
        <is>
          <t>7월 해외출장 - M항공</t>
        </is>
      </c>
      <c r="J4161" s="92" t="inlineStr">
        <is>
          <t>V10001</t>
        </is>
      </c>
      <c r="K4161" s="92" t="inlineStr">
        <is>
          <t>M항공</t>
        </is>
      </c>
      <c r="M4161" s="9">
        <f>IF($A4161="","",VALUE($A4161&amp;"")*12+VALUE($B4161&amp;""))</f>
        <v/>
      </c>
      <c r="N4161" s="64">
        <f>IF($A4161="","",IFERROR(INDEX(부서매핑!$C$5:$C$504,MATCH($G4161&amp;"",부서매핑!$A$5:$A$504,0)),"미매핑"))</f>
        <v/>
      </c>
      <c r="O4161" s="9">
        <f>IF($A4161="","",N4161&amp;"|"&amp;$F4161)</f>
        <v/>
      </c>
      <c r="P4161" s="94">
        <f>IF($A4161="",0,$H4161*설정!$C$23)</f>
        <v/>
      </c>
      <c r="Q4161" s="64">
        <f>IF($A4161="","",IF(O4161&lt;&gt;원인분석!$C$9,"",IF(AND(M4161&gt;=원인분석!$C$10,M4161&lt;=원인분석!$C$11),"당기",IF(AND(M4161&gt;=원인분석!$C$12,M4161&lt;=원인분석!$C$13),"비교",""))))</f>
        <v/>
      </c>
      <c r="R4161" s="9">
        <f>IF(Q4161="","",$K4161&amp;"")</f>
        <v/>
      </c>
      <c r="S4161" s="9">
        <f>IF(Q4161="","",IF(MATCH(R4161,$R$5:$R$100000,0)=ROW()-4,ROW(),""))</f>
        <v/>
      </c>
      <c r="T4161" s="9">
        <f>IF(Q4161="당기",ABS(P4161)+ROW()/1000000000,"")</f>
        <v/>
      </c>
      <c r="U4161" s="9">
        <f>IF(Q4161="비교",ABS(P4161)+ROW()/1000000000,"")</f>
        <v/>
      </c>
      <c r="V4161" s="64">
        <f>IF($A4161="","",IF(COUNTIF(변동분석!$E$7:$E$506,O4161)&gt;0,"Y","N"))</f>
        <v/>
      </c>
      <c r="W4161" s="64">
        <f>IF($A4161="","",IFERROR(INDEX(계정매핑!$D$5:$D$504,MATCH($F4161&amp;"",계정매핑!$A$5:$A$504,0)),"미매핑"))</f>
        <v/>
      </c>
      <c r="X4161" s="9">
        <f>IF($A4161="","",$F4161&amp;"")</f>
        <v/>
      </c>
      <c r="Y4161" s="94">
        <f>IF($A4161="",0,IF(AE4161="직접",IF(AF4161="비귀속",$P4161,0),$P4161*(1-AG4161)*IFERROR(INDEX(계정대체기준!$F$20:$F$49,MATCH($N4161,계정대체기준!$A$20:$A$49,0)),1)))</f>
        <v/>
      </c>
      <c r="Z4161" s="94">
        <f>IF($A4161="",0,IF(AE4161="직접",IF(AF4161="신계약비",$P4161,0),$P4161*(1-AG4161)*IFERROR(INDEX(계정대체기준!$C$20:$C$49,MATCH($N4161,계정대체기준!$A$20:$A$49,0)),0)))</f>
        <v/>
      </c>
      <c r="AA4161" s="94">
        <f>IF($A4161="",0,IF(AE4161="직접",IF(OR(AF4161="유지비",AF4161="손해조사비"),$P4161,0),$P4161*(1-AG4161)*IFERROR(INDEX(계정대체기준!$D$20:$D$49,MATCH($N4161,계정대체기준!$A$20:$A$49,0)),0)))</f>
        <v/>
      </c>
      <c r="AB4161" s="94">
        <f>IF($A4161="",0,IF(AE4161="직접",IF(AF4161="수금비",$P4161,0),$P4161*(1-AG4161)*IFERROR(INDEX(계정대체기준!$E$20:$E$49,MATCH($N4161,계정대체기준!$A$20:$A$49,0)),0)))</f>
        <v/>
      </c>
      <c r="AC4161" s="9">
        <f>IF(AND($A4161&lt;&gt;"",M4161=설정!$C$20,Z4161&gt;0),Z4161+ROW()/1000000000,"")</f>
        <v/>
      </c>
      <c r="AD4161" s="94">
        <f>IF($A4161="",0,$P4161*AG4161)</f>
        <v/>
      </c>
      <c r="AE4161" s="64">
        <f>IF($A4161="","",IFERROR(INDEX(계정매핑!$E$5:$E$504,MATCH($F4161&amp;"",계정매핑!$A$5:$A$504,0))&amp;"","공통비"))</f>
        <v/>
      </c>
      <c r="AF4161" s="64">
        <f>IF($A4161="","",IF(AE4161="직접",IFERROR(INDEX(계정매핑!$F$5:$F$504,MATCH($F4161&amp;"",계정매핑!$A$5:$A$504,0))&amp;"","비귀속"),""))</f>
        <v/>
      </c>
      <c r="AG4161" s="96">
        <f>IF($A4161="",0,IF(AND(AE4161&lt;&gt;"직접",IFERROR(INDEX(계정매핑!$G$5:$G$504,MATCH($F4161&amp;"",계정매핑!$A$5:$A$504,0))&amp;"","")="유지비",COUNTIF(계정대체기준!$A$6:$A$15,$N4161)&gt;0),IFERROR(INDEX(계정대체기준!$E$6:$E$15,MATCH(VALUE($A4161&amp;""),계정대체기준!$D$6:$D$15,0)),0),0))</f>
        <v/>
      </c>
      <c r="AH4161" s="64">
        <f>IF($A4161="","",IF(AD4161=0,"",IF(OR(COUNTIF(계정대체기준!$A$77:$A$86,$N4161)&gt;0,ISNUMBER(MATCH($X4161,계정대체기준!$D$77:$D$86,0)),ISNUMBER(MATCH($F4161,계정대체기준!$D$77:$D$86,0))),"Y","N")))</f>
        <v/>
      </c>
    </row>
    <row r="4162">
      <c r="A4162" s="92" t="n">
        <v>2026</v>
      </c>
      <c r="B4162" s="92" t="n">
        <v>7</v>
      </c>
      <c r="C4162" s="92" t="inlineStr">
        <is>
          <t>5100001440</t>
        </is>
      </c>
      <c r="D4162" s="95" t="n">
        <v>46213</v>
      </c>
      <c r="E4162" s="92" t="inlineStr">
        <is>
          <t>KR</t>
        </is>
      </c>
      <c r="F4162" s="92" t="n">
        <v>62102000</v>
      </c>
      <c r="G4162" s="92" t="n">
        <v>1301</v>
      </c>
      <c r="H4162" s="93" t="n">
        <v>137000</v>
      </c>
      <c r="I4162" s="92" t="inlineStr">
        <is>
          <t>7월 해외출장 - N호텔</t>
        </is>
      </c>
      <c r="J4162" s="92" t="inlineStr">
        <is>
          <t>V10009</t>
        </is>
      </c>
      <c r="K4162" s="92" t="inlineStr">
        <is>
          <t>N호텔</t>
        </is>
      </c>
      <c r="M4162" s="9">
        <f>IF($A4162="","",VALUE($A4162&amp;"")*12+VALUE($B4162&amp;""))</f>
        <v/>
      </c>
      <c r="N4162" s="64">
        <f>IF($A4162="","",IFERROR(INDEX(부서매핑!$C$5:$C$504,MATCH($G4162&amp;"",부서매핑!$A$5:$A$504,0)),"미매핑"))</f>
        <v/>
      </c>
      <c r="O4162" s="9">
        <f>IF($A4162="","",N4162&amp;"|"&amp;$F4162)</f>
        <v/>
      </c>
      <c r="P4162" s="94">
        <f>IF($A4162="",0,$H4162*설정!$C$23)</f>
        <v/>
      </c>
      <c r="Q4162" s="64">
        <f>IF($A4162="","",IF(O4162&lt;&gt;원인분석!$C$9,"",IF(AND(M4162&gt;=원인분석!$C$10,M4162&lt;=원인분석!$C$11),"당기",IF(AND(M4162&gt;=원인분석!$C$12,M4162&lt;=원인분석!$C$13),"비교",""))))</f>
        <v/>
      </c>
      <c r="R4162" s="9">
        <f>IF(Q4162="","",$K4162&amp;"")</f>
        <v/>
      </c>
      <c r="S4162" s="9">
        <f>IF(Q4162="","",IF(MATCH(R4162,$R$5:$R$100000,0)=ROW()-4,ROW(),""))</f>
        <v/>
      </c>
      <c r="T4162" s="9">
        <f>IF(Q4162="당기",ABS(P4162)+ROW()/1000000000,"")</f>
        <v/>
      </c>
      <c r="U4162" s="9">
        <f>IF(Q4162="비교",ABS(P4162)+ROW()/1000000000,"")</f>
        <v/>
      </c>
      <c r="V4162" s="64">
        <f>IF($A4162="","",IF(COUNTIF(변동분석!$E$7:$E$506,O4162)&gt;0,"Y","N"))</f>
        <v/>
      </c>
      <c r="W4162" s="64">
        <f>IF($A4162="","",IFERROR(INDEX(계정매핑!$D$5:$D$504,MATCH($F4162&amp;"",계정매핑!$A$5:$A$504,0)),"미매핑"))</f>
        <v/>
      </c>
      <c r="X4162" s="9">
        <f>IF($A4162="","",$F4162&amp;"")</f>
        <v/>
      </c>
      <c r="Y4162" s="94">
        <f>IF($A4162="",0,IF(AE4162="직접",IF(AF4162="비귀속",$P4162,0),$P4162*(1-AG4162)*IFERROR(INDEX(계정대체기준!$F$20:$F$49,MATCH($N4162,계정대체기준!$A$20:$A$49,0)),1)))</f>
        <v/>
      </c>
      <c r="Z4162" s="94">
        <f>IF($A4162="",0,IF(AE4162="직접",IF(AF4162="신계약비",$P4162,0),$P4162*(1-AG4162)*IFERROR(INDEX(계정대체기준!$C$20:$C$49,MATCH($N4162,계정대체기준!$A$20:$A$49,0)),0)))</f>
        <v/>
      </c>
      <c r="AA4162" s="94">
        <f>IF($A4162="",0,IF(AE4162="직접",IF(OR(AF4162="유지비",AF4162="손해조사비"),$P4162,0),$P4162*(1-AG4162)*IFERROR(INDEX(계정대체기준!$D$20:$D$49,MATCH($N4162,계정대체기준!$A$20:$A$49,0)),0)))</f>
        <v/>
      </c>
      <c r="AB4162" s="94">
        <f>IF($A4162="",0,IF(AE4162="직접",IF(AF4162="수금비",$P4162,0),$P4162*(1-AG4162)*IFERROR(INDEX(계정대체기준!$E$20:$E$49,MATCH($N4162,계정대체기준!$A$20:$A$49,0)),0)))</f>
        <v/>
      </c>
      <c r="AC4162" s="9">
        <f>IF(AND($A4162&lt;&gt;"",M4162=설정!$C$20,Z4162&gt;0),Z4162+ROW()/1000000000,"")</f>
        <v/>
      </c>
      <c r="AD4162" s="94">
        <f>IF($A4162="",0,$P4162*AG4162)</f>
        <v/>
      </c>
      <c r="AE4162" s="64">
        <f>IF($A4162="","",IFERROR(INDEX(계정매핑!$E$5:$E$504,MATCH($F4162&amp;"",계정매핑!$A$5:$A$504,0))&amp;"","공통비"))</f>
        <v/>
      </c>
      <c r="AF4162" s="64">
        <f>IF($A4162="","",IF(AE4162="직접",IFERROR(INDEX(계정매핑!$F$5:$F$504,MATCH($F4162&amp;"",계정매핑!$A$5:$A$504,0))&amp;"","비귀속"),""))</f>
        <v/>
      </c>
      <c r="AG4162" s="96">
        <f>IF($A4162="",0,IF(AND(AE4162&lt;&gt;"직접",IFERROR(INDEX(계정매핑!$G$5:$G$504,MATCH($F4162&amp;"",계정매핑!$A$5:$A$504,0))&amp;"","")="유지비",COUNTIF(계정대체기준!$A$6:$A$15,$N4162)&gt;0),IFERROR(INDEX(계정대체기준!$E$6:$E$15,MATCH(VALUE($A4162&amp;""),계정대체기준!$D$6:$D$15,0)),0),0))</f>
        <v/>
      </c>
      <c r="AH4162" s="64">
        <f>IF($A4162="","",IF(AD4162=0,"",IF(OR(COUNTIF(계정대체기준!$A$77:$A$86,$N4162)&gt;0,ISNUMBER(MATCH($X4162,계정대체기준!$D$77:$D$86,0)),ISNUMBER(MATCH($F4162,계정대체기준!$D$77:$D$86,0))),"Y","N")))</f>
        <v/>
      </c>
    </row>
    <row r="4163">
      <c r="A4163" s="92" t="n">
        <v>2026</v>
      </c>
      <c r="B4163" s="92" t="n">
        <v>7</v>
      </c>
      <c r="C4163" s="92" t="inlineStr">
        <is>
          <t>5100001441</t>
        </is>
      </c>
      <c r="D4163" s="95" t="n">
        <v>46213</v>
      </c>
      <c r="E4163" s="92" t="inlineStr">
        <is>
          <t>KR</t>
        </is>
      </c>
      <c r="F4163" s="92" t="n">
        <v>62102000</v>
      </c>
      <c r="G4163" s="92" t="n">
        <v>1601</v>
      </c>
      <c r="H4163" s="93" t="n">
        <v>532000</v>
      </c>
      <c r="I4163" s="92" t="inlineStr">
        <is>
          <t>7월 해외출장 - M항공</t>
        </is>
      </c>
      <c r="J4163" s="92" t="inlineStr">
        <is>
          <t>V10001</t>
        </is>
      </c>
      <c r="K4163" s="92" t="inlineStr">
        <is>
          <t>M항공</t>
        </is>
      </c>
      <c r="M4163" s="9">
        <f>IF($A4163="","",VALUE($A4163&amp;"")*12+VALUE($B4163&amp;""))</f>
        <v/>
      </c>
      <c r="N4163" s="64">
        <f>IF($A4163="","",IFERROR(INDEX(부서매핑!$C$5:$C$504,MATCH($G4163&amp;"",부서매핑!$A$5:$A$504,0)),"미매핑"))</f>
        <v/>
      </c>
      <c r="O4163" s="9">
        <f>IF($A4163="","",N4163&amp;"|"&amp;$F4163)</f>
        <v/>
      </c>
      <c r="P4163" s="94">
        <f>IF($A4163="",0,$H4163*설정!$C$23)</f>
        <v/>
      </c>
      <c r="Q4163" s="64">
        <f>IF($A4163="","",IF(O4163&lt;&gt;원인분석!$C$9,"",IF(AND(M4163&gt;=원인분석!$C$10,M4163&lt;=원인분석!$C$11),"당기",IF(AND(M4163&gt;=원인분석!$C$12,M4163&lt;=원인분석!$C$13),"비교",""))))</f>
        <v/>
      </c>
      <c r="R4163" s="9">
        <f>IF(Q4163="","",$K4163&amp;"")</f>
        <v/>
      </c>
      <c r="S4163" s="9">
        <f>IF(Q4163="","",IF(MATCH(R4163,$R$5:$R$100000,0)=ROW()-4,ROW(),""))</f>
        <v/>
      </c>
      <c r="T4163" s="9">
        <f>IF(Q4163="당기",ABS(P4163)+ROW()/1000000000,"")</f>
        <v/>
      </c>
      <c r="U4163" s="9">
        <f>IF(Q4163="비교",ABS(P4163)+ROW()/1000000000,"")</f>
        <v/>
      </c>
      <c r="V4163" s="64">
        <f>IF($A4163="","",IF(COUNTIF(변동분석!$E$7:$E$506,O4163)&gt;0,"Y","N"))</f>
        <v/>
      </c>
      <c r="W4163" s="64">
        <f>IF($A4163="","",IFERROR(INDEX(계정매핑!$D$5:$D$504,MATCH($F4163&amp;"",계정매핑!$A$5:$A$504,0)),"미매핑"))</f>
        <v/>
      </c>
      <c r="X4163" s="9">
        <f>IF($A4163="","",$F4163&amp;"")</f>
        <v/>
      </c>
      <c r="Y4163" s="94">
        <f>IF($A4163="",0,IF(AE4163="직접",IF(AF4163="비귀속",$P4163,0),$P4163*(1-AG4163)*IFERROR(INDEX(계정대체기준!$F$20:$F$49,MATCH($N4163,계정대체기준!$A$20:$A$49,0)),1)))</f>
        <v/>
      </c>
      <c r="Z4163" s="94">
        <f>IF($A4163="",0,IF(AE4163="직접",IF(AF4163="신계약비",$P4163,0),$P4163*(1-AG4163)*IFERROR(INDEX(계정대체기준!$C$20:$C$49,MATCH($N4163,계정대체기준!$A$20:$A$49,0)),0)))</f>
        <v/>
      </c>
      <c r="AA4163" s="94">
        <f>IF($A4163="",0,IF(AE4163="직접",IF(OR(AF4163="유지비",AF4163="손해조사비"),$P4163,0),$P4163*(1-AG4163)*IFERROR(INDEX(계정대체기준!$D$20:$D$49,MATCH($N4163,계정대체기준!$A$20:$A$49,0)),0)))</f>
        <v/>
      </c>
      <c r="AB4163" s="94">
        <f>IF($A4163="",0,IF(AE4163="직접",IF(AF4163="수금비",$P4163,0),$P4163*(1-AG4163)*IFERROR(INDEX(계정대체기준!$E$20:$E$49,MATCH($N4163,계정대체기준!$A$20:$A$49,0)),0)))</f>
        <v/>
      </c>
      <c r="AC4163" s="9">
        <f>IF(AND($A4163&lt;&gt;"",M4163=설정!$C$20,Z4163&gt;0),Z4163+ROW()/1000000000,"")</f>
        <v/>
      </c>
      <c r="AD4163" s="94">
        <f>IF($A4163="",0,$P4163*AG4163)</f>
        <v/>
      </c>
      <c r="AE4163" s="64">
        <f>IF($A4163="","",IFERROR(INDEX(계정매핑!$E$5:$E$504,MATCH($F4163&amp;"",계정매핑!$A$5:$A$504,0))&amp;"","공통비"))</f>
        <v/>
      </c>
      <c r="AF4163" s="64">
        <f>IF($A4163="","",IF(AE4163="직접",IFERROR(INDEX(계정매핑!$F$5:$F$504,MATCH($F4163&amp;"",계정매핑!$A$5:$A$504,0))&amp;"","비귀속"),""))</f>
        <v/>
      </c>
      <c r="AG4163" s="96">
        <f>IF($A4163="",0,IF(AND(AE4163&lt;&gt;"직접",IFERROR(INDEX(계정매핑!$G$5:$G$504,MATCH($F4163&amp;"",계정매핑!$A$5:$A$504,0))&amp;"","")="유지비",COUNTIF(계정대체기준!$A$6:$A$15,$N4163)&gt;0),IFERROR(INDEX(계정대체기준!$E$6:$E$15,MATCH(VALUE($A4163&amp;""),계정대체기준!$D$6:$D$15,0)),0),0))</f>
        <v/>
      </c>
      <c r="AH4163" s="64">
        <f>IF($A4163="","",IF(AD4163=0,"",IF(OR(COUNTIF(계정대체기준!$A$77:$A$86,$N4163)&gt;0,ISNUMBER(MATCH($X4163,계정대체기준!$D$77:$D$86,0)),ISNUMBER(MATCH($F4163,계정대체기준!$D$77:$D$86,0))),"Y","N")))</f>
        <v/>
      </c>
    </row>
    <row r="4164">
      <c r="A4164" s="92" t="n">
        <v>2026</v>
      </c>
      <c r="B4164" s="92" t="n">
        <v>7</v>
      </c>
      <c r="C4164" s="92" t="inlineStr">
        <is>
          <t>5100001442</t>
        </is>
      </c>
      <c r="D4164" s="95" t="n">
        <v>46213</v>
      </c>
      <c r="E4164" s="92" t="inlineStr">
        <is>
          <t>KR</t>
        </is>
      </c>
      <c r="F4164" s="92" t="n">
        <v>62301000</v>
      </c>
      <c r="G4164" s="92" t="n">
        <v>1201</v>
      </c>
      <c r="H4164" s="93" t="n">
        <v>179000</v>
      </c>
      <c r="I4164" s="92" t="inlineStr">
        <is>
          <t>7월 소모품 구입 - Q오피스</t>
        </is>
      </c>
      <c r="J4164" s="92" t="inlineStr">
        <is>
          <t>V10003</t>
        </is>
      </c>
      <c r="K4164" s="92" t="inlineStr">
        <is>
          <t>Q오피스</t>
        </is>
      </c>
      <c r="M4164" s="9">
        <f>IF($A4164="","",VALUE($A4164&amp;"")*12+VALUE($B4164&amp;""))</f>
        <v/>
      </c>
      <c r="N4164" s="64">
        <f>IF($A4164="","",IFERROR(INDEX(부서매핑!$C$5:$C$504,MATCH($G4164&amp;"",부서매핑!$A$5:$A$504,0)),"미매핑"))</f>
        <v/>
      </c>
      <c r="O4164" s="9">
        <f>IF($A4164="","",N4164&amp;"|"&amp;$F4164)</f>
        <v/>
      </c>
      <c r="P4164" s="94">
        <f>IF($A4164="",0,$H4164*설정!$C$23)</f>
        <v/>
      </c>
      <c r="Q4164" s="64">
        <f>IF($A4164="","",IF(O4164&lt;&gt;원인분석!$C$9,"",IF(AND(M4164&gt;=원인분석!$C$10,M4164&lt;=원인분석!$C$11),"당기",IF(AND(M4164&gt;=원인분석!$C$12,M4164&lt;=원인분석!$C$13),"비교",""))))</f>
        <v/>
      </c>
      <c r="R4164" s="9">
        <f>IF(Q4164="","",$K4164&amp;"")</f>
        <v/>
      </c>
      <c r="S4164" s="9">
        <f>IF(Q4164="","",IF(MATCH(R4164,$R$5:$R$100000,0)=ROW()-4,ROW(),""))</f>
        <v/>
      </c>
      <c r="T4164" s="9">
        <f>IF(Q4164="당기",ABS(P4164)+ROW()/1000000000,"")</f>
        <v/>
      </c>
      <c r="U4164" s="9">
        <f>IF(Q4164="비교",ABS(P4164)+ROW()/1000000000,"")</f>
        <v/>
      </c>
      <c r="V4164" s="64">
        <f>IF($A4164="","",IF(COUNTIF(변동분석!$E$7:$E$506,O4164)&gt;0,"Y","N"))</f>
        <v/>
      </c>
      <c r="W4164" s="64">
        <f>IF($A4164="","",IFERROR(INDEX(계정매핑!$D$5:$D$504,MATCH($F4164&amp;"",계정매핑!$A$5:$A$504,0)),"미매핑"))</f>
        <v/>
      </c>
      <c r="X4164" s="9">
        <f>IF($A4164="","",$F4164&amp;"")</f>
        <v/>
      </c>
      <c r="Y4164" s="94">
        <f>IF($A4164="",0,IF(AE4164="직접",IF(AF4164="비귀속",$P4164,0),$P4164*(1-AG4164)*IFERROR(INDEX(계정대체기준!$F$20:$F$49,MATCH($N4164,계정대체기준!$A$20:$A$49,0)),1)))</f>
        <v/>
      </c>
      <c r="Z4164" s="94">
        <f>IF($A4164="",0,IF(AE4164="직접",IF(AF4164="신계약비",$P4164,0),$P4164*(1-AG4164)*IFERROR(INDEX(계정대체기준!$C$20:$C$49,MATCH($N4164,계정대체기준!$A$20:$A$49,0)),0)))</f>
        <v/>
      </c>
      <c r="AA4164" s="94">
        <f>IF($A4164="",0,IF(AE4164="직접",IF(OR(AF4164="유지비",AF4164="손해조사비"),$P4164,0),$P4164*(1-AG4164)*IFERROR(INDEX(계정대체기준!$D$20:$D$49,MATCH($N4164,계정대체기준!$A$20:$A$49,0)),0)))</f>
        <v/>
      </c>
      <c r="AB4164" s="94">
        <f>IF($A4164="",0,IF(AE4164="직접",IF(AF4164="수금비",$P4164,0),$P4164*(1-AG4164)*IFERROR(INDEX(계정대체기준!$E$20:$E$49,MATCH($N4164,계정대체기준!$A$20:$A$49,0)),0)))</f>
        <v/>
      </c>
      <c r="AC4164" s="9">
        <f>IF(AND($A4164&lt;&gt;"",M4164=설정!$C$20,Z4164&gt;0),Z4164+ROW()/1000000000,"")</f>
        <v/>
      </c>
      <c r="AD4164" s="94">
        <f>IF($A4164="",0,$P4164*AG4164)</f>
        <v/>
      </c>
      <c r="AE4164" s="64">
        <f>IF($A4164="","",IFERROR(INDEX(계정매핑!$E$5:$E$504,MATCH($F4164&amp;"",계정매핑!$A$5:$A$504,0))&amp;"","공통비"))</f>
        <v/>
      </c>
      <c r="AF4164" s="64">
        <f>IF($A4164="","",IF(AE4164="직접",IFERROR(INDEX(계정매핑!$F$5:$F$504,MATCH($F4164&amp;"",계정매핑!$A$5:$A$504,0))&amp;"","비귀속"),""))</f>
        <v/>
      </c>
      <c r="AG4164" s="96">
        <f>IF($A4164="",0,IF(AND(AE4164&lt;&gt;"직접",IFERROR(INDEX(계정매핑!$G$5:$G$504,MATCH($F4164&amp;"",계정매핑!$A$5:$A$504,0))&amp;"","")="유지비",COUNTIF(계정대체기준!$A$6:$A$15,$N4164)&gt;0),IFERROR(INDEX(계정대체기준!$E$6:$E$15,MATCH(VALUE($A4164&amp;""),계정대체기준!$D$6:$D$15,0)),0),0))</f>
        <v/>
      </c>
      <c r="AH4164" s="64">
        <f>IF($A4164="","",IF(AD4164=0,"",IF(OR(COUNTIF(계정대체기준!$A$77:$A$86,$N4164)&gt;0,ISNUMBER(MATCH($X4164,계정대체기준!$D$77:$D$86,0)),ISNUMBER(MATCH($F4164,계정대체기준!$D$77:$D$86,0))),"Y","N")))</f>
        <v/>
      </c>
    </row>
    <row r="4165">
      <c r="A4165" s="92" t="n">
        <v>2026</v>
      </c>
      <c r="B4165" s="92" t="n">
        <v>7</v>
      </c>
      <c r="C4165" s="92" t="inlineStr">
        <is>
          <t>5100001443</t>
        </is>
      </c>
      <c r="D4165" s="95" t="n">
        <v>46213</v>
      </c>
      <c r="E4165" s="92" t="inlineStr">
        <is>
          <t>KR</t>
        </is>
      </c>
      <c r="F4165" s="92" t="n">
        <v>62501000</v>
      </c>
      <c r="G4165" s="92" t="n">
        <v>1101</v>
      </c>
      <c r="H4165" s="93" t="n">
        <v>304000</v>
      </c>
      <c r="I4165" s="92" t="inlineStr">
        <is>
          <t>7월 회의 다과 - T케이터링</t>
        </is>
      </c>
      <c r="J4165" s="92" t="inlineStr">
        <is>
          <t>V10005</t>
        </is>
      </c>
      <c r="K4165" s="92" t="inlineStr">
        <is>
          <t>T케이터링</t>
        </is>
      </c>
      <c r="M4165" s="9">
        <f>IF($A4165="","",VALUE($A4165&amp;"")*12+VALUE($B4165&amp;""))</f>
        <v/>
      </c>
      <c r="N4165" s="64">
        <f>IF($A4165="","",IFERROR(INDEX(부서매핑!$C$5:$C$504,MATCH($G4165&amp;"",부서매핑!$A$5:$A$504,0)),"미매핑"))</f>
        <v/>
      </c>
      <c r="O4165" s="9">
        <f>IF($A4165="","",N4165&amp;"|"&amp;$F4165)</f>
        <v/>
      </c>
      <c r="P4165" s="94">
        <f>IF($A4165="",0,$H4165*설정!$C$23)</f>
        <v/>
      </c>
      <c r="Q4165" s="64">
        <f>IF($A4165="","",IF(O4165&lt;&gt;원인분석!$C$9,"",IF(AND(M4165&gt;=원인분석!$C$10,M4165&lt;=원인분석!$C$11),"당기",IF(AND(M4165&gt;=원인분석!$C$12,M4165&lt;=원인분석!$C$13),"비교",""))))</f>
        <v/>
      </c>
      <c r="R4165" s="9">
        <f>IF(Q4165="","",$K4165&amp;"")</f>
        <v/>
      </c>
      <c r="S4165" s="9">
        <f>IF(Q4165="","",IF(MATCH(R4165,$R$5:$R$100000,0)=ROW()-4,ROW(),""))</f>
        <v/>
      </c>
      <c r="T4165" s="9">
        <f>IF(Q4165="당기",ABS(P4165)+ROW()/1000000000,"")</f>
        <v/>
      </c>
      <c r="U4165" s="9">
        <f>IF(Q4165="비교",ABS(P4165)+ROW()/1000000000,"")</f>
        <v/>
      </c>
      <c r="V4165" s="64">
        <f>IF($A4165="","",IF(COUNTIF(변동분석!$E$7:$E$506,O4165)&gt;0,"Y","N"))</f>
        <v/>
      </c>
      <c r="W4165" s="64">
        <f>IF($A4165="","",IFERROR(INDEX(계정매핑!$D$5:$D$504,MATCH($F4165&amp;"",계정매핑!$A$5:$A$504,0)),"미매핑"))</f>
        <v/>
      </c>
      <c r="X4165" s="9">
        <f>IF($A4165="","",$F4165&amp;"")</f>
        <v/>
      </c>
      <c r="Y4165" s="94">
        <f>IF($A4165="",0,IF(AE4165="직접",IF(AF4165="비귀속",$P4165,0),$P4165*(1-AG4165)*IFERROR(INDEX(계정대체기준!$F$20:$F$49,MATCH($N4165,계정대체기준!$A$20:$A$49,0)),1)))</f>
        <v/>
      </c>
      <c r="Z4165" s="94">
        <f>IF($A4165="",0,IF(AE4165="직접",IF(AF4165="신계약비",$P4165,0),$P4165*(1-AG4165)*IFERROR(INDEX(계정대체기준!$C$20:$C$49,MATCH($N4165,계정대체기준!$A$20:$A$49,0)),0)))</f>
        <v/>
      </c>
      <c r="AA4165" s="94">
        <f>IF($A4165="",0,IF(AE4165="직접",IF(OR(AF4165="유지비",AF4165="손해조사비"),$P4165,0),$P4165*(1-AG4165)*IFERROR(INDEX(계정대체기준!$D$20:$D$49,MATCH($N4165,계정대체기준!$A$20:$A$49,0)),0)))</f>
        <v/>
      </c>
      <c r="AB4165" s="94">
        <f>IF($A4165="",0,IF(AE4165="직접",IF(AF4165="수금비",$P4165,0),$P4165*(1-AG4165)*IFERROR(INDEX(계정대체기준!$E$20:$E$49,MATCH($N4165,계정대체기준!$A$20:$A$49,0)),0)))</f>
        <v/>
      </c>
      <c r="AC4165" s="9">
        <f>IF(AND($A4165&lt;&gt;"",M4165=설정!$C$20,Z4165&gt;0),Z4165+ROW()/1000000000,"")</f>
        <v/>
      </c>
      <c r="AD4165" s="94">
        <f>IF($A4165="",0,$P4165*AG4165)</f>
        <v/>
      </c>
      <c r="AE4165" s="64">
        <f>IF($A4165="","",IFERROR(INDEX(계정매핑!$E$5:$E$504,MATCH($F4165&amp;"",계정매핑!$A$5:$A$504,0))&amp;"","공통비"))</f>
        <v/>
      </c>
      <c r="AF4165" s="64">
        <f>IF($A4165="","",IF(AE4165="직접",IFERROR(INDEX(계정매핑!$F$5:$F$504,MATCH($F4165&amp;"",계정매핑!$A$5:$A$504,0))&amp;"","비귀속"),""))</f>
        <v/>
      </c>
      <c r="AG4165" s="96">
        <f>IF($A4165="",0,IF(AND(AE4165&lt;&gt;"직접",IFERROR(INDEX(계정매핑!$G$5:$G$504,MATCH($F4165&amp;"",계정매핑!$A$5:$A$504,0))&amp;"","")="유지비",COUNTIF(계정대체기준!$A$6:$A$15,$N4165)&gt;0),IFERROR(INDEX(계정대체기준!$E$6:$E$15,MATCH(VALUE($A4165&amp;""),계정대체기준!$D$6:$D$15,0)),0),0))</f>
        <v/>
      </c>
      <c r="AH4165" s="64">
        <f>IF($A4165="","",IF(AD4165=0,"",IF(OR(COUNTIF(계정대체기준!$A$77:$A$86,$N4165)&gt;0,ISNUMBER(MATCH($X4165,계정대체기준!$D$77:$D$86,0)),ISNUMBER(MATCH($F4165,계정대체기준!$D$77:$D$86,0))),"Y","N")))</f>
        <v/>
      </c>
    </row>
    <row r="4166">
      <c r="A4166" s="92" t="n">
        <v>2026</v>
      </c>
      <c r="B4166" s="92" t="n">
        <v>7</v>
      </c>
      <c r="C4166" s="92" t="inlineStr">
        <is>
          <t>5100001444</t>
        </is>
      </c>
      <c r="D4166" s="95" t="n">
        <v>46213</v>
      </c>
      <c r="E4166" s="92" t="inlineStr">
        <is>
          <t>KR</t>
        </is>
      </c>
      <c r="F4166" s="92" t="n">
        <v>62501000</v>
      </c>
      <c r="G4166" s="92" t="n">
        <v>1401</v>
      </c>
      <c r="H4166" s="93" t="n">
        <v>215000</v>
      </c>
      <c r="I4166" s="92" t="inlineStr">
        <is>
          <t>7월 회의 다과 - (법인카드)</t>
        </is>
      </c>
      <c r="J4166" s="92" t="inlineStr">
        <is>
          <t>V10010</t>
        </is>
      </c>
      <c r="K4166" s="92" t="inlineStr">
        <is>
          <t>(법인카드)</t>
        </is>
      </c>
      <c r="M4166" s="9">
        <f>IF($A4166="","",VALUE($A4166&amp;"")*12+VALUE($B4166&amp;""))</f>
        <v/>
      </c>
      <c r="N4166" s="64">
        <f>IF($A4166="","",IFERROR(INDEX(부서매핑!$C$5:$C$504,MATCH($G4166&amp;"",부서매핑!$A$5:$A$504,0)),"미매핑"))</f>
        <v/>
      </c>
      <c r="O4166" s="9">
        <f>IF($A4166="","",N4166&amp;"|"&amp;$F4166)</f>
        <v/>
      </c>
      <c r="P4166" s="94">
        <f>IF($A4166="",0,$H4166*설정!$C$23)</f>
        <v/>
      </c>
      <c r="Q4166" s="64">
        <f>IF($A4166="","",IF(O4166&lt;&gt;원인분석!$C$9,"",IF(AND(M4166&gt;=원인분석!$C$10,M4166&lt;=원인분석!$C$11),"당기",IF(AND(M4166&gt;=원인분석!$C$12,M4166&lt;=원인분석!$C$13),"비교",""))))</f>
        <v/>
      </c>
      <c r="R4166" s="9">
        <f>IF(Q4166="","",$K4166&amp;"")</f>
        <v/>
      </c>
      <c r="S4166" s="9">
        <f>IF(Q4166="","",IF(MATCH(R4166,$R$5:$R$100000,0)=ROW()-4,ROW(),""))</f>
        <v/>
      </c>
      <c r="T4166" s="9">
        <f>IF(Q4166="당기",ABS(P4166)+ROW()/1000000000,"")</f>
        <v/>
      </c>
      <c r="U4166" s="9">
        <f>IF(Q4166="비교",ABS(P4166)+ROW()/1000000000,"")</f>
        <v/>
      </c>
      <c r="V4166" s="64">
        <f>IF($A4166="","",IF(COUNTIF(변동분석!$E$7:$E$506,O4166)&gt;0,"Y","N"))</f>
        <v/>
      </c>
      <c r="W4166" s="64">
        <f>IF($A4166="","",IFERROR(INDEX(계정매핑!$D$5:$D$504,MATCH($F4166&amp;"",계정매핑!$A$5:$A$504,0)),"미매핑"))</f>
        <v/>
      </c>
      <c r="X4166" s="9">
        <f>IF($A4166="","",$F4166&amp;"")</f>
        <v/>
      </c>
      <c r="Y4166" s="94">
        <f>IF($A4166="",0,IF(AE4166="직접",IF(AF4166="비귀속",$P4166,0),$P4166*(1-AG4166)*IFERROR(INDEX(계정대체기준!$F$20:$F$49,MATCH($N4166,계정대체기준!$A$20:$A$49,0)),1)))</f>
        <v/>
      </c>
      <c r="Z4166" s="94">
        <f>IF($A4166="",0,IF(AE4166="직접",IF(AF4166="신계약비",$P4166,0),$P4166*(1-AG4166)*IFERROR(INDEX(계정대체기준!$C$20:$C$49,MATCH($N4166,계정대체기준!$A$20:$A$49,0)),0)))</f>
        <v/>
      </c>
      <c r="AA4166" s="94">
        <f>IF($A4166="",0,IF(AE4166="직접",IF(OR(AF4166="유지비",AF4166="손해조사비"),$P4166,0),$P4166*(1-AG4166)*IFERROR(INDEX(계정대체기준!$D$20:$D$49,MATCH($N4166,계정대체기준!$A$20:$A$49,0)),0)))</f>
        <v/>
      </c>
      <c r="AB4166" s="94">
        <f>IF($A4166="",0,IF(AE4166="직접",IF(AF4166="수금비",$P4166,0),$P4166*(1-AG4166)*IFERROR(INDEX(계정대체기준!$E$20:$E$49,MATCH($N4166,계정대체기준!$A$20:$A$49,0)),0)))</f>
        <v/>
      </c>
      <c r="AC4166" s="9">
        <f>IF(AND($A4166&lt;&gt;"",M4166=설정!$C$20,Z4166&gt;0),Z4166+ROW()/1000000000,"")</f>
        <v/>
      </c>
      <c r="AD4166" s="94">
        <f>IF($A4166="",0,$P4166*AG4166)</f>
        <v/>
      </c>
      <c r="AE4166" s="64">
        <f>IF($A4166="","",IFERROR(INDEX(계정매핑!$E$5:$E$504,MATCH($F4166&amp;"",계정매핑!$A$5:$A$504,0))&amp;"","공통비"))</f>
        <v/>
      </c>
      <c r="AF4166" s="64">
        <f>IF($A4166="","",IF(AE4166="직접",IFERROR(INDEX(계정매핑!$F$5:$F$504,MATCH($F4166&amp;"",계정매핑!$A$5:$A$504,0))&amp;"","비귀속"),""))</f>
        <v/>
      </c>
      <c r="AG4166" s="96">
        <f>IF($A4166="",0,IF(AND(AE4166&lt;&gt;"직접",IFERROR(INDEX(계정매핑!$G$5:$G$504,MATCH($F4166&amp;"",계정매핑!$A$5:$A$504,0))&amp;"","")="유지비",COUNTIF(계정대체기준!$A$6:$A$15,$N4166)&gt;0),IFERROR(INDEX(계정대체기준!$E$6:$E$15,MATCH(VALUE($A4166&amp;""),계정대체기준!$D$6:$D$15,0)),0),0))</f>
        <v/>
      </c>
      <c r="AH4166" s="64">
        <f>IF($A4166="","",IF(AD4166=0,"",IF(OR(COUNTIF(계정대체기준!$A$77:$A$86,$N4166)&gt;0,ISNUMBER(MATCH($X4166,계정대체기준!$D$77:$D$86,0)),ISNUMBER(MATCH($F4166,계정대체기준!$D$77:$D$86,0))),"Y","N")))</f>
        <v/>
      </c>
    </row>
    <row r="4167">
      <c r="A4167" s="92" t="n">
        <v>2026</v>
      </c>
      <c r="B4167" s="92" t="n">
        <v>7</v>
      </c>
      <c r="C4167" s="92" t="inlineStr">
        <is>
          <t>5100001445</t>
        </is>
      </c>
      <c r="D4167" s="95" t="n">
        <v>46213</v>
      </c>
      <c r="E4167" s="92" t="inlineStr">
        <is>
          <t>KR</t>
        </is>
      </c>
      <c r="F4167" s="92" t="n">
        <v>62901000</v>
      </c>
      <c r="G4167" s="92" t="n">
        <v>1101</v>
      </c>
      <c r="H4167" s="93" t="n">
        <v>3746000</v>
      </c>
      <c r="I4167" s="92" t="inlineStr">
        <is>
          <t>7월 자문 수수료 - K회계법인</t>
        </is>
      </c>
      <c r="J4167" s="92" t="inlineStr">
        <is>
          <t>V10011</t>
        </is>
      </c>
      <c r="K4167" s="92" t="inlineStr">
        <is>
          <t>K회계법인</t>
        </is>
      </c>
      <c r="M4167" s="9">
        <f>IF($A4167="","",VALUE($A4167&amp;"")*12+VALUE($B4167&amp;""))</f>
        <v/>
      </c>
      <c r="N4167" s="64">
        <f>IF($A4167="","",IFERROR(INDEX(부서매핑!$C$5:$C$504,MATCH($G4167&amp;"",부서매핑!$A$5:$A$504,0)),"미매핑"))</f>
        <v/>
      </c>
      <c r="O4167" s="9">
        <f>IF($A4167="","",N4167&amp;"|"&amp;$F4167)</f>
        <v/>
      </c>
      <c r="P4167" s="94">
        <f>IF($A4167="",0,$H4167*설정!$C$23)</f>
        <v/>
      </c>
      <c r="Q4167" s="64">
        <f>IF($A4167="","",IF(O4167&lt;&gt;원인분석!$C$9,"",IF(AND(M4167&gt;=원인분석!$C$10,M4167&lt;=원인분석!$C$11),"당기",IF(AND(M4167&gt;=원인분석!$C$12,M4167&lt;=원인분석!$C$13),"비교",""))))</f>
        <v/>
      </c>
      <c r="R4167" s="9">
        <f>IF(Q4167="","",$K4167&amp;"")</f>
        <v/>
      </c>
      <c r="S4167" s="9">
        <f>IF(Q4167="","",IF(MATCH(R4167,$R$5:$R$100000,0)=ROW()-4,ROW(),""))</f>
        <v/>
      </c>
      <c r="T4167" s="9">
        <f>IF(Q4167="당기",ABS(P4167)+ROW()/1000000000,"")</f>
        <v/>
      </c>
      <c r="U4167" s="9">
        <f>IF(Q4167="비교",ABS(P4167)+ROW()/1000000000,"")</f>
        <v/>
      </c>
      <c r="V4167" s="64">
        <f>IF($A4167="","",IF(COUNTIF(변동분석!$E$7:$E$506,O4167)&gt;0,"Y","N"))</f>
        <v/>
      </c>
      <c r="W4167" s="64">
        <f>IF($A4167="","",IFERROR(INDEX(계정매핑!$D$5:$D$504,MATCH($F4167&amp;"",계정매핑!$A$5:$A$504,0)),"미매핑"))</f>
        <v/>
      </c>
      <c r="X4167" s="9">
        <f>IF($A4167="","",$F4167&amp;"")</f>
        <v/>
      </c>
      <c r="Y4167" s="94">
        <f>IF($A4167="",0,IF(AE4167="직접",IF(AF4167="비귀속",$P4167,0),$P4167*(1-AG4167)*IFERROR(INDEX(계정대체기준!$F$20:$F$49,MATCH($N4167,계정대체기준!$A$20:$A$49,0)),1)))</f>
        <v/>
      </c>
      <c r="Z4167" s="94">
        <f>IF($A4167="",0,IF(AE4167="직접",IF(AF4167="신계약비",$P4167,0),$P4167*(1-AG4167)*IFERROR(INDEX(계정대체기준!$C$20:$C$49,MATCH($N4167,계정대체기준!$A$20:$A$49,0)),0)))</f>
        <v/>
      </c>
      <c r="AA4167" s="94">
        <f>IF($A4167="",0,IF(AE4167="직접",IF(OR(AF4167="유지비",AF4167="손해조사비"),$P4167,0),$P4167*(1-AG4167)*IFERROR(INDEX(계정대체기준!$D$20:$D$49,MATCH($N4167,계정대체기준!$A$20:$A$49,0)),0)))</f>
        <v/>
      </c>
      <c r="AB4167" s="94">
        <f>IF($A4167="",0,IF(AE4167="직접",IF(AF4167="수금비",$P4167,0),$P4167*(1-AG4167)*IFERROR(INDEX(계정대체기준!$E$20:$E$49,MATCH($N4167,계정대체기준!$A$20:$A$49,0)),0)))</f>
        <v/>
      </c>
      <c r="AC4167" s="9">
        <f>IF(AND($A4167&lt;&gt;"",M4167=설정!$C$20,Z4167&gt;0),Z4167+ROW()/1000000000,"")</f>
        <v/>
      </c>
      <c r="AD4167" s="94">
        <f>IF($A4167="",0,$P4167*AG4167)</f>
        <v/>
      </c>
      <c r="AE4167" s="64">
        <f>IF($A4167="","",IFERROR(INDEX(계정매핑!$E$5:$E$504,MATCH($F4167&amp;"",계정매핑!$A$5:$A$504,0))&amp;"","공통비"))</f>
        <v/>
      </c>
      <c r="AF4167" s="64">
        <f>IF($A4167="","",IF(AE4167="직접",IFERROR(INDEX(계정매핑!$F$5:$F$504,MATCH($F4167&amp;"",계정매핑!$A$5:$A$504,0))&amp;"","비귀속"),""))</f>
        <v/>
      </c>
      <c r="AG4167" s="96">
        <f>IF($A4167="",0,IF(AND(AE4167&lt;&gt;"직접",IFERROR(INDEX(계정매핑!$G$5:$G$504,MATCH($F4167&amp;"",계정매핑!$A$5:$A$504,0))&amp;"","")="유지비",COUNTIF(계정대체기준!$A$6:$A$15,$N4167)&gt;0),IFERROR(INDEX(계정대체기준!$E$6:$E$15,MATCH(VALUE($A4167&amp;""),계정대체기준!$D$6:$D$15,0)),0),0))</f>
        <v/>
      </c>
      <c r="AH4167" s="64">
        <f>IF($A4167="","",IF(AD4167=0,"",IF(OR(COUNTIF(계정대체기준!$A$77:$A$86,$N4167)&gt;0,ISNUMBER(MATCH($X4167,계정대체기준!$D$77:$D$86,0)),ISNUMBER(MATCH($F4167,계정대체기준!$D$77:$D$86,0))),"Y","N")))</f>
        <v/>
      </c>
    </row>
    <row r="4168">
      <c r="A4168" s="92" t="n">
        <v>2026</v>
      </c>
      <c r="B4168" s="92" t="n">
        <v>7</v>
      </c>
      <c r="C4168" s="92" t="inlineStr">
        <is>
          <t>5100001446</t>
        </is>
      </c>
      <c r="D4168" s="95" t="n">
        <v>46213</v>
      </c>
      <c r="E4168" s="92" t="inlineStr">
        <is>
          <t>KR</t>
        </is>
      </c>
      <c r="F4168" s="92" t="n">
        <v>62902000</v>
      </c>
      <c r="G4168" s="92" t="n">
        <v>1801</v>
      </c>
      <c r="H4168" s="93" t="n">
        <v>1821000</v>
      </c>
      <c r="I4168" s="92" t="inlineStr">
        <is>
          <t>7월 콜 위탁 수수료(건별)</t>
        </is>
      </c>
      <c r="J4168" s="92" t="inlineStr">
        <is>
          <t>V10016</t>
        </is>
      </c>
      <c r="K4168" s="92" t="inlineStr">
        <is>
          <t>J콜센터</t>
        </is>
      </c>
      <c r="M4168" s="9">
        <f>IF($A4168="","",VALUE($A4168&amp;"")*12+VALUE($B4168&amp;""))</f>
        <v/>
      </c>
      <c r="N4168" s="64">
        <f>IF($A4168="","",IFERROR(INDEX(부서매핑!$C$5:$C$504,MATCH($G4168&amp;"",부서매핑!$A$5:$A$504,0)),"미매핑"))</f>
        <v/>
      </c>
      <c r="O4168" s="9">
        <f>IF($A4168="","",N4168&amp;"|"&amp;$F4168)</f>
        <v/>
      </c>
      <c r="P4168" s="94">
        <f>IF($A4168="",0,$H4168*설정!$C$23)</f>
        <v/>
      </c>
      <c r="Q4168" s="64">
        <f>IF($A4168="","",IF(O4168&lt;&gt;원인분석!$C$9,"",IF(AND(M4168&gt;=원인분석!$C$10,M4168&lt;=원인분석!$C$11),"당기",IF(AND(M4168&gt;=원인분석!$C$12,M4168&lt;=원인분석!$C$13),"비교",""))))</f>
        <v/>
      </c>
      <c r="R4168" s="9">
        <f>IF(Q4168="","",$K4168&amp;"")</f>
        <v/>
      </c>
      <c r="S4168" s="9">
        <f>IF(Q4168="","",IF(MATCH(R4168,$R$5:$R$100000,0)=ROW()-4,ROW(),""))</f>
        <v/>
      </c>
      <c r="T4168" s="9">
        <f>IF(Q4168="당기",ABS(P4168)+ROW()/1000000000,"")</f>
        <v/>
      </c>
      <c r="U4168" s="9">
        <f>IF(Q4168="비교",ABS(P4168)+ROW()/1000000000,"")</f>
        <v/>
      </c>
      <c r="V4168" s="64">
        <f>IF($A4168="","",IF(COUNTIF(변동분석!$E$7:$E$506,O4168)&gt;0,"Y","N"))</f>
        <v/>
      </c>
      <c r="W4168" s="64">
        <f>IF($A4168="","",IFERROR(INDEX(계정매핑!$D$5:$D$504,MATCH($F4168&amp;"",계정매핑!$A$5:$A$504,0)),"미매핑"))</f>
        <v/>
      </c>
      <c r="X4168" s="9">
        <f>IF($A4168="","",$F4168&amp;"")</f>
        <v/>
      </c>
      <c r="Y4168" s="94">
        <f>IF($A4168="",0,IF(AE4168="직접",IF(AF4168="비귀속",$P4168,0),$P4168*(1-AG4168)*IFERROR(INDEX(계정대체기준!$F$20:$F$49,MATCH($N4168,계정대체기준!$A$20:$A$49,0)),1)))</f>
        <v/>
      </c>
      <c r="Z4168" s="94">
        <f>IF($A4168="",0,IF(AE4168="직접",IF(AF4168="신계약비",$P4168,0),$P4168*(1-AG4168)*IFERROR(INDEX(계정대체기준!$C$20:$C$49,MATCH($N4168,계정대체기준!$A$20:$A$49,0)),0)))</f>
        <v/>
      </c>
      <c r="AA4168" s="94">
        <f>IF($A4168="",0,IF(AE4168="직접",IF(OR(AF4168="유지비",AF4168="손해조사비"),$P4168,0),$P4168*(1-AG4168)*IFERROR(INDEX(계정대체기준!$D$20:$D$49,MATCH($N4168,계정대체기준!$A$20:$A$49,0)),0)))</f>
        <v/>
      </c>
      <c r="AB4168" s="94">
        <f>IF($A4168="",0,IF(AE4168="직접",IF(AF4168="수금비",$P4168,0),$P4168*(1-AG4168)*IFERROR(INDEX(계정대체기준!$E$20:$E$49,MATCH($N4168,계정대체기준!$A$20:$A$49,0)),0)))</f>
        <v/>
      </c>
      <c r="AC4168" s="9">
        <f>IF(AND($A4168&lt;&gt;"",M4168=설정!$C$20,Z4168&gt;0),Z4168+ROW()/1000000000,"")</f>
        <v/>
      </c>
      <c r="AD4168" s="94">
        <f>IF($A4168="",0,$P4168*AG4168)</f>
        <v/>
      </c>
      <c r="AE4168" s="64">
        <f>IF($A4168="","",IFERROR(INDEX(계정매핑!$E$5:$E$504,MATCH($F4168&amp;"",계정매핑!$A$5:$A$504,0))&amp;"","공통비"))</f>
        <v/>
      </c>
      <c r="AF4168" s="64">
        <f>IF($A4168="","",IF(AE4168="직접",IFERROR(INDEX(계정매핑!$F$5:$F$504,MATCH($F4168&amp;"",계정매핑!$A$5:$A$504,0))&amp;"","비귀속"),""))</f>
        <v/>
      </c>
      <c r="AG4168" s="96">
        <f>IF($A4168="",0,IF(AND(AE4168&lt;&gt;"직접",IFERROR(INDEX(계정매핑!$G$5:$G$504,MATCH($F4168&amp;"",계정매핑!$A$5:$A$504,0))&amp;"","")="유지비",COUNTIF(계정대체기준!$A$6:$A$15,$N4168)&gt;0),IFERROR(INDEX(계정대체기준!$E$6:$E$15,MATCH(VALUE($A4168&amp;""),계정대체기준!$D$6:$D$15,0)),0),0))</f>
        <v/>
      </c>
      <c r="AH4168" s="64">
        <f>IF($A4168="","",IF(AD4168=0,"",IF(OR(COUNTIF(계정대체기준!$A$77:$A$86,$N4168)&gt;0,ISNUMBER(MATCH($X4168,계정대체기준!$D$77:$D$86,0)),ISNUMBER(MATCH($F4168,계정대체기준!$D$77:$D$86,0))),"Y","N")))</f>
        <v/>
      </c>
    </row>
    <row r="4169">
      <c r="A4169" s="92" t="n">
        <v>2026</v>
      </c>
      <c r="B4169" s="92" t="n">
        <v>7</v>
      </c>
      <c r="C4169" s="92" t="inlineStr">
        <is>
          <t>5100001447</t>
        </is>
      </c>
      <c r="D4169" s="95" t="n">
        <v>46213</v>
      </c>
      <c r="E4169" s="92" t="inlineStr">
        <is>
          <t>KR</t>
        </is>
      </c>
      <c r="F4169" s="92" t="n">
        <v>63501000</v>
      </c>
      <c r="G4169" s="92" t="n">
        <v>1902</v>
      </c>
      <c r="H4169" s="93" t="n">
        <v>333828000</v>
      </c>
      <c r="I4169" s="92" t="inlineStr">
        <is>
          <t>7월 모집수수료 - BB에셋</t>
        </is>
      </c>
      <c r="J4169" s="92" t="inlineStr">
        <is>
          <t>V10013</t>
        </is>
      </c>
      <c r="K4169" s="92" t="inlineStr">
        <is>
          <t>BB에셋</t>
        </is>
      </c>
      <c r="M4169" s="9">
        <f>IF($A4169="","",VALUE($A4169&amp;"")*12+VALUE($B4169&amp;""))</f>
        <v/>
      </c>
      <c r="N4169" s="64">
        <f>IF($A4169="","",IFERROR(INDEX(부서매핑!$C$5:$C$504,MATCH($G4169&amp;"",부서매핑!$A$5:$A$504,0)),"미매핑"))</f>
        <v/>
      </c>
      <c r="O4169" s="9">
        <f>IF($A4169="","",N4169&amp;"|"&amp;$F4169)</f>
        <v/>
      </c>
      <c r="P4169" s="94">
        <f>IF($A4169="",0,$H4169*설정!$C$23)</f>
        <v/>
      </c>
      <c r="Q4169" s="64">
        <f>IF($A4169="","",IF(O4169&lt;&gt;원인분석!$C$9,"",IF(AND(M4169&gt;=원인분석!$C$10,M4169&lt;=원인분석!$C$11),"당기",IF(AND(M4169&gt;=원인분석!$C$12,M4169&lt;=원인분석!$C$13),"비교",""))))</f>
        <v/>
      </c>
      <c r="R4169" s="9">
        <f>IF(Q4169="","",$K4169&amp;"")</f>
        <v/>
      </c>
      <c r="S4169" s="9">
        <f>IF(Q4169="","",IF(MATCH(R4169,$R$5:$R$100000,0)=ROW()-4,ROW(),""))</f>
        <v/>
      </c>
      <c r="T4169" s="9">
        <f>IF(Q4169="당기",ABS(P4169)+ROW()/1000000000,"")</f>
        <v/>
      </c>
      <c r="U4169" s="9">
        <f>IF(Q4169="비교",ABS(P4169)+ROW()/1000000000,"")</f>
        <v/>
      </c>
      <c r="V4169" s="64">
        <f>IF($A4169="","",IF(COUNTIF(변동분석!$E$7:$E$506,O4169)&gt;0,"Y","N"))</f>
        <v/>
      </c>
      <c r="W4169" s="64">
        <f>IF($A4169="","",IFERROR(INDEX(계정매핑!$D$5:$D$504,MATCH($F4169&amp;"",계정매핑!$A$5:$A$504,0)),"미매핑"))</f>
        <v/>
      </c>
      <c r="X4169" s="9">
        <f>IF($A4169="","",$F4169&amp;"")</f>
        <v/>
      </c>
      <c r="Y4169" s="94">
        <f>IF($A4169="",0,IF(AE4169="직접",IF(AF4169="비귀속",$P4169,0),$P4169*(1-AG4169)*IFERROR(INDEX(계정대체기준!$F$20:$F$49,MATCH($N4169,계정대체기준!$A$20:$A$49,0)),1)))</f>
        <v/>
      </c>
      <c r="Z4169" s="94">
        <f>IF($A4169="",0,IF(AE4169="직접",IF(AF4169="신계약비",$P4169,0),$P4169*(1-AG4169)*IFERROR(INDEX(계정대체기준!$C$20:$C$49,MATCH($N4169,계정대체기준!$A$20:$A$49,0)),0)))</f>
        <v/>
      </c>
      <c r="AA4169" s="94">
        <f>IF($A4169="",0,IF(AE4169="직접",IF(OR(AF4169="유지비",AF4169="손해조사비"),$P4169,0),$P4169*(1-AG4169)*IFERROR(INDEX(계정대체기준!$D$20:$D$49,MATCH($N4169,계정대체기준!$A$20:$A$49,0)),0)))</f>
        <v/>
      </c>
      <c r="AB4169" s="94">
        <f>IF($A4169="",0,IF(AE4169="직접",IF(AF4169="수금비",$P4169,0),$P4169*(1-AG4169)*IFERROR(INDEX(계정대체기준!$E$20:$E$49,MATCH($N4169,계정대체기준!$A$20:$A$49,0)),0)))</f>
        <v/>
      </c>
      <c r="AC4169" s="9">
        <f>IF(AND($A4169&lt;&gt;"",M4169=설정!$C$20,Z4169&gt;0),Z4169+ROW()/1000000000,"")</f>
        <v/>
      </c>
      <c r="AD4169" s="94">
        <f>IF($A4169="",0,$P4169*AG4169)</f>
        <v/>
      </c>
      <c r="AE4169" s="64">
        <f>IF($A4169="","",IFERROR(INDEX(계정매핑!$E$5:$E$504,MATCH($F4169&amp;"",계정매핑!$A$5:$A$504,0))&amp;"","공통비"))</f>
        <v/>
      </c>
      <c r="AF4169" s="64">
        <f>IF($A4169="","",IF(AE4169="직접",IFERROR(INDEX(계정매핑!$F$5:$F$504,MATCH($F4169&amp;"",계정매핑!$A$5:$A$504,0))&amp;"","비귀속"),""))</f>
        <v/>
      </c>
      <c r="AG4169" s="96">
        <f>IF($A4169="",0,IF(AND(AE4169&lt;&gt;"직접",IFERROR(INDEX(계정매핑!$G$5:$G$504,MATCH($F4169&amp;"",계정매핑!$A$5:$A$504,0))&amp;"","")="유지비",COUNTIF(계정대체기준!$A$6:$A$15,$N4169)&gt;0),IFERROR(INDEX(계정대체기준!$E$6:$E$15,MATCH(VALUE($A4169&amp;""),계정대체기준!$D$6:$D$15,0)),0),0))</f>
        <v/>
      </c>
      <c r="AH4169" s="64">
        <f>IF($A4169="","",IF(AD4169=0,"",IF(OR(COUNTIF(계정대체기준!$A$77:$A$86,$N4169)&gt;0,ISNUMBER(MATCH($X4169,계정대체기준!$D$77:$D$86,0)),ISNUMBER(MATCH($F4169,계정대체기준!$D$77:$D$86,0))),"Y","N")))</f>
        <v/>
      </c>
    </row>
    <row r="4170">
      <c r="A4170" s="92" t="n">
        <v>2026</v>
      </c>
      <c r="B4170" s="92" t="n">
        <v>7</v>
      </c>
      <c r="C4170" s="92" t="inlineStr">
        <is>
          <t>5100001448</t>
        </is>
      </c>
      <c r="D4170" s="95" t="n">
        <v>46214</v>
      </c>
      <c r="E4170" s="92" t="inlineStr">
        <is>
          <t>KR</t>
        </is>
      </c>
      <c r="F4170" s="92" t="n">
        <v>62101000</v>
      </c>
      <c r="G4170" s="92" t="n">
        <v>1201</v>
      </c>
      <c r="H4170" s="93" t="n">
        <v>207000</v>
      </c>
      <c r="I4170" s="92" t="inlineStr">
        <is>
          <t>7월 국내출장 - (법인카드)</t>
        </is>
      </c>
      <c r="J4170" s="92" t="inlineStr">
        <is>
          <t>V10010</t>
        </is>
      </c>
      <c r="K4170" s="92" t="inlineStr">
        <is>
          <t>(법인카드)</t>
        </is>
      </c>
      <c r="M4170" s="9">
        <f>IF($A4170="","",VALUE($A4170&amp;"")*12+VALUE($B4170&amp;""))</f>
        <v/>
      </c>
      <c r="N4170" s="64">
        <f>IF($A4170="","",IFERROR(INDEX(부서매핑!$C$5:$C$504,MATCH($G4170&amp;"",부서매핑!$A$5:$A$504,0)),"미매핑"))</f>
        <v/>
      </c>
      <c r="O4170" s="9">
        <f>IF($A4170="","",N4170&amp;"|"&amp;$F4170)</f>
        <v/>
      </c>
      <c r="P4170" s="94">
        <f>IF($A4170="",0,$H4170*설정!$C$23)</f>
        <v/>
      </c>
      <c r="Q4170" s="64">
        <f>IF($A4170="","",IF(O4170&lt;&gt;원인분석!$C$9,"",IF(AND(M4170&gt;=원인분석!$C$10,M4170&lt;=원인분석!$C$11),"당기",IF(AND(M4170&gt;=원인분석!$C$12,M4170&lt;=원인분석!$C$13),"비교",""))))</f>
        <v/>
      </c>
      <c r="R4170" s="9">
        <f>IF(Q4170="","",$K4170&amp;"")</f>
        <v/>
      </c>
      <c r="S4170" s="9">
        <f>IF(Q4170="","",IF(MATCH(R4170,$R$5:$R$100000,0)=ROW()-4,ROW(),""))</f>
        <v/>
      </c>
      <c r="T4170" s="9">
        <f>IF(Q4170="당기",ABS(P4170)+ROW()/1000000000,"")</f>
        <v/>
      </c>
      <c r="U4170" s="9">
        <f>IF(Q4170="비교",ABS(P4170)+ROW()/1000000000,"")</f>
        <v/>
      </c>
      <c r="V4170" s="64">
        <f>IF($A4170="","",IF(COUNTIF(변동분석!$E$7:$E$506,O4170)&gt;0,"Y","N"))</f>
        <v/>
      </c>
      <c r="W4170" s="64">
        <f>IF($A4170="","",IFERROR(INDEX(계정매핑!$D$5:$D$504,MATCH($F4170&amp;"",계정매핑!$A$5:$A$504,0)),"미매핑"))</f>
        <v/>
      </c>
      <c r="X4170" s="9">
        <f>IF($A4170="","",$F4170&amp;"")</f>
        <v/>
      </c>
      <c r="Y4170" s="94">
        <f>IF($A4170="",0,IF(AE4170="직접",IF(AF4170="비귀속",$P4170,0),$P4170*(1-AG4170)*IFERROR(INDEX(계정대체기준!$F$20:$F$49,MATCH($N4170,계정대체기준!$A$20:$A$49,0)),1)))</f>
        <v/>
      </c>
      <c r="Z4170" s="94">
        <f>IF($A4170="",0,IF(AE4170="직접",IF(AF4170="신계약비",$P4170,0),$P4170*(1-AG4170)*IFERROR(INDEX(계정대체기준!$C$20:$C$49,MATCH($N4170,계정대체기준!$A$20:$A$49,0)),0)))</f>
        <v/>
      </c>
      <c r="AA4170" s="94">
        <f>IF($A4170="",0,IF(AE4170="직접",IF(OR(AF4170="유지비",AF4170="손해조사비"),$P4170,0),$P4170*(1-AG4170)*IFERROR(INDEX(계정대체기준!$D$20:$D$49,MATCH($N4170,계정대체기준!$A$20:$A$49,0)),0)))</f>
        <v/>
      </c>
      <c r="AB4170" s="94">
        <f>IF($A4170="",0,IF(AE4170="직접",IF(AF4170="수금비",$P4170,0),$P4170*(1-AG4170)*IFERROR(INDEX(계정대체기준!$E$20:$E$49,MATCH($N4170,계정대체기준!$A$20:$A$49,0)),0)))</f>
        <v/>
      </c>
      <c r="AC4170" s="9">
        <f>IF(AND($A4170&lt;&gt;"",M4170=설정!$C$20,Z4170&gt;0),Z4170+ROW()/1000000000,"")</f>
        <v/>
      </c>
      <c r="AD4170" s="94">
        <f>IF($A4170="",0,$P4170*AG4170)</f>
        <v/>
      </c>
      <c r="AE4170" s="64">
        <f>IF($A4170="","",IFERROR(INDEX(계정매핑!$E$5:$E$504,MATCH($F4170&amp;"",계정매핑!$A$5:$A$504,0))&amp;"","공통비"))</f>
        <v/>
      </c>
      <c r="AF4170" s="64">
        <f>IF($A4170="","",IF(AE4170="직접",IFERROR(INDEX(계정매핑!$F$5:$F$504,MATCH($F4170&amp;"",계정매핑!$A$5:$A$504,0))&amp;"","비귀속"),""))</f>
        <v/>
      </c>
      <c r="AG4170" s="96">
        <f>IF($A4170="",0,IF(AND(AE4170&lt;&gt;"직접",IFERROR(INDEX(계정매핑!$G$5:$G$504,MATCH($F4170&amp;"",계정매핑!$A$5:$A$504,0))&amp;"","")="유지비",COUNTIF(계정대체기준!$A$6:$A$15,$N4170)&gt;0),IFERROR(INDEX(계정대체기준!$E$6:$E$15,MATCH(VALUE($A4170&amp;""),계정대체기준!$D$6:$D$15,0)),0),0))</f>
        <v/>
      </c>
      <c r="AH4170" s="64">
        <f>IF($A4170="","",IF(AD4170=0,"",IF(OR(COUNTIF(계정대체기준!$A$77:$A$86,$N4170)&gt;0,ISNUMBER(MATCH($X4170,계정대체기준!$D$77:$D$86,0)),ISNUMBER(MATCH($F4170,계정대체기준!$D$77:$D$86,0))),"Y","N")))</f>
        <v/>
      </c>
    </row>
    <row r="4171">
      <c r="A4171" s="92" t="n">
        <v>2026</v>
      </c>
      <c r="B4171" s="92" t="n">
        <v>7</v>
      </c>
      <c r="C4171" s="92" t="inlineStr">
        <is>
          <t>5100001449</t>
        </is>
      </c>
      <c r="D4171" s="95" t="n">
        <v>46214</v>
      </c>
      <c r="E4171" s="92" t="inlineStr">
        <is>
          <t>KR</t>
        </is>
      </c>
      <c r="F4171" s="92" t="n">
        <v>62101000</v>
      </c>
      <c r="G4171" s="92" t="n">
        <v>1701</v>
      </c>
      <c r="H4171" s="93" t="n">
        <v>165000</v>
      </c>
      <c r="I4171" s="92" t="inlineStr">
        <is>
          <t>7월 국내출장 - M항공</t>
        </is>
      </c>
      <c r="J4171" s="92" t="inlineStr">
        <is>
          <t>V10001</t>
        </is>
      </c>
      <c r="K4171" s="92" t="inlineStr">
        <is>
          <t>M항공</t>
        </is>
      </c>
      <c r="M4171" s="9">
        <f>IF($A4171="","",VALUE($A4171&amp;"")*12+VALUE($B4171&amp;""))</f>
        <v/>
      </c>
      <c r="N4171" s="64">
        <f>IF($A4171="","",IFERROR(INDEX(부서매핑!$C$5:$C$504,MATCH($G4171&amp;"",부서매핑!$A$5:$A$504,0)),"미매핑"))</f>
        <v/>
      </c>
      <c r="O4171" s="9">
        <f>IF($A4171="","",N4171&amp;"|"&amp;$F4171)</f>
        <v/>
      </c>
      <c r="P4171" s="94">
        <f>IF($A4171="",0,$H4171*설정!$C$23)</f>
        <v/>
      </c>
      <c r="Q4171" s="64">
        <f>IF($A4171="","",IF(O4171&lt;&gt;원인분석!$C$9,"",IF(AND(M4171&gt;=원인분석!$C$10,M4171&lt;=원인분석!$C$11),"당기",IF(AND(M4171&gt;=원인분석!$C$12,M4171&lt;=원인분석!$C$13),"비교",""))))</f>
        <v/>
      </c>
      <c r="R4171" s="9">
        <f>IF(Q4171="","",$K4171&amp;"")</f>
        <v/>
      </c>
      <c r="S4171" s="9">
        <f>IF(Q4171="","",IF(MATCH(R4171,$R$5:$R$100000,0)=ROW()-4,ROW(),""))</f>
        <v/>
      </c>
      <c r="T4171" s="9">
        <f>IF(Q4171="당기",ABS(P4171)+ROW()/1000000000,"")</f>
        <v/>
      </c>
      <c r="U4171" s="9">
        <f>IF(Q4171="비교",ABS(P4171)+ROW()/1000000000,"")</f>
        <v/>
      </c>
      <c r="V4171" s="64">
        <f>IF($A4171="","",IF(COUNTIF(변동분석!$E$7:$E$506,O4171)&gt;0,"Y","N"))</f>
        <v/>
      </c>
      <c r="W4171" s="64">
        <f>IF($A4171="","",IFERROR(INDEX(계정매핑!$D$5:$D$504,MATCH($F4171&amp;"",계정매핑!$A$5:$A$504,0)),"미매핑"))</f>
        <v/>
      </c>
      <c r="X4171" s="9">
        <f>IF($A4171="","",$F4171&amp;"")</f>
        <v/>
      </c>
      <c r="Y4171" s="94">
        <f>IF($A4171="",0,IF(AE4171="직접",IF(AF4171="비귀속",$P4171,0),$P4171*(1-AG4171)*IFERROR(INDEX(계정대체기준!$F$20:$F$49,MATCH($N4171,계정대체기준!$A$20:$A$49,0)),1)))</f>
        <v/>
      </c>
      <c r="Z4171" s="94">
        <f>IF($A4171="",0,IF(AE4171="직접",IF(AF4171="신계약비",$P4171,0),$P4171*(1-AG4171)*IFERROR(INDEX(계정대체기준!$C$20:$C$49,MATCH($N4171,계정대체기준!$A$20:$A$49,0)),0)))</f>
        <v/>
      </c>
      <c r="AA4171" s="94">
        <f>IF($A4171="",0,IF(AE4171="직접",IF(OR(AF4171="유지비",AF4171="손해조사비"),$P4171,0),$P4171*(1-AG4171)*IFERROR(INDEX(계정대체기준!$D$20:$D$49,MATCH($N4171,계정대체기준!$A$20:$A$49,0)),0)))</f>
        <v/>
      </c>
      <c r="AB4171" s="94">
        <f>IF($A4171="",0,IF(AE4171="직접",IF(AF4171="수금비",$P4171,0),$P4171*(1-AG4171)*IFERROR(INDEX(계정대체기준!$E$20:$E$49,MATCH($N4171,계정대체기준!$A$20:$A$49,0)),0)))</f>
        <v/>
      </c>
      <c r="AC4171" s="9">
        <f>IF(AND($A4171&lt;&gt;"",M4171=설정!$C$20,Z4171&gt;0),Z4171+ROW()/1000000000,"")</f>
        <v/>
      </c>
      <c r="AD4171" s="94">
        <f>IF($A4171="",0,$P4171*AG4171)</f>
        <v/>
      </c>
      <c r="AE4171" s="64">
        <f>IF($A4171="","",IFERROR(INDEX(계정매핑!$E$5:$E$504,MATCH($F4171&amp;"",계정매핑!$A$5:$A$504,0))&amp;"","공통비"))</f>
        <v/>
      </c>
      <c r="AF4171" s="64">
        <f>IF($A4171="","",IF(AE4171="직접",IFERROR(INDEX(계정매핑!$F$5:$F$504,MATCH($F4171&amp;"",계정매핑!$A$5:$A$504,0))&amp;"","비귀속"),""))</f>
        <v/>
      </c>
      <c r="AG4171" s="96">
        <f>IF($A4171="",0,IF(AND(AE4171&lt;&gt;"직접",IFERROR(INDEX(계정매핑!$G$5:$G$504,MATCH($F4171&amp;"",계정매핑!$A$5:$A$504,0))&amp;"","")="유지비",COUNTIF(계정대체기준!$A$6:$A$15,$N4171)&gt;0),IFERROR(INDEX(계정대체기준!$E$6:$E$15,MATCH(VALUE($A4171&amp;""),계정대체기준!$D$6:$D$15,0)),0),0))</f>
        <v/>
      </c>
      <c r="AH4171" s="64">
        <f>IF($A4171="","",IF(AD4171=0,"",IF(OR(COUNTIF(계정대체기준!$A$77:$A$86,$N4171)&gt;0,ISNUMBER(MATCH($X4171,계정대체기준!$D$77:$D$86,0)),ISNUMBER(MATCH($F4171,계정대체기준!$D$77:$D$86,0))),"Y","N")))</f>
        <v/>
      </c>
    </row>
    <row r="4172">
      <c r="A4172" s="92" t="n">
        <v>2026</v>
      </c>
      <c r="B4172" s="92" t="n">
        <v>7</v>
      </c>
      <c r="C4172" s="92" t="inlineStr">
        <is>
          <t>5100001450</t>
        </is>
      </c>
      <c r="D4172" s="95" t="n">
        <v>46214</v>
      </c>
      <c r="E4172" s="92" t="inlineStr">
        <is>
          <t>KR</t>
        </is>
      </c>
      <c r="F4172" s="92" t="n">
        <v>62102000</v>
      </c>
      <c r="G4172" s="92" t="n">
        <v>1101</v>
      </c>
      <c r="H4172" s="93" t="n">
        <v>160000</v>
      </c>
      <c r="I4172" s="92" t="inlineStr">
        <is>
          <t>7월 해외출장 - M항공</t>
        </is>
      </c>
      <c r="J4172" s="92" t="inlineStr">
        <is>
          <t>V10001</t>
        </is>
      </c>
      <c r="K4172" s="92" t="inlineStr">
        <is>
          <t>M항공</t>
        </is>
      </c>
      <c r="M4172" s="9">
        <f>IF($A4172="","",VALUE($A4172&amp;"")*12+VALUE($B4172&amp;""))</f>
        <v/>
      </c>
      <c r="N4172" s="64">
        <f>IF($A4172="","",IFERROR(INDEX(부서매핑!$C$5:$C$504,MATCH($G4172&amp;"",부서매핑!$A$5:$A$504,0)),"미매핑"))</f>
        <v/>
      </c>
      <c r="O4172" s="9">
        <f>IF($A4172="","",N4172&amp;"|"&amp;$F4172)</f>
        <v/>
      </c>
      <c r="P4172" s="94">
        <f>IF($A4172="",0,$H4172*설정!$C$23)</f>
        <v/>
      </c>
      <c r="Q4172" s="64">
        <f>IF($A4172="","",IF(O4172&lt;&gt;원인분석!$C$9,"",IF(AND(M4172&gt;=원인분석!$C$10,M4172&lt;=원인분석!$C$11),"당기",IF(AND(M4172&gt;=원인분석!$C$12,M4172&lt;=원인분석!$C$13),"비교",""))))</f>
        <v/>
      </c>
      <c r="R4172" s="9">
        <f>IF(Q4172="","",$K4172&amp;"")</f>
        <v/>
      </c>
      <c r="S4172" s="9">
        <f>IF(Q4172="","",IF(MATCH(R4172,$R$5:$R$100000,0)=ROW()-4,ROW(),""))</f>
        <v/>
      </c>
      <c r="T4172" s="9">
        <f>IF(Q4172="당기",ABS(P4172)+ROW()/1000000000,"")</f>
        <v/>
      </c>
      <c r="U4172" s="9">
        <f>IF(Q4172="비교",ABS(P4172)+ROW()/1000000000,"")</f>
        <v/>
      </c>
      <c r="V4172" s="64">
        <f>IF($A4172="","",IF(COUNTIF(변동분석!$E$7:$E$506,O4172)&gt;0,"Y","N"))</f>
        <v/>
      </c>
      <c r="W4172" s="64">
        <f>IF($A4172="","",IFERROR(INDEX(계정매핑!$D$5:$D$504,MATCH($F4172&amp;"",계정매핑!$A$5:$A$504,0)),"미매핑"))</f>
        <v/>
      </c>
      <c r="X4172" s="9">
        <f>IF($A4172="","",$F4172&amp;"")</f>
        <v/>
      </c>
      <c r="Y4172" s="94">
        <f>IF($A4172="",0,IF(AE4172="직접",IF(AF4172="비귀속",$P4172,0),$P4172*(1-AG4172)*IFERROR(INDEX(계정대체기준!$F$20:$F$49,MATCH($N4172,계정대체기준!$A$20:$A$49,0)),1)))</f>
        <v/>
      </c>
      <c r="Z4172" s="94">
        <f>IF($A4172="",0,IF(AE4172="직접",IF(AF4172="신계약비",$P4172,0),$P4172*(1-AG4172)*IFERROR(INDEX(계정대체기준!$C$20:$C$49,MATCH($N4172,계정대체기준!$A$20:$A$49,0)),0)))</f>
        <v/>
      </c>
      <c r="AA4172" s="94">
        <f>IF($A4172="",0,IF(AE4172="직접",IF(OR(AF4172="유지비",AF4172="손해조사비"),$P4172,0),$P4172*(1-AG4172)*IFERROR(INDEX(계정대체기준!$D$20:$D$49,MATCH($N4172,계정대체기준!$A$20:$A$49,0)),0)))</f>
        <v/>
      </c>
      <c r="AB4172" s="94">
        <f>IF($A4172="",0,IF(AE4172="직접",IF(AF4172="수금비",$P4172,0),$P4172*(1-AG4172)*IFERROR(INDEX(계정대체기준!$E$20:$E$49,MATCH($N4172,계정대체기준!$A$20:$A$49,0)),0)))</f>
        <v/>
      </c>
      <c r="AC4172" s="9">
        <f>IF(AND($A4172&lt;&gt;"",M4172=설정!$C$20,Z4172&gt;0),Z4172+ROW()/1000000000,"")</f>
        <v/>
      </c>
      <c r="AD4172" s="94">
        <f>IF($A4172="",0,$P4172*AG4172)</f>
        <v/>
      </c>
      <c r="AE4172" s="64">
        <f>IF($A4172="","",IFERROR(INDEX(계정매핑!$E$5:$E$504,MATCH($F4172&amp;"",계정매핑!$A$5:$A$504,0))&amp;"","공통비"))</f>
        <v/>
      </c>
      <c r="AF4172" s="64">
        <f>IF($A4172="","",IF(AE4172="직접",IFERROR(INDEX(계정매핑!$F$5:$F$504,MATCH($F4172&amp;"",계정매핑!$A$5:$A$504,0))&amp;"","비귀속"),""))</f>
        <v/>
      </c>
      <c r="AG4172" s="96">
        <f>IF($A4172="",0,IF(AND(AE4172&lt;&gt;"직접",IFERROR(INDEX(계정매핑!$G$5:$G$504,MATCH($F4172&amp;"",계정매핑!$A$5:$A$504,0))&amp;"","")="유지비",COUNTIF(계정대체기준!$A$6:$A$15,$N4172)&gt;0),IFERROR(INDEX(계정대체기준!$E$6:$E$15,MATCH(VALUE($A4172&amp;""),계정대체기준!$D$6:$D$15,0)),0),0))</f>
        <v/>
      </c>
      <c r="AH4172" s="64">
        <f>IF($A4172="","",IF(AD4172=0,"",IF(OR(COUNTIF(계정대체기준!$A$77:$A$86,$N4172)&gt;0,ISNUMBER(MATCH($X4172,계정대체기준!$D$77:$D$86,0)),ISNUMBER(MATCH($F4172,계정대체기준!$D$77:$D$86,0))),"Y","N")))</f>
        <v/>
      </c>
    </row>
    <row r="4173">
      <c r="A4173" s="92" t="n">
        <v>2026</v>
      </c>
      <c r="B4173" s="92" t="n">
        <v>7</v>
      </c>
      <c r="C4173" s="92" t="inlineStr">
        <is>
          <t>5100001451</t>
        </is>
      </c>
      <c r="D4173" s="95" t="n">
        <v>46214</v>
      </c>
      <c r="E4173" s="92" t="inlineStr">
        <is>
          <t>KR</t>
        </is>
      </c>
      <c r="F4173" s="92" t="n">
        <v>62102000</v>
      </c>
      <c r="G4173" s="92" t="n">
        <v>1951</v>
      </c>
      <c r="H4173" s="93" t="n">
        <v>82000</v>
      </c>
      <c r="I4173" s="92" t="inlineStr">
        <is>
          <t>7월 해외출장 - N호텔</t>
        </is>
      </c>
      <c r="J4173" s="92" t="inlineStr">
        <is>
          <t>V10009</t>
        </is>
      </c>
      <c r="K4173" s="92" t="inlineStr">
        <is>
          <t>N호텔</t>
        </is>
      </c>
      <c r="M4173" s="9">
        <f>IF($A4173="","",VALUE($A4173&amp;"")*12+VALUE($B4173&amp;""))</f>
        <v/>
      </c>
      <c r="N4173" s="64">
        <f>IF($A4173="","",IFERROR(INDEX(부서매핑!$C$5:$C$504,MATCH($G4173&amp;"",부서매핑!$A$5:$A$504,0)),"미매핑"))</f>
        <v/>
      </c>
      <c r="O4173" s="9">
        <f>IF($A4173="","",N4173&amp;"|"&amp;$F4173)</f>
        <v/>
      </c>
      <c r="P4173" s="94">
        <f>IF($A4173="",0,$H4173*설정!$C$23)</f>
        <v/>
      </c>
      <c r="Q4173" s="64">
        <f>IF($A4173="","",IF(O4173&lt;&gt;원인분석!$C$9,"",IF(AND(M4173&gt;=원인분석!$C$10,M4173&lt;=원인분석!$C$11),"당기",IF(AND(M4173&gt;=원인분석!$C$12,M4173&lt;=원인분석!$C$13),"비교",""))))</f>
        <v/>
      </c>
      <c r="R4173" s="9">
        <f>IF(Q4173="","",$K4173&amp;"")</f>
        <v/>
      </c>
      <c r="S4173" s="9">
        <f>IF(Q4173="","",IF(MATCH(R4173,$R$5:$R$100000,0)=ROW()-4,ROW(),""))</f>
        <v/>
      </c>
      <c r="T4173" s="9">
        <f>IF(Q4173="당기",ABS(P4173)+ROW()/1000000000,"")</f>
        <v/>
      </c>
      <c r="U4173" s="9">
        <f>IF(Q4173="비교",ABS(P4173)+ROW()/1000000000,"")</f>
        <v/>
      </c>
      <c r="V4173" s="64">
        <f>IF($A4173="","",IF(COUNTIF(변동분석!$E$7:$E$506,O4173)&gt;0,"Y","N"))</f>
        <v/>
      </c>
      <c r="W4173" s="64">
        <f>IF($A4173="","",IFERROR(INDEX(계정매핑!$D$5:$D$504,MATCH($F4173&amp;"",계정매핑!$A$5:$A$504,0)),"미매핑"))</f>
        <v/>
      </c>
      <c r="X4173" s="9">
        <f>IF($A4173="","",$F4173&amp;"")</f>
        <v/>
      </c>
      <c r="Y4173" s="94">
        <f>IF($A4173="",0,IF(AE4173="직접",IF(AF4173="비귀속",$P4173,0),$P4173*(1-AG4173)*IFERROR(INDEX(계정대체기준!$F$20:$F$49,MATCH($N4173,계정대체기준!$A$20:$A$49,0)),1)))</f>
        <v/>
      </c>
      <c r="Z4173" s="94">
        <f>IF($A4173="",0,IF(AE4173="직접",IF(AF4173="신계약비",$P4173,0),$P4173*(1-AG4173)*IFERROR(INDEX(계정대체기준!$C$20:$C$49,MATCH($N4173,계정대체기준!$A$20:$A$49,0)),0)))</f>
        <v/>
      </c>
      <c r="AA4173" s="94">
        <f>IF($A4173="",0,IF(AE4173="직접",IF(OR(AF4173="유지비",AF4173="손해조사비"),$P4173,0),$P4173*(1-AG4173)*IFERROR(INDEX(계정대체기준!$D$20:$D$49,MATCH($N4173,계정대체기준!$A$20:$A$49,0)),0)))</f>
        <v/>
      </c>
      <c r="AB4173" s="94">
        <f>IF($A4173="",0,IF(AE4173="직접",IF(AF4173="수금비",$P4173,0),$P4173*(1-AG4173)*IFERROR(INDEX(계정대체기준!$E$20:$E$49,MATCH($N4173,계정대체기준!$A$20:$A$49,0)),0)))</f>
        <v/>
      </c>
      <c r="AC4173" s="9">
        <f>IF(AND($A4173&lt;&gt;"",M4173=설정!$C$20,Z4173&gt;0),Z4173+ROW()/1000000000,"")</f>
        <v/>
      </c>
      <c r="AD4173" s="94">
        <f>IF($A4173="",0,$P4173*AG4173)</f>
        <v/>
      </c>
      <c r="AE4173" s="64">
        <f>IF($A4173="","",IFERROR(INDEX(계정매핑!$E$5:$E$504,MATCH($F4173&amp;"",계정매핑!$A$5:$A$504,0))&amp;"","공통비"))</f>
        <v/>
      </c>
      <c r="AF4173" s="64">
        <f>IF($A4173="","",IF(AE4173="직접",IFERROR(INDEX(계정매핑!$F$5:$F$504,MATCH($F4173&amp;"",계정매핑!$A$5:$A$504,0))&amp;"","비귀속"),""))</f>
        <v/>
      </c>
      <c r="AG4173" s="96">
        <f>IF($A4173="",0,IF(AND(AE4173&lt;&gt;"직접",IFERROR(INDEX(계정매핑!$G$5:$G$504,MATCH($F4173&amp;"",계정매핑!$A$5:$A$504,0))&amp;"","")="유지비",COUNTIF(계정대체기준!$A$6:$A$15,$N4173)&gt;0),IFERROR(INDEX(계정대체기준!$E$6:$E$15,MATCH(VALUE($A4173&amp;""),계정대체기준!$D$6:$D$15,0)),0),0))</f>
        <v/>
      </c>
      <c r="AH4173" s="64">
        <f>IF($A4173="","",IF(AD4173=0,"",IF(OR(COUNTIF(계정대체기준!$A$77:$A$86,$N4173)&gt;0,ISNUMBER(MATCH($X4173,계정대체기준!$D$77:$D$86,0)),ISNUMBER(MATCH($F4173,계정대체기준!$D$77:$D$86,0))),"Y","N")))</f>
        <v/>
      </c>
    </row>
    <row r="4174">
      <c r="A4174" s="92" t="n">
        <v>2026</v>
      </c>
      <c r="B4174" s="92" t="n">
        <v>7</v>
      </c>
      <c r="C4174" s="92" t="inlineStr">
        <is>
          <t>5100001452</t>
        </is>
      </c>
      <c r="D4174" s="95" t="n">
        <v>46214</v>
      </c>
      <c r="E4174" s="92" t="inlineStr">
        <is>
          <t>KR</t>
        </is>
      </c>
      <c r="F4174" s="92" t="n">
        <v>62201000</v>
      </c>
      <c r="G4174" s="92" t="n">
        <v>1201</v>
      </c>
      <c r="H4174" s="93" t="n">
        <v>143000</v>
      </c>
      <c r="I4174" s="92" t="inlineStr">
        <is>
          <t>7월 통신요금 - O텔레콤</t>
        </is>
      </c>
      <c r="J4174" s="92" t="inlineStr">
        <is>
          <t>V10002</t>
        </is>
      </c>
      <c r="K4174" s="92" t="inlineStr">
        <is>
          <t>O텔레콤</t>
        </is>
      </c>
      <c r="M4174" s="9">
        <f>IF($A4174="","",VALUE($A4174&amp;"")*12+VALUE($B4174&amp;""))</f>
        <v/>
      </c>
      <c r="N4174" s="64">
        <f>IF($A4174="","",IFERROR(INDEX(부서매핑!$C$5:$C$504,MATCH($G4174&amp;"",부서매핑!$A$5:$A$504,0)),"미매핑"))</f>
        <v/>
      </c>
      <c r="O4174" s="9">
        <f>IF($A4174="","",N4174&amp;"|"&amp;$F4174)</f>
        <v/>
      </c>
      <c r="P4174" s="94">
        <f>IF($A4174="",0,$H4174*설정!$C$23)</f>
        <v/>
      </c>
      <c r="Q4174" s="64">
        <f>IF($A4174="","",IF(O4174&lt;&gt;원인분석!$C$9,"",IF(AND(M4174&gt;=원인분석!$C$10,M4174&lt;=원인분석!$C$11),"당기",IF(AND(M4174&gt;=원인분석!$C$12,M4174&lt;=원인분석!$C$13),"비교",""))))</f>
        <v/>
      </c>
      <c r="R4174" s="9">
        <f>IF(Q4174="","",$K4174&amp;"")</f>
        <v/>
      </c>
      <c r="S4174" s="9">
        <f>IF(Q4174="","",IF(MATCH(R4174,$R$5:$R$100000,0)=ROW()-4,ROW(),""))</f>
        <v/>
      </c>
      <c r="T4174" s="9">
        <f>IF(Q4174="당기",ABS(P4174)+ROW()/1000000000,"")</f>
        <v/>
      </c>
      <c r="U4174" s="9">
        <f>IF(Q4174="비교",ABS(P4174)+ROW()/1000000000,"")</f>
        <v/>
      </c>
      <c r="V4174" s="64">
        <f>IF($A4174="","",IF(COUNTIF(변동분석!$E$7:$E$506,O4174)&gt;0,"Y","N"))</f>
        <v/>
      </c>
      <c r="W4174" s="64">
        <f>IF($A4174="","",IFERROR(INDEX(계정매핑!$D$5:$D$504,MATCH($F4174&amp;"",계정매핑!$A$5:$A$504,0)),"미매핑"))</f>
        <v/>
      </c>
      <c r="X4174" s="9">
        <f>IF($A4174="","",$F4174&amp;"")</f>
        <v/>
      </c>
      <c r="Y4174" s="94">
        <f>IF($A4174="",0,IF(AE4174="직접",IF(AF4174="비귀속",$P4174,0),$P4174*(1-AG4174)*IFERROR(INDEX(계정대체기준!$F$20:$F$49,MATCH($N4174,계정대체기준!$A$20:$A$49,0)),1)))</f>
        <v/>
      </c>
      <c r="Z4174" s="94">
        <f>IF($A4174="",0,IF(AE4174="직접",IF(AF4174="신계약비",$P4174,0),$P4174*(1-AG4174)*IFERROR(INDEX(계정대체기준!$C$20:$C$49,MATCH($N4174,계정대체기준!$A$20:$A$49,0)),0)))</f>
        <v/>
      </c>
      <c r="AA4174" s="94">
        <f>IF($A4174="",0,IF(AE4174="직접",IF(OR(AF4174="유지비",AF4174="손해조사비"),$P4174,0),$P4174*(1-AG4174)*IFERROR(INDEX(계정대체기준!$D$20:$D$49,MATCH($N4174,계정대체기준!$A$20:$A$49,0)),0)))</f>
        <v/>
      </c>
      <c r="AB4174" s="94">
        <f>IF($A4174="",0,IF(AE4174="직접",IF(AF4174="수금비",$P4174,0),$P4174*(1-AG4174)*IFERROR(INDEX(계정대체기준!$E$20:$E$49,MATCH($N4174,계정대체기준!$A$20:$A$49,0)),0)))</f>
        <v/>
      </c>
      <c r="AC4174" s="9">
        <f>IF(AND($A4174&lt;&gt;"",M4174=설정!$C$20,Z4174&gt;0),Z4174+ROW()/1000000000,"")</f>
        <v/>
      </c>
      <c r="AD4174" s="94">
        <f>IF($A4174="",0,$P4174*AG4174)</f>
        <v/>
      </c>
      <c r="AE4174" s="64">
        <f>IF($A4174="","",IFERROR(INDEX(계정매핑!$E$5:$E$504,MATCH($F4174&amp;"",계정매핑!$A$5:$A$504,0))&amp;"","공통비"))</f>
        <v/>
      </c>
      <c r="AF4174" s="64">
        <f>IF($A4174="","",IF(AE4174="직접",IFERROR(INDEX(계정매핑!$F$5:$F$504,MATCH($F4174&amp;"",계정매핑!$A$5:$A$504,0))&amp;"","비귀속"),""))</f>
        <v/>
      </c>
      <c r="AG4174" s="96">
        <f>IF($A4174="",0,IF(AND(AE4174&lt;&gt;"직접",IFERROR(INDEX(계정매핑!$G$5:$G$504,MATCH($F4174&amp;"",계정매핑!$A$5:$A$504,0))&amp;"","")="유지비",COUNTIF(계정대체기준!$A$6:$A$15,$N4174)&gt;0),IFERROR(INDEX(계정대체기준!$E$6:$E$15,MATCH(VALUE($A4174&amp;""),계정대체기준!$D$6:$D$15,0)),0),0))</f>
        <v/>
      </c>
      <c r="AH4174" s="64">
        <f>IF($A4174="","",IF(AD4174=0,"",IF(OR(COUNTIF(계정대체기준!$A$77:$A$86,$N4174)&gt;0,ISNUMBER(MATCH($X4174,계정대체기준!$D$77:$D$86,0)),ISNUMBER(MATCH($F4174,계정대체기준!$D$77:$D$86,0))),"Y","N")))</f>
        <v/>
      </c>
    </row>
    <row r="4175">
      <c r="A4175" s="92" t="n">
        <v>2026</v>
      </c>
      <c r="B4175" s="92" t="n">
        <v>7</v>
      </c>
      <c r="C4175" s="92" t="inlineStr">
        <is>
          <t>5100001453</t>
        </is>
      </c>
      <c r="D4175" s="95" t="n">
        <v>46214</v>
      </c>
      <c r="E4175" s="92" t="inlineStr">
        <is>
          <t>KR</t>
        </is>
      </c>
      <c r="F4175" s="92" t="n">
        <v>62201000</v>
      </c>
      <c r="G4175" s="92" t="n">
        <v>1502</v>
      </c>
      <c r="H4175" s="93" t="n">
        <v>366000</v>
      </c>
      <c r="I4175" s="92" t="inlineStr">
        <is>
          <t>7월 통신요금 - P통신</t>
        </is>
      </c>
      <c r="J4175" s="92" t="inlineStr">
        <is>
          <t>V10014</t>
        </is>
      </c>
      <c r="K4175" s="92" t="inlineStr">
        <is>
          <t>P통신</t>
        </is>
      </c>
      <c r="M4175" s="9">
        <f>IF($A4175="","",VALUE($A4175&amp;"")*12+VALUE($B4175&amp;""))</f>
        <v/>
      </c>
      <c r="N4175" s="64">
        <f>IF($A4175="","",IFERROR(INDEX(부서매핑!$C$5:$C$504,MATCH($G4175&amp;"",부서매핑!$A$5:$A$504,0)),"미매핑"))</f>
        <v/>
      </c>
      <c r="O4175" s="9">
        <f>IF($A4175="","",N4175&amp;"|"&amp;$F4175)</f>
        <v/>
      </c>
      <c r="P4175" s="94">
        <f>IF($A4175="",0,$H4175*설정!$C$23)</f>
        <v/>
      </c>
      <c r="Q4175" s="64">
        <f>IF($A4175="","",IF(O4175&lt;&gt;원인분석!$C$9,"",IF(AND(M4175&gt;=원인분석!$C$10,M4175&lt;=원인분석!$C$11),"당기",IF(AND(M4175&gt;=원인분석!$C$12,M4175&lt;=원인분석!$C$13),"비교",""))))</f>
        <v/>
      </c>
      <c r="R4175" s="9">
        <f>IF(Q4175="","",$K4175&amp;"")</f>
        <v/>
      </c>
      <c r="S4175" s="9">
        <f>IF(Q4175="","",IF(MATCH(R4175,$R$5:$R$100000,0)=ROW()-4,ROW(),""))</f>
        <v/>
      </c>
      <c r="T4175" s="9">
        <f>IF(Q4175="당기",ABS(P4175)+ROW()/1000000000,"")</f>
        <v/>
      </c>
      <c r="U4175" s="9">
        <f>IF(Q4175="비교",ABS(P4175)+ROW()/1000000000,"")</f>
        <v/>
      </c>
      <c r="V4175" s="64">
        <f>IF($A4175="","",IF(COUNTIF(변동분석!$E$7:$E$506,O4175)&gt;0,"Y","N"))</f>
        <v/>
      </c>
      <c r="W4175" s="64">
        <f>IF($A4175="","",IFERROR(INDEX(계정매핑!$D$5:$D$504,MATCH($F4175&amp;"",계정매핑!$A$5:$A$504,0)),"미매핑"))</f>
        <v/>
      </c>
      <c r="X4175" s="9">
        <f>IF($A4175="","",$F4175&amp;"")</f>
        <v/>
      </c>
      <c r="Y4175" s="94">
        <f>IF($A4175="",0,IF(AE4175="직접",IF(AF4175="비귀속",$P4175,0),$P4175*(1-AG4175)*IFERROR(INDEX(계정대체기준!$F$20:$F$49,MATCH($N4175,계정대체기준!$A$20:$A$49,0)),1)))</f>
        <v/>
      </c>
      <c r="Z4175" s="94">
        <f>IF($A4175="",0,IF(AE4175="직접",IF(AF4175="신계약비",$P4175,0),$P4175*(1-AG4175)*IFERROR(INDEX(계정대체기준!$C$20:$C$49,MATCH($N4175,계정대체기준!$A$20:$A$49,0)),0)))</f>
        <v/>
      </c>
      <c r="AA4175" s="94">
        <f>IF($A4175="",0,IF(AE4175="직접",IF(OR(AF4175="유지비",AF4175="손해조사비"),$P4175,0),$P4175*(1-AG4175)*IFERROR(INDEX(계정대체기준!$D$20:$D$49,MATCH($N4175,계정대체기준!$A$20:$A$49,0)),0)))</f>
        <v/>
      </c>
      <c r="AB4175" s="94">
        <f>IF($A4175="",0,IF(AE4175="직접",IF(AF4175="수금비",$P4175,0),$P4175*(1-AG4175)*IFERROR(INDEX(계정대체기준!$E$20:$E$49,MATCH($N4175,계정대체기준!$A$20:$A$49,0)),0)))</f>
        <v/>
      </c>
      <c r="AC4175" s="9">
        <f>IF(AND($A4175&lt;&gt;"",M4175=설정!$C$20,Z4175&gt;0),Z4175+ROW()/1000000000,"")</f>
        <v/>
      </c>
      <c r="AD4175" s="94">
        <f>IF($A4175="",0,$P4175*AG4175)</f>
        <v/>
      </c>
      <c r="AE4175" s="64">
        <f>IF($A4175="","",IFERROR(INDEX(계정매핑!$E$5:$E$504,MATCH($F4175&amp;"",계정매핑!$A$5:$A$504,0))&amp;"","공통비"))</f>
        <v/>
      </c>
      <c r="AF4175" s="64">
        <f>IF($A4175="","",IF(AE4175="직접",IFERROR(INDEX(계정매핑!$F$5:$F$504,MATCH($F4175&amp;"",계정매핑!$A$5:$A$504,0))&amp;"","비귀속"),""))</f>
        <v/>
      </c>
      <c r="AG4175" s="96">
        <f>IF($A4175="",0,IF(AND(AE4175&lt;&gt;"직접",IFERROR(INDEX(계정매핑!$G$5:$G$504,MATCH($F4175&amp;"",계정매핑!$A$5:$A$504,0))&amp;"","")="유지비",COUNTIF(계정대체기준!$A$6:$A$15,$N4175)&gt;0),IFERROR(INDEX(계정대체기준!$E$6:$E$15,MATCH(VALUE($A4175&amp;""),계정대체기준!$D$6:$D$15,0)),0),0))</f>
        <v/>
      </c>
      <c r="AH4175" s="64">
        <f>IF($A4175="","",IF(AD4175=0,"",IF(OR(COUNTIF(계정대체기준!$A$77:$A$86,$N4175)&gt;0,ISNUMBER(MATCH($X4175,계정대체기준!$D$77:$D$86,0)),ISNUMBER(MATCH($F4175,계정대체기준!$D$77:$D$86,0))),"Y","N")))</f>
        <v/>
      </c>
    </row>
    <row r="4176">
      <c r="A4176" s="92" t="n">
        <v>2026</v>
      </c>
      <c r="B4176" s="92" t="n">
        <v>7</v>
      </c>
      <c r="C4176" s="92" t="inlineStr">
        <is>
          <t>5100001454</t>
        </is>
      </c>
      <c r="D4176" s="95" t="n">
        <v>46214</v>
      </c>
      <c r="E4176" s="92" t="inlineStr">
        <is>
          <t>KR</t>
        </is>
      </c>
      <c r="F4176" s="92" t="n">
        <v>62301000</v>
      </c>
      <c r="G4176" s="92" t="n">
        <v>1501</v>
      </c>
      <c r="H4176" s="93" t="n">
        <v>241000</v>
      </c>
      <c r="I4176" s="92" t="inlineStr">
        <is>
          <t>7월 소모품 구입 - Q오피스</t>
        </is>
      </c>
      <c r="J4176" s="92" t="inlineStr">
        <is>
          <t>V10003</t>
        </is>
      </c>
      <c r="K4176" s="92" t="inlineStr">
        <is>
          <t>Q오피스</t>
        </is>
      </c>
      <c r="M4176" s="9">
        <f>IF($A4176="","",VALUE($A4176&amp;"")*12+VALUE($B4176&amp;""))</f>
        <v/>
      </c>
      <c r="N4176" s="64">
        <f>IF($A4176="","",IFERROR(INDEX(부서매핑!$C$5:$C$504,MATCH($G4176&amp;"",부서매핑!$A$5:$A$504,0)),"미매핑"))</f>
        <v/>
      </c>
      <c r="O4176" s="9">
        <f>IF($A4176="","",N4176&amp;"|"&amp;$F4176)</f>
        <v/>
      </c>
      <c r="P4176" s="94">
        <f>IF($A4176="",0,$H4176*설정!$C$23)</f>
        <v/>
      </c>
      <c r="Q4176" s="64">
        <f>IF($A4176="","",IF(O4176&lt;&gt;원인분석!$C$9,"",IF(AND(M4176&gt;=원인분석!$C$10,M4176&lt;=원인분석!$C$11),"당기",IF(AND(M4176&gt;=원인분석!$C$12,M4176&lt;=원인분석!$C$13),"비교",""))))</f>
        <v/>
      </c>
      <c r="R4176" s="9">
        <f>IF(Q4176="","",$K4176&amp;"")</f>
        <v/>
      </c>
      <c r="S4176" s="9">
        <f>IF(Q4176="","",IF(MATCH(R4176,$R$5:$R$100000,0)=ROW()-4,ROW(),""))</f>
        <v/>
      </c>
      <c r="T4176" s="9">
        <f>IF(Q4176="당기",ABS(P4176)+ROW()/1000000000,"")</f>
        <v/>
      </c>
      <c r="U4176" s="9">
        <f>IF(Q4176="비교",ABS(P4176)+ROW()/1000000000,"")</f>
        <v/>
      </c>
      <c r="V4176" s="64">
        <f>IF($A4176="","",IF(COUNTIF(변동분석!$E$7:$E$506,O4176)&gt;0,"Y","N"))</f>
        <v/>
      </c>
      <c r="W4176" s="64">
        <f>IF($A4176="","",IFERROR(INDEX(계정매핑!$D$5:$D$504,MATCH($F4176&amp;"",계정매핑!$A$5:$A$504,0)),"미매핑"))</f>
        <v/>
      </c>
      <c r="X4176" s="9">
        <f>IF($A4176="","",$F4176&amp;"")</f>
        <v/>
      </c>
      <c r="Y4176" s="94">
        <f>IF($A4176="",0,IF(AE4176="직접",IF(AF4176="비귀속",$P4176,0),$P4176*(1-AG4176)*IFERROR(INDEX(계정대체기준!$F$20:$F$49,MATCH($N4176,계정대체기준!$A$20:$A$49,0)),1)))</f>
        <v/>
      </c>
      <c r="Z4176" s="94">
        <f>IF($A4176="",0,IF(AE4176="직접",IF(AF4176="신계약비",$P4176,0),$P4176*(1-AG4176)*IFERROR(INDEX(계정대체기준!$C$20:$C$49,MATCH($N4176,계정대체기준!$A$20:$A$49,0)),0)))</f>
        <v/>
      </c>
      <c r="AA4176" s="94">
        <f>IF($A4176="",0,IF(AE4176="직접",IF(OR(AF4176="유지비",AF4176="손해조사비"),$P4176,0),$P4176*(1-AG4176)*IFERROR(INDEX(계정대체기준!$D$20:$D$49,MATCH($N4176,계정대체기준!$A$20:$A$49,0)),0)))</f>
        <v/>
      </c>
      <c r="AB4176" s="94">
        <f>IF($A4176="",0,IF(AE4176="직접",IF(AF4176="수금비",$P4176,0),$P4176*(1-AG4176)*IFERROR(INDEX(계정대체기준!$E$20:$E$49,MATCH($N4176,계정대체기준!$A$20:$A$49,0)),0)))</f>
        <v/>
      </c>
      <c r="AC4176" s="9">
        <f>IF(AND($A4176&lt;&gt;"",M4176=설정!$C$20,Z4176&gt;0),Z4176+ROW()/1000000000,"")</f>
        <v/>
      </c>
      <c r="AD4176" s="94">
        <f>IF($A4176="",0,$P4176*AG4176)</f>
        <v/>
      </c>
      <c r="AE4176" s="64">
        <f>IF($A4176="","",IFERROR(INDEX(계정매핑!$E$5:$E$504,MATCH($F4176&amp;"",계정매핑!$A$5:$A$504,0))&amp;"","공통비"))</f>
        <v/>
      </c>
      <c r="AF4176" s="64">
        <f>IF($A4176="","",IF(AE4176="직접",IFERROR(INDEX(계정매핑!$F$5:$F$504,MATCH($F4176&amp;"",계정매핑!$A$5:$A$504,0))&amp;"","비귀속"),""))</f>
        <v/>
      </c>
      <c r="AG4176" s="96">
        <f>IF($A4176="",0,IF(AND(AE4176&lt;&gt;"직접",IFERROR(INDEX(계정매핑!$G$5:$G$504,MATCH($F4176&amp;"",계정매핑!$A$5:$A$504,0))&amp;"","")="유지비",COUNTIF(계정대체기준!$A$6:$A$15,$N4176)&gt;0),IFERROR(INDEX(계정대체기준!$E$6:$E$15,MATCH(VALUE($A4176&amp;""),계정대체기준!$D$6:$D$15,0)),0),0))</f>
        <v/>
      </c>
      <c r="AH4176" s="64">
        <f>IF($A4176="","",IF(AD4176=0,"",IF(OR(COUNTIF(계정대체기준!$A$77:$A$86,$N4176)&gt;0,ISNUMBER(MATCH($X4176,계정대체기준!$D$77:$D$86,0)),ISNUMBER(MATCH($F4176,계정대체기준!$D$77:$D$86,0))),"Y","N")))</f>
        <v/>
      </c>
    </row>
    <row r="4177">
      <c r="A4177" s="92" t="n">
        <v>2026</v>
      </c>
      <c r="B4177" s="92" t="n">
        <v>7</v>
      </c>
      <c r="C4177" s="92" t="inlineStr">
        <is>
          <t>5100001455</t>
        </is>
      </c>
      <c r="D4177" s="95" t="n">
        <v>46214</v>
      </c>
      <c r="E4177" s="92" t="inlineStr">
        <is>
          <t>KR</t>
        </is>
      </c>
      <c r="F4177" s="92" t="n">
        <v>62501000</v>
      </c>
      <c r="G4177" s="92" t="n">
        <v>1502</v>
      </c>
      <c r="H4177" s="93" t="n">
        <v>285000</v>
      </c>
      <c r="I4177" s="92" t="inlineStr">
        <is>
          <t>7월 회의 다과 - (법인카드)</t>
        </is>
      </c>
      <c r="J4177" s="92" t="inlineStr">
        <is>
          <t>V10010</t>
        </is>
      </c>
      <c r="K4177" s="92" t="inlineStr">
        <is>
          <t>(법인카드)</t>
        </is>
      </c>
      <c r="M4177" s="9">
        <f>IF($A4177="","",VALUE($A4177&amp;"")*12+VALUE($B4177&amp;""))</f>
        <v/>
      </c>
      <c r="N4177" s="64">
        <f>IF($A4177="","",IFERROR(INDEX(부서매핑!$C$5:$C$504,MATCH($G4177&amp;"",부서매핑!$A$5:$A$504,0)),"미매핑"))</f>
        <v/>
      </c>
      <c r="O4177" s="9">
        <f>IF($A4177="","",N4177&amp;"|"&amp;$F4177)</f>
        <v/>
      </c>
      <c r="P4177" s="94">
        <f>IF($A4177="",0,$H4177*설정!$C$23)</f>
        <v/>
      </c>
      <c r="Q4177" s="64">
        <f>IF($A4177="","",IF(O4177&lt;&gt;원인분석!$C$9,"",IF(AND(M4177&gt;=원인분석!$C$10,M4177&lt;=원인분석!$C$11),"당기",IF(AND(M4177&gt;=원인분석!$C$12,M4177&lt;=원인분석!$C$13),"비교",""))))</f>
        <v/>
      </c>
      <c r="R4177" s="9">
        <f>IF(Q4177="","",$K4177&amp;"")</f>
        <v/>
      </c>
      <c r="S4177" s="9">
        <f>IF(Q4177="","",IF(MATCH(R4177,$R$5:$R$100000,0)=ROW()-4,ROW(),""))</f>
        <v/>
      </c>
      <c r="T4177" s="9">
        <f>IF(Q4177="당기",ABS(P4177)+ROW()/1000000000,"")</f>
        <v/>
      </c>
      <c r="U4177" s="9">
        <f>IF(Q4177="비교",ABS(P4177)+ROW()/1000000000,"")</f>
        <v/>
      </c>
      <c r="V4177" s="64">
        <f>IF($A4177="","",IF(COUNTIF(변동분석!$E$7:$E$506,O4177)&gt;0,"Y","N"))</f>
        <v/>
      </c>
      <c r="W4177" s="64">
        <f>IF($A4177="","",IFERROR(INDEX(계정매핑!$D$5:$D$504,MATCH($F4177&amp;"",계정매핑!$A$5:$A$504,0)),"미매핑"))</f>
        <v/>
      </c>
      <c r="X4177" s="9">
        <f>IF($A4177="","",$F4177&amp;"")</f>
        <v/>
      </c>
      <c r="Y4177" s="94">
        <f>IF($A4177="",0,IF(AE4177="직접",IF(AF4177="비귀속",$P4177,0),$P4177*(1-AG4177)*IFERROR(INDEX(계정대체기준!$F$20:$F$49,MATCH($N4177,계정대체기준!$A$20:$A$49,0)),1)))</f>
        <v/>
      </c>
      <c r="Z4177" s="94">
        <f>IF($A4177="",0,IF(AE4177="직접",IF(AF4177="신계약비",$P4177,0),$P4177*(1-AG4177)*IFERROR(INDEX(계정대체기준!$C$20:$C$49,MATCH($N4177,계정대체기준!$A$20:$A$49,0)),0)))</f>
        <v/>
      </c>
      <c r="AA4177" s="94">
        <f>IF($A4177="",0,IF(AE4177="직접",IF(OR(AF4177="유지비",AF4177="손해조사비"),$P4177,0),$P4177*(1-AG4177)*IFERROR(INDEX(계정대체기준!$D$20:$D$49,MATCH($N4177,계정대체기준!$A$20:$A$49,0)),0)))</f>
        <v/>
      </c>
      <c r="AB4177" s="94">
        <f>IF($A4177="",0,IF(AE4177="직접",IF(AF4177="수금비",$P4177,0),$P4177*(1-AG4177)*IFERROR(INDEX(계정대체기준!$E$20:$E$49,MATCH($N4177,계정대체기준!$A$20:$A$49,0)),0)))</f>
        <v/>
      </c>
      <c r="AC4177" s="9">
        <f>IF(AND($A4177&lt;&gt;"",M4177=설정!$C$20,Z4177&gt;0),Z4177+ROW()/1000000000,"")</f>
        <v/>
      </c>
      <c r="AD4177" s="94">
        <f>IF($A4177="",0,$P4177*AG4177)</f>
        <v/>
      </c>
      <c r="AE4177" s="64">
        <f>IF($A4177="","",IFERROR(INDEX(계정매핑!$E$5:$E$504,MATCH($F4177&amp;"",계정매핑!$A$5:$A$504,0))&amp;"","공통비"))</f>
        <v/>
      </c>
      <c r="AF4177" s="64">
        <f>IF($A4177="","",IF(AE4177="직접",IFERROR(INDEX(계정매핑!$F$5:$F$504,MATCH($F4177&amp;"",계정매핑!$A$5:$A$504,0))&amp;"","비귀속"),""))</f>
        <v/>
      </c>
      <c r="AG4177" s="96">
        <f>IF($A4177="",0,IF(AND(AE4177&lt;&gt;"직접",IFERROR(INDEX(계정매핑!$G$5:$G$504,MATCH($F4177&amp;"",계정매핑!$A$5:$A$504,0))&amp;"","")="유지비",COUNTIF(계정대체기준!$A$6:$A$15,$N4177)&gt;0),IFERROR(INDEX(계정대체기준!$E$6:$E$15,MATCH(VALUE($A4177&amp;""),계정대체기준!$D$6:$D$15,0)),0),0))</f>
        <v/>
      </c>
      <c r="AH4177" s="64">
        <f>IF($A4177="","",IF(AD4177=0,"",IF(OR(COUNTIF(계정대체기준!$A$77:$A$86,$N4177)&gt;0,ISNUMBER(MATCH($X4177,계정대체기준!$D$77:$D$86,0)),ISNUMBER(MATCH($F4177,계정대체기준!$D$77:$D$86,0))),"Y","N")))</f>
        <v/>
      </c>
    </row>
    <row r="4178">
      <c r="A4178" s="92" t="n">
        <v>2026</v>
      </c>
      <c r="B4178" s="92" t="n">
        <v>7</v>
      </c>
      <c r="C4178" s="92" t="inlineStr">
        <is>
          <t>5100001456</t>
        </is>
      </c>
      <c r="D4178" s="95" t="n">
        <v>46214</v>
      </c>
      <c r="E4178" s="92" t="inlineStr">
        <is>
          <t>KR</t>
        </is>
      </c>
      <c r="F4178" s="92" t="n">
        <v>62501000</v>
      </c>
      <c r="G4178" s="92" t="n">
        <v>1801</v>
      </c>
      <c r="H4178" s="93" t="n">
        <v>152000</v>
      </c>
      <c r="I4178" s="92" t="inlineStr">
        <is>
          <t>7월 회의 다과 - (법인카드)</t>
        </is>
      </c>
      <c r="J4178" s="92" t="inlineStr">
        <is>
          <t>V10010</t>
        </is>
      </c>
      <c r="K4178" s="92" t="inlineStr">
        <is>
          <t>(법인카드)</t>
        </is>
      </c>
      <c r="M4178" s="9">
        <f>IF($A4178="","",VALUE($A4178&amp;"")*12+VALUE($B4178&amp;""))</f>
        <v/>
      </c>
      <c r="N4178" s="64">
        <f>IF($A4178="","",IFERROR(INDEX(부서매핑!$C$5:$C$504,MATCH($G4178&amp;"",부서매핑!$A$5:$A$504,0)),"미매핑"))</f>
        <v/>
      </c>
      <c r="O4178" s="9">
        <f>IF($A4178="","",N4178&amp;"|"&amp;$F4178)</f>
        <v/>
      </c>
      <c r="P4178" s="94">
        <f>IF($A4178="",0,$H4178*설정!$C$23)</f>
        <v/>
      </c>
      <c r="Q4178" s="64">
        <f>IF($A4178="","",IF(O4178&lt;&gt;원인분석!$C$9,"",IF(AND(M4178&gt;=원인분석!$C$10,M4178&lt;=원인분석!$C$11),"당기",IF(AND(M4178&gt;=원인분석!$C$12,M4178&lt;=원인분석!$C$13),"비교",""))))</f>
        <v/>
      </c>
      <c r="R4178" s="9">
        <f>IF(Q4178="","",$K4178&amp;"")</f>
        <v/>
      </c>
      <c r="S4178" s="9">
        <f>IF(Q4178="","",IF(MATCH(R4178,$R$5:$R$100000,0)=ROW()-4,ROW(),""))</f>
        <v/>
      </c>
      <c r="T4178" s="9">
        <f>IF(Q4178="당기",ABS(P4178)+ROW()/1000000000,"")</f>
        <v/>
      </c>
      <c r="U4178" s="9">
        <f>IF(Q4178="비교",ABS(P4178)+ROW()/1000000000,"")</f>
        <v/>
      </c>
      <c r="V4178" s="64">
        <f>IF($A4178="","",IF(COUNTIF(변동분석!$E$7:$E$506,O4178)&gt;0,"Y","N"))</f>
        <v/>
      </c>
      <c r="W4178" s="64">
        <f>IF($A4178="","",IFERROR(INDEX(계정매핑!$D$5:$D$504,MATCH($F4178&amp;"",계정매핑!$A$5:$A$504,0)),"미매핑"))</f>
        <v/>
      </c>
      <c r="X4178" s="9">
        <f>IF($A4178="","",$F4178&amp;"")</f>
        <v/>
      </c>
      <c r="Y4178" s="94">
        <f>IF($A4178="",0,IF(AE4178="직접",IF(AF4178="비귀속",$P4178,0),$P4178*(1-AG4178)*IFERROR(INDEX(계정대체기준!$F$20:$F$49,MATCH($N4178,계정대체기준!$A$20:$A$49,0)),1)))</f>
        <v/>
      </c>
      <c r="Z4178" s="94">
        <f>IF($A4178="",0,IF(AE4178="직접",IF(AF4178="신계약비",$P4178,0),$P4178*(1-AG4178)*IFERROR(INDEX(계정대체기준!$C$20:$C$49,MATCH($N4178,계정대체기준!$A$20:$A$49,0)),0)))</f>
        <v/>
      </c>
      <c r="AA4178" s="94">
        <f>IF($A4178="",0,IF(AE4178="직접",IF(OR(AF4178="유지비",AF4178="손해조사비"),$P4178,0),$P4178*(1-AG4178)*IFERROR(INDEX(계정대체기준!$D$20:$D$49,MATCH($N4178,계정대체기준!$A$20:$A$49,0)),0)))</f>
        <v/>
      </c>
      <c r="AB4178" s="94">
        <f>IF($A4178="",0,IF(AE4178="직접",IF(AF4178="수금비",$P4178,0),$P4178*(1-AG4178)*IFERROR(INDEX(계정대체기준!$E$20:$E$49,MATCH($N4178,계정대체기준!$A$20:$A$49,0)),0)))</f>
        <v/>
      </c>
      <c r="AC4178" s="9">
        <f>IF(AND($A4178&lt;&gt;"",M4178=설정!$C$20,Z4178&gt;0),Z4178+ROW()/1000000000,"")</f>
        <v/>
      </c>
      <c r="AD4178" s="94">
        <f>IF($A4178="",0,$P4178*AG4178)</f>
        <v/>
      </c>
      <c r="AE4178" s="64">
        <f>IF($A4178="","",IFERROR(INDEX(계정매핑!$E$5:$E$504,MATCH($F4178&amp;"",계정매핑!$A$5:$A$504,0))&amp;"","공통비"))</f>
        <v/>
      </c>
      <c r="AF4178" s="64">
        <f>IF($A4178="","",IF(AE4178="직접",IFERROR(INDEX(계정매핑!$F$5:$F$504,MATCH($F4178&amp;"",계정매핑!$A$5:$A$504,0))&amp;"","비귀속"),""))</f>
        <v/>
      </c>
      <c r="AG4178" s="96">
        <f>IF($A4178="",0,IF(AND(AE4178&lt;&gt;"직접",IFERROR(INDEX(계정매핑!$G$5:$G$504,MATCH($F4178&amp;"",계정매핑!$A$5:$A$504,0))&amp;"","")="유지비",COUNTIF(계정대체기준!$A$6:$A$15,$N4178)&gt;0),IFERROR(INDEX(계정대체기준!$E$6:$E$15,MATCH(VALUE($A4178&amp;""),계정대체기준!$D$6:$D$15,0)),0),0))</f>
        <v/>
      </c>
      <c r="AH4178" s="64">
        <f>IF($A4178="","",IF(AD4178=0,"",IF(OR(COUNTIF(계정대체기준!$A$77:$A$86,$N4178)&gt;0,ISNUMBER(MATCH($X4178,계정대체기준!$D$77:$D$86,0)),ISNUMBER(MATCH($F4178,계정대체기준!$D$77:$D$86,0))),"Y","N")))</f>
        <v/>
      </c>
    </row>
    <row r="4179">
      <c r="A4179" s="92" t="n">
        <v>2026</v>
      </c>
      <c r="B4179" s="92" t="n">
        <v>7</v>
      </c>
      <c r="C4179" s="92" t="inlineStr">
        <is>
          <t>5100001457</t>
        </is>
      </c>
      <c r="D4179" s="95" t="n">
        <v>46214</v>
      </c>
      <c r="E4179" s="92" t="inlineStr">
        <is>
          <t>KR</t>
        </is>
      </c>
      <c r="F4179" s="92" t="n">
        <v>62902000</v>
      </c>
      <c r="G4179" s="92" t="n">
        <v>1401</v>
      </c>
      <c r="H4179" s="93" t="n">
        <v>1783000</v>
      </c>
      <c r="I4179" s="92" t="inlineStr">
        <is>
          <t>7월 업무 위탁 수수료 - X서비스</t>
        </is>
      </c>
      <c r="J4179" s="92" t="inlineStr">
        <is>
          <t>V10020</t>
        </is>
      </c>
      <c r="K4179" s="92" t="inlineStr">
        <is>
          <t>X서비스</t>
        </is>
      </c>
      <c r="M4179" s="9">
        <f>IF($A4179="","",VALUE($A4179&amp;"")*12+VALUE($B4179&amp;""))</f>
        <v/>
      </c>
      <c r="N4179" s="64">
        <f>IF($A4179="","",IFERROR(INDEX(부서매핑!$C$5:$C$504,MATCH($G4179&amp;"",부서매핑!$A$5:$A$504,0)),"미매핑"))</f>
        <v/>
      </c>
      <c r="O4179" s="9">
        <f>IF($A4179="","",N4179&amp;"|"&amp;$F4179)</f>
        <v/>
      </c>
      <c r="P4179" s="94">
        <f>IF($A4179="",0,$H4179*설정!$C$23)</f>
        <v/>
      </c>
      <c r="Q4179" s="64">
        <f>IF($A4179="","",IF(O4179&lt;&gt;원인분석!$C$9,"",IF(AND(M4179&gt;=원인분석!$C$10,M4179&lt;=원인분석!$C$11),"당기",IF(AND(M4179&gt;=원인분석!$C$12,M4179&lt;=원인분석!$C$13),"비교",""))))</f>
        <v/>
      </c>
      <c r="R4179" s="9">
        <f>IF(Q4179="","",$K4179&amp;"")</f>
        <v/>
      </c>
      <c r="S4179" s="9">
        <f>IF(Q4179="","",IF(MATCH(R4179,$R$5:$R$100000,0)=ROW()-4,ROW(),""))</f>
        <v/>
      </c>
      <c r="T4179" s="9">
        <f>IF(Q4179="당기",ABS(P4179)+ROW()/1000000000,"")</f>
        <v/>
      </c>
      <c r="U4179" s="9">
        <f>IF(Q4179="비교",ABS(P4179)+ROW()/1000000000,"")</f>
        <v/>
      </c>
      <c r="V4179" s="64">
        <f>IF($A4179="","",IF(COUNTIF(변동분석!$E$7:$E$506,O4179)&gt;0,"Y","N"))</f>
        <v/>
      </c>
      <c r="W4179" s="64">
        <f>IF($A4179="","",IFERROR(INDEX(계정매핑!$D$5:$D$504,MATCH($F4179&amp;"",계정매핑!$A$5:$A$504,0)),"미매핑"))</f>
        <v/>
      </c>
      <c r="X4179" s="9">
        <f>IF($A4179="","",$F4179&amp;"")</f>
        <v/>
      </c>
      <c r="Y4179" s="94">
        <f>IF($A4179="",0,IF(AE4179="직접",IF(AF4179="비귀속",$P4179,0),$P4179*(1-AG4179)*IFERROR(INDEX(계정대체기준!$F$20:$F$49,MATCH($N4179,계정대체기준!$A$20:$A$49,0)),1)))</f>
        <v/>
      </c>
      <c r="Z4179" s="94">
        <f>IF($A4179="",0,IF(AE4179="직접",IF(AF4179="신계약비",$P4179,0),$P4179*(1-AG4179)*IFERROR(INDEX(계정대체기준!$C$20:$C$49,MATCH($N4179,계정대체기준!$A$20:$A$49,0)),0)))</f>
        <v/>
      </c>
      <c r="AA4179" s="94">
        <f>IF($A4179="",0,IF(AE4179="직접",IF(OR(AF4179="유지비",AF4179="손해조사비"),$P4179,0),$P4179*(1-AG4179)*IFERROR(INDEX(계정대체기준!$D$20:$D$49,MATCH($N4179,계정대체기준!$A$20:$A$49,0)),0)))</f>
        <v/>
      </c>
      <c r="AB4179" s="94">
        <f>IF($A4179="",0,IF(AE4179="직접",IF(AF4179="수금비",$P4179,0),$P4179*(1-AG4179)*IFERROR(INDEX(계정대체기준!$E$20:$E$49,MATCH($N4179,계정대체기준!$A$20:$A$49,0)),0)))</f>
        <v/>
      </c>
      <c r="AC4179" s="9">
        <f>IF(AND($A4179&lt;&gt;"",M4179=설정!$C$20,Z4179&gt;0),Z4179+ROW()/1000000000,"")</f>
        <v/>
      </c>
      <c r="AD4179" s="94">
        <f>IF($A4179="",0,$P4179*AG4179)</f>
        <v/>
      </c>
      <c r="AE4179" s="64">
        <f>IF($A4179="","",IFERROR(INDEX(계정매핑!$E$5:$E$504,MATCH($F4179&amp;"",계정매핑!$A$5:$A$504,0))&amp;"","공통비"))</f>
        <v/>
      </c>
      <c r="AF4179" s="64">
        <f>IF($A4179="","",IF(AE4179="직접",IFERROR(INDEX(계정매핑!$F$5:$F$504,MATCH($F4179&amp;"",계정매핑!$A$5:$A$504,0))&amp;"","비귀속"),""))</f>
        <v/>
      </c>
      <c r="AG4179" s="96">
        <f>IF($A4179="",0,IF(AND(AE4179&lt;&gt;"직접",IFERROR(INDEX(계정매핑!$G$5:$G$504,MATCH($F4179&amp;"",계정매핑!$A$5:$A$504,0))&amp;"","")="유지비",COUNTIF(계정대체기준!$A$6:$A$15,$N4179)&gt;0),IFERROR(INDEX(계정대체기준!$E$6:$E$15,MATCH(VALUE($A4179&amp;""),계정대체기준!$D$6:$D$15,0)),0),0))</f>
        <v/>
      </c>
      <c r="AH4179" s="64">
        <f>IF($A4179="","",IF(AD4179=0,"",IF(OR(COUNTIF(계정대체기준!$A$77:$A$86,$N4179)&gt;0,ISNUMBER(MATCH($X4179,계정대체기준!$D$77:$D$86,0)),ISNUMBER(MATCH($F4179,계정대체기준!$D$77:$D$86,0))),"Y","N")))</f>
        <v/>
      </c>
    </row>
    <row r="4180">
      <c r="A4180" s="92" t="n">
        <v>2026</v>
      </c>
      <c r="B4180" s="92" t="n">
        <v>7</v>
      </c>
      <c r="C4180" s="92" t="inlineStr">
        <is>
          <t>5100001458</t>
        </is>
      </c>
      <c r="D4180" s="95" t="n">
        <v>46214</v>
      </c>
      <c r="E4180" s="92" t="inlineStr">
        <is>
          <t>KR</t>
        </is>
      </c>
      <c r="F4180" s="92" t="n">
        <v>63101000</v>
      </c>
      <c r="G4180" s="92" t="n">
        <v>1601</v>
      </c>
      <c r="H4180" s="93" t="n">
        <v>5308000</v>
      </c>
      <c r="I4180" s="92" t="inlineStr">
        <is>
          <t>7월 사무실 임차료 - BB부동산</t>
        </is>
      </c>
      <c r="J4180" s="92" t="inlineStr">
        <is>
          <t>V10028</t>
        </is>
      </c>
      <c r="K4180" s="92" t="inlineStr">
        <is>
          <t>BB부동산</t>
        </is>
      </c>
      <c r="M4180" s="9">
        <f>IF($A4180="","",VALUE($A4180&amp;"")*12+VALUE($B4180&amp;""))</f>
        <v/>
      </c>
      <c r="N4180" s="64">
        <f>IF($A4180="","",IFERROR(INDEX(부서매핑!$C$5:$C$504,MATCH($G4180&amp;"",부서매핑!$A$5:$A$504,0)),"미매핑"))</f>
        <v/>
      </c>
      <c r="O4180" s="9">
        <f>IF($A4180="","",N4180&amp;"|"&amp;$F4180)</f>
        <v/>
      </c>
      <c r="P4180" s="94">
        <f>IF($A4180="",0,$H4180*설정!$C$23)</f>
        <v/>
      </c>
      <c r="Q4180" s="64">
        <f>IF($A4180="","",IF(O4180&lt;&gt;원인분석!$C$9,"",IF(AND(M4180&gt;=원인분석!$C$10,M4180&lt;=원인분석!$C$11),"당기",IF(AND(M4180&gt;=원인분석!$C$12,M4180&lt;=원인분석!$C$13),"비교",""))))</f>
        <v/>
      </c>
      <c r="R4180" s="9">
        <f>IF(Q4180="","",$K4180&amp;"")</f>
        <v/>
      </c>
      <c r="S4180" s="9">
        <f>IF(Q4180="","",IF(MATCH(R4180,$R$5:$R$100000,0)=ROW()-4,ROW(),""))</f>
        <v/>
      </c>
      <c r="T4180" s="9">
        <f>IF(Q4180="당기",ABS(P4180)+ROW()/1000000000,"")</f>
        <v/>
      </c>
      <c r="U4180" s="9">
        <f>IF(Q4180="비교",ABS(P4180)+ROW()/1000000000,"")</f>
        <v/>
      </c>
      <c r="V4180" s="64">
        <f>IF($A4180="","",IF(COUNTIF(변동분석!$E$7:$E$506,O4180)&gt;0,"Y","N"))</f>
        <v/>
      </c>
      <c r="W4180" s="64">
        <f>IF($A4180="","",IFERROR(INDEX(계정매핑!$D$5:$D$504,MATCH($F4180&amp;"",계정매핑!$A$5:$A$504,0)),"미매핑"))</f>
        <v/>
      </c>
      <c r="X4180" s="9">
        <f>IF($A4180="","",$F4180&amp;"")</f>
        <v/>
      </c>
      <c r="Y4180" s="94">
        <f>IF($A4180="",0,IF(AE4180="직접",IF(AF4180="비귀속",$P4180,0),$P4180*(1-AG4180)*IFERROR(INDEX(계정대체기준!$F$20:$F$49,MATCH($N4180,계정대체기준!$A$20:$A$49,0)),1)))</f>
        <v/>
      </c>
      <c r="Z4180" s="94">
        <f>IF($A4180="",0,IF(AE4180="직접",IF(AF4180="신계약비",$P4180,0),$P4180*(1-AG4180)*IFERROR(INDEX(계정대체기준!$C$20:$C$49,MATCH($N4180,계정대체기준!$A$20:$A$49,0)),0)))</f>
        <v/>
      </c>
      <c r="AA4180" s="94">
        <f>IF($A4180="",0,IF(AE4180="직접",IF(OR(AF4180="유지비",AF4180="손해조사비"),$P4180,0),$P4180*(1-AG4180)*IFERROR(INDEX(계정대체기준!$D$20:$D$49,MATCH($N4180,계정대체기준!$A$20:$A$49,0)),0)))</f>
        <v/>
      </c>
      <c r="AB4180" s="94">
        <f>IF($A4180="",0,IF(AE4180="직접",IF(AF4180="수금비",$P4180,0),$P4180*(1-AG4180)*IFERROR(INDEX(계정대체기준!$E$20:$E$49,MATCH($N4180,계정대체기준!$A$20:$A$49,0)),0)))</f>
        <v/>
      </c>
      <c r="AC4180" s="9">
        <f>IF(AND($A4180&lt;&gt;"",M4180=설정!$C$20,Z4180&gt;0),Z4180+ROW()/1000000000,"")</f>
        <v/>
      </c>
      <c r="AD4180" s="94">
        <f>IF($A4180="",0,$P4180*AG4180)</f>
        <v/>
      </c>
      <c r="AE4180" s="64">
        <f>IF($A4180="","",IFERROR(INDEX(계정매핑!$E$5:$E$504,MATCH($F4180&amp;"",계정매핑!$A$5:$A$504,0))&amp;"","공통비"))</f>
        <v/>
      </c>
      <c r="AF4180" s="64">
        <f>IF($A4180="","",IF(AE4180="직접",IFERROR(INDEX(계정매핑!$F$5:$F$504,MATCH($F4180&amp;"",계정매핑!$A$5:$A$504,0))&amp;"","비귀속"),""))</f>
        <v/>
      </c>
      <c r="AG4180" s="96">
        <f>IF($A4180="",0,IF(AND(AE4180&lt;&gt;"직접",IFERROR(INDEX(계정매핑!$G$5:$G$504,MATCH($F4180&amp;"",계정매핑!$A$5:$A$504,0))&amp;"","")="유지비",COUNTIF(계정대체기준!$A$6:$A$15,$N4180)&gt;0),IFERROR(INDEX(계정대체기준!$E$6:$E$15,MATCH(VALUE($A4180&amp;""),계정대체기준!$D$6:$D$15,0)),0),0))</f>
        <v/>
      </c>
      <c r="AH4180" s="64">
        <f>IF($A4180="","",IF(AD4180=0,"",IF(OR(COUNTIF(계정대체기준!$A$77:$A$86,$N4180)&gt;0,ISNUMBER(MATCH($X4180,계정대체기준!$D$77:$D$86,0)),ISNUMBER(MATCH($F4180,계정대체기준!$D$77:$D$86,0))),"Y","N")))</f>
        <v/>
      </c>
    </row>
    <row r="4181">
      <c r="A4181" s="92" t="n">
        <v>2026</v>
      </c>
      <c r="B4181" s="92" t="n">
        <v>7</v>
      </c>
      <c r="C4181" s="92" t="inlineStr">
        <is>
          <t>5100001459</t>
        </is>
      </c>
      <c r="D4181" s="95" t="n">
        <v>46214</v>
      </c>
      <c r="E4181" s="92" t="inlineStr">
        <is>
          <t>KR</t>
        </is>
      </c>
      <c r="F4181" s="92" t="n">
        <v>63201000</v>
      </c>
      <c r="G4181" s="92" t="n">
        <v>1602</v>
      </c>
      <c r="H4181" s="93" t="n">
        <v>1913000</v>
      </c>
      <c r="I4181" s="92" t="inlineStr">
        <is>
          <t>7월 차량 유지 - H에너지</t>
        </is>
      </c>
      <c r="J4181" s="92" t="inlineStr">
        <is>
          <t>V10030</t>
        </is>
      </c>
      <c r="K4181" s="92" t="inlineStr">
        <is>
          <t>H에너지</t>
        </is>
      </c>
      <c r="M4181" s="9">
        <f>IF($A4181="","",VALUE($A4181&amp;"")*12+VALUE($B4181&amp;""))</f>
        <v/>
      </c>
      <c r="N4181" s="64">
        <f>IF($A4181="","",IFERROR(INDEX(부서매핑!$C$5:$C$504,MATCH($G4181&amp;"",부서매핑!$A$5:$A$504,0)),"미매핑"))</f>
        <v/>
      </c>
      <c r="O4181" s="9">
        <f>IF($A4181="","",N4181&amp;"|"&amp;$F4181)</f>
        <v/>
      </c>
      <c r="P4181" s="94">
        <f>IF($A4181="",0,$H4181*설정!$C$23)</f>
        <v/>
      </c>
      <c r="Q4181" s="64">
        <f>IF($A4181="","",IF(O4181&lt;&gt;원인분석!$C$9,"",IF(AND(M4181&gt;=원인분석!$C$10,M4181&lt;=원인분석!$C$11),"당기",IF(AND(M4181&gt;=원인분석!$C$12,M4181&lt;=원인분석!$C$13),"비교",""))))</f>
        <v/>
      </c>
      <c r="R4181" s="9">
        <f>IF(Q4181="","",$K4181&amp;"")</f>
        <v/>
      </c>
      <c r="S4181" s="9">
        <f>IF(Q4181="","",IF(MATCH(R4181,$R$5:$R$100000,0)=ROW()-4,ROW(),""))</f>
        <v/>
      </c>
      <c r="T4181" s="9">
        <f>IF(Q4181="당기",ABS(P4181)+ROW()/1000000000,"")</f>
        <v/>
      </c>
      <c r="U4181" s="9">
        <f>IF(Q4181="비교",ABS(P4181)+ROW()/1000000000,"")</f>
        <v/>
      </c>
      <c r="V4181" s="64">
        <f>IF($A4181="","",IF(COUNTIF(변동분석!$E$7:$E$506,O4181)&gt;0,"Y","N"))</f>
        <v/>
      </c>
      <c r="W4181" s="64">
        <f>IF($A4181="","",IFERROR(INDEX(계정매핑!$D$5:$D$504,MATCH($F4181&amp;"",계정매핑!$A$5:$A$504,0)),"미매핑"))</f>
        <v/>
      </c>
      <c r="X4181" s="9">
        <f>IF($A4181="","",$F4181&amp;"")</f>
        <v/>
      </c>
      <c r="Y4181" s="94">
        <f>IF($A4181="",0,IF(AE4181="직접",IF(AF4181="비귀속",$P4181,0),$P4181*(1-AG4181)*IFERROR(INDEX(계정대체기준!$F$20:$F$49,MATCH($N4181,계정대체기준!$A$20:$A$49,0)),1)))</f>
        <v/>
      </c>
      <c r="Z4181" s="94">
        <f>IF($A4181="",0,IF(AE4181="직접",IF(AF4181="신계약비",$P4181,0),$P4181*(1-AG4181)*IFERROR(INDEX(계정대체기준!$C$20:$C$49,MATCH($N4181,계정대체기준!$A$20:$A$49,0)),0)))</f>
        <v/>
      </c>
      <c r="AA4181" s="94">
        <f>IF($A4181="",0,IF(AE4181="직접",IF(OR(AF4181="유지비",AF4181="손해조사비"),$P4181,0),$P4181*(1-AG4181)*IFERROR(INDEX(계정대체기준!$D$20:$D$49,MATCH($N4181,계정대체기준!$A$20:$A$49,0)),0)))</f>
        <v/>
      </c>
      <c r="AB4181" s="94">
        <f>IF($A4181="",0,IF(AE4181="직접",IF(AF4181="수금비",$P4181,0),$P4181*(1-AG4181)*IFERROR(INDEX(계정대체기준!$E$20:$E$49,MATCH($N4181,계정대체기준!$A$20:$A$49,0)),0)))</f>
        <v/>
      </c>
      <c r="AC4181" s="9">
        <f>IF(AND($A4181&lt;&gt;"",M4181=설정!$C$20,Z4181&gt;0),Z4181+ROW()/1000000000,"")</f>
        <v/>
      </c>
      <c r="AD4181" s="94">
        <f>IF($A4181="",0,$P4181*AG4181)</f>
        <v/>
      </c>
      <c r="AE4181" s="64">
        <f>IF($A4181="","",IFERROR(INDEX(계정매핑!$E$5:$E$504,MATCH($F4181&amp;"",계정매핑!$A$5:$A$504,0))&amp;"","공통비"))</f>
        <v/>
      </c>
      <c r="AF4181" s="64">
        <f>IF($A4181="","",IF(AE4181="직접",IFERROR(INDEX(계정매핑!$F$5:$F$504,MATCH($F4181&amp;"",계정매핑!$A$5:$A$504,0))&amp;"","비귀속"),""))</f>
        <v/>
      </c>
      <c r="AG4181" s="96">
        <f>IF($A4181="",0,IF(AND(AE4181&lt;&gt;"직접",IFERROR(INDEX(계정매핑!$G$5:$G$504,MATCH($F4181&amp;"",계정매핑!$A$5:$A$504,0))&amp;"","")="유지비",COUNTIF(계정대체기준!$A$6:$A$15,$N4181)&gt;0),IFERROR(INDEX(계정대체기준!$E$6:$E$15,MATCH(VALUE($A4181&amp;""),계정대체기준!$D$6:$D$15,0)),0),0))</f>
        <v/>
      </c>
      <c r="AH4181" s="64">
        <f>IF($A4181="","",IF(AD4181=0,"",IF(OR(COUNTIF(계정대체기준!$A$77:$A$86,$N4181)&gt;0,ISNUMBER(MATCH($X4181,계정대체기준!$D$77:$D$86,0)),ISNUMBER(MATCH($F4181,계정대체기준!$D$77:$D$86,0))),"Y","N")))</f>
        <v/>
      </c>
    </row>
    <row r="4182">
      <c r="A4182" s="92" t="n">
        <v>2026</v>
      </c>
      <c r="B4182" s="92" t="n">
        <v>7</v>
      </c>
      <c r="C4182" s="92" t="inlineStr">
        <is>
          <t>5100001460</t>
        </is>
      </c>
      <c r="D4182" s="95" t="n">
        <v>46214</v>
      </c>
      <c r="E4182" s="92" t="inlineStr">
        <is>
          <t>KR</t>
        </is>
      </c>
      <c r="F4182" s="92" t="n">
        <v>63502000</v>
      </c>
      <c r="G4182" s="92" t="n">
        <v>1902</v>
      </c>
      <c r="H4182" s="93" t="n">
        <v>168074000</v>
      </c>
      <c r="I4182" s="92" t="inlineStr">
        <is>
          <t>7월 유지수수료 - (전속설계사)</t>
        </is>
      </c>
      <c r="J4182" s="92" t="inlineStr">
        <is>
          <t>V10021</t>
        </is>
      </c>
      <c r="K4182" s="92" t="inlineStr">
        <is>
          <t>(전속설계사)</t>
        </is>
      </c>
      <c r="M4182" s="9">
        <f>IF($A4182="","",VALUE($A4182&amp;"")*12+VALUE($B4182&amp;""))</f>
        <v/>
      </c>
      <c r="N4182" s="64">
        <f>IF($A4182="","",IFERROR(INDEX(부서매핑!$C$5:$C$504,MATCH($G4182&amp;"",부서매핑!$A$5:$A$504,0)),"미매핑"))</f>
        <v/>
      </c>
      <c r="O4182" s="9">
        <f>IF($A4182="","",N4182&amp;"|"&amp;$F4182)</f>
        <v/>
      </c>
      <c r="P4182" s="94">
        <f>IF($A4182="",0,$H4182*설정!$C$23)</f>
        <v/>
      </c>
      <c r="Q4182" s="64">
        <f>IF($A4182="","",IF(O4182&lt;&gt;원인분석!$C$9,"",IF(AND(M4182&gt;=원인분석!$C$10,M4182&lt;=원인분석!$C$11),"당기",IF(AND(M4182&gt;=원인분석!$C$12,M4182&lt;=원인분석!$C$13),"비교",""))))</f>
        <v/>
      </c>
      <c r="R4182" s="9">
        <f>IF(Q4182="","",$K4182&amp;"")</f>
        <v/>
      </c>
      <c r="S4182" s="9">
        <f>IF(Q4182="","",IF(MATCH(R4182,$R$5:$R$100000,0)=ROW()-4,ROW(),""))</f>
        <v/>
      </c>
      <c r="T4182" s="9">
        <f>IF(Q4182="당기",ABS(P4182)+ROW()/1000000000,"")</f>
        <v/>
      </c>
      <c r="U4182" s="9">
        <f>IF(Q4182="비교",ABS(P4182)+ROW()/1000000000,"")</f>
        <v/>
      </c>
      <c r="V4182" s="64">
        <f>IF($A4182="","",IF(COUNTIF(변동분석!$E$7:$E$506,O4182)&gt;0,"Y","N"))</f>
        <v/>
      </c>
      <c r="W4182" s="64">
        <f>IF($A4182="","",IFERROR(INDEX(계정매핑!$D$5:$D$504,MATCH($F4182&amp;"",계정매핑!$A$5:$A$504,0)),"미매핑"))</f>
        <v/>
      </c>
      <c r="X4182" s="9">
        <f>IF($A4182="","",$F4182&amp;"")</f>
        <v/>
      </c>
      <c r="Y4182" s="94">
        <f>IF($A4182="",0,IF(AE4182="직접",IF(AF4182="비귀속",$P4182,0),$P4182*(1-AG4182)*IFERROR(INDEX(계정대체기준!$F$20:$F$49,MATCH($N4182,계정대체기준!$A$20:$A$49,0)),1)))</f>
        <v/>
      </c>
      <c r="Z4182" s="94">
        <f>IF($A4182="",0,IF(AE4182="직접",IF(AF4182="신계약비",$P4182,0),$P4182*(1-AG4182)*IFERROR(INDEX(계정대체기준!$C$20:$C$49,MATCH($N4182,계정대체기준!$A$20:$A$49,0)),0)))</f>
        <v/>
      </c>
      <c r="AA4182" s="94">
        <f>IF($A4182="",0,IF(AE4182="직접",IF(OR(AF4182="유지비",AF4182="손해조사비"),$P4182,0),$P4182*(1-AG4182)*IFERROR(INDEX(계정대체기준!$D$20:$D$49,MATCH($N4182,계정대체기준!$A$20:$A$49,0)),0)))</f>
        <v/>
      </c>
      <c r="AB4182" s="94">
        <f>IF($A4182="",0,IF(AE4182="직접",IF(AF4182="수금비",$P4182,0),$P4182*(1-AG4182)*IFERROR(INDEX(계정대체기준!$E$20:$E$49,MATCH($N4182,계정대체기준!$A$20:$A$49,0)),0)))</f>
        <v/>
      </c>
      <c r="AC4182" s="9">
        <f>IF(AND($A4182&lt;&gt;"",M4182=설정!$C$20,Z4182&gt;0),Z4182+ROW()/1000000000,"")</f>
        <v/>
      </c>
      <c r="AD4182" s="94">
        <f>IF($A4182="",0,$P4182*AG4182)</f>
        <v/>
      </c>
      <c r="AE4182" s="64">
        <f>IF($A4182="","",IFERROR(INDEX(계정매핑!$E$5:$E$504,MATCH($F4182&amp;"",계정매핑!$A$5:$A$504,0))&amp;"","공통비"))</f>
        <v/>
      </c>
      <c r="AF4182" s="64">
        <f>IF($A4182="","",IF(AE4182="직접",IFERROR(INDEX(계정매핑!$F$5:$F$504,MATCH($F4182&amp;"",계정매핑!$A$5:$A$504,0))&amp;"","비귀속"),""))</f>
        <v/>
      </c>
      <c r="AG4182" s="96">
        <f>IF($A4182="",0,IF(AND(AE4182&lt;&gt;"직접",IFERROR(INDEX(계정매핑!$G$5:$G$504,MATCH($F4182&amp;"",계정매핑!$A$5:$A$504,0))&amp;"","")="유지비",COUNTIF(계정대체기준!$A$6:$A$15,$N4182)&gt;0),IFERROR(INDEX(계정대체기준!$E$6:$E$15,MATCH(VALUE($A4182&amp;""),계정대체기준!$D$6:$D$15,0)),0),0))</f>
        <v/>
      </c>
      <c r="AH4182" s="64">
        <f>IF($A4182="","",IF(AD4182=0,"",IF(OR(COUNTIF(계정대체기준!$A$77:$A$86,$N4182)&gt;0,ISNUMBER(MATCH($X4182,계정대체기준!$D$77:$D$86,0)),ISNUMBER(MATCH($F4182,계정대체기준!$D$77:$D$86,0))),"Y","N")))</f>
        <v/>
      </c>
    </row>
    <row r="4183">
      <c r="A4183" s="92" t="n">
        <v>2026</v>
      </c>
      <c r="B4183" s="92" t="n">
        <v>7</v>
      </c>
      <c r="C4183" s="92" t="inlineStr">
        <is>
          <t>5100001461</t>
        </is>
      </c>
      <c r="D4183" s="95" t="n">
        <v>46215</v>
      </c>
      <c r="E4183" s="92" t="inlineStr">
        <is>
          <t>KR</t>
        </is>
      </c>
      <c r="F4183" s="92" t="n">
        <v>62101000</v>
      </c>
      <c r="G4183" s="92" t="n">
        <v>1301</v>
      </c>
      <c r="H4183" s="93" t="n">
        <v>278000</v>
      </c>
      <c r="I4183" s="92" t="inlineStr">
        <is>
          <t>7월 국내출장 - M항공</t>
        </is>
      </c>
      <c r="J4183" s="92" t="inlineStr">
        <is>
          <t>V10001</t>
        </is>
      </c>
      <c r="K4183" s="92" t="inlineStr">
        <is>
          <t>M항공</t>
        </is>
      </c>
      <c r="M4183" s="9">
        <f>IF($A4183="","",VALUE($A4183&amp;"")*12+VALUE($B4183&amp;""))</f>
        <v/>
      </c>
      <c r="N4183" s="64">
        <f>IF($A4183="","",IFERROR(INDEX(부서매핑!$C$5:$C$504,MATCH($G4183&amp;"",부서매핑!$A$5:$A$504,0)),"미매핑"))</f>
        <v/>
      </c>
      <c r="O4183" s="9">
        <f>IF($A4183="","",N4183&amp;"|"&amp;$F4183)</f>
        <v/>
      </c>
      <c r="P4183" s="94">
        <f>IF($A4183="",0,$H4183*설정!$C$23)</f>
        <v/>
      </c>
      <c r="Q4183" s="64">
        <f>IF($A4183="","",IF(O4183&lt;&gt;원인분석!$C$9,"",IF(AND(M4183&gt;=원인분석!$C$10,M4183&lt;=원인분석!$C$11),"당기",IF(AND(M4183&gt;=원인분석!$C$12,M4183&lt;=원인분석!$C$13),"비교",""))))</f>
        <v/>
      </c>
      <c r="R4183" s="9">
        <f>IF(Q4183="","",$K4183&amp;"")</f>
        <v/>
      </c>
      <c r="S4183" s="9">
        <f>IF(Q4183="","",IF(MATCH(R4183,$R$5:$R$100000,0)=ROW()-4,ROW(),""))</f>
        <v/>
      </c>
      <c r="T4183" s="9">
        <f>IF(Q4183="당기",ABS(P4183)+ROW()/1000000000,"")</f>
        <v/>
      </c>
      <c r="U4183" s="9">
        <f>IF(Q4183="비교",ABS(P4183)+ROW()/1000000000,"")</f>
        <v/>
      </c>
      <c r="V4183" s="64">
        <f>IF($A4183="","",IF(COUNTIF(변동분석!$E$7:$E$506,O4183)&gt;0,"Y","N"))</f>
        <v/>
      </c>
      <c r="W4183" s="64">
        <f>IF($A4183="","",IFERROR(INDEX(계정매핑!$D$5:$D$504,MATCH($F4183&amp;"",계정매핑!$A$5:$A$504,0)),"미매핑"))</f>
        <v/>
      </c>
      <c r="X4183" s="9">
        <f>IF($A4183="","",$F4183&amp;"")</f>
        <v/>
      </c>
      <c r="Y4183" s="94">
        <f>IF($A4183="",0,IF(AE4183="직접",IF(AF4183="비귀속",$P4183,0),$P4183*(1-AG4183)*IFERROR(INDEX(계정대체기준!$F$20:$F$49,MATCH($N4183,계정대체기준!$A$20:$A$49,0)),1)))</f>
        <v/>
      </c>
      <c r="Z4183" s="94">
        <f>IF($A4183="",0,IF(AE4183="직접",IF(AF4183="신계약비",$P4183,0),$P4183*(1-AG4183)*IFERROR(INDEX(계정대체기준!$C$20:$C$49,MATCH($N4183,계정대체기준!$A$20:$A$49,0)),0)))</f>
        <v/>
      </c>
      <c r="AA4183" s="94">
        <f>IF($A4183="",0,IF(AE4183="직접",IF(OR(AF4183="유지비",AF4183="손해조사비"),$P4183,0),$P4183*(1-AG4183)*IFERROR(INDEX(계정대체기준!$D$20:$D$49,MATCH($N4183,계정대체기준!$A$20:$A$49,0)),0)))</f>
        <v/>
      </c>
      <c r="AB4183" s="94">
        <f>IF($A4183="",0,IF(AE4183="직접",IF(AF4183="수금비",$P4183,0),$P4183*(1-AG4183)*IFERROR(INDEX(계정대체기준!$E$20:$E$49,MATCH($N4183,계정대체기준!$A$20:$A$49,0)),0)))</f>
        <v/>
      </c>
      <c r="AC4183" s="9">
        <f>IF(AND($A4183&lt;&gt;"",M4183=설정!$C$20,Z4183&gt;0),Z4183+ROW()/1000000000,"")</f>
        <v/>
      </c>
      <c r="AD4183" s="94">
        <f>IF($A4183="",0,$P4183*AG4183)</f>
        <v/>
      </c>
      <c r="AE4183" s="64">
        <f>IF($A4183="","",IFERROR(INDEX(계정매핑!$E$5:$E$504,MATCH($F4183&amp;"",계정매핑!$A$5:$A$504,0))&amp;"","공통비"))</f>
        <v/>
      </c>
      <c r="AF4183" s="64">
        <f>IF($A4183="","",IF(AE4183="직접",IFERROR(INDEX(계정매핑!$F$5:$F$504,MATCH($F4183&amp;"",계정매핑!$A$5:$A$504,0))&amp;"","비귀속"),""))</f>
        <v/>
      </c>
      <c r="AG4183" s="96">
        <f>IF($A4183="",0,IF(AND(AE4183&lt;&gt;"직접",IFERROR(INDEX(계정매핑!$G$5:$G$504,MATCH($F4183&amp;"",계정매핑!$A$5:$A$504,0))&amp;"","")="유지비",COUNTIF(계정대체기준!$A$6:$A$15,$N4183)&gt;0),IFERROR(INDEX(계정대체기준!$E$6:$E$15,MATCH(VALUE($A4183&amp;""),계정대체기준!$D$6:$D$15,0)),0),0))</f>
        <v/>
      </c>
      <c r="AH4183" s="64">
        <f>IF($A4183="","",IF(AD4183=0,"",IF(OR(COUNTIF(계정대체기준!$A$77:$A$86,$N4183)&gt;0,ISNUMBER(MATCH($X4183,계정대체기준!$D$77:$D$86,0)),ISNUMBER(MATCH($F4183,계정대체기준!$D$77:$D$86,0))),"Y","N")))</f>
        <v/>
      </c>
    </row>
    <row r="4184">
      <c r="A4184" s="92" t="n">
        <v>2026</v>
      </c>
      <c r="B4184" s="92" t="n">
        <v>7</v>
      </c>
      <c r="C4184" s="92" t="inlineStr">
        <is>
          <t>5100001462</t>
        </is>
      </c>
      <c r="D4184" s="95" t="n">
        <v>46215</v>
      </c>
      <c r="E4184" s="92" t="inlineStr">
        <is>
          <t>KR</t>
        </is>
      </c>
      <c r="F4184" s="92" t="n">
        <v>62201000</v>
      </c>
      <c r="G4184" s="92" t="n">
        <v>1301</v>
      </c>
      <c r="H4184" s="93" t="n">
        <v>150000</v>
      </c>
      <c r="I4184" s="92" t="inlineStr">
        <is>
          <t>7월 통신요금 - O텔레콤</t>
        </is>
      </c>
      <c r="J4184" s="92" t="inlineStr">
        <is>
          <t>V10002</t>
        </is>
      </c>
      <c r="K4184" s="92" t="inlineStr">
        <is>
          <t>O텔레콤</t>
        </is>
      </c>
      <c r="M4184" s="9">
        <f>IF($A4184="","",VALUE($A4184&amp;"")*12+VALUE($B4184&amp;""))</f>
        <v/>
      </c>
      <c r="N4184" s="64">
        <f>IF($A4184="","",IFERROR(INDEX(부서매핑!$C$5:$C$504,MATCH($G4184&amp;"",부서매핑!$A$5:$A$504,0)),"미매핑"))</f>
        <v/>
      </c>
      <c r="O4184" s="9">
        <f>IF($A4184="","",N4184&amp;"|"&amp;$F4184)</f>
        <v/>
      </c>
      <c r="P4184" s="94">
        <f>IF($A4184="",0,$H4184*설정!$C$23)</f>
        <v/>
      </c>
      <c r="Q4184" s="64">
        <f>IF($A4184="","",IF(O4184&lt;&gt;원인분석!$C$9,"",IF(AND(M4184&gt;=원인분석!$C$10,M4184&lt;=원인분석!$C$11),"당기",IF(AND(M4184&gt;=원인분석!$C$12,M4184&lt;=원인분석!$C$13),"비교",""))))</f>
        <v/>
      </c>
      <c r="R4184" s="9">
        <f>IF(Q4184="","",$K4184&amp;"")</f>
        <v/>
      </c>
      <c r="S4184" s="9">
        <f>IF(Q4184="","",IF(MATCH(R4184,$R$5:$R$100000,0)=ROW()-4,ROW(),""))</f>
        <v/>
      </c>
      <c r="T4184" s="9">
        <f>IF(Q4184="당기",ABS(P4184)+ROW()/1000000000,"")</f>
        <v/>
      </c>
      <c r="U4184" s="9">
        <f>IF(Q4184="비교",ABS(P4184)+ROW()/1000000000,"")</f>
        <v/>
      </c>
      <c r="V4184" s="64">
        <f>IF($A4184="","",IF(COUNTIF(변동분석!$E$7:$E$506,O4184)&gt;0,"Y","N"))</f>
        <v/>
      </c>
      <c r="W4184" s="64">
        <f>IF($A4184="","",IFERROR(INDEX(계정매핑!$D$5:$D$504,MATCH($F4184&amp;"",계정매핑!$A$5:$A$504,0)),"미매핑"))</f>
        <v/>
      </c>
      <c r="X4184" s="9">
        <f>IF($A4184="","",$F4184&amp;"")</f>
        <v/>
      </c>
      <c r="Y4184" s="94">
        <f>IF($A4184="",0,IF(AE4184="직접",IF(AF4184="비귀속",$P4184,0),$P4184*(1-AG4184)*IFERROR(INDEX(계정대체기준!$F$20:$F$49,MATCH($N4184,계정대체기준!$A$20:$A$49,0)),1)))</f>
        <v/>
      </c>
      <c r="Z4184" s="94">
        <f>IF($A4184="",0,IF(AE4184="직접",IF(AF4184="신계약비",$P4184,0),$P4184*(1-AG4184)*IFERROR(INDEX(계정대체기준!$C$20:$C$49,MATCH($N4184,계정대체기준!$A$20:$A$49,0)),0)))</f>
        <v/>
      </c>
      <c r="AA4184" s="94">
        <f>IF($A4184="",0,IF(AE4184="직접",IF(OR(AF4184="유지비",AF4184="손해조사비"),$P4184,0),$P4184*(1-AG4184)*IFERROR(INDEX(계정대체기준!$D$20:$D$49,MATCH($N4184,계정대체기준!$A$20:$A$49,0)),0)))</f>
        <v/>
      </c>
      <c r="AB4184" s="94">
        <f>IF($A4184="",0,IF(AE4184="직접",IF(AF4184="수금비",$P4184,0),$P4184*(1-AG4184)*IFERROR(INDEX(계정대체기준!$E$20:$E$49,MATCH($N4184,계정대체기준!$A$20:$A$49,0)),0)))</f>
        <v/>
      </c>
      <c r="AC4184" s="9">
        <f>IF(AND($A4184&lt;&gt;"",M4184=설정!$C$20,Z4184&gt;0),Z4184+ROW()/1000000000,"")</f>
        <v/>
      </c>
      <c r="AD4184" s="94">
        <f>IF($A4184="",0,$P4184*AG4184)</f>
        <v/>
      </c>
      <c r="AE4184" s="64">
        <f>IF($A4184="","",IFERROR(INDEX(계정매핑!$E$5:$E$504,MATCH($F4184&amp;"",계정매핑!$A$5:$A$504,0))&amp;"","공통비"))</f>
        <v/>
      </c>
      <c r="AF4184" s="64">
        <f>IF($A4184="","",IF(AE4184="직접",IFERROR(INDEX(계정매핑!$F$5:$F$504,MATCH($F4184&amp;"",계정매핑!$A$5:$A$504,0))&amp;"","비귀속"),""))</f>
        <v/>
      </c>
      <c r="AG4184" s="96">
        <f>IF($A4184="",0,IF(AND(AE4184&lt;&gt;"직접",IFERROR(INDEX(계정매핑!$G$5:$G$504,MATCH($F4184&amp;"",계정매핑!$A$5:$A$504,0))&amp;"","")="유지비",COUNTIF(계정대체기준!$A$6:$A$15,$N4184)&gt;0),IFERROR(INDEX(계정대체기준!$E$6:$E$15,MATCH(VALUE($A4184&amp;""),계정대체기준!$D$6:$D$15,0)),0),0))</f>
        <v/>
      </c>
      <c r="AH4184" s="64">
        <f>IF($A4184="","",IF(AD4184=0,"",IF(OR(COUNTIF(계정대체기준!$A$77:$A$86,$N4184)&gt;0,ISNUMBER(MATCH($X4184,계정대체기준!$D$77:$D$86,0)),ISNUMBER(MATCH($F4184,계정대체기준!$D$77:$D$86,0))),"Y","N")))</f>
        <v/>
      </c>
    </row>
    <row r="4185">
      <c r="A4185" s="92" t="n">
        <v>2026</v>
      </c>
      <c r="B4185" s="92" t="n">
        <v>7</v>
      </c>
      <c r="C4185" s="92" t="inlineStr">
        <is>
          <t>5100001463</t>
        </is>
      </c>
      <c r="D4185" s="95" t="n">
        <v>46215</v>
      </c>
      <c r="E4185" s="92" t="inlineStr">
        <is>
          <t>KR</t>
        </is>
      </c>
      <c r="F4185" s="92" t="n">
        <v>62401000</v>
      </c>
      <c r="G4185" s="92" t="n">
        <v>1401</v>
      </c>
      <c r="H4185" s="93" t="n">
        <v>242000</v>
      </c>
      <c r="I4185" s="92" t="inlineStr">
        <is>
          <t>7월 인쇄물 제작 - S출판</t>
        </is>
      </c>
      <c r="J4185" s="92" t="inlineStr">
        <is>
          <t>V10015</t>
        </is>
      </c>
      <c r="K4185" s="92" t="inlineStr">
        <is>
          <t>S출판</t>
        </is>
      </c>
      <c r="M4185" s="9">
        <f>IF($A4185="","",VALUE($A4185&amp;"")*12+VALUE($B4185&amp;""))</f>
        <v/>
      </c>
      <c r="N4185" s="64">
        <f>IF($A4185="","",IFERROR(INDEX(부서매핑!$C$5:$C$504,MATCH($G4185&amp;"",부서매핑!$A$5:$A$504,0)),"미매핑"))</f>
        <v/>
      </c>
      <c r="O4185" s="9">
        <f>IF($A4185="","",N4185&amp;"|"&amp;$F4185)</f>
        <v/>
      </c>
      <c r="P4185" s="94">
        <f>IF($A4185="",0,$H4185*설정!$C$23)</f>
        <v/>
      </c>
      <c r="Q4185" s="64">
        <f>IF($A4185="","",IF(O4185&lt;&gt;원인분석!$C$9,"",IF(AND(M4185&gt;=원인분석!$C$10,M4185&lt;=원인분석!$C$11),"당기",IF(AND(M4185&gt;=원인분석!$C$12,M4185&lt;=원인분석!$C$13),"비교",""))))</f>
        <v/>
      </c>
      <c r="R4185" s="9">
        <f>IF(Q4185="","",$K4185&amp;"")</f>
        <v/>
      </c>
      <c r="S4185" s="9">
        <f>IF(Q4185="","",IF(MATCH(R4185,$R$5:$R$100000,0)=ROW()-4,ROW(),""))</f>
        <v/>
      </c>
      <c r="T4185" s="9">
        <f>IF(Q4185="당기",ABS(P4185)+ROW()/1000000000,"")</f>
        <v/>
      </c>
      <c r="U4185" s="9">
        <f>IF(Q4185="비교",ABS(P4185)+ROW()/1000000000,"")</f>
        <v/>
      </c>
      <c r="V4185" s="64">
        <f>IF($A4185="","",IF(COUNTIF(변동분석!$E$7:$E$506,O4185)&gt;0,"Y","N"))</f>
        <v/>
      </c>
      <c r="W4185" s="64">
        <f>IF($A4185="","",IFERROR(INDEX(계정매핑!$D$5:$D$504,MATCH($F4185&amp;"",계정매핑!$A$5:$A$504,0)),"미매핑"))</f>
        <v/>
      </c>
      <c r="X4185" s="9">
        <f>IF($A4185="","",$F4185&amp;"")</f>
        <v/>
      </c>
      <c r="Y4185" s="94">
        <f>IF($A4185="",0,IF(AE4185="직접",IF(AF4185="비귀속",$P4185,0),$P4185*(1-AG4185)*IFERROR(INDEX(계정대체기준!$F$20:$F$49,MATCH($N4185,계정대체기준!$A$20:$A$49,0)),1)))</f>
        <v/>
      </c>
      <c r="Z4185" s="94">
        <f>IF($A4185="",0,IF(AE4185="직접",IF(AF4185="신계약비",$P4185,0),$P4185*(1-AG4185)*IFERROR(INDEX(계정대체기준!$C$20:$C$49,MATCH($N4185,계정대체기준!$A$20:$A$49,0)),0)))</f>
        <v/>
      </c>
      <c r="AA4185" s="94">
        <f>IF($A4185="",0,IF(AE4185="직접",IF(OR(AF4185="유지비",AF4185="손해조사비"),$P4185,0),$P4185*(1-AG4185)*IFERROR(INDEX(계정대체기준!$D$20:$D$49,MATCH($N4185,계정대체기준!$A$20:$A$49,0)),0)))</f>
        <v/>
      </c>
      <c r="AB4185" s="94">
        <f>IF($A4185="",0,IF(AE4185="직접",IF(AF4185="수금비",$P4185,0),$P4185*(1-AG4185)*IFERROR(INDEX(계정대체기준!$E$20:$E$49,MATCH($N4185,계정대체기준!$A$20:$A$49,0)),0)))</f>
        <v/>
      </c>
      <c r="AC4185" s="9">
        <f>IF(AND($A4185&lt;&gt;"",M4185=설정!$C$20,Z4185&gt;0),Z4185+ROW()/1000000000,"")</f>
        <v/>
      </c>
      <c r="AD4185" s="94">
        <f>IF($A4185="",0,$P4185*AG4185)</f>
        <v/>
      </c>
      <c r="AE4185" s="64">
        <f>IF($A4185="","",IFERROR(INDEX(계정매핑!$E$5:$E$504,MATCH($F4185&amp;"",계정매핑!$A$5:$A$504,0))&amp;"","공통비"))</f>
        <v/>
      </c>
      <c r="AF4185" s="64">
        <f>IF($A4185="","",IF(AE4185="직접",IFERROR(INDEX(계정매핑!$F$5:$F$504,MATCH($F4185&amp;"",계정매핑!$A$5:$A$504,0))&amp;"","비귀속"),""))</f>
        <v/>
      </c>
      <c r="AG4185" s="96">
        <f>IF($A4185="",0,IF(AND(AE4185&lt;&gt;"직접",IFERROR(INDEX(계정매핑!$G$5:$G$504,MATCH($F4185&amp;"",계정매핑!$A$5:$A$504,0))&amp;"","")="유지비",COUNTIF(계정대체기준!$A$6:$A$15,$N4185)&gt;0),IFERROR(INDEX(계정대체기준!$E$6:$E$15,MATCH(VALUE($A4185&amp;""),계정대체기준!$D$6:$D$15,0)),0),0))</f>
        <v/>
      </c>
      <c r="AH4185" s="64">
        <f>IF($A4185="","",IF(AD4185=0,"",IF(OR(COUNTIF(계정대체기준!$A$77:$A$86,$N4185)&gt;0,ISNUMBER(MATCH($X4185,계정대체기준!$D$77:$D$86,0)),ISNUMBER(MATCH($F4185,계정대체기준!$D$77:$D$86,0))),"Y","N")))</f>
        <v/>
      </c>
    </row>
    <row r="4186">
      <c r="A4186" s="92" t="n">
        <v>2026</v>
      </c>
      <c r="B4186" s="92" t="n">
        <v>7</v>
      </c>
      <c r="C4186" s="92" t="inlineStr">
        <is>
          <t>5100001464</t>
        </is>
      </c>
      <c r="D4186" s="95" t="n">
        <v>46215</v>
      </c>
      <c r="E4186" s="92" t="inlineStr">
        <is>
          <t>KR</t>
        </is>
      </c>
      <c r="F4186" s="92" t="n">
        <v>62901000</v>
      </c>
      <c r="G4186" s="92" t="n">
        <v>1951</v>
      </c>
      <c r="H4186" s="93" t="n">
        <v>5423000</v>
      </c>
      <c r="I4186" s="92" t="inlineStr">
        <is>
          <t>7월 자문 수수료 - K회계법인</t>
        </is>
      </c>
      <c r="J4186" s="92" t="inlineStr">
        <is>
          <t>V10011</t>
        </is>
      </c>
      <c r="K4186" s="92" t="inlineStr">
        <is>
          <t>K회계법인</t>
        </is>
      </c>
      <c r="M4186" s="9">
        <f>IF($A4186="","",VALUE($A4186&amp;"")*12+VALUE($B4186&amp;""))</f>
        <v/>
      </c>
      <c r="N4186" s="64">
        <f>IF($A4186="","",IFERROR(INDEX(부서매핑!$C$5:$C$504,MATCH($G4186&amp;"",부서매핑!$A$5:$A$504,0)),"미매핑"))</f>
        <v/>
      </c>
      <c r="O4186" s="9">
        <f>IF($A4186="","",N4186&amp;"|"&amp;$F4186)</f>
        <v/>
      </c>
      <c r="P4186" s="94">
        <f>IF($A4186="",0,$H4186*설정!$C$23)</f>
        <v/>
      </c>
      <c r="Q4186" s="64">
        <f>IF($A4186="","",IF(O4186&lt;&gt;원인분석!$C$9,"",IF(AND(M4186&gt;=원인분석!$C$10,M4186&lt;=원인분석!$C$11),"당기",IF(AND(M4186&gt;=원인분석!$C$12,M4186&lt;=원인분석!$C$13),"비교",""))))</f>
        <v/>
      </c>
      <c r="R4186" s="9">
        <f>IF(Q4186="","",$K4186&amp;"")</f>
        <v/>
      </c>
      <c r="S4186" s="9">
        <f>IF(Q4186="","",IF(MATCH(R4186,$R$5:$R$100000,0)=ROW()-4,ROW(),""))</f>
        <v/>
      </c>
      <c r="T4186" s="9">
        <f>IF(Q4186="당기",ABS(P4186)+ROW()/1000000000,"")</f>
        <v/>
      </c>
      <c r="U4186" s="9">
        <f>IF(Q4186="비교",ABS(P4186)+ROW()/1000000000,"")</f>
        <v/>
      </c>
      <c r="V4186" s="64">
        <f>IF($A4186="","",IF(COUNTIF(변동분석!$E$7:$E$506,O4186)&gt;0,"Y","N"))</f>
        <v/>
      </c>
      <c r="W4186" s="64">
        <f>IF($A4186="","",IFERROR(INDEX(계정매핑!$D$5:$D$504,MATCH($F4186&amp;"",계정매핑!$A$5:$A$504,0)),"미매핑"))</f>
        <v/>
      </c>
      <c r="X4186" s="9">
        <f>IF($A4186="","",$F4186&amp;"")</f>
        <v/>
      </c>
      <c r="Y4186" s="94">
        <f>IF($A4186="",0,IF(AE4186="직접",IF(AF4186="비귀속",$P4186,0),$P4186*(1-AG4186)*IFERROR(INDEX(계정대체기준!$F$20:$F$49,MATCH($N4186,계정대체기준!$A$20:$A$49,0)),1)))</f>
        <v/>
      </c>
      <c r="Z4186" s="94">
        <f>IF($A4186="",0,IF(AE4186="직접",IF(AF4186="신계약비",$P4186,0),$P4186*(1-AG4186)*IFERROR(INDEX(계정대체기준!$C$20:$C$49,MATCH($N4186,계정대체기준!$A$20:$A$49,0)),0)))</f>
        <v/>
      </c>
      <c r="AA4186" s="94">
        <f>IF($A4186="",0,IF(AE4186="직접",IF(OR(AF4186="유지비",AF4186="손해조사비"),$P4186,0),$P4186*(1-AG4186)*IFERROR(INDEX(계정대체기준!$D$20:$D$49,MATCH($N4186,계정대체기준!$A$20:$A$49,0)),0)))</f>
        <v/>
      </c>
      <c r="AB4186" s="94">
        <f>IF($A4186="",0,IF(AE4186="직접",IF(AF4186="수금비",$P4186,0),$P4186*(1-AG4186)*IFERROR(INDEX(계정대체기준!$E$20:$E$49,MATCH($N4186,계정대체기준!$A$20:$A$49,0)),0)))</f>
        <v/>
      </c>
      <c r="AC4186" s="9">
        <f>IF(AND($A4186&lt;&gt;"",M4186=설정!$C$20,Z4186&gt;0),Z4186+ROW()/1000000000,"")</f>
        <v/>
      </c>
      <c r="AD4186" s="94">
        <f>IF($A4186="",0,$P4186*AG4186)</f>
        <v/>
      </c>
      <c r="AE4186" s="64">
        <f>IF($A4186="","",IFERROR(INDEX(계정매핑!$E$5:$E$504,MATCH($F4186&amp;"",계정매핑!$A$5:$A$504,0))&amp;"","공통비"))</f>
        <v/>
      </c>
      <c r="AF4186" s="64">
        <f>IF($A4186="","",IF(AE4186="직접",IFERROR(INDEX(계정매핑!$F$5:$F$504,MATCH($F4186&amp;"",계정매핑!$A$5:$A$504,0))&amp;"","비귀속"),""))</f>
        <v/>
      </c>
      <c r="AG4186" s="96">
        <f>IF($A4186="",0,IF(AND(AE4186&lt;&gt;"직접",IFERROR(INDEX(계정매핑!$G$5:$G$504,MATCH($F4186&amp;"",계정매핑!$A$5:$A$504,0))&amp;"","")="유지비",COUNTIF(계정대체기준!$A$6:$A$15,$N4186)&gt;0),IFERROR(INDEX(계정대체기준!$E$6:$E$15,MATCH(VALUE($A4186&amp;""),계정대체기준!$D$6:$D$15,0)),0),0))</f>
        <v/>
      </c>
      <c r="AH4186" s="64">
        <f>IF($A4186="","",IF(AD4186=0,"",IF(OR(COUNTIF(계정대체기준!$A$77:$A$86,$N4186)&gt;0,ISNUMBER(MATCH($X4186,계정대체기준!$D$77:$D$86,0)),ISNUMBER(MATCH($F4186,계정대체기준!$D$77:$D$86,0))),"Y","N")))</f>
        <v/>
      </c>
    </row>
    <row r="4187">
      <c r="A4187" s="92" t="n">
        <v>2026</v>
      </c>
      <c r="B4187" s="92" t="n">
        <v>7</v>
      </c>
      <c r="C4187" s="92" t="inlineStr">
        <is>
          <t>5100001465</t>
        </is>
      </c>
      <c r="D4187" s="95" t="n">
        <v>46215</v>
      </c>
      <c r="E4187" s="92" t="inlineStr">
        <is>
          <t>KR</t>
        </is>
      </c>
      <c r="F4187" s="92" t="n">
        <v>63001000</v>
      </c>
      <c r="G4187" s="92" t="n">
        <v>1701</v>
      </c>
      <c r="H4187" s="93" t="n">
        <v>28115000</v>
      </c>
      <c r="I4187" s="92" t="inlineStr">
        <is>
          <t>7월 SW 유지보수 - Y소프트</t>
        </is>
      </c>
      <c r="J4187" s="92" t="inlineStr">
        <is>
          <t>V10017</t>
        </is>
      </c>
      <c r="K4187" s="92" t="inlineStr">
        <is>
          <t>Y소프트</t>
        </is>
      </c>
      <c r="M4187" s="9">
        <f>IF($A4187="","",VALUE($A4187&amp;"")*12+VALUE($B4187&amp;""))</f>
        <v/>
      </c>
      <c r="N4187" s="64">
        <f>IF($A4187="","",IFERROR(INDEX(부서매핑!$C$5:$C$504,MATCH($G4187&amp;"",부서매핑!$A$5:$A$504,0)),"미매핑"))</f>
        <v/>
      </c>
      <c r="O4187" s="9">
        <f>IF($A4187="","",N4187&amp;"|"&amp;$F4187)</f>
        <v/>
      </c>
      <c r="P4187" s="94">
        <f>IF($A4187="",0,$H4187*설정!$C$23)</f>
        <v/>
      </c>
      <c r="Q4187" s="64">
        <f>IF($A4187="","",IF(O4187&lt;&gt;원인분석!$C$9,"",IF(AND(M4187&gt;=원인분석!$C$10,M4187&lt;=원인분석!$C$11),"당기",IF(AND(M4187&gt;=원인분석!$C$12,M4187&lt;=원인분석!$C$13),"비교",""))))</f>
        <v/>
      </c>
      <c r="R4187" s="9">
        <f>IF(Q4187="","",$K4187&amp;"")</f>
        <v/>
      </c>
      <c r="S4187" s="9">
        <f>IF(Q4187="","",IF(MATCH(R4187,$R$5:$R$100000,0)=ROW()-4,ROW(),""))</f>
        <v/>
      </c>
      <c r="T4187" s="9">
        <f>IF(Q4187="당기",ABS(P4187)+ROW()/1000000000,"")</f>
        <v/>
      </c>
      <c r="U4187" s="9">
        <f>IF(Q4187="비교",ABS(P4187)+ROW()/1000000000,"")</f>
        <v/>
      </c>
      <c r="V4187" s="64">
        <f>IF($A4187="","",IF(COUNTIF(변동분석!$E$7:$E$506,O4187)&gt;0,"Y","N"))</f>
        <v/>
      </c>
      <c r="W4187" s="64">
        <f>IF($A4187="","",IFERROR(INDEX(계정매핑!$D$5:$D$504,MATCH($F4187&amp;"",계정매핑!$A$5:$A$504,0)),"미매핑"))</f>
        <v/>
      </c>
      <c r="X4187" s="9">
        <f>IF($A4187="","",$F4187&amp;"")</f>
        <v/>
      </c>
      <c r="Y4187" s="94">
        <f>IF($A4187="",0,IF(AE4187="직접",IF(AF4187="비귀속",$P4187,0),$P4187*(1-AG4187)*IFERROR(INDEX(계정대체기준!$F$20:$F$49,MATCH($N4187,계정대체기준!$A$20:$A$49,0)),1)))</f>
        <v/>
      </c>
      <c r="Z4187" s="94">
        <f>IF($A4187="",0,IF(AE4187="직접",IF(AF4187="신계약비",$P4187,0),$P4187*(1-AG4187)*IFERROR(INDEX(계정대체기준!$C$20:$C$49,MATCH($N4187,계정대체기준!$A$20:$A$49,0)),0)))</f>
        <v/>
      </c>
      <c r="AA4187" s="94">
        <f>IF($A4187="",0,IF(AE4187="직접",IF(OR(AF4187="유지비",AF4187="손해조사비"),$P4187,0),$P4187*(1-AG4187)*IFERROR(INDEX(계정대체기준!$D$20:$D$49,MATCH($N4187,계정대체기준!$A$20:$A$49,0)),0)))</f>
        <v/>
      </c>
      <c r="AB4187" s="94">
        <f>IF($A4187="",0,IF(AE4187="직접",IF(AF4187="수금비",$P4187,0),$P4187*(1-AG4187)*IFERROR(INDEX(계정대체기준!$E$20:$E$49,MATCH($N4187,계정대체기준!$A$20:$A$49,0)),0)))</f>
        <v/>
      </c>
      <c r="AC4187" s="9">
        <f>IF(AND($A4187&lt;&gt;"",M4187=설정!$C$20,Z4187&gt;0),Z4187+ROW()/1000000000,"")</f>
        <v/>
      </c>
      <c r="AD4187" s="94">
        <f>IF($A4187="",0,$P4187*AG4187)</f>
        <v/>
      </c>
      <c r="AE4187" s="64">
        <f>IF($A4187="","",IFERROR(INDEX(계정매핑!$E$5:$E$504,MATCH($F4187&amp;"",계정매핑!$A$5:$A$504,0))&amp;"","공통비"))</f>
        <v/>
      </c>
      <c r="AF4187" s="64">
        <f>IF($A4187="","",IF(AE4187="직접",IFERROR(INDEX(계정매핑!$F$5:$F$504,MATCH($F4187&amp;"",계정매핑!$A$5:$A$504,0))&amp;"","비귀속"),""))</f>
        <v/>
      </c>
      <c r="AG4187" s="96">
        <f>IF($A4187="",0,IF(AND(AE4187&lt;&gt;"직접",IFERROR(INDEX(계정매핑!$G$5:$G$504,MATCH($F4187&amp;"",계정매핑!$A$5:$A$504,0))&amp;"","")="유지비",COUNTIF(계정대체기준!$A$6:$A$15,$N4187)&gt;0),IFERROR(INDEX(계정대체기준!$E$6:$E$15,MATCH(VALUE($A4187&amp;""),계정대체기준!$D$6:$D$15,0)),0),0))</f>
        <v/>
      </c>
      <c r="AH4187" s="64">
        <f>IF($A4187="","",IF(AD4187=0,"",IF(OR(COUNTIF(계정대체기준!$A$77:$A$86,$N4187)&gt;0,ISNUMBER(MATCH($X4187,계정대체기준!$D$77:$D$86,0)),ISNUMBER(MATCH($F4187,계정대체기준!$D$77:$D$86,0))),"Y","N")))</f>
        <v/>
      </c>
    </row>
    <row r="4188">
      <c r="A4188" s="92" t="n">
        <v>2026</v>
      </c>
      <c r="B4188" s="92" t="n">
        <v>7</v>
      </c>
      <c r="C4188" s="92" t="inlineStr">
        <is>
          <t>5100001466</t>
        </is>
      </c>
      <c r="D4188" s="95" t="n">
        <v>46215</v>
      </c>
      <c r="E4188" s="92" t="inlineStr">
        <is>
          <t>KR</t>
        </is>
      </c>
      <c r="F4188" s="92" t="n">
        <v>63101000</v>
      </c>
      <c r="G4188" s="92" t="n">
        <v>1601</v>
      </c>
      <c r="H4188" s="93" t="n">
        <v>5406000</v>
      </c>
      <c r="I4188" s="92" t="inlineStr">
        <is>
          <t>7월 사무실 임차료 - BB부동산</t>
        </is>
      </c>
      <c r="J4188" s="92" t="inlineStr">
        <is>
          <t>V10028</t>
        </is>
      </c>
      <c r="K4188" s="92" t="inlineStr">
        <is>
          <t>BB부동산</t>
        </is>
      </c>
      <c r="M4188" s="9">
        <f>IF($A4188="","",VALUE($A4188&amp;"")*12+VALUE($B4188&amp;""))</f>
        <v/>
      </c>
      <c r="N4188" s="64">
        <f>IF($A4188="","",IFERROR(INDEX(부서매핑!$C$5:$C$504,MATCH($G4188&amp;"",부서매핑!$A$5:$A$504,0)),"미매핑"))</f>
        <v/>
      </c>
      <c r="O4188" s="9">
        <f>IF($A4188="","",N4188&amp;"|"&amp;$F4188)</f>
        <v/>
      </c>
      <c r="P4188" s="94">
        <f>IF($A4188="",0,$H4188*설정!$C$23)</f>
        <v/>
      </c>
      <c r="Q4188" s="64">
        <f>IF($A4188="","",IF(O4188&lt;&gt;원인분석!$C$9,"",IF(AND(M4188&gt;=원인분석!$C$10,M4188&lt;=원인분석!$C$11),"당기",IF(AND(M4188&gt;=원인분석!$C$12,M4188&lt;=원인분석!$C$13),"비교",""))))</f>
        <v/>
      </c>
      <c r="R4188" s="9">
        <f>IF(Q4188="","",$K4188&amp;"")</f>
        <v/>
      </c>
      <c r="S4188" s="9">
        <f>IF(Q4188="","",IF(MATCH(R4188,$R$5:$R$100000,0)=ROW()-4,ROW(),""))</f>
        <v/>
      </c>
      <c r="T4188" s="9">
        <f>IF(Q4188="당기",ABS(P4188)+ROW()/1000000000,"")</f>
        <v/>
      </c>
      <c r="U4188" s="9">
        <f>IF(Q4188="비교",ABS(P4188)+ROW()/1000000000,"")</f>
        <v/>
      </c>
      <c r="V4188" s="64">
        <f>IF($A4188="","",IF(COUNTIF(변동분석!$E$7:$E$506,O4188)&gt;0,"Y","N"))</f>
        <v/>
      </c>
      <c r="W4188" s="64">
        <f>IF($A4188="","",IFERROR(INDEX(계정매핑!$D$5:$D$504,MATCH($F4188&amp;"",계정매핑!$A$5:$A$504,0)),"미매핑"))</f>
        <v/>
      </c>
      <c r="X4188" s="9">
        <f>IF($A4188="","",$F4188&amp;"")</f>
        <v/>
      </c>
      <c r="Y4188" s="94">
        <f>IF($A4188="",0,IF(AE4188="직접",IF(AF4188="비귀속",$P4188,0),$P4188*(1-AG4188)*IFERROR(INDEX(계정대체기준!$F$20:$F$49,MATCH($N4188,계정대체기준!$A$20:$A$49,0)),1)))</f>
        <v/>
      </c>
      <c r="Z4188" s="94">
        <f>IF($A4188="",0,IF(AE4188="직접",IF(AF4188="신계약비",$P4188,0),$P4188*(1-AG4188)*IFERROR(INDEX(계정대체기준!$C$20:$C$49,MATCH($N4188,계정대체기준!$A$20:$A$49,0)),0)))</f>
        <v/>
      </c>
      <c r="AA4188" s="94">
        <f>IF($A4188="",0,IF(AE4188="직접",IF(OR(AF4188="유지비",AF4188="손해조사비"),$P4188,0),$P4188*(1-AG4188)*IFERROR(INDEX(계정대체기준!$D$20:$D$49,MATCH($N4188,계정대체기준!$A$20:$A$49,0)),0)))</f>
        <v/>
      </c>
      <c r="AB4188" s="94">
        <f>IF($A4188="",0,IF(AE4188="직접",IF(AF4188="수금비",$P4188,0),$P4188*(1-AG4188)*IFERROR(INDEX(계정대체기준!$E$20:$E$49,MATCH($N4188,계정대체기준!$A$20:$A$49,0)),0)))</f>
        <v/>
      </c>
      <c r="AC4188" s="9">
        <f>IF(AND($A4188&lt;&gt;"",M4188=설정!$C$20,Z4188&gt;0),Z4188+ROW()/1000000000,"")</f>
        <v/>
      </c>
      <c r="AD4188" s="94">
        <f>IF($A4188="",0,$P4188*AG4188)</f>
        <v/>
      </c>
      <c r="AE4188" s="64">
        <f>IF($A4188="","",IFERROR(INDEX(계정매핑!$E$5:$E$504,MATCH($F4188&amp;"",계정매핑!$A$5:$A$504,0))&amp;"","공통비"))</f>
        <v/>
      </c>
      <c r="AF4188" s="64">
        <f>IF($A4188="","",IF(AE4188="직접",IFERROR(INDEX(계정매핑!$F$5:$F$504,MATCH($F4188&amp;"",계정매핑!$A$5:$A$504,0))&amp;"","비귀속"),""))</f>
        <v/>
      </c>
      <c r="AG4188" s="96">
        <f>IF($A4188="",0,IF(AND(AE4188&lt;&gt;"직접",IFERROR(INDEX(계정매핑!$G$5:$G$504,MATCH($F4188&amp;"",계정매핑!$A$5:$A$504,0))&amp;"","")="유지비",COUNTIF(계정대체기준!$A$6:$A$15,$N4188)&gt;0),IFERROR(INDEX(계정대체기준!$E$6:$E$15,MATCH(VALUE($A4188&amp;""),계정대체기준!$D$6:$D$15,0)),0),0))</f>
        <v/>
      </c>
      <c r="AH4188" s="64">
        <f>IF($A4188="","",IF(AD4188=0,"",IF(OR(COUNTIF(계정대체기준!$A$77:$A$86,$N4188)&gt;0,ISNUMBER(MATCH($X4188,계정대체기준!$D$77:$D$86,0)),ISNUMBER(MATCH($F4188,계정대체기준!$D$77:$D$86,0))),"Y","N")))</f>
        <v/>
      </c>
    </row>
    <row r="4189">
      <c r="A4189" s="92" t="n">
        <v>2026</v>
      </c>
      <c r="B4189" s="92" t="n">
        <v>7</v>
      </c>
      <c r="C4189" s="92" t="inlineStr">
        <is>
          <t>5100001467</t>
        </is>
      </c>
      <c r="D4189" s="95" t="n">
        <v>46216</v>
      </c>
      <c r="E4189" s="92" t="inlineStr">
        <is>
          <t>KR</t>
        </is>
      </c>
      <c r="F4189" s="92" t="n">
        <v>62102000</v>
      </c>
      <c r="G4189" s="92" t="n">
        <v>1951</v>
      </c>
      <c r="H4189" s="93" t="n">
        <v>54000</v>
      </c>
      <c r="I4189" s="92" t="inlineStr">
        <is>
          <t>7월 해외출장 - M항공</t>
        </is>
      </c>
      <c r="J4189" s="92" t="inlineStr">
        <is>
          <t>V10001</t>
        </is>
      </c>
      <c r="K4189" s="92" t="inlineStr">
        <is>
          <t>M항공</t>
        </is>
      </c>
      <c r="M4189" s="9">
        <f>IF($A4189="","",VALUE($A4189&amp;"")*12+VALUE($B4189&amp;""))</f>
        <v/>
      </c>
      <c r="N4189" s="64">
        <f>IF($A4189="","",IFERROR(INDEX(부서매핑!$C$5:$C$504,MATCH($G4189&amp;"",부서매핑!$A$5:$A$504,0)),"미매핑"))</f>
        <v/>
      </c>
      <c r="O4189" s="9">
        <f>IF($A4189="","",N4189&amp;"|"&amp;$F4189)</f>
        <v/>
      </c>
      <c r="P4189" s="94">
        <f>IF($A4189="",0,$H4189*설정!$C$23)</f>
        <v/>
      </c>
      <c r="Q4189" s="64">
        <f>IF($A4189="","",IF(O4189&lt;&gt;원인분석!$C$9,"",IF(AND(M4189&gt;=원인분석!$C$10,M4189&lt;=원인분석!$C$11),"당기",IF(AND(M4189&gt;=원인분석!$C$12,M4189&lt;=원인분석!$C$13),"비교",""))))</f>
        <v/>
      </c>
      <c r="R4189" s="9">
        <f>IF(Q4189="","",$K4189&amp;"")</f>
        <v/>
      </c>
      <c r="S4189" s="9">
        <f>IF(Q4189="","",IF(MATCH(R4189,$R$5:$R$100000,0)=ROW()-4,ROW(),""))</f>
        <v/>
      </c>
      <c r="T4189" s="9">
        <f>IF(Q4189="당기",ABS(P4189)+ROW()/1000000000,"")</f>
        <v/>
      </c>
      <c r="U4189" s="9">
        <f>IF(Q4189="비교",ABS(P4189)+ROW()/1000000000,"")</f>
        <v/>
      </c>
      <c r="V4189" s="64">
        <f>IF($A4189="","",IF(COUNTIF(변동분석!$E$7:$E$506,O4189)&gt;0,"Y","N"))</f>
        <v/>
      </c>
      <c r="W4189" s="64">
        <f>IF($A4189="","",IFERROR(INDEX(계정매핑!$D$5:$D$504,MATCH($F4189&amp;"",계정매핑!$A$5:$A$504,0)),"미매핑"))</f>
        <v/>
      </c>
      <c r="X4189" s="9">
        <f>IF($A4189="","",$F4189&amp;"")</f>
        <v/>
      </c>
      <c r="Y4189" s="94">
        <f>IF($A4189="",0,IF(AE4189="직접",IF(AF4189="비귀속",$P4189,0),$P4189*(1-AG4189)*IFERROR(INDEX(계정대체기준!$F$20:$F$49,MATCH($N4189,계정대체기준!$A$20:$A$49,0)),1)))</f>
        <v/>
      </c>
      <c r="Z4189" s="94">
        <f>IF($A4189="",0,IF(AE4189="직접",IF(AF4189="신계약비",$P4189,0),$P4189*(1-AG4189)*IFERROR(INDEX(계정대체기준!$C$20:$C$49,MATCH($N4189,계정대체기준!$A$20:$A$49,0)),0)))</f>
        <v/>
      </c>
      <c r="AA4189" s="94">
        <f>IF($A4189="",0,IF(AE4189="직접",IF(OR(AF4189="유지비",AF4189="손해조사비"),$P4189,0),$P4189*(1-AG4189)*IFERROR(INDEX(계정대체기준!$D$20:$D$49,MATCH($N4189,계정대체기준!$A$20:$A$49,0)),0)))</f>
        <v/>
      </c>
      <c r="AB4189" s="94">
        <f>IF($A4189="",0,IF(AE4189="직접",IF(AF4189="수금비",$P4189,0),$P4189*(1-AG4189)*IFERROR(INDEX(계정대체기준!$E$20:$E$49,MATCH($N4189,계정대체기준!$A$20:$A$49,0)),0)))</f>
        <v/>
      </c>
      <c r="AC4189" s="9">
        <f>IF(AND($A4189&lt;&gt;"",M4189=설정!$C$20,Z4189&gt;0),Z4189+ROW()/1000000000,"")</f>
        <v/>
      </c>
      <c r="AD4189" s="94">
        <f>IF($A4189="",0,$P4189*AG4189)</f>
        <v/>
      </c>
      <c r="AE4189" s="64">
        <f>IF($A4189="","",IFERROR(INDEX(계정매핑!$E$5:$E$504,MATCH($F4189&amp;"",계정매핑!$A$5:$A$504,0))&amp;"","공통비"))</f>
        <v/>
      </c>
      <c r="AF4189" s="64">
        <f>IF($A4189="","",IF(AE4189="직접",IFERROR(INDEX(계정매핑!$F$5:$F$504,MATCH($F4189&amp;"",계정매핑!$A$5:$A$504,0))&amp;"","비귀속"),""))</f>
        <v/>
      </c>
      <c r="AG4189" s="96">
        <f>IF($A4189="",0,IF(AND(AE4189&lt;&gt;"직접",IFERROR(INDEX(계정매핑!$G$5:$G$504,MATCH($F4189&amp;"",계정매핑!$A$5:$A$504,0))&amp;"","")="유지비",COUNTIF(계정대체기준!$A$6:$A$15,$N4189)&gt;0),IFERROR(INDEX(계정대체기준!$E$6:$E$15,MATCH(VALUE($A4189&amp;""),계정대체기준!$D$6:$D$15,0)),0),0))</f>
        <v/>
      </c>
      <c r="AH4189" s="64">
        <f>IF($A4189="","",IF(AD4189=0,"",IF(OR(COUNTIF(계정대체기준!$A$77:$A$86,$N4189)&gt;0,ISNUMBER(MATCH($X4189,계정대체기준!$D$77:$D$86,0)),ISNUMBER(MATCH($F4189,계정대체기준!$D$77:$D$86,0))),"Y","N")))</f>
        <v/>
      </c>
    </row>
    <row r="4190">
      <c r="A4190" s="92" t="n">
        <v>2026</v>
      </c>
      <c r="B4190" s="92" t="n">
        <v>7</v>
      </c>
      <c r="C4190" s="92" t="inlineStr">
        <is>
          <t>5100001468</t>
        </is>
      </c>
      <c r="D4190" s="95" t="n">
        <v>46216</v>
      </c>
      <c r="E4190" s="92" t="inlineStr">
        <is>
          <t>KR</t>
        </is>
      </c>
      <c r="F4190" s="92" t="n">
        <v>62201000</v>
      </c>
      <c r="G4190" s="92" t="n">
        <v>1301</v>
      </c>
      <c r="H4190" s="93" t="n">
        <v>174000</v>
      </c>
      <c r="I4190" s="92" t="inlineStr">
        <is>
          <t>7월 통신요금 - O텔레콤</t>
        </is>
      </c>
      <c r="J4190" s="92" t="inlineStr">
        <is>
          <t>V10002</t>
        </is>
      </c>
      <c r="K4190" s="92" t="inlineStr">
        <is>
          <t>O텔레콤</t>
        </is>
      </c>
      <c r="M4190" s="9">
        <f>IF($A4190="","",VALUE($A4190&amp;"")*12+VALUE($B4190&amp;""))</f>
        <v/>
      </c>
      <c r="N4190" s="64">
        <f>IF($A4190="","",IFERROR(INDEX(부서매핑!$C$5:$C$504,MATCH($G4190&amp;"",부서매핑!$A$5:$A$504,0)),"미매핑"))</f>
        <v/>
      </c>
      <c r="O4190" s="9">
        <f>IF($A4190="","",N4190&amp;"|"&amp;$F4190)</f>
        <v/>
      </c>
      <c r="P4190" s="94">
        <f>IF($A4190="",0,$H4190*설정!$C$23)</f>
        <v/>
      </c>
      <c r="Q4190" s="64">
        <f>IF($A4190="","",IF(O4190&lt;&gt;원인분석!$C$9,"",IF(AND(M4190&gt;=원인분석!$C$10,M4190&lt;=원인분석!$C$11),"당기",IF(AND(M4190&gt;=원인분석!$C$12,M4190&lt;=원인분석!$C$13),"비교",""))))</f>
        <v/>
      </c>
      <c r="R4190" s="9">
        <f>IF(Q4190="","",$K4190&amp;"")</f>
        <v/>
      </c>
      <c r="S4190" s="9">
        <f>IF(Q4190="","",IF(MATCH(R4190,$R$5:$R$100000,0)=ROW()-4,ROW(),""))</f>
        <v/>
      </c>
      <c r="T4190" s="9">
        <f>IF(Q4190="당기",ABS(P4190)+ROW()/1000000000,"")</f>
        <v/>
      </c>
      <c r="U4190" s="9">
        <f>IF(Q4190="비교",ABS(P4190)+ROW()/1000000000,"")</f>
        <v/>
      </c>
      <c r="V4190" s="64">
        <f>IF($A4190="","",IF(COUNTIF(변동분석!$E$7:$E$506,O4190)&gt;0,"Y","N"))</f>
        <v/>
      </c>
      <c r="W4190" s="64">
        <f>IF($A4190="","",IFERROR(INDEX(계정매핑!$D$5:$D$504,MATCH($F4190&amp;"",계정매핑!$A$5:$A$504,0)),"미매핑"))</f>
        <v/>
      </c>
      <c r="X4190" s="9">
        <f>IF($A4190="","",$F4190&amp;"")</f>
        <v/>
      </c>
      <c r="Y4190" s="94">
        <f>IF($A4190="",0,IF(AE4190="직접",IF(AF4190="비귀속",$P4190,0),$P4190*(1-AG4190)*IFERROR(INDEX(계정대체기준!$F$20:$F$49,MATCH($N4190,계정대체기준!$A$20:$A$49,0)),1)))</f>
        <v/>
      </c>
      <c r="Z4190" s="94">
        <f>IF($A4190="",0,IF(AE4190="직접",IF(AF4190="신계약비",$P4190,0),$P4190*(1-AG4190)*IFERROR(INDEX(계정대체기준!$C$20:$C$49,MATCH($N4190,계정대체기준!$A$20:$A$49,0)),0)))</f>
        <v/>
      </c>
      <c r="AA4190" s="94">
        <f>IF($A4190="",0,IF(AE4190="직접",IF(OR(AF4190="유지비",AF4190="손해조사비"),$P4190,0),$P4190*(1-AG4190)*IFERROR(INDEX(계정대체기준!$D$20:$D$49,MATCH($N4190,계정대체기준!$A$20:$A$49,0)),0)))</f>
        <v/>
      </c>
      <c r="AB4190" s="94">
        <f>IF($A4190="",0,IF(AE4190="직접",IF(AF4190="수금비",$P4190,0),$P4190*(1-AG4190)*IFERROR(INDEX(계정대체기준!$E$20:$E$49,MATCH($N4190,계정대체기준!$A$20:$A$49,0)),0)))</f>
        <v/>
      </c>
      <c r="AC4190" s="9">
        <f>IF(AND($A4190&lt;&gt;"",M4190=설정!$C$20,Z4190&gt;0),Z4190+ROW()/1000000000,"")</f>
        <v/>
      </c>
      <c r="AD4190" s="94">
        <f>IF($A4190="",0,$P4190*AG4190)</f>
        <v/>
      </c>
      <c r="AE4190" s="64">
        <f>IF($A4190="","",IFERROR(INDEX(계정매핑!$E$5:$E$504,MATCH($F4190&amp;"",계정매핑!$A$5:$A$504,0))&amp;"","공통비"))</f>
        <v/>
      </c>
      <c r="AF4190" s="64">
        <f>IF($A4190="","",IF(AE4190="직접",IFERROR(INDEX(계정매핑!$F$5:$F$504,MATCH($F4190&amp;"",계정매핑!$A$5:$A$504,0))&amp;"","비귀속"),""))</f>
        <v/>
      </c>
      <c r="AG4190" s="96">
        <f>IF($A4190="",0,IF(AND(AE4190&lt;&gt;"직접",IFERROR(INDEX(계정매핑!$G$5:$G$504,MATCH($F4190&amp;"",계정매핑!$A$5:$A$504,0))&amp;"","")="유지비",COUNTIF(계정대체기준!$A$6:$A$15,$N4190)&gt;0),IFERROR(INDEX(계정대체기준!$E$6:$E$15,MATCH(VALUE($A4190&amp;""),계정대체기준!$D$6:$D$15,0)),0),0))</f>
        <v/>
      </c>
      <c r="AH4190" s="64">
        <f>IF($A4190="","",IF(AD4190=0,"",IF(OR(COUNTIF(계정대체기준!$A$77:$A$86,$N4190)&gt;0,ISNUMBER(MATCH($X4190,계정대체기준!$D$77:$D$86,0)),ISNUMBER(MATCH($F4190,계정대체기준!$D$77:$D$86,0))),"Y","N")))</f>
        <v/>
      </c>
    </row>
    <row r="4191">
      <c r="A4191" s="92" t="n">
        <v>2026</v>
      </c>
      <c r="B4191" s="92" t="n">
        <v>7</v>
      </c>
      <c r="C4191" s="92" t="inlineStr">
        <is>
          <t>5100001469</t>
        </is>
      </c>
      <c r="D4191" s="95" t="n">
        <v>46216</v>
      </c>
      <c r="E4191" s="92" t="inlineStr">
        <is>
          <t>KR</t>
        </is>
      </c>
      <c r="F4191" s="92" t="n">
        <v>62301000</v>
      </c>
      <c r="G4191" s="92" t="n">
        <v>1101</v>
      </c>
      <c r="H4191" s="93" t="n">
        <v>146000</v>
      </c>
      <c r="I4191" s="92" t="inlineStr">
        <is>
          <t>7월 소모품 구입 - R문구</t>
        </is>
      </c>
      <c r="J4191" s="92" t="inlineStr">
        <is>
          <t>V10022</t>
        </is>
      </c>
      <c r="K4191" s="92" t="inlineStr">
        <is>
          <t>R문구</t>
        </is>
      </c>
      <c r="M4191" s="9">
        <f>IF($A4191="","",VALUE($A4191&amp;"")*12+VALUE($B4191&amp;""))</f>
        <v/>
      </c>
      <c r="N4191" s="64">
        <f>IF($A4191="","",IFERROR(INDEX(부서매핑!$C$5:$C$504,MATCH($G4191&amp;"",부서매핑!$A$5:$A$504,0)),"미매핑"))</f>
        <v/>
      </c>
      <c r="O4191" s="9">
        <f>IF($A4191="","",N4191&amp;"|"&amp;$F4191)</f>
        <v/>
      </c>
      <c r="P4191" s="94">
        <f>IF($A4191="",0,$H4191*설정!$C$23)</f>
        <v/>
      </c>
      <c r="Q4191" s="64">
        <f>IF($A4191="","",IF(O4191&lt;&gt;원인분석!$C$9,"",IF(AND(M4191&gt;=원인분석!$C$10,M4191&lt;=원인분석!$C$11),"당기",IF(AND(M4191&gt;=원인분석!$C$12,M4191&lt;=원인분석!$C$13),"비교",""))))</f>
        <v/>
      </c>
      <c r="R4191" s="9">
        <f>IF(Q4191="","",$K4191&amp;"")</f>
        <v/>
      </c>
      <c r="S4191" s="9">
        <f>IF(Q4191="","",IF(MATCH(R4191,$R$5:$R$100000,0)=ROW()-4,ROW(),""))</f>
        <v/>
      </c>
      <c r="T4191" s="9">
        <f>IF(Q4191="당기",ABS(P4191)+ROW()/1000000000,"")</f>
        <v/>
      </c>
      <c r="U4191" s="9">
        <f>IF(Q4191="비교",ABS(P4191)+ROW()/1000000000,"")</f>
        <v/>
      </c>
      <c r="V4191" s="64">
        <f>IF($A4191="","",IF(COUNTIF(변동분석!$E$7:$E$506,O4191)&gt;0,"Y","N"))</f>
        <v/>
      </c>
      <c r="W4191" s="64">
        <f>IF($A4191="","",IFERROR(INDEX(계정매핑!$D$5:$D$504,MATCH($F4191&amp;"",계정매핑!$A$5:$A$504,0)),"미매핑"))</f>
        <v/>
      </c>
      <c r="X4191" s="9">
        <f>IF($A4191="","",$F4191&amp;"")</f>
        <v/>
      </c>
      <c r="Y4191" s="94">
        <f>IF($A4191="",0,IF(AE4191="직접",IF(AF4191="비귀속",$P4191,0),$P4191*(1-AG4191)*IFERROR(INDEX(계정대체기준!$F$20:$F$49,MATCH($N4191,계정대체기준!$A$20:$A$49,0)),1)))</f>
        <v/>
      </c>
      <c r="Z4191" s="94">
        <f>IF($A4191="",0,IF(AE4191="직접",IF(AF4191="신계약비",$P4191,0),$P4191*(1-AG4191)*IFERROR(INDEX(계정대체기준!$C$20:$C$49,MATCH($N4191,계정대체기준!$A$20:$A$49,0)),0)))</f>
        <v/>
      </c>
      <c r="AA4191" s="94">
        <f>IF($A4191="",0,IF(AE4191="직접",IF(OR(AF4191="유지비",AF4191="손해조사비"),$P4191,0),$P4191*(1-AG4191)*IFERROR(INDEX(계정대체기준!$D$20:$D$49,MATCH($N4191,계정대체기준!$A$20:$A$49,0)),0)))</f>
        <v/>
      </c>
      <c r="AB4191" s="94">
        <f>IF($A4191="",0,IF(AE4191="직접",IF(AF4191="수금비",$P4191,0),$P4191*(1-AG4191)*IFERROR(INDEX(계정대체기준!$E$20:$E$49,MATCH($N4191,계정대체기준!$A$20:$A$49,0)),0)))</f>
        <v/>
      </c>
      <c r="AC4191" s="9">
        <f>IF(AND($A4191&lt;&gt;"",M4191=설정!$C$20,Z4191&gt;0),Z4191+ROW()/1000000000,"")</f>
        <v/>
      </c>
      <c r="AD4191" s="94">
        <f>IF($A4191="",0,$P4191*AG4191)</f>
        <v/>
      </c>
      <c r="AE4191" s="64">
        <f>IF($A4191="","",IFERROR(INDEX(계정매핑!$E$5:$E$504,MATCH($F4191&amp;"",계정매핑!$A$5:$A$504,0))&amp;"","공통비"))</f>
        <v/>
      </c>
      <c r="AF4191" s="64">
        <f>IF($A4191="","",IF(AE4191="직접",IFERROR(INDEX(계정매핑!$F$5:$F$504,MATCH($F4191&amp;"",계정매핑!$A$5:$A$504,0))&amp;"","비귀속"),""))</f>
        <v/>
      </c>
      <c r="AG4191" s="96">
        <f>IF($A4191="",0,IF(AND(AE4191&lt;&gt;"직접",IFERROR(INDEX(계정매핑!$G$5:$G$504,MATCH($F4191&amp;"",계정매핑!$A$5:$A$504,0))&amp;"","")="유지비",COUNTIF(계정대체기준!$A$6:$A$15,$N4191)&gt;0),IFERROR(INDEX(계정대체기준!$E$6:$E$15,MATCH(VALUE($A4191&amp;""),계정대체기준!$D$6:$D$15,0)),0),0))</f>
        <v/>
      </c>
      <c r="AH4191" s="64">
        <f>IF($A4191="","",IF(AD4191=0,"",IF(OR(COUNTIF(계정대체기준!$A$77:$A$86,$N4191)&gt;0,ISNUMBER(MATCH($X4191,계정대체기준!$D$77:$D$86,0)),ISNUMBER(MATCH($F4191,계정대체기준!$D$77:$D$86,0))),"Y","N")))</f>
        <v/>
      </c>
    </row>
    <row r="4192">
      <c r="A4192" s="92" t="n">
        <v>2026</v>
      </c>
      <c r="B4192" s="92" t="n">
        <v>7</v>
      </c>
      <c r="C4192" s="92" t="inlineStr">
        <is>
          <t>5100001470</t>
        </is>
      </c>
      <c r="D4192" s="95" t="n">
        <v>46216</v>
      </c>
      <c r="E4192" s="92" t="inlineStr">
        <is>
          <t>KR</t>
        </is>
      </c>
      <c r="F4192" s="92" t="n">
        <v>62301000</v>
      </c>
      <c r="G4192" s="92" t="n">
        <v>1301</v>
      </c>
      <c r="H4192" s="93" t="n">
        <v>164000</v>
      </c>
      <c r="I4192" s="92" t="inlineStr">
        <is>
          <t>7월 소모품 구입 - R문구</t>
        </is>
      </c>
      <c r="J4192" s="92" t="inlineStr">
        <is>
          <t>V10022</t>
        </is>
      </c>
      <c r="K4192" s="92" t="inlineStr">
        <is>
          <t>R문구</t>
        </is>
      </c>
      <c r="M4192" s="9">
        <f>IF($A4192="","",VALUE($A4192&amp;"")*12+VALUE($B4192&amp;""))</f>
        <v/>
      </c>
      <c r="N4192" s="64">
        <f>IF($A4192="","",IFERROR(INDEX(부서매핑!$C$5:$C$504,MATCH($G4192&amp;"",부서매핑!$A$5:$A$504,0)),"미매핑"))</f>
        <v/>
      </c>
      <c r="O4192" s="9">
        <f>IF($A4192="","",N4192&amp;"|"&amp;$F4192)</f>
        <v/>
      </c>
      <c r="P4192" s="94">
        <f>IF($A4192="",0,$H4192*설정!$C$23)</f>
        <v/>
      </c>
      <c r="Q4192" s="64">
        <f>IF($A4192="","",IF(O4192&lt;&gt;원인분석!$C$9,"",IF(AND(M4192&gt;=원인분석!$C$10,M4192&lt;=원인분석!$C$11),"당기",IF(AND(M4192&gt;=원인분석!$C$12,M4192&lt;=원인분석!$C$13),"비교",""))))</f>
        <v/>
      </c>
      <c r="R4192" s="9">
        <f>IF(Q4192="","",$K4192&amp;"")</f>
        <v/>
      </c>
      <c r="S4192" s="9">
        <f>IF(Q4192="","",IF(MATCH(R4192,$R$5:$R$100000,0)=ROW()-4,ROW(),""))</f>
        <v/>
      </c>
      <c r="T4192" s="9">
        <f>IF(Q4192="당기",ABS(P4192)+ROW()/1000000000,"")</f>
        <v/>
      </c>
      <c r="U4192" s="9">
        <f>IF(Q4192="비교",ABS(P4192)+ROW()/1000000000,"")</f>
        <v/>
      </c>
      <c r="V4192" s="64">
        <f>IF($A4192="","",IF(COUNTIF(변동분석!$E$7:$E$506,O4192)&gt;0,"Y","N"))</f>
        <v/>
      </c>
      <c r="W4192" s="64">
        <f>IF($A4192="","",IFERROR(INDEX(계정매핑!$D$5:$D$504,MATCH($F4192&amp;"",계정매핑!$A$5:$A$504,0)),"미매핑"))</f>
        <v/>
      </c>
      <c r="X4192" s="9">
        <f>IF($A4192="","",$F4192&amp;"")</f>
        <v/>
      </c>
      <c r="Y4192" s="94">
        <f>IF($A4192="",0,IF(AE4192="직접",IF(AF4192="비귀속",$P4192,0),$P4192*(1-AG4192)*IFERROR(INDEX(계정대체기준!$F$20:$F$49,MATCH($N4192,계정대체기준!$A$20:$A$49,0)),1)))</f>
        <v/>
      </c>
      <c r="Z4192" s="94">
        <f>IF($A4192="",0,IF(AE4192="직접",IF(AF4192="신계약비",$P4192,0),$P4192*(1-AG4192)*IFERROR(INDEX(계정대체기준!$C$20:$C$49,MATCH($N4192,계정대체기준!$A$20:$A$49,0)),0)))</f>
        <v/>
      </c>
      <c r="AA4192" s="94">
        <f>IF($A4192="",0,IF(AE4192="직접",IF(OR(AF4192="유지비",AF4192="손해조사비"),$P4192,0),$P4192*(1-AG4192)*IFERROR(INDEX(계정대체기준!$D$20:$D$49,MATCH($N4192,계정대체기준!$A$20:$A$49,0)),0)))</f>
        <v/>
      </c>
      <c r="AB4192" s="94">
        <f>IF($A4192="",0,IF(AE4192="직접",IF(AF4192="수금비",$P4192,0),$P4192*(1-AG4192)*IFERROR(INDEX(계정대체기준!$E$20:$E$49,MATCH($N4192,계정대체기준!$A$20:$A$49,0)),0)))</f>
        <v/>
      </c>
      <c r="AC4192" s="9">
        <f>IF(AND($A4192&lt;&gt;"",M4192=설정!$C$20,Z4192&gt;0),Z4192+ROW()/1000000000,"")</f>
        <v/>
      </c>
      <c r="AD4192" s="94">
        <f>IF($A4192="",0,$P4192*AG4192)</f>
        <v/>
      </c>
      <c r="AE4192" s="64">
        <f>IF($A4192="","",IFERROR(INDEX(계정매핑!$E$5:$E$504,MATCH($F4192&amp;"",계정매핑!$A$5:$A$504,0))&amp;"","공통비"))</f>
        <v/>
      </c>
      <c r="AF4192" s="64">
        <f>IF($A4192="","",IF(AE4192="직접",IFERROR(INDEX(계정매핑!$F$5:$F$504,MATCH($F4192&amp;"",계정매핑!$A$5:$A$504,0))&amp;"","비귀속"),""))</f>
        <v/>
      </c>
      <c r="AG4192" s="96">
        <f>IF($A4192="",0,IF(AND(AE4192&lt;&gt;"직접",IFERROR(INDEX(계정매핑!$G$5:$G$504,MATCH($F4192&amp;"",계정매핑!$A$5:$A$504,0))&amp;"","")="유지비",COUNTIF(계정대체기준!$A$6:$A$15,$N4192)&gt;0),IFERROR(INDEX(계정대체기준!$E$6:$E$15,MATCH(VALUE($A4192&amp;""),계정대체기준!$D$6:$D$15,0)),0),0))</f>
        <v/>
      </c>
      <c r="AH4192" s="64">
        <f>IF($A4192="","",IF(AD4192=0,"",IF(OR(COUNTIF(계정대체기준!$A$77:$A$86,$N4192)&gt;0,ISNUMBER(MATCH($X4192,계정대체기준!$D$77:$D$86,0)),ISNUMBER(MATCH($F4192,계정대체기준!$D$77:$D$86,0))),"Y","N")))</f>
        <v/>
      </c>
    </row>
    <row r="4193">
      <c r="A4193" s="92" t="n">
        <v>2026</v>
      </c>
      <c r="B4193" s="92" t="n">
        <v>7</v>
      </c>
      <c r="C4193" s="92" t="inlineStr">
        <is>
          <t>5100001471</t>
        </is>
      </c>
      <c r="D4193" s="95" t="n">
        <v>46216</v>
      </c>
      <c r="E4193" s="92" t="inlineStr">
        <is>
          <t>KR</t>
        </is>
      </c>
      <c r="F4193" s="92" t="n">
        <v>62301000</v>
      </c>
      <c r="G4193" s="92" t="n">
        <v>1501</v>
      </c>
      <c r="H4193" s="93" t="n">
        <v>308000</v>
      </c>
      <c r="I4193" s="92" t="inlineStr">
        <is>
          <t>7월 소모품 구입 - R문구</t>
        </is>
      </c>
      <c r="J4193" s="92" t="inlineStr">
        <is>
          <t>V10022</t>
        </is>
      </c>
      <c r="K4193" s="92" t="inlineStr">
        <is>
          <t>R문구</t>
        </is>
      </c>
      <c r="M4193" s="9">
        <f>IF($A4193="","",VALUE($A4193&amp;"")*12+VALUE($B4193&amp;""))</f>
        <v/>
      </c>
      <c r="N4193" s="64">
        <f>IF($A4193="","",IFERROR(INDEX(부서매핑!$C$5:$C$504,MATCH($G4193&amp;"",부서매핑!$A$5:$A$504,0)),"미매핑"))</f>
        <v/>
      </c>
      <c r="O4193" s="9">
        <f>IF($A4193="","",N4193&amp;"|"&amp;$F4193)</f>
        <v/>
      </c>
      <c r="P4193" s="94">
        <f>IF($A4193="",0,$H4193*설정!$C$23)</f>
        <v/>
      </c>
      <c r="Q4193" s="64">
        <f>IF($A4193="","",IF(O4193&lt;&gt;원인분석!$C$9,"",IF(AND(M4193&gt;=원인분석!$C$10,M4193&lt;=원인분석!$C$11),"당기",IF(AND(M4193&gt;=원인분석!$C$12,M4193&lt;=원인분석!$C$13),"비교",""))))</f>
        <v/>
      </c>
      <c r="R4193" s="9">
        <f>IF(Q4193="","",$K4193&amp;"")</f>
        <v/>
      </c>
      <c r="S4193" s="9">
        <f>IF(Q4193="","",IF(MATCH(R4193,$R$5:$R$100000,0)=ROW()-4,ROW(),""))</f>
        <v/>
      </c>
      <c r="T4193" s="9">
        <f>IF(Q4193="당기",ABS(P4193)+ROW()/1000000000,"")</f>
        <v/>
      </c>
      <c r="U4193" s="9">
        <f>IF(Q4193="비교",ABS(P4193)+ROW()/1000000000,"")</f>
        <v/>
      </c>
      <c r="V4193" s="64">
        <f>IF($A4193="","",IF(COUNTIF(변동분석!$E$7:$E$506,O4193)&gt;0,"Y","N"))</f>
        <v/>
      </c>
      <c r="W4193" s="64">
        <f>IF($A4193="","",IFERROR(INDEX(계정매핑!$D$5:$D$504,MATCH($F4193&amp;"",계정매핑!$A$5:$A$504,0)),"미매핑"))</f>
        <v/>
      </c>
      <c r="X4193" s="9">
        <f>IF($A4193="","",$F4193&amp;"")</f>
        <v/>
      </c>
      <c r="Y4193" s="94">
        <f>IF($A4193="",0,IF(AE4193="직접",IF(AF4193="비귀속",$P4193,0),$P4193*(1-AG4193)*IFERROR(INDEX(계정대체기준!$F$20:$F$49,MATCH($N4193,계정대체기준!$A$20:$A$49,0)),1)))</f>
        <v/>
      </c>
      <c r="Z4193" s="94">
        <f>IF($A4193="",0,IF(AE4193="직접",IF(AF4193="신계약비",$P4193,0),$P4193*(1-AG4193)*IFERROR(INDEX(계정대체기준!$C$20:$C$49,MATCH($N4193,계정대체기준!$A$20:$A$49,0)),0)))</f>
        <v/>
      </c>
      <c r="AA4193" s="94">
        <f>IF($A4193="",0,IF(AE4193="직접",IF(OR(AF4193="유지비",AF4193="손해조사비"),$P4193,0),$P4193*(1-AG4193)*IFERROR(INDEX(계정대체기준!$D$20:$D$49,MATCH($N4193,계정대체기준!$A$20:$A$49,0)),0)))</f>
        <v/>
      </c>
      <c r="AB4193" s="94">
        <f>IF($A4193="",0,IF(AE4193="직접",IF(AF4193="수금비",$P4193,0),$P4193*(1-AG4193)*IFERROR(INDEX(계정대체기준!$E$20:$E$49,MATCH($N4193,계정대체기준!$A$20:$A$49,0)),0)))</f>
        <v/>
      </c>
      <c r="AC4193" s="9">
        <f>IF(AND($A4193&lt;&gt;"",M4193=설정!$C$20,Z4193&gt;0),Z4193+ROW()/1000000000,"")</f>
        <v/>
      </c>
      <c r="AD4193" s="94">
        <f>IF($A4193="",0,$P4193*AG4193)</f>
        <v/>
      </c>
      <c r="AE4193" s="64">
        <f>IF($A4193="","",IFERROR(INDEX(계정매핑!$E$5:$E$504,MATCH($F4193&amp;"",계정매핑!$A$5:$A$504,0))&amp;"","공통비"))</f>
        <v/>
      </c>
      <c r="AF4193" s="64">
        <f>IF($A4193="","",IF(AE4193="직접",IFERROR(INDEX(계정매핑!$F$5:$F$504,MATCH($F4193&amp;"",계정매핑!$A$5:$A$504,0))&amp;"","비귀속"),""))</f>
        <v/>
      </c>
      <c r="AG4193" s="96">
        <f>IF($A4193="",0,IF(AND(AE4193&lt;&gt;"직접",IFERROR(INDEX(계정매핑!$G$5:$G$504,MATCH($F4193&amp;"",계정매핑!$A$5:$A$504,0))&amp;"","")="유지비",COUNTIF(계정대체기준!$A$6:$A$15,$N4193)&gt;0),IFERROR(INDEX(계정대체기준!$E$6:$E$15,MATCH(VALUE($A4193&amp;""),계정대체기준!$D$6:$D$15,0)),0),0))</f>
        <v/>
      </c>
      <c r="AH4193" s="64">
        <f>IF($A4193="","",IF(AD4193=0,"",IF(OR(COUNTIF(계정대체기준!$A$77:$A$86,$N4193)&gt;0,ISNUMBER(MATCH($X4193,계정대체기준!$D$77:$D$86,0)),ISNUMBER(MATCH($F4193,계정대체기준!$D$77:$D$86,0))),"Y","N")))</f>
        <v/>
      </c>
    </row>
    <row r="4194">
      <c r="A4194" s="92" t="n">
        <v>2026</v>
      </c>
      <c r="B4194" s="92" t="n">
        <v>7</v>
      </c>
      <c r="C4194" s="92" t="inlineStr">
        <is>
          <t>5100001472</t>
        </is>
      </c>
      <c r="D4194" s="95" t="n">
        <v>46216</v>
      </c>
      <c r="E4194" s="92" t="inlineStr">
        <is>
          <t>KR</t>
        </is>
      </c>
      <c r="F4194" s="92" t="n">
        <v>62301000</v>
      </c>
      <c r="G4194" s="92" t="n">
        <v>1801</v>
      </c>
      <c r="H4194" s="93" t="n">
        <v>499000</v>
      </c>
      <c r="I4194" s="92" t="inlineStr">
        <is>
          <t>7월 소모품 구입 - Q오피스</t>
        </is>
      </c>
      <c r="J4194" s="92" t="inlineStr">
        <is>
          <t>V10003</t>
        </is>
      </c>
      <c r="K4194" s="92" t="inlineStr">
        <is>
          <t>Q오피스</t>
        </is>
      </c>
      <c r="M4194" s="9">
        <f>IF($A4194="","",VALUE($A4194&amp;"")*12+VALUE($B4194&amp;""))</f>
        <v/>
      </c>
      <c r="N4194" s="64">
        <f>IF($A4194="","",IFERROR(INDEX(부서매핑!$C$5:$C$504,MATCH($G4194&amp;"",부서매핑!$A$5:$A$504,0)),"미매핑"))</f>
        <v/>
      </c>
      <c r="O4194" s="9">
        <f>IF($A4194="","",N4194&amp;"|"&amp;$F4194)</f>
        <v/>
      </c>
      <c r="P4194" s="94">
        <f>IF($A4194="",0,$H4194*설정!$C$23)</f>
        <v/>
      </c>
      <c r="Q4194" s="64">
        <f>IF($A4194="","",IF(O4194&lt;&gt;원인분석!$C$9,"",IF(AND(M4194&gt;=원인분석!$C$10,M4194&lt;=원인분석!$C$11),"당기",IF(AND(M4194&gt;=원인분석!$C$12,M4194&lt;=원인분석!$C$13),"비교",""))))</f>
        <v/>
      </c>
      <c r="R4194" s="9">
        <f>IF(Q4194="","",$K4194&amp;"")</f>
        <v/>
      </c>
      <c r="S4194" s="9">
        <f>IF(Q4194="","",IF(MATCH(R4194,$R$5:$R$100000,0)=ROW()-4,ROW(),""))</f>
        <v/>
      </c>
      <c r="T4194" s="9">
        <f>IF(Q4194="당기",ABS(P4194)+ROW()/1000000000,"")</f>
        <v/>
      </c>
      <c r="U4194" s="9">
        <f>IF(Q4194="비교",ABS(P4194)+ROW()/1000000000,"")</f>
        <v/>
      </c>
      <c r="V4194" s="64">
        <f>IF($A4194="","",IF(COUNTIF(변동분석!$E$7:$E$506,O4194)&gt;0,"Y","N"))</f>
        <v/>
      </c>
      <c r="W4194" s="64">
        <f>IF($A4194="","",IFERROR(INDEX(계정매핑!$D$5:$D$504,MATCH($F4194&amp;"",계정매핑!$A$5:$A$504,0)),"미매핑"))</f>
        <v/>
      </c>
      <c r="X4194" s="9">
        <f>IF($A4194="","",$F4194&amp;"")</f>
        <v/>
      </c>
      <c r="Y4194" s="94">
        <f>IF($A4194="",0,IF(AE4194="직접",IF(AF4194="비귀속",$P4194,0),$P4194*(1-AG4194)*IFERROR(INDEX(계정대체기준!$F$20:$F$49,MATCH($N4194,계정대체기준!$A$20:$A$49,0)),1)))</f>
        <v/>
      </c>
      <c r="Z4194" s="94">
        <f>IF($A4194="",0,IF(AE4194="직접",IF(AF4194="신계약비",$P4194,0),$P4194*(1-AG4194)*IFERROR(INDEX(계정대체기준!$C$20:$C$49,MATCH($N4194,계정대체기준!$A$20:$A$49,0)),0)))</f>
        <v/>
      </c>
      <c r="AA4194" s="94">
        <f>IF($A4194="",0,IF(AE4194="직접",IF(OR(AF4194="유지비",AF4194="손해조사비"),$P4194,0),$P4194*(1-AG4194)*IFERROR(INDEX(계정대체기준!$D$20:$D$49,MATCH($N4194,계정대체기준!$A$20:$A$49,0)),0)))</f>
        <v/>
      </c>
      <c r="AB4194" s="94">
        <f>IF($A4194="",0,IF(AE4194="직접",IF(AF4194="수금비",$P4194,0),$P4194*(1-AG4194)*IFERROR(INDEX(계정대체기준!$E$20:$E$49,MATCH($N4194,계정대체기준!$A$20:$A$49,0)),0)))</f>
        <v/>
      </c>
      <c r="AC4194" s="9">
        <f>IF(AND($A4194&lt;&gt;"",M4194=설정!$C$20,Z4194&gt;0),Z4194+ROW()/1000000000,"")</f>
        <v/>
      </c>
      <c r="AD4194" s="94">
        <f>IF($A4194="",0,$P4194*AG4194)</f>
        <v/>
      </c>
      <c r="AE4194" s="64">
        <f>IF($A4194="","",IFERROR(INDEX(계정매핑!$E$5:$E$504,MATCH($F4194&amp;"",계정매핑!$A$5:$A$504,0))&amp;"","공통비"))</f>
        <v/>
      </c>
      <c r="AF4194" s="64">
        <f>IF($A4194="","",IF(AE4194="직접",IFERROR(INDEX(계정매핑!$F$5:$F$504,MATCH($F4194&amp;"",계정매핑!$A$5:$A$504,0))&amp;"","비귀속"),""))</f>
        <v/>
      </c>
      <c r="AG4194" s="96">
        <f>IF($A4194="",0,IF(AND(AE4194&lt;&gt;"직접",IFERROR(INDEX(계정매핑!$G$5:$G$504,MATCH($F4194&amp;"",계정매핑!$A$5:$A$504,0))&amp;"","")="유지비",COUNTIF(계정대체기준!$A$6:$A$15,$N4194)&gt;0),IFERROR(INDEX(계정대체기준!$E$6:$E$15,MATCH(VALUE($A4194&amp;""),계정대체기준!$D$6:$D$15,0)),0),0))</f>
        <v/>
      </c>
      <c r="AH4194" s="64">
        <f>IF($A4194="","",IF(AD4194=0,"",IF(OR(COUNTIF(계정대체기준!$A$77:$A$86,$N4194)&gt;0,ISNUMBER(MATCH($X4194,계정대체기준!$D$77:$D$86,0)),ISNUMBER(MATCH($F4194,계정대체기준!$D$77:$D$86,0))),"Y","N")))</f>
        <v/>
      </c>
    </row>
    <row r="4195">
      <c r="A4195" s="92" t="n">
        <v>2026</v>
      </c>
      <c r="B4195" s="92" t="n">
        <v>7</v>
      </c>
      <c r="C4195" s="92" t="inlineStr">
        <is>
          <t>5100001473</t>
        </is>
      </c>
      <c r="D4195" s="95" t="n">
        <v>46216</v>
      </c>
      <c r="E4195" s="92" t="inlineStr">
        <is>
          <t>KR</t>
        </is>
      </c>
      <c r="F4195" s="92" t="n">
        <v>62901000</v>
      </c>
      <c r="G4195" s="92" t="n">
        <v>1401</v>
      </c>
      <c r="H4195" s="93" t="n">
        <v>9618000</v>
      </c>
      <c r="I4195" s="92" t="inlineStr">
        <is>
          <t>7월 자문 수수료 - W컨설팅</t>
        </is>
      </c>
      <c r="J4195" s="92" t="inlineStr">
        <is>
          <t>V10006</t>
        </is>
      </c>
      <c r="K4195" s="92" t="inlineStr">
        <is>
          <t>W컨설팅</t>
        </is>
      </c>
      <c r="M4195" s="9">
        <f>IF($A4195="","",VALUE($A4195&amp;"")*12+VALUE($B4195&amp;""))</f>
        <v/>
      </c>
      <c r="N4195" s="64">
        <f>IF($A4195="","",IFERROR(INDEX(부서매핑!$C$5:$C$504,MATCH($G4195&amp;"",부서매핑!$A$5:$A$504,0)),"미매핑"))</f>
        <v/>
      </c>
      <c r="O4195" s="9">
        <f>IF($A4195="","",N4195&amp;"|"&amp;$F4195)</f>
        <v/>
      </c>
      <c r="P4195" s="94">
        <f>IF($A4195="",0,$H4195*설정!$C$23)</f>
        <v/>
      </c>
      <c r="Q4195" s="64">
        <f>IF($A4195="","",IF(O4195&lt;&gt;원인분석!$C$9,"",IF(AND(M4195&gt;=원인분석!$C$10,M4195&lt;=원인분석!$C$11),"당기",IF(AND(M4195&gt;=원인분석!$C$12,M4195&lt;=원인분석!$C$13),"비교",""))))</f>
        <v/>
      </c>
      <c r="R4195" s="9">
        <f>IF(Q4195="","",$K4195&amp;"")</f>
        <v/>
      </c>
      <c r="S4195" s="9">
        <f>IF(Q4195="","",IF(MATCH(R4195,$R$5:$R$100000,0)=ROW()-4,ROW(),""))</f>
        <v/>
      </c>
      <c r="T4195" s="9">
        <f>IF(Q4195="당기",ABS(P4195)+ROW()/1000000000,"")</f>
        <v/>
      </c>
      <c r="U4195" s="9">
        <f>IF(Q4195="비교",ABS(P4195)+ROW()/1000000000,"")</f>
        <v/>
      </c>
      <c r="V4195" s="64">
        <f>IF($A4195="","",IF(COUNTIF(변동분석!$E$7:$E$506,O4195)&gt;0,"Y","N"))</f>
        <v/>
      </c>
      <c r="W4195" s="64">
        <f>IF($A4195="","",IFERROR(INDEX(계정매핑!$D$5:$D$504,MATCH($F4195&amp;"",계정매핑!$A$5:$A$504,0)),"미매핑"))</f>
        <v/>
      </c>
      <c r="X4195" s="9">
        <f>IF($A4195="","",$F4195&amp;"")</f>
        <v/>
      </c>
      <c r="Y4195" s="94">
        <f>IF($A4195="",0,IF(AE4195="직접",IF(AF4195="비귀속",$P4195,0),$P4195*(1-AG4195)*IFERROR(INDEX(계정대체기준!$F$20:$F$49,MATCH($N4195,계정대체기준!$A$20:$A$49,0)),1)))</f>
        <v/>
      </c>
      <c r="Z4195" s="94">
        <f>IF($A4195="",0,IF(AE4195="직접",IF(AF4195="신계약비",$P4195,0),$P4195*(1-AG4195)*IFERROR(INDEX(계정대체기준!$C$20:$C$49,MATCH($N4195,계정대체기준!$A$20:$A$49,0)),0)))</f>
        <v/>
      </c>
      <c r="AA4195" s="94">
        <f>IF($A4195="",0,IF(AE4195="직접",IF(OR(AF4195="유지비",AF4195="손해조사비"),$P4195,0),$P4195*(1-AG4195)*IFERROR(INDEX(계정대체기준!$D$20:$D$49,MATCH($N4195,계정대체기준!$A$20:$A$49,0)),0)))</f>
        <v/>
      </c>
      <c r="AB4195" s="94">
        <f>IF($A4195="",0,IF(AE4195="직접",IF(AF4195="수금비",$P4195,0),$P4195*(1-AG4195)*IFERROR(INDEX(계정대체기준!$E$20:$E$49,MATCH($N4195,계정대체기준!$A$20:$A$49,0)),0)))</f>
        <v/>
      </c>
      <c r="AC4195" s="9">
        <f>IF(AND($A4195&lt;&gt;"",M4195=설정!$C$20,Z4195&gt;0),Z4195+ROW()/1000000000,"")</f>
        <v/>
      </c>
      <c r="AD4195" s="94">
        <f>IF($A4195="",0,$P4195*AG4195)</f>
        <v/>
      </c>
      <c r="AE4195" s="64">
        <f>IF($A4195="","",IFERROR(INDEX(계정매핑!$E$5:$E$504,MATCH($F4195&amp;"",계정매핑!$A$5:$A$504,0))&amp;"","공통비"))</f>
        <v/>
      </c>
      <c r="AF4195" s="64">
        <f>IF($A4195="","",IF(AE4195="직접",IFERROR(INDEX(계정매핑!$F$5:$F$504,MATCH($F4195&amp;"",계정매핑!$A$5:$A$504,0))&amp;"","비귀속"),""))</f>
        <v/>
      </c>
      <c r="AG4195" s="96">
        <f>IF($A4195="",0,IF(AND(AE4195&lt;&gt;"직접",IFERROR(INDEX(계정매핑!$G$5:$G$504,MATCH($F4195&amp;"",계정매핑!$A$5:$A$504,0))&amp;"","")="유지비",COUNTIF(계정대체기준!$A$6:$A$15,$N4195)&gt;0),IFERROR(INDEX(계정대체기준!$E$6:$E$15,MATCH(VALUE($A4195&amp;""),계정대체기준!$D$6:$D$15,0)),0),0))</f>
        <v/>
      </c>
      <c r="AH4195" s="64">
        <f>IF($A4195="","",IF(AD4195=0,"",IF(OR(COUNTIF(계정대체기준!$A$77:$A$86,$N4195)&gt;0,ISNUMBER(MATCH($X4195,계정대체기준!$D$77:$D$86,0)),ISNUMBER(MATCH($F4195,계정대체기준!$D$77:$D$86,0))),"Y","N")))</f>
        <v/>
      </c>
    </row>
    <row r="4196">
      <c r="A4196" s="92" t="n">
        <v>2026</v>
      </c>
      <c r="B4196" s="92" t="n">
        <v>7</v>
      </c>
      <c r="C4196" s="92" t="inlineStr">
        <is>
          <t>5100001474</t>
        </is>
      </c>
      <c r="D4196" s="95" t="n">
        <v>46216</v>
      </c>
      <c r="E4196" s="92" t="inlineStr">
        <is>
          <t>KR</t>
        </is>
      </c>
      <c r="F4196" s="92" t="n">
        <v>62902000</v>
      </c>
      <c r="G4196" s="92" t="n">
        <v>1101</v>
      </c>
      <c r="H4196" s="93" t="n">
        <v>2420000</v>
      </c>
      <c r="I4196" s="92" t="inlineStr">
        <is>
          <t>7월 업무 위탁 수수료 - X서비스</t>
        </is>
      </c>
      <c r="J4196" s="92" t="inlineStr">
        <is>
          <t>V10020</t>
        </is>
      </c>
      <c r="K4196" s="92" t="inlineStr">
        <is>
          <t>X서비스</t>
        </is>
      </c>
      <c r="M4196" s="9">
        <f>IF($A4196="","",VALUE($A4196&amp;"")*12+VALUE($B4196&amp;""))</f>
        <v/>
      </c>
      <c r="N4196" s="64">
        <f>IF($A4196="","",IFERROR(INDEX(부서매핑!$C$5:$C$504,MATCH($G4196&amp;"",부서매핑!$A$5:$A$504,0)),"미매핑"))</f>
        <v/>
      </c>
      <c r="O4196" s="9">
        <f>IF($A4196="","",N4196&amp;"|"&amp;$F4196)</f>
        <v/>
      </c>
      <c r="P4196" s="94">
        <f>IF($A4196="",0,$H4196*설정!$C$23)</f>
        <v/>
      </c>
      <c r="Q4196" s="64">
        <f>IF($A4196="","",IF(O4196&lt;&gt;원인분석!$C$9,"",IF(AND(M4196&gt;=원인분석!$C$10,M4196&lt;=원인분석!$C$11),"당기",IF(AND(M4196&gt;=원인분석!$C$12,M4196&lt;=원인분석!$C$13),"비교",""))))</f>
        <v/>
      </c>
      <c r="R4196" s="9">
        <f>IF(Q4196="","",$K4196&amp;"")</f>
        <v/>
      </c>
      <c r="S4196" s="9">
        <f>IF(Q4196="","",IF(MATCH(R4196,$R$5:$R$100000,0)=ROW()-4,ROW(),""))</f>
        <v/>
      </c>
      <c r="T4196" s="9">
        <f>IF(Q4196="당기",ABS(P4196)+ROW()/1000000000,"")</f>
        <v/>
      </c>
      <c r="U4196" s="9">
        <f>IF(Q4196="비교",ABS(P4196)+ROW()/1000000000,"")</f>
        <v/>
      </c>
      <c r="V4196" s="64">
        <f>IF($A4196="","",IF(COUNTIF(변동분석!$E$7:$E$506,O4196)&gt;0,"Y","N"))</f>
        <v/>
      </c>
      <c r="W4196" s="64">
        <f>IF($A4196="","",IFERROR(INDEX(계정매핑!$D$5:$D$504,MATCH($F4196&amp;"",계정매핑!$A$5:$A$504,0)),"미매핑"))</f>
        <v/>
      </c>
      <c r="X4196" s="9">
        <f>IF($A4196="","",$F4196&amp;"")</f>
        <v/>
      </c>
      <c r="Y4196" s="94">
        <f>IF($A4196="",0,IF(AE4196="직접",IF(AF4196="비귀속",$P4196,0),$P4196*(1-AG4196)*IFERROR(INDEX(계정대체기준!$F$20:$F$49,MATCH($N4196,계정대체기준!$A$20:$A$49,0)),1)))</f>
        <v/>
      </c>
      <c r="Z4196" s="94">
        <f>IF($A4196="",0,IF(AE4196="직접",IF(AF4196="신계약비",$P4196,0),$P4196*(1-AG4196)*IFERROR(INDEX(계정대체기준!$C$20:$C$49,MATCH($N4196,계정대체기준!$A$20:$A$49,0)),0)))</f>
        <v/>
      </c>
      <c r="AA4196" s="94">
        <f>IF($A4196="",0,IF(AE4196="직접",IF(OR(AF4196="유지비",AF4196="손해조사비"),$P4196,0),$P4196*(1-AG4196)*IFERROR(INDEX(계정대체기준!$D$20:$D$49,MATCH($N4196,계정대체기준!$A$20:$A$49,0)),0)))</f>
        <v/>
      </c>
      <c r="AB4196" s="94">
        <f>IF($A4196="",0,IF(AE4196="직접",IF(AF4196="수금비",$P4196,0),$P4196*(1-AG4196)*IFERROR(INDEX(계정대체기준!$E$20:$E$49,MATCH($N4196,계정대체기준!$A$20:$A$49,0)),0)))</f>
        <v/>
      </c>
      <c r="AC4196" s="9">
        <f>IF(AND($A4196&lt;&gt;"",M4196=설정!$C$20,Z4196&gt;0),Z4196+ROW()/1000000000,"")</f>
        <v/>
      </c>
      <c r="AD4196" s="94">
        <f>IF($A4196="",0,$P4196*AG4196)</f>
        <v/>
      </c>
      <c r="AE4196" s="64">
        <f>IF($A4196="","",IFERROR(INDEX(계정매핑!$E$5:$E$504,MATCH($F4196&amp;"",계정매핑!$A$5:$A$504,0))&amp;"","공통비"))</f>
        <v/>
      </c>
      <c r="AF4196" s="64">
        <f>IF($A4196="","",IF(AE4196="직접",IFERROR(INDEX(계정매핑!$F$5:$F$504,MATCH($F4196&amp;"",계정매핑!$A$5:$A$504,0))&amp;"","비귀속"),""))</f>
        <v/>
      </c>
      <c r="AG4196" s="96">
        <f>IF($A4196="",0,IF(AND(AE4196&lt;&gt;"직접",IFERROR(INDEX(계정매핑!$G$5:$G$504,MATCH($F4196&amp;"",계정매핑!$A$5:$A$504,0))&amp;"","")="유지비",COUNTIF(계정대체기준!$A$6:$A$15,$N4196)&gt;0),IFERROR(INDEX(계정대체기준!$E$6:$E$15,MATCH(VALUE($A4196&amp;""),계정대체기준!$D$6:$D$15,0)),0),0))</f>
        <v/>
      </c>
      <c r="AH4196" s="64">
        <f>IF($A4196="","",IF(AD4196=0,"",IF(OR(COUNTIF(계정대체기준!$A$77:$A$86,$N4196)&gt;0,ISNUMBER(MATCH($X4196,계정대체기준!$D$77:$D$86,0)),ISNUMBER(MATCH($F4196,계정대체기준!$D$77:$D$86,0))),"Y","N")))</f>
        <v/>
      </c>
    </row>
    <row r="4197">
      <c r="A4197" s="92" t="n">
        <v>2026</v>
      </c>
      <c r="B4197" s="92" t="n">
        <v>7</v>
      </c>
      <c r="C4197" s="92" t="inlineStr">
        <is>
          <t>5100001475</t>
        </is>
      </c>
      <c r="D4197" s="95" t="n">
        <v>46216</v>
      </c>
      <c r="E4197" s="92" t="inlineStr">
        <is>
          <t>KR</t>
        </is>
      </c>
      <c r="F4197" s="92" t="n">
        <v>62902000</v>
      </c>
      <c r="G4197" s="92" t="n">
        <v>1401</v>
      </c>
      <c r="H4197" s="93" t="n">
        <v>2450000</v>
      </c>
      <c r="I4197" s="92" t="inlineStr">
        <is>
          <t>7월 업무 위탁 수수료 - J콜센터</t>
        </is>
      </c>
      <c r="J4197" s="92" t="inlineStr">
        <is>
          <t>V10016</t>
        </is>
      </c>
      <c r="K4197" s="92" t="inlineStr">
        <is>
          <t>J콜센터</t>
        </is>
      </c>
      <c r="M4197" s="9">
        <f>IF($A4197="","",VALUE($A4197&amp;"")*12+VALUE($B4197&amp;""))</f>
        <v/>
      </c>
      <c r="N4197" s="64">
        <f>IF($A4197="","",IFERROR(INDEX(부서매핑!$C$5:$C$504,MATCH($G4197&amp;"",부서매핑!$A$5:$A$504,0)),"미매핑"))</f>
        <v/>
      </c>
      <c r="O4197" s="9">
        <f>IF($A4197="","",N4197&amp;"|"&amp;$F4197)</f>
        <v/>
      </c>
      <c r="P4197" s="94">
        <f>IF($A4197="",0,$H4197*설정!$C$23)</f>
        <v/>
      </c>
      <c r="Q4197" s="64">
        <f>IF($A4197="","",IF(O4197&lt;&gt;원인분석!$C$9,"",IF(AND(M4197&gt;=원인분석!$C$10,M4197&lt;=원인분석!$C$11),"당기",IF(AND(M4197&gt;=원인분석!$C$12,M4197&lt;=원인분석!$C$13),"비교",""))))</f>
        <v/>
      </c>
      <c r="R4197" s="9">
        <f>IF(Q4197="","",$K4197&amp;"")</f>
        <v/>
      </c>
      <c r="S4197" s="9">
        <f>IF(Q4197="","",IF(MATCH(R4197,$R$5:$R$100000,0)=ROW()-4,ROW(),""))</f>
        <v/>
      </c>
      <c r="T4197" s="9">
        <f>IF(Q4197="당기",ABS(P4197)+ROW()/1000000000,"")</f>
        <v/>
      </c>
      <c r="U4197" s="9">
        <f>IF(Q4197="비교",ABS(P4197)+ROW()/1000000000,"")</f>
        <v/>
      </c>
      <c r="V4197" s="64">
        <f>IF($A4197="","",IF(COUNTIF(변동분석!$E$7:$E$506,O4197)&gt;0,"Y","N"))</f>
        <v/>
      </c>
      <c r="W4197" s="64">
        <f>IF($A4197="","",IFERROR(INDEX(계정매핑!$D$5:$D$504,MATCH($F4197&amp;"",계정매핑!$A$5:$A$504,0)),"미매핑"))</f>
        <v/>
      </c>
      <c r="X4197" s="9">
        <f>IF($A4197="","",$F4197&amp;"")</f>
        <v/>
      </c>
      <c r="Y4197" s="94">
        <f>IF($A4197="",0,IF(AE4197="직접",IF(AF4197="비귀속",$P4197,0),$P4197*(1-AG4197)*IFERROR(INDEX(계정대체기준!$F$20:$F$49,MATCH($N4197,계정대체기준!$A$20:$A$49,0)),1)))</f>
        <v/>
      </c>
      <c r="Z4197" s="94">
        <f>IF($A4197="",0,IF(AE4197="직접",IF(AF4197="신계약비",$P4197,0),$P4197*(1-AG4197)*IFERROR(INDEX(계정대체기준!$C$20:$C$49,MATCH($N4197,계정대체기준!$A$20:$A$49,0)),0)))</f>
        <v/>
      </c>
      <c r="AA4197" s="94">
        <f>IF($A4197="",0,IF(AE4197="직접",IF(OR(AF4197="유지비",AF4197="손해조사비"),$P4197,0),$P4197*(1-AG4197)*IFERROR(INDEX(계정대체기준!$D$20:$D$49,MATCH($N4197,계정대체기준!$A$20:$A$49,0)),0)))</f>
        <v/>
      </c>
      <c r="AB4197" s="94">
        <f>IF($A4197="",0,IF(AE4197="직접",IF(AF4197="수금비",$P4197,0),$P4197*(1-AG4197)*IFERROR(INDEX(계정대체기준!$E$20:$E$49,MATCH($N4197,계정대체기준!$A$20:$A$49,0)),0)))</f>
        <v/>
      </c>
      <c r="AC4197" s="9">
        <f>IF(AND($A4197&lt;&gt;"",M4197=설정!$C$20,Z4197&gt;0),Z4197+ROW()/1000000000,"")</f>
        <v/>
      </c>
      <c r="AD4197" s="94">
        <f>IF($A4197="",0,$P4197*AG4197)</f>
        <v/>
      </c>
      <c r="AE4197" s="64">
        <f>IF($A4197="","",IFERROR(INDEX(계정매핑!$E$5:$E$504,MATCH($F4197&amp;"",계정매핑!$A$5:$A$504,0))&amp;"","공통비"))</f>
        <v/>
      </c>
      <c r="AF4197" s="64">
        <f>IF($A4197="","",IF(AE4197="직접",IFERROR(INDEX(계정매핑!$F$5:$F$504,MATCH($F4197&amp;"",계정매핑!$A$5:$A$504,0))&amp;"","비귀속"),""))</f>
        <v/>
      </c>
      <c r="AG4197" s="96">
        <f>IF($A4197="",0,IF(AND(AE4197&lt;&gt;"직접",IFERROR(INDEX(계정매핑!$G$5:$G$504,MATCH($F4197&amp;"",계정매핑!$A$5:$A$504,0))&amp;"","")="유지비",COUNTIF(계정대체기준!$A$6:$A$15,$N4197)&gt;0),IFERROR(INDEX(계정대체기준!$E$6:$E$15,MATCH(VALUE($A4197&amp;""),계정대체기준!$D$6:$D$15,0)),0),0))</f>
        <v/>
      </c>
      <c r="AH4197" s="64">
        <f>IF($A4197="","",IF(AD4197=0,"",IF(OR(COUNTIF(계정대체기준!$A$77:$A$86,$N4197)&gt;0,ISNUMBER(MATCH($X4197,계정대체기준!$D$77:$D$86,0)),ISNUMBER(MATCH($F4197,계정대체기준!$D$77:$D$86,0))),"Y","N")))</f>
        <v/>
      </c>
    </row>
    <row r="4198">
      <c r="A4198" s="92" t="n">
        <v>2026</v>
      </c>
      <c r="B4198" s="92" t="n">
        <v>7</v>
      </c>
      <c r="C4198" s="92" t="inlineStr">
        <is>
          <t>5100001476</t>
        </is>
      </c>
      <c r="D4198" s="95" t="n">
        <v>46216</v>
      </c>
      <c r="E4198" s="92" t="inlineStr">
        <is>
          <t>KR</t>
        </is>
      </c>
      <c r="F4198" s="92" t="n">
        <v>63001000</v>
      </c>
      <c r="G4198" s="92" t="n">
        <v>1701</v>
      </c>
      <c r="H4198" s="93" t="n">
        <v>35203000</v>
      </c>
      <c r="I4198" s="92" t="inlineStr">
        <is>
          <t>7월 SW 유지보수 - Z시스템</t>
        </is>
      </c>
      <c r="J4198" s="92" t="inlineStr">
        <is>
          <t>V10012</t>
        </is>
      </c>
      <c r="K4198" s="92" t="inlineStr">
        <is>
          <t>Z시스템</t>
        </is>
      </c>
      <c r="M4198" s="9">
        <f>IF($A4198="","",VALUE($A4198&amp;"")*12+VALUE($B4198&amp;""))</f>
        <v/>
      </c>
      <c r="N4198" s="64">
        <f>IF($A4198="","",IFERROR(INDEX(부서매핑!$C$5:$C$504,MATCH($G4198&amp;"",부서매핑!$A$5:$A$504,0)),"미매핑"))</f>
        <v/>
      </c>
      <c r="O4198" s="9">
        <f>IF($A4198="","",N4198&amp;"|"&amp;$F4198)</f>
        <v/>
      </c>
      <c r="P4198" s="94">
        <f>IF($A4198="",0,$H4198*설정!$C$23)</f>
        <v/>
      </c>
      <c r="Q4198" s="64">
        <f>IF($A4198="","",IF(O4198&lt;&gt;원인분석!$C$9,"",IF(AND(M4198&gt;=원인분석!$C$10,M4198&lt;=원인분석!$C$11),"당기",IF(AND(M4198&gt;=원인분석!$C$12,M4198&lt;=원인분석!$C$13),"비교",""))))</f>
        <v/>
      </c>
      <c r="R4198" s="9">
        <f>IF(Q4198="","",$K4198&amp;"")</f>
        <v/>
      </c>
      <c r="S4198" s="9">
        <f>IF(Q4198="","",IF(MATCH(R4198,$R$5:$R$100000,0)=ROW()-4,ROW(),""))</f>
        <v/>
      </c>
      <c r="T4198" s="9">
        <f>IF(Q4198="당기",ABS(P4198)+ROW()/1000000000,"")</f>
        <v/>
      </c>
      <c r="U4198" s="9">
        <f>IF(Q4198="비교",ABS(P4198)+ROW()/1000000000,"")</f>
        <v/>
      </c>
      <c r="V4198" s="64">
        <f>IF($A4198="","",IF(COUNTIF(변동분석!$E$7:$E$506,O4198)&gt;0,"Y","N"))</f>
        <v/>
      </c>
      <c r="W4198" s="64">
        <f>IF($A4198="","",IFERROR(INDEX(계정매핑!$D$5:$D$504,MATCH($F4198&amp;"",계정매핑!$A$5:$A$504,0)),"미매핑"))</f>
        <v/>
      </c>
      <c r="X4198" s="9">
        <f>IF($A4198="","",$F4198&amp;"")</f>
        <v/>
      </c>
      <c r="Y4198" s="94">
        <f>IF($A4198="",0,IF(AE4198="직접",IF(AF4198="비귀속",$P4198,0),$P4198*(1-AG4198)*IFERROR(INDEX(계정대체기준!$F$20:$F$49,MATCH($N4198,계정대체기준!$A$20:$A$49,0)),1)))</f>
        <v/>
      </c>
      <c r="Z4198" s="94">
        <f>IF($A4198="",0,IF(AE4198="직접",IF(AF4198="신계약비",$P4198,0),$P4198*(1-AG4198)*IFERROR(INDEX(계정대체기준!$C$20:$C$49,MATCH($N4198,계정대체기준!$A$20:$A$49,0)),0)))</f>
        <v/>
      </c>
      <c r="AA4198" s="94">
        <f>IF($A4198="",0,IF(AE4198="직접",IF(OR(AF4198="유지비",AF4198="손해조사비"),$P4198,0),$P4198*(1-AG4198)*IFERROR(INDEX(계정대체기준!$D$20:$D$49,MATCH($N4198,계정대체기준!$A$20:$A$49,0)),0)))</f>
        <v/>
      </c>
      <c r="AB4198" s="94">
        <f>IF($A4198="",0,IF(AE4198="직접",IF(AF4198="수금비",$P4198,0),$P4198*(1-AG4198)*IFERROR(INDEX(계정대체기준!$E$20:$E$49,MATCH($N4198,계정대체기준!$A$20:$A$49,0)),0)))</f>
        <v/>
      </c>
      <c r="AC4198" s="9">
        <f>IF(AND($A4198&lt;&gt;"",M4198=설정!$C$20,Z4198&gt;0),Z4198+ROW()/1000000000,"")</f>
        <v/>
      </c>
      <c r="AD4198" s="94">
        <f>IF($A4198="",0,$P4198*AG4198)</f>
        <v/>
      </c>
      <c r="AE4198" s="64">
        <f>IF($A4198="","",IFERROR(INDEX(계정매핑!$E$5:$E$504,MATCH($F4198&amp;"",계정매핑!$A$5:$A$504,0))&amp;"","공통비"))</f>
        <v/>
      </c>
      <c r="AF4198" s="64">
        <f>IF($A4198="","",IF(AE4198="직접",IFERROR(INDEX(계정매핑!$F$5:$F$504,MATCH($F4198&amp;"",계정매핑!$A$5:$A$504,0))&amp;"","비귀속"),""))</f>
        <v/>
      </c>
      <c r="AG4198" s="96">
        <f>IF($A4198="",0,IF(AND(AE4198&lt;&gt;"직접",IFERROR(INDEX(계정매핑!$G$5:$G$504,MATCH($F4198&amp;"",계정매핑!$A$5:$A$504,0))&amp;"","")="유지비",COUNTIF(계정대체기준!$A$6:$A$15,$N4198)&gt;0),IFERROR(INDEX(계정대체기준!$E$6:$E$15,MATCH(VALUE($A4198&amp;""),계정대체기준!$D$6:$D$15,0)),0),0))</f>
        <v/>
      </c>
      <c r="AH4198" s="64">
        <f>IF($A4198="","",IF(AD4198=0,"",IF(OR(COUNTIF(계정대체기준!$A$77:$A$86,$N4198)&gt;0,ISNUMBER(MATCH($X4198,계정대체기준!$D$77:$D$86,0)),ISNUMBER(MATCH($F4198,계정대체기준!$D$77:$D$86,0))),"Y","N")))</f>
        <v/>
      </c>
    </row>
    <row r="4199">
      <c r="A4199" s="92" t="n">
        <v>2026</v>
      </c>
      <c r="B4199" s="92" t="n">
        <v>7</v>
      </c>
      <c r="C4199" s="92" t="inlineStr">
        <is>
          <t>5100001477</t>
        </is>
      </c>
      <c r="D4199" s="95" t="n">
        <v>46217</v>
      </c>
      <c r="E4199" s="92" t="inlineStr">
        <is>
          <t>KR</t>
        </is>
      </c>
      <c r="F4199" s="92" t="n">
        <v>62101000</v>
      </c>
      <c r="G4199" s="92" t="n">
        <v>1301</v>
      </c>
      <c r="H4199" s="93" t="n">
        <v>317000</v>
      </c>
      <c r="I4199" s="92" t="inlineStr">
        <is>
          <t>7월 국내출장 - L여행사</t>
        </is>
      </c>
      <c r="J4199" s="92" t="inlineStr">
        <is>
          <t>V10018</t>
        </is>
      </c>
      <c r="K4199" s="92" t="inlineStr">
        <is>
          <t>L여행사</t>
        </is>
      </c>
      <c r="M4199" s="9">
        <f>IF($A4199="","",VALUE($A4199&amp;"")*12+VALUE($B4199&amp;""))</f>
        <v/>
      </c>
      <c r="N4199" s="64">
        <f>IF($A4199="","",IFERROR(INDEX(부서매핑!$C$5:$C$504,MATCH($G4199&amp;"",부서매핑!$A$5:$A$504,0)),"미매핑"))</f>
        <v/>
      </c>
      <c r="O4199" s="9">
        <f>IF($A4199="","",N4199&amp;"|"&amp;$F4199)</f>
        <v/>
      </c>
      <c r="P4199" s="94">
        <f>IF($A4199="",0,$H4199*설정!$C$23)</f>
        <v/>
      </c>
      <c r="Q4199" s="64">
        <f>IF($A4199="","",IF(O4199&lt;&gt;원인분석!$C$9,"",IF(AND(M4199&gt;=원인분석!$C$10,M4199&lt;=원인분석!$C$11),"당기",IF(AND(M4199&gt;=원인분석!$C$12,M4199&lt;=원인분석!$C$13),"비교",""))))</f>
        <v/>
      </c>
      <c r="R4199" s="9">
        <f>IF(Q4199="","",$K4199&amp;"")</f>
        <v/>
      </c>
      <c r="S4199" s="9">
        <f>IF(Q4199="","",IF(MATCH(R4199,$R$5:$R$100000,0)=ROW()-4,ROW(),""))</f>
        <v/>
      </c>
      <c r="T4199" s="9">
        <f>IF(Q4199="당기",ABS(P4199)+ROW()/1000000000,"")</f>
        <v/>
      </c>
      <c r="U4199" s="9">
        <f>IF(Q4199="비교",ABS(P4199)+ROW()/1000000000,"")</f>
        <v/>
      </c>
      <c r="V4199" s="64">
        <f>IF($A4199="","",IF(COUNTIF(변동분석!$E$7:$E$506,O4199)&gt;0,"Y","N"))</f>
        <v/>
      </c>
      <c r="W4199" s="64">
        <f>IF($A4199="","",IFERROR(INDEX(계정매핑!$D$5:$D$504,MATCH($F4199&amp;"",계정매핑!$A$5:$A$504,0)),"미매핑"))</f>
        <v/>
      </c>
      <c r="X4199" s="9">
        <f>IF($A4199="","",$F4199&amp;"")</f>
        <v/>
      </c>
      <c r="Y4199" s="94">
        <f>IF($A4199="",0,IF(AE4199="직접",IF(AF4199="비귀속",$P4199,0),$P4199*(1-AG4199)*IFERROR(INDEX(계정대체기준!$F$20:$F$49,MATCH($N4199,계정대체기준!$A$20:$A$49,0)),1)))</f>
        <v/>
      </c>
      <c r="Z4199" s="94">
        <f>IF($A4199="",0,IF(AE4199="직접",IF(AF4199="신계약비",$P4199,0),$P4199*(1-AG4199)*IFERROR(INDEX(계정대체기준!$C$20:$C$49,MATCH($N4199,계정대체기준!$A$20:$A$49,0)),0)))</f>
        <v/>
      </c>
      <c r="AA4199" s="94">
        <f>IF($A4199="",0,IF(AE4199="직접",IF(OR(AF4199="유지비",AF4199="손해조사비"),$P4199,0),$P4199*(1-AG4199)*IFERROR(INDEX(계정대체기준!$D$20:$D$49,MATCH($N4199,계정대체기준!$A$20:$A$49,0)),0)))</f>
        <v/>
      </c>
      <c r="AB4199" s="94">
        <f>IF($A4199="",0,IF(AE4199="직접",IF(AF4199="수금비",$P4199,0),$P4199*(1-AG4199)*IFERROR(INDEX(계정대체기준!$E$20:$E$49,MATCH($N4199,계정대체기준!$A$20:$A$49,0)),0)))</f>
        <v/>
      </c>
      <c r="AC4199" s="9">
        <f>IF(AND($A4199&lt;&gt;"",M4199=설정!$C$20,Z4199&gt;0),Z4199+ROW()/1000000000,"")</f>
        <v/>
      </c>
      <c r="AD4199" s="94">
        <f>IF($A4199="",0,$P4199*AG4199)</f>
        <v/>
      </c>
      <c r="AE4199" s="64">
        <f>IF($A4199="","",IFERROR(INDEX(계정매핑!$E$5:$E$504,MATCH($F4199&amp;"",계정매핑!$A$5:$A$504,0))&amp;"","공통비"))</f>
        <v/>
      </c>
      <c r="AF4199" s="64">
        <f>IF($A4199="","",IF(AE4199="직접",IFERROR(INDEX(계정매핑!$F$5:$F$504,MATCH($F4199&amp;"",계정매핑!$A$5:$A$504,0))&amp;"","비귀속"),""))</f>
        <v/>
      </c>
      <c r="AG4199" s="96">
        <f>IF($A4199="",0,IF(AND(AE4199&lt;&gt;"직접",IFERROR(INDEX(계정매핑!$G$5:$G$504,MATCH($F4199&amp;"",계정매핑!$A$5:$A$504,0))&amp;"","")="유지비",COUNTIF(계정대체기준!$A$6:$A$15,$N4199)&gt;0),IFERROR(INDEX(계정대체기준!$E$6:$E$15,MATCH(VALUE($A4199&amp;""),계정대체기준!$D$6:$D$15,0)),0),0))</f>
        <v/>
      </c>
      <c r="AH4199" s="64">
        <f>IF($A4199="","",IF(AD4199=0,"",IF(OR(COUNTIF(계정대체기준!$A$77:$A$86,$N4199)&gt;0,ISNUMBER(MATCH($X4199,계정대체기준!$D$77:$D$86,0)),ISNUMBER(MATCH($F4199,계정대체기준!$D$77:$D$86,0))),"Y","N")))</f>
        <v/>
      </c>
    </row>
    <row r="4200">
      <c r="A4200" s="92" t="n">
        <v>2026</v>
      </c>
      <c r="B4200" s="92" t="n">
        <v>7</v>
      </c>
      <c r="C4200" s="92" t="inlineStr">
        <is>
          <t>5100001478</t>
        </is>
      </c>
      <c r="D4200" s="95" t="n">
        <v>46217</v>
      </c>
      <c r="E4200" s="92" t="inlineStr">
        <is>
          <t>KR</t>
        </is>
      </c>
      <c r="F4200" s="92" t="n">
        <v>62102000</v>
      </c>
      <c r="G4200" s="92" t="n">
        <v>1201</v>
      </c>
      <c r="H4200" s="93" t="n">
        <v>46000</v>
      </c>
      <c r="I4200" s="92" t="inlineStr">
        <is>
          <t>7월 해외출장 - M항공</t>
        </is>
      </c>
      <c r="J4200" s="92" t="inlineStr">
        <is>
          <t>V10001</t>
        </is>
      </c>
      <c r="K4200" s="92" t="inlineStr">
        <is>
          <t>M항공</t>
        </is>
      </c>
      <c r="M4200" s="9">
        <f>IF($A4200="","",VALUE($A4200&amp;"")*12+VALUE($B4200&amp;""))</f>
        <v/>
      </c>
      <c r="N4200" s="64">
        <f>IF($A4200="","",IFERROR(INDEX(부서매핑!$C$5:$C$504,MATCH($G4200&amp;"",부서매핑!$A$5:$A$504,0)),"미매핑"))</f>
        <v/>
      </c>
      <c r="O4200" s="9">
        <f>IF($A4200="","",N4200&amp;"|"&amp;$F4200)</f>
        <v/>
      </c>
      <c r="P4200" s="94">
        <f>IF($A4200="",0,$H4200*설정!$C$23)</f>
        <v/>
      </c>
      <c r="Q4200" s="64">
        <f>IF($A4200="","",IF(O4200&lt;&gt;원인분석!$C$9,"",IF(AND(M4200&gt;=원인분석!$C$10,M4200&lt;=원인분석!$C$11),"당기",IF(AND(M4200&gt;=원인분석!$C$12,M4200&lt;=원인분석!$C$13),"비교",""))))</f>
        <v/>
      </c>
      <c r="R4200" s="9">
        <f>IF(Q4200="","",$K4200&amp;"")</f>
        <v/>
      </c>
      <c r="S4200" s="9">
        <f>IF(Q4200="","",IF(MATCH(R4200,$R$5:$R$100000,0)=ROW()-4,ROW(),""))</f>
        <v/>
      </c>
      <c r="T4200" s="9">
        <f>IF(Q4200="당기",ABS(P4200)+ROW()/1000000000,"")</f>
        <v/>
      </c>
      <c r="U4200" s="9">
        <f>IF(Q4200="비교",ABS(P4200)+ROW()/1000000000,"")</f>
        <v/>
      </c>
      <c r="V4200" s="64">
        <f>IF($A4200="","",IF(COUNTIF(변동분석!$E$7:$E$506,O4200)&gt;0,"Y","N"))</f>
        <v/>
      </c>
      <c r="W4200" s="64">
        <f>IF($A4200="","",IFERROR(INDEX(계정매핑!$D$5:$D$504,MATCH($F4200&amp;"",계정매핑!$A$5:$A$504,0)),"미매핑"))</f>
        <v/>
      </c>
      <c r="X4200" s="9">
        <f>IF($A4200="","",$F4200&amp;"")</f>
        <v/>
      </c>
      <c r="Y4200" s="94">
        <f>IF($A4200="",0,IF(AE4200="직접",IF(AF4200="비귀속",$P4200,0),$P4200*(1-AG4200)*IFERROR(INDEX(계정대체기준!$F$20:$F$49,MATCH($N4200,계정대체기준!$A$20:$A$49,0)),1)))</f>
        <v/>
      </c>
      <c r="Z4200" s="94">
        <f>IF($A4200="",0,IF(AE4200="직접",IF(AF4200="신계약비",$P4200,0),$P4200*(1-AG4200)*IFERROR(INDEX(계정대체기준!$C$20:$C$49,MATCH($N4200,계정대체기준!$A$20:$A$49,0)),0)))</f>
        <v/>
      </c>
      <c r="AA4200" s="94">
        <f>IF($A4200="",0,IF(AE4200="직접",IF(OR(AF4200="유지비",AF4200="손해조사비"),$P4200,0),$P4200*(1-AG4200)*IFERROR(INDEX(계정대체기준!$D$20:$D$49,MATCH($N4200,계정대체기준!$A$20:$A$49,0)),0)))</f>
        <v/>
      </c>
      <c r="AB4200" s="94">
        <f>IF($A4200="",0,IF(AE4200="직접",IF(AF4200="수금비",$P4200,0),$P4200*(1-AG4200)*IFERROR(INDEX(계정대체기준!$E$20:$E$49,MATCH($N4200,계정대체기준!$A$20:$A$49,0)),0)))</f>
        <v/>
      </c>
      <c r="AC4200" s="9">
        <f>IF(AND($A4200&lt;&gt;"",M4200=설정!$C$20,Z4200&gt;0),Z4200+ROW()/1000000000,"")</f>
        <v/>
      </c>
      <c r="AD4200" s="94">
        <f>IF($A4200="",0,$P4200*AG4200)</f>
        <v/>
      </c>
      <c r="AE4200" s="64">
        <f>IF($A4200="","",IFERROR(INDEX(계정매핑!$E$5:$E$504,MATCH($F4200&amp;"",계정매핑!$A$5:$A$504,0))&amp;"","공통비"))</f>
        <v/>
      </c>
      <c r="AF4200" s="64">
        <f>IF($A4200="","",IF(AE4200="직접",IFERROR(INDEX(계정매핑!$F$5:$F$504,MATCH($F4200&amp;"",계정매핑!$A$5:$A$504,0))&amp;"","비귀속"),""))</f>
        <v/>
      </c>
      <c r="AG4200" s="96">
        <f>IF($A4200="",0,IF(AND(AE4200&lt;&gt;"직접",IFERROR(INDEX(계정매핑!$G$5:$G$504,MATCH($F4200&amp;"",계정매핑!$A$5:$A$504,0))&amp;"","")="유지비",COUNTIF(계정대체기준!$A$6:$A$15,$N4200)&gt;0),IFERROR(INDEX(계정대체기준!$E$6:$E$15,MATCH(VALUE($A4200&amp;""),계정대체기준!$D$6:$D$15,0)),0),0))</f>
        <v/>
      </c>
      <c r="AH4200" s="64">
        <f>IF($A4200="","",IF(AD4200=0,"",IF(OR(COUNTIF(계정대체기준!$A$77:$A$86,$N4200)&gt;0,ISNUMBER(MATCH($X4200,계정대체기준!$D$77:$D$86,0)),ISNUMBER(MATCH($F4200,계정대체기준!$D$77:$D$86,0))),"Y","N")))</f>
        <v/>
      </c>
    </row>
    <row r="4201">
      <c r="A4201" s="92" t="n">
        <v>2026</v>
      </c>
      <c r="B4201" s="92" t="n">
        <v>7</v>
      </c>
      <c r="C4201" s="92" t="inlineStr">
        <is>
          <t>5100001479</t>
        </is>
      </c>
      <c r="D4201" s="95" t="n">
        <v>46217</v>
      </c>
      <c r="E4201" s="92" t="inlineStr">
        <is>
          <t>KR</t>
        </is>
      </c>
      <c r="F4201" s="92" t="n">
        <v>62501000</v>
      </c>
      <c r="G4201" s="92" t="n">
        <v>1701</v>
      </c>
      <c r="H4201" s="93" t="n">
        <v>98000</v>
      </c>
      <c r="I4201" s="92" t="inlineStr">
        <is>
          <t>7월 회의 다과 - (법인카드)</t>
        </is>
      </c>
      <c r="J4201" s="92" t="inlineStr">
        <is>
          <t>V10010</t>
        </is>
      </c>
      <c r="K4201" s="92" t="inlineStr">
        <is>
          <t>(법인카드)</t>
        </is>
      </c>
      <c r="M4201" s="9">
        <f>IF($A4201="","",VALUE($A4201&amp;"")*12+VALUE($B4201&amp;""))</f>
        <v/>
      </c>
      <c r="N4201" s="64">
        <f>IF($A4201="","",IFERROR(INDEX(부서매핑!$C$5:$C$504,MATCH($G4201&amp;"",부서매핑!$A$5:$A$504,0)),"미매핑"))</f>
        <v/>
      </c>
      <c r="O4201" s="9">
        <f>IF($A4201="","",N4201&amp;"|"&amp;$F4201)</f>
        <v/>
      </c>
      <c r="P4201" s="94">
        <f>IF($A4201="",0,$H4201*설정!$C$23)</f>
        <v/>
      </c>
      <c r="Q4201" s="64">
        <f>IF($A4201="","",IF(O4201&lt;&gt;원인분석!$C$9,"",IF(AND(M4201&gt;=원인분석!$C$10,M4201&lt;=원인분석!$C$11),"당기",IF(AND(M4201&gt;=원인분석!$C$12,M4201&lt;=원인분석!$C$13),"비교",""))))</f>
        <v/>
      </c>
      <c r="R4201" s="9">
        <f>IF(Q4201="","",$K4201&amp;"")</f>
        <v/>
      </c>
      <c r="S4201" s="9">
        <f>IF(Q4201="","",IF(MATCH(R4201,$R$5:$R$100000,0)=ROW()-4,ROW(),""))</f>
        <v/>
      </c>
      <c r="T4201" s="9">
        <f>IF(Q4201="당기",ABS(P4201)+ROW()/1000000000,"")</f>
        <v/>
      </c>
      <c r="U4201" s="9">
        <f>IF(Q4201="비교",ABS(P4201)+ROW()/1000000000,"")</f>
        <v/>
      </c>
      <c r="V4201" s="64">
        <f>IF($A4201="","",IF(COUNTIF(변동분석!$E$7:$E$506,O4201)&gt;0,"Y","N"))</f>
        <v/>
      </c>
      <c r="W4201" s="64">
        <f>IF($A4201="","",IFERROR(INDEX(계정매핑!$D$5:$D$504,MATCH($F4201&amp;"",계정매핑!$A$5:$A$504,0)),"미매핑"))</f>
        <v/>
      </c>
      <c r="X4201" s="9">
        <f>IF($A4201="","",$F4201&amp;"")</f>
        <v/>
      </c>
      <c r="Y4201" s="94">
        <f>IF($A4201="",0,IF(AE4201="직접",IF(AF4201="비귀속",$P4201,0),$P4201*(1-AG4201)*IFERROR(INDEX(계정대체기준!$F$20:$F$49,MATCH($N4201,계정대체기준!$A$20:$A$49,0)),1)))</f>
        <v/>
      </c>
      <c r="Z4201" s="94">
        <f>IF($A4201="",0,IF(AE4201="직접",IF(AF4201="신계약비",$P4201,0),$P4201*(1-AG4201)*IFERROR(INDEX(계정대체기준!$C$20:$C$49,MATCH($N4201,계정대체기준!$A$20:$A$49,0)),0)))</f>
        <v/>
      </c>
      <c r="AA4201" s="94">
        <f>IF($A4201="",0,IF(AE4201="직접",IF(OR(AF4201="유지비",AF4201="손해조사비"),$P4201,0),$P4201*(1-AG4201)*IFERROR(INDEX(계정대체기준!$D$20:$D$49,MATCH($N4201,계정대체기준!$A$20:$A$49,0)),0)))</f>
        <v/>
      </c>
      <c r="AB4201" s="94">
        <f>IF($A4201="",0,IF(AE4201="직접",IF(AF4201="수금비",$P4201,0),$P4201*(1-AG4201)*IFERROR(INDEX(계정대체기준!$E$20:$E$49,MATCH($N4201,계정대체기준!$A$20:$A$49,0)),0)))</f>
        <v/>
      </c>
      <c r="AC4201" s="9">
        <f>IF(AND($A4201&lt;&gt;"",M4201=설정!$C$20,Z4201&gt;0),Z4201+ROW()/1000000000,"")</f>
        <v/>
      </c>
      <c r="AD4201" s="94">
        <f>IF($A4201="",0,$P4201*AG4201)</f>
        <v/>
      </c>
      <c r="AE4201" s="64">
        <f>IF($A4201="","",IFERROR(INDEX(계정매핑!$E$5:$E$504,MATCH($F4201&amp;"",계정매핑!$A$5:$A$504,0))&amp;"","공통비"))</f>
        <v/>
      </c>
      <c r="AF4201" s="64">
        <f>IF($A4201="","",IF(AE4201="직접",IFERROR(INDEX(계정매핑!$F$5:$F$504,MATCH($F4201&amp;"",계정매핑!$A$5:$A$504,0))&amp;"","비귀속"),""))</f>
        <v/>
      </c>
      <c r="AG4201" s="96">
        <f>IF($A4201="",0,IF(AND(AE4201&lt;&gt;"직접",IFERROR(INDEX(계정매핑!$G$5:$G$504,MATCH($F4201&amp;"",계정매핑!$A$5:$A$504,0))&amp;"","")="유지비",COUNTIF(계정대체기준!$A$6:$A$15,$N4201)&gt;0),IFERROR(INDEX(계정대체기준!$E$6:$E$15,MATCH(VALUE($A4201&amp;""),계정대체기준!$D$6:$D$15,0)),0),0))</f>
        <v/>
      </c>
      <c r="AH4201" s="64">
        <f>IF($A4201="","",IF(AD4201=0,"",IF(OR(COUNTIF(계정대체기준!$A$77:$A$86,$N4201)&gt;0,ISNUMBER(MATCH($X4201,계정대체기준!$D$77:$D$86,0)),ISNUMBER(MATCH($F4201,계정대체기준!$D$77:$D$86,0))),"Y","N")))</f>
        <v/>
      </c>
    </row>
    <row r="4202">
      <c r="A4202" s="92" t="n">
        <v>2026</v>
      </c>
      <c r="B4202" s="92" t="n">
        <v>7</v>
      </c>
      <c r="C4202" s="92" t="inlineStr">
        <is>
          <t>5100001480</t>
        </is>
      </c>
      <c r="D4202" s="95" t="n">
        <v>46217</v>
      </c>
      <c r="E4202" s="92" t="inlineStr">
        <is>
          <t>KR</t>
        </is>
      </c>
      <c r="F4202" s="92" t="n">
        <v>62501000</v>
      </c>
      <c r="G4202" s="92" t="n">
        <v>1801</v>
      </c>
      <c r="H4202" s="93" t="n">
        <v>102000</v>
      </c>
      <c r="I4202" s="92" t="inlineStr">
        <is>
          <t>7월 회의 다과 - (법인카드)</t>
        </is>
      </c>
      <c r="J4202" s="92" t="inlineStr">
        <is>
          <t>V10010</t>
        </is>
      </c>
      <c r="K4202" s="92" t="inlineStr">
        <is>
          <t>(법인카드)</t>
        </is>
      </c>
      <c r="M4202" s="9">
        <f>IF($A4202="","",VALUE($A4202&amp;"")*12+VALUE($B4202&amp;""))</f>
        <v/>
      </c>
      <c r="N4202" s="64">
        <f>IF($A4202="","",IFERROR(INDEX(부서매핑!$C$5:$C$504,MATCH($G4202&amp;"",부서매핑!$A$5:$A$504,0)),"미매핑"))</f>
        <v/>
      </c>
      <c r="O4202" s="9">
        <f>IF($A4202="","",N4202&amp;"|"&amp;$F4202)</f>
        <v/>
      </c>
      <c r="P4202" s="94">
        <f>IF($A4202="",0,$H4202*설정!$C$23)</f>
        <v/>
      </c>
      <c r="Q4202" s="64">
        <f>IF($A4202="","",IF(O4202&lt;&gt;원인분석!$C$9,"",IF(AND(M4202&gt;=원인분석!$C$10,M4202&lt;=원인분석!$C$11),"당기",IF(AND(M4202&gt;=원인분석!$C$12,M4202&lt;=원인분석!$C$13),"비교",""))))</f>
        <v/>
      </c>
      <c r="R4202" s="9">
        <f>IF(Q4202="","",$K4202&amp;"")</f>
        <v/>
      </c>
      <c r="S4202" s="9">
        <f>IF(Q4202="","",IF(MATCH(R4202,$R$5:$R$100000,0)=ROW()-4,ROW(),""))</f>
        <v/>
      </c>
      <c r="T4202" s="9">
        <f>IF(Q4202="당기",ABS(P4202)+ROW()/1000000000,"")</f>
        <v/>
      </c>
      <c r="U4202" s="9">
        <f>IF(Q4202="비교",ABS(P4202)+ROW()/1000000000,"")</f>
        <v/>
      </c>
      <c r="V4202" s="64">
        <f>IF($A4202="","",IF(COUNTIF(변동분석!$E$7:$E$506,O4202)&gt;0,"Y","N"))</f>
        <v/>
      </c>
      <c r="W4202" s="64">
        <f>IF($A4202="","",IFERROR(INDEX(계정매핑!$D$5:$D$504,MATCH($F4202&amp;"",계정매핑!$A$5:$A$504,0)),"미매핑"))</f>
        <v/>
      </c>
      <c r="X4202" s="9">
        <f>IF($A4202="","",$F4202&amp;"")</f>
        <v/>
      </c>
      <c r="Y4202" s="94">
        <f>IF($A4202="",0,IF(AE4202="직접",IF(AF4202="비귀속",$P4202,0),$P4202*(1-AG4202)*IFERROR(INDEX(계정대체기준!$F$20:$F$49,MATCH($N4202,계정대체기준!$A$20:$A$49,0)),1)))</f>
        <v/>
      </c>
      <c r="Z4202" s="94">
        <f>IF($A4202="",0,IF(AE4202="직접",IF(AF4202="신계약비",$P4202,0),$P4202*(1-AG4202)*IFERROR(INDEX(계정대체기준!$C$20:$C$49,MATCH($N4202,계정대체기준!$A$20:$A$49,0)),0)))</f>
        <v/>
      </c>
      <c r="AA4202" s="94">
        <f>IF($A4202="",0,IF(AE4202="직접",IF(OR(AF4202="유지비",AF4202="손해조사비"),$P4202,0),$P4202*(1-AG4202)*IFERROR(INDEX(계정대체기준!$D$20:$D$49,MATCH($N4202,계정대체기준!$A$20:$A$49,0)),0)))</f>
        <v/>
      </c>
      <c r="AB4202" s="94">
        <f>IF($A4202="",0,IF(AE4202="직접",IF(AF4202="수금비",$P4202,0),$P4202*(1-AG4202)*IFERROR(INDEX(계정대체기준!$E$20:$E$49,MATCH($N4202,계정대체기준!$A$20:$A$49,0)),0)))</f>
        <v/>
      </c>
      <c r="AC4202" s="9">
        <f>IF(AND($A4202&lt;&gt;"",M4202=설정!$C$20,Z4202&gt;0),Z4202+ROW()/1000000000,"")</f>
        <v/>
      </c>
      <c r="AD4202" s="94">
        <f>IF($A4202="",0,$P4202*AG4202)</f>
        <v/>
      </c>
      <c r="AE4202" s="64">
        <f>IF($A4202="","",IFERROR(INDEX(계정매핑!$E$5:$E$504,MATCH($F4202&amp;"",계정매핑!$A$5:$A$504,0))&amp;"","공통비"))</f>
        <v/>
      </c>
      <c r="AF4202" s="64">
        <f>IF($A4202="","",IF(AE4202="직접",IFERROR(INDEX(계정매핑!$F$5:$F$504,MATCH($F4202&amp;"",계정매핑!$A$5:$A$504,0))&amp;"","비귀속"),""))</f>
        <v/>
      </c>
      <c r="AG4202" s="96">
        <f>IF($A4202="",0,IF(AND(AE4202&lt;&gt;"직접",IFERROR(INDEX(계정매핑!$G$5:$G$504,MATCH($F4202&amp;"",계정매핑!$A$5:$A$504,0))&amp;"","")="유지비",COUNTIF(계정대체기준!$A$6:$A$15,$N4202)&gt;0),IFERROR(INDEX(계정대체기준!$E$6:$E$15,MATCH(VALUE($A4202&amp;""),계정대체기준!$D$6:$D$15,0)),0),0))</f>
        <v/>
      </c>
      <c r="AH4202" s="64">
        <f>IF($A4202="","",IF(AD4202=0,"",IF(OR(COUNTIF(계정대체기준!$A$77:$A$86,$N4202)&gt;0,ISNUMBER(MATCH($X4202,계정대체기준!$D$77:$D$86,0)),ISNUMBER(MATCH($F4202,계정대체기준!$D$77:$D$86,0))),"Y","N")))</f>
        <v/>
      </c>
    </row>
    <row r="4203">
      <c r="A4203" s="92" t="n">
        <v>2026</v>
      </c>
      <c r="B4203" s="92" t="n">
        <v>7</v>
      </c>
      <c r="C4203" s="92" t="inlineStr">
        <is>
          <t>5100001481</t>
        </is>
      </c>
      <c r="D4203" s="95" t="n">
        <v>46217</v>
      </c>
      <c r="E4203" s="92" t="inlineStr">
        <is>
          <t>KR</t>
        </is>
      </c>
      <c r="F4203" s="92" t="n">
        <v>62902000</v>
      </c>
      <c r="G4203" s="92" t="n">
        <v>1401</v>
      </c>
      <c r="H4203" s="93" t="n">
        <v>1477000</v>
      </c>
      <c r="I4203" s="92" t="inlineStr">
        <is>
          <t>7월 업무 위탁 수수료 - X서비스</t>
        </is>
      </c>
      <c r="J4203" s="92" t="inlineStr">
        <is>
          <t>V10020</t>
        </is>
      </c>
      <c r="K4203" s="92" t="inlineStr">
        <is>
          <t>X서비스</t>
        </is>
      </c>
      <c r="M4203" s="9">
        <f>IF($A4203="","",VALUE($A4203&amp;"")*12+VALUE($B4203&amp;""))</f>
        <v/>
      </c>
      <c r="N4203" s="64">
        <f>IF($A4203="","",IFERROR(INDEX(부서매핑!$C$5:$C$504,MATCH($G4203&amp;"",부서매핑!$A$5:$A$504,0)),"미매핑"))</f>
        <v/>
      </c>
      <c r="O4203" s="9">
        <f>IF($A4203="","",N4203&amp;"|"&amp;$F4203)</f>
        <v/>
      </c>
      <c r="P4203" s="94">
        <f>IF($A4203="",0,$H4203*설정!$C$23)</f>
        <v/>
      </c>
      <c r="Q4203" s="64">
        <f>IF($A4203="","",IF(O4203&lt;&gt;원인분석!$C$9,"",IF(AND(M4203&gt;=원인분석!$C$10,M4203&lt;=원인분석!$C$11),"당기",IF(AND(M4203&gt;=원인분석!$C$12,M4203&lt;=원인분석!$C$13),"비교",""))))</f>
        <v/>
      </c>
      <c r="R4203" s="9">
        <f>IF(Q4203="","",$K4203&amp;"")</f>
        <v/>
      </c>
      <c r="S4203" s="9">
        <f>IF(Q4203="","",IF(MATCH(R4203,$R$5:$R$100000,0)=ROW()-4,ROW(),""))</f>
        <v/>
      </c>
      <c r="T4203" s="9">
        <f>IF(Q4203="당기",ABS(P4203)+ROW()/1000000000,"")</f>
        <v/>
      </c>
      <c r="U4203" s="9">
        <f>IF(Q4203="비교",ABS(P4203)+ROW()/1000000000,"")</f>
        <v/>
      </c>
      <c r="V4203" s="64">
        <f>IF($A4203="","",IF(COUNTIF(변동분석!$E$7:$E$506,O4203)&gt;0,"Y","N"))</f>
        <v/>
      </c>
      <c r="W4203" s="64">
        <f>IF($A4203="","",IFERROR(INDEX(계정매핑!$D$5:$D$504,MATCH($F4203&amp;"",계정매핑!$A$5:$A$504,0)),"미매핑"))</f>
        <v/>
      </c>
      <c r="X4203" s="9">
        <f>IF($A4203="","",$F4203&amp;"")</f>
        <v/>
      </c>
      <c r="Y4203" s="94">
        <f>IF($A4203="",0,IF(AE4203="직접",IF(AF4203="비귀속",$P4203,0),$P4203*(1-AG4203)*IFERROR(INDEX(계정대체기준!$F$20:$F$49,MATCH($N4203,계정대체기준!$A$20:$A$49,0)),1)))</f>
        <v/>
      </c>
      <c r="Z4203" s="94">
        <f>IF($A4203="",0,IF(AE4203="직접",IF(AF4203="신계약비",$P4203,0),$P4203*(1-AG4203)*IFERROR(INDEX(계정대체기준!$C$20:$C$49,MATCH($N4203,계정대체기준!$A$20:$A$49,0)),0)))</f>
        <v/>
      </c>
      <c r="AA4203" s="94">
        <f>IF($A4203="",0,IF(AE4203="직접",IF(OR(AF4203="유지비",AF4203="손해조사비"),$P4203,0),$P4203*(1-AG4203)*IFERROR(INDEX(계정대체기준!$D$20:$D$49,MATCH($N4203,계정대체기준!$A$20:$A$49,0)),0)))</f>
        <v/>
      </c>
      <c r="AB4203" s="94">
        <f>IF($A4203="",0,IF(AE4203="직접",IF(AF4203="수금비",$P4203,0),$P4203*(1-AG4203)*IFERROR(INDEX(계정대체기준!$E$20:$E$49,MATCH($N4203,계정대체기준!$A$20:$A$49,0)),0)))</f>
        <v/>
      </c>
      <c r="AC4203" s="9">
        <f>IF(AND($A4203&lt;&gt;"",M4203=설정!$C$20,Z4203&gt;0),Z4203+ROW()/1000000000,"")</f>
        <v/>
      </c>
      <c r="AD4203" s="94">
        <f>IF($A4203="",0,$P4203*AG4203)</f>
        <v/>
      </c>
      <c r="AE4203" s="64">
        <f>IF($A4203="","",IFERROR(INDEX(계정매핑!$E$5:$E$504,MATCH($F4203&amp;"",계정매핑!$A$5:$A$504,0))&amp;"","공통비"))</f>
        <v/>
      </c>
      <c r="AF4203" s="64">
        <f>IF($A4203="","",IF(AE4203="직접",IFERROR(INDEX(계정매핑!$F$5:$F$504,MATCH($F4203&amp;"",계정매핑!$A$5:$A$504,0))&amp;"","비귀속"),""))</f>
        <v/>
      </c>
      <c r="AG4203" s="96">
        <f>IF($A4203="",0,IF(AND(AE4203&lt;&gt;"직접",IFERROR(INDEX(계정매핑!$G$5:$G$504,MATCH($F4203&amp;"",계정매핑!$A$5:$A$504,0))&amp;"","")="유지비",COUNTIF(계정대체기준!$A$6:$A$15,$N4203)&gt;0),IFERROR(INDEX(계정대체기준!$E$6:$E$15,MATCH(VALUE($A4203&amp;""),계정대체기준!$D$6:$D$15,0)),0),0))</f>
        <v/>
      </c>
      <c r="AH4203" s="64">
        <f>IF($A4203="","",IF(AD4203=0,"",IF(OR(COUNTIF(계정대체기준!$A$77:$A$86,$N4203)&gt;0,ISNUMBER(MATCH($X4203,계정대체기준!$D$77:$D$86,0)),ISNUMBER(MATCH($F4203,계정대체기준!$D$77:$D$86,0))),"Y","N")))</f>
        <v/>
      </c>
    </row>
    <row r="4204">
      <c r="A4204" s="92" t="n">
        <v>2026</v>
      </c>
      <c r="B4204" s="92" t="n">
        <v>7</v>
      </c>
      <c r="C4204" s="92" t="inlineStr">
        <is>
          <t>5100001482</t>
        </is>
      </c>
      <c r="D4204" s="95" t="n">
        <v>46217</v>
      </c>
      <c r="E4204" s="92" t="inlineStr">
        <is>
          <t>KR</t>
        </is>
      </c>
      <c r="F4204" s="92" t="n">
        <v>62902000</v>
      </c>
      <c r="G4204" s="92" t="n">
        <v>1801</v>
      </c>
      <c r="H4204" s="93" t="n">
        <v>1760000</v>
      </c>
      <c r="I4204" s="92" t="inlineStr">
        <is>
          <t>7월 콜 위탁 수수료(건별)</t>
        </is>
      </c>
      <c r="J4204" s="92" t="inlineStr">
        <is>
          <t>V10016</t>
        </is>
      </c>
      <c r="K4204" s="92" t="inlineStr">
        <is>
          <t>J콜센터</t>
        </is>
      </c>
      <c r="M4204" s="9">
        <f>IF($A4204="","",VALUE($A4204&amp;"")*12+VALUE($B4204&amp;""))</f>
        <v/>
      </c>
      <c r="N4204" s="64">
        <f>IF($A4204="","",IFERROR(INDEX(부서매핑!$C$5:$C$504,MATCH($G4204&amp;"",부서매핑!$A$5:$A$504,0)),"미매핑"))</f>
        <v/>
      </c>
      <c r="O4204" s="9">
        <f>IF($A4204="","",N4204&amp;"|"&amp;$F4204)</f>
        <v/>
      </c>
      <c r="P4204" s="94">
        <f>IF($A4204="",0,$H4204*설정!$C$23)</f>
        <v/>
      </c>
      <c r="Q4204" s="64">
        <f>IF($A4204="","",IF(O4204&lt;&gt;원인분석!$C$9,"",IF(AND(M4204&gt;=원인분석!$C$10,M4204&lt;=원인분석!$C$11),"당기",IF(AND(M4204&gt;=원인분석!$C$12,M4204&lt;=원인분석!$C$13),"비교",""))))</f>
        <v/>
      </c>
      <c r="R4204" s="9">
        <f>IF(Q4204="","",$K4204&amp;"")</f>
        <v/>
      </c>
      <c r="S4204" s="9">
        <f>IF(Q4204="","",IF(MATCH(R4204,$R$5:$R$100000,0)=ROW()-4,ROW(),""))</f>
        <v/>
      </c>
      <c r="T4204" s="9">
        <f>IF(Q4204="당기",ABS(P4204)+ROW()/1000000000,"")</f>
        <v/>
      </c>
      <c r="U4204" s="9">
        <f>IF(Q4204="비교",ABS(P4204)+ROW()/1000000000,"")</f>
        <v/>
      </c>
      <c r="V4204" s="64">
        <f>IF($A4204="","",IF(COUNTIF(변동분석!$E$7:$E$506,O4204)&gt;0,"Y","N"))</f>
        <v/>
      </c>
      <c r="W4204" s="64">
        <f>IF($A4204="","",IFERROR(INDEX(계정매핑!$D$5:$D$504,MATCH($F4204&amp;"",계정매핑!$A$5:$A$504,0)),"미매핑"))</f>
        <v/>
      </c>
      <c r="X4204" s="9">
        <f>IF($A4204="","",$F4204&amp;"")</f>
        <v/>
      </c>
      <c r="Y4204" s="94">
        <f>IF($A4204="",0,IF(AE4204="직접",IF(AF4204="비귀속",$P4204,0),$P4204*(1-AG4204)*IFERROR(INDEX(계정대체기준!$F$20:$F$49,MATCH($N4204,계정대체기준!$A$20:$A$49,0)),1)))</f>
        <v/>
      </c>
      <c r="Z4204" s="94">
        <f>IF($A4204="",0,IF(AE4204="직접",IF(AF4204="신계약비",$P4204,0),$P4204*(1-AG4204)*IFERROR(INDEX(계정대체기준!$C$20:$C$49,MATCH($N4204,계정대체기준!$A$20:$A$49,0)),0)))</f>
        <v/>
      </c>
      <c r="AA4204" s="94">
        <f>IF($A4204="",0,IF(AE4204="직접",IF(OR(AF4204="유지비",AF4204="손해조사비"),$P4204,0),$P4204*(1-AG4204)*IFERROR(INDEX(계정대체기준!$D$20:$D$49,MATCH($N4204,계정대체기준!$A$20:$A$49,0)),0)))</f>
        <v/>
      </c>
      <c r="AB4204" s="94">
        <f>IF($A4204="",0,IF(AE4204="직접",IF(AF4204="수금비",$P4204,0),$P4204*(1-AG4204)*IFERROR(INDEX(계정대체기준!$E$20:$E$49,MATCH($N4204,계정대체기준!$A$20:$A$49,0)),0)))</f>
        <v/>
      </c>
      <c r="AC4204" s="9">
        <f>IF(AND($A4204&lt;&gt;"",M4204=설정!$C$20,Z4204&gt;0),Z4204+ROW()/1000000000,"")</f>
        <v/>
      </c>
      <c r="AD4204" s="94">
        <f>IF($A4204="",0,$P4204*AG4204)</f>
        <v/>
      </c>
      <c r="AE4204" s="64">
        <f>IF($A4204="","",IFERROR(INDEX(계정매핑!$E$5:$E$504,MATCH($F4204&amp;"",계정매핑!$A$5:$A$504,0))&amp;"","공통비"))</f>
        <v/>
      </c>
      <c r="AF4204" s="64">
        <f>IF($A4204="","",IF(AE4204="직접",IFERROR(INDEX(계정매핑!$F$5:$F$504,MATCH($F4204&amp;"",계정매핑!$A$5:$A$504,0))&amp;"","비귀속"),""))</f>
        <v/>
      </c>
      <c r="AG4204" s="96">
        <f>IF($A4204="",0,IF(AND(AE4204&lt;&gt;"직접",IFERROR(INDEX(계정매핑!$G$5:$G$504,MATCH($F4204&amp;"",계정매핑!$A$5:$A$504,0))&amp;"","")="유지비",COUNTIF(계정대체기준!$A$6:$A$15,$N4204)&gt;0),IFERROR(INDEX(계정대체기준!$E$6:$E$15,MATCH(VALUE($A4204&amp;""),계정대체기준!$D$6:$D$15,0)),0),0))</f>
        <v/>
      </c>
      <c r="AH4204" s="64">
        <f>IF($A4204="","",IF(AD4204=0,"",IF(OR(COUNTIF(계정대체기준!$A$77:$A$86,$N4204)&gt;0,ISNUMBER(MATCH($X4204,계정대체기준!$D$77:$D$86,0)),ISNUMBER(MATCH($F4204,계정대체기준!$D$77:$D$86,0))),"Y","N")))</f>
        <v/>
      </c>
    </row>
    <row r="4205">
      <c r="A4205" s="92" t="n">
        <v>2026</v>
      </c>
      <c r="B4205" s="92" t="n">
        <v>7</v>
      </c>
      <c r="C4205" s="92" t="inlineStr">
        <is>
          <t>5100001483</t>
        </is>
      </c>
      <c r="D4205" s="95" t="n">
        <v>46218</v>
      </c>
      <c r="E4205" s="92" t="inlineStr">
        <is>
          <t>KR</t>
        </is>
      </c>
      <c r="F4205" s="92" t="n">
        <v>62101000</v>
      </c>
      <c r="G4205" s="92" t="n">
        <v>1601</v>
      </c>
      <c r="H4205" s="93" t="n">
        <v>754000</v>
      </c>
      <c r="I4205" s="92" t="inlineStr">
        <is>
          <t>7월 국내출장 - (법인카드)</t>
        </is>
      </c>
      <c r="J4205" s="92" t="inlineStr">
        <is>
          <t>V10010</t>
        </is>
      </c>
      <c r="K4205" s="92" t="inlineStr">
        <is>
          <t>(법인카드)</t>
        </is>
      </c>
      <c r="M4205" s="9">
        <f>IF($A4205="","",VALUE($A4205&amp;"")*12+VALUE($B4205&amp;""))</f>
        <v/>
      </c>
      <c r="N4205" s="64">
        <f>IF($A4205="","",IFERROR(INDEX(부서매핑!$C$5:$C$504,MATCH($G4205&amp;"",부서매핑!$A$5:$A$504,0)),"미매핑"))</f>
        <v/>
      </c>
      <c r="O4205" s="9">
        <f>IF($A4205="","",N4205&amp;"|"&amp;$F4205)</f>
        <v/>
      </c>
      <c r="P4205" s="94">
        <f>IF($A4205="",0,$H4205*설정!$C$23)</f>
        <v/>
      </c>
      <c r="Q4205" s="64">
        <f>IF($A4205="","",IF(O4205&lt;&gt;원인분석!$C$9,"",IF(AND(M4205&gt;=원인분석!$C$10,M4205&lt;=원인분석!$C$11),"당기",IF(AND(M4205&gt;=원인분석!$C$12,M4205&lt;=원인분석!$C$13),"비교",""))))</f>
        <v/>
      </c>
      <c r="R4205" s="9">
        <f>IF(Q4205="","",$K4205&amp;"")</f>
        <v/>
      </c>
      <c r="S4205" s="9">
        <f>IF(Q4205="","",IF(MATCH(R4205,$R$5:$R$100000,0)=ROW()-4,ROW(),""))</f>
        <v/>
      </c>
      <c r="T4205" s="9">
        <f>IF(Q4205="당기",ABS(P4205)+ROW()/1000000000,"")</f>
        <v/>
      </c>
      <c r="U4205" s="9">
        <f>IF(Q4205="비교",ABS(P4205)+ROW()/1000000000,"")</f>
        <v/>
      </c>
      <c r="V4205" s="64">
        <f>IF($A4205="","",IF(COUNTIF(변동분석!$E$7:$E$506,O4205)&gt;0,"Y","N"))</f>
        <v/>
      </c>
      <c r="W4205" s="64">
        <f>IF($A4205="","",IFERROR(INDEX(계정매핑!$D$5:$D$504,MATCH($F4205&amp;"",계정매핑!$A$5:$A$504,0)),"미매핑"))</f>
        <v/>
      </c>
      <c r="X4205" s="9">
        <f>IF($A4205="","",$F4205&amp;"")</f>
        <v/>
      </c>
      <c r="Y4205" s="94">
        <f>IF($A4205="",0,IF(AE4205="직접",IF(AF4205="비귀속",$P4205,0),$P4205*(1-AG4205)*IFERROR(INDEX(계정대체기준!$F$20:$F$49,MATCH($N4205,계정대체기준!$A$20:$A$49,0)),1)))</f>
        <v/>
      </c>
      <c r="Z4205" s="94">
        <f>IF($A4205="",0,IF(AE4205="직접",IF(AF4205="신계약비",$P4205,0),$P4205*(1-AG4205)*IFERROR(INDEX(계정대체기준!$C$20:$C$49,MATCH($N4205,계정대체기준!$A$20:$A$49,0)),0)))</f>
        <v/>
      </c>
      <c r="AA4205" s="94">
        <f>IF($A4205="",0,IF(AE4205="직접",IF(OR(AF4205="유지비",AF4205="손해조사비"),$P4205,0),$P4205*(1-AG4205)*IFERROR(INDEX(계정대체기준!$D$20:$D$49,MATCH($N4205,계정대체기준!$A$20:$A$49,0)),0)))</f>
        <v/>
      </c>
      <c r="AB4205" s="94">
        <f>IF($A4205="",0,IF(AE4205="직접",IF(AF4205="수금비",$P4205,0),$P4205*(1-AG4205)*IFERROR(INDEX(계정대체기준!$E$20:$E$49,MATCH($N4205,계정대체기준!$A$20:$A$49,0)),0)))</f>
        <v/>
      </c>
      <c r="AC4205" s="9">
        <f>IF(AND($A4205&lt;&gt;"",M4205=설정!$C$20,Z4205&gt;0),Z4205+ROW()/1000000000,"")</f>
        <v/>
      </c>
      <c r="AD4205" s="94">
        <f>IF($A4205="",0,$P4205*AG4205)</f>
        <v/>
      </c>
      <c r="AE4205" s="64">
        <f>IF($A4205="","",IFERROR(INDEX(계정매핑!$E$5:$E$504,MATCH($F4205&amp;"",계정매핑!$A$5:$A$504,0))&amp;"","공통비"))</f>
        <v/>
      </c>
      <c r="AF4205" s="64">
        <f>IF($A4205="","",IF(AE4205="직접",IFERROR(INDEX(계정매핑!$F$5:$F$504,MATCH($F4205&amp;"",계정매핑!$A$5:$A$504,0))&amp;"","비귀속"),""))</f>
        <v/>
      </c>
      <c r="AG4205" s="96">
        <f>IF($A4205="",0,IF(AND(AE4205&lt;&gt;"직접",IFERROR(INDEX(계정매핑!$G$5:$G$504,MATCH($F4205&amp;"",계정매핑!$A$5:$A$504,0))&amp;"","")="유지비",COUNTIF(계정대체기준!$A$6:$A$15,$N4205)&gt;0),IFERROR(INDEX(계정대체기준!$E$6:$E$15,MATCH(VALUE($A4205&amp;""),계정대체기준!$D$6:$D$15,0)),0),0))</f>
        <v/>
      </c>
      <c r="AH4205" s="64">
        <f>IF($A4205="","",IF(AD4205=0,"",IF(OR(COUNTIF(계정대체기준!$A$77:$A$86,$N4205)&gt;0,ISNUMBER(MATCH($X4205,계정대체기준!$D$77:$D$86,0)),ISNUMBER(MATCH($F4205,계정대체기준!$D$77:$D$86,0))),"Y","N")))</f>
        <v/>
      </c>
    </row>
    <row r="4206">
      <c r="A4206" s="92" t="n">
        <v>2026</v>
      </c>
      <c r="B4206" s="92" t="n">
        <v>7</v>
      </c>
      <c r="C4206" s="92" t="inlineStr">
        <is>
          <t>5100001484</t>
        </is>
      </c>
      <c r="D4206" s="95" t="n">
        <v>46218</v>
      </c>
      <c r="E4206" s="92" t="inlineStr">
        <is>
          <t>KR</t>
        </is>
      </c>
      <c r="F4206" s="92" t="n">
        <v>62102000</v>
      </c>
      <c r="G4206" s="92" t="n">
        <v>1201</v>
      </c>
      <c r="H4206" s="93" t="n">
        <v>77000</v>
      </c>
      <c r="I4206" s="92" t="inlineStr">
        <is>
          <t>7월 해외출장 - N호텔</t>
        </is>
      </c>
      <c r="J4206" s="92" t="inlineStr">
        <is>
          <t>V10009</t>
        </is>
      </c>
      <c r="K4206" s="92" t="inlineStr">
        <is>
          <t>N호텔</t>
        </is>
      </c>
      <c r="M4206" s="9">
        <f>IF($A4206="","",VALUE($A4206&amp;"")*12+VALUE($B4206&amp;""))</f>
        <v/>
      </c>
      <c r="N4206" s="64">
        <f>IF($A4206="","",IFERROR(INDEX(부서매핑!$C$5:$C$504,MATCH($G4206&amp;"",부서매핑!$A$5:$A$504,0)),"미매핑"))</f>
        <v/>
      </c>
      <c r="O4206" s="9">
        <f>IF($A4206="","",N4206&amp;"|"&amp;$F4206)</f>
        <v/>
      </c>
      <c r="P4206" s="94">
        <f>IF($A4206="",0,$H4206*설정!$C$23)</f>
        <v/>
      </c>
      <c r="Q4206" s="64">
        <f>IF($A4206="","",IF(O4206&lt;&gt;원인분석!$C$9,"",IF(AND(M4206&gt;=원인분석!$C$10,M4206&lt;=원인분석!$C$11),"당기",IF(AND(M4206&gt;=원인분석!$C$12,M4206&lt;=원인분석!$C$13),"비교",""))))</f>
        <v/>
      </c>
      <c r="R4206" s="9">
        <f>IF(Q4206="","",$K4206&amp;"")</f>
        <v/>
      </c>
      <c r="S4206" s="9">
        <f>IF(Q4206="","",IF(MATCH(R4206,$R$5:$R$100000,0)=ROW()-4,ROW(),""))</f>
        <v/>
      </c>
      <c r="T4206" s="9">
        <f>IF(Q4206="당기",ABS(P4206)+ROW()/1000000000,"")</f>
        <v/>
      </c>
      <c r="U4206" s="9">
        <f>IF(Q4206="비교",ABS(P4206)+ROW()/1000000000,"")</f>
        <v/>
      </c>
      <c r="V4206" s="64">
        <f>IF($A4206="","",IF(COUNTIF(변동분석!$E$7:$E$506,O4206)&gt;0,"Y","N"))</f>
        <v/>
      </c>
      <c r="W4206" s="64">
        <f>IF($A4206="","",IFERROR(INDEX(계정매핑!$D$5:$D$504,MATCH($F4206&amp;"",계정매핑!$A$5:$A$504,0)),"미매핑"))</f>
        <v/>
      </c>
      <c r="X4206" s="9">
        <f>IF($A4206="","",$F4206&amp;"")</f>
        <v/>
      </c>
      <c r="Y4206" s="94">
        <f>IF($A4206="",0,IF(AE4206="직접",IF(AF4206="비귀속",$P4206,0),$P4206*(1-AG4206)*IFERROR(INDEX(계정대체기준!$F$20:$F$49,MATCH($N4206,계정대체기준!$A$20:$A$49,0)),1)))</f>
        <v/>
      </c>
      <c r="Z4206" s="94">
        <f>IF($A4206="",0,IF(AE4206="직접",IF(AF4206="신계약비",$P4206,0),$P4206*(1-AG4206)*IFERROR(INDEX(계정대체기준!$C$20:$C$49,MATCH($N4206,계정대체기준!$A$20:$A$49,0)),0)))</f>
        <v/>
      </c>
      <c r="AA4206" s="94">
        <f>IF($A4206="",0,IF(AE4206="직접",IF(OR(AF4206="유지비",AF4206="손해조사비"),$P4206,0),$P4206*(1-AG4206)*IFERROR(INDEX(계정대체기준!$D$20:$D$49,MATCH($N4206,계정대체기준!$A$20:$A$49,0)),0)))</f>
        <v/>
      </c>
      <c r="AB4206" s="94">
        <f>IF($A4206="",0,IF(AE4206="직접",IF(AF4206="수금비",$P4206,0),$P4206*(1-AG4206)*IFERROR(INDEX(계정대체기준!$E$20:$E$49,MATCH($N4206,계정대체기준!$A$20:$A$49,0)),0)))</f>
        <v/>
      </c>
      <c r="AC4206" s="9">
        <f>IF(AND($A4206&lt;&gt;"",M4206=설정!$C$20,Z4206&gt;0),Z4206+ROW()/1000000000,"")</f>
        <v/>
      </c>
      <c r="AD4206" s="94">
        <f>IF($A4206="",0,$P4206*AG4206)</f>
        <v/>
      </c>
      <c r="AE4206" s="64">
        <f>IF($A4206="","",IFERROR(INDEX(계정매핑!$E$5:$E$504,MATCH($F4206&amp;"",계정매핑!$A$5:$A$504,0))&amp;"","공통비"))</f>
        <v/>
      </c>
      <c r="AF4206" s="64">
        <f>IF($A4206="","",IF(AE4206="직접",IFERROR(INDEX(계정매핑!$F$5:$F$504,MATCH($F4206&amp;"",계정매핑!$A$5:$A$504,0))&amp;"","비귀속"),""))</f>
        <v/>
      </c>
      <c r="AG4206" s="96">
        <f>IF($A4206="",0,IF(AND(AE4206&lt;&gt;"직접",IFERROR(INDEX(계정매핑!$G$5:$G$504,MATCH($F4206&amp;"",계정매핑!$A$5:$A$504,0))&amp;"","")="유지비",COUNTIF(계정대체기준!$A$6:$A$15,$N4206)&gt;0),IFERROR(INDEX(계정대체기준!$E$6:$E$15,MATCH(VALUE($A4206&amp;""),계정대체기준!$D$6:$D$15,0)),0),0))</f>
        <v/>
      </c>
      <c r="AH4206" s="64">
        <f>IF($A4206="","",IF(AD4206=0,"",IF(OR(COUNTIF(계정대체기준!$A$77:$A$86,$N4206)&gt;0,ISNUMBER(MATCH($X4206,계정대체기준!$D$77:$D$86,0)),ISNUMBER(MATCH($F4206,계정대체기준!$D$77:$D$86,0))),"Y","N")))</f>
        <v/>
      </c>
    </row>
    <row r="4207">
      <c r="A4207" s="92" t="n">
        <v>2026</v>
      </c>
      <c r="B4207" s="92" t="n">
        <v>7</v>
      </c>
      <c r="C4207" s="92" t="inlineStr">
        <is>
          <t>5100001485</t>
        </is>
      </c>
      <c r="D4207" s="95" t="n">
        <v>46218</v>
      </c>
      <c r="E4207" s="92" t="inlineStr">
        <is>
          <t>KR</t>
        </is>
      </c>
      <c r="F4207" s="92" t="n">
        <v>62102000</v>
      </c>
      <c r="G4207" s="92" t="n">
        <v>1401</v>
      </c>
      <c r="H4207" s="93" t="n">
        <v>84000</v>
      </c>
      <c r="I4207" s="92" t="inlineStr">
        <is>
          <t>7월 해외출장 - N호텔</t>
        </is>
      </c>
      <c r="J4207" s="92" t="inlineStr">
        <is>
          <t>V10009</t>
        </is>
      </c>
      <c r="K4207" s="92" t="inlineStr">
        <is>
          <t>N호텔</t>
        </is>
      </c>
      <c r="M4207" s="9">
        <f>IF($A4207="","",VALUE($A4207&amp;"")*12+VALUE($B4207&amp;""))</f>
        <v/>
      </c>
      <c r="N4207" s="64">
        <f>IF($A4207="","",IFERROR(INDEX(부서매핑!$C$5:$C$504,MATCH($G4207&amp;"",부서매핑!$A$5:$A$504,0)),"미매핑"))</f>
        <v/>
      </c>
      <c r="O4207" s="9">
        <f>IF($A4207="","",N4207&amp;"|"&amp;$F4207)</f>
        <v/>
      </c>
      <c r="P4207" s="94">
        <f>IF($A4207="",0,$H4207*설정!$C$23)</f>
        <v/>
      </c>
      <c r="Q4207" s="64">
        <f>IF($A4207="","",IF(O4207&lt;&gt;원인분석!$C$9,"",IF(AND(M4207&gt;=원인분석!$C$10,M4207&lt;=원인분석!$C$11),"당기",IF(AND(M4207&gt;=원인분석!$C$12,M4207&lt;=원인분석!$C$13),"비교",""))))</f>
        <v/>
      </c>
      <c r="R4207" s="9">
        <f>IF(Q4207="","",$K4207&amp;"")</f>
        <v/>
      </c>
      <c r="S4207" s="9">
        <f>IF(Q4207="","",IF(MATCH(R4207,$R$5:$R$100000,0)=ROW()-4,ROW(),""))</f>
        <v/>
      </c>
      <c r="T4207" s="9">
        <f>IF(Q4207="당기",ABS(P4207)+ROW()/1000000000,"")</f>
        <v/>
      </c>
      <c r="U4207" s="9">
        <f>IF(Q4207="비교",ABS(P4207)+ROW()/1000000000,"")</f>
        <v/>
      </c>
      <c r="V4207" s="64">
        <f>IF($A4207="","",IF(COUNTIF(변동분석!$E$7:$E$506,O4207)&gt;0,"Y","N"))</f>
        <v/>
      </c>
      <c r="W4207" s="64">
        <f>IF($A4207="","",IFERROR(INDEX(계정매핑!$D$5:$D$504,MATCH($F4207&amp;"",계정매핑!$A$5:$A$504,0)),"미매핑"))</f>
        <v/>
      </c>
      <c r="X4207" s="9">
        <f>IF($A4207="","",$F4207&amp;"")</f>
        <v/>
      </c>
      <c r="Y4207" s="94">
        <f>IF($A4207="",0,IF(AE4207="직접",IF(AF4207="비귀속",$P4207,0),$P4207*(1-AG4207)*IFERROR(INDEX(계정대체기준!$F$20:$F$49,MATCH($N4207,계정대체기준!$A$20:$A$49,0)),1)))</f>
        <v/>
      </c>
      <c r="Z4207" s="94">
        <f>IF($A4207="",0,IF(AE4207="직접",IF(AF4207="신계약비",$P4207,0),$P4207*(1-AG4207)*IFERROR(INDEX(계정대체기준!$C$20:$C$49,MATCH($N4207,계정대체기준!$A$20:$A$49,0)),0)))</f>
        <v/>
      </c>
      <c r="AA4207" s="94">
        <f>IF($A4207="",0,IF(AE4207="직접",IF(OR(AF4207="유지비",AF4207="손해조사비"),$P4207,0),$P4207*(1-AG4207)*IFERROR(INDEX(계정대체기준!$D$20:$D$49,MATCH($N4207,계정대체기준!$A$20:$A$49,0)),0)))</f>
        <v/>
      </c>
      <c r="AB4207" s="94">
        <f>IF($A4207="",0,IF(AE4207="직접",IF(AF4207="수금비",$P4207,0),$P4207*(1-AG4207)*IFERROR(INDEX(계정대체기준!$E$20:$E$49,MATCH($N4207,계정대체기준!$A$20:$A$49,0)),0)))</f>
        <v/>
      </c>
      <c r="AC4207" s="9">
        <f>IF(AND($A4207&lt;&gt;"",M4207=설정!$C$20,Z4207&gt;0),Z4207+ROW()/1000000000,"")</f>
        <v/>
      </c>
      <c r="AD4207" s="94">
        <f>IF($A4207="",0,$P4207*AG4207)</f>
        <v/>
      </c>
      <c r="AE4207" s="64">
        <f>IF($A4207="","",IFERROR(INDEX(계정매핑!$E$5:$E$504,MATCH($F4207&amp;"",계정매핑!$A$5:$A$504,0))&amp;"","공통비"))</f>
        <v/>
      </c>
      <c r="AF4207" s="64">
        <f>IF($A4207="","",IF(AE4207="직접",IFERROR(INDEX(계정매핑!$F$5:$F$504,MATCH($F4207&amp;"",계정매핑!$A$5:$A$504,0))&amp;"","비귀속"),""))</f>
        <v/>
      </c>
      <c r="AG4207" s="96">
        <f>IF($A4207="",0,IF(AND(AE4207&lt;&gt;"직접",IFERROR(INDEX(계정매핑!$G$5:$G$504,MATCH($F4207&amp;"",계정매핑!$A$5:$A$504,0))&amp;"","")="유지비",COUNTIF(계정대체기준!$A$6:$A$15,$N4207)&gt;0),IFERROR(INDEX(계정대체기준!$E$6:$E$15,MATCH(VALUE($A4207&amp;""),계정대체기준!$D$6:$D$15,0)),0),0))</f>
        <v/>
      </c>
      <c r="AH4207" s="64">
        <f>IF($A4207="","",IF(AD4207=0,"",IF(OR(COUNTIF(계정대체기준!$A$77:$A$86,$N4207)&gt;0,ISNUMBER(MATCH($X4207,계정대체기준!$D$77:$D$86,0)),ISNUMBER(MATCH($F4207,계정대체기준!$D$77:$D$86,0))),"Y","N")))</f>
        <v/>
      </c>
    </row>
    <row r="4208">
      <c r="A4208" s="92" t="n">
        <v>2026</v>
      </c>
      <c r="B4208" s="92" t="n">
        <v>7</v>
      </c>
      <c r="C4208" s="92" t="inlineStr">
        <is>
          <t>5100001486</t>
        </is>
      </c>
      <c r="D4208" s="95" t="n">
        <v>46218</v>
      </c>
      <c r="E4208" s="92" t="inlineStr">
        <is>
          <t>KR</t>
        </is>
      </c>
      <c r="F4208" s="92" t="n">
        <v>62102000</v>
      </c>
      <c r="G4208" s="92" t="n">
        <v>1951</v>
      </c>
      <c r="H4208" s="93" t="n">
        <v>59000</v>
      </c>
      <c r="I4208" s="92" t="inlineStr">
        <is>
          <t>7월 해외출장 - N호텔</t>
        </is>
      </c>
      <c r="J4208" s="92" t="inlineStr">
        <is>
          <t>V10009</t>
        </is>
      </c>
      <c r="K4208" s="92" t="inlineStr">
        <is>
          <t>N호텔</t>
        </is>
      </c>
      <c r="M4208" s="9">
        <f>IF($A4208="","",VALUE($A4208&amp;"")*12+VALUE($B4208&amp;""))</f>
        <v/>
      </c>
      <c r="N4208" s="64">
        <f>IF($A4208="","",IFERROR(INDEX(부서매핑!$C$5:$C$504,MATCH($G4208&amp;"",부서매핑!$A$5:$A$504,0)),"미매핑"))</f>
        <v/>
      </c>
      <c r="O4208" s="9">
        <f>IF($A4208="","",N4208&amp;"|"&amp;$F4208)</f>
        <v/>
      </c>
      <c r="P4208" s="94">
        <f>IF($A4208="",0,$H4208*설정!$C$23)</f>
        <v/>
      </c>
      <c r="Q4208" s="64">
        <f>IF($A4208="","",IF(O4208&lt;&gt;원인분석!$C$9,"",IF(AND(M4208&gt;=원인분석!$C$10,M4208&lt;=원인분석!$C$11),"당기",IF(AND(M4208&gt;=원인분석!$C$12,M4208&lt;=원인분석!$C$13),"비교",""))))</f>
        <v/>
      </c>
      <c r="R4208" s="9">
        <f>IF(Q4208="","",$K4208&amp;"")</f>
        <v/>
      </c>
      <c r="S4208" s="9">
        <f>IF(Q4208="","",IF(MATCH(R4208,$R$5:$R$100000,0)=ROW()-4,ROW(),""))</f>
        <v/>
      </c>
      <c r="T4208" s="9">
        <f>IF(Q4208="당기",ABS(P4208)+ROW()/1000000000,"")</f>
        <v/>
      </c>
      <c r="U4208" s="9">
        <f>IF(Q4208="비교",ABS(P4208)+ROW()/1000000000,"")</f>
        <v/>
      </c>
      <c r="V4208" s="64">
        <f>IF($A4208="","",IF(COUNTIF(변동분석!$E$7:$E$506,O4208)&gt;0,"Y","N"))</f>
        <v/>
      </c>
      <c r="W4208" s="64">
        <f>IF($A4208="","",IFERROR(INDEX(계정매핑!$D$5:$D$504,MATCH($F4208&amp;"",계정매핑!$A$5:$A$504,0)),"미매핑"))</f>
        <v/>
      </c>
      <c r="X4208" s="9">
        <f>IF($A4208="","",$F4208&amp;"")</f>
        <v/>
      </c>
      <c r="Y4208" s="94">
        <f>IF($A4208="",0,IF(AE4208="직접",IF(AF4208="비귀속",$P4208,0),$P4208*(1-AG4208)*IFERROR(INDEX(계정대체기준!$F$20:$F$49,MATCH($N4208,계정대체기준!$A$20:$A$49,0)),1)))</f>
        <v/>
      </c>
      <c r="Z4208" s="94">
        <f>IF($A4208="",0,IF(AE4208="직접",IF(AF4208="신계약비",$P4208,0),$P4208*(1-AG4208)*IFERROR(INDEX(계정대체기준!$C$20:$C$49,MATCH($N4208,계정대체기준!$A$20:$A$49,0)),0)))</f>
        <v/>
      </c>
      <c r="AA4208" s="94">
        <f>IF($A4208="",0,IF(AE4208="직접",IF(OR(AF4208="유지비",AF4208="손해조사비"),$P4208,0),$P4208*(1-AG4208)*IFERROR(INDEX(계정대체기준!$D$20:$D$49,MATCH($N4208,계정대체기준!$A$20:$A$49,0)),0)))</f>
        <v/>
      </c>
      <c r="AB4208" s="94">
        <f>IF($A4208="",0,IF(AE4208="직접",IF(AF4208="수금비",$P4208,0),$P4208*(1-AG4208)*IFERROR(INDEX(계정대체기준!$E$20:$E$49,MATCH($N4208,계정대체기준!$A$20:$A$49,0)),0)))</f>
        <v/>
      </c>
      <c r="AC4208" s="9">
        <f>IF(AND($A4208&lt;&gt;"",M4208=설정!$C$20,Z4208&gt;0),Z4208+ROW()/1000000000,"")</f>
        <v/>
      </c>
      <c r="AD4208" s="94">
        <f>IF($A4208="",0,$P4208*AG4208)</f>
        <v/>
      </c>
      <c r="AE4208" s="64">
        <f>IF($A4208="","",IFERROR(INDEX(계정매핑!$E$5:$E$504,MATCH($F4208&amp;"",계정매핑!$A$5:$A$504,0))&amp;"","공통비"))</f>
        <v/>
      </c>
      <c r="AF4208" s="64">
        <f>IF($A4208="","",IF(AE4208="직접",IFERROR(INDEX(계정매핑!$F$5:$F$504,MATCH($F4208&amp;"",계정매핑!$A$5:$A$504,0))&amp;"","비귀속"),""))</f>
        <v/>
      </c>
      <c r="AG4208" s="96">
        <f>IF($A4208="",0,IF(AND(AE4208&lt;&gt;"직접",IFERROR(INDEX(계정매핑!$G$5:$G$504,MATCH($F4208&amp;"",계정매핑!$A$5:$A$504,0))&amp;"","")="유지비",COUNTIF(계정대체기준!$A$6:$A$15,$N4208)&gt;0),IFERROR(INDEX(계정대체기준!$E$6:$E$15,MATCH(VALUE($A4208&amp;""),계정대체기준!$D$6:$D$15,0)),0),0))</f>
        <v/>
      </c>
      <c r="AH4208" s="64">
        <f>IF($A4208="","",IF(AD4208=0,"",IF(OR(COUNTIF(계정대체기준!$A$77:$A$86,$N4208)&gt;0,ISNUMBER(MATCH($X4208,계정대체기준!$D$77:$D$86,0)),ISNUMBER(MATCH($F4208,계정대체기준!$D$77:$D$86,0))),"Y","N")))</f>
        <v/>
      </c>
    </row>
    <row r="4209">
      <c r="A4209" s="92" t="n">
        <v>2026</v>
      </c>
      <c r="B4209" s="92" t="n">
        <v>7</v>
      </c>
      <c r="C4209" s="92" t="inlineStr">
        <is>
          <t>5100001487</t>
        </is>
      </c>
      <c r="D4209" s="95" t="n">
        <v>46218</v>
      </c>
      <c r="E4209" s="92" t="inlineStr">
        <is>
          <t>KR</t>
        </is>
      </c>
      <c r="F4209" s="92" t="n">
        <v>62201000</v>
      </c>
      <c r="G4209" s="92" t="n">
        <v>1201</v>
      </c>
      <c r="H4209" s="93" t="n">
        <v>105000</v>
      </c>
      <c r="I4209" s="92" t="inlineStr">
        <is>
          <t>7월 통신요금 - P통신</t>
        </is>
      </c>
      <c r="J4209" s="92" t="inlineStr">
        <is>
          <t>V10014</t>
        </is>
      </c>
      <c r="K4209" s="92" t="inlineStr">
        <is>
          <t>P통신</t>
        </is>
      </c>
      <c r="M4209" s="9">
        <f>IF($A4209="","",VALUE($A4209&amp;"")*12+VALUE($B4209&amp;""))</f>
        <v/>
      </c>
      <c r="N4209" s="64">
        <f>IF($A4209="","",IFERROR(INDEX(부서매핑!$C$5:$C$504,MATCH($G4209&amp;"",부서매핑!$A$5:$A$504,0)),"미매핑"))</f>
        <v/>
      </c>
      <c r="O4209" s="9">
        <f>IF($A4209="","",N4209&amp;"|"&amp;$F4209)</f>
        <v/>
      </c>
      <c r="P4209" s="94">
        <f>IF($A4209="",0,$H4209*설정!$C$23)</f>
        <v/>
      </c>
      <c r="Q4209" s="64">
        <f>IF($A4209="","",IF(O4209&lt;&gt;원인분석!$C$9,"",IF(AND(M4209&gt;=원인분석!$C$10,M4209&lt;=원인분석!$C$11),"당기",IF(AND(M4209&gt;=원인분석!$C$12,M4209&lt;=원인분석!$C$13),"비교",""))))</f>
        <v/>
      </c>
      <c r="R4209" s="9">
        <f>IF(Q4209="","",$K4209&amp;"")</f>
        <v/>
      </c>
      <c r="S4209" s="9">
        <f>IF(Q4209="","",IF(MATCH(R4209,$R$5:$R$100000,0)=ROW()-4,ROW(),""))</f>
        <v/>
      </c>
      <c r="T4209" s="9">
        <f>IF(Q4209="당기",ABS(P4209)+ROW()/1000000000,"")</f>
        <v/>
      </c>
      <c r="U4209" s="9">
        <f>IF(Q4209="비교",ABS(P4209)+ROW()/1000000000,"")</f>
        <v/>
      </c>
      <c r="V4209" s="64">
        <f>IF($A4209="","",IF(COUNTIF(변동분석!$E$7:$E$506,O4209)&gt;0,"Y","N"))</f>
        <v/>
      </c>
      <c r="W4209" s="64">
        <f>IF($A4209="","",IFERROR(INDEX(계정매핑!$D$5:$D$504,MATCH($F4209&amp;"",계정매핑!$A$5:$A$504,0)),"미매핑"))</f>
        <v/>
      </c>
      <c r="X4209" s="9">
        <f>IF($A4209="","",$F4209&amp;"")</f>
        <v/>
      </c>
      <c r="Y4209" s="94">
        <f>IF($A4209="",0,IF(AE4209="직접",IF(AF4209="비귀속",$P4209,0),$P4209*(1-AG4209)*IFERROR(INDEX(계정대체기준!$F$20:$F$49,MATCH($N4209,계정대체기준!$A$20:$A$49,0)),1)))</f>
        <v/>
      </c>
      <c r="Z4209" s="94">
        <f>IF($A4209="",0,IF(AE4209="직접",IF(AF4209="신계약비",$P4209,0),$P4209*(1-AG4209)*IFERROR(INDEX(계정대체기준!$C$20:$C$49,MATCH($N4209,계정대체기준!$A$20:$A$49,0)),0)))</f>
        <v/>
      </c>
      <c r="AA4209" s="94">
        <f>IF($A4209="",0,IF(AE4209="직접",IF(OR(AF4209="유지비",AF4209="손해조사비"),$P4209,0),$P4209*(1-AG4209)*IFERROR(INDEX(계정대체기준!$D$20:$D$49,MATCH($N4209,계정대체기준!$A$20:$A$49,0)),0)))</f>
        <v/>
      </c>
      <c r="AB4209" s="94">
        <f>IF($A4209="",0,IF(AE4209="직접",IF(AF4209="수금비",$P4209,0),$P4209*(1-AG4209)*IFERROR(INDEX(계정대체기준!$E$20:$E$49,MATCH($N4209,계정대체기준!$A$20:$A$49,0)),0)))</f>
        <v/>
      </c>
      <c r="AC4209" s="9">
        <f>IF(AND($A4209&lt;&gt;"",M4209=설정!$C$20,Z4209&gt;0),Z4209+ROW()/1000000000,"")</f>
        <v/>
      </c>
      <c r="AD4209" s="94">
        <f>IF($A4209="",0,$P4209*AG4209)</f>
        <v/>
      </c>
      <c r="AE4209" s="64">
        <f>IF($A4209="","",IFERROR(INDEX(계정매핑!$E$5:$E$504,MATCH($F4209&amp;"",계정매핑!$A$5:$A$504,0))&amp;"","공통비"))</f>
        <v/>
      </c>
      <c r="AF4209" s="64">
        <f>IF($A4209="","",IF(AE4209="직접",IFERROR(INDEX(계정매핑!$F$5:$F$504,MATCH($F4209&amp;"",계정매핑!$A$5:$A$504,0))&amp;"","비귀속"),""))</f>
        <v/>
      </c>
      <c r="AG4209" s="96">
        <f>IF($A4209="",0,IF(AND(AE4209&lt;&gt;"직접",IFERROR(INDEX(계정매핑!$G$5:$G$504,MATCH($F4209&amp;"",계정매핑!$A$5:$A$504,0))&amp;"","")="유지비",COUNTIF(계정대체기준!$A$6:$A$15,$N4209)&gt;0),IFERROR(INDEX(계정대체기준!$E$6:$E$15,MATCH(VALUE($A4209&amp;""),계정대체기준!$D$6:$D$15,0)),0),0))</f>
        <v/>
      </c>
      <c r="AH4209" s="64">
        <f>IF($A4209="","",IF(AD4209=0,"",IF(OR(COUNTIF(계정대체기준!$A$77:$A$86,$N4209)&gt;0,ISNUMBER(MATCH($X4209,계정대체기준!$D$77:$D$86,0)),ISNUMBER(MATCH($F4209,계정대체기준!$D$77:$D$86,0))),"Y","N")))</f>
        <v/>
      </c>
    </row>
    <row r="4210">
      <c r="A4210" s="92" t="n">
        <v>2026</v>
      </c>
      <c r="B4210" s="92" t="n">
        <v>7</v>
      </c>
      <c r="C4210" s="92" t="inlineStr">
        <is>
          <t>5100001488</t>
        </is>
      </c>
      <c r="D4210" s="95" t="n">
        <v>46218</v>
      </c>
      <c r="E4210" s="92" t="inlineStr">
        <is>
          <t>KR</t>
        </is>
      </c>
      <c r="F4210" s="92" t="n">
        <v>62301000</v>
      </c>
      <c r="G4210" s="92" t="n">
        <v>1401</v>
      </c>
      <c r="H4210" s="93" t="n">
        <v>140000</v>
      </c>
      <c r="I4210" s="92" t="inlineStr">
        <is>
          <t>7월 소모품 구입 - R문구</t>
        </is>
      </c>
      <c r="J4210" s="92" t="inlineStr">
        <is>
          <t>V10022</t>
        </is>
      </c>
      <c r="K4210" s="92" t="inlineStr">
        <is>
          <t>R문구</t>
        </is>
      </c>
      <c r="M4210" s="9">
        <f>IF($A4210="","",VALUE($A4210&amp;"")*12+VALUE($B4210&amp;""))</f>
        <v/>
      </c>
      <c r="N4210" s="64">
        <f>IF($A4210="","",IFERROR(INDEX(부서매핑!$C$5:$C$504,MATCH($G4210&amp;"",부서매핑!$A$5:$A$504,0)),"미매핑"))</f>
        <v/>
      </c>
      <c r="O4210" s="9">
        <f>IF($A4210="","",N4210&amp;"|"&amp;$F4210)</f>
        <v/>
      </c>
      <c r="P4210" s="94">
        <f>IF($A4210="",0,$H4210*설정!$C$23)</f>
        <v/>
      </c>
      <c r="Q4210" s="64">
        <f>IF($A4210="","",IF(O4210&lt;&gt;원인분석!$C$9,"",IF(AND(M4210&gt;=원인분석!$C$10,M4210&lt;=원인분석!$C$11),"당기",IF(AND(M4210&gt;=원인분석!$C$12,M4210&lt;=원인분석!$C$13),"비교",""))))</f>
        <v/>
      </c>
      <c r="R4210" s="9">
        <f>IF(Q4210="","",$K4210&amp;"")</f>
        <v/>
      </c>
      <c r="S4210" s="9">
        <f>IF(Q4210="","",IF(MATCH(R4210,$R$5:$R$100000,0)=ROW()-4,ROW(),""))</f>
        <v/>
      </c>
      <c r="T4210" s="9">
        <f>IF(Q4210="당기",ABS(P4210)+ROW()/1000000000,"")</f>
        <v/>
      </c>
      <c r="U4210" s="9">
        <f>IF(Q4210="비교",ABS(P4210)+ROW()/1000000000,"")</f>
        <v/>
      </c>
      <c r="V4210" s="64">
        <f>IF($A4210="","",IF(COUNTIF(변동분석!$E$7:$E$506,O4210)&gt;0,"Y","N"))</f>
        <v/>
      </c>
      <c r="W4210" s="64">
        <f>IF($A4210="","",IFERROR(INDEX(계정매핑!$D$5:$D$504,MATCH($F4210&amp;"",계정매핑!$A$5:$A$504,0)),"미매핑"))</f>
        <v/>
      </c>
      <c r="X4210" s="9">
        <f>IF($A4210="","",$F4210&amp;"")</f>
        <v/>
      </c>
      <c r="Y4210" s="94">
        <f>IF($A4210="",0,IF(AE4210="직접",IF(AF4210="비귀속",$P4210,0),$P4210*(1-AG4210)*IFERROR(INDEX(계정대체기준!$F$20:$F$49,MATCH($N4210,계정대체기준!$A$20:$A$49,0)),1)))</f>
        <v/>
      </c>
      <c r="Z4210" s="94">
        <f>IF($A4210="",0,IF(AE4210="직접",IF(AF4210="신계약비",$P4210,0),$P4210*(1-AG4210)*IFERROR(INDEX(계정대체기준!$C$20:$C$49,MATCH($N4210,계정대체기준!$A$20:$A$49,0)),0)))</f>
        <v/>
      </c>
      <c r="AA4210" s="94">
        <f>IF($A4210="",0,IF(AE4210="직접",IF(OR(AF4210="유지비",AF4210="손해조사비"),$P4210,0),$P4210*(1-AG4210)*IFERROR(INDEX(계정대체기준!$D$20:$D$49,MATCH($N4210,계정대체기준!$A$20:$A$49,0)),0)))</f>
        <v/>
      </c>
      <c r="AB4210" s="94">
        <f>IF($A4210="",0,IF(AE4210="직접",IF(AF4210="수금비",$P4210,0),$P4210*(1-AG4210)*IFERROR(INDEX(계정대체기준!$E$20:$E$49,MATCH($N4210,계정대체기준!$A$20:$A$49,0)),0)))</f>
        <v/>
      </c>
      <c r="AC4210" s="9">
        <f>IF(AND($A4210&lt;&gt;"",M4210=설정!$C$20,Z4210&gt;0),Z4210+ROW()/1000000000,"")</f>
        <v/>
      </c>
      <c r="AD4210" s="94">
        <f>IF($A4210="",0,$P4210*AG4210)</f>
        <v/>
      </c>
      <c r="AE4210" s="64">
        <f>IF($A4210="","",IFERROR(INDEX(계정매핑!$E$5:$E$504,MATCH($F4210&amp;"",계정매핑!$A$5:$A$504,0))&amp;"","공통비"))</f>
        <v/>
      </c>
      <c r="AF4210" s="64">
        <f>IF($A4210="","",IF(AE4210="직접",IFERROR(INDEX(계정매핑!$F$5:$F$504,MATCH($F4210&amp;"",계정매핑!$A$5:$A$504,0))&amp;"","비귀속"),""))</f>
        <v/>
      </c>
      <c r="AG4210" s="96">
        <f>IF($A4210="",0,IF(AND(AE4210&lt;&gt;"직접",IFERROR(INDEX(계정매핑!$G$5:$G$504,MATCH($F4210&amp;"",계정매핑!$A$5:$A$504,0))&amp;"","")="유지비",COUNTIF(계정대체기준!$A$6:$A$15,$N4210)&gt;0),IFERROR(INDEX(계정대체기준!$E$6:$E$15,MATCH(VALUE($A4210&amp;""),계정대체기준!$D$6:$D$15,0)),0),0))</f>
        <v/>
      </c>
      <c r="AH4210" s="64">
        <f>IF($A4210="","",IF(AD4210=0,"",IF(OR(COUNTIF(계정대체기준!$A$77:$A$86,$N4210)&gt;0,ISNUMBER(MATCH($X4210,계정대체기준!$D$77:$D$86,0)),ISNUMBER(MATCH($F4210,계정대체기준!$D$77:$D$86,0))),"Y","N")))</f>
        <v/>
      </c>
    </row>
    <row r="4211">
      <c r="A4211" s="92" t="n">
        <v>2026</v>
      </c>
      <c r="B4211" s="92" t="n">
        <v>7</v>
      </c>
      <c r="C4211" s="92" t="inlineStr">
        <is>
          <t>5100001489</t>
        </is>
      </c>
      <c r="D4211" s="95" t="n">
        <v>46218</v>
      </c>
      <c r="E4211" s="92" t="inlineStr">
        <is>
          <t>KR</t>
        </is>
      </c>
      <c r="F4211" s="92" t="n">
        <v>62301000</v>
      </c>
      <c r="G4211" s="92" t="n">
        <v>1701</v>
      </c>
      <c r="H4211" s="93" t="n">
        <v>254000</v>
      </c>
      <c r="I4211" s="92" t="inlineStr">
        <is>
          <t>7월 소모품 구입 - R문구</t>
        </is>
      </c>
      <c r="J4211" s="92" t="inlineStr">
        <is>
          <t>V10022</t>
        </is>
      </c>
      <c r="K4211" s="92" t="inlineStr">
        <is>
          <t>R문구</t>
        </is>
      </c>
      <c r="M4211" s="9">
        <f>IF($A4211="","",VALUE($A4211&amp;"")*12+VALUE($B4211&amp;""))</f>
        <v/>
      </c>
      <c r="N4211" s="64">
        <f>IF($A4211="","",IFERROR(INDEX(부서매핑!$C$5:$C$504,MATCH($G4211&amp;"",부서매핑!$A$5:$A$504,0)),"미매핑"))</f>
        <v/>
      </c>
      <c r="O4211" s="9">
        <f>IF($A4211="","",N4211&amp;"|"&amp;$F4211)</f>
        <v/>
      </c>
      <c r="P4211" s="94">
        <f>IF($A4211="",0,$H4211*설정!$C$23)</f>
        <v/>
      </c>
      <c r="Q4211" s="64">
        <f>IF($A4211="","",IF(O4211&lt;&gt;원인분석!$C$9,"",IF(AND(M4211&gt;=원인분석!$C$10,M4211&lt;=원인분석!$C$11),"당기",IF(AND(M4211&gt;=원인분석!$C$12,M4211&lt;=원인분석!$C$13),"비교",""))))</f>
        <v/>
      </c>
      <c r="R4211" s="9">
        <f>IF(Q4211="","",$K4211&amp;"")</f>
        <v/>
      </c>
      <c r="S4211" s="9">
        <f>IF(Q4211="","",IF(MATCH(R4211,$R$5:$R$100000,0)=ROW()-4,ROW(),""))</f>
        <v/>
      </c>
      <c r="T4211" s="9">
        <f>IF(Q4211="당기",ABS(P4211)+ROW()/1000000000,"")</f>
        <v/>
      </c>
      <c r="U4211" s="9">
        <f>IF(Q4211="비교",ABS(P4211)+ROW()/1000000000,"")</f>
        <v/>
      </c>
      <c r="V4211" s="64">
        <f>IF($A4211="","",IF(COUNTIF(변동분석!$E$7:$E$506,O4211)&gt;0,"Y","N"))</f>
        <v/>
      </c>
      <c r="W4211" s="64">
        <f>IF($A4211="","",IFERROR(INDEX(계정매핑!$D$5:$D$504,MATCH($F4211&amp;"",계정매핑!$A$5:$A$504,0)),"미매핑"))</f>
        <v/>
      </c>
      <c r="X4211" s="9">
        <f>IF($A4211="","",$F4211&amp;"")</f>
        <v/>
      </c>
      <c r="Y4211" s="94">
        <f>IF($A4211="",0,IF(AE4211="직접",IF(AF4211="비귀속",$P4211,0),$P4211*(1-AG4211)*IFERROR(INDEX(계정대체기준!$F$20:$F$49,MATCH($N4211,계정대체기준!$A$20:$A$49,0)),1)))</f>
        <v/>
      </c>
      <c r="Z4211" s="94">
        <f>IF($A4211="",0,IF(AE4211="직접",IF(AF4211="신계약비",$P4211,0),$P4211*(1-AG4211)*IFERROR(INDEX(계정대체기준!$C$20:$C$49,MATCH($N4211,계정대체기준!$A$20:$A$49,0)),0)))</f>
        <v/>
      </c>
      <c r="AA4211" s="94">
        <f>IF($A4211="",0,IF(AE4211="직접",IF(OR(AF4211="유지비",AF4211="손해조사비"),$P4211,0),$P4211*(1-AG4211)*IFERROR(INDEX(계정대체기준!$D$20:$D$49,MATCH($N4211,계정대체기준!$A$20:$A$49,0)),0)))</f>
        <v/>
      </c>
      <c r="AB4211" s="94">
        <f>IF($A4211="",0,IF(AE4211="직접",IF(AF4211="수금비",$P4211,0),$P4211*(1-AG4211)*IFERROR(INDEX(계정대체기준!$E$20:$E$49,MATCH($N4211,계정대체기준!$A$20:$A$49,0)),0)))</f>
        <v/>
      </c>
      <c r="AC4211" s="9">
        <f>IF(AND($A4211&lt;&gt;"",M4211=설정!$C$20,Z4211&gt;0),Z4211+ROW()/1000000000,"")</f>
        <v/>
      </c>
      <c r="AD4211" s="94">
        <f>IF($A4211="",0,$P4211*AG4211)</f>
        <v/>
      </c>
      <c r="AE4211" s="64">
        <f>IF($A4211="","",IFERROR(INDEX(계정매핑!$E$5:$E$504,MATCH($F4211&amp;"",계정매핑!$A$5:$A$504,0))&amp;"","공통비"))</f>
        <v/>
      </c>
      <c r="AF4211" s="64">
        <f>IF($A4211="","",IF(AE4211="직접",IFERROR(INDEX(계정매핑!$F$5:$F$504,MATCH($F4211&amp;"",계정매핑!$A$5:$A$504,0))&amp;"","비귀속"),""))</f>
        <v/>
      </c>
      <c r="AG4211" s="96">
        <f>IF($A4211="",0,IF(AND(AE4211&lt;&gt;"직접",IFERROR(INDEX(계정매핑!$G$5:$G$504,MATCH($F4211&amp;"",계정매핑!$A$5:$A$504,0))&amp;"","")="유지비",COUNTIF(계정대체기준!$A$6:$A$15,$N4211)&gt;0),IFERROR(INDEX(계정대체기준!$E$6:$E$15,MATCH(VALUE($A4211&amp;""),계정대체기준!$D$6:$D$15,0)),0),0))</f>
        <v/>
      </c>
      <c r="AH4211" s="64">
        <f>IF($A4211="","",IF(AD4211=0,"",IF(OR(COUNTIF(계정대체기준!$A$77:$A$86,$N4211)&gt;0,ISNUMBER(MATCH($X4211,계정대체기준!$D$77:$D$86,0)),ISNUMBER(MATCH($F4211,계정대체기준!$D$77:$D$86,0))),"Y","N")))</f>
        <v/>
      </c>
    </row>
    <row r="4212">
      <c r="A4212" s="92" t="n">
        <v>2026</v>
      </c>
      <c r="B4212" s="92" t="n">
        <v>7</v>
      </c>
      <c r="C4212" s="92" t="inlineStr">
        <is>
          <t>5100001490</t>
        </is>
      </c>
      <c r="D4212" s="95" t="n">
        <v>46218</v>
      </c>
      <c r="E4212" s="92" t="inlineStr">
        <is>
          <t>KR</t>
        </is>
      </c>
      <c r="F4212" s="92" t="n">
        <v>62301000</v>
      </c>
      <c r="G4212" s="92" t="n">
        <v>1801</v>
      </c>
      <c r="H4212" s="93" t="n">
        <v>735000</v>
      </c>
      <c r="I4212" s="92" t="inlineStr">
        <is>
          <t>7월 소모품 구입 - R문구</t>
        </is>
      </c>
      <c r="J4212" s="92" t="inlineStr">
        <is>
          <t>V10022</t>
        </is>
      </c>
      <c r="K4212" s="92" t="inlineStr">
        <is>
          <t>R문구</t>
        </is>
      </c>
      <c r="M4212" s="9">
        <f>IF($A4212="","",VALUE($A4212&amp;"")*12+VALUE($B4212&amp;""))</f>
        <v/>
      </c>
      <c r="N4212" s="64">
        <f>IF($A4212="","",IFERROR(INDEX(부서매핑!$C$5:$C$504,MATCH($G4212&amp;"",부서매핑!$A$5:$A$504,0)),"미매핑"))</f>
        <v/>
      </c>
      <c r="O4212" s="9">
        <f>IF($A4212="","",N4212&amp;"|"&amp;$F4212)</f>
        <v/>
      </c>
      <c r="P4212" s="94">
        <f>IF($A4212="",0,$H4212*설정!$C$23)</f>
        <v/>
      </c>
      <c r="Q4212" s="64">
        <f>IF($A4212="","",IF(O4212&lt;&gt;원인분석!$C$9,"",IF(AND(M4212&gt;=원인분석!$C$10,M4212&lt;=원인분석!$C$11),"당기",IF(AND(M4212&gt;=원인분석!$C$12,M4212&lt;=원인분석!$C$13),"비교",""))))</f>
        <v/>
      </c>
      <c r="R4212" s="9">
        <f>IF(Q4212="","",$K4212&amp;"")</f>
        <v/>
      </c>
      <c r="S4212" s="9">
        <f>IF(Q4212="","",IF(MATCH(R4212,$R$5:$R$100000,0)=ROW()-4,ROW(),""))</f>
        <v/>
      </c>
      <c r="T4212" s="9">
        <f>IF(Q4212="당기",ABS(P4212)+ROW()/1000000000,"")</f>
        <v/>
      </c>
      <c r="U4212" s="9">
        <f>IF(Q4212="비교",ABS(P4212)+ROW()/1000000000,"")</f>
        <v/>
      </c>
      <c r="V4212" s="64">
        <f>IF($A4212="","",IF(COUNTIF(변동분석!$E$7:$E$506,O4212)&gt;0,"Y","N"))</f>
        <v/>
      </c>
      <c r="W4212" s="64">
        <f>IF($A4212="","",IFERROR(INDEX(계정매핑!$D$5:$D$504,MATCH($F4212&amp;"",계정매핑!$A$5:$A$504,0)),"미매핑"))</f>
        <v/>
      </c>
      <c r="X4212" s="9">
        <f>IF($A4212="","",$F4212&amp;"")</f>
        <v/>
      </c>
      <c r="Y4212" s="94">
        <f>IF($A4212="",0,IF(AE4212="직접",IF(AF4212="비귀속",$P4212,0),$P4212*(1-AG4212)*IFERROR(INDEX(계정대체기준!$F$20:$F$49,MATCH($N4212,계정대체기준!$A$20:$A$49,0)),1)))</f>
        <v/>
      </c>
      <c r="Z4212" s="94">
        <f>IF($A4212="",0,IF(AE4212="직접",IF(AF4212="신계약비",$P4212,0),$P4212*(1-AG4212)*IFERROR(INDEX(계정대체기준!$C$20:$C$49,MATCH($N4212,계정대체기준!$A$20:$A$49,0)),0)))</f>
        <v/>
      </c>
      <c r="AA4212" s="94">
        <f>IF($A4212="",0,IF(AE4212="직접",IF(OR(AF4212="유지비",AF4212="손해조사비"),$P4212,0),$P4212*(1-AG4212)*IFERROR(INDEX(계정대체기준!$D$20:$D$49,MATCH($N4212,계정대체기준!$A$20:$A$49,0)),0)))</f>
        <v/>
      </c>
      <c r="AB4212" s="94">
        <f>IF($A4212="",0,IF(AE4212="직접",IF(AF4212="수금비",$P4212,0),$P4212*(1-AG4212)*IFERROR(INDEX(계정대체기준!$E$20:$E$49,MATCH($N4212,계정대체기준!$A$20:$A$49,0)),0)))</f>
        <v/>
      </c>
      <c r="AC4212" s="9">
        <f>IF(AND($A4212&lt;&gt;"",M4212=설정!$C$20,Z4212&gt;0),Z4212+ROW()/1000000000,"")</f>
        <v/>
      </c>
      <c r="AD4212" s="94">
        <f>IF($A4212="",0,$P4212*AG4212)</f>
        <v/>
      </c>
      <c r="AE4212" s="64">
        <f>IF($A4212="","",IFERROR(INDEX(계정매핑!$E$5:$E$504,MATCH($F4212&amp;"",계정매핑!$A$5:$A$504,0))&amp;"","공통비"))</f>
        <v/>
      </c>
      <c r="AF4212" s="64">
        <f>IF($A4212="","",IF(AE4212="직접",IFERROR(INDEX(계정매핑!$F$5:$F$504,MATCH($F4212&amp;"",계정매핑!$A$5:$A$504,0))&amp;"","비귀속"),""))</f>
        <v/>
      </c>
      <c r="AG4212" s="96">
        <f>IF($A4212="",0,IF(AND(AE4212&lt;&gt;"직접",IFERROR(INDEX(계정매핑!$G$5:$G$504,MATCH($F4212&amp;"",계정매핑!$A$5:$A$504,0))&amp;"","")="유지비",COUNTIF(계정대체기준!$A$6:$A$15,$N4212)&gt;0),IFERROR(INDEX(계정대체기준!$E$6:$E$15,MATCH(VALUE($A4212&amp;""),계정대체기준!$D$6:$D$15,0)),0),0))</f>
        <v/>
      </c>
      <c r="AH4212" s="64">
        <f>IF($A4212="","",IF(AD4212=0,"",IF(OR(COUNTIF(계정대체기준!$A$77:$A$86,$N4212)&gt;0,ISNUMBER(MATCH($X4212,계정대체기준!$D$77:$D$86,0)),ISNUMBER(MATCH($F4212,계정대체기준!$D$77:$D$86,0))),"Y","N")))</f>
        <v/>
      </c>
    </row>
    <row r="4213">
      <c r="A4213" s="92" t="n">
        <v>2026</v>
      </c>
      <c r="B4213" s="92" t="n">
        <v>7</v>
      </c>
      <c r="C4213" s="92" t="inlineStr">
        <is>
          <t>5100001491</t>
        </is>
      </c>
      <c r="D4213" s="95" t="n">
        <v>46218</v>
      </c>
      <c r="E4213" s="92" t="inlineStr">
        <is>
          <t>KR</t>
        </is>
      </c>
      <c r="F4213" s="92" t="n">
        <v>62501000</v>
      </c>
      <c r="G4213" s="92" t="n">
        <v>1201</v>
      </c>
      <c r="H4213" s="93" t="n">
        <v>139000</v>
      </c>
      <c r="I4213" s="92" t="inlineStr">
        <is>
          <t>7월 회의 다과 - T케이터링</t>
        </is>
      </c>
      <c r="J4213" s="92" t="inlineStr">
        <is>
          <t>V10005</t>
        </is>
      </c>
      <c r="K4213" s="92" t="inlineStr">
        <is>
          <t>T케이터링</t>
        </is>
      </c>
      <c r="M4213" s="9">
        <f>IF($A4213="","",VALUE($A4213&amp;"")*12+VALUE($B4213&amp;""))</f>
        <v/>
      </c>
      <c r="N4213" s="64">
        <f>IF($A4213="","",IFERROR(INDEX(부서매핑!$C$5:$C$504,MATCH($G4213&amp;"",부서매핑!$A$5:$A$504,0)),"미매핑"))</f>
        <v/>
      </c>
      <c r="O4213" s="9">
        <f>IF($A4213="","",N4213&amp;"|"&amp;$F4213)</f>
        <v/>
      </c>
      <c r="P4213" s="94">
        <f>IF($A4213="",0,$H4213*설정!$C$23)</f>
        <v/>
      </c>
      <c r="Q4213" s="64">
        <f>IF($A4213="","",IF(O4213&lt;&gt;원인분석!$C$9,"",IF(AND(M4213&gt;=원인분석!$C$10,M4213&lt;=원인분석!$C$11),"당기",IF(AND(M4213&gt;=원인분석!$C$12,M4213&lt;=원인분석!$C$13),"비교",""))))</f>
        <v/>
      </c>
      <c r="R4213" s="9">
        <f>IF(Q4213="","",$K4213&amp;"")</f>
        <v/>
      </c>
      <c r="S4213" s="9">
        <f>IF(Q4213="","",IF(MATCH(R4213,$R$5:$R$100000,0)=ROW()-4,ROW(),""))</f>
        <v/>
      </c>
      <c r="T4213" s="9">
        <f>IF(Q4213="당기",ABS(P4213)+ROW()/1000000000,"")</f>
        <v/>
      </c>
      <c r="U4213" s="9">
        <f>IF(Q4213="비교",ABS(P4213)+ROW()/1000000000,"")</f>
        <v/>
      </c>
      <c r="V4213" s="64">
        <f>IF($A4213="","",IF(COUNTIF(변동분석!$E$7:$E$506,O4213)&gt;0,"Y","N"))</f>
        <v/>
      </c>
      <c r="W4213" s="64">
        <f>IF($A4213="","",IFERROR(INDEX(계정매핑!$D$5:$D$504,MATCH($F4213&amp;"",계정매핑!$A$5:$A$504,0)),"미매핑"))</f>
        <v/>
      </c>
      <c r="X4213" s="9">
        <f>IF($A4213="","",$F4213&amp;"")</f>
        <v/>
      </c>
      <c r="Y4213" s="94">
        <f>IF($A4213="",0,IF(AE4213="직접",IF(AF4213="비귀속",$P4213,0),$P4213*(1-AG4213)*IFERROR(INDEX(계정대체기준!$F$20:$F$49,MATCH($N4213,계정대체기준!$A$20:$A$49,0)),1)))</f>
        <v/>
      </c>
      <c r="Z4213" s="94">
        <f>IF($A4213="",0,IF(AE4213="직접",IF(AF4213="신계약비",$P4213,0),$P4213*(1-AG4213)*IFERROR(INDEX(계정대체기준!$C$20:$C$49,MATCH($N4213,계정대체기준!$A$20:$A$49,0)),0)))</f>
        <v/>
      </c>
      <c r="AA4213" s="94">
        <f>IF($A4213="",0,IF(AE4213="직접",IF(OR(AF4213="유지비",AF4213="손해조사비"),$P4213,0),$P4213*(1-AG4213)*IFERROR(INDEX(계정대체기준!$D$20:$D$49,MATCH($N4213,계정대체기준!$A$20:$A$49,0)),0)))</f>
        <v/>
      </c>
      <c r="AB4213" s="94">
        <f>IF($A4213="",0,IF(AE4213="직접",IF(AF4213="수금비",$P4213,0),$P4213*(1-AG4213)*IFERROR(INDEX(계정대체기준!$E$20:$E$49,MATCH($N4213,계정대체기준!$A$20:$A$49,0)),0)))</f>
        <v/>
      </c>
      <c r="AC4213" s="9">
        <f>IF(AND($A4213&lt;&gt;"",M4213=설정!$C$20,Z4213&gt;0),Z4213+ROW()/1000000000,"")</f>
        <v/>
      </c>
      <c r="AD4213" s="94">
        <f>IF($A4213="",0,$P4213*AG4213)</f>
        <v/>
      </c>
      <c r="AE4213" s="64">
        <f>IF($A4213="","",IFERROR(INDEX(계정매핑!$E$5:$E$504,MATCH($F4213&amp;"",계정매핑!$A$5:$A$504,0))&amp;"","공통비"))</f>
        <v/>
      </c>
      <c r="AF4213" s="64">
        <f>IF($A4213="","",IF(AE4213="직접",IFERROR(INDEX(계정매핑!$F$5:$F$504,MATCH($F4213&amp;"",계정매핑!$A$5:$A$504,0))&amp;"","비귀속"),""))</f>
        <v/>
      </c>
      <c r="AG4213" s="96">
        <f>IF($A4213="",0,IF(AND(AE4213&lt;&gt;"직접",IFERROR(INDEX(계정매핑!$G$5:$G$504,MATCH($F4213&amp;"",계정매핑!$A$5:$A$504,0))&amp;"","")="유지비",COUNTIF(계정대체기준!$A$6:$A$15,$N4213)&gt;0),IFERROR(INDEX(계정대체기준!$E$6:$E$15,MATCH(VALUE($A4213&amp;""),계정대체기준!$D$6:$D$15,0)),0),0))</f>
        <v/>
      </c>
      <c r="AH4213" s="64">
        <f>IF($A4213="","",IF(AD4213=0,"",IF(OR(COUNTIF(계정대체기준!$A$77:$A$86,$N4213)&gt;0,ISNUMBER(MATCH($X4213,계정대체기준!$D$77:$D$86,0)),ISNUMBER(MATCH($F4213,계정대체기준!$D$77:$D$86,0))),"Y","N")))</f>
        <v/>
      </c>
    </row>
    <row r="4214">
      <c r="A4214" s="92" t="n">
        <v>2026</v>
      </c>
      <c r="B4214" s="92" t="n">
        <v>7</v>
      </c>
      <c r="C4214" s="92" t="inlineStr">
        <is>
          <t>5100001492</t>
        </is>
      </c>
      <c r="D4214" s="95" t="n">
        <v>46218</v>
      </c>
      <c r="E4214" s="92" t="inlineStr">
        <is>
          <t>KR</t>
        </is>
      </c>
      <c r="F4214" s="92" t="n">
        <v>62501000</v>
      </c>
      <c r="G4214" s="92" t="n">
        <v>1701</v>
      </c>
      <c r="H4214" s="93" t="n">
        <v>76000</v>
      </c>
      <c r="I4214" s="92" t="inlineStr">
        <is>
          <t>7월 회의 다과 - T케이터링</t>
        </is>
      </c>
      <c r="J4214" s="92" t="inlineStr">
        <is>
          <t>V10005</t>
        </is>
      </c>
      <c r="K4214" s="92" t="inlineStr">
        <is>
          <t>T케이터링</t>
        </is>
      </c>
      <c r="M4214" s="9">
        <f>IF($A4214="","",VALUE($A4214&amp;"")*12+VALUE($B4214&amp;""))</f>
        <v/>
      </c>
      <c r="N4214" s="64">
        <f>IF($A4214="","",IFERROR(INDEX(부서매핑!$C$5:$C$504,MATCH($G4214&amp;"",부서매핑!$A$5:$A$504,0)),"미매핑"))</f>
        <v/>
      </c>
      <c r="O4214" s="9">
        <f>IF($A4214="","",N4214&amp;"|"&amp;$F4214)</f>
        <v/>
      </c>
      <c r="P4214" s="94">
        <f>IF($A4214="",0,$H4214*설정!$C$23)</f>
        <v/>
      </c>
      <c r="Q4214" s="64">
        <f>IF($A4214="","",IF(O4214&lt;&gt;원인분석!$C$9,"",IF(AND(M4214&gt;=원인분석!$C$10,M4214&lt;=원인분석!$C$11),"당기",IF(AND(M4214&gt;=원인분석!$C$12,M4214&lt;=원인분석!$C$13),"비교",""))))</f>
        <v/>
      </c>
      <c r="R4214" s="9">
        <f>IF(Q4214="","",$K4214&amp;"")</f>
        <v/>
      </c>
      <c r="S4214" s="9">
        <f>IF(Q4214="","",IF(MATCH(R4214,$R$5:$R$100000,0)=ROW()-4,ROW(),""))</f>
        <v/>
      </c>
      <c r="T4214" s="9">
        <f>IF(Q4214="당기",ABS(P4214)+ROW()/1000000000,"")</f>
        <v/>
      </c>
      <c r="U4214" s="9">
        <f>IF(Q4214="비교",ABS(P4214)+ROW()/1000000000,"")</f>
        <v/>
      </c>
      <c r="V4214" s="64">
        <f>IF($A4214="","",IF(COUNTIF(변동분석!$E$7:$E$506,O4214)&gt;0,"Y","N"))</f>
        <v/>
      </c>
      <c r="W4214" s="64">
        <f>IF($A4214="","",IFERROR(INDEX(계정매핑!$D$5:$D$504,MATCH($F4214&amp;"",계정매핑!$A$5:$A$504,0)),"미매핑"))</f>
        <v/>
      </c>
      <c r="X4214" s="9">
        <f>IF($A4214="","",$F4214&amp;"")</f>
        <v/>
      </c>
      <c r="Y4214" s="94">
        <f>IF($A4214="",0,IF(AE4214="직접",IF(AF4214="비귀속",$P4214,0),$P4214*(1-AG4214)*IFERROR(INDEX(계정대체기준!$F$20:$F$49,MATCH($N4214,계정대체기준!$A$20:$A$49,0)),1)))</f>
        <v/>
      </c>
      <c r="Z4214" s="94">
        <f>IF($A4214="",0,IF(AE4214="직접",IF(AF4214="신계약비",$P4214,0),$P4214*(1-AG4214)*IFERROR(INDEX(계정대체기준!$C$20:$C$49,MATCH($N4214,계정대체기준!$A$20:$A$49,0)),0)))</f>
        <v/>
      </c>
      <c r="AA4214" s="94">
        <f>IF($A4214="",0,IF(AE4214="직접",IF(OR(AF4214="유지비",AF4214="손해조사비"),$P4214,0),$P4214*(1-AG4214)*IFERROR(INDEX(계정대체기준!$D$20:$D$49,MATCH($N4214,계정대체기준!$A$20:$A$49,0)),0)))</f>
        <v/>
      </c>
      <c r="AB4214" s="94">
        <f>IF($A4214="",0,IF(AE4214="직접",IF(AF4214="수금비",$P4214,0),$P4214*(1-AG4214)*IFERROR(INDEX(계정대체기준!$E$20:$E$49,MATCH($N4214,계정대체기준!$A$20:$A$49,0)),0)))</f>
        <v/>
      </c>
      <c r="AC4214" s="9">
        <f>IF(AND($A4214&lt;&gt;"",M4214=설정!$C$20,Z4214&gt;0),Z4214+ROW()/1000000000,"")</f>
        <v/>
      </c>
      <c r="AD4214" s="94">
        <f>IF($A4214="",0,$P4214*AG4214)</f>
        <v/>
      </c>
      <c r="AE4214" s="64">
        <f>IF($A4214="","",IFERROR(INDEX(계정매핑!$E$5:$E$504,MATCH($F4214&amp;"",계정매핑!$A$5:$A$504,0))&amp;"","공통비"))</f>
        <v/>
      </c>
      <c r="AF4214" s="64">
        <f>IF($A4214="","",IF(AE4214="직접",IFERROR(INDEX(계정매핑!$F$5:$F$504,MATCH($F4214&amp;"",계정매핑!$A$5:$A$504,0))&amp;"","비귀속"),""))</f>
        <v/>
      </c>
      <c r="AG4214" s="96">
        <f>IF($A4214="",0,IF(AND(AE4214&lt;&gt;"직접",IFERROR(INDEX(계정매핑!$G$5:$G$504,MATCH($F4214&amp;"",계정매핑!$A$5:$A$504,0))&amp;"","")="유지비",COUNTIF(계정대체기준!$A$6:$A$15,$N4214)&gt;0),IFERROR(INDEX(계정대체기준!$E$6:$E$15,MATCH(VALUE($A4214&amp;""),계정대체기준!$D$6:$D$15,0)),0),0))</f>
        <v/>
      </c>
      <c r="AH4214" s="64">
        <f>IF($A4214="","",IF(AD4214=0,"",IF(OR(COUNTIF(계정대체기준!$A$77:$A$86,$N4214)&gt;0,ISNUMBER(MATCH($X4214,계정대체기준!$D$77:$D$86,0)),ISNUMBER(MATCH($F4214,계정대체기준!$D$77:$D$86,0))),"Y","N")))</f>
        <v/>
      </c>
    </row>
    <row r="4215">
      <c r="A4215" s="92" t="n">
        <v>2026</v>
      </c>
      <c r="B4215" s="92" t="n">
        <v>7</v>
      </c>
      <c r="C4215" s="92" t="inlineStr">
        <is>
          <t>5100001493</t>
        </is>
      </c>
      <c r="D4215" s="95" t="n">
        <v>46218</v>
      </c>
      <c r="E4215" s="92" t="inlineStr">
        <is>
          <t>KR</t>
        </is>
      </c>
      <c r="F4215" s="92" t="n">
        <v>62901000</v>
      </c>
      <c r="G4215" s="92" t="n">
        <v>1801</v>
      </c>
      <c r="H4215" s="93" t="n">
        <v>13672000</v>
      </c>
      <c r="I4215" s="92" t="inlineStr">
        <is>
          <t>7월 자문 수수료 - K회계법인</t>
        </is>
      </c>
      <c r="J4215" s="92" t="inlineStr">
        <is>
          <t>V10011</t>
        </is>
      </c>
      <c r="K4215" s="92" t="inlineStr">
        <is>
          <t>K회계법인</t>
        </is>
      </c>
      <c r="M4215" s="9">
        <f>IF($A4215="","",VALUE($A4215&amp;"")*12+VALUE($B4215&amp;""))</f>
        <v/>
      </c>
      <c r="N4215" s="64">
        <f>IF($A4215="","",IFERROR(INDEX(부서매핑!$C$5:$C$504,MATCH($G4215&amp;"",부서매핑!$A$5:$A$504,0)),"미매핑"))</f>
        <v/>
      </c>
      <c r="O4215" s="9">
        <f>IF($A4215="","",N4215&amp;"|"&amp;$F4215)</f>
        <v/>
      </c>
      <c r="P4215" s="94">
        <f>IF($A4215="",0,$H4215*설정!$C$23)</f>
        <v/>
      </c>
      <c r="Q4215" s="64">
        <f>IF($A4215="","",IF(O4215&lt;&gt;원인분석!$C$9,"",IF(AND(M4215&gt;=원인분석!$C$10,M4215&lt;=원인분석!$C$11),"당기",IF(AND(M4215&gt;=원인분석!$C$12,M4215&lt;=원인분석!$C$13),"비교",""))))</f>
        <v/>
      </c>
      <c r="R4215" s="9">
        <f>IF(Q4215="","",$K4215&amp;"")</f>
        <v/>
      </c>
      <c r="S4215" s="9">
        <f>IF(Q4215="","",IF(MATCH(R4215,$R$5:$R$100000,0)=ROW()-4,ROW(),""))</f>
        <v/>
      </c>
      <c r="T4215" s="9">
        <f>IF(Q4215="당기",ABS(P4215)+ROW()/1000000000,"")</f>
        <v/>
      </c>
      <c r="U4215" s="9">
        <f>IF(Q4215="비교",ABS(P4215)+ROW()/1000000000,"")</f>
        <v/>
      </c>
      <c r="V4215" s="64">
        <f>IF($A4215="","",IF(COUNTIF(변동분석!$E$7:$E$506,O4215)&gt;0,"Y","N"))</f>
        <v/>
      </c>
      <c r="W4215" s="64">
        <f>IF($A4215="","",IFERROR(INDEX(계정매핑!$D$5:$D$504,MATCH($F4215&amp;"",계정매핑!$A$5:$A$504,0)),"미매핑"))</f>
        <v/>
      </c>
      <c r="X4215" s="9">
        <f>IF($A4215="","",$F4215&amp;"")</f>
        <v/>
      </c>
      <c r="Y4215" s="94">
        <f>IF($A4215="",0,IF(AE4215="직접",IF(AF4215="비귀속",$P4215,0),$P4215*(1-AG4215)*IFERROR(INDEX(계정대체기준!$F$20:$F$49,MATCH($N4215,계정대체기준!$A$20:$A$49,0)),1)))</f>
        <v/>
      </c>
      <c r="Z4215" s="94">
        <f>IF($A4215="",0,IF(AE4215="직접",IF(AF4215="신계약비",$P4215,0),$P4215*(1-AG4215)*IFERROR(INDEX(계정대체기준!$C$20:$C$49,MATCH($N4215,계정대체기준!$A$20:$A$49,0)),0)))</f>
        <v/>
      </c>
      <c r="AA4215" s="94">
        <f>IF($A4215="",0,IF(AE4215="직접",IF(OR(AF4215="유지비",AF4215="손해조사비"),$P4215,0),$P4215*(1-AG4215)*IFERROR(INDEX(계정대체기준!$D$20:$D$49,MATCH($N4215,계정대체기준!$A$20:$A$49,0)),0)))</f>
        <v/>
      </c>
      <c r="AB4215" s="94">
        <f>IF($A4215="",0,IF(AE4215="직접",IF(AF4215="수금비",$P4215,0),$P4215*(1-AG4215)*IFERROR(INDEX(계정대체기준!$E$20:$E$49,MATCH($N4215,계정대체기준!$A$20:$A$49,0)),0)))</f>
        <v/>
      </c>
      <c r="AC4215" s="9">
        <f>IF(AND($A4215&lt;&gt;"",M4215=설정!$C$20,Z4215&gt;0),Z4215+ROW()/1000000000,"")</f>
        <v/>
      </c>
      <c r="AD4215" s="94">
        <f>IF($A4215="",0,$P4215*AG4215)</f>
        <v/>
      </c>
      <c r="AE4215" s="64">
        <f>IF($A4215="","",IFERROR(INDEX(계정매핑!$E$5:$E$504,MATCH($F4215&amp;"",계정매핑!$A$5:$A$504,0))&amp;"","공통비"))</f>
        <v/>
      </c>
      <c r="AF4215" s="64">
        <f>IF($A4215="","",IF(AE4215="직접",IFERROR(INDEX(계정매핑!$F$5:$F$504,MATCH($F4215&amp;"",계정매핑!$A$5:$A$504,0))&amp;"","비귀속"),""))</f>
        <v/>
      </c>
      <c r="AG4215" s="96">
        <f>IF($A4215="",0,IF(AND(AE4215&lt;&gt;"직접",IFERROR(INDEX(계정매핑!$G$5:$G$504,MATCH($F4215&amp;"",계정매핑!$A$5:$A$504,0))&amp;"","")="유지비",COUNTIF(계정대체기준!$A$6:$A$15,$N4215)&gt;0),IFERROR(INDEX(계정대체기준!$E$6:$E$15,MATCH(VALUE($A4215&amp;""),계정대체기준!$D$6:$D$15,0)),0),0))</f>
        <v/>
      </c>
      <c r="AH4215" s="64">
        <f>IF($A4215="","",IF(AD4215=0,"",IF(OR(COUNTIF(계정대체기준!$A$77:$A$86,$N4215)&gt;0,ISNUMBER(MATCH($X4215,계정대체기준!$D$77:$D$86,0)),ISNUMBER(MATCH($F4215,계정대체기준!$D$77:$D$86,0))),"Y","N")))</f>
        <v/>
      </c>
    </row>
    <row r="4216">
      <c r="A4216" s="92" t="n">
        <v>2026</v>
      </c>
      <c r="B4216" s="92" t="n">
        <v>7</v>
      </c>
      <c r="C4216" s="92" t="inlineStr">
        <is>
          <t>5100001494</t>
        </is>
      </c>
      <c r="D4216" s="95" t="n">
        <v>46219</v>
      </c>
      <c r="E4216" s="92" t="inlineStr">
        <is>
          <t>KR</t>
        </is>
      </c>
      <c r="F4216" s="92" t="n">
        <v>62101000</v>
      </c>
      <c r="G4216" s="92" t="n">
        <v>1601</v>
      </c>
      <c r="H4216" s="93" t="n">
        <v>971000</v>
      </c>
      <c r="I4216" s="92" t="inlineStr">
        <is>
          <t>7월 국내출장 - M항공</t>
        </is>
      </c>
      <c r="J4216" s="92" t="inlineStr">
        <is>
          <t>V10001</t>
        </is>
      </c>
      <c r="K4216" s="92" t="inlineStr">
        <is>
          <t>M항공</t>
        </is>
      </c>
      <c r="M4216" s="9">
        <f>IF($A4216="","",VALUE($A4216&amp;"")*12+VALUE($B4216&amp;""))</f>
        <v/>
      </c>
      <c r="N4216" s="64">
        <f>IF($A4216="","",IFERROR(INDEX(부서매핑!$C$5:$C$504,MATCH($G4216&amp;"",부서매핑!$A$5:$A$504,0)),"미매핑"))</f>
        <v/>
      </c>
      <c r="O4216" s="9">
        <f>IF($A4216="","",N4216&amp;"|"&amp;$F4216)</f>
        <v/>
      </c>
      <c r="P4216" s="94">
        <f>IF($A4216="",0,$H4216*설정!$C$23)</f>
        <v/>
      </c>
      <c r="Q4216" s="64">
        <f>IF($A4216="","",IF(O4216&lt;&gt;원인분석!$C$9,"",IF(AND(M4216&gt;=원인분석!$C$10,M4216&lt;=원인분석!$C$11),"당기",IF(AND(M4216&gt;=원인분석!$C$12,M4216&lt;=원인분석!$C$13),"비교",""))))</f>
        <v/>
      </c>
      <c r="R4216" s="9">
        <f>IF(Q4216="","",$K4216&amp;"")</f>
        <v/>
      </c>
      <c r="S4216" s="9">
        <f>IF(Q4216="","",IF(MATCH(R4216,$R$5:$R$100000,0)=ROW()-4,ROW(),""))</f>
        <v/>
      </c>
      <c r="T4216" s="9">
        <f>IF(Q4216="당기",ABS(P4216)+ROW()/1000000000,"")</f>
        <v/>
      </c>
      <c r="U4216" s="9">
        <f>IF(Q4216="비교",ABS(P4216)+ROW()/1000000000,"")</f>
        <v/>
      </c>
      <c r="V4216" s="64">
        <f>IF($A4216="","",IF(COUNTIF(변동분석!$E$7:$E$506,O4216)&gt;0,"Y","N"))</f>
        <v/>
      </c>
      <c r="W4216" s="64">
        <f>IF($A4216="","",IFERROR(INDEX(계정매핑!$D$5:$D$504,MATCH($F4216&amp;"",계정매핑!$A$5:$A$504,0)),"미매핑"))</f>
        <v/>
      </c>
      <c r="X4216" s="9">
        <f>IF($A4216="","",$F4216&amp;"")</f>
        <v/>
      </c>
      <c r="Y4216" s="94">
        <f>IF($A4216="",0,IF(AE4216="직접",IF(AF4216="비귀속",$P4216,0),$P4216*(1-AG4216)*IFERROR(INDEX(계정대체기준!$F$20:$F$49,MATCH($N4216,계정대체기준!$A$20:$A$49,0)),1)))</f>
        <v/>
      </c>
      <c r="Z4216" s="94">
        <f>IF($A4216="",0,IF(AE4216="직접",IF(AF4216="신계약비",$P4216,0),$P4216*(1-AG4216)*IFERROR(INDEX(계정대체기준!$C$20:$C$49,MATCH($N4216,계정대체기준!$A$20:$A$49,0)),0)))</f>
        <v/>
      </c>
      <c r="AA4216" s="94">
        <f>IF($A4216="",0,IF(AE4216="직접",IF(OR(AF4216="유지비",AF4216="손해조사비"),$P4216,0),$P4216*(1-AG4216)*IFERROR(INDEX(계정대체기준!$D$20:$D$49,MATCH($N4216,계정대체기준!$A$20:$A$49,0)),0)))</f>
        <v/>
      </c>
      <c r="AB4216" s="94">
        <f>IF($A4216="",0,IF(AE4216="직접",IF(AF4216="수금비",$P4216,0),$P4216*(1-AG4216)*IFERROR(INDEX(계정대체기준!$E$20:$E$49,MATCH($N4216,계정대체기준!$A$20:$A$49,0)),0)))</f>
        <v/>
      </c>
      <c r="AC4216" s="9">
        <f>IF(AND($A4216&lt;&gt;"",M4216=설정!$C$20,Z4216&gt;0),Z4216+ROW()/1000000000,"")</f>
        <v/>
      </c>
      <c r="AD4216" s="94">
        <f>IF($A4216="",0,$P4216*AG4216)</f>
        <v/>
      </c>
      <c r="AE4216" s="64">
        <f>IF($A4216="","",IFERROR(INDEX(계정매핑!$E$5:$E$504,MATCH($F4216&amp;"",계정매핑!$A$5:$A$504,0))&amp;"","공통비"))</f>
        <v/>
      </c>
      <c r="AF4216" s="64">
        <f>IF($A4216="","",IF(AE4216="직접",IFERROR(INDEX(계정매핑!$F$5:$F$504,MATCH($F4216&amp;"",계정매핑!$A$5:$A$504,0))&amp;"","비귀속"),""))</f>
        <v/>
      </c>
      <c r="AG4216" s="96">
        <f>IF($A4216="",0,IF(AND(AE4216&lt;&gt;"직접",IFERROR(INDEX(계정매핑!$G$5:$G$504,MATCH($F4216&amp;"",계정매핑!$A$5:$A$504,0))&amp;"","")="유지비",COUNTIF(계정대체기준!$A$6:$A$15,$N4216)&gt;0),IFERROR(INDEX(계정대체기준!$E$6:$E$15,MATCH(VALUE($A4216&amp;""),계정대체기준!$D$6:$D$15,0)),0),0))</f>
        <v/>
      </c>
      <c r="AH4216" s="64">
        <f>IF($A4216="","",IF(AD4216=0,"",IF(OR(COUNTIF(계정대체기준!$A$77:$A$86,$N4216)&gt;0,ISNUMBER(MATCH($X4216,계정대체기준!$D$77:$D$86,0)),ISNUMBER(MATCH($F4216,계정대체기준!$D$77:$D$86,0))),"Y","N")))</f>
        <v/>
      </c>
    </row>
    <row r="4217">
      <c r="A4217" s="92" t="n">
        <v>2026</v>
      </c>
      <c r="B4217" s="92" t="n">
        <v>7</v>
      </c>
      <c r="C4217" s="92" t="inlineStr">
        <is>
          <t>5100001495</t>
        </is>
      </c>
      <c r="D4217" s="95" t="n">
        <v>46219</v>
      </c>
      <c r="E4217" s="92" t="inlineStr">
        <is>
          <t>KR</t>
        </is>
      </c>
      <c r="F4217" s="92" t="n">
        <v>62101000</v>
      </c>
      <c r="G4217" s="92" t="n">
        <v>1951</v>
      </c>
      <c r="H4217" s="93" t="n">
        <v>433000</v>
      </c>
      <c r="I4217" s="92" t="inlineStr">
        <is>
          <t>7월 국내출장 - L여행사</t>
        </is>
      </c>
      <c r="J4217" s="92" t="inlineStr">
        <is>
          <t>V10018</t>
        </is>
      </c>
      <c r="K4217" s="92" t="inlineStr">
        <is>
          <t>L여행사</t>
        </is>
      </c>
      <c r="M4217" s="9">
        <f>IF($A4217="","",VALUE($A4217&amp;"")*12+VALUE($B4217&amp;""))</f>
        <v/>
      </c>
      <c r="N4217" s="64">
        <f>IF($A4217="","",IFERROR(INDEX(부서매핑!$C$5:$C$504,MATCH($G4217&amp;"",부서매핑!$A$5:$A$504,0)),"미매핑"))</f>
        <v/>
      </c>
      <c r="O4217" s="9">
        <f>IF($A4217="","",N4217&amp;"|"&amp;$F4217)</f>
        <v/>
      </c>
      <c r="P4217" s="94">
        <f>IF($A4217="",0,$H4217*설정!$C$23)</f>
        <v/>
      </c>
      <c r="Q4217" s="64">
        <f>IF($A4217="","",IF(O4217&lt;&gt;원인분석!$C$9,"",IF(AND(M4217&gt;=원인분석!$C$10,M4217&lt;=원인분석!$C$11),"당기",IF(AND(M4217&gt;=원인분석!$C$12,M4217&lt;=원인분석!$C$13),"비교",""))))</f>
        <v/>
      </c>
      <c r="R4217" s="9">
        <f>IF(Q4217="","",$K4217&amp;"")</f>
        <v/>
      </c>
      <c r="S4217" s="9">
        <f>IF(Q4217="","",IF(MATCH(R4217,$R$5:$R$100000,0)=ROW()-4,ROW(),""))</f>
        <v/>
      </c>
      <c r="T4217" s="9">
        <f>IF(Q4217="당기",ABS(P4217)+ROW()/1000000000,"")</f>
        <v/>
      </c>
      <c r="U4217" s="9">
        <f>IF(Q4217="비교",ABS(P4217)+ROW()/1000000000,"")</f>
        <v/>
      </c>
      <c r="V4217" s="64">
        <f>IF($A4217="","",IF(COUNTIF(변동분석!$E$7:$E$506,O4217)&gt;0,"Y","N"))</f>
        <v/>
      </c>
      <c r="W4217" s="64">
        <f>IF($A4217="","",IFERROR(INDEX(계정매핑!$D$5:$D$504,MATCH($F4217&amp;"",계정매핑!$A$5:$A$504,0)),"미매핑"))</f>
        <v/>
      </c>
      <c r="X4217" s="9">
        <f>IF($A4217="","",$F4217&amp;"")</f>
        <v/>
      </c>
      <c r="Y4217" s="94">
        <f>IF($A4217="",0,IF(AE4217="직접",IF(AF4217="비귀속",$P4217,0),$P4217*(1-AG4217)*IFERROR(INDEX(계정대체기준!$F$20:$F$49,MATCH($N4217,계정대체기준!$A$20:$A$49,0)),1)))</f>
        <v/>
      </c>
      <c r="Z4217" s="94">
        <f>IF($A4217="",0,IF(AE4217="직접",IF(AF4217="신계약비",$P4217,0),$P4217*(1-AG4217)*IFERROR(INDEX(계정대체기준!$C$20:$C$49,MATCH($N4217,계정대체기준!$A$20:$A$49,0)),0)))</f>
        <v/>
      </c>
      <c r="AA4217" s="94">
        <f>IF($A4217="",0,IF(AE4217="직접",IF(OR(AF4217="유지비",AF4217="손해조사비"),$P4217,0),$P4217*(1-AG4217)*IFERROR(INDEX(계정대체기준!$D$20:$D$49,MATCH($N4217,계정대체기준!$A$20:$A$49,0)),0)))</f>
        <v/>
      </c>
      <c r="AB4217" s="94">
        <f>IF($A4217="",0,IF(AE4217="직접",IF(AF4217="수금비",$P4217,0),$P4217*(1-AG4217)*IFERROR(INDEX(계정대체기준!$E$20:$E$49,MATCH($N4217,계정대체기준!$A$20:$A$49,0)),0)))</f>
        <v/>
      </c>
      <c r="AC4217" s="9">
        <f>IF(AND($A4217&lt;&gt;"",M4217=설정!$C$20,Z4217&gt;0),Z4217+ROW()/1000000000,"")</f>
        <v/>
      </c>
      <c r="AD4217" s="94">
        <f>IF($A4217="",0,$P4217*AG4217)</f>
        <v/>
      </c>
      <c r="AE4217" s="64">
        <f>IF($A4217="","",IFERROR(INDEX(계정매핑!$E$5:$E$504,MATCH($F4217&amp;"",계정매핑!$A$5:$A$504,0))&amp;"","공통비"))</f>
        <v/>
      </c>
      <c r="AF4217" s="64">
        <f>IF($A4217="","",IF(AE4217="직접",IFERROR(INDEX(계정매핑!$F$5:$F$504,MATCH($F4217&amp;"",계정매핑!$A$5:$A$504,0))&amp;"","비귀속"),""))</f>
        <v/>
      </c>
      <c r="AG4217" s="96">
        <f>IF($A4217="",0,IF(AND(AE4217&lt;&gt;"직접",IFERROR(INDEX(계정매핑!$G$5:$G$504,MATCH($F4217&amp;"",계정매핑!$A$5:$A$504,0))&amp;"","")="유지비",COUNTIF(계정대체기준!$A$6:$A$15,$N4217)&gt;0),IFERROR(INDEX(계정대체기준!$E$6:$E$15,MATCH(VALUE($A4217&amp;""),계정대체기준!$D$6:$D$15,0)),0),0))</f>
        <v/>
      </c>
      <c r="AH4217" s="64">
        <f>IF($A4217="","",IF(AD4217=0,"",IF(OR(COUNTIF(계정대체기준!$A$77:$A$86,$N4217)&gt;0,ISNUMBER(MATCH($X4217,계정대체기준!$D$77:$D$86,0)),ISNUMBER(MATCH($F4217,계정대체기준!$D$77:$D$86,0))),"Y","N")))</f>
        <v/>
      </c>
    </row>
    <row r="4218">
      <c r="A4218" s="92" t="n">
        <v>2026</v>
      </c>
      <c r="B4218" s="92" t="n">
        <v>7</v>
      </c>
      <c r="C4218" s="92" t="inlineStr">
        <is>
          <t>5100001496</t>
        </is>
      </c>
      <c r="D4218" s="95" t="n">
        <v>46219</v>
      </c>
      <c r="E4218" s="92" t="inlineStr">
        <is>
          <t>KR</t>
        </is>
      </c>
      <c r="F4218" s="92" t="n">
        <v>62301000</v>
      </c>
      <c r="G4218" s="92" t="n">
        <v>1602</v>
      </c>
      <c r="H4218" s="93" t="n">
        <v>266000</v>
      </c>
      <c r="I4218" s="92" t="inlineStr">
        <is>
          <t>7월 소모품 구입 - R문구</t>
        </is>
      </c>
      <c r="J4218" s="92" t="inlineStr">
        <is>
          <t>V10022</t>
        </is>
      </c>
      <c r="K4218" s="92" t="inlineStr">
        <is>
          <t>R문구</t>
        </is>
      </c>
      <c r="M4218" s="9">
        <f>IF($A4218="","",VALUE($A4218&amp;"")*12+VALUE($B4218&amp;""))</f>
        <v/>
      </c>
      <c r="N4218" s="64">
        <f>IF($A4218="","",IFERROR(INDEX(부서매핑!$C$5:$C$504,MATCH($G4218&amp;"",부서매핑!$A$5:$A$504,0)),"미매핑"))</f>
        <v/>
      </c>
      <c r="O4218" s="9">
        <f>IF($A4218="","",N4218&amp;"|"&amp;$F4218)</f>
        <v/>
      </c>
      <c r="P4218" s="94">
        <f>IF($A4218="",0,$H4218*설정!$C$23)</f>
        <v/>
      </c>
      <c r="Q4218" s="64">
        <f>IF($A4218="","",IF(O4218&lt;&gt;원인분석!$C$9,"",IF(AND(M4218&gt;=원인분석!$C$10,M4218&lt;=원인분석!$C$11),"당기",IF(AND(M4218&gt;=원인분석!$C$12,M4218&lt;=원인분석!$C$13),"비교",""))))</f>
        <v/>
      </c>
      <c r="R4218" s="9">
        <f>IF(Q4218="","",$K4218&amp;"")</f>
        <v/>
      </c>
      <c r="S4218" s="9">
        <f>IF(Q4218="","",IF(MATCH(R4218,$R$5:$R$100000,0)=ROW()-4,ROW(),""))</f>
        <v/>
      </c>
      <c r="T4218" s="9">
        <f>IF(Q4218="당기",ABS(P4218)+ROW()/1000000000,"")</f>
        <v/>
      </c>
      <c r="U4218" s="9">
        <f>IF(Q4218="비교",ABS(P4218)+ROW()/1000000000,"")</f>
        <v/>
      </c>
      <c r="V4218" s="64">
        <f>IF($A4218="","",IF(COUNTIF(변동분석!$E$7:$E$506,O4218)&gt;0,"Y","N"))</f>
        <v/>
      </c>
      <c r="W4218" s="64">
        <f>IF($A4218="","",IFERROR(INDEX(계정매핑!$D$5:$D$504,MATCH($F4218&amp;"",계정매핑!$A$5:$A$504,0)),"미매핑"))</f>
        <v/>
      </c>
      <c r="X4218" s="9">
        <f>IF($A4218="","",$F4218&amp;"")</f>
        <v/>
      </c>
      <c r="Y4218" s="94">
        <f>IF($A4218="",0,IF(AE4218="직접",IF(AF4218="비귀속",$P4218,0),$P4218*(1-AG4218)*IFERROR(INDEX(계정대체기준!$F$20:$F$49,MATCH($N4218,계정대체기준!$A$20:$A$49,0)),1)))</f>
        <v/>
      </c>
      <c r="Z4218" s="94">
        <f>IF($A4218="",0,IF(AE4218="직접",IF(AF4218="신계약비",$P4218,0),$P4218*(1-AG4218)*IFERROR(INDEX(계정대체기준!$C$20:$C$49,MATCH($N4218,계정대체기준!$A$20:$A$49,0)),0)))</f>
        <v/>
      </c>
      <c r="AA4218" s="94">
        <f>IF($A4218="",0,IF(AE4218="직접",IF(OR(AF4218="유지비",AF4218="손해조사비"),$P4218,0),$P4218*(1-AG4218)*IFERROR(INDEX(계정대체기준!$D$20:$D$49,MATCH($N4218,계정대체기준!$A$20:$A$49,0)),0)))</f>
        <v/>
      </c>
      <c r="AB4218" s="94">
        <f>IF($A4218="",0,IF(AE4218="직접",IF(AF4218="수금비",$P4218,0),$P4218*(1-AG4218)*IFERROR(INDEX(계정대체기준!$E$20:$E$49,MATCH($N4218,계정대체기준!$A$20:$A$49,0)),0)))</f>
        <v/>
      </c>
      <c r="AC4218" s="9">
        <f>IF(AND($A4218&lt;&gt;"",M4218=설정!$C$20,Z4218&gt;0),Z4218+ROW()/1000000000,"")</f>
        <v/>
      </c>
      <c r="AD4218" s="94">
        <f>IF($A4218="",0,$P4218*AG4218)</f>
        <v/>
      </c>
      <c r="AE4218" s="64">
        <f>IF($A4218="","",IFERROR(INDEX(계정매핑!$E$5:$E$504,MATCH($F4218&amp;"",계정매핑!$A$5:$A$504,0))&amp;"","공통비"))</f>
        <v/>
      </c>
      <c r="AF4218" s="64">
        <f>IF($A4218="","",IF(AE4218="직접",IFERROR(INDEX(계정매핑!$F$5:$F$504,MATCH($F4218&amp;"",계정매핑!$A$5:$A$504,0))&amp;"","비귀속"),""))</f>
        <v/>
      </c>
      <c r="AG4218" s="96">
        <f>IF($A4218="",0,IF(AND(AE4218&lt;&gt;"직접",IFERROR(INDEX(계정매핑!$G$5:$G$504,MATCH($F4218&amp;"",계정매핑!$A$5:$A$504,0))&amp;"","")="유지비",COUNTIF(계정대체기준!$A$6:$A$15,$N4218)&gt;0),IFERROR(INDEX(계정대체기준!$E$6:$E$15,MATCH(VALUE($A4218&amp;""),계정대체기준!$D$6:$D$15,0)),0),0))</f>
        <v/>
      </c>
      <c r="AH4218" s="64">
        <f>IF($A4218="","",IF(AD4218=0,"",IF(OR(COUNTIF(계정대체기준!$A$77:$A$86,$N4218)&gt;0,ISNUMBER(MATCH($X4218,계정대체기준!$D$77:$D$86,0)),ISNUMBER(MATCH($F4218,계정대체기준!$D$77:$D$86,0))),"Y","N")))</f>
        <v/>
      </c>
    </row>
    <row r="4219">
      <c r="A4219" s="92" t="n">
        <v>2026</v>
      </c>
      <c r="B4219" s="92" t="n">
        <v>7</v>
      </c>
      <c r="C4219" s="92" t="inlineStr">
        <is>
          <t>5100001497</t>
        </is>
      </c>
      <c r="D4219" s="95" t="n">
        <v>46219</v>
      </c>
      <c r="E4219" s="92" t="inlineStr">
        <is>
          <t>KR</t>
        </is>
      </c>
      <c r="F4219" s="92" t="n">
        <v>62501000</v>
      </c>
      <c r="G4219" s="92" t="n">
        <v>1201</v>
      </c>
      <c r="H4219" s="93" t="n">
        <v>83000</v>
      </c>
      <c r="I4219" s="92" t="inlineStr">
        <is>
          <t>7월 회의 다과 - T케이터링</t>
        </is>
      </c>
      <c r="J4219" s="92" t="inlineStr">
        <is>
          <t>V10005</t>
        </is>
      </c>
      <c r="K4219" s="92" t="inlineStr">
        <is>
          <t>T케이터링</t>
        </is>
      </c>
      <c r="M4219" s="9">
        <f>IF($A4219="","",VALUE($A4219&amp;"")*12+VALUE($B4219&amp;""))</f>
        <v/>
      </c>
      <c r="N4219" s="64">
        <f>IF($A4219="","",IFERROR(INDEX(부서매핑!$C$5:$C$504,MATCH($G4219&amp;"",부서매핑!$A$5:$A$504,0)),"미매핑"))</f>
        <v/>
      </c>
      <c r="O4219" s="9">
        <f>IF($A4219="","",N4219&amp;"|"&amp;$F4219)</f>
        <v/>
      </c>
      <c r="P4219" s="94">
        <f>IF($A4219="",0,$H4219*설정!$C$23)</f>
        <v/>
      </c>
      <c r="Q4219" s="64">
        <f>IF($A4219="","",IF(O4219&lt;&gt;원인분석!$C$9,"",IF(AND(M4219&gt;=원인분석!$C$10,M4219&lt;=원인분석!$C$11),"당기",IF(AND(M4219&gt;=원인분석!$C$12,M4219&lt;=원인분석!$C$13),"비교",""))))</f>
        <v/>
      </c>
      <c r="R4219" s="9">
        <f>IF(Q4219="","",$K4219&amp;"")</f>
        <v/>
      </c>
      <c r="S4219" s="9">
        <f>IF(Q4219="","",IF(MATCH(R4219,$R$5:$R$100000,0)=ROW()-4,ROW(),""))</f>
        <v/>
      </c>
      <c r="T4219" s="9">
        <f>IF(Q4219="당기",ABS(P4219)+ROW()/1000000000,"")</f>
        <v/>
      </c>
      <c r="U4219" s="9">
        <f>IF(Q4219="비교",ABS(P4219)+ROW()/1000000000,"")</f>
        <v/>
      </c>
      <c r="V4219" s="64">
        <f>IF($A4219="","",IF(COUNTIF(변동분석!$E$7:$E$506,O4219)&gt;0,"Y","N"))</f>
        <v/>
      </c>
      <c r="W4219" s="64">
        <f>IF($A4219="","",IFERROR(INDEX(계정매핑!$D$5:$D$504,MATCH($F4219&amp;"",계정매핑!$A$5:$A$504,0)),"미매핑"))</f>
        <v/>
      </c>
      <c r="X4219" s="9">
        <f>IF($A4219="","",$F4219&amp;"")</f>
        <v/>
      </c>
      <c r="Y4219" s="94">
        <f>IF($A4219="",0,IF(AE4219="직접",IF(AF4219="비귀속",$P4219,0),$P4219*(1-AG4219)*IFERROR(INDEX(계정대체기준!$F$20:$F$49,MATCH($N4219,계정대체기준!$A$20:$A$49,0)),1)))</f>
        <v/>
      </c>
      <c r="Z4219" s="94">
        <f>IF($A4219="",0,IF(AE4219="직접",IF(AF4219="신계약비",$P4219,0),$P4219*(1-AG4219)*IFERROR(INDEX(계정대체기준!$C$20:$C$49,MATCH($N4219,계정대체기준!$A$20:$A$49,0)),0)))</f>
        <v/>
      </c>
      <c r="AA4219" s="94">
        <f>IF($A4219="",0,IF(AE4219="직접",IF(OR(AF4219="유지비",AF4219="손해조사비"),$P4219,0),$P4219*(1-AG4219)*IFERROR(INDEX(계정대체기준!$D$20:$D$49,MATCH($N4219,계정대체기준!$A$20:$A$49,0)),0)))</f>
        <v/>
      </c>
      <c r="AB4219" s="94">
        <f>IF($A4219="",0,IF(AE4219="직접",IF(AF4219="수금비",$P4219,0),$P4219*(1-AG4219)*IFERROR(INDEX(계정대체기준!$E$20:$E$49,MATCH($N4219,계정대체기준!$A$20:$A$49,0)),0)))</f>
        <v/>
      </c>
      <c r="AC4219" s="9">
        <f>IF(AND($A4219&lt;&gt;"",M4219=설정!$C$20,Z4219&gt;0),Z4219+ROW()/1000000000,"")</f>
        <v/>
      </c>
      <c r="AD4219" s="94">
        <f>IF($A4219="",0,$P4219*AG4219)</f>
        <v/>
      </c>
      <c r="AE4219" s="64">
        <f>IF($A4219="","",IFERROR(INDEX(계정매핑!$E$5:$E$504,MATCH($F4219&amp;"",계정매핑!$A$5:$A$504,0))&amp;"","공통비"))</f>
        <v/>
      </c>
      <c r="AF4219" s="64">
        <f>IF($A4219="","",IF(AE4219="직접",IFERROR(INDEX(계정매핑!$F$5:$F$504,MATCH($F4219&amp;"",계정매핑!$A$5:$A$504,0))&amp;"","비귀속"),""))</f>
        <v/>
      </c>
      <c r="AG4219" s="96">
        <f>IF($A4219="",0,IF(AND(AE4219&lt;&gt;"직접",IFERROR(INDEX(계정매핑!$G$5:$G$504,MATCH($F4219&amp;"",계정매핑!$A$5:$A$504,0))&amp;"","")="유지비",COUNTIF(계정대체기준!$A$6:$A$15,$N4219)&gt;0),IFERROR(INDEX(계정대체기준!$E$6:$E$15,MATCH(VALUE($A4219&amp;""),계정대체기준!$D$6:$D$15,0)),0),0))</f>
        <v/>
      </c>
      <c r="AH4219" s="64">
        <f>IF($A4219="","",IF(AD4219=0,"",IF(OR(COUNTIF(계정대체기준!$A$77:$A$86,$N4219)&gt;0,ISNUMBER(MATCH($X4219,계정대체기준!$D$77:$D$86,0)),ISNUMBER(MATCH($F4219,계정대체기준!$D$77:$D$86,0))),"Y","N")))</f>
        <v/>
      </c>
    </row>
    <row r="4220">
      <c r="A4220" s="92" t="n">
        <v>2026</v>
      </c>
      <c r="B4220" s="92" t="n">
        <v>7</v>
      </c>
      <c r="C4220" s="92" t="inlineStr">
        <is>
          <t>5100001498</t>
        </is>
      </c>
      <c r="D4220" s="95" t="n">
        <v>46219</v>
      </c>
      <c r="E4220" s="92" t="inlineStr">
        <is>
          <t>KR</t>
        </is>
      </c>
      <c r="F4220" s="92" t="n">
        <v>62501000</v>
      </c>
      <c r="G4220" s="92" t="n">
        <v>1701</v>
      </c>
      <c r="H4220" s="93" t="n">
        <v>72000</v>
      </c>
      <c r="I4220" s="92" t="inlineStr">
        <is>
          <t>7월 회의 다과 - T케이터링</t>
        </is>
      </c>
      <c r="J4220" s="92" t="inlineStr">
        <is>
          <t>V10005</t>
        </is>
      </c>
      <c r="K4220" s="92" t="inlineStr">
        <is>
          <t>T케이터링</t>
        </is>
      </c>
      <c r="M4220" s="9">
        <f>IF($A4220="","",VALUE($A4220&amp;"")*12+VALUE($B4220&amp;""))</f>
        <v/>
      </c>
      <c r="N4220" s="64">
        <f>IF($A4220="","",IFERROR(INDEX(부서매핑!$C$5:$C$504,MATCH($G4220&amp;"",부서매핑!$A$5:$A$504,0)),"미매핑"))</f>
        <v/>
      </c>
      <c r="O4220" s="9">
        <f>IF($A4220="","",N4220&amp;"|"&amp;$F4220)</f>
        <v/>
      </c>
      <c r="P4220" s="94">
        <f>IF($A4220="",0,$H4220*설정!$C$23)</f>
        <v/>
      </c>
      <c r="Q4220" s="64">
        <f>IF($A4220="","",IF(O4220&lt;&gt;원인분석!$C$9,"",IF(AND(M4220&gt;=원인분석!$C$10,M4220&lt;=원인분석!$C$11),"당기",IF(AND(M4220&gt;=원인분석!$C$12,M4220&lt;=원인분석!$C$13),"비교",""))))</f>
        <v/>
      </c>
      <c r="R4220" s="9">
        <f>IF(Q4220="","",$K4220&amp;"")</f>
        <v/>
      </c>
      <c r="S4220" s="9">
        <f>IF(Q4220="","",IF(MATCH(R4220,$R$5:$R$100000,0)=ROW()-4,ROW(),""))</f>
        <v/>
      </c>
      <c r="T4220" s="9">
        <f>IF(Q4220="당기",ABS(P4220)+ROW()/1000000000,"")</f>
        <v/>
      </c>
      <c r="U4220" s="9">
        <f>IF(Q4220="비교",ABS(P4220)+ROW()/1000000000,"")</f>
        <v/>
      </c>
      <c r="V4220" s="64">
        <f>IF($A4220="","",IF(COUNTIF(변동분석!$E$7:$E$506,O4220)&gt;0,"Y","N"))</f>
        <v/>
      </c>
      <c r="W4220" s="64">
        <f>IF($A4220="","",IFERROR(INDEX(계정매핑!$D$5:$D$504,MATCH($F4220&amp;"",계정매핑!$A$5:$A$504,0)),"미매핑"))</f>
        <v/>
      </c>
      <c r="X4220" s="9">
        <f>IF($A4220="","",$F4220&amp;"")</f>
        <v/>
      </c>
      <c r="Y4220" s="94">
        <f>IF($A4220="",0,IF(AE4220="직접",IF(AF4220="비귀속",$P4220,0),$P4220*(1-AG4220)*IFERROR(INDEX(계정대체기준!$F$20:$F$49,MATCH($N4220,계정대체기준!$A$20:$A$49,0)),1)))</f>
        <v/>
      </c>
      <c r="Z4220" s="94">
        <f>IF($A4220="",0,IF(AE4220="직접",IF(AF4220="신계약비",$P4220,0),$P4220*(1-AG4220)*IFERROR(INDEX(계정대체기준!$C$20:$C$49,MATCH($N4220,계정대체기준!$A$20:$A$49,0)),0)))</f>
        <v/>
      </c>
      <c r="AA4220" s="94">
        <f>IF($A4220="",0,IF(AE4220="직접",IF(OR(AF4220="유지비",AF4220="손해조사비"),$P4220,0),$P4220*(1-AG4220)*IFERROR(INDEX(계정대체기준!$D$20:$D$49,MATCH($N4220,계정대체기준!$A$20:$A$49,0)),0)))</f>
        <v/>
      </c>
      <c r="AB4220" s="94">
        <f>IF($A4220="",0,IF(AE4220="직접",IF(AF4220="수금비",$P4220,0),$P4220*(1-AG4220)*IFERROR(INDEX(계정대체기준!$E$20:$E$49,MATCH($N4220,계정대체기준!$A$20:$A$49,0)),0)))</f>
        <v/>
      </c>
      <c r="AC4220" s="9">
        <f>IF(AND($A4220&lt;&gt;"",M4220=설정!$C$20,Z4220&gt;0),Z4220+ROW()/1000000000,"")</f>
        <v/>
      </c>
      <c r="AD4220" s="94">
        <f>IF($A4220="",0,$P4220*AG4220)</f>
        <v/>
      </c>
      <c r="AE4220" s="64">
        <f>IF($A4220="","",IFERROR(INDEX(계정매핑!$E$5:$E$504,MATCH($F4220&amp;"",계정매핑!$A$5:$A$504,0))&amp;"","공통비"))</f>
        <v/>
      </c>
      <c r="AF4220" s="64">
        <f>IF($A4220="","",IF(AE4220="직접",IFERROR(INDEX(계정매핑!$F$5:$F$504,MATCH($F4220&amp;"",계정매핑!$A$5:$A$504,0))&amp;"","비귀속"),""))</f>
        <v/>
      </c>
      <c r="AG4220" s="96">
        <f>IF($A4220="",0,IF(AND(AE4220&lt;&gt;"직접",IFERROR(INDEX(계정매핑!$G$5:$G$504,MATCH($F4220&amp;"",계정매핑!$A$5:$A$504,0))&amp;"","")="유지비",COUNTIF(계정대체기준!$A$6:$A$15,$N4220)&gt;0),IFERROR(INDEX(계정대체기준!$E$6:$E$15,MATCH(VALUE($A4220&amp;""),계정대체기준!$D$6:$D$15,0)),0),0))</f>
        <v/>
      </c>
      <c r="AH4220" s="64">
        <f>IF($A4220="","",IF(AD4220=0,"",IF(OR(COUNTIF(계정대체기준!$A$77:$A$86,$N4220)&gt;0,ISNUMBER(MATCH($X4220,계정대체기준!$D$77:$D$86,0)),ISNUMBER(MATCH($F4220,계정대체기준!$D$77:$D$86,0))),"Y","N")))</f>
        <v/>
      </c>
    </row>
    <row r="4221">
      <c r="A4221" s="92" t="n">
        <v>2026</v>
      </c>
      <c r="B4221" s="92" t="n">
        <v>7</v>
      </c>
      <c r="C4221" s="92" t="inlineStr">
        <is>
          <t>5100001499</t>
        </is>
      </c>
      <c r="D4221" s="95" t="n">
        <v>46219</v>
      </c>
      <c r="E4221" s="92" t="inlineStr">
        <is>
          <t>KR</t>
        </is>
      </c>
      <c r="F4221" s="92" t="n">
        <v>63002000</v>
      </c>
      <c r="G4221" s="92" t="n">
        <v>1951</v>
      </c>
      <c r="H4221" s="93" t="n">
        <v>8288000</v>
      </c>
      <c r="I4221" s="92" t="inlineStr">
        <is>
          <t>7월 클라우드 사용료 - C클라우드</t>
        </is>
      </c>
      <c r="J4221" s="92" t="inlineStr">
        <is>
          <t>V10026</t>
        </is>
      </c>
      <c r="K4221" s="92" t="inlineStr">
        <is>
          <t>C클라우드</t>
        </is>
      </c>
      <c r="M4221" s="9">
        <f>IF($A4221="","",VALUE($A4221&amp;"")*12+VALUE($B4221&amp;""))</f>
        <v/>
      </c>
      <c r="N4221" s="64">
        <f>IF($A4221="","",IFERROR(INDEX(부서매핑!$C$5:$C$504,MATCH($G4221&amp;"",부서매핑!$A$5:$A$504,0)),"미매핑"))</f>
        <v/>
      </c>
      <c r="O4221" s="9">
        <f>IF($A4221="","",N4221&amp;"|"&amp;$F4221)</f>
        <v/>
      </c>
      <c r="P4221" s="94">
        <f>IF($A4221="",0,$H4221*설정!$C$23)</f>
        <v/>
      </c>
      <c r="Q4221" s="64">
        <f>IF($A4221="","",IF(O4221&lt;&gt;원인분석!$C$9,"",IF(AND(M4221&gt;=원인분석!$C$10,M4221&lt;=원인분석!$C$11),"당기",IF(AND(M4221&gt;=원인분석!$C$12,M4221&lt;=원인분석!$C$13),"비교",""))))</f>
        <v/>
      </c>
      <c r="R4221" s="9">
        <f>IF(Q4221="","",$K4221&amp;"")</f>
        <v/>
      </c>
      <c r="S4221" s="9">
        <f>IF(Q4221="","",IF(MATCH(R4221,$R$5:$R$100000,0)=ROW()-4,ROW(),""))</f>
        <v/>
      </c>
      <c r="T4221" s="9">
        <f>IF(Q4221="당기",ABS(P4221)+ROW()/1000000000,"")</f>
        <v/>
      </c>
      <c r="U4221" s="9">
        <f>IF(Q4221="비교",ABS(P4221)+ROW()/1000000000,"")</f>
        <v/>
      </c>
      <c r="V4221" s="64">
        <f>IF($A4221="","",IF(COUNTIF(변동분석!$E$7:$E$506,O4221)&gt;0,"Y","N"))</f>
        <v/>
      </c>
      <c r="W4221" s="64">
        <f>IF($A4221="","",IFERROR(INDEX(계정매핑!$D$5:$D$504,MATCH($F4221&amp;"",계정매핑!$A$5:$A$504,0)),"미매핑"))</f>
        <v/>
      </c>
      <c r="X4221" s="9">
        <f>IF($A4221="","",$F4221&amp;"")</f>
        <v/>
      </c>
      <c r="Y4221" s="94">
        <f>IF($A4221="",0,IF(AE4221="직접",IF(AF4221="비귀속",$P4221,0),$P4221*(1-AG4221)*IFERROR(INDEX(계정대체기준!$F$20:$F$49,MATCH($N4221,계정대체기준!$A$20:$A$49,0)),1)))</f>
        <v/>
      </c>
      <c r="Z4221" s="94">
        <f>IF($A4221="",0,IF(AE4221="직접",IF(AF4221="신계약비",$P4221,0),$P4221*(1-AG4221)*IFERROR(INDEX(계정대체기준!$C$20:$C$49,MATCH($N4221,계정대체기준!$A$20:$A$49,0)),0)))</f>
        <v/>
      </c>
      <c r="AA4221" s="94">
        <f>IF($A4221="",0,IF(AE4221="직접",IF(OR(AF4221="유지비",AF4221="손해조사비"),$P4221,0),$P4221*(1-AG4221)*IFERROR(INDEX(계정대체기준!$D$20:$D$49,MATCH($N4221,계정대체기준!$A$20:$A$49,0)),0)))</f>
        <v/>
      </c>
      <c r="AB4221" s="94">
        <f>IF($A4221="",0,IF(AE4221="직접",IF(AF4221="수금비",$P4221,0),$P4221*(1-AG4221)*IFERROR(INDEX(계정대체기준!$E$20:$E$49,MATCH($N4221,계정대체기준!$A$20:$A$49,0)),0)))</f>
        <v/>
      </c>
      <c r="AC4221" s="9">
        <f>IF(AND($A4221&lt;&gt;"",M4221=설정!$C$20,Z4221&gt;0),Z4221+ROW()/1000000000,"")</f>
        <v/>
      </c>
      <c r="AD4221" s="94">
        <f>IF($A4221="",0,$P4221*AG4221)</f>
        <v/>
      </c>
      <c r="AE4221" s="64">
        <f>IF($A4221="","",IFERROR(INDEX(계정매핑!$E$5:$E$504,MATCH($F4221&amp;"",계정매핑!$A$5:$A$504,0))&amp;"","공통비"))</f>
        <v/>
      </c>
      <c r="AF4221" s="64">
        <f>IF($A4221="","",IF(AE4221="직접",IFERROR(INDEX(계정매핑!$F$5:$F$504,MATCH($F4221&amp;"",계정매핑!$A$5:$A$504,0))&amp;"","비귀속"),""))</f>
        <v/>
      </c>
      <c r="AG4221" s="96">
        <f>IF($A4221="",0,IF(AND(AE4221&lt;&gt;"직접",IFERROR(INDEX(계정매핑!$G$5:$G$504,MATCH($F4221&amp;"",계정매핑!$A$5:$A$504,0))&amp;"","")="유지비",COUNTIF(계정대체기준!$A$6:$A$15,$N4221)&gt;0),IFERROR(INDEX(계정대체기준!$E$6:$E$15,MATCH(VALUE($A4221&amp;""),계정대체기준!$D$6:$D$15,0)),0),0))</f>
        <v/>
      </c>
      <c r="AH4221" s="64">
        <f>IF($A4221="","",IF(AD4221=0,"",IF(OR(COUNTIF(계정대체기준!$A$77:$A$86,$N4221)&gt;0,ISNUMBER(MATCH($X4221,계정대체기준!$D$77:$D$86,0)),ISNUMBER(MATCH($F4221,계정대체기준!$D$77:$D$86,0))),"Y","N")))</f>
        <v/>
      </c>
    </row>
    <row r="4222">
      <c r="A4222" s="92" t="n">
        <v>2026</v>
      </c>
      <c r="B4222" s="92" t="n">
        <v>7</v>
      </c>
      <c r="C4222" s="92" t="inlineStr">
        <is>
          <t>5100001500</t>
        </is>
      </c>
      <c r="D4222" s="95" t="n">
        <v>46219</v>
      </c>
      <c r="E4222" s="92" t="inlineStr">
        <is>
          <t>KR</t>
        </is>
      </c>
      <c r="F4222" s="92" t="n">
        <v>63501000</v>
      </c>
      <c r="G4222" s="92" t="n">
        <v>1901</v>
      </c>
      <c r="H4222" s="93" t="n">
        <v>547456000</v>
      </c>
      <c r="I4222" s="92" t="inlineStr">
        <is>
          <t>7월 모집수수료 - BB에셋</t>
        </is>
      </c>
      <c r="J4222" s="92" t="inlineStr">
        <is>
          <t>V10013</t>
        </is>
      </c>
      <c r="K4222" s="92" t="inlineStr">
        <is>
          <t>BB에셋</t>
        </is>
      </c>
      <c r="M4222" s="9">
        <f>IF($A4222="","",VALUE($A4222&amp;"")*12+VALUE($B4222&amp;""))</f>
        <v/>
      </c>
      <c r="N4222" s="64">
        <f>IF($A4222="","",IFERROR(INDEX(부서매핑!$C$5:$C$504,MATCH($G4222&amp;"",부서매핑!$A$5:$A$504,0)),"미매핑"))</f>
        <v/>
      </c>
      <c r="O4222" s="9">
        <f>IF($A4222="","",N4222&amp;"|"&amp;$F4222)</f>
        <v/>
      </c>
      <c r="P4222" s="94">
        <f>IF($A4222="",0,$H4222*설정!$C$23)</f>
        <v/>
      </c>
      <c r="Q4222" s="64">
        <f>IF($A4222="","",IF(O4222&lt;&gt;원인분석!$C$9,"",IF(AND(M4222&gt;=원인분석!$C$10,M4222&lt;=원인분석!$C$11),"당기",IF(AND(M4222&gt;=원인분석!$C$12,M4222&lt;=원인분석!$C$13),"비교",""))))</f>
        <v/>
      </c>
      <c r="R4222" s="9">
        <f>IF(Q4222="","",$K4222&amp;"")</f>
        <v/>
      </c>
      <c r="S4222" s="9">
        <f>IF(Q4222="","",IF(MATCH(R4222,$R$5:$R$100000,0)=ROW()-4,ROW(),""))</f>
        <v/>
      </c>
      <c r="T4222" s="9">
        <f>IF(Q4222="당기",ABS(P4222)+ROW()/1000000000,"")</f>
        <v/>
      </c>
      <c r="U4222" s="9">
        <f>IF(Q4222="비교",ABS(P4222)+ROW()/1000000000,"")</f>
        <v/>
      </c>
      <c r="V4222" s="64">
        <f>IF($A4222="","",IF(COUNTIF(변동분석!$E$7:$E$506,O4222)&gt;0,"Y","N"))</f>
        <v/>
      </c>
      <c r="W4222" s="64">
        <f>IF($A4222="","",IFERROR(INDEX(계정매핑!$D$5:$D$504,MATCH($F4222&amp;"",계정매핑!$A$5:$A$504,0)),"미매핑"))</f>
        <v/>
      </c>
      <c r="X4222" s="9">
        <f>IF($A4222="","",$F4222&amp;"")</f>
        <v/>
      </c>
      <c r="Y4222" s="94">
        <f>IF($A4222="",0,IF(AE4222="직접",IF(AF4222="비귀속",$P4222,0),$P4222*(1-AG4222)*IFERROR(INDEX(계정대체기준!$F$20:$F$49,MATCH($N4222,계정대체기준!$A$20:$A$49,0)),1)))</f>
        <v/>
      </c>
      <c r="Z4222" s="94">
        <f>IF($A4222="",0,IF(AE4222="직접",IF(AF4222="신계약비",$P4222,0),$P4222*(1-AG4222)*IFERROR(INDEX(계정대체기준!$C$20:$C$49,MATCH($N4222,계정대체기준!$A$20:$A$49,0)),0)))</f>
        <v/>
      </c>
      <c r="AA4222" s="94">
        <f>IF($A4222="",0,IF(AE4222="직접",IF(OR(AF4222="유지비",AF4222="손해조사비"),$P4222,0),$P4222*(1-AG4222)*IFERROR(INDEX(계정대체기준!$D$20:$D$49,MATCH($N4222,계정대체기준!$A$20:$A$49,0)),0)))</f>
        <v/>
      </c>
      <c r="AB4222" s="94">
        <f>IF($A4222="",0,IF(AE4222="직접",IF(AF4222="수금비",$P4222,0),$P4222*(1-AG4222)*IFERROR(INDEX(계정대체기준!$E$20:$E$49,MATCH($N4222,계정대체기준!$A$20:$A$49,0)),0)))</f>
        <v/>
      </c>
      <c r="AC4222" s="9">
        <f>IF(AND($A4222&lt;&gt;"",M4222=설정!$C$20,Z4222&gt;0),Z4222+ROW()/1000000000,"")</f>
        <v/>
      </c>
      <c r="AD4222" s="94">
        <f>IF($A4222="",0,$P4222*AG4222)</f>
        <v/>
      </c>
      <c r="AE4222" s="64">
        <f>IF($A4222="","",IFERROR(INDEX(계정매핑!$E$5:$E$504,MATCH($F4222&amp;"",계정매핑!$A$5:$A$504,0))&amp;"","공통비"))</f>
        <v/>
      </c>
      <c r="AF4222" s="64">
        <f>IF($A4222="","",IF(AE4222="직접",IFERROR(INDEX(계정매핑!$F$5:$F$504,MATCH($F4222&amp;"",계정매핑!$A$5:$A$504,0))&amp;"","비귀속"),""))</f>
        <v/>
      </c>
      <c r="AG4222" s="96">
        <f>IF($A4222="",0,IF(AND(AE4222&lt;&gt;"직접",IFERROR(INDEX(계정매핑!$G$5:$G$504,MATCH($F4222&amp;"",계정매핑!$A$5:$A$504,0))&amp;"","")="유지비",COUNTIF(계정대체기준!$A$6:$A$15,$N4222)&gt;0),IFERROR(INDEX(계정대체기준!$E$6:$E$15,MATCH(VALUE($A4222&amp;""),계정대체기준!$D$6:$D$15,0)),0),0))</f>
        <v/>
      </c>
      <c r="AH4222" s="64">
        <f>IF($A4222="","",IF(AD4222=0,"",IF(OR(COUNTIF(계정대체기준!$A$77:$A$86,$N4222)&gt;0,ISNUMBER(MATCH($X4222,계정대체기준!$D$77:$D$86,0)),ISNUMBER(MATCH($F4222,계정대체기준!$D$77:$D$86,0))),"Y","N")))</f>
        <v/>
      </c>
    </row>
    <row r="4223">
      <c r="A4223" s="92" t="n">
        <v>2026</v>
      </c>
      <c r="B4223" s="92" t="n">
        <v>7</v>
      </c>
      <c r="C4223" s="92" t="inlineStr">
        <is>
          <t>5100001501</t>
        </is>
      </c>
      <c r="D4223" s="95" t="n">
        <v>46220</v>
      </c>
      <c r="E4223" s="92" t="inlineStr">
        <is>
          <t>KR</t>
        </is>
      </c>
      <c r="F4223" s="92" t="n">
        <v>62101000</v>
      </c>
      <c r="G4223" s="92" t="n">
        <v>1502</v>
      </c>
      <c r="H4223" s="93" t="n">
        <v>493000</v>
      </c>
      <c r="I4223" s="92" t="inlineStr">
        <is>
          <t>7월 국내출장 - M항공</t>
        </is>
      </c>
      <c r="J4223" s="92" t="inlineStr">
        <is>
          <t>V10001</t>
        </is>
      </c>
      <c r="K4223" s="92" t="inlineStr">
        <is>
          <t>M항공</t>
        </is>
      </c>
      <c r="M4223" s="9">
        <f>IF($A4223="","",VALUE($A4223&amp;"")*12+VALUE($B4223&amp;""))</f>
        <v/>
      </c>
      <c r="N4223" s="64">
        <f>IF($A4223="","",IFERROR(INDEX(부서매핑!$C$5:$C$504,MATCH($G4223&amp;"",부서매핑!$A$5:$A$504,0)),"미매핑"))</f>
        <v/>
      </c>
      <c r="O4223" s="9">
        <f>IF($A4223="","",N4223&amp;"|"&amp;$F4223)</f>
        <v/>
      </c>
      <c r="P4223" s="94">
        <f>IF($A4223="",0,$H4223*설정!$C$23)</f>
        <v/>
      </c>
      <c r="Q4223" s="64">
        <f>IF($A4223="","",IF(O4223&lt;&gt;원인분석!$C$9,"",IF(AND(M4223&gt;=원인분석!$C$10,M4223&lt;=원인분석!$C$11),"당기",IF(AND(M4223&gt;=원인분석!$C$12,M4223&lt;=원인분석!$C$13),"비교",""))))</f>
        <v/>
      </c>
      <c r="R4223" s="9">
        <f>IF(Q4223="","",$K4223&amp;"")</f>
        <v/>
      </c>
      <c r="S4223" s="9">
        <f>IF(Q4223="","",IF(MATCH(R4223,$R$5:$R$100000,0)=ROW()-4,ROW(),""))</f>
        <v/>
      </c>
      <c r="T4223" s="9">
        <f>IF(Q4223="당기",ABS(P4223)+ROW()/1000000000,"")</f>
        <v/>
      </c>
      <c r="U4223" s="9">
        <f>IF(Q4223="비교",ABS(P4223)+ROW()/1000000000,"")</f>
        <v/>
      </c>
      <c r="V4223" s="64">
        <f>IF($A4223="","",IF(COUNTIF(변동분석!$E$7:$E$506,O4223)&gt;0,"Y","N"))</f>
        <v/>
      </c>
      <c r="W4223" s="64">
        <f>IF($A4223="","",IFERROR(INDEX(계정매핑!$D$5:$D$504,MATCH($F4223&amp;"",계정매핑!$A$5:$A$504,0)),"미매핑"))</f>
        <v/>
      </c>
      <c r="X4223" s="9">
        <f>IF($A4223="","",$F4223&amp;"")</f>
        <v/>
      </c>
      <c r="Y4223" s="94">
        <f>IF($A4223="",0,IF(AE4223="직접",IF(AF4223="비귀속",$P4223,0),$P4223*(1-AG4223)*IFERROR(INDEX(계정대체기준!$F$20:$F$49,MATCH($N4223,계정대체기준!$A$20:$A$49,0)),1)))</f>
        <v/>
      </c>
      <c r="Z4223" s="94">
        <f>IF($A4223="",0,IF(AE4223="직접",IF(AF4223="신계약비",$P4223,0),$P4223*(1-AG4223)*IFERROR(INDEX(계정대체기준!$C$20:$C$49,MATCH($N4223,계정대체기준!$A$20:$A$49,0)),0)))</f>
        <v/>
      </c>
      <c r="AA4223" s="94">
        <f>IF($A4223="",0,IF(AE4223="직접",IF(OR(AF4223="유지비",AF4223="손해조사비"),$P4223,0),$P4223*(1-AG4223)*IFERROR(INDEX(계정대체기준!$D$20:$D$49,MATCH($N4223,계정대체기준!$A$20:$A$49,0)),0)))</f>
        <v/>
      </c>
      <c r="AB4223" s="94">
        <f>IF($A4223="",0,IF(AE4223="직접",IF(AF4223="수금비",$P4223,0),$P4223*(1-AG4223)*IFERROR(INDEX(계정대체기준!$E$20:$E$49,MATCH($N4223,계정대체기준!$A$20:$A$49,0)),0)))</f>
        <v/>
      </c>
      <c r="AC4223" s="9">
        <f>IF(AND($A4223&lt;&gt;"",M4223=설정!$C$20,Z4223&gt;0),Z4223+ROW()/1000000000,"")</f>
        <v/>
      </c>
      <c r="AD4223" s="94">
        <f>IF($A4223="",0,$P4223*AG4223)</f>
        <v/>
      </c>
      <c r="AE4223" s="64">
        <f>IF($A4223="","",IFERROR(INDEX(계정매핑!$E$5:$E$504,MATCH($F4223&amp;"",계정매핑!$A$5:$A$504,0))&amp;"","공통비"))</f>
        <v/>
      </c>
      <c r="AF4223" s="64">
        <f>IF($A4223="","",IF(AE4223="직접",IFERROR(INDEX(계정매핑!$F$5:$F$504,MATCH($F4223&amp;"",계정매핑!$A$5:$A$504,0))&amp;"","비귀속"),""))</f>
        <v/>
      </c>
      <c r="AG4223" s="96">
        <f>IF($A4223="",0,IF(AND(AE4223&lt;&gt;"직접",IFERROR(INDEX(계정매핑!$G$5:$G$504,MATCH($F4223&amp;"",계정매핑!$A$5:$A$504,0))&amp;"","")="유지비",COUNTIF(계정대체기준!$A$6:$A$15,$N4223)&gt;0),IFERROR(INDEX(계정대체기준!$E$6:$E$15,MATCH(VALUE($A4223&amp;""),계정대체기준!$D$6:$D$15,0)),0),0))</f>
        <v/>
      </c>
      <c r="AH4223" s="64">
        <f>IF($A4223="","",IF(AD4223=0,"",IF(OR(COUNTIF(계정대체기준!$A$77:$A$86,$N4223)&gt;0,ISNUMBER(MATCH($X4223,계정대체기준!$D$77:$D$86,0)),ISNUMBER(MATCH($F4223,계정대체기준!$D$77:$D$86,0))),"Y","N")))</f>
        <v/>
      </c>
    </row>
    <row r="4224">
      <c r="A4224" s="92" t="n">
        <v>2026</v>
      </c>
      <c r="B4224" s="92" t="n">
        <v>7</v>
      </c>
      <c r="C4224" s="92" t="inlineStr">
        <is>
          <t>5100001502</t>
        </is>
      </c>
      <c r="D4224" s="95" t="n">
        <v>46220</v>
      </c>
      <c r="E4224" s="92" t="inlineStr">
        <is>
          <t>KR</t>
        </is>
      </c>
      <c r="F4224" s="92" t="n">
        <v>62201000</v>
      </c>
      <c r="G4224" s="92" t="n">
        <v>1201</v>
      </c>
      <c r="H4224" s="93" t="n">
        <v>146000</v>
      </c>
      <c r="I4224" s="92" t="inlineStr">
        <is>
          <t>7월 통신요금 - O텔레콤</t>
        </is>
      </c>
      <c r="J4224" s="92" t="inlineStr">
        <is>
          <t>V10002</t>
        </is>
      </c>
      <c r="K4224" s="92" t="inlineStr">
        <is>
          <t>O텔레콤</t>
        </is>
      </c>
      <c r="M4224" s="9">
        <f>IF($A4224="","",VALUE($A4224&amp;"")*12+VALUE($B4224&amp;""))</f>
        <v/>
      </c>
      <c r="N4224" s="64">
        <f>IF($A4224="","",IFERROR(INDEX(부서매핑!$C$5:$C$504,MATCH($G4224&amp;"",부서매핑!$A$5:$A$504,0)),"미매핑"))</f>
        <v/>
      </c>
      <c r="O4224" s="9">
        <f>IF($A4224="","",N4224&amp;"|"&amp;$F4224)</f>
        <v/>
      </c>
      <c r="P4224" s="94">
        <f>IF($A4224="",0,$H4224*설정!$C$23)</f>
        <v/>
      </c>
      <c r="Q4224" s="64">
        <f>IF($A4224="","",IF(O4224&lt;&gt;원인분석!$C$9,"",IF(AND(M4224&gt;=원인분석!$C$10,M4224&lt;=원인분석!$C$11),"당기",IF(AND(M4224&gt;=원인분석!$C$12,M4224&lt;=원인분석!$C$13),"비교",""))))</f>
        <v/>
      </c>
      <c r="R4224" s="9">
        <f>IF(Q4224="","",$K4224&amp;"")</f>
        <v/>
      </c>
      <c r="S4224" s="9">
        <f>IF(Q4224="","",IF(MATCH(R4224,$R$5:$R$100000,0)=ROW()-4,ROW(),""))</f>
        <v/>
      </c>
      <c r="T4224" s="9">
        <f>IF(Q4224="당기",ABS(P4224)+ROW()/1000000000,"")</f>
        <v/>
      </c>
      <c r="U4224" s="9">
        <f>IF(Q4224="비교",ABS(P4224)+ROW()/1000000000,"")</f>
        <v/>
      </c>
      <c r="V4224" s="64">
        <f>IF($A4224="","",IF(COUNTIF(변동분석!$E$7:$E$506,O4224)&gt;0,"Y","N"))</f>
        <v/>
      </c>
      <c r="W4224" s="64">
        <f>IF($A4224="","",IFERROR(INDEX(계정매핑!$D$5:$D$504,MATCH($F4224&amp;"",계정매핑!$A$5:$A$504,0)),"미매핑"))</f>
        <v/>
      </c>
      <c r="X4224" s="9">
        <f>IF($A4224="","",$F4224&amp;"")</f>
        <v/>
      </c>
      <c r="Y4224" s="94">
        <f>IF($A4224="",0,IF(AE4224="직접",IF(AF4224="비귀속",$P4224,0),$P4224*(1-AG4224)*IFERROR(INDEX(계정대체기준!$F$20:$F$49,MATCH($N4224,계정대체기준!$A$20:$A$49,0)),1)))</f>
        <v/>
      </c>
      <c r="Z4224" s="94">
        <f>IF($A4224="",0,IF(AE4224="직접",IF(AF4224="신계약비",$P4224,0),$P4224*(1-AG4224)*IFERROR(INDEX(계정대체기준!$C$20:$C$49,MATCH($N4224,계정대체기준!$A$20:$A$49,0)),0)))</f>
        <v/>
      </c>
      <c r="AA4224" s="94">
        <f>IF($A4224="",0,IF(AE4224="직접",IF(OR(AF4224="유지비",AF4224="손해조사비"),$P4224,0),$P4224*(1-AG4224)*IFERROR(INDEX(계정대체기준!$D$20:$D$49,MATCH($N4224,계정대체기준!$A$20:$A$49,0)),0)))</f>
        <v/>
      </c>
      <c r="AB4224" s="94">
        <f>IF($A4224="",0,IF(AE4224="직접",IF(AF4224="수금비",$P4224,0),$P4224*(1-AG4224)*IFERROR(INDEX(계정대체기준!$E$20:$E$49,MATCH($N4224,계정대체기준!$A$20:$A$49,0)),0)))</f>
        <v/>
      </c>
      <c r="AC4224" s="9">
        <f>IF(AND($A4224&lt;&gt;"",M4224=설정!$C$20,Z4224&gt;0),Z4224+ROW()/1000000000,"")</f>
        <v/>
      </c>
      <c r="AD4224" s="94">
        <f>IF($A4224="",0,$P4224*AG4224)</f>
        <v/>
      </c>
      <c r="AE4224" s="64">
        <f>IF($A4224="","",IFERROR(INDEX(계정매핑!$E$5:$E$504,MATCH($F4224&amp;"",계정매핑!$A$5:$A$504,0))&amp;"","공통비"))</f>
        <v/>
      </c>
      <c r="AF4224" s="64">
        <f>IF($A4224="","",IF(AE4224="직접",IFERROR(INDEX(계정매핑!$F$5:$F$504,MATCH($F4224&amp;"",계정매핑!$A$5:$A$504,0))&amp;"","비귀속"),""))</f>
        <v/>
      </c>
      <c r="AG4224" s="96">
        <f>IF($A4224="",0,IF(AND(AE4224&lt;&gt;"직접",IFERROR(INDEX(계정매핑!$G$5:$G$504,MATCH($F4224&amp;"",계정매핑!$A$5:$A$504,0))&amp;"","")="유지비",COUNTIF(계정대체기준!$A$6:$A$15,$N4224)&gt;0),IFERROR(INDEX(계정대체기준!$E$6:$E$15,MATCH(VALUE($A4224&amp;""),계정대체기준!$D$6:$D$15,0)),0),0))</f>
        <v/>
      </c>
      <c r="AH4224" s="64">
        <f>IF($A4224="","",IF(AD4224=0,"",IF(OR(COUNTIF(계정대체기준!$A$77:$A$86,$N4224)&gt;0,ISNUMBER(MATCH($X4224,계정대체기준!$D$77:$D$86,0)),ISNUMBER(MATCH($F4224,계정대체기준!$D$77:$D$86,0))),"Y","N")))</f>
        <v/>
      </c>
    </row>
    <row r="4225">
      <c r="A4225" s="92" t="n">
        <v>2026</v>
      </c>
      <c r="B4225" s="92" t="n">
        <v>7</v>
      </c>
      <c r="C4225" s="92" t="inlineStr">
        <is>
          <t>5100001503</t>
        </is>
      </c>
      <c r="D4225" s="95" t="n">
        <v>46220</v>
      </c>
      <c r="E4225" s="92" t="inlineStr">
        <is>
          <t>KR</t>
        </is>
      </c>
      <c r="F4225" s="92" t="n">
        <v>62201000</v>
      </c>
      <c r="G4225" s="92" t="n">
        <v>1401</v>
      </c>
      <c r="H4225" s="93" t="n">
        <v>304000</v>
      </c>
      <c r="I4225" s="92" t="inlineStr">
        <is>
          <t>7월 통신요금 - O텔레콤</t>
        </is>
      </c>
      <c r="J4225" s="92" t="inlineStr">
        <is>
          <t>V10002</t>
        </is>
      </c>
      <c r="K4225" s="92" t="inlineStr">
        <is>
          <t>O텔레콤</t>
        </is>
      </c>
      <c r="M4225" s="9">
        <f>IF($A4225="","",VALUE($A4225&amp;"")*12+VALUE($B4225&amp;""))</f>
        <v/>
      </c>
      <c r="N4225" s="64">
        <f>IF($A4225="","",IFERROR(INDEX(부서매핑!$C$5:$C$504,MATCH($G4225&amp;"",부서매핑!$A$5:$A$504,0)),"미매핑"))</f>
        <v/>
      </c>
      <c r="O4225" s="9">
        <f>IF($A4225="","",N4225&amp;"|"&amp;$F4225)</f>
        <v/>
      </c>
      <c r="P4225" s="94">
        <f>IF($A4225="",0,$H4225*설정!$C$23)</f>
        <v/>
      </c>
      <c r="Q4225" s="64">
        <f>IF($A4225="","",IF(O4225&lt;&gt;원인분석!$C$9,"",IF(AND(M4225&gt;=원인분석!$C$10,M4225&lt;=원인분석!$C$11),"당기",IF(AND(M4225&gt;=원인분석!$C$12,M4225&lt;=원인분석!$C$13),"비교",""))))</f>
        <v/>
      </c>
      <c r="R4225" s="9">
        <f>IF(Q4225="","",$K4225&amp;"")</f>
        <v/>
      </c>
      <c r="S4225" s="9">
        <f>IF(Q4225="","",IF(MATCH(R4225,$R$5:$R$100000,0)=ROW()-4,ROW(),""))</f>
        <v/>
      </c>
      <c r="T4225" s="9">
        <f>IF(Q4225="당기",ABS(P4225)+ROW()/1000000000,"")</f>
        <v/>
      </c>
      <c r="U4225" s="9">
        <f>IF(Q4225="비교",ABS(P4225)+ROW()/1000000000,"")</f>
        <v/>
      </c>
      <c r="V4225" s="64">
        <f>IF($A4225="","",IF(COUNTIF(변동분석!$E$7:$E$506,O4225)&gt;0,"Y","N"))</f>
        <v/>
      </c>
      <c r="W4225" s="64">
        <f>IF($A4225="","",IFERROR(INDEX(계정매핑!$D$5:$D$504,MATCH($F4225&amp;"",계정매핑!$A$5:$A$504,0)),"미매핑"))</f>
        <v/>
      </c>
      <c r="X4225" s="9">
        <f>IF($A4225="","",$F4225&amp;"")</f>
        <v/>
      </c>
      <c r="Y4225" s="94">
        <f>IF($A4225="",0,IF(AE4225="직접",IF(AF4225="비귀속",$P4225,0),$P4225*(1-AG4225)*IFERROR(INDEX(계정대체기준!$F$20:$F$49,MATCH($N4225,계정대체기준!$A$20:$A$49,0)),1)))</f>
        <v/>
      </c>
      <c r="Z4225" s="94">
        <f>IF($A4225="",0,IF(AE4225="직접",IF(AF4225="신계약비",$P4225,0),$P4225*(1-AG4225)*IFERROR(INDEX(계정대체기준!$C$20:$C$49,MATCH($N4225,계정대체기준!$A$20:$A$49,0)),0)))</f>
        <v/>
      </c>
      <c r="AA4225" s="94">
        <f>IF($A4225="",0,IF(AE4225="직접",IF(OR(AF4225="유지비",AF4225="손해조사비"),$P4225,0),$P4225*(1-AG4225)*IFERROR(INDEX(계정대체기준!$D$20:$D$49,MATCH($N4225,계정대체기준!$A$20:$A$49,0)),0)))</f>
        <v/>
      </c>
      <c r="AB4225" s="94">
        <f>IF($A4225="",0,IF(AE4225="직접",IF(AF4225="수금비",$P4225,0),$P4225*(1-AG4225)*IFERROR(INDEX(계정대체기준!$E$20:$E$49,MATCH($N4225,계정대체기준!$A$20:$A$49,0)),0)))</f>
        <v/>
      </c>
      <c r="AC4225" s="9">
        <f>IF(AND($A4225&lt;&gt;"",M4225=설정!$C$20,Z4225&gt;0),Z4225+ROW()/1000000000,"")</f>
        <v/>
      </c>
      <c r="AD4225" s="94">
        <f>IF($A4225="",0,$P4225*AG4225)</f>
        <v/>
      </c>
      <c r="AE4225" s="64">
        <f>IF($A4225="","",IFERROR(INDEX(계정매핑!$E$5:$E$504,MATCH($F4225&amp;"",계정매핑!$A$5:$A$504,0))&amp;"","공통비"))</f>
        <v/>
      </c>
      <c r="AF4225" s="64">
        <f>IF($A4225="","",IF(AE4225="직접",IFERROR(INDEX(계정매핑!$F$5:$F$504,MATCH($F4225&amp;"",계정매핑!$A$5:$A$504,0))&amp;"","비귀속"),""))</f>
        <v/>
      </c>
      <c r="AG4225" s="96">
        <f>IF($A4225="",0,IF(AND(AE4225&lt;&gt;"직접",IFERROR(INDEX(계정매핑!$G$5:$G$504,MATCH($F4225&amp;"",계정매핑!$A$5:$A$504,0))&amp;"","")="유지비",COUNTIF(계정대체기준!$A$6:$A$15,$N4225)&gt;0),IFERROR(INDEX(계정대체기준!$E$6:$E$15,MATCH(VALUE($A4225&amp;""),계정대체기준!$D$6:$D$15,0)),0),0))</f>
        <v/>
      </c>
      <c r="AH4225" s="64">
        <f>IF($A4225="","",IF(AD4225=0,"",IF(OR(COUNTIF(계정대체기준!$A$77:$A$86,$N4225)&gt;0,ISNUMBER(MATCH($X4225,계정대체기준!$D$77:$D$86,0)),ISNUMBER(MATCH($F4225,계정대체기준!$D$77:$D$86,0))),"Y","N")))</f>
        <v/>
      </c>
    </row>
    <row r="4226">
      <c r="A4226" s="92" t="n">
        <v>2026</v>
      </c>
      <c r="B4226" s="92" t="n">
        <v>7</v>
      </c>
      <c r="C4226" s="92" t="inlineStr">
        <is>
          <t>5100001504</t>
        </is>
      </c>
      <c r="D4226" s="95" t="n">
        <v>46220</v>
      </c>
      <c r="E4226" s="92" t="inlineStr">
        <is>
          <t>KR</t>
        </is>
      </c>
      <c r="F4226" s="92" t="n">
        <v>62201000</v>
      </c>
      <c r="G4226" s="92" t="n">
        <v>1501</v>
      </c>
      <c r="H4226" s="93" t="n">
        <v>292000</v>
      </c>
      <c r="I4226" s="92" t="inlineStr">
        <is>
          <t>7월 통신요금 - P통신</t>
        </is>
      </c>
      <c r="J4226" s="92" t="inlineStr">
        <is>
          <t>V10014</t>
        </is>
      </c>
      <c r="K4226" s="92" t="inlineStr">
        <is>
          <t>P통신</t>
        </is>
      </c>
      <c r="M4226" s="9">
        <f>IF($A4226="","",VALUE($A4226&amp;"")*12+VALUE($B4226&amp;""))</f>
        <v/>
      </c>
      <c r="N4226" s="64">
        <f>IF($A4226="","",IFERROR(INDEX(부서매핑!$C$5:$C$504,MATCH($G4226&amp;"",부서매핑!$A$5:$A$504,0)),"미매핑"))</f>
        <v/>
      </c>
      <c r="O4226" s="9">
        <f>IF($A4226="","",N4226&amp;"|"&amp;$F4226)</f>
        <v/>
      </c>
      <c r="P4226" s="94">
        <f>IF($A4226="",0,$H4226*설정!$C$23)</f>
        <v/>
      </c>
      <c r="Q4226" s="64">
        <f>IF($A4226="","",IF(O4226&lt;&gt;원인분석!$C$9,"",IF(AND(M4226&gt;=원인분석!$C$10,M4226&lt;=원인분석!$C$11),"당기",IF(AND(M4226&gt;=원인분석!$C$12,M4226&lt;=원인분석!$C$13),"비교",""))))</f>
        <v/>
      </c>
      <c r="R4226" s="9">
        <f>IF(Q4226="","",$K4226&amp;"")</f>
        <v/>
      </c>
      <c r="S4226" s="9">
        <f>IF(Q4226="","",IF(MATCH(R4226,$R$5:$R$100000,0)=ROW()-4,ROW(),""))</f>
        <v/>
      </c>
      <c r="T4226" s="9">
        <f>IF(Q4226="당기",ABS(P4226)+ROW()/1000000000,"")</f>
        <v/>
      </c>
      <c r="U4226" s="9">
        <f>IF(Q4226="비교",ABS(P4226)+ROW()/1000000000,"")</f>
        <v/>
      </c>
      <c r="V4226" s="64">
        <f>IF($A4226="","",IF(COUNTIF(변동분석!$E$7:$E$506,O4226)&gt;0,"Y","N"))</f>
        <v/>
      </c>
      <c r="W4226" s="64">
        <f>IF($A4226="","",IFERROR(INDEX(계정매핑!$D$5:$D$504,MATCH($F4226&amp;"",계정매핑!$A$5:$A$504,0)),"미매핑"))</f>
        <v/>
      </c>
      <c r="X4226" s="9">
        <f>IF($A4226="","",$F4226&amp;"")</f>
        <v/>
      </c>
      <c r="Y4226" s="94">
        <f>IF($A4226="",0,IF(AE4226="직접",IF(AF4226="비귀속",$P4226,0),$P4226*(1-AG4226)*IFERROR(INDEX(계정대체기준!$F$20:$F$49,MATCH($N4226,계정대체기준!$A$20:$A$49,0)),1)))</f>
        <v/>
      </c>
      <c r="Z4226" s="94">
        <f>IF($A4226="",0,IF(AE4226="직접",IF(AF4226="신계약비",$P4226,0),$P4226*(1-AG4226)*IFERROR(INDEX(계정대체기준!$C$20:$C$49,MATCH($N4226,계정대체기준!$A$20:$A$49,0)),0)))</f>
        <v/>
      </c>
      <c r="AA4226" s="94">
        <f>IF($A4226="",0,IF(AE4226="직접",IF(OR(AF4226="유지비",AF4226="손해조사비"),$P4226,0),$P4226*(1-AG4226)*IFERROR(INDEX(계정대체기준!$D$20:$D$49,MATCH($N4226,계정대체기준!$A$20:$A$49,0)),0)))</f>
        <v/>
      </c>
      <c r="AB4226" s="94">
        <f>IF($A4226="",0,IF(AE4226="직접",IF(AF4226="수금비",$P4226,0),$P4226*(1-AG4226)*IFERROR(INDEX(계정대체기준!$E$20:$E$49,MATCH($N4226,계정대체기준!$A$20:$A$49,0)),0)))</f>
        <v/>
      </c>
      <c r="AC4226" s="9">
        <f>IF(AND($A4226&lt;&gt;"",M4226=설정!$C$20,Z4226&gt;0),Z4226+ROW()/1000000000,"")</f>
        <v/>
      </c>
      <c r="AD4226" s="94">
        <f>IF($A4226="",0,$P4226*AG4226)</f>
        <v/>
      </c>
      <c r="AE4226" s="64">
        <f>IF($A4226="","",IFERROR(INDEX(계정매핑!$E$5:$E$504,MATCH($F4226&amp;"",계정매핑!$A$5:$A$504,0))&amp;"","공통비"))</f>
        <v/>
      </c>
      <c r="AF4226" s="64">
        <f>IF($A4226="","",IF(AE4226="직접",IFERROR(INDEX(계정매핑!$F$5:$F$504,MATCH($F4226&amp;"",계정매핑!$A$5:$A$504,0))&amp;"","비귀속"),""))</f>
        <v/>
      </c>
      <c r="AG4226" s="96">
        <f>IF($A4226="",0,IF(AND(AE4226&lt;&gt;"직접",IFERROR(INDEX(계정매핑!$G$5:$G$504,MATCH($F4226&amp;"",계정매핑!$A$5:$A$504,0))&amp;"","")="유지비",COUNTIF(계정대체기준!$A$6:$A$15,$N4226)&gt;0),IFERROR(INDEX(계정대체기준!$E$6:$E$15,MATCH(VALUE($A4226&amp;""),계정대체기준!$D$6:$D$15,0)),0),0))</f>
        <v/>
      </c>
      <c r="AH4226" s="64">
        <f>IF($A4226="","",IF(AD4226=0,"",IF(OR(COUNTIF(계정대체기준!$A$77:$A$86,$N4226)&gt;0,ISNUMBER(MATCH($X4226,계정대체기준!$D$77:$D$86,0)),ISNUMBER(MATCH($F4226,계정대체기준!$D$77:$D$86,0))),"Y","N")))</f>
        <v/>
      </c>
    </row>
    <row r="4227">
      <c r="A4227" s="92" t="n">
        <v>2026</v>
      </c>
      <c r="B4227" s="92" t="n">
        <v>7</v>
      </c>
      <c r="C4227" s="92" t="inlineStr">
        <is>
          <t>5100001505</t>
        </is>
      </c>
      <c r="D4227" s="95" t="n">
        <v>46220</v>
      </c>
      <c r="E4227" s="92" t="inlineStr">
        <is>
          <t>KR</t>
        </is>
      </c>
      <c r="F4227" s="92" t="n">
        <v>62501000</v>
      </c>
      <c r="G4227" s="92" t="n">
        <v>1101</v>
      </c>
      <c r="H4227" s="93" t="n">
        <v>330000</v>
      </c>
      <c r="I4227" s="92" t="inlineStr">
        <is>
          <t>7월 회의 다과 - T케이터링</t>
        </is>
      </c>
      <c r="J4227" s="92" t="inlineStr">
        <is>
          <t>V10005</t>
        </is>
      </c>
      <c r="K4227" s="92" t="inlineStr">
        <is>
          <t>T케이터링</t>
        </is>
      </c>
      <c r="M4227" s="9">
        <f>IF($A4227="","",VALUE($A4227&amp;"")*12+VALUE($B4227&amp;""))</f>
        <v/>
      </c>
      <c r="N4227" s="64">
        <f>IF($A4227="","",IFERROR(INDEX(부서매핑!$C$5:$C$504,MATCH($G4227&amp;"",부서매핑!$A$5:$A$504,0)),"미매핑"))</f>
        <v/>
      </c>
      <c r="O4227" s="9">
        <f>IF($A4227="","",N4227&amp;"|"&amp;$F4227)</f>
        <v/>
      </c>
      <c r="P4227" s="94">
        <f>IF($A4227="",0,$H4227*설정!$C$23)</f>
        <v/>
      </c>
      <c r="Q4227" s="64">
        <f>IF($A4227="","",IF(O4227&lt;&gt;원인분석!$C$9,"",IF(AND(M4227&gt;=원인분석!$C$10,M4227&lt;=원인분석!$C$11),"당기",IF(AND(M4227&gt;=원인분석!$C$12,M4227&lt;=원인분석!$C$13),"비교",""))))</f>
        <v/>
      </c>
      <c r="R4227" s="9">
        <f>IF(Q4227="","",$K4227&amp;"")</f>
        <v/>
      </c>
      <c r="S4227" s="9">
        <f>IF(Q4227="","",IF(MATCH(R4227,$R$5:$R$100000,0)=ROW()-4,ROW(),""))</f>
        <v/>
      </c>
      <c r="T4227" s="9">
        <f>IF(Q4227="당기",ABS(P4227)+ROW()/1000000000,"")</f>
        <v/>
      </c>
      <c r="U4227" s="9">
        <f>IF(Q4227="비교",ABS(P4227)+ROW()/1000000000,"")</f>
        <v/>
      </c>
      <c r="V4227" s="64">
        <f>IF($A4227="","",IF(COUNTIF(변동분석!$E$7:$E$506,O4227)&gt;0,"Y","N"))</f>
        <v/>
      </c>
      <c r="W4227" s="64">
        <f>IF($A4227="","",IFERROR(INDEX(계정매핑!$D$5:$D$504,MATCH($F4227&amp;"",계정매핑!$A$5:$A$504,0)),"미매핑"))</f>
        <v/>
      </c>
      <c r="X4227" s="9">
        <f>IF($A4227="","",$F4227&amp;"")</f>
        <v/>
      </c>
      <c r="Y4227" s="94">
        <f>IF($A4227="",0,IF(AE4227="직접",IF(AF4227="비귀속",$P4227,0),$P4227*(1-AG4227)*IFERROR(INDEX(계정대체기준!$F$20:$F$49,MATCH($N4227,계정대체기준!$A$20:$A$49,0)),1)))</f>
        <v/>
      </c>
      <c r="Z4227" s="94">
        <f>IF($A4227="",0,IF(AE4227="직접",IF(AF4227="신계약비",$P4227,0),$P4227*(1-AG4227)*IFERROR(INDEX(계정대체기준!$C$20:$C$49,MATCH($N4227,계정대체기준!$A$20:$A$49,0)),0)))</f>
        <v/>
      </c>
      <c r="AA4227" s="94">
        <f>IF($A4227="",0,IF(AE4227="직접",IF(OR(AF4227="유지비",AF4227="손해조사비"),$P4227,0),$P4227*(1-AG4227)*IFERROR(INDEX(계정대체기준!$D$20:$D$49,MATCH($N4227,계정대체기준!$A$20:$A$49,0)),0)))</f>
        <v/>
      </c>
      <c r="AB4227" s="94">
        <f>IF($A4227="",0,IF(AE4227="직접",IF(AF4227="수금비",$P4227,0),$P4227*(1-AG4227)*IFERROR(INDEX(계정대체기준!$E$20:$E$49,MATCH($N4227,계정대체기준!$A$20:$A$49,0)),0)))</f>
        <v/>
      </c>
      <c r="AC4227" s="9">
        <f>IF(AND($A4227&lt;&gt;"",M4227=설정!$C$20,Z4227&gt;0),Z4227+ROW()/1000000000,"")</f>
        <v/>
      </c>
      <c r="AD4227" s="94">
        <f>IF($A4227="",0,$P4227*AG4227)</f>
        <v/>
      </c>
      <c r="AE4227" s="64">
        <f>IF($A4227="","",IFERROR(INDEX(계정매핑!$E$5:$E$504,MATCH($F4227&amp;"",계정매핑!$A$5:$A$504,0))&amp;"","공통비"))</f>
        <v/>
      </c>
      <c r="AF4227" s="64">
        <f>IF($A4227="","",IF(AE4227="직접",IFERROR(INDEX(계정매핑!$F$5:$F$504,MATCH($F4227&amp;"",계정매핑!$A$5:$A$504,0))&amp;"","비귀속"),""))</f>
        <v/>
      </c>
      <c r="AG4227" s="96">
        <f>IF($A4227="",0,IF(AND(AE4227&lt;&gt;"직접",IFERROR(INDEX(계정매핑!$G$5:$G$504,MATCH($F4227&amp;"",계정매핑!$A$5:$A$504,0))&amp;"","")="유지비",COUNTIF(계정대체기준!$A$6:$A$15,$N4227)&gt;0),IFERROR(INDEX(계정대체기준!$E$6:$E$15,MATCH(VALUE($A4227&amp;""),계정대체기준!$D$6:$D$15,0)),0),0))</f>
        <v/>
      </c>
      <c r="AH4227" s="64">
        <f>IF($A4227="","",IF(AD4227=0,"",IF(OR(COUNTIF(계정대체기준!$A$77:$A$86,$N4227)&gt;0,ISNUMBER(MATCH($X4227,계정대체기준!$D$77:$D$86,0)),ISNUMBER(MATCH($F4227,계정대체기준!$D$77:$D$86,0))),"Y","N")))</f>
        <v/>
      </c>
    </row>
    <row r="4228">
      <c r="A4228" s="92" t="n">
        <v>2026</v>
      </c>
      <c r="B4228" s="92" t="n">
        <v>7</v>
      </c>
      <c r="C4228" s="92" t="inlineStr">
        <is>
          <t>5100001506</t>
        </is>
      </c>
      <c r="D4228" s="95" t="n">
        <v>46220</v>
      </c>
      <c r="E4228" s="92" t="inlineStr">
        <is>
          <t>KR</t>
        </is>
      </c>
      <c r="F4228" s="92" t="n">
        <v>62501000</v>
      </c>
      <c r="G4228" s="92" t="n">
        <v>1301</v>
      </c>
      <c r="H4228" s="93" t="n">
        <v>269000</v>
      </c>
      <c r="I4228" s="92" t="inlineStr">
        <is>
          <t>7월 회의 다과 - T케이터링</t>
        </is>
      </c>
      <c r="J4228" s="92" t="inlineStr">
        <is>
          <t>V10005</t>
        </is>
      </c>
      <c r="K4228" s="92" t="inlineStr">
        <is>
          <t>T케이터링</t>
        </is>
      </c>
      <c r="M4228" s="9">
        <f>IF($A4228="","",VALUE($A4228&amp;"")*12+VALUE($B4228&amp;""))</f>
        <v/>
      </c>
      <c r="N4228" s="64">
        <f>IF($A4228="","",IFERROR(INDEX(부서매핑!$C$5:$C$504,MATCH($G4228&amp;"",부서매핑!$A$5:$A$504,0)),"미매핑"))</f>
        <v/>
      </c>
      <c r="O4228" s="9">
        <f>IF($A4228="","",N4228&amp;"|"&amp;$F4228)</f>
        <v/>
      </c>
      <c r="P4228" s="94">
        <f>IF($A4228="",0,$H4228*설정!$C$23)</f>
        <v/>
      </c>
      <c r="Q4228" s="64">
        <f>IF($A4228="","",IF(O4228&lt;&gt;원인분석!$C$9,"",IF(AND(M4228&gt;=원인분석!$C$10,M4228&lt;=원인분석!$C$11),"당기",IF(AND(M4228&gt;=원인분석!$C$12,M4228&lt;=원인분석!$C$13),"비교",""))))</f>
        <v/>
      </c>
      <c r="R4228" s="9">
        <f>IF(Q4228="","",$K4228&amp;"")</f>
        <v/>
      </c>
      <c r="S4228" s="9">
        <f>IF(Q4228="","",IF(MATCH(R4228,$R$5:$R$100000,0)=ROW()-4,ROW(),""))</f>
        <v/>
      </c>
      <c r="T4228" s="9">
        <f>IF(Q4228="당기",ABS(P4228)+ROW()/1000000000,"")</f>
        <v/>
      </c>
      <c r="U4228" s="9">
        <f>IF(Q4228="비교",ABS(P4228)+ROW()/1000000000,"")</f>
        <v/>
      </c>
      <c r="V4228" s="64">
        <f>IF($A4228="","",IF(COUNTIF(변동분석!$E$7:$E$506,O4228)&gt;0,"Y","N"))</f>
        <v/>
      </c>
      <c r="W4228" s="64">
        <f>IF($A4228="","",IFERROR(INDEX(계정매핑!$D$5:$D$504,MATCH($F4228&amp;"",계정매핑!$A$5:$A$504,0)),"미매핑"))</f>
        <v/>
      </c>
      <c r="X4228" s="9">
        <f>IF($A4228="","",$F4228&amp;"")</f>
        <v/>
      </c>
      <c r="Y4228" s="94">
        <f>IF($A4228="",0,IF(AE4228="직접",IF(AF4228="비귀속",$P4228,0),$P4228*(1-AG4228)*IFERROR(INDEX(계정대체기준!$F$20:$F$49,MATCH($N4228,계정대체기준!$A$20:$A$49,0)),1)))</f>
        <v/>
      </c>
      <c r="Z4228" s="94">
        <f>IF($A4228="",0,IF(AE4228="직접",IF(AF4228="신계약비",$P4228,0),$P4228*(1-AG4228)*IFERROR(INDEX(계정대체기준!$C$20:$C$49,MATCH($N4228,계정대체기준!$A$20:$A$49,0)),0)))</f>
        <v/>
      </c>
      <c r="AA4228" s="94">
        <f>IF($A4228="",0,IF(AE4228="직접",IF(OR(AF4228="유지비",AF4228="손해조사비"),$P4228,0),$P4228*(1-AG4228)*IFERROR(INDEX(계정대체기준!$D$20:$D$49,MATCH($N4228,계정대체기준!$A$20:$A$49,0)),0)))</f>
        <v/>
      </c>
      <c r="AB4228" s="94">
        <f>IF($A4228="",0,IF(AE4228="직접",IF(AF4228="수금비",$P4228,0),$P4228*(1-AG4228)*IFERROR(INDEX(계정대체기준!$E$20:$E$49,MATCH($N4228,계정대체기준!$A$20:$A$49,0)),0)))</f>
        <v/>
      </c>
      <c r="AC4228" s="9">
        <f>IF(AND($A4228&lt;&gt;"",M4228=설정!$C$20,Z4228&gt;0),Z4228+ROW()/1000000000,"")</f>
        <v/>
      </c>
      <c r="AD4228" s="94">
        <f>IF($A4228="",0,$P4228*AG4228)</f>
        <v/>
      </c>
      <c r="AE4228" s="64">
        <f>IF($A4228="","",IFERROR(INDEX(계정매핑!$E$5:$E$504,MATCH($F4228&amp;"",계정매핑!$A$5:$A$504,0))&amp;"","공통비"))</f>
        <v/>
      </c>
      <c r="AF4228" s="64">
        <f>IF($A4228="","",IF(AE4228="직접",IFERROR(INDEX(계정매핑!$F$5:$F$504,MATCH($F4228&amp;"",계정매핑!$A$5:$A$504,0))&amp;"","비귀속"),""))</f>
        <v/>
      </c>
      <c r="AG4228" s="96">
        <f>IF($A4228="",0,IF(AND(AE4228&lt;&gt;"직접",IFERROR(INDEX(계정매핑!$G$5:$G$504,MATCH($F4228&amp;"",계정매핑!$A$5:$A$504,0))&amp;"","")="유지비",COUNTIF(계정대체기준!$A$6:$A$15,$N4228)&gt;0),IFERROR(INDEX(계정대체기준!$E$6:$E$15,MATCH(VALUE($A4228&amp;""),계정대체기준!$D$6:$D$15,0)),0),0))</f>
        <v/>
      </c>
      <c r="AH4228" s="64">
        <f>IF($A4228="","",IF(AD4228=0,"",IF(OR(COUNTIF(계정대체기준!$A$77:$A$86,$N4228)&gt;0,ISNUMBER(MATCH($X4228,계정대체기준!$D$77:$D$86,0)),ISNUMBER(MATCH($F4228,계정대체기준!$D$77:$D$86,0))),"Y","N")))</f>
        <v/>
      </c>
    </row>
    <row r="4229">
      <c r="A4229" s="92" t="n">
        <v>2026</v>
      </c>
      <c r="B4229" s="92" t="n">
        <v>7</v>
      </c>
      <c r="C4229" s="92" t="inlineStr">
        <is>
          <t>5100001507</t>
        </is>
      </c>
      <c r="D4229" s="95" t="n">
        <v>46220</v>
      </c>
      <c r="E4229" s="92" t="inlineStr">
        <is>
          <t>KR</t>
        </is>
      </c>
      <c r="F4229" s="92" t="n">
        <v>62601000</v>
      </c>
      <c r="G4229" s="92" t="n">
        <v>1101</v>
      </c>
      <c r="H4229" s="93" t="n">
        <v>3356000</v>
      </c>
      <c r="I4229" s="92" t="inlineStr">
        <is>
          <t>7월 업무추진 - (법인카드)</t>
        </is>
      </c>
      <c r="J4229" s="92" t="inlineStr">
        <is>
          <t>V10010</t>
        </is>
      </c>
      <c r="K4229" s="92" t="inlineStr">
        <is>
          <t>(법인카드)</t>
        </is>
      </c>
      <c r="M4229" s="9">
        <f>IF($A4229="","",VALUE($A4229&amp;"")*12+VALUE($B4229&amp;""))</f>
        <v/>
      </c>
      <c r="N4229" s="64">
        <f>IF($A4229="","",IFERROR(INDEX(부서매핑!$C$5:$C$504,MATCH($G4229&amp;"",부서매핑!$A$5:$A$504,0)),"미매핑"))</f>
        <v/>
      </c>
      <c r="O4229" s="9">
        <f>IF($A4229="","",N4229&amp;"|"&amp;$F4229)</f>
        <v/>
      </c>
      <c r="P4229" s="94">
        <f>IF($A4229="",0,$H4229*설정!$C$23)</f>
        <v/>
      </c>
      <c r="Q4229" s="64">
        <f>IF($A4229="","",IF(O4229&lt;&gt;원인분석!$C$9,"",IF(AND(M4229&gt;=원인분석!$C$10,M4229&lt;=원인분석!$C$11),"당기",IF(AND(M4229&gt;=원인분석!$C$12,M4229&lt;=원인분석!$C$13),"비교",""))))</f>
        <v/>
      </c>
      <c r="R4229" s="9">
        <f>IF(Q4229="","",$K4229&amp;"")</f>
        <v/>
      </c>
      <c r="S4229" s="9">
        <f>IF(Q4229="","",IF(MATCH(R4229,$R$5:$R$100000,0)=ROW()-4,ROW(),""))</f>
        <v/>
      </c>
      <c r="T4229" s="9">
        <f>IF(Q4229="당기",ABS(P4229)+ROW()/1000000000,"")</f>
        <v/>
      </c>
      <c r="U4229" s="9">
        <f>IF(Q4229="비교",ABS(P4229)+ROW()/1000000000,"")</f>
        <v/>
      </c>
      <c r="V4229" s="64">
        <f>IF($A4229="","",IF(COUNTIF(변동분석!$E$7:$E$506,O4229)&gt;0,"Y","N"))</f>
        <v/>
      </c>
      <c r="W4229" s="64">
        <f>IF($A4229="","",IFERROR(INDEX(계정매핑!$D$5:$D$504,MATCH($F4229&amp;"",계정매핑!$A$5:$A$504,0)),"미매핑"))</f>
        <v/>
      </c>
      <c r="X4229" s="9">
        <f>IF($A4229="","",$F4229&amp;"")</f>
        <v/>
      </c>
      <c r="Y4229" s="94">
        <f>IF($A4229="",0,IF(AE4229="직접",IF(AF4229="비귀속",$P4229,0),$P4229*(1-AG4229)*IFERROR(INDEX(계정대체기준!$F$20:$F$49,MATCH($N4229,계정대체기준!$A$20:$A$49,0)),1)))</f>
        <v/>
      </c>
      <c r="Z4229" s="94">
        <f>IF($A4229="",0,IF(AE4229="직접",IF(AF4229="신계약비",$P4229,0),$P4229*(1-AG4229)*IFERROR(INDEX(계정대체기준!$C$20:$C$49,MATCH($N4229,계정대체기준!$A$20:$A$49,0)),0)))</f>
        <v/>
      </c>
      <c r="AA4229" s="94">
        <f>IF($A4229="",0,IF(AE4229="직접",IF(OR(AF4229="유지비",AF4229="손해조사비"),$P4229,0),$P4229*(1-AG4229)*IFERROR(INDEX(계정대체기준!$D$20:$D$49,MATCH($N4229,계정대체기준!$A$20:$A$49,0)),0)))</f>
        <v/>
      </c>
      <c r="AB4229" s="94">
        <f>IF($A4229="",0,IF(AE4229="직접",IF(AF4229="수금비",$P4229,0),$P4229*(1-AG4229)*IFERROR(INDEX(계정대체기준!$E$20:$E$49,MATCH($N4229,계정대체기준!$A$20:$A$49,0)),0)))</f>
        <v/>
      </c>
      <c r="AC4229" s="9">
        <f>IF(AND($A4229&lt;&gt;"",M4229=설정!$C$20,Z4229&gt;0),Z4229+ROW()/1000000000,"")</f>
        <v/>
      </c>
      <c r="AD4229" s="94">
        <f>IF($A4229="",0,$P4229*AG4229)</f>
        <v/>
      </c>
      <c r="AE4229" s="64">
        <f>IF($A4229="","",IFERROR(INDEX(계정매핑!$E$5:$E$504,MATCH($F4229&amp;"",계정매핑!$A$5:$A$504,0))&amp;"","공통비"))</f>
        <v/>
      </c>
      <c r="AF4229" s="64">
        <f>IF($A4229="","",IF(AE4229="직접",IFERROR(INDEX(계정매핑!$F$5:$F$504,MATCH($F4229&amp;"",계정매핑!$A$5:$A$504,0))&amp;"","비귀속"),""))</f>
        <v/>
      </c>
      <c r="AG4229" s="96">
        <f>IF($A4229="",0,IF(AND(AE4229&lt;&gt;"직접",IFERROR(INDEX(계정매핑!$G$5:$G$504,MATCH($F4229&amp;"",계정매핑!$A$5:$A$504,0))&amp;"","")="유지비",COUNTIF(계정대체기준!$A$6:$A$15,$N4229)&gt;0),IFERROR(INDEX(계정대체기준!$E$6:$E$15,MATCH(VALUE($A4229&amp;""),계정대체기준!$D$6:$D$15,0)),0),0))</f>
        <v/>
      </c>
      <c r="AH4229" s="64">
        <f>IF($A4229="","",IF(AD4229=0,"",IF(OR(COUNTIF(계정대체기준!$A$77:$A$86,$N4229)&gt;0,ISNUMBER(MATCH($X4229,계정대체기준!$D$77:$D$86,0)),ISNUMBER(MATCH($F4229,계정대체기준!$D$77:$D$86,0))),"Y","N")))</f>
        <v/>
      </c>
    </row>
    <row r="4230">
      <c r="A4230" s="92" t="n">
        <v>2026</v>
      </c>
      <c r="B4230" s="92" t="n">
        <v>7</v>
      </c>
      <c r="C4230" s="92" t="inlineStr">
        <is>
          <t>5100001508</t>
        </is>
      </c>
      <c r="D4230" s="95" t="n">
        <v>46221</v>
      </c>
      <c r="E4230" s="92" t="inlineStr">
        <is>
          <t>KR</t>
        </is>
      </c>
      <c r="F4230" s="92" t="n">
        <v>62101000</v>
      </c>
      <c r="G4230" s="92" t="n">
        <v>1101</v>
      </c>
      <c r="H4230" s="93" t="n">
        <v>424000</v>
      </c>
      <c r="I4230" s="92" t="inlineStr">
        <is>
          <t>7월 국내출장 - L여행사</t>
        </is>
      </c>
      <c r="J4230" s="92" t="inlineStr">
        <is>
          <t>V10018</t>
        </is>
      </c>
      <c r="K4230" s="92" t="inlineStr">
        <is>
          <t>L여행사</t>
        </is>
      </c>
      <c r="M4230" s="9">
        <f>IF($A4230="","",VALUE($A4230&amp;"")*12+VALUE($B4230&amp;""))</f>
        <v/>
      </c>
      <c r="N4230" s="64">
        <f>IF($A4230="","",IFERROR(INDEX(부서매핑!$C$5:$C$504,MATCH($G4230&amp;"",부서매핑!$A$5:$A$504,0)),"미매핑"))</f>
        <v/>
      </c>
      <c r="O4230" s="9">
        <f>IF($A4230="","",N4230&amp;"|"&amp;$F4230)</f>
        <v/>
      </c>
      <c r="P4230" s="94">
        <f>IF($A4230="",0,$H4230*설정!$C$23)</f>
        <v/>
      </c>
      <c r="Q4230" s="64">
        <f>IF($A4230="","",IF(O4230&lt;&gt;원인분석!$C$9,"",IF(AND(M4230&gt;=원인분석!$C$10,M4230&lt;=원인분석!$C$11),"당기",IF(AND(M4230&gt;=원인분석!$C$12,M4230&lt;=원인분석!$C$13),"비교",""))))</f>
        <v/>
      </c>
      <c r="R4230" s="9">
        <f>IF(Q4230="","",$K4230&amp;"")</f>
        <v/>
      </c>
      <c r="S4230" s="9">
        <f>IF(Q4230="","",IF(MATCH(R4230,$R$5:$R$100000,0)=ROW()-4,ROW(),""))</f>
        <v/>
      </c>
      <c r="T4230" s="9">
        <f>IF(Q4230="당기",ABS(P4230)+ROW()/1000000000,"")</f>
        <v/>
      </c>
      <c r="U4230" s="9">
        <f>IF(Q4230="비교",ABS(P4230)+ROW()/1000000000,"")</f>
        <v/>
      </c>
      <c r="V4230" s="64">
        <f>IF($A4230="","",IF(COUNTIF(변동분석!$E$7:$E$506,O4230)&gt;0,"Y","N"))</f>
        <v/>
      </c>
      <c r="W4230" s="64">
        <f>IF($A4230="","",IFERROR(INDEX(계정매핑!$D$5:$D$504,MATCH($F4230&amp;"",계정매핑!$A$5:$A$504,0)),"미매핑"))</f>
        <v/>
      </c>
      <c r="X4230" s="9">
        <f>IF($A4230="","",$F4230&amp;"")</f>
        <v/>
      </c>
      <c r="Y4230" s="94">
        <f>IF($A4230="",0,IF(AE4230="직접",IF(AF4230="비귀속",$P4230,0),$P4230*(1-AG4230)*IFERROR(INDEX(계정대체기준!$F$20:$F$49,MATCH($N4230,계정대체기준!$A$20:$A$49,0)),1)))</f>
        <v/>
      </c>
      <c r="Z4230" s="94">
        <f>IF($A4230="",0,IF(AE4230="직접",IF(AF4230="신계약비",$P4230,0),$P4230*(1-AG4230)*IFERROR(INDEX(계정대체기준!$C$20:$C$49,MATCH($N4230,계정대체기준!$A$20:$A$49,0)),0)))</f>
        <v/>
      </c>
      <c r="AA4230" s="94">
        <f>IF($A4230="",0,IF(AE4230="직접",IF(OR(AF4230="유지비",AF4230="손해조사비"),$P4230,0),$P4230*(1-AG4230)*IFERROR(INDEX(계정대체기준!$D$20:$D$49,MATCH($N4230,계정대체기준!$A$20:$A$49,0)),0)))</f>
        <v/>
      </c>
      <c r="AB4230" s="94">
        <f>IF($A4230="",0,IF(AE4230="직접",IF(AF4230="수금비",$P4230,0),$P4230*(1-AG4230)*IFERROR(INDEX(계정대체기준!$E$20:$E$49,MATCH($N4230,계정대체기준!$A$20:$A$49,0)),0)))</f>
        <v/>
      </c>
      <c r="AC4230" s="9">
        <f>IF(AND($A4230&lt;&gt;"",M4230=설정!$C$20,Z4230&gt;0),Z4230+ROW()/1000000000,"")</f>
        <v/>
      </c>
      <c r="AD4230" s="94">
        <f>IF($A4230="",0,$P4230*AG4230)</f>
        <v/>
      </c>
      <c r="AE4230" s="64">
        <f>IF($A4230="","",IFERROR(INDEX(계정매핑!$E$5:$E$504,MATCH($F4230&amp;"",계정매핑!$A$5:$A$504,0))&amp;"","공통비"))</f>
        <v/>
      </c>
      <c r="AF4230" s="64">
        <f>IF($A4230="","",IF(AE4230="직접",IFERROR(INDEX(계정매핑!$F$5:$F$504,MATCH($F4230&amp;"",계정매핑!$A$5:$A$504,0))&amp;"","비귀속"),""))</f>
        <v/>
      </c>
      <c r="AG4230" s="96">
        <f>IF($A4230="",0,IF(AND(AE4230&lt;&gt;"직접",IFERROR(INDEX(계정매핑!$G$5:$G$504,MATCH($F4230&amp;"",계정매핑!$A$5:$A$504,0))&amp;"","")="유지비",COUNTIF(계정대체기준!$A$6:$A$15,$N4230)&gt;0),IFERROR(INDEX(계정대체기준!$E$6:$E$15,MATCH(VALUE($A4230&amp;""),계정대체기준!$D$6:$D$15,0)),0),0))</f>
        <v/>
      </c>
      <c r="AH4230" s="64">
        <f>IF($A4230="","",IF(AD4230=0,"",IF(OR(COUNTIF(계정대체기준!$A$77:$A$86,$N4230)&gt;0,ISNUMBER(MATCH($X4230,계정대체기준!$D$77:$D$86,0)),ISNUMBER(MATCH($F4230,계정대체기준!$D$77:$D$86,0))),"Y","N")))</f>
        <v/>
      </c>
    </row>
    <row r="4231">
      <c r="A4231" s="92" t="n">
        <v>2026</v>
      </c>
      <c r="B4231" s="92" t="n">
        <v>7</v>
      </c>
      <c r="C4231" s="92" t="inlineStr">
        <is>
          <t>5100001509</t>
        </is>
      </c>
      <c r="D4231" s="95" t="n">
        <v>46221</v>
      </c>
      <c r="E4231" s="92" t="inlineStr">
        <is>
          <t>KR</t>
        </is>
      </c>
      <c r="F4231" s="92" t="n">
        <v>62101000</v>
      </c>
      <c r="G4231" s="92" t="n">
        <v>1401</v>
      </c>
      <c r="H4231" s="93" t="n">
        <v>418000</v>
      </c>
      <c r="I4231" s="92" t="inlineStr">
        <is>
          <t>7월 국내출장 - L여행사</t>
        </is>
      </c>
      <c r="J4231" s="92" t="inlineStr">
        <is>
          <t>V10018</t>
        </is>
      </c>
      <c r="K4231" s="92" t="inlineStr">
        <is>
          <t>L여행사</t>
        </is>
      </c>
      <c r="M4231" s="9">
        <f>IF($A4231="","",VALUE($A4231&amp;"")*12+VALUE($B4231&amp;""))</f>
        <v/>
      </c>
      <c r="N4231" s="64">
        <f>IF($A4231="","",IFERROR(INDEX(부서매핑!$C$5:$C$504,MATCH($G4231&amp;"",부서매핑!$A$5:$A$504,0)),"미매핑"))</f>
        <v/>
      </c>
      <c r="O4231" s="9">
        <f>IF($A4231="","",N4231&amp;"|"&amp;$F4231)</f>
        <v/>
      </c>
      <c r="P4231" s="94">
        <f>IF($A4231="",0,$H4231*설정!$C$23)</f>
        <v/>
      </c>
      <c r="Q4231" s="64">
        <f>IF($A4231="","",IF(O4231&lt;&gt;원인분석!$C$9,"",IF(AND(M4231&gt;=원인분석!$C$10,M4231&lt;=원인분석!$C$11),"당기",IF(AND(M4231&gt;=원인분석!$C$12,M4231&lt;=원인분석!$C$13),"비교",""))))</f>
        <v/>
      </c>
      <c r="R4231" s="9">
        <f>IF(Q4231="","",$K4231&amp;"")</f>
        <v/>
      </c>
      <c r="S4231" s="9">
        <f>IF(Q4231="","",IF(MATCH(R4231,$R$5:$R$100000,0)=ROW()-4,ROW(),""))</f>
        <v/>
      </c>
      <c r="T4231" s="9">
        <f>IF(Q4231="당기",ABS(P4231)+ROW()/1000000000,"")</f>
        <v/>
      </c>
      <c r="U4231" s="9">
        <f>IF(Q4231="비교",ABS(P4231)+ROW()/1000000000,"")</f>
        <v/>
      </c>
      <c r="V4231" s="64">
        <f>IF($A4231="","",IF(COUNTIF(변동분석!$E$7:$E$506,O4231)&gt;0,"Y","N"))</f>
        <v/>
      </c>
      <c r="W4231" s="64">
        <f>IF($A4231="","",IFERROR(INDEX(계정매핑!$D$5:$D$504,MATCH($F4231&amp;"",계정매핑!$A$5:$A$504,0)),"미매핑"))</f>
        <v/>
      </c>
      <c r="X4231" s="9">
        <f>IF($A4231="","",$F4231&amp;"")</f>
        <v/>
      </c>
      <c r="Y4231" s="94">
        <f>IF($A4231="",0,IF(AE4231="직접",IF(AF4231="비귀속",$P4231,0),$P4231*(1-AG4231)*IFERROR(INDEX(계정대체기준!$F$20:$F$49,MATCH($N4231,계정대체기준!$A$20:$A$49,0)),1)))</f>
        <v/>
      </c>
      <c r="Z4231" s="94">
        <f>IF($A4231="",0,IF(AE4231="직접",IF(AF4231="신계약비",$P4231,0),$P4231*(1-AG4231)*IFERROR(INDEX(계정대체기준!$C$20:$C$49,MATCH($N4231,계정대체기준!$A$20:$A$49,0)),0)))</f>
        <v/>
      </c>
      <c r="AA4231" s="94">
        <f>IF($A4231="",0,IF(AE4231="직접",IF(OR(AF4231="유지비",AF4231="손해조사비"),$P4231,0),$P4231*(1-AG4231)*IFERROR(INDEX(계정대체기준!$D$20:$D$49,MATCH($N4231,계정대체기준!$A$20:$A$49,0)),0)))</f>
        <v/>
      </c>
      <c r="AB4231" s="94">
        <f>IF($A4231="",0,IF(AE4231="직접",IF(AF4231="수금비",$P4231,0),$P4231*(1-AG4231)*IFERROR(INDEX(계정대체기준!$E$20:$E$49,MATCH($N4231,계정대체기준!$A$20:$A$49,0)),0)))</f>
        <v/>
      </c>
      <c r="AC4231" s="9">
        <f>IF(AND($A4231&lt;&gt;"",M4231=설정!$C$20,Z4231&gt;0),Z4231+ROW()/1000000000,"")</f>
        <v/>
      </c>
      <c r="AD4231" s="94">
        <f>IF($A4231="",0,$P4231*AG4231)</f>
        <v/>
      </c>
      <c r="AE4231" s="64">
        <f>IF($A4231="","",IFERROR(INDEX(계정매핑!$E$5:$E$504,MATCH($F4231&amp;"",계정매핑!$A$5:$A$504,0))&amp;"","공통비"))</f>
        <v/>
      </c>
      <c r="AF4231" s="64">
        <f>IF($A4231="","",IF(AE4231="직접",IFERROR(INDEX(계정매핑!$F$5:$F$504,MATCH($F4231&amp;"",계정매핑!$A$5:$A$504,0))&amp;"","비귀속"),""))</f>
        <v/>
      </c>
      <c r="AG4231" s="96">
        <f>IF($A4231="",0,IF(AND(AE4231&lt;&gt;"직접",IFERROR(INDEX(계정매핑!$G$5:$G$504,MATCH($F4231&amp;"",계정매핑!$A$5:$A$504,0))&amp;"","")="유지비",COUNTIF(계정대체기준!$A$6:$A$15,$N4231)&gt;0),IFERROR(INDEX(계정대체기준!$E$6:$E$15,MATCH(VALUE($A4231&amp;""),계정대체기준!$D$6:$D$15,0)),0),0))</f>
        <v/>
      </c>
      <c r="AH4231" s="64">
        <f>IF($A4231="","",IF(AD4231=0,"",IF(OR(COUNTIF(계정대체기준!$A$77:$A$86,$N4231)&gt;0,ISNUMBER(MATCH($X4231,계정대체기준!$D$77:$D$86,0)),ISNUMBER(MATCH($F4231,계정대체기준!$D$77:$D$86,0))),"Y","N")))</f>
        <v/>
      </c>
    </row>
    <row r="4232">
      <c r="A4232" s="92" t="n">
        <v>2026</v>
      </c>
      <c r="B4232" s="92" t="n">
        <v>7</v>
      </c>
      <c r="C4232" s="92" t="inlineStr">
        <is>
          <t>5100001510</t>
        </is>
      </c>
      <c r="D4232" s="95" t="n">
        <v>46221</v>
      </c>
      <c r="E4232" s="92" t="inlineStr">
        <is>
          <t>KR</t>
        </is>
      </c>
      <c r="F4232" s="92" t="n">
        <v>62101000</v>
      </c>
      <c r="G4232" s="92" t="n">
        <v>1602</v>
      </c>
      <c r="H4232" s="93" t="n">
        <v>742000</v>
      </c>
      <c r="I4232" s="92" t="inlineStr">
        <is>
          <t>7월 국내출장 - L여행사</t>
        </is>
      </c>
      <c r="J4232" s="92" t="inlineStr">
        <is>
          <t>V10018</t>
        </is>
      </c>
      <c r="K4232" s="92" t="inlineStr">
        <is>
          <t>L여행사</t>
        </is>
      </c>
      <c r="M4232" s="9">
        <f>IF($A4232="","",VALUE($A4232&amp;"")*12+VALUE($B4232&amp;""))</f>
        <v/>
      </c>
      <c r="N4232" s="64">
        <f>IF($A4232="","",IFERROR(INDEX(부서매핑!$C$5:$C$504,MATCH($G4232&amp;"",부서매핑!$A$5:$A$504,0)),"미매핑"))</f>
        <v/>
      </c>
      <c r="O4232" s="9">
        <f>IF($A4232="","",N4232&amp;"|"&amp;$F4232)</f>
        <v/>
      </c>
      <c r="P4232" s="94">
        <f>IF($A4232="",0,$H4232*설정!$C$23)</f>
        <v/>
      </c>
      <c r="Q4232" s="64">
        <f>IF($A4232="","",IF(O4232&lt;&gt;원인분석!$C$9,"",IF(AND(M4232&gt;=원인분석!$C$10,M4232&lt;=원인분석!$C$11),"당기",IF(AND(M4232&gt;=원인분석!$C$12,M4232&lt;=원인분석!$C$13),"비교",""))))</f>
        <v/>
      </c>
      <c r="R4232" s="9">
        <f>IF(Q4232="","",$K4232&amp;"")</f>
        <v/>
      </c>
      <c r="S4232" s="9">
        <f>IF(Q4232="","",IF(MATCH(R4232,$R$5:$R$100000,0)=ROW()-4,ROW(),""))</f>
        <v/>
      </c>
      <c r="T4232" s="9">
        <f>IF(Q4232="당기",ABS(P4232)+ROW()/1000000000,"")</f>
        <v/>
      </c>
      <c r="U4232" s="9">
        <f>IF(Q4232="비교",ABS(P4232)+ROW()/1000000000,"")</f>
        <v/>
      </c>
      <c r="V4232" s="64">
        <f>IF($A4232="","",IF(COUNTIF(변동분석!$E$7:$E$506,O4232)&gt;0,"Y","N"))</f>
        <v/>
      </c>
      <c r="W4232" s="64">
        <f>IF($A4232="","",IFERROR(INDEX(계정매핑!$D$5:$D$504,MATCH($F4232&amp;"",계정매핑!$A$5:$A$504,0)),"미매핑"))</f>
        <v/>
      </c>
      <c r="X4232" s="9">
        <f>IF($A4232="","",$F4232&amp;"")</f>
        <v/>
      </c>
      <c r="Y4232" s="94">
        <f>IF($A4232="",0,IF(AE4232="직접",IF(AF4232="비귀속",$P4232,0),$P4232*(1-AG4232)*IFERROR(INDEX(계정대체기준!$F$20:$F$49,MATCH($N4232,계정대체기준!$A$20:$A$49,0)),1)))</f>
        <v/>
      </c>
      <c r="Z4232" s="94">
        <f>IF($A4232="",0,IF(AE4232="직접",IF(AF4232="신계약비",$P4232,0),$P4232*(1-AG4232)*IFERROR(INDEX(계정대체기준!$C$20:$C$49,MATCH($N4232,계정대체기준!$A$20:$A$49,0)),0)))</f>
        <v/>
      </c>
      <c r="AA4232" s="94">
        <f>IF($A4232="",0,IF(AE4232="직접",IF(OR(AF4232="유지비",AF4232="손해조사비"),$P4232,0),$P4232*(1-AG4232)*IFERROR(INDEX(계정대체기준!$D$20:$D$49,MATCH($N4232,계정대체기준!$A$20:$A$49,0)),0)))</f>
        <v/>
      </c>
      <c r="AB4232" s="94">
        <f>IF($A4232="",0,IF(AE4232="직접",IF(AF4232="수금비",$P4232,0),$P4232*(1-AG4232)*IFERROR(INDEX(계정대체기준!$E$20:$E$49,MATCH($N4232,계정대체기준!$A$20:$A$49,0)),0)))</f>
        <v/>
      </c>
      <c r="AC4232" s="9">
        <f>IF(AND($A4232&lt;&gt;"",M4232=설정!$C$20,Z4232&gt;0),Z4232+ROW()/1000000000,"")</f>
        <v/>
      </c>
      <c r="AD4232" s="94">
        <f>IF($A4232="",0,$P4232*AG4232)</f>
        <v/>
      </c>
      <c r="AE4232" s="64">
        <f>IF($A4232="","",IFERROR(INDEX(계정매핑!$E$5:$E$504,MATCH($F4232&amp;"",계정매핑!$A$5:$A$504,0))&amp;"","공통비"))</f>
        <v/>
      </c>
      <c r="AF4232" s="64">
        <f>IF($A4232="","",IF(AE4232="직접",IFERROR(INDEX(계정매핑!$F$5:$F$504,MATCH($F4232&amp;"",계정매핑!$A$5:$A$504,0))&amp;"","비귀속"),""))</f>
        <v/>
      </c>
      <c r="AG4232" s="96">
        <f>IF($A4232="",0,IF(AND(AE4232&lt;&gt;"직접",IFERROR(INDEX(계정매핑!$G$5:$G$504,MATCH($F4232&amp;"",계정매핑!$A$5:$A$504,0))&amp;"","")="유지비",COUNTIF(계정대체기준!$A$6:$A$15,$N4232)&gt;0),IFERROR(INDEX(계정대체기준!$E$6:$E$15,MATCH(VALUE($A4232&amp;""),계정대체기준!$D$6:$D$15,0)),0),0))</f>
        <v/>
      </c>
      <c r="AH4232" s="64">
        <f>IF($A4232="","",IF(AD4232=0,"",IF(OR(COUNTIF(계정대체기준!$A$77:$A$86,$N4232)&gt;0,ISNUMBER(MATCH($X4232,계정대체기준!$D$77:$D$86,0)),ISNUMBER(MATCH($F4232,계정대체기준!$D$77:$D$86,0))),"Y","N")))</f>
        <v/>
      </c>
    </row>
    <row r="4233">
      <c r="A4233" s="92" t="n">
        <v>2026</v>
      </c>
      <c r="B4233" s="92" t="n">
        <v>7</v>
      </c>
      <c r="C4233" s="92" t="inlineStr">
        <is>
          <t>5100001511</t>
        </is>
      </c>
      <c r="D4233" s="95" t="n">
        <v>46221</v>
      </c>
      <c r="E4233" s="92" t="inlineStr">
        <is>
          <t>KR</t>
        </is>
      </c>
      <c r="F4233" s="92" t="n">
        <v>62101000</v>
      </c>
      <c r="G4233" s="92" t="n">
        <v>1701</v>
      </c>
      <c r="H4233" s="93" t="n">
        <v>200000</v>
      </c>
      <c r="I4233" s="92" t="inlineStr">
        <is>
          <t>7월 국내출장 - L여행사</t>
        </is>
      </c>
      <c r="J4233" s="92" t="inlineStr">
        <is>
          <t>V10018</t>
        </is>
      </c>
      <c r="K4233" s="92" t="inlineStr">
        <is>
          <t>L여행사</t>
        </is>
      </c>
      <c r="M4233" s="9">
        <f>IF($A4233="","",VALUE($A4233&amp;"")*12+VALUE($B4233&amp;""))</f>
        <v/>
      </c>
      <c r="N4233" s="64">
        <f>IF($A4233="","",IFERROR(INDEX(부서매핑!$C$5:$C$504,MATCH($G4233&amp;"",부서매핑!$A$5:$A$504,0)),"미매핑"))</f>
        <v/>
      </c>
      <c r="O4233" s="9">
        <f>IF($A4233="","",N4233&amp;"|"&amp;$F4233)</f>
        <v/>
      </c>
      <c r="P4233" s="94">
        <f>IF($A4233="",0,$H4233*설정!$C$23)</f>
        <v/>
      </c>
      <c r="Q4233" s="64">
        <f>IF($A4233="","",IF(O4233&lt;&gt;원인분석!$C$9,"",IF(AND(M4233&gt;=원인분석!$C$10,M4233&lt;=원인분석!$C$11),"당기",IF(AND(M4233&gt;=원인분석!$C$12,M4233&lt;=원인분석!$C$13),"비교",""))))</f>
        <v/>
      </c>
      <c r="R4233" s="9">
        <f>IF(Q4233="","",$K4233&amp;"")</f>
        <v/>
      </c>
      <c r="S4233" s="9">
        <f>IF(Q4233="","",IF(MATCH(R4233,$R$5:$R$100000,0)=ROW()-4,ROW(),""))</f>
        <v/>
      </c>
      <c r="T4233" s="9">
        <f>IF(Q4233="당기",ABS(P4233)+ROW()/1000000000,"")</f>
        <v/>
      </c>
      <c r="U4233" s="9">
        <f>IF(Q4233="비교",ABS(P4233)+ROW()/1000000000,"")</f>
        <v/>
      </c>
      <c r="V4233" s="64">
        <f>IF($A4233="","",IF(COUNTIF(변동분석!$E$7:$E$506,O4233)&gt;0,"Y","N"))</f>
        <v/>
      </c>
      <c r="W4233" s="64">
        <f>IF($A4233="","",IFERROR(INDEX(계정매핑!$D$5:$D$504,MATCH($F4233&amp;"",계정매핑!$A$5:$A$504,0)),"미매핑"))</f>
        <v/>
      </c>
      <c r="X4233" s="9">
        <f>IF($A4233="","",$F4233&amp;"")</f>
        <v/>
      </c>
      <c r="Y4233" s="94">
        <f>IF($A4233="",0,IF(AE4233="직접",IF(AF4233="비귀속",$P4233,0),$P4233*(1-AG4233)*IFERROR(INDEX(계정대체기준!$F$20:$F$49,MATCH($N4233,계정대체기준!$A$20:$A$49,0)),1)))</f>
        <v/>
      </c>
      <c r="Z4233" s="94">
        <f>IF($A4233="",0,IF(AE4233="직접",IF(AF4233="신계약비",$P4233,0),$P4233*(1-AG4233)*IFERROR(INDEX(계정대체기준!$C$20:$C$49,MATCH($N4233,계정대체기준!$A$20:$A$49,0)),0)))</f>
        <v/>
      </c>
      <c r="AA4233" s="94">
        <f>IF($A4233="",0,IF(AE4233="직접",IF(OR(AF4233="유지비",AF4233="손해조사비"),$P4233,0),$P4233*(1-AG4233)*IFERROR(INDEX(계정대체기준!$D$20:$D$49,MATCH($N4233,계정대체기준!$A$20:$A$49,0)),0)))</f>
        <v/>
      </c>
      <c r="AB4233" s="94">
        <f>IF($A4233="",0,IF(AE4233="직접",IF(AF4233="수금비",$P4233,0),$P4233*(1-AG4233)*IFERROR(INDEX(계정대체기준!$E$20:$E$49,MATCH($N4233,계정대체기준!$A$20:$A$49,0)),0)))</f>
        <v/>
      </c>
      <c r="AC4233" s="9">
        <f>IF(AND($A4233&lt;&gt;"",M4233=설정!$C$20,Z4233&gt;0),Z4233+ROW()/1000000000,"")</f>
        <v/>
      </c>
      <c r="AD4233" s="94">
        <f>IF($A4233="",0,$P4233*AG4233)</f>
        <v/>
      </c>
      <c r="AE4233" s="64">
        <f>IF($A4233="","",IFERROR(INDEX(계정매핑!$E$5:$E$504,MATCH($F4233&amp;"",계정매핑!$A$5:$A$504,0))&amp;"","공통비"))</f>
        <v/>
      </c>
      <c r="AF4233" s="64">
        <f>IF($A4233="","",IF(AE4233="직접",IFERROR(INDEX(계정매핑!$F$5:$F$504,MATCH($F4233&amp;"",계정매핑!$A$5:$A$504,0))&amp;"","비귀속"),""))</f>
        <v/>
      </c>
      <c r="AG4233" s="96">
        <f>IF($A4233="",0,IF(AND(AE4233&lt;&gt;"직접",IFERROR(INDEX(계정매핑!$G$5:$G$504,MATCH($F4233&amp;"",계정매핑!$A$5:$A$504,0))&amp;"","")="유지비",COUNTIF(계정대체기준!$A$6:$A$15,$N4233)&gt;0),IFERROR(INDEX(계정대체기준!$E$6:$E$15,MATCH(VALUE($A4233&amp;""),계정대체기준!$D$6:$D$15,0)),0),0))</f>
        <v/>
      </c>
      <c r="AH4233" s="64">
        <f>IF($A4233="","",IF(AD4233=0,"",IF(OR(COUNTIF(계정대체기준!$A$77:$A$86,$N4233)&gt;0,ISNUMBER(MATCH($X4233,계정대체기준!$D$77:$D$86,0)),ISNUMBER(MATCH($F4233,계정대체기준!$D$77:$D$86,0))),"Y","N")))</f>
        <v/>
      </c>
    </row>
    <row r="4234">
      <c r="A4234" s="92" t="n">
        <v>2026</v>
      </c>
      <c r="B4234" s="92" t="n">
        <v>7</v>
      </c>
      <c r="C4234" s="92" t="inlineStr">
        <is>
          <t>5100001512</t>
        </is>
      </c>
      <c r="D4234" s="95" t="n">
        <v>46221</v>
      </c>
      <c r="E4234" s="92" t="inlineStr">
        <is>
          <t>KR</t>
        </is>
      </c>
      <c r="F4234" s="92" t="n">
        <v>62101000</v>
      </c>
      <c r="G4234" s="92" t="n">
        <v>1801</v>
      </c>
      <c r="H4234" s="93" t="n">
        <v>137000</v>
      </c>
      <c r="I4234" s="92" t="inlineStr">
        <is>
          <t>7월 국내출장 - L여행사</t>
        </is>
      </c>
      <c r="J4234" s="92" t="inlineStr">
        <is>
          <t>V10018</t>
        </is>
      </c>
      <c r="K4234" s="92" t="inlineStr">
        <is>
          <t>L여행사</t>
        </is>
      </c>
      <c r="M4234" s="9">
        <f>IF($A4234="","",VALUE($A4234&amp;"")*12+VALUE($B4234&amp;""))</f>
        <v/>
      </c>
      <c r="N4234" s="64">
        <f>IF($A4234="","",IFERROR(INDEX(부서매핑!$C$5:$C$504,MATCH($G4234&amp;"",부서매핑!$A$5:$A$504,0)),"미매핑"))</f>
        <v/>
      </c>
      <c r="O4234" s="9">
        <f>IF($A4234="","",N4234&amp;"|"&amp;$F4234)</f>
        <v/>
      </c>
      <c r="P4234" s="94">
        <f>IF($A4234="",0,$H4234*설정!$C$23)</f>
        <v/>
      </c>
      <c r="Q4234" s="64">
        <f>IF($A4234="","",IF(O4234&lt;&gt;원인분석!$C$9,"",IF(AND(M4234&gt;=원인분석!$C$10,M4234&lt;=원인분석!$C$11),"당기",IF(AND(M4234&gt;=원인분석!$C$12,M4234&lt;=원인분석!$C$13),"비교",""))))</f>
        <v/>
      </c>
      <c r="R4234" s="9">
        <f>IF(Q4234="","",$K4234&amp;"")</f>
        <v/>
      </c>
      <c r="S4234" s="9">
        <f>IF(Q4234="","",IF(MATCH(R4234,$R$5:$R$100000,0)=ROW()-4,ROW(),""))</f>
        <v/>
      </c>
      <c r="T4234" s="9">
        <f>IF(Q4234="당기",ABS(P4234)+ROW()/1000000000,"")</f>
        <v/>
      </c>
      <c r="U4234" s="9">
        <f>IF(Q4234="비교",ABS(P4234)+ROW()/1000000000,"")</f>
        <v/>
      </c>
      <c r="V4234" s="64">
        <f>IF($A4234="","",IF(COUNTIF(변동분석!$E$7:$E$506,O4234)&gt;0,"Y","N"))</f>
        <v/>
      </c>
      <c r="W4234" s="64">
        <f>IF($A4234="","",IFERROR(INDEX(계정매핑!$D$5:$D$504,MATCH($F4234&amp;"",계정매핑!$A$5:$A$504,0)),"미매핑"))</f>
        <v/>
      </c>
      <c r="X4234" s="9">
        <f>IF($A4234="","",$F4234&amp;"")</f>
        <v/>
      </c>
      <c r="Y4234" s="94">
        <f>IF($A4234="",0,IF(AE4234="직접",IF(AF4234="비귀속",$P4234,0),$P4234*(1-AG4234)*IFERROR(INDEX(계정대체기준!$F$20:$F$49,MATCH($N4234,계정대체기준!$A$20:$A$49,0)),1)))</f>
        <v/>
      </c>
      <c r="Z4234" s="94">
        <f>IF($A4234="",0,IF(AE4234="직접",IF(AF4234="신계약비",$P4234,0),$P4234*(1-AG4234)*IFERROR(INDEX(계정대체기준!$C$20:$C$49,MATCH($N4234,계정대체기준!$A$20:$A$49,0)),0)))</f>
        <v/>
      </c>
      <c r="AA4234" s="94">
        <f>IF($A4234="",0,IF(AE4234="직접",IF(OR(AF4234="유지비",AF4234="손해조사비"),$P4234,0),$P4234*(1-AG4234)*IFERROR(INDEX(계정대체기준!$D$20:$D$49,MATCH($N4234,계정대체기준!$A$20:$A$49,0)),0)))</f>
        <v/>
      </c>
      <c r="AB4234" s="94">
        <f>IF($A4234="",0,IF(AE4234="직접",IF(AF4234="수금비",$P4234,0),$P4234*(1-AG4234)*IFERROR(INDEX(계정대체기준!$E$20:$E$49,MATCH($N4234,계정대체기준!$A$20:$A$49,0)),0)))</f>
        <v/>
      </c>
      <c r="AC4234" s="9">
        <f>IF(AND($A4234&lt;&gt;"",M4234=설정!$C$20,Z4234&gt;0),Z4234+ROW()/1000000000,"")</f>
        <v/>
      </c>
      <c r="AD4234" s="94">
        <f>IF($A4234="",0,$P4234*AG4234)</f>
        <v/>
      </c>
      <c r="AE4234" s="64">
        <f>IF($A4234="","",IFERROR(INDEX(계정매핑!$E$5:$E$504,MATCH($F4234&amp;"",계정매핑!$A$5:$A$504,0))&amp;"","공통비"))</f>
        <v/>
      </c>
      <c r="AF4234" s="64">
        <f>IF($A4234="","",IF(AE4234="직접",IFERROR(INDEX(계정매핑!$F$5:$F$504,MATCH($F4234&amp;"",계정매핑!$A$5:$A$504,0))&amp;"","비귀속"),""))</f>
        <v/>
      </c>
      <c r="AG4234" s="96">
        <f>IF($A4234="",0,IF(AND(AE4234&lt;&gt;"직접",IFERROR(INDEX(계정매핑!$G$5:$G$504,MATCH($F4234&amp;"",계정매핑!$A$5:$A$504,0))&amp;"","")="유지비",COUNTIF(계정대체기준!$A$6:$A$15,$N4234)&gt;0),IFERROR(INDEX(계정대체기준!$E$6:$E$15,MATCH(VALUE($A4234&amp;""),계정대체기준!$D$6:$D$15,0)),0),0))</f>
        <v/>
      </c>
      <c r="AH4234" s="64">
        <f>IF($A4234="","",IF(AD4234=0,"",IF(OR(COUNTIF(계정대체기준!$A$77:$A$86,$N4234)&gt;0,ISNUMBER(MATCH($X4234,계정대체기준!$D$77:$D$86,0)),ISNUMBER(MATCH($F4234,계정대체기준!$D$77:$D$86,0))),"Y","N")))</f>
        <v/>
      </c>
    </row>
    <row r="4235">
      <c r="A4235" s="92" t="n">
        <v>2026</v>
      </c>
      <c r="B4235" s="92" t="n">
        <v>7</v>
      </c>
      <c r="C4235" s="92" t="inlineStr">
        <is>
          <t>5100001513</t>
        </is>
      </c>
      <c r="D4235" s="95" t="n">
        <v>46221</v>
      </c>
      <c r="E4235" s="92" t="inlineStr">
        <is>
          <t>KR</t>
        </is>
      </c>
      <c r="F4235" s="92" t="n">
        <v>62101000</v>
      </c>
      <c r="G4235" s="92" t="n">
        <v>1801</v>
      </c>
      <c r="H4235" s="93" t="n">
        <v>165000</v>
      </c>
      <c r="I4235" s="92" t="inlineStr">
        <is>
          <t>7월 국내출장 - (법인카드)</t>
        </is>
      </c>
      <c r="J4235" s="92" t="inlineStr">
        <is>
          <t>V10010</t>
        </is>
      </c>
      <c r="K4235" s="92" t="inlineStr">
        <is>
          <t>(법인카드)</t>
        </is>
      </c>
      <c r="M4235" s="9">
        <f>IF($A4235="","",VALUE($A4235&amp;"")*12+VALUE($B4235&amp;""))</f>
        <v/>
      </c>
      <c r="N4235" s="64">
        <f>IF($A4235="","",IFERROR(INDEX(부서매핑!$C$5:$C$504,MATCH($G4235&amp;"",부서매핑!$A$5:$A$504,0)),"미매핑"))</f>
        <v/>
      </c>
      <c r="O4235" s="9">
        <f>IF($A4235="","",N4235&amp;"|"&amp;$F4235)</f>
        <v/>
      </c>
      <c r="P4235" s="94">
        <f>IF($A4235="",0,$H4235*설정!$C$23)</f>
        <v/>
      </c>
      <c r="Q4235" s="64">
        <f>IF($A4235="","",IF(O4235&lt;&gt;원인분석!$C$9,"",IF(AND(M4235&gt;=원인분석!$C$10,M4235&lt;=원인분석!$C$11),"당기",IF(AND(M4235&gt;=원인분석!$C$12,M4235&lt;=원인분석!$C$13),"비교",""))))</f>
        <v/>
      </c>
      <c r="R4235" s="9">
        <f>IF(Q4235="","",$K4235&amp;"")</f>
        <v/>
      </c>
      <c r="S4235" s="9">
        <f>IF(Q4235="","",IF(MATCH(R4235,$R$5:$R$100000,0)=ROW()-4,ROW(),""))</f>
        <v/>
      </c>
      <c r="T4235" s="9">
        <f>IF(Q4235="당기",ABS(P4235)+ROW()/1000000000,"")</f>
        <v/>
      </c>
      <c r="U4235" s="9">
        <f>IF(Q4235="비교",ABS(P4235)+ROW()/1000000000,"")</f>
        <v/>
      </c>
      <c r="V4235" s="64">
        <f>IF($A4235="","",IF(COUNTIF(변동분석!$E$7:$E$506,O4235)&gt;0,"Y","N"))</f>
        <v/>
      </c>
      <c r="W4235" s="64">
        <f>IF($A4235="","",IFERROR(INDEX(계정매핑!$D$5:$D$504,MATCH($F4235&amp;"",계정매핑!$A$5:$A$504,0)),"미매핑"))</f>
        <v/>
      </c>
      <c r="X4235" s="9">
        <f>IF($A4235="","",$F4235&amp;"")</f>
        <v/>
      </c>
      <c r="Y4235" s="94">
        <f>IF($A4235="",0,IF(AE4235="직접",IF(AF4235="비귀속",$P4235,0),$P4235*(1-AG4235)*IFERROR(INDEX(계정대체기준!$F$20:$F$49,MATCH($N4235,계정대체기준!$A$20:$A$49,0)),1)))</f>
        <v/>
      </c>
      <c r="Z4235" s="94">
        <f>IF($A4235="",0,IF(AE4235="직접",IF(AF4235="신계약비",$P4235,0),$P4235*(1-AG4235)*IFERROR(INDEX(계정대체기준!$C$20:$C$49,MATCH($N4235,계정대체기준!$A$20:$A$49,0)),0)))</f>
        <v/>
      </c>
      <c r="AA4235" s="94">
        <f>IF($A4235="",0,IF(AE4235="직접",IF(OR(AF4235="유지비",AF4235="손해조사비"),$P4235,0),$P4235*(1-AG4235)*IFERROR(INDEX(계정대체기준!$D$20:$D$49,MATCH($N4235,계정대체기준!$A$20:$A$49,0)),0)))</f>
        <v/>
      </c>
      <c r="AB4235" s="94">
        <f>IF($A4235="",0,IF(AE4235="직접",IF(AF4235="수금비",$P4235,0),$P4235*(1-AG4235)*IFERROR(INDEX(계정대체기준!$E$20:$E$49,MATCH($N4235,계정대체기준!$A$20:$A$49,0)),0)))</f>
        <v/>
      </c>
      <c r="AC4235" s="9">
        <f>IF(AND($A4235&lt;&gt;"",M4235=설정!$C$20,Z4235&gt;0),Z4235+ROW()/1000000000,"")</f>
        <v/>
      </c>
      <c r="AD4235" s="94">
        <f>IF($A4235="",0,$P4235*AG4235)</f>
        <v/>
      </c>
      <c r="AE4235" s="64">
        <f>IF($A4235="","",IFERROR(INDEX(계정매핑!$E$5:$E$504,MATCH($F4235&amp;"",계정매핑!$A$5:$A$504,0))&amp;"","공통비"))</f>
        <v/>
      </c>
      <c r="AF4235" s="64">
        <f>IF($A4235="","",IF(AE4235="직접",IFERROR(INDEX(계정매핑!$F$5:$F$504,MATCH($F4235&amp;"",계정매핑!$A$5:$A$504,0))&amp;"","비귀속"),""))</f>
        <v/>
      </c>
      <c r="AG4235" s="96">
        <f>IF($A4235="",0,IF(AND(AE4235&lt;&gt;"직접",IFERROR(INDEX(계정매핑!$G$5:$G$504,MATCH($F4235&amp;"",계정매핑!$A$5:$A$504,0))&amp;"","")="유지비",COUNTIF(계정대체기준!$A$6:$A$15,$N4235)&gt;0),IFERROR(INDEX(계정대체기준!$E$6:$E$15,MATCH(VALUE($A4235&amp;""),계정대체기준!$D$6:$D$15,0)),0),0))</f>
        <v/>
      </c>
      <c r="AH4235" s="64">
        <f>IF($A4235="","",IF(AD4235=0,"",IF(OR(COUNTIF(계정대체기준!$A$77:$A$86,$N4235)&gt;0,ISNUMBER(MATCH($X4235,계정대체기준!$D$77:$D$86,0)),ISNUMBER(MATCH($F4235,계정대체기준!$D$77:$D$86,0))),"Y","N")))</f>
        <v/>
      </c>
    </row>
    <row r="4236">
      <c r="A4236" s="92" t="n">
        <v>2026</v>
      </c>
      <c r="B4236" s="92" t="n">
        <v>7</v>
      </c>
      <c r="C4236" s="92" t="inlineStr">
        <is>
          <t>5100001514</t>
        </is>
      </c>
      <c r="D4236" s="95" t="n">
        <v>46221</v>
      </c>
      <c r="E4236" s="92" t="inlineStr">
        <is>
          <t>KR</t>
        </is>
      </c>
      <c r="F4236" s="92" t="n">
        <v>62201000</v>
      </c>
      <c r="G4236" s="92" t="n">
        <v>1602</v>
      </c>
      <c r="H4236" s="93" t="n">
        <v>459000</v>
      </c>
      <c r="I4236" s="92" t="inlineStr">
        <is>
          <t>7월 통신요금 - O텔레콤</t>
        </is>
      </c>
      <c r="J4236" s="92" t="inlineStr">
        <is>
          <t>V10002</t>
        </is>
      </c>
      <c r="K4236" s="92" t="inlineStr">
        <is>
          <t>O텔레콤</t>
        </is>
      </c>
      <c r="M4236" s="9">
        <f>IF($A4236="","",VALUE($A4236&amp;"")*12+VALUE($B4236&amp;""))</f>
        <v/>
      </c>
      <c r="N4236" s="64">
        <f>IF($A4236="","",IFERROR(INDEX(부서매핑!$C$5:$C$504,MATCH($G4236&amp;"",부서매핑!$A$5:$A$504,0)),"미매핑"))</f>
        <v/>
      </c>
      <c r="O4236" s="9">
        <f>IF($A4236="","",N4236&amp;"|"&amp;$F4236)</f>
        <v/>
      </c>
      <c r="P4236" s="94">
        <f>IF($A4236="",0,$H4236*설정!$C$23)</f>
        <v/>
      </c>
      <c r="Q4236" s="64">
        <f>IF($A4236="","",IF(O4236&lt;&gt;원인분석!$C$9,"",IF(AND(M4236&gt;=원인분석!$C$10,M4236&lt;=원인분석!$C$11),"당기",IF(AND(M4236&gt;=원인분석!$C$12,M4236&lt;=원인분석!$C$13),"비교",""))))</f>
        <v/>
      </c>
      <c r="R4236" s="9">
        <f>IF(Q4236="","",$K4236&amp;"")</f>
        <v/>
      </c>
      <c r="S4236" s="9">
        <f>IF(Q4236="","",IF(MATCH(R4236,$R$5:$R$100000,0)=ROW()-4,ROW(),""))</f>
        <v/>
      </c>
      <c r="T4236" s="9">
        <f>IF(Q4236="당기",ABS(P4236)+ROW()/1000000000,"")</f>
        <v/>
      </c>
      <c r="U4236" s="9">
        <f>IF(Q4236="비교",ABS(P4236)+ROW()/1000000000,"")</f>
        <v/>
      </c>
      <c r="V4236" s="64">
        <f>IF($A4236="","",IF(COUNTIF(변동분석!$E$7:$E$506,O4236)&gt;0,"Y","N"))</f>
        <v/>
      </c>
      <c r="W4236" s="64">
        <f>IF($A4236="","",IFERROR(INDEX(계정매핑!$D$5:$D$504,MATCH($F4236&amp;"",계정매핑!$A$5:$A$504,0)),"미매핑"))</f>
        <v/>
      </c>
      <c r="X4236" s="9">
        <f>IF($A4236="","",$F4236&amp;"")</f>
        <v/>
      </c>
      <c r="Y4236" s="94">
        <f>IF($A4236="",0,IF(AE4236="직접",IF(AF4236="비귀속",$P4236,0),$P4236*(1-AG4236)*IFERROR(INDEX(계정대체기준!$F$20:$F$49,MATCH($N4236,계정대체기준!$A$20:$A$49,0)),1)))</f>
        <v/>
      </c>
      <c r="Z4236" s="94">
        <f>IF($A4236="",0,IF(AE4236="직접",IF(AF4236="신계약비",$P4236,0),$P4236*(1-AG4236)*IFERROR(INDEX(계정대체기준!$C$20:$C$49,MATCH($N4236,계정대체기준!$A$20:$A$49,0)),0)))</f>
        <v/>
      </c>
      <c r="AA4236" s="94">
        <f>IF($A4236="",0,IF(AE4236="직접",IF(OR(AF4236="유지비",AF4236="손해조사비"),$P4236,0),$P4236*(1-AG4236)*IFERROR(INDEX(계정대체기준!$D$20:$D$49,MATCH($N4236,계정대체기준!$A$20:$A$49,0)),0)))</f>
        <v/>
      </c>
      <c r="AB4236" s="94">
        <f>IF($A4236="",0,IF(AE4236="직접",IF(AF4236="수금비",$P4236,0),$P4236*(1-AG4236)*IFERROR(INDEX(계정대체기준!$E$20:$E$49,MATCH($N4236,계정대체기준!$A$20:$A$49,0)),0)))</f>
        <v/>
      </c>
      <c r="AC4236" s="9">
        <f>IF(AND($A4236&lt;&gt;"",M4236=설정!$C$20,Z4236&gt;0),Z4236+ROW()/1000000000,"")</f>
        <v/>
      </c>
      <c r="AD4236" s="94">
        <f>IF($A4236="",0,$P4236*AG4236)</f>
        <v/>
      </c>
      <c r="AE4236" s="64">
        <f>IF($A4236="","",IFERROR(INDEX(계정매핑!$E$5:$E$504,MATCH($F4236&amp;"",계정매핑!$A$5:$A$504,0))&amp;"","공통비"))</f>
        <v/>
      </c>
      <c r="AF4236" s="64">
        <f>IF($A4236="","",IF(AE4236="직접",IFERROR(INDEX(계정매핑!$F$5:$F$504,MATCH($F4236&amp;"",계정매핑!$A$5:$A$504,0))&amp;"","비귀속"),""))</f>
        <v/>
      </c>
      <c r="AG4236" s="96">
        <f>IF($A4236="",0,IF(AND(AE4236&lt;&gt;"직접",IFERROR(INDEX(계정매핑!$G$5:$G$504,MATCH($F4236&amp;"",계정매핑!$A$5:$A$504,0))&amp;"","")="유지비",COUNTIF(계정대체기준!$A$6:$A$15,$N4236)&gt;0),IFERROR(INDEX(계정대체기준!$E$6:$E$15,MATCH(VALUE($A4236&amp;""),계정대체기준!$D$6:$D$15,0)),0),0))</f>
        <v/>
      </c>
      <c r="AH4236" s="64">
        <f>IF($A4236="","",IF(AD4236=0,"",IF(OR(COUNTIF(계정대체기준!$A$77:$A$86,$N4236)&gt;0,ISNUMBER(MATCH($X4236,계정대체기준!$D$77:$D$86,0)),ISNUMBER(MATCH($F4236,계정대체기준!$D$77:$D$86,0))),"Y","N")))</f>
        <v/>
      </c>
    </row>
    <row r="4237">
      <c r="A4237" s="92" t="n">
        <v>2026</v>
      </c>
      <c r="B4237" s="92" t="n">
        <v>7</v>
      </c>
      <c r="C4237" s="92" t="inlineStr">
        <is>
          <t>5100001515</t>
        </is>
      </c>
      <c r="D4237" s="95" t="n">
        <v>46221</v>
      </c>
      <c r="E4237" s="92" t="inlineStr">
        <is>
          <t>KR</t>
        </is>
      </c>
      <c r="F4237" s="92" t="n">
        <v>62901000</v>
      </c>
      <c r="G4237" s="92" t="n">
        <v>1801</v>
      </c>
      <c r="H4237" s="93" t="n">
        <v>10869000</v>
      </c>
      <c r="I4237" s="92" t="inlineStr">
        <is>
          <t>7월 자문 수수료 - W컨설팅</t>
        </is>
      </c>
      <c r="J4237" s="92" t="inlineStr">
        <is>
          <t>V10006</t>
        </is>
      </c>
      <c r="K4237" s="92" t="inlineStr">
        <is>
          <t>W컨설팅</t>
        </is>
      </c>
      <c r="M4237" s="9">
        <f>IF($A4237="","",VALUE($A4237&amp;"")*12+VALUE($B4237&amp;""))</f>
        <v/>
      </c>
      <c r="N4237" s="64">
        <f>IF($A4237="","",IFERROR(INDEX(부서매핑!$C$5:$C$504,MATCH($G4237&amp;"",부서매핑!$A$5:$A$504,0)),"미매핑"))</f>
        <v/>
      </c>
      <c r="O4237" s="9">
        <f>IF($A4237="","",N4237&amp;"|"&amp;$F4237)</f>
        <v/>
      </c>
      <c r="P4237" s="94">
        <f>IF($A4237="",0,$H4237*설정!$C$23)</f>
        <v/>
      </c>
      <c r="Q4237" s="64">
        <f>IF($A4237="","",IF(O4237&lt;&gt;원인분석!$C$9,"",IF(AND(M4237&gt;=원인분석!$C$10,M4237&lt;=원인분석!$C$11),"당기",IF(AND(M4237&gt;=원인분석!$C$12,M4237&lt;=원인분석!$C$13),"비교",""))))</f>
        <v/>
      </c>
      <c r="R4237" s="9">
        <f>IF(Q4237="","",$K4237&amp;"")</f>
        <v/>
      </c>
      <c r="S4237" s="9">
        <f>IF(Q4237="","",IF(MATCH(R4237,$R$5:$R$100000,0)=ROW()-4,ROW(),""))</f>
        <v/>
      </c>
      <c r="T4237" s="9">
        <f>IF(Q4237="당기",ABS(P4237)+ROW()/1000000000,"")</f>
        <v/>
      </c>
      <c r="U4237" s="9">
        <f>IF(Q4237="비교",ABS(P4237)+ROW()/1000000000,"")</f>
        <v/>
      </c>
      <c r="V4237" s="64">
        <f>IF($A4237="","",IF(COUNTIF(변동분석!$E$7:$E$506,O4237)&gt;0,"Y","N"))</f>
        <v/>
      </c>
      <c r="W4237" s="64">
        <f>IF($A4237="","",IFERROR(INDEX(계정매핑!$D$5:$D$504,MATCH($F4237&amp;"",계정매핑!$A$5:$A$504,0)),"미매핑"))</f>
        <v/>
      </c>
      <c r="X4237" s="9">
        <f>IF($A4237="","",$F4237&amp;"")</f>
        <v/>
      </c>
      <c r="Y4237" s="94">
        <f>IF($A4237="",0,IF(AE4237="직접",IF(AF4237="비귀속",$P4237,0),$P4237*(1-AG4237)*IFERROR(INDEX(계정대체기준!$F$20:$F$49,MATCH($N4237,계정대체기준!$A$20:$A$49,0)),1)))</f>
        <v/>
      </c>
      <c r="Z4237" s="94">
        <f>IF($A4237="",0,IF(AE4237="직접",IF(AF4237="신계약비",$P4237,0),$P4237*(1-AG4237)*IFERROR(INDEX(계정대체기준!$C$20:$C$49,MATCH($N4237,계정대체기준!$A$20:$A$49,0)),0)))</f>
        <v/>
      </c>
      <c r="AA4237" s="94">
        <f>IF($A4237="",0,IF(AE4237="직접",IF(OR(AF4237="유지비",AF4237="손해조사비"),$P4237,0),$P4237*(1-AG4237)*IFERROR(INDEX(계정대체기준!$D$20:$D$49,MATCH($N4237,계정대체기준!$A$20:$A$49,0)),0)))</f>
        <v/>
      </c>
      <c r="AB4237" s="94">
        <f>IF($A4237="",0,IF(AE4237="직접",IF(AF4237="수금비",$P4237,0),$P4237*(1-AG4237)*IFERROR(INDEX(계정대체기준!$E$20:$E$49,MATCH($N4237,계정대체기준!$A$20:$A$49,0)),0)))</f>
        <v/>
      </c>
      <c r="AC4237" s="9">
        <f>IF(AND($A4237&lt;&gt;"",M4237=설정!$C$20,Z4237&gt;0),Z4237+ROW()/1000000000,"")</f>
        <v/>
      </c>
      <c r="AD4237" s="94">
        <f>IF($A4237="",0,$P4237*AG4237)</f>
        <v/>
      </c>
      <c r="AE4237" s="64">
        <f>IF($A4237="","",IFERROR(INDEX(계정매핑!$E$5:$E$504,MATCH($F4237&amp;"",계정매핑!$A$5:$A$504,0))&amp;"","공통비"))</f>
        <v/>
      </c>
      <c r="AF4237" s="64">
        <f>IF($A4237="","",IF(AE4237="직접",IFERROR(INDEX(계정매핑!$F$5:$F$504,MATCH($F4237&amp;"",계정매핑!$A$5:$A$504,0))&amp;"","비귀속"),""))</f>
        <v/>
      </c>
      <c r="AG4237" s="96">
        <f>IF($A4237="",0,IF(AND(AE4237&lt;&gt;"직접",IFERROR(INDEX(계정매핑!$G$5:$G$504,MATCH($F4237&amp;"",계정매핑!$A$5:$A$504,0))&amp;"","")="유지비",COUNTIF(계정대체기준!$A$6:$A$15,$N4237)&gt;0),IFERROR(INDEX(계정대체기준!$E$6:$E$15,MATCH(VALUE($A4237&amp;""),계정대체기준!$D$6:$D$15,0)),0),0))</f>
        <v/>
      </c>
      <c r="AH4237" s="64">
        <f>IF($A4237="","",IF(AD4237=0,"",IF(OR(COUNTIF(계정대체기준!$A$77:$A$86,$N4237)&gt;0,ISNUMBER(MATCH($X4237,계정대체기준!$D$77:$D$86,0)),ISNUMBER(MATCH($F4237,계정대체기준!$D$77:$D$86,0))),"Y","N")))</f>
        <v/>
      </c>
    </row>
    <row r="4238">
      <c r="A4238" s="92" t="n">
        <v>2026</v>
      </c>
      <c r="B4238" s="92" t="n">
        <v>7</v>
      </c>
      <c r="C4238" s="92" t="inlineStr">
        <is>
          <t>5100001516</t>
        </is>
      </c>
      <c r="D4238" s="95" t="n">
        <v>46221</v>
      </c>
      <c r="E4238" s="92" t="inlineStr">
        <is>
          <t>KR</t>
        </is>
      </c>
      <c r="F4238" s="92" t="n">
        <v>63502000</v>
      </c>
      <c r="G4238" s="92" t="n">
        <v>1901</v>
      </c>
      <c r="H4238" s="93" t="n">
        <v>142849000</v>
      </c>
      <c r="I4238" s="92" t="inlineStr">
        <is>
          <t>7월 유지수수료 - CC금융서비스</t>
        </is>
      </c>
      <c r="J4238" s="92" t="inlineStr">
        <is>
          <t>V10029</t>
        </is>
      </c>
      <c r="K4238" s="92" t="inlineStr">
        <is>
          <t>CC금융서비스</t>
        </is>
      </c>
      <c r="M4238" s="9">
        <f>IF($A4238="","",VALUE($A4238&amp;"")*12+VALUE($B4238&amp;""))</f>
        <v/>
      </c>
      <c r="N4238" s="64">
        <f>IF($A4238="","",IFERROR(INDEX(부서매핑!$C$5:$C$504,MATCH($G4238&amp;"",부서매핑!$A$5:$A$504,0)),"미매핑"))</f>
        <v/>
      </c>
      <c r="O4238" s="9">
        <f>IF($A4238="","",N4238&amp;"|"&amp;$F4238)</f>
        <v/>
      </c>
      <c r="P4238" s="94">
        <f>IF($A4238="",0,$H4238*설정!$C$23)</f>
        <v/>
      </c>
      <c r="Q4238" s="64">
        <f>IF($A4238="","",IF(O4238&lt;&gt;원인분석!$C$9,"",IF(AND(M4238&gt;=원인분석!$C$10,M4238&lt;=원인분석!$C$11),"당기",IF(AND(M4238&gt;=원인분석!$C$12,M4238&lt;=원인분석!$C$13),"비교",""))))</f>
        <v/>
      </c>
      <c r="R4238" s="9">
        <f>IF(Q4238="","",$K4238&amp;"")</f>
        <v/>
      </c>
      <c r="S4238" s="9">
        <f>IF(Q4238="","",IF(MATCH(R4238,$R$5:$R$100000,0)=ROW()-4,ROW(),""))</f>
        <v/>
      </c>
      <c r="T4238" s="9">
        <f>IF(Q4238="당기",ABS(P4238)+ROW()/1000000000,"")</f>
        <v/>
      </c>
      <c r="U4238" s="9">
        <f>IF(Q4238="비교",ABS(P4238)+ROW()/1000000000,"")</f>
        <v/>
      </c>
      <c r="V4238" s="64">
        <f>IF($A4238="","",IF(COUNTIF(변동분석!$E$7:$E$506,O4238)&gt;0,"Y","N"))</f>
        <v/>
      </c>
      <c r="W4238" s="64">
        <f>IF($A4238="","",IFERROR(INDEX(계정매핑!$D$5:$D$504,MATCH($F4238&amp;"",계정매핑!$A$5:$A$504,0)),"미매핑"))</f>
        <v/>
      </c>
      <c r="X4238" s="9">
        <f>IF($A4238="","",$F4238&amp;"")</f>
        <v/>
      </c>
      <c r="Y4238" s="94">
        <f>IF($A4238="",0,IF(AE4238="직접",IF(AF4238="비귀속",$P4238,0),$P4238*(1-AG4238)*IFERROR(INDEX(계정대체기준!$F$20:$F$49,MATCH($N4238,계정대체기준!$A$20:$A$49,0)),1)))</f>
        <v/>
      </c>
      <c r="Z4238" s="94">
        <f>IF($A4238="",0,IF(AE4238="직접",IF(AF4238="신계약비",$P4238,0),$P4238*(1-AG4238)*IFERROR(INDEX(계정대체기준!$C$20:$C$49,MATCH($N4238,계정대체기준!$A$20:$A$49,0)),0)))</f>
        <v/>
      </c>
      <c r="AA4238" s="94">
        <f>IF($A4238="",0,IF(AE4238="직접",IF(OR(AF4238="유지비",AF4238="손해조사비"),$P4238,0),$P4238*(1-AG4238)*IFERROR(INDEX(계정대체기준!$D$20:$D$49,MATCH($N4238,계정대체기준!$A$20:$A$49,0)),0)))</f>
        <v/>
      </c>
      <c r="AB4238" s="94">
        <f>IF($A4238="",0,IF(AE4238="직접",IF(AF4238="수금비",$P4238,0),$P4238*(1-AG4238)*IFERROR(INDEX(계정대체기준!$E$20:$E$49,MATCH($N4238,계정대체기준!$A$20:$A$49,0)),0)))</f>
        <v/>
      </c>
      <c r="AC4238" s="9">
        <f>IF(AND($A4238&lt;&gt;"",M4238=설정!$C$20,Z4238&gt;0),Z4238+ROW()/1000000000,"")</f>
        <v/>
      </c>
      <c r="AD4238" s="94">
        <f>IF($A4238="",0,$P4238*AG4238)</f>
        <v/>
      </c>
      <c r="AE4238" s="64">
        <f>IF($A4238="","",IFERROR(INDEX(계정매핑!$E$5:$E$504,MATCH($F4238&amp;"",계정매핑!$A$5:$A$504,0))&amp;"","공통비"))</f>
        <v/>
      </c>
      <c r="AF4238" s="64">
        <f>IF($A4238="","",IF(AE4238="직접",IFERROR(INDEX(계정매핑!$F$5:$F$504,MATCH($F4238&amp;"",계정매핑!$A$5:$A$504,0))&amp;"","비귀속"),""))</f>
        <v/>
      </c>
      <c r="AG4238" s="96">
        <f>IF($A4238="",0,IF(AND(AE4238&lt;&gt;"직접",IFERROR(INDEX(계정매핑!$G$5:$G$504,MATCH($F4238&amp;"",계정매핑!$A$5:$A$504,0))&amp;"","")="유지비",COUNTIF(계정대체기준!$A$6:$A$15,$N4238)&gt;0),IFERROR(INDEX(계정대체기준!$E$6:$E$15,MATCH(VALUE($A4238&amp;""),계정대체기준!$D$6:$D$15,0)),0),0))</f>
        <v/>
      </c>
      <c r="AH4238" s="64">
        <f>IF($A4238="","",IF(AD4238=0,"",IF(OR(COUNTIF(계정대체기준!$A$77:$A$86,$N4238)&gt;0,ISNUMBER(MATCH($X4238,계정대체기준!$D$77:$D$86,0)),ISNUMBER(MATCH($F4238,계정대체기준!$D$77:$D$86,0))),"Y","N")))</f>
        <v/>
      </c>
    </row>
    <row r="4239">
      <c r="A4239" s="92" t="n">
        <v>2026</v>
      </c>
      <c r="B4239" s="92" t="n">
        <v>7</v>
      </c>
      <c r="C4239" s="92" t="inlineStr">
        <is>
          <t>5100001517</t>
        </is>
      </c>
      <c r="D4239" s="95" t="n">
        <v>46222</v>
      </c>
      <c r="E4239" s="92" t="inlineStr">
        <is>
          <t>KR</t>
        </is>
      </c>
      <c r="F4239" s="92" t="n">
        <v>62101000</v>
      </c>
      <c r="G4239" s="92" t="n">
        <v>1201</v>
      </c>
      <c r="H4239" s="93" t="n">
        <v>196000</v>
      </c>
      <c r="I4239" s="92" t="inlineStr">
        <is>
          <t>7월 국내출장 - M항공</t>
        </is>
      </c>
      <c r="J4239" s="92" t="inlineStr">
        <is>
          <t>V10001</t>
        </is>
      </c>
      <c r="K4239" s="92" t="inlineStr">
        <is>
          <t>M항공</t>
        </is>
      </c>
      <c r="M4239" s="9">
        <f>IF($A4239="","",VALUE($A4239&amp;"")*12+VALUE($B4239&amp;""))</f>
        <v/>
      </c>
      <c r="N4239" s="64">
        <f>IF($A4239="","",IFERROR(INDEX(부서매핑!$C$5:$C$504,MATCH($G4239&amp;"",부서매핑!$A$5:$A$504,0)),"미매핑"))</f>
        <v/>
      </c>
      <c r="O4239" s="9">
        <f>IF($A4239="","",N4239&amp;"|"&amp;$F4239)</f>
        <v/>
      </c>
      <c r="P4239" s="94">
        <f>IF($A4239="",0,$H4239*설정!$C$23)</f>
        <v/>
      </c>
      <c r="Q4239" s="64">
        <f>IF($A4239="","",IF(O4239&lt;&gt;원인분석!$C$9,"",IF(AND(M4239&gt;=원인분석!$C$10,M4239&lt;=원인분석!$C$11),"당기",IF(AND(M4239&gt;=원인분석!$C$12,M4239&lt;=원인분석!$C$13),"비교",""))))</f>
        <v/>
      </c>
      <c r="R4239" s="9">
        <f>IF(Q4239="","",$K4239&amp;"")</f>
        <v/>
      </c>
      <c r="S4239" s="9">
        <f>IF(Q4239="","",IF(MATCH(R4239,$R$5:$R$100000,0)=ROW()-4,ROW(),""))</f>
        <v/>
      </c>
      <c r="T4239" s="9">
        <f>IF(Q4239="당기",ABS(P4239)+ROW()/1000000000,"")</f>
        <v/>
      </c>
      <c r="U4239" s="9">
        <f>IF(Q4239="비교",ABS(P4239)+ROW()/1000000000,"")</f>
        <v/>
      </c>
      <c r="V4239" s="64">
        <f>IF($A4239="","",IF(COUNTIF(변동분석!$E$7:$E$506,O4239)&gt;0,"Y","N"))</f>
        <v/>
      </c>
      <c r="W4239" s="64">
        <f>IF($A4239="","",IFERROR(INDEX(계정매핑!$D$5:$D$504,MATCH($F4239&amp;"",계정매핑!$A$5:$A$504,0)),"미매핑"))</f>
        <v/>
      </c>
      <c r="X4239" s="9">
        <f>IF($A4239="","",$F4239&amp;"")</f>
        <v/>
      </c>
      <c r="Y4239" s="94">
        <f>IF($A4239="",0,IF(AE4239="직접",IF(AF4239="비귀속",$P4239,0),$P4239*(1-AG4239)*IFERROR(INDEX(계정대체기준!$F$20:$F$49,MATCH($N4239,계정대체기준!$A$20:$A$49,0)),1)))</f>
        <v/>
      </c>
      <c r="Z4239" s="94">
        <f>IF($A4239="",0,IF(AE4239="직접",IF(AF4239="신계약비",$P4239,0),$P4239*(1-AG4239)*IFERROR(INDEX(계정대체기준!$C$20:$C$49,MATCH($N4239,계정대체기준!$A$20:$A$49,0)),0)))</f>
        <v/>
      </c>
      <c r="AA4239" s="94">
        <f>IF($A4239="",0,IF(AE4239="직접",IF(OR(AF4239="유지비",AF4239="손해조사비"),$P4239,0),$P4239*(1-AG4239)*IFERROR(INDEX(계정대체기준!$D$20:$D$49,MATCH($N4239,계정대체기준!$A$20:$A$49,0)),0)))</f>
        <v/>
      </c>
      <c r="AB4239" s="94">
        <f>IF($A4239="",0,IF(AE4239="직접",IF(AF4239="수금비",$P4239,0),$P4239*(1-AG4239)*IFERROR(INDEX(계정대체기준!$E$20:$E$49,MATCH($N4239,계정대체기준!$A$20:$A$49,0)),0)))</f>
        <v/>
      </c>
      <c r="AC4239" s="9">
        <f>IF(AND($A4239&lt;&gt;"",M4239=설정!$C$20,Z4239&gt;0),Z4239+ROW()/1000000000,"")</f>
        <v/>
      </c>
      <c r="AD4239" s="94">
        <f>IF($A4239="",0,$P4239*AG4239)</f>
        <v/>
      </c>
      <c r="AE4239" s="64">
        <f>IF($A4239="","",IFERROR(INDEX(계정매핑!$E$5:$E$504,MATCH($F4239&amp;"",계정매핑!$A$5:$A$504,0))&amp;"","공통비"))</f>
        <v/>
      </c>
      <c r="AF4239" s="64">
        <f>IF($A4239="","",IF(AE4239="직접",IFERROR(INDEX(계정매핑!$F$5:$F$504,MATCH($F4239&amp;"",계정매핑!$A$5:$A$504,0))&amp;"","비귀속"),""))</f>
        <v/>
      </c>
      <c r="AG4239" s="96">
        <f>IF($A4239="",0,IF(AND(AE4239&lt;&gt;"직접",IFERROR(INDEX(계정매핑!$G$5:$G$504,MATCH($F4239&amp;"",계정매핑!$A$5:$A$504,0))&amp;"","")="유지비",COUNTIF(계정대체기준!$A$6:$A$15,$N4239)&gt;0),IFERROR(INDEX(계정대체기준!$E$6:$E$15,MATCH(VALUE($A4239&amp;""),계정대체기준!$D$6:$D$15,0)),0),0))</f>
        <v/>
      </c>
      <c r="AH4239" s="64">
        <f>IF($A4239="","",IF(AD4239=0,"",IF(OR(COUNTIF(계정대체기준!$A$77:$A$86,$N4239)&gt;0,ISNUMBER(MATCH($X4239,계정대체기준!$D$77:$D$86,0)),ISNUMBER(MATCH($F4239,계정대체기준!$D$77:$D$86,0))),"Y","N")))</f>
        <v/>
      </c>
    </row>
    <row r="4240">
      <c r="A4240" s="92" t="n">
        <v>2026</v>
      </c>
      <c r="B4240" s="92" t="n">
        <v>7</v>
      </c>
      <c r="C4240" s="92" t="inlineStr">
        <is>
          <t>5100001518</t>
        </is>
      </c>
      <c r="D4240" s="95" t="n">
        <v>46222</v>
      </c>
      <c r="E4240" s="92" t="inlineStr">
        <is>
          <t>KR</t>
        </is>
      </c>
      <c r="F4240" s="92" t="n">
        <v>62102000</v>
      </c>
      <c r="G4240" s="92" t="n">
        <v>1401</v>
      </c>
      <c r="H4240" s="93" t="n">
        <v>109000</v>
      </c>
      <c r="I4240" s="92" t="inlineStr">
        <is>
          <t>7월 해외출장 - M항공</t>
        </is>
      </c>
      <c r="J4240" s="92" t="inlineStr">
        <is>
          <t>V10001</t>
        </is>
      </c>
      <c r="K4240" s="92" t="inlineStr">
        <is>
          <t>M항공</t>
        </is>
      </c>
      <c r="M4240" s="9">
        <f>IF($A4240="","",VALUE($A4240&amp;"")*12+VALUE($B4240&amp;""))</f>
        <v/>
      </c>
      <c r="N4240" s="64">
        <f>IF($A4240="","",IFERROR(INDEX(부서매핑!$C$5:$C$504,MATCH($G4240&amp;"",부서매핑!$A$5:$A$504,0)),"미매핑"))</f>
        <v/>
      </c>
      <c r="O4240" s="9">
        <f>IF($A4240="","",N4240&amp;"|"&amp;$F4240)</f>
        <v/>
      </c>
      <c r="P4240" s="94">
        <f>IF($A4240="",0,$H4240*설정!$C$23)</f>
        <v/>
      </c>
      <c r="Q4240" s="64">
        <f>IF($A4240="","",IF(O4240&lt;&gt;원인분석!$C$9,"",IF(AND(M4240&gt;=원인분석!$C$10,M4240&lt;=원인분석!$C$11),"당기",IF(AND(M4240&gt;=원인분석!$C$12,M4240&lt;=원인분석!$C$13),"비교",""))))</f>
        <v/>
      </c>
      <c r="R4240" s="9">
        <f>IF(Q4240="","",$K4240&amp;"")</f>
        <v/>
      </c>
      <c r="S4240" s="9">
        <f>IF(Q4240="","",IF(MATCH(R4240,$R$5:$R$100000,0)=ROW()-4,ROW(),""))</f>
        <v/>
      </c>
      <c r="T4240" s="9">
        <f>IF(Q4240="당기",ABS(P4240)+ROW()/1000000000,"")</f>
        <v/>
      </c>
      <c r="U4240" s="9">
        <f>IF(Q4240="비교",ABS(P4240)+ROW()/1000000000,"")</f>
        <v/>
      </c>
      <c r="V4240" s="64">
        <f>IF($A4240="","",IF(COUNTIF(변동분석!$E$7:$E$506,O4240)&gt;0,"Y","N"))</f>
        <v/>
      </c>
      <c r="W4240" s="64">
        <f>IF($A4240="","",IFERROR(INDEX(계정매핑!$D$5:$D$504,MATCH($F4240&amp;"",계정매핑!$A$5:$A$504,0)),"미매핑"))</f>
        <v/>
      </c>
      <c r="X4240" s="9">
        <f>IF($A4240="","",$F4240&amp;"")</f>
        <v/>
      </c>
      <c r="Y4240" s="94">
        <f>IF($A4240="",0,IF(AE4240="직접",IF(AF4240="비귀속",$P4240,0),$P4240*(1-AG4240)*IFERROR(INDEX(계정대체기준!$F$20:$F$49,MATCH($N4240,계정대체기준!$A$20:$A$49,0)),1)))</f>
        <v/>
      </c>
      <c r="Z4240" s="94">
        <f>IF($A4240="",0,IF(AE4240="직접",IF(AF4240="신계약비",$P4240,0),$P4240*(1-AG4240)*IFERROR(INDEX(계정대체기준!$C$20:$C$49,MATCH($N4240,계정대체기준!$A$20:$A$49,0)),0)))</f>
        <v/>
      </c>
      <c r="AA4240" s="94">
        <f>IF($A4240="",0,IF(AE4240="직접",IF(OR(AF4240="유지비",AF4240="손해조사비"),$P4240,0),$P4240*(1-AG4240)*IFERROR(INDEX(계정대체기준!$D$20:$D$49,MATCH($N4240,계정대체기준!$A$20:$A$49,0)),0)))</f>
        <v/>
      </c>
      <c r="AB4240" s="94">
        <f>IF($A4240="",0,IF(AE4240="직접",IF(AF4240="수금비",$P4240,0),$P4240*(1-AG4240)*IFERROR(INDEX(계정대체기준!$E$20:$E$49,MATCH($N4240,계정대체기준!$A$20:$A$49,0)),0)))</f>
        <v/>
      </c>
      <c r="AC4240" s="9">
        <f>IF(AND($A4240&lt;&gt;"",M4240=설정!$C$20,Z4240&gt;0),Z4240+ROW()/1000000000,"")</f>
        <v/>
      </c>
      <c r="AD4240" s="94">
        <f>IF($A4240="",0,$P4240*AG4240)</f>
        <v/>
      </c>
      <c r="AE4240" s="64">
        <f>IF($A4240="","",IFERROR(INDEX(계정매핑!$E$5:$E$504,MATCH($F4240&amp;"",계정매핑!$A$5:$A$504,0))&amp;"","공통비"))</f>
        <v/>
      </c>
      <c r="AF4240" s="64">
        <f>IF($A4240="","",IF(AE4240="직접",IFERROR(INDEX(계정매핑!$F$5:$F$504,MATCH($F4240&amp;"",계정매핑!$A$5:$A$504,0))&amp;"","비귀속"),""))</f>
        <v/>
      </c>
      <c r="AG4240" s="96">
        <f>IF($A4240="",0,IF(AND(AE4240&lt;&gt;"직접",IFERROR(INDEX(계정매핑!$G$5:$G$504,MATCH($F4240&amp;"",계정매핑!$A$5:$A$504,0))&amp;"","")="유지비",COUNTIF(계정대체기준!$A$6:$A$15,$N4240)&gt;0),IFERROR(INDEX(계정대체기준!$E$6:$E$15,MATCH(VALUE($A4240&amp;""),계정대체기준!$D$6:$D$15,0)),0),0))</f>
        <v/>
      </c>
      <c r="AH4240" s="64">
        <f>IF($A4240="","",IF(AD4240=0,"",IF(OR(COUNTIF(계정대체기준!$A$77:$A$86,$N4240)&gt;0,ISNUMBER(MATCH($X4240,계정대체기준!$D$77:$D$86,0)),ISNUMBER(MATCH($F4240,계정대체기준!$D$77:$D$86,0))),"Y","N")))</f>
        <v/>
      </c>
    </row>
    <row r="4241">
      <c r="A4241" s="92" t="n">
        <v>2026</v>
      </c>
      <c r="B4241" s="92" t="n">
        <v>7</v>
      </c>
      <c r="C4241" s="92" t="inlineStr">
        <is>
          <t>5100001519</t>
        </is>
      </c>
      <c r="D4241" s="95" t="n">
        <v>46222</v>
      </c>
      <c r="E4241" s="92" t="inlineStr">
        <is>
          <t>KR</t>
        </is>
      </c>
      <c r="F4241" s="92" t="n">
        <v>62102000</v>
      </c>
      <c r="G4241" s="92" t="n">
        <v>1501</v>
      </c>
      <c r="H4241" s="93" t="n">
        <v>104000</v>
      </c>
      <c r="I4241" s="92" t="inlineStr">
        <is>
          <t>7월 해외출장 - M항공</t>
        </is>
      </c>
      <c r="J4241" s="92" t="inlineStr">
        <is>
          <t>V10001</t>
        </is>
      </c>
      <c r="K4241" s="92" t="inlineStr">
        <is>
          <t>M항공</t>
        </is>
      </c>
      <c r="M4241" s="9">
        <f>IF($A4241="","",VALUE($A4241&amp;"")*12+VALUE($B4241&amp;""))</f>
        <v/>
      </c>
      <c r="N4241" s="64">
        <f>IF($A4241="","",IFERROR(INDEX(부서매핑!$C$5:$C$504,MATCH($G4241&amp;"",부서매핑!$A$5:$A$504,0)),"미매핑"))</f>
        <v/>
      </c>
      <c r="O4241" s="9">
        <f>IF($A4241="","",N4241&amp;"|"&amp;$F4241)</f>
        <v/>
      </c>
      <c r="P4241" s="94">
        <f>IF($A4241="",0,$H4241*설정!$C$23)</f>
        <v/>
      </c>
      <c r="Q4241" s="64">
        <f>IF($A4241="","",IF(O4241&lt;&gt;원인분석!$C$9,"",IF(AND(M4241&gt;=원인분석!$C$10,M4241&lt;=원인분석!$C$11),"당기",IF(AND(M4241&gt;=원인분석!$C$12,M4241&lt;=원인분석!$C$13),"비교",""))))</f>
        <v/>
      </c>
      <c r="R4241" s="9">
        <f>IF(Q4241="","",$K4241&amp;"")</f>
        <v/>
      </c>
      <c r="S4241" s="9">
        <f>IF(Q4241="","",IF(MATCH(R4241,$R$5:$R$100000,0)=ROW()-4,ROW(),""))</f>
        <v/>
      </c>
      <c r="T4241" s="9">
        <f>IF(Q4241="당기",ABS(P4241)+ROW()/1000000000,"")</f>
        <v/>
      </c>
      <c r="U4241" s="9">
        <f>IF(Q4241="비교",ABS(P4241)+ROW()/1000000000,"")</f>
        <v/>
      </c>
      <c r="V4241" s="64">
        <f>IF($A4241="","",IF(COUNTIF(변동분석!$E$7:$E$506,O4241)&gt;0,"Y","N"))</f>
        <v/>
      </c>
      <c r="W4241" s="64">
        <f>IF($A4241="","",IFERROR(INDEX(계정매핑!$D$5:$D$504,MATCH($F4241&amp;"",계정매핑!$A$5:$A$504,0)),"미매핑"))</f>
        <v/>
      </c>
      <c r="X4241" s="9">
        <f>IF($A4241="","",$F4241&amp;"")</f>
        <v/>
      </c>
      <c r="Y4241" s="94">
        <f>IF($A4241="",0,IF(AE4241="직접",IF(AF4241="비귀속",$P4241,0),$P4241*(1-AG4241)*IFERROR(INDEX(계정대체기준!$F$20:$F$49,MATCH($N4241,계정대체기준!$A$20:$A$49,0)),1)))</f>
        <v/>
      </c>
      <c r="Z4241" s="94">
        <f>IF($A4241="",0,IF(AE4241="직접",IF(AF4241="신계약비",$P4241,0),$P4241*(1-AG4241)*IFERROR(INDEX(계정대체기준!$C$20:$C$49,MATCH($N4241,계정대체기준!$A$20:$A$49,0)),0)))</f>
        <v/>
      </c>
      <c r="AA4241" s="94">
        <f>IF($A4241="",0,IF(AE4241="직접",IF(OR(AF4241="유지비",AF4241="손해조사비"),$P4241,0),$P4241*(1-AG4241)*IFERROR(INDEX(계정대체기준!$D$20:$D$49,MATCH($N4241,계정대체기준!$A$20:$A$49,0)),0)))</f>
        <v/>
      </c>
      <c r="AB4241" s="94">
        <f>IF($A4241="",0,IF(AE4241="직접",IF(AF4241="수금비",$P4241,0),$P4241*(1-AG4241)*IFERROR(INDEX(계정대체기준!$E$20:$E$49,MATCH($N4241,계정대체기준!$A$20:$A$49,0)),0)))</f>
        <v/>
      </c>
      <c r="AC4241" s="9">
        <f>IF(AND($A4241&lt;&gt;"",M4241=설정!$C$20,Z4241&gt;0),Z4241+ROW()/1000000000,"")</f>
        <v/>
      </c>
      <c r="AD4241" s="94">
        <f>IF($A4241="",0,$P4241*AG4241)</f>
        <v/>
      </c>
      <c r="AE4241" s="64">
        <f>IF($A4241="","",IFERROR(INDEX(계정매핑!$E$5:$E$504,MATCH($F4241&amp;"",계정매핑!$A$5:$A$504,0))&amp;"","공통비"))</f>
        <v/>
      </c>
      <c r="AF4241" s="64">
        <f>IF($A4241="","",IF(AE4241="직접",IFERROR(INDEX(계정매핑!$F$5:$F$504,MATCH($F4241&amp;"",계정매핑!$A$5:$A$504,0))&amp;"","비귀속"),""))</f>
        <v/>
      </c>
      <c r="AG4241" s="96">
        <f>IF($A4241="",0,IF(AND(AE4241&lt;&gt;"직접",IFERROR(INDEX(계정매핑!$G$5:$G$504,MATCH($F4241&amp;"",계정매핑!$A$5:$A$504,0))&amp;"","")="유지비",COUNTIF(계정대체기준!$A$6:$A$15,$N4241)&gt;0),IFERROR(INDEX(계정대체기준!$E$6:$E$15,MATCH(VALUE($A4241&amp;""),계정대체기준!$D$6:$D$15,0)),0),0))</f>
        <v/>
      </c>
      <c r="AH4241" s="64">
        <f>IF($A4241="","",IF(AD4241=0,"",IF(OR(COUNTIF(계정대체기준!$A$77:$A$86,$N4241)&gt;0,ISNUMBER(MATCH($X4241,계정대체기준!$D$77:$D$86,0)),ISNUMBER(MATCH($F4241,계정대체기준!$D$77:$D$86,0))),"Y","N")))</f>
        <v/>
      </c>
    </row>
    <row r="4242">
      <c r="A4242" s="92" t="n">
        <v>2026</v>
      </c>
      <c r="B4242" s="92" t="n">
        <v>7</v>
      </c>
      <c r="C4242" s="92" t="inlineStr">
        <is>
          <t>5100001520</t>
        </is>
      </c>
      <c r="D4242" s="95" t="n">
        <v>46222</v>
      </c>
      <c r="E4242" s="92" t="inlineStr">
        <is>
          <t>KR</t>
        </is>
      </c>
      <c r="F4242" s="92" t="n">
        <v>62201000</v>
      </c>
      <c r="G4242" s="92" t="n">
        <v>1701</v>
      </c>
      <c r="H4242" s="93" t="n">
        <v>3521000</v>
      </c>
      <c r="I4242" s="92" t="inlineStr">
        <is>
          <t>7월 통신요금 - O텔레콤</t>
        </is>
      </c>
      <c r="J4242" s="92" t="inlineStr">
        <is>
          <t>V10002</t>
        </is>
      </c>
      <c r="K4242" s="92" t="inlineStr">
        <is>
          <t>O텔레콤</t>
        </is>
      </c>
      <c r="M4242" s="9">
        <f>IF($A4242="","",VALUE($A4242&amp;"")*12+VALUE($B4242&amp;""))</f>
        <v/>
      </c>
      <c r="N4242" s="64">
        <f>IF($A4242="","",IFERROR(INDEX(부서매핑!$C$5:$C$504,MATCH($G4242&amp;"",부서매핑!$A$5:$A$504,0)),"미매핑"))</f>
        <v/>
      </c>
      <c r="O4242" s="9">
        <f>IF($A4242="","",N4242&amp;"|"&amp;$F4242)</f>
        <v/>
      </c>
      <c r="P4242" s="94">
        <f>IF($A4242="",0,$H4242*설정!$C$23)</f>
        <v/>
      </c>
      <c r="Q4242" s="64">
        <f>IF($A4242="","",IF(O4242&lt;&gt;원인분석!$C$9,"",IF(AND(M4242&gt;=원인분석!$C$10,M4242&lt;=원인분석!$C$11),"당기",IF(AND(M4242&gt;=원인분석!$C$12,M4242&lt;=원인분석!$C$13),"비교",""))))</f>
        <v/>
      </c>
      <c r="R4242" s="9">
        <f>IF(Q4242="","",$K4242&amp;"")</f>
        <v/>
      </c>
      <c r="S4242" s="9">
        <f>IF(Q4242="","",IF(MATCH(R4242,$R$5:$R$100000,0)=ROW()-4,ROW(),""))</f>
        <v/>
      </c>
      <c r="T4242" s="9">
        <f>IF(Q4242="당기",ABS(P4242)+ROW()/1000000000,"")</f>
        <v/>
      </c>
      <c r="U4242" s="9">
        <f>IF(Q4242="비교",ABS(P4242)+ROW()/1000000000,"")</f>
        <v/>
      </c>
      <c r="V4242" s="64">
        <f>IF($A4242="","",IF(COUNTIF(변동분석!$E$7:$E$506,O4242)&gt;0,"Y","N"))</f>
        <v/>
      </c>
      <c r="W4242" s="64">
        <f>IF($A4242="","",IFERROR(INDEX(계정매핑!$D$5:$D$504,MATCH($F4242&amp;"",계정매핑!$A$5:$A$504,0)),"미매핑"))</f>
        <v/>
      </c>
      <c r="X4242" s="9">
        <f>IF($A4242="","",$F4242&amp;"")</f>
        <v/>
      </c>
      <c r="Y4242" s="94">
        <f>IF($A4242="",0,IF(AE4242="직접",IF(AF4242="비귀속",$P4242,0),$P4242*(1-AG4242)*IFERROR(INDEX(계정대체기준!$F$20:$F$49,MATCH($N4242,계정대체기준!$A$20:$A$49,0)),1)))</f>
        <v/>
      </c>
      <c r="Z4242" s="94">
        <f>IF($A4242="",0,IF(AE4242="직접",IF(AF4242="신계약비",$P4242,0),$P4242*(1-AG4242)*IFERROR(INDEX(계정대체기준!$C$20:$C$49,MATCH($N4242,계정대체기준!$A$20:$A$49,0)),0)))</f>
        <v/>
      </c>
      <c r="AA4242" s="94">
        <f>IF($A4242="",0,IF(AE4242="직접",IF(OR(AF4242="유지비",AF4242="손해조사비"),$P4242,0),$P4242*(1-AG4242)*IFERROR(INDEX(계정대체기준!$D$20:$D$49,MATCH($N4242,계정대체기준!$A$20:$A$49,0)),0)))</f>
        <v/>
      </c>
      <c r="AB4242" s="94">
        <f>IF($A4242="",0,IF(AE4242="직접",IF(AF4242="수금비",$P4242,0),$P4242*(1-AG4242)*IFERROR(INDEX(계정대체기준!$E$20:$E$49,MATCH($N4242,계정대체기준!$A$20:$A$49,0)),0)))</f>
        <v/>
      </c>
      <c r="AC4242" s="9">
        <f>IF(AND($A4242&lt;&gt;"",M4242=설정!$C$20,Z4242&gt;0),Z4242+ROW()/1000000000,"")</f>
        <v/>
      </c>
      <c r="AD4242" s="94">
        <f>IF($A4242="",0,$P4242*AG4242)</f>
        <v/>
      </c>
      <c r="AE4242" s="64">
        <f>IF($A4242="","",IFERROR(INDEX(계정매핑!$E$5:$E$504,MATCH($F4242&amp;"",계정매핑!$A$5:$A$504,0))&amp;"","공통비"))</f>
        <v/>
      </c>
      <c r="AF4242" s="64">
        <f>IF($A4242="","",IF(AE4242="직접",IFERROR(INDEX(계정매핑!$F$5:$F$504,MATCH($F4242&amp;"",계정매핑!$A$5:$A$504,0))&amp;"","비귀속"),""))</f>
        <v/>
      </c>
      <c r="AG4242" s="96">
        <f>IF($A4242="",0,IF(AND(AE4242&lt;&gt;"직접",IFERROR(INDEX(계정매핑!$G$5:$G$504,MATCH($F4242&amp;"",계정매핑!$A$5:$A$504,0))&amp;"","")="유지비",COUNTIF(계정대체기준!$A$6:$A$15,$N4242)&gt;0),IFERROR(INDEX(계정대체기준!$E$6:$E$15,MATCH(VALUE($A4242&amp;""),계정대체기준!$D$6:$D$15,0)),0),0))</f>
        <v/>
      </c>
      <c r="AH4242" s="64">
        <f>IF($A4242="","",IF(AD4242=0,"",IF(OR(COUNTIF(계정대체기준!$A$77:$A$86,$N4242)&gt;0,ISNUMBER(MATCH($X4242,계정대체기준!$D$77:$D$86,0)),ISNUMBER(MATCH($F4242,계정대체기준!$D$77:$D$86,0))),"Y","N")))</f>
        <v/>
      </c>
    </row>
    <row r="4243">
      <c r="A4243" s="92" t="n">
        <v>2026</v>
      </c>
      <c r="B4243" s="92" t="n">
        <v>7</v>
      </c>
      <c r="C4243" s="92" t="inlineStr">
        <is>
          <t>5100001521</t>
        </is>
      </c>
      <c r="D4243" s="95" t="n">
        <v>46222</v>
      </c>
      <c r="E4243" s="92" t="inlineStr">
        <is>
          <t>KR</t>
        </is>
      </c>
      <c r="F4243" s="92" t="n">
        <v>62401000</v>
      </c>
      <c r="G4243" s="92" t="n">
        <v>1401</v>
      </c>
      <c r="H4243" s="93" t="n">
        <v>248000</v>
      </c>
      <c r="I4243" s="92" t="inlineStr">
        <is>
          <t>7월 인쇄물 제작 - S출판</t>
        </is>
      </c>
      <c r="J4243" s="92" t="inlineStr">
        <is>
          <t>V10015</t>
        </is>
      </c>
      <c r="K4243" s="92" t="inlineStr">
        <is>
          <t>S출판</t>
        </is>
      </c>
      <c r="M4243" s="9">
        <f>IF($A4243="","",VALUE($A4243&amp;"")*12+VALUE($B4243&amp;""))</f>
        <v/>
      </c>
      <c r="N4243" s="64">
        <f>IF($A4243="","",IFERROR(INDEX(부서매핑!$C$5:$C$504,MATCH($G4243&amp;"",부서매핑!$A$5:$A$504,0)),"미매핑"))</f>
        <v/>
      </c>
      <c r="O4243" s="9">
        <f>IF($A4243="","",N4243&amp;"|"&amp;$F4243)</f>
        <v/>
      </c>
      <c r="P4243" s="94">
        <f>IF($A4243="",0,$H4243*설정!$C$23)</f>
        <v/>
      </c>
      <c r="Q4243" s="64">
        <f>IF($A4243="","",IF(O4243&lt;&gt;원인분석!$C$9,"",IF(AND(M4243&gt;=원인분석!$C$10,M4243&lt;=원인분석!$C$11),"당기",IF(AND(M4243&gt;=원인분석!$C$12,M4243&lt;=원인분석!$C$13),"비교",""))))</f>
        <v/>
      </c>
      <c r="R4243" s="9">
        <f>IF(Q4243="","",$K4243&amp;"")</f>
        <v/>
      </c>
      <c r="S4243" s="9">
        <f>IF(Q4243="","",IF(MATCH(R4243,$R$5:$R$100000,0)=ROW()-4,ROW(),""))</f>
        <v/>
      </c>
      <c r="T4243" s="9">
        <f>IF(Q4243="당기",ABS(P4243)+ROW()/1000000000,"")</f>
        <v/>
      </c>
      <c r="U4243" s="9">
        <f>IF(Q4243="비교",ABS(P4243)+ROW()/1000000000,"")</f>
        <v/>
      </c>
      <c r="V4243" s="64">
        <f>IF($A4243="","",IF(COUNTIF(변동분석!$E$7:$E$506,O4243)&gt;0,"Y","N"))</f>
        <v/>
      </c>
      <c r="W4243" s="64">
        <f>IF($A4243="","",IFERROR(INDEX(계정매핑!$D$5:$D$504,MATCH($F4243&amp;"",계정매핑!$A$5:$A$504,0)),"미매핑"))</f>
        <v/>
      </c>
      <c r="X4243" s="9">
        <f>IF($A4243="","",$F4243&amp;"")</f>
        <v/>
      </c>
      <c r="Y4243" s="94">
        <f>IF($A4243="",0,IF(AE4243="직접",IF(AF4243="비귀속",$P4243,0),$P4243*(1-AG4243)*IFERROR(INDEX(계정대체기준!$F$20:$F$49,MATCH($N4243,계정대체기준!$A$20:$A$49,0)),1)))</f>
        <v/>
      </c>
      <c r="Z4243" s="94">
        <f>IF($A4243="",0,IF(AE4243="직접",IF(AF4243="신계약비",$P4243,0),$P4243*(1-AG4243)*IFERROR(INDEX(계정대체기준!$C$20:$C$49,MATCH($N4243,계정대체기준!$A$20:$A$49,0)),0)))</f>
        <v/>
      </c>
      <c r="AA4243" s="94">
        <f>IF($A4243="",0,IF(AE4243="직접",IF(OR(AF4243="유지비",AF4243="손해조사비"),$P4243,0),$P4243*(1-AG4243)*IFERROR(INDEX(계정대체기준!$D$20:$D$49,MATCH($N4243,계정대체기준!$A$20:$A$49,0)),0)))</f>
        <v/>
      </c>
      <c r="AB4243" s="94">
        <f>IF($A4243="",0,IF(AE4243="직접",IF(AF4243="수금비",$P4243,0),$P4243*(1-AG4243)*IFERROR(INDEX(계정대체기준!$E$20:$E$49,MATCH($N4243,계정대체기준!$A$20:$A$49,0)),0)))</f>
        <v/>
      </c>
      <c r="AC4243" s="9">
        <f>IF(AND($A4243&lt;&gt;"",M4243=설정!$C$20,Z4243&gt;0),Z4243+ROW()/1000000000,"")</f>
        <v/>
      </c>
      <c r="AD4243" s="94">
        <f>IF($A4243="",0,$P4243*AG4243)</f>
        <v/>
      </c>
      <c r="AE4243" s="64">
        <f>IF($A4243="","",IFERROR(INDEX(계정매핑!$E$5:$E$504,MATCH($F4243&amp;"",계정매핑!$A$5:$A$504,0))&amp;"","공통비"))</f>
        <v/>
      </c>
      <c r="AF4243" s="64">
        <f>IF($A4243="","",IF(AE4243="직접",IFERROR(INDEX(계정매핑!$F$5:$F$504,MATCH($F4243&amp;"",계정매핑!$A$5:$A$504,0))&amp;"","비귀속"),""))</f>
        <v/>
      </c>
      <c r="AG4243" s="96">
        <f>IF($A4243="",0,IF(AND(AE4243&lt;&gt;"직접",IFERROR(INDEX(계정매핑!$G$5:$G$504,MATCH($F4243&amp;"",계정매핑!$A$5:$A$504,0))&amp;"","")="유지비",COUNTIF(계정대체기준!$A$6:$A$15,$N4243)&gt;0),IFERROR(INDEX(계정대체기준!$E$6:$E$15,MATCH(VALUE($A4243&amp;""),계정대체기준!$D$6:$D$15,0)),0),0))</f>
        <v/>
      </c>
      <c r="AH4243" s="64">
        <f>IF($A4243="","",IF(AD4243=0,"",IF(OR(COUNTIF(계정대체기준!$A$77:$A$86,$N4243)&gt;0,ISNUMBER(MATCH($X4243,계정대체기준!$D$77:$D$86,0)),ISNUMBER(MATCH($F4243,계정대체기준!$D$77:$D$86,0))),"Y","N")))</f>
        <v/>
      </c>
    </row>
    <row r="4244">
      <c r="A4244" s="92" t="n">
        <v>2026</v>
      </c>
      <c r="B4244" s="92" t="n">
        <v>7</v>
      </c>
      <c r="C4244" s="92" t="inlineStr">
        <is>
          <t>5100001522</t>
        </is>
      </c>
      <c r="D4244" s="95" t="n">
        <v>46222</v>
      </c>
      <c r="E4244" s="92" t="inlineStr">
        <is>
          <t>KR</t>
        </is>
      </c>
      <c r="F4244" s="92" t="n">
        <v>62501000</v>
      </c>
      <c r="G4244" s="92" t="n">
        <v>1201</v>
      </c>
      <c r="H4244" s="93" t="n">
        <v>154000</v>
      </c>
      <c r="I4244" s="92" t="inlineStr">
        <is>
          <t>7월 회의 다과 - (법인카드)</t>
        </is>
      </c>
      <c r="J4244" s="92" t="inlineStr">
        <is>
          <t>V10010</t>
        </is>
      </c>
      <c r="K4244" s="92" t="inlineStr">
        <is>
          <t>(법인카드)</t>
        </is>
      </c>
      <c r="M4244" s="9">
        <f>IF($A4244="","",VALUE($A4244&amp;"")*12+VALUE($B4244&amp;""))</f>
        <v/>
      </c>
      <c r="N4244" s="64">
        <f>IF($A4244="","",IFERROR(INDEX(부서매핑!$C$5:$C$504,MATCH($G4244&amp;"",부서매핑!$A$5:$A$504,0)),"미매핑"))</f>
        <v/>
      </c>
      <c r="O4244" s="9">
        <f>IF($A4244="","",N4244&amp;"|"&amp;$F4244)</f>
        <v/>
      </c>
      <c r="P4244" s="94">
        <f>IF($A4244="",0,$H4244*설정!$C$23)</f>
        <v/>
      </c>
      <c r="Q4244" s="64">
        <f>IF($A4244="","",IF(O4244&lt;&gt;원인분석!$C$9,"",IF(AND(M4244&gt;=원인분석!$C$10,M4244&lt;=원인분석!$C$11),"당기",IF(AND(M4244&gt;=원인분석!$C$12,M4244&lt;=원인분석!$C$13),"비교",""))))</f>
        <v/>
      </c>
      <c r="R4244" s="9">
        <f>IF(Q4244="","",$K4244&amp;"")</f>
        <v/>
      </c>
      <c r="S4244" s="9">
        <f>IF(Q4244="","",IF(MATCH(R4244,$R$5:$R$100000,0)=ROW()-4,ROW(),""))</f>
        <v/>
      </c>
      <c r="T4244" s="9">
        <f>IF(Q4244="당기",ABS(P4244)+ROW()/1000000000,"")</f>
        <v/>
      </c>
      <c r="U4244" s="9">
        <f>IF(Q4244="비교",ABS(P4244)+ROW()/1000000000,"")</f>
        <v/>
      </c>
      <c r="V4244" s="64">
        <f>IF($A4244="","",IF(COUNTIF(변동분석!$E$7:$E$506,O4244)&gt;0,"Y","N"))</f>
        <v/>
      </c>
      <c r="W4244" s="64">
        <f>IF($A4244="","",IFERROR(INDEX(계정매핑!$D$5:$D$504,MATCH($F4244&amp;"",계정매핑!$A$5:$A$504,0)),"미매핑"))</f>
        <v/>
      </c>
      <c r="X4244" s="9">
        <f>IF($A4244="","",$F4244&amp;"")</f>
        <v/>
      </c>
      <c r="Y4244" s="94">
        <f>IF($A4244="",0,IF(AE4244="직접",IF(AF4244="비귀속",$P4244,0),$P4244*(1-AG4244)*IFERROR(INDEX(계정대체기준!$F$20:$F$49,MATCH($N4244,계정대체기준!$A$20:$A$49,0)),1)))</f>
        <v/>
      </c>
      <c r="Z4244" s="94">
        <f>IF($A4244="",0,IF(AE4244="직접",IF(AF4244="신계약비",$P4244,0),$P4244*(1-AG4244)*IFERROR(INDEX(계정대체기준!$C$20:$C$49,MATCH($N4244,계정대체기준!$A$20:$A$49,0)),0)))</f>
        <v/>
      </c>
      <c r="AA4244" s="94">
        <f>IF($A4244="",0,IF(AE4244="직접",IF(OR(AF4244="유지비",AF4244="손해조사비"),$P4244,0),$P4244*(1-AG4244)*IFERROR(INDEX(계정대체기준!$D$20:$D$49,MATCH($N4244,계정대체기준!$A$20:$A$49,0)),0)))</f>
        <v/>
      </c>
      <c r="AB4244" s="94">
        <f>IF($A4244="",0,IF(AE4244="직접",IF(AF4244="수금비",$P4244,0),$P4244*(1-AG4244)*IFERROR(INDEX(계정대체기준!$E$20:$E$49,MATCH($N4244,계정대체기준!$A$20:$A$49,0)),0)))</f>
        <v/>
      </c>
      <c r="AC4244" s="9">
        <f>IF(AND($A4244&lt;&gt;"",M4244=설정!$C$20,Z4244&gt;0),Z4244+ROW()/1000000000,"")</f>
        <v/>
      </c>
      <c r="AD4244" s="94">
        <f>IF($A4244="",0,$P4244*AG4244)</f>
        <v/>
      </c>
      <c r="AE4244" s="64">
        <f>IF($A4244="","",IFERROR(INDEX(계정매핑!$E$5:$E$504,MATCH($F4244&amp;"",계정매핑!$A$5:$A$504,0))&amp;"","공통비"))</f>
        <v/>
      </c>
      <c r="AF4244" s="64">
        <f>IF($A4244="","",IF(AE4244="직접",IFERROR(INDEX(계정매핑!$F$5:$F$504,MATCH($F4244&amp;"",계정매핑!$A$5:$A$504,0))&amp;"","비귀속"),""))</f>
        <v/>
      </c>
      <c r="AG4244" s="96">
        <f>IF($A4244="",0,IF(AND(AE4244&lt;&gt;"직접",IFERROR(INDEX(계정매핑!$G$5:$G$504,MATCH($F4244&amp;"",계정매핑!$A$5:$A$504,0))&amp;"","")="유지비",COUNTIF(계정대체기준!$A$6:$A$15,$N4244)&gt;0),IFERROR(INDEX(계정대체기준!$E$6:$E$15,MATCH(VALUE($A4244&amp;""),계정대체기준!$D$6:$D$15,0)),0),0))</f>
        <v/>
      </c>
      <c r="AH4244" s="64">
        <f>IF($A4244="","",IF(AD4244=0,"",IF(OR(COUNTIF(계정대체기준!$A$77:$A$86,$N4244)&gt;0,ISNUMBER(MATCH($X4244,계정대체기준!$D$77:$D$86,0)),ISNUMBER(MATCH($F4244,계정대체기준!$D$77:$D$86,0))),"Y","N")))</f>
        <v/>
      </c>
    </row>
    <row r="4245">
      <c r="A4245" s="92" t="n">
        <v>2026</v>
      </c>
      <c r="B4245" s="92" t="n">
        <v>7</v>
      </c>
      <c r="C4245" s="92" t="inlineStr">
        <is>
          <t>5100001523</t>
        </is>
      </c>
      <c r="D4245" s="95" t="n">
        <v>46222</v>
      </c>
      <c r="E4245" s="92" t="inlineStr">
        <is>
          <t>KR</t>
        </is>
      </c>
      <c r="F4245" s="92" t="n">
        <v>62901000</v>
      </c>
      <c r="G4245" s="92" t="n">
        <v>1951</v>
      </c>
      <c r="H4245" s="93" t="n">
        <v>5009000</v>
      </c>
      <c r="I4245" s="92" t="inlineStr">
        <is>
          <t>7월 자문 수수료 - K회계법인</t>
        </is>
      </c>
      <c r="J4245" s="92" t="inlineStr">
        <is>
          <t>V10011</t>
        </is>
      </c>
      <c r="K4245" s="92" t="inlineStr">
        <is>
          <t>K회계법인</t>
        </is>
      </c>
      <c r="M4245" s="9">
        <f>IF($A4245="","",VALUE($A4245&amp;"")*12+VALUE($B4245&amp;""))</f>
        <v/>
      </c>
      <c r="N4245" s="64">
        <f>IF($A4245="","",IFERROR(INDEX(부서매핑!$C$5:$C$504,MATCH($G4245&amp;"",부서매핑!$A$5:$A$504,0)),"미매핑"))</f>
        <v/>
      </c>
      <c r="O4245" s="9">
        <f>IF($A4245="","",N4245&amp;"|"&amp;$F4245)</f>
        <v/>
      </c>
      <c r="P4245" s="94">
        <f>IF($A4245="",0,$H4245*설정!$C$23)</f>
        <v/>
      </c>
      <c r="Q4245" s="64">
        <f>IF($A4245="","",IF(O4245&lt;&gt;원인분석!$C$9,"",IF(AND(M4245&gt;=원인분석!$C$10,M4245&lt;=원인분석!$C$11),"당기",IF(AND(M4245&gt;=원인분석!$C$12,M4245&lt;=원인분석!$C$13),"비교",""))))</f>
        <v/>
      </c>
      <c r="R4245" s="9">
        <f>IF(Q4245="","",$K4245&amp;"")</f>
        <v/>
      </c>
      <c r="S4245" s="9">
        <f>IF(Q4245="","",IF(MATCH(R4245,$R$5:$R$100000,0)=ROW()-4,ROW(),""))</f>
        <v/>
      </c>
      <c r="T4245" s="9">
        <f>IF(Q4245="당기",ABS(P4245)+ROW()/1000000000,"")</f>
        <v/>
      </c>
      <c r="U4245" s="9">
        <f>IF(Q4245="비교",ABS(P4245)+ROW()/1000000000,"")</f>
        <v/>
      </c>
      <c r="V4245" s="64">
        <f>IF($A4245="","",IF(COUNTIF(변동분석!$E$7:$E$506,O4245)&gt;0,"Y","N"))</f>
        <v/>
      </c>
      <c r="W4245" s="64">
        <f>IF($A4245="","",IFERROR(INDEX(계정매핑!$D$5:$D$504,MATCH($F4245&amp;"",계정매핑!$A$5:$A$504,0)),"미매핑"))</f>
        <v/>
      </c>
      <c r="X4245" s="9">
        <f>IF($A4245="","",$F4245&amp;"")</f>
        <v/>
      </c>
      <c r="Y4245" s="94">
        <f>IF($A4245="",0,IF(AE4245="직접",IF(AF4245="비귀속",$P4245,0),$P4245*(1-AG4245)*IFERROR(INDEX(계정대체기준!$F$20:$F$49,MATCH($N4245,계정대체기준!$A$20:$A$49,0)),1)))</f>
        <v/>
      </c>
      <c r="Z4245" s="94">
        <f>IF($A4245="",0,IF(AE4245="직접",IF(AF4245="신계약비",$P4245,0),$P4245*(1-AG4245)*IFERROR(INDEX(계정대체기준!$C$20:$C$49,MATCH($N4245,계정대체기준!$A$20:$A$49,0)),0)))</f>
        <v/>
      </c>
      <c r="AA4245" s="94">
        <f>IF($A4245="",0,IF(AE4245="직접",IF(OR(AF4245="유지비",AF4245="손해조사비"),$P4245,0),$P4245*(1-AG4245)*IFERROR(INDEX(계정대체기준!$D$20:$D$49,MATCH($N4245,계정대체기준!$A$20:$A$49,0)),0)))</f>
        <v/>
      </c>
      <c r="AB4245" s="94">
        <f>IF($A4245="",0,IF(AE4245="직접",IF(AF4245="수금비",$P4245,0),$P4245*(1-AG4245)*IFERROR(INDEX(계정대체기준!$E$20:$E$49,MATCH($N4245,계정대체기준!$A$20:$A$49,0)),0)))</f>
        <v/>
      </c>
      <c r="AC4245" s="9">
        <f>IF(AND($A4245&lt;&gt;"",M4245=설정!$C$20,Z4245&gt;0),Z4245+ROW()/1000000000,"")</f>
        <v/>
      </c>
      <c r="AD4245" s="94">
        <f>IF($A4245="",0,$P4245*AG4245)</f>
        <v/>
      </c>
      <c r="AE4245" s="64">
        <f>IF($A4245="","",IFERROR(INDEX(계정매핑!$E$5:$E$504,MATCH($F4245&amp;"",계정매핑!$A$5:$A$504,0))&amp;"","공통비"))</f>
        <v/>
      </c>
      <c r="AF4245" s="64">
        <f>IF($A4245="","",IF(AE4245="직접",IFERROR(INDEX(계정매핑!$F$5:$F$504,MATCH($F4245&amp;"",계정매핑!$A$5:$A$504,0))&amp;"","비귀속"),""))</f>
        <v/>
      </c>
      <c r="AG4245" s="96">
        <f>IF($A4245="",0,IF(AND(AE4245&lt;&gt;"직접",IFERROR(INDEX(계정매핑!$G$5:$G$504,MATCH($F4245&amp;"",계정매핑!$A$5:$A$504,0))&amp;"","")="유지비",COUNTIF(계정대체기준!$A$6:$A$15,$N4245)&gt;0),IFERROR(INDEX(계정대체기준!$E$6:$E$15,MATCH(VALUE($A4245&amp;""),계정대체기준!$D$6:$D$15,0)),0),0))</f>
        <v/>
      </c>
      <c r="AH4245" s="64">
        <f>IF($A4245="","",IF(AD4245=0,"",IF(OR(COUNTIF(계정대체기준!$A$77:$A$86,$N4245)&gt;0,ISNUMBER(MATCH($X4245,계정대체기준!$D$77:$D$86,0)),ISNUMBER(MATCH($F4245,계정대체기준!$D$77:$D$86,0))),"Y","N")))</f>
        <v/>
      </c>
    </row>
    <row r="4246">
      <c r="A4246" s="92" t="n">
        <v>2026</v>
      </c>
      <c r="B4246" s="92" t="n">
        <v>7</v>
      </c>
      <c r="C4246" s="92" t="inlineStr">
        <is>
          <t>5100001524</t>
        </is>
      </c>
      <c r="D4246" s="95" t="n">
        <v>46222</v>
      </c>
      <c r="E4246" s="92" t="inlineStr">
        <is>
          <t>KR</t>
        </is>
      </c>
      <c r="F4246" s="92" t="n">
        <v>62901000</v>
      </c>
      <c r="G4246" s="92" t="n">
        <v>1951</v>
      </c>
      <c r="H4246" s="93" t="n">
        <v>8372000</v>
      </c>
      <c r="I4246" s="92" t="inlineStr">
        <is>
          <t>7월 자문 수수료 - W컨설팅</t>
        </is>
      </c>
      <c r="J4246" s="92" t="inlineStr">
        <is>
          <t>V10006</t>
        </is>
      </c>
      <c r="K4246" s="92" t="inlineStr">
        <is>
          <t>W컨설팅</t>
        </is>
      </c>
      <c r="M4246" s="9">
        <f>IF($A4246="","",VALUE($A4246&amp;"")*12+VALUE($B4246&amp;""))</f>
        <v/>
      </c>
      <c r="N4246" s="64">
        <f>IF($A4246="","",IFERROR(INDEX(부서매핑!$C$5:$C$504,MATCH($G4246&amp;"",부서매핑!$A$5:$A$504,0)),"미매핑"))</f>
        <v/>
      </c>
      <c r="O4246" s="9">
        <f>IF($A4246="","",N4246&amp;"|"&amp;$F4246)</f>
        <v/>
      </c>
      <c r="P4246" s="94">
        <f>IF($A4246="",0,$H4246*설정!$C$23)</f>
        <v/>
      </c>
      <c r="Q4246" s="64">
        <f>IF($A4246="","",IF(O4246&lt;&gt;원인분석!$C$9,"",IF(AND(M4246&gt;=원인분석!$C$10,M4246&lt;=원인분석!$C$11),"당기",IF(AND(M4246&gt;=원인분석!$C$12,M4246&lt;=원인분석!$C$13),"비교",""))))</f>
        <v/>
      </c>
      <c r="R4246" s="9">
        <f>IF(Q4246="","",$K4246&amp;"")</f>
        <v/>
      </c>
      <c r="S4246" s="9">
        <f>IF(Q4246="","",IF(MATCH(R4246,$R$5:$R$100000,0)=ROW()-4,ROW(),""))</f>
        <v/>
      </c>
      <c r="T4246" s="9">
        <f>IF(Q4246="당기",ABS(P4246)+ROW()/1000000000,"")</f>
        <v/>
      </c>
      <c r="U4246" s="9">
        <f>IF(Q4246="비교",ABS(P4246)+ROW()/1000000000,"")</f>
        <v/>
      </c>
      <c r="V4246" s="64">
        <f>IF($A4246="","",IF(COUNTIF(변동분석!$E$7:$E$506,O4246)&gt;0,"Y","N"))</f>
        <v/>
      </c>
      <c r="W4246" s="64">
        <f>IF($A4246="","",IFERROR(INDEX(계정매핑!$D$5:$D$504,MATCH($F4246&amp;"",계정매핑!$A$5:$A$504,0)),"미매핑"))</f>
        <v/>
      </c>
      <c r="X4246" s="9">
        <f>IF($A4246="","",$F4246&amp;"")</f>
        <v/>
      </c>
      <c r="Y4246" s="94">
        <f>IF($A4246="",0,IF(AE4246="직접",IF(AF4246="비귀속",$P4246,0),$P4246*(1-AG4246)*IFERROR(INDEX(계정대체기준!$F$20:$F$49,MATCH($N4246,계정대체기준!$A$20:$A$49,0)),1)))</f>
        <v/>
      </c>
      <c r="Z4246" s="94">
        <f>IF($A4246="",0,IF(AE4246="직접",IF(AF4246="신계약비",$P4246,0),$P4246*(1-AG4246)*IFERROR(INDEX(계정대체기준!$C$20:$C$49,MATCH($N4246,계정대체기준!$A$20:$A$49,0)),0)))</f>
        <v/>
      </c>
      <c r="AA4246" s="94">
        <f>IF($A4246="",0,IF(AE4246="직접",IF(OR(AF4246="유지비",AF4246="손해조사비"),$P4246,0),$P4246*(1-AG4246)*IFERROR(INDEX(계정대체기준!$D$20:$D$49,MATCH($N4246,계정대체기준!$A$20:$A$49,0)),0)))</f>
        <v/>
      </c>
      <c r="AB4246" s="94">
        <f>IF($A4246="",0,IF(AE4246="직접",IF(AF4246="수금비",$P4246,0),$P4246*(1-AG4246)*IFERROR(INDEX(계정대체기준!$E$20:$E$49,MATCH($N4246,계정대체기준!$A$20:$A$49,0)),0)))</f>
        <v/>
      </c>
      <c r="AC4246" s="9">
        <f>IF(AND($A4246&lt;&gt;"",M4246=설정!$C$20,Z4246&gt;0),Z4246+ROW()/1000000000,"")</f>
        <v/>
      </c>
      <c r="AD4246" s="94">
        <f>IF($A4246="",0,$P4246*AG4246)</f>
        <v/>
      </c>
      <c r="AE4246" s="64">
        <f>IF($A4246="","",IFERROR(INDEX(계정매핑!$E$5:$E$504,MATCH($F4246&amp;"",계정매핑!$A$5:$A$504,0))&amp;"","공통비"))</f>
        <v/>
      </c>
      <c r="AF4246" s="64">
        <f>IF($A4246="","",IF(AE4246="직접",IFERROR(INDEX(계정매핑!$F$5:$F$504,MATCH($F4246&amp;"",계정매핑!$A$5:$A$504,0))&amp;"","비귀속"),""))</f>
        <v/>
      </c>
      <c r="AG4246" s="96">
        <f>IF($A4246="",0,IF(AND(AE4246&lt;&gt;"직접",IFERROR(INDEX(계정매핑!$G$5:$G$504,MATCH($F4246&amp;"",계정매핑!$A$5:$A$504,0))&amp;"","")="유지비",COUNTIF(계정대체기준!$A$6:$A$15,$N4246)&gt;0),IFERROR(INDEX(계정대체기준!$E$6:$E$15,MATCH(VALUE($A4246&amp;""),계정대체기준!$D$6:$D$15,0)),0),0))</f>
        <v/>
      </c>
      <c r="AH4246" s="64">
        <f>IF($A4246="","",IF(AD4246=0,"",IF(OR(COUNTIF(계정대체기준!$A$77:$A$86,$N4246)&gt;0,ISNUMBER(MATCH($X4246,계정대체기준!$D$77:$D$86,0)),ISNUMBER(MATCH($F4246,계정대체기준!$D$77:$D$86,0))),"Y","N")))</f>
        <v/>
      </c>
    </row>
    <row r="4247">
      <c r="A4247" s="92" t="n">
        <v>2026</v>
      </c>
      <c r="B4247" s="92" t="n">
        <v>7</v>
      </c>
      <c r="C4247" s="92" t="inlineStr">
        <is>
          <t>5100001525</t>
        </is>
      </c>
      <c r="D4247" s="95" t="n">
        <v>46223</v>
      </c>
      <c r="E4247" s="92" t="inlineStr">
        <is>
          <t>KR</t>
        </is>
      </c>
      <c r="F4247" s="92" t="n">
        <v>62101000</v>
      </c>
      <c r="G4247" s="92" t="n">
        <v>1401</v>
      </c>
      <c r="H4247" s="93" t="n">
        <v>250000</v>
      </c>
      <c r="I4247" s="92" t="inlineStr">
        <is>
          <t>7월 국내출장 - M항공</t>
        </is>
      </c>
      <c r="J4247" s="92" t="inlineStr">
        <is>
          <t>V10001</t>
        </is>
      </c>
      <c r="K4247" s="92" t="inlineStr">
        <is>
          <t>M항공</t>
        </is>
      </c>
      <c r="M4247" s="9">
        <f>IF($A4247="","",VALUE($A4247&amp;"")*12+VALUE($B4247&amp;""))</f>
        <v/>
      </c>
      <c r="N4247" s="64">
        <f>IF($A4247="","",IFERROR(INDEX(부서매핑!$C$5:$C$504,MATCH($G4247&amp;"",부서매핑!$A$5:$A$504,0)),"미매핑"))</f>
        <v/>
      </c>
      <c r="O4247" s="9">
        <f>IF($A4247="","",N4247&amp;"|"&amp;$F4247)</f>
        <v/>
      </c>
      <c r="P4247" s="94">
        <f>IF($A4247="",0,$H4247*설정!$C$23)</f>
        <v/>
      </c>
      <c r="Q4247" s="64">
        <f>IF($A4247="","",IF(O4247&lt;&gt;원인분석!$C$9,"",IF(AND(M4247&gt;=원인분석!$C$10,M4247&lt;=원인분석!$C$11),"당기",IF(AND(M4247&gt;=원인분석!$C$12,M4247&lt;=원인분석!$C$13),"비교",""))))</f>
        <v/>
      </c>
      <c r="R4247" s="9">
        <f>IF(Q4247="","",$K4247&amp;"")</f>
        <v/>
      </c>
      <c r="S4247" s="9">
        <f>IF(Q4247="","",IF(MATCH(R4247,$R$5:$R$100000,0)=ROW()-4,ROW(),""))</f>
        <v/>
      </c>
      <c r="T4247" s="9">
        <f>IF(Q4247="당기",ABS(P4247)+ROW()/1000000000,"")</f>
        <v/>
      </c>
      <c r="U4247" s="9">
        <f>IF(Q4247="비교",ABS(P4247)+ROW()/1000000000,"")</f>
        <v/>
      </c>
      <c r="V4247" s="64">
        <f>IF($A4247="","",IF(COUNTIF(변동분석!$E$7:$E$506,O4247)&gt;0,"Y","N"))</f>
        <v/>
      </c>
      <c r="W4247" s="64">
        <f>IF($A4247="","",IFERROR(INDEX(계정매핑!$D$5:$D$504,MATCH($F4247&amp;"",계정매핑!$A$5:$A$504,0)),"미매핑"))</f>
        <v/>
      </c>
      <c r="X4247" s="9">
        <f>IF($A4247="","",$F4247&amp;"")</f>
        <v/>
      </c>
      <c r="Y4247" s="94">
        <f>IF($A4247="",0,IF(AE4247="직접",IF(AF4247="비귀속",$P4247,0),$P4247*(1-AG4247)*IFERROR(INDEX(계정대체기준!$F$20:$F$49,MATCH($N4247,계정대체기준!$A$20:$A$49,0)),1)))</f>
        <v/>
      </c>
      <c r="Z4247" s="94">
        <f>IF($A4247="",0,IF(AE4247="직접",IF(AF4247="신계약비",$P4247,0),$P4247*(1-AG4247)*IFERROR(INDEX(계정대체기준!$C$20:$C$49,MATCH($N4247,계정대체기준!$A$20:$A$49,0)),0)))</f>
        <v/>
      </c>
      <c r="AA4247" s="94">
        <f>IF($A4247="",0,IF(AE4247="직접",IF(OR(AF4247="유지비",AF4247="손해조사비"),$P4247,0),$P4247*(1-AG4247)*IFERROR(INDEX(계정대체기준!$D$20:$D$49,MATCH($N4247,계정대체기준!$A$20:$A$49,0)),0)))</f>
        <v/>
      </c>
      <c r="AB4247" s="94">
        <f>IF($A4247="",0,IF(AE4247="직접",IF(AF4247="수금비",$P4247,0),$P4247*(1-AG4247)*IFERROR(INDEX(계정대체기준!$E$20:$E$49,MATCH($N4247,계정대체기준!$A$20:$A$49,0)),0)))</f>
        <v/>
      </c>
      <c r="AC4247" s="9">
        <f>IF(AND($A4247&lt;&gt;"",M4247=설정!$C$20,Z4247&gt;0),Z4247+ROW()/1000000000,"")</f>
        <v/>
      </c>
      <c r="AD4247" s="94">
        <f>IF($A4247="",0,$P4247*AG4247)</f>
        <v/>
      </c>
      <c r="AE4247" s="64">
        <f>IF($A4247="","",IFERROR(INDEX(계정매핑!$E$5:$E$504,MATCH($F4247&amp;"",계정매핑!$A$5:$A$504,0))&amp;"","공통비"))</f>
        <v/>
      </c>
      <c r="AF4247" s="64">
        <f>IF($A4247="","",IF(AE4247="직접",IFERROR(INDEX(계정매핑!$F$5:$F$504,MATCH($F4247&amp;"",계정매핑!$A$5:$A$504,0))&amp;"","비귀속"),""))</f>
        <v/>
      </c>
      <c r="AG4247" s="96">
        <f>IF($A4247="",0,IF(AND(AE4247&lt;&gt;"직접",IFERROR(INDEX(계정매핑!$G$5:$G$504,MATCH($F4247&amp;"",계정매핑!$A$5:$A$504,0))&amp;"","")="유지비",COUNTIF(계정대체기준!$A$6:$A$15,$N4247)&gt;0),IFERROR(INDEX(계정대체기준!$E$6:$E$15,MATCH(VALUE($A4247&amp;""),계정대체기준!$D$6:$D$15,0)),0),0))</f>
        <v/>
      </c>
      <c r="AH4247" s="64">
        <f>IF($A4247="","",IF(AD4247=0,"",IF(OR(COUNTIF(계정대체기준!$A$77:$A$86,$N4247)&gt;0,ISNUMBER(MATCH($X4247,계정대체기준!$D$77:$D$86,0)),ISNUMBER(MATCH($F4247,계정대체기준!$D$77:$D$86,0))),"Y","N")))</f>
        <v/>
      </c>
    </row>
    <row r="4248">
      <c r="A4248" s="92" t="n">
        <v>2026</v>
      </c>
      <c r="B4248" s="92" t="n">
        <v>7</v>
      </c>
      <c r="C4248" s="92" t="inlineStr">
        <is>
          <t>5100001526</t>
        </is>
      </c>
      <c r="D4248" s="95" t="n">
        <v>46223</v>
      </c>
      <c r="E4248" s="92" t="inlineStr">
        <is>
          <t>KR</t>
        </is>
      </c>
      <c r="F4248" s="92" t="n">
        <v>62201000</v>
      </c>
      <c r="G4248" s="92" t="n">
        <v>1601</v>
      </c>
      <c r="H4248" s="93" t="n">
        <v>470000</v>
      </c>
      <c r="I4248" s="92" t="inlineStr">
        <is>
          <t>7월 통신요금 - P통신</t>
        </is>
      </c>
      <c r="J4248" s="92" t="inlineStr">
        <is>
          <t>V10014</t>
        </is>
      </c>
      <c r="K4248" s="92" t="inlineStr">
        <is>
          <t>P통신</t>
        </is>
      </c>
      <c r="M4248" s="9">
        <f>IF($A4248="","",VALUE($A4248&amp;"")*12+VALUE($B4248&amp;""))</f>
        <v/>
      </c>
      <c r="N4248" s="64">
        <f>IF($A4248="","",IFERROR(INDEX(부서매핑!$C$5:$C$504,MATCH($G4248&amp;"",부서매핑!$A$5:$A$504,0)),"미매핑"))</f>
        <v/>
      </c>
      <c r="O4248" s="9">
        <f>IF($A4248="","",N4248&amp;"|"&amp;$F4248)</f>
        <v/>
      </c>
      <c r="P4248" s="94">
        <f>IF($A4248="",0,$H4248*설정!$C$23)</f>
        <v/>
      </c>
      <c r="Q4248" s="64">
        <f>IF($A4248="","",IF(O4248&lt;&gt;원인분석!$C$9,"",IF(AND(M4248&gt;=원인분석!$C$10,M4248&lt;=원인분석!$C$11),"당기",IF(AND(M4248&gt;=원인분석!$C$12,M4248&lt;=원인분석!$C$13),"비교",""))))</f>
        <v/>
      </c>
      <c r="R4248" s="9">
        <f>IF(Q4248="","",$K4248&amp;"")</f>
        <v/>
      </c>
      <c r="S4248" s="9">
        <f>IF(Q4248="","",IF(MATCH(R4248,$R$5:$R$100000,0)=ROW()-4,ROW(),""))</f>
        <v/>
      </c>
      <c r="T4248" s="9">
        <f>IF(Q4248="당기",ABS(P4248)+ROW()/1000000000,"")</f>
        <v/>
      </c>
      <c r="U4248" s="9">
        <f>IF(Q4248="비교",ABS(P4248)+ROW()/1000000000,"")</f>
        <v/>
      </c>
      <c r="V4248" s="64">
        <f>IF($A4248="","",IF(COUNTIF(변동분석!$E$7:$E$506,O4248)&gt;0,"Y","N"))</f>
        <v/>
      </c>
      <c r="W4248" s="64">
        <f>IF($A4248="","",IFERROR(INDEX(계정매핑!$D$5:$D$504,MATCH($F4248&amp;"",계정매핑!$A$5:$A$504,0)),"미매핑"))</f>
        <v/>
      </c>
      <c r="X4248" s="9">
        <f>IF($A4248="","",$F4248&amp;"")</f>
        <v/>
      </c>
      <c r="Y4248" s="94">
        <f>IF($A4248="",0,IF(AE4248="직접",IF(AF4248="비귀속",$P4248,0),$P4248*(1-AG4248)*IFERROR(INDEX(계정대체기준!$F$20:$F$49,MATCH($N4248,계정대체기준!$A$20:$A$49,0)),1)))</f>
        <v/>
      </c>
      <c r="Z4248" s="94">
        <f>IF($A4248="",0,IF(AE4248="직접",IF(AF4248="신계약비",$P4248,0),$P4248*(1-AG4248)*IFERROR(INDEX(계정대체기준!$C$20:$C$49,MATCH($N4248,계정대체기준!$A$20:$A$49,0)),0)))</f>
        <v/>
      </c>
      <c r="AA4248" s="94">
        <f>IF($A4248="",0,IF(AE4248="직접",IF(OR(AF4248="유지비",AF4248="손해조사비"),$P4248,0),$P4248*(1-AG4248)*IFERROR(INDEX(계정대체기준!$D$20:$D$49,MATCH($N4248,계정대체기준!$A$20:$A$49,0)),0)))</f>
        <v/>
      </c>
      <c r="AB4248" s="94">
        <f>IF($A4248="",0,IF(AE4248="직접",IF(AF4248="수금비",$P4248,0),$P4248*(1-AG4248)*IFERROR(INDEX(계정대체기준!$E$20:$E$49,MATCH($N4248,계정대체기준!$A$20:$A$49,0)),0)))</f>
        <v/>
      </c>
      <c r="AC4248" s="9">
        <f>IF(AND($A4248&lt;&gt;"",M4248=설정!$C$20,Z4248&gt;0),Z4248+ROW()/1000000000,"")</f>
        <v/>
      </c>
      <c r="AD4248" s="94">
        <f>IF($A4248="",0,$P4248*AG4248)</f>
        <v/>
      </c>
      <c r="AE4248" s="64">
        <f>IF($A4248="","",IFERROR(INDEX(계정매핑!$E$5:$E$504,MATCH($F4248&amp;"",계정매핑!$A$5:$A$504,0))&amp;"","공통비"))</f>
        <v/>
      </c>
      <c r="AF4248" s="64">
        <f>IF($A4248="","",IF(AE4248="직접",IFERROR(INDEX(계정매핑!$F$5:$F$504,MATCH($F4248&amp;"",계정매핑!$A$5:$A$504,0))&amp;"","비귀속"),""))</f>
        <v/>
      </c>
      <c r="AG4248" s="96">
        <f>IF($A4248="",0,IF(AND(AE4248&lt;&gt;"직접",IFERROR(INDEX(계정매핑!$G$5:$G$504,MATCH($F4248&amp;"",계정매핑!$A$5:$A$504,0))&amp;"","")="유지비",COUNTIF(계정대체기준!$A$6:$A$15,$N4248)&gt;0),IFERROR(INDEX(계정대체기준!$E$6:$E$15,MATCH(VALUE($A4248&amp;""),계정대체기준!$D$6:$D$15,0)),0),0))</f>
        <v/>
      </c>
      <c r="AH4248" s="64">
        <f>IF($A4248="","",IF(AD4248=0,"",IF(OR(COUNTIF(계정대체기준!$A$77:$A$86,$N4248)&gt;0,ISNUMBER(MATCH($X4248,계정대체기준!$D$77:$D$86,0)),ISNUMBER(MATCH($F4248,계정대체기준!$D$77:$D$86,0))),"Y","N")))</f>
        <v/>
      </c>
    </row>
    <row r="4249">
      <c r="A4249" s="92" t="n">
        <v>2026</v>
      </c>
      <c r="B4249" s="92" t="n">
        <v>7</v>
      </c>
      <c r="C4249" s="92" t="inlineStr">
        <is>
          <t>5100001527</t>
        </is>
      </c>
      <c r="D4249" s="95" t="n">
        <v>46223</v>
      </c>
      <c r="E4249" s="92" t="inlineStr">
        <is>
          <t>KR</t>
        </is>
      </c>
      <c r="F4249" s="92" t="n">
        <v>62201000</v>
      </c>
      <c r="G4249" s="92" t="n">
        <v>1951</v>
      </c>
      <c r="H4249" s="93" t="n">
        <v>352000</v>
      </c>
      <c r="I4249" s="92" t="inlineStr">
        <is>
          <t>7월 통신요금 - O텔레콤</t>
        </is>
      </c>
      <c r="J4249" s="92" t="inlineStr">
        <is>
          <t>V10002</t>
        </is>
      </c>
      <c r="K4249" s="92" t="inlineStr">
        <is>
          <t>O텔레콤</t>
        </is>
      </c>
      <c r="M4249" s="9">
        <f>IF($A4249="","",VALUE($A4249&amp;"")*12+VALUE($B4249&amp;""))</f>
        <v/>
      </c>
      <c r="N4249" s="64">
        <f>IF($A4249="","",IFERROR(INDEX(부서매핑!$C$5:$C$504,MATCH($G4249&amp;"",부서매핑!$A$5:$A$504,0)),"미매핑"))</f>
        <v/>
      </c>
      <c r="O4249" s="9">
        <f>IF($A4249="","",N4249&amp;"|"&amp;$F4249)</f>
        <v/>
      </c>
      <c r="P4249" s="94">
        <f>IF($A4249="",0,$H4249*설정!$C$23)</f>
        <v/>
      </c>
      <c r="Q4249" s="64">
        <f>IF($A4249="","",IF(O4249&lt;&gt;원인분석!$C$9,"",IF(AND(M4249&gt;=원인분석!$C$10,M4249&lt;=원인분석!$C$11),"당기",IF(AND(M4249&gt;=원인분석!$C$12,M4249&lt;=원인분석!$C$13),"비교",""))))</f>
        <v/>
      </c>
      <c r="R4249" s="9">
        <f>IF(Q4249="","",$K4249&amp;"")</f>
        <v/>
      </c>
      <c r="S4249" s="9">
        <f>IF(Q4249="","",IF(MATCH(R4249,$R$5:$R$100000,0)=ROW()-4,ROW(),""))</f>
        <v/>
      </c>
      <c r="T4249" s="9">
        <f>IF(Q4249="당기",ABS(P4249)+ROW()/1000000000,"")</f>
        <v/>
      </c>
      <c r="U4249" s="9">
        <f>IF(Q4249="비교",ABS(P4249)+ROW()/1000000000,"")</f>
        <v/>
      </c>
      <c r="V4249" s="64">
        <f>IF($A4249="","",IF(COUNTIF(변동분석!$E$7:$E$506,O4249)&gt;0,"Y","N"))</f>
        <v/>
      </c>
      <c r="W4249" s="64">
        <f>IF($A4249="","",IFERROR(INDEX(계정매핑!$D$5:$D$504,MATCH($F4249&amp;"",계정매핑!$A$5:$A$504,0)),"미매핑"))</f>
        <v/>
      </c>
      <c r="X4249" s="9">
        <f>IF($A4249="","",$F4249&amp;"")</f>
        <v/>
      </c>
      <c r="Y4249" s="94">
        <f>IF($A4249="",0,IF(AE4249="직접",IF(AF4249="비귀속",$P4249,0),$P4249*(1-AG4249)*IFERROR(INDEX(계정대체기준!$F$20:$F$49,MATCH($N4249,계정대체기준!$A$20:$A$49,0)),1)))</f>
        <v/>
      </c>
      <c r="Z4249" s="94">
        <f>IF($A4249="",0,IF(AE4249="직접",IF(AF4249="신계약비",$P4249,0),$P4249*(1-AG4249)*IFERROR(INDEX(계정대체기준!$C$20:$C$49,MATCH($N4249,계정대체기준!$A$20:$A$49,0)),0)))</f>
        <v/>
      </c>
      <c r="AA4249" s="94">
        <f>IF($A4249="",0,IF(AE4249="직접",IF(OR(AF4249="유지비",AF4249="손해조사비"),$P4249,0),$P4249*(1-AG4249)*IFERROR(INDEX(계정대체기준!$D$20:$D$49,MATCH($N4249,계정대체기준!$A$20:$A$49,0)),0)))</f>
        <v/>
      </c>
      <c r="AB4249" s="94">
        <f>IF($A4249="",0,IF(AE4249="직접",IF(AF4249="수금비",$P4249,0),$P4249*(1-AG4249)*IFERROR(INDEX(계정대체기준!$E$20:$E$49,MATCH($N4249,계정대체기준!$A$20:$A$49,0)),0)))</f>
        <v/>
      </c>
      <c r="AC4249" s="9">
        <f>IF(AND($A4249&lt;&gt;"",M4249=설정!$C$20,Z4249&gt;0),Z4249+ROW()/1000000000,"")</f>
        <v/>
      </c>
      <c r="AD4249" s="94">
        <f>IF($A4249="",0,$P4249*AG4249)</f>
        <v/>
      </c>
      <c r="AE4249" s="64">
        <f>IF($A4249="","",IFERROR(INDEX(계정매핑!$E$5:$E$504,MATCH($F4249&amp;"",계정매핑!$A$5:$A$504,0))&amp;"","공통비"))</f>
        <v/>
      </c>
      <c r="AF4249" s="64">
        <f>IF($A4249="","",IF(AE4249="직접",IFERROR(INDEX(계정매핑!$F$5:$F$504,MATCH($F4249&amp;"",계정매핑!$A$5:$A$504,0))&amp;"","비귀속"),""))</f>
        <v/>
      </c>
      <c r="AG4249" s="96">
        <f>IF($A4249="",0,IF(AND(AE4249&lt;&gt;"직접",IFERROR(INDEX(계정매핑!$G$5:$G$504,MATCH($F4249&amp;"",계정매핑!$A$5:$A$504,0))&amp;"","")="유지비",COUNTIF(계정대체기준!$A$6:$A$15,$N4249)&gt;0),IFERROR(INDEX(계정대체기준!$E$6:$E$15,MATCH(VALUE($A4249&amp;""),계정대체기준!$D$6:$D$15,0)),0),0))</f>
        <v/>
      </c>
      <c r="AH4249" s="64">
        <f>IF($A4249="","",IF(AD4249=0,"",IF(OR(COUNTIF(계정대체기준!$A$77:$A$86,$N4249)&gt;0,ISNUMBER(MATCH($X4249,계정대체기준!$D$77:$D$86,0)),ISNUMBER(MATCH($F4249,계정대체기준!$D$77:$D$86,0))),"Y","N")))</f>
        <v/>
      </c>
    </row>
    <row r="4250">
      <c r="A4250" s="92" t="n">
        <v>2026</v>
      </c>
      <c r="B4250" s="92" t="n">
        <v>7</v>
      </c>
      <c r="C4250" s="92" t="inlineStr">
        <is>
          <t>5100001528</t>
        </is>
      </c>
      <c r="D4250" s="95" t="n">
        <v>46223</v>
      </c>
      <c r="E4250" s="92" t="inlineStr">
        <is>
          <t>KR</t>
        </is>
      </c>
      <c r="F4250" s="92" t="n">
        <v>62701000</v>
      </c>
      <c r="G4250" s="92" t="n">
        <v>1502</v>
      </c>
      <c r="H4250" s="93" t="n">
        <v>44944000</v>
      </c>
      <c r="I4250" s="92" t="inlineStr">
        <is>
          <t>7월 광고 집행 - F애드</t>
        </is>
      </c>
      <c r="J4250" s="92" t="inlineStr">
        <is>
          <t>V10023</t>
        </is>
      </c>
      <c r="K4250" s="92" t="inlineStr">
        <is>
          <t>F애드</t>
        </is>
      </c>
      <c r="M4250" s="9">
        <f>IF($A4250="","",VALUE($A4250&amp;"")*12+VALUE($B4250&amp;""))</f>
        <v/>
      </c>
      <c r="N4250" s="64">
        <f>IF($A4250="","",IFERROR(INDEX(부서매핑!$C$5:$C$504,MATCH($G4250&amp;"",부서매핑!$A$5:$A$504,0)),"미매핑"))</f>
        <v/>
      </c>
      <c r="O4250" s="9">
        <f>IF($A4250="","",N4250&amp;"|"&amp;$F4250)</f>
        <v/>
      </c>
      <c r="P4250" s="94">
        <f>IF($A4250="",0,$H4250*설정!$C$23)</f>
        <v/>
      </c>
      <c r="Q4250" s="64">
        <f>IF($A4250="","",IF(O4250&lt;&gt;원인분석!$C$9,"",IF(AND(M4250&gt;=원인분석!$C$10,M4250&lt;=원인분석!$C$11),"당기",IF(AND(M4250&gt;=원인분석!$C$12,M4250&lt;=원인분석!$C$13),"비교",""))))</f>
        <v/>
      </c>
      <c r="R4250" s="9">
        <f>IF(Q4250="","",$K4250&amp;"")</f>
        <v/>
      </c>
      <c r="S4250" s="9">
        <f>IF(Q4250="","",IF(MATCH(R4250,$R$5:$R$100000,0)=ROW()-4,ROW(),""))</f>
        <v/>
      </c>
      <c r="T4250" s="9">
        <f>IF(Q4250="당기",ABS(P4250)+ROW()/1000000000,"")</f>
        <v/>
      </c>
      <c r="U4250" s="9">
        <f>IF(Q4250="비교",ABS(P4250)+ROW()/1000000000,"")</f>
        <v/>
      </c>
      <c r="V4250" s="64">
        <f>IF($A4250="","",IF(COUNTIF(변동분석!$E$7:$E$506,O4250)&gt;0,"Y","N"))</f>
        <v/>
      </c>
      <c r="W4250" s="64">
        <f>IF($A4250="","",IFERROR(INDEX(계정매핑!$D$5:$D$504,MATCH($F4250&amp;"",계정매핑!$A$5:$A$504,0)),"미매핑"))</f>
        <v/>
      </c>
      <c r="X4250" s="9">
        <f>IF($A4250="","",$F4250&amp;"")</f>
        <v/>
      </c>
      <c r="Y4250" s="94">
        <f>IF($A4250="",0,IF(AE4250="직접",IF(AF4250="비귀속",$P4250,0),$P4250*(1-AG4250)*IFERROR(INDEX(계정대체기준!$F$20:$F$49,MATCH($N4250,계정대체기준!$A$20:$A$49,0)),1)))</f>
        <v/>
      </c>
      <c r="Z4250" s="94">
        <f>IF($A4250="",0,IF(AE4250="직접",IF(AF4250="신계약비",$P4250,0),$P4250*(1-AG4250)*IFERROR(INDEX(계정대체기준!$C$20:$C$49,MATCH($N4250,계정대체기준!$A$20:$A$49,0)),0)))</f>
        <v/>
      </c>
      <c r="AA4250" s="94">
        <f>IF($A4250="",0,IF(AE4250="직접",IF(OR(AF4250="유지비",AF4250="손해조사비"),$P4250,0),$P4250*(1-AG4250)*IFERROR(INDEX(계정대체기준!$D$20:$D$49,MATCH($N4250,계정대체기준!$A$20:$A$49,0)),0)))</f>
        <v/>
      </c>
      <c r="AB4250" s="94">
        <f>IF($A4250="",0,IF(AE4250="직접",IF(AF4250="수금비",$P4250,0),$P4250*(1-AG4250)*IFERROR(INDEX(계정대체기준!$E$20:$E$49,MATCH($N4250,계정대체기준!$A$20:$A$49,0)),0)))</f>
        <v/>
      </c>
      <c r="AC4250" s="9">
        <f>IF(AND($A4250&lt;&gt;"",M4250=설정!$C$20,Z4250&gt;0),Z4250+ROW()/1000000000,"")</f>
        <v/>
      </c>
      <c r="AD4250" s="94">
        <f>IF($A4250="",0,$P4250*AG4250)</f>
        <v/>
      </c>
      <c r="AE4250" s="64">
        <f>IF($A4250="","",IFERROR(INDEX(계정매핑!$E$5:$E$504,MATCH($F4250&amp;"",계정매핑!$A$5:$A$504,0))&amp;"","공통비"))</f>
        <v/>
      </c>
      <c r="AF4250" s="64">
        <f>IF($A4250="","",IF(AE4250="직접",IFERROR(INDEX(계정매핑!$F$5:$F$504,MATCH($F4250&amp;"",계정매핑!$A$5:$A$504,0))&amp;"","비귀속"),""))</f>
        <v/>
      </c>
      <c r="AG4250" s="96">
        <f>IF($A4250="",0,IF(AND(AE4250&lt;&gt;"직접",IFERROR(INDEX(계정매핑!$G$5:$G$504,MATCH($F4250&amp;"",계정매핑!$A$5:$A$504,0))&amp;"","")="유지비",COUNTIF(계정대체기준!$A$6:$A$15,$N4250)&gt;0),IFERROR(INDEX(계정대체기준!$E$6:$E$15,MATCH(VALUE($A4250&amp;""),계정대체기준!$D$6:$D$15,0)),0),0))</f>
        <v/>
      </c>
      <c r="AH4250" s="64">
        <f>IF($A4250="","",IF(AD4250=0,"",IF(OR(COUNTIF(계정대체기준!$A$77:$A$86,$N4250)&gt;0,ISNUMBER(MATCH($X4250,계정대체기준!$D$77:$D$86,0)),ISNUMBER(MATCH($F4250,계정대체기준!$D$77:$D$86,0))),"Y","N")))</f>
        <v/>
      </c>
    </row>
    <row r="4251">
      <c r="A4251" s="92" t="n">
        <v>2026</v>
      </c>
      <c r="B4251" s="92" t="n">
        <v>7</v>
      </c>
      <c r="C4251" s="92" t="inlineStr">
        <is>
          <t>5100001529</t>
        </is>
      </c>
      <c r="D4251" s="95" t="n">
        <v>46223</v>
      </c>
      <c r="E4251" s="92" t="inlineStr">
        <is>
          <t>KR</t>
        </is>
      </c>
      <c r="F4251" s="92" t="n">
        <v>62901000</v>
      </c>
      <c r="G4251" s="92" t="n">
        <v>1801</v>
      </c>
      <c r="H4251" s="93" t="n">
        <v>10240000</v>
      </c>
      <c r="I4251" s="92" t="inlineStr">
        <is>
          <t>7월 자문 수수료 - K회계법인</t>
        </is>
      </c>
      <c r="J4251" s="92" t="inlineStr">
        <is>
          <t>V10011</t>
        </is>
      </c>
      <c r="K4251" s="92" t="inlineStr">
        <is>
          <t>K회계법인</t>
        </is>
      </c>
      <c r="M4251" s="9">
        <f>IF($A4251="","",VALUE($A4251&amp;"")*12+VALUE($B4251&amp;""))</f>
        <v/>
      </c>
      <c r="N4251" s="64">
        <f>IF($A4251="","",IFERROR(INDEX(부서매핑!$C$5:$C$504,MATCH($G4251&amp;"",부서매핑!$A$5:$A$504,0)),"미매핑"))</f>
        <v/>
      </c>
      <c r="O4251" s="9">
        <f>IF($A4251="","",N4251&amp;"|"&amp;$F4251)</f>
        <v/>
      </c>
      <c r="P4251" s="94">
        <f>IF($A4251="",0,$H4251*설정!$C$23)</f>
        <v/>
      </c>
      <c r="Q4251" s="64">
        <f>IF($A4251="","",IF(O4251&lt;&gt;원인분석!$C$9,"",IF(AND(M4251&gt;=원인분석!$C$10,M4251&lt;=원인분석!$C$11),"당기",IF(AND(M4251&gt;=원인분석!$C$12,M4251&lt;=원인분석!$C$13),"비교",""))))</f>
        <v/>
      </c>
      <c r="R4251" s="9">
        <f>IF(Q4251="","",$K4251&amp;"")</f>
        <v/>
      </c>
      <c r="S4251" s="9">
        <f>IF(Q4251="","",IF(MATCH(R4251,$R$5:$R$100000,0)=ROW()-4,ROW(),""))</f>
        <v/>
      </c>
      <c r="T4251" s="9">
        <f>IF(Q4251="당기",ABS(P4251)+ROW()/1000000000,"")</f>
        <v/>
      </c>
      <c r="U4251" s="9">
        <f>IF(Q4251="비교",ABS(P4251)+ROW()/1000000000,"")</f>
        <v/>
      </c>
      <c r="V4251" s="64">
        <f>IF($A4251="","",IF(COUNTIF(변동분석!$E$7:$E$506,O4251)&gt;0,"Y","N"))</f>
        <v/>
      </c>
      <c r="W4251" s="64">
        <f>IF($A4251="","",IFERROR(INDEX(계정매핑!$D$5:$D$504,MATCH($F4251&amp;"",계정매핑!$A$5:$A$504,0)),"미매핑"))</f>
        <v/>
      </c>
      <c r="X4251" s="9">
        <f>IF($A4251="","",$F4251&amp;"")</f>
        <v/>
      </c>
      <c r="Y4251" s="94">
        <f>IF($A4251="",0,IF(AE4251="직접",IF(AF4251="비귀속",$P4251,0),$P4251*(1-AG4251)*IFERROR(INDEX(계정대체기준!$F$20:$F$49,MATCH($N4251,계정대체기준!$A$20:$A$49,0)),1)))</f>
        <v/>
      </c>
      <c r="Z4251" s="94">
        <f>IF($A4251="",0,IF(AE4251="직접",IF(AF4251="신계약비",$P4251,0),$P4251*(1-AG4251)*IFERROR(INDEX(계정대체기준!$C$20:$C$49,MATCH($N4251,계정대체기준!$A$20:$A$49,0)),0)))</f>
        <v/>
      </c>
      <c r="AA4251" s="94">
        <f>IF($A4251="",0,IF(AE4251="직접",IF(OR(AF4251="유지비",AF4251="손해조사비"),$P4251,0),$P4251*(1-AG4251)*IFERROR(INDEX(계정대체기준!$D$20:$D$49,MATCH($N4251,계정대체기준!$A$20:$A$49,0)),0)))</f>
        <v/>
      </c>
      <c r="AB4251" s="94">
        <f>IF($A4251="",0,IF(AE4251="직접",IF(AF4251="수금비",$P4251,0),$P4251*(1-AG4251)*IFERROR(INDEX(계정대체기준!$E$20:$E$49,MATCH($N4251,계정대체기준!$A$20:$A$49,0)),0)))</f>
        <v/>
      </c>
      <c r="AC4251" s="9">
        <f>IF(AND($A4251&lt;&gt;"",M4251=설정!$C$20,Z4251&gt;0),Z4251+ROW()/1000000000,"")</f>
        <v/>
      </c>
      <c r="AD4251" s="94">
        <f>IF($A4251="",0,$P4251*AG4251)</f>
        <v/>
      </c>
      <c r="AE4251" s="64">
        <f>IF($A4251="","",IFERROR(INDEX(계정매핑!$E$5:$E$504,MATCH($F4251&amp;"",계정매핑!$A$5:$A$504,0))&amp;"","공통비"))</f>
        <v/>
      </c>
      <c r="AF4251" s="64">
        <f>IF($A4251="","",IF(AE4251="직접",IFERROR(INDEX(계정매핑!$F$5:$F$504,MATCH($F4251&amp;"",계정매핑!$A$5:$A$504,0))&amp;"","비귀속"),""))</f>
        <v/>
      </c>
      <c r="AG4251" s="96">
        <f>IF($A4251="",0,IF(AND(AE4251&lt;&gt;"직접",IFERROR(INDEX(계정매핑!$G$5:$G$504,MATCH($F4251&amp;"",계정매핑!$A$5:$A$504,0))&amp;"","")="유지비",COUNTIF(계정대체기준!$A$6:$A$15,$N4251)&gt;0),IFERROR(INDEX(계정대체기준!$E$6:$E$15,MATCH(VALUE($A4251&amp;""),계정대체기준!$D$6:$D$15,0)),0),0))</f>
        <v/>
      </c>
      <c r="AH4251" s="64">
        <f>IF($A4251="","",IF(AD4251=0,"",IF(OR(COUNTIF(계정대체기준!$A$77:$A$86,$N4251)&gt;0,ISNUMBER(MATCH($X4251,계정대체기준!$D$77:$D$86,0)),ISNUMBER(MATCH($F4251,계정대체기준!$D$77:$D$86,0))),"Y","N")))</f>
        <v/>
      </c>
    </row>
    <row r="4252">
      <c r="A4252" s="92" t="n">
        <v>2026</v>
      </c>
      <c r="B4252" s="92" t="n">
        <v>7</v>
      </c>
      <c r="C4252" s="92" t="inlineStr">
        <is>
          <t>5100001530</t>
        </is>
      </c>
      <c r="D4252" s="95" t="n">
        <v>46223</v>
      </c>
      <c r="E4252" s="92" t="inlineStr">
        <is>
          <t>KR</t>
        </is>
      </c>
      <c r="F4252" s="92" t="n">
        <v>63201000</v>
      </c>
      <c r="G4252" s="92" t="n">
        <v>1601</v>
      </c>
      <c r="H4252" s="93" t="n">
        <v>5890000</v>
      </c>
      <c r="I4252" s="92" t="inlineStr">
        <is>
          <t>7월 차량 유지 - D정비</t>
        </is>
      </c>
      <c r="J4252" s="92" t="inlineStr">
        <is>
          <t>V10025</t>
        </is>
      </c>
      <c r="K4252" s="92" t="inlineStr">
        <is>
          <t>D정비</t>
        </is>
      </c>
      <c r="M4252" s="9">
        <f>IF($A4252="","",VALUE($A4252&amp;"")*12+VALUE($B4252&amp;""))</f>
        <v/>
      </c>
      <c r="N4252" s="64">
        <f>IF($A4252="","",IFERROR(INDEX(부서매핑!$C$5:$C$504,MATCH($G4252&amp;"",부서매핑!$A$5:$A$504,0)),"미매핑"))</f>
        <v/>
      </c>
      <c r="O4252" s="9">
        <f>IF($A4252="","",N4252&amp;"|"&amp;$F4252)</f>
        <v/>
      </c>
      <c r="P4252" s="94">
        <f>IF($A4252="",0,$H4252*설정!$C$23)</f>
        <v/>
      </c>
      <c r="Q4252" s="64">
        <f>IF($A4252="","",IF(O4252&lt;&gt;원인분석!$C$9,"",IF(AND(M4252&gt;=원인분석!$C$10,M4252&lt;=원인분석!$C$11),"당기",IF(AND(M4252&gt;=원인분석!$C$12,M4252&lt;=원인분석!$C$13),"비교",""))))</f>
        <v/>
      </c>
      <c r="R4252" s="9">
        <f>IF(Q4252="","",$K4252&amp;"")</f>
        <v/>
      </c>
      <c r="S4252" s="9">
        <f>IF(Q4252="","",IF(MATCH(R4252,$R$5:$R$100000,0)=ROW()-4,ROW(),""))</f>
        <v/>
      </c>
      <c r="T4252" s="9">
        <f>IF(Q4252="당기",ABS(P4252)+ROW()/1000000000,"")</f>
        <v/>
      </c>
      <c r="U4252" s="9">
        <f>IF(Q4252="비교",ABS(P4252)+ROW()/1000000000,"")</f>
        <v/>
      </c>
      <c r="V4252" s="64">
        <f>IF($A4252="","",IF(COUNTIF(변동분석!$E$7:$E$506,O4252)&gt;0,"Y","N"))</f>
        <v/>
      </c>
      <c r="W4252" s="64">
        <f>IF($A4252="","",IFERROR(INDEX(계정매핑!$D$5:$D$504,MATCH($F4252&amp;"",계정매핑!$A$5:$A$504,0)),"미매핑"))</f>
        <v/>
      </c>
      <c r="X4252" s="9">
        <f>IF($A4252="","",$F4252&amp;"")</f>
        <v/>
      </c>
      <c r="Y4252" s="94">
        <f>IF($A4252="",0,IF(AE4252="직접",IF(AF4252="비귀속",$P4252,0),$P4252*(1-AG4252)*IFERROR(INDEX(계정대체기준!$F$20:$F$49,MATCH($N4252,계정대체기준!$A$20:$A$49,0)),1)))</f>
        <v/>
      </c>
      <c r="Z4252" s="94">
        <f>IF($A4252="",0,IF(AE4252="직접",IF(AF4252="신계약비",$P4252,0),$P4252*(1-AG4252)*IFERROR(INDEX(계정대체기준!$C$20:$C$49,MATCH($N4252,계정대체기준!$A$20:$A$49,0)),0)))</f>
        <v/>
      </c>
      <c r="AA4252" s="94">
        <f>IF($A4252="",0,IF(AE4252="직접",IF(OR(AF4252="유지비",AF4252="손해조사비"),$P4252,0),$P4252*(1-AG4252)*IFERROR(INDEX(계정대체기준!$D$20:$D$49,MATCH($N4252,계정대체기준!$A$20:$A$49,0)),0)))</f>
        <v/>
      </c>
      <c r="AB4252" s="94">
        <f>IF($A4252="",0,IF(AE4252="직접",IF(AF4252="수금비",$P4252,0),$P4252*(1-AG4252)*IFERROR(INDEX(계정대체기준!$E$20:$E$49,MATCH($N4252,계정대체기준!$A$20:$A$49,0)),0)))</f>
        <v/>
      </c>
      <c r="AC4252" s="9">
        <f>IF(AND($A4252&lt;&gt;"",M4252=설정!$C$20,Z4252&gt;0),Z4252+ROW()/1000000000,"")</f>
        <v/>
      </c>
      <c r="AD4252" s="94">
        <f>IF($A4252="",0,$P4252*AG4252)</f>
        <v/>
      </c>
      <c r="AE4252" s="64">
        <f>IF($A4252="","",IFERROR(INDEX(계정매핑!$E$5:$E$504,MATCH($F4252&amp;"",계정매핑!$A$5:$A$504,0))&amp;"","공통비"))</f>
        <v/>
      </c>
      <c r="AF4252" s="64">
        <f>IF($A4252="","",IF(AE4252="직접",IFERROR(INDEX(계정매핑!$F$5:$F$504,MATCH($F4252&amp;"",계정매핑!$A$5:$A$504,0))&amp;"","비귀속"),""))</f>
        <v/>
      </c>
      <c r="AG4252" s="96">
        <f>IF($A4252="",0,IF(AND(AE4252&lt;&gt;"직접",IFERROR(INDEX(계정매핑!$G$5:$G$504,MATCH($F4252&amp;"",계정매핑!$A$5:$A$504,0))&amp;"","")="유지비",COUNTIF(계정대체기준!$A$6:$A$15,$N4252)&gt;0),IFERROR(INDEX(계정대체기준!$E$6:$E$15,MATCH(VALUE($A4252&amp;""),계정대체기준!$D$6:$D$15,0)),0),0))</f>
        <v/>
      </c>
      <c r="AH4252" s="64">
        <f>IF($A4252="","",IF(AD4252=0,"",IF(OR(COUNTIF(계정대체기준!$A$77:$A$86,$N4252)&gt;0,ISNUMBER(MATCH($X4252,계정대체기준!$D$77:$D$86,0)),ISNUMBER(MATCH($F4252,계정대체기준!$D$77:$D$86,0))),"Y","N")))</f>
        <v/>
      </c>
    </row>
    <row r="4253">
      <c r="A4253" s="92" t="n">
        <v>2026</v>
      </c>
      <c r="B4253" s="92" t="n">
        <v>7</v>
      </c>
      <c r="C4253" s="92" t="inlineStr">
        <is>
          <t>5100001531</t>
        </is>
      </c>
      <c r="D4253" s="95" t="n">
        <v>46224</v>
      </c>
      <c r="E4253" s="92" t="inlineStr">
        <is>
          <t>KR</t>
        </is>
      </c>
      <c r="F4253" s="92" t="n">
        <v>62101000</v>
      </c>
      <c r="G4253" s="92" t="n">
        <v>1301</v>
      </c>
      <c r="H4253" s="93" t="n">
        <v>520000</v>
      </c>
      <c r="I4253" s="92" t="inlineStr">
        <is>
          <t>7월 국내출장 - (법인카드)</t>
        </is>
      </c>
      <c r="J4253" s="92" t="inlineStr">
        <is>
          <t>V10010</t>
        </is>
      </c>
      <c r="K4253" s="92" t="inlineStr">
        <is>
          <t>(법인카드)</t>
        </is>
      </c>
      <c r="M4253" s="9">
        <f>IF($A4253="","",VALUE($A4253&amp;"")*12+VALUE($B4253&amp;""))</f>
        <v/>
      </c>
      <c r="N4253" s="64">
        <f>IF($A4253="","",IFERROR(INDEX(부서매핑!$C$5:$C$504,MATCH($G4253&amp;"",부서매핑!$A$5:$A$504,0)),"미매핑"))</f>
        <v/>
      </c>
      <c r="O4253" s="9">
        <f>IF($A4253="","",N4253&amp;"|"&amp;$F4253)</f>
        <v/>
      </c>
      <c r="P4253" s="94">
        <f>IF($A4253="",0,$H4253*설정!$C$23)</f>
        <v/>
      </c>
      <c r="Q4253" s="64">
        <f>IF($A4253="","",IF(O4253&lt;&gt;원인분석!$C$9,"",IF(AND(M4253&gt;=원인분석!$C$10,M4253&lt;=원인분석!$C$11),"당기",IF(AND(M4253&gt;=원인분석!$C$12,M4253&lt;=원인분석!$C$13),"비교",""))))</f>
        <v/>
      </c>
      <c r="R4253" s="9">
        <f>IF(Q4253="","",$K4253&amp;"")</f>
        <v/>
      </c>
      <c r="S4253" s="9">
        <f>IF(Q4253="","",IF(MATCH(R4253,$R$5:$R$100000,0)=ROW()-4,ROW(),""))</f>
        <v/>
      </c>
      <c r="T4253" s="9">
        <f>IF(Q4253="당기",ABS(P4253)+ROW()/1000000000,"")</f>
        <v/>
      </c>
      <c r="U4253" s="9">
        <f>IF(Q4253="비교",ABS(P4253)+ROW()/1000000000,"")</f>
        <v/>
      </c>
      <c r="V4253" s="64">
        <f>IF($A4253="","",IF(COUNTIF(변동분석!$E$7:$E$506,O4253)&gt;0,"Y","N"))</f>
        <v/>
      </c>
      <c r="W4253" s="64">
        <f>IF($A4253="","",IFERROR(INDEX(계정매핑!$D$5:$D$504,MATCH($F4253&amp;"",계정매핑!$A$5:$A$504,0)),"미매핑"))</f>
        <v/>
      </c>
      <c r="X4253" s="9">
        <f>IF($A4253="","",$F4253&amp;"")</f>
        <v/>
      </c>
      <c r="Y4253" s="94">
        <f>IF($A4253="",0,IF(AE4253="직접",IF(AF4253="비귀속",$P4253,0),$P4253*(1-AG4253)*IFERROR(INDEX(계정대체기준!$F$20:$F$49,MATCH($N4253,계정대체기준!$A$20:$A$49,0)),1)))</f>
        <v/>
      </c>
      <c r="Z4253" s="94">
        <f>IF($A4253="",0,IF(AE4253="직접",IF(AF4253="신계약비",$P4253,0),$P4253*(1-AG4253)*IFERROR(INDEX(계정대체기준!$C$20:$C$49,MATCH($N4253,계정대체기준!$A$20:$A$49,0)),0)))</f>
        <v/>
      </c>
      <c r="AA4253" s="94">
        <f>IF($A4253="",0,IF(AE4253="직접",IF(OR(AF4253="유지비",AF4253="손해조사비"),$P4253,0),$P4253*(1-AG4253)*IFERROR(INDEX(계정대체기준!$D$20:$D$49,MATCH($N4253,계정대체기준!$A$20:$A$49,0)),0)))</f>
        <v/>
      </c>
      <c r="AB4253" s="94">
        <f>IF($A4253="",0,IF(AE4253="직접",IF(AF4253="수금비",$P4253,0),$P4253*(1-AG4253)*IFERROR(INDEX(계정대체기준!$E$20:$E$49,MATCH($N4253,계정대체기준!$A$20:$A$49,0)),0)))</f>
        <v/>
      </c>
      <c r="AC4253" s="9">
        <f>IF(AND($A4253&lt;&gt;"",M4253=설정!$C$20,Z4253&gt;0),Z4253+ROW()/1000000000,"")</f>
        <v/>
      </c>
      <c r="AD4253" s="94">
        <f>IF($A4253="",0,$P4253*AG4253)</f>
        <v/>
      </c>
      <c r="AE4253" s="64">
        <f>IF($A4253="","",IFERROR(INDEX(계정매핑!$E$5:$E$504,MATCH($F4253&amp;"",계정매핑!$A$5:$A$504,0))&amp;"","공통비"))</f>
        <v/>
      </c>
      <c r="AF4253" s="64">
        <f>IF($A4253="","",IF(AE4253="직접",IFERROR(INDEX(계정매핑!$F$5:$F$504,MATCH($F4253&amp;"",계정매핑!$A$5:$A$504,0))&amp;"","비귀속"),""))</f>
        <v/>
      </c>
      <c r="AG4253" s="96">
        <f>IF($A4253="",0,IF(AND(AE4253&lt;&gt;"직접",IFERROR(INDEX(계정매핑!$G$5:$G$504,MATCH($F4253&amp;"",계정매핑!$A$5:$A$504,0))&amp;"","")="유지비",COUNTIF(계정대체기준!$A$6:$A$15,$N4253)&gt;0),IFERROR(INDEX(계정대체기준!$E$6:$E$15,MATCH(VALUE($A4253&amp;""),계정대체기준!$D$6:$D$15,0)),0),0))</f>
        <v/>
      </c>
      <c r="AH4253" s="64">
        <f>IF($A4253="","",IF(AD4253=0,"",IF(OR(COUNTIF(계정대체기준!$A$77:$A$86,$N4253)&gt;0,ISNUMBER(MATCH($X4253,계정대체기준!$D$77:$D$86,0)),ISNUMBER(MATCH($F4253,계정대체기준!$D$77:$D$86,0))),"Y","N")))</f>
        <v/>
      </c>
    </row>
    <row r="4254">
      <c r="A4254" s="92" t="n">
        <v>2026</v>
      </c>
      <c r="B4254" s="92" t="n">
        <v>7</v>
      </c>
      <c r="C4254" s="92" t="inlineStr">
        <is>
          <t>5100001532</t>
        </is>
      </c>
      <c r="D4254" s="95" t="n">
        <v>46224</v>
      </c>
      <c r="E4254" s="92" t="inlineStr">
        <is>
          <t>KR</t>
        </is>
      </c>
      <c r="F4254" s="92" t="n">
        <v>62101000</v>
      </c>
      <c r="G4254" s="92" t="n">
        <v>1501</v>
      </c>
      <c r="H4254" s="93" t="n">
        <v>604000</v>
      </c>
      <c r="I4254" s="92" t="inlineStr">
        <is>
          <t>7월 국내출장 - (법인카드)</t>
        </is>
      </c>
      <c r="J4254" s="92" t="inlineStr">
        <is>
          <t>V10010</t>
        </is>
      </c>
      <c r="K4254" s="92" t="inlineStr">
        <is>
          <t>(법인카드)</t>
        </is>
      </c>
      <c r="M4254" s="9">
        <f>IF($A4254="","",VALUE($A4254&amp;"")*12+VALUE($B4254&amp;""))</f>
        <v/>
      </c>
      <c r="N4254" s="64">
        <f>IF($A4254="","",IFERROR(INDEX(부서매핑!$C$5:$C$504,MATCH($G4254&amp;"",부서매핑!$A$5:$A$504,0)),"미매핑"))</f>
        <v/>
      </c>
      <c r="O4254" s="9">
        <f>IF($A4254="","",N4254&amp;"|"&amp;$F4254)</f>
        <v/>
      </c>
      <c r="P4254" s="94">
        <f>IF($A4254="",0,$H4254*설정!$C$23)</f>
        <v/>
      </c>
      <c r="Q4254" s="64">
        <f>IF($A4254="","",IF(O4254&lt;&gt;원인분석!$C$9,"",IF(AND(M4254&gt;=원인분석!$C$10,M4254&lt;=원인분석!$C$11),"당기",IF(AND(M4254&gt;=원인분석!$C$12,M4254&lt;=원인분석!$C$13),"비교",""))))</f>
        <v/>
      </c>
      <c r="R4254" s="9">
        <f>IF(Q4254="","",$K4254&amp;"")</f>
        <v/>
      </c>
      <c r="S4254" s="9">
        <f>IF(Q4254="","",IF(MATCH(R4254,$R$5:$R$100000,0)=ROW()-4,ROW(),""))</f>
        <v/>
      </c>
      <c r="T4254" s="9">
        <f>IF(Q4254="당기",ABS(P4254)+ROW()/1000000000,"")</f>
        <v/>
      </c>
      <c r="U4254" s="9">
        <f>IF(Q4254="비교",ABS(P4254)+ROW()/1000000000,"")</f>
        <v/>
      </c>
      <c r="V4254" s="64">
        <f>IF($A4254="","",IF(COUNTIF(변동분석!$E$7:$E$506,O4254)&gt;0,"Y","N"))</f>
        <v/>
      </c>
      <c r="W4254" s="64">
        <f>IF($A4254="","",IFERROR(INDEX(계정매핑!$D$5:$D$504,MATCH($F4254&amp;"",계정매핑!$A$5:$A$504,0)),"미매핑"))</f>
        <v/>
      </c>
      <c r="X4254" s="9">
        <f>IF($A4254="","",$F4254&amp;"")</f>
        <v/>
      </c>
      <c r="Y4254" s="94">
        <f>IF($A4254="",0,IF(AE4254="직접",IF(AF4254="비귀속",$P4254,0),$P4254*(1-AG4254)*IFERROR(INDEX(계정대체기준!$F$20:$F$49,MATCH($N4254,계정대체기준!$A$20:$A$49,0)),1)))</f>
        <v/>
      </c>
      <c r="Z4254" s="94">
        <f>IF($A4254="",0,IF(AE4254="직접",IF(AF4254="신계약비",$P4254,0),$P4254*(1-AG4254)*IFERROR(INDEX(계정대체기준!$C$20:$C$49,MATCH($N4254,계정대체기준!$A$20:$A$49,0)),0)))</f>
        <v/>
      </c>
      <c r="AA4254" s="94">
        <f>IF($A4254="",0,IF(AE4254="직접",IF(OR(AF4254="유지비",AF4254="손해조사비"),$P4254,0),$P4254*(1-AG4254)*IFERROR(INDEX(계정대체기준!$D$20:$D$49,MATCH($N4254,계정대체기준!$A$20:$A$49,0)),0)))</f>
        <v/>
      </c>
      <c r="AB4254" s="94">
        <f>IF($A4254="",0,IF(AE4254="직접",IF(AF4254="수금비",$P4254,0),$P4254*(1-AG4254)*IFERROR(INDEX(계정대체기준!$E$20:$E$49,MATCH($N4254,계정대체기준!$A$20:$A$49,0)),0)))</f>
        <v/>
      </c>
      <c r="AC4254" s="9">
        <f>IF(AND($A4254&lt;&gt;"",M4254=설정!$C$20,Z4254&gt;0),Z4254+ROW()/1000000000,"")</f>
        <v/>
      </c>
      <c r="AD4254" s="94">
        <f>IF($A4254="",0,$P4254*AG4254)</f>
        <v/>
      </c>
      <c r="AE4254" s="64">
        <f>IF($A4254="","",IFERROR(INDEX(계정매핑!$E$5:$E$504,MATCH($F4254&amp;"",계정매핑!$A$5:$A$504,0))&amp;"","공통비"))</f>
        <v/>
      </c>
      <c r="AF4254" s="64">
        <f>IF($A4254="","",IF(AE4254="직접",IFERROR(INDEX(계정매핑!$F$5:$F$504,MATCH($F4254&amp;"",계정매핑!$A$5:$A$504,0))&amp;"","비귀속"),""))</f>
        <v/>
      </c>
      <c r="AG4254" s="96">
        <f>IF($A4254="",0,IF(AND(AE4254&lt;&gt;"직접",IFERROR(INDEX(계정매핑!$G$5:$G$504,MATCH($F4254&amp;"",계정매핑!$A$5:$A$504,0))&amp;"","")="유지비",COUNTIF(계정대체기준!$A$6:$A$15,$N4254)&gt;0),IFERROR(INDEX(계정대체기준!$E$6:$E$15,MATCH(VALUE($A4254&amp;""),계정대체기준!$D$6:$D$15,0)),0),0))</f>
        <v/>
      </c>
      <c r="AH4254" s="64">
        <f>IF($A4254="","",IF(AD4254=0,"",IF(OR(COUNTIF(계정대체기준!$A$77:$A$86,$N4254)&gt;0,ISNUMBER(MATCH($X4254,계정대체기준!$D$77:$D$86,0)),ISNUMBER(MATCH($F4254,계정대체기준!$D$77:$D$86,0))),"Y","N")))</f>
        <v/>
      </c>
    </row>
    <row r="4255">
      <c r="A4255" s="92" t="n">
        <v>2026</v>
      </c>
      <c r="B4255" s="92" t="n">
        <v>7</v>
      </c>
      <c r="C4255" s="92" t="inlineStr">
        <is>
          <t>5100001533</t>
        </is>
      </c>
      <c r="D4255" s="95" t="n">
        <v>46224</v>
      </c>
      <c r="E4255" s="92" t="inlineStr">
        <is>
          <t>KR</t>
        </is>
      </c>
      <c r="F4255" s="92" t="n">
        <v>62301000</v>
      </c>
      <c r="G4255" s="92" t="n">
        <v>1101</v>
      </c>
      <c r="H4255" s="93" t="n">
        <v>154000</v>
      </c>
      <c r="I4255" s="92" t="inlineStr">
        <is>
          <t>7월 소모품 구입 - Q오피스</t>
        </is>
      </c>
      <c r="J4255" s="92" t="inlineStr">
        <is>
          <t>V10003</t>
        </is>
      </c>
      <c r="K4255" s="92" t="inlineStr">
        <is>
          <t>Q오피스</t>
        </is>
      </c>
      <c r="M4255" s="9">
        <f>IF($A4255="","",VALUE($A4255&amp;"")*12+VALUE($B4255&amp;""))</f>
        <v/>
      </c>
      <c r="N4255" s="64">
        <f>IF($A4255="","",IFERROR(INDEX(부서매핑!$C$5:$C$504,MATCH($G4255&amp;"",부서매핑!$A$5:$A$504,0)),"미매핑"))</f>
        <v/>
      </c>
      <c r="O4255" s="9">
        <f>IF($A4255="","",N4255&amp;"|"&amp;$F4255)</f>
        <v/>
      </c>
      <c r="P4255" s="94">
        <f>IF($A4255="",0,$H4255*설정!$C$23)</f>
        <v/>
      </c>
      <c r="Q4255" s="64">
        <f>IF($A4255="","",IF(O4255&lt;&gt;원인분석!$C$9,"",IF(AND(M4255&gt;=원인분석!$C$10,M4255&lt;=원인분석!$C$11),"당기",IF(AND(M4255&gt;=원인분석!$C$12,M4255&lt;=원인분석!$C$13),"비교",""))))</f>
        <v/>
      </c>
      <c r="R4255" s="9">
        <f>IF(Q4255="","",$K4255&amp;"")</f>
        <v/>
      </c>
      <c r="S4255" s="9">
        <f>IF(Q4255="","",IF(MATCH(R4255,$R$5:$R$100000,0)=ROW()-4,ROW(),""))</f>
        <v/>
      </c>
      <c r="T4255" s="9">
        <f>IF(Q4255="당기",ABS(P4255)+ROW()/1000000000,"")</f>
        <v/>
      </c>
      <c r="U4255" s="9">
        <f>IF(Q4255="비교",ABS(P4255)+ROW()/1000000000,"")</f>
        <v/>
      </c>
      <c r="V4255" s="64">
        <f>IF($A4255="","",IF(COUNTIF(변동분석!$E$7:$E$506,O4255)&gt;0,"Y","N"))</f>
        <v/>
      </c>
      <c r="W4255" s="64">
        <f>IF($A4255="","",IFERROR(INDEX(계정매핑!$D$5:$D$504,MATCH($F4255&amp;"",계정매핑!$A$5:$A$504,0)),"미매핑"))</f>
        <v/>
      </c>
      <c r="X4255" s="9">
        <f>IF($A4255="","",$F4255&amp;"")</f>
        <v/>
      </c>
      <c r="Y4255" s="94">
        <f>IF($A4255="",0,IF(AE4255="직접",IF(AF4255="비귀속",$P4255,0),$P4255*(1-AG4255)*IFERROR(INDEX(계정대체기준!$F$20:$F$49,MATCH($N4255,계정대체기준!$A$20:$A$49,0)),1)))</f>
        <v/>
      </c>
      <c r="Z4255" s="94">
        <f>IF($A4255="",0,IF(AE4255="직접",IF(AF4255="신계약비",$P4255,0),$P4255*(1-AG4255)*IFERROR(INDEX(계정대체기준!$C$20:$C$49,MATCH($N4255,계정대체기준!$A$20:$A$49,0)),0)))</f>
        <v/>
      </c>
      <c r="AA4255" s="94">
        <f>IF($A4255="",0,IF(AE4255="직접",IF(OR(AF4255="유지비",AF4255="손해조사비"),$P4255,0),$P4255*(1-AG4255)*IFERROR(INDEX(계정대체기준!$D$20:$D$49,MATCH($N4255,계정대체기준!$A$20:$A$49,0)),0)))</f>
        <v/>
      </c>
      <c r="AB4255" s="94">
        <f>IF($A4255="",0,IF(AE4255="직접",IF(AF4255="수금비",$P4255,0),$P4255*(1-AG4255)*IFERROR(INDEX(계정대체기준!$E$20:$E$49,MATCH($N4255,계정대체기준!$A$20:$A$49,0)),0)))</f>
        <v/>
      </c>
      <c r="AC4255" s="9">
        <f>IF(AND($A4255&lt;&gt;"",M4255=설정!$C$20,Z4255&gt;0),Z4255+ROW()/1000000000,"")</f>
        <v/>
      </c>
      <c r="AD4255" s="94">
        <f>IF($A4255="",0,$P4255*AG4255)</f>
        <v/>
      </c>
      <c r="AE4255" s="64">
        <f>IF($A4255="","",IFERROR(INDEX(계정매핑!$E$5:$E$504,MATCH($F4255&amp;"",계정매핑!$A$5:$A$504,0))&amp;"","공통비"))</f>
        <v/>
      </c>
      <c r="AF4255" s="64">
        <f>IF($A4255="","",IF(AE4255="직접",IFERROR(INDEX(계정매핑!$F$5:$F$504,MATCH($F4255&amp;"",계정매핑!$A$5:$A$504,0))&amp;"","비귀속"),""))</f>
        <v/>
      </c>
      <c r="AG4255" s="96">
        <f>IF($A4255="",0,IF(AND(AE4255&lt;&gt;"직접",IFERROR(INDEX(계정매핑!$G$5:$G$504,MATCH($F4255&amp;"",계정매핑!$A$5:$A$504,0))&amp;"","")="유지비",COUNTIF(계정대체기준!$A$6:$A$15,$N4255)&gt;0),IFERROR(INDEX(계정대체기준!$E$6:$E$15,MATCH(VALUE($A4255&amp;""),계정대체기준!$D$6:$D$15,0)),0),0))</f>
        <v/>
      </c>
      <c r="AH4255" s="64">
        <f>IF($A4255="","",IF(AD4255=0,"",IF(OR(COUNTIF(계정대체기준!$A$77:$A$86,$N4255)&gt;0,ISNUMBER(MATCH($X4255,계정대체기준!$D$77:$D$86,0)),ISNUMBER(MATCH($F4255,계정대체기준!$D$77:$D$86,0))),"Y","N")))</f>
        <v/>
      </c>
    </row>
    <row r="4256">
      <c r="A4256" s="92" t="n">
        <v>2026</v>
      </c>
      <c r="B4256" s="92" t="n">
        <v>7</v>
      </c>
      <c r="C4256" s="92" t="inlineStr">
        <is>
          <t>5100001534</t>
        </is>
      </c>
      <c r="D4256" s="95" t="n">
        <v>46224</v>
      </c>
      <c r="E4256" s="92" t="inlineStr">
        <is>
          <t>KR</t>
        </is>
      </c>
      <c r="F4256" s="92" t="n">
        <v>62401000</v>
      </c>
      <c r="G4256" s="92" t="n">
        <v>1401</v>
      </c>
      <c r="H4256" s="93" t="n">
        <v>226000</v>
      </c>
      <c r="I4256" s="92" t="inlineStr">
        <is>
          <t>7월 인쇄물 제작 - G인쇄</t>
        </is>
      </c>
      <c r="J4256" s="92" t="inlineStr">
        <is>
          <t>V10004</t>
        </is>
      </c>
      <c r="K4256" s="92" t="inlineStr">
        <is>
          <t>G인쇄</t>
        </is>
      </c>
      <c r="M4256" s="9">
        <f>IF($A4256="","",VALUE($A4256&amp;"")*12+VALUE($B4256&amp;""))</f>
        <v/>
      </c>
      <c r="N4256" s="64">
        <f>IF($A4256="","",IFERROR(INDEX(부서매핑!$C$5:$C$504,MATCH($G4256&amp;"",부서매핑!$A$5:$A$504,0)),"미매핑"))</f>
        <v/>
      </c>
      <c r="O4256" s="9">
        <f>IF($A4256="","",N4256&amp;"|"&amp;$F4256)</f>
        <v/>
      </c>
      <c r="P4256" s="94">
        <f>IF($A4256="",0,$H4256*설정!$C$23)</f>
        <v/>
      </c>
      <c r="Q4256" s="64">
        <f>IF($A4256="","",IF(O4256&lt;&gt;원인분석!$C$9,"",IF(AND(M4256&gt;=원인분석!$C$10,M4256&lt;=원인분석!$C$11),"당기",IF(AND(M4256&gt;=원인분석!$C$12,M4256&lt;=원인분석!$C$13),"비교",""))))</f>
        <v/>
      </c>
      <c r="R4256" s="9">
        <f>IF(Q4256="","",$K4256&amp;"")</f>
        <v/>
      </c>
      <c r="S4256" s="9">
        <f>IF(Q4256="","",IF(MATCH(R4256,$R$5:$R$100000,0)=ROW()-4,ROW(),""))</f>
        <v/>
      </c>
      <c r="T4256" s="9">
        <f>IF(Q4256="당기",ABS(P4256)+ROW()/1000000000,"")</f>
        <v/>
      </c>
      <c r="U4256" s="9">
        <f>IF(Q4256="비교",ABS(P4256)+ROW()/1000000000,"")</f>
        <v/>
      </c>
      <c r="V4256" s="64">
        <f>IF($A4256="","",IF(COUNTIF(변동분석!$E$7:$E$506,O4256)&gt;0,"Y","N"))</f>
        <v/>
      </c>
      <c r="W4256" s="64">
        <f>IF($A4256="","",IFERROR(INDEX(계정매핑!$D$5:$D$504,MATCH($F4256&amp;"",계정매핑!$A$5:$A$504,0)),"미매핑"))</f>
        <v/>
      </c>
      <c r="X4256" s="9">
        <f>IF($A4256="","",$F4256&amp;"")</f>
        <v/>
      </c>
      <c r="Y4256" s="94">
        <f>IF($A4256="",0,IF(AE4256="직접",IF(AF4256="비귀속",$P4256,0),$P4256*(1-AG4256)*IFERROR(INDEX(계정대체기준!$F$20:$F$49,MATCH($N4256,계정대체기준!$A$20:$A$49,0)),1)))</f>
        <v/>
      </c>
      <c r="Z4256" s="94">
        <f>IF($A4256="",0,IF(AE4256="직접",IF(AF4256="신계약비",$P4256,0),$P4256*(1-AG4256)*IFERROR(INDEX(계정대체기준!$C$20:$C$49,MATCH($N4256,계정대체기준!$A$20:$A$49,0)),0)))</f>
        <v/>
      </c>
      <c r="AA4256" s="94">
        <f>IF($A4256="",0,IF(AE4256="직접",IF(OR(AF4256="유지비",AF4256="손해조사비"),$P4256,0),$P4256*(1-AG4256)*IFERROR(INDEX(계정대체기준!$D$20:$D$49,MATCH($N4256,계정대체기준!$A$20:$A$49,0)),0)))</f>
        <v/>
      </c>
      <c r="AB4256" s="94">
        <f>IF($A4256="",0,IF(AE4256="직접",IF(AF4256="수금비",$P4256,0),$P4256*(1-AG4256)*IFERROR(INDEX(계정대체기준!$E$20:$E$49,MATCH($N4256,계정대체기준!$A$20:$A$49,0)),0)))</f>
        <v/>
      </c>
      <c r="AC4256" s="9">
        <f>IF(AND($A4256&lt;&gt;"",M4256=설정!$C$20,Z4256&gt;0),Z4256+ROW()/1000000000,"")</f>
        <v/>
      </c>
      <c r="AD4256" s="94">
        <f>IF($A4256="",0,$P4256*AG4256)</f>
        <v/>
      </c>
      <c r="AE4256" s="64">
        <f>IF($A4256="","",IFERROR(INDEX(계정매핑!$E$5:$E$504,MATCH($F4256&amp;"",계정매핑!$A$5:$A$504,0))&amp;"","공통비"))</f>
        <v/>
      </c>
      <c r="AF4256" s="64">
        <f>IF($A4256="","",IF(AE4256="직접",IFERROR(INDEX(계정매핑!$F$5:$F$504,MATCH($F4256&amp;"",계정매핑!$A$5:$A$504,0))&amp;"","비귀속"),""))</f>
        <v/>
      </c>
      <c r="AG4256" s="96">
        <f>IF($A4256="",0,IF(AND(AE4256&lt;&gt;"직접",IFERROR(INDEX(계정매핑!$G$5:$G$504,MATCH($F4256&amp;"",계정매핑!$A$5:$A$504,0))&amp;"","")="유지비",COUNTIF(계정대체기준!$A$6:$A$15,$N4256)&gt;0),IFERROR(INDEX(계정대체기준!$E$6:$E$15,MATCH(VALUE($A4256&amp;""),계정대체기준!$D$6:$D$15,0)),0),0))</f>
        <v/>
      </c>
      <c r="AH4256" s="64">
        <f>IF($A4256="","",IF(AD4256=0,"",IF(OR(COUNTIF(계정대체기준!$A$77:$A$86,$N4256)&gt;0,ISNUMBER(MATCH($X4256,계정대체기준!$D$77:$D$86,0)),ISNUMBER(MATCH($F4256,계정대체기준!$D$77:$D$86,0))),"Y","N")))</f>
        <v/>
      </c>
    </row>
    <row r="4257">
      <c r="A4257" s="92" t="n">
        <v>2026</v>
      </c>
      <c r="B4257" s="92" t="n">
        <v>7</v>
      </c>
      <c r="C4257" s="92" t="inlineStr">
        <is>
          <t>5100001535</t>
        </is>
      </c>
      <c r="D4257" s="95" t="n">
        <v>46224</v>
      </c>
      <c r="E4257" s="92" t="inlineStr">
        <is>
          <t>KR</t>
        </is>
      </c>
      <c r="F4257" s="92" t="n">
        <v>62501000</v>
      </c>
      <c r="G4257" s="92" t="n">
        <v>1301</v>
      </c>
      <c r="H4257" s="93" t="n">
        <v>444000</v>
      </c>
      <c r="I4257" s="92" t="inlineStr">
        <is>
          <t>7월 회의 다과 - (법인카드)</t>
        </is>
      </c>
      <c r="J4257" s="92" t="inlineStr">
        <is>
          <t>V10010</t>
        </is>
      </c>
      <c r="K4257" s="92" t="inlineStr">
        <is>
          <t>(법인카드)</t>
        </is>
      </c>
      <c r="M4257" s="9">
        <f>IF($A4257="","",VALUE($A4257&amp;"")*12+VALUE($B4257&amp;""))</f>
        <v/>
      </c>
      <c r="N4257" s="64">
        <f>IF($A4257="","",IFERROR(INDEX(부서매핑!$C$5:$C$504,MATCH($G4257&amp;"",부서매핑!$A$5:$A$504,0)),"미매핑"))</f>
        <v/>
      </c>
      <c r="O4257" s="9">
        <f>IF($A4257="","",N4257&amp;"|"&amp;$F4257)</f>
        <v/>
      </c>
      <c r="P4257" s="94">
        <f>IF($A4257="",0,$H4257*설정!$C$23)</f>
        <v/>
      </c>
      <c r="Q4257" s="64">
        <f>IF($A4257="","",IF(O4257&lt;&gt;원인분석!$C$9,"",IF(AND(M4257&gt;=원인분석!$C$10,M4257&lt;=원인분석!$C$11),"당기",IF(AND(M4257&gt;=원인분석!$C$12,M4257&lt;=원인분석!$C$13),"비교",""))))</f>
        <v/>
      </c>
      <c r="R4257" s="9">
        <f>IF(Q4257="","",$K4257&amp;"")</f>
        <v/>
      </c>
      <c r="S4257" s="9">
        <f>IF(Q4257="","",IF(MATCH(R4257,$R$5:$R$100000,0)=ROW()-4,ROW(),""))</f>
        <v/>
      </c>
      <c r="T4257" s="9">
        <f>IF(Q4257="당기",ABS(P4257)+ROW()/1000000000,"")</f>
        <v/>
      </c>
      <c r="U4257" s="9">
        <f>IF(Q4257="비교",ABS(P4257)+ROW()/1000000000,"")</f>
        <v/>
      </c>
      <c r="V4257" s="64">
        <f>IF($A4257="","",IF(COUNTIF(변동분석!$E$7:$E$506,O4257)&gt;0,"Y","N"))</f>
        <v/>
      </c>
      <c r="W4257" s="64">
        <f>IF($A4257="","",IFERROR(INDEX(계정매핑!$D$5:$D$504,MATCH($F4257&amp;"",계정매핑!$A$5:$A$504,0)),"미매핑"))</f>
        <v/>
      </c>
      <c r="X4257" s="9">
        <f>IF($A4257="","",$F4257&amp;"")</f>
        <v/>
      </c>
      <c r="Y4257" s="94">
        <f>IF($A4257="",0,IF(AE4257="직접",IF(AF4257="비귀속",$P4257,0),$P4257*(1-AG4257)*IFERROR(INDEX(계정대체기준!$F$20:$F$49,MATCH($N4257,계정대체기준!$A$20:$A$49,0)),1)))</f>
        <v/>
      </c>
      <c r="Z4257" s="94">
        <f>IF($A4257="",0,IF(AE4257="직접",IF(AF4257="신계약비",$P4257,0),$P4257*(1-AG4257)*IFERROR(INDEX(계정대체기준!$C$20:$C$49,MATCH($N4257,계정대체기준!$A$20:$A$49,0)),0)))</f>
        <v/>
      </c>
      <c r="AA4257" s="94">
        <f>IF($A4257="",0,IF(AE4257="직접",IF(OR(AF4257="유지비",AF4257="손해조사비"),$P4257,0),$P4257*(1-AG4257)*IFERROR(INDEX(계정대체기준!$D$20:$D$49,MATCH($N4257,계정대체기준!$A$20:$A$49,0)),0)))</f>
        <v/>
      </c>
      <c r="AB4257" s="94">
        <f>IF($A4257="",0,IF(AE4257="직접",IF(AF4257="수금비",$P4257,0),$P4257*(1-AG4257)*IFERROR(INDEX(계정대체기준!$E$20:$E$49,MATCH($N4257,계정대체기준!$A$20:$A$49,0)),0)))</f>
        <v/>
      </c>
      <c r="AC4257" s="9">
        <f>IF(AND($A4257&lt;&gt;"",M4257=설정!$C$20,Z4257&gt;0),Z4257+ROW()/1000000000,"")</f>
        <v/>
      </c>
      <c r="AD4257" s="94">
        <f>IF($A4257="",0,$P4257*AG4257)</f>
        <v/>
      </c>
      <c r="AE4257" s="64">
        <f>IF($A4257="","",IFERROR(INDEX(계정매핑!$E$5:$E$504,MATCH($F4257&amp;"",계정매핑!$A$5:$A$504,0))&amp;"","공통비"))</f>
        <v/>
      </c>
      <c r="AF4257" s="64">
        <f>IF($A4257="","",IF(AE4257="직접",IFERROR(INDEX(계정매핑!$F$5:$F$504,MATCH($F4257&amp;"",계정매핑!$A$5:$A$504,0))&amp;"","비귀속"),""))</f>
        <v/>
      </c>
      <c r="AG4257" s="96">
        <f>IF($A4257="",0,IF(AND(AE4257&lt;&gt;"직접",IFERROR(INDEX(계정매핑!$G$5:$G$504,MATCH($F4257&amp;"",계정매핑!$A$5:$A$504,0))&amp;"","")="유지비",COUNTIF(계정대체기준!$A$6:$A$15,$N4257)&gt;0),IFERROR(INDEX(계정대체기준!$E$6:$E$15,MATCH(VALUE($A4257&amp;""),계정대체기준!$D$6:$D$15,0)),0),0))</f>
        <v/>
      </c>
      <c r="AH4257" s="64">
        <f>IF($A4257="","",IF(AD4257=0,"",IF(OR(COUNTIF(계정대체기준!$A$77:$A$86,$N4257)&gt;0,ISNUMBER(MATCH($X4257,계정대체기준!$D$77:$D$86,0)),ISNUMBER(MATCH($F4257,계정대체기준!$D$77:$D$86,0))),"Y","N")))</f>
        <v/>
      </c>
    </row>
    <row r="4258">
      <c r="A4258" s="92" t="n">
        <v>2026</v>
      </c>
      <c r="B4258" s="92" t="n">
        <v>7</v>
      </c>
      <c r="C4258" s="92" t="inlineStr">
        <is>
          <t>5100001536</t>
        </is>
      </c>
      <c r="D4258" s="95" t="n">
        <v>46224</v>
      </c>
      <c r="E4258" s="92" t="inlineStr">
        <is>
          <t>KR</t>
        </is>
      </c>
      <c r="F4258" s="92" t="n">
        <v>62501000</v>
      </c>
      <c r="G4258" s="92" t="n">
        <v>1801</v>
      </c>
      <c r="H4258" s="93" t="n">
        <v>166000</v>
      </c>
      <c r="I4258" s="92" t="inlineStr">
        <is>
          <t>7월 회의 다과 - T케이터링</t>
        </is>
      </c>
      <c r="J4258" s="92" t="inlineStr">
        <is>
          <t>V10005</t>
        </is>
      </c>
      <c r="K4258" s="92" t="inlineStr">
        <is>
          <t>T케이터링</t>
        </is>
      </c>
      <c r="M4258" s="9">
        <f>IF($A4258="","",VALUE($A4258&amp;"")*12+VALUE($B4258&amp;""))</f>
        <v/>
      </c>
      <c r="N4258" s="64">
        <f>IF($A4258="","",IFERROR(INDEX(부서매핑!$C$5:$C$504,MATCH($G4258&amp;"",부서매핑!$A$5:$A$504,0)),"미매핑"))</f>
        <v/>
      </c>
      <c r="O4258" s="9">
        <f>IF($A4258="","",N4258&amp;"|"&amp;$F4258)</f>
        <v/>
      </c>
      <c r="P4258" s="94">
        <f>IF($A4258="",0,$H4258*설정!$C$23)</f>
        <v/>
      </c>
      <c r="Q4258" s="64">
        <f>IF($A4258="","",IF(O4258&lt;&gt;원인분석!$C$9,"",IF(AND(M4258&gt;=원인분석!$C$10,M4258&lt;=원인분석!$C$11),"당기",IF(AND(M4258&gt;=원인분석!$C$12,M4258&lt;=원인분석!$C$13),"비교",""))))</f>
        <v/>
      </c>
      <c r="R4258" s="9">
        <f>IF(Q4258="","",$K4258&amp;"")</f>
        <v/>
      </c>
      <c r="S4258" s="9">
        <f>IF(Q4258="","",IF(MATCH(R4258,$R$5:$R$100000,0)=ROW()-4,ROW(),""))</f>
        <v/>
      </c>
      <c r="T4258" s="9">
        <f>IF(Q4258="당기",ABS(P4258)+ROW()/1000000000,"")</f>
        <v/>
      </c>
      <c r="U4258" s="9">
        <f>IF(Q4258="비교",ABS(P4258)+ROW()/1000000000,"")</f>
        <v/>
      </c>
      <c r="V4258" s="64">
        <f>IF($A4258="","",IF(COUNTIF(변동분석!$E$7:$E$506,O4258)&gt;0,"Y","N"))</f>
        <v/>
      </c>
      <c r="W4258" s="64">
        <f>IF($A4258="","",IFERROR(INDEX(계정매핑!$D$5:$D$504,MATCH($F4258&amp;"",계정매핑!$A$5:$A$504,0)),"미매핑"))</f>
        <v/>
      </c>
      <c r="X4258" s="9">
        <f>IF($A4258="","",$F4258&amp;"")</f>
        <v/>
      </c>
      <c r="Y4258" s="94">
        <f>IF($A4258="",0,IF(AE4258="직접",IF(AF4258="비귀속",$P4258,0),$P4258*(1-AG4258)*IFERROR(INDEX(계정대체기준!$F$20:$F$49,MATCH($N4258,계정대체기준!$A$20:$A$49,0)),1)))</f>
        <v/>
      </c>
      <c r="Z4258" s="94">
        <f>IF($A4258="",0,IF(AE4258="직접",IF(AF4258="신계약비",$P4258,0),$P4258*(1-AG4258)*IFERROR(INDEX(계정대체기준!$C$20:$C$49,MATCH($N4258,계정대체기준!$A$20:$A$49,0)),0)))</f>
        <v/>
      </c>
      <c r="AA4258" s="94">
        <f>IF($A4258="",0,IF(AE4258="직접",IF(OR(AF4258="유지비",AF4258="손해조사비"),$P4258,0),$P4258*(1-AG4258)*IFERROR(INDEX(계정대체기준!$D$20:$D$49,MATCH($N4258,계정대체기준!$A$20:$A$49,0)),0)))</f>
        <v/>
      </c>
      <c r="AB4258" s="94">
        <f>IF($A4258="",0,IF(AE4258="직접",IF(AF4258="수금비",$P4258,0),$P4258*(1-AG4258)*IFERROR(INDEX(계정대체기준!$E$20:$E$49,MATCH($N4258,계정대체기준!$A$20:$A$49,0)),0)))</f>
        <v/>
      </c>
      <c r="AC4258" s="9">
        <f>IF(AND($A4258&lt;&gt;"",M4258=설정!$C$20,Z4258&gt;0),Z4258+ROW()/1000000000,"")</f>
        <v/>
      </c>
      <c r="AD4258" s="94">
        <f>IF($A4258="",0,$P4258*AG4258)</f>
        <v/>
      </c>
      <c r="AE4258" s="64">
        <f>IF($A4258="","",IFERROR(INDEX(계정매핑!$E$5:$E$504,MATCH($F4258&amp;"",계정매핑!$A$5:$A$504,0))&amp;"","공통비"))</f>
        <v/>
      </c>
      <c r="AF4258" s="64">
        <f>IF($A4258="","",IF(AE4258="직접",IFERROR(INDEX(계정매핑!$F$5:$F$504,MATCH($F4258&amp;"",계정매핑!$A$5:$A$504,0))&amp;"","비귀속"),""))</f>
        <v/>
      </c>
      <c r="AG4258" s="96">
        <f>IF($A4258="",0,IF(AND(AE4258&lt;&gt;"직접",IFERROR(INDEX(계정매핑!$G$5:$G$504,MATCH($F4258&amp;"",계정매핑!$A$5:$A$504,0))&amp;"","")="유지비",COUNTIF(계정대체기준!$A$6:$A$15,$N4258)&gt;0),IFERROR(INDEX(계정대체기준!$E$6:$E$15,MATCH(VALUE($A4258&amp;""),계정대체기준!$D$6:$D$15,0)),0),0))</f>
        <v/>
      </c>
      <c r="AH4258" s="64">
        <f>IF($A4258="","",IF(AD4258=0,"",IF(OR(COUNTIF(계정대체기준!$A$77:$A$86,$N4258)&gt;0,ISNUMBER(MATCH($X4258,계정대체기준!$D$77:$D$86,0)),ISNUMBER(MATCH($F4258,계정대체기준!$D$77:$D$86,0))),"Y","N")))</f>
        <v/>
      </c>
    </row>
    <row r="4259">
      <c r="A4259" s="92" t="n">
        <v>2026</v>
      </c>
      <c r="B4259" s="92" t="n">
        <v>7</v>
      </c>
      <c r="C4259" s="92" t="inlineStr">
        <is>
          <t>5100001537</t>
        </is>
      </c>
      <c r="D4259" s="95" t="n">
        <v>46224</v>
      </c>
      <c r="E4259" s="92" t="inlineStr">
        <is>
          <t>KR</t>
        </is>
      </c>
      <c r="F4259" s="92" t="n">
        <v>63101000</v>
      </c>
      <c r="G4259" s="92" t="n">
        <v>1601</v>
      </c>
      <c r="H4259" s="93" t="n">
        <v>3829000</v>
      </c>
      <c r="I4259" s="92" t="inlineStr">
        <is>
          <t>7월 사무실 임차료 - AA빌딩</t>
        </is>
      </c>
      <c r="J4259" s="92" t="inlineStr">
        <is>
          <t>V10007</t>
        </is>
      </c>
      <c r="K4259" s="92" t="inlineStr">
        <is>
          <t>AA빌딩</t>
        </is>
      </c>
      <c r="M4259" s="9">
        <f>IF($A4259="","",VALUE($A4259&amp;"")*12+VALUE($B4259&amp;""))</f>
        <v/>
      </c>
      <c r="N4259" s="64">
        <f>IF($A4259="","",IFERROR(INDEX(부서매핑!$C$5:$C$504,MATCH($G4259&amp;"",부서매핑!$A$5:$A$504,0)),"미매핑"))</f>
        <v/>
      </c>
      <c r="O4259" s="9">
        <f>IF($A4259="","",N4259&amp;"|"&amp;$F4259)</f>
        <v/>
      </c>
      <c r="P4259" s="94">
        <f>IF($A4259="",0,$H4259*설정!$C$23)</f>
        <v/>
      </c>
      <c r="Q4259" s="64">
        <f>IF($A4259="","",IF(O4259&lt;&gt;원인분석!$C$9,"",IF(AND(M4259&gt;=원인분석!$C$10,M4259&lt;=원인분석!$C$11),"당기",IF(AND(M4259&gt;=원인분석!$C$12,M4259&lt;=원인분석!$C$13),"비교",""))))</f>
        <v/>
      </c>
      <c r="R4259" s="9">
        <f>IF(Q4259="","",$K4259&amp;"")</f>
        <v/>
      </c>
      <c r="S4259" s="9">
        <f>IF(Q4259="","",IF(MATCH(R4259,$R$5:$R$100000,0)=ROW()-4,ROW(),""))</f>
        <v/>
      </c>
      <c r="T4259" s="9">
        <f>IF(Q4259="당기",ABS(P4259)+ROW()/1000000000,"")</f>
        <v/>
      </c>
      <c r="U4259" s="9">
        <f>IF(Q4259="비교",ABS(P4259)+ROW()/1000000000,"")</f>
        <v/>
      </c>
      <c r="V4259" s="64">
        <f>IF($A4259="","",IF(COUNTIF(변동분석!$E$7:$E$506,O4259)&gt;0,"Y","N"))</f>
        <v/>
      </c>
      <c r="W4259" s="64">
        <f>IF($A4259="","",IFERROR(INDEX(계정매핑!$D$5:$D$504,MATCH($F4259&amp;"",계정매핑!$A$5:$A$504,0)),"미매핑"))</f>
        <v/>
      </c>
      <c r="X4259" s="9">
        <f>IF($A4259="","",$F4259&amp;"")</f>
        <v/>
      </c>
      <c r="Y4259" s="94">
        <f>IF($A4259="",0,IF(AE4259="직접",IF(AF4259="비귀속",$P4259,0),$P4259*(1-AG4259)*IFERROR(INDEX(계정대체기준!$F$20:$F$49,MATCH($N4259,계정대체기준!$A$20:$A$49,0)),1)))</f>
        <v/>
      </c>
      <c r="Z4259" s="94">
        <f>IF($A4259="",0,IF(AE4259="직접",IF(AF4259="신계약비",$P4259,0),$P4259*(1-AG4259)*IFERROR(INDEX(계정대체기준!$C$20:$C$49,MATCH($N4259,계정대체기준!$A$20:$A$49,0)),0)))</f>
        <v/>
      </c>
      <c r="AA4259" s="94">
        <f>IF($A4259="",0,IF(AE4259="직접",IF(OR(AF4259="유지비",AF4259="손해조사비"),$P4259,0),$P4259*(1-AG4259)*IFERROR(INDEX(계정대체기준!$D$20:$D$49,MATCH($N4259,계정대체기준!$A$20:$A$49,0)),0)))</f>
        <v/>
      </c>
      <c r="AB4259" s="94">
        <f>IF($A4259="",0,IF(AE4259="직접",IF(AF4259="수금비",$P4259,0),$P4259*(1-AG4259)*IFERROR(INDEX(계정대체기준!$E$20:$E$49,MATCH($N4259,계정대체기준!$A$20:$A$49,0)),0)))</f>
        <v/>
      </c>
      <c r="AC4259" s="9">
        <f>IF(AND($A4259&lt;&gt;"",M4259=설정!$C$20,Z4259&gt;0),Z4259+ROW()/1000000000,"")</f>
        <v/>
      </c>
      <c r="AD4259" s="94">
        <f>IF($A4259="",0,$P4259*AG4259)</f>
        <v/>
      </c>
      <c r="AE4259" s="64">
        <f>IF($A4259="","",IFERROR(INDEX(계정매핑!$E$5:$E$504,MATCH($F4259&amp;"",계정매핑!$A$5:$A$504,0))&amp;"","공통비"))</f>
        <v/>
      </c>
      <c r="AF4259" s="64">
        <f>IF($A4259="","",IF(AE4259="직접",IFERROR(INDEX(계정매핑!$F$5:$F$504,MATCH($F4259&amp;"",계정매핑!$A$5:$A$504,0))&amp;"","비귀속"),""))</f>
        <v/>
      </c>
      <c r="AG4259" s="96">
        <f>IF($A4259="",0,IF(AND(AE4259&lt;&gt;"직접",IFERROR(INDEX(계정매핑!$G$5:$G$504,MATCH($F4259&amp;"",계정매핑!$A$5:$A$504,0))&amp;"","")="유지비",COUNTIF(계정대체기준!$A$6:$A$15,$N4259)&gt;0),IFERROR(INDEX(계정대체기준!$E$6:$E$15,MATCH(VALUE($A4259&amp;""),계정대체기준!$D$6:$D$15,0)),0),0))</f>
        <v/>
      </c>
      <c r="AH4259" s="64">
        <f>IF($A4259="","",IF(AD4259=0,"",IF(OR(COUNTIF(계정대체기준!$A$77:$A$86,$N4259)&gt;0,ISNUMBER(MATCH($X4259,계정대체기준!$D$77:$D$86,0)),ISNUMBER(MATCH($F4259,계정대체기준!$D$77:$D$86,0))),"Y","N")))</f>
        <v/>
      </c>
    </row>
    <row r="4260">
      <c r="A4260" s="92" t="n">
        <v>2026</v>
      </c>
      <c r="B4260" s="92" t="n">
        <v>7</v>
      </c>
      <c r="C4260" s="92" t="inlineStr">
        <is>
          <t>5100001538</t>
        </is>
      </c>
      <c r="D4260" s="95" t="n">
        <v>46224</v>
      </c>
      <c r="E4260" s="92" t="inlineStr">
        <is>
          <t>KR</t>
        </is>
      </c>
      <c r="F4260" s="92" t="n">
        <v>63502000</v>
      </c>
      <c r="G4260" s="92" t="n">
        <v>1902</v>
      </c>
      <c r="H4260" s="93" t="n">
        <v>137623000</v>
      </c>
      <c r="I4260" s="92" t="inlineStr">
        <is>
          <t>7월 유지수수료 - (전속설계사)</t>
        </is>
      </c>
      <c r="J4260" s="92" t="inlineStr">
        <is>
          <t>V10021</t>
        </is>
      </c>
      <c r="K4260" s="92" t="inlineStr">
        <is>
          <t>(전속설계사)</t>
        </is>
      </c>
      <c r="M4260" s="9">
        <f>IF($A4260="","",VALUE($A4260&amp;"")*12+VALUE($B4260&amp;""))</f>
        <v/>
      </c>
      <c r="N4260" s="64">
        <f>IF($A4260="","",IFERROR(INDEX(부서매핑!$C$5:$C$504,MATCH($G4260&amp;"",부서매핑!$A$5:$A$504,0)),"미매핑"))</f>
        <v/>
      </c>
      <c r="O4260" s="9">
        <f>IF($A4260="","",N4260&amp;"|"&amp;$F4260)</f>
        <v/>
      </c>
      <c r="P4260" s="94">
        <f>IF($A4260="",0,$H4260*설정!$C$23)</f>
        <v/>
      </c>
      <c r="Q4260" s="64">
        <f>IF($A4260="","",IF(O4260&lt;&gt;원인분석!$C$9,"",IF(AND(M4260&gt;=원인분석!$C$10,M4260&lt;=원인분석!$C$11),"당기",IF(AND(M4260&gt;=원인분석!$C$12,M4260&lt;=원인분석!$C$13),"비교",""))))</f>
        <v/>
      </c>
      <c r="R4260" s="9">
        <f>IF(Q4260="","",$K4260&amp;"")</f>
        <v/>
      </c>
      <c r="S4260" s="9">
        <f>IF(Q4260="","",IF(MATCH(R4260,$R$5:$R$100000,0)=ROW()-4,ROW(),""))</f>
        <v/>
      </c>
      <c r="T4260" s="9">
        <f>IF(Q4260="당기",ABS(P4260)+ROW()/1000000000,"")</f>
        <v/>
      </c>
      <c r="U4260" s="9">
        <f>IF(Q4260="비교",ABS(P4260)+ROW()/1000000000,"")</f>
        <v/>
      </c>
      <c r="V4260" s="64">
        <f>IF($A4260="","",IF(COUNTIF(변동분석!$E$7:$E$506,O4260)&gt;0,"Y","N"))</f>
        <v/>
      </c>
      <c r="W4260" s="64">
        <f>IF($A4260="","",IFERROR(INDEX(계정매핑!$D$5:$D$504,MATCH($F4260&amp;"",계정매핑!$A$5:$A$504,0)),"미매핑"))</f>
        <v/>
      </c>
      <c r="X4260" s="9">
        <f>IF($A4260="","",$F4260&amp;"")</f>
        <v/>
      </c>
      <c r="Y4260" s="94">
        <f>IF($A4260="",0,IF(AE4260="직접",IF(AF4260="비귀속",$P4260,0),$P4260*(1-AG4260)*IFERROR(INDEX(계정대체기준!$F$20:$F$49,MATCH($N4260,계정대체기준!$A$20:$A$49,0)),1)))</f>
        <v/>
      </c>
      <c r="Z4260" s="94">
        <f>IF($A4260="",0,IF(AE4260="직접",IF(AF4260="신계약비",$P4260,0),$P4260*(1-AG4260)*IFERROR(INDEX(계정대체기준!$C$20:$C$49,MATCH($N4260,계정대체기준!$A$20:$A$49,0)),0)))</f>
        <v/>
      </c>
      <c r="AA4260" s="94">
        <f>IF($A4260="",0,IF(AE4260="직접",IF(OR(AF4260="유지비",AF4260="손해조사비"),$P4260,0),$P4260*(1-AG4260)*IFERROR(INDEX(계정대체기준!$D$20:$D$49,MATCH($N4260,계정대체기준!$A$20:$A$49,0)),0)))</f>
        <v/>
      </c>
      <c r="AB4260" s="94">
        <f>IF($A4260="",0,IF(AE4260="직접",IF(AF4260="수금비",$P4260,0),$P4260*(1-AG4260)*IFERROR(INDEX(계정대체기준!$E$20:$E$49,MATCH($N4260,계정대체기준!$A$20:$A$49,0)),0)))</f>
        <v/>
      </c>
      <c r="AC4260" s="9">
        <f>IF(AND($A4260&lt;&gt;"",M4260=설정!$C$20,Z4260&gt;0),Z4260+ROW()/1000000000,"")</f>
        <v/>
      </c>
      <c r="AD4260" s="94">
        <f>IF($A4260="",0,$P4260*AG4260)</f>
        <v/>
      </c>
      <c r="AE4260" s="64">
        <f>IF($A4260="","",IFERROR(INDEX(계정매핑!$E$5:$E$504,MATCH($F4260&amp;"",계정매핑!$A$5:$A$504,0))&amp;"","공통비"))</f>
        <v/>
      </c>
      <c r="AF4260" s="64">
        <f>IF($A4260="","",IF(AE4260="직접",IFERROR(INDEX(계정매핑!$F$5:$F$504,MATCH($F4260&amp;"",계정매핑!$A$5:$A$504,0))&amp;"","비귀속"),""))</f>
        <v/>
      </c>
      <c r="AG4260" s="96">
        <f>IF($A4260="",0,IF(AND(AE4260&lt;&gt;"직접",IFERROR(INDEX(계정매핑!$G$5:$G$504,MATCH($F4260&amp;"",계정매핑!$A$5:$A$504,0))&amp;"","")="유지비",COUNTIF(계정대체기준!$A$6:$A$15,$N4260)&gt;0),IFERROR(INDEX(계정대체기준!$E$6:$E$15,MATCH(VALUE($A4260&amp;""),계정대체기준!$D$6:$D$15,0)),0),0))</f>
        <v/>
      </c>
      <c r="AH4260" s="64">
        <f>IF($A4260="","",IF(AD4260=0,"",IF(OR(COUNTIF(계정대체기준!$A$77:$A$86,$N4260)&gt;0,ISNUMBER(MATCH($X4260,계정대체기준!$D$77:$D$86,0)),ISNUMBER(MATCH($F4260,계정대체기준!$D$77:$D$86,0))),"Y","N")))</f>
        <v/>
      </c>
    </row>
    <row r="4261">
      <c r="A4261" s="92" t="n">
        <v>2026</v>
      </c>
      <c r="B4261" s="92" t="n">
        <v>7</v>
      </c>
      <c r="C4261" s="92" t="inlineStr">
        <is>
          <t>5100001539</t>
        </is>
      </c>
      <c r="D4261" s="95" t="n">
        <v>46225</v>
      </c>
      <c r="E4261" s="92" t="inlineStr">
        <is>
          <t>KR</t>
        </is>
      </c>
      <c r="F4261" s="92" t="n">
        <v>62102000</v>
      </c>
      <c r="G4261" s="92" t="n">
        <v>1201</v>
      </c>
      <c r="H4261" s="93" t="n">
        <v>46000</v>
      </c>
      <c r="I4261" s="92" t="inlineStr">
        <is>
          <t>7월 해외출장 - N호텔</t>
        </is>
      </c>
      <c r="J4261" s="92" t="inlineStr">
        <is>
          <t>V10009</t>
        </is>
      </c>
      <c r="K4261" s="92" t="inlineStr">
        <is>
          <t>N호텔</t>
        </is>
      </c>
      <c r="M4261" s="9">
        <f>IF($A4261="","",VALUE($A4261&amp;"")*12+VALUE($B4261&amp;""))</f>
        <v/>
      </c>
      <c r="N4261" s="64">
        <f>IF($A4261="","",IFERROR(INDEX(부서매핑!$C$5:$C$504,MATCH($G4261&amp;"",부서매핑!$A$5:$A$504,0)),"미매핑"))</f>
        <v/>
      </c>
      <c r="O4261" s="9">
        <f>IF($A4261="","",N4261&amp;"|"&amp;$F4261)</f>
        <v/>
      </c>
      <c r="P4261" s="94">
        <f>IF($A4261="",0,$H4261*설정!$C$23)</f>
        <v/>
      </c>
      <c r="Q4261" s="64">
        <f>IF($A4261="","",IF(O4261&lt;&gt;원인분석!$C$9,"",IF(AND(M4261&gt;=원인분석!$C$10,M4261&lt;=원인분석!$C$11),"당기",IF(AND(M4261&gt;=원인분석!$C$12,M4261&lt;=원인분석!$C$13),"비교",""))))</f>
        <v/>
      </c>
      <c r="R4261" s="9">
        <f>IF(Q4261="","",$K4261&amp;"")</f>
        <v/>
      </c>
      <c r="S4261" s="9">
        <f>IF(Q4261="","",IF(MATCH(R4261,$R$5:$R$100000,0)=ROW()-4,ROW(),""))</f>
        <v/>
      </c>
      <c r="T4261" s="9">
        <f>IF(Q4261="당기",ABS(P4261)+ROW()/1000000000,"")</f>
        <v/>
      </c>
      <c r="U4261" s="9">
        <f>IF(Q4261="비교",ABS(P4261)+ROW()/1000000000,"")</f>
        <v/>
      </c>
      <c r="V4261" s="64">
        <f>IF($A4261="","",IF(COUNTIF(변동분석!$E$7:$E$506,O4261)&gt;0,"Y","N"))</f>
        <v/>
      </c>
      <c r="W4261" s="64">
        <f>IF($A4261="","",IFERROR(INDEX(계정매핑!$D$5:$D$504,MATCH($F4261&amp;"",계정매핑!$A$5:$A$504,0)),"미매핑"))</f>
        <v/>
      </c>
      <c r="X4261" s="9">
        <f>IF($A4261="","",$F4261&amp;"")</f>
        <v/>
      </c>
      <c r="Y4261" s="94">
        <f>IF($A4261="",0,IF(AE4261="직접",IF(AF4261="비귀속",$P4261,0),$P4261*(1-AG4261)*IFERROR(INDEX(계정대체기준!$F$20:$F$49,MATCH($N4261,계정대체기준!$A$20:$A$49,0)),1)))</f>
        <v/>
      </c>
      <c r="Z4261" s="94">
        <f>IF($A4261="",0,IF(AE4261="직접",IF(AF4261="신계약비",$P4261,0),$P4261*(1-AG4261)*IFERROR(INDEX(계정대체기준!$C$20:$C$49,MATCH($N4261,계정대체기준!$A$20:$A$49,0)),0)))</f>
        <v/>
      </c>
      <c r="AA4261" s="94">
        <f>IF($A4261="",0,IF(AE4261="직접",IF(OR(AF4261="유지비",AF4261="손해조사비"),$P4261,0),$P4261*(1-AG4261)*IFERROR(INDEX(계정대체기준!$D$20:$D$49,MATCH($N4261,계정대체기준!$A$20:$A$49,0)),0)))</f>
        <v/>
      </c>
      <c r="AB4261" s="94">
        <f>IF($A4261="",0,IF(AE4261="직접",IF(AF4261="수금비",$P4261,0),$P4261*(1-AG4261)*IFERROR(INDEX(계정대체기준!$E$20:$E$49,MATCH($N4261,계정대체기준!$A$20:$A$49,0)),0)))</f>
        <v/>
      </c>
      <c r="AC4261" s="9">
        <f>IF(AND($A4261&lt;&gt;"",M4261=설정!$C$20,Z4261&gt;0),Z4261+ROW()/1000000000,"")</f>
        <v/>
      </c>
      <c r="AD4261" s="94">
        <f>IF($A4261="",0,$P4261*AG4261)</f>
        <v/>
      </c>
      <c r="AE4261" s="64">
        <f>IF($A4261="","",IFERROR(INDEX(계정매핑!$E$5:$E$504,MATCH($F4261&amp;"",계정매핑!$A$5:$A$504,0))&amp;"","공통비"))</f>
        <v/>
      </c>
      <c r="AF4261" s="64">
        <f>IF($A4261="","",IF(AE4261="직접",IFERROR(INDEX(계정매핑!$F$5:$F$504,MATCH($F4261&amp;"",계정매핑!$A$5:$A$504,0))&amp;"","비귀속"),""))</f>
        <v/>
      </c>
      <c r="AG4261" s="96">
        <f>IF($A4261="",0,IF(AND(AE4261&lt;&gt;"직접",IFERROR(INDEX(계정매핑!$G$5:$G$504,MATCH($F4261&amp;"",계정매핑!$A$5:$A$504,0))&amp;"","")="유지비",COUNTIF(계정대체기준!$A$6:$A$15,$N4261)&gt;0),IFERROR(INDEX(계정대체기준!$E$6:$E$15,MATCH(VALUE($A4261&amp;""),계정대체기준!$D$6:$D$15,0)),0),0))</f>
        <v/>
      </c>
      <c r="AH4261" s="64">
        <f>IF($A4261="","",IF(AD4261=0,"",IF(OR(COUNTIF(계정대체기준!$A$77:$A$86,$N4261)&gt;0,ISNUMBER(MATCH($X4261,계정대체기준!$D$77:$D$86,0)),ISNUMBER(MATCH($F4261,계정대체기준!$D$77:$D$86,0))),"Y","N")))</f>
        <v/>
      </c>
    </row>
    <row r="4262">
      <c r="A4262" s="92" t="n">
        <v>2026</v>
      </c>
      <c r="B4262" s="92" t="n">
        <v>7</v>
      </c>
      <c r="C4262" s="92" t="inlineStr">
        <is>
          <t>5100001540</t>
        </is>
      </c>
      <c r="D4262" s="95" t="n">
        <v>46225</v>
      </c>
      <c r="E4262" s="92" t="inlineStr">
        <is>
          <t>KR</t>
        </is>
      </c>
      <c r="F4262" s="92" t="n">
        <v>62102000</v>
      </c>
      <c r="G4262" s="92" t="n">
        <v>1701</v>
      </c>
      <c r="H4262" s="93" t="n">
        <v>41000</v>
      </c>
      <c r="I4262" s="92" t="inlineStr">
        <is>
          <t>7월 해외출장 - N호텔</t>
        </is>
      </c>
      <c r="J4262" s="92" t="inlineStr">
        <is>
          <t>V10009</t>
        </is>
      </c>
      <c r="K4262" s="92" t="inlineStr">
        <is>
          <t>N호텔</t>
        </is>
      </c>
      <c r="M4262" s="9">
        <f>IF($A4262="","",VALUE($A4262&amp;"")*12+VALUE($B4262&amp;""))</f>
        <v/>
      </c>
      <c r="N4262" s="64">
        <f>IF($A4262="","",IFERROR(INDEX(부서매핑!$C$5:$C$504,MATCH($G4262&amp;"",부서매핑!$A$5:$A$504,0)),"미매핑"))</f>
        <v/>
      </c>
      <c r="O4262" s="9">
        <f>IF($A4262="","",N4262&amp;"|"&amp;$F4262)</f>
        <v/>
      </c>
      <c r="P4262" s="94">
        <f>IF($A4262="",0,$H4262*설정!$C$23)</f>
        <v/>
      </c>
      <c r="Q4262" s="64">
        <f>IF($A4262="","",IF(O4262&lt;&gt;원인분석!$C$9,"",IF(AND(M4262&gt;=원인분석!$C$10,M4262&lt;=원인분석!$C$11),"당기",IF(AND(M4262&gt;=원인분석!$C$12,M4262&lt;=원인분석!$C$13),"비교",""))))</f>
        <v/>
      </c>
      <c r="R4262" s="9">
        <f>IF(Q4262="","",$K4262&amp;"")</f>
        <v/>
      </c>
      <c r="S4262" s="9">
        <f>IF(Q4262="","",IF(MATCH(R4262,$R$5:$R$100000,0)=ROW()-4,ROW(),""))</f>
        <v/>
      </c>
      <c r="T4262" s="9">
        <f>IF(Q4262="당기",ABS(P4262)+ROW()/1000000000,"")</f>
        <v/>
      </c>
      <c r="U4262" s="9">
        <f>IF(Q4262="비교",ABS(P4262)+ROW()/1000000000,"")</f>
        <v/>
      </c>
      <c r="V4262" s="64">
        <f>IF($A4262="","",IF(COUNTIF(변동분석!$E$7:$E$506,O4262)&gt;0,"Y","N"))</f>
        <v/>
      </c>
      <c r="W4262" s="64">
        <f>IF($A4262="","",IFERROR(INDEX(계정매핑!$D$5:$D$504,MATCH($F4262&amp;"",계정매핑!$A$5:$A$504,0)),"미매핑"))</f>
        <v/>
      </c>
      <c r="X4262" s="9">
        <f>IF($A4262="","",$F4262&amp;"")</f>
        <v/>
      </c>
      <c r="Y4262" s="94">
        <f>IF($A4262="",0,IF(AE4262="직접",IF(AF4262="비귀속",$P4262,0),$P4262*(1-AG4262)*IFERROR(INDEX(계정대체기준!$F$20:$F$49,MATCH($N4262,계정대체기준!$A$20:$A$49,0)),1)))</f>
        <v/>
      </c>
      <c r="Z4262" s="94">
        <f>IF($A4262="",0,IF(AE4262="직접",IF(AF4262="신계약비",$P4262,0),$P4262*(1-AG4262)*IFERROR(INDEX(계정대체기준!$C$20:$C$49,MATCH($N4262,계정대체기준!$A$20:$A$49,0)),0)))</f>
        <v/>
      </c>
      <c r="AA4262" s="94">
        <f>IF($A4262="",0,IF(AE4262="직접",IF(OR(AF4262="유지비",AF4262="손해조사비"),$P4262,0),$P4262*(1-AG4262)*IFERROR(INDEX(계정대체기준!$D$20:$D$49,MATCH($N4262,계정대체기준!$A$20:$A$49,0)),0)))</f>
        <v/>
      </c>
      <c r="AB4262" s="94">
        <f>IF($A4262="",0,IF(AE4262="직접",IF(AF4262="수금비",$P4262,0),$P4262*(1-AG4262)*IFERROR(INDEX(계정대체기준!$E$20:$E$49,MATCH($N4262,계정대체기준!$A$20:$A$49,0)),0)))</f>
        <v/>
      </c>
      <c r="AC4262" s="9">
        <f>IF(AND($A4262&lt;&gt;"",M4262=설정!$C$20,Z4262&gt;0),Z4262+ROW()/1000000000,"")</f>
        <v/>
      </c>
      <c r="AD4262" s="94">
        <f>IF($A4262="",0,$P4262*AG4262)</f>
        <v/>
      </c>
      <c r="AE4262" s="64">
        <f>IF($A4262="","",IFERROR(INDEX(계정매핑!$E$5:$E$504,MATCH($F4262&amp;"",계정매핑!$A$5:$A$504,0))&amp;"","공통비"))</f>
        <v/>
      </c>
      <c r="AF4262" s="64">
        <f>IF($A4262="","",IF(AE4262="직접",IFERROR(INDEX(계정매핑!$F$5:$F$504,MATCH($F4262&amp;"",계정매핑!$A$5:$A$504,0))&amp;"","비귀속"),""))</f>
        <v/>
      </c>
      <c r="AG4262" s="96">
        <f>IF($A4262="",0,IF(AND(AE4262&lt;&gt;"직접",IFERROR(INDEX(계정매핑!$G$5:$G$504,MATCH($F4262&amp;"",계정매핑!$A$5:$A$504,0))&amp;"","")="유지비",COUNTIF(계정대체기준!$A$6:$A$15,$N4262)&gt;0),IFERROR(INDEX(계정대체기준!$E$6:$E$15,MATCH(VALUE($A4262&amp;""),계정대체기준!$D$6:$D$15,0)),0),0))</f>
        <v/>
      </c>
      <c r="AH4262" s="64">
        <f>IF($A4262="","",IF(AD4262=0,"",IF(OR(COUNTIF(계정대체기준!$A$77:$A$86,$N4262)&gt;0,ISNUMBER(MATCH($X4262,계정대체기준!$D$77:$D$86,0)),ISNUMBER(MATCH($F4262,계정대체기준!$D$77:$D$86,0))),"Y","N")))</f>
        <v/>
      </c>
    </row>
    <row r="4263">
      <c r="A4263" s="92" t="n">
        <v>2026</v>
      </c>
      <c r="B4263" s="92" t="n">
        <v>7</v>
      </c>
      <c r="C4263" s="92" t="inlineStr">
        <is>
          <t>5100001541</t>
        </is>
      </c>
      <c r="D4263" s="95" t="n">
        <v>46225</v>
      </c>
      <c r="E4263" s="92" t="inlineStr">
        <is>
          <t>KR</t>
        </is>
      </c>
      <c r="F4263" s="92" t="n">
        <v>62501000</v>
      </c>
      <c r="G4263" s="92" t="n">
        <v>1501</v>
      </c>
      <c r="H4263" s="93" t="n">
        <v>276000</v>
      </c>
      <c r="I4263" s="92" t="inlineStr">
        <is>
          <t>7월 회의 다과 - T케이터링</t>
        </is>
      </c>
      <c r="J4263" s="92" t="inlineStr">
        <is>
          <t>V10005</t>
        </is>
      </c>
      <c r="K4263" s="92" t="inlineStr">
        <is>
          <t>T케이터링</t>
        </is>
      </c>
      <c r="M4263" s="9">
        <f>IF($A4263="","",VALUE($A4263&amp;"")*12+VALUE($B4263&amp;""))</f>
        <v/>
      </c>
      <c r="N4263" s="64">
        <f>IF($A4263="","",IFERROR(INDEX(부서매핑!$C$5:$C$504,MATCH($G4263&amp;"",부서매핑!$A$5:$A$504,0)),"미매핑"))</f>
        <v/>
      </c>
      <c r="O4263" s="9">
        <f>IF($A4263="","",N4263&amp;"|"&amp;$F4263)</f>
        <v/>
      </c>
      <c r="P4263" s="94">
        <f>IF($A4263="",0,$H4263*설정!$C$23)</f>
        <v/>
      </c>
      <c r="Q4263" s="64">
        <f>IF($A4263="","",IF(O4263&lt;&gt;원인분석!$C$9,"",IF(AND(M4263&gt;=원인분석!$C$10,M4263&lt;=원인분석!$C$11),"당기",IF(AND(M4263&gt;=원인분석!$C$12,M4263&lt;=원인분석!$C$13),"비교",""))))</f>
        <v/>
      </c>
      <c r="R4263" s="9">
        <f>IF(Q4263="","",$K4263&amp;"")</f>
        <v/>
      </c>
      <c r="S4263" s="9">
        <f>IF(Q4263="","",IF(MATCH(R4263,$R$5:$R$100000,0)=ROW()-4,ROW(),""))</f>
        <v/>
      </c>
      <c r="T4263" s="9">
        <f>IF(Q4263="당기",ABS(P4263)+ROW()/1000000000,"")</f>
        <v/>
      </c>
      <c r="U4263" s="9">
        <f>IF(Q4263="비교",ABS(P4263)+ROW()/1000000000,"")</f>
        <v/>
      </c>
      <c r="V4263" s="64">
        <f>IF($A4263="","",IF(COUNTIF(변동분석!$E$7:$E$506,O4263)&gt;0,"Y","N"))</f>
        <v/>
      </c>
      <c r="W4263" s="64">
        <f>IF($A4263="","",IFERROR(INDEX(계정매핑!$D$5:$D$504,MATCH($F4263&amp;"",계정매핑!$A$5:$A$504,0)),"미매핑"))</f>
        <v/>
      </c>
      <c r="X4263" s="9">
        <f>IF($A4263="","",$F4263&amp;"")</f>
        <v/>
      </c>
      <c r="Y4263" s="94">
        <f>IF($A4263="",0,IF(AE4263="직접",IF(AF4263="비귀속",$P4263,0),$P4263*(1-AG4263)*IFERROR(INDEX(계정대체기준!$F$20:$F$49,MATCH($N4263,계정대체기준!$A$20:$A$49,0)),1)))</f>
        <v/>
      </c>
      <c r="Z4263" s="94">
        <f>IF($A4263="",0,IF(AE4263="직접",IF(AF4263="신계약비",$P4263,0),$P4263*(1-AG4263)*IFERROR(INDEX(계정대체기준!$C$20:$C$49,MATCH($N4263,계정대체기준!$A$20:$A$49,0)),0)))</f>
        <v/>
      </c>
      <c r="AA4263" s="94">
        <f>IF($A4263="",0,IF(AE4263="직접",IF(OR(AF4263="유지비",AF4263="손해조사비"),$P4263,0),$P4263*(1-AG4263)*IFERROR(INDEX(계정대체기준!$D$20:$D$49,MATCH($N4263,계정대체기준!$A$20:$A$49,0)),0)))</f>
        <v/>
      </c>
      <c r="AB4263" s="94">
        <f>IF($A4263="",0,IF(AE4263="직접",IF(AF4263="수금비",$P4263,0),$P4263*(1-AG4263)*IFERROR(INDEX(계정대체기준!$E$20:$E$49,MATCH($N4263,계정대체기준!$A$20:$A$49,0)),0)))</f>
        <v/>
      </c>
      <c r="AC4263" s="9">
        <f>IF(AND($A4263&lt;&gt;"",M4263=설정!$C$20,Z4263&gt;0),Z4263+ROW()/1000000000,"")</f>
        <v/>
      </c>
      <c r="AD4263" s="94">
        <f>IF($A4263="",0,$P4263*AG4263)</f>
        <v/>
      </c>
      <c r="AE4263" s="64">
        <f>IF($A4263="","",IFERROR(INDEX(계정매핑!$E$5:$E$504,MATCH($F4263&amp;"",계정매핑!$A$5:$A$504,0))&amp;"","공통비"))</f>
        <v/>
      </c>
      <c r="AF4263" s="64">
        <f>IF($A4263="","",IF(AE4263="직접",IFERROR(INDEX(계정매핑!$F$5:$F$504,MATCH($F4263&amp;"",계정매핑!$A$5:$A$504,0))&amp;"","비귀속"),""))</f>
        <v/>
      </c>
      <c r="AG4263" s="96">
        <f>IF($A4263="",0,IF(AND(AE4263&lt;&gt;"직접",IFERROR(INDEX(계정매핑!$G$5:$G$504,MATCH($F4263&amp;"",계정매핑!$A$5:$A$504,0))&amp;"","")="유지비",COUNTIF(계정대체기준!$A$6:$A$15,$N4263)&gt;0),IFERROR(INDEX(계정대체기준!$E$6:$E$15,MATCH(VALUE($A4263&amp;""),계정대체기준!$D$6:$D$15,0)),0),0))</f>
        <v/>
      </c>
      <c r="AH4263" s="64">
        <f>IF($A4263="","",IF(AD4263=0,"",IF(OR(COUNTIF(계정대체기준!$A$77:$A$86,$N4263)&gt;0,ISNUMBER(MATCH($X4263,계정대체기준!$D$77:$D$86,0)),ISNUMBER(MATCH($F4263,계정대체기준!$D$77:$D$86,0))),"Y","N")))</f>
        <v/>
      </c>
    </row>
    <row r="4264">
      <c r="A4264" s="92" t="n">
        <v>2026</v>
      </c>
      <c r="B4264" s="92" t="n">
        <v>7</v>
      </c>
      <c r="C4264" s="92" t="inlineStr">
        <is>
          <t>5100001542</t>
        </is>
      </c>
      <c r="D4264" s="95" t="n">
        <v>46225</v>
      </c>
      <c r="E4264" s="92" t="inlineStr">
        <is>
          <t>KR</t>
        </is>
      </c>
      <c r="F4264" s="92" t="n">
        <v>62601000</v>
      </c>
      <c r="G4264" s="92" t="n">
        <v>1502</v>
      </c>
      <c r="H4264" s="93" t="n">
        <v>1263000</v>
      </c>
      <c r="I4264" s="92" t="inlineStr">
        <is>
          <t>7월 업무추진 - (법인카드)</t>
        </is>
      </c>
      <c r="J4264" s="92" t="inlineStr">
        <is>
          <t>V10010</t>
        </is>
      </c>
      <c r="K4264" s="92" t="inlineStr">
        <is>
          <t>(법인카드)</t>
        </is>
      </c>
      <c r="M4264" s="9">
        <f>IF($A4264="","",VALUE($A4264&amp;"")*12+VALUE($B4264&amp;""))</f>
        <v/>
      </c>
      <c r="N4264" s="64">
        <f>IF($A4264="","",IFERROR(INDEX(부서매핑!$C$5:$C$504,MATCH($G4264&amp;"",부서매핑!$A$5:$A$504,0)),"미매핑"))</f>
        <v/>
      </c>
      <c r="O4264" s="9">
        <f>IF($A4264="","",N4264&amp;"|"&amp;$F4264)</f>
        <v/>
      </c>
      <c r="P4264" s="94">
        <f>IF($A4264="",0,$H4264*설정!$C$23)</f>
        <v/>
      </c>
      <c r="Q4264" s="64">
        <f>IF($A4264="","",IF(O4264&lt;&gt;원인분석!$C$9,"",IF(AND(M4264&gt;=원인분석!$C$10,M4264&lt;=원인분석!$C$11),"당기",IF(AND(M4264&gt;=원인분석!$C$12,M4264&lt;=원인분석!$C$13),"비교",""))))</f>
        <v/>
      </c>
      <c r="R4264" s="9">
        <f>IF(Q4264="","",$K4264&amp;"")</f>
        <v/>
      </c>
      <c r="S4264" s="9">
        <f>IF(Q4264="","",IF(MATCH(R4264,$R$5:$R$100000,0)=ROW()-4,ROW(),""))</f>
        <v/>
      </c>
      <c r="T4264" s="9">
        <f>IF(Q4264="당기",ABS(P4264)+ROW()/1000000000,"")</f>
        <v/>
      </c>
      <c r="U4264" s="9">
        <f>IF(Q4264="비교",ABS(P4264)+ROW()/1000000000,"")</f>
        <v/>
      </c>
      <c r="V4264" s="64">
        <f>IF($A4264="","",IF(COUNTIF(변동분석!$E$7:$E$506,O4264)&gt;0,"Y","N"))</f>
        <v/>
      </c>
      <c r="W4264" s="64">
        <f>IF($A4264="","",IFERROR(INDEX(계정매핑!$D$5:$D$504,MATCH($F4264&amp;"",계정매핑!$A$5:$A$504,0)),"미매핑"))</f>
        <v/>
      </c>
      <c r="X4264" s="9">
        <f>IF($A4264="","",$F4264&amp;"")</f>
        <v/>
      </c>
      <c r="Y4264" s="94">
        <f>IF($A4264="",0,IF(AE4264="직접",IF(AF4264="비귀속",$P4264,0),$P4264*(1-AG4264)*IFERROR(INDEX(계정대체기준!$F$20:$F$49,MATCH($N4264,계정대체기준!$A$20:$A$49,0)),1)))</f>
        <v/>
      </c>
      <c r="Z4264" s="94">
        <f>IF($A4264="",0,IF(AE4264="직접",IF(AF4264="신계약비",$P4264,0),$P4264*(1-AG4264)*IFERROR(INDEX(계정대체기준!$C$20:$C$49,MATCH($N4264,계정대체기준!$A$20:$A$49,0)),0)))</f>
        <v/>
      </c>
      <c r="AA4264" s="94">
        <f>IF($A4264="",0,IF(AE4264="직접",IF(OR(AF4264="유지비",AF4264="손해조사비"),$P4264,0),$P4264*(1-AG4264)*IFERROR(INDEX(계정대체기준!$D$20:$D$49,MATCH($N4264,계정대체기준!$A$20:$A$49,0)),0)))</f>
        <v/>
      </c>
      <c r="AB4264" s="94">
        <f>IF($A4264="",0,IF(AE4264="직접",IF(AF4264="수금비",$P4264,0),$P4264*(1-AG4264)*IFERROR(INDEX(계정대체기준!$E$20:$E$49,MATCH($N4264,계정대체기준!$A$20:$A$49,0)),0)))</f>
        <v/>
      </c>
      <c r="AC4264" s="9">
        <f>IF(AND($A4264&lt;&gt;"",M4264=설정!$C$20,Z4264&gt;0),Z4264+ROW()/1000000000,"")</f>
        <v/>
      </c>
      <c r="AD4264" s="94">
        <f>IF($A4264="",0,$P4264*AG4264)</f>
        <v/>
      </c>
      <c r="AE4264" s="64">
        <f>IF($A4264="","",IFERROR(INDEX(계정매핑!$E$5:$E$504,MATCH($F4264&amp;"",계정매핑!$A$5:$A$504,0))&amp;"","공통비"))</f>
        <v/>
      </c>
      <c r="AF4264" s="64">
        <f>IF($A4264="","",IF(AE4264="직접",IFERROR(INDEX(계정매핑!$F$5:$F$504,MATCH($F4264&amp;"",계정매핑!$A$5:$A$504,0))&amp;"","비귀속"),""))</f>
        <v/>
      </c>
      <c r="AG4264" s="96">
        <f>IF($A4264="",0,IF(AND(AE4264&lt;&gt;"직접",IFERROR(INDEX(계정매핑!$G$5:$G$504,MATCH($F4264&amp;"",계정매핑!$A$5:$A$504,0))&amp;"","")="유지비",COUNTIF(계정대체기준!$A$6:$A$15,$N4264)&gt;0),IFERROR(INDEX(계정대체기준!$E$6:$E$15,MATCH(VALUE($A4264&amp;""),계정대체기준!$D$6:$D$15,0)),0),0))</f>
        <v/>
      </c>
      <c r="AH4264" s="64">
        <f>IF($A4264="","",IF(AD4264=0,"",IF(OR(COUNTIF(계정대체기준!$A$77:$A$86,$N4264)&gt;0,ISNUMBER(MATCH($X4264,계정대체기준!$D$77:$D$86,0)),ISNUMBER(MATCH($F4264,계정대체기준!$D$77:$D$86,0))),"Y","N")))</f>
        <v/>
      </c>
    </row>
    <row r="4265">
      <c r="A4265" s="92" t="n">
        <v>2026</v>
      </c>
      <c r="B4265" s="92" t="n">
        <v>7</v>
      </c>
      <c r="C4265" s="92" t="inlineStr">
        <is>
          <t>5100001543</t>
        </is>
      </c>
      <c r="D4265" s="95" t="n">
        <v>46226</v>
      </c>
      <c r="E4265" s="92" t="inlineStr">
        <is>
          <t>KR</t>
        </is>
      </c>
      <c r="F4265" s="92" t="n">
        <v>62101000</v>
      </c>
      <c r="G4265" s="92" t="n">
        <v>1201</v>
      </c>
      <c r="H4265" s="93" t="n">
        <v>282000</v>
      </c>
      <c r="I4265" s="92" t="inlineStr">
        <is>
          <t>7월 국내출장 - (법인카드)</t>
        </is>
      </c>
      <c r="J4265" s="92" t="inlineStr">
        <is>
          <t>V10010</t>
        </is>
      </c>
      <c r="K4265" s="92" t="inlineStr">
        <is>
          <t>(법인카드)</t>
        </is>
      </c>
      <c r="M4265" s="9">
        <f>IF($A4265="","",VALUE($A4265&amp;"")*12+VALUE($B4265&amp;""))</f>
        <v/>
      </c>
      <c r="N4265" s="64">
        <f>IF($A4265="","",IFERROR(INDEX(부서매핑!$C$5:$C$504,MATCH($G4265&amp;"",부서매핑!$A$5:$A$504,0)),"미매핑"))</f>
        <v/>
      </c>
      <c r="O4265" s="9">
        <f>IF($A4265="","",N4265&amp;"|"&amp;$F4265)</f>
        <v/>
      </c>
      <c r="P4265" s="94">
        <f>IF($A4265="",0,$H4265*설정!$C$23)</f>
        <v/>
      </c>
      <c r="Q4265" s="64">
        <f>IF($A4265="","",IF(O4265&lt;&gt;원인분석!$C$9,"",IF(AND(M4265&gt;=원인분석!$C$10,M4265&lt;=원인분석!$C$11),"당기",IF(AND(M4265&gt;=원인분석!$C$12,M4265&lt;=원인분석!$C$13),"비교",""))))</f>
        <v/>
      </c>
      <c r="R4265" s="9">
        <f>IF(Q4265="","",$K4265&amp;"")</f>
        <v/>
      </c>
      <c r="S4265" s="9">
        <f>IF(Q4265="","",IF(MATCH(R4265,$R$5:$R$100000,0)=ROW()-4,ROW(),""))</f>
        <v/>
      </c>
      <c r="T4265" s="9">
        <f>IF(Q4265="당기",ABS(P4265)+ROW()/1000000000,"")</f>
        <v/>
      </c>
      <c r="U4265" s="9">
        <f>IF(Q4265="비교",ABS(P4265)+ROW()/1000000000,"")</f>
        <v/>
      </c>
      <c r="V4265" s="64">
        <f>IF($A4265="","",IF(COUNTIF(변동분석!$E$7:$E$506,O4265)&gt;0,"Y","N"))</f>
        <v/>
      </c>
      <c r="W4265" s="64">
        <f>IF($A4265="","",IFERROR(INDEX(계정매핑!$D$5:$D$504,MATCH($F4265&amp;"",계정매핑!$A$5:$A$504,0)),"미매핑"))</f>
        <v/>
      </c>
      <c r="X4265" s="9">
        <f>IF($A4265="","",$F4265&amp;"")</f>
        <v/>
      </c>
      <c r="Y4265" s="94">
        <f>IF($A4265="",0,IF(AE4265="직접",IF(AF4265="비귀속",$P4265,0),$P4265*(1-AG4265)*IFERROR(INDEX(계정대체기준!$F$20:$F$49,MATCH($N4265,계정대체기준!$A$20:$A$49,0)),1)))</f>
        <v/>
      </c>
      <c r="Z4265" s="94">
        <f>IF($A4265="",0,IF(AE4265="직접",IF(AF4265="신계약비",$P4265,0),$P4265*(1-AG4265)*IFERROR(INDEX(계정대체기준!$C$20:$C$49,MATCH($N4265,계정대체기준!$A$20:$A$49,0)),0)))</f>
        <v/>
      </c>
      <c r="AA4265" s="94">
        <f>IF($A4265="",0,IF(AE4265="직접",IF(OR(AF4265="유지비",AF4265="손해조사비"),$P4265,0),$P4265*(1-AG4265)*IFERROR(INDEX(계정대체기준!$D$20:$D$49,MATCH($N4265,계정대체기준!$A$20:$A$49,0)),0)))</f>
        <v/>
      </c>
      <c r="AB4265" s="94">
        <f>IF($A4265="",0,IF(AE4265="직접",IF(AF4265="수금비",$P4265,0),$P4265*(1-AG4265)*IFERROR(INDEX(계정대체기준!$E$20:$E$49,MATCH($N4265,계정대체기준!$A$20:$A$49,0)),0)))</f>
        <v/>
      </c>
      <c r="AC4265" s="9">
        <f>IF(AND($A4265&lt;&gt;"",M4265=설정!$C$20,Z4265&gt;0),Z4265+ROW()/1000000000,"")</f>
        <v/>
      </c>
      <c r="AD4265" s="94">
        <f>IF($A4265="",0,$P4265*AG4265)</f>
        <v/>
      </c>
      <c r="AE4265" s="64">
        <f>IF($A4265="","",IFERROR(INDEX(계정매핑!$E$5:$E$504,MATCH($F4265&amp;"",계정매핑!$A$5:$A$504,0))&amp;"","공통비"))</f>
        <v/>
      </c>
      <c r="AF4265" s="64">
        <f>IF($A4265="","",IF(AE4265="직접",IFERROR(INDEX(계정매핑!$F$5:$F$504,MATCH($F4265&amp;"",계정매핑!$A$5:$A$504,0))&amp;"","비귀속"),""))</f>
        <v/>
      </c>
      <c r="AG4265" s="96">
        <f>IF($A4265="",0,IF(AND(AE4265&lt;&gt;"직접",IFERROR(INDEX(계정매핑!$G$5:$G$504,MATCH($F4265&amp;"",계정매핑!$A$5:$A$504,0))&amp;"","")="유지비",COUNTIF(계정대체기준!$A$6:$A$15,$N4265)&gt;0),IFERROR(INDEX(계정대체기준!$E$6:$E$15,MATCH(VALUE($A4265&amp;""),계정대체기준!$D$6:$D$15,0)),0),0))</f>
        <v/>
      </c>
      <c r="AH4265" s="64">
        <f>IF($A4265="","",IF(AD4265=0,"",IF(OR(COUNTIF(계정대체기준!$A$77:$A$86,$N4265)&gt;0,ISNUMBER(MATCH($X4265,계정대체기준!$D$77:$D$86,0)),ISNUMBER(MATCH($F4265,계정대체기준!$D$77:$D$86,0))),"Y","N")))</f>
        <v/>
      </c>
    </row>
    <row r="4266">
      <c r="A4266" s="92" t="n">
        <v>2026</v>
      </c>
      <c r="B4266" s="92" t="n">
        <v>7</v>
      </c>
      <c r="C4266" s="92" t="inlineStr">
        <is>
          <t>5100001544</t>
        </is>
      </c>
      <c r="D4266" s="95" t="n">
        <v>46226</v>
      </c>
      <c r="E4266" s="92" t="inlineStr">
        <is>
          <t>KR</t>
        </is>
      </c>
      <c r="F4266" s="92" t="n">
        <v>62102000</v>
      </c>
      <c r="G4266" s="92" t="n">
        <v>1101</v>
      </c>
      <c r="H4266" s="93" t="n">
        <v>267000</v>
      </c>
      <c r="I4266" s="92" t="inlineStr">
        <is>
          <t>7월 해외출장 - N호텔</t>
        </is>
      </c>
      <c r="J4266" s="92" t="inlineStr">
        <is>
          <t>V10009</t>
        </is>
      </c>
      <c r="K4266" s="92" t="inlineStr">
        <is>
          <t>N호텔</t>
        </is>
      </c>
      <c r="M4266" s="9">
        <f>IF($A4266="","",VALUE($A4266&amp;"")*12+VALUE($B4266&amp;""))</f>
        <v/>
      </c>
      <c r="N4266" s="64">
        <f>IF($A4266="","",IFERROR(INDEX(부서매핑!$C$5:$C$504,MATCH($G4266&amp;"",부서매핑!$A$5:$A$504,0)),"미매핑"))</f>
        <v/>
      </c>
      <c r="O4266" s="9">
        <f>IF($A4266="","",N4266&amp;"|"&amp;$F4266)</f>
        <v/>
      </c>
      <c r="P4266" s="94">
        <f>IF($A4266="",0,$H4266*설정!$C$23)</f>
        <v/>
      </c>
      <c r="Q4266" s="64">
        <f>IF($A4266="","",IF(O4266&lt;&gt;원인분석!$C$9,"",IF(AND(M4266&gt;=원인분석!$C$10,M4266&lt;=원인분석!$C$11),"당기",IF(AND(M4266&gt;=원인분석!$C$12,M4266&lt;=원인분석!$C$13),"비교",""))))</f>
        <v/>
      </c>
      <c r="R4266" s="9">
        <f>IF(Q4266="","",$K4266&amp;"")</f>
        <v/>
      </c>
      <c r="S4266" s="9">
        <f>IF(Q4266="","",IF(MATCH(R4266,$R$5:$R$100000,0)=ROW()-4,ROW(),""))</f>
        <v/>
      </c>
      <c r="T4266" s="9">
        <f>IF(Q4266="당기",ABS(P4266)+ROW()/1000000000,"")</f>
        <v/>
      </c>
      <c r="U4266" s="9">
        <f>IF(Q4266="비교",ABS(P4266)+ROW()/1000000000,"")</f>
        <v/>
      </c>
      <c r="V4266" s="64">
        <f>IF($A4266="","",IF(COUNTIF(변동분석!$E$7:$E$506,O4266)&gt;0,"Y","N"))</f>
        <v/>
      </c>
      <c r="W4266" s="64">
        <f>IF($A4266="","",IFERROR(INDEX(계정매핑!$D$5:$D$504,MATCH($F4266&amp;"",계정매핑!$A$5:$A$504,0)),"미매핑"))</f>
        <v/>
      </c>
      <c r="X4266" s="9">
        <f>IF($A4266="","",$F4266&amp;"")</f>
        <v/>
      </c>
      <c r="Y4266" s="94">
        <f>IF($A4266="",0,IF(AE4266="직접",IF(AF4266="비귀속",$P4266,0),$P4266*(1-AG4266)*IFERROR(INDEX(계정대체기준!$F$20:$F$49,MATCH($N4266,계정대체기준!$A$20:$A$49,0)),1)))</f>
        <v/>
      </c>
      <c r="Z4266" s="94">
        <f>IF($A4266="",0,IF(AE4266="직접",IF(AF4266="신계약비",$P4266,0),$P4266*(1-AG4266)*IFERROR(INDEX(계정대체기준!$C$20:$C$49,MATCH($N4266,계정대체기준!$A$20:$A$49,0)),0)))</f>
        <v/>
      </c>
      <c r="AA4266" s="94">
        <f>IF($A4266="",0,IF(AE4266="직접",IF(OR(AF4266="유지비",AF4266="손해조사비"),$P4266,0),$P4266*(1-AG4266)*IFERROR(INDEX(계정대체기준!$D$20:$D$49,MATCH($N4266,계정대체기준!$A$20:$A$49,0)),0)))</f>
        <v/>
      </c>
      <c r="AB4266" s="94">
        <f>IF($A4266="",0,IF(AE4266="직접",IF(AF4266="수금비",$P4266,0),$P4266*(1-AG4266)*IFERROR(INDEX(계정대체기준!$E$20:$E$49,MATCH($N4266,계정대체기준!$A$20:$A$49,0)),0)))</f>
        <v/>
      </c>
      <c r="AC4266" s="9">
        <f>IF(AND($A4266&lt;&gt;"",M4266=설정!$C$20,Z4266&gt;0),Z4266+ROW()/1000000000,"")</f>
        <v/>
      </c>
      <c r="AD4266" s="94">
        <f>IF($A4266="",0,$P4266*AG4266)</f>
        <v/>
      </c>
      <c r="AE4266" s="64">
        <f>IF($A4266="","",IFERROR(INDEX(계정매핑!$E$5:$E$504,MATCH($F4266&amp;"",계정매핑!$A$5:$A$504,0))&amp;"","공통비"))</f>
        <v/>
      </c>
      <c r="AF4266" s="64">
        <f>IF($A4266="","",IF(AE4266="직접",IFERROR(INDEX(계정매핑!$F$5:$F$504,MATCH($F4266&amp;"",계정매핑!$A$5:$A$504,0))&amp;"","비귀속"),""))</f>
        <v/>
      </c>
      <c r="AG4266" s="96">
        <f>IF($A4266="",0,IF(AND(AE4266&lt;&gt;"직접",IFERROR(INDEX(계정매핑!$G$5:$G$504,MATCH($F4266&amp;"",계정매핑!$A$5:$A$504,0))&amp;"","")="유지비",COUNTIF(계정대체기준!$A$6:$A$15,$N4266)&gt;0),IFERROR(INDEX(계정대체기준!$E$6:$E$15,MATCH(VALUE($A4266&amp;""),계정대체기준!$D$6:$D$15,0)),0),0))</f>
        <v/>
      </c>
      <c r="AH4266" s="64">
        <f>IF($A4266="","",IF(AD4266=0,"",IF(OR(COUNTIF(계정대체기준!$A$77:$A$86,$N4266)&gt;0,ISNUMBER(MATCH($X4266,계정대체기준!$D$77:$D$86,0)),ISNUMBER(MATCH($F4266,계정대체기준!$D$77:$D$86,0))),"Y","N")))</f>
        <v/>
      </c>
    </row>
    <row r="4267">
      <c r="A4267" s="92" t="n">
        <v>2026</v>
      </c>
      <c r="B4267" s="92" t="n">
        <v>7</v>
      </c>
      <c r="C4267" s="92" t="inlineStr">
        <is>
          <t>5100001545</t>
        </is>
      </c>
      <c r="D4267" s="95" t="n">
        <v>46226</v>
      </c>
      <c r="E4267" s="92" t="inlineStr">
        <is>
          <t>KR</t>
        </is>
      </c>
      <c r="F4267" s="92" t="n">
        <v>62201000</v>
      </c>
      <c r="G4267" s="92" t="n">
        <v>1101</v>
      </c>
      <c r="H4267" s="93" t="n">
        <v>311000</v>
      </c>
      <c r="I4267" s="92" t="inlineStr">
        <is>
          <t>7월 통신요금 - O텔레콤</t>
        </is>
      </c>
      <c r="J4267" s="92" t="inlineStr">
        <is>
          <t>V10002</t>
        </is>
      </c>
      <c r="K4267" s="92" t="inlineStr">
        <is>
          <t>O텔레콤</t>
        </is>
      </c>
      <c r="M4267" s="9">
        <f>IF($A4267="","",VALUE($A4267&amp;"")*12+VALUE($B4267&amp;""))</f>
        <v/>
      </c>
      <c r="N4267" s="64">
        <f>IF($A4267="","",IFERROR(INDEX(부서매핑!$C$5:$C$504,MATCH($G4267&amp;"",부서매핑!$A$5:$A$504,0)),"미매핑"))</f>
        <v/>
      </c>
      <c r="O4267" s="9">
        <f>IF($A4267="","",N4267&amp;"|"&amp;$F4267)</f>
        <v/>
      </c>
      <c r="P4267" s="94">
        <f>IF($A4267="",0,$H4267*설정!$C$23)</f>
        <v/>
      </c>
      <c r="Q4267" s="64">
        <f>IF($A4267="","",IF(O4267&lt;&gt;원인분석!$C$9,"",IF(AND(M4267&gt;=원인분석!$C$10,M4267&lt;=원인분석!$C$11),"당기",IF(AND(M4267&gt;=원인분석!$C$12,M4267&lt;=원인분석!$C$13),"비교",""))))</f>
        <v/>
      </c>
      <c r="R4267" s="9">
        <f>IF(Q4267="","",$K4267&amp;"")</f>
        <v/>
      </c>
      <c r="S4267" s="9">
        <f>IF(Q4267="","",IF(MATCH(R4267,$R$5:$R$100000,0)=ROW()-4,ROW(),""))</f>
        <v/>
      </c>
      <c r="T4267" s="9">
        <f>IF(Q4267="당기",ABS(P4267)+ROW()/1000000000,"")</f>
        <v/>
      </c>
      <c r="U4267" s="9">
        <f>IF(Q4267="비교",ABS(P4267)+ROW()/1000000000,"")</f>
        <v/>
      </c>
      <c r="V4267" s="64">
        <f>IF($A4267="","",IF(COUNTIF(변동분석!$E$7:$E$506,O4267)&gt;0,"Y","N"))</f>
        <v/>
      </c>
      <c r="W4267" s="64">
        <f>IF($A4267="","",IFERROR(INDEX(계정매핑!$D$5:$D$504,MATCH($F4267&amp;"",계정매핑!$A$5:$A$504,0)),"미매핑"))</f>
        <v/>
      </c>
      <c r="X4267" s="9">
        <f>IF($A4267="","",$F4267&amp;"")</f>
        <v/>
      </c>
      <c r="Y4267" s="94">
        <f>IF($A4267="",0,IF(AE4267="직접",IF(AF4267="비귀속",$P4267,0),$P4267*(1-AG4267)*IFERROR(INDEX(계정대체기준!$F$20:$F$49,MATCH($N4267,계정대체기준!$A$20:$A$49,0)),1)))</f>
        <v/>
      </c>
      <c r="Z4267" s="94">
        <f>IF($A4267="",0,IF(AE4267="직접",IF(AF4267="신계약비",$P4267,0),$P4267*(1-AG4267)*IFERROR(INDEX(계정대체기준!$C$20:$C$49,MATCH($N4267,계정대체기준!$A$20:$A$49,0)),0)))</f>
        <v/>
      </c>
      <c r="AA4267" s="94">
        <f>IF($A4267="",0,IF(AE4267="직접",IF(OR(AF4267="유지비",AF4267="손해조사비"),$P4267,0),$P4267*(1-AG4267)*IFERROR(INDEX(계정대체기준!$D$20:$D$49,MATCH($N4267,계정대체기준!$A$20:$A$49,0)),0)))</f>
        <v/>
      </c>
      <c r="AB4267" s="94">
        <f>IF($A4267="",0,IF(AE4267="직접",IF(AF4267="수금비",$P4267,0),$P4267*(1-AG4267)*IFERROR(INDEX(계정대체기준!$E$20:$E$49,MATCH($N4267,계정대체기준!$A$20:$A$49,0)),0)))</f>
        <v/>
      </c>
      <c r="AC4267" s="9">
        <f>IF(AND($A4267&lt;&gt;"",M4267=설정!$C$20,Z4267&gt;0),Z4267+ROW()/1000000000,"")</f>
        <v/>
      </c>
      <c r="AD4267" s="94">
        <f>IF($A4267="",0,$P4267*AG4267)</f>
        <v/>
      </c>
      <c r="AE4267" s="64">
        <f>IF($A4267="","",IFERROR(INDEX(계정매핑!$E$5:$E$504,MATCH($F4267&amp;"",계정매핑!$A$5:$A$504,0))&amp;"","공통비"))</f>
        <v/>
      </c>
      <c r="AF4267" s="64">
        <f>IF($A4267="","",IF(AE4267="직접",IFERROR(INDEX(계정매핑!$F$5:$F$504,MATCH($F4267&amp;"",계정매핑!$A$5:$A$504,0))&amp;"","비귀속"),""))</f>
        <v/>
      </c>
      <c r="AG4267" s="96">
        <f>IF($A4267="",0,IF(AND(AE4267&lt;&gt;"직접",IFERROR(INDEX(계정매핑!$G$5:$G$504,MATCH($F4267&amp;"",계정매핑!$A$5:$A$504,0))&amp;"","")="유지비",COUNTIF(계정대체기준!$A$6:$A$15,$N4267)&gt;0),IFERROR(INDEX(계정대체기준!$E$6:$E$15,MATCH(VALUE($A4267&amp;""),계정대체기준!$D$6:$D$15,0)),0),0))</f>
        <v/>
      </c>
      <c r="AH4267" s="64">
        <f>IF($A4267="","",IF(AD4267=0,"",IF(OR(COUNTIF(계정대체기준!$A$77:$A$86,$N4267)&gt;0,ISNUMBER(MATCH($X4267,계정대체기준!$D$77:$D$86,0)),ISNUMBER(MATCH($F4267,계정대체기준!$D$77:$D$86,0))),"Y","N")))</f>
        <v/>
      </c>
    </row>
    <row r="4268">
      <c r="A4268" s="92" t="n">
        <v>2026</v>
      </c>
      <c r="B4268" s="92" t="n">
        <v>7</v>
      </c>
      <c r="C4268" s="92" t="inlineStr">
        <is>
          <t>5100001546</t>
        </is>
      </c>
      <c r="D4268" s="95" t="n">
        <v>46226</v>
      </c>
      <c r="E4268" s="92" t="inlineStr">
        <is>
          <t>KR</t>
        </is>
      </c>
      <c r="F4268" s="92" t="n">
        <v>62201000</v>
      </c>
      <c r="G4268" s="92" t="n">
        <v>1701</v>
      </c>
      <c r="H4268" s="93" t="n">
        <v>4066000</v>
      </c>
      <c r="I4268" s="92" t="inlineStr">
        <is>
          <t>7월 통신요금 - P통신</t>
        </is>
      </c>
      <c r="J4268" s="92" t="inlineStr">
        <is>
          <t>V10014</t>
        </is>
      </c>
      <c r="K4268" s="92" t="inlineStr">
        <is>
          <t>P통신</t>
        </is>
      </c>
      <c r="M4268" s="9">
        <f>IF($A4268="","",VALUE($A4268&amp;"")*12+VALUE($B4268&amp;""))</f>
        <v/>
      </c>
      <c r="N4268" s="64">
        <f>IF($A4268="","",IFERROR(INDEX(부서매핑!$C$5:$C$504,MATCH($G4268&amp;"",부서매핑!$A$5:$A$504,0)),"미매핑"))</f>
        <v/>
      </c>
      <c r="O4268" s="9">
        <f>IF($A4268="","",N4268&amp;"|"&amp;$F4268)</f>
        <v/>
      </c>
      <c r="P4268" s="94">
        <f>IF($A4268="",0,$H4268*설정!$C$23)</f>
        <v/>
      </c>
      <c r="Q4268" s="64">
        <f>IF($A4268="","",IF(O4268&lt;&gt;원인분석!$C$9,"",IF(AND(M4268&gt;=원인분석!$C$10,M4268&lt;=원인분석!$C$11),"당기",IF(AND(M4268&gt;=원인분석!$C$12,M4268&lt;=원인분석!$C$13),"비교",""))))</f>
        <v/>
      </c>
      <c r="R4268" s="9">
        <f>IF(Q4268="","",$K4268&amp;"")</f>
        <v/>
      </c>
      <c r="S4268" s="9">
        <f>IF(Q4268="","",IF(MATCH(R4268,$R$5:$R$100000,0)=ROW()-4,ROW(),""))</f>
        <v/>
      </c>
      <c r="T4268" s="9">
        <f>IF(Q4268="당기",ABS(P4268)+ROW()/1000000000,"")</f>
        <v/>
      </c>
      <c r="U4268" s="9">
        <f>IF(Q4268="비교",ABS(P4268)+ROW()/1000000000,"")</f>
        <v/>
      </c>
      <c r="V4268" s="64">
        <f>IF($A4268="","",IF(COUNTIF(변동분석!$E$7:$E$506,O4268)&gt;0,"Y","N"))</f>
        <v/>
      </c>
      <c r="W4268" s="64">
        <f>IF($A4268="","",IFERROR(INDEX(계정매핑!$D$5:$D$504,MATCH($F4268&amp;"",계정매핑!$A$5:$A$504,0)),"미매핑"))</f>
        <v/>
      </c>
      <c r="X4268" s="9">
        <f>IF($A4268="","",$F4268&amp;"")</f>
        <v/>
      </c>
      <c r="Y4268" s="94">
        <f>IF($A4268="",0,IF(AE4268="직접",IF(AF4268="비귀속",$P4268,0),$P4268*(1-AG4268)*IFERROR(INDEX(계정대체기준!$F$20:$F$49,MATCH($N4268,계정대체기준!$A$20:$A$49,0)),1)))</f>
        <v/>
      </c>
      <c r="Z4268" s="94">
        <f>IF($A4268="",0,IF(AE4268="직접",IF(AF4268="신계약비",$P4268,0),$P4268*(1-AG4268)*IFERROR(INDEX(계정대체기준!$C$20:$C$49,MATCH($N4268,계정대체기준!$A$20:$A$49,0)),0)))</f>
        <v/>
      </c>
      <c r="AA4268" s="94">
        <f>IF($A4268="",0,IF(AE4268="직접",IF(OR(AF4268="유지비",AF4268="손해조사비"),$P4268,0),$P4268*(1-AG4268)*IFERROR(INDEX(계정대체기준!$D$20:$D$49,MATCH($N4268,계정대체기준!$A$20:$A$49,0)),0)))</f>
        <v/>
      </c>
      <c r="AB4268" s="94">
        <f>IF($A4268="",0,IF(AE4268="직접",IF(AF4268="수금비",$P4268,0),$P4268*(1-AG4268)*IFERROR(INDEX(계정대체기준!$E$20:$E$49,MATCH($N4268,계정대체기준!$A$20:$A$49,0)),0)))</f>
        <v/>
      </c>
      <c r="AC4268" s="9">
        <f>IF(AND($A4268&lt;&gt;"",M4268=설정!$C$20,Z4268&gt;0),Z4268+ROW()/1000000000,"")</f>
        <v/>
      </c>
      <c r="AD4268" s="94">
        <f>IF($A4268="",0,$P4268*AG4268)</f>
        <v/>
      </c>
      <c r="AE4268" s="64">
        <f>IF($A4268="","",IFERROR(INDEX(계정매핑!$E$5:$E$504,MATCH($F4268&amp;"",계정매핑!$A$5:$A$504,0))&amp;"","공통비"))</f>
        <v/>
      </c>
      <c r="AF4268" s="64">
        <f>IF($A4268="","",IF(AE4268="직접",IFERROR(INDEX(계정매핑!$F$5:$F$504,MATCH($F4268&amp;"",계정매핑!$A$5:$A$504,0))&amp;"","비귀속"),""))</f>
        <v/>
      </c>
      <c r="AG4268" s="96">
        <f>IF($A4268="",0,IF(AND(AE4268&lt;&gt;"직접",IFERROR(INDEX(계정매핑!$G$5:$G$504,MATCH($F4268&amp;"",계정매핑!$A$5:$A$504,0))&amp;"","")="유지비",COUNTIF(계정대체기준!$A$6:$A$15,$N4268)&gt;0),IFERROR(INDEX(계정대체기준!$E$6:$E$15,MATCH(VALUE($A4268&amp;""),계정대체기준!$D$6:$D$15,0)),0),0))</f>
        <v/>
      </c>
      <c r="AH4268" s="64">
        <f>IF($A4268="","",IF(AD4268=0,"",IF(OR(COUNTIF(계정대체기준!$A$77:$A$86,$N4268)&gt;0,ISNUMBER(MATCH($X4268,계정대체기준!$D$77:$D$86,0)),ISNUMBER(MATCH($F4268,계정대체기준!$D$77:$D$86,0))),"Y","N")))</f>
        <v/>
      </c>
    </row>
    <row r="4269">
      <c r="A4269" s="92" t="n">
        <v>2026</v>
      </c>
      <c r="B4269" s="92" t="n">
        <v>7</v>
      </c>
      <c r="C4269" s="92" t="inlineStr">
        <is>
          <t>5100001547</t>
        </is>
      </c>
      <c r="D4269" s="95" t="n">
        <v>46226</v>
      </c>
      <c r="E4269" s="92" t="inlineStr">
        <is>
          <t>KR</t>
        </is>
      </c>
      <c r="F4269" s="92" t="n">
        <v>62201000</v>
      </c>
      <c r="G4269" s="92" t="n">
        <v>1951</v>
      </c>
      <c r="H4269" s="93" t="n">
        <v>547000</v>
      </c>
      <c r="I4269" s="92" t="inlineStr">
        <is>
          <t>7월 통신요금 - P통신</t>
        </is>
      </c>
      <c r="J4269" s="92" t="inlineStr">
        <is>
          <t>V10014</t>
        </is>
      </c>
      <c r="K4269" s="92" t="inlineStr">
        <is>
          <t>P통신</t>
        </is>
      </c>
      <c r="M4269" s="9">
        <f>IF($A4269="","",VALUE($A4269&amp;"")*12+VALUE($B4269&amp;""))</f>
        <v/>
      </c>
      <c r="N4269" s="64">
        <f>IF($A4269="","",IFERROR(INDEX(부서매핑!$C$5:$C$504,MATCH($G4269&amp;"",부서매핑!$A$5:$A$504,0)),"미매핑"))</f>
        <v/>
      </c>
      <c r="O4269" s="9">
        <f>IF($A4269="","",N4269&amp;"|"&amp;$F4269)</f>
        <v/>
      </c>
      <c r="P4269" s="94">
        <f>IF($A4269="",0,$H4269*설정!$C$23)</f>
        <v/>
      </c>
      <c r="Q4269" s="64">
        <f>IF($A4269="","",IF(O4269&lt;&gt;원인분석!$C$9,"",IF(AND(M4269&gt;=원인분석!$C$10,M4269&lt;=원인분석!$C$11),"당기",IF(AND(M4269&gt;=원인분석!$C$12,M4269&lt;=원인분석!$C$13),"비교",""))))</f>
        <v/>
      </c>
      <c r="R4269" s="9">
        <f>IF(Q4269="","",$K4269&amp;"")</f>
        <v/>
      </c>
      <c r="S4269" s="9">
        <f>IF(Q4269="","",IF(MATCH(R4269,$R$5:$R$100000,0)=ROW()-4,ROW(),""))</f>
        <v/>
      </c>
      <c r="T4269" s="9">
        <f>IF(Q4269="당기",ABS(P4269)+ROW()/1000000000,"")</f>
        <v/>
      </c>
      <c r="U4269" s="9">
        <f>IF(Q4269="비교",ABS(P4269)+ROW()/1000000000,"")</f>
        <v/>
      </c>
      <c r="V4269" s="64">
        <f>IF($A4269="","",IF(COUNTIF(변동분석!$E$7:$E$506,O4269)&gt;0,"Y","N"))</f>
        <v/>
      </c>
      <c r="W4269" s="64">
        <f>IF($A4269="","",IFERROR(INDEX(계정매핑!$D$5:$D$504,MATCH($F4269&amp;"",계정매핑!$A$5:$A$504,0)),"미매핑"))</f>
        <v/>
      </c>
      <c r="X4269" s="9">
        <f>IF($A4269="","",$F4269&amp;"")</f>
        <v/>
      </c>
      <c r="Y4269" s="94">
        <f>IF($A4269="",0,IF(AE4269="직접",IF(AF4269="비귀속",$P4269,0),$P4269*(1-AG4269)*IFERROR(INDEX(계정대체기준!$F$20:$F$49,MATCH($N4269,계정대체기준!$A$20:$A$49,0)),1)))</f>
        <v/>
      </c>
      <c r="Z4269" s="94">
        <f>IF($A4269="",0,IF(AE4269="직접",IF(AF4269="신계약비",$P4269,0),$P4269*(1-AG4269)*IFERROR(INDEX(계정대체기준!$C$20:$C$49,MATCH($N4269,계정대체기준!$A$20:$A$49,0)),0)))</f>
        <v/>
      </c>
      <c r="AA4269" s="94">
        <f>IF($A4269="",0,IF(AE4269="직접",IF(OR(AF4269="유지비",AF4269="손해조사비"),$P4269,0),$P4269*(1-AG4269)*IFERROR(INDEX(계정대체기준!$D$20:$D$49,MATCH($N4269,계정대체기준!$A$20:$A$49,0)),0)))</f>
        <v/>
      </c>
      <c r="AB4269" s="94">
        <f>IF($A4269="",0,IF(AE4269="직접",IF(AF4269="수금비",$P4269,0),$P4269*(1-AG4269)*IFERROR(INDEX(계정대체기준!$E$20:$E$49,MATCH($N4269,계정대체기준!$A$20:$A$49,0)),0)))</f>
        <v/>
      </c>
      <c r="AC4269" s="9">
        <f>IF(AND($A4269&lt;&gt;"",M4269=설정!$C$20,Z4269&gt;0),Z4269+ROW()/1000000000,"")</f>
        <v/>
      </c>
      <c r="AD4269" s="94">
        <f>IF($A4269="",0,$P4269*AG4269)</f>
        <v/>
      </c>
      <c r="AE4269" s="64">
        <f>IF($A4269="","",IFERROR(INDEX(계정매핑!$E$5:$E$504,MATCH($F4269&amp;"",계정매핑!$A$5:$A$504,0))&amp;"","공통비"))</f>
        <v/>
      </c>
      <c r="AF4269" s="64">
        <f>IF($A4269="","",IF(AE4269="직접",IFERROR(INDEX(계정매핑!$F$5:$F$504,MATCH($F4269&amp;"",계정매핑!$A$5:$A$504,0))&amp;"","비귀속"),""))</f>
        <v/>
      </c>
      <c r="AG4269" s="96">
        <f>IF($A4269="",0,IF(AND(AE4269&lt;&gt;"직접",IFERROR(INDEX(계정매핑!$G$5:$G$504,MATCH($F4269&amp;"",계정매핑!$A$5:$A$504,0))&amp;"","")="유지비",COUNTIF(계정대체기준!$A$6:$A$15,$N4269)&gt;0),IFERROR(INDEX(계정대체기준!$E$6:$E$15,MATCH(VALUE($A4269&amp;""),계정대체기준!$D$6:$D$15,0)),0),0))</f>
        <v/>
      </c>
      <c r="AH4269" s="64">
        <f>IF($A4269="","",IF(AD4269=0,"",IF(OR(COUNTIF(계정대체기준!$A$77:$A$86,$N4269)&gt;0,ISNUMBER(MATCH($X4269,계정대체기준!$D$77:$D$86,0)),ISNUMBER(MATCH($F4269,계정대체기준!$D$77:$D$86,0))),"Y","N")))</f>
        <v/>
      </c>
    </row>
    <row r="4270">
      <c r="A4270" s="92" t="n">
        <v>2026</v>
      </c>
      <c r="B4270" s="92" t="n">
        <v>7</v>
      </c>
      <c r="C4270" s="92" t="inlineStr">
        <is>
          <t>5100001548</t>
        </is>
      </c>
      <c r="D4270" s="95" t="n">
        <v>46226</v>
      </c>
      <c r="E4270" s="92" t="inlineStr">
        <is>
          <t>KR</t>
        </is>
      </c>
      <c r="F4270" s="92" t="n">
        <v>62301000</v>
      </c>
      <c r="G4270" s="92" t="n">
        <v>1401</v>
      </c>
      <c r="H4270" s="93" t="n">
        <v>117000</v>
      </c>
      <c r="I4270" s="92" t="inlineStr">
        <is>
          <t>7월 소모품 구입 - R문구</t>
        </is>
      </c>
      <c r="J4270" s="92" t="inlineStr">
        <is>
          <t>V10022</t>
        </is>
      </c>
      <c r="K4270" s="92" t="inlineStr">
        <is>
          <t>R문구</t>
        </is>
      </c>
      <c r="M4270" s="9">
        <f>IF($A4270="","",VALUE($A4270&amp;"")*12+VALUE($B4270&amp;""))</f>
        <v/>
      </c>
      <c r="N4270" s="64">
        <f>IF($A4270="","",IFERROR(INDEX(부서매핑!$C$5:$C$504,MATCH($G4270&amp;"",부서매핑!$A$5:$A$504,0)),"미매핑"))</f>
        <v/>
      </c>
      <c r="O4270" s="9">
        <f>IF($A4270="","",N4270&amp;"|"&amp;$F4270)</f>
        <v/>
      </c>
      <c r="P4270" s="94">
        <f>IF($A4270="",0,$H4270*설정!$C$23)</f>
        <v/>
      </c>
      <c r="Q4270" s="64">
        <f>IF($A4270="","",IF(O4270&lt;&gt;원인분석!$C$9,"",IF(AND(M4270&gt;=원인분석!$C$10,M4270&lt;=원인분석!$C$11),"당기",IF(AND(M4270&gt;=원인분석!$C$12,M4270&lt;=원인분석!$C$13),"비교",""))))</f>
        <v/>
      </c>
      <c r="R4270" s="9">
        <f>IF(Q4270="","",$K4270&amp;"")</f>
        <v/>
      </c>
      <c r="S4270" s="9">
        <f>IF(Q4270="","",IF(MATCH(R4270,$R$5:$R$100000,0)=ROW()-4,ROW(),""))</f>
        <v/>
      </c>
      <c r="T4270" s="9">
        <f>IF(Q4270="당기",ABS(P4270)+ROW()/1000000000,"")</f>
        <v/>
      </c>
      <c r="U4270" s="9">
        <f>IF(Q4270="비교",ABS(P4270)+ROW()/1000000000,"")</f>
        <v/>
      </c>
      <c r="V4270" s="64">
        <f>IF($A4270="","",IF(COUNTIF(변동분석!$E$7:$E$506,O4270)&gt;0,"Y","N"))</f>
        <v/>
      </c>
      <c r="W4270" s="64">
        <f>IF($A4270="","",IFERROR(INDEX(계정매핑!$D$5:$D$504,MATCH($F4270&amp;"",계정매핑!$A$5:$A$504,0)),"미매핑"))</f>
        <v/>
      </c>
      <c r="X4270" s="9">
        <f>IF($A4270="","",$F4270&amp;"")</f>
        <v/>
      </c>
      <c r="Y4270" s="94">
        <f>IF($A4270="",0,IF(AE4270="직접",IF(AF4270="비귀속",$P4270,0),$P4270*(1-AG4270)*IFERROR(INDEX(계정대체기준!$F$20:$F$49,MATCH($N4270,계정대체기준!$A$20:$A$49,0)),1)))</f>
        <v/>
      </c>
      <c r="Z4270" s="94">
        <f>IF($A4270="",0,IF(AE4270="직접",IF(AF4270="신계약비",$P4270,0),$P4270*(1-AG4270)*IFERROR(INDEX(계정대체기준!$C$20:$C$49,MATCH($N4270,계정대체기준!$A$20:$A$49,0)),0)))</f>
        <v/>
      </c>
      <c r="AA4270" s="94">
        <f>IF($A4270="",0,IF(AE4270="직접",IF(OR(AF4270="유지비",AF4270="손해조사비"),$P4270,0),$P4270*(1-AG4270)*IFERROR(INDEX(계정대체기준!$D$20:$D$49,MATCH($N4270,계정대체기준!$A$20:$A$49,0)),0)))</f>
        <v/>
      </c>
      <c r="AB4270" s="94">
        <f>IF($A4270="",0,IF(AE4270="직접",IF(AF4270="수금비",$P4270,0),$P4270*(1-AG4270)*IFERROR(INDEX(계정대체기준!$E$20:$E$49,MATCH($N4270,계정대체기준!$A$20:$A$49,0)),0)))</f>
        <v/>
      </c>
      <c r="AC4270" s="9">
        <f>IF(AND($A4270&lt;&gt;"",M4270=설정!$C$20,Z4270&gt;0),Z4270+ROW()/1000000000,"")</f>
        <v/>
      </c>
      <c r="AD4270" s="94">
        <f>IF($A4270="",0,$P4270*AG4270)</f>
        <v/>
      </c>
      <c r="AE4270" s="64">
        <f>IF($A4270="","",IFERROR(INDEX(계정매핑!$E$5:$E$504,MATCH($F4270&amp;"",계정매핑!$A$5:$A$504,0))&amp;"","공통비"))</f>
        <v/>
      </c>
      <c r="AF4270" s="64">
        <f>IF($A4270="","",IF(AE4270="직접",IFERROR(INDEX(계정매핑!$F$5:$F$504,MATCH($F4270&amp;"",계정매핑!$A$5:$A$504,0))&amp;"","비귀속"),""))</f>
        <v/>
      </c>
      <c r="AG4270" s="96">
        <f>IF($A4270="",0,IF(AND(AE4270&lt;&gt;"직접",IFERROR(INDEX(계정매핑!$G$5:$G$504,MATCH($F4270&amp;"",계정매핑!$A$5:$A$504,0))&amp;"","")="유지비",COUNTIF(계정대체기준!$A$6:$A$15,$N4270)&gt;0),IFERROR(INDEX(계정대체기준!$E$6:$E$15,MATCH(VALUE($A4270&amp;""),계정대체기준!$D$6:$D$15,0)),0),0))</f>
        <v/>
      </c>
      <c r="AH4270" s="64">
        <f>IF($A4270="","",IF(AD4270=0,"",IF(OR(COUNTIF(계정대체기준!$A$77:$A$86,$N4270)&gt;0,ISNUMBER(MATCH($X4270,계정대체기준!$D$77:$D$86,0)),ISNUMBER(MATCH($F4270,계정대체기준!$D$77:$D$86,0))),"Y","N")))</f>
        <v/>
      </c>
    </row>
    <row r="4271">
      <c r="A4271" s="92" t="n">
        <v>2026</v>
      </c>
      <c r="B4271" s="92" t="n">
        <v>7</v>
      </c>
      <c r="C4271" s="92" t="inlineStr">
        <is>
          <t>5100001549</t>
        </is>
      </c>
      <c r="D4271" s="95" t="n">
        <v>46226</v>
      </c>
      <c r="E4271" s="92" t="inlineStr">
        <is>
          <t>KR</t>
        </is>
      </c>
      <c r="F4271" s="92" t="n">
        <v>62301000</v>
      </c>
      <c r="G4271" s="92" t="n">
        <v>1701</v>
      </c>
      <c r="H4271" s="93" t="n">
        <v>308000</v>
      </c>
      <c r="I4271" s="92" t="inlineStr">
        <is>
          <t>7월 소모품 구입 - Q오피스</t>
        </is>
      </c>
      <c r="J4271" s="92" t="inlineStr">
        <is>
          <t>V10003</t>
        </is>
      </c>
      <c r="K4271" s="92" t="inlineStr">
        <is>
          <t>Q오피스</t>
        </is>
      </c>
      <c r="M4271" s="9">
        <f>IF($A4271="","",VALUE($A4271&amp;"")*12+VALUE($B4271&amp;""))</f>
        <v/>
      </c>
      <c r="N4271" s="64">
        <f>IF($A4271="","",IFERROR(INDEX(부서매핑!$C$5:$C$504,MATCH($G4271&amp;"",부서매핑!$A$5:$A$504,0)),"미매핑"))</f>
        <v/>
      </c>
      <c r="O4271" s="9">
        <f>IF($A4271="","",N4271&amp;"|"&amp;$F4271)</f>
        <v/>
      </c>
      <c r="P4271" s="94">
        <f>IF($A4271="",0,$H4271*설정!$C$23)</f>
        <v/>
      </c>
      <c r="Q4271" s="64">
        <f>IF($A4271="","",IF(O4271&lt;&gt;원인분석!$C$9,"",IF(AND(M4271&gt;=원인분석!$C$10,M4271&lt;=원인분석!$C$11),"당기",IF(AND(M4271&gt;=원인분석!$C$12,M4271&lt;=원인분석!$C$13),"비교",""))))</f>
        <v/>
      </c>
      <c r="R4271" s="9">
        <f>IF(Q4271="","",$K4271&amp;"")</f>
        <v/>
      </c>
      <c r="S4271" s="9">
        <f>IF(Q4271="","",IF(MATCH(R4271,$R$5:$R$100000,0)=ROW()-4,ROW(),""))</f>
        <v/>
      </c>
      <c r="T4271" s="9">
        <f>IF(Q4271="당기",ABS(P4271)+ROW()/1000000000,"")</f>
        <v/>
      </c>
      <c r="U4271" s="9">
        <f>IF(Q4271="비교",ABS(P4271)+ROW()/1000000000,"")</f>
        <v/>
      </c>
      <c r="V4271" s="64">
        <f>IF($A4271="","",IF(COUNTIF(변동분석!$E$7:$E$506,O4271)&gt;0,"Y","N"))</f>
        <v/>
      </c>
      <c r="W4271" s="64">
        <f>IF($A4271="","",IFERROR(INDEX(계정매핑!$D$5:$D$504,MATCH($F4271&amp;"",계정매핑!$A$5:$A$504,0)),"미매핑"))</f>
        <v/>
      </c>
      <c r="X4271" s="9">
        <f>IF($A4271="","",$F4271&amp;"")</f>
        <v/>
      </c>
      <c r="Y4271" s="94">
        <f>IF($A4271="",0,IF(AE4271="직접",IF(AF4271="비귀속",$P4271,0),$P4271*(1-AG4271)*IFERROR(INDEX(계정대체기준!$F$20:$F$49,MATCH($N4271,계정대체기준!$A$20:$A$49,0)),1)))</f>
        <v/>
      </c>
      <c r="Z4271" s="94">
        <f>IF($A4271="",0,IF(AE4271="직접",IF(AF4271="신계약비",$P4271,0),$P4271*(1-AG4271)*IFERROR(INDEX(계정대체기준!$C$20:$C$49,MATCH($N4271,계정대체기준!$A$20:$A$49,0)),0)))</f>
        <v/>
      </c>
      <c r="AA4271" s="94">
        <f>IF($A4271="",0,IF(AE4271="직접",IF(OR(AF4271="유지비",AF4271="손해조사비"),$P4271,0),$P4271*(1-AG4271)*IFERROR(INDEX(계정대체기준!$D$20:$D$49,MATCH($N4271,계정대체기준!$A$20:$A$49,0)),0)))</f>
        <v/>
      </c>
      <c r="AB4271" s="94">
        <f>IF($A4271="",0,IF(AE4271="직접",IF(AF4271="수금비",$P4271,0),$P4271*(1-AG4271)*IFERROR(INDEX(계정대체기준!$E$20:$E$49,MATCH($N4271,계정대체기준!$A$20:$A$49,0)),0)))</f>
        <v/>
      </c>
      <c r="AC4271" s="9">
        <f>IF(AND($A4271&lt;&gt;"",M4271=설정!$C$20,Z4271&gt;0),Z4271+ROW()/1000000000,"")</f>
        <v/>
      </c>
      <c r="AD4271" s="94">
        <f>IF($A4271="",0,$P4271*AG4271)</f>
        <v/>
      </c>
      <c r="AE4271" s="64">
        <f>IF($A4271="","",IFERROR(INDEX(계정매핑!$E$5:$E$504,MATCH($F4271&amp;"",계정매핑!$A$5:$A$504,0))&amp;"","공통비"))</f>
        <v/>
      </c>
      <c r="AF4271" s="64">
        <f>IF($A4271="","",IF(AE4271="직접",IFERROR(INDEX(계정매핑!$F$5:$F$504,MATCH($F4271&amp;"",계정매핑!$A$5:$A$504,0))&amp;"","비귀속"),""))</f>
        <v/>
      </c>
      <c r="AG4271" s="96">
        <f>IF($A4271="",0,IF(AND(AE4271&lt;&gt;"직접",IFERROR(INDEX(계정매핑!$G$5:$G$504,MATCH($F4271&amp;"",계정매핑!$A$5:$A$504,0))&amp;"","")="유지비",COUNTIF(계정대체기준!$A$6:$A$15,$N4271)&gt;0),IFERROR(INDEX(계정대체기준!$E$6:$E$15,MATCH(VALUE($A4271&amp;""),계정대체기준!$D$6:$D$15,0)),0),0))</f>
        <v/>
      </c>
      <c r="AH4271" s="64">
        <f>IF($A4271="","",IF(AD4271=0,"",IF(OR(COUNTIF(계정대체기준!$A$77:$A$86,$N4271)&gt;0,ISNUMBER(MATCH($X4271,계정대체기준!$D$77:$D$86,0)),ISNUMBER(MATCH($F4271,계정대체기준!$D$77:$D$86,0))),"Y","N")))</f>
        <v/>
      </c>
    </row>
    <row r="4272">
      <c r="A4272" s="92" t="n">
        <v>2026</v>
      </c>
      <c r="B4272" s="92" t="n">
        <v>7</v>
      </c>
      <c r="C4272" s="92" t="inlineStr">
        <is>
          <t>5100001550</t>
        </is>
      </c>
      <c r="D4272" s="95" t="n">
        <v>46226</v>
      </c>
      <c r="E4272" s="92" t="inlineStr">
        <is>
          <t>KR</t>
        </is>
      </c>
      <c r="F4272" s="92" t="n">
        <v>62501000</v>
      </c>
      <c r="G4272" s="92" t="n">
        <v>1201</v>
      </c>
      <c r="H4272" s="93" t="n">
        <v>80000</v>
      </c>
      <c r="I4272" s="92" t="inlineStr">
        <is>
          <t>7월 회의 다과 - (법인카드)</t>
        </is>
      </c>
      <c r="J4272" s="92" t="inlineStr">
        <is>
          <t>V10010</t>
        </is>
      </c>
      <c r="K4272" s="92" t="inlineStr">
        <is>
          <t>(법인카드)</t>
        </is>
      </c>
      <c r="M4272" s="9">
        <f>IF($A4272="","",VALUE($A4272&amp;"")*12+VALUE($B4272&amp;""))</f>
        <v/>
      </c>
      <c r="N4272" s="64">
        <f>IF($A4272="","",IFERROR(INDEX(부서매핑!$C$5:$C$504,MATCH($G4272&amp;"",부서매핑!$A$5:$A$504,0)),"미매핑"))</f>
        <v/>
      </c>
      <c r="O4272" s="9">
        <f>IF($A4272="","",N4272&amp;"|"&amp;$F4272)</f>
        <v/>
      </c>
      <c r="P4272" s="94">
        <f>IF($A4272="",0,$H4272*설정!$C$23)</f>
        <v/>
      </c>
      <c r="Q4272" s="64">
        <f>IF($A4272="","",IF(O4272&lt;&gt;원인분석!$C$9,"",IF(AND(M4272&gt;=원인분석!$C$10,M4272&lt;=원인분석!$C$11),"당기",IF(AND(M4272&gt;=원인분석!$C$12,M4272&lt;=원인분석!$C$13),"비교",""))))</f>
        <v/>
      </c>
      <c r="R4272" s="9">
        <f>IF(Q4272="","",$K4272&amp;"")</f>
        <v/>
      </c>
      <c r="S4272" s="9">
        <f>IF(Q4272="","",IF(MATCH(R4272,$R$5:$R$100000,0)=ROW()-4,ROW(),""))</f>
        <v/>
      </c>
      <c r="T4272" s="9">
        <f>IF(Q4272="당기",ABS(P4272)+ROW()/1000000000,"")</f>
        <v/>
      </c>
      <c r="U4272" s="9">
        <f>IF(Q4272="비교",ABS(P4272)+ROW()/1000000000,"")</f>
        <v/>
      </c>
      <c r="V4272" s="64">
        <f>IF($A4272="","",IF(COUNTIF(변동분석!$E$7:$E$506,O4272)&gt;0,"Y","N"))</f>
        <v/>
      </c>
      <c r="W4272" s="64">
        <f>IF($A4272="","",IFERROR(INDEX(계정매핑!$D$5:$D$504,MATCH($F4272&amp;"",계정매핑!$A$5:$A$504,0)),"미매핑"))</f>
        <v/>
      </c>
      <c r="X4272" s="9">
        <f>IF($A4272="","",$F4272&amp;"")</f>
        <v/>
      </c>
      <c r="Y4272" s="94">
        <f>IF($A4272="",0,IF(AE4272="직접",IF(AF4272="비귀속",$P4272,0),$P4272*(1-AG4272)*IFERROR(INDEX(계정대체기준!$F$20:$F$49,MATCH($N4272,계정대체기준!$A$20:$A$49,0)),1)))</f>
        <v/>
      </c>
      <c r="Z4272" s="94">
        <f>IF($A4272="",0,IF(AE4272="직접",IF(AF4272="신계약비",$P4272,0),$P4272*(1-AG4272)*IFERROR(INDEX(계정대체기준!$C$20:$C$49,MATCH($N4272,계정대체기준!$A$20:$A$49,0)),0)))</f>
        <v/>
      </c>
      <c r="AA4272" s="94">
        <f>IF($A4272="",0,IF(AE4272="직접",IF(OR(AF4272="유지비",AF4272="손해조사비"),$P4272,0),$P4272*(1-AG4272)*IFERROR(INDEX(계정대체기준!$D$20:$D$49,MATCH($N4272,계정대체기준!$A$20:$A$49,0)),0)))</f>
        <v/>
      </c>
      <c r="AB4272" s="94">
        <f>IF($A4272="",0,IF(AE4272="직접",IF(AF4272="수금비",$P4272,0),$P4272*(1-AG4272)*IFERROR(INDEX(계정대체기준!$E$20:$E$49,MATCH($N4272,계정대체기준!$A$20:$A$49,0)),0)))</f>
        <v/>
      </c>
      <c r="AC4272" s="9">
        <f>IF(AND($A4272&lt;&gt;"",M4272=설정!$C$20,Z4272&gt;0),Z4272+ROW()/1000000000,"")</f>
        <v/>
      </c>
      <c r="AD4272" s="94">
        <f>IF($A4272="",0,$P4272*AG4272)</f>
        <v/>
      </c>
      <c r="AE4272" s="64">
        <f>IF($A4272="","",IFERROR(INDEX(계정매핑!$E$5:$E$504,MATCH($F4272&amp;"",계정매핑!$A$5:$A$504,0))&amp;"","공통비"))</f>
        <v/>
      </c>
      <c r="AF4272" s="64">
        <f>IF($A4272="","",IF(AE4272="직접",IFERROR(INDEX(계정매핑!$F$5:$F$504,MATCH($F4272&amp;"",계정매핑!$A$5:$A$504,0))&amp;"","비귀속"),""))</f>
        <v/>
      </c>
      <c r="AG4272" s="96">
        <f>IF($A4272="",0,IF(AND(AE4272&lt;&gt;"직접",IFERROR(INDEX(계정매핑!$G$5:$G$504,MATCH($F4272&amp;"",계정매핑!$A$5:$A$504,0))&amp;"","")="유지비",COUNTIF(계정대체기준!$A$6:$A$15,$N4272)&gt;0),IFERROR(INDEX(계정대체기준!$E$6:$E$15,MATCH(VALUE($A4272&amp;""),계정대체기준!$D$6:$D$15,0)),0),0))</f>
        <v/>
      </c>
      <c r="AH4272" s="64">
        <f>IF($A4272="","",IF(AD4272=0,"",IF(OR(COUNTIF(계정대체기준!$A$77:$A$86,$N4272)&gt;0,ISNUMBER(MATCH($X4272,계정대체기준!$D$77:$D$86,0)),ISNUMBER(MATCH($F4272,계정대체기준!$D$77:$D$86,0))),"Y","N")))</f>
        <v/>
      </c>
    </row>
    <row r="4273">
      <c r="A4273" s="92" t="n">
        <v>2026</v>
      </c>
      <c r="B4273" s="92" t="n">
        <v>7</v>
      </c>
      <c r="C4273" s="92" t="inlineStr">
        <is>
          <t>5100001551</t>
        </is>
      </c>
      <c r="D4273" s="95" t="n">
        <v>46226</v>
      </c>
      <c r="E4273" s="92" t="inlineStr">
        <is>
          <t>KR</t>
        </is>
      </c>
      <c r="F4273" s="92" t="n">
        <v>62601000</v>
      </c>
      <c r="G4273" s="92" t="n">
        <v>1501</v>
      </c>
      <c r="H4273" s="93" t="n">
        <v>1254000</v>
      </c>
      <c r="I4273" s="92" t="inlineStr">
        <is>
          <t>7월 업무추진 - (법인카드)</t>
        </is>
      </c>
      <c r="J4273" s="92" t="inlineStr">
        <is>
          <t>V10010</t>
        </is>
      </c>
      <c r="K4273" s="92" t="inlineStr">
        <is>
          <t>(법인카드)</t>
        </is>
      </c>
      <c r="M4273" s="9">
        <f>IF($A4273="","",VALUE($A4273&amp;"")*12+VALUE($B4273&amp;""))</f>
        <v/>
      </c>
      <c r="N4273" s="64">
        <f>IF($A4273="","",IFERROR(INDEX(부서매핑!$C$5:$C$504,MATCH($G4273&amp;"",부서매핑!$A$5:$A$504,0)),"미매핑"))</f>
        <v/>
      </c>
      <c r="O4273" s="9">
        <f>IF($A4273="","",N4273&amp;"|"&amp;$F4273)</f>
        <v/>
      </c>
      <c r="P4273" s="94">
        <f>IF($A4273="",0,$H4273*설정!$C$23)</f>
        <v/>
      </c>
      <c r="Q4273" s="64">
        <f>IF($A4273="","",IF(O4273&lt;&gt;원인분석!$C$9,"",IF(AND(M4273&gt;=원인분석!$C$10,M4273&lt;=원인분석!$C$11),"당기",IF(AND(M4273&gt;=원인분석!$C$12,M4273&lt;=원인분석!$C$13),"비교",""))))</f>
        <v/>
      </c>
      <c r="R4273" s="9">
        <f>IF(Q4273="","",$K4273&amp;"")</f>
        <v/>
      </c>
      <c r="S4273" s="9">
        <f>IF(Q4273="","",IF(MATCH(R4273,$R$5:$R$100000,0)=ROW()-4,ROW(),""))</f>
        <v/>
      </c>
      <c r="T4273" s="9">
        <f>IF(Q4273="당기",ABS(P4273)+ROW()/1000000000,"")</f>
        <v/>
      </c>
      <c r="U4273" s="9">
        <f>IF(Q4273="비교",ABS(P4273)+ROW()/1000000000,"")</f>
        <v/>
      </c>
      <c r="V4273" s="64">
        <f>IF($A4273="","",IF(COUNTIF(변동분석!$E$7:$E$506,O4273)&gt;0,"Y","N"))</f>
        <v/>
      </c>
      <c r="W4273" s="64">
        <f>IF($A4273="","",IFERROR(INDEX(계정매핑!$D$5:$D$504,MATCH($F4273&amp;"",계정매핑!$A$5:$A$504,0)),"미매핑"))</f>
        <v/>
      </c>
      <c r="X4273" s="9">
        <f>IF($A4273="","",$F4273&amp;"")</f>
        <v/>
      </c>
      <c r="Y4273" s="94">
        <f>IF($A4273="",0,IF(AE4273="직접",IF(AF4273="비귀속",$P4273,0),$P4273*(1-AG4273)*IFERROR(INDEX(계정대체기준!$F$20:$F$49,MATCH($N4273,계정대체기준!$A$20:$A$49,0)),1)))</f>
        <v/>
      </c>
      <c r="Z4273" s="94">
        <f>IF($A4273="",0,IF(AE4273="직접",IF(AF4273="신계약비",$P4273,0),$P4273*(1-AG4273)*IFERROR(INDEX(계정대체기준!$C$20:$C$49,MATCH($N4273,계정대체기준!$A$20:$A$49,0)),0)))</f>
        <v/>
      </c>
      <c r="AA4273" s="94">
        <f>IF($A4273="",0,IF(AE4273="직접",IF(OR(AF4273="유지비",AF4273="손해조사비"),$P4273,0),$P4273*(1-AG4273)*IFERROR(INDEX(계정대체기준!$D$20:$D$49,MATCH($N4273,계정대체기준!$A$20:$A$49,0)),0)))</f>
        <v/>
      </c>
      <c r="AB4273" s="94">
        <f>IF($A4273="",0,IF(AE4273="직접",IF(AF4273="수금비",$P4273,0),$P4273*(1-AG4273)*IFERROR(INDEX(계정대체기준!$E$20:$E$49,MATCH($N4273,계정대체기준!$A$20:$A$49,0)),0)))</f>
        <v/>
      </c>
      <c r="AC4273" s="9">
        <f>IF(AND($A4273&lt;&gt;"",M4273=설정!$C$20,Z4273&gt;0),Z4273+ROW()/1000000000,"")</f>
        <v/>
      </c>
      <c r="AD4273" s="94">
        <f>IF($A4273="",0,$P4273*AG4273)</f>
        <v/>
      </c>
      <c r="AE4273" s="64">
        <f>IF($A4273="","",IFERROR(INDEX(계정매핑!$E$5:$E$504,MATCH($F4273&amp;"",계정매핑!$A$5:$A$504,0))&amp;"","공통비"))</f>
        <v/>
      </c>
      <c r="AF4273" s="64">
        <f>IF($A4273="","",IF(AE4273="직접",IFERROR(INDEX(계정매핑!$F$5:$F$504,MATCH($F4273&amp;"",계정매핑!$A$5:$A$504,0))&amp;"","비귀속"),""))</f>
        <v/>
      </c>
      <c r="AG4273" s="96">
        <f>IF($A4273="",0,IF(AND(AE4273&lt;&gt;"직접",IFERROR(INDEX(계정매핑!$G$5:$G$504,MATCH($F4273&amp;"",계정매핑!$A$5:$A$504,0))&amp;"","")="유지비",COUNTIF(계정대체기준!$A$6:$A$15,$N4273)&gt;0),IFERROR(INDEX(계정대체기준!$E$6:$E$15,MATCH(VALUE($A4273&amp;""),계정대체기준!$D$6:$D$15,0)),0),0))</f>
        <v/>
      </c>
      <c r="AH4273" s="64">
        <f>IF($A4273="","",IF(AD4273=0,"",IF(OR(COUNTIF(계정대체기준!$A$77:$A$86,$N4273)&gt;0,ISNUMBER(MATCH($X4273,계정대체기준!$D$77:$D$86,0)),ISNUMBER(MATCH($F4273,계정대체기준!$D$77:$D$86,0))),"Y","N")))</f>
        <v/>
      </c>
    </row>
    <row r="4274">
      <c r="A4274" s="92" t="n">
        <v>2026</v>
      </c>
      <c r="B4274" s="92" t="n">
        <v>7</v>
      </c>
      <c r="C4274" s="92" t="inlineStr">
        <is>
          <t>5100001552</t>
        </is>
      </c>
      <c r="D4274" s="95" t="n">
        <v>46226</v>
      </c>
      <c r="E4274" s="92" t="inlineStr">
        <is>
          <t>KR</t>
        </is>
      </c>
      <c r="F4274" s="92" t="n">
        <v>62902000</v>
      </c>
      <c r="G4274" s="92" t="n">
        <v>1801</v>
      </c>
      <c r="H4274" s="93" t="n">
        <v>1786000</v>
      </c>
      <c r="I4274" s="92" t="inlineStr">
        <is>
          <t>7월 콜 위탁 수수료(건별)</t>
        </is>
      </c>
      <c r="J4274" s="92" t="inlineStr">
        <is>
          <t>V10016</t>
        </is>
      </c>
      <c r="K4274" s="92" t="inlineStr">
        <is>
          <t>J콜센터</t>
        </is>
      </c>
      <c r="M4274" s="9">
        <f>IF($A4274="","",VALUE($A4274&amp;"")*12+VALUE($B4274&amp;""))</f>
        <v/>
      </c>
      <c r="N4274" s="64">
        <f>IF($A4274="","",IFERROR(INDEX(부서매핑!$C$5:$C$504,MATCH($G4274&amp;"",부서매핑!$A$5:$A$504,0)),"미매핑"))</f>
        <v/>
      </c>
      <c r="O4274" s="9">
        <f>IF($A4274="","",N4274&amp;"|"&amp;$F4274)</f>
        <v/>
      </c>
      <c r="P4274" s="94">
        <f>IF($A4274="",0,$H4274*설정!$C$23)</f>
        <v/>
      </c>
      <c r="Q4274" s="64">
        <f>IF($A4274="","",IF(O4274&lt;&gt;원인분석!$C$9,"",IF(AND(M4274&gt;=원인분석!$C$10,M4274&lt;=원인분석!$C$11),"당기",IF(AND(M4274&gt;=원인분석!$C$12,M4274&lt;=원인분석!$C$13),"비교",""))))</f>
        <v/>
      </c>
      <c r="R4274" s="9">
        <f>IF(Q4274="","",$K4274&amp;"")</f>
        <v/>
      </c>
      <c r="S4274" s="9">
        <f>IF(Q4274="","",IF(MATCH(R4274,$R$5:$R$100000,0)=ROW()-4,ROW(),""))</f>
        <v/>
      </c>
      <c r="T4274" s="9">
        <f>IF(Q4274="당기",ABS(P4274)+ROW()/1000000000,"")</f>
        <v/>
      </c>
      <c r="U4274" s="9">
        <f>IF(Q4274="비교",ABS(P4274)+ROW()/1000000000,"")</f>
        <v/>
      </c>
      <c r="V4274" s="64">
        <f>IF($A4274="","",IF(COUNTIF(변동분석!$E$7:$E$506,O4274)&gt;0,"Y","N"))</f>
        <v/>
      </c>
      <c r="W4274" s="64">
        <f>IF($A4274="","",IFERROR(INDEX(계정매핑!$D$5:$D$504,MATCH($F4274&amp;"",계정매핑!$A$5:$A$504,0)),"미매핑"))</f>
        <v/>
      </c>
      <c r="X4274" s="9">
        <f>IF($A4274="","",$F4274&amp;"")</f>
        <v/>
      </c>
      <c r="Y4274" s="94">
        <f>IF($A4274="",0,IF(AE4274="직접",IF(AF4274="비귀속",$P4274,0),$P4274*(1-AG4274)*IFERROR(INDEX(계정대체기준!$F$20:$F$49,MATCH($N4274,계정대체기준!$A$20:$A$49,0)),1)))</f>
        <v/>
      </c>
      <c r="Z4274" s="94">
        <f>IF($A4274="",0,IF(AE4274="직접",IF(AF4274="신계약비",$P4274,0),$P4274*(1-AG4274)*IFERROR(INDEX(계정대체기준!$C$20:$C$49,MATCH($N4274,계정대체기준!$A$20:$A$49,0)),0)))</f>
        <v/>
      </c>
      <c r="AA4274" s="94">
        <f>IF($A4274="",0,IF(AE4274="직접",IF(OR(AF4274="유지비",AF4274="손해조사비"),$P4274,0),$P4274*(1-AG4274)*IFERROR(INDEX(계정대체기준!$D$20:$D$49,MATCH($N4274,계정대체기준!$A$20:$A$49,0)),0)))</f>
        <v/>
      </c>
      <c r="AB4274" s="94">
        <f>IF($A4274="",0,IF(AE4274="직접",IF(AF4274="수금비",$P4274,0),$P4274*(1-AG4274)*IFERROR(INDEX(계정대체기준!$E$20:$E$49,MATCH($N4274,계정대체기준!$A$20:$A$49,0)),0)))</f>
        <v/>
      </c>
      <c r="AC4274" s="9">
        <f>IF(AND($A4274&lt;&gt;"",M4274=설정!$C$20,Z4274&gt;0),Z4274+ROW()/1000000000,"")</f>
        <v/>
      </c>
      <c r="AD4274" s="94">
        <f>IF($A4274="",0,$P4274*AG4274)</f>
        <v/>
      </c>
      <c r="AE4274" s="64">
        <f>IF($A4274="","",IFERROR(INDEX(계정매핑!$E$5:$E$504,MATCH($F4274&amp;"",계정매핑!$A$5:$A$504,0))&amp;"","공통비"))</f>
        <v/>
      </c>
      <c r="AF4274" s="64">
        <f>IF($A4274="","",IF(AE4274="직접",IFERROR(INDEX(계정매핑!$F$5:$F$504,MATCH($F4274&amp;"",계정매핑!$A$5:$A$504,0))&amp;"","비귀속"),""))</f>
        <v/>
      </c>
      <c r="AG4274" s="96">
        <f>IF($A4274="",0,IF(AND(AE4274&lt;&gt;"직접",IFERROR(INDEX(계정매핑!$G$5:$G$504,MATCH($F4274&amp;"",계정매핑!$A$5:$A$504,0))&amp;"","")="유지비",COUNTIF(계정대체기준!$A$6:$A$15,$N4274)&gt;0),IFERROR(INDEX(계정대체기준!$E$6:$E$15,MATCH(VALUE($A4274&amp;""),계정대체기준!$D$6:$D$15,0)),0),0))</f>
        <v/>
      </c>
      <c r="AH4274" s="64">
        <f>IF($A4274="","",IF(AD4274=0,"",IF(OR(COUNTIF(계정대체기준!$A$77:$A$86,$N4274)&gt;0,ISNUMBER(MATCH($X4274,계정대체기준!$D$77:$D$86,0)),ISNUMBER(MATCH($F4274,계정대체기준!$D$77:$D$86,0))),"Y","N")))</f>
        <v/>
      </c>
    </row>
    <row r="4275">
      <c r="A4275" s="92" t="n">
        <v>2026</v>
      </c>
      <c r="B4275" s="92" t="n">
        <v>7</v>
      </c>
      <c r="C4275" s="92" t="inlineStr">
        <is>
          <t>5100001553</t>
        </is>
      </c>
      <c r="D4275" s="95" t="n">
        <v>46226</v>
      </c>
      <c r="E4275" s="92" t="inlineStr">
        <is>
          <t>KR</t>
        </is>
      </c>
      <c r="F4275" s="92" t="n">
        <v>62902000</v>
      </c>
      <c r="G4275" s="92" t="n">
        <v>1801</v>
      </c>
      <c r="H4275" s="93" t="n">
        <v>1812000</v>
      </c>
      <c r="I4275" s="92" t="inlineStr">
        <is>
          <t>7월 콜 위탁 수수료(건별)</t>
        </is>
      </c>
      <c r="J4275" s="92" t="inlineStr">
        <is>
          <t>V10016</t>
        </is>
      </c>
      <c r="K4275" s="92" t="inlineStr">
        <is>
          <t>J콜센터</t>
        </is>
      </c>
      <c r="M4275" s="9">
        <f>IF($A4275="","",VALUE($A4275&amp;"")*12+VALUE($B4275&amp;""))</f>
        <v/>
      </c>
      <c r="N4275" s="64">
        <f>IF($A4275="","",IFERROR(INDEX(부서매핑!$C$5:$C$504,MATCH($G4275&amp;"",부서매핑!$A$5:$A$504,0)),"미매핑"))</f>
        <v/>
      </c>
      <c r="O4275" s="9">
        <f>IF($A4275="","",N4275&amp;"|"&amp;$F4275)</f>
        <v/>
      </c>
      <c r="P4275" s="94">
        <f>IF($A4275="",0,$H4275*설정!$C$23)</f>
        <v/>
      </c>
      <c r="Q4275" s="64">
        <f>IF($A4275="","",IF(O4275&lt;&gt;원인분석!$C$9,"",IF(AND(M4275&gt;=원인분석!$C$10,M4275&lt;=원인분석!$C$11),"당기",IF(AND(M4275&gt;=원인분석!$C$12,M4275&lt;=원인분석!$C$13),"비교",""))))</f>
        <v/>
      </c>
      <c r="R4275" s="9">
        <f>IF(Q4275="","",$K4275&amp;"")</f>
        <v/>
      </c>
      <c r="S4275" s="9">
        <f>IF(Q4275="","",IF(MATCH(R4275,$R$5:$R$100000,0)=ROW()-4,ROW(),""))</f>
        <v/>
      </c>
      <c r="T4275" s="9">
        <f>IF(Q4275="당기",ABS(P4275)+ROW()/1000000000,"")</f>
        <v/>
      </c>
      <c r="U4275" s="9">
        <f>IF(Q4275="비교",ABS(P4275)+ROW()/1000000000,"")</f>
        <v/>
      </c>
      <c r="V4275" s="64">
        <f>IF($A4275="","",IF(COUNTIF(변동분석!$E$7:$E$506,O4275)&gt;0,"Y","N"))</f>
        <v/>
      </c>
      <c r="W4275" s="64">
        <f>IF($A4275="","",IFERROR(INDEX(계정매핑!$D$5:$D$504,MATCH($F4275&amp;"",계정매핑!$A$5:$A$504,0)),"미매핑"))</f>
        <v/>
      </c>
      <c r="X4275" s="9">
        <f>IF($A4275="","",$F4275&amp;"")</f>
        <v/>
      </c>
      <c r="Y4275" s="94">
        <f>IF($A4275="",0,IF(AE4275="직접",IF(AF4275="비귀속",$P4275,0),$P4275*(1-AG4275)*IFERROR(INDEX(계정대체기준!$F$20:$F$49,MATCH($N4275,계정대체기준!$A$20:$A$49,0)),1)))</f>
        <v/>
      </c>
      <c r="Z4275" s="94">
        <f>IF($A4275="",0,IF(AE4275="직접",IF(AF4275="신계약비",$P4275,0),$P4275*(1-AG4275)*IFERROR(INDEX(계정대체기준!$C$20:$C$49,MATCH($N4275,계정대체기준!$A$20:$A$49,0)),0)))</f>
        <v/>
      </c>
      <c r="AA4275" s="94">
        <f>IF($A4275="",0,IF(AE4275="직접",IF(OR(AF4275="유지비",AF4275="손해조사비"),$P4275,0),$P4275*(1-AG4275)*IFERROR(INDEX(계정대체기준!$D$20:$D$49,MATCH($N4275,계정대체기준!$A$20:$A$49,0)),0)))</f>
        <v/>
      </c>
      <c r="AB4275" s="94">
        <f>IF($A4275="",0,IF(AE4275="직접",IF(AF4275="수금비",$P4275,0),$P4275*(1-AG4275)*IFERROR(INDEX(계정대체기준!$E$20:$E$49,MATCH($N4275,계정대체기준!$A$20:$A$49,0)),0)))</f>
        <v/>
      </c>
      <c r="AC4275" s="9">
        <f>IF(AND($A4275&lt;&gt;"",M4275=설정!$C$20,Z4275&gt;0),Z4275+ROW()/1000000000,"")</f>
        <v/>
      </c>
      <c r="AD4275" s="94">
        <f>IF($A4275="",0,$P4275*AG4275)</f>
        <v/>
      </c>
      <c r="AE4275" s="64">
        <f>IF($A4275="","",IFERROR(INDEX(계정매핑!$E$5:$E$504,MATCH($F4275&amp;"",계정매핑!$A$5:$A$504,0))&amp;"","공통비"))</f>
        <v/>
      </c>
      <c r="AF4275" s="64">
        <f>IF($A4275="","",IF(AE4275="직접",IFERROR(INDEX(계정매핑!$F$5:$F$504,MATCH($F4275&amp;"",계정매핑!$A$5:$A$504,0))&amp;"","비귀속"),""))</f>
        <v/>
      </c>
      <c r="AG4275" s="96">
        <f>IF($A4275="",0,IF(AND(AE4275&lt;&gt;"직접",IFERROR(INDEX(계정매핑!$G$5:$G$504,MATCH($F4275&amp;"",계정매핑!$A$5:$A$504,0))&amp;"","")="유지비",COUNTIF(계정대체기준!$A$6:$A$15,$N4275)&gt;0),IFERROR(INDEX(계정대체기준!$E$6:$E$15,MATCH(VALUE($A4275&amp;""),계정대체기준!$D$6:$D$15,0)),0),0))</f>
        <v/>
      </c>
      <c r="AH4275" s="64">
        <f>IF($A4275="","",IF(AD4275=0,"",IF(OR(COUNTIF(계정대체기준!$A$77:$A$86,$N4275)&gt;0,ISNUMBER(MATCH($X4275,계정대체기준!$D$77:$D$86,0)),ISNUMBER(MATCH($F4275,계정대체기준!$D$77:$D$86,0))),"Y","N")))</f>
        <v/>
      </c>
    </row>
    <row r="4276">
      <c r="A4276" s="92" t="n">
        <v>2026</v>
      </c>
      <c r="B4276" s="92" t="n">
        <v>7</v>
      </c>
      <c r="C4276" s="92" t="inlineStr">
        <is>
          <t>5100001554</t>
        </is>
      </c>
      <c r="D4276" s="95" t="n">
        <v>46226</v>
      </c>
      <c r="E4276" s="92" t="inlineStr">
        <is>
          <t>KR</t>
        </is>
      </c>
      <c r="F4276" s="92" t="n">
        <v>62902000</v>
      </c>
      <c r="G4276" s="92" t="n">
        <v>1951</v>
      </c>
      <c r="H4276" s="93" t="n">
        <v>3601000</v>
      </c>
      <c r="I4276" s="92" t="inlineStr">
        <is>
          <t>7월 업무 위탁 수수료 - J콜센터</t>
        </is>
      </c>
      <c r="J4276" s="92" t="inlineStr">
        <is>
          <t>V10016</t>
        </is>
      </c>
      <c r="K4276" s="92" t="inlineStr">
        <is>
          <t>J콜센터</t>
        </is>
      </c>
      <c r="M4276" s="9">
        <f>IF($A4276="","",VALUE($A4276&amp;"")*12+VALUE($B4276&amp;""))</f>
        <v/>
      </c>
      <c r="N4276" s="64">
        <f>IF($A4276="","",IFERROR(INDEX(부서매핑!$C$5:$C$504,MATCH($G4276&amp;"",부서매핑!$A$5:$A$504,0)),"미매핑"))</f>
        <v/>
      </c>
      <c r="O4276" s="9">
        <f>IF($A4276="","",N4276&amp;"|"&amp;$F4276)</f>
        <v/>
      </c>
      <c r="P4276" s="94">
        <f>IF($A4276="",0,$H4276*설정!$C$23)</f>
        <v/>
      </c>
      <c r="Q4276" s="64">
        <f>IF($A4276="","",IF(O4276&lt;&gt;원인분석!$C$9,"",IF(AND(M4276&gt;=원인분석!$C$10,M4276&lt;=원인분석!$C$11),"당기",IF(AND(M4276&gt;=원인분석!$C$12,M4276&lt;=원인분석!$C$13),"비교",""))))</f>
        <v/>
      </c>
      <c r="R4276" s="9">
        <f>IF(Q4276="","",$K4276&amp;"")</f>
        <v/>
      </c>
      <c r="S4276" s="9">
        <f>IF(Q4276="","",IF(MATCH(R4276,$R$5:$R$100000,0)=ROW()-4,ROW(),""))</f>
        <v/>
      </c>
      <c r="T4276" s="9">
        <f>IF(Q4276="당기",ABS(P4276)+ROW()/1000000000,"")</f>
        <v/>
      </c>
      <c r="U4276" s="9">
        <f>IF(Q4276="비교",ABS(P4276)+ROW()/1000000000,"")</f>
        <v/>
      </c>
      <c r="V4276" s="64">
        <f>IF($A4276="","",IF(COUNTIF(변동분석!$E$7:$E$506,O4276)&gt;0,"Y","N"))</f>
        <v/>
      </c>
      <c r="W4276" s="64">
        <f>IF($A4276="","",IFERROR(INDEX(계정매핑!$D$5:$D$504,MATCH($F4276&amp;"",계정매핑!$A$5:$A$504,0)),"미매핑"))</f>
        <v/>
      </c>
      <c r="X4276" s="9">
        <f>IF($A4276="","",$F4276&amp;"")</f>
        <v/>
      </c>
      <c r="Y4276" s="94">
        <f>IF($A4276="",0,IF(AE4276="직접",IF(AF4276="비귀속",$P4276,0),$P4276*(1-AG4276)*IFERROR(INDEX(계정대체기준!$F$20:$F$49,MATCH($N4276,계정대체기준!$A$20:$A$49,0)),1)))</f>
        <v/>
      </c>
      <c r="Z4276" s="94">
        <f>IF($A4276="",0,IF(AE4276="직접",IF(AF4276="신계약비",$P4276,0),$P4276*(1-AG4276)*IFERROR(INDEX(계정대체기준!$C$20:$C$49,MATCH($N4276,계정대체기준!$A$20:$A$49,0)),0)))</f>
        <v/>
      </c>
      <c r="AA4276" s="94">
        <f>IF($A4276="",0,IF(AE4276="직접",IF(OR(AF4276="유지비",AF4276="손해조사비"),$P4276,0),$P4276*(1-AG4276)*IFERROR(INDEX(계정대체기준!$D$20:$D$49,MATCH($N4276,계정대체기준!$A$20:$A$49,0)),0)))</f>
        <v/>
      </c>
      <c r="AB4276" s="94">
        <f>IF($A4276="",0,IF(AE4276="직접",IF(AF4276="수금비",$P4276,0),$P4276*(1-AG4276)*IFERROR(INDEX(계정대체기준!$E$20:$E$49,MATCH($N4276,계정대체기준!$A$20:$A$49,0)),0)))</f>
        <v/>
      </c>
      <c r="AC4276" s="9">
        <f>IF(AND($A4276&lt;&gt;"",M4276=설정!$C$20,Z4276&gt;0),Z4276+ROW()/1000000000,"")</f>
        <v/>
      </c>
      <c r="AD4276" s="94">
        <f>IF($A4276="",0,$P4276*AG4276)</f>
        <v/>
      </c>
      <c r="AE4276" s="64">
        <f>IF($A4276="","",IFERROR(INDEX(계정매핑!$E$5:$E$504,MATCH($F4276&amp;"",계정매핑!$A$5:$A$504,0))&amp;"","공통비"))</f>
        <v/>
      </c>
      <c r="AF4276" s="64">
        <f>IF($A4276="","",IF(AE4276="직접",IFERROR(INDEX(계정매핑!$F$5:$F$504,MATCH($F4276&amp;"",계정매핑!$A$5:$A$504,0))&amp;"","비귀속"),""))</f>
        <v/>
      </c>
      <c r="AG4276" s="96">
        <f>IF($A4276="",0,IF(AND(AE4276&lt;&gt;"직접",IFERROR(INDEX(계정매핑!$G$5:$G$504,MATCH($F4276&amp;"",계정매핑!$A$5:$A$504,0))&amp;"","")="유지비",COUNTIF(계정대체기준!$A$6:$A$15,$N4276)&gt;0),IFERROR(INDEX(계정대체기준!$E$6:$E$15,MATCH(VALUE($A4276&amp;""),계정대체기준!$D$6:$D$15,0)),0),0))</f>
        <v/>
      </c>
      <c r="AH4276" s="64">
        <f>IF($A4276="","",IF(AD4276=0,"",IF(OR(COUNTIF(계정대체기준!$A$77:$A$86,$N4276)&gt;0,ISNUMBER(MATCH($X4276,계정대체기준!$D$77:$D$86,0)),ISNUMBER(MATCH($F4276,계정대체기준!$D$77:$D$86,0))),"Y","N")))</f>
        <v/>
      </c>
    </row>
    <row r="4277">
      <c r="A4277" s="92" t="n">
        <v>2026</v>
      </c>
      <c r="B4277" s="92" t="n">
        <v>7</v>
      </c>
      <c r="C4277" s="92" t="inlineStr">
        <is>
          <t>5100001555</t>
        </is>
      </c>
      <c r="D4277" s="95" t="n">
        <v>46227</v>
      </c>
      <c r="E4277" s="92" t="inlineStr">
        <is>
          <t>KR</t>
        </is>
      </c>
      <c r="F4277" s="92" t="n">
        <v>62101000</v>
      </c>
      <c r="G4277" s="92" t="n">
        <v>1602</v>
      </c>
      <c r="H4277" s="93" t="n">
        <v>782000</v>
      </c>
      <c r="I4277" s="92" t="inlineStr">
        <is>
          <t>7월 국내출장 - L여행사</t>
        </is>
      </c>
      <c r="J4277" s="92" t="inlineStr">
        <is>
          <t>V10018</t>
        </is>
      </c>
      <c r="K4277" s="92" t="inlineStr">
        <is>
          <t>L여행사</t>
        </is>
      </c>
      <c r="M4277" s="9">
        <f>IF($A4277="","",VALUE($A4277&amp;"")*12+VALUE($B4277&amp;""))</f>
        <v/>
      </c>
      <c r="N4277" s="64">
        <f>IF($A4277="","",IFERROR(INDEX(부서매핑!$C$5:$C$504,MATCH($G4277&amp;"",부서매핑!$A$5:$A$504,0)),"미매핑"))</f>
        <v/>
      </c>
      <c r="O4277" s="9">
        <f>IF($A4277="","",N4277&amp;"|"&amp;$F4277)</f>
        <v/>
      </c>
      <c r="P4277" s="94">
        <f>IF($A4277="",0,$H4277*설정!$C$23)</f>
        <v/>
      </c>
      <c r="Q4277" s="64">
        <f>IF($A4277="","",IF(O4277&lt;&gt;원인분석!$C$9,"",IF(AND(M4277&gt;=원인분석!$C$10,M4277&lt;=원인분석!$C$11),"당기",IF(AND(M4277&gt;=원인분석!$C$12,M4277&lt;=원인분석!$C$13),"비교",""))))</f>
        <v/>
      </c>
      <c r="R4277" s="9">
        <f>IF(Q4277="","",$K4277&amp;"")</f>
        <v/>
      </c>
      <c r="S4277" s="9">
        <f>IF(Q4277="","",IF(MATCH(R4277,$R$5:$R$100000,0)=ROW()-4,ROW(),""))</f>
        <v/>
      </c>
      <c r="T4277" s="9">
        <f>IF(Q4277="당기",ABS(P4277)+ROW()/1000000000,"")</f>
        <v/>
      </c>
      <c r="U4277" s="9">
        <f>IF(Q4277="비교",ABS(P4277)+ROW()/1000000000,"")</f>
        <v/>
      </c>
      <c r="V4277" s="64">
        <f>IF($A4277="","",IF(COUNTIF(변동분석!$E$7:$E$506,O4277)&gt;0,"Y","N"))</f>
        <v/>
      </c>
      <c r="W4277" s="64">
        <f>IF($A4277="","",IFERROR(INDEX(계정매핑!$D$5:$D$504,MATCH($F4277&amp;"",계정매핑!$A$5:$A$504,0)),"미매핑"))</f>
        <v/>
      </c>
      <c r="X4277" s="9">
        <f>IF($A4277="","",$F4277&amp;"")</f>
        <v/>
      </c>
      <c r="Y4277" s="94">
        <f>IF($A4277="",0,IF(AE4277="직접",IF(AF4277="비귀속",$P4277,0),$P4277*(1-AG4277)*IFERROR(INDEX(계정대체기준!$F$20:$F$49,MATCH($N4277,계정대체기준!$A$20:$A$49,0)),1)))</f>
        <v/>
      </c>
      <c r="Z4277" s="94">
        <f>IF($A4277="",0,IF(AE4277="직접",IF(AF4277="신계약비",$P4277,0),$P4277*(1-AG4277)*IFERROR(INDEX(계정대체기준!$C$20:$C$49,MATCH($N4277,계정대체기준!$A$20:$A$49,0)),0)))</f>
        <v/>
      </c>
      <c r="AA4277" s="94">
        <f>IF($A4277="",0,IF(AE4277="직접",IF(OR(AF4277="유지비",AF4277="손해조사비"),$P4277,0),$P4277*(1-AG4277)*IFERROR(INDEX(계정대체기준!$D$20:$D$49,MATCH($N4277,계정대체기준!$A$20:$A$49,0)),0)))</f>
        <v/>
      </c>
      <c r="AB4277" s="94">
        <f>IF($A4277="",0,IF(AE4277="직접",IF(AF4277="수금비",$P4277,0),$P4277*(1-AG4277)*IFERROR(INDEX(계정대체기준!$E$20:$E$49,MATCH($N4277,계정대체기준!$A$20:$A$49,0)),0)))</f>
        <v/>
      </c>
      <c r="AC4277" s="9">
        <f>IF(AND($A4277&lt;&gt;"",M4277=설정!$C$20,Z4277&gt;0),Z4277+ROW()/1000000000,"")</f>
        <v/>
      </c>
      <c r="AD4277" s="94">
        <f>IF($A4277="",0,$P4277*AG4277)</f>
        <v/>
      </c>
      <c r="AE4277" s="64">
        <f>IF($A4277="","",IFERROR(INDEX(계정매핑!$E$5:$E$504,MATCH($F4277&amp;"",계정매핑!$A$5:$A$504,0))&amp;"","공통비"))</f>
        <v/>
      </c>
      <c r="AF4277" s="64">
        <f>IF($A4277="","",IF(AE4277="직접",IFERROR(INDEX(계정매핑!$F$5:$F$504,MATCH($F4277&amp;"",계정매핑!$A$5:$A$504,0))&amp;"","비귀속"),""))</f>
        <v/>
      </c>
      <c r="AG4277" s="96">
        <f>IF($A4277="",0,IF(AND(AE4277&lt;&gt;"직접",IFERROR(INDEX(계정매핑!$G$5:$G$504,MATCH($F4277&amp;"",계정매핑!$A$5:$A$504,0))&amp;"","")="유지비",COUNTIF(계정대체기준!$A$6:$A$15,$N4277)&gt;0),IFERROR(INDEX(계정대체기준!$E$6:$E$15,MATCH(VALUE($A4277&amp;""),계정대체기준!$D$6:$D$15,0)),0),0))</f>
        <v/>
      </c>
      <c r="AH4277" s="64">
        <f>IF($A4277="","",IF(AD4277=0,"",IF(OR(COUNTIF(계정대체기준!$A$77:$A$86,$N4277)&gt;0,ISNUMBER(MATCH($X4277,계정대체기준!$D$77:$D$86,0)),ISNUMBER(MATCH($F4277,계정대체기준!$D$77:$D$86,0))),"Y","N")))</f>
        <v/>
      </c>
    </row>
    <row r="4278">
      <c r="A4278" s="92" t="n">
        <v>2026</v>
      </c>
      <c r="B4278" s="92" t="n">
        <v>7</v>
      </c>
      <c r="C4278" s="92" t="inlineStr">
        <is>
          <t>5100001556</t>
        </is>
      </c>
      <c r="D4278" s="95" t="n">
        <v>46227</v>
      </c>
      <c r="E4278" s="92" t="inlineStr">
        <is>
          <t>KR</t>
        </is>
      </c>
      <c r="F4278" s="92" t="n">
        <v>62101000</v>
      </c>
      <c r="G4278" s="92" t="n">
        <v>1701</v>
      </c>
      <c r="H4278" s="93" t="n">
        <v>210000</v>
      </c>
      <c r="I4278" s="92" t="inlineStr">
        <is>
          <t>7월 국내출장 - M항공</t>
        </is>
      </c>
      <c r="J4278" s="92" t="inlineStr">
        <is>
          <t>V10001</t>
        </is>
      </c>
      <c r="K4278" s="92" t="inlineStr">
        <is>
          <t>M항공</t>
        </is>
      </c>
      <c r="M4278" s="9">
        <f>IF($A4278="","",VALUE($A4278&amp;"")*12+VALUE($B4278&amp;""))</f>
        <v/>
      </c>
      <c r="N4278" s="64">
        <f>IF($A4278="","",IFERROR(INDEX(부서매핑!$C$5:$C$504,MATCH($G4278&amp;"",부서매핑!$A$5:$A$504,0)),"미매핑"))</f>
        <v/>
      </c>
      <c r="O4278" s="9">
        <f>IF($A4278="","",N4278&amp;"|"&amp;$F4278)</f>
        <v/>
      </c>
      <c r="P4278" s="94">
        <f>IF($A4278="",0,$H4278*설정!$C$23)</f>
        <v/>
      </c>
      <c r="Q4278" s="64">
        <f>IF($A4278="","",IF(O4278&lt;&gt;원인분석!$C$9,"",IF(AND(M4278&gt;=원인분석!$C$10,M4278&lt;=원인분석!$C$11),"당기",IF(AND(M4278&gt;=원인분석!$C$12,M4278&lt;=원인분석!$C$13),"비교",""))))</f>
        <v/>
      </c>
      <c r="R4278" s="9">
        <f>IF(Q4278="","",$K4278&amp;"")</f>
        <v/>
      </c>
      <c r="S4278" s="9">
        <f>IF(Q4278="","",IF(MATCH(R4278,$R$5:$R$100000,0)=ROW()-4,ROW(),""))</f>
        <v/>
      </c>
      <c r="T4278" s="9">
        <f>IF(Q4278="당기",ABS(P4278)+ROW()/1000000000,"")</f>
        <v/>
      </c>
      <c r="U4278" s="9">
        <f>IF(Q4278="비교",ABS(P4278)+ROW()/1000000000,"")</f>
        <v/>
      </c>
      <c r="V4278" s="64">
        <f>IF($A4278="","",IF(COUNTIF(변동분석!$E$7:$E$506,O4278)&gt;0,"Y","N"))</f>
        <v/>
      </c>
      <c r="W4278" s="64">
        <f>IF($A4278="","",IFERROR(INDEX(계정매핑!$D$5:$D$504,MATCH($F4278&amp;"",계정매핑!$A$5:$A$504,0)),"미매핑"))</f>
        <v/>
      </c>
      <c r="X4278" s="9">
        <f>IF($A4278="","",$F4278&amp;"")</f>
        <v/>
      </c>
      <c r="Y4278" s="94">
        <f>IF($A4278="",0,IF(AE4278="직접",IF(AF4278="비귀속",$P4278,0),$P4278*(1-AG4278)*IFERROR(INDEX(계정대체기준!$F$20:$F$49,MATCH($N4278,계정대체기준!$A$20:$A$49,0)),1)))</f>
        <v/>
      </c>
      <c r="Z4278" s="94">
        <f>IF($A4278="",0,IF(AE4278="직접",IF(AF4278="신계약비",$P4278,0),$P4278*(1-AG4278)*IFERROR(INDEX(계정대체기준!$C$20:$C$49,MATCH($N4278,계정대체기준!$A$20:$A$49,0)),0)))</f>
        <v/>
      </c>
      <c r="AA4278" s="94">
        <f>IF($A4278="",0,IF(AE4278="직접",IF(OR(AF4278="유지비",AF4278="손해조사비"),$P4278,0),$P4278*(1-AG4278)*IFERROR(INDEX(계정대체기준!$D$20:$D$49,MATCH($N4278,계정대체기준!$A$20:$A$49,0)),0)))</f>
        <v/>
      </c>
      <c r="AB4278" s="94">
        <f>IF($A4278="",0,IF(AE4278="직접",IF(AF4278="수금비",$P4278,0),$P4278*(1-AG4278)*IFERROR(INDEX(계정대체기준!$E$20:$E$49,MATCH($N4278,계정대체기준!$A$20:$A$49,0)),0)))</f>
        <v/>
      </c>
      <c r="AC4278" s="9">
        <f>IF(AND($A4278&lt;&gt;"",M4278=설정!$C$20,Z4278&gt;0),Z4278+ROW()/1000000000,"")</f>
        <v/>
      </c>
      <c r="AD4278" s="94">
        <f>IF($A4278="",0,$P4278*AG4278)</f>
        <v/>
      </c>
      <c r="AE4278" s="64">
        <f>IF($A4278="","",IFERROR(INDEX(계정매핑!$E$5:$E$504,MATCH($F4278&amp;"",계정매핑!$A$5:$A$504,0))&amp;"","공통비"))</f>
        <v/>
      </c>
      <c r="AF4278" s="64">
        <f>IF($A4278="","",IF(AE4278="직접",IFERROR(INDEX(계정매핑!$F$5:$F$504,MATCH($F4278&amp;"",계정매핑!$A$5:$A$504,0))&amp;"","비귀속"),""))</f>
        <v/>
      </c>
      <c r="AG4278" s="96">
        <f>IF($A4278="",0,IF(AND(AE4278&lt;&gt;"직접",IFERROR(INDEX(계정매핑!$G$5:$G$504,MATCH($F4278&amp;"",계정매핑!$A$5:$A$504,0))&amp;"","")="유지비",COUNTIF(계정대체기준!$A$6:$A$15,$N4278)&gt;0),IFERROR(INDEX(계정대체기준!$E$6:$E$15,MATCH(VALUE($A4278&amp;""),계정대체기준!$D$6:$D$15,0)),0),0))</f>
        <v/>
      </c>
      <c r="AH4278" s="64">
        <f>IF($A4278="","",IF(AD4278=0,"",IF(OR(COUNTIF(계정대체기준!$A$77:$A$86,$N4278)&gt;0,ISNUMBER(MATCH($X4278,계정대체기준!$D$77:$D$86,0)),ISNUMBER(MATCH($F4278,계정대체기준!$D$77:$D$86,0))),"Y","N")))</f>
        <v/>
      </c>
    </row>
    <row r="4279">
      <c r="A4279" s="92" t="n">
        <v>2026</v>
      </c>
      <c r="B4279" s="92" t="n">
        <v>7</v>
      </c>
      <c r="C4279" s="92" t="inlineStr">
        <is>
          <t>5100001557</t>
        </is>
      </c>
      <c r="D4279" s="95" t="n">
        <v>46227</v>
      </c>
      <c r="E4279" s="92" t="inlineStr">
        <is>
          <t>KR</t>
        </is>
      </c>
      <c r="F4279" s="92" t="n">
        <v>62101000</v>
      </c>
      <c r="G4279" s="92" t="n">
        <v>1801</v>
      </c>
      <c r="H4279" s="93" t="n">
        <v>114000</v>
      </c>
      <c r="I4279" s="92" t="inlineStr">
        <is>
          <t>7월 국내출장 - (법인카드)</t>
        </is>
      </c>
      <c r="J4279" s="92" t="inlineStr">
        <is>
          <t>V10010</t>
        </is>
      </c>
      <c r="K4279" s="92" t="inlineStr">
        <is>
          <t>(법인카드)</t>
        </is>
      </c>
      <c r="M4279" s="9">
        <f>IF($A4279="","",VALUE($A4279&amp;"")*12+VALUE($B4279&amp;""))</f>
        <v/>
      </c>
      <c r="N4279" s="64">
        <f>IF($A4279="","",IFERROR(INDEX(부서매핑!$C$5:$C$504,MATCH($G4279&amp;"",부서매핑!$A$5:$A$504,0)),"미매핑"))</f>
        <v/>
      </c>
      <c r="O4279" s="9">
        <f>IF($A4279="","",N4279&amp;"|"&amp;$F4279)</f>
        <v/>
      </c>
      <c r="P4279" s="94">
        <f>IF($A4279="",0,$H4279*설정!$C$23)</f>
        <v/>
      </c>
      <c r="Q4279" s="64">
        <f>IF($A4279="","",IF(O4279&lt;&gt;원인분석!$C$9,"",IF(AND(M4279&gt;=원인분석!$C$10,M4279&lt;=원인분석!$C$11),"당기",IF(AND(M4279&gt;=원인분석!$C$12,M4279&lt;=원인분석!$C$13),"비교",""))))</f>
        <v/>
      </c>
      <c r="R4279" s="9">
        <f>IF(Q4279="","",$K4279&amp;"")</f>
        <v/>
      </c>
      <c r="S4279" s="9">
        <f>IF(Q4279="","",IF(MATCH(R4279,$R$5:$R$100000,0)=ROW()-4,ROW(),""))</f>
        <v/>
      </c>
      <c r="T4279" s="9">
        <f>IF(Q4279="당기",ABS(P4279)+ROW()/1000000000,"")</f>
        <v/>
      </c>
      <c r="U4279" s="9">
        <f>IF(Q4279="비교",ABS(P4279)+ROW()/1000000000,"")</f>
        <v/>
      </c>
      <c r="V4279" s="64">
        <f>IF($A4279="","",IF(COUNTIF(변동분석!$E$7:$E$506,O4279)&gt;0,"Y","N"))</f>
        <v/>
      </c>
      <c r="W4279" s="64">
        <f>IF($A4279="","",IFERROR(INDEX(계정매핑!$D$5:$D$504,MATCH($F4279&amp;"",계정매핑!$A$5:$A$504,0)),"미매핑"))</f>
        <v/>
      </c>
      <c r="X4279" s="9">
        <f>IF($A4279="","",$F4279&amp;"")</f>
        <v/>
      </c>
      <c r="Y4279" s="94">
        <f>IF($A4279="",0,IF(AE4279="직접",IF(AF4279="비귀속",$P4279,0),$P4279*(1-AG4279)*IFERROR(INDEX(계정대체기준!$F$20:$F$49,MATCH($N4279,계정대체기준!$A$20:$A$49,0)),1)))</f>
        <v/>
      </c>
      <c r="Z4279" s="94">
        <f>IF($A4279="",0,IF(AE4279="직접",IF(AF4279="신계약비",$P4279,0),$P4279*(1-AG4279)*IFERROR(INDEX(계정대체기준!$C$20:$C$49,MATCH($N4279,계정대체기준!$A$20:$A$49,0)),0)))</f>
        <v/>
      </c>
      <c r="AA4279" s="94">
        <f>IF($A4279="",0,IF(AE4279="직접",IF(OR(AF4279="유지비",AF4279="손해조사비"),$P4279,0),$P4279*(1-AG4279)*IFERROR(INDEX(계정대체기준!$D$20:$D$49,MATCH($N4279,계정대체기준!$A$20:$A$49,0)),0)))</f>
        <v/>
      </c>
      <c r="AB4279" s="94">
        <f>IF($A4279="",0,IF(AE4279="직접",IF(AF4279="수금비",$P4279,0),$P4279*(1-AG4279)*IFERROR(INDEX(계정대체기준!$E$20:$E$49,MATCH($N4279,계정대체기준!$A$20:$A$49,0)),0)))</f>
        <v/>
      </c>
      <c r="AC4279" s="9">
        <f>IF(AND($A4279&lt;&gt;"",M4279=설정!$C$20,Z4279&gt;0),Z4279+ROW()/1000000000,"")</f>
        <v/>
      </c>
      <c r="AD4279" s="94">
        <f>IF($A4279="",0,$P4279*AG4279)</f>
        <v/>
      </c>
      <c r="AE4279" s="64">
        <f>IF($A4279="","",IFERROR(INDEX(계정매핑!$E$5:$E$504,MATCH($F4279&amp;"",계정매핑!$A$5:$A$504,0))&amp;"","공통비"))</f>
        <v/>
      </c>
      <c r="AF4279" s="64">
        <f>IF($A4279="","",IF(AE4279="직접",IFERROR(INDEX(계정매핑!$F$5:$F$504,MATCH($F4279&amp;"",계정매핑!$A$5:$A$504,0))&amp;"","비귀속"),""))</f>
        <v/>
      </c>
      <c r="AG4279" s="96">
        <f>IF($A4279="",0,IF(AND(AE4279&lt;&gt;"직접",IFERROR(INDEX(계정매핑!$G$5:$G$504,MATCH($F4279&amp;"",계정매핑!$A$5:$A$504,0))&amp;"","")="유지비",COUNTIF(계정대체기준!$A$6:$A$15,$N4279)&gt;0),IFERROR(INDEX(계정대체기준!$E$6:$E$15,MATCH(VALUE($A4279&amp;""),계정대체기준!$D$6:$D$15,0)),0),0))</f>
        <v/>
      </c>
      <c r="AH4279" s="64">
        <f>IF($A4279="","",IF(AD4279=0,"",IF(OR(COUNTIF(계정대체기준!$A$77:$A$86,$N4279)&gt;0,ISNUMBER(MATCH($X4279,계정대체기준!$D$77:$D$86,0)),ISNUMBER(MATCH($F4279,계정대체기준!$D$77:$D$86,0))),"Y","N")))</f>
        <v/>
      </c>
    </row>
    <row r="4280">
      <c r="A4280" s="92" t="n">
        <v>2026</v>
      </c>
      <c r="B4280" s="92" t="n">
        <v>7</v>
      </c>
      <c r="C4280" s="92" t="inlineStr">
        <is>
          <t>5100001558</t>
        </is>
      </c>
      <c r="D4280" s="95" t="n">
        <v>46227</v>
      </c>
      <c r="E4280" s="92" t="inlineStr">
        <is>
          <t>KR</t>
        </is>
      </c>
      <c r="F4280" s="92" t="n">
        <v>62501000</v>
      </c>
      <c r="G4280" s="92" t="n">
        <v>1701</v>
      </c>
      <c r="H4280" s="93" t="n">
        <v>89000</v>
      </c>
      <c r="I4280" s="92" t="inlineStr">
        <is>
          <t>7월 회의 다과 - (법인카드)</t>
        </is>
      </c>
      <c r="J4280" s="92" t="inlineStr">
        <is>
          <t>V10010</t>
        </is>
      </c>
      <c r="K4280" s="92" t="inlineStr">
        <is>
          <t>(법인카드)</t>
        </is>
      </c>
      <c r="M4280" s="9">
        <f>IF($A4280="","",VALUE($A4280&amp;"")*12+VALUE($B4280&amp;""))</f>
        <v/>
      </c>
      <c r="N4280" s="64">
        <f>IF($A4280="","",IFERROR(INDEX(부서매핑!$C$5:$C$504,MATCH($G4280&amp;"",부서매핑!$A$5:$A$504,0)),"미매핑"))</f>
        <v/>
      </c>
      <c r="O4280" s="9">
        <f>IF($A4280="","",N4280&amp;"|"&amp;$F4280)</f>
        <v/>
      </c>
      <c r="P4280" s="94">
        <f>IF($A4280="",0,$H4280*설정!$C$23)</f>
        <v/>
      </c>
      <c r="Q4280" s="64">
        <f>IF($A4280="","",IF(O4280&lt;&gt;원인분석!$C$9,"",IF(AND(M4280&gt;=원인분석!$C$10,M4280&lt;=원인분석!$C$11),"당기",IF(AND(M4280&gt;=원인분석!$C$12,M4280&lt;=원인분석!$C$13),"비교",""))))</f>
        <v/>
      </c>
      <c r="R4280" s="9">
        <f>IF(Q4280="","",$K4280&amp;"")</f>
        <v/>
      </c>
      <c r="S4280" s="9">
        <f>IF(Q4280="","",IF(MATCH(R4280,$R$5:$R$100000,0)=ROW()-4,ROW(),""))</f>
        <v/>
      </c>
      <c r="T4280" s="9">
        <f>IF(Q4280="당기",ABS(P4280)+ROW()/1000000000,"")</f>
        <v/>
      </c>
      <c r="U4280" s="9">
        <f>IF(Q4280="비교",ABS(P4280)+ROW()/1000000000,"")</f>
        <v/>
      </c>
      <c r="V4280" s="64">
        <f>IF($A4280="","",IF(COUNTIF(변동분석!$E$7:$E$506,O4280)&gt;0,"Y","N"))</f>
        <v/>
      </c>
      <c r="W4280" s="64">
        <f>IF($A4280="","",IFERROR(INDEX(계정매핑!$D$5:$D$504,MATCH($F4280&amp;"",계정매핑!$A$5:$A$504,0)),"미매핑"))</f>
        <v/>
      </c>
      <c r="X4280" s="9">
        <f>IF($A4280="","",$F4280&amp;"")</f>
        <v/>
      </c>
      <c r="Y4280" s="94">
        <f>IF($A4280="",0,IF(AE4280="직접",IF(AF4280="비귀속",$P4280,0),$P4280*(1-AG4280)*IFERROR(INDEX(계정대체기준!$F$20:$F$49,MATCH($N4280,계정대체기준!$A$20:$A$49,0)),1)))</f>
        <v/>
      </c>
      <c r="Z4280" s="94">
        <f>IF($A4280="",0,IF(AE4280="직접",IF(AF4280="신계약비",$P4280,0),$P4280*(1-AG4280)*IFERROR(INDEX(계정대체기준!$C$20:$C$49,MATCH($N4280,계정대체기준!$A$20:$A$49,0)),0)))</f>
        <v/>
      </c>
      <c r="AA4280" s="94">
        <f>IF($A4280="",0,IF(AE4280="직접",IF(OR(AF4280="유지비",AF4280="손해조사비"),$P4280,0),$P4280*(1-AG4280)*IFERROR(INDEX(계정대체기준!$D$20:$D$49,MATCH($N4280,계정대체기준!$A$20:$A$49,0)),0)))</f>
        <v/>
      </c>
      <c r="AB4280" s="94">
        <f>IF($A4280="",0,IF(AE4280="직접",IF(AF4280="수금비",$P4280,0),$P4280*(1-AG4280)*IFERROR(INDEX(계정대체기준!$E$20:$E$49,MATCH($N4280,계정대체기준!$A$20:$A$49,0)),0)))</f>
        <v/>
      </c>
      <c r="AC4280" s="9">
        <f>IF(AND($A4280&lt;&gt;"",M4280=설정!$C$20,Z4280&gt;0),Z4280+ROW()/1000000000,"")</f>
        <v/>
      </c>
      <c r="AD4280" s="94">
        <f>IF($A4280="",0,$P4280*AG4280)</f>
        <v/>
      </c>
      <c r="AE4280" s="64">
        <f>IF($A4280="","",IFERROR(INDEX(계정매핑!$E$5:$E$504,MATCH($F4280&amp;"",계정매핑!$A$5:$A$504,0))&amp;"","공통비"))</f>
        <v/>
      </c>
      <c r="AF4280" s="64">
        <f>IF($A4280="","",IF(AE4280="직접",IFERROR(INDEX(계정매핑!$F$5:$F$504,MATCH($F4280&amp;"",계정매핑!$A$5:$A$504,0))&amp;"","비귀속"),""))</f>
        <v/>
      </c>
      <c r="AG4280" s="96">
        <f>IF($A4280="",0,IF(AND(AE4280&lt;&gt;"직접",IFERROR(INDEX(계정매핑!$G$5:$G$504,MATCH($F4280&amp;"",계정매핑!$A$5:$A$504,0))&amp;"","")="유지비",COUNTIF(계정대체기준!$A$6:$A$15,$N4280)&gt;0),IFERROR(INDEX(계정대체기준!$E$6:$E$15,MATCH(VALUE($A4280&amp;""),계정대체기준!$D$6:$D$15,0)),0),0))</f>
        <v/>
      </c>
      <c r="AH4280" s="64">
        <f>IF($A4280="","",IF(AD4280=0,"",IF(OR(COUNTIF(계정대체기준!$A$77:$A$86,$N4280)&gt;0,ISNUMBER(MATCH($X4280,계정대체기준!$D$77:$D$86,0)),ISNUMBER(MATCH($F4280,계정대체기준!$D$77:$D$86,0))),"Y","N")))</f>
        <v/>
      </c>
    </row>
    <row r="4281">
      <c r="A4281" s="92" t="n">
        <v>2026</v>
      </c>
      <c r="B4281" s="92" t="n">
        <v>7</v>
      </c>
      <c r="C4281" s="92" t="inlineStr">
        <is>
          <t>5100001559</t>
        </is>
      </c>
      <c r="D4281" s="95" t="n">
        <v>46227</v>
      </c>
      <c r="E4281" s="92" t="inlineStr">
        <is>
          <t>KR</t>
        </is>
      </c>
      <c r="F4281" s="92" t="n">
        <v>62902000</v>
      </c>
      <c r="G4281" s="92" t="n">
        <v>1201</v>
      </c>
      <c r="H4281" s="93" t="n">
        <v>3112000</v>
      </c>
      <c r="I4281" s="92" t="inlineStr">
        <is>
          <t>7월 업무 위탁 수수료 - J콜센터</t>
        </is>
      </c>
      <c r="J4281" s="92" t="inlineStr">
        <is>
          <t>V10016</t>
        </is>
      </c>
      <c r="K4281" s="92" t="inlineStr">
        <is>
          <t>J콜센터</t>
        </is>
      </c>
      <c r="M4281" s="9">
        <f>IF($A4281="","",VALUE($A4281&amp;"")*12+VALUE($B4281&amp;""))</f>
        <v/>
      </c>
      <c r="N4281" s="64">
        <f>IF($A4281="","",IFERROR(INDEX(부서매핑!$C$5:$C$504,MATCH($G4281&amp;"",부서매핑!$A$5:$A$504,0)),"미매핑"))</f>
        <v/>
      </c>
      <c r="O4281" s="9">
        <f>IF($A4281="","",N4281&amp;"|"&amp;$F4281)</f>
        <v/>
      </c>
      <c r="P4281" s="94">
        <f>IF($A4281="",0,$H4281*설정!$C$23)</f>
        <v/>
      </c>
      <c r="Q4281" s="64">
        <f>IF($A4281="","",IF(O4281&lt;&gt;원인분석!$C$9,"",IF(AND(M4281&gt;=원인분석!$C$10,M4281&lt;=원인분석!$C$11),"당기",IF(AND(M4281&gt;=원인분석!$C$12,M4281&lt;=원인분석!$C$13),"비교",""))))</f>
        <v/>
      </c>
      <c r="R4281" s="9">
        <f>IF(Q4281="","",$K4281&amp;"")</f>
        <v/>
      </c>
      <c r="S4281" s="9">
        <f>IF(Q4281="","",IF(MATCH(R4281,$R$5:$R$100000,0)=ROW()-4,ROW(),""))</f>
        <v/>
      </c>
      <c r="T4281" s="9">
        <f>IF(Q4281="당기",ABS(P4281)+ROW()/1000000000,"")</f>
        <v/>
      </c>
      <c r="U4281" s="9">
        <f>IF(Q4281="비교",ABS(P4281)+ROW()/1000000000,"")</f>
        <v/>
      </c>
      <c r="V4281" s="64">
        <f>IF($A4281="","",IF(COUNTIF(변동분석!$E$7:$E$506,O4281)&gt;0,"Y","N"))</f>
        <v/>
      </c>
      <c r="W4281" s="64">
        <f>IF($A4281="","",IFERROR(INDEX(계정매핑!$D$5:$D$504,MATCH($F4281&amp;"",계정매핑!$A$5:$A$504,0)),"미매핑"))</f>
        <v/>
      </c>
      <c r="X4281" s="9">
        <f>IF($A4281="","",$F4281&amp;"")</f>
        <v/>
      </c>
      <c r="Y4281" s="94">
        <f>IF($A4281="",0,IF(AE4281="직접",IF(AF4281="비귀속",$P4281,0),$P4281*(1-AG4281)*IFERROR(INDEX(계정대체기준!$F$20:$F$49,MATCH($N4281,계정대체기준!$A$20:$A$49,0)),1)))</f>
        <v/>
      </c>
      <c r="Z4281" s="94">
        <f>IF($A4281="",0,IF(AE4281="직접",IF(AF4281="신계약비",$P4281,0),$P4281*(1-AG4281)*IFERROR(INDEX(계정대체기준!$C$20:$C$49,MATCH($N4281,계정대체기준!$A$20:$A$49,0)),0)))</f>
        <v/>
      </c>
      <c r="AA4281" s="94">
        <f>IF($A4281="",0,IF(AE4281="직접",IF(OR(AF4281="유지비",AF4281="손해조사비"),$P4281,0),$P4281*(1-AG4281)*IFERROR(INDEX(계정대체기준!$D$20:$D$49,MATCH($N4281,계정대체기준!$A$20:$A$49,0)),0)))</f>
        <v/>
      </c>
      <c r="AB4281" s="94">
        <f>IF($A4281="",0,IF(AE4281="직접",IF(AF4281="수금비",$P4281,0),$P4281*(1-AG4281)*IFERROR(INDEX(계정대체기준!$E$20:$E$49,MATCH($N4281,계정대체기준!$A$20:$A$49,0)),0)))</f>
        <v/>
      </c>
      <c r="AC4281" s="9">
        <f>IF(AND($A4281&lt;&gt;"",M4281=설정!$C$20,Z4281&gt;0),Z4281+ROW()/1000000000,"")</f>
        <v/>
      </c>
      <c r="AD4281" s="94">
        <f>IF($A4281="",0,$P4281*AG4281)</f>
        <v/>
      </c>
      <c r="AE4281" s="64">
        <f>IF($A4281="","",IFERROR(INDEX(계정매핑!$E$5:$E$504,MATCH($F4281&amp;"",계정매핑!$A$5:$A$504,0))&amp;"","공통비"))</f>
        <v/>
      </c>
      <c r="AF4281" s="64">
        <f>IF($A4281="","",IF(AE4281="직접",IFERROR(INDEX(계정매핑!$F$5:$F$504,MATCH($F4281&amp;"",계정매핑!$A$5:$A$504,0))&amp;"","비귀속"),""))</f>
        <v/>
      </c>
      <c r="AG4281" s="96">
        <f>IF($A4281="",0,IF(AND(AE4281&lt;&gt;"직접",IFERROR(INDEX(계정매핑!$G$5:$G$504,MATCH($F4281&amp;"",계정매핑!$A$5:$A$504,0))&amp;"","")="유지비",COUNTIF(계정대체기준!$A$6:$A$15,$N4281)&gt;0),IFERROR(INDEX(계정대체기준!$E$6:$E$15,MATCH(VALUE($A4281&amp;""),계정대체기준!$D$6:$D$15,0)),0),0))</f>
        <v/>
      </c>
      <c r="AH4281" s="64">
        <f>IF($A4281="","",IF(AD4281=0,"",IF(OR(COUNTIF(계정대체기준!$A$77:$A$86,$N4281)&gt;0,ISNUMBER(MATCH($X4281,계정대체기준!$D$77:$D$86,0)),ISNUMBER(MATCH($F4281,계정대체기준!$D$77:$D$86,0))),"Y","N")))</f>
        <v/>
      </c>
    </row>
    <row r="4282">
      <c r="A4282" s="92" t="n">
        <v>2026</v>
      </c>
      <c r="B4282" s="92" t="n">
        <v>7</v>
      </c>
      <c r="C4282" s="92" t="inlineStr">
        <is>
          <t>5100001560</t>
        </is>
      </c>
      <c r="D4282" s="95" t="n">
        <v>46227</v>
      </c>
      <c r="E4282" s="92" t="inlineStr">
        <is>
          <t>KR</t>
        </is>
      </c>
      <c r="F4282" s="92" t="n">
        <v>63001000</v>
      </c>
      <c r="G4282" s="92" t="n">
        <v>1951</v>
      </c>
      <c r="H4282" s="93" t="n">
        <v>4704000</v>
      </c>
      <c r="I4282" s="92" t="inlineStr">
        <is>
          <t>7월 SW 유지보수 - Z시스템</t>
        </is>
      </c>
      <c r="J4282" s="92" t="inlineStr">
        <is>
          <t>V10012</t>
        </is>
      </c>
      <c r="K4282" s="92" t="inlineStr">
        <is>
          <t>Z시스템</t>
        </is>
      </c>
      <c r="M4282" s="9">
        <f>IF($A4282="","",VALUE($A4282&amp;"")*12+VALUE($B4282&amp;""))</f>
        <v/>
      </c>
      <c r="N4282" s="64">
        <f>IF($A4282="","",IFERROR(INDEX(부서매핑!$C$5:$C$504,MATCH($G4282&amp;"",부서매핑!$A$5:$A$504,0)),"미매핑"))</f>
        <v/>
      </c>
      <c r="O4282" s="9">
        <f>IF($A4282="","",N4282&amp;"|"&amp;$F4282)</f>
        <v/>
      </c>
      <c r="P4282" s="94">
        <f>IF($A4282="",0,$H4282*설정!$C$23)</f>
        <v/>
      </c>
      <c r="Q4282" s="64">
        <f>IF($A4282="","",IF(O4282&lt;&gt;원인분석!$C$9,"",IF(AND(M4282&gt;=원인분석!$C$10,M4282&lt;=원인분석!$C$11),"당기",IF(AND(M4282&gt;=원인분석!$C$12,M4282&lt;=원인분석!$C$13),"비교",""))))</f>
        <v/>
      </c>
      <c r="R4282" s="9">
        <f>IF(Q4282="","",$K4282&amp;"")</f>
        <v/>
      </c>
      <c r="S4282" s="9">
        <f>IF(Q4282="","",IF(MATCH(R4282,$R$5:$R$100000,0)=ROW()-4,ROW(),""))</f>
        <v/>
      </c>
      <c r="T4282" s="9">
        <f>IF(Q4282="당기",ABS(P4282)+ROW()/1000000000,"")</f>
        <v/>
      </c>
      <c r="U4282" s="9">
        <f>IF(Q4282="비교",ABS(P4282)+ROW()/1000000000,"")</f>
        <v/>
      </c>
      <c r="V4282" s="64">
        <f>IF($A4282="","",IF(COUNTIF(변동분석!$E$7:$E$506,O4282)&gt;0,"Y","N"))</f>
        <v/>
      </c>
      <c r="W4282" s="64">
        <f>IF($A4282="","",IFERROR(INDEX(계정매핑!$D$5:$D$504,MATCH($F4282&amp;"",계정매핑!$A$5:$A$504,0)),"미매핑"))</f>
        <v/>
      </c>
      <c r="X4282" s="9">
        <f>IF($A4282="","",$F4282&amp;"")</f>
        <v/>
      </c>
      <c r="Y4282" s="94">
        <f>IF($A4282="",0,IF(AE4282="직접",IF(AF4282="비귀속",$P4282,0),$P4282*(1-AG4282)*IFERROR(INDEX(계정대체기준!$F$20:$F$49,MATCH($N4282,계정대체기준!$A$20:$A$49,0)),1)))</f>
        <v/>
      </c>
      <c r="Z4282" s="94">
        <f>IF($A4282="",0,IF(AE4282="직접",IF(AF4282="신계약비",$P4282,0),$P4282*(1-AG4282)*IFERROR(INDEX(계정대체기준!$C$20:$C$49,MATCH($N4282,계정대체기준!$A$20:$A$49,0)),0)))</f>
        <v/>
      </c>
      <c r="AA4282" s="94">
        <f>IF($A4282="",0,IF(AE4282="직접",IF(OR(AF4282="유지비",AF4282="손해조사비"),$P4282,0),$P4282*(1-AG4282)*IFERROR(INDEX(계정대체기준!$D$20:$D$49,MATCH($N4282,계정대체기준!$A$20:$A$49,0)),0)))</f>
        <v/>
      </c>
      <c r="AB4282" s="94">
        <f>IF($A4282="",0,IF(AE4282="직접",IF(AF4282="수금비",$P4282,0),$P4282*(1-AG4282)*IFERROR(INDEX(계정대체기준!$E$20:$E$49,MATCH($N4282,계정대체기준!$A$20:$A$49,0)),0)))</f>
        <v/>
      </c>
      <c r="AC4282" s="9">
        <f>IF(AND($A4282&lt;&gt;"",M4282=설정!$C$20,Z4282&gt;0),Z4282+ROW()/1000000000,"")</f>
        <v/>
      </c>
      <c r="AD4282" s="94">
        <f>IF($A4282="",0,$P4282*AG4282)</f>
        <v/>
      </c>
      <c r="AE4282" s="64">
        <f>IF($A4282="","",IFERROR(INDEX(계정매핑!$E$5:$E$504,MATCH($F4282&amp;"",계정매핑!$A$5:$A$504,0))&amp;"","공통비"))</f>
        <v/>
      </c>
      <c r="AF4282" s="64">
        <f>IF($A4282="","",IF(AE4282="직접",IFERROR(INDEX(계정매핑!$F$5:$F$504,MATCH($F4282&amp;"",계정매핑!$A$5:$A$504,0))&amp;"","비귀속"),""))</f>
        <v/>
      </c>
      <c r="AG4282" s="96">
        <f>IF($A4282="",0,IF(AND(AE4282&lt;&gt;"직접",IFERROR(INDEX(계정매핑!$G$5:$G$504,MATCH($F4282&amp;"",계정매핑!$A$5:$A$504,0))&amp;"","")="유지비",COUNTIF(계정대체기준!$A$6:$A$15,$N4282)&gt;0),IFERROR(INDEX(계정대체기준!$E$6:$E$15,MATCH(VALUE($A4282&amp;""),계정대체기준!$D$6:$D$15,0)),0),0))</f>
        <v/>
      </c>
      <c r="AH4282" s="64">
        <f>IF($A4282="","",IF(AD4282=0,"",IF(OR(COUNTIF(계정대체기준!$A$77:$A$86,$N4282)&gt;0,ISNUMBER(MATCH($X4282,계정대체기준!$D$77:$D$86,0)),ISNUMBER(MATCH($F4282,계정대체기준!$D$77:$D$86,0))),"Y","N")))</f>
        <v/>
      </c>
    </row>
    <row r="4283">
      <c r="A4283" s="92" t="n">
        <v>2026</v>
      </c>
      <c r="B4283" s="92" t="n">
        <v>7</v>
      </c>
      <c r="C4283" s="92" t="inlineStr">
        <is>
          <t>5100001561</t>
        </is>
      </c>
      <c r="D4283" s="95" t="n">
        <v>46227</v>
      </c>
      <c r="E4283" s="92" t="inlineStr">
        <is>
          <t>KR</t>
        </is>
      </c>
      <c r="F4283" s="92" t="n">
        <v>63501000</v>
      </c>
      <c r="G4283" s="92" t="n">
        <v>1902</v>
      </c>
      <c r="H4283" s="93" t="n">
        <v>322646000</v>
      </c>
      <c r="I4283" s="92" t="inlineStr">
        <is>
          <t>7월 모집수수료 - AA보험대리점</t>
        </is>
      </c>
      <c r="J4283" s="92" t="inlineStr">
        <is>
          <t>V10034</t>
        </is>
      </c>
      <c r="K4283" s="92" t="inlineStr">
        <is>
          <t>AA보험대리점</t>
        </is>
      </c>
      <c r="M4283" s="9">
        <f>IF($A4283="","",VALUE($A4283&amp;"")*12+VALUE($B4283&amp;""))</f>
        <v/>
      </c>
      <c r="N4283" s="64">
        <f>IF($A4283="","",IFERROR(INDEX(부서매핑!$C$5:$C$504,MATCH($G4283&amp;"",부서매핑!$A$5:$A$504,0)),"미매핑"))</f>
        <v/>
      </c>
      <c r="O4283" s="9">
        <f>IF($A4283="","",N4283&amp;"|"&amp;$F4283)</f>
        <v/>
      </c>
      <c r="P4283" s="94">
        <f>IF($A4283="",0,$H4283*설정!$C$23)</f>
        <v/>
      </c>
      <c r="Q4283" s="64">
        <f>IF($A4283="","",IF(O4283&lt;&gt;원인분석!$C$9,"",IF(AND(M4283&gt;=원인분석!$C$10,M4283&lt;=원인분석!$C$11),"당기",IF(AND(M4283&gt;=원인분석!$C$12,M4283&lt;=원인분석!$C$13),"비교",""))))</f>
        <v/>
      </c>
      <c r="R4283" s="9">
        <f>IF(Q4283="","",$K4283&amp;"")</f>
        <v/>
      </c>
      <c r="S4283" s="9">
        <f>IF(Q4283="","",IF(MATCH(R4283,$R$5:$R$100000,0)=ROW()-4,ROW(),""))</f>
        <v/>
      </c>
      <c r="T4283" s="9">
        <f>IF(Q4283="당기",ABS(P4283)+ROW()/1000000000,"")</f>
        <v/>
      </c>
      <c r="U4283" s="9">
        <f>IF(Q4283="비교",ABS(P4283)+ROW()/1000000000,"")</f>
        <v/>
      </c>
      <c r="V4283" s="64">
        <f>IF($A4283="","",IF(COUNTIF(변동분석!$E$7:$E$506,O4283)&gt;0,"Y","N"))</f>
        <v/>
      </c>
      <c r="W4283" s="64">
        <f>IF($A4283="","",IFERROR(INDEX(계정매핑!$D$5:$D$504,MATCH($F4283&amp;"",계정매핑!$A$5:$A$504,0)),"미매핑"))</f>
        <v/>
      </c>
      <c r="X4283" s="9">
        <f>IF($A4283="","",$F4283&amp;"")</f>
        <v/>
      </c>
      <c r="Y4283" s="94">
        <f>IF($A4283="",0,IF(AE4283="직접",IF(AF4283="비귀속",$P4283,0),$P4283*(1-AG4283)*IFERROR(INDEX(계정대체기준!$F$20:$F$49,MATCH($N4283,계정대체기준!$A$20:$A$49,0)),1)))</f>
        <v/>
      </c>
      <c r="Z4283" s="94">
        <f>IF($A4283="",0,IF(AE4283="직접",IF(AF4283="신계약비",$P4283,0),$P4283*(1-AG4283)*IFERROR(INDEX(계정대체기준!$C$20:$C$49,MATCH($N4283,계정대체기준!$A$20:$A$49,0)),0)))</f>
        <v/>
      </c>
      <c r="AA4283" s="94">
        <f>IF($A4283="",0,IF(AE4283="직접",IF(OR(AF4283="유지비",AF4283="손해조사비"),$P4283,0),$P4283*(1-AG4283)*IFERROR(INDEX(계정대체기준!$D$20:$D$49,MATCH($N4283,계정대체기준!$A$20:$A$49,0)),0)))</f>
        <v/>
      </c>
      <c r="AB4283" s="94">
        <f>IF($A4283="",0,IF(AE4283="직접",IF(AF4283="수금비",$P4283,0),$P4283*(1-AG4283)*IFERROR(INDEX(계정대체기준!$E$20:$E$49,MATCH($N4283,계정대체기준!$A$20:$A$49,0)),0)))</f>
        <v/>
      </c>
      <c r="AC4283" s="9">
        <f>IF(AND($A4283&lt;&gt;"",M4283=설정!$C$20,Z4283&gt;0),Z4283+ROW()/1000000000,"")</f>
        <v/>
      </c>
      <c r="AD4283" s="94">
        <f>IF($A4283="",0,$P4283*AG4283)</f>
        <v/>
      </c>
      <c r="AE4283" s="64">
        <f>IF($A4283="","",IFERROR(INDEX(계정매핑!$E$5:$E$504,MATCH($F4283&amp;"",계정매핑!$A$5:$A$504,0))&amp;"","공통비"))</f>
        <v/>
      </c>
      <c r="AF4283" s="64">
        <f>IF($A4283="","",IF(AE4283="직접",IFERROR(INDEX(계정매핑!$F$5:$F$504,MATCH($F4283&amp;"",계정매핑!$A$5:$A$504,0))&amp;"","비귀속"),""))</f>
        <v/>
      </c>
      <c r="AG4283" s="96">
        <f>IF($A4283="",0,IF(AND(AE4283&lt;&gt;"직접",IFERROR(INDEX(계정매핑!$G$5:$G$504,MATCH($F4283&amp;"",계정매핑!$A$5:$A$504,0))&amp;"","")="유지비",COUNTIF(계정대체기준!$A$6:$A$15,$N4283)&gt;0),IFERROR(INDEX(계정대체기준!$E$6:$E$15,MATCH(VALUE($A4283&amp;""),계정대체기준!$D$6:$D$15,0)),0),0))</f>
        <v/>
      </c>
      <c r="AH4283" s="64">
        <f>IF($A4283="","",IF(AD4283=0,"",IF(OR(COUNTIF(계정대체기준!$A$77:$A$86,$N4283)&gt;0,ISNUMBER(MATCH($X4283,계정대체기준!$D$77:$D$86,0)),ISNUMBER(MATCH($F4283,계정대체기준!$D$77:$D$86,0))),"Y","N")))</f>
        <v/>
      </c>
    </row>
    <row r="4284">
      <c r="A4284" s="92" t="n">
        <v>2026</v>
      </c>
      <c r="B4284" s="92" t="n">
        <v>7</v>
      </c>
      <c r="C4284" s="92" t="inlineStr">
        <is>
          <t>5100001562</t>
        </is>
      </c>
      <c r="D4284" s="95" t="n">
        <v>46228</v>
      </c>
      <c r="E4284" s="92" t="inlineStr">
        <is>
          <t>KR</t>
        </is>
      </c>
      <c r="F4284" s="92" t="n">
        <v>62101000</v>
      </c>
      <c r="G4284" s="92" t="n">
        <v>1201</v>
      </c>
      <c r="H4284" s="93" t="n">
        <v>291000</v>
      </c>
      <c r="I4284" s="92" t="inlineStr">
        <is>
          <t>7월 국내출장 - L여행사</t>
        </is>
      </c>
      <c r="J4284" s="92" t="inlineStr">
        <is>
          <t>V10018</t>
        </is>
      </c>
      <c r="K4284" s="92" t="inlineStr">
        <is>
          <t>L여행사</t>
        </is>
      </c>
      <c r="M4284" s="9">
        <f>IF($A4284="","",VALUE($A4284&amp;"")*12+VALUE($B4284&amp;""))</f>
        <v/>
      </c>
      <c r="N4284" s="64">
        <f>IF($A4284="","",IFERROR(INDEX(부서매핑!$C$5:$C$504,MATCH($G4284&amp;"",부서매핑!$A$5:$A$504,0)),"미매핑"))</f>
        <v/>
      </c>
      <c r="O4284" s="9">
        <f>IF($A4284="","",N4284&amp;"|"&amp;$F4284)</f>
        <v/>
      </c>
      <c r="P4284" s="94">
        <f>IF($A4284="",0,$H4284*설정!$C$23)</f>
        <v/>
      </c>
      <c r="Q4284" s="64">
        <f>IF($A4284="","",IF(O4284&lt;&gt;원인분석!$C$9,"",IF(AND(M4284&gt;=원인분석!$C$10,M4284&lt;=원인분석!$C$11),"당기",IF(AND(M4284&gt;=원인분석!$C$12,M4284&lt;=원인분석!$C$13),"비교",""))))</f>
        <v/>
      </c>
      <c r="R4284" s="9">
        <f>IF(Q4284="","",$K4284&amp;"")</f>
        <v/>
      </c>
      <c r="S4284" s="9">
        <f>IF(Q4284="","",IF(MATCH(R4284,$R$5:$R$100000,0)=ROW()-4,ROW(),""))</f>
        <v/>
      </c>
      <c r="T4284" s="9">
        <f>IF(Q4284="당기",ABS(P4284)+ROW()/1000000000,"")</f>
        <v/>
      </c>
      <c r="U4284" s="9">
        <f>IF(Q4284="비교",ABS(P4284)+ROW()/1000000000,"")</f>
        <v/>
      </c>
      <c r="V4284" s="64">
        <f>IF($A4284="","",IF(COUNTIF(변동분석!$E$7:$E$506,O4284)&gt;0,"Y","N"))</f>
        <v/>
      </c>
      <c r="W4284" s="64">
        <f>IF($A4284="","",IFERROR(INDEX(계정매핑!$D$5:$D$504,MATCH($F4284&amp;"",계정매핑!$A$5:$A$504,0)),"미매핑"))</f>
        <v/>
      </c>
      <c r="X4284" s="9">
        <f>IF($A4284="","",$F4284&amp;"")</f>
        <v/>
      </c>
      <c r="Y4284" s="94">
        <f>IF($A4284="",0,IF(AE4284="직접",IF(AF4284="비귀속",$P4284,0),$P4284*(1-AG4284)*IFERROR(INDEX(계정대체기준!$F$20:$F$49,MATCH($N4284,계정대체기준!$A$20:$A$49,0)),1)))</f>
        <v/>
      </c>
      <c r="Z4284" s="94">
        <f>IF($A4284="",0,IF(AE4284="직접",IF(AF4284="신계약비",$P4284,0),$P4284*(1-AG4284)*IFERROR(INDEX(계정대체기준!$C$20:$C$49,MATCH($N4284,계정대체기준!$A$20:$A$49,0)),0)))</f>
        <v/>
      </c>
      <c r="AA4284" s="94">
        <f>IF($A4284="",0,IF(AE4284="직접",IF(OR(AF4284="유지비",AF4284="손해조사비"),$P4284,0),$P4284*(1-AG4284)*IFERROR(INDEX(계정대체기준!$D$20:$D$49,MATCH($N4284,계정대체기준!$A$20:$A$49,0)),0)))</f>
        <v/>
      </c>
      <c r="AB4284" s="94">
        <f>IF($A4284="",0,IF(AE4284="직접",IF(AF4284="수금비",$P4284,0),$P4284*(1-AG4284)*IFERROR(INDEX(계정대체기준!$E$20:$E$49,MATCH($N4284,계정대체기준!$A$20:$A$49,0)),0)))</f>
        <v/>
      </c>
      <c r="AC4284" s="9">
        <f>IF(AND($A4284&lt;&gt;"",M4284=설정!$C$20,Z4284&gt;0),Z4284+ROW()/1000000000,"")</f>
        <v/>
      </c>
      <c r="AD4284" s="94">
        <f>IF($A4284="",0,$P4284*AG4284)</f>
        <v/>
      </c>
      <c r="AE4284" s="64">
        <f>IF($A4284="","",IFERROR(INDEX(계정매핑!$E$5:$E$504,MATCH($F4284&amp;"",계정매핑!$A$5:$A$504,0))&amp;"","공통비"))</f>
        <v/>
      </c>
      <c r="AF4284" s="64">
        <f>IF($A4284="","",IF(AE4284="직접",IFERROR(INDEX(계정매핑!$F$5:$F$504,MATCH($F4284&amp;"",계정매핑!$A$5:$A$504,0))&amp;"","비귀속"),""))</f>
        <v/>
      </c>
      <c r="AG4284" s="96">
        <f>IF($A4284="",0,IF(AND(AE4284&lt;&gt;"직접",IFERROR(INDEX(계정매핑!$G$5:$G$504,MATCH($F4284&amp;"",계정매핑!$A$5:$A$504,0))&amp;"","")="유지비",COUNTIF(계정대체기준!$A$6:$A$15,$N4284)&gt;0),IFERROR(INDEX(계정대체기준!$E$6:$E$15,MATCH(VALUE($A4284&amp;""),계정대체기준!$D$6:$D$15,0)),0),0))</f>
        <v/>
      </c>
      <c r="AH4284" s="64">
        <f>IF($A4284="","",IF(AD4284=0,"",IF(OR(COUNTIF(계정대체기준!$A$77:$A$86,$N4284)&gt;0,ISNUMBER(MATCH($X4284,계정대체기준!$D$77:$D$86,0)),ISNUMBER(MATCH($F4284,계정대체기준!$D$77:$D$86,0))),"Y","N")))</f>
        <v/>
      </c>
    </row>
    <row r="4285">
      <c r="A4285" s="92" t="n">
        <v>2026</v>
      </c>
      <c r="B4285" s="92" t="n">
        <v>7</v>
      </c>
      <c r="C4285" s="92" t="inlineStr">
        <is>
          <t>5100001563</t>
        </is>
      </c>
      <c r="D4285" s="95" t="n">
        <v>46228</v>
      </c>
      <c r="E4285" s="92" t="inlineStr">
        <is>
          <t>KR</t>
        </is>
      </c>
      <c r="F4285" s="92" t="n">
        <v>62102000</v>
      </c>
      <c r="G4285" s="92" t="n">
        <v>1801</v>
      </c>
      <c r="H4285" s="93" t="n">
        <v>33000</v>
      </c>
      <c r="I4285" s="92" t="inlineStr">
        <is>
          <t>7월 해외출장 - M항공</t>
        </is>
      </c>
      <c r="J4285" s="92" t="inlineStr">
        <is>
          <t>V10001</t>
        </is>
      </c>
      <c r="K4285" s="92" t="inlineStr">
        <is>
          <t>M항공</t>
        </is>
      </c>
      <c r="M4285" s="9">
        <f>IF($A4285="","",VALUE($A4285&amp;"")*12+VALUE($B4285&amp;""))</f>
        <v/>
      </c>
      <c r="N4285" s="64">
        <f>IF($A4285="","",IFERROR(INDEX(부서매핑!$C$5:$C$504,MATCH($G4285&amp;"",부서매핑!$A$5:$A$504,0)),"미매핑"))</f>
        <v/>
      </c>
      <c r="O4285" s="9">
        <f>IF($A4285="","",N4285&amp;"|"&amp;$F4285)</f>
        <v/>
      </c>
      <c r="P4285" s="94">
        <f>IF($A4285="",0,$H4285*설정!$C$23)</f>
        <v/>
      </c>
      <c r="Q4285" s="64">
        <f>IF($A4285="","",IF(O4285&lt;&gt;원인분석!$C$9,"",IF(AND(M4285&gt;=원인분석!$C$10,M4285&lt;=원인분석!$C$11),"당기",IF(AND(M4285&gt;=원인분석!$C$12,M4285&lt;=원인분석!$C$13),"비교",""))))</f>
        <v/>
      </c>
      <c r="R4285" s="9">
        <f>IF(Q4285="","",$K4285&amp;"")</f>
        <v/>
      </c>
      <c r="S4285" s="9">
        <f>IF(Q4285="","",IF(MATCH(R4285,$R$5:$R$100000,0)=ROW()-4,ROW(),""))</f>
        <v/>
      </c>
      <c r="T4285" s="9">
        <f>IF(Q4285="당기",ABS(P4285)+ROW()/1000000000,"")</f>
        <v/>
      </c>
      <c r="U4285" s="9">
        <f>IF(Q4285="비교",ABS(P4285)+ROW()/1000000000,"")</f>
        <v/>
      </c>
      <c r="V4285" s="64">
        <f>IF($A4285="","",IF(COUNTIF(변동분석!$E$7:$E$506,O4285)&gt;0,"Y","N"))</f>
        <v/>
      </c>
      <c r="W4285" s="64">
        <f>IF($A4285="","",IFERROR(INDEX(계정매핑!$D$5:$D$504,MATCH($F4285&amp;"",계정매핑!$A$5:$A$504,0)),"미매핑"))</f>
        <v/>
      </c>
      <c r="X4285" s="9">
        <f>IF($A4285="","",$F4285&amp;"")</f>
        <v/>
      </c>
      <c r="Y4285" s="94">
        <f>IF($A4285="",0,IF(AE4285="직접",IF(AF4285="비귀속",$P4285,0),$P4285*(1-AG4285)*IFERROR(INDEX(계정대체기준!$F$20:$F$49,MATCH($N4285,계정대체기준!$A$20:$A$49,0)),1)))</f>
        <v/>
      </c>
      <c r="Z4285" s="94">
        <f>IF($A4285="",0,IF(AE4285="직접",IF(AF4285="신계약비",$P4285,0),$P4285*(1-AG4285)*IFERROR(INDEX(계정대체기준!$C$20:$C$49,MATCH($N4285,계정대체기준!$A$20:$A$49,0)),0)))</f>
        <v/>
      </c>
      <c r="AA4285" s="94">
        <f>IF($A4285="",0,IF(AE4285="직접",IF(OR(AF4285="유지비",AF4285="손해조사비"),$P4285,0),$P4285*(1-AG4285)*IFERROR(INDEX(계정대체기준!$D$20:$D$49,MATCH($N4285,계정대체기준!$A$20:$A$49,0)),0)))</f>
        <v/>
      </c>
      <c r="AB4285" s="94">
        <f>IF($A4285="",0,IF(AE4285="직접",IF(AF4285="수금비",$P4285,0),$P4285*(1-AG4285)*IFERROR(INDEX(계정대체기준!$E$20:$E$49,MATCH($N4285,계정대체기준!$A$20:$A$49,0)),0)))</f>
        <v/>
      </c>
      <c r="AC4285" s="9">
        <f>IF(AND($A4285&lt;&gt;"",M4285=설정!$C$20,Z4285&gt;0),Z4285+ROW()/1000000000,"")</f>
        <v/>
      </c>
      <c r="AD4285" s="94">
        <f>IF($A4285="",0,$P4285*AG4285)</f>
        <v/>
      </c>
      <c r="AE4285" s="64">
        <f>IF($A4285="","",IFERROR(INDEX(계정매핑!$E$5:$E$504,MATCH($F4285&amp;"",계정매핑!$A$5:$A$504,0))&amp;"","공통비"))</f>
        <v/>
      </c>
      <c r="AF4285" s="64">
        <f>IF($A4285="","",IF(AE4285="직접",IFERROR(INDEX(계정매핑!$F$5:$F$504,MATCH($F4285&amp;"",계정매핑!$A$5:$A$504,0))&amp;"","비귀속"),""))</f>
        <v/>
      </c>
      <c r="AG4285" s="96">
        <f>IF($A4285="",0,IF(AND(AE4285&lt;&gt;"직접",IFERROR(INDEX(계정매핑!$G$5:$G$504,MATCH($F4285&amp;"",계정매핑!$A$5:$A$504,0))&amp;"","")="유지비",COUNTIF(계정대체기준!$A$6:$A$15,$N4285)&gt;0),IFERROR(INDEX(계정대체기준!$E$6:$E$15,MATCH(VALUE($A4285&amp;""),계정대체기준!$D$6:$D$15,0)),0),0))</f>
        <v/>
      </c>
      <c r="AH4285" s="64">
        <f>IF($A4285="","",IF(AD4285=0,"",IF(OR(COUNTIF(계정대체기준!$A$77:$A$86,$N4285)&gt;0,ISNUMBER(MATCH($X4285,계정대체기준!$D$77:$D$86,0)),ISNUMBER(MATCH($F4285,계정대체기준!$D$77:$D$86,0))),"Y","N")))</f>
        <v/>
      </c>
    </row>
    <row r="4286">
      <c r="A4286" s="92" t="n">
        <v>2026</v>
      </c>
      <c r="B4286" s="92" t="n">
        <v>7</v>
      </c>
      <c r="C4286" s="92" t="inlineStr">
        <is>
          <t>5100001564</t>
        </is>
      </c>
      <c r="D4286" s="95" t="n">
        <v>46228</v>
      </c>
      <c r="E4286" s="92" t="inlineStr">
        <is>
          <t>KR</t>
        </is>
      </c>
      <c r="F4286" s="92" t="n">
        <v>62301000</v>
      </c>
      <c r="G4286" s="92" t="n">
        <v>1701</v>
      </c>
      <c r="H4286" s="93" t="n">
        <v>306000</v>
      </c>
      <c r="I4286" s="92" t="inlineStr">
        <is>
          <t>7월 소모품 구입 - R문구</t>
        </is>
      </c>
      <c r="J4286" s="92" t="inlineStr">
        <is>
          <t>V10022</t>
        </is>
      </c>
      <c r="K4286" s="92" t="inlineStr">
        <is>
          <t>R문구</t>
        </is>
      </c>
      <c r="M4286" s="9">
        <f>IF($A4286="","",VALUE($A4286&amp;"")*12+VALUE($B4286&amp;""))</f>
        <v/>
      </c>
      <c r="N4286" s="64">
        <f>IF($A4286="","",IFERROR(INDEX(부서매핑!$C$5:$C$504,MATCH($G4286&amp;"",부서매핑!$A$5:$A$504,0)),"미매핑"))</f>
        <v/>
      </c>
      <c r="O4286" s="9">
        <f>IF($A4286="","",N4286&amp;"|"&amp;$F4286)</f>
        <v/>
      </c>
      <c r="P4286" s="94">
        <f>IF($A4286="",0,$H4286*설정!$C$23)</f>
        <v/>
      </c>
      <c r="Q4286" s="64">
        <f>IF($A4286="","",IF(O4286&lt;&gt;원인분석!$C$9,"",IF(AND(M4286&gt;=원인분석!$C$10,M4286&lt;=원인분석!$C$11),"당기",IF(AND(M4286&gt;=원인분석!$C$12,M4286&lt;=원인분석!$C$13),"비교",""))))</f>
        <v/>
      </c>
      <c r="R4286" s="9">
        <f>IF(Q4286="","",$K4286&amp;"")</f>
        <v/>
      </c>
      <c r="S4286" s="9">
        <f>IF(Q4286="","",IF(MATCH(R4286,$R$5:$R$100000,0)=ROW()-4,ROW(),""))</f>
        <v/>
      </c>
      <c r="T4286" s="9">
        <f>IF(Q4286="당기",ABS(P4286)+ROW()/1000000000,"")</f>
        <v/>
      </c>
      <c r="U4286" s="9">
        <f>IF(Q4286="비교",ABS(P4286)+ROW()/1000000000,"")</f>
        <v/>
      </c>
      <c r="V4286" s="64">
        <f>IF($A4286="","",IF(COUNTIF(변동분석!$E$7:$E$506,O4286)&gt;0,"Y","N"))</f>
        <v/>
      </c>
      <c r="W4286" s="64">
        <f>IF($A4286="","",IFERROR(INDEX(계정매핑!$D$5:$D$504,MATCH($F4286&amp;"",계정매핑!$A$5:$A$504,0)),"미매핑"))</f>
        <v/>
      </c>
      <c r="X4286" s="9">
        <f>IF($A4286="","",$F4286&amp;"")</f>
        <v/>
      </c>
      <c r="Y4286" s="94">
        <f>IF($A4286="",0,IF(AE4286="직접",IF(AF4286="비귀속",$P4286,0),$P4286*(1-AG4286)*IFERROR(INDEX(계정대체기준!$F$20:$F$49,MATCH($N4286,계정대체기준!$A$20:$A$49,0)),1)))</f>
        <v/>
      </c>
      <c r="Z4286" s="94">
        <f>IF($A4286="",0,IF(AE4286="직접",IF(AF4286="신계약비",$P4286,0),$P4286*(1-AG4286)*IFERROR(INDEX(계정대체기준!$C$20:$C$49,MATCH($N4286,계정대체기준!$A$20:$A$49,0)),0)))</f>
        <v/>
      </c>
      <c r="AA4286" s="94">
        <f>IF($A4286="",0,IF(AE4286="직접",IF(OR(AF4286="유지비",AF4286="손해조사비"),$P4286,0),$P4286*(1-AG4286)*IFERROR(INDEX(계정대체기준!$D$20:$D$49,MATCH($N4286,계정대체기준!$A$20:$A$49,0)),0)))</f>
        <v/>
      </c>
      <c r="AB4286" s="94">
        <f>IF($A4286="",0,IF(AE4286="직접",IF(AF4286="수금비",$P4286,0),$P4286*(1-AG4286)*IFERROR(INDEX(계정대체기준!$E$20:$E$49,MATCH($N4286,계정대체기준!$A$20:$A$49,0)),0)))</f>
        <v/>
      </c>
      <c r="AC4286" s="9">
        <f>IF(AND($A4286&lt;&gt;"",M4286=설정!$C$20,Z4286&gt;0),Z4286+ROW()/1000000000,"")</f>
        <v/>
      </c>
      <c r="AD4286" s="94">
        <f>IF($A4286="",0,$P4286*AG4286)</f>
        <v/>
      </c>
      <c r="AE4286" s="64">
        <f>IF($A4286="","",IFERROR(INDEX(계정매핑!$E$5:$E$504,MATCH($F4286&amp;"",계정매핑!$A$5:$A$504,0))&amp;"","공통비"))</f>
        <v/>
      </c>
      <c r="AF4286" s="64">
        <f>IF($A4286="","",IF(AE4286="직접",IFERROR(INDEX(계정매핑!$F$5:$F$504,MATCH($F4286&amp;"",계정매핑!$A$5:$A$504,0))&amp;"","비귀속"),""))</f>
        <v/>
      </c>
      <c r="AG4286" s="96">
        <f>IF($A4286="",0,IF(AND(AE4286&lt;&gt;"직접",IFERROR(INDEX(계정매핑!$G$5:$G$504,MATCH($F4286&amp;"",계정매핑!$A$5:$A$504,0))&amp;"","")="유지비",COUNTIF(계정대체기준!$A$6:$A$15,$N4286)&gt;0),IFERROR(INDEX(계정대체기준!$E$6:$E$15,MATCH(VALUE($A4286&amp;""),계정대체기준!$D$6:$D$15,0)),0),0))</f>
        <v/>
      </c>
      <c r="AH4286" s="64">
        <f>IF($A4286="","",IF(AD4286=0,"",IF(OR(COUNTIF(계정대체기준!$A$77:$A$86,$N4286)&gt;0,ISNUMBER(MATCH($X4286,계정대체기준!$D$77:$D$86,0)),ISNUMBER(MATCH($F4286,계정대체기준!$D$77:$D$86,0))),"Y","N")))</f>
        <v/>
      </c>
    </row>
    <row r="4287">
      <c r="A4287" s="92" t="n">
        <v>2026</v>
      </c>
      <c r="B4287" s="92" t="n">
        <v>7</v>
      </c>
      <c r="C4287" s="92" t="inlineStr">
        <is>
          <t>5100001565</t>
        </is>
      </c>
      <c r="D4287" s="95" t="n">
        <v>46228</v>
      </c>
      <c r="E4287" s="92" t="inlineStr">
        <is>
          <t>KR</t>
        </is>
      </c>
      <c r="F4287" s="92" t="n">
        <v>62401000</v>
      </c>
      <c r="G4287" s="92" t="n">
        <v>1801</v>
      </c>
      <c r="H4287" s="93" t="n">
        <v>1212000</v>
      </c>
      <c r="I4287" s="92" t="inlineStr">
        <is>
          <t>7월 인쇄물 제작 - G인쇄</t>
        </is>
      </c>
      <c r="J4287" s="92" t="inlineStr">
        <is>
          <t>V10004</t>
        </is>
      </c>
      <c r="K4287" s="92" t="inlineStr">
        <is>
          <t>G인쇄</t>
        </is>
      </c>
      <c r="M4287" s="9">
        <f>IF($A4287="","",VALUE($A4287&amp;"")*12+VALUE($B4287&amp;""))</f>
        <v/>
      </c>
      <c r="N4287" s="64">
        <f>IF($A4287="","",IFERROR(INDEX(부서매핑!$C$5:$C$504,MATCH($G4287&amp;"",부서매핑!$A$5:$A$504,0)),"미매핑"))</f>
        <v/>
      </c>
      <c r="O4287" s="9">
        <f>IF($A4287="","",N4287&amp;"|"&amp;$F4287)</f>
        <v/>
      </c>
      <c r="P4287" s="94">
        <f>IF($A4287="",0,$H4287*설정!$C$23)</f>
        <v/>
      </c>
      <c r="Q4287" s="64">
        <f>IF($A4287="","",IF(O4287&lt;&gt;원인분석!$C$9,"",IF(AND(M4287&gt;=원인분석!$C$10,M4287&lt;=원인분석!$C$11),"당기",IF(AND(M4287&gt;=원인분석!$C$12,M4287&lt;=원인분석!$C$13),"비교",""))))</f>
        <v/>
      </c>
      <c r="R4287" s="9">
        <f>IF(Q4287="","",$K4287&amp;"")</f>
        <v/>
      </c>
      <c r="S4287" s="9">
        <f>IF(Q4287="","",IF(MATCH(R4287,$R$5:$R$100000,0)=ROW()-4,ROW(),""))</f>
        <v/>
      </c>
      <c r="T4287" s="9">
        <f>IF(Q4287="당기",ABS(P4287)+ROW()/1000000000,"")</f>
        <v/>
      </c>
      <c r="U4287" s="9">
        <f>IF(Q4287="비교",ABS(P4287)+ROW()/1000000000,"")</f>
        <v/>
      </c>
      <c r="V4287" s="64">
        <f>IF($A4287="","",IF(COUNTIF(변동분석!$E$7:$E$506,O4287)&gt;0,"Y","N"))</f>
        <v/>
      </c>
      <c r="W4287" s="64">
        <f>IF($A4287="","",IFERROR(INDEX(계정매핑!$D$5:$D$504,MATCH($F4287&amp;"",계정매핑!$A$5:$A$504,0)),"미매핑"))</f>
        <v/>
      </c>
      <c r="X4287" s="9">
        <f>IF($A4287="","",$F4287&amp;"")</f>
        <v/>
      </c>
      <c r="Y4287" s="94">
        <f>IF($A4287="",0,IF(AE4287="직접",IF(AF4287="비귀속",$P4287,0),$P4287*(1-AG4287)*IFERROR(INDEX(계정대체기준!$F$20:$F$49,MATCH($N4287,계정대체기준!$A$20:$A$49,0)),1)))</f>
        <v/>
      </c>
      <c r="Z4287" s="94">
        <f>IF($A4287="",0,IF(AE4287="직접",IF(AF4287="신계약비",$P4287,0),$P4287*(1-AG4287)*IFERROR(INDEX(계정대체기준!$C$20:$C$49,MATCH($N4287,계정대체기준!$A$20:$A$49,0)),0)))</f>
        <v/>
      </c>
      <c r="AA4287" s="94">
        <f>IF($A4287="",0,IF(AE4287="직접",IF(OR(AF4287="유지비",AF4287="손해조사비"),$P4287,0),$P4287*(1-AG4287)*IFERROR(INDEX(계정대체기준!$D$20:$D$49,MATCH($N4287,계정대체기준!$A$20:$A$49,0)),0)))</f>
        <v/>
      </c>
      <c r="AB4287" s="94">
        <f>IF($A4287="",0,IF(AE4287="직접",IF(AF4287="수금비",$P4287,0),$P4287*(1-AG4287)*IFERROR(INDEX(계정대체기준!$E$20:$E$49,MATCH($N4287,계정대체기준!$A$20:$A$49,0)),0)))</f>
        <v/>
      </c>
      <c r="AC4287" s="9">
        <f>IF(AND($A4287&lt;&gt;"",M4287=설정!$C$20,Z4287&gt;0),Z4287+ROW()/1000000000,"")</f>
        <v/>
      </c>
      <c r="AD4287" s="94">
        <f>IF($A4287="",0,$P4287*AG4287)</f>
        <v/>
      </c>
      <c r="AE4287" s="64">
        <f>IF($A4287="","",IFERROR(INDEX(계정매핑!$E$5:$E$504,MATCH($F4287&amp;"",계정매핑!$A$5:$A$504,0))&amp;"","공통비"))</f>
        <v/>
      </c>
      <c r="AF4287" s="64">
        <f>IF($A4287="","",IF(AE4287="직접",IFERROR(INDEX(계정매핑!$F$5:$F$504,MATCH($F4287&amp;"",계정매핑!$A$5:$A$504,0))&amp;"","비귀속"),""))</f>
        <v/>
      </c>
      <c r="AG4287" s="96">
        <f>IF($A4287="",0,IF(AND(AE4287&lt;&gt;"직접",IFERROR(INDEX(계정매핑!$G$5:$G$504,MATCH($F4287&amp;"",계정매핑!$A$5:$A$504,0))&amp;"","")="유지비",COUNTIF(계정대체기준!$A$6:$A$15,$N4287)&gt;0),IFERROR(INDEX(계정대체기준!$E$6:$E$15,MATCH(VALUE($A4287&amp;""),계정대체기준!$D$6:$D$15,0)),0),0))</f>
        <v/>
      </c>
      <c r="AH4287" s="64">
        <f>IF($A4287="","",IF(AD4287=0,"",IF(OR(COUNTIF(계정대체기준!$A$77:$A$86,$N4287)&gt;0,ISNUMBER(MATCH($X4287,계정대체기준!$D$77:$D$86,0)),ISNUMBER(MATCH($F4287,계정대체기준!$D$77:$D$86,0))),"Y","N")))</f>
        <v/>
      </c>
    </row>
    <row r="4288">
      <c r="A4288" s="92" t="n">
        <v>2026</v>
      </c>
      <c r="B4288" s="92" t="n">
        <v>7</v>
      </c>
      <c r="C4288" s="92" t="inlineStr">
        <is>
          <t>5100001566</t>
        </is>
      </c>
      <c r="D4288" s="95" t="n">
        <v>46228</v>
      </c>
      <c r="E4288" s="92" t="inlineStr">
        <is>
          <t>KR</t>
        </is>
      </c>
      <c r="F4288" s="92" t="n">
        <v>62501000</v>
      </c>
      <c r="G4288" s="92" t="n">
        <v>1101</v>
      </c>
      <c r="H4288" s="93" t="n">
        <v>247000</v>
      </c>
      <c r="I4288" s="92" t="inlineStr">
        <is>
          <t>7월 회의 다과 - (법인카드)</t>
        </is>
      </c>
      <c r="J4288" s="92" t="inlineStr">
        <is>
          <t>V10010</t>
        </is>
      </c>
      <c r="K4288" s="92" t="inlineStr">
        <is>
          <t>(법인카드)</t>
        </is>
      </c>
      <c r="M4288" s="9">
        <f>IF($A4288="","",VALUE($A4288&amp;"")*12+VALUE($B4288&amp;""))</f>
        <v/>
      </c>
      <c r="N4288" s="64">
        <f>IF($A4288="","",IFERROR(INDEX(부서매핑!$C$5:$C$504,MATCH($G4288&amp;"",부서매핑!$A$5:$A$504,0)),"미매핑"))</f>
        <v/>
      </c>
      <c r="O4288" s="9">
        <f>IF($A4288="","",N4288&amp;"|"&amp;$F4288)</f>
        <v/>
      </c>
      <c r="P4288" s="94">
        <f>IF($A4288="",0,$H4288*설정!$C$23)</f>
        <v/>
      </c>
      <c r="Q4288" s="64">
        <f>IF($A4288="","",IF(O4288&lt;&gt;원인분석!$C$9,"",IF(AND(M4288&gt;=원인분석!$C$10,M4288&lt;=원인분석!$C$11),"당기",IF(AND(M4288&gt;=원인분석!$C$12,M4288&lt;=원인분석!$C$13),"비교",""))))</f>
        <v/>
      </c>
      <c r="R4288" s="9">
        <f>IF(Q4288="","",$K4288&amp;"")</f>
        <v/>
      </c>
      <c r="S4288" s="9">
        <f>IF(Q4288="","",IF(MATCH(R4288,$R$5:$R$100000,0)=ROW()-4,ROW(),""))</f>
        <v/>
      </c>
      <c r="T4288" s="9">
        <f>IF(Q4288="당기",ABS(P4288)+ROW()/1000000000,"")</f>
        <v/>
      </c>
      <c r="U4288" s="9">
        <f>IF(Q4288="비교",ABS(P4288)+ROW()/1000000000,"")</f>
        <v/>
      </c>
      <c r="V4288" s="64">
        <f>IF($A4288="","",IF(COUNTIF(변동분석!$E$7:$E$506,O4288)&gt;0,"Y","N"))</f>
        <v/>
      </c>
      <c r="W4288" s="64">
        <f>IF($A4288="","",IFERROR(INDEX(계정매핑!$D$5:$D$504,MATCH($F4288&amp;"",계정매핑!$A$5:$A$504,0)),"미매핑"))</f>
        <v/>
      </c>
      <c r="X4288" s="9">
        <f>IF($A4288="","",$F4288&amp;"")</f>
        <v/>
      </c>
      <c r="Y4288" s="94">
        <f>IF($A4288="",0,IF(AE4288="직접",IF(AF4288="비귀속",$P4288,0),$P4288*(1-AG4288)*IFERROR(INDEX(계정대체기준!$F$20:$F$49,MATCH($N4288,계정대체기준!$A$20:$A$49,0)),1)))</f>
        <v/>
      </c>
      <c r="Z4288" s="94">
        <f>IF($A4288="",0,IF(AE4288="직접",IF(AF4288="신계약비",$P4288,0),$P4288*(1-AG4288)*IFERROR(INDEX(계정대체기준!$C$20:$C$49,MATCH($N4288,계정대체기준!$A$20:$A$49,0)),0)))</f>
        <v/>
      </c>
      <c r="AA4288" s="94">
        <f>IF($A4288="",0,IF(AE4288="직접",IF(OR(AF4288="유지비",AF4288="손해조사비"),$P4288,0),$P4288*(1-AG4288)*IFERROR(INDEX(계정대체기준!$D$20:$D$49,MATCH($N4288,계정대체기준!$A$20:$A$49,0)),0)))</f>
        <v/>
      </c>
      <c r="AB4288" s="94">
        <f>IF($A4288="",0,IF(AE4288="직접",IF(AF4288="수금비",$P4288,0),$P4288*(1-AG4288)*IFERROR(INDEX(계정대체기준!$E$20:$E$49,MATCH($N4288,계정대체기준!$A$20:$A$49,0)),0)))</f>
        <v/>
      </c>
      <c r="AC4288" s="9">
        <f>IF(AND($A4288&lt;&gt;"",M4288=설정!$C$20,Z4288&gt;0),Z4288+ROW()/1000000000,"")</f>
        <v/>
      </c>
      <c r="AD4288" s="94">
        <f>IF($A4288="",0,$P4288*AG4288)</f>
        <v/>
      </c>
      <c r="AE4288" s="64">
        <f>IF($A4288="","",IFERROR(INDEX(계정매핑!$E$5:$E$504,MATCH($F4288&amp;"",계정매핑!$A$5:$A$504,0))&amp;"","공통비"))</f>
        <v/>
      </c>
      <c r="AF4288" s="64">
        <f>IF($A4288="","",IF(AE4288="직접",IFERROR(INDEX(계정매핑!$F$5:$F$504,MATCH($F4288&amp;"",계정매핑!$A$5:$A$504,0))&amp;"","비귀속"),""))</f>
        <v/>
      </c>
      <c r="AG4288" s="96">
        <f>IF($A4288="",0,IF(AND(AE4288&lt;&gt;"직접",IFERROR(INDEX(계정매핑!$G$5:$G$504,MATCH($F4288&amp;"",계정매핑!$A$5:$A$504,0))&amp;"","")="유지비",COUNTIF(계정대체기준!$A$6:$A$15,$N4288)&gt;0),IFERROR(INDEX(계정대체기준!$E$6:$E$15,MATCH(VALUE($A4288&amp;""),계정대체기준!$D$6:$D$15,0)),0),0))</f>
        <v/>
      </c>
      <c r="AH4288" s="64">
        <f>IF($A4288="","",IF(AD4288=0,"",IF(OR(COUNTIF(계정대체기준!$A$77:$A$86,$N4288)&gt;0,ISNUMBER(MATCH($X4288,계정대체기준!$D$77:$D$86,0)),ISNUMBER(MATCH($F4288,계정대체기준!$D$77:$D$86,0))),"Y","N")))</f>
        <v/>
      </c>
    </row>
    <row r="4289">
      <c r="A4289" s="92" t="n">
        <v>2026</v>
      </c>
      <c r="B4289" s="92" t="n">
        <v>7</v>
      </c>
      <c r="C4289" s="92" t="inlineStr">
        <is>
          <t>5100001567</t>
        </is>
      </c>
      <c r="D4289" s="95" t="n">
        <v>46228</v>
      </c>
      <c r="E4289" s="92" t="inlineStr">
        <is>
          <t>KR</t>
        </is>
      </c>
      <c r="F4289" s="92" t="n">
        <v>62501000</v>
      </c>
      <c r="G4289" s="92" t="n">
        <v>1501</v>
      </c>
      <c r="H4289" s="93" t="n">
        <v>308000</v>
      </c>
      <c r="I4289" s="92" t="inlineStr">
        <is>
          <t>7월 회의 다과 - (법인카드)</t>
        </is>
      </c>
      <c r="J4289" s="92" t="inlineStr">
        <is>
          <t>V10010</t>
        </is>
      </c>
      <c r="K4289" s="92" t="inlineStr">
        <is>
          <t>(법인카드)</t>
        </is>
      </c>
      <c r="M4289" s="9">
        <f>IF($A4289="","",VALUE($A4289&amp;"")*12+VALUE($B4289&amp;""))</f>
        <v/>
      </c>
      <c r="N4289" s="64">
        <f>IF($A4289="","",IFERROR(INDEX(부서매핑!$C$5:$C$504,MATCH($G4289&amp;"",부서매핑!$A$5:$A$504,0)),"미매핑"))</f>
        <v/>
      </c>
      <c r="O4289" s="9">
        <f>IF($A4289="","",N4289&amp;"|"&amp;$F4289)</f>
        <v/>
      </c>
      <c r="P4289" s="94">
        <f>IF($A4289="",0,$H4289*설정!$C$23)</f>
        <v/>
      </c>
      <c r="Q4289" s="64">
        <f>IF($A4289="","",IF(O4289&lt;&gt;원인분석!$C$9,"",IF(AND(M4289&gt;=원인분석!$C$10,M4289&lt;=원인분석!$C$11),"당기",IF(AND(M4289&gt;=원인분석!$C$12,M4289&lt;=원인분석!$C$13),"비교",""))))</f>
        <v/>
      </c>
      <c r="R4289" s="9">
        <f>IF(Q4289="","",$K4289&amp;"")</f>
        <v/>
      </c>
      <c r="S4289" s="9">
        <f>IF(Q4289="","",IF(MATCH(R4289,$R$5:$R$100000,0)=ROW()-4,ROW(),""))</f>
        <v/>
      </c>
      <c r="T4289" s="9">
        <f>IF(Q4289="당기",ABS(P4289)+ROW()/1000000000,"")</f>
        <v/>
      </c>
      <c r="U4289" s="9">
        <f>IF(Q4289="비교",ABS(P4289)+ROW()/1000000000,"")</f>
        <v/>
      </c>
      <c r="V4289" s="64">
        <f>IF($A4289="","",IF(COUNTIF(변동분석!$E$7:$E$506,O4289)&gt;0,"Y","N"))</f>
        <v/>
      </c>
      <c r="W4289" s="64">
        <f>IF($A4289="","",IFERROR(INDEX(계정매핑!$D$5:$D$504,MATCH($F4289&amp;"",계정매핑!$A$5:$A$504,0)),"미매핑"))</f>
        <v/>
      </c>
      <c r="X4289" s="9">
        <f>IF($A4289="","",$F4289&amp;"")</f>
        <v/>
      </c>
      <c r="Y4289" s="94">
        <f>IF($A4289="",0,IF(AE4289="직접",IF(AF4289="비귀속",$P4289,0),$P4289*(1-AG4289)*IFERROR(INDEX(계정대체기준!$F$20:$F$49,MATCH($N4289,계정대체기준!$A$20:$A$49,0)),1)))</f>
        <v/>
      </c>
      <c r="Z4289" s="94">
        <f>IF($A4289="",0,IF(AE4289="직접",IF(AF4289="신계약비",$P4289,0),$P4289*(1-AG4289)*IFERROR(INDEX(계정대체기준!$C$20:$C$49,MATCH($N4289,계정대체기준!$A$20:$A$49,0)),0)))</f>
        <v/>
      </c>
      <c r="AA4289" s="94">
        <f>IF($A4289="",0,IF(AE4289="직접",IF(OR(AF4289="유지비",AF4289="손해조사비"),$P4289,0),$P4289*(1-AG4289)*IFERROR(INDEX(계정대체기준!$D$20:$D$49,MATCH($N4289,계정대체기준!$A$20:$A$49,0)),0)))</f>
        <v/>
      </c>
      <c r="AB4289" s="94">
        <f>IF($A4289="",0,IF(AE4289="직접",IF(AF4289="수금비",$P4289,0),$P4289*(1-AG4289)*IFERROR(INDEX(계정대체기준!$E$20:$E$49,MATCH($N4289,계정대체기준!$A$20:$A$49,0)),0)))</f>
        <v/>
      </c>
      <c r="AC4289" s="9">
        <f>IF(AND($A4289&lt;&gt;"",M4289=설정!$C$20,Z4289&gt;0),Z4289+ROW()/1000000000,"")</f>
        <v/>
      </c>
      <c r="AD4289" s="94">
        <f>IF($A4289="",0,$P4289*AG4289)</f>
        <v/>
      </c>
      <c r="AE4289" s="64">
        <f>IF($A4289="","",IFERROR(INDEX(계정매핑!$E$5:$E$504,MATCH($F4289&amp;"",계정매핑!$A$5:$A$504,0))&amp;"","공통비"))</f>
        <v/>
      </c>
      <c r="AF4289" s="64">
        <f>IF($A4289="","",IF(AE4289="직접",IFERROR(INDEX(계정매핑!$F$5:$F$504,MATCH($F4289&amp;"",계정매핑!$A$5:$A$504,0))&amp;"","비귀속"),""))</f>
        <v/>
      </c>
      <c r="AG4289" s="96">
        <f>IF($A4289="",0,IF(AND(AE4289&lt;&gt;"직접",IFERROR(INDEX(계정매핑!$G$5:$G$504,MATCH($F4289&amp;"",계정매핑!$A$5:$A$504,0))&amp;"","")="유지비",COUNTIF(계정대체기준!$A$6:$A$15,$N4289)&gt;0),IFERROR(INDEX(계정대체기준!$E$6:$E$15,MATCH(VALUE($A4289&amp;""),계정대체기준!$D$6:$D$15,0)),0),0))</f>
        <v/>
      </c>
      <c r="AH4289" s="64">
        <f>IF($A4289="","",IF(AD4289=0,"",IF(OR(COUNTIF(계정대체기준!$A$77:$A$86,$N4289)&gt;0,ISNUMBER(MATCH($X4289,계정대체기준!$D$77:$D$86,0)),ISNUMBER(MATCH($F4289,계정대체기준!$D$77:$D$86,0))),"Y","N")))</f>
        <v/>
      </c>
    </row>
    <row r="4290">
      <c r="A4290" s="92" t="n">
        <v>2026</v>
      </c>
      <c r="B4290" s="92" t="n">
        <v>7</v>
      </c>
      <c r="C4290" s="92" t="inlineStr">
        <is>
          <t>5100001568</t>
        </is>
      </c>
      <c r="D4290" s="95" t="n">
        <v>46228</v>
      </c>
      <c r="E4290" s="92" t="inlineStr">
        <is>
          <t>KR</t>
        </is>
      </c>
      <c r="F4290" s="92" t="n">
        <v>62701000</v>
      </c>
      <c r="G4290" s="92" t="n">
        <v>1501</v>
      </c>
      <c r="H4290" s="93" t="n">
        <v>51206000</v>
      </c>
      <c r="I4290" s="92" t="inlineStr">
        <is>
          <t>7월 광고 집행 - E미디어</t>
        </is>
      </c>
      <c r="J4290" s="92" t="inlineStr">
        <is>
          <t>V10033</t>
        </is>
      </c>
      <c r="K4290" s="92" t="inlineStr">
        <is>
          <t>E미디어</t>
        </is>
      </c>
      <c r="M4290" s="9">
        <f>IF($A4290="","",VALUE($A4290&amp;"")*12+VALUE($B4290&amp;""))</f>
        <v/>
      </c>
      <c r="N4290" s="64">
        <f>IF($A4290="","",IFERROR(INDEX(부서매핑!$C$5:$C$504,MATCH($G4290&amp;"",부서매핑!$A$5:$A$504,0)),"미매핑"))</f>
        <v/>
      </c>
      <c r="O4290" s="9">
        <f>IF($A4290="","",N4290&amp;"|"&amp;$F4290)</f>
        <v/>
      </c>
      <c r="P4290" s="94">
        <f>IF($A4290="",0,$H4290*설정!$C$23)</f>
        <v/>
      </c>
      <c r="Q4290" s="64">
        <f>IF($A4290="","",IF(O4290&lt;&gt;원인분석!$C$9,"",IF(AND(M4290&gt;=원인분석!$C$10,M4290&lt;=원인분석!$C$11),"당기",IF(AND(M4290&gt;=원인분석!$C$12,M4290&lt;=원인분석!$C$13),"비교",""))))</f>
        <v/>
      </c>
      <c r="R4290" s="9">
        <f>IF(Q4290="","",$K4290&amp;"")</f>
        <v/>
      </c>
      <c r="S4290" s="9">
        <f>IF(Q4290="","",IF(MATCH(R4290,$R$5:$R$100000,0)=ROW()-4,ROW(),""))</f>
        <v/>
      </c>
      <c r="T4290" s="9">
        <f>IF(Q4290="당기",ABS(P4290)+ROW()/1000000000,"")</f>
        <v/>
      </c>
      <c r="U4290" s="9">
        <f>IF(Q4290="비교",ABS(P4290)+ROW()/1000000000,"")</f>
        <v/>
      </c>
      <c r="V4290" s="64">
        <f>IF($A4290="","",IF(COUNTIF(변동분석!$E$7:$E$506,O4290)&gt;0,"Y","N"))</f>
        <v/>
      </c>
      <c r="W4290" s="64">
        <f>IF($A4290="","",IFERROR(INDEX(계정매핑!$D$5:$D$504,MATCH($F4290&amp;"",계정매핑!$A$5:$A$504,0)),"미매핑"))</f>
        <v/>
      </c>
      <c r="X4290" s="9">
        <f>IF($A4290="","",$F4290&amp;"")</f>
        <v/>
      </c>
      <c r="Y4290" s="94">
        <f>IF($A4290="",0,IF(AE4290="직접",IF(AF4290="비귀속",$P4290,0),$P4290*(1-AG4290)*IFERROR(INDEX(계정대체기준!$F$20:$F$49,MATCH($N4290,계정대체기준!$A$20:$A$49,0)),1)))</f>
        <v/>
      </c>
      <c r="Z4290" s="94">
        <f>IF($A4290="",0,IF(AE4290="직접",IF(AF4290="신계약비",$P4290,0),$P4290*(1-AG4290)*IFERROR(INDEX(계정대체기준!$C$20:$C$49,MATCH($N4290,계정대체기준!$A$20:$A$49,0)),0)))</f>
        <v/>
      </c>
      <c r="AA4290" s="94">
        <f>IF($A4290="",0,IF(AE4290="직접",IF(OR(AF4290="유지비",AF4290="손해조사비"),$P4290,0),$P4290*(1-AG4290)*IFERROR(INDEX(계정대체기준!$D$20:$D$49,MATCH($N4290,계정대체기준!$A$20:$A$49,0)),0)))</f>
        <v/>
      </c>
      <c r="AB4290" s="94">
        <f>IF($A4290="",0,IF(AE4290="직접",IF(AF4290="수금비",$P4290,0),$P4290*(1-AG4290)*IFERROR(INDEX(계정대체기준!$E$20:$E$49,MATCH($N4290,계정대체기준!$A$20:$A$49,0)),0)))</f>
        <v/>
      </c>
      <c r="AC4290" s="9">
        <f>IF(AND($A4290&lt;&gt;"",M4290=설정!$C$20,Z4290&gt;0),Z4290+ROW()/1000000000,"")</f>
        <v/>
      </c>
      <c r="AD4290" s="94">
        <f>IF($A4290="",0,$P4290*AG4290)</f>
        <v/>
      </c>
      <c r="AE4290" s="64">
        <f>IF($A4290="","",IFERROR(INDEX(계정매핑!$E$5:$E$504,MATCH($F4290&amp;"",계정매핑!$A$5:$A$504,0))&amp;"","공통비"))</f>
        <v/>
      </c>
      <c r="AF4290" s="64">
        <f>IF($A4290="","",IF(AE4290="직접",IFERROR(INDEX(계정매핑!$F$5:$F$504,MATCH($F4290&amp;"",계정매핑!$A$5:$A$504,0))&amp;"","비귀속"),""))</f>
        <v/>
      </c>
      <c r="AG4290" s="96">
        <f>IF($A4290="",0,IF(AND(AE4290&lt;&gt;"직접",IFERROR(INDEX(계정매핑!$G$5:$G$504,MATCH($F4290&amp;"",계정매핑!$A$5:$A$504,0))&amp;"","")="유지비",COUNTIF(계정대체기준!$A$6:$A$15,$N4290)&gt;0),IFERROR(INDEX(계정대체기준!$E$6:$E$15,MATCH(VALUE($A4290&amp;""),계정대체기준!$D$6:$D$15,0)),0),0))</f>
        <v/>
      </c>
      <c r="AH4290" s="64">
        <f>IF($A4290="","",IF(AD4290=0,"",IF(OR(COUNTIF(계정대체기준!$A$77:$A$86,$N4290)&gt;0,ISNUMBER(MATCH($X4290,계정대체기준!$D$77:$D$86,0)),ISNUMBER(MATCH($F4290,계정대체기준!$D$77:$D$86,0))),"Y","N")))</f>
        <v/>
      </c>
    </row>
    <row r="4291">
      <c r="A4291" s="92" t="n">
        <v>2026</v>
      </c>
      <c r="B4291" s="92" t="n">
        <v>7</v>
      </c>
      <c r="C4291" s="92" t="inlineStr">
        <is>
          <t>5100001569</t>
        </is>
      </c>
      <c r="D4291" s="95" t="n">
        <v>46228</v>
      </c>
      <c r="E4291" s="92" t="inlineStr">
        <is>
          <t>KR</t>
        </is>
      </c>
      <c r="F4291" s="92" t="n">
        <v>62802000</v>
      </c>
      <c r="G4291" s="92" t="n">
        <v>1301</v>
      </c>
      <c r="H4291" s="93" t="n">
        <v>6583000</v>
      </c>
      <c r="I4291" s="92" t="inlineStr">
        <is>
          <t>7월 위탁교육 - V아카데미</t>
        </is>
      </c>
      <c r="J4291" s="92" t="inlineStr">
        <is>
          <t>V10027</t>
        </is>
      </c>
      <c r="K4291" s="92" t="inlineStr">
        <is>
          <t>V아카데미</t>
        </is>
      </c>
      <c r="M4291" s="9">
        <f>IF($A4291="","",VALUE($A4291&amp;"")*12+VALUE($B4291&amp;""))</f>
        <v/>
      </c>
      <c r="N4291" s="64">
        <f>IF($A4291="","",IFERROR(INDEX(부서매핑!$C$5:$C$504,MATCH($G4291&amp;"",부서매핑!$A$5:$A$504,0)),"미매핑"))</f>
        <v/>
      </c>
      <c r="O4291" s="9">
        <f>IF($A4291="","",N4291&amp;"|"&amp;$F4291)</f>
        <v/>
      </c>
      <c r="P4291" s="94">
        <f>IF($A4291="",0,$H4291*설정!$C$23)</f>
        <v/>
      </c>
      <c r="Q4291" s="64">
        <f>IF($A4291="","",IF(O4291&lt;&gt;원인분석!$C$9,"",IF(AND(M4291&gt;=원인분석!$C$10,M4291&lt;=원인분석!$C$11),"당기",IF(AND(M4291&gt;=원인분석!$C$12,M4291&lt;=원인분석!$C$13),"비교",""))))</f>
        <v/>
      </c>
      <c r="R4291" s="9">
        <f>IF(Q4291="","",$K4291&amp;"")</f>
        <v/>
      </c>
      <c r="S4291" s="9">
        <f>IF(Q4291="","",IF(MATCH(R4291,$R$5:$R$100000,0)=ROW()-4,ROW(),""))</f>
        <v/>
      </c>
      <c r="T4291" s="9">
        <f>IF(Q4291="당기",ABS(P4291)+ROW()/1000000000,"")</f>
        <v/>
      </c>
      <c r="U4291" s="9">
        <f>IF(Q4291="비교",ABS(P4291)+ROW()/1000000000,"")</f>
        <v/>
      </c>
      <c r="V4291" s="64">
        <f>IF($A4291="","",IF(COUNTIF(변동분석!$E$7:$E$506,O4291)&gt;0,"Y","N"))</f>
        <v/>
      </c>
      <c r="W4291" s="64">
        <f>IF($A4291="","",IFERROR(INDEX(계정매핑!$D$5:$D$504,MATCH($F4291&amp;"",계정매핑!$A$5:$A$504,0)),"미매핑"))</f>
        <v/>
      </c>
      <c r="X4291" s="9">
        <f>IF($A4291="","",$F4291&amp;"")</f>
        <v/>
      </c>
      <c r="Y4291" s="94">
        <f>IF($A4291="",0,IF(AE4291="직접",IF(AF4291="비귀속",$P4291,0),$P4291*(1-AG4291)*IFERROR(INDEX(계정대체기준!$F$20:$F$49,MATCH($N4291,계정대체기준!$A$20:$A$49,0)),1)))</f>
        <v/>
      </c>
      <c r="Z4291" s="94">
        <f>IF($A4291="",0,IF(AE4291="직접",IF(AF4291="신계약비",$P4291,0),$P4291*(1-AG4291)*IFERROR(INDEX(계정대체기준!$C$20:$C$49,MATCH($N4291,계정대체기준!$A$20:$A$49,0)),0)))</f>
        <v/>
      </c>
      <c r="AA4291" s="94">
        <f>IF($A4291="",0,IF(AE4291="직접",IF(OR(AF4291="유지비",AF4291="손해조사비"),$P4291,0),$P4291*(1-AG4291)*IFERROR(INDEX(계정대체기준!$D$20:$D$49,MATCH($N4291,계정대체기준!$A$20:$A$49,0)),0)))</f>
        <v/>
      </c>
      <c r="AB4291" s="94">
        <f>IF($A4291="",0,IF(AE4291="직접",IF(AF4291="수금비",$P4291,0),$P4291*(1-AG4291)*IFERROR(INDEX(계정대체기준!$E$20:$E$49,MATCH($N4291,계정대체기준!$A$20:$A$49,0)),0)))</f>
        <v/>
      </c>
      <c r="AC4291" s="9">
        <f>IF(AND($A4291&lt;&gt;"",M4291=설정!$C$20,Z4291&gt;0),Z4291+ROW()/1000000000,"")</f>
        <v/>
      </c>
      <c r="AD4291" s="94">
        <f>IF($A4291="",0,$P4291*AG4291)</f>
        <v/>
      </c>
      <c r="AE4291" s="64">
        <f>IF($A4291="","",IFERROR(INDEX(계정매핑!$E$5:$E$504,MATCH($F4291&amp;"",계정매핑!$A$5:$A$504,0))&amp;"","공통비"))</f>
        <v/>
      </c>
      <c r="AF4291" s="64">
        <f>IF($A4291="","",IF(AE4291="직접",IFERROR(INDEX(계정매핑!$F$5:$F$504,MATCH($F4291&amp;"",계정매핑!$A$5:$A$504,0))&amp;"","비귀속"),""))</f>
        <v/>
      </c>
      <c r="AG4291" s="96">
        <f>IF($A4291="",0,IF(AND(AE4291&lt;&gt;"직접",IFERROR(INDEX(계정매핑!$G$5:$G$504,MATCH($F4291&amp;"",계정매핑!$A$5:$A$504,0))&amp;"","")="유지비",COUNTIF(계정대체기준!$A$6:$A$15,$N4291)&gt;0),IFERROR(INDEX(계정대체기준!$E$6:$E$15,MATCH(VALUE($A4291&amp;""),계정대체기준!$D$6:$D$15,0)),0),0))</f>
        <v/>
      </c>
      <c r="AH4291" s="64">
        <f>IF($A4291="","",IF(AD4291=0,"",IF(OR(COUNTIF(계정대체기준!$A$77:$A$86,$N4291)&gt;0,ISNUMBER(MATCH($X4291,계정대체기준!$D$77:$D$86,0)),ISNUMBER(MATCH($F4291,계정대체기준!$D$77:$D$86,0))),"Y","N")))</f>
        <v/>
      </c>
    </row>
    <row r="4292">
      <c r="A4292" s="92" t="n">
        <v>2026</v>
      </c>
      <c r="B4292" s="92" t="n">
        <v>7</v>
      </c>
      <c r="C4292" s="92" t="inlineStr">
        <is>
          <t>5100001570</t>
        </is>
      </c>
      <c r="D4292" s="95" t="n">
        <v>46228</v>
      </c>
      <c r="E4292" s="92" t="inlineStr">
        <is>
          <t>KR</t>
        </is>
      </c>
      <c r="F4292" s="92" t="n">
        <v>62902000</v>
      </c>
      <c r="G4292" s="92" t="n">
        <v>1801</v>
      </c>
      <c r="H4292" s="93" t="n">
        <v>1766000</v>
      </c>
      <c r="I4292" s="92" t="inlineStr">
        <is>
          <t>7월 콜 위탁 수수료(건별)</t>
        </is>
      </c>
      <c r="J4292" s="92" t="inlineStr">
        <is>
          <t>V10016</t>
        </is>
      </c>
      <c r="K4292" s="92" t="inlineStr">
        <is>
          <t>J콜센터</t>
        </is>
      </c>
      <c r="M4292" s="9">
        <f>IF($A4292="","",VALUE($A4292&amp;"")*12+VALUE($B4292&amp;""))</f>
        <v/>
      </c>
      <c r="N4292" s="64">
        <f>IF($A4292="","",IFERROR(INDEX(부서매핑!$C$5:$C$504,MATCH($G4292&amp;"",부서매핑!$A$5:$A$504,0)),"미매핑"))</f>
        <v/>
      </c>
      <c r="O4292" s="9">
        <f>IF($A4292="","",N4292&amp;"|"&amp;$F4292)</f>
        <v/>
      </c>
      <c r="P4292" s="94">
        <f>IF($A4292="",0,$H4292*설정!$C$23)</f>
        <v/>
      </c>
      <c r="Q4292" s="64">
        <f>IF($A4292="","",IF(O4292&lt;&gt;원인분석!$C$9,"",IF(AND(M4292&gt;=원인분석!$C$10,M4292&lt;=원인분석!$C$11),"당기",IF(AND(M4292&gt;=원인분석!$C$12,M4292&lt;=원인분석!$C$13),"비교",""))))</f>
        <v/>
      </c>
      <c r="R4292" s="9">
        <f>IF(Q4292="","",$K4292&amp;"")</f>
        <v/>
      </c>
      <c r="S4292" s="9">
        <f>IF(Q4292="","",IF(MATCH(R4292,$R$5:$R$100000,0)=ROW()-4,ROW(),""))</f>
        <v/>
      </c>
      <c r="T4292" s="9">
        <f>IF(Q4292="당기",ABS(P4292)+ROW()/1000000000,"")</f>
        <v/>
      </c>
      <c r="U4292" s="9">
        <f>IF(Q4292="비교",ABS(P4292)+ROW()/1000000000,"")</f>
        <v/>
      </c>
      <c r="V4292" s="64">
        <f>IF($A4292="","",IF(COUNTIF(변동분석!$E$7:$E$506,O4292)&gt;0,"Y","N"))</f>
        <v/>
      </c>
      <c r="W4292" s="64">
        <f>IF($A4292="","",IFERROR(INDEX(계정매핑!$D$5:$D$504,MATCH($F4292&amp;"",계정매핑!$A$5:$A$504,0)),"미매핑"))</f>
        <v/>
      </c>
      <c r="X4292" s="9">
        <f>IF($A4292="","",$F4292&amp;"")</f>
        <v/>
      </c>
      <c r="Y4292" s="94">
        <f>IF($A4292="",0,IF(AE4292="직접",IF(AF4292="비귀속",$P4292,0),$P4292*(1-AG4292)*IFERROR(INDEX(계정대체기준!$F$20:$F$49,MATCH($N4292,계정대체기준!$A$20:$A$49,0)),1)))</f>
        <v/>
      </c>
      <c r="Z4292" s="94">
        <f>IF($A4292="",0,IF(AE4292="직접",IF(AF4292="신계약비",$P4292,0),$P4292*(1-AG4292)*IFERROR(INDEX(계정대체기준!$C$20:$C$49,MATCH($N4292,계정대체기준!$A$20:$A$49,0)),0)))</f>
        <v/>
      </c>
      <c r="AA4292" s="94">
        <f>IF($A4292="",0,IF(AE4292="직접",IF(OR(AF4292="유지비",AF4292="손해조사비"),$P4292,0),$P4292*(1-AG4292)*IFERROR(INDEX(계정대체기준!$D$20:$D$49,MATCH($N4292,계정대체기준!$A$20:$A$49,0)),0)))</f>
        <v/>
      </c>
      <c r="AB4292" s="94">
        <f>IF($A4292="",0,IF(AE4292="직접",IF(AF4292="수금비",$P4292,0),$P4292*(1-AG4292)*IFERROR(INDEX(계정대체기준!$E$20:$E$49,MATCH($N4292,계정대체기준!$A$20:$A$49,0)),0)))</f>
        <v/>
      </c>
      <c r="AC4292" s="9">
        <f>IF(AND($A4292&lt;&gt;"",M4292=설정!$C$20,Z4292&gt;0),Z4292+ROW()/1000000000,"")</f>
        <v/>
      </c>
      <c r="AD4292" s="94">
        <f>IF($A4292="",0,$P4292*AG4292)</f>
        <v/>
      </c>
      <c r="AE4292" s="64">
        <f>IF($A4292="","",IFERROR(INDEX(계정매핑!$E$5:$E$504,MATCH($F4292&amp;"",계정매핑!$A$5:$A$504,0))&amp;"","공통비"))</f>
        <v/>
      </c>
      <c r="AF4292" s="64">
        <f>IF($A4292="","",IF(AE4292="직접",IFERROR(INDEX(계정매핑!$F$5:$F$504,MATCH($F4292&amp;"",계정매핑!$A$5:$A$504,0))&amp;"","비귀속"),""))</f>
        <v/>
      </c>
      <c r="AG4292" s="96">
        <f>IF($A4292="",0,IF(AND(AE4292&lt;&gt;"직접",IFERROR(INDEX(계정매핑!$G$5:$G$504,MATCH($F4292&amp;"",계정매핑!$A$5:$A$504,0))&amp;"","")="유지비",COUNTIF(계정대체기준!$A$6:$A$15,$N4292)&gt;0),IFERROR(INDEX(계정대체기준!$E$6:$E$15,MATCH(VALUE($A4292&amp;""),계정대체기준!$D$6:$D$15,0)),0),0))</f>
        <v/>
      </c>
      <c r="AH4292" s="64">
        <f>IF($A4292="","",IF(AD4292=0,"",IF(OR(COUNTIF(계정대체기준!$A$77:$A$86,$N4292)&gt;0,ISNUMBER(MATCH($X4292,계정대체기준!$D$77:$D$86,0)),ISNUMBER(MATCH($F4292,계정대체기준!$D$77:$D$86,0))),"Y","N")))</f>
        <v/>
      </c>
    </row>
    <row r="4293">
      <c r="A4293" s="92" t="n">
        <v>2026</v>
      </c>
      <c r="B4293" s="92" t="n">
        <v>7</v>
      </c>
      <c r="C4293" s="92" t="inlineStr">
        <is>
          <t>5100001571</t>
        </is>
      </c>
      <c r="D4293" s="95" t="n">
        <v>46228</v>
      </c>
      <c r="E4293" s="92" t="inlineStr">
        <is>
          <t>KR</t>
        </is>
      </c>
      <c r="F4293" s="92" t="n">
        <v>62902000</v>
      </c>
      <c r="G4293" s="92" t="n">
        <v>1951</v>
      </c>
      <c r="H4293" s="93" t="n">
        <v>4116000</v>
      </c>
      <c r="I4293" s="92" t="inlineStr">
        <is>
          <t>7월 업무 위탁 수수료 - X서비스</t>
        </is>
      </c>
      <c r="J4293" s="92" t="inlineStr">
        <is>
          <t>V10020</t>
        </is>
      </c>
      <c r="K4293" s="92" t="inlineStr">
        <is>
          <t>X서비스</t>
        </is>
      </c>
      <c r="M4293" s="9">
        <f>IF($A4293="","",VALUE($A4293&amp;"")*12+VALUE($B4293&amp;""))</f>
        <v/>
      </c>
      <c r="N4293" s="64">
        <f>IF($A4293="","",IFERROR(INDEX(부서매핑!$C$5:$C$504,MATCH($G4293&amp;"",부서매핑!$A$5:$A$504,0)),"미매핑"))</f>
        <v/>
      </c>
      <c r="O4293" s="9">
        <f>IF($A4293="","",N4293&amp;"|"&amp;$F4293)</f>
        <v/>
      </c>
      <c r="P4293" s="94">
        <f>IF($A4293="",0,$H4293*설정!$C$23)</f>
        <v/>
      </c>
      <c r="Q4293" s="64">
        <f>IF($A4293="","",IF(O4293&lt;&gt;원인분석!$C$9,"",IF(AND(M4293&gt;=원인분석!$C$10,M4293&lt;=원인분석!$C$11),"당기",IF(AND(M4293&gt;=원인분석!$C$12,M4293&lt;=원인분석!$C$13),"비교",""))))</f>
        <v/>
      </c>
      <c r="R4293" s="9">
        <f>IF(Q4293="","",$K4293&amp;"")</f>
        <v/>
      </c>
      <c r="S4293" s="9">
        <f>IF(Q4293="","",IF(MATCH(R4293,$R$5:$R$100000,0)=ROW()-4,ROW(),""))</f>
        <v/>
      </c>
      <c r="T4293" s="9">
        <f>IF(Q4293="당기",ABS(P4293)+ROW()/1000000000,"")</f>
        <v/>
      </c>
      <c r="U4293" s="9">
        <f>IF(Q4293="비교",ABS(P4293)+ROW()/1000000000,"")</f>
        <v/>
      </c>
      <c r="V4293" s="64">
        <f>IF($A4293="","",IF(COUNTIF(변동분석!$E$7:$E$506,O4293)&gt;0,"Y","N"))</f>
        <v/>
      </c>
      <c r="W4293" s="64">
        <f>IF($A4293="","",IFERROR(INDEX(계정매핑!$D$5:$D$504,MATCH($F4293&amp;"",계정매핑!$A$5:$A$504,0)),"미매핑"))</f>
        <v/>
      </c>
      <c r="X4293" s="9">
        <f>IF($A4293="","",$F4293&amp;"")</f>
        <v/>
      </c>
      <c r="Y4293" s="94">
        <f>IF($A4293="",0,IF(AE4293="직접",IF(AF4293="비귀속",$P4293,0),$P4293*(1-AG4293)*IFERROR(INDEX(계정대체기준!$F$20:$F$49,MATCH($N4293,계정대체기준!$A$20:$A$49,0)),1)))</f>
        <v/>
      </c>
      <c r="Z4293" s="94">
        <f>IF($A4293="",0,IF(AE4293="직접",IF(AF4293="신계약비",$P4293,0),$P4293*(1-AG4293)*IFERROR(INDEX(계정대체기준!$C$20:$C$49,MATCH($N4293,계정대체기준!$A$20:$A$49,0)),0)))</f>
        <v/>
      </c>
      <c r="AA4293" s="94">
        <f>IF($A4293="",0,IF(AE4293="직접",IF(OR(AF4293="유지비",AF4293="손해조사비"),$P4293,0),$P4293*(1-AG4293)*IFERROR(INDEX(계정대체기준!$D$20:$D$49,MATCH($N4293,계정대체기준!$A$20:$A$49,0)),0)))</f>
        <v/>
      </c>
      <c r="AB4293" s="94">
        <f>IF($A4293="",0,IF(AE4293="직접",IF(AF4293="수금비",$P4293,0),$P4293*(1-AG4293)*IFERROR(INDEX(계정대체기준!$E$20:$E$49,MATCH($N4293,계정대체기준!$A$20:$A$49,0)),0)))</f>
        <v/>
      </c>
      <c r="AC4293" s="9">
        <f>IF(AND($A4293&lt;&gt;"",M4293=설정!$C$20,Z4293&gt;0),Z4293+ROW()/1000000000,"")</f>
        <v/>
      </c>
      <c r="AD4293" s="94">
        <f>IF($A4293="",0,$P4293*AG4293)</f>
        <v/>
      </c>
      <c r="AE4293" s="64">
        <f>IF($A4293="","",IFERROR(INDEX(계정매핑!$E$5:$E$504,MATCH($F4293&amp;"",계정매핑!$A$5:$A$504,0))&amp;"","공통비"))</f>
        <v/>
      </c>
      <c r="AF4293" s="64">
        <f>IF($A4293="","",IF(AE4293="직접",IFERROR(INDEX(계정매핑!$F$5:$F$504,MATCH($F4293&amp;"",계정매핑!$A$5:$A$504,0))&amp;"","비귀속"),""))</f>
        <v/>
      </c>
      <c r="AG4293" s="96">
        <f>IF($A4293="",0,IF(AND(AE4293&lt;&gt;"직접",IFERROR(INDEX(계정매핑!$G$5:$G$504,MATCH($F4293&amp;"",계정매핑!$A$5:$A$504,0))&amp;"","")="유지비",COUNTIF(계정대체기준!$A$6:$A$15,$N4293)&gt;0),IFERROR(INDEX(계정대체기준!$E$6:$E$15,MATCH(VALUE($A4293&amp;""),계정대체기준!$D$6:$D$15,0)),0),0))</f>
        <v/>
      </c>
      <c r="AH4293" s="64">
        <f>IF($A4293="","",IF(AD4293=0,"",IF(OR(COUNTIF(계정대체기준!$A$77:$A$86,$N4293)&gt;0,ISNUMBER(MATCH($X4293,계정대체기준!$D$77:$D$86,0)),ISNUMBER(MATCH($F4293,계정대체기준!$D$77:$D$86,0))),"Y","N")))</f>
        <v/>
      </c>
    </row>
    <row r="4294">
      <c r="A4294" s="92" t="n">
        <v>2026</v>
      </c>
      <c r="B4294" s="92" t="n">
        <v>7</v>
      </c>
      <c r="C4294" s="92" t="inlineStr">
        <is>
          <t>5100001572</t>
        </is>
      </c>
      <c r="D4294" s="95" t="n">
        <v>46228</v>
      </c>
      <c r="E4294" s="92" t="inlineStr">
        <is>
          <t>KR</t>
        </is>
      </c>
      <c r="F4294" s="92" t="n">
        <v>63002000</v>
      </c>
      <c r="G4294" s="92" t="n">
        <v>1701</v>
      </c>
      <c r="H4294" s="93" t="n">
        <v>86000000</v>
      </c>
      <c r="I4294" s="92" t="inlineStr">
        <is>
          <t>7월 클라우드 사용료 - C클라우드</t>
        </is>
      </c>
      <c r="J4294" s="92" t="inlineStr">
        <is>
          <t>V10026</t>
        </is>
      </c>
      <c r="K4294" s="92" t="inlineStr">
        <is>
          <t>C클라우드</t>
        </is>
      </c>
      <c r="M4294" s="9">
        <f>IF($A4294="","",VALUE($A4294&amp;"")*12+VALUE($B4294&amp;""))</f>
        <v/>
      </c>
      <c r="N4294" s="64">
        <f>IF($A4294="","",IFERROR(INDEX(부서매핑!$C$5:$C$504,MATCH($G4294&amp;"",부서매핑!$A$5:$A$504,0)),"미매핑"))</f>
        <v/>
      </c>
      <c r="O4294" s="9">
        <f>IF($A4294="","",N4294&amp;"|"&amp;$F4294)</f>
        <v/>
      </c>
      <c r="P4294" s="94">
        <f>IF($A4294="",0,$H4294*설정!$C$23)</f>
        <v/>
      </c>
      <c r="Q4294" s="64">
        <f>IF($A4294="","",IF(O4294&lt;&gt;원인분석!$C$9,"",IF(AND(M4294&gt;=원인분석!$C$10,M4294&lt;=원인분석!$C$11),"당기",IF(AND(M4294&gt;=원인분석!$C$12,M4294&lt;=원인분석!$C$13),"비교",""))))</f>
        <v/>
      </c>
      <c r="R4294" s="9">
        <f>IF(Q4294="","",$K4294&amp;"")</f>
        <v/>
      </c>
      <c r="S4294" s="9">
        <f>IF(Q4294="","",IF(MATCH(R4294,$R$5:$R$100000,0)=ROW()-4,ROW(),""))</f>
        <v/>
      </c>
      <c r="T4294" s="9">
        <f>IF(Q4294="당기",ABS(P4294)+ROW()/1000000000,"")</f>
        <v/>
      </c>
      <c r="U4294" s="9">
        <f>IF(Q4294="비교",ABS(P4294)+ROW()/1000000000,"")</f>
        <v/>
      </c>
      <c r="V4294" s="64">
        <f>IF($A4294="","",IF(COUNTIF(변동분석!$E$7:$E$506,O4294)&gt;0,"Y","N"))</f>
        <v/>
      </c>
      <c r="W4294" s="64">
        <f>IF($A4294="","",IFERROR(INDEX(계정매핑!$D$5:$D$504,MATCH($F4294&amp;"",계정매핑!$A$5:$A$504,0)),"미매핑"))</f>
        <v/>
      </c>
      <c r="X4294" s="9">
        <f>IF($A4294="","",$F4294&amp;"")</f>
        <v/>
      </c>
      <c r="Y4294" s="94">
        <f>IF($A4294="",0,IF(AE4294="직접",IF(AF4294="비귀속",$P4294,0),$P4294*(1-AG4294)*IFERROR(INDEX(계정대체기준!$F$20:$F$49,MATCH($N4294,계정대체기준!$A$20:$A$49,0)),1)))</f>
        <v/>
      </c>
      <c r="Z4294" s="94">
        <f>IF($A4294="",0,IF(AE4294="직접",IF(AF4294="신계약비",$P4294,0),$P4294*(1-AG4294)*IFERROR(INDEX(계정대체기준!$C$20:$C$49,MATCH($N4294,계정대체기준!$A$20:$A$49,0)),0)))</f>
        <v/>
      </c>
      <c r="AA4294" s="94">
        <f>IF($A4294="",0,IF(AE4294="직접",IF(OR(AF4294="유지비",AF4294="손해조사비"),$P4294,0),$P4294*(1-AG4294)*IFERROR(INDEX(계정대체기준!$D$20:$D$49,MATCH($N4294,계정대체기준!$A$20:$A$49,0)),0)))</f>
        <v/>
      </c>
      <c r="AB4294" s="94">
        <f>IF($A4294="",0,IF(AE4294="직접",IF(AF4294="수금비",$P4294,0),$P4294*(1-AG4294)*IFERROR(INDEX(계정대체기준!$E$20:$E$49,MATCH($N4294,계정대체기준!$A$20:$A$49,0)),0)))</f>
        <v/>
      </c>
      <c r="AC4294" s="9">
        <f>IF(AND($A4294&lt;&gt;"",M4294=설정!$C$20,Z4294&gt;0),Z4294+ROW()/1000000000,"")</f>
        <v/>
      </c>
      <c r="AD4294" s="94">
        <f>IF($A4294="",0,$P4294*AG4294)</f>
        <v/>
      </c>
      <c r="AE4294" s="64">
        <f>IF($A4294="","",IFERROR(INDEX(계정매핑!$E$5:$E$504,MATCH($F4294&amp;"",계정매핑!$A$5:$A$504,0))&amp;"","공통비"))</f>
        <v/>
      </c>
      <c r="AF4294" s="64">
        <f>IF($A4294="","",IF(AE4294="직접",IFERROR(INDEX(계정매핑!$F$5:$F$504,MATCH($F4294&amp;"",계정매핑!$A$5:$A$504,0))&amp;"","비귀속"),""))</f>
        <v/>
      </c>
      <c r="AG4294" s="96">
        <f>IF($A4294="",0,IF(AND(AE4294&lt;&gt;"직접",IFERROR(INDEX(계정매핑!$G$5:$G$504,MATCH($F4294&amp;"",계정매핑!$A$5:$A$504,0))&amp;"","")="유지비",COUNTIF(계정대체기준!$A$6:$A$15,$N4294)&gt;0),IFERROR(INDEX(계정대체기준!$E$6:$E$15,MATCH(VALUE($A4294&amp;""),계정대체기준!$D$6:$D$15,0)),0),0))</f>
        <v/>
      </c>
      <c r="AH4294" s="64">
        <f>IF($A4294="","",IF(AD4294=0,"",IF(OR(COUNTIF(계정대체기준!$A$77:$A$86,$N4294)&gt;0,ISNUMBER(MATCH($X4294,계정대체기준!$D$77:$D$86,0)),ISNUMBER(MATCH($F4294,계정대체기준!$D$77:$D$86,0))),"Y","N")))</f>
        <v/>
      </c>
    </row>
    <row r="4295">
      <c r="A4295" s="92" t="n">
        <v>2026</v>
      </c>
      <c r="B4295" s="92" t="n">
        <v>7</v>
      </c>
      <c r="C4295" s="92" t="inlineStr">
        <is>
          <t>5100001573</t>
        </is>
      </c>
      <c r="D4295" s="95" t="n">
        <v>46229</v>
      </c>
      <c r="E4295" s="92" t="inlineStr">
        <is>
          <t>KR</t>
        </is>
      </c>
      <c r="F4295" s="92" t="n">
        <v>62101000</v>
      </c>
      <c r="G4295" s="92" t="n">
        <v>1101</v>
      </c>
      <c r="H4295" s="93" t="n">
        <v>467000</v>
      </c>
      <c r="I4295" s="92" t="inlineStr">
        <is>
          <t>7월 국내출장 - M항공</t>
        </is>
      </c>
      <c r="J4295" s="92" t="inlineStr">
        <is>
          <t>V10001</t>
        </is>
      </c>
      <c r="K4295" s="92" t="inlineStr">
        <is>
          <t>M항공</t>
        </is>
      </c>
      <c r="M4295" s="9">
        <f>IF($A4295="","",VALUE($A4295&amp;"")*12+VALUE($B4295&amp;""))</f>
        <v/>
      </c>
      <c r="N4295" s="64">
        <f>IF($A4295="","",IFERROR(INDEX(부서매핑!$C$5:$C$504,MATCH($G4295&amp;"",부서매핑!$A$5:$A$504,0)),"미매핑"))</f>
        <v/>
      </c>
      <c r="O4295" s="9">
        <f>IF($A4295="","",N4295&amp;"|"&amp;$F4295)</f>
        <v/>
      </c>
      <c r="P4295" s="94">
        <f>IF($A4295="",0,$H4295*설정!$C$23)</f>
        <v/>
      </c>
      <c r="Q4295" s="64">
        <f>IF($A4295="","",IF(O4295&lt;&gt;원인분석!$C$9,"",IF(AND(M4295&gt;=원인분석!$C$10,M4295&lt;=원인분석!$C$11),"당기",IF(AND(M4295&gt;=원인분석!$C$12,M4295&lt;=원인분석!$C$13),"비교",""))))</f>
        <v/>
      </c>
      <c r="R4295" s="9">
        <f>IF(Q4295="","",$K4295&amp;"")</f>
        <v/>
      </c>
      <c r="S4295" s="9">
        <f>IF(Q4295="","",IF(MATCH(R4295,$R$5:$R$100000,0)=ROW()-4,ROW(),""))</f>
        <v/>
      </c>
      <c r="T4295" s="9">
        <f>IF(Q4295="당기",ABS(P4295)+ROW()/1000000000,"")</f>
        <v/>
      </c>
      <c r="U4295" s="9">
        <f>IF(Q4295="비교",ABS(P4295)+ROW()/1000000000,"")</f>
        <v/>
      </c>
      <c r="V4295" s="64">
        <f>IF($A4295="","",IF(COUNTIF(변동분석!$E$7:$E$506,O4295)&gt;0,"Y","N"))</f>
        <v/>
      </c>
      <c r="W4295" s="64">
        <f>IF($A4295="","",IFERROR(INDEX(계정매핑!$D$5:$D$504,MATCH($F4295&amp;"",계정매핑!$A$5:$A$504,0)),"미매핑"))</f>
        <v/>
      </c>
      <c r="X4295" s="9">
        <f>IF($A4295="","",$F4295&amp;"")</f>
        <v/>
      </c>
      <c r="Y4295" s="94">
        <f>IF($A4295="",0,IF(AE4295="직접",IF(AF4295="비귀속",$P4295,0),$P4295*(1-AG4295)*IFERROR(INDEX(계정대체기준!$F$20:$F$49,MATCH($N4295,계정대체기준!$A$20:$A$49,0)),1)))</f>
        <v/>
      </c>
      <c r="Z4295" s="94">
        <f>IF($A4295="",0,IF(AE4295="직접",IF(AF4295="신계약비",$P4295,0),$P4295*(1-AG4295)*IFERROR(INDEX(계정대체기준!$C$20:$C$49,MATCH($N4295,계정대체기준!$A$20:$A$49,0)),0)))</f>
        <v/>
      </c>
      <c r="AA4295" s="94">
        <f>IF($A4295="",0,IF(AE4295="직접",IF(OR(AF4295="유지비",AF4295="손해조사비"),$P4295,0),$P4295*(1-AG4295)*IFERROR(INDEX(계정대체기준!$D$20:$D$49,MATCH($N4295,계정대체기준!$A$20:$A$49,0)),0)))</f>
        <v/>
      </c>
      <c r="AB4295" s="94">
        <f>IF($A4295="",0,IF(AE4295="직접",IF(AF4295="수금비",$P4295,0),$P4295*(1-AG4295)*IFERROR(INDEX(계정대체기준!$E$20:$E$49,MATCH($N4295,계정대체기준!$A$20:$A$49,0)),0)))</f>
        <v/>
      </c>
      <c r="AC4295" s="9">
        <f>IF(AND($A4295&lt;&gt;"",M4295=설정!$C$20,Z4295&gt;0),Z4295+ROW()/1000000000,"")</f>
        <v/>
      </c>
      <c r="AD4295" s="94">
        <f>IF($A4295="",0,$P4295*AG4295)</f>
        <v/>
      </c>
      <c r="AE4295" s="64">
        <f>IF($A4295="","",IFERROR(INDEX(계정매핑!$E$5:$E$504,MATCH($F4295&amp;"",계정매핑!$A$5:$A$504,0))&amp;"","공통비"))</f>
        <v/>
      </c>
      <c r="AF4295" s="64">
        <f>IF($A4295="","",IF(AE4295="직접",IFERROR(INDEX(계정매핑!$F$5:$F$504,MATCH($F4295&amp;"",계정매핑!$A$5:$A$504,0))&amp;"","비귀속"),""))</f>
        <v/>
      </c>
      <c r="AG4295" s="96">
        <f>IF($A4295="",0,IF(AND(AE4295&lt;&gt;"직접",IFERROR(INDEX(계정매핑!$G$5:$G$504,MATCH($F4295&amp;"",계정매핑!$A$5:$A$504,0))&amp;"","")="유지비",COUNTIF(계정대체기준!$A$6:$A$15,$N4295)&gt;0),IFERROR(INDEX(계정대체기준!$E$6:$E$15,MATCH(VALUE($A4295&amp;""),계정대체기준!$D$6:$D$15,0)),0),0))</f>
        <v/>
      </c>
      <c r="AH4295" s="64">
        <f>IF($A4295="","",IF(AD4295=0,"",IF(OR(COUNTIF(계정대체기준!$A$77:$A$86,$N4295)&gt;0,ISNUMBER(MATCH($X4295,계정대체기준!$D$77:$D$86,0)),ISNUMBER(MATCH($F4295,계정대체기준!$D$77:$D$86,0))),"Y","N")))</f>
        <v/>
      </c>
    </row>
    <row r="4296">
      <c r="A4296" s="92" t="n">
        <v>2026</v>
      </c>
      <c r="B4296" s="92" t="n">
        <v>7</v>
      </c>
      <c r="C4296" s="92" t="inlineStr">
        <is>
          <t>5100001574</t>
        </is>
      </c>
      <c r="D4296" s="95" t="n">
        <v>46229</v>
      </c>
      <c r="E4296" s="92" t="inlineStr">
        <is>
          <t>KR</t>
        </is>
      </c>
      <c r="F4296" s="92" t="n">
        <v>62102000</v>
      </c>
      <c r="G4296" s="92" t="n">
        <v>1501</v>
      </c>
      <c r="H4296" s="93" t="n">
        <v>155000</v>
      </c>
      <c r="I4296" s="92" t="inlineStr">
        <is>
          <t>7월 해외출장 - M항공</t>
        </is>
      </c>
      <c r="J4296" s="92" t="inlineStr">
        <is>
          <t>V10001</t>
        </is>
      </c>
      <c r="K4296" s="92" t="inlineStr">
        <is>
          <t>M항공</t>
        </is>
      </c>
      <c r="M4296" s="9">
        <f>IF($A4296="","",VALUE($A4296&amp;"")*12+VALUE($B4296&amp;""))</f>
        <v/>
      </c>
      <c r="N4296" s="64">
        <f>IF($A4296="","",IFERROR(INDEX(부서매핑!$C$5:$C$504,MATCH($G4296&amp;"",부서매핑!$A$5:$A$504,0)),"미매핑"))</f>
        <v/>
      </c>
      <c r="O4296" s="9">
        <f>IF($A4296="","",N4296&amp;"|"&amp;$F4296)</f>
        <v/>
      </c>
      <c r="P4296" s="94">
        <f>IF($A4296="",0,$H4296*설정!$C$23)</f>
        <v/>
      </c>
      <c r="Q4296" s="64">
        <f>IF($A4296="","",IF(O4296&lt;&gt;원인분석!$C$9,"",IF(AND(M4296&gt;=원인분석!$C$10,M4296&lt;=원인분석!$C$11),"당기",IF(AND(M4296&gt;=원인분석!$C$12,M4296&lt;=원인분석!$C$13),"비교",""))))</f>
        <v/>
      </c>
      <c r="R4296" s="9">
        <f>IF(Q4296="","",$K4296&amp;"")</f>
        <v/>
      </c>
      <c r="S4296" s="9">
        <f>IF(Q4296="","",IF(MATCH(R4296,$R$5:$R$100000,0)=ROW()-4,ROW(),""))</f>
        <v/>
      </c>
      <c r="T4296" s="9">
        <f>IF(Q4296="당기",ABS(P4296)+ROW()/1000000000,"")</f>
        <v/>
      </c>
      <c r="U4296" s="9">
        <f>IF(Q4296="비교",ABS(P4296)+ROW()/1000000000,"")</f>
        <v/>
      </c>
      <c r="V4296" s="64">
        <f>IF($A4296="","",IF(COUNTIF(변동분석!$E$7:$E$506,O4296)&gt;0,"Y","N"))</f>
        <v/>
      </c>
      <c r="W4296" s="64">
        <f>IF($A4296="","",IFERROR(INDEX(계정매핑!$D$5:$D$504,MATCH($F4296&amp;"",계정매핑!$A$5:$A$504,0)),"미매핑"))</f>
        <v/>
      </c>
      <c r="X4296" s="9">
        <f>IF($A4296="","",$F4296&amp;"")</f>
        <v/>
      </c>
      <c r="Y4296" s="94">
        <f>IF($A4296="",0,IF(AE4296="직접",IF(AF4296="비귀속",$P4296,0),$P4296*(1-AG4296)*IFERROR(INDEX(계정대체기준!$F$20:$F$49,MATCH($N4296,계정대체기준!$A$20:$A$49,0)),1)))</f>
        <v/>
      </c>
      <c r="Z4296" s="94">
        <f>IF($A4296="",0,IF(AE4296="직접",IF(AF4296="신계약비",$P4296,0),$P4296*(1-AG4296)*IFERROR(INDEX(계정대체기준!$C$20:$C$49,MATCH($N4296,계정대체기준!$A$20:$A$49,0)),0)))</f>
        <v/>
      </c>
      <c r="AA4296" s="94">
        <f>IF($A4296="",0,IF(AE4296="직접",IF(OR(AF4296="유지비",AF4296="손해조사비"),$P4296,0),$P4296*(1-AG4296)*IFERROR(INDEX(계정대체기준!$D$20:$D$49,MATCH($N4296,계정대체기준!$A$20:$A$49,0)),0)))</f>
        <v/>
      </c>
      <c r="AB4296" s="94">
        <f>IF($A4296="",0,IF(AE4296="직접",IF(AF4296="수금비",$P4296,0),$P4296*(1-AG4296)*IFERROR(INDEX(계정대체기준!$E$20:$E$49,MATCH($N4296,계정대체기준!$A$20:$A$49,0)),0)))</f>
        <v/>
      </c>
      <c r="AC4296" s="9">
        <f>IF(AND($A4296&lt;&gt;"",M4296=설정!$C$20,Z4296&gt;0),Z4296+ROW()/1000000000,"")</f>
        <v/>
      </c>
      <c r="AD4296" s="94">
        <f>IF($A4296="",0,$P4296*AG4296)</f>
        <v/>
      </c>
      <c r="AE4296" s="64">
        <f>IF($A4296="","",IFERROR(INDEX(계정매핑!$E$5:$E$504,MATCH($F4296&amp;"",계정매핑!$A$5:$A$504,0))&amp;"","공통비"))</f>
        <v/>
      </c>
      <c r="AF4296" s="64">
        <f>IF($A4296="","",IF(AE4296="직접",IFERROR(INDEX(계정매핑!$F$5:$F$504,MATCH($F4296&amp;"",계정매핑!$A$5:$A$504,0))&amp;"","비귀속"),""))</f>
        <v/>
      </c>
      <c r="AG4296" s="96">
        <f>IF($A4296="",0,IF(AND(AE4296&lt;&gt;"직접",IFERROR(INDEX(계정매핑!$G$5:$G$504,MATCH($F4296&amp;"",계정매핑!$A$5:$A$504,0))&amp;"","")="유지비",COUNTIF(계정대체기준!$A$6:$A$15,$N4296)&gt;0),IFERROR(INDEX(계정대체기준!$E$6:$E$15,MATCH(VALUE($A4296&amp;""),계정대체기준!$D$6:$D$15,0)),0),0))</f>
        <v/>
      </c>
      <c r="AH4296" s="64">
        <f>IF($A4296="","",IF(AD4296=0,"",IF(OR(COUNTIF(계정대체기준!$A$77:$A$86,$N4296)&gt;0,ISNUMBER(MATCH($X4296,계정대체기준!$D$77:$D$86,0)),ISNUMBER(MATCH($F4296,계정대체기준!$D$77:$D$86,0))),"Y","N")))</f>
        <v/>
      </c>
    </row>
    <row r="4297">
      <c r="A4297" s="92" t="n">
        <v>2026</v>
      </c>
      <c r="B4297" s="92" t="n">
        <v>7</v>
      </c>
      <c r="C4297" s="92" t="inlineStr">
        <is>
          <t>5100001575</t>
        </is>
      </c>
      <c r="D4297" s="95" t="n">
        <v>46229</v>
      </c>
      <c r="E4297" s="92" t="inlineStr">
        <is>
          <t>KR</t>
        </is>
      </c>
      <c r="F4297" s="92" t="n">
        <v>62102000</v>
      </c>
      <c r="G4297" s="92" t="n">
        <v>1701</v>
      </c>
      <c r="H4297" s="93" t="n">
        <v>62000</v>
      </c>
      <c r="I4297" s="92" t="inlineStr">
        <is>
          <t>7월 해외출장 - N호텔</t>
        </is>
      </c>
      <c r="J4297" s="92" t="inlineStr">
        <is>
          <t>V10009</t>
        </is>
      </c>
      <c r="K4297" s="92" t="inlineStr">
        <is>
          <t>N호텔</t>
        </is>
      </c>
      <c r="M4297" s="9">
        <f>IF($A4297="","",VALUE($A4297&amp;"")*12+VALUE($B4297&amp;""))</f>
        <v/>
      </c>
      <c r="N4297" s="64">
        <f>IF($A4297="","",IFERROR(INDEX(부서매핑!$C$5:$C$504,MATCH($G4297&amp;"",부서매핑!$A$5:$A$504,0)),"미매핑"))</f>
        <v/>
      </c>
      <c r="O4297" s="9">
        <f>IF($A4297="","",N4297&amp;"|"&amp;$F4297)</f>
        <v/>
      </c>
      <c r="P4297" s="94">
        <f>IF($A4297="",0,$H4297*설정!$C$23)</f>
        <v/>
      </c>
      <c r="Q4297" s="64">
        <f>IF($A4297="","",IF(O4297&lt;&gt;원인분석!$C$9,"",IF(AND(M4297&gt;=원인분석!$C$10,M4297&lt;=원인분석!$C$11),"당기",IF(AND(M4297&gt;=원인분석!$C$12,M4297&lt;=원인분석!$C$13),"비교",""))))</f>
        <v/>
      </c>
      <c r="R4297" s="9">
        <f>IF(Q4297="","",$K4297&amp;"")</f>
        <v/>
      </c>
      <c r="S4297" s="9">
        <f>IF(Q4297="","",IF(MATCH(R4297,$R$5:$R$100000,0)=ROW()-4,ROW(),""))</f>
        <v/>
      </c>
      <c r="T4297" s="9">
        <f>IF(Q4297="당기",ABS(P4297)+ROW()/1000000000,"")</f>
        <v/>
      </c>
      <c r="U4297" s="9">
        <f>IF(Q4297="비교",ABS(P4297)+ROW()/1000000000,"")</f>
        <v/>
      </c>
      <c r="V4297" s="64">
        <f>IF($A4297="","",IF(COUNTIF(변동분석!$E$7:$E$506,O4297)&gt;0,"Y","N"))</f>
        <v/>
      </c>
      <c r="W4297" s="64">
        <f>IF($A4297="","",IFERROR(INDEX(계정매핑!$D$5:$D$504,MATCH($F4297&amp;"",계정매핑!$A$5:$A$504,0)),"미매핑"))</f>
        <v/>
      </c>
      <c r="X4297" s="9">
        <f>IF($A4297="","",$F4297&amp;"")</f>
        <v/>
      </c>
      <c r="Y4297" s="94">
        <f>IF($A4297="",0,IF(AE4297="직접",IF(AF4297="비귀속",$P4297,0),$P4297*(1-AG4297)*IFERROR(INDEX(계정대체기준!$F$20:$F$49,MATCH($N4297,계정대체기준!$A$20:$A$49,0)),1)))</f>
        <v/>
      </c>
      <c r="Z4297" s="94">
        <f>IF($A4297="",0,IF(AE4297="직접",IF(AF4297="신계약비",$P4297,0),$P4297*(1-AG4297)*IFERROR(INDEX(계정대체기준!$C$20:$C$49,MATCH($N4297,계정대체기준!$A$20:$A$49,0)),0)))</f>
        <v/>
      </c>
      <c r="AA4297" s="94">
        <f>IF($A4297="",0,IF(AE4297="직접",IF(OR(AF4297="유지비",AF4297="손해조사비"),$P4297,0),$P4297*(1-AG4297)*IFERROR(INDEX(계정대체기준!$D$20:$D$49,MATCH($N4297,계정대체기준!$A$20:$A$49,0)),0)))</f>
        <v/>
      </c>
      <c r="AB4297" s="94">
        <f>IF($A4297="",0,IF(AE4297="직접",IF(AF4297="수금비",$P4297,0),$P4297*(1-AG4297)*IFERROR(INDEX(계정대체기준!$E$20:$E$49,MATCH($N4297,계정대체기준!$A$20:$A$49,0)),0)))</f>
        <v/>
      </c>
      <c r="AC4297" s="9">
        <f>IF(AND($A4297&lt;&gt;"",M4297=설정!$C$20,Z4297&gt;0),Z4297+ROW()/1000000000,"")</f>
        <v/>
      </c>
      <c r="AD4297" s="94">
        <f>IF($A4297="",0,$P4297*AG4297)</f>
        <v/>
      </c>
      <c r="AE4297" s="64">
        <f>IF($A4297="","",IFERROR(INDEX(계정매핑!$E$5:$E$504,MATCH($F4297&amp;"",계정매핑!$A$5:$A$504,0))&amp;"","공통비"))</f>
        <v/>
      </c>
      <c r="AF4297" s="64">
        <f>IF($A4297="","",IF(AE4297="직접",IFERROR(INDEX(계정매핑!$F$5:$F$504,MATCH($F4297&amp;"",계정매핑!$A$5:$A$504,0))&amp;"","비귀속"),""))</f>
        <v/>
      </c>
      <c r="AG4297" s="96">
        <f>IF($A4297="",0,IF(AND(AE4297&lt;&gt;"직접",IFERROR(INDEX(계정매핑!$G$5:$G$504,MATCH($F4297&amp;"",계정매핑!$A$5:$A$504,0))&amp;"","")="유지비",COUNTIF(계정대체기준!$A$6:$A$15,$N4297)&gt;0),IFERROR(INDEX(계정대체기준!$E$6:$E$15,MATCH(VALUE($A4297&amp;""),계정대체기준!$D$6:$D$15,0)),0),0))</f>
        <v/>
      </c>
      <c r="AH4297" s="64">
        <f>IF($A4297="","",IF(AD4297=0,"",IF(OR(COUNTIF(계정대체기준!$A$77:$A$86,$N4297)&gt;0,ISNUMBER(MATCH($X4297,계정대체기준!$D$77:$D$86,0)),ISNUMBER(MATCH($F4297,계정대체기준!$D$77:$D$86,0))),"Y","N")))</f>
        <v/>
      </c>
    </row>
    <row r="4298">
      <c r="A4298" s="92" t="n">
        <v>2026</v>
      </c>
      <c r="B4298" s="92" t="n">
        <v>7</v>
      </c>
      <c r="C4298" s="92" t="inlineStr">
        <is>
          <t>5100001576</t>
        </is>
      </c>
      <c r="D4298" s="95" t="n">
        <v>46229</v>
      </c>
      <c r="E4298" s="92" t="inlineStr">
        <is>
          <t>KR</t>
        </is>
      </c>
      <c r="F4298" s="92" t="n">
        <v>62201000</v>
      </c>
      <c r="G4298" s="92" t="n">
        <v>1301</v>
      </c>
      <c r="H4298" s="93" t="n">
        <v>106000</v>
      </c>
      <c r="I4298" s="92" t="inlineStr">
        <is>
          <t>7월 통신요금 - P통신</t>
        </is>
      </c>
      <c r="J4298" s="92" t="inlineStr">
        <is>
          <t>V10014</t>
        </is>
      </c>
      <c r="K4298" s="92" t="inlineStr">
        <is>
          <t>P통신</t>
        </is>
      </c>
      <c r="M4298" s="9">
        <f>IF($A4298="","",VALUE($A4298&amp;"")*12+VALUE($B4298&amp;""))</f>
        <v/>
      </c>
      <c r="N4298" s="64">
        <f>IF($A4298="","",IFERROR(INDEX(부서매핑!$C$5:$C$504,MATCH($G4298&amp;"",부서매핑!$A$5:$A$504,0)),"미매핑"))</f>
        <v/>
      </c>
      <c r="O4298" s="9">
        <f>IF($A4298="","",N4298&amp;"|"&amp;$F4298)</f>
        <v/>
      </c>
      <c r="P4298" s="94">
        <f>IF($A4298="",0,$H4298*설정!$C$23)</f>
        <v/>
      </c>
      <c r="Q4298" s="64">
        <f>IF($A4298="","",IF(O4298&lt;&gt;원인분석!$C$9,"",IF(AND(M4298&gt;=원인분석!$C$10,M4298&lt;=원인분석!$C$11),"당기",IF(AND(M4298&gt;=원인분석!$C$12,M4298&lt;=원인분석!$C$13),"비교",""))))</f>
        <v/>
      </c>
      <c r="R4298" s="9">
        <f>IF(Q4298="","",$K4298&amp;"")</f>
        <v/>
      </c>
      <c r="S4298" s="9">
        <f>IF(Q4298="","",IF(MATCH(R4298,$R$5:$R$100000,0)=ROW()-4,ROW(),""))</f>
        <v/>
      </c>
      <c r="T4298" s="9">
        <f>IF(Q4298="당기",ABS(P4298)+ROW()/1000000000,"")</f>
        <v/>
      </c>
      <c r="U4298" s="9">
        <f>IF(Q4298="비교",ABS(P4298)+ROW()/1000000000,"")</f>
        <v/>
      </c>
      <c r="V4298" s="64">
        <f>IF($A4298="","",IF(COUNTIF(변동분석!$E$7:$E$506,O4298)&gt;0,"Y","N"))</f>
        <v/>
      </c>
      <c r="W4298" s="64">
        <f>IF($A4298="","",IFERROR(INDEX(계정매핑!$D$5:$D$504,MATCH($F4298&amp;"",계정매핑!$A$5:$A$504,0)),"미매핑"))</f>
        <v/>
      </c>
      <c r="X4298" s="9">
        <f>IF($A4298="","",$F4298&amp;"")</f>
        <v/>
      </c>
      <c r="Y4298" s="94">
        <f>IF($A4298="",0,IF(AE4298="직접",IF(AF4298="비귀속",$P4298,0),$P4298*(1-AG4298)*IFERROR(INDEX(계정대체기준!$F$20:$F$49,MATCH($N4298,계정대체기준!$A$20:$A$49,0)),1)))</f>
        <v/>
      </c>
      <c r="Z4298" s="94">
        <f>IF($A4298="",0,IF(AE4298="직접",IF(AF4298="신계약비",$P4298,0),$P4298*(1-AG4298)*IFERROR(INDEX(계정대체기준!$C$20:$C$49,MATCH($N4298,계정대체기준!$A$20:$A$49,0)),0)))</f>
        <v/>
      </c>
      <c r="AA4298" s="94">
        <f>IF($A4298="",0,IF(AE4298="직접",IF(OR(AF4298="유지비",AF4298="손해조사비"),$P4298,0),$P4298*(1-AG4298)*IFERROR(INDEX(계정대체기준!$D$20:$D$49,MATCH($N4298,계정대체기준!$A$20:$A$49,0)),0)))</f>
        <v/>
      </c>
      <c r="AB4298" s="94">
        <f>IF($A4298="",0,IF(AE4298="직접",IF(AF4298="수금비",$P4298,0),$P4298*(1-AG4298)*IFERROR(INDEX(계정대체기준!$E$20:$E$49,MATCH($N4298,계정대체기준!$A$20:$A$49,0)),0)))</f>
        <v/>
      </c>
      <c r="AC4298" s="9">
        <f>IF(AND($A4298&lt;&gt;"",M4298=설정!$C$20,Z4298&gt;0),Z4298+ROW()/1000000000,"")</f>
        <v/>
      </c>
      <c r="AD4298" s="94">
        <f>IF($A4298="",0,$P4298*AG4298)</f>
        <v/>
      </c>
      <c r="AE4298" s="64">
        <f>IF($A4298="","",IFERROR(INDEX(계정매핑!$E$5:$E$504,MATCH($F4298&amp;"",계정매핑!$A$5:$A$504,0))&amp;"","공통비"))</f>
        <v/>
      </c>
      <c r="AF4298" s="64">
        <f>IF($A4298="","",IF(AE4298="직접",IFERROR(INDEX(계정매핑!$F$5:$F$504,MATCH($F4298&amp;"",계정매핑!$A$5:$A$504,0))&amp;"","비귀속"),""))</f>
        <v/>
      </c>
      <c r="AG4298" s="96">
        <f>IF($A4298="",0,IF(AND(AE4298&lt;&gt;"직접",IFERROR(INDEX(계정매핑!$G$5:$G$504,MATCH($F4298&amp;"",계정매핑!$A$5:$A$504,0))&amp;"","")="유지비",COUNTIF(계정대체기준!$A$6:$A$15,$N4298)&gt;0),IFERROR(INDEX(계정대체기준!$E$6:$E$15,MATCH(VALUE($A4298&amp;""),계정대체기준!$D$6:$D$15,0)),0),0))</f>
        <v/>
      </c>
      <c r="AH4298" s="64">
        <f>IF($A4298="","",IF(AD4298=0,"",IF(OR(COUNTIF(계정대체기준!$A$77:$A$86,$N4298)&gt;0,ISNUMBER(MATCH($X4298,계정대체기준!$D$77:$D$86,0)),ISNUMBER(MATCH($F4298,계정대체기준!$D$77:$D$86,0))),"Y","N")))</f>
        <v/>
      </c>
    </row>
    <row r="4299">
      <c r="A4299" s="92" t="n">
        <v>2026</v>
      </c>
      <c r="B4299" s="92" t="n">
        <v>7</v>
      </c>
      <c r="C4299" s="92" t="inlineStr">
        <is>
          <t>5100001577</t>
        </is>
      </c>
      <c r="D4299" s="95" t="n">
        <v>46229</v>
      </c>
      <c r="E4299" s="92" t="inlineStr">
        <is>
          <t>KR</t>
        </is>
      </c>
      <c r="F4299" s="92" t="n">
        <v>62301000</v>
      </c>
      <c r="G4299" s="92" t="n">
        <v>1602</v>
      </c>
      <c r="H4299" s="93" t="n">
        <v>329000</v>
      </c>
      <c r="I4299" s="92" t="inlineStr">
        <is>
          <t>7월 소모품 구입 - R문구</t>
        </is>
      </c>
      <c r="J4299" s="92" t="inlineStr">
        <is>
          <t>V10022</t>
        </is>
      </c>
      <c r="K4299" s="92" t="inlineStr">
        <is>
          <t>R문구</t>
        </is>
      </c>
      <c r="M4299" s="9">
        <f>IF($A4299="","",VALUE($A4299&amp;"")*12+VALUE($B4299&amp;""))</f>
        <v/>
      </c>
      <c r="N4299" s="64">
        <f>IF($A4299="","",IFERROR(INDEX(부서매핑!$C$5:$C$504,MATCH($G4299&amp;"",부서매핑!$A$5:$A$504,0)),"미매핑"))</f>
        <v/>
      </c>
      <c r="O4299" s="9">
        <f>IF($A4299="","",N4299&amp;"|"&amp;$F4299)</f>
        <v/>
      </c>
      <c r="P4299" s="94">
        <f>IF($A4299="",0,$H4299*설정!$C$23)</f>
        <v/>
      </c>
      <c r="Q4299" s="64">
        <f>IF($A4299="","",IF(O4299&lt;&gt;원인분석!$C$9,"",IF(AND(M4299&gt;=원인분석!$C$10,M4299&lt;=원인분석!$C$11),"당기",IF(AND(M4299&gt;=원인분석!$C$12,M4299&lt;=원인분석!$C$13),"비교",""))))</f>
        <v/>
      </c>
      <c r="R4299" s="9">
        <f>IF(Q4299="","",$K4299&amp;"")</f>
        <v/>
      </c>
      <c r="S4299" s="9">
        <f>IF(Q4299="","",IF(MATCH(R4299,$R$5:$R$100000,0)=ROW()-4,ROW(),""))</f>
        <v/>
      </c>
      <c r="T4299" s="9">
        <f>IF(Q4299="당기",ABS(P4299)+ROW()/1000000000,"")</f>
        <v/>
      </c>
      <c r="U4299" s="9">
        <f>IF(Q4299="비교",ABS(P4299)+ROW()/1000000000,"")</f>
        <v/>
      </c>
      <c r="V4299" s="64">
        <f>IF($A4299="","",IF(COUNTIF(변동분석!$E$7:$E$506,O4299)&gt;0,"Y","N"))</f>
        <v/>
      </c>
      <c r="W4299" s="64">
        <f>IF($A4299="","",IFERROR(INDEX(계정매핑!$D$5:$D$504,MATCH($F4299&amp;"",계정매핑!$A$5:$A$504,0)),"미매핑"))</f>
        <v/>
      </c>
      <c r="X4299" s="9">
        <f>IF($A4299="","",$F4299&amp;"")</f>
        <v/>
      </c>
      <c r="Y4299" s="94">
        <f>IF($A4299="",0,IF(AE4299="직접",IF(AF4299="비귀속",$P4299,0),$P4299*(1-AG4299)*IFERROR(INDEX(계정대체기준!$F$20:$F$49,MATCH($N4299,계정대체기준!$A$20:$A$49,0)),1)))</f>
        <v/>
      </c>
      <c r="Z4299" s="94">
        <f>IF($A4299="",0,IF(AE4299="직접",IF(AF4299="신계약비",$P4299,0),$P4299*(1-AG4299)*IFERROR(INDEX(계정대체기준!$C$20:$C$49,MATCH($N4299,계정대체기준!$A$20:$A$49,0)),0)))</f>
        <v/>
      </c>
      <c r="AA4299" s="94">
        <f>IF($A4299="",0,IF(AE4299="직접",IF(OR(AF4299="유지비",AF4299="손해조사비"),$P4299,0),$P4299*(1-AG4299)*IFERROR(INDEX(계정대체기준!$D$20:$D$49,MATCH($N4299,계정대체기준!$A$20:$A$49,0)),0)))</f>
        <v/>
      </c>
      <c r="AB4299" s="94">
        <f>IF($A4299="",0,IF(AE4299="직접",IF(AF4299="수금비",$P4299,0),$P4299*(1-AG4299)*IFERROR(INDEX(계정대체기준!$E$20:$E$49,MATCH($N4299,계정대체기준!$A$20:$A$49,0)),0)))</f>
        <v/>
      </c>
      <c r="AC4299" s="9">
        <f>IF(AND($A4299&lt;&gt;"",M4299=설정!$C$20,Z4299&gt;0),Z4299+ROW()/1000000000,"")</f>
        <v/>
      </c>
      <c r="AD4299" s="94">
        <f>IF($A4299="",0,$P4299*AG4299)</f>
        <v/>
      </c>
      <c r="AE4299" s="64">
        <f>IF($A4299="","",IFERROR(INDEX(계정매핑!$E$5:$E$504,MATCH($F4299&amp;"",계정매핑!$A$5:$A$504,0))&amp;"","공통비"))</f>
        <v/>
      </c>
      <c r="AF4299" s="64">
        <f>IF($A4299="","",IF(AE4299="직접",IFERROR(INDEX(계정매핑!$F$5:$F$504,MATCH($F4299&amp;"",계정매핑!$A$5:$A$504,0))&amp;"","비귀속"),""))</f>
        <v/>
      </c>
      <c r="AG4299" s="96">
        <f>IF($A4299="",0,IF(AND(AE4299&lt;&gt;"직접",IFERROR(INDEX(계정매핑!$G$5:$G$504,MATCH($F4299&amp;"",계정매핑!$A$5:$A$504,0))&amp;"","")="유지비",COUNTIF(계정대체기준!$A$6:$A$15,$N4299)&gt;0),IFERROR(INDEX(계정대체기준!$E$6:$E$15,MATCH(VALUE($A4299&amp;""),계정대체기준!$D$6:$D$15,0)),0),0))</f>
        <v/>
      </c>
      <c r="AH4299" s="64">
        <f>IF($A4299="","",IF(AD4299=0,"",IF(OR(COUNTIF(계정대체기준!$A$77:$A$86,$N4299)&gt;0,ISNUMBER(MATCH($X4299,계정대체기준!$D$77:$D$86,0)),ISNUMBER(MATCH($F4299,계정대체기준!$D$77:$D$86,0))),"Y","N")))</f>
        <v/>
      </c>
    </row>
    <row r="4300">
      <c r="A4300" s="92" t="n">
        <v>2026</v>
      </c>
      <c r="B4300" s="92" t="n">
        <v>7</v>
      </c>
      <c r="C4300" s="92" t="inlineStr">
        <is>
          <t>5100001578</t>
        </is>
      </c>
      <c r="D4300" s="95" t="n">
        <v>46229</v>
      </c>
      <c r="E4300" s="92" t="inlineStr">
        <is>
          <t>KR</t>
        </is>
      </c>
      <c r="F4300" s="92" t="n">
        <v>62401000</v>
      </c>
      <c r="G4300" s="92" t="n">
        <v>1801</v>
      </c>
      <c r="H4300" s="93" t="n">
        <v>1801000</v>
      </c>
      <c r="I4300" s="92" t="inlineStr">
        <is>
          <t>7월 인쇄물 제작 - S출판</t>
        </is>
      </c>
      <c r="J4300" s="92" t="inlineStr">
        <is>
          <t>V10015</t>
        </is>
      </c>
      <c r="K4300" s="92" t="inlineStr">
        <is>
          <t>S출판</t>
        </is>
      </c>
      <c r="M4300" s="9">
        <f>IF($A4300="","",VALUE($A4300&amp;"")*12+VALUE($B4300&amp;""))</f>
        <v/>
      </c>
      <c r="N4300" s="64">
        <f>IF($A4300="","",IFERROR(INDEX(부서매핑!$C$5:$C$504,MATCH($G4300&amp;"",부서매핑!$A$5:$A$504,0)),"미매핑"))</f>
        <v/>
      </c>
      <c r="O4300" s="9">
        <f>IF($A4300="","",N4300&amp;"|"&amp;$F4300)</f>
        <v/>
      </c>
      <c r="P4300" s="94">
        <f>IF($A4300="",0,$H4300*설정!$C$23)</f>
        <v/>
      </c>
      <c r="Q4300" s="64">
        <f>IF($A4300="","",IF(O4300&lt;&gt;원인분석!$C$9,"",IF(AND(M4300&gt;=원인분석!$C$10,M4300&lt;=원인분석!$C$11),"당기",IF(AND(M4300&gt;=원인분석!$C$12,M4300&lt;=원인분석!$C$13),"비교",""))))</f>
        <v/>
      </c>
      <c r="R4300" s="9">
        <f>IF(Q4300="","",$K4300&amp;"")</f>
        <v/>
      </c>
      <c r="S4300" s="9">
        <f>IF(Q4300="","",IF(MATCH(R4300,$R$5:$R$100000,0)=ROW()-4,ROW(),""))</f>
        <v/>
      </c>
      <c r="T4300" s="9">
        <f>IF(Q4300="당기",ABS(P4300)+ROW()/1000000000,"")</f>
        <v/>
      </c>
      <c r="U4300" s="9">
        <f>IF(Q4300="비교",ABS(P4300)+ROW()/1000000000,"")</f>
        <v/>
      </c>
      <c r="V4300" s="64">
        <f>IF($A4300="","",IF(COUNTIF(변동분석!$E$7:$E$506,O4300)&gt;0,"Y","N"))</f>
        <v/>
      </c>
      <c r="W4300" s="64">
        <f>IF($A4300="","",IFERROR(INDEX(계정매핑!$D$5:$D$504,MATCH($F4300&amp;"",계정매핑!$A$5:$A$504,0)),"미매핑"))</f>
        <v/>
      </c>
      <c r="X4300" s="9">
        <f>IF($A4300="","",$F4300&amp;"")</f>
        <v/>
      </c>
      <c r="Y4300" s="94">
        <f>IF($A4300="",0,IF(AE4300="직접",IF(AF4300="비귀속",$P4300,0),$P4300*(1-AG4300)*IFERROR(INDEX(계정대체기준!$F$20:$F$49,MATCH($N4300,계정대체기준!$A$20:$A$49,0)),1)))</f>
        <v/>
      </c>
      <c r="Z4300" s="94">
        <f>IF($A4300="",0,IF(AE4300="직접",IF(AF4300="신계약비",$P4300,0),$P4300*(1-AG4300)*IFERROR(INDEX(계정대체기준!$C$20:$C$49,MATCH($N4300,계정대체기준!$A$20:$A$49,0)),0)))</f>
        <v/>
      </c>
      <c r="AA4300" s="94">
        <f>IF($A4300="",0,IF(AE4300="직접",IF(OR(AF4300="유지비",AF4300="손해조사비"),$P4300,0),$P4300*(1-AG4300)*IFERROR(INDEX(계정대체기준!$D$20:$D$49,MATCH($N4300,계정대체기준!$A$20:$A$49,0)),0)))</f>
        <v/>
      </c>
      <c r="AB4300" s="94">
        <f>IF($A4300="",0,IF(AE4300="직접",IF(AF4300="수금비",$P4300,0),$P4300*(1-AG4300)*IFERROR(INDEX(계정대체기준!$E$20:$E$49,MATCH($N4300,계정대체기준!$A$20:$A$49,0)),0)))</f>
        <v/>
      </c>
      <c r="AC4300" s="9">
        <f>IF(AND($A4300&lt;&gt;"",M4300=설정!$C$20,Z4300&gt;0),Z4300+ROW()/1000000000,"")</f>
        <v/>
      </c>
      <c r="AD4300" s="94">
        <f>IF($A4300="",0,$P4300*AG4300)</f>
        <v/>
      </c>
      <c r="AE4300" s="64">
        <f>IF($A4300="","",IFERROR(INDEX(계정매핑!$E$5:$E$504,MATCH($F4300&amp;"",계정매핑!$A$5:$A$504,0))&amp;"","공통비"))</f>
        <v/>
      </c>
      <c r="AF4300" s="64">
        <f>IF($A4300="","",IF(AE4300="직접",IFERROR(INDEX(계정매핑!$F$5:$F$504,MATCH($F4300&amp;"",계정매핑!$A$5:$A$504,0))&amp;"","비귀속"),""))</f>
        <v/>
      </c>
      <c r="AG4300" s="96">
        <f>IF($A4300="",0,IF(AND(AE4300&lt;&gt;"직접",IFERROR(INDEX(계정매핑!$G$5:$G$504,MATCH($F4300&amp;"",계정매핑!$A$5:$A$504,0))&amp;"","")="유지비",COUNTIF(계정대체기준!$A$6:$A$15,$N4300)&gt;0),IFERROR(INDEX(계정대체기준!$E$6:$E$15,MATCH(VALUE($A4300&amp;""),계정대체기준!$D$6:$D$15,0)),0),0))</f>
        <v/>
      </c>
      <c r="AH4300" s="64">
        <f>IF($A4300="","",IF(AD4300=0,"",IF(OR(COUNTIF(계정대체기준!$A$77:$A$86,$N4300)&gt;0,ISNUMBER(MATCH($X4300,계정대체기준!$D$77:$D$86,0)),ISNUMBER(MATCH($F4300,계정대체기준!$D$77:$D$86,0))),"Y","N")))</f>
        <v/>
      </c>
    </row>
    <row r="4301">
      <c r="A4301" s="92" t="n">
        <v>2026</v>
      </c>
      <c r="B4301" s="92" t="n">
        <v>7</v>
      </c>
      <c r="C4301" s="92" t="inlineStr">
        <is>
          <t>5100001579</t>
        </is>
      </c>
      <c r="D4301" s="95" t="n">
        <v>46229</v>
      </c>
      <c r="E4301" s="92" t="inlineStr">
        <is>
          <t>KR</t>
        </is>
      </c>
      <c r="F4301" s="92" t="n">
        <v>62701000</v>
      </c>
      <c r="G4301" s="92" t="n">
        <v>1502</v>
      </c>
      <c r="H4301" s="93" t="n">
        <v>56434000</v>
      </c>
      <c r="I4301" s="92" t="inlineStr">
        <is>
          <t>7월 광고 집행 - F애드</t>
        </is>
      </c>
      <c r="J4301" s="92" t="inlineStr">
        <is>
          <t>V10023</t>
        </is>
      </c>
      <c r="K4301" s="92" t="inlineStr">
        <is>
          <t>F애드</t>
        </is>
      </c>
      <c r="M4301" s="9">
        <f>IF($A4301="","",VALUE($A4301&amp;"")*12+VALUE($B4301&amp;""))</f>
        <v/>
      </c>
      <c r="N4301" s="64">
        <f>IF($A4301="","",IFERROR(INDEX(부서매핑!$C$5:$C$504,MATCH($G4301&amp;"",부서매핑!$A$5:$A$504,0)),"미매핑"))</f>
        <v/>
      </c>
      <c r="O4301" s="9">
        <f>IF($A4301="","",N4301&amp;"|"&amp;$F4301)</f>
        <v/>
      </c>
      <c r="P4301" s="94">
        <f>IF($A4301="",0,$H4301*설정!$C$23)</f>
        <v/>
      </c>
      <c r="Q4301" s="64">
        <f>IF($A4301="","",IF(O4301&lt;&gt;원인분석!$C$9,"",IF(AND(M4301&gt;=원인분석!$C$10,M4301&lt;=원인분석!$C$11),"당기",IF(AND(M4301&gt;=원인분석!$C$12,M4301&lt;=원인분석!$C$13),"비교",""))))</f>
        <v/>
      </c>
      <c r="R4301" s="9">
        <f>IF(Q4301="","",$K4301&amp;"")</f>
        <v/>
      </c>
      <c r="S4301" s="9">
        <f>IF(Q4301="","",IF(MATCH(R4301,$R$5:$R$100000,0)=ROW()-4,ROW(),""))</f>
        <v/>
      </c>
      <c r="T4301" s="9">
        <f>IF(Q4301="당기",ABS(P4301)+ROW()/1000000000,"")</f>
        <v/>
      </c>
      <c r="U4301" s="9">
        <f>IF(Q4301="비교",ABS(P4301)+ROW()/1000000000,"")</f>
        <v/>
      </c>
      <c r="V4301" s="64">
        <f>IF($A4301="","",IF(COUNTIF(변동분석!$E$7:$E$506,O4301)&gt;0,"Y","N"))</f>
        <v/>
      </c>
      <c r="W4301" s="64">
        <f>IF($A4301="","",IFERROR(INDEX(계정매핑!$D$5:$D$504,MATCH($F4301&amp;"",계정매핑!$A$5:$A$504,0)),"미매핑"))</f>
        <v/>
      </c>
      <c r="X4301" s="9">
        <f>IF($A4301="","",$F4301&amp;"")</f>
        <v/>
      </c>
      <c r="Y4301" s="94">
        <f>IF($A4301="",0,IF(AE4301="직접",IF(AF4301="비귀속",$P4301,0),$P4301*(1-AG4301)*IFERROR(INDEX(계정대체기준!$F$20:$F$49,MATCH($N4301,계정대체기준!$A$20:$A$49,0)),1)))</f>
        <v/>
      </c>
      <c r="Z4301" s="94">
        <f>IF($A4301="",0,IF(AE4301="직접",IF(AF4301="신계약비",$P4301,0),$P4301*(1-AG4301)*IFERROR(INDEX(계정대체기준!$C$20:$C$49,MATCH($N4301,계정대체기준!$A$20:$A$49,0)),0)))</f>
        <v/>
      </c>
      <c r="AA4301" s="94">
        <f>IF($A4301="",0,IF(AE4301="직접",IF(OR(AF4301="유지비",AF4301="손해조사비"),$P4301,0),$P4301*(1-AG4301)*IFERROR(INDEX(계정대체기준!$D$20:$D$49,MATCH($N4301,계정대체기준!$A$20:$A$49,0)),0)))</f>
        <v/>
      </c>
      <c r="AB4301" s="94">
        <f>IF($A4301="",0,IF(AE4301="직접",IF(AF4301="수금비",$P4301,0),$P4301*(1-AG4301)*IFERROR(INDEX(계정대체기준!$E$20:$E$49,MATCH($N4301,계정대체기준!$A$20:$A$49,0)),0)))</f>
        <v/>
      </c>
      <c r="AC4301" s="9">
        <f>IF(AND($A4301&lt;&gt;"",M4301=설정!$C$20,Z4301&gt;0),Z4301+ROW()/1000000000,"")</f>
        <v/>
      </c>
      <c r="AD4301" s="94">
        <f>IF($A4301="",0,$P4301*AG4301)</f>
        <v/>
      </c>
      <c r="AE4301" s="64">
        <f>IF($A4301="","",IFERROR(INDEX(계정매핑!$E$5:$E$504,MATCH($F4301&amp;"",계정매핑!$A$5:$A$504,0))&amp;"","공통비"))</f>
        <v/>
      </c>
      <c r="AF4301" s="64">
        <f>IF($A4301="","",IF(AE4301="직접",IFERROR(INDEX(계정매핑!$F$5:$F$504,MATCH($F4301&amp;"",계정매핑!$A$5:$A$504,0))&amp;"","비귀속"),""))</f>
        <v/>
      </c>
      <c r="AG4301" s="96">
        <f>IF($A4301="",0,IF(AND(AE4301&lt;&gt;"직접",IFERROR(INDEX(계정매핑!$G$5:$G$504,MATCH($F4301&amp;"",계정매핑!$A$5:$A$504,0))&amp;"","")="유지비",COUNTIF(계정대체기준!$A$6:$A$15,$N4301)&gt;0),IFERROR(INDEX(계정대체기준!$E$6:$E$15,MATCH(VALUE($A4301&amp;""),계정대체기준!$D$6:$D$15,0)),0),0))</f>
        <v/>
      </c>
      <c r="AH4301" s="64">
        <f>IF($A4301="","",IF(AD4301=0,"",IF(OR(COUNTIF(계정대체기준!$A$77:$A$86,$N4301)&gt;0,ISNUMBER(MATCH($X4301,계정대체기준!$D$77:$D$86,0)),ISNUMBER(MATCH($F4301,계정대체기준!$D$77:$D$86,0))),"Y","N")))</f>
        <v/>
      </c>
    </row>
    <row r="4302">
      <c r="A4302" s="92" t="n">
        <v>2026</v>
      </c>
      <c r="B4302" s="92" t="n">
        <v>7</v>
      </c>
      <c r="C4302" s="92" t="inlineStr">
        <is>
          <t>5100001580</t>
        </is>
      </c>
      <c r="D4302" s="95" t="n">
        <v>46229</v>
      </c>
      <c r="E4302" s="92" t="inlineStr">
        <is>
          <t>KR</t>
        </is>
      </c>
      <c r="F4302" s="92" t="n">
        <v>62901000</v>
      </c>
      <c r="G4302" s="92" t="n">
        <v>1101</v>
      </c>
      <c r="H4302" s="93" t="n">
        <v>4431000</v>
      </c>
      <c r="I4302" s="92" t="inlineStr">
        <is>
          <t>7월 자문 수수료 - W컨설팅</t>
        </is>
      </c>
      <c r="J4302" s="92" t="inlineStr">
        <is>
          <t>V10006</t>
        </is>
      </c>
      <c r="K4302" s="92" t="inlineStr">
        <is>
          <t>W컨설팅</t>
        </is>
      </c>
      <c r="M4302" s="9">
        <f>IF($A4302="","",VALUE($A4302&amp;"")*12+VALUE($B4302&amp;""))</f>
        <v/>
      </c>
      <c r="N4302" s="64">
        <f>IF($A4302="","",IFERROR(INDEX(부서매핑!$C$5:$C$504,MATCH($G4302&amp;"",부서매핑!$A$5:$A$504,0)),"미매핑"))</f>
        <v/>
      </c>
      <c r="O4302" s="9">
        <f>IF($A4302="","",N4302&amp;"|"&amp;$F4302)</f>
        <v/>
      </c>
      <c r="P4302" s="94">
        <f>IF($A4302="",0,$H4302*설정!$C$23)</f>
        <v/>
      </c>
      <c r="Q4302" s="64">
        <f>IF($A4302="","",IF(O4302&lt;&gt;원인분석!$C$9,"",IF(AND(M4302&gt;=원인분석!$C$10,M4302&lt;=원인분석!$C$11),"당기",IF(AND(M4302&gt;=원인분석!$C$12,M4302&lt;=원인분석!$C$13),"비교",""))))</f>
        <v/>
      </c>
      <c r="R4302" s="9">
        <f>IF(Q4302="","",$K4302&amp;"")</f>
        <v/>
      </c>
      <c r="S4302" s="9">
        <f>IF(Q4302="","",IF(MATCH(R4302,$R$5:$R$100000,0)=ROW()-4,ROW(),""))</f>
        <v/>
      </c>
      <c r="T4302" s="9">
        <f>IF(Q4302="당기",ABS(P4302)+ROW()/1000000000,"")</f>
        <v/>
      </c>
      <c r="U4302" s="9">
        <f>IF(Q4302="비교",ABS(P4302)+ROW()/1000000000,"")</f>
        <v/>
      </c>
      <c r="V4302" s="64">
        <f>IF($A4302="","",IF(COUNTIF(변동분석!$E$7:$E$506,O4302)&gt;0,"Y","N"))</f>
        <v/>
      </c>
      <c r="W4302" s="64">
        <f>IF($A4302="","",IFERROR(INDEX(계정매핑!$D$5:$D$504,MATCH($F4302&amp;"",계정매핑!$A$5:$A$504,0)),"미매핑"))</f>
        <v/>
      </c>
      <c r="X4302" s="9">
        <f>IF($A4302="","",$F4302&amp;"")</f>
        <v/>
      </c>
      <c r="Y4302" s="94">
        <f>IF($A4302="",0,IF(AE4302="직접",IF(AF4302="비귀속",$P4302,0),$P4302*(1-AG4302)*IFERROR(INDEX(계정대체기준!$F$20:$F$49,MATCH($N4302,계정대체기준!$A$20:$A$49,0)),1)))</f>
        <v/>
      </c>
      <c r="Z4302" s="94">
        <f>IF($A4302="",0,IF(AE4302="직접",IF(AF4302="신계약비",$P4302,0),$P4302*(1-AG4302)*IFERROR(INDEX(계정대체기준!$C$20:$C$49,MATCH($N4302,계정대체기준!$A$20:$A$49,0)),0)))</f>
        <v/>
      </c>
      <c r="AA4302" s="94">
        <f>IF($A4302="",0,IF(AE4302="직접",IF(OR(AF4302="유지비",AF4302="손해조사비"),$P4302,0),$P4302*(1-AG4302)*IFERROR(INDEX(계정대체기준!$D$20:$D$49,MATCH($N4302,계정대체기준!$A$20:$A$49,0)),0)))</f>
        <v/>
      </c>
      <c r="AB4302" s="94">
        <f>IF($A4302="",0,IF(AE4302="직접",IF(AF4302="수금비",$P4302,0),$P4302*(1-AG4302)*IFERROR(INDEX(계정대체기준!$E$20:$E$49,MATCH($N4302,계정대체기준!$A$20:$A$49,0)),0)))</f>
        <v/>
      </c>
      <c r="AC4302" s="9">
        <f>IF(AND($A4302&lt;&gt;"",M4302=설정!$C$20,Z4302&gt;0),Z4302+ROW()/1000000000,"")</f>
        <v/>
      </c>
      <c r="AD4302" s="94">
        <f>IF($A4302="",0,$P4302*AG4302)</f>
        <v/>
      </c>
      <c r="AE4302" s="64">
        <f>IF($A4302="","",IFERROR(INDEX(계정매핑!$E$5:$E$504,MATCH($F4302&amp;"",계정매핑!$A$5:$A$504,0))&amp;"","공통비"))</f>
        <v/>
      </c>
      <c r="AF4302" s="64">
        <f>IF($A4302="","",IF(AE4302="직접",IFERROR(INDEX(계정매핑!$F$5:$F$504,MATCH($F4302&amp;"",계정매핑!$A$5:$A$504,0))&amp;"","비귀속"),""))</f>
        <v/>
      </c>
      <c r="AG4302" s="96">
        <f>IF($A4302="",0,IF(AND(AE4302&lt;&gt;"직접",IFERROR(INDEX(계정매핑!$G$5:$G$504,MATCH($F4302&amp;"",계정매핑!$A$5:$A$504,0))&amp;"","")="유지비",COUNTIF(계정대체기준!$A$6:$A$15,$N4302)&gt;0),IFERROR(INDEX(계정대체기준!$E$6:$E$15,MATCH(VALUE($A4302&amp;""),계정대체기준!$D$6:$D$15,0)),0),0))</f>
        <v/>
      </c>
      <c r="AH4302" s="64">
        <f>IF($A4302="","",IF(AD4302=0,"",IF(OR(COUNTIF(계정대체기준!$A$77:$A$86,$N4302)&gt;0,ISNUMBER(MATCH($X4302,계정대체기준!$D$77:$D$86,0)),ISNUMBER(MATCH($F4302,계정대체기준!$D$77:$D$86,0))),"Y","N")))</f>
        <v/>
      </c>
    </row>
    <row r="4303">
      <c r="A4303" s="92" t="n">
        <v>2026</v>
      </c>
      <c r="B4303" s="92" t="n">
        <v>7</v>
      </c>
      <c r="C4303" s="92" t="inlineStr">
        <is>
          <t>5100001581</t>
        </is>
      </c>
      <c r="D4303" s="95" t="n">
        <v>46229</v>
      </c>
      <c r="E4303" s="92" t="inlineStr">
        <is>
          <t>KR</t>
        </is>
      </c>
      <c r="F4303" s="92" t="n">
        <v>62902000</v>
      </c>
      <c r="G4303" s="92" t="n">
        <v>1401</v>
      </c>
      <c r="H4303" s="93" t="n">
        <v>1307000</v>
      </c>
      <c r="I4303" s="92" t="inlineStr">
        <is>
          <t>7월 업무 위탁 수수료 - J콜센터</t>
        </is>
      </c>
      <c r="J4303" s="92" t="inlineStr">
        <is>
          <t>V10016</t>
        </is>
      </c>
      <c r="K4303" s="92" t="inlineStr">
        <is>
          <t>J콜센터</t>
        </is>
      </c>
      <c r="M4303" s="9">
        <f>IF($A4303="","",VALUE($A4303&amp;"")*12+VALUE($B4303&amp;""))</f>
        <v/>
      </c>
      <c r="N4303" s="64">
        <f>IF($A4303="","",IFERROR(INDEX(부서매핑!$C$5:$C$504,MATCH($G4303&amp;"",부서매핑!$A$5:$A$504,0)),"미매핑"))</f>
        <v/>
      </c>
      <c r="O4303" s="9">
        <f>IF($A4303="","",N4303&amp;"|"&amp;$F4303)</f>
        <v/>
      </c>
      <c r="P4303" s="94">
        <f>IF($A4303="",0,$H4303*설정!$C$23)</f>
        <v/>
      </c>
      <c r="Q4303" s="64">
        <f>IF($A4303="","",IF(O4303&lt;&gt;원인분석!$C$9,"",IF(AND(M4303&gt;=원인분석!$C$10,M4303&lt;=원인분석!$C$11),"당기",IF(AND(M4303&gt;=원인분석!$C$12,M4303&lt;=원인분석!$C$13),"비교",""))))</f>
        <v/>
      </c>
      <c r="R4303" s="9">
        <f>IF(Q4303="","",$K4303&amp;"")</f>
        <v/>
      </c>
      <c r="S4303" s="9">
        <f>IF(Q4303="","",IF(MATCH(R4303,$R$5:$R$100000,0)=ROW()-4,ROW(),""))</f>
        <v/>
      </c>
      <c r="T4303" s="9">
        <f>IF(Q4303="당기",ABS(P4303)+ROW()/1000000000,"")</f>
        <v/>
      </c>
      <c r="U4303" s="9">
        <f>IF(Q4303="비교",ABS(P4303)+ROW()/1000000000,"")</f>
        <v/>
      </c>
      <c r="V4303" s="64">
        <f>IF($A4303="","",IF(COUNTIF(변동분석!$E$7:$E$506,O4303)&gt;0,"Y","N"))</f>
        <v/>
      </c>
      <c r="W4303" s="64">
        <f>IF($A4303="","",IFERROR(INDEX(계정매핑!$D$5:$D$504,MATCH($F4303&amp;"",계정매핑!$A$5:$A$504,0)),"미매핑"))</f>
        <v/>
      </c>
      <c r="X4303" s="9">
        <f>IF($A4303="","",$F4303&amp;"")</f>
        <v/>
      </c>
      <c r="Y4303" s="94">
        <f>IF($A4303="",0,IF(AE4303="직접",IF(AF4303="비귀속",$P4303,0),$P4303*(1-AG4303)*IFERROR(INDEX(계정대체기준!$F$20:$F$49,MATCH($N4303,계정대체기준!$A$20:$A$49,0)),1)))</f>
        <v/>
      </c>
      <c r="Z4303" s="94">
        <f>IF($A4303="",0,IF(AE4303="직접",IF(AF4303="신계약비",$P4303,0),$P4303*(1-AG4303)*IFERROR(INDEX(계정대체기준!$C$20:$C$49,MATCH($N4303,계정대체기준!$A$20:$A$49,0)),0)))</f>
        <v/>
      </c>
      <c r="AA4303" s="94">
        <f>IF($A4303="",0,IF(AE4303="직접",IF(OR(AF4303="유지비",AF4303="손해조사비"),$P4303,0),$P4303*(1-AG4303)*IFERROR(INDEX(계정대체기준!$D$20:$D$49,MATCH($N4303,계정대체기준!$A$20:$A$49,0)),0)))</f>
        <v/>
      </c>
      <c r="AB4303" s="94">
        <f>IF($A4303="",0,IF(AE4303="직접",IF(AF4303="수금비",$P4303,0),$P4303*(1-AG4303)*IFERROR(INDEX(계정대체기준!$E$20:$E$49,MATCH($N4303,계정대체기준!$A$20:$A$49,0)),0)))</f>
        <v/>
      </c>
      <c r="AC4303" s="9">
        <f>IF(AND($A4303&lt;&gt;"",M4303=설정!$C$20,Z4303&gt;0),Z4303+ROW()/1000000000,"")</f>
        <v/>
      </c>
      <c r="AD4303" s="94">
        <f>IF($A4303="",0,$P4303*AG4303)</f>
        <v/>
      </c>
      <c r="AE4303" s="64">
        <f>IF($A4303="","",IFERROR(INDEX(계정매핑!$E$5:$E$504,MATCH($F4303&amp;"",계정매핑!$A$5:$A$504,0))&amp;"","공통비"))</f>
        <v/>
      </c>
      <c r="AF4303" s="64">
        <f>IF($A4303="","",IF(AE4303="직접",IFERROR(INDEX(계정매핑!$F$5:$F$504,MATCH($F4303&amp;"",계정매핑!$A$5:$A$504,0))&amp;"","비귀속"),""))</f>
        <v/>
      </c>
      <c r="AG4303" s="96">
        <f>IF($A4303="",0,IF(AND(AE4303&lt;&gt;"직접",IFERROR(INDEX(계정매핑!$G$5:$G$504,MATCH($F4303&amp;"",계정매핑!$A$5:$A$504,0))&amp;"","")="유지비",COUNTIF(계정대체기준!$A$6:$A$15,$N4303)&gt;0),IFERROR(INDEX(계정대체기준!$E$6:$E$15,MATCH(VALUE($A4303&amp;""),계정대체기준!$D$6:$D$15,0)),0),0))</f>
        <v/>
      </c>
      <c r="AH4303" s="64">
        <f>IF($A4303="","",IF(AD4303=0,"",IF(OR(COUNTIF(계정대체기준!$A$77:$A$86,$N4303)&gt;0,ISNUMBER(MATCH($X4303,계정대체기준!$D$77:$D$86,0)),ISNUMBER(MATCH($F4303,계정대체기준!$D$77:$D$86,0))),"Y","N")))</f>
        <v/>
      </c>
    </row>
    <row r="4304">
      <c r="A4304" s="92" t="n">
        <v>2026</v>
      </c>
      <c r="B4304" s="92" t="n">
        <v>7</v>
      </c>
      <c r="C4304" s="92" t="inlineStr">
        <is>
          <t>5100001582</t>
        </is>
      </c>
      <c r="D4304" s="95" t="n">
        <v>46229</v>
      </c>
      <c r="E4304" s="92" t="inlineStr">
        <is>
          <t>KR</t>
        </is>
      </c>
      <c r="F4304" s="92" t="n">
        <v>62902000</v>
      </c>
      <c r="G4304" s="92" t="n">
        <v>1801</v>
      </c>
      <c r="H4304" s="93" t="n">
        <v>1840000</v>
      </c>
      <c r="I4304" s="92" t="inlineStr">
        <is>
          <t>7월 콜 위탁 수수료(건별)</t>
        </is>
      </c>
      <c r="J4304" s="92" t="inlineStr">
        <is>
          <t>V10016</t>
        </is>
      </c>
      <c r="K4304" s="92" t="inlineStr">
        <is>
          <t>J콜센터</t>
        </is>
      </c>
      <c r="M4304" s="9">
        <f>IF($A4304="","",VALUE($A4304&amp;"")*12+VALUE($B4304&amp;""))</f>
        <v/>
      </c>
      <c r="N4304" s="64">
        <f>IF($A4304="","",IFERROR(INDEX(부서매핑!$C$5:$C$504,MATCH($G4304&amp;"",부서매핑!$A$5:$A$504,0)),"미매핑"))</f>
        <v/>
      </c>
      <c r="O4304" s="9">
        <f>IF($A4304="","",N4304&amp;"|"&amp;$F4304)</f>
        <v/>
      </c>
      <c r="P4304" s="94">
        <f>IF($A4304="",0,$H4304*설정!$C$23)</f>
        <v/>
      </c>
      <c r="Q4304" s="64">
        <f>IF($A4304="","",IF(O4304&lt;&gt;원인분석!$C$9,"",IF(AND(M4304&gt;=원인분석!$C$10,M4304&lt;=원인분석!$C$11),"당기",IF(AND(M4304&gt;=원인분석!$C$12,M4304&lt;=원인분석!$C$13),"비교",""))))</f>
        <v/>
      </c>
      <c r="R4304" s="9">
        <f>IF(Q4304="","",$K4304&amp;"")</f>
        <v/>
      </c>
      <c r="S4304" s="9">
        <f>IF(Q4304="","",IF(MATCH(R4304,$R$5:$R$100000,0)=ROW()-4,ROW(),""))</f>
        <v/>
      </c>
      <c r="T4304" s="9">
        <f>IF(Q4304="당기",ABS(P4304)+ROW()/1000000000,"")</f>
        <v/>
      </c>
      <c r="U4304" s="9">
        <f>IF(Q4304="비교",ABS(P4304)+ROW()/1000000000,"")</f>
        <v/>
      </c>
      <c r="V4304" s="64">
        <f>IF($A4304="","",IF(COUNTIF(변동분석!$E$7:$E$506,O4304)&gt;0,"Y","N"))</f>
        <v/>
      </c>
      <c r="W4304" s="64">
        <f>IF($A4304="","",IFERROR(INDEX(계정매핑!$D$5:$D$504,MATCH($F4304&amp;"",계정매핑!$A$5:$A$504,0)),"미매핑"))</f>
        <v/>
      </c>
      <c r="X4304" s="9">
        <f>IF($A4304="","",$F4304&amp;"")</f>
        <v/>
      </c>
      <c r="Y4304" s="94">
        <f>IF($A4304="",0,IF(AE4304="직접",IF(AF4304="비귀속",$P4304,0),$P4304*(1-AG4304)*IFERROR(INDEX(계정대체기준!$F$20:$F$49,MATCH($N4304,계정대체기준!$A$20:$A$49,0)),1)))</f>
        <v/>
      </c>
      <c r="Z4304" s="94">
        <f>IF($A4304="",0,IF(AE4304="직접",IF(AF4304="신계약비",$P4304,0),$P4304*(1-AG4304)*IFERROR(INDEX(계정대체기준!$C$20:$C$49,MATCH($N4304,계정대체기준!$A$20:$A$49,0)),0)))</f>
        <v/>
      </c>
      <c r="AA4304" s="94">
        <f>IF($A4304="",0,IF(AE4304="직접",IF(OR(AF4304="유지비",AF4304="손해조사비"),$P4304,0),$P4304*(1-AG4304)*IFERROR(INDEX(계정대체기준!$D$20:$D$49,MATCH($N4304,계정대체기준!$A$20:$A$49,0)),0)))</f>
        <v/>
      </c>
      <c r="AB4304" s="94">
        <f>IF($A4304="",0,IF(AE4304="직접",IF(AF4304="수금비",$P4304,0),$P4304*(1-AG4304)*IFERROR(INDEX(계정대체기준!$E$20:$E$49,MATCH($N4304,계정대체기준!$A$20:$A$49,0)),0)))</f>
        <v/>
      </c>
      <c r="AC4304" s="9">
        <f>IF(AND($A4304&lt;&gt;"",M4304=설정!$C$20,Z4304&gt;0),Z4304+ROW()/1000000000,"")</f>
        <v/>
      </c>
      <c r="AD4304" s="94">
        <f>IF($A4304="",0,$P4304*AG4304)</f>
        <v/>
      </c>
      <c r="AE4304" s="64">
        <f>IF($A4304="","",IFERROR(INDEX(계정매핑!$E$5:$E$504,MATCH($F4304&amp;"",계정매핑!$A$5:$A$504,0))&amp;"","공통비"))</f>
        <v/>
      </c>
      <c r="AF4304" s="64">
        <f>IF($A4304="","",IF(AE4304="직접",IFERROR(INDEX(계정매핑!$F$5:$F$504,MATCH($F4304&amp;"",계정매핑!$A$5:$A$504,0))&amp;"","비귀속"),""))</f>
        <v/>
      </c>
      <c r="AG4304" s="96">
        <f>IF($A4304="",0,IF(AND(AE4304&lt;&gt;"직접",IFERROR(INDEX(계정매핑!$G$5:$G$504,MATCH($F4304&amp;"",계정매핑!$A$5:$A$504,0))&amp;"","")="유지비",COUNTIF(계정대체기준!$A$6:$A$15,$N4304)&gt;0),IFERROR(INDEX(계정대체기준!$E$6:$E$15,MATCH(VALUE($A4304&amp;""),계정대체기준!$D$6:$D$15,0)),0),0))</f>
        <v/>
      </c>
      <c r="AH4304" s="64">
        <f>IF($A4304="","",IF(AD4304=0,"",IF(OR(COUNTIF(계정대체기준!$A$77:$A$86,$N4304)&gt;0,ISNUMBER(MATCH($X4304,계정대체기준!$D$77:$D$86,0)),ISNUMBER(MATCH($F4304,계정대체기준!$D$77:$D$86,0))),"Y","N")))</f>
        <v/>
      </c>
    </row>
    <row r="4305">
      <c r="A4305" s="92" t="n">
        <v>2026</v>
      </c>
      <c r="B4305" s="92" t="n">
        <v>7</v>
      </c>
      <c r="C4305" s="92" t="inlineStr">
        <is>
          <t>5100001583</t>
        </is>
      </c>
      <c r="D4305" s="95" t="n">
        <v>46229</v>
      </c>
      <c r="E4305" s="92" t="inlineStr">
        <is>
          <t>KR</t>
        </is>
      </c>
      <c r="F4305" s="92" t="n">
        <v>63001000</v>
      </c>
      <c r="G4305" s="92" t="n">
        <v>1951</v>
      </c>
      <c r="H4305" s="93" t="n">
        <v>4556000</v>
      </c>
      <c r="I4305" s="92" t="inlineStr">
        <is>
          <t>7월 SW 유지보수 - Y소프트</t>
        </is>
      </c>
      <c r="J4305" s="92" t="inlineStr">
        <is>
          <t>V10017</t>
        </is>
      </c>
      <c r="K4305" s="92" t="inlineStr">
        <is>
          <t>Y소프트</t>
        </is>
      </c>
      <c r="M4305" s="9">
        <f>IF($A4305="","",VALUE($A4305&amp;"")*12+VALUE($B4305&amp;""))</f>
        <v/>
      </c>
      <c r="N4305" s="64">
        <f>IF($A4305="","",IFERROR(INDEX(부서매핑!$C$5:$C$504,MATCH($G4305&amp;"",부서매핑!$A$5:$A$504,0)),"미매핑"))</f>
        <v/>
      </c>
      <c r="O4305" s="9">
        <f>IF($A4305="","",N4305&amp;"|"&amp;$F4305)</f>
        <v/>
      </c>
      <c r="P4305" s="94">
        <f>IF($A4305="",0,$H4305*설정!$C$23)</f>
        <v/>
      </c>
      <c r="Q4305" s="64">
        <f>IF($A4305="","",IF(O4305&lt;&gt;원인분석!$C$9,"",IF(AND(M4305&gt;=원인분석!$C$10,M4305&lt;=원인분석!$C$11),"당기",IF(AND(M4305&gt;=원인분석!$C$12,M4305&lt;=원인분석!$C$13),"비교",""))))</f>
        <v/>
      </c>
      <c r="R4305" s="9">
        <f>IF(Q4305="","",$K4305&amp;"")</f>
        <v/>
      </c>
      <c r="S4305" s="9">
        <f>IF(Q4305="","",IF(MATCH(R4305,$R$5:$R$100000,0)=ROW()-4,ROW(),""))</f>
        <v/>
      </c>
      <c r="T4305" s="9">
        <f>IF(Q4305="당기",ABS(P4305)+ROW()/1000000000,"")</f>
        <v/>
      </c>
      <c r="U4305" s="9">
        <f>IF(Q4305="비교",ABS(P4305)+ROW()/1000000000,"")</f>
        <v/>
      </c>
      <c r="V4305" s="64">
        <f>IF($A4305="","",IF(COUNTIF(변동분석!$E$7:$E$506,O4305)&gt;0,"Y","N"))</f>
        <v/>
      </c>
      <c r="W4305" s="64">
        <f>IF($A4305="","",IFERROR(INDEX(계정매핑!$D$5:$D$504,MATCH($F4305&amp;"",계정매핑!$A$5:$A$504,0)),"미매핑"))</f>
        <v/>
      </c>
      <c r="X4305" s="9">
        <f>IF($A4305="","",$F4305&amp;"")</f>
        <v/>
      </c>
      <c r="Y4305" s="94">
        <f>IF($A4305="",0,IF(AE4305="직접",IF(AF4305="비귀속",$P4305,0),$P4305*(1-AG4305)*IFERROR(INDEX(계정대체기준!$F$20:$F$49,MATCH($N4305,계정대체기준!$A$20:$A$49,0)),1)))</f>
        <v/>
      </c>
      <c r="Z4305" s="94">
        <f>IF($A4305="",0,IF(AE4305="직접",IF(AF4305="신계약비",$P4305,0),$P4305*(1-AG4305)*IFERROR(INDEX(계정대체기준!$C$20:$C$49,MATCH($N4305,계정대체기준!$A$20:$A$49,0)),0)))</f>
        <v/>
      </c>
      <c r="AA4305" s="94">
        <f>IF($A4305="",0,IF(AE4305="직접",IF(OR(AF4305="유지비",AF4305="손해조사비"),$P4305,0),$P4305*(1-AG4305)*IFERROR(INDEX(계정대체기준!$D$20:$D$49,MATCH($N4305,계정대체기준!$A$20:$A$49,0)),0)))</f>
        <v/>
      </c>
      <c r="AB4305" s="94">
        <f>IF($A4305="",0,IF(AE4305="직접",IF(AF4305="수금비",$P4305,0),$P4305*(1-AG4305)*IFERROR(INDEX(계정대체기준!$E$20:$E$49,MATCH($N4305,계정대체기준!$A$20:$A$49,0)),0)))</f>
        <v/>
      </c>
      <c r="AC4305" s="9">
        <f>IF(AND($A4305&lt;&gt;"",M4305=설정!$C$20,Z4305&gt;0),Z4305+ROW()/1000000000,"")</f>
        <v/>
      </c>
      <c r="AD4305" s="94">
        <f>IF($A4305="",0,$P4305*AG4305)</f>
        <v/>
      </c>
      <c r="AE4305" s="64">
        <f>IF($A4305="","",IFERROR(INDEX(계정매핑!$E$5:$E$504,MATCH($F4305&amp;"",계정매핑!$A$5:$A$504,0))&amp;"","공통비"))</f>
        <v/>
      </c>
      <c r="AF4305" s="64">
        <f>IF($A4305="","",IF(AE4305="직접",IFERROR(INDEX(계정매핑!$F$5:$F$504,MATCH($F4305&amp;"",계정매핑!$A$5:$A$504,0))&amp;"","비귀속"),""))</f>
        <v/>
      </c>
      <c r="AG4305" s="96">
        <f>IF($A4305="",0,IF(AND(AE4305&lt;&gt;"직접",IFERROR(INDEX(계정매핑!$G$5:$G$504,MATCH($F4305&amp;"",계정매핑!$A$5:$A$504,0))&amp;"","")="유지비",COUNTIF(계정대체기준!$A$6:$A$15,$N4305)&gt;0),IFERROR(INDEX(계정대체기준!$E$6:$E$15,MATCH(VALUE($A4305&amp;""),계정대체기준!$D$6:$D$15,0)),0),0))</f>
        <v/>
      </c>
      <c r="AH4305" s="64">
        <f>IF($A4305="","",IF(AD4305=0,"",IF(OR(COUNTIF(계정대체기준!$A$77:$A$86,$N4305)&gt;0,ISNUMBER(MATCH($X4305,계정대체기준!$D$77:$D$86,0)),ISNUMBER(MATCH($F4305,계정대체기준!$D$77:$D$86,0))),"Y","N")))</f>
        <v/>
      </c>
    </row>
    <row r="4306">
      <c r="A4306" s="92" t="n">
        <v>2026</v>
      </c>
      <c r="B4306" s="92" t="n">
        <v>7</v>
      </c>
      <c r="C4306" s="92" t="inlineStr">
        <is>
          <t>5100001584</t>
        </is>
      </c>
      <c r="D4306" s="95" t="n">
        <v>46229</v>
      </c>
      <c r="E4306" s="92" t="inlineStr">
        <is>
          <t>KR</t>
        </is>
      </c>
      <c r="F4306" s="92" t="n">
        <v>63501000</v>
      </c>
      <c r="G4306" s="92" t="n">
        <v>1902</v>
      </c>
      <c r="H4306" s="93" t="n">
        <v>309478000</v>
      </c>
      <c r="I4306" s="92" t="inlineStr">
        <is>
          <t>7월 모집수수료 - AA보험대리점</t>
        </is>
      </c>
      <c r="J4306" s="92" t="inlineStr">
        <is>
          <t>V10034</t>
        </is>
      </c>
      <c r="K4306" s="92" t="inlineStr">
        <is>
          <t>AA보험대리점</t>
        </is>
      </c>
      <c r="M4306" s="9">
        <f>IF($A4306="","",VALUE($A4306&amp;"")*12+VALUE($B4306&amp;""))</f>
        <v/>
      </c>
      <c r="N4306" s="64">
        <f>IF($A4306="","",IFERROR(INDEX(부서매핑!$C$5:$C$504,MATCH($G4306&amp;"",부서매핑!$A$5:$A$504,0)),"미매핑"))</f>
        <v/>
      </c>
      <c r="O4306" s="9">
        <f>IF($A4306="","",N4306&amp;"|"&amp;$F4306)</f>
        <v/>
      </c>
      <c r="P4306" s="94">
        <f>IF($A4306="",0,$H4306*설정!$C$23)</f>
        <v/>
      </c>
      <c r="Q4306" s="64">
        <f>IF($A4306="","",IF(O4306&lt;&gt;원인분석!$C$9,"",IF(AND(M4306&gt;=원인분석!$C$10,M4306&lt;=원인분석!$C$11),"당기",IF(AND(M4306&gt;=원인분석!$C$12,M4306&lt;=원인분석!$C$13),"비교",""))))</f>
        <v/>
      </c>
      <c r="R4306" s="9">
        <f>IF(Q4306="","",$K4306&amp;"")</f>
        <v/>
      </c>
      <c r="S4306" s="9">
        <f>IF(Q4306="","",IF(MATCH(R4306,$R$5:$R$100000,0)=ROW()-4,ROW(),""))</f>
        <v/>
      </c>
      <c r="T4306" s="9">
        <f>IF(Q4306="당기",ABS(P4306)+ROW()/1000000000,"")</f>
        <v/>
      </c>
      <c r="U4306" s="9">
        <f>IF(Q4306="비교",ABS(P4306)+ROW()/1000000000,"")</f>
        <v/>
      </c>
      <c r="V4306" s="64">
        <f>IF($A4306="","",IF(COUNTIF(변동분석!$E$7:$E$506,O4306)&gt;0,"Y","N"))</f>
        <v/>
      </c>
      <c r="W4306" s="64">
        <f>IF($A4306="","",IFERROR(INDEX(계정매핑!$D$5:$D$504,MATCH($F4306&amp;"",계정매핑!$A$5:$A$504,0)),"미매핑"))</f>
        <v/>
      </c>
      <c r="X4306" s="9">
        <f>IF($A4306="","",$F4306&amp;"")</f>
        <v/>
      </c>
      <c r="Y4306" s="94">
        <f>IF($A4306="",0,IF(AE4306="직접",IF(AF4306="비귀속",$P4306,0),$P4306*(1-AG4306)*IFERROR(INDEX(계정대체기준!$F$20:$F$49,MATCH($N4306,계정대체기준!$A$20:$A$49,0)),1)))</f>
        <v/>
      </c>
      <c r="Z4306" s="94">
        <f>IF($A4306="",0,IF(AE4306="직접",IF(AF4306="신계약비",$P4306,0),$P4306*(1-AG4306)*IFERROR(INDEX(계정대체기준!$C$20:$C$49,MATCH($N4306,계정대체기준!$A$20:$A$49,0)),0)))</f>
        <v/>
      </c>
      <c r="AA4306" s="94">
        <f>IF($A4306="",0,IF(AE4306="직접",IF(OR(AF4306="유지비",AF4306="손해조사비"),$P4306,0),$P4306*(1-AG4306)*IFERROR(INDEX(계정대체기준!$D$20:$D$49,MATCH($N4306,계정대체기준!$A$20:$A$49,0)),0)))</f>
        <v/>
      </c>
      <c r="AB4306" s="94">
        <f>IF($A4306="",0,IF(AE4306="직접",IF(AF4306="수금비",$P4306,0),$P4306*(1-AG4306)*IFERROR(INDEX(계정대체기준!$E$20:$E$49,MATCH($N4306,계정대체기준!$A$20:$A$49,0)),0)))</f>
        <v/>
      </c>
      <c r="AC4306" s="9">
        <f>IF(AND($A4306&lt;&gt;"",M4306=설정!$C$20,Z4306&gt;0),Z4306+ROW()/1000000000,"")</f>
        <v/>
      </c>
      <c r="AD4306" s="94">
        <f>IF($A4306="",0,$P4306*AG4306)</f>
        <v/>
      </c>
      <c r="AE4306" s="64">
        <f>IF($A4306="","",IFERROR(INDEX(계정매핑!$E$5:$E$504,MATCH($F4306&amp;"",계정매핑!$A$5:$A$504,0))&amp;"","공통비"))</f>
        <v/>
      </c>
      <c r="AF4306" s="64">
        <f>IF($A4306="","",IF(AE4306="직접",IFERROR(INDEX(계정매핑!$F$5:$F$504,MATCH($F4306&amp;"",계정매핑!$A$5:$A$504,0))&amp;"","비귀속"),""))</f>
        <v/>
      </c>
      <c r="AG4306" s="96">
        <f>IF($A4306="",0,IF(AND(AE4306&lt;&gt;"직접",IFERROR(INDEX(계정매핑!$G$5:$G$504,MATCH($F4306&amp;"",계정매핑!$A$5:$A$504,0))&amp;"","")="유지비",COUNTIF(계정대체기준!$A$6:$A$15,$N4306)&gt;0),IFERROR(INDEX(계정대체기준!$E$6:$E$15,MATCH(VALUE($A4306&amp;""),계정대체기준!$D$6:$D$15,0)),0),0))</f>
        <v/>
      </c>
      <c r="AH4306" s="64">
        <f>IF($A4306="","",IF(AD4306=0,"",IF(OR(COUNTIF(계정대체기준!$A$77:$A$86,$N4306)&gt;0,ISNUMBER(MATCH($X4306,계정대체기준!$D$77:$D$86,0)),ISNUMBER(MATCH($F4306,계정대체기준!$D$77:$D$86,0))),"Y","N")))</f>
        <v/>
      </c>
    </row>
    <row r="4307">
      <c r="A4307" s="92" t="n">
        <v>2026</v>
      </c>
      <c r="B4307" s="92" t="n">
        <v>7</v>
      </c>
      <c r="C4307" s="92" t="inlineStr">
        <is>
          <t>5100001585</t>
        </is>
      </c>
      <c r="D4307" s="95" t="n">
        <v>46230</v>
      </c>
      <c r="E4307" s="92" t="inlineStr">
        <is>
          <t>KR</t>
        </is>
      </c>
      <c r="F4307" s="92" t="n">
        <v>62101000</v>
      </c>
      <c r="G4307" s="92" t="n">
        <v>1101</v>
      </c>
      <c r="H4307" s="93" t="n">
        <v>500000</v>
      </c>
      <c r="I4307" s="92" t="inlineStr">
        <is>
          <t>7월 국내출장 - M항공</t>
        </is>
      </c>
      <c r="J4307" s="92" t="inlineStr">
        <is>
          <t>V10001</t>
        </is>
      </c>
      <c r="K4307" s="92" t="inlineStr">
        <is>
          <t>M항공</t>
        </is>
      </c>
      <c r="M4307" s="9">
        <f>IF($A4307="","",VALUE($A4307&amp;"")*12+VALUE($B4307&amp;""))</f>
        <v/>
      </c>
      <c r="N4307" s="64">
        <f>IF($A4307="","",IFERROR(INDEX(부서매핑!$C$5:$C$504,MATCH($G4307&amp;"",부서매핑!$A$5:$A$504,0)),"미매핑"))</f>
        <v/>
      </c>
      <c r="O4307" s="9">
        <f>IF($A4307="","",N4307&amp;"|"&amp;$F4307)</f>
        <v/>
      </c>
      <c r="P4307" s="94">
        <f>IF($A4307="",0,$H4307*설정!$C$23)</f>
        <v/>
      </c>
      <c r="Q4307" s="64">
        <f>IF($A4307="","",IF(O4307&lt;&gt;원인분석!$C$9,"",IF(AND(M4307&gt;=원인분석!$C$10,M4307&lt;=원인분석!$C$11),"당기",IF(AND(M4307&gt;=원인분석!$C$12,M4307&lt;=원인분석!$C$13),"비교",""))))</f>
        <v/>
      </c>
      <c r="R4307" s="9">
        <f>IF(Q4307="","",$K4307&amp;"")</f>
        <v/>
      </c>
      <c r="S4307" s="9">
        <f>IF(Q4307="","",IF(MATCH(R4307,$R$5:$R$100000,0)=ROW()-4,ROW(),""))</f>
        <v/>
      </c>
      <c r="T4307" s="9">
        <f>IF(Q4307="당기",ABS(P4307)+ROW()/1000000000,"")</f>
        <v/>
      </c>
      <c r="U4307" s="9">
        <f>IF(Q4307="비교",ABS(P4307)+ROW()/1000000000,"")</f>
        <v/>
      </c>
      <c r="V4307" s="64">
        <f>IF($A4307="","",IF(COUNTIF(변동분석!$E$7:$E$506,O4307)&gt;0,"Y","N"))</f>
        <v/>
      </c>
      <c r="W4307" s="64">
        <f>IF($A4307="","",IFERROR(INDEX(계정매핑!$D$5:$D$504,MATCH($F4307&amp;"",계정매핑!$A$5:$A$504,0)),"미매핑"))</f>
        <v/>
      </c>
      <c r="X4307" s="9">
        <f>IF($A4307="","",$F4307&amp;"")</f>
        <v/>
      </c>
      <c r="Y4307" s="94">
        <f>IF($A4307="",0,IF(AE4307="직접",IF(AF4307="비귀속",$P4307,0),$P4307*(1-AG4307)*IFERROR(INDEX(계정대체기준!$F$20:$F$49,MATCH($N4307,계정대체기준!$A$20:$A$49,0)),1)))</f>
        <v/>
      </c>
      <c r="Z4307" s="94">
        <f>IF($A4307="",0,IF(AE4307="직접",IF(AF4307="신계약비",$P4307,0),$P4307*(1-AG4307)*IFERROR(INDEX(계정대체기준!$C$20:$C$49,MATCH($N4307,계정대체기준!$A$20:$A$49,0)),0)))</f>
        <v/>
      </c>
      <c r="AA4307" s="94">
        <f>IF($A4307="",0,IF(AE4307="직접",IF(OR(AF4307="유지비",AF4307="손해조사비"),$P4307,0),$P4307*(1-AG4307)*IFERROR(INDEX(계정대체기준!$D$20:$D$49,MATCH($N4307,계정대체기준!$A$20:$A$49,0)),0)))</f>
        <v/>
      </c>
      <c r="AB4307" s="94">
        <f>IF($A4307="",0,IF(AE4307="직접",IF(AF4307="수금비",$P4307,0),$P4307*(1-AG4307)*IFERROR(INDEX(계정대체기준!$E$20:$E$49,MATCH($N4307,계정대체기준!$A$20:$A$49,0)),0)))</f>
        <v/>
      </c>
      <c r="AC4307" s="9">
        <f>IF(AND($A4307&lt;&gt;"",M4307=설정!$C$20,Z4307&gt;0),Z4307+ROW()/1000000000,"")</f>
        <v/>
      </c>
      <c r="AD4307" s="94">
        <f>IF($A4307="",0,$P4307*AG4307)</f>
        <v/>
      </c>
      <c r="AE4307" s="64">
        <f>IF($A4307="","",IFERROR(INDEX(계정매핑!$E$5:$E$504,MATCH($F4307&amp;"",계정매핑!$A$5:$A$504,0))&amp;"","공통비"))</f>
        <v/>
      </c>
      <c r="AF4307" s="64">
        <f>IF($A4307="","",IF(AE4307="직접",IFERROR(INDEX(계정매핑!$F$5:$F$504,MATCH($F4307&amp;"",계정매핑!$A$5:$A$504,0))&amp;"","비귀속"),""))</f>
        <v/>
      </c>
      <c r="AG4307" s="96">
        <f>IF($A4307="",0,IF(AND(AE4307&lt;&gt;"직접",IFERROR(INDEX(계정매핑!$G$5:$G$504,MATCH($F4307&amp;"",계정매핑!$A$5:$A$504,0))&amp;"","")="유지비",COUNTIF(계정대체기준!$A$6:$A$15,$N4307)&gt;0),IFERROR(INDEX(계정대체기준!$E$6:$E$15,MATCH(VALUE($A4307&amp;""),계정대체기준!$D$6:$D$15,0)),0),0))</f>
        <v/>
      </c>
      <c r="AH4307" s="64">
        <f>IF($A4307="","",IF(AD4307=0,"",IF(OR(COUNTIF(계정대체기준!$A$77:$A$86,$N4307)&gt;0,ISNUMBER(MATCH($X4307,계정대체기준!$D$77:$D$86,0)),ISNUMBER(MATCH($F4307,계정대체기준!$D$77:$D$86,0))),"Y","N")))</f>
        <v/>
      </c>
    </row>
    <row r="4308">
      <c r="A4308" s="92" t="n">
        <v>2026</v>
      </c>
      <c r="B4308" s="92" t="n">
        <v>7</v>
      </c>
      <c r="C4308" s="92" t="inlineStr">
        <is>
          <t>5100001586</t>
        </is>
      </c>
      <c r="D4308" s="95" t="n">
        <v>46230</v>
      </c>
      <c r="E4308" s="92" t="inlineStr">
        <is>
          <t>KR</t>
        </is>
      </c>
      <c r="F4308" s="92" t="n">
        <v>62102000</v>
      </c>
      <c r="G4308" s="92" t="n">
        <v>1401</v>
      </c>
      <c r="H4308" s="93" t="n">
        <v>108000</v>
      </c>
      <c r="I4308" s="92" t="inlineStr">
        <is>
          <t>7월 해외출장 - N호텔</t>
        </is>
      </c>
      <c r="J4308" s="92" t="inlineStr">
        <is>
          <t>V10009</t>
        </is>
      </c>
      <c r="K4308" s="92" t="inlineStr">
        <is>
          <t>N호텔</t>
        </is>
      </c>
      <c r="M4308" s="9">
        <f>IF($A4308="","",VALUE($A4308&amp;"")*12+VALUE($B4308&amp;""))</f>
        <v/>
      </c>
      <c r="N4308" s="64">
        <f>IF($A4308="","",IFERROR(INDEX(부서매핑!$C$5:$C$504,MATCH($G4308&amp;"",부서매핑!$A$5:$A$504,0)),"미매핑"))</f>
        <v/>
      </c>
      <c r="O4308" s="9">
        <f>IF($A4308="","",N4308&amp;"|"&amp;$F4308)</f>
        <v/>
      </c>
      <c r="P4308" s="94">
        <f>IF($A4308="",0,$H4308*설정!$C$23)</f>
        <v/>
      </c>
      <c r="Q4308" s="64">
        <f>IF($A4308="","",IF(O4308&lt;&gt;원인분석!$C$9,"",IF(AND(M4308&gt;=원인분석!$C$10,M4308&lt;=원인분석!$C$11),"당기",IF(AND(M4308&gt;=원인분석!$C$12,M4308&lt;=원인분석!$C$13),"비교",""))))</f>
        <v/>
      </c>
      <c r="R4308" s="9">
        <f>IF(Q4308="","",$K4308&amp;"")</f>
        <v/>
      </c>
      <c r="S4308" s="9">
        <f>IF(Q4308="","",IF(MATCH(R4308,$R$5:$R$100000,0)=ROW()-4,ROW(),""))</f>
        <v/>
      </c>
      <c r="T4308" s="9">
        <f>IF(Q4308="당기",ABS(P4308)+ROW()/1000000000,"")</f>
        <v/>
      </c>
      <c r="U4308" s="9">
        <f>IF(Q4308="비교",ABS(P4308)+ROW()/1000000000,"")</f>
        <v/>
      </c>
      <c r="V4308" s="64">
        <f>IF($A4308="","",IF(COUNTIF(변동분석!$E$7:$E$506,O4308)&gt;0,"Y","N"))</f>
        <v/>
      </c>
      <c r="W4308" s="64">
        <f>IF($A4308="","",IFERROR(INDEX(계정매핑!$D$5:$D$504,MATCH($F4308&amp;"",계정매핑!$A$5:$A$504,0)),"미매핑"))</f>
        <v/>
      </c>
      <c r="X4308" s="9">
        <f>IF($A4308="","",$F4308&amp;"")</f>
        <v/>
      </c>
      <c r="Y4308" s="94">
        <f>IF($A4308="",0,IF(AE4308="직접",IF(AF4308="비귀속",$P4308,0),$P4308*(1-AG4308)*IFERROR(INDEX(계정대체기준!$F$20:$F$49,MATCH($N4308,계정대체기준!$A$20:$A$49,0)),1)))</f>
        <v/>
      </c>
      <c r="Z4308" s="94">
        <f>IF($A4308="",0,IF(AE4308="직접",IF(AF4308="신계약비",$P4308,0),$P4308*(1-AG4308)*IFERROR(INDEX(계정대체기준!$C$20:$C$49,MATCH($N4308,계정대체기준!$A$20:$A$49,0)),0)))</f>
        <v/>
      </c>
      <c r="AA4308" s="94">
        <f>IF($A4308="",0,IF(AE4308="직접",IF(OR(AF4308="유지비",AF4308="손해조사비"),$P4308,0),$P4308*(1-AG4308)*IFERROR(INDEX(계정대체기준!$D$20:$D$49,MATCH($N4308,계정대체기준!$A$20:$A$49,0)),0)))</f>
        <v/>
      </c>
      <c r="AB4308" s="94">
        <f>IF($A4308="",0,IF(AE4308="직접",IF(AF4308="수금비",$P4308,0),$P4308*(1-AG4308)*IFERROR(INDEX(계정대체기준!$E$20:$E$49,MATCH($N4308,계정대체기준!$A$20:$A$49,0)),0)))</f>
        <v/>
      </c>
      <c r="AC4308" s="9">
        <f>IF(AND($A4308&lt;&gt;"",M4308=설정!$C$20,Z4308&gt;0),Z4308+ROW()/1000000000,"")</f>
        <v/>
      </c>
      <c r="AD4308" s="94">
        <f>IF($A4308="",0,$P4308*AG4308)</f>
        <v/>
      </c>
      <c r="AE4308" s="64">
        <f>IF($A4308="","",IFERROR(INDEX(계정매핑!$E$5:$E$504,MATCH($F4308&amp;"",계정매핑!$A$5:$A$504,0))&amp;"","공통비"))</f>
        <v/>
      </c>
      <c r="AF4308" s="64">
        <f>IF($A4308="","",IF(AE4308="직접",IFERROR(INDEX(계정매핑!$F$5:$F$504,MATCH($F4308&amp;"",계정매핑!$A$5:$A$504,0))&amp;"","비귀속"),""))</f>
        <v/>
      </c>
      <c r="AG4308" s="96">
        <f>IF($A4308="",0,IF(AND(AE4308&lt;&gt;"직접",IFERROR(INDEX(계정매핑!$G$5:$G$504,MATCH($F4308&amp;"",계정매핑!$A$5:$A$504,0))&amp;"","")="유지비",COUNTIF(계정대체기준!$A$6:$A$15,$N4308)&gt;0),IFERROR(INDEX(계정대체기준!$E$6:$E$15,MATCH(VALUE($A4308&amp;""),계정대체기준!$D$6:$D$15,0)),0),0))</f>
        <v/>
      </c>
      <c r="AH4308" s="64">
        <f>IF($A4308="","",IF(AD4308=0,"",IF(OR(COUNTIF(계정대체기준!$A$77:$A$86,$N4308)&gt;0,ISNUMBER(MATCH($X4308,계정대체기준!$D$77:$D$86,0)),ISNUMBER(MATCH($F4308,계정대체기준!$D$77:$D$86,0))),"Y","N")))</f>
        <v/>
      </c>
    </row>
    <row r="4309">
      <c r="A4309" s="92" t="n">
        <v>2026</v>
      </c>
      <c r="B4309" s="92" t="n">
        <v>7</v>
      </c>
      <c r="C4309" s="92" t="inlineStr">
        <is>
          <t>5100001587</t>
        </is>
      </c>
      <c r="D4309" s="95" t="n">
        <v>46230</v>
      </c>
      <c r="E4309" s="92" t="inlineStr">
        <is>
          <t>KR</t>
        </is>
      </c>
      <c r="F4309" s="92" t="n">
        <v>62201000</v>
      </c>
      <c r="G4309" s="92" t="n">
        <v>1301</v>
      </c>
      <c r="H4309" s="93" t="n">
        <v>144000</v>
      </c>
      <c r="I4309" s="92" t="inlineStr">
        <is>
          <t>7월 통신요금 - P통신</t>
        </is>
      </c>
      <c r="J4309" s="92" t="inlineStr">
        <is>
          <t>V10014</t>
        </is>
      </c>
      <c r="K4309" s="92" t="inlineStr">
        <is>
          <t>P통신</t>
        </is>
      </c>
      <c r="M4309" s="9">
        <f>IF($A4309="","",VALUE($A4309&amp;"")*12+VALUE($B4309&amp;""))</f>
        <v/>
      </c>
      <c r="N4309" s="64">
        <f>IF($A4309="","",IFERROR(INDEX(부서매핑!$C$5:$C$504,MATCH($G4309&amp;"",부서매핑!$A$5:$A$504,0)),"미매핑"))</f>
        <v/>
      </c>
      <c r="O4309" s="9">
        <f>IF($A4309="","",N4309&amp;"|"&amp;$F4309)</f>
        <v/>
      </c>
      <c r="P4309" s="94">
        <f>IF($A4309="",0,$H4309*설정!$C$23)</f>
        <v/>
      </c>
      <c r="Q4309" s="64">
        <f>IF($A4309="","",IF(O4309&lt;&gt;원인분석!$C$9,"",IF(AND(M4309&gt;=원인분석!$C$10,M4309&lt;=원인분석!$C$11),"당기",IF(AND(M4309&gt;=원인분석!$C$12,M4309&lt;=원인분석!$C$13),"비교",""))))</f>
        <v/>
      </c>
      <c r="R4309" s="9">
        <f>IF(Q4309="","",$K4309&amp;"")</f>
        <v/>
      </c>
      <c r="S4309" s="9">
        <f>IF(Q4309="","",IF(MATCH(R4309,$R$5:$R$100000,0)=ROW()-4,ROW(),""))</f>
        <v/>
      </c>
      <c r="T4309" s="9">
        <f>IF(Q4309="당기",ABS(P4309)+ROW()/1000000000,"")</f>
        <v/>
      </c>
      <c r="U4309" s="9">
        <f>IF(Q4309="비교",ABS(P4309)+ROW()/1000000000,"")</f>
        <v/>
      </c>
      <c r="V4309" s="64">
        <f>IF($A4309="","",IF(COUNTIF(변동분석!$E$7:$E$506,O4309)&gt;0,"Y","N"))</f>
        <v/>
      </c>
      <c r="W4309" s="64">
        <f>IF($A4309="","",IFERROR(INDEX(계정매핑!$D$5:$D$504,MATCH($F4309&amp;"",계정매핑!$A$5:$A$504,0)),"미매핑"))</f>
        <v/>
      </c>
      <c r="X4309" s="9">
        <f>IF($A4309="","",$F4309&amp;"")</f>
        <v/>
      </c>
      <c r="Y4309" s="94">
        <f>IF($A4309="",0,IF(AE4309="직접",IF(AF4309="비귀속",$P4309,0),$P4309*(1-AG4309)*IFERROR(INDEX(계정대체기준!$F$20:$F$49,MATCH($N4309,계정대체기준!$A$20:$A$49,0)),1)))</f>
        <v/>
      </c>
      <c r="Z4309" s="94">
        <f>IF($A4309="",0,IF(AE4309="직접",IF(AF4309="신계약비",$P4309,0),$P4309*(1-AG4309)*IFERROR(INDEX(계정대체기준!$C$20:$C$49,MATCH($N4309,계정대체기준!$A$20:$A$49,0)),0)))</f>
        <v/>
      </c>
      <c r="AA4309" s="94">
        <f>IF($A4309="",0,IF(AE4309="직접",IF(OR(AF4309="유지비",AF4309="손해조사비"),$P4309,0),$P4309*(1-AG4309)*IFERROR(INDEX(계정대체기준!$D$20:$D$49,MATCH($N4309,계정대체기준!$A$20:$A$49,0)),0)))</f>
        <v/>
      </c>
      <c r="AB4309" s="94">
        <f>IF($A4309="",0,IF(AE4309="직접",IF(AF4309="수금비",$P4309,0),$P4309*(1-AG4309)*IFERROR(INDEX(계정대체기준!$E$20:$E$49,MATCH($N4309,계정대체기준!$A$20:$A$49,0)),0)))</f>
        <v/>
      </c>
      <c r="AC4309" s="9">
        <f>IF(AND($A4309&lt;&gt;"",M4309=설정!$C$20,Z4309&gt;0),Z4309+ROW()/1000000000,"")</f>
        <v/>
      </c>
      <c r="AD4309" s="94">
        <f>IF($A4309="",0,$P4309*AG4309)</f>
        <v/>
      </c>
      <c r="AE4309" s="64">
        <f>IF($A4309="","",IFERROR(INDEX(계정매핑!$E$5:$E$504,MATCH($F4309&amp;"",계정매핑!$A$5:$A$504,0))&amp;"","공통비"))</f>
        <v/>
      </c>
      <c r="AF4309" s="64">
        <f>IF($A4309="","",IF(AE4309="직접",IFERROR(INDEX(계정매핑!$F$5:$F$504,MATCH($F4309&amp;"",계정매핑!$A$5:$A$504,0))&amp;"","비귀속"),""))</f>
        <v/>
      </c>
      <c r="AG4309" s="96">
        <f>IF($A4309="",0,IF(AND(AE4309&lt;&gt;"직접",IFERROR(INDEX(계정매핑!$G$5:$G$504,MATCH($F4309&amp;"",계정매핑!$A$5:$A$504,0))&amp;"","")="유지비",COUNTIF(계정대체기준!$A$6:$A$15,$N4309)&gt;0),IFERROR(INDEX(계정대체기준!$E$6:$E$15,MATCH(VALUE($A4309&amp;""),계정대체기준!$D$6:$D$15,0)),0),0))</f>
        <v/>
      </c>
      <c r="AH4309" s="64">
        <f>IF($A4309="","",IF(AD4309=0,"",IF(OR(COUNTIF(계정대체기준!$A$77:$A$86,$N4309)&gt;0,ISNUMBER(MATCH($X4309,계정대체기준!$D$77:$D$86,0)),ISNUMBER(MATCH($F4309,계정대체기준!$D$77:$D$86,0))),"Y","N")))</f>
        <v/>
      </c>
    </row>
    <row r="4310">
      <c r="A4310" s="92" t="n">
        <v>2026</v>
      </c>
      <c r="B4310" s="92" t="n">
        <v>7</v>
      </c>
      <c r="C4310" s="92" t="inlineStr">
        <is>
          <t>5100001588</t>
        </is>
      </c>
      <c r="D4310" s="95" t="n">
        <v>46230</v>
      </c>
      <c r="E4310" s="92" t="inlineStr">
        <is>
          <t>KR</t>
        </is>
      </c>
      <c r="F4310" s="92" t="n">
        <v>62501000</v>
      </c>
      <c r="G4310" s="92" t="n">
        <v>1502</v>
      </c>
      <c r="H4310" s="93" t="n">
        <v>160000</v>
      </c>
      <c r="I4310" s="92" t="inlineStr">
        <is>
          <t>7월 회의 다과 - T케이터링</t>
        </is>
      </c>
      <c r="J4310" s="92" t="inlineStr">
        <is>
          <t>V10005</t>
        </is>
      </c>
      <c r="K4310" s="92" t="inlineStr">
        <is>
          <t>T케이터링</t>
        </is>
      </c>
      <c r="M4310" s="9">
        <f>IF($A4310="","",VALUE($A4310&amp;"")*12+VALUE($B4310&amp;""))</f>
        <v/>
      </c>
      <c r="N4310" s="64">
        <f>IF($A4310="","",IFERROR(INDEX(부서매핑!$C$5:$C$504,MATCH($G4310&amp;"",부서매핑!$A$5:$A$504,0)),"미매핑"))</f>
        <v/>
      </c>
      <c r="O4310" s="9">
        <f>IF($A4310="","",N4310&amp;"|"&amp;$F4310)</f>
        <v/>
      </c>
      <c r="P4310" s="94">
        <f>IF($A4310="",0,$H4310*설정!$C$23)</f>
        <v/>
      </c>
      <c r="Q4310" s="64">
        <f>IF($A4310="","",IF(O4310&lt;&gt;원인분석!$C$9,"",IF(AND(M4310&gt;=원인분석!$C$10,M4310&lt;=원인분석!$C$11),"당기",IF(AND(M4310&gt;=원인분석!$C$12,M4310&lt;=원인분석!$C$13),"비교",""))))</f>
        <v/>
      </c>
      <c r="R4310" s="9">
        <f>IF(Q4310="","",$K4310&amp;"")</f>
        <v/>
      </c>
      <c r="S4310" s="9">
        <f>IF(Q4310="","",IF(MATCH(R4310,$R$5:$R$100000,0)=ROW()-4,ROW(),""))</f>
        <v/>
      </c>
      <c r="T4310" s="9">
        <f>IF(Q4310="당기",ABS(P4310)+ROW()/1000000000,"")</f>
        <v/>
      </c>
      <c r="U4310" s="9">
        <f>IF(Q4310="비교",ABS(P4310)+ROW()/1000000000,"")</f>
        <v/>
      </c>
      <c r="V4310" s="64">
        <f>IF($A4310="","",IF(COUNTIF(변동분석!$E$7:$E$506,O4310)&gt;0,"Y","N"))</f>
        <v/>
      </c>
      <c r="W4310" s="64">
        <f>IF($A4310="","",IFERROR(INDEX(계정매핑!$D$5:$D$504,MATCH($F4310&amp;"",계정매핑!$A$5:$A$504,0)),"미매핑"))</f>
        <v/>
      </c>
      <c r="X4310" s="9">
        <f>IF($A4310="","",$F4310&amp;"")</f>
        <v/>
      </c>
      <c r="Y4310" s="94">
        <f>IF($A4310="",0,IF(AE4310="직접",IF(AF4310="비귀속",$P4310,0),$P4310*(1-AG4310)*IFERROR(INDEX(계정대체기준!$F$20:$F$49,MATCH($N4310,계정대체기준!$A$20:$A$49,0)),1)))</f>
        <v/>
      </c>
      <c r="Z4310" s="94">
        <f>IF($A4310="",0,IF(AE4310="직접",IF(AF4310="신계약비",$P4310,0),$P4310*(1-AG4310)*IFERROR(INDEX(계정대체기준!$C$20:$C$49,MATCH($N4310,계정대체기준!$A$20:$A$49,0)),0)))</f>
        <v/>
      </c>
      <c r="AA4310" s="94">
        <f>IF($A4310="",0,IF(AE4310="직접",IF(OR(AF4310="유지비",AF4310="손해조사비"),$P4310,0),$P4310*(1-AG4310)*IFERROR(INDEX(계정대체기준!$D$20:$D$49,MATCH($N4310,계정대체기준!$A$20:$A$49,0)),0)))</f>
        <v/>
      </c>
      <c r="AB4310" s="94">
        <f>IF($A4310="",0,IF(AE4310="직접",IF(AF4310="수금비",$P4310,0),$P4310*(1-AG4310)*IFERROR(INDEX(계정대체기준!$E$20:$E$49,MATCH($N4310,계정대체기준!$A$20:$A$49,0)),0)))</f>
        <v/>
      </c>
      <c r="AC4310" s="9">
        <f>IF(AND($A4310&lt;&gt;"",M4310=설정!$C$20,Z4310&gt;0),Z4310+ROW()/1000000000,"")</f>
        <v/>
      </c>
      <c r="AD4310" s="94">
        <f>IF($A4310="",0,$P4310*AG4310)</f>
        <v/>
      </c>
      <c r="AE4310" s="64">
        <f>IF($A4310="","",IFERROR(INDEX(계정매핑!$E$5:$E$504,MATCH($F4310&amp;"",계정매핑!$A$5:$A$504,0))&amp;"","공통비"))</f>
        <v/>
      </c>
      <c r="AF4310" s="64">
        <f>IF($A4310="","",IF(AE4310="직접",IFERROR(INDEX(계정매핑!$F$5:$F$504,MATCH($F4310&amp;"",계정매핑!$A$5:$A$504,0))&amp;"","비귀속"),""))</f>
        <v/>
      </c>
      <c r="AG4310" s="96">
        <f>IF($A4310="",0,IF(AND(AE4310&lt;&gt;"직접",IFERROR(INDEX(계정매핑!$G$5:$G$504,MATCH($F4310&amp;"",계정매핑!$A$5:$A$504,0))&amp;"","")="유지비",COUNTIF(계정대체기준!$A$6:$A$15,$N4310)&gt;0),IFERROR(INDEX(계정대체기준!$E$6:$E$15,MATCH(VALUE($A4310&amp;""),계정대체기준!$D$6:$D$15,0)),0),0))</f>
        <v/>
      </c>
      <c r="AH4310" s="64">
        <f>IF($A4310="","",IF(AD4310=0,"",IF(OR(COUNTIF(계정대체기준!$A$77:$A$86,$N4310)&gt;0,ISNUMBER(MATCH($X4310,계정대체기준!$D$77:$D$86,0)),ISNUMBER(MATCH($F4310,계정대체기준!$D$77:$D$86,0))),"Y","N")))</f>
        <v/>
      </c>
    </row>
    <row r="4311">
      <c r="A4311" s="92" t="n">
        <v>2026</v>
      </c>
      <c r="B4311" s="92" t="n">
        <v>7</v>
      </c>
      <c r="C4311" s="92" t="inlineStr">
        <is>
          <t>5100001589</t>
        </is>
      </c>
      <c r="D4311" s="95" t="n">
        <v>46230</v>
      </c>
      <c r="E4311" s="92" t="inlineStr">
        <is>
          <t>KR</t>
        </is>
      </c>
      <c r="F4311" s="92" t="n">
        <v>62801000</v>
      </c>
      <c r="G4311" s="92" t="n">
        <v>1301</v>
      </c>
      <c r="H4311" s="93" t="n">
        <v>3666000</v>
      </c>
      <c r="I4311" s="92" t="inlineStr">
        <is>
          <t>7월 사내교육 - U에듀</t>
        </is>
      </c>
      <c r="J4311" s="92" t="inlineStr">
        <is>
          <t>V10031</t>
        </is>
      </c>
      <c r="K4311" s="92" t="inlineStr">
        <is>
          <t>U에듀</t>
        </is>
      </c>
      <c r="M4311" s="9">
        <f>IF($A4311="","",VALUE($A4311&amp;"")*12+VALUE($B4311&amp;""))</f>
        <v/>
      </c>
      <c r="N4311" s="64">
        <f>IF($A4311="","",IFERROR(INDEX(부서매핑!$C$5:$C$504,MATCH($G4311&amp;"",부서매핑!$A$5:$A$504,0)),"미매핑"))</f>
        <v/>
      </c>
      <c r="O4311" s="9">
        <f>IF($A4311="","",N4311&amp;"|"&amp;$F4311)</f>
        <v/>
      </c>
      <c r="P4311" s="94">
        <f>IF($A4311="",0,$H4311*설정!$C$23)</f>
        <v/>
      </c>
      <c r="Q4311" s="64">
        <f>IF($A4311="","",IF(O4311&lt;&gt;원인분석!$C$9,"",IF(AND(M4311&gt;=원인분석!$C$10,M4311&lt;=원인분석!$C$11),"당기",IF(AND(M4311&gt;=원인분석!$C$12,M4311&lt;=원인분석!$C$13),"비교",""))))</f>
        <v/>
      </c>
      <c r="R4311" s="9">
        <f>IF(Q4311="","",$K4311&amp;"")</f>
        <v/>
      </c>
      <c r="S4311" s="9">
        <f>IF(Q4311="","",IF(MATCH(R4311,$R$5:$R$100000,0)=ROW()-4,ROW(),""))</f>
        <v/>
      </c>
      <c r="T4311" s="9">
        <f>IF(Q4311="당기",ABS(P4311)+ROW()/1000000000,"")</f>
        <v/>
      </c>
      <c r="U4311" s="9">
        <f>IF(Q4311="비교",ABS(P4311)+ROW()/1000000000,"")</f>
        <v/>
      </c>
      <c r="V4311" s="64">
        <f>IF($A4311="","",IF(COUNTIF(변동분석!$E$7:$E$506,O4311)&gt;0,"Y","N"))</f>
        <v/>
      </c>
      <c r="W4311" s="64">
        <f>IF($A4311="","",IFERROR(INDEX(계정매핑!$D$5:$D$504,MATCH($F4311&amp;"",계정매핑!$A$5:$A$504,0)),"미매핑"))</f>
        <v/>
      </c>
      <c r="X4311" s="9">
        <f>IF($A4311="","",$F4311&amp;"")</f>
        <v/>
      </c>
      <c r="Y4311" s="94">
        <f>IF($A4311="",0,IF(AE4311="직접",IF(AF4311="비귀속",$P4311,0),$P4311*(1-AG4311)*IFERROR(INDEX(계정대체기준!$F$20:$F$49,MATCH($N4311,계정대체기준!$A$20:$A$49,0)),1)))</f>
        <v/>
      </c>
      <c r="Z4311" s="94">
        <f>IF($A4311="",0,IF(AE4311="직접",IF(AF4311="신계약비",$P4311,0),$P4311*(1-AG4311)*IFERROR(INDEX(계정대체기준!$C$20:$C$49,MATCH($N4311,계정대체기준!$A$20:$A$49,0)),0)))</f>
        <v/>
      </c>
      <c r="AA4311" s="94">
        <f>IF($A4311="",0,IF(AE4311="직접",IF(OR(AF4311="유지비",AF4311="손해조사비"),$P4311,0),$P4311*(1-AG4311)*IFERROR(INDEX(계정대체기준!$D$20:$D$49,MATCH($N4311,계정대체기준!$A$20:$A$49,0)),0)))</f>
        <v/>
      </c>
      <c r="AB4311" s="94">
        <f>IF($A4311="",0,IF(AE4311="직접",IF(AF4311="수금비",$P4311,0),$P4311*(1-AG4311)*IFERROR(INDEX(계정대체기준!$E$20:$E$49,MATCH($N4311,계정대체기준!$A$20:$A$49,0)),0)))</f>
        <v/>
      </c>
      <c r="AC4311" s="9">
        <f>IF(AND($A4311&lt;&gt;"",M4311=설정!$C$20,Z4311&gt;0),Z4311+ROW()/1000000000,"")</f>
        <v/>
      </c>
      <c r="AD4311" s="94">
        <f>IF($A4311="",0,$P4311*AG4311)</f>
        <v/>
      </c>
      <c r="AE4311" s="64">
        <f>IF($A4311="","",IFERROR(INDEX(계정매핑!$E$5:$E$504,MATCH($F4311&amp;"",계정매핑!$A$5:$A$504,0))&amp;"","공통비"))</f>
        <v/>
      </c>
      <c r="AF4311" s="64">
        <f>IF($A4311="","",IF(AE4311="직접",IFERROR(INDEX(계정매핑!$F$5:$F$504,MATCH($F4311&amp;"",계정매핑!$A$5:$A$504,0))&amp;"","비귀속"),""))</f>
        <v/>
      </c>
      <c r="AG4311" s="96">
        <f>IF($A4311="",0,IF(AND(AE4311&lt;&gt;"직접",IFERROR(INDEX(계정매핑!$G$5:$G$504,MATCH($F4311&amp;"",계정매핑!$A$5:$A$504,0))&amp;"","")="유지비",COUNTIF(계정대체기준!$A$6:$A$15,$N4311)&gt;0),IFERROR(INDEX(계정대체기준!$E$6:$E$15,MATCH(VALUE($A4311&amp;""),계정대체기준!$D$6:$D$15,0)),0),0))</f>
        <v/>
      </c>
      <c r="AH4311" s="64">
        <f>IF($A4311="","",IF(AD4311=0,"",IF(OR(COUNTIF(계정대체기준!$A$77:$A$86,$N4311)&gt;0,ISNUMBER(MATCH($X4311,계정대체기준!$D$77:$D$86,0)),ISNUMBER(MATCH($F4311,계정대체기준!$D$77:$D$86,0))),"Y","N")))</f>
        <v/>
      </c>
    </row>
    <row r="4312">
      <c r="A4312" s="92" t="n">
        <v>2026</v>
      </c>
      <c r="B4312" s="92" t="n">
        <v>7</v>
      </c>
      <c r="C4312" s="92" t="inlineStr">
        <is>
          <t>5100001590</t>
        </is>
      </c>
      <c r="D4312" s="95" t="n">
        <v>46230</v>
      </c>
      <c r="E4312" s="92" t="inlineStr">
        <is>
          <t>KR</t>
        </is>
      </c>
      <c r="F4312" s="92" t="n">
        <v>62802000</v>
      </c>
      <c r="G4312" s="92" t="n">
        <v>1301</v>
      </c>
      <c r="H4312" s="93" t="n">
        <v>5504000</v>
      </c>
      <c r="I4312" s="92" t="inlineStr">
        <is>
          <t>7월 위탁교육 - I교육원</t>
        </is>
      </c>
      <c r="J4312" s="92" t="inlineStr">
        <is>
          <t>V10019</t>
        </is>
      </c>
      <c r="K4312" s="92" t="inlineStr">
        <is>
          <t>I교육원</t>
        </is>
      </c>
      <c r="M4312" s="9">
        <f>IF($A4312="","",VALUE($A4312&amp;"")*12+VALUE($B4312&amp;""))</f>
        <v/>
      </c>
      <c r="N4312" s="64">
        <f>IF($A4312="","",IFERROR(INDEX(부서매핑!$C$5:$C$504,MATCH($G4312&amp;"",부서매핑!$A$5:$A$504,0)),"미매핑"))</f>
        <v/>
      </c>
      <c r="O4312" s="9">
        <f>IF($A4312="","",N4312&amp;"|"&amp;$F4312)</f>
        <v/>
      </c>
      <c r="P4312" s="94">
        <f>IF($A4312="",0,$H4312*설정!$C$23)</f>
        <v/>
      </c>
      <c r="Q4312" s="64">
        <f>IF($A4312="","",IF(O4312&lt;&gt;원인분석!$C$9,"",IF(AND(M4312&gt;=원인분석!$C$10,M4312&lt;=원인분석!$C$11),"당기",IF(AND(M4312&gt;=원인분석!$C$12,M4312&lt;=원인분석!$C$13),"비교",""))))</f>
        <v/>
      </c>
      <c r="R4312" s="9">
        <f>IF(Q4312="","",$K4312&amp;"")</f>
        <v/>
      </c>
      <c r="S4312" s="9">
        <f>IF(Q4312="","",IF(MATCH(R4312,$R$5:$R$100000,0)=ROW()-4,ROW(),""))</f>
        <v/>
      </c>
      <c r="T4312" s="9">
        <f>IF(Q4312="당기",ABS(P4312)+ROW()/1000000000,"")</f>
        <v/>
      </c>
      <c r="U4312" s="9">
        <f>IF(Q4312="비교",ABS(P4312)+ROW()/1000000000,"")</f>
        <v/>
      </c>
      <c r="V4312" s="64">
        <f>IF($A4312="","",IF(COUNTIF(변동분석!$E$7:$E$506,O4312)&gt;0,"Y","N"))</f>
        <v/>
      </c>
      <c r="W4312" s="64">
        <f>IF($A4312="","",IFERROR(INDEX(계정매핑!$D$5:$D$504,MATCH($F4312&amp;"",계정매핑!$A$5:$A$504,0)),"미매핑"))</f>
        <v/>
      </c>
      <c r="X4312" s="9">
        <f>IF($A4312="","",$F4312&amp;"")</f>
        <v/>
      </c>
      <c r="Y4312" s="94">
        <f>IF($A4312="",0,IF(AE4312="직접",IF(AF4312="비귀속",$P4312,0),$P4312*(1-AG4312)*IFERROR(INDEX(계정대체기준!$F$20:$F$49,MATCH($N4312,계정대체기준!$A$20:$A$49,0)),1)))</f>
        <v/>
      </c>
      <c r="Z4312" s="94">
        <f>IF($A4312="",0,IF(AE4312="직접",IF(AF4312="신계약비",$P4312,0),$P4312*(1-AG4312)*IFERROR(INDEX(계정대체기준!$C$20:$C$49,MATCH($N4312,계정대체기준!$A$20:$A$49,0)),0)))</f>
        <v/>
      </c>
      <c r="AA4312" s="94">
        <f>IF($A4312="",0,IF(AE4312="직접",IF(OR(AF4312="유지비",AF4312="손해조사비"),$P4312,0),$P4312*(1-AG4312)*IFERROR(INDEX(계정대체기준!$D$20:$D$49,MATCH($N4312,계정대체기준!$A$20:$A$49,0)),0)))</f>
        <v/>
      </c>
      <c r="AB4312" s="94">
        <f>IF($A4312="",0,IF(AE4312="직접",IF(AF4312="수금비",$P4312,0),$P4312*(1-AG4312)*IFERROR(INDEX(계정대체기준!$E$20:$E$49,MATCH($N4312,계정대체기준!$A$20:$A$49,0)),0)))</f>
        <v/>
      </c>
      <c r="AC4312" s="9">
        <f>IF(AND($A4312&lt;&gt;"",M4312=설정!$C$20,Z4312&gt;0),Z4312+ROW()/1000000000,"")</f>
        <v/>
      </c>
      <c r="AD4312" s="94">
        <f>IF($A4312="",0,$P4312*AG4312)</f>
        <v/>
      </c>
      <c r="AE4312" s="64">
        <f>IF($A4312="","",IFERROR(INDEX(계정매핑!$E$5:$E$504,MATCH($F4312&amp;"",계정매핑!$A$5:$A$504,0))&amp;"","공통비"))</f>
        <v/>
      </c>
      <c r="AF4312" s="64">
        <f>IF($A4312="","",IF(AE4312="직접",IFERROR(INDEX(계정매핑!$F$5:$F$504,MATCH($F4312&amp;"",계정매핑!$A$5:$A$504,0))&amp;"","비귀속"),""))</f>
        <v/>
      </c>
      <c r="AG4312" s="96">
        <f>IF($A4312="",0,IF(AND(AE4312&lt;&gt;"직접",IFERROR(INDEX(계정매핑!$G$5:$G$504,MATCH($F4312&amp;"",계정매핑!$A$5:$A$504,0))&amp;"","")="유지비",COUNTIF(계정대체기준!$A$6:$A$15,$N4312)&gt;0),IFERROR(INDEX(계정대체기준!$E$6:$E$15,MATCH(VALUE($A4312&amp;""),계정대체기준!$D$6:$D$15,0)),0),0))</f>
        <v/>
      </c>
      <c r="AH4312" s="64">
        <f>IF($A4312="","",IF(AD4312=0,"",IF(OR(COUNTIF(계정대체기준!$A$77:$A$86,$N4312)&gt;0,ISNUMBER(MATCH($X4312,계정대체기준!$D$77:$D$86,0)),ISNUMBER(MATCH($F4312,계정대체기준!$D$77:$D$86,0))),"Y","N")))</f>
        <v/>
      </c>
    </row>
    <row r="4313">
      <c r="A4313" s="92" t="n">
        <v>2026</v>
      </c>
      <c r="B4313" s="92" t="n">
        <v>7</v>
      </c>
      <c r="C4313" s="92" t="inlineStr">
        <is>
          <t>5100001591</t>
        </is>
      </c>
      <c r="D4313" s="95" t="n">
        <v>46230</v>
      </c>
      <c r="E4313" s="92" t="inlineStr">
        <is>
          <t>KR</t>
        </is>
      </c>
      <c r="F4313" s="92" t="n">
        <v>62902000</v>
      </c>
      <c r="G4313" s="92" t="n">
        <v>1101</v>
      </c>
      <c r="H4313" s="93" t="n">
        <v>3035000</v>
      </c>
      <c r="I4313" s="92" t="inlineStr">
        <is>
          <t>7월 업무 위탁 수수료 - J콜센터</t>
        </is>
      </c>
      <c r="J4313" s="92" t="inlineStr">
        <is>
          <t>V10016</t>
        </is>
      </c>
      <c r="K4313" s="92" t="inlineStr">
        <is>
          <t>J콜센터</t>
        </is>
      </c>
      <c r="M4313" s="9">
        <f>IF($A4313="","",VALUE($A4313&amp;"")*12+VALUE($B4313&amp;""))</f>
        <v/>
      </c>
      <c r="N4313" s="64">
        <f>IF($A4313="","",IFERROR(INDEX(부서매핑!$C$5:$C$504,MATCH($G4313&amp;"",부서매핑!$A$5:$A$504,0)),"미매핑"))</f>
        <v/>
      </c>
      <c r="O4313" s="9">
        <f>IF($A4313="","",N4313&amp;"|"&amp;$F4313)</f>
        <v/>
      </c>
      <c r="P4313" s="94">
        <f>IF($A4313="",0,$H4313*설정!$C$23)</f>
        <v/>
      </c>
      <c r="Q4313" s="64">
        <f>IF($A4313="","",IF(O4313&lt;&gt;원인분석!$C$9,"",IF(AND(M4313&gt;=원인분석!$C$10,M4313&lt;=원인분석!$C$11),"당기",IF(AND(M4313&gt;=원인분석!$C$12,M4313&lt;=원인분석!$C$13),"비교",""))))</f>
        <v/>
      </c>
      <c r="R4313" s="9">
        <f>IF(Q4313="","",$K4313&amp;"")</f>
        <v/>
      </c>
      <c r="S4313" s="9">
        <f>IF(Q4313="","",IF(MATCH(R4313,$R$5:$R$100000,0)=ROW()-4,ROW(),""))</f>
        <v/>
      </c>
      <c r="T4313" s="9">
        <f>IF(Q4313="당기",ABS(P4313)+ROW()/1000000000,"")</f>
        <v/>
      </c>
      <c r="U4313" s="9">
        <f>IF(Q4313="비교",ABS(P4313)+ROW()/1000000000,"")</f>
        <v/>
      </c>
      <c r="V4313" s="64">
        <f>IF($A4313="","",IF(COUNTIF(변동분석!$E$7:$E$506,O4313)&gt;0,"Y","N"))</f>
        <v/>
      </c>
      <c r="W4313" s="64">
        <f>IF($A4313="","",IFERROR(INDEX(계정매핑!$D$5:$D$504,MATCH($F4313&amp;"",계정매핑!$A$5:$A$504,0)),"미매핑"))</f>
        <v/>
      </c>
      <c r="X4313" s="9">
        <f>IF($A4313="","",$F4313&amp;"")</f>
        <v/>
      </c>
      <c r="Y4313" s="94">
        <f>IF($A4313="",0,IF(AE4313="직접",IF(AF4313="비귀속",$P4313,0),$P4313*(1-AG4313)*IFERROR(INDEX(계정대체기준!$F$20:$F$49,MATCH($N4313,계정대체기준!$A$20:$A$49,0)),1)))</f>
        <v/>
      </c>
      <c r="Z4313" s="94">
        <f>IF($A4313="",0,IF(AE4313="직접",IF(AF4313="신계약비",$P4313,0),$P4313*(1-AG4313)*IFERROR(INDEX(계정대체기준!$C$20:$C$49,MATCH($N4313,계정대체기준!$A$20:$A$49,0)),0)))</f>
        <v/>
      </c>
      <c r="AA4313" s="94">
        <f>IF($A4313="",0,IF(AE4313="직접",IF(OR(AF4313="유지비",AF4313="손해조사비"),$P4313,0),$P4313*(1-AG4313)*IFERROR(INDEX(계정대체기준!$D$20:$D$49,MATCH($N4313,계정대체기준!$A$20:$A$49,0)),0)))</f>
        <v/>
      </c>
      <c r="AB4313" s="94">
        <f>IF($A4313="",0,IF(AE4313="직접",IF(AF4313="수금비",$P4313,0),$P4313*(1-AG4313)*IFERROR(INDEX(계정대체기준!$E$20:$E$49,MATCH($N4313,계정대체기준!$A$20:$A$49,0)),0)))</f>
        <v/>
      </c>
      <c r="AC4313" s="9">
        <f>IF(AND($A4313&lt;&gt;"",M4313=설정!$C$20,Z4313&gt;0),Z4313+ROW()/1000000000,"")</f>
        <v/>
      </c>
      <c r="AD4313" s="94">
        <f>IF($A4313="",0,$P4313*AG4313)</f>
        <v/>
      </c>
      <c r="AE4313" s="64">
        <f>IF($A4313="","",IFERROR(INDEX(계정매핑!$E$5:$E$504,MATCH($F4313&amp;"",계정매핑!$A$5:$A$504,0))&amp;"","공통비"))</f>
        <v/>
      </c>
      <c r="AF4313" s="64">
        <f>IF($A4313="","",IF(AE4313="직접",IFERROR(INDEX(계정매핑!$F$5:$F$504,MATCH($F4313&amp;"",계정매핑!$A$5:$A$504,0))&amp;"","비귀속"),""))</f>
        <v/>
      </c>
      <c r="AG4313" s="96">
        <f>IF($A4313="",0,IF(AND(AE4313&lt;&gt;"직접",IFERROR(INDEX(계정매핑!$G$5:$G$504,MATCH($F4313&amp;"",계정매핑!$A$5:$A$504,0))&amp;"","")="유지비",COUNTIF(계정대체기준!$A$6:$A$15,$N4313)&gt;0),IFERROR(INDEX(계정대체기준!$E$6:$E$15,MATCH(VALUE($A4313&amp;""),계정대체기준!$D$6:$D$15,0)),0),0))</f>
        <v/>
      </c>
      <c r="AH4313" s="64">
        <f>IF($A4313="","",IF(AD4313=0,"",IF(OR(COUNTIF(계정대체기준!$A$77:$A$86,$N4313)&gt;0,ISNUMBER(MATCH($X4313,계정대체기준!$D$77:$D$86,0)),ISNUMBER(MATCH($F4313,계정대체기준!$D$77:$D$86,0))),"Y","N")))</f>
        <v/>
      </c>
    </row>
    <row r="4314">
      <c r="A4314" s="92" t="n">
        <v>2026</v>
      </c>
      <c r="B4314" s="92" t="n">
        <v>8</v>
      </c>
      <c r="C4314" s="92" t="inlineStr">
        <is>
          <t>5100001592</t>
        </is>
      </c>
      <c r="D4314" s="95" t="n">
        <v>46236</v>
      </c>
      <c r="E4314" s="92" t="inlineStr">
        <is>
          <t>KR</t>
        </is>
      </c>
      <c r="F4314" s="92" t="n">
        <v>62101000</v>
      </c>
      <c r="G4314" s="92" t="n">
        <v>1401</v>
      </c>
      <c r="H4314" s="93" t="n">
        <v>216000</v>
      </c>
      <c r="I4314" s="92" t="inlineStr">
        <is>
          <t>8월 국내출장 - (법인카드)</t>
        </is>
      </c>
      <c r="J4314" s="92" t="inlineStr">
        <is>
          <t>V10010</t>
        </is>
      </c>
      <c r="K4314" s="92" t="inlineStr">
        <is>
          <t>(법인카드)</t>
        </is>
      </c>
      <c r="M4314" s="9">
        <f>IF($A4314="","",VALUE($A4314&amp;"")*12+VALUE($B4314&amp;""))</f>
        <v/>
      </c>
      <c r="N4314" s="64">
        <f>IF($A4314="","",IFERROR(INDEX(부서매핑!$C$5:$C$504,MATCH($G4314&amp;"",부서매핑!$A$5:$A$504,0)),"미매핑"))</f>
        <v/>
      </c>
      <c r="O4314" s="9">
        <f>IF($A4314="","",N4314&amp;"|"&amp;$F4314)</f>
        <v/>
      </c>
      <c r="P4314" s="94">
        <f>IF($A4314="",0,$H4314*설정!$C$23)</f>
        <v/>
      </c>
      <c r="Q4314" s="64">
        <f>IF($A4314="","",IF(O4314&lt;&gt;원인분석!$C$9,"",IF(AND(M4314&gt;=원인분석!$C$10,M4314&lt;=원인분석!$C$11),"당기",IF(AND(M4314&gt;=원인분석!$C$12,M4314&lt;=원인분석!$C$13),"비교",""))))</f>
        <v/>
      </c>
      <c r="R4314" s="9">
        <f>IF(Q4314="","",$K4314&amp;"")</f>
        <v/>
      </c>
      <c r="S4314" s="9">
        <f>IF(Q4314="","",IF(MATCH(R4314,$R$5:$R$100000,0)=ROW()-4,ROW(),""))</f>
        <v/>
      </c>
      <c r="T4314" s="9">
        <f>IF(Q4314="당기",ABS(P4314)+ROW()/1000000000,"")</f>
        <v/>
      </c>
      <c r="U4314" s="9">
        <f>IF(Q4314="비교",ABS(P4314)+ROW()/1000000000,"")</f>
        <v/>
      </c>
      <c r="V4314" s="64">
        <f>IF($A4314="","",IF(COUNTIF(변동분석!$E$7:$E$506,O4314)&gt;0,"Y","N"))</f>
        <v/>
      </c>
      <c r="W4314" s="64">
        <f>IF($A4314="","",IFERROR(INDEX(계정매핑!$D$5:$D$504,MATCH($F4314&amp;"",계정매핑!$A$5:$A$504,0)),"미매핑"))</f>
        <v/>
      </c>
      <c r="X4314" s="9">
        <f>IF($A4314="","",$F4314&amp;"")</f>
        <v/>
      </c>
      <c r="Y4314" s="94">
        <f>IF($A4314="",0,IF(AE4314="직접",IF(AF4314="비귀속",$P4314,0),$P4314*(1-AG4314)*IFERROR(INDEX(계정대체기준!$F$20:$F$49,MATCH($N4314,계정대체기준!$A$20:$A$49,0)),1)))</f>
        <v/>
      </c>
      <c r="Z4314" s="94">
        <f>IF($A4314="",0,IF(AE4314="직접",IF(AF4314="신계약비",$P4314,0),$P4314*(1-AG4314)*IFERROR(INDEX(계정대체기준!$C$20:$C$49,MATCH($N4314,계정대체기준!$A$20:$A$49,0)),0)))</f>
        <v/>
      </c>
      <c r="AA4314" s="94">
        <f>IF($A4314="",0,IF(AE4314="직접",IF(OR(AF4314="유지비",AF4314="손해조사비"),$P4314,0),$P4314*(1-AG4314)*IFERROR(INDEX(계정대체기준!$D$20:$D$49,MATCH($N4314,계정대체기준!$A$20:$A$49,0)),0)))</f>
        <v/>
      </c>
      <c r="AB4314" s="94">
        <f>IF($A4314="",0,IF(AE4314="직접",IF(AF4314="수금비",$P4314,0),$P4314*(1-AG4314)*IFERROR(INDEX(계정대체기준!$E$20:$E$49,MATCH($N4314,계정대체기준!$A$20:$A$49,0)),0)))</f>
        <v/>
      </c>
      <c r="AC4314" s="9">
        <f>IF(AND($A4314&lt;&gt;"",M4314=설정!$C$20,Z4314&gt;0),Z4314+ROW()/1000000000,"")</f>
        <v/>
      </c>
      <c r="AD4314" s="94">
        <f>IF($A4314="",0,$P4314*AG4314)</f>
        <v/>
      </c>
      <c r="AE4314" s="64">
        <f>IF($A4314="","",IFERROR(INDEX(계정매핑!$E$5:$E$504,MATCH($F4314&amp;"",계정매핑!$A$5:$A$504,0))&amp;"","공통비"))</f>
        <v/>
      </c>
      <c r="AF4314" s="64">
        <f>IF($A4314="","",IF(AE4314="직접",IFERROR(INDEX(계정매핑!$F$5:$F$504,MATCH($F4314&amp;"",계정매핑!$A$5:$A$504,0))&amp;"","비귀속"),""))</f>
        <v/>
      </c>
      <c r="AG4314" s="96">
        <f>IF($A4314="",0,IF(AND(AE4314&lt;&gt;"직접",IFERROR(INDEX(계정매핑!$G$5:$G$504,MATCH($F4314&amp;"",계정매핑!$A$5:$A$504,0))&amp;"","")="유지비",COUNTIF(계정대체기준!$A$6:$A$15,$N4314)&gt;0),IFERROR(INDEX(계정대체기준!$E$6:$E$15,MATCH(VALUE($A4314&amp;""),계정대체기준!$D$6:$D$15,0)),0),0))</f>
        <v/>
      </c>
      <c r="AH4314" s="64">
        <f>IF($A4314="","",IF(AD4314=0,"",IF(OR(COUNTIF(계정대체기준!$A$77:$A$86,$N4314)&gt;0,ISNUMBER(MATCH($X4314,계정대체기준!$D$77:$D$86,0)),ISNUMBER(MATCH($F4314,계정대체기준!$D$77:$D$86,0))),"Y","N")))</f>
        <v/>
      </c>
    </row>
    <row r="4315">
      <c r="A4315" s="92" t="n">
        <v>2026</v>
      </c>
      <c r="B4315" s="92" t="n">
        <v>8</v>
      </c>
      <c r="C4315" s="92" t="inlineStr">
        <is>
          <t>5100001593</t>
        </is>
      </c>
      <c r="D4315" s="95" t="n">
        <v>46236</v>
      </c>
      <c r="E4315" s="92" t="inlineStr">
        <is>
          <t>KR</t>
        </is>
      </c>
      <c r="F4315" s="92" t="n">
        <v>62301000</v>
      </c>
      <c r="G4315" s="92" t="n">
        <v>1602</v>
      </c>
      <c r="H4315" s="93" t="n">
        <v>618000</v>
      </c>
      <c r="I4315" s="92" t="inlineStr">
        <is>
          <t>8월 소모품 구입 - R문구</t>
        </is>
      </c>
      <c r="J4315" s="92" t="inlineStr">
        <is>
          <t>V10022</t>
        </is>
      </c>
      <c r="K4315" s="92" t="inlineStr">
        <is>
          <t>R문구</t>
        </is>
      </c>
      <c r="M4315" s="9">
        <f>IF($A4315="","",VALUE($A4315&amp;"")*12+VALUE($B4315&amp;""))</f>
        <v/>
      </c>
      <c r="N4315" s="64">
        <f>IF($A4315="","",IFERROR(INDEX(부서매핑!$C$5:$C$504,MATCH($G4315&amp;"",부서매핑!$A$5:$A$504,0)),"미매핑"))</f>
        <v/>
      </c>
      <c r="O4315" s="9">
        <f>IF($A4315="","",N4315&amp;"|"&amp;$F4315)</f>
        <v/>
      </c>
      <c r="P4315" s="94">
        <f>IF($A4315="",0,$H4315*설정!$C$23)</f>
        <v/>
      </c>
      <c r="Q4315" s="64">
        <f>IF($A4315="","",IF(O4315&lt;&gt;원인분석!$C$9,"",IF(AND(M4315&gt;=원인분석!$C$10,M4315&lt;=원인분석!$C$11),"당기",IF(AND(M4315&gt;=원인분석!$C$12,M4315&lt;=원인분석!$C$13),"비교",""))))</f>
        <v/>
      </c>
      <c r="R4315" s="9">
        <f>IF(Q4315="","",$K4315&amp;"")</f>
        <v/>
      </c>
      <c r="S4315" s="9">
        <f>IF(Q4315="","",IF(MATCH(R4315,$R$5:$R$100000,0)=ROW()-4,ROW(),""))</f>
        <v/>
      </c>
      <c r="T4315" s="9">
        <f>IF(Q4315="당기",ABS(P4315)+ROW()/1000000000,"")</f>
        <v/>
      </c>
      <c r="U4315" s="9">
        <f>IF(Q4315="비교",ABS(P4315)+ROW()/1000000000,"")</f>
        <v/>
      </c>
      <c r="V4315" s="64">
        <f>IF($A4315="","",IF(COUNTIF(변동분석!$E$7:$E$506,O4315)&gt;0,"Y","N"))</f>
        <v/>
      </c>
      <c r="W4315" s="64">
        <f>IF($A4315="","",IFERROR(INDEX(계정매핑!$D$5:$D$504,MATCH($F4315&amp;"",계정매핑!$A$5:$A$504,0)),"미매핑"))</f>
        <v/>
      </c>
      <c r="X4315" s="9">
        <f>IF($A4315="","",$F4315&amp;"")</f>
        <v/>
      </c>
      <c r="Y4315" s="94">
        <f>IF($A4315="",0,IF(AE4315="직접",IF(AF4315="비귀속",$P4315,0),$P4315*(1-AG4315)*IFERROR(INDEX(계정대체기준!$F$20:$F$49,MATCH($N4315,계정대체기준!$A$20:$A$49,0)),1)))</f>
        <v/>
      </c>
      <c r="Z4315" s="94">
        <f>IF($A4315="",0,IF(AE4315="직접",IF(AF4315="신계약비",$P4315,0),$P4315*(1-AG4315)*IFERROR(INDEX(계정대체기준!$C$20:$C$49,MATCH($N4315,계정대체기준!$A$20:$A$49,0)),0)))</f>
        <v/>
      </c>
      <c r="AA4315" s="94">
        <f>IF($A4315="",0,IF(AE4315="직접",IF(OR(AF4315="유지비",AF4315="손해조사비"),$P4315,0),$P4315*(1-AG4315)*IFERROR(INDEX(계정대체기준!$D$20:$D$49,MATCH($N4315,계정대체기준!$A$20:$A$49,0)),0)))</f>
        <v/>
      </c>
      <c r="AB4315" s="94">
        <f>IF($A4315="",0,IF(AE4315="직접",IF(AF4315="수금비",$P4315,0),$P4315*(1-AG4315)*IFERROR(INDEX(계정대체기준!$E$20:$E$49,MATCH($N4315,계정대체기준!$A$20:$A$49,0)),0)))</f>
        <v/>
      </c>
      <c r="AC4315" s="9">
        <f>IF(AND($A4315&lt;&gt;"",M4315=설정!$C$20,Z4315&gt;0),Z4315+ROW()/1000000000,"")</f>
        <v/>
      </c>
      <c r="AD4315" s="94">
        <f>IF($A4315="",0,$P4315*AG4315)</f>
        <v/>
      </c>
      <c r="AE4315" s="64">
        <f>IF($A4315="","",IFERROR(INDEX(계정매핑!$E$5:$E$504,MATCH($F4315&amp;"",계정매핑!$A$5:$A$504,0))&amp;"","공통비"))</f>
        <v/>
      </c>
      <c r="AF4315" s="64">
        <f>IF($A4315="","",IF(AE4315="직접",IFERROR(INDEX(계정매핑!$F$5:$F$504,MATCH($F4315&amp;"",계정매핑!$A$5:$A$504,0))&amp;"","비귀속"),""))</f>
        <v/>
      </c>
      <c r="AG4315" s="96">
        <f>IF($A4315="",0,IF(AND(AE4315&lt;&gt;"직접",IFERROR(INDEX(계정매핑!$G$5:$G$504,MATCH($F4315&amp;"",계정매핑!$A$5:$A$504,0))&amp;"","")="유지비",COUNTIF(계정대체기준!$A$6:$A$15,$N4315)&gt;0),IFERROR(INDEX(계정대체기준!$E$6:$E$15,MATCH(VALUE($A4315&amp;""),계정대체기준!$D$6:$D$15,0)),0),0))</f>
        <v/>
      </c>
      <c r="AH4315" s="64">
        <f>IF($A4315="","",IF(AD4315=0,"",IF(OR(COUNTIF(계정대체기준!$A$77:$A$86,$N4315)&gt;0,ISNUMBER(MATCH($X4315,계정대체기준!$D$77:$D$86,0)),ISNUMBER(MATCH($F4315,계정대체기준!$D$77:$D$86,0))),"Y","N")))</f>
        <v/>
      </c>
    </row>
    <row r="4316">
      <c r="A4316" s="92" t="n">
        <v>2026</v>
      </c>
      <c r="B4316" s="92" t="n">
        <v>8</v>
      </c>
      <c r="C4316" s="92" t="inlineStr">
        <is>
          <t>5100001594</t>
        </is>
      </c>
      <c r="D4316" s="95" t="n">
        <v>46236</v>
      </c>
      <c r="E4316" s="92" t="inlineStr">
        <is>
          <t>KR</t>
        </is>
      </c>
      <c r="F4316" s="92" t="n">
        <v>62401000</v>
      </c>
      <c r="G4316" s="92" t="n">
        <v>1501</v>
      </c>
      <c r="H4316" s="93" t="n">
        <v>1055000</v>
      </c>
      <c r="I4316" s="92" t="inlineStr">
        <is>
          <t>8월 인쇄물 제작 - G인쇄</t>
        </is>
      </c>
      <c r="J4316" s="92" t="inlineStr">
        <is>
          <t>V10004</t>
        </is>
      </c>
      <c r="K4316" s="92" t="inlineStr">
        <is>
          <t>G인쇄</t>
        </is>
      </c>
      <c r="M4316" s="9">
        <f>IF($A4316="","",VALUE($A4316&amp;"")*12+VALUE($B4316&amp;""))</f>
        <v/>
      </c>
      <c r="N4316" s="64">
        <f>IF($A4316="","",IFERROR(INDEX(부서매핑!$C$5:$C$504,MATCH($G4316&amp;"",부서매핑!$A$5:$A$504,0)),"미매핑"))</f>
        <v/>
      </c>
      <c r="O4316" s="9">
        <f>IF($A4316="","",N4316&amp;"|"&amp;$F4316)</f>
        <v/>
      </c>
      <c r="P4316" s="94">
        <f>IF($A4316="",0,$H4316*설정!$C$23)</f>
        <v/>
      </c>
      <c r="Q4316" s="64">
        <f>IF($A4316="","",IF(O4316&lt;&gt;원인분석!$C$9,"",IF(AND(M4316&gt;=원인분석!$C$10,M4316&lt;=원인분석!$C$11),"당기",IF(AND(M4316&gt;=원인분석!$C$12,M4316&lt;=원인분석!$C$13),"비교",""))))</f>
        <v/>
      </c>
      <c r="R4316" s="9">
        <f>IF(Q4316="","",$K4316&amp;"")</f>
        <v/>
      </c>
      <c r="S4316" s="9">
        <f>IF(Q4316="","",IF(MATCH(R4316,$R$5:$R$100000,0)=ROW()-4,ROW(),""))</f>
        <v/>
      </c>
      <c r="T4316" s="9">
        <f>IF(Q4316="당기",ABS(P4316)+ROW()/1000000000,"")</f>
        <v/>
      </c>
      <c r="U4316" s="9">
        <f>IF(Q4316="비교",ABS(P4316)+ROW()/1000000000,"")</f>
        <v/>
      </c>
      <c r="V4316" s="64">
        <f>IF($A4316="","",IF(COUNTIF(변동분석!$E$7:$E$506,O4316)&gt;0,"Y","N"))</f>
        <v/>
      </c>
      <c r="W4316" s="64">
        <f>IF($A4316="","",IFERROR(INDEX(계정매핑!$D$5:$D$504,MATCH($F4316&amp;"",계정매핑!$A$5:$A$504,0)),"미매핑"))</f>
        <v/>
      </c>
      <c r="X4316" s="9">
        <f>IF($A4316="","",$F4316&amp;"")</f>
        <v/>
      </c>
      <c r="Y4316" s="94">
        <f>IF($A4316="",0,IF(AE4316="직접",IF(AF4316="비귀속",$P4316,0),$P4316*(1-AG4316)*IFERROR(INDEX(계정대체기준!$F$20:$F$49,MATCH($N4316,계정대체기준!$A$20:$A$49,0)),1)))</f>
        <v/>
      </c>
      <c r="Z4316" s="94">
        <f>IF($A4316="",0,IF(AE4316="직접",IF(AF4316="신계약비",$P4316,0),$P4316*(1-AG4316)*IFERROR(INDEX(계정대체기준!$C$20:$C$49,MATCH($N4316,계정대체기준!$A$20:$A$49,0)),0)))</f>
        <v/>
      </c>
      <c r="AA4316" s="94">
        <f>IF($A4316="",0,IF(AE4316="직접",IF(OR(AF4316="유지비",AF4316="손해조사비"),$P4316,0),$P4316*(1-AG4316)*IFERROR(INDEX(계정대체기준!$D$20:$D$49,MATCH($N4316,계정대체기준!$A$20:$A$49,0)),0)))</f>
        <v/>
      </c>
      <c r="AB4316" s="94">
        <f>IF($A4316="",0,IF(AE4316="직접",IF(AF4316="수금비",$P4316,0),$P4316*(1-AG4316)*IFERROR(INDEX(계정대체기준!$E$20:$E$49,MATCH($N4316,계정대체기준!$A$20:$A$49,0)),0)))</f>
        <v/>
      </c>
      <c r="AC4316" s="9">
        <f>IF(AND($A4316&lt;&gt;"",M4316=설정!$C$20,Z4316&gt;0),Z4316+ROW()/1000000000,"")</f>
        <v/>
      </c>
      <c r="AD4316" s="94">
        <f>IF($A4316="",0,$P4316*AG4316)</f>
        <v/>
      </c>
      <c r="AE4316" s="64">
        <f>IF($A4316="","",IFERROR(INDEX(계정매핑!$E$5:$E$504,MATCH($F4316&amp;"",계정매핑!$A$5:$A$504,0))&amp;"","공통비"))</f>
        <v/>
      </c>
      <c r="AF4316" s="64">
        <f>IF($A4316="","",IF(AE4316="직접",IFERROR(INDEX(계정매핑!$F$5:$F$504,MATCH($F4316&amp;"",계정매핑!$A$5:$A$504,0))&amp;"","비귀속"),""))</f>
        <v/>
      </c>
      <c r="AG4316" s="96">
        <f>IF($A4316="",0,IF(AND(AE4316&lt;&gt;"직접",IFERROR(INDEX(계정매핑!$G$5:$G$504,MATCH($F4316&amp;"",계정매핑!$A$5:$A$504,0))&amp;"","")="유지비",COUNTIF(계정대체기준!$A$6:$A$15,$N4316)&gt;0),IFERROR(INDEX(계정대체기준!$E$6:$E$15,MATCH(VALUE($A4316&amp;""),계정대체기준!$D$6:$D$15,0)),0),0))</f>
        <v/>
      </c>
      <c r="AH4316" s="64">
        <f>IF($A4316="","",IF(AD4316=0,"",IF(OR(COUNTIF(계정대체기준!$A$77:$A$86,$N4316)&gt;0,ISNUMBER(MATCH($X4316,계정대체기준!$D$77:$D$86,0)),ISNUMBER(MATCH($F4316,계정대체기준!$D$77:$D$86,0))),"Y","N")))</f>
        <v/>
      </c>
    </row>
    <row r="4317">
      <c r="A4317" s="92" t="n">
        <v>2026</v>
      </c>
      <c r="B4317" s="92" t="n">
        <v>8</v>
      </c>
      <c r="C4317" s="92" t="inlineStr">
        <is>
          <t>5100001595</t>
        </is>
      </c>
      <c r="D4317" s="95" t="n">
        <v>46236</v>
      </c>
      <c r="E4317" s="92" t="inlineStr">
        <is>
          <t>KR</t>
        </is>
      </c>
      <c r="F4317" s="92" t="n">
        <v>62401000</v>
      </c>
      <c r="G4317" s="92" t="n">
        <v>1501</v>
      </c>
      <c r="H4317" s="93" t="n">
        <v>1525000</v>
      </c>
      <c r="I4317" s="92" t="inlineStr">
        <is>
          <t>8월 인쇄물 제작 - S출판</t>
        </is>
      </c>
      <c r="J4317" s="92" t="inlineStr">
        <is>
          <t>V10015</t>
        </is>
      </c>
      <c r="K4317" s="92" t="inlineStr">
        <is>
          <t>S출판</t>
        </is>
      </c>
      <c r="M4317" s="9">
        <f>IF($A4317="","",VALUE($A4317&amp;"")*12+VALUE($B4317&amp;""))</f>
        <v/>
      </c>
      <c r="N4317" s="64">
        <f>IF($A4317="","",IFERROR(INDEX(부서매핑!$C$5:$C$504,MATCH($G4317&amp;"",부서매핑!$A$5:$A$504,0)),"미매핑"))</f>
        <v/>
      </c>
      <c r="O4317" s="9">
        <f>IF($A4317="","",N4317&amp;"|"&amp;$F4317)</f>
        <v/>
      </c>
      <c r="P4317" s="94">
        <f>IF($A4317="",0,$H4317*설정!$C$23)</f>
        <v/>
      </c>
      <c r="Q4317" s="64">
        <f>IF($A4317="","",IF(O4317&lt;&gt;원인분석!$C$9,"",IF(AND(M4317&gt;=원인분석!$C$10,M4317&lt;=원인분석!$C$11),"당기",IF(AND(M4317&gt;=원인분석!$C$12,M4317&lt;=원인분석!$C$13),"비교",""))))</f>
        <v/>
      </c>
      <c r="R4317" s="9">
        <f>IF(Q4317="","",$K4317&amp;"")</f>
        <v/>
      </c>
      <c r="S4317" s="9">
        <f>IF(Q4317="","",IF(MATCH(R4317,$R$5:$R$100000,0)=ROW()-4,ROW(),""))</f>
        <v/>
      </c>
      <c r="T4317" s="9">
        <f>IF(Q4317="당기",ABS(P4317)+ROW()/1000000000,"")</f>
        <v/>
      </c>
      <c r="U4317" s="9">
        <f>IF(Q4317="비교",ABS(P4317)+ROW()/1000000000,"")</f>
        <v/>
      </c>
      <c r="V4317" s="64">
        <f>IF($A4317="","",IF(COUNTIF(변동분석!$E$7:$E$506,O4317)&gt;0,"Y","N"))</f>
        <v/>
      </c>
      <c r="W4317" s="64">
        <f>IF($A4317="","",IFERROR(INDEX(계정매핑!$D$5:$D$504,MATCH($F4317&amp;"",계정매핑!$A$5:$A$504,0)),"미매핑"))</f>
        <v/>
      </c>
      <c r="X4317" s="9">
        <f>IF($A4317="","",$F4317&amp;"")</f>
        <v/>
      </c>
      <c r="Y4317" s="94">
        <f>IF($A4317="",0,IF(AE4317="직접",IF(AF4317="비귀속",$P4317,0),$P4317*(1-AG4317)*IFERROR(INDEX(계정대체기준!$F$20:$F$49,MATCH($N4317,계정대체기준!$A$20:$A$49,0)),1)))</f>
        <v/>
      </c>
      <c r="Z4317" s="94">
        <f>IF($A4317="",0,IF(AE4317="직접",IF(AF4317="신계약비",$P4317,0),$P4317*(1-AG4317)*IFERROR(INDEX(계정대체기준!$C$20:$C$49,MATCH($N4317,계정대체기준!$A$20:$A$49,0)),0)))</f>
        <v/>
      </c>
      <c r="AA4317" s="94">
        <f>IF($A4317="",0,IF(AE4317="직접",IF(OR(AF4317="유지비",AF4317="손해조사비"),$P4317,0),$P4317*(1-AG4317)*IFERROR(INDEX(계정대체기준!$D$20:$D$49,MATCH($N4317,계정대체기준!$A$20:$A$49,0)),0)))</f>
        <v/>
      </c>
      <c r="AB4317" s="94">
        <f>IF($A4317="",0,IF(AE4317="직접",IF(AF4317="수금비",$P4317,0),$P4317*(1-AG4317)*IFERROR(INDEX(계정대체기준!$E$20:$E$49,MATCH($N4317,계정대체기준!$A$20:$A$49,0)),0)))</f>
        <v/>
      </c>
      <c r="AC4317" s="9">
        <f>IF(AND($A4317&lt;&gt;"",M4317=설정!$C$20,Z4317&gt;0),Z4317+ROW()/1000000000,"")</f>
        <v/>
      </c>
      <c r="AD4317" s="94">
        <f>IF($A4317="",0,$P4317*AG4317)</f>
        <v/>
      </c>
      <c r="AE4317" s="64">
        <f>IF($A4317="","",IFERROR(INDEX(계정매핑!$E$5:$E$504,MATCH($F4317&amp;"",계정매핑!$A$5:$A$504,0))&amp;"","공통비"))</f>
        <v/>
      </c>
      <c r="AF4317" s="64">
        <f>IF($A4317="","",IF(AE4317="직접",IFERROR(INDEX(계정매핑!$F$5:$F$504,MATCH($F4317&amp;"",계정매핑!$A$5:$A$504,0))&amp;"","비귀속"),""))</f>
        <v/>
      </c>
      <c r="AG4317" s="96">
        <f>IF($A4317="",0,IF(AND(AE4317&lt;&gt;"직접",IFERROR(INDEX(계정매핑!$G$5:$G$504,MATCH($F4317&amp;"",계정매핑!$A$5:$A$504,0))&amp;"","")="유지비",COUNTIF(계정대체기준!$A$6:$A$15,$N4317)&gt;0),IFERROR(INDEX(계정대체기준!$E$6:$E$15,MATCH(VALUE($A4317&amp;""),계정대체기준!$D$6:$D$15,0)),0),0))</f>
        <v/>
      </c>
      <c r="AH4317" s="64">
        <f>IF($A4317="","",IF(AD4317=0,"",IF(OR(COUNTIF(계정대체기준!$A$77:$A$86,$N4317)&gt;0,ISNUMBER(MATCH($X4317,계정대체기준!$D$77:$D$86,0)),ISNUMBER(MATCH($F4317,계정대체기준!$D$77:$D$86,0))),"Y","N")))</f>
        <v/>
      </c>
    </row>
    <row r="4318">
      <c r="A4318" s="92" t="n">
        <v>2026</v>
      </c>
      <c r="B4318" s="92" t="n">
        <v>8</v>
      </c>
      <c r="C4318" s="92" t="inlineStr">
        <is>
          <t>5100001596</t>
        </is>
      </c>
      <c r="D4318" s="95" t="n">
        <v>46236</v>
      </c>
      <c r="E4318" s="92" t="inlineStr">
        <is>
          <t>KR</t>
        </is>
      </c>
      <c r="F4318" s="92" t="n">
        <v>62501000</v>
      </c>
      <c r="G4318" s="92" t="n">
        <v>1201</v>
      </c>
      <c r="H4318" s="93" t="n">
        <v>120000</v>
      </c>
      <c r="I4318" s="92" t="inlineStr">
        <is>
          <t>8월 회의 다과 - T케이터링</t>
        </is>
      </c>
      <c r="J4318" s="92" t="inlineStr">
        <is>
          <t>V10005</t>
        </is>
      </c>
      <c r="K4318" s="92" t="inlineStr">
        <is>
          <t>T케이터링</t>
        </is>
      </c>
      <c r="M4318" s="9">
        <f>IF($A4318="","",VALUE($A4318&amp;"")*12+VALUE($B4318&amp;""))</f>
        <v/>
      </c>
      <c r="N4318" s="64">
        <f>IF($A4318="","",IFERROR(INDEX(부서매핑!$C$5:$C$504,MATCH($G4318&amp;"",부서매핑!$A$5:$A$504,0)),"미매핑"))</f>
        <v/>
      </c>
      <c r="O4318" s="9">
        <f>IF($A4318="","",N4318&amp;"|"&amp;$F4318)</f>
        <v/>
      </c>
      <c r="P4318" s="94">
        <f>IF($A4318="",0,$H4318*설정!$C$23)</f>
        <v/>
      </c>
      <c r="Q4318" s="64">
        <f>IF($A4318="","",IF(O4318&lt;&gt;원인분석!$C$9,"",IF(AND(M4318&gt;=원인분석!$C$10,M4318&lt;=원인분석!$C$11),"당기",IF(AND(M4318&gt;=원인분석!$C$12,M4318&lt;=원인분석!$C$13),"비교",""))))</f>
        <v/>
      </c>
      <c r="R4318" s="9">
        <f>IF(Q4318="","",$K4318&amp;"")</f>
        <v/>
      </c>
      <c r="S4318" s="9">
        <f>IF(Q4318="","",IF(MATCH(R4318,$R$5:$R$100000,0)=ROW()-4,ROW(),""))</f>
        <v/>
      </c>
      <c r="T4318" s="9">
        <f>IF(Q4318="당기",ABS(P4318)+ROW()/1000000000,"")</f>
        <v/>
      </c>
      <c r="U4318" s="9">
        <f>IF(Q4318="비교",ABS(P4318)+ROW()/1000000000,"")</f>
        <v/>
      </c>
      <c r="V4318" s="64">
        <f>IF($A4318="","",IF(COUNTIF(변동분석!$E$7:$E$506,O4318)&gt;0,"Y","N"))</f>
        <v/>
      </c>
      <c r="W4318" s="64">
        <f>IF($A4318="","",IFERROR(INDEX(계정매핑!$D$5:$D$504,MATCH($F4318&amp;"",계정매핑!$A$5:$A$504,0)),"미매핑"))</f>
        <v/>
      </c>
      <c r="X4318" s="9">
        <f>IF($A4318="","",$F4318&amp;"")</f>
        <v/>
      </c>
      <c r="Y4318" s="94">
        <f>IF($A4318="",0,IF(AE4318="직접",IF(AF4318="비귀속",$P4318,0),$P4318*(1-AG4318)*IFERROR(INDEX(계정대체기준!$F$20:$F$49,MATCH($N4318,계정대체기준!$A$20:$A$49,0)),1)))</f>
        <v/>
      </c>
      <c r="Z4318" s="94">
        <f>IF($A4318="",0,IF(AE4318="직접",IF(AF4318="신계약비",$P4318,0),$P4318*(1-AG4318)*IFERROR(INDEX(계정대체기준!$C$20:$C$49,MATCH($N4318,계정대체기준!$A$20:$A$49,0)),0)))</f>
        <v/>
      </c>
      <c r="AA4318" s="94">
        <f>IF($A4318="",0,IF(AE4318="직접",IF(OR(AF4318="유지비",AF4318="손해조사비"),$P4318,0),$P4318*(1-AG4318)*IFERROR(INDEX(계정대체기준!$D$20:$D$49,MATCH($N4318,계정대체기준!$A$20:$A$49,0)),0)))</f>
        <v/>
      </c>
      <c r="AB4318" s="94">
        <f>IF($A4318="",0,IF(AE4318="직접",IF(AF4318="수금비",$P4318,0),$P4318*(1-AG4318)*IFERROR(INDEX(계정대체기준!$E$20:$E$49,MATCH($N4318,계정대체기준!$A$20:$A$49,0)),0)))</f>
        <v/>
      </c>
      <c r="AC4318" s="9">
        <f>IF(AND($A4318&lt;&gt;"",M4318=설정!$C$20,Z4318&gt;0),Z4318+ROW()/1000000000,"")</f>
        <v/>
      </c>
      <c r="AD4318" s="94">
        <f>IF($A4318="",0,$P4318*AG4318)</f>
        <v/>
      </c>
      <c r="AE4318" s="64">
        <f>IF($A4318="","",IFERROR(INDEX(계정매핑!$E$5:$E$504,MATCH($F4318&amp;"",계정매핑!$A$5:$A$504,0))&amp;"","공통비"))</f>
        <v/>
      </c>
      <c r="AF4318" s="64">
        <f>IF($A4318="","",IF(AE4318="직접",IFERROR(INDEX(계정매핑!$F$5:$F$504,MATCH($F4318&amp;"",계정매핑!$A$5:$A$504,0))&amp;"","비귀속"),""))</f>
        <v/>
      </c>
      <c r="AG4318" s="96">
        <f>IF($A4318="",0,IF(AND(AE4318&lt;&gt;"직접",IFERROR(INDEX(계정매핑!$G$5:$G$504,MATCH($F4318&amp;"",계정매핑!$A$5:$A$504,0))&amp;"","")="유지비",COUNTIF(계정대체기준!$A$6:$A$15,$N4318)&gt;0),IFERROR(INDEX(계정대체기준!$E$6:$E$15,MATCH(VALUE($A4318&amp;""),계정대체기준!$D$6:$D$15,0)),0),0))</f>
        <v/>
      </c>
      <c r="AH4318" s="64">
        <f>IF($A4318="","",IF(AD4318=0,"",IF(OR(COUNTIF(계정대체기준!$A$77:$A$86,$N4318)&gt;0,ISNUMBER(MATCH($X4318,계정대체기준!$D$77:$D$86,0)),ISNUMBER(MATCH($F4318,계정대체기준!$D$77:$D$86,0))),"Y","N")))</f>
        <v/>
      </c>
    </row>
    <row r="4319">
      <c r="A4319" s="92" t="n">
        <v>2026</v>
      </c>
      <c r="B4319" s="92" t="n">
        <v>8</v>
      </c>
      <c r="C4319" s="92" t="inlineStr">
        <is>
          <t>5100001597</t>
        </is>
      </c>
      <c r="D4319" s="95" t="n">
        <v>46236</v>
      </c>
      <c r="E4319" s="92" t="inlineStr">
        <is>
          <t>KR</t>
        </is>
      </c>
      <c r="F4319" s="92" t="n">
        <v>62902000</v>
      </c>
      <c r="G4319" s="92" t="n">
        <v>1801</v>
      </c>
      <c r="H4319" s="93" t="n">
        <v>1792000</v>
      </c>
      <c r="I4319" s="92" t="inlineStr">
        <is>
          <t>8월 콜 위탁 수수료(건별)</t>
        </is>
      </c>
      <c r="J4319" s="92" t="inlineStr">
        <is>
          <t>V10016</t>
        </is>
      </c>
      <c r="K4319" s="92" t="inlineStr">
        <is>
          <t>J콜센터</t>
        </is>
      </c>
      <c r="M4319" s="9">
        <f>IF($A4319="","",VALUE($A4319&amp;"")*12+VALUE($B4319&amp;""))</f>
        <v/>
      </c>
      <c r="N4319" s="64">
        <f>IF($A4319="","",IFERROR(INDEX(부서매핑!$C$5:$C$504,MATCH($G4319&amp;"",부서매핑!$A$5:$A$504,0)),"미매핑"))</f>
        <v/>
      </c>
      <c r="O4319" s="9">
        <f>IF($A4319="","",N4319&amp;"|"&amp;$F4319)</f>
        <v/>
      </c>
      <c r="P4319" s="94">
        <f>IF($A4319="",0,$H4319*설정!$C$23)</f>
        <v/>
      </c>
      <c r="Q4319" s="64">
        <f>IF($A4319="","",IF(O4319&lt;&gt;원인분석!$C$9,"",IF(AND(M4319&gt;=원인분석!$C$10,M4319&lt;=원인분석!$C$11),"당기",IF(AND(M4319&gt;=원인분석!$C$12,M4319&lt;=원인분석!$C$13),"비교",""))))</f>
        <v/>
      </c>
      <c r="R4319" s="9">
        <f>IF(Q4319="","",$K4319&amp;"")</f>
        <v/>
      </c>
      <c r="S4319" s="9">
        <f>IF(Q4319="","",IF(MATCH(R4319,$R$5:$R$100000,0)=ROW()-4,ROW(),""))</f>
        <v/>
      </c>
      <c r="T4319" s="9">
        <f>IF(Q4319="당기",ABS(P4319)+ROW()/1000000000,"")</f>
        <v/>
      </c>
      <c r="U4319" s="9">
        <f>IF(Q4319="비교",ABS(P4319)+ROW()/1000000000,"")</f>
        <v/>
      </c>
      <c r="V4319" s="64">
        <f>IF($A4319="","",IF(COUNTIF(변동분석!$E$7:$E$506,O4319)&gt;0,"Y","N"))</f>
        <v/>
      </c>
      <c r="W4319" s="64">
        <f>IF($A4319="","",IFERROR(INDEX(계정매핑!$D$5:$D$504,MATCH($F4319&amp;"",계정매핑!$A$5:$A$504,0)),"미매핑"))</f>
        <v/>
      </c>
      <c r="X4319" s="9">
        <f>IF($A4319="","",$F4319&amp;"")</f>
        <v/>
      </c>
      <c r="Y4319" s="94">
        <f>IF($A4319="",0,IF(AE4319="직접",IF(AF4319="비귀속",$P4319,0),$P4319*(1-AG4319)*IFERROR(INDEX(계정대체기준!$F$20:$F$49,MATCH($N4319,계정대체기준!$A$20:$A$49,0)),1)))</f>
        <v/>
      </c>
      <c r="Z4319" s="94">
        <f>IF($A4319="",0,IF(AE4319="직접",IF(AF4319="신계약비",$P4319,0),$P4319*(1-AG4319)*IFERROR(INDEX(계정대체기준!$C$20:$C$49,MATCH($N4319,계정대체기준!$A$20:$A$49,0)),0)))</f>
        <v/>
      </c>
      <c r="AA4319" s="94">
        <f>IF($A4319="",0,IF(AE4319="직접",IF(OR(AF4319="유지비",AF4319="손해조사비"),$P4319,0),$P4319*(1-AG4319)*IFERROR(INDEX(계정대체기준!$D$20:$D$49,MATCH($N4319,계정대체기준!$A$20:$A$49,0)),0)))</f>
        <v/>
      </c>
      <c r="AB4319" s="94">
        <f>IF($A4319="",0,IF(AE4319="직접",IF(AF4319="수금비",$P4319,0),$P4319*(1-AG4319)*IFERROR(INDEX(계정대체기준!$E$20:$E$49,MATCH($N4319,계정대체기준!$A$20:$A$49,0)),0)))</f>
        <v/>
      </c>
      <c r="AC4319" s="9">
        <f>IF(AND($A4319&lt;&gt;"",M4319=설정!$C$20,Z4319&gt;0),Z4319+ROW()/1000000000,"")</f>
        <v/>
      </c>
      <c r="AD4319" s="94">
        <f>IF($A4319="",0,$P4319*AG4319)</f>
        <v/>
      </c>
      <c r="AE4319" s="64">
        <f>IF($A4319="","",IFERROR(INDEX(계정매핑!$E$5:$E$504,MATCH($F4319&amp;"",계정매핑!$A$5:$A$504,0))&amp;"","공통비"))</f>
        <v/>
      </c>
      <c r="AF4319" s="64">
        <f>IF($A4319="","",IF(AE4319="직접",IFERROR(INDEX(계정매핑!$F$5:$F$504,MATCH($F4319&amp;"",계정매핑!$A$5:$A$504,0))&amp;"","비귀속"),""))</f>
        <v/>
      </c>
      <c r="AG4319" s="96">
        <f>IF($A4319="",0,IF(AND(AE4319&lt;&gt;"직접",IFERROR(INDEX(계정매핑!$G$5:$G$504,MATCH($F4319&amp;"",계정매핑!$A$5:$A$504,0))&amp;"","")="유지비",COUNTIF(계정대체기준!$A$6:$A$15,$N4319)&gt;0),IFERROR(INDEX(계정대체기준!$E$6:$E$15,MATCH(VALUE($A4319&amp;""),계정대체기준!$D$6:$D$15,0)),0),0))</f>
        <v/>
      </c>
      <c r="AH4319" s="64">
        <f>IF($A4319="","",IF(AD4319=0,"",IF(OR(COUNTIF(계정대체기준!$A$77:$A$86,$N4319)&gt;0,ISNUMBER(MATCH($X4319,계정대체기준!$D$77:$D$86,0)),ISNUMBER(MATCH($F4319,계정대체기준!$D$77:$D$86,0))),"Y","N")))</f>
        <v/>
      </c>
    </row>
    <row r="4320">
      <c r="A4320" s="92" t="n">
        <v>2026</v>
      </c>
      <c r="B4320" s="92" t="n">
        <v>8</v>
      </c>
      <c r="C4320" s="92" t="inlineStr">
        <is>
          <t>5100001598</t>
        </is>
      </c>
      <c r="D4320" s="95" t="n">
        <v>46236</v>
      </c>
      <c r="E4320" s="92" t="inlineStr">
        <is>
          <t>KR</t>
        </is>
      </c>
      <c r="F4320" s="92" t="n">
        <v>63101000</v>
      </c>
      <c r="G4320" s="92" t="n">
        <v>1601</v>
      </c>
      <c r="H4320" s="93" t="n">
        <v>5099000</v>
      </c>
      <c r="I4320" s="92" t="inlineStr">
        <is>
          <t>8월 사무실 임차료 - BB부동산</t>
        </is>
      </c>
      <c r="J4320" s="92" t="inlineStr">
        <is>
          <t>V10028</t>
        </is>
      </c>
      <c r="K4320" s="92" t="inlineStr">
        <is>
          <t>BB부동산</t>
        </is>
      </c>
      <c r="M4320" s="9">
        <f>IF($A4320="","",VALUE($A4320&amp;"")*12+VALUE($B4320&amp;""))</f>
        <v/>
      </c>
      <c r="N4320" s="64">
        <f>IF($A4320="","",IFERROR(INDEX(부서매핑!$C$5:$C$504,MATCH($G4320&amp;"",부서매핑!$A$5:$A$504,0)),"미매핑"))</f>
        <v/>
      </c>
      <c r="O4320" s="9">
        <f>IF($A4320="","",N4320&amp;"|"&amp;$F4320)</f>
        <v/>
      </c>
      <c r="P4320" s="94">
        <f>IF($A4320="",0,$H4320*설정!$C$23)</f>
        <v/>
      </c>
      <c r="Q4320" s="64">
        <f>IF($A4320="","",IF(O4320&lt;&gt;원인분석!$C$9,"",IF(AND(M4320&gt;=원인분석!$C$10,M4320&lt;=원인분석!$C$11),"당기",IF(AND(M4320&gt;=원인분석!$C$12,M4320&lt;=원인분석!$C$13),"비교",""))))</f>
        <v/>
      </c>
      <c r="R4320" s="9">
        <f>IF(Q4320="","",$K4320&amp;"")</f>
        <v/>
      </c>
      <c r="S4320" s="9">
        <f>IF(Q4320="","",IF(MATCH(R4320,$R$5:$R$100000,0)=ROW()-4,ROW(),""))</f>
        <v/>
      </c>
      <c r="T4320" s="9">
        <f>IF(Q4320="당기",ABS(P4320)+ROW()/1000000000,"")</f>
        <v/>
      </c>
      <c r="U4320" s="9">
        <f>IF(Q4320="비교",ABS(P4320)+ROW()/1000000000,"")</f>
        <v/>
      </c>
      <c r="V4320" s="64">
        <f>IF($A4320="","",IF(COUNTIF(변동분석!$E$7:$E$506,O4320)&gt;0,"Y","N"))</f>
        <v/>
      </c>
      <c r="W4320" s="64">
        <f>IF($A4320="","",IFERROR(INDEX(계정매핑!$D$5:$D$504,MATCH($F4320&amp;"",계정매핑!$A$5:$A$504,0)),"미매핑"))</f>
        <v/>
      </c>
      <c r="X4320" s="9">
        <f>IF($A4320="","",$F4320&amp;"")</f>
        <v/>
      </c>
      <c r="Y4320" s="94">
        <f>IF($A4320="",0,IF(AE4320="직접",IF(AF4320="비귀속",$P4320,0),$P4320*(1-AG4320)*IFERROR(INDEX(계정대체기준!$F$20:$F$49,MATCH($N4320,계정대체기준!$A$20:$A$49,0)),1)))</f>
        <v/>
      </c>
      <c r="Z4320" s="94">
        <f>IF($A4320="",0,IF(AE4320="직접",IF(AF4320="신계약비",$P4320,0),$P4320*(1-AG4320)*IFERROR(INDEX(계정대체기준!$C$20:$C$49,MATCH($N4320,계정대체기준!$A$20:$A$49,0)),0)))</f>
        <v/>
      </c>
      <c r="AA4320" s="94">
        <f>IF($A4320="",0,IF(AE4320="직접",IF(OR(AF4320="유지비",AF4320="손해조사비"),$P4320,0),$P4320*(1-AG4320)*IFERROR(INDEX(계정대체기준!$D$20:$D$49,MATCH($N4320,계정대체기준!$A$20:$A$49,0)),0)))</f>
        <v/>
      </c>
      <c r="AB4320" s="94">
        <f>IF($A4320="",0,IF(AE4320="직접",IF(AF4320="수금비",$P4320,0),$P4320*(1-AG4320)*IFERROR(INDEX(계정대체기준!$E$20:$E$49,MATCH($N4320,계정대체기준!$A$20:$A$49,0)),0)))</f>
        <v/>
      </c>
      <c r="AC4320" s="9">
        <f>IF(AND($A4320&lt;&gt;"",M4320=설정!$C$20,Z4320&gt;0),Z4320+ROW()/1000000000,"")</f>
        <v/>
      </c>
      <c r="AD4320" s="94">
        <f>IF($A4320="",0,$P4320*AG4320)</f>
        <v/>
      </c>
      <c r="AE4320" s="64">
        <f>IF($A4320="","",IFERROR(INDEX(계정매핑!$E$5:$E$504,MATCH($F4320&amp;"",계정매핑!$A$5:$A$504,0))&amp;"","공통비"))</f>
        <v/>
      </c>
      <c r="AF4320" s="64">
        <f>IF($A4320="","",IF(AE4320="직접",IFERROR(INDEX(계정매핑!$F$5:$F$504,MATCH($F4320&amp;"",계정매핑!$A$5:$A$504,0))&amp;"","비귀속"),""))</f>
        <v/>
      </c>
      <c r="AG4320" s="96">
        <f>IF($A4320="",0,IF(AND(AE4320&lt;&gt;"직접",IFERROR(INDEX(계정매핑!$G$5:$G$504,MATCH($F4320&amp;"",계정매핑!$A$5:$A$504,0))&amp;"","")="유지비",COUNTIF(계정대체기준!$A$6:$A$15,$N4320)&gt;0),IFERROR(INDEX(계정대체기준!$E$6:$E$15,MATCH(VALUE($A4320&amp;""),계정대체기준!$D$6:$D$15,0)),0),0))</f>
        <v/>
      </c>
      <c r="AH4320" s="64">
        <f>IF($A4320="","",IF(AD4320=0,"",IF(OR(COUNTIF(계정대체기준!$A$77:$A$86,$N4320)&gt;0,ISNUMBER(MATCH($X4320,계정대체기준!$D$77:$D$86,0)),ISNUMBER(MATCH($F4320,계정대체기준!$D$77:$D$86,0))),"Y","N")))</f>
        <v/>
      </c>
    </row>
    <row r="4321">
      <c r="A4321" s="92" t="n">
        <v>2026</v>
      </c>
      <c r="B4321" s="92" t="n">
        <v>8</v>
      </c>
      <c r="C4321" s="92" t="inlineStr">
        <is>
          <t>5100001599</t>
        </is>
      </c>
      <c r="D4321" s="95" t="n">
        <v>46237</v>
      </c>
      <c r="E4321" s="92" t="inlineStr">
        <is>
          <t>KR</t>
        </is>
      </c>
      <c r="F4321" s="92" t="n">
        <v>62101000</v>
      </c>
      <c r="G4321" s="92" t="n">
        <v>1301</v>
      </c>
      <c r="H4321" s="93" t="n">
        <v>333000</v>
      </c>
      <c r="I4321" s="92" t="inlineStr">
        <is>
          <t>8월 국내출장 - M항공</t>
        </is>
      </c>
      <c r="J4321" s="92" t="inlineStr">
        <is>
          <t>V10001</t>
        </is>
      </c>
      <c r="K4321" s="92" t="inlineStr">
        <is>
          <t>M항공</t>
        </is>
      </c>
      <c r="M4321" s="9">
        <f>IF($A4321="","",VALUE($A4321&amp;"")*12+VALUE($B4321&amp;""))</f>
        <v/>
      </c>
      <c r="N4321" s="64">
        <f>IF($A4321="","",IFERROR(INDEX(부서매핑!$C$5:$C$504,MATCH($G4321&amp;"",부서매핑!$A$5:$A$504,0)),"미매핑"))</f>
        <v/>
      </c>
      <c r="O4321" s="9">
        <f>IF($A4321="","",N4321&amp;"|"&amp;$F4321)</f>
        <v/>
      </c>
      <c r="P4321" s="94">
        <f>IF($A4321="",0,$H4321*설정!$C$23)</f>
        <v/>
      </c>
      <c r="Q4321" s="64">
        <f>IF($A4321="","",IF(O4321&lt;&gt;원인분석!$C$9,"",IF(AND(M4321&gt;=원인분석!$C$10,M4321&lt;=원인분석!$C$11),"당기",IF(AND(M4321&gt;=원인분석!$C$12,M4321&lt;=원인분석!$C$13),"비교",""))))</f>
        <v/>
      </c>
      <c r="R4321" s="9">
        <f>IF(Q4321="","",$K4321&amp;"")</f>
        <v/>
      </c>
      <c r="S4321" s="9">
        <f>IF(Q4321="","",IF(MATCH(R4321,$R$5:$R$100000,0)=ROW()-4,ROW(),""))</f>
        <v/>
      </c>
      <c r="T4321" s="9">
        <f>IF(Q4321="당기",ABS(P4321)+ROW()/1000000000,"")</f>
        <v/>
      </c>
      <c r="U4321" s="9">
        <f>IF(Q4321="비교",ABS(P4321)+ROW()/1000000000,"")</f>
        <v/>
      </c>
      <c r="V4321" s="64">
        <f>IF($A4321="","",IF(COUNTIF(변동분석!$E$7:$E$506,O4321)&gt;0,"Y","N"))</f>
        <v/>
      </c>
      <c r="W4321" s="64">
        <f>IF($A4321="","",IFERROR(INDEX(계정매핑!$D$5:$D$504,MATCH($F4321&amp;"",계정매핑!$A$5:$A$504,0)),"미매핑"))</f>
        <v/>
      </c>
      <c r="X4321" s="9">
        <f>IF($A4321="","",$F4321&amp;"")</f>
        <v/>
      </c>
      <c r="Y4321" s="94">
        <f>IF($A4321="",0,IF(AE4321="직접",IF(AF4321="비귀속",$P4321,0),$P4321*(1-AG4321)*IFERROR(INDEX(계정대체기준!$F$20:$F$49,MATCH($N4321,계정대체기준!$A$20:$A$49,0)),1)))</f>
        <v/>
      </c>
      <c r="Z4321" s="94">
        <f>IF($A4321="",0,IF(AE4321="직접",IF(AF4321="신계약비",$P4321,0),$P4321*(1-AG4321)*IFERROR(INDEX(계정대체기준!$C$20:$C$49,MATCH($N4321,계정대체기준!$A$20:$A$49,0)),0)))</f>
        <v/>
      </c>
      <c r="AA4321" s="94">
        <f>IF($A4321="",0,IF(AE4321="직접",IF(OR(AF4321="유지비",AF4321="손해조사비"),$P4321,0),$P4321*(1-AG4321)*IFERROR(INDEX(계정대체기준!$D$20:$D$49,MATCH($N4321,계정대체기준!$A$20:$A$49,0)),0)))</f>
        <v/>
      </c>
      <c r="AB4321" s="94">
        <f>IF($A4321="",0,IF(AE4321="직접",IF(AF4321="수금비",$P4321,0),$P4321*(1-AG4321)*IFERROR(INDEX(계정대체기준!$E$20:$E$49,MATCH($N4321,계정대체기준!$A$20:$A$49,0)),0)))</f>
        <v/>
      </c>
      <c r="AC4321" s="9">
        <f>IF(AND($A4321&lt;&gt;"",M4321=설정!$C$20,Z4321&gt;0),Z4321+ROW()/1000000000,"")</f>
        <v/>
      </c>
      <c r="AD4321" s="94">
        <f>IF($A4321="",0,$P4321*AG4321)</f>
        <v/>
      </c>
      <c r="AE4321" s="64">
        <f>IF($A4321="","",IFERROR(INDEX(계정매핑!$E$5:$E$504,MATCH($F4321&amp;"",계정매핑!$A$5:$A$504,0))&amp;"","공통비"))</f>
        <v/>
      </c>
      <c r="AF4321" s="64">
        <f>IF($A4321="","",IF(AE4321="직접",IFERROR(INDEX(계정매핑!$F$5:$F$504,MATCH($F4321&amp;"",계정매핑!$A$5:$A$504,0))&amp;"","비귀속"),""))</f>
        <v/>
      </c>
      <c r="AG4321" s="96">
        <f>IF($A4321="",0,IF(AND(AE4321&lt;&gt;"직접",IFERROR(INDEX(계정매핑!$G$5:$G$504,MATCH($F4321&amp;"",계정매핑!$A$5:$A$504,0))&amp;"","")="유지비",COUNTIF(계정대체기준!$A$6:$A$15,$N4321)&gt;0),IFERROR(INDEX(계정대체기준!$E$6:$E$15,MATCH(VALUE($A4321&amp;""),계정대체기준!$D$6:$D$15,0)),0),0))</f>
        <v/>
      </c>
      <c r="AH4321" s="64">
        <f>IF($A4321="","",IF(AD4321=0,"",IF(OR(COUNTIF(계정대체기준!$A$77:$A$86,$N4321)&gt;0,ISNUMBER(MATCH($X4321,계정대체기준!$D$77:$D$86,0)),ISNUMBER(MATCH($F4321,계정대체기준!$D$77:$D$86,0))),"Y","N")))</f>
        <v/>
      </c>
    </row>
    <row r="4322">
      <c r="A4322" s="92" t="n">
        <v>2026</v>
      </c>
      <c r="B4322" s="92" t="n">
        <v>8</v>
      </c>
      <c r="C4322" s="92" t="inlineStr">
        <is>
          <t>5100001600</t>
        </is>
      </c>
      <c r="D4322" s="95" t="n">
        <v>46237</v>
      </c>
      <c r="E4322" s="92" t="inlineStr">
        <is>
          <t>KR</t>
        </is>
      </c>
      <c r="F4322" s="92" t="n">
        <v>62101000</v>
      </c>
      <c r="G4322" s="92" t="n">
        <v>1701</v>
      </c>
      <c r="H4322" s="93" t="n">
        <v>104000</v>
      </c>
      <c r="I4322" s="92" t="inlineStr">
        <is>
          <t>8월 국내출장 - (법인카드)</t>
        </is>
      </c>
      <c r="J4322" s="92" t="inlineStr">
        <is>
          <t>V10010</t>
        </is>
      </c>
      <c r="K4322" s="92" t="inlineStr">
        <is>
          <t>(법인카드)</t>
        </is>
      </c>
      <c r="M4322" s="9">
        <f>IF($A4322="","",VALUE($A4322&amp;"")*12+VALUE($B4322&amp;""))</f>
        <v/>
      </c>
      <c r="N4322" s="64">
        <f>IF($A4322="","",IFERROR(INDEX(부서매핑!$C$5:$C$504,MATCH($G4322&amp;"",부서매핑!$A$5:$A$504,0)),"미매핑"))</f>
        <v/>
      </c>
      <c r="O4322" s="9">
        <f>IF($A4322="","",N4322&amp;"|"&amp;$F4322)</f>
        <v/>
      </c>
      <c r="P4322" s="94">
        <f>IF($A4322="",0,$H4322*설정!$C$23)</f>
        <v/>
      </c>
      <c r="Q4322" s="64">
        <f>IF($A4322="","",IF(O4322&lt;&gt;원인분석!$C$9,"",IF(AND(M4322&gt;=원인분석!$C$10,M4322&lt;=원인분석!$C$11),"당기",IF(AND(M4322&gt;=원인분석!$C$12,M4322&lt;=원인분석!$C$13),"비교",""))))</f>
        <v/>
      </c>
      <c r="R4322" s="9">
        <f>IF(Q4322="","",$K4322&amp;"")</f>
        <v/>
      </c>
      <c r="S4322" s="9">
        <f>IF(Q4322="","",IF(MATCH(R4322,$R$5:$R$100000,0)=ROW()-4,ROW(),""))</f>
        <v/>
      </c>
      <c r="T4322" s="9">
        <f>IF(Q4322="당기",ABS(P4322)+ROW()/1000000000,"")</f>
        <v/>
      </c>
      <c r="U4322" s="9">
        <f>IF(Q4322="비교",ABS(P4322)+ROW()/1000000000,"")</f>
        <v/>
      </c>
      <c r="V4322" s="64">
        <f>IF($A4322="","",IF(COUNTIF(변동분석!$E$7:$E$506,O4322)&gt;0,"Y","N"))</f>
        <v/>
      </c>
      <c r="W4322" s="64">
        <f>IF($A4322="","",IFERROR(INDEX(계정매핑!$D$5:$D$504,MATCH($F4322&amp;"",계정매핑!$A$5:$A$504,0)),"미매핑"))</f>
        <v/>
      </c>
      <c r="X4322" s="9">
        <f>IF($A4322="","",$F4322&amp;"")</f>
        <v/>
      </c>
      <c r="Y4322" s="94">
        <f>IF($A4322="",0,IF(AE4322="직접",IF(AF4322="비귀속",$P4322,0),$P4322*(1-AG4322)*IFERROR(INDEX(계정대체기준!$F$20:$F$49,MATCH($N4322,계정대체기준!$A$20:$A$49,0)),1)))</f>
        <v/>
      </c>
      <c r="Z4322" s="94">
        <f>IF($A4322="",0,IF(AE4322="직접",IF(AF4322="신계약비",$P4322,0),$P4322*(1-AG4322)*IFERROR(INDEX(계정대체기준!$C$20:$C$49,MATCH($N4322,계정대체기준!$A$20:$A$49,0)),0)))</f>
        <v/>
      </c>
      <c r="AA4322" s="94">
        <f>IF($A4322="",0,IF(AE4322="직접",IF(OR(AF4322="유지비",AF4322="손해조사비"),$P4322,0),$P4322*(1-AG4322)*IFERROR(INDEX(계정대체기준!$D$20:$D$49,MATCH($N4322,계정대체기준!$A$20:$A$49,0)),0)))</f>
        <v/>
      </c>
      <c r="AB4322" s="94">
        <f>IF($A4322="",0,IF(AE4322="직접",IF(AF4322="수금비",$P4322,0),$P4322*(1-AG4322)*IFERROR(INDEX(계정대체기준!$E$20:$E$49,MATCH($N4322,계정대체기준!$A$20:$A$49,0)),0)))</f>
        <v/>
      </c>
      <c r="AC4322" s="9">
        <f>IF(AND($A4322&lt;&gt;"",M4322=설정!$C$20,Z4322&gt;0),Z4322+ROW()/1000000000,"")</f>
        <v/>
      </c>
      <c r="AD4322" s="94">
        <f>IF($A4322="",0,$P4322*AG4322)</f>
        <v/>
      </c>
      <c r="AE4322" s="64">
        <f>IF($A4322="","",IFERROR(INDEX(계정매핑!$E$5:$E$504,MATCH($F4322&amp;"",계정매핑!$A$5:$A$504,0))&amp;"","공통비"))</f>
        <v/>
      </c>
      <c r="AF4322" s="64">
        <f>IF($A4322="","",IF(AE4322="직접",IFERROR(INDEX(계정매핑!$F$5:$F$504,MATCH($F4322&amp;"",계정매핑!$A$5:$A$504,0))&amp;"","비귀속"),""))</f>
        <v/>
      </c>
      <c r="AG4322" s="96">
        <f>IF($A4322="",0,IF(AND(AE4322&lt;&gt;"직접",IFERROR(INDEX(계정매핑!$G$5:$G$504,MATCH($F4322&amp;"",계정매핑!$A$5:$A$504,0))&amp;"","")="유지비",COUNTIF(계정대체기준!$A$6:$A$15,$N4322)&gt;0),IFERROR(INDEX(계정대체기준!$E$6:$E$15,MATCH(VALUE($A4322&amp;""),계정대체기준!$D$6:$D$15,0)),0),0))</f>
        <v/>
      </c>
      <c r="AH4322" s="64">
        <f>IF($A4322="","",IF(AD4322=0,"",IF(OR(COUNTIF(계정대체기준!$A$77:$A$86,$N4322)&gt;0,ISNUMBER(MATCH($X4322,계정대체기준!$D$77:$D$86,0)),ISNUMBER(MATCH($F4322,계정대체기준!$D$77:$D$86,0))),"Y","N")))</f>
        <v/>
      </c>
    </row>
    <row r="4323">
      <c r="A4323" s="92" t="n">
        <v>2026</v>
      </c>
      <c r="B4323" s="92" t="n">
        <v>8</v>
      </c>
      <c r="C4323" s="92" t="inlineStr">
        <is>
          <t>5100001601</t>
        </is>
      </c>
      <c r="D4323" s="95" t="n">
        <v>46237</v>
      </c>
      <c r="E4323" s="92" t="inlineStr">
        <is>
          <t>KR</t>
        </is>
      </c>
      <c r="F4323" s="92" t="n">
        <v>62101000</v>
      </c>
      <c r="G4323" s="92" t="n">
        <v>1951</v>
      </c>
      <c r="H4323" s="93" t="n">
        <v>269000</v>
      </c>
      <c r="I4323" s="92" t="inlineStr">
        <is>
          <t>8월 국내출장 - (법인카드)</t>
        </is>
      </c>
      <c r="J4323" s="92" t="inlineStr">
        <is>
          <t>V10010</t>
        </is>
      </c>
      <c r="K4323" s="92" t="inlineStr">
        <is>
          <t>(법인카드)</t>
        </is>
      </c>
      <c r="M4323" s="9">
        <f>IF($A4323="","",VALUE($A4323&amp;"")*12+VALUE($B4323&amp;""))</f>
        <v/>
      </c>
      <c r="N4323" s="64">
        <f>IF($A4323="","",IFERROR(INDEX(부서매핑!$C$5:$C$504,MATCH($G4323&amp;"",부서매핑!$A$5:$A$504,0)),"미매핑"))</f>
        <v/>
      </c>
      <c r="O4323" s="9">
        <f>IF($A4323="","",N4323&amp;"|"&amp;$F4323)</f>
        <v/>
      </c>
      <c r="P4323" s="94">
        <f>IF($A4323="",0,$H4323*설정!$C$23)</f>
        <v/>
      </c>
      <c r="Q4323" s="64">
        <f>IF($A4323="","",IF(O4323&lt;&gt;원인분석!$C$9,"",IF(AND(M4323&gt;=원인분석!$C$10,M4323&lt;=원인분석!$C$11),"당기",IF(AND(M4323&gt;=원인분석!$C$12,M4323&lt;=원인분석!$C$13),"비교",""))))</f>
        <v/>
      </c>
      <c r="R4323" s="9">
        <f>IF(Q4323="","",$K4323&amp;"")</f>
        <v/>
      </c>
      <c r="S4323" s="9">
        <f>IF(Q4323="","",IF(MATCH(R4323,$R$5:$R$100000,0)=ROW()-4,ROW(),""))</f>
        <v/>
      </c>
      <c r="T4323" s="9">
        <f>IF(Q4323="당기",ABS(P4323)+ROW()/1000000000,"")</f>
        <v/>
      </c>
      <c r="U4323" s="9">
        <f>IF(Q4323="비교",ABS(P4323)+ROW()/1000000000,"")</f>
        <v/>
      </c>
      <c r="V4323" s="64">
        <f>IF($A4323="","",IF(COUNTIF(변동분석!$E$7:$E$506,O4323)&gt;0,"Y","N"))</f>
        <v/>
      </c>
      <c r="W4323" s="64">
        <f>IF($A4323="","",IFERROR(INDEX(계정매핑!$D$5:$D$504,MATCH($F4323&amp;"",계정매핑!$A$5:$A$504,0)),"미매핑"))</f>
        <v/>
      </c>
      <c r="X4323" s="9">
        <f>IF($A4323="","",$F4323&amp;"")</f>
        <v/>
      </c>
      <c r="Y4323" s="94">
        <f>IF($A4323="",0,IF(AE4323="직접",IF(AF4323="비귀속",$P4323,0),$P4323*(1-AG4323)*IFERROR(INDEX(계정대체기준!$F$20:$F$49,MATCH($N4323,계정대체기준!$A$20:$A$49,0)),1)))</f>
        <v/>
      </c>
      <c r="Z4323" s="94">
        <f>IF($A4323="",0,IF(AE4323="직접",IF(AF4323="신계약비",$P4323,0),$P4323*(1-AG4323)*IFERROR(INDEX(계정대체기준!$C$20:$C$49,MATCH($N4323,계정대체기준!$A$20:$A$49,0)),0)))</f>
        <v/>
      </c>
      <c r="AA4323" s="94">
        <f>IF($A4323="",0,IF(AE4323="직접",IF(OR(AF4323="유지비",AF4323="손해조사비"),$P4323,0),$P4323*(1-AG4323)*IFERROR(INDEX(계정대체기준!$D$20:$D$49,MATCH($N4323,계정대체기준!$A$20:$A$49,0)),0)))</f>
        <v/>
      </c>
      <c r="AB4323" s="94">
        <f>IF($A4323="",0,IF(AE4323="직접",IF(AF4323="수금비",$P4323,0),$P4323*(1-AG4323)*IFERROR(INDEX(계정대체기준!$E$20:$E$49,MATCH($N4323,계정대체기준!$A$20:$A$49,0)),0)))</f>
        <v/>
      </c>
      <c r="AC4323" s="9">
        <f>IF(AND($A4323&lt;&gt;"",M4323=설정!$C$20,Z4323&gt;0),Z4323+ROW()/1000000000,"")</f>
        <v/>
      </c>
      <c r="AD4323" s="94">
        <f>IF($A4323="",0,$P4323*AG4323)</f>
        <v/>
      </c>
      <c r="AE4323" s="64">
        <f>IF($A4323="","",IFERROR(INDEX(계정매핑!$E$5:$E$504,MATCH($F4323&amp;"",계정매핑!$A$5:$A$504,0))&amp;"","공통비"))</f>
        <v/>
      </c>
      <c r="AF4323" s="64">
        <f>IF($A4323="","",IF(AE4323="직접",IFERROR(INDEX(계정매핑!$F$5:$F$504,MATCH($F4323&amp;"",계정매핑!$A$5:$A$504,0))&amp;"","비귀속"),""))</f>
        <v/>
      </c>
      <c r="AG4323" s="96">
        <f>IF($A4323="",0,IF(AND(AE4323&lt;&gt;"직접",IFERROR(INDEX(계정매핑!$G$5:$G$504,MATCH($F4323&amp;"",계정매핑!$A$5:$A$504,0))&amp;"","")="유지비",COUNTIF(계정대체기준!$A$6:$A$15,$N4323)&gt;0),IFERROR(INDEX(계정대체기준!$E$6:$E$15,MATCH(VALUE($A4323&amp;""),계정대체기준!$D$6:$D$15,0)),0),0))</f>
        <v/>
      </c>
      <c r="AH4323" s="64">
        <f>IF($A4323="","",IF(AD4323=0,"",IF(OR(COUNTIF(계정대체기준!$A$77:$A$86,$N4323)&gt;0,ISNUMBER(MATCH($X4323,계정대체기준!$D$77:$D$86,0)),ISNUMBER(MATCH($F4323,계정대체기준!$D$77:$D$86,0))),"Y","N")))</f>
        <v/>
      </c>
    </row>
    <row r="4324">
      <c r="A4324" s="92" t="n">
        <v>2026</v>
      </c>
      <c r="B4324" s="92" t="n">
        <v>8</v>
      </c>
      <c r="C4324" s="92" t="inlineStr">
        <is>
          <t>5100001602</t>
        </is>
      </c>
      <c r="D4324" s="95" t="n">
        <v>46237</v>
      </c>
      <c r="E4324" s="92" t="inlineStr">
        <is>
          <t>KR</t>
        </is>
      </c>
      <c r="F4324" s="92" t="n">
        <v>62102000</v>
      </c>
      <c r="G4324" s="92" t="n">
        <v>1401</v>
      </c>
      <c r="H4324" s="93" t="n">
        <v>110000</v>
      </c>
      <c r="I4324" s="92" t="inlineStr">
        <is>
          <t>8월 해외출장 - M항공</t>
        </is>
      </c>
      <c r="J4324" s="92" t="inlineStr">
        <is>
          <t>V10001</t>
        </is>
      </c>
      <c r="K4324" s="92" t="inlineStr">
        <is>
          <t>M항공</t>
        </is>
      </c>
      <c r="M4324" s="9">
        <f>IF($A4324="","",VALUE($A4324&amp;"")*12+VALUE($B4324&amp;""))</f>
        <v/>
      </c>
      <c r="N4324" s="64">
        <f>IF($A4324="","",IFERROR(INDEX(부서매핑!$C$5:$C$504,MATCH($G4324&amp;"",부서매핑!$A$5:$A$504,0)),"미매핑"))</f>
        <v/>
      </c>
      <c r="O4324" s="9">
        <f>IF($A4324="","",N4324&amp;"|"&amp;$F4324)</f>
        <v/>
      </c>
      <c r="P4324" s="94">
        <f>IF($A4324="",0,$H4324*설정!$C$23)</f>
        <v/>
      </c>
      <c r="Q4324" s="64">
        <f>IF($A4324="","",IF(O4324&lt;&gt;원인분석!$C$9,"",IF(AND(M4324&gt;=원인분석!$C$10,M4324&lt;=원인분석!$C$11),"당기",IF(AND(M4324&gt;=원인분석!$C$12,M4324&lt;=원인분석!$C$13),"비교",""))))</f>
        <v/>
      </c>
      <c r="R4324" s="9">
        <f>IF(Q4324="","",$K4324&amp;"")</f>
        <v/>
      </c>
      <c r="S4324" s="9">
        <f>IF(Q4324="","",IF(MATCH(R4324,$R$5:$R$100000,0)=ROW()-4,ROW(),""))</f>
        <v/>
      </c>
      <c r="T4324" s="9">
        <f>IF(Q4324="당기",ABS(P4324)+ROW()/1000000000,"")</f>
        <v/>
      </c>
      <c r="U4324" s="9">
        <f>IF(Q4324="비교",ABS(P4324)+ROW()/1000000000,"")</f>
        <v/>
      </c>
      <c r="V4324" s="64">
        <f>IF($A4324="","",IF(COUNTIF(변동분석!$E$7:$E$506,O4324)&gt;0,"Y","N"))</f>
        <v/>
      </c>
      <c r="W4324" s="64">
        <f>IF($A4324="","",IFERROR(INDEX(계정매핑!$D$5:$D$504,MATCH($F4324&amp;"",계정매핑!$A$5:$A$504,0)),"미매핑"))</f>
        <v/>
      </c>
      <c r="X4324" s="9">
        <f>IF($A4324="","",$F4324&amp;"")</f>
        <v/>
      </c>
      <c r="Y4324" s="94">
        <f>IF($A4324="",0,IF(AE4324="직접",IF(AF4324="비귀속",$P4324,0),$P4324*(1-AG4324)*IFERROR(INDEX(계정대체기준!$F$20:$F$49,MATCH($N4324,계정대체기준!$A$20:$A$49,0)),1)))</f>
        <v/>
      </c>
      <c r="Z4324" s="94">
        <f>IF($A4324="",0,IF(AE4324="직접",IF(AF4324="신계약비",$P4324,0),$P4324*(1-AG4324)*IFERROR(INDEX(계정대체기준!$C$20:$C$49,MATCH($N4324,계정대체기준!$A$20:$A$49,0)),0)))</f>
        <v/>
      </c>
      <c r="AA4324" s="94">
        <f>IF($A4324="",0,IF(AE4324="직접",IF(OR(AF4324="유지비",AF4324="손해조사비"),$P4324,0),$P4324*(1-AG4324)*IFERROR(INDEX(계정대체기준!$D$20:$D$49,MATCH($N4324,계정대체기준!$A$20:$A$49,0)),0)))</f>
        <v/>
      </c>
      <c r="AB4324" s="94">
        <f>IF($A4324="",0,IF(AE4324="직접",IF(AF4324="수금비",$P4324,0),$P4324*(1-AG4324)*IFERROR(INDEX(계정대체기준!$E$20:$E$49,MATCH($N4324,계정대체기준!$A$20:$A$49,0)),0)))</f>
        <v/>
      </c>
      <c r="AC4324" s="9">
        <f>IF(AND($A4324&lt;&gt;"",M4324=설정!$C$20,Z4324&gt;0),Z4324+ROW()/1000000000,"")</f>
        <v/>
      </c>
      <c r="AD4324" s="94">
        <f>IF($A4324="",0,$P4324*AG4324)</f>
        <v/>
      </c>
      <c r="AE4324" s="64">
        <f>IF($A4324="","",IFERROR(INDEX(계정매핑!$E$5:$E$504,MATCH($F4324&amp;"",계정매핑!$A$5:$A$504,0))&amp;"","공통비"))</f>
        <v/>
      </c>
      <c r="AF4324" s="64">
        <f>IF($A4324="","",IF(AE4324="직접",IFERROR(INDEX(계정매핑!$F$5:$F$504,MATCH($F4324&amp;"",계정매핑!$A$5:$A$504,0))&amp;"","비귀속"),""))</f>
        <v/>
      </c>
      <c r="AG4324" s="96">
        <f>IF($A4324="",0,IF(AND(AE4324&lt;&gt;"직접",IFERROR(INDEX(계정매핑!$G$5:$G$504,MATCH($F4324&amp;"",계정매핑!$A$5:$A$504,0))&amp;"","")="유지비",COUNTIF(계정대체기준!$A$6:$A$15,$N4324)&gt;0),IFERROR(INDEX(계정대체기준!$E$6:$E$15,MATCH(VALUE($A4324&amp;""),계정대체기준!$D$6:$D$15,0)),0),0))</f>
        <v/>
      </c>
      <c r="AH4324" s="64">
        <f>IF($A4324="","",IF(AD4324=0,"",IF(OR(COUNTIF(계정대체기준!$A$77:$A$86,$N4324)&gt;0,ISNUMBER(MATCH($X4324,계정대체기준!$D$77:$D$86,0)),ISNUMBER(MATCH($F4324,계정대체기준!$D$77:$D$86,0))),"Y","N")))</f>
        <v/>
      </c>
    </row>
    <row r="4325">
      <c r="A4325" s="92" t="n">
        <v>2026</v>
      </c>
      <c r="B4325" s="92" t="n">
        <v>8</v>
      </c>
      <c r="C4325" s="92" t="inlineStr">
        <is>
          <t>5100001603</t>
        </is>
      </c>
      <c r="D4325" s="95" t="n">
        <v>46237</v>
      </c>
      <c r="E4325" s="92" t="inlineStr">
        <is>
          <t>KR</t>
        </is>
      </c>
      <c r="F4325" s="92" t="n">
        <v>62102000</v>
      </c>
      <c r="G4325" s="92" t="n">
        <v>1401</v>
      </c>
      <c r="H4325" s="93" t="n">
        <v>91000</v>
      </c>
      <c r="I4325" s="92" t="inlineStr">
        <is>
          <t>8월 해외출장 - N호텔</t>
        </is>
      </c>
      <c r="J4325" s="92" t="inlineStr">
        <is>
          <t>V10009</t>
        </is>
      </c>
      <c r="K4325" s="92" t="inlineStr">
        <is>
          <t>N호텔</t>
        </is>
      </c>
      <c r="M4325" s="9">
        <f>IF($A4325="","",VALUE($A4325&amp;"")*12+VALUE($B4325&amp;""))</f>
        <v/>
      </c>
      <c r="N4325" s="64">
        <f>IF($A4325="","",IFERROR(INDEX(부서매핑!$C$5:$C$504,MATCH($G4325&amp;"",부서매핑!$A$5:$A$504,0)),"미매핑"))</f>
        <v/>
      </c>
      <c r="O4325" s="9">
        <f>IF($A4325="","",N4325&amp;"|"&amp;$F4325)</f>
        <v/>
      </c>
      <c r="P4325" s="94">
        <f>IF($A4325="",0,$H4325*설정!$C$23)</f>
        <v/>
      </c>
      <c r="Q4325" s="64">
        <f>IF($A4325="","",IF(O4325&lt;&gt;원인분석!$C$9,"",IF(AND(M4325&gt;=원인분석!$C$10,M4325&lt;=원인분석!$C$11),"당기",IF(AND(M4325&gt;=원인분석!$C$12,M4325&lt;=원인분석!$C$13),"비교",""))))</f>
        <v/>
      </c>
      <c r="R4325" s="9">
        <f>IF(Q4325="","",$K4325&amp;"")</f>
        <v/>
      </c>
      <c r="S4325" s="9">
        <f>IF(Q4325="","",IF(MATCH(R4325,$R$5:$R$100000,0)=ROW()-4,ROW(),""))</f>
        <v/>
      </c>
      <c r="T4325" s="9">
        <f>IF(Q4325="당기",ABS(P4325)+ROW()/1000000000,"")</f>
        <v/>
      </c>
      <c r="U4325" s="9">
        <f>IF(Q4325="비교",ABS(P4325)+ROW()/1000000000,"")</f>
        <v/>
      </c>
      <c r="V4325" s="64">
        <f>IF($A4325="","",IF(COUNTIF(변동분석!$E$7:$E$506,O4325)&gt;0,"Y","N"))</f>
        <v/>
      </c>
      <c r="W4325" s="64">
        <f>IF($A4325="","",IFERROR(INDEX(계정매핑!$D$5:$D$504,MATCH($F4325&amp;"",계정매핑!$A$5:$A$504,0)),"미매핑"))</f>
        <v/>
      </c>
      <c r="X4325" s="9">
        <f>IF($A4325="","",$F4325&amp;"")</f>
        <v/>
      </c>
      <c r="Y4325" s="94">
        <f>IF($A4325="",0,IF(AE4325="직접",IF(AF4325="비귀속",$P4325,0),$P4325*(1-AG4325)*IFERROR(INDEX(계정대체기준!$F$20:$F$49,MATCH($N4325,계정대체기준!$A$20:$A$49,0)),1)))</f>
        <v/>
      </c>
      <c r="Z4325" s="94">
        <f>IF($A4325="",0,IF(AE4325="직접",IF(AF4325="신계약비",$P4325,0),$P4325*(1-AG4325)*IFERROR(INDEX(계정대체기준!$C$20:$C$49,MATCH($N4325,계정대체기준!$A$20:$A$49,0)),0)))</f>
        <v/>
      </c>
      <c r="AA4325" s="94">
        <f>IF($A4325="",0,IF(AE4325="직접",IF(OR(AF4325="유지비",AF4325="손해조사비"),$P4325,0),$P4325*(1-AG4325)*IFERROR(INDEX(계정대체기준!$D$20:$D$49,MATCH($N4325,계정대체기준!$A$20:$A$49,0)),0)))</f>
        <v/>
      </c>
      <c r="AB4325" s="94">
        <f>IF($A4325="",0,IF(AE4325="직접",IF(AF4325="수금비",$P4325,0),$P4325*(1-AG4325)*IFERROR(INDEX(계정대체기준!$E$20:$E$49,MATCH($N4325,계정대체기준!$A$20:$A$49,0)),0)))</f>
        <v/>
      </c>
      <c r="AC4325" s="9">
        <f>IF(AND($A4325&lt;&gt;"",M4325=설정!$C$20,Z4325&gt;0),Z4325+ROW()/1000000000,"")</f>
        <v/>
      </c>
      <c r="AD4325" s="94">
        <f>IF($A4325="",0,$P4325*AG4325)</f>
        <v/>
      </c>
      <c r="AE4325" s="64">
        <f>IF($A4325="","",IFERROR(INDEX(계정매핑!$E$5:$E$504,MATCH($F4325&amp;"",계정매핑!$A$5:$A$504,0))&amp;"","공통비"))</f>
        <v/>
      </c>
      <c r="AF4325" s="64">
        <f>IF($A4325="","",IF(AE4325="직접",IFERROR(INDEX(계정매핑!$F$5:$F$504,MATCH($F4325&amp;"",계정매핑!$A$5:$A$504,0))&amp;"","비귀속"),""))</f>
        <v/>
      </c>
      <c r="AG4325" s="96">
        <f>IF($A4325="",0,IF(AND(AE4325&lt;&gt;"직접",IFERROR(INDEX(계정매핑!$G$5:$G$504,MATCH($F4325&amp;"",계정매핑!$A$5:$A$504,0))&amp;"","")="유지비",COUNTIF(계정대체기준!$A$6:$A$15,$N4325)&gt;0),IFERROR(INDEX(계정대체기준!$E$6:$E$15,MATCH(VALUE($A4325&amp;""),계정대체기준!$D$6:$D$15,0)),0),0))</f>
        <v/>
      </c>
      <c r="AH4325" s="64">
        <f>IF($A4325="","",IF(AD4325=0,"",IF(OR(COUNTIF(계정대체기준!$A$77:$A$86,$N4325)&gt;0,ISNUMBER(MATCH($X4325,계정대체기준!$D$77:$D$86,0)),ISNUMBER(MATCH($F4325,계정대체기준!$D$77:$D$86,0))),"Y","N")))</f>
        <v/>
      </c>
    </row>
    <row r="4326">
      <c r="A4326" s="92" t="n">
        <v>2026</v>
      </c>
      <c r="B4326" s="92" t="n">
        <v>8</v>
      </c>
      <c r="C4326" s="92" t="inlineStr">
        <is>
          <t>5100001604</t>
        </is>
      </c>
      <c r="D4326" s="95" t="n">
        <v>46237</v>
      </c>
      <c r="E4326" s="92" t="inlineStr">
        <is>
          <t>KR</t>
        </is>
      </c>
      <c r="F4326" s="92" t="n">
        <v>62102000</v>
      </c>
      <c r="G4326" s="92" t="n">
        <v>1951</v>
      </c>
      <c r="H4326" s="93" t="n">
        <v>59000</v>
      </c>
      <c r="I4326" s="92" t="inlineStr">
        <is>
          <t>8월 해외출장 - N호텔</t>
        </is>
      </c>
      <c r="J4326" s="92" t="inlineStr">
        <is>
          <t>V10009</t>
        </is>
      </c>
      <c r="K4326" s="92" t="inlineStr">
        <is>
          <t>N호텔</t>
        </is>
      </c>
      <c r="M4326" s="9">
        <f>IF($A4326="","",VALUE($A4326&amp;"")*12+VALUE($B4326&amp;""))</f>
        <v/>
      </c>
      <c r="N4326" s="64">
        <f>IF($A4326="","",IFERROR(INDEX(부서매핑!$C$5:$C$504,MATCH($G4326&amp;"",부서매핑!$A$5:$A$504,0)),"미매핑"))</f>
        <v/>
      </c>
      <c r="O4326" s="9">
        <f>IF($A4326="","",N4326&amp;"|"&amp;$F4326)</f>
        <v/>
      </c>
      <c r="P4326" s="94">
        <f>IF($A4326="",0,$H4326*설정!$C$23)</f>
        <v/>
      </c>
      <c r="Q4326" s="64">
        <f>IF($A4326="","",IF(O4326&lt;&gt;원인분석!$C$9,"",IF(AND(M4326&gt;=원인분석!$C$10,M4326&lt;=원인분석!$C$11),"당기",IF(AND(M4326&gt;=원인분석!$C$12,M4326&lt;=원인분석!$C$13),"비교",""))))</f>
        <v/>
      </c>
      <c r="R4326" s="9">
        <f>IF(Q4326="","",$K4326&amp;"")</f>
        <v/>
      </c>
      <c r="S4326" s="9">
        <f>IF(Q4326="","",IF(MATCH(R4326,$R$5:$R$100000,0)=ROW()-4,ROW(),""))</f>
        <v/>
      </c>
      <c r="T4326" s="9">
        <f>IF(Q4326="당기",ABS(P4326)+ROW()/1000000000,"")</f>
        <v/>
      </c>
      <c r="U4326" s="9">
        <f>IF(Q4326="비교",ABS(P4326)+ROW()/1000000000,"")</f>
        <v/>
      </c>
      <c r="V4326" s="64">
        <f>IF($A4326="","",IF(COUNTIF(변동분석!$E$7:$E$506,O4326)&gt;0,"Y","N"))</f>
        <v/>
      </c>
      <c r="W4326" s="64">
        <f>IF($A4326="","",IFERROR(INDEX(계정매핑!$D$5:$D$504,MATCH($F4326&amp;"",계정매핑!$A$5:$A$504,0)),"미매핑"))</f>
        <v/>
      </c>
      <c r="X4326" s="9">
        <f>IF($A4326="","",$F4326&amp;"")</f>
        <v/>
      </c>
      <c r="Y4326" s="94">
        <f>IF($A4326="",0,IF(AE4326="직접",IF(AF4326="비귀속",$P4326,0),$P4326*(1-AG4326)*IFERROR(INDEX(계정대체기준!$F$20:$F$49,MATCH($N4326,계정대체기준!$A$20:$A$49,0)),1)))</f>
        <v/>
      </c>
      <c r="Z4326" s="94">
        <f>IF($A4326="",0,IF(AE4326="직접",IF(AF4326="신계약비",$P4326,0),$P4326*(1-AG4326)*IFERROR(INDEX(계정대체기준!$C$20:$C$49,MATCH($N4326,계정대체기준!$A$20:$A$49,0)),0)))</f>
        <v/>
      </c>
      <c r="AA4326" s="94">
        <f>IF($A4326="",0,IF(AE4326="직접",IF(OR(AF4326="유지비",AF4326="손해조사비"),$P4326,0),$P4326*(1-AG4326)*IFERROR(INDEX(계정대체기준!$D$20:$D$49,MATCH($N4326,계정대체기준!$A$20:$A$49,0)),0)))</f>
        <v/>
      </c>
      <c r="AB4326" s="94">
        <f>IF($A4326="",0,IF(AE4326="직접",IF(AF4326="수금비",$P4326,0),$P4326*(1-AG4326)*IFERROR(INDEX(계정대체기준!$E$20:$E$49,MATCH($N4326,계정대체기준!$A$20:$A$49,0)),0)))</f>
        <v/>
      </c>
      <c r="AC4326" s="9">
        <f>IF(AND($A4326&lt;&gt;"",M4326=설정!$C$20,Z4326&gt;0),Z4326+ROW()/1000000000,"")</f>
        <v/>
      </c>
      <c r="AD4326" s="94">
        <f>IF($A4326="",0,$P4326*AG4326)</f>
        <v/>
      </c>
      <c r="AE4326" s="64">
        <f>IF($A4326="","",IFERROR(INDEX(계정매핑!$E$5:$E$504,MATCH($F4326&amp;"",계정매핑!$A$5:$A$504,0))&amp;"","공통비"))</f>
        <v/>
      </c>
      <c r="AF4326" s="64">
        <f>IF($A4326="","",IF(AE4326="직접",IFERROR(INDEX(계정매핑!$F$5:$F$504,MATCH($F4326&amp;"",계정매핑!$A$5:$A$504,0))&amp;"","비귀속"),""))</f>
        <v/>
      </c>
      <c r="AG4326" s="96">
        <f>IF($A4326="",0,IF(AND(AE4326&lt;&gt;"직접",IFERROR(INDEX(계정매핑!$G$5:$G$504,MATCH($F4326&amp;"",계정매핑!$A$5:$A$504,0))&amp;"","")="유지비",COUNTIF(계정대체기준!$A$6:$A$15,$N4326)&gt;0),IFERROR(INDEX(계정대체기준!$E$6:$E$15,MATCH(VALUE($A4326&amp;""),계정대체기준!$D$6:$D$15,0)),0),0))</f>
        <v/>
      </c>
      <c r="AH4326" s="64">
        <f>IF($A4326="","",IF(AD4326=0,"",IF(OR(COUNTIF(계정대체기준!$A$77:$A$86,$N4326)&gt;0,ISNUMBER(MATCH($X4326,계정대체기준!$D$77:$D$86,0)),ISNUMBER(MATCH($F4326,계정대체기준!$D$77:$D$86,0))),"Y","N")))</f>
        <v/>
      </c>
    </row>
    <row r="4327">
      <c r="A4327" s="92" t="n">
        <v>2026</v>
      </c>
      <c r="B4327" s="92" t="n">
        <v>8</v>
      </c>
      <c r="C4327" s="92" t="inlineStr">
        <is>
          <t>5100001605</t>
        </is>
      </c>
      <c r="D4327" s="95" t="n">
        <v>46237</v>
      </c>
      <c r="E4327" s="92" t="inlineStr">
        <is>
          <t>KR</t>
        </is>
      </c>
      <c r="F4327" s="92" t="n">
        <v>62301000</v>
      </c>
      <c r="G4327" s="92" t="n">
        <v>1201</v>
      </c>
      <c r="H4327" s="93" t="n">
        <v>146000</v>
      </c>
      <c r="I4327" s="92" t="inlineStr">
        <is>
          <t>8월 소모품 구입 - R문구</t>
        </is>
      </c>
      <c r="J4327" s="92" t="inlineStr">
        <is>
          <t>V10022</t>
        </is>
      </c>
      <c r="K4327" s="92" t="inlineStr">
        <is>
          <t>R문구</t>
        </is>
      </c>
      <c r="M4327" s="9">
        <f>IF($A4327="","",VALUE($A4327&amp;"")*12+VALUE($B4327&amp;""))</f>
        <v/>
      </c>
      <c r="N4327" s="64">
        <f>IF($A4327="","",IFERROR(INDEX(부서매핑!$C$5:$C$504,MATCH($G4327&amp;"",부서매핑!$A$5:$A$504,0)),"미매핑"))</f>
        <v/>
      </c>
      <c r="O4327" s="9">
        <f>IF($A4327="","",N4327&amp;"|"&amp;$F4327)</f>
        <v/>
      </c>
      <c r="P4327" s="94">
        <f>IF($A4327="",0,$H4327*설정!$C$23)</f>
        <v/>
      </c>
      <c r="Q4327" s="64">
        <f>IF($A4327="","",IF(O4327&lt;&gt;원인분석!$C$9,"",IF(AND(M4327&gt;=원인분석!$C$10,M4327&lt;=원인분석!$C$11),"당기",IF(AND(M4327&gt;=원인분석!$C$12,M4327&lt;=원인분석!$C$13),"비교",""))))</f>
        <v/>
      </c>
      <c r="R4327" s="9">
        <f>IF(Q4327="","",$K4327&amp;"")</f>
        <v/>
      </c>
      <c r="S4327" s="9">
        <f>IF(Q4327="","",IF(MATCH(R4327,$R$5:$R$100000,0)=ROW()-4,ROW(),""))</f>
        <v/>
      </c>
      <c r="T4327" s="9">
        <f>IF(Q4327="당기",ABS(P4327)+ROW()/1000000000,"")</f>
        <v/>
      </c>
      <c r="U4327" s="9">
        <f>IF(Q4327="비교",ABS(P4327)+ROW()/1000000000,"")</f>
        <v/>
      </c>
      <c r="V4327" s="64">
        <f>IF($A4327="","",IF(COUNTIF(변동분석!$E$7:$E$506,O4327)&gt;0,"Y","N"))</f>
        <v/>
      </c>
      <c r="W4327" s="64">
        <f>IF($A4327="","",IFERROR(INDEX(계정매핑!$D$5:$D$504,MATCH($F4327&amp;"",계정매핑!$A$5:$A$504,0)),"미매핑"))</f>
        <v/>
      </c>
      <c r="X4327" s="9">
        <f>IF($A4327="","",$F4327&amp;"")</f>
        <v/>
      </c>
      <c r="Y4327" s="94">
        <f>IF($A4327="",0,IF(AE4327="직접",IF(AF4327="비귀속",$P4327,0),$P4327*(1-AG4327)*IFERROR(INDEX(계정대체기준!$F$20:$F$49,MATCH($N4327,계정대체기준!$A$20:$A$49,0)),1)))</f>
        <v/>
      </c>
      <c r="Z4327" s="94">
        <f>IF($A4327="",0,IF(AE4327="직접",IF(AF4327="신계약비",$P4327,0),$P4327*(1-AG4327)*IFERROR(INDEX(계정대체기준!$C$20:$C$49,MATCH($N4327,계정대체기준!$A$20:$A$49,0)),0)))</f>
        <v/>
      </c>
      <c r="AA4327" s="94">
        <f>IF($A4327="",0,IF(AE4327="직접",IF(OR(AF4327="유지비",AF4327="손해조사비"),$P4327,0),$P4327*(1-AG4327)*IFERROR(INDEX(계정대체기준!$D$20:$D$49,MATCH($N4327,계정대체기준!$A$20:$A$49,0)),0)))</f>
        <v/>
      </c>
      <c r="AB4327" s="94">
        <f>IF($A4327="",0,IF(AE4327="직접",IF(AF4327="수금비",$P4327,0),$P4327*(1-AG4327)*IFERROR(INDEX(계정대체기준!$E$20:$E$49,MATCH($N4327,계정대체기준!$A$20:$A$49,0)),0)))</f>
        <v/>
      </c>
      <c r="AC4327" s="9">
        <f>IF(AND($A4327&lt;&gt;"",M4327=설정!$C$20,Z4327&gt;0),Z4327+ROW()/1000000000,"")</f>
        <v/>
      </c>
      <c r="AD4327" s="94">
        <f>IF($A4327="",0,$P4327*AG4327)</f>
        <v/>
      </c>
      <c r="AE4327" s="64">
        <f>IF($A4327="","",IFERROR(INDEX(계정매핑!$E$5:$E$504,MATCH($F4327&amp;"",계정매핑!$A$5:$A$504,0))&amp;"","공통비"))</f>
        <v/>
      </c>
      <c r="AF4327" s="64">
        <f>IF($A4327="","",IF(AE4327="직접",IFERROR(INDEX(계정매핑!$F$5:$F$504,MATCH($F4327&amp;"",계정매핑!$A$5:$A$504,0))&amp;"","비귀속"),""))</f>
        <v/>
      </c>
      <c r="AG4327" s="96">
        <f>IF($A4327="",0,IF(AND(AE4327&lt;&gt;"직접",IFERROR(INDEX(계정매핑!$G$5:$G$504,MATCH($F4327&amp;"",계정매핑!$A$5:$A$504,0))&amp;"","")="유지비",COUNTIF(계정대체기준!$A$6:$A$15,$N4327)&gt;0),IFERROR(INDEX(계정대체기준!$E$6:$E$15,MATCH(VALUE($A4327&amp;""),계정대체기준!$D$6:$D$15,0)),0),0))</f>
        <v/>
      </c>
      <c r="AH4327" s="64">
        <f>IF($A4327="","",IF(AD4327=0,"",IF(OR(COUNTIF(계정대체기준!$A$77:$A$86,$N4327)&gt;0,ISNUMBER(MATCH($X4327,계정대체기준!$D$77:$D$86,0)),ISNUMBER(MATCH($F4327,계정대체기준!$D$77:$D$86,0))),"Y","N")))</f>
        <v/>
      </c>
    </row>
    <row r="4328">
      <c r="A4328" s="92" t="n">
        <v>2026</v>
      </c>
      <c r="B4328" s="92" t="n">
        <v>8</v>
      </c>
      <c r="C4328" s="92" t="inlineStr">
        <is>
          <t>5100001606</t>
        </is>
      </c>
      <c r="D4328" s="95" t="n">
        <v>46237</v>
      </c>
      <c r="E4328" s="92" t="inlineStr">
        <is>
          <t>KR</t>
        </is>
      </c>
      <c r="F4328" s="92" t="n">
        <v>62501000</v>
      </c>
      <c r="G4328" s="92" t="n">
        <v>1101</v>
      </c>
      <c r="H4328" s="93" t="n">
        <v>250000</v>
      </c>
      <c r="I4328" s="92" t="inlineStr">
        <is>
          <t>8월 회의 다과 - T케이터링</t>
        </is>
      </c>
      <c r="J4328" s="92" t="inlineStr">
        <is>
          <t>V10005</t>
        </is>
      </c>
      <c r="K4328" s="92" t="inlineStr">
        <is>
          <t>T케이터링</t>
        </is>
      </c>
      <c r="M4328" s="9">
        <f>IF($A4328="","",VALUE($A4328&amp;"")*12+VALUE($B4328&amp;""))</f>
        <v/>
      </c>
      <c r="N4328" s="64">
        <f>IF($A4328="","",IFERROR(INDEX(부서매핑!$C$5:$C$504,MATCH($G4328&amp;"",부서매핑!$A$5:$A$504,0)),"미매핑"))</f>
        <v/>
      </c>
      <c r="O4328" s="9">
        <f>IF($A4328="","",N4328&amp;"|"&amp;$F4328)</f>
        <v/>
      </c>
      <c r="P4328" s="94">
        <f>IF($A4328="",0,$H4328*설정!$C$23)</f>
        <v/>
      </c>
      <c r="Q4328" s="64">
        <f>IF($A4328="","",IF(O4328&lt;&gt;원인분석!$C$9,"",IF(AND(M4328&gt;=원인분석!$C$10,M4328&lt;=원인분석!$C$11),"당기",IF(AND(M4328&gt;=원인분석!$C$12,M4328&lt;=원인분석!$C$13),"비교",""))))</f>
        <v/>
      </c>
      <c r="R4328" s="9">
        <f>IF(Q4328="","",$K4328&amp;"")</f>
        <v/>
      </c>
      <c r="S4328" s="9">
        <f>IF(Q4328="","",IF(MATCH(R4328,$R$5:$R$100000,0)=ROW()-4,ROW(),""))</f>
        <v/>
      </c>
      <c r="T4328" s="9">
        <f>IF(Q4328="당기",ABS(P4328)+ROW()/1000000000,"")</f>
        <v/>
      </c>
      <c r="U4328" s="9">
        <f>IF(Q4328="비교",ABS(P4328)+ROW()/1000000000,"")</f>
        <v/>
      </c>
      <c r="V4328" s="64">
        <f>IF($A4328="","",IF(COUNTIF(변동분석!$E$7:$E$506,O4328)&gt;0,"Y","N"))</f>
        <v/>
      </c>
      <c r="W4328" s="64">
        <f>IF($A4328="","",IFERROR(INDEX(계정매핑!$D$5:$D$504,MATCH($F4328&amp;"",계정매핑!$A$5:$A$504,0)),"미매핑"))</f>
        <v/>
      </c>
      <c r="X4328" s="9">
        <f>IF($A4328="","",$F4328&amp;"")</f>
        <v/>
      </c>
      <c r="Y4328" s="94">
        <f>IF($A4328="",0,IF(AE4328="직접",IF(AF4328="비귀속",$P4328,0),$P4328*(1-AG4328)*IFERROR(INDEX(계정대체기준!$F$20:$F$49,MATCH($N4328,계정대체기준!$A$20:$A$49,0)),1)))</f>
        <v/>
      </c>
      <c r="Z4328" s="94">
        <f>IF($A4328="",0,IF(AE4328="직접",IF(AF4328="신계약비",$P4328,0),$P4328*(1-AG4328)*IFERROR(INDEX(계정대체기준!$C$20:$C$49,MATCH($N4328,계정대체기준!$A$20:$A$49,0)),0)))</f>
        <v/>
      </c>
      <c r="AA4328" s="94">
        <f>IF($A4328="",0,IF(AE4328="직접",IF(OR(AF4328="유지비",AF4328="손해조사비"),$P4328,0),$P4328*(1-AG4328)*IFERROR(INDEX(계정대체기준!$D$20:$D$49,MATCH($N4328,계정대체기준!$A$20:$A$49,0)),0)))</f>
        <v/>
      </c>
      <c r="AB4328" s="94">
        <f>IF($A4328="",0,IF(AE4328="직접",IF(AF4328="수금비",$P4328,0),$P4328*(1-AG4328)*IFERROR(INDEX(계정대체기준!$E$20:$E$49,MATCH($N4328,계정대체기준!$A$20:$A$49,0)),0)))</f>
        <v/>
      </c>
      <c r="AC4328" s="9">
        <f>IF(AND($A4328&lt;&gt;"",M4328=설정!$C$20,Z4328&gt;0),Z4328+ROW()/1000000000,"")</f>
        <v/>
      </c>
      <c r="AD4328" s="94">
        <f>IF($A4328="",0,$P4328*AG4328)</f>
        <v/>
      </c>
      <c r="AE4328" s="64">
        <f>IF($A4328="","",IFERROR(INDEX(계정매핑!$E$5:$E$504,MATCH($F4328&amp;"",계정매핑!$A$5:$A$504,0))&amp;"","공통비"))</f>
        <v/>
      </c>
      <c r="AF4328" s="64">
        <f>IF($A4328="","",IF(AE4328="직접",IFERROR(INDEX(계정매핑!$F$5:$F$504,MATCH($F4328&amp;"",계정매핑!$A$5:$A$504,0))&amp;"","비귀속"),""))</f>
        <v/>
      </c>
      <c r="AG4328" s="96">
        <f>IF($A4328="",0,IF(AND(AE4328&lt;&gt;"직접",IFERROR(INDEX(계정매핑!$G$5:$G$504,MATCH($F4328&amp;"",계정매핑!$A$5:$A$504,0))&amp;"","")="유지비",COUNTIF(계정대체기준!$A$6:$A$15,$N4328)&gt;0),IFERROR(INDEX(계정대체기준!$E$6:$E$15,MATCH(VALUE($A4328&amp;""),계정대체기준!$D$6:$D$15,0)),0),0))</f>
        <v/>
      </c>
      <c r="AH4328" s="64">
        <f>IF($A4328="","",IF(AD4328=0,"",IF(OR(COUNTIF(계정대체기준!$A$77:$A$86,$N4328)&gt;0,ISNUMBER(MATCH($X4328,계정대체기준!$D$77:$D$86,0)),ISNUMBER(MATCH($F4328,계정대체기준!$D$77:$D$86,0))),"Y","N")))</f>
        <v/>
      </c>
    </row>
    <row r="4329">
      <c r="A4329" s="92" t="n">
        <v>2026</v>
      </c>
      <c r="B4329" s="92" t="n">
        <v>8</v>
      </c>
      <c r="C4329" s="92" t="inlineStr">
        <is>
          <t>5100001607</t>
        </is>
      </c>
      <c r="D4329" s="95" t="n">
        <v>46237</v>
      </c>
      <c r="E4329" s="92" t="inlineStr">
        <is>
          <t>KR</t>
        </is>
      </c>
      <c r="F4329" s="92" t="n">
        <v>62501000</v>
      </c>
      <c r="G4329" s="92" t="n">
        <v>1401</v>
      </c>
      <c r="H4329" s="93" t="n">
        <v>214000</v>
      </c>
      <c r="I4329" s="92" t="inlineStr">
        <is>
          <t>8월 회의 다과 - T케이터링</t>
        </is>
      </c>
      <c r="J4329" s="92" t="inlineStr">
        <is>
          <t>V10005</t>
        </is>
      </c>
      <c r="K4329" s="92" t="inlineStr">
        <is>
          <t>T케이터링</t>
        </is>
      </c>
      <c r="M4329" s="9">
        <f>IF($A4329="","",VALUE($A4329&amp;"")*12+VALUE($B4329&amp;""))</f>
        <v/>
      </c>
      <c r="N4329" s="64">
        <f>IF($A4329="","",IFERROR(INDEX(부서매핑!$C$5:$C$504,MATCH($G4329&amp;"",부서매핑!$A$5:$A$504,0)),"미매핑"))</f>
        <v/>
      </c>
      <c r="O4329" s="9">
        <f>IF($A4329="","",N4329&amp;"|"&amp;$F4329)</f>
        <v/>
      </c>
      <c r="P4329" s="94">
        <f>IF($A4329="",0,$H4329*설정!$C$23)</f>
        <v/>
      </c>
      <c r="Q4329" s="64">
        <f>IF($A4329="","",IF(O4329&lt;&gt;원인분석!$C$9,"",IF(AND(M4329&gt;=원인분석!$C$10,M4329&lt;=원인분석!$C$11),"당기",IF(AND(M4329&gt;=원인분석!$C$12,M4329&lt;=원인분석!$C$13),"비교",""))))</f>
        <v/>
      </c>
      <c r="R4329" s="9">
        <f>IF(Q4329="","",$K4329&amp;"")</f>
        <v/>
      </c>
      <c r="S4329" s="9">
        <f>IF(Q4329="","",IF(MATCH(R4329,$R$5:$R$100000,0)=ROW()-4,ROW(),""))</f>
        <v/>
      </c>
      <c r="T4329" s="9">
        <f>IF(Q4329="당기",ABS(P4329)+ROW()/1000000000,"")</f>
        <v/>
      </c>
      <c r="U4329" s="9">
        <f>IF(Q4329="비교",ABS(P4329)+ROW()/1000000000,"")</f>
        <v/>
      </c>
      <c r="V4329" s="64">
        <f>IF($A4329="","",IF(COUNTIF(변동분석!$E$7:$E$506,O4329)&gt;0,"Y","N"))</f>
        <v/>
      </c>
      <c r="W4329" s="64">
        <f>IF($A4329="","",IFERROR(INDEX(계정매핑!$D$5:$D$504,MATCH($F4329&amp;"",계정매핑!$A$5:$A$504,0)),"미매핑"))</f>
        <v/>
      </c>
      <c r="X4329" s="9">
        <f>IF($A4329="","",$F4329&amp;"")</f>
        <v/>
      </c>
      <c r="Y4329" s="94">
        <f>IF($A4329="",0,IF(AE4329="직접",IF(AF4329="비귀속",$P4329,0),$P4329*(1-AG4329)*IFERROR(INDEX(계정대체기준!$F$20:$F$49,MATCH($N4329,계정대체기준!$A$20:$A$49,0)),1)))</f>
        <v/>
      </c>
      <c r="Z4329" s="94">
        <f>IF($A4329="",0,IF(AE4329="직접",IF(AF4329="신계약비",$P4329,0),$P4329*(1-AG4329)*IFERROR(INDEX(계정대체기준!$C$20:$C$49,MATCH($N4329,계정대체기준!$A$20:$A$49,0)),0)))</f>
        <v/>
      </c>
      <c r="AA4329" s="94">
        <f>IF($A4329="",0,IF(AE4329="직접",IF(OR(AF4329="유지비",AF4329="손해조사비"),$P4329,0),$P4329*(1-AG4329)*IFERROR(INDEX(계정대체기준!$D$20:$D$49,MATCH($N4329,계정대체기준!$A$20:$A$49,0)),0)))</f>
        <v/>
      </c>
      <c r="AB4329" s="94">
        <f>IF($A4329="",0,IF(AE4329="직접",IF(AF4329="수금비",$P4329,0),$P4329*(1-AG4329)*IFERROR(INDEX(계정대체기준!$E$20:$E$49,MATCH($N4329,계정대체기준!$A$20:$A$49,0)),0)))</f>
        <v/>
      </c>
      <c r="AC4329" s="9">
        <f>IF(AND($A4329&lt;&gt;"",M4329=설정!$C$20,Z4329&gt;0),Z4329+ROW()/1000000000,"")</f>
        <v/>
      </c>
      <c r="AD4329" s="94">
        <f>IF($A4329="",0,$P4329*AG4329)</f>
        <v/>
      </c>
      <c r="AE4329" s="64">
        <f>IF($A4329="","",IFERROR(INDEX(계정매핑!$E$5:$E$504,MATCH($F4329&amp;"",계정매핑!$A$5:$A$504,0))&amp;"","공통비"))</f>
        <v/>
      </c>
      <c r="AF4329" s="64">
        <f>IF($A4329="","",IF(AE4329="직접",IFERROR(INDEX(계정매핑!$F$5:$F$504,MATCH($F4329&amp;"",계정매핑!$A$5:$A$504,0))&amp;"","비귀속"),""))</f>
        <v/>
      </c>
      <c r="AG4329" s="96">
        <f>IF($A4329="",0,IF(AND(AE4329&lt;&gt;"직접",IFERROR(INDEX(계정매핑!$G$5:$G$504,MATCH($F4329&amp;"",계정매핑!$A$5:$A$504,0))&amp;"","")="유지비",COUNTIF(계정대체기준!$A$6:$A$15,$N4329)&gt;0),IFERROR(INDEX(계정대체기준!$E$6:$E$15,MATCH(VALUE($A4329&amp;""),계정대체기준!$D$6:$D$15,0)),0),0))</f>
        <v/>
      </c>
      <c r="AH4329" s="64">
        <f>IF($A4329="","",IF(AD4329=0,"",IF(OR(COUNTIF(계정대체기준!$A$77:$A$86,$N4329)&gt;0,ISNUMBER(MATCH($X4329,계정대체기준!$D$77:$D$86,0)),ISNUMBER(MATCH($F4329,계정대체기준!$D$77:$D$86,0))),"Y","N")))</f>
        <v/>
      </c>
    </row>
    <row r="4330">
      <c r="A4330" s="92" t="n">
        <v>2026</v>
      </c>
      <c r="B4330" s="92" t="n">
        <v>8</v>
      </c>
      <c r="C4330" s="92" t="inlineStr">
        <is>
          <t>5100001608</t>
        </is>
      </c>
      <c r="D4330" s="95" t="n">
        <v>46237</v>
      </c>
      <c r="E4330" s="92" t="inlineStr">
        <is>
          <t>KR</t>
        </is>
      </c>
      <c r="F4330" s="92" t="n">
        <v>62501000</v>
      </c>
      <c r="G4330" s="92" t="n">
        <v>1701</v>
      </c>
      <c r="H4330" s="93" t="n">
        <v>84000</v>
      </c>
      <c r="I4330" s="92" t="inlineStr">
        <is>
          <t>8월 회의 다과 - (법인카드)</t>
        </is>
      </c>
      <c r="J4330" s="92" t="inlineStr">
        <is>
          <t>V10010</t>
        </is>
      </c>
      <c r="K4330" s="92" t="inlineStr">
        <is>
          <t>(법인카드)</t>
        </is>
      </c>
      <c r="M4330" s="9">
        <f>IF($A4330="","",VALUE($A4330&amp;"")*12+VALUE($B4330&amp;""))</f>
        <v/>
      </c>
      <c r="N4330" s="64">
        <f>IF($A4330="","",IFERROR(INDEX(부서매핑!$C$5:$C$504,MATCH($G4330&amp;"",부서매핑!$A$5:$A$504,0)),"미매핑"))</f>
        <v/>
      </c>
      <c r="O4330" s="9">
        <f>IF($A4330="","",N4330&amp;"|"&amp;$F4330)</f>
        <v/>
      </c>
      <c r="P4330" s="94">
        <f>IF($A4330="",0,$H4330*설정!$C$23)</f>
        <v/>
      </c>
      <c r="Q4330" s="64">
        <f>IF($A4330="","",IF(O4330&lt;&gt;원인분석!$C$9,"",IF(AND(M4330&gt;=원인분석!$C$10,M4330&lt;=원인분석!$C$11),"당기",IF(AND(M4330&gt;=원인분석!$C$12,M4330&lt;=원인분석!$C$13),"비교",""))))</f>
        <v/>
      </c>
      <c r="R4330" s="9">
        <f>IF(Q4330="","",$K4330&amp;"")</f>
        <v/>
      </c>
      <c r="S4330" s="9">
        <f>IF(Q4330="","",IF(MATCH(R4330,$R$5:$R$100000,0)=ROW()-4,ROW(),""))</f>
        <v/>
      </c>
      <c r="T4330" s="9">
        <f>IF(Q4330="당기",ABS(P4330)+ROW()/1000000000,"")</f>
        <v/>
      </c>
      <c r="U4330" s="9">
        <f>IF(Q4330="비교",ABS(P4330)+ROW()/1000000000,"")</f>
        <v/>
      </c>
      <c r="V4330" s="64">
        <f>IF($A4330="","",IF(COUNTIF(변동분석!$E$7:$E$506,O4330)&gt;0,"Y","N"))</f>
        <v/>
      </c>
      <c r="W4330" s="64">
        <f>IF($A4330="","",IFERROR(INDEX(계정매핑!$D$5:$D$504,MATCH($F4330&amp;"",계정매핑!$A$5:$A$504,0)),"미매핑"))</f>
        <v/>
      </c>
      <c r="X4330" s="9">
        <f>IF($A4330="","",$F4330&amp;"")</f>
        <v/>
      </c>
      <c r="Y4330" s="94">
        <f>IF($A4330="",0,IF(AE4330="직접",IF(AF4330="비귀속",$P4330,0),$P4330*(1-AG4330)*IFERROR(INDEX(계정대체기준!$F$20:$F$49,MATCH($N4330,계정대체기준!$A$20:$A$49,0)),1)))</f>
        <v/>
      </c>
      <c r="Z4330" s="94">
        <f>IF($A4330="",0,IF(AE4330="직접",IF(AF4330="신계약비",$P4330,0),$P4330*(1-AG4330)*IFERROR(INDEX(계정대체기준!$C$20:$C$49,MATCH($N4330,계정대체기준!$A$20:$A$49,0)),0)))</f>
        <v/>
      </c>
      <c r="AA4330" s="94">
        <f>IF($A4330="",0,IF(AE4330="직접",IF(OR(AF4330="유지비",AF4330="손해조사비"),$P4330,0),$P4330*(1-AG4330)*IFERROR(INDEX(계정대체기준!$D$20:$D$49,MATCH($N4330,계정대체기준!$A$20:$A$49,0)),0)))</f>
        <v/>
      </c>
      <c r="AB4330" s="94">
        <f>IF($A4330="",0,IF(AE4330="직접",IF(AF4330="수금비",$P4330,0),$P4330*(1-AG4330)*IFERROR(INDEX(계정대체기준!$E$20:$E$49,MATCH($N4330,계정대체기준!$A$20:$A$49,0)),0)))</f>
        <v/>
      </c>
      <c r="AC4330" s="9">
        <f>IF(AND($A4330&lt;&gt;"",M4330=설정!$C$20,Z4330&gt;0),Z4330+ROW()/1000000000,"")</f>
        <v/>
      </c>
      <c r="AD4330" s="94">
        <f>IF($A4330="",0,$P4330*AG4330)</f>
        <v/>
      </c>
      <c r="AE4330" s="64">
        <f>IF($A4330="","",IFERROR(INDEX(계정매핑!$E$5:$E$504,MATCH($F4330&amp;"",계정매핑!$A$5:$A$504,0))&amp;"","공통비"))</f>
        <v/>
      </c>
      <c r="AF4330" s="64">
        <f>IF($A4330="","",IF(AE4330="직접",IFERROR(INDEX(계정매핑!$F$5:$F$504,MATCH($F4330&amp;"",계정매핑!$A$5:$A$504,0))&amp;"","비귀속"),""))</f>
        <v/>
      </c>
      <c r="AG4330" s="96">
        <f>IF($A4330="",0,IF(AND(AE4330&lt;&gt;"직접",IFERROR(INDEX(계정매핑!$G$5:$G$504,MATCH($F4330&amp;"",계정매핑!$A$5:$A$504,0))&amp;"","")="유지비",COUNTIF(계정대체기준!$A$6:$A$15,$N4330)&gt;0),IFERROR(INDEX(계정대체기준!$E$6:$E$15,MATCH(VALUE($A4330&amp;""),계정대체기준!$D$6:$D$15,0)),0),0))</f>
        <v/>
      </c>
      <c r="AH4330" s="64">
        <f>IF($A4330="","",IF(AD4330=0,"",IF(OR(COUNTIF(계정대체기준!$A$77:$A$86,$N4330)&gt;0,ISNUMBER(MATCH($X4330,계정대체기준!$D$77:$D$86,0)),ISNUMBER(MATCH($F4330,계정대체기준!$D$77:$D$86,0))),"Y","N")))</f>
        <v/>
      </c>
    </row>
    <row r="4331">
      <c r="A4331" s="92" t="n">
        <v>2026</v>
      </c>
      <c r="B4331" s="92" t="n">
        <v>8</v>
      </c>
      <c r="C4331" s="92" t="inlineStr">
        <is>
          <t>5100001609</t>
        </is>
      </c>
      <c r="D4331" s="95" t="n">
        <v>46237</v>
      </c>
      <c r="E4331" s="92" t="inlineStr">
        <is>
          <t>KR</t>
        </is>
      </c>
      <c r="F4331" s="92" t="n">
        <v>62802000</v>
      </c>
      <c r="G4331" s="92" t="n">
        <v>1301</v>
      </c>
      <c r="H4331" s="93" t="n">
        <v>2883000</v>
      </c>
      <c r="I4331" s="92" t="inlineStr">
        <is>
          <t>8월 위탁교육 - V아카데미</t>
        </is>
      </c>
      <c r="J4331" s="92" t="inlineStr">
        <is>
          <t>V10027</t>
        </is>
      </c>
      <c r="K4331" s="92" t="inlineStr">
        <is>
          <t>V아카데미</t>
        </is>
      </c>
      <c r="M4331" s="9">
        <f>IF($A4331="","",VALUE($A4331&amp;"")*12+VALUE($B4331&amp;""))</f>
        <v/>
      </c>
      <c r="N4331" s="64">
        <f>IF($A4331="","",IFERROR(INDEX(부서매핑!$C$5:$C$504,MATCH($G4331&amp;"",부서매핑!$A$5:$A$504,0)),"미매핑"))</f>
        <v/>
      </c>
      <c r="O4331" s="9">
        <f>IF($A4331="","",N4331&amp;"|"&amp;$F4331)</f>
        <v/>
      </c>
      <c r="P4331" s="94">
        <f>IF($A4331="",0,$H4331*설정!$C$23)</f>
        <v/>
      </c>
      <c r="Q4331" s="64">
        <f>IF($A4331="","",IF(O4331&lt;&gt;원인분석!$C$9,"",IF(AND(M4331&gt;=원인분석!$C$10,M4331&lt;=원인분석!$C$11),"당기",IF(AND(M4331&gt;=원인분석!$C$12,M4331&lt;=원인분석!$C$13),"비교",""))))</f>
        <v/>
      </c>
      <c r="R4331" s="9">
        <f>IF(Q4331="","",$K4331&amp;"")</f>
        <v/>
      </c>
      <c r="S4331" s="9">
        <f>IF(Q4331="","",IF(MATCH(R4331,$R$5:$R$100000,0)=ROW()-4,ROW(),""))</f>
        <v/>
      </c>
      <c r="T4331" s="9">
        <f>IF(Q4331="당기",ABS(P4331)+ROW()/1000000000,"")</f>
        <v/>
      </c>
      <c r="U4331" s="9">
        <f>IF(Q4331="비교",ABS(P4331)+ROW()/1000000000,"")</f>
        <v/>
      </c>
      <c r="V4331" s="64">
        <f>IF($A4331="","",IF(COUNTIF(변동분석!$E$7:$E$506,O4331)&gt;0,"Y","N"))</f>
        <v/>
      </c>
      <c r="W4331" s="64">
        <f>IF($A4331="","",IFERROR(INDEX(계정매핑!$D$5:$D$504,MATCH($F4331&amp;"",계정매핑!$A$5:$A$504,0)),"미매핑"))</f>
        <v/>
      </c>
      <c r="X4331" s="9">
        <f>IF($A4331="","",$F4331&amp;"")</f>
        <v/>
      </c>
      <c r="Y4331" s="94">
        <f>IF($A4331="",0,IF(AE4331="직접",IF(AF4331="비귀속",$P4331,0),$P4331*(1-AG4331)*IFERROR(INDEX(계정대체기준!$F$20:$F$49,MATCH($N4331,계정대체기준!$A$20:$A$49,0)),1)))</f>
        <v/>
      </c>
      <c r="Z4331" s="94">
        <f>IF($A4331="",0,IF(AE4331="직접",IF(AF4331="신계약비",$P4331,0),$P4331*(1-AG4331)*IFERROR(INDEX(계정대체기준!$C$20:$C$49,MATCH($N4331,계정대체기준!$A$20:$A$49,0)),0)))</f>
        <v/>
      </c>
      <c r="AA4331" s="94">
        <f>IF($A4331="",0,IF(AE4331="직접",IF(OR(AF4331="유지비",AF4331="손해조사비"),$P4331,0),$P4331*(1-AG4331)*IFERROR(INDEX(계정대체기준!$D$20:$D$49,MATCH($N4331,계정대체기준!$A$20:$A$49,0)),0)))</f>
        <v/>
      </c>
      <c r="AB4331" s="94">
        <f>IF($A4331="",0,IF(AE4331="직접",IF(AF4331="수금비",$P4331,0),$P4331*(1-AG4331)*IFERROR(INDEX(계정대체기준!$E$20:$E$49,MATCH($N4331,계정대체기준!$A$20:$A$49,0)),0)))</f>
        <v/>
      </c>
      <c r="AC4331" s="9">
        <f>IF(AND($A4331&lt;&gt;"",M4331=설정!$C$20,Z4331&gt;0),Z4331+ROW()/1000000000,"")</f>
        <v/>
      </c>
      <c r="AD4331" s="94">
        <f>IF($A4331="",0,$P4331*AG4331)</f>
        <v/>
      </c>
      <c r="AE4331" s="64">
        <f>IF($A4331="","",IFERROR(INDEX(계정매핑!$E$5:$E$504,MATCH($F4331&amp;"",계정매핑!$A$5:$A$504,0))&amp;"","공통비"))</f>
        <v/>
      </c>
      <c r="AF4331" s="64">
        <f>IF($A4331="","",IF(AE4331="직접",IFERROR(INDEX(계정매핑!$F$5:$F$504,MATCH($F4331&amp;"",계정매핑!$A$5:$A$504,0))&amp;"","비귀속"),""))</f>
        <v/>
      </c>
      <c r="AG4331" s="96">
        <f>IF($A4331="",0,IF(AND(AE4331&lt;&gt;"직접",IFERROR(INDEX(계정매핑!$G$5:$G$504,MATCH($F4331&amp;"",계정매핑!$A$5:$A$504,0))&amp;"","")="유지비",COUNTIF(계정대체기준!$A$6:$A$15,$N4331)&gt;0),IFERROR(INDEX(계정대체기준!$E$6:$E$15,MATCH(VALUE($A4331&amp;""),계정대체기준!$D$6:$D$15,0)),0),0))</f>
        <v/>
      </c>
      <c r="AH4331" s="64">
        <f>IF($A4331="","",IF(AD4331=0,"",IF(OR(COUNTIF(계정대체기준!$A$77:$A$86,$N4331)&gt;0,ISNUMBER(MATCH($X4331,계정대체기준!$D$77:$D$86,0)),ISNUMBER(MATCH($F4331,계정대체기준!$D$77:$D$86,0))),"Y","N")))</f>
        <v/>
      </c>
    </row>
    <row r="4332">
      <c r="A4332" s="92" t="n">
        <v>2026</v>
      </c>
      <c r="B4332" s="92" t="n">
        <v>8</v>
      </c>
      <c r="C4332" s="92" t="inlineStr">
        <is>
          <t>5100001610</t>
        </is>
      </c>
      <c r="D4332" s="95" t="n">
        <v>46237</v>
      </c>
      <c r="E4332" s="92" t="inlineStr">
        <is>
          <t>KR</t>
        </is>
      </c>
      <c r="F4332" s="92" t="n">
        <v>62902000</v>
      </c>
      <c r="G4332" s="92" t="n">
        <v>1201</v>
      </c>
      <c r="H4332" s="93" t="n">
        <v>2574000</v>
      </c>
      <c r="I4332" s="92" t="inlineStr">
        <is>
          <t>8월 업무 위탁 수수료 - X서비스</t>
        </is>
      </c>
      <c r="J4332" s="92" t="inlineStr">
        <is>
          <t>V10020</t>
        </is>
      </c>
      <c r="K4332" s="92" t="inlineStr">
        <is>
          <t>X서비스</t>
        </is>
      </c>
      <c r="M4332" s="9">
        <f>IF($A4332="","",VALUE($A4332&amp;"")*12+VALUE($B4332&amp;""))</f>
        <v/>
      </c>
      <c r="N4332" s="64">
        <f>IF($A4332="","",IFERROR(INDEX(부서매핑!$C$5:$C$504,MATCH($G4332&amp;"",부서매핑!$A$5:$A$504,0)),"미매핑"))</f>
        <v/>
      </c>
      <c r="O4332" s="9">
        <f>IF($A4332="","",N4332&amp;"|"&amp;$F4332)</f>
        <v/>
      </c>
      <c r="P4332" s="94">
        <f>IF($A4332="",0,$H4332*설정!$C$23)</f>
        <v/>
      </c>
      <c r="Q4332" s="64">
        <f>IF($A4332="","",IF(O4332&lt;&gt;원인분석!$C$9,"",IF(AND(M4332&gt;=원인분석!$C$10,M4332&lt;=원인분석!$C$11),"당기",IF(AND(M4332&gt;=원인분석!$C$12,M4332&lt;=원인분석!$C$13),"비교",""))))</f>
        <v/>
      </c>
      <c r="R4332" s="9">
        <f>IF(Q4332="","",$K4332&amp;"")</f>
        <v/>
      </c>
      <c r="S4332" s="9">
        <f>IF(Q4332="","",IF(MATCH(R4332,$R$5:$R$100000,0)=ROW()-4,ROW(),""))</f>
        <v/>
      </c>
      <c r="T4332" s="9">
        <f>IF(Q4332="당기",ABS(P4332)+ROW()/1000000000,"")</f>
        <v/>
      </c>
      <c r="U4332" s="9">
        <f>IF(Q4332="비교",ABS(P4332)+ROW()/1000000000,"")</f>
        <v/>
      </c>
      <c r="V4332" s="64">
        <f>IF($A4332="","",IF(COUNTIF(변동분석!$E$7:$E$506,O4332)&gt;0,"Y","N"))</f>
        <v/>
      </c>
      <c r="W4332" s="64">
        <f>IF($A4332="","",IFERROR(INDEX(계정매핑!$D$5:$D$504,MATCH($F4332&amp;"",계정매핑!$A$5:$A$504,0)),"미매핑"))</f>
        <v/>
      </c>
      <c r="X4332" s="9">
        <f>IF($A4332="","",$F4332&amp;"")</f>
        <v/>
      </c>
      <c r="Y4332" s="94">
        <f>IF($A4332="",0,IF(AE4332="직접",IF(AF4332="비귀속",$P4332,0),$P4332*(1-AG4332)*IFERROR(INDEX(계정대체기준!$F$20:$F$49,MATCH($N4332,계정대체기준!$A$20:$A$49,0)),1)))</f>
        <v/>
      </c>
      <c r="Z4332" s="94">
        <f>IF($A4332="",0,IF(AE4332="직접",IF(AF4332="신계약비",$P4332,0),$P4332*(1-AG4332)*IFERROR(INDEX(계정대체기준!$C$20:$C$49,MATCH($N4332,계정대체기준!$A$20:$A$49,0)),0)))</f>
        <v/>
      </c>
      <c r="AA4332" s="94">
        <f>IF($A4332="",0,IF(AE4332="직접",IF(OR(AF4332="유지비",AF4332="손해조사비"),$P4332,0),$P4332*(1-AG4332)*IFERROR(INDEX(계정대체기준!$D$20:$D$49,MATCH($N4332,계정대체기준!$A$20:$A$49,0)),0)))</f>
        <v/>
      </c>
      <c r="AB4332" s="94">
        <f>IF($A4332="",0,IF(AE4332="직접",IF(AF4332="수금비",$P4332,0),$P4332*(1-AG4332)*IFERROR(INDEX(계정대체기준!$E$20:$E$49,MATCH($N4332,계정대체기준!$A$20:$A$49,0)),0)))</f>
        <v/>
      </c>
      <c r="AC4332" s="9">
        <f>IF(AND($A4332&lt;&gt;"",M4332=설정!$C$20,Z4332&gt;0),Z4332+ROW()/1000000000,"")</f>
        <v/>
      </c>
      <c r="AD4332" s="94">
        <f>IF($A4332="",0,$P4332*AG4332)</f>
        <v/>
      </c>
      <c r="AE4332" s="64">
        <f>IF($A4332="","",IFERROR(INDEX(계정매핑!$E$5:$E$504,MATCH($F4332&amp;"",계정매핑!$A$5:$A$504,0))&amp;"","공통비"))</f>
        <v/>
      </c>
      <c r="AF4332" s="64">
        <f>IF($A4332="","",IF(AE4332="직접",IFERROR(INDEX(계정매핑!$F$5:$F$504,MATCH($F4332&amp;"",계정매핑!$A$5:$A$504,0))&amp;"","비귀속"),""))</f>
        <v/>
      </c>
      <c r="AG4332" s="96">
        <f>IF($A4332="",0,IF(AND(AE4332&lt;&gt;"직접",IFERROR(INDEX(계정매핑!$G$5:$G$504,MATCH($F4332&amp;"",계정매핑!$A$5:$A$504,0))&amp;"","")="유지비",COUNTIF(계정대체기준!$A$6:$A$15,$N4332)&gt;0),IFERROR(INDEX(계정대체기준!$E$6:$E$15,MATCH(VALUE($A4332&amp;""),계정대체기준!$D$6:$D$15,0)),0),0))</f>
        <v/>
      </c>
      <c r="AH4332" s="64">
        <f>IF($A4332="","",IF(AD4332=0,"",IF(OR(COUNTIF(계정대체기준!$A$77:$A$86,$N4332)&gt;0,ISNUMBER(MATCH($X4332,계정대체기준!$D$77:$D$86,0)),ISNUMBER(MATCH($F4332,계정대체기준!$D$77:$D$86,0))),"Y","N")))</f>
        <v/>
      </c>
    </row>
    <row r="4333">
      <c r="A4333" s="92" t="n">
        <v>2026</v>
      </c>
      <c r="B4333" s="92" t="n">
        <v>8</v>
      </c>
      <c r="C4333" s="92" t="inlineStr">
        <is>
          <t>5100001611</t>
        </is>
      </c>
      <c r="D4333" s="95" t="n">
        <v>46238</v>
      </c>
      <c r="E4333" s="92" t="inlineStr">
        <is>
          <t>KR</t>
        </is>
      </c>
      <c r="F4333" s="92" t="n">
        <v>62101000</v>
      </c>
      <c r="G4333" s="92" t="n">
        <v>1201</v>
      </c>
      <c r="H4333" s="93" t="n">
        <v>219000</v>
      </c>
      <c r="I4333" s="92" t="inlineStr">
        <is>
          <t>8월 국내출장 - L여행사</t>
        </is>
      </c>
      <c r="J4333" s="92" t="inlineStr">
        <is>
          <t>V10018</t>
        </is>
      </c>
      <c r="K4333" s="92" t="inlineStr">
        <is>
          <t>L여행사</t>
        </is>
      </c>
      <c r="M4333" s="9">
        <f>IF($A4333="","",VALUE($A4333&amp;"")*12+VALUE($B4333&amp;""))</f>
        <v/>
      </c>
      <c r="N4333" s="64">
        <f>IF($A4333="","",IFERROR(INDEX(부서매핑!$C$5:$C$504,MATCH($G4333&amp;"",부서매핑!$A$5:$A$504,0)),"미매핑"))</f>
        <v/>
      </c>
      <c r="O4333" s="9">
        <f>IF($A4333="","",N4333&amp;"|"&amp;$F4333)</f>
        <v/>
      </c>
      <c r="P4333" s="94">
        <f>IF($A4333="",0,$H4333*설정!$C$23)</f>
        <v/>
      </c>
      <c r="Q4333" s="64">
        <f>IF($A4333="","",IF(O4333&lt;&gt;원인분석!$C$9,"",IF(AND(M4333&gt;=원인분석!$C$10,M4333&lt;=원인분석!$C$11),"당기",IF(AND(M4333&gt;=원인분석!$C$12,M4333&lt;=원인분석!$C$13),"비교",""))))</f>
        <v/>
      </c>
      <c r="R4333" s="9">
        <f>IF(Q4333="","",$K4333&amp;"")</f>
        <v/>
      </c>
      <c r="S4333" s="9">
        <f>IF(Q4333="","",IF(MATCH(R4333,$R$5:$R$100000,0)=ROW()-4,ROW(),""))</f>
        <v/>
      </c>
      <c r="T4333" s="9">
        <f>IF(Q4333="당기",ABS(P4333)+ROW()/1000000000,"")</f>
        <v/>
      </c>
      <c r="U4333" s="9">
        <f>IF(Q4333="비교",ABS(P4333)+ROW()/1000000000,"")</f>
        <v/>
      </c>
      <c r="V4333" s="64">
        <f>IF($A4333="","",IF(COUNTIF(변동분석!$E$7:$E$506,O4333)&gt;0,"Y","N"))</f>
        <v/>
      </c>
      <c r="W4333" s="64">
        <f>IF($A4333="","",IFERROR(INDEX(계정매핑!$D$5:$D$504,MATCH($F4333&amp;"",계정매핑!$A$5:$A$504,0)),"미매핑"))</f>
        <v/>
      </c>
      <c r="X4333" s="9">
        <f>IF($A4333="","",$F4333&amp;"")</f>
        <v/>
      </c>
      <c r="Y4333" s="94">
        <f>IF($A4333="",0,IF(AE4333="직접",IF(AF4333="비귀속",$P4333,0),$P4333*(1-AG4333)*IFERROR(INDEX(계정대체기준!$F$20:$F$49,MATCH($N4333,계정대체기준!$A$20:$A$49,0)),1)))</f>
        <v/>
      </c>
      <c r="Z4333" s="94">
        <f>IF($A4333="",0,IF(AE4333="직접",IF(AF4333="신계약비",$P4333,0),$P4333*(1-AG4333)*IFERROR(INDEX(계정대체기준!$C$20:$C$49,MATCH($N4333,계정대체기준!$A$20:$A$49,0)),0)))</f>
        <v/>
      </c>
      <c r="AA4333" s="94">
        <f>IF($A4333="",0,IF(AE4333="직접",IF(OR(AF4333="유지비",AF4333="손해조사비"),$P4333,0),$P4333*(1-AG4333)*IFERROR(INDEX(계정대체기준!$D$20:$D$49,MATCH($N4333,계정대체기준!$A$20:$A$49,0)),0)))</f>
        <v/>
      </c>
      <c r="AB4333" s="94">
        <f>IF($A4333="",0,IF(AE4333="직접",IF(AF4333="수금비",$P4333,0),$P4333*(1-AG4333)*IFERROR(INDEX(계정대체기준!$E$20:$E$49,MATCH($N4333,계정대체기준!$A$20:$A$49,0)),0)))</f>
        <v/>
      </c>
      <c r="AC4333" s="9">
        <f>IF(AND($A4333&lt;&gt;"",M4333=설정!$C$20,Z4333&gt;0),Z4333+ROW()/1000000000,"")</f>
        <v/>
      </c>
      <c r="AD4333" s="94">
        <f>IF($A4333="",0,$P4333*AG4333)</f>
        <v/>
      </c>
      <c r="AE4333" s="64">
        <f>IF($A4333="","",IFERROR(INDEX(계정매핑!$E$5:$E$504,MATCH($F4333&amp;"",계정매핑!$A$5:$A$504,0))&amp;"","공통비"))</f>
        <v/>
      </c>
      <c r="AF4333" s="64">
        <f>IF($A4333="","",IF(AE4333="직접",IFERROR(INDEX(계정매핑!$F$5:$F$504,MATCH($F4333&amp;"",계정매핑!$A$5:$A$504,0))&amp;"","비귀속"),""))</f>
        <v/>
      </c>
      <c r="AG4333" s="96">
        <f>IF($A4333="",0,IF(AND(AE4333&lt;&gt;"직접",IFERROR(INDEX(계정매핑!$G$5:$G$504,MATCH($F4333&amp;"",계정매핑!$A$5:$A$504,0))&amp;"","")="유지비",COUNTIF(계정대체기준!$A$6:$A$15,$N4333)&gt;0),IFERROR(INDEX(계정대체기준!$E$6:$E$15,MATCH(VALUE($A4333&amp;""),계정대체기준!$D$6:$D$15,0)),0),0))</f>
        <v/>
      </c>
      <c r="AH4333" s="64">
        <f>IF($A4333="","",IF(AD4333=0,"",IF(OR(COUNTIF(계정대체기준!$A$77:$A$86,$N4333)&gt;0,ISNUMBER(MATCH($X4333,계정대체기준!$D$77:$D$86,0)),ISNUMBER(MATCH($F4333,계정대체기준!$D$77:$D$86,0))),"Y","N")))</f>
        <v/>
      </c>
    </row>
    <row r="4334">
      <c r="A4334" s="92" t="n">
        <v>2026</v>
      </c>
      <c r="B4334" s="92" t="n">
        <v>8</v>
      </c>
      <c r="C4334" s="92" t="inlineStr">
        <is>
          <t>5100001612</t>
        </is>
      </c>
      <c r="D4334" s="95" t="n">
        <v>46238</v>
      </c>
      <c r="E4334" s="92" t="inlineStr">
        <is>
          <t>KR</t>
        </is>
      </c>
      <c r="F4334" s="92" t="n">
        <v>62101000</v>
      </c>
      <c r="G4334" s="92" t="n">
        <v>1801</v>
      </c>
      <c r="H4334" s="93" t="n">
        <v>205000</v>
      </c>
      <c r="I4334" s="92" t="inlineStr">
        <is>
          <t>8월 국내출장 - L여행사</t>
        </is>
      </c>
      <c r="J4334" s="92" t="inlineStr">
        <is>
          <t>V10018</t>
        </is>
      </c>
      <c r="K4334" s="92" t="inlineStr">
        <is>
          <t>L여행사</t>
        </is>
      </c>
      <c r="M4334" s="9">
        <f>IF($A4334="","",VALUE($A4334&amp;"")*12+VALUE($B4334&amp;""))</f>
        <v/>
      </c>
      <c r="N4334" s="64">
        <f>IF($A4334="","",IFERROR(INDEX(부서매핑!$C$5:$C$504,MATCH($G4334&amp;"",부서매핑!$A$5:$A$504,0)),"미매핑"))</f>
        <v/>
      </c>
      <c r="O4334" s="9">
        <f>IF($A4334="","",N4334&amp;"|"&amp;$F4334)</f>
        <v/>
      </c>
      <c r="P4334" s="94">
        <f>IF($A4334="",0,$H4334*설정!$C$23)</f>
        <v/>
      </c>
      <c r="Q4334" s="64">
        <f>IF($A4334="","",IF(O4334&lt;&gt;원인분석!$C$9,"",IF(AND(M4334&gt;=원인분석!$C$10,M4334&lt;=원인분석!$C$11),"당기",IF(AND(M4334&gt;=원인분석!$C$12,M4334&lt;=원인분석!$C$13),"비교",""))))</f>
        <v/>
      </c>
      <c r="R4334" s="9">
        <f>IF(Q4334="","",$K4334&amp;"")</f>
        <v/>
      </c>
      <c r="S4334" s="9">
        <f>IF(Q4334="","",IF(MATCH(R4334,$R$5:$R$100000,0)=ROW()-4,ROW(),""))</f>
        <v/>
      </c>
      <c r="T4334" s="9">
        <f>IF(Q4334="당기",ABS(P4334)+ROW()/1000000000,"")</f>
        <v/>
      </c>
      <c r="U4334" s="9">
        <f>IF(Q4334="비교",ABS(P4334)+ROW()/1000000000,"")</f>
        <v/>
      </c>
      <c r="V4334" s="64">
        <f>IF($A4334="","",IF(COUNTIF(변동분석!$E$7:$E$506,O4334)&gt;0,"Y","N"))</f>
        <v/>
      </c>
      <c r="W4334" s="64">
        <f>IF($A4334="","",IFERROR(INDEX(계정매핑!$D$5:$D$504,MATCH($F4334&amp;"",계정매핑!$A$5:$A$504,0)),"미매핑"))</f>
        <v/>
      </c>
      <c r="X4334" s="9">
        <f>IF($A4334="","",$F4334&amp;"")</f>
        <v/>
      </c>
      <c r="Y4334" s="94">
        <f>IF($A4334="",0,IF(AE4334="직접",IF(AF4334="비귀속",$P4334,0),$P4334*(1-AG4334)*IFERROR(INDEX(계정대체기준!$F$20:$F$49,MATCH($N4334,계정대체기준!$A$20:$A$49,0)),1)))</f>
        <v/>
      </c>
      <c r="Z4334" s="94">
        <f>IF($A4334="",0,IF(AE4334="직접",IF(AF4334="신계약비",$P4334,0),$P4334*(1-AG4334)*IFERROR(INDEX(계정대체기준!$C$20:$C$49,MATCH($N4334,계정대체기준!$A$20:$A$49,0)),0)))</f>
        <v/>
      </c>
      <c r="AA4334" s="94">
        <f>IF($A4334="",0,IF(AE4334="직접",IF(OR(AF4334="유지비",AF4334="손해조사비"),$P4334,0),$P4334*(1-AG4334)*IFERROR(INDEX(계정대체기준!$D$20:$D$49,MATCH($N4334,계정대체기준!$A$20:$A$49,0)),0)))</f>
        <v/>
      </c>
      <c r="AB4334" s="94">
        <f>IF($A4334="",0,IF(AE4334="직접",IF(AF4334="수금비",$P4334,0),$P4334*(1-AG4334)*IFERROR(INDEX(계정대체기준!$E$20:$E$49,MATCH($N4334,계정대체기준!$A$20:$A$49,0)),0)))</f>
        <v/>
      </c>
      <c r="AC4334" s="9">
        <f>IF(AND($A4334&lt;&gt;"",M4334=설정!$C$20,Z4334&gt;0),Z4334+ROW()/1000000000,"")</f>
        <v/>
      </c>
      <c r="AD4334" s="94">
        <f>IF($A4334="",0,$P4334*AG4334)</f>
        <v/>
      </c>
      <c r="AE4334" s="64">
        <f>IF($A4334="","",IFERROR(INDEX(계정매핑!$E$5:$E$504,MATCH($F4334&amp;"",계정매핑!$A$5:$A$504,0))&amp;"","공통비"))</f>
        <v/>
      </c>
      <c r="AF4334" s="64">
        <f>IF($A4334="","",IF(AE4334="직접",IFERROR(INDEX(계정매핑!$F$5:$F$504,MATCH($F4334&amp;"",계정매핑!$A$5:$A$504,0))&amp;"","비귀속"),""))</f>
        <v/>
      </c>
      <c r="AG4334" s="96">
        <f>IF($A4334="",0,IF(AND(AE4334&lt;&gt;"직접",IFERROR(INDEX(계정매핑!$G$5:$G$504,MATCH($F4334&amp;"",계정매핑!$A$5:$A$504,0))&amp;"","")="유지비",COUNTIF(계정대체기준!$A$6:$A$15,$N4334)&gt;0),IFERROR(INDEX(계정대체기준!$E$6:$E$15,MATCH(VALUE($A4334&amp;""),계정대체기준!$D$6:$D$15,0)),0),0))</f>
        <v/>
      </c>
      <c r="AH4334" s="64">
        <f>IF($A4334="","",IF(AD4334=0,"",IF(OR(COUNTIF(계정대체기준!$A$77:$A$86,$N4334)&gt;0,ISNUMBER(MATCH($X4334,계정대체기준!$D$77:$D$86,0)),ISNUMBER(MATCH($F4334,계정대체기준!$D$77:$D$86,0))),"Y","N")))</f>
        <v/>
      </c>
    </row>
    <row r="4335">
      <c r="A4335" s="92" t="n">
        <v>2026</v>
      </c>
      <c r="B4335" s="92" t="n">
        <v>8</v>
      </c>
      <c r="C4335" s="92" t="inlineStr">
        <is>
          <t>5100001613</t>
        </is>
      </c>
      <c r="D4335" s="95" t="n">
        <v>46238</v>
      </c>
      <c r="E4335" s="92" t="inlineStr">
        <is>
          <t>KR</t>
        </is>
      </c>
      <c r="F4335" s="92" t="n">
        <v>62102000</v>
      </c>
      <c r="G4335" s="92" t="n">
        <v>1501</v>
      </c>
      <c r="H4335" s="93" t="n">
        <v>112000</v>
      </c>
      <c r="I4335" s="92" t="inlineStr">
        <is>
          <t>8월 해외출장 - M항공</t>
        </is>
      </c>
      <c r="J4335" s="92" t="inlineStr">
        <is>
          <t>V10001</t>
        </is>
      </c>
      <c r="K4335" s="92" t="inlineStr">
        <is>
          <t>M항공</t>
        </is>
      </c>
      <c r="M4335" s="9">
        <f>IF($A4335="","",VALUE($A4335&amp;"")*12+VALUE($B4335&amp;""))</f>
        <v/>
      </c>
      <c r="N4335" s="64">
        <f>IF($A4335="","",IFERROR(INDEX(부서매핑!$C$5:$C$504,MATCH($G4335&amp;"",부서매핑!$A$5:$A$504,0)),"미매핑"))</f>
        <v/>
      </c>
      <c r="O4335" s="9">
        <f>IF($A4335="","",N4335&amp;"|"&amp;$F4335)</f>
        <v/>
      </c>
      <c r="P4335" s="94">
        <f>IF($A4335="",0,$H4335*설정!$C$23)</f>
        <v/>
      </c>
      <c r="Q4335" s="64">
        <f>IF($A4335="","",IF(O4335&lt;&gt;원인분석!$C$9,"",IF(AND(M4335&gt;=원인분석!$C$10,M4335&lt;=원인분석!$C$11),"당기",IF(AND(M4335&gt;=원인분석!$C$12,M4335&lt;=원인분석!$C$13),"비교",""))))</f>
        <v/>
      </c>
      <c r="R4335" s="9">
        <f>IF(Q4335="","",$K4335&amp;"")</f>
        <v/>
      </c>
      <c r="S4335" s="9">
        <f>IF(Q4335="","",IF(MATCH(R4335,$R$5:$R$100000,0)=ROW()-4,ROW(),""))</f>
        <v/>
      </c>
      <c r="T4335" s="9">
        <f>IF(Q4335="당기",ABS(P4335)+ROW()/1000000000,"")</f>
        <v/>
      </c>
      <c r="U4335" s="9">
        <f>IF(Q4335="비교",ABS(P4335)+ROW()/1000000000,"")</f>
        <v/>
      </c>
      <c r="V4335" s="64">
        <f>IF($A4335="","",IF(COUNTIF(변동분석!$E$7:$E$506,O4335)&gt;0,"Y","N"))</f>
        <v/>
      </c>
      <c r="W4335" s="64">
        <f>IF($A4335="","",IFERROR(INDEX(계정매핑!$D$5:$D$504,MATCH($F4335&amp;"",계정매핑!$A$5:$A$504,0)),"미매핑"))</f>
        <v/>
      </c>
      <c r="X4335" s="9">
        <f>IF($A4335="","",$F4335&amp;"")</f>
        <v/>
      </c>
      <c r="Y4335" s="94">
        <f>IF($A4335="",0,IF(AE4335="직접",IF(AF4335="비귀속",$P4335,0),$P4335*(1-AG4335)*IFERROR(INDEX(계정대체기준!$F$20:$F$49,MATCH($N4335,계정대체기준!$A$20:$A$49,0)),1)))</f>
        <v/>
      </c>
      <c r="Z4335" s="94">
        <f>IF($A4335="",0,IF(AE4335="직접",IF(AF4335="신계약비",$P4335,0),$P4335*(1-AG4335)*IFERROR(INDEX(계정대체기준!$C$20:$C$49,MATCH($N4335,계정대체기준!$A$20:$A$49,0)),0)))</f>
        <v/>
      </c>
      <c r="AA4335" s="94">
        <f>IF($A4335="",0,IF(AE4335="직접",IF(OR(AF4335="유지비",AF4335="손해조사비"),$P4335,0),$P4335*(1-AG4335)*IFERROR(INDEX(계정대체기준!$D$20:$D$49,MATCH($N4335,계정대체기준!$A$20:$A$49,0)),0)))</f>
        <v/>
      </c>
      <c r="AB4335" s="94">
        <f>IF($A4335="",0,IF(AE4335="직접",IF(AF4335="수금비",$P4335,0),$P4335*(1-AG4335)*IFERROR(INDEX(계정대체기준!$E$20:$E$49,MATCH($N4335,계정대체기준!$A$20:$A$49,0)),0)))</f>
        <v/>
      </c>
      <c r="AC4335" s="9">
        <f>IF(AND($A4335&lt;&gt;"",M4335=설정!$C$20,Z4335&gt;0),Z4335+ROW()/1000000000,"")</f>
        <v/>
      </c>
      <c r="AD4335" s="94">
        <f>IF($A4335="",0,$P4335*AG4335)</f>
        <v/>
      </c>
      <c r="AE4335" s="64">
        <f>IF($A4335="","",IFERROR(INDEX(계정매핑!$E$5:$E$504,MATCH($F4335&amp;"",계정매핑!$A$5:$A$504,0))&amp;"","공통비"))</f>
        <v/>
      </c>
      <c r="AF4335" s="64">
        <f>IF($A4335="","",IF(AE4335="직접",IFERROR(INDEX(계정매핑!$F$5:$F$504,MATCH($F4335&amp;"",계정매핑!$A$5:$A$504,0))&amp;"","비귀속"),""))</f>
        <v/>
      </c>
      <c r="AG4335" s="96">
        <f>IF($A4335="",0,IF(AND(AE4335&lt;&gt;"직접",IFERROR(INDEX(계정매핑!$G$5:$G$504,MATCH($F4335&amp;"",계정매핑!$A$5:$A$504,0))&amp;"","")="유지비",COUNTIF(계정대체기준!$A$6:$A$15,$N4335)&gt;0),IFERROR(INDEX(계정대체기준!$E$6:$E$15,MATCH(VALUE($A4335&amp;""),계정대체기준!$D$6:$D$15,0)),0),0))</f>
        <v/>
      </c>
      <c r="AH4335" s="64">
        <f>IF($A4335="","",IF(AD4335=0,"",IF(OR(COUNTIF(계정대체기준!$A$77:$A$86,$N4335)&gt;0,ISNUMBER(MATCH($X4335,계정대체기준!$D$77:$D$86,0)),ISNUMBER(MATCH($F4335,계정대체기준!$D$77:$D$86,0))),"Y","N")))</f>
        <v/>
      </c>
    </row>
    <row r="4336">
      <c r="A4336" s="92" t="n">
        <v>2026</v>
      </c>
      <c r="B4336" s="92" t="n">
        <v>8</v>
      </c>
      <c r="C4336" s="92" t="inlineStr">
        <is>
          <t>5100001614</t>
        </is>
      </c>
      <c r="D4336" s="95" t="n">
        <v>46238</v>
      </c>
      <c r="E4336" s="92" t="inlineStr">
        <is>
          <t>KR</t>
        </is>
      </c>
      <c r="F4336" s="92" t="n">
        <v>62201000</v>
      </c>
      <c r="G4336" s="92" t="n">
        <v>1201</v>
      </c>
      <c r="H4336" s="93" t="n">
        <v>195000</v>
      </c>
      <c r="I4336" s="92" t="inlineStr">
        <is>
          <t>8월 통신요금 - O텔레콤</t>
        </is>
      </c>
      <c r="J4336" s="92" t="inlineStr">
        <is>
          <t>V10002</t>
        </is>
      </c>
      <c r="K4336" s="92" t="inlineStr">
        <is>
          <t>O텔레콤</t>
        </is>
      </c>
      <c r="M4336" s="9">
        <f>IF($A4336="","",VALUE($A4336&amp;"")*12+VALUE($B4336&amp;""))</f>
        <v/>
      </c>
      <c r="N4336" s="64">
        <f>IF($A4336="","",IFERROR(INDEX(부서매핑!$C$5:$C$504,MATCH($G4336&amp;"",부서매핑!$A$5:$A$504,0)),"미매핑"))</f>
        <v/>
      </c>
      <c r="O4336" s="9">
        <f>IF($A4336="","",N4336&amp;"|"&amp;$F4336)</f>
        <v/>
      </c>
      <c r="P4336" s="94">
        <f>IF($A4336="",0,$H4336*설정!$C$23)</f>
        <v/>
      </c>
      <c r="Q4336" s="64">
        <f>IF($A4336="","",IF(O4336&lt;&gt;원인분석!$C$9,"",IF(AND(M4336&gt;=원인분석!$C$10,M4336&lt;=원인분석!$C$11),"당기",IF(AND(M4336&gt;=원인분석!$C$12,M4336&lt;=원인분석!$C$13),"비교",""))))</f>
        <v/>
      </c>
      <c r="R4336" s="9">
        <f>IF(Q4336="","",$K4336&amp;"")</f>
        <v/>
      </c>
      <c r="S4336" s="9">
        <f>IF(Q4336="","",IF(MATCH(R4336,$R$5:$R$100000,0)=ROW()-4,ROW(),""))</f>
        <v/>
      </c>
      <c r="T4336" s="9">
        <f>IF(Q4336="당기",ABS(P4336)+ROW()/1000000000,"")</f>
        <v/>
      </c>
      <c r="U4336" s="9">
        <f>IF(Q4336="비교",ABS(P4336)+ROW()/1000000000,"")</f>
        <v/>
      </c>
      <c r="V4336" s="64">
        <f>IF($A4336="","",IF(COUNTIF(변동분석!$E$7:$E$506,O4336)&gt;0,"Y","N"))</f>
        <v/>
      </c>
      <c r="W4336" s="64">
        <f>IF($A4336="","",IFERROR(INDEX(계정매핑!$D$5:$D$504,MATCH($F4336&amp;"",계정매핑!$A$5:$A$504,0)),"미매핑"))</f>
        <v/>
      </c>
      <c r="X4336" s="9">
        <f>IF($A4336="","",$F4336&amp;"")</f>
        <v/>
      </c>
      <c r="Y4336" s="94">
        <f>IF($A4336="",0,IF(AE4336="직접",IF(AF4336="비귀속",$P4336,0),$P4336*(1-AG4336)*IFERROR(INDEX(계정대체기준!$F$20:$F$49,MATCH($N4336,계정대체기준!$A$20:$A$49,0)),1)))</f>
        <v/>
      </c>
      <c r="Z4336" s="94">
        <f>IF($A4336="",0,IF(AE4336="직접",IF(AF4336="신계약비",$P4336,0),$P4336*(1-AG4336)*IFERROR(INDEX(계정대체기준!$C$20:$C$49,MATCH($N4336,계정대체기준!$A$20:$A$49,0)),0)))</f>
        <v/>
      </c>
      <c r="AA4336" s="94">
        <f>IF($A4336="",0,IF(AE4336="직접",IF(OR(AF4336="유지비",AF4336="손해조사비"),$P4336,0),$P4336*(1-AG4336)*IFERROR(INDEX(계정대체기준!$D$20:$D$49,MATCH($N4336,계정대체기준!$A$20:$A$49,0)),0)))</f>
        <v/>
      </c>
      <c r="AB4336" s="94">
        <f>IF($A4336="",0,IF(AE4336="직접",IF(AF4336="수금비",$P4336,0),$P4336*(1-AG4336)*IFERROR(INDEX(계정대체기준!$E$20:$E$49,MATCH($N4336,계정대체기준!$A$20:$A$49,0)),0)))</f>
        <v/>
      </c>
      <c r="AC4336" s="9">
        <f>IF(AND($A4336&lt;&gt;"",M4336=설정!$C$20,Z4336&gt;0),Z4336+ROW()/1000000000,"")</f>
        <v/>
      </c>
      <c r="AD4336" s="94">
        <f>IF($A4336="",0,$P4336*AG4336)</f>
        <v/>
      </c>
      <c r="AE4336" s="64">
        <f>IF($A4336="","",IFERROR(INDEX(계정매핑!$E$5:$E$504,MATCH($F4336&amp;"",계정매핑!$A$5:$A$504,0))&amp;"","공통비"))</f>
        <v/>
      </c>
      <c r="AF4336" s="64">
        <f>IF($A4336="","",IF(AE4336="직접",IFERROR(INDEX(계정매핑!$F$5:$F$504,MATCH($F4336&amp;"",계정매핑!$A$5:$A$504,0))&amp;"","비귀속"),""))</f>
        <v/>
      </c>
      <c r="AG4336" s="96">
        <f>IF($A4336="",0,IF(AND(AE4336&lt;&gt;"직접",IFERROR(INDEX(계정매핑!$G$5:$G$504,MATCH($F4336&amp;"",계정매핑!$A$5:$A$504,0))&amp;"","")="유지비",COUNTIF(계정대체기준!$A$6:$A$15,$N4336)&gt;0),IFERROR(INDEX(계정대체기준!$E$6:$E$15,MATCH(VALUE($A4336&amp;""),계정대체기준!$D$6:$D$15,0)),0),0))</f>
        <v/>
      </c>
      <c r="AH4336" s="64">
        <f>IF($A4336="","",IF(AD4336=0,"",IF(OR(COUNTIF(계정대체기준!$A$77:$A$86,$N4336)&gt;0,ISNUMBER(MATCH($X4336,계정대체기준!$D$77:$D$86,0)),ISNUMBER(MATCH($F4336,계정대체기준!$D$77:$D$86,0))),"Y","N")))</f>
        <v/>
      </c>
    </row>
    <row r="4337">
      <c r="A4337" s="92" t="n">
        <v>2026</v>
      </c>
      <c r="B4337" s="92" t="n">
        <v>8</v>
      </c>
      <c r="C4337" s="92" t="inlineStr">
        <is>
          <t>5100001615</t>
        </is>
      </c>
      <c r="D4337" s="95" t="n">
        <v>46238</v>
      </c>
      <c r="E4337" s="92" t="inlineStr">
        <is>
          <t>KR</t>
        </is>
      </c>
      <c r="F4337" s="92" t="n">
        <v>62401000</v>
      </c>
      <c r="G4337" s="92" t="n">
        <v>1501</v>
      </c>
      <c r="H4337" s="93" t="n">
        <v>1768000</v>
      </c>
      <c r="I4337" s="92" t="inlineStr">
        <is>
          <t>8월 인쇄물 제작 - S출판</t>
        </is>
      </c>
      <c r="J4337" s="92" t="inlineStr">
        <is>
          <t>V10015</t>
        </is>
      </c>
      <c r="K4337" s="92" t="inlineStr">
        <is>
          <t>S출판</t>
        </is>
      </c>
      <c r="M4337" s="9">
        <f>IF($A4337="","",VALUE($A4337&amp;"")*12+VALUE($B4337&amp;""))</f>
        <v/>
      </c>
      <c r="N4337" s="64">
        <f>IF($A4337="","",IFERROR(INDEX(부서매핑!$C$5:$C$504,MATCH($G4337&amp;"",부서매핑!$A$5:$A$504,0)),"미매핑"))</f>
        <v/>
      </c>
      <c r="O4337" s="9">
        <f>IF($A4337="","",N4337&amp;"|"&amp;$F4337)</f>
        <v/>
      </c>
      <c r="P4337" s="94">
        <f>IF($A4337="",0,$H4337*설정!$C$23)</f>
        <v/>
      </c>
      <c r="Q4337" s="64">
        <f>IF($A4337="","",IF(O4337&lt;&gt;원인분석!$C$9,"",IF(AND(M4337&gt;=원인분석!$C$10,M4337&lt;=원인분석!$C$11),"당기",IF(AND(M4337&gt;=원인분석!$C$12,M4337&lt;=원인분석!$C$13),"비교",""))))</f>
        <v/>
      </c>
      <c r="R4337" s="9">
        <f>IF(Q4337="","",$K4337&amp;"")</f>
        <v/>
      </c>
      <c r="S4337" s="9">
        <f>IF(Q4337="","",IF(MATCH(R4337,$R$5:$R$100000,0)=ROW()-4,ROW(),""))</f>
        <v/>
      </c>
      <c r="T4337" s="9">
        <f>IF(Q4337="당기",ABS(P4337)+ROW()/1000000000,"")</f>
        <v/>
      </c>
      <c r="U4337" s="9">
        <f>IF(Q4337="비교",ABS(P4337)+ROW()/1000000000,"")</f>
        <v/>
      </c>
      <c r="V4337" s="64">
        <f>IF($A4337="","",IF(COUNTIF(변동분석!$E$7:$E$506,O4337)&gt;0,"Y","N"))</f>
        <v/>
      </c>
      <c r="W4337" s="64">
        <f>IF($A4337="","",IFERROR(INDEX(계정매핑!$D$5:$D$504,MATCH($F4337&amp;"",계정매핑!$A$5:$A$504,0)),"미매핑"))</f>
        <v/>
      </c>
      <c r="X4337" s="9">
        <f>IF($A4337="","",$F4337&amp;"")</f>
        <v/>
      </c>
      <c r="Y4337" s="94">
        <f>IF($A4337="",0,IF(AE4337="직접",IF(AF4337="비귀속",$P4337,0),$P4337*(1-AG4337)*IFERROR(INDEX(계정대체기준!$F$20:$F$49,MATCH($N4337,계정대체기준!$A$20:$A$49,0)),1)))</f>
        <v/>
      </c>
      <c r="Z4337" s="94">
        <f>IF($A4337="",0,IF(AE4337="직접",IF(AF4337="신계약비",$P4337,0),$P4337*(1-AG4337)*IFERROR(INDEX(계정대체기준!$C$20:$C$49,MATCH($N4337,계정대체기준!$A$20:$A$49,0)),0)))</f>
        <v/>
      </c>
      <c r="AA4337" s="94">
        <f>IF($A4337="",0,IF(AE4337="직접",IF(OR(AF4337="유지비",AF4337="손해조사비"),$P4337,0),$P4337*(1-AG4337)*IFERROR(INDEX(계정대체기준!$D$20:$D$49,MATCH($N4337,계정대체기준!$A$20:$A$49,0)),0)))</f>
        <v/>
      </c>
      <c r="AB4337" s="94">
        <f>IF($A4337="",0,IF(AE4337="직접",IF(AF4337="수금비",$P4337,0),$P4337*(1-AG4337)*IFERROR(INDEX(계정대체기준!$E$20:$E$49,MATCH($N4337,계정대체기준!$A$20:$A$49,0)),0)))</f>
        <v/>
      </c>
      <c r="AC4337" s="9">
        <f>IF(AND($A4337&lt;&gt;"",M4337=설정!$C$20,Z4337&gt;0),Z4337+ROW()/1000000000,"")</f>
        <v/>
      </c>
      <c r="AD4337" s="94">
        <f>IF($A4337="",0,$P4337*AG4337)</f>
        <v/>
      </c>
      <c r="AE4337" s="64">
        <f>IF($A4337="","",IFERROR(INDEX(계정매핑!$E$5:$E$504,MATCH($F4337&amp;"",계정매핑!$A$5:$A$504,0))&amp;"","공통비"))</f>
        <v/>
      </c>
      <c r="AF4337" s="64">
        <f>IF($A4337="","",IF(AE4337="직접",IFERROR(INDEX(계정매핑!$F$5:$F$504,MATCH($F4337&amp;"",계정매핑!$A$5:$A$504,0))&amp;"","비귀속"),""))</f>
        <v/>
      </c>
      <c r="AG4337" s="96">
        <f>IF($A4337="",0,IF(AND(AE4337&lt;&gt;"직접",IFERROR(INDEX(계정매핑!$G$5:$G$504,MATCH($F4337&amp;"",계정매핑!$A$5:$A$504,0))&amp;"","")="유지비",COUNTIF(계정대체기준!$A$6:$A$15,$N4337)&gt;0),IFERROR(INDEX(계정대체기준!$E$6:$E$15,MATCH(VALUE($A4337&amp;""),계정대체기준!$D$6:$D$15,0)),0),0))</f>
        <v/>
      </c>
      <c r="AH4337" s="64">
        <f>IF($A4337="","",IF(AD4337=0,"",IF(OR(COUNTIF(계정대체기준!$A$77:$A$86,$N4337)&gt;0,ISNUMBER(MATCH($X4337,계정대체기준!$D$77:$D$86,0)),ISNUMBER(MATCH($F4337,계정대체기준!$D$77:$D$86,0))),"Y","N")))</f>
        <v/>
      </c>
    </row>
    <row r="4338">
      <c r="A4338" s="92" t="n">
        <v>2026</v>
      </c>
      <c r="B4338" s="92" t="n">
        <v>8</v>
      </c>
      <c r="C4338" s="92" t="inlineStr">
        <is>
          <t>5100001616</t>
        </is>
      </c>
      <c r="D4338" s="95" t="n">
        <v>46238</v>
      </c>
      <c r="E4338" s="92" t="inlineStr">
        <is>
          <t>KR</t>
        </is>
      </c>
      <c r="F4338" s="92" t="n">
        <v>62401000</v>
      </c>
      <c r="G4338" s="92" t="n">
        <v>1801</v>
      </c>
      <c r="H4338" s="93" t="n">
        <v>3385000</v>
      </c>
      <c r="I4338" s="92" t="inlineStr">
        <is>
          <t>8월 인쇄물 제작 - G인쇄</t>
        </is>
      </c>
      <c r="J4338" s="92" t="inlineStr">
        <is>
          <t>V10004</t>
        </is>
      </c>
      <c r="K4338" s="92" t="inlineStr">
        <is>
          <t>G인쇄</t>
        </is>
      </c>
      <c r="M4338" s="9">
        <f>IF($A4338="","",VALUE($A4338&amp;"")*12+VALUE($B4338&amp;""))</f>
        <v/>
      </c>
      <c r="N4338" s="64">
        <f>IF($A4338="","",IFERROR(INDEX(부서매핑!$C$5:$C$504,MATCH($G4338&amp;"",부서매핑!$A$5:$A$504,0)),"미매핑"))</f>
        <v/>
      </c>
      <c r="O4338" s="9">
        <f>IF($A4338="","",N4338&amp;"|"&amp;$F4338)</f>
        <v/>
      </c>
      <c r="P4338" s="94">
        <f>IF($A4338="",0,$H4338*설정!$C$23)</f>
        <v/>
      </c>
      <c r="Q4338" s="64">
        <f>IF($A4338="","",IF(O4338&lt;&gt;원인분석!$C$9,"",IF(AND(M4338&gt;=원인분석!$C$10,M4338&lt;=원인분석!$C$11),"당기",IF(AND(M4338&gt;=원인분석!$C$12,M4338&lt;=원인분석!$C$13),"비교",""))))</f>
        <v/>
      </c>
      <c r="R4338" s="9">
        <f>IF(Q4338="","",$K4338&amp;"")</f>
        <v/>
      </c>
      <c r="S4338" s="9">
        <f>IF(Q4338="","",IF(MATCH(R4338,$R$5:$R$100000,0)=ROW()-4,ROW(),""))</f>
        <v/>
      </c>
      <c r="T4338" s="9">
        <f>IF(Q4338="당기",ABS(P4338)+ROW()/1000000000,"")</f>
        <v/>
      </c>
      <c r="U4338" s="9">
        <f>IF(Q4338="비교",ABS(P4338)+ROW()/1000000000,"")</f>
        <v/>
      </c>
      <c r="V4338" s="64">
        <f>IF($A4338="","",IF(COUNTIF(변동분석!$E$7:$E$506,O4338)&gt;0,"Y","N"))</f>
        <v/>
      </c>
      <c r="W4338" s="64">
        <f>IF($A4338="","",IFERROR(INDEX(계정매핑!$D$5:$D$504,MATCH($F4338&amp;"",계정매핑!$A$5:$A$504,0)),"미매핑"))</f>
        <v/>
      </c>
      <c r="X4338" s="9">
        <f>IF($A4338="","",$F4338&amp;"")</f>
        <v/>
      </c>
      <c r="Y4338" s="94">
        <f>IF($A4338="",0,IF(AE4338="직접",IF(AF4338="비귀속",$P4338,0),$P4338*(1-AG4338)*IFERROR(INDEX(계정대체기준!$F$20:$F$49,MATCH($N4338,계정대체기준!$A$20:$A$49,0)),1)))</f>
        <v/>
      </c>
      <c r="Z4338" s="94">
        <f>IF($A4338="",0,IF(AE4338="직접",IF(AF4338="신계약비",$P4338,0),$P4338*(1-AG4338)*IFERROR(INDEX(계정대체기준!$C$20:$C$49,MATCH($N4338,계정대체기준!$A$20:$A$49,0)),0)))</f>
        <v/>
      </c>
      <c r="AA4338" s="94">
        <f>IF($A4338="",0,IF(AE4338="직접",IF(OR(AF4338="유지비",AF4338="손해조사비"),$P4338,0),$P4338*(1-AG4338)*IFERROR(INDEX(계정대체기준!$D$20:$D$49,MATCH($N4338,계정대체기준!$A$20:$A$49,0)),0)))</f>
        <v/>
      </c>
      <c r="AB4338" s="94">
        <f>IF($A4338="",0,IF(AE4338="직접",IF(AF4338="수금비",$P4338,0),$P4338*(1-AG4338)*IFERROR(INDEX(계정대체기준!$E$20:$E$49,MATCH($N4338,계정대체기준!$A$20:$A$49,0)),0)))</f>
        <v/>
      </c>
      <c r="AC4338" s="9">
        <f>IF(AND($A4338&lt;&gt;"",M4338=설정!$C$20,Z4338&gt;0),Z4338+ROW()/1000000000,"")</f>
        <v/>
      </c>
      <c r="AD4338" s="94">
        <f>IF($A4338="",0,$P4338*AG4338)</f>
        <v/>
      </c>
      <c r="AE4338" s="64">
        <f>IF($A4338="","",IFERROR(INDEX(계정매핑!$E$5:$E$504,MATCH($F4338&amp;"",계정매핑!$A$5:$A$504,0))&amp;"","공통비"))</f>
        <v/>
      </c>
      <c r="AF4338" s="64">
        <f>IF($A4338="","",IF(AE4338="직접",IFERROR(INDEX(계정매핑!$F$5:$F$504,MATCH($F4338&amp;"",계정매핑!$A$5:$A$504,0))&amp;"","비귀속"),""))</f>
        <v/>
      </c>
      <c r="AG4338" s="96">
        <f>IF($A4338="",0,IF(AND(AE4338&lt;&gt;"직접",IFERROR(INDEX(계정매핑!$G$5:$G$504,MATCH($F4338&amp;"",계정매핑!$A$5:$A$504,0))&amp;"","")="유지비",COUNTIF(계정대체기준!$A$6:$A$15,$N4338)&gt;0),IFERROR(INDEX(계정대체기준!$E$6:$E$15,MATCH(VALUE($A4338&amp;""),계정대체기준!$D$6:$D$15,0)),0),0))</f>
        <v/>
      </c>
      <c r="AH4338" s="64">
        <f>IF($A4338="","",IF(AD4338=0,"",IF(OR(COUNTIF(계정대체기준!$A$77:$A$86,$N4338)&gt;0,ISNUMBER(MATCH($X4338,계정대체기준!$D$77:$D$86,0)),ISNUMBER(MATCH($F4338,계정대체기준!$D$77:$D$86,0))),"Y","N")))</f>
        <v/>
      </c>
    </row>
    <row r="4339">
      <c r="A4339" s="92" t="n">
        <v>2026</v>
      </c>
      <c r="B4339" s="92" t="n">
        <v>8</v>
      </c>
      <c r="C4339" s="92" t="inlineStr">
        <is>
          <t>5100001617</t>
        </is>
      </c>
      <c r="D4339" s="95" t="n">
        <v>46238</v>
      </c>
      <c r="E4339" s="92" t="inlineStr">
        <is>
          <t>KR</t>
        </is>
      </c>
      <c r="F4339" s="92" t="n">
        <v>62401000</v>
      </c>
      <c r="G4339" s="92" t="n">
        <v>1801</v>
      </c>
      <c r="H4339" s="93" t="n">
        <v>3906000</v>
      </c>
      <c r="I4339" s="92" t="inlineStr">
        <is>
          <t>8월 인쇄물 제작 - S출판</t>
        </is>
      </c>
      <c r="J4339" s="92" t="inlineStr">
        <is>
          <t>V10015</t>
        </is>
      </c>
      <c r="K4339" s="92" t="inlineStr">
        <is>
          <t>S출판</t>
        </is>
      </c>
      <c r="M4339" s="9">
        <f>IF($A4339="","",VALUE($A4339&amp;"")*12+VALUE($B4339&amp;""))</f>
        <v/>
      </c>
      <c r="N4339" s="64">
        <f>IF($A4339="","",IFERROR(INDEX(부서매핑!$C$5:$C$504,MATCH($G4339&amp;"",부서매핑!$A$5:$A$504,0)),"미매핑"))</f>
        <v/>
      </c>
      <c r="O4339" s="9">
        <f>IF($A4339="","",N4339&amp;"|"&amp;$F4339)</f>
        <v/>
      </c>
      <c r="P4339" s="94">
        <f>IF($A4339="",0,$H4339*설정!$C$23)</f>
        <v/>
      </c>
      <c r="Q4339" s="64">
        <f>IF($A4339="","",IF(O4339&lt;&gt;원인분석!$C$9,"",IF(AND(M4339&gt;=원인분석!$C$10,M4339&lt;=원인분석!$C$11),"당기",IF(AND(M4339&gt;=원인분석!$C$12,M4339&lt;=원인분석!$C$13),"비교",""))))</f>
        <v/>
      </c>
      <c r="R4339" s="9">
        <f>IF(Q4339="","",$K4339&amp;"")</f>
        <v/>
      </c>
      <c r="S4339" s="9">
        <f>IF(Q4339="","",IF(MATCH(R4339,$R$5:$R$100000,0)=ROW()-4,ROW(),""))</f>
        <v/>
      </c>
      <c r="T4339" s="9">
        <f>IF(Q4339="당기",ABS(P4339)+ROW()/1000000000,"")</f>
        <v/>
      </c>
      <c r="U4339" s="9">
        <f>IF(Q4339="비교",ABS(P4339)+ROW()/1000000000,"")</f>
        <v/>
      </c>
      <c r="V4339" s="64">
        <f>IF($A4339="","",IF(COUNTIF(변동분석!$E$7:$E$506,O4339)&gt;0,"Y","N"))</f>
        <v/>
      </c>
      <c r="W4339" s="64">
        <f>IF($A4339="","",IFERROR(INDEX(계정매핑!$D$5:$D$504,MATCH($F4339&amp;"",계정매핑!$A$5:$A$504,0)),"미매핑"))</f>
        <v/>
      </c>
      <c r="X4339" s="9">
        <f>IF($A4339="","",$F4339&amp;"")</f>
        <v/>
      </c>
      <c r="Y4339" s="94">
        <f>IF($A4339="",0,IF(AE4339="직접",IF(AF4339="비귀속",$P4339,0),$P4339*(1-AG4339)*IFERROR(INDEX(계정대체기준!$F$20:$F$49,MATCH($N4339,계정대체기준!$A$20:$A$49,0)),1)))</f>
        <v/>
      </c>
      <c r="Z4339" s="94">
        <f>IF($A4339="",0,IF(AE4339="직접",IF(AF4339="신계약비",$P4339,0),$P4339*(1-AG4339)*IFERROR(INDEX(계정대체기준!$C$20:$C$49,MATCH($N4339,계정대체기준!$A$20:$A$49,0)),0)))</f>
        <v/>
      </c>
      <c r="AA4339" s="94">
        <f>IF($A4339="",0,IF(AE4339="직접",IF(OR(AF4339="유지비",AF4339="손해조사비"),$P4339,0),$P4339*(1-AG4339)*IFERROR(INDEX(계정대체기준!$D$20:$D$49,MATCH($N4339,계정대체기준!$A$20:$A$49,0)),0)))</f>
        <v/>
      </c>
      <c r="AB4339" s="94">
        <f>IF($A4339="",0,IF(AE4339="직접",IF(AF4339="수금비",$P4339,0),$P4339*(1-AG4339)*IFERROR(INDEX(계정대체기준!$E$20:$E$49,MATCH($N4339,계정대체기준!$A$20:$A$49,0)),0)))</f>
        <v/>
      </c>
      <c r="AC4339" s="9">
        <f>IF(AND($A4339&lt;&gt;"",M4339=설정!$C$20,Z4339&gt;0),Z4339+ROW()/1000000000,"")</f>
        <v/>
      </c>
      <c r="AD4339" s="94">
        <f>IF($A4339="",0,$P4339*AG4339)</f>
        <v/>
      </c>
      <c r="AE4339" s="64">
        <f>IF($A4339="","",IFERROR(INDEX(계정매핑!$E$5:$E$504,MATCH($F4339&amp;"",계정매핑!$A$5:$A$504,0))&amp;"","공통비"))</f>
        <v/>
      </c>
      <c r="AF4339" s="64">
        <f>IF($A4339="","",IF(AE4339="직접",IFERROR(INDEX(계정매핑!$F$5:$F$504,MATCH($F4339&amp;"",계정매핑!$A$5:$A$504,0))&amp;"","비귀속"),""))</f>
        <v/>
      </c>
      <c r="AG4339" s="96">
        <f>IF($A4339="",0,IF(AND(AE4339&lt;&gt;"직접",IFERROR(INDEX(계정매핑!$G$5:$G$504,MATCH($F4339&amp;"",계정매핑!$A$5:$A$504,0))&amp;"","")="유지비",COUNTIF(계정대체기준!$A$6:$A$15,$N4339)&gt;0),IFERROR(INDEX(계정대체기준!$E$6:$E$15,MATCH(VALUE($A4339&amp;""),계정대체기준!$D$6:$D$15,0)),0),0))</f>
        <v/>
      </c>
      <c r="AH4339" s="64">
        <f>IF($A4339="","",IF(AD4339=0,"",IF(OR(COUNTIF(계정대체기준!$A$77:$A$86,$N4339)&gt;0,ISNUMBER(MATCH($X4339,계정대체기준!$D$77:$D$86,0)),ISNUMBER(MATCH($F4339,계정대체기준!$D$77:$D$86,0))),"Y","N")))</f>
        <v/>
      </c>
    </row>
    <row r="4340">
      <c r="A4340" s="92" t="n">
        <v>2026</v>
      </c>
      <c r="B4340" s="92" t="n">
        <v>8</v>
      </c>
      <c r="C4340" s="92" t="inlineStr">
        <is>
          <t>5100001618</t>
        </is>
      </c>
      <c r="D4340" s="95" t="n">
        <v>46238</v>
      </c>
      <c r="E4340" s="92" t="inlineStr">
        <is>
          <t>KR</t>
        </is>
      </c>
      <c r="F4340" s="92" t="n">
        <v>62501000</v>
      </c>
      <c r="G4340" s="92" t="n">
        <v>1401</v>
      </c>
      <c r="H4340" s="93" t="n">
        <v>141000</v>
      </c>
      <c r="I4340" s="92" t="inlineStr">
        <is>
          <t>8월 회의 다과 - T케이터링</t>
        </is>
      </c>
      <c r="J4340" s="92" t="inlineStr">
        <is>
          <t>V10005</t>
        </is>
      </c>
      <c r="K4340" s="92" t="inlineStr">
        <is>
          <t>T케이터링</t>
        </is>
      </c>
      <c r="M4340" s="9">
        <f>IF($A4340="","",VALUE($A4340&amp;"")*12+VALUE($B4340&amp;""))</f>
        <v/>
      </c>
      <c r="N4340" s="64">
        <f>IF($A4340="","",IFERROR(INDEX(부서매핑!$C$5:$C$504,MATCH($G4340&amp;"",부서매핑!$A$5:$A$504,0)),"미매핑"))</f>
        <v/>
      </c>
      <c r="O4340" s="9">
        <f>IF($A4340="","",N4340&amp;"|"&amp;$F4340)</f>
        <v/>
      </c>
      <c r="P4340" s="94">
        <f>IF($A4340="",0,$H4340*설정!$C$23)</f>
        <v/>
      </c>
      <c r="Q4340" s="64">
        <f>IF($A4340="","",IF(O4340&lt;&gt;원인분석!$C$9,"",IF(AND(M4340&gt;=원인분석!$C$10,M4340&lt;=원인분석!$C$11),"당기",IF(AND(M4340&gt;=원인분석!$C$12,M4340&lt;=원인분석!$C$13),"비교",""))))</f>
        <v/>
      </c>
      <c r="R4340" s="9">
        <f>IF(Q4340="","",$K4340&amp;"")</f>
        <v/>
      </c>
      <c r="S4340" s="9">
        <f>IF(Q4340="","",IF(MATCH(R4340,$R$5:$R$100000,0)=ROW()-4,ROW(),""))</f>
        <v/>
      </c>
      <c r="T4340" s="9">
        <f>IF(Q4340="당기",ABS(P4340)+ROW()/1000000000,"")</f>
        <v/>
      </c>
      <c r="U4340" s="9">
        <f>IF(Q4340="비교",ABS(P4340)+ROW()/1000000000,"")</f>
        <v/>
      </c>
      <c r="V4340" s="64">
        <f>IF($A4340="","",IF(COUNTIF(변동분석!$E$7:$E$506,O4340)&gt;0,"Y","N"))</f>
        <v/>
      </c>
      <c r="W4340" s="64">
        <f>IF($A4340="","",IFERROR(INDEX(계정매핑!$D$5:$D$504,MATCH($F4340&amp;"",계정매핑!$A$5:$A$504,0)),"미매핑"))</f>
        <v/>
      </c>
      <c r="X4340" s="9">
        <f>IF($A4340="","",$F4340&amp;"")</f>
        <v/>
      </c>
      <c r="Y4340" s="94">
        <f>IF($A4340="",0,IF(AE4340="직접",IF(AF4340="비귀속",$P4340,0),$P4340*(1-AG4340)*IFERROR(INDEX(계정대체기준!$F$20:$F$49,MATCH($N4340,계정대체기준!$A$20:$A$49,0)),1)))</f>
        <v/>
      </c>
      <c r="Z4340" s="94">
        <f>IF($A4340="",0,IF(AE4340="직접",IF(AF4340="신계약비",$P4340,0),$P4340*(1-AG4340)*IFERROR(INDEX(계정대체기준!$C$20:$C$49,MATCH($N4340,계정대체기준!$A$20:$A$49,0)),0)))</f>
        <v/>
      </c>
      <c r="AA4340" s="94">
        <f>IF($A4340="",0,IF(AE4340="직접",IF(OR(AF4340="유지비",AF4340="손해조사비"),$P4340,0),$P4340*(1-AG4340)*IFERROR(INDEX(계정대체기준!$D$20:$D$49,MATCH($N4340,계정대체기준!$A$20:$A$49,0)),0)))</f>
        <v/>
      </c>
      <c r="AB4340" s="94">
        <f>IF($A4340="",0,IF(AE4340="직접",IF(AF4340="수금비",$P4340,0),$P4340*(1-AG4340)*IFERROR(INDEX(계정대체기준!$E$20:$E$49,MATCH($N4340,계정대체기준!$A$20:$A$49,0)),0)))</f>
        <v/>
      </c>
      <c r="AC4340" s="9">
        <f>IF(AND($A4340&lt;&gt;"",M4340=설정!$C$20,Z4340&gt;0),Z4340+ROW()/1000000000,"")</f>
        <v/>
      </c>
      <c r="AD4340" s="94">
        <f>IF($A4340="",0,$P4340*AG4340)</f>
        <v/>
      </c>
      <c r="AE4340" s="64">
        <f>IF($A4340="","",IFERROR(INDEX(계정매핑!$E$5:$E$504,MATCH($F4340&amp;"",계정매핑!$A$5:$A$504,0))&amp;"","공통비"))</f>
        <v/>
      </c>
      <c r="AF4340" s="64">
        <f>IF($A4340="","",IF(AE4340="직접",IFERROR(INDEX(계정매핑!$F$5:$F$504,MATCH($F4340&amp;"",계정매핑!$A$5:$A$504,0))&amp;"","비귀속"),""))</f>
        <v/>
      </c>
      <c r="AG4340" s="96">
        <f>IF($A4340="",0,IF(AND(AE4340&lt;&gt;"직접",IFERROR(INDEX(계정매핑!$G$5:$G$504,MATCH($F4340&amp;"",계정매핑!$A$5:$A$504,0))&amp;"","")="유지비",COUNTIF(계정대체기준!$A$6:$A$15,$N4340)&gt;0),IFERROR(INDEX(계정대체기준!$E$6:$E$15,MATCH(VALUE($A4340&amp;""),계정대체기준!$D$6:$D$15,0)),0),0))</f>
        <v/>
      </c>
      <c r="AH4340" s="64">
        <f>IF($A4340="","",IF(AD4340=0,"",IF(OR(COUNTIF(계정대체기준!$A$77:$A$86,$N4340)&gt;0,ISNUMBER(MATCH($X4340,계정대체기준!$D$77:$D$86,0)),ISNUMBER(MATCH($F4340,계정대체기준!$D$77:$D$86,0))),"Y","N")))</f>
        <v/>
      </c>
    </row>
    <row r="4341">
      <c r="A4341" s="92" t="n">
        <v>2026</v>
      </c>
      <c r="B4341" s="92" t="n">
        <v>8</v>
      </c>
      <c r="C4341" s="92" t="inlineStr">
        <is>
          <t>5100001619</t>
        </is>
      </c>
      <c r="D4341" s="95" t="n">
        <v>46238</v>
      </c>
      <c r="E4341" s="92" t="inlineStr">
        <is>
          <t>KR</t>
        </is>
      </c>
      <c r="F4341" s="92" t="n">
        <v>62701000</v>
      </c>
      <c r="G4341" s="92" t="n">
        <v>1501</v>
      </c>
      <c r="H4341" s="93" t="n">
        <v>50178000</v>
      </c>
      <c r="I4341" s="92" t="inlineStr">
        <is>
          <t>8월 광고 집행 - E미디어</t>
        </is>
      </c>
      <c r="J4341" s="92" t="inlineStr">
        <is>
          <t>V10033</t>
        </is>
      </c>
      <c r="K4341" s="92" t="inlineStr">
        <is>
          <t>E미디어</t>
        </is>
      </c>
      <c r="M4341" s="9">
        <f>IF($A4341="","",VALUE($A4341&amp;"")*12+VALUE($B4341&amp;""))</f>
        <v/>
      </c>
      <c r="N4341" s="64">
        <f>IF($A4341="","",IFERROR(INDEX(부서매핑!$C$5:$C$504,MATCH($G4341&amp;"",부서매핑!$A$5:$A$504,0)),"미매핑"))</f>
        <v/>
      </c>
      <c r="O4341" s="9">
        <f>IF($A4341="","",N4341&amp;"|"&amp;$F4341)</f>
        <v/>
      </c>
      <c r="P4341" s="94">
        <f>IF($A4341="",0,$H4341*설정!$C$23)</f>
        <v/>
      </c>
      <c r="Q4341" s="64">
        <f>IF($A4341="","",IF(O4341&lt;&gt;원인분석!$C$9,"",IF(AND(M4341&gt;=원인분석!$C$10,M4341&lt;=원인분석!$C$11),"당기",IF(AND(M4341&gt;=원인분석!$C$12,M4341&lt;=원인분석!$C$13),"비교",""))))</f>
        <v/>
      </c>
      <c r="R4341" s="9">
        <f>IF(Q4341="","",$K4341&amp;"")</f>
        <v/>
      </c>
      <c r="S4341" s="9">
        <f>IF(Q4341="","",IF(MATCH(R4341,$R$5:$R$100000,0)=ROW()-4,ROW(),""))</f>
        <v/>
      </c>
      <c r="T4341" s="9">
        <f>IF(Q4341="당기",ABS(P4341)+ROW()/1000000000,"")</f>
        <v/>
      </c>
      <c r="U4341" s="9">
        <f>IF(Q4341="비교",ABS(P4341)+ROW()/1000000000,"")</f>
        <v/>
      </c>
      <c r="V4341" s="64">
        <f>IF($A4341="","",IF(COUNTIF(변동분석!$E$7:$E$506,O4341)&gt;0,"Y","N"))</f>
        <v/>
      </c>
      <c r="W4341" s="64">
        <f>IF($A4341="","",IFERROR(INDEX(계정매핑!$D$5:$D$504,MATCH($F4341&amp;"",계정매핑!$A$5:$A$504,0)),"미매핑"))</f>
        <v/>
      </c>
      <c r="X4341" s="9">
        <f>IF($A4341="","",$F4341&amp;"")</f>
        <v/>
      </c>
      <c r="Y4341" s="94">
        <f>IF($A4341="",0,IF(AE4341="직접",IF(AF4341="비귀속",$P4341,0),$P4341*(1-AG4341)*IFERROR(INDEX(계정대체기준!$F$20:$F$49,MATCH($N4341,계정대체기준!$A$20:$A$49,0)),1)))</f>
        <v/>
      </c>
      <c r="Z4341" s="94">
        <f>IF($A4341="",0,IF(AE4341="직접",IF(AF4341="신계약비",$P4341,0),$P4341*(1-AG4341)*IFERROR(INDEX(계정대체기준!$C$20:$C$49,MATCH($N4341,계정대체기준!$A$20:$A$49,0)),0)))</f>
        <v/>
      </c>
      <c r="AA4341" s="94">
        <f>IF($A4341="",0,IF(AE4341="직접",IF(OR(AF4341="유지비",AF4341="손해조사비"),$P4341,0),$P4341*(1-AG4341)*IFERROR(INDEX(계정대체기준!$D$20:$D$49,MATCH($N4341,계정대체기준!$A$20:$A$49,0)),0)))</f>
        <v/>
      </c>
      <c r="AB4341" s="94">
        <f>IF($A4341="",0,IF(AE4341="직접",IF(AF4341="수금비",$P4341,0),$P4341*(1-AG4341)*IFERROR(INDEX(계정대체기준!$E$20:$E$49,MATCH($N4341,계정대체기준!$A$20:$A$49,0)),0)))</f>
        <v/>
      </c>
      <c r="AC4341" s="9">
        <f>IF(AND($A4341&lt;&gt;"",M4341=설정!$C$20,Z4341&gt;0),Z4341+ROW()/1000000000,"")</f>
        <v/>
      </c>
      <c r="AD4341" s="94">
        <f>IF($A4341="",0,$P4341*AG4341)</f>
        <v/>
      </c>
      <c r="AE4341" s="64">
        <f>IF($A4341="","",IFERROR(INDEX(계정매핑!$E$5:$E$504,MATCH($F4341&amp;"",계정매핑!$A$5:$A$504,0))&amp;"","공통비"))</f>
        <v/>
      </c>
      <c r="AF4341" s="64">
        <f>IF($A4341="","",IF(AE4341="직접",IFERROR(INDEX(계정매핑!$F$5:$F$504,MATCH($F4341&amp;"",계정매핑!$A$5:$A$504,0))&amp;"","비귀속"),""))</f>
        <v/>
      </c>
      <c r="AG4341" s="96">
        <f>IF($A4341="",0,IF(AND(AE4341&lt;&gt;"직접",IFERROR(INDEX(계정매핑!$G$5:$G$504,MATCH($F4341&amp;"",계정매핑!$A$5:$A$504,0))&amp;"","")="유지비",COUNTIF(계정대체기준!$A$6:$A$15,$N4341)&gt;0),IFERROR(INDEX(계정대체기준!$E$6:$E$15,MATCH(VALUE($A4341&amp;""),계정대체기준!$D$6:$D$15,0)),0),0))</f>
        <v/>
      </c>
      <c r="AH4341" s="64">
        <f>IF($A4341="","",IF(AD4341=0,"",IF(OR(COUNTIF(계정대체기준!$A$77:$A$86,$N4341)&gt;0,ISNUMBER(MATCH($X4341,계정대체기준!$D$77:$D$86,0)),ISNUMBER(MATCH($F4341,계정대체기준!$D$77:$D$86,0))),"Y","N")))</f>
        <v/>
      </c>
    </row>
    <row r="4342">
      <c r="A4342" s="92" t="n">
        <v>2026</v>
      </c>
      <c r="B4342" s="92" t="n">
        <v>8</v>
      </c>
      <c r="C4342" s="92" t="inlineStr">
        <is>
          <t>5100001620</t>
        </is>
      </c>
      <c r="D4342" s="95" t="n">
        <v>46238</v>
      </c>
      <c r="E4342" s="92" t="inlineStr">
        <is>
          <t>KR</t>
        </is>
      </c>
      <c r="F4342" s="92" t="n">
        <v>62902000</v>
      </c>
      <c r="G4342" s="92" t="n">
        <v>1201</v>
      </c>
      <c r="H4342" s="93" t="n">
        <v>3178000</v>
      </c>
      <c r="I4342" s="92" t="inlineStr">
        <is>
          <t>8월 업무 위탁 수수료 - J콜센터</t>
        </is>
      </c>
      <c r="J4342" s="92" t="inlineStr">
        <is>
          <t>V10016</t>
        </is>
      </c>
      <c r="K4342" s="92" t="inlineStr">
        <is>
          <t>J콜센터</t>
        </is>
      </c>
      <c r="M4342" s="9">
        <f>IF($A4342="","",VALUE($A4342&amp;"")*12+VALUE($B4342&amp;""))</f>
        <v/>
      </c>
      <c r="N4342" s="64">
        <f>IF($A4342="","",IFERROR(INDEX(부서매핑!$C$5:$C$504,MATCH($G4342&amp;"",부서매핑!$A$5:$A$504,0)),"미매핑"))</f>
        <v/>
      </c>
      <c r="O4342" s="9">
        <f>IF($A4342="","",N4342&amp;"|"&amp;$F4342)</f>
        <v/>
      </c>
      <c r="P4342" s="94">
        <f>IF($A4342="",0,$H4342*설정!$C$23)</f>
        <v/>
      </c>
      <c r="Q4342" s="64">
        <f>IF($A4342="","",IF(O4342&lt;&gt;원인분석!$C$9,"",IF(AND(M4342&gt;=원인분석!$C$10,M4342&lt;=원인분석!$C$11),"당기",IF(AND(M4342&gt;=원인분석!$C$12,M4342&lt;=원인분석!$C$13),"비교",""))))</f>
        <v/>
      </c>
      <c r="R4342" s="9">
        <f>IF(Q4342="","",$K4342&amp;"")</f>
        <v/>
      </c>
      <c r="S4342" s="9">
        <f>IF(Q4342="","",IF(MATCH(R4342,$R$5:$R$100000,0)=ROW()-4,ROW(),""))</f>
        <v/>
      </c>
      <c r="T4342" s="9">
        <f>IF(Q4342="당기",ABS(P4342)+ROW()/1000000000,"")</f>
        <v/>
      </c>
      <c r="U4342" s="9">
        <f>IF(Q4342="비교",ABS(P4342)+ROW()/1000000000,"")</f>
        <v/>
      </c>
      <c r="V4342" s="64">
        <f>IF($A4342="","",IF(COUNTIF(변동분석!$E$7:$E$506,O4342)&gt;0,"Y","N"))</f>
        <v/>
      </c>
      <c r="W4342" s="64">
        <f>IF($A4342="","",IFERROR(INDEX(계정매핑!$D$5:$D$504,MATCH($F4342&amp;"",계정매핑!$A$5:$A$504,0)),"미매핑"))</f>
        <v/>
      </c>
      <c r="X4342" s="9">
        <f>IF($A4342="","",$F4342&amp;"")</f>
        <v/>
      </c>
      <c r="Y4342" s="94">
        <f>IF($A4342="",0,IF(AE4342="직접",IF(AF4342="비귀속",$P4342,0),$P4342*(1-AG4342)*IFERROR(INDEX(계정대체기준!$F$20:$F$49,MATCH($N4342,계정대체기준!$A$20:$A$49,0)),1)))</f>
        <v/>
      </c>
      <c r="Z4342" s="94">
        <f>IF($A4342="",0,IF(AE4342="직접",IF(AF4342="신계약비",$P4342,0),$P4342*(1-AG4342)*IFERROR(INDEX(계정대체기준!$C$20:$C$49,MATCH($N4342,계정대체기준!$A$20:$A$49,0)),0)))</f>
        <v/>
      </c>
      <c r="AA4342" s="94">
        <f>IF($A4342="",0,IF(AE4342="직접",IF(OR(AF4342="유지비",AF4342="손해조사비"),$P4342,0),$P4342*(1-AG4342)*IFERROR(INDEX(계정대체기준!$D$20:$D$49,MATCH($N4342,계정대체기준!$A$20:$A$49,0)),0)))</f>
        <v/>
      </c>
      <c r="AB4342" s="94">
        <f>IF($A4342="",0,IF(AE4342="직접",IF(AF4342="수금비",$P4342,0),$P4342*(1-AG4342)*IFERROR(INDEX(계정대체기준!$E$20:$E$49,MATCH($N4342,계정대체기준!$A$20:$A$49,0)),0)))</f>
        <v/>
      </c>
      <c r="AC4342" s="9">
        <f>IF(AND($A4342&lt;&gt;"",M4342=설정!$C$20,Z4342&gt;0),Z4342+ROW()/1000000000,"")</f>
        <v/>
      </c>
      <c r="AD4342" s="94">
        <f>IF($A4342="",0,$P4342*AG4342)</f>
        <v/>
      </c>
      <c r="AE4342" s="64">
        <f>IF($A4342="","",IFERROR(INDEX(계정매핑!$E$5:$E$504,MATCH($F4342&amp;"",계정매핑!$A$5:$A$504,0))&amp;"","공통비"))</f>
        <v/>
      </c>
      <c r="AF4342" s="64">
        <f>IF($A4342="","",IF(AE4342="직접",IFERROR(INDEX(계정매핑!$F$5:$F$504,MATCH($F4342&amp;"",계정매핑!$A$5:$A$504,0))&amp;"","비귀속"),""))</f>
        <v/>
      </c>
      <c r="AG4342" s="96">
        <f>IF($A4342="",0,IF(AND(AE4342&lt;&gt;"직접",IFERROR(INDEX(계정매핑!$G$5:$G$504,MATCH($F4342&amp;"",계정매핑!$A$5:$A$504,0))&amp;"","")="유지비",COUNTIF(계정대체기준!$A$6:$A$15,$N4342)&gt;0),IFERROR(INDEX(계정대체기준!$E$6:$E$15,MATCH(VALUE($A4342&amp;""),계정대체기준!$D$6:$D$15,0)),0),0))</f>
        <v/>
      </c>
      <c r="AH4342" s="64">
        <f>IF($A4342="","",IF(AD4342=0,"",IF(OR(COUNTIF(계정대체기준!$A$77:$A$86,$N4342)&gt;0,ISNUMBER(MATCH($X4342,계정대체기준!$D$77:$D$86,0)),ISNUMBER(MATCH($F4342,계정대체기준!$D$77:$D$86,0))),"Y","N")))</f>
        <v/>
      </c>
    </row>
    <row r="4343">
      <c r="A4343" s="92" t="n">
        <v>2026</v>
      </c>
      <c r="B4343" s="92" t="n">
        <v>8</v>
      </c>
      <c r="C4343" s="92" t="inlineStr">
        <is>
          <t>5100001621</t>
        </is>
      </c>
      <c r="D4343" s="95" t="n">
        <v>46239</v>
      </c>
      <c r="E4343" s="92" t="inlineStr">
        <is>
          <t>KR</t>
        </is>
      </c>
      <c r="F4343" s="92" t="n">
        <v>62101000</v>
      </c>
      <c r="G4343" s="92" t="n">
        <v>1101</v>
      </c>
      <c r="H4343" s="93" t="n">
        <v>405000</v>
      </c>
      <c r="I4343" s="92" t="inlineStr">
        <is>
          <t>8월 국내출장 - (법인카드)</t>
        </is>
      </c>
      <c r="J4343" s="92" t="inlineStr">
        <is>
          <t>V10010</t>
        </is>
      </c>
      <c r="K4343" s="92" t="inlineStr">
        <is>
          <t>(법인카드)</t>
        </is>
      </c>
      <c r="M4343" s="9">
        <f>IF($A4343="","",VALUE($A4343&amp;"")*12+VALUE($B4343&amp;""))</f>
        <v/>
      </c>
      <c r="N4343" s="64">
        <f>IF($A4343="","",IFERROR(INDEX(부서매핑!$C$5:$C$504,MATCH($G4343&amp;"",부서매핑!$A$5:$A$504,0)),"미매핑"))</f>
        <v/>
      </c>
      <c r="O4343" s="9">
        <f>IF($A4343="","",N4343&amp;"|"&amp;$F4343)</f>
        <v/>
      </c>
      <c r="P4343" s="94">
        <f>IF($A4343="",0,$H4343*설정!$C$23)</f>
        <v/>
      </c>
      <c r="Q4343" s="64">
        <f>IF($A4343="","",IF(O4343&lt;&gt;원인분석!$C$9,"",IF(AND(M4343&gt;=원인분석!$C$10,M4343&lt;=원인분석!$C$11),"당기",IF(AND(M4343&gt;=원인분석!$C$12,M4343&lt;=원인분석!$C$13),"비교",""))))</f>
        <v/>
      </c>
      <c r="R4343" s="9">
        <f>IF(Q4343="","",$K4343&amp;"")</f>
        <v/>
      </c>
      <c r="S4343" s="9">
        <f>IF(Q4343="","",IF(MATCH(R4343,$R$5:$R$100000,0)=ROW()-4,ROW(),""))</f>
        <v/>
      </c>
      <c r="T4343" s="9">
        <f>IF(Q4343="당기",ABS(P4343)+ROW()/1000000000,"")</f>
        <v/>
      </c>
      <c r="U4343" s="9">
        <f>IF(Q4343="비교",ABS(P4343)+ROW()/1000000000,"")</f>
        <v/>
      </c>
      <c r="V4343" s="64">
        <f>IF($A4343="","",IF(COUNTIF(변동분석!$E$7:$E$506,O4343)&gt;0,"Y","N"))</f>
        <v/>
      </c>
      <c r="W4343" s="64">
        <f>IF($A4343="","",IFERROR(INDEX(계정매핑!$D$5:$D$504,MATCH($F4343&amp;"",계정매핑!$A$5:$A$504,0)),"미매핑"))</f>
        <v/>
      </c>
      <c r="X4343" s="9">
        <f>IF($A4343="","",$F4343&amp;"")</f>
        <v/>
      </c>
      <c r="Y4343" s="94">
        <f>IF($A4343="",0,IF(AE4343="직접",IF(AF4343="비귀속",$P4343,0),$P4343*(1-AG4343)*IFERROR(INDEX(계정대체기준!$F$20:$F$49,MATCH($N4343,계정대체기준!$A$20:$A$49,0)),1)))</f>
        <v/>
      </c>
      <c r="Z4343" s="94">
        <f>IF($A4343="",0,IF(AE4343="직접",IF(AF4343="신계약비",$P4343,0),$P4343*(1-AG4343)*IFERROR(INDEX(계정대체기준!$C$20:$C$49,MATCH($N4343,계정대체기준!$A$20:$A$49,0)),0)))</f>
        <v/>
      </c>
      <c r="AA4343" s="94">
        <f>IF($A4343="",0,IF(AE4343="직접",IF(OR(AF4343="유지비",AF4343="손해조사비"),$P4343,0),$P4343*(1-AG4343)*IFERROR(INDEX(계정대체기준!$D$20:$D$49,MATCH($N4343,계정대체기준!$A$20:$A$49,0)),0)))</f>
        <v/>
      </c>
      <c r="AB4343" s="94">
        <f>IF($A4343="",0,IF(AE4343="직접",IF(AF4343="수금비",$P4343,0),$P4343*(1-AG4343)*IFERROR(INDEX(계정대체기준!$E$20:$E$49,MATCH($N4343,계정대체기준!$A$20:$A$49,0)),0)))</f>
        <v/>
      </c>
      <c r="AC4343" s="9">
        <f>IF(AND($A4343&lt;&gt;"",M4343=설정!$C$20,Z4343&gt;0),Z4343+ROW()/1000000000,"")</f>
        <v/>
      </c>
      <c r="AD4343" s="94">
        <f>IF($A4343="",0,$P4343*AG4343)</f>
        <v/>
      </c>
      <c r="AE4343" s="64">
        <f>IF($A4343="","",IFERROR(INDEX(계정매핑!$E$5:$E$504,MATCH($F4343&amp;"",계정매핑!$A$5:$A$504,0))&amp;"","공통비"))</f>
        <v/>
      </c>
      <c r="AF4343" s="64">
        <f>IF($A4343="","",IF(AE4343="직접",IFERROR(INDEX(계정매핑!$F$5:$F$504,MATCH($F4343&amp;"",계정매핑!$A$5:$A$504,0))&amp;"","비귀속"),""))</f>
        <v/>
      </c>
      <c r="AG4343" s="96">
        <f>IF($A4343="",0,IF(AND(AE4343&lt;&gt;"직접",IFERROR(INDEX(계정매핑!$G$5:$G$504,MATCH($F4343&amp;"",계정매핑!$A$5:$A$504,0))&amp;"","")="유지비",COUNTIF(계정대체기준!$A$6:$A$15,$N4343)&gt;0),IFERROR(INDEX(계정대체기준!$E$6:$E$15,MATCH(VALUE($A4343&amp;""),계정대체기준!$D$6:$D$15,0)),0),0))</f>
        <v/>
      </c>
      <c r="AH4343" s="64">
        <f>IF($A4343="","",IF(AD4343=0,"",IF(OR(COUNTIF(계정대체기준!$A$77:$A$86,$N4343)&gt;0,ISNUMBER(MATCH($X4343,계정대체기준!$D$77:$D$86,0)),ISNUMBER(MATCH($F4343,계정대체기준!$D$77:$D$86,0))),"Y","N")))</f>
        <v/>
      </c>
    </row>
    <row r="4344">
      <c r="A4344" s="92" t="n">
        <v>2026</v>
      </c>
      <c r="B4344" s="92" t="n">
        <v>8</v>
      </c>
      <c r="C4344" s="92" t="inlineStr">
        <is>
          <t>5100001622</t>
        </is>
      </c>
      <c r="D4344" s="95" t="n">
        <v>46239</v>
      </c>
      <c r="E4344" s="92" t="inlineStr">
        <is>
          <t>KR</t>
        </is>
      </c>
      <c r="F4344" s="92" t="n">
        <v>62101000</v>
      </c>
      <c r="G4344" s="92" t="n">
        <v>1301</v>
      </c>
      <c r="H4344" s="93" t="n">
        <v>294000</v>
      </c>
      <c r="I4344" s="92" t="inlineStr">
        <is>
          <t>8월 국내출장 - M항공</t>
        </is>
      </c>
      <c r="J4344" s="92" t="inlineStr">
        <is>
          <t>V10001</t>
        </is>
      </c>
      <c r="K4344" s="92" t="inlineStr">
        <is>
          <t>M항공</t>
        </is>
      </c>
      <c r="M4344" s="9">
        <f>IF($A4344="","",VALUE($A4344&amp;"")*12+VALUE($B4344&amp;""))</f>
        <v/>
      </c>
      <c r="N4344" s="64">
        <f>IF($A4344="","",IFERROR(INDEX(부서매핑!$C$5:$C$504,MATCH($G4344&amp;"",부서매핑!$A$5:$A$504,0)),"미매핑"))</f>
        <v/>
      </c>
      <c r="O4344" s="9">
        <f>IF($A4344="","",N4344&amp;"|"&amp;$F4344)</f>
        <v/>
      </c>
      <c r="P4344" s="94">
        <f>IF($A4344="",0,$H4344*설정!$C$23)</f>
        <v/>
      </c>
      <c r="Q4344" s="64">
        <f>IF($A4344="","",IF(O4344&lt;&gt;원인분석!$C$9,"",IF(AND(M4344&gt;=원인분석!$C$10,M4344&lt;=원인분석!$C$11),"당기",IF(AND(M4344&gt;=원인분석!$C$12,M4344&lt;=원인분석!$C$13),"비교",""))))</f>
        <v/>
      </c>
      <c r="R4344" s="9">
        <f>IF(Q4344="","",$K4344&amp;"")</f>
        <v/>
      </c>
      <c r="S4344" s="9">
        <f>IF(Q4344="","",IF(MATCH(R4344,$R$5:$R$100000,0)=ROW()-4,ROW(),""))</f>
        <v/>
      </c>
      <c r="T4344" s="9">
        <f>IF(Q4344="당기",ABS(P4344)+ROW()/1000000000,"")</f>
        <v/>
      </c>
      <c r="U4344" s="9">
        <f>IF(Q4344="비교",ABS(P4344)+ROW()/1000000000,"")</f>
        <v/>
      </c>
      <c r="V4344" s="64">
        <f>IF($A4344="","",IF(COUNTIF(변동분석!$E$7:$E$506,O4344)&gt;0,"Y","N"))</f>
        <v/>
      </c>
      <c r="W4344" s="64">
        <f>IF($A4344="","",IFERROR(INDEX(계정매핑!$D$5:$D$504,MATCH($F4344&amp;"",계정매핑!$A$5:$A$504,0)),"미매핑"))</f>
        <v/>
      </c>
      <c r="X4344" s="9">
        <f>IF($A4344="","",$F4344&amp;"")</f>
        <v/>
      </c>
      <c r="Y4344" s="94">
        <f>IF($A4344="",0,IF(AE4344="직접",IF(AF4344="비귀속",$P4344,0),$P4344*(1-AG4344)*IFERROR(INDEX(계정대체기준!$F$20:$F$49,MATCH($N4344,계정대체기준!$A$20:$A$49,0)),1)))</f>
        <v/>
      </c>
      <c r="Z4344" s="94">
        <f>IF($A4344="",0,IF(AE4344="직접",IF(AF4344="신계약비",$P4344,0),$P4344*(1-AG4344)*IFERROR(INDEX(계정대체기준!$C$20:$C$49,MATCH($N4344,계정대체기준!$A$20:$A$49,0)),0)))</f>
        <v/>
      </c>
      <c r="AA4344" s="94">
        <f>IF($A4344="",0,IF(AE4344="직접",IF(OR(AF4344="유지비",AF4344="손해조사비"),$P4344,0),$P4344*(1-AG4344)*IFERROR(INDEX(계정대체기준!$D$20:$D$49,MATCH($N4344,계정대체기준!$A$20:$A$49,0)),0)))</f>
        <v/>
      </c>
      <c r="AB4344" s="94">
        <f>IF($A4344="",0,IF(AE4344="직접",IF(AF4344="수금비",$P4344,0),$P4344*(1-AG4344)*IFERROR(INDEX(계정대체기준!$E$20:$E$49,MATCH($N4344,계정대체기준!$A$20:$A$49,0)),0)))</f>
        <v/>
      </c>
      <c r="AC4344" s="9">
        <f>IF(AND($A4344&lt;&gt;"",M4344=설정!$C$20,Z4344&gt;0),Z4344+ROW()/1000000000,"")</f>
        <v/>
      </c>
      <c r="AD4344" s="94">
        <f>IF($A4344="",0,$P4344*AG4344)</f>
        <v/>
      </c>
      <c r="AE4344" s="64">
        <f>IF($A4344="","",IFERROR(INDEX(계정매핑!$E$5:$E$504,MATCH($F4344&amp;"",계정매핑!$A$5:$A$504,0))&amp;"","공통비"))</f>
        <v/>
      </c>
      <c r="AF4344" s="64">
        <f>IF($A4344="","",IF(AE4344="직접",IFERROR(INDEX(계정매핑!$F$5:$F$504,MATCH($F4344&amp;"",계정매핑!$A$5:$A$504,0))&amp;"","비귀속"),""))</f>
        <v/>
      </c>
      <c r="AG4344" s="96">
        <f>IF($A4344="",0,IF(AND(AE4344&lt;&gt;"직접",IFERROR(INDEX(계정매핑!$G$5:$G$504,MATCH($F4344&amp;"",계정매핑!$A$5:$A$504,0))&amp;"","")="유지비",COUNTIF(계정대체기준!$A$6:$A$15,$N4344)&gt;0),IFERROR(INDEX(계정대체기준!$E$6:$E$15,MATCH(VALUE($A4344&amp;""),계정대체기준!$D$6:$D$15,0)),0),0))</f>
        <v/>
      </c>
      <c r="AH4344" s="64">
        <f>IF($A4344="","",IF(AD4344=0,"",IF(OR(COUNTIF(계정대체기준!$A$77:$A$86,$N4344)&gt;0,ISNUMBER(MATCH($X4344,계정대체기준!$D$77:$D$86,0)),ISNUMBER(MATCH($F4344,계정대체기준!$D$77:$D$86,0))),"Y","N")))</f>
        <v/>
      </c>
    </row>
    <row r="4345">
      <c r="A4345" s="92" t="n">
        <v>2026</v>
      </c>
      <c r="B4345" s="92" t="n">
        <v>8</v>
      </c>
      <c r="C4345" s="92" t="inlineStr">
        <is>
          <t>5100001623</t>
        </is>
      </c>
      <c r="D4345" s="95" t="n">
        <v>46239</v>
      </c>
      <c r="E4345" s="92" t="inlineStr">
        <is>
          <t>KR</t>
        </is>
      </c>
      <c r="F4345" s="92" t="n">
        <v>62101000</v>
      </c>
      <c r="G4345" s="92" t="n">
        <v>1401</v>
      </c>
      <c r="H4345" s="93" t="n">
        <v>459000</v>
      </c>
      <c r="I4345" s="92" t="inlineStr">
        <is>
          <t>8월 국내출장 - (법인카드)</t>
        </is>
      </c>
      <c r="J4345" s="92" t="inlineStr">
        <is>
          <t>V10010</t>
        </is>
      </c>
      <c r="K4345" s="92" t="inlineStr">
        <is>
          <t>(법인카드)</t>
        </is>
      </c>
      <c r="M4345" s="9">
        <f>IF($A4345="","",VALUE($A4345&amp;"")*12+VALUE($B4345&amp;""))</f>
        <v/>
      </c>
      <c r="N4345" s="64">
        <f>IF($A4345="","",IFERROR(INDEX(부서매핑!$C$5:$C$504,MATCH($G4345&amp;"",부서매핑!$A$5:$A$504,0)),"미매핑"))</f>
        <v/>
      </c>
      <c r="O4345" s="9">
        <f>IF($A4345="","",N4345&amp;"|"&amp;$F4345)</f>
        <v/>
      </c>
      <c r="P4345" s="94">
        <f>IF($A4345="",0,$H4345*설정!$C$23)</f>
        <v/>
      </c>
      <c r="Q4345" s="64">
        <f>IF($A4345="","",IF(O4345&lt;&gt;원인분석!$C$9,"",IF(AND(M4345&gt;=원인분석!$C$10,M4345&lt;=원인분석!$C$11),"당기",IF(AND(M4345&gt;=원인분석!$C$12,M4345&lt;=원인분석!$C$13),"비교",""))))</f>
        <v/>
      </c>
      <c r="R4345" s="9">
        <f>IF(Q4345="","",$K4345&amp;"")</f>
        <v/>
      </c>
      <c r="S4345" s="9">
        <f>IF(Q4345="","",IF(MATCH(R4345,$R$5:$R$100000,0)=ROW()-4,ROW(),""))</f>
        <v/>
      </c>
      <c r="T4345" s="9">
        <f>IF(Q4345="당기",ABS(P4345)+ROW()/1000000000,"")</f>
        <v/>
      </c>
      <c r="U4345" s="9">
        <f>IF(Q4345="비교",ABS(P4345)+ROW()/1000000000,"")</f>
        <v/>
      </c>
      <c r="V4345" s="64">
        <f>IF($A4345="","",IF(COUNTIF(변동분석!$E$7:$E$506,O4345)&gt;0,"Y","N"))</f>
        <v/>
      </c>
      <c r="W4345" s="64">
        <f>IF($A4345="","",IFERROR(INDEX(계정매핑!$D$5:$D$504,MATCH($F4345&amp;"",계정매핑!$A$5:$A$504,0)),"미매핑"))</f>
        <v/>
      </c>
      <c r="X4345" s="9">
        <f>IF($A4345="","",$F4345&amp;"")</f>
        <v/>
      </c>
      <c r="Y4345" s="94">
        <f>IF($A4345="",0,IF(AE4345="직접",IF(AF4345="비귀속",$P4345,0),$P4345*(1-AG4345)*IFERROR(INDEX(계정대체기준!$F$20:$F$49,MATCH($N4345,계정대체기준!$A$20:$A$49,0)),1)))</f>
        <v/>
      </c>
      <c r="Z4345" s="94">
        <f>IF($A4345="",0,IF(AE4345="직접",IF(AF4345="신계약비",$P4345,0),$P4345*(1-AG4345)*IFERROR(INDEX(계정대체기준!$C$20:$C$49,MATCH($N4345,계정대체기준!$A$20:$A$49,0)),0)))</f>
        <v/>
      </c>
      <c r="AA4345" s="94">
        <f>IF($A4345="",0,IF(AE4345="직접",IF(OR(AF4345="유지비",AF4345="손해조사비"),$P4345,0),$P4345*(1-AG4345)*IFERROR(INDEX(계정대체기준!$D$20:$D$49,MATCH($N4345,계정대체기준!$A$20:$A$49,0)),0)))</f>
        <v/>
      </c>
      <c r="AB4345" s="94">
        <f>IF($A4345="",0,IF(AE4345="직접",IF(AF4345="수금비",$P4345,0),$P4345*(1-AG4345)*IFERROR(INDEX(계정대체기준!$E$20:$E$49,MATCH($N4345,계정대체기준!$A$20:$A$49,0)),0)))</f>
        <v/>
      </c>
      <c r="AC4345" s="9">
        <f>IF(AND($A4345&lt;&gt;"",M4345=설정!$C$20,Z4345&gt;0),Z4345+ROW()/1000000000,"")</f>
        <v/>
      </c>
      <c r="AD4345" s="94">
        <f>IF($A4345="",0,$P4345*AG4345)</f>
        <v/>
      </c>
      <c r="AE4345" s="64">
        <f>IF($A4345="","",IFERROR(INDEX(계정매핑!$E$5:$E$504,MATCH($F4345&amp;"",계정매핑!$A$5:$A$504,0))&amp;"","공통비"))</f>
        <v/>
      </c>
      <c r="AF4345" s="64">
        <f>IF($A4345="","",IF(AE4345="직접",IFERROR(INDEX(계정매핑!$F$5:$F$504,MATCH($F4345&amp;"",계정매핑!$A$5:$A$504,0))&amp;"","비귀속"),""))</f>
        <v/>
      </c>
      <c r="AG4345" s="96">
        <f>IF($A4345="",0,IF(AND(AE4345&lt;&gt;"직접",IFERROR(INDEX(계정매핑!$G$5:$G$504,MATCH($F4345&amp;"",계정매핑!$A$5:$A$504,0))&amp;"","")="유지비",COUNTIF(계정대체기준!$A$6:$A$15,$N4345)&gt;0),IFERROR(INDEX(계정대체기준!$E$6:$E$15,MATCH(VALUE($A4345&amp;""),계정대체기준!$D$6:$D$15,0)),0),0))</f>
        <v/>
      </c>
      <c r="AH4345" s="64">
        <f>IF($A4345="","",IF(AD4345=0,"",IF(OR(COUNTIF(계정대체기준!$A$77:$A$86,$N4345)&gt;0,ISNUMBER(MATCH($X4345,계정대체기준!$D$77:$D$86,0)),ISNUMBER(MATCH($F4345,계정대체기준!$D$77:$D$86,0))),"Y","N")))</f>
        <v/>
      </c>
    </row>
    <row r="4346">
      <c r="A4346" s="92" t="n">
        <v>2026</v>
      </c>
      <c r="B4346" s="92" t="n">
        <v>8</v>
      </c>
      <c r="C4346" s="92" t="inlineStr">
        <is>
          <t>5100001624</t>
        </is>
      </c>
      <c r="D4346" s="95" t="n">
        <v>46239</v>
      </c>
      <c r="E4346" s="92" t="inlineStr">
        <is>
          <t>KR</t>
        </is>
      </c>
      <c r="F4346" s="92" t="n">
        <v>62101000</v>
      </c>
      <c r="G4346" s="92" t="n">
        <v>1602</v>
      </c>
      <c r="H4346" s="93" t="n">
        <v>805000</v>
      </c>
      <c r="I4346" s="92" t="inlineStr">
        <is>
          <t>8월 국내출장 - L여행사</t>
        </is>
      </c>
      <c r="J4346" s="92" t="inlineStr">
        <is>
          <t>V10018</t>
        </is>
      </c>
      <c r="K4346" s="92" t="inlineStr">
        <is>
          <t>L여행사</t>
        </is>
      </c>
      <c r="M4346" s="9">
        <f>IF($A4346="","",VALUE($A4346&amp;"")*12+VALUE($B4346&amp;""))</f>
        <v/>
      </c>
      <c r="N4346" s="64">
        <f>IF($A4346="","",IFERROR(INDEX(부서매핑!$C$5:$C$504,MATCH($G4346&amp;"",부서매핑!$A$5:$A$504,0)),"미매핑"))</f>
        <v/>
      </c>
      <c r="O4346" s="9">
        <f>IF($A4346="","",N4346&amp;"|"&amp;$F4346)</f>
        <v/>
      </c>
      <c r="P4346" s="94">
        <f>IF($A4346="",0,$H4346*설정!$C$23)</f>
        <v/>
      </c>
      <c r="Q4346" s="64">
        <f>IF($A4346="","",IF(O4346&lt;&gt;원인분석!$C$9,"",IF(AND(M4346&gt;=원인분석!$C$10,M4346&lt;=원인분석!$C$11),"당기",IF(AND(M4346&gt;=원인분석!$C$12,M4346&lt;=원인분석!$C$13),"비교",""))))</f>
        <v/>
      </c>
      <c r="R4346" s="9">
        <f>IF(Q4346="","",$K4346&amp;"")</f>
        <v/>
      </c>
      <c r="S4346" s="9">
        <f>IF(Q4346="","",IF(MATCH(R4346,$R$5:$R$100000,0)=ROW()-4,ROW(),""))</f>
        <v/>
      </c>
      <c r="T4346" s="9">
        <f>IF(Q4346="당기",ABS(P4346)+ROW()/1000000000,"")</f>
        <v/>
      </c>
      <c r="U4346" s="9">
        <f>IF(Q4346="비교",ABS(P4346)+ROW()/1000000000,"")</f>
        <v/>
      </c>
      <c r="V4346" s="64">
        <f>IF($A4346="","",IF(COUNTIF(변동분석!$E$7:$E$506,O4346)&gt;0,"Y","N"))</f>
        <v/>
      </c>
      <c r="W4346" s="64">
        <f>IF($A4346="","",IFERROR(INDEX(계정매핑!$D$5:$D$504,MATCH($F4346&amp;"",계정매핑!$A$5:$A$504,0)),"미매핑"))</f>
        <v/>
      </c>
      <c r="X4346" s="9">
        <f>IF($A4346="","",$F4346&amp;"")</f>
        <v/>
      </c>
      <c r="Y4346" s="94">
        <f>IF($A4346="",0,IF(AE4346="직접",IF(AF4346="비귀속",$P4346,0),$P4346*(1-AG4346)*IFERROR(INDEX(계정대체기준!$F$20:$F$49,MATCH($N4346,계정대체기준!$A$20:$A$49,0)),1)))</f>
        <v/>
      </c>
      <c r="Z4346" s="94">
        <f>IF($A4346="",0,IF(AE4346="직접",IF(AF4346="신계약비",$P4346,0),$P4346*(1-AG4346)*IFERROR(INDEX(계정대체기준!$C$20:$C$49,MATCH($N4346,계정대체기준!$A$20:$A$49,0)),0)))</f>
        <v/>
      </c>
      <c r="AA4346" s="94">
        <f>IF($A4346="",0,IF(AE4346="직접",IF(OR(AF4346="유지비",AF4346="손해조사비"),$P4346,0),$P4346*(1-AG4346)*IFERROR(INDEX(계정대체기준!$D$20:$D$49,MATCH($N4346,계정대체기준!$A$20:$A$49,0)),0)))</f>
        <v/>
      </c>
      <c r="AB4346" s="94">
        <f>IF($A4346="",0,IF(AE4346="직접",IF(AF4346="수금비",$P4346,0),$P4346*(1-AG4346)*IFERROR(INDEX(계정대체기준!$E$20:$E$49,MATCH($N4346,계정대체기준!$A$20:$A$49,0)),0)))</f>
        <v/>
      </c>
      <c r="AC4346" s="9">
        <f>IF(AND($A4346&lt;&gt;"",M4346=설정!$C$20,Z4346&gt;0),Z4346+ROW()/1000000000,"")</f>
        <v/>
      </c>
      <c r="AD4346" s="94">
        <f>IF($A4346="",0,$P4346*AG4346)</f>
        <v/>
      </c>
      <c r="AE4346" s="64">
        <f>IF($A4346="","",IFERROR(INDEX(계정매핑!$E$5:$E$504,MATCH($F4346&amp;"",계정매핑!$A$5:$A$504,0))&amp;"","공통비"))</f>
        <v/>
      </c>
      <c r="AF4346" s="64">
        <f>IF($A4346="","",IF(AE4346="직접",IFERROR(INDEX(계정매핑!$F$5:$F$504,MATCH($F4346&amp;"",계정매핑!$A$5:$A$504,0))&amp;"","비귀속"),""))</f>
        <v/>
      </c>
      <c r="AG4346" s="96">
        <f>IF($A4346="",0,IF(AND(AE4346&lt;&gt;"직접",IFERROR(INDEX(계정매핑!$G$5:$G$504,MATCH($F4346&amp;"",계정매핑!$A$5:$A$504,0))&amp;"","")="유지비",COUNTIF(계정대체기준!$A$6:$A$15,$N4346)&gt;0),IFERROR(INDEX(계정대체기준!$E$6:$E$15,MATCH(VALUE($A4346&amp;""),계정대체기준!$D$6:$D$15,0)),0),0))</f>
        <v/>
      </c>
      <c r="AH4346" s="64">
        <f>IF($A4346="","",IF(AD4346=0,"",IF(OR(COUNTIF(계정대체기준!$A$77:$A$86,$N4346)&gt;0,ISNUMBER(MATCH($X4346,계정대체기준!$D$77:$D$86,0)),ISNUMBER(MATCH($F4346,계정대체기준!$D$77:$D$86,0))),"Y","N")))</f>
        <v/>
      </c>
    </row>
    <row r="4347">
      <c r="A4347" s="92" t="n">
        <v>2026</v>
      </c>
      <c r="B4347" s="92" t="n">
        <v>8</v>
      </c>
      <c r="C4347" s="92" t="inlineStr">
        <is>
          <t>5100001625</t>
        </is>
      </c>
      <c r="D4347" s="95" t="n">
        <v>46239</v>
      </c>
      <c r="E4347" s="92" t="inlineStr">
        <is>
          <t>KR</t>
        </is>
      </c>
      <c r="F4347" s="92" t="n">
        <v>62102000</v>
      </c>
      <c r="G4347" s="92" t="n">
        <v>1101</v>
      </c>
      <c r="H4347" s="93" t="n">
        <v>131000</v>
      </c>
      <c r="I4347" s="92" t="inlineStr">
        <is>
          <t>8월 해외출장 - M항공</t>
        </is>
      </c>
      <c r="J4347" s="92" t="inlineStr">
        <is>
          <t>V10001</t>
        </is>
      </c>
      <c r="K4347" s="92" t="inlineStr">
        <is>
          <t>M항공</t>
        </is>
      </c>
      <c r="M4347" s="9">
        <f>IF($A4347="","",VALUE($A4347&amp;"")*12+VALUE($B4347&amp;""))</f>
        <v/>
      </c>
      <c r="N4347" s="64">
        <f>IF($A4347="","",IFERROR(INDEX(부서매핑!$C$5:$C$504,MATCH($G4347&amp;"",부서매핑!$A$5:$A$504,0)),"미매핑"))</f>
        <v/>
      </c>
      <c r="O4347" s="9">
        <f>IF($A4347="","",N4347&amp;"|"&amp;$F4347)</f>
        <v/>
      </c>
      <c r="P4347" s="94">
        <f>IF($A4347="",0,$H4347*설정!$C$23)</f>
        <v/>
      </c>
      <c r="Q4347" s="64">
        <f>IF($A4347="","",IF(O4347&lt;&gt;원인분석!$C$9,"",IF(AND(M4347&gt;=원인분석!$C$10,M4347&lt;=원인분석!$C$11),"당기",IF(AND(M4347&gt;=원인분석!$C$12,M4347&lt;=원인분석!$C$13),"비교",""))))</f>
        <v/>
      </c>
      <c r="R4347" s="9">
        <f>IF(Q4347="","",$K4347&amp;"")</f>
        <v/>
      </c>
      <c r="S4347" s="9">
        <f>IF(Q4347="","",IF(MATCH(R4347,$R$5:$R$100000,0)=ROW()-4,ROW(),""))</f>
        <v/>
      </c>
      <c r="T4347" s="9">
        <f>IF(Q4347="당기",ABS(P4347)+ROW()/1000000000,"")</f>
        <v/>
      </c>
      <c r="U4347" s="9">
        <f>IF(Q4347="비교",ABS(P4347)+ROW()/1000000000,"")</f>
        <v/>
      </c>
      <c r="V4347" s="64">
        <f>IF($A4347="","",IF(COUNTIF(변동분석!$E$7:$E$506,O4347)&gt;0,"Y","N"))</f>
        <v/>
      </c>
      <c r="W4347" s="64">
        <f>IF($A4347="","",IFERROR(INDEX(계정매핑!$D$5:$D$504,MATCH($F4347&amp;"",계정매핑!$A$5:$A$504,0)),"미매핑"))</f>
        <v/>
      </c>
      <c r="X4347" s="9">
        <f>IF($A4347="","",$F4347&amp;"")</f>
        <v/>
      </c>
      <c r="Y4347" s="94">
        <f>IF($A4347="",0,IF(AE4347="직접",IF(AF4347="비귀속",$P4347,0),$P4347*(1-AG4347)*IFERROR(INDEX(계정대체기준!$F$20:$F$49,MATCH($N4347,계정대체기준!$A$20:$A$49,0)),1)))</f>
        <v/>
      </c>
      <c r="Z4347" s="94">
        <f>IF($A4347="",0,IF(AE4347="직접",IF(AF4347="신계약비",$P4347,0),$P4347*(1-AG4347)*IFERROR(INDEX(계정대체기준!$C$20:$C$49,MATCH($N4347,계정대체기준!$A$20:$A$49,0)),0)))</f>
        <v/>
      </c>
      <c r="AA4347" s="94">
        <f>IF($A4347="",0,IF(AE4347="직접",IF(OR(AF4347="유지비",AF4347="손해조사비"),$P4347,0),$P4347*(1-AG4347)*IFERROR(INDEX(계정대체기준!$D$20:$D$49,MATCH($N4347,계정대체기준!$A$20:$A$49,0)),0)))</f>
        <v/>
      </c>
      <c r="AB4347" s="94">
        <f>IF($A4347="",0,IF(AE4347="직접",IF(AF4347="수금비",$P4347,0),$P4347*(1-AG4347)*IFERROR(INDEX(계정대체기준!$E$20:$E$49,MATCH($N4347,계정대체기준!$A$20:$A$49,0)),0)))</f>
        <v/>
      </c>
      <c r="AC4347" s="9">
        <f>IF(AND($A4347&lt;&gt;"",M4347=설정!$C$20,Z4347&gt;0),Z4347+ROW()/1000000000,"")</f>
        <v/>
      </c>
      <c r="AD4347" s="94">
        <f>IF($A4347="",0,$P4347*AG4347)</f>
        <v/>
      </c>
      <c r="AE4347" s="64">
        <f>IF($A4347="","",IFERROR(INDEX(계정매핑!$E$5:$E$504,MATCH($F4347&amp;"",계정매핑!$A$5:$A$504,0))&amp;"","공통비"))</f>
        <v/>
      </c>
      <c r="AF4347" s="64">
        <f>IF($A4347="","",IF(AE4347="직접",IFERROR(INDEX(계정매핑!$F$5:$F$504,MATCH($F4347&amp;"",계정매핑!$A$5:$A$504,0))&amp;"","비귀속"),""))</f>
        <v/>
      </c>
      <c r="AG4347" s="96">
        <f>IF($A4347="",0,IF(AND(AE4347&lt;&gt;"직접",IFERROR(INDEX(계정매핑!$G$5:$G$504,MATCH($F4347&amp;"",계정매핑!$A$5:$A$504,0))&amp;"","")="유지비",COUNTIF(계정대체기준!$A$6:$A$15,$N4347)&gt;0),IFERROR(INDEX(계정대체기준!$E$6:$E$15,MATCH(VALUE($A4347&amp;""),계정대체기준!$D$6:$D$15,0)),0),0))</f>
        <v/>
      </c>
      <c r="AH4347" s="64">
        <f>IF($A4347="","",IF(AD4347=0,"",IF(OR(COUNTIF(계정대체기준!$A$77:$A$86,$N4347)&gt;0,ISNUMBER(MATCH($X4347,계정대체기준!$D$77:$D$86,0)),ISNUMBER(MATCH($F4347,계정대체기준!$D$77:$D$86,0))),"Y","N")))</f>
        <v/>
      </c>
    </row>
    <row r="4348">
      <c r="A4348" s="92" t="n">
        <v>2026</v>
      </c>
      <c r="B4348" s="92" t="n">
        <v>8</v>
      </c>
      <c r="C4348" s="92" t="inlineStr">
        <is>
          <t>5100001626</t>
        </is>
      </c>
      <c r="D4348" s="95" t="n">
        <v>46239</v>
      </c>
      <c r="E4348" s="92" t="inlineStr">
        <is>
          <t>KR</t>
        </is>
      </c>
      <c r="F4348" s="92" t="n">
        <v>62102000</v>
      </c>
      <c r="G4348" s="92" t="n">
        <v>1801</v>
      </c>
      <c r="H4348" s="93" t="n">
        <v>45000</v>
      </c>
      <c r="I4348" s="92" t="inlineStr">
        <is>
          <t>8월 해외출장 - N호텔</t>
        </is>
      </c>
      <c r="J4348" s="92" t="inlineStr">
        <is>
          <t>V10009</t>
        </is>
      </c>
      <c r="K4348" s="92" t="inlineStr">
        <is>
          <t>N호텔</t>
        </is>
      </c>
      <c r="M4348" s="9">
        <f>IF($A4348="","",VALUE($A4348&amp;"")*12+VALUE($B4348&amp;""))</f>
        <v/>
      </c>
      <c r="N4348" s="64">
        <f>IF($A4348="","",IFERROR(INDEX(부서매핑!$C$5:$C$504,MATCH($G4348&amp;"",부서매핑!$A$5:$A$504,0)),"미매핑"))</f>
        <v/>
      </c>
      <c r="O4348" s="9">
        <f>IF($A4348="","",N4348&amp;"|"&amp;$F4348)</f>
        <v/>
      </c>
      <c r="P4348" s="94">
        <f>IF($A4348="",0,$H4348*설정!$C$23)</f>
        <v/>
      </c>
      <c r="Q4348" s="64">
        <f>IF($A4348="","",IF(O4348&lt;&gt;원인분석!$C$9,"",IF(AND(M4348&gt;=원인분석!$C$10,M4348&lt;=원인분석!$C$11),"당기",IF(AND(M4348&gt;=원인분석!$C$12,M4348&lt;=원인분석!$C$13),"비교",""))))</f>
        <v/>
      </c>
      <c r="R4348" s="9">
        <f>IF(Q4348="","",$K4348&amp;"")</f>
        <v/>
      </c>
      <c r="S4348" s="9">
        <f>IF(Q4348="","",IF(MATCH(R4348,$R$5:$R$100000,0)=ROW()-4,ROW(),""))</f>
        <v/>
      </c>
      <c r="T4348" s="9">
        <f>IF(Q4348="당기",ABS(P4348)+ROW()/1000000000,"")</f>
        <v/>
      </c>
      <c r="U4348" s="9">
        <f>IF(Q4348="비교",ABS(P4348)+ROW()/1000000000,"")</f>
        <v/>
      </c>
      <c r="V4348" s="64">
        <f>IF($A4348="","",IF(COUNTIF(변동분석!$E$7:$E$506,O4348)&gt;0,"Y","N"))</f>
        <v/>
      </c>
      <c r="W4348" s="64">
        <f>IF($A4348="","",IFERROR(INDEX(계정매핑!$D$5:$D$504,MATCH($F4348&amp;"",계정매핑!$A$5:$A$504,0)),"미매핑"))</f>
        <v/>
      </c>
      <c r="X4348" s="9">
        <f>IF($A4348="","",$F4348&amp;"")</f>
        <v/>
      </c>
      <c r="Y4348" s="94">
        <f>IF($A4348="",0,IF(AE4348="직접",IF(AF4348="비귀속",$P4348,0),$P4348*(1-AG4348)*IFERROR(INDEX(계정대체기준!$F$20:$F$49,MATCH($N4348,계정대체기준!$A$20:$A$49,0)),1)))</f>
        <v/>
      </c>
      <c r="Z4348" s="94">
        <f>IF($A4348="",0,IF(AE4348="직접",IF(AF4348="신계약비",$P4348,0),$P4348*(1-AG4348)*IFERROR(INDEX(계정대체기준!$C$20:$C$49,MATCH($N4348,계정대체기준!$A$20:$A$49,0)),0)))</f>
        <v/>
      </c>
      <c r="AA4348" s="94">
        <f>IF($A4348="",0,IF(AE4348="직접",IF(OR(AF4348="유지비",AF4348="손해조사비"),$P4348,0),$P4348*(1-AG4348)*IFERROR(INDEX(계정대체기준!$D$20:$D$49,MATCH($N4348,계정대체기준!$A$20:$A$49,0)),0)))</f>
        <v/>
      </c>
      <c r="AB4348" s="94">
        <f>IF($A4348="",0,IF(AE4348="직접",IF(AF4348="수금비",$P4348,0),$P4348*(1-AG4348)*IFERROR(INDEX(계정대체기준!$E$20:$E$49,MATCH($N4348,계정대체기준!$A$20:$A$49,0)),0)))</f>
        <v/>
      </c>
      <c r="AC4348" s="9">
        <f>IF(AND($A4348&lt;&gt;"",M4348=설정!$C$20,Z4348&gt;0),Z4348+ROW()/1000000000,"")</f>
        <v/>
      </c>
      <c r="AD4348" s="94">
        <f>IF($A4348="",0,$P4348*AG4348)</f>
        <v/>
      </c>
      <c r="AE4348" s="64">
        <f>IF($A4348="","",IFERROR(INDEX(계정매핑!$E$5:$E$504,MATCH($F4348&amp;"",계정매핑!$A$5:$A$504,0))&amp;"","공통비"))</f>
        <v/>
      </c>
      <c r="AF4348" s="64">
        <f>IF($A4348="","",IF(AE4348="직접",IFERROR(INDEX(계정매핑!$F$5:$F$504,MATCH($F4348&amp;"",계정매핑!$A$5:$A$504,0))&amp;"","비귀속"),""))</f>
        <v/>
      </c>
      <c r="AG4348" s="96">
        <f>IF($A4348="",0,IF(AND(AE4348&lt;&gt;"직접",IFERROR(INDEX(계정매핑!$G$5:$G$504,MATCH($F4348&amp;"",계정매핑!$A$5:$A$504,0))&amp;"","")="유지비",COUNTIF(계정대체기준!$A$6:$A$15,$N4348)&gt;0),IFERROR(INDEX(계정대체기준!$E$6:$E$15,MATCH(VALUE($A4348&amp;""),계정대체기준!$D$6:$D$15,0)),0),0))</f>
        <v/>
      </c>
      <c r="AH4348" s="64">
        <f>IF($A4348="","",IF(AD4348=0,"",IF(OR(COUNTIF(계정대체기준!$A$77:$A$86,$N4348)&gt;0,ISNUMBER(MATCH($X4348,계정대체기준!$D$77:$D$86,0)),ISNUMBER(MATCH($F4348,계정대체기준!$D$77:$D$86,0))),"Y","N")))</f>
        <v/>
      </c>
    </row>
    <row r="4349">
      <c r="A4349" s="92" t="n">
        <v>2026</v>
      </c>
      <c r="B4349" s="92" t="n">
        <v>8</v>
      </c>
      <c r="C4349" s="92" t="inlineStr">
        <is>
          <t>5100001627</t>
        </is>
      </c>
      <c r="D4349" s="95" t="n">
        <v>46239</v>
      </c>
      <c r="E4349" s="92" t="inlineStr">
        <is>
          <t>KR</t>
        </is>
      </c>
      <c r="F4349" s="92" t="n">
        <v>62201000</v>
      </c>
      <c r="G4349" s="92" t="n">
        <v>1601</v>
      </c>
      <c r="H4349" s="93" t="n">
        <v>490000</v>
      </c>
      <c r="I4349" s="92" t="inlineStr">
        <is>
          <t>8월 통신요금 - P통신</t>
        </is>
      </c>
      <c r="J4349" s="92" t="inlineStr">
        <is>
          <t>V10014</t>
        </is>
      </c>
      <c r="K4349" s="92" t="inlineStr">
        <is>
          <t>P통신</t>
        </is>
      </c>
      <c r="M4349" s="9">
        <f>IF($A4349="","",VALUE($A4349&amp;"")*12+VALUE($B4349&amp;""))</f>
        <v/>
      </c>
      <c r="N4349" s="64">
        <f>IF($A4349="","",IFERROR(INDEX(부서매핑!$C$5:$C$504,MATCH($G4349&amp;"",부서매핑!$A$5:$A$504,0)),"미매핑"))</f>
        <v/>
      </c>
      <c r="O4349" s="9">
        <f>IF($A4349="","",N4349&amp;"|"&amp;$F4349)</f>
        <v/>
      </c>
      <c r="P4349" s="94">
        <f>IF($A4349="",0,$H4349*설정!$C$23)</f>
        <v/>
      </c>
      <c r="Q4349" s="64">
        <f>IF($A4349="","",IF(O4349&lt;&gt;원인분석!$C$9,"",IF(AND(M4349&gt;=원인분석!$C$10,M4349&lt;=원인분석!$C$11),"당기",IF(AND(M4349&gt;=원인분석!$C$12,M4349&lt;=원인분석!$C$13),"비교",""))))</f>
        <v/>
      </c>
      <c r="R4349" s="9">
        <f>IF(Q4349="","",$K4349&amp;"")</f>
        <v/>
      </c>
      <c r="S4349" s="9">
        <f>IF(Q4349="","",IF(MATCH(R4349,$R$5:$R$100000,0)=ROW()-4,ROW(),""))</f>
        <v/>
      </c>
      <c r="T4349" s="9">
        <f>IF(Q4349="당기",ABS(P4349)+ROW()/1000000000,"")</f>
        <v/>
      </c>
      <c r="U4349" s="9">
        <f>IF(Q4349="비교",ABS(P4349)+ROW()/1000000000,"")</f>
        <v/>
      </c>
      <c r="V4349" s="64">
        <f>IF($A4349="","",IF(COUNTIF(변동분석!$E$7:$E$506,O4349)&gt;0,"Y","N"))</f>
        <v/>
      </c>
      <c r="W4349" s="64">
        <f>IF($A4349="","",IFERROR(INDEX(계정매핑!$D$5:$D$504,MATCH($F4349&amp;"",계정매핑!$A$5:$A$504,0)),"미매핑"))</f>
        <v/>
      </c>
      <c r="X4349" s="9">
        <f>IF($A4349="","",$F4349&amp;"")</f>
        <v/>
      </c>
      <c r="Y4349" s="94">
        <f>IF($A4349="",0,IF(AE4349="직접",IF(AF4349="비귀속",$P4349,0),$P4349*(1-AG4349)*IFERROR(INDEX(계정대체기준!$F$20:$F$49,MATCH($N4349,계정대체기준!$A$20:$A$49,0)),1)))</f>
        <v/>
      </c>
      <c r="Z4349" s="94">
        <f>IF($A4349="",0,IF(AE4349="직접",IF(AF4349="신계약비",$P4349,0),$P4349*(1-AG4349)*IFERROR(INDEX(계정대체기준!$C$20:$C$49,MATCH($N4349,계정대체기준!$A$20:$A$49,0)),0)))</f>
        <v/>
      </c>
      <c r="AA4349" s="94">
        <f>IF($A4349="",0,IF(AE4349="직접",IF(OR(AF4349="유지비",AF4349="손해조사비"),$P4349,0),$P4349*(1-AG4349)*IFERROR(INDEX(계정대체기준!$D$20:$D$49,MATCH($N4349,계정대체기준!$A$20:$A$49,0)),0)))</f>
        <v/>
      </c>
      <c r="AB4349" s="94">
        <f>IF($A4349="",0,IF(AE4349="직접",IF(AF4349="수금비",$P4349,0),$P4349*(1-AG4349)*IFERROR(INDEX(계정대체기준!$E$20:$E$49,MATCH($N4349,계정대체기준!$A$20:$A$49,0)),0)))</f>
        <v/>
      </c>
      <c r="AC4349" s="9">
        <f>IF(AND($A4349&lt;&gt;"",M4349=설정!$C$20,Z4349&gt;0),Z4349+ROW()/1000000000,"")</f>
        <v/>
      </c>
      <c r="AD4349" s="94">
        <f>IF($A4349="",0,$P4349*AG4349)</f>
        <v/>
      </c>
      <c r="AE4349" s="64">
        <f>IF($A4349="","",IFERROR(INDEX(계정매핑!$E$5:$E$504,MATCH($F4349&amp;"",계정매핑!$A$5:$A$504,0))&amp;"","공통비"))</f>
        <v/>
      </c>
      <c r="AF4349" s="64">
        <f>IF($A4349="","",IF(AE4349="직접",IFERROR(INDEX(계정매핑!$F$5:$F$504,MATCH($F4349&amp;"",계정매핑!$A$5:$A$504,0))&amp;"","비귀속"),""))</f>
        <v/>
      </c>
      <c r="AG4349" s="96">
        <f>IF($A4349="",0,IF(AND(AE4349&lt;&gt;"직접",IFERROR(INDEX(계정매핑!$G$5:$G$504,MATCH($F4349&amp;"",계정매핑!$A$5:$A$504,0))&amp;"","")="유지비",COUNTIF(계정대체기준!$A$6:$A$15,$N4349)&gt;0),IFERROR(INDEX(계정대체기준!$E$6:$E$15,MATCH(VALUE($A4349&amp;""),계정대체기준!$D$6:$D$15,0)),0),0))</f>
        <v/>
      </c>
      <c r="AH4349" s="64">
        <f>IF($A4349="","",IF(AD4349=0,"",IF(OR(COUNTIF(계정대체기준!$A$77:$A$86,$N4349)&gt;0,ISNUMBER(MATCH($X4349,계정대체기준!$D$77:$D$86,0)),ISNUMBER(MATCH($F4349,계정대체기준!$D$77:$D$86,0))),"Y","N")))</f>
        <v/>
      </c>
    </row>
    <row r="4350">
      <c r="A4350" s="92" t="n">
        <v>2026</v>
      </c>
      <c r="B4350" s="92" t="n">
        <v>8</v>
      </c>
      <c r="C4350" s="92" t="inlineStr">
        <is>
          <t>5100001628</t>
        </is>
      </c>
      <c r="D4350" s="95" t="n">
        <v>46239</v>
      </c>
      <c r="E4350" s="92" t="inlineStr">
        <is>
          <t>KR</t>
        </is>
      </c>
      <c r="F4350" s="92" t="n">
        <v>62501000</v>
      </c>
      <c r="G4350" s="92" t="n">
        <v>1701</v>
      </c>
      <c r="H4350" s="93" t="n">
        <v>104000</v>
      </c>
      <c r="I4350" s="92" t="inlineStr">
        <is>
          <t>8월 회의 다과 - T케이터링</t>
        </is>
      </c>
      <c r="J4350" s="92" t="inlineStr">
        <is>
          <t>V10005</t>
        </is>
      </c>
      <c r="K4350" s="92" t="inlineStr">
        <is>
          <t>T케이터링</t>
        </is>
      </c>
      <c r="M4350" s="9">
        <f>IF($A4350="","",VALUE($A4350&amp;"")*12+VALUE($B4350&amp;""))</f>
        <v/>
      </c>
      <c r="N4350" s="64">
        <f>IF($A4350="","",IFERROR(INDEX(부서매핑!$C$5:$C$504,MATCH($G4350&amp;"",부서매핑!$A$5:$A$504,0)),"미매핑"))</f>
        <v/>
      </c>
      <c r="O4350" s="9">
        <f>IF($A4350="","",N4350&amp;"|"&amp;$F4350)</f>
        <v/>
      </c>
      <c r="P4350" s="94">
        <f>IF($A4350="",0,$H4350*설정!$C$23)</f>
        <v/>
      </c>
      <c r="Q4350" s="64">
        <f>IF($A4350="","",IF(O4350&lt;&gt;원인분석!$C$9,"",IF(AND(M4350&gt;=원인분석!$C$10,M4350&lt;=원인분석!$C$11),"당기",IF(AND(M4350&gt;=원인분석!$C$12,M4350&lt;=원인분석!$C$13),"비교",""))))</f>
        <v/>
      </c>
      <c r="R4350" s="9">
        <f>IF(Q4350="","",$K4350&amp;"")</f>
        <v/>
      </c>
      <c r="S4350" s="9">
        <f>IF(Q4350="","",IF(MATCH(R4350,$R$5:$R$100000,0)=ROW()-4,ROW(),""))</f>
        <v/>
      </c>
      <c r="T4350" s="9">
        <f>IF(Q4350="당기",ABS(P4350)+ROW()/1000000000,"")</f>
        <v/>
      </c>
      <c r="U4350" s="9">
        <f>IF(Q4350="비교",ABS(P4350)+ROW()/1000000000,"")</f>
        <v/>
      </c>
      <c r="V4350" s="64">
        <f>IF($A4350="","",IF(COUNTIF(변동분석!$E$7:$E$506,O4350)&gt;0,"Y","N"))</f>
        <v/>
      </c>
      <c r="W4350" s="64">
        <f>IF($A4350="","",IFERROR(INDEX(계정매핑!$D$5:$D$504,MATCH($F4350&amp;"",계정매핑!$A$5:$A$504,0)),"미매핑"))</f>
        <v/>
      </c>
      <c r="X4350" s="9">
        <f>IF($A4350="","",$F4350&amp;"")</f>
        <v/>
      </c>
      <c r="Y4350" s="94">
        <f>IF($A4350="",0,IF(AE4350="직접",IF(AF4350="비귀속",$P4350,0),$P4350*(1-AG4350)*IFERROR(INDEX(계정대체기준!$F$20:$F$49,MATCH($N4350,계정대체기준!$A$20:$A$49,0)),1)))</f>
        <v/>
      </c>
      <c r="Z4350" s="94">
        <f>IF($A4350="",0,IF(AE4350="직접",IF(AF4350="신계약비",$P4350,0),$P4350*(1-AG4350)*IFERROR(INDEX(계정대체기준!$C$20:$C$49,MATCH($N4350,계정대체기준!$A$20:$A$49,0)),0)))</f>
        <v/>
      </c>
      <c r="AA4350" s="94">
        <f>IF($A4350="",0,IF(AE4350="직접",IF(OR(AF4350="유지비",AF4350="손해조사비"),$P4350,0),$P4350*(1-AG4350)*IFERROR(INDEX(계정대체기준!$D$20:$D$49,MATCH($N4350,계정대체기준!$A$20:$A$49,0)),0)))</f>
        <v/>
      </c>
      <c r="AB4350" s="94">
        <f>IF($A4350="",0,IF(AE4350="직접",IF(AF4350="수금비",$P4350,0),$P4350*(1-AG4350)*IFERROR(INDEX(계정대체기준!$E$20:$E$49,MATCH($N4350,계정대체기준!$A$20:$A$49,0)),0)))</f>
        <v/>
      </c>
      <c r="AC4350" s="9">
        <f>IF(AND($A4350&lt;&gt;"",M4350=설정!$C$20,Z4350&gt;0),Z4350+ROW()/1000000000,"")</f>
        <v/>
      </c>
      <c r="AD4350" s="94">
        <f>IF($A4350="",0,$P4350*AG4350)</f>
        <v/>
      </c>
      <c r="AE4350" s="64">
        <f>IF($A4350="","",IFERROR(INDEX(계정매핑!$E$5:$E$504,MATCH($F4350&amp;"",계정매핑!$A$5:$A$504,0))&amp;"","공통비"))</f>
        <v/>
      </c>
      <c r="AF4350" s="64">
        <f>IF($A4350="","",IF(AE4350="직접",IFERROR(INDEX(계정매핑!$F$5:$F$504,MATCH($F4350&amp;"",계정매핑!$A$5:$A$504,0))&amp;"","비귀속"),""))</f>
        <v/>
      </c>
      <c r="AG4350" s="96">
        <f>IF($A4350="",0,IF(AND(AE4350&lt;&gt;"직접",IFERROR(INDEX(계정매핑!$G$5:$G$504,MATCH($F4350&amp;"",계정매핑!$A$5:$A$504,0))&amp;"","")="유지비",COUNTIF(계정대체기준!$A$6:$A$15,$N4350)&gt;0),IFERROR(INDEX(계정대체기준!$E$6:$E$15,MATCH(VALUE($A4350&amp;""),계정대체기준!$D$6:$D$15,0)),0),0))</f>
        <v/>
      </c>
      <c r="AH4350" s="64">
        <f>IF($A4350="","",IF(AD4350=0,"",IF(OR(COUNTIF(계정대체기준!$A$77:$A$86,$N4350)&gt;0,ISNUMBER(MATCH($X4350,계정대체기준!$D$77:$D$86,0)),ISNUMBER(MATCH($F4350,계정대체기준!$D$77:$D$86,0))),"Y","N")))</f>
        <v/>
      </c>
    </row>
    <row r="4351">
      <c r="A4351" s="92" t="n">
        <v>2026</v>
      </c>
      <c r="B4351" s="92" t="n">
        <v>8</v>
      </c>
      <c r="C4351" s="92" t="inlineStr">
        <is>
          <t>5100001629</t>
        </is>
      </c>
      <c r="D4351" s="95" t="n">
        <v>46239</v>
      </c>
      <c r="E4351" s="92" t="inlineStr">
        <is>
          <t>KR</t>
        </is>
      </c>
      <c r="F4351" s="92" t="n">
        <v>63001000</v>
      </c>
      <c r="G4351" s="92" t="n">
        <v>1951</v>
      </c>
      <c r="H4351" s="93" t="n">
        <v>4044000</v>
      </c>
      <c r="I4351" s="92" t="inlineStr">
        <is>
          <t>8월 SW 유지보수 - Z시스템</t>
        </is>
      </c>
      <c r="J4351" s="92" t="inlineStr">
        <is>
          <t>V10012</t>
        </is>
      </c>
      <c r="K4351" s="92" t="inlineStr">
        <is>
          <t>Z시스템</t>
        </is>
      </c>
      <c r="M4351" s="9">
        <f>IF($A4351="","",VALUE($A4351&amp;"")*12+VALUE($B4351&amp;""))</f>
        <v/>
      </c>
      <c r="N4351" s="64">
        <f>IF($A4351="","",IFERROR(INDEX(부서매핑!$C$5:$C$504,MATCH($G4351&amp;"",부서매핑!$A$5:$A$504,0)),"미매핑"))</f>
        <v/>
      </c>
      <c r="O4351" s="9">
        <f>IF($A4351="","",N4351&amp;"|"&amp;$F4351)</f>
        <v/>
      </c>
      <c r="P4351" s="94">
        <f>IF($A4351="",0,$H4351*설정!$C$23)</f>
        <v/>
      </c>
      <c r="Q4351" s="64">
        <f>IF($A4351="","",IF(O4351&lt;&gt;원인분석!$C$9,"",IF(AND(M4351&gt;=원인분석!$C$10,M4351&lt;=원인분석!$C$11),"당기",IF(AND(M4351&gt;=원인분석!$C$12,M4351&lt;=원인분석!$C$13),"비교",""))))</f>
        <v/>
      </c>
      <c r="R4351" s="9">
        <f>IF(Q4351="","",$K4351&amp;"")</f>
        <v/>
      </c>
      <c r="S4351" s="9">
        <f>IF(Q4351="","",IF(MATCH(R4351,$R$5:$R$100000,0)=ROW()-4,ROW(),""))</f>
        <v/>
      </c>
      <c r="T4351" s="9">
        <f>IF(Q4351="당기",ABS(P4351)+ROW()/1000000000,"")</f>
        <v/>
      </c>
      <c r="U4351" s="9">
        <f>IF(Q4351="비교",ABS(P4351)+ROW()/1000000000,"")</f>
        <v/>
      </c>
      <c r="V4351" s="64">
        <f>IF($A4351="","",IF(COUNTIF(변동분석!$E$7:$E$506,O4351)&gt;0,"Y","N"))</f>
        <v/>
      </c>
      <c r="W4351" s="64">
        <f>IF($A4351="","",IFERROR(INDEX(계정매핑!$D$5:$D$504,MATCH($F4351&amp;"",계정매핑!$A$5:$A$504,0)),"미매핑"))</f>
        <v/>
      </c>
      <c r="X4351" s="9">
        <f>IF($A4351="","",$F4351&amp;"")</f>
        <v/>
      </c>
      <c r="Y4351" s="94">
        <f>IF($A4351="",0,IF(AE4351="직접",IF(AF4351="비귀속",$P4351,0),$P4351*(1-AG4351)*IFERROR(INDEX(계정대체기준!$F$20:$F$49,MATCH($N4351,계정대체기준!$A$20:$A$49,0)),1)))</f>
        <v/>
      </c>
      <c r="Z4351" s="94">
        <f>IF($A4351="",0,IF(AE4351="직접",IF(AF4351="신계약비",$P4351,0),$P4351*(1-AG4351)*IFERROR(INDEX(계정대체기준!$C$20:$C$49,MATCH($N4351,계정대체기준!$A$20:$A$49,0)),0)))</f>
        <v/>
      </c>
      <c r="AA4351" s="94">
        <f>IF($A4351="",0,IF(AE4351="직접",IF(OR(AF4351="유지비",AF4351="손해조사비"),$P4351,0),$P4351*(1-AG4351)*IFERROR(INDEX(계정대체기준!$D$20:$D$49,MATCH($N4351,계정대체기준!$A$20:$A$49,0)),0)))</f>
        <v/>
      </c>
      <c r="AB4351" s="94">
        <f>IF($A4351="",0,IF(AE4351="직접",IF(AF4351="수금비",$P4351,0),$P4351*(1-AG4351)*IFERROR(INDEX(계정대체기준!$E$20:$E$49,MATCH($N4351,계정대체기준!$A$20:$A$49,0)),0)))</f>
        <v/>
      </c>
      <c r="AC4351" s="9">
        <f>IF(AND($A4351&lt;&gt;"",M4351=설정!$C$20,Z4351&gt;0),Z4351+ROW()/1000000000,"")</f>
        <v/>
      </c>
      <c r="AD4351" s="94">
        <f>IF($A4351="",0,$P4351*AG4351)</f>
        <v/>
      </c>
      <c r="AE4351" s="64">
        <f>IF($A4351="","",IFERROR(INDEX(계정매핑!$E$5:$E$504,MATCH($F4351&amp;"",계정매핑!$A$5:$A$504,0))&amp;"","공통비"))</f>
        <v/>
      </c>
      <c r="AF4351" s="64">
        <f>IF($A4351="","",IF(AE4351="직접",IFERROR(INDEX(계정매핑!$F$5:$F$504,MATCH($F4351&amp;"",계정매핑!$A$5:$A$504,0))&amp;"","비귀속"),""))</f>
        <v/>
      </c>
      <c r="AG4351" s="96">
        <f>IF($A4351="",0,IF(AND(AE4351&lt;&gt;"직접",IFERROR(INDEX(계정매핑!$G$5:$G$504,MATCH($F4351&amp;"",계정매핑!$A$5:$A$504,0))&amp;"","")="유지비",COUNTIF(계정대체기준!$A$6:$A$15,$N4351)&gt;0),IFERROR(INDEX(계정대체기준!$E$6:$E$15,MATCH(VALUE($A4351&amp;""),계정대체기준!$D$6:$D$15,0)),0),0))</f>
        <v/>
      </c>
      <c r="AH4351" s="64">
        <f>IF($A4351="","",IF(AD4351=0,"",IF(OR(COUNTIF(계정대체기준!$A$77:$A$86,$N4351)&gt;0,ISNUMBER(MATCH($X4351,계정대체기준!$D$77:$D$86,0)),ISNUMBER(MATCH($F4351,계정대체기준!$D$77:$D$86,0))),"Y","N")))</f>
        <v/>
      </c>
    </row>
    <row r="4352">
      <c r="A4352" s="92" t="n">
        <v>2026</v>
      </c>
      <c r="B4352" s="92" t="n">
        <v>8</v>
      </c>
      <c r="C4352" s="92" t="inlineStr">
        <is>
          <t>5100001630</t>
        </is>
      </c>
      <c r="D4352" s="95" t="n">
        <v>46239</v>
      </c>
      <c r="E4352" s="92" t="inlineStr">
        <is>
          <t>KR</t>
        </is>
      </c>
      <c r="F4352" s="92" t="n">
        <v>63601000</v>
      </c>
      <c r="G4352" s="92" t="n">
        <v>1801</v>
      </c>
      <c r="H4352" s="93" t="n">
        <v>8730000</v>
      </c>
      <c r="I4352" s="92" t="inlineStr">
        <is>
          <t>8월 손해사정 수수료 - EE손해사정</t>
        </is>
      </c>
      <c r="J4352" s="92" t="inlineStr">
        <is>
          <t>V10008</t>
        </is>
      </c>
      <c r="K4352" s="92" t="inlineStr">
        <is>
          <t>EE손해사정</t>
        </is>
      </c>
      <c r="M4352" s="9">
        <f>IF($A4352="","",VALUE($A4352&amp;"")*12+VALUE($B4352&amp;""))</f>
        <v/>
      </c>
      <c r="N4352" s="64">
        <f>IF($A4352="","",IFERROR(INDEX(부서매핑!$C$5:$C$504,MATCH($G4352&amp;"",부서매핑!$A$5:$A$504,0)),"미매핑"))</f>
        <v/>
      </c>
      <c r="O4352" s="9">
        <f>IF($A4352="","",N4352&amp;"|"&amp;$F4352)</f>
        <v/>
      </c>
      <c r="P4352" s="94">
        <f>IF($A4352="",0,$H4352*설정!$C$23)</f>
        <v/>
      </c>
      <c r="Q4352" s="64">
        <f>IF($A4352="","",IF(O4352&lt;&gt;원인분석!$C$9,"",IF(AND(M4352&gt;=원인분석!$C$10,M4352&lt;=원인분석!$C$11),"당기",IF(AND(M4352&gt;=원인분석!$C$12,M4352&lt;=원인분석!$C$13),"비교",""))))</f>
        <v/>
      </c>
      <c r="R4352" s="9">
        <f>IF(Q4352="","",$K4352&amp;"")</f>
        <v/>
      </c>
      <c r="S4352" s="9">
        <f>IF(Q4352="","",IF(MATCH(R4352,$R$5:$R$100000,0)=ROW()-4,ROW(),""))</f>
        <v/>
      </c>
      <c r="T4352" s="9">
        <f>IF(Q4352="당기",ABS(P4352)+ROW()/1000000000,"")</f>
        <v/>
      </c>
      <c r="U4352" s="9">
        <f>IF(Q4352="비교",ABS(P4352)+ROW()/1000000000,"")</f>
        <v/>
      </c>
      <c r="V4352" s="64">
        <f>IF($A4352="","",IF(COUNTIF(변동분석!$E$7:$E$506,O4352)&gt;0,"Y","N"))</f>
        <v/>
      </c>
      <c r="W4352" s="64">
        <f>IF($A4352="","",IFERROR(INDEX(계정매핑!$D$5:$D$504,MATCH($F4352&amp;"",계정매핑!$A$5:$A$504,0)),"미매핑"))</f>
        <v/>
      </c>
      <c r="X4352" s="9">
        <f>IF($A4352="","",$F4352&amp;"")</f>
        <v/>
      </c>
      <c r="Y4352" s="94">
        <f>IF($A4352="",0,IF(AE4352="직접",IF(AF4352="비귀속",$P4352,0),$P4352*(1-AG4352)*IFERROR(INDEX(계정대체기준!$F$20:$F$49,MATCH($N4352,계정대체기준!$A$20:$A$49,0)),1)))</f>
        <v/>
      </c>
      <c r="Z4352" s="94">
        <f>IF($A4352="",0,IF(AE4352="직접",IF(AF4352="신계약비",$P4352,0),$P4352*(1-AG4352)*IFERROR(INDEX(계정대체기준!$C$20:$C$49,MATCH($N4352,계정대체기준!$A$20:$A$49,0)),0)))</f>
        <v/>
      </c>
      <c r="AA4352" s="94">
        <f>IF($A4352="",0,IF(AE4352="직접",IF(OR(AF4352="유지비",AF4352="손해조사비"),$P4352,0),$P4352*(1-AG4352)*IFERROR(INDEX(계정대체기준!$D$20:$D$49,MATCH($N4352,계정대체기준!$A$20:$A$49,0)),0)))</f>
        <v/>
      </c>
      <c r="AB4352" s="94">
        <f>IF($A4352="",0,IF(AE4352="직접",IF(AF4352="수금비",$P4352,0),$P4352*(1-AG4352)*IFERROR(INDEX(계정대체기준!$E$20:$E$49,MATCH($N4352,계정대체기준!$A$20:$A$49,0)),0)))</f>
        <v/>
      </c>
      <c r="AC4352" s="9">
        <f>IF(AND($A4352&lt;&gt;"",M4352=설정!$C$20,Z4352&gt;0),Z4352+ROW()/1000000000,"")</f>
        <v/>
      </c>
      <c r="AD4352" s="94">
        <f>IF($A4352="",0,$P4352*AG4352)</f>
        <v/>
      </c>
      <c r="AE4352" s="64">
        <f>IF($A4352="","",IFERROR(INDEX(계정매핑!$E$5:$E$504,MATCH($F4352&amp;"",계정매핑!$A$5:$A$504,0))&amp;"","공통비"))</f>
        <v/>
      </c>
      <c r="AF4352" s="64">
        <f>IF($A4352="","",IF(AE4352="직접",IFERROR(INDEX(계정매핑!$F$5:$F$504,MATCH($F4352&amp;"",계정매핑!$A$5:$A$504,0))&amp;"","비귀속"),""))</f>
        <v/>
      </c>
      <c r="AG4352" s="96">
        <f>IF($A4352="",0,IF(AND(AE4352&lt;&gt;"직접",IFERROR(INDEX(계정매핑!$G$5:$G$504,MATCH($F4352&amp;"",계정매핑!$A$5:$A$504,0))&amp;"","")="유지비",COUNTIF(계정대체기준!$A$6:$A$15,$N4352)&gt;0),IFERROR(INDEX(계정대체기준!$E$6:$E$15,MATCH(VALUE($A4352&amp;""),계정대체기준!$D$6:$D$15,0)),0),0))</f>
        <v/>
      </c>
      <c r="AH4352" s="64">
        <f>IF($A4352="","",IF(AD4352=0,"",IF(OR(COUNTIF(계정대체기준!$A$77:$A$86,$N4352)&gt;0,ISNUMBER(MATCH($X4352,계정대체기준!$D$77:$D$86,0)),ISNUMBER(MATCH($F4352,계정대체기준!$D$77:$D$86,0))),"Y","N")))</f>
        <v/>
      </c>
    </row>
    <row r="4353">
      <c r="A4353" s="92" t="n">
        <v>2026</v>
      </c>
      <c r="B4353" s="92" t="n">
        <v>8</v>
      </c>
      <c r="C4353" s="92" t="inlineStr">
        <is>
          <t>5100001631</t>
        </is>
      </c>
      <c r="D4353" s="95" t="n">
        <v>46240</v>
      </c>
      <c r="E4353" s="92" t="inlineStr">
        <is>
          <t>KR</t>
        </is>
      </c>
      <c r="F4353" s="92" t="n">
        <v>62101000</v>
      </c>
      <c r="G4353" s="92" t="n">
        <v>1401</v>
      </c>
      <c r="H4353" s="93" t="n">
        <v>443000</v>
      </c>
      <c r="I4353" s="92" t="inlineStr">
        <is>
          <t>8월 국내출장 - L여행사</t>
        </is>
      </c>
      <c r="J4353" s="92" t="inlineStr">
        <is>
          <t>V10018</t>
        </is>
      </c>
      <c r="K4353" s="92" t="inlineStr">
        <is>
          <t>L여행사</t>
        </is>
      </c>
      <c r="M4353" s="9">
        <f>IF($A4353="","",VALUE($A4353&amp;"")*12+VALUE($B4353&amp;""))</f>
        <v/>
      </c>
      <c r="N4353" s="64">
        <f>IF($A4353="","",IFERROR(INDEX(부서매핑!$C$5:$C$504,MATCH($G4353&amp;"",부서매핑!$A$5:$A$504,0)),"미매핑"))</f>
        <v/>
      </c>
      <c r="O4353" s="9">
        <f>IF($A4353="","",N4353&amp;"|"&amp;$F4353)</f>
        <v/>
      </c>
      <c r="P4353" s="94">
        <f>IF($A4353="",0,$H4353*설정!$C$23)</f>
        <v/>
      </c>
      <c r="Q4353" s="64">
        <f>IF($A4353="","",IF(O4353&lt;&gt;원인분석!$C$9,"",IF(AND(M4353&gt;=원인분석!$C$10,M4353&lt;=원인분석!$C$11),"당기",IF(AND(M4353&gt;=원인분석!$C$12,M4353&lt;=원인분석!$C$13),"비교",""))))</f>
        <v/>
      </c>
      <c r="R4353" s="9">
        <f>IF(Q4353="","",$K4353&amp;"")</f>
        <v/>
      </c>
      <c r="S4353" s="9">
        <f>IF(Q4353="","",IF(MATCH(R4353,$R$5:$R$100000,0)=ROW()-4,ROW(),""))</f>
        <v/>
      </c>
      <c r="T4353" s="9">
        <f>IF(Q4353="당기",ABS(P4353)+ROW()/1000000000,"")</f>
        <v/>
      </c>
      <c r="U4353" s="9">
        <f>IF(Q4353="비교",ABS(P4353)+ROW()/1000000000,"")</f>
        <v/>
      </c>
      <c r="V4353" s="64">
        <f>IF($A4353="","",IF(COUNTIF(변동분석!$E$7:$E$506,O4353)&gt;0,"Y","N"))</f>
        <v/>
      </c>
      <c r="W4353" s="64">
        <f>IF($A4353="","",IFERROR(INDEX(계정매핑!$D$5:$D$504,MATCH($F4353&amp;"",계정매핑!$A$5:$A$504,0)),"미매핑"))</f>
        <v/>
      </c>
      <c r="X4353" s="9">
        <f>IF($A4353="","",$F4353&amp;"")</f>
        <v/>
      </c>
      <c r="Y4353" s="94">
        <f>IF($A4353="",0,IF(AE4353="직접",IF(AF4353="비귀속",$P4353,0),$P4353*(1-AG4353)*IFERROR(INDEX(계정대체기준!$F$20:$F$49,MATCH($N4353,계정대체기준!$A$20:$A$49,0)),1)))</f>
        <v/>
      </c>
      <c r="Z4353" s="94">
        <f>IF($A4353="",0,IF(AE4353="직접",IF(AF4353="신계약비",$P4353,0),$P4353*(1-AG4353)*IFERROR(INDEX(계정대체기준!$C$20:$C$49,MATCH($N4353,계정대체기준!$A$20:$A$49,0)),0)))</f>
        <v/>
      </c>
      <c r="AA4353" s="94">
        <f>IF($A4353="",0,IF(AE4353="직접",IF(OR(AF4353="유지비",AF4353="손해조사비"),$P4353,0),$P4353*(1-AG4353)*IFERROR(INDEX(계정대체기준!$D$20:$D$49,MATCH($N4353,계정대체기준!$A$20:$A$49,0)),0)))</f>
        <v/>
      </c>
      <c r="AB4353" s="94">
        <f>IF($A4353="",0,IF(AE4353="직접",IF(AF4353="수금비",$P4353,0),$P4353*(1-AG4353)*IFERROR(INDEX(계정대체기준!$E$20:$E$49,MATCH($N4353,계정대체기준!$A$20:$A$49,0)),0)))</f>
        <v/>
      </c>
      <c r="AC4353" s="9">
        <f>IF(AND($A4353&lt;&gt;"",M4353=설정!$C$20,Z4353&gt;0),Z4353+ROW()/1000000000,"")</f>
        <v/>
      </c>
      <c r="AD4353" s="94">
        <f>IF($A4353="",0,$P4353*AG4353)</f>
        <v/>
      </c>
      <c r="AE4353" s="64">
        <f>IF($A4353="","",IFERROR(INDEX(계정매핑!$E$5:$E$504,MATCH($F4353&amp;"",계정매핑!$A$5:$A$504,0))&amp;"","공통비"))</f>
        <v/>
      </c>
      <c r="AF4353" s="64">
        <f>IF($A4353="","",IF(AE4353="직접",IFERROR(INDEX(계정매핑!$F$5:$F$504,MATCH($F4353&amp;"",계정매핑!$A$5:$A$504,0))&amp;"","비귀속"),""))</f>
        <v/>
      </c>
      <c r="AG4353" s="96">
        <f>IF($A4353="",0,IF(AND(AE4353&lt;&gt;"직접",IFERROR(INDEX(계정매핑!$G$5:$G$504,MATCH($F4353&amp;"",계정매핑!$A$5:$A$504,0))&amp;"","")="유지비",COUNTIF(계정대체기준!$A$6:$A$15,$N4353)&gt;0),IFERROR(INDEX(계정대체기준!$E$6:$E$15,MATCH(VALUE($A4353&amp;""),계정대체기준!$D$6:$D$15,0)),0),0))</f>
        <v/>
      </c>
      <c r="AH4353" s="64">
        <f>IF($A4353="","",IF(AD4353=0,"",IF(OR(COUNTIF(계정대체기준!$A$77:$A$86,$N4353)&gt;0,ISNUMBER(MATCH($X4353,계정대체기준!$D$77:$D$86,0)),ISNUMBER(MATCH($F4353,계정대체기준!$D$77:$D$86,0))),"Y","N")))</f>
        <v/>
      </c>
    </row>
    <row r="4354">
      <c r="A4354" s="92" t="n">
        <v>2026</v>
      </c>
      <c r="B4354" s="92" t="n">
        <v>8</v>
      </c>
      <c r="C4354" s="92" t="inlineStr">
        <is>
          <t>5100001632</t>
        </is>
      </c>
      <c r="D4354" s="95" t="n">
        <v>46240</v>
      </c>
      <c r="E4354" s="92" t="inlineStr">
        <is>
          <t>KR</t>
        </is>
      </c>
      <c r="F4354" s="92" t="n">
        <v>62101000</v>
      </c>
      <c r="G4354" s="92" t="n">
        <v>1502</v>
      </c>
      <c r="H4354" s="93" t="n">
        <v>469000</v>
      </c>
      <c r="I4354" s="92" t="inlineStr">
        <is>
          <t>8월 국내출장 - (법인카드)</t>
        </is>
      </c>
      <c r="J4354" s="92" t="inlineStr">
        <is>
          <t>V10010</t>
        </is>
      </c>
      <c r="K4354" s="92" t="inlineStr">
        <is>
          <t>(법인카드)</t>
        </is>
      </c>
      <c r="M4354" s="9">
        <f>IF($A4354="","",VALUE($A4354&amp;"")*12+VALUE($B4354&amp;""))</f>
        <v/>
      </c>
      <c r="N4354" s="64">
        <f>IF($A4354="","",IFERROR(INDEX(부서매핑!$C$5:$C$504,MATCH($G4354&amp;"",부서매핑!$A$5:$A$504,0)),"미매핑"))</f>
        <v/>
      </c>
      <c r="O4354" s="9">
        <f>IF($A4354="","",N4354&amp;"|"&amp;$F4354)</f>
        <v/>
      </c>
      <c r="P4354" s="94">
        <f>IF($A4354="",0,$H4354*설정!$C$23)</f>
        <v/>
      </c>
      <c r="Q4354" s="64">
        <f>IF($A4354="","",IF(O4354&lt;&gt;원인분석!$C$9,"",IF(AND(M4354&gt;=원인분석!$C$10,M4354&lt;=원인분석!$C$11),"당기",IF(AND(M4354&gt;=원인분석!$C$12,M4354&lt;=원인분석!$C$13),"비교",""))))</f>
        <v/>
      </c>
      <c r="R4354" s="9">
        <f>IF(Q4354="","",$K4354&amp;"")</f>
        <v/>
      </c>
      <c r="S4354" s="9">
        <f>IF(Q4354="","",IF(MATCH(R4354,$R$5:$R$100000,0)=ROW()-4,ROW(),""))</f>
        <v/>
      </c>
      <c r="T4354" s="9">
        <f>IF(Q4354="당기",ABS(P4354)+ROW()/1000000000,"")</f>
        <v/>
      </c>
      <c r="U4354" s="9">
        <f>IF(Q4354="비교",ABS(P4354)+ROW()/1000000000,"")</f>
        <v/>
      </c>
      <c r="V4354" s="64">
        <f>IF($A4354="","",IF(COUNTIF(변동분석!$E$7:$E$506,O4354)&gt;0,"Y","N"))</f>
        <v/>
      </c>
      <c r="W4354" s="64">
        <f>IF($A4354="","",IFERROR(INDEX(계정매핑!$D$5:$D$504,MATCH($F4354&amp;"",계정매핑!$A$5:$A$504,0)),"미매핑"))</f>
        <v/>
      </c>
      <c r="X4354" s="9">
        <f>IF($A4354="","",$F4354&amp;"")</f>
        <v/>
      </c>
      <c r="Y4354" s="94">
        <f>IF($A4354="",0,IF(AE4354="직접",IF(AF4354="비귀속",$P4354,0),$P4354*(1-AG4354)*IFERROR(INDEX(계정대체기준!$F$20:$F$49,MATCH($N4354,계정대체기준!$A$20:$A$49,0)),1)))</f>
        <v/>
      </c>
      <c r="Z4354" s="94">
        <f>IF($A4354="",0,IF(AE4354="직접",IF(AF4354="신계약비",$P4354,0),$P4354*(1-AG4354)*IFERROR(INDEX(계정대체기준!$C$20:$C$49,MATCH($N4354,계정대체기준!$A$20:$A$49,0)),0)))</f>
        <v/>
      </c>
      <c r="AA4354" s="94">
        <f>IF($A4354="",0,IF(AE4354="직접",IF(OR(AF4354="유지비",AF4354="손해조사비"),$P4354,0),$P4354*(1-AG4354)*IFERROR(INDEX(계정대체기준!$D$20:$D$49,MATCH($N4354,계정대체기준!$A$20:$A$49,0)),0)))</f>
        <v/>
      </c>
      <c r="AB4354" s="94">
        <f>IF($A4354="",0,IF(AE4354="직접",IF(AF4354="수금비",$P4354,0),$P4354*(1-AG4354)*IFERROR(INDEX(계정대체기준!$E$20:$E$49,MATCH($N4354,계정대체기준!$A$20:$A$49,0)),0)))</f>
        <v/>
      </c>
      <c r="AC4354" s="9">
        <f>IF(AND($A4354&lt;&gt;"",M4354=설정!$C$20,Z4354&gt;0),Z4354+ROW()/1000000000,"")</f>
        <v/>
      </c>
      <c r="AD4354" s="94">
        <f>IF($A4354="",0,$P4354*AG4354)</f>
        <v/>
      </c>
      <c r="AE4354" s="64">
        <f>IF($A4354="","",IFERROR(INDEX(계정매핑!$E$5:$E$504,MATCH($F4354&amp;"",계정매핑!$A$5:$A$504,0))&amp;"","공통비"))</f>
        <v/>
      </c>
      <c r="AF4354" s="64">
        <f>IF($A4354="","",IF(AE4354="직접",IFERROR(INDEX(계정매핑!$F$5:$F$504,MATCH($F4354&amp;"",계정매핑!$A$5:$A$504,0))&amp;"","비귀속"),""))</f>
        <v/>
      </c>
      <c r="AG4354" s="96">
        <f>IF($A4354="",0,IF(AND(AE4354&lt;&gt;"직접",IFERROR(INDEX(계정매핑!$G$5:$G$504,MATCH($F4354&amp;"",계정매핑!$A$5:$A$504,0))&amp;"","")="유지비",COUNTIF(계정대체기준!$A$6:$A$15,$N4354)&gt;0),IFERROR(INDEX(계정대체기준!$E$6:$E$15,MATCH(VALUE($A4354&amp;""),계정대체기준!$D$6:$D$15,0)),0),0))</f>
        <v/>
      </c>
      <c r="AH4354" s="64">
        <f>IF($A4354="","",IF(AD4354=0,"",IF(OR(COUNTIF(계정대체기준!$A$77:$A$86,$N4354)&gt;0,ISNUMBER(MATCH($X4354,계정대체기준!$D$77:$D$86,0)),ISNUMBER(MATCH($F4354,계정대체기준!$D$77:$D$86,0))),"Y","N")))</f>
        <v/>
      </c>
    </row>
    <row r="4355">
      <c r="A4355" s="92" t="n">
        <v>2026</v>
      </c>
      <c r="B4355" s="92" t="n">
        <v>8</v>
      </c>
      <c r="C4355" s="92" t="inlineStr">
        <is>
          <t>5100001633</t>
        </is>
      </c>
      <c r="D4355" s="95" t="n">
        <v>46240</v>
      </c>
      <c r="E4355" s="92" t="inlineStr">
        <is>
          <t>KR</t>
        </is>
      </c>
      <c r="F4355" s="92" t="n">
        <v>62101000</v>
      </c>
      <c r="G4355" s="92" t="n">
        <v>1601</v>
      </c>
      <c r="H4355" s="93" t="n">
        <v>1263000</v>
      </c>
      <c r="I4355" s="92" t="inlineStr">
        <is>
          <t>8월 국내출장 - L여행사</t>
        </is>
      </c>
      <c r="J4355" s="92" t="inlineStr">
        <is>
          <t>V10018</t>
        </is>
      </c>
      <c r="K4355" s="92" t="inlineStr">
        <is>
          <t>L여행사</t>
        </is>
      </c>
      <c r="M4355" s="9">
        <f>IF($A4355="","",VALUE($A4355&amp;"")*12+VALUE($B4355&amp;""))</f>
        <v/>
      </c>
      <c r="N4355" s="64">
        <f>IF($A4355="","",IFERROR(INDEX(부서매핑!$C$5:$C$504,MATCH($G4355&amp;"",부서매핑!$A$5:$A$504,0)),"미매핑"))</f>
        <v/>
      </c>
      <c r="O4355" s="9">
        <f>IF($A4355="","",N4355&amp;"|"&amp;$F4355)</f>
        <v/>
      </c>
      <c r="P4355" s="94">
        <f>IF($A4355="",0,$H4355*설정!$C$23)</f>
        <v/>
      </c>
      <c r="Q4355" s="64">
        <f>IF($A4355="","",IF(O4355&lt;&gt;원인분석!$C$9,"",IF(AND(M4355&gt;=원인분석!$C$10,M4355&lt;=원인분석!$C$11),"당기",IF(AND(M4355&gt;=원인분석!$C$12,M4355&lt;=원인분석!$C$13),"비교",""))))</f>
        <v/>
      </c>
      <c r="R4355" s="9">
        <f>IF(Q4355="","",$K4355&amp;"")</f>
        <v/>
      </c>
      <c r="S4355" s="9">
        <f>IF(Q4355="","",IF(MATCH(R4355,$R$5:$R$100000,0)=ROW()-4,ROW(),""))</f>
        <v/>
      </c>
      <c r="T4355" s="9">
        <f>IF(Q4355="당기",ABS(P4355)+ROW()/1000000000,"")</f>
        <v/>
      </c>
      <c r="U4355" s="9">
        <f>IF(Q4355="비교",ABS(P4355)+ROW()/1000000000,"")</f>
        <v/>
      </c>
      <c r="V4355" s="64">
        <f>IF($A4355="","",IF(COUNTIF(변동분석!$E$7:$E$506,O4355)&gt;0,"Y","N"))</f>
        <v/>
      </c>
      <c r="W4355" s="64">
        <f>IF($A4355="","",IFERROR(INDEX(계정매핑!$D$5:$D$504,MATCH($F4355&amp;"",계정매핑!$A$5:$A$504,0)),"미매핑"))</f>
        <v/>
      </c>
      <c r="X4355" s="9">
        <f>IF($A4355="","",$F4355&amp;"")</f>
        <v/>
      </c>
      <c r="Y4355" s="94">
        <f>IF($A4355="",0,IF(AE4355="직접",IF(AF4355="비귀속",$P4355,0),$P4355*(1-AG4355)*IFERROR(INDEX(계정대체기준!$F$20:$F$49,MATCH($N4355,계정대체기준!$A$20:$A$49,0)),1)))</f>
        <v/>
      </c>
      <c r="Z4355" s="94">
        <f>IF($A4355="",0,IF(AE4355="직접",IF(AF4355="신계약비",$P4355,0),$P4355*(1-AG4355)*IFERROR(INDEX(계정대체기준!$C$20:$C$49,MATCH($N4355,계정대체기준!$A$20:$A$49,0)),0)))</f>
        <v/>
      </c>
      <c r="AA4355" s="94">
        <f>IF($A4355="",0,IF(AE4355="직접",IF(OR(AF4355="유지비",AF4355="손해조사비"),$P4355,0),$P4355*(1-AG4355)*IFERROR(INDEX(계정대체기준!$D$20:$D$49,MATCH($N4355,계정대체기준!$A$20:$A$49,0)),0)))</f>
        <v/>
      </c>
      <c r="AB4355" s="94">
        <f>IF($A4355="",0,IF(AE4355="직접",IF(AF4355="수금비",$P4355,0),$P4355*(1-AG4355)*IFERROR(INDEX(계정대체기준!$E$20:$E$49,MATCH($N4355,계정대체기준!$A$20:$A$49,0)),0)))</f>
        <v/>
      </c>
      <c r="AC4355" s="9">
        <f>IF(AND($A4355&lt;&gt;"",M4355=설정!$C$20,Z4355&gt;0),Z4355+ROW()/1000000000,"")</f>
        <v/>
      </c>
      <c r="AD4355" s="94">
        <f>IF($A4355="",0,$P4355*AG4355)</f>
        <v/>
      </c>
      <c r="AE4355" s="64">
        <f>IF($A4355="","",IFERROR(INDEX(계정매핑!$E$5:$E$504,MATCH($F4355&amp;"",계정매핑!$A$5:$A$504,0))&amp;"","공통비"))</f>
        <v/>
      </c>
      <c r="AF4355" s="64">
        <f>IF($A4355="","",IF(AE4355="직접",IFERROR(INDEX(계정매핑!$F$5:$F$504,MATCH($F4355&amp;"",계정매핑!$A$5:$A$504,0))&amp;"","비귀속"),""))</f>
        <v/>
      </c>
      <c r="AG4355" s="96">
        <f>IF($A4355="",0,IF(AND(AE4355&lt;&gt;"직접",IFERROR(INDEX(계정매핑!$G$5:$G$504,MATCH($F4355&amp;"",계정매핑!$A$5:$A$504,0))&amp;"","")="유지비",COUNTIF(계정대체기준!$A$6:$A$15,$N4355)&gt;0),IFERROR(INDEX(계정대체기준!$E$6:$E$15,MATCH(VALUE($A4355&amp;""),계정대체기준!$D$6:$D$15,0)),0),0))</f>
        <v/>
      </c>
      <c r="AH4355" s="64">
        <f>IF($A4355="","",IF(AD4355=0,"",IF(OR(COUNTIF(계정대체기준!$A$77:$A$86,$N4355)&gt;0,ISNUMBER(MATCH($X4355,계정대체기준!$D$77:$D$86,0)),ISNUMBER(MATCH($F4355,계정대체기준!$D$77:$D$86,0))),"Y","N")))</f>
        <v/>
      </c>
    </row>
    <row r="4356">
      <c r="A4356" s="92" t="n">
        <v>2026</v>
      </c>
      <c r="B4356" s="92" t="n">
        <v>8</v>
      </c>
      <c r="C4356" s="92" t="inlineStr">
        <is>
          <t>5100001634</t>
        </is>
      </c>
      <c r="D4356" s="95" t="n">
        <v>46240</v>
      </c>
      <c r="E4356" s="92" t="inlineStr">
        <is>
          <t>KR</t>
        </is>
      </c>
      <c r="F4356" s="92" t="n">
        <v>62101000</v>
      </c>
      <c r="G4356" s="92" t="n">
        <v>1951</v>
      </c>
      <c r="H4356" s="93" t="n">
        <v>323000</v>
      </c>
      <c r="I4356" s="92" t="inlineStr">
        <is>
          <t>8월 국내출장 - L여행사</t>
        </is>
      </c>
      <c r="J4356" s="92" t="inlineStr">
        <is>
          <t>V10018</t>
        </is>
      </c>
      <c r="K4356" s="92" t="inlineStr">
        <is>
          <t>L여행사</t>
        </is>
      </c>
      <c r="M4356" s="9">
        <f>IF($A4356="","",VALUE($A4356&amp;"")*12+VALUE($B4356&amp;""))</f>
        <v/>
      </c>
      <c r="N4356" s="64">
        <f>IF($A4356="","",IFERROR(INDEX(부서매핑!$C$5:$C$504,MATCH($G4356&amp;"",부서매핑!$A$5:$A$504,0)),"미매핑"))</f>
        <v/>
      </c>
      <c r="O4356" s="9">
        <f>IF($A4356="","",N4356&amp;"|"&amp;$F4356)</f>
        <v/>
      </c>
      <c r="P4356" s="94">
        <f>IF($A4356="",0,$H4356*설정!$C$23)</f>
        <v/>
      </c>
      <c r="Q4356" s="64">
        <f>IF($A4356="","",IF(O4356&lt;&gt;원인분석!$C$9,"",IF(AND(M4356&gt;=원인분석!$C$10,M4356&lt;=원인분석!$C$11),"당기",IF(AND(M4356&gt;=원인분석!$C$12,M4356&lt;=원인분석!$C$13),"비교",""))))</f>
        <v/>
      </c>
      <c r="R4356" s="9">
        <f>IF(Q4356="","",$K4356&amp;"")</f>
        <v/>
      </c>
      <c r="S4356" s="9">
        <f>IF(Q4356="","",IF(MATCH(R4356,$R$5:$R$100000,0)=ROW()-4,ROW(),""))</f>
        <v/>
      </c>
      <c r="T4356" s="9">
        <f>IF(Q4356="당기",ABS(P4356)+ROW()/1000000000,"")</f>
        <v/>
      </c>
      <c r="U4356" s="9">
        <f>IF(Q4356="비교",ABS(P4356)+ROW()/1000000000,"")</f>
        <v/>
      </c>
      <c r="V4356" s="64">
        <f>IF($A4356="","",IF(COUNTIF(변동분석!$E$7:$E$506,O4356)&gt;0,"Y","N"))</f>
        <v/>
      </c>
      <c r="W4356" s="64">
        <f>IF($A4356="","",IFERROR(INDEX(계정매핑!$D$5:$D$504,MATCH($F4356&amp;"",계정매핑!$A$5:$A$504,0)),"미매핑"))</f>
        <v/>
      </c>
      <c r="X4356" s="9">
        <f>IF($A4356="","",$F4356&amp;"")</f>
        <v/>
      </c>
      <c r="Y4356" s="94">
        <f>IF($A4356="",0,IF(AE4356="직접",IF(AF4356="비귀속",$P4356,0),$P4356*(1-AG4356)*IFERROR(INDEX(계정대체기준!$F$20:$F$49,MATCH($N4356,계정대체기준!$A$20:$A$49,0)),1)))</f>
        <v/>
      </c>
      <c r="Z4356" s="94">
        <f>IF($A4356="",0,IF(AE4356="직접",IF(AF4356="신계약비",$P4356,0),$P4356*(1-AG4356)*IFERROR(INDEX(계정대체기준!$C$20:$C$49,MATCH($N4356,계정대체기준!$A$20:$A$49,0)),0)))</f>
        <v/>
      </c>
      <c r="AA4356" s="94">
        <f>IF($A4356="",0,IF(AE4356="직접",IF(OR(AF4356="유지비",AF4356="손해조사비"),$P4356,0),$P4356*(1-AG4356)*IFERROR(INDEX(계정대체기준!$D$20:$D$49,MATCH($N4356,계정대체기준!$A$20:$A$49,0)),0)))</f>
        <v/>
      </c>
      <c r="AB4356" s="94">
        <f>IF($A4356="",0,IF(AE4356="직접",IF(AF4356="수금비",$P4356,0),$P4356*(1-AG4356)*IFERROR(INDEX(계정대체기준!$E$20:$E$49,MATCH($N4356,계정대체기준!$A$20:$A$49,0)),0)))</f>
        <v/>
      </c>
      <c r="AC4356" s="9">
        <f>IF(AND($A4356&lt;&gt;"",M4356=설정!$C$20,Z4356&gt;0),Z4356+ROW()/1000000000,"")</f>
        <v/>
      </c>
      <c r="AD4356" s="94">
        <f>IF($A4356="",0,$P4356*AG4356)</f>
        <v/>
      </c>
      <c r="AE4356" s="64">
        <f>IF($A4356="","",IFERROR(INDEX(계정매핑!$E$5:$E$504,MATCH($F4356&amp;"",계정매핑!$A$5:$A$504,0))&amp;"","공통비"))</f>
        <v/>
      </c>
      <c r="AF4356" s="64">
        <f>IF($A4356="","",IF(AE4356="직접",IFERROR(INDEX(계정매핑!$F$5:$F$504,MATCH($F4356&amp;"",계정매핑!$A$5:$A$504,0))&amp;"","비귀속"),""))</f>
        <v/>
      </c>
      <c r="AG4356" s="96">
        <f>IF($A4356="",0,IF(AND(AE4356&lt;&gt;"직접",IFERROR(INDEX(계정매핑!$G$5:$G$504,MATCH($F4356&amp;"",계정매핑!$A$5:$A$504,0))&amp;"","")="유지비",COUNTIF(계정대체기준!$A$6:$A$15,$N4356)&gt;0),IFERROR(INDEX(계정대체기준!$E$6:$E$15,MATCH(VALUE($A4356&amp;""),계정대체기준!$D$6:$D$15,0)),0),0))</f>
        <v/>
      </c>
      <c r="AH4356" s="64">
        <f>IF($A4356="","",IF(AD4356=0,"",IF(OR(COUNTIF(계정대체기준!$A$77:$A$86,$N4356)&gt;0,ISNUMBER(MATCH($X4356,계정대체기준!$D$77:$D$86,0)),ISNUMBER(MATCH($F4356,계정대체기준!$D$77:$D$86,0))),"Y","N")))</f>
        <v/>
      </c>
    </row>
    <row r="4357">
      <c r="A4357" s="92" t="n">
        <v>2026</v>
      </c>
      <c r="B4357" s="92" t="n">
        <v>8</v>
      </c>
      <c r="C4357" s="92" t="inlineStr">
        <is>
          <t>5100001635</t>
        </is>
      </c>
      <c r="D4357" s="95" t="n">
        <v>46240</v>
      </c>
      <c r="E4357" s="92" t="inlineStr">
        <is>
          <t>KR</t>
        </is>
      </c>
      <c r="F4357" s="92" t="n">
        <v>62201000</v>
      </c>
      <c r="G4357" s="92" t="n">
        <v>1101</v>
      </c>
      <c r="H4357" s="93" t="n">
        <v>271000</v>
      </c>
      <c r="I4357" s="92" t="inlineStr">
        <is>
          <t>8월 통신요금 - O텔레콤</t>
        </is>
      </c>
      <c r="J4357" s="92" t="inlineStr">
        <is>
          <t>V10002</t>
        </is>
      </c>
      <c r="K4357" s="92" t="inlineStr">
        <is>
          <t>O텔레콤</t>
        </is>
      </c>
      <c r="M4357" s="9">
        <f>IF($A4357="","",VALUE($A4357&amp;"")*12+VALUE($B4357&amp;""))</f>
        <v/>
      </c>
      <c r="N4357" s="64">
        <f>IF($A4357="","",IFERROR(INDEX(부서매핑!$C$5:$C$504,MATCH($G4357&amp;"",부서매핑!$A$5:$A$504,0)),"미매핑"))</f>
        <v/>
      </c>
      <c r="O4357" s="9">
        <f>IF($A4357="","",N4357&amp;"|"&amp;$F4357)</f>
        <v/>
      </c>
      <c r="P4357" s="94">
        <f>IF($A4357="",0,$H4357*설정!$C$23)</f>
        <v/>
      </c>
      <c r="Q4357" s="64">
        <f>IF($A4357="","",IF(O4357&lt;&gt;원인분석!$C$9,"",IF(AND(M4357&gt;=원인분석!$C$10,M4357&lt;=원인분석!$C$11),"당기",IF(AND(M4357&gt;=원인분석!$C$12,M4357&lt;=원인분석!$C$13),"비교",""))))</f>
        <v/>
      </c>
      <c r="R4357" s="9">
        <f>IF(Q4357="","",$K4357&amp;"")</f>
        <v/>
      </c>
      <c r="S4357" s="9">
        <f>IF(Q4357="","",IF(MATCH(R4357,$R$5:$R$100000,0)=ROW()-4,ROW(),""))</f>
        <v/>
      </c>
      <c r="T4357" s="9">
        <f>IF(Q4357="당기",ABS(P4357)+ROW()/1000000000,"")</f>
        <v/>
      </c>
      <c r="U4357" s="9">
        <f>IF(Q4357="비교",ABS(P4357)+ROW()/1000000000,"")</f>
        <v/>
      </c>
      <c r="V4357" s="64">
        <f>IF($A4357="","",IF(COUNTIF(변동분석!$E$7:$E$506,O4357)&gt;0,"Y","N"))</f>
        <v/>
      </c>
      <c r="W4357" s="64">
        <f>IF($A4357="","",IFERROR(INDEX(계정매핑!$D$5:$D$504,MATCH($F4357&amp;"",계정매핑!$A$5:$A$504,0)),"미매핑"))</f>
        <v/>
      </c>
      <c r="X4357" s="9">
        <f>IF($A4357="","",$F4357&amp;"")</f>
        <v/>
      </c>
      <c r="Y4357" s="94">
        <f>IF($A4357="",0,IF(AE4357="직접",IF(AF4357="비귀속",$P4357,0),$P4357*(1-AG4357)*IFERROR(INDEX(계정대체기준!$F$20:$F$49,MATCH($N4357,계정대체기준!$A$20:$A$49,0)),1)))</f>
        <v/>
      </c>
      <c r="Z4357" s="94">
        <f>IF($A4357="",0,IF(AE4357="직접",IF(AF4357="신계약비",$P4357,0),$P4357*(1-AG4357)*IFERROR(INDEX(계정대체기준!$C$20:$C$49,MATCH($N4357,계정대체기준!$A$20:$A$49,0)),0)))</f>
        <v/>
      </c>
      <c r="AA4357" s="94">
        <f>IF($A4357="",0,IF(AE4357="직접",IF(OR(AF4357="유지비",AF4357="손해조사비"),$P4357,0),$P4357*(1-AG4357)*IFERROR(INDEX(계정대체기준!$D$20:$D$49,MATCH($N4357,계정대체기준!$A$20:$A$49,0)),0)))</f>
        <v/>
      </c>
      <c r="AB4357" s="94">
        <f>IF($A4357="",0,IF(AE4357="직접",IF(AF4357="수금비",$P4357,0),$P4357*(1-AG4357)*IFERROR(INDEX(계정대체기준!$E$20:$E$49,MATCH($N4357,계정대체기준!$A$20:$A$49,0)),0)))</f>
        <v/>
      </c>
      <c r="AC4357" s="9">
        <f>IF(AND($A4357&lt;&gt;"",M4357=설정!$C$20,Z4357&gt;0),Z4357+ROW()/1000000000,"")</f>
        <v/>
      </c>
      <c r="AD4357" s="94">
        <f>IF($A4357="",0,$P4357*AG4357)</f>
        <v/>
      </c>
      <c r="AE4357" s="64">
        <f>IF($A4357="","",IFERROR(INDEX(계정매핑!$E$5:$E$504,MATCH($F4357&amp;"",계정매핑!$A$5:$A$504,0))&amp;"","공통비"))</f>
        <v/>
      </c>
      <c r="AF4357" s="64">
        <f>IF($A4357="","",IF(AE4357="직접",IFERROR(INDEX(계정매핑!$F$5:$F$504,MATCH($F4357&amp;"",계정매핑!$A$5:$A$504,0))&amp;"","비귀속"),""))</f>
        <v/>
      </c>
      <c r="AG4357" s="96">
        <f>IF($A4357="",0,IF(AND(AE4357&lt;&gt;"직접",IFERROR(INDEX(계정매핑!$G$5:$G$504,MATCH($F4357&amp;"",계정매핑!$A$5:$A$504,0))&amp;"","")="유지비",COUNTIF(계정대체기준!$A$6:$A$15,$N4357)&gt;0),IFERROR(INDEX(계정대체기준!$E$6:$E$15,MATCH(VALUE($A4357&amp;""),계정대체기준!$D$6:$D$15,0)),0),0))</f>
        <v/>
      </c>
      <c r="AH4357" s="64">
        <f>IF($A4357="","",IF(AD4357=0,"",IF(OR(COUNTIF(계정대체기준!$A$77:$A$86,$N4357)&gt;0,ISNUMBER(MATCH($X4357,계정대체기준!$D$77:$D$86,0)),ISNUMBER(MATCH($F4357,계정대체기준!$D$77:$D$86,0))),"Y","N")))</f>
        <v/>
      </c>
    </row>
    <row r="4358">
      <c r="A4358" s="92" t="n">
        <v>2026</v>
      </c>
      <c r="B4358" s="92" t="n">
        <v>8</v>
      </c>
      <c r="C4358" s="92" t="inlineStr">
        <is>
          <t>5100001636</t>
        </is>
      </c>
      <c r="D4358" s="95" t="n">
        <v>46240</v>
      </c>
      <c r="E4358" s="92" t="inlineStr">
        <is>
          <t>KR</t>
        </is>
      </c>
      <c r="F4358" s="92" t="n">
        <v>62201000</v>
      </c>
      <c r="G4358" s="92" t="n">
        <v>1301</v>
      </c>
      <c r="H4358" s="93" t="n">
        <v>370000</v>
      </c>
      <c r="I4358" s="92" t="inlineStr">
        <is>
          <t>8월 통신요금 - P통신</t>
        </is>
      </c>
      <c r="J4358" s="92" t="inlineStr">
        <is>
          <t>V10014</t>
        </is>
      </c>
      <c r="K4358" s="92" t="inlineStr">
        <is>
          <t>P통신</t>
        </is>
      </c>
      <c r="M4358" s="9">
        <f>IF($A4358="","",VALUE($A4358&amp;"")*12+VALUE($B4358&amp;""))</f>
        <v/>
      </c>
      <c r="N4358" s="64">
        <f>IF($A4358="","",IFERROR(INDEX(부서매핑!$C$5:$C$504,MATCH($G4358&amp;"",부서매핑!$A$5:$A$504,0)),"미매핑"))</f>
        <v/>
      </c>
      <c r="O4358" s="9">
        <f>IF($A4358="","",N4358&amp;"|"&amp;$F4358)</f>
        <v/>
      </c>
      <c r="P4358" s="94">
        <f>IF($A4358="",0,$H4358*설정!$C$23)</f>
        <v/>
      </c>
      <c r="Q4358" s="64">
        <f>IF($A4358="","",IF(O4358&lt;&gt;원인분석!$C$9,"",IF(AND(M4358&gt;=원인분석!$C$10,M4358&lt;=원인분석!$C$11),"당기",IF(AND(M4358&gt;=원인분석!$C$12,M4358&lt;=원인분석!$C$13),"비교",""))))</f>
        <v/>
      </c>
      <c r="R4358" s="9">
        <f>IF(Q4358="","",$K4358&amp;"")</f>
        <v/>
      </c>
      <c r="S4358" s="9">
        <f>IF(Q4358="","",IF(MATCH(R4358,$R$5:$R$100000,0)=ROW()-4,ROW(),""))</f>
        <v/>
      </c>
      <c r="T4358" s="9">
        <f>IF(Q4358="당기",ABS(P4358)+ROW()/1000000000,"")</f>
        <v/>
      </c>
      <c r="U4358" s="9">
        <f>IF(Q4358="비교",ABS(P4358)+ROW()/1000000000,"")</f>
        <v/>
      </c>
      <c r="V4358" s="64">
        <f>IF($A4358="","",IF(COUNTIF(변동분석!$E$7:$E$506,O4358)&gt;0,"Y","N"))</f>
        <v/>
      </c>
      <c r="W4358" s="64">
        <f>IF($A4358="","",IFERROR(INDEX(계정매핑!$D$5:$D$504,MATCH($F4358&amp;"",계정매핑!$A$5:$A$504,0)),"미매핑"))</f>
        <v/>
      </c>
      <c r="X4358" s="9">
        <f>IF($A4358="","",$F4358&amp;"")</f>
        <v/>
      </c>
      <c r="Y4358" s="94">
        <f>IF($A4358="",0,IF(AE4358="직접",IF(AF4358="비귀속",$P4358,0),$P4358*(1-AG4358)*IFERROR(INDEX(계정대체기준!$F$20:$F$49,MATCH($N4358,계정대체기준!$A$20:$A$49,0)),1)))</f>
        <v/>
      </c>
      <c r="Z4358" s="94">
        <f>IF($A4358="",0,IF(AE4358="직접",IF(AF4358="신계약비",$P4358,0),$P4358*(1-AG4358)*IFERROR(INDEX(계정대체기준!$C$20:$C$49,MATCH($N4358,계정대체기준!$A$20:$A$49,0)),0)))</f>
        <v/>
      </c>
      <c r="AA4358" s="94">
        <f>IF($A4358="",0,IF(AE4358="직접",IF(OR(AF4358="유지비",AF4358="손해조사비"),$P4358,0),$P4358*(1-AG4358)*IFERROR(INDEX(계정대체기준!$D$20:$D$49,MATCH($N4358,계정대체기준!$A$20:$A$49,0)),0)))</f>
        <v/>
      </c>
      <c r="AB4358" s="94">
        <f>IF($A4358="",0,IF(AE4358="직접",IF(AF4358="수금비",$P4358,0),$P4358*(1-AG4358)*IFERROR(INDEX(계정대체기준!$E$20:$E$49,MATCH($N4358,계정대체기준!$A$20:$A$49,0)),0)))</f>
        <v/>
      </c>
      <c r="AC4358" s="9">
        <f>IF(AND($A4358&lt;&gt;"",M4358=설정!$C$20,Z4358&gt;0),Z4358+ROW()/1000000000,"")</f>
        <v/>
      </c>
      <c r="AD4358" s="94">
        <f>IF($A4358="",0,$P4358*AG4358)</f>
        <v/>
      </c>
      <c r="AE4358" s="64">
        <f>IF($A4358="","",IFERROR(INDEX(계정매핑!$E$5:$E$504,MATCH($F4358&amp;"",계정매핑!$A$5:$A$504,0))&amp;"","공통비"))</f>
        <v/>
      </c>
      <c r="AF4358" s="64">
        <f>IF($A4358="","",IF(AE4358="직접",IFERROR(INDEX(계정매핑!$F$5:$F$504,MATCH($F4358&amp;"",계정매핑!$A$5:$A$504,0))&amp;"","비귀속"),""))</f>
        <v/>
      </c>
      <c r="AG4358" s="96">
        <f>IF($A4358="",0,IF(AND(AE4358&lt;&gt;"직접",IFERROR(INDEX(계정매핑!$G$5:$G$504,MATCH($F4358&amp;"",계정매핑!$A$5:$A$504,0))&amp;"","")="유지비",COUNTIF(계정대체기준!$A$6:$A$15,$N4358)&gt;0),IFERROR(INDEX(계정대체기준!$E$6:$E$15,MATCH(VALUE($A4358&amp;""),계정대체기준!$D$6:$D$15,0)),0),0))</f>
        <v/>
      </c>
      <c r="AH4358" s="64">
        <f>IF($A4358="","",IF(AD4358=0,"",IF(OR(COUNTIF(계정대체기준!$A$77:$A$86,$N4358)&gt;0,ISNUMBER(MATCH($X4358,계정대체기준!$D$77:$D$86,0)),ISNUMBER(MATCH($F4358,계정대체기준!$D$77:$D$86,0))),"Y","N")))</f>
        <v/>
      </c>
    </row>
    <row r="4359">
      <c r="A4359" s="92" t="n">
        <v>2026</v>
      </c>
      <c r="B4359" s="92" t="n">
        <v>8</v>
      </c>
      <c r="C4359" s="92" t="inlineStr">
        <is>
          <t>5100001637</t>
        </is>
      </c>
      <c r="D4359" s="95" t="n">
        <v>46240</v>
      </c>
      <c r="E4359" s="92" t="inlineStr">
        <is>
          <t>KR</t>
        </is>
      </c>
      <c r="F4359" s="92" t="n">
        <v>62201000</v>
      </c>
      <c r="G4359" s="92" t="n">
        <v>1701</v>
      </c>
      <c r="H4359" s="93" t="n">
        <v>4337000</v>
      </c>
      <c r="I4359" s="92" t="inlineStr">
        <is>
          <t>8월 통신요금 - O텔레콤</t>
        </is>
      </c>
      <c r="J4359" s="92" t="inlineStr">
        <is>
          <t>V10002</t>
        </is>
      </c>
      <c r="K4359" s="92" t="inlineStr">
        <is>
          <t>O텔레콤</t>
        </is>
      </c>
      <c r="M4359" s="9">
        <f>IF($A4359="","",VALUE($A4359&amp;"")*12+VALUE($B4359&amp;""))</f>
        <v/>
      </c>
      <c r="N4359" s="64">
        <f>IF($A4359="","",IFERROR(INDEX(부서매핑!$C$5:$C$504,MATCH($G4359&amp;"",부서매핑!$A$5:$A$504,0)),"미매핑"))</f>
        <v/>
      </c>
      <c r="O4359" s="9">
        <f>IF($A4359="","",N4359&amp;"|"&amp;$F4359)</f>
        <v/>
      </c>
      <c r="P4359" s="94">
        <f>IF($A4359="",0,$H4359*설정!$C$23)</f>
        <v/>
      </c>
      <c r="Q4359" s="64">
        <f>IF($A4359="","",IF(O4359&lt;&gt;원인분석!$C$9,"",IF(AND(M4359&gt;=원인분석!$C$10,M4359&lt;=원인분석!$C$11),"당기",IF(AND(M4359&gt;=원인분석!$C$12,M4359&lt;=원인분석!$C$13),"비교",""))))</f>
        <v/>
      </c>
      <c r="R4359" s="9">
        <f>IF(Q4359="","",$K4359&amp;"")</f>
        <v/>
      </c>
      <c r="S4359" s="9">
        <f>IF(Q4359="","",IF(MATCH(R4359,$R$5:$R$100000,0)=ROW()-4,ROW(),""))</f>
        <v/>
      </c>
      <c r="T4359" s="9">
        <f>IF(Q4359="당기",ABS(P4359)+ROW()/1000000000,"")</f>
        <v/>
      </c>
      <c r="U4359" s="9">
        <f>IF(Q4359="비교",ABS(P4359)+ROW()/1000000000,"")</f>
        <v/>
      </c>
      <c r="V4359" s="64">
        <f>IF($A4359="","",IF(COUNTIF(변동분석!$E$7:$E$506,O4359)&gt;0,"Y","N"))</f>
        <v/>
      </c>
      <c r="W4359" s="64">
        <f>IF($A4359="","",IFERROR(INDEX(계정매핑!$D$5:$D$504,MATCH($F4359&amp;"",계정매핑!$A$5:$A$504,0)),"미매핑"))</f>
        <v/>
      </c>
      <c r="X4359" s="9">
        <f>IF($A4359="","",$F4359&amp;"")</f>
        <v/>
      </c>
      <c r="Y4359" s="94">
        <f>IF($A4359="",0,IF(AE4359="직접",IF(AF4359="비귀속",$P4359,0),$P4359*(1-AG4359)*IFERROR(INDEX(계정대체기준!$F$20:$F$49,MATCH($N4359,계정대체기준!$A$20:$A$49,0)),1)))</f>
        <v/>
      </c>
      <c r="Z4359" s="94">
        <f>IF($A4359="",0,IF(AE4359="직접",IF(AF4359="신계약비",$P4359,0),$P4359*(1-AG4359)*IFERROR(INDEX(계정대체기준!$C$20:$C$49,MATCH($N4359,계정대체기준!$A$20:$A$49,0)),0)))</f>
        <v/>
      </c>
      <c r="AA4359" s="94">
        <f>IF($A4359="",0,IF(AE4359="직접",IF(OR(AF4359="유지비",AF4359="손해조사비"),$P4359,0),$P4359*(1-AG4359)*IFERROR(INDEX(계정대체기준!$D$20:$D$49,MATCH($N4359,계정대체기준!$A$20:$A$49,0)),0)))</f>
        <v/>
      </c>
      <c r="AB4359" s="94">
        <f>IF($A4359="",0,IF(AE4359="직접",IF(AF4359="수금비",$P4359,0),$P4359*(1-AG4359)*IFERROR(INDEX(계정대체기준!$E$20:$E$49,MATCH($N4359,계정대체기준!$A$20:$A$49,0)),0)))</f>
        <v/>
      </c>
      <c r="AC4359" s="9">
        <f>IF(AND($A4359&lt;&gt;"",M4359=설정!$C$20,Z4359&gt;0),Z4359+ROW()/1000000000,"")</f>
        <v/>
      </c>
      <c r="AD4359" s="94">
        <f>IF($A4359="",0,$P4359*AG4359)</f>
        <v/>
      </c>
      <c r="AE4359" s="64">
        <f>IF($A4359="","",IFERROR(INDEX(계정매핑!$E$5:$E$504,MATCH($F4359&amp;"",계정매핑!$A$5:$A$504,0))&amp;"","공통비"))</f>
        <v/>
      </c>
      <c r="AF4359" s="64">
        <f>IF($A4359="","",IF(AE4359="직접",IFERROR(INDEX(계정매핑!$F$5:$F$504,MATCH($F4359&amp;"",계정매핑!$A$5:$A$504,0))&amp;"","비귀속"),""))</f>
        <v/>
      </c>
      <c r="AG4359" s="96">
        <f>IF($A4359="",0,IF(AND(AE4359&lt;&gt;"직접",IFERROR(INDEX(계정매핑!$G$5:$G$504,MATCH($F4359&amp;"",계정매핑!$A$5:$A$504,0))&amp;"","")="유지비",COUNTIF(계정대체기준!$A$6:$A$15,$N4359)&gt;0),IFERROR(INDEX(계정대체기준!$E$6:$E$15,MATCH(VALUE($A4359&amp;""),계정대체기준!$D$6:$D$15,0)),0),0))</f>
        <v/>
      </c>
      <c r="AH4359" s="64">
        <f>IF($A4359="","",IF(AD4359=0,"",IF(OR(COUNTIF(계정대체기준!$A$77:$A$86,$N4359)&gt;0,ISNUMBER(MATCH($X4359,계정대체기준!$D$77:$D$86,0)),ISNUMBER(MATCH($F4359,계정대체기준!$D$77:$D$86,0))),"Y","N")))</f>
        <v/>
      </c>
    </row>
    <row r="4360">
      <c r="A4360" s="92" t="n">
        <v>2026</v>
      </c>
      <c r="B4360" s="92" t="n">
        <v>8</v>
      </c>
      <c r="C4360" s="92" t="inlineStr">
        <is>
          <t>5100001638</t>
        </is>
      </c>
      <c r="D4360" s="95" t="n">
        <v>46240</v>
      </c>
      <c r="E4360" s="92" t="inlineStr">
        <is>
          <t>KR</t>
        </is>
      </c>
      <c r="F4360" s="92" t="n">
        <v>62201000</v>
      </c>
      <c r="G4360" s="92" t="n">
        <v>1951</v>
      </c>
      <c r="H4360" s="93" t="n">
        <v>243000</v>
      </c>
      <c r="I4360" s="92" t="inlineStr">
        <is>
          <t>8월 통신요금 - O텔레콤</t>
        </is>
      </c>
      <c r="J4360" s="92" t="inlineStr">
        <is>
          <t>V10002</t>
        </is>
      </c>
      <c r="K4360" s="92" t="inlineStr">
        <is>
          <t>O텔레콤</t>
        </is>
      </c>
      <c r="M4360" s="9">
        <f>IF($A4360="","",VALUE($A4360&amp;"")*12+VALUE($B4360&amp;""))</f>
        <v/>
      </c>
      <c r="N4360" s="64">
        <f>IF($A4360="","",IFERROR(INDEX(부서매핑!$C$5:$C$504,MATCH($G4360&amp;"",부서매핑!$A$5:$A$504,0)),"미매핑"))</f>
        <v/>
      </c>
      <c r="O4360" s="9">
        <f>IF($A4360="","",N4360&amp;"|"&amp;$F4360)</f>
        <v/>
      </c>
      <c r="P4360" s="94">
        <f>IF($A4360="",0,$H4360*설정!$C$23)</f>
        <v/>
      </c>
      <c r="Q4360" s="64">
        <f>IF($A4360="","",IF(O4360&lt;&gt;원인분석!$C$9,"",IF(AND(M4360&gt;=원인분석!$C$10,M4360&lt;=원인분석!$C$11),"당기",IF(AND(M4360&gt;=원인분석!$C$12,M4360&lt;=원인분석!$C$13),"비교",""))))</f>
        <v/>
      </c>
      <c r="R4360" s="9">
        <f>IF(Q4360="","",$K4360&amp;"")</f>
        <v/>
      </c>
      <c r="S4360" s="9">
        <f>IF(Q4360="","",IF(MATCH(R4360,$R$5:$R$100000,0)=ROW()-4,ROW(),""))</f>
        <v/>
      </c>
      <c r="T4360" s="9">
        <f>IF(Q4360="당기",ABS(P4360)+ROW()/1000000000,"")</f>
        <v/>
      </c>
      <c r="U4360" s="9">
        <f>IF(Q4360="비교",ABS(P4360)+ROW()/1000000000,"")</f>
        <v/>
      </c>
      <c r="V4360" s="64">
        <f>IF($A4360="","",IF(COUNTIF(변동분석!$E$7:$E$506,O4360)&gt;0,"Y","N"))</f>
        <v/>
      </c>
      <c r="W4360" s="64">
        <f>IF($A4360="","",IFERROR(INDEX(계정매핑!$D$5:$D$504,MATCH($F4360&amp;"",계정매핑!$A$5:$A$504,0)),"미매핑"))</f>
        <v/>
      </c>
      <c r="X4360" s="9">
        <f>IF($A4360="","",$F4360&amp;"")</f>
        <v/>
      </c>
      <c r="Y4360" s="94">
        <f>IF($A4360="",0,IF(AE4360="직접",IF(AF4360="비귀속",$P4360,0),$P4360*(1-AG4360)*IFERROR(INDEX(계정대체기준!$F$20:$F$49,MATCH($N4360,계정대체기준!$A$20:$A$49,0)),1)))</f>
        <v/>
      </c>
      <c r="Z4360" s="94">
        <f>IF($A4360="",0,IF(AE4360="직접",IF(AF4360="신계약비",$P4360,0),$P4360*(1-AG4360)*IFERROR(INDEX(계정대체기준!$C$20:$C$49,MATCH($N4360,계정대체기준!$A$20:$A$49,0)),0)))</f>
        <v/>
      </c>
      <c r="AA4360" s="94">
        <f>IF($A4360="",0,IF(AE4360="직접",IF(OR(AF4360="유지비",AF4360="손해조사비"),$P4360,0),$P4360*(1-AG4360)*IFERROR(INDEX(계정대체기준!$D$20:$D$49,MATCH($N4360,계정대체기준!$A$20:$A$49,0)),0)))</f>
        <v/>
      </c>
      <c r="AB4360" s="94">
        <f>IF($A4360="",0,IF(AE4360="직접",IF(AF4360="수금비",$P4360,0),$P4360*(1-AG4360)*IFERROR(INDEX(계정대체기준!$E$20:$E$49,MATCH($N4360,계정대체기준!$A$20:$A$49,0)),0)))</f>
        <v/>
      </c>
      <c r="AC4360" s="9">
        <f>IF(AND($A4360&lt;&gt;"",M4360=설정!$C$20,Z4360&gt;0),Z4360+ROW()/1000000000,"")</f>
        <v/>
      </c>
      <c r="AD4360" s="94">
        <f>IF($A4360="",0,$P4360*AG4360)</f>
        <v/>
      </c>
      <c r="AE4360" s="64">
        <f>IF($A4360="","",IFERROR(INDEX(계정매핑!$E$5:$E$504,MATCH($F4360&amp;"",계정매핑!$A$5:$A$504,0))&amp;"","공통비"))</f>
        <v/>
      </c>
      <c r="AF4360" s="64">
        <f>IF($A4360="","",IF(AE4360="직접",IFERROR(INDEX(계정매핑!$F$5:$F$504,MATCH($F4360&amp;"",계정매핑!$A$5:$A$504,0))&amp;"","비귀속"),""))</f>
        <v/>
      </c>
      <c r="AG4360" s="96">
        <f>IF($A4360="",0,IF(AND(AE4360&lt;&gt;"직접",IFERROR(INDEX(계정매핑!$G$5:$G$504,MATCH($F4360&amp;"",계정매핑!$A$5:$A$504,0))&amp;"","")="유지비",COUNTIF(계정대체기준!$A$6:$A$15,$N4360)&gt;0),IFERROR(INDEX(계정대체기준!$E$6:$E$15,MATCH(VALUE($A4360&amp;""),계정대체기준!$D$6:$D$15,0)),0),0))</f>
        <v/>
      </c>
      <c r="AH4360" s="64">
        <f>IF($A4360="","",IF(AD4360=0,"",IF(OR(COUNTIF(계정대체기준!$A$77:$A$86,$N4360)&gt;0,ISNUMBER(MATCH($X4360,계정대체기준!$D$77:$D$86,0)),ISNUMBER(MATCH($F4360,계정대체기준!$D$77:$D$86,0))),"Y","N")))</f>
        <v/>
      </c>
    </row>
    <row r="4361">
      <c r="A4361" s="92" t="n">
        <v>2026</v>
      </c>
      <c r="B4361" s="92" t="n">
        <v>8</v>
      </c>
      <c r="C4361" s="92" t="inlineStr">
        <is>
          <t>5100001639</t>
        </is>
      </c>
      <c r="D4361" s="95" t="n">
        <v>46240</v>
      </c>
      <c r="E4361" s="92" t="inlineStr">
        <is>
          <t>KR</t>
        </is>
      </c>
      <c r="F4361" s="92" t="n">
        <v>62301000</v>
      </c>
      <c r="G4361" s="92" t="n">
        <v>1502</v>
      </c>
      <c r="H4361" s="93" t="n">
        <v>197000</v>
      </c>
      <c r="I4361" s="92" t="inlineStr">
        <is>
          <t>8월 소모품 구입 - Q오피스</t>
        </is>
      </c>
      <c r="J4361" s="92" t="inlineStr">
        <is>
          <t>V10003</t>
        </is>
      </c>
      <c r="K4361" s="92" t="inlineStr">
        <is>
          <t>Q오피스</t>
        </is>
      </c>
      <c r="M4361" s="9">
        <f>IF($A4361="","",VALUE($A4361&amp;"")*12+VALUE($B4361&amp;""))</f>
        <v/>
      </c>
      <c r="N4361" s="64">
        <f>IF($A4361="","",IFERROR(INDEX(부서매핑!$C$5:$C$504,MATCH($G4361&amp;"",부서매핑!$A$5:$A$504,0)),"미매핑"))</f>
        <v/>
      </c>
      <c r="O4361" s="9">
        <f>IF($A4361="","",N4361&amp;"|"&amp;$F4361)</f>
        <v/>
      </c>
      <c r="P4361" s="94">
        <f>IF($A4361="",0,$H4361*설정!$C$23)</f>
        <v/>
      </c>
      <c r="Q4361" s="64">
        <f>IF($A4361="","",IF(O4361&lt;&gt;원인분석!$C$9,"",IF(AND(M4361&gt;=원인분석!$C$10,M4361&lt;=원인분석!$C$11),"당기",IF(AND(M4361&gt;=원인분석!$C$12,M4361&lt;=원인분석!$C$13),"비교",""))))</f>
        <v/>
      </c>
      <c r="R4361" s="9">
        <f>IF(Q4361="","",$K4361&amp;"")</f>
        <v/>
      </c>
      <c r="S4361" s="9">
        <f>IF(Q4361="","",IF(MATCH(R4361,$R$5:$R$100000,0)=ROW()-4,ROW(),""))</f>
        <v/>
      </c>
      <c r="T4361" s="9">
        <f>IF(Q4361="당기",ABS(P4361)+ROW()/1000000000,"")</f>
        <v/>
      </c>
      <c r="U4361" s="9">
        <f>IF(Q4361="비교",ABS(P4361)+ROW()/1000000000,"")</f>
        <v/>
      </c>
      <c r="V4361" s="64">
        <f>IF($A4361="","",IF(COUNTIF(변동분석!$E$7:$E$506,O4361)&gt;0,"Y","N"))</f>
        <v/>
      </c>
      <c r="W4361" s="64">
        <f>IF($A4361="","",IFERROR(INDEX(계정매핑!$D$5:$D$504,MATCH($F4361&amp;"",계정매핑!$A$5:$A$504,0)),"미매핑"))</f>
        <v/>
      </c>
      <c r="X4361" s="9">
        <f>IF($A4361="","",$F4361&amp;"")</f>
        <v/>
      </c>
      <c r="Y4361" s="94">
        <f>IF($A4361="",0,IF(AE4361="직접",IF(AF4361="비귀속",$P4361,0),$P4361*(1-AG4361)*IFERROR(INDEX(계정대체기준!$F$20:$F$49,MATCH($N4361,계정대체기준!$A$20:$A$49,0)),1)))</f>
        <v/>
      </c>
      <c r="Z4361" s="94">
        <f>IF($A4361="",0,IF(AE4361="직접",IF(AF4361="신계약비",$P4361,0),$P4361*(1-AG4361)*IFERROR(INDEX(계정대체기준!$C$20:$C$49,MATCH($N4361,계정대체기준!$A$20:$A$49,0)),0)))</f>
        <v/>
      </c>
      <c r="AA4361" s="94">
        <f>IF($A4361="",0,IF(AE4361="직접",IF(OR(AF4361="유지비",AF4361="손해조사비"),$P4361,0),$P4361*(1-AG4361)*IFERROR(INDEX(계정대체기준!$D$20:$D$49,MATCH($N4361,계정대체기준!$A$20:$A$49,0)),0)))</f>
        <v/>
      </c>
      <c r="AB4361" s="94">
        <f>IF($A4361="",0,IF(AE4361="직접",IF(AF4361="수금비",$P4361,0),$P4361*(1-AG4361)*IFERROR(INDEX(계정대체기준!$E$20:$E$49,MATCH($N4361,계정대체기준!$A$20:$A$49,0)),0)))</f>
        <v/>
      </c>
      <c r="AC4361" s="9">
        <f>IF(AND($A4361&lt;&gt;"",M4361=설정!$C$20,Z4361&gt;0),Z4361+ROW()/1000000000,"")</f>
        <v/>
      </c>
      <c r="AD4361" s="94">
        <f>IF($A4361="",0,$P4361*AG4361)</f>
        <v/>
      </c>
      <c r="AE4361" s="64">
        <f>IF($A4361="","",IFERROR(INDEX(계정매핑!$E$5:$E$504,MATCH($F4361&amp;"",계정매핑!$A$5:$A$504,0))&amp;"","공통비"))</f>
        <v/>
      </c>
      <c r="AF4361" s="64">
        <f>IF($A4361="","",IF(AE4361="직접",IFERROR(INDEX(계정매핑!$F$5:$F$504,MATCH($F4361&amp;"",계정매핑!$A$5:$A$504,0))&amp;"","비귀속"),""))</f>
        <v/>
      </c>
      <c r="AG4361" s="96">
        <f>IF($A4361="",0,IF(AND(AE4361&lt;&gt;"직접",IFERROR(INDEX(계정매핑!$G$5:$G$504,MATCH($F4361&amp;"",계정매핑!$A$5:$A$504,0))&amp;"","")="유지비",COUNTIF(계정대체기준!$A$6:$A$15,$N4361)&gt;0),IFERROR(INDEX(계정대체기준!$E$6:$E$15,MATCH(VALUE($A4361&amp;""),계정대체기준!$D$6:$D$15,0)),0),0))</f>
        <v/>
      </c>
      <c r="AH4361" s="64">
        <f>IF($A4361="","",IF(AD4361=0,"",IF(OR(COUNTIF(계정대체기준!$A$77:$A$86,$N4361)&gt;0,ISNUMBER(MATCH($X4361,계정대체기준!$D$77:$D$86,0)),ISNUMBER(MATCH($F4361,계정대체기준!$D$77:$D$86,0))),"Y","N")))</f>
        <v/>
      </c>
    </row>
    <row r="4362">
      <c r="A4362" s="92" t="n">
        <v>2026</v>
      </c>
      <c r="B4362" s="92" t="n">
        <v>8</v>
      </c>
      <c r="C4362" s="92" t="inlineStr">
        <is>
          <t>5100001640</t>
        </is>
      </c>
      <c r="D4362" s="95" t="n">
        <v>46240</v>
      </c>
      <c r="E4362" s="92" t="inlineStr">
        <is>
          <t>KR</t>
        </is>
      </c>
      <c r="F4362" s="92" t="n">
        <v>62501000</v>
      </c>
      <c r="G4362" s="92" t="n">
        <v>1801</v>
      </c>
      <c r="H4362" s="93" t="n">
        <v>111000</v>
      </c>
      <c r="I4362" s="92" t="inlineStr">
        <is>
          <t>8월 회의 다과 - T케이터링</t>
        </is>
      </c>
      <c r="J4362" s="92" t="inlineStr">
        <is>
          <t>V10005</t>
        </is>
      </c>
      <c r="K4362" s="92" t="inlineStr">
        <is>
          <t>T케이터링</t>
        </is>
      </c>
      <c r="M4362" s="9">
        <f>IF($A4362="","",VALUE($A4362&amp;"")*12+VALUE($B4362&amp;""))</f>
        <v/>
      </c>
      <c r="N4362" s="64">
        <f>IF($A4362="","",IFERROR(INDEX(부서매핑!$C$5:$C$504,MATCH($G4362&amp;"",부서매핑!$A$5:$A$504,0)),"미매핑"))</f>
        <v/>
      </c>
      <c r="O4362" s="9">
        <f>IF($A4362="","",N4362&amp;"|"&amp;$F4362)</f>
        <v/>
      </c>
      <c r="P4362" s="94">
        <f>IF($A4362="",0,$H4362*설정!$C$23)</f>
        <v/>
      </c>
      <c r="Q4362" s="64">
        <f>IF($A4362="","",IF(O4362&lt;&gt;원인분석!$C$9,"",IF(AND(M4362&gt;=원인분석!$C$10,M4362&lt;=원인분석!$C$11),"당기",IF(AND(M4362&gt;=원인분석!$C$12,M4362&lt;=원인분석!$C$13),"비교",""))))</f>
        <v/>
      </c>
      <c r="R4362" s="9">
        <f>IF(Q4362="","",$K4362&amp;"")</f>
        <v/>
      </c>
      <c r="S4362" s="9">
        <f>IF(Q4362="","",IF(MATCH(R4362,$R$5:$R$100000,0)=ROW()-4,ROW(),""))</f>
        <v/>
      </c>
      <c r="T4362" s="9">
        <f>IF(Q4362="당기",ABS(P4362)+ROW()/1000000000,"")</f>
        <v/>
      </c>
      <c r="U4362" s="9">
        <f>IF(Q4362="비교",ABS(P4362)+ROW()/1000000000,"")</f>
        <v/>
      </c>
      <c r="V4362" s="64">
        <f>IF($A4362="","",IF(COUNTIF(변동분석!$E$7:$E$506,O4362)&gt;0,"Y","N"))</f>
        <v/>
      </c>
      <c r="W4362" s="64">
        <f>IF($A4362="","",IFERROR(INDEX(계정매핑!$D$5:$D$504,MATCH($F4362&amp;"",계정매핑!$A$5:$A$504,0)),"미매핑"))</f>
        <v/>
      </c>
      <c r="X4362" s="9">
        <f>IF($A4362="","",$F4362&amp;"")</f>
        <v/>
      </c>
      <c r="Y4362" s="94">
        <f>IF($A4362="",0,IF(AE4362="직접",IF(AF4362="비귀속",$P4362,0),$P4362*(1-AG4362)*IFERROR(INDEX(계정대체기준!$F$20:$F$49,MATCH($N4362,계정대체기준!$A$20:$A$49,0)),1)))</f>
        <v/>
      </c>
      <c r="Z4362" s="94">
        <f>IF($A4362="",0,IF(AE4362="직접",IF(AF4362="신계약비",$P4362,0),$P4362*(1-AG4362)*IFERROR(INDEX(계정대체기준!$C$20:$C$49,MATCH($N4362,계정대체기준!$A$20:$A$49,0)),0)))</f>
        <v/>
      </c>
      <c r="AA4362" s="94">
        <f>IF($A4362="",0,IF(AE4362="직접",IF(OR(AF4362="유지비",AF4362="손해조사비"),$P4362,0),$P4362*(1-AG4362)*IFERROR(INDEX(계정대체기준!$D$20:$D$49,MATCH($N4362,계정대체기준!$A$20:$A$49,0)),0)))</f>
        <v/>
      </c>
      <c r="AB4362" s="94">
        <f>IF($A4362="",0,IF(AE4362="직접",IF(AF4362="수금비",$P4362,0),$P4362*(1-AG4362)*IFERROR(INDEX(계정대체기준!$E$20:$E$49,MATCH($N4362,계정대체기준!$A$20:$A$49,0)),0)))</f>
        <v/>
      </c>
      <c r="AC4362" s="9">
        <f>IF(AND($A4362&lt;&gt;"",M4362=설정!$C$20,Z4362&gt;0),Z4362+ROW()/1000000000,"")</f>
        <v/>
      </c>
      <c r="AD4362" s="94">
        <f>IF($A4362="",0,$P4362*AG4362)</f>
        <v/>
      </c>
      <c r="AE4362" s="64">
        <f>IF($A4362="","",IFERROR(INDEX(계정매핑!$E$5:$E$504,MATCH($F4362&amp;"",계정매핑!$A$5:$A$504,0))&amp;"","공통비"))</f>
        <v/>
      </c>
      <c r="AF4362" s="64">
        <f>IF($A4362="","",IF(AE4362="직접",IFERROR(INDEX(계정매핑!$F$5:$F$504,MATCH($F4362&amp;"",계정매핑!$A$5:$A$504,0))&amp;"","비귀속"),""))</f>
        <v/>
      </c>
      <c r="AG4362" s="96">
        <f>IF($A4362="",0,IF(AND(AE4362&lt;&gt;"직접",IFERROR(INDEX(계정매핑!$G$5:$G$504,MATCH($F4362&amp;"",계정매핑!$A$5:$A$504,0))&amp;"","")="유지비",COUNTIF(계정대체기준!$A$6:$A$15,$N4362)&gt;0),IFERROR(INDEX(계정대체기준!$E$6:$E$15,MATCH(VALUE($A4362&amp;""),계정대체기준!$D$6:$D$15,0)),0),0))</f>
        <v/>
      </c>
      <c r="AH4362" s="64">
        <f>IF($A4362="","",IF(AD4362=0,"",IF(OR(COUNTIF(계정대체기준!$A$77:$A$86,$N4362)&gt;0,ISNUMBER(MATCH($X4362,계정대체기준!$D$77:$D$86,0)),ISNUMBER(MATCH($F4362,계정대체기준!$D$77:$D$86,0))),"Y","N")))</f>
        <v/>
      </c>
    </row>
    <row r="4363">
      <c r="A4363" s="92" t="n">
        <v>2026</v>
      </c>
      <c r="B4363" s="92" t="n">
        <v>8</v>
      </c>
      <c r="C4363" s="92" t="inlineStr">
        <is>
          <t>5100001641</t>
        </is>
      </c>
      <c r="D4363" s="95" t="n">
        <v>46240</v>
      </c>
      <c r="E4363" s="92" t="inlineStr">
        <is>
          <t>KR</t>
        </is>
      </c>
      <c r="F4363" s="92" t="n">
        <v>62601000</v>
      </c>
      <c r="G4363" s="92" t="n">
        <v>1301</v>
      </c>
      <c r="H4363" s="93" t="n">
        <v>818000</v>
      </c>
      <c r="I4363" s="92" t="inlineStr">
        <is>
          <t>8월 업무추진 - (법인카드)</t>
        </is>
      </c>
      <c r="J4363" s="92" t="inlineStr">
        <is>
          <t>V10010</t>
        </is>
      </c>
      <c r="K4363" s="92" t="inlineStr">
        <is>
          <t>(법인카드)</t>
        </is>
      </c>
      <c r="M4363" s="9">
        <f>IF($A4363="","",VALUE($A4363&amp;"")*12+VALUE($B4363&amp;""))</f>
        <v/>
      </c>
      <c r="N4363" s="64">
        <f>IF($A4363="","",IFERROR(INDEX(부서매핑!$C$5:$C$504,MATCH($G4363&amp;"",부서매핑!$A$5:$A$504,0)),"미매핑"))</f>
        <v/>
      </c>
      <c r="O4363" s="9">
        <f>IF($A4363="","",N4363&amp;"|"&amp;$F4363)</f>
        <v/>
      </c>
      <c r="P4363" s="94">
        <f>IF($A4363="",0,$H4363*설정!$C$23)</f>
        <v/>
      </c>
      <c r="Q4363" s="64">
        <f>IF($A4363="","",IF(O4363&lt;&gt;원인분석!$C$9,"",IF(AND(M4363&gt;=원인분석!$C$10,M4363&lt;=원인분석!$C$11),"당기",IF(AND(M4363&gt;=원인분석!$C$12,M4363&lt;=원인분석!$C$13),"비교",""))))</f>
        <v/>
      </c>
      <c r="R4363" s="9">
        <f>IF(Q4363="","",$K4363&amp;"")</f>
        <v/>
      </c>
      <c r="S4363" s="9">
        <f>IF(Q4363="","",IF(MATCH(R4363,$R$5:$R$100000,0)=ROW()-4,ROW(),""))</f>
        <v/>
      </c>
      <c r="T4363" s="9">
        <f>IF(Q4363="당기",ABS(P4363)+ROW()/1000000000,"")</f>
        <v/>
      </c>
      <c r="U4363" s="9">
        <f>IF(Q4363="비교",ABS(P4363)+ROW()/1000000000,"")</f>
        <v/>
      </c>
      <c r="V4363" s="64">
        <f>IF($A4363="","",IF(COUNTIF(변동분석!$E$7:$E$506,O4363)&gt;0,"Y","N"))</f>
        <v/>
      </c>
      <c r="W4363" s="64">
        <f>IF($A4363="","",IFERROR(INDEX(계정매핑!$D$5:$D$504,MATCH($F4363&amp;"",계정매핑!$A$5:$A$504,0)),"미매핑"))</f>
        <v/>
      </c>
      <c r="X4363" s="9">
        <f>IF($A4363="","",$F4363&amp;"")</f>
        <v/>
      </c>
      <c r="Y4363" s="94">
        <f>IF($A4363="",0,IF(AE4363="직접",IF(AF4363="비귀속",$P4363,0),$P4363*(1-AG4363)*IFERROR(INDEX(계정대체기준!$F$20:$F$49,MATCH($N4363,계정대체기준!$A$20:$A$49,0)),1)))</f>
        <v/>
      </c>
      <c r="Z4363" s="94">
        <f>IF($A4363="",0,IF(AE4363="직접",IF(AF4363="신계약비",$P4363,0),$P4363*(1-AG4363)*IFERROR(INDEX(계정대체기준!$C$20:$C$49,MATCH($N4363,계정대체기준!$A$20:$A$49,0)),0)))</f>
        <v/>
      </c>
      <c r="AA4363" s="94">
        <f>IF($A4363="",0,IF(AE4363="직접",IF(OR(AF4363="유지비",AF4363="손해조사비"),$P4363,0),$P4363*(1-AG4363)*IFERROR(INDEX(계정대체기준!$D$20:$D$49,MATCH($N4363,계정대체기준!$A$20:$A$49,0)),0)))</f>
        <v/>
      </c>
      <c r="AB4363" s="94">
        <f>IF($A4363="",0,IF(AE4363="직접",IF(AF4363="수금비",$P4363,0),$P4363*(1-AG4363)*IFERROR(INDEX(계정대체기준!$E$20:$E$49,MATCH($N4363,계정대체기준!$A$20:$A$49,0)),0)))</f>
        <v/>
      </c>
      <c r="AC4363" s="9">
        <f>IF(AND($A4363&lt;&gt;"",M4363=설정!$C$20,Z4363&gt;0),Z4363+ROW()/1000000000,"")</f>
        <v/>
      </c>
      <c r="AD4363" s="94">
        <f>IF($A4363="",0,$P4363*AG4363)</f>
        <v/>
      </c>
      <c r="AE4363" s="64">
        <f>IF($A4363="","",IFERROR(INDEX(계정매핑!$E$5:$E$504,MATCH($F4363&amp;"",계정매핑!$A$5:$A$504,0))&amp;"","공통비"))</f>
        <v/>
      </c>
      <c r="AF4363" s="64">
        <f>IF($A4363="","",IF(AE4363="직접",IFERROR(INDEX(계정매핑!$F$5:$F$504,MATCH($F4363&amp;"",계정매핑!$A$5:$A$504,0))&amp;"","비귀속"),""))</f>
        <v/>
      </c>
      <c r="AG4363" s="96">
        <f>IF($A4363="",0,IF(AND(AE4363&lt;&gt;"직접",IFERROR(INDEX(계정매핑!$G$5:$G$504,MATCH($F4363&amp;"",계정매핑!$A$5:$A$504,0))&amp;"","")="유지비",COUNTIF(계정대체기준!$A$6:$A$15,$N4363)&gt;0),IFERROR(INDEX(계정대체기준!$E$6:$E$15,MATCH(VALUE($A4363&amp;""),계정대체기준!$D$6:$D$15,0)),0),0))</f>
        <v/>
      </c>
      <c r="AH4363" s="64">
        <f>IF($A4363="","",IF(AD4363=0,"",IF(OR(COUNTIF(계정대체기준!$A$77:$A$86,$N4363)&gt;0,ISNUMBER(MATCH($X4363,계정대체기준!$D$77:$D$86,0)),ISNUMBER(MATCH($F4363,계정대체기준!$D$77:$D$86,0))),"Y","N")))</f>
        <v/>
      </c>
    </row>
    <row r="4364">
      <c r="A4364" s="92" t="n">
        <v>2026</v>
      </c>
      <c r="B4364" s="92" t="n">
        <v>8</v>
      </c>
      <c r="C4364" s="92" t="inlineStr">
        <is>
          <t>5100001642</t>
        </is>
      </c>
      <c r="D4364" s="95" t="n">
        <v>46240</v>
      </c>
      <c r="E4364" s="92" t="inlineStr">
        <is>
          <t>KR</t>
        </is>
      </c>
      <c r="F4364" s="92" t="n">
        <v>62701000</v>
      </c>
      <c r="G4364" s="92" t="n">
        <v>1502</v>
      </c>
      <c r="H4364" s="93" t="n">
        <v>40084000</v>
      </c>
      <c r="I4364" s="92" t="inlineStr">
        <is>
          <t>8월 광고 집행 - F애드</t>
        </is>
      </c>
      <c r="J4364" s="92" t="inlineStr">
        <is>
          <t>V10023</t>
        </is>
      </c>
      <c r="K4364" s="92" t="inlineStr">
        <is>
          <t>F애드</t>
        </is>
      </c>
      <c r="M4364" s="9">
        <f>IF($A4364="","",VALUE($A4364&amp;"")*12+VALUE($B4364&amp;""))</f>
        <v/>
      </c>
      <c r="N4364" s="64">
        <f>IF($A4364="","",IFERROR(INDEX(부서매핑!$C$5:$C$504,MATCH($G4364&amp;"",부서매핑!$A$5:$A$504,0)),"미매핑"))</f>
        <v/>
      </c>
      <c r="O4364" s="9">
        <f>IF($A4364="","",N4364&amp;"|"&amp;$F4364)</f>
        <v/>
      </c>
      <c r="P4364" s="94">
        <f>IF($A4364="",0,$H4364*설정!$C$23)</f>
        <v/>
      </c>
      <c r="Q4364" s="64">
        <f>IF($A4364="","",IF(O4364&lt;&gt;원인분석!$C$9,"",IF(AND(M4364&gt;=원인분석!$C$10,M4364&lt;=원인분석!$C$11),"당기",IF(AND(M4364&gt;=원인분석!$C$12,M4364&lt;=원인분석!$C$13),"비교",""))))</f>
        <v/>
      </c>
      <c r="R4364" s="9">
        <f>IF(Q4364="","",$K4364&amp;"")</f>
        <v/>
      </c>
      <c r="S4364" s="9">
        <f>IF(Q4364="","",IF(MATCH(R4364,$R$5:$R$100000,0)=ROW()-4,ROW(),""))</f>
        <v/>
      </c>
      <c r="T4364" s="9">
        <f>IF(Q4364="당기",ABS(P4364)+ROW()/1000000000,"")</f>
        <v/>
      </c>
      <c r="U4364" s="9">
        <f>IF(Q4364="비교",ABS(P4364)+ROW()/1000000000,"")</f>
        <v/>
      </c>
      <c r="V4364" s="64">
        <f>IF($A4364="","",IF(COUNTIF(변동분석!$E$7:$E$506,O4364)&gt;0,"Y","N"))</f>
        <v/>
      </c>
      <c r="W4364" s="64">
        <f>IF($A4364="","",IFERROR(INDEX(계정매핑!$D$5:$D$504,MATCH($F4364&amp;"",계정매핑!$A$5:$A$504,0)),"미매핑"))</f>
        <v/>
      </c>
      <c r="X4364" s="9">
        <f>IF($A4364="","",$F4364&amp;"")</f>
        <v/>
      </c>
      <c r="Y4364" s="94">
        <f>IF($A4364="",0,IF(AE4364="직접",IF(AF4364="비귀속",$P4364,0),$P4364*(1-AG4364)*IFERROR(INDEX(계정대체기준!$F$20:$F$49,MATCH($N4364,계정대체기준!$A$20:$A$49,0)),1)))</f>
        <v/>
      </c>
      <c r="Z4364" s="94">
        <f>IF($A4364="",0,IF(AE4364="직접",IF(AF4364="신계약비",$P4364,0),$P4364*(1-AG4364)*IFERROR(INDEX(계정대체기준!$C$20:$C$49,MATCH($N4364,계정대체기준!$A$20:$A$49,0)),0)))</f>
        <v/>
      </c>
      <c r="AA4364" s="94">
        <f>IF($A4364="",0,IF(AE4364="직접",IF(OR(AF4364="유지비",AF4364="손해조사비"),$P4364,0),$P4364*(1-AG4364)*IFERROR(INDEX(계정대체기준!$D$20:$D$49,MATCH($N4364,계정대체기준!$A$20:$A$49,0)),0)))</f>
        <v/>
      </c>
      <c r="AB4364" s="94">
        <f>IF($A4364="",0,IF(AE4364="직접",IF(AF4364="수금비",$P4364,0),$P4364*(1-AG4364)*IFERROR(INDEX(계정대체기준!$E$20:$E$49,MATCH($N4364,계정대체기준!$A$20:$A$49,0)),0)))</f>
        <v/>
      </c>
      <c r="AC4364" s="9">
        <f>IF(AND($A4364&lt;&gt;"",M4364=설정!$C$20,Z4364&gt;0),Z4364+ROW()/1000000000,"")</f>
        <v/>
      </c>
      <c r="AD4364" s="94">
        <f>IF($A4364="",0,$P4364*AG4364)</f>
        <v/>
      </c>
      <c r="AE4364" s="64">
        <f>IF($A4364="","",IFERROR(INDEX(계정매핑!$E$5:$E$504,MATCH($F4364&amp;"",계정매핑!$A$5:$A$504,0))&amp;"","공통비"))</f>
        <v/>
      </c>
      <c r="AF4364" s="64">
        <f>IF($A4364="","",IF(AE4364="직접",IFERROR(INDEX(계정매핑!$F$5:$F$504,MATCH($F4364&amp;"",계정매핑!$A$5:$A$504,0))&amp;"","비귀속"),""))</f>
        <v/>
      </c>
      <c r="AG4364" s="96">
        <f>IF($A4364="",0,IF(AND(AE4364&lt;&gt;"직접",IFERROR(INDEX(계정매핑!$G$5:$G$504,MATCH($F4364&amp;"",계정매핑!$A$5:$A$504,0))&amp;"","")="유지비",COUNTIF(계정대체기준!$A$6:$A$15,$N4364)&gt;0),IFERROR(INDEX(계정대체기준!$E$6:$E$15,MATCH(VALUE($A4364&amp;""),계정대체기준!$D$6:$D$15,0)),0),0))</f>
        <v/>
      </c>
      <c r="AH4364" s="64">
        <f>IF($A4364="","",IF(AD4364=0,"",IF(OR(COUNTIF(계정대체기준!$A$77:$A$86,$N4364)&gt;0,ISNUMBER(MATCH($X4364,계정대체기준!$D$77:$D$86,0)),ISNUMBER(MATCH($F4364,계정대체기준!$D$77:$D$86,0))),"Y","N")))</f>
        <v/>
      </c>
    </row>
    <row r="4365">
      <c r="A4365" s="92" t="n">
        <v>2026</v>
      </c>
      <c r="B4365" s="92" t="n">
        <v>8</v>
      </c>
      <c r="C4365" s="92" t="inlineStr">
        <is>
          <t>5100001643</t>
        </is>
      </c>
      <c r="D4365" s="95" t="n">
        <v>46240</v>
      </c>
      <c r="E4365" s="92" t="inlineStr">
        <is>
          <t>KR</t>
        </is>
      </c>
      <c r="F4365" s="92" t="n">
        <v>62902000</v>
      </c>
      <c r="G4365" s="92" t="n">
        <v>1801</v>
      </c>
      <c r="H4365" s="93" t="n">
        <v>1834000</v>
      </c>
      <c r="I4365" s="92" t="inlineStr">
        <is>
          <t>8월 콜 위탁 수수료(건별)</t>
        </is>
      </c>
      <c r="J4365" s="92" t="inlineStr">
        <is>
          <t>V10016</t>
        </is>
      </c>
      <c r="K4365" s="92" t="inlineStr">
        <is>
          <t>J콜센터</t>
        </is>
      </c>
      <c r="M4365" s="9">
        <f>IF($A4365="","",VALUE($A4365&amp;"")*12+VALUE($B4365&amp;""))</f>
        <v/>
      </c>
      <c r="N4365" s="64">
        <f>IF($A4365="","",IFERROR(INDEX(부서매핑!$C$5:$C$504,MATCH($G4365&amp;"",부서매핑!$A$5:$A$504,0)),"미매핑"))</f>
        <v/>
      </c>
      <c r="O4365" s="9">
        <f>IF($A4365="","",N4365&amp;"|"&amp;$F4365)</f>
        <v/>
      </c>
      <c r="P4365" s="94">
        <f>IF($A4365="",0,$H4365*설정!$C$23)</f>
        <v/>
      </c>
      <c r="Q4365" s="64">
        <f>IF($A4365="","",IF(O4365&lt;&gt;원인분석!$C$9,"",IF(AND(M4365&gt;=원인분석!$C$10,M4365&lt;=원인분석!$C$11),"당기",IF(AND(M4365&gt;=원인분석!$C$12,M4365&lt;=원인분석!$C$13),"비교",""))))</f>
        <v/>
      </c>
      <c r="R4365" s="9">
        <f>IF(Q4365="","",$K4365&amp;"")</f>
        <v/>
      </c>
      <c r="S4365" s="9">
        <f>IF(Q4365="","",IF(MATCH(R4365,$R$5:$R$100000,0)=ROW()-4,ROW(),""))</f>
        <v/>
      </c>
      <c r="T4365" s="9">
        <f>IF(Q4365="당기",ABS(P4365)+ROW()/1000000000,"")</f>
        <v/>
      </c>
      <c r="U4365" s="9">
        <f>IF(Q4365="비교",ABS(P4365)+ROW()/1000000000,"")</f>
        <v/>
      </c>
      <c r="V4365" s="64">
        <f>IF($A4365="","",IF(COUNTIF(변동분석!$E$7:$E$506,O4365)&gt;0,"Y","N"))</f>
        <v/>
      </c>
      <c r="W4365" s="64">
        <f>IF($A4365="","",IFERROR(INDEX(계정매핑!$D$5:$D$504,MATCH($F4365&amp;"",계정매핑!$A$5:$A$504,0)),"미매핑"))</f>
        <v/>
      </c>
      <c r="X4365" s="9">
        <f>IF($A4365="","",$F4365&amp;"")</f>
        <v/>
      </c>
      <c r="Y4365" s="94">
        <f>IF($A4365="",0,IF(AE4365="직접",IF(AF4365="비귀속",$P4365,0),$P4365*(1-AG4365)*IFERROR(INDEX(계정대체기준!$F$20:$F$49,MATCH($N4365,계정대체기준!$A$20:$A$49,0)),1)))</f>
        <v/>
      </c>
      <c r="Z4365" s="94">
        <f>IF($A4365="",0,IF(AE4365="직접",IF(AF4365="신계약비",$P4365,0),$P4365*(1-AG4365)*IFERROR(INDEX(계정대체기준!$C$20:$C$49,MATCH($N4365,계정대체기준!$A$20:$A$49,0)),0)))</f>
        <v/>
      </c>
      <c r="AA4365" s="94">
        <f>IF($A4365="",0,IF(AE4365="직접",IF(OR(AF4365="유지비",AF4365="손해조사비"),$P4365,0),$P4365*(1-AG4365)*IFERROR(INDEX(계정대체기준!$D$20:$D$49,MATCH($N4365,계정대체기준!$A$20:$A$49,0)),0)))</f>
        <v/>
      </c>
      <c r="AB4365" s="94">
        <f>IF($A4365="",0,IF(AE4365="직접",IF(AF4365="수금비",$P4365,0),$P4365*(1-AG4365)*IFERROR(INDEX(계정대체기준!$E$20:$E$49,MATCH($N4365,계정대체기준!$A$20:$A$49,0)),0)))</f>
        <v/>
      </c>
      <c r="AC4365" s="9">
        <f>IF(AND($A4365&lt;&gt;"",M4365=설정!$C$20,Z4365&gt;0),Z4365+ROW()/1000000000,"")</f>
        <v/>
      </c>
      <c r="AD4365" s="94">
        <f>IF($A4365="",0,$P4365*AG4365)</f>
        <v/>
      </c>
      <c r="AE4365" s="64">
        <f>IF($A4365="","",IFERROR(INDEX(계정매핑!$E$5:$E$504,MATCH($F4365&amp;"",계정매핑!$A$5:$A$504,0))&amp;"","공통비"))</f>
        <v/>
      </c>
      <c r="AF4365" s="64">
        <f>IF($A4365="","",IF(AE4365="직접",IFERROR(INDEX(계정매핑!$F$5:$F$504,MATCH($F4365&amp;"",계정매핑!$A$5:$A$504,0))&amp;"","비귀속"),""))</f>
        <v/>
      </c>
      <c r="AG4365" s="96">
        <f>IF($A4365="",0,IF(AND(AE4365&lt;&gt;"직접",IFERROR(INDEX(계정매핑!$G$5:$G$504,MATCH($F4365&amp;"",계정매핑!$A$5:$A$504,0))&amp;"","")="유지비",COUNTIF(계정대체기준!$A$6:$A$15,$N4365)&gt;0),IFERROR(INDEX(계정대체기준!$E$6:$E$15,MATCH(VALUE($A4365&amp;""),계정대체기준!$D$6:$D$15,0)),0),0))</f>
        <v/>
      </c>
      <c r="AH4365" s="64">
        <f>IF($A4365="","",IF(AD4365=0,"",IF(OR(COUNTIF(계정대체기준!$A$77:$A$86,$N4365)&gt;0,ISNUMBER(MATCH($X4365,계정대체기준!$D$77:$D$86,0)),ISNUMBER(MATCH($F4365,계정대체기준!$D$77:$D$86,0))),"Y","N")))</f>
        <v/>
      </c>
    </row>
    <row r="4366">
      <c r="A4366" s="92" t="n">
        <v>2026</v>
      </c>
      <c r="B4366" s="92" t="n">
        <v>8</v>
      </c>
      <c r="C4366" s="92" t="inlineStr">
        <is>
          <t>5100001644</t>
        </is>
      </c>
      <c r="D4366" s="95" t="n">
        <v>46240</v>
      </c>
      <c r="E4366" s="92" t="inlineStr">
        <is>
          <t>KR</t>
        </is>
      </c>
      <c r="F4366" s="92" t="n">
        <v>62902000</v>
      </c>
      <c r="G4366" s="92" t="n">
        <v>1801</v>
      </c>
      <c r="H4366" s="93" t="n">
        <v>1784000</v>
      </c>
      <c r="I4366" s="92" t="inlineStr">
        <is>
          <t>8월 콜 위탁 수수료(건별)</t>
        </is>
      </c>
      <c r="J4366" s="92" t="inlineStr">
        <is>
          <t>V10016</t>
        </is>
      </c>
      <c r="K4366" s="92" t="inlineStr">
        <is>
          <t>J콜센터</t>
        </is>
      </c>
      <c r="M4366" s="9">
        <f>IF($A4366="","",VALUE($A4366&amp;"")*12+VALUE($B4366&amp;""))</f>
        <v/>
      </c>
      <c r="N4366" s="64">
        <f>IF($A4366="","",IFERROR(INDEX(부서매핑!$C$5:$C$504,MATCH($G4366&amp;"",부서매핑!$A$5:$A$504,0)),"미매핑"))</f>
        <v/>
      </c>
      <c r="O4366" s="9">
        <f>IF($A4366="","",N4366&amp;"|"&amp;$F4366)</f>
        <v/>
      </c>
      <c r="P4366" s="94">
        <f>IF($A4366="",0,$H4366*설정!$C$23)</f>
        <v/>
      </c>
      <c r="Q4366" s="64">
        <f>IF($A4366="","",IF(O4366&lt;&gt;원인분석!$C$9,"",IF(AND(M4366&gt;=원인분석!$C$10,M4366&lt;=원인분석!$C$11),"당기",IF(AND(M4366&gt;=원인분석!$C$12,M4366&lt;=원인분석!$C$13),"비교",""))))</f>
        <v/>
      </c>
      <c r="R4366" s="9">
        <f>IF(Q4366="","",$K4366&amp;"")</f>
        <v/>
      </c>
      <c r="S4366" s="9">
        <f>IF(Q4366="","",IF(MATCH(R4366,$R$5:$R$100000,0)=ROW()-4,ROW(),""))</f>
        <v/>
      </c>
      <c r="T4366" s="9">
        <f>IF(Q4366="당기",ABS(P4366)+ROW()/1000000000,"")</f>
        <v/>
      </c>
      <c r="U4366" s="9">
        <f>IF(Q4366="비교",ABS(P4366)+ROW()/1000000000,"")</f>
        <v/>
      </c>
      <c r="V4366" s="64">
        <f>IF($A4366="","",IF(COUNTIF(변동분석!$E$7:$E$506,O4366)&gt;0,"Y","N"))</f>
        <v/>
      </c>
      <c r="W4366" s="64">
        <f>IF($A4366="","",IFERROR(INDEX(계정매핑!$D$5:$D$504,MATCH($F4366&amp;"",계정매핑!$A$5:$A$504,0)),"미매핑"))</f>
        <v/>
      </c>
      <c r="X4366" s="9">
        <f>IF($A4366="","",$F4366&amp;"")</f>
        <v/>
      </c>
      <c r="Y4366" s="94">
        <f>IF($A4366="",0,IF(AE4366="직접",IF(AF4366="비귀속",$P4366,0),$P4366*(1-AG4366)*IFERROR(INDEX(계정대체기준!$F$20:$F$49,MATCH($N4366,계정대체기준!$A$20:$A$49,0)),1)))</f>
        <v/>
      </c>
      <c r="Z4366" s="94">
        <f>IF($A4366="",0,IF(AE4366="직접",IF(AF4366="신계약비",$P4366,0),$P4366*(1-AG4366)*IFERROR(INDEX(계정대체기준!$C$20:$C$49,MATCH($N4366,계정대체기준!$A$20:$A$49,0)),0)))</f>
        <v/>
      </c>
      <c r="AA4366" s="94">
        <f>IF($A4366="",0,IF(AE4366="직접",IF(OR(AF4366="유지비",AF4366="손해조사비"),$P4366,0),$P4366*(1-AG4366)*IFERROR(INDEX(계정대체기준!$D$20:$D$49,MATCH($N4366,계정대체기준!$A$20:$A$49,0)),0)))</f>
        <v/>
      </c>
      <c r="AB4366" s="94">
        <f>IF($A4366="",0,IF(AE4366="직접",IF(AF4366="수금비",$P4366,0),$P4366*(1-AG4366)*IFERROR(INDEX(계정대체기준!$E$20:$E$49,MATCH($N4366,계정대체기준!$A$20:$A$49,0)),0)))</f>
        <v/>
      </c>
      <c r="AC4366" s="9">
        <f>IF(AND($A4366&lt;&gt;"",M4366=설정!$C$20,Z4366&gt;0),Z4366+ROW()/1000000000,"")</f>
        <v/>
      </c>
      <c r="AD4366" s="94">
        <f>IF($A4366="",0,$P4366*AG4366)</f>
        <v/>
      </c>
      <c r="AE4366" s="64">
        <f>IF($A4366="","",IFERROR(INDEX(계정매핑!$E$5:$E$504,MATCH($F4366&amp;"",계정매핑!$A$5:$A$504,0))&amp;"","공통비"))</f>
        <v/>
      </c>
      <c r="AF4366" s="64">
        <f>IF($A4366="","",IF(AE4366="직접",IFERROR(INDEX(계정매핑!$F$5:$F$504,MATCH($F4366&amp;"",계정매핑!$A$5:$A$504,0))&amp;"","비귀속"),""))</f>
        <v/>
      </c>
      <c r="AG4366" s="96">
        <f>IF($A4366="",0,IF(AND(AE4366&lt;&gt;"직접",IFERROR(INDEX(계정매핑!$G$5:$G$504,MATCH($F4366&amp;"",계정매핑!$A$5:$A$504,0))&amp;"","")="유지비",COUNTIF(계정대체기준!$A$6:$A$15,$N4366)&gt;0),IFERROR(INDEX(계정대체기준!$E$6:$E$15,MATCH(VALUE($A4366&amp;""),계정대체기준!$D$6:$D$15,0)),0),0))</f>
        <v/>
      </c>
      <c r="AH4366" s="64">
        <f>IF($A4366="","",IF(AD4366=0,"",IF(OR(COUNTIF(계정대체기준!$A$77:$A$86,$N4366)&gt;0,ISNUMBER(MATCH($X4366,계정대체기준!$D$77:$D$86,0)),ISNUMBER(MATCH($F4366,계정대체기준!$D$77:$D$86,0))),"Y","N")))</f>
        <v/>
      </c>
    </row>
    <row r="4367">
      <c r="A4367" s="92" t="n">
        <v>2026</v>
      </c>
      <c r="B4367" s="92" t="n">
        <v>8</v>
      </c>
      <c r="C4367" s="92" t="inlineStr">
        <is>
          <t>5100001645</t>
        </is>
      </c>
      <c r="D4367" s="95" t="n">
        <v>46240</v>
      </c>
      <c r="E4367" s="92" t="inlineStr">
        <is>
          <t>KR</t>
        </is>
      </c>
      <c r="F4367" s="92" t="n">
        <v>63002000</v>
      </c>
      <c r="G4367" s="92" t="n">
        <v>1951</v>
      </c>
      <c r="H4367" s="93" t="n">
        <v>2904000</v>
      </c>
      <c r="I4367" s="92" t="inlineStr">
        <is>
          <t>8월 클라우드 사용료 - C클라우드</t>
        </is>
      </c>
      <c r="J4367" s="92" t="inlineStr">
        <is>
          <t>V10026</t>
        </is>
      </c>
      <c r="K4367" s="92" t="inlineStr">
        <is>
          <t>C클라우드</t>
        </is>
      </c>
      <c r="M4367" s="9">
        <f>IF($A4367="","",VALUE($A4367&amp;"")*12+VALUE($B4367&amp;""))</f>
        <v/>
      </c>
      <c r="N4367" s="64">
        <f>IF($A4367="","",IFERROR(INDEX(부서매핑!$C$5:$C$504,MATCH($G4367&amp;"",부서매핑!$A$5:$A$504,0)),"미매핑"))</f>
        <v/>
      </c>
      <c r="O4367" s="9">
        <f>IF($A4367="","",N4367&amp;"|"&amp;$F4367)</f>
        <v/>
      </c>
      <c r="P4367" s="94">
        <f>IF($A4367="",0,$H4367*설정!$C$23)</f>
        <v/>
      </c>
      <c r="Q4367" s="64">
        <f>IF($A4367="","",IF(O4367&lt;&gt;원인분석!$C$9,"",IF(AND(M4367&gt;=원인분석!$C$10,M4367&lt;=원인분석!$C$11),"당기",IF(AND(M4367&gt;=원인분석!$C$12,M4367&lt;=원인분석!$C$13),"비교",""))))</f>
        <v/>
      </c>
      <c r="R4367" s="9">
        <f>IF(Q4367="","",$K4367&amp;"")</f>
        <v/>
      </c>
      <c r="S4367" s="9">
        <f>IF(Q4367="","",IF(MATCH(R4367,$R$5:$R$100000,0)=ROW()-4,ROW(),""))</f>
        <v/>
      </c>
      <c r="T4367" s="9">
        <f>IF(Q4367="당기",ABS(P4367)+ROW()/1000000000,"")</f>
        <v/>
      </c>
      <c r="U4367" s="9">
        <f>IF(Q4367="비교",ABS(P4367)+ROW()/1000000000,"")</f>
        <v/>
      </c>
      <c r="V4367" s="64">
        <f>IF($A4367="","",IF(COUNTIF(변동분석!$E$7:$E$506,O4367)&gt;0,"Y","N"))</f>
        <v/>
      </c>
      <c r="W4367" s="64">
        <f>IF($A4367="","",IFERROR(INDEX(계정매핑!$D$5:$D$504,MATCH($F4367&amp;"",계정매핑!$A$5:$A$504,0)),"미매핑"))</f>
        <v/>
      </c>
      <c r="X4367" s="9">
        <f>IF($A4367="","",$F4367&amp;"")</f>
        <v/>
      </c>
      <c r="Y4367" s="94">
        <f>IF($A4367="",0,IF(AE4367="직접",IF(AF4367="비귀속",$P4367,0),$P4367*(1-AG4367)*IFERROR(INDEX(계정대체기준!$F$20:$F$49,MATCH($N4367,계정대체기준!$A$20:$A$49,0)),1)))</f>
        <v/>
      </c>
      <c r="Z4367" s="94">
        <f>IF($A4367="",0,IF(AE4367="직접",IF(AF4367="신계약비",$P4367,0),$P4367*(1-AG4367)*IFERROR(INDEX(계정대체기준!$C$20:$C$49,MATCH($N4367,계정대체기준!$A$20:$A$49,0)),0)))</f>
        <v/>
      </c>
      <c r="AA4367" s="94">
        <f>IF($A4367="",0,IF(AE4367="직접",IF(OR(AF4367="유지비",AF4367="손해조사비"),$P4367,0),$P4367*(1-AG4367)*IFERROR(INDEX(계정대체기준!$D$20:$D$49,MATCH($N4367,계정대체기준!$A$20:$A$49,0)),0)))</f>
        <v/>
      </c>
      <c r="AB4367" s="94">
        <f>IF($A4367="",0,IF(AE4367="직접",IF(AF4367="수금비",$P4367,0),$P4367*(1-AG4367)*IFERROR(INDEX(계정대체기준!$E$20:$E$49,MATCH($N4367,계정대체기준!$A$20:$A$49,0)),0)))</f>
        <v/>
      </c>
      <c r="AC4367" s="9">
        <f>IF(AND($A4367&lt;&gt;"",M4367=설정!$C$20,Z4367&gt;0),Z4367+ROW()/1000000000,"")</f>
        <v/>
      </c>
      <c r="AD4367" s="94">
        <f>IF($A4367="",0,$P4367*AG4367)</f>
        <v/>
      </c>
      <c r="AE4367" s="64">
        <f>IF($A4367="","",IFERROR(INDEX(계정매핑!$E$5:$E$504,MATCH($F4367&amp;"",계정매핑!$A$5:$A$504,0))&amp;"","공통비"))</f>
        <v/>
      </c>
      <c r="AF4367" s="64">
        <f>IF($A4367="","",IF(AE4367="직접",IFERROR(INDEX(계정매핑!$F$5:$F$504,MATCH($F4367&amp;"",계정매핑!$A$5:$A$504,0))&amp;"","비귀속"),""))</f>
        <v/>
      </c>
      <c r="AG4367" s="96">
        <f>IF($A4367="",0,IF(AND(AE4367&lt;&gt;"직접",IFERROR(INDEX(계정매핑!$G$5:$G$504,MATCH($F4367&amp;"",계정매핑!$A$5:$A$504,0))&amp;"","")="유지비",COUNTIF(계정대체기준!$A$6:$A$15,$N4367)&gt;0),IFERROR(INDEX(계정대체기준!$E$6:$E$15,MATCH(VALUE($A4367&amp;""),계정대체기준!$D$6:$D$15,0)),0),0))</f>
        <v/>
      </c>
      <c r="AH4367" s="64">
        <f>IF($A4367="","",IF(AD4367=0,"",IF(OR(COUNTIF(계정대체기준!$A$77:$A$86,$N4367)&gt;0,ISNUMBER(MATCH($X4367,계정대체기준!$D$77:$D$86,0)),ISNUMBER(MATCH($F4367,계정대체기준!$D$77:$D$86,0))),"Y","N")))</f>
        <v/>
      </c>
    </row>
    <row r="4368">
      <c r="A4368" s="92" t="n">
        <v>2026</v>
      </c>
      <c r="B4368" s="92" t="n">
        <v>8</v>
      </c>
      <c r="C4368" s="92" t="inlineStr">
        <is>
          <t>5100001646</t>
        </is>
      </c>
      <c r="D4368" s="95" t="n">
        <v>46241</v>
      </c>
      <c r="E4368" s="92" t="inlineStr">
        <is>
          <t>KR</t>
        </is>
      </c>
      <c r="F4368" s="92" t="n">
        <v>62101000</v>
      </c>
      <c r="G4368" s="92" t="n">
        <v>1951</v>
      </c>
      <c r="H4368" s="93" t="n">
        <v>275000</v>
      </c>
      <c r="I4368" s="92" t="inlineStr">
        <is>
          <t>8월 국내출장 - M항공</t>
        </is>
      </c>
      <c r="J4368" s="92" t="inlineStr">
        <is>
          <t>V10001</t>
        </is>
      </c>
      <c r="K4368" s="92" t="inlineStr">
        <is>
          <t>M항공</t>
        </is>
      </c>
      <c r="M4368" s="9">
        <f>IF($A4368="","",VALUE($A4368&amp;"")*12+VALUE($B4368&amp;""))</f>
        <v/>
      </c>
      <c r="N4368" s="64">
        <f>IF($A4368="","",IFERROR(INDEX(부서매핑!$C$5:$C$504,MATCH($G4368&amp;"",부서매핑!$A$5:$A$504,0)),"미매핑"))</f>
        <v/>
      </c>
      <c r="O4368" s="9">
        <f>IF($A4368="","",N4368&amp;"|"&amp;$F4368)</f>
        <v/>
      </c>
      <c r="P4368" s="94">
        <f>IF($A4368="",0,$H4368*설정!$C$23)</f>
        <v/>
      </c>
      <c r="Q4368" s="64">
        <f>IF($A4368="","",IF(O4368&lt;&gt;원인분석!$C$9,"",IF(AND(M4368&gt;=원인분석!$C$10,M4368&lt;=원인분석!$C$11),"당기",IF(AND(M4368&gt;=원인분석!$C$12,M4368&lt;=원인분석!$C$13),"비교",""))))</f>
        <v/>
      </c>
      <c r="R4368" s="9">
        <f>IF(Q4368="","",$K4368&amp;"")</f>
        <v/>
      </c>
      <c r="S4368" s="9">
        <f>IF(Q4368="","",IF(MATCH(R4368,$R$5:$R$100000,0)=ROW()-4,ROW(),""))</f>
        <v/>
      </c>
      <c r="T4368" s="9">
        <f>IF(Q4368="당기",ABS(P4368)+ROW()/1000000000,"")</f>
        <v/>
      </c>
      <c r="U4368" s="9">
        <f>IF(Q4368="비교",ABS(P4368)+ROW()/1000000000,"")</f>
        <v/>
      </c>
      <c r="V4368" s="64">
        <f>IF($A4368="","",IF(COUNTIF(변동분석!$E$7:$E$506,O4368)&gt;0,"Y","N"))</f>
        <v/>
      </c>
      <c r="W4368" s="64">
        <f>IF($A4368="","",IFERROR(INDEX(계정매핑!$D$5:$D$504,MATCH($F4368&amp;"",계정매핑!$A$5:$A$504,0)),"미매핑"))</f>
        <v/>
      </c>
      <c r="X4368" s="9">
        <f>IF($A4368="","",$F4368&amp;"")</f>
        <v/>
      </c>
      <c r="Y4368" s="94">
        <f>IF($A4368="",0,IF(AE4368="직접",IF(AF4368="비귀속",$P4368,0),$P4368*(1-AG4368)*IFERROR(INDEX(계정대체기준!$F$20:$F$49,MATCH($N4368,계정대체기준!$A$20:$A$49,0)),1)))</f>
        <v/>
      </c>
      <c r="Z4368" s="94">
        <f>IF($A4368="",0,IF(AE4368="직접",IF(AF4368="신계약비",$P4368,0),$P4368*(1-AG4368)*IFERROR(INDEX(계정대체기준!$C$20:$C$49,MATCH($N4368,계정대체기준!$A$20:$A$49,0)),0)))</f>
        <v/>
      </c>
      <c r="AA4368" s="94">
        <f>IF($A4368="",0,IF(AE4368="직접",IF(OR(AF4368="유지비",AF4368="손해조사비"),$P4368,0),$P4368*(1-AG4368)*IFERROR(INDEX(계정대체기준!$D$20:$D$49,MATCH($N4368,계정대체기준!$A$20:$A$49,0)),0)))</f>
        <v/>
      </c>
      <c r="AB4368" s="94">
        <f>IF($A4368="",0,IF(AE4368="직접",IF(AF4368="수금비",$P4368,0),$P4368*(1-AG4368)*IFERROR(INDEX(계정대체기준!$E$20:$E$49,MATCH($N4368,계정대체기준!$A$20:$A$49,0)),0)))</f>
        <v/>
      </c>
      <c r="AC4368" s="9">
        <f>IF(AND($A4368&lt;&gt;"",M4368=설정!$C$20,Z4368&gt;0),Z4368+ROW()/1000000000,"")</f>
        <v/>
      </c>
      <c r="AD4368" s="94">
        <f>IF($A4368="",0,$P4368*AG4368)</f>
        <v/>
      </c>
      <c r="AE4368" s="64">
        <f>IF($A4368="","",IFERROR(INDEX(계정매핑!$E$5:$E$504,MATCH($F4368&amp;"",계정매핑!$A$5:$A$504,0))&amp;"","공통비"))</f>
        <v/>
      </c>
      <c r="AF4368" s="64">
        <f>IF($A4368="","",IF(AE4368="직접",IFERROR(INDEX(계정매핑!$F$5:$F$504,MATCH($F4368&amp;"",계정매핑!$A$5:$A$504,0))&amp;"","비귀속"),""))</f>
        <v/>
      </c>
      <c r="AG4368" s="96">
        <f>IF($A4368="",0,IF(AND(AE4368&lt;&gt;"직접",IFERROR(INDEX(계정매핑!$G$5:$G$504,MATCH($F4368&amp;"",계정매핑!$A$5:$A$504,0))&amp;"","")="유지비",COUNTIF(계정대체기준!$A$6:$A$15,$N4368)&gt;0),IFERROR(INDEX(계정대체기준!$E$6:$E$15,MATCH(VALUE($A4368&amp;""),계정대체기준!$D$6:$D$15,0)),0),0))</f>
        <v/>
      </c>
      <c r="AH4368" s="64">
        <f>IF($A4368="","",IF(AD4368=0,"",IF(OR(COUNTIF(계정대체기준!$A$77:$A$86,$N4368)&gt;0,ISNUMBER(MATCH($X4368,계정대체기준!$D$77:$D$86,0)),ISNUMBER(MATCH($F4368,계정대체기준!$D$77:$D$86,0))),"Y","N")))</f>
        <v/>
      </c>
    </row>
    <row r="4369">
      <c r="A4369" s="92" t="n">
        <v>2026</v>
      </c>
      <c r="B4369" s="92" t="n">
        <v>8</v>
      </c>
      <c r="C4369" s="92" t="inlineStr">
        <is>
          <t>5100001647</t>
        </is>
      </c>
      <c r="D4369" s="95" t="n">
        <v>46241</v>
      </c>
      <c r="E4369" s="92" t="inlineStr">
        <is>
          <t>KR</t>
        </is>
      </c>
      <c r="F4369" s="92" t="n">
        <v>62102000</v>
      </c>
      <c r="G4369" s="92" t="n">
        <v>1951</v>
      </c>
      <c r="H4369" s="93" t="n">
        <v>119000</v>
      </c>
      <c r="I4369" s="92" t="inlineStr">
        <is>
          <t>8월 해외출장 - N호텔</t>
        </is>
      </c>
      <c r="J4369" s="92" t="inlineStr">
        <is>
          <t>V10009</t>
        </is>
      </c>
      <c r="K4369" s="92" t="inlineStr">
        <is>
          <t>N호텔</t>
        </is>
      </c>
      <c r="M4369" s="9">
        <f>IF($A4369="","",VALUE($A4369&amp;"")*12+VALUE($B4369&amp;""))</f>
        <v/>
      </c>
      <c r="N4369" s="64">
        <f>IF($A4369="","",IFERROR(INDEX(부서매핑!$C$5:$C$504,MATCH($G4369&amp;"",부서매핑!$A$5:$A$504,0)),"미매핑"))</f>
        <v/>
      </c>
      <c r="O4369" s="9">
        <f>IF($A4369="","",N4369&amp;"|"&amp;$F4369)</f>
        <v/>
      </c>
      <c r="P4369" s="94">
        <f>IF($A4369="",0,$H4369*설정!$C$23)</f>
        <v/>
      </c>
      <c r="Q4369" s="64">
        <f>IF($A4369="","",IF(O4369&lt;&gt;원인분석!$C$9,"",IF(AND(M4369&gt;=원인분석!$C$10,M4369&lt;=원인분석!$C$11),"당기",IF(AND(M4369&gt;=원인분석!$C$12,M4369&lt;=원인분석!$C$13),"비교",""))))</f>
        <v/>
      </c>
      <c r="R4369" s="9">
        <f>IF(Q4369="","",$K4369&amp;"")</f>
        <v/>
      </c>
      <c r="S4369" s="9">
        <f>IF(Q4369="","",IF(MATCH(R4369,$R$5:$R$100000,0)=ROW()-4,ROW(),""))</f>
        <v/>
      </c>
      <c r="T4369" s="9">
        <f>IF(Q4369="당기",ABS(P4369)+ROW()/1000000000,"")</f>
        <v/>
      </c>
      <c r="U4369" s="9">
        <f>IF(Q4369="비교",ABS(P4369)+ROW()/1000000000,"")</f>
        <v/>
      </c>
      <c r="V4369" s="64">
        <f>IF($A4369="","",IF(COUNTIF(변동분석!$E$7:$E$506,O4369)&gt;0,"Y","N"))</f>
        <v/>
      </c>
      <c r="W4369" s="64">
        <f>IF($A4369="","",IFERROR(INDEX(계정매핑!$D$5:$D$504,MATCH($F4369&amp;"",계정매핑!$A$5:$A$504,0)),"미매핑"))</f>
        <v/>
      </c>
      <c r="X4369" s="9">
        <f>IF($A4369="","",$F4369&amp;"")</f>
        <v/>
      </c>
      <c r="Y4369" s="94">
        <f>IF($A4369="",0,IF(AE4369="직접",IF(AF4369="비귀속",$P4369,0),$P4369*(1-AG4369)*IFERROR(INDEX(계정대체기준!$F$20:$F$49,MATCH($N4369,계정대체기준!$A$20:$A$49,0)),1)))</f>
        <v/>
      </c>
      <c r="Z4369" s="94">
        <f>IF($A4369="",0,IF(AE4369="직접",IF(AF4369="신계약비",$P4369,0),$P4369*(1-AG4369)*IFERROR(INDEX(계정대체기준!$C$20:$C$49,MATCH($N4369,계정대체기준!$A$20:$A$49,0)),0)))</f>
        <v/>
      </c>
      <c r="AA4369" s="94">
        <f>IF($A4369="",0,IF(AE4369="직접",IF(OR(AF4369="유지비",AF4369="손해조사비"),$P4369,0),$P4369*(1-AG4369)*IFERROR(INDEX(계정대체기준!$D$20:$D$49,MATCH($N4369,계정대체기준!$A$20:$A$49,0)),0)))</f>
        <v/>
      </c>
      <c r="AB4369" s="94">
        <f>IF($A4369="",0,IF(AE4369="직접",IF(AF4369="수금비",$P4369,0),$P4369*(1-AG4369)*IFERROR(INDEX(계정대체기준!$E$20:$E$49,MATCH($N4369,계정대체기준!$A$20:$A$49,0)),0)))</f>
        <v/>
      </c>
      <c r="AC4369" s="9">
        <f>IF(AND($A4369&lt;&gt;"",M4369=설정!$C$20,Z4369&gt;0),Z4369+ROW()/1000000000,"")</f>
        <v/>
      </c>
      <c r="AD4369" s="94">
        <f>IF($A4369="",0,$P4369*AG4369)</f>
        <v/>
      </c>
      <c r="AE4369" s="64">
        <f>IF($A4369="","",IFERROR(INDEX(계정매핑!$E$5:$E$504,MATCH($F4369&amp;"",계정매핑!$A$5:$A$504,0))&amp;"","공통비"))</f>
        <v/>
      </c>
      <c r="AF4369" s="64">
        <f>IF($A4369="","",IF(AE4369="직접",IFERROR(INDEX(계정매핑!$F$5:$F$504,MATCH($F4369&amp;"",계정매핑!$A$5:$A$504,0))&amp;"","비귀속"),""))</f>
        <v/>
      </c>
      <c r="AG4369" s="96">
        <f>IF($A4369="",0,IF(AND(AE4369&lt;&gt;"직접",IFERROR(INDEX(계정매핑!$G$5:$G$504,MATCH($F4369&amp;"",계정매핑!$A$5:$A$504,0))&amp;"","")="유지비",COUNTIF(계정대체기준!$A$6:$A$15,$N4369)&gt;0),IFERROR(INDEX(계정대체기준!$E$6:$E$15,MATCH(VALUE($A4369&amp;""),계정대체기준!$D$6:$D$15,0)),0),0))</f>
        <v/>
      </c>
      <c r="AH4369" s="64">
        <f>IF($A4369="","",IF(AD4369=0,"",IF(OR(COUNTIF(계정대체기준!$A$77:$A$86,$N4369)&gt;0,ISNUMBER(MATCH($X4369,계정대체기준!$D$77:$D$86,0)),ISNUMBER(MATCH($F4369,계정대체기준!$D$77:$D$86,0))),"Y","N")))</f>
        <v/>
      </c>
    </row>
    <row r="4370">
      <c r="A4370" s="92" t="n">
        <v>2026</v>
      </c>
      <c r="B4370" s="92" t="n">
        <v>8</v>
      </c>
      <c r="C4370" s="92" t="inlineStr">
        <is>
          <t>5100001648</t>
        </is>
      </c>
      <c r="D4370" s="95" t="n">
        <v>46241</v>
      </c>
      <c r="E4370" s="92" t="inlineStr">
        <is>
          <t>KR</t>
        </is>
      </c>
      <c r="F4370" s="92" t="n">
        <v>62201000</v>
      </c>
      <c r="G4370" s="92" t="n">
        <v>1101</v>
      </c>
      <c r="H4370" s="93" t="n">
        <v>288000</v>
      </c>
      <c r="I4370" s="92" t="inlineStr">
        <is>
          <t>8월 통신요금 - P통신</t>
        </is>
      </c>
      <c r="J4370" s="92" t="inlineStr">
        <is>
          <t>V10014</t>
        </is>
      </c>
      <c r="K4370" s="92" t="inlineStr">
        <is>
          <t>P통신</t>
        </is>
      </c>
      <c r="M4370" s="9">
        <f>IF($A4370="","",VALUE($A4370&amp;"")*12+VALUE($B4370&amp;""))</f>
        <v/>
      </c>
      <c r="N4370" s="64">
        <f>IF($A4370="","",IFERROR(INDEX(부서매핑!$C$5:$C$504,MATCH($G4370&amp;"",부서매핑!$A$5:$A$504,0)),"미매핑"))</f>
        <v/>
      </c>
      <c r="O4370" s="9">
        <f>IF($A4370="","",N4370&amp;"|"&amp;$F4370)</f>
        <v/>
      </c>
      <c r="P4370" s="94">
        <f>IF($A4370="",0,$H4370*설정!$C$23)</f>
        <v/>
      </c>
      <c r="Q4370" s="64">
        <f>IF($A4370="","",IF(O4370&lt;&gt;원인분석!$C$9,"",IF(AND(M4370&gt;=원인분석!$C$10,M4370&lt;=원인분석!$C$11),"당기",IF(AND(M4370&gt;=원인분석!$C$12,M4370&lt;=원인분석!$C$13),"비교",""))))</f>
        <v/>
      </c>
      <c r="R4370" s="9">
        <f>IF(Q4370="","",$K4370&amp;"")</f>
        <v/>
      </c>
      <c r="S4370" s="9">
        <f>IF(Q4370="","",IF(MATCH(R4370,$R$5:$R$100000,0)=ROW()-4,ROW(),""))</f>
        <v/>
      </c>
      <c r="T4370" s="9">
        <f>IF(Q4370="당기",ABS(P4370)+ROW()/1000000000,"")</f>
        <v/>
      </c>
      <c r="U4370" s="9">
        <f>IF(Q4370="비교",ABS(P4370)+ROW()/1000000000,"")</f>
        <v/>
      </c>
      <c r="V4370" s="64">
        <f>IF($A4370="","",IF(COUNTIF(변동분석!$E$7:$E$506,O4370)&gt;0,"Y","N"))</f>
        <v/>
      </c>
      <c r="W4370" s="64">
        <f>IF($A4370="","",IFERROR(INDEX(계정매핑!$D$5:$D$504,MATCH($F4370&amp;"",계정매핑!$A$5:$A$504,0)),"미매핑"))</f>
        <v/>
      </c>
      <c r="X4370" s="9">
        <f>IF($A4370="","",$F4370&amp;"")</f>
        <v/>
      </c>
      <c r="Y4370" s="94">
        <f>IF($A4370="",0,IF(AE4370="직접",IF(AF4370="비귀속",$P4370,0),$P4370*(1-AG4370)*IFERROR(INDEX(계정대체기준!$F$20:$F$49,MATCH($N4370,계정대체기준!$A$20:$A$49,0)),1)))</f>
        <v/>
      </c>
      <c r="Z4370" s="94">
        <f>IF($A4370="",0,IF(AE4370="직접",IF(AF4370="신계약비",$P4370,0),$P4370*(1-AG4370)*IFERROR(INDEX(계정대체기준!$C$20:$C$49,MATCH($N4370,계정대체기준!$A$20:$A$49,0)),0)))</f>
        <v/>
      </c>
      <c r="AA4370" s="94">
        <f>IF($A4370="",0,IF(AE4370="직접",IF(OR(AF4370="유지비",AF4370="손해조사비"),$P4370,0),$P4370*(1-AG4370)*IFERROR(INDEX(계정대체기준!$D$20:$D$49,MATCH($N4370,계정대체기준!$A$20:$A$49,0)),0)))</f>
        <v/>
      </c>
      <c r="AB4370" s="94">
        <f>IF($A4370="",0,IF(AE4370="직접",IF(AF4370="수금비",$P4370,0),$P4370*(1-AG4370)*IFERROR(INDEX(계정대체기준!$E$20:$E$49,MATCH($N4370,계정대체기준!$A$20:$A$49,0)),0)))</f>
        <v/>
      </c>
      <c r="AC4370" s="9">
        <f>IF(AND($A4370&lt;&gt;"",M4370=설정!$C$20,Z4370&gt;0),Z4370+ROW()/1000000000,"")</f>
        <v/>
      </c>
      <c r="AD4370" s="94">
        <f>IF($A4370="",0,$P4370*AG4370)</f>
        <v/>
      </c>
      <c r="AE4370" s="64">
        <f>IF($A4370="","",IFERROR(INDEX(계정매핑!$E$5:$E$504,MATCH($F4370&amp;"",계정매핑!$A$5:$A$504,0))&amp;"","공통비"))</f>
        <v/>
      </c>
      <c r="AF4370" s="64">
        <f>IF($A4370="","",IF(AE4370="직접",IFERROR(INDEX(계정매핑!$F$5:$F$504,MATCH($F4370&amp;"",계정매핑!$A$5:$A$504,0))&amp;"","비귀속"),""))</f>
        <v/>
      </c>
      <c r="AG4370" s="96">
        <f>IF($A4370="",0,IF(AND(AE4370&lt;&gt;"직접",IFERROR(INDEX(계정매핑!$G$5:$G$504,MATCH($F4370&amp;"",계정매핑!$A$5:$A$504,0))&amp;"","")="유지비",COUNTIF(계정대체기준!$A$6:$A$15,$N4370)&gt;0),IFERROR(INDEX(계정대체기준!$E$6:$E$15,MATCH(VALUE($A4370&amp;""),계정대체기준!$D$6:$D$15,0)),0),0))</f>
        <v/>
      </c>
      <c r="AH4370" s="64">
        <f>IF($A4370="","",IF(AD4370=0,"",IF(OR(COUNTIF(계정대체기준!$A$77:$A$86,$N4370)&gt;0,ISNUMBER(MATCH($X4370,계정대체기준!$D$77:$D$86,0)),ISNUMBER(MATCH($F4370,계정대체기준!$D$77:$D$86,0))),"Y","N")))</f>
        <v/>
      </c>
    </row>
    <row r="4371">
      <c r="A4371" s="92" t="n">
        <v>2026</v>
      </c>
      <c r="B4371" s="92" t="n">
        <v>8</v>
      </c>
      <c r="C4371" s="92" t="inlineStr">
        <is>
          <t>5100001649</t>
        </is>
      </c>
      <c r="D4371" s="95" t="n">
        <v>46241</v>
      </c>
      <c r="E4371" s="92" t="inlineStr">
        <is>
          <t>KR</t>
        </is>
      </c>
      <c r="F4371" s="92" t="n">
        <v>62301000</v>
      </c>
      <c r="G4371" s="92" t="n">
        <v>1101</v>
      </c>
      <c r="H4371" s="93" t="n">
        <v>249000</v>
      </c>
      <c r="I4371" s="92" t="inlineStr">
        <is>
          <t>8월 소모품 구입 - R문구</t>
        </is>
      </c>
      <c r="J4371" s="92" t="inlineStr">
        <is>
          <t>V10022</t>
        </is>
      </c>
      <c r="K4371" s="92" t="inlineStr">
        <is>
          <t>R문구</t>
        </is>
      </c>
      <c r="M4371" s="9">
        <f>IF($A4371="","",VALUE($A4371&amp;"")*12+VALUE($B4371&amp;""))</f>
        <v/>
      </c>
      <c r="N4371" s="64">
        <f>IF($A4371="","",IFERROR(INDEX(부서매핑!$C$5:$C$504,MATCH($G4371&amp;"",부서매핑!$A$5:$A$504,0)),"미매핑"))</f>
        <v/>
      </c>
      <c r="O4371" s="9">
        <f>IF($A4371="","",N4371&amp;"|"&amp;$F4371)</f>
        <v/>
      </c>
      <c r="P4371" s="94">
        <f>IF($A4371="",0,$H4371*설정!$C$23)</f>
        <v/>
      </c>
      <c r="Q4371" s="64">
        <f>IF($A4371="","",IF(O4371&lt;&gt;원인분석!$C$9,"",IF(AND(M4371&gt;=원인분석!$C$10,M4371&lt;=원인분석!$C$11),"당기",IF(AND(M4371&gt;=원인분석!$C$12,M4371&lt;=원인분석!$C$13),"비교",""))))</f>
        <v/>
      </c>
      <c r="R4371" s="9">
        <f>IF(Q4371="","",$K4371&amp;"")</f>
        <v/>
      </c>
      <c r="S4371" s="9">
        <f>IF(Q4371="","",IF(MATCH(R4371,$R$5:$R$100000,0)=ROW()-4,ROW(),""))</f>
        <v/>
      </c>
      <c r="T4371" s="9">
        <f>IF(Q4371="당기",ABS(P4371)+ROW()/1000000000,"")</f>
        <v/>
      </c>
      <c r="U4371" s="9">
        <f>IF(Q4371="비교",ABS(P4371)+ROW()/1000000000,"")</f>
        <v/>
      </c>
      <c r="V4371" s="64">
        <f>IF($A4371="","",IF(COUNTIF(변동분석!$E$7:$E$506,O4371)&gt;0,"Y","N"))</f>
        <v/>
      </c>
      <c r="W4371" s="64">
        <f>IF($A4371="","",IFERROR(INDEX(계정매핑!$D$5:$D$504,MATCH($F4371&amp;"",계정매핑!$A$5:$A$504,0)),"미매핑"))</f>
        <v/>
      </c>
      <c r="X4371" s="9">
        <f>IF($A4371="","",$F4371&amp;"")</f>
        <v/>
      </c>
      <c r="Y4371" s="94">
        <f>IF($A4371="",0,IF(AE4371="직접",IF(AF4371="비귀속",$P4371,0),$P4371*(1-AG4371)*IFERROR(INDEX(계정대체기준!$F$20:$F$49,MATCH($N4371,계정대체기준!$A$20:$A$49,0)),1)))</f>
        <v/>
      </c>
      <c r="Z4371" s="94">
        <f>IF($A4371="",0,IF(AE4371="직접",IF(AF4371="신계약비",$P4371,0),$P4371*(1-AG4371)*IFERROR(INDEX(계정대체기준!$C$20:$C$49,MATCH($N4371,계정대체기준!$A$20:$A$49,0)),0)))</f>
        <v/>
      </c>
      <c r="AA4371" s="94">
        <f>IF($A4371="",0,IF(AE4371="직접",IF(OR(AF4371="유지비",AF4371="손해조사비"),$P4371,0),$P4371*(1-AG4371)*IFERROR(INDEX(계정대체기준!$D$20:$D$49,MATCH($N4371,계정대체기준!$A$20:$A$49,0)),0)))</f>
        <v/>
      </c>
      <c r="AB4371" s="94">
        <f>IF($A4371="",0,IF(AE4371="직접",IF(AF4371="수금비",$P4371,0),$P4371*(1-AG4371)*IFERROR(INDEX(계정대체기준!$E$20:$E$49,MATCH($N4371,계정대체기준!$A$20:$A$49,0)),0)))</f>
        <v/>
      </c>
      <c r="AC4371" s="9">
        <f>IF(AND($A4371&lt;&gt;"",M4371=설정!$C$20,Z4371&gt;0),Z4371+ROW()/1000000000,"")</f>
        <v/>
      </c>
      <c r="AD4371" s="94">
        <f>IF($A4371="",0,$P4371*AG4371)</f>
        <v/>
      </c>
      <c r="AE4371" s="64">
        <f>IF($A4371="","",IFERROR(INDEX(계정매핑!$E$5:$E$504,MATCH($F4371&amp;"",계정매핑!$A$5:$A$504,0))&amp;"","공통비"))</f>
        <v/>
      </c>
      <c r="AF4371" s="64">
        <f>IF($A4371="","",IF(AE4371="직접",IFERROR(INDEX(계정매핑!$F$5:$F$504,MATCH($F4371&amp;"",계정매핑!$A$5:$A$504,0))&amp;"","비귀속"),""))</f>
        <v/>
      </c>
      <c r="AG4371" s="96">
        <f>IF($A4371="",0,IF(AND(AE4371&lt;&gt;"직접",IFERROR(INDEX(계정매핑!$G$5:$G$504,MATCH($F4371&amp;"",계정매핑!$A$5:$A$504,0))&amp;"","")="유지비",COUNTIF(계정대체기준!$A$6:$A$15,$N4371)&gt;0),IFERROR(INDEX(계정대체기준!$E$6:$E$15,MATCH(VALUE($A4371&amp;""),계정대체기준!$D$6:$D$15,0)),0),0))</f>
        <v/>
      </c>
      <c r="AH4371" s="64">
        <f>IF($A4371="","",IF(AD4371=0,"",IF(OR(COUNTIF(계정대체기준!$A$77:$A$86,$N4371)&gt;0,ISNUMBER(MATCH($X4371,계정대체기준!$D$77:$D$86,0)),ISNUMBER(MATCH($F4371,계정대체기준!$D$77:$D$86,0))),"Y","N")))</f>
        <v/>
      </c>
    </row>
    <row r="4372">
      <c r="A4372" s="92" t="n">
        <v>2026</v>
      </c>
      <c r="B4372" s="92" t="n">
        <v>8</v>
      </c>
      <c r="C4372" s="92" t="inlineStr">
        <is>
          <t>5100001650</t>
        </is>
      </c>
      <c r="D4372" s="95" t="n">
        <v>46241</v>
      </c>
      <c r="E4372" s="92" t="inlineStr">
        <is>
          <t>KR</t>
        </is>
      </c>
      <c r="F4372" s="92" t="n">
        <v>62301000</v>
      </c>
      <c r="G4372" s="92" t="n">
        <v>1801</v>
      </c>
      <c r="H4372" s="93" t="n">
        <v>319000</v>
      </c>
      <c r="I4372" s="92" t="inlineStr">
        <is>
          <t>8월 소모품 구입 - R문구</t>
        </is>
      </c>
      <c r="J4372" s="92" t="inlineStr">
        <is>
          <t>V10022</t>
        </is>
      </c>
      <c r="K4372" s="92" t="inlineStr">
        <is>
          <t>R문구</t>
        </is>
      </c>
      <c r="M4372" s="9">
        <f>IF($A4372="","",VALUE($A4372&amp;"")*12+VALUE($B4372&amp;""))</f>
        <v/>
      </c>
      <c r="N4372" s="64">
        <f>IF($A4372="","",IFERROR(INDEX(부서매핑!$C$5:$C$504,MATCH($G4372&amp;"",부서매핑!$A$5:$A$504,0)),"미매핑"))</f>
        <v/>
      </c>
      <c r="O4372" s="9">
        <f>IF($A4372="","",N4372&amp;"|"&amp;$F4372)</f>
        <v/>
      </c>
      <c r="P4372" s="94">
        <f>IF($A4372="",0,$H4372*설정!$C$23)</f>
        <v/>
      </c>
      <c r="Q4372" s="64">
        <f>IF($A4372="","",IF(O4372&lt;&gt;원인분석!$C$9,"",IF(AND(M4372&gt;=원인분석!$C$10,M4372&lt;=원인분석!$C$11),"당기",IF(AND(M4372&gt;=원인분석!$C$12,M4372&lt;=원인분석!$C$13),"비교",""))))</f>
        <v/>
      </c>
      <c r="R4372" s="9">
        <f>IF(Q4372="","",$K4372&amp;"")</f>
        <v/>
      </c>
      <c r="S4372" s="9">
        <f>IF(Q4372="","",IF(MATCH(R4372,$R$5:$R$100000,0)=ROW()-4,ROW(),""))</f>
        <v/>
      </c>
      <c r="T4372" s="9">
        <f>IF(Q4372="당기",ABS(P4372)+ROW()/1000000000,"")</f>
        <v/>
      </c>
      <c r="U4372" s="9">
        <f>IF(Q4372="비교",ABS(P4372)+ROW()/1000000000,"")</f>
        <v/>
      </c>
      <c r="V4372" s="64">
        <f>IF($A4372="","",IF(COUNTIF(변동분석!$E$7:$E$506,O4372)&gt;0,"Y","N"))</f>
        <v/>
      </c>
      <c r="W4372" s="64">
        <f>IF($A4372="","",IFERROR(INDEX(계정매핑!$D$5:$D$504,MATCH($F4372&amp;"",계정매핑!$A$5:$A$504,0)),"미매핑"))</f>
        <v/>
      </c>
      <c r="X4372" s="9">
        <f>IF($A4372="","",$F4372&amp;"")</f>
        <v/>
      </c>
      <c r="Y4372" s="94">
        <f>IF($A4372="",0,IF(AE4372="직접",IF(AF4372="비귀속",$P4372,0),$P4372*(1-AG4372)*IFERROR(INDEX(계정대체기준!$F$20:$F$49,MATCH($N4372,계정대체기준!$A$20:$A$49,0)),1)))</f>
        <v/>
      </c>
      <c r="Z4372" s="94">
        <f>IF($A4372="",0,IF(AE4372="직접",IF(AF4372="신계약비",$P4372,0),$P4372*(1-AG4372)*IFERROR(INDEX(계정대체기준!$C$20:$C$49,MATCH($N4372,계정대체기준!$A$20:$A$49,0)),0)))</f>
        <v/>
      </c>
      <c r="AA4372" s="94">
        <f>IF($A4372="",0,IF(AE4372="직접",IF(OR(AF4372="유지비",AF4372="손해조사비"),$P4372,0),$P4372*(1-AG4372)*IFERROR(INDEX(계정대체기준!$D$20:$D$49,MATCH($N4372,계정대체기준!$A$20:$A$49,0)),0)))</f>
        <v/>
      </c>
      <c r="AB4372" s="94">
        <f>IF($A4372="",0,IF(AE4372="직접",IF(AF4372="수금비",$P4372,0),$P4372*(1-AG4372)*IFERROR(INDEX(계정대체기준!$E$20:$E$49,MATCH($N4372,계정대체기준!$A$20:$A$49,0)),0)))</f>
        <v/>
      </c>
      <c r="AC4372" s="9">
        <f>IF(AND($A4372&lt;&gt;"",M4372=설정!$C$20,Z4372&gt;0),Z4372+ROW()/1000000000,"")</f>
        <v/>
      </c>
      <c r="AD4372" s="94">
        <f>IF($A4372="",0,$P4372*AG4372)</f>
        <v/>
      </c>
      <c r="AE4372" s="64">
        <f>IF($A4372="","",IFERROR(INDEX(계정매핑!$E$5:$E$504,MATCH($F4372&amp;"",계정매핑!$A$5:$A$504,0))&amp;"","공통비"))</f>
        <v/>
      </c>
      <c r="AF4372" s="64">
        <f>IF($A4372="","",IF(AE4372="직접",IFERROR(INDEX(계정매핑!$F$5:$F$504,MATCH($F4372&amp;"",계정매핑!$A$5:$A$504,0))&amp;"","비귀속"),""))</f>
        <v/>
      </c>
      <c r="AG4372" s="96">
        <f>IF($A4372="",0,IF(AND(AE4372&lt;&gt;"직접",IFERROR(INDEX(계정매핑!$G$5:$G$504,MATCH($F4372&amp;"",계정매핑!$A$5:$A$504,0))&amp;"","")="유지비",COUNTIF(계정대체기준!$A$6:$A$15,$N4372)&gt;0),IFERROR(INDEX(계정대체기준!$E$6:$E$15,MATCH(VALUE($A4372&amp;""),계정대체기준!$D$6:$D$15,0)),0),0))</f>
        <v/>
      </c>
      <c r="AH4372" s="64">
        <f>IF($A4372="","",IF(AD4372=0,"",IF(OR(COUNTIF(계정대체기준!$A$77:$A$86,$N4372)&gt;0,ISNUMBER(MATCH($X4372,계정대체기준!$D$77:$D$86,0)),ISNUMBER(MATCH($F4372,계정대체기준!$D$77:$D$86,0))),"Y","N")))</f>
        <v/>
      </c>
    </row>
    <row r="4373">
      <c r="A4373" s="92" t="n">
        <v>2026</v>
      </c>
      <c r="B4373" s="92" t="n">
        <v>8</v>
      </c>
      <c r="C4373" s="92" t="inlineStr">
        <is>
          <t>5100001651</t>
        </is>
      </c>
      <c r="D4373" s="95" t="n">
        <v>46241</v>
      </c>
      <c r="E4373" s="92" t="inlineStr">
        <is>
          <t>KR</t>
        </is>
      </c>
      <c r="F4373" s="92" t="n">
        <v>62501000</v>
      </c>
      <c r="G4373" s="92" t="n">
        <v>1501</v>
      </c>
      <c r="H4373" s="93" t="n">
        <v>250000</v>
      </c>
      <c r="I4373" s="92" t="inlineStr">
        <is>
          <t>8월 회의 다과 - (법인카드)</t>
        </is>
      </c>
      <c r="J4373" s="92" t="inlineStr">
        <is>
          <t>V10010</t>
        </is>
      </c>
      <c r="K4373" s="92" t="inlineStr">
        <is>
          <t>(법인카드)</t>
        </is>
      </c>
      <c r="M4373" s="9">
        <f>IF($A4373="","",VALUE($A4373&amp;"")*12+VALUE($B4373&amp;""))</f>
        <v/>
      </c>
      <c r="N4373" s="64">
        <f>IF($A4373="","",IFERROR(INDEX(부서매핑!$C$5:$C$504,MATCH($G4373&amp;"",부서매핑!$A$5:$A$504,0)),"미매핑"))</f>
        <v/>
      </c>
      <c r="O4373" s="9">
        <f>IF($A4373="","",N4373&amp;"|"&amp;$F4373)</f>
        <v/>
      </c>
      <c r="P4373" s="94">
        <f>IF($A4373="",0,$H4373*설정!$C$23)</f>
        <v/>
      </c>
      <c r="Q4373" s="64">
        <f>IF($A4373="","",IF(O4373&lt;&gt;원인분석!$C$9,"",IF(AND(M4373&gt;=원인분석!$C$10,M4373&lt;=원인분석!$C$11),"당기",IF(AND(M4373&gt;=원인분석!$C$12,M4373&lt;=원인분석!$C$13),"비교",""))))</f>
        <v/>
      </c>
      <c r="R4373" s="9">
        <f>IF(Q4373="","",$K4373&amp;"")</f>
        <v/>
      </c>
      <c r="S4373" s="9">
        <f>IF(Q4373="","",IF(MATCH(R4373,$R$5:$R$100000,0)=ROW()-4,ROW(),""))</f>
        <v/>
      </c>
      <c r="T4373" s="9">
        <f>IF(Q4373="당기",ABS(P4373)+ROW()/1000000000,"")</f>
        <v/>
      </c>
      <c r="U4373" s="9">
        <f>IF(Q4373="비교",ABS(P4373)+ROW()/1000000000,"")</f>
        <v/>
      </c>
      <c r="V4373" s="64">
        <f>IF($A4373="","",IF(COUNTIF(변동분석!$E$7:$E$506,O4373)&gt;0,"Y","N"))</f>
        <v/>
      </c>
      <c r="W4373" s="64">
        <f>IF($A4373="","",IFERROR(INDEX(계정매핑!$D$5:$D$504,MATCH($F4373&amp;"",계정매핑!$A$5:$A$504,0)),"미매핑"))</f>
        <v/>
      </c>
      <c r="X4373" s="9">
        <f>IF($A4373="","",$F4373&amp;"")</f>
        <v/>
      </c>
      <c r="Y4373" s="94">
        <f>IF($A4373="",0,IF(AE4373="직접",IF(AF4373="비귀속",$P4373,0),$P4373*(1-AG4373)*IFERROR(INDEX(계정대체기준!$F$20:$F$49,MATCH($N4373,계정대체기준!$A$20:$A$49,0)),1)))</f>
        <v/>
      </c>
      <c r="Z4373" s="94">
        <f>IF($A4373="",0,IF(AE4373="직접",IF(AF4373="신계약비",$P4373,0),$P4373*(1-AG4373)*IFERROR(INDEX(계정대체기준!$C$20:$C$49,MATCH($N4373,계정대체기준!$A$20:$A$49,0)),0)))</f>
        <v/>
      </c>
      <c r="AA4373" s="94">
        <f>IF($A4373="",0,IF(AE4373="직접",IF(OR(AF4373="유지비",AF4373="손해조사비"),$P4373,0),$P4373*(1-AG4373)*IFERROR(INDEX(계정대체기준!$D$20:$D$49,MATCH($N4373,계정대체기준!$A$20:$A$49,0)),0)))</f>
        <v/>
      </c>
      <c r="AB4373" s="94">
        <f>IF($A4373="",0,IF(AE4373="직접",IF(AF4373="수금비",$P4373,0),$P4373*(1-AG4373)*IFERROR(INDEX(계정대체기준!$E$20:$E$49,MATCH($N4373,계정대체기준!$A$20:$A$49,0)),0)))</f>
        <v/>
      </c>
      <c r="AC4373" s="9">
        <f>IF(AND($A4373&lt;&gt;"",M4373=설정!$C$20,Z4373&gt;0),Z4373+ROW()/1000000000,"")</f>
        <v/>
      </c>
      <c r="AD4373" s="94">
        <f>IF($A4373="",0,$P4373*AG4373)</f>
        <v/>
      </c>
      <c r="AE4373" s="64">
        <f>IF($A4373="","",IFERROR(INDEX(계정매핑!$E$5:$E$504,MATCH($F4373&amp;"",계정매핑!$A$5:$A$504,0))&amp;"","공통비"))</f>
        <v/>
      </c>
      <c r="AF4373" s="64">
        <f>IF($A4373="","",IF(AE4373="직접",IFERROR(INDEX(계정매핑!$F$5:$F$504,MATCH($F4373&amp;"",계정매핑!$A$5:$A$504,0))&amp;"","비귀속"),""))</f>
        <v/>
      </c>
      <c r="AG4373" s="96">
        <f>IF($A4373="",0,IF(AND(AE4373&lt;&gt;"직접",IFERROR(INDEX(계정매핑!$G$5:$G$504,MATCH($F4373&amp;"",계정매핑!$A$5:$A$504,0))&amp;"","")="유지비",COUNTIF(계정대체기준!$A$6:$A$15,$N4373)&gt;0),IFERROR(INDEX(계정대체기준!$E$6:$E$15,MATCH(VALUE($A4373&amp;""),계정대체기준!$D$6:$D$15,0)),0),0))</f>
        <v/>
      </c>
      <c r="AH4373" s="64">
        <f>IF($A4373="","",IF(AD4373=0,"",IF(OR(COUNTIF(계정대체기준!$A$77:$A$86,$N4373)&gt;0,ISNUMBER(MATCH($X4373,계정대체기준!$D$77:$D$86,0)),ISNUMBER(MATCH($F4373,계정대체기준!$D$77:$D$86,0))),"Y","N")))</f>
        <v/>
      </c>
    </row>
    <row r="4374">
      <c r="A4374" s="92" t="n">
        <v>2026</v>
      </c>
      <c r="B4374" s="92" t="n">
        <v>8</v>
      </c>
      <c r="C4374" s="92" t="inlineStr">
        <is>
          <t>5100001652</t>
        </is>
      </c>
      <c r="D4374" s="95" t="n">
        <v>46241</v>
      </c>
      <c r="E4374" s="92" t="inlineStr">
        <is>
          <t>KR</t>
        </is>
      </c>
      <c r="F4374" s="92" t="n">
        <v>62901000</v>
      </c>
      <c r="G4374" s="92" t="n">
        <v>1201</v>
      </c>
      <c r="H4374" s="93" t="n">
        <v>10578000</v>
      </c>
      <c r="I4374" s="92" t="inlineStr">
        <is>
          <t>8월 자문 수수료 - W컨설팅</t>
        </is>
      </c>
      <c r="J4374" s="92" t="inlineStr">
        <is>
          <t>V10006</t>
        </is>
      </c>
      <c r="K4374" s="92" t="inlineStr">
        <is>
          <t>W컨설팅</t>
        </is>
      </c>
      <c r="M4374" s="9">
        <f>IF($A4374="","",VALUE($A4374&amp;"")*12+VALUE($B4374&amp;""))</f>
        <v/>
      </c>
      <c r="N4374" s="64">
        <f>IF($A4374="","",IFERROR(INDEX(부서매핑!$C$5:$C$504,MATCH($G4374&amp;"",부서매핑!$A$5:$A$504,0)),"미매핑"))</f>
        <v/>
      </c>
      <c r="O4374" s="9">
        <f>IF($A4374="","",N4374&amp;"|"&amp;$F4374)</f>
        <v/>
      </c>
      <c r="P4374" s="94">
        <f>IF($A4374="",0,$H4374*설정!$C$23)</f>
        <v/>
      </c>
      <c r="Q4374" s="64">
        <f>IF($A4374="","",IF(O4374&lt;&gt;원인분석!$C$9,"",IF(AND(M4374&gt;=원인분석!$C$10,M4374&lt;=원인분석!$C$11),"당기",IF(AND(M4374&gt;=원인분석!$C$12,M4374&lt;=원인분석!$C$13),"비교",""))))</f>
        <v/>
      </c>
      <c r="R4374" s="9">
        <f>IF(Q4374="","",$K4374&amp;"")</f>
        <v/>
      </c>
      <c r="S4374" s="9">
        <f>IF(Q4374="","",IF(MATCH(R4374,$R$5:$R$100000,0)=ROW()-4,ROW(),""))</f>
        <v/>
      </c>
      <c r="T4374" s="9">
        <f>IF(Q4374="당기",ABS(P4374)+ROW()/1000000000,"")</f>
        <v/>
      </c>
      <c r="U4374" s="9">
        <f>IF(Q4374="비교",ABS(P4374)+ROW()/1000000000,"")</f>
        <v/>
      </c>
      <c r="V4374" s="64">
        <f>IF($A4374="","",IF(COUNTIF(변동분석!$E$7:$E$506,O4374)&gt;0,"Y","N"))</f>
        <v/>
      </c>
      <c r="W4374" s="64">
        <f>IF($A4374="","",IFERROR(INDEX(계정매핑!$D$5:$D$504,MATCH($F4374&amp;"",계정매핑!$A$5:$A$504,0)),"미매핑"))</f>
        <v/>
      </c>
      <c r="X4374" s="9">
        <f>IF($A4374="","",$F4374&amp;"")</f>
        <v/>
      </c>
      <c r="Y4374" s="94">
        <f>IF($A4374="",0,IF(AE4374="직접",IF(AF4374="비귀속",$P4374,0),$P4374*(1-AG4374)*IFERROR(INDEX(계정대체기준!$F$20:$F$49,MATCH($N4374,계정대체기준!$A$20:$A$49,0)),1)))</f>
        <v/>
      </c>
      <c r="Z4374" s="94">
        <f>IF($A4374="",0,IF(AE4374="직접",IF(AF4374="신계약비",$P4374,0),$P4374*(1-AG4374)*IFERROR(INDEX(계정대체기준!$C$20:$C$49,MATCH($N4374,계정대체기준!$A$20:$A$49,0)),0)))</f>
        <v/>
      </c>
      <c r="AA4374" s="94">
        <f>IF($A4374="",0,IF(AE4374="직접",IF(OR(AF4374="유지비",AF4374="손해조사비"),$P4374,0),$P4374*(1-AG4374)*IFERROR(INDEX(계정대체기준!$D$20:$D$49,MATCH($N4374,계정대체기준!$A$20:$A$49,0)),0)))</f>
        <v/>
      </c>
      <c r="AB4374" s="94">
        <f>IF($A4374="",0,IF(AE4374="직접",IF(AF4374="수금비",$P4374,0),$P4374*(1-AG4374)*IFERROR(INDEX(계정대체기준!$E$20:$E$49,MATCH($N4374,계정대체기준!$A$20:$A$49,0)),0)))</f>
        <v/>
      </c>
      <c r="AC4374" s="9">
        <f>IF(AND($A4374&lt;&gt;"",M4374=설정!$C$20,Z4374&gt;0),Z4374+ROW()/1000000000,"")</f>
        <v/>
      </c>
      <c r="AD4374" s="94">
        <f>IF($A4374="",0,$P4374*AG4374)</f>
        <v/>
      </c>
      <c r="AE4374" s="64">
        <f>IF($A4374="","",IFERROR(INDEX(계정매핑!$E$5:$E$504,MATCH($F4374&amp;"",계정매핑!$A$5:$A$504,0))&amp;"","공통비"))</f>
        <v/>
      </c>
      <c r="AF4374" s="64">
        <f>IF($A4374="","",IF(AE4374="직접",IFERROR(INDEX(계정매핑!$F$5:$F$504,MATCH($F4374&amp;"",계정매핑!$A$5:$A$504,0))&amp;"","비귀속"),""))</f>
        <v/>
      </c>
      <c r="AG4374" s="96">
        <f>IF($A4374="",0,IF(AND(AE4374&lt;&gt;"직접",IFERROR(INDEX(계정매핑!$G$5:$G$504,MATCH($F4374&amp;"",계정매핑!$A$5:$A$504,0))&amp;"","")="유지비",COUNTIF(계정대체기준!$A$6:$A$15,$N4374)&gt;0),IFERROR(INDEX(계정대체기준!$E$6:$E$15,MATCH(VALUE($A4374&amp;""),계정대체기준!$D$6:$D$15,0)),0),0))</f>
        <v/>
      </c>
      <c r="AH4374" s="64">
        <f>IF($A4374="","",IF(AD4374=0,"",IF(OR(COUNTIF(계정대체기준!$A$77:$A$86,$N4374)&gt;0,ISNUMBER(MATCH($X4374,계정대체기준!$D$77:$D$86,0)),ISNUMBER(MATCH($F4374,계정대체기준!$D$77:$D$86,0))),"Y","N")))</f>
        <v/>
      </c>
    </row>
    <row r="4375">
      <c r="A4375" s="92" t="n">
        <v>2026</v>
      </c>
      <c r="B4375" s="92" t="n">
        <v>8</v>
      </c>
      <c r="C4375" s="92" t="inlineStr">
        <is>
          <t>5100001653</t>
        </is>
      </c>
      <c r="D4375" s="95" t="n">
        <v>46241</v>
      </c>
      <c r="E4375" s="92" t="inlineStr">
        <is>
          <t>KR</t>
        </is>
      </c>
      <c r="F4375" s="92" t="n">
        <v>62901000</v>
      </c>
      <c r="G4375" s="92" t="n">
        <v>1951</v>
      </c>
      <c r="H4375" s="93" t="n">
        <v>3168000</v>
      </c>
      <c r="I4375" s="92" t="inlineStr">
        <is>
          <t>8월 자문 수수료 - K회계법인</t>
        </is>
      </c>
      <c r="J4375" s="92" t="inlineStr">
        <is>
          <t>V10011</t>
        </is>
      </c>
      <c r="K4375" s="92" t="inlineStr">
        <is>
          <t>K회계법인</t>
        </is>
      </c>
      <c r="M4375" s="9">
        <f>IF($A4375="","",VALUE($A4375&amp;"")*12+VALUE($B4375&amp;""))</f>
        <v/>
      </c>
      <c r="N4375" s="64">
        <f>IF($A4375="","",IFERROR(INDEX(부서매핑!$C$5:$C$504,MATCH($G4375&amp;"",부서매핑!$A$5:$A$504,0)),"미매핑"))</f>
        <v/>
      </c>
      <c r="O4375" s="9">
        <f>IF($A4375="","",N4375&amp;"|"&amp;$F4375)</f>
        <v/>
      </c>
      <c r="P4375" s="94">
        <f>IF($A4375="",0,$H4375*설정!$C$23)</f>
        <v/>
      </c>
      <c r="Q4375" s="64">
        <f>IF($A4375="","",IF(O4375&lt;&gt;원인분석!$C$9,"",IF(AND(M4375&gt;=원인분석!$C$10,M4375&lt;=원인분석!$C$11),"당기",IF(AND(M4375&gt;=원인분석!$C$12,M4375&lt;=원인분석!$C$13),"비교",""))))</f>
        <v/>
      </c>
      <c r="R4375" s="9">
        <f>IF(Q4375="","",$K4375&amp;"")</f>
        <v/>
      </c>
      <c r="S4375" s="9">
        <f>IF(Q4375="","",IF(MATCH(R4375,$R$5:$R$100000,0)=ROW()-4,ROW(),""))</f>
        <v/>
      </c>
      <c r="T4375" s="9">
        <f>IF(Q4375="당기",ABS(P4375)+ROW()/1000000000,"")</f>
        <v/>
      </c>
      <c r="U4375" s="9">
        <f>IF(Q4375="비교",ABS(P4375)+ROW()/1000000000,"")</f>
        <v/>
      </c>
      <c r="V4375" s="64">
        <f>IF($A4375="","",IF(COUNTIF(변동분석!$E$7:$E$506,O4375)&gt;0,"Y","N"))</f>
        <v/>
      </c>
      <c r="W4375" s="64">
        <f>IF($A4375="","",IFERROR(INDEX(계정매핑!$D$5:$D$504,MATCH($F4375&amp;"",계정매핑!$A$5:$A$504,0)),"미매핑"))</f>
        <v/>
      </c>
      <c r="X4375" s="9">
        <f>IF($A4375="","",$F4375&amp;"")</f>
        <v/>
      </c>
      <c r="Y4375" s="94">
        <f>IF($A4375="",0,IF(AE4375="직접",IF(AF4375="비귀속",$P4375,0),$P4375*(1-AG4375)*IFERROR(INDEX(계정대체기준!$F$20:$F$49,MATCH($N4375,계정대체기준!$A$20:$A$49,0)),1)))</f>
        <v/>
      </c>
      <c r="Z4375" s="94">
        <f>IF($A4375="",0,IF(AE4375="직접",IF(AF4375="신계약비",$P4375,0),$P4375*(1-AG4375)*IFERROR(INDEX(계정대체기준!$C$20:$C$49,MATCH($N4375,계정대체기준!$A$20:$A$49,0)),0)))</f>
        <v/>
      </c>
      <c r="AA4375" s="94">
        <f>IF($A4375="",0,IF(AE4375="직접",IF(OR(AF4375="유지비",AF4375="손해조사비"),$P4375,0),$P4375*(1-AG4375)*IFERROR(INDEX(계정대체기준!$D$20:$D$49,MATCH($N4375,계정대체기준!$A$20:$A$49,0)),0)))</f>
        <v/>
      </c>
      <c r="AB4375" s="94">
        <f>IF($A4375="",0,IF(AE4375="직접",IF(AF4375="수금비",$P4375,0),$P4375*(1-AG4375)*IFERROR(INDEX(계정대체기준!$E$20:$E$49,MATCH($N4375,계정대체기준!$A$20:$A$49,0)),0)))</f>
        <v/>
      </c>
      <c r="AC4375" s="9">
        <f>IF(AND($A4375&lt;&gt;"",M4375=설정!$C$20,Z4375&gt;0),Z4375+ROW()/1000000000,"")</f>
        <v/>
      </c>
      <c r="AD4375" s="94">
        <f>IF($A4375="",0,$P4375*AG4375)</f>
        <v/>
      </c>
      <c r="AE4375" s="64">
        <f>IF($A4375="","",IFERROR(INDEX(계정매핑!$E$5:$E$504,MATCH($F4375&amp;"",계정매핑!$A$5:$A$504,0))&amp;"","공통비"))</f>
        <v/>
      </c>
      <c r="AF4375" s="64">
        <f>IF($A4375="","",IF(AE4375="직접",IFERROR(INDEX(계정매핑!$F$5:$F$504,MATCH($F4375&amp;"",계정매핑!$A$5:$A$504,0))&amp;"","비귀속"),""))</f>
        <v/>
      </c>
      <c r="AG4375" s="96">
        <f>IF($A4375="",0,IF(AND(AE4375&lt;&gt;"직접",IFERROR(INDEX(계정매핑!$G$5:$G$504,MATCH($F4375&amp;"",계정매핑!$A$5:$A$504,0))&amp;"","")="유지비",COUNTIF(계정대체기준!$A$6:$A$15,$N4375)&gt;0),IFERROR(INDEX(계정대체기준!$E$6:$E$15,MATCH(VALUE($A4375&amp;""),계정대체기준!$D$6:$D$15,0)),0),0))</f>
        <v/>
      </c>
      <c r="AH4375" s="64">
        <f>IF($A4375="","",IF(AD4375=0,"",IF(OR(COUNTIF(계정대체기준!$A$77:$A$86,$N4375)&gt;0,ISNUMBER(MATCH($X4375,계정대체기준!$D$77:$D$86,0)),ISNUMBER(MATCH($F4375,계정대체기준!$D$77:$D$86,0))),"Y","N")))</f>
        <v/>
      </c>
    </row>
    <row r="4376">
      <c r="A4376" s="92" t="n">
        <v>2026</v>
      </c>
      <c r="B4376" s="92" t="n">
        <v>8</v>
      </c>
      <c r="C4376" s="92" t="inlineStr">
        <is>
          <t>5100001654</t>
        </is>
      </c>
      <c r="D4376" s="95" t="n">
        <v>46241</v>
      </c>
      <c r="E4376" s="92" t="inlineStr">
        <is>
          <t>KR</t>
        </is>
      </c>
      <c r="F4376" s="92" t="n">
        <v>62902000</v>
      </c>
      <c r="G4376" s="92" t="n">
        <v>1101</v>
      </c>
      <c r="H4376" s="93" t="n">
        <v>2333000</v>
      </c>
      <c r="I4376" s="92" t="inlineStr">
        <is>
          <t>8월 업무 위탁 수수료 - J콜센터</t>
        </is>
      </c>
      <c r="J4376" s="92" t="inlineStr">
        <is>
          <t>V10016</t>
        </is>
      </c>
      <c r="K4376" s="92" t="inlineStr">
        <is>
          <t>J콜센터</t>
        </is>
      </c>
      <c r="M4376" s="9">
        <f>IF($A4376="","",VALUE($A4376&amp;"")*12+VALUE($B4376&amp;""))</f>
        <v/>
      </c>
      <c r="N4376" s="64">
        <f>IF($A4376="","",IFERROR(INDEX(부서매핑!$C$5:$C$504,MATCH($G4376&amp;"",부서매핑!$A$5:$A$504,0)),"미매핑"))</f>
        <v/>
      </c>
      <c r="O4376" s="9">
        <f>IF($A4376="","",N4376&amp;"|"&amp;$F4376)</f>
        <v/>
      </c>
      <c r="P4376" s="94">
        <f>IF($A4376="",0,$H4376*설정!$C$23)</f>
        <v/>
      </c>
      <c r="Q4376" s="64">
        <f>IF($A4376="","",IF(O4376&lt;&gt;원인분석!$C$9,"",IF(AND(M4376&gt;=원인분석!$C$10,M4376&lt;=원인분석!$C$11),"당기",IF(AND(M4376&gt;=원인분석!$C$12,M4376&lt;=원인분석!$C$13),"비교",""))))</f>
        <v/>
      </c>
      <c r="R4376" s="9">
        <f>IF(Q4376="","",$K4376&amp;"")</f>
        <v/>
      </c>
      <c r="S4376" s="9">
        <f>IF(Q4376="","",IF(MATCH(R4376,$R$5:$R$100000,0)=ROW()-4,ROW(),""))</f>
        <v/>
      </c>
      <c r="T4376" s="9">
        <f>IF(Q4376="당기",ABS(P4376)+ROW()/1000000000,"")</f>
        <v/>
      </c>
      <c r="U4376" s="9">
        <f>IF(Q4376="비교",ABS(P4376)+ROW()/1000000000,"")</f>
        <v/>
      </c>
      <c r="V4376" s="64">
        <f>IF($A4376="","",IF(COUNTIF(변동분석!$E$7:$E$506,O4376)&gt;0,"Y","N"))</f>
        <v/>
      </c>
      <c r="W4376" s="64">
        <f>IF($A4376="","",IFERROR(INDEX(계정매핑!$D$5:$D$504,MATCH($F4376&amp;"",계정매핑!$A$5:$A$504,0)),"미매핑"))</f>
        <v/>
      </c>
      <c r="X4376" s="9">
        <f>IF($A4376="","",$F4376&amp;"")</f>
        <v/>
      </c>
      <c r="Y4376" s="94">
        <f>IF($A4376="",0,IF(AE4376="직접",IF(AF4376="비귀속",$P4376,0),$P4376*(1-AG4376)*IFERROR(INDEX(계정대체기준!$F$20:$F$49,MATCH($N4376,계정대체기준!$A$20:$A$49,0)),1)))</f>
        <v/>
      </c>
      <c r="Z4376" s="94">
        <f>IF($A4376="",0,IF(AE4376="직접",IF(AF4376="신계약비",$P4376,0),$P4376*(1-AG4376)*IFERROR(INDEX(계정대체기준!$C$20:$C$49,MATCH($N4376,계정대체기준!$A$20:$A$49,0)),0)))</f>
        <v/>
      </c>
      <c r="AA4376" s="94">
        <f>IF($A4376="",0,IF(AE4376="직접",IF(OR(AF4376="유지비",AF4376="손해조사비"),$P4376,0),$P4376*(1-AG4376)*IFERROR(INDEX(계정대체기준!$D$20:$D$49,MATCH($N4376,계정대체기준!$A$20:$A$49,0)),0)))</f>
        <v/>
      </c>
      <c r="AB4376" s="94">
        <f>IF($A4376="",0,IF(AE4376="직접",IF(AF4376="수금비",$P4376,0),$P4376*(1-AG4376)*IFERROR(INDEX(계정대체기준!$E$20:$E$49,MATCH($N4376,계정대체기준!$A$20:$A$49,0)),0)))</f>
        <v/>
      </c>
      <c r="AC4376" s="9">
        <f>IF(AND($A4376&lt;&gt;"",M4376=설정!$C$20,Z4376&gt;0),Z4376+ROW()/1000000000,"")</f>
        <v/>
      </c>
      <c r="AD4376" s="94">
        <f>IF($A4376="",0,$P4376*AG4376)</f>
        <v/>
      </c>
      <c r="AE4376" s="64">
        <f>IF($A4376="","",IFERROR(INDEX(계정매핑!$E$5:$E$504,MATCH($F4376&amp;"",계정매핑!$A$5:$A$504,0))&amp;"","공통비"))</f>
        <v/>
      </c>
      <c r="AF4376" s="64">
        <f>IF($A4376="","",IF(AE4376="직접",IFERROR(INDEX(계정매핑!$F$5:$F$504,MATCH($F4376&amp;"",계정매핑!$A$5:$A$504,0))&amp;"","비귀속"),""))</f>
        <v/>
      </c>
      <c r="AG4376" s="96">
        <f>IF($A4376="",0,IF(AND(AE4376&lt;&gt;"직접",IFERROR(INDEX(계정매핑!$G$5:$G$504,MATCH($F4376&amp;"",계정매핑!$A$5:$A$504,0))&amp;"","")="유지비",COUNTIF(계정대체기준!$A$6:$A$15,$N4376)&gt;0),IFERROR(INDEX(계정대체기준!$E$6:$E$15,MATCH(VALUE($A4376&amp;""),계정대체기준!$D$6:$D$15,0)),0),0))</f>
        <v/>
      </c>
      <c r="AH4376" s="64">
        <f>IF($A4376="","",IF(AD4376=0,"",IF(OR(COUNTIF(계정대체기준!$A$77:$A$86,$N4376)&gt;0,ISNUMBER(MATCH($X4376,계정대체기준!$D$77:$D$86,0)),ISNUMBER(MATCH($F4376,계정대체기준!$D$77:$D$86,0))),"Y","N")))</f>
        <v/>
      </c>
    </row>
    <row r="4377">
      <c r="A4377" s="92" t="n">
        <v>2026</v>
      </c>
      <c r="B4377" s="92" t="n">
        <v>8</v>
      </c>
      <c r="C4377" s="92" t="inlineStr">
        <is>
          <t>5100001655</t>
        </is>
      </c>
      <c r="D4377" s="95" t="n">
        <v>46242</v>
      </c>
      <c r="E4377" s="92" t="inlineStr">
        <is>
          <t>KR</t>
        </is>
      </c>
      <c r="F4377" s="92" t="n">
        <v>62101000</v>
      </c>
      <c r="G4377" s="92" t="n">
        <v>1401</v>
      </c>
      <c r="H4377" s="93" t="n">
        <v>246000</v>
      </c>
      <c r="I4377" s="92" t="inlineStr">
        <is>
          <t>8월 국내출장 - L여행사</t>
        </is>
      </c>
      <c r="J4377" s="92" t="inlineStr">
        <is>
          <t>V10018</t>
        </is>
      </c>
      <c r="K4377" s="92" t="inlineStr">
        <is>
          <t>L여행사</t>
        </is>
      </c>
      <c r="M4377" s="9">
        <f>IF($A4377="","",VALUE($A4377&amp;"")*12+VALUE($B4377&amp;""))</f>
        <v/>
      </c>
      <c r="N4377" s="64">
        <f>IF($A4377="","",IFERROR(INDEX(부서매핑!$C$5:$C$504,MATCH($G4377&amp;"",부서매핑!$A$5:$A$504,0)),"미매핑"))</f>
        <v/>
      </c>
      <c r="O4377" s="9">
        <f>IF($A4377="","",N4377&amp;"|"&amp;$F4377)</f>
        <v/>
      </c>
      <c r="P4377" s="94">
        <f>IF($A4377="",0,$H4377*설정!$C$23)</f>
        <v/>
      </c>
      <c r="Q4377" s="64">
        <f>IF($A4377="","",IF(O4377&lt;&gt;원인분석!$C$9,"",IF(AND(M4377&gt;=원인분석!$C$10,M4377&lt;=원인분석!$C$11),"당기",IF(AND(M4377&gt;=원인분석!$C$12,M4377&lt;=원인분석!$C$13),"비교",""))))</f>
        <v/>
      </c>
      <c r="R4377" s="9">
        <f>IF(Q4377="","",$K4377&amp;"")</f>
        <v/>
      </c>
      <c r="S4377" s="9">
        <f>IF(Q4377="","",IF(MATCH(R4377,$R$5:$R$100000,0)=ROW()-4,ROW(),""))</f>
        <v/>
      </c>
      <c r="T4377" s="9">
        <f>IF(Q4377="당기",ABS(P4377)+ROW()/1000000000,"")</f>
        <v/>
      </c>
      <c r="U4377" s="9">
        <f>IF(Q4377="비교",ABS(P4377)+ROW()/1000000000,"")</f>
        <v/>
      </c>
      <c r="V4377" s="64">
        <f>IF($A4377="","",IF(COUNTIF(변동분석!$E$7:$E$506,O4377)&gt;0,"Y","N"))</f>
        <v/>
      </c>
      <c r="W4377" s="64">
        <f>IF($A4377="","",IFERROR(INDEX(계정매핑!$D$5:$D$504,MATCH($F4377&amp;"",계정매핑!$A$5:$A$504,0)),"미매핑"))</f>
        <v/>
      </c>
      <c r="X4377" s="9">
        <f>IF($A4377="","",$F4377&amp;"")</f>
        <v/>
      </c>
      <c r="Y4377" s="94">
        <f>IF($A4377="",0,IF(AE4377="직접",IF(AF4377="비귀속",$P4377,0),$P4377*(1-AG4377)*IFERROR(INDEX(계정대체기준!$F$20:$F$49,MATCH($N4377,계정대체기준!$A$20:$A$49,0)),1)))</f>
        <v/>
      </c>
      <c r="Z4377" s="94">
        <f>IF($A4377="",0,IF(AE4377="직접",IF(AF4377="신계약비",$P4377,0),$P4377*(1-AG4377)*IFERROR(INDEX(계정대체기준!$C$20:$C$49,MATCH($N4377,계정대체기준!$A$20:$A$49,0)),0)))</f>
        <v/>
      </c>
      <c r="AA4377" s="94">
        <f>IF($A4377="",0,IF(AE4377="직접",IF(OR(AF4377="유지비",AF4377="손해조사비"),$P4377,0),$P4377*(1-AG4377)*IFERROR(INDEX(계정대체기준!$D$20:$D$49,MATCH($N4377,계정대체기준!$A$20:$A$49,0)),0)))</f>
        <v/>
      </c>
      <c r="AB4377" s="94">
        <f>IF($A4377="",0,IF(AE4377="직접",IF(AF4377="수금비",$P4377,0),$P4377*(1-AG4377)*IFERROR(INDEX(계정대체기준!$E$20:$E$49,MATCH($N4377,계정대체기준!$A$20:$A$49,0)),0)))</f>
        <v/>
      </c>
      <c r="AC4377" s="9">
        <f>IF(AND($A4377&lt;&gt;"",M4377=설정!$C$20,Z4377&gt;0),Z4377+ROW()/1000000000,"")</f>
        <v/>
      </c>
      <c r="AD4377" s="94">
        <f>IF($A4377="",0,$P4377*AG4377)</f>
        <v/>
      </c>
      <c r="AE4377" s="64">
        <f>IF($A4377="","",IFERROR(INDEX(계정매핑!$E$5:$E$504,MATCH($F4377&amp;"",계정매핑!$A$5:$A$504,0))&amp;"","공통비"))</f>
        <v/>
      </c>
      <c r="AF4377" s="64">
        <f>IF($A4377="","",IF(AE4377="직접",IFERROR(INDEX(계정매핑!$F$5:$F$504,MATCH($F4377&amp;"",계정매핑!$A$5:$A$504,0))&amp;"","비귀속"),""))</f>
        <v/>
      </c>
      <c r="AG4377" s="96">
        <f>IF($A4377="",0,IF(AND(AE4377&lt;&gt;"직접",IFERROR(INDEX(계정매핑!$G$5:$G$504,MATCH($F4377&amp;"",계정매핑!$A$5:$A$504,0))&amp;"","")="유지비",COUNTIF(계정대체기준!$A$6:$A$15,$N4377)&gt;0),IFERROR(INDEX(계정대체기준!$E$6:$E$15,MATCH(VALUE($A4377&amp;""),계정대체기준!$D$6:$D$15,0)),0),0))</f>
        <v/>
      </c>
      <c r="AH4377" s="64">
        <f>IF($A4377="","",IF(AD4377=0,"",IF(OR(COUNTIF(계정대체기준!$A$77:$A$86,$N4377)&gt;0,ISNUMBER(MATCH($X4377,계정대체기준!$D$77:$D$86,0)),ISNUMBER(MATCH($F4377,계정대체기준!$D$77:$D$86,0))),"Y","N")))</f>
        <v/>
      </c>
    </row>
    <row r="4378">
      <c r="A4378" s="92" t="n">
        <v>2026</v>
      </c>
      <c r="B4378" s="92" t="n">
        <v>8</v>
      </c>
      <c r="C4378" s="92" t="inlineStr">
        <is>
          <t>5100001656</t>
        </is>
      </c>
      <c r="D4378" s="95" t="n">
        <v>46242</v>
      </c>
      <c r="E4378" s="92" t="inlineStr">
        <is>
          <t>KR</t>
        </is>
      </c>
      <c r="F4378" s="92" t="n">
        <v>62102000</v>
      </c>
      <c r="G4378" s="92" t="n">
        <v>1501</v>
      </c>
      <c r="H4378" s="93" t="n">
        <v>115000</v>
      </c>
      <c r="I4378" s="92" t="inlineStr">
        <is>
          <t>8월 해외출장 - M항공</t>
        </is>
      </c>
      <c r="J4378" s="92" t="inlineStr">
        <is>
          <t>V10001</t>
        </is>
      </c>
      <c r="K4378" s="92" t="inlineStr">
        <is>
          <t>M항공</t>
        </is>
      </c>
      <c r="M4378" s="9">
        <f>IF($A4378="","",VALUE($A4378&amp;"")*12+VALUE($B4378&amp;""))</f>
        <v/>
      </c>
      <c r="N4378" s="64">
        <f>IF($A4378="","",IFERROR(INDEX(부서매핑!$C$5:$C$504,MATCH($G4378&amp;"",부서매핑!$A$5:$A$504,0)),"미매핑"))</f>
        <v/>
      </c>
      <c r="O4378" s="9">
        <f>IF($A4378="","",N4378&amp;"|"&amp;$F4378)</f>
        <v/>
      </c>
      <c r="P4378" s="94">
        <f>IF($A4378="",0,$H4378*설정!$C$23)</f>
        <v/>
      </c>
      <c r="Q4378" s="64">
        <f>IF($A4378="","",IF(O4378&lt;&gt;원인분석!$C$9,"",IF(AND(M4378&gt;=원인분석!$C$10,M4378&lt;=원인분석!$C$11),"당기",IF(AND(M4378&gt;=원인분석!$C$12,M4378&lt;=원인분석!$C$13),"비교",""))))</f>
        <v/>
      </c>
      <c r="R4378" s="9">
        <f>IF(Q4378="","",$K4378&amp;"")</f>
        <v/>
      </c>
      <c r="S4378" s="9">
        <f>IF(Q4378="","",IF(MATCH(R4378,$R$5:$R$100000,0)=ROW()-4,ROW(),""))</f>
        <v/>
      </c>
      <c r="T4378" s="9">
        <f>IF(Q4378="당기",ABS(P4378)+ROW()/1000000000,"")</f>
        <v/>
      </c>
      <c r="U4378" s="9">
        <f>IF(Q4378="비교",ABS(P4378)+ROW()/1000000000,"")</f>
        <v/>
      </c>
      <c r="V4378" s="64">
        <f>IF($A4378="","",IF(COUNTIF(변동분석!$E$7:$E$506,O4378)&gt;0,"Y","N"))</f>
        <v/>
      </c>
      <c r="W4378" s="64">
        <f>IF($A4378="","",IFERROR(INDEX(계정매핑!$D$5:$D$504,MATCH($F4378&amp;"",계정매핑!$A$5:$A$504,0)),"미매핑"))</f>
        <v/>
      </c>
      <c r="X4378" s="9">
        <f>IF($A4378="","",$F4378&amp;"")</f>
        <v/>
      </c>
      <c r="Y4378" s="94">
        <f>IF($A4378="",0,IF(AE4378="직접",IF(AF4378="비귀속",$P4378,0),$P4378*(1-AG4378)*IFERROR(INDEX(계정대체기준!$F$20:$F$49,MATCH($N4378,계정대체기준!$A$20:$A$49,0)),1)))</f>
        <v/>
      </c>
      <c r="Z4378" s="94">
        <f>IF($A4378="",0,IF(AE4378="직접",IF(AF4378="신계약비",$P4378,0),$P4378*(1-AG4378)*IFERROR(INDEX(계정대체기준!$C$20:$C$49,MATCH($N4378,계정대체기준!$A$20:$A$49,0)),0)))</f>
        <v/>
      </c>
      <c r="AA4378" s="94">
        <f>IF($A4378="",0,IF(AE4378="직접",IF(OR(AF4378="유지비",AF4378="손해조사비"),$P4378,0),$P4378*(1-AG4378)*IFERROR(INDEX(계정대체기준!$D$20:$D$49,MATCH($N4378,계정대체기준!$A$20:$A$49,0)),0)))</f>
        <v/>
      </c>
      <c r="AB4378" s="94">
        <f>IF($A4378="",0,IF(AE4378="직접",IF(AF4378="수금비",$P4378,0),$P4378*(1-AG4378)*IFERROR(INDEX(계정대체기준!$E$20:$E$49,MATCH($N4378,계정대체기준!$A$20:$A$49,0)),0)))</f>
        <v/>
      </c>
      <c r="AC4378" s="9">
        <f>IF(AND($A4378&lt;&gt;"",M4378=설정!$C$20,Z4378&gt;0),Z4378+ROW()/1000000000,"")</f>
        <v/>
      </c>
      <c r="AD4378" s="94">
        <f>IF($A4378="",0,$P4378*AG4378)</f>
        <v/>
      </c>
      <c r="AE4378" s="64">
        <f>IF($A4378="","",IFERROR(INDEX(계정매핑!$E$5:$E$504,MATCH($F4378&amp;"",계정매핑!$A$5:$A$504,0))&amp;"","공통비"))</f>
        <v/>
      </c>
      <c r="AF4378" s="64">
        <f>IF($A4378="","",IF(AE4378="직접",IFERROR(INDEX(계정매핑!$F$5:$F$504,MATCH($F4378&amp;"",계정매핑!$A$5:$A$504,0))&amp;"","비귀속"),""))</f>
        <v/>
      </c>
      <c r="AG4378" s="96">
        <f>IF($A4378="",0,IF(AND(AE4378&lt;&gt;"직접",IFERROR(INDEX(계정매핑!$G$5:$G$504,MATCH($F4378&amp;"",계정매핑!$A$5:$A$504,0))&amp;"","")="유지비",COUNTIF(계정대체기준!$A$6:$A$15,$N4378)&gt;0),IFERROR(INDEX(계정대체기준!$E$6:$E$15,MATCH(VALUE($A4378&amp;""),계정대체기준!$D$6:$D$15,0)),0),0))</f>
        <v/>
      </c>
      <c r="AH4378" s="64">
        <f>IF($A4378="","",IF(AD4378=0,"",IF(OR(COUNTIF(계정대체기준!$A$77:$A$86,$N4378)&gt;0,ISNUMBER(MATCH($X4378,계정대체기준!$D$77:$D$86,0)),ISNUMBER(MATCH($F4378,계정대체기준!$D$77:$D$86,0))),"Y","N")))</f>
        <v/>
      </c>
    </row>
    <row r="4379">
      <c r="A4379" s="92" t="n">
        <v>2026</v>
      </c>
      <c r="B4379" s="92" t="n">
        <v>8</v>
      </c>
      <c r="C4379" s="92" t="inlineStr">
        <is>
          <t>5100001657</t>
        </is>
      </c>
      <c r="D4379" s="95" t="n">
        <v>46242</v>
      </c>
      <c r="E4379" s="92" t="inlineStr">
        <is>
          <t>KR</t>
        </is>
      </c>
      <c r="F4379" s="92" t="n">
        <v>62102000</v>
      </c>
      <c r="G4379" s="92" t="n">
        <v>1801</v>
      </c>
      <c r="H4379" s="93" t="n">
        <v>39000</v>
      </c>
      <c r="I4379" s="92" t="inlineStr">
        <is>
          <t>8월 해외출장 - M항공</t>
        </is>
      </c>
      <c r="J4379" s="92" t="inlineStr">
        <is>
          <t>V10001</t>
        </is>
      </c>
      <c r="K4379" s="92" t="inlineStr">
        <is>
          <t>M항공</t>
        </is>
      </c>
      <c r="M4379" s="9">
        <f>IF($A4379="","",VALUE($A4379&amp;"")*12+VALUE($B4379&amp;""))</f>
        <v/>
      </c>
      <c r="N4379" s="64">
        <f>IF($A4379="","",IFERROR(INDEX(부서매핑!$C$5:$C$504,MATCH($G4379&amp;"",부서매핑!$A$5:$A$504,0)),"미매핑"))</f>
        <v/>
      </c>
      <c r="O4379" s="9">
        <f>IF($A4379="","",N4379&amp;"|"&amp;$F4379)</f>
        <v/>
      </c>
      <c r="P4379" s="94">
        <f>IF($A4379="",0,$H4379*설정!$C$23)</f>
        <v/>
      </c>
      <c r="Q4379" s="64">
        <f>IF($A4379="","",IF(O4379&lt;&gt;원인분석!$C$9,"",IF(AND(M4379&gt;=원인분석!$C$10,M4379&lt;=원인분석!$C$11),"당기",IF(AND(M4379&gt;=원인분석!$C$12,M4379&lt;=원인분석!$C$13),"비교",""))))</f>
        <v/>
      </c>
      <c r="R4379" s="9">
        <f>IF(Q4379="","",$K4379&amp;"")</f>
        <v/>
      </c>
      <c r="S4379" s="9">
        <f>IF(Q4379="","",IF(MATCH(R4379,$R$5:$R$100000,0)=ROW()-4,ROW(),""))</f>
        <v/>
      </c>
      <c r="T4379" s="9">
        <f>IF(Q4379="당기",ABS(P4379)+ROW()/1000000000,"")</f>
        <v/>
      </c>
      <c r="U4379" s="9">
        <f>IF(Q4379="비교",ABS(P4379)+ROW()/1000000000,"")</f>
        <v/>
      </c>
      <c r="V4379" s="64">
        <f>IF($A4379="","",IF(COUNTIF(변동분석!$E$7:$E$506,O4379)&gt;0,"Y","N"))</f>
        <v/>
      </c>
      <c r="W4379" s="64">
        <f>IF($A4379="","",IFERROR(INDEX(계정매핑!$D$5:$D$504,MATCH($F4379&amp;"",계정매핑!$A$5:$A$504,0)),"미매핑"))</f>
        <v/>
      </c>
      <c r="X4379" s="9">
        <f>IF($A4379="","",$F4379&amp;"")</f>
        <v/>
      </c>
      <c r="Y4379" s="94">
        <f>IF($A4379="",0,IF(AE4379="직접",IF(AF4379="비귀속",$P4379,0),$P4379*(1-AG4379)*IFERROR(INDEX(계정대체기준!$F$20:$F$49,MATCH($N4379,계정대체기준!$A$20:$A$49,0)),1)))</f>
        <v/>
      </c>
      <c r="Z4379" s="94">
        <f>IF($A4379="",0,IF(AE4379="직접",IF(AF4379="신계약비",$P4379,0),$P4379*(1-AG4379)*IFERROR(INDEX(계정대체기준!$C$20:$C$49,MATCH($N4379,계정대체기준!$A$20:$A$49,0)),0)))</f>
        <v/>
      </c>
      <c r="AA4379" s="94">
        <f>IF($A4379="",0,IF(AE4379="직접",IF(OR(AF4379="유지비",AF4379="손해조사비"),$P4379,0),$P4379*(1-AG4379)*IFERROR(INDEX(계정대체기준!$D$20:$D$49,MATCH($N4379,계정대체기준!$A$20:$A$49,0)),0)))</f>
        <v/>
      </c>
      <c r="AB4379" s="94">
        <f>IF($A4379="",0,IF(AE4379="직접",IF(AF4379="수금비",$P4379,0),$P4379*(1-AG4379)*IFERROR(INDEX(계정대체기준!$E$20:$E$49,MATCH($N4379,계정대체기준!$A$20:$A$49,0)),0)))</f>
        <v/>
      </c>
      <c r="AC4379" s="9">
        <f>IF(AND($A4379&lt;&gt;"",M4379=설정!$C$20,Z4379&gt;0),Z4379+ROW()/1000000000,"")</f>
        <v/>
      </c>
      <c r="AD4379" s="94">
        <f>IF($A4379="",0,$P4379*AG4379)</f>
        <v/>
      </c>
      <c r="AE4379" s="64">
        <f>IF($A4379="","",IFERROR(INDEX(계정매핑!$E$5:$E$504,MATCH($F4379&amp;"",계정매핑!$A$5:$A$504,0))&amp;"","공통비"))</f>
        <v/>
      </c>
      <c r="AF4379" s="64">
        <f>IF($A4379="","",IF(AE4379="직접",IFERROR(INDEX(계정매핑!$F$5:$F$504,MATCH($F4379&amp;"",계정매핑!$A$5:$A$504,0))&amp;"","비귀속"),""))</f>
        <v/>
      </c>
      <c r="AG4379" s="96">
        <f>IF($A4379="",0,IF(AND(AE4379&lt;&gt;"직접",IFERROR(INDEX(계정매핑!$G$5:$G$504,MATCH($F4379&amp;"",계정매핑!$A$5:$A$504,0))&amp;"","")="유지비",COUNTIF(계정대체기준!$A$6:$A$15,$N4379)&gt;0),IFERROR(INDEX(계정대체기준!$E$6:$E$15,MATCH(VALUE($A4379&amp;""),계정대체기준!$D$6:$D$15,0)),0),0))</f>
        <v/>
      </c>
      <c r="AH4379" s="64">
        <f>IF($A4379="","",IF(AD4379=0,"",IF(OR(COUNTIF(계정대체기준!$A$77:$A$86,$N4379)&gt;0,ISNUMBER(MATCH($X4379,계정대체기준!$D$77:$D$86,0)),ISNUMBER(MATCH($F4379,계정대체기준!$D$77:$D$86,0))),"Y","N")))</f>
        <v/>
      </c>
    </row>
    <row r="4380">
      <c r="A4380" s="92" t="n">
        <v>2026</v>
      </c>
      <c r="B4380" s="92" t="n">
        <v>8</v>
      </c>
      <c r="C4380" s="92" t="inlineStr">
        <is>
          <t>5100001658</t>
        </is>
      </c>
      <c r="D4380" s="95" t="n">
        <v>46242</v>
      </c>
      <c r="E4380" s="92" t="inlineStr">
        <is>
          <t>KR</t>
        </is>
      </c>
      <c r="F4380" s="92" t="n">
        <v>62201000</v>
      </c>
      <c r="G4380" s="92" t="n">
        <v>1951</v>
      </c>
      <c r="H4380" s="93" t="n">
        <v>309000</v>
      </c>
      <c r="I4380" s="92" t="inlineStr">
        <is>
          <t>8월 통신요금 - P통신</t>
        </is>
      </c>
      <c r="J4380" s="92" t="inlineStr">
        <is>
          <t>V10014</t>
        </is>
      </c>
      <c r="K4380" s="92" t="inlineStr">
        <is>
          <t>P통신</t>
        </is>
      </c>
      <c r="M4380" s="9">
        <f>IF($A4380="","",VALUE($A4380&amp;"")*12+VALUE($B4380&amp;""))</f>
        <v/>
      </c>
      <c r="N4380" s="64">
        <f>IF($A4380="","",IFERROR(INDEX(부서매핑!$C$5:$C$504,MATCH($G4380&amp;"",부서매핑!$A$5:$A$504,0)),"미매핑"))</f>
        <v/>
      </c>
      <c r="O4380" s="9">
        <f>IF($A4380="","",N4380&amp;"|"&amp;$F4380)</f>
        <v/>
      </c>
      <c r="P4380" s="94">
        <f>IF($A4380="",0,$H4380*설정!$C$23)</f>
        <v/>
      </c>
      <c r="Q4380" s="64">
        <f>IF($A4380="","",IF(O4380&lt;&gt;원인분석!$C$9,"",IF(AND(M4380&gt;=원인분석!$C$10,M4380&lt;=원인분석!$C$11),"당기",IF(AND(M4380&gt;=원인분석!$C$12,M4380&lt;=원인분석!$C$13),"비교",""))))</f>
        <v/>
      </c>
      <c r="R4380" s="9">
        <f>IF(Q4380="","",$K4380&amp;"")</f>
        <v/>
      </c>
      <c r="S4380" s="9">
        <f>IF(Q4380="","",IF(MATCH(R4380,$R$5:$R$100000,0)=ROW()-4,ROW(),""))</f>
        <v/>
      </c>
      <c r="T4380" s="9">
        <f>IF(Q4380="당기",ABS(P4380)+ROW()/1000000000,"")</f>
        <v/>
      </c>
      <c r="U4380" s="9">
        <f>IF(Q4380="비교",ABS(P4380)+ROW()/1000000000,"")</f>
        <v/>
      </c>
      <c r="V4380" s="64">
        <f>IF($A4380="","",IF(COUNTIF(변동분석!$E$7:$E$506,O4380)&gt;0,"Y","N"))</f>
        <v/>
      </c>
      <c r="W4380" s="64">
        <f>IF($A4380="","",IFERROR(INDEX(계정매핑!$D$5:$D$504,MATCH($F4380&amp;"",계정매핑!$A$5:$A$504,0)),"미매핑"))</f>
        <v/>
      </c>
      <c r="X4380" s="9">
        <f>IF($A4380="","",$F4380&amp;"")</f>
        <v/>
      </c>
      <c r="Y4380" s="94">
        <f>IF($A4380="",0,IF(AE4380="직접",IF(AF4380="비귀속",$P4380,0),$P4380*(1-AG4380)*IFERROR(INDEX(계정대체기준!$F$20:$F$49,MATCH($N4380,계정대체기준!$A$20:$A$49,0)),1)))</f>
        <v/>
      </c>
      <c r="Z4380" s="94">
        <f>IF($A4380="",0,IF(AE4380="직접",IF(AF4380="신계약비",$P4380,0),$P4380*(1-AG4380)*IFERROR(INDEX(계정대체기준!$C$20:$C$49,MATCH($N4380,계정대체기준!$A$20:$A$49,0)),0)))</f>
        <v/>
      </c>
      <c r="AA4380" s="94">
        <f>IF($A4380="",0,IF(AE4380="직접",IF(OR(AF4380="유지비",AF4380="손해조사비"),$P4380,0),$P4380*(1-AG4380)*IFERROR(INDEX(계정대체기준!$D$20:$D$49,MATCH($N4380,계정대체기준!$A$20:$A$49,0)),0)))</f>
        <v/>
      </c>
      <c r="AB4380" s="94">
        <f>IF($A4380="",0,IF(AE4380="직접",IF(AF4380="수금비",$P4380,0),$P4380*(1-AG4380)*IFERROR(INDEX(계정대체기준!$E$20:$E$49,MATCH($N4380,계정대체기준!$A$20:$A$49,0)),0)))</f>
        <v/>
      </c>
      <c r="AC4380" s="9">
        <f>IF(AND($A4380&lt;&gt;"",M4380=설정!$C$20,Z4380&gt;0),Z4380+ROW()/1000000000,"")</f>
        <v/>
      </c>
      <c r="AD4380" s="94">
        <f>IF($A4380="",0,$P4380*AG4380)</f>
        <v/>
      </c>
      <c r="AE4380" s="64">
        <f>IF($A4380="","",IFERROR(INDEX(계정매핑!$E$5:$E$504,MATCH($F4380&amp;"",계정매핑!$A$5:$A$504,0))&amp;"","공통비"))</f>
        <v/>
      </c>
      <c r="AF4380" s="64">
        <f>IF($A4380="","",IF(AE4380="직접",IFERROR(INDEX(계정매핑!$F$5:$F$504,MATCH($F4380&amp;"",계정매핑!$A$5:$A$504,0))&amp;"","비귀속"),""))</f>
        <v/>
      </c>
      <c r="AG4380" s="96">
        <f>IF($A4380="",0,IF(AND(AE4380&lt;&gt;"직접",IFERROR(INDEX(계정매핑!$G$5:$G$504,MATCH($F4380&amp;"",계정매핑!$A$5:$A$504,0))&amp;"","")="유지비",COUNTIF(계정대체기준!$A$6:$A$15,$N4380)&gt;0),IFERROR(INDEX(계정대체기준!$E$6:$E$15,MATCH(VALUE($A4380&amp;""),계정대체기준!$D$6:$D$15,0)),0),0))</f>
        <v/>
      </c>
      <c r="AH4380" s="64">
        <f>IF($A4380="","",IF(AD4380=0,"",IF(OR(COUNTIF(계정대체기준!$A$77:$A$86,$N4380)&gt;0,ISNUMBER(MATCH($X4380,계정대체기준!$D$77:$D$86,0)),ISNUMBER(MATCH($F4380,계정대체기준!$D$77:$D$86,0))),"Y","N")))</f>
        <v/>
      </c>
    </row>
    <row r="4381">
      <c r="A4381" s="92" t="n">
        <v>2026</v>
      </c>
      <c r="B4381" s="92" t="n">
        <v>8</v>
      </c>
      <c r="C4381" s="92" t="inlineStr">
        <is>
          <t>5100001659</t>
        </is>
      </c>
      <c r="D4381" s="95" t="n">
        <v>46242</v>
      </c>
      <c r="E4381" s="92" t="inlineStr">
        <is>
          <t>KR</t>
        </is>
      </c>
      <c r="F4381" s="92" t="n">
        <v>62501000</v>
      </c>
      <c r="G4381" s="92" t="n">
        <v>1201</v>
      </c>
      <c r="H4381" s="93" t="n">
        <v>159000</v>
      </c>
      <c r="I4381" s="92" t="inlineStr">
        <is>
          <t>8월 회의 다과 - (법인카드)</t>
        </is>
      </c>
      <c r="J4381" s="92" t="inlineStr">
        <is>
          <t>V10010</t>
        </is>
      </c>
      <c r="K4381" s="92" t="inlineStr">
        <is>
          <t>(법인카드)</t>
        </is>
      </c>
      <c r="M4381" s="9">
        <f>IF($A4381="","",VALUE($A4381&amp;"")*12+VALUE($B4381&amp;""))</f>
        <v/>
      </c>
      <c r="N4381" s="64">
        <f>IF($A4381="","",IFERROR(INDEX(부서매핑!$C$5:$C$504,MATCH($G4381&amp;"",부서매핑!$A$5:$A$504,0)),"미매핑"))</f>
        <v/>
      </c>
      <c r="O4381" s="9">
        <f>IF($A4381="","",N4381&amp;"|"&amp;$F4381)</f>
        <v/>
      </c>
      <c r="P4381" s="94">
        <f>IF($A4381="",0,$H4381*설정!$C$23)</f>
        <v/>
      </c>
      <c r="Q4381" s="64">
        <f>IF($A4381="","",IF(O4381&lt;&gt;원인분석!$C$9,"",IF(AND(M4381&gt;=원인분석!$C$10,M4381&lt;=원인분석!$C$11),"당기",IF(AND(M4381&gt;=원인분석!$C$12,M4381&lt;=원인분석!$C$13),"비교",""))))</f>
        <v/>
      </c>
      <c r="R4381" s="9">
        <f>IF(Q4381="","",$K4381&amp;"")</f>
        <v/>
      </c>
      <c r="S4381" s="9">
        <f>IF(Q4381="","",IF(MATCH(R4381,$R$5:$R$100000,0)=ROW()-4,ROW(),""))</f>
        <v/>
      </c>
      <c r="T4381" s="9">
        <f>IF(Q4381="당기",ABS(P4381)+ROW()/1000000000,"")</f>
        <v/>
      </c>
      <c r="U4381" s="9">
        <f>IF(Q4381="비교",ABS(P4381)+ROW()/1000000000,"")</f>
        <v/>
      </c>
      <c r="V4381" s="64">
        <f>IF($A4381="","",IF(COUNTIF(변동분석!$E$7:$E$506,O4381)&gt;0,"Y","N"))</f>
        <v/>
      </c>
      <c r="W4381" s="64">
        <f>IF($A4381="","",IFERROR(INDEX(계정매핑!$D$5:$D$504,MATCH($F4381&amp;"",계정매핑!$A$5:$A$504,0)),"미매핑"))</f>
        <v/>
      </c>
      <c r="X4381" s="9">
        <f>IF($A4381="","",$F4381&amp;"")</f>
        <v/>
      </c>
      <c r="Y4381" s="94">
        <f>IF($A4381="",0,IF(AE4381="직접",IF(AF4381="비귀속",$P4381,0),$P4381*(1-AG4381)*IFERROR(INDEX(계정대체기준!$F$20:$F$49,MATCH($N4381,계정대체기준!$A$20:$A$49,0)),1)))</f>
        <v/>
      </c>
      <c r="Z4381" s="94">
        <f>IF($A4381="",0,IF(AE4381="직접",IF(AF4381="신계약비",$P4381,0),$P4381*(1-AG4381)*IFERROR(INDEX(계정대체기준!$C$20:$C$49,MATCH($N4381,계정대체기준!$A$20:$A$49,0)),0)))</f>
        <v/>
      </c>
      <c r="AA4381" s="94">
        <f>IF($A4381="",0,IF(AE4381="직접",IF(OR(AF4381="유지비",AF4381="손해조사비"),$P4381,0),$P4381*(1-AG4381)*IFERROR(INDEX(계정대체기준!$D$20:$D$49,MATCH($N4381,계정대체기준!$A$20:$A$49,0)),0)))</f>
        <v/>
      </c>
      <c r="AB4381" s="94">
        <f>IF($A4381="",0,IF(AE4381="직접",IF(AF4381="수금비",$P4381,0),$P4381*(1-AG4381)*IFERROR(INDEX(계정대체기준!$E$20:$E$49,MATCH($N4381,계정대체기준!$A$20:$A$49,0)),0)))</f>
        <v/>
      </c>
      <c r="AC4381" s="9">
        <f>IF(AND($A4381&lt;&gt;"",M4381=설정!$C$20,Z4381&gt;0),Z4381+ROW()/1000000000,"")</f>
        <v/>
      </c>
      <c r="AD4381" s="94">
        <f>IF($A4381="",0,$P4381*AG4381)</f>
        <v/>
      </c>
      <c r="AE4381" s="64">
        <f>IF($A4381="","",IFERROR(INDEX(계정매핑!$E$5:$E$504,MATCH($F4381&amp;"",계정매핑!$A$5:$A$504,0))&amp;"","공통비"))</f>
        <v/>
      </c>
      <c r="AF4381" s="64">
        <f>IF($A4381="","",IF(AE4381="직접",IFERROR(INDEX(계정매핑!$F$5:$F$504,MATCH($F4381&amp;"",계정매핑!$A$5:$A$504,0))&amp;"","비귀속"),""))</f>
        <v/>
      </c>
      <c r="AG4381" s="96">
        <f>IF($A4381="",0,IF(AND(AE4381&lt;&gt;"직접",IFERROR(INDEX(계정매핑!$G$5:$G$504,MATCH($F4381&amp;"",계정매핑!$A$5:$A$504,0))&amp;"","")="유지비",COUNTIF(계정대체기준!$A$6:$A$15,$N4381)&gt;0),IFERROR(INDEX(계정대체기준!$E$6:$E$15,MATCH(VALUE($A4381&amp;""),계정대체기준!$D$6:$D$15,0)),0),0))</f>
        <v/>
      </c>
      <c r="AH4381" s="64">
        <f>IF($A4381="","",IF(AD4381=0,"",IF(OR(COUNTIF(계정대체기준!$A$77:$A$86,$N4381)&gt;0,ISNUMBER(MATCH($X4381,계정대체기준!$D$77:$D$86,0)),ISNUMBER(MATCH($F4381,계정대체기준!$D$77:$D$86,0))),"Y","N")))</f>
        <v/>
      </c>
    </row>
    <row r="4382">
      <c r="A4382" s="92" t="n">
        <v>2026</v>
      </c>
      <c r="B4382" s="92" t="n">
        <v>8</v>
      </c>
      <c r="C4382" s="92" t="inlineStr">
        <is>
          <t>5100001660</t>
        </is>
      </c>
      <c r="D4382" s="95" t="n">
        <v>46242</v>
      </c>
      <c r="E4382" s="92" t="inlineStr">
        <is>
          <t>KR</t>
        </is>
      </c>
      <c r="F4382" s="92" t="n">
        <v>62501000</v>
      </c>
      <c r="G4382" s="92" t="n">
        <v>1401</v>
      </c>
      <c r="H4382" s="93" t="n">
        <v>170000</v>
      </c>
      <c r="I4382" s="92" t="inlineStr">
        <is>
          <t>8월 회의 다과 - (법인카드)</t>
        </is>
      </c>
      <c r="J4382" s="92" t="inlineStr">
        <is>
          <t>V10010</t>
        </is>
      </c>
      <c r="K4382" s="92" t="inlineStr">
        <is>
          <t>(법인카드)</t>
        </is>
      </c>
      <c r="M4382" s="9">
        <f>IF($A4382="","",VALUE($A4382&amp;"")*12+VALUE($B4382&amp;""))</f>
        <v/>
      </c>
      <c r="N4382" s="64">
        <f>IF($A4382="","",IFERROR(INDEX(부서매핑!$C$5:$C$504,MATCH($G4382&amp;"",부서매핑!$A$5:$A$504,0)),"미매핑"))</f>
        <v/>
      </c>
      <c r="O4382" s="9">
        <f>IF($A4382="","",N4382&amp;"|"&amp;$F4382)</f>
        <v/>
      </c>
      <c r="P4382" s="94">
        <f>IF($A4382="",0,$H4382*설정!$C$23)</f>
        <v/>
      </c>
      <c r="Q4382" s="64">
        <f>IF($A4382="","",IF(O4382&lt;&gt;원인분석!$C$9,"",IF(AND(M4382&gt;=원인분석!$C$10,M4382&lt;=원인분석!$C$11),"당기",IF(AND(M4382&gt;=원인분석!$C$12,M4382&lt;=원인분석!$C$13),"비교",""))))</f>
        <v/>
      </c>
      <c r="R4382" s="9">
        <f>IF(Q4382="","",$K4382&amp;"")</f>
        <v/>
      </c>
      <c r="S4382" s="9">
        <f>IF(Q4382="","",IF(MATCH(R4382,$R$5:$R$100000,0)=ROW()-4,ROW(),""))</f>
        <v/>
      </c>
      <c r="T4382" s="9">
        <f>IF(Q4382="당기",ABS(P4382)+ROW()/1000000000,"")</f>
        <v/>
      </c>
      <c r="U4382" s="9">
        <f>IF(Q4382="비교",ABS(P4382)+ROW()/1000000000,"")</f>
        <v/>
      </c>
      <c r="V4382" s="64">
        <f>IF($A4382="","",IF(COUNTIF(변동분석!$E$7:$E$506,O4382)&gt;0,"Y","N"))</f>
        <v/>
      </c>
      <c r="W4382" s="64">
        <f>IF($A4382="","",IFERROR(INDEX(계정매핑!$D$5:$D$504,MATCH($F4382&amp;"",계정매핑!$A$5:$A$504,0)),"미매핑"))</f>
        <v/>
      </c>
      <c r="X4382" s="9">
        <f>IF($A4382="","",$F4382&amp;"")</f>
        <v/>
      </c>
      <c r="Y4382" s="94">
        <f>IF($A4382="",0,IF(AE4382="직접",IF(AF4382="비귀속",$P4382,0),$P4382*(1-AG4382)*IFERROR(INDEX(계정대체기준!$F$20:$F$49,MATCH($N4382,계정대체기준!$A$20:$A$49,0)),1)))</f>
        <v/>
      </c>
      <c r="Z4382" s="94">
        <f>IF($A4382="",0,IF(AE4382="직접",IF(AF4382="신계약비",$P4382,0),$P4382*(1-AG4382)*IFERROR(INDEX(계정대체기준!$C$20:$C$49,MATCH($N4382,계정대체기준!$A$20:$A$49,0)),0)))</f>
        <v/>
      </c>
      <c r="AA4382" s="94">
        <f>IF($A4382="",0,IF(AE4382="직접",IF(OR(AF4382="유지비",AF4382="손해조사비"),$P4382,0),$P4382*(1-AG4382)*IFERROR(INDEX(계정대체기준!$D$20:$D$49,MATCH($N4382,계정대체기준!$A$20:$A$49,0)),0)))</f>
        <v/>
      </c>
      <c r="AB4382" s="94">
        <f>IF($A4382="",0,IF(AE4382="직접",IF(AF4382="수금비",$P4382,0),$P4382*(1-AG4382)*IFERROR(INDEX(계정대체기준!$E$20:$E$49,MATCH($N4382,계정대체기준!$A$20:$A$49,0)),0)))</f>
        <v/>
      </c>
      <c r="AC4382" s="9">
        <f>IF(AND($A4382&lt;&gt;"",M4382=설정!$C$20,Z4382&gt;0),Z4382+ROW()/1000000000,"")</f>
        <v/>
      </c>
      <c r="AD4382" s="94">
        <f>IF($A4382="",0,$P4382*AG4382)</f>
        <v/>
      </c>
      <c r="AE4382" s="64">
        <f>IF($A4382="","",IFERROR(INDEX(계정매핑!$E$5:$E$504,MATCH($F4382&amp;"",계정매핑!$A$5:$A$504,0))&amp;"","공통비"))</f>
        <v/>
      </c>
      <c r="AF4382" s="64">
        <f>IF($A4382="","",IF(AE4382="직접",IFERROR(INDEX(계정매핑!$F$5:$F$504,MATCH($F4382&amp;"",계정매핑!$A$5:$A$504,0))&amp;"","비귀속"),""))</f>
        <v/>
      </c>
      <c r="AG4382" s="96">
        <f>IF($A4382="",0,IF(AND(AE4382&lt;&gt;"직접",IFERROR(INDEX(계정매핑!$G$5:$G$504,MATCH($F4382&amp;"",계정매핑!$A$5:$A$504,0))&amp;"","")="유지비",COUNTIF(계정대체기준!$A$6:$A$15,$N4382)&gt;0),IFERROR(INDEX(계정대체기준!$E$6:$E$15,MATCH(VALUE($A4382&amp;""),계정대체기준!$D$6:$D$15,0)),0),0))</f>
        <v/>
      </c>
      <c r="AH4382" s="64">
        <f>IF($A4382="","",IF(AD4382=0,"",IF(OR(COUNTIF(계정대체기준!$A$77:$A$86,$N4382)&gt;0,ISNUMBER(MATCH($X4382,계정대체기준!$D$77:$D$86,0)),ISNUMBER(MATCH($F4382,계정대체기준!$D$77:$D$86,0))),"Y","N")))</f>
        <v/>
      </c>
    </row>
    <row r="4383">
      <c r="A4383" s="92" t="n">
        <v>2026</v>
      </c>
      <c r="B4383" s="92" t="n">
        <v>8</v>
      </c>
      <c r="C4383" s="92" t="inlineStr">
        <is>
          <t>5100001661</t>
        </is>
      </c>
      <c r="D4383" s="95" t="n">
        <v>46242</v>
      </c>
      <c r="E4383" s="92" t="inlineStr">
        <is>
          <t>KR</t>
        </is>
      </c>
      <c r="F4383" s="92" t="n">
        <v>62601000</v>
      </c>
      <c r="G4383" s="92" t="n">
        <v>1101</v>
      </c>
      <c r="H4383" s="93" t="n">
        <v>2498000</v>
      </c>
      <c r="I4383" s="92" t="inlineStr">
        <is>
          <t>8월 업무추진 - (법인카드)</t>
        </is>
      </c>
      <c r="J4383" s="92" t="inlineStr">
        <is>
          <t>V10010</t>
        </is>
      </c>
      <c r="K4383" s="92" t="inlineStr">
        <is>
          <t>(법인카드)</t>
        </is>
      </c>
      <c r="M4383" s="9">
        <f>IF($A4383="","",VALUE($A4383&amp;"")*12+VALUE($B4383&amp;""))</f>
        <v/>
      </c>
      <c r="N4383" s="64">
        <f>IF($A4383="","",IFERROR(INDEX(부서매핑!$C$5:$C$504,MATCH($G4383&amp;"",부서매핑!$A$5:$A$504,0)),"미매핑"))</f>
        <v/>
      </c>
      <c r="O4383" s="9">
        <f>IF($A4383="","",N4383&amp;"|"&amp;$F4383)</f>
        <v/>
      </c>
      <c r="P4383" s="94">
        <f>IF($A4383="",0,$H4383*설정!$C$23)</f>
        <v/>
      </c>
      <c r="Q4383" s="64">
        <f>IF($A4383="","",IF(O4383&lt;&gt;원인분석!$C$9,"",IF(AND(M4383&gt;=원인분석!$C$10,M4383&lt;=원인분석!$C$11),"당기",IF(AND(M4383&gt;=원인분석!$C$12,M4383&lt;=원인분석!$C$13),"비교",""))))</f>
        <v/>
      </c>
      <c r="R4383" s="9">
        <f>IF(Q4383="","",$K4383&amp;"")</f>
        <v/>
      </c>
      <c r="S4383" s="9">
        <f>IF(Q4383="","",IF(MATCH(R4383,$R$5:$R$100000,0)=ROW()-4,ROW(),""))</f>
        <v/>
      </c>
      <c r="T4383" s="9">
        <f>IF(Q4383="당기",ABS(P4383)+ROW()/1000000000,"")</f>
        <v/>
      </c>
      <c r="U4383" s="9">
        <f>IF(Q4383="비교",ABS(P4383)+ROW()/1000000000,"")</f>
        <v/>
      </c>
      <c r="V4383" s="64">
        <f>IF($A4383="","",IF(COUNTIF(변동분석!$E$7:$E$506,O4383)&gt;0,"Y","N"))</f>
        <v/>
      </c>
      <c r="W4383" s="64">
        <f>IF($A4383="","",IFERROR(INDEX(계정매핑!$D$5:$D$504,MATCH($F4383&amp;"",계정매핑!$A$5:$A$504,0)),"미매핑"))</f>
        <v/>
      </c>
      <c r="X4383" s="9">
        <f>IF($A4383="","",$F4383&amp;"")</f>
        <v/>
      </c>
      <c r="Y4383" s="94">
        <f>IF($A4383="",0,IF(AE4383="직접",IF(AF4383="비귀속",$P4383,0),$P4383*(1-AG4383)*IFERROR(INDEX(계정대체기준!$F$20:$F$49,MATCH($N4383,계정대체기준!$A$20:$A$49,0)),1)))</f>
        <v/>
      </c>
      <c r="Z4383" s="94">
        <f>IF($A4383="",0,IF(AE4383="직접",IF(AF4383="신계약비",$P4383,0),$P4383*(1-AG4383)*IFERROR(INDEX(계정대체기준!$C$20:$C$49,MATCH($N4383,계정대체기준!$A$20:$A$49,0)),0)))</f>
        <v/>
      </c>
      <c r="AA4383" s="94">
        <f>IF($A4383="",0,IF(AE4383="직접",IF(OR(AF4383="유지비",AF4383="손해조사비"),$P4383,0),$P4383*(1-AG4383)*IFERROR(INDEX(계정대체기준!$D$20:$D$49,MATCH($N4383,계정대체기준!$A$20:$A$49,0)),0)))</f>
        <v/>
      </c>
      <c r="AB4383" s="94">
        <f>IF($A4383="",0,IF(AE4383="직접",IF(AF4383="수금비",$P4383,0),$P4383*(1-AG4383)*IFERROR(INDEX(계정대체기준!$E$20:$E$49,MATCH($N4383,계정대체기준!$A$20:$A$49,0)),0)))</f>
        <v/>
      </c>
      <c r="AC4383" s="9">
        <f>IF(AND($A4383&lt;&gt;"",M4383=설정!$C$20,Z4383&gt;0),Z4383+ROW()/1000000000,"")</f>
        <v/>
      </c>
      <c r="AD4383" s="94">
        <f>IF($A4383="",0,$P4383*AG4383)</f>
        <v/>
      </c>
      <c r="AE4383" s="64">
        <f>IF($A4383="","",IFERROR(INDEX(계정매핑!$E$5:$E$504,MATCH($F4383&amp;"",계정매핑!$A$5:$A$504,0))&amp;"","공통비"))</f>
        <v/>
      </c>
      <c r="AF4383" s="64">
        <f>IF($A4383="","",IF(AE4383="직접",IFERROR(INDEX(계정매핑!$F$5:$F$504,MATCH($F4383&amp;"",계정매핑!$A$5:$A$504,0))&amp;"","비귀속"),""))</f>
        <v/>
      </c>
      <c r="AG4383" s="96">
        <f>IF($A4383="",0,IF(AND(AE4383&lt;&gt;"직접",IFERROR(INDEX(계정매핑!$G$5:$G$504,MATCH($F4383&amp;"",계정매핑!$A$5:$A$504,0))&amp;"","")="유지비",COUNTIF(계정대체기준!$A$6:$A$15,$N4383)&gt;0),IFERROR(INDEX(계정대체기준!$E$6:$E$15,MATCH(VALUE($A4383&amp;""),계정대체기준!$D$6:$D$15,0)),0),0))</f>
        <v/>
      </c>
      <c r="AH4383" s="64">
        <f>IF($A4383="","",IF(AD4383=0,"",IF(OR(COUNTIF(계정대체기준!$A$77:$A$86,$N4383)&gt;0,ISNUMBER(MATCH($X4383,계정대체기준!$D$77:$D$86,0)),ISNUMBER(MATCH($F4383,계정대체기준!$D$77:$D$86,0))),"Y","N")))</f>
        <v/>
      </c>
    </row>
    <row r="4384">
      <c r="A4384" s="92" t="n">
        <v>2026</v>
      </c>
      <c r="B4384" s="92" t="n">
        <v>8</v>
      </c>
      <c r="C4384" s="92" t="inlineStr">
        <is>
          <t>5100001662</t>
        </is>
      </c>
      <c r="D4384" s="95" t="n">
        <v>46242</v>
      </c>
      <c r="E4384" s="92" t="inlineStr">
        <is>
          <t>KR</t>
        </is>
      </c>
      <c r="F4384" s="92" t="n">
        <v>62801000</v>
      </c>
      <c r="G4384" s="92" t="n">
        <v>1301</v>
      </c>
      <c r="H4384" s="93" t="n">
        <v>4143000</v>
      </c>
      <c r="I4384" s="92" t="inlineStr">
        <is>
          <t>8월 사내교육 - (사내강사료)</t>
        </is>
      </c>
      <c r="J4384" s="92" t="inlineStr">
        <is>
          <t>V10024</t>
        </is>
      </c>
      <c r="K4384" s="92" t="inlineStr">
        <is>
          <t>(사내강사료)</t>
        </is>
      </c>
      <c r="M4384" s="9">
        <f>IF($A4384="","",VALUE($A4384&amp;"")*12+VALUE($B4384&amp;""))</f>
        <v/>
      </c>
      <c r="N4384" s="64">
        <f>IF($A4384="","",IFERROR(INDEX(부서매핑!$C$5:$C$504,MATCH($G4384&amp;"",부서매핑!$A$5:$A$504,0)),"미매핑"))</f>
        <v/>
      </c>
      <c r="O4384" s="9">
        <f>IF($A4384="","",N4384&amp;"|"&amp;$F4384)</f>
        <v/>
      </c>
      <c r="P4384" s="94">
        <f>IF($A4384="",0,$H4384*설정!$C$23)</f>
        <v/>
      </c>
      <c r="Q4384" s="64">
        <f>IF($A4384="","",IF(O4384&lt;&gt;원인분석!$C$9,"",IF(AND(M4384&gt;=원인분석!$C$10,M4384&lt;=원인분석!$C$11),"당기",IF(AND(M4384&gt;=원인분석!$C$12,M4384&lt;=원인분석!$C$13),"비교",""))))</f>
        <v/>
      </c>
      <c r="R4384" s="9">
        <f>IF(Q4384="","",$K4384&amp;"")</f>
        <v/>
      </c>
      <c r="S4384" s="9">
        <f>IF(Q4384="","",IF(MATCH(R4384,$R$5:$R$100000,0)=ROW()-4,ROW(),""))</f>
        <v/>
      </c>
      <c r="T4384" s="9">
        <f>IF(Q4384="당기",ABS(P4384)+ROW()/1000000000,"")</f>
        <v/>
      </c>
      <c r="U4384" s="9">
        <f>IF(Q4384="비교",ABS(P4384)+ROW()/1000000000,"")</f>
        <v/>
      </c>
      <c r="V4384" s="64">
        <f>IF($A4384="","",IF(COUNTIF(변동분석!$E$7:$E$506,O4384)&gt;0,"Y","N"))</f>
        <v/>
      </c>
      <c r="W4384" s="64">
        <f>IF($A4384="","",IFERROR(INDEX(계정매핑!$D$5:$D$504,MATCH($F4384&amp;"",계정매핑!$A$5:$A$504,0)),"미매핑"))</f>
        <v/>
      </c>
      <c r="X4384" s="9">
        <f>IF($A4384="","",$F4384&amp;"")</f>
        <v/>
      </c>
      <c r="Y4384" s="94">
        <f>IF($A4384="",0,IF(AE4384="직접",IF(AF4384="비귀속",$P4384,0),$P4384*(1-AG4384)*IFERROR(INDEX(계정대체기준!$F$20:$F$49,MATCH($N4384,계정대체기준!$A$20:$A$49,0)),1)))</f>
        <v/>
      </c>
      <c r="Z4384" s="94">
        <f>IF($A4384="",0,IF(AE4384="직접",IF(AF4384="신계약비",$P4384,0),$P4384*(1-AG4384)*IFERROR(INDEX(계정대체기준!$C$20:$C$49,MATCH($N4384,계정대체기준!$A$20:$A$49,0)),0)))</f>
        <v/>
      </c>
      <c r="AA4384" s="94">
        <f>IF($A4384="",0,IF(AE4384="직접",IF(OR(AF4384="유지비",AF4384="손해조사비"),$P4384,0),$P4384*(1-AG4384)*IFERROR(INDEX(계정대체기준!$D$20:$D$49,MATCH($N4384,계정대체기준!$A$20:$A$49,0)),0)))</f>
        <v/>
      </c>
      <c r="AB4384" s="94">
        <f>IF($A4384="",0,IF(AE4384="직접",IF(AF4384="수금비",$P4384,0),$P4384*(1-AG4384)*IFERROR(INDEX(계정대체기준!$E$20:$E$49,MATCH($N4384,계정대체기준!$A$20:$A$49,0)),0)))</f>
        <v/>
      </c>
      <c r="AC4384" s="9">
        <f>IF(AND($A4384&lt;&gt;"",M4384=설정!$C$20,Z4384&gt;0),Z4384+ROW()/1000000000,"")</f>
        <v/>
      </c>
      <c r="AD4384" s="94">
        <f>IF($A4384="",0,$P4384*AG4384)</f>
        <v/>
      </c>
      <c r="AE4384" s="64">
        <f>IF($A4384="","",IFERROR(INDEX(계정매핑!$E$5:$E$504,MATCH($F4384&amp;"",계정매핑!$A$5:$A$504,0))&amp;"","공통비"))</f>
        <v/>
      </c>
      <c r="AF4384" s="64">
        <f>IF($A4384="","",IF(AE4384="직접",IFERROR(INDEX(계정매핑!$F$5:$F$504,MATCH($F4384&amp;"",계정매핑!$A$5:$A$504,0))&amp;"","비귀속"),""))</f>
        <v/>
      </c>
      <c r="AG4384" s="96">
        <f>IF($A4384="",0,IF(AND(AE4384&lt;&gt;"직접",IFERROR(INDEX(계정매핑!$G$5:$G$504,MATCH($F4384&amp;"",계정매핑!$A$5:$A$504,0))&amp;"","")="유지비",COUNTIF(계정대체기준!$A$6:$A$15,$N4384)&gt;0),IFERROR(INDEX(계정대체기준!$E$6:$E$15,MATCH(VALUE($A4384&amp;""),계정대체기준!$D$6:$D$15,0)),0),0))</f>
        <v/>
      </c>
      <c r="AH4384" s="64">
        <f>IF($A4384="","",IF(AD4384=0,"",IF(OR(COUNTIF(계정대체기준!$A$77:$A$86,$N4384)&gt;0,ISNUMBER(MATCH($X4384,계정대체기준!$D$77:$D$86,0)),ISNUMBER(MATCH($F4384,계정대체기준!$D$77:$D$86,0))),"Y","N")))</f>
        <v/>
      </c>
    </row>
    <row r="4385">
      <c r="A4385" s="92" t="n">
        <v>2026</v>
      </c>
      <c r="B4385" s="92" t="n">
        <v>8</v>
      </c>
      <c r="C4385" s="92" t="inlineStr">
        <is>
          <t>5100001663</t>
        </is>
      </c>
      <c r="D4385" s="95" t="n">
        <v>46242</v>
      </c>
      <c r="E4385" s="92" t="inlineStr">
        <is>
          <t>KR</t>
        </is>
      </c>
      <c r="F4385" s="92" t="n">
        <v>62901000</v>
      </c>
      <c r="G4385" s="92" t="n">
        <v>1401</v>
      </c>
      <c r="H4385" s="93" t="n">
        <v>4493000</v>
      </c>
      <c r="I4385" s="92" t="inlineStr">
        <is>
          <t>8월 자문 수수료 - W컨설팅</t>
        </is>
      </c>
      <c r="J4385" s="92" t="inlineStr">
        <is>
          <t>V10006</t>
        </is>
      </c>
      <c r="K4385" s="92" t="inlineStr">
        <is>
          <t>W컨설팅</t>
        </is>
      </c>
      <c r="M4385" s="9">
        <f>IF($A4385="","",VALUE($A4385&amp;"")*12+VALUE($B4385&amp;""))</f>
        <v/>
      </c>
      <c r="N4385" s="64">
        <f>IF($A4385="","",IFERROR(INDEX(부서매핑!$C$5:$C$504,MATCH($G4385&amp;"",부서매핑!$A$5:$A$504,0)),"미매핑"))</f>
        <v/>
      </c>
      <c r="O4385" s="9">
        <f>IF($A4385="","",N4385&amp;"|"&amp;$F4385)</f>
        <v/>
      </c>
      <c r="P4385" s="94">
        <f>IF($A4385="",0,$H4385*설정!$C$23)</f>
        <v/>
      </c>
      <c r="Q4385" s="64">
        <f>IF($A4385="","",IF(O4385&lt;&gt;원인분석!$C$9,"",IF(AND(M4385&gt;=원인분석!$C$10,M4385&lt;=원인분석!$C$11),"당기",IF(AND(M4385&gt;=원인분석!$C$12,M4385&lt;=원인분석!$C$13),"비교",""))))</f>
        <v/>
      </c>
      <c r="R4385" s="9">
        <f>IF(Q4385="","",$K4385&amp;"")</f>
        <v/>
      </c>
      <c r="S4385" s="9">
        <f>IF(Q4385="","",IF(MATCH(R4385,$R$5:$R$100000,0)=ROW()-4,ROW(),""))</f>
        <v/>
      </c>
      <c r="T4385" s="9">
        <f>IF(Q4385="당기",ABS(P4385)+ROW()/1000000000,"")</f>
        <v/>
      </c>
      <c r="U4385" s="9">
        <f>IF(Q4385="비교",ABS(P4385)+ROW()/1000000000,"")</f>
        <v/>
      </c>
      <c r="V4385" s="64">
        <f>IF($A4385="","",IF(COUNTIF(변동분석!$E$7:$E$506,O4385)&gt;0,"Y","N"))</f>
        <v/>
      </c>
      <c r="W4385" s="64">
        <f>IF($A4385="","",IFERROR(INDEX(계정매핑!$D$5:$D$504,MATCH($F4385&amp;"",계정매핑!$A$5:$A$504,0)),"미매핑"))</f>
        <v/>
      </c>
      <c r="X4385" s="9">
        <f>IF($A4385="","",$F4385&amp;"")</f>
        <v/>
      </c>
      <c r="Y4385" s="94">
        <f>IF($A4385="",0,IF(AE4385="직접",IF(AF4385="비귀속",$P4385,0),$P4385*(1-AG4385)*IFERROR(INDEX(계정대체기준!$F$20:$F$49,MATCH($N4385,계정대체기준!$A$20:$A$49,0)),1)))</f>
        <v/>
      </c>
      <c r="Z4385" s="94">
        <f>IF($A4385="",0,IF(AE4385="직접",IF(AF4385="신계약비",$P4385,0),$P4385*(1-AG4385)*IFERROR(INDEX(계정대체기준!$C$20:$C$49,MATCH($N4385,계정대체기준!$A$20:$A$49,0)),0)))</f>
        <v/>
      </c>
      <c r="AA4385" s="94">
        <f>IF($A4385="",0,IF(AE4385="직접",IF(OR(AF4385="유지비",AF4385="손해조사비"),$P4385,0),$P4385*(1-AG4385)*IFERROR(INDEX(계정대체기준!$D$20:$D$49,MATCH($N4385,계정대체기준!$A$20:$A$49,0)),0)))</f>
        <v/>
      </c>
      <c r="AB4385" s="94">
        <f>IF($A4385="",0,IF(AE4385="직접",IF(AF4385="수금비",$P4385,0),$P4385*(1-AG4385)*IFERROR(INDEX(계정대체기준!$E$20:$E$49,MATCH($N4385,계정대체기준!$A$20:$A$49,0)),0)))</f>
        <v/>
      </c>
      <c r="AC4385" s="9">
        <f>IF(AND($A4385&lt;&gt;"",M4385=설정!$C$20,Z4385&gt;0),Z4385+ROW()/1000000000,"")</f>
        <v/>
      </c>
      <c r="AD4385" s="94">
        <f>IF($A4385="",0,$P4385*AG4385)</f>
        <v/>
      </c>
      <c r="AE4385" s="64">
        <f>IF($A4385="","",IFERROR(INDEX(계정매핑!$E$5:$E$504,MATCH($F4385&amp;"",계정매핑!$A$5:$A$504,0))&amp;"","공통비"))</f>
        <v/>
      </c>
      <c r="AF4385" s="64">
        <f>IF($A4385="","",IF(AE4385="직접",IFERROR(INDEX(계정매핑!$F$5:$F$504,MATCH($F4385&amp;"",계정매핑!$A$5:$A$504,0))&amp;"","비귀속"),""))</f>
        <v/>
      </c>
      <c r="AG4385" s="96">
        <f>IF($A4385="",0,IF(AND(AE4385&lt;&gt;"직접",IFERROR(INDEX(계정매핑!$G$5:$G$504,MATCH($F4385&amp;"",계정매핑!$A$5:$A$504,0))&amp;"","")="유지비",COUNTIF(계정대체기준!$A$6:$A$15,$N4385)&gt;0),IFERROR(INDEX(계정대체기준!$E$6:$E$15,MATCH(VALUE($A4385&amp;""),계정대체기준!$D$6:$D$15,0)),0),0))</f>
        <v/>
      </c>
      <c r="AH4385" s="64">
        <f>IF($A4385="","",IF(AD4385=0,"",IF(OR(COUNTIF(계정대체기준!$A$77:$A$86,$N4385)&gt;0,ISNUMBER(MATCH($X4385,계정대체기준!$D$77:$D$86,0)),ISNUMBER(MATCH($F4385,계정대체기준!$D$77:$D$86,0))),"Y","N")))</f>
        <v/>
      </c>
    </row>
    <row r="4386">
      <c r="A4386" s="92" t="n">
        <v>2026</v>
      </c>
      <c r="B4386" s="92" t="n">
        <v>8</v>
      </c>
      <c r="C4386" s="92" t="inlineStr">
        <is>
          <t>5100001664</t>
        </is>
      </c>
      <c r="D4386" s="95" t="n">
        <v>46242</v>
      </c>
      <c r="E4386" s="92" t="inlineStr">
        <is>
          <t>KR</t>
        </is>
      </c>
      <c r="F4386" s="92" t="n">
        <v>62902000</v>
      </c>
      <c r="G4386" s="92" t="n">
        <v>1801</v>
      </c>
      <c r="H4386" s="93" t="n">
        <v>1773000</v>
      </c>
      <c r="I4386" s="92" t="inlineStr">
        <is>
          <t>8월 콜 위탁 수수료(건별)</t>
        </is>
      </c>
      <c r="J4386" s="92" t="inlineStr">
        <is>
          <t>V10016</t>
        </is>
      </c>
      <c r="K4386" s="92" t="inlineStr">
        <is>
          <t>J콜센터</t>
        </is>
      </c>
      <c r="M4386" s="9">
        <f>IF($A4386="","",VALUE($A4386&amp;"")*12+VALUE($B4386&amp;""))</f>
        <v/>
      </c>
      <c r="N4386" s="64">
        <f>IF($A4386="","",IFERROR(INDEX(부서매핑!$C$5:$C$504,MATCH($G4386&amp;"",부서매핑!$A$5:$A$504,0)),"미매핑"))</f>
        <v/>
      </c>
      <c r="O4386" s="9">
        <f>IF($A4386="","",N4386&amp;"|"&amp;$F4386)</f>
        <v/>
      </c>
      <c r="P4386" s="94">
        <f>IF($A4386="",0,$H4386*설정!$C$23)</f>
        <v/>
      </c>
      <c r="Q4386" s="64">
        <f>IF($A4386="","",IF(O4386&lt;&gt;원인분석!$C$9,"",IF(AND(M4386&gt;=원인분석!$C$10,M4386&lt;=원인분석!$C$11),"당기",IF(AND(M4386&gt;=원인분석!$C$12,M4386&lt;=원인분석!$C$13),"비교",""))))</f>
        <v/>
      </c>
      <c r="R4386" s="9">
        <f>IF(Q4386="","",$K4386&amp;"")</f>
        <v/>
      </c>
      <c r="S4386" s="9">
        <f>IF(Q4386="","",IF(MATCH(R4386,$R$5:$R$100000,0)=ROW()-4,ROW(),""))</f>
        <v/>
      </c>
      <c r="T4386" s="9">
        <f>IF(Q4386="당기",ABS(P4386)+ROW()/1000000000,"")</f>
        <v/>
      </c>
      <c r="U4386" s="9">
        <f>IF(Q4386="비교",ABS(P4386)+ROW()/1000000000,"")</f>
        <v/>
      </c>
      <c r="V4386" s="64">
        <f>IF($A4386="","",IF(COUNTIF(변동분석!$E$7:$E$506,O4386)&gt;0,"Y","N"))</f>
        <v/>
      </c>
      <c r="W4386" s="64">
        <f>IF($A4386="","",IFERROR(INDEX(계정매핑!$D$5:$D$504,MATCH($F4386&amp;"",계정매핑!$A$5:$A$504,0)),"미매핑"))</f>
        <v/>
      </c>
      <c r="X4386" s="9">
        <f>IF($A4386="","",$F4386&amp;"")</f>
        <v/>
      </c>
      <c r="Y4386" s="94">
        <f>IF($A4386="",0,IF(AE4386="직접",IF(AF4386="비귀속",$P4386,0),$P4386*(1-AG4386)*IFERROR(INDEX(계정대체기준!$F$20:$F$49,MATCH($N4386,계정대체기준!$A$20:$A$49,0)),1)))</f>
        <v/>
      </c>
      <c r="Z4386" s="94">
        <f>IF($A4386="",0,IF(AE4386="직접",IF(AF4386="신계약비",$P4386,0),$P4386*(1-AG4386)*IFERROR(INDEX(계정대체기준!$C$20:$C$49,MATCH($N4386,계정대체기준!$A$20:$A$49,0)),0)))</f>
        <v/>
      </c>
      <c r="AA4386" s="94">
        <f>IF($A4386="",0,IF(AE4386="직접",IF(OR(AF4386="유지비",AF4386="손해조사비"),$P4386,0),$P4386*(1-AG4386)*IFERROR(INDEX(계정대체기준!$D$20:$D$49,MATCH($N4386,계정대체기준!$A$20:$A$49,0)),0)))</f>
        <v/>
      </c>
      <c r="AB4386" s="94">
        <f>IF($A4386="",0,IF(AE4386="직접",IF(AF4386="수금비",$P4386,0),$P4386*(1-AG4386)*IFERROR(INDEX(계정대체기준!$E$20:$E$49,MATCH($N4386,계정대체기준!$A$20:$A$49,0)),0)))</f>
        <v/>
      </c>
      <c r="AC4386" s="9">
        <f>IF(AND($A4386&lt;&gt;"",M4386=설정!$C$20,Z4386&gt;0),Z4386+ROW()/1000000000,"")</f>
        <v/>
      </c>
      <c r="AD4386" s="94">
        <f>IF($A4386="",0,$P4386*AG4386)</f>
        <v/>
      </c>
      <c r="AE4386" s="64">
        <f>IF($A4386="","",IFERROR(INDEX(계정매핑!$E$5:$E$504,MATCH($F4386&amp;"",계정매핑!$A$5:$A$504,0))&amp;"","공통비"))</f>
        <v/>
      </c>
      <c r="AF4386" s="64">
        <f>IF($A4386="","",IF(AE4386="직접",IFERROR(INDEX(계정매핑!$F$5:$F$504,MATCH($F4386&amp;"",계정매핑!$A$5:$A$504,0))&amp;"","비귀속"),""))</f>
        <v/>
      </c>
      <c r="AG4386" s="96">
        <f>IF($A4386="",0,IF(AND(AE4386&lt;&gt;"직접",IFERROR(INDEX(계정매핑!$G$5:$G$504,MATCH($F4386&amp;"",계정매핑!$A$5:$A$504,0))&amp;"","")="유지비",COUNTIF(계정대체기준!$A$6:$A$15,$N4386)&gt;0),IFERROR(INDEX(계정대체기준!$E$6:$E$15,MATCH(VALUE($A4386&amp;""),계정대체기준!$D$6:$D$15,0)),0),0))</f>
        <v/>
      </c>
      <c r="AH4386" s="64">
        <f>IF($A4386="","",IF(AD4386=0,"",IF(OR(COUNTIF(계정대체기준!$A$77:$A$86,$N4386)&gt;0,ISNUMBER(MATCH($X4386,계정대체기준!$D$77:$D$86,0)),ISNUMBER(MATCH($F4386,계정대체기준!$D$77:$D$86,0))),"Y","N")))</f>
        <v/>
      </c>
    </row>
    <row r="4387">
      <c r="A4387" s="92" t="n">
        <v>2026</v>
      </c>
      <c r="B4387" s="92" t="n">
        <v>8</v>
      </c>
      <c r="C4387" s="92" t="inlineStr">
        <is>
          <t>5100001665</t>
        </is>
      </c>
      <c r="D4387" s="95" t="n">
        <v>46243</v>
      </c>
      <c r="E4387" s="92" t="inlineStr">
        <is>
          <t>KR</t>
        </is>
      </c>
      <c r="F4387" s="92" t="n">
        <v>62101000</v>
      </c>
      <c r="G4387" s="92" t="n">
        <v>1301</v>
      </c>
      <c r="H4387" s="93" t="n">
        <v>225000</v>
      </c>
      <c r="I4387" s="92" t="inlineStr">
        <is>
          <t>8월 국내출장 - (법인카드)</t>
        </is>
      </c>
      <c r="J4387" s="92" t="inlineStr">
        <is>
          <t>V10010</t>
        </is>
      </c>
      <c r="K4387" s="92" t="inlineStr">
        <is>
          <t>(법인카드)</t>
        </is>
      </c>
      <c r="M4387" s="9">
        <f>IF($A4387="","",VALUE($A4387&amp;"")*12+VALUE($B4387&amp;""))</f>
        <v/>
      </c>
      <c r="N4387" s="64">
        <f>IF($A4387="","",IFERROR(INDEX(부서매핑!$C$5:$C$504,MATCH($G4387&amp;"",부서매핑!$A$5:$A$504,0)),"미매핑"))</f>
        <v/>
      </c>
      <c r="O4387" s="9">
        <f>IF($A4387="","",N4387&amp;"|"&amp;$F4387)</f>
        <v/>
      </c>
      <c r="P4387" s="94">
        <f>IF($A4387="",0,$H4387*설정!$C$23)</f>
        <v/>
      </c>
      <c r="Q4387" s="64">
        <f>IF($A4387="","",IF(O4387&lt;&gt;원인분석!$C$9,"",IF(AND(M4387&gt;=원인분석!$C$10,M4387&lt;=원인분석!$C$11),"당기",IF(AND(M4387&gt;=원인분석!$C$12,M4387&lt;=원인분석!$C$13),"비교",""))))</f>
        <v/>
      </c>
      <c r="R4387" s="9">
        <f>IF(Q4387="","",$K4387&amp;"")</f>
        <v/>
      </c>
      <c r="S4387" s="9">
        <f>IF(Q4387="","",IF(MATCH(R4387,$R$5:$R$100000,0)=ROW()-4,ROW(),""))</f>
        <v/>
      </c>
      <c r="T4387" s="9">
        <f>IF(Q4387="당기",ABS(P4387)+ROW()/1000000000,"")</f>
        <v/>
      </c>
      <c r="U4387" s="9">
        <f>IF(Q4387="비교",ABS(P4387)+ROW()/1000000000,"")</f>
        <v/>
      </c>
      <c r="V4387" s="64">
        <f>IF($A4387="","",IF(COUNTIF(변동분석!$E$7:$E$506,O4387)&gt;0,"Y","N"))</f>
        <v/>
      </c>
      <c r="W4387" s="64">
        <f>IF($A4387="","",IFERROR(INDEX(계정매핑!$D$5:$D$504,MATCH($F4387&amp;"",계정매핑!$A$5:$A$504,0)),"미매핑"))</f>
        <v/>
      </c>
      <c r="X4387" s="9">
        <f>IF($A4387="","",$F4387&amp;"")</f>
        <v/>
      </c>
      <c r="Y4387" s="94">
        <f>IF($A4387="",0,IF(AE4387="직접",IF(AF4387="비귀속",$P4387,0),$P4387*(1-AG4387)*IFERROR(INDEX(계정대체기준!$F$20:$F$49,MATCH($N4387,계정대체기준!$A$20:$A$49,0)),1)))</f>
        <v/>
      </c>
      <c r="Z4387" s="94">
        <f>IF($A4387="",0,IF(AE4387="직접",IF(AF4387="신계약비",$P4387,0),$P4387*(1-AG4387)*IFERROR(INDEX(계정대체기준!$C$20:$C$49,MATCH($N4387,계정대체기준!$A$20:$A$49,0)),0)))</f>
        <v/>
      </c>
      <c r="AA4387" s="94">
        <f>IF($A4387="",0,IF(AE4387="직접",IF(OR(AF4387="유지비",AF4387="손해조사비"),$P4387,0),$P4387*(1-AG4387)*IFERROR(INDEX(계정대체기준!$D$20:$D$49,MATCH($N4387,계정대체기준!$A$20:$A$49,0)),0)))</f>
        <v/>
      </c>
      <c r="AB4387" s="94">
        <f>IF($A4387="",0,IF(AE4387="직접",IF(AF4387="수금비",$P4387,0),$P4387*(1-AG4387)*IFERROR(INDEX(계정대체기준!$E$20:$E$49,MATCH($N4387,계정대체기준!$A$20:$A$49,0)),0)))</f>
        <v/>
      </c>
      <c r="AC4387" s="9">
        <f>IF(AND($A4387&lt;&gt;"",M4387=설정!$C$20,Z4387&gt;0),Z4387+ROW()/1000000000,"")</f>
        <v/>
      </c>
      <c r="AD4387" s="94">
        <f>IF($A4387="",0,$P4387*AG4387)</f>
        <v/>
      </c>
      <c r="AE4387" s="64">
        <f>IF($A4387="","",IFERROR(INDEX(계정매핑!$E$5:$E$504,MATCH($F4387&amp;"",계정매핑!$A$5:$A$504,0))&amp;"","공통비"))</f>
        <v/>
      </c>
      <c r="AF4387" s="64">
        <f>IF($A4387="","",IF(AE4387="직접",IFERROR(INDEX(계정매핑!$F$5:$F$504,MATCH($F4387&amp;"",계정매핑!$A$5:$A$504,0))&amp;"","비귀속"),""))</f>
        <v/>
      </c>
      <c r="AG4387" s="96">
        <f>IF($A4387="",0,IF(AND(AE4387&lt;&gt;"직접",IFERROR(INDEX(계정매핑!$G$5:$G$504,MATCH($F4387&amp;"",계정매핑!$A$5:$A$504,0))&amp;"","")="유지비",COUNTIF(계정대체기준!$A$6:$A$15,$N4387)&gt;0),IFERROR(INDEX(계정대체기준!$E$6:$E$15,MATCH(VALUE($A4387&amp;""),계정대체기준!$D$6:$D$15,0)),0),0))</f>
        <v/>
      </c>
      <c r="AH4387" s="64">
        <f>IF($A4387="","",IF(AD4387=0,"",IF(OR(COUNTIF(계정대체기준!$A$77:$A$86,$N4387)&gt;0,ISNUMBER(MATCH($X4387,계정대체기준!$D$77:$D$86,0)),ISNUMBER(MATCH($F4387,계정대체기준!$D$77:$D$86,0))),"Y","N")))</f>
        <v/>
      </c>
    </row>
    <row r="4388">
      <c r="A4388" s="92" t="n">
        <v>2026</v>
      </c>
      <c r="B4388" s="92" t="n">
        <v>8</v>
      </c>
      <c r="C4388" s="92" t="inlineStr">
        <is>
          <t>5100001666</t>
        </is>
      </c>
      <c r="D4388" s="95" t="n">
        <v>46243</v>
      </c>
      <c r="E4388" s="92" t="inlineStr">
        <is>
          <t>KR</t>
        </is>
      </c>
      <c r="F4388" s="92" t="n">
        <v>62101000</v>
      </c>
      <c r="G4388" s="92" t="n">
        <v>1701</v>
      </c>
      <c r="H4388" s="93" t="n">
        <v>142000</v>
      </c>
      <c r="I4388" s="92" t="inlineStr">
        <is>
          <t>8월 국내출장 - L여행사</t>
        </is>
      </c>
      <c r="J4388" s="92" t="inlineStr">
        <is>
          <t>V10018</t>
        </is>
      </c>
      <c r="K4388" s="92" t="inlineStr">
        <is>
          <t>L여행사</t>
        </is>
      </c>
      <c r="M4388" s="9">
        <f>IF($A4388="","",VALUE($A4388&amp;"")*12+VALUE($B4388&amp;""))</f>
        <v/>
      </c>
      <c r="N4388" s="64">
        <f>IF($A4388="","",IFERROR(INDEX(부서매핑!$C$5:$C$504,MATCH($G4388&amp;"",부서매핑!$A$5:$A$504,0)),"미매핑"))</f>
        <v/>
      </c>
      <c r="O4388" s="9">
        <f>IF($A4388="","",N4388&amp;"|"&amp;$F4388)</f>
        <v/>
      </c>
      <c r="P4388" s="94">
        <f>IF($A4388="",0,$H4388*설정!$C$23)</f>
        <v/>
      </c>
      <c r="Q4388" s="64">
        <f>IF($A4388="","",IF(O4388&lt;&gt;원인분석!$C$9,"",IF(AND(M4388&gt;=원인분석!$C$10,M4388&lt;=원인분석!$C$11),"당기",IF(AND(M4388&gt;=원인분석!$C$12,M4388&lt;=원인분석!$C$13),"비교",""))))</f>
        <v/>
      </c>
      <c r="R4388" s="9">
        <f>IF(Q4388="","",$K4388&amp;"")</f>
        <v/>
      </c>
      <c r="S4388" s="9">
        <f>IF(Q4388="","",IF(MATCH(R4388,$R$5:$R$100000,0)=ROW()-4,ROW(),""))</f>
        <v/>
      </c>
      <c r="T4388" s="9">
        <f>IF(Q4388="당기",ABS(P4388)+ROW()/1000000000,"")</f>
        <v/>
      </c>
      <c r="U4388" s="9">
        <f>IF(Q4388="비교",ABS(P4388)+ROW()/1000000000,"")</f>
        <v/>
      </c>
      <c r="V4388" s="64">
        <f>IF($A4388="","",IF(COUNTIF(변동분석!$E$7:$E$506,O4388)&gt;0,"Y","N"))</f>
        <v/>
      </c>
      <c r="W4388" s="64">
        <f>IF($A4388="","",IFERROR(INDEX(계정매핑!$D$5:$D$504,MATCH($F4388&amp;"",계정매핑!$A$5:$A$504,0)),"미매핑"))</f>
        <v/>
      </c>
      <c r="X4388" s="9">
        <f>IF($A4388="","",$F4388&amp;"")</f>
        <v/>
      </c>
      <c r="Y4388" s="94">
        <f>IF($A4388="",0,IF(AE4388="직접",IF(AF4388="비귀속",$P4388,0),$P4388*(1-AG4388)*IFERROR(INDEX(계정대체기준!$F$20:$F$49,MATCH($N4388,계정대체기준!$A$20:$A$49,0)),1)))</f>
        <v/>
      </c>
      <c r="Z4388" s="94">
        <f>IF($A4388="",0,IF(AE4388="직접",IF(AF4388="신계약비",$P4388,0),$P4388*(1-AG4388)*IFERROR(INDEX(계정대체기준!$C$20:$C$49,MATCH($N4388,계정대체기준!$A$20:$A$49,0)),0)))</f>
        <v/>
      </c>
      <c r="AA4388" s="94">
        <f>IF($A4388="",0,IF(AE4388="직접",IF(OR(AF4388="유지비",AF4388="손해조사비"),$P4388,0),$P4388*(1-AG4388)*IFERROR(INDEX(계정대체기준!$D$20:$D$49,MATCH($N4388,계정대체기준!$A$20:$A$49,0)),0)))</f>
        <v/>
      </c>
      <c r="AB4388" s="94">
        <f>IF($A4388="",0,IF(AE4388="직접",IF(AF4388="수금비",$P4388,0),$P4388*(1-AG4388)*IFERROR(INDEX(계정대체기준!$E$20:$E$49,MATCH($N4388,계정대체기준!$A$20:$A$49,0)),0)))</f>
        <v/>
      </c>
      <c r="AC4388" s="9">
        <f>IF(AND($A4388&lt;&gt;"",M4388=설정!$C$20,Z4388&gt;0),Z4388+ROW()/1000000000,"")</f>
        <v/>
      </c>
      <c r="AD4388" s="94">
        <f>IF($A4388="",0,$P4388*AG4388)</f>
        <v/>
      </c>
      <c r="AE4388" s="64">
        <f>IF($A4388="","",IFERROR(INDEX(계정매핑!$E$5:$E$504,MATCH($F4388&amp;"",계정매핑!$A$5:$A$504,0))&amp;"","공통비"))</f>
        <v/>
      </c>
      <c r="AF4388" s="64">
        <f>IF($A4388="","",IF(AE4388="직접",IFERROR(INDEX(계정매핑!$F$5:$F$504,MATCH($F4388&amp;"",계정매핑!$A$5:$A$504,0))&amp;"","비귀속"),""))</f>
        <v/>
      </c>
      <c r="AG4388" s="96">
        <f>IF($A4388="",0,IF(AND(AE4388&lt;&gt;"직접",IFERROR(INDEX(계정매핑!$G$5:$G$504,MATCH($F4388&amp;"",계정매핑!$A$5:$A$504,0))&amp;"","")="유지비",COUNTIF(계정대체기준!$A$6:$A$15,$N4388)&gt;0),IFERROR(INDEX(계정대체기준!$E$6:$E$15,MATCH(VALUE($A4388&amp;""),계정대체기준!$D$6:$D$15,0)),0),0))</f>
        <v/>
      </c>
      <c r="AH4388" s="64">
        <f>IF($A4388="","",IF(AD4388=0,"",IF(OR(COUNTIF(계정대체기준!$A$77:$A$86,$N4388)&gt;0,ISNUMBER(MATCH($X4388,계정대체기준!$D$77:$D$86,0)),ISNUMBER(MATCH($F4388,계정대체기준!$D$77:$D$86,0))),"Y","N")))</f>
        <v/>
      </c>
    </row>
    <row r="4389">
      <c r="A4389" s="92" t="n">
        <v>2026</v>
      </c>
      <c r="B4389" s="92" t="n">
        <v>8</v>
      </c>
      <c r="C4389" s="92" t="inlineStr">
        <is>
          <t>5100001667</t>
        </is>
      </c>
      <c r="D4389" s="95" t="n">
        <v>46243</v>
      </c>
      <c r="E4389" s="92" t="inlineStr">
        <is>
          <t>KR</t>
        </is>
      </c>
      <c r="F4389" s="92" t="n">
        <v>62101000</v>
      </c>
      <c r="G4389" s="92" t="n">
        <v>1951</v>
      </c>
      <c r="H4389" s="93" t="n">
        <v>282000</v>
      </c>
      <c r="I4389" s="92" t="inlineStr">
        <is>
          <t>8월 국내출장 - M항공</t>
        </is>
      </c>
      <c r="J4389" s="92" t="inlineStr">
        <is>
          <t>V10001</t>
        </is>
      </c>
      <c r="K4389" s="92" t="inlineStr">
        <is>
          <t>M항공</t>
        </is>
      </c>
      <c r="M4389" s="9">
        <f>IF($A4389="","",VALUE($A4389&amp;"")*12+VALUE($B4389&amp;""))</f>
        <v/>
      </c>
      <c r="N4389" s="64">
        <f>IF($A4389="","",IFERROR(INDEX(부서매핑!$C$5:$C$504,MATCH($G4389&amp;"",부서매핑!$A$5:$A$504,0)),"미매핑"))</f>
        <v/>
      </c>
      <c r="O4389" s="9">
        <f>IF($A4389="","",N4389&amp;"|"&amp;$F4389)</f>
        <v/>
      </c>
      <c r="P4389" s="94">
        <f>IF($A4389="",0,$H4389*설정!$C$23)</f>
        <v/>
      </c>
      <c r="Q4389" s="64">
        <f>IF($A4389="","",IF(O4389&lt;&gt;원인분석!$C$9,"",IF(AND(M4389&gt;=원인분석!$C$10,M4389&lt;=원인분석!$C$11),"당기",IF(AND(M4389&gt;=원인분석!$C$12,M4389&lt;=원인분석!$C$13),"비교",""))))</f>
        <v/>
      </c>
      <c r="R4389" s="9">
        <f>IF(Q4389="","",$K4389&amp;"")</f>
        <v/>
      </c>
      <c r="S4389" s="9">
        <f>IF(Q4389="","",IF(MATCH(R4389,$R$5:$R$100000,0)=ROW()-4,ROW(),""))</f>
        <v/>
      </c>
      <c r="T4389" s="9">
        <f>IF(Q4389="당기",ABS(P4389)+ROW()/1000000000,"")</f>
        <v/>
      </c>
      <c r="U4389" s="9">
        <f>IF(Q4389="비교",ABS(P4389)+ROW()/1000000000,"")</f>
        <v/>
      </c>
      <c r="V4389" s="64">
        <f>IF($A4389="","",IF(COUNTIF(변동분석!$E$7:$E$506,O4389)&gt;0,"Y","N"))</f>
        <v/>
      </c>
      <c r="W4389" s="64">
        <f>IF($A4389="","",IFERROR(INDEX(계정매핑!$D$5:$D$504,MATCH($F4389&amp;"",계정매핑!$A$5:$A$504,0)),"미매핑"))</f>
        <v/>
      </c>
      <c r="X4389" s="9">
        <f>IF($A4389="","",$F4389&amp;"")</f>
        <v/>
      </c>
      <c r="Y4389" s="94">
        <f>IF($A4389="",0,IF(AE4389="직접",IF(AF4389="비귀속",$P4389,0),$P4389*(1-AG4389)*IFERROR(INDEX(계정대체기준!$F$20:$F$49,MATCH($N4389,계정대체기준!$A$20:$A$49,0)),1)))</f>
        <v/>
      </c>
      <c r="Z4389" s="94">
        <f>IF($A4389="",0,IF(AE4389="직접",IF(AF4389="신계약비",$P4389,0),$P4389*(1-AG4389)*IFERROR(INDEX(계정대체기준!$C$20:$C$49,MATCH($N4389,계정대체기준!$A$20:$A$49,0)),0)))</f>
        <v/>
      </c>
      <c r="AA4389" s="94">
        <f>IF($A4389="",0,IF(AE4389="직접",IF(OR(AF4389="유지비",AF4389="손해조사비"),$P4389,0),$P4389*(1-AG4389)*IFERROR(INDEX(계정대체기준!$D$20:$D$49,MATCH($N4389,계정대체기준!$A$20:$A$49,0)),0)))</f>
        <v/>
      </c>
      <c r="AB4389" s="94">
        <f>IF($A4389="",0,IF(AE4389="직접",IF(AF4389="수금비",$P4389,0),$P4389*(1-AG4389)*IFERROR(INDEX(계정대체기준!$E$20:$E$49,MATCH($N4389,계정대체기준!$A$20:$A$49,0)),0)))</f>
        <v/>
      </c>
      <c r="AC4389" s="9">
        <f>IF(AND($A4389&lt;&gt;"",M4389=설정!$C$20,Z4389&gt;0),Z4389+ROW()/1000000000,"")</f>
        <v/>
      </c>
      <c r="AD4389" s="94">
        <f>IF($A4389="",0,$P4389*AG4389)</f>
        <v/>
      </c>
      <c r="AE4389" s="64">
        <f>IF($A4389="","",IFERROR(INDEX(계정매핑!$E$5:$E$504,MATCH($F4389&amp;"",계정매핑!$A$5:$A$504,0))&amp;"","공통비"))</f>
        <v/>
      </c>
      <c r="AF4389" s="64">
        <f>IF($A4389="","",IF(AE4389="직접",IFERROR(INDEX(계정매핑!$F$5:$F$504,MATCH($F4389&amp;"",계정매핑!$A$5:$A$504,0))&amp;"","비귀속"),""))</f>
        <v/>
      </c>
      <c r="AG4389" s="96">
        <f>IF($A4389="",0,IF(AND(AE4389&lt;&gt;"직접",IFERROR(INDEX(계정매핑!$G$5:$G$504,MATCH($F4389&amp;"",계정매핑!$A$5:$A$504,0))&amp;"","")="유지비",COUNTIF(계정대체기준!$A$6:$A$15,$N4389)&gt;0),IFERROR(INDEX(계정대체기준!$E$6:$E$15,MATCH(VALUE($A4389&amp;""),계정대체기준!$D$6:$D$15,0)),0),0))</f>
        <v/>
      </c>
      <c r="AH4389" s="64">
        <f>IF($A4389="","",IF(AD4389=0,"",IF(OR(COUNTIF(계정대체기준!$A$77:$A$86,$N4389)&gt;0,ISNUMBER(MATCH($X4389,계정대체기준!$D$77:$D$86,0)),ISNUMBER(MATCH($F4389,계정대체기준!$D$77:$D$86,0))),"Y","N")))</f>
        <v/>
      </c>
    </row>
    <row r="4390">
      <c r="A4390" s="92" t="n">
        <v>2026</v>
      </c>
      <c r="B4390" s="92" t="n">
        <v>8</v>
      </c>
      <c r="C4390" s="92" t="inlineStr">
        <is>
          <t>5100001668</t>
        </is>
      </c>
      <c r="D4390" s="95" t="n">
        <v>46243</v>
      </c>
      <c r="E4390" s="92" t="inlineStr">
        <is>
          <t>KR</t>
        </is>
      </c>
      <c r="F4390" s="92" t="n">
        <v>62102000</v>
      </c>
      <c r="G4390" s="92" t="n">
        <v>1301</v>
      </c>
      <c r="H4390" s="93" t="n">
        <v>83000</v>
      </c>
      <c r="I4390" s="92" t="inlineStr">
        <is>
          <t>8월 해외출장 - M항공</t>
        </is>
      </c>
      <c r="J4390" s="92" t="inlineStr">
        <is>
          <t>V10001</t>
        </is>
      </c>
      <c r="K4390" s="92" t="inlineStr">
        <is>
          <t>M항공</t>
        </is>
      </c>
      <c r="M4390" s="9">
        <f>IF($A4390="","",VALUE($A4390&amp;"")*12+VALUE($B4390&amp;""))</f>
        <v/>
      </c>
      <c r="N4390" s="64">
        <f>IF($A4390="","",IFERROR(INDEX(부서매핑!$C$5:$C$504,MATCH($G4390&amp;"",부서매핑!$A$5:$A$504,0)),"미매핑"))</f>
        <v/>
      </c>
      <c r="O4390" s="9">
        <f>IF($A4390="","",N4390&amp;"|"&amp;$F4390)</f>
        <v/>
      </c>
      <c r="P4390" s="94">
        <f>IF($A4390="",0,$H4390*설정!$C$23)</f>
        <v/>
      </c>
      <c r="Q4390" s="64">
        <f>IF($A4390="","",IF(O4390&lt;&gt;원인분석!$C$9,"",IF(AND(M4390&gt;=원인분석!$C$10,M4390&lt;=원인분석!$C$11),"당기",IF(AND(M4390&gt;=원인분석!$C$12,M4390&lt;=원인분석!$C$13),"비교",""))))</f>
        <v/>
      </c>
      <c r="R4390" s="9">
        <f>IF(Q4390="","",$K4390&amp;"")</f>
        <v/>
      </c>
      <c r="S4390" s="9">
        <f>IF(Q4390="","",IF(MATCH(R4390,$R$5:$R$100000,0)=ROW()-4,ROW(),""))</f>
        <v/>
      </c>
      <c r="T4390" s="9">
        <f>IF(Q4390="당기",ABS(P4390)+ROW()/1000000000,"")</f>
        <v/>
      </c>
      <c r="U4390" s="9">
        <f>IF(Q4390="비교",ABS(P4390)+ROW()/1000000000,"")</f>
        <v/>
      </c>
      <c r="V4390" s="64">
        <f>IF($A4390="","",IF(COUNTIF(변동분석!$E$7:$E$506,O4390)&gt;0,"Y","N"))</f>
        <v/>
      </c>
      <c r="W4390" s="64">
        <f>IF($A4390="","",IFERROR(INDEX(계정매핑!$D$5:$D$504,MATCH($F4390&amp;"",계정매핑!$A$5:$A$504,0)),"미매핑"))</f>
        <v/>
      </c>
      <c r="X4390" s="9">
        <f>IF($A4390="","",$F4390&amp;"")</f>
        <v/>
      </c>
      <c r="Y4390" s="94">
        <f>IF($A4390="",0,IF(AE4390="직접",IF(AF4390="비귀속",$P4390,0),$P4390*(1-AG4390)*IFERROR(INDEX(계정대체기준!$F$20:$F$49,MATCH($N4390,계정대체기준!$A$20:$A$49,0)),1)))</f>
        <v/>
      </c>
      <c r="Z4390" s="94">
        <f>IF($A4390="",0,IF(AE4390="직접",IF(AF4390="신계약비",$P4390,0),$P4390*(1-AG4390)*IFERROR(INDEX(계정대체기준!$C$20:$C$49,MATCH($N4390,계정대체기준!$A$20:$A$49,0)),0)))</f>
        <v/>
      </c>
      <c r="AA4390" s="94">
        <f>IF($A4390="",0,IF(AE4390="직접",IF(OR(AF4390="유지비",AF4390="손해조사비"),$P4390,0),$P4390*(1-AG4390)*IFERROR(INDEX(계정대체기준!$D$20:$D$49,MATCH($N4390,계정대체기준!$A$20:$A$49,0)),0)))</f>
        <v/>
      </c>
      <c r="AB4390" s="94">
        <f>IF($A4390="",0,IF(AE4390="직접",IF(AF4390="수금비",$P4390,0),$P4390*(1-AG4390)*IFERROR(INDEX(계정대체기준!$E$20:$E$49,MATCH($N4390,계정대체기준!$A$20:$A$49,0)),0)))</f>
        <v/>
      </c>
      <c r="AC4390" s="9">
        <f>IF(AND($A4390&lt;&gt;"",M4390=설정!$C$20,Z4390&gt;0),Z4390+ROW()/1000000000,"")</f>
        <v/>
      </c>
      <c r="AD4390" s="94">
        <f>IF($A4390="",0,$P4390*AG4390)</f>
        <v/>
      </c>
      <c r="AE4390" s="64">
        <f>IF($A4390="","",IFERROR(INDEX(계정매핑!$E$5:$E$504,MATCH($F4390&amp;"",계정매핑!$A$5:$A$504,0))&amp;"","공통비"))</f>
        <v/>
      </c>
      <c r="AF4390" s="64">
        <f>IF($A4390="","",IF(AE4390="직접",IFERROR(INDEX(계정매핑!$F$5:$F$504,MATCH($F4390&amp;"",계정매핑!$A$5:$A$504,0))&amp;"","비귀속"),""))</f>
        <v/>
      </c>
      <c r="AG4390" s="96">
        <f>IF($A4390="",0,IF(AND(AE4390&lt;&gt;"직접",IFERROR(INDEX(계정매핑!$G$5:$G$504,MATCH($F4390&amp;"",계정매핑!$A$5:$A$504,0))&amp;"","")="유지비",COUNTIF(계정대체기준!$A$6:$A$15,$N4390)&gt;0),IFERROR(INDEX(계정대체기준!$E$6:$E$15,MATCH(VALUE($A4390&amp;""),계정대체기준!$D$6:$D$15,0)),0),0))</f>
        <v/>
      </c>
      <c r="AH4390" s="64">
        <f>IF($A4390="","",IF(AD4390=0,"",IF(OR(COUNTIF(계정대체기준!$A$77:$A$86,$N4390)&gt;0,ISNUMBER(MATCH($X4390,계정대체기준!$D$77:$D$86,0)),ISNUMBER(MATCH($F4390,계정대체기준!$D$77:$D$86,0))),"Y","N")))</f>
        <v/>
      </c>
    </row>
    <row r="4391">
      <c r="A4391" s="92" t="n">
        <v>2026</v>
      </c>
      <c r="B4391" s="92" t="n">
        <v>8</v>
      </c>
      <c r="C4391" s="92" t="inlineStr">
        <is>
          <t>5100001669</t>
        </is>
      </c>
      <c r="D4391" s="95" t="n">
        <v>46243</v>
      </c>
      <c r="E4391" s="92" t="inlineStr">
        <is>
          <t>KR</t>
        </is>
      </c>
      <c r="F4391" s="92" t="n">
        <v>62102000</v>
      </c>
      <c r="G4391" s="92" t="n">
        <v>1601</v>
      </c>
      <c r="H4391" s="93" t="n">
        <v>222000</v>
      </c>
      <c r="I4391" s="92" t="inlineStr">
        <is>
          <t>8월 해외출장 - M항공</t>
        </is>
      </c>
      <c r="J4391" s="92" t="inlineStr">
        <is>
          <t>V10001</t>
        </is>
      </c>
      <c r="K4391" s="92" t="inlineStr">
        <is>
          <t>M항공</t>
        </is>
      </c>
      <c r="M4391" s="9">
        <f>IF($A4391="","",VALUE($A4391&amp;"")*12+VALUE($B4391&amp;""))</f>
        <v/>
      </c>
      <c r="N4391" s="64">
        <f>IF($A4391="","",IFERROR(INDEX(부서매핑!$C$5:$C$504,MATCH($G4391&amp;"",부서매핑!$A$5:$A$504,0)),"미매핑"))</f>
        <v/>
      </c>
      <c r="O4391" s="9">
        <f>IF($A4391="","",N4391&amp;"|"&amp;$F4391)</f>
        <v/>
      </c>
      <c r="P4391" s="94">
        <f>IF($A4391="",0,$H4391*설정!$C$23)</f>
        <v/>
      </c>
      <c r="Q4391" s="64">
        <f>IF($A4391="","",IF(O4391&lt;&gt;원인분석!$C$9,"",IF(AND(M4391&gt;=원인분석!$C$10,M4391&lt;=원인분석!$C$11),"당기",IF(AND(M4391&gt;=원인분석!$C$12,M4391&lt;=원인분석!$C$13),"비교",""))))</f>
        <v/>
      </c>
      <c r="R4391" s="9">
        <f>IF(Q4391="","",$K4391&amp;"")</f>
        <v/>
      </c>
      <c r="S4391" s="9">
        <f>IF(Q4391="","",IF(MATCH(R4391,$R$5:$R$100000,0)=ROW()-4,ROW(),""))</f>
        <v/>
      </c>
      <c r="T4391" s="9">
        <f>IF(Q4391="당기",ABS(P4391)+ROW()/1000000000,"")</f>
        <v/>
      </c>
      <c r="U4391" s="9">
        <f>IF(Q4391="비교",ABS(P4391)+ROW()/1000000000,"")</f>
        <v/>
      </c>
      <c r="V4391" s="64">
        <f>IF($A4391="","",IF(COUNTIF(변동분석!$E$7:$E$506,O4391)&gt;0,"Y","N"))</f>
        <v/>
      </c>
      <c r="W4391" s="64">
        <f>IF($A4391="","",IFERROR(INDEX(계정매핑!$D$5:$D$504,MATCH($F4391&amp;"",계정매핑!$A$5:$A$504,0)),"미매핑"))</f>
        <v/>
      </c>
      <c r="X4391" s="9">
        <f>IF($A4391="","",$F4391&amp;"")</f>
        <v/>
      </c>
      <c r="Y4391" s="94">
        <f>IF($A4391="",0,IF(AE4391="직접",IF(AF4391="비귀속",$P4391,0),$P4391*(1-AG4391)*IFERROR(INDEX(계정대체기준!$F$20:$F$49,MATCH($N4391,계정대체기준!$A$20:$A$49,0)),1)))</f>
        <v/>
      </c>
      <c r="Z4391" s="94">
        <f>IF($A4391="",0,IF(AE4391="직접",IF(AF4391="신계약비",$P4391,0),$P4391*(1-AG4391)*IFERROR(INDEX(계정대체기준!$C$20:$C$49,MATCH($N4391,계정대체기준!$A$20:$A$49,0)),0)))</f>
        <v/>
      </c>
      <c r="AA4391" s="94">
        <f>IF($A4391="",0,IF(AE4391="직접",IF(OR(AF4391="유지비",AF4391="손해조사비"),$P4391,0),$P4391*(1-AG4391)*IFERROR(INDEX(계정대체기준!$D$20:$D$49,MATCH($N4391,계정대체기준!$A$20:$A$49,0)),0)))</f>
        <v/>
      </c>
      <c r="AB4391" s="94">
        <f>IF($A4391="",0,IF(AE4391="직접",IF(AF4391="수금비",$P4391,0),$P4391*(1-AG4391)*IFERROR(INDEX(계정대체기준!$E$20:$E$49,MATCH($N4391,계정대체기준!$A$20:$A$49,0)),0)))</f>
        <v/>
      </c>
      <c r="AC4391" s="9">
        <f>IF(AND($A4391&lt;&gt;"",M4391=설정!$C$20,Z4391&gt;0),Z4391+ROW()/1000000000,"")</f>
        <v/>
      </c>
      <c r="AD4391" s="94">
        <f>IF($A4391="",0,$P4391*AG4391)</f>
        <v/>
      </c>
      <c r="AE4391" s="64">
        <f>IF($A4391="","",IFERROR(INDEX(계정매핑!$E$5:$E$504,MATCH($F4391&amp;"",계정매핑!$A$5:$A$504,0))&amp;"","공통비"))</f>
        <v/>
      </c>
      <c r="AF4391" s="64">
        <f>IF($A4391="","",IF(AE4391="직접",IFERROR(INDEX(계정매핑!$F$5:$F$504,MATCH($F4391&amp;"",계정매핑!$A$5:$A$504,0))&amp;"","비귀속"),""))</f>
        <v/>
      </c>
      <c r="AG4391" s="96">
        <f>IF($A4391="",0,IF(AND(AE4391&lt;&gt;"직접",IFERROR(INDEX(계정매핑!$G$5:$G$504,MATCH($F4391&amp;"",계정매핑!$A$5:$A$504,0))&amp;"","")="유지비",COUNTIF(계정대체기준!$A$6:$A$15,$N4391)&gt;0),IFERROR(INDEX(계정대체기준!$E$6:$E$15,MATCH(VALUE($A4391&amp;""),계정대체기준!$D$6:$D$15,0)),0),0))</f>
        <v/>
      </c>
      <c r="AH4391" s="64">
        <f>IF($A4391="","",IF(AD4391=0,"",IF(OR(COUNTIF(계정대체기준!$A$77:$A$86,$N4391)&gt;0,ISNUMBER(MATCH($X4391,계정대체기준!$D$77:$D$86,0)),ISNUMBER(MATCH($F4391,계정대체기준!$D$77:$D$86,0))),"Y","N")))</f>
        <v/>
      </c>
    </row>
    <row r="4392">
      <c r="A4392" s="92" t="n">
        <v>2026</v>
      </c>
      <c r="B4392" s="92" t="n">
        <v>8</v>
      </c>
      <c r="C4392" s="92" t="inlineStr">
        <is>
          <t>5100001670</t>
        </is>
      </c>
      <c r="D4392" s="95" t="n">
        <v>46243</v>
      </c>
      <c r="E4392" s="92" t="inlineStr">
        <is>
          <t>KR</t>
        </is>
      </c>
      <c r="F4392" s="92" t="n">
        <v>62201000</v>
      </c>
      <c r="G4392" s="92" t="n">
        <v>1301</v>
      </c>
      <c r="H4392" s="93" t="n">
        <v>235000</v>
      </c>
      <c r="I4392" s="92" t="inlineStr">
        <is>
          <t>8월 통신요금 - O텔레콤</t>
        </is>
      </c>
      <c r="J4392" s="92" t="inlineStr">
        <is>
          <t>V10002</t>
        </is>
      </c>
      <c r="K4392" s="92" t="inlineStr">
        <is>
          <t>O텔레콤</t>
        </is>
      </c>
      <c r="M4392" s="9">
        <f>IF($A4392="","",VALUE($A4392&amp;"")*12+VALUE($B4392&amp;""))</f>
        <v/>
      </c>
      <c r="N4392" s="64">
        <f>IF($A4392="","",IFERROR(INDEX(부서매핑!$C$5:$C$504,MATCH($G4392&amp;"",부서매핑!$A$5:$A$504,0)),"미매핑"))</f>
        <v/>
      </c>
      <c r="O4392" s="9">
        <f>IF($A4392="","",N4392&amp;"|"&amp;$F4392)</f>
        <v/>
      </c>
      <c r="P4392" s="94">
        <f>IF($A4392="",0,$H4392*설정!$C$23)</f>
        <v/>
      </c>
      <c r="Q4392" s="64">
        <f>IF($A4392="","",IF(O4392&lt;&gt;원인분석!$C$9,"",IF(AND(M4392&gt;=원인분석!$C$10,M4392&lt;=원인분석!$C$11),"당기",IF(AND(M4392&gt;=원인분석!$C$12,M4392&lt;=원인분석!$C$13),"비교",""))))</f>
        <v/>
      </c>
      <c r="R4392" s="9">
        <f>IF(Q4392="","",$K4392&amp;"")</f>
        <v/>
      </c>
      <c r="S4392" s="9">
        <f>IF(Q4392="","",IF(MATCH(R4392,$R$5:$R$100000,0)=ROW()-4,ROW(),""))</f>
        <v/>
      </c>
      <c r="T4392" s="9">
        <f>IF(Q4392="당기",ABS(P4392)+ROW()/1000000000,"")</f>
        <v/>
      </c>
      <c r="U4392" s="9">
        <f>IF(Q4392="비교",ABS(P4392)+ROW()/1000000000,"")</f>
        <v/>
      </c>
      <c r="V4392" s="64">
        <f>IF($A4392="","",IF(COUNTIF(변동분석!$E$7:$E$506,O4392)&gt;0,"Y","N"))</f>
        <v/>
      </c>
      <c r="W4392" s="64">
        <f>IF($A4392="","",IFERROR(INDEX(계정매핑!$D$5:$D$504,MATCH($F4392&amp;"",계정매핑!$A$5:$A$504,0)),"미매핑"))</f>
        <v/>
      </c>
      <c r="X4392" s="9">
        <f>IF($A4392="","",$F4392&amp;"")</f>
        <v/>
      </c>
      <c r="Y4392" s="94">
        <f>IF($A4392="",0,IF(AE4392="직접",IF(AF4392="비귀속",$P4392,0),$P4392*(1-AG4392)*IFERROR(INDEX(계정대체기준!$F$20:$F$49,MATCH($N4392,계정대체기준!$A$20:$A$49,0)),1)))</f>
        <v/>
      </c>
      <c r="Z4392" s="94">
        <f>IF($A4392="",0,IF(AE4392="직접",IF(AF4392="신계약비",$P4392,0),$P4392*(1-AG4392)*IFERROR(INDEX(계정대체기준!$C$20:$C$49,MATCH($N4392,계정대체기준!$A$20:$A$49,0)),0)))</f>
        <v/>
      </c>
      <c r="AA4392" s="94">
        <f>IF($A4392="",0,IF(AE4392="직접",IF(OR(AF4392="유지비",AF4392="손해조사비"),$P4392,0),$P4392*(1-AG4392)*IFERROR(INDEX(계정대체기준!$D$20:$D$49,MATCH($N4392,계정대체기준!$A$20:$A$49,0)),0)))</f>
        <v/>
      </c>
      <c r="AB4392" s="94">
        <f>IF($A4392="",0,IF(AE4392="직접",IF(AF4392="수금비",$P4392,0),$P4392*(1-AG4392)*IFERROR(INDEX(계정대체기준!$E$20:$E$49,MATCH($N4392,계정대체기준!$A$20:$A$49,0)),0)))</f>
        <v/>
      </c>
      <c r="AC4392" s="9">
        <f>IF(AND($A4392&lt;&gt;"",M4392=설정!$C$20,Z4392&gt;0),Z4392+ROW()/1000000000,"")</f>
        <v/>
      </c>
      <c r="AD4392" s="94">
        <f>IF($A4392="",0,$P4392*AG4392)</f>
        <v/>
      </c>
      <c r="AE4392" s="64">
        <f>IF($A4392="","",IFERROR(INDEX(계정매핑!$E$5:$E$504,MATCH($F4392&amp;"",계정매핑!$A$5:$A$504,0))&amp;"","공통비"))</f>
        <v/>
      </c>
      <c r="AF4392" s="64">
        <f>IF($A4392="","",IF(AE4392="직접",IFERROR(INDEX(계정매핑!$F$5:$F$504,MATCH($F4392&amp;"",계정매핑!$A$5:$A$504,0))&amp;"","비귀속"),""))</f>
        <v/>
      </c>
      <c r="AG4392" s="96">
        <f>IF($A4392="",0,IF(AND(AE4392&lt;&gt;"직접",IFERROR(INDEX(계정매핑!$G$5:$G$504,MATCH($F4392&amp;"",계정매핑!$A$5:$A$504,0))&amp;"","")="유지비",COUNTIF(계정대체기준!$A$6:$A$15,$N4392)&gt;0),IFERROR(INDEX(계정대체기준!$E$6:$E$15,MATCH(VALUE($A4392&amp;""),계정대체기준!$D$6:$D$15,0)),0),0))</f>
        <v/>
      </c>
      <c r="AH4392" s="64">
        <f>IF($A4392="","",IF(AD4392=0,"",IF(OR(COUNTIF(계정대체기준!$A$77:$A$86,$N4392)&gt;0,ISNUMBER(MATCH($X4392,계정대체기준!$D$77:$D$86,0)),ISNUMBER(MATCH($F4392,계정대체기준!$D$77:$D$86,0))),"Y","N")))</f>
        <v/>
      </c>
    </row>
    <row r="4393">
      <c r="A4393" s="92" t="n">
        <v>2026</v>
      </c>
      <c r="B4393" s="92" t="n">
        <v>8</v>
      </c>
      <c r="C4393" s="92" t="inlineStr">
        <is>
          <t>5100001671</t>
        </is>
      </c>
      <c r="D4393" s="95" t="n">
        <v>46243</v>
      </c>
      <c r="E4393" s="92" t="inlineStr">
        <is>
          <t>KR</t>
        </is>
      </c>
      <c r="F4393" s="92" t="n">
        <v>62201000</v>
      </c>
      <c r="G4393" s="92" t="n">
        <v>1502</v>
      </c>
      <c r="H4393" s="93" t="n">
        <v>347000</v>
      </c>
      <c r="I4393" s="92" t="inlineStr">
        <is>
          <t>8월 통신요금 - O텔레콤</t>
        </is>
      </c>
      <c r="J4393" s="92" t="inlineStr">
        <is>
          <t>V10002</t>
        </is>
      </c>
      <c r="K4393" s="92" t="inlineStr">
        <is>
          <t>O텔레콤</t>
        </is>
      </c>
      <c r="M4393" s="9">
        <f>IF($A4393="","",VALUE($A4393&amp;"")*12+VALUE($B4393&amp;""))</f>
        <v/>
      </c>
      <c r="N4393" s="64">
        <f>IF($A4393="","",IFERROR(INDEX(부서매핑!$C$5:$C$504,MATCH($G4393&amp;"",부서매핑!$A$5:$A$504,0)),"미매핑"))</f>
        <v/>
      </c>
      <c r="O4393" s="9">
        <f>IF($A4393="","",N4393&amp;"|"&amp;$F4393)</f>
        <v/>
      </c>
      <c r="P4393" s="94">
        <f>IF($A4393="",0,$H4393*설정!$C$23)</f>
        <v/>
      </c>
      <c r="Q4393" s="64">
        <f>IF($A4393="","",IF(O4393&lt;&gt;원인분석!$C$9,"",IF(AND(M4393&gt;=원인분석!$C$10,M4393&lt;=원인분석!$C$11),"당기",IF(AND(M4393&gt;=원인분석!$C$12,M4393&lt;=원인분석!$C$13),"비교",""))))</f>
        <v/>
      </c>
      <c r="R4393" s="9">
        <f>IF(Q4393="","",$K4393&amp;"")</f>
        <v/>
      </c>
      <c r="S4393" s="9">
        <f>IF(Q4393="","",IF(MATCH(R4393,$R$5:$R$100000,0)=ROW()-4,ROW(),""))</f>
        <v/>
      </c>
      <c r="T4393" s="9">
        <f>IF(Q4393="당기",ABS(P4393)+ROW()/1000000000,"")</f>
        <v/>
      </c>
      <c r="U4393" s="9">
        <f>IF(Q4393="비교",ABS(P4393)+ROW()/1000000000,"")</f>
        <v/>
      </c>
      <c r="V4393" s="64">
        <f>IF($A4393="","",IF(COUNTIF(변동분석!$E$7:$E$506,O4393)&gt;0,"Y","N"))</f>
        <v/>
      </c>
      <c r="W4393" s="64">
        <f>IF($A4393="","",IFERROR(INDEX(계정매핑!$D$5:$D$504,MATCH($F4393&amp;"",계정매핑!$A$5:$A$504,0)),"미매핑"))</f>
        <v/>
      </c>
      <c r="X4393" s="9">
        <f>IF($A4393="","",$F4393&amp;"")</f>
        <v/>
      </c>
      <c r="Y4393" s="94">
        <f>IF($A4393="",0,IF(AE4393="직접",IF(AF4393="비귀속",$P4393,0),$P4393*(1-AG4393)*IFERROR(INDEX(계정대체기준!$F$20:$F$49,MATCH($N4393,계정대체기준!$A$20:$A$49,0)),1)))</f>
        <v/>
      </c>
      <c r="Z4393" s="94">
        <f>IF($A4393="",0,IF(AE4393="직접",IF(AF4393="신계약비",$P4393,0),$P4393*(1-AG4393)*IFERROR(INDEX(계정대체기준!$C$20:$C$49,MATCH($N4393,계정대체기준!$A$20:$A$49,0)),0)))</f>
        <v/>
      </c>
      <c r="AA4393" s="94">
        <f>IF($A4393="",0,IF(AE4393="직접",IF(OR(AF4393="유지비",AF4393="손해조사비"),$P4393,0),$P4393*(1-AG4393)*IFERROR(INDEX(계정대체기준!$D$20:$D$49,MATCH($N4393,계정대체기준!$A$20:$A$49,0)),0)))</f>
        <v/>
      </c>
      <c r="AB4393" s="94">
        <f>IF($A4393="",0,IF(AE4393="직접",IF(AF4393="수금비",$P4393,0),$P4393*(1-AG4393)*IFERROR(INDEX(계정대체기준!$E$20:$E$49,MATCH($N4393,계정대체기준!$A$20:$A$49,0)),0)))</f>
        <v/>
      </c>
      <c r="AC4393" s="9">
        <f>IF(AND($A4393&lt;&gt;"",M4393=설정!$C$20,Z4393&gt;0),Z4393+ROW()/1000000000,"")</f>
        <v/>
      </c>
      <c r="AD4393" s="94">
        <f>IF($A4393="",0,$P4393*AG4393)</f>
        <v/>
      </c>
      <c r="AE4393" s="64">
        <f>IF($A4393="","",IFERROR(INDEX(계정매핑!$E$5:$E$504,MATCH($F4393&amp;"",계정매핑!$A$5:$A$504,0))&amp;"","공통비"))</f>
        <v/>
      </c>
      <c r="AF4393" s="64">
        <f>IF($A4393="","",IF(AE4393="직접",IFERROR(INDEX(계정매핑!$F$5:$F$504,MATCH($F4393&amp;"",계정매핑!$A$5:$A$504,0))&amp;"","비귀속"),""))</f>
        <v/>
      </c>
      <c r="AG4393" s="96">
        <f>IF($A4393="",0,IF(AND(AE4393&lt;&gt;"직접",IFERROR(INDEX(계정매핑!$G$5:$G$504,MATCH($F4393&amp;"",계정매핑!$A$5:$A$504,0))&amp;"","")="유지비",COUNTIF(계정대체기준!$A$6:$A$15,$N4393)&gt;0),IFERROR(INDEX(계정대체기준!$E$6:$E$15,MATCH(VALUE($A4393&amp;""),계정대체기준!$D$6:$D$15,0)),0),0))</f>
        <v/>
      </c>
      <c r="AH4393" s="64">
        <f>IF($A4393="","",IF(AD4393=0,"",IF(OR(COUNTIF(계정대체기준!$A$77:$A$86,$N4393)&gt;0,ISNUMBER(MATCH($X4393,계정대체기준!$D$77:$D$86,0)),ISNUMBER(MATCH($F4393,계정대체기준!$D$77:$D$86,0))),"Y","N")))</f>
        <v/>
      </c>
    </row>
    <row r="4394">
      <c r="A4394" s="92" t="n">
        <v>2026</v>
      </c>
      <c r="B4394" s="92" t="n">
        <v>8</v>
      </c>
      <c r="C4394" s="92" t="inlineStr">
        <is>
          <t>5100001672</t>
        </is>
      </c>
      <c r="D4394" s="95" t="n">
        <v>46243</v>
      </c>
      <c r="E4394" s="92" t="inlineStr">
        <is>
          <t>KR</t>
        </is>
      </c>
      <c r="F4394" s="92" t="n">
        <v>62201000</v>
      </c>
      <c r="G4394" s="92" t="n">
        <v>1602</v>
      </c>
      <c r="H4394" s="93" t="n">
        <v>457000</v>
      </c>
      <c r="I4394" s="92" t="inlineStr">
        <is>
          <t>8월 통신요금 - O텔레콤</t>
        </is>
      </c>
      <c r="J4394" s="92" t="inlineStr">
        <is>
          <t>V10002</t>
        </is>
      </c>
      <c r="K4394" s="92" t="inlineStr">
        <is>
          <t>O텔레콤</t>
        </is>
      </c>
      <c r="M4394" s="9">
        <f>IF($A4394="","",VALUE($A4394&amp;"")*12+VALUE($B4394&amp;""))</f>
        <v/>
      </c>
      <c r="N4394" s="64">
        <f>IF($A4394="","",IFERROR(INDEX(부서매핑!$C$5:$C$504,MATCH($G4394&amp;"",부서매핑!$A$5:$A$504,0)),"미매핑"))</f>
        <v/>
      </c>
      <c r="O4394" s="9">
        <f>IF($A4394="","",N4394&amp;"|"&amp;$F4394)</f>
        <v/>
      </c>
      <c r="P4394" s="94">
        <f>IF($A4394="",0,$H4394*설정!$C$23)</f>
        <v/>
      </c>
      <c r="Q4394" s="64">
        <f>IF($A4394="","",IF(O4394&lt;&gt;원인분석!$C$9,"",IF(AND(M4394&gt;=원인분석!$C$10,M4394&lt;=원인분석!$C$11),"당기",IF(AND(M4394&gt;=원인분석!$C$12,M4394&lt;=원인분석!$C$13),"비교",""))))</f>
        <v/>
      </c>
      <c r="R4394" s="9">
        <f>IF(Q4394="","",$K4394&amp;"")</f>
        <v/>
      </c>
      <c r="S4394" s="9">
        <f>IF(Q4394="","",IF(MATCH(R4394,$R$5:$R$100000,0)=ROW()-4,ROW(),""))</f>
        <v/>
      </c>
      <c r="T4394" s="9">
        <f>IF(Q4394="당기",ABS(P4394)+ROW()/1000000000,"")</f>
        <v/>
      </c>
      <c r="U4394" s="9">
        <f>IF(Q4394="비교",ABS(P4394)+ROW()/1000000000,"")</f>
        <v/>
      </c>
      <c r="V4394" s="64">
        <f>IF($A4394="","",IF(COUNTIF(변동분석!$E$7:$E$506,O4394)&gt;0,"Y","N"))</f>
        <v/>
      </c>
      <c r="W4394" s="64">
        <f>IF($A4394="","",IFERROR(INDEX(계정매핑!$D$5:$D$504,MATCH($F4394&amp;"",계정매핑!$A$5:$A$504,0)),"미매핑"))</f>
        <v/>
      </c>
      <c r="X4394" s="9">
        <f>IF($A4394="","",$F4394&amp;"")</f>
        <v/>
      </c>
      <c r="Y4394" s="94">
        <f>IF($A4394="",0,IF(AE4394="직접",IF(AF4394="비귀속",$P4394,0),$P4394*(1-AG4394)*IFERROR(INDEX(계정대체기준!$F$20:$F$49,MATCH($N4394,계정대체기준!$A$20:$A$49,0)),1)))</f>
        <v/>
      </c>
      <c r="Z4394" s="94">
        <f>IF($A4394="",0,IF(AE4394="직접",IF(AF4394="신계약비",$P4394,0),$P4394*(1-AG4394)*IFERROR(INDEX(계정대체기준!$C$20:$C$49,MATCH($N4394,계정대체기준!$A$20:$A$49,0)),0)))</f>
        <v/>
      </c>
      <c r="AA4394" s="94">
        <f>IF($A4394="",0,IF(AE4394="직접",IF(OR(AF4394="유지비",AF4394="손해조사비"),$P4394,0),$P4394*(1-AG4394)*IFERROR(INDEX(계정대체기준!$D$20:$D$49,MATCH($N4394,계정대체기준!$A$20:$A$49,0)),0)))</f>
        <v/>
      </c>
      <c r="AB4394" s="94">
        <f>IF($A4394="",0,IF(AE4394="직접",IF(AF4394="수금비",$P4394,0),$P4394*(1-AG4394)*IFERROR(INDEX(계정대체기준!$E$20:$E$49,MATCH($N4394,계정대체기준!$A$20:$A$49,0)),0)))</f>
        <v/>
      </c>
      <c r="AC4394" s="9">
        <f>IF(AND($A4394&lt;&gt;"",M4394=설정!$C$20,Z4394&gt;0),Z4394+ROW()/1000000000,"")</f>
        <v/>
      </c>
      <c r="AD4394" s="94">
        <f>IF($A4394="",0,$P4394*AG4394)</f>
        <v/>
      </c>
      <c r="AE4394" s="64">
        <f>IF($A4394="","",IFERROR(INDEX(계정매핑!$E$5:$E$504,MATCH($F4394&amp;"",계정매핑!$A$5:$A$504,0))&amp;"","공통비"))</f>
        <v/>
      </c>
      <c r="AF4394" s="64">
        <f>IF($A4394="","",IF(AE4394="직접",IFERROR(INDEX(계정매핑!$F$5:$F$504,MATCH($F4394&amp;"",계정매핑!$A$5:$A$504,0))&amp;"","비귀속"),""))</f>
        <v/>
      </c>
      <c r="AG4394" s="96">
        <f>IF($A4394="",0,IF(AND(AE4394&lt;&gt;"직접",IFERROR(INDEX(계정매핑!$G$5:$G$504,MATCH($F4394&amp;"",계정매핑!$A$5:$A$504,0))&amp;"","")="유지비",COUNTIF(계정대체기준!$A$6:$A$15,$N4394)&gt;0),IFERROR(INDEX(계정대체기준!$E$6:$E$15,MATCH(VALUE($A4394&amp;""),계정대체기준!$D$6:$D$15,0)),0),0))</f>
        <v/>
      </c>
      <c r="AH4394" s="64">
        <f>IF($A4394="","",IF(AD4394=0,"",IF(OR(COUNTIF(계정대체기준!$A$77:$A$86,$N4394)&gt;0,ISNUMBER(MATCH($X4394,계정대체기준!$D$77:$D$86,0)),ISNUMBER(MATCH($F4394,계정대체기준!$D$77:$D$86,0))),"Y","N")))</f>
        <v/>
      </c>
    </row>
    <row r="4395">
      <c r="A4395" s="92" t="n">
        <v>2026</v>
      </c>
      <c r="B4395" s="92" t="n">
        <v>8</v>
      </c>
      <c r="C4395" s="92" t="inlineStr">
        <is>
          <t>5100001673</t>
        </is>
      </c>
      <c r="D4395" s="95" t="n">
        <v>46243</v>
      </c>
      <c r="E4395" s="92" t="inlineStr">
        <is>
          <t>KR</t>
        </is>
      </c>
      <c r="F4395" s="92" t="n">
        <v>62301000</v>
      </c>
      <c r="G4395" s="92" t="n">
        <v>1301</v>
      </c>
      <c r="H4395" s="93" t="n">
        <v>271000</v>
      </c>
      <c r="I4395" s="92" t="inlineStr">
        <is>
          <t>8월 소모품 구입 - Q오피스</t>
        </is>
      </c>
      <c r="J4395" s="92" t="inlineStr">
        <is>
          <t>V10003</t>
        </is>
      </c>
      <c r="K4395" s="92" t="inlineStr">
        <is>
          <t>Q오피스</t>
        </is>
      </c>
      <c r="M4395" s="9">
        <f>IF($A4395="","",VALUE($A4395&amp;"")*12+VALUE($B4395&amp;""))</f>
        <v/>
      </c>
      <c r="N4395" s="64">
        <f>IF($A4395="","",IFERROR(INDEX(부서매핑!$C$5:$C$504,MATCH($G4395&amp;"",부서매핑!$A$5:$A$504,0)),"미매핑"))</f>
        <v/>
      </c>
      <c r="O4395" s="9">
        <f>IF($A4395="","",N4395&amp;"|"&amp;$F4395)</f>
        <v/>
      </c>
      <c r="P4395" s="94">
        <f>IF($A4395="",0,$H4395*설정!$C$23)</f>
        <v/>
      </c>
      <c r="Q4395" s="64">
        <f>IF($A4395="","",IF(O4395&lt;&gt;원인분석!$C$9,"",IF(AND(M4395&gt;=원인분석!$C$10,M4395&lt;=원인분석!$C$11),"당기",IF(AND(M4395&gt;=원인분석!$C$12,M4395&lt;=원인분석!$C$13),"비교",""))))</f>
        <v/>
      </c>
      <c r="R4395" s="9">
        <f>IF(Q4395="","",$K4395&amp;"")</f>
        <v/>
      </c>
      <c r="S4395" s="9">
        <f>IF(Q4395="","",IF(MATCH(R4395,$R$5:$R$100000,0)=ROW()-4,ROW(),""))</f>
        <v/>
      </c>
      <c r="T4395" s="9">
        <f>IF(Q4395="당기",ABS(P4395)+ROW()/1000000000,"")</f>
        <v/>
      </c>
      <c r="U4395" s="9">
        <f>IF(Q4395="비교",ABS(P4395)+ROW()/1000000000,"")</f>
        <v/>
      </c>
      <c r="V4395" s="64">
        <f>IF($A4395="","",IF(COUNTIF(변동분석!$E$7:$E$506,O4395)&gt;0,"Y","N"))</f>
        <v/>
      </c>
      <c r="W4395" s="64">
        <f>IF($A4395="","",IFERROR(INDEX(계정매핑!$D$5:$D$504,MATCH($F4395&amp;"",계정매핑!$A$5:$A$504,0)),"미매핑"))</f>
        <v/>
      </c>
      <c r="X4395" s="9">
        <f>IF($A4395="","",$F4395&amp;"")</f>
        <v/>
      </c>
      <c r="Y4395" s="94">
        <f>IF($A4395="",0,IF(AE4395="직접",IF(AF4395="비귀속",$P4395,0),$P4395*(1-AG4395)*IFERROR(INDEX(계정대체기준!$F$20:$F$49,MATCH($N4395,계정대체기준!$A$20:$A$49,0)),1)))</f>
        <v/>
      </c>
      <c r="Z4395" s="94">
        <f>IF($A4395="",0,IF(AE4395="직접",IF(AF4395="신계약비",$P4395,0),$P4395*(1-AG4395)*IFERROR(INDEX(계정대체기준!$C$20:$C$49,MATCH($N4395,계정대체기준!$A$20:$A$49,0)),0)))</f>
        <v/>
      </c>
      <c r="AA4395" s="94">
        <f>IF($A4395="",0,IF(AE4395="직접",IF(OR(AF4395="유지비",AF4395="손해조사비"),$P4395,0),$P4395*(1-AG4395)*IFERROR(INDEX(계정대체기준!$D$20:$D$49,MATCH($N4395,계정대체기준!$A$20:$A$49,0)),0)))</f>
        <v/>
      </c>
      <c r="AB4395" s="94">
        <f>IF($A4395="",0,IF(AE4395="직접",IF(AF4395="수금비",$P4395,0),$P4395*(1-AG4395)*IFERROR(INDEX(계정대체기준!$E$20:$E$49,MATCH($N4395,계정대체기준!$A$20:$A$49,0)),0)))</f>
        <v/>
      </c>
      <c r="AC4395" s="9">
        <f>IF(AND($A4395&lt;&gt;"",M4395=설정!$C$20,Z4395&gt;0),Z4395+ROW()/1000000000,"")</f>
        <v/>
      </c>
      <c r="AD4395" s="94">
        <f>IF($A4395="",0,$P4395*AG4395)</f>
        <v/>
      </c>
      <c r="AE4395" s="64">
        <f>IF($A4395="","",IFERROR(INDEX(계정매핑!$E$5:$E$504,MATCH($F4395&amp;"",계정매핑!$A$5:$A$504,0))&amp;"","공통비"))</f>
        <v/>
      </c>
      <c r="AF4395" s="64">
        <f>IF($A4395="","",IF(AE4395="직접",IFERROR(INDEX(계정매핑!$F$5:$F$504,MATCH($F4395&amp;"",계정매핑!$A$5:$A$504,0))&amp;"","비귀속"),""))</f>
        <v/>
      </c>
      <c r="AG4395" s="96">
        <f>IF($A4395="",0,IF(AND(AE4395&lt;&gt;"직접",IFERROR(INDEX(계정매핑!$G$5:$G$504,MATCH($F4395&amp;"",계정매핑!$A$5:$A$504,0))&amp;"","")="유지비",COUNTIF(계정대체기준!$A$6:$A$15,$N4395)&gt;0),IFERROR(INDEX(계정대체기준!$E$6:$E$15,MATCH(VALUE($A4395&amp;""),계정대체기준!$D$6:$D$15,0)),0),0))</f>
        <v/>
      </c>
      <c r="AH4395" s="64">
        <f>IF($A4395="","",IF(AD4395=0,"",IF(OR(COUNTIF(계정대체기준!$A$77:$A$86,$N4395)&gt;0,ISNUMBER(MATCH($X4395,계정대체기준!$D$77:$D$86,0)),ISNUMBER(MATCH($F4395,계정대체기준!$D$77:$D$86,0))),"Y","N")))</f>
        <v/>
      </c>
    </row>
    <row r="4396">
      <c r="A4396" s="92" t="n">
        <v>2026</v>
      </c>
      <c r="B4396" s="92" t="n">
        <v>8</v>
      </c>
      <c r="C4396" s="92" t="inlineStr">
        <is>
          <t>5100001674</t>
        </is>
      </c>
      <c r="D4396" s="95" t="n">
        <v>46243</v>
      </c>
      <c r="E4396" s="92" t="inlineStr">
        <is>
          <t>KR</t>
        </is>
      </c>
      <c r="F4396" s="92" t="n">
        <v>62301000</v>
      </c>
      <c r="G4396" s="92" t="n">
        <v>1502</v>
      </c>
      <c r="H4396" s="93" t="n">
        <v>223000</v>
      </c>
      <c r="I4396" s="92" t="inlineStr">
        <is>
          <t>8월 소모품 구입 - R문구</t>
        </is>
      </c>
      <c r="J4396" s="92" t="inlineStr">
        <is>
          <t>V10022</t>
        </is>
      </c>
      <c r="K4396" s="92" t="inlineStr">
        <is>
          <t>R문구</t>
        </is>
      </c>
      <c r="M4396" s="9">
        <f>IF($A4396="","",VALUE($A4396&amp;"")*12+VALUE($B4396&amp;""))</f>
        <v/>
      </c>
      <c r="N4396" s="64">
        <f>IF($A4396="","",IFERROR(INDEX(부서매핑!$C$5:$C$504,MATCH($G4396&amp;"",부서매핑!$A$5:$A$504,0)),"미매핑"))</f>
        <v/>
      </c>
      <c r="O4396" s="9">
        <f>IF($A4396="","",N4396&amp;"|"&amp;$F4396)</f>
        <v/>
      </c>
      <c r="P4396" s="94">
        <f>IF($A4396="",0,$H4396*설정!$C$23)</f>
        <v/>
      </c>
      <c r="Q4396" s="64">
        <f>IF($A4396="","",IF(O4396&lt;&gt;원인분석!$C$9,"",IF(AND(M4396&gt;=원인분석!$C$10,M4396&lt;=원인분석!$C$11),"당기",IF(AND(M4396&gt;=원인분석!$C$12,M4396&lt;=원인분석!$C$13),"비교",""))))</f>
        <v/>
      </c>
      <c r="R4396" s="9">
        <f>IF(Q4396="","",$K4396&amp;"")</f>
        <v/>
      </c>
      <c r="S4396" s="9">
        <f>IF(Q4396="","",IF(MATCH(R4396,$R$5:$R$100000,0)=ROW()-4,ROW(),""))</f>
        <v/>
      </c>
      <c r="T4396" s="9">
        <f>IF(Q4396="당기",ABS(P4396)+ROW()/1000000000,"")</f>
        <v/>
      </c>
      <c r="U4396" s="9">
        <f>IF(Q4396="비교",ABS(P4396)+ROW()/1000000000,"")</f>
        <v/>
      </c>
      <c r="V4396" s="64">
        <f>IF($A4396="","",IF(COUNTIF(변동분석!$E$7:$E$506,O4396)&gt;0,"Y","N"))</f>
        <v/>
      </c>
      <c r="W4396" s="64">
        <f>IF($A4396="","",IFERROR(INDEX(계정매핑!$D$5:$D$504,MATCH($F4396&amp;"",계정매핑!$A$5:$A$504,0)),"미매핑"))</f>
        <v/>
      </c>
      <c r="X4396" s="9">
        <f>IF($A4396="","",$F4396&amp;"")</f>
        <v/>
      </c>
      <c r="Y4396" s="94">
        <f>IF($A4396="",0,IF(AE4396="직접",IF(AF4396="비귀속",$P4396,0),$P4396*(1-AG4396)*IFERROR(INDEX(계정대체기준!$F$20:$F$49,MATCH($N4396,계정대체기준!$A$20:$A$49,0)),1)))</f>
        <v/>
      </c>
      <c r="Z4396" s="94">
        <f>IF($A4396="",0,IF(AE4396="직접",IF(AF4396="신계약비",$P4396,0),$P4396*(1-AG4396)*IFERROR(INDEX(계정대체기준!$C$20:$C$49,MATCH($N4396,계정대체기준!$A$20:$A$49,0)),0)))</f>
        <v/>
      </c>
      <c r="AA4396" s="94">
        <f>IF($A4396="",0,IF(AE4396="직접",IF(OR(AF4396="유지비",AF4396="손해조사비"),$P4396,0),$P4396*(1-AG4396)*IFERROR(INDEX(계정대체기준!$D$20:$D$49,MATCH($N4396,계정대체기준!$A$20:$A$49,0)),0)))</f>
        <v/>
      </c>
      <c r="AB4396" s="94">
        <f>IF($A4396="",0,IF(AE4396="직접",IF(AF4396="수금비",$P4396,0),$P4396*(1-AG4396)*IFERROR(INDEX(계정대체기준!$E$20:$E$49,MATCH($N4396,계정대체기준!$A$20:$A$49,0)),0)))</f>
        <v/>
      </c>
      <c r="AC4396" s="9">
        <f>IF(AND($A4396&lt;&gt;"",M4396=설정!$C$20,Z4396&gt;0),Z4396+ROW()/1000000000,"")</f>
        <v/>
      </c>
      <c r="AD4396" s="94">
        <f>IF($A4396="",0,$P4396*AG4396)</f>
        <v/>
      </c>
      <c r="AE4396" s="64">
        <f>IF($A4396="","",IFERROR(INDEX(계정매핑!$E$5:$E$504,MATCH($F4396&amp;"",계정매핑!$A$5:$A$504,0))&amp;"","공통비"))</f>
        <v/>
      </c>
      <c r="AF4396" s="64">
        <f>IF($A4396="","",IF(AE4396="직접",IFERROR(INDEX(계정매핑!$F$5:$F$504,MATCH($F4396&amp;"",계정매핑!$A$5:$A$504,0))&amp;"","비귀속"),""))</f>
        <v/>
      </c>
      <c r="AG4396" s="96">
        <f>IF($A4396="",0,IF(AND(AE4396&lt;&gt;"직접",IFERROR(INDEX(계정매핑!$G$5:$G$504,MATCH($F4396&amp;"",계정매핑!$A$5:$A$504,0))&amp;"","")="유지비",COUNTIF(계정대체기준!$A$6:$A$15,$N4396)&gt;0),IFERROR(INDEX(계정대체기준!$E$6:$E$15,MATCH(VALUE($A4396&amp;""),계정대체기준!$D$6:$D$15,0)),0),0))</f>
        <v/>
      </c>
      <c r="AH4396" s="64">
        <f>IF($A4396="","",IF(AD4396=0,"",IF(OR(COUNTIF(계정대체기준!$A$77:$A$86,$N4396)&gt;0,ISNUMBER(MATCH($X4396,계정대체기준!$D$77:$D$86,0)),ISNUMBER(MATCH($F4396,계정대체기준!$D$77:$D$86,0))),"Y","N")))</f>
        <v/>
      </c>
    </row>
    <row r="4397">
      <c r="A4397" s="92" t="n">
        <v>2026</v>
      </c>
      <c r="B4397" s="92" t="n">
        <v>8</v>
      </c>
      <c r="C4397" s="92" t="inlineStr">
        <is>
          <t>5100001675</t>
        </is>
      </c>
      <c r="D4397" s="95" t="n">
        <v>46243</v>
      </c>
      <c r="E4397" s="92" t="inlineStr">
        <is>
          <t>KR</t>
        </is>
      </c>
      <c r="F4397" s="92" t="n">
        <v>62801000</v>
      </c>
      <c r="G4397" s="92" t="n">
        <v>1301</v>
      </c>
      <c r="H4397" s="93" t="n">
        <v>4603000</v>
      </c>
      <c r="I4397" s="92" t="inlineStr">
        <is>
          <t>8월 사내교육 - U에듀</t>
        </is>
      </c>
      <c r="J4397" s="92" t="inlineStr">
        <is>
          <t>V10031</t>
        </is>
      </c>
      <c r="K4397" s="92" t="inlineStr">
        <is>
          <t>U에듀</t>
        </is>
      </c>
      <c r="M4397" s="9">
        <f>IF($A4397="","",VALUE($A4397&amp;"")*12+VALUE($B4397&amp;""))</f>
        <v/>
      </c>
      <c r="N4397" s="64">
        <f>IF($A4397="","",IFERROR(INDEX(부서매핑!$C$5:$C$504,MATCH($G4397&amp;"",부서매핑!$A$5:$A$504,0)),"미매핑"))</f>
        <v/>
      </c>
      <c r="O4397" s="9">
        <f>IF($A4397="","",N4397&amp;"|"&amp;$F4397)</f>
        <v/>
      </c>
      <c r="P4397" s="94">
        <f>IF($A4397="",0,$H4397*설정!$C$23)</f>
        <v/>
      </c>
      <c r="Q4397" s="64">
        <f>IF($A4397="","",IF(O4397&lt;&gt;원인분석!$C$9,"",IF(AND(M4397&gt;=원인분석!$C$10,M4397&lt;=원인분석!$C$11),"당기",IF(AND(M4397&gt;=원인분석!$C$12,M4397&lt;=원인분석!$C$13),"비교",""))))</f>
        <v/>
      </c>
      <c r="R4397" s="9">
        <f>IF(Q4397="","",$K4397&amp;"")</f>
        <v/>
      </c>
      <c r="S4397" s="9">
        <f>IF(Q4397="","",IF(MATCH(R4397,$R$5:$R$100000,0)=ROW()-4,ROW(),""))</f>
        <v/>
      </c>
      <c r="T4397" s="9">
        <f>IF(Q4397="당기",ABS(P4397)+ROW()/1000000000,"")</f>
        <v/>
      </c>
      <c r="U4397" s="9">
        <f>IF(Q4397="비교",ABS(P4397)+ROW()/1000000000,"")</f>
        <v/>
      </c>
      <c r="V4397" s="64">
        <f>IF($A4397="","",IF(COUNTIF(변동분석!$E$7:$E$506,O4397)&gt;0,"Y","N"))</f>
        <v/>
      </c>
      <c r="W4397" s="64">
        <f>IF($A4397="","",IFERROR(INDEX(계정매핑!$D$5:$D$504,MATCH($F4397&amp;"",계정매핑!$A$5:$A$504,0)),"미매핑"))</f>
        <v/>
      </c>
      <c r="X4397" s="9">
        <f>IF($A4397="","",$F4397&amp;"")</f>
        <v/>
      </c>
      <c r="Y4397" s="94">
        <f>IF($A4397="",0,IF(AE4397="직접",IF(AF4397="비귀속",$P4397,0),$P4397*(1-AG4397)*IFERROR(INDEX(계정대체기준!$F$20:$F$49,MATCH($N4397,계정대체기준!$A$20:$A$49,0)),1)))</f>
        <v/>
      </c>
      <c r="Z4397" s="94">
        <f>IF($A4397="",0,IF(AE4397="직접",IF(AF4397="신계약비",$P4397,0),$P4397*(1-AG4397)*IFERROR(INDEX(계정대체기준!$C$20:$C$49,MATCH($N4397,계정대체기준!$A$20:$A$49,0)),0)))</f>
        <v/>
      </c>
      <c r="AA4397" s="94">
        <f>IF($A4397="",0,IF(AE4397="직접",IF(OR(AF4397="유지비",AF4397="손해조사비"),$P4397,0),$P4397*(1-AG4397)*IFERROR(INDEX(계정대체기준!$D$20:$D$49,MATCH($N4397,계정대체기준!$A$20:$A$49,0)),0)))</f>
        <v/>
      </c>
      <c r="AB4397" s="94">
        <f>IF($A4397="",0,IF(AE4397="직접",IF(AF4397="수금비",$P4397,0),$P4397*(1-AG4397)*IFERROR(INDEX(계정대체기준!$E$20:$E$49,MATCH($N4397,계정대체기준!$A$20:$A$49,0)),0)))</f>
        <v/>
      </c>
      <c r="AC4397" s="9">
        <f>IF(AND($A4397&lt;&gt;"",M4397=설정!$C$20,Z4397&gt;0),Z4397+ROW()/1000000000,"")</f>
        <v/>
      </c>
      <c r="AD4397" s="94">
        <f>IF($A4397="",0,$P4397*AG4397)</f>
        <v/>
      </c>
      <c r="AE4397" s="64">
        <f>IF($A4397="","",IFERROR(INDEX(계정매핑!$E$5:$E$504,MATCH($F4397&amp;"",계정매핑!$A$5:$A$504,0))&amp;"","공통비"))</f>
        <v/>
      </c>
      <c r="AF4397" s="64">
        <f>IF($A4397="","",IF(AE4397="직접",IFERROR(INDEX(계정매핑!$F$5:$F$504,MATCH($F4397&amp;"",계정매핑!$A$5:$A$504,0))&amp;"","비귀속"),""))</f>
        <v/>
      </c>
      <c r="AG4397" s="96">
        <f>IF($A4397="",0,IF(AND(AE4397&lt;&gt;"직접",IFERROR(INDEX(계정매핑!$G$5:$G$504,MATCH($F4397&amp;"",계정매핑!$A$5:$A$504,0))&amp;"","")="유지비",COUNTIF(계정대체기준!$A$6:$A$15,$N4397)&gt;0),IFERROR(INDEX(계정대체기준!$E$6:$E$15,MATCH(VALUE($A4397&amp;""),계정대체기준!$D$6:$D$15,0)),0),0))</f>
        <v/>
      </c>
      <c r="AH4397" s="64">
        <f>IF($A4397="","",IF(AD4397=0,"",IF(OR(COUNTIF(계정대체기준!$A$77:$A$86,$N4397)&gt;0,ISNUMBER(MATCH($X4397,계정대체기준!$D$77:$D$86,0)),ISNUMBER(MATCH($F4397,계정대체기준!$D$77:$D$86,0))),"Y","N")))</f>
        <v/>
      </c>
    </row>
    <row r="4398">
      <c r="A4398" s="92" t="n">
        <v>2026</v>
      </c>
      <c r="B4398" s="92" t="n">
        <v>8</v>
      </c>
      <c r="C4398" s="92" t="inlineStr">
        <is>
          <t>5100001676</t>
        </is>
      </c>
      <c r="D4398" s="95" t="n">
        <v>46243</v>
      </c>
      <c r="E4398" s="92" t="inlineStr">
        <is>
          <t>KR</t>
        </is>
      </c>
      <c r="F4398" s="92" t="n">
        <v>62901000</v>
      </c>
      <c r="G4398" s="92" t="n">
        <v>1401</v>
      </c>
      <c r="H4398" s="93" t="n">
        <v>4665000</v>
      </c>
      <c r="I4398" s="92" t="inlineStr">
        <is>
          <t>8월 자문 수수료 - K회계법인</t>
        </is>
      </c>
      <c r="J4398" s="92" t="inlineStr">
        <is>
          <t>V10011</t>
        </is>
      </c>
      <c r="K4398" s="92" t="inlineStr">
        <is>
          <t>K회계법인</t>
        </is>
      </c>
      <c r="M4398" s="9">
        <f>IF($A4398="","",VALUE($A4398&amp;"")*12+VALUE($B4398&amp;""))</f>
        <v/>
      </c>
      <c r="N4398" s="64">
        <f>IF($A4398="","",IFERROR(INDEX(부서매핑!$C$5:$C$504,MATCH($G4398&amp;"",부서매핑!$A$5:$A$504,0)),"미매핑"))</f>
        <v/>
      </c>
      <c r="O4398" s="9">
        <f>IF($A4398="","",N4398&amp;"|"&amp;$F4398)</f>
        <v/>
      </c>
      <c r="P4398" s="94">
        <f>IF($A4398="",0,$H4398*설정!$C$23)</f>
        <v/>
      </c>
      <c r="Q4398" s="64">
        <f>IF($A4398="","",IF(O4398&lt;&gt;원인분석!$C$9,"",IF(AND(M4398&gt;=원인분석!$C$10,M4398&lt;=원인분석!$C$11),"당기",IF(AND(M4398&gt;=원인분석!$C$12,M4398&lt;=원인분석!$C$13),"비교",""))))</f>
        <v/>
      </c>
      <c r="R4398" s="9">
        <f>IF(Q4398="","",$K4398&amp;"")</f>
        <v/>
      </c>
      <c r="S4398" s="9">
        <f>IF(Q4398="","",IF(MATCH(R4398,$R$5:$R$100000,0)=ROW()-4,ROW(),""))</f>
        <v/>
      </c>
      <c r="T4398" s="9">
        <f>IF(Q4398="당기",ABS(P4398)+ROW()/1000000000,"")</f>
        <v/>
      </c>
      <c r="U4398" s="9">
        <f>IF(Q4398="비교",ABS(P4398)+ROW()/1000000000,"")</f>
        <v/>
      </c>
      <c r="V4398" s="64">
        <f>IF($A4398="","",IF(COUNTIF(변동분석!$E$7:$E$506,O4398)&gt;0,"Y","N"))</f>
        <v/>
      </c>
      <c r="W4398" s="64">
        <f>IF($A4398="","",IFERROR(INDEX(계정매핑!$D$5:$D$504,MATCH($F4398&amp;"",계정매핑!$A$5:$A$504,0)),"미매핑"))</f>
        <v/>
      </c>
      <c r="X4398" s="9">
        <f>IF($A4398="","",$F4398&amp;"")</f>
        <v/>
      </c>
      <c r="Y4398" s="94">
        <f>IF($A4398="",0,IF(AE4398="직접",IF(AF4398="비귀속",$P4398,0),$P4398*(1-AG4398)*IFERROR(INDEX(계정대체기준!$F$20:$F$49,MATCH($N4398,계정대체기준!$A$20:$A$49,0)),1)))</f>
        <v/>
      </c>
      <c r="Z4398" s="94">
        <f>IF($A4398="",0,IF(AE4398="직접",IF(AF4398="신계약비",$P4398,0),$P4398*(1-AG4398)*IFERROR(INDEX(계정대체기준!$C$20:$C$49,MATCH($N4398,계정대체기준!$A$20:$A$49,0)),0)))</f>
        <v/>
      </c>
      <c r="AA4398" s="94">
        <f>IF($A4398="",0,IF(AE4398="직접",IF(OR(AF4398="유지비",AF4398="손해조사비"),$P4398,0),$P4398*(1-AG4398)*IFERROR(INDEX(계정대체기준!$D$20:$D$49,MATCH($N4398,계정대체기준!$A$20:$A$49,0)),0)))</f>
        <v/>
      </c>
      <c r="AB4398" s="94">
        <f>IF($A4398="",0,IF(AE4398="직접",IF(AF4398="수금비",$P4398,0),$P4398*(1-AG4398)*IFERROR(INDEX(계정대체기준!$E$20:$E$49,MATCH($N4398,계정대체기준!$A$20:$A$49,0)),0)))</f>
        <v/>
      </c>
      <c r="AC4398" s="9">
        <f>IF(AND($A4398&lt;&gt;"",M4398=설정!$C$20,Z4398&gt;0),Z4398+ROW()/1000000000,"")</f>
        <v/>
      </c>
      <c r="AD4398" s="94">
        <f>IF($A4398="",0,$P4398*AG4398)</f>
        <v/>
      </c>
      <c r="AE4398" s="64">
        <f>IF($A4398="","",IFERROR(INDEX(계정매핑!$E$5:$E$504,MATCH($F4398&amp;"",계정매핑!$A$5:$A$504,0))&amp;"","공통비"))</f>
        <v/>
      </c>
      <c r="AF4398" s="64">
        <f>IF($A4398="","",IF(AE4398="직접",IFERROR(INDEX(계정매핑!$F$5:$F$504,MATCH($F4398&amp;"",계정매핑!$A$5:$A$504,0))&amp;"","비귀속"),""))</f>
        <v/>
      </c>
      <c r="AG4398" s="96">
        <f>IF($A4398="",0,IF(AND(AE4398&lt;&gt;"직접",IFERROR(INDEX(계정매핑!$G$5:$G$504,MATCH($F4398&amp;"",계정매핑!$A$5:$A$504,0))&amp;"","")="유지비",COUNTIF(계정대체기준!$A$6:$A$15,$N4398)&gt;0),IFERROR(INDEX(계정대체기준!$E$6:$E$15,MATCH(VALUE($A4398&amp;""),계정대체기준!$D$6:$D$15,0)),0),0))</f>
        <v/>
      </c>
      <c r="AH4398" s="64">
        <f>IF($A4398="","",IF(AD4398=0,"",IF(OR(COUNTIF(계정대체기준!$A$77:$A$86,$N4398)&gt;0,ISNUMBER(MATCH($X4398,계정대체기준!$D$77:$D$86,0)),ISNUMBER(MATCH($F4398,계정대체기준!$D$77:$D$86,0))),"Y","N")))</f>
        <v/>
      </c>
    </row>
    <row r="4399">
      <c r="A4399" s="92" t="n">
        <v>2026</v>
      </c>
      <c r="B4399" s="92" t="n">
        <v>8</v>
      </c>
      <c r="C4399" s="92" t="inlineStr">
        <is>
          <t>5100001677</t>
        </is>
      </c>
      <c r="D4399" s="95" t="n">
        <v>46243</v>
      </c>
      <c r="E4399" s="92" t="inlineStr">
        <is>
          <t>KR</t>
        </is>
      </c>
      <c r="F4399" s="92" t="n">
        <v>62902000</v>
      </c>
      <c r="G4399" s="92" t="n">
        <v>1801</v>
      </c>
      <c r="H4399" s="93" t="n">
        <v>1802000</v>
      </c>
      <c r="I4399" s="92" t="inlineStr">
        <is>
          <t>8월 콜 위탁 수수료(건별)</t>
        </is>
      </c>
      <c r="J4399" s="92" t="inlineStr">
        <is>
          <t>V10016</t>
        </is>
      </c>
      <c r="K4399" s="92" t="inlineStr">
        <is>
          <t>J콜센터</t>
        </is>
      </c>
      <c r="M4399" s="9">
        <f>IF($A4399="","",VALUE($A4399&amp;"")*12+VALUE($B4399&amp;""))</f>
        <v/>
      </c>
      <c r="N4399" s="64">
        <f>IF($A4399="","",IFERROR(INDEX(부서매핑!$C$5:$C$504,MATCH($G4399&amp;"",부서매핑!$A$5:$A$504,0)),"미매핑"))</f>
        <v/>
      </c>
      <c r="O4399" s="9">
        <f>IF($A4399="","",N4399&amp;"|"&amp;$F4399)</f>
        <v/>
      </c>
      <c r="P4399" s="94">
        <f>IF($A4399="",0,$H4399*설정!$C$23)</f>
        <v/>
      </c>
      <c r="Q4399" s="64">
        <f>IF($A4399="","",IF(O4399&lt;&gt;원인분석!$C$9,"",IF(AND(M4399&gt;=원인분석!$C$10,M4399&lt;=원인분석!$C$11),"당기",IF(AND(M4399&gt;=원인분석!$C$12,M4399&lt;=원인분석!$C$13),"비교",""))))</f>
        <v/>
      </c>
      <c r="R4399" s="9">
        <f>IF(Q4399="","",$K4399&amp;"")</f>
        <v/>
      </c>
      <c r="S4399" s="9">
        <f>IF(Q4399="","",IF(MATCH(R4399,$R$5:$R$100000,0)=ROW()-4,ROW(),""))</f>
        <v/>
      </c>
      <c r="T4399" s="9">
        <f>IF(Q4399="당기",ABS(P4399)+ROW()/1000000000,"")</f>
        <v/>
      </c>
      <c r="U4399" s="9">
        <f>IF(Q4399="비교",ABS(P4399)+ROW()/1000000000,"")</f>
        <v/>
      </c>
      <c r="V4399" s="64">
        <f>IF($A4399="","",IF(COUNTIF(변동분석!$E$7:$E$506,O4399)&gt;0,"Y","N"))</f>
        <v/>
      </c>
      <c r="W4399" s="64">
        <f>IF($A4399="","",IFERROR(INDEX(계정매핑!$D$5:$D$504,MATCH($F4399&amp;"",계정매핑!$A$5:$A$504,0)),"미매핑"))</f>
        <v/>
      </c>
      <c r="X4399" s="9">
        <f>IF($A4399="","",$F4399&amp;"")</f>
        <v/>
      </c>
      <c r="Y4399" s="94">
        <f>IF($A4399="",0,IF(AE4399="직접",IF(AF4399="비귀속",$P4399,0),$P4399*(1-AG4399)*IFERROR(INDEX(계정대체기준!$F$20:$F$49,MATCH($N4399,계정대체기준!$A$20:$A$49,0)),1)))</f>
        <v/>
      </c>
      <c r="Z4399" s="94">
        <f>IF($A4399="",0,IF(AE4399="직접",IF(AF4399="신계약비",$P4399,0),$P4399*(1-AG4399)*IFERROR(INDEX(계정대체기준!$C$20:$C$49,MATCH($N4399,계정대체기준!$A$20:$A$49,0)),0)))</f>
        <v/>
      </c>
      <c r="AA4399" s="94">
        <f>IF($A4399="",0,IF(AE4399="직접",IF(OR(AF4399="유지비",AF4399="손해조사비"),$P4399,0),$P4399*(1-AG4399)*IFERROR(INDEX(계정대체기준!$D$20:$D$49,MATCH($N4399,계정대체기준!$A$20:$A$49,0)),0)))</f>
        <v/>
      </c>
      <c r="AB4399" s="94">
        <f>IF($A4399="",0,IF(AE4399="직접",IF(AF4399="수금비",$P4399,0),$P4399*(1-AG4399)*IFERROR(INDEX(계정대체기준!$E$20:$E$49,MATCH($N4399,계정대체기준!$A$20:$A$49,0)),0)))</f>
        <v/>
      </c>
      <c r="AC4399" s="9">
        <f>IF(AND($A4399&lt;&gt;"",M4399=설정!$C$20,Z4399&gt;0),Z4399+ROW()/1000000000,"")</f>
        <v/>
      </c>
      <c r="AD4399" s="94">
        <f>IF($A4399="",0,$P4399*AG4399)</f>
        <v/>
      </c>
      <c r="AE4399" s="64">
        <f>IF($A4399="","",IFERROR(INDEX(계정매핑!$E$5:$E$504,MATCH($F4399&amp;"",계정매핑!$A$5:$A$504,0))&amp;"","공통비"))</f>
        <v/>
      </c>
      <c r="AF4399" s="64">
        <f>IF($A4399="","",IF(AE4399="직접",IFERROR(INDEX(계정매핑!$F$5:$F$504,MATCH($F4399&amp;"",계정매핑!$A$5:$A$504,0))&amp;"","비귀속"),""))</f>
        <v/>
      </c>
      <c r="AG4399" s="96">
        <f>IF($A4399="",0,IF(AND(AE4399&lt;&gt;"직접",IFERROR(INDEX(계정매핑!$G$5:$G$504,MATCH($F4399&amp;"",계정매핑!$A$5:$A$504,0))&amp;"","")="유지비",COUNTIF(계정대체기준!$A$6:$A$15,$N4399)&gt;0),IFERROR(INDEX(계정대체기준!$E$6:$E$15,MATCH(VALUE($A4399&amp;""),계정대체기준!$D$6:$D$15,0)),0),0))</f>
        <v/>
      </c>
      <c r="AH4399" s="64">
        <f>IF($A4399="","",IF(AD4399=0,"",IF(OR(COUNTIF(계정대체기준!$A$77:$A$86,$N4399)&gt;0,ISNUMBER(MATCH($X4399,계정대체기준!$D$77:$D$86,0)),ISNUMBER(MATCH($F4399,계정대체기준!$D$77:$D$86,0))),"Y","N")))</f>
        <v/>
      </c>
    </row>
    <row r="4400">
      <c r="A4400" s="92" t="n">
        <v>2026</v>
      </c>
      <c r="B4400" s="92" t="n">
        <v>8</v>
      </c>
      <c r="C4400" s="92" t="inlineStr">
        <is>
          <t>5100001678</t>
        </is>
      </c>
      <c r="D4400" s="95" t="n">
        <v>46244</v>
      </c>
      <c r="E4400" s="92" t="inlineStr">
        <is>
          <t>KR</t>
        </is>
      </c>
      <c r="F4400" s="92" t="n">
        <v>62101000</v>
      </c>
      <c r="G4400" s="92" t="n">
        <v>1301</v>
      </c>
      <c r="H4400" s="93" t="n">
        <v>207000</v>
      </c>
      <c r="I4400" s="92" t="inlineStr">
        <is>
          <t>8월 국내출장 - L여행사</t>
        </is>
      </c>
      <c r="J4400" s="92" t="inlineStr">
        <is>
          <t>V10018</t>
        </is>
      </c>
      <c r="K4400" s="92" t="inlineStr">
        <is>
          <t>L여행사</t>
        </is>
      </c>
      <c r="M4400" s="9">
        <f>IF($A4400="","",VALUE($A4400&amp;"")*12+VALUE($B4400&amp;""))</f>
        <v/>
      </c>
      <c r="N4400" s="64">
        <f>IF($A4400="","",IFERROR(INDEX(부서매핑!$C$5:$C$504,MATCH($G4400&amp;"",부서매핑!$A$5:$A$504,0)),"미매핑"))</f>
        <v/>
      </c>
      <c r="O4400" s="9">
        <f>IF($A4400="","",N4400&amp;"|"&amp;$F4400)</f>
        <v/>
      </c>
      <c r="P4400" s="94">
        <f>IF($A4400="",0,$H4400*설정!$C$23)</f>
        <v/>
      </c>
      <c r="Q4400" s="64">
        <f>IF($A4400="","",IF(O4400&lt;&gt;원인분석!$C$9,"",IF(AND(M4400&gt;=원인분석!$C$10,M4400&lt;=원인분석!$C$11),"당기",IF(AND(M4400&gt;=원인분석!$C$12,M4400&lt;=원인분석!$C$13),"비교",""))))</f>
        <v/>
      </c>
      <c r="R4400" s="9">
        <f>IF(Q4400="","",$K4400&amp;"")</f>
        <v/>
      </c>
      <c r="S4400" s="9">
        <f>IF(Q4400="","",IF(MATCH(R4400,$R$5:$R$100000,0)=ROW()-4,ROW(),""))</f>
        <v/>
      </c>
      <c r="T4400" s="9">
        <f>IF(Q4400="당기",ABS(P4400)+ROW()/1000000000,"")</f>
        <v/>
      </c>
      <c r="U4400" s="9">
        <f>IF(Q4400="비교",ABS(P4400)+ROW()/1000000000,"")</f>
        <v/>
      </c>
      <c r="V4400" s="64">
        <f>IF($A4400="","",IF(COUNTIF(변동분석!$E$7:$E$506,O4400)&gt;0,"Y","N"))</f>
        <v/>
      </c>
      <c r="W4400" s="64">
        <f>IF($A4400="","",IFERROR(INDEX(계정매핑!$D$5:$D$504,MATCH($F4400&amp;"",계정매핑!$A$5:$A$504,0)),"미매핑"))</f>
        <v/>
      </c>
      <c r="X4400" s="9">
        <f>IF($A4400="","",$F4400&amp;"")</f>
        <v/>
      </c>
      <c r="Y4400" s="94">
        <f>IF($A4400="",0,IF(AE4400="직접",IF(AF4400="비귀속",$P4400,0),$P4400*(1-AG4400)*IFERROR(INDEX(계정대체기준!$F$20:$F$49,MATCH($N4400,계정대체기준!$A$20:$A$49,0)),1)))</f>
        <v/>
      </c>
      <c r="Z4400" s="94">
        <f>IF($A4400="",0,IF(AE4400="직접",IF(AF4400="신계약비",$P4400,0),$P4400*(1-AG4400)*IFERROR(INDEX(계정대체기준!$C$20:$C$49,MATCH($N4400,계정대체기준!$A$20:$A$49,0)),0)))</f>
        <v/>
      </c>
      <c r="AA4400" s="94">
        <f>IF($A4400="",0,IF(AE4400="직접",IF(OR(AF4400="유지비",AF4400="손해조사비"),$P4400,0),$P4400*(1-AG4400)*IFERROR(INDEX(계정대체기준!$D$20:$D$49,MATCH($N4400,계정대체기준!$A$20:$A$49,0)),0)))</f>
        <v/>
      </c>
      <c r="AB4400" s="94">
        <f>IF($A4400="",0,IF(AE4400="직접",IF(AF4400="수금비",$P4400,0),$P4400*(1-AG4400)*IFERROR(INDEX(계정대체기준!$E$20:$E$49,MATCH($N4400,계정대체기준!$A$20:$A$49,0)),0)))</f>
        <v/>
      </c>
      <c r="AC4400" s="9">
        <f>IF(AND($A4400&lt;&gt;"",M4400=설정!$C$20,Z4400&gt;0),Z4400+ROW()/1000000000,"")</f>
        <v/>
      </c>
      <c r="AD4400" s="94">
        <f>IF($A4400="",0,$P4400*AG4400)</f>
        <v/>
      </c>
      <c r="AE4400" s="64">
        <f>IF($A4400="","",IFERROR(INDEX(계정매핑!$E$5:$E$504,MATCH($F4400&amp;"",계정매핑!$A$5:$A$504,0))&amp;"","공통비"))</f>
        <v/>
      </c>
      <c r="AF4400" s="64">
        <f>IF($A4400="","",IF(AE4400="직접",IFERROR(INDEX(계정매핑!$F$5:$F$504,MATCH($F4400&amp;"",계정매핑!$A$5:$A$504,0))&amp;"","비귀속"),""))</f>
        <v/>
      </c>
      <c r="AG4400" s="96">
        <f>IF($A4400="",0,IF(AND(AE4400&lt;&gt;"직접",IFERROR(INDEX(계정매핑!$G$5:$G$504,MATCH($F4400&amp;"",계정매핑!$A$5:$A$504,0))&amp;"","")="유지비",COUNTIF(계정대체기준!$A$6:$A$15,$N4400)&gt;0),IFERROR(INDEX(계정대체기준!$E$6:$E$15,MATCH(VALUE($A4400&amp;""),계정대체기준!$D$6:$D$15,0)),0),0))</f>
        <v/>
      </c>
      <c r="AH4400" s="64">
        <f>IF($A4400="","",IF(AD4400=0,"",IF(OR(COUNTIF(계정대체기준!$A$77:$A$86,$N4400)&gt;0,ISNUMBER(MATCH($X4400,계정대체기준!$D$77:$D$86,0)),ISNUMBER(MATCH($F4400,계정대체기준!$D$77:$D$86,0))),"Y","N")))</f>
        <v/>
      </c>
    </row>
    <row r="4401">
      <c r="A4401" s="92" t="n">
        <v>2026</v>
      </c>
      <c r="B4401" s="92" t="n">
        <v>8</v>
      </c>
      <c r="C4401" s="92" t="inlineStr">
        <is>
          <t>5100001679</t>
        </is>
      </c>
      <c r="D4401" s="95" t="n">
        <v>46244</v>
      </c>
      <c r="E4401" s="92" t="inlineStr">
        <is>
          <t>KR</t>
        </is>
      </c>
      <c r="F4401" s="92" t="n">
        <v>62101000</v>
      </c>
      <c r="G4401" s="92" t="n">
        <v>1601</v>
      </c>
      <c r="H4401" s="93" t="n">
        <v>747000</v>
      </c>
      <c r="I4401" s="92" t="inlineStr">
        <is>
          <t>8월 국내출장 - (법인카드)</t>
        </is>
      </c>
      <c r="J4401" s="92" t="inlineStr">
        <is>
          <t>V10010</t>
        </is>
      </c>
      <c r="K4401" s="92" t="inlineStr">
        <is>
          <t>(법인카드)</t>
        </is>
      </c>
      <c r="M4401" s="9">
        <f>IF($A4401="","",VALUE($A4401&amp;"")*12+VALUE($B4401&amp;""))</f>
        <v/>
      </c>
      <c r="N4401" s="64">
        <f>IF($A4401="","",IFERROR(INDEX(부서매핑!$C$5:$C$504,MATCH($G4401&amp;"",부서매핑!$A$5:$A$504,0)),"미매핑"))</f>
        <v/>
      </c>
      <c r="O4401" s="9">
        <f>IF($A4401="","",N4401&amp;"|"&amp;$F4401)</f>
        <v/>
      </c>
      <c r="P4401" s="94">
        <f>IF($A4401="",0,$H4401*설정!$C$23)</f>
        <v/>
      </c>
      <c r="Q4401" s="64">
        <f>IF($A4401="","",IF(O4401&lt;&gt;원인분석!$C$9,"",IF(AND(M4401&gt;=원인분석!$C$10,M4401&lt;=원인분석!$C$11),"당기",IF(AND(M4401&gt;=원인분석!$C$12,M4401&lt;=원인분석!$C$13),"비교",""))))</f>
        <v/>
      </c>
      <c r="R4401" s="9">
        <f>IF(Q4401="","",$K4401&amp;"")</f>
        <v/>
      </c>
      <c r="S4401" s="9">
        <f>IF(Q4401="","",IF(MATCH(R4401,$R$5:$R$100000,0)=ROW()-4,ROW(),""))</f>
        <v/>
      </c>
      <c r="T4401" s="9">
        <f>IF(Q4401="당기",ABS(P4401)+ROW()/1000000000,"")</f>
        <v/>
      </c>
      <c r="U4401" s="9">
        <f>IF(Q4401="비교",ABS(P4401)+ROW()/1000000000,"")</f>
        <v/>
      </c>
      <c r="V4401" s="64">
        <f>IF($A4401="","",IF(COUNTIF(변동분석!$E$7:$E$506,O4401)&gt;0,"Y","N"))</f>
        <v/>
      </c>
      <c r="W4401" s="64">
        <f>IF($A4401="","",IFERROR(INDEX(계정매핑!$D$5:$D$504,MATCH($F4401&amp;"",계정매핑!$A$5:$A$504,0)),"미매핑"))</f>
        <v/>
      </c>
      <c r="X4401" s="9">
        <f>IF($A4401="","",$F4401&amp;"")</f>
        <v/>
      </c>
      <c r="Y4401" s="94">
        <f>IF($A4401="",0,IF(AE4401="직접",IF(AF4401="비귀속",$P4401,0),$P4401*(1-AG4401)*IFERROR(INDEX(계정대체기준!$F$20:$F$49,MATCH($N4401,계정대체기준!$A$20:$A$49,0)),1)))</f>
        <v/>
      </c>
      <c r="Z4401" s="94">
        <f>IF($A4401="",0,IF(AE4401="직접",IF(AF4401="신계약비",$P4401,0),$P4401*(1-AG4401)*IFERROR(INDEX(계정대체기준!$C$20:$C$49,MATCH($N4401,계정대체기준!$A$20:$A$49,0)),0)))</f>
        <v/>
      </c>
      <c r="AA4401" s="94">
        <f>IF($A4401="",0,IF(AE4401="직접",IF(OR(AF4401="유지비",AF4401="손해조사비"),$P4401,0),$P4401*(1-AG4401)*IFERROR(INDEX(계정대체기준!$D$20:$D$49,MATCH($N4401,계정대체기준!$A$20:$A$49,0)),0)))</f>
        <v/>
      </c>
      <c r="AB4401" s="94">
        <f>IF($A4401="",0,IF(AE4401="직접",IF(AF4401="수금비",$P4401,0),$P4401*(1-AG4401)*IFERROR(INDEX(계정대체기준!$E$20:$E$49,MATCH($N4401,계정대체기준!$A$20:$A$49,0)),0)))</f>
        <v/>
      </c>
      <c r="AC4401" s="9">
        <f>IF(AND($A4401&lt;&gt;"",M4401=설정!$C$20,Z4401&gt;0),Z4401+ROW()/1000000000,"")</f>
        <v/>
      </c>
      <c r="AD4401" s="94">
        <f>IF($A4401="",0,$P4401*AG4401)</f>
        <v/>
      </c>
      <c r="AE4401" s="64">
        <f>IF($A4401="","",IFERROR(INDEX(계정매핑!$E$5:$E$504,MATCH($F4401&amp;"",계정매핑!$A$5:$A$504,0))&amp;"","공통비"))</f>
        <v/>
      </c>
      <c r="AF4401" s="64">
        <f>IF($A4401="","",IF(AE4401="직접",IFERROR(INDEX(계정매핑!$F$5:$F$504,MATCH($F4401&amp;"",계정매핑!$A$5:$A$504,0))&amp;"","비귀속"),""))</f>
        <v/>
      </c>
      <c r="AG4401" s="96">
        <f>IF($A4401="",0,IF(AND(AE4401&lt;&gt;"직접",IFERROR(INDEX(계정매핑!$G$5:$G$504,MATCH($F4401&amp;"",계정매핑!$A$5:$A$504,0))&amp;"","")="유지비",COUNTIF(계정대체기준!$A$6:$A$15,$N4401)&gt;0),IFERROR(INDEX(계정대체기준!$E$6:$E$15,MATCH(VALUE($A4401&amp;""),계정대체기준!$D$6:$D$15,0)),0),0))</f>
        <v/>
      </c>
      <c r="AH4401" s="64">
        <f>IF($A4401="","",IF(AD4401=0,"",IF(OR(COUNTIF(계정대체기준!$A$77:$A$86,$N4401)&gt;0,ISNUMBER(MATCH($X4401,계정대체기준!$D$77:$D$86,0)),ISNUMBER(MATCH($F4401,계정대체기준!$D$77:$D$86,0))),"Y","N")))</f>
        <v/>
      </c>
    </row>
    <row r="4402">
      <c r="A4402" s="92" t="n">
        <v>2026</v>
      </c>
      <c r="B4402" s="92" t="n">
        <v>8</v>
      </c>
      <c r="C4402" s="92" t="inlineStr">
        <is>
          <t>5100001680</t>
        </is>
      </c>
      <c r="D4402" s="95" t="n">
        <v>46244</v>
      </c>
      <c r="E4402" s="92" t="inlineStr">
        <is>
          <t>KR</t>
        </is>
      </c>
      <c r="F4402" s="92" t="n">
        <v>62301000</v>
      </c>
      <c r="G4402" s="92" t="n">
        <v>1801</v>
      </c>
      <c r="H4402" s="93" t="n">
        <v>549000</v>
      </c>
      <c r="I4402" s="92" t="inlineStr">
        <is>
          <t>8월 소모품 구입 - Q오피스</t>
        </is>
      </c>
      <c r="J4402" s="92" t="inlineStr">
        <is>
          <t>V10003</t>
        </is>
      </c>
      <c r="K4402" s="92" t="inlineStr">
        <is>
          <t>Q오피스</t>
        </is>
      </c>
      <c r="M4402" s="9">
        <f>IF($A4402="","",VALUE($A4402&amp;"")*12+VALUE($B4402&amp;""))</f>
        <v/>
      </c>
      <c r="N4402" s="64">
        <f>IF($A4402="","",IFERROR(INDEX(부서매핑!$C$5:$C$504,MATCH($G4402&amp;"",부서매핑!$A$5:$A$504,0)),"미매핑"))</f>
        <v/>
      </c>
      <c r="O4402" s="9">
        <f>IF($A4402="","",N4402&amp;"|"&amp;$F4402)</f>
        <v/>
      </c>
      <c r="P4402" s="94">
        <f>IF($A4402="",0,$H4402*설정!$C$23)</f>
        <v/>
      </c>
      <c r="Q4402" s="64">
        <f>IF($A4402="","",IF(O4402&lt;&gt;원인분석!$C$9,"",IF(AND(M4402&gt;=원인분석!$C$10,M4402&lt;=원인분석!$C$11),"당기",IF(AND(M4402&gt;=원인분석!$C$12,M4402&lt;=원인분석!$C$13),"비교",""))))</f>
        <v/>
      </c>
      <c r="R4402" s="9">
        <f>IF(Q4402="","",$K4402&amp;"")</f>
        <v/>
      </c>
      <c r="S4402" s="9">
        <f>IF(Q4402="","",IF(MATCH(R4402,$R$5:$R$100000,0)=ROW()-4,ROW(),""))</f>
        <v/>
      </c>
      <c r="T4402" s="9">
        <f>IF(Q4402="당기",ABS(P4402)+ROW()/1000000000,"")</f>
        <v/>
      </c>
      <c r="U4402" s="9">
        <f>IF(Q4402="비교",ABS(P4402)+ROW()/1000000000,"")</f>
        <v/>
      </c>
      <c r="V4402" s="64">
        <f>IF($A4402="","",IF(COUNTIF(변동분석!$E$7:$E$506,O4402)&gt;0,"Y","N"))</f>
        <v/>
      </c>
      <c r="W4402" s="64">
        <f>IF($A4402="","",IFERROR(INDEX(계정매핑!$D$5:$D$504,MATCH($F4402&amp;"",계정매핑!$A$5:$A$504,0)),"미매핑"))</f>
        <v/>
      </c>
      <c r="X4402" s="9">
        <f>IF($A4402="","",$F4402&amp;"")</f>
        <v/>
      </c>
      <c r="Y4402" s="94">
        <f>IF($A4402="",0,IF(AE4402="직접",IF(AF4402="비귀속",$P4402,0),$P4402*(1-AG4402)*IFERROR(INDEX(계정대체기준!$F$20:$F$49,MATCH($N4402,계정대체기준!$A$20:$A$49,0)),1)))</f>
        <v/>
      </c>
      <c r="Z4402" s="94">
        <f>IF($A4402="",0,IF(AE4402="직접",IF(AF4402="신계약비",$P4402,0),$P4402*(1-AG4402)*IFERROR(INDEX(계정대체기준!$C$20:$C$49,MATCH($N4402,계정대체기준!$A$20:$A$49,0)),0)))</f>
        <v/>
      </c>
      <c r="AA4402" s="94">
        <f>IF($A4402="",0,IF(AE4402="직접",IF(OR(AF4402="유지비",AF4402="손해조사비"),$P4402,0),$P4402*(1-AG4402)*IFERROR(INDEX(계정대체기준!$D$20:$D$49,MATCH($N4402,계정대체기준!$A$20:$A$49,0)),0)))</f>
        <v/>
      </c>
      <c r="AB4402" s="94">
        <f>IF($A4402="",0,IF(AE4402="직접",IF(AF4402="수금비",$P4402,0),$P4402*(1-AG4402)*IFERROR(INDEX(계정대체기준!$E$20:$E$49,MATCH($N4402,계정대체기준!$A$20:$A$49,0)),0)))</f>
        <v/>
      </c>
      <c r="AC4402" s="9">
        <f>IF(AND($A4402&lt;&gt;"",M4402=설정!$C$20,Z4402&gt;0),Z4402+ROW()/1000000000,"")</f>
        <v/>
      </c>
      <c r="AD4402" s="94">
        <f>IF($A4402="",0,$P4402*AG4402)</f>
        <v/>
      </c>
      <c r="AE4402" s="64">
        <f>IF($A4402="","",IFERROR(INDEX(계정매핑!$E$5:$E$504,MATCH($F4402&amp;"",계정매핑!$A$5:$A$504,0))&amp;"","공통비"))</f>
        <v/>
      </c>
      <c r="AF4402" s="64">
        <f>IF($A4402="","",IF(AE4402="직접",IFERROR(INDEX(계정매핑!$F$5:$F$504,MATCH($F4402&amp;"",계정매핑!$A$5:$A$504,0))&amp;"","비귀속"),""))</f>
        <v/>
      </c>
      <c r="AG4402" s="96">
        <f>IF($A4402="",0,IF(AND(AE4402&lt;&gt;"직접",IFERROR(INDEX(계정매핑!$G$5:$G$504,MATCH($F4402&amp;"",계정매핑!$A$5:$A$504,0))&amp;"","")="유지비",COUNTIF(계정대체기준!$A$6:$A$15,$N4402)&gt;0),IFERROR(INDEX(계정대체기준!$E$6:$E$15,MATCH(VALUE($A4402&amp;""),계정대체기준!$D$6:$D$15,0)),0),0))</f>
        <v/>
      </c>
      <c r="AH4402" s="64">
        <f>IF($A4402="","",IF(AD4402=0,"",IF(OR(COUNTIF(계정대체기준!$A$77:$A$86,$N4402)&gt;0,ISNUMBER(MATCH($X4402,계정대체기준!$D$77:$D$86,0)),ISNUMBER(MATCH($F4402,계정대체기준!$D$77:$D$86,0))),"Y","N")))</f>
        <v/>
      </c>
    </row>
    <row r="4403">
      <c r="A4403" s="92" t="n">
        <v>2026</v>
      </c>
      <c r="B4403" s="92" t="n">
        <v>8</v>
      </c>
      <c r="C4403" s="92" t="inlineStr">
        <is>
          <t>5100001681</t>
        </is>
      </c>
      <c r="D4403" s="95" t="n">
        <v>46244</v>
      </c>
      <c r="E4403" s="92" t="inlineStr">
        <is>
          <t>KR</t>
        </is>
      </c>
      <c r="F4403" s="92" t="n">
        <v>62501000</v>
      </c>
      <c r="G4403" s="92" t="n">
        <v>1301</v>
      </c>
      <c r="H4403" s="93" t="n">
        <v>219000</v>
      </c>
      <c r="I4403" s="92" t="inlineStr">
        <is>
          <t>8월 회의 다과 - T케이터링</t>
        </is>
      </c>
      <c r="J4403" s="92" t="inlineStr">
        <is>
          <t>V10005</t>
        </is>
      </c>
      <c r="K4403" s="92" t="inlineStr">
        <is>
          <t>T케이터링</t>
        </is>
      </c>
      <c r="M4403" s="9">
        <f>IF($A4403="","",VALUE($A4403&amp;"")*12+VALUE($B4403&amp;""))</f>
        <v/>
      </c>
      <c r="N4403" s="64">
        <f>IF($A4403="","",IFERROR(INDEX(부서매핑!$C$5:$C$504,MATCH($G4403&amp;"",부서매핑!$A$5:$A$504,0)),"미매핑"))</f>
        <v/>
      </c>
      <c r="O4403" s="9">
        <f>IF($A4403="","",N4403&amp;"|"&amp;$F4403)</f>
        <v/>
      </c>
      <c r="P4403" s="94">
        <f>IF($A4403="",0,$H4403*설정!$C$23)</f>
        <v/>
      </c>
      <c r="Q4403" s="64">
        <f>IF($A4403="","",IF(O4403&lt;&gt;원인분석!$C$9,"",IF(AND(M4403&gt;=원인분석!$C$10,M4403&lt;=원인분석!$C$11),"당기",IF(AND(M4403&gt;=원인분석!$C$12,M4403&lt;=원인분석!$C$13),"비교",""))))</f>
        <v/>
      </c>
      <c r="R4403" s="9">
        <f>IF(Q4403="","",$K4403&amp;"")</f>
        <v/>
      </c>
      <c r="S4403" s="9">
        <f>IF(Q4403="","",IF(MATCH(R4403,$R$5:$R$100000,0)=ROW()-4,ROW(),""))</f>
        <v/>
      </c>
      <c r="T4403" s="9">
        <f>IF(Q4403="당기",ABS(P4403)+ROW()/1000000000,"")</f>
        <v/>
      </c>
      <c r="U4403" s="9">
        <f>IF(Q4403="비교",ABS(P4403)+ROW()/1000000000,"")</f>
        <v/>
      </c>
      <c r="V4403" s="64">
        <f>IF($A4403="","",IF(COUNTIF(변동분석!$E$7:$E$506,O4403)&gt;0,"Y","N"))</f>
        <v/>
      </c>
      <c r="W4403" s="64">
        <f>IF($A4403="","",IFERROR(INDEX(계정매핑!$D$5:$D$504,MATCH($F4403&amp;"",계정매핑!$A$5:$A$504,0)),"미매핑"))</f>
        <v/>
      </c>
      <c r="X4403" s="9">
        <f>IF($A4403="","",$F4403&amp;"")</f>
        <v/>
      </c>
      <c r="Y4403" s="94">
        <f>IF($A4403="",0,IF(AE4403="직접",IF(AF4403="비귀속",$P4403,0),$P4403*(1-AG4403)*IFERROR(INDEX(계정대체기준!$F$20:$F$49,MATCH($N4403,계정대체기준!$A$20:$A$49,0)),1)))</f>
        <v/>
      </c>
      <c r="Z4403" s="94">
        <f>IF($A4403="",0,IF(AE4403="직접",IF(AF4403="신계약비",$P4403,0),$P4403*(1-AG4403)*IFERROR(INDEX(계정대체기준!$C$20:$C$49,MATCH($N4403,계정대체기준!$A$20:$A$49,0)),0)))</f>
        <v/>
      </c>
      <c r="AA4403" s="94">
        <f>IF($A4403="",0,IF(AE4403="직접",IF(OR(AF4403="유지비",AF4403="손해조사비"),$P4403,0),$P4403*(1-AG4403)*IFERROR(INDEX(계정대체기준!$D$20:$D$49,MATCH($N4403,계정대체기준!$A$20:$A$49,0)),0)))</f>
        <v/>
      </c>
      <c r="AB4403" s="94">
        <f>IF($A4403="",0,IF(AE4403="직접",IF(AF4403="수금비",$P4403,0),$P4403*(1-AG4403)*IFERROR(INDEX(계정대체기준!$E$20:$E$49,MATCH($N4403,계정대체기준!$A$20:$A$49,0)),0)))</f>
        <v/>
      </c>
      <c r="AC4403" s="9">
        <f>IF(AND($A4403&lt;&gt;"",M4403=설정!$C$20,Z4403&gt;0),Z4403+ROW()/1000000000,"")</f>
        <v/>
      </c>
      <c r="AD4403" s="94">
        <f>IF($A4403="",0,$P4403*AG4403)</f>
        <v/>
      </c>
      <c r="AE4403" s="64">
        <f>IF($A4403="","",IFERROR(INDEX(계정매핑!$E$5:$E$504,MATCH($F4403&amp;"",계정매핑!$A$5:$A$504,0))&amp;"","공통비"))</f>
        <v/>
      </c>
      <c r="AF4403" s="64">
        <f>IF($A4403="","",IF(AE4403="직접",IFERROR(INDEX(계정매핑!$F$5:$F$504,MATCH($F4403&amp;"",계정매핑!$A$5:$A$504,0))&amp;"","비귀속"),""))</f>
        <v/>
      </c>
      <c r="AG4403" s="96">
        <f>IF($A4403="",0,IF(AND(AE4403&lt;&gt;"직접",IFERROR(INDEX(계정매핑!$G$5:$G$504,MATCH($F4403&amp;"",계정매핑!$A$5:$A$504,0))&amp;"","")="유지비",COUNTIF(계정대체기준!$A$6:$A$15,$N4403)&gt;0),IFERROR(INDEX(계정대체기준!$E$6:$E$15,MATCH(VALUE($A4403&amp;""),계정대체기준!$D$6:$D$15,0)),0),0))</f>
        <v/>
      </c>
      <c r="AH4403" s="64">
        <f>IF($A4403="","",IF(AD4403=0,"",IF(OR(COUNTIF(계정대체기준!$A$77:$A$86,$N4403)&gt;0,ISNUMBER(MATCH($X4403,계정대체기준!$D$77:$D$86,0)),ISNUMBER(MATCH($F4403,계정대체기준!$D$77:$D$86,0))),"Y","N")))</f>
        <v/>
      </c>
    </row>
    <row r="4404">
      <c r="A4404" s="92" t="n">
        <v>2026</v>
      </c>
      <c r="B4404" s="92" t="n">
        <v>8</v>
      </c>
      <c r="C4404" s="92" t="inlineStr">
        <is>
          <t>5100001682</t>
        </is>
      </c>
      <c r="D4404" s="95" t="n">
        <v>46244</v>
      </c>
      <c r="E4404" s="92" t="inlineStr">
        <is>
          <t>KR</t>
        </is>
      </c>
      <c r="F4404" s="92" t="n">
        <v>63601000</v>
      </c>
      <c r="G4404" s="92" t="n">
        <v>1801</v>
      </c>
      <c r="H4404" s="93" t="n">
        <v>12697000</v>
      </c>
      <c r="I4404" s="92" t="inlineStr">
        <is>
          <t>8월 손해사정 수수료 - DD손해사정</t>
        </is>
      </c>
      <c r="J4404" s="92" t="inlineStr">
        <is>
          <t>V10032</t>
        </is>
      </c>
      <c r="K4404" s="92" t="inlineStr">
        <is>
          <t>DD손해사정</t>
        </is>
      </c>
      <c r="M4404" s="9">
        <f>IF($A4404="","",VALUE($A4404&amp;"")*12+VALUE($B4404&amp;""))</f>
        <v/>
      </c>
      <c r="N4404" s="64">
        <f>IF($A4404="","",IFERROR(INDEX(부서매핑!$C$5:$C$504,MATCH($G4404&amp;"",부서매핑!$A$5:$A$504,0)),"미매핑"))</f>
        <v/>
      </c>
      <c r="O4404" s="9">
        <f>IF($A4404="","",N4404&amp;"|"&amp;$F4404)</f>
        <v/>
      </c>
      <c r="P4404" s="94">
        <f>IF($A4404="",0,$H4404*설정!$C$23)</f>
        <v/>
      </c>
      <c r="Q4404" s="64">
        <f>IF($A4404="","",IF(O4404&lt;&gt;원인분석!$C$9,"",IF(AND(M4404&gt;=원인분석!$C$10,M4404&lt;=원인분석!$C$11),"당기",IF(AND(M4404&gt;=원인분석!$C$12,M4404&lt;=원인분석!$C$13),"비교",""))))</f>
        <v/>
      </c>
      <c r="R4404" s="9">
        <f>IF(Q4404="","",$K4404&amp;"")</f>
        <v/>
      </c>
      <c r="S4404" s="9">
        <f>IF(Q4404="","",IF(MATCH(R4404,$R$5:$R$100000,0)=ROW()-4,ROW(),""))</f>
        <v/>
      </c>
      <c r="T4404" s="9">
        <f>IF(Q4404="당기",ABS(P4404)+ROW()/1000000000,"")</f>
        <v/>
      </c>
      <c r="U4404" s="9">
        <f>IF(Q4404="비교",ABS(P4404)+ROW()/1000000000,"")</f>
        <v/>
      </c>
      <c r="V4404" s="64">
        <f>IF($A4404="","",IF(COUNTIF(변동분석!$E$7:$E$506,O4404)&gt;0,"Y","N"))</f>
        <v/>
      </c>
      <c r="W4404" s="64">
        <f>IF($A4404="","",IFERROR(INDEX(계정매핑!$D$5:$D$504,MATCH($F4404&amp;"",계정매핑!$A$5:$A$504,0)),"미매핑"))</f>
        <v/>
      </c>
      <c r="X4404" s="9">
        <f>IF($A4404="","",$F4404&amp;"")</f>
        <v/>
      </c>
      <c r="Y4404" s="94">
        <f>IF($A4404="",0,IF(AE4404="직접",IF(AF4404="비귀속",$P4404,0),$P4404*(1-AG4404)*IFERROR(INDEX(계정대체기준!$F$20:$F$49,MATCH($N4404,계정대체기준!$A$20:$A$49,0)),1)))</f>
        <v/>
      </c>
      <c r="Z4404" s="94">
        <f>IF($A4404="",0,IF(AE4404="직접",IF(AF4404="신계약비",$P4404,0),$P4404*(1-AG4404)*IFERROR(INDEX(계정대체기준!$C$20:$C$49,MATCH($N4404,계정대체기준!$A$20:$A$49,0)),0)))</f>
        <v/>
      </c>
      <c r="AA4404" s="94">
        <f>IF($A4404="",0,IF(AE4404="직접",IF(OR(AF4404="유지비",AF4404="손해조사비"),$P4404,0),$P4404*(1-AG4404)*IFERROR(INDEX(계정대체기준!$D$20:$D$49,MATCH($N4404,계정대체기준!$A$20:$A$49,0)),0)))</f>
        <v/>
      </c>
      <c r="AB4404" s="94">
        <f>IF($A4404="",0,IF(AE4404="직접",IF(AF4404="수금비",$P4404,0),$P4404*(1-AG4404)*IFERROR(INDEX(계정대체기준!$E$20:$E$49,MATCH($N4404,계정대체기준!$A$20:$A$49,0)),0)))</f>
        <v/>
      </c>
      <c r="AC4404" s="9">
        <f>IF(AND($A4404&lt;&gt;"",M4404=설정!$C$20,Z4404&gt;0),Z4404+ROW()/1000000000,"")</f>
        <v/>
      </c>
      <c r="AD4404" s="94">
        <f>IF($A4404="",0,$P4404*AG4404)</f>
        <v/>
      </c>
      <c r="AE4404" s="64">
        <f>IF($A4404="","",IFERROR(INDEX(계정매핑!$E$5:$E$504,MATCH($F4404&amp;"",계정매핑!$A$5:$A$504,0))&amp;"","공통비"))</f>
        <v/>
      </c>
      <c r="AF4404" s="64">
        <f>IF($A4404="","",IF(AE4404="직접",IFERROR(INDEX(계정매핑!$F$5:$F$504,MATCH($F4404&amp;"",계정매핑!$A$5:$A$504,0))&amp;"","비귀속"),""))</f>
        <v/>
      </c>
      <c r="AG4404" s="96">
        <f>IF($A4404="",0,IF(AND(AE4404&lt;&gt;"직접",IFERROR(INDEX(계정매핑!$G$5:$G$504,MATCH($F4404&amp;"",계정매핑!$A$5:$A$504,0))&amp;"","")="유지비",COUNTIF(계정대체기준!$A$6:$A$15,$N4404)&gt;0),IFERROR(INDEX(계정대체기준!$E$6:$E$15,MATCH(VALUE($A4404&amp;""),계정대체기준!$D$6:$D$15,0)),0),0))</f>
        <v/>
      </c>
      <c r="AH4404" s="64">
        <f>IF($A4404="","",IF(AD4404=0,"",IF(OR(COUNTIF(계정대체기준!$A$77:$A$86,$N4404)&gt;0,ISNUMBER(MATCH($X4404,계정대체기준!$D$77:$D$86,0)),ISNUMBER(MATCH($F4404,계정대체기준!$D$77:$D$86,0))),"Y","N")))</f>
        <v/>
      </c>
    </row>
    <row r="4405">
      <c r="A4405" s="92" t="n">
        <v>2026</v>
      </c>
      <c r="B4405" s="92" t="n">
        <v>8</v>
      </c>
      <c r="C4405" s="92" t="inlineStr">
        <is>
          <t>5100001683</t>
        </is>
      </c>
      <c r="D4405" s="95" t="n">
        <v>46245</v>
      </c>
      <c r="E4405" s="92" t="inlineStr">
        <is>
          <t>KR</t>
        </is>
      </c>
      <c r="F4405" s="92" t="n">
        <v>62101000</v>
      </c>
      <c r="G4405" s="92" t="n">
        <v>1602</v>
      </c>
      <c r="H4405" s="93" t="n">
        <v>1097000</v>
      </c>
      <c r="I4405" s="92" t="inlineStr">
        <is>
          <t>8월 국내출장 - M항공</t>
        </is>
      </c>
      <c r="J4405" s="92" t="inlineStr">
        <is>
          <t>V10001</t>
        </is>
      </c>
      <c r="K4405" s="92" t="inlineStr">
        <is>
          <t>M항공</t>
        </is>
      </c>
      <c r="M4405" s="9">
        <f>IF($A4405="","",VALUE($A4405&amp;"")*12+VALUE($B4405&amp;""))</f>
        <v/>
      </c>
      <c r="N4405" s="64">
        <f>IF($A4405="","",IFERROR(INDEX(부서매핑!$C$5:$C$504,MATCH($G4405&amp;"",부서매핑!$A$5:$A$504,0)),"미매핑"))</f>
        <v/>
      </c>
      <c r="O4405" s="9">
        <f>IF($A4405="","",N4405&amp;"|"&amp;$F4405)</f>
        <v/>
      </c>
      <c r="P4405" s="94">
        <f>IF($A4405="",0,$H4405*설정!$C$23)</f>
        <v/>
      </c>
      <c r="Q4405" s="64">
        <f>IF($A4405="","",IF(O4405&lt;&gt;원인분석!$C$9,"",IF(AND(M4405&gt;=원인분석!$C$10,M4405&lt;=원인분석!$C$11),"당기",IF(AND(M4405&gt;=원인분석!$C$12,M4405&lt;=원인분석!$C$13),"비교",""))))</f>
        <v/>
      </c>
      <c r="R4405" s="9">
        <f>IF(Q4405="","",$K4405&amp;"")</f>
        <v/>
      </c>
      <c r="S4405" s="9">
        <f>IF(Q4405="","",IF(MATCH(R4405,$R$5:$R$100000,0)=ROW()-4,ROW(),""))</f>
        <v/>
      </c>
      <c r="T4405" s="9">
        <f>IF(Q4405="당기",ABS(P4405)+ROW()/1000000000,"")</f>
        <v/>
      </c>
      <c r="U4405" s="9">
        <f>IF(Q4405="비교",ABS(P4405)+ROW()/1000000000,"")</f>
        <v/>
      </c>
      <c r="V4405" s="64">
        <f>IF($A4405="","",IF(COUNTIF(변동분석!$E$7:$E$506,O4405)&gt;0,"Y","N"))</f>
        <v/>
      </c>
      <c r="W4405" s="64">
        <f>IF($A4405="","",IFERROR(INDEX(계정매핑!$D$5:$D$504,MATCH($F4405&amp;"",계정매핑!$A$5:$A$504,0)),"미매핑"))</f>
        <v/>
      </c>
      <c r="X4405" s="9">
        <f>IF($A4405="","",$F4405&amp;"")</f>
        <v/>
      </c>
      <c r="Y4405" s="94">
        <f>IF($A4405="",0,IF(AE4405="직접",IF(AF4405="비귀속",$P4405,0),$P4405*(1-AG4405)*IFERROR(INDEX(계정대체기준!$F$20:$F$49,MATCH($N4405,계정대체기준!$A$20:$A$49,0)),1)))</f>
        <v/>
      </c>
      <c r="Z4405" s="94">
        <f>IF($A4405="",0,IF(AE4405="직접",IF(AF4405="신계약비",$P4405,0),$P4405*(1-AG4405)*IFERROR(INDEX(계정대체기준!$C$20:$C$49,MATCH($N4405,계정대체기준!$A$20:$A$49,0)),0)))</f>
        <v/>
      </c>
      <c r="AA4405" s="94">
        <f>IF($A4405="",0,IF(AE4405="직접",IF(OR(AF4405="유지비",AF4405="손해조사비"),$P4405,0),$P4405*(1-AG4405)*IFERROR(INDEX(계정대체기준!$D$20:$D$49,MATCH($N4405,계정대체기준!$A$20:$A$49,0)),0)))</f>
        <v/>
      </c>
      <c r="AB4405" s="94">
        <f>IF($A4405="",0,IF(AE4405="직접",IF(AF4405="수금비",$P4405,0),$P4405*(1-AG4405)*IFERROR(INDEX(계정대체기준!$E$20:$E$49,MATCH($N4405,계정대체기준!$A$20:$A$49,0)),0)))</f>
        <v/>
      </c>
      <c r="AC4405" s="9">
        <f>IF(AND($A4405&lt;&gt;"",M4405=설정!$C$20,Z4405&gt;0),Z4405+ROW()/1000000000,"")</f>
        <v/>
      </c>
      <c r="AD4405" s="94">
        <f>IF($A4405="",0,$P4405*AG4405)</f>
        <v/>
      </c>
      <c r="AE4405" s="64">
        <f>IF($A4405="","",IFERROR(INDEX(계정매핑!$E$5:$E$504,MATCH($F4405&amp;"",계정매핑!$A$5:$A$504,0))&amp;"","공통비"))</f>
        <v/>
      </c>
      <c r="AF4405" s="64">
        <f>IF($A4405="","",IF(AE4405="직접",IFERROR(INDEX(계정매핑!$F$5:$F$504,MATCH($F4405&amp;"",계정매핑!$A$5:$A$504,0))&amp;"","비귀속"),""))</f>
        <v/>
      </c>
      <c r="AG4405" s="96">
        <f>IF($A4405="",0,IF(AND(AE4405&lt;&gt;"직접",IFERROR(INDEX(계정매핑!$G$5:$G$504,MATCH($F4405&amp;"",계정매핑!$A$5:$A$504,0))&amp;"","")="유지비",COUNTIF(계정대체기준!$A$6:$A$15,$N4405)&gt;0),IFERROR(INDEX(계정대체기준!$E$6:$E$15,MATCH(VALUE($A4405&amp;""),계정대체기준!$D$6:$D$15,0)),0),0))</f>
        <v/>
      </c>
      <c r="AH4405" s="64">
        <f>IF($A4405="","",IF(AD4405=0,"",IF(OR(COUNTIF(계정대체기준!$A$77:$A$86,$N4405)&gt;0,ISNUMBER(MATCH($X4405,계정대체기준!$D$77:$D$86,0)),ISNUMBER(MATCH($F4405,계정대체기준!$D$77:$D$86,0))),"Y","N")))</f>
        <v/>
      </c>
    </row>
    <row r="4406">
      <c r="A4406" s="92" t="n">
        <v>2026</v>
      </c>
      <c r="B4406" s="92" t="n">
        <v>8</v>
      </c>
      <c r="C4406" s="92" t="inlineStr">
        <is>
          <t>5100001684</t>
        </is>
      </c>
      <c r="D4406" s="95" t="n">
        <v>46245</v>
      </c>
      <c r="E4406" s="92" t="inlineStr">
        <is>
          <t>KR</t>
        </is>
      </c>
      <c r="F4406" s="92" t="n">
        <v>62102000</v>
      </c>
      <c r="G4406" s="92" t="n">
        <v>1701</v>
      </c>
      <c r="H4406" s="93" t="n">
        <v>44000</v>
      </c>
      <c r="I4406" s="92" t="inlineStr">
        <is>
          <t>8월 해외출장 - M항공</t>
        </is>
      </c>
      <c r="J4406" s="92" t="inlineStr">
        <is>
          <t>V10001</t>
        </is>
      </c>
      <c r="K4406" s="92" t="inlineStr">
        <is>
          <t>M항공</t>
        </is>
      </c>
      <c r="M4406" s="9">
        <f>IF($A4406="","",VALUE($A4406&amp;"")*12+VALUE($B4406&amp;""))</f>
        <v/>
      </c>
      <c r="N4406" s="64">
        <f>IF($A4406="","",IFERROR(INDEX(부서매핑!$C$5:$C$504,MATCH($G4406&amp;"",부서매핑!$A$5:$A$504,0)),"미매핑"))</f>
        <v/>
      </c>
      <c r="O4406" s="9">
        <f>IF($A4406="","",N4406&amp;"|"&amp;$F4406)</f>
        <v/>
      </c>
      <c r="P4406" s="94">
        <f>IF($A4406="",0,$H4406*설정!$C$23)</f>
        <v/>
      </c>
      <c r="Q4406" s="64">
        <f>IF($A4406="","",IF(O4406&lt;&gt;원인분석!$C$9,"",IF(AND(M4406&gt;=원인분석!$C$10,M4406&lt;=원인분석!$C$11),"당기",IF(AND(M4406&gt;=원인분석!$C$12,M4406&lt;=원인분석!$C$13),"비교",""))))</f>
        <v/>
      </c>
      <c r="R4406" s="9">
        <f>IF(Q4406="","",$K4406&amp;"")</f>
        <v/>
      </c>
      <c r="S4406" s="9">
        <f>IF(Q4406="","",IF(MATCH(R4406,$R$5:$R$100000,0)=ROW()-4,ROW(),""))</f>
        <v/>
      </c>
      <c r="T4406" s="9">
        <f>IF(Q4406="당기",ABS(P4406)+ROW()/1000000000,"")</f>
        <v/>
      </c>
      <c r="U4406" s="9">
        <f>IF(Q4406="비교",ABS(P4406)+ROW()/1000000000,"")</f>
        <v/>
      </c>
      <c r="V4406" s="64">
        <f>IF($A4406="","",IF(COUNTIF(변동분석!$E$7:$E$506,O4406)&gt;0,"Y","N"))</f>
        <v/>
      </c>
      <c r="W4406" s="64">
        <f>IF($A4406="","",IFERROR(INDEX(계정매핑!$D$5:$D$504,MATCH($F4406&amp;"",계정매핑!$A$5:$A$504,0)),"미매핑"))</f>
        <v/>
      </c>
      <c r="X4406" s="9">
        <f>IF($A4406="","",$F4406&amp;"")</f>
        <v/>
      </c>
      <c r="Y4406" s="94">
        <f>IF($A4406="",0,IF(AE4406="직접",IF(AF4406="비귀속",$P4406,0),$P4406*(1-AG4406)*IFERROR(INDEX(계정대체기준!$F$20:$F$49,MATCH($N4406,계정대체기준!$A$20:$A$49,0)),1)))</f>
        <v/>
      </c>
      <c r="Z4406" s="94">
        <f>IF($A4406="",0,IF(AE4406="직접",IF(AF4406="신계약비",$P4406,0),$P4406*(1-AG4406)*IFERROR(INDEX(계정대체기준!$C$20:$C$49,MATCH($N4406,계정대체기준!$A$20:$A$49,0)),0)))</f>
        <v/>
      </c>
      <c r="AA4406" s="94">
        <f>IF($A4406="",0,IF(AE4406="직접",IF(OR(AF4406="유지비",AF4406="손해조사비"),$P4406,0),$P4406*(1-AG4406)*IFERROR(INDEX(계정대체기준!$D$20:$D$49,MATCH($N4406,계정대체기준!$A$20:$A$49,0)),0)))</f>
        <v/>
      </c>
      <c r="AB4406" s="94">
        <f>IF($A4406="",0,IF(AE4406="직접",IF(AF4406="수금비",$P4406,0),$P4406*(1-AG4406)*IFERROR(INDEX(계정대체기준!$E$20:$E$49,MATCH($N4406,계정대체기준!$A$20:$A$49,0)),0)))</f>
        <v/>
      </c>
      <c r="AC4406" s="9">
        <f>IF(AND($A4406&lt;&gt;"",M4406=설정!$C$20,Z4406&gt;0),Z4406+ROW()/1000000000,"")</f>
        <v/>
      </c>
      <c r="AD4406" s="94">
        <f>IF($A4406="",0,$P4406*AG4406)</f>
        <v/>
      </c>
      <c r="AE4406" s="64">
        <f>IF($A4406="","",IFERROR(INDEX(계정매핑!$E$5:$E$504,MATCH($F4406&amp;"",계정매핑!$A$5:$A$504,0))&amp;"","공통비"))</f>
        <v/>
      </c>
      <c r="AF4406" s="64">
        <f>IF($A4406="","",IF(AE4406="직접",IFERROR(INDEX(계정매핑!$F$5:$F$504,MATCH($F4406&amp;"",계정매핑!$A$5:$A$504,0))&amp;"","비귀속"),""))</f>
        <v/>
      </c>
      <c r="AG4406" s="96">
        <f>IF($A4406="",0,IF(AND(AE4406&lt;&gt;"직접",IFERROR(INDEX(계정매핑!$G$5:$G$504,MATCH($F4406&amp;"",계정매핑!$A$5:$A$504,0))&amp;"","")="유지비",COUNTIF(계정대체기준!$A$6:$A$15,$N4406)&gt;0),IFERROR(INDEX(계정대체기준!$E$6:$E$15,MATCH(VALUE($A4406&amp;""),계정대체기준!$D$6:$D$15,0)),0),0))</f>
        <v/>
      </c>
      <c r="AH4406" s="64">
        <f>IF($A4406="","",IF(AD4406=0,"",IF(OR(COUNTIF(계정대체기준!$A$77:$A$86,$N4406)&gt;0,ISNUMBER(MATCH($X4406,계정대체기준!$D$77:$D$86,0)),ISNUMBER(MATCH($F4406,계정대체기준!$D$77:$D$86,0))),"Y","N")))</f>
        <v/>
      </c>
    </row>
    <row r="4407">
      <c r="A4407" s="92" t="n">
        <v>2026</v>
      </c>
      <c r="B4407" s="92" t="n">
        <v>8</v>
      </c>
      <c r="C4407" s="92" t="inlineStr">
        <is>
          <t>5100001685</t>
        </is>
      </c>
      <c r="D4407" s="95" t="n">
        <v>46245</v>
      </c>
      <c r="E4407" s="92" t="inlineStr">
        <is>
          <t>KR</t>
        </is>
      </c>
      <c r="F4407" s="92" t="n">
        <v>62401000</v>
      </c>
      <c r="G4407" s="92" t="n">
        <v>1401</v>
      </c>
      <c r="H4407" s="93" t="n">
        <v>157000</v>
      </c>
      <c r="I4407" s="92" t="inlineStr">
        <is>
          <t>8월 인쇄물 제작 - G인쇄</t>
        </is>
      </c>
      <c r="J4407" s="92" t="inlineStr">
        <is>
          <t>V10004</t>
        </is>
      </c>
      <c r="K4407" s="92" t="inlineStr">
        <is>
          <t>G인쇄</t>
        </is>
      </c>
      <c r="M4407" s="9">
        <f>IF($A4407="","",VALUE($A4407&amp;"")*12+VALUE($B4407&amp;""))</f>
        <v/>
      </c>
      <c r="N4407" s="64">
        <f>IF($A4407="","",IFERROR(INDEX(부서매핑!$C$5:$C$504,MATCH($G4407&amp;"",부서매핑!$A$5:$A$504,0)),"미매핑"))</f>
        <v/>
      </c>
      <c r="O4407" s="9">
        <f>IF($A4407="","",N4407&amp;"|"&amp;$F4407)</f>
        <v/>
      </c>
      <c r="P4407" s="94">
        <f>IF($A4407="",0,$H4407*설정!$C$23)</f>
        <v/>
      </c>
      <c r="Q4407" s="64">
        <f>IF($A4407="","",IF(O4407&lt;&gt;원인분석!$C$9,"",IF(AND(M4407&gt;=원인분석!$C$10,M4407&lt;=원인분석!$C$11),"당기",IF(AND(M4407&gt;=원인분석!$C$12,M4407&lt;=원인분석!$C$13),"비교",""))))</f>
        <v/>
      </c>
      <c r="R4407" s="9">
        <f>IF(Q4407="","",$K4407&amp;"")</f>
        <v/>
      </c>
      <c r="S4407" s="9">
        <f>IF(Q4407="","",IF(MATCH(R4407,$R$5:$R$100000,0)=ROW()-4,ROW(),""))</f>
        <v/>
      </c>
      <c r="T4407" s="9">
        <f>IF(Q4407="당기",ABS(P4407)+ROW()/1000000000,"")</f>
        <v/>
      </c>
      <c r="U4407" s="9">
        <f>IF(Q4407="비교",ABS(P4407)+ROW()/1000000000,"")</f>
        <v/>
      </c>
      <c r="V4407" s="64">
        <f>IF($A4407="","",IF(COUNTIF(변동분석!$E$7:$E$506,O4407)&gt;0,"Y","N"))</f>
        <v/>
      </c>
      <c r="W4407" s="64">
        <f>IF($A4407="","",IFERROR(INDEX(계정매핑!$D$5:$D$504,MATCH($F4407&amp;"",계정매핑!$A$5:$A$504,0)),"미매핑"))</f>
        <v/>
      </c>
      <c r="X4407" s="9">
        <f>IF($A4407="","",$F4407&amp;"")</f>
        <v/>
      </c>
      <c r="Y4407" s="94">
        <f>IF($A4407="",0,IF(AE4407="직접",IF(AF4407="비귀속",$P4407,0),$P4407*(1-AG4407)*IFERROR(INDEX(계정대체기준!$F$20:$F$49,MATCH($N4407,계정대체기준!$A$20:$A$49,0)),1)))</f>
        <v/>
      </c>
      <c r="Z4407" s="94">
        <f>IF($A4407="",0,IF(AE4407="직접",IF(AF4407="신계약비",$P4407,0),$P4407*(1-AG4407)*IFERROR(INDEX(계정대체기준!$C$20:$C$49,MATCH($N4407,계정대체기준!$A$20:$A$49,0)),0)))</f>
        <v/>
      </c>
      <c r="AA4407" s="94">
        <f>IF($A4407="",0,IF(AE4407="직접",IF(OR(AF4407="유지비",AF4407="손해조사비"),$P4407,0),$P4407*(1-AG4407)*IFERROR(INDEX(계정대체기준!$D$20:$D$49,MATCH($N4407,계정대체기준!$A$20:$A$49,0)),0)))</f>
        <v/>
      </c>
      <c r="AB4407" s="94">
        <f>IF($A4407="",0,IF(AE4407="직접",IF(AF4407="수금비",$P4407,0),$P4407*(1-AG4407)*IFERROR(INDEX(계정대체기준!$E$20:$E$49,MATCH($N4407,계정대체기준!$A$20:$A$49,0)),0)))</f>
        <v/>
      </c>
      <c r="AC4407" s="9">
        <f>IF(AND($A4407&lt;&gt;"",M4407=설정!$C$20,Z4407&gt;0),Z4407+ROW()/1000000000,"")</f>
        <v/>
      </c>
      <c r="AD4407" s="94">
        <f>IF($A4407="",0,$P4407*AG4407)</f>
        <v/>
      </c>
      <c r="AE4407" s="64">
        <f>IF($A4407="","",IFERROR(INDEX(계정매핑!$E$5:$E$504,MATCH($F4407&amp;"",계정매핑!$A$5:$A$504,0))&amp;"","공통비"))</f>
        <v/>
      </c>
      <c r="AF4407" s="64">
        <f>IF($A4407="","",IF(AE4407="직접",IFERROR(INDEX(계정매핑!$F$5:$F$504,MATCH($F4407&amp;"",계정매핑!$A$5:$A$504,0))&amp;"","비귀속"),""))</f>
        <v/>
      </c>
      <c r="AG4407" s="96">
        <f>IF($A4407="",0,IF(AND(AE4407&lt;&gt;"직접",IFERROR(INDEX(계정매핑!$G$5:$G$504,MATCH($F4407&amp;"",계정매핑!$A$5:$A$504,0))&amp;"","")="유지비",COUNTIF(계정대체기준!$A$6:$A$15,$N4407)&gt;0),IFERROR(INDEX(계정대체기준!$E$6:$E$15,MATCH(VALUE($A4407&amp;""),계정대체기준!$D$6:$D$15,0)),0),0))</f>
        <v/>
      </c>
      <c r="AH4407" s="64">
        <f>IF($A4407="","",IF(AD4407=0,"",IF(OR(COUNTIF(계정대체기준!$A$77:$A$86,$N4407)&gt;0,ISNUMBER(MATCH($X4407,계정대체기준!$D$77:$D$86,0)),ISNUMBER(MATCH($F4407,계정대체기준!$D$77:$D$86,0))),"Y","N")))</f>
        <v/>
      </c>
    </row>
    <row r="4408">
      <c r="A4408" s="92" t="n">
        <v>2026</v>
      </c>
      <c r="B4408" s="92" t="n">
        <v>8</v>
      </c>
      <c r="C4408" s="92" t="inlineStr">
        <is>
          <t>5100001686</t>
        </is>
      </c>
      <c r="D4408" s="95" t="n">
        <v>46245</v>
      </c>
      <c r="E4408" s="92" t="inlineStr">
        <is>
          <t>KR</t>
        </is>
      </c>
      <c r="F4408" s="92" t="n">
        <v>62401000</v>
      </c>
      <c r="G4408" s="92" t="n">
        <v>1401</v>
      </c>
      <c r="H4408" s="93" t="n">
        <v>154000</v>
      </c>
      <c r="I4408" s="92" t="inlineStr">
        <is>
          <t>8월 인쇄물 제작 - S출판</t>
        </is>
      </c>
      <c r="J4408" s="92" t="inlineStr">
        <is>
          <t>V10015</t>
        </is>
      </c>
      <c r="K4408" s="92" t="inlineStr">
        <is>
          <t>S출판</t>
        </is>
      </c>
      <c r="M4408" s="9">
        <f>IF($A4408="","",VALUE($A4408&amp;"")*12+VALUE($B4408&amp;""))</f>
        <v/>
      </c>
      <c r="N4408" s="64">
        <f>IF($A4408="","",IFERROR(INDEX(부서매핑!$C$5:$C$504,MATCH($G4408&amp;"",부서매핑!$A$5:$A$504,0)),"미매핑"))</f>
        <v/>
      </c>
      <c r="O4408" s="9">
        <f>IF($A4408="","",N4408&amp;"|"&amp;$F4408)</f>
        <v/>
      </c>
      <c r="P4408" s="94">
        <f>IF($A4408="",0,$H4408*설정!$C$23)</f>
        <v/>
      </c>
      <c r="Q4408" s="64">
        <f>IF($A4408="","",IF(O4408&lt;&gt;원인분석!$C$9,"",IF(AND(M4408&gt;=원인분석!$C$10,M4408&lt;=원인분석!$C$11),"당기",IF(AND(M4408&gt;=원인분석!$C$12,M4408&lt;=원인분석!$C$13),"비교",""))))</f>
        <v/>
      </c>
      <c r="R4408" s="9">
        <f>IF(Q4408="","",$K4408&amp;"")</f>
        <v/>
      </c>
      <c r="S4408" s="9">
        <f>IF(Q4408="","",IF(MATCH(R4408,$R$5:$R$100000,0)=ROW()-4,ROW(),""))</f>
        <v/>
      </c>
      <c r="T4408" s="9">
        <f>IF(Q4408="당기",ABS(P4408)+ROW()/1000000000,"")</f>
        <v/>
      </c>
      <c r="U4408" s="9">
        <f>IF(Q4408="비교",ABS(P4408)+ROW()/1000000000,"")</f>
        <v/>
      </c>
      <c r="V4408" s="64">
        <f>IF($A4408="","",IF(COUNTIF(변동분석!$E$7:$E$506,O4408)&gt;0,"Y","N"))</f>
        <v/>
      </c>
      <c r="W4408" s="64">
        <f>IF($A4408="","",IFERROR(INDEX(계정매핑!$D$5:$D$504,MATCH($F4408&amp;"",계정매핑!$A$5:$A$504,0)),"미매핑"))</f>
        <v/>
      </c>
      <c r="X4408" s="9">
        <f>IF($A4408="","",$F4408&amp;"")</f>
        <v/>
      </c>
      <c r="Y4408" s="94">
        <f>IF($A4408="",0,IF(AE4408="직접",IF(AF4408="비귀속",$P4408,0),$P4408*(1-AG4408)*IFERROR(INDEX(계정대체기준!$F$20:$F$49,MATCH($N4408,계정대체기준!$A$20:$A$49,0)),1)))</f>
        <v/>
      </c>
      <c r="Z4408" s="94">
        <f>IF($A4408="",0,IF(AE4408="직접",IF(AF4408="신계약비",$P4408,0),$P4408*(1-AG4408)*IFERROR(INDEX(계정대체기준!$C$20:$C$49,MATCH($N4408,계정대체기준!$A$20:$A$49,0)),0)))</f>
        <v/>
      </c>
      <c r="AA4408" s="94">
        <f>IF($A4408="",0,IF(AE4408="직접",IF(OR(AF4408="유지비",AF4408="손해조사비"),$P4408,0),$P4408*(1-AG4408)*IFERROR(INDEX(계정대체기준!$D$20:$D$49,MATCH($N4408,계정대체기준!$A$20:$A$49,0)),0)))</f>
        <v/>
      </c>
      <c r="AB4408" s="94">
        <f>IF($A4408="",0,IF(AE4408="직접",IF(AF4408="수금비",$P4408,0),$P4408*(1-AG4408)*IFERROR(INDEX(계정대체기준!$E$20:$E$49,MATCH($N4408,계정대체기준!$A$20:$A$49,0)),0)))</f>
        <v/>
      </c>
      <c r="AC4408" s="9">
        <f>IF(AND($A4408&lt;&gt;"",M4408=설정!$C$20,Z4408&gt;0),Z4408+ROW()/1000000000,"")</f>
        <v/>
      </c>
      <c r="AD4408" s="94">
        <f>IF($A4408="",0,$P4408*AG4408)</f>
        <v/>
      </c>
      <c r="AE4408" s="64">
        <f>IF($A4408="","",IFERROR(INDEX(계정매핑!$E$5:$E$504,MATCH($F4408&amp;"",계정매핑!$A$5:$A$504,0))&amp;"","공통비"))</f>
        <v/>
      </c>
      <c r="AF4408" s="64">
        <f>IF($A4408="","",IF(AE4408="직접",IFERROR(INDEX(계정매핑!$F$5:$F$504,MATCH($F4408&amp;"",계정매핑!$A$5:$A$504,0))&amp;"","비귀속"),""))</f>
        <v/>
      </c>
      <c r="AG4408" s="96">
        <f>IF($A4408="",0,IF(AND(AE4408&lt;&gt;"직접",IFERROR(INDEX(계정매핑!$G$5:$G$504,MATCH($F4408&amp;"",계정매핑!$A$5:$A$504,0))&amp;"","")="유지비",COUNTIF(계정대체기준!$A$6:$A$15,$N4408)&gt;0),IFERROR(INDEX(계정대체기준!$E$6:$E$15,MATCH(VALUE($A4408&amp;""),계정대체기준!$D$6:$D$15,0)),0),0))</f>
        <v/>
      </c>
      <c r="AH4408" s="64">
        <f>IF($A4408="","",IF(AD4408=0,"",IF(OR(COUNTIF(계정대체기준!$A$77:$A$86,$N4408)&gt;0,ISNUMBER(MATCH($X4408,계정대체기준!$D$77:$D$86,0)),ISNUMBER(MATCH($F4408,계정대체기준!$D$77:$D$86,0))),"Y","N")))</f>
        <v/>
      </c>
    </row>
    <row r="4409">
      <c r="A4409" s="92" t="n">
        <v>2026</v>
      </c>
      <c r="B4409" s="92" t="n">
        <v>8</v>
      </c>
      <c r="C4409" s="92" t="inlineStr">
        <is>
          <t>5100001687</t>
        </is>
      </c>
      <c r="D4409" s="95" t="n">
        <v>46245</v>
      </c>
      <c r="E4409" s="92" t="inlineStr">
        <is>
          <t>KR</t>
        </is>
      </c>
      <c r="F4409" s="92" t="n">
        <v>62902000</v>
      </c>
      <c r="G4409" s="92" t="n">
        <v>1801</v>
      </c>
      <c r="H4409" s="93" t="n">
        <v>1758000</v>
      </c>
      <c r="I4409" s="92" t="inlineStr">
        <is>
          <t>8월 콜 위탁 수수료(건별)</t>
        </is>
      </c>
      <c r="J4409" s="92" t="inlineStr">
        <is>
          <t>V10016</t>
        </is>
      </c>
      <c r="K4409" s="92" t="inlineStr">
        <is>
          <t>J콜센터</t>
        </is>
      </c>
      <c r="M4409" s="9">
        <f>IF($A4409="","",VALUE($A4409&amp;"")*12+VALUE($B4409&amp;""))</f>
        <v/>
      </c>
      <c r="N4409" s="64">
        <f>IF($A4409="","",IFERROR(INDEX(부서매핑!$C$5:$C$504,MATCH($G4409&amp;"",부서매핑!$A$5:$A$504,0)),"미매핑"))</f>
        <v/>
      </c>
      <c r="O4409" s="9">
        <f>IF($A4409="","",N4409&amp;"|"&amp;$F4409)</f>
        <v/>
      </c>
      <c r="P4409" s="94">
        <f>IF($A4409="",0,$H4409*설정!$C$23)</f>
        <v/>
      </c>
      <c r="Q4409" s="64">
        <f>IF($A4409="","",IF(O4409&lt;&gt;원인분석!$C$9,"",IF(AND(M4409&gt;=원인분석!$C$10,M4409&lt;=원인분석!$C$11),"당기",IF(AND(M4409&gt;=원인분석!$C$12,M4409&lt;=원인분석!$C$13),"비교",""))))</f>
        <v/>
      </c>
      <c r="R4409" s="9">
        <f>IF(Q4409="","",$K4409&amp;"")</f>
        <v/>
      </c>
      <c r="S4409" s="9">
        <f>IF(Q4409="","",IF(MATCH(R4409,$R$5:$R$100000,0)=ROW()-4,ROW(),""))</f>
        <v/>
      </c>
      <c r="T4409" s="9">
        <f>IF(Q4409="당기",ABS(P4409)+ROW()/1000000000,"")</f>
        <v/>
      </c>
      <c r="U4409" s="9">
        <f>IF(Q4409="비교",ABS(P4409)+ROW()/1000000000,"")</f>
        <v/>
      </c>
      <c r="V4409" s="64">
        <f>IF($A4409="","",IF(COUNTIF(변동분석!$E$7:$E$506,O4409)&gt;0,"Y","N"))</f>
        <v/>
      </c>
      <c r="W4409" s="64">
        <f>IF($A4409="","",IFERROR(INDEX(계정매핑!$D$5:$D$504,MATCH($F4409&amp;"",계정매핑!$A$5:$A$504,0)),"미매핑"))</f>
        <v/>
      </c>
      <c r="X4409" s="9">
        <f>IF($A4409="","",$F4409&amp;"")</f>
        <v/>
      </c>
      <c r="Y4409" s="94">
        <f>IF($A4409="",0,IF(AE4409="직접",IF(AF4409="비귀속",$P4409,0),$P4409*(1-AG4409)*IFERROR(INDEX(계정대체기준!$F$20:$F$49,MATCH($N4409,계정대체기준!$A$20:$A$49,0)),1)))</f>
        <v/>
      </c>
      <c r="Z4409" s="94">
        <f>IF($A4409="",0,IF(AE4409="직접",IF(AF4409="신계약비",$P4409,0),$P4409*(1-AG4409)*IFERROR(INDEX(계정대체기준!$C$20:$C$49,MATCH($N4409,계정대체기준!$A$20:$A$49,0)),0)))</f>
        <v/>
      </c>
      <c r="AA4409" s="94">
        <f>IF($A4409="",0,IF(AE4409="직접",IF(OR(AF4409="유지비",AF4409="손해조사비"),$P4409,0),$P4409*(1-AG4409)*IFERROR(INDEX(계정대체기준!$D$20:$D$49,MATCH($N4409,계정대체기준!$A$20:$A$49,0)),0)))</f>
        <v/>
      </c>
      <c r="AB4409" s="94">
        <f>IF($A4409="",0,IF(AE4409="직접",IF(AF4409="수금비",$P4409,0),$P4409*(1-AG4409)*IFERROR(INDEX(계정대체기준!$E$20:$E$49,MATCH($N4409,계정대체기준!$A$20:$A$49,0)),0)))</f>
        <v/>
      </c>
      <c r="AC4409" s="9">
        <f>IF(AND($A4409&lt;&gt;"",M4409=설정!$C$20,Z4409&gt;0),Z4409+ROW()/1000000000,"")</f>
        <v/>
      </c>
      <c r="AD4409" s="94">
        <f>IF($A4409="",0,$P4409*AG4409)</f>
        <v/>
      </c>
      <c r="AE4409" s="64">
        <f>IF($A4409="","",IFERROR(INDEX(계정매핑!$E$5:$E$504,MATCH($F4409&amp;"",계정매핑!$A$5:$A$504,0))&amp;"","공통비"))</f>
        <v/>
      </c>
      <c r="AF4409" s="64">
        <f>IF($A4409="","",IF(AE4409="직접",IFERROR(INDEX(계정매핑!$F$5:$F$504,MATCH($F4409&amp;"",계정매핑!$A$5:$A$504,0))&amp;"","비귀속"),""))</f>
        <v/>
      </c>
      <c r="AG4409" s="96">
        <f>IF($A4409="",0,IF(AND(AE4409&lt;&gt;"직접",IFERROR(INDEX(계정매핑!$G$5:$G$504,MATCH($F4409&amp;"",계정매핑!$A$5:$A$504,0))&amp;"","")="유지비",COUNTIF(계정대체기준!$A$6:$A$15,$N4409)&gt;0),IFERROR(INDEX(계정대체기준!$E$6:$E$15,MATCH(VALUE($A4409&amp;""),계정대체기준!$D$6:$D$15,0)),0),0))</f>
        <v/>
      </c>
      <c r="AH4409" s="64">
        <f>IF($A4409="","",IF(AD4409=0,"",IF(OR(COUNTIF(계정대체기준!$A$77:$A$86,$N4409)&gt;0,ISNUMBER(MATCH($X4409,계정대체기준!$D$77:$D$86,0)),ISNUMBER(MATCH($F4409,계정대체기준!$D$77:$D$86,0))),"Y","N")))</f>
        <v/>
      </c>
    </row>
    <row r="4410">
      <c r="A4410" s="92" t="n">
        <v>2026</v>
      </c>
      <c r="B4410" s="92" t="n">
        <v>8</v>
      </c>
      <c r="C4410" s="92" t="inlineStr">
        <is>
          <t>5100001688</t>
        </is>
      </c>
      <c r="D4410" s="95" t="n">
        <v>46245</v>
      </c>
      <c r="E4410" s="92" t="inlineStr">
        <is>
          <t>KR</t>
        </is>
      </c>
      <c r="F4410" s="92" t="n">
        <v>62902000</v>
      </c>
      <c r="G4410" s="92" t="n">
        <v>1951</v>
      </c>
      <c r="H4410" s="93" t="n">
        <v>1958000</v>
      </c>
      <c r="I4410" s="92" t="inlineStr">
        <is>
          <t>8월 업무 위탁 수수료 - J콜센터</t>
        </is>
      </c>
      <c r="J4410" s="92" t="inlineStr">
        <is>
          <t>V10016</t>
        </is>
      </c>
      <c r="K4410" s="92" t="inlineStr">
        <is>
          <t>J콜센터</t>
        </is>
      </c>
      <c r="M4410" s="9">
        <f>IF($A4410="","",VALUE($A4410&amp;"")*12+VALUE($B4410&amp;""))</f>
        <v/>
      </c>
      <c r="N4410" s="64">
        <f>IF($A4410="","",IFERROR(INDEX(부서매핑!$C$5:$C$504,MATCH($G4410&amp;"",부서매핑!$A$5:$A$504,0)),"미매핑"))</f>
        <v/>
      </c>
      <c r="O4410" s="9">
        <f>IF($A4410="","",N4410&amp;"|"&amp;$F4410)</f>
        <v/>
      </c>
      <c r="P4410" s="94">
        <f>IF($A4410="",0,$H4410*설정!$C$23)</f>
        <v/>
      </c>
      <c r="Q4410" s="64">
        <f>IF($A4410="","",IF(O4410&lt;&gt;원인분석!$C$9,"",IF(AND(M4410&gt;=원인분석!$C$10,M4410&lt;=원인분석!$C$11),"당기",IF(AND(M4410&gt;=원인분석!$C$12,M4410&lt;=원인분석!$C$13),"비교",""))))</f>
        <v/>
      </c>
      <c r="R4410" s="9">
        <f>IF(Q4410="","",$K4410&amp;"")</f>
        <v/>
      </c>
      <c r="S4410" s="9">
        <f>IF(Q4410="","",IF(MATCH(R4410,$R$5:$R$100000,0)=ROW()-4,ROW(),""))</f>
        <v/>
      </c>
      <c r="T4410" s="9">
        <f>IF(Q4410="당기",ABS(P4410)+ROW()/1000000000,"")</f>
        <v/>
      </c>
      <c r="U4410" s="9">
        <f>IF(Q4410="비교",ABS(P4410)+ROW()/1000000000,"")</f>
        <v/>
      </c>
      <c r="V4410" s="64">
        <f>IF($A4410="","",IF(COUNTIF(변동분석!$E$7:$E$506,O4410)&gt;0,"Y","N"))</f>
        <v/>
      </c>
      <c r="W4410" s="64">
        <f>IF($A4410="","",IFERROR(INDEX(계정매핑!$D$5:$D$504,MATCH($F4410&amp;"",계정매핑!$A$5:$A$504,0)),"미매핑"))</f>
        <v/>
      </c>
      <c r="X4410" s="9">
        <f>IF($A4410="","",$F4410&amp;"")</f>
        <v/>
      </c>
      <c r="Y4410" s="94">
        <f>IF($A4410="",0,IF(AE4410="직접",IF(AF4410="비귀속",$P4410,0),$P4410*(1-AG4410)*IFERROR(INDEX(계정대체기준!$F$20:$F$49,MATCH($N4410,계정대체기준!$A$20:$A$49,0)),1)))</f>
        <v/>
      </c>
      <c r="Z4410" s="94">
        <f>IF($A4410="",0,IF(AE4410="직접",IF(AF4410="신계약비",$P4410,0),$P4410*(1-AG4410)*IFERROR(INDEX(계정대체기준!$C$20:$C$49,MATCH($N4410,계정대체기준!$A$20:$A$49,0)),0)))</f>
        <v/>
      </c>
      <c r="AA4410" s="94">
        <f>IF($A4410="",0,IF(AE4410="직접",IF(OR(AF4410="유지비",AF4410="손해조사비"),$P4410,0),$P4410*(1-AG4410)*IFERROR(INDEX(계정대체기준!$D$20:$D$49,MATCH($N4410,계정대체기준!$A$20:$A$49,0)),0)))</f>
        <v/>
      </c>
      <c r="AB4410" s="94">
        <f>IF($A4410="",0,IF(AE4410="직접",IF(AF4410="수금비",$P4410,0),$P4410*(1-AG4410)*IFERROR(INDEX(계정대체기준!$E$20:$E$49,MATCH($N4410,계정대체기준!$A$20:$A$49,0)),0)))</f>
        <v/>
      </c>
      <c r="AC4410" s="9">
        <f>IF(AND($A4410&lt;&gt;"",M4410=설정!$C$20,Z4410&gt;0),Z4410+ROW()/1000000000,"")</f>
        <v/>
      </c>
      <c r="AD4410" s="94">
        <f>IF($A4410="",0,$P4410*AG4410)</f>
        <v/>
      </c>
      <c r="AE4410" s="64">
        <f>IF($A4410="","",IFERROR(INDEX(계정매핑!$E$5:$E$504,MATCH($F4410&amp;"",계정매핑!$A$5:$A$504,0))&amp;"","공통비"))</f>
        <v/>
      </c>
      <c r="AF4410" s="64">
        <f>IF($A4410="","",IF(AE4410="직접",IFERROR(INDEX(계정매핑!$F$5:$F$504,MATCH($F4410&amp;"",계정매핑!$A$5:$A$504,0))&amp;"","비귀속"),""))</f>
        <v/>
      </c>
      <c r="AG4410" s="96">
        <f>IF($A4410="",0,IF(AND(AE4410&lt;&gt;"직접",IFERROR(INDEX(계정매핑!$G$5:$G$504,MATCH($F4410&amp;"",계정매핑!$A$5:$A$504,0))&amp;"","")="유지비",COUNTIF(계정대체기준!$A$6:$A$15,$N4410)&gt;0),IFERROR(INDEX(계정대체기준!$E$6:$E$15,MATCH(VALUE($A4410&amp;""),계정대체기준!$D$6:$D$15,0)),0),0))</f>
        <v/>
      </c>
      <c r="AH4410" s="64">
        <f>IF($A4410="","",IF(AD4410=0,"",IF(OR(COUNTIF(계정대체기준!$A$77:$A$86,$N4410)&gt;0,ISNUMBER(MATCH($X4410,계정대체기준!$D$77:$D$86,0)),ISNUMBER(MATCH($F4410,계정대체기준!$D$77:$D$86,0))),"Y","N")))</f>
        <v/>
      </c>
    </row>
    <row r="4411">
      <c r="A4411" s="92" t="n">
        <v>2026</v>
      </c>
      <c r="B4411" s="92" t="n">
        <v>8</v>
      </c>
      <c r="C4411" s="92" t="inlineStr">
        <is>
          <t>5100001689</t>
        </is>
      </c>
      <c r="D4411" s="95" t="n">
        <v>46245</v>
      </c>
      <c r="E4411" s="92" t="inlineStr">
        <is>
          <t>KR</t>
        </is>
      </c>
      <c r="F4411" s="92" t="n">
        <v>63501000</v>
      </c>
      <c r="G4411" s="92" t="n">
        <v>1901</v>
      </c>
      <c r="H4411" s="93" t="n">
        <v>240070000</v>
      </c>
      <c r="I4411" s="92" t="inlineStr">
        <is>
          <t>8월 모집수수료 - AA보험대리점</t>
        </is>
      </c>
      <c r="J4411" s="92" t="inlineStr">
        <is>
          <t>V10034</t>
        </is>
      </c>
      <c r="K4411" s="92" t="inlineStr">
        <is>
          <t>AA보험대리점</t>
        </is>
      </c>
      <c r="M4411" s="9">
        <f>IF($A4411="","",VALUE($A4411&amp;"")*12+VALUE($B4411&amp;""))</f>
        <v/>
      </c>
      <c r="N4411" s="64">
        <f>IF($A4411="","",IFERROR(INDEX(부서매핑!$C$5:$C$504,MATCH($G4411&amp;"",부서매핑!$A$5:$A$504,0)),"미매핑"))</f>
        <v/>
      </c>
      <c r="O4411" s="9">
        <f>IF($A4411="","",N4411&amp;"|"&amp;$F4411)</f>
        <v/>
      </c>
      <c r="P4411" s="94">
        <f>IF($A4411="",0,$H4411*설정!$C$23)</f>
        <v/>
      </c>
      <c r="Q4411" s="64">
        <f>IF($A4411="","",IF(O4411&lt;&gt;원인분석!$C$9,"",IF(AND(M4411&gt;=원인분석!$C$10,M4411&lt;=원인분석!$C$11),"당기",IF(AND(M4411&gt;=원인분석!$C$12,M4411&lt;=원인분석!$C$13),"비교",""))))</f>
        <v/>
      </c>
      <c r="R4411" s="9">
        <f>IF(Q4411="","",$K4411&amp;"")</f>
        <v/>
      </c>
      <c r="S4411" s="9">
        <f>IF(Q4411="","",IF(MATCH(R4411,$R$5:$R$100000,0)=ROW()-4,ROW(),""))</f>
        <v/>
      </c>
      <c r="T4411" s="9">
        <f>IF(Q4411="당기",ABS(P4411)+ROW()/1000000000,"")</f>
        <v/>
      </c>
      <c r="U4411" s="9">
        <f>IF(Q4411="비교",ABS(P4411)+ROW()/1000000000,"")</f>
        <v/>
      </c>
      <c r="V4411" s="64">
        <f>IF($A4411="","",IF(COUNTIF(변동분석!$E$7:$E$506,O4411)&gt;0,"Y","N"))</f>
        <v/>
      </c>
      <c r="W4411" s="64">
        <f>IF($A4411="","",IFERROR(INDEX(계정매핑!$D$5:$D$504,MATCH($F4411&amp;"",계정매핑!$A$5:$A$504,0)),"미매핑"))</f>
        <v/>
      </c>
      <c r="X4411" s="9">
        <f>IF($A4411="","",$F4411&amp;"")</f>
        <v/>
      </c>
      <c r="Y4411" s="94">
        <f>IF($A4411="",0,IF(AE4411="직접",IF(AF4411="비귀속",$P4411,0),$P4411*(1-AG4411)*IFERROR(INDEX(계정대체기준!$F$20:$F$49,MATCH($N4411,계정대체기준!$A$20:$A$49,0)),1)))</f>
        <v/>
      </c>
      <c r="Z4411" s="94">
        <f>IF($A4411="",0,IF(AE4411="직접",IF(AF4411="신계약비",$P4411,0),$P4411*(1-AG4411)*IFERROR(INDEX(계정대체기준!$C$20:$C$49,MATCH($N4411,계정대체기준!$A$20:$A$49,0)),0)))</f>
        <v/>
      </c>
      <c r="AA4411" s="94">
        <f>IF($A4411="",0,IF(AE4411="직접",IF(OR(AF4411="유지비",AF4411="손해조사비"),$P4411,0),$P4411*(1-AG4411)*IFERROR(INDEX(계정대체기준!$D$20:$D$49,MATCH($N4411,계정대체기준!$A$20:$A$49,0)),0)))</f>
        <v/>
      </c>
      <c r="AB4411" s="94">
        <f>IF($A4411="",0,IF(AE4411="직접",IF(AF4411="수금비",$P4411,0),$P4411*(1-AG4411)*IFERROR(INDEX(계정대체기준!$E$20:$E$49,MATCH($N4411,계정대체기준!$A$20:$A$49,0)),0)))</f>
        <v/>
      </c>
      <c r="AC4411" s="9">
        <f>IF(AND($A4411&lt;&gt;"",M4411=설정!$C$20,Z4411&gt;0),Z4411+ROW()/1000000000,"")</f>
        <v/>
      </c>
      <c r="AD4411" s="94">
        <f>IF($A4411="",0,$P4411*AG4411)</f>
        <v/>
      </c>
      <c r="AE4411" s="64">
        <f>IF($A4411="","",IFERROR(INDEX(계정매핑!$E$5:$E$504,MATCH($F4411&amp;"",계정매핑!$A$5:$A$504,0))&amp;"","공통비"))</f>
        <v/>
      </c>
      <c r="AF4411" s="64">
        <f>IF($A4411="","",IF(AE4411="직접",IFERROR(INDEX(계정매핑!$F$5:$F$504,MATCH($F4411&amp;"",계정매핑!$A$5:$A$504,0))&amp;"","비귀속"),""))</f>
        <v/>
      </c>
      <c r="AG4411" s="96">
        <f>IF($A4411="",0,IF(AND(AE4411&lt;&gt;"직접",IFERROR(INDEX(계정매핑!$G$5:$G$504,MATCH($F4411&amp;"",계정매핑!$A$5:$A$504,0))&amp;"","")="유지비",COUNTIF(계정대체기준!$A$6:$A$15,$N4411)&gt;0),IFERROR(INDEX(계정대체기준!$E$6:$E$15,MATCH(VALUE($A4411&amp;""),계정대체기준!$D$6:$D$15,0)),0),0))</f>
        <v/>
      </c>
      <c r="AH4411" s="64">
        <f>IF($A4411="","",IF(AD4411=0,"",IF(OR(COUNTIF(계정대체기준!$A$77:$A$86,$N4411)&gt;0,ISNUMBER(MATCH($X4411,계정대체기준!$D$77:$D$86,0)),ISNUMBER(MATCH($F4411,계정대체기준!$D$77:$D$86,0))),"Y","N")))</f>
        <v/>
      </c>
    </row>
    <row r="4412">
      <c r="A4412" s="92" t="n">
        <v>2026</v>
      </c>
      <c r="B4412" s="92" t="n">
        <v>8</v>
      </c>
      <c r="C4412" s="92" t="inlineStr">
        <is>
          <t>5100001690</t>
        </is>
      </c>
      <c r="D4412" s="95" t="n">
        <v>46246</v>
      </c>
      <c r="E4412" s="92" t="inlineStr">
        <is>
          <t>KR</t>
        </is>
      </c>
      <c r="F4412" s="92" t="n">
        <v>62101000</v>
      </c>
      <c r="G4412" s="92" t="n">
        <v>1101</v>
      </c>
      <c r="H4412" s="93" t="n">
        <v>495000</v>
      </c>
      <c r="I4412" s="92" t="inlineStr">
        <is>
          <t>8월 국내출장 - L여행사</t>
        </is>
      </c>
      <c r="J4412" s="92" t="inlineStr">
        <is>
          <t>V10018</t>
        </is>
      </c>
      <c r="K4412" s="92" t="inlineStr">
        <is>
          <t>L여행사</t>
        </is>
      </c>
      <c r="M4412" s="9">
        <f>IF($A4412="","",VALUE($A4412&amp;"")*12+VALUE($B4412&amp;""))</f>
        <v/>
      </c>
      <c r="N4412" s="64">
        <f>IF($A4412="","",IFERROR(INDEX(부서매핑!$C$5:$C$504,MATCH($G4412&amp;"",부서매핑!$A$5:$A$504,0)),"미매핑"))</f>
        <v/>
      </c>
      <c r="O4412" s="9">
        <f>IF($A4412="","",N4412&amp;"|"&amp;$F4412)</f>
        <v/>
      </c>
      <c r="P4412" s="94">
        <f>IF($A4412="",0,$H4412*설정!$C$23)</f>
        <v/>
      </c>
      <c r="Q4412" s="64">
        <f>IF($A4412="","",IF(O4412&lt;&gt;원인분석!$C$9,"",IF(AND(M4412&gt;=원인분석!$C$10,M4412&lt;=원인분석!$C$11),"당기",IF(AND(M4412&gt;=원인분석!$C$12,M4412&lt;=원인분석!$C$13),"비교",""))))</f>
        <v/>
      </c>
      <c r="R4412" s="9">
        <f>IF(Q4412="","",$K4412&amp;"")</f>
        <v/>
      </c>
      <c r="S4412" s="9">
        <f>IF(Q4412="","",IF(MATCH(R4412,$R$5:$R$100000,0)=ROW()-4,ROW(),""))</f>
        <v/>
      </c>
      <c r="T4412" s="9">
        <f>IF(Q4412="당기",ABS(P4412)+ROW()/1000000000,"")</f>
        <v/>
      </c>
      <c r="U4412" s="9">
        <f>IF(Q4412="비교",ABS(P4412)+ROW()/1000000000,"")</f>
        <v/>
      </c>
      <c r="V4412" s="64">
        <f>IF($A4412="","",IF(COUNTIF(변동분석!$E$7:$E$506,O4412)&gt;0,"Y","N"))</f>
        <v/>
      </c>
      <c r="W4412" s="64">
        <f>IF($A4412="","",IFERROR(INDEX(계정매핑!$D$5:$D$504,MATCH($F4412&amp;"",계정매핑!$A$5:$A$504,0)),"미매핑"))</f>
        <v/>
      </c>
      <c r="X4412" s="9">
        <f>IF($A4412="","",$F4412&amp;"")</f>
        <v/>
      </c>
      <c r="Y4412" s="94">
        <f>IF($A4412="",0,IF(AE4412="직접",IF(AF4412="비귀속",$P4412,0),$P4412*(1-AG4412)*IFERROR(INDEX(계정대체기준!$F$20:$F$49,MATCH($N4412,계정대체기준!$A$20:$A$49,0)),1)))</f>
        <v/>
      </c>
      <c r="Z4412" s="94">
        <f>IF($A4412="",0,IF(AE4412="직접",IF(AF4412="신계약비",$P4412,0),$P4412*(1-AG4412)*IFERROR(INDEX(계정대체기준!$C$20:$C$49,MATCH($N4412,계정대체기준!$A$20:$A$49,0)),0)))</f>
        <v/>
      </c>
      <c r="AA4412" s="94">
        <f>IF($A4412="",0,IF(AE4412="직접",IF(OR(AF4412="유지비",AF4412="손해조사비"),$P4412,0),$P4412*(1-AG4412)*IFERROR(INDEX(계정대체기준!$D$20:$D$49,MATCH($N4412,계정대체기준!$A$20:$A$49,0)),0)))</f>
        <v/>
      </c>
      <c r="AB4412" s="94">
        <f>IF($A4412="",0,IF(AE4412="직접",IF(AF4412="수금비",$P4412,0),$P4412*(1-AG4412)*IFERROR(INDEX(계정대체기준!$E$20:$E$49,MATCH($N4412,계정대체기준!$A$20:$A$49,0)),0)))</f>
        <v/>
      </c>
      <c r="AC4412" s="9">
        <f>IF(AND($A4412&lt;&gt;"",M4412=설정!$C$20,Z4412&gt;0),Z4412+ROW()/1000000000,"")</f>
        <v/>
      </c>
      <c r="AD4412" s="94">
        <f>IF($A4412="",0,$P4412*AG4412)</f>
        <v/>
      </c>
      <c r="AE4412" s="64">
        <f>IF($A4412="","",IFERROR(INDEX(계정매핑!$E$5:$E$504,MATCH($F4412&amp;"",계정매핑!$A$5:$A$504,0))&amp;"","공통비"))</f>
        <v/>
      </c>
      <c r="AF4412" s="64">
        <f>IF($A4412="","",IF(AE4412="직접",IFERROR(INDEX(계정매핑!$F$5:$F$504,MATCH($F4412&amp;"",계정매핑!$A$5:$A$504,0))&amp;"","비귀속"),""))</f>
        <v/>
      </c>
      <c r="AG4412" s="96">
        <f>IF($A4412="",0,IF(AND(AE4412&lt;&gt;"직접",IFERROR(INDEX(계정매핑!$G$5:$G$504,MATCH($F4412&amp;"",계정매핑!$A$5:$A$504,0))&amp;"","")="유지비",COUNTIF(계정대체기준!$A$6:$A$15,$N4412)&gt;0),IFERROR(INDEX(계정대체기준!$E$6:$E$15,MATCH(VALUE($A4412&amp;""),계정대체기준!$D$6:$D$15,0)),0),0))</f>
        <v/>
      </c>
      <c r="AH4412" s="64">
        <f>IF($A4412="","",IF(AD4412=0,"",IF(OR(COUNTIF(계정대체기준!$A$77:$A$86,$N4412)&gt;0,ISNUMBER(MATCH($X4412,계정대체기준!$D$77:$D$86,0)),ISNUMBER(MATCH($F4412,계정대체기준!$D$77:$D$86,0))),"Y","N")))</f>
        <v/>
      </c>
    </row>
    <row r="4413">
      <c r="A4413" s="92" t="n">
        <v>2026</v>
      </c>
      <c r="B4413" s="92" t="n">
        <v>8</v>
      </c>
      <c r="C4413" s="92" t="inlineStr">
        <is>
          <t>5100001691</t>
        </is>
      </c>
      <c r="D4413" s="95" t="n">
        <v>46246</v>
      </c>
      <c r="E4413" s="92" t="inlineStr">
        <is>
          <t>KR</t>
        </is>
      </c>
      <c r="F4413" s="92" t="n">
        <v>62101000</v>
      </c>
      <c r="G4413" s="92" t="n">
        <v>1701</v>
      </c>
      <c r="H4413" s="93" t="n">
        <v>184000</v>
      </c>
      <c r="I4413" s="92" t="inlineStr">
        <is>
          <t>8월 국내출장 - M항공</t>
        </is>
      </c>
      <c r="J4413" s="92" t="inlineStr">
        <is>
          <t>V10001</t>
        </is>
      </c>
      <c r="K4413" s="92" t="inlineStr">
        <is>
          <t>M항공</t>
        </is>
      </c>
      <c r="M4413" s="9">
        <f>IF($A4413="","",VALUE($A4413&amp;"")*12+VALUE($B4413&amp;""))</f>
        <v/>
      </c>
      <c r="N4413" s="64">
        <f>IF($A4413="","",IFERROR(INDEX(부서매핑!$C$5:$C$504,MATCH($G4413&amp;"",부서매핑!$A$5:$A$504,0)),"미매핑"))</f>
        <v/>
      </c>
      <c r="O4413" s="9">
        <f>IF($A4413="","",N4413&amp;"|"&amp;$F4413)</f>
        <v/>
      </c>
      <c r="P4413" s="94">
        <f>IF($A4413="",0,$H4413*설정!$C$23)</f>
        <v/>
      </c>
      <c r="Q4413" s="64">
        <f>IF($A4413="","",IF(O4413&lt;&gt;원인분석!$C$9,"",IF(AND(M4413&gt;=원인분석!$C$10,M4413&lt;=원인분석!$C$11),"당기",IF(AND(M4413&gt;=원인분석!$C$12,M4413&lt;=원인분석!$C$13),"비교",""))))</f>
        <v/>
      </c>
      <c r="R4413" s="9">
        <f>IF(Q4413="","",$K4413&amp;"")</f>
        <v/>
      </c>
      <c r="S4413" s="9">
        <f>IF(Q4413="","",IF(MATCH(R4413,$R$5:$R$100000,0)=ROW()-4,ROW(),""))</f>
        <v/>
      </c>
      <c r="T4413" s="9">
        <f>IF(Q4413="당기",ABS(P4413)+ROW()/1000000000,"")</f>
        <v/>
      </c>
      <c r="U4413" s="9">
        <f>IF(Q4413="비교",ABS(P4413)+ROW()/1000000000,"")</f>
        <v/>
      </c>
      <c r="V4413" s="64">
        <f>IF($A4413="","",IF(COUNTIF(변동분석!$E$7:$E$506,O4413)&gt;0,"Y","N"))</f>
        <v/>
      </c>
      <c r="W4413" s="64">
        <f>IF($A4413="","",IFERROR(INDEX(계정매핑!$D$5:$D$504,MATCH($F4413&amp;"",계정매핑!$A$5:$A$504,0)),"미매핑"))</f>
        <v/>
      </c>
      <c r="X4413" s="9">
        <f>IF($A4413="","",$F4413&amp;"")</f>
        <v/>
      </c>
      <c r="Y4413" s="94">
        <f>IF($A4413="",0,IF(AE4413="직접",IF(AF4413="비귀속",$P4413,0),$P4413*(1-AG4413)*IFERROR(INDEX(계정대체기준!$F$20:$F$49,MATCH($N4413,계정대체기준!$A$20:$A$49,0)),1)))</f>
        <v/>
      </c>
      <c r="Z4413" s="94">
        <f>IF($A4413="",0,IF(AE4413="직접",IF(AF4413="신계약비",$P4413,0),$P4413*(1-AG4413)*IFERROR(INDEX(계정대체기준!$C$20:$C$49,MATCH($N4413,계정대체기준!$A$20:$A$49,0)),0)))</f>
        <v/>
      </c>
      <c r="AA4413" s="94">
        <f>IF($A4413="",0,IF(AE4413="직접",IF(OR(AF4413="유지비",AF4413="손해조사비"),$P4413,0),$P4413*(1-AG4413)*IFERROR(INDEX(계정대체기준!$D$20:$D$49,MATCH($N4413,계정대체기준!$A$20:$A$49,0)),0)))</f>
        <v/>
      </c>
      <c r="AB4413" s="94">
        <f>IF($A4413="",0,IF(AE4413="직접",IF(AF4413="수금비",$P4413,0),$P4413*(1-AG4413)*IFERROR(INDEX(계정대체기준!$E$20:$E$49,MATCH($N4413,계정대체기준!$A$20:$A$49,0)),0)))</f>
        <v/>
      </c>
      <c r="AC4413" s="9">
        <f>IF(AND($A4413&lt;&gt;"",M4413=설정!$C$20,Z4413&gt;0),Z4413+ROW()/1000000000,"")</f>
        <v/>
      </c>
      <c r="AD4413" s="94">
        <f>IF($A4413="",0,$P4413*AG4413)</f>
        <v/>
      </c>
      <c r="AE4413" s="64">
        <f>IF($A4413="","",IFERROR(INDEX(계정매핑!$E$5:$E$504,MATCH($F4413&amp;"",계정매핑!$A$5:$A$504,0))&amp;"","공통비"))</f>
        <v/>
      </c>
      <c r="AF4413" s="64">
        <f>IF($A4413="","",IF(AE4413="직접",IFERROR(INDEX(계정매핑!$F$5:$F$504,MATCH($F4413&amp;"",계정매핑!$A$5:$A$504,0))&amp;"","비귀속"),""))</f>
        <v/>
      </c>
      <c r="AG4413" s="96">
        <f>IF($A4413="",0,IF(AND(AE4413&lt;&gt;"직접",IFERROR(INDEX(계정매핑!$G$5:$G$504,MATCH($F4413&amp;"",계정매핑!$A$5:$A$504,0))&amp;"","")="유지비",COUNTIF(계정대체기준!$A$6:$A$15,$N4413)&gt;0),IFERROR(INDEX(계정대체기준!$E$6:$E$15,MATCH(VALUE($A4413&amp;""),계정대체기준!$D$6:$D$15,0)),0),0))</f>
        <v/>
      </c>
      <c r="AH4413" s="64">
        <f>IF($A4413="","",IF(AD4413=0,"",IF(OR(COUNTIF(계정대체기준!$A$77:$A$86,$N4413)&gt;0,ISNUMBER(MATCH($X4413,계정대체기준!$D$77:$D$86,0)),ISNUMBER(MATCH($F4413,계정대체기준!$D$77:$D$86,0))),"Y","N")))</f>
        <v/>
      </c>
    </row>
    <row r="4414">
      <c r="A4414" s="92" t="n">
        <v>2026</v>
      </c>
      <c r="B4414" s="92" t="n">
        <v>8</v>
      </c>
      <c r="C4414" s="92" t="inlineStr">
        <is>
          <t>5100001692</t>
        </is>
      </c>
      <c r="D4414" s="95" t="n">
        <v>46246</v>
      </c>
      <c r="E4414" s="92" t="inlineStr">
        <is>
          <t>KR</t>
        </is>
      </c>
      <c r="F4414" s="92" t="n">
        <v>62102000</v>
      </c>
      <c r="G4414" s="92" t="n">
        <v>1201</v>
      </c>
      <c r="H4414" s="93" t="n">
        <v>46000</v>
      </c>
      <c r="I4414" s="92" t="inlineStr">
        <is>
          <t>8월 해외출장 - N호텔</t>
        </is>
      </c>
      <c r="J4414" s="92" t="inlineStr">
        <is>
          <t>V10009</t>
        </is>
      </c>
      <c r="K4414" s="92" t="inlineStr">
        <is>
          <t>N호텔</t>
        </is>
      </c>
      <c r="M4414" s="9">
        <f>IF($A4414="","",VALUE($A4414&amp;"")*12+VALUE($B4414&amp;""))</f>
        <v/>
      </c>
      <c r="N4414" s="64">
        <f>IF($A4414="","",IFERROR(INDEX(부서매핑!$C$5:$C$504,MATCH($G4414&amp;"",부서매핑!$A$5:$A$504,0)),"미매핑"))</f>
        <v/>
      </c>
      <c r="O4414" s="9">
        <f>IF($A4414="","",N4414&amp;"|"&amp;$F4414)</f>
        <v/>
      </c>
      <c r="P4414" s="94">
        <f>IF($A4414="",0,$H4414*설정!$C$23)</f>
        <v/>
      </c>
      <c r="Q4414" s="64">
        <f>IF($A4414="","",IF(O4414&lt;&gt;원인분석!$C$9,"",IF(AND(M4414&gt;=원인분석!$C$10,M4414&lt;=원인분석!$C$11),"당기",IF(AND(M4414&gt;=원인분석!$C$12,M4414&lt;=원인분석!$C$13),"비교",""))))</f>
        <v/>
      </c>
      <c r="R4414" s="9">
        <f>IF(Q4414="","",$K4414&amp;"")</f>
        <v/>
      </c>
      <c r="S4414" s="9">
        <f>IF(Q4414="","",IF(MATCH(R4414,$R$5:$R$100000,0)=ROW()-4,ROW(),""))</f>
        <v/>
      </c>
      <c r="T4414" s="9">
        <f>IF(Q4414="당기",ABS(P4414)+ROW()/1000000000,"")</f>
        <v/>
      </c>
      <c r="U4414" s="9">
        <f>IF(Q4414="비교",ABS(P4414)+ROW()/1000000000,"")</f>
        <v/>
      </c>
      <c r="V4414" s="64">
        <f>IF($A4414="","",IF(COUNTIF(변동분석!$E$7:$E$506,O4414)&gt;0,"Y","N"))</f>
        <v/>
      </c>
      <c r="W4414" s="64">
        <f>IF($A4414="","",IFERROR(INDEX(계정매핑!$D$5:$D$504,MATCH($F4414&amp;"",계정매핑!$A$5:$A$504,0)),"미매핑"))</f>
        <v/>
      </c>
      <c r="X4414" s="9">
        <f>IF($A4414="","",$F4414&amp;"")</f>
        <v/>
      </c>
      <c r="Y4414" s="94">
        <f>IF($A4414="",0,IF(AE4414="직접",IF(AF4414="비귀속",$P4414,0),$P4414*(1-AG4414)*IFERROR(INDEX(계정대체기준!$F$20:$F$49,MATCH($N4414,계정대체기준!$A$20:$A$49,0)),1)))</f>
        <v/>
      </c>
      <c r="Z4414" s="94">
        <f>IF($A4414="",0,IF(AE4414="직접",IF(AF4414="신계약비",$P4414,0),$P4414*(1-AG4414)*IFERROR(INDEX(계정대체기준!$C$20:$C$49,MATCH($N4414,계정대체기준!$A$20:$A$49,0)),0)))</f>
        <v/>
      </c>
      <c r="AA4414" s="94">
        <f>IF($A4414="",0,IF(AE4414="직접",IF(OR(AF4414="유지비",AF4414="손해조사비"),$P4414,0),$P4414*(1-AG4414)*IFERROR(INDEX(계정대체기준!$D$20:$D$49,MATCH($N4414,계정대체기준!$A$20:$A$49,0)),0)))</f>
        <v/>
      </c>
      <c r="AB4414" s="94">
        <f>IF($A4414="",0,IF(AE4414="직접",IF(AF4414="수금비",$P4414,0),$P4414*(1-AG4414)*IFERROR(INDEX(계정대체기준!$E$20:$E$49,MATCH($N4414,계정대체기준!$A$20:$A$49,0)),0)))</f>
        <v/>
      </c>
      <c r="AC4414" s="9">
        <f>IF(AND($A4414&lt;&gt;"",M4414=설정!$C$20,Z4414&gt;0),Z4414+ROW()/1000000000,"")</f>
        <v/>
      </c>
      <c r="AD4414" s="94">
        <f>IF($A4414="",0,$P4414*AG4414)</f>
        <v/>
      </c>
      <c r="AE4414" s="64">
        <f>IF($A4414="","",IFERROR(INDEX(계정매핑!$E$5:$E$504,MATCH($F4414&amp;"",계정매핑!$A$5:$A$504,0))&amp;"","공통비"))</f>
        <v/>
      </c>
      <c r="AF4414" s="64">
        <f>IF($A4414="","",IF(AE4414="직접",IFERROR(INDEX(계정매핑!$F$5:$F$504,MATCH($F4414&amp;"",계정매핑!$A$5:$A$504,0))&amp;"","비귀속"),""))</f>
        <v/>
      </c>
      <c r="AG4414" s="96">
        <f>IF($A4414="",0,IF(AND(AE4414&lt;&gt;"직접",IFERROR(INDEX(계정매핑!$G$5:$G$504,MATCH($F4414&amp;"",계정매핑!$A$5:$A$504,0))&amp;"","")="유지비",COUNTIF(계정대체기준!$A$6:$A$15,$N4414)&gt;0),IFERROR(INDEX(계정대체기준!$E$6:$E$15,MATCH(VALUE($A4414&amp;""),계정대체기준!$D$6:$D$15,0)),0),0))</f>
        <v/>
      </c>
      <c r="AH4414" s="64">
        <f>IF($A4414="","",IF(AD4414=0,"",IF(OR(COUNTIF(계정대체기준!$A$77:$A$86,$N4414)&gt;0,ISNUMBER(MATCH($X4414,계정대체기준!$D$77:$D$86,0)),ISNUMBER(MATCH($F4414,계정대체기준!$D$77:$D$86,0))),"Y","N")))</f>
        <v/>
      </c>
    </row>
    <row r="4415">
      <c r="A4415" s="92" t="n">
        <v>2026</v>
      </c>
      <c r="B4415" s="92" t="n">
        <v>8</v>
      </c>
      <c r="C4415" s="92" t="inlineStr">
        <is>
          <t>5100001693</t>
        </is>
      </c>
      <c r="D4415" s="95" t="n">
        <v>46246</v>
      </c>
      <c r="E4415" s="92" t="inlineStr">
        <is>
          <t>KR</t>
        </is>
      </c>
      <c r="F4415" s="92" t="n">
        <v>62102000</v>
      </c>
      <c r="G4415" s="92" t="n">
        <v>1951</v>
      </c>
      <c r="H4415" s="93" t="n">
        <v>92000</v>
      </c>
      <c r="I4415" s="92" t="inlineStr">
        <is>
          <t>8월 해외출장 - M항공</t>
        </is>
      </c>
      <c r="J4415" s="92" t="inlineStr">
        <is>
          <t>V10001</t>
        </is>
      </c>
      <c r="K4415" s="92" t="inlineStr">
        <is>
          <t>M항공</t>
        </is>
      </c>
      <c r="M4415" s="9">
        <f>IF($A4415="","",VALUE($A4415&amp;"")*12+VALUE($B4415&amp;""))</f>
        <v/>
      </c>
      <c r="N4415" s="64">
        <f>IF($A4415="","",IFERROR(INDEX(부서매핑!$C$5:$C$504,MATCH($G4415&amp;"",부서매핑!$A$5:$A$504,0)),"미매핑"))</f>
        <v/>
      </c>
      <c r="O4415" s="9">
        <f>IF($A4415="","",N4415&amp;"|"&amp;$F4415)</f>
        <v/>
      </c>
      <c r="P4415" s="94">
        <f>IF($A4415="",0,$H4415*설정!$C$23)</f>
        <v/>
      </c>
      <c r="Q4415" s="64">
        <f>IF($A4415="","",IF(O4415&lt;&gt;원인분석!$C$9,"",IF(AND(M4415&gt;=원인분석!$C$10,M4415&lt;=원인분석!$C$11),"당기",IF(AND(M4415&gt;=원인분석!$C$12,M4415&lt;=원인분석!$C$13),"비교",""))))</f>
        <v/>
      </c>
      <c r="R4415" s="9">
        <f>IF(Q4415="","",$K4415&amp;"")</f>
        <v/>
      </c>
      <c r="S4415" s="9">
        <f>IF(Q4415="","",IF(MATCH(R4415,$R$5:$R$100000,0)=ROW()-4,ROW(),""))</f>
        <v/>
      </c>
      <c r="T4415" s="9">
        <f>IF(Q4415="당기",ABS(P4415)+ROW()/1000000000,"")</f>
        <v/>
      </c>
      <c r="U4415" s="9">
        <f>IF(Q4415="비교",ABS(P4415)+ROW()/1000000000,"")</f>
        <v/>
      </c>
      <c r="V4415" s="64">
        <f>IF($A4415="","",IF(COUNTIF(변동분석!$E$7:$E$506,O4415)&gt;0,"Y","N"))</f>
        <v/>
      </c>
      <c r="W4415" s="64">
        <f>IF($A4415="","",IFERROR(INDEX(계정매핑!$D$5:$D$504,MATCH($F4415&amp;"",계정매핑!$A$5:$A$504,0)),"미매핑"))</f>
        <v/>
      </c>
      <c r="X4415" s="9">
        <f>IF($A4415="","",$F4415&amp;"")</f>
        <v/>
      </c>
      <c r="Y4415" s="94">
        <f>IF($A4415="",0,IF(AE4415="직접",IF(AF4415="비귀속",$P4415,0),$P4415*(1-AG4415)*IFERROR(INDEX(계정대체기준!$F$20:$F$49,MATCH($N4415,계정대체기준!$A$20:$A$49,0)),1)))</f>
        <v/>
      </c>
      <c r="Z4415" s="94">
        <f>IF($A4415="",0,IF(AE4415="직접",IF(AF4415="신계약비",$P4415,0),$P4415*(1-AG4415)*IFERROR(INDEX(계정대체기준!$C$20:$C$49,MATCH($N4415,계정대체기준!$A$20:$A$49,0)),0)))</f>
        <v/>
      </c>
      <c r="AA4415" s="94">
        <f>IF($A4415="",0,IF(AE4415="직접",IF(OR(AF4415="유지비",AF4415="손해조사비"),$P4415,0),$P4415*(1-AG4415)*IFERROR(INDEX(계정대체기준!$D$20:$D$49,MATCH($N4415,계정대체기준!$A$20:$A$49,0)),0)))</f>
        <v/>
      </c>
      <c r="AB4415" s="94">
        <f>IF($A4415="",0,IF(AE4415="직접",IF(AF4415="수금비",$P4415,0),$P4415*(1-AG4415)*IFERROR(INDEX(계정대체기준!$E$20:$E$49,MATCH($N4415,계정대체기준!$A$20:$A$49,0)),0)))</f>
        <v/>
      </c>
      <c r="AC4415" s="9">
        <f>IF(AND($A4415&lt;&gt;"",M4415=설정!$C$20,Z4415&gt;0),Z4415+ROW()/1000000000,"")</f>
        <v/>
      </c>
      <c r="AD4415" s="94">
        <f>IF($A4415="",0,$P4415*AG4415)</f>
        <v/>
      </c>
      <c r="AE4415" s="64">
        <f>IF($A4415="","",IFERROR(INDEX(계정매핑!$E$5:$E$504,MATCH($F4415&amp;"",계정매핑!$A$5:$A$504,0))&amp;"","공통비"))</f>
        <v/>
      </c>
      <c r="AF4415" s="64">
        <f>IF($A4415="","",IF(AE4415="직접",IFERROR(INDEX(계정매핑!$F$5:$F$504,MATCH($F4415&amp;"",계정매핑!$A$5:$A$504,0))&amp;"","비귀속"),""))</f>
        <v/>
      </c>
      <c r="AG4415" s="96">
        <f>IF($A4415="",0,IF(AND(AE4415&lt;&gt;"직접",IFERROR(INDEX(계정매핑!$G$5:$G$504,MATCH($F4415&amp;"",계정매핑!$A$5:$A$504,0))&amp;"","")="유지비",COUNTIF(계정대체기준!$A$6:$A$15,$N4415)&gt;0),IFERROR(INDEX(계정대체기준!$E$6:$E$15,MATCH(VALUE($A4415&amp;""),계정대체기준!$D$6:$D$15,0)),0),0))</f>
        <v/>
      </c>
      <c r="AH4415" s="64">
        <f>IF($A4415="","",IF(AD4415=0,"",IF(OR(COUNTIF(계정대체기준!$A$77:$A$86,$N4415)&gt;0,ISNUMBER(MATCH($X4415,계정대체기준!$D$77:$D$86,0)),ISNUMBER(MATCH($F4415,계정대체기준!$D$77:$D$86,0))),"Y","N")))</f>
        <v/>
      </c>
    </row>
    <row r="4416">
      <c r="A4416" s="92" t="n">
        <v>2026</v>
      </c>
      <c r="B4416" s="92" t="n">
        <v>8</v>
      </c>
      <c r="C4416" s="92" t="inlineStr">
        <is>
          <t>5100001694</t>
        </is>
      </c>
      <c r="D4416" s="95" t="n">
        <v>46246</v>
      </c>
      <c r="E4416" s="92" t="inlineStr">
        <is>
          <t>KR</t>
        </is>
      </c>
      <c r="F4416" s="92" t="n">
        <v>62201000</v>
      </c>
      <c r="G4416" s="92" t="n">
        <v>1951</v>
      </c>
      <c r="H4416" s="93" t="n">
        <v>335000</v>
      </c>
      <c r="I4416" s="92" t="inlineStr">
        <is>
          <t>8월 통신요금 - O텔레콤</t>
        </is>
      </c>
      <c r="J4416" s="92" t="inlineStr">
        <is>
          <t>V10002</t>
        </is>
      </c>
      <c r="K4416" s="92" t="inlineStr">
        <is>
          <t>O텔레콤</t>
        </is>
      </c>
      <c r="M4416" s="9">
        <f>IF($A4416="","",VALUE($A4416&amp;"")*12+VALUE($B4416&amp;""))</f>
        <v/>
      </c>
      <c r="N4416" s="64">
        <f>IF($A4416="","",IFERROR(INDEX(부서매핑!$C$5:$C$504,MATCH($G4416&amp;"",부서매핑!$A$5:$A$504,0)),"미매핑"))</f>
        <v/>
      </c>
      <c r="O4416" s="9">
        <f>IF($A4416="","",N4416&amp;"|"&amp;$F4416)</f>
        <v/>
      </c>
      <c r="P4416" s="94">
        <f>IF($A4416="",0,$H4416*설정!$C$23)</f>
        <v/>
      </c>
      <c r="Q4416" s="64">
        <f>IF($A4416="","",IF(O4416&lt;&gt;원인분석!$C$9,"",IF(AND(M4416&gt;=원인분석!$C$10,M4416&lt;=원인분석!$C$11),"당기",IF(AND(M4416&gt;=원인분석!$C$12,M4416&lt;=원인분석!$C$13),"비교",""))))</f>
        <v/>
      </c>
      <c r="R4416" s="9">
        <f>IF(Q4416="","",$K4416&amp;"")</f>
        <v/>
      </c>
      <c r="S4416" s="9">
        <f>IF(Q4416="","",IF(MATCH(R4416,$R$5:$R$100000,0)=ROW()-4,ROW(),""))</f>
        <v/>
      </c>
      <c r="T4416" s="9">
        <f>IF(Q4416="당기",ABS(P4416)+ROW()/1000000000,"")</f>
        <v/>
      </c>
      <c r="U4416" s="9">
        <f>IF(Q4416="비교",ABS(P4416)+ROW()/1000000000,"")</f>
        <v/>
      </c>
      <c r="V4416" s="64">
        <f>IF($A4416="","",IF(COUNTIF(변동분석!$E$7:$E$506,O4416)&gt;0,"Y","N"))</f>
        <v/>
      </c>
      <c r="W4416" s="64">
        <f>IF($A4416="","",IFERROR(INDEX(계정매핑!$D$5:$D$504,MATCH($F4416&amp;"",계정매핑!$A$5:$A$504,0)),"미매핑"))</f>
        <v/>
      </c>
      <c r="X4416" s="9">
        <f>IF($A4416="","",$F4416&amp;"")</f>
        <v/>
      </c>
      <c r="Y4416" s="94">
        <f>IF($A4416="",0,IF(AE4416="직접",IF(AF4416="비귀속",$P4416,0),$P4416*(1-AG4416)*IFERROR(INDEX(계정대체기준!$F$20:$F$49,MATCH($N4416,계정대체기준!$A$20:$A$49,0)),1)))</f>
        <v/>
      </c>
      <c r="Z4416" s="94">
        <f>IF($A4416="",0,IF(AE4416="직접",IF(AF4416="신계약비",$P4416,0),$P4416*(1-AG4416)*IFERROR(INDEX(계정대체기준!$C$20:$C$49,MATCH($N4416,계정대체기준!$A$20:$A$49,0)),0)))</f>
        <v/>
      </c>
      <c r="AA4416" s="94">
        <f>IF($A4416="",0,IF(AE4416="직접",IF(OR(AF4416="유지비",AF4416="손해조사비"),$P4416,0),$P4416*(1-AG4416)*IFERROR(INDEX(계정대체기준!$D$20:$D$49,MATCH($N4416,계정대체기준!$A$20:$A$49,0)),0)))</f>
        <v/>
      </c>
      <c r="AB4416" s="94">
        <f>IF($A4416="",0,IF(AE4416="직접",IF(AF4416="수금비",$P4416,0),$P4416*(1-AG4416)*IFERROR(INDEX(계정대체기준!$E$20:$E$49,MATCH($N4416,계정대체기준!$A$20:$A$49,0)),0)))</f>
        <v/>
      </c>
      <c r="AC4416" s="9">
        <f>IF(AND($A4416&lt;&gt;"",M4416=설정!$C$20,Z4416&gt;0),Z4416+ROW()/1000000000,"")</f>
        <v/>
      </c>
      <c r="AD4416" s="94">
        <f>IF($A4416="",0,$P4416*AG4416)</f>
        <v/>
      </c>
      <c r="AE4416" s="64">
        <f>IF($A4416="","",IFERROR(INDEX(계정매핑!$E$5:$E$504,MATCH($F4416&amp;"",계정매핑!$A$5:$A$504,0))&amp;"","공통비"))</f>
        <v/>
      </c>
      <c r="AF4416" s="64">
        <f>IF($A4416="","",IF(AE4416="직접",IFERROR(INDEX(계정매핑!$F$5:$F$504,MATCH($F4416&amp;"",계정매핑!$A$5:$A$504,0))&amp;"","비귀속"),""))</f>
        <v/>
      </c>
      <c r="AG4416" s="96">
        <f>IF($A4416="",0,IF(AND(AE4416&lt;&gt;"직접",IFERROR(INDEX(계정매핑!$G$5:$G$504,MATCH($F4416&amp;"",계정매핑!$A$5:$A$504,0))&amp;"","")="유지비",COUNTIF(계정대체기준!$A$6:$A$15,$N4416)&gt;0),IFERROR(INDEX(계정대체기준!$E$6:$E$15,MATCH(VALUE($A4416&amp;""),계정대체기준!$D$6:$D$15,0)),0),0))</f>
        <v/>
      </c>
      <c r="AH4416" s="64">
        <f>IF($A4416="","",IF(AD4416=0,"",IF(OR(COUNTIF(계정대체기준!$A$77:$A$86,$N4416)&gt;0,ISNUMBER(MATCH($X4416,계정대체기준!$D$77:$D$86,0)),ISNUMBER(MATCH($F4416,계정대체기준!$D$77:$D$86,0))),"Y","N")))</f>
        <v/>
      </c>
    </row>
    <row r="4417">
      <c r="A4417" s="92" t="n">
        <v>2026</v>
      </c>
      <c r="B4417" s="92" t="n">
        <v>8</v>
      </c>
      <c r="C4417" s="92" t="inlineStr">
        <is>
          <t>5100001695</t>
        </is>
      </c>
      <c r="D4417" s="95" t="n">
        <v>46246</v>
      </c>
      <c r="E4417" s="92" t="inlineStr">
        <is>
          <t>KR</t>
        </is>
      </c>
      <c r="F4417" s="92" t="n">
        <v>62301000</v>
      </c>
      <c r="G4417" s="92" t="n">
        <v>1201</v>
      </c>
      <c r="H4417" s="93" t="n">
        <v>92000</v>
      </c>
      <c r="I4417" s="92" t="inlineStr">
        <is>
          <t>8월 소모품 구입 - R문구</t>
        </is>
      </c>
      <c r="J4417" s="92" t="inlineStr">
        <is>
          <t>V10022</t>
        </is>
      </c>
      <c r="K4417" s="92" t="inlineStr">
        <is>
          <t>R문구</t>
        </is>
      </c>
      <c r="M4417" s="9">
        <f>IF($A4417="","",VALUE($A4417&amp;"")*12+VALUE($B4417&amp;""))</f>
        <v/>
      </c>
      <c r="N4417" s="64">
        <f>IF($A4417="","",IFERROR(INDEX(부서매핑!$C$5:$C$504,MATCH($G4417&amp;"",부서매핑!$A$5:$A$504,0)),"미매핑"))</f>
        <v/>
      </c>
      <c r="O4417" s="9">
        <f>IF($A4417="","",N4417&amp;"|"&amp;$F4417)</f>
        <v/>
      </c>
      <c r="P4417" s="94">
        <f>IF($A4417="",0,$H4417*설정!$C$23)</f>
        <v/>
      </c>
      <c r="Q4417" s="64">
        <f>IF($A4417="","",IF(O4417&lt;&gt;원인분석!$C$9,"",IF(AND(M4417&gt;=원인분석!$C$10,M4417&lt;=원인분석!$C$11),"당기",IF(AND(M4417&gt;=원인분석!$C$12,M4417&lt;=원인분석!$C$13),"비교",""))))</f>
        <v/>
      </c>
      <c r="R4417" s="9">
        <f>IF(Q4417="","",$K4417&amp;"")</f>
        <v/>
      </c>
      <c r="S4417" s="9">
        <f>IF(Q4417="","",IF(MATCH(R4417,$R$5:$R$100000,0)=ROW()-4,ROW(),""))</f>
        <v/>
      </c>
      <c r="T4417" s="9">
        <f>IF(Q4417="당기",ABS(P4417)+ROW()/1000000000,"")</f>
        <v/>
      </c>
      <c r="U4417" s="9">
        <f>IF(Q4417="비교",ABS(P4417)+ROW()/1000000000,"")</f>
        <v/>
      </c>
      <c r="V4417" s="64">
        <f>IF($A4417="","",IF(COUNTIF(변동분석!$E$7:$E$506,O4417)&gt;0,"Y","N"))</f>
        <v/>
      </c>
      <c r="W4417" s="64">
        <f>IF($A4417="","",IFERROR(INDEX(계정매핑!$D$5:$D$504,MATCH($F4417&amp;"",계정매핑!$A$5:$A$504,0)),"미매핑"))</f>
        <v/>
      </c>
      <c r="X4417" s="9">
        <f>IF($A4417="","",$F4417&amp;"")</f>
        <v/>
      </c>
      <c r="Y4417" s="94">
        <f>IF($A4417="",0,IF(AE4417="직접",IF(AF4417="비귀속",$P4417,0),$P4417*(1-AG4417)*IFERROR(INDEX(계정대체기준!$F$20:$F$49,MATCH($N4417,계정대체기준!$A$20:$A$49,0)),1)))</f>
        <v/>
      </c>
      <c r="Z4417" s="94">
        <f>IF($A4417="",0,IF(AE4417="직접",IF(AF4417="신계약비",$P4417,0),$P4417*(1-AG4417)*IFERROR(INDEX(계정대체기준!$C$20:$C$49,MATCH($N4417,계정대체기준!$A$20:$A$49,0)),0)))</f>
        <v/>
      </c>
      <c r="AA4417" s="94">
        <f>IF($A4417="",0,IF(AE4417="직접",IF(OR(AF4417="유지비",AF4417="손해조사비"),$P4417,0),$P4417*(1-AG4417)*IFERROR(INDEX(계정대체기준!$D$20:$D$49,MATCH($N4417,계정대체기준!$A$20:$A$49,0)),0)))</f>
        <v/>
      </c>
      <c r="AB4417" s="94">
        <f>IF($A4417="",0,IF(AE4417="직접",IF(AF4417="수금비",$P4417,0),$P4417*(1-AG4417)*IFERROR(INDEX(계정대체기준!$E$20:$E$49,MATCH($N4417,계정대체기준!$A$20:$A$49,0)),0)))</f>
        <v/>
      </c>
      <c r="AC4417" s="9">
        <f>IF(AND($A4417&lt;&gt;"",M4417=설정!$C$20,Z4417&gt;0),Z4417+ROW()/1000000000,"")</f>
        <v/>
      </c>
      <c r="AD4417" s="94">
        <f>IF($A4417="",0,$P4417*AG4417)</f>
        <v/>
      </c>
      <c r="AE4417" s="64">
        <f>IF($A4417="","",IFERROR(INDEX(계정매핑!$E$5:$E$504,MATCH($F4417&amp;"",계정매핑!$A$5:$A$504,0))&amp;"","공통비"))</f>
        <v/>
      </c>
      <c r="AF4417" s="64">
        <f>IF($A4417="","",IF(AE4417="직접",IFERROR(INDEX(계정매핑!$F$5:$F$504,MATCH($F4417&amp;"",계정매핑!$A$5:$A$504,0))&amp;"","비귀속"),""))</f>
        <v/>
      </c>
      <c r="AG4417" s="96">
        <f>IF($A4417="",0,IF(AND(AE4417&lt;&gt;"직접",IFERROR(INDEX(계정매핑!$G$5:$G$504,MATCH($F4417&amp;"",계정매핑!$A$5:$A$504,0))&amp;"","")="유지비",COUNTIF(계정대체기준!$A$6:$A$15,$N4417)&gt;0),IFERROR(INDEX(계정대체기준!$E$6:$E$15,MATCH(VALUE($A4417&amp;""),계정대체기준!$D$6:$D$15,0)),0),0))</f>
        <v/>
      </c>
      <c r="AH4417" s="64">
        <f>IF($A4417="","",IF(AD4417=0,"",IF(OR(COUNTIF(계정대체기준!$A$77:$A$86,$N4417)&gt;0,ISNUMBER(MATCH($X4417,계정대체기준!$D$77:$D$86,0)),ISNUMBER(MATCH($F4417,계정대체기준!$D$77:$D$86,0))),"Y","N")))</f>
        <v/>
      </c>
    </row>
    <row r="4418">
      <c r="A4418" s="92" t="n">
        <v>2026</v>
      </c>
      <c r="B4418" s="92" t="n">
        <v>8</v>
      </c>
      <c r="C4418" s="92" t="inlineStr">
        <is>
          <t>5100001696</t>
        </is>
      </c>
      <c r="D4418" s="95" t="n">
        <v>46246</v>
      </c>
      <c r="E4418" s="92" t="inlineStr">
        <is>
          <t>KR</t>
        </is>
      </c>
      <c r="F4418" s="92" t="n">
        <v>62301000</v>
      </c>
      <c r="G4418" s="92" t="n">
        <v>1701</v>
      </c>
      <c r="H4418" s="93" t="n">
        <v>288000</v>
      </c>
      <c r="I4418" s="92" t="inlineStr">
        <is>
          <t>8월 소모품 구입 - R문구</t>
        </is>
      </c>
      <c r="J4418" s="92" t="inlineStr">
        <is>
          <t>V10022</t>
        </is>
      </c>
      <c r="K4418" s="92" t="inlineStr">
        <is>
          <t>R문구</t>
        </is>
      </c>
      <c r="M4418" s="9">
        <f>IF($A4418="","",VALUE($A4418&amp;"")*12+VALUE($B4418&amp;""))</f>
        <v/>
      </c>
      <c r="N4418" s="64">
        <f>IF($A4418="","",IFERROR(INDEX(부서매핑!$C$5:$C$504,MATCH($G4418&amp;"",부서매핑!$A$5:$A$504,0)),"미매핑"))</f>
        <v/>
      </c>
      <c r="O4418" s="9">
        <f>IF($A4418="","",N4418&amp;"|"&amp;$F4418)</f>
        <v/>
      </c>
      <c r="P4418" s="94">
        <f>IF($A4418="",0,$H4418*설정!$C$23)</f>
        <v/>
      </c>
      <c r="Q4418" s="64">
        <f>IF($A4418="","",IF(O4418&lt;&gt;원인분석!$C$9,"",IF(AND(M4418&gt;=원인분석!$C$10,M4418&lt;=원인분석!$C$11),"당기",IF(AND(M4418&gt;=원인분석!$C$12,M4418&lt;=원인분석!$C$13),"비교",""))))</f>
        <v/>
      </c>
      <c r="R4418" s="9">
        <f>IF(Q4418="","",$K4418&amp;"")</f>
        <v/>
      </c>
      <c r="S4418" s="9">
        <f>IF(Q4418="","",IF(MATCH(R4418,$R$5:$R$100000,0)=ROW()-4,ROW(),""))</f>
        <v/>
      </c>
      <c r="T4418" s="9">
        <f>IF(Q4418="당기",ABS(P4418)+ROW()/1000000000,"")</f>
        <v/>
      </c>
      <c r="U4418" s="9">
        <f>IF(Q4418="비교",ABS(P4418)+ROW()/1000000000,"")</f>
        <v/>
      </c>
      <c r="V4418" s="64">
        <f>IF($A4418="","",IF(COUNTIF(변동분석!$E$7:$E$506,O4418)&gt;0,"Y","N"))</f>
        <v/>
      </c>
      <c r="W4418" s="64">
        <f>IF($A4418="","",IFERROR(INDEX(계정매핑!$D$5:$D$504,MATCH($F4418&amp;"",계정매핑!$A$5:$A$504,0)),"미매핑"))</f>
        <v/>
      </c>
      <c r="X4418" s="9">
        <f>IF($A4418="","",$F4418&amp;"")</f>
        <v/>
      </c>
      <c r="Y4418" s="94">
        <f>IF($A4418="",0,IF(AE4418="직접",IF(AF4418="비귀속",$P4418,0),$P4418*(1-AG4418)*IFERROR(INDEX(계정대체기준!$F$20:$F$49,MATCH($N4418,계정대체기준!$A$20:$A$49,0)),1)))</f>
        <v/>
      </c>
      <c r="Z4418" s="94">
        <f>IF($A4418="",0,IF(AE4418="직접",IF(AF4418="신계약비",$P4418,0),$P4418*(1-AG4418)*IFERROR(INDEX(계정대체기준!$C$20:$C$49,MATCH($N4418,계정대체기준!$A$20:$A$49,0)),0)))</f>
        <v/>
      </c>
      <c r="AA4418" s="94">
        <f>IF($A4418="",0,IF(AE4418="직접",IF(OR(AF4418="유지비",AF4418="손해조사비"),$P4418,0),$P4418*(1-AG4418)*IFERROR(INDEX(계정대체기준!$D$20:$D$49,MATCH($N4418,계정대체기준!$A$20:$A$49,0)),0)))</f>
        <v/>
      </c>
      <c r="AB4418" s="94">
        <f>IF($A4418="",0,IF(AE4418="직접",IF(AF4418="수금비",$P4418,0),$P4418*(1-AG4418)*IFERROR(INDEX(계정대체기준!$E$20:$E$49,MATCH($N4418,계정대체기준!$A$20:$A$49,0)),0)))</f>
        <v/>
      </c>
      <c r="AC4418" s="9">
        <f>IF(AND($A4418&lt;&gt;"",M4418=설정!$C$20,Z4418&gt;0),Z4418+ROW()/1000000000,"")</f>
        <v/>
      </c>
      <c r="AD4418" s="94">
        <f>IF($A4418="",0,$P4418*AG4418)</f>
        <v/>
      </c>
      <c r="AE4418" s="64">
        <f>IF($A4418="","",IFERROR(INDEX(계정매핑!$E$5:$E$504,MATCH($F4418&amp;"",계정매핑!$A$5:$A$504,0))&amp;"","공통비"))</f>
        <v/>
      </c>
      <c r="AF4418" s="64">
        <f>IF($A4418="","",IF(AE4418="직접",IFERROR(INDEX(계정매핑!$F$5:$F$504,MATCH($F4418&amp;"",계정매핑!$A$5:$A$504,0))&amp;"","비귀속"),""))</f>
        <v/>
      </c>
      <c r="AG4418" s="96">
        <f>IF($A4418="",0,IF(AND(AE4418&lt;&gt;"직접",IFERROR(INDEX(계정매핑!$G$5:$G$504,MATCH($F4418&amp;"",계정매핑!$A$5:$A$504,0))&amp;"","")="유지비",COUNTIF(계정대체기준!$A$6:$A$15,$N4418)&gt;0),IFERROR(INDEX(계정대체기준!$E$6:$E$15,MATCH(VALUE($A4418&amp;""),계정대체기준!$D$6:$D$15,0)),0),0))</f>
        <v/>
      </c>
      <c r="AH4418" s="64">
        <f>IF($A4418="","",IF(AD4418=0,"",IF(OR(COUNTIF(계정대체기준!$A$77:$A$86,$N4418)&gt;0,ISNUMBER(MATCH($X4418,계정대체기준!$D$77:$D$86,0)),ISNUMBER(MATCH($F4418,계정대체기준!$D$77:$D$86,0))),"Y","N")))</f>
        <v/>
      </c>
    </row>
    <row r="4419">
      <c r="A4419" s="92" t="n">
        <v>2026</v>
      </c>
      <c r="B4419" s="92" t="n">
        <v>8</v>
      </c>
      <c r="C4419" s="92" t="inlineStr">
        <is>
          <t>5100001697</t>
        </is>
      </c>
      <c r="D4419" s="95" t="n">
        <v>46246</v>
      </c>
      <c r="E4419" s="92" t="inlineStr">
        <is>
          <t>KR</t>
        </is>
      </c>
      <c r="F4419" s="92" t="n">
        <v>62601000</v>
      </c>
      <c r="G4419" s="92" t="n">
        <v>1301</v>
      </c>
      <c r="H4419" s="93" t="n">
        <v>709000</v>
      </c>
      <c r="I4419" s="92" t="inlineStr">
        <is>
          <t>8월 업무추진 - (법인카드)</t>
        </is>
      </c>
      <c r="J4419" s="92" t="inlineStr">
        <is>
          <t>V10010</t>
        </is>
      </c>
      <c r="K4419" s="92" t="inlineStr">
        <is>
          <t>(법인카드)</t>
        </is>
      </c>
      <c r="M4419" s="9">
        <f>IF($A4419="","",VALUE($A4419&amp;"")*12+VALUE($B4419&amp;""))</f>
        <v/>
      </c>
      <c r="N4419" s="64">
        <f>IF($A4419="","",IFERROR(INDEX(부서매핑!$C$5:$C$504,MATCH($G4419&amp;"",부서매핑!$A$5:$A$504,0)),"미매핑"))</f>
        <v/>
      </c>
      <c r="O4419" s="9">
        <f>IF($A4419="","",N4419&amp;"|"&amp;$F4419)</f>
        <v/>
      </c>
      <c r="P4419" s="94">
        <f>IF($A4419="",0,$H4419*설정!$C$23)</f>
        <v/>
      </c>
      <c r="Q4419" s="64">
        <f>IF($A4419="","",IF(O4419&lt;&gt;원인분석!$C$9,"",IF(AND(M4419&gt;=원인분석!$C$10,M4419&lt;=원인분석!$C$11),"당기",IF(AND(M4419&gt;=원인분석!$C$12,M4419&lt;=원인분석!$C$13),"비교",""))))</f>
        <v/>
      </c>
      <c r="R4419" s="9">
        <f>IF(Q4419="","",$K4419&amp;"")</f>
        <v/>
      </c>
      <c r="S4419" s="9">
        <f>IF(Q4419="","",IF(MATCH(R4419,$R$5:$R$100000,0)=ROW()-4,ROW(),""))</f>
        <v/>
      </c>
      <c r="T4419" s="9">
        <f>IF(Q4419="당기",ABS(P4419)+ROW()/1000000000,"")</f>
        <v/>
      </c>
      <c r="U4419" s="9">
        <f>IF(Q4419="비교",ABS(P4419)+ROW()/1000000000,"")</f>
        <v/>
      </c>
      <c r="V4419" s="64">
        <f>IF($A4419="","",IF(COUNTIF(변동분석!$E$7:$E$506,O4419)&gt;0,"Y","N"))</f>
        <v/>
      </c>
      <c r="W4419" s="64">
        <f>IF($A4419="","",IFERROR(INDEX(계정매핑!$D$5:$D$504,MATCH($F4419&amp;"",계정매핑!$A$5:$A$504,0)),"미매핑"))</f>
        <v/>
      </c>
      <c r="X4419" s="9">
        <f>IF($A4419="","",$F4419&amp;"")</f>
        <v/>
      </c>
      <c r="Y4419" s="94">
        <f>IF($A4419="",0,IF(AE4419="직접",IF(AF4419="비귀속",$P4419,0),$P4419*(1-AG4419)*IFERROR(INDEX(계정대체기준!$F$20:$F$49,MATCH($N4419,계정대체기준!$A$20:$A$49,0)),1)))</f>
        <v/>
      </c>
      <c r="Z4419" s="94">
        <f>IF($A4419="",0,IF(AE4419="직접",IF(AF4419="신계약비",$P4419,0),$P4419*(1-AG4419)*IFERROR(INDEX(계정대체기준!$C$20:$C$49,MATCH($N4419,계정대체기준!$A$20:$A$49,0)),0)))</f>
        <v/>
      </c>
      <c r="AA4419" s="94">
        <f>IF($A4419="",0,IF(AE4419="직접",IF(OR(AF4419="유지비",AF4419="손해조사비"),$P4419,0),$P4419*(1-AG4419)*IFERROR(INDEX(계정대체기준!$D$20:$D$49,MATCH($N4419,계정대체기준!$A$20:$A$49,0)),0)))</f>
        <v/>
      </c>
      <c r="AB4419" s="94">
        <f>IF($A4419="",0,IF(AE4419="직접",IF(AF4419="수금비",$P4419,0),$P4419*(1-AG4419)*IFERROR(INDEX(계정대체기준!$E$20:$E$49,MATCH($N4419,계정대체기준!$A$20:$A$49,0)),0)))</f>
        <v/>
      </c>
      <c r="AC4419" s="9">
        <f>IF(AND($A4419&lt;&gt;"",M4419=설정!$C$20,Z4419&gt;0),Z4419+ROW()/1000000000,"")</f>
        <v/>
      </c>
      <c r="AD4419" s="94">
        <f>IF($A4419="",0,$P4419*AG4419)</f>
        <v/>
      </c>
      <c r="AE4419" s="64">
        <f>IF($A4419="","",IFERROR(INDEX(계정매핑!$E$5:$E$504,MATCH($F4419&amp;"",계정매핑!$A$5:$A$504,0))&amp;"","공통비"))</f>
        <v/>
      </c>
      <c r="AF4419" s="64">
        <f>IF($A4419="","",IF(AE4419="직접",IFERROR(INDEX(계정매핑!$F$5:$F$504,MATCH($F4419&amp;"",계정매핑!$A$5:$A$504,0))&amp;"","비귀속"),""))</f>
        <v/>
      </c>
      <c r="AG4419" s="96">
        <f>IF($A4419="",0,IF(AND(AE4419&lt;&gt;"직접",IFERROR(INDEX(계정매핑!$G$5:$G$504,MATCH($F4419&amp;"",계정매핑!$A$5:$A$504,0))&amp;"","")="유지비",COUNTIF(계정대체기준!$A$6:$A$15,$N4419)&gt;0),IFERROR(INDEX(계정대체기준!$E$6:$E$15,MATCH(VALUE($A4419&amp;""),계정대체기준!$D$6:$D$15,0)),0),0))</f>
        <v/>
      </c>
      <c r="AH4419" s="64">
        <f>IF($A4419="","",IF(AD4419=0,"",IF(OR(COUNTIF(계정대체기준!$A$77:$A$86,$N4419)&gt;0,ISNUMBER(MATCH($X4419,계정대체기준!$D$77:$D$86,0)),ISNUMBER(MATCH($F4419,계정대체기준!$D$77:$D$86,0))),"Y","N")))</f>
        <v/>
      </c>
    </row>
    <row r="4420">
      <c r="A4420" s="92" t="n">
        <v>2026</v>
      </c>
      <c r="B4420" s="92" t="n">
        <v>8</v>
      </c>
      <c r="C4420" s="92" t="inlineStr">
        <is>
          <t>5100001698</t>
        </is>
      </c>
      <c r="D4420" s="95" t="n">
        <v>46246</v>
      </c>
      <c r="E4420" s="92" t="inlineStr">
        <is>
          <t>KR</t>
        </is>
      </c>
      <c r="F4420" s="92" t="n">
        <v>62901000</v>
      </c>
      <c r="G4420" s="92" t="n">
        <v>1801</v>
      </c>
      <c r="H4420" s="93" t="n">
        <v>9487000</v>
      </c>
      <c r="I4420" s="92" t="inlineStr">
        <is>
          <t>8월 자문 수수료 - W컨설팅</t>
        </is>
      </c>
      <c r="J4420" s="92" t="inlineStr">
        <is>
          <t>V10006</t>
        </is>
      </c>
      <c r="K4420" s="92" t="inlineStr">
        <is>
          <t>W컨설팅</t>
        </is>
      </c>
      <c r="M4420" s="9">
        <f>IF($A4420="","",VALUE($A4420&amp;"")*12+VALUE($B4420&amp;""))</f>
        <v/>
      </c>
      <c r="N4420" s="64">
        <f>IF($A4420="","",IFERROR(INDEX(부서매핑!$C$5:$C$504,MATCH($G4420&amp;"",부서매핑!$A$5:$A$504,0)),"미매핑"))</f>
        <v/>
      </c>
      <c r="O4420" s="9">
        <f>IF($A4420="","",N4420&amp;"|"&amp;$F4420)</f>
        <v/>
      </c>
      <c r="P4420" s="94">
        <f>IF($A4420="",0,$H4420*설정!$C$23)</f>
        <v/>
      </c>
      <c r="Q4420" s="64">
        <f>IF($A4420="","",IF(O4420&lt;&gt;원인분석!$C$9,"",IF(AND(M4420&gt;=원인분석!$C$10,M4420&lt;=원인분석!$C$11),"당기",IF(AND(M4420&gt;=원인분석!$C$12,M4420&lt;=원인분석!$C$13),"비교",""))))</f>
        <v/>
      </c>
      <c r="R4420" s="9">
        <f>IF(Q4420="","",$K4420&amp;"")</f>
        <v/>
      </c>
      <c r="S4420" s="9">
        <f>IF(Q4420="","",IF(MATCH(R4420,$R$5:$R$100000,0)=ROW()-4,ROW(),""))</f>
        <v/>
      </c>
      <c r="T4420" s="9">
        <f>IF(Q4420="당기",ABS(P4420)+ROW()/1000000000,"")</f>
        <v/>
      </c>
      <c r="U4420" s="9">
        <f>IF(Q4420="비교",ABS(P4420)+ROW()/1000000000,"")</f>
        <v/>
      </c>
      <c r="V4420" s="64">
        <f>IF($A4420="","",IF(COUNTIF(변동분석!$E$7:$E$506,O4420)&gt;0,"Y","N"))</f>
        <v/>
      </c>
      <c r="W4420" s="64">
        <f>IF($A4420="","",IFERROR(INDEX(계정매핑!$D$5:$D$504,MATCH($F4420&amp;"",계정매핑!$A$5:$A$504,0)),"미매핑"))</f>
        <v/>
      </c>
      <c r="X4420" s="9">
        <f>IF($A4420="","",$F4420&amp;"")</f>
        <v/>
      </c>
      <c r="Y4420" s="94">
        <f>IF($A4420="",0,IF(AE4420="직접",IF(AF4420="비귀속",$P4420,0),$P4420*(1-AG4420)*IFERROR(INDEX(계정대체기준!$F$20:$F$49,MATCH($N4420,계정대체기준!$A$20:$A$49,0)),1)))</f>
        <v/>
      </c>
      <c r="Z4420" s="94">
        <f>IF($A4420="",0,IF(AE4420="직접",IF(AF4420="신계약비",$P4420,0),$P4420*(1-AG4420)*IFERROR(INDEX(계정대체기준!$C$20:$C$49,MATCH($N4420,계정대체기준!$A$20:$A$49,0)),0)))</f>
        <v/>
      </c>
      <c r="AA4420" s="94">
        <f>IF($A4420="",0,IF(AE4420="직접",IF(OR(AF4420="유지비",AF4420="손해조사비"),$P4420,0),$P4420*(1-AG4420)*IFERROR(INDEX(계정대체기준!$D$20:$D$49,MATCH($N4420,계정대체기준!$A$20:$A$49,0)),0)))</f>
        <v/>
      </c>
      <c r="AB4420" s="94">
        <f>IF($A4420="",0,IF(AE4420="직접",IF(AF4420="수금비",$P4420,0),$P4420*(1-AG4420)*IFERROR(INDEX(계정대체기준!$E$20:$E$49,MATCH($N4420,계정대체기준!$A$20:$A$49,0)),0)))</f>
        <v/>
      </c>
      <c r="AC4420" s="9">
        <f>IF(AND($A4420&lt;&gt;"",M4420=설정!$C$20,Z4420&gt;0),Z4420+ROW()/1000000000,"")</f>
        <v/>
      </c>
      <c r="AD4420" s="94">
        <f>IF($A4420="",0,$P4420*AG4420)</f>
        <v/>
      </c>
      <c r="AE4420" s="64">
        <f>IF($A4420="","",IFERROR(INDEX(계정매핑!$E$5:$E$504,MATCH($F4420&amp;"",계정매핑!$A$5:$A$504,0))&amp;"","공통비"))</f>
        <v/>
      </c>
      <c r="AF4420" s="64">
        <f>IF($A4420="","",IF(AE4420="직접",IFERROR(INDEX(계정매핑!$F$5:$F$504,MATCH($F4420&amp;"",계정매핑!$A$5:$A$504,0))&amp;"","비귀속"),""))</f>
        <v/>
      </c>
      <c r="AG4420" s="96">
        <f>IF($A4420="",0,IF(AND(AE4420&lt;&gt;"직접",IFERROR(INDEX(계정매핑!$G$5:$G$504,MATCH($F4420&amp;"",계정매핑!$A$5:$A$504,0))&amp;"","")="유지비",COUNTIF(계정대체기준!$A$6:$A$15,$N4420)&gt;0),IFERROR(INDEX(계정대체기준!$E$6:$E$15,MATCH(VALUE($A4420&amp;""),계정대체기준!$D$6:$D$15,0)),0),0))</f>
        <v/>
      </c>
      <c r="AH4420" s="64">
        <f>IF($A4420="","",IF(AD4420=0,"",IF(OR(COUNTIF(계정대체기준!$A$77:$A$86,$N4420)&gt;0,ISNUMBER(MATCH($X4420,계정대체기준!$D$77:$D$86,0)),ISNUMBER(MATCH($F4420,계정대체기준!$D$77:$D$86,0))),"Y","N")))</f>
        <v/>
      </c>
    </row>
    <row r="4421">
      <c r="A4421" s="92" t="n">
        <v>2026</v>
      </c>
      <c r="B4421" s="92" t="n">
        <v>8</v>
      </c>
      <c r="C4421" s="92" t="inlineStr">
        <is>
          <t>5100001699</t>
        </is>
      </c>
      <c r="D4421" s="95" t="n">
        <v>46246</v>
      </c>
      <c r="E4421" s="92" t="inlineStr">
        <is>
          <t>KR</t>
        </is>
      </c>
      <c r="F4421" s="92" t="n">
        <v>62901000</v>
      </c>
      <c r="G4421" s="92" t="n">
        <v>1801</v>
      </c>
      <c r="H4421" s="93" t="n">
        <v>9534000</v>
      </c>
      <c r="I4421" s="92" t="inlineStr">
        <is>
          <t>8월 자문 수수료 - W컨설팅</t>
        </is>
      </c>
      <c r="J4421" s="92" t="inlineStr">
        <is>
          <t>V10006</t>
        </is>
      </c>
      <c r="K4421" s="92" t="inlineStr">
        <is>
          <t>W컨설팅</t>
        </is>
      </c>
      <c r="M4421" s="9">
        <f>IF($A4421="","",VALUE($A4421&amp;"")*12+VALUE($B4421&amp;""))</f>
        <v/>
      </c>
      <c r="N4421" s="64">
        <f>IF($A4421="","",IFERROR(INDEX(부서매핑!$C$5:$C$504,MATCH($G4421&amp;"",부서매핑!$A$5:$A$504,0)),"미매핑"))</f>
        <v/>
      </c>
      <c r="O4421" s="9">
        <f>IF($A4421="","",N4421&amp;"|"&amp;$F4421)</f>
        <v/>
      </c>
      <c r="P4421" s="94">
        <f>IF($A4421="",0,$H4421*설정!$C$23)</f>
        <v/>
      </c>
      <c r="Q4421" s="64">
        <f>IF($A4421="","",IF(O4421&lt;&gt;원인분석!$C$9,"",IF(AND(M4421&gt;=원인분석!$C$10,M4421&lt;=원인분석!$C$11),"당기",IF(AND(M4421&gt;=원인분석!$C$12,M4421&lt;=원인분석!$C$13),"비교",""))))</f>
        <v/>
      </c>
      <c r="R4421" s="9">
        <f>IF(Q4421="","",$K4421&amp;"")</f>
        <v/>
      </c>
      <c r="S4421" s="9">
        <f>IF(Q4421="","",IF(MATCH(R4421,$R$5:$R$100000,0)=ROW()-4,ROW(),""))</f>
        <v/>
      </c>
      <c r="T4421" s="9">
        <f>IF(Q4421="당기",ABS(P4421)+ROW()/1000000000,"")</f>
        <v/>
      </c>
      <c r="U4421" s="9">
        <f>IF(Q4421="비교",ABS(P4421)+ROW()/1000000000,"")</f>
        <v/>
      </c>
      <c r="V4421" s="64">
        <f>IF($A4421="","",IF(COUNTIF(변동분석!$E$7:$E$506,O4421)&gt;0,"Y","N"))</f>
        <v/>
      </c>
      <c r="W4421" s="64">
        <f>IF($A4421="","",IFERROR(INDEX(계정매핑!$D$5:$D$504,MATCH($F4421&amp;"",계정매핑!$A$5:$A$504,0)),"미매핑"))</f>
        <v/>
      </c>
      <c r="X4421" s="9">
        <f>IF($A4421="","",$F4421&amp;"")</f>
        <v/>
      </c>
      <c r="Y4421" s="94">
        <f>IF($A4421="",0,IF(AE4421="직접",IF(AF4421="비귀속",$P4421,0),$P4421*(1-AG4421)*IFERROR(INDEX(계정대체기준!$F$20:$F$49,MATCH($N4421,계정대체기준!$A$20:$A$49,0)),1)))</f>
        <v/>
      </c>
      <c r="Z4421" s="94">
        <f>IF($A4421="",0,IF(AE4421="직접",IF(AF4421="신계약비",$P4421,0),$P4421*(1-AG4421)*IFERROR(INDEX(계정대체기준!$C$20:$C$49,MATCH($N4421,계정대체기준!$A$20:$A$49,0)),0)))</f>
        <v/>
      </c>
      <c r="AA4421" s="94">
        <f>IF($A4421="",0,IF(AE4421="직접",IF(OR(AF4421="유지비",AF4421="손해조사비"),$P4421,0),$P4421*(1-AG4421)*IFERROR(INDEX(계정대체기준!$D$20:$D$49,MATCH($N4421,계정대체기준!$A$20:$A$49,0)),0)))</f>
        <v/>
      </c>
      <c r="AB4421" s="94">
        <f>IF($A4421="",0,IF(AE4421="직접",IF(AF4421="수금비",$P4421,0),$P4421*(1-AG4421)*IFERROR(INDEX(계정대체기준!$E$20:$E$49,MATCH($N4421,계정대체기준!$A$20:$A$49,0)),0)))</f>
        <v/>
      </c>
      <c r="AC4421" s="9">
        <f>IF(AND($A4421&lt;&gt;"",M4421=설정!$C$20,Z4421&gt;0),Z4421+ROW()/1000000000,"")</f>
        <v/>
      </c>
      <c r="AD4421" s="94">
        <f>IF($A4421="",0,$P4421*AG4421)</f>
        <v/>
      </c>
      <c r="AE4421" s="64">
        <f>IF($A4421="","",IFERROR(INDEX(계정매핑!$E$5:$E$504,MATCH($F4421&amp;"",계정매핑!$A$5:$A$504,0))&amp;"","공통비"))</f>
        <v/>
      </c>
      <c r="AF4421" s="64">
        <f>IF($A4421="","",IF(AE4421="직접",IFERROR(INDEX(계정매핑!$F$5:$F$504,MATCH($F4421&amp;"",계정매핑!$A$5:$A$504,0))&amp;"","비귀속"),""))</f>
        <v/>
      </c>
      <c r="AG4421" s="96">
        <f>IF($A4421="",0,IF(AND(AE4421&lt;&gt;"직접",IFERROR(INDEX(계정매핑!$G$5:$G$504,MATCH($F4421&amp;"",계정매핑!$A$5:$A$504,0))&amp;"","")="유지비",COUNTIF(계정대체기준!$A$6:$A$15,$N4421)&gt;0),IFERROR(INDEX(계정대체기준!$E$6:$E$15,MATCH(VALUE($A4421&amp;""),계정대체기준!$D$6:$D$15,0)),0),0))</f>
        <v/>
      </c>
      <c r="AH4421" s="64">
        <f>IF($A4421="","",IF(AD4421=0,"",IF(OR(COUNTIF(계정대체기준!$A$77:$A$86,$N4421)&gt;0,ISNUMBER(MATCH($X4421,계정대체기준!$D$77:$D$86,0)),ISNUMBER(MATCH($F4421,계정대체기준!$D$77:$D$86,0))),"Y","N")))</f>
        <v/>
      </c>
    </row>
    <row r="4422">
      <c r="A4422" s="92" t="n">
        <v>2026</v>
      </c>
      <c r="B4422" s="92" t="n">
        <v>8</v>
      </c>
      <c r="C4422" s="92" t="inlineStr">
        <is>
          <t>5100001700</t>
        </is>
      </c>
      <c r="D4422" s="95" t="n">
        <v>46246</v>
      </c>
      <c r="E4422" s="92" t="inlineStr">
        <is>
          <t>KR</t>
        </is>
      </c>
      <c r="F4422" s="92" t="n">
        <v>62902000</v>
      </c>
      <c r="G4422" s="92" t="n">
        <v>1101</v>
      </c>
      <c r="H4422" s="93" t="n">
        <v>1490000</v>
      </c>
      <c r="I4422" s="92" t="inlineStr">
        <is>
          <t>8월 업무 위탁 수수료 - J콜센터</t>
        </is>
      </c>
      <c r="J4422" s="92" t="inlineStr">
        <is>
          <t>V10016</t>
        </is>
      </c>
      <c r="K4422" s="92" t="inlineStr">
        <is>
          <t>J콜센터</t>
        </is>
      </c>
      <c r="M4422" s="9">
        <f>IF($A4422="","",VALUE($A4422&amp;"")*12+VALUE($B4422&amp;""))</f>
        <v/>
      </c>
      <c r="N4422" s="64">
        <f>IF($A4422="","",IFERROR(INDEX(부서매핑!$C$5:$C$504,MATCH($G4422&amp;"",부서매핑!$A$5:$A$504,0)),"미매핑"))</f>
        <v/>
      </c>
      <c r="O4422" s="9">
        <f>IF($A4422="","",N4422&amp;"|"&amp;$F4422)</f>
        <v/>
      </c>
      <c r="P4422" s="94">
        <f>IF($A4422="",0,$H4422*설정!$C$23)</f>
        <v/>
      </c>
      <c r="Q4422" s="64">
        <f>IF($A4422="","",IF(O4422&lt;&gt;원인분석!$C$9,"",IF(AND(M4422&gt;=원인분석!$C$10,M4422&lt;=원인분석!$C$11),"당기",IF(AND(M4422&gt;=원인분석!$C$12,M4422&lt;=원인분석!$C$13),"비교",""))))</f>
        <v/>
      </c>
      <c r="R4422" s="9">
        <f>IF(Q4422="","",$K4422&amp;"")</f>
        <v/>
      </c>
      <c r="S4422" s="9">
        <f>IF(Q4422="","",IF(MATCH(R4422,$R$5:$R$100000,0)=ROW()-4,ROW(),""))</f>
        <v/>
      </c>
      <c r="T4422" s="9">
        <f>IF(Q4422="당기",ABS(P4422)+ROW()/1000000000,"")</f>
        <v/>
      </c>
      <c r="U4422" s="9">
        <f>IF(Q4422="비교",ABS(P4422)+ROW()/1000000000,"")</f>
        <v/>
      </c>
      <c r="V4422" s="64">
        <f>IF($A4422="","",IF(COUNTIF(변동분석!$E$7:$E$506,O4422)&gt;0,"Y","N"))</f>
        <v/>
      </c>
      <c r="W4422" s="64">
        <f>IF($A4422="","",IFERROR(INDEX(계정매핑!$D$5:$D$504,MATCH($F4422&amp;"",계정매핑!$A$5:$A$504,0)),"미매핑"))</f>
        <v/>
      </c>
      <c r="X4422" s="9">
        <f>IF($A4422="","",$F4422&amp;"")</f>
        <v/>
      </c>
      <c r="Y4422" s="94">
        <f>IF($A4422="",0,IF(AE4422="직접",IF(AF4422="비귀속",$P4422,0),$P4422*(1-AG4422)*IFERROR(INDEX(계정대체기준!$F$20:$F$49,MATCH($N4422,계정대체기준!$A$20:$A$49,0)),1)))</f>
        <v/>
      </c>
      <c r="Z4422" s="94">
        <f>IF($A4422="",0,IF(AE4422="직접",IF(AF4422="신계약비",$P4422,0),$P4422*(1-AG4422)*IFERROR(INDEX(계정대체기준!$C$20:$C$49,MATCH($N4422,계정대체기준!$A$20:$A$49,0)),0)))</f>
        <v/>
      </c>
      <c r="AA4422" s="94">
        <f>IF($A4422="",0,IF(AE4422="직접",IF(OR(AF4422="유지비",AF4422="손해조사비"),$P4422,0),$P4422*(1-AG4422)*IFERROR(INDEX(계정대체기준!$D$20:$D$49,MATCH($N4422,계정대체기준!$A$20:$A$49,0)),0)))</f>
        <v/>
      </c>
      <c r="AB4422" s="94">
        <f>IF($A4422="",0,IF(AE4422="직접",IF(AF4422="수금비",$P4422,0),$P4422*(1-AG4422)*IFERROR(INDEX(계정대체기준!$E$20:$E$49,MATCH($N4422,계정대체기준!$A$20:$A$49,0)),0)))</f>
        <v/>
      </c>
      <c r="AC4422" s="9">
        <f>IF(AND($A4422&lt;&gt;"",M4422=설정!$C$20,Z4422&gt;0),Z4422+ROW()/1000000000,"")</f>
        <v/>
      </c>
      <c r="AD4422" s="94">
        <f>IF($A4422="",0,$P4422*AG4422)</f>
        <v/>
      </c>
      <c r="AE4422" s="64">
        <f>IF($A4422="","",IFERROR(INDEX(계정매핑!$E$5:$E$504,MATCH($F4422&amp;"",계정매핑!$A$5:$A$504,0))&amp;"","공통비"))</f>
        <v/>
      </c>
      <c r="AF4422" s="64">
        <f>IF($A4422="","",IF(AE4422="직접",IFERROR(INDEX(계정매핑!$F$5:$F$504,MATCH($F4422&amp;"",계정매핑!$A$5:$A$504,0))&amp;"","비귀속"),""))</f>
        <v/>
      </c>
      <c r="AG4422" s="96">
        <f>IF($A4422="",0,IF(AND(AE4422&lt;&gt;"직접",IFERROR(INDEX(계정매핑!$G$5:$G$504,MATCH($F4422&amp;"",계정매핑!$A$5:$A$504,0))&amp;"","")="유지비",COUNTIF(계정대체기준!$A$6:$A$15,$N4422)&gt;0),IFERROR(INDEX(계정대체기준!$E$6:$E$15,MATCH(VALUE($A4422&amp;""),계정대체기준!$D$6:$D$15,0)),0),0))</f>
        <v/>
      </c>
      <c r="AH4422" s="64">
        <f>IF($A4422="","",IF(AD4422=0,"",IF(OR(COUNTIF(계정대체기준!$A$77:$A$86,$N4422)&gt;0,ISNUMBER(MATCH($X4422,계정대체기준!$D$77:$D$86,0)),ISNUMBER(MATCH($F4422,계정대체기준!$D$77:$D$86,0))),"Y","N")))</f>
        <v/>
      </c>
    </row>
    <row r="4423">
      <c r="A4423" s="92" t="n">
        <v>2026</v>
      </c>
      <c r="B4423" s="92" t="n">
        <v>8</v>
      </c>
      <c r="C4423" s="92" t="inlineStr">
        <is>
          <t>5100001701</t>
        </is>
      </c>
      <c r="D4423" s="95" t="n">
        <v>46247</v>
      </c>
      <c r="E4423" s="92" t="inlineStr">
        <is>
          <t>KR</t>
        </is>
      </c>
      <c r="F4423" s="92" t="n">
        <v>62301000</v>
      </c>
      <c r="G4423" s="92" t="n">
        <v>1301</v>
      </c>
      <c r="H4423" s="93" t="n">
        <v>218000</v>
      </c>
      <c r="I4423" s="92" t="inlineStr">
        <is>
          <t>8월 소모품 구입 - R문구</t>
        </is>
      </c>
      <c r="J4423" s="92" t="inlineStr">
        <is>
          <t>V10022</t>
        </is>
      </c>
      <c r="K4423" s="92" t="inlineStr">
        <is>
          <t>R문구</t>
        </is>
      </c>
      <c r="M4423" s="9">
        <f>IF($A4423="","",VALUE($A4423&amp;"")*12+VALUE($B4423&amp;""))</f>
        <v/>
      </c>
      <c r="N4423" s="64">
        <f>IF($A4423="","",IFERROR(INDEX(부서매핑!$C$5:$C$504,MATCH($G4423&amp;"",부서매핑!$A$5:$A$504,0)),"미매핑"))</f>
        <v/>
      </c>
      <c r="O4423" s="9">
        <f>IF($A4423="","",N4423&amp;"|"&amp;$F4423)</f>
        <v/>
      </c>
      <c r="P4423" s="94">
        <f>IF($A4423="",0,$H4423*설정!$C$23)</f>
        <v/>
      </c>
      <c r="Q4423" s="64">
        <f>IF($A4423="","",IF(O4423&lt;&gt;원인분석!$C$9,"",IF(AND(M4423&gt;=원인분석!$C$10,M4423&lt;=원인분석!$C$11),"당기",IF(AND(M4423&gt;=원인분석!$C$12,M4423&lt;=원인분석!$C$13),"비교",""))))</f>
        <v/>
      </c>
      <c r="R4423" s="9">
        <f>IF(Q4423="","",$K4423&amp;"")</f>
        <v/>
      </c>
      <c r="S4423" s="9">
        <f>IF(Q4423="","",IF(MATCH(R4423,$R$5:$R$100000,0)=ROW()-4,ROW(),""))</f>
        <v/>
      </c>
      <c r="T4423" s="9">
        <f>IF(Q4423="당기",ABS(P4423)+ROW()/1000000000,"")</f>
        <v/>
      </c>
      <c r="U4423" s="9">
        <f>IF(Q4423="비교",ABS(P4423)+ROW()/1000000000,"")</f>
        <v/>
      </c>
      <c r="V4423" s="64">
        <f>IF($A4423="","",IF(COUNTIF(변동분석!$E$7:$E$506,O4423)&gt;0,"Y","N"))</f>
        <v/>
      </c>
      <c r="W4423" s="64">
        <f>IF($A4423="","",IFERROR(INDEX(계정매핑!$D$5:$D$504,MATCH($F4423&amp;"",계정매핑!$A$5:$A$504,0)),"미매핑"))</f>
        <v/>
      </c>
      <c r="X4423" s="9">
        <f>IF($A4423="","",$F4423&amp;"")</f>
        <v/>
      </c>
      <c r="Y4423" s="94">
        <f>IF($A4423="",0,IF(AE4423="직접",IF(AF4423="비귀속",$P4423,0),$P4423*(1-AG4423)*IFERROR(INDEX(계정대체기준!$F$20:$F$49,MATCH($N4423,계정대체기준!$A$20:$A$49,0)),1)))</f>
        <v/>
      </c>
      <c r="Z4423" s="94">
        <f>IF($A4423="",0,IF(AE4423="직접",IF(AF4423="신계약비",$P4423,0),$P4423*(1-AG4423)*IFERROR(INDEX(계정대체기준!$C$20:$C$49,MATCH($N4423,계정대체기준!$A$20:$A$49,0)),0)))</f>
        <v/>
      </c>
      <c r="AA4423" s="94">
        <f>IF($A4423="",0,IF(AE4423="직접",IF(OR(AF4423="유지비",AF4423="손해조사비"),$P4423,0),$P4423*(1-AG4423)*IFERROR(INDEX(계정대체기준!$D$20:$D$49,MATCH($N4423,계정대체기준!$A$20:$A$49,0)),0)))</f>
        <v/>
      </c>
      <c r="AB4423" s="94">
        <f>IF($A4423="",0,IF(AE4423="직접",IF(AF4423="수금비",$P4423,0),$P4423*(1-AG4423)*IFERROR(INDEX(계정대체기준!$E$20:$E$49,MATCH($N4423,계정대체기준!$A$20:$A$49,0)),0)))</f>
        <v/>
      </c>
      <c r="AC4423" s="9">
        <f>IF(AND($A4423&lt;&gt;"",M4423=설정!$C$20,Z4423&gt;0),Z4423+ROW()/1000000000,"")</f>
        <v/>
      </c>
      <c r="AD4423" s="94">
        <f>IF($A4423="",0,$P4423*AG4423)</f>
        <v/>
      </c>
      <c r="AE4423" s="64">
        <f>IF($A4423="","",IFERROR(INDEX(계정매핑!$E$5:$E$504,MATCH($F4423&amp;"",계정매핑!$A$5:$A$504,0))&amp;"","공통비"))</f>
        <v/>
      </c>
      <c r="AF4423" s="64">
        <f>IF($A4423="","",IF(AE4423="직접",IFERROR(INDEX(계정매핑!$F$5:$F$504,MATCH($F4423&amp;"",계정매핑!$A$5:$A$504,0))&amp;"","비귀속"),""))</f>
        <v/>
      </c>
      <c r="AG4423" s="96">
        <f>IF($A4423="",0,IF(AND(AE4423&lt;&gt;"직접",IFERROR(INDEX(계정매핑!$G$5:$G$504,MATCH($F4423&amp;"",계정매핑!$A$5:$A$504,0))&amp;"","")="유지비",COUNTIF(계정대체기준!$A$6:$A$15,$N4423)&gt;0),IFERROR(INDEX(계정대체기준!$E$6:$E$15,MATCH(VALUE($A4423&amp;""),계정대체기준!$D$6:$D$15,0)),0),0))</f>
        <v/>
      </c>
      <c r="AH4423" s="64">
        <f>IF($A4423="","",IF(AD4423=0,"",IF(OR(COUNTIF(계정대체기준!$A$77:$A$86,$N4423)&gt;0,ISNUMBER(MATCH($X4423,계정대체기준!$D$77:$D$86,0)),ISNUMBER(MATCH($F4423,계정대체기준!$D$77:$D$86,0))),"Y","N")))</f>
        <v/>
      </c>
    </row>
    <row r="4424">
      <c r="A4424" s="92" t="n">
        <v>2026</v>
      </c>
      <c r="B4424" s="92" t="n">
        <v>8</v>
      </c>
      <c r="C4424" s="92" t="inlineStr">
        <is>
          <t>5100001702</t>
        </is>
      </c>
      <c r="D4424" s="95" t="n">
        <v>46247</v>
      </c>
      <c r="E4424" s="92" t="inlineStr">
        <is>
          <t>KR</t>
        </is>
      </c>
      <c r="F4424" s="92" t="n">
        <v>62601000</v>
      </c>
      <c r="G4424" s="92" t="n">
        <v>1101</v>
      </c>
      <c r="H4424" s="93" t="n">
        <v>1447000</v>
      </c>
      <c r="I4424" s="92" t="inlineStr">
        <is>
          <t>8월 업무추진 - (법인카드)</t>
        </is>
      </c>
      <c r="J4424" s="92" t="inlineStr">
        <is>
          <t>V10010</t>
        </is>
      </c>
      <c r="K4424" s="92" t="inlineStr">
        <is>
          <t>(법인카드)</t>
        </is>
      </c>
      <c r="M4424" s="9">
        <f>IF($A4424="","",VALUE($A4424&amp;"")*12+VALUE($B4424&amp;""))</f>
        <v/>
      </c>
      <c r="N4424" s="64">
        <f>IF($A4424="","",IFERROR(INDEX(부서매핑!$C$5:$C$504,MATCH($G4424&amp;"",부서매핑!$A$5:$A$504,0)),"미매핑"))</f>
        <v/>
      </c>
      <c r="O4424" s="9">
        <f>IF($A4424="","",N4424&amp;"|"&amp;$F4424)</f>
        <v/>
      </c>
      <c r="P4424" s="94">
        <f>IF($A4424="",0,$H4424*설정!$C$23)</f>
        <v/>
      </c>
      <c r="Q4424" s="64">
        <f>IF($A4424="","",IF(O4424&lt;&gt;원인분석!$C$9,"",IF(AND(M4424&gt;=원인분석!$C$10,M4424&lt;=원인분석!$C$11),"당기",IF(AND(M4424&gt;=원인분석!$C$12,M4424&lt;=원인분석!$C$13),"비교",""))))</f>
        <v/>
      </c>
      <c r="R4424" s="9">
        <f>IF(Q4424="","",$K4424&amp;"")</f>
        <v/>
      </c>
      <c r="S4424" s="9">
        <f>IF(Q4424="","",IF(MATCH(R4424,$R$5:$R$100000,0)=ROW()-4,ROW(),""))</f>
        <v/>
      </c>
      <c r="T4424" s="9">
        <f>IF(Q4424="당기",ABS(P4424)+ROW()/1000000000,"")</f>
        <v/>
      </c>
      <c r="U4424" s="9">
        <f>IF(Q4424="비교",ABS(P4424)+ROW()/1000000000,"")</f>
        <v/>
      </c>
      <c r="V4424" s="64">
        <f>IF($A4424="","",IF(COUNTIF(변동분석!$E$7:$E$506,O4424)&gt;0,"Y","N"))</f>
        <v/>
      </c>
      <c r="W4424" s="64">
        <f>IF($A4424="","",IFERROR(INDEX(계정매핑!$D$5:$D$504,MATCH($F4424&amp;"",계정매핑!$A$5:$A$504,0)),"미매핑"))</f>
        <v/>
      </c>
      <c r="X4424" s="9">
        <f>IF($A4424="","",$F4424&amp;"")</f>
        <v/>
      </c>
      <c r="Y4424" s="94">
        <f>IF($A4424="",0,IF(AE4424="직접",IF(AF4424="비귀속",$P4424,0),$P4424*(1-AG4424)*IFERROR(INDEX(계정대체기준!$F$20:$F$49,MATCH($N4424,계정대체기준!$A$20:$A$49,0)),1)))</f>
        <v/>
      </c>
      <c r="Z4424" s="94">
        <f>IF($A4424="",0,IF(AE4424="직접",IF(AF4424="신계약비",$P4424,0),$P4424*(1-AG4424)*IFERROR(INDEX(계정대체기준!$C$20:$C$49,MATCH($N4424,계정대체기준!$A$20:$A$49,0)),0)))</f>
        <v/>
      </c>
      <c r="AA4424" s="94">
        <f>IF($A4424="",0,IF(AE4424="직접",IF(OR(AF4424="유지비",AF4424="손해조사비"),$P4424,0),$P4424*(1-AG4424)*IFERROR(INDEX(계정대체기준!$D$20:$D$49,MATCH($N4424,계정대체기준!$A$20:$A$49,0)),0)))</f>
        <v/>
      </c>
      <c r="AB4424" s="94">
        <f>IF($A4424="",0,IF(AE4424="직접",IF(AF4424="수금비",$P4424,0),$P4424*(1-AG4424)*IFERROR(INDEX(계정대체기준!$E$20:$E$49,MATCH($N4424,계정대체기준!$A$20:$A$49,0)),0)))</f>
        <v/>
      </c>
      <c r="AC4424" s="9">
        <f>IF(AND($A4424&lt;&gt;"",M4424=설정!$C$20,Z4424&gt;0),Z4424+ROW()/1000000000,"")</f>
        <v/>
      </c>
      <c r="AD4424" s="94">
        <f>IF($A4424="",0,$P4424*AG4424)</f>
        <v/>
      </c>
      <c r="AE4424" s="64">
        <f>IF($A4424="","",IFERROR(INDEX(계정매핑!$E$5:$E$504,MATCH($F4424&amp;"",계정매핑!$A$5:$A$504,0))&amp;"","공통비"))</f>
        <v/>
      </c>
      <c r="AF4424" s="64">
        <f>IF($A4424="","",IF(AE4424="직접",IFERROR(INDEX(계정매핑!$F$5:$F$504,MATCH($F4424&amp;"",계정매핑!$A$5:$A$504,0))&amp;"","비귀속"),""))</f>
        <v/>
      </c>
      <c r="AG4424" s="96">
        <f>IF($A4424="",0,IF(AND(AE4424&lt;&gt;"직접",IFERROR(INDEX(계정매핑!$G$5:$G$504,MATCH($F4424&amp;"",계정매핑!$A$5:$A$504,0))&amp;"","")="유지비",COUNTIF(계정대체기준!$A$6:$A$15,$N4424)&gt;0),IFERROR(INDEX(계정대체기준!$E$6:$E$15,MATCH(VALUE($A4424&amp;""),계정대체기준!$D$6:$D$15,0)),0),0))</f>
        <v/>
      </c>
      <c r="AH4424" s="64">
        <f>IF($A4424="","",IF(AD4424=0,"",IF(OR(COUNTIF(계정대체기준!$A$77:$A$86,$N4424)&gt;0,ISNUMBER(MATCH($X4424,계정대체기준!$D$77:$D$86,0)),ISNUMBER(MATCH($F4424,계정대체기준!$D$77:$D$86,0))),"Y","N")))</f>
        <v/>
      </c>
    </row>
    <row r="4425">
      <c r="A4425" s="92" t="n">
        <v>2026</v>
      </c>
      <c r="B4425" s="92" t="n">
        <v>8</v>
      </c>
      <c r="C4425" s="92" t="inlineStr">
        <is>
          <t>5100001703</t>
        </is>
      </c>
      <c r="D4425" s="95" t="n">
        <v>46247</v>
      </c>
      <c r="E4425" s="92" t="inlineStr">
        <is>
          <t>KR</t>
        </is>
      </c>
      <c r="F4425" s="92" t="n">
        <v>62901000</v>
      </c>
      <c r="G4425" s="92" t="n">
        <v>1401</v>
      </c>
      <c r="H4425" s="93" t="n">
        <v>4576000</v>
      </c>
      <c r="I4425" s="92" t="inlineStr">
        <is>
          <t>8월 자문 수수료 - K회계법인</t>
        </is>
      </c>
      <c r="J4425" s="92" t="inlineStr">
        <is>
          <t>V10011</t>
        </is>
      </c>
      <c r="K4425" s="92" t="inlineStr">
        <is>
          <t>K회계법인</t>
        </is>
      </c>
      <c r="M4425" s="9">
        <f>IF($A4425="","",VALUE($A4425&amp;"")*12+VALUE($B4425&amp;""))</f>
        <v/>
      </c>
      <c r="N4425" s="64">
        <f>IF($A4425="","",IFERROR(INDEX(부서매핑!$C$5:$C$504,MATCH($G4425&amp;"",부서매핑!$A$5:$A$504,0)),"미매핑"))</f>
        <v/>
      </c>
      <c r="O4425" s="9">
        <f>IF($A4425="","",N4425&amp;"|"&amp;$F4425)</f>
        <v/>
      </c>
      <c r="P4425" s="94">
        <f>IF($A4425="",0,$H4425*설정!$C$23)</f>
        <v/>
      </c>
      <c r="Q4425" s="64">
        <f>IF($A4425="","",IF(O4425&lt;&gt;원인분석!$C$9,"",IF(AND(M4425&gt;=원인분석!$C$10,M4425&lt;=원인분석!$C$11),"당기",IF(AND(M4425&gt;=원인분석!$C$12,M4425&lt;=원인분석!$C$13),"비교",""))))</f>
        <v/>
      </c>
      <c r="R4425" s="9">
        <f>IF(Q4425="","",$K4425&amp;"")</f>
        <v/>
      </c>
      <c r="S4425" s="9">
        <f>IF(Q4425="","",IF(MATCH(R4425,$R$5:$R$100000,0)=ROW()-4,ROW(),""))</f>
        <v/>
      </c>
      <c r="T4425" s="9">
        <f>IF(Q4425="당기",ABS(P4425)+ROW()/1000000000,"")</f>
        <v/>
      </c>
      <c r="U4425" s="9">
        <f>IF(Q4425="비교",ABS(P4425)+ROW()/1000000000,"")</f>
        <v/>
      </c>
      <c r="V4425" s="64">
        <f>IF($A4425="","",IF(COUNTIF(변동분석!$E$7:$E$506,O4425)&gt;0,"Y","N"))</f>
        <v/>
      </c>
      <c r="W4425" s="64">
        <f>IF($A4425="","",IFERROR(INDEX(계정매핑!$D$5:$D$504,MATCH($F4425&amp;"",계정매핑!$A$5:$A$504,0)),"미매핑"))</f>
        <v/>
      </c>
      <c r="X4425" s="9">
        <f>IF($A4425="","",$F4425&amp;"")</f>
        <v/>
      </c>
      <c r="Y4425" s="94">
        <f>IF($A4425="",0,IF(AE4425="직접",IF(AF4425="비귀속",$P4425,0),$P4425*(1-AG4425)*IFERROR(INDEX(계정대체기준!$F$20:$F$49,MATCH($N4425,계정대체기준!$A$20:$A$49,0)),1)))</f>
        <v/>
      </c>
      <c r="Z4425" s="94">
        <f>IF($A4425="",0,IF(AE4425="직접",IF(AF4425="신계약비",$P4425,0),$P4425*(1-AG4425)*IFERROR(INDEX(계정대체기준!$C$20:$C$49,MATCH($N4425,계정대체기준!$A$20:$A$49,0)),0)))</f>
        <v/>
      </c>
      <c r="AA4425" s="94">
        <f>IF($A4425="",0,IF(AE4425="직접",IF(OR(AF4425="유지비",AF4425="손해조사비"),$P4425,0),$P4425*(1-AG4425)*IFERROR(INDEX(계정대체기준!$D$20:$D$49,MATCH($N4425,계정대체기준!$A$20:$A$49,0)),0)))</f>
        <v/>
      </c>
      <c r="AB4425" s="94">
        <f>IF($A4425="",0,IF(AE4425="직접",IF(AF4425="수금비",$P4425,0),$P4425*(1-AG4425)*IFERROR(INDEX(계정대체기준!$E$20:$E$49,MATCH($N4425,계정대체기준!$A$20:$A$49,0)),0)))</f>
        <v/>
      </c>
      <c r="AC4425" s="9">
        <f>IF(AND($A4425&lt;&gt;"",M4425=설정!$C$20,Z4425&gt;0),Z4425+ROW()/1000000000,"")</f>
        <v/>
      </c>
      <c r="AD4425" s="94">
        <f>IF($A4425="",0,$P4425*AG4425)</f>
        <v/>
      </c>
      <c r="AE4425" s="64">
        <f>IF($A4425="","",IFERROR(INDEX(계정매핑!$E$5:$E$504,MATCH($F4425&amp;"",계정매핑!$A$5:$A$504,0))&amp;"","공통비"))</f>
        <v/>
      </c>
      <c r="AF4425" s="64">
        <f>IF($A4425="","",IF(AE4425="직접",IFERROR(INDEX(계정매핑!$F$5:$F$504,MATCH($F4425&amp;"",계정매핑!$A$5:$A$504,0))&amp;"","비귀속"),""))</f>
        <v/>
      </c>
      <c r="AG4425" s="96">
        <f>IF($A4425="",0,IF(AND(AE4425&lt;&gt;"직접",IFERROR(INDEX(계정매핑!$G$5:$G$504,MATCH($F4425&amp;"",계정매핑!$A$5:$A$504,0))&amp;"","")="유지비",COUNTIF(계정대체기준!$A$6:$A$15,$N4425)&gt;0),IFERROR(INDEX(계정대체기준!$E$6:$E$15,MATCH(VALUE($A4425&amp;""),계정대체기준!$D$6:$D$15,0)),0),0))</f>
        <v/>
      </c>
      <c r="AH4425" s="64">
        <f>IF($A4425="","",IF(AD4425=0,"",IF(OR(COUNTIF(계정대체기준!$A$77:$A$86,$N4425)&gt;0,ISNUMBER(MATCH($X4425,계정대체기준!$D$77:$D$86,0)),ISNUMBER(MATCH($F4425,계정대체기준!$D$77:$D$86,0))),"Y","N")))</f>
        <v/>
      </c>
    </row>
    <row r="4426">
      <c r="A4426" s="92" t="n">
        <v>2026</v>
      </c>
      <c r="B4426" s="92" t="n">
        <v>8</v>
      </c>
      <c r="C4426" s="92" t="inlineStr">
        <is>
          <t>5100001704</t>
        </is>
      </c>
      <c r="D4426" s="95" t="n">
        <v>46247</v>
      </c>
      <c r="E4426" s="92" t="inlineStr">
        <is>
          <t>KR</t>
        </is>
      </c>
      <c r="F4426" s="92" t="n">
        <v>62902000</v>
      </c>
      <c r="G4426" s="92" t="n">
        <v>1801</v>
      </c>
      <c r="H4426" s="93" t="n">
        <v>1791000</v>
      </c>
      <c r="I4426" s="92" t="inlineStr">
        <is>
          <t>8월 콜 위탁 수수료(건별)</t>
        </is>
      </c>
      <c r="J4426" s="92" t="inlineStr">
        <is>
          <t>V10016</t>
        </is>
      </c>
      <c r="K4426" s="92" t="inlineStr">
        <is>
          <t>J콜센터</t>
        </is>
      </c>
      <c r="M4426" s="9">
        <f>IF($A4426="","",VALUE($A4426&amp;"")*12+VALUE($B4426&amp;""))</f>
        <v/>
      </c>
      <c r="N4426" s="64">
        <f>IF($A4426="","",IFERROR(INDEX(부서매핑!$C$5:$C$504,MATCH($G4426&amp;"",부서매핑!$A$5:$A$504,0)),"미매핑"))</f>
        <v/>
      </c>
      <c r="O4426" s="9">
        <f>IF($A4426="","",N4426&amp;"|"&amp;$F4426)</f>
        <v/>
      </c>
      <c r="P4426" s="94">
        <f>IF($A4426="",0,$H4426*설정!$C$23)</f>
        <v/>
      </c>
      <c r="Q4426" s="64">
        <f>IF($A4426="","",IF(O4426&lt;&gt;원인분석!$C$9,"",IF(AND(M4426&gt;=원인분석!$C$10,M4426&lt;=원인분석!$C$11),"당기",IF(AND(M4426&gt;=원인분석!$C$12,M4426&lt;=원인분석!$C$13),"비교",""))))</f>
        <v/>
      </c>
      <c r="R4426" s="9">
        <f>IF(Q4426="","",$K4426&amp;"")</f>
        <v/>
      </c>
      <c r="S4426" s="9">
        <f>IF(Q4426="","",IF(MATCH(R4426,$R$5:$R$100000,0)=ROW()-4,ROW(),""))</f>
        <v/>
      </c>
      <c r="T4426" s="9">
        <f>IF(Q4426="당기",ABS(P4426)+ROW()/1000000000,"")</f>
        <v/>
      </c>
      <c r="U4426" s="9">
        <f>IF(Q4426="비교",ABS(P4426)+ROW()/1000000000,"")</f>
        <v/>
      </c>
      <c r="V4426" s="64">
        <f>IF($A4426="","",IF(COUNTIF(변동분석!$E$7:$E$506,O4426)&gt;0,"Y","N"))</f>
        <v/>
      </c>
      <c r="W4426" s="64">
        <f>IF($A4426="","",IFERROR(INDEX(계정매핑!$D$5:$D$504,MATCH($F4426&amp;"",계정매핑!$A$5:$A$504,0)),"미매핑"))</f>
        <v/>
      </c>
      <c r="X4426" s="9">
        <f>IF($A4426="","",$F4426&amp;"")</f>
        <v/>
      </c>
      <c r="Y4426" s="94">
        <f>IF($A4426="",0,IF(AE4426="직접",IF(AF4426="비귀속",$P4426,0),$P4426*(1-AG4426)*IFERROR(INDEX(계정대체기준!$F$20:$F$49,MATCH($N4426,계정대체기준!$A$20:$A$49,0)),1)))</f>
        <v/>
      </c>
      <c r="Z4426" s="94">
        <f>IF($A4426="",0,IF(AE4426="직접",IF(AF4426="신계약비",$P4426,0),$P4426*(1-AG4426)*IFERROR(INDEX(계정대체기준!$C$20:$C$49,MATCH($N4426,계정대체기준!$A$20:$A$49,0)),0)))</f>
        <v/>
      </c>
      <c r="AA4426" s="94">
        <f>IF($A4426="",0,IF(AE4426="직접",IF(OR(AF4426="유지비",AF4426="손해조사비"),$P4426,0),$P4426*(1-AG4426)*IFERROR(INDEX(계정대체기준!$D$20:$D$49,MATCH($N4426,계정대체기준!$A$20:$A$49,0)),0)))</f>
        <v/>
      </c>
      <c r="AB4426" s="94">
        <f>IF($A4426="",0,IF(AE4426="직접",IF(AF4426="수금비",$P4426,0),$P4426*(1-AG4426)*IFERROR(INDEX(계정대체기준!$E$20:$E$49,MATCH($N4426,계정대체기준!$A$20:$A$49,0)),0)))</f>
        <v/>
      </c>
      <c r="AC4426" s="9">
        <f>IF(AND($A4426&lt;&gt;"",M4426=설정!$C$20,Z4426&gt;0),Z4426+ROW()/1000000000,"")</f>
        <v/>
      </c>
      <c r="AD4426" s="94">
        <f>IF($A4426="",0,$P4426*AG4426)</f>
        <v/>
      </c>
      <c r="AE4426" s="64">
        <f>IF($A4426="","",IFERROR(INDEX(계정매핑!$E$5:$E$504,MATCH($F4426&amp;"",계정매핑!$A$5:$A$504,0))&amp;"","공통비"))</f>
        <v/>
      </c>
      <c r="AF4426" s="64">
        <f>IF($A4426="","",IF(AE4426="직접",IFERROR(INDEX(계정매핑!$F$5:$F$504,MATCH($F4426&amp;"",계정매핑!$A$5:$A$504,0))&amp;"","비귀속"),""))</f>
        <v/>
      </c>
      <c r="AG4426" s="96">
        <f>IF($A4426="",0,IF(AND(AE4426&lt;&gt;"직접",IFERROR(INDEX(계정매핑!$G$5:$G$504,MATCH($F4426&amp;"",계정매핑!$A$5:$A$504,0))&amp;"","")="유지비",COUNTIF(계정대체기준!$A$6:$A$15,$N4426)&gt;0),IFERROR(INDEX(계정대체기준!$E$6:$E$15,MATCH(VALUE($A4426&amp;""),계정대체기준!$D$6:$D$15,0)),0),0))</f>
        <v/>
      </c>
      <c r="AH4426" s="64">
        <f>IF($A4426="","",IF(AD4426=0,"",IF(OR(COUNTIF(계정대체기준!$A$77:$A$86,$N4426)&gt;0,ISNUMBER(MATCH($X4426,계정대체기준!$D$77:$D$86,0)),ISNUMBER(MATCH($F4426,계정대체기준!$D$77:$D$86,0))),"Y","N")))</f>
        <v/>
      </c>
    </row>
    <row r="4427">
      <c r="A4427" s="92" t="n">
        <v>2026</v>
      </c>
      <c r="B4427" s="92" t="n">
        <v>8</v>
      </c>
      <c r="C4427" s="92" t="inlineStr">
        <is>
          <t>5100001705</t>
        </is>
      </c>
      <c r="D4427" s="95" t="n">
        <v>46247</v>
      </c>
      <c r="E4427" s="92" t="inlineStr">
        <is>
          <t>KR</t>
        </is>
      </c>
      <c r="F4427" s="92" t="n">
        <v>62902000</v>
      </c>
      <c r="G4427" s="92" t="n">
        <v>1801</v>
      </c>
      <c r="H4427" s="93" t="n">
        <v>1847000</v>
      </c>
      <c r="I4427" s="92" t="inlineStr">
        <is>
          <t>8월 콜 위탁 수수료(건별)</t>
        </is>
      </c>
      <c r="J4427" s="92" t="inlineStr">
        <is>
          <t>V10016</t>
        </is>
      </c>
      <c r="K4427" s="92" t="inlineStr">
        <is>
          <t>J콜센터</t>
        </is>
      </c>
      <c r="M4427" s="9">
        <f>IF($A4427="","",VALUE($A4427&amp;"")*12+VALUE($B4427&amp;""))</f>
        <v/>
      </c>
      <c r="N4427" s="64">
        <f>IF($A4427="","",IFERROR(INDEX(부서매핑!$C$5:$C$504,MATCH($G4427&amp;"",부서매핑!$A$5:$A$504,0)),"미매핑"))</f>
        <v/>
      </c>
      <c r="O4427" s="9">
        <f>IF($A4427="","",N4427&amp;"|"&amp;$F4427)</f>
        <v/>
      </c>
      <c r="P4427" s="94">
        <f>IF($A4427="",0,$H4427*설정!$C$23)</f>
        <v/>
      </c>
      <c r="Q4427" s="64">
        <f>IF($A4427="","",IF(O4427&lt;&gt;원인분석!$C$9,"",IF(AND(M4427&gt;=원인분석!$C$10,M4427&lt;=원인분석!$C$11),"당기",IF(AND(M4427&gt;=원인분석!$C$12,M4427&lt;=원인분석!$C$13),"비교",""))))</f>
        <v/>
      </c>
      <c r="R4427" s="9">
        <f>IF(Q4427="","",$K4427&amp;"")</f>
        <v/>
      </c>
      <c r="S4427" s="9">
        <f>IF(Q4427="","",IF(MATCH(R4427,$R$5:$R$100000,0)=ROW()-4,ROW(),""))</f>
        <v/>
      </c>
      <c r="T4427" s="9">
        <f>IF(Q4427="당기",ABS(P4427)+ROW()/1000000000,"")</f>
        <v/>
      </c>
      <c r="U4427" s="9">
        <f>IF(Q4427="비교",ABS(P4427)+ROW()/1000000000,"")</f>
        <v/>
      </c>
      <c r="V4427" s="64">
        <f>IF($A4427="","",IF(COUNTIF(변동분석!$E$7:$E$506,O4427)&gt;0,"Y","N"))</f>
        <v/>
      </c>
      <c r="W4427" s="64">
        <f>IF($A4427="","",IFERROR(INDEX(계정매핑!$D$5:$D$504,MATCH($F4427&amp;"",계정매핑!$A$5:$A$504,0)),"미매핑"))</f>
        <v/>
      </c>
      <c r="X4427" s="9">
        <f>IF($A4427="","",$F4427&amp;"")</f>
        <v/>
      </c>
      <c r="Y4427" s="94">
        <f>IF($A4427="",0,IF(AE4427="직접",IF(AF4427="비귀속",$P4427,0),$P4427*(1-AG4427)*IFERROR(INDEX(계정대체기준!$F$20:$F$49,MATCH($N4427,계정대체기준!$A$20:$A$49,0)),1)))</f>
        <v/>
      </c>
      <c r="Z4427" s="94">
        <f>IF($A4427="",0,IF(AE4427="직접",IF(AF4427="신계약비",$P4427,0),$P4427*(1-AG4427)*IFERROR(INDEX(계정대체기준!$C$20:$C$49,MATCH($N4427,계정대체기준!$A$20:$A$49,0)),0)))</f>
        <v/>
      </c>
      <c r="AA4427" s="94">
        <f>IF($A4427="",0,IF(AE4427="직접",IF(OR(AF4427="유지비",AF4427="손해조사비"),$P4427,0),$P4427*(1-AG4427)*IFERROR(INDEX(계정대체기준!$D$20:$D$49,MATCH($N4427,계정대체기준!$A$20:$A$49,0)),0)))</f>
        <v/>
      </c>
      <c r="AB4427" s="94">
        <f>IF($A4427="",0,IF(AE4427="직접",IF(AF4427="수금비",$P4427,0),$P4427*(1-AG4427)*IFERROR(INDEX(계정대체기준!$E$20:$E$49,MATCH($N4427,계정대체기준!$A$20:$A$49,0)),0)))</f>
        <v/>
      </c>
      <c r="AC4427" s="9">
        <f>IF(AND($A4427&lt;&gt;"",M4427=설정!$C$20,Z4427&gt;0),Z4427+ROW()/1000000000,"")</f>
        <v/>
      </c>
      <c r="AD4427" s="94">
        <f>IF($A4427="",0,$P4427*AG4427)</f>
        <v/>
      </c>
      <c r="AE4427" s="64">
        <f>IF($A4427="","",IFERROR(INDEX(계정매핑!$E$5:$E$504,MATCH($F4427&amp;"",계정매핑!$A$5:$A$504,0))&amp;"","공통비"))</f>
        <v/>
      </c>
      <c r="AF4427" s="64">
        <f>IF($A4427="","",IF(AE4427="직접",IFERROR(INDEX(계정매핑!$F$5:$F$504,MATCH($F4427&amp;"",계정매핑!$A$5:$A$504,0))&amp;"","비귀속"),""))</f>
        <v/>
      </c>
      <c r="AG4427" s="96">
        <f>IF($A4427="",0,IF(AND(AE4427&lt;&gt;"직접",IFERROR(INDEX(계정매핑!$G$5:$G$504,MATCH($F4427&amp;"",계정매핑!$A$5:$A$504,0))&amp;"","")="유지비",COUNTIF(계정대체기준!$A$6:$A$15,$N4427)&gt;0),IFERROR(INDEX(계정대체기준!$E$6:$E$15,MATCH(VALUE($A4427&amp;""),계정대체기준!$D$6:$D$15,0)),0),0))</f>
        <v/>
      </c>
      <c r="AH4427" s="64">
        <f>IF($A4427="","",IF(AD4427=0,"",IF(OR(COUNTIF(계정대체기준!$A$77:$A$86,$N4427)&gt;0,ISNUMBER(MATCH($X4427,계정대체기준!$D$77:$D$86,0)),ISNUMBER(MATCH($F4427,계정대체기준!$D$77:$D$86,0))),"Y","N")))</f>
        <v/>
      </c>
    </row>
    <row r="4428">
      <c r="A4428" s="92" t="n">
        <v>2026</v>
      </c>
      <c r="B4428" s="92" t="n">
        <v>8</v>
      </c>
      <c r="C4428" s="92" t="inlineStr">
        <is>
          <t>5100001706</t>
        </is>
      </c>
      <c r="D4428" s="95" t="n">
        <v>46248</v>
      </c>
      <c r="E4428" s="92" t="inlineStr">
        <is>
          <t>KR</t>
        </is>
      </c>
      <c r="F4428" s="92" t="n">
        <v>62301000</v>
      </c>
      <c r="G4428" s="92" t="n">
        <v>1201</v>
      </c>
      <c r="H4428" s="93" t="n">
        <v>149000</v>
      </c>
      <c r="I4428" s="92" t="inlineStr">
        <is>
          <t>8월 소모품 구입 - Q오피스</t>
        </is>
      </c>
      <c r="J4428" s="92" t="inlineStr">
        <is>
          <t>V10003</t>
        </is>
      </c>
      <c r="K4428" s="92" t="inlineStr">
        <is>
          <t>Q오피스</t>
        </is>
      </c>
      <c r="M4428" s="9">
        <f>IF($A4428="","",VALUE($A4428&amp;"")*12+VALUE($B4428&amp;""))</f>
        <v/>
      </c>
      <c r="N4428" s="64">
        <f>IF($A4428="","",IFERROR(INDEX(부서매핑!$C$5:$C$504,MATCH($G4428&amp;"",부서매핑!$A$5:$A$504,0)),"미매핑"))</f>
        <v/>
      </c>
      <c r="O4428" s="9">
        <f>IF($A4428="","",N4428&amp;"|"&amp;$F4428)</f>
        <v/>
      </c>
      <c r="P4428" s="94">
        <f>IF($A4428="",0,$H4428*설정!$C$23)</f>
        <v/>
      </c>
      <c r="Q4428" s="64">
        <f>IF($A4428="","",IF(O4428&lt;&gt;원인분석!$C$9,"",IF(AND(M4428&gt;=원인분석!$C$10,M4428&lt;=원인분석!$C$11),"당기",IF(AND(M4428&gt;=원인분석!$C$12,M4428&lt;=원인분석!$C$13),"비교",""))))</f>
        <v/>
      </c>
      <c r="R4428" s="9">
        <f>IF(Q4428="","",$K4428&amp;"")</f>
        <v/>
      </c>
      <c r="S4428" s="9">
        <f>IF(Q4428="","",IF(MATCH(R4428,$R$5:$R$100000,0)=ROW()-4,ROW(),""))</f>
        <v/>
      </c>
      <c r="T4428" s="9">
        <f>IF(Q4428="당기",ABS(P4428)+ROW()/1000000000,"")</f>
        <v/>
      </c>
      <c r="U4428" s="9">
        <f>IF(Q4428="비교",ABS(P4428)+ROW()/1000000000,"")</f>
        <v/>
      </c>
      <c r="V4428" s="64">
        <f>IF($A4428="","",IF(COUNTIF(변동분석!$E$7:$E$506,O4428)&gt;0,"Y","N"))</f>
        <v/>
      </c>
      <c r="W4428" s="64">
        <f>IF($A4428="","",IFERROR(INDEX(계정매핑!$D$5:$D$504,MATCH($F4428&amp;"",계정매핑!$A$5:$A$504,0)),"미매핑"))</f>
        <v/>
      </c>
      <c r="X4428" s="9">
        <f>IF($A4428="","",$F4428&amp;"")</f>
        <v/>
      </c>
      <c r="Y4428" s="94">
        <f>IF($A4428="",0,IF(AE4428="직접",IF(AF4428="비귀속",$P4428,0),$P4428*(1-AG4428)*IFERROR(INDEX(계정대체기준!$F$20:$F$49,MATCH($N4428,계정대체기준!$A$20:$A$49,0)),1)))</f>
        <v/>
      </c>
      <c r="Z4428" s="94">
        <f>IF($A4428="",0,IF(AE4428="직접",IF(AF4428="신계약비",$P4428,0),$P4428*(1-AG4428)*IFERROR(INDEX(계정대체기준!$C$20:$C$49,MATCH($N4428,계정대체기준!$A$20:$A$49,0)),0)))</f>
        <v/>
      </c>
      <c r="AA4428" s="94">
        <f>IF($A4428="",0,IF(AE4428="직접",IF(OR(AF4428="유지비",AF4428="손해조사비"),$P4428,0),$P4428*(1-AG4428)*IFERROR(INDEX(계정대체기준!$D$20:$D$49,MATCH($N4428,계정대체기준!$A$20:$A$49,0)),0)))</f>
        <v/>
      </c>
      <c r="AB4428" s="94">
        <f>IF($A4428="",0,IF(AE4428="직접",IF(AF4428="수금비",$P4428,0),$P4428*(1-AG4428)*IFERROR(INDEX(계정대체기준!$E$20:$E$49,MATCH($N4428,계정대체기준!$A$20:$A$49,0)),0)))</f>
        <v/>
      </c>
      <c r="AC4428" s="9">
        <f>IF(AND($A4428&lt;&gt;"",M4428=설정!$C$20,Z4428&gt;0),Z4428+ROW()/1000000000,"")</f>
        <v/>
      </c>
      <c r="AD4428" s="94">
        <f>IF($A4428="",0,$P4428*AG4428)</f>
        <v/>
      </c>
      <c r="AE4428" s="64">
        <f>IF($A4428="","",IFERROR(INDEX(계정매핑!$E$5:$E$504,MATCH($F4428&amp;"",계정매핑!$A$5:$A$504,0))&amp;"","공통비"))</f>
        <v/>
      </c>
      <c r="AF4428" s="64">
        <f>IF($A4428="","",IF(AE4428="직접",IFERROR(INDEX(계정매핑!$F$5:$F$504,MATCH($F4428&amp;"",계정매핑!$A$5:$A$504,0))&amp;"","비귀속"),""))</f>
        <v/>
      </c>
      <c r="AG4428" s="96">
        <f>IF($A4428="",0,IF(AND(AE4428&lt;&gt;"직접",IFERROR(INDEX(계정매핑!$G$5:$G$504,MATCH($F4428&amp;"",계정매핑!$A$5:$A$504,0))&amp;"","")="유지비",COUNTIF(계정대체기준!$A$6:$A$15,$N4428)&gt;0),IFERROR(INDEX(계정대체기준!$E$6:$E$15,MATCH(VALUE($A4428&amp;""),계정대체기준!$D$6:$D$15,0)),0),0))</f>
        <v/>
      </c>
      <c r="AH4428" s="64">
        <f>IF($A4428="","",IF(AD4428=0,"",IF(OR(COUNTIF(계정대체기준!$A$77:$A$86,$N4428)&gt;0,ISNUMBER(MATCH($X4428,계정대체기준!$D$77:$D$86,0)),ISNUMBER(MATCH($F4428,계정대체기준!$D$77:$D$86,0))),"Y","N")))</f>
        <v/>
      </c>
    </row>
    <row r="4429">
      <c r="A4429" s="92" t="n">
        <v>2026</v>
      </c>
      <c r="B4429" s="92" t="n">
        <v>8</v>
      </c>
      <c r="C4429" s="92" t="inlineStr">
        <is>
          <t>5100001707</t>
        </is>
      </c>
      <c r="D4429" s="95" t="n">
        <v>46248</v>
      </c>
      <c r="E4429" s="92" t="inlineStr">
        <is>
          <t>KR</t>
        </is>
      </c>
      <c r="F4429" s="92" t="n">
        <v>62401000</v>
      </c>
      <c r="G4429" s="92" t="n">
        <v>1401</v>
      </c>
      <c r="H4429" s="93" t="n">
        <v>346000</v>
      </c>
      <c r="I4429" s="92" t="inlineStr">
        <is>
          <t>8월 인쇄물 제작 - S출판</t>
        </is>
      </c>
      <c r="J4429" s="92" t="inlineStr">
        <is>
          <t>V10015</t>
        </is>
      </c>
      <c r="K4429" s="92" t="inlineStr">
        <is>
          <t>S출판</t>
        </is>
      </c>
      <c r="M4429" s="9">
        <f>IF($A4429="","",VALUE($A4429&amp;"")*12+VALUE($B4429&amp;""))</f>
        <v/>
      </c>
      <c r="N4429" s="64">
        <f>IF($A4429="","",IFERROR(INDEX(부서매핑!$C$5:$C$504,MATCH($G4429&amp;"",부서매핑!$A$5:$A$504,0)),"미매핑"))</f>
        <v/>
      </c>
      <c r="O4429" s="9">
        <f>IF($A4429="","",N4429&amp;"|"&amp;$F4429)</f>
        <v/>
      </c>
      <c r="P4429" s="94">
        <f>IF($A4429="",0,$H4429*설정!$C$23)</f>
        <v/>
      </c>
      <c r="Q4429" s="64">
        <f>IF($A4429="","",IF(O4429&lt;&gt;원인분석!$C$9,"",IF(AND(M4429&gt;=원인분석!$C$10,M4429&lt;=원인분석!$C$11),"당기",IF(AND(M4429&gt;=원인분석!$C$12,M4429&lt;=원인분석!$C$13),"비교",""))))</f>
        <v/>
      </c>
      <c r="R4429" s="9">
        <f>IF(Q4429="","",$K4429&amp;"")</f>
        <v/>
      </c>
      <c r="S4429" s="9">
        <f>IF(Q4429="","",IF(MATCH(R4429,$R$5:$R$100000,0)=ROW()-4,ROW(),""))</f>
        <v/>
      </c>
      <c r="T4429" s="9">
        <f>IF(Q4429="당기",ABS(P4429)+ROW()/1000000000,"")</f>
        <v/>
      </c>
      <c r="U4429" s="9">
        <f>IF(Q4429="비교",ABS(P4429)+ROW()/1000000000,"")</f>
        <v/>
      </c>
      <c r="V4429" s="64">
        <f>IF($A4429="","",IF(COUNTIF(변동분석!$E$7:$E$506,O4429)&gt;0,"Y","N"))</f>
        <v/>
      </c>
      <c r="W4429" s="64">
        <f>IF($A4429="","",IFERROR(INDEX(계정매핑!$D$5:$D$504,MATCH($F4429&amp;"",계정매핑!$A$5:$A$504,0)),"미매핑"))</f>
        <v/>
      </c>
      <c r="X4429" s="9">
        <f>IF($A4429="","",$F4429&amp;"")</f>
        <v/>
      </c>
      <c r="Y4429" s="94">
        <f>IF($A4429="",0,IF(AE4429="직접",IF(AF4429="비귀속",$P4429,0),$P4429*(1-AG4429)*IFERROR(INDEX(계정대체기준!$F$20:$F$49,MATCH($N4429,계정대체기준!$A$20:$A$49,0)),1)))</f>
        <v/>
      </c>
      <c r="Z4429" s="94">
        <f>IF($A4429="",0,IF(AE4429="직접",IF(AF4429="신계약비",$P4429,0),$P4429*(1-AG4429)*IFERROR(INDEX(계정대체기준!$C$20:$C$49,MATCH($N4429,계정대체기준!$A$20:$A$49,0)),0)))</f>
        <v/>
      </c>
      <c r="AA4429" s="94">
        <f>IF($A4429="",0,IF(AE4429="직접",IF(OR(AF4429="유지비",AF4429="손해조사비"),$P4429,0),$P4429*(1-AG4429)*IFERROR(INDEX(계정대체기준!$D$20:$D$49,MATCH($N4429,계정대체기준!$A$20:$A$49,0)),0)))</f>
        <v/>
      </c>
      <c r="AB4429" s="94">
        <f>IF($A4429="",0,IF(AE4429="직접",IF(AF4429="수금비",$P4429,0),$P4429*(1-AG4429)*IFERROR(INDEX(계정대체기준!$E$20:$E$49,MATCH($N4429,계정대체기준!$A$20:$A$49,0)),0)))</f>
        <v/>
      </c>
      <c r="AC4429" s="9">
        <f>IF(AND($A4429&lt;&gt;"",M4429=설정!$C$20,Z4429&gt;0),Z4429+ROW()/1000000000,"")</f>
        <v/>
      </c>
      <c r="AD4429" s="94">
        <f>IF($A4429="",0,$P4429*AG4429)</f>
        <v/>
      </c>
      <c r="AE4429" s="64">
        <f>IF($A4429="","",IFERROR(INDEX(계정매핑!$E$5:$E$504,MATCH($F4429&amp;"",계정매핑!$A$5:$A$504,0))&amp;"","공통비"))</f>
        <v/>
      </c>
      <c r="AF4429" s="64">
        <f>IF($A4429="","",IF(AE4429="직접",IFERROR(INDEX(계정매핑!$F$5:$F$504,MATCH($F4429&amp;"",계정매핑!$A$5:$A$504,0))&amp;"","비귀속"),""))</f>
        <v/>
      </c>
      <c r="AG4429" s="96">
        <f>IF($A4429="",0,IF(AND(AE4429&lt;&gt;"직접",IFERROR(INDEX(계정매핑!$G$5:$G$504,MATCH($F4429&amp;"",계정매핑!$A$5:$A$504,0))&amp;"","")="유지비",COUNTIF(계정대체기준!$A$6:$A$15,$N4429)&gt;0),IFERROR(INDEX(계정대체기준!$E$6:$E$15,MATCH(VALUE($A4429&amp;""),계정대체기준!$D$6:$D$15,0)),0),0))</f>
        <v/>
      </c>
      <c r="AH4429" s="64">
        <f>IF($A4429="","",IF(AD4429=0,"",IF(OR(COUNTIF(계정대체기준!$A$77:$A$86,$N4429)&gt;0,ISNUMBER(MATCH($X4429,계정대체기준!$D$77:$D$86,0)),ISNUMBER(MATCH($F4429,계정대체기준!$D$77:$D$86,0))),"Y","N")))</f>
        <v/>
      </c>
    </row>
    <row r="4430">
      <c r="A4430" s="92" t="n">
        <v>2026</v>
      </c>
      <c r="B4430" s="92" t="n">
        <v>8</v>
      </c>
      <c r="C4430" s="92" t="inlineStr">
        <is>
          <t>5100001708</t>
        </is>
      </c>
      <c r="D4430" s="95" t="n">
        <v>46248</v>
      </c>
      <c r="E4430" s="92" t="inlineStr">
        <is>
          <t>KR</t>
        </is>
      </c>
      <c r="F4430" s="92" t="n">
        <v>62501000</v>
      </c>
      <c r="G4430" s="92" t="n">
        <v>1601</v>
      </c>
      <c r="H4430" s="93" t="n">
        <v>442000</v>
      </c>
      <c r="I4430" s="92" t="inlineStr">
        <is>
          <t>8월 회의 다과 - (법인카드)</t>
        </is>
      </c>
      <c r="J4430" s="92" t="inlineStr">
        <is>
          <t>V10010</t>
        </is>
      </c>
      <c r="K4430" s="92" t="inlineStr">
        <is>
          <t>(법인카드)</t>
        </is>
      </c>
      <c r="M4430" s="9">
        <f>IF($A4430="","",VALUE($A4430&amp;"")*12+VALUE($B4430&amp;""))</f>
        <v/>
      </c>
      <c r="N4430" s="64">
        <f>IF($A4430="","",IFERROR(INDEX(부서매핑!$C$5:$C$504,MATCH($G4430&amp;"",부서매핑!$A$5:$A$504,0)),"미매핑"))</f>
        <v/>
      </c>
      <c r="O4430" s="9">
        <f>IF($A4430="","",N4430&amp;"|"&amp;$F4430)</f>
        <v/>
      </c>
      <c r="P4430" s="94">
        <f>IF($A4430="",0,$H4430*설정!$C$23)</f>
        <v/>
      </c>
      <c r="Q4430" s="64">
        <f>IF($A4430="","",IF(O4430&lt;&gt;원인분석!$C$9,"",IF(AND(M4430&gt;=원인분석!$C$10,M4430&lt;=원인분석!$C$11),"당기",IF(AND(M4430&gt;=원인분석!$C$12,M4430&lt;=원인분석!$C$13),"비교",""))))</f>
        <v/>
      </c>
      <c r="R4430" s="9">
        <f>IF(Q4430="","",$K4430&amp;"")</f>
        <v/>
      </c>
      <c r="S4430" s="9">
        <f>IF(Q4430="","",IF(MATCH(R4430,$R$5:$R$100000,0)=ROW()-4,ROW(),""))</f>
        <v/>
      </c>
      <c r="T4430" s="9">
        <f>IF(Q4430="당기",ABS(P4430)+ROW()/1000000000,"")</f>
        <v/>
      </c>
      <c r="U4430" s="9">
        <f>IF(Q4430="비교",ABS(P4430)+ROW()/1000000000,"")</f>
        <v/>
      </c>
      <c r="V4430" s="64">
        <f>IF($A4430="","",IF(COUNTIF(변동분석!$E$7:$E$506,O4430)&gt;0,"Y","N"))</f>
        <v/>
      </c>
      <c r="W4430" s="64">
        <f>IF($A4430="","",IFERROR(INDEX(계정매핑!$D$5:$D$504,MATCH($F4430&amp;"",계정매핑!$A$5:$A$504,0)),"미매핑"))</f>
        <v/>
      </c>
      <c r="X4430" s="9">
        <f>IF($A4430="","",$F4430&amp;"")</f>
        <v/>
      </c>
      <c r="Y4430" s="94">
        <f>IF($A4430="",0,IF(AE4430="직접",IF(AF4430="비귀속",$P4430,0),$P4430*(1-AG4430)*IFERROR(INDEX(계정대체기준!$F$20:$F$49,MATCH($N4430,계정대체기준!$A$20:$A$49,0)),1)))</f>
        <v/>
      </c>
      <c r="Z4430" s="94">
        <f>IF($A4430="",0,IF(AE4430="직접",IF(AF4430="신계약비",$P4430,0),$P4430*(1-AG4430)*IFERROR(INDEX(계정대체기준!$C$20:$C$49,MATCH($N4430,계정대체기준!$A$20:$A$49,0)),0)))</f>
        <v/>
      </c>
      <c r="AA4430" s="94">
        <f>IF($A4430="",0,IF(AE4430="직접",IF(OR(AF4430="유지비",AF4430="손해조사비"),$P4430,0),$P4430*(1-AG4430)*IFERROR(INDEX(계정대체기준!$D$20:$D$49,MATCH($N4430,계정대체기준!$A$20:$A$49,0)),0)))</f>
        <v/>
      </c>
      <c r="AB4430" s="94">
        <f>IF($A4430="",0,IF(AE4430="직접",IF(AF4430="수금비",$P4430,0),$P4430*(1-AG4430)*IFERROR(INDEX(계정대체기준!$E$20:$E$49,MATCH($N4430,계정대체기준!$A$20:$A$49,0)),0)))</f>
        <v/>
      </c>
      <c r="AC4430" s="9">
        <f>IF(AND($A4430&lt;&gt;"",M4430=설정!$C$20,Z4430&gt;0),Z4430+ROW()/1000000000,"")</f>
        <v/>
      </c>
      <c r="AD4430" s="94">
        <f>IF($A4430="",0,$P4430*AG4430)</f>
        <v/>
      </c>
      <c r="AE4430" s="64">
        <f>IF($A4430="","",IFERROR(INDEX(계정매핑!$E$5:$E$504,MATCH($F4430&amp;"",계정매핑!$A$5:$A$504,0))&amp;"","공통비"))</f>
        <v/>
      </c>
      <c r="AF4430" s="64">
        <f>IF($A4430="","",IF(AE4430="직접",IFERROR(INDEX(계정매핑!$F$5:$F$504,MATCH($F4430&amp;"",계정매핑!$A$5:$A$504,0))&amp;"","비귀속"),""))</f>
        <v/>
      </c>
      <c r="AG4430" s="96">
        <f>IF($A4430="",0,IF(AND(AE4430&lt;&gt;"직접",IFERROR(INDEX(계정매핑!$G$5:$G$504,MATCH($F4430&amp;"",계정매핑!$A$5:$A$504,0))&amp;"","")="유지비",COUNTIF(계정대체기준!$A$6:$A$15,$N4430)&gt;0),IFERROR(INDEX(계정대체기준!$E$6:$E$15,MATCH(VALUE($A4430&amp;""),계정대체기준!$D$6:$D$15,0)),0),0))</f>
        <v/>
      </c>
      <c r="AH4430" s="64">
        <f>IF($A4430="","",IF(AD4430=0,"",IF(OR(COUNTIF(계정대체기준!$A$77:$A$86,$N4430)&gt;0,ISNUMBER(MATCH($X4430,계정대체기준!$D$77:$D$86,0)),ISNUMBER(MATCH($F4430,계정대체기준!$D$77:$D$86,0))),"Y","N")))</f>
        <v/>
      </c>
    </row>
    <row r="4431">
      <c r="A4431" s="92" t="n">
        <v>2026</v>
      </c>
      <c r="B4431" s="92" t="n">
        <v>8</v>
      </c>
      <c r="C4431" s="92" t="inlineStr">
        <is>
          <t>5100001709</t>
        </is>
      </c>
      <c r="D4431" s="95" t="n">
        <v>46248</v>
      </c>
      <c r="E4431" s="92" t="inlineStr">
        <is>
          <t>KR</t>
        </is>
      </c>
      <c r="F4431" s="92" t="n">
        <v>62701000</v>
      </c>
      <c r="G4431" s="92" t="n">
        <v>1501</v>
      </c>
      <c r="H4431" s="93" t="n">
        <v>29738000</v>
      </c>
      <c r="I4431" s="92" t="inlineStr">
        <is>
          <t>8월 광고 집행 - E미디어</t>
        </is>
      </c>
      <c r="J4431" s="92" t="inlineStr">
        <is>
          <t>V10033</t>
        </is>
      </c>
      <c r="K4431" s="92" t="inlineStr">
        <is>
          <t>E미디어</t>
        </is>
      </c>
      <c r="M4431" s="9">
        <f>IF($A4431="","",VALUE($A4431&amp;"")*12+VALUE($B4431&amp;""))</f>
        <v/>
      </c>
      <c r="N4431" s="64">
        <f>IF($A4431="","",IFERROR(INDEX(부서매핑!$C$5:$C$504,MATCH($G4431&amp;"",부서매핑!$A$5:$A$504,0)),"미매핑"))</f>
        <v/>
      </c>
      <c r="O4431" s="9">
        <f>IF($A4431="","",N4431&amp;"|"&amp;$F4431)</f>
        <v/>
      </c>
      <c r="P4431" s="94">
        <f>IF($A4431="",0,$H4431*설정!$C$23)</f>
        <v/>
      </c>
      <c r="Q4431" s="64">
        <f>IF($A4431="","",IF(O4431&lt;&gt;원인분석!$C$9,"",IF(AND(M4431&gt;=원인분석!$C$10,M4431&lt;=원인분석!$C$11),"당기",IF(AND(M4431&gt;=원인분석!$C$12,M4431&lt;=원인분석!$C$13),"비교",""))))</f>
        <v/>
      </c>
      <c r="R4431" s="9">
        <f>IF(Q4431="","",$K4431&amp;"")</f>
        <v/>
      </c>
      <c r="S4431" s="9">
        <f>IF(Q4431="","",IF(MATCH(R4431,$R$5:$R$100000,0)=ROW()-4,ROW(),""))</f>
        <v/>
      </c>
      <c r="T4431" s="9">
        <f>IF(Q4431="당기",ABS(P4431)+ROW()/1000000000,"")</f>
        <v/>
      </c>
      <c r="U4431" s="9">
        <f>IF(Q4431="비교",ABS(P4431)+ROW()/1000000000,"")</f>
        <v/>
      </c>
      <c r="V4431" s="64">
        <f>IF($A4431="","",IF(COUNTIF(변동분석!$E$7:$E$506,O4431)&gt;0,"Y","N"))</f>
        <v/>
      </c>
      <c r="W4431" s="64">
        <f>IF($A4431="","",IFERROR(INDEX(계정매핑!$D$5:$D$504,MATCH($F4431&amp;"",계정매핑!$A$5:$A$504,0)),"미매핑"))</f>
        <v/>
      </c>
      <c r="X4431" s="9">
        <f>IF($A4431="","",$F4431&amp;"")</f>
        <v/>
      </c>
      <c r="Y4431" s="94">
        <f>IF($A4431="",0,IF(AE4431="직접",IF(AF4431="비귀속",$P4431,0),$P4431*(1-AG4431)*IFERROR(INDEX(계정대체기준!$F$20:$F$49,MATCH($N4431,계정대체기준!$A$20:$A$49,0)),1)))</f>
        <v/>
      </c>
      <c r="Z4431" s="94">
        <f>IF($A4431="",0,IF(AE4431="직접",IF(AF4431="신계약비",$P4431,0),$P4431*(1-AG4431)*IFERROR(INDEX(계정대체기준!$C$20:$C$49,MATCH($N4431,계정대체기준!$A$20:$A$49,0)),0)))</f>
        <v/>
      </c>
      <c r="AA4431" s="94">
        <f>IF($A4431="",0,IF(AE4431="직접",IF(OR(AF4431="유지비",AF4431="손해조사비"),$P4431,0),$P4431*(1-AG4431)*IFERROR(INDEX(계정대체기준!$D$20:$D$49,MATCH($N4431,계정대체기준!$A$20:$A$49,0)),0)))</f>
        <v/>
      </c>
      <c r="AB4431" s="94">
        <f>IF($A4431="",0,IF(AE4431="직접",IF(AF4431="수금비",$P4431,0),$P4431*(1-AG4431)*IFERROR(INDEX(계정대체기준!$E$20:$E$49,MATCH($N4431,계정대체기준!$A$20:$A$49,0)),0)))</f>
        <v/>
      </c>
      <c r="AC4431" s="9">
        <f>IF(AND($A4431&lt;&gt;"",M4431=설정!$C$20,Z4431&gt;0),Z4431+ROW()/1000000000,"")</f>
        <v/>
      </c>
      <c r="AD4431" s="94">
        <f>IF($A4431="",0,$P4431*AG4431)</f>
        <v/>
      </c>
      <c r="AE4431" s="64">
        <f>IF($A4431="","",IFERROR(INDEX(계정매핑!$E$5:$E$504,MATCH($F4431&amp;"",계정매핑!$A$5:$A$504,0))&amp;"","공통비"))</f>
        <v/>
      </c>
      <c r="AF4431" s="64">
        <f>IF($A4431="","",IF(AE4431="직접",IFERROR(INDEX(계정매핑!$F$5:$F$504,MATCH($F4431&amp;"",계정매핑!$A$5:$A$504,0))&amp;"","비귀속"),""))</f>
        <v/>
      </c>
      <c r="AG4431" s="96">
        <f>IF($A4431="",0,IF(AND(AE4431&lt;&gt;"직접",IFERROR(INDEX(계정매핑!$G$5:$G$504,MATCH($F4431&amp;"",계정매핑!$A$5:$A$504,0))&amp;"","")="유지비",COUNTIF(계정대체기준!$A$6:$A$15,$N4431)&gt;0),IFERROR(INDEX(계정대체기준!$E$6:$E$15,MATCH(VALUE($A4431&amp;""),계정대체기준!$D$6:$D$15,0)),0),0))</f>
        <v/>
      </c>
      <c r="AH4431" s="64">
        <f>IF($A4431="","",IF(AD4431=0,"",IF(OR(COUNTIF(계정대체기준!$A$77:$A$86,$N4431)&gt;0,ISNUMBER(MATCH($X4431,계정대체기준!$D$77:$D$86,0)),ISNUMBER(MATCH($F4431,계정대체기준!$D$77:$D$86,0))),"Y","N")))</f>
        <v/>
      </c>
    </row>
    <row r="4432">
      <c r="A4432" s="92" t="n">
        <v>2026</v>
      </c>
      <c r="B4432" s="92" t="n">
        <v>8</v>
      </c>
      <c r="C4432" s="92" t="inlineStr">
        <is>
          <t>5100001710</t>
        </is>
      </c>
      <c r="D4432" s="95" t="n">
        <v>46248</v>
      </c>
      <c r="E4432" s="92" t="inlineStr">
        <is>
          <t>KR</t>
        </is>
      </c>
      <c r="F4432" s="92" t="n">
        <v>62901000</v>
      </c>
      <c r="G4432" s="92" t="n">
        <v>1201</v>
      </c>
      <c r="H4432" s="93" t="n">
        <v>8923000</v>
      </c>
      <c r="I4432" s="92" t="inlineStr">
        <is>
          <t>8월 자문 수수료 - K회계법인</t>
        </is>
      </c>
      <c r="J4432" s="92" t="inlineStr">
        <is>
          <t>V10011</t>
        </is>
      </c>
      <c r="K4432" s="92" t="inlineStr">
        <is>
          <t>K회계법인</t>
        </is>
      </c>
      <c r="M4432" s="9">
        <f>IF($A4432="","",VALUE($A4432&amp;"")*12+VALUE($B4432&amp;""))</f>
        <v/>
      </c>
      <c r="N4432" s="64">
        <f>IF($A4432="","",IFERROR(INDEX(부서매핑!$C$5:$C$504,MATCH($G4432&amp;"",부서매핑!$A$5:$A$504,0)),"미매핑"))</f>
        <v/>
      </c>
      <c r="O4432" s="9">
        <f>IF($A4432="","",N4432&amp;"|"&amp;$F4432)</f>
        <v/>
      </c>
      <c r="P4432" s="94">
        <f>IF($A4432="",0,$H4432*설정!$C$23)</f>
        <v/>
      </c>
      <c r="Q4432" s="64">
        <f>IF($A4432="","",IF(O4432&lt;&gt;원인분석!$C$9,"",IF(AND(M4432&gt;=원인분석!$C$10,M4432&lt;=원인분석!$C$11),"당기",IF(AND(M4432&gt;=원인분석!$C$12,M4432&lt;=원인분석!$C$13),"비교",""))))</f>
        <v/>
      </c>
      <c r="R4432" s="9">
        <f>IF(Q4432="","",$K4432&amp;"")</f>
        <v/>
      </c>
      <c r="S4432" s="9">
        <f>IF(Q4432="","",IF(MATCH(R4432,$R$5:$R$100000,0)=ROW()-4,ROW(),""))</f>
        <v/>
      </c>
      <c r="T4432" s="9">
        <f>IF(Q4432="당기",ABS(P4432)+ROW()/1000000000,"")</f>
        <v/>
      </c>
      <c r="U4432" s="9">
        <f>IF(Q4432="비교",ABS(P4432)+ROW()/1000000000,"")</f>
        <v/>
      </c>
      <c r="V4432" s="64">
        <f>IF($A4432="","",IF(COUNTIF(변동분석!$E$7:$E$506,O4432)&gt;0,"Y","N"))</f>
        <v/>
      </c>
      <c r="W4432" s="64">
        <f>IF($A4432="","",IFERROR(INDEX(계정매핑!$D$5:$D$504,MATCH($F4432&amp;"",계정매핑!$A$5:$A$504,0)),"미매핑"))</f>
        <v/>
      </c>
      <c r="X4432" s="9">
        <f>IF($A4432="","",$F4432&amp;"")</f>
        <v/>
      </c>
      <c r="Y4432" s="94">
        <f>IF($A4432="",0,IF(AE4432="직접",IF(AF4432="비귀속",$P4432,0),$P4432*(1-AG4432)*IFERROR(INDEX(계정대체기준!$F$20:$F$49,MATCH($N4432,계정대체기준!$A$20:$A$49,0)),1)))</f>
        <v/>
      </c>
      <c r="Z4432" s="94">
        <f>IF($A4432="",0,IF(AE4432="직접",IF(AF4432="신계약비",$P4432,0),$P4432*(1-AG4432)*IFERROR(INDEX(계정대체기준!$C$20:$C$49,MATCH($N4432,계정대체기준!$A$20:$A$49,0)),0)))</f>
        <v/>
      </c>
      <c r="AA4432" s="94">
        <f>IF($A4432="",0,IF(AE4432="직접",IF(OR(AF4432="유지비",AF4432="손해조사비"),$P4432,0),$P4432*(1-AG4432)*IFERROR(INDEX(계정대체기준!$D$20:$D$49,MATCH($N4432,계정대체기준!$A$20:$A$49,0)),0)))</f>
        <v/>
      </c>
      <c r="AB4432" s="94">
        <f>IF($A4432="",0,IF(AE4432="직접",IF(AF4432="수금비",$P4432,0),$P4432*(1-AG4432)*IFERROR(INDEX(계정대체기준!$E$20:$E$49,MATCH($N4432,계정대체기준!$A$20:$A$49,0)),0)))</f>
        <v/>
      </c>
      <c r="AC4432" s="9">
        <f>IF(AND($A4432&lt;&gt;"",M4432=설정!$C$20,Z4432&gt;0),Z4432+ROW()/1000000000,"")</f>
        <v/>
      </c>
      <c r="AD4432" s="94">
        <f>IF($A4432="",0,$P4432*AG4432)</f>
        <v/>
      </c>
      <c r="AE4432" s="64">
        <f>IF($A4432="","",IFERROR(INDEX(계정매핑!$E$5:$E$504,MATCH($F4432&amp;"",계정매핑!$A$5:$A$504,0))&amp;"","공통비"))</f>
        <v/>
      </c>
      <c r="AF4432" s="64">
        <f>IF($A4432="","",IF(AE4432="직접",IFERROR(INDEX(계정매핑!$F$5:$F$504,MATCH($F4432&amp;"",계정매핑!$A$5:$A$504,0))&amp;"","비귀속"),""))</f>
        <v/>
      </c>
      <c r="AG4432" s="96">
        <f>IF($A4432="",0,IF(AND(AE4432&lt;&gt;"직접",IFERROR(INDEX(계정매핑!$G$5:$G$504,MATCH($F4432&amp;"",계정매핑!$A$5:$A$504,0))&amp;"","")="유지비",COUNTIF(계정대체기준!$A$6:$A$15,$N4432)&gt;0),IFERROR(INDEX(계정대체기준!$E$6:$E$15,MATCH(VALUE($A4432&amp;""),계정대체기준!$D$6:$D$15,0)),0),0))</f>
        <v/>
      </c>
      <c r="AH4432" s="64">
        <f>IF($A4432="","",IF(AD4432=0,"",IF(OR(COUNTIF(계정대체기준!$A$77:$A$86,$N4432)&gt;0,ISNUMBER(MATCH($X4432,계정대체기준!$D$77:$D$86,0)),ISNUMBER(MATCH($F4432,계정대체기준!$D$77:$D$86,0))),"Y","N")))</f>
        <v/>
      </c>
    </row>
    <row r="4433">
      <c r="A4433" s="92" t="n">
        <v>2026</v>
      </c>
      <c r="B4433" s="92" t="n">
        <v>8</v>
      </c>
      <c r="C4433" s="92" t="inlineStr">
        <is>
          <t>5100001711</t>
        </is>
      </c>
      <c r="D4433" s="95" t="n">
        <v>46248</v>
      </c>
      <c r="E4433" s="92" t="inlineStr">
        <is>
          <t>KR</t>
        </is>
      </c>
      <c r="F4433" s="92" t="n">
        <v>62901000</v>
      </c>
      <c r="G4433" s="92" t="n">
        <v>1401</v>
      </c>
      <c r="H4433" s="93" t="n">
        <v>6248000</v>
      </c>
      <c r="I4433" s="92" t="inlineStr">
        <is>
          <t>8월 자문 수수료 - W컨설팅</t>
        </is>
      </c>
      <c r="J4433" s="92" t="inlineStr">
        <is>
          <t>V10006</t>
        </is>
      </c>
      <c r="K4433" s="92" t="inlineStr">
        <is>
          <t>W컨설팅</t>
        </is>
      </c>
      <c r="M4433" s="9">
        <f>IF($A4433="","",VALUE($A4433&amp;"")*12+VALUE($B4433&amp;""))</f>
        <v/>
      </c>
      <c r="N4433" s="64">
        <f>IF($A4433="","",IFERROR(INDEX(부서매핑!$C$5:$C$504,MATCH($G4433&amp;"",부서매핑!$A$5:$A$504,0)),"미매핑"))</f>
        <v/>
      </c>
      <c r="O4433" s="9">
        <f>IF($A4433="","",N4433&amp;"|"&amp;$F4433)</f>
        <v/>
      </c>
      <c r="P4433" s="94">
        <f>IF($A4433="",0,$H4433*설정!$C$23)</f>
        <v/>
      </c>
      <c r="Q4433" s="64">
        <f>IF($A4433="","",IF(O4433&lt;&gt;원인분석!$C$9,"",IF(AND(M4433&gt;=원인분석!$C$10,M4433&lt;=원인분석!$C$11),"당기",IF(AND(M4433&gt;=원인분석!$C$12,M4433&lt;=원인분석!$C$13),"비교",""))))</f>
        <v/>
      </c>
      <c r="R4433" s="9">
        <f>IF(Q4433="","",$K4433&amp;"")</f>
        <v/>
      </c>
      <c r="S4433" s="9">
        <f>IF(Q4433="","",IF(MATCH(R4433,$R$5:$R$100000,0)=ROW()-4,ROW(),""))</f>
        <v/>
      </c>
      <c r="T4433" s="9">
        <f>IF(Q4433="당기",ABS(P4433)+ROW()/1000000000,"")</f>
        <v/>
      </c>
      <c r="U4433" s="9">
        <f>IF(Q4433="비교",ABS(P4433)+ROW()/1000000000,"")</f>
        <v/>
      </c>
      <c r="V4433" s="64">
        <f>IF($A4433="","",IF(COUNTIF(변동분석!$E$7:$E$506,O4433)&gt;0,"Y","N"))</f>
        <v/>
      </c>
      <c r="W4433" s="64">
        <f>IF($A4433="","",IFERROR(INDEX(계정매핑!$D$5:$D$504,MATCH($F4433&amp;"",계정매핑!$A$5:$A$504,0)),"미매핑"))</f>
        <v/>
      </c>
      <c r="X4433" s="9">
        <f>IF($A4433="","",$F4433&amp;"")</f>
        <v/>
      </c>
      <c r="Y4433" s="94">
        <f>IF($A4433="",0,IF(AE4433="직접",IF(AF4433="비귀속",$P4433,0),$P4433*(1-AG4433)*IFERROR(INDEX(계정대체기준!$F$20:$F$49,MATCH($N4433,계정대체기준!$A$20:$A$49,0)),1)))</f>
        <v/>
      </c>
      <c r="Z4433" s="94">
        <f>IF($A4433="",0,IF(AE4433="직접",IF(AF4433="신계약비",$P4433,0),$P4433*(1-AG4433)*IFERROR(INDEX(계정대체기준!$C$20:$C$49,MATCH($N4433,계정대체기준!$A$20:$A$49,0)),0)))</f>
        <v/>
      </c>
      <c r="AA4433" s="94">
        <f>IF($A4433="",0,IF(AE4433="직접",IF(OR(AF4433="유지비",AF4433="손해조사비"),$P4433,0),$P4433*(1-AG4433)*IFERROR(INDEX(계정대체기준!$D$20:$D$49,MATCH($N4433,계정대체기준!$A$20:$A$49,0)),0)))</f>
        <v/>
      </c>
      <c r="AB4433" s="94">
        <f>IF($A4433="",0,IF(AE4433="직접",IF(AF4433="수금비",$P4433,0),$P4433*(1-AG4433)*IFERROR(INDEX(계정대체기준!$E$20:$E$49,MATCH($N4433,계정대체기준!$A$20:$A$49,0)),0)))</f>
        <v/>
      </c>
      <c r="AC4433" s="9">
        <f>IF(AND($A4433&lt;&gt;"",M4433=설정!$C$20,Z4433&gt;0),Z4433+ROW()/1000000000,"")</f>
        <v/>
      </c>
      <c r="AD4433" s="94">
        <f>IF($A4433="",0,$P4433*AG4433)</f>
        <v/>
      </c>
      <c r="AE4433" s="64">
        <f>IF($A4433="","",IFERROR(INDEX(계정매핑!$E$5:$E$504,MATCH($F4433&amp;"",계정매핑!$A$5:$A$504,0))&amp;"","공통비"))</f>
        <v/>
      </c>
      <c r="AF4433" s="64">
        <f>IF($A4433="","",IF(AE4433="직접",IFERROR(INDEX(계정매핑!$F$5:$F$504,MATCH($F4433&amp;"",계정매핑!$A$5:$A$504,0))&amp;"","비귀속"),""))</f>
        <v/>
      </c>
      <c r="AG4433" s="96">
        <f>IF($A4433="",0,IF(AND(AE4433&lt;&gt;"직접",IFERROR(INDEX(계정매핑!$G$5:$G$504,MATCH($F4433&amp;"",계정매핑!$A$5:$A$504,0))&amp;"","")="유지비",COUNTIF(계정대체기준!$A$6:$A$15,$N4433)&gt;0),IFERROR(INDEX(계정대체기준!$E$6:$E$15,MATCH(VALUE($A4433&amp;""),계정대체기준!$D$6:$D$15,0)),0),0))</f>
        <v/>
      </c>
      <c r="AH4433" s="64">
        <f>IF($A4433="","",IF(AD4433=0,"",IF(OR(COUNTIF(계정대체기준!$A$77:$A$86,$N4433)&gt;0,ISNUMBER(MATCH($X4433,계정대체기준!$D$77:$D$86,0)),ISNUMBER(MATCH($F4433,계정대체기준!$D$77:$D$86,0))),"Y","N")))</f>
        <v/>
      </c>
    </row>
    <row r="4434">
      <c r="A4434" s="92" t="n">
        <v>2026</v>
      </c>
      <c r="B4434" s="92" t="n">
        <v>8</v>
      </c>
      <c r="C4434" s="92" t="inlineStr">
        <is>
          <t>5100001712</t>
        </is>
      </c>
      <c r="D4434" s="95" t="n">
        <v>46248</v>
      </c>
      <c r="E4434" s="92" t="inlineStr">
        <is>
          <t>KR</t>
        </is>
      </c>
      <c r="F4434" s="92" t="n">
        <v>63002000</v>
      </c>
      <c r="G4434" s="92" t="n">
        <v>1951</v>
      </c>
      <c r="H4434" s="93" t="n">
        <v>5203000</v>
      </c>
      <c r="I4434" s="92" t="inlineStr">
        <is>
          <t>8월 클라우드 사용료 - C클라우드</t>
        </is>
      </c>
      <c r="J4434" s="92" t="inlineStr">
        <is>
          <t>V10026</t>
        </is>
      </c>
      <c r="K4434" s="92" t="inlineStr">
        <is>
          <t>C클라우드</t>
        </is>
      </c>
      <c r="M4434" s="9">
        <f>IF($A4434="","",VALUE($A4434&amp;"")*12+VALUE($B4434&amp;""))</f>
        <v/>
      </c>
      <c r="N4434" s="64">
        <f>IF($A4434="","",IFERROR(INDEX(부서매핑!$C$5:$C$504,MATCH($G4434&amp;"",부서매핑!$A$5:$A$504,0)),"미매핑"))</f>
        <v/>
      </c>
      <c r="O4434" s="9">
        <f>IF($A4434="","",N4434&amp;"|"&amp;$F4434)</f>
        <v/>
      </c>
      <c r="P4434" s="94">
        <f>IF($A4434="",0,$H4434*설정!$C$23)</f>
        <v/>
      </c>
      <c r="Q4434" s="64">
        <f>IF($A4434="","",IF(O4434&lt;&gt;원인분석!$C$9,"",IF(AND(M4434&gt;=원인분석!$C$10,M4434&lt;=원인분석!$C$11),"당기",IF(AND(M4434&gt;=원인분석!$C$12,M4434&lt;=원인분석!$C$13),"비교",""))))</f>
        <v/>
      </c>
      <c r="R4434" s="9">
        <f>IF(Q4434="","",$K4434&amp;"")</f>
        <v/>
      </c>
      <c r="S4434" s="9">
        <f>IF(Q4434="","",IF(MATCH(R4434,$R$5:$R$100000,0)=ROW()-4,ROW(),""))</f>
        <v/>
      </c>
      <c r="T4434" s="9">
        <f>IF(Q4434="당기",ABS(P4434)+ROW()/1000000000,"")</f>
        <v/>
      </c>
      <c r="U4434" s="9">
        <f>IF(Q4434="비교",ABS(P4434)+ROW()/1000000000,"")</f>
        <v/>
      </c>
      <c r="V4434" s="64">
        <f>IF($A4434="","",IF(COUNTIF(변동분석!$E$7:$E$506,O4434)&gt;0,"Y","N"))</f>
        <v/>
      </c>
      <c r="W4434" s="64">
        <f>IF($A4434="","",IFERROR(INDEX(계정매핑!$D$5:$D$504,MATCH($F4434&amp;"",계정매핑!$A$5:$A$504,0)),"미매핑"))</f>
        <v/>
      </c>
      <c r="X4434" s="9">
        <f>IF($A4434="","",$F4434&amp;"")</f>
        <v/>
      </c>
      <c r="Y4434" s="94">
        <f>IF($A4434="",0,IF(AE4434="직접",IF(AF4434="비귀속",$P4434,0),$P4434*(1-AG4434)*IFERROR(INDEX(계정대체기준!$F$20:$F$49,MATCH($N4434,계정대체기준!$A$20:$A$49,0)),1)))</f>
        <v/>
      </c>
      <c r="Z4434" s="94">
        <f>IF($A4434="",0,IF(AE4434="직접",IF(AF4434="신계약비",$P4434,0),$P4434*(1-AG4434)*IFERROR(INDEX(계정대체기준!$C$20:$C$49,MATCH($N4434,계정대체기준!$A$20:$A$49,0)),0)))</f>
        <v/>
      </c>
      <c r="AA4434" s="94">
        <f>IF($A4434="",0,IF(AE4434="직접",IF(OR(AF4434="유지비",AF4434="손해조사비"),$P4434,0),$P4434*(1-AG4434)*IFERROR(INDEX(계정대체기준!$D$20:$D$49,MATCH($N4434,계정대체기준!$A$20:$A$49,0)),0)))</f>
        <v/>
      </c>
      <c r="AB4434" s="94">
        <f>IF($A4434="",0,IF(AE4434="직접",IF(AF4434="수금비",$P4434,0),$P4434*(1-AG4434)*IFERROR(INDEX(계정대체기준!$E$20:$E$49,MATCH($N4434,계정대체기준!$A$20:$A$49,0)),0)))</f>
        <v/>
      </c>
      <c r="AC4434" s="9">
        <f>IF(AND($A4434&lt;&gt;"",M4434=설정!$C$20,Z4434&gt;0),Z4434+ROW()/1000000000,"")</f>
        <v/>
      </c>
      <c r="AD4434" s="94">
        <f>IF($A4434="",0,$P4434*AG4434)</f>
        <v/>
      </c>
      <c r="AE4434" s="64">
        <f>IF($A4434="","",IFERROR(INDEX(계정매핑!$E$5:$E$504,MATCH($F4434&amp;"",계정매핑!$A$5:$A$504,0))&amp;"","공통비"))</f>
        <v/>
      </c>
      <c r="AF4434" s="64">
        <f>IF($A4434="","",IF(AE4434="직접",IFERROR(INDEX(계정매핑!$F$5:$F$504,MATCH($F4434&amp;"",계정매핑!$A$5:$A$504,0))&amp;"","비귀속"),""))</f>
        <v/>
      </c>
      <c r="AG4434" s="96">
        <f>IF($A4434="",0,IF(AND(AE4434&lt;&gt;"직접",IFERROR(INDEX(계정매핑!$G$5:$G$504,MATCH($F4434&amp;"",계정매핑!$A$5:$A$504,0))&amp;"","")="유지비",COUNTIF(계정대체기준!$A$6:$A$15,$N4434)&gt;0),IFERROR(INDEX(계정대체기준!$E$6:$E$15,MATCH(VALUE($A4434&amp;""),계정대체기준!$D$6:$D$15,0)),0),0))</f>
        <v/>
      </c>
      <c r="AH4434" s="64">
        <f>IF($A4434="","",IF(AD4434=0,"",IF(OR(COUNTIF(계정대체기준!$A$77:$A$86,$N4434)&gt;0,ISNUMBER(MATCH($X4434,계정대체기준!$D$77:$D$86,0)),ISNUMBER(MATCH($F4434,계정대체기준!$D$77:$D$86,0))),"Y","N")))</f>
        <v/>
      </c>
    </row>
    <row r="4435">
      <c r="A4435" s="92" t="n">
        <v>2026</v>
      </c>
      <c r="B4435" s="92" t="n">
        <v>8</v>
      </c>
      <c r="C4435" s="92" t="inlineStr">
        <is>
          <t>5100001713</t>
        </is>
      </c>
      <c r="D4435" s="95" t="n">
        <v>46248</v>
      </c>
      <c r="E4435" s="92" t="inlineStr">
        <is>
          <t>KR</t>
        </is>
      </c>
      <c r="F4435" s="92" t="n">
        <v>63101000</v>
      </c>
      <c r="G4435" s="92" t="n">
        <v>1601</v>
      </c>
      <c r="H4435" s="93" t="n">
        <v>4957000</v>
      </c>
      <c r="I4435" s="92" t="inlineStr">
        <is>
          <t>8월 사무실 임차료 - AA빌딩</t>
        </is>
      </c>
      <c r="J4435" s="92" t="inlineStr">
        <is>
          <t>V10007</t>
        </is>
      </c>
      <c r="K4435" s="92" t="inlineStr">
        <is>
          <t>AA빌딩</t>
        </is>
      </c>
      <c r="M4435" s="9">
        <f>IF($A4435="","",VALUE($A4435&amp;"")*12+VALUE($B4435&amp;""))</f>
        <v/>
      </c>
      <c r="N4435" s="64">
        <f>IF($A4435="","",IFERROR(INDEX(부서매핑!$C$5:$C$504,MATCH($G4435&amp;"",부서매핑!$A$5:$A$504,0)),"미매핑"))</f>
        <v/>
      </c>
      <c r="O4435" s="9">
        <f>IF($A4435="","",N4435&amp;"|"&amp;$F4435)</f>
        <v/>
      </c>
      <c r="P4435" s="94">
        <f>IF($A4435="",0,$H4435*설정!$C$23)</f>
        <v/>
      </c>
      <c r="Q4435" s="64">
        <f>IF($A4435="","",IF(O4435&lt;&gt;원인분석!$C$9,"",IF(AND(M4435&gt;=원인분석!$C$10,M4435&lt;=원인분석!$C$11),"당기",IF(AND(M4435&gt;=원인분석!$C$12,M4435&lt;=원인분석!$C$13),"비교",""))))</f>
        <v/>
      </c>
      <c r="R4435" s="9">
        <f>IF(Q4435="","",$K4435&amp;"")</f>
        <v/>
      </c>
      <c r="S4435" s="9">
        <f>IF(Q4435="","",IF(MATCH(R4435,$R$5:$R$100000,0)=ROW()-4,ROW(),""))</f>
        <v/>
      </c>
      <c r="T4435" s="9">
        <f>IF(Q4435="당기",ABS(P4435)+ROW()/1000000000,"")</f>
        <v/>
      </c>
      <c r="U4435" s="9">
        <f>IF(Q4435="비교",ABS(P4435)+ROW()/1000000000,"")</f>
        <v/>
      </c>
      <c r="V4435" s="64">
        <f>IF($A4435="","",IF(COUNTIF(변동분석!$E$7:$E$506,O4435)&gt;0,"Y","N"))</f>
        <v/>
      </c>
      <c r="W4435" s="64">
        <f>IF($A4435="","",IFERROR(INDEX(계정매핑!$D$5:$D$504,MATCH($F4435&amp;"",계정매핑!$A$5:$A$504,0)),"미매핑"))</f>
        <v/>
      </c>
      <c r="X4435" s="9">
        <f>IF($A4435="","",$F4435&amp;"")</f>
        <v/>
      </c>
      <c r="Y4435" s="94">
        <f>IF($A4435="",0,IF(AE4435="직접",IF(AF4435="비귀속",$P4435,0),$P4435*(1-AG4435)*IFERROR(INDEX(계정대체기준!$F$20:$F$49,MATCH($N4435,계정대체기준!$A$20:$A$49,0)),1)))</f>
        <v/>
      </c>
      <c r="Z4435" s="94">
        <f>IF($A4435="",0,IF(AE4435="직접",IF(AF4435="신계약비",$P4435,0),$P4435*(1-AG4435)*IFERROR(INDEX(계정대체기준!$C$20:$C$49,MATCH($N4435,계정대체기준!$A$20:$A$49,0)),0)))</f>
        <v/>
      </c>
      <c r="AA4435" s="94">
        <f>IF($A4435="",0,IF(AE4435="직접",IF(OR(AF4435="유지비",AF4435="손해조사비"),$P4435,0),$P4435*(1-AG4435)*IFERROR(INDEX(계정대체기준!$D$20:$D$49,MATCH($N4435,계정대체기준!$A$20:$A$49,0)),0)))</f>
        <v/>
      </c>
      <c r="AB4435" s="94">
        <f>IF($A4435="",0,IF(AE4435="직접",IF(AF4435="수금비",$P4435,0),$P4435*(1-AG4435)*IFERROR(INDEX(계정대체기준!$E$20:$E$49,MATCH($N4435,계정대체기준!$A$20:$A$49,0)),0)))</f>
        <v/>
      </c>
      <c r="AC4435" s="9">
        <f>IF(AND($A4435&lt;&gt;"",M4435=설정!$C$20,Z4435&gt;0),Z4435+ROW()/1000000000,"")</f>
        <v/>
      </c>
      <c r="AD4435" s="94">
        <f>IF($A4435="",0,$P4435*AG4435)</f>
        <v/>
      </c>
      <c r="AE4435" s="64">
        <f>IF($A4435="","",IFERROR(INDEX(계정매핑!$E$5:$E$504,MATCH($F4435&amp;"",계정매핑!$A$5:$A$504,0))&amp;"","공통비"))</f>
        <v/>
      </c>
      <c r="AF4435" s="64">
        <f>IF($A4435="","",IF(AE4435="직접",IFERROR(INDEX(계정매핑!$F$5:$F$504,MATCH($F4435&amp;"",계정매핑!$A$5:$A$504,0))&amp;"","비귀속"),""))</f>
        <v/>
      </c>
      <c r="AG4435" s="96">
        <f>IF($A4435="",0,IF(AND(AE4435&lt;&gt;"직접",IFERROR(INDEX(계정매핑!$G$5:$G$504,MATCH($F4435&amp;"",계정매핑!$A$5:$A$504,0))&amp;"","")="유지비",COUNTIF(계정대체기준!$A$6:$A$15,$N4435)&gt;0),IFERROR(INDEX(계정대체기준!$E$6:$E$15,MATCH(VALUE($A4435&amp;""),계정대체기준!$D$6:$D$15,0)),0),0))</f>
        <v/>
      </c>
      <c r="AH4435" s="64">
        <f>IF($A4435="","",IF(AD4435=0,"",IF(OR(COUNTIF(계정대체기준!$A$77:$A$86,$N4435)&gt;0,ISNUMBER(MATCH($X4435,계정대체기준!$D$77:$D$86,0)),ISNUMBER(MATCH($F4435,계정대체기준!$D$77:$D$86,0))),"Y","N")))</f>
        <v/>
      </c>
    </row>
    <row r="4436">
      <c r="A4436" s="92" t="n">
        <v>2026</v>
      </c>
      <c r="B4436" s="92" t="n">
        <v>8</v>
      </c>
      <c r="C4436" s="92" t="inlineStr">
        <is>
          <t>5100001714</t>
        </is>
      </c>
      <c r="D4436" s="95" t="n">
        <v>46249</v>
      </c>
      <c r="E4436" s="92" t="inlineStr">
        <is>
          <t>KR</t>
        </is>
      </c>
      <c r="F4436" s="92" t="n">
        <v>62101000</v>
      </c>
      <c r="G4436" s="92" t="n">
        <v>1201</v>
      </c>
      <c r="H4436" s="93" t="n">
        <v>335000</v>
      </c>
      <c r="I4436" s="92" t="inlineStr">
        <is>
          <t>8월 국내출장 - M항공</t>
        </is>
      </c>
      <c r="J4436" s="92" t="inlineStr">
        <is>
          <t>V10001</t>
        </is>
      </c>
      <c r="K4436" s="92" t="inlineStr">
        <is>
          <t>M항공</t>
        </is>
      </c>
      <c r="M4436" s="9">
        <f>IF($A4436="","",VALUE($A4436&amp;"")*12+VALUE($B4436&amp;""))</f>
        <v/>
      </c>
      <c r="N4436" s="64">
        <f>IF($A4436="","",IFERROR(INDEX(부서매핑!$C$5:$C$504,MATCH($G4436&amp;"",부서매핑!$A$5:$A$504,0)),"미매핑"))</f>
        <v/>
      </c>
      <c r="O4436" s="9">
        <f>IF($A4436="","",N4436&amp;"|"&amp;$F4436)</f>
        <v/>
      </c>
      <c r="P4436" s="94">
        <f>IF($A4436="",0,$H4436*설정!$C$23)</f>
        <v/>
      </c>
      <c r="Q4436" s="64">
        <f>IF($A4436="","",IF(O4436&lt;&gt;원인분석!$C$9,"",IF(AND(M4436&gt;=원인분석!$C$10,M4436&lt;=원인분석!$C$11),"당기",IF(AND(M4436&gt;=원인분석!$C$12,M4436&lt;=원인분석!$C$13),"비교",""))))</f>
        <v/>
      </c>
      <c r="R4436" s="9">
        <f>IF(Q4436="","",$K4436&amp;"")</f>
        <v/>
      </c>
      <c r="S4436" s="9">
        <f>IF(Q4436="","",IF(MATCH(R4436,$R$5:$R$100000,0)=ROW()-4,ROW(),""))</f>
        <v/>
      </c>
      <c r="T4436" s="9">
        <f>IF(Q4436="당기",ABS(P4436)+ROW()/1000000000,"")</f>
        <v/>
      </c>
      <c r="U4436" s="9">
        <f>IF(Q4436="비교",ABS(P4436)+ROW()/1000000000,"")</f>
        <v/>
      </c>
      <c r="V4436" s="64">
        <f>IF($A4436="","",IF(COUNTIF(변동분석!$E$7:$E$506,O4436)&gt;0,"Y","N"))</f>
        <v/>
      </c>
      <c r="W4436" s="64">
        <f>IF($A4436="","",IFERROR(INDEX(계정매핑!$D$5:$D$504,MATCH($F4436&amp;"",계정매핑!$A$5:$A$504,0)),"미매핑"))</f>
        <v/>
      </c>
      <c r="X4436" s="9">
        <f>IF($A4436="","",$F4436&amp;"")</f>
        <v/>
      </c>
      <c r="Y4436" s="94">
        <f>IF($A4436="",0,IF(AE4436="직접",IF(AF4436="비귀속",$P4436,0),$P4436*(1-AG4436)*IFERROR(INDEX(계정대체기준!$F$20:$F$49,MATCH($N4436,계정대체기준!$A$20:$A$49,0)),1)))</f>
        <v/>
      </c>
      <c r="Z4436" s="94">
        <f>IF($A4436="",0,IF(AE4436="직접",IF(AF4436="신계약비",$P4436,0),$P4436*(1-AG4436)*IFERROR(INDEX(계정대체기준!$C$20:$C$49,MATCH($N4436,계정대체기준!$A$20:$A$49,0)),0)))</f>
        <v/>
      </c>
      <c r="AA4436" s="94">
        <f>IF($A4436="",0,IF(AE4436="직접",IF(OR(AF4436="유지비",AF4436="손해조사비"),$P4436,0),$P4436*(1-AG4436)*IFERROR(INDEX(계정대체기준!$D$20:$D$49,MATCH($N4436,계정대체기준!$A$20:$A$49,0)),0)))</f>
        <v/>
      </c>
      <c r="AB4436" s="94">
        <f>IF($A4436="",0,IF(AE4436="직접",IF(AF4436="수금비",$P4436,0),$P4436*(1-AG4436)*IFERROR(INDEX(계정대체기준!$E$20:$E$49,MATCH($N4436,계정대체기준!$A$20:$A$49,0)),0)))</f>
        <v/>
      </c>
      <c r="AC4436" s="9">
        <f>IF(AND($A4436&lt;&gt;"",M4436=설정!$C$20,Z4436&gt;0),Z4436+ROW()/1000000000,"")</f>
        <v/>
      </c>
      <c r="AD4436" s="94">
        <f>IF($A4436="",0,$P4436*AG4436)</f>
        <v/>
      </c>
      <c r="AE4436" s="64">
        <f>IF($A4436="","",IFERROR(INDEX(계정매핑!$E$5:$E$504,MATCH($F4436&amp;"",계정매핑!$A$5:$A$504,0))&amp;"","공통비"))</f>
        <v/>
      </c>
      <c r="AF4436" s="64">
        <f>IF($A4436="","",IF(AE4436="직접",IFERROR(INDEX(계정매핑!$F$5:$F$504,MATCH($F4436&amp;"",계정매핑!$A$5:$A$504,0))&amp;"","비귀속"),""))</f>
        <v/>
      </c>
      <c r="AG4436" s="96">
        <f>IF($A4436="",0,IF(AND(AE4436&lt;&gt;"직접",IFERROR(INDEX(계정매핑!$G$5:$G$504,MATCH($F4436&amp;"",계정매핑!$A$5:$A$504,0))&amp;"","")="유지비",COUNTIF(계정대체기준!$A$6:$A$15,$N4436)&gt;0),IFERROR(INDEX(계정대체기준!$E$6:$E$15,MATCH(VALUE($A4436&amp;""),계정대체기준!$D$6:$D$15,0)),0),0))</f>
        <v/>
      </c>
      <c r="AH4436" s="64">
        <f>IF($A4436="","",IF(AD4436=0,"",IF(OR(COUNTIF(계정대체기준!$A$77:$A$86,$N4436)&gt;0,ISNUMBER(MATCH($X4436,계정대체기준!$D$77:$D$86,0)),ISNUMBER(MATCH($F4436,계정대체기준!$D$77:$D$86,0))),"Y","N")))</f>
        <v/>
      </c>
    </row>
    <row r="4437">
      <c r="A4437" s="92" t="n">
        <v>2026</v>
      </c>
      <c r="B4437" s="92" t="n">
        <v>8</v>
      </c>
      <c r="C4437" s="92" t="inlineStr">
        <is>
          <t>5100001715</t>
        </is>
      </c>
      <c r="D4437" s="95" t="n">
        <v>46249</v>
      </c>
      <c r="E4437" s="92" t="inlineStr">
        <is>
          <t>KR</t>
        </is>
      </c>
      <c r="F4437" s="92" t="n">
        <v>62101000</v>
      </c>
      <c r="G4437" s="92" t="n">
        <v>1502</v>
      </c>
      <c r="H4437" s="93" t="n">
        <v>739000</v>
      </c>
      <c r="I4437" s="92" t="inlineStr">
        <is>
          <t>8월 국내출장 - (법인카드)</t>
        </is>
      </c>
      <c r="J4437" s="92" t="inlineStr">
        <is>
          <t>V10010</t>
        </is>
      </c>
      <c r="K4437" s="92" t="inlineStr">
        <is>
          <t>(법인카드)</t>
        </is>
      </c>
      <c r="M4437" s="9">
        <f>IF($A4437="","",VALUE($A4437&amp;"")*12+VALUE($B4437&amp;""))</f>
        <v/>
      </c>
      <c r="N4437" s="64">
        <f>IF($A4437="","",IFERROR(INDEX(부서매핑!$C$5:$C$504,MATCH($G4437&amp;"",부서매핑!$A$5:$A$504,0)),"미매핑"))</f>
        <v/>
      </c>
      <c r="O4437" s="9">
        <f>IF($A4437="","",N4437&amp;"|"&amp;$F4437)</f>
        <v/>
      </c>
      <c r="P4437" s="94">
        <f>IF($A4437="",0,$H4437*설정!$C$23)</f>
        <v/>
      </c>
      <c r="Q4437" s="64">
        <f>IF($A4437="","",IF(O4437&lt;&gt;원인분석!$C$9,"",IF(AND(M4437&gt;=원인분석!$C$10,M4437&lt;=원인분석!$C$11),"당기",IF(AND(M4437&gt;=원인분석!$C$12,M4437&lt;=원인분석!$C$13),"비교",""))))</f>
        <v/>
      </c>
      <c r="R4437" s="9">
        <f>IF(Q4437="","",$K4437&amp;"")</f>
        <v/>
      </c>
      <c r="S4437" s="9">
        <f>IF(Q4437="","",IF(MATCH(R4437,$R$5:$R$100000,0)=ROW()-4,ROW(),""))</f>
        <v/>
      </c>
      <c r="T4437" s="9">
        <f>IF(Q4437="당기",ABS(P4437)+ROW()/1000000000,"")</f>
        <v/>
      </c>
      <c r="U4437" s="9">
        <f>IF(Q4437="비교",ABS(P4437)+ROW()/1000000000,"")</f>
        <v/>
      </c>
      <c r="V4437" s="64">
        <f>IF($A4437="","",IF(COUNTIF(변동분석!$E$7:$E$506,O4437)&gt;0,"Y","N"))</f>
        <v/>
      </c>
      <c r="W4437" s="64">
        <f>IF($A4437="","",IFERROR(INDEX(계정매핑!$D$5:$D$504,MATCH($F4437&amp;"",계정매핑!$A$5:$A$504,0)),"미매핑"))</f>
        <v/>
      </c>
      <c r="X4437" s="9">
        <f>IF($A4437="","",$F4437&amp;"")</f>
        <v/>
      </c>
      <c r="Y4437" s="94">
        <f>IF($A4437="",0,IF(AE4437="직접",IF(AF4437="비귀속",$P4437,0),$P4437*(1-AG4437)*IFERROR(INDEX(계정대체기준!$F$20:$F$49,MATCH($N4437,계정대체기준!$A$20:$A$49,0)),1)))</f>
        <v/>
      </c>
      <c r="Z4437" s="94">
        <f>IF($A4437="",0,IF(AE4437="직접",IF(AF4437="신계약비",$P4437,0),$P4437*(1-AG4437)*IFERROR(INDEX(계정대체기준!$C$20:$C$49,MATCH($N4437,계정대체기준!$A$20:$A$49,0)),0)))</f>
        <v/>
      </c>
      <c r="AA4437" s="94">
        <f>IF($A4437="",0,IF(AE4437="직접",IF(OR(AF4437="유지비",AF4437="손해조사비"),$P4437,0),$P4437*(1-AG4437)*IFERROR(INDEX(계정대체기준!$D$20:$D$49,MATCH($N4437,계정대체기준!$A$20:$A$49,0)),0)))</f>
        <v/>
      </c>
      <c r="AB4437" s="94">
        <f>IF($A4437="",0,IF(AE4437="직접",IF(AF4437="수금비",$P4437,0),$P4437*(1-AG4437)*IFERROR(INDEX(계정대체기준!$E$20:$E$49,MATCH($N4437,계정대체기준!$A$20:$A$49,0)),0)))</f>
        <v/>
      </c>
      <c r="AC4437" s="9">
        <f>IF(AND($A4437&lt;&gt;"",M4437=설정!$C$20,Z4437&gt;0),Z4437+ROW()/1000000000,"")</f>
        <v/>
      </c>
      <c r="AD4437" s="94">
        <f>IF($A4437="",0,$P4437*AG4437)</f>
        <v/>
      </c>
      <c r="AE4437" s="64">
        <f>IF($A4437="","",IFERROR(INDEX(계정매핑!$E$5:$E$504,MATCH($F4437&amp;"",계정매핑!$A$5:$A$504,0))&amp;"","공통비"))</f>
        <v/>
      </c>
      <c r="AF4437" s="64">
        <f>IF($A4437="","",IF(AE4437="직접",IFERROR(INDEX(계정매핑!$F$5:$F$504,MATCH($F4437&amp;"",계정매핑!$A$5:$A$504,0))&amp;"","비귀속"),""))</f>
        <v/>
      </c>
      <c r="AG4437" s="96">
        <f>IF($A4437="",0,IF(AND(AE4437&lt;&gt;"직접",IFERROR(INDEX(계정매핑!$G$5:$G$504,MATCH($F4437&amp;"",계정매핑!$A$5:$A$504,0))&amp;"","")="유지비",COUNTIF(계정대체기준!$A$6:$A$15,$N4437)&gt;0),IFERROR(INDEX(계정대체기준!$E$6:$E$15,MATCH(VALUE($A4437&amp;""),계정대체기준!$D$6:$D$15,0)),0),0))</f>
        <v/>
      </c>
      <c r="AH4437" s="64">
        <f>IF($A4437="","",IF(AD4437=0,"",IF(OR(COUNTIF(계정대체기준!$A$77:$A$86,$N4437)&gt;0,ISNUMBER(MATCH($X4437,계정대체기준!$D$77:$D$86,0)),ISNUMBER(MATCH($F4437,계정대체기준!$D$77:$D$86,0))),"Y","N")))</f>
        <v/>
      </c>
    </row>
    <row r="4438">
      <c r="A4438" s="92" t="n">
        <v>2026</v>
      </c>
      <c r="B4438" s="92" t="n">
        <v>8</v>
      </c>
      <c r="C4438" s="92" t="inlineStr">
        <is>
          <t>5100001716</t>
        </is>
      </c>
      <c r="D4438" s="95" t="n">
        <v>46249</v>
      </c>
      <c r="E4438" s="92" t="inlineStr">
        <is>
          <t>KR</t>
        </is>
      </c>
      <c r="F4438" s="92" t="n">
        <v>62102000</v>
      </c>
      <c r="G4438" s="92" t="n">
        <v>1401</v>
      </c>
      <c r="H4438" s="93" t="n">
        <v>69000</v>
      </c>
      <c r="I4438" s="92" t="inlineStr">
        <is>
          <t>8월 해외출장 - M항공</t>
        </is>
      </c>
      <c r="J4438" s="92" t="inlineStr">
        <is>
          <t>V10001</t>
        </is>
      </c>
      <c r="K4438" s="92" t="inlineStr">
        <is>
          <t>M항공</t>
        </is>
      </c>
      <c r="M4438" s="9">
        <f>IF($A4438="","",VALUE($A4438&amp;"")*12+VALUE($B4438&amp;""))</f>
        <v/>
      </c>
      <c r="N4438" s="64">
        <f>IF($A4438="","",IFERROR(INDEX(부서매핑!$C$5:$C$504,MATCH($G4438&amp;"",부서매핑!$A$5:$A$504,0)),"미매핑"))</f>
        <v/>
      </c>
      <c r="O4438" s="9">
        <f>IF($A4438="","",N4438&amp;"|"&amp;$F4438)</f>
        <v/>
      </c>
      <c r="P4438" s="94">
        <f>IF($A4438="",0,$H4438*설정!$C$23)</f>
        <v/>
      </c>
      <c r="Q4438" s="64">
        <f>IF($A4438="","",IF(O4438&lt;&gt;원인분석!$C$9,"",IF(AND(M4438&gt;=원인분석!$C$10,M4438&lt;=원인분석!$C$11),"당기",IF(AND(M4438&gt;=원인분석!$C$12,M4438&lt;=원인분석!$C$13),"비교",""))))</f>
        <v/>
      </c>
      <c r="R4438" s="9">
        <f>IF(Q4438="","",$K4438&amp;"")</f>
        <v/>
      </c>
      <c r="S4438" s="9">
        <f>IF(Q4438="","",IF(MATCH(R4438,$R$5:$R$100000,0)=ROW()-4,ROW(),""))</f>
        <v/>
      </c>
      <c r="T4438" s="9">
        <f>IF(Q4438="당기",ABS(P4438)+ROW()/1000000000,"")</f>
        <v/>
      </c>
      <c r="U4438" s="9">
        <f>IF(Q4438="비교",ABS(P4438)+ROW()/1000000000,"")</f>
        <v/>
      </c>
      <c r="V4438" s="64">
        <f>IF($A4438="","",IF(COUNTIF(변동분석!$E$7:$E$506,O4438)&gt;0,"Y","N"))</f>
        <v/>
      </c>
      <c r="W4438" s="64">
        <f>IF($A4438="","",IFERROR(INDEX(계정매핑!$D$5:$D$504,MATCH($F4438&amp;"",계정매핑!$A$5:$A$504,0)),"미매핑"))</f>
        <v/>
      </c>
      <c r="X4438" s="9">
        <f>IF($A4438="","",$F4438&amp;"")</f>
        <v/>
      </c>
      <c r="Y4438" s="94">
        <f>IF($A4438="",0,IF(AE4438="직접",IF(AF4438="비귀속",$P4438,0),$P4438*(1-AG4438)*IFERROR(INDEX(계정대체기준!$F$20:$F$49,MATCH($N4438,계정대체기준!$A$20:$A$49,0)),1)))</f>
        <v/>
      </c>
      <c r="Z4438" s="94">
        <f>IF($A4438="",0,IF(AE4438="직접",IF(AF4438="신계약비",$P4438,0),$P4438*(1-AG4438)*IFERROR(INDEX(계정대체기준!$C$20:$C$49,MATCH($N4438,계정대체기준!$A$20:$A$49,0)),0)))</f>
        <v/>
      </c>
      <c r="AA4438" s="94">
        <f>IF($A4438="",0,IF(AE4438="직접",IF(OR(AF4438="유지비",AF4438="손해조사비"),$P4438,0),$P4438*(1-AG4438)*IFERROR(INDEX(계정대체기준!$D$20:$D$49,MATCH($N4438,계정대체기준!$A$20:$A$49,0)),0)))</f>
        <v/>
      </c>
      <c r="AB4438" s="94">
        <f>IF($A4438="",0,IF(AE4438="직접",IF(AF4438="수금비",$P4438,0),$P4438*(1-AG4438)*IFERROR(INDEX(계정대체기준!$E$20:$E$49,MATCH($N4438,계정대체기준!$A$20:$A$49,0)),0)))</f>
        <v/>
      </c>
      <c r="AC4438" s="9">
        <f>IF(AND($A4438&lt;&gt;"",M4438=설정!$C$20,Z4438&gt;0),Z4438+ROW()/1000000000,"")</f>
        <v/>
      </c>
      <c r="AD4438" s="94">
        <f>IF($A4438="",0,$P4438*AG4438)</f>
        <v/>
      </c>
      <c r="AE4438" s="64">
        <f>IF($A4438="","",IFERROR(INDEX(계정매핑!$E$5:$E$504,MATCH($F4438&amp;"",계정매핑!$A$5:$A$504,0))&amp;"","공통비"))</f>
        <v/>
      </c>
      <c r="AF4438" s="64">
        <f>IF($A4438="","",IF(AE4438="직접",IFERROR(INDEX(계정매핑!$F$5:$F$504,MATCH($F4438&amp;"",계정매핑!$A$5:$A$504,0))&amp;"","비귀속"),""))</f>
        <v/>
      </c>
      <c r="AG4438" s="96">
        <f>IF($A4438="",0,IF(AND(AE4438&lt;&gt;"직접",IFERROR(INDEX(계정매핑!$G$5:$G$504,MATCH($F4438&amp;"",계정매핑!$A$5:$A$504,0))&amp;"","")="유지비",COUNTIF(계정대체기준!$A$6:$A$15,$N4438)&gt;0),IFERROR(INDEX(계정대체기준!$E$6:$E$15,MATCH(VALUE($A4438&amp;""),계정대체기준!$D$6:$D$15,0)),0),0))</f>
        <v/>
      </c>
      <c r="AH4438" s="64">
        <f>IF($A4438="","",IF(AD4438=0,"",IF(OR(COUNTIF(계정대체기준!$A$77:$A$86,$N4438)&gt;0,ISNUMBER(MATCH($X4438,계정대체기준!$D$77:$D$86,0)),ISNUMBER(MATCH($F4438,계정대체기준!$D$77:$D$86,0))),"Y","N")))</f>
        <v/>
      </c>
    </row>
    <row r="4439">
      <c r="A4439" s="92" t="n">
        <v>2026</v>
      </c>
      <c r="B4439" s="92" t="n">
        <v>8</v>
      </c>
      <c r="C4439" s="92" t="inlineStr">
        <is>
          <t>5100001717</t>
        </is>
      </c>
      <c r="D4439" s="95" t="n">
        <v>46249</v>
      </c>
      <c r="E4439" s="92" t="inlineStr">
        <is>
          <t>KR</t>
        </is>
      </c>
      <c r="F4439" s="92" t="n">
        <v>62102000</v>
      </c>
      <c r="G4439" s="92" t="n">
        <v>1801</v>
      </c>
      <c r="H4439" s="93" t="n">
        <v>45000</v>
      </c>
      <c r="I4439" s="92" t="inlineStr">
        <is>
          <t>8월 해외출장 - N호텔</t>
        </is>
      </c>
      <c r="J4439" s="92" t="inlineStr">
        <is>
          <t>V10009</t>
        </is>
      </c>
      <c r="K4439" s="92" t="inlineStr">
        <is>
          <t>N호텔</t>
        </is>
      </c>
      <c r="M4439" s="9">
        <f>IF($A4439="","",VALUE($A4439&amp;"")*12+VALUE($B4439&amp;""))</f>
        <v/>
      </c>
      <c r="N4439" s="64">
        <f>IF($A4439="","",IFERROR(INDEX(부서매핑!$C$5:$C$504,MATCH($G4439&amp;"",부서매핑!$A$5:$A$504,0)),"미매핑"))</f>
        <v/>
      </c>
      <c r="O4439" s="9">
        <f>IF($A4439="","",N4439&amp;"|"&amp;$F4439)</f>
        <v/>
      </c>
      <c r="P4439" s="94">
        <f>IF($A4439="",0,$H4439*설정!$C$23)</f>
        <v/>
      </c>
      <c r="Q4439" s="64">
        <f>IF($A4439="","",IF(O4439&lt;&gt;원인분석!$C$9,"",IF(AND(M4439&gt;=원인분석!$C$10,M4439&lt;=원인분석!$C$11),"당기",IF(AND(M4439&gt;=원인분석!$C$12,M4439&lt;=원인분석!$C$13),"비교",""))))</f>
        <v/>
      </c>
      <c r="R4439" s="9">
        <f>IF(Q4439="","",$K4439&amp;"")</f>
        <v/>
      </c>
      <c r="S4439" s="9">
        <f>IF(Q4439="","",IF(MATCH(R4439,$R$5:$R$100000,0)=ROW()-4,ROW(),""))</f>
        <v/>
      </c>
      <c r="T4439" s="9">
        <f>IF(Q4439="당기",ABS(P4439)+ROW()/1000000000,"")</f>
        <v/>
      </c>
      <c r="U4439" s="9">
        <f>IF(Q4439="비교",ABS(P4439)+ROW()/1000000000,"")</f>
        <v/>
      </c>
      <c r="V4439" s="64">
        <f>IF($A4439="","",IF(COUNTIF(변동분석!$E$7:$E$506,O4439)&gt;0,"Y","N"))</f>
        <v/>
      </c>
      <c r="W4439" s="64">
        <f>IF($A4439="","",IFERROR(INDEX(계정매핑!$D$5:$D$504,MATCH($F4439&amp;"",계정매핑!$A$5:$A$504,0)),"미매핑"))</f>
        <v/>
      </c>
      <c r="X4439" s="9">
        <f>IF($A4439="","",$F4439&amp;"")</f>
        <v/>
      </c>
      <c r="Y4439" s="94">
        <f>IF($A4439="",0,IF(AE4439="직접",IF(AF4439="비귀속",$P4439,0),$P4439*(1-AG4439)*IFERROR(INDEX(계정대체기준!$F$20:$F$49,MATCH($N4439,계정대체기준!$A$20:$A$49,0)),1)))</f>
        <v/>
      </c>
      <c r="Z4439" s="94">
        <f>IF($A4439="",0,IF(AE4439="직접",IF(AF4439="신계약비",$P4439,0),$P4439*(1-AG4439)*IFERROR(INDEX(계정대체기준!$C$20:$C$49,MATCH($N4439,계정대체기준!$A$20:$A$49,0)),0)))</f>
        <v/>
      </c>
      <c r="AA4439" s="94">
        <f>IF($A4439="",0,IF(AE4439="직접",IF(OR(AF4439="유지비",AF4439="손해조사비"),$P4439,0),$P4439*(1-AG4439)*IFERROR(INDEX(계정대체기준!$D$20:$D$49,MATCH($N4439,계정대체기준!$A$20:$A$49,0)),0)))</f>
        <v/>
      </c>
      <c r="AB4439" s="94">
        <f>IF($A4439="",0,IF(AE4439="직접",IF(AF4439="수금비",$P4439,0),$P4439*(1-AG4439)*IFERROR(INDEX(계정대체기준!$E$20:$E$49,MATCH($N4439,계정대체기준!$A$20:$A$49,0)),0)))</f>
        <v/>
      </c>
      <c r="AC4439" s="9">
        <f>IF(AND($A4439&lt;&gt;"",M4439=설정!$C$20,Z4439&gt;0),Z4439+ROW()/1000000000,"")</f>
        <v/>
      </c>
      <c r="AD4439" s="94">
        <f>IF($A4439="",0,$P4439*AG4439)</f>
        <v/>
      </c>
      <c r="AE4439" s="64">
        <f>IF($A4439="","",IFERROR(INDEX(계정매핑!$E$5:$E$504,MATCH($F4439&amp;"",계정매핑!$A$5:$A$504,0))&amp;"","공통비"))</f>
        <v/>
      </c>
      <c r="AF4439" s="64">
        <f>IF($A4439="","",IF(AE4439="직접",IFERROR(INDEX(계정매핑!$F$5:$F$504,MATCH($F4439&amp;"",계정매핑!$A$5:$A$504,0))&amp;"","비귀속"),""))</f>
        <v/>
      </c>
      <c r="AG4439" s="96">
        <f>IF($A4439="",0,IF(AND(AE4439&lt;&gt;"직접",IFERROR(INDEX(계정매핑!$G$5:$G$504,MATCH($F4439&amp;"",계정매핑!$A$5:$A$504,0))&amp;"","")="유지비",COUNTIF(계정대체기준!$A$6:$A$15,$N4439)&gt;0),IFERROR(INDEX(계정대체기준!$E$6:$E$15,MATCH(VALUE($A4439&amp;""),계정대체기준!$D$6:$D$15,0)),0),0))</f>
        <v/>
      </c>
      <c r="AH4439" s="64">
        <f>IF($A4439="","",IF(AD4439=0,"",IF(OR(COUNTIF(계정대체기준!$A$77:$A$86,$N4439)&gt;0,ISNUMBER(MATCH($X4439,계정대체기준!$D$77:$D$86,0)),ISNUMBER(MATCH($F4439,계정대체기준!$D$77:$D$86,0))),"Y","N")))</f>
        <v/>
      </c>
    </row>
    <row r="4440">
      <c r="A4440" s="92" t="n">
        <v>2026</v>
      </c>
      <c r="B4440" s="92" t="n">
        <v>8</v>
      </c>
      <c r="C4440" s="92" t="inlineStr">
        <is>
          <t>5100001718</t>
        </is>
      </c>
      <c r="D4440" s="95" t="n">
        <v>46249</v>
      </c>
      <c r="E4440" s="92" t="inlineStr">
        <is>
          <t>KR</t>
        </is>
      </c>
      <c r="F4440" s="92" t="n">
        <v>62201000</v>
      </c>
      <c r="G4440" s="92" t="n">
        <v>1101</v>
      </c>
      <c r="H4440" s="93" t="n">
        <v>236000</v>
      </c>
      <c r="I4440" s="92" t="inlineStr">
        <is>
          <t>8월 통신요금 - O텔레콤</t>
        </is>
      </c>
      <c r="J4440" s="92" t="inlineStr">
        <is>
          <t>V10002</t>
        </is>
      </c>
      <c r="K4440" s="92" t="inlineStr">
        <is>
          <t>O텔레콤</t>
        </is>
      </c>
      <c r="M4440" s="9">
        <f>IF($A4440="","",VALUE($A4440&amp;"")*12+VALUE($B4440&amp;""))</f>
        <v/>
      </c>
      <c r="N4440" s="64">
        <f>IF($A4440="","",IFERROR(INDEX(부서매핑!$C$5:$C$504,MATCH($G4440&amp;"",부서매핑!$A$5:$A$504,0)),"미매핑"))</f>
        <v/>
      </c>
      <c r="O4440" s="9">
        <f>IF($A4440="","",N4440&amp;"|"&amp;$F4440)</f>
        <v/>
      </c>
      <c r="P4440" s="94">
        <f>IF($A4440="",0,$H4440*설정!$C$23)</f>
        <v/>
      </c>
      <c r="Q4440" s="64">
        <f>IF($A4440="","",IF(O4440&lt;&gt;원인분석!$C$9,"",IF(AND(M4440&gt;=원인분석!$C$10,M4440&lt;=원인분석!$C$11),"당기",IF(AND(M4440&gt;=원인분석!$C$12,M4440&lt;=원인분석!$C$13),"비교",""))))</f>
        <v/>
      </c>
      <c r="R4440" s="9">
        <f>IF(Q4440="","",$K4440&amp;"")</f>
        <v/>
      </c>
      <c r="S4440" s="9">
        <f>IF(Q4440="","",IF(MATCH(R4440,$R$5:$R$100000,0)=ROW()-4,ROW(),""))</f>
        <v/>
      </c>
      <c r="T4440" s="9">
        <f>IF(Q4440="당기",ABS(P4440)+ROW()/1000000000,"")</f>
        <v/>
      </c>
      <c r="U4440" s="9">
        <f>IF(Q4440="비교",ABS(P4440)+ROW()/1000000000,"")</f>
        <v/>
      </c>
      <c r="V4440" s="64">
        <f>IF($A4440="","",IF(COUNTIF(변동분석!$E$7:$E$506,O4440)&gt;0,"Y","N"))</f>
        <v/>
      </c>
      <c r="W4440" s="64">
        <f>IF($A4440="","",IFERROR(INDEX(계정매핑!$D$5:$D$504,MATCH($F4440&amp;"",계정매핑!$A$5:$A$504,0)),"미매핑"))</f>
        <v/>
      </c>
      <c r="X4440" s="9">
        <f>IF($A4440="","",$F4440&amp;"")</f>
        <v/>
      </c>
      <c r="Y4440" s="94">
        <f>IF($A4440="",0,IF(AE4440="직접",IF(AF4440="비귀속",$P4440,0),$P4440*(1-AG4440)*IFERROR(INDEX(계정대체기준!$F$20:$F$49,MATCH($N4440,계정대체기준!$A$20:$A$49,0)),1)))</f>
        <v/>
      </c>
      <c r="Z4440" s="94">
        <f>IF($A4440="",0,IF(AE4440="직접",IF(AF4440="신계약비",$P4440,0),$P4440*(1-AG4440)*IFERROR(INDEX(계정대체기준!$C$20:$C$49,MATCH($N4440,계정대체기준!$A$20:$A$49,0)),0)))</f>
        <v/>
      </c>
      <c r="AA4440" s="94">
        <f>IF($A4440="",0,IF(AE4440="직접",IF(OR(AF4440="유지비",AF4440="손해조사비"),$P4440,0),$P4440*(1-AG4440)*IFERROR(INDEX(계정대체기준!$D$20:$D$49,MATCH($N4440,계정대체기준!$A$20:$A$49,0)),0)))</f>
        <v/>
      </c>
      <c r="AB4440" s="94">
        <f>IF($A4440="",0,IF(AE4440="직접",IF(AF4440="수금비",$P4440,0),$P4440*(1-AG4440)*IFERROR(INDEX(계정대체기준!$E$20:$E$49,MATCH($N4440,계정대체기준!$A$20:$A$49,0)),0)))</f>
        <v/>
      </c>
      <c r="AC4440" s="9">
        <f>IF(AND($A4440&lt;&gt;"",M4440=설정!$C$20,Z4440&gt;0),Z4440+ROW()/1000000000,"")</f>
        <v/>
      </c>
      <c r="AD4440" s="94">
        <f>IF($A4440="",0,$P4440*AG4440)</f>
        <v/>
      </c>
      <c r="AE4440" s="64">
        <f>IF($A4440="","",IFERROR(INDEX(계정매핑!$E$5:$E$504,MATCH($F4440&amp;"",계정매핑!$A$5:$A$504,0))&amp;"","공통비"))</f>
        <v/>
      </c>
      <c r="AF4440" s="64">
        <f>IF($A4440="","",IF(AE4440="직접",IFERROR(INDEX(계정매핑!$F$5:$F$504,MATCH($F4440&amp;"",계정매핑!$A$5:$A$504,0))&amp;"","비귀속"),""))</f>
        <v/>
      </c>
      <c r="AG4440" s="96">
        <f>IF($A4440="",0,IF(AND(AE4440&lt;&gt;"직접",IFERROR(INDEX(계정매핑!$G$5:$G$504,MATCH($F4440&amp;"",계정매핑!$A$5:$A$504,0))&amp;"","")="유지비",COUNTIF(계정대체기준!$A$6:$A$15,$N4440)&gt;0),IFERROR(INDEX(계정대체기준!$E$6:$E$15,MATCH(VALUE($A4440&amp;""),계정대체기준!$D$6:$D$15,0)),0),0))</f>
        <v/>
      </c>
      <c r="AH4440" s="64">
        <f>IF($A4440="","",IF(AD4440=0,"",IF(OR(COUNTIF(계정대체기준!$A$77:$A$86,$N4440)&gt;0,ISNUMBER(MATCH($X4440,계정대체기준!$D$77:$D$86,0)),ISNUMBER(MATCH($F4440,계정대체기준!$D$77:$D$86,0))),"Y","N")))</f>
        <v/>
      </c>
    </row>
    <row r="4441">
      <c r="A4441" s="92" t="n">
        <v>2026</v>
      </c>
      <c r="B4441" s="92" t="n">
        <v>8</v>
      </c>
      <c r="C4441" s="92" t="inlineStr">
        <is>
          <t>5100001719</t>
        </is>
      </c>
      <c r="D4441" s="95" t="n">
        <v>46249</v>
      </c>
      <c r="E4441" s="92" t="inlineStr">
        <is>
          <t>KR</t>
        </is>
      </c>
      <c r="F4441" s="92" t="n">
        <v>62201000</v>
      </c>
      <c r="G4441" s="92" t="n">
        <v>1501</v>
      </c>
      <c r="H4441" s="93" t="n">
        <v>350000</v>
      </c>
      <c r="I4441" s="92" t="inlineStr">
        <is>
          <t>8월 통신요금 - P통신</t>
        </is>
      </c>
      <c r="J4441" s="92" t="inlineStr">
        <is>
          <t>V10014</t>
        </is>
      </c>
      <c r="K4441" s="92" t="inlineStr">
        <is>
          <t>P통신</t>
        </is>
      </c>
      <c r="M4441" s="9">
        <f>IF($A4441="","",VALUE($A4441&amp;"")*12+VALUE($B4441&amp;""))</f>
        <v/>
      </c>
      <c r="N4441" s="64">
        <f>IF($A4441="","",IFERROR(INDEX(부서매핑!$C$5:$C$504,MATCH($G4441&amp;"",부서매핑!$A$5:$A$504,0)),"미매핑"))</f>
        <v/>
      </c>
      <c r="O4441" s="9">
        <f>IF($A4441="","",N4441&amp;"|"&amp;$F4441)</f>
        <v/>
      </c>
      <c r="P4441" s="94">
        <f>IF($A4441="",0,$H4441*설정!$C$23)</f>
        <v/>
      </c>
      <c r="Q4441" s="64">
        <f>IF($A4441="","",IF(O4441&lt;&gt;원인분석!$C$9,"",IF(AND(M4441&gt;=원인분석!$C$10,M4441&lt;=원인분석!$C$11),"당기",IF(AND(M4441&gt;=원인분석!$C$12,M4441&lt;=원인분석!$C$13),"비교",""))))</f>
        <v/>
      </c>
      <c r="R4441" s="9">
        <f>IF(Q4441="","",$K4441&amp;"")</f>
        <v/>
      </c>
      <c r="S4441" s="9">
        <f>IF(Q4441="","",IF(MATCH(R4441,$R$5:$R$100000,0)=ROW()-4,ROW(),""))</f>
        <v/>
      </c>
      <c r="T4441" s="9">
        <f>IF(Q4441="당기",ABS(P4441)+ROW()/1000000000,"")</f>
        <v/>
      </c>
      <c r="U4441" s="9">
        <f>IF(Q4441="비교",ABS(P4441)+ROW()/1000000000,"")</f>
        <v/>
      </c>
      <c r="V4441" s="64">
        <f>IF($A4441="","",IF(COUNTIF(변동분석!$E$7:$E$506,O4441)&gt;0,"Y","N"))</f>
        <v/>
      </c>
      <c r="W4441" s="64">
        <f>IF($A4441="","",IFERROR(INDEX(계정매핑!$D$5:$D$504,MATCH($F4441&amp;"",계정매핑!$A$5:$A$504,0)),"미매핑"))</f>
        <v/>
      </c>
      <c r="X4441" s="9">
        <f>IF($A4441="","",$F4441&amp;"")</f>
        <v/>
      </c>
      <c r="Y4441" s="94">
        <f>IF($A4441="",0,IF(AE4441="직접",IF(AF4441="비귀속",$P4441,0),$P4441*(1-AG4441)*IFERROR(INDEX(계정대체기준!$F$20:$F$49,MATCH($N4441,계정대체기준!$A$20:$A$49,0)),1)))</f>
        <v/>
      </c>
      <c r="Z4441" s="94">
        <f>IF($A4441="",0,IF(AE4441="직접",IF(AF4441="신계약비",$P4441,0),$P4441*(1-AG4441)*IFERROR(INDEX(계정대체기준!$C$20:$C$49,MATCH($N4441,계정대체기준!$A$20:$A$49,0)),0)))</f>
        <v/>
      </c>
      <c r="AA4441" s="94">
        <f>IF($A4441="",0,IF(AE4441="직접",IF(OR(AF4441="유지비",AF4441="손해조사비"),$P4441,0),$P4441*(1-AG4441)*IFERROR(INDEX(계정대체기준!$D$20:$D$49,MATCH($N4441,계정대체기준!$A$20:$A$49,0)),0)))</f>
        <v/>
      </c>
      <c r="AB4441" s="94">
        <f>IF($A4441="",0,IF(AE4441="직접",IF(AF4441="수금비",$P4441,0),$P4441*(1-AG4441)*IFERROR(INDEX(계정대체기준!$E$20:$E$49,MATCH($N4441,계정대체기준!$A$20:$A$49,0)),0)))</f>
        <v/>
      </c>
      <c r="AC4441" s="9">
        <f>IF(AND($A4441&lt;&gt;"",M4441=설정!$C$20,Z4441&gt;0),Z4441+ROW()/1000000000,"")</f>
        <v/>
      </c>
      <c r="AD4441" s="94">
        <f>IF($A4441="",0,$P4441*AG4441)</f>
        <v/>
      </c>
      <c r="AE4441" s="64">
        <f>IF($A4441="","",IFERROR(INDEX(계정매핑!$E$5:$E$504,MATCH($F4441&amp;"",계정매핑!$A$5:$A$504,0))&amp;"","공통비"))</f>
        <v/>
      </c>
      <c r="AF4441" s="64">
        <f>IF($A4441="","",IF(AE4441="직접",IFERROR(INDEX(계정매핑!$F$5:$F$504,MATCH($F4441&amp;"",계정매핑!$A$5:$A$504,0))&amp;"","비귀속"),""))</f>
        <v/>
      </c>
      <c r="AG4441" s="96">
        <f>IF($A4441="",0,IF(AND(AE4441&lt;&gt;"직접",IFERROR(INDEX(계정매핑!$G$5:$G$504,MATCH($F4441&amp;"",계정매핑!$A$5:$A$504,0))&amp;"","")="유지비",COUNTIF(계정대체기준!$A$6:$A$15,$N4441)&gt;0),IFERROR(INDEX(계정대체기준!$E$6:$E$15,MATCH(VALUE($A4441&amp;""),계정대체기준!$D$6:$D$15,0)),0),0))</f>
        <v/>
      </c>
      <c r="AH4441" s="64">
        <f>IF($A4441="","",IF(AD4441=0,"",IF(OR(COUNTIF(계정대체기준!$A$77:$A$86,$N4441)&gt;0,ISNUMBER(MATCH($X4441,계정대체기준!$D$77:$D$86,0)),ISNUMBER(MATCH($F4441,계정대체기준!$D$77:$D$86,0))),"Y","N")))</f>
        <v/>
      </c>
    </row>
    <row r="4442">
      <c r="A4442" s="92" t="n">
        <v>2026</v>
      </c>
      <c r="B4442" s="92" t="n">
        <v>8</v>
      </c>
      <c r="C4442" s="92" t="inlineStr">
        <is>
          <t>5100001720</t>
        </is>
      </c>
      <c r="D4442" s="95" t="n">
        <v>46249</v>
      </c>
      <c r="E4442" s="92" t="inlineStr">
        <is>
          <t>KR</t>
        </is>
      </c>
      <c r="F4442" s="92" t="n">
        <v>62201000</v>
      </c>
      <c r="G4442" s="92" t="n">
        <v>1602</v>
      </c>
      <c r="H4442" s="93" t="n">
        <v>407000</v>
      </c>
      <c r="I4442" s="92" t="inlineStr">
        <is>
          <t>8월 통신요금 - P통신</t>
        </is>
      </c>
      <c r="J4442" s="92" t="inlineStr">
        <is>
          <t>V10014</t>
        </is>
      </c>
      <c r="K4442" s="92" t="inlineStr">
        <is>
          <t>P통신</t>
        </is>
      </c>
      <c r="M4442" s="9">
        <f>IF($A4442="","",VALUE($A4442&amp;"")*12+VALUE($B4442&amp;""))</f>
        <v/>
      </c>
      <c r="N4442" s="64">
        <f>IF($A4442="","",IFERROR(INDEX(부서매핑!$C$5:$C$504,MATCH($G4442&amp;"",부서매핑!$A$5:$A$504,0)),"미매핑"))</f>
        <v/>
      </c>
      <c r="O4442" s="9">
        <f>IF($A4442="","",N4442&amp;"|"&amp;$F4442)</f>
        <v/>
      </c>
      <c r="P4442" s="94">
        <f>IF($A4442="",0,$H4442*설정!$C$23)</f>
        <v/>
      </c>
      <c r="Q4442" s="64">
        <f>IF($A4442="","",IF(O4442&lt;&gt;원인분석!$C$9,"",IF(AND(M4442&gt;=원인분석!$C$10,M4442&lt;=원인분석!$C$11),"당기",IF(AND(M4442&gt;=원인분석!$C$12,M4442&lt;=원인분석!$C$13),"비교",""))))</f>
        <v/>
      </c>
      <c r="R4442" s="9">
        <f>IF(Q4442="","",$K4442&amp;"")</f>
        <v/>
      </c>
      <c r="S4442" s="9">
        <f>IF(Q4442="","",IF(MATCH(R4442,$R$5:$R$100000,0)=ROW()-4,ROW(),""))</f>
        <v/>
      </c>
      <c r="T4442" s="9">
        <f>IF(Q4442="당기",ABS(P4442)+ROW()/1000000000,"")</f>
        <v/>
      </c>
      <c r="U4442" s="9">
        <f>IF(Q4442="비교",ABS(P4442)+ROW()/1000000000,"")</f>
        <v/>
      </c>
      <c r="V4442" s="64">
        <f>IF($A4442="","",IF(COUNTIF(변동분석!$E$7:$E$506,O4442)&gt;0,"Y","N"))</f>
        <v/>
      </c>
      <c r="W4442" s="64">
        <f>IF($A4442="","",IFERROR(INDEX(계정매핑!$D$5:$D$504,MATCH($F4442&amp;"",계정매핑!$A$5:$A$504,0)),"미매핑"))</f>
        <v/>
      </c>
      <c r="X4442" s="9">
        <f>IF($A4442="","",$F4442&amp;"")</f>
        <v/>
      </c>
      <c r="Y4442" s="94">
        <f>IF($A4442="",0,IF(AE4442="직접",IF(AF4442="비귀속",$P4442,0),$P4442*(1-AG4442)*IFERROR(INDEX(계정대체기준!$F$20:$F$49,MATCH($N4442,계정대체기준!$A$20:$A$49,0)),1)))</f>
        <v/>
      </c>
      <c r="Z4442" s="94">
        <f>IF($A4442="",0,IF(AE4442="직접",IF(AF4442="신계약비",$P4442,0),$P4442*(1-AG4442)*IFERROR(INDEX(계정대체기준!$C$20:$C$49,MATCH($N4442,계정대체기준!$A$20:$A$49,0)),0)))</f>
        <v/>
      </c>
      <c r="AA4442" s="94">
        <f>IF($A4442="",0,IF(AE4442="직접",IF(OR(AF4442="유지비",AF4442="손해조사비"),$P4442,0),$P4442*(1-AG4442)*IFERROR(INDEX(계정대체기준!$D$20:$D$49,MATCH($N4442,계정대체기준!$A$20:$A$49,0)),0)))</f>
        <v/>
      </c>
      <c r="AB4442" s="94">
        <f>IF($A4442="",0,IF(AE4442="직접",IF(AF4442="수금비",$P4442,0),$P4442*(1-AG4442)*IFERROR(INDEX(계정대체기준!$E$20:$E$49,MATCH($N4442,계정대체기준!$A$20:$A$49,0)),0)))</f>
        <v/>
      </c>
      <c r="AC4442" s="9">
        <f>IF(AND($A4442&lt;&gt;"",M4442=설정!$C$20,Z4442&gt;0),Z4442+ROW()/1000000000,"")</f>
        <v/>
      </c>
      <c r="AD4442" s="94">
        <f>IF($A4442="",0,$P4442*AG4442)</f>
        <v/>
      </c>
      <c r="AE4442" s="64">
        <f>IF($A4442="","",IFERROR(INDEX(계정매핑!$E$5:$E$504,MATCH($F4442&amp;"",계정매핑!$A$5:$A$504,0))&amp;"","공통비"))</f>
        <v/>
      </c>
      <c r="AF4442" s="64">
        <f>IF($A4442="","",IF(AE4442="직접",IFERROR(INDEX(계정매핑!$F$5:$F$504,MATCH($F4442&amp;"",계정매핑!$A$5:$A$504,0))&amp;"","비귀속"),""))</f>
        <v/>
      </c>
      <c r="AG4442" s="96">
        <f>IF($A4442="",0,IF(AND(AE4442&lt;&gt;"직접",IFERROR(INDEX(계정매핑!$G$5:$G$504,MATCH($F4442&amp;"",계정매핑!$A$5:$A$504,0))&amp;"","")="유지비",COUNTIF(계정대체기준!$A$6:$A$15,$N4442)&gt;0),IFERROR(INDEX(계정대체기준!$E$6:$E$15,MATCH(VALUE($A4442&amp;""),계정대체기준!$D$6:$D$15,0)),0),0))</f>
        <v/>
      </c>
      <c r="AH4442" s="64">
        <f>IF($A4442="","",IF(AD4442=0,"",IF(OR(COUNTIF(계정대체기준!$A$77:$A$86,$N4442)&gt;0,ISNUMBER(MATCH($X4442,계정대체기준!$D$77:$D$86,0)),ISNUMBER(MATCH($F4442,계정대체기준!$D$77:$D$86,0))),"Y","N")))</f>
        <v/>
      </c>
    </row>
    <row r="4443">
      <c r="A4443" s="92" t="n">
        <v>2026</v>
      </c>
      <c r="B4443" s="92" t="n">
        <v>8</v>
      </c>
      <c r="C4443" s="92" t="inlineStr">
        <is>
          <t>5100001721</t>
        </is>
      </c>
      <c r="D4443" s="95" t="n">
        <v>46249</v>
      </c>
      <c r="E4443" s="92" t="inlineStr">
        <is>
          <t>KR</t>
        </is>
      </c>
      <c r="F4443" s="92" t="n">
        <v>62902000</v>
      </c>
      <c r="G4443" s="92" t="n">
        <v>1951</v>
      </c>
      <c r="H4443" s="93" t="n">
        <v>1864000</v>
      </c>
      <c r="I4443" s="92" t="inlineStr">
        <is>
          <t>8월 업무 위탁 수수료 - X서비스</t>
        </is>
      </c>
      <c r="J4443" s="92" t="inlineStr">
        <is>
          <t>V10020</t>
        </is>
      </c>
      <c r="K4443" s="92" t="inlineStr">
        <is>
          <t>X서비스</t>
        </is>
      </c>
      <c r="M4443" s="9">
        <f>IF($A4443="","",VALUE($A4443&amp;"")*12+VALUE($B4443&amp;""))</f>
        <v/>
      </c>
      <c r="N4443" s="64">
        <f>IF($A4443="","",IFERROR(INDEX(부서매핑!$C$5:$C$504,MATCH($G4443&amp;"",부서매핑!$A$5:$A$504,0)),"미매핑"))</f>
        <v/>
      </c>
      <c r="O4443" s="9">
        <f>IF($A4443="","",N4443&amp;"|"&amp;$F4443)</f>
        <v/>
      </c>
      <c r="P4443" s="94">
        <f>IF($A4443="",0,$H4443*설정!$C$23)</f>
        <v/>
      </c>
      <c r="Q4443" s="64">
        <f>IF($A4443="","",IF(O4443&lt;&gt;원인분석!$C$9,"",IF(AND(M4443&gt;=원인분석!$C$10,M4443&lt;=원인분석!$C$11),"당기",IF(AND(M4443&gt;=원인분석!$C$12,M4443&lt;=원인분석!$C$13),"비교",""))))</f>
        <v/>
      </c>
      <c r="R4443" s="9">
        <f>IF(Q4443="","",$K4443&amp;"")</f>
        <v/>
      </c>
      <c r="S4443" s="9">
        <f>IF(Q4443="","",IF(MATCH(R4443,$R$5:$R$100000,0)=ROW()-4,ROW(),""))</f>
        <v/>
      </c>
      <c r="T4443" s="9">
        <f>IF(Q4443="당기",ABS(P4443)+ROW()/1000000000,"")</f>
        <v/>
      </c>
      <c r="U4443" s="9">
        <f>IF(Q4443="비교",ABS(P4443)+ROW()/1000000000,"")</f>
        <v/>
      </c>
      <c r="V4443" s="64">
        <f>IF($A4443="","",IF(COUNTIF(변동분석!$E$7:$E$506,O4443)&gt;0,"Y","N"))</f>
        <v/>
      </c>
      <c r="W4443" s="64">
        <f>IF($A4443="","",IFERROR(INDEX(계정매핑!$D$5:$D$504,MATCH($F4443&amp;"",계정매핑!$A$5:$A$504,0)),"미매핑"))</f>
        <v/>
      </c>
      <c r="X4443" s="9">
        <f>IF($A4443="","",$F4443&amp;"")</f>
        <v/>
      </c>
      <c r="Y4443" s="94">
        <f>IF($A4443="",0,IF(AE4443="직접",IF(AF4443="비귀속",$P4443,0),$P4443*(1-AG4443)*IFERROR(INDEX(계정대체기준!$F$20:$F$49,MATCH($N4443,계정대체기준!$A$20:$A$49,0)),1)))</f>
        <v/>
      </c>
      <c r="Z4443" s="94">
        <f>IF($A4443="",0,IF(AE4443="직접",IF(AF4443="신계약비",$P4443,0),$P4443*(1-AG4443)*IFERROR(INDEX(계정대체기준!$C$20:$C$49,MATCH($N4443,계정대체기준!$A$20:$A$49,0)),0)))</f>
        <v/>
      </c>
      <c r="AA4443" s="94">
        <f>IF($A4443="",0,IF(AE4443="직접",IF(OR(AF4443="유지비",AF4443="손해조사비"),$P4443,0),$P4443*(1-AG4443)*IFERROR(INDEX(계정대체기준!$D$20:$D$49,MATCH($N4443,계정대체기준!$A$20:$A$49,0)),0)))</f>
        <v/>
      </c>
      <c r="AB4443" s="94">
        <f>IF($A4443="",0,IF(AE4443="직접",IF(AF4443="수금비",$P4443,0),$P4443*(1-AG4443)*IFERROR(INDEX(계정대체기준!$E$20:$E$49,MATCH($N4443,계정대체기준!$A$20:$A$49,0)),0)))</f>
        <v/>
      </c>
      <c r="AC4443" s="9">
        <f>IF(AND($A4443&lt;&gt;"",M4443=설정!$C$20,Z4443&gt;0),Z4443+ROW()/1000000000,"")</f>
        <v/>
      </c>
      <c r="AD4443" s="94">
        <f>IF($A4443="",0,$P4443*AG4443)</f>
        <v/>
      </c>
      <c r="AE4443" s="64">
        <f>IF($A4443="","",IFERROR(INDEX(계정매핑!$E$5:$E$504,MATCH($F4443&amp;"",계정매핑!$A$5:$A$504,0))&amp;"","공통비"))</f>
        <v/>
      </c>
      <c r="AF4443" s="64">
        <f>IF($A4443="","",IF(AE4443="직접",IFERROR(INDEX(계정매핑!$F$5:$F$504,MATCH($F4443&amp;"",계정매핑!$A$5:$A$504,0))&amp;"","비귀속"),""))</f>
        <v/>
      </c>
      <c r="AG4443" s="96">
        <f>IF($A4443="",0,IF(AND(AE4443&lt;&gt;"직접",IFERROR(INDEX(계정매핑!$G$5:$G$504,MATCH($F4443&amp;"",계정매핑!$A$5:$A$504,0))&amp;"","")="유지비",COUNTIF(계정대체기준!$A$6:$A$15,$N4443)&gt;0),IFERROR(INDEX(계정대체기준!$E$6:$E$15,MATCH(VALUE($A4443&amp;""),계정대체기준!$D$6:$D$15,0)),0),0))</f>
        <v/>
      </c>
      <c r="AH4443" s="64">
        <f>IF($A4443="","",IF(AD4443=0,"",IF(OR(COUNTIF(계정대체기준!$A$77:$A$86,$N4443)&gt;0,ISNUMBER(MATCH($X4443,계정대체기준!$D$77:$D$86,0)),ISNUMBER(MATCH($F4443,계정대체기준!$D$77:$D$86,0))),"Y","N")))</f>
        <v/>
      </c>
    </row>
    <row r="4444">
      <c r="A4444" s="92" t="n">
        <v>2026</v>
      </c>
      <c r="B4444" s="92" t="n">
        <v>8</v>
      </c>
      <c r="C4444" s="92" t="inlineStr">
        <is>
          <t>5100001722</t>
        </is>
      </c>
      <c r="D4444" s="95" t="n">
        <v>46249</v>
      </c>
      <c r="E4444" s="92" t="inlineStr">
        <is>
          <t>KR</t>
        </is>
      </c>
      <c r="F4444" s="92" t="n">
        <v>63101000</v>
      </c>
      <c r="G4444" s="92" t="n">
        <v>1601</v>
      </c>
      <c r="H4444" s="93" t="n">
        <v>5238000</v>
      </c>
      <c r="I4444" s="92" t="inlineStr">
        <is>
          <t>8월 사무실 임차료 - BB부동산</t>
        </is>
      </c>
      <c r="J4444" s="92" t="inlineStr">
        <is>
          <t>V10028</t>
        </is>
      </c>
      <c r="K4444" s="92" t="inlineStr">
        <is>
          <t>BB부동산</t>
        </is>
      </c>
      <c r="M4444" s="9">
        <f>IF($A4444="","",VALUE($A4444&amp;"")*12+VALUE($B4444&amp;""))</f>
        <v/>
      </c>
      <c r="N4444" s="64">
        <f>IF($A4444="","",IFERROR(INDEX(부서매핑!$C$5:$C$504,MATCH($G4444&amp;"",부서매핑!$A$5:$A$504,0)),"미매핑"))</f>
        <v/>
      </c>
      <c r="O4444" s="9">
        <f>IF($A4444="","",N4444&amp;"|"&amp;$F4444)</f>
        <v/>
      </c>
      <c r="P4444" s="94">
        <f>IF($A4444="",0,$H4444*설정!$C$23)</f>
        <v/>
      </c>
      <c r="Q4444" s="64">
        <f>IF($A4444="","",IF(O4444&lt;&gt;원인분석!$C$9,"",IF(AND(M4444&gt;=원인분석!$C$10,M4444&lt;=원인분석!$C$11),"당기",IF(AND(M4444&gt;=원인분석!$C$12,M4444&lt;=원인분석!$C$13),"비교",""))))</f>
        <v/>
      </c>
      <c r="R4444" s="9">
        <f>IF(Q4444="","",$K4444&amp;"")</f>
        <v/>
      </c>
      <c r="S4444" s="9">
        <f>IF(Q4444="","",IF(MATCH(R4444,$R$5:$R$100000,0)=ROW()-4,ROW(),""))</f>
        <v/>
      </c>
      <c r="T4444" s="9">
        <f>IF(Q4444="당기",ABS(P4444)+ROW()/1000000000,"")</f>
        <v/>
      </c>
      <c r="U4444" s="9">
        <f>IF(Q4444="비교",ABS(P4444)+ROW()/1000000000,"")</f>
        <v/>
      </c>
      <c r="V4444" s="64">
        <f>IF($A4444="","",IF(COUNTIF(변동분석!$E$7:$E$506,O4444)&gt;0,"Y","N"))</f>
        <v/>
      </c>
      <c r="W4444" s="64">
        <f>IF($A4444="","",IFERROR(INDEX(계정매핑!$D$5:$D$504,MATCH($F4444&amp;"",계정매핑!$A$5:$A$504,0)),"미매핑"))</f>
        <v/>
      </c>
      <c r="X4444" s="9">
        <f>IF($A4444="","",$F4444&amp;"")</f>
        <v/>
      </c>
      <c r="Y4444" s="94">
        <f>IF($A4444="",0,IF(AE4444="직접",IF(AF4444="비귀속",$P4444,0),$P4444*(1-AG4444)*IFERROR(INDEX(계정대체기준!$F$20:$F$49,MATCH($N4444,계정대체기준!$A$20:$A$49,0)),1)))</f>
        <v/>
      </c>
      <c r="Z4444" s="94">
        <f>IF($A4444="",0,IF(AE4444="직접",IF(AF4444="신계약비",$P4444,0),$P4444*(1-AG4444)*IFERROR(INDEX(계정대체기준!$C$20:$C$49,MATCH($N4444,계정대체기준!$A$20:$A$49,0)),0)))</f>
        <v/>
      </c>
      <c r="AA4444" s="94">
        <f>IF($A4444="",0,IF(AE4444="직접",IF(OR(AF4444="유지비",AF4444="손해조사비"),$P4444,0),$P4444*(1-AG4444)*IFERROR(INDEX(계정대체기준!$D$20:$D$49,MATCH($N4444,계정대체기준!$A$20:$A$49,0)),0)))</f>
        <v/>
      </c>
      <c r="AB4444" s="94">
        <f>IF($A4444="",0,IF(AE4444="직접",IF(AF4444="수금비",$P4444,0),$P4444*(1-AG4444)*IFERROR(INDEX(계정대체기준!$E$20:$E$49,MATCH($N4444,계정대체기준!$A$20:$A$49,0)),0)))</f>
        <v/>
      </c>
      <c r="AC4444" s="9">
        <f>IF(AND($A4444&lt;&gt;"",M4444=설정!$C$20,Z4444&gt;0),Z4444+ROW()/1000000000,"")</f>
        <v/>
      </c>
      <c r="AD4444" s="94">
        <f>IF($A4444="",0,$P4444*AG4444)</f>
        <v/>
      </c>
      <c r="AE4444" s="64">
        <f>IF($A4444="","",IFERROR(INDEX(계정매핑!$E$5:$E$504,MATCH($F4444&amp;"",계정매핑!$A$5:$A$504,0))&amp;"","공통비"))</f>
        <v/>
      </c>
      <c r="AF4444" s="64">
        <f>IF($A4444="","",IF(AE4444="직접",IFERROR(INDEX(계정매핑!$F$5:$F$504,MATCH($F4444&amp;"",계정매핑!$A$5:$A$504,0))&amp;"","비귀속"),""))</f>
        <v/>
      </c>
      <c r="AG4444" s="96">
        <f>IF($A4444="",0,IF(AND(AE4444&lt;&gt;"직접",IFERROR(INDEX(계정매핑!$G$5:$G$504,MATCH($F4444&amp;"",계정매핑!$A$5:$A$504,0))&amp;"","")="유지비",COUNTIF(계정대체기준!$A$6:$A$15,$N4444)&gt;0),IFERROR(INDEX(계정대체기준!$E$6:$E$15,MATCH(VALUE($A4444&amp;""),계정대체기준!$D$6:$D$15,0)),0),0))</f>
        <v/>
      </c>
      <c r="AH4444" s="64">
        <f>IF($A4444="","",IF(AD4444=0,"",IF(OR(COUNTIF(계정대체기준!$A$77:$A$86,$N4444)&gt;0,ISNUMBER(MATCH($X4444,계정대체기준!$D$77:$D$86,0)),ISNUMBER(MATCH($F4444,계정대체기준!$D$77:$D$86,0))),"Y","N")))</f>
        <v/>
      </c>
    </row>
    <row r="4445">
      <c r="A4445" s="92" t="n">
        <v>2026</v>
      </c>
      <c r="B4445" s="92" t="n">
        <v>8</v>
      </c>
      <c r="C4445" s="92" t="inlineStr">
        <is>
          <t>5100001723</t>
        </is>
      </c>
      <c r="D4445" s="95" t="n">
        <v>46249</v>
      </c>
      <c r="E4445" s="92" t="inlineStr">
        <is>
          <t>KR</t>
        </is>
      </c>
      <c r="F4445" s="92" t="n">
        <v>63201000</v>
      </c>
      <c r="G4445" s="92" t="n">
        <v>1602</v>
      </c>
      <c r="H4445" s="93" t="n">
        <v>2004000</v>
      </c>
      <c r="I4445" s="92" t="inlineStr">
        <is>
          <t>8월 차량 유지 - H에너지</t>
        </is>
      </c>
      <c r="J4445" s="92" t="inlineStr">
        <is>
          <t>V10030</t>
        </is>
      </c>
      <c r="K4445" s="92" t="inlineStr">
        <is>
          <t>H에너지</t>
        </is>
      </c>
      <c r="M4445" s="9">
        <f>IF($A4445="","",VALUE($A4445&amp;"")*12+VALUE($B4445&amp;""))</f>
        <v/>
      </c>
      <c r="N4445" s="64">
        <f>IF($A4445="","",IFERROR(INDEX(부서매핑!$C$5:$C$504,MATCH($G4445&amp;"",부서매핑!$A$5:$A$504,0)),"미매핑"))</f>
        <v/>
      </c>
      <c r="O4445" s="9">
        <f>IF($A4445="","",N4445&amp;"|"&amp;$F4445)</f>
        <v/>
      </c>
      <c r="P4445" s="94">
        <f>IF($A4445="",0,$H4445*설정!$C$23)</f>
        <v/>
      </c>
      <c r="Q4445" s="64">
        <f>IF($A4445="","",IF(O4445&lt;&gt;원인분석!$C$9,"",IF(AND(M4445&gt;=원인분석!$C$10,M4445&lt;=원인분석!$C$11),"당기",IF(AND(M4445&gt;=원인분석!$C$12,M4445&lt;=원인분석!$C$13),"비교",""))))</f>
        <v/>
      </c>
      <c r="R4445" s="9">
        <f>IF(Q4445="","",$K4445&amp;"")</f>
        <v/>
      </c>
      <c r="S4445" s="9">
        <f>IF(Q4445="","",IF(MATCH(R4445,$R$5:$R$100000,0)=ROW()-4,ROW(),""))</f>
        <v/>
      </c>
      <c r="T4445" s="9">
        <f>IF(Q4445="당기",ABS(P4445)+ROW()/1000000000,"")</f>
        <v/>
      </c>
      <c r="U4445" s="9">
        <f>IF(Q4445="비교",ABS(P4445)+ROW()/1000000000,"")</f>
        <v/>
      </c>
      <c r="V4445" s="64">
        <f>IF($A4445="","",IF(COUNTIF(변동분석!$E$7:$E$506,O4445)&gt;0,"Y","N"))</f>
        <v/>
      </c>
      <c r="W4445" s="64">
        <f>IF($A4445="","",IFERROR(INDEX(계정매핑!$D$5:$D$504,MATCH($F4445&amp;"",계정매핑!$A$5:$A$504,0)),"미매핑"))</f>
        <v/>
      </c>
      <c r="X4445" s="9">
        <f>IF($A4445="","",$F4445&amp;"")</f>
        <v/>
      </c>
      <c r="Y4445" s="94">
        <f>IF($A4445="",0,IF(AE4445="직접",IF(AF4445="비귀속",$P4445,0),$P4445*(1-AG4445)*IFERROR(INDEX(계정대체기준!$F$20:$F$49,MATCH($N4445,계정대체기준!$A$20:$A$49,0)),1)))</f>
        <v/>
      </c>
      <c r="Z4445" s="94">
        <f>IF($A4445="",0,IF(AE4445="직접",IF(AF4445="신계약비",$P4445,0),$P4445*(1-AG4445)*IFERROR(INDEX(계정대체기준!$C$20:$C$49,MATCH($N4445,계정대체기준!$A$20:$A$49,0)),0)))</f>
        <v/>
      </c>
      <c r="AA4445" s="94">
        <f>IF($A4445="",0,IF(AE4445="직접",IF(OR(AF4445="유지비",AF4445="손해조사비"),$P4445,0),$P4445*(1-AG4445)*IFERROR(INDEX(계정대체기준!$D$20:$D$49,MATCH($N4445,계정대체기준!$A$20:$A$49,0)),0)))</f>
        <v/>
      </c>
      <c r="AB4445" s="94">
        <f>IF($A4445="",0,IF(AE4445="직접",IF(AF4445="수금비",$P4445,0),$P4445*(1-AG4445)*IFERROR(INDEX(계정대체기준!$E$20:$E$49,MATCH($N4445,계정대체기준!$A$20:$A$49,0)),0)))</f>
        <v/>
      </c>
      <c r="AC4445" s="9">
        <f>IF(AND($A4445&lt;&gt;"",M4445=설정!$C$20,Z4445&gt;0),Z4445+ROW()/1000000000,"")</f>
        <v/>
      </c>
      <c r="AD4445" s="94">
        <f>IF($A4445="",0,$P4445*AG4445)</f>
        <v/>
      </c>
      <c r="AE4445" s="64">
        <f>IF($A4445="","",IFERROR(INDEX(계정매핑!$E$5:$E$504,MATCH($F4445&amp;"",계정매핑!$A$5:$A$504,0))&amp;"","공통비"))</f>
        <v/>
      </c>
      <c r="AF4445" s="64">
        <f>IF($A4445="","",IF(AE4445="직접",IFERROR(INDEX(계정매핑!$F$5:$F$504,MATCH($F4445&amp;"",계정매핑!$A$5:$A$504,0))&amp;"","비귀속"),""))</f>
        <v/>
      </c>
      <c r="AG4445" s="96">
        <f>IF($A4445="",0,IF(AND(AE4445&lt;&gt;"직접",IFERROR(INDEX(계정매핑!$G$5:$G$504,MATCH($F4445&amp;"",계정매핑!$A$5:$A$504,0))&amp;"","")="유지비",COUNTIF(계정대체기준!$A$6:$A$15,$N4445)&gt;0),IFERROR(INDEX(계정대체기준!$E$6:$E$15,MATCH(VALUE($A4445&amp;""),계정대체기준!$D$6:$D$15,0)),0),0))</f>
        <v/>
      </c>
      <c r="AH4445" s="64">
        <f>IF($A4445="","",IF(AD4445=0,"",IF(OR(COUNTIF(계정대체기준!$A$77:$A$86,$N4445)&gt;0,ISNUMBER(MATCH($X4445,계정대체기준!$D$77:$D$86,0)),ISNUMBER(MATCH($F4445,계정대체기준!$D$77:$D$86,0))),"Y","N")))</f>
        <v/>
      </c>
    </row>
    <row r="4446">
      <c r="A4446" s="92" t="n">
        <v>2026</v>
      </c>
      <c r="B4446" s="92" t="n">
        <v>8</v>
      </c>
      <c r="C4446" s="92" t="inlineStr">
        <is>
          <t>5100001724</t>
        </is>
      </c>
      <c r="D4446" s="95" t="n">
        <v>46250</v>
      </c>
      <c r="E4446" s="92" t="inlineStr">
        <is>
          <t>KR</t>
        </is>
      </c>
      <c r="F4446" s="92" t="n">
        <v>62102000</v>
      </c>
      <c r="G4446" s="92" t="n">
        <v>1401</v>
      </c>
      <c r="H4446" s="93" t="n">
        <v>79000</v>
      </c>
      <c r="I4446" s="92" t="inlineStr">
        <is>
          <t>8월 해외출장 - N호텔</t>
        </is>
      </c>
      <c r="J4446" s="92" t="inlineStr">
        <is>
          <t>V10009</t>
        </is>
      </c>
      <c r="K4446" s="92" t="inlineStr">
        <is>
          <t>N호텔</t>
        </is>
      </c>
      <c r="M4446" s="9">
        <f>IF($A4446="","",VALUE($A4446&amp;"")*12+VALUE($B4446&amp;""))</f>
        <v/>
      </c>
      <c r="N4446" s="64">
        <f>IF($A4446="","",IFERROR(INDEX(부서매핑!$C$5:$C$504,MATCH($G4446&amp;"",부서매핑!$A$5:$A$504,0)),"미매핑"))</f>
        <v/>
      </c>
      <c r="O4446" s="9">
        <f>IF($A4446="","",N4446&amp;"|"&amp;$F4446)</f>
        <v/>
      </c>
      <c r="P4446" s="94">
        <f>IF($A4446="",0,$H4446*설정!$C$23)</f>
        <v/>
      </c>
      <c r="Q4446" s="64">
        <f>IF($A4446="","",IF(O4446&lt;&gt;원인분석!$C$9,"",IF(AND(M4446&gt;=원인분석!$C$10,M4446&lt;=원인분석!$C$11),"당기",IF(AND(M4446&gt;=원인분석!$C$12,M4446&lt;=원인분석!$C$13),"비교",""))))</f>
        <v/>
      </c>
      <c r="R4446" s="9">
        <f>IF(Q4446="","",$K4446&amp;"")</f>
        <v/>
      </c>
      <c r="S4446" s="9">
        <f>IF(Q4446="","",IF(MATCH(R4446,$R$5:$R$100000,0)=ROW()-4,ROW(),""))</f>
        <v/>
      </c>
      <c r="T4446" s="9">
        <f>IF(Q4446="당기",ABS(P4446)+ROW()/1000000000,"")</f>
        <v/>
      </c>
      <c r="U4446" s="9">
        <f>IF(Q4446="비교",ABS(P4446)+ROW()/1000000000,"")</f>
        <v/>
      </c>
      <c r="V4446" s="64">
        <f>IF($A4446="","",IF(COUNTIF(변동분석!$E$7:$E$506,O4446)&gt;0,"Y","N"))</f>
        <v/>
      </c>
      <c r="W4446" s="64">
        <f>IF($A4446="","",IFERROR(INDEX(계정매핑!$D$5:$D$504,MATCH($F4446&amp;"",계정매핑!$A$5:$A$504,0)),"미매핑"))</f>
        <v/>
      </c>
      <c r="X4446" s="9">
        <f>IF($A4446="","",$F4446&amp;"")</f>
        <v/>
      </c>
      <c r="Y4446" s="94">
        <f>IF($A4446="",0,IF(AE4446="직접",IF(AF4446="비귀속",$P4446,0),$P4446*(1-AG4446)*IFERROR(INDEX(계정대체기준!$F$20:$F$49,MATCH($N4446,계정대체기준!$A$20:$A$49,0)),1)))</f>
        <v/>
      </c>
      <c r="Z4446" s="94">
        <f>IF($A4446="",0,IF(AE4446="직접",IF(AF4446="신계약비",$P4446,0),$P4446*(1-AG4446)*IFERROR(INDEX(계정대체기준!$C$20:$C$49,MATCH($N4446,계정대체기준!$A$20:$A$49,0)),0)))</f>
        <v/>
      </c>
      <c r="AA4446" s="94">
        <f>IF($A4446="",0,IF(AE4446="직접",IF(OR(AF4446="유지비",AF4446="손해조사비"),$P4446,0),$P4446*(1-AG4446)*IFERROR(INDEX(계정대체기준!$D$20:$D$49,MATCH($N4446,계정대체기준!$A$20:$A$49,0)),0)))</f>
        <v/>
      </c>
      <c r="AB4446" s="94">
        <f>IF($A4446="",0,IF(AE4446="직접",IF(AF4446="수금비",$P4446,0),$P4446*(1-AG4446)*IFERROR(INDEX(계정대체기준!$E$20:$E$49,MATCH($N4446,계정대체기준!$A$20:$A$49,0)),0)))</f>
        <v/>
      </c>
      <c r="AC4446" s="9">
        <f>IF(AND($A4446&lt;&gt;"",M4446=설정!$C$20,Z4446&gt;0),Z4446+ROW()/1000000000,"")</f>
        <v/>
      </c>
      <c r="AD4446" s="94">
        <f>IF($A4446="",0,$P4446*AG4446)</f>
        <v/>
      </c>
      <c r="AE4446" s="64">
        <f>IF($A4446="","",IFERROR(INDEX(계정매핑!$E$5:$E$504,MATCH($F4446&amp;"",계정매핑!$A$5:$A$504,0))&amp;"","공통비"))</f>
        <v/>
      </c>
      <c r="AF4446" s="64">
        <f>IF($A4446="","",IF(AE4446="직접",IFERROR(INDEX(계정매핑!$F$5:$F$504,MATCH($F4446&amp;"",계정매핑!$A$5:$A$504,0))&amp;"","비귀속"),""))</f>
        <v/>
      </c>
      <c r="AG4446" s="96">
        <f>IF($A4446="",0,IF(AND(AE4446&lt;&gt;"직접",IFERROR(INDEX(계정매핑!$G$5:$G$504,MATCH($F4446&amp;"",계정매핑!$A$5:$A$504,0))&amp;"","")="유지비",COUNTIF(계정대체기준!$A$6:$A$15,$N4446)&gt;0),IFERROR(INDEX(계정대체기준!$E$6:$E$15,MATCH(VALUE($A4446&amp;""),계정대체기준!$D$6:$D$15,0)),0),0))</f>
        <v/>
      </c>
      <c r="AH4446" s="64">
        <f>IF($A4446="","",IF(AD4446=0,"",IF(OR(COUNTIF(계정대체기준!$A$77:$A$86,$N4446)&gt;0,ISNUMBER(MATCH($X4446,계정대체기준!$D$77:$D$86,0)),ISNUMBER(MATCH($F4446,계정대체기준!$D$77:$D$86,0))),"Y","N")))</f>
        <v/>
      </c>
    </row>
    <row r="4447">
      <c r="A4447" s="92" t="n">
        <v>2026</v>
      </c>
      <c r="B4447" s="92" t="n">
        <v>8</v>
      </c>
      <c r="C4447" s="92" t="inlineStr">
        <is>
          <t>5100001725</t>
        </is>
      </c>
      <c r="D4447" s="95" t="n">
        <v>46250</v>
      </c>
      <c r="E4447" s="92" t="inlineStr">
        <is>
          <t>KR</t>
        </is>
      </c>
      <c r="F4447" s="92" t="n">
        <v>62102000</v>
      </c>
      <c r="G4447" s="92" t="n">
        <v>1701</v>
      </c>
      <c r="H4447" s="93" t="n">
        <v>27000</v>
      </c>
      <c r="I4447" s="92" t="inlineStr">
        <is>
          <t>8월 해외출장 - M항공</t>
        </is>
      </c>
      <c r="J4447" s="92" t="inlineStr">
        <is>
          <t>V10001</t>
        </is>
      </c>
      <c r="K4447" s="92" t="inlineStr">
        <is>
          <t>M항공</t>
        </is>
      </c>
      <c r="M4447" s="9">
        <f>IF($A4447="","",VALUE($A4447&amp;"")*12+VALUE($B4447&amp;""))</f>
        <v/>
      </c>
      <c r="N4447" s="64">
        <f>IF($A4447="","",IFERROR(INDEX(부서매핑!$C$5:$C$504,MATCH($G4447&amp;"",부서매핑!$A$5:$A$504,0)),"미매핑"))</f>
        <v/>
      </c>
      <c r="O4447" s="9">
        <f>IF($A4447="","",N4447&amp;"|"&amp;$F4447)</f>
        <v/>
      </c>
      <c r="P4447" s="94">
        <f>IF($A4447="",0,$H4447*설정!$C$23)</f>
        <v/>
      </c>
      <c r="Q4447" s="64">
        <f>IF($A4447="","",IF(O4447&lt;&gt;원인분석!$C$9,"",IF(AND(M4447&gt;=원인분석!$C$10,M4447&lt;=원인분석!$C$11),"당기",IF(AND(M4447&gt;=원인분석!$C$12,M4447&lt;=원인분석!$C$13),"비교",""))))</f>
        <v/>
      </c>
      <c r="R4447" s="9">
        <f>IF(Q4447="","",$K4447&amp;"")</f>
        <v/>
      </c>
      <c r="S4447" s="9">
        <f>IF(Q4447="","",IF(MATCH(R4447,$R$5:$R$100000,0)=ROW()-4,ROW(),""))</f>
        <v/>
      </c>
      <c r="T4447" s="9">
        <f>IF(Q4447="당기",ABS(P4447)+ROW()/1000000000,"")</f>
        <v/>
      </c>
      <c r="U4447" s="9">
        <f>IF(Q4447="비교",ABS(P4447)+ROW()/1000000000,"")</f>
        <v/>
      </c>
      <c r="V4447" s="64">
        <f>IF($A4447="","",IF(COUNTIF(변동분석!$E$7:$E$506,O4447)&gt;0,"Y","N"))</f>
        <v/>
      </c>
      <c r="W4447" s="64">
        <f>IF($A4447="","",IFERROR(INDEX(계정매핑!$D$5:$D$504,MATCH($F4447&amp;"",계정매핑!$A$5:$A$504,0)),"미매핑"))</f>
        <v/>
      </c>
      <c r="X4447" s="9">
        <f>IF($A4447="","",$F4447&amp;"")</f>
        <v/>
      </c>
      <c r="Y4447" s="94">
        <f>IF($A4447="",0,IF(AE4447="직접",IF(AF4447="비귀속",$P4447,0),$P4447*(1-AG4447)*IFERROR(INDEX(계정대체기준!$F$20:$F$49,MATCH($N4447,계정대체기준!$A$20:$A$49,0)),1)))</f>
        <v/>
      </c>
      <c r="Z4447" s="94">
        <f>IF($A4447="",0,IF(AE4447="직접",IF(AF4447="신계약비",$P4447,0),$P4447*(1-AG4447)*IFERROR(INDEX(계정대체기준!$C$20:$C$49,MATCH($N4447,계정대체기준!$A$20:$A$49,0)),0)))</f>
        <v/>
      </c>
      <c r="AA4447" s="94">
        <f>IF($A4447="",0,IF(AE4447="직접",IF(OR(AF4447="유지비",AF4447="손해조사비"),$P4447,0),$P4447*(1-AG4447)*IFERROR(INDEX(계정대체기준!$D$20:$D$49,MATCH($N4447,계정대체기준!$A$20:$A$49,0)),0)))</f>
        <v/>
      </c>
      <c r="AB4447" s="94">
        <f>IF($A4447="",0,IF(AE4447="직접",IF(AF4447="수금비",$P4447,0),$P4447*(1-AG4447)*IFERROR(INDEX(계정대체기준!$E$20:$E$49,MATCH($N4447,계정대체기준!$A$20:$A$49,0)),0)))</f>
        <v/>
      </c>
      <c r="AC4447" s="9">
        <f>IF(AND($A4447&lt;&gt;"",M4447=설정!$C$20,Z4447&gt;0),Z4447+ROW()/1000000000,"")</f>
        <v/>
      </c>
      <c r="AD4447" s="94">
        <f>IF($A4447="",0,$P4447*AG4447)</f>
        <v/>
      </c>
      <c r="AE4447" s="64">
        <f>IF($A4447="","",IFERROR(INDEX(계정매핑!$E$5:$E$504,MATCH($F4447&amp;"",계정매핑!$A$5:$A$504,0))&amp;"","공통비"))</f>
        <v/>
      </c>
      <c r="AF4447" s="64">
        <f>IF($A4447="","",IF(AE4447="직접",IFERROR(INDEX(계정매핑!$F$5:$F$504,MATCH($F4447&amp;"",계정매핑!$A$5:$A$504,0))&amp;"","비귀속"),""))</f>
        <v/>
      </c>
      <c r="AG4447" s="96">
        <f>IF($A4447="",0,IF(AND(AE4447&lt;&gt;"직접",IFERROR(INDEX(계정매핑!$G$5:$G$504,MATCH($F4447&amp;"",계정매핑!$A$5:$A$504,0))&amp;"","")="유지비",COUNTIF(계정대체기준!$A$6:$A$15,$N4447)&gt;0),IFERROR(INDEX(계정대체기준!$E$6:$E$15,MATCH(VALUE($A4447&amp;""),계정대체기준!$D$6:$D$15,0)),0),0))</f>
        <v/>
      </c>
      <c r="AH4447" s="64">
        <f>IF($A4447="","",IF(AD4447=0,"",IF(OR(COUNTIF(계정대체기준!$A$77:$A$86,$N4447)&gt;0,ISNUMBER(MATCH($X4447,계정대체기준!$D$77:$D$86,0)),ISNUMBER(MATCH($F4447,계정대체기준!$D$77:$D$86,0))),"Y","N")))</f>
        <v/>
      </c>
    </row>
    <row r="4448">
      <c r="A4448" s="92" t="n">
        <v>2026</v>
      </c>
      <c r="B4448" s="92" t="n">
        <v>8</v>
      </c>
      <c r="C4448" s="92" t="inlineStr">
        <is>
          <t>5100001726</t>
        </is>
      </c>
      <c r="D4448" s="95" t="n">
        <v>46250</v>
      </c>
      <c r="E4448" s="92" t="inlineStr">
        <is>
          <t>KR</t>
        </is>
      </c>
      <c r="F4448" s="92" t="n">
        <v>62301000</v>
      </c>
      <c r="G4448" s="92" t="n">
        <v>1101</v>
      </c>
      <c r="H4448" s="93" t="n">
        <v>215000</v>
      </c>
      <c r="I4448" s="92" t="inlineStr">
        <is>
          <t>8월 소모품 구입 - Q오피스</t>
        </is>
      </c>
      <c r="J4448" s="92" t="inlineStr">
        <is>
          <t>V10003</t>
        </is>
      </c>
      <c r="K4448" s="92" t="inlineStr">
        <is>
          <t>Q오피스</t>
        </is>
      </c>
      <c r="M4448" s="9">
        <f>IF($A4448="","",VALUE($A4448&amp;"")*12+VALUE($B4448&amp;""))</f>
        <v/>
      </c>
      <c r="N4448" s="64">
        <f>IF($A4448="","",IFERROR(INDEX(부서매핑!$C$5:$C$504,MATCH($G4448&amp;"",부서매핑!$A$5:$A$504,0)),"미매핑"))</f>
        <v/>
      </c>
      <c r="O4448" s="9">
        <f>IF($A4448="","",N4448&amp;"|"&amp;$F4448)</f>
        <v/>
      </c>
      <c r="P4448" s="94">
        <f>IF($A4448="",0,$H4448*설정!$C$23)</f>
        <v/>
      </c>
      <c r="Q4448" s="64">
        <f>IF($A4448="","",IF(O4448&lt;&gt;원인분석!$C$9,"",IF(AND(M4448&gt;=원인분석!$C$10,M4448&lt;=원인분석!$C$11),"당기",IF(AND(M4448&gt;=원인분석!$C$12,M4448&lt;=원인분석!$C$13),"비교",""))))</f>
        <v/>
      </c>
      <c r="R4448" s="9">
        <f>IF(Q4448="","",$K4448&amp;"")</f>
        <v/>
      </c>
      <c r="S4448" s="9">
        <f>IF(Q4448="","",IF(MATCH(R4448,$R$5:$R$100000,0)=ROW()-4,ROW(),""))</f>
        <v/>
      </c>
      <c r="T4448" s="9">
        <f>IF(Q4448="당기",ABS(P4448)+ROW()/1000000000,"")</f>
        <v/>
      </c>
      <c r="U4448" s="9">
        <f>IF(Q4448="비교",ABS(P4448)+ROW()/1000000000,"")</f>
        <v/>
      </c>
      <c r="V4448" s="64">
        <f>IF($A4448="","",IF(COUNTIF(변동분석!$E$7:$E$506,O4448)&gt;0,"Y","N"))</f>
        <v/>
      </c>
      <c r="W4448" s="64">
        <f>IF($A4448="","",IFERROR(INDEX(계정매핑!$D$5:$D$504,MATCH($F4448&amp;"",계정매핑!$A$5:$A$504,0)),"미매핑"))</f>
        <v/>
      </c>
      <c r="X4448" s="9">
        <f>IF($A4448="","",$F4448&amp;"")</f>
        <v/>
      </c>
      <c r="Y4448" s="94">
        <f>IF($A4448="",0,IF(AE4448="직접",IF(AF4448="비귀속",$P4448,0),$P4448*(1-AG4448)*IFERROR(INDEX(계정대체기준!$F$20:$F$49,MATCH($N4448,계정대체기준!$A$20:$A$49,0)),1)))</f>
        <v/>
      </c>
      <c r="Z4448" s="94">
        <f>IF($A4448="",0,IF(AE4448="직접",IF(AF4448="신계약비",$P4448,0),$P4448*(1-AG4448)*IFERROR(INDEX(계정대체기준!$C$20:$C$49,MATCH($N4448,계정대체기준!$A$20:$A$49,0)),0)))</f>
        <v/>
      </c>
      <c r="AA4448" s="94">
        <f>IF($A4448="",0,IF(AE4448="직접",IF(OR(AF4448="유지비",AF4448="손해조사비"),$P4448,0),$P4448*(1-AG4448)*IFERROR(INDEX(계정대체기준!$D$20:$D$49,MATCH($N4448,계정대체기준!$A$20:$A$49,0)),0)))</f>
        <v/>
      </c>
      <c r="AB4448" s="94">
        <f>IF($A4448="",0,IF(AE4448="직접",IF(AF4448="수금비",$P4448,0),$P4448*(1-AG4448)*IFERROR(INDEX(계정대체기준!$E$20:$E$49,MATCH($N4448,계정대체기준!$A$20:$A$49,0)),0)))</f>
        <v/>
      </c>
      <c r="AC4448" s="9">
        <f>IF(AND($A4448&lt;&gt;"",M4448=설정!$C$20,Z4448&gt;0),Z4448+ROW()/1000000000,"")</f>
        <v/>
      </c>
      <c r="AD4448" s="94">
        <f>IF($A4448="",0,$P4448*AG4448)</f>
        <v/>
      </c>
      <c r="AE4448" s="64">
        <f>IF($A4448="","",IFERROR(INDEX(계정매핑!$E$5:$E$504,MATCH($F4448&amp;"",계정매핑!$A$5:$A$504,0))&amp;"","공통비"))</f>
        <v/>
      </c>
      <c r="AF4448" s="64">
        <f>IF($A4448="","",IF(AE4448="직접",IFERROR(INDEX(계정매핑!$F$5:$F$504,MATCH($F4448&amp;"",계정매핑!$A$5:$A$504,0))&amp;"","비귀속"),""))</f>
        <v/>
      </c>
      <c r="AG4448" s="96">
        <f>IF($A4448="",0,IF(AND(AE4448&lt;&gt;"직접",IFERROR(INDEX(계정매핑!$G$5:$G$504,MATCH($F4448&amp;"",계정매핑!$A$5:$A$504,0))&amp;"","")="유지비",COUNTIF(계정대체기준!$A$6:$A$15,$N4448)&gt;0),IFERROR(INDEX(계정대체기준!$E$6:$E$15,MATCH(VALUE($A4448&amp;""),계정대체기준!$D$6:$D$15,0)),0),0))</f>
        <v/>
      </c>
      <c r="AH4448" s="64">
        <f>IF($A4448="","",IF(AD4448=0,"",IF(OR(COUNTIF(계정대체기준!$A$77:$A$86,$N4448)&gt;0,ISNUMBER(MATCH($X4448,계정대체기준!$D$77:$D$86,0)),ISNUMBER(MATCH($F4448,계정대체기준!$D$77:$D$86,0))),"Y","N")))</f>
        <v/>
      </c>
    </row>
    <row r="4449">
      <c r="A4449" s="92" t="n">
        <v>2026</v>
      </c>
      <c r="B4449" s="92" t="n">
        <v>8</v>
      </c>
      <c r="C4449" s="92" t="inlineStr">
        <is>
          <t>5100001727</t>
        </is>
      </c>
      <c r="D4449" s="95" t="n">
        <v>46250</v>
      </c>
      <c r="E4449" s="92" t="inlineStr">
        <is>
          <t>KR</t>
        </is>
      </c>
      <c r="F4449" s="92" t="n">
        <v>62501000</v>
      </c>
      <c r="G4449" s="92" t="n">
        <v>1101</v>
      </c>
      <c r="H4449" s="93" t="n">
        <v>396000</v>
      </c>
      <c r="I4449" s="92" t="inlineStr">
        <is>
          <t>8월 회의 다과 - T케이터링</t>
        </is>
      </c>
      <c r="J4449" s="92" t="inlineStr">
        <is>
          <t>V10005</t>
        </is>
      </c>
      <c r="K4449" s="92" t="inlineStr">
        <is>
          <t>T케이터링</t>
        </is>
      </c>
      <c r="M4449" s="9">
        <f>IF($A4449="","",VALUE($A4449&amp;"")*12+VALUE($B4449&amp;""))</f>
        <v/>
      </c>
      <c r="N4449" s="64">
        <f>IF($A4449="","",IFERROR(INDEX(부서매핑!$C$5:$C$504,MATCH($G4449&amp;"",부서매핑!$A$5:$A$504,0)),"미매핑"))</f>
        <v/>
      </c>
      <c r="O4449" s="9">
        <f>IF($A4449="","",N4449&amp;"|"&amp;$F4449)</f>
        <v/>
      </c>
      <c r="P4449" s="94">
        <f>IF($A4449="",0,$H4449*설정!$C$23)</f>
        <v/>
      </c>
      <c r="Q4449" s="64">
        <f>IF($A4449="","",IF(O4449&lt;&gt;원인분석!$C$9,"",IF(AND(M4449&gt;=원인분석!$C$10,M4449&lt;=원인분석!$C$11),"당기",IF(AND(M4449&gt;=원인분석!$C$12,M4449&lt;=원인분석!$C$13),"비교",""))))</f>
        <v/>
      </c>
      <c r="R4449" s="9">
        <f>IF(Q4449="","",$K4449&amp;"")</f>
        <v/>
      </c>
      <c r="S4449" s="9">
        <f>IF(Q4449="","",IF(MATCH(R4449,$R$5:$R$100000,0)=ROW()-4,ROW(),""))</f>
        <v/>
      </c>
      <c r="T4449" s="9">
        <f>IF(Q4449="당기",ABS(P4449)+ROW()/1000000000,"")</f>
        <v/>
      </c>
      <c r="U4449" s="9">
        <f>IF(Q4449="비교",ABS(P4449)+ROW()/1000000000,"")</f>
        <v/>
      </c>
      <c r="V4449" s="64">
        <f>IF($A4449="","",IF(COUNTIF(변동분석!$E$7:$E$506,O4449)&gt;0,"Y","N"))</f>
        <v/>
      </c>
      <c r="W4449" s="64">
        <f>IF($A4449="","",IFERROR(INDEX(계정매핑!$D$5:$D$504,MATCH($F4449&amp;"",계정매핑!$A$5:$A$504,0)),"미매핑"))</f>
        <v/>
      </c>
      <c r="X4449" s="9">
        <f>IF($A4449="","",$F4449&amp;"")</f>
        <v/>
      </c>
      <c r="Y4449" s="94">
        <f>IF($A4449="",0,IF(AE4449="직접",IF(AF4449="비귀속",$P4449,0),$P4449*(1-AG4449)*IFERROR(INDEX(계정대체기준!$F$20:$F$49,MATCH($N4449,계정대체기준!$A$20:$A$49,0)),1)))</f>
        <v/>
      </c>
      <c r="Z4449" s="94">
        <f>IF($A4449="",0,IF(AE4449="직접",IF(AF4449="신계약비",$P4449,0),$P4449*(1-AG4449)*IFERROR(INDEX(계정대체기준!$C$20:$C$49,MATCH($N4449,계정대체기준!$A$20:$A$49,0)),0)))</f>
        <v/>
      </c>
      <c r="AA4449" s="94">
        <f>IF($A4449="",0,IF(AE4449="직접",IF(OR(AF4449="유지비",AF4449="손해조사비"),$P4449,0),$P4449*(1-AG4449)*IFERROR(INDEX(계정대체기준!$D$20:$D$49,MATCH($N4449,계정대체기준!$A$20:$A$49,0)),0)))</f>
        <v/>
      </c>
      <c r="AB4449" s="94">
        <f>IF($A4449="",0,IF(AE4449="직접",IF(AF4449="수금비",$P4449,0),$P4449*(1-AG4449)*IFERROR(INDEX(계정대체기준!$E$20:$E$49,MATCH($N4449,계정대체기준!$A$20:$A$49,0)),0)))</f>
        <v/>
      </c>
      <c r="AC4449" s="9">
        <f>IF(AND($A4449&lt;&gt;"",M4449=설정!$C$20,Z4449&gt;0),Z4449+ROW()/1000000000,"")</f>
        <v/>
      </c>
      <c r="AD4449" s="94">
        <f>IF($A4449="",0,$P4449*AG4449)</f>
        <v/>
      </c>
      <c r="AE4449" s="64">
        <f>IF($A4449="","",IFERROR(INDEX(계정매핑!$E$5:$E$504,MATCH($F4449&amp;"",계정매핑!$A$5:$A$504,0))&amp;"","공통비"))</f>
        <v/>
      </c>
      <c r="AF4449" s="64">
        <f>IF($A4449="","",IF(AE4449="직접",IFERROR(INDEX(계정매핑!$F$5:$F$504,MATCH($F4449&amp;"",계정매핑!$A$5:$A$504,0))&amp;"","비귀속"),""))</f>
        <v/>
      </c>
      <c r="AG4449" s="96">
        <f>IF($A4449="",0,IF(AND(AE4449&lt;&gt;"직접",IFERROR(INDEX(계정매핑!$G$5:$G$504,MATCH($F4449&amp;"",계정매핑!$A$5:$A$504,0))&amp;"","")="유지비",COUNTIF(계정대체기준!$A$6:$A$15,$N4449)&gt;0),IFERROR(INDEX(계정대체기준!$E$6:$E$15,MATCH(VALUE($A4449&amp;""),계정대체기준!$D$6:$D$15,0)),0),0))</f>
        <v/>
      </c>
      <c r="AH4449" s="64">
        <f>IF($A4449="","",IF(AD4449=0,"",IF(OR(COUNTIF(계정대체기준!$A$77:$A$86,$N4449)&gt;0,ISNUMBER(MATCH($X4449,계정대체기준!$D$77:$D$86,0)),ISNUMBER(MATCH($F4449,계정대체기준!$D$77:$D$86,0))),"Y","N")))</f>
        <v/>
      </c>
    </row>
    <row r="4450">
      <c r="A4450" s="92" t="n">
        <v>2026</v>
      </c>
      <c r="B4450" s="92" t="n">
        <v>8</v>
      </c>
      <c r="C4450" s="92" t="inlineStr">
        <is>
          <t>5100001728</t>
        </is>
      </c>
      <c r="D4450" s="95" t="n">
        <v>46250</v>
      </c>
      <c r="E4450" s="92" t="inlineStr">
        <is>
          <t>KR</t>
        </is>
      </c>
      <c r="F4450" s="92" t="n">
        <v>62901000</v>
      </c>
      <c r="G4450" s="92" t="n">
        <v>1951</v>
      </c>
      <c r="H4450" s="93" t="n">
        <v>5515000</v>
      </c>
      <c r="I4450" s="92" t="inlineStr">
        <is>
          <t>8월 자문 수수료 - W컨설팅</t>
        </is>
      </c>
      <c r="J4450" s="92" t="inlineStr">
        <is>
          <t>V10006</t>
        </is>
      </c>
      <c r="K4450" s="92" t="inlineStr">
        <is>
          <t>W컨설팅</t>
        </is>
      </c>
      <c r="M4450" s="9">
        <f>IF($A4450="","",VALUE($A4450&amp;"")*12+VALUE($B4450&amp;""))</f>
        <v/>
      </c>
      <c r="N4450" s="64">
        <f>IF($A4450="","",IFERROR(INDEX(부서매핑!$C$5:$C$504,MATCH($G4450&amp;"",부서매핑!$A$5:$A$504,0)),"미매핑"))</f>
        <v/>
      </c>
      <c r="O4450" s="9">
        <f>IF($A4450="","",N4450&amp;"|"&amp;$F4450)</f>
        <v/>
      </c>
      <c r="P4450" s="94">
        <f>IF($A4450="",0,$H4450*설정!$C$23)</f>
        <v/>
      </c>
      <c r="Q4450" s="64">
        <f>IF($A4450="","",IF(O4450&lt;&gt;원인분석!$C$9,"",IF(AND(M4450&gt;=원인분석!$C$10,M4450&lt;=원인분석!$C$11),"당기",IF(AND(M4450&gt;=원인분석!$C$12,M4450&lt;=원인분석!$C$13),"비교",""))))</f>
        <v/>
      </c>
      <c r="R4450" s="9">
        <f>IF(Q4450="","",$K4450&amp;"")</f>
        <v/>
      </c>
      <c r="S4450" s="9">
        <f>IF(Q4450="","",IF(MATCH(R4450,$R$5:$R$100000,0)=ROW()-4,ROW(),""))</f>
        <v/>
      </c>
      <c r="T4450" s="9">
        <f>IF(Q4450="당기",ABS(P4450)+ROW()/1000000000,"")</f>
        <v/>
      </c>
      <c r="U4450" s="9">
        <f>IF(Q4450="비교",ABS(P4450)+ROW()/1000000000,"")</f>
        <v/>
      </c>
      <c r="V4450" s="64">
        <f>IF($A4450="","",IF(COUNTIF(변동분석!$E$7:$E$506,O4450)&gt;0,"Y","N"))</f>
        <v/>
      </c>
      <c r="W4450" s="64">
        <f>IF($A4450="","",IFERROR(INDEX(계정매핑!$D$5:$D$504,MATCH($F4450&amp;"",계정매핑!$A$5:$A$504,0)),"미매핑"))</f>
        <v/>
      </c>
      <c r="X4450" s="9">
        <f>IF($A4450="","",$F4450&amp;"")</f>
        <v/>
      </c>
      <c r="Y4450" s="94">
        <f>IF($A4450="",0,IF(AE4450="직접",IF(AF4450="비귀속",$P4450,0),$P4450*(1-AG4450)*IFERROR(INDEX(계정대체기준!$F$20:$F$49,MATCH($N4450,계정대체기준!$A$20:$A$49,0)),1)))</f>
        <v/>
      </c>
      <c r="Z4450" s="94">
        <f>IF($A4450="",0,IF(AE4450="직접",IF(AF4450="신계약비",$P4450,0),$P4450*(1-AG4450)*IFERROR(INDEX(계정대체기준!$C$20:$C$49,MATCH($N4450,계정대체기준!$A$20:$A$49,0)),0)))</f>
        <v/>
      </c>
      <c r="AA4450" s="94">
        <f>IF($A4450="",0,IF(AE4450="직접",IF(OR(AF4450="유지비",AF4450="손해조사비"),$P4450,0),$P4450*(1-AG4450)*IFERROR(INDEX(계정대체기준!$D$20:$D$49,MATCH($N4450,계정대체기준!$A$20:$A$49,0)),0)))</f>
        <v/>
      </c>
      <c r="AB4450" s="94">
        <f>IF($A4450="",0,IF(AE4450="직접",IF(AF4450="수금비",$P4450,0),$P4450*(1-AG4450)*IFERROR(INDEX(계정대체기준!$E$20:$E$49,MATCH($N4450,계정대체기준!$A$20:$A$49,0)),0)))</f>
        <v/>
      </c>
      <c r="AC4450" s="9">
        <f>IF(AND($A4450&lt;&gt;"",M4450=설정!$C$20,Z4450&gt;0),Z4450+ROW()/1000000000,"")</f>
        <v/>
      </c>
      <c r="AD4450" s="94">
        <f>IF($A4450="",0,$P4450*AG4450)</f>
        <v/>
      </c>
      <c r="AE4450" s="64">
        <f>IF($A4450="","",IFERROR(INDEX(계정매핑!$E$5:$E$504,MATCH($F4450&amp;"",계정매핑!$A$5:$A$504,0))&amp;"","공통비"))</f>
        <v/>
      </c>
      <c r="AF4450" s="64">
        <f>IF($A4450="","",IF(AE4450="직접",IFERROR(INDEX(계정매핑!$F$5:$F$504,MATCH($F4450&amp;"",계정매핑!$A$5:$A$504,0))&amp;"","비귀속"),""))</f>
        <v/>
      </c>
      <c r="AG4450" s="96">
        <f>IF($A4450="",0,IF(AND(AE4450&lt;&gt;"직접",IFERROR(INDEX(계정매핑!$G$5:$G$504,MATCH($F4450&amp;"",계정매핑!$A$5:$A$504,0))&amp;"","")="유지비",COUNTIF(계정대체기준!$A$6:$A$15,$N4450)&gt;0),IFERROR(INDEX(계정대체기준!$E$6:$E$15,MATCH(VALUE($A4450&amp;""),계정대체기준!$D$6:$D$15,0)),0),0))</f>
        <v/>
      </c>
      <c r="AH4450" s="64">
        <f>IF($A4450="","",IF(AD4450=0,"",IF(OR(COUNTIF(계정대체기준!$A$77:$A$86,$N4450)&gt;0,ISNUMBER(MATCH($X4450,계정대체기준!$D$77:$D$86,0)),ISNUMBER(MATCH($F4450,계정대체기준!$D$77:$D$86,0))),"Y","N")))</f>
        <v/>
      </c>
    </row>
    <row r="4451">
      <c r="A4451" s="92" t="n">
        <v>2026</v>
      </c>
      <c r="B4451" s="92" t="n">
        <v>8</v>
      </c>
      <c r="C4451" s="92" t="inlineStr">
        <is>
          <t>5100001729</t>
        </is>
      </c>
      <c r="D4451" s="95" t="n">
        <v>46250</v>
      </c>
      <c r="E4451" s="92" t="inlineStr">
        <is>
          <t>KR</t>
        </is>
      </c>
      <c r="F4451" s="92" t="n">
        <v>62902000</v>
      </c>
      <c r="G4451" s="92" t="n">
        <v>1401</v>
      </c>
      <c r="H4451" s="93" t="n">
        <v>2891000</v>
      </c>
      <c r="I4451" s="92" t="inlineStr">
        <is>
          <t>8월 업무 위탁 수수료 - X서비스</t>
        </is>
      </c>
      <c r="J4451" s="92" t="inlineStr">
        <is>
          <t>V10020</t>
        </is>
      </c>
      <c r="K4451" s="92" t="inlineStr">
        <is>
          <t>X서비스</t>
        </is>
      </c>
      <c r="M4451" s="9">
        <f>IF($A4451="","",VALUE($A4451&amp;"")*12+VALUE($B4451&amp;""))</f>
        <v/>
      </c>
      <c r="N4451" s="64">
        <f>IF($A4451="","",IFERROR(INDEX(부서매핑!$C$5:$C$504,MATCH($G4451&amp;"",부서매핑!$A$5:$A$504,0)),"미매핑"))</f>
        <v/>
      </c>
      <c r="O4451" s="9">
        <f>IF($A4451="","",N4451&amp;"|"&amp;$F4451)</f>
        <v/>
      </c>
      <c r="P4451" s="94">
        <f>IF($A4451="",0,$H4451*설정!$C$23)</f>
        <v/>
      </c>
      <c r="Q4451" s="64">
        <f>IF($A4451="","",IF(O4451&lt;&gt;원인분석!$C$9,"",IF(AND(M4451&gt;=원인분석!$C$10,M4451&lt;=원인분석!$C$11),"당기",IF(AND(M4451&gt;=원인분석!$C$12,M4451&lt;=원인분석!$C$13),"비교",""))))</f>
        <v/>
      </c>
      <c r="R4451" s="9">
        <f>IF(Q4451="","",$K4451&amp;"")</f>
        <v/>
      </c>
      <c r="S4451" s="9">
        <f>IF(Q4451="","",IF(MATCH(R4451,$R$5:$R$100000,0)=ROW()-4,ROW(),""))</f>
        <v/>
      </c>
      <c r="T4451" s="9">
        <f>IF(Q4451="당기",ABS(P4451)+ROW()/1000000000,"")</f>
        <v/>
      </c>
      <c r="U4451" s="9">
        <f>IF(Q4451="비교",ABS(P4451)+ROW()/1000000000,"")</f>
        <v/>
      </c>
      <c r="V4451" s="64">
        <f>IF($A4451="","",IF(COUNTIF(변동분석!$E$7:$E$506,O4451)&gt;0,"Y","N"))</f>
        <v/>
      </c>
      <c r="W4451" s="64">
        <f>IF($A4451="","",IFERROR(INDEX(계정매핑!$D$5:$D$504,MATCH($F4451&amp;"",계정매핑!$A$5:$A$504,0)),"미매핑"))</f>
        <v/>
      </c>
      <c r="X4451" s="9">
        <f>IF($A4451="","",$F4451&amp;"")</f>
        <v/>
      </c>
      <c r="Y4451" s="94">
        <f>IF($A4451="",0,IF(AE4451="직접",IF(AF4451="비귀속",$P4451,0),$P4451*(1-AG4451)*IFERROR(INDEX(계정대체기준!$F$20:$F$49,MATCH($N4451,계정대체기준!$A$20:$A$49,0)),1)))</f>
        <v/>
      </c>
      <c r="Z4451" s="94">
        <f>IF($A4451="",0,IF(AE4451="직접",IF(AF4451="신계약비",$P4451,0),$P4451*(1-AG4451)*IFERROR(INDEX(계정대체기준!$C$20:$C$49,MATCH($N4451,계정대체기준!$A$20:$A$49,0)),0)))</f>
        <v/>
      </c>
      <c r="AA4451" s="94">
        <f>IF($A4451="",0,IF(AE4451="직접",IF(OR(AF4451="유지비",AF4451="손해조사비"),$P4451,0),$P4451*(1-AG4451)*IFERROR(INDEX(계정대체기준!$D$20:$D$49,MATCH($N4451,계정대체기준!$A$20:$A$49,0)),0)))</f>
        <v/>
      </c>
      <c r="AB4451" s="94">
        <f>IF($A4451="",0,IF(AE4451="직접",IF(AF4451="수금비",$P4451,0),$P4451*(1-AG4451)*IFERROR(INDEX(계정대체기준!$E$20:$E$49,MATCH($N4451,계정대체기준!$A$20:$A$49,0)),0)))</f>
        <v/>
      </c>
      <c r="AC4451" s="9">
        <f>IF(AND($A4451&lt;&gt;"",M4451=설정!$C$20,Z4451&gt;0),Z4451+ROW()/1000000000,"")</f>
        <v/>
      </c>
      <c r="AD4451" s="94">
        <f>IF($A4451="",0,$P4451*AG4451)</f>
        <v/>
      </c>
      <c r="AE4451" s="64">
        <f>IF($A4451="","",IFERROR(INDEX(계정매핑!$E$5:$E$504,MATCH($F4451&amp;"",계정매핑!$A$5:$A$504,0))&amp;"","공통비"))</f>
        <v/>
      </c>
      <c r="AF4451" s="64">
        <f>IF($A4451="","",IF(AE4451="직접",IFERROR(INDEX(계정매핑!$F$5:$F$504,MATCH($F4451&amp;"",계정매핑!$A$5:$A$504,0))&amp;"","비귀속"),""))</f>
        <v/>
      </c>
      <c r="AG4451" s="96">
        <f>IF($A4451="",0,IF(AND(AE4451&lt;&gt;"직접",IFERROR(INDEX(계정매핑!$G$5:$G$504,MATCH($F4451&amp;"",계정매핑!$A$5:$A$504,0))&amp;"","")="유지비",COUNTIF(계정대체기준!$A$6:$A$15,$N4451)&gt;0),IFERROR(INDEX(계정대체기준!$E$6:$E$15,MATCH(VALUE($A4451&amp;""),계정대체기준!$D$6:$D$15,0)),0),0))</f>
        <v/>
      </c>
      <c r="AH4451" s="64">
        <f>IF($A4451="","",IF(AD4451=0,"",IF(OR(COUNTIF(계정대체기준!$A$77:$A$86,$N4451)&gt;0,ISNUMBER(MATCH($X4451,계정대체기준!$D$77:$D$86,0)),ISNUMBER(MATCH($F4451,계정대체기준!$D$77:$D$86,0))),"Y","N")))</f>
        <v/>
      </c>
    </row>
    <row r="4452">
      <c r="A4452" s="92" t="n">
        <v>2026</v>
      </c>
      <c r="B4452" s="92" t="n">
        <v>8</v>
      </c>
      <c r="C4452" s="92" t="inlineStr">
        <is>
          <t>5100001730</t>
        </is>
      </c>
      <c r="D4452" s="95" t="n">
        <v>46250</v>
      </c>
      <c r="E4452" s="92" t="inlineStr">
        <is>
          <t>KR</t>
        </is>
      </c>
      <c r="F4452" s="92" t="n">
        <v>63001000</v>
      </c>
      <c r="G4452" s="92" t="n">
        <v>1951</v>
      </c>
      <c r="H4452" s="93" t="n">
        <v>2572000</v>
      </c>
      <c r="I4452" s="92" t="inlineStr">
        <is>
          <t>8월 SW 유지보수 - Z시스템</t>
        </is>
      </c>
      <c r="J4452" s="92" t="inlineStr">
        <is>
          <t>V10012</t>
        </is>
      </c>
      <c r="K4452" s="92" t="inlineStr">
        <is>
          <t>Z시스템</t>
        </is>
      </c>
      <c r="M4452" s="9">
        <f>IF($A4452="","",VALUE($A4452&amp;"")*12+VALUE($B4452&amp;""))</f>
        <v/>
      </c>
      <c r="N4452" s="64">
        <f>IF($A4452="","",IFERROR(INDEX(부서매핑!$C$5:$C$504,MATCH($G4452&amp;"",부서매핑!$A$5:$A$504,0)),"미매핑"))</f>
        <v/>
      </c>
      <c r="O4452" s="9">
        <f>IF($A4452="","",N4452&amp;"|"&amp;$F4452)</f>
        <v/>
      </c>
      <c r="P4452" s="94">
        <f>IF($A4452="",0,$H4452*설정!$C$23)</f>
        <v/>
      </c>
      <c r="Q4452" s="64">
        <f>IF($A4452="","",IF(O4452&lt;&gt;원인분석!$C$9,"",IF(AND(M4452&gt;=원인분석!$C$10,M4452&lt;=원인분석!$C$11),"당기",IF(AND(M4452&gt;=원인분석!$C$12,M4452&lt;=원인분석!$C$13),"비교",""))))</f>
        <v/>
      </c>
      <c r="R4452" s="9">
        <f>IF(Q4452="","",$K4452&amp;"")</f>
        <v/>
      </c>
      <c r="S4452" s="9">
        <f>IF(Q4452="","",IF(MATCH(R4452,$R$5:$R$100000,0)=ROW()-4,ROW(),""))</f>
        <v/>
      </c>
      <c r="T4452" s="9">
        <f>IF(Q4452="당기",ABS(P4452)+ROW()/1000000000,"")</f>
        <v/>
      </c>
      <c r="U4452" s="9">
        <f>IF(Q4452="비교",ABS(P4452)+ROW()/1000000000,"")</f>
        <v/>
      </c>
      <c r="V4452" s="64">
        <f>IF($A4452="","",IF(COUNTIF(변동분석!$E$7:$E$506,O4452)&gt;0,"Y","N"))</f>
        <v/>
      </c>
      <c r="W4452" s="64">
        <f>IF($A4452="","",IFERROR(INDEX(계정매핑!$D$5:$D$504,MATCH($F4452&amp;"",계정매핑!$A$5:$A$504,0)),"미매핑"))</f>
        <v/>
      </c>
      <c r="X4452" s="9">
        <f>IF($A4452="","",$F4452&amp;"")</f>
        <v/>
      </c>
      <c r="Y4452" s="94">
        <f>IF($A4452="",0,IF(AE4452="직접",IF(AF4452="비귀속",$P4452,0),$P4452*(1-AG4452)*IFERROR(INDEX(계정대체기준!$F$20:$F$49,MATCH($N4452,계정대체기준!$A$20:$A$49,0)),1)))</f>
        <v/>
      </c>
      <c r="Z4452" s="94">
        <f>IF($A4452="",0,IF(AE4452="직접",IF(AF4452="신계약비",$P4452,0),$P4452*(1-AG4452)*IFERROR(INDEX(계정대체기준!$C$20:$C$49,MATCH($N4452,계정대체기준!$A$20:$A$49,0)),0)))</f>
        <v/>
      </c>
      <c r="AA4452" s="94">
        <f>IF($A4452="",0,IF(AE4452="직접",IF(OR(AF4452="유지비",AF4452="손해조사비"),$P4452,0),$P4452*(1-AG4452)*IFERROR(INDEX(계정대체기준!$D$20:$D$49,MATCH($N4452,계정대체기준!$A$20:$A$49,0)),0)))</f>
        <v/>
      </c>
      <c r="AB4452" s="94">
        <f>IF($A4452="",0,IF(AE4452="직접",IF(AF4452="수금비",$P4452,0),$P4452*(1-AG4452)*IFERROR(INDEX(계정대체기준!$E$20:$E$49,MATCH($N4452,계정대체기준!$A$20:$A$49,0)),0)))</f>
        <v/>
      </c>
      <c r="AC4452" s="9">
        <f>IF(AND($A4452&lt;&gt;"",M4452=설정!$C$20,Z4452&gt;0),Z4452+ROW()/1000000000,"")</f>
        <v/>
      </c>
      <c r="AD4452" s="94">
        <f>IF($A4452="",0,$P4452*AG4452)</f>
        <v/>
      </c>
      <c r="AE4452" s="64">
        <f>IF($A4452="","",IFERROR(INDEX(계정매핑!$E$5:$E$504,MATCH($F4452&amp;"",계정매핑!$A$5:$A$504,0))&amp;"","공통비"))</f>
        <v/>
      </c>
      <c r="AF4452" s="64">
        <f>IF($A4452="","",IF(AE4452="직접",IFERROR(INDEX(계정매핑!$F$5:$F$504,MATCH($F4452&amp;"",계정매핑!$A$5:$A$504,0))&amp;"","비귀속"),""))</f>
        <v/>
      </c>
      <c r="AG4452" s="96">
        <f>IF($A4452="",0,IF(AND(AE4452&lt;&gt;"직접",IFERROR(INDEX(계정매핑!$G$5:$G$504,MATCH($F4452&amp;"",계정매핑!$A$5:$A$504,0))&amp;"","")="유지비",COUNTIF(계정대체기준!$A$6:$A$15,$N4452)&gt;0),IFERROR(INDEX(계정대체기준!$E$6:$E$15,MATCH(VALUE($A4452&amp;""),계정대체기준!$D$6:$D$15,0)),0),0))</f>
        <v/>
      </c>
      <c r="AH4452" s="64">
        <f>IF($A4452="","",IF(AD4452=0,"",IF(OR(COUNTIF(계정대체기준!$A$77:$A$86,$N4452)&gt;0,ISNUMBER(MATCH($X4452,계정대체기준!$D$77:$D$86,0)),ISNUMBER(MATCH($F4452,계정대체기준!$D$77:$D$86,0))),"Y","N")))</f>
        <v/>
      </c>
    </row>
    <row r="4453">
      <c r="A4453" s="92" t="n">
        <v>2026</v>
      </c>
      <c r="B4453" s="92" t="n">
        <v>8</v>
      </c>
      <c r="C4453" s="92" t="inlineStr">
        <is>
          <t>5100001731</t>
        </is>
      </c>
      <c r="D4453" s="95" t="n">
        <v>46251</v>
      </c>
      <c r="E4453" s="92" t="inlineStr">
        <is>
          <t>KR</t>
        </is>
      </c>
      <c r="F4453" s="92" t="n">
        <v>62101000</v>
      </c>
      <c r="G4453" s="92" t="n">
        <v>1401</v>
      </c>
      <c r="H4453" s="93" t="n">
        <v>356000</v>
      </c>
      <c r="I4453" s="92" t="inlineStr">
        <is>
          <t>8월 국내출장 - M항공</t>
        </is>
      </c>
      <c r="J4453" s="92" t="inlineStr">
        <is>
          <t>V10001</t>
        </is>
      </c>
      <c r="K4453" s="92" t="inlineStr">
        <is>
          <t>M항공</t>
        </is>
      </c>
      <c r="M4453" s="9">
        <f>IF($A4453="","",VALUE($A4453&amp;"")*12+VALUE($B4453&amp;""))</f>
        <v/>
      </c>
      <c r="N4453" s="64">
        <f>IF($A4453="","",IFERROR(INDEX(부서매핑!$C$5:$C$504,MATCH($G4453&amp;"",부서매핑!$A$5:$A$504,0)),"미매핑"))</f>
        <v/>
      </c>
      <c r="O4453" s="9">
        <f>IF($A4453="","",N4453&amp;"|"&amp;$F4453)</f>
        <v/>
      </c>
      <c r="P4453" s="94">
        <f>IF($A4453="",0,$H4453*설정!$C$23)</f>
        <v/>
      </c>
      <c r="Q4453" s="64">
        <f>IF($A4453="","",IF(O4453&lt;&gt;원인분석!$C$9,"",IF(AND(M4453&gt;=원인분석!$C$10,M4453&lt;=원인분석!$C$11),"당기",IF(AND(M4453&gt;=원인분석!$C$12,M4453&lt;=원인분석!$C$13),"비교",""))))</f>
        <v/>
      </c>
      <c r="R4453" s="9">
        <f>IF(Q4453="","",$K4453&amp;"")</f>
        <v/>
      </c>
      <c r="S4453" s="9">
        <f>IF(Q4453="","",IF(MATCH(R4453,$R$5:$R$100000,0)=ROW()-4,ROW(),""))</f>
        <v/>
      </c>
      <c r="T4453" s="9">
        <f>IF(Q4453="당기",ABS(P4453)+ROW()/1000000000,"")</f>
        <v/>
      </c>
      <c r="U4453" s="9">
        <f>IF(Q4453="비교",ABS(P4453)+ROW()/1000000000,"")</f>
        <v/>
      </c>
      <c r="V4453" s="64">
        <f>IF($A4453="","",IF(COUNTIF(변동분석!$E$7:$E$506,O4453)&gt;0,"Y","N"))</f>
        <v/>
      </c>
      <c r="W4453" s="64">
        <f>IF($A4453="","",IFERROR(INDEX(계정매핑!$D$5:$D$504,MATCH($F4453&amp;"",계정매핑!$A$5:$A$504,0)),"미매핑"))</f>
        <v/>
      </c>
      <c r="X4453" s="9">
        <f>IF($A4453="","",$F4453&amp;"")</f>
        <v/>
      </c>
      <c r="Y4453" s="94">
        <f>IF($A4453="",0,IF(AE4453="직접",IF(AF4453="비귀속",$P4453,0),$P4453*(1-AG4453)*IFERROR(INDEX(계정대체기준!$F$20:$F$49,MATCH($N4453,계정대체기준!$A$20:$A$49,0)),1)))</f>
        <v/>
      </c>
      <c r="Z4453" s="94">
        <f>IF($A4453="",0,IF(AE4453="직접",IF(AF4453="신계약비",$P4453,0),$P4453*(1-AG4453)*IFERROR(INDEX(계정대체기준!$C$20:$C$49,MATCH($N4453,계정대체기준!$A$20:$A$49,0)),0)))</f>
        <v/>
      </c>
      <c r="AA4453" s="94">
        <f>IF($A4453="",0,IF(AE4453="직접",IF(OR(AF4453="유지비",AF4453="손해조사비"),$P4453,0),$P4453*(1-AG4453)*IFERROR(INDEX(계정대체기준!$D$20:$D$49,MATCH($N4453,계정대체기준!$A$20:$A$49,0)),0)))</f>
        <v/>
      </c>
      <c r="AB4453" s="94">
        <f>IF($A4453="",0,IF(AE4453="직접",IF(AF4453="수금비",$P4453,0),$P4453*(1-AG4453)*IFERROR(INDEX(계정대체기준!$E$20:$E$49,MATCH($N4453,계정대체기준!$A$20:$A$49,0)),0)))</f>
        <v/>
      </c>
      <c r="AC4453" s="9">
        <f>IF(AND($A4453&lt;&gt;"",M4453=설정!$C$20,Z4453&gt;0),Z4453+ROW()/1000000000,"")</f>
        <v/>
      </c>
      <c r="AD4453" s="94">
        <f>IF($A4453="",0,$P4453*AG4453)</f>
        <v/>
      </c>
      <c r="AE4453" s="64">
        <f>IF($A4453="","",IFERROR(INDEX(계정매핑!$E$5:$E$504,MATCH($F4453&amp;"",계정매핑!$A$5:$A$504,0))&amp;"","공통비"))</f>
        <v/>
      </c>
      <c r="AF4453" s="64">
        <f>IF($A4453="","",IF(AE4453="직접",IFERROR(INDEX(계정매핑!$F$5:$F$504,MATCH($F4453&amp;"",계정매핑!$A$5:$A$504,0))&amp;"","비귀속"),""))</f>
        <v/>
      </c>
      <c r="AG4453" s="96">
        <f>IF($A4453="",0,IF(AND(AE4453&lt;&gt;"직접",IFERROR(INDEX(계정매핑!$G$5:$G$504,MATCH($F4453&amp;"",계정매핑!$A$5:$A$504,0))&amp;"","")="유지비",COUNTIF(계정대체기준!$A$6:$A$15,$N4453)&gt;0),IFERROR(INDEX(계정대체기준!$E$6:$E$15,MATCH(VALUE($A4453&amp;""),계정대체기준!$D$6:$D$15,0)),0),0))</f>
        <v/>
      </c>
      <c r="AH4453" s="64">
        <f>IF($A4453="","",IF(AD4453=0,"",IF(OR(COUNTIF(계정대체기준!$A$77:$A$86,$N4453)&gt;0,ISNUMBER(MATCH($X4453,계정대체기준!$D$77:$D$86,0)),ISNUMBER(MATCH($F4453,계정대체기준!$D$77:$D$86,0))),"Y","N")))</f>
        <v/>
      </c>
    </row>
    <row r="4454">
      <c r="A4454" s="92" t="n">
        <v>2026</v>
      </c>
      <c r="B4454" s="92" t="n">
        <v>8</v>
      </c>
      <c r="C4454" s="92" t="inlineStr">
        <is>
          <t>5100001732</t>
        </is>
      </c>
      <c r="D4454" s="95" t="n">
        <v>46251</v>
      </c>
      <c r="E4454" s="92" t="inlineStr">
        <is>
          <t>KR</t>
        </is>
      </c>
      <c r="F4454" s="92" t="n">
        <v>62101000</v>
      </c>
      <c r="G4454" s="92" t="n">
        <v>1501</v>
      </c>
      <c r="H4454" s="93" t="n">
        <v>397000</v>
      </c>
      <c r="I4454" s="92" t="inlineStr">
        <is>
          <t>8월 국내출장 - M항공</t>
        </is>
      </c>
      <c r="J4454" s="92" t="inlineStr">
        <is>
          <t>V10001</t>
        </is>
      </c>
      <c r="K4454" s="92" t="inlineStr">
        <is>
          <t>M항공</t>
        </is>
      </c>
      <c r="M4454" s="9">
        <f>IF($A4454="","",VALUE($A4454&amp;"")*12+VALUE($B4454&amp;""))</f>
        <v/>
      </c>
      <c r="N4454" s="64">
        <f>IF($A4454="","",IFERROR(INDEX(부서매핑!$C$5:$C$504,MATCH($G4454&amp;"",부서매핑!$A$5:$A$504,0)),"미매핑"))</f>
        <v/>
      </c>
      <c r="O4454" s="9">
        <f>IF($A4454="","",N4454&amp;"|"&amp;$F4454)</f>
        <v/>
      </c>
      <c r="P4454" s="94">
        <f>IF($A4454="",0,$H4454*설정!$C$23)</f>
        <v/>
      </c>
      <c r="Q4454" s="64">
        <f>IF($A4454="","",IF(O4454&lt;&gt;원인분석!$C$9,"",IF(AND(M4454&gt;=원인분석!$C$10,M4454&lt;=원인분석!$C$11),"당기",IF(AND(M4454&gt;=원인분석!$C$12,M4454&lt;=원인분석!$C$13),"비교",""))))</f>
        <v/>
      </c>
      <c r="R4454" s="9">
        <f>IF(Q4454="","",$K4454&amp;"")</f>
        <v/>
      </c>
      <c r="S4454" s="9">
        <f>IF(Q4454="","",IF(MATCH(R4454,$R$5:$R$100000,0)=ROW()-4,ROW(),""))</f>
        <v/>
      </c>
      <c r="T4454" s="9">
        <f>IF(Q4454="당기",ABS(P4454)+ROW()/1000000000,"")</f>
        <v/>
      </c>
      <c r="U4454" s="9">
        <f>IF(Q4454="비교",ABS(P4454)+ROW()/1000000000,"")</f>
        <v/>
      </c>
      <c r="V4454" s="64">
        <f>IF($A4454="","",IF(COUNTIF(변동분석!$E$7:$E$506,O4454)&gt;0,"Y","N"))</f>
        <v/>
      </c>
      <c r="W4454" s="64">
        <f>IF($A4454="","",IFERROR(INDEX(계정매핑!$D$5:$D$504,MATCH($F4454&amp;"",계정매핑!$A$5:$A$504,0)),"미매핑"))</f>
        <v/>
      </c>
      <c r="X4454" s="9">
        <f>IF($A4454="","",$F4454&amp;"")</f>
        <v/>
      </c>
      <c r="Y4454" s="94">
        <f>IF($A4454="",0,IF(AE4454="직접",IF(AF4454="비귀속",$P4454,0),$P4454*(1-AG4454)*IFERROR(INDEX(계정대체기준!$F$20:$F$49,MATCH($N4454,계정대체기준!$A$20:$A$49,0)),1)))</f>
        <v/>
      </c>
      <c r="Z4454" s="94">
        <f>IF($A4454="",0,IF(AE4454="직접",IF(AF4454="신계약비",$P4454,0),$P4454*(1-AG4454)*IFERROR(INDEX(계정대체기준!$C$20:$C$49,MATCH($N4454,계정대체기준!$A$20:$A$49,0)),0)))</f>
        <v/>
      </c>
      <c r="AA4454" s="94">
        <f>IF($A4454="",0,IF(AE4454="직접",IF(OR(AF4454="유지비",AF4454="손해조사비"),$P4454,0),$P4454*(1-AG4454)*IFERROR(INDEX(계정대체기준!$D$20:$D$49,MATCH($N4454,계정대체기준!$A$20:$A$49,0)),0)))</f>
        <v/>
      </c>
      <c r="AB4454" s="94">
        <f>IF($A4454="",0,IF(AE4454="직접",IF(AF4454="수금비",$P4454,0),$P4454*(1-AG4454)*IFERROR(INDEX(계정대체기준!$E$20:$E$49,MATCH($N4454,계정대체기준!$A$20:$A$49,0)),0)))</f>
        <v/>
      </c>
      <c r="AC4454" s="9">
        <f>IF(AND($A4454&lt;&gt;"",M4454=설정!$C$20,Z4454&gt;0),Z4454+ROW()/1000000000,"")</f>
        <v/>
      </c>
      <c r="AD4454" s="94">
        <f>IF($A4454="",0,$P4454*AG4454)</f>
        <v/>
      </c>
      <c r="AE4454" s="64">
        <f>IF($A4454="","",IFERROR(INDEX(계정매핑!$E$5:$E$504,MATCH($F4454&amp;"",계정매핑!$A$5:$A$504,0))&amp;"","공통비"))</f>
        <v/>
      </c>
      <c r="AF4454" s="64">
        <f>IF($A4454="","",IF(AE4454="직접",IFERROR(INDEX(계정매핑!$F$5:$F$504,MATCH($F4454&amp;"",계정매핑!$A$5:$A$504,0))&amp;"","비귀속"),""))</f>
        <v/>
      </c>
      <c r="AG4454" s="96">
        <f>IF($A4454="",0,IF(AND(AE4454&lt;&gt;"직접",IFERROR(INDEX(계정매핑!$G$5:$G$504,MATCH($F4454&amp;"",계정매핑!$A$5:$A$504,0))&amp;"","")="유지비",COUNTIF(계정대체기준!$A$6:$A$15,$N4454)&gt;0),IFERROR(INDEX(계정대체기준!$E$6:$E$15,MATCH(VALUE($A4454&amp;""),계정대체기준!$D$6:$D$15,0)),0),0))</f>
        <v/>
      </c>
      <c r="AH4454" s="64">
        <f>IF($A4454="","",IF(AD4454=0,"",IF(OR(COUNTIF(계정대체기준!$A$77:$A$86,$N4454)&gt;0,ISNUMBER(MATCH($X4454,계정대체기준!$D$77:$D$86,0)),ISNUMBER(MATCH($F4454,계정대체기준!$D$77:$D$86,0))),"Y","N")))</f>
        <v/>
      </c>
    </row>
    <row r="4455">
      <c r="A4455" s="92" t="n">
        <v>2026</v>
      </c>
      <c r="B4455" s="92" t="n">
        <v>8</v>
      </c>
      <c r="C4455" s="92" t="inlineStr">
        <is>
          <t>5100001733</t>
        </is>
      </c>
      <c r="D4455" s="95" t="n">
        <v>46251</v>
      </c>
      <c r="E4455" s="92" t="inlineStr">
        <is>
          <t>KR</t>
        </is>
      </c>
      <c r="F4455" s="92" t="n">
        <v>62101000</v>
      </c>
      <c r="G4455" s="92" t="n">
        <v>1601</v>
      </c>
      <c r="H4455" s="93" t="n">
        <v>1024000</v>
      </c>
      <c r="I4455" s="92" t="inlineStr">
        <is>
          <t>8월 국내출장 - (법인카드)</t>
        </is>
      </c>
      <c r="J4455" s="92" t="inlineStr">
        <is>
          <t>V10010</t>
        </is>
      </c>
      <c r="K4455" s="92" t="inlineStr">
        <is>
          <t>(법인카드)</t>
        </is>
      </c>
      <c r="M4455" s="9">
        <f>IF($A4455="","",VALUE($A4455&amp;"")*12+VALUE($B4455&amp;""))</f>
        <v/>
      </c>
      <c r="N4455" s="64">
        <f>IF($A4455="","",IFERROR(INDEX(부서매핑!$C$5:$C$504,MATCH($G4455&amp;"",부서매핑!$A$5:$A$504,0)),"미매핑"))</f>
        <v/>
      </c>
      <c r="O4455" s="9">
        <f>IF($A4455="","",N4455&amp;"|"&amp;$F4455)</f>
        <v/>
      </c>
      <c r="P4455" s="94">
        <f>IF($A4455="",0,$H4455*설정!$C$23)</f>
        <v/>
      </c>
      <c r="Q4455" s="64">
        <f>IF($A4455="","",IF(O4455&lt;&gt;원인분석!$C$9,"",IF(AND(M4455&gt;=원인분석!$C$10,M4455&lt;=원인분석!$C$11),"당기",IF(AND(M4455&gt;=원인분석!$C$12,M4455&lt;=원인분석!$C$13),"비교",""))))</f>
        <v/>
      </c>
      <c r="R4455" s="9">
        <f>IF(Q4455="","",$K4455&amp;"")</f>
        <v/>
      </c>
      <c r="S4455" s="9">
        <f>IF(Q4455="","",IF(MATCH(R4455,$R$5:$R$100000,0)=ROW()-4,ROW(),""))</f>
        <v/>
      </c>
      <c r="T4455" s="9">
        <f>IF(Q4455="당기",ABS(P4455)+ROW()/1000000000,"")</f>
        <v/>
      </c>
      <c r="U4455" s="9">
        <f>IF(Q4455="비교",ABS(P4455)+ROW()/1000000000,"")</f>
        <v/>
      </c>
      <c r="V4455" s="64">
        <f>IF($A4455="","",IF(COUNTIF(변동분석!$E$7:$E$506,O4455)&gt;0,"Y","N"))</f>
        <v/>
      </c>
      <c r="W4455" s="64">
        <f>IF($A4455="","",IFERROR(INDEX(계정매핑!$D$5:$D$504,MATCH($F4455&amp;"",계정매핑!$A$5:$A$504,0)),"미매핑"))</f>
        <v/>
      </c>
      <c r="X4455" s="9">
        <f>IF($A4455="","",$F4455&amp;"")</f>
        <v/>
      </c>
      <c r="Y4455" s="94">
        <f>IF($A4455="",0,IF(AE4455="직접",IF(AF4455="비귀속",$P4455,0),$P4455*(1-AG4455)*IFERROR(INDEX(계정대체기준!$F$20:$F$49,MATCH($N4455,계정대체기준!$A$20:$A$49,0)),1)))</f>
        <v/>
      </c>
      <c r="Z4455" s="94">
        <f>IF($A4455="",0,IF(AE4455="직접",IF(AF4455="신계약비",$P4455,0),$P4455*(1-AG4455)*IFERROR(INDEX(계정대체기준!$C$20:$C$49,MATCH($N4455,계정대체기준!$A$20:$A$49,0)),0)))</f>
        <v/>
      </c>
      <c r="AA4455" s="94">
        <f>IF($A4455="",0,IF(AE4455="직접",IF(OR(AF4455="유지비",AF4455="손해조사비"),$P4455,0),$P4455*(1-AG4455)*IFERROR(INDEX(계정대체기준!$D$20:$D$49,MATCH($N4455,계정대체기준!$A$20:$A$49,0)),0)))</f>
        <v/>
      </c>
      <c r="AB4455" s="94">
        <f>IF($A4455="",0,IF(AE4455="직접",IF(AF4455="수금비",$P4455,0),$P4455*(1-AG4455)*IFERROR(INDEX(계정대체기준!$E$20:$E$49,MATCH($N4455,계정대체기준!$A$20:$A$49,0)),0)))</f>
        <v/>
      </c>
      <c r="AC4455" s="9">
        <f>IF(AND($A4455&lt;&gt;"",M4455=설정!$C$20,Z4455&gt;0),Z4455+ROW()/1000000000,"")</f>
        <v/>
      </c>
      <c r="AD4455" s="94">
        <f>IF($A4455="",0,$P4455*AG4455)</f>
        <v/>
      </c>
      <c r="AE4455" s="64">
        <f>IF($A4455="","",IFERROR(INDEX(계정매핑!$E$5:$E$504,MATCH($F4455&amp;"",계정매핑!$A$5:$A$504,0))&amp;"","공통비"))</f>
        <v/>
      </c>
      <c r="AF4455" s="64">
        <f>IF($A4455="","",IF(AE4455="직접",IFERROR(INDEX(계정매핑!$F$5:$F$504,MATCH($F4455&amp;"",계정매핑!$A$5:$A$504,0))&amp;"","비귀속"),""))</f>
        <v/>
      </c>
      <c r="AG4455" s="96">
        <f>IF($A4455="",0,IF(AND(AE4455&lt;&gt;"직접",IFERROR(INDEX(계정매핑!$G$5:$G$504,MATCH($F4455&amp;"",계정매핑!$A$5:$A$504,0))&amp;"","")="유지비",COUNTIF(계정대체기준!$A$6:$A$15,$N4455)&gt;0),IFERROR(INDEX(계정대체기준!$E$6:$E$15,MATCH(VALUE($A4455&amp;""),계정대체기준!$D$6:$D$15,0)),0),0))</f>
        <v/>
      </c>
      <c r="AH4455" s="64">
        <f>IF($A4455="","",IF(AD4455=0,"",IF(OR(COUNTIF(계정대체기준!$A$77:$A$86,$N4455)&gt;0,ISNUMBER(MATCH($X4455,계정대체기준!$D$77:$D$86,0)),ISNUMBER(MATCH($F4455,계정대체기준!$D$77:$D$86,0))),"Y","N")))</f>
        <v/>
      </c>
    </row>
    <row r="4456">
      <c r="A4456" s="92" t="n">
        <v>2026</v>
      </c>
      <c r="B4456" s="92" t="n">
        <v>8</v>
      </c>
      <c r="C4456" s="92" t="inlineStr">
        <is>
          <t>5100001734</t>
        </is>
      </c>
      <c r="D4456" s="95" t="n">
        <v>46251</v>
      </c>
      <c r="E4456" s="92" t="inlineStr">
        <is>
          <t>KR</t>
        </is>
      </c>
      <c r="F4456" s="92" t="n">
        <v>62301000</v>
      </c>
      <c r="G4456" s="92" t="n">
        <v>1501</v>
      </c>
      <c r="H4456" s="93" t="n">
        <v>315000</v>
      </c>
      <c r="I4456" s="92" t="inlineStr">
        <is>
          <t>8월 소모품 구입 - R문구</t>
        </is>
      </c>
      <c r="J4456" s="92" t="inlineStr">
        <is>
          <t>V10022</t>
        </is>
      </c>
      <c r="K4456" s="92" t="inlineStr">
        <is>
          <t>R문구</t>
        </is>
      </c>
      <c r="M4456" s="9">
        <f>IF($A4456="","",VALUE($A4456&amp;"")*12+VALUE($B4456&amp;""))</f>
        <v/>
      </c>
      <c r="N4456" s="64">
        <f>IF($A4456="","",IFERROR(INDEX(부서매핑!$C$5:$C$504,MATCH($G4456&amp;"",부서매핑!$A$5:$A$504,0)),"미매핑"))</f>
        <v/>
      </c>
      <c r="O4456" s="9">
        <f>IF($A4456="","",N4456&amp;"|"&amp;$F4456)</f>
        <v/>
      </c>
      <c r="P4456" s="94">
        <f>IF($A4456="",0,$H4456*설정!$C$23)</f>
        <v/>
      </c>
      <c r="Q4456" s="64">
        <f>IF($A4456="","",IF(O4456&lt;&gt;원인분석!$C$9,"",IF(AND(M4456&gt;=원인분석!$C$10,M4456&lt;=원인분석!$C$11),"당기",IF(AND(M4456&gt;=원인분석!$C$12,M4456&lt;=원인분석!$C$13),"비교",""))))</f>
        <v/>
      </c>
      <c r="R4456" s="9">
        <f>IF(Q4456="","",$K4456&amp;"")</f>
        <v/>
      </c>
      <c r="S4456" s="9">
        <f>IF(Q4456="","",IF(MATCH(R4456,$R$5:$R$100000,0)=ROW()-4,ROW(),""))</f>
        <v/>
      </c>
      <c r="T4456" s="9">
        <f>IF(Q4456="당기",ABS(P4456)+ROW()/1000000000,"")</f>
        <v/>
      </c>
      <c r="U4456" s="9">
        <f>IF(Q4456="비교",ABS(P4456)+ROW()/1000000000,"")</f>
        <v/>
      </c>
      <c r="V4456" s="64">
        <f>IF($A4456="","",IF(COUNTIF(변동분석!$E$7:$E$506,O4456)&gt;0,"Y","N"))</f>
        <v/>
      </c>
      <c r="W4456" s="64">
        <f>IF($A4456="","",IFERROR(INDEX(계정매핑!$D$5:$D$504,MATCH($F4456&amp;"",계정매핑!$A$5:$A$504,0)),"미매핑"))</f>
        <v/>
      </c>
      <c r="X4456" s="9">
        <f>IF($A4456="","",$F4456&amp;"")</f>
        <v/>
      </c>
      <c r="Y4456" s="94">
        <f>IF($A4456="",0,IF(AE4456="직접",IF(AF4456="비귀속",$P4456,0),$P4456*(1-AG4456)*IFERROR(INDEX(계정대체기준!$F$20:$F$49,MATCH($N4456,계정대체기준!$A$20:$A$49,0)),1)))</f>
        <v/>
      </c>
      <c r="Z4456" s="94">
        <f>IF($A4456="",0,IF(AE4456="직접",IF(AF4456="신계약비",$P4456,0),$P4456*(1-AG4456)*IFERROR(INDEX(계정대체기준!$C$20:$C$49,MATCH($N4456,계정대체기준!$A$20:$A$49,0)),0)))</f>
        <v/>
      </c>
      <c r="AA4456" s="94">
        <f>IF($A4456="",0,IF(AE4456="직접",IF(OR(AF4456="유지비",AF4456="손해조사비"),$P4456,0),$P4456*(1-AG4456)*IFERROR(INDEX(계정대체기준!$D$20:$D$49,MATCH($N4456,계정대체기준!$A$20:$A$49,0)),0)))</f>
        <v/>
      </c>
      <c r="AB4456" s="94">
        <f>IF($A4456="",0,IF(AE4456="직접",IF(AF4456="수금비",$P4456,0),$P4456*(1-AG4456)*IFERROR(INDEX(계정대체기준!$E$20:$E$49,MATCH($N4456,계정대체기준!$A$20:$A$49,0)),0)))</f>
        <v/>
      </c>
      <c r="AC4456" s="9">
        <f>IF(AND($A4456&lt;&gt;"",M4456=설정!$C$20,Z4456&gt;0),Z4456+ROW()/1000000000,"")</f>
        <v/>
      </c>
      <c r="AD4456" s="94">
        <f>IF($A4456="",0,$P4456*AG4456)</f>
        <v/>
      </c>
      <c r="AE4456" s="64">
        <f>IF($A4456="","",IFERROR(INDEX(계정매핑!$E$5:$E$504,MATCH($F4456&amp;"",계정매핑!$A$5:$A$504,0))&amp;"","공통비"))</f>
        <v/>
      </c>
      <c r="AF4456" s="64">
        <f>IF($A4456="","",IF(AE4456="직접",IFERROR(INDEX(계정매핑!$F$5:$F$504,MATCH($F4456&amp;"",계정매핑!$A$5:$A$504,0))&amp;"","비귀속"),""))</f>
        <v/>
      </c>
      <c r="AG4456" s="96">
        <f>IF($A4456="",0,IF(AND(AE4456&lt;&gt;"직접",IFERROR(INDEX(계정매핑!$G$5:$G$504,MATCH($F4456&amp;"",계정매핑!$A$5:$A$504,0))&amp;"","")="유지비",COUNTIF(계정대체기준!$A$6:$A$15,$N4456)&gt;0),IFERROR(INDEX(계정대체기준!$E$6:$E$15,MATCH(VALUE($A4456&amp;""),계정대체기준!$D$6:$D$15,0)),0),0))</f>
        <v/>
      </c>
      <c r="AH4456" s="64">
        <f>IF($A4456="","",IF(AD4456=0,"",IF(OR(COUNTIF(계정대체기준!$A$77:$A$86,$N4456)&gt;0,ISNUMBER(MATCH($X4456,계정대체기준!$D$77:$D$86,0)),ISNUMBER(MATCH($F4456,계정대체기준!$D$77:$D$86,0))),"Y","N")))</f>
        <v/>
      </c>
    </row>
    <row r="4457">
      <c r="A4457" s="92" t="n">
        <v>2026</v>
      </c>
      <c r="B4457" s="92" t="n">
        <v>8</v>
      </c>
      <c r="C4457" s="92" t="inlineStr">
        <is>
          <t>5100001735</t>
        </is>
      </c>
      <c r="D4457" s="95" t="n">
        <v>46251</v>
      </c>
      <c r="E4457" s="92" t="inlineStr">
        <is>
          <t>KR</t>
        </is>
      </c>
      <c r="F4457" s="92" t="n">
        <v>62401000</v>
      </c>
      <c r="G4457" s="92" t="n">
        <v>1401</v>
      </c>
      <c r="H4457" s="93" t="n">
        <v>313000</v>
      </c>
      <c r="I4457" s="92" t="inlineStr">
        <is>
          <t>8월 인쇄물 제작 - G인쇄</t>
        </is>
      </c>
      <c r="J4457" s="92" t="inlineStr">
        <is>
          <t>V10004</t>
        </is>
      </c>
      <c r="K4457" s="92" t="inlineStr">
        <is>
          <t>G인쇄</t>
        </is>
      </c>
      <c r="M4457" s="9">
        <f>IF($A4457="","",VALUE($A4457&amp;"")*12+VALUE($B4457&amp;""))</f>
        <v/>
      </c>
      <c r="N4457" s="64">
        <f>IF($A4457="","",IFERROR(INDEX(부서매핑!$C$5:$C$504,MATCH($G4457&amp;"",부서매핑!$A$5:$A$504,0)),"미매핑"))</f>
        <v/>
      </c>
      <c r="O4457" s="9">
        <f>IF($A4457="","",N4457&amp;"|"&amp;$F4457)</f>
        <v/>
      </c>
      <c r="P4457" s="94">
        <f>IF($A4457="",0,$H4457*설정!$C$23)</f>
        <v/>
      </c>
      <c r="Q4457" s="64">
        <f>IF($A4457="","",IF(O4457&lt;&gt;원인분석!$C$9,"",IF(AND(M4457&gt;=원인분석!$C$10,M4457&lt;=원인분석!$C$11),"당기",IF(AND(M4457&gt;=원인분석!$C$12,M4457&lt;=원인분석!$C$13),"비교",""))))</f>
        <v/>
      </c>
      <c r="R4457" s="9">
        <f>IF(Q4457="","",$K4457&amp;"")</f>
        <v/>
      </c>
      <c r="S4457" s="9">
        <f>IF(Q4457="","",IF(MATCH(R4457,$R$5:$R$100000,0)=ROW()-4,ROW(),""))</f>
        <v/>
      </c>
      <c r="T4457" s="9">
        <f>IF(Q4457="당기",ABS(P4457)+ROW()/1000000000,"")</f>
        <v/>
      </c>
      <c r="U4457" s="9">
        <f>IF(Q4457="비교",ABS(P4457)+ROW()/1000000000,"")</f>
        <v/>
      </c>
      <c r="V4457" s="64">
        <f>IF($A4457="","",IF(COUNTIF(변동분석!$E$7:$E$506,O4457)&gt;0,"Y","N"))</f>
        <v/>
      </c>
      <c r="W4457" s="64">
        <f>IF($A4457="","",IFERROR(INDEX(계정매핑!$D$5:$D$504,MATCH($F4457&amp;"",계정매핑!$A$5:$A$504,0)),"미매핑"))</f>
        <v/>
      </c>
      <c r="X4457" s="9">
        <f>IF($A4457="","",$F4457&amp;"")</f>
        <v/>
      </c>
      <c r="Y4457" s="94">
        <f>IF($A4457="",0,IF(AE4457="직접",IF(AF4457="비귀속",$P4457,0),$P4457*(1-AG4457)*IFERROR(INDEX(계정대체기준!$F$20:$F$49,MATCH($N4457,계정대체기준!$A$20:$A$49,0)),1)))</f>
        <v/>
      </c>
      <c r="Z4457" s="94">
        <f>IF($A4457="",0,IF(AE4457="직접",IF(AF4457="신계약비",$P4457,0),$P4457*(1-AG4457)*IFERROR(INDEX(계정대체기준!$C$20:$C$49,MATCH($N4457,계정대체기준!$A$20:$A$49,0)),0)))</f>
        <v/>
      </c>
      <c r="AA4457" s="94">
        <f>IF($A4457="",0,IF(AE4457="직접",IF(OR(AF4457="유지비",AF4457="손해조사비"),$P4457,0),$P4457*(1-AG4457)*IFERROR(INDEX(계정대체기준!$D$20:$D$49,MATCH($N4457,계정대체기준!$A$20:$A$49,0)),0)))</f>
        <v/>
      </c>
      <c r="AB4457" s="94">
        <f>IF($A4457="",0,IF(AE4457="직접",IF(AF4457="수금비",$P4457,0),$P4457*(1-AG4457)*IFERROR(INDEX(계정대체기준!$E$20:$E$49,MATCH($N4457,계정대체기준!$A$20:$A$49,0)),0)))</f>
        <v/>
      </c>
      <c r="AC4457" s="9">
        <f>IF(AND($A4457&lt;&gt;"",M4457=설정!$C$20,Z4457&gt;0),Z4457+ROW()/1000000000,"")</f>
        <v/>
      </c>
      <c r="AD4457" s="94">
        <f>IF($A4457="",0,$P4457*AG4457)</f>
        <v/>
      </c>
      <c r="AE4457" s="64">
        <f>IF($A4457="","",IFERROR(INDEX(계정매핑!$E$5:$E$504,MATCH($F4457&amp;"",계정매핑!$A$5:$A$504,0))&amp;"","공통비"))</f>
        <v/>
      </c>
      <c r="AF4457" s="64">
        <f>IF($A4457="","",IF(AE4457="직접",IFERROR(INDEX(계정매핑!$F$5:$F$504,MATCH($F4457&amp;"",계정매핑!$A$5:$A$504,0))&amp;"","비귀속"),""))</f>
        <v/>
      </c>
      <c r="AG4457" s="96">
        <f>IF($A4457="",0,IF(AND(AE4457&lt;&gt;"직접",IFERROR(INDEX(계정매핑!$G$5:$G$504,MATCH($F4457&amp;"",계정매핑!$A$5:$A$504,0))&amp;"","")="유지비",COUNTIF(계정대체기준!$A$6:$A$15,$N4457)&gt;0),IFERROR(INDEX(계정대체기준!$E$6:$E$15,MATCH(VALUE($A4457&amp;""),계정대체기준!$D$6:$D$15,0)),0),0))</f>
        <v/>
      </c>
      <c r="AH4457" s="64">
        <f>IF($A4457="","",IF(AD4457=0,"",IF(OR(COUNTIF(계정대체기준!$A$77:$A$86,$N4457)&gt;0,ISNUMBER(MATCH($X4457,계정대체기준!$D$77:$D$86,0)),ISNUMBER(MATCH($F4457,계정대체기준!$D$77:$D$86,0))),"Y","N")))</f>
        <v/>
      </c>
    </row>
    <row r="4458">
      <c r="A4458" s="92" t="n">
        <v>2026</v>
      </c>
      <c r="B4458" s="92" t="n">
        <v>8</v>
      </c>
      <c r="C4458" s="92" t="inlineStr">
        <is>
          <t>5100001736</t>
        </is>
      </c>
      <c r="D4458" s="95" t="n">
        <v>46251</v>
      </c>
      <c r="E4458" s="92" t="inlineStr">
        <is>
          <t>KR</t>
        </is>
      </c>
      <c r="F4458" s="92" t="n">
        <v>62501000</v>
      </c>
      <c r="G4458" s="92" t="n">
        <v>1201</v>
      </c>
      <c r="H4458" s="93" t="n">
        <v>129000</v>
      </c>
      <c r="I4458" s="92" t="inlineStr">
        <is>
          <t>8월 회의 다과 - T케이터링</t>
        </is>
      </c>
      <c r="J4458" s="92" t="inlineStr">
        <is>
          <t>V10005</t>
        </is>
      </c>
      <c r="K4458" s="92" t="inlineStr">
        <is>
          <t>T케이터링</t>
        </is>
      </c>
      <c r="M4458" s="9">
        <f>IF($A4458="","",VALUE($A4458&amp;"")*12+VALUE($B4458&amp;""))</f>
        <v/>
      </c>
      <c r="N4458" s="64">
        <f>IF($A4458="","",IFERROR(INDEX(부서매핑!$C$5:$C$504,MATCH($G4458&amp;"",부서매핑!$A$5:$A$504,0)),"미매핑"))</f>
        <v/>
      </c>
      <c r="O4458" s="9">
        <f>IF($A4458="","",N4458&amp;"|"&amp;$F4458)</f>
        <v/>
      </c>
      <c r="P4458" s="94">
        <f>IF($A4458="",0,$H4458*설정!$C$23)</f>
        <v/>
      </c>
      <c r="Q4458" s="64">
        <f>IF($A4458="","",IF(O4458&lt;&gt;원인분석!$C$9,"",IF(AND(M4458&gt;=원인분석!$C$10,M4458&lt;=원인분석!$C$11),"당기",IF(AND(M4458&gt;=원인분석!$C$12,M4458&lt;=원인분석!$C$13),"비교",""))))</f>
        <v/>
      </c>
      <c r="R4458" s="9">
        <f>IF(Q4458="","",$K4458&amp;"")</f>
        <v/>
      </c>
      <c r="S4458" s="9">
        <f>IF(Q4458="","",IF(MATCH(R4458,$R$5:$R$100000,0)=ROW()-4,ROW(),""))</f>
        <v/>
      </c>
      <c r="T4458" s="9">
        <f>IF(Q4458="당기",ABS(P4458)+ROW()/1000000000,"")</f>
        <v/>
      </c>
      <c r="U4458" s="9">
        <f>IF(Q4458="비교",ABS(P4458)+ROW()/1000000000,"")</f>
        <v/>
      </c>
      <c r="V4458" s="64">
        <f>IF($A4458="","",IF(COUNTIF(변동분석!$E$7:$E$506,O4458)&gt;0,"Y","N"))</f>
        <v/>
      </c>
      <c r="W4458" s="64">
        <f>IF($A4458="","",IFERROR(INDEX(계정매핑!$D$5:$D$504,MATCH($F4458&amp;"",계정매핑!$A$5:$A$504,0)),"미매핑"))</f>
        <v/>
      </c>
      <c r="X4458" s="9">
        <f>IF($A4458="","",$F4458&amp;"")</f>
        <v/>
      </c>
      <c r="Y4458" s="94">
        <f>IF($A4458="",0,IF(AE4458="직접",IF(AF4458="비귀속",$P4458,0),$P4458*(1-AG4458)*IFERROR(INDEX(계정대체기준!$F$20:$F$49,MATCH($N4458,계정대체기준!$A$20:$A$49,0)),1)))</f>
        <v/>
      </c>
      <c r="Z4458" s="94">
        <f>IF($A4458="",0,IF(AE4458="직접",IF(AF4458="신계약비",$P4458,0),$P4458*(1-AG4458)*IFERROR(INDEX(계정대체기준!$C$20:$C$49,MATCH($N4458,계정대체기준!$A$20:$A$49,0)),0)))</f>
        <v/>
      </c>
      <c r="AA4458" s="94">
        <f>IF($A4458="",0,IF(AE4458="직접",IF(OR(AF4458="유지비",AF4458="손해조사비"),$P4458,0),$P4458*(1-AG4458)*IFERROR(INDEX(계정대체기준!$D$20:$D$49,MATCH($N4458,계정대체기준!$A$20:$A$49,0)),0)))</f>
        <v/>
      </c>
      <c r="AB4458" s="94">
        <f>IF($A4458="",0,IF(AE4458="직접",IF(AF4458="수금비",$P4458,0),$P4458*(1-AG4458)*IFERROR(INDEX(계정대체기준!$E$20:$E$49,MATCH($N4458,계정대체기준!$A$20:$A$49,0)),0)))</f>
        <v/>
      </c>
      <c r="AC4458" s="9">
        <f>IF(AND($A4458&lt;&gt;"",M4458=설정!$C$20,Z4458&gt;0),Z4458+ROW()/1000000000,"")</f>
        <v/>
      </c>
      <c r="AD4458" s="94">
        <f>IF($A4458="",0,$P4458*AG4458)</f>
        <v/>
      </c>
      <c r="AE4458" s="64">
        <f>IF($A4458="","",IFERROR(INDEX(계정매핑!$E$5:$E$504,MATCH($F4458&amp;"",계정매핑!$A$5:$A$504,0))&amp;"","공통비"))</f>
        <v/>
      </c>
      <c r="AF4458" s="64">
        <f>IF($A4458="","",IF(AE4458="직접",IFERROR(INDEX(계정매핑!$F$5:$F$504,MATCH($F4458&amp;"",계정매핑!$A$5:$A$504,0))&amp;"","비귀속"),""))</f>
        <v/>
      </c>
      <c r="AG4458" s="96">
        <f>IF($A4458="",0,IF(AND(AE4458&lt;&gt;"직접",IFERROR(INDEX(계정매핑!$G$5:$G$504,MATCH($F4458&amp;"",계정매핑!$A$5:$A$504,0))&amp;"","")="유지비",COUNTIF(계정대체기준!$A$6:$A$15,$N4458)&gt;0),IFERROR(INDEX(계정대체기준!$E$6:$E$15,MATCH(VALUE($A4458&amp;""),계정대체기준!$D$6:$D$15,0)),0),0))</f>
        <v/>
      </c>
      <c r="AH4458" s="64">
        <f>IF($A4458="","",IF(AD4458=0,"",IF(OR(COUNTIF(계정대체기준!$A$77:$A$86,$N4458)&gt;0,ISNUMBER(MATCH($X4458,계정대체기준!$D$77:$D$86,0)),ISNUMBER(MATCH($F4458,계정대체기준!$D$77:$D$86,0))),"Y","N")))</f>
        <v/>
      </c>
    </row>
    <row r="4459">
      <c r="A4459" s="92" t="n">
        <v>2026</v>
      </c>
      <c r="B4459" s="92" t="n">
        <v>8</v>
      </c>
      <c r="C4459" s="92" t="inlineStr">
        <is>
          <t>5100001737</t>
        </is>
      </c>
      <c r="D4459" s="95" t="n">
        <v>46251</v>
      </c>
      <c r="E4459" s="92" t="inlineStr">
        <is>
          <t>KR</t>
        </is>
      </c>
      <c r="F4459" s="92" t="n">
        <v>63502000</v>
      </c>
      <c r="G4459" s="92" t="n">
        <v>1901</v>
      </c>
      <c r="H4459" s="93" t="n">
        <v>268640000</v>
      </c>
      <c r="I4459" s="92" t="inlineStr">
        <is>
          <t>8월 유지수수료 - CC금융서비스</t>
        </is>
      </c>
      <c r="J4459" s="92" t="inlineStr">
        <is>
          <t>V10029</t>
        </is>
      </c>
      <c r="K4459" s="92" t="inlineStr">
        <is>
          <t>CC금융서비스</t>
        </is>
      </c>
      <c r="M4459" s="9">
        <f>IF($A4459="","",VALUE($A4459&amp;"")*12+VALUE($B4459&amp;""))</f>
        <v/>
      </c>
      <c r="N4459" s="64">
        <f>IF($A4459="","",IFERROR(INDEX(부서매핑!$C$5:$C$504,MATCH($G4459&amp;"",부서매핑!$A$5:$A$504,0)),"미매핑"))</f>
        <v/>
      </c>
      <c r="O4459" s="9">
        <f>IF($A4459="","",N4459&amp;"|"&amp;$F4459)</f>
        <v/>
      </c>
      <c r="P4459" s="94">
        <f>IF($A4459="",0,$H4459*설정!$C$23)</f>
        <v/>
      </c>
      <c r="Q4459" s="64">
        <f>IF($A4459="","",IF(O4459&lt;&gt;원인분석!$C$9,"",IF(AND(M4459&gt;=원인분석!$C$10,M4459&lt;=원인분석!$C$11),"당기",IF(AND(M4459&gt;=원인분석!$C$12,M4459&lt;=원인분석!$C$13),"비교",""))))</f>
        <v/>
      </c>
      <c r="R4459" s="9">
        <f>IF(Q4459="","",$K4459&amp;"")</f>
        <v/>
      </c>
      <c r="S4459" s="9">
        <f>IF(Q4459="","",IF(MATCH(R4459,$R$5:$R$100000,0)=ROW()-4,ROW(),""))</f>
        <v/>
      </c>
      <c r="T4459" s="9">
        <f>IF(Q4459="당기",ABS(P4459)+ROW()/1000000000,"")</f>
        <v/>
      </c>
      <c r="U4459" s="9">
        <f>IF(Q4459="비교",ABS(P4459)+ROW()/1000000000,"")</f>
        <v/>
      </c>
      <c r="V4459" s="64">
        <f>IF($A4459="","",IF(COUNTIF(변동분석!$E$7:$E$506,O4459)&gt;0,"Y","N"))</f>
        <v/>
      </c>
      <c r="W4459" s="64">
        <f>IF($A4459="","",IFERROR(INDEX(계정매핑!$D$5:$D$504,MATCH($F4459&amp;"",계정매핑!$A$5:$A$504,0)),"미매핑"))</f>
        <v/>
      </c>
      <c r="X4459" s="9">
        <f>IF($A4459="","",$F4459&amp;"")</f>
        <v/>
      </c>
      <c r="Y4459" s="94">
        <f>IF($A4459="",0,IF(AE4459="직접",IF(AF4459="비귀속",$P4459,0),$P4459*(1-AG4459)*IFERROR(INDEX(계정대체기준!$F$20:$F$49,MATCH($N4459,계정대체기준!$A$20:$A$49,0)),1)))</f>
        <v/>
      </c>
      <c r="Z4459" s="94">
        <f>IF($A4459="",0,IF(AE4459="직접",IF(AF4459="신계약비",$P4459,0),$P4459*(1-AG4459)*IFERROR(INDEX(계정대체기준!$C$20:$C$49,MATCH($N4459,계정대체기준!$A$20:$A$49,0)),0)))</f>
        <v/>
      </c>
      <c r="AA4459" s="94">
        <f>IF($A4459="",0,IF(AE4459="직접",IF(OR(AF4459="유지비",AF4459="손해조사비"),$P4459,0),$P4459*(1-AG4459)*IFERROR(INDEX(계정대체기준!$D$20:$D$49,MATCH($N4459,계정대체기준!$A$20:$A$49,0)),0)))</f>
        <v/>
      </c>
      <c r="AB4459" s="94">
        <f>IF($A4459="",0,IF(AE4459="직접",IF(AF4459="수금비",$P4459,0),$P4459*(1-AG4459)*IFERROR(INDEX(계정대체기준!$E$20:$E$49,MATCH($N4459,계정대체기준!$A$20:$A$49,0)),0)))</f>
        <v/>
      </c>
      <c r="AC4459" s="9">
        <f>IF(AND($A4459&lt;&gt;"",M4459=설정!$C$20,Z4459&gt;0),Z4459+ROW()/1000000000,"")</f>
        <v/>
      </c>
      <c r="AD4459" s="94">
        <f>IF($A4459="",0,$P4459*AG4459)</f>
        <v/>
      </c>
      <c r="AE4459" s="64">
        <f>IF($A4459="","",IFERROR(INDEX(계정매핑!$E$5:$E$504,MATCH($F4459&amp;"",계정매핑!$A$5:$A$504,0))&amp;"","공통비"))</f>
        <v/>
      </c>
      <c r="AF4459" s="64">
        <f>IF($A4459="","",IF(AE4459="직접",IFERROR(INDEX(계정매핑!$F$5:$F$504,MATCH($F4459&amp;"",계정매핑!$A$5:$A$504,0))&amp;"","비귀속"),""))</f>
        <v/>
      </c>
      <c r="AG4459" s="96">
        <f>IF($A4459="",0,IF(AND(AE4459&lt;&gt;"직접",IFERROR(INDEX(계정매핑!$G$5:$G$504,MATCH($F4459&amp;"",계정매핑!$A$5:$A$504,0))&amp;"","")="유지비",COUNTIF(계정대체기준!$A$6:$A$15,$N4459)&gt;0),IFERROR(INDEX(계정대체기준!$E$6:$E$15,MATCH(VALUE($A4459&amp;""),계정대체기준!$D$6:$D$15,0)),0),0))</f>
        <v/>
      </c>
      <c r="AH4459" s="64">
        <f>IF($A4459="","",IF(AD4459=0,"",IF(OR(COUNTIF(계정대체기준!$A$77:$A$86,$N4459)&gt;0,ISNUMBER(MATCH($X4459,계정대체기준!$D$77:$D$86,0)),ISNUMBER(MATCH($F4459,계정대체기준!$D$77:$D$86,0))),"Y","N")))</f>
        <v/>
      </c>
    </row>
    <row r="4460">
      <c r="A4460" s="92" t="n">
        <v>2026</v>
      </c>
      <c r="B4460" s="92" t="n">
        <v>8</v>
      </c>
      <c r="C4460" s="92" t="inlineStr">
        <is>
          <t>5100001738</t>
        </is>
      </c>
      <c r="D4460" s="95" t="n">
        <v>46252</v>
      </c>
      <c r="E4460" s="92" t="inlineStr">
        <is>
          <t>KR</t>
        </is>
      </c>
      <c r="F4460" s="92" t="n">
        <v>62101000</v>
      </c>
      <c r="G4460" s="92" t="n">
        <v>1101</v>
      </c>
      <c r="H4460" s="93" t="n">
        <v>433000</v>
      </c>
      <c r="I4460" s="92" t="inlineStr">
        <is>
          <t>8월 국내출장 - L여행사</t>
        </is>
      </c>
      <c r="J4460" s="92" t="inlineStr">
        <is>
          <t>V10018</t>
        </is>
      </c>
      <c r="K4460" s="92" t="inlineStr">
        <is>
          <t>L여행사</t>
        </is>
      </c>
      <c r="M4460" s="9">
        <f>IF($A4460="","",VALUE($A4460&amp;"")*12+VALUE($B4460&amp;""))</f>
        <v/>
      </c>
      <c r="N4460" s="64">
        <f>IF($A4460="","",IFERROR(INDEX(부서매핑!$C$5:$C$504,MATCH($G4460&amp;"",부서매핑!$A$5:$A$504,0)),"미매핑"))</f>
        <v/>
      </c>
      <c r="O4460" s="9">
        <f>IF($A4460="","",N4460&amp;"|"&amp;$F4460)</f>
        <v/>
      </c>
      <c r="P4460" s="94">
        <f>IF($A4460="",0,$H4460*설정!$C$23)</f>
        <v/>
      </c>
      <c r="Q4460" s="64">
        <f>IF($A4460="","",IF(O4460&lt;&gt;원인분석!$C$9,"",IF(AND(M4460&gt;=원인분석!$C$10,M4460&lt;=원인분석!$C$11),"당기",IF(AND(M4460&gt;=원인분석!$C$12,M4460&lt;=원인분석!$C$13),"비교",""))))</f>
        <v/>
      </c>
      <c r="R4460" s="9">
        <f>IF(Q4460="","",$K4460&amp;"")</f>
        <v/>
      </c>
      <c r="S4460" s="9">
        <f>IF(Q4460="","",IF(MATCH(R4460,$R$5:$R$100000,0)=ROW()-4,ROW(),""))</f>
        <v/>
      </c>
      <c r="T4460" s="9">
        <f>IF(Q4460="당기",ABS(P4460)+ROW()/1000000000,"")</f>
        <v/>
      </c>
      <c r="U4460" s="9">
        <f>IF(Q4460="비교",ABS(P4460)+ROW()/1000000000,"")</f>
        <v/>
      </c>
      <c r="V4460" s="64">
        <f>IF($A4460="","",IF(COUNTIF(변동분석!$E$7:$E$506,O4460)&gt;0,"Y","N"))</f>
        <v/>
      </c>
      <c r="W4460" s="64">
        <f>IF($A4460="","",IFERROR(INDEX(계정매핑!$D$5:$D$504,MATCH($F4460&amp;"",계정매핑!$A$5:$A$504,0)),"미매핑"))</f>
        <v/>
      </c>
      <c r="X4460" s="9">
        <f>IF($A4460="","",$F4460&amp;"")</f>
        <v/>
      </c>
      <c r="Y4460" s="94">
        <f>IF($A4460="",0,IF(AE4460="직접",IF(AF4460="비귀속",$P4460,0),$P4460*(1-AG4460)*IFERROR(INDEX(계정대체기준!$F$20:$F$49,MATCH($N4460,계정대체기준!$A$20:$A$49,0)),1)))</f>
        <v/>
      </c>
      <c r="Z4460" s="94">
        <f>IF($A4460="",0,IF(AE4460="직접",IF(AF4460="신계약비",$P4460,0),$P4460*(1-AG4460)*IFERROR(INDEX(계정대체기준!$C$20:$C$49,MATCH($N4460,계정대체기준!$A$20:$A$49,0)),0)))</f>
        <v/>
      </c>
      <c r="AA4460" s="94">
        <f>IF($A4460="",0,IF(AE4460="직접",IF(OR(AF4460="유지비",AF4460="손해조사비"),$P4460,0),$P4460*(1-AG4460)*IFERROR(INDEX(계정대체기준!$D$20:$D$49,MATCH($N4460,계정대체기준!$A$20:$A$49,0)),0)))</f>
        <v/>
      </c>
      <c r="AB4460" s="94">
        <f>IF($A4460="",0,IF(AE4460="직접",IF(AF4460="수금비",$P4460,0),$P4460*(1-AG4460)*IFERROR(INDEX(계정대체기준!$E$20:$E$49,MATCH($N4460,계정대체기준!$A$20:$A$49,0)),0)))</f>
        <v/>
      </c>
      <c r="AC4460" s="9">
        <f>IF(AND($A4460&lt;&gt;"",M4460=설정!$C$20,Z4460&gt;0),Z4460+ROW()/1000000000,"")</f>
        <v/>
      </c>
      <c r="AD4460" s="94">
        <f>IF($A4460="",0,$P4460*AG4460)</f>
        <v/>
      </c>
      <c r="AE4460" s="64">
        <f>IF($A4460="","",IFERROR(INDEX(계정매핑!$E$5:$E$504,MATCH($F4460&amp;"",계정매핑!$A$5:$A$504,0))&amp;"","공통비"))</f>
        <v/>
      </c>
      <c r="AF4460" s="64">
        <f>IF($A4460="","",IF(AE4460="직접",IFERROR(INDEX(계정매핑!$F$5:$F$504,MATCH($F4460&amp;"",계정매핑!$A$5:$A$504,0))&amp;"","비귀속"),""))</f>
        <v/>
      </c>
      <c r="AG4460" s="96">
        <f>IF($A4460="",0,IF(AND(AE4460&lt;&gt;"직접",IFERROR(INDEX(계정매핑!$G$5:$G$504,MATCH($F4460&amp;"",계정매핑!$A$5:$A$504,0))&amp;"","")="유지비",COUNTIF(계정대체기준!$A$6:$A$15,$N4460)&gt;0),IFERROR(INDEX(계정대체기준!$E$6:$E$15,MATCH(VALUE($A4460&amp;""),계정대체기준!$D$6:$D$15,0)),0),0))</f>
        <v/>
      </c>
      <c r="AH4460" s="64">
        <f>IF($A4460="","",IF(AD4460=0,"",IF(OR(COUNTIF(계정대체기준!$A$77:$A$86,$N4460)&gt;0,ISNUMBER(MATCH($X4460,계정대체기준!$D$77:$D$86,0)),ISNUMBER(MATCH($F4460,계정대체기준!$D$77:$D$86,0))),"Y","N")))</f>
        <v/>
      </c>
    </row>
    <row r="4461">
      <c r="A4461" s="92" t="n">
        <v>2026</v>
      </c>
      <c r="B4461" s="92" t="n">
        <v>8</v>
      </c>
      <c r="C4461" s="92" t="inlineStr">
        <is>
          <t>5100001739</t>
        </is>
      </c>
      <c r="D4461" s="95" t="n">
        <v>46252</v>
      </c>
      <c r="E4461" s="92" t="inlineStr">
        <is>
          <t>KR</t>
        </is>
      </c>
      <c r="F4461" s="92" t="n">
        <v>62201000</v>
      </c>
      <c r="G4461" s="92" t="n">
        <v>1401</v>
      </c>
      <c r="H4461" s="93" t="n">
        <v>201000</v>
      </c>
      <c r="I4461" s="92" t="inlineStr">
        <is>
          <t>8월 통신요금 - O텔레콤</t>
        </is>
      </c>
      <c r="J4461" s="92" t="inlineStr">
        <is>
          <t>V10002</t>
        </is>
      </c>
      <c r="K4461" s="92" t="inlineStr">
        <is>
          <t>O텔레콤</t>
        </is>
      </c>
      <c r="M4461" s="9">
        <f>IF($A4461="","",VALUE($A4461&amp;"")*12+VALUE($B4461&amp;""))</f>
        <v/>
      </c>
      <c r="N4461" s="64">
        <f>IF($A4461="","",IFERROR(INDEX(부서매핑!$C$5:$C$504,MATCH($G4461&amp;"",부서매핑!$A$5:$A$504,0)),"미매핑"))</f>
        <v/>
      </c>
      <c r="O4461" s="9">
        <f>IF($A4461="","",N4461&amp;"|"&amp;$F4461)</f>
        <v/>
      </c>
      <c r="P4461" s="94">
        <f>IF($A4461="",0,$H4461*설정!$C$23)</f>
        <v/>
      </c>
      <c r="Q4461" s="64">
        <f>IF($A4461="","",IF(O4461&lt;&gt;원인분석!$C$9,"",IF(AND(M4461&gt;=원인분석!$C$10,M4461&lt;=원인분석!$C$11),"당기",IF(AND(M4461&gt;=원인분석!$C$12,M4461&lt;=원인분석!$C$13),"비교",""))))</f>
        <v/>
      </c>
      <c r="R4461" s="9">
        <f>IF(Q4461="","",$K4461&amp;"")</f>
        <v/>
      </c>
      <c r="S4461" s="9">
        <f>IF(Q4461="","",IF(MATCH(R4461,$R$5:$R$100000,0)=ROW()-4,ROW(),""))</f>
        <v/>
      </c>
      <c r="T4461" s="9">
        <f>IF(Q4461="당기",ABS(P4461)+ROW()/1000000000,"")</f>
        <v/>
      </c>
      <c r="U4461" s="9">
        <f>IF(Q4461="비교",ABS(P4461)+ROW()/1000000000,"")</f>
        <v/>
      </c>
      <c r="V4461" s="64">
        <f>IF($A4461="","",IF(COUNTIF(변동분석!$E$7:$E$506,O4461)&gt;0,"Y","N"))</f>
        <v/>
      </c>
      <c r="W4461" s="64">
        <f>IF($A4461="","",IFERROR(INDEX(계정매핑!$D$5:$D$504,MATCH($F4461&amp;"",계정매핑!$A$5:$A$504,0)),"미매핑"))</f>
        <v/>
      </c>
      <c r="X4461" s="9">
        <f>IF($A4461="","",$F4461&amp;"")</f>
        <v/>
      </c>
      <c r="Y4461" s="94">
        <f>IF($A4461="",0,IF(AE4461="직접",IF(AF4461="비귀속",$P4461,0),$P4461*(1-AG4461)*IFERROR(INDEX(계정대체기준!$F$20:$F$49,MATCH($N4461,계정대체기준!$A$20:$A$49,0)),1)))</f>
        <v/>
      </c>
      <c r="Z4461" s="94">
        <f>IF($A4461="",0,IF(AE4461="직접",IF(AF4461="신계약비",$P4461,0),$P4461*(1-AG4461)*IFERROR(INDEX(계정대체기준!$C$20:$C$49,MATCH($N4461,계정대체기준!$A$20:$A$49,0)),0)))</f>
        <v/>
      </c>
      <c r="AA4461" s="94">
        <f>IF($A4461="",0,IF(AE4461="직접",IF(OR(AF4461="유지비",AF4461="손해조사비"),$P4461,0),$P4461*(1-AG4461)*IFERROR(INDEX(계정대체기준!$D$20:$D$49,MATCH($N4461,계정대체기준!$A$20:$A$49,0)),0)))</f>
        <v/>
      </c>
      <c r="AB4461" s="94">
        <f>IF($A4461="",0,IF(AE4461="직접",IF(AF4461="수금비",$P4461,0),$P4461*(1-AG4461)*IFERROR(INDEX(계정대체기준!$E$20:$E$49,MATCH($N4461,계정대체기준!$A$20:$A$49,0)),0)))</f>
        <v/>
      </c>
      <c r="AC4461" s="9">
        <f>IF(AND($A4461&lt;&gt;"",M4461=설정!$C$20,Z4461&gt;0),Z4461+ROW()/1000000000,"")</f>
        <v/>
      </c>
      <c r="AD4461" s="94">
        <f>IF($A4461="",0,$P4461*AG4461)</f>
        <v/>
      </c>
      <c r="AE4461" s="64">
        <f>IF($A4461="","",IFERROR(INDEX(계정매핑!$E$5:$E$504,MATCH($F4461&amp;"",계정매핑!$A$5:$A$504,0))&amp;"","공통비"))</f>
        <v/>
      </c>
      <c r="AF4461" s="64">
        <f>IF($A4461="","",IF(AE4461="직접",IFERROR(INDEX(계정매핑!$F$5:$F$504,MATCH($F4461&amp;"",계정매핑!$A$5:$A$504,0))&amp;"","비귀속"),""))</f>
        <v/>
      </c>
      <c r="AG4461" s="96">
        <f>IF($A4461="",0,IF(AND(AE4461&lt;&gt;"직접",IFERROR(INDEX(계정매핑!$G$5:$G$504,MATCH($F4461&amp;"",계정매핑!$A$5:$A$504,0))&amp;"","")="유지비",COUNTIF(계정대체기준!$A$6:$A$15,$N4461)&gt;0),IFERROR(INDEX(계정대체기준!$E$6:$E$15,MATCH(VALUE($A4461&amp;""),계정대체기준!$D$6:$D$15,0)),0),0))</f>
        <v/>
      </c>
      <c r="AH4461" s="64">
        <f>IF($A4461="","",IF(AD4461=0,"",IF(OR(COUNTIF(계정대체기준!$A$77:$A$86,$N4461)&gt;0,ISNUMBER(MATCH($X4461,계정대체기준!$D$77:$D$86,0)),ISNUMBER(MATCH($F4461,계정대체기준!$D$77:$D$86,0))),"Y","N")))</f>
        <v/>
      </c>
    </row>
    <row r="4462">
      <c r="A4462" s="92" t="n">
        <v>2026</v>
      </c>
      <c r="B4462" s="92" t="n">
        <v>8</v>
      </c>
      <c r="C4462" s="92" t="inlineStr">
        <is>
          <t>5100001740</t>
        </is>
      </c>
      <c r="D4462" s="95" t="n">
        <v>46252</v>
      </c>
      <c r="E4462" s="92" t="inlineStr">
        <is>
          <t>KR</t>
        </is>
      </c>
      <c r="F4462" s="92" t="n">
        <v>62201000</v>
      </c>
      <c r="G4462" s="92" t="n">
        <v>1401</v>
      </c>
      <c r="H4462" s="93" t="n">
        <v>198000</v>
      </c>
      <c r="I4462" s="92" t="inlineStr">
        <is>
          <t>8월 통신요금 - P통신</t>
        </is>
      </c>
      <c r="J4462" s="92" t="inlineStr">
        <is>
          <t>V10014</t>
        </is>
      </c>
      <c r="K4462" s="92" t="inlineStr">
        <is>
          <t>P통신</t>
        </is>
      </c>
      <c r="M4462" s="9">
        <f>IF($A4462="","",VALUE($A4462&amp;"")*12+VALUE($B4462&amp;""))</f>
        <v/>
      </c>
      <c r="N4462" s="64">
        <f>IF($A4462="","",IFERROR(INDEX(부서매핑!$C$5:$C$504,MATCH($G4462&amp;"",부서매핑!$A$5:$A$504,0)),"미매핑"))</f>
        <v/>
      </c>
      <c r="O4462" s="9">
        <f>IF($A4462="","",N4462&amp;"|"&amp;$F4462)</f>
        <v/>
      </c>
      <c r="P4462" s="94">
        <f>IF($A4462="",0,$H4462*설정!$C$23)</f>
        <v/>
      </c>
      <c r="Q4462" s="64">
        <f>IF($A4462="","",IF(O4462&lt;&gt;원인분석!$C$9,"",IF(AND(M4462&gt;=원인분석!$C$10,M4462&lt;=원인분석!$C$11),"당기",IF(AND(M4462&gt;=원인분석!$C$12,M4462&lt;=원인분석!$C$13),"비교",""))))</f>
        <v/>
      </c>
      <c r="R4462" s="9">
        <f>IF(Q4462="","",$K4462&amp;"")</f>
        <v/>
      </c>
      <c r="S4462" s="9">
        <f>IF(Q4462="","",IF(MATCH(R4462,$R$5:$R$100000,0)=ROW()-4,ROW(),""))</f>
        <v/>
      </c>
      <c r="T4462" s="9">
        <f>IF(Q4462="당기",ABS(P4462)+ROW()/1000000000,"")</f>
        <v/>
      </c>
      <c r="U4462" s="9">
        <f>IF(Q4462="비교",ABS(P4462)+ROW()/1000000000,"")</f>
        <v/>
      </c>
      <c r="V4462" s="64">
        <f>IF($A4462="","",IF(COUNTIF(변동분석!$E$7:$E$506,O4462)&gt;0,"Y","N"))</f>
        <v/>
      </c>
      <c r="W4462" s="64">
        <f>IF($A4462="","",IFERROR(INDEX(계정매핑!$D$5:$D$504,MATCH($F4462&amp;"",계정매핑!$A$5:$A$504,0)),"미매핑"))</f>
        <v/>
      </c>
      <c r="X4462" s="9">
        <f>IF($A4462="","",$F4462&amp;"")</f>
        <v/>
      </c>
      <c r="Y4462" s="94">
        <f>IF($A4462="",0,IF(AE4462="직접",IF(AF4462="비귀속",$P4462,0),$P4462*(1-AG4462)*IFERROR(INDEX(계정대체기준!$F$20:$F$49,MATCH($N4462,계정대체기준!$A$20:$A$49,0)),1)))</f>
        <v/>
      </c>
      <c r="Z4462" s="94">
        <f>IF($A4462="",0,IF(AE4462="직접",IF(AF4462="신계약비",$P4462,0),$P4462*(1-AG4462)*IFERROR(INDEX(계정대체기준!$C$20:$C$49,MATCH($N4462,계정대체기준!$A$20:$A$49,0)),0)))</f>
        <v/>
      </c>
      <c r="AA4462" s="94">
        <f>IF($A4462="",0,IF(AE4462="직접",IF(OR(AF4462="유지비",AF4462="손해조사비"),$P4462,0),$P4462*(1-AG4462)*IFERROR(INDEX(계정대체기준!$D$20:$D$49,MATCH($N4462,계정대체기준!$A$20:$A$49,0)),0)))</f>
        <v/>
      </c>
      <c r="AB4462" s="94">
        <f>IF($A4462="",0,IF(AE4462="직접",IF(AF4462="수금비",$P4462,0),$P4462*(1-AG4462)*IFERROR(INDEX(계정대체기준!$E$20:$E$49,MATCH($N4462,계정대체기준!$A$20:$A$49,0)),0)))</f>
        <v/>
      </c>
      <c r="AC4462" s="9">
        <f>IF(AND($A4462&lt;&gt;"",M4462=설정!$C$20,Z4462&gt;0),Z4462+ROW()/1000000000,"")</f>
        <v/>
      </c>
      <c r="AD4462" s="94">
        <f>IF($A4462="",0,$P4462*AG4462)</f>
        <v/>
      </c>
      <c r="AE4462" s="64">
        <f>IF($A4462="","",IFERROR(INDEX(계정매핑!$E$5:$E$504,MATCH($F4462&amp;"",계정매핑!$A$5:$A$504,0))&amp;"","공통비"))</f>
        <v/>
      </c>
      <c r="AF4462" s="64">
        <f>IF($A4462="","",IF(AE4462="직접",IFERROR(INDEX(계정매핑!$F$5:$F$504,MATCH($F4462&amp;"",계정매핑!$A$5:$A$504,0))&amp;"","비귀속"),""))</f>
        <v/>
      </c>
      <c r="AG4462" s="96">
        <f>IF($A4462="",0,IF(AND(AE4462&lt;&gt;"직접",IFERROR(INDEX(계정매핑!$G$5:$G$504,MATCH($F4462&amp;"",계정매핑!$A$5:$A$504,0))&amp;"","")="유지비",COUNTIF(계정대체기준!$A$6:$A$15,$N4462)&gt;0),IFERROR(INDEX(계정대체기준!$E$6:$E$15,MATCH(VALUE($A4462&amp;""),계정대체기준!$D$6:$D$15,0)),0),0))</f>
        <v/>
      </c>
      <c r="AH4462" s="64">
        <f>IF($A4462="","",IF(AD4462=0,"",IF(OR(COUNTIF(계정대체기준!$A$77:$A$86,$N4462)&gt;0,ISNUMBER(MATCH($X4462,계정대체기준!$D$77:$D$86,0)),ISNUMBER(MATCH($F4462,계정대체기준!$D$77:$D$86,0))),"Y","N")))</f>
        <v/>
      </c>
    </row>
    <row r="4463">
      <c r="A4463" s="92" t="n">
        <v>2026</v>
      </c>
      <c r="B4463" s="92" t="n">
        <v>8</v>
      </c>
      <c r="C4463" s="92" t="inlineStr">
        <is>
          <t>5100001741</t>
        </is>
      </c>
      <c r="D4463" s="95" t="n">
        <v>46252</v>
      </c>
      <c r="E4463" s="92" t="inlineStr">
        <is>
          <t>KR</t>
        </is>
      </c>
      <c r="F4463" s="92" t="n">
        <v>62301000</v>
      </c>
      <c r="G4463" s="92" t="n">
        <v>1602</v>
      </c>
      <c r="H4463" s="93" t="n">
        <v>341000</v>
      </c>
      <c r="I4463" s="92" t="inlineStr">
        <is>
          <t>8월 소모품 구입 - Q오피스</t>
        </is>
      </c>
      <c r="J4463" s="92" t="inlineStr">
        <is>
          <t>V10003</t>
        </is>
      </c>
      <c r="K4463" s="92" t="inlineStr">
        <is>
          <t>Q오피스</t>
        </is>
      </c>
      <c r="M4463" s="9">
        <f>IF($A4463="","",VALUE($A4463&amp;"")*12+VALUE($B4463&amp;""))</f>
        <v/>
      </c>
      <c r="N4463" s="64">
        <f>IF($A4463="","",IFERROR(INDEX(부서매핑!$C$5:$C$504,MATCH($G4463&amp;"",부서매핑!$A$5:$A$504,0)),"미매핑"))</f>
        <v/>
      </c>
      <c r="O4463" s="9">
        <f>IF($A4463="","",N4463&amp;"|"&amp;$F4463)</f>
        <v/>
      </c>
      <c r="P4463" s="94">
        <f>IF($A4463="",0,$H4463*설정!$C$23)</f>
        <v/>
      </c>
      <c r="Q4463" s="64">
        <f>IF($A4463="","",IF(O4463&lt;&gt;원인분석!$C$9,"",IF(AND(M4463&gt;=원인분석!$C$10,M4463&lt;=원인분석!$C$11),"당기",IF(AND(M4463&gt;=원인분석!$C$12,M4463&lt;=원인분석!$C$13),"비교",""))))</f>
        <v/>
      </c>
      <c r="R4463" s="9">
        <f>IF(Q4463="","",$K4463&amp;"")</f>
        <v/>
      </c>
      <c r="S4463" s="9">
        <f>IF(Q4463="","",IF(MATCH(R4463,$R$5:$R$100000,0)=ROW()-4,ROW(),""))</f>
        <v/>
      </c>
      <c r="T4463" s="9">
        <f>IF(Q4463="당기",ABS(P4463)+ROW()/1000000000,"")</f>
        <v/>
      </c>
      <c r="U4463" s="9">
        <f>IF(Q4463="비교",ABS(P4463)+ROW()/1000000000,"")</f>
        <v/>
      </c>
      <c r="V4463" s="64">
        <f>IF($A4463="","",IF(COUNTIF(변동분석!$E$7:$E$506,O4463)&gt;0,"Y","N"))</f>
        <v/>
      </c>
      <c r="W4463" s="64">
        <f>IF($A4463="","",IFERROR(INDEX(계정매핑!$D$5:$D$504,MATCH($F4463&amp;"",계정매핑!$A$5:$A$504,0)),"미매핑"))</f>
        <v/>
      </c>
      <c r="X4463" s="9">
        <f>IF($A4463="","",$F4463&amp;"")</f>
        <v/>
      </c>
      <c r="Y4463" s="94">
        <f>IF($A4463="",0,IF(AE4463="직접",IF(AF4463="비귀속",$P4463,0),$P4463*(1-AG4463)*IFERROR(INDEX(계정대체기준!$F$20:$F$49,MATCH($N4463,계정대체기준!$A$20:$A$49,0)),1)))</f>
        <v/>
      </c>
      <c r="Z4463" s="94">
        <f>IF($A4463="",0,IF(AE4463="직접",IF(AF4463="신계약비",$P4463,0),$P4463*(1-AG4463)*IFERROR(INDEX(계정대체기준!$C$20:$C$49,MATCH($N4463,계정대체기준!$A$20:$A$49,0)),0)))</f>
        <v/>
      </c>
      <c r="AA4463" s="94">
        <f>IF($A4463="",0,IF(AE4463="직접",IF(OR(AF4463="유지비",AF4463="손해조사비"),$P4463,0),$P4463*(1-AG4463)*IFERROR(INDEX(계정대체기준!$D$20:$D$49,MATCH($N4463,계정대체기준!$A$20:$A$49,0)),0)))</f>
        <v/>
      </c>
      <c r="AB4463" s="94">
        <f>IF($A4463="",0,IF(AE4463="직접",IF(AF4463="수금비",$P4463,0),$P4463*(1-AG4463)*IFERROR(INDEX(계정대체기준!$E$20:$E$49,MATCH($N4463,계정대체기준!$A$20:$A$49,0)),0)))</f>
        <v/>
      </c>
      <c r="AC4463" s="9">
        <f>IF(AND($A4463&lt;&gt;"",M4463=설정!$C$20,Z4463&gt;0),Z4463+ROW()/1000000000,"")</f>
        <v/>
      </c>
      <c r="AD4463" s="94">
        <f>IF($A4463="",0,$P4463*AG4463)</f>
        <v/>
      </c>
      <c r="AE4463" s="64">
        <f>IF($A4463="","",IFERROR(INDEX(계정매핑!$E$5:$E$504,MATCH($F4463&amp;"",계정매핑!$A$5:$A$504,0))&amp;"","공통비"))</f>
        <v/>
      </c>
      <c r="AF4463" s="64">
        <f>IF($A4463="","",IF(AE4463="직접",IFERROR(INDEX(계정매핑!$F$5:$F$504,MATCH($F4463&amp;"",계정매핑!$A$5:$A$504,0))&amp;"","비귀속"),""))</f>
        <v/>
      </c>
      <c r="AG4463" s="96">
        <f>IF($A4463="",0,IF(AND(AE4463&lt;&gt;"직접",IFERROR(INDEX(계정매핑!$G$5:$G$504,MATCH($F4463&amp;"",계정매핑!$A$5:$A$504,0))&amp;"","")="유지비",COUNTIF(계정대체기준!$A$6:$A$15,$N4463)&gt;0),IFERROR(INDEX(계정대체기준!$E$6:$E$15,MATCH(VALUE($A4463&amp;""),계정대체기준!$D$6:$D$15,0)),0),0))</f>
        <v/>
      </c>
      <c r="AH4463" s="64">
        <f>IF($A4463="","",IF(AD4463=0,"",IF(OR(COUNTIF(계정대체기준!$A$77:$A$86,$N4463)&gt;0,ISNUMBER(MATCH($X4463,계정대체기준!$D$77:$D$86,0)),ISNUMBER(MATCH($F4463,계정대체기준!$D$77:$D$86,0))),"Y","N")))</f>
        <v/>
      </c>
    </row>
    <row r="4464">
      <c r="A4464" s="92" t="n">
        <v>2026</v>
      </c>
      <c r="B4464" s="92" t="n">
        <v>8</v>
      </c>
      <c r="C4464" s="92" t="inlineStr">
        <is>
          <t>5100001742</t>
        </is>
      </c>
      <c r="D4464" s="95" t="n">
        <v>46252</v>
      </c>
      <c r="E4464" s="92" t="inlineStr">
        <is>
          <t>KR</t>
        </is>
      </c>
      <c r="F4464" s="92" t="n">
        <v>62601000</v>
      </c>
      <c r="G4464" s="92" t="n">
        <v>1601</v>
      </c>
      <c r="H4464" s="93" t="n">
        <v>1590000</v>
      </c>
      <c r="I4464" s="92" t="inlineStr">
        <is>
          <t>8월 업무추진 - (법인카드)</t>
        </is>
      </c>
      <c r="J4464" s="92" t="inlineStr">
        <is>
          <t>V10010</t>
        </is>
      </c>
      <c r="K4464" s="92" t="inlineStr">
        <is>
          <t>(법인카드)</t>
        </is>
      </c>
      <c r="M4464" s="9">
        <f>IF($A4464="","",VALUE($A4464&amp;"")*12+VALUE($B4464&amp;""))</f>
        <v/>
      </c>
      <c r="N4464" s="64">
        <f>IF($A4464="","",IFERROR(INDEX(부서매핑!$C$5:$C$504,MATCH($G4464&amp;"",부서매핑!$A$5:$A$504,0)),"미매핑"))</f>
        <v/>
      </c>
      <c r="O4464" s="9">
        <f>IF($A4464="","",N4464&amp;"|"&amp;$F4464)</f>
        <v/>
      </c>
      <c r="P4464" s="94">
        <f>IF($A4464="",0,$H4464*설정!$C$23)</f>
        <v/>
      </c>
      <c r="Q4464" s="64">
        <f>IF($A4464="","",IF(O4464&lt;&gt;원인분석!$C$9,"",IF(AND(M4464&gt;=원인분석!$C$10,M4464&lt;=원인분석!$C$11),"당기",IF(AND(M4464&gt;=원인분석!$C$12,M4464&lt;=원인분석!$C$13),"비교",""))))</f>
        <v/>
      </c>
      <c r="R4464" s="9">
        <f>IF(Q4464="","",$K4464&amp;"")</f>
        <v/>
      </c>
      <c r="S4464" s="9">
        <f>IF(Q4464="","",IF(MATCH(R4464,$R$5:$R$100000,0)=ROW()-4,ROW(),""))</f>
        <v/>
      </c>
      <c r="T4464" s="9">
        <f>IF(Q4464="당기",ABS(P4464)+ROW()/1000000000,"")</f>
        <v/>
      </c>
      <c r="U4464" s="9">
        <f>IF(Q4464="비교",ABS(P4464)+ROW()/1000000000,"")</f>
        <v/>
      </c>
      <c r="V4464" s="64">
        <f>IF($A4464="","",IF(COUNTIF(변동분석!$E$7:$E$506,O4464)&gt;0,"Y","N"))</f>
        <v/>
      </c>
      <c r="W4464" s="64">
        <f>IF($A4464="","",IFERROR(INDEX(계정매핑!$D$5:$D$504,MATCH($F4464&amp;"",계정매핑!$A$5:$A$504,0)),"미매핑"))</f>
        <v/>
      </c>
      <c r="X4464" s="9">
        <f>IF($A4464="","",$F4464&amp;"")</f>
        <v/>
      </c>
      <c r="Y4464" s="94">
        <f>IF($A4464="",0,IF(AE4464="직접",IF(AF4464="비귀속",$P4464,0),$P4464*(1-AG4464)*IFERROR(INDEX(계정대체기준!$F$20:$F$49,MATCH($N4464,계정대체기준!$A$20:$A$49,0)),1)))</f>
        <v/>
      </c>
      <c r="Z4464" s="94">
        <f>IF($A4464="",0,IF(AE4464="직접",IF(AF4464="신계약비",$P4464,0),$P4464*(1-AG4464)*IFERROR(INDEX(계정대체기준!$C$20:$C$49,MATCH($N4464,계정대체기준!$A$20:$A$49,0)),0)))</f>
        <v/>
      </c>
      <c r="AA4464" s="94">
        <f>IF($A4464="",0,IF(AE4464="직접",IF(OR(AF4464="유지비",AF4464="손해조사비"),$P4464,0),$P4464*(1-AG4464)*IFERROR(INDEX(계정대체기준!$D$20:$D$49,MATCH($N4464,계정대체기준!$A$20:$A$49,0)),0)))</f>
        <v/>
      </c>
      <c r="AB4464" s="94">
        <f>IF($A4464="",0,IF(AE4464="직접",IF(AF4464="수금비",$P4464,0),$P4464*(1-AG4464)*IFERROR(INDEX(계정대체기준!$E$20:$E$49,MATCH($N4464,계정대체기준!$A$20:$A$49,0)),0)))</f>
        <v/>
      </c>
      <c r="AC4464" s="9">
        <f>IF(AND($A4464&lt;&gt;"",M4464=설정!$C$20,Z4464&gt;0),Z4464+ROW()/1000000000,"")</f>
        <v/>
      </c>
      <c r="AD4464" s="94">
        <f>IF($A4464="",0,$P4464*AG4464)</f>
        <v/>
      </c>
      <c r="AE4464" s="64">
        <f>IF($A4464="","",IFERROR(INDEX(계정매핑!$E$5:$E$504,MATCH($F4464&amp;"",계정매핑!$A$5:$A$504,0))&amp;"","공통비"))</f>
        <v/>
      </c>
      <c r="AF4464" s="64">
        <f>IF($A4464="","",IF(AE4464="직접",IFERROR(INDEX(계정매핑!$F$5:$F$504,MATCH($F4464&amp;"",계정매핑!$A$5:$A$504,0))&amp;"","비귀속"),""))</f>
        <v/>
      </c>
      <c r="AG4464" s="96">
        <f>IF($A4464="",0,IF(AND(AE4464&lt;&gt;"직접",IFERROR(INDEX(계정매핑!$G$5:$G$504,MATCH($F4464&amp;"",계정매핑!$A$5:$A$504,0))&amp;"","")="유지비",COUNTIF(계정대체기준!$A$6:$A$15,$N4464)&gt;0),IFERROR(INDEX(계정대체기준!$E$6:$E$15,MATCH(VALUE($A4464&amp;""),계정대체기준!$D$6:$D$15,0)),0),0))</f>
        <v/>
      </c>
      <c r="AH4464" s="64">
        <f>IF($A4464="","",IF(AD4464=0,"",IF(OR(COUNTIF(계정대체기준!$A$77:$A$86,$N4464)&gt;0,ISNUMBER(MATCH($X4464,계정대체기준!$D$77:$D$86,0)),ISNUMBER(MATCH($F4464,계정대체기준!$D$77:$D$86,0))),"Y","N")))</f>
        <v/>
      </c>
    </row>
    <row r="4465">
      <c r="A4465" s="92" t="n">
        <v>2026</v>
      </c>
      <c r="B4465" s="92" t="n">
        <v>8</v>
      </c>
      <c r="C4465" s="92" t="inlineStr">
        <is>
          <t>5100001743</t>
        </is>
      </c>
      <c r="D4465" s="95" t="n">
        <v>46252</v>
      </c>
      <c r="E4465" s="92" t="inlineStr">
        <is>
          <t>KR</t>
        </is>
      </c>
      <c r="F4465" s="92" t="n">
        <v>62901000</v>
      </c>
      <c r="G4465" s="92" t="n">
        <v>1951</v>
      </c>
      <c r="H4465" s="93" t="n">
        <v>6006000</v>
      </c>
      <c r="I4465" s="92" t="inlineStr">
        <is>
          <t>8월 자문 수수료 - K회계법인</t>
        </is>
      </c>
      <c r="J4465" s="92" t="inlineStr">
        <is>
          <t>V10011</t>
        </is>
      </c>
      <c r="K4465" s="92" t="inlineStr">
        <is>
          <t>K회계법인</t>
        </is>
      </c>
      <c r="M4465" s="9">
        <f>IF($A4465="","",VALUE($A4465&amp;"")*12+VALUE($B4465&amp;""))</f>
        <v/>
      </c>
      <c r="N4465" s="64">
        <f>IF($A4465="","",IFERROR(INDEX(부서매핑!$C$5:$C$504,MATCH($G4465&amp;"",부서매핑!$A$5:$A$504,0)),"미매핑"))</f>
        <v/>
      </c>
      <c r="O4465" s="9">
        <f>IF($A4465="","",N4465&amp;"|"&amp;$F4465)</f>
        <v/>
      </c>
      <c r="P4465" s="94">
        <f>IF($A4465="",0,$H4465*설정!$C$23)</f>
        <v/>
      </c>
      <c r="Q4465" s="64">
        <f>IF($A4465="","",IF(O4465&lt;&gt;원인분석!$C$9,"",IF(AND(M4465&gt;=원인분석!$C$10,M4465&lt;=원인분석!$C$11),"당기",IF(AND(M4465&gt;=원인분석!$C$12,M4465&lt;=원인분석!$C$13),"비교",""))))</f>
        <v/>
      </c>
      <c r="R4465" s="9">
        <f>IF(Q4465="","",$K4465&amp;"")</f>
        <v/>
      </c>
      <c r="S4465" s="9">
        <f>IF(Q4465="","",IF(MATCH(R4465,$R$5:$R$100000,0)=ROW()-4,ROW(),""))</f>
        <v/>
      </c>
      <c r="T4465" s="9">
        <f>IF(Q4465="당기",ABS(P4465)+ROW()/1000000000,"")</f>
        <v/>
      </c>
      <c r="U4465" s="9">
        <f>IF(Q4465="비교",ABS(P4465)+ROW()/1000000000,"")</f>
        <v/>
      </c>
      <c r="V4465" s="64">
        <f>IF($A4465="","",IF(COUNTIF(변동분석!$E$7:$E$506,O4465)&gt;0,"Y","N"))</f>
        <v/>
      </c>
      <c r="W4465" s="64">
        <f>IF($A4465="","",IFERROR(INDEX(계정매핑!$D$5:$D$504,MATCH($F4465&amp;"",계정매핑!$A$5:$A$504,0)),"미매핑"))</f>
        <v/>
      </c>
      <c r="X4465" s="9">
        <f>IF($A4465="","",$F4465&amp;"")</f>
        <v/>
      </c>
      <c r="Y4465" s="94">
        <f>IF($A4465="",0,IF(AE4465="직접",IF(AF4465="비귀속",$P4465,0),$P4465*(1-AG4465)*IFERROR(INDEX(계정대체기준!$F$20:$F$49,MATCH($N4465,계정대체기준!$A$20:$A$49,0)),1)))</f>
        <v/>
      </c>
      <c r="Z4465" s="94">
        <f>IF($A4465="",0,IF(AE4465="직접",IF(AF4465="신계약비",$P4465,0),$P4465*(1-AG4465)*IFERROR(INDEX(계정대체기준!$C$20:$C$49,MATCH($N4465,계정대체기준!$A$20:$A$49,0)),0)))</f>
        <v/>
      </c>
      <c r="AA4465" s="94">
        <f>IF($A4465="",0,IF(AE4465="직접",IF(OR(AF4465="유지비",AF4465="손해조사비"),$P4465,0),$P4465*(1-AG4465)*IFERROR(INDEX(계정대체기준!$D$20:$D$49,MATCH($N4465,계정대체기준!$A$20:$A$49,0)),0)))</f>
        <v/>
      </c>
      <c r="AB4465" s="94">
        <f>IF($A4465="",0,IF(AE4465="직접",IF(AF4465="수금비",$P4465,0),$P4465*(1-AG4465)*IFERROR(INDEX(계정대체기준!$E$20:$E$49,MATCH($N4465,계정대체기준!$A$20:$A$49,0)),0)))</f>
        <v/>
      </c>
      <c r="AC4465" s="9">
        <f>IF(AND($A4465&lt;&gt;"",M4465=설정!$C$20,Z4465&gt;0),Z4465+ROW()/1000000000,"")</f>
        <v/>
      </c>
      <c r="AD4465" s="94">
        <f>IF($A4465="",0,$P4465*AG4465)</f>
        <v/>
      </c>
      <c r="AE4465" s="64">
        <f>IF($A4465="","",IFERROR(INDEX(계정매핑!$E$5:$E$504,MATCH($F4465&amp;"",계정매핑!$A$5:$A$504,0))&amp;"","공통비"))</f>
        <v/>
      </c>
      <c r="AF4465" s="64">
        <f>IF($A4465="","",IF(AE4465="직접",IFERROR(INDEX(계정매핑!$F$5:$F$504,MATCH($F4465&amp;"",계정매핑!$A$5:$A$504,0))&amp;"","비귀속"),""))</f>
        <v/>
      </c>
      <c r="AG4465" s="96">
        <f>IF($A4465="",0,IF(AND(AE4465&lt;&gt;"직접",IFERROR(INDEX(계정매핑!$G$5:$G$504,MATCH($F4465&amp;"",계정매핑!$A$5:$A$504,0))&amp;"","")="유지비",COUNTIF(계정대체기준!$A$6:$A$15,$N4465)&gt;0),IFERROR(INDEX(계정대체기준!$E$6:$E$15,MATCH(VALUE($A4465&amp;""),계정대체기준!$D$6:$D$15,0)),0),0))</f>
        <v/>
      </c>
      <c r="AH4465" s="64">
        <f>IF($A4465="","",IF(AD4465=0,"",IF(OR(COUNTIF(계정대체기준!$A$77:$A$86,$N4465)&gt;0,ISNUMBER(MATCH($X4465,계정대체기준!$D$77:$D$86,0)),ISNUMBER(MATCH($F4465,계정대체기준!$D$77:$D$86,0))),"Y","N")))</f>
        <v/>
      </c>
    </row>
    <row r="4466">
      <c r="A4466" s="92" t="n">
        <v>2026</v>
      </c>
      <c r="B4466" s="92" t="n">
        <v>8</v>
      </c>
      <c r="C4466" s="92" t="inlineStr">
        <is>
          <t>5100001744</t>
        </is>
      </c>
      <c r="D4466" s="95" t="n">
        <v>46252</v>
      </c>
      <c r="E4466" s="92" t="inlineStr">
        <is>
          <t>KR</t>
        </is>
      </c>
      <c r="F4466" s="92" t="n">
        <v>62902000</v>
      </c>
      <c r="G4466" s="92" t="n">
        <v>1401</v>
      </c>
      <c r="H4466" s="93" t="n">
        <v>1639000</v>
      </c>
      <c r="I4466" s="92" t="inlineStr">
        <is>
          <t>8월 업무 위탁 수수료 - J콜센터</t>
        </is>
      </c>
      <c r="J4466" s="92" t="inlineStr">
        <is>
          <t>V10016</t>
        </is>
      </c>
      <c r="K4466" s="92" t="inlineStr">
        <is>
          <t>J콜센터</t>
        </is>
      </c>
      <c r="M4466" s="9">
        <f>IF($A4466="","",VALUE($A4466&amp;"")*12+VALUE($B4466&amp;""))</f>
        <v/>
      </c>
      <c r="N4466" s="64">
        <f>IF($A4466="","",IFERROR(INDEX(부서매핑!$C$5:$C$504,MATCH($G4466&amp;"",부서매핑!$A$5:$A$504,0)),"미매핑"))</f>
        <v/>
      </c>
      <c r="O4466" s="9">
        <f>IF($A4466="","",N4466&amp;"|"&amp;$F4466)</f>
        <v/>
      </c>
      <c r="P4466" s="94">
        <f>IF($A4466="",0,$H4466*설정!$C$23)</f>
        <v/>
      </c>
      <c r="Q4466" s="64">
        <f>IF($A4466="","",IF(O4466&lt;&gt;원인분석!$C$9,"",IF(AND(M4466&gt;=원인분석!$C$10,M4466&lt;=원인분석!$C$11),"당기",IF(AND(M4466&gt;=원인분석!$C$12,M4466&lt;=원인분석!$C$13),"비교",""))))</f>
        <v/>
      </c>
      <c r="R4466" s="9">
        <f>IF(Q4466="","",$K4466&amp;"")</f>
        <v/>
      </c>
      <c r="S4466" s="9">
        <f>IF(Q4466="","",IF(MATCH(R4466,$R$5:$R$100000,0)=ROW()-4,ROW(),""))</f>
        <v/>
      </c>
      <c r="T4466" s="9">
        <f>IF(Q4466="당기",ABS(P4466)+ROW()/1000000000,"")</f>
        <v/>
      </c>
      <c r="U4466" s="9">
        <f>IF(Q4466="비교",ABS(P4466)+ROW()/1000000000,"")</f>
        <v/>
      </c>
      <c r="V4466" s="64">
        <f>IF($A4466="","",IF(COUNTIF(변동분석!$E$7:$E$506,O4466)&gt;0,"Y","N"))</f>
        <v/>
      </c>
      <c r="W4466" s="64">
        <f>IF($A4466="","",IFERROR(INDEX(계정매핑!$D$5:$D$504,MATCH($F4466&amp;"",계정매핑!$A$5:$A$504,0)),"미매핑"))</f>
        <v/>
      </c>
      <c r="X4466" s="9">
        <f>IF($A4466="","",$F4466&amp;"")</f>
        <v/>
      </c>
      <c r="Y4466" s="94">
        <f>IF($A4466="",0,IF(AE4466="직접",IF(AF4466="비귀속",$P4466,0),$P4466*(1-AG4466)*IFERROR(INDEX(계정대체기준!$F$20:$F$49,MATCH($N4466,계정대체기준!$A$20:$A$49,0)),1)))</f>
        <v/>
      </c>
      <c r="Z4466" s="94">
        <f>IF($A4466="",0,IF(AE4466="직접",IF(AF4466="신계약비",$P4466,0),$P4466*(1-AG4466)*IFERROR(INDEX(계정대체기준!$C$20:$C$49,MATCH($N4466,계정대체기준!$A$20:$A$49,0)),0)))</f>
        <v/>
      </c>
      <c r="AA4466" s="94">
        <f>IF($A4466="",0,IF(AE4466="직접",IF(OR(AF4466="유지비",AF4466="손해조사비"),$P4466,0),$P4466*(1-AG4466)*IFERROR(INDEX(계정대체기준!$D$20:$D$49,MATCH($N4466,계정대체기준!$A$20:$A$49,0)),0)))</f>
        <v/>
      </c>
      <c r="AB4466" s="94">
        <f>IF($A4466="",0,IF(AE4466="직접",IF(AF4466="수금비",$P4466,0),$P4466*(1-AG4466)*IFERROR(INDEX(계정대체기준!$E$20:$E$49,MATCH($N4466,계정대체기준!$A$20:$A$49,0)),0)))</f>
        <v/>
      </c>
      <c r="AC4466" s="9">
        <f>IF(AND($A4466&lt;&gt;"",M4466=설정!$C$20,Z4466&gt;0),Z4466+ROW()/1000000000,"")</f>
        <v/>
      </c>
      <c r="AD4466" s="94">
        <f>IF($A4466="",0,$P4466*AG4466)</f>
        <v/>
      </c>
      <c r="AE4466" s="64">
        <f>IF($A4466="","",IFERROR(INDEX(계정매핑!$E$5:$E$504,MATCH($F4466&amp;"",계정매핑!$A$5:$A$504,0))&amp;"","공통비"))</f>
        <v/>
      </c>
      <c r="AF4466" s="64">
        <f>IF($A4466="","",IF(AE4466="직접",IFERROR(INDEX(계정매핑!$F$5:$F$504,MATCH($F4466&amp;"",계정매핑!$A$5:$A$504,0))&amp;"","비귀속"),""))</f>
        <v/>
      </c>
      <c r="AG4466" s="96">
        <f>IF($A4466="",0,IF(AND(AE4466&lt;&gt;"직접",IFERROR(INDEX(계정매핑!$G$5:$G$504,MATCH($F4466&amp;"",계정매핑!$A$5:$A$504,0))&amp;"","")="유지비",COUNTIF(계정대체기준!$A$6:$A$15,$N4466)&gt;0),IFERROR(INDEX(계정대체기준!$E$6:$E$15,MATCH(VALUE($A4466&amp;""),계정대체기준!$D$6:$D$15,0)),0),0))</f>
        <v/>
      </c>
      <c r="AH4466" s="64">
        <f>IF($A4466="","",IF(AD4466=0,"",IF(OR(COUNTIF(계정대체기준!$A$77:$A$86,$N4466)&gt;0,ISNUMBER(MATCH($X4466,계정대체기준!$D$77:$D$86,0)),ISNUMBER(MATCH($F4466,계정대체기준!$D$77:$D$86,0))),"Y","N")))</f>
        <v/>
      </c>
    </row>
    <row r="4467">
      <c r="A4467" s="92" t="n">
        <v>2026</v>
      </c>
      <c r="B4467" s="92" t="n">
        <v>8</v>
      </c>
      <c r="C4467" s="92" t="inlineStr">
        <is>
          <t>5100001745</t>
        </is>
      </c>
      <c r="D4467" s="95" t="n">
        <v>46252</v>
      </c>
      <c r="E4467" s="92" t="inlineStr">
        <is>
          <t>KR</t>
        </is>
      </c>
      <c r="F4467" s="92" t="n">
        <v>63001000</v>
      </c>
      <c r="G4467" s="92" t="n">
        <v>1701</v>
      </c>
      <c r="H4467" s="93" t="n">
        <v>19644000</v>
      </c>
      <c r="I4467" s="92" t="inlineStr">
        <is>
          <t>8월 SW 유지보수 - Z시스템</t>
        </is>
      </c>
      <c r="J4467" s="92" t="inlineStr">
        <is>
          <t>V10012</t>
        </is>
      </c>
      <c r="K4467" s="92" t="inlineStr">
        <is>
          <t>Z시스템</t>
        </is>
      </c>
      <c r="M4467" s="9">
        <f>IF($A4467="","",VALUE($A4467&amp;"")*12+VALUE($B4467&amp;""))</f>
        <v/>
      </c>
      <c r="N4467" s="64">
        <f>IF($A4467="","",IFERROR(INDEX(부서매핑!$C$5:$C$504,MATCH($G4467&amp;"",부서매핑!$A$5:$A$504,0)),"미매핑"))</f>
        <v/>
      </c>
      <c r="O4467" s="9">
        <f>IF($A4467="","",N4467&amp;"|"&amp;$F4467)</f>
        <v/>
      </c>
      <c r="P4467" s="94">
        <f>IF($A4467="",0,$H4467*설정!$C$23)</f>
        <v/>
      </c>
      <c r="Q4467" s="64">
        <f>IF($A4467="","",IF(O4467&lt;&gt;원인분석!$C$9,"",IF(AND(M4467&gt;=원인분석!$C$10,M4467&lt;=원인분석!$C$11),"당기",IF(AND(M4467&gt;=원인분석!$C$12,M4467&lt;=원인분석!$C$13),"비교",""))))</f>
        <v/>
      </c>
      <c r="R4467" s="9">
        <f>IF(Q4467="","",$K4467&amp;"")</f>
        <v/>
      </c>
      <c r="S4467" s="9">
        <f>IF(Q4467="","",IF(MATCH(R4467,$R$5:$R$100000,0)=ROW()-4,ROW(),""))</f>
        <v/>
      </c>
      <c r="T4467" s="9">
        <f>IF(Q4467="당기",ABS(P4467)+ROW()/1000000000,"")</f>
        <v/>
      </c>
      <c r="U4467" s="9">
        <f>IF(Q4467="비교",ABS(P4467)+ROW()/1000000000,"")</f>
        <v/>
      </c>
      <c r="V4467" s="64">
        <f>IF($A4467="","",IF(COUNTIF(변동분석!$E$7:$E$506,O4467)&gt;0,"Y","N"))</f>
        <v/>
      </c>
      <c r="W4467" s="64">
        <f>IF($A4467="","",IFERROR(INDEX(계정매핑!$D$5:$D$504,MATCH($F4467&amp;"",계정매핑!$A$5:$A$504,0)),"미매핑"))</f>
        <v/>
      </c>
      <c r="X4467" s="9">
        <f>IF($A4467="","",$F4467&amp;"")</f>
        <v/>
      </c>
      <c r="Y4467" s="94">
        <f>IF($A4467="",0,IF(AE4467="직접",IF(AF4467="비귀속",$P4467,0),$P4467*(1-AG4467)*IFERROR(INDEX(계정대체기준!$F$20:$F$49,MATCH($N4467,계정대체기준!$A$20:$A$49,0)),1)))</f>
        <v/>
      </c>
      <c r="Z4467" s="94">
        <f>IF($A4467="",0,IF(AE4467="직접",IF(AF4467="신계약비",$P4467,0),$P4467*(1-AG4467)*IFERROR(INDEX(계정대체기준!$C$20:$C$49,MATCH($N4467,계정대체기준!$A$20:$A$49,0)),0)))</f>
        <v/>
      </c>
      <c r="AA4467" s="94">
        <f>IF($A4467="",0,IF(AE4467="직접",IF(OR(AF4467="유지비",AF4467="손해조사비"),$P4467,0),$P4467*(1-AG4467)*IFERROR(INDEX(계정대체기준!$D$20:$D$49,MATCH($N4467,계정대체기준!$A$20:$A$49,0)),0)))</f>
        <v/>
      </c>
      <c r="AB4467" s="94">
        <f>IF($A4467="",0,IF(AE4467="직접",IF(AF4467="수금비",$P4467,0),$P4467*(1-AG4467)*IFERROR(INDEX(계정대체기준!$E$20:$E$49,MATCH($N4467,계정대체기준!$A$20:$A$49,0)),0)))</f>
        <v/>
      </c>
      <c r="AC4467" s="9">
        <f>IF(AND($A4467&lt;&gt;"",M4467=설정!$C$20,Z4467&gt;0),Z4467+ROW()/1000000000,"")</f>
        <v/>
      </c>
      <c r="AD4467" s="94">
        <f>IF($A4467="",0,$P4467*AG4467)</f>
        <v/>
      </c>
      <c r="AE4467" s="64">
        <f>IF($A4467="","",IFERROR(INDEX(계정매핑!$E$5:$E$504,MATCH($F4467&amp;"",계정매핑!$A$5:$A$504,0))&amp;"","공통비"))</f>
        <v/>
      </c>
      <c r="AF4467" s="64">
        <f>IF($A4467="","",IF(AE4467="직접",IFERROR(INDEX(계정매핑!$F$5:$F$504,MATCH($F4467&amp;"",계정매핑!$A$5:$A$504,0))&amp;"","비귀속"),""))</f>
        <v/>
      </c>
      <c r="AG4467" s="96">
        <f>IF($A4467="",0,IF(AND(AE4467&lt;&gt;"직접",IFERROR(INDEX(계정매핑!$G$5:$G$504,MATCH($F4467&amp;"",계정매핑!$A$5:$A$504,0))&amp;"","")="유지비",COUNTIF(계정대체기준!$A$6:$A$15,$N4467)&gt;0),IFERROR(INDEX(계정대체기준!$E$6:$E$15,MATCH(VALUE($A4467&amp;""),계정대체기준!$D$6:$D$15,0)),0),0))</f>
        <v/>
      </c>
      <c r="AH4467" s="64">
        <f>IF($A4467="","",IF(AD4467=0,"",IF(OR(COUNTIF(계정대체기준!$A$77:$A$86,$N4467)&gt;0,ISNUMBER(MATCH($X4467,계정대체기준!$D$77:$D$86,0)),ISNUMBER(MATCH($F4467,계정대체기준!$D$77:$D$86,0))),"Y","N")))</f>
        <v/>
      </c>
    </row>
    <row r="4468">
      <c r="A4468" s="92" t="n">
        <v>2026</v>
      </c>
      <c r="B4468" s="92" t="n">
        <v>8</v>
      </c>
      <c r="C4468" s="92" t="inlineStr">
        <is>
          <t>5100001746</t>
        </is>
      </c>
      <c r="D4468" s="95" t="n">
        <v>46252</v>
      </c>
      <c r="E4468" s="92" t="inlineStr">
        <is>
          <t>KR</t>
        </is>
      </c>
      <c r="F4468" s="92" t="n">
        <v>63601000</v>
      </c>
      <c r="G4468" s="92" t="n">
        <v>1801</v>
      </c>
      <c r="H4468" s="93" t="n">
        <v>9822000</v>
      </c>
      <c r="I4468" s="92" t="inlineStr">
        <is>
          <t>8월 손해사정 수수료 - EE손해사정</t>
        </is>
      </c>
      <c r="J4468" s="92" t="inlineStr">
        <is>
          <t>V10008</t>
        </is>
      </c>
      <c r="K4468" s="92" t="inlineStr">
        <is>
          <t>EE손해사정</t>
        </is>
      </c>
      <c r="M4468" s="9">
        <f>IF($A4468="","",VALUE($A4468&amp;"")*12+VALUE($B4468&amp;""))</f>
        <v/>
      </c>
      <c r="N4468" s="64">
        <f>IF($A4468="","",IFERROR(INDEX(부서매핑!$C$5:$C$504,MATCH($G4468&amp;"",부서매핑!$A$5:$A$504,0)),"미매핑"))</f>
        <v/>
      </c>
      <c r="O4468" s="9">
        <f>IF($A4468="","",N4468&amp;"|"&amp;$F4468)</f>
        <v/>
      </c>
      <c r="P4468" s="94">
        <f>IF($A4468="",0,$H4468*설정!$C$23)</f>
        <v/>
      </c>
      <c r="Q4468" s="64">
        <f>IF($A4468="","",IF(O4468&lt;&gt;원인분석!$C$9,"",IF(AND(M4468&gt;=원인분석!$C$10,M4468&lt;=원인분석!$C$11),"당기",IF(AND(M4468&gt;=원인분석!$C$12,M4468&lt;=원인분석!$C$13),"비교",""))))</f>
        <v/>
      </c>
      <c r="R4468" s="9">
        <f>IF(Q4468="","",$K4468&amp;"")</f>
        <v/>
      </c>
      <c r="S4468" s="9">
        <f>IF(Q4468="","",IF(MATCH(R4468,$R$5:$R$100000,0)=ROW()-4,ROW(),""))</f>
        <v/>
      </c>
      <c r="T4468" s="9">
        <f>IF(Q4468="당기",ABS(P4468)+ROW()/1000000000,"")</f>
        <v/>
      </c>
      <c r="U4468" s="9">
        <f>IF(Q4468="비교",ABS(P4468)+ROW()/1000000000,"")</f>
        <v/>
      </c>
      <c r="V4468" s="64">
        <f>IF($A4468="","",IF(COUNTIF(변동분석!$E$7:$E$506,O4468)&gt;0,"Y","N"))</f>
        <v/>
      </c>
      <c r="W4468" s="64">
        <f>IF($A4468="","",IFERROR(INDEX(계정매핑!$D$5:$D$504,MATCH($F4468&amp;"",계정매핑!$A$5:$A$504,0)),"미매핑"))</f>
        <v/>
      </c>
      <c r="X4468" s="9">
        <f>IF($A4468="","",$F4468&amp;"")</f>
        <v/>
      </c>
      <c r="Y4468" s="94">
        <f>IF($A4468="",0,IF(AE4468="직접",IF(AF4468="비귀속",$P4468,0),$P4468*(1-AG4468)*IFERROR(INDEX(계정대체기준!$F$20:$F$49,MATCH($N4468,계정대체기준!$A$20:$A$49,0)),1)))</f>
        <v/>
      </c>
      <c r="Z4468" s="94">
        <f>IF($A4468="",0,IF(AE4468="직접",IF(AF4468="신계약비",$P4468,0),$P4468*(1-AG4468)*IFERROR(INDEX(계정대체기준!$C$20:$C$49,MATCH($N4468,계정대체기준!$A$20:$A$49,0)),0)))</f>
        <v/>
      </c>
      <c r="AA4468" s="94">
        <f>IF($A4468="",0,IF(AE4468="직접",IF(OR(AF4468="유지비",AF4468="손해조사비"),$P4468,0),$P4468*(1-AG4468)*IFERROR(INDEX(계정대체기준!$D$20:$D$49,MATCH($N4468,계정대체기준!$A$20:$A$49,0)),0)))</f>
        <v/>
      </c>
      <c r="AB4468" s="94">
        <f>IF($A4468="",0,IF(AE4468="직접",IF(AF4468="수금비",$P4468,0),$P4468*(1-AG4468)*IFERROR(INDEX(계정대체기준!$E$20:$E$49,MATCH($N4468,계정대체기준!$A$20:$A$49,0)),0)))</f>
        <v/>
      </c>
      <c r="AC4468" s="9">
        <f>IF(AND($A4468&lt;&gt;"",M4468=설정!$C$20,Z4468&gt;0),Z4468+ROW()/1000000000,"")</f>
        <v/>
      </c>
      <c r="AD4468" s="94">
        <f>IF($A4468="",0,$P4468*AG4468)</f>
        <v/>
      </c>
      <c r="AE4468" s="64">
        <f>IF($A4468="","",IFERROR(INDEX(계정매핑!$E$5:$E$504,MATCH($F4468&amp;"",계정매핑!$A$5:$A$504,0))&amp;"","공통비"))</f>
        <v/>
      </c>
      <c r="AF4468" s="64">
        <f>IF($A4468="","",IF(AE4468="직접",IFERROR(INDEX(계정매핑!$F$5:$F$504,MATCH($F4468&amp;"",계정매핑!$A$5:$A$504,0))&amp;"","비귀속"),""))</f>
        <v/>
      </c>
      <c r="AG4468" s="96">
        <f>IF($A4468="",0,IF(AND(AE4468&lt;&gt;"직접",IFERROR(INDEX(계정매핑!$G$5:$G$504,MATCH($F4468&amp;"",계정매핑!$A$5:$A$504,0))&amp;"","")="유지비",COUNTIF(계정대체기준!$A$6:$A$15,$N4468)&gt;0),IFERROR(INDEX(계정대체기준!$E$6:$E$15,MATCH(VALUE($A4468&amp;""),계정대체기준!$D$6:$D$15,0)),0),0))</f>
        <v/>
      </c>
      <c r="AH4468" s="64">
        <f>IF($A4468="","",IF(AD4468=0,"",IF(OR(COUNTIF(계정대체기준!$A$77:$A$86,$N4468)&gt;0,ISNUMBER(MATCH($X4468,계정대체기준!$D$77:$D$86,0)),ISNUMBER(MATCH($F4468,계정대체기준!$D$77:$D$86,0))),"Y","N")))</f>
        <v/>
      </c>
    </row>
    <row r="4469">
      <c r="A4469" s="92" t="n">
        <v>2026</v>
      </c>
      <c r="B4469" s="92" t="n">
        <v>8</v>
      </c>
      <c r="C4469" s="92" t="inlineStr">
        <is>
          <t>5100001747</t>
        </is>
      </c>
      <c r="D4469" s="95" t="n">
        <v>46253</v>
      </c>
      <c r="E4469" s="92" t="inlineStr">
        <is>
          <t>KR</t>
        </is>
      </c>
      <c r="F4469" s="92" t="n">
        <v>62101000</v>
      </c>
      <c r="G4469" s="92" t="n">
        <v>1301</v>
      </c>
      <c r="H4469" s="93" t="n">
        <v>310000</v>
      </c>
      <c r="I4469" s="92" t="inlineStr">
        <is>
          <t>8월 국내출장 - L여행사</t>
        </is>
      </c>
      <c r="J4469" s="92" t="inlineStr">
        <is>
          <t>V10018</t>
        </is>
      </c>
      <c r="K4469" s="92" t="inlineStr">
        <is>
          <t>L여행사</t>
        </is>
      </c>
      <c r="M4469" s="9">
        <f>IF($A4469="","",VALUE($A4469&amp;"")*12+VALUE($B4469&amp;""))</f>
        <v/>
      </c>
      <c r="N4469" s="64">
        <f>IF($A4469="","",IFERROR(INDEX(부서매핑!$C$5:$C$504,MATCH($G4469&amp;"",부서매핑!$A$5:$A$504,0)),"미매핑"))</f>
        <v/>
      </c>
      <c r="O4469" s="9">
        <f>IF($A4469="","",N4469&amp;"|"&amp;$F4469)</f>
        <v/>
      </c>
      <c r="P4469" s="94">
        <f>IF($A4469="",0,$H4469*설정!$C$23)</f>
        <v/>
      </c>
      <c r="Q4469" s="64">
        <f>IF($A4469="","",IF(O4469&lt;&gt;원인분석!$C$9,"",IF(AND(M4469&gt;=원인분석!$C$10,M4469&lt;=원인분석!$C$11),"당기",IF(AND(M4469&gt;=원인분석!$C$12,M4469&lt;=원인분석!$C$13),"비교",""))))</f>
        <v/>
      </c>
      <c r="R4469" s="9">
        <f>IF(Q4469="","",$K4469&amp;"")</f>
        <v/>
      </c>
      <c r="S4469" s="9">
        <f>IF(Q4469="","",IF(MATCH(R4469,$R$5:$R$100000,0)=ROW()-4,ROW(),""))</f>
        <v/>
      </c>
      <c r="T4469" s="9">
        <f>IF(Q4469="당기",ABS(P4469)+ROW()/1000000000,"")</f>
        <v/>
      </c>
      <c r="U4469" s="9">
        <f>IF(Q4469="비교",ABS(P4469)+ROW()/1000000000,"")</f>
        <v/>
      </c>
      <c r="V4469" s="64">
        <f>IF($A4469="","",IF(COUNTIF(변동분석!$E$7:$E$506,O4469)&gt;0,"Y","N"))</f>
        <v/>
      </c>
      <c r="W4469" s="64">
        <f>IF($A4469="","",IFERROR(INDEX(계정매핑!$D$5:$D$504,MATCH($F4469&amp;"",계정매핑!$A$5:$A$504,0)),"미매핑"))</f>
        <v/>
      </c>
      <c r="X4469" s="9">
        <f>IF($A4469="","",$F4469&amp;"")</f>
        <v/>
      </c>
      <c r="Y4469" s="94">
        <f>IF($A4469="",0,IF(AE4469="직접",IF(AF4469="비귀속",$P4469,0),$P4469*(1-AG4469)*IFERROR(INDEX(계정대체기준!$F$20:$F$49,MATCH($N4469,계정대체기준!$A$20:$A$49,0)),1)))</f>
        <v/>
      </c>
      <c r="Z4469" s="94">
        <f>IF($A4469="",0,IF(AE4469="직접",IF(AF4469="신계약비",$P4469,0),$P4469*(1-AG4469)*IFERROR(INDEX(계정대체기준!$C$20:$C$49,MATCH($N4469,계정대체기준!$A$20:$A$49,0)),0)))</f>
        <v/>
      </c>
      <c r="AA4469" s="94">
        <f>IF($A4469="",0,IF(AE4469="직접",IF(OR(AF4469="유지비",AF4469="손해조사비"),$P4469,0),$P4469*(1-AG4469)*IFERROR(INDEX(계정대체기준!$D$20:$D$49,MATCH($N4469,계정대체기준!$A$20:$A$49,0)),0)))</f>
        <v/>
      </c>
      <c r="AB4469" s="94">
        <f>IF($A4469="",0,IF(AE4469="직접",IF(AF4469="수금비",$P4469,0),$P4469*(1-AG4469)*IFERROR(INDEX(계정대체기준!$E$20:$E$49,MATCH($N4469,계정대체기준!$A$20:$A$49,0)),0)))</f>
        <v/>
      </c>
      <c r="AC4469" s="9">
        <f>IF(AND($A4469&lt;&gt;"",M4469=설정!$C$20,Z4469&gt;0),Z4469+ROW()/1000000000,"")</f>
        <v/>
      </c>
      <c r="AD4469" s="94">
        <f>IF($A4469="",0,$P4469*AG4469)</f>
        <v/>
      </c>
      <c r="AE4469" s="64">
        <f>IF($A4469="","",IFERROR(INDEX(계정매핑!$E$5:$E$504,MATCH($F4469&amp;"",계정매핑!$A$5:$A$504,0))&amp;"","공통비"))</f>
        <v/>
      </c>
      <c r="AF4469" s="64">
        <f>IF($A4469="","",IF(AE4469="직접",IFERROR(INDEX(계정매핑!$F$5:$F$504,MATCH($F4469&amp;"",계정매핑!$A$5:$A$504,0))&amp;"","비귀속"),""))</f>
        <v/>
      </c>
      <c r="AG4469" s="96">
        <f>IF($A4469="",0,IF(AND(AE4469&lt;&gt;"직접",IFERROR(INDEX(계정매핑!$G$5:$G$504,MATCH($F4469&amp;"",계정매핑!$A$5:$A$504,0))&amp;"","")="유지비",COUNTIF(계정대체기준!$A$6:$A$15,$N4469)&gt;0),IFERROR(INDEX(계정대체기준!$E$6:$E$15,MATCH(VALUE($A4469&amp;""),계정대체기준!$D$6:$D$15,0)),0),0))</f>
        <v/>
      </c>
      <c r="AH4469" s="64">
        <f>IF($A4469="","",IF(AD4469=0,"",IF(OR(COUNTIF(계정대체기준!$A$77:$A$86,$N4469)&gt;0,ISNUMBER(MATCH($X4469,계정대체기준!$D$77:$D$86,0)),ISNUMBER(MATCH($F4469,계정대체기준!$D$77:$D$86,0))),"Y","N")))</f>
        <v/>
      </c>
    </row>
    <row r="4470">
      <c r="A4470" s="92" t="n">
        <v>2026</v>
      </c>
      <c r="B4470" s="92" t="n">
        <v>8</v>
      </c>
      <c r="C4470" s="92" t="inlineStr">
        <is>
          <t>5100001748</t>
        </is>
      </c>
      <c r="D4470" s="95" t="n">
        <v>46253</v>
      </c>
      <c r="E4470" s="92" t="inlineStr">
        <is>
          <t>KR</t>
        </is>
      </c>
      <c r="F4470" s="92" t="n">
        <v>62101000</v>
      </c>
      <c r="G4470" s="92" t="n">
        <v>1401</v>
      </c>
      <c r="H4470" s="93" t="n">
        <v>376000</v>
      </c>
      <c r="I4470" s="92" t="inlineStr">
        <is>
          <t>8월 국내출장 - M항공</t>
        </is>
      </c>
      <c r="J4470" s="92" t="inlineStr">
        <is>
          <t>V10001</t>
        </is>
      </c>
      <c r="K4470" s="92" t="inlineStr">
        <is>
          <t>M항공</t>
        </is>
      </c>
      <c r="M4470" s="9">
        <f>IF($A4470="","",VALUE($A4470&amp;"")*12+VALUE($B4470&amp;""))</f>
        <v/>
      </c>
      <c r="N4470" s="64">
        <f>IF($A4470="","",IFERROR(INDEX(부서매핑!$C$5:$C$504,MATCH($G4470&amp;"",부서매핑!$A$5:$A$504,0)),"미매핑"))</f>
        <v/>
      </c>
      <c r="O4470" s="9">
        <f>IF($A4470="","",N4470&amp;"|"&amp;$F4470)</f>
        <v/>
      </c>
      <c r="P4470" s="94">
        <f>IF($A4470="",0,$H4470*설정!$C$23)</f>
        <v/>
      </c>
      <c r="Q4470" s="64">
        <f>IF($A4470="","",IF(O4470&lt;&gt;원인분석!$C$9,"",IF(AND(M4470&gt;=원인분석!$C$10,M4470&lt;=원인분석!$C$11),"당기",IF(AND(M4470&gt;=원인분석!$C$12,M4470&lt;=원인분석!$C$13),"비교",""))))</f>
        <v/>
      </c>
      <c r="R4470" s="9">
        <f>IF(Q4470="","",$K4470&amp;"")</f>
        <v/>
      </c>
      <c r="S4470" s="9">
        <f>IF(Q4470="","",IF(MATCH(R4470,$R$5:$R$100000,0)=ROW()-4,ROW(),""))</f>
        <v/>
      </c>
      <c r="T4470" s="9">
        <f>IF(Q4470="당기",ABS(P4470)+ROW()/1000000000,"")</f>
        <v/>
      </c>
      <c r="U4470" s="9">
        <f>IF(Q4470="비교",ABS(P4470)+ROW()/1000000000,"")</f>
        <v/>
      </c>
      <c r="V4470" s="64">
        <f>IF($A4470="","",IF(COUNTIF(변동분석!$E$7:$E$506,O4470)&gt;0,"Y","N"))</f>
        <v/>
      </c>
      <c r="W4470" s="64">
        <f>IF($A4470="","",IFERROR(INDEX(계정매핑!$D$5:$D$504,MATCH($F4470&amp;"",계정매핑!$A$5:$A$504,0)),"미매핑"))</f>
        <v/>
      </c>
      <c r="X4470" s="9">
        <f>IF($A4470="","",$F4470&amp;"")</f>
        <v/>
      </c>
      <c r="Y4470" s="94">
        <f>IF($A4470="",0,IF(AE4470="직접",IF(AF4470="비귀속",$P4470,0),$P4470*(1-AG4470)*IFERROR(INDEX(계정대체기준!$F$20:$F$49,MATCH($N4470,계정대체기준!$A$20:$A$49,0)),1)))</f>
        <v/>
      </c>
      <c r="Z4470" s="94">
        <f>IF($A4470="",0,IF(AE4470="직접",IF(AF4470="신계약비",$P4470,0),$P4470*(1-AG4470)*IFERROR(INDEX(계정대체기준!$C$20:$C$49,MATCH($N4470,계정대체기준!$A$20:$A$49,0)),0)))</f>
        <v/>
      </c>
      <c r="AA4470" s="94">
        <f>IF($A4470="",0,IF(AE4470="직접",IF(OR(AF4470="유지비",AF4470="손해조사비"),$P4470,0),$P4470*(1-AG4470)*IFERROR(INDEX(계정대체기준!$D$20:$D$49,MATCH($N4470,계정대체기준!$A$20:$A$49,0)),0)))</f>
        <v/>
      </c>
      <c r="AB4470" s="94">
        <f>IF($A4470="",0,IF(AE4470="직접",IF(AF4470="수금비",$P4470,0),$P4470*(1-AG4470)*IFERROR(INDEX(계정대체기준!$E$20:$E$49,MATCH($N4470,계정대체기준!$A$20:$A$49,0)),0)))</f>
        <v/>
      </c>
      <c r="AC4470" s="9">
        <f>IF(AND($A4470&lt;&gt;"",M4470=설정!$C$20,Z4470&gt;0),Z4470+ROW()/1000000000,"")</f>
        <v/>
      </c>
      <c r="AD4470" s="94">
        <f>IF($A4470="",0,$P4470*AG4470)</f>
        <v/>
      </c>
      <c r="AE4470" s="64">
        <f>IF($A4470="","",IFERROR(INDEX(계정매핑!$E$5:$E$504,MATCH($F4470&amp;"",계정매핑!$A$5:$A$504,0))&amp;"","공통비"))</f>
        <v/>
      </c>
      <c r="AF4470" s="64">
        <f>IF($A4470="","",IF(AE4470="직접",IFERROR(INDEX(계정매핑!$F$5:$F$504,MATCH($F4470&amp;"",계정매핑!$A$5:$A$504,0))&amp;"","비귀속"),""))</f>
        <v/>
      </c>
      <c r="AG4470" s="96">
        <f>IF($A4470="",0,IF(AND(AE4470&lt;&gt;"직접",IFERROR(INDEX(계정매핑!$G$5:$G$504,MATCH($F4470&amp;"",계정매핑!$A$5:$A$504,0))&amp;"","")="유지비",COUNTIF(계정대체기준!$A$6:$A$15,$N4470)&gt;0),IFERROR(INDEX(계정대체기준!$E$6:$E$15,MATCH(VALUE($A4470&amp;""),계정대체기준!$D$6:$D$15,0)),0),0))</f>
        <v/>
      </c>
      <c r="AH4470" s="64">
        <f>IF($A4470="","",IF(AD4470=0,"",IF(OR(COUNTIF(계정대체기준!$A$77:$A$86,$N4470)&gt;0,ISNUMBER(MATCH($X4470,계정대체기준!$D$77:$D$86,0)),ISNUMBER(MATCH($F4470,계정대체기준!$D$77:$D$86,0))),"Y","N")))</f>
        <v/>
      </c>
    </row>
    <row r="4471">
      <c r="A4471" s="92" t="n">
        <v>2026</v>
      </c>
      <c r="B4471" s="92" t="n">
        <v>8</v>
      </c>
      <c r="C4471" s="92" t="inlineStr">
        <is>
          <t>5100001749</t>
        </is>
      </c>
      <c r="D4471" s="95" t="n">
        <v>46253</v>
      </c>
      <c r="E4471" s="92" t="inlineStr">
        <is>
          <t>KR</t>
        </is>
      </c>
      <c r="F4471" s="92" t="n">
        <v>62101000</v>
      </c>
      <c r="G4471" s="92" t="n">
        <v>1701</v>
      </c>
      <c r="H4471" s="93" t="n">
        <v>225000</v>
      </c>
      <c r="I4471" s="92" t="inlineStr">
        <is>
          <t>8월 국내출장 - M항공</t>
        </is>
      </c>
      <c r="J4471" s="92" t="inlineStr">
        <is>
          <t>V10001</t>
        </is>
      </c>
      <c r="K4471" s="92" t="inlineStr">
        <is>
          <t>M항공</t>
        </is>
      </c>
      <c r="M4471" s="9">
        <f>IF($A4471="","",VALUE($A4471&amp;"")*12+VALUE($B4471&amp;""))</f>
        <v/>
      </c>
      <c r="N4471" s="64">
        <f>IF($A4471="","",IFERROR(INDEX(부서매핑!$C$5:$C$504,MATCH($G4471&amp;"",부서매핑!$A$5:$A$504,0)),"미매핑"))</f>
        <v/>
      </c>
      <c r="O4471" s="9">
        <f>IF($A4471="","",N4471&amp;"|"&amp;$F4471)</f>
        <v/>
      </c>
      <c r="P4471" s="94">
        <f>IF($A4471="",0,$H4471*설정!$C$23)</f>
        <v/>
      </c>
      <c r="Q4471" s="64">
        <f>IF($A4471="","",IF(O4471&lt;&gt;원인분석!$C$9,"",IF(AND(M4471&gt;=원인분석!$C$10,M4471&lt;=원인분석!$C$11),"당기",IF(AND(M4471&gt;=원인분석!$C$12,M4471&lt;=원인분석!$C$13),"비교",""))))</f>
        <v/>
      </c>
      <c r="R4471" s="9">
        <f>IF(Q4471="","",$K4471&amp;"")</f>
        <v/>
      </c>
      <c r="S4471" s="9">
        <f>IF(Q4471="","",IF(MATCH(R4471,$R$5:$R$100000,0)=ROW()-4,ROW(),""))</f>
        <v/>
      </c>
      <c r="T4471" s="9">
        <f>IF(Q4471="당기",ABS(P4471)+ROW()/1000000000,"")</f>
        <v/>
      </c>
      <c r="U4471" s="9">
        <f>IF(Q4471="비교",ABS(P4471)+ROW()/1000000000,"")</f>
        <v/>
      </c>
      <c r="V4471" s="64">
        <f>IF($A4471="","",IF(COUNTIF(변동분석!$E$7:$E$506,O4471)&gt;0,"Y","N"))</f>
        <v/>
      </c>
      <c r="W4471" s="64">
        <f>IF($A4471="","",IFERROR(INDEX(계정매핑!$D$5:$D$504,MATCH($F4471&amp;"",계정매핑!$A$5:$A$504,0)),"미매핑"))</f>
        <v/>
      </c>
      <c r="X4471" s="9">
        <f>IF($A4471="","",$F4471&amp;"")</f>
        <v/>
      </c>
      <c r="Y4471" s="94">
        <f>IF($A4471="",0,IF(AE4471="직접",IF(AF4471="비귀속",$P4471,0),$P4471*(1-AG4471)*IFERROR(INDEX(계정대체기준!$F$20:$F$49,MATCH($N4471,계정대체기준!$A$20:$A$49,0)),1)))</f>
        <v/>
      </c>
      <c r="Z4471" s="94">
        <f>IF($A4471="",0,IF(AE4471="직접",IF(AF4471="신계약비",$P4471,0),$P4471*(1-AG4471)*IFERROR(INDEX(계정대체기준!$C$20:$C$49,MATCH($N4471,계정대체기준!$A$20:$A$49,0)),0)))</f>
        <v/>
      </c>
      <c r="AA4471" s="94">
        <f>IF($A4471="",0,IF(AE4471="직접",IF(OR(AF4471="유지비",AF4471="손해조사비"),$P4471,0),$P4471*(1-AG4471)*IFERROR(INDEX(계정대체기준!$D$20:$D$49,MATCH($N4471,계정대체기준!$A$20:$A$49,0)),0)))</f>
        <v/>
      </c>
      <c r="AB4471" s="94">
        <f>IF($A4471="",0,IF(AE4471="직접",IF(AF4471="수금비",$P4471,0),$P4471*(1-AG4471)*IFERROR(INDEX(계정대체기준!$E$20:$E$49,MATCH($N4471,계정대체기준!$A$20:$A$49,0)),0)))</f>
        <v/>
      </c>
      <c r="AC4471" s="9">
        <f>IF(AND($A4471&lt;&gt;"",M4471=설정!$C$20,Z4471&gt;0),Z4471+ROW()/1000000000,"")</f>
        <v/>
      </c>
      <c r="AD4471" s="94">
        <f>IF($A4471="",0,$P4471*AG4471)</f>
        <v/>
      </c>
      <c r="AE4471" s="64">
        <f>IF($A4471="","",IFERROR(INDEX(계정매핑!$E$5:$E$504,MATCH($F4471&amp;"",계정매핑!$A$5:$A$504,0))&amp;"","공통비"))</f>
        <v/>
      </c>
      <c r="AF4471" s="64">
        <f>IF($A4471="","",IF(AE4471="직접",IFERROR(INDEX(계정매핑!$F$5:$F$504,MATCH($F4471&amp;"",계정매핑!$A$5:$A$504,0))&amp;"","비귀속"),""))</f>
        <v/>
      </c>
      <c r="AG4471" s="96">
        <f>IF($A4471="",0,IF(AND(AE4471&lt;&gt;"직접",IFERROR(INDEX(계정매핑!$G$5:$G$504,MATCH($F4471&amp;"",계정매핑!$A$5:$A$504,0))&amp;"","")="유지비",COUNTIF(계정대체기준!$A$6:$A$15,$N4471)&gt;0),IFERROR(INDEX(계정대체기준!$E$6:$E$15,MATCH(VALUE($A4471&amp;""),계정대체기준!$D$6:$D$15,0)),0),0))</f>
        <v/>
      </c>
      <c r="AH4471" s="64">
        <f>IF($A4471="","",IF(AD4471=0,"",IF(OR(COUNTIF(계정대체기준!$A$77:$A$86,$N4471)&gt;0,ISNUMBER(MATCH($X4471,계정대체기준!$D$77:$D$86,0)),ISNUMBER(MATCH($F4471,계정대체기준!$D$77:$D$86,0))),"Y","N")))</f>
        <v/>
      </c>
    </row>
    <row r="4472">
      <c r="A4472" s="92" t="n">
        <v>2026</v>
      </c>
      <c r="B4472" s="92" t="n">
        <v>8</v>
      </c>
      <c r="C4472" s="92" t="inlineStr">
        <is>
          <t>5100001750</t>
        </is>
      </c>
      <c r="D4472" s="95" t="n">
        <v>46253</v>
      </c>
      <c r="E4472" s="92" t="inlineStr">
        <is>
          <t>KR</t>
        </is>
      </c>
      <c r="F4472" s="92" t="n">
        <v>62101000</v>
      </c>
      <c r="G4472" s="92" t="n">
        <v>1701</v>
      </c>
      <c r="H4472" s="93" t="n">
        <v>212000</v>
      </c>
      <c r="I4472" s="92" t="inlineStr">
        <is>
          <t>8월 국내출장 - (법인카드)</t>
        </is>
      </c>
      <c r="J4472" s="92" t="inlineStr">
        <is>
          <t>V10010</t>
        </is>
      </c>
      <c r="K4472" s="92" t="inlineStr">
        <is>
          <t>(법인카드)</t>
        </is>
      </c>
      <c r="M4472" s="9">
        <f>IF($A4472="","",VALUE($A4472&amp;"")*12+VALUE($B4472&amp;""))</f>
        <v/>
      </c>
      <c r="N4472" s="64">
        <f>IF($A4472="","",IFERROR(INDEX(부서매핑!$C$5:$C$504,MATCH($G4472&amp;"",부서매핑!$A$5:$A$504,0)),"미매핑"))</f>
        <v/>
      </c>
      <c r="O4472" s="9">
        <f>IF($A4472="","",N4472&amp;"|"&amp;$F4472)</f>
        <v/>
      </c>
      <c r="P4472" s="94">
        <f>IF($A4472="",0,$H4472*설정!$C$23)</f>
        <v/>
      </c>
      <c r="Q4472" s="64">
        <f>IF($A4472="","",IF(O4472&lt;&gt;원인분석!$C$9,"",IF(AND(M4472&gt;=원인분석!$C$10,M4472&lt;=원인분석!$C$11),"당기",IF(AND(M4472&gt;=원인분석!$C$12,M4472&lt;=원인분석!$C$13),"비교",""))))</f>
        <v/>
      </c>
      <c r="R4472" s="9">
        <f>IF(Q4472="","",$K4472&amp;"")</f>
        <v/>
      </c>
      <c r="S4472" s="9">
        <f>IF(Q4472="","",IF(MATCH(R4472,$R$5:$R$100000,0)=ROW()-4,ROW(),""))</f>
        <v/>
      </c>
      <c r="T4472" s="9">
        <f>IF(Q4472="당기",ABS(P4472)+ROW()/1000000000,"")</f>
        <v/>
      </c>
      <c r="U4472" s="9">
        <f>IF(Q4472="비교",ABS(P4472)+ROW()/1000000000,"")</f>
        <v/>
      </c>
      <c r="V4472" s="64">
        <f>IF($A4472="","",IF(COUNTIF(변동분석!$E$7:$E$506,O4472)&gt;0,"Y","N"))</f>
        <v/>
      </c>
      <c r="W4472" s="64">
        <f>IF($A4472="","",IFERROR(INDEX(계정매핑!$D$5:$D$504,MATCH($F4472&amp;"",계정매핑!$A$5:$A$504,0)),"미매핑"))</f>
        <v/>
      </c>
      <c r="X4472" s="9">
        <f>IF($A4472="","",$F4472&amp;"")</f>
        <v/>
      </c>
      <c r="Y4472" s="94">
        <f>IF($A4472="",0,IF(AE4472="직접",IF(AF4472="비귀속",$P4472,0),$P4472*(1-AG4472)*IFERROR(INDEX(계정대체기준!$F$20:$F$49,MATCH($N4472,계정대체기준!$A$20:$A$49,0)),1)))</f>
        <v/>
      </c>
      <c r="Z4472" s="94">
        <f>IF($A4472="",0,IF(AE4472="직접",IF(AF4472="신계약비",$P4472,0),$P4472*(1-AG4472)*IFERROR(INDEX(계정대체기준!$C$20:$C$49,MATCH($N4472,계정대체기준!$A$20:$A$49,0)),0)))</f>
        <v/>
      </c>
      <c r="AA4472" s="94">
        <f>IF($A4472="",0,IF(AE4472="직접",IF(OR(AF4472="유지비",AF4472="손해조사비"),$P4472,0),$P4472*(1-AG4472)*IFERROR(INDEX(계정대체기준!$D$20:$D$49,MATCH($N4472,계정대체기준!$A$20:$A$49,0)),0)))</f>
        <v/>
      </c>
      <c r="AB4472" s="94">
        <f>IF($A4472="",0,IF(AE4472="직접",IF(AF4472="수금비",$P4472,0),$P4472*(1-AG4472)*IFERROR(INDEX(계정대체기준!$E$20:$E$49,MATCH($N4472,계정대체기준!$A$20:$A$49,0)),0)))</f>
        <v/>
      </c>
      <c r="AC4472" s="9">
        <f>IF(AND($A4472&lt;&gt;"",M4472=설정!$C$20,Z4472&gt;0),Z4472+ROW()/1000000000,"")</f>
        <v/>
      </c>
      <c r="AD4472" s="94">
        <f>IF($A4472="",0,$P4472*AG4472)</f>
        <v/>
      </c>
      <c r="AE4472" s="64">
        <f>IF($A4472="","",IFERROR(INDEX(계정매핑!$E$5:$E$504,MATCH($F4472&amp;"",계정매핑!$A$5:$A$504,0))&amp;"","공통비"))</f>
        <v/>
      </c>
      <c r="AF4472" s="64">
        <f>IF($A4472="","",IF(AE4472="직접",IFERROR(INDEX(계정매핑!$F$5:$F$504,MATCH($F4472&amp;"",계정매핑!$A$5:$A$504,0))&amp;"","비귀속"),""))</f>
        <v/>
      </c>
      <c r="AG4472" s="96">
        <f>IF($A4472="",0,IF(AND(AE4472&lt;&gt;"직접",IFERROR(INDEX(계정매핑!$G$5:$G$504,MATCH($F4472&amp;"",계정매핑!$A$5:$A$504,0))&amp;"","")="유지비",COUNTIF(계정대체기준!$A$6:$A$15,$N4472)&gt;0),IFERROR(INDEX(계정대체기준!$E$6:$E$15,MATCH(VALUE($A4472&amp;""),계정대체기준!$D$6:$D$15,0)),0),0))</f>
        <v/>
      </c>
      <c r="AH4472" s="64">
        <f>IF($A4472="","",IF(AD4472=0,"",IF(OR(COUNTIF(계정대체기준!$A$77:$A$86,$N4472)&gt;0,ISNUMBER(MATCH($X4472,계정대체기준!$D$77:$D$86,0)),ISNUMBER(MATCH($F4472,계정대체기준!$D$77:$D$86,0))),"Y","N")))</f>
        <v/>
      </c>
    </row>
    <row r="4473">
      <c r="A4473" s="92" t="n">
        <v>2026</v>
      </c>
      <c r="B4473" s="92" t="n">
        <v>8</v>
      </c>
      <c r="C4473" s="92" t="inlineStr">
        <is>
          <t>5100001751</t>
        </is>
      </c>
      <c r="D4473" s="95" t="n">
        <v>46253</v>
      </c>
      <c r="E4473" s="92" t="inlineStr">
        <is>
          <t>KR</t>
        </is>
      </c>
      <c r="F4473" s="92" t="n">
        <v>62102000</v>
      </c>
      <c r="G4473" s="92" t="n">
        <v>1301</v>
      </c>
      <c r="H4473" s="93" t="n">
        <v>110000</v>
      </c>
      <c r="I4473" s="92" t="inlineStr">
        <is>
          <t>8월 해외출장 - M항공</t>
        </is>
      </c>
      <c r="J4473" s="92" t="inlineStr">
        <is>
          <t>V10001</t>
        </is>
      </c>
      <c r="K4473" s="92" t="inlineStr">
        <is>
          <t>M항공</t>
        </is>
      </c>
      <c r="M4473" s="9">
        <f>IF($A4473="","",VALUE($A4473&amp;"")*12+VALUE($B4473&amp;""))</f>
        <v/>
      </c>
      <c r="N4473" s="64">
        <f>IF($A4473="","",IFERROR(INDEX(부서매핑!$C$5:$C$504,MATCH($G4473&amp;"",부서매핑!$A$5:$A$504,0)),"미매핑"))</f>
        <v/>
      </c>
      <c r="O4473" s="9">
        <f>IF($A4473="","",N4473&amp;"|"&amp;$F4473)</f>
        <v/>
      </c>
      <c r="P4473" s="94">
        <f>IF($A4473="",0,$H4473*설정!$C$23)</f>
        <v/>
      </c>
      <c r="Q4473" s="64">
        <f>IF($A4473="","",IF(O4473&lt;&gt;원인분석!$C$9,"",IF(AND(M4473&gt;=원인분석!$C$10,M4473&lt;=원인분석!$C$11),"당기",IF(AND(M4473&gt;=원인분석!$C$12,M4473&lt;=원인분석!$C$13),"비교",""))))</f>
        <v/>
      </c>
      <c r="R4473" s="9">
        <f>IF(Q4473="","",$K4473&amp;"")</f>
        <v/>
      </c>
      <c r="S4473" s="9">
        <f>IF(Q4473="","",IF(MATCH(R4473,$R$5:$R$100000,0)=ROW()-4,ROW(),""))</f>
        <v/>
      </c>
      <c r="T4473" s="9">
        <f>IF(Q4473="당기",ABS(P4473)+ROW()/1000000000,"")</f>
        <v/>
      </c>
      <c r="U4473" s="9">
        <f>IF(Q4473="비교",ABS(P4473)+ROW()/1000000000,"")</f>
        <v/>
      </c>
      <c r="V4473" s="64">
        <f>IF($A4473="","",IF(COUNTIF(변동분석!$E$7:$E$506,O4473)&gt;0,"Y","N"))</f>
        <v/>
      </c>
      <c r="W4473" s="64">
        <f>IF($A4473="","",IFERROR(INDEX(계정매핑!$D$5:$D$504,MATCH($F4473&amp;"",계정매핑!$A$5:$A$504,0)),"미매핑"))</f>
        <v/>
      </c>
      <c r="X4473" s="9">
        <f>IF($A4473="","",$F4473&amp;"")</f>
        <v/>
      </c>
      <c r="Y4473" s="94">
        <f>IF($A4473="",0,IF(AE4473="직접",IF(AF4473="비귀속",$P4473,0),$P4473*(1-AG4473)*IFERROR(INDEX(계정대체기준!$F$20:$F$49,MATCH($N4473,계정대체기준!$A$20:$A$49,0)),1)))</f>
        <v/>
      </c>
      <c r="Z4473" s="94">
        <f>IF($A4473="",0,IF(AE4473="직접",IF(AF4473="신계약비",$P4473,0),$P4473*(1-AG4473)*IFERROR(INDEX(계정대체기준!$C$20:$C$49,MATCH($N4473,계정대체기준!$A$20:$A$49,0)),0)))</f>
        <v/>
      </c>
      <c r="AA4473" s="94">
        <f>IF($A4473="",0,IF(AE4473="직접",IF(OR(AF4473="유지비",AF4473="손해조사비"),$P4473,0),$P4473*(1-AG4473)*IFERROR(INDEX(계정대체기준!$D$20:$D$49,MATCH($N4473,계정대체기준!$A$20:$A$49,0)),0)))</f>
        <v/>
      </c>
      <c r="AB4473" s="94">
        <f>IF($A4473="",0,IF(AE4473="직접",IF(AF4473="수금비",$P4473,0),$P4473*(1-AG4473)*IFERROR(INDEX(계정대체기준!$E$20:$E$49,MATCH($N4473,계정대체기준!$A$20:$A$49,0)),0)))</f>
        <v/>
      </c>
      <c r="AC4473" s="9">
        <f>IF(AND($A4473&lt;&gt;"",M4473=설정!$C$20,Z4473&gt;0),Z4473+ROW()/1000000000,"")</f>
        <v/>
      </c>
      <c r="AD4473" s="94">
        <f>IF($A4473="",0,$P4473*AG4473)</f>
        <v/>
      </c>
      <c r="AE4473" s="64">
        <f>IF($A4473="","",IFERROR(INDEX(계정매핑!$E$5:$E$504,MATCH($F4473&amp;"",계정매핑!$A$5:$A$504,0))&amp;"","공통비"))</f>
        <v/>
      </c>
      <c r="AF4473" s="64">
        <f>IF($A4473="","",IF(AE4473="직접",IFERROR(INDEX(계정매핑!$F$5:$F$504,MATCH($F4473&amp;"",계정매핑!$A$5:$A$504,0))&amp;"","비귀속"),""))</f>
        <v/>
      </c>
      <c r="AG4473" s="96">
        <f>IF($A4473="",0,IF(AND(AE4473&lt;&gt;"직접",IFERROR(INDEX(계정매핑!$G$5:$G$504,MATCH($F4473&amp;"",계정매핑!$A$5:$A$504,0))&amp;"","")="유지비",COUNTIF(계정대체기준!$A$6:$A$15,$N4473)&gt;0),IFERROR(INDEX(계정대체기준!$E$6:$E$15,MATCH(VALUE($A4473&amp;""),계정대체기준!$D$6:$D$15,0)),0),0))</f>
        <v/>
      </c>
      <c r="AH4473" s="64">
        <f>IF($A4473="","",IF(AD4473=0,"",IF(OR(COUNTIF(계정대체기준!$A$77:$A$86,$N4473)&gt;0,ISNUMBER(MATCH($X4473,계정대체기준!$D$77:$D$86,0)),ISNUMBER(MATCH($F4473,계정대체기준!$D$77:$D$86,0))),"Y","N")))</f>
        <v/>
      </c>
    </row>
    <row r="4474">
      <c r="A4474" s="92" t="n">
        <v>2026</v>
      </c>
      <c r="B4474" s="92" t="n">
        <v>8</v>
      </c>
      <c r="C4474" s="92" t="inlineStr">
        <is>
          <t>5100001752</t>
        </is>
      </c>
      <c r="D4474" s="95" t="n">
        <v>46253</v>
      </c>
      <c r="E4474" s="92" t="inlineStr">
        <is>
          <t>KR</t>
        </is>
      </c>
      <c r="F4474" s="92" t="n">
        <v>62201000</v>
      </c>
      <c r="G4474" s="92" t="n">
        <v>1201</v>
      </c>
      <c r="H4474" s="93" t="n">
        <v>126000</v>
      </c>
      <c r="I4474" s="92" t="inlineStr">
        <is>
          <t>8월 통신요금 - O텔레콤</t>
        </is>
      </c>
      <c r="J4474" s="92" t="inlineStr">
        <is>
          <t>V10002</t>
        </is>
      </c>
      <c r="K4474" s="92" t="inlineStr">
        <is>
          <t>O텔레콤</t>
        </is>
      </c>
      <c r="M4474" s="9">
        <f>IF($A4474="","",VALUE($A4474&amp;"")*12+VALUE($B4474&amp;""))</f>
        <v/>
      </c>
      <c r="N4474" s="64">
        <f>IF($A4474="","",IFERROR(INDEX(부서매핑!$C$5:$C$504,MATCH($G4474&amp;"",부서매핑!$A$5:$A$504,0)),"미매핑"))</f>
        <v/>
      </c>
      <c r="O4474" s="9">
        <f>IF($A4474="","",N4474&amp;"|"&amp;$F4474)</f>
        <v/>
      </c>
      <c r="P4474" s="94">
        <f>IF($A4474="",0,$H4474*설정!$C$23)</f>
        <v/>
      </c>
      <c r="Q4474" s="64">
        <f>IF($A4474="","",IF(O4474&lt;&gt;원인분석!$C$9,"",IF(AND(M4474&gt;=원인분석!$C$10,M4474&lt;=원인분석!$C$11),"당기",IF(AND(M4474&gt;=원인분석!$C$12,M4474&lt;=원인분석!$C$13),"비교",""))))</f>
        <v/>
      </c>
      <c r="R4474" s="9">
        <f>IF(Q4474="","",$K4474&amp;"")</f>
        <v/>
      </c>
      <c r="S4474" s="9">
        <f>IF(Q4474="","",IF(MATCH(R4474,$R$5:$R$100000,0)=ROW()-4,ROW(),""))</f>
        <v/>
      </c>
      <c r="T4474" s="9">
        <f>IF(Q4474="당기",ABS(P4474)+ROW()/1000000000,"")</f>
        <v/>
      </c>
      <c r="U4474" s="9">
        <f>IF(Q4474="비교",ABS(P4474)+ROW()/1000000000,"")</f>
        <v/>
      </c>
      <c r="V4474" s="64">
        <f>IF($A4474="","",IF(COUNTIF(변동분석!$E$7:$E$506,O4474)&gt;0,"Y","N"))</f>
        <v/>
      </c>
      <c r="W4474" s="64">
        <f>IF($A4474="","",IFERROR(INDEX(계정매핑!$D$5:$D$504,MATCH($F4474&amp;"",계정매핑!$A$5:$A$504,0)),"미매핑"))</f>
        <v/>
      </c>
      <c r="X4474" s="9">
        <f>IF($A4474="","",$F4474&amp;"")</f>
        <v/>
      </c>
      <c r="Y4474" s="94">
        <f>IF($A4474="",0,IF(AE4474="직접",IF(AF4474="비귀속",$P4474,0),$P4474*(1-AG4474)*IFERROR(INDEX(계정대체기준!$F$20:$F$49,MATCH($N4474,계정대체기준!$A$20:$A$49,0)),1)))</f>
        <v/>
      </c>
      <c r="Z4474" s="94">
        <f>IF($A4474="",0,IF(AE4474="직접",IF(AF4474="신계약비",$P4474,0),$P4474*(1-AG4474)*IFERROR(INDEX(계정대체기준!$C$20:$C$49,MATCH($N4474,계정대체기준!$A$20:$A$49,0)),0)))</f>
        <v/>
      </c>
      <c r="AA4474" s="94">
        <f>IF($A4474="",0,IF(AE4474="직접",IF(OR(AF4474="유지비",AF4474="손해조사비"),$P4474,0),$P4474*(1-AG4474)*IFERROR(INDEX(계정대체기준!$D$20:$D$49,MATCH($N4474,계정대체기준!$A$20:$A$49,0)),0)))</f>
        <v/>
      </c>
      <c r="AB4474" s="94">
        <f>IF($A4474="",0,IF(AE4474="직접",IF(AF4474="수금비",$P4474,0),$P4474*(1-AG4474)*IFERROR(INDEX(계정대체기준!$E$20:$E$49,MATCH($N4474,계정대체기준!$A$20:$A$49,0)),0)))</f>
        <v/>
      </c>
      <c r="AC4474" s="9">
        <f>IF(AND($A4474&lt;&gt;"",M4474=설정!$C$20,Z4474&gt;0),Z4474+ROW()/1000000000,"")</f>
        <v/>
      </c>
      <c r="AD4474" s="94">
        <f>IF($A4474="",0,$P4474*AG4474)</f>
        <v/>
      </c>
      <c r="AE4474" s="64">
        <f>IF($A4474="","",IFERROR(INDEX(계정매핑!$E$5:$E$504,MATCH($F4474&amp;"",계정매핑!$A$5:$A$504,0))&amp;"","공통비"))</f>
        <v/>
      </c>
      <c r="AF4474" s="64">
        <f>IF($A4474="","",IF(AE4474="직접",IFERROR(INDEX(계정매핑!$F$5:$F$504,MATCH($F4474&amp;"",계정매핑!$A$5:$A$504,0))&amp;"","비귀속"),""))</f>
        <v/>
      </c>
      <c r="AG4474" s="96">
        <f>IF($A4474="",0,IF(AND(AE4474&lt;&gt;"직접",IFERROR(INDEX(계정매핑!$G$5:$G$504,MATCH($F4474&amp;"",계정매핑!$A$5:$A$504,0))&amp;"","")="유지비",COUNTIF(계정대체기준!$A$6:$A$15,$N4474)&gt;0),IFERROR(INDEX(계정대체기준!$E$6:$E$15,MATCH(VALUE($A4474&amp;""),계정대체기준!$D$6:$D$15,0)),0),0))</f>
        <v/>
      </c>
      <c r="AH4474" s="64">
        <f>IF($A4474="","",IF(AD4474=0,"",IF(OR(COUNTIF(계정대체기준!$A$77:$A$86,$N4474)&gt;0,ISNUMBER(MATCH($X4474,계정대체기준!$D$77:$D$86,0)),ISNUMBER(MATCH($F4474,계정대체기준!$D$77:$D$86,0))),"Y","N")))</f>
        <v/>
      </c>
    </row>
    <row r="4475">
      <c r="A4475" s="92" t="n">
        <v>2026</v>
      </c>
      <c r="B4475" s="92" t="n">
        <v>8</v>
      </c>
      <c r="C4475" s="92" t="inlineStr">
        <is>
          <t>5100001753</t>
        </is>
      </c>
      <c r="D4475" s="95" t="n">
        <v>46253</v>
      </c>
      <c r="E4475" s="92" t="inlineStr">
        <is>
          <t>KR</t>
        </is>
      </c>
      <c r="F4475" s="92" t="n">
        <v>62201000</v>
      </c>
      <c r="G4475" s="92" t="n">
        <v>1601</v>
      </c>
      <c r="H4475" s="93" t="n">
        <v>695000</v>
      </c>
      <c r="I4475" s="92" t="inlineStr">
        <is>
          <t>8월 통신요금 - O텔레콤</t>
        </is>
      </c>
      <c r="J4475" s="92" t="inlineStr">
        <is>
          <t>V10002</t>
        </is>
      </c>
      <c r="K4475" s="92" t="inlineStr">
        <is>
          <t>O텔레콤</t>
        </is>
      </c>
      <c r="M4475" s="9">
        <f>IF($A4475="","",VALUE($A4475&amp;"")*12+VALUE($B4475&amp;""))</f>
        <v/>
      </c>
      <c r="N4475" s="64">
        <f>IF($A4475="","",IFERROR(INDEX(부서매핑!$C$5:$C$504,MATCH($G4475&amp;"",부서매핑!$A$5:$A$504,0)),"미매핑"))</f>
        <v/>
      </c>
      <c r="O4475" s="9">
        <f>IF($A4475="","",N4475&amp;"|"&amp;$F4475)</f>
        <v/>
      </c>
      <c r="P4475" s="94">
        <f>IF($A4475="",0,$H4475*설정!$C$23)</f>
        <v/>
      </c>
      <c r="Q4475" s="64">
        <f>IF($A4475="","",IF(O4475&lt;&gt;원인분석!$C$9,"",IF(AND(M4475&gt;=원인분석!$C$10,M4475&lt;=원인분석!$C$11),"당기",IF(AND(M4475&gt;=원인분석!$C$12,M4475&lt;=원인분석!$C$13),"비교",""))))</f>
        <v/>
      </c>
      <c r="R4475" s="9">
        <f>IF(Q4475="","",$K4475&amp;"")</f>
        <v/>
      </c>
      <c r="S4475" s="9">
        <f>IF(Q4475="","",IF(MATCH(R4475,$R$5:$R$100000,0)=ROW()-4,ROW(),""))</f>
        <v/>
      </c>
      <c r="T4475" s="9">
        <f>IF(Q4475="당기",ABS(P4475)+ROW()/1000000000,"")</f>
        <v/>
      </c>
      <c r="U4475" s="9">
        <f>IF(Q4475="비교",ABS(P4475)+ROW()/1000000000,"")</f>
        <v/>
      </c>
      <c r="V4475" s="64">
        <f>IF($A4475="","",IF(COUNTIF(변동분석!$E$7:$E$506,O4475)&gt;0,"Y","N"))</f>
        <v/>
      </c>
      <c r="W4475" s="64">
        <f>IF($A4475="","",IFERROR(INDEX(계정매핑!$D$5:$D$504,MATCH($F4475&amp;"",계정매핑!$A$5:$A$504,0)),"미매핑"))</f>
        <v/>
      </c>
      <c r="X4475" s="9">
        <f>IF($A4475="","",$F4475&amp;"")</f>
        <v/>
      </c>
      <c r="Y4475" s="94">
        <f>IF($A4475="",0,IF(AE4475="직접",IF(AF4475="비귀속",$P4475,0),$P4475*(1-AG4475)*IFERROR(INDEX(계정대체기준!$F$20:$F$49,MATCH($N4475,계정대체기준!$A$20:$A$49,0)),1)))</f>
        <v/>
      </c>
      <c r="Z4475" s="94">
        <f>IF($A4475="",0,IF(AE4475="직접",IF(AF4475="신계약비",$P4475,0),$P4475*(1-AG4475)*IFERROR(INDEX(계정대체기준!$C$20:$C$49,MATCH($N4475,계정대체기준!$A$20:$A$49,0)),0)))</f>
        <v/>
      </c>
      <c r="AA4475" s="94">
        <f>IF($A4475="",0,IF(AE4475="직접",IF(OR(AF4475="유지비",AF4475="손해조사비"),$P4475,0),$P4475*(1-AG4475)*IFERROR(INDEX(계정대체기준!$D$20:$D$49,MATCH($N4475,계정대체기준!$A$20:$A$49,0)),0)))</f>
        <v/>
      </c>
      <c r="AB4475" s="94">
        <f>IF($A4475="",0,IF(AE4475="직접",IF(AF4475="수금비",$P4475,0),$P4475*(1-AG4475)*IFERROR(INDEX(계정대체기준!$E$20:$E$49,MATCH($N4475,계정대체기준!$A$20:$A$49,0)),0)))</f>
        <v/>
      </c>
      <c r="AC4475" s="9">
        <f>IF(AND($A4475&lt;&gt;"",M4475=설정!$C$20,Z4475&gt;0),Z4475+ROW()/1000000000,"")</f>
        <v/>
      </c>
      <c r="AD4475" s="94">
        <f>IF($A4475="",0,$P4475*AG4475)</f>
        <v/>
      </c>
      <c r="AE4475" s="64">
        <f>IF($A4475="","",IFERROR(INDEX(계정매핑!$E$5:$E$504,MATCH($F4475&amp;"",계정매핑!$A$5:$A$504,0))&amp;"","공통비"))</f>
        <v/>
      </c>
      <c r="AF4475" s="64">
        <f>IF($A4475="","",IF(AE4475="직접",IFERROR(INDEX(계정매핑!$F$5:$F$504,MATCH($F4475&amp;"",계정매핑!$A$5:$A$504,0))&amp;"","비귀속"),""))</f>
        <v/>
      </c>
      <c r="AG4475" s="96">
        <f>IF($A4475="",0,IF(AND(AE4475&lt;&gt;"직접",IFERROR(INDEX(계정매핑!$G$5:$G$504,MATCH($F4475&amp;"",계정매핑!$A$5:$A$504,0))&amp;"","")="유지비",COUNTIF(계정대체기준!$A$6:$A$15,$N4475)&gt;0),IFERROR(INDEX(계정대체기준!$E$6:$E$15,MATCH(VALUE($A4475&amp;""),계정대체기준!$D$6:$D$15,0)),0),0))</f>
        <v/>
      </c>
      <c r="AH4475" s="64">
        <f>IF($A4475="","",IF(AD4475=0,"",IF(OR(COUNTIF(계정대체기준!$A$77:$A$86,$N4475)&gt;0,ISNUMBER(MATCH($X4475,계정대체기준!$D$77:$D$86,0)),ISNUMBER(MATCH($F4475,계정대체기준!$D$77:$D$86,0))),"Y","N")))</f>
        <v/>
      </c>
    </row>
    <row r="4476">
      <c r="A4476" s="92" t="n">
        <v>2026</v>
      </c>
      <c r="B4476" s="92" t="n">
        <v>8</v>
      </c>
      <c r="C4476" s="92" t="inlineStr">
        <is>
          <t>5100001754</t>
        </is>
      </c>
      <c r="D4476" s="95" t="n">
        <v>46253</v>
      </c>
      <c r="E4476" s="92" t="inlineStr">
        <is>
          <t>KR</t>
        </is>
      </c>
      <c r="F4476" s="92" t="n">
        <v>62201000</v>
      </c>
      <c r="G4476" s="92" t="n">
        <v>1701</v>
      </c>
      <c r="H4476" s="93" t="n">
        <v>4457000</v>
      </c>
      <c r="I4476" s="92" t="inlineStr">
        <is>
          <t>8월 통신요금 - P통신</t>
        </is>
      </c>
      <c r="J4476" s="92" t="inlineStr">
        <is>
          <t>V10014</t>
        </is>
      </c>
      <c r="K4476" s="92" t="inlineStr">
        <is>
          <t>P통신</t>
        </is>
      </c>
      <c r="M4476" s="9">
        <f>IF($A4476="","",VALUE($A4476&amp;"")*12+VALUE($B4476&amp;""))</f>
        <v/>
      </c>
      <c r="N4476" s="64">
        <f>IF($A4476="","",IFERROR(INDEX(부서매핑!$C$5:$C$504,MATCH($G4476&amp;"",부서매핑!$A$5:$A$504,0)),"미매핑"))</f>
        <v/>
      </c>
      <c r="O4476" s="9">
        <f>IF($A4476="","",N4476&amp;"|"&amp;$F4476)</f>
        <v/>
      </c>
      <c r="P4476" s="94">
        <f>IF($A4476="",0,$H4476*설정!$C$23)</f>
        <v/>
      </c>
      <c r="Q4476" s="64">
        <f>IF($A4476="","",IF(O4476&lt;&gt;원인분석!$C$9,"",IF(AND(M4476&gt;=원인분석!$C$10,M4476&lt;=원인분석!$C$11),"당기",IF(AND(M4476&gt;=원인분석!$C$12,M4476&lt;=원인분석!$C$13),"비교",""))))</f>
        <v/>
      </c>
      <c r="R4476" s="9">
        <f>IF(Q4476="","",$K4476&amp;"")</f>
        <v/>
      </c>
      <c r="S4476" s="9">
        <f>IF(Q4476="","",IF(MATCH(R4476,$R$5:$R$100000,0)=ROW()-4,ROW(),""))</f>
        <v/>
      </c>
      <c r="T4476" s="9">
        <f>IF(Q4476="당기",ABS(P4476)+ROW()/1000000000,"")</f>
        <v/>
      </c>
      <c r="U4476" s="9">
        <f>IF(Q4476="비교",ABS(P4476)+ROW()/1000000000,"")</f>
        <v/>
      </c>
      <c r="V4476" s="64">
        <f>IF($A4476="","",IF(COUNTIF(변동분석!$E$7:$E$506,O4476)&gt;0,"Y","N"))</f>
        <v/>
      </c>
      <c r="W4476" s="64">
        <f>IF($A4476="","",IFERROR(INDEX(계정매핑!$D$5:$D$504,MATCH($F4476&amp;"",계정매핑!$A$5:$A$504,0)),"미매핑"))</f>
        <v/>
      </c>
      <c r="X4476" s="9">
        <f>IF($A4476="","",$F4476&amp;"")</f>
        <v/>
      </c>
      <c r="Y4476" s="94">
        <f>IF($A4476="",0,IF(AE4476="직접",IF(AF4476="비귀속",$P4476,0),$P4476*(1-AG4476)*IFERROR(INDEX(계정대체기준!$F$20:$F$49,MATCH($N4476,계정대체기준!$A$20:$A$49,0)),1)))</f>
        <v/>
      </c>
      <c r="Z4476" s="94">
        <f>IF($A4476="",0,IF(AE4476="직접",IF(AF4476="신계약비",$P4476,0),$P4476*(1-AG4476)*IFERROR(INDEX(계정대체기준!$C$20:$C$49,MATCH($N4476,계정대체기준!$A$20:$A$49,0)),0)))</f>
        <v/>
      </c>
      <c r="AA4476" s="94">
        <f>IF($A4476="",0,IF(AE4476="직접",IF(OR(AF4476="유지비",AF4476="손해조사비"),$P4476,0),$P4476*(1-AG4476)*IFERROR(INDEX(계정대체기준!$D$20:$D$49,MATCH($N4476,계정대체기준!$A$20:$A$49,0)),0)))</f>
        <v/>
      </c>
      <c r="AB4476" s="94">
        <f>IF($A4476="",0,IF(AE4476="직접",IF(AF4476="수금비",$P4476,0),$P4476*(1-AG4476)*IFERROR(INDEX(계정대체기준!$E$20:$E$49,MATCH($N4476,계정대체기준!$A$20:$A$49,0)),0)))</f>
        <v/>
      </c>
      <c r="AC4476" s="9">
        <f>IF(AND($A4476&lt;&gt;"",M4476=설정!$C$20,Z4476&gt;0),Z4476+ROW()/1000000000,"")</f>
        <v/>
      </c>
      <c r="AD4476" s="94">
        <f>IF($A4476="",0,$P4476*AG4476)</f>
        <v/>
      </c>
      <c r="AE4476" s="64">
        <f>IF($A4476="","",IFERROR(INDEX(계정매핑!$E$5:$E$504,MATCH($F4476&amp;"",계정매핑!$A$5:$A$504,0))&amp;"","공통비"))</f>
        <v/>
      </c>
      <c r="AF4476" s="64">
        <f>IF($A4476="","",IF(AE4476="직접",IFERROR(INDEX(계정매핑!$F$5:$F$504,MATCH($F4476&amp;"",계정매핑!$A$5:$A$504,0))&amp;"","비귀속"),""))</f>
        <v/>
      </c>
      <c r="AG4476" s="96">
        <f>IF($A4476="",0,IF(AND(AE4476&lt;&gt;"직접",IFERROR(INDEX(계정매핑!$G$5:$G$504,MATCH($F4476&amp;"",계정매핑!$A$5:$A$504,0))&amp;"","")="유지비",COUNTIF(계정대체기준!$A$6:$A$15,$N4476)&gt;0),IFERROR(INDEX(계정대체기준!$E$6:$E$15,MATCH(VALUE($A4476&amp;""),계정대체기준!$D$6:$D$15,0)),0),0))</f>
        <v/>
      </c>
      <c r="AH4476" s="64">
        <f>IF($A4476="","",IF(AD4476=0,"",IF(OR(COUNTIF(계정대체기준!$A$77:$A$86,$N4476)&gt;0,ISNUMBER(MATCH($X4476,계정대체기준!$D$77:$D$86,0)),ISNUMBER(MATCH($F4476,계정대체기준!$D$77:$D$86,0))),"Y","N")))</f>
        <v/>
      </c>
    </row>
    <row r="4477">
      <c r="A4477" s="92" t="n">
        <v>2026</v>
      </c>
      <c r="B4477" s="92" t="n">
        <v>8</v>
      </c>
      <c r="C4477" s="92" t="inlineStr">
        <is>
          <t>5100001755</t>
        </is>
      </c>
      <c r="D4477" s="95" t="n">
        <v>46253</v>
      </c>
      <c r="E4477" s="92" t="inlineStr">
        <is>
          <t>KR</t>
        </is>
      </c>
      <c r="F4477" s="92" t="n">
        <v>62301000</v>
      </c>
      <c r="G4477" s="92" t="n">
        <v>1401</v>
      </c>
      <c r="H4477" s="93" t="n">
        <v>144000</v>
      </c>
      <c r="I4477" s="92" t="inlineStr">
        <is>
          <t>8월 소모품 구입 - Q오피스</t>
        </is>
      </c>
      <c r="J4477" s="92" t="inlineStr">
        <is>
          <t>V10003</t>
        </is>
      </c>
      <c r="K4477" s="92" t="inlineStr">
        <is>
          <t>Q오피스</t>
        </is>
      </c>
      <c r="M4477" s="9">
        <f>IF($A4477="","",VALUE($A4477&amp;"")*12+VALUE($B4477&amp;""))</f>
        <v/>
      </c>
      <c r="N4477" s="64">
        <f>IF($A4477="","",IFERROR(INDEX(부서매핑!$C$5:$C$504,MATCH($G4477&amp;"",부서매핑!$A$5:$A$504,0)),"미매핑"))</f>
        <v/>
      </c>
      <c r="O4477" s="9">
        <f>IF($A4477="","",N4477&amp;"|"&amp;$F4477)</f>
        <v/>
      </c>
      <c r="P4477" s="94">
        <f>IF($A4477="",0,$H4477*설정!$C$23)</f>
        <v/>
      </c>
      <c r="Q4477" s="64">
        <f>IF($A4477="","",IF(O4477&lt;&gt;원인분석!$C$9,"",IF(AND(M4477&gt;=원인분석!$C$10,M4477&lt;=원인분석!$C$11),"당기",IF(AND(M4477&gt;=원인분석!$C$12,M4477&lt;=원인분석!$C$13),"비교",""))))</f>
        <v/>
      </c>
      <c r="R4477" s="9">
        <f>IF(Q4477="","",$K4477&amp;"")</f>
        <v/>
      </c>
      <c r="S4477" s="9">
        <f>IF(Q4477="","",IF(MATCH(R4477,$R$5:$R$100000,0)=ROW()-4,ROW(),""))</f>
        <v/>
      </c>
      <c r="T4477" s="9">
        <f>IF(Q4477="당기",ABS(P4477)+ROW()/1000000000,"")</f>
        <v/>
      </c>
      <c r="U4477" s="9">
        <f>IF(Q4477="비교",ABS(P4477)+ROW()/1000000000,"")</f>
        <v/>
      </c>
      <c r="V4477" s="64">
        <f>IF($A4477="","",IF(COUNTIF(변동분석!$E$7:$E$506,O4477)&gt;0,"Y","N"))</f>
        <v/>
      </c>
      <c r="W4477" s="64">
        <f>IF($A4477="","",IFERROR(INDEX(계정매핑!$D$5:$D$504,MATCH($F4477&amp;"",계정매핑!$A$5:$A$504,0)),"미매핑"))</f>
        <v/>
      </c>
      <c r="X4477" s="9">
        <f>IF($A4477="","",$F4477&amp;"")</f>
        <v/>
      </c>
      <c r="Y4477" s="94">
        <f>IF($A4477="",0,IF(AE4477="직접",IF(AF4477="비귀속",$P4477,0),$P4477*(1-AG4477)*IFERROR(INDEX(계정대체기준!$F$20:$F$49,MATCH($N4477,계정대체기준!$A$20:$A$49,0)),1)))</f>
        <v/>
      </c>
      <c r="Z4477" s="94">
        <f>IF($A4477="",0,IF(AE4477="직접",IF(AF4477="신계약비",$P4477,0),$P4477*(1-AG4477)*IFERROR(INDEX(계정대체기준!$C$20:$C$49,MATCH($N4477,계정대체기준!$A$20:$A$49,0)),0)))</f>
        <v/>
      </c>
      <c r="AA4477" s="94">
        <f>IF($A4477="",0,IF(AE4477="직접",IF(OR(AF4477="유지비",AF4477="손해조사비"),$P4477,0),$P4477*(1-AG4477)*IFERROR(INDEX(계정대체기준!$D$20:$D$49,MATCH($N4477,계정대체기준!$A$20:$A$49,0)),0)))</f>
        <v/>
      </c>
      <c r="AB4477" s="94">
        <f>IF($A4477="",0,IF(AE4477="직접",IF(AF4477="수금비",$P4477,0),$P4477*(1-AG4477)*IFERROR(INDEX(계정대체기준!$E$20:$E$49,MATCH($N4477,계정대체기준!$A$20:$A$49,0)),0)))</f>
        <v/>
      </c>
      <c r="AC4477" s="9">
        <f>IF(AND($A4477&lt;&gt;"",M4477=설정!$C$20,Z4477&gt;0),Z4477+ROW()/1000000000,"")</f>
        <v/>
      </c>
      <c r="AD4477" s="94">
        <f>IF($A4477="",0,$P4477*AG4477)</f>
        <v/>
      </c>
      <c r="AE4477" s="64">
        <f>IF($A4477="","",IFERROR(INDEX(계정매핑!$E$5:$E$504,MATCH($F4477&amp;"",계정매핑!$A$5:$A$504,0))&amp;"","공통비"))</f>
        <v/>
      </c>
      <c r="AF4477" s="64">
        <f>IF($A4477="","",IF(AE4477="직접",IFERROR(INDEX(계정매핑!$F$5:$F$504,MATCH($F4477&amp;"",계정매핑!$A$5:$A$504,0))&amp;"","비귀속"),""))</f>
        <v/>
      </c>
      <c r="AG4477" s="96">
        <f>IF($A4477="",0,IF(AND(AE4477&lt;&gt;"직접",IFERROR(INDEX(계정매핑!$G$5:$G$504,MATCH($F4477&amp;"",계정매핑!$A$5:$A$504,0))&amp;"","")="유지비",COUNTIF(계정대체기준!$A$6:$A$15,$N4477)&gt;0),IFERROR(INDEX(계정대체기준!$E$6:$E$15,MATCH(VALUE($A4477&amp;""),계정대체기준!$D$6:$D$15,0)),0),0))</f>
        <v/>
      </c>
      <c r="AH4477" s="64">
        <f>IF($A4477="","",IF(AD4477=0,"",IF(OR(COUNTIF(계정대체기준!$A$77:$A$86,$N4477)&gt;0,ISNUMBER(MATCH($X4477,계정대체기준!$D$77:$D$86,0)),ISNUMBER(MATCH($F4477,계정대체기준!$D$77:$D$86,0))),"Y","N")))</f>
        <v/>
      </c>
    </row>
    <row r="4478">
      <c r="A4478" s="92" t="n">
        <v>2026</v>
      </c>
      <c r="B4478" s="92" t="n">
        <v>8</v>
      </c>
      <c r="C4478" s="92" t="inlineStr">
        <is>
          <t>5100001756</t>
        </is>
      </c>
      <c r="D4478" s="95" t="n">
        <v>46253</v>
      </c>
      <c r="E4478" s="92" t="inlineStr">
        <is>
          <t>KR</t>
        </is>
      </c>
      <c r="F4478" s="92" t="n">
        <v>62301000</v>
      </c>
      <c r="G4478" s="92" t="n">
        <v>1401</v>
      </c>
      <c r="H4478" s="93" t="n">
        <v>130000</v>
      </c>
      <c r="I4478" s="92" t="inlineStr">
        <is>
          <t>8월 소모품 구입 - Q오피스</t>
        </is>
      </c>
      <c r="J4478" s="92" t="inlineStr">
        <is>
          <t>V10003</t>
        </is>
      </c>
      <c r="K4478" s="92" t="inlineStr">
        <is>
          <t>Q오피스</t>
        </is>
      </c>
      <c r="M4478" s="9">
        <f>IF($A4478="","",VALUE($A4478&amp;"")*12+VALUE($B4478&amp;""))</f>
        <v/>
      </c>
      <c r="N4478" s="64">
        <f>IF($A4478="","",IFERROR(INDEX(부서매핑!$C$5:$C$504,MATCH($G4478&amp;"",부서매핑!$A$5:$A$504,0)),"미매핑"))</f>
        <v/>
      </c>
      <c r="O4478" s="9">
        <f>IF($A4478="","",N4478&amp;"|"&amp;$F4478)</f>
        <v/>
      </c>
      <c r="P4478" s="94">
        <f>IF($A4478="",0,$H4478*설정!$C$23)</f>
        <v/>
      </c>
      <c r="Q4478" s="64">
        <f>IF($A4478="","",IF(O4478&lt;&gt;원인분석!$C$9,"",IF(AND(M4478&gt;=원인분석!$C$10,M4478&lt;=원인분석!$C$11),"당기",IF(AND(M4478&gt;=원인분석!$C$12,M4478&lt;=원인분석!$C$13),"비교",""))))</f>
        <v/>
      </c>
      <c r="R4478" s="9">
        <f>IF(Q4478="","",$K4478&amp;"")</f>
        <v/>
      </c>
      <c r="S4478" s="9">
        <f>IF(Q4478="","",IF(MATCH(R4478,$R$5:$R$100000,0)=ROW()-4,ROW(),""))</f>
        <v/>
      </c>
      <c r="T4478" s="9">
        <f>IF(Q4478="당기",ABS(P4478)+ROW()/1000000000,"")</f>
        <v/>
      </c>
      <c r="U4478" s="9">
        <f>IF(Q4478="비교",ABS(P4478)+ROW()/1000000000,"")</f>
        <v/>
      </c>
      <c r="V4478" s="64">
        <f>IF($A4478="","",IF(COUNTIF(변동분석!$E$7:$E$506,O4478)&gt;0,"Y","N"))</f>
        <v/>
      </c>
      <c r="W4478" s="64">
        <f>IF($A4478="","",IFERROR(INDEX(계정매핑!$D$5:$D$504,MATCH($F4478&amp;"",계정매핑!$A$5:$A$504,0)),"미매핑"))</f>
        <v/>
      </c>
      <c r="X4478" s="9">
        <f>IF($A4478="","",$F4478&amp;"")</f>
        <v/>
      </c>
      <c r="Y4478" s="94">
        <f>IF($A4478="",0,IF(AE4478="직접",IF(AF4478="비귀속",$P4478,0),$P4478*(1-AG4478)*IFERROR(INDEX(계정대체기준!$F$20:$F$49,MATCH($N4478,계정대체기준!$A$20:$A$49,0)),1)))</f>
        <v/>
      </c>
      <c r="Z4478" s="94">
        <f>IF($A4478="",0,IF(AE4478="직접",IF(AF4478="신계약비",$P4478,0),$P4478*(1-AG4478)*IFERROR(INDEX(계정대체기준!$C$20:$C$49,MATCH($N4478,계정대체기준!$A$20:$A$49,0)),0)))</f>
        <v/>
      </c>
      <c r="AA4478" s="94">
        <f>IF($A4478="",0,IF(AE4478="직접",IF(OR(AF4478="유지비",AF4478="손해조사비"),$P4478,0),$P4478*(1-AG4478)*IFERROR(INDEX(계정대체기준!$D$20:$D$49,MATCH($N4478,계정대체기준!$A$20:$A$49,0)),0)))</f>
        <v/>
      </c>
      <c r="AB4478" s="94">
        <f>IF($A4478="",0,IF(AE4478="직접",IF(AF4478="수금비",$P4478,0),$P4478*(1-AG4478)*IFERROR(INDEX(계정대체기준!$E$20:$E$49,MATCH($N4478,계정대체기준!$A$20:$A$49,0)),0)))</f>
        <v/>
      </c>
      <c r="AC4478" s="9">
        <f>IF(AND($A4478&lt;&gt;"",M4478=설정!$C$20,Z4478&gt;0),Z4478+ROW()/1000000000,"")</f>
        <v/>
      </c>
      <c r="AD4478" s="94">
        <f>IF($A4478="",0,$P4478*AG4478)</f>
        <v/>
      </c>
      <c r="AE4478" s="64">
        <f>IF($A4478="","",IFERROR(INDEX(계정매핑!$E$5:$E$504,MATCH($F4478&amp;"",계정매핑!$A$5:$A$504,0))&amp;"","공통비"))</f>
        <v/>
      </c>
      <c r="AF4478" s="64">
        <f>IF($A4478="","",IF(AE4478="직접",IFERROR(INDEX(계정매핑!$F$5:$F$504,MATCH($F4478&amp;"",계정매핑!$A$5:$A$504,0))&amp;"","비귀속"),""))</f>
        <v/>
      </c>
      <c r="AG4478" s="96">
        <f>IF($A4478="",0,IF(AND(AE4478&lt;&gt;"직접",IFERROR(INDEX(계정매핑!$G$5:$G$504,MATCH($F4478&amp;"",계정매핑!$A$5:$A$504,0))&amp;"","")="유지비",COUNTIF(계정대체기준!$A$6:$A$15,$N4478)&gt;0),IFERROR(INDEX(계정대체기준!$E$6:$E$15,MATCH(VALUE($A4478&amp;""),계정대체기준!$D$6:$D$15,0)),0),0))</f>
        <v/>
      </c>
      <c r="AH4478" s="64">
        <f>IF($A4478="","",IF(AD4478=0,"",IF(OR(COUNTIF(계정대체기준!$A$77:$A$86,$N4478)&gt;0,ISNUMBER(MATCH($X4478,계정대체기준!$D$77:$D$86,0)),ISNUMBER(MATCH($F4478,계정대체기준!$D$77:$D$86,0))),"Y","N")))</f>
        <v/>
      </c>
    </row>
    <row r="4479">
      <c r="A4479" s="92" t="n">
        <v>2026</v>
      </c>
      <c r="B4479" s="92" t="n">
        <v>8</v>
      </c>
      <c r="C4479" s="92" t="inlineStr">
        <is>
          <t>5100001757</t>
        </is>
      </c>
      <c r="D4479" s="95" t="n">
        <v>46253</v>
      </c>
      <c r="E4479" s="92" t="inlineStr">
        <is>
          <t>KR</t>
        </is>
      </c>
      <c r="F4479" s="92" t="n">
        <v>62501000</v>
      </c>
      <c r="G4479" s="92" t="n">
        <v>1601</v>
      </c>
      <c r="H4479" s="93" t="n">
        <v>478000</v>
      </c>
      <c r="I4479" s="92" t="inlineStr">
        <is>
          <t>8월 회의 다과 - (법인카드)</t>
        </is>
      </c>
      <c r="J4479" s="92" t="inlineStr">
        <is>
          <t>V10010</t>
        </is>
      </c>
      <c r="K4479" s="92" t="inlineStr">
        <is>
          <t>(법인카드)</t>
        </is>
      </c>
      <c r="M4479" s="9">
        <f>IF($A4479="","",VALUE($A4479&amp;"")*12+VALUE($B4479&amp;""))</f>
        <v/>
      </c>
      <c r="N4479" s="64">
        <f>IF($A4479="","",IFERROR(INDEX(부서매핑!$C$5:$C$504,MATCH($G4479&amp;"",부서매핑!$A$5:$A$504,0)),"미매핑"))</f>
        <v/>
      </c>
      <c r="O4479" s="9">
        <f>IF($A4479="","",N4479&amp;"|"&amp;$F4479)</f>
        <v/>
      </c>
      <c r="P4479" s="94">
        <f>IF($A4479="",0,$H4479*설정!$C$23)</f>
        <v/>
      </c>
      <c r="Q4479" s="64">
        <f>IF($A4479="","",IF(O4479&lt;&gt;원인분석!$C$9,"",IF(AND(M4479&gt;=원인분석!$C$10,M4479&lt;=원인분석!$C$11),"당기",IF(AND(M4479&gt;=원인분석!$C$12,M4479&lt;=원인분석!$C$13),"비교",""))))</f>
        <v/>
      </c>
      <c r="R4479" s="9">
        <f>IF(Q4479="","",$K4479&amp;"")</f>
        <v/>
      </c>
      <c r="S4479" s="9">
        <f>IF(Q4479="","",IF(MATCH(R4479,$R$5:$R$100000,0)=ROW()-4,ROW(),""))</f>
        <v/>
      </c>
      <c r="T4479" s="9">
        <f>IF(Q4479="당기",ABS(P4479)+ROW()/1000000000,"")</f>
        <v/>
      </c>
      <c r="U4479" s="9">
        <f>IF(Q4479="비교",ABS(P4479)+ROW()/1000000000,"")</f>
        <v/>
      </c>
      <c r="V4479" s="64">
        <f>IF($A4479="","",IF(COUNTIF(변동분석!$E$7:$E$506,O4479)&gt;0,"Y","N"))</f>
        <v/>
      </c>
      <c r="W4479" s="64">
        <f>IF($A4479="","",IFERROR(INDEX(계정매핑!$D$5:$D$504,MATCH($F4479&amp;"",계정매핑!$A$5:$A$504,0)),"미매핑"))</f>
        <v/>
      </c>
      <c r="X4479" s="9">
        <f>IF($A4479="","",$F4479&amp;"")</f>
        <v/>
      </c>
      <c r="Y4479" s="94">
        <f>IF($A4479="",0,IF(AE4479="직접",IF(AF4479="비귀속",$P4479,0),$P4479*(1-AG4479)*IFERROR(INDEX(계정대체기준!$F$20:$F$49,MATCH($N4479,계정대체기준!$A$20:$A$49,0)),1)))</f>
        <v/>
      </c>
      <c r="Z4479" s="94">
        <f>IF($A4479="",0,IF(AE4479="직접",IF(AF4479="신계약비",$P4479,0),$P4479*(1-AG4479)*IFERROR(INDEX(계정대체기준!$C$20:$C$49,MATCH($N4479,계정대체기준!$A$20:$A$49,0)),0)))</f>
        <v/>
      </c>
      <c r="AA4479" s="94">
        <f>IF($A4479="",0,IF(AE4479="직접",IF(OR(AF4479="유지비",AF4479="손해조사비"),$P4479,0),$P4479*(1-AG4479)*IFERROR(INDEX(계정대체기준!$D$20:$D$49,MATCH($N4479,계정대체기준!$A$20:$A$49,0)),0)))</f>
        <v/>
      </c>
      <c r="AB4479" s="94">
        <f>IF($A4479="",0,IF(AE4479="직접",IF(AF4479="수금비",$P4479,0),$P4479*(1-AG4479)*IFERROR(INDEX(계정대체기준!$E$20:$E$49,MATCH($N4479,계정대체기준!$A$20:$A$49,0)),0)))</f>
        <v/>
      </c>
      <c r="AC4479" s="9">
        <f>IF(AND($A4479&lt;&gt;"",M4479=설정!$C$20,Z4479&gt;0),Z4479+ROW()/1000000000,"")</f>
        <v/>
      </c>
      <c r="AD4479" s="94">
        <f>IF($A4479="",0,$P4479*AG4479)</f>
        <v/>
      </c>
      <c r="AE4479" s="64">
        <f>IF($A4479="","",IFERROR(INDEX(계정매핑!$E$5:$E$504,MATCH($F4479&amp;"",계정매핑!$A$5:$A$504,0))&amp;"","공통비"))</f>
        <v/>
      </c>
      <c r="AF4479" s="64">
        <f>IF($A4479="","",IF(AE4479="직접",IFERROR(INDEX(계정매핑!$F$5:$F$504,MATCH($F4479&amp;"",계정매핑!$A$5:$A$504,0))&amp;"","비귀속"),""))</f>
        <v/>
      </c>
      <c r="AG4479" s="96">
        <f>IF($A4479="",0,IF(AND(AE4479&lt;&gt;"직접",IFERROR(INDEX(계정매핑!$G$5:$G$504,MATCH($F4479&amp;"",계정매핑!$A$5:$A$504,0))&amp;"","")="유지비",COUNTIF(계정대체기준!$A$6:$A$15,$N4479)&gt;0),IFERROR(INDEX(계정대체기준!$E$6:$E$15,MATCH(VALUE($A4479&amp;""),계정대체기준!$D$6:$D$15,0)),0),0))</f>
        <v/>
      </c>
      <c r="AH4479" s="64">
        <f>IF($A4479="","",IF(AD4479=0,"",IF(OR(COUNTIF(계정대체기준!$A$77:$A$86,$N4479)&gt;0,ISNUMBER(MATCH($X4479,계정대체기준!$D$77:$D$86,0)),ISNUMBER(MATCH($F4479,계정대체기준!$D$77:$D$86,0))),"Y","N")))</f>
        <v/>
      </c>
    </row>
    <row r="4480">
      <c r="A4480" s="92" t="n">
        <v>2026</v>
      </c>
      <c r="B4480" s="92" t="n">
        <v>8</v>
      </c>
      <c r="C4480" s="92" t="inlineStr">
        <is>
          <t>5100001758</t>
        </is>
      </c>
      <c r="D4480" s="95" t="n">
        <v>46253</v>
      </c>
      <c r="E4480" s="92" t="inlineStr">
        <is>
          <t>KR</t>
        </is>
      </c>
      <c r="F4480" s="92" t="n">
        <v>62902000</v>
      </c>
      <c r="G4480" s="92" t="n">
        <v>1201</v>
      </c>
      <c r="H4480" s="93" t="n">
        <v>2539000</v>
      </c>
      <c r="I4480" s="92" t="inlineStr">
        <is>
          <t>8월 업무 위탁 수수료 - X서비스</t>
        </is>
      </c>
      <c r="J4480" s="92" t="inlineStr">
        <is>
          <t>V10020</t>
        </is>
      </c>
      <c r="K4480" s="92" t="inlineStr">
        <is>
          <t>X서비스</t>
        </is>
      </c>
      <c r="M4480" s="9">
        <f>IF($A4480="","",VALUE($A4480&amp;"")*12+VALUE($B4480&amp;""))</f>
        <v/>
      </c>
      <c r="N4480" s="64">
        <f>IF($A4480="","",IFERROR(INDEX(부서매핑!$C$5:$C$504,MATCH($G4480&amp;"",부서매핑!$A$5:$A$504,0)),"미매핑"))</f>
        <v/>
      </c>
      <c r="O4480" s="9">
        <f>IF($A4480="","",N4480&amp;"|"&amp;$F4480)</f>
        <v/>
      </c>
      <c r="P4480" s="94">
        <f>IF($A4480="",0,$H4480*설정!$C$23)</f>
        <v/>
      </c>
      <c r="Q4480" s="64">
        <f>IF($A4480="","",IF(O4480&lt;&gt;원인분석!$C$9,"",IF(AND(M4480&gt;=원인분석!$C$10,M4480&lt;=원인분석!$C$11),"당기",IF(AND(M4480&gt;=원인분석!$C$12,M4480&lt;=원인분석!$C$13),"비교",""))))</f>
        <v/>
      </c>
      <c r="R4480" s="9">
        <f>IF(Q4480="","",$K4480&amp;"")</f>
        <v/>
      </c>
      <c r="S4480" s="9">
        <f>IF(Q4480="","",IF(MATCH(R4480,$R$5:$R$100000,0)=ROW()-4,ROW(),""))</f>
        <v/>
      </c>
      <c r="T4480" s="9">
        <f>IF(Q4480="당기",ABS(P4480)+ROW()/1000000000,"")</f>
        <v/>
      </c>
      <c r="U4480" s="9">
        <f>IF(Q4480="비교",ABS(P4480)+ROW()/1000000000,"")</f>
        <v/>
      </c>
      <c r="V4480" s="64">
        <f>IF($A4480="","",IF(COUNTIF(변동분석!$E$7:$E$506,O4480)&gt;0,"Y","N"))</f>
        <v/>
      </c>
      <c r="W4480" s="64">
        <f>IF($A4480="","",IFERROR(INDEX(계정매핑!$D$5:$D$504,MATCH($F4480&amp;"",계정매핑!$A$5:$A$504,0)),"미매핑"))</f>
        <v/>
      </c>
      <c r="X4480" s="9">
        <f>IF($A4480="","",$F4480&amp;"")</f>
        <v/>
      </c>
      <c r="Y4480" s="94">
        <f>IF($A4480="",0,IF(AE4480="직접",IF(AF4480="비귀속",$P4480,0),$P4480*(1-AG4480)*IFERROR(INDEX(계정대체기준!$F$20:$F$49,MATCH($N4480,계정대체기준!$A$20:$A$49,0)),1)))</f>
        <v/>
      </c>
      <c r="Z4480" s="94">
        <f>IF($A4480="",0,IF(AE4480="직접",IF(AF4480="신계약비",$P4480,0),$P4480*(1-AG4480)*IFERROR(INDEX(계정대체기준!$C$20:$C$49,MATCH($N4480,계정대체기준!$A$20:$A$49,0)),0)))</f>
        <v/>
      </c>
      <c r="AA4480" s="94">
        <f>IF($A4480="",0,IF(AE4480="직접",IF(OR(AF4480="유지비",AF4480="손해조사비"),$P4480,0),$P4480*(1-AG4480)*IFERROR(INDEX(계정대체기준!$D$20:$D$49,MATCH($N4480,계정대체기준!$A$20:$A$49,0)),0)))</f>
        <v/>
      </c>
      <c r="AB4480" s="94">
        <f>IF($A4480="",0,IF(AE4480="직접",IF(AF4480="수금비",$P4480,0),$P4480*(1-AG4480)*IFERROR(INDEX(계정대체기준!$E$20:$E$49,MATCH($N4480,계정대체기준!$A$20:$A$49,0)),0)))</f>
        <v/>
      </c>
      <c r="AC4480" s="9">
        <f>IF(AND($A4480&lt;&gt;"",M4480=설정!$C$20,Z4480&gt;0),Z4480+ROW()/1000000000,"")</f>
        <v/>
      </c>
      <c r="AD4480" s="94">
        <f>IF($A4480="",0,$P4480*AG4480)</f>
        <v/>
      </c>
      <c r="AE4480" s="64">
        <f>IF($A4480="","",IFERROR(INDEX(계정매핑!$E$5:$E$504,MATCH($F4480&amp;"",계정매핑!$A$5:$A$504,0))&amp;"","공통비"))</f>
        <v/>
      </c>
      <c r="AF4480" s="64">
        <f>IF($A4480="","",IF(AE4480="직접",IFERROR(INDEX(계정매핑!$F$5:$F$504,MATCH($F4480&amp;"",계정매핑!$A$5:$A$504,0))&amp;"","비귀속"),""))</f>
        <v/>
      </c>
      <c r="AG4480" s="96">
        <f>IF($A4480="",0,IF(AND(AE4480&lt;&gt;"직접",IFERROR(INDEX(계정매핑!$G$5:$G$504,MATCH($F4480&amp;"",계정매핑!$A$5:$A$504,0))&amp;"","")="유지비",COUNTIF(계정대체기준!$A$6:$A$15,$N4480)&gt;0),IFERROR(INDEX(계정대체기준!$E$6:$E$15,MATCH(VALUE($A4480&amp;""),계정대체기준!$D$6:$D$15,0)),0),0))</f>
        <v/>
      </c>
      <c r="AH4480" s="64">
        <f>IF($A4480="","",IF(AD4480=0,"",IF(OR(COUNTIF(계정대체기준!$A$77:$A$86,$N4480)&gt;0,ISNUMBER(MATCH($X4480,계정대체기준!$D$77:$D$86,0)),ISNUMBER(MATCH($F4480,계정대체기준!$D$77:$D$86,0))),"Y","N")))</f>
        <v/>
      </c>
    </row>
    <row r="4481">
      <c r="A4481" s="92" t="n">
        <v>2026</v>
      </c>
      <c r="B4481" s="92" t="n">
        <v>8</v>
      </c>
      <c r="C4481" s="92" t="inlineStr">
        <is>
          <t>5100001759</t>
        </is>
      </c>
      <c r="D4481" s="95" t="n">
        <v>46253</v>
      </c>
      <c r="E4481" s="92" t="inlineStr">
        <is>
          <t>KR</t>
        </is>
      </c>
      <c r="F4481" s="92" t="n">
        <v>62902000</v>
      </c>
      <c r="G4481" s="92" t="n">
        <v>1801</v>
      </c>
      <c r="H4481" s="93" t="n">
        <v>1812000</v>
      </c>
      <c r="I4481" s="92" t="inlineStr">
        <is>
          <t>8월 콜 위탁 수수료(건별)</t>
        </is>
      </c>
      <c r="J4481" s="92" t="inlineStr">
        <is>
          <t>V10016</t>
        </is>
      </c>
      <c r="K4481" s="92" t="inlineStr">
        <is>
          <t>J콜센터</t>
        </is>
      </c>
      <c r="M4481" s="9">
        <f>IF($A4481="","",VALUE($A4481&amp;"")*12+VALUE($B4481&amp;""))</f>
        <v/>
      </c>
      <c r="N4481" s="64">
        <f>IF($A4481="","",IFERROR(INDEX(부서매핑!$C$5:$C$504,MATCH($G4481&amp;"",부서매핑!$A$5:$A$504,0)),"미매핑"))</f>
        <v/>
      </c>
      <c r="O4481" s="9">
        <f>IF($A4481="","",N4481&amp;"|"&amp;$F4481)</f>
        <v/>
      </c>
      <c r="P4481" s="94">
        <f>IF($A4481="",0,$H4481*설정!$C$23)</f>
        <v/>
      </c>
      <c r="Q4481" s="64">
        <f>IF($A4481="","",IF(O4481&lt;&gt;원인분석!$C$9,"",IF(AND(M4481&gt;=원인분석!$C$10,M4481&lt;=원인분석!$C$11),"당기",IF(AND(M4481&gt;=원인분석!$C$12,M4481&lt;=원인분석!$C$13),"비교",""))))</f>
        <v/>
      </c>
      <c r="R4481" s="9">
        <f>IF(Q4481="","",$K4481&amp;"")</f>
        <v/>
      </c>
      <c r="S4481" s="9">
        <f>IF(Q4481="","",IF(MATCH(R4481,$R$5:$R$100000,0)=ROW()-4,ROW(),""))</f>
        <v/>
      </c>
      <c r="T4481" s="9">
        <f>IF(Q4481="당기",ABS(P4481)+ROW()/1000000000,"")</f>
        <v/>
      </c>
      <c r="U4481" s="9">
        <f>IF(Q4481="비교",ABS(P4481)+ROW()/1000000000,"")</f>
        <v/>
      </c>
      <c r="V4481" s="64">
        <f>IF($A4481="","",IF(COUNTIF(변동분석!$E$7:$E$506,O4481)&gt;0,"Y","N"))</f>
        <v/>
      </c>
      <c r="W4481" s="64">
        <f>IF($A4481="","",IFERROR(INDEX(계정매핑!$D$5:$D$504,MATCH($F4481&amp;"",계정매핑!$A$5:$A$504,0)),"미매핑"))</f>
        <v/>
      </c>
      <c r="X4481" s="9">
        <f>IF($A4481="","",$F4481&amp;"")</f>
        <v/>
      </c>
      <c r="Y4481" s="94">
        <f>IF($A4481="",0,IF(AE4481="직접",IF(AF4481="비귀속",$P4481,0),$P4481*(1-AG4481)*IFERROR(INDEX(계정대체기준!$F$20:$F$49,MATCH($N4481,계정대체기준!$A$20:$A$49,0)),1)))</f>
        <v/>
      </c>
      <c r="Z4481" s="94">
        <f>IF($A4481="",0,IF(AE4481="직접",IF(AF4481="신계약비",$P4481,0),$P4481*(1-AG4481)*IFERROR(INDEX(계정대체기준!$C$20:$C$49,MATCH($N4481,계정대체기준!$A$20:$A$49,0)),0)))</f>
        <v/>
      </c>
      <c r="AA4481" s="94">
        <f>IF($A4481="",0,IF(AE4481="직접",IF(OR(AF4481="유지비",AF4481="손해조사비"),$P4481,0),$P4481*(1-AG4481)*IFERROR(INDEX(계정대체기준!$D$20:$D$49,MATCH($N4481,계정대체기준!$A$20:$A$49,0)),0)))</f>
        <v/>
      </c>
      <c r="AB4481" s="94">
        <f>IF($A4481="",0,IF(AE4481="직접",IF(AF4481="수금비",$P4481,0),$P4481*(1-AG4481)*IFERROR(INDEX(계정대체기준!$E$20:$E$49,MATCH($N4481,계정대체기준!$A$20:$A$49,0)),0)))</f>
        <v/>
      </c>
      <c r="AC4481" s="9">
        <f>IF(AND($A4481&lt;&gt;"",M4481=설정!$C$20,Z4481&gt;0),Z4481+ROW()/1000000000,"")</f>
        <v/>
      </c>
      <c r="AD4481" s="94">
        <f>IF($A4481="",0,$P4481*AG4481)</f>
        <v/>
      </c>
      <c r="AE4481" s="64">
        <f>IF($A4481="","",IFERROR(INDEX(계정매핑!$E$5:$E$504,MATCH($F4481&amp;"",계정매핑!$A$5:$A$504,0))&amp;"","공통비"))</f>
        <v/>
      </c>
      <c r="AF4481" s="64">
        <f>IF($A4481="","",IF(AE4481="직접",IFERROR(INDEX(계정매핑!$F$5:$F$504,MATCH($F4481&amp;"",계정매핑!$A$5:$A$504,0))&amp;"","비귀속"),""))</f>
        <v/>
      </c>
      <c r="AG4481" s="96">
        <f>IF($A4481="",0,IF(AND(AE4481&lt;&gt;"직접",IFERROR(INDEX(계정매핑!$G$5:$G$504,MATCH($F4481&amp;"",계정매핑!$A$5:$A$504,0))&amp;"","")="유지비",COUNTIF(계정대체기준!$A$6:$A$15,$N4481)&gt;0),IFERROR(INDEX(계정대체기준!$E$6:$E$15,MATCH(VALUE($A4481&amp;""),계정대체기준!$D$6:$D$15,0)),0),0))</f>
        <v/>
      </c>
      <c r="AH4481" s="64">
        <f>IF($A4481="","",IF(AD4481=0,"",IF(OR(COUNTIF(계정대체기준!$A$77:$A$86,$N4481)&gt;0,ISNUMBER(MATCH($X4481,계정대체기준!$D$77:$D$86,0)),ISNUMBER(MATCH($F4481,계정대체기준!$D$77:$D$86,0))),"Y","N")))</f>
        <v/>
      </c>
    </row>
    <row r="4482">
      <c r="A4482" s="92" t="n">
        <v>2026</v>
      </c>
      <c r="B4482" s="92" t="n">
        <v>8</v>
      </c>
      <c r="C4482" s="92" t="inlineStr">
        <is>
          <t>5100001760</t>
        </is>
      </c>
      <c r="D4482" s="95" t="n">
        <v>46253</v>
      </c>
      <c r="E4482" s="92" t="inlineStr">
        <is>
          <t>KR</t>
        </is>
      </c>
      <c r="F4482" s="92" t="n">
        <v>63001000</v>
      </c>
      <c r="G4482" s="92" t="n">
        <v>1951</v>
      </c>
      <c r="H4482" s="93" t="n">
        <v>3542000</v>
      </c>
      <c r="I4482" s="92" t="inlineStr">
        <is>
          <t>8월 SW 유지보수 - Y소프트</t>
        </is>
      </c>
      <c r="J4482" s="92" t="inlineStr">
        <is>
          <t>V10017</t>
        </is>
      </c>
      <c r="K4482" s="92" t="inlineStr">
        <is>
          <t>Y소프트</t>
        </is>
      </c>
      <c r="M4482" s="9">
        <f>IF($A4482="","",VALUE($A4482&amp;"")*12+VALUE($B4482&amp;""))</f>
        <v/>
      </c>
      <c r="N4482" s="64">
        <f>IF($A4482="","",IFERROR(INDEX(부서매핑!$C$5:$C$504,MATCH($G4482&amp;"",부서매핑!$A$5:$A$504,0)),"미매핑"))</f>
        <v/>
      </c>
      <c r="O4482" s="9">
        <f>IF($A4482="","",N4482&amp;"|"&amp;$F4482)</f>
        <v/>
      </c>
      <c r="P4482" s="94">
        <f>IF($A4482="",0,$H4482*설정!$C$23)</f>
        <v/>
      </c>
      <c r="Q4482" s="64">
        <f>IF($A4482="","",IF(O4482&lt;&gt;원인분석!$C$9,"",IF(AND(M4482&gt;=원인분석!$C$10,M4482&lt;=원인분석!$C$11),"당기",IF(AND(M4482&gt;=원인분석!$C$12,M4482&lt;=원인분석!$C$13),"비교",""))))</f>
        <v/>
      </c>
      <c r="R4482" s="9">
        <f>IF(Q4482="","",$K4482&amp;"")</f>
        <v/>
      </c>
      <c r="S4482" s="9">
        <f>IF(Q4482="","",IF(MATCH(R4482,$R$5:$R$100000,0)=ROW()-4,ROW(),""))</f>
        <v/>
      </c>
      <c r="T4482" s="9">
        <f>IF(Q4482="당기",ABS(P4482)+ROW()/1000000000,"")</f>
        <v/>
      </c>
      <c r="U4482" s="9">
        <f>IF(Q4482="비교",ABS(P4482)+ROW()/1000000000,"")</f>
        <v/>
      </c>
      <c r="V4482" s="64">
        <f>IF($A4482="","",IF(COUNTIF(변동분석!$E$7:$E$506,O4482)&gt;0,"Y","N"))</f>
        <v/>
      </c>
      <c r="W4482" s="64">
        <f>IF($A4482="","",IFERROR(INDEX(계정매핑!$D$5:$D$504,MATCH($F4482&amp;"",계정매핑!$A$5:$A$504,0)),"미매핑"))</f>
        <v/>
      </c>
      <c r="X4482" s="9">
        <f>IF($A4482="","",$F4482&amp;"")</f>
        <v/>
      </c>
      <c r="Y4482" s="94">
        <f>IF($A4482="",0,IF(AE4482="직접",IF(AF4482="비귀속",$P4482,0),$P4482*(1-AG4482)*IFERROR(INDEX(계정대체기준!$F$20:$F$49,MATCH($N4482,계정대체기준!$A$20:$A$49,0)),1)))</f>
        <v/>
      </c>
      <c r="Z4482" s="94">
        <f>IF($A4482="",0,IF(AE4482="직접",IF(AF4482="신계약비",$P4482,0),$P4482*(1-AG4482)*IFERROR(INDEX(계정대체기준!$C$20:$C$49,MATCH($N4482,계정대체기준!$A$20:$A$49,0)),0)))</f>
        <v/>
      </c>
      <c r="AA4482" s="94">
        <f>IF($A4482="",0,IF(AE4482="직접",IF(OR(AF4482="유지비",AF4482="손해조사비"),$P4482,0),$P4482*(1-AG4482)*IFERROR(INDEX(계정대체기준!$D$20:$D$49,MATCH($N4482,계정대체기준!$A$20:$A$49,0)),0)))</f>
        <v/>
      </c>
      <c r="AB4482" s="94">
        <f>IF($A4482="",0,IF(AE4482="직접",IF(AF4482="수금비",$P4482,0),$P4482*(1-AG4482)*IFERROR(INDEX(계정대체기준!$E$20:$E$49,MATCH($N4482,계정대체기준!$A$20:$A$49,0)),0)))</f>
        <v/>
      </c>
      <c r="AC4482" s="9">
        <f>IF(AND($A4482&lt;&gt;"",M4482=설정!$C$20,Z4482&gt;0),Z4482+ROW()/1000000000,"")</f>
        <v/>
      </c>
      <c r="AD4482" s="94">
        <f>IF($A4482="",0,$P4482*AG4482)</f>
        <v/>
      </c>
      <c r="AE4482" s="64">
        <f>IF($A4482="","",IFERROR(INDEX(계정매핑!$E$5:$E$504,MATCH($F4482&amp;"",계정매핑!$A$5:$A$504,0))&amp;"","공통비"))</f>
        <v/>
      </c>
      <c r="AF4482" s="64">
        <f>IF($A4482="","",IF(AE4482="직접",IFERROR(INDEX(계정매핑!$F$5:$F$504,MATCH($F4482&amp;"",계정매핑!$A$5:$A$504,0))&amp;"","비귀속"),""))</f>
        <v/>
      </c>
      <c r="AG4482" s="96">
        <f>IF($A4482="",0,IF(AND(AE4482&lt;&gt;"직접",IFERROR(INDEX(계정매핑!$G$5:$G$504,MATCH($F4482&amp;"",계정매핑!$A$5:$A$504,0))&amp;"","")="유지비",COUNTIF(계정대체기준!$A$6:$A$15,$N4482)&gt;0),IFERROR(INDEX(계정대체기준!$E$6:$E$15,MATCH(VALUE($A4482&amp;""),계정대체기준!$D$6:$D$15,0)),0),0))</f>
        <v/>
      </c>
      <c r="AH4482" s="64">
        <f>IF($A4482="","",IF(AD4482=0,"",IF(OR(COUNTIF(계정대체기준!$A$77:$A$86,$N4482)&gt;0,ISNUMBER(MATCH($X4482,계정대체기준!$D$77:$D$86,0)),ISNUMBER(MATCH($F4482,계정대체기준!$D$77:$D$86,0))),"Y","N")))</f>
        <v/>
      </c>
    </row>
    <row r="4483">
      <c r="A4483" s="92" t="n">
        <v>2026</v>
      </c>
      <c r="B4483" s="92" t="n">
        <v>8</v>
      </c>
      <c r="C4483" s="92" t="inlineStr">
        <is>
          <t>5100001761</t>
        </is>
      </c>
      <c r="D4483" s="95" t="n">
        <v>46253</v>
      </c>
      <c r="E4483" s="92" t="inlineStr">
        <is>
          <t>KR</t>
        </is>
      </c>
      <c r="F4483" s="92" t="n">
        <v>63501000</v>
      </c>
      <c r="G4483" s="92" t="n">
        <v>1901</v>
      </c>
      <c r="H4483" s="93" t="n">
        <v>430519000</v>
      </c>
      <c r="I4483" s="92" t="inlineStr">
        <is>
          <t>8월 모집수수료 - (전속설계사)</t>
        </is>
      </c>
      <c r="J4483" s="92" t="inlineStr">
        <is>
          <t>V10021</t>
        </is>
      </c>
      <c r="K4483" s="92" t="inlineStr">
        <is>
          <t>(전속설계사)</t>
        </is>
      </c>
      <c r="M4483" s="9">
        <f>IF($A4483="","",VALUE($A4483&amp;"")*12+VALUE($B4483&amp;""))</f>
        <v/>
      </c>
      <c r="N4483" s="64">
        <f>IF($A4483="","",IFERROR(INDEX(부서매핑!$C$5:$C$504,MATCH($G4483&amp;"",부서매핑!$A$5:$A$504,0)),"미매핑"))</f>
        <v/>
      </c>
      <c r="O4483" s="9">
        <f>IF($A4483="","",N4483&amp;"|"&amp;$F4483)</f>
        <v/>
      </c>
      <c r="P4483" s="94">
        <f>IF($A4483="",0,$H4483*설정!$C$23)</f>
        <v/>
      </c>
      <c r="Q4483" s="64">
        <f>IF($A4483="","",IF(O4483&lt;&gt;원인분석!$C$9,"",IF(AND(M4483&gt;=원인분석!$C$10,M4483&lt;=원인분석!$C$11),"당기",IF(AND(M4483&gt;=원인분석!$C$12,M4483&lt;=원인분석!$C$13),"비교",""))))</f>
        <v/>
      </c>
      <c r="R4483" s="9">
        <f>IF(Q4483="","",$K4483&amp;"")</f>
        <v/>
      </c>
      <c r="S4483" s="9">
        <f>IF(Q4483="","",IF(MATCH(R4483,$R$5:$R$100000,0)=ROW()-4,ROW(),""))</f>
        <v/>
      </c>
      <c r="T4483" s="9">
        <f>IF(Q4483="당기",ABS(P4483)+ROW()/1000000000,"")</f>
        <v/>
      </c>
      <c r="U4483" s="9">
        <f>IF(Q4483="비교",ABS(P4483)+ROW()/1000000000,"")</f>
        <v/>
      </c>
      <c r="V4483" s="64">
        <f>IF($A4483="","",IF(COUNTIF(변동분석!$E$7:$E$506,O4483)&gt;0,"Y","N"))</f>
        <v/>
      </c>
      <c r="W4483" s="64">
        <f>IF($A4483="","",IFERROR(INDEX(계정매핑!$D$5:$D$504,MATCH($F4483&amp;"",계정매핑!$A$5:$A$504,0)),"미매핑"))</f>
        <v/>
      </c>
      <c r="X4483" s="9">
        <f>IF($A4483="","",$F4483&amp;"")</f>
        <v/>
      </c>
      <c r="Y4483" s="94">
        <f>IF($A4483="",0,IF(AE4483="직접",IF(AF4483="비귀속",$P4483,0),$P4483*(1-AG4483)*IFERROR(INDEX(계정대체기준!$F$20:$F$49,MATCH($N4483,계정대체기준!$A$20:$A$49,0)),1)))</f>
        <v/>
      </c>
      <c r="Z4483" s="94">
        <f>IF($A4483="",0,IF(AE4483="직접",IF(AF4483="신계약비",$P4483,0),$P4483*(1-AG4483)*IFERROR(INDEX(계정대체기준!$C$20:$C$49,MATCH($N4483,계정대체기준!$A$20:$A$49,0)),0)))</f>
        <v/>
      </c>
      <c r="AA4483" s="94">
        <f>IF($A4483="",0,IF(AE4483="직접",IF(OR(AF4483="유지비",AF4483="손해조사비"),$P4483,0),$P4483*(1-AG4483)*IFERROR(INDEX(계정대체기준!$D$20:$D$49,MATCH($N4483,계정대체기준!$A$20:$A$49,0)),0)))</f>
        <v/>
      </c>
      <c r="AB4483" s="94">
        <f>IF($A4483="",0,IF(AE4483="직접",IF(AF4483="수금비",$P4483,0),$P4483*(1-AG4483)*IFERROR(INDEX(계정대체기준!$E$20:$E$49,MATCH($N4483,계정대체기준!$A$20:$A$49,0)),0)))</f>
        <v/>
      </c>
      <c r="AC4483" s="9">
        <f>IF(AND($A4483&lt;&gt;"",M4483=설정!$C$20,Z4483&gt;0),Z4483+ROW()/1000000000,"")</f>
        <v/>
      </c>
      <c r="AD4483" s="94">
        <f>IF($A4483="",0,$P4483*AG4483)</f>
        <v/>
      </c>
      <c r="AE4483" s="64">
        <f>IF($A4483="","",IFERROR(INDEX(계정매핑!$E$5:$E$504,MATCH($F4483&amp;"",계정매핑!$A$5:$A$504,0))&amp;"","공통비"))</f>
        <v/>
      </c>
      <c r="AF4483" s="64">
        <f>IF($A4483="","",IF(AE4483="직접",IFERROR(INDEX(계정매핑!$F$5:$F$504,MATCH($F4483&amp;"",계정매핑!$A$5:$A$504,0))&amp;"","비귀속"),""))</f>
        <v/>
      </c>
      <c r="AG4483" s="96">
        <f>IF($A4483="",0,IF(AND(AE4483&lt;&gt;"직접",IFERROR(INDEX(계정매핑!$G$5:$G$504,MATCH($F4483&amp;"",계정매핑!$A$5:$A$504,0))&amp;"","")="유지비",COUNTIF(계정대체기준!$A$6:$A$15,$N4483)&gt;0),IFERROR(INDEX(계정대체기준!$E$6:$E$15,MATCH(VALUE($A4483&amp;""),계정대체기준!$D$6:$D$15,0)),0),0))</f>
        <v/>
      </c>
      <c r="AH4483" s="64">
        <f>IF($A4483="","",IF(AD4483=0,"",IF(OR(COUNTIF(계정대체기준!$A$77:$A$86,$N4483)&gt;0,ISNUMBER(MATCH($X4483,계정대체기준!$D$77:$D$86,0)),ISNUMBER(MATCH($F4483,계정대체기준!$D$77:$D$86,0))),"Y","N")))</f>
        <v/>
      </c>
    </row>
    <row r="4484">
      <c r="A4484" s="92" t="n">
        <v>2026</v>
      </c>
      <c r="B4484" s="92" t="n">
        <v>8</v>
      </c>
      <c r="C4484" s="92" t="inlineStr">
        <is>
          <t>5100001762</t>
        </is>
      </c>
      <c r="D4484" s="95" t="n">
        <v>46254</v>
      </c>
      <c r="E4484" s="92" t="inlineStr">
        <is>
          <t>KR</t>
        </is>
      </c>
      <c r="F4484" s="92" t="n">
        <v>62101000</v>
      </c>
      <c r="G4484" s="92" t="n">
        <v>1301</v>
      </c>
      <c r="H4484" s="93" t="n">
        <v>337000</v>
      </c>
      <c r="I4484" s="92" t="inlineStr">
        <is>
          <t>8월 국내출장 - (법인카드)</t>
        </is>
      </c>
      <c r="J4484" s="92" t="inlineStr">
        <is>
          <t>V10010</t>
        </is>
      </c>
      <c r="K4484" s="92" t="inlineStr">
        <is>
          <t>(법인카드)</t>
        </is>
      </c>
      <c r="M4484" s="9">
        <f>IF($A4484="","",VALUE($A4484&amp;"")*12+VALUE($B4484&amp;""))</f>
        <v/>
      </c>
      <c r="N4484" s="64">
        <f>IF($A4484="","",IFERROR(INDEX(부서매핑!$C$5:$C$504,MATCH($G4484&amp;"",부서매핑!$A$5:$A$504,0)),"미매핑"))</f>
        <v/>
      </c>
      <c r="O4484" s="9">
        <f>IF($A4484="","",N4484&amp;"|"&amp;$F4484)</f>
        <v/>
      </c>
      <c r="P4484" s="94">
        <f>IF($A4484="",0,$H4484*설정!$C$23)</f>
        <v/>
      </c>
      <c r="Q4484" s="64">
        <f>IF($A4484="","",IF(O4484&lt;&gt;원인분석!$C$9,"",IF(AND(M4484&gt;=원인분석!$C$10,M4484&lt;=원인분석!$C$11),"당기",IF(AND(M4484&gt;=원인분석!$C$12,M4484&lt;=원인분석!$C$13),"비교",""))))</f>
        <v/>
      </c>
      <c r="R4484" s="9">
        <f>IF(Q4484="","",$K4484&amp;"")</f>
        <v/>
      </c>
      <c r="S4484" s="9">
        <f>IF(Q4484="","",IF(MATCH(R4484,$R$5:$R$100000,0)=ROW()-4,ROW(),""))</f>
        <v/>
      </c>
      <c r="T4484" s="9">
        <f>IF(Q4484="당기",ABS(P4484)+ROW()/1000000000,"")</f>
        <v/>
      </c>
      <c r="U4484" s="9">
        <f>IF(Q4484="비교",ABS(P4484)+ROW()/1000000000,"")</f>
        <v/>
      </c>
      <c r="V4484" s="64">
        <f>IF($A4484="","",IF(COUNTIF(변동분석!$E$7:$E$506,O4484)&gt;0,"Y","N"))</f>
        <v/>
      </c>
      <c r="W4484" s="64">
        <f>IF($A4484="","",IFERROR(INDEX(계정매핑!$D$5:$D$504,MATCH($F4484&amp;"",계정매핑!$A$5:$A$504,0)),"미매핑"))</f>
        <v/>
      </c>
      <c r="X4484" s="9">
        <f>IF($A4484="","",$F4484&amp;"")</f>
        <v/>
      </c>
      <c r="Y4484" s="94">
        <f>IF($A4484="",0,IF(AE4484="직접",IF(AF4484="비귀속",$P4484,0),$P4484*(1-AG4484)*IFERROR(INDEX(계정대체기준!$F$20:$F$49,MATCH($N4484,계정대체기준!$A$20:$A$49,0)),1)))</f>
        <v/>
      </c>
      <c r="Z4484" s="94">
        <f>IF($A4484="",0,IF(AE4484="직접",IF(AF4484="신계약비",$P4484,0),$P4484*(1-AG4484)*IFERROR(INDEX(계정대체기준!$C$20:$C$49,MATCH($N4484,계정대체기준!$A$20:$A$49,0)),0)))</f>
        <v/>
      </c>
      <c r="AA4484" s="94">
        <f>IF($A4484="",0,IF(AE4484="직접",IF(OR(AF4484="유지비",AF4484="손해조사비"),$P4484,0),$P4484*(1-AG4484)*IFERROR(INDEX(계정대체기준!$D$20:$D$49,MATCH($N4484,계정대체기준!$A$20:$A$49,0)),0)))</f>
        <v/>
      </c>
      <c r="AB4484" s="94">
        <f>IF($A4484="",0,IF(AE4484="직접",IF(AF4484="수금비",$P4484,0),$P4484*(1-AG4484)*IFERROR(INDEX(계정대체기준!$E$20:$E$49,MATCH($N4484,계정대체기준!$A$20:$A$49,0)),0)))</f>
        <v/>
      </c>
      <c r="AC4484" s="9">
        <f>IF(AND($A4484&lt;&gt;"",M4484=설정!$C$20,Z4484&gt;0),Z4484+ROW()/1000000000,"")</f>
        <v/>
      </c>
      <c r="AD4484" s="94">
        <f>IF($A4484="",0,$P4484*AG4484)</f>
        <v/>
      </c>
      <c r="AE4484" s="64">
        <f>IF($A4484="","",IFERROR(INDEX(계정매핑!$E$5:$E$504,MATCH($F4484&amp;"",계정매핑!$A$5:$A$504,0))&amp;"","공통비"))</f>
        <v/>
      </c>
      <c r="AF4484" s="64">
        <f>IF($A4484="","",IF(AE4484="직접",IFERROR(INDEX(계정매핑!$F$5:$F$504,MATCH($F4484&amp;"",계정매핑!$A$5:$A$504,0))&amp;"","비귀속"),""))</f>
        <v/>
      </c>
      <c r="AG4484" s="96">
        <f>IF($A4484="",0,IF(AND(AE4484&lt;&gt;"직접",IFERROR(INDEX(계정매핑!$G$5:$G$504,MATCH($F4484&amp;"",계정매핑!$A$5:$A$504,0))&amp;"","")="유지비",COUNTIF(계정대체기준!$A$6:$A$15,$N4484)&gt;0),IFERROR(INDEX(계정대체기준!$E$6:$E$15,MATCH(VALUE($A4484&amp;""),계정대체기준!$D$6:$D$15,0)),0),0))</f>
        <v/>
      </c>
      <c r="AH4484" s="64">
        <f>IF($A4484="","",IF(AD4484=0,"",IF(OR(COUNTIF(계정대체기준!$A$77:$A$86,$N4484)&gt;0,ISNUMBER(MATCH($X4484,계정대체기준!$D$77:$D$86,0)),ISNUMBER(MATCH($F4484,계정대체기준!$D$77:$D$86,0))),"Y","N")))</f>
        <v/>
      </c>
    </row>
    <row r="4485">
      <c r="A4485" s="92" t="n">
        <v>2026</v>
      </c>
      <c r="B4485" s="92" t="n">
        <v>8</v>
      </c>
      <c r="C4485" s="92" t="inlineStr">
        <is>
          <t>5100001763</t>
        </is>
      </c>
      <c r="D4485" s="95" t="n">
        <v>46254</v>
      </c>
      <c r="E4485" s="92" t="inlineStr">
        <is>
          <t>KR</t>
        </is>
      </c>
      <c r="F4485" s="92" t="n">
        <v>62102000</v>
      </c>
      <c r="G4485" s="92" t="n">
        <v>1101</v>
      </c>
      <c r="H4485" s="93" t="n">
        <v>129000</v>
      </c>
      <c r="I4485" s="92" t="inlineStr">
        <is>
          <t>8월 해외출장 - N호텔</t>
        </is>
      </c>
      <c r="J4485" s="92" t="inlineStr">
        <is>
          <t>V10009</t>
        </is>
      </c>
      <c r="K4485" s="92" t="inlineStr">
        <is>
          <t>N호텔</t>
        </is>
      </c>
      <c r="M4485" s="9">
        <f>IF($A4485="","",VALUE($A4485&amp;"")*12+VALUE($B4485&amp;""))</f>
        <v/>
      </c>
      <c r="N4485" s="64">
        <f>IF($A4485="","",IFERROR(INDEX(부서매핑!$C$5:$C$504,MATCH($G4485&amp;"",부서매핑!$A$5:$A$504,0)),"미매핑"))</f>
        <v/>
      </c>
      <c r="O4485" s="9">
        <f>IF($A4485="","",N4485&amp;"|"&amp;$F4485)</f>
        <v/>
      </c>
      <c r="P4485" s="94">
        <f>IF($A4485="",0,$H4485*설정!$C$23)</f>
        <v/>
      </c>
      <c r="Q4485" s="64">
        <f>IF($A4485="","",IF(O4485&lt;&gt;원인분석!$C$9,"",IF(AND(M4485&gt;=원인분석!$C$10,M4485&lt;=원인분석!$C$11),"당기",IF(AND(M4485&gt;=원인분석!$C$12,M4485&lt;=원인분석!$C$13),"비교",""))))</f>
        <v/>
      </c>
      <c r="R4485" s="9">
        <f>IF(Q4485="","",$K4485&amp;"")</f>
        <v/>
      </c>
      <c r="S4485" s="9">
        <f>IF(Q4485="","",IF(MATCH(R4485,$R$5:$R$100000,0)=ROW()-4,ROW(),""))</f>
        <v/>
      </c>
      <c r="T4485" s="9">
        <f>IF(Q4485="당기",ABS(P4485)+ROW()/1000000000,"")</f>
        <v/>
      </c>
      <c r="U4485" s="9">
        <f>IF(Q4485="비교",ABS(P4485)+ROW()/1000000000,"")</f>
        <v/>
      </c>
      <c r="V4485" s="64">
        <f>IF($A4485="","",IF(COUNTIF(변동분석!$E$7:$E$506,O4485)&gt;0,"Y","N"))</f>
        <v/>
      </c>
      <c r="W4485" s="64">
        <f>IF($A4485="","",IFERROR(INDEX(계정매핑!$D$5:$D$504,MATCH($F4485&amp;"",계정매핑!$A$5:$A$504,0)),"미매핑"))</f>
        <v/>
      </c>
      <c r="X4485" s="9">
        <f>IF($A4485="","",$F4485&amp;"")</f>
        <v/>
      </c>
      <c r="Y4485" s="94">
        <f>IF($A4485="",0,IF(AE4485="직접",IF(AF4485="비귀속",$P4485,0),$P4485*(1-AG4485)*IFERROR(INDEX(계정대체기준!$F$20:$F$49,MATCH($N4485,계정대체기준!$A$20:$A$49,0)),1)))</f>
        <v/>
      </c>
      <c r="Z4485" s="94">
        <f>IF($A4485="",0,IF(AE4485="직접",IF(AF4485="신계약비",$P4485,0),$P4485*(1-AG4485)*IFERROR(INDEX(계정대체기준!$C$20:$C$49,MATCH($N4485,계정대체기준!$A$20:$A$49,0)),0)))</f>
        <v/>
      </c>
      <c r="AA4485" s="94">
        <f>IF($A4485="",0,IF(AE4485="직접",IF(OR(AF4485="유지비",AF4485="손해조사비"),$P4485,0),$P4485*(1-AG4485)*IFERROR(INDEX(계정대체기준!$D$20:$D$49,MATCH($N4485,계정대체기준!$A$20:$A$49,0)),0)))</f>
        <v/>
      </c>
      <c r="AB4485" s="94">
        <f>IF($A4485="",0,IF(AE4485="직접",IF(AF4485="수금비",$P4485,0),$P4485*(1-AG4485)*IFERROR(INDEX(계정대체기준!$E$20:$E$49,MATCH($N4485,계정대체기준!$A$20:$A$49,0)),0)))</f>
        <v/>
      </c>
      <c r="AC4485" s="9">
        <f>IF(AND($A4485&lt;&gt;"",M4485=설정!$C$20,Z4485&gt;0),Z4485+ROW()/1000000000,"")</f>
        <v/>
      </c>
      <c r="AD4485" s="94">
        <f>IF($A4485="",0,$P4485*AG4485)</f>
        <v/>
      </c>
      <c r="AE4485" s="64">
        <f>IF($A4485="","",IFERROR(INDEX(계정매핑!$E$5:$E$504,MATCH($F4485&amp;"",계정매핑!$A$5:$A$504,0))&amp;"","공통비"))</f>
        <v/>
      </c>
      <c r="AF4485" s="64">
        <f>IF($A4485="","",IF(AE4485="직접",IFERROR(INDEX(계정매핑!$F$5:$F$504,MATCH($F4485&amp;"",계정매핑!$A$5:$A$504,0))&amp;"","비귀속"),""))</f>
        <v/>
      </c>
      <c r="AG4485" s="96">
        <f>IF($A4485="",0,IF(AND(AE4485&lt;&gt;"직접",IFERROR(INDEX(계정매핑!$G$5:$G$504,MATCH($F4485&amp;"",계정매핑!$A$5:$A$504,0))&amp;"","")="유지비",COUNTIF(계정대체기준!$A$6:$A$15,$N4485)&gt;0),IFERROR(INDEX(계정대체기준!$E$6:$E$15,MATCH(VALUE($A4485&amp;""),계정대체기준!$D$6:$D$15,0)),0),0))</f>
        <v/>
      </c>
      <c r="AH4485" s="64">
        <f>IF($A4485="","",IF(AD4485=0,"",IF(OR(COUNTIF(계정대체기준!$A$77:$A$86,$N4485)&gt;0,ISNUMBER(MATCH($X4485,계정대체기준!$D$77:$D$86,0)),ISNUMBER(MATCH($F4485,계정대체기준!$D$77:$D$86,0))),"Y","N")))</f>
        <v/>
      </c>
    </row>
    <row r="4486">
      <c r="A4486" s="92" t="n">
        <v>2026</v>
      </c>
      <c r="B4486" s="92" t="n">
        <v>8</v>
      </c>
      <c r="C4486" s="92" t="inlineStr">
        <is>
          <t>5100001764</t>
        </is>
      </c>
      <c r="D4486" s="95" t="n">
        <v>46254</v>
      </c>
      <c r="E4486" s="92" t="inlineStr">
        <is>
          <t>KR</t>
        </is>
      </c>
      <c r="F4486" s="92" t="n">
        <v>62201000</v>
      </c>
      <c r="G4486" s="92" t="n">
        <v>1701</v>
      </c>
      <c r="H4486" s="93" t="n">
        <v>3735000</v>
      </c>
      <c r="I4486" s="92" t="inlineStr">
        <is>
          <t>8월 통신요금 - O텔레콤</t>
        </is>
      </c>
      <c r="J4486" s="92" t="inlineStr">
        <is>
          <t>V10002</t>
        </is>
      </c>
      <c r="K4486" s="92" t="inlineStr">
        <is>
          <t>O텔레콤</t>
        </is>
      </c>
      <c r="M4486" s="9">
        <f>IF($A4486="","",VALUE($A4486&amp;"")*12+VALUE($B4486&amp;""))</f>
        <v/>
      </c>
      <c r="N4486" s="64">
        <f>IF($A4486="","",IFERROR(INDEX(부서매핑!$C$5:$C$504,MATCH($G4486&amp;"",부서매핑!$A$5:$A$504,0)),"미매핑"))</f>
        <v/>
      </c>
      <c r="O4486" s="9">
        <f>IF($A4486="","",N4486&amp;"|"&amp;$F4486)</f>
        <v/>
      </c>
      <c r="P4486" s="94">
        <f>IF($A4486="",0,$H4486*설정!$C$23)</f>
        <v/>
      </c>
      <c r="Q4486" s="64">
        <f>IF($A4486="","",IF(O4486&lt;&gt;원인분석!$C$9,"",IF(AND(M4486&gt;=원인분석!$C$10,M4486&lt;=원인분석!$C$11),"당기",IF(AND(M4486&gt;=원인분석!$C$12,M4486&lt;=원인분석!$C$13),"비교",""))))</f>
        <v/>
      </c>
      <c r="R4486" s="9">
        <f>IF(Q4486="","",$K4486&amp;"")</f>
        <v/>
      </c>
      <c r="S4486" s="9">
        <f>IF(Q4486="","",IF(MATCH(R4486,$R$5:$R$100000,0)=ROW()-4,ROW(),""))</f>
        <v/>
      </c>
      <c r="T4486" s="9">
        <f>IF(Q4486="당기",ABS(P4486)+ROW()/1000000000,"")</f>
        <v/>
      </c>
      <c r="U4486" s="9">
        <f>IF(Q4486="비교",ABS(P4486)+ROW()/1000000000,"")</f>
        <v/>
      </c>
      <c r="V4486" s="64">
        <f>IF($A4486="","",IF(COUNTIF(변동분석!$E$7:$E$506,O4486)&gt;0,"Y","N"))</f>
        <v/>
      </c>
      <c r="W4486" s="64">
        <f>IF($A4486="","",IFERROR(INDEX(계정매핑!$D$5:$D$504,MATCH($F4486&amp;"",계정매핑!$A$5:$A$504,0)),"미매핑"))</f>
        <v/>
      </c>
      <c r="X4486" s="9">
        <f>IF($A4486="","",$F4486&amp;"")</f>
        <v/>
      </c>
      <c r="Y4486" s="94">
        <f>IF($A4486="",0,IF(AE4486="직접",IF(AF4486="비귀속",$P4486,0),$P4486*(1-AG4486)*IFERROR(INDEX(계정대체기준!$F$20:$F$49,MATCH($N4486,계정대체기준!$A$20:$A$49,0)),1)))</f>
        <v/>
      </c>
      <c r="Z4486" s="94">
        <f>IF($A4486="",0,IF(AE4486="직접",IF(AF4486="신계약비",$P4486,0),$P4486*(1-AG4486)*IFERROR(INDEX(계정대체기준!$C$20:$C$49,MATCH($N4486,계정대체기준!$A$20:$A$49,0)),0)))</f>
        <v/>
      </c>
      <c r="AA4486" s="94">
        <f>IF($A4486="",0,IF(AE4486="직접",IF(OR(AF4486="유지비",AF4486="손해조사비"),$P4486,0),$P4486*(1-AG4486)*IFERROR(INDEX(계정대체기준!$D$20:$D$49,MATCH($N4486,계정대체기준!$A$20:$A$49,0)),0)))</f>
        <v/>
      </c>
      <c r="AB4486" s="94">
        <f>IF($A4486="",0,IF(AE4486="직접",IF(AF4486="수금비",$P4486,0),$P4486*(1-AG4486)*IFERROR(INDEX(계정대체기준!$E$20:$E$49,MATCH($N4486,계정대체기준!$A$20:$A$49,0)),0)))</f>
        <v/>
      </c>
      <c r="AC4486" s="9">
        <f>IF(AND($A4486&lt;&gt;"",M4486=설정!$C$20,Z4486&gt;0),Z4486+ROW()/1000000000,"")</f>
        <v/>
      </c>
      <c r="AD4486" s="94">
        <f>IF($A4486="",0,$P4486*AG4486)</f>
        <v/>
      </c>
      <c r="AE4486" s="64">
        <f>IF($A4486="","",IFERROR(INDEX(계정매핑!$E$5:$E$504,MATCH($F4486&amp;"",계정매핑!$A$5:$A$504,0))&amp;"","공통비"))</f>
        <v/>
      </c>
      <c r="AF4486" s="64">
        <f>IF($A4486="","",IF(AE4486="직접",IFERROR(INDEX(계정매핑!$F$5:$F$504,MATCH($F4486&amp;"",계정매핑!$A$5:$A$504,0))&amp;"","비귀속"),""))</f>
        <v/>
      </c>
      <c r="AG4486" s="96">
        <f>IF($A4486="",0,IF(AND(AE4486&lt;&gt;"직접",IFERROR(INDEX(계정매핑!$G$5:$G$504,MATCH($F4486&amp;"",계정매핑!$A$5:$A$504,0))&amp;"","")="유지비",COUNTIF(계정대체기준!$A$6:$A$15,$N4486)&gt;0),IFERROR(INDEX(계정대체기준!$E$6:$E$15,MATCH(VALUE($A4486&amp;""),계정대체기준!$D$6:$D$15,0)),0),0))</f>
        <v/>
      </c>
      <c r="AH4486" s="64">
        <f>IF($A4486="","",IF(AD4486=0,"",IF(OR(COUNTIF(계정대체기준!$A$77:$A$86,$N4486)&gt;0,ISNUMBER(MATCH($X4486,계정대체기준!$D$77:$D$86,0)),ISNUMBER(MATCH($F4486,계정대체기준!$D$77:$D$86,0))),"Y","N")))</f>
        <v/>
      </c>
    </row>
    <row r="4487">
      <c r="A4487" s="92" t="n">
        <v>2026</v>
      </c>
      <c r="B4487" s="92" t="n">
        <v>8</v>
      </c>
      <c r="C4487" s="92" t="inlineStr">
        <is>
          <t>5100001765</t>
        </is>
      </c>
      <c r="D4487" s="95" t="n">
        <v>46254</v>
      </c>
      <c r="E4487" s="92" t="inlineStr">
        <is>
          <t>KR</t>
        </is>
      </c>
      <c r="F4487" s="92" t="n">
        <v>62301000</v>
      </c>
      <c r="G4487" s="92" t="n">
        <v>1301</v>
      </c>
      <c r="H4487" s="93" t="n">
        <v>264000</v>
      </c>
      <c r="I4487" s="92" t="inlineStr">
        <is>
          <t>8월 소모품 구입 - R문구</t>
        </is>
      </c>
      <c r="J4487" s="92" t="inlineStr">
        <is>
          <t>V10022</t>
        </is>
      </c>
      <c r="K4487" s="92" t="inlineStr">
        <is>
          <t>R문구</t>
        </is>
      </c>
      <c r="M4487" s="9">
        <f>IF($A4487="","",VALUE($A4487&amp;"")*12+VALUE($B4487&amp;""))</f>
        <v/>
      </c>
      <c r="N4487" s="64">
        <f>IF($A4487="","",IFERROR(INDEX(부서매핑!$C$5:$C$504,MATCH($G4487&amp;"",부서매핑!$A$5:$A$504,0)),"미매핑"))</f>
        <v/>
      </c>
      <c r="O4487" s="9">
        <f>IF($A4487="","",N4487&amp;"|"&amp;$F4487)</f>
        <v/>
      </c>
      <c r="P4487" s="94">
        <f>IF($A4487="",0,$H4487*설정!$C$23)</f>
        <v/>
      </c>
      <c r="Q4487" s="64">
        <f>IF($A4487="","",IF(O4487&lt;&gt;원인분석!$C$9,"",IF(AND(M4487&gt;=원인분석!$C$10,M4487&lt;=원인분석!$C$11),"당기",IF(AND(M4487&gt;=원인분석!$C$12,M4487&lt;=원인분석!$C$13),"비교",""))))</f>
        <v/>
      </c>
      <c r="R4487" s="9">
        <f>IF(Q4487="","",$K4487&amp;"")</f>
        <v/>
      </c>
      <c r="S4487" s="9">
        <f>IF(Q4487="","",IF(MATCH(R4487,$R$5:$R$100000,0)=ROW()-4,ROW(),""))</f>
        <v/>
      </c>
      <c r="T4487" s="9">
        <f>IF(Q4487="당기",ABS(P4487)+ROW()/1000000000,"")</f>
        <v/>
      </c>
      <c r="U4487" s="9">
        <f>IF(Q4487="비교",ABS(P4487)+ROW()/1000000000,"")</f>
        <v/>
      </c>
      <c r="V4487" s="64">
        <f>IF($A4487="","",IF(COUNTIF(변동분석!$E$7:$E$506,O4487)&gt;0,"Y","N"))</f>
        <v/>
      </c>
      <c r="W4487" s="64">
        <f>IF($A4487="","",IFERROR(INDEX(계정매핑!$D$5:$D$504,MATCH($F4487&amp;"",계정매핑!$A$5:$A$504,0)),"미매핑"))</f>
        <v/>
      </c>
      <c r="X4487" s="9">
        <f>IF($A4487="","",$F4487&amp;"")</f>
        <v/>
      </c>
      <c r="Y4487" s="94">
        <f>IF($A4487="",0,IF(AE4487="직접",IF(AF4487="비귀속",$P4487,0),$P4487*(1-AG4487)*IFERROR(INDEX(계정대체기준!$F$20:$F$49,MATCH($N4487,계정대체기준!$A$20:$A$49,0)),1)))</f>
        <v/>
      </c>
      <c r="Z4487" s="94">
        <f>IF($A4487="",0,IF(AE4487="직접",IF(AF4487="신계약비",$P4487,0),$P4487*(1-AG4487)*IFERROR(INDEX(계정대체기준!$C$20:$C$49,MATCH($N4487,계정대체기준!$A$20:$A$49,0)),0)))</f>
        <v/>
      </c>
      <c r="AA4487" s="94">
        <f>IF($A4487="",0,IF(AE4487="직접",IF(OR(AF4487="유지비",AF4487="손해조사비"),$P4487,0),$P4487*(1-AG4487)*IFERROR(INDEX(계정대체기준!$D$20:$D$49,MATCH($N4487,계정대체기준!$A$20:$A$49,0)),0)))</f>
        <v/>
      </c>
      <c r="AB4487" s="94">
        <f>IF($A4487="",0,IF(AE4487="직접",IF(AF4487="수금비",$P4487,0),$P4487*(1-AG4487)*IFERROR(INDEX(계정대체기준!$E$20:$E$49,MATCH($N4487,계정대체기준!$A$20:$A$49,0)),0)))</f>
        <v/>
      </c>
      <c r="AC4487" s="9">
        <f>IF(AND($A4487&lt;&gt;"",M4487=설정!$C$20,Z4487&gt;0),Z4487+ROW()/1000000000,"")</f>
        <v/>
      </c>
      <c r="AD4487" s="94">
        <f>IF($A4487="",0,$P4487*AG4487)</f>
        <v/>
      </c>
      <c r="AE4487" s="64">
        <f>IF($A4487="","",IFERROR(INDEX(계정매핑!$E$5:$E$504,MATCH($F4487&amp;"",계정매핑!$A$5:$A$504,0))&amp;"","공통비"))</f>
        <v/>
      </c>
      <c r="AF4487" s="64">
        <f>IF($A4487="","",IF(AE4487="직접",IFERROR(INDEX(계정매핑!$F$5:$F$504,MATCH($F4487&amp;"",계정매핑!$A$5:$A$504,0))&amp;"","비귀속"),""))</f>
        <v/>
      </c>
      <c r="AG4487" s="96">
        <f>IF($A4487="",0,IF(AND(AE4487&lt;&gt;"직접",IFERROR(INDEX(계정매핑!$G$5:$G$504,MATCH($F4487&amp;"",계정매핑!$A$5:$A$504,0))&amp;"","")="유지비",COUNTIF(계정대체기준!$A$6:$A$15,$N4487)&gt;0),IFERROR(INDEX(계정대체기준!$E$6:$E$15,MATCH(VALUE($A4487&amp;""),계정대체기준!$D$6:$D$15,0)),0),0))</f>
        <v/>
      </c>
      <c r="AH4487" s="64">
        <f>IF($A4487="","",IF(AD4487=0,"",IF(OR(COUNTIF(계정대체기준!$A$77:$A$86,$N4487)&gt;0,ISNUMBER(MATCH($X4487,계정대체기준!$D$77:$D$86,0)),ISNUMBER(MATCH($F4487,계정대체기준!$D$77:$D$86,0))),"Y","N")))</f>
        <v/>
      </c>
    </row>
    <row r="4488">
      <c r="A4488" s="92" t="n">
        <v>2026</v>
      </c>
      <c r="B4488" s="92" t="n">
        <v>8</v>
      </c>
      <c r="C4488" s="92" t="inlineStr">
        <is>
          <t>5100001766</t>
        </is>
      </c>
      <c r="D4488" s="95" t="n">
        <v>46254</v>
      </c>
      <c r="E4488" s="92" t="inlineStr">
        <is>
          <t>KR</t>
        </is>
      </c>
      <c r="F4488" s="92" t="n">
        <v>62501000</v>
      </c>
      <c r="G4488" s="92" t="n">
        <v>1701</v>
      </c>
      <c r="H4488" s="93" t="n">
        <v>54000</v>
      </c>
      <c r="I4488" s="92" t="inlineStr">
        <is>
          <t>8월 회의 다과 - T케이터링</t>
        </is>
      </c>
      <c r="J4488" s="92" t="inlineStr">
        <is>
          <t>V10005</t>
        </is>
      </c>
      <c r="K4488" s="92" t="inlineStr">
        <is>
          <t>T케이터링</t>
        </is>
      </c>
      <c r="M4488" s="9">
        <f>IF($A4488="","",VALUE($A4488&amp;"")*12+VALUE($B4488&amp;""))</f>
        <v/>
      </c>
      <c r="N4488" s="64">
        <f>IF($A4488="","",IFERROR(INDEX(부서매핑!$C$5:$C$504,MATCH($G4488&amp;"",부서매핑!$A$5:$A$504,0)),"미매핑"))</f>
        <v/>
      </c>
      <c r="O4488" s="9">
        <f>IF($A4488="","",N4488&amp;"|"&amp;$F4488)</f>
        <v/>
      </c>
      <c r="P4488" s="94">
        <f>IF($A4488="",0,$H4488*설정!$C$23)</f>
        <v/>
      </c>
      <c r="Q4488" s="64">
        <f>IF($A4488="","",IF(O4488&lt;&gt;원인분석!$C$9,"",IF(AND(M4488&gt;=원인분석!$C$10,M4488&lt;=원인분석!$C$11),"당기",IF(AND(M4488&gt;=원인분석!$C$12,M4488&lt;=원인분석!$C$13),"비교",""))))</f>
        <v/>
      </c>
      <c r="R4488" s="9">
        <f>IF(Q4488="","",$K4488&amp;"")</f>
        <v/>
      </c>
      <c r="S4488" s="9">
        <f>IF(Q4488="","",IF(MATCH(R4488,$R$5:$R$100000,0)=ROW()-4,ROW(),""))</f>
        <v/>
      </c>
      <c r="T4488" s="9">
        <f>IF(Q4488="당기",ABS(P4488)+ROW()/1000000000,"")</f>
        <v/>
      </c>
      <c r="U4488" s="9">
        <f>IF(Q4488="비교",ABS(P4488)+ROW()/1000000000,"")</f>
        <v/>
      </c>
      <c r="V4488" s="64">
        <f>IF($A4488="","",IF(COUNTIF(변동분석!$E$7:$E$506,O4488)&gt;0,"Y","N"))</f>
        <v/>
      </c>
      <c r="W4488" s="64">
        <f>IF($A4488="","",IFERROR(INDEX(계정매핑!$D$5:$D$504,MATCH($F4488&amp;"",계정매핑!$A$5:$A$504,0)),"미매핑"))</f>
        <v/>
      </c>
      <c r="X4488" s="9">
        <f>IF($A4488="","",$F4488&amp;"")</f>
        <v/>
      </c>
      <c r="Y4488" s="94">
        <f>IF($A4488="",0,IF(AE4488="직접",IF(AF4488="비귀속",$P4488,0),$P4488*(1-AG4488)*IFERROR(INDEX(계정대체기준!$F$20:$F$49,MATCH($N4488,계정대체기준!$A$20:$A$49,0)),1)))</f>
        <v/>
      </c>
      <c r="Z4488" s="94">
        <f>IF($A4488="",0,IF(AE4488="직접",IF(AF4488="신계약비",$P4488,0),$P4488*(1-AG4488)*IFERROR(INDEX(계정대체기준!$C$20:$C$49,MATCH($N4488,계정대체기준!$A$20:$A$49,0)),0)))</f>
        <v/>
      </c>
      <c r="AA4488" s="94">
        <f>IF($A4488="",0,IF(AE4488="직접",IF(OR(AF4488="유지비",AF4488="손해조사비"),$P4488,0),$P4488*(1-AG4488)*IFERROR(INDEX(계정대체기준!$D$20:$D$49,MATCH($N4488,계정대체기준!$A$20:$A$49,0)),0)))</f>
        <v/>
      </c>
      <c r="AB4488" s="94">
        <f>IF($A4488="",0,IF(AE4488="직접",IF(AF4488="수금비",$P4488,0),$P4488*(1-AG4488)*IFERROR(INDEX(계정대체기준!$E$20:$E$49,MATCH($N4488,계정대체기준!$A$20:$A$49,0)),0)))</f>
        <v/>
      </c>
      <c r="AC4488" s="9">
        <f>IF(AND($A4488&lt;&gt;"",M4488=설정!$C$20,Z4488&gt;0),Z4488+ROW()/1000000000,"")</f>
        <v/>
      </c>
      <c r="AD4488" s="94">
        <f>IF($A4488="",0,$P4488*AG4488)</f>
        <v/>
      </c>
      <c r="AE4488" s="64">
        <f>IF($A4488="","",IFERROR(INDEX(계정매핑!$E$5:$E$504,MATCH($F4488&amp;"",계정매핑!$A$5:$A$504,0))&amp;"","공통비"))</f>
        <v/>
      </c>
      <c r="AF4488" s="64">
        <f>IF($A4488="","",IF(AE4488="직접",IFERROR(INDEX(계정매핑!$F$5:$F$504,MATCH($F4488&amp;"",계정매핑!$A$5:$A$504,0))&amp;"","비귀속"),""))</f>
        <v/>
      </c>
      <c r="AG4488" s="96">
        <f>IF($A4488="",0,IF(AND(AE4488&lt;&gt;"직접",IFERROR(INDEX(계정매핑!$G$5:$G$504,MATCH($F4488&amp;"",계정매핑!$A$5:$A$504,0))&amp;"","")="유지비",COUNTIF(계정대체기준!$A$6:$A$15,$N4488)&gt;0),IFERROR(INDEX(계정대체기준!$E$6:$E$15,MATCH(VALUE($A4488&amp;""),계정대체기준!$D$6:$D$15,0)),0),0))</f>
        <v/>
      </c>
      <c r="AH4488" s="64">
        <f>IF($A4488="","",IF(AD4488=0,"",IF(OR(COUNTIF(계정대체기준!$A$77:$A$86,$N4488)&gt;0,ISNUMBER(MATCH($X4488,계정대체기준!$D$77:$D$86,0)),ISNUMBER(MATCH($F4488,계정대체기준!$D$77:$D$86,0))),"Y","N")))</f>
        <v/>
      </c>
    </row>
    <row r="4489">
      <c r="A4489" s="92" t="n">
        <v>2026</v>
      </c>
      <c r="B4489" s="92" t="n">
        <v>8</v>
      </c>
      <c r="C4489" s="92" t="inlineStr">
        <is>
          <t>5100001767</t>
        </is>
      </c>
      <c r="D4489" s="95" t="n">
        <v>46254</v>
      </c>
      <c r="E4489" s="92" t="inlineStr">
        <is>
          <t>KR</t>
        </is>
      </c>
      <c r="F4489" s="92" t="n">
        <v>62902000</v>
      </c>
      <c r="G4489" s="92" t="n">
        <v>1801</v>
      </c>
      <c r="H4489" s="93" t="n">
        <v>3000000</v>
      </c>
      <c r="I4489" s="92" t="inlineStr">
        <is>
          <t>8월 업무 위탁 수수료 - X서비스</t>
        </is>
      </c>
      <c r="J4489" s="92" t="inlineStr">
        <is>
          <t>V10020</t>
        </is>
      </c>
      <c r="K4489" s="92" t="inlineStr">
        <is>
          <t>X서비스</t>
        </is>
      </c>
      <c r="M4489" s="9">
        <f>IF($A4489="","",VALUE($A4489&amp;"")*12+VALUE($B4489&amp;""))</f>
        <v/>
      </c>
      <c r="N4489" s="64">
        <f>IF($A4489="","",IFERROR(INDEX(부서매핑!$C$5:$C$504,MATCH($G4489&amp;"",부서매핑!$A$5:$A$504,0)),"미매핑"))</f>
        <v/>
      </c>
      <c r="O4489" s="9">
        <f>IF($A4489="","",N4489&amp;"|"&amp;$F4489)</f>
        <v/>
      </c>
      <c r="P4489" s="94">
        <f>IF($A4489="",0,$H4489*설정!$C$23)</f>
        <v/>
      </c>
      <c r="Q4489" s="64">
        <f>IF($A4489="","",IF(O4489&lt;&gt;원인분석!$C$9,"",IF(AND(M4489&gt;=원인분석!$C$10,M4489&lt;=원인분석!$C$11),"당기",IF(AND(M4489&gt;=원인분석!$C$12,M4489&lt;=원인분석!$C$13),"비교",""))))</f>
        <v/>
      </c>
      <c r="R4489" s="9">
        <f>IF(Q4489="","",$K4489&amp;"")</f>
        <v/>
      </c>
      <c r="S4489" s="9">
        <f>IF(Q4489="","",IF(MATCH(R4489,$R$5:$R$100000,0)=ROW()-4,ROW(),""))</f>
        <v/>
      </c>
      <c r="T4489" s="9">
        <f>IF(Q4489="당기",ABS(P4489)+ROW()/1000000000,"")</f>
        <v/>
      </c>
      <c r="U4489" s="9">
        <f>IF(Q4489="비교",ABS(P4489)+ROW()/1000000000,"")</f>
        <v/>
      </c>
      <c r="V4489" s="64">
        <f>IF($A4489="","",IF(COUNTIF(변동분석!$E$7:$E$506,O4489)&gt;0,"Y","N"))</f>
        <v/>
      </c>
      <c r="W4489" s="64">
        <f>IF($A4489="","",IFERROR(INDEX(계정매핑!$D$5:$D$504,MATCH($F4489&amp;"",계정매핑!$A$5:$A$504,0)),"미매핑"))</f>
        <v/>
      </c>
      <c r="X4489" s="9">
        <f>IF($A4489="","",$F4489&amp;"")</f>
        <v/>
      </c>
      <c r="Y4489" s="94">
        <f>IF($A4489="",0,IF(AE4489="직접",IF(AF4489="비귀속",$P4489,0),$P4489*(1-AG4489)*IFERROR(INDEX(계정대체기준!$F$20:$F$49,MATCH($N4489,계정대체기준!$A$20:$A$49,0)),1)))</f>
        <v/>
      </c>
      <c r="Z4489" s="94">
        <f>IF($A4489="",0,IF(AE4489="직접",IF(AF4489="신계약비",$P4489,0),$P4489*(1-AG4489)*IFERROR(INDEX(계정대체기준!$C$20:$C$49,MATCH($N4489,계정대체기준!$A$20:$A$49,0)),0)))</f>
        <v/>
      </c>
      <c r="AA4489" s="94">
        <f>IF($A4489="",0,IF(AE4489="직접",IF(OR(AF4489="유지비",AF4489="손해조사비"),$P4489,0),$P4489*(1-AG4489)*IFERROR(INDEX(계정대체기준!$D$20:$D$49,MATCH($N4489,계정대체기준!$A$20:$A$49,0)),0)))</f>
        <v/>
      </c>
      <c r="AB4489" s="94">
        <f>IF($A4489="",0,IF(AE4489="직접",IF(AF4489="수금비",$P4489,0),$P4489*(1-AG4489)*IFERROR(INDEX(계정대체기준!$E$20:$E$49,MATCH($N4489,계정대체기준!$A$20:$A$49,0)),0)))</f>
        <v/>
      </c>
      <c r="AC4489" s="9">
        <f>IF(AND($A4489&lt;&gt;"",M4489=설정!$C$20,Z4489&gt;0),Z4489+ROW()/1000000000,"")</f>
        <v/>
      </c>
      <c r="AD4489" s="94">
        <f>IF($A4489="",0,$P4489*AG4489)</f>
        <v/>
      </c>
      <c r="AE4489" s="64">
        <f>IF($A4489="","",IFERROR(INDEX(계정매핑!$E$5:$E$504,MATCH($F4489&amp;"",계정매핑!$A$5:$A$504,0))&amp;"","공통비"))</f>
        <v/>
      </c>
      <c r="AF4489" s="64">
        <f>IF($A4489="","",IF(AE4489="직접",IFERROR(INDEX(계정매핑!$F$5:$F$504,MATCH($F4489&amp;"",계정매핑!$A$5:$A$504,0))&amp;"","비귀속"),""))</f>
        <v/>
      </c>
      <c r="AG4489" s="96">
        <f>IF($A4489="",0,IF(AND(AE4489&lt;&gt;"직접",IFERROR(INDEX(계정매핑!$G$5:$G$504,MATCH($F4489&amp;"",계정매핑!$A$5:$A$504,0))&amp;"","")="유지비",COUNTIF(계정대체기준!$A$6:$A$15,$N4489)&gt;0),IFERROR(INDEX(계정대체기준!$E$6:$E$15,MATCH(VALUE($A4489&amp;""),계정대체기준!$D$6:$D$15,0)),0),0))</f>
        <v/>
      </c>
      <c r="AH4489" s="64">
        <f>IF($A4489="","",IF(AD4489=0,"",IF(OR(COUNTIF(계정대체기준!$A$77:$A$86,$N4489)&gt;0,ISNUMBER(MATCH($X4489,계정대체기준!$D$77:$D$86,0)),ISNUMBER(MATCH($F4489,계정대체기준!$D$77:$D$86,0))),"Y","N")))</f>
        <v/>
      </c>
    </row>
    <row r="4490">
      <c r="A4490" s="92" t="n">
        <v>2026</v>
      </c>
      <c r="B4490" s="92" t="n">
        <v>8</v>
      </c>
      <c r="C4490" s="92" t="inlineStr">
        <is>
          <t>5100001768</t>
        </is>
      </c>
      <c r="D4490" s="95" t="n">
        <v>46254</v>
      </c>
      <c r="E4490" s="92" t="inlineStr">
        <is>
          <t>KR</t>
        </is>
      </c>
      <c r="F4490" s="92" t="n">
        <v>63001000</v>
      </c>
      <c r="G4490" s="92" t="n">
        <v>1701</v>
      </c>
      <c r="H4490" s="93" t="n">
        <v>28753000</v>
      </c>
      <c r="I4490" s="92" t="inlineStr">
        <is>
          <t>8월 SW 유지보수 - Z시스템</t>
        </is>
      </c>
      <c r="J4490" s="92" t="inlineStr">
        <is>
          <t>V10012</t>
        </is>
      </c>
      <c r="K4490" s="92" t="inlineStr">
        <is>
          <t>Z시스템</t>
        </is>
      </c>
      <c r="M4490" s="9">
        <f>IF($A4490="","",VALUE($A4490&amp;"")*12+VALUE($B4490&amp;""))</f>
        <v/>
      </c>
      <c r="N4490" s="64">
        <f>IF($A4490="","",IFERROR(INDEX(부서매핑!$C$5:$C$504,MATCH($G4490&amp;"",부서매핑!$A$5:$A$504,0)),"미매핑"))</f>
        <v/>
      </c>
      <c r="O4490" s="9">
        <f>IF($A4490="","",N4490&amp;"|"&amp;$F4490)</f>
        <v/>
      </c>
      <c r="P4490" s="94">
        <f>IF($A4490="",0,$H4490*설정!$C$23)</f>
        <v/>
      </c>
      <c r="Q4490" s="64">
        <f>IF($A4490="","",IF(O4490&lt;&gt;원인분석!$C$9,"",IF(AND(M4490&gt;=원인분석!$C$10,M4490&lt;=원인분석!$C$11),"당기",IF(AND(M4490&gt;=원인분석!$C$12,M4490&lt;=원인분석!$C$13),"비교",""))))</f>
        <v/>
      </c>
      <c r="R4490" s="9">
        <f>IF(Q4490="","",$K4490&amp;"")</f>
        <v/>
      </c>
      <c r="S4490" s="9">
        <f>IF(Q4490="","",IF(MATCH(R4490,$R$5:$R$100000,0)=ROW()-4,ROW(),""))</f>
        <v/>
      </c>
      <c r="T4490" s="9">
        <f>IF(Q4490="당기",ABS(P4490)+ROW()/1000000000,"")</f>
        <v/>
      </c>
      <c r="U4490" s="9">
        <f>IF(Q4490="비교",ABS(P4490)+ROW()/1000000000,"")</f>
        <v/>
      </c>
      <c r="V4490" s="64">
        <f>IF($A4490="","",IF(COUNTIF(변동분석!$E$7:$E$506,O4490)&gt;0,"Y","N"))</f>
        <v/>
      </c>
      <c r="W4490" s="64">
        <f>IF($A4490="","",IFERROR(INDEX(계정매핑!$D$5:$D$504,MATCH($F4490&amp;"",계정매핑!$A$5:$A$504,0)),"미매핑"))</f>
        <v/>
      </c>
      <c r="X4490" s="9">
        <f>IF($A4490="","",$F4490&amp;"")</f>
        <v/>
      </c>
      <c r="Y4490" s="94">
        <f>IF($A4490="",0,IF(AE4490="직접",IF(AF4490="비귀속",$P4490,0),$P4490*(1-AG4490)*IFERROR(INDEX(계정대체기준!$F$20:$F$49,MATCH($N4490,계정대체기준!$A$20:$A$49,0)),1)))</f>
        <v/>
      </c>
      <c r="Z4490" s="94">
        <f>IF($A4490="",0,IF(AE4490="직접",IF(AF4490="신계약비",$P4490,0),$P4490*(1-AG4490)*IFERROR(INDEX(계정대체기준!$C$20:$C$49,MATCH($N4490,계정대체기준!$A$20:$A$49,0)),0)))</f>
        <v/>
      </c>
      <c r="AA4490" s="94">
        <f>IF($A4490="",0,IF(AE4490="직접",IF(OR(AF4490="유지비",AF4490="손해조사비"),$P4490,0),$P4490*(1-AG4490)*IFERROR(INDEX(계정대체기준!$D$20:$D$49,MATCH($N4490,계정대체기준!$A$20:$A$49,0)),0)))</f>
        <v/>
      </c>
      <c r="AB4490" s="94">
        <f>IF($A4490="",0,IF(AE4490="직접",IF(AF4490="수금비",$P4490,0),$P4490*(1-AG4490)*IFERROR(INDEX(계정대체기준!$E$20:$E$49,MATCH($N4490,계정대체기준!$A$20:$A$49,0)),0)))</f>
        <v/>
      </c>
      <c r="AC4490" s="9">
        <f>IF(AND($A4490&lt;&gt;"",M4490=설정!$C$20,Z4490&gt;0),Z4490+ROW()/1000000000,"")</f>
        <v/>
      </c>
      <c r="AD4490" s="94">
        <f>IF($A4490="",0,$P4490*AG4490)</f>
        <v/>
      </c>
      <c r="AE4490" s="64">
        <f>IF($A4490="","",IFERROR(INDEX(계정매핑!$E$5:$E$504,MATCH($F4490&amp;"",계정매핑!$A$5:$A$504,0))&amp;"","공통비"))</f>
        <v/>
      </c>
      <c r="AF4490" s="64">
        <f>IF($A4490="","",IF(AE4490="직접",IFERROR(INDEX(계정매핑!$F$5:$F$504,MATCH($F4490&amp;"",계정매핑!$A$5:$A$504,0))&amp;"","비귀속"),""))</f>
        <v/>
      </c>
      <c r="AG4490" s="96">
        <f>IF($A4490="",0,IF(AND(AE4490&lt;&gt;"직접",IFERROR(INDEX(계정매핑!$G$5:$G$504,MATCH($F4490&amp;"",계정매핑!$A$5:$A$504,0))&amp;"","")="유지비",COUNTIF(계정대체기준!$A$6:$A$15,$N4490)&gt;0),IFERROR(INDEX(계정대체기준!$E$6:$E$15,MATCH(VALUE($A4490&amp;""),계정대체기준!$D$6:$D$15,0)),0),0))</f>
        <v/>
      </c>
      <c r="AH4490" s="64">
        <f>IF($A4490="","",IF(AD4490=0,"",IF(OR(COUNTIF(계정대체기준!$A$77:$A$86,$N4490)&gt;0,ISNUMBER(MATCH($X4490,계정대체기준!$D$77:$D$86,0)),ISNUMBER(MATCH($F4490,계정대체기준!$D$77:$D$86,0))),"Y","N")))</f>
        <v/>
      </c>
    </row>
    <row r="4491">
      <c r="A4491" s="92" t="n">
        <v>2026</v>
      </c>
      <c r="B4491" s="92" t="n">
        <v>8</v>
      </c>
      <c r="C4491" s="92" t="inlineStr">
        <is>
          <t>5100001769</t>
        </is>
      </c>
      <c r="D4491" s="95" t="n">
        <v>46255</v>
      </c>
      <c r="E4491" s="92" t="inlineStr">
        <is>
          <t>KR</t>
        </is>
      </c>
      <c r="F4491" s="92" t="n">
        <v>62102000</v>
      </c>
      <c r="G4491" s="92" t="n">
        <v>1101</v>
      </c>
      <c r="H4491" s="93" t="n">
        <v>100000</v>
      </c>
      <c r="I4491" s="92" t="inlineStr">
        <is>
          <t>8월 해외출장 - N호텔</t>
        </is>
      </c>
      <c r="J4491" s="92" t="inlineStr">
        <is>
          <t>V10009</t>
        </is>
      </c>
      <c r="K4491" s="92" t="inlineStr">
        <is>
          <t>N호텔</t>
        </is>
      </c>
      <c r="M4491" s="9">
        <f>IF($A4491="","",VALUE($A4491&amp;"")*12+VALUE($B4491&amp;""))</f>
        <v/>
      </c>
      <c r="N4491" s="64">
        <f>IF($A4491="","",IFERROR(INDEX(부서매핑!$C$5:$C$504,MATCH($G4491&amp;"",부서매핑!$A$5:$A$504,0)),"미매핑"))</f>
        <v/>
      </c>
      <c r="O4491" s="9">
        <f>IF($A4491="","",N4491&amp;"|"&amp;$F4491)</f>
        <v/>
      </c>
      <c r="P4491" s="94">
        <f>IF($A4491="",0,$H4491*설정!$C$23)</f>
        <v/>
      </c>
      <c r="Q4491" s="64">
        <f>IF($A4491="","",IF(O4491&lt;&gt;원인분석!$C$9,"",IF(AND(M4491&gt;=원인분석!$C$10,M4491&lt;=원인분석!$C$11),"당기",IF(AND(M4491&gt;=원인분석!$C$12,M4491&lt;=원인분석!$C$13),"비교",""))))</f>
        <v/>
      </c>
      <c r="R4491" s="9">
        <f>IF(Q4491="","",$K4491&amp;"")</f>
        <v/>
      </c>
      <c r="S4491" s="9">
        <f>IF(Q4491="","",IF(MATCH(R4491,$R$5:$R$100000,0)=ROW()-4,ROW(),""))</f>
        <v/>
      </c>
      <c r="T4491" s="9">
        <f>IF(Q4491="당기",ABS(P4491)+ROW()/1000000000,"")</f>
        <v/>
      </c>
      <c r="U4491" s="9">
        <f>IF(Q4491="비교",ABS(P4491)+ROW()/1000000000,"")</f>
        <v/>
      </c>
      <c r="V4491" s="64">
        <f>IF($A4491="","",IF(COUNTIF(변동분석!$E$7:$E$506,O4491)&gt;0,"Y","N"))</f>
        <v/>
      </c>
      <c r="W4491" s="64">
        <f>IF($A4491="","",IFERROR(INDEX(계정매핑!$D$5:$D$504,MATCH($F4491&amp;"",계정매핑!$A$5:$A$504,0)),"미매핑"))</f>
        <v/>
      </c>
      <c r="X4491" s="9">
        <f>IF($A4491="","",$F4491&amp;"")</f>
        <v/>
      </c>
      <c r="Y4491" s="94">
        <f>IF($A4491="",0,IF(AE4491="직접",IF(AF4491="비귀속",$P4491,0),$P4491*(1-AG4491)*IFERROR(INDEX(계정대체기준!$F$20:$F$49,MATCH($N4491,계정대체기준!$A$20:$A$49,0)),1)))</f>
        <v/>
      </c>
      <c r="Z4491" s="94">
        <f>IF($A4491="",0,IF(AE4491="직접",IF(AF4491="신계약비",$P4491,0),$P4491*(1-AG4491)*IFERROR(INDEX(계정대체기준!$C$20:$C$49,MATCH($N4491,계정대체기준!$A$20:$A$49,0)),0)))</f>
        <v/>
      </c>
      <c r="AA4491" s="94">
        <f>IF($A4491="",0,IF(AE4491="직접",IF(OR(AF4491="유지비",AF4491="손해조사비"),$P4491,0),$P4491*(1-AG4491)*IFERROR(INDEX(계정대체기준!$D$20:$D$49,MATCH($N4491,계정대체기준!$A$20:$A$49,0)),0)))</f>
        <v/>
      </c>
      <c r="AB4491" s="94">
        <f>IF($A4491="",0,IF(AE4491="직접",IF(AF4491="수금비",$P4491,0),$P4491*(1-AG4491)*IFERROR(INDEX(계정대체기준!$E$20:$E$49,MATCH($N4491,계정대체기준!$A$20:$A$49,0)),0)))</f>
        <v/>
      </c>
      <c r="AC4491" s="9">
        <f>IF(AND($A4491&lt;&gt;"",M4491=설정!$C$20,Z4491&gt;0),Z4491+ROW()/1000000000,"")</f>
        <v/>
      </c>
      <c r="AD4491" s="94">
        <f>IF($A4491="",0,$P4491*AG4491)</f>
        <v/>
      </c>
      <c r="AE4491" s="64">
        <f>IF($A4491="","",IFERROR(INDEX(계정매핑!$E$5:$E$504,MATCH($F4491&amp;"",계정매핑!$A$5:$A$504,0))&amp;"","공통비"))</f>
        <v/>
      </c>
      <c r="AF4491" s="64">
        <f>IF($A4491="","",IF(AE4491="직접",IFERROR(INDEX(계정매핑!$F$5:$F$504,MATCH($F4491&amp;"",계정매핑!$A$5:$A$504,0))&amp;"","비귀속"),""))</f>
        <v/>
      </c>
      <c r="AG4491" s="96">
        <f>IF($A4491="",0,IF(AND(AE4491&lt;&gt;"직접",IFERROR(INDEX(계정매핑!$G$5:$G$504,MATCH($F4491&amp;"",계정매핑!$A$5:$A$504,0))&amp;"","")="유지비",COUNTIF(계정대체기준!$A$6:$A$15,$N4491)&gt;0),IFERROR(INDEX(계정대체기준!$E$6:$E$15,MATCH(VALUE($A4491&amp;""),계정대체기준!$D$6:$D$15,0)),0),0))</f>
        <v/>
      </c>
      <c r="AH4491" s="64">
        <f>IF($A4491="","",IF(AD4491=0,"",IF(OR(COUNTIF(계정대체기준!$A$77:$A$86,$N4491)&gt;0,ISNUMBER(MATCH($X4491,계정대체기준!$D$77:$D$86,0)),ISNUMBER(MATCH($F4491,계정대체기준!$D$77:$D$86,0))),"Y","N")))</f>
        <v/>
      </c>
    </row>
    <row r="4492">
      <c r="A4492" s="92" t="n">
        <v>2026</v>
      </c>
      <c r="B4492" s="92" t="n">
        <v>8</v>
      </c>
      <c r="C4492" s="92" t="inlineStr">
        <is>
          <t>5100001770</t>
        </is>
      </c>
      <c r="D4492" s="95" t="n">
        <v>46255</v>
      </c>
      <c r="E4492" s="92" t="inlineStr">
        <is>
          <t>KR</t>
        </is>
      </c>
      <c r="F4492" s="92" t="n">
        <v>62102000</v>
      </c>
      <c r="G4492" s="92" t="n">
        <v>1701</v>
      </c>
      <c r="H4492" s="93" t="n">
        <v>29000</v>
      </c>
      <c r="I4492" s="92" t="inlineStr">
        <is>
          <t>8월 해외출장 - N호텔</t>
        </is>
      </c>
      <c r="J4492" s="92" t="inlineStr">
        <is>
          <t>V10009</t>
        </is>
      </c>
      <c r="K4492" s="92" t="inlineStr">
        <is>
          <t>N호텔</t>
        </is>
      </c>
      <c r="M4492" s="9">
        <f>IF($A4492="","",VALUE($A4492&amp;"")*12+VALUE($B4492&amp;""))</f>
        <v/>
      </c>
      <c r="N4492" s="64">
        <f>IF($A4492="","",IFERROR(INDEX(부서매핑!$C$5:$C$504,MATCH($G4492&amp;"",부서매핑!$A$5:$A$504,0)),"미매핑"))</f>
        <v/>
      </c>
      <c r="O4492" s="9">
        <f>IF($A4492="","",N4492&amp;"|"&amp;$F4492)</f>
        <v/>
      </c>
      <c r="P4492" s="94">
        <f>IF($A4492="",0,$H4492*설정!$C$23)</f>
        <v/>
      </c>
      <c r="Q4492" s="64">
        <f>IF($A4492="","",IF(O4492&lt;&gt;원인분석!$C$9,"",IF(AND(M4492&gt;=원인분석!$C$10,M4492&lt;=원인분석!$C$11),"당기",IF(AND(M4492&gt;=원인분석!$C$12,M4492&lt;=원인분석!$C$13),"비교",""))))</f>
        <v/>
      </c>
      <c r="R4492" s="9">
        <f>IF(Q4492="","",$K4492&amp;"")</f>
        <v/>
      </c>
      <c r="S4492" s="9">
        <f>IF(Q4492="","",IF(MATCH(R4492,$R$5:$R$100000,0)=ROW()-4,ROW(),""))</f>
        <v/>
      </c>
      <c r="T4492" s="9">
        <f>IF(Q4492="당기",ABS(P4492)+ROW()/1000000000,"")</f>
        <v/>
      </c>
      <c r="U4492" s="9">
        <f>IF(Q4492="비교",ABS(P4492)+ROW()/1000000000,"")</f>
        <v/>
      </c>
      <c r="V4492" s="64">
        <f>IF($A4492="","",IF(COUNTIF(변동분석!$E$7:$E$506,O4492)&gt;0,"Y","N"))</f>
        <v/>
      </c>
      <c r="W4492" s="64">
        <f>IF($A4492="","",IFERROR(INDEX(계정매핑!$D$5:$D$504,MATCH($F4492&amp;"",계정매핑!$A$5:$A$504,0)),"미매핑"))</f>
        <v/>
      </c>
      <c r="X4492" s="9">
        <f>IF($A4492="","",$F4492&amp;"")</f>
        <v/>
      </c>
      <c r="Y4492" s="94">
        <f>IF($A4492="",0,IF(AE4492="직접",IF(AF4492="비귀속",$P4492,0),$P4492*(1-AG4492)*IFERROR(INDEX(계정대체기준!$F$20:$F$49,MATCH($N4492,계정대체기준!$A$20:$A$49,0)),1)))</f>
        <v/>
      </c>
      <c r="Z4492" s="94">
        <f>IF($A4492="",0,IF(AE4492="직접",IF(AF4492="신계약비",$P4492,0),$P4492*(1-AG4492)*IFERROR(INDEX(계정대체기준!$C$20:$C$49,MATCH($N4492,계정대체기준!$A$20:$A$49,0)),0)))</f>
        <v/>
      </c>
      <c r="AA4492" s="94">
        <f>IF($A4492="",0,IF(AE4492="직접",IF(OR(AF4492="유지비",AF4492="손해조사비"),$P4492,0),$P4492*(1-AG4492)*IFERROR(INDEX(계정대체기준!$D$20:$D$49,MATCH($N4492,계정대체기준!$A$20:$A$49,0)),0)))</f>
        <v/>
      </c>
      <c r="AB4492" s="94">
        <f>IF($A4492="",0,IF(AE4492="직접",IF(AF4492="수금비",$P4492,0),$P4492*(1-AG4492)*IFERROR(INDEX(계정대체기준!$E$20:$E$49,MATCH($N4492,계정대체기준!$A$20:$A$49,0)),0)))</f>
        <v/>
      </c>
      <c r="AC4492" s="9">
        <f>IF(AND($A4492&lt;&gt;"",M4492=설정!$C$20,Z4492&gt;0),Z4492+ROW()/1000000000,"")</f>
        <v/>
      </c>
      <c r="AD4492" s="94">
        <f>IF($A4492="",0,$P4492*AG4492)</f>
        <v/>
      </c>
      <c r="AE4492" s="64">
        <f>IF($A4492="","",IFERROR(INDEX(계정매핑!$E$5:$E$504,MATCH($F4492&amp;"",계정매핑!$A$5:$A$504,0))&amp;"","공통비"))</f>
        <v/>
      </c>
      <c r="AF4492" s="64">
        <f>IF($A4492="","",IF(AE4492="직접",IFERROR(INDEX(계정매핑!$F$5:$F$504,MATCH($F4492&amp;"",계정매핑!$A$5:$A$504,0))&amp;"","비귀속"),""))</f>
        <v/>
      </c>
      <c r="AG4492" s="96">
        <f>IF($A4492="",0,IF(AND(AE4492&lt;&gt;"직접",IFERROR(INDEX(계정매핑!$G$5:$G$504,MATCH($F4492&amp;"",계정매핑!$A$5:$A$504,0))&amp;"","")="유지비",COUNTIF(계정대체기준!$A$6:$A$15,$N4492)&gt;0),IFERROR(INDEX(계정대체기준!$E$6:$E$15,MATCH(VALUE($A4492&amp;""),계정대체기준!$D$6:$D$15,0)),0),0))</f>
        <v/>
      </c>
      <c r="AH4492" s="64">
        <f>IF($A4492="","",IF(AD4492=0,"",IF(OR(COUNTIF(계정대체기준!$A$77:$A$86,$N4492)&gt;0,ISNUMBER(MATCH($X4492,계정대체기준!$D$77:$D$86,0)),ISNUMBER(MATCH($F4492,계정대체기준!$D$77:$D$86,0))),"Y","N")))</f>
        <v/>
      </c>
    </row>
    <row r="4493">
      <c r="A4493" s="92" t="n">
        <v>2026</v>
      </c>
      <c r="B4493" s="92" t="n">
        <v>8</v>
      </c>
      <c r="C4493" s="92" t="inlineStr">
        <is>
          <t>5100001771</t>
        </is>
      </c>
      <c r="D4493" s="95" t="n">
        <v>46255</v>
      </c>
      <c r="E4493" s="92" t="inlineStr">
        <is>
          <t>KR</t>
        </is>
      </c>
      <c r="F4493" s="92" t="n">
        <v>62401000</v>
      </c>
      <c r="G4493" s="92" t="n">
        <v>1501</v>
      </c>
      <c r="H4493" s="93" t="n">
        <v>1061000</v>
      </c>
      <c r="I4493" s="92" t="inlineStr">
        <is>
          <t>8월 인쇄물 제작 - G인쇄</t>
        </is>
      </c>
      <c r="J4493" s="92" t="inlineStr">
        <is>
          <t>V10004</t>
        </is>
      </c>
      <c r="K4493" s="92" t="inlineStr">
        <is>
          <t>G인쇄</t>
        </is>
      </c>
      <c r="M4493" s="9">
        <f>IF($A4493="","",VALUE($A4493&amp;"")*12+VALUE($B4493&amp;""))</f>
        <v/>
      </c>
      <c r="N4493" s="64">
        <f>IF($A4493="","",IFERROR(INDEX(부서매핑!$C$5:$C$504,MATCH($G4493&amp;"",부서매핑!$A$5:$A$504,0)),"미매핑"))</f>
        <v/>
      </c>
      <c r="O4493" s="9">
        <f>IF($A4493="","",N4493&amp;"|"&amp;$F4493)</f>
        <v/>
      </c>
      <c r="P4493" s="94">
        <f>IF($A4493="",0,$H4493*설정!$C$23)</f>
        <v/>
      </c>
      <c r="Q4493" s="64">
        <f>IF($A4493="","",IF(O4493&lt;&gt;원인분석!$C$9,"",IF(AND(M4493&gt;=원인분석!$C$10,M4493&lt;=원인분석!$C$11),"당기",IF(AND(M4493&gt;=원인분석!$C$12,M4493&lt;=원인분석!$C$13),"비교",""))))</f>
        <v/>
      </c>
      <c r="R4493" s="9">
        <f>IF(Q4493="","",$K4493&amp;"")</f>
        <v/>
      </c>
      <c r="S4493" s="9">
        <f>IF(Q4493="","",IF(MATCH(R4493,$R$5:$R$100000,0)=ROW()-4,ROW(),""))</f>
        <v/>
      </c>
      <c r="T4493" s="9">
        <f>IF(Q4493="당기",ABS(P4493)+ROW()/1000000000,"")</f>
        <v/>
      </c>
      <c r="U4493" s="9">
        <f>IF(Q4493="비교",ABS(P4493)+ROW()/1000000000,"")</f>
        <v/>
      </c>
      <c r="V4493" s="64">
        <f>IF($A4493="","",IF(COUNTIF(변동분석!$E$7:$E$506,O4493)&gt;0,"Y","N"))</f>
        <v/>
      </c>
      <c r="W4493" s="64">
        <f>IF($A4493="","",IFERROR(INDEX(계정매핑!$D$5:$D$504,MATCH($F4493&amp;"",계정매핑!$A$5:$A$504,0)),"미매핑"))</f>
        <v/>
      </c>
      <c r="X4493" s="9">
        <f>IF($A4493="","",$F4493&amp;"")</f>
        <v/>
      </c>
      <c r="Y4493" s="94">
        <f>IF($A4493="",0,IF(AE4493="직접",IF(AF4493="비귀속",$P4493,0),$P4493*(1-AG4493)*IFERROR(INDEX(계정대체기준!$F$20:$F$49,MATCH($N4493,계정대체기준!$A$20:$A$49,0)),1)))</f>
        <v/>
      </c>
      <c r="Z4493" s="94">
        <f>IF($A4493="",0,IF(AE4493="직접",IF(AF4493="신계약비",$P4493,0),$P4493*(1-AG4493)*IFERROR(INDEX(계정대체기준!$C$20:$C$49,MATCH($N4493,계정대체기준!$A$20:$A$49,0)),0)))</f>
        <v/>
      </c>
      <c r="AA4493" s="94">
        <f>IF($A4493="",0,IF(AE4493="직접",IF(OR(AF4493="유지비",AF4493="손해조사비"),$P4493,0),$P4493*(1-AG4493)*IFERROR(INDEX(계정대체기준!$D$20:$D$49,MATCH($N4493,계정대체기준!$A$20:$A$49,0)),0)))</f>
        <v/>
      </c>
      <c r="AB4493" s="94">
        <f>IF($A4493="",0,IF(AE4493="직접",IF(AF4493="수금비",$P4493,0),$P4493*(1-AG4493)*IFERROR(INDEX(계정대체기준!$E$20:$E$49,MATCH($N4493,계정대체기준!$A$20:$A$49,0)),0)))</f>
        <v/>
      </c>
      <c r="AC4493" s="9">
        <f>IF(AND($A4493&lt;&gt;"",M4493=설정!$C$20,Z4493&gt;0),Z4493+ROW()/1000000000,"")</f>
        <v/>
      </c>
      <c r="AD4493" s="94">
        <f>IF($A4493="",0,$P4493*AG4493)</f>
        <v/>
      </c>
      <c r="AE4493" s="64">
        <f>IF($A4493="","",IFERROR(INDEX(계정매핑!$E$5:$E$504,MATCH($F4493&amp;"",계정매핑!$A$5:$A$504,0))&amp;"","공통비"))</f>
        <v/>
      </c>
      <c r="AF4493" s="64">
        <f>IF($A4493="","",IF(AE4493="직접",IFERROR(INDEX(계정매핑!$F$5:$F$504,MATCH($F4493&amp;"",계정매핑!$A$5:$A$504,0))&amp;"","비귀속"),""))</f>
        <v/>
      </c>
      <c r="AG4493" s="96">
        <f>IF($A4493="",0,IF(AND(AE4493&lt;&gt;"직접",IFERROR(INDEX(계정매핑!$G$5:$G$504,MATCH($F4493&amp;"",계정매핑!$A$5:$A$504,0))&amp;"","")="유지비",COUNTIF(계정대체기준!$A$6:$A$15,$N4493)&gt;0),IFERROR(INDEX(계정대체기준!$E$6:$E$15,MATCH(VALUE($A4493&amp;""),계정대체기준!$D$6:$D$15,0)),0),0))</f>
        <v/>
      </c>
      <c r="AH4493" s="64">
        <f>IF($A4493="","",IF(AD4493=0,"",IF(OR(COUNTIF(계정대체기준!$A$77:$A$86,$N4493)&gt;0,ISNUMBER(MATCH($X4493,계정대체기준!$D$77:$D$86,0)),ISNUMBER(MATCH($F4493,계정대체기준!$D$77:$D$86,0))),"Y","N")))</f>
        <v/>
      </c>
    </row>
    <row r="4494">
      <c r="A4494" s="92" t="n">
        <v>2026</v>
      </c>
      <c r="B4494" s="92" t="n">
        <v>8</v>
      </c>
      <c r="C4494" s="92" t="inlineStr">
        <is>
          <t>5100001772</t>
        </is>
      </c>
      <c r="D4494" s="95" t="n">
        <v>46255</v>
      </c>
      <c r="E4494" s="92" t="inlineStr">
        <is>
          <t>KR</t>
        </is>
      </c>
      <c r="F4494" s="92" t="n">
        <v>62501000</v>
      </c>
      <c r="G4494" s="92" t="n">
        <v>1101</v>
      </c>
      <c r="H4494" s="93" t="n">
        <v>276000</v>
      </c>
      <c r="I4494" s="92" t="inlineStr">
        <is>
          <t>8월 회의 다과 - (법인카드)</t>
        </is>
      </c>
      <c r="J4494" s="92" t="inlineStr">
        <is>
          <t>V10010</t>
        </is>
      </c>
      <c r="K4494" s="92" t="inlineStr">
        <is>
          <t>(법인카드)</t>
        </is>
      </c>
      <c r="M4494" s="9">
        <f>IF($A4494="","",VALUE($A4494&amp;"")*12+VALUE($B4494&amp;""))</f>
        <v/>
      </c>
      <c r="N4494" s="64">
        <f>IF($A4494="","",IFERROR(INDEX(부서매핑!$C$5:$C$504,MATCH($G4494&amp;"",부서매핑!$A$5:$A$504,0)),"미매핑"))</f>
        <v/>
      </c>
      <c r="O4494" s="9">
        <f>IF($A4494="","",N4494&amp;"|"&amp;$F4494)</f>
        <v/>
      </c>
      <c r="P4494" s="94">
        <f>IF($A4494="",0,$H4494*설정!$C$23)</f>
        <v/>
      </c>
      <c r="Q4494" s="64">
        <f>IF($A4494="","",IF(O4494&lt;&gt;원인분석!$C$9,"",IF(AND(M4494&gt;=원인분석!$C$10,M4494&lt;=원인분석!$C$11),"당기",IF(AND(M4494&gt;=원인분석!$C$12,M4494&lt;=원인분석!$C$13),"비교",""))))</f>
        <v/>
      </c>
      <c r="R4494" s="9">
        <f>IF(Q4494="","",$K4494&amp;"")</f>
        <v/>
      </c>
      <c r="S4494" s="9">
        <f>IF(Q4494="","",IF(MATCH(R4494,$R$5:$R$100000,0)=ROW()-4,ROW(),""))</f>
        <v/>
      </c>
      <c r="T4494" s="9">
        <f>IF(Q4494="당기",ABS(P4494)+ROW()/1000000000,"")</f>
        <v/>
      </c>
      <c r="U4494" s="9">
        <f>IF(Q4494="비교",ABS(P4494)+ROW()/1000000000,"")</f>
        <v/>
      </c>
      <c r="V4494" s="64">
        <f>IF($A4494="","",IF(COUNTIF(변동분석!$E$7:$E$506,O4494)&gt;0,"Y","N"))</f>
        <v/>
      </c>
      <c r="W4494" s="64">
        <f>IF($A4494="","",IFERROR(INDEX(계정매핑!$D$5:$D$504,MATCH($F4494&amp;"",계정매핑!$A$5:$A$504,0)),"미매핑"))</f>
        <v/>
      </c>
      <c r="X4494" s="9">
        <f>IF($A4494="","",$F4494&amp;"")</f>
        <v/>
      </c>
      <c r="Y4494" s="94">
        <f>IF($A4494="",0,IF(AE4494="직접",IF(AF4494="비귀속",$P4494,0),$P4494*(1-AG4494)*IFERROR(INDEX(계정대체기준!$F$20:$F$49,MATCH($N4494,계정대체기준!$A$20:$A$49,0)),1)))</f>
        <v/>
      </c>
      <c r="Z4494" s="94">
        <f>IF($A4494="",0,IF(AE4494="직접",IF(AF4494="신계약비",$P4494,0),$P4494*(1-AG4494)*IFERROR(INDEX(계정대체기준!$C$20:$C$49,MATCH($N4494,계정대체기준!$A$20:$A$49,0)),0)))</f>
        <v/>
      </c>
      <c r="AA4494" s="94">
        <f>IF($A4494="",0,IF(AE4494="직접",IF(OR(AF4494="유지비",AF4494="손해조사비"),$P4494,0),$P4494*(1-AG4494)*IFERROR(INDEX(계정대체기준!$D$20:$D$49,MATCH($N4494,계정대체기준!$A$20:$A$49,0)),0)))</f>
        <v/>
      </c>
      <c r="AB4494" s="94">
        <f>IF($A4494="",0,IF(AE4494="직접",IF(AF4494="수금비",$P4494,0),$P4494*(1-AG4494)*IFERROR(INDEX(계정대체기준!$E$20:$E$49,MATCH($N4494,계정대체기준!$A$20:$A$49,0)),0)))</f>
        <v/>
      </c>
      <c r="AC4494" s="9">
        <f>IF(AND($A4494&lt;&gt;"",M4494=설정!$C$20,Z4494&gt;0),Z4494+ROW()/1000000000,"")</f>
        <v/>
      </c>
      <c r="AD4494" s="94">
        <f>IF($A4494="",0,$P4494*AG4494)</f>
        <v/>
      </c>
      <c r="AE4494" s="64">
        <f>IF($A4494="","",IFERROR(INDEX(계정매핑!$E$5:$E$504,MATCH($F4494&amp;"",계정매핑!$A$5:$A$504,0))&amp;"","공통비"))</f>
        <v/>
      </c>
      <c r="AF4494" s="64">
        <f>IF($A4494="","",IF(AE4494="직접",IFERROR(INDEX(계정매핑!$F$5:$F$504,MATCH($F4494&amp;"",계정매핑!$A$5:$A$504,0))&amp;"","비귀속"),""))</f>
        <v/>
      </c>
      <c r="AG4494" s="96">
        <f>IF($A4494="",0,IF(AND(AE4494&lt;&gt;"직접",IFERROR(INDEX(계정매핑!$G$5:$G$504,MATCH($F4494&amp;"",계정매핑!$A$5:$A$504,0))&amp;"","")="유지비",COUNTIF(계정대체기준!$A$6:$A$15,$N4494)&gt;0),IFERROR(INDEX(계정대체기준!$E$6:$E$15,MATCH(VALUE($A4494&amp;""),계정대체기준!$D$6:$D$15,0)),0),0))</f>
        <v/>
      </c>
      <c r="AH4494" s="64">
        <f>IF($A4494="","",IF(AD4494=0,"",IF(OR(COUNTIF(계정대체기준!$A$77:$A$86,$N4494)&gt;0,ISNUMBER(MATCH($X4494,계정대체기준!$D$77:$D$86,0)),ISNUMBER(MATCH($F4494,계정대체기준!$D$77:$D$86,0))),"Y","N")))</f>
        <v/>
      </c>
    </row>
    <row r="4495">
      <c r="A4495" s="92" t="n">
        <v>2026</v>
      </c>
      <c r="B4495" s="92" t="n">
        <v>8</v>
      </c>
      <c r="C4495" s="92" t="inlineStr">
        <is>
          <t>5100001773</t>
        </is>
      </c>
      <c r="D4495" s="95" t="n">
        <v>46255</v>
      </c>
      <c r="E4495" s="92" t="inlineStr">
        <is>
          <t>KR</t>
        </is>
      </c>
      <c r="F4495" s="92" t="n">
        <v>62501000</v>
      </c>
      <c r="G4495" s="92" t="n">
        <v>1501</v>
      </c>
      <c r="H4495" s="93" t="n">
        <v>334000</v>
      </c>
      <c r="I4495" s="92" t="inlineStr">
        <is>
          <t>8월 회의 다과 - (법인카드)</t>
        </is>
      </c>
      <c r="J4495" s="92" t="inlineStr">
        <is>
          <t>V10010</t>
        </is>
      </c>
      <c r="K4495" s="92" t="inlineStr">
        <is>
          <t>(법인카드)</t>
        </is>
      </c>
      <c r="M4495" s="9">
        <f>IF($A4495="","",VALUE($A4495&amp;"")*12+VALUE($B4495&amp;""))</f>
        <v/>
      </c>
      <c r="N4495" s="64">
        <f>IF($A4495="","",IFERROR(INDEX(부서매핑!$C$5:$C$504,MATCH($G4495&amp;"",부서매핑!$A$5:$A$504,0)),"미매핑"))</f>
        <v/>
      </c>
      <c r="O4495" s="9">
        <f>IF($A4495="","",N4495&amp;"|"&amp;$F4495)</f>
        <v/>
      </c>
      <c r="P4495" s="94">
        <f>IF($A4495="",0,$H4495*설정!$C$23)</f>
        <v/>
      </c>
      <c r="Q4495" s="64">
        <f>IF($A4495="","",IF(O4495&lt;&gt;원인분석!$C$9,"",IF(AND(M4495&gt;=원인분석!$C$10,M4495&lt;=원인분석!$C$11),"당기",IF(AND(M4495&gt;=원인분석!$C$12,M4495&lt;=원인분석!$C$13),"비교",""))))</f>
        <v/>
      </c>
      <c r="R4495" s="9">
        <f>IF(Q4495="","",$K4495&amp;"")</f>
        <v/>
      </c>
      <c r="S4495" s="9">
        <f>IF(Q4495="","",IF(MATCH(R4495,$R$5:$R$100000,0)=ROW()-4,ROW(),""))</f>
        <v/>
      </c>
      <c r="T4495" s="9">
        <f>IF(Q4495="당기",ABS(P4495)+ROW()/1000000000,"")</f>
        <v/>
      </c>
      <c r="U4495" s="9">
        <f>IF(Q4495="비교",ABS(P4495)+ROW()/1000000000,"")</f>
        <v/>
      </c>
      <c r="V4495" s="64">
        <f>IF($A4495="","",IF(COUNTIF(변동분석!$E$7:$E$506,O4495)&gt;0,"Y","N"))</f>
        <v/>
      </c>
      <c r="W4495" s="64">
        <f>IF($A4495="","",IFERROR(INDEX(계정매핑!$D$5:$D$504,MATCH($F4495&amp;"",계정매핑!$A$5:$A$504,0)),"미매핑"))</f>
        <v/>
      </c>
      <c r="X4495" s="9">
        <f>IF($A4495="","",$F4495&amp;"")</f>
        <v/>
      </c>
      <c r="Y4495" s="94">
        <f>IF($A4495="",0,IF(AE4495="직접",IF(AF4495="비귀속",$P4495,0),$P4495*(1-AG4495)*IFERROR(INDEX(계정대체기준!$F$20:$F$49,MATCH($N4495,계정대체기준!$A$20:$A$49,0)),1)))</f>
        <v/>
      </c>
      <c r="Z4495" s="94">
        <f>IF($A4495="",0,IF(AE4495="직접",IF(AF4495="신계약비",$P4495,0),$P4495*(1-AG4495)*IFERROR(INDEX(계정대체기준!$C$20:$C$49,MATCH($N4495,계정대체기준!$A$20:$A$49,0)),0)))</f>
        <v/>
      </c>
      <c r="AA4495" s="94">
        <f>IF($A4495="",0,IF(AE4495="직접",IF(OR(AF4495="유지비",AF4495="손해조사비"),$P4495,0),$P4495*(1-AG4495)*IFERROR(INDEX(계정대체기준!$D$20:$D$49,MATCH($N4495,계정대체기준!$A$20:$A$49,0)),0)))</f>
        <v/>
      </c>
      <c r="AB4495" s="94">
        <f>IF($A4495="",0,IF(AE4495="직접",IF(AF4495="수금비",$P4495,0),$P4495*(1-AG4495)*IFERROR(INDEX(계정대체기준!$E$20:$E$49,MATCH($N4495,계정대체기준!$A$20:$A$49,0)),0)))</f>
        <v/>
      </c>
      <c r="AC4495" s="9">
        <f>IF(AND($A4495&lt;&gt;"",M4495=설정!$C$20,Z4495&gt;0),Z4495+ROW()/1000000000,"")</f>
        <v/>
      </c>
      <c r="AD4495" s="94">
        <f>IF($A4495="",0,$P4495*AG4495)</f>
        <v/>
      </c>
      <c r="AE4495" s="64">
        <f>IF($A4495="","",IFERROR(INDEX(계정매핑!$E$5:$E$504,MATCH($F4495&amp;"",계정매핑!$A$5:$A$504,0))&amp;"","공통비"))</f>
        <v/>
      </c>
      <c r="AF4495" s="64">
        <f>IF($A4495="","",IF(AE4495="직접",IFERROR(INDEX(계정매핑!$F$5:$F$504,MATCH($F4495&amp;"",계정매핑!$A$5:$A$504,0))&amp;"","비귀속"),""))</f>
        <v/>
      </c>
      <c r="AG4495" s="96">
        <f>IF($A4495="",0,IF(AND(AE4495&lt;&gt;"직접",IFERROR(INDEX(계정매핑!$G$5:$G$504,MATCH($F4495&amp;"",계정매핑!$A$5:$A$504,0))&amp;"","")="유지비",COUNTIF(계정대체기준!$A$6:$A$15,$N4495)&gt;0),IFERROR(INDEX(계정대체기준!$E$6:$E$15,MATCH(VALUE($A4495&amp;""),계정대체기준!$D$6:$D$15,0)),0),0))</f>
        <v/>
      </c>
      <c r="AH4495" s="64">
        <f>IF($A4495="","",IF(AD4495=0,"",IF(OR(COUNTIF(계정대체기준!$A$77:$A$86,$N4495)&gt;0,ISNUMBER(MATCH($X4495,계정대체기준!$D$77:$D$86,0)),ISNUMBER(MATCH($F4495,계정대체기준!$D$77:$D$86,0))),"Y","N")))</f>
        <v/>
      </c>
    </row>
    <row r="4496">
      <c r="A4496" s="92" t="n">
        <v>2026</v>
      </c>
      <c r="B4496" s="92" t="n">
        <v>8</v>
      </c>
      <c r="C4496" s="92" t="inlineStr">
        <is>
          <t>5100001774</t>
        </is>
      </c>
      <c r="D4496" s="95" t="n">
        <v>46255</v>
      </c>
      <c r="E4496" s="92" t="inlineStr">
        <is>
          <t>KR</t>
        </is>
      </c>
      <c r="F4496" s="92" t="n">
        <v>62501000</v>
      </c>
      <c r="G4496" s="92" t="n">
        <v>1601</v>
      </c>
      <c r="H4496" s="93" t="n">
        <v>258000</v>
      </c>
      <c r="I4496" s="92" t="inlineStr">
        <is>
          <t>8월 회의 다과 - T케이터링</t>
        </is>
      </c>
      <c r="J4496" s="92" t="inlineStr">
        <is>
          <t>V10005</t>
        </is>
      </c>
      <c r="K4496" s="92" t="inlineStr">
        <is>
          <t>T케이터링</t>
        </is>
      </c>
      <c r="M4496" s="9">
        <f>IF($A4496="","",VALUE($A4496&amp;"")*12+VALUE($B4496&amp;""))</f>
        <v/>
      </c>
      <c r="N4496" s="64">
        <f>IF($A4496="","",IFERROR(INDEX(부서매핑!$C$5:$C$504,MATCH($G4496&amp;"",부서매핑!$A$5:$A$504,0)),"미매핑"))</f>
        <v/>
      </c>
      <c r="O4496" s="9">
        <f>IF($A4496="","",N4496&amp;"|"&amp;$F4496)</f>
        <v/>
      </c>
      <c r="P4496" s="94">
        <f>IF($A4496="",0,$H4496*설정!$C$23)</f>
        <v/>
      </c>
      <c r="Q4496" s="64">
        <f>IF($A4496="","",IF(O4496&lt;&gt;원인분석!$C$9,"",IF(AND(M4496&gt;=원인분석!$C$10,M4496&lt;=원인분석!$C$11),"당기",IF(AND(M4496&gt;=원인분석!$C$12,M4496&lt;=원인분석!$C$13),"비교",""))))</f>
        <v/>
      </c>
      <c r="R4496" s="9">
        <f>IF(Q4496="","",$K4496&amp;"")</f>
        <v/>
      </c>
      <c r="S4496" s="9">
        <f>IF(Q4496="","",IF(MATCH(R4496,$R$5:$R$100000,0)=ROW()-4,ROW(),""))</f>
        <v/>
      </c>
      <c r="T4496" s="9">
        <f>IF(Q4496="당기",ABS(P4496)+ROW()/1000000000,"")</f>
        <v/>
      </c>
      <c r="U4496" s="9">
        <f>IF(Q4496="비교",ABS(P4496)+ROW()/1000000000,"")</f>
        <v/>
      </c>
      <c r="V4496" s="64">
        <f>IF($A4496="","",IF(COUNTIF(변동분석!$E$7:$E$506,O4496)&gt;0,"Y","N"))</f>
        <v/>
      </c>
      <c r="W4496" s="64">
        <f>IF($A4496="","",IFERROR(INDEX(계정매핑!$D$5:$D$504,MATCH($F4496&amp;"",계정매핑!$A$5:$A$504,0)),"미매핑"))</f>
        <v/>
      </c>
      <c r="X4496" s="9">
        <f>IF($A4496="","",$F4496&amp;"")</f>
        <v/>
      </c>
      <c r="Y4496" s="94">
        <f>IF($A4496="",0,IF(AE4496="직접",IF(AF4496="비귀속",$P4496,0),$P4496*(1-AG4496)*IFERROR(INDEX(계정대체기준!$F$20:$F$49,MATCH($N4496,계정대체기준!$A$20:$A$49,0)),1)))</f>
        <v/>
      </c>
      <c r="Z4496" s="94">
        <f>IF($A4496="",0,IF(AE4496="직접",IF(AF4496="신계약비",$P4496,0),$P4496*(1-AG4496)*IFERROR(INDEX(계정대체기준!$C$20:$C$49,MATCH($N4496,계정대체기준!$A$20:$A$49,0)),0)))</f>
        <v/>
      </c>
      <c r="AA4496" s="94">
        <f>IF($A4496="",0,IF(AE4496="직접",IF(OR(AF4496="유지비",AF4496="손해조사비"),$P4496,0),$P4496*(1-AG4496)*IFERROR(INDEX(계정대체기준!$D$20:$D$49,MATCH($N4496,계정대체기준!$A$20:$A$49,0)),0)))</f>
        <v/>
      </c>
      <c r="AB4496" s="94">
        <f>IF($A4496="",0,IF(AE4496="직접",IF(AF4496="수금비",$P4496,0),$P4496*(1-AG4496)*IFERROR(INDEX(계정대체기준!$E$20:$E$49,MATCH($N4496,계정대체기준!$A$20:$A$49,0)),0)))</f>
        <v/>
      </c>
      <c r="AC4496" s="9">
        <f>IF(AND($A4496&lt;&gt;"",M4496=설정!$C$20,Z4496&gt;0),Z4496+ROW()/1000000000,"")</f>
        <v/>
      </c>
      <c r="AD4496" s="94">
        <f>IF($A4496="",0,$P4496*AG4496)</f>
        <v/>
      </c>
      <c r="AE4496" s="64">
        <f>IF($A4496="","",IFERROR(INDEX(계정매핑!$E$5:$E$504,MATCH($F4496&amp;"",계정매핑!$A$5:$A$504,0))&amp;"","공통비"))</f>
        <v/>
      </c>
      <c r="AF4496" s="64">
        <f>IF($A4496="","",IF(AE4496="직접",IFERROR(INDEX(계정매핑!$F$5:$F$504,MATCH($F4496&amp;"",계정매핑!$A$5:$A$504,0))&amp;"","비귀속"),""))</f>
        <v/>
      </c>
      <c r="AG4496" s="96">
        <f>IF($A4496="",0,IF(AND(AE4496&lt;&gt;"직접",IFERROR(INDEX(계정매핑!$G$5:$G$504,MATCH($F4496&amp;"",계정매핑!$A$5:$A$504,0))&amp;"","")="유지비",COUNTIF(계정대체기준!$A$6:$A$15,$N4496)&gt;0),IFERROR(INDEX(계정대체기준!$E$6:$E$15,MATCH(VALUE($A4496&amp;""),계정대체기준!$D$6:$D$15,0)),0),0))</f>
        <v/>
      </c>
      <c r="AH4496" s="64">
        <f>IF($A4496="","",IF(AD4496=0,"",IF(OR(COUNTIF(계정대체기준!$A$77:$A$86,$N4496)&gt;0,ISNUMBER(MATCH($X4496,계정대체기준!$D$77:$D$86,0)),ISNUMBER(MATCH($F4496,계정대체기준!$D$77:$D$86,0))),"Y","N")))</f>
        <v/>
      </c>
    </row>
    <row r="4497">
      <c r="A4497" s="92" t="n">
        <v>2026</v>
      </c>
      <c r="B4497" s="92" t="n">
        <v>8</v>
      </c>
      <c r="C4497" s="92" t="inlineStr">
        <is>
          <t>5100001775</t>
        </is>
      </c>
      <c r="D4497" s="95" t="n">
        <v>46255</v>
      </c>
      <c r="E4497" s="92" t="inlineStr">
        <is>
          <t>KR</t>
        </is>
      </c>
      <c r="F4497" s="92" t="n">
        <v>63501000</v>
      </c>
      <c r="G4497" s="92" t="n">
        <v>1902</v>
      </c>
      <c r="H4497" s="93" t="n">
        <v>270262000</v>
      </c>
      <c r="I4497" s="92" t="inlineStr">
        <is>
          <t>8월 모집수수료 - BB에셋</t>
        </is>
      </c>
      <c r="J4497" s="92" t="inlineStr">
        <is>
          <t>V10013</t>
        </is>
      </c>
      <c r="K4497" s="92" t="inlineStr">
        <is>
          <t>BB에셋</t>
        </is>
      </c>
      <c r="M4497" s="9">
        <f>IF($A4497="","",VALUE($A4497&amp;"")*12+VALUE($B4497&amp;""))</f>
        <v/>
      </c>
      <c r="N4497" s="64">
        <f>IF($A4497="","",IFERROR(INDEX(부서매핑!$C$5:$C$504,MATCH($G4497&amp;"",부서매핑!$A$5:$A$504,0)),"미매핑"))</f>
        <v/>
      </c>
      <c r="O4497" s="9">
        <f>IF($A4497="","",N4497&amp;"|"&amp;$F4497)</f>
        <v/>
      </c>
      <c r="P4497" s="94">
        <f>IF($A4497="",0,$H4497*설정!$C$23)</f>
        <v/>
      </c>
      <c r="Q4497" s="64">
        <f>IF($A4497="","",IF(O4497&lt;&gt;원인분석!$C$9,"",IF(AND(M4497&gt;=원인분석!$C$10,M4497&lt;=원인분석!$C$11),"당기",IF(AND(M4497&gt;=원인분석!$C$12,M4497&lt;=원인분석!$C$13),"비교",""))))</f>
        <v/>
      </c>
      <c r="R4497" s="9">
        <f>IF(Q4497="","",$K4497&amp;"")</f>
        <v/>
      </c>
      <c r="S4497" s="9">
        <f>IF(Q4497="","",IF(MATCH(R4497,$R$5:$R$100000,0)=ROW()-4,ROW(),""))</f>
        <v/>
      </c>
      <c r="T4497" s="9">
        <f>IF(Q4497="당기",ABS(P4497)+ROW()/1000000000,"")</f>
        <v/>
      </c>
      <c r="U4497" s="9">
        <f>IF(Q4497="비교",ABS(P4497)+ROW()/1000000000,"")</f>
        <v/>
      </c>
      <c r="V4497" s="64">
        <f>IF($A4497="","",IF(COUNTIF(변동분석!$E$7:$E$506,O4497)&gt;0,"Y","N"))</f>
        <v/>
      </c>
      <c r="W4497" s="64">
        <f>IF($A4497="","",IFERROR(INDEX(계정매핑!$D$5:$D$504,MATCH($F4497&amp;"",계정매핑!$A$5:$A$504,0)),"미매핑"))</f>
        <v/>
      </c>
      <c r="X4497" s="9">
        <f>IF($A4497="","",$F4497&amp;"")</f>
        <v/>
      </c>
      <c r="Y4497" s="94">
        <f>IF($A4497="",0,IF(AE4497="직접",IF(AF4497="비귀속",$P4497,0),$P4497*(1-AG4497)*IFERROR(INDEX(계정대체기준!$F$20:$F$49,MATCH($N4497,계정대체기준!$A$20:$A$49,0)),1)))</f>
        <v/>
      </c>
      <c r="Z4497" s="94">
        <f>IF($A4497="",0,IF(AE4497="직접",IF(AF4497="신계약비",$P4497,0),$P4497*(1-AG4497)*IFERROR(INDEX(계정대체기준!$C$20:$C$49,MATCH($N4497,계정대체기준!$A$20:$A$49,0)),0)))</f>
        <v/>
      </c>
      <c r="AA4497" s="94">
        <f>IF($A4497="",0,IF(AE4497="직접",IF(OR(AF4497="유지비",AF4497="손해조사비"),$P4497,0),$P4497*(1-AG4497)*IFERROR(INDEX(계정대체기준!$D$20:$D$49,MATCH($N4497,계정대체기준!$A$20:$A$49,0)),0)))</f>
        <v/>
      </c>
      <c r="AB4497" s="94">
        <f>IF($A4497="",0,IF(AE4497="직접",IF(AF4497="수금비",$P4497,0),$P4497*(1-AG4497)*IFERROR(INDEX(계정대체기준!$E$20:$E$49,MATCH($N4497,계정대체기준!$A$20:$A$49,0)),0)))</f>
        <v/>
      </c>
      <c r="AC4497" s="9">
        <f>IF(AND($A4497&lt;&gt;"",M4497=설정!$C$20,Z4497&gt;0),Z4497+ROW()/1000000000,"")</f>
        <v/>
      </c>
      <c r="AD4497" s="94">
        <f>IF($A4497="",0,$P4497*AG4497)</f>
        <v/>
      </c>
      <c r="AE4497" s="64">
        <f>IF($A4497="","",IFERROR(INDEX(계정매핑!$E$5:$E$504,MATCH($F4497&amp;"",계정매핑!$A$5:$A$504,0))&amp;"","공통비"))</f>
        <v/>
      </c>
      <c r="AF4497" s="64">
        <f>IF($A4497="","",IF(AE4497="직접",IFERROR(INDEX(계정매핑!$F$5:$F$504,MATCH($F4497&amp;"",계정매핑!$A$5:$A$504,0))&amp;"","비귀속"),""))</f>
        <v/>
      </c>
      <c r="AG4497" s="96">
        <f>IF($A4497="",0,IF(AND(AE4497&lt;&gt;"직접",IFERROR(INDEX(계정매핑!$G$5:$G$504,MATCH($F4497&amp;"",계정매핑!$A$5:$A$504,0))&amp;"","")="유지비",COUNTIF(계정대체기준!$A$6:$A$15,$N4497)&gt;0),IFERROR(INDEX(계정대체기준!$E$6:$E$15,MATCH(VALUE($A4497&amp;""),계정대체기준!$D$6:$D$15,0)),0),0))</f>
        <v/>
      </c>
      <c r="AH4497" s="64">
        <f>IF($A4497="","",IF(AD4497=0,"",IF(OR(COUNTIF(계정대체기준!$A$77:$A$86,$N4497)&gt;0,ISNUMBER(MATCH($X4497,계정대체기준!$D$77:$D$86,0)),ISNUMBER(MATCH($F4497,계정대체기준!$D$77:$D$86,0))),"Y","N")))</f>
        <v/>
      </c>
    </row>
    <row r="4498">
      <c r="A4498" s="92" t="n">
        <v>2026</v>
      </c>
      <c r="B4498" s="92" t="n">
        <v>8</v>
      </c>
      <c r="C4498" s="92" t="inlineStr">
        <is>
          <t>5100001776</t>
        </is>
      </c>
      <c r="D4498" s="95" t="n">
        <v>46256</v>
      </c>
      <c r="E4498" s="92" t="inlineStr">
        <is>
          <t>KR</t>
        </is>
      </c>
      <c r="F4498" s="92" t="n">
        <v>62101000</v>
      </c>
      <c r="G4498" s="92" t="n">
        <v>1101</v>
      </c>
      <c r="H4498" s="93" t="n">
        <v>597000</v>
      </c>
      <c r="I4498" s="92" t="inlineStr">
        <is>
          <t>8월 국내출장 - M항공</t>
        </is>
      </c>
      <c r="J4498" s="92" t="inlineStr">
        <is>
          <t>V10001</t>
        </is>
      </c>
      <c r="K4498" s="92" t="inlineStr">
        <is>
          <t>M항공</t>
        </is>
      </c>
      <c r="M4498" s="9">
        <f>IF($A4498="","",VALUE($A4498&amp;"")*12+VALUE($B4498&amp;""))</f>
        <v/>
      </c>
      <c r="N4498" s="64">
        <f>IF($A4498="","",IFERROR(INDEX(부서매핑!$C$5:$C$504,MATCH($G4498&amp;"",부서매핑!$A$5:$A$504,0)),"미매핑"))</f>
        <v/>
      </c>
      <c r="O4498" s="9">
        <f>IF($A4498="","",N4498&amp;"|"&amp;$F4498)</f>
        <v/>
      </c>
      <c r="P4498" s="94">
        <f>IF($A4498="",0,$H4498*설정!$C$23)</f>
        <v/>
      </c>
      <c r="Q4498" s="64">
        <f>IF($A4498="","",IF(O4498&lt;&gt;원인분석!$C$9,"",IF(AND(M4498&gt;=원인분석!$C$10,M4498&lt;=원인분석!$C$11),"당기",IF(AND(M4498&gt;=원인분석!$C$12,M4498&lt;=원인분석!$C$13),"비교",""))))</f>
        <v/>
      </c>
      <c r="R4498" s="9">
        <f>IF(Q4498="","",$K4498&amp;"")</f>
        <v/>
      </c>
      <c r="S4498" s="9">
        <f>IF(Q4498="","",IF(MATCH(R4498,$R$5:$R$100000,0)=ROW()-4,ROW(),""))</f>
        <v/>
      </c>
      <c r="T4498" s="9">
        <f>IF(Q4498="당기",ABS(P4498)+ROW()/1000000000,"")</f>
        <v/>
      </c>
      <c r="U4498" s="9">
        <f>IF(Q4498="비교",ABS(P4498)+ROW()/1000000000,"")</f>
        <v/>
      </c>
      <c r="V4498" s="64">
        <f>IF($A4498="","",IF(COUNTIF(변동분석!$E$7:$E$506,O4498)&gt;0,"Y","N"))</f>
        <v/>
      </c>
      <c r="W4498" s="64">
        <f>IF($A4498="","",IFERROR(INDEX(계정매핑!$D$5:$D$504,MATCH($F4498&amp;"",계정매핑!$A$5:$A$504,0)),"미매핑"))</f>
        <v/>
      </c>
      <c r="X4498" s="9">
        <f>IF($A4498="","",$F4498&amp;"")</f>
        <v/>
      </c>
      <c r="Y4498" s="94">
        <f>IF($A4498="",0,IF(AE4498="직접",IF(AF4498="비귀속",$P4498,0),$P4498*(1-AG4498)*IFERROR(INDEX(계정대체기준!$F$20:$F$49,MATCH($N4498,계정대체기준!$A$20:$A$49,0)),1)))</f>
        <v/>
      </c>
      <c r="Z4498" s="94">
        <f>IF($A4498="",0,IF(AE4498="직접",IF(AF4498="신계약비",$P4498,0),$P4498*(1-AG4498)*IFERROR(INDEX(계정대체기준!$C$20:$C$49,MATCH($N4498,계정대체기준!$A$20:$A$49,0)),0)))</f>
        <v/>
      </c>
      <c r="AA4498" s="94">
        <f>IF($A4498="",0,IF(AE4498="직접",IF(OR(AF4498="유지비",AF4498="손해조사비"),$P4498,0),$P4498*(1-AG4498)*IFERROR(INDEX(계정대체기준!$D$20:$D$49,MATCH($N4498,계정대체기준!$A$20:$A$49,0)),0)))</f>
        <v/>
      </c>
      <c r="AB4498" s="94">
        <f>IF($A4498="",0,IF(AE4498="직접",IF(AF4498="수금비",$P4498,0),$P4498*(1-AG4498)*IFERROR(INDEX(계정대체기준!$E$20:$E$49,MATCH($N4498,계정대체기준!$A$20:$A$49,0)),0)))</f>
        <v/>
      </c>
      <c r="AC4498" s="9">
        <f>IF(AND($A4498&lt;&gt;"",M4498=설정!$C$20,Z4498&gt;0),Z4498+ROW()/1000000000,"")</f>
        <v/>
      </c>
      <c r="AD4498" s="94">
        <f>IF($A4498="",0,$P4498*AG4498)</f>
        <v/>
      </c>
      <c r="AE4498" s="64">
        <f>IF($A4498="","",IFERROR(INDEX(계정매핑!$E$5:$E$504,MATCH($F4498&amp;"",계정매핑!$A$5:$A$504,0))&amp;"","공통비"))</f>
        <v/>
      </c>
      <c r="AF4498" s="64">
        <f>IF($A4498="","",IF(AE4498="직접",IFERROR(INDEX(계정매핑!$F$5:$F$504,MATCH($F4498&amp;"",계정매핑!$A$5:$A$504,0))&amp;"","비귀속"),""))</f>
        <v/>
      </c>
      <c r="AG4498" s="96">
        <f>IF($A4498="",0,IF(AND(AE4498&lt;&gt;"직접",IFERROR(INDEX(계정매핑!$G$5:$G$504,MATCH($F4498&amp;"",계정매핑!$A$5:$A$504,0))&amp;"","")="유지비",COUNTIF(계정대체기준!$A$6:$A$15,$N4498)&gt;0),IFERROR(INDEX(계정대체기준!$E$6:$E$15,MATCH(VALUE($A4498&amp;""),계정대체기준!$D$6:$D$15,0)),0),0))</f>
        <v/>
      </c>
      <c r="AH4498" s="64">
        <f>IF($A4498="","",IF(AD4498=0,"",IF(OR(COUNTIF(계정대체기준!$A$77:$A$86,$N4498)&gt;0,ISNUMBER(MATCH($X4498,계정대체기준!$D$77:$D$86,0)),ISNUMBER(MATCH($F4498,계정대체기준!$D$77:$D$86,0))),"Y","N")))</f>
        <v/>
      </c>
    </row>
    <row r="4499">
      <c r="A4499" s="92" t="n">
        <v>2026</v>
      </c>
      <c r="B4499" s="92" t="n">
        <v>8</v>
      </c>
      <c r="C4499" s="92" t="inlineStr">
        <is>
          <t>5100001777</t>
        </is>
      </c>
      <c r="D4499" s="95" t="n">
        <v>46256</v>
      </c>
      <c r="E4499" s="92" t="inlineStr">
        <is>
          <t>KR</t>
        </is>
      </c>
      <c r="F4499" s="92" t="n">
        <v>62101000</v>
      </c>
      <c r="G4499" s="92" t="n">
        <v>1501</v>
      </c>
      <c r="H4499" s="93" t="n">
        <v>540000</v>
      </c>
      <c r="I4499" s="92" t="inlineStr">
        <is>
          <t>8월 국내출장 - L여행사</t>
        </is>
      </c>
      <c r="J4499" s="92" t="inlineStr">
        <is>
          <t>V10018</t>
        </is>
      </c>
      <c r="K4499" s="92" t="inlineStr">
        <is>
          <t>L여행사</t>
        </is>
      </c>
      <c r="M4499" s="9">
        <f>IF($A4499="","",VALUE($A4499&amp;"")*12+VALUE($B4499&amp;""))</f>
        <v/>
      </c>
      <c r="N4499" s="64">
        <f>IF($A4499="","",IFERROR(INDEX(부서매핑!$C$5:$C$504,MATCH($G4499&amp;"",부서매핑!$A$5:$A$504,0)),"미매핑"))</f>
        <v/>
      </c>
      <c r="O4499" s="9">
        <f>IF($A4499="","",N4499&amp;"|"&amp;$F4499)</f>
        <v/>
      </c>
      <c r="P4499" s="94">
        <f>IF($A4499="",0,$H4499*설정!$C$23)</f>
        <v/>
      </c>
      <c r="Q4499" s="64">
        <f>IF($A4499="","",IF(O4499&lt;&gt;원인분석!$C$9,"",IF(AND(M4499&gt;=원인분석!$C$10,M4499&lt;=원인분석!$C$11),"당기",IF(AND(M4499&gt;=원인분석!$C$12,M4499&lt;=원인분석!$C$13),"비교",""))))</f>
        <v/>
      </c>
      <c r="R4499" s="9">
        <f>IF(Q4499="","",$K4499&amp;"")</f>
        <v/>
      </c>
      <c r="S4499" s="9">
        <f>IF(Q4499="","",IF(MATCH(R4499,$R$5:$R$100000,0)=ROW()-4,ROW(),""))</f>
        <v/>
      </c>
      <c r="T4499" s="9">
        <f>IF(Q4499="당기",ABS(P4499)+ROW()/1000000000,"")</f>
        <v/>
      </c>
      <c r="U4499" s="9">
        <f>IF(Q4499="비교",ABS(P4499)+ROW()/1000000000,"")</f>
        <v/>
      </c>
      <c r="V4499" s="64">
        <f>IF($A4499="","",IF(COUNTIF(변동분석!$E$7:$E$506,O4499)&gt;0,"Y","N"))</f>
        <v/>
      </c>
      <c r="W4499" s="64">
        <f>IF($A4499="","",IFERROR(INDEX(계정매핑!$D$5:$D$504,MATCH($F4499&amp;"",계정매핑!$A$5:$A$504,0)),"미매핑"))</f>
        <v/>
      </c>
      <c r="X4499" s="9">
        <f>IF($A4499="","",$F4499&amp;"")</f>
        <v/>
      </c>
      <c r="Y4499" s="94">
        <f>IF($A4499="",0,IF(AE4499="직접",IF(AF4499="비귀속",$P4499,0),$P4499*(1-AG4499)*IFERROR(INDEX(계정대체기준!$F$20:$F$49,MATCH($N4499,계정대체기준!$A$20:$A$49,0)),1)))</f>
        <v/>
      </c>
      <c r="Z4499" s="94">
        <f>IF($A4499="",0,IF(AE4499="직접",IF(AF4499="신계약비",$P4499,0),$P4499*(1-AG4499)*IFERROR(INDEX(계정대체기준!$C$20:$C$49,MATCH($N4499,계정대체기준!$A$20:$A$49,0)),0)))</f>
        <v/>
      </c>
      <c r="AA4499" s="94">
        <f>IF($A4499="",0,IF(AE4499="직접",IF(OR(AF4499="유지비",AF4499="손해조사비"),$P4499,0),$P4499*(1-AG4499)*IFERROR(INDEX(계정대체기준!$D$20:$D$49,MATCH($N4499,계정대체기준!$A$20:$A$49,0)),0)))</f>
        <v/>
      </c>
      <c r="AB4499" s="94">
        <f>IF($A4499="",0,IF(AE4499="직접",IF(AF4499="수금비",$P4499,0),$P4499*(1-AG4499)*IFERROR(INDEX(계정대체기준!$E$20:$E$49,MATCH($N4499,계정대체기준!$A$20:$A$49,0)),0)))</f>
        <v/>
      </c>
      <c r="AC4499" s="9">
        <f>IF(AND($A4499&lt;&gt;"",M4499=설정!$C$20,Z4499&gt;0),Z4499+ROW()/1000000000,"")</f>
        <v/>
      </c>
      <c r="AD4499" s="94">
        <f>IF($A4499="",0,$P4499*AG4499)</f>
        <v/>
      </c>
      <c r="AE4499" s="64">
        <f>IF($A4499="","",IFERROR(INDEX(계정매핑!$E$5:$E$504,MATCH($F4499&amp;"",계정매핑!$A$5:$A$504,0))&amp;"","공통비"))</f>
        <v/>
      </c>
      <c r="AF4499" s="64">
        <f>IF($A4499="","",IF(AE4499="직접",IFERROR(INDEX(계정매핑!$F$5:$F$504,MATCH($F4499&amp;"",계정매핑!$A$5:$A$504,0))&amp;"","비귀속"),""))</f>
        <v/>
      </c>
      <c r="AG4499" s="96">
        <f>IF($A4499="",0,IF(AND(AE4499&lt;&gt;"직접",IFERROR(INDEX(계정매핑!$G$5:$G$504,MATCH($F4499&amp;"",계정매핑!$A$5:$A$504,0))&amp;"","")="유지비",COUNTIF(계정대체기준!$A$6:$A$15,$N4499)&gt;0),IFERROR(INDEX(계정대체기준!$E$6:$E$15,MATCH(VALUE($A4499&amp;""),계정대체기준!$D$6:$D$15,0)),0),0))</f>
        <v/>
      </c>
      <c r="AH4499" s="64">
        <f>IF($A4499="","",IF(AD4499=0,"",IF(OR(COUNTIF(계정대체기준!$A$77:$A$86,$N4499)&gt;0,ISNUMBER(MATCH($X4499,계정대체기준!$D$77:$D$86,0)),ISNUMBER(MATCH($F4499,계정대체기준!$D$77:$D$86,0))),"Y","N")))</f>
        <v/>
      </c>
    </row>
    <row r="4500">
      <c r="A4500" s="92" t="n">
        <v>2026</v>
      </c>
      <c r="B4500" s="92" t="n">
        <v>8</v>
      </c>
      <c r="C4500" s="92" t="inlineStr">
        <is>
          <t>5100001778</t>
        </is>
      </c>
      <c r="D4500" s="95" t="n">
        <v>46256</v>
      </c>
      <c r="E4500" s="92" t="inlineStr">
        <is>
          <t>KR</t>
        </is>
      </c>
      <c r="F4500" s="92" t="n">
        <v>62102000</v>
      </c>
      <c r="G4500" s="92" t="n">
        <v>1201</v>
      </c>
      <c r="H4500" s="93" t="n">
        <v>55000</v>
      </c>
      <c r="I4500" s="92" t="inlineStr">
        <is>
          <t>8월 해외출장 - N호텔</t>
        </is>
      </c>
      <c r="J4500" s="92" t="inlineStr">
        <is>
          <t>V10009</t>
        </is>
      </c>
      <c r="K4500" s="92" t="inlineStr">
        <is>
          <t>N호텔</t>
        </is>
      </c>
      <c r="M4500" s="9">
        <f>IF($A4500="","",VALUE($A4500&amp;"")*12+VALUE($B4500&amp;""))</f>
        <v/>
      </c>
      <c r="N4500" s="64">
        <f>IF($A4500="","",IFERROR(INDEX(부서매핑!$C$5:$C$504,MATCH($G4500&amp;"",부서매핑!$A$5:$A$504,0)),"미매핑"))</f>
        <v/>
      </c>
      <c r="O4500" s="9">
        <f>IF($A4500="","",N4500&amp;"|"&amp;$F4500)</f>
        <v/>
      </c>
      <c r="P4500" s="94">
        <f>IF($A4500="",0,$H4500*설정!$C$23)</f>
        <v/>
      </c>
      <c r="Q4500" s="64">
        <f>IF($A4500="","",IF(O4500&lt;&gt;원인분석!$C$9,"",IF(AND(M4500&gt;=원인분석!$C$10,M4500&lt;=원인분석!$C$11),"당기",IF(AND(M4500&gt;=원인분석!$C$12,M4500&lt;=원인분석!$C$13),"비교",""))))</f>
        <v/>
      </c>
      <c r="R4500" s="9">
        <f>IF(Q4500="","",$K4500&amp;"")</f>
        <v/>
      </c>
      <c r="S4500" s="9">
        <f>IF(Q4500="","",IF(MATCH(R4500,$R$5:$R$100000,0)=ROW()-4,ROW(),""))</f>
        <v/>
      </c>
      <c r="T4500" s="9">
        <f>IF(Q4500="당기",ABS(P4500)+ROW()/1000000000,"")</f>
        <v/>
      </c>
      <c r="U4500" s="9">
        <f>IF(Q4500="비교",ABS(P4500)+ROW()/1000000000,"")</f>
        <v/>
      </c>
      <c r="V4500" s="64">
        <f>IF($A4500="","",IF(COUNTIF(변동분석!$E$7:$E$506,O4500)&gt;0,"Y","N"))</f>
        <v/>
      </c>
      <c r="W4500" s="64">
        <f>IF($A4500="","",IFERROR(INDEX(계정매핑!$D$5:$D$504,MATCH($F4500&amp;"",계정매핑!$A$5:$A$504,0)),"미매핑"))</f>
        <v/>
      </c>
      <c r="X4500" s="9">
        <f>IF($A4500="","",$F4500&amp;"")</f>
        <v/>
      </c>
      <c r="Y4500" s="94">
        <f>IF($A4500="",0,IF(AE4500="직접",IF(AF4500="비귀속",$P4500,0),$P4500*(1-AG4500)*IFERROR(INDEX(계정대체기준!$F$20:$F$49,MATCH($N4500,계정대체기준!$A$20:$A$49,0)),1)))</f>
        <v/>
      </c>
      <c r="Z4500" s="94">
        <f>IF($A4500="",0,IF(AE4500="직접",IF(AF4500="신계약비",$P4500,0),$P4500*(1-AG4500)*IFERROR(INDEX(계정대체기준!$C$20:$C$49,MATCH($N4500,계정대체기준!$A$20:$A$49,0)),0)))</f>
        <v/>
      </c>
      <c r="AA4500" s="94">
        <f>IF($A4500="",0,IF(AE4500="직접",IF(OR(AF4500="유지비",AF4500="손해조사비"),$P4500,0),$P4500*(1-AG4500)*IFERROR(INDEX(계정대체기준!$D$20:$D$49,MATCH($N4500,계정대체기준!$A$20:$A$49,0)),0)))</f>
        <v/>
      </c>
      <c r="AB4500" s="94">
        <f>IF($A4500="",0,IF(AE4500="직접",IF(AF4500="수금비",$P4500,0),$P4500*(1-AG4500)*IFERROR(INDEX(계정대체기준!$E$20:$E$49,MATCH($N4500,계정대체기준!$A$20:$A$49,0)),0)))</f>
        <v/>
      </c>
      <c r="AC4500" s="9">
        <f>IF(AND($A4500&lt;&gt;"",M4500=설정!$C$20,Z4500&gt;0),Z4500+ROW()/1000000000,"")</f>
        <v/>
      </c>
      <c r="AD4500" s="94">
        <f>IF($A4500="",0,$P4500*AG4500)</f>
        <v/>
      </c>
      <c r="AE4500" s="64">
        <f>IF($A4500="","",IFERROR(INDEX(계정매핑!$E$5:$E$504,MATCH($F4500&amp;"",계정매핑!$A$5:$A$504,0))&amp;"","공통비"))</f>
        <v/>
      </c>
      <c r="AF4500" s="64">
        <f>IF($A4500="","",IF(AE4500="직접",IFERROR(INDEX(계정매핑!$F$5:$F$504,MATCH($F4500&amp;"",계정매핑!$A$5:$A$504,0))&amp;"","비귀속"),""))</f>
        <v/>
      </c>
      <c r="AG4500" s="96">
        <f>IF($A4500="",0,IF(AND(AE4500&lt;&gt;"직접",IFERROR(INDEX(계정매핑!$G$5:$G$504,MATCH($F4500&amp;"",계정매핑!$A$5:$A$504,0))&amp;"","")="유지비",COUNTIF(계정대체기준!$A$6:$A$15,$N4500)&gt;0),IFERROR(INDEX(계정대체기준!$E$6:$E$15,MATCH(VALUE($A4500&amp;""),계정대체기준!$D$6:$D$15,0)),0),0))</f>
        <v/>
      </c>
      <c r="AH4500" s="64">
        <f>IF($A4500="","",IF(AD4500=0,"",IF(OR(COUNTIF(계정대체기준!$A$77:$A$86,$N4500)&gt;0,ISNUMBER(MATCH($X4500,계정대체기준!$D$77:$D$86,0)),ISNUMBER(MATCH($F4500,계정대체기준!$D$77:$D$86,0))),"Y","N")))</f>
        <v/>
      </c>
    </row>
    <row r="4501">
      <c r="A4501" s="92" t="n">
        <v>2026</v>
      </c>
      <c r="B4501" s="92" t="n">
        <v>8</v>
      </c>
      <c r="C4501" s="92" t="inlineStr">
        <is>
          <t>5100001779</t>
        </is>
      </c>
      <c r="D4501" s="95" t="n">
        <v>46256</v>
      </c>
      <c r="E4501" s="92" t="inlineStr">
        <is>
          <t>KR</t>
        </is>
      </c>
      <c r="F4501" s="92" t="n">
        <v>62201000</v>
      </c>
      <c r="G4501" s="92" t="n">
        <v>1401</v>
      </c>
      <c r="H4501" s="93" t="n">
        <v>140000</v>
      </c>
      <c r="I4501" s="92" t="inlineStr">
        <is>
          <t>8월 통신요금 - P통신</t>
        </is>
      </c>
      <c r="J4501" s="92" t="inlineStr">
        <is>
          <t>V10014</t>
        </is>
      </c>
      <c r="K4501" s="92" t="inlineStr">
        <is>
          <t>P통신</t>
        </is>
      </c>
      <c r="M4501" s="9">
        <f>IF($A4501="","",VALUE($A4501&amp;"")*12+VALUE($B4501&amp;""))</f>
        <v/>
      </c>
      <c r="N4501" s="64">
        <f>IF($A4501="","",IFERROR(INDEX(부서매핑!$C$5:$C$504,MATCH($G4501&amp;"",부서매핑!$A$5:$A$504,0)),"미매핑"))</f>
        <v/>
      </c>
      <c r="O4501" s="9">
        <f>IF($A4501="","",N4501&amp;"|"&amp;$F4501)</f>
        <v/>
      </c>
      <c r="P4501" s="94">
        <f>IF($A4501="",0,$H4501*설정!$C$23)</f>
        <v/>
      </c>
      <c r="Q4501" s="64">
        <f>IF($A4501="","",IF(O4501&lt;&gt;원인분석!$C$9,"",IF(AND(M4501&gt;=원인분석!$C$10,M4501&lt;=원인분석!$C$11),"당기",IF(AND(M4501&gt;=원인분석!$C$12,M4501&lt;=원인분석!$C$13),"비교",""))))</f>
        <v/>
      </c>
      <c r="R4501" s="9">
        <f>IF(Q4501="","",$K4501&amp;"")</f>
        <v/>
      </c>
      <c r="S4501" s="9">
        <f>IF(Q4501="","",IF(MATCH(R4501,$R$5:$R$100000,0)=ROW()-4,ROW(),""))</f>
        <v/>
      </c>
      <c r="T4501" s="9">
        <f>IF(Q4501="당기",ABS(P4501)+ROW()/1000000000,"")</f>
        <v/>
      </c>
      <c r="U4501" s="9">
        <f>IF(Q4501="비교",ABS(P4501)+ROW()/1000000000,"")</f>
        <v/>
      </c>
      <c r="V4501" s="64">
        <f>IF($A4501="","",IF(COUNTIF(변동분석!$E$7:$E$506,O4501)&gt;0,"Y","N"))</f>
        <v/>
      </c>
      <c r="W4501" s="64">
        <f>IF($A4501="","",IFERROR(INDEX(계정매핑!$D$5:$D$504,MATCH($F4501&amp;"",계정매핑!$A$5:$A$504,0)),"미매핑"))</f>
        <v/>
      </c>
      <c r="X4501" s="9">
        <f>IF($A4501="","",$F4501&amp;"")</f>
        <v/>
      </c>
      <c r="Y4501" s="94">
        <f>IF($A4501="",0,IF(AE4501="직접",IF(AF4501="비귀속",$P4501,0),$P4501*(1-AG4501)*IFERROR(INDEX(계정대체기준!$F$20:$F$49,MATCH($N4501,계정대체기준!$A$20:$A$49,0)),1)))</f>
        <v/>
      </c>
      <c r="Z4501" s="94">
        <f>IF($A4501="",0,IF(AE4501="직접",IF(AF4501="신계약비",$P4501,0),$P4501*(1-AG4501)*IFERROR(INDEX(계정대체기준!$C$20:$C$49,MATCH($N4501,계정대체기준!$A$20:$A$49,0)),0)))</f>
        <v/>
      </c>
      <c r="AA4501" s="94">
        <f>IF($A4501="",0,IF(AE4501="직접",IF(OR(AF4501="유지비",AF4501="손해조사비"),$P4501,0),$P4501*(1-AG4501)*IFERROR(INDEX(계정대체기준!$D$20:$D$49,MATCH($N4501,계정대체기준!$A$20:$A$49,0)),0)))</f>
        <v/>
      </c>
      <c r="AB4501" s="94">
        <f>IF($A4501="",0,IF(AE4501="직접",IF(AF4501="수금비",$P4501,0),$P4501*(1-AG4501)*IFERROR(INDEX(계정대체기준!$E$20:$E$49,MATCH($N4501,계정대체기준!$A$20:$A$49,0)),0)))</f>
        <v/>
      </c>
      <c r="AC4501" s="9">
        <f>IF(AND($A4501&lt;&gt;"",M4501=설정!$C$20,Z4501&gt;0),Z4501+ROW()/1000000000,"")</f>
        <v/>
      </c>
      <c r="AD4501" s="94">
        <f>IF($A4501="",0,$P4501*AG4501)</f>
        <v/>
      </c>
      <c r="AE4501" s="64">
        <f>IF($A4501="","",IFERROR(INDEX(계정매핑!$E$5:$E$504,MATCH($F4501&amp;"",계정매핑!$A$5:$A$504,0))&amp;"","공통비"))</f>
        <v/>
      </c>
      <c r="AF4501" s="64">
        <f>IF($A4501="","",IF(AE4501="직접",IFERROR(INDEX(계정매핑!$F$5:$F$504,MATCH($F4501&amp;"",계정매핑!$A$5:$A$504,0))&amp;"","비귀속"),""))</f>
        <v/>
      </c>
      <c r="AG4501" s="96">
        <f>IF($A4501="",0,IF(AND(AE4501&lt;&gt;"직접",IFERROR(INDEX(계정매핑!$G$5:$G$504,MATCH($F4501&amp;"",계정매핑!$A$5:$A$504,0))&amp;"","")="유지비",COUNTIF(계정대체기준!$A$6:$A$15,$N4501)&gt;0),IFERROR(INDEX(계정대체기준!$E$6:$E$15,MATCH(VALUE($A4501&amp;""),계정대체기준!$D$6:$D$15,0)),0),0))</f>
        <v/>
      </c>
      <c r="AH4501" s="64">
        <f>IF($A4501="","",IF(AD4501=0,"",IF(OR(COUNTIF(계정대체기준!$A$77:$A$86,$N4501)&gt;0,ISNUMBER(MATCH($X4501,계정대체기준!$D$77:$D$86,0)),ISNUMBER(MATCH($F4501,계정대체기준!$D$77:$D$86,0))),"Y","N")))</f>
        <v/>
      </c>
    </row>
    <row r="4502">
      <c r="A4502" s="92" t="n">
        <v>2026</v>
      </c>
      <c r="B4502" s="92" t="n">
        <v>8</v>
      </c>
      <c r="C4502" s="92" t="inlineStr">
        <is>
          <t>5100001780</t>
        </is>
      </c>
      <c r="D4502" s="95" t="n">
        <v>46256</v>
      </c>
      <c r="E4502" s="92" t="inlineStr">
        <is>
          <t>KR</t>
        </is>
      </c>
      <c r="F4502" s="92" t="n">
        <v>62301000</v>
      </c>
      <c r="G4502" s="92" t="n">
        <v>1201</v>
      </c>
      <c r="H4502" s="93" t="n">
        <v>178000</v>
      </c>
      <c r="I4502" s="92" t="inlineStr">
        <is>
          <t>8월 소모품 구입 - Q오피스</t>
        </is>
      </c>
      <c r="J4502" s="92" t="inlineStr">
        <is>
          <t>V10003</t>
        </is>
      </c>
      <c r="K4502" s="92" t="inlineStr">
        <is>
          <t>Q오피스</t>
        </is>
      </c>
      <c r="M4502" s="9">
        <f>IF($A4502="","",VALUE($A4502&amp;"")*12+VALUE($B4502&amp;""))</f>
        <v/>
      </c>
      <c r="N4502" s="64">
        <f>IF($A4502="","",IFERROR(INDEX(부서매핑!$C$5:$C$504,MATCH($G4502&amp;"",부서매핑!$A$5:$A$504,0)),"미매핑"))</f>
        <v/>
      </c>
      <c r="O4502" s="9">
        <f>IF($A4502="","",N4502&amp;"|"&amp;$F4502)</f>
        <v/>
      </c>
      <c r="P4502" s="94">
        <f>IF($A4502="",0,$H4502*설정!$C$23)</f>
        <v/>
      </c>
      <c r="Q4502" s="64">
        <f>IF($A4502="","",IF(O4502&lt;&gt;원인분석!$C$9,"",IF(AND(M4502&gt;=원인분석!$C$10,M4502&lt;=원인분석!$C$11),"당기",IF(AND(M4502&gt;=원인분석!$C$12,M4502&lt;=원인분석!$C$13),"비교",""))))</f>
        <v/>
      </c>
      <c r="R4502" s="9">
        <f>IF(Q4502="","",$K4502&amp;"")</f>
        <v/>
      </c>
      <c r="S4502" s="9">
        <f>IF(Q4502="","",IF(MATCH(R4502,$R$5:$R$100000,0)=ROW()-4,ROW(),""))</f>
        <v/>
      </c>
      <c r="T4502" s="9">
        <f>IF(Q4502="당기",ABS(P4502)+ROW()/1000000000,"")</f>
        <v/>
      </c>
      <c r="U4502" s="9">
        <f>IF(Q4502="비교",ABS(P4502)+ROW()/1000000000,"")</f>
        <v/>
      </c>
      <c r="V4502" s="64">
        <f>IF($A4502="","",IF(COUNTIF(변동분석!$E$7:$E$506,O4502)&gt;0,"Y","N"))</f>
        <v/>
      </c>
      <c r="W4502" s="64">
        <f>IF($A4502="","",IFERROR(INDEX(계정매핑!$D$5:$D$504,MATCH($F4502&amp;"",계정매핑!$A$5:$A$504,0)),"미매핑"))</f>
        <v/>
      </c>
      <c r="X4502" s="9">
        <f>IF($A4502="","",$F4502&amp;"")</f>
        <v/>
      </c>
      <c r="Y4502" s="94">
        <f>IF($A4502="",0,IF(AE4502="직접",IF(AF4502="비귀속",$P4502,0),$P4502*(1-AG4502)*IFERROR(INDEX(계정대체기준!$F$20:$F$49,MATCH($N4502,계정대체기준!$A$20:$A$49,0)),1)))</f>
        <v/>
      </c>
      <c r="Z4502" s="94">
        <f>IF($A4502="",0,IF(AE4502="직접",IF(AF4502="신계약비",$P4502,0),$P4502*(1-AG4502)*IFERROR(INDEX(계정대체기준!$C$20:$C$49,MATCH($N4502,계정대체기준!$A$20:$A$49,0)),0)))</f>
        <v/>
      </c>
      <c r="AA4502" s="94">
        <f>IF($A4502="",0,IF(AE4502="직접",IF(OR(AF4502="유지비",AF4502="손해조사비"),$P4502,0),$P4502*(1-AG4502)*IFERROR(INDEX(계정대체기준!$D$20:$D$49,MATCH($N4502,계정대체기준!$A$20:$A$49,0)),0)))</f>
        <v/>
      </c>
      <c r="AB4502" s="94">
        <f>IF($A4502="",0,IF(AE4502="직접",IF(AF4502="수금비",$P4502,0),$P4502*(1-AG4502)*IFERROR(INDEX(계정대체기준!$E$20:$E$49,MATCH($N4502,계정대체기준!$A$20:$A$49,0)),0)))</f>
        <v/>
      </c>
      <c r="AC4502" s="9">
        <f>IF(AND($A4502&lt;&gt;"",M4502=설정!$C$20,Z4502&gt;0),Z4502+ROW()/1000000000,"")</f>
        <v/>
      </c>
      <c r="AD4502" s="94">
        <f>IF($A4502="",0,$P4502*AG4502)</f>
        <v/>
      </c>
      <c r="AE4502" s="64">
        <f>IF($A4502="","",IFERROR(INDEX(계정매핑!$E$5:$E$504,MATCH($F4502&amp;"",계정매핑!$A$5:$A$504,0))&amp;"","공통비"))</f>
        <v/>
      </c>
      <c r="AF4502" s="64">
        <f>IF($A4502="","",IF(AE4502="직접",IFERROR(INDEX(계정매핑!$F$5:$F$504,MATCH($F4502&amp;"",계정매핑!$A$5:$A$504,0))&amp;"","비귀속"),""))</f>
        <v/>
      </c>
      <c r="AG4502" s="96">
        <f>IF($A4502="",0,IF(AND(AE4502&lt;&gt;"직접",IFERROR(INDEX(계정매핑!$G$5:$G$504,MATCH($F4502&amp;"",계정매핑!$A$5:$A$504,0))&amp;"","")="유지비",COUNTIF(계정대체기준!$A$6:$A$15,$N4502)&gt;0),IFERROR(INDEX(계정대체기준!$E$6:$E$15,MATCH(VALUE($A4502&amp;""),계정대체기준!$D$6:$D$15,0)),0),0))</f>
        <v/>
      </c>
      <c r="AH4502" s="64">
        <f>IF($A4502="","",IF(AD4502=0,"",IF(OR(COUNTIF(계정대체기준!$A$77:$A$86,$N4502)&gt;0,ISNUMBER(MATCH($X4502,계정대체기준!$D$77:$D$86,0)),ISNUMBER(MATCH($F4502,계정대체기준!$D$77:$D$86,0))),"Y","N")))</f>
        <v/>
      </c>
    </row>
    <row r="4503">
      <c r="A4503" s="92" t="n">
        <v>2026</v>
      </c>
      <c r="B4503" s="92" t="n">
        <v>8</v>
      </c>
      <c r="C4503" s="92" t="inlineStr">
        <is>
          <t>5100001781</t>
        </is>
      </c>
      <c r="D4503" s="95" t="n">
        <v>46256</v>
      </c>
      <c r="E4503" s="92" t="inlineStr">
        <is>
          <t>KR</t>
        </is>
      </c>
      <c r="F4503" s="92" t="n">
        <v>62301000</v>
      </c>
      <c r="G4503" s="92" t="n">
        <v>1401</v>
      </c>
      <c r="H4503" s="93" t="n">
        <v>126000</v>
      </c>
      <c r="I4503" s="92" t="inlineStr">
        <is>
          <t>8월 소모품 구입 - R문구</t>
        </is>
      </c>
      <c r="J4503" s="92" t="inlineStr">
        <is>
          <t>V10022</t>
        </is>
      </c>
      <c r="K4503" s="92" t="inlineStr">
        <is>
          <t>R문구</t>
        </is>
      </c>
      <c r="M4503" s="9">
        <f>IF($A4503="","",VALUE($A4503&amp;"")*12+VALUE($B4503&amp;""))</f>
        <v/>
      </c>
      <c r="N4503" s="64">
        <f>IF($A4503="","",IFERROR(INDEX(부서매핑!$C$5:$C$504,MATCH($G4503&amp;"",부서매핑!$A$5:$A$504,0)),"미매핑"))</f>
        <v/>
      </c>
      <c r="O4503" s="9">
        <f>IF($A4503="","",N4503&amp;"|"&amp;$F4503)</f>
        <v/>
      </c>
      <c r="P4503" s="94">
        <f>IF($A4503="",0,$H4503*설정!$C$23)</f>
        <v/>
      </c>
      <c r="Q4503" s="64">
        <f>IF($A4503="","",IF(O4503&lt;&gt;원인분석!$C$9,"",IF(AND(M4503&gt;=원인분석!$C$10,M4503&lt;=원인분석!$C$11),"당기",IF(AND(M4503&gt;=원인분석!$C$12,M4503&lt;=원인분석!$C$13),"비교",""))))</f>
        <v/>
      </c>
      <c r="R4503" s="9">
        <f>IF(Q4503="","",$K4503&amp;"")</f>
        <v/>
      </c>
      <c r="S4503" s="9">
        <f>IF(Q4503="","",IF(MATCH(R4503,$R$5:$R$100000,0)=ROW()-4,ROW(),""))</f>
        <v/>
      </c>
      <c r="T4503" s="9">
        <f>IF(Q4503="당기",ABS(P4503)+ROW()/1000000000,"")</f>
        <v/>
      </c>
      <c r="U4503" s="9">
        <f>IF(Q4503="비교",ABS(P4503)+ROW()/1000000000,"")</f>
        <v/>
      </c>
      <c r="V4503" s="64">
        <f>IF($A4503="","",IF(COUNTIF(변동분석!$E$7:$E$506,O4503)&gt;0,"Y","N"))</f>
        <v/>
      </c>
      <c r="W4503" s="64">
        <f>IF($A4503="","",IFERROR(INDEX(계정매핑!$D$5:$D$504,MATCH($F4503&amp;"",계정매핑!$A$5:$A$504,0)),"미매핑"))</f>
        <v/>
      </c>
      <c r="X4503" s="9">
        <f>IF($A4503="","",$F4503&amp;"")</f>
        <v/>
      </c>
      <c r="Y4503" s="94">
        <f>IF($A4503="",0,IF(AE4503="직접",IF(AF4503="비귀속",$P4503,0),$P4503*(1-AG4503)*IFERROR(INDEX(계정대체기준!$F$20:$F$49,MATCH($N4503,계정대체기준!$A$20:$A$49,0)),1)))</f>
        <v/>
      </c>
      <c r="Z4503" s="94">
        <f>IF($A4503="",0,IF(AE4503="직접",IF(AF4503="신계약비",$P4503,0),$P4503*(1-AG4503)*IFERROR(INDEX(계정대체기준!$C$20:$C$49,MATCH($N4503,계정대체기준!$A$20:$A$49,0)),0)))</f>
        <v/>
      </c>
      <c r="AA4503" s="94">
        <f>IF($A4503="",0,IF(AE4503="직접",IF(OR(AF4503="유지비",AF4503="손해조사비"),$P4503,0),$P4503*(1-AG4503)*IFERROR(INDEX(계정대체기준!$D$20:$D$49,MATCH($N4503,계정대체기준!$A$20:$A$49,0)),0)))</f>
        <v/>
      </c>
      <c r="AB4503" s="94">
        <f>IF($A4503="",0,IF(AE4503="직접",IF(AF4503="수금비",$P4503,0),$P4503*(1-AG4503)*IFERROR(INDEX(계정대체기준!$E$20:$E$49,MATCH($N4503,계정대체기준!$A$20:$A$49,0)),0)))</f>
        <v/>
      </c>
      <c r="AC4503" s="9">
        <f>IF(AND($A4503&lt;&gt;"",M4503=설정!$C$20,Z4503&gt;0),Z4503+ROW()/1000000000,"")</f>
        <v/>
      </c>
      <c r="AD4503" s="94">
        <f>IF($A4503="",0,$P4503*AG4503)</f>
        <v/>
      </c>
      <c r="AE4503" s="64">
        <f>IF($A4503="","",IFERROR(INDEX(계정매핑!$E$5:$E$504,MATCH($F4503&amp;"",계정매핑!$A$5:$A$504,0))&amp;"","공통비"))</f>
        <v/>
      </c>
      <c r="AF4503" s="64">
        <f>IF($A4503="","",IF(AE4503="직접",IFERROR(INDEX(계정매핑!$F$5:$F$504,MATCH($F4503&amp;"",계정매핑!$A$5:$A$504,0))&amp;"","비귀속"),""))</f>
        <v/>
      </c>
      <c r="AG4503" s="96">
        <f>IF($A4503="",0,IF(AND(AE4503&lt;&gt;"직접",IFERROR(INDEX(계정매핑!$G$5:$G$504,MATCH($F4503&amp;"",계정매핑!$A$5:$A$504,0))&amp;"","")="유지비",COUNTIF(계정대체기준!$A$6:$A$15,$N4503)&gt;0),IFERROR(INDEX(계정대체기준!$E$6:$E$15,MATCH(VALUE($A4503&amp;""),계정대체기준!$D$6:$D$15,0)),0),0))</f>
        <v/>
      </c>
      <c r="AH4503" s="64">
        <f>IF($A4503="","",IF(AD4503=0,"",IF(OR(COUNTIF(계정대체기준!$A$77:$A$86,$N4503)&gt;0,ISNUMBER(MATCH($X4503,계정대체기준!$D$77:$D$86,0)),ISNUMBER(MATCH($F4503,계정대체기준!$D$77:$D$86,0))),"Y","N")))</f>
        <v/>
      </c>
    </row>
    <row r="4504">
      <c r="A4504" s="92" t="n">
        <v>2026</v>
      </c>
      <c r="B4504" s="92" t="n">
        <v>8</v>
      </c>
      <c r="C4504" s="92" t="inlineStr">
        <is>
          <t>5100001782</t>
        </is>
      </c>
      <c r="D4504" s="95" t="n">
        <v>46256</v>
      </c>
      <c r="E4504" s="92" t="inlineStr">
        <is>
          <t>KR</t>
        </is>
      </c>
      <c r="F4504" s="92" t="n">
        <v>62301000</v>
      </c>
      <c r="G4504" s="92" t="n">
        <v>1801</v>
      </c>
      <c r="H4504" s="93" t="n">
        <v>287000</v>
      </c>
      <c r="I4504" s="92" t="inlineStr">
        <is>
          <t>8월 소모품 구입 - R문구</t>
        </is>
      </c>
      <c r="J4504" s="92" t="inlineStr">
        <is>
          <t>V10022</t>
        </is>
      </c>
      <c r="K4504" s="92" t="inlineStr">
        <is>
          <t>R문구</t>
        </is>
      </c>
      <c r="M4504" s="9">
        <f>IF($A4504="","",VALUE($A4504&amp;"")*12+VALUE($B4504&amp;""))</f>
        <v/>
      </c>
      <c r="N4504" s="64">
        <f>IF($A4504="","",IFERROR(INDEX(부서매핑!$C$5:$C$504,MATCH($G4504&amp;"",부서매핑!$A$5:$A$504,0)),"미매핑"))</f>
        <v/>
      </c>
      <c r="O4504" s="9">
        <f>IF($A4504="","",N4504&amp;"|"&amp;$F4504)</f>
        <v/>
      </c>
      <c r="P4504" s="94">
        <f>IF($A4504="",0,$H4504*설정!$C$23)</f>
        <v/>
      </c>
      <c r="Q4504" s="64">
        <f>IF($A4504="","",IF(O4504&lt;&gt;원인분석!$C$9,"",IF(AND(M4504&gt;=원인분석!$C$10,M4504&lt;=원인분석!$C$11),"당기",IF(AND(M4504&gt;=원인분석!$C$12,M4504&lt;=원인분석!$C$13),"비교",""))))</f>
        <v/>
      </c>
      <c r="R4504" s="9">
        <f>IF(Q4504="","",$K4504&amp;"")</f>
        <v/>
      </c>
      <c r="S4504" s="9">
        <f>IF(Q4504="","",IF(MATCH(R4504,$R$5:$R$100000,0)=ROW()-4,ROW(),""))</f>
        <v/>
      </c>
      <c r="T4504" s="9">
        <f>IF(Q4504="당기",ABS(P4504)+ROW()/1000000000,"")</f>
        <v/>
      </c>
      <c r="U4504" s="9">
        <f>IF(Q4504="비교",ABS(P4504)+ROW()/1000000000,"")</f>
        <v/>
      </c>
      <c r="V4504" s="64">
        <f>IF($A4504="","",IF(COUNTIF(변동분석!$E$7:$E$506,O4504)&gt;0,"Y","N"))</f>
        <v/>
      </c>
      <c r="W4504" s="64">
        <f>IF($A4504="","",IFERROR(INDEX(계정매핑!$D$5:$D$504,MATCH($F4504&amp;"",계정매핑!$A$5:$A$504,0)),"미매핑"))</f>
        <v/>
      </c>
      <c r="X4504" s="9">
        <f>IF($A4504="","",$F4504&amp;"")</f>
        <v/>
      </c>
      <c r="Y4504" s="94">
        <f>IF($A4504="",0,IF(AE4504="직접",IF(AF4504="비귀속",$P4504,0),$P4504*(1-AG4504)*IFERROR(INDEX(계정대체기준!$F$20:$F$49,MATCH($N4504,계정대체기준!$A$20:$A$49,0)),1)))</f>
        <v/>
      </c>
      <c r="Z4504" s="94">
        <f>IF($A4504="",0,IF(AE4504="직접",IF(AF4504="신계약비",$P4504,0),$P4504*(1-AG4504)*IFERROR(INDEX(계정대체기준!$C$20:$C$49,MATCH($N4504,계정대체기준!$A$20:$A$49,0)),0)))</f>
        <v/>
      </c>
      <c r="AA4504" s="94">
        <f>IF($A4504="",0,IF(AE4504="직접",IF(OR(AF4504="유지비",AF4504="손해조사비"),$P4504,0),$P4504*(1-AG4504)*IFERROR(INDEX(계정대체기준!$D$20:$D$49,MATCH($N4504,계정대체기준!$A$20:$A$49,0)),0)))</f>
        <v/>
      </c>
      <c r="AB4504" s="94">
        <f>IF($A4504="",0,IF(AE4504="직접",IF(AF4504="수금비",$P4504,0),$P4504*(1-AG4504)*IFERROR(INDEX(계정대체기준!$E$20:$E$49,MATCH($N4504,계정대체기준!$A$20:$A$49,0)),0)))</f>
        <v/>
      </c>
      <c r="AC4504" s="9">
        <f>IF(AND($A4504&lt;&gt;"",M4504=설정!$C$20,Z4504&gt;0),Z4504+ROW()/1000000000,"")</f>
        <v/>
      </c>
      <c r="AD4504" s="94">
        <f>IF($A4504="",0,$P4504*AG4504)</f>
        <v/>
      </c>
      <c r="AE4504" s="64">
        <f>IF($A4504="","",IFERROR(INDEX(계정매핑!$E$5:$E$504,MATCH($F4504&amp;"",계정매핑!$A$5:$A$504,0))&amp;"","공통비"))</f>
        <v/>
      </c>
      <c r="AF4504" s="64">
        <f>IF($A4504="","",IF(AE4504="직접",IFERROR(INDEX(계정매핑!$F$5:$F$504,MATCH($F4504&amp;"",계정매핑!$A$5:$A$504,0))&amp;"","비귀속"),""))</f>
        <v/>
      </c>
      <c r="AG4504" s="96">
        <f>IF($A4504="",0,IF(AND(AE4504&lt;&gt;"직접",IFERROR(INDEX(계정매핑!$G$5:$G$504,MATCH($F4504&amp;"",계정매핑!$A$5:$A$504,0))&amp;"","")="유지비",COUNTIF(계정대체기준!$A$6:$A$15,$N4504)&gt;0),IFERROR(INDEX(계정대체기준!$E$6:$E$15,MATCH(VALUE($A4504&amp;""),계정대체기준!$D$6:$D$15,0)),0),0))</f>
        <v/>
      </c>
      <c r="AH4504" s="64">
        <f>IF($A4504="","",IF(AD4504=0,"",IF(OR(COUNTIF(계정대체기준!$A$77:$A$86,$N4504)&gt;0,ISNUMBER(MATCH($X4504,계정대체기준!$D$77:$D$86,0)),ISNUMBER(MATCH($F4504,계정대체기준!$D$77:$D$86,0))),"Y","N")))</f>
        <v/>
      </c>
    </row>
    <row r="4505">
      <c r="A4505" s="92" t="n">
        <v>2026</v>
      </c>
      <c r="B4505" s="92" t="n">
        <v>8</v>
      </c>
      <c r="C4505" s="92" t="inlineStr">
        <is>
          <t>5100001783</t>
        </is>
      </c>
      <c r="D4505" s="95" t="n">
        <v>46256</v>
      </c>
      <c r="E4505" s="92" t="inlineStr">
        <is>
          <t>KR</t>
        </is>
      </c>
      <c r="F4505" s="92" t="n">
        <v>62501000</v>
      </c>
      <c r="G4505" s="92" t="n">
        <v>1301</v>
      </c>
      <c r="H4505" s="93" t="n">
        <v>448000</v>
      </c>
      <c r="I4505" s="92" t="inlineStr">
        <is>
          <t>8월 회의 다과 - (법인카드)</t>
        </is>
      </c>
      <c r="J4505" s="92" t="inlineStr">
        <is>
          <t>V10010</t>
        </is>
      </c>
      <c r="K4505" s="92" t="inlineStr">
        <is>
          <t>(법인카드)</t>
        </is>
      </c>
      <c r="M4505" s="9">
        <f>IF($A4505="","",VALUE($A4505&amp;"")*12+VALUE($B4505&amp;""))</f>
        <v/>
      </c>
      <c r="N4505" s="64">
        <f>IF($A4505="","",IFERROR(INDEX(부서매핑!$C$5:$C$504,MATCH($G4505&amp;"",부서매핑!$A$5:$A$504,0)),"미매핑"))</f>
        <v/>
      </c>
      <c r="O4505" s="9">
        <f>IF($A4505="","",N4505&amp;"|"&amp;$F4505)</f>
        <v/>
      </c>
      <c r="P4505" s="94">
        <f>IF($A4505="",0,$H4505*설정!$C$23)</f>
        <v/>
      </c>
      <c r="Q4505" s="64">
        <f>IF($A4505="","",IF(O4505&lt;&gt;원인분석!$C$9,"",IF(AND(M4505&gt;=원인분석!$C$10,M4505&lt;=원인분석!$C$11),"당기",IF(AND(M4505&gt;=원인분석!$C$12,M4505&lt;=원인분석!$C$13),"비교",""))))</f>
        <v/>
      </c>
      <c r="R4505" s="9">
        <f>IF(Q4505="","",$K4505&amp;"")</f>
        <v/>
      </c>
      <c r="S4505" s="9">
        <f>IF(Q4505="","",IF(MATCH(R4505,$R$5:$R$100000,0)=ROW()-4,ROW(),""))</f>
        <v/>
      </c>
      <c r="T4505" s="9">
        <f>IF(Q4505="당기",ABS(P4505)+ROW()/1000000000,"")</f>
        <v/>
      </c>
      <c r="U4505" s="9">
        <f>IF(Q4505="비교",ABS(P4505)+ROW()/1000000000,"")</f>
        <v/>
      </c>
      <c r="V4505" s="64">
        <f>IF($A4505="","",IF(COUNTIF(변동분석!$E$7:$E$506,O4505)&gt;0,"Y","N"))</f>
        <v/>
      </c>
      <c r="W4505" s="64">
        <f>IF($A4505="","",IFERROR(INDEX(계정매핑!$D$5:$D$504,MATCH($F4505&amp;"",계정매핑!$A$5:$A$504,0)),"미매핑"))</f>
        <v/>
      </c>
      <c r="X4505" s="9">
        <f>IF($A4505="","",$F4505&amp;"")</f>
        <v/>
      </c>
      <c r="Y4505" s="94">
        <f>IF($A4505="",0,IF(AE4505="직접",IF(AF4505="비귀속",$P4505,0),$P4505*(1-AG4505)*IFERROR(INDEX(계정대체기준!$F$20:$F$49,MATCH($N4505,계정대체기준!$A$20:$A$49,0)),1)))</f>
        <v/>
      </c>
      <c r="Z4505" s="94">
        <f>IF($A4505="",0,IF(AE4505="직접",IF(AF4505="신계약비",$P4505,0),$P4505*(1-AG4505)*IFERROR(INDEX(계정대체기준!$C$20:$C$49,MATCH($N4505,계정대체기준!$A$20:$A$49,0)),0)))</f>
        <v/>
      </c>
      <c r="AA4505" s="94">
        <f>IF($A4505="",0,IF(AE4505="직접",IF(OR(AF4505="유지비",AF4505="손해조사비"),$P4505,0),$P4505*(1-AG4505)*IFERROR(INDEX(계정대체기준!$D$20:$D$49,MATCH($N4505,계정대체기준!$A$20:$A$49,0)),0)))</f>
        <v/>
      </c>
      <c r="AB4505" s="94">
        <f>IF($A4505="",0,IF(AE4505="직접",IF(AF4505="수금비",$P4505,0),$P4505*(1-AG4505)*IFERROR(INDEX(계정대체기준!$E$20:$E$49,MATCH($N4505,계정대체기준!$A$20:$A$49,0)),0)))</f>
        <v/>
      </c>
      <c r="AC4505" s="9">
        <f>IF(AND($A4505&lt;&gt;"",M4505=설정!$C$20,Z4505&gt;0),Z4505+ROW()/1000000000,"")</f>
        <v/>
      </c>
      <c r="AD4505" s="94">
        <f>IF($A4505="",0,$P4505*AG4505)</f>
        <v/>
      </c>
      <c r="AE4505" s="64">
        <f>IF($A4505="","",IFERROR(INDEX(계정매핑!$E$5:$E$504,MATCH($F4505&amp;"",계정매핑!$A$5:$A$504,0))&amp;"","공통비"))</f>
        <v/>
      </c>
      <c r="AF4505" s="64">
        <f>IF($A4505="","",IF(AE4505="직접",IFERROR(INDEX(계정매핑!$F$5:$F$504,MATCH($F4505&amp;"",계정매핑!$A$5:$A$504,0))&amp;"","비귀속"),""))</f>
        <v/>
      </c>
      <c r="AG4505" s="96">
        <f>IF($A4505="",0,IF(AND(AE4505&lt;&gt;"직접",IFERROR(INDEX(계정매핑!$G$5:$G$504,MATCH($F4505&amp;"",계정매핑!$A$5:$A$504,0))&amp;"","")="유지비",COUNTIF(계정대체기준!$A$6:$A$15,$N4505)&gt;0),IFERROR(INDEX(계정대체기준!$E$6:$E$15,MATCH(VALUE($A4505&amp;""),계정대체기준!$D$6:$D$15,0)),0),0))</f>
        <v/>
      </c>
      <c r="AH4505" s="64">
        <f>IF($A4505="","",IF(AD4505=0,"",IF(OR(COUNTIF(계정대체기준!$A$77:$A$86,$N4505)&gt;0,ISNUMBER(MATCH($X4505,계정대체기준!$D$77:$D$86,0)),ISNUMBER(MATCH($F4505,계정대체기준!$D$77:$D$86,0))),"Y","N")))</f>
        <v/>
      </c>
    </row>
    <row r="4506">
      <c r="A4506" s="92" t="n">
        <v>2026</v>
      </c>
      <c r="B4506" s="92" t="n">
        <v>8</v>
      </c>
      <c r="C4506" s="92" t="inlineStr">
        <is>
          <t>5100001784</t>
        </is>
      </c>
      <c r="D4506" s="95" t="n">
        <v>46256</v>
      </c>
      <c r="E4506" s="92" t="inlineStr">
        <is>
          <t>KR</t>
        </is>
      </c>
      <c r="F4506" s="92" t="n">
        <v>62501000</v>
      </c>
      <c r="G4506" s="92" t="n">
        <v>1701</v>
      </c>
      <c r="H4506" s="93" t="n">
        <v>114000</v>
      </c>
      <c r="I4506" s="92" t="inlineStr">
        <is>
          <t>8월 회의 다과 - (법인카드)</t>
        </is>
      </c>
      <c r="J4506" s="92" t="inlineStr">
        <is>
          <t>V10010</t>
        </is>
      </c>
      <c r="K4506" s="92" t="inlineStr">
        <is>
          <t>(법인카드)</t>
        </is>
      </c>
      <c r="M4506" s="9">
        <f>IF($A4506="","",VALUE($A4506&amp;"")*12+VALUE($B4506&amp;""))</f>
        <v/>
      </c>
      <c r="N4506" s="64">
        <f>IF($A4506="","",IFERROR(INDEX(부서매핑!$C$5:$C$504,MATCH($G4506&amp;"",부서매핑!$A$5:$A$504,0)),"미매핑"))</f>
        <v/>
      </c>
      <c r="O4506" s="9">
        <f>IF($A4506="","",N4506&amp;"|"&amp;$F4506)</f>
        <v/>
      </c>
      <c r="P4506" s="94">
        <f>IF($A4506="",0,$H4506*설정!$C$23)</f>
        <v/>
      </c>
      <c r="Q4506" s="64">
        <f>IF($A4506="","",IF(O4506&lt;&gt;원인분석!$C$9,"",IF(AND(M4506&gt;=원인분석!$C$10,M4506&lt;=원인분석!$C$11),"당기",IF(AND(M4506&gt;=원인분석!$C$12,M4506&lt;=원인분석!$C$13),"비교",""))))</f>
        <v/>
      </c>
      <c r="R4506" s="9">
        <f>IF(Q4506="","",$K4506&amp;"")</f>
        <v/>
      </c>
      <c r="S4506" s="9">
        <f>IF(Q4506="","",IF(MATCH(R4506,$R$5:$R$100000,0)=ROW()-4,ROW(),""))</f>
        <v/>
      </c>
      <c r="T4506" s="9">
        <f>IF(Q4506="당기",ABS(P4506)+ROW()/1000000000,"")</f>
        <v/>
      </c>
      <c r="U4506" s="9">
        <f>IF(Q4506="비교",ABS(P4506)+ROW()/1000000000,"")</f>
        <v/>
      </c>
      <c r="V4506" s="64">
        <f>IF($A4506="","",IF(COUNTIF(변동분석!$E$7:$E$506,O4506)&gt;0,"Y","N"))</f>
        <v/>
      </c>
      <c r="W4506" s="64">
        <f>IF($A4506="","",IFERROR(INDEX(계정매핑!$D$5:$D$504,MATCH($F4506&amp;"",계정매핑!$A$5:$A$504,0)),"미매핑"))</f>
        <v/>
      </c>
      <c r="X4506" s="9">
        <f>IF($A4506="","",$F4506&amp;"")</f>
        <v/>
      </c>
      <c r="Y4506" s="94">
        <f>IF($A4506="",0,IF(AE4506="직접",IF(AF4506="비귀속",$P4506,0),$P4506*(1-AG4506)*IFERROR(INDEX(계정대체기준!$F$20:$F$49,MATCH($N4506,계정대체기준!$A$20:$A$49,0)),1)))</f>
        <v/>
      </c>
      <c r="Z4506" s="94">
        <f>IF($A4506="",0,IF(AE4506="직접",IF(AF4506="신계약비",$P4506,0),$P4506*(1-AG4506)*IFERROR(INDEX(계정대체기준!$C$20:$C$49,MATCH($N4506,계정대체기준!$A$20:$A$49,0)),0)))</f>
        <v/>
      </c>
      <c r="AA4506" s="94">
        <f>IF($A4506="",0,IF(AE4506="직접",IF(OR(AF4506="유지비",AF4506="손해조사비"),$P4506,0),$P4506*(1-AG4506)*IFERROR(INDEX(계정대체기준!$D$20:$D$49,MATCH($N4506,계정대체기준!$A$20:$A$49,0)),0)))</f>
        <v/>
      </c>
      <c r="AB4506" s="94">
        <f>IF($A4506="",0,IF(AE4506="직접",IF(AF4506="수금비",$P4506,0),$P4506*(1-AG4506)*IFERROR(INDEX(계정대체기준!$E$20:$E$49,MATCH($N4506,계정대체기준!$A$20:$A$49,0)),0)))</f>
        <v/>
      </c>
      <c r="AC4506" s="9">
        <f>IF(AND($A4506&lt;&gt;"",M4506=설정!$C$20,Z4506&gt;0),Z4506+ROW()/1000000000,"")</f>
        <v/>
      </c>
      <c r="AD4506" s="94">
        <f>IF($A4506="",0,$P4506*AG4506)</f>
        <v/>
      </c>
      <c r="AE4506" s="64">
        <f>IF($A4506="","",IFERROR(INDEX(계정매핑!$E$5:$E$504,MATCH($F4506&amp;"",계정매핑!$A$5:$A$504,0))&amp;"","공통비"))</f>
        <v/>
      </c>
      <c r="AF4506" s="64">
        <f>IF($A4506="","",IF(AE4506="직접",IFERROR(INDEX(계정매핑!$F$5:$F$504,MATCH($F4506&amp;"",계정매핑!$A$5:$A$504,0))&amp;"","비귀속"),""))</f>
        <v/>
      </c>
      <c r="AG4506" s="96">
        <f>IF($A4506="",0,IF(AND(AE4506&lt;&gt;"직접",IFERROR(INDEX(계정매핑!$G$5:$G$504,MATCH($F4506&amp;"",계정매핑!$A$5:$A$504,0))&amp;"","")="유지비",COUNTIF(계정대체기준!$A$6:$A$15,$N4506)&gt;0),IFERROR(INDEX(계정대체기준!$E$6:$E$15,MATCH(VALUE($A4506&amp;""),계정대체기준!$D$6:$D$15,0)),0),0))</f>
        <v/>
      </c>
      <c r="AH4506" s="64">
        <f>IF($A4506="","",IF(AD4506=0,"",IF(OR(COUNTIF(계정대체기준!$A$77:$A$86,$N4506)&gt;0,ISNUMBER(MATCH($X4506,계정대체기준!$D$77:$D$86,0)),ISNUMBER(MATCH($F4506,계정대체기준!$D$77:$D$86,0))),"Y","N")))</f>
        <v/>
      </c>
    </row>
    <row r="4507">
      <c r="A4507" s="92" t="n">
        <v>2026</v>
      </c>
      <c r="B4507" s="92" t="n">
        <v>8</v>
      </c>
      <c r="C4507" s="92" t="inlineStr">
        <is>
          <t>5100001785</t>
        </is>
      </c>
      <c r="D4507" s="95" t="n">
        <v>46256</v>
      </c>
      <c r="E4507" s="92" t="inlineStr">
        <is>
          <t>KR</t>
        </is>
      </c>
      <c r="F4507" s="92" t="n">
        <v>62802000</v>
      </c>
      <c r="G4507" s="92" t="n">
        <v>1301</v>
      </c>
      <c r="H4507" s="93" t="n">
        <v>4975000</v>
      </c>
      <c r="I4507" s="92" t="inlineStr">
        <is>
          <t>8월 위탁교육 - I교육원</t>
        </is>
      </c>
      <c r="J4507" s="92" t="inlineStr">
        <is>
          <t>V10019</t>
        </is>
      </c>
      <c r="K4507" s="92" t="inlineStr">
        <is>
          <t>I교육원</t>
        </is>
      </c>
      <c r="M4507" s="9">
        <f>IF($A4507="","",VALUE($A4507&amp;"")*12+VALUE($B4507&amp;""))</f>
        <v/>
      </c>
      <c r="N4507" s="64">
        <f>IF($A4507="","",IFERROR(INDEX(부서매핑!$C$5:$C$504,MATCH($G4507&amp;"",부서매핑!$A$5:$A$504,0)),"미매핑"))</f>
        <v/>
      </c>
      <c r="O4507" s="9">
        <f>IF($A4507="","",N4507&amp;"|"&amp;$F4507)</f>
        <v/>
      </c>
      <c r="P4507" s="94">
        <f>IF($A4507="",0,$H4507*설정!$C$23)</f>
        <v/>
      </c>
      <c r="Q4507" s="64">
        <f>IF($A4507="","",IF(O4507&lt;&gt;원인분석!$C$9,"",IF(AND(M4507&gt;=원인분석!$C$10,M4507&lt;=원인분석!$C$11),"당기",IF(AND(M4507&gt;=원인분석!$C$12,M4507&lt;=원인분석!$C$13),"비교",""))))</f>
        <v/>
      </c>
      <c r="R4507" s="9">
        <f>IF(Q4507="","",$K4507&amp;"")</f>
        <v/>
      </c>
      <c r="S4507" s="9">
        <f>IF(Q4507="","",IF(MATCH(R4507,$R$5:$R$100000,0)=ROW()-4,ROW(),""))</f>
        <v/>
      </c>
      <c r="T4507" s="9">
        <f>IF(Q4507="당기",ABS(P4507)+ROW()/1000000000,"")</f>
        <v/>
      </c>
      <c r="U4507" s="9">
        <f>IF(Q4507="비교",ABS(P4507)+ROW()/1000000000,"")</f>
        <v/>
      </c>
      <c r="V4507" s="64">
        <f>IF($A4507="","",IF(COUNTIF(변동분석!$E$7:$E$506,O4507)&gt;0,"Y","N"))</f>
        <v/>
      </c>
      <c r="W4507" s="64">
        <f>IF($A4507="","",IFERROR(INDEX(계정매핑!$D$5:$D$504,MATCH($F4507&amp;"",계정매핑!$A$5:$A$504,0)),"미매핑"))</f>
        <v/>
      </c>
      <c r="X4507" s="9">
        <f>IF($A4507="","",$F4507&amp;"")</f>
        <v/>
      </c>
      <c r="Y4507" s="94">
        <f>IF($A4507="",0,IF(AE4507="직접",IF(AF4507="비귀속",$P4507,0),$P4507*(1-AG4507)*IFERROR(INDEX(계정대체기준!$F$20:$F$49,MATCH($N4507,계정대체기준!$A$20:$A$49,0)),1)))</f>
        <v/>
      </c>
      <c r="Z4507" s="94">
        <f>IF($A4507="",0,IF(AE4507="직접",IF(AF4507="신계약비",$P4507,0),$P4507*(1-AG4507)*IFERROR(INDEX(계정대체기준!$C$20:$C$49,MATCH($N4507,계정대체기준!$A$20:$A$49,0)),0)))</f>
        <v/>
      </c>
      <c r="AA4507" s="94">
        <f>IF($A4507="",0,IF(AE4507="직접",IF(OR(AF4507="유지비",AF4507="손해조사비"),$P4507,0),$P4507*(1-AG4507)*IFERROR(INDEX(계정대체기준!$D$20:$D$49,MATCH($N4507,계정대체기준!$A$20:$A$49,0)),0)))</f>
        <v/>
      </c>
      <c r="AB4507" s="94">
        <f>IF($A4507="",0,IF(AE4507="직접",IF(AF4507="수금비",$P4507,0),$P4507*(1-AG4507)*IFERROR(INDEX(계정대체기준!$E$20:$E$49,MATCH($N4507,계정대체기준!$A$20:$A$49,0)),0)))</f>
        <v/>
      </c>
      <c r="AC4507" s="9">
        <f>IF(AND($A4507&lt;&gt;"",M4507=설정!$C$20,Z4507&gt;0),Z4507+ROW()/1000000000,"")</f>
        <v/>
      </c>
      <c r="AD4507" s="94">
        <f>IF($A4507="",0,$P4507*AG4507)</f>
        <v/>
      </c>
      <c r="AE4507" s="64">
        <f>IF($A4507="","",IFERROR(INDEX(계정매핑!$E$5:$E$504,MATCH($F4507&amp;"",계정매핑!$A$5:$A$504,0))&amp;"","공통비"))</f>
        <v/>
      </c>
      <c r="AF4507" s="64">
        <f>IF($A4507="","",IF(AE4507="직접",IFERROR(INDEX(계정매핑!$F$5:$F$504,MATCH($F4507&amp;"",계정매핑!$A$5:$A$504,0))&amp;"","비귀속"),""))</f>
        <v/>
      </c>
      <c r="AG4507" s="96">
        <f>IF($A4507="",0,IF(AND(AE4507&lt;&gt;"직접",IFERROR(INDEX(계정매핑!$G$5:$G$504,MATCH($F4507&amp;"",계정매핑!$A$5:$A$504,0))&amp;"","")="유지비",COUNTIF(계정대체기준!$A$6:$A$15,$N4507)&gt;0),IFERROR(INDEX(계정대체기준!$E$6:$E$15,MATCH(VALUE($A4507&amp;""),계정대체기준!$D$6:$D$15,0)),0),0))</f>
        <v/>
      </c>
      <c r="AH4507" s="64">
        <f>IF($A4507="","",IF(AD4507=0,"",IF(OR(COUNTIF(계정대체기준!$A$77:$A$86,$N4507)&gt;0,ISNUMBER(MATCH($X4507,계정대체기준!$D$77:$D$86,0)),ISNUMBER(MATCH($F4507,계정대체기준!$D$77:$D$86,0))),"Y","N")))</f>
        <v/>
      </c>
    </row>
    <row r="4508">
      <c r="A4508" s="92" t="n">
        <v>2026</v>
      </c>
      <c r="B4508" s="92" t="n">
        <v>8</v>
      </c>
      <c r="C4508" s="92" t="inlineStr">
        <is>
          <t>5100001786</t>
        </is>
      </c>
      <c r="D4508" s="95" t="n">
        <v>46256</v>
      </c>
      <c r="E4508" s="92" t="inlineStr">
        <is>
          <t>KR</t>
        </is>
      </c>
      <c r="F4508" s="92" t="n">
        <v>62902000</v>
      </c>
      <c r="G4508" s="92" t="n">
        <v>1101</v>
      </c>
      <c r="H4508" s="93" t="n">
        <v>1353000</v>
      </c>
      <c r="I4508" s="92" t="inlineStr">
        <is>
          <t>8월 업무 위탁 수수료 - X서비스</t>
        </is>
      </c>
      <c r="J4508" s="92" t="inlineStr">
        <is>
          <t>V10020</t>
        </is>
      </c>
      <c r="K4508" s="92" t="inlineStr">
        <is>
          <t>X서비스</t>
        </is>
      </c>
      <c r="M4508" s="9">
        <f>IF($A4508="","",VALUE($A4508&amp;"")*12+VALUE($B4508&amp;""))</f>
        <v/>
      </c>
      <c r="N4508" s="64">
        <f>IF($A4508="","",IFERROR(INDEX(부서매핑!$C$5:$C$504,MATCH($G4508&amp;"",부서매핑!$A$5:$A$504,0)),"미매핑"))</f>
        <v/>
      </c>
      <c r="O4508" s="9">
        <f>IF($A4508="","",N4508&amp;"|"&amp;$F4508)</f>
        <v/>
      </c>
      <c r="P4508" s="94">
        <f>IF($A4508="",0,$H4508*설정!$C$23)</f>
        <v/>
      </c>
      <c r="Q4508" s="64">
        <f>IF($A4508="","",IF(O4508&lt;&gt;원인분석!$C$9,"",IF(AND(M4508&gt;=원인분석!$C$10,M4508&lt;=원인분석!$C$11),"당기",IF(AND(M4508&gt;=원인분석!$C$12,M4508&lt;=원인분석!$C$13),"비교",""))))</f>
        <v/>
      </c>
      <c r="R4508" s="9">
        <f>IF(Q4508="","",$K4508&amp;"")</f>
        <v/>
      </c>
      <c r="S4508" s="9">
        <f>IF(Q4508="","",IF(MATCH(R4508,$R$5:$R$100000,0)=ROW()-4,ROW(),""))</f>
        <v/>
      </c>
      <c r="T4508" s="9">
        <f>IF(Q4508="당기",ABS(P4508)+ROW()/1000000000,"")</f>
        <v/>
      </c>
      <c r="U4508" s="9">
        <f>IF(Q4508="비교",ABS(P4508)+ROW()/1000000000,"")</f>
        <v/>
      </c>
      <c r="V4508" s="64">
        <f>IF($A4508="","",IF(COUNTIF(변동분석!$E$7:$E$506,O4508)&gt;0,"Y","N"))</f>
        <v/>
      </c>
      <c r="W4508" s="64">
        <f>IF($A4508="","",IFERROR(INDEX(계정매핑!$D$5:$D$504,MATCH($F4508&amp;"",계정매핑!$A$5:$A$504,0)),"미매핑"))</f>
        <v/>
      </c>
      <c r="X4508" s="9">
        <f>IF($A4508="","",$F4508&amp;"")</f>
        <v/>
      </c>
      <c r="Y4508" s="94">
        <f>IF($A4508="",0,IF(AE4508="직접",IF(AF4508="비귀속",$P4508,0),$P4508*(1-AG4508)*IFERROR(INDEX(계정대체기준!$F$20:$F$49,MATCH($N4508,계정대체기준!$A$20:$A$49,0)),1)))</f>
        <v/>
      </c>
      <c r="Z4508" s="94">
        <f>IF($A4508="",0,IF(AE4508="직접",IF(AF4508="신계약비",$P4508,0),$P4508*(1-AG4508)*IFERROR(INDEX(계정대체기준!$C$20:$C$49,MATCH($N4508,계정대체기준!$A$20:$A$49,0)),0)))</f>
        <v/>
      </c>
      <c r="AA4508" s="94">
        <f>IF($A4508="",0,IF(AE4508="직접",IF(OR(AF4508="유지비",AF4508="손해조사비"),$P4508,0),$P4508*(1-AG4508)*IFERROR(INDEX(계정대체기준!$D$20:$D$49,MATCH($N4508,계정대체기준!$A$20:$A$49,0)),0)))</f>
        <v/>
      </c>
      <c r="AB4508" s="94">
        <f>IF($A4508="",0,IF(AE4508="직접",IF(AF4508="수금비",$P4508,0),$P4508*(1-AG4508)*IFERROR(INDEX(계정대체기준!$E$20:$E$49,MATCH($N4508,계정대체기준!$A$20:$A$49,0)),0)))</f>
        <v/>
      </c>
      <c r="AC4508" s="9">
        <f>IF(AND($A4508&lt;&gt;"",M4508=설정!$C$20,Z4508&gt;0),Z4508+ROW()/1000000000,"")</f>
        <v/>
      </c>
      <c r="AD4508" s="94">
        <f>IF($A4508="",0,$P4508*AG4508)</f>
        <v/>
      </c>
      <c r="AE4508" s="64">
        <f>IF($A4508="","",IFERROR(INDEX(계정매핑!$E$5:$E$504,MATCH($F4508&amp;"",계정매핑!$A$5:$A$504,0))&amp;"","공통비"))</f>
        <v/>
      </c>
      <c r="AF4508" s="64">
        <f>IF($A4508="","",IF(AE4508="직접",IFERROR(INDEX(계정매핑!$F$5:$F$504,MATCH($F4508&amp;"",계정매핑!$A$5:$A$504,0))&amp;"","비귀속"),""))</f>
        <v/>
      </c>
      <c r="AG4508" s="96">
        <f>IF($A4508="",0,IF(AND(AE4508&lt;&gt;"직접",IFERROR(INDEX(계정매핑!$G$5:$G$504,MATCH($F4508&amp;"",계정매핑!$A$5:$A$504,0))&amp;"","")="유지비",COUNTIF(계정대체기준!$A$6:$A$15,$N4508)&gt;0),IFERROR(INDEX(계정대체기준!$E$6:$E$15,MATCH(VALUE($A4508&amp;""),계정대체기준!$D$6:$D$15,0)),0),0))</f>
        <v/>
      </c>
      <c r="AH4508" s="64">
        <f>IF($A4508="","",IF(AD4508=0,"",IF(OR(COUNTIF(계정대체기준!$A$77:$A$86,$N4508)&gt;0,ISNUMBER(MATCH($X4508,계정대체기준!$D$77:$D$86,0)),ISNUMBER(MATCH($F4508,계정대체기준!$D$77:$D$86,0))),"Y","N")))</f>
        <v/>
      </c>
    </row>
    <row r="4509">
      <c r="A4509" s="92" t="n">
        <v>2026</v>
      </c>
      <c r="B4509" s="92" t="n">
        <v>8</v>
      </c>
      <c r="C4509" s="92" t="inlineStr">
        <is>
          <t>5100001787</t>
        </is>
      </c>
      <c r="D4509" s="95" t="n">
        <v>46256</v>
      </c>
      <c r="E4509" s="92" t="inlineStr">
        <is>
          <t>KR</t>
        </is>
      </c>
      <c r="F4509" s="92" t="n">
        <v>62902000</v>
      </c>
      <c r="G4509" s="92" t="n">
        <v>1801</v>
      </c>
      <c r="H4509" s="93" t="n">
        <v>1764000</v>
      </c>
      <c r="I4509" s="92" t="inlineStr">
        <is>
          <t>8월 콜 위탁 수수료(건별)</t>
        </is>
      </c>
      <c r="J4509" s="92" t="inlineStr">
        <is>
          <t>V10016</t>
        </is>
      </c>
      <c r="K4509" s="92" t="inlineStr">
        <is>
          <t>J콜센터</t>
        </is>
      </c>
      <c r="M4509" s="9">
        <f>IF($A4509="","",VALUE($A4509&amp;"")*12+VALUE($B4509&amp;""))</f>
        <v/>
      </c>
      <c r="N4509" s="64">
        <f>IF($A4509="","",IFERROR(INDEX(부서매핑!$C$5:$C$504,MATCH($G4509&amp;"",부서매핑!$A$5:$A$504,0)),"미매핑"))</f>
        <v/>
      </c>
      <c r="O4509" s="9">
        <f>IF($A4509="","",N4509&amp;"|"&amp;$F4509)</f>
        <v/>
      </c>
      <c r="P4509" s="94">
        <f>IF($A4509="",0,$H4509*설정!$C$23)</f>
        <v/>
      </c>
      <c r="Q4509" s="64">
        <f>IF($A4509="","",IF(O4509&lt;&gt;원인분석!$C$9,"",IF(AND(M4509&gt;=원인분석!$C$10,M4509&lt;=원인분석!$C$11),"당기",IF(AND(M4509&gt;=원인분석!$C$12,M4509&lt;=원인분석!$C$13),"비교",""))))</f>
        <v/>
      </c>
      <c r="R4509" s="9">
        <f>IF(Q4509="","",$K4509&amp;"")</f>
        <v/>
      </c>
      <c r="S4509" s="9">
        <f>IF(Q4509="","",IF(MATCH(R4509,$R$5:$R$100000,0)=ROW()-4,ROW(),""))</f>
        <v/>
      </c>
      <c r="T4509" s="9">
        <f>IF(Q4509="당기",ABS(P4509)+ROW()/1000000000,"")</f>
        <v/>
      </c>
      <c r="U4509" s="9">
        <f>IF(Q4509="비교",ABS(P4509)+ROW()/1000000000,"")</f>
        <v/>
      </c>
      <c r="V4509" s="64">
        <f>IF($A4509="","",IF(COUNTIF(변동분석!$E$7:$E$506,O4509)&gt;0,"Y","N"))</f>
        <v/>
      </c>
      <c r="W4509" s="64">
        <f>IF($A4509="","",IFERROR(INDEX(계정매핑!$D$5:$D$504,MATCH($F4509&amp;"",계정매핑!$A$5:$A$504,0)),"미매핑"))</f>
        <v/>
      </c>
      <c r="X4509" s="9">
        <f>IF($A4509="","",$F4509&amp;"")</f>
        <v/>
      </c>
      <c r="Y4509" s="94">
        <f>IF($A4509="",0,IF(AE4509="직접",IF(AF4509="비귀속",$P4509,0),$P4509*(1-AG4509)*IFERROR(INDEX(계정대체기준!$F$20:$F$49,MATCH($N4509,계정대체기준!$A$20:$A$49,0)),1)))</f>
        <v/>
      </c>
      <c r="Z4509" s="94">
        <f>IF($A4509="",0,IF(AE4509="직접",IF(AF4509="신계약비",$P4509,0),$P4509*(1-AG4509)*IFERROR(INDEX(계정대체기준!$C$20:$C$49,MATCH($N4509,계정대체기준!$A$20:$A$49,0)),0)))</f>
        <v/>
      </c>
      <c r="AA4509" s="94">
        <f>IF($A4509="",0,IF(AE4509="직접",IF(OR(AF4509="유지비",AF4509="손해조사비"),$P4509,0),$P4509*(1-AG4509)*IFERROR(INDEX(계정대체기준!$D$20:$D$49,MATCH($N4509,계정대체기준!$A$20:$A$49,0)),0)))</f>
        <v/>
      </c>
      <c r="AB4509" s="94">
        <f>IF($A4509="",0,IF(AE4509="직접",IF(AF4509="수금비",$P4509,0),$P4509*(1-AG4509)*IFERROR(INDEX(계정대체기준!$E$20:$E$49,MATCH($N4509,계정대체기준!$A$20:$A$49,0)),0)))</f>
        <v/>
      </c>
      <c r="AC4509" s="9">
        <f>IF(AND($A4509&lt;&gt;"",M4509=설정!$C$20,Z4509&gt;0),Z4509+ROW()/1000000000,"")</f>
        <v/>
      </c>
      <c r="AD4509" s="94">
        <f>IF($A4509="",0,$P4509*AG4509)</f>
        <v/>
      </c>
      <c r="AE4509" s="64">
        <f>IF($A4509="","",IFERROR(INDEX(계정매핑!$E$5:$E$504,MATCH($F4509&amp;"",계정매핑!$A$5:$A$504,0))&amp;"","공통비"))</f>
        <v/>
      </c>
      <c r="AF4509" s="64">
        <f>IF($A4509="","",IF(AE4509="직접",IFERROR(INDEX(계정매핑!$F$5:$F$504,MATCH($F4509&amp;"",계정매핑!$A$5:$A$504,0))&amp;"","비귀속"),""))</f>
        <v/>
      </c>
      <c r="AG4509" s="96">
        <f>IF($A4509="",0,IF(AND(AE4509&lt;&gt;"직접",IFERROR(INDEX(계정매핑!$G$5:$G$504,MATCH($F4509&amp;"",계정매핑!$A$5:$A$504,0))&amp;"","")="유지비",COUNTIF(계정대체기준!$A$6:$A$15,$N4509)&gt;0),IFERROR(INDEX(계정대체기준!$E$6:$E$15,MATCH(VALUE($A4509&amp;""),계정대체기준!$D$6:$D$15,0)),0),0))</f>
        <v/>
      </c>
      <c r="AH4509" s="64">
        <f>IF($A4509="","",IF(AD4509=0,"",IF(OR(COUNTIF(계정대체기준!$A$77:$A$86,$N4509)&gt;0,ISNUMBER(MATCH($X4509,계정대체기준!$D$77:$D$86,0)),ISNUMBER(MATCH($F4509,계정대체기준!$D$77:$D$86,0))),"Y","N")))</f>
        <v/>
      </c>
    </row>
    <row r="4510">
      <c r="A4510" s="92" t="n">
        <v>2026</v>
      </c>
      <c r="B4510" s="92" t="n">
        <v>8</v>
      </c>
      <c r="C4510" s="92" t="inlineStr">
        <is>
          <t>5100001788</t>
        </is>
      </c>
      <c r="D4510" s="95" t="n">
        <v>46256</v>
      </c>
      <c r="E4510" s="92" t="inlineStr">
        <is>
          <t>KR</t>
        </is>
      </c>
      <c r="F4510" s="92" t="n">
        <v>62902000</v>
      </c>
      <c r="G4510" s="92" t="n">
        <v>1951</v>
      </c>
      <c r="H4510" s="93" t="n">
        <v>1850000</v>
      </c>
      <c r="I4510" s="92" t="inlineStr">
        <is>
          <t>8월 업무 위탁 수수료 - X서비스</t>
        </is>
      </c>
      <c r="J4510" s="92" t="inlineStr">
        <is>
          <t>V10020</t>
        </is>
      </c>
      <c r="K4510" s="92" t="inlineStr">
        <is>
          <t>X서비스</t>
        </is>
      </c>
      <c r="M4510" s="9">
        <f>IF($A4510="","",VALUE($A4510&amp;"")*12+VALUE($B4510&amp;""))</f>
        <v/>
      </c>
      <c r="N4510" s="64">
        <f>IF($A4510="","",IFERROR(INDEX(부서매핑!$C$5:$C$504,MATCH($G4510&amp;"",부서매핑!$A$5:$A$504,0)),"미매핑"))</f>
        <v/>
      </c>
      <c r="O4510" s="9">
        <f>IF($A4510="","",N4510&amp;"|"&amp;$F4510)</f>
        <v/>
      </c>
      <c r="P4510" s="94">
        <f>IF($A4510="",0,$H4510*설정!$C$23)</f>
        <v/>
      </c>
      <c r="Q4510" s="64">
        <f>IF($A4510="","",IF(O4510&lt;&gt;원인분석!$C$9,"",IF(AND(M4510&gt;=원인분석!$C$10,M4510&lt;=원인분석!$C$11),"당기",IF(AND(M4510&gt;=원인분석!$C$12,M4510&lt;=원인분석!$C$13),"비교",""))))</f>
        <v/>
      </c>
      <c r="R4510" s="9">
        <f>IF(Q4510="","",$K4510&amp;"")</f>
        <v/>
      </c>
      <c r="S4510" s="9">
        <f>IF(Q4510="","",IF(MATCH(R4510,$R$5:$R$100000,0)=ROW()-4,ROW(),""))</f>
        <v/>
      </c>
      <c r="T4510" s="9">
        <f>IF(Q4510="당기",ABS(P4510)+ROW()/1000000000,"")</f>
        <v/>
      </c>
      <c r="U4510" s="9">
        <f>IF(Q4510="비교",ABS(P4510)+ROW()/1000000000,"")</f>
        <v/>
      </c>
      <c r="V4510" s="64">
        <f>IF($A4510="","",IF(COUNTIF(변동분석!$E$7:$E$506,O4510)&gt;0,"Y","N"))</f>
        <v/>
      </c>
      <c r="W4510" s="64">
        <f>IF($A4510="","",IFERROR(INDEX(계정매핑!$D$5:$D$504,MATCH($F4510&amp;"",계정매핑!$A$5:$A$504,0)),"미매핑"))</f>
        <v/>
      </c>
      <c r="X4510" s="9">
        <f>IF($A4510="","",$F4510&amp;"")</f>
        <v/>
      </c>
      <c r="Y4510" s="94">
        <f>IF($A4510="",0,IF(AE4510="직접",IF(AF4510="비귀속",$P4510,0),$P4510*(1-AG4510)*IFERROR(INDEX(계정대체기준!$F$20:$F$49,MATCH($N4510,계정대체기준!$A$20:$A$49,0)),1)))</f>
        <v/>
      </c>
      <c r="Z4510" s="94">
        <f>IF($A4510="",0,IF(AE4510="직접",IF(AF4510="신계약비",$P4510,0),$P4510*(1-AG4510)*IFERROR(INDEX(계정대체기준!$C$20:$C$49,MATCH($N4510,계정대체기준!$A$20:$A$49,0)),0)))</f>
        <v/>
      </c>
      <c r="AA4510" s="94">
        <f>IF($A4510="",0,IF(AE4510="직접",IF(OR(AF4510="유지비",AF4510="손해조사비"),$P4510,0),$P4510*(1-AG4510)*IFERROR(INDEX(계정대체기준!$D$20:$D$49,MATCH($N4510,계정대체기준!$A$20:$A$49,0)),0)))</f>
        <v/>
      </c>
      <c r="AB4510" s="94">
        <f>IF($A4510="",0,IF(AE4510="직접",IF(AF4510="수금비",$P4510,0),$P4510*(1-AG4510)*IFERROR(INDEX(계정대체기준!$E$20:$E$49,MATCH($N4510,계정대체기준!$A$20:$A$49,0)),0)))</f>
        <v/>
      </c>
      <c r="AC4510" s="9">
        <f>IF(AND($A4510&lt;&gt;"",M4510=설정!$C$20,Z4510&gt;0),Z4510+ROW()/1000000000,"")</f>
        <v/>
      </c>
      <c r="AD4510" s="94">
        <f>IF($A4510="",0,$P4510*AG4510)</f>
        <v/>
      </c>
      <c r="AE4510" s="64">
        <f>IF($A4510="","",IFERROR(INDEX(계정매핑!$E$5:$E$504,MATCH($F4510&amp;"",계정매핑!$A$5:$A$504,0))&amp;"","공통비"))</f>
        <v/>
      </c>
      <c r="AF4510" s="64">
        <f>IF($A4510="","",IF(AE4510="직접",IFERROR(INDEX(계정매핑!$F$5:$F$504,MATCH($F4510&amp;"",계정매핑!$A$5:$A$504,0))&amp;"","비귀속"),""))</f>
        <v/>
      </c>
      <c r="AG4510" s="96">
        <f>IF($A4510="",0,IF(AND(AE4510&lt;&gt;"직접",IFERROR(INDEX(계정매핑!$G$5:$G$504,MATCH($F4510&amp;"",계정매핑!$A$5:$A$504,0))&amp;"","")="유지비",COUNTIF(계정대체기준!$A$6:$A$15,$N4510)&gt;0),IFERROR(INDEX(계정대체기준!$E$6:$E$15,MATCH(VALUE($A4510&amp;""),계정대체기준!$D$6:$D$15,0)),0),0))</f>
        <v/>
      </c>
      <c r="AH4510" s="64">
        <f>IF($A4510="","",IF(AD4510=0,"",IF(OR(COUNTIF(계정대체기준!$A$77:$A$86,$N4510)&gt;0,ISNUMBER(MATCH($X4510,계정대체기준!$D$77:$D$86,0)),ISNUMBER(MATCH($F4510,계정대체기준!$D$77:$D$86,0))),"Y","N")))</f>
        <v/>
      </c>
    </row>
    <row r="4511">
      <c r="A4511" s="92" t="n">
        <v>2026</v>
      </c>
      <c r="B4511" s="92" t="n">
        <v>8</v>
      </c>
      <c r="C4511" s="92" t="inlineStr">
        <is>
          <t>5100001789</t>
        </is>
      </c>
      <c r="D4511" s="95" t="n">
        <v>46257</v>
      </c>
      <c r="E4511" s="92" t="inlineStr">
        <is>
          <t>KR</t>
        </is>
      </c>
      <c r="F4511" s="92" t="n">
        <v>62101000</v>
      </c>
      <c r="G4511" s="92" t="n">
        <v>1201</v>
      </c>
      <c r="H4511" s="93" t="n">
        <v>167000</v>
      </c>
      <c r="I4511" s="92" t="inlineStr">
        <is>
          <t>8월 국내출장 - (법인카드)</t>
        </is>
      </c>
      <c r="J4511" s="92" t="inlineStr">
        <is>
          <t>V10010</t>
        </is>
      </c>
      <c r="K4511" s="92" t="inlineStr">
        <is>
          <t>(법인카드)</t>
        </is>
      </c>
      <c r="M4511" s="9">
        <f>IF($A4511="","",VALUE($A4511&amp;"")*12+VALUE($B4511&amp;""))</f>
        <v/>
      </c>
      <c r="N4511" s="64">
        <f>IF($A4511="","",IFERROR(INDEX(부서매핑!$C$5:$C$504,MATCH($G4511&amp;"",부서매핑!$A$5:$A$504,0)),"미매핑"))</f>
        <v/>
      </c>
      <c r="O4511" s="9">
        <f>IF($A4511="","",N4511&amp;"|"&amp;$F4511)</f>
        <v/>
      </c>
      <c r="P4511" s="94">
        <f>IF($A4511="",0,$H4511*설정!$C$23)</f>
        <v/>
      </c>
      <c r="Q4511" s="64">
        <f>IF($A4511="","",IF(O4511&lt;&gt;원인분석!$C$9,"",IF(AND(M4511&gt;=원인분석!$C$10,M4511&lt;=원인분석!$C$11),"당기",IF(AND(M4511&gt;=원인분석!$C$12,M4511&lt;=원인분석!$C$13),"비교",""))))</f>
        <v/>
      </c>
      <c r="R4511" s="9">
        <f>IF(Q4511="","",$K4511&amp;"")</f>
        <v/>
      </c>
      <c r="S4511" s="9">
        <f>IF(Q4511="","",IF(MATCH(R4511,$R$5:$R$100000,0)=ROW()-4,ROW(),""))</f>
        <v/>
      </c>
      <c r="T4511" s="9">
        <f>IF(Q4511="당기",ABS(P4511)+ROW()/1000000000,"")</f>
        <v/>
      </c>
      <c r="U4511" s="9">
        <f>IF(Q4511="비교",ABS(P4511)+ROW()/1000000000,"")</f>
        <v/>
      </c>
      <c r="V4511" s="64">
        <f>IF($A4511="","",IF(COUNTIF(변동분석!$E$7:$E$506,O4511)&gt;0,"Y","N"))</f>
        <v/>
      </c>
      <c r="W4511" s="64">
        <f>IF($A4511="","",IFERROR(INDEX(계정매핑!$D$5:$D$504,MATCH($F4511&amp;"",계정매핑!$A$5:$A$504,0)),"미매핑"))</f>
        <v/>
      </c>
      <c r="X4511" s="9">
        <f>IF($A4511="","",$F4511&amp;"")</f>
        <v/>
      </c>
      <c r="Y4511" s="94">
        <f>IF($A4511="",0,IF(AE4511="직접",IF(AF4511="비귀속",$P4511,0),$P4511*(1-AG4511)*IFERROR(INDEX(계정대체기준!$F$20:$F$49,MATCH($N4511,계정대체기준!$A$20:$A$49,0)),1)))</f>
        <v/>
      </c>
      <c r="Z4511" s="94">
        <f>IF($A4511="",0,IF(AE4511="직접",IF(AF4511="신계약비",$P4511,0),$P4511*(1-AG4511)*IFERROR(INDEX(계정대체기준!$C$20:$C$49,MATCH($N4511,계정대체기준!$A$20:$A$49,0)),0)))</f>
        <v/>
      </c>
      <c r="AA4511" s="94">
        <f>IF($A4511="",0,IF(AE4511="직접",IF(OR(AF4511="유지비",AF4511="손해조사비"),$P4511,0),$P4511*(1-AG4511)*IFERROR(INDEX(계정대체기준!$D$20:$D$49,MATCH($N4511,계정대체기준!$A$20:$A$49,0)),0)))</f>
        <v/>
      </c>
      <c r="AB4511" s="94">
        <f>IF($A4511="",0,IF(AE4511="직접",IF(AF4511="수금비",$P4511,0),$P4511*(1-AG4511)*IFERROR(INDEX(계정대체기준!$E$20:$E$49,MATCH($N4511,계정대체기준!$A$20:$A$49,0)),0)))</f>
        <v/>
      </c>
      <c r="AC4511" s="9">
        <f>IF(AND($A4511&lt;&gt;"",M4511=설정!$C$20,Z4511&gt;0),Z4511+ROW()/1000000000,"")</f>
        <v/>
      </c>
      <c r="AD4511" s="94">
        <f>IF($A4511="",0,$P4511*AG4511)</f>
        <v/>
      </c>
      <c r="AE4511" s="64">
        <f>IF($A4511="","",IFERROR(INDEX(계정매핑!$E$5:$E$504,MATCH($F4511&amp;"",계정매핑!$A$5:$A$504,0))&amp;"","공통비"))</f>
        <v/>
      </c>
      <c r="AF4511" s="64">
        <f>IF($A4511="","",IF(AE4511="직접",IFERROR(INDEX(계정매핑!$F$5:$F$504,MATCH($F4511&amp;"",계정매핑!$A$5:$A$504,0))&amp;"","비귀속"),""))</f>
        <v/>
      </c>
      <c r="AG4511" s="96">
        <f>IF($A4511="",0,IF(AND(AE4511&lt;&gt;"직접",IFERROR(INDEX(계정매핑!$G$5:$G$504,MATCH($F4511&amp;"",계정매핑!$A$5:$A$504,0))&amp;"","")="유지비",COUNTIF(계정대체기준!$A$6:$A$15,$N4511)&gt;0),IFERROR(INDEX(계정대체기준!$E$6:$E$15,MATCH(VALUE($A4511&amp;""),계정대체기준!$D$6:$D$15,0)),0),0))</f>
        <v/>
      </c>
      <c r="AH4511" s="64">
        <f>IF($A4511="","",IF(AD4511=0,"",IF(OR(COUNTIF(계정대체기준!$A$77:$A$86,$N4511)&gt;0,ISNUMBER(MATCH($X4511,계정대체기준!$D$77:$D$86,0)),ISNUMBER(MATCH($F4511,계정대체기준!$D$77:$D$86,0))),"Y","N")))</f>
        <v/>
      </c>
    </row>
    <row r="4512">
      <c r="A4512" s="92" t="n">
        <v>2026</v>
      </c>
      <c r="B4512" s="92" t="n">
        <v>8</v>
      </c>
      <c r="C4512" s="92" t="inlineStr">
        <is>
          <t>5100001790</t>
        </is>
      </c>
      <c r="D4512" s="95" t="n">
        <v>46257</v>
      </c>
      <c r="E4512" s="92" t="inlineStr">
        <is>
          <t>KR</t>
        </is>
      </c>
      <c r="F4512" s="92" t="n">
        <v>62101000</v>
      </c>
      <c r="G4512" s="92" t="n">
        <v>1951</v>
      </c>
      <c r="H4512" s="93" t="n">
        <v>348000</v>
      </c>
      <c r="I4512" s="92" t="inlineStr">
        <is>
          <t>8월 국내출장 - L여행사</t>
        </is>
      </c>
      <c r="J4512" s="92" t="inlineStr">
        <is>
          <t>V10018</t>
        </is>
      </c>
      <c r="K4512" s="92" t="inlineStr">
        <is>
          <t>L여행사</t>
        </is>
      </c>
      <c r="M4512" s="9">
        <f>IF($A4512="","",VALUE($A4512&amp;"")*12+VALUE($B4512&amp;""))</f>
        <v/>
      </c>
      <c r="N4512" s="64">
        <f>IF($A4512="","",IFERROR(INDEX(부서매핑!$C$5:$C$504,MATCH($G4512&amp;"",부서매핑!$A$5:$A$504,0)),"미매핑"))</f>
        <v/>
      </c>
      <c r="O4512" s="9">
        <f>IF($A4512="","",N4512&amp;"|"&amp;$F4512)</f>
        <v/>
      </c>
      <c r="P4512" s="94">
        <f>IF($A4512="",0,$H4512*설정!$C$23)</f>
        <v/>
      </c>
      <c r="Q4512" s="64">
        <f>IF($A4512="","",IF(O4512&lt;&gt;원인분석!$C$9,"",IF(AND(M4512&gt;=원인분석!$C$10,M4512&lt;=원인분석!$C$11),"당기",IF(AND(M4512&gt;=원인분석!$C$12,M4512&lt;=원인분석!$C$13),"비교",""))))</f>
        <v/>
      </c>
      <c r="R4512" s="9">
        <f>IF(Q4512="","",$K4512&amp;"")</f>
        <v/>
      </c>
      <c r="S4512" s="9">
        <f>IF(Q4512="","",IF(MATCH(R4512,$R$5:$R$100000,0)=ROW()-4,ROW(),""))</f>
        <v/>
      </c>
      <c r="T4512" s="9">
        <f>IF(Q4512="당기",ABS(P4512)+ROW()/1000000000,"")</f>
        <v/>
      </c>
      <c r="U4512" s="9">
        <f>IF(Q4512="비교",ABS(P4512)+ROW()/1000000000,"")</f>
        <v/>
      </c>
      <c r="V4512" s="64">
        <f>IF($A4512="","",IF(COUNTIF(변동분석!$E$7:$E$506,O4512)&gt;0,"Y","N"))</f>
        <v/>
      </c>
      <c r="W4512" s="64">
        <f>IF($A4512="","",IFERROR(INDEX(계정매핑!$D$5:$D$504,MATCH($F4512&amp;"",계정매핑!$A$5:$A$504,0)),"미매핑"))</f>
        <v/>
      </c>
      <c r="X4512" s="9">
        <f>IF($A4512="","",$F4512&amp;"")</f>
        <v/>
      </c>
      <c r="Y4512" s="94">
        <f>IF($A4512="",0,IF(AE4512="직접",IF(AF4512="비귀속",$P4512,0),$P4512*(1-AG4512)*IFERROR(INDEX(계정대체기준!$F$20:$F$49,MATCH($N4512,계정대체기준!$A$20:$A$49,0)),1)))</f>
        <v/>
      </c>
      <c r="Z4512" s="94">
        <f>IF($A4512="",0,IF(AE4512="직접",IF(AF4512="신계약비",$P4512,0),$P4512*(1-AG4512)*IFERROR(INDEX(계정대체기준!$C$20:$C$49,MATCH($N4512,계정대체기준!$A$20:$A$49,0)),0)))</f>
        <v/>
      </c>
      <c r="AA4512" s="94">
        <f>IF($A4512="",0,IF(AE4512="직접",IF(OR(AF4512="유지비",AF4512="손해조사비"),$P4512,0),$P4512*(1-AG4512)*IFERROR(INDEX(계정대체기준!$D$20:$D$49,MATCH($N4512,계정대체기준!$A$20:$A$49,0)),0)))</f>
        <v/>
      </c>
      <c r="AB4512" s="94">
        <f>IF($A4512="",0,IF(AE4512="직접",IF(AF4512="수금비",$P4512,0),$P4512*(1-AG4512)*IFERROR(INDEX(계정대체기준!$E$20:$E$49,MATCH($N4512,계정대체기준!$A$20:$A$49,0)),0)))</f>
        <v/>
      </c>
      <c r="AC4512" s="9">
        <f>IF(AND($A4512&lt;&gt;"",M4512=설정!$C$20,Z4512&gt;0),Z4512+ROW()/1000000000,"")</f>
        <v/>
      </c>
      <c r="AD4512" s="94">
        <f>IF($A4512="",0,$P4512*AG4512)</f>
        <v/>
      </c>
      <c r="AE4512" s="64">
        <f>IF($A4512="","",IFERROR(INDEX(계정매핑!$E$5:$E$504,MATCH($F4512&amp;"",계정매핑!$A$5:$A$504,0))&amp;"","공통비"))</f>
        <v/>
      </c>
      <c r="AF4512" s="64">
        <f>IF($A4512="","",IF(AE4512="직접",IFERROR(INDEX(계정매핑!$F$5:$F$504,MATCH($F4512&amp;"",계정매핑!$A$5:$A$504,0))&amp;"","비귀속"),""))</f>
        <v/>
      </c>
      <c r="AG4512" s="96">
        <f>IF($A4512="",0,IF(AND(AE4512&lt;&gt;"직접",IFERROR(INDEX(계정매핑!$G$5:$G$504,MATCH($F4512&amp;"",계정매핑!$A$5:$A$504,0))&amp;"","")="유지비",COUNTIF(계정대체기준!$A$6:$A$15,$N4512)&gt;0),IFERROR(INDEX(계정대체기준!$E$6:$E$15,MATCH(VALUE($A4512&amp;""),계정대체기준!$D$6:$D$15,0)),0),0))</f>
        <v/>
      </c>
      <c r="AH4512" s="64">
        <f>IF($A4512="","",IF(AD4512=0,"",IF(OR(COUNTIF(계정대체기준!$A$77:$A$86,$N4512)&gt;0,ISNUMBER(MATCH($X4512,계정대체기준!$D$77:$D$86,0)),ISNUMBER(MATCH($F4512,계정대체기준!$D$77:$D$86,0))),"Y","N")))</f>
        <v/>
      </c>
    </row>
    <row r="4513">
      <c r="A4513" s="92" t="n">
        <v>2026</v>
      </c>
      <c r="B4513" s="92" t="n">
        <v>8</v>
      </c>
      <c r="C4513" s="92" t="inlineStr">
        <is>
          <t>5100001791</t>
        </is>
      </c>
      <c r="D4513" s="95" t="n">
        <v>46257</v>
      </c>
      <c r="E4513" s="92" t="inlineStr">
        <is>
          <t>KR</t>
        </is>
      </c>
      <c r="F4513" s="92" t="n">
        <v>62102000</v>
      </c>
      <c r="G4513" s="92" t="n">
        <v>1201</v>
      </c>
      <c r="H4513" s="93" t="n">
        <v>83000</v>
      </c>
      <c r="I4513" s="92" t="inlineStr">
        <is>
          <t>8월 해외출장 - M항공</t>
        </is>
      </c>
      <c r="J4513" s="92" t="inlineStr">
        <is>
          <t>V10001</t>
        </is>
      </c>
      <c r="K4513" s="92" t="inlineStr">
        <is>
          <t>M항공</t>
        </is>
      </c>
      <c r="M4513" s="9">
        <f>IF($A4513="","",VALUE($A4513&amp;"")*12+VALUE($B4513&amp;""))</f>
        <v/>
      </c>
      <c r="N4513" s="64">
        <f>IF($A4513="","",IFERROR(INDEX(부서매핑!$C$5:$C$504,MATCH($G4513&amp;"",부서매핑!$A$5:$A$504,0)),"미매핑"))</f>
        <v/>
      </c>
      <c r="O4513" s="9">
        <f>IF($A4513="","",N4513&amp;"|"&amp;$F4513)</f>
        <v/>
      </c>
      <c r="P4513" s="94">
        <f>IF($A4513="",0,$H4513*설정!$C$23)</f>
        <v/>
      </c>
      <c r="Q4513" s="64">
        <f>IF($A4513="","",IF(O4513&lt;&gt;원인분석!$C$9,"",IF(AND(M4513&gt;=원인분석!$C$10,M4513&lt;=원인분석!$C$11),"당기",IF(AND(M4513&gt;=원인분석!$C$12,M4513&lt;=원인분석!$C$13),"비교",""))))</f>
        <v/>
      </c>
      <c r="R4513" s="9">
        <f>IF(Q4513="","",$K4513&amp;"")</f>
        <v/>
      </c>
      <c r="S4513" s="9">
        <f>IF(Q4513="","",IF(MATCH(R4513,$R$5:$R$100000,0)=ROW()-4,ROW(),""))</f>
        <v/>
      </c>
      <c r="T4513" s="9">
        <f>IF(Q4513="당기",ABS(P4513)+ROW()/1000000000,"")</f>
        <v/>
      </c>
      <c r="U4513" s="9">
        <f>IF(Q4513="비교",ABS(P4513)+ROW()/1000000000,"")</f>
        <v/>
      </c>
      <c r="V4513" s="64">
        <f>IF($A4513="","",IF(COUNTIF(변동분석!$E$7:$E$506,O4513)&gt;0,"Y","N"))</f>
        <v/>
      </c>
      <c r="W4513" s="64">
        <f>IF($A4513="","",IFERROR(INDEX(계정매핑!$D$5:$D$504,MATCH($F4513&amp;"",계정매핑!$A$5:$A$504,0)),"미매핑"))</f>
        <v/>
      </c>
      <c r="X4513" s="9">
        <f>IF($A4513="","",$F4513&amp;"")</f>
        <v/>
      </c>
      <c r="Y4513" s="94">
        <f>IF($A4513="",0,IF(AE4513="직접",IF(AF4513="비귀속",$P4513,0),$P4513*(1-AG4513)*IFERROR(INDEX(계정대체기준!$F$20:$F$49,MATCH($N4513,계정대체기준!$A$20:$A$49,0)),1)))</f>
        <v/>
      </c>
      <c r="Z4513" s="94">
        <f>IF($A4513="",0,IF(AE4513="직접",IF(AF4513="신계약비",$P4513,0),$P4513*(1-AG4513)*IFERROR(INDEX(계정대체기준!$C$20:$C$49,MATCH($N4513,계정대체기준!$A$20:$A$49,0)),0)))</f>
        <v/>
      </c>
      <c r="AA4513" s="94">
        <f>IF($A4513="",0,IF(AE4513="직접",IF(OR(AF4513="유지비",AF4513="손해조사비"),$P4513,0),$P4513*(1-AG4513)*IFERROR(INDEX(계정대체기준!$D$20:$D$49,MATCH($N4513,계정대체기준!$A$20:$A$49,0)),0)))</f>
        <v/>
      </c>
      <c r="AB4513" s="94">
        <f>IF($A4513="",0,IF(AE4513="직접",IF(AF4513="수금비",$P4513,0),$P4513*(1-AG4513)*IFERROR(INDEX(계정대체기준!$E$20:$E$49,MATCH($N4513,계정대체기준!$A$20:$A$49,0)),0)))</f>
        <v/>
      </c>
      <c r="AC4513" s="9">
        <f>IF(AND($A4513&lt;&gt;"",M4513=설정!$C$20,Z4513&gt;0),Z4513+ROW()/1000000000,"")</f>
        <v/>
      </c>
      <c r="AD4513" s="94">
        <f>IF($A4513="",0,$P4513*AG4513)</f>
        <v/>
      </c>
      <c r="AE4513" s="64">
        <f>IF($A4513="","",IFERROR(INDEX(계정매핑!$E$5:$E$504,MATCH($F4513&amp;"",계정매핑!$A$5:$A$504,0))&amp;"","공통비"))</f>
        <v/>
      </c>
      <c r="AF4513" s="64">
        <f>IF($A4513="","",IF(AE4513="직접",IFERROR(INDEX(계정매핑!$F$5:$F$504,MATCH($F4513&amp;"",계정매핑!$A$5:$A$504,0))&amp;"","비귀속"),""))</f>
        <v/>
      </c>
      <c r="AG4513" s="96">
        <f>IF($A4513="",0,IF(AND(AE4513&lt;&gt;"직접",IFERROR(INDEX(계정매핑!$G$5:$G$504,MATCH($F4513&amp;"",계정매핑!$A$5:$A$504,0))&amp;"","")="유지비",COUNTIF(계정대체기준!$A$6:$A$15,$N4513)&gt;0),IFERROR(INDEX(계정대체기준!$E$6:$E$15,MATCH(VALUE($A4513&amp;""),계정대체기준!$D$6:$D$15,0)),0),0))</f>
        <v/>
      </c>
      <c r="AH4513" s="64">
        <f>IF($A4513="","",IF(AD4513=0,"",IF(OR(COUNTIF(계정대체기준!$A$77:$A$86,$N4513)&gt;0,ISNUMBER(MATCH($X4513,계정대체기준!$D$77:$D$86,0)),ISNUMBER(MATCH($F4513,계정대체기준!$D$77:$D$86,0))),"Y","N")))</f>
        <v/>
      </c>
    </row>
    <row r="4514">
      <c r="A4514" s="92" t="n">
        <v>2026</v>
      </c>
      <c r="B4514" s="92" t="n">
        <v>8</v>
      </c>
      <c r="C4514" s="92" t="inlineStr">
        <is>
          <t>5100001792</t>
        </is>
      </c>
      <c r="D4514" s="95" t="n">
        <v>46257</v>
      </c>
      <c r="E4514" s="92" t="inlineStr">
        <is>
          <t>KR</t>
        </is>
      </c>
      <c r="F4514" s="92" t="n">
        <v>62102000</v>
      </c>
      <c r="G4514" s="92" t="n">
        <v>1501</v>
      </c>
      <c r="H4514" s="93" t="n">
        <v>94000</v>
      </c>
      <c r="I4514" s="92" t="inlineStr">
        <is>
          <t>8월 해외출장 - N호텔</t>
        </is>
      </c>
      <c r="J4514" s="92" t="inlineStr">
        <is>
          <t>V10009</t>
        </is>
      </c>
      <c r="K4514" s="92" t="inlineStr">
        <is>
          <t>N호텔</t>
        </is>
      </c>
      <c r="M4514" s="9">
        <f>IF($A4514="","",VALUE($A4514&amp;"")*12+VALUE($B4514&amp;""))</f>
        <v/>
      </c>
      <c r="N4514" s="64">
        <f>IF($A4514="","",IFERROR(INDEX(부서매핑!$C$5:$C$504,MATCH($G4514&amp;"",부서매핑!$A$5:$A$504,0)),"미매핑"))</f>
        <v/>
      </c>
      <c r="O4514" s="9">
        <f>IF($A4514="","",N4514&amp;"|"&amp;$F4514)</f>
        <v/>
      </c>
      <c r="P4514" s="94">
        <f>IF($A4514="",0,$H4514*설정!$C$23)</f>
        <v/>
      </c>
      <c r="Q4514" s="64">
        <f>IF($A4514="","",IF(O4514&lt;&gt;원인분석!$C$9,"",IF(AND(M4514&gt;=원인분석!$C$10,M4514&lt;=원인분석!$C$11),"당기",IF(AND(M4514&gt;=원인분석!$C$12,M4514&lt;=원인분석!$C$13),"비교",""))))</f>
        <v/>
      </c>
      <c r="R4514" s="9">
        <f>IF(Q4514="","",$K4514&amp;"")</f>
        <v/>
      </c>
      <c r="S4514" s="9">
        <f>IF(Q4514="","",IF(MATCH(R4514,$R$5:$R$100000,0)=ROW()-4,ROW(),""))</f>
        <v/>
      </c>
      <c r="T4514" s="9">
        <f>IF(Q4514="당기",ABS(P4514)+ROW()/1000000000,"")</f>
        <v/>
      </c>
      <c r="U4514" s="9">
        <f>IF(Q4514="비교",ABS(P4514)+ROW()/1000000000,"")</f>
        <v/>
      </c>
      <c r="V4514" s="64">
        <f>IF($A4514="","",IF(COUNTIF(변동분석!$E$7:$E$506,O4514)&gt;0,"Y","N"))</f>
        <v/>
      </c>
      <c r="W4514" s="64">
        <f>IF($A4514="","",IFERROR(INDEX(계정매핑!$D$5:$D$504,MATCH($F4514&amp;"",계정매핑!$A$5:$A$504,0)),"미매핑"))</f>
        <v/>
      </c>
      <c r="X4514" s="9">
        <f>IF($A4514="","",$F4514&amp;"")</f>
        <v/>
      </c>
      <c r="Y4514" s="94">
        <f>IF($A4514="",0,IF(AE4514="직접",IF(AF4514="비귀속",$P4514,0),$P4514*(1-AG4514)*IFERROR(INDEX(계정대체기준!$F$20:$F$49,MATCH($N4514,계정대체기준!$A$20:$A$49,0)),1)))</f>
        <v/>
      </c>
      <c r="Z4514" s="94">
        <f>IF($A4514="",0,IF(AE4514="직접",IF(AF4514="신계약비",$P4514,0),$P4514*(1-AG4514)*IFERROR(INDEX(계정대체기준!$C$20:$C$49,MATCH($N4514,계정대체기준!$A$20:$A$49,0)),0)))</f>
        <v/>
      </c>
      <c r="AA4514" s="94">
        <f>IF($A4514="",0,IF(AE4514="직접",IF(OR(AF4514="유지비",AF4514="손해조사비"),$P4514,0),$P4514*(1-AG4514)*IFERROR(INDEX(계정대체기준!$D$20:$D$49,MATCH($N4514,계정대체기준!$A$20:$A$49,0)),0)))</f>
        <v/>
      </c>
      <c r="AB4514" s="94">
        <f>IF($A4514="",0,IF(AE4514="직접",IF(AF4514="수금비",$P4514,0),$P4514*(1-AG4514)*IFERROR(INDEX(계정대체기준!$E$20:$E$49,MATCH($N4514,계정대체기준!$A$20:$A$49,0)),0)))</f>
        <v/>
      </c>
      <c r="AC4514" s="9">
        <f>IF(AND($A4514&lt;&gt;"",M4514=설정!$C$20,Z4514&gt;0),Z4514+ROW()/1000000000,"")</f>
        <v/>
      </c>
      <c r="AD4514" s="94">
        <f>IF($A4514="",0,$P4514*AG4514)</f>
        <v/>
      </c>
      <c r="AE4514" s="64">
        <f>IF($A4514="","",IFERROR(INDEX(계정매핑!$E$5:$E$504,MATCH($F4514&amp;"",계정매핑!$A$5:$A$504,0))&amp;"","공통비"))</f>
        <v/>
      </c>
      <c r="AF4514" s="64">
        <f>IF($A4514="","",IF(AE4514="직접",IFERROR(INDEX(계정매핑!$F$5:$F$504,MATCH($F4514&amp;"",계정매핑!$A$5:$A$504,0))&amp;"","비귀속"),""))</f>
        <v/>
      </c>
      <c r="AG4514" s="96">
        <f>IF($A4514="",0,IF(AND(AE4514&lt;&gt;"직접",IFERROR(INDEX(계정매핑!$G$5:$G$504,MATCH($F4514&amp;"",계정매핑!$A$5:$A$504,0))&amp;"","")="유지비",COUNTIF(계정대체기준!$A$6:$A$15,$N4514)&gt;0),IFERROR(INDEX(계정대체기준!$E$6:$E$15,MATCH(VALUE($A4514&amp;""),계정대체기준!$D$6:$D$15,0)),0),0))</f>
        <v/>
      </c>
      <c r="AH4514" s="64">
        <f>IF($A4514="","",IF(AD4514=0,"",IF(OR(COUNTIF(계정대체기준!$A$77:$A$86,$N4514)&gt;0,ISNUMBER(MATCH($X4514,계정대체기준!$D$77:$D$86,0)),ISNUMBER(MATCH($F4514,계정대체기준!$D$77:$D$86,0))),"Y","N")))</f>
        <v/>
      </c>
    </row>
    <row r="4515">
      <c r="A4515" s="92" t="n">
        <v>2026</v>
      </c>
      <c r="B4515" s="92" t="n">
        <v>8</v>
      </c>
      <c r="C4515" s="92" t="inlineStr">
        <is>
          <t>5100001793</t>
        </is>
      </c>
      <c r="D4515" s="95" t="n">
        <v>46257</v>
      </c>
      <c r="E4515" s="92" t="inlineStr">
        <is>
          <t>KR</t>
        </is>
      </c>
      <c r="F4515" s="92" t="n">
        <v>62102000</v>
      </c>
      <c r="G4515" s="92" t="n">
        <v>1602</v>
      </c>
      <c r="H4515" s="93" t="n">
        <v>280000</v>
      </c>
      <c r="I4515" s="92" t="inlineStr">
        <is>
          <t>8월 해외출장 - N호텔</t>
        </is>
      </c>
      <c r="J4515" s="92" t="inlineStr">
        <is>
          <t>V10009</t>
        </is>
      </c>
      <c r="K4515" s="92" t="inlineStr">
        <is>
          <t>N호텔</t>
        </is>
      </c>
      <c r="M4515" s="9">
        <f>IF($A4515="","",VALUE($A4515&amp;"")*12+VALUE($B4515&amp;""))</f>
        <v/>
      </c>
      <c r="N4515" s="64">
        <f>IF($A4515="","",IFERROR(INDEX(부서매핑!$C$5:$C$504,MATCH($G4515&amp;"",부서매핑!$A$5:$A$504,0)),"미매핑"))</f>
        <v/>
      </c>
      <c r="O4515" s="9">
        <f>IF($A4515="","",N4515&amp;"|"&amp;$F4515)</f>
        <v/>
      </c>
      <c r="P4515" s="94">
        <f>IF($A4515="",0,$H4515*설정!$C$23)</f>
        <v/>
      </c>
      <c r="Q4515" s="64">
        <f>IF($A4515="","",IF(O4515&lt;&gt;원인분석!$C$9,"",IF(AND(M4515&gt;=원인분석!$C$10,M4515&lt;=원인분석!$C$11),"당기",IF(AND(M4515&gt;=원인분석!$C$12,M4515&lt;=원인분석!$C$13),"비교",""))))</f>
        <v/>
      </c>
      <c r="R4515" s="9">
        <f>IF(Q4515="","",$K4515&amp;"")</f>
        <v/>
      </c>
      <c r="S4515" s="9">
        <f>IF(Q4515="","",IF(MATCH(R4515,$R$5:$R$100000,0)=ROW()-4,ROW(),""))</f>
        <v/>
      </c>
      <c r="T4515" s="9">
        <f>IF(Q4515="당기",ABS(P4515)+ROW()/1000000000,"")</f>
        <v/>
      </c>
      <c r="U4515" s="9">
        <f>IF(Q4515="비교",ABS(P4515)+ROW()/1000000000,"")</f>
        <v/>
      </c>
      <c r="V4515" s="64">
        <f>IF($A4515="","",IF(COUNTIF(변동분석!$E$7:$E$506,O4515)&gt;0,"Y","N"))</f>
        <v/>
      </c>
      <c r="W4515" s="64">
        <f>IF($A4515="","",IFERROR(INDEX(계정매핑!$D$5:$D$504,MATCH($F4515&amp;"",계정매핑!$A$5:$A$504,0)),"미매핑"))</f>
        <v/>
      </c>
      <c r="X4515" s="9">
        <f>IF($A4515="","",$F4515&amp;"")</f>
        <v/>
      </c>
      <c r="Y4515" s="94">
        <f>IF($A4515="",0,IF(AE4515="직접",IF(AF4515="비귀속",$P4515,0),$P4515*(1-AG4515)*IFERROR(INDEX(계정대체기준!$F$20:$F$49,MATCH($N4515,계정대체기준!$A$20:$A$49,0)),1)))</f>
        <v/>
      </c>
      <c r="Z4515" s="94">
        <f>IF($A4515="",0,IF(AE4515="직접",IF(AF4515="신계약비",$P4515,0),$P4515*(1-AG4515)*IFERROR(INDEX(계정대체기준!$C$20:$C$49,MATCH($N4515,계정대체기준!$A$20:$A$49,0)),0)))</f>
        <v/>
      </c>
      <c r="AA4515" s="94">
        <f>IF($A4515="",0,IF(AE4515="직접",IF(OR(AF4515="유지비",AF4515="손해조사비"),$P4515,0),$P4515*(1-AG4515)*IFERROR(INDEX(계정대체기준!$D$20:$D$49,MATCH($N4515,계정대체기준!$A$20:$A$49,0)),0)))</f>
        <v/>
      </c>
      <c r="AB4515" s="94">
        <f>IF($A4515="",0,IF(AE4515="직접",IF(AF4515="수금비",$P4515,0),$P4515*(1-AG4515)*IFERROR(INDEX(계정대체기준!$E$20:$E$49,MATCH($N4515,계정대체기준!$A$20:$A$49,0)),0)))</f>
        <v/>
      </c>
      <c r="AC4515" s="9">
        <f>IF(AND($A4515&lt;&gt;"",M4515=설정!$C$20,Z4515&gt;0),Z4515+ROW()/1000000000,"")</f>
        <v/>
      </c>
      <c r="AD4515" s="94">
        <f>IF($A4515="",0,$P4515*AG4515)</f>
        <v/>
      </c>
      <c r="AE4515" s="64">
        <f>IF($A4515="","",IFERROR(INDEX(계정매핑!$E$5:$E$504,MATCH($F4515&amp;"",계정매핑!$A$5:$A$504,0))&amp;"","공통비"))</f>
        <v/>
      </c>
      <c r="AF4515" s="64">
        <f>IF($A4515="","",IF(AE4515="직접",IFERROR(INDEX(계정매핑!$F$5:$F$504,MATCH($F4515&amp;"",계정매핑!$A$5:$A$504,0))&amp;"","비귀속"),""))</f>
        <v/>
      </c>
      <c r="AG4515" s="96">
        <f>IF($A4515="",0,IF(AND(AE4515&lt;&gt;"직접",IFERROR(INDEX(계정매핑!$G$5:$G$504,MATCH($F4515&amp;"",계정매핑!$A$5:$A$504,0))&amp;"","")="유지비",COUNTIF(계정대체기준!$A$6:$A$15,$N4515)&gt;0),IFERROR(INDEX(계정대체기준!$E$6:$E$15,MATCH(VALUE($A4515&amp;""),계정대체기준!$D$6:$D$15,0)),0),0))</f>
        <v/>
      </c>
      <c r="AH4515" s="64">
        <f>IF($A4515="","",IF(AD4515=0,"",IF(OR(COUNTIF(계정대체기준!$A$77:$A$86,$N4515)&gt;0,ISNUMBER(MATCH($X4515,계정대체기준!$D$77:$D$86,0)),ISNUMBER(MATCH($F4515,계정대체기준!$D$77:$D$86,0))),"Y","N")))</f>
        <v/>
      </c>
    </row>
    <row r="4516">
      <c r="A4516" s="92" t="n">
        <v>2026</v>
      </c>
      <c r="B4516" s="92" t="n">
        <v>8</v>
      </c>
      <c r="C4516" s="92" t="inlineStr">
        <is>
          <t>5100001794</t>
        </is>
      </c>
      <c r="D4516" s="95" t="n">
        <v>46257</v>
      </c>
      <c r="E4516" s="92" t="inlineStr">
        <is>
          <t>KR</t>
        </is>
      </c>
      <c r="F4516" s="92" t="n">
        <v>62501000</v>
      </c>
      <c r="G4516" s="92" t="n">
        <v>1801</v>
      </c>
      <c r="H4516" s="93" t="n">
        <v>184000</v>
      </c>
      <c r="I4516" s="92" t="inlineStr">
        <is>
          <t>8월 회의 다과 - (법인카드)</t>
        </is>
      </c>
      <c r="J4516" s="92" t="inlineStr">
        <is>
          <t>V10010</t>
        </is>
      </c>
      <c r="K4516" s="92" t="inlineStr">
        <is>
          <t>(법인카드)</t>
        </is>
      </c>
      <c r="M4516" s="9">
        <f>IF($A4516="","",VALUE($A4516&amp;"")*12+VALUE($B4516&amp;""))</f>
        <v/>
      </c>
      <c r="N4516" s="64">
        <f>IF($A4516="","",IFERROR(INDEX(부서매핑!$C$5:$C$504,MATCH($G4516&amp;"",부서매핑!$A$5:$A$504,0)),"미매핑"))</f>
        <v/>
      </c>
      <c r="O4516" s="9">
        <f>IF($A4516="","",N4516&amp;"|"&amp;$F4516)</f>
        <v/>
      </c>
      <c r="P4516" s="94">
        <f>IF($A4516="",0,$H4516*설정!$C$23)</f>
        <v/>
      </c>
      <c r="Q4516" s="64">
        <f>IF($A4516="","",IF(O4516&lt;&gt;원인분석!$C$9,"",IF(AND(M4516&gt;=원인분석!$C$10,M4516&lt;=원인분석!$C$11),"당기",IF(AND(M4516&gt;=원인분석!$C$12,M4516&lt;=원인분석!$C$13),"비교",""))))</f>
        <v/>
      </c>
      <c r="R4516" s="9">
        <f>IF(Q4516="","",$K4516&amp;"")</f>
        <v/>
      </c>
      <c r="S4516" s="9">
        <f>IF(Q4516="","",IF(MATCH(R4516,$R$5:$R$100000,0)=ROW()-4,ROW(),""))</f>
        <v/>
      </c>
      <c r="T4516" s="9">
        <f>IF(Q4516="당기",ABS(P4516)+ROW()/1000000000,"")</f>
        <v/>
      </c>
      <c r="U4516" s="9">
        <f>IF(Q4516="비교",ABS(P4516)+ROW()/1000000000,"")</f>
        <v/>
      </c>
      <c r="V4516" s="64">
        <f>IF($A4516="","",IF(COUNTIF(변동분석!$E$7:$E$506,O4516)&gt;0,"Y","N"))</f>
        <v/>
      </c>
      <c r="W4516" s="64">
        <f>IF($A4516="","",IFERROR(INDEX(계정매핑!$D$5:$D$504,MATCH($F4516&amp;"",계정매핑!$A$5:$A$504,0)),"미매핑"))</f>
        <v/>
      </c>
      <c r="X4516" s="9">
        <f>IF($A4516="","",$F4516&amp;"")</f>
        <v/>
      </c>
      <c r="Y4516" s="94">
        <f>IF($A4516="",0,IF(AE4516="직접",IF(AF4516="비귀속",$P4516,0),$P4516*(1-AG4516)*IFERROR(INDEX(계정대체기준!$F$20:$F$49,MATCH($N4516,계정대체기준!$A$20:$A$49,0)),1)))</f>
        <v/>
      </c>
      <c r="Z4516" s="94">
        <f>IF($A4516="",0,IF(AE4516="직접",IF(AF4516="신계약비",$P4516,0),$P4516*(1-AG4516)*IFERROR(INDEX(계정대체기준!$C$20:$C$49,MATCH($N4516,계정대체기준!$A$20:$A$49,0)),0)))</f>
        <v/>
      </c>
      <c r="AA4516" s="94">
        <f>IF($A4516="",0,IF(AE4516="직접",IF(OR(AF4516="유지비",AF4516="손해조사비"),$P4516,0),$P4516*(1-AG4516)*IFERROR(INDEX(계정대체기준!$D$20:$D$49,MATCH($N4516,계정대체기준!$A$20:$A$49,0)),0)))</f>
        <v/>
      </c>
      <c r="AB4516" s="94">
        <f>IF($A4516="",0,IF(AE4516="직접",IF(AF4516="수금비",$P4516,0),$P4516*(1-AG4516)*IFERROR(INDEX(계정대체기준!$E$20:$E$49,MATCH($N4516,계정대체기준!$A$20:$A$49,0)),0)))</f>
        <v/>
      </c>
      <c r="AC4516" s="9">
        <f>IF(AND($A4516&lt;&gt;"",M4516=설정!$C$20,Z4516&gt;0),Z4516+ROW()/1000000000,"")</f>
        <v/>
      </c>
      <c r="AD4516" s="94">
        <f>IF($A4516="",0,$P4516*AG4516)</f>
        <v/>
      </c>
      <c r="AE4516" s="64">
        <f>IF($A4516="","",IFERROR(INDEX(계정매핑!$E$5:$E$504,MATCH($F4516&amp;"",계정매핑!$A$5:$A$504,0))&amp;"","공통비"))</f>
        <v/>
      </c>
      <c r="AF4516" s="64">
        <f>IF($A4516="","",IF(AE4516="직접",IFERROR(INDEX(계정매핑!$F$5:$F$504,MATCH($F4516&amp;"",계정매핑!$A$5:$A$504,0))&amp;"","비귀속"),""))</f>
        <v/>
      </c>
      <c r="AG4516" s="96">
        <f>IF($A4516="",0,IF(AND(AE4516&lt;&gt;"직접",IFERROR(INDEX(계정매핑!$G$5:$G$504,MATCH($F4516&amp;"",계정매핑!$A$5:$A$504,0))&amp;"","")="유지비",COUNTIF(계정대체기준!$A$6:$A$15,$N4516)&gt;0),IFERROR(INDEX(계정대체기준!$E$6:$E$15,MATCH(VALUE($A4516&amp;""),계정대체기준!$D$6:$D$15,0)),0),0))</f>
        <v/>
      </c>
      <c r="AH4516" s="64">
        <f>IF($A4516="","",IF(AD4516=0,"",IF(OR(COUNTIF(계정대체기준!$A$77:$A$86,$N4516)&gt;0,ISNUMBER(MATCH($X4516,계정대체기준!$D$77:$D$86,0)),ISNUMBER(MATCH($F4516,계정대체기준!$D$77:$D$86,0))),"Y","N")))</f>
        <v/>
      </c>
    </row>
    <row r="4517">
      <c r="A4517" s="92" t="n">
        <v>2026</v>
      </c>
      <c r="B4517" s="92" t="n">
        <v>8</v>
      </c>
      <c r="C4517" s="92" t="inlineStr">
        <is>
          <t>5100001795</t>
        </is>
      </c>
      <c r="D4517" s="95" t="n">
        <v>46257</v>
      </c>
      <c r="E4517" s="92" t="inlineStr">
        <is>
          <t>KR</t>
        </is>
      </c>
      <c r="F4517" s="92" t="n">
        <v>62601000</v>
      </c>
      <c r="G4517" s="92" t="n">
        <v>1602</v>
      </c>
      <c r="H4517" s="93" t="n">
        <v>1362000</v>
      </c>
      <c r="I4517" s="92" t="inlineStr">
        <is>
          <t>8월 업무추진 - (법인카드)</t>
        </is>
      </c>
      <c r="J4517" s="92" t="inlineStr">
        <is>
          <t>V10010</t>
        </is>
      </c>
      <c r="K4517" s="92" t="inlineStr">
        <is>
          <t>(법인카드)</t>
        </is>
      </c>
      <c r="M4517" s="9">
        <f>IF($A4517="","",VALUE($A4517&amp;"")*12+VALUE($B4517&amp;""))</f>
        <v/>
      </c>
      <c r="N4517" s="64">
        <f>IF($A4517="","",IFERROR(INDEX(부서매핑!$C$5:$C$504,MATCH($G4517&amp;"",부서매핑!$A$5:$A$504,0)),"미매핑"))</f>
        <v/>
      </c>
      <c r="O4517" s="9">
        <f>IF($A4517="","",N4517&amp;"|"&amp;$F4517)</f>
        <v/>
      </c>
      <c r="P4517" s="94">
        <f>IF($A4517="",0,$H4517*설정!$C$23)</f>
        <v/>
      </c>
      <c r="Q4517" s="64">
        <f>IF($A4517="","",IF(O4517&lt;&gt;원인분석!$C$9,"",IF(AND(M4517&gt;=원인분석!$C$10,M4517&lt;=원인분석!$C$11),"당기",IF(AND(M4517&gt;=원인분석!$C$12,M4517&lt;=원인분석!$C$13),"비교",""))))</f>
        <v/>
      </c>
      <c r="R4517" s="9">
        <f>IF(Q4517="","",$K4517&amp;"")</f>
        <v/>
      </c>
      <c r="S4517" s="9">
        <f>IF(Q4517="","",IF(MATCH(R4517,$R$5:$R$100000,0)=ROW()-4,ROW(),""))</f>
        <v/>
      </c>
      <c r="T4517" s="9">
        <f>IF(Q4517="당기",ABS(P4517)+ROW()/1000000000,"")</f>
        <v/>
      </c>
      <c r="U4517" s="9">
        <f>IF(Q4517="비교",ABS(P4517)+ROW()/1000000000,"")</f>
        <v/>
      </c>
      <c r="V4517" s="64">
        <f>IF($A4517="","",IF(COUNTIF(변동분석!$E$7:$E$506,O4517)&gt;0,"Y","N"))</f>
        <v/>
      </c>
      <c r="W4517" s="64">
        <f>IF($A4517="","",IFERROR(INDEX(계정매핑!$D$5:$D$504,MATCH($F4517&amp;"",계정매핑!$A$5:$A$504,0)),"미매핑"))</f>
        <v/>
      </c>
      <c r="X4517" s="9">
        <f>IF($A4517="","",$F4517&amp;"")</f>
        <v/>
      </c>
      <c r="Y4517" s="94">
        <f>IF($A4517="",0,IF(AE4517="직접",IF(AF4517="비귀속",$P4517,0),$P4517*(1-AG4517)*IFERROR(INDEX(계정대체기준!$F$20:$F$49,MATCH($N4517,계정대체기준!$A$20:$A$49,0)),1)))</f>
        <v/>
      </c>
      <c r="Z4517" s="94">
        <f>IF($A4517="",0,IF(AE4517="직접",IF(AF4517="신계약비",$P4517,0),$P4517*(1-AG4517)*IFERROR(INDEX(계정대체기준!$C$20:$C$49,MATCH($N4517,계정대체기준!$A$20:$A$49,0)),0)))</f>
        <v/>
      </c>
      <c r="AA4517" s="94">
        <f>IF($A4517="",0,IF(AE4517="직접",IF(OR(AF4517="유지비",AF4517="손해조사비"),$P4517,0),$P4517*(1-AG4517)*IFERROR(INDEX(계정대체기준!$D$20:$D$49,MATCH($N4517,계정대체기준!$A$20:$A$49,0)),0)))</f>
        <v/>
      </c>
      <c r="AB4517" s="94">
        <f>IF($A4517="",0,IF(AE4517="직접",IF(AF4517="수금비",$P4517,0),$P4517*(1-AG4517)*IFERROR(INDEX(계정대체기준!$E$20:$E$49,MATCH($N4517,계정대체기준!$A$20:$A$49,0)),0)))</f>
        <v/>
      </c>
      <c r="AC4517" s="9">
        <f>IF(AND($A4517&lt;&gt;"",M4517=설정!$C$20,Z4517&gt;0),Z4517+ROW()/1000000000,"")</f>
        <v/>
      </c>
      <c r="AD4517" s="94">
        <f>IF($A4517="",0,$P4517*AG4517)</f>
        <v/>
      </c>
      <c r="AE4517" s="64">
        <f>IF($A4517="","",IFERROR(INDEX(계정매핑!$E$5:$E$504,MATCH($F4517&amp;"",계정매핑!$A$5:$A$504,0))&amp;"","공통비"))</f>
        <v/>
      </c>
      <c r="AF4517" s="64">
        <f>IF($A4517="","",IF(AE4517="직접",IFERROR(INDEX(계정매핑!$F$5:$F$504,MATCH($F4517&amp;"",계정매핑!$A$5:$A$504,0))&amp;"","비귀속"),""))</f>
        <v/>
      </c>
      <c r="AG4517" s="96">
        <f>IF($A4517="",0,IF(AND(AE4517&lt;&gt;"직접",IFERROR(INDEX(계정매핑!$G$5:$G$504,MATCH($F4517&amp;"",계정매핑!$A$5:$A$504,0))&amp;"","")="유지비",COUNTIF(계정대체기준!$A$6:$A$15,$N4517)&gt;0),IFERROR(INDEX(계정대체기준!$E$6:$E$15,MATCH(VALUE($A4517&amp;""),계정대체기준!$D$6:$D$15,0)),0),0))</f>
        <v/>
      </c>
      <c r="AH4517" s="64">
        <f>IF($A4517="","",IF(AD4517=0,"",IF(OR(COUNTIF(계정대체기준!$A$77:$A$86,$N4517)&gt;0,ISNUMBER(MATCH($X4517,계정대체기준!$D$77:$D$86,0)),ISNUMBER(MATCH($F4517,계정대체기준!$D$77:$D$86,0))),"Y","N")))</f>
        <v/>
      </c>
    </row>
    <row r="4518">
      <c r="A4518" s="92" t="n">
        <v>2026</v>
      </c>
      <c r="B4518" s="92" t="n">
        <v>8</v>
      </c>
      <c r="C4518" s="92" t="inlineStr">
        <is>
          <t>5100001796</t>
        </is>
      </c>
      <c r="D4518" s="95" t="n">
        <v>46257</v>
      </c>
      <c r="E4518" s="92" t="inlineStr">
        <is>
          <t>KR</t>
        </is>
      </c>
      <c r="F4518" s="92" t="n">
        <v>62901000</v>
      </c>
      <c r="G4518" s="92" t="n">
        <v>1801</v>
      </c>
      <c r="H4518" s="93" t="n">
        <v>5187000</v>
      </c>
      <c r="I4518" s="92" t="inlineStr">
        <is>
          <t>8월 자문 수수료 - K회계법인</t>
        </is>
      </c>
      <c r="J4518" s="92" t="inlineStr">
        <is>
          <t>V10011</t>
        </is>
      </c>
      <c r="K4518" s="92" t="inlineStr">
        <is>
          <t>K회계법인</t>
        </is>
      </c>
      <c r="M4518" s="9">
        <f>IF($A4518="","",VALUE($A4518&amp;"")*12+VALUE($B4518&amp;""))</f>
        <v/>
      </c>
      <c r="N4518" s="64">
        <f>IF($A4518="","",IFERROR(INDEX(부서매핑!$C$5:$C$504,MATCH($G4518&amp;"",부서매핑!$A$5:$A$504,0)),"미매핑"))</f>
        <v/>
      </c>
      <c r="O4518" s="9">
        <f>IF($A4518="","",N4518&amp;"|"&amp;$F4518)</f>
        <v/>
      </c>
      <c r="P4518" s="94">
        <f>IF($A4518="",0,$H4518*설정!$C$23)</f>
        <v/>
      </c>
      <c r="Q4518" s="64">
        <f>IF($A4518="","",IF(O4518&lt;&gt;원인분석!$C$9,"",IF(AND(M4518&gt;=원인분석!$C$10,M4518&lt;=원인분석!$C$11),"당기",IF(AND(M4518&gt;=원인분석!$C$12,M4518&lt;=원인분석!$C$13),"비교",""))))</f>
        <v/>
      </c>
      <c r="R4518" s="9">
        <f>IF(Q4518="","",$K4518&amp;"")</f>
        <v/>
      </c>
      <c r="S4518" s="9">
        <f>IF(Q4518="","",IF(MATCH(R4518,$R$5:$R$100000,0)=ROW()-4,ROW(),""))</f>
        <v/>
      </c>
      <c r="T4518" s="9">
        <f>IF(Q4518="당기",ABS(P4518)+ROW()/1000000000,"")</f>
        <v/>
      </c>
      <c r="U4518" s="9">
        <f>IF(Q4518="비교",ABS(P4518)+ROW()/1000000000,"")</f>
        <v/>
      </c>
      <c r="V4518" s="64">
        <f>IF($A4518="","",IF(COUNTIF(변동분석!$E$7:$E$506,O4518)&gt;0,"Y","N"))</f>
        <v/>
      </c>
      <c r="W4518" s="64">
        <f>IF($A4518="","",IFERROR(INDEX(계정매핑!$D$5:$D$504,MATCH($F4518&amp;"",계정매핑!$A$5:$A$504,0)),"미매핑"))</f>
        <v/>
      </c>
      <c r="X4518" s="9">
        <f>IF($A4518="","",$F4518&amp;"")</f>
        <v/>
      </c>
      <c r="Y4518" s="94">
        <f>IF($A4518="",0,IF(AE4518="직접",IF(AF4518="비귀속",$P4518,0),$P4518*(1-AG4518)*IFERROR(INDEX(계정대체기준!$F$20:$F$49,MATCH($N4518,계정대체기준!$A$20:$A$49,0)),1)))</f>
        <v/>
      </c>
      <c r="Z4518" s="94">
        <f>IF($A4518="",0,IF(AE4518="직접",IF(AF4518="신계약비",$P4518,0),$P4518*(1-AG4518)*IFERROR(INDEX(계정대체기준!$C$20:$C$49,MATCH($N4518,계정대체기준!$A$20:$A$49,0)),0)))</f>
        <v/>
      </c>
      <c r="AA4518" s="94">
        <f>IF($A4518="",0,IF(AE4518="직접",IF(OR(AF4518="유지비",AF4518="손해조사비"),$P4518,0),$P4518*(1-AG4518)*IFERROR(INDEX(계정대체기준!$D$20:$D$49,MATCH($N4518,계정대체기준!$A$20:$A$49,0)),0)))</f>
        <v/>
      </c>
      <c r="AB4518" s="94">
        <f>IF($A4518="",0,IF(AE4518="직접",IF(AF4518="수금비",$P4518,0),$P4518*(1-AG4518)*IFERROR(INDEX(계정대체기준!$E$20:$E$49,MATCH($N4518,계정대체기준!$A$20:$A$49,0)),0)))</f>
        <v/>
      </c>
      <c r="AC4518" s="9">
        <f>IF(AND($A4518&lt;&gt;"",M4518=설정!$C$20,Z4518&gt;0),Z4518+ROW()/1000000000,"")</f>
        <v/>
      </c>
      <c r="AD4518" s="94">
        <f>IF($A4518="",0,$P4518*AG4518)</f>
        <v/>
      </c>
      <c r="AE4518" s="64">
        <f>IF($A4518="","",IFERROR(INDEX(계정매핑!$E$5:$E$504,MATCH($F4518&amp;"",계정매핑!$A$5:$A$504,0))&amp;"","공통비"))</f>
        <v/>
      </c>
      <c r="AF4518" s="64">
        <f>IF($A4518="","",IF(AE4518="직접",IFERROR(INDEX(계정매핑!$F$5:$F$504,MATCH($F4518&amp;"",계정매핑!$A$5:$A$504,0))&amp;"","비귀속"),""))</f>
        <v/>
      </c>
      <c r="AG4518" s="96">
        <f>IF($A4518="",0,IF(AND(AE4518&lt;&gt;"직접",IFERROR(INDEX(계정매핑!$G$5:$G$504,MATCH($F4518&amp;"",계정매핑!$A$5:$A$504,0))&amp;"","")="유지비",COUNTIF(계정대체기준!$A$6:$A$15,$N4518)&gt;0),IFERROR(INDEX(계정대체기준!$E$6:$E$15,MATCH(VALUE($A4518&amp;""),계정대체기준!$D$6:$D$15,0)),0),0))</f>
        <v/>
      </c>
      <c r="AH4518" s="64">
        <f>IF($A4518="","",IF(AD4518=0,"",IF(OR(COUNTIF(계정대체기준!$A$77:$A$86,$N4518)&gt;0,ISNUMBER(MATCH($X4518,계정대체기준!$D$77:$D$86,0)),ISNUMBER(MATCH($F4518,계정대체기준!$D$77:$D$86,0))),"Y","N")))</f>
        <v/>
      </c>
    </row>
    <row r="4519">
      <c r="A4519" s="92" t="n">
        <v>2026</v>
      </c>
      <c r="B4519" s="92" t="n">
        <v>8</v>
      </c>
      <c r="C4519" s="92" t="inlineStr">
        <is>
          <t>5100001797</t>
        </is>
      </c>
      <c r="D4519" s="95" t="n">
        <v>46257</v>
      </c>
      <c r="E4519" s="92" t="inlineStr">
        <is>
          <t>KR</t>
        </is>
      </c>
      <c r="F4519" s="92" t="n">
        <v>62902000</v>
      </c>
      <c r="G4519" s="92" t="n">
        <v>1401</v>
      </c>
      <c r="H4519" s="93" t="n">
        <v>3071000</v>
      </c>
      <c r="I4519" s="92" t="inlineStr">
        <is>
          <t>8월 업무 위탁 수수료 - J콜센터</t>
        </is>
      </c>
      <c r="J4519" s="92" t="inlineStr">
        <is>
          <t>V10016</t>
        </is>
      </c>
      <c r="K4519" s="92" t="inlineStr">
        <is>
          <t>J콜센터</t>
        </is>
      </c>
      <c r="M4519" s="9">
        <f>IF($A4519="","",VALUE($A4519&amp;"")*12+VALUE($B4519&amp;""))</f>
        <v/>
      </c>
      <c r="N4519" s="64">
        <f>IF($A4519="","",IFERROR(INDEX(부서매핑!$C$5:$C$504,MATCH($G4519&amp;"",부서매핑!$A$5:$A$504,0)),"미매핑"))</f>
        <v/>
      </c>
      <c r="O4519" s="9">
        <f>IF($A4519="","",N4519&amp;"|"&amp;$F4519)</f>
        <v/>
      </c>
      <c r="P4519" s="94">
        <f>IF($A4519="",0,$H4519*설정!$C$23)</f>
        <v/>
      </c>
      <c r="Q4519" s="64">
        <f>IF($A4519="","",IF(O4519&lt;&gt;원인분석!$C$9,"",IF(AND(M4519&gt;=원인분석!$C$10,M4519&lt;=원인분석!$C$11),"당기",IF(AND(M4519&gt;=원인분석!$C$12,M4519&lt;=원인분석!$C$13),"비교",""))))</f>
        <v/>
      </c>
      <c r="R4519" s="9">
        <f>IF(Q4519="","",$K4519&amp;"")</f>
        <v/>
      </c>
      <c r="S4519" s="9">
        <f>IF(Q4519="","",IF(MATCH(R4519,$R$5:$R$100000,0)=ROW()-4,ROW(),""))</f>
        <v/>
      </c>
      <c r="T4519" s="9">
        <f>IF(Q4519="당기",ABS(P4519)+ROW()/1000000000,"")</f>
        <v/>
      </c>
      <c r="U4519" s="9">
        <f>IF(Q4519="비교",ABS(P4519)+ROW()/1000000000,"")</f>
        <v/>
      </c>
      <c r="V4519" s="64">
        <f>IF($A4519="","",IF(COUNTIF(변동분석!$E$7:$E$506,O4519)&gt;0,"Y","N"))</f>
        <v/>
      </c>
      <c r="W4519" s="64">
        <f>IF($A4519="","",IFERROR(INDEX(계정매핑!$D$5:$D$504,MATCH($F4519&amp;"",계정매핑!$A$5:$A$504,0)),"미매핑"))</f>
        <v/>
      </c>
      <c r="X4519" s="9">
        <f>IF($A4519="","",$F4519&amp;"")</f>
        <v/>
      </c>
      <c r="Y4519" s="94">
        <f>IF($A4519="",0,IF(AE4519="직접",IF(AF4519="비귀속",$P4519,0),$P4519*(1-AG4519)*IFERROR(INDEX(계정대체기준!$F$20:$F$49,MATCH($N4519,계정대체기준!$A$20:$A$49,0)),1)))</f>
        <v/>
      </c>
      <c r="Z4519" s="94">
        <f>IF($A4519="",0,IF(AE4519="직접",IF(AF4519="신계약비",$P4519,0),$P4519*(1-AG4519)*IFERROR(INDEX(계정대체기준!$C$20:$C$49,MATCH($N4519,계정대체기준!$A$20:$A$49,0)),0)))</f>
        <v/>
      </c>
      <c r="AA4519" s="94">
        <f>IF($A4519="",0,IF(AE4519="직접",IF(OR(AF4519="유지비",AF4519="손해조사비"),$P4519,0),$P4519*(1-AG4519)*IFERROR(INDEX(계정대체기준!$D$20:$D$49,MATCH($N4519,계정대체기준!$A$20:$A$49,0)),0)))</f>
        <v/>
      </c>
      <c r="AB4519" s="94">
        <f>IF($A4519="",0,IF(AE4519="직접",IF(AF4519="수금비",$P4519,0),$P4519*(1-AG4519)*IFERROR(INDEX(계정대체기준!$E$20:$E$49,MATCH($N4519,계정대체기준!$A$20:$A$49,0)),0)))</f>
        <v/>
      </c>
      <c r="AC4519" s="9">
        <f>IF(AND($A4519&lt;&gt;"",M4519=설정!$C$20,Z4519&gt;0),Z4519+ROW()/1000000000,"")</f>
        <v/>
      </c>
      <c r="AD4519" s="94">
        <f>IF($A4519="",0,$P4519*AG4519)</f>
        <v/>
      </c>
      <c r="AE4519" s="64">
        <f>IF($A4519="","",IFERROR(INDEX(계정매핑!$E$5:$E$504,MATCH($F4519&amp;"",계정매핑!$A$5:$A$504,0))&amp;"","공통비"))</f>
        <v/>
      </c>
      <c r="AF4519" s="64">
        <f>IF($A4519="","",IF(AE4519="직접",IFERROR(INDEX(계정매핑!$F$5:$F$504,MATCH($F4519&amp;"",계정매핑!$A$5:$A$504,0))&amp;"","비귀속"),""))</f>
        <v/>
      </c>
      <c r="AG4519" s="96">
        <f>IF($A4519="",0,IF(AND(AE4519&lt;&gt;"직접",IFERROR(INDEX(계정매핑!$G$5:$G$504,MATCH($F4519&amp;"",계정매핑!$A$5:$A$504,0))&amp;"","")="유지비",COUNTIF(계정대체기준!$A$6:$A$15,$N4519)&gt;0),IFERROR(INDEX(계정대체기준!$E$6:$E$15,MATCH(VALUE($A4519&amp;""),계정대체기준!$D$6:$D$15,0)),0),0))</f>
        <v/>
      </c>
      <c r="AH4519" s="64">
        <f>IF($A4519="","",IF(AD4519=0,"",IF(OR(COUNTIF(계정대체기준!$A$77:$A$86,$N4519)&gt;0,ISNUMBER(MATCH($X4519,계정대체기준!$D$77:$D$86,0)),ISNUMBER(MATCH($F4519,계정대체기준!$D$77:$D$86,0))),"Y","N")))</f>
        <v/>
      </c>
    </row>
    <row r="4520">
      <c r="A4520" s="92" t="n">
        <v>2026</v>
      </c>
      <c r="B4520" s="92" t="n">
        <v>8</v>
      </c>
      <c r="C4520" s="92" t="inlineStr">
        <is>
          <t>5100001798</t>
        </is>
      </c>
      <c r="D4520" s="95" t="n">
        <v>46257</v>
      </c>
      <c r="E4520" s="92" t="inlineStr">
        <is>
          <t>KR</t>
        </is>
      </c>
      <c r="F4520" s="92" t="n">
        <v>63001000</v>
      </c>
      <c r="G4520" s="92" t="n">
        <v>1701</v>
      </c>
      <c r="H4520" s="93" t="n">
        <v>22895000</v>
      </c>
      <c r="I4520" s="92" t="inlineStr">
        <is>
          <t>8월 SW 유지보수 - Y소프트</t>
        </is>
      </c>
      <c r="J4520" s="92" t="inlineStr">
        <is>
          <t>V10017</t>
        </is>
      </c>
      <c r="K4520" s="92" t="inlineStr">
        <is>
          <t>Y소프트</t>
        </is>
      </c>
      <c r="M4520" s="9">
        <f>IF($A4520="","",VALUE($A4520&amp;"")*12+VALUE($B4520&amp;""))</f>
        <v/>
      </c>
      <c r="N4520" s="64">
        <f>IF($A4520="","",IFERROR(INDEX(부서매핑!$C$5:$C$504,MATCH($G4520&amp;"",부서매핑!$A$5:$A$504,0)),"미매핑"))</f>
        <v/>
      </c>
      <c r="O4520" s="9">
        <f>IF($A4520="","",N4520&amp;"|"&amp;$F4520)</f>
        <v/>
      </c>
      <c r="P4520" s="94">
        <f>IF($A4520="",0,$H4520*설정!$C$23)</f>
        <v/>
      </c>
      <c r="Q4520" s="64">
        <f>IF($A4520="","",IF(O4520&lt;&gt;원인분석!$C$9,"",IF(AND(M4520&gt;=원인분석!$C$10,M4520&lt;=원인분석!$C$11),"당기",IF(AND(M4520&gt;=원인분석!$C$12,M4520&lt;=원인분석!$C$13),"비교",""))))</f>
        <v/>
      </c>
      <c r="R4520" s="9">
        <f>IF(Q4520="","",$K4520&amp;"")</f>
        <v/>
      </c>
      <c r="S4520" s="9">
        <f>IF(Q4520="","",IF(MATCH(R4520,$R$5:$R$100000,0)=ROW()-4,ROW(),""))</f>
        <v/>
      </c>
      <c r="T4520" s="9">
        <f>IF(Q4520="당기",ABS(P4520)+ROW()/1000000000,"")</f>
        <v/>
      </c>
      <c r="U4520" s="9">
        <f>IF(Q4520="비교",ABS(P4520)+ROW()/1000000000,"")</f>
        <v/>
      </c>
      <c r="V4520" s="64">
        <f>IF($A4520="","",IF(COUNTIF(변동분석!$E$7:$E$506,O4520)&gt;0,"Y","N"))</f>
        <v/>
      </c>
      <c r="W4520" s="64">
        <f>IF($A4520="","",IFERROR(INDEX(계정매핑!$D$5:$D$504,MATCH($F4520&amp;"",계정매핑!$A$5:$A$504,0)),"미매핑"))</f>
        <v/>
      </c>
      <c r="X4520" s="9">
        <f>IF($A4520="","",$F4520&amp;"")</f>
        <v/>
      </c>
      <c r="Y4520" s="94">
        <f>IF($A4520="",0,IF(AE4520="직접",IF(AF4520="비귀속",$P4520,0),$P4520*(1-AG4520)*IFERROR(INDEX(계정대체기준!$F$20:$F$49,MATCH($N4520,계정대체기준!$A$20:$A$49,0)),1)))</f>
        <v/>
      </c>
      <c r="Z4520" s="94">
        <f>IF($A4520="",0,IF(AE4520="직접",IF(AF4520="신계약비",$P4520,0),$P4520*(1-AG4520)*IFERROR(INDEX(계정대체기준!$C$20:$C$49,MATCH($N4520,계정대체기준!$A$20:$A$49,0)),0)))</f>
        <v/>
      </c>
      <c r="AA4520" s="94">
        <f>IF($A4520="",0,IF(AE4520="직접",IF(OR(AF4520="유지비",AF4520="손해조사비"),$P4520,0),$P4520*(1-AG4520)*IFERROR(INDEX(계정대체기준!$D$20:$D$49,MATCH($N4520,계정대체기준!$A$20:$A$49,0)),0)))</f>
        <v/>
      </c>
      <c r="AB4520" s="94">
        <f>IF($A4520="",0,IF(AE4520="직접",IF(AF4520="수금비",$P4520,0),$P4520*(1-AG4520)*IFERROR(INDEX(계정대체기준!$E$20:$E$49,MATCH($N4520,계정대체기준!$A$20:$A$49,0)),0)))</f>
        <v/>
      </c>
      <c r="AC4520" s="9">
        <f>IF(AND($A4520&lt;&gt;"",M4520=설정!$C$20,Z4520&gt;0),Z4520+ROW()/1000000000,"")</f>
        <v/>
      </c>
      <c r="AD4520" s="94">
        <f>IF($A4520="",0,$P4520*AG4520)</f>
        <v/>
      </c>
      <c r="AE4520" s="64">
        <f>IF($A4520="","",IFERROR(INDEX(계정매핑!$E$5:$E$504,MATCH($F4520&amp;"",계정매핑!$A$5:$A$504,0))&amp;"","공통비"))</f>
        <v/>
      </c>
      <c r="AF4520" s="64">
        <f>IF($A4520="","",IF(AE4520="직접",IFERROR(INDEX(계정매핑!$F$5:$F$504,MATCH($F4520&amp;"",계정매핑!$A$5:$A$504,0))&amp;"","비귀속"),""))</f>
        <v/>
      </c>
      <c r="AG4520" s="96">
        <f>IF($A4520="",0,IF(AND(AE4520&lt;&gt;"직접",IFERROR(INDEX(계정매핑!$G$5:$G$504,MATCH($F4520&amp;"",계정매핑!$A$5:$A$504,0))&amp;"","")="유지비",COUNTIF(계정대체기준!$A$6:$A$15,$N4520)&gt;0),IFERROR(INDEX(계정대체기준!$E$6:$E$15,MATCH(VALUE($A4520&amp;""),계정대체기준!$D$6:$D$15,0)),0),0))</f>
        <v/>
      </c>
      <c r="AH4520" s="64">
        <f>IF($A4520="","",IF(AD4520=0,"",IF(OR(COUNTIF(계정대체기준!$A$77:$A$86,$N4520)&gt;0,ISNUMBER(MATCH($X4520,계정대체기준!$D$77:$D$86,0)),ISNUMBER(MATCH($F4520,계정대체기준!$D$77:$D$86,0))),"Y","N")))</f>
        <v/>
      </c>
    </row>
    <row r="4521">
      <c r="A4521" s="92" t="n">
        <v>2026</v>
      </c>
      <c r="B4521" s="92" t="n">
        <v>8</v>
      </c>
      <c r="C4521" s="92" t="inlineStr">
        <is>
          <t>5100001799</t>
        </is>
      </c>
      <c r="D4521" s="95" t="n">
        <v>46258</v>
      </c>
      <c r="E4521" s="92" t="inlineStr">
        <is>
          <t>KR</t>
        </is>
      </c>
      <c r="F4521" s="92" t="n">
        <v>62101000</v>
      </c>
      <c r="G4521" s="92" t="n">
        <v>1801</v>
      </c>
      <c r="H4521" s="93" t="n">
        <v>195000</v>
      </c>
      <c r="I4521" s="92" t="inlineStr">
        <is>
          <t>8월 국내출장 - L여행사</t>
        </is>
      </c>
      <c r="J4521" s="92" t="inlineStr">
        <is>
          <t>V10018</t>
        </is>
      </c>
      <c r="K4521" s="92" t="inlineStr">
        <is>
          <t>L여행사</t>
        </is>
      </c>
      <c r="M4521" s="9">
        <f>IF($A4521="","",VALUE($A4521&amp;"")*12+VALUE($B4521&amp;""))</f>
        <v/>
      </c>
      <c r="N4521" s="64">
        <f>IF($A4521="","",IFERROR(INDEX(부서매핑!$C$5:$C$504,MATCH($G4521&amp;"",부서매핑!$A$5:$A$504,0)),"미매핑"))</f>
        <v/>
      </c>
      <c r="O4521" s="9">
        <f>IF($A4521="","",N4521&amp;"|"&amp;$F4521)</f>
        <v/>
      </c>
      <c r="P4521" s="94">
        <f>IF($A4521="",0,$H4521*설정!$C$23)</f>
        <v/>
      </c>
      <c r="Q4521" s="64">
        <f>IF($A4521="","",IF(O4521&lt;&gt;원인분석!$C$9,"",IF(AND(M4521&gt;=원인분석!$C$10,M4521&lt;=원인분석!$C$11),"당기",IF(AND(M4521&gt;=원인분석!$C$12,M4521&lt;=원인분석!$C$13),"비교",""))))</f>
        <v/>
      </c>
      <c r="R4521" s="9">
        <f>IF(Q4521="","",$K4521&amp;"")</f>
        <v/>
      </c>
      <c r="S4521" s="9">
        <f>IF(Q4521="","",IF(MATCH(R4521,$R$5:$R$100000,0)=ROW()-4,ROW(),""))</f>
        <v/>
      </c>
      <c r="T4521" s="9">
        <f>IF(Q4521="당기",ABS(P4521)+ROW()/1000000000,"")</f>
        <v/>
      </c>
      <c r="U4521" s="9">
        <f>IF(Q4521="비교",ABS(P4521)+ROW()/1000000000,"")</f>
        <v/>
      </c>
      <c r="V4521" s="64">
        <f>IF($A4521="","",IF(COUNTIF(변동분석!$E$7:$E$506,O4521)&gt;0,"Y","N"))</f>
        <v/>
      </c>
      <c r="W4521" s="64">
        <f>IF($A4521="","",IFERROR(INDEX(계정매핑!$D$5:$D$504,MATCH($F4521&amp;"",계정매핑!$A$5:$A$504,0)),"미매핑"))</f>
        <v/>
      </c>
      <c r="X4521" s="9">
        <f>IF($A4521="","",$F4521&amp;"")</f>
        <v/>
      </c>
      <c r="Y4521" s="94">
        <f>IF($A4521="",0,IF(AE4521="직접",IF(AF4521="비귀속",$P4521,0),$P4521*(1-AG4521)*IFERROR(INDEX(계정대체기준!$F$20:$F$49,MATCH($N4521,계정대체기준!$A$20:$A$49,0)),1)))</f>
        <v/>
      </c>
      <c r="Z4521" s="94">
        <f>IF($A4521="",0,IF(AE4521="직접",IF(AF4521="신계약비",$P4521,0),$P4521*(1-AG4521)*IFERROR(INDEX(계정대체기준!$C$20:$C$49,MATCH($N4521,계정대체기준!$A$20:$A$49,0)),0)))</f>
        <v/>
      </c>
      <c r="AA4521" s="94">
        <f>IF($A4521="",0,IF(AE4521="직접",IF(OR(AF4521="유지비",AF4521="손해조사비"),$P4521,0),$P4521*(1-AG4521)*IFERROR(INDEX(계정대체기준!$D$20:$D$49,MATCH($N4521,계정대체기준!$A$20:$A$49,0)),0)))</f>
        <v/>
      </c>
      <c r="AB4521" s="94">
        <f>IF($A4521="",0,IF(AE4521="직접",IF(AF4521="수금비",$P4521,0),$P4521*(1-AG4521)*IFERROR(INDEX(계정대체기준!$E$20:$E$49,MATCH($N4521,계정대체기준!$A$20:$A$49,0)),0)))</f>
        <v/>
      </c>
      <c r="AC4521" s="9">
        <f>IF(AND($A4521&lt;&gt;"",M4521=설정!$C$20,Z4521&gt;0),Z4521+ROW()/1000000000,"")</f>
        <v/>
      </c>
      <c r="AD4521" s="94">
        <f>IF($A4521="",0,$P4521*AG4521)</f>
        <v/>
      </c>
      <c r="AE4521" s="64">
        <f>IF($A4521="","",IFERROR(INDEX(계정매핑!$E$5:$E$504,MATCH($F4521&amp;"",계정매핑!$A$5:$A$504,0))&amp;"","공통비"))</f>
        <v/>
      </c>
      <c r="AF4521" s="64">
        <f>IF($A4521="","",IF(AE4521="직접",IFERROR(INDEX(계정매핑!$F$5:$F$504,MATCH($F4521&amp;"",계정매핑!$A$5:$A$504,0))&amp;"","비귀속"),""))</f>
        <v/>
      </c>
      <c r="AG4521" s="96">
        <f>IF($A4521="",0,IF(AND(AE4521&lt;&gt;"직접",IFERROR(INDEX(계정매핑!$G$5:$G$504,MATCH($F4521&amp;"",계정매핑!$A$5:$A$504,0))&amp;"","")="유지비",COUNTIF(계정대체기준!$A$6:$A$15,$N4521)&gt;0),IFERROR(INDEX(계정대체기준!$E$6:$E$15,MATCH(VALUE($A4521&amp;""),계정대체기준!$D$6:$D$15,0)),0),0))</f>
        <v/>
      </c>
      <c r="AH4521" s="64">
        <f>IF($A4521="","",IF(AD4521=0,"",IF(OR(COUNTIF(계정대체기준!$A$77:$A$86,$N4521)&gt;0,ISNUMBER(MATCH($X4521,계정대체기준!$D$77:$D$86,0)),ISNUMBER(MATCH($F4521,계정대체기준!$D$77:$D$86,0))),"Y","N")))</f>
        <v/>
      </c>
    </row>
    <row r="4522">
      <c r="A4522" s="92" t="n">
        <v>2026</v>
      </c>
      <c r="B4522" s="92" t="n">
        <v>8</v>
      </c>
      <c r="C4522" s="92" t="inlineStr">
        <is>
          <t>5100001800</t>
        </is>
      </c>
      <c r="D4522" s="95" t="n">
        <v>46258</v>
      </c>
      <c r="E4522" s="92" t="inlineStr">
        <is>
          <t>KR</t>
        </is>
      </c>
      <c r="F4522" s="92" t="n">
        <v>62101000</v>
      </c>
      <c r="G4522" s="92" t="n">
        <v>1801</v>
      </c>
      <c r="H4522" s="93" t="n">
        <v>198000</v>
      </c>
      <c r="I4522" s="92" t="inlineStr">
        <is>
          <t>8월 국내출장 - M항공</t>
        </is>
      </c>
      <c r="J4522" s="92" t="inlineStr">
        <is>
          <t>V10001</t>
        </is>
      </c>
      <c r="K4522" s="92" t="inlineStr">
        <is>
          <t>M항공</t>
        </is>
      </c>
      <c r="M4522" s="9">
        <f>IF($A4522="","",VALUE($A4522&amp;"")*12+VALUE($B4522&amp;""))</f>
        <v/>
      </c>
      <c r="N4522" s="64">
        <f>IF($A4522="","",IFERROR(INDEX(부서매핑!$C$5:$C$504,MATCH($G4522&amp;"",부서매핑!$A$5:$A$504,0)),"미매핑"))</f>
        <v/>
      </c>
      <c r="O4522" s="9">
        <f>IF($A4522="","",N4522&amp;"|"&amp;$F4522)</f>
        <v/>
      </c>
      <c r="P4522" s="94">
        <f>IF($A4522="",0,$H4522*설정!$C$23)</f>
        <v/>
      </c>
      <c r="Q4522" s="64">
        <f>IF($A4522="","",IF(O4522&lt;&gt;원인분석!$C$9,"",IF(AND(M4522&gt;=원인분석!$C$10,M4522&lt;=원인분석!$C$11),"당기",IF(AND(M4522&gt;=원인분석!$C$12,M4522&lt;=원인분석!$C$13),"비교",""))))</f>
        <v/>
      </c>
      <c r="R4522" s="9">
        <f>IF(Q4522="","",$K4522&amp;"")</f>
        <v/>
      </c>
      <c r="S4522" s="9">
        <f>IF(Q4522="","",IF(MATCH(R4522,$R$5:$R$100000,0)=ROW()-4,ROW(),""))</f>
        <v/>
      </c>
      <c r="T4522" s="9">
        <f>IF(Q4522="당기",ABS(P4522)+ROW()/1000000000,"")</f>
        <v/>
      </c>
      <c r="U4522" s="9">
        <f>IF(Q4522="비교",ABS(P4522)+ROW()/1000000000,"")</f>
        <v/>
      </c>
      <c r="V4522" s="64">
        <f>IF($A4522="","",IF(COUNTIF(변동분석!$E$7:$E$506,O4522)&gt;0,"Y","N"))</f>
        <v/>
      </c>
      <c r="W4522" s="64">
        <f>IF($A4522="","",IFERROR(INDEX(계정매핑!$D$5:$D$504,MATCH($F4522&amp;"",계정매핑!$A$5:$A$504,0)),"미매핑"))</f>
        <v/>
      </c>
      <c r="X4522" s="9">
        <f>IF($A4522="","",$F4522&amp;"")</f>
        <v/>
      </c>
      <c r="Y4522" s="94">
        <f>IF($A4522="",0,IF(AE4522="직접",IF(AF4522="비귀속",$P4522,0),$P4522*(1-AG4522)*IFERROR(INDEX(계정대체기준!$F$20:$F$49,MATCH($N4522,계정대체기준!$A$20:$A$49,0)),1)))</f>
        <v/>
      </c>
      <c r="Z4522" s="94">
        <f>IF($A4522="",0,IF(AE4522="직접",IF(AF4522="신계약비",$P4522,0),$P4522*(1-AG4522)*IFERROR(INDEX(계정대체기준!$C$20:$C$49,MATCH($N4522,계정대체기준!$A$20:$A$49,0)),0)))</f>
        <v/>
      </c>
      <c r="AA4522" s="94">
        <f>IF($A4522="",0,IF(AE4522="직접",IF(OR(AF4522="유지비",AF4522="손해조사비"),$P4522,0),$P4522*(1-AG4522)*IFERROR(INDEX(계정대체기준!$D$20:$D$49,MATCH($N4522,계정대체기준!$A$20:$A$49,0)),0)))</f>
        <v/>
      </c>
      <c r="AB4522" s="94">
        <f>IF($A4522="",0,IF(AE4522="직접",IF(AF4522="수금비",$P4522,0),$P4522*(1-AG4522)*IFERROR(INDEX(계정대체기준!$E$20:$E$49,MATCH($N4522,계정대체기준!$A$20:$A$49,0)),0)))</f>
        <v/>
      </c>
      <c r="AC4522" s="9">
        <f>IF(AND($A4522&lt;&gt;"",M4522=설정!$C$20,Z4522&gt;0),Z4522+ROW()/1000000000,"")</f>
        <v/>
      </c>
      <c r="AD4522" s="94">
        <f>IF($A4522="",0,$P4522*AG4522)</f>
        <v/>
      </c>
      <c r="AE4522" s="64">
        <f>IF($A4522="","",IFERROR(INDEX(계정매핑!$E$5:$E$504,MATCH($F4522&amp;"",계정매핑!$A$5:$A$504,0))&amp;"","공통비"))</f>
        <v/>
      </c>
      <c r="AF4522" s="64">
        <f>IF($A4522="","",IF(AE4522="직접",IFERROR(INDEX(계정매핑!$F$5:$F$504,MATCH($F4522&amp;"",계정매핑!$A$5:$A$504,0))&amp;"","비귀속"),""))</f>
        <v/>
      </c>
      <c r="AG4522" s="96">
        <f>IF($A4522="",0,IF(AND(AE4522&lt;&gt;"직접",IFERROR(INDEX(계정매핑!$G$5:$G$504,MATCH($F4522&amp;"",계정매핑!$A$5:$A$504,0))&amp;"","")="유지비",COUNTIF(계정대체기준!$A$6:$A$15,$N4522)&gt;0),IFERROR(INDEX(계정대체기준!$E$6:$E$15,MATCH(VALUE($A4522&amp;""),계정대체기준!$D$6:$D$15,0)),0),0))</f>
        <v/>
      </c>
      <c r="AH4522" s="64">
        <f>IF($A4522="","",IF(AD4522=0,"",IF(OR(COUNTIF(계정대체기준!$A$77:$A$86,$N4522)&gt;0,ISNUMBER(MATCH($X4522,계정대체기준!$D$77:$D$86,0)),ISNUMBER(MATCH($F4522,계정대체기준!$D$77:$D$86,0))),"Y","N")))</f>
        <v/>
      </c>
    </row>
    <row r="4523">
      <c r="A4523" s="92" t="n">
        <v>2026</v>
      </c>
      <c r="B4523" s="92" t="n">
        <v>8</v>
      </c>
      <c r="C4523" s="92" t="inlineStr">
        <is>
          <t>5100001801</t>
        </is>
      </c>
      <c r="D4523" s="95" t="n">
        <v>46258</v>
      </c>
      <c r="E4523" s="92" t="inlineStr">
        <is>
          <t>KR</t>
        </is>
      </c>
      <c r="F4523" s="92" t="n">
        <v>62102000</v>
      </c>
      <c r="G4523" s="92" t="n">
        <v>1701</v>
      </c>
      <c r="H4523" s="93" t="n">
        <v>51000</v>
      </c>
      <c r="I4523" s="92" t="inlineStr">
        <is>
          <t>8월 해외출장 - N호텔</t>
        </is>
      </c>
      <c r="J4523" s="92" t="inlineStr">
        <is>
          <t>V10009</t>
        </is>
      </c>
      <c r="K4523" s="92" t="inlineStr">
        <is>
          <t>N호텔</t>
        </is>
      </c>
      <c r="M4523" s="9">
        <f>IF($A4523="","",VALUE($A4523&amp;"")*12+VALUE($B4523&amp;""))</f>
        <v/>
      </c>
      <c r="N4523" s="64">
        <f>IF($A4523="","",IFERROR(INDEX(부서매핑!$C$5:$C$504,MATCH($G4523&amp;"",부서매핑!$A$5:$A$504,0)),"미매핑"))</f>
        <v/>
      </c>
      <c r="O4523" s="9">
        <f>IF($A4523="","",N4523&amp;"|"&amp;$F4523)</f>
        <v/>
      </c>
      <c r="P4523" s="94">
        <f>IF($A4523="",0,$H4523*설정!$C$23)</f>
        <v/>
      </c>
      <c r="Q4523" s="64">
        <f>IF($A4523="","",IF(O4523&lt;&gt;원인분석!$C$9,"",IF(AND(M4523&gt;=원인분석!$C$10,M4523&lt;=원인분석!$C$11),"당기",IF(AND(M4523&gt;=원인분석!$C$12,M4523&lt;=원인분석!$C$13),"비교",""))))</f>
        <v/>
      </c>
      <c r="R4523" s="9">
        <f>IF(Q4523="","",$K4523&amp;"")</f>
        <v/>
      </c>
      <c r="S4523" s="9">
        <f>IF(Q4523="","",IF(MATCH(R4523,$R$5:$R$100000,0)=ROW()-4,ROW(),""))</f>
        <v/>
      </c>
      <c r="T4523" s="9">
        <f>IF(Q4523="당기",ABS(P4523)+ROW()/1000000000,"")</f>
        <v/>
      </c>
      <c r="U4523" s="9">
        <f>IF(Q4523="비교",ABS(P4523)+ROW()/1000000000,"")</f>
        <v/>
      </c>
      <c r="V4523" s="64">
        <f>IF($A4523="","",IF(COUNTIF(변동분석!$E$7:$E$506,O4523)&gt;0,"Y","N"))</f>
        <v/>
      </c>
      <c r="W4523" s="64">
        <f>IF($A4523="","",IFERROR(INDEX(계정매핑!$D$5:$D$504,MATCH($F4523&amp;"",계정매핑!$A$5:$A$504,0)),"미매핑"))</f>
        <v/>
      </c>
      <c r="X4523" s="9">
        <f>IF($A4523="","",$F4523&amp;"")</f>
        <v/>
      </c>
      <c r="Y4523" s="94">
        <f>IF($A4523="",0,IF(AE4523="직접",IF(AF4523="비귀속",$P4523,0),$P4523*(1-AG4523)*IFERROR(INDEX(계정대체기준!$F$20:$F$49,MATCH($N4523,계정대체기준!$A$20:$A$49,0)),1)))</f>
        <v/>
      </c>
      <c r="Z4523" s="94">
        <f>IF($A4523="",0,IF(AE4523="직접",IF(AF4523="신계약비",$P4523,0),$P4523*(1-AG4523)*IFERROR(INDEX(계정대체기준!$C$20:$C$49,MATCH($N4523,계정대체기준!$A$20:$A$49,0)),0)))</f>
        <v/>
      </c>
      <c r="AA4523" s="94">
        <f>IF($A4523="",0,IF(AE4523="직접",IF(OR(AF4523="유지비",AF4523="손해조사비"),$P4523,0),$P4523*(1-AG4523)*IFERROR(INDEX(계정대체기준!$D$20:$D$49,MATCH($N4523,계정대체기준!$A$20:$A$49,0)),0)))</f>
        <v/>
      </c>
      <c r="AB4523" s="94">
        <f>IF($A4523="",0,IF(AE4523="직접",IF(AF4523="수금비",$P4523,0),$P4523*(1-AG4523)*IFERROR(INDEX(계정대체기준!$E$20:$E$49,MATCH($N4523,계정대체기준!$A$20:$A$49,0)),0)))</f>
        <v/>
      </c>
      <c r="AC4523" s="9">
        <f>IF(AND($A4523&lt;&gt;"",M4523=설정!$C$20,Z4523&gt;0),Z4523+ROW()/1000000000,"")</f>
        <v/>
      </c>
      <c r="AD4523" s="94">
        <f>IF($A4523="",0,$P4523*AG4523)</f>
        <v/>
      </c>
      <c r="AE4523" s="64">
        <f>IF($A4523="","",IFERROR(INDEX(계정매핑!$E$5:$E$504,MATCH($F4523&amp;"",계정매핑!$A$5:$A$504,0))&amp;"","공통비"))</f>
        <v/>
      </c>
      <c r="AF4523" s="64">
        <f>IF($A4523="","",IF(AE4523="직접",IFERROR(INDEX(계정매핑!$F$5:$F$504,MATCH($F4523&amp;"",계정매핑!$A$5:$A$504,0))&amp;"","비귀속"),""))</f>
        <v/>
      </c>
      <c r="AG4523" s="96">
        <f>IF($A4523="",0,IF(AND(AE4523&lt;&gt;"직접",IFERROR(INDEX(계정매핑!$G$5:$G$504,MATCH($F4523&amp;"",계정매핑!$A$5:$A$504,0))&amp;"","")="유지비",COUNTIF(계정대체기준!$A$6:$A$15,$N4523)&gt;0),IFERROR(INDEX(계정대체기준!$E$6:$E$15,MATCH(VALUE($A4523&amp;""),계정대체기준!$D$6:$D$15,0)),0),0))</f>
        <v/>
      </c>
      <c r="AH4523" s="64">
        <f>IF($A4523="","",IF(AD4523=0,"",IF(OR(COUNTIF(계정대체기준!$A$77:$A$86,$N4523)&gt;0,ISNUMBER(MATCH($X4523,계정대체기준!$D$77:$D$86,0)),ISNUMBER(MATCH($F4523,계정대체기준!$D$77:$D$86,0))),"Y","N")))</f>
        <v/>
      </c>
    </row>
    <row r="4524">
      <c r="A4524" s="92" t="n">
        <v>2026</v>
      </c>
      <c r="B4524" s="92" t="n">
        <v>8</v>
      </c>
      <c r="C4524" s="92" t="inlineStr">
        <is>
          <t>5100001802</t>
        </is>
      </c>
      <c r="D4524" s="95" t="n">
        <v>46258</v>
      </c>
      <c r="E4524" s="92" t="inlineStr">
        <is>
          <t>KR</t>
        </is>
      </c>
      <c r="F4524" s="92" t="n">
        <v>62201000</v>
      </c>
      <c r="G4524" s="92" t="n">
        <v>1201</v>
      </c>
      <c r="H4524" s="93" t="n">
        <v>172000</v>
      </c>
      <c r="I4524" s="92" t="inlineStr">
        <is>
          <t>8월 통신요금 - P통신</t>
        </is>
      </c>
      <c r="J4524" s="92" t="inlineStr">
        <is>
          <t>V10014</t>
        </is>
      </c>
      <c r="K4524" s="92" t="inlineStr">
        <is>
          <t>P통신</t>
        </is>
      </c>
      <c r="M4524" s="9">
        <f>IF($A4524="","",VALUE($A4524&amp;"")*12+VALUE($B4524&amp;""))</f>
        <v/>
      </c>
      <c r="N4524" s="64">
        <f>IF($A4524="","",IFERROR(INDEX(부서매핑!$C$5:$C$504,MATCH($G4524&amp;"",부서매핑!$A$5:$A$504,0)),"미매핑"))</f>
        <v/>
      </c>
      <c r="O4524" s="9">
        <f>IF($A4524="","",N4524&amp;"|"&amp;$F4524)</f>
        <v/>
      </c>
      <c r="P4524" s="94">
        <f>IF($A4524="",0,$H4524*설정!$C$23)</f>
        <v/>
      </c>
      <c r="Q4524" s="64">
        <f>IF($A4524="","",IF(O4524&lt;&gt;원인분석!$C$9,"",IF(AND(M4524&gt;=원인분석!$C$10,M4524&lt;=원인분석!$C$11),"당기",IF(AND(M4524&gt;=원인분석!$C$12,M4524&lt;=원인분석!$C$13),"비교",""))))</f>
        <v/>
      </c>
      <c r="R4524" s="9">
        <f>IF(Q4524="","",$K4524&amp;"")</f>
        <v/>
      </c>
      <c r="S4524" s="9">
        <f>IF(Q4524="","",IF(MATCH(R4524,$R$5:$R$100000,0)=ROW()-4,ROW(),""))</f>
        <v/>
      </c>
      <c r="T4524" s="9">
        <f>IF(Q4524="당기",ABS(P4524)+ROW()/1000000000,"")</f>
        <v/>
      </c>
      <c r="U4524" s="9">
        <f>IF(Q4524="비교",ABS(P4524)+ROW()/1000000000,"")</f>
        <v/>
      </c>
      <c r="V4524" s="64">
        <f>IF($A4524="","",IF(COUNTIF(변동분석!$E$7:$E$506,O4524)&gt;0,"Y","N"))</f>
        <v/>
      </c>
      <c r="W4524" s="64">
        <f>IF($A4524="","",IFERROR(INDEX(계정매핑!$D$5:$D$504,MATCH($F4524&amp;"",계정매핑!$A$5:$A$504,0)),"미매핑"))</f>
        <v/>
      </c>
      <c r="X4524" s="9">
        <f>IF($A4524="","",$F4524&amp;"")</f>
        <v/>
      </c>
      <c r="Y4524" s="94">
        <f>IF($A4524="",0,IF(AE4524="직접",IF(AF4524="비귀속",$P4524,0),$P4524*(1-AG4524)*IFERROR(INDEX(계정대체기준!$F$20:$F$49,MATCH($N4524,계정대체기준!$A$20:$A$49,0)),1)))</f>
        <v/>
      </c>
      <c r="Z4524" s="94">
        <f>IF($A4524="",0,IF(AE4524="직접",IF(AF4524="신계약비",$P4524,0),$P4524*(1-AG4524)*IFERROR(INDEX(계정대체기준!$C$20:$C$49,MATCH($N4524,계정대체기준!$A$20:$A$49,0)),0)))</f>
        <v/>
      </c>
      <c r="AA4524" s="94">
        <f>IF($A4524="",0,IF(AE4524="직접",IF(OR(AF4524="유지비",AF4524="손해조사비"),$P4524,0),$P4524*(1-AG4524)*IFERROR(INDEX(계정대체기준!$D$20:$D$49,MATCH($N4524,계정대체기준!$A$20:$A$49,0)),0)))</f>
        <v/>
      </c>
      <c r="AB4524" s="94">
        <f>IF($A4524="",0,IF(AE4524="직접",IF(AF4524="수금비",$P4524,0),$P4524*(1-AG4524)*IFERROR(INDEX(계정대체기준!$E$20:$E$49,MATCH($N4524,계정대체기준!$A$20:$A$49,0)),0)))</f>
        <v/>
      </c>
      <c r="AC4524" s="9">
        <f>IF(AND($A4524&lt;&gt;"",M4524=설정!$C$20,Z4524&gt;0),Z4524+ROW()/1000000000,"")</f>
        <v/>
      </c>
      <c r="AD4524" s="94">
        <f>IF($A4524="",0,$P4524*AG4524)</f>
        <v/>
      </c>
      <c r="AE4524" s="64">
        <f>IF($A4524="","",IFERROR(INDEX(계정매핑!$E$5:$E$504,MATCH($F4524&amp;"",계정매핑!$A$5:$A$504,0))&amp;"","공통비"))</f>
        <v/>
      </c>
      <c r="AF4524" s="64">
        <f>IF($A4524="","",IF(AE4524="직접",IFERROR(INDEX(계정매핑!$F$5:$F$504,MATCH($F4524&amp;"",계정매핑!$A$5:$A$504,0))&amp;"","비귀속"),""))</f>
        <v/>
      </c>
      <c r="AG4524" s="96">
        <f>IF($A4524="",0,IF(AND(AE4524&lt;&gt;"직접",IFERROR(INDEX(계정매핑!$G$5:$G$504,MATCH($F4524&amp;"",계정매핑!$A$5:$A$504,0))&amp;"","")="유지비",COUNTIF(계정대체기준!$A$6:$A$15,$N4524)&gt;0),IFERROR(INDEX(계정대체기준!$E$6:$E$15,MATCH(VALUE($A4524&amp;""),계정대체기준!$D$6:$D$15,0)),0),0))</f>
        <v/>
      </c>
      <c r="AH4524" s="64">
        <f>IF($A4524="","",IF(AD4524=0,"",IF(OR(COUNTIF(계정대체기준!$A$77:$A$86,$N4524)&gt;0,ISNUMBER(MATCH($X4524,계정대체기준!$D$77:$D$86,0)),ISNUMBER(MATCH($F4524,계정대체기준!$D$77:$D$86,0))),"Y","N")))</f>
        <v/>
      </c>
    </row>
    <row r="4525">
      <c r="A4525" s="92" t="n">
        <v>2026</v>
      </c>
      <c r="B4525" s="92" t="n">
        <v>8</v>
      </c>
      <c r="C4525" s="92" t="inlineStr">
        <is>
          <t>5100001803</t>
        </is>
      </c>
      <c r="D4525" s="95" t="n">
        <v>46258</v>
      </c>
      <c r="E4525" s="92" t="inlineStr">
        <is>
          <t>KR</t>
        </is>
      </c>
      <c r="F4525" s="92" t="n">
        <v>62201000</v>
      </c>
      <c r="G4525" s="92" t="n">
        <v>1801</v>
      </c>
      <c r="H4525" s="93" t="n">
        <v>4768000</v>
      </c>
      <c r="I4525" s="92" t="inlineStr">
        <is>
          <t>8월 통신요금 - O텔레콤</t>
        </is>
      </c>
      <c r="J4525" s="92" t="inlineStr">
        <is>
          <t>V10002</t>
        </is>
      </c>
      <c r="K4525" s="92" t="inlineStr">
        <is>
          <t>O텔레콤</t>
        </is>
      </c>
      <c r="M4525" s="9">
        <f>IF($A4525="","",VALUE($A4525&amp;"")*12+VALUE($B4525&amp;""))</f>
        <v/>
      </c>
      <c r="N4525" s="64">
        <f>IF($A4525="","",IFERROR(INDEX(부서매핑!$C$5:$C$504,MATCH($G4525&amp;"",부서매핑!$A$5:$A$504,0)),"미매핑"))</f>
        <v/>
      </c>
      <c r="O4525" s="9">
        <f>IF($A4525="","",N4525&amp;"|"&amp;$F4525)</f>
        <v/>
      </c>
      <c r="P4525" s="94">
        <f>IF($A4525="",0,$H4525*설정!$C$23)</f>
        <v/>
      </c>
      <c r="Q4525" s="64">
        <f>IF($A4525="","",IF(O4525&lt;&gt;원인분석!$C$9,"",IF(AND(M4525&gt;=원인분석!$C$10,M4525&lt;=원인분석!$C$11),"당기",IF(AND(M4525&gt;=원인분석!$C$12,M4525&lt;=원인분석!$C$13),"비교",""))))</f>
        <v/>
      </c>
      <c r="R4525" s="9">
        <f>IF(Q4525="","",$K4525&amp;"")</f>
        <v/>
      </c>
      <c r="S4525" s="9">
        <f>IF(Q4525="","",IF(MATCH(R4525,$R$5:$R$100000,0)=ROW()-4,ROW(),""))</f>
        <v/>
      </c>
      <c r="T4525" s="9">
        <f>IF(Q4525="당기",ABS(P4525)+ROW()/1000000000,"")</f>
        <v/>
      </c>
      <c r="U4525" s="9">
        <f>IF(Q4525="비교",ABS(P4525)+ROW()/1000000000,"")</f>
        <v/>
      </c>
      <c r="V4525" s="64">
        <f>IF($A4525="","",IF(COUNTIF(변동분석!$E$7:$E$506,O4525)&gt;0,"Y","N"))</f>
        <v/>
      </c>
      <c r="W4525" s="64">
        <f>IF($A4525="","",IFERROR(INDEX(계정매핑!$D$5:$D$504,MATCH($F4525&amp;"",계정매핑!$A$5:$A$504,0)),"미매핑"))</f>
        <v/>
      </c>
      <c r="X4525" s="9">
        <f>IF($A4525="","",$F4525&amp;"")</f>
        <v/>
      </c>
      <c r="Y4525" s="94">
        <f>IF($A4525="",0,IF(AE4525="직접",IF(AF4525="비귀속",$P4525,0),$P4525*(1-AG4525)*IFERROR(INDEX(계정대체기준!$F$20:$F$49,MATCH($N4525,계정대체기준!$A$20:$A$49,0)),1)))</f>
        <v/>
      </c>
      <c r="Z4525" s="94">
        <f>IF($A4525="",0,IF(AE4525="직접",IF(AF4525="신계약비",$P4525,0),$P4525*(1-AG4525)*IFERROR(INDEX(계정대체기준!$C$20:$C$49,MATCH($N4525,계정대체기준!$A$20:$A$49,0)),0)))</f>
        <v/>
      </c>
      <c r="AA4525" s="94">
        <f>IF($A4525="",0,IF(AE4525="직접",IF(OR(AF4525="유지비",AF4525="손해조사비"),$P4525,0),$P4525*(1-AG4525)*IFERROR(INDEX(계정대체기준!$D$20:$D$49,MATCH($N4525,계정대체기준!$A$20:$A$49,0)),0)))</f>
        <v/>
      </c>
      <c r="AB4525" s="94">
        <f>IF($A4525="",0,IF(AE4525="직접",IF(AF4525="수금비",$P4525,0),$P4525*(1-AG4525)*IFERROR(INDEX(계정대체기준!$E$20:$E$49,MATCH($N4525,계정대체기준!$A$20:$A$49,0)),0)))</f>
        <v/>
      </c>
      <c r="AC4525" s="9">
        <f>IF(AND($A4525&lt;&gt;"",M4525=설정!$C$20,Z4525&gt;0),Z4525+ROW()/1000000000,"")</f>
        <v/>
      </c>
      <c r="AD4525" s="94">
        <f>IF($A4525="",0,$P4525*AG4525)</f>
        <v/>
      </c>
      <c r="AE4525" s="64">
        <f>IF($A4525="","",IFERROR(INDEX(계정매핑!$E$5:$E$504,MATCH($F4525&amp;"",계정매핑!$A$5:$A$504,0))&amp;"","공통비"))</f>
        <v/>
      </c>
      <c r="AF4525" s="64">
        <f>IF($A4525="","",IF(AE4525="직접",IFERROR(INDEX(계정매핑!$F$5:$F$504,MATCH($F4525&amp;"",계정매핑!$A$5:$A$504,0))&amp;"","비귀속"),""))</f>
        <v/>
      </c>
      <c r="AG4525" s="96">
        <f>IF($A4525="",0,IF(AND(AE4525&lt;&gt;"직접",IFERROR(INDEX(계정매핑!$G$5:$G$504,MATCH($F4525&amp;"",계정매핑!$A$5:$A$504,0))&amp;"","")="유지비",COUNTIF(계정대체기준!$A$6:$A$15,$N4525)&gt;0),IFERROR(INDEX(계정대체기준!$E$6:$E$15,MATCH(VALUE($A4525&amp;""),계정대체기준!$D$6:$D$15,0)),0),0))</f>
        <v/>
      </c>
      <c r="AH4525" s="64">
        <f>IF($A4525="","",IF(AD4525=0,"",IF(OR(COUNTIF(계정대체기준!$A$77:$A$86,$N4525)&gt;0,ISNUMBER(MATCH($X4525,계정대체기준!$D$77:$D$86,0)),ISNUMBER(MATCH($F4525,계정대체기준!$D$77:$D$86,0))),"Y","N")))</f>
        <v/>
      </c>
    </row>
    <row r="4526">
      <c r="A4526" s="92" t="n">
        <v>2026</v>
      </c>
      <c r="B4526" s="92" t="n">
        <v>8</v>
      </c>
      <c r="C4526" s="92" t="inlineStr">
        <is>
          <t>5100001804</t>
        </is>
      </c>
      <c r="D4526" s="95" t="n">
        <v>46258</v>
      </c>
      <c r="E4526" s="92" t="inlineStr">
        <is>
          <t>KR</t>
        </is>
      </c>
      <c r="F4526" s="92" t="n">
        <v>62301000</v>
      </c>
      <c r="G4526" s="92" t="n">
        <v>1701</v>
      </c>
      <c r="H4526" s="93" t="n">
        <v>242000</v>
      </c>
      <c r="I4526" s="92" t="inlineStr">
        <is>
          <t>8월 소모품 구입 - R문구</t>
        </is>
      </c>
      <c r="J4526" s="92" t="inlineStr">
        <is>
          <t>V10022</t>
        </is>
      </c>
      <c r="K4526" s="92" t="inlineStr">
        <is>
          <t>R문구</t>
        </is>
      </c>
      <c r="M4526" s="9">
        <f>IF($A4526="","",VALUE($A4526&amp;"")*12+VALUE($B4526&amp;""))</f>
        <v/>
      </c>
      <c r="N4526" s="64">
        <f>IF($A4526="","",IFERROR(INDEX(부서매핑!$C$5:$C$504,MATCH($G4526&amp;"",부서매핑!$A$5:$A$504,0)),"미매핑"))</f>
        <v/>
      </c>
      <c r="O4526" s="9">
        <f>IF($A4526="","",N4526&amp;"|"&amp;$F4526)</f>
        <v/>
      </c>
      <c r="P4526" s="94">
        <f>IF($A4526="",0,$H4526*설정!$C$23)</f>
        <v/>
      </c>
      <c r="Q4526" s="64">
        <f>IF($A4526="","",IF(O4526&lt;&gt;원인분석!$C$9,"",IF(AND(M4526&gt;=원인분석!$C$10,M4526&lt;=원인분석!$C$11),"당기",IF(AND(M4526&gt;=원인분석!$C$12,M4526&lt;=원인분석!$C$13),"비교",""))))</f>
        <v/>
      </c>
      <c r="R4526" s="9">
        <f>IF(Q4526="","",$K4526&amp;"")</f>
        <v/>
      </c>
      <c r="S4526" s="9">
        <f>IF(Q4526="","",IF(MATCH(R4526,$R$5:$R$100000,0)=ROW()-4,ROW(),""))</f>
        <v/>
      </c>
      <c r="T4526" s="9">
        <f>IF(Q4526="당기",ABS(P4526)+ROW()/1000000000,"")</f>
        <v/>
      </c>
      <c r="U4526" s="9">
        <f>IF(Q4526="비교",ABS(P4526)+ROW()/1000000000,"")</f>
        <v/>
      </c>
      <c r="V4526" s="64">
        <f>IF($A4526="","",IF(COUNTIF(변동분석!$E$7:$E$506,O4526)&gt;0,"Y","N"))</f>
        <v/>
      </c>
      <c r="W4526" s="64">
        <f>IF($A4526="","",IFERROR(INDEX(계정매핑!$D$5:$D$504,MATCH($F4526&amp;"",계정매핑!$A$5:$A$504,0)),"미매핑"))</f>
        <v/>
      </c>
      <c r="X4526" s="9">
        <f>IF($A4526="","",$F4526&amp;"")</f>
        <v/>
      </c>
      <c r="Y4526" s="94">
        <f>IF($A4526="",0,IF(AE4526="직접",IF(AF4526="비귀속",$P4526,0),$P4526*(1-AG4526)*IFERROR(INDEX(계정대체기준!$F$20:$F$49,MATCH($N4526,계정대체기준!$A$20:$A$49,0)),1)))</f>
        <v/>
      </c>
      <c r="Z4526" s="94">
        <f>IF($A4526="",0,IF(AE4526="직접",IF(AF4526="신계약비",$P4526,0),$P4526*(1-AG4526)*IFERROR(INDEX(계정대체기준!$C$20:$C$49,MATCH($N4526,계정대체기준!$A$20:$A$49,0)),0)))</f>
        <v/>
      </c>
      <c r="AA4526" s="94">
        <f>IF($A4526="",0,IF(AE4526="직접",IF(OR(AF4526="유지비",AF4526="손해조사비"),$P4526,0),$P4526*(1-AG4526)*IFERROR(INDEX(계정대체기준!$D$20:$D$49,MATCH($N4526,계정대체기준!$A$20:$A$49,0)),0)))</f>
        <v/>
      </c>
      <c r="AB4526" s="94">
        <f>IF($A4526="",0,IF(AE4526="직접",IF(AF4526="수금비",$P4526,0),$P4526*(1-AG4526)*IFERROR(INDEX(계정대체기준!$E$20:$E$49,MATCH($N4526,계정대체기준!$A$20:$A$49,0)),0)))</f>
        <v/>
      </c>
      <c r="AC4526" s="9">
        <f>IF(AND($A4526&lt;&gt;"",M4526=설정!$C$20,Z4526&gt;0),Z4526+ROW()/1000000000,"")</f>
        <v/>
      </c>
      <c r="AD4526" s="94">
        <f>IF($A4526="",0,$P4526*AG4526)</f>
        <v/>
      </c>
      <c r="AE4526" s="64">
        <f>IF($A4526="","",IFERROR(INDEX(계정매핑!$E$5:$E$504,MATCH($F4526&amp;"",계정매핑!$A$5:$A$504,0))&amp;"","공통비"))</f>
        <v/>
      </c>
      <c r="AF4526" s="64">
        <f>IF($A4526="","",IF(AE4526="직접",IFERROR(INDEX(계정매핑!$F$5:$F$504,MATCH($F4526&amp;"",계정매핑!$A$5:$A$504,0))&amp;"","비귀속"),""))</f>
        <v/>
      </c>
      <c r="AG4526" s="96">
        <f>IF($A4526="",0,IF(AND(AE4526&lt;&gt;"직접",IFERROR(INDEX(계정매핑!$G$5:$G$504,MATCH($F4526&amp;"",계정매핑!$A$5:$A$504,0))&amp;"","")="유지비",COUNTIF(계정대체기준!$A$6:$A$15,$N4526)&gt;0),IFERROR(INDEX(계정대체기준!$E$6:$E$15,MATCH(VALUE($A4526&amp;""),계정대체기준!$D$6:$D$15,0)),0),0))</f>
        <v/>
      </c>
      <c r="AH4526" s="64">
        <f>IF($A4526="","",IF(AD4526=0,"",IF(OR(COUNTIF(계정대체기준!$A$77:$A$86,$N4526)&gt;0,ISNUMBER(MATCH($X4526,계정대체기준!$D$77:$D$86,0)),ISNUMBER(MATCH($F4526,계정대체기준!$D$77:$D$86,0))),"Y","N")))</f>
        <v/>
      </c>
    </row>
    <row r="4527">
      <c r="A4527" s="92" t="n">
        <v>2026</v>
      </c>
      <c r="B4527" s="92" t="n">
        <v>8</v>
      </c>
      <c r="C4527" s="92" t="inlineStr">
        <is>
          <t>5100001805</t>
        </is>
      </c>
      <c r="D4527" s="95" t="n">
        <v>46258</v>
      </c>
      <c r="E4527" s="92" t="inlineStr">
        <is>
          <t>KR</t>
        </is>
      </c>
      <c r="F4527" s="92" t="n">
        <v>62501000</v>
      </c>
      <c r="G4527" s="92" t="n">
        <v>1501</v>
      </c>
      <c r="H4527" s="93" t="n">
        <v>367000</v>
      </c>
      <c r="I4527" s="92" t="inlineStr">
        <is>
          <t>8월 회의 다과 - T케이터링</t>
        </is>
      </c>
      <c r="J4527" s="92" t="inlineStr">
        <is>
          <t>V10005</t>
        </is>
      </c>
      <c r="K4527" s="92" t="inlineStr">
        <is>
          <t>T케이터링</t>
        </is>
      </c>
      <c r="M4527" s="9">
        <f>IF($A4527="","",VALUE($A4527&amp;"")*12+VALUE($B4527&amp;""))</f>
        <v/>
      </c>
      <c r="N4527" s="64">
        <f>IF($A4527="","",IFERROR(INDEX(부서매핑!$C$5:$C$504,MATCH($G4527&amp;"",부서매핑!$A$5:$A$504,0)),"미매핑"))</f>
        <v/>
      </c>
      <c r="O4527" s="9">
        <f>IF($A4527="","",N4527&amp;"|"&amp;$F4527)</f>
        <v/>
      </c>
      <c r="P4527" s="94">
        <f>IF($A4527="",0,$H4527*설정!$C$23)</f>
        <v/>
      </c>
      <c r="Q4527" s="64">
        <f>IF($A4527="","",IF(O4527&lt;&gt;원인분석!$C$9,"",IF(AND(M4527&gt;=원인분석!$C$10,M4527&lt;=원인분석!$C$11),"당기",IF(AND(M4527&gt;=원인분석!$C$12,M4527&lt;=원인분석!$C$13),"비교",""))))</f>
        <v/>
      </c>
      <c r="R4527" s="9">
        <f>IF(Q4527="","",$K4527&amp;"")</f>
        <v/>
      </c>
      <c r="S4527" s="9">
        <f>IF(Q4527="","",IF(MATCH(R4527,$R$5:$R$100000,0)=ROW()-4,ROW(),""))</f>
        <v/>
      </c>
      <c r="T4527" s="9">
        <f>IF(Q4527="당기",ABS(P4527)+ROW()/1000000000,"")</f>
        <v/>
      </c>
      <c r="U4527" s="9">
        <f>IF(Q4527="비교",ABS(P4527)+ROW()/1000000000,"")</f>
        <v/>
      </c>
      <c r="V4527" s="64">
        <f>IF($A4527="","",IF(COUNTIF(변동분석!$E$7:$E$506,O4527)&gt;0,"Y","N"))</f>
        <v/>
      </c>
      <c r="W4527" s="64">
        <f>IF($A4527="","",IFERROR(INDEX(계정매핑!$D$5:$D$504,MATCH($F4527&amp;"",계정매핑!$A$5:$A$504,0)),"미매핑"))</f>
        <v/>
      </c>
      <c r="X4527" s="9">
        <f>IF($A4527="","",$F4527&amp;"")</f>
        <v/>
      </c>
      <c r="Y4527" s="94">
        <f>IF($A4527="",0,IF(AE4527="직접",IF(AF4527="비귀속",$P4527,0),$P4527*(1-AG4527)*IFERROR(INDEX(계정대체기준!$F$20:$F$49,MATCH($N4527,계정대체기준!$A$20:$A$49,0)),1)))</f>
        <v/>
      </c>
      <c r="Z4527" s="94">
        <f>IF($A4527="",0,IF(AE4527="직접",IF(AF4527="신계약비",$P4527,0),$P4527*(1-AG4527)*IFERROR(INDEX(계정대체기준!$C$20:$C$49,MATCH($N4527,계정대체기준!$A$20:$A$49,0)),0)))</f>
        <v/>
      </c>
      <c r="AA4527" s="94">
        <f>IF($A4527="",0,IF(AE4527="직접",IF(OR(AF4527="유지비",AF4527="손해조사비"),$P4527,0),$P4527*(1-AG4527)*IFERROR(INDEX(계정대체기준!$D$20:$D$49,MATCH($N4527,계정대체기준!$A$20:$A$49,0)),0)))</f>
        <v/>
      </c>
      <c r="AB4527" s="94">
        <f>IF($A4527="",0,IF(AE4527="직접",IF(AF4527="수금비",$P4527,0),$P4527*(1-AG4527)*IFERROR(INDEX(계정대체기준!$E$20:$E$49,MATCH($N4527,계정대체기준!$A$20:$A$49,0)),0)))</f>
        <v/>
      </c>
      <c r="AC4527" s="9">
        <f>IF(AND($A4527&lt;&gt;"",M4527=설정!$C$20,Z4527&gt;0),Z4527+ROW()/1000000000,"")</f>
        <v/>
      </c>
      <c r="AD4527" s="94">
        <f>IF($A4527="",0,$P4527*AG4527)</f>
        <v/>
      </c>
      <c r="AE4527" s="64">
        <f>IF($A4527="","",IFERROR(INDEX(계정매핑!$E$5:$E$504,MATCH($F4527&amp;"",계정매핑!$A$5:$A$504,0))&amp;"","공통비"))</f>
        <v/>
      </c>
      <c r="AF4527" s="64">
        <f>IF($A4527="","",IF(AE4527="직접",IFERROR(INDEX(계정매핑!$F$5:$F$504,MATCH($F4527&amp;"",계정매핑!$A$5:$A$504,0))&amp;"","비귀속"),""))</f>
        <v/>
      </c>
      <c r="AG4527" s="96">
        <f>IF($A4527="",0,IF(AND(AE4527&lt;&gt;"직접",IFERROR(INDEX(계정매핑!$G$5:$G$504,MATCH($F4527&amp;"",계정매핑!$A$5:$A$504,0))&amp;"","")="유지비",COUNTIF(계정대체기준!$A$6:$A$15,$N4527)&gt;0),IFERROR(INDEX(계정대체기준!$E$6:$E$15,MATCH(VALUE($A4527&amp;""),계정대체기준!$D$6:$D$15,0)),0),0))</f>
        <v/>
      </c>
      <c r="AH4527" s="64">
        <f>IF($A4527="","",IF(AD4527=0,"",IF(OR(COUNTIF(계정대체기준!$A$77:$A$86,$N4527)&gt;0,ISNUMBER(MATCH($X4527,계정대체기준!$D$77:$D$86,0)),ISNUMBER(MATCH($F4527,계정대체기준!$D$77:$D$86,0))),"Y","N")))</f>
        <v/>
      </c>
    </row>
    <row r="4528">
      <c r="A4528" s="92" t="n">
        <v>2026</v>
      </c>
      <c r="B4528" s="92" t="n">
        <v>8</v>
      </c>
      <c r="C4528" s="92" t="inlineStr">
        <is>
          <t>5100001806</t>
        </is>
      </c>
      <c r="D4528" s="95" t="n">
        <v>46258</v>
      </c>
      <c r="E4528" s="92" t="inlineStr">
        <is>
          <t>KR</t>
        </is>
      </c>
      <c r="F4528" s="92" t="n">
        <v>62501000</v>
      </c>
      <c r="G4528" s="92" t="n">
        <v>1801</v>
      </c>
      <c r="H4528" s="93" t="n">
        <v>141000</v>
      </c>
      <c r="I4528" s="92" t="inlineStr">
        <is>
          <t>8월 회의 다과 - (법인카드)</t>
        </is>
      </c>
      <c r="J4528" s="92" t="inlineStr">
        <is>
          <t>V10010</t>
        </is>
      </c>
      <c r="K4528" s="92" t="inlineStr">
        <is>
          <t>(법인카드)</t>
        </is>
      </c>
      <c r="M4528" s="9">
        <f>IF($A4528="","",VALUE($A4528&amp;"")*12+VALUE($B4528&amp;""))</f>
        <v/>
      </c>
      <c r="N4528" s="64">
        <f>IF($A4528="","",IFERROR(INDEX(부서매핑!$C$5:$C$504,MATCH($G4528&amp;"",부서매핑!$A$5:$A$504,0)),"미매핑"))</f>
        <v/>
      </c>
      <c r="O4528" s="9">
        <f>IF($A4528="","",N4528&amp;"|"&amp;$F4528)</f>
        <v/>
      </c>
      <c r="P4528" s="94">
        <f>IF($A4528="",0,$H4528*설정!$C$23)</f>
        <v/>
      </c>
      <c r="Q4528" s="64">
        <f>IF($A4528="","",IF(O4528&lt;&gt;원인분석!$C$9,"",IF(AND(M4528&gt;=원인분석!$C$10,M4528&lt;=원인분석!$C$11),"당기",IF(AND(M4528&gt;=원인분석!$C$12,M4528&lt;=원인분석!$C$13),"비교",""))))</f>
        <v/>
      </c>
      <c r="R4528" s="9">
        <f>IF(Q4528="","",$K4528&amp;"")</f>
        <v/>
      </c>
      <c r="S4528" s="9">
        <f>IF(Q4528="","",IF(MATCH(R4528,$R$5:$R$100000,0)=ROW()-4,ROW(),""))</f>
        <v/>
      </c>
      <c r="T4528" s="9">
        <f>IF(Q4528="당기",ABS(P4528)+ROW()/1000000000,"")</f>
        <v/>
      </c>
      <c r="U4528" s="9">
        <f>IF(Q4528="비교",ABS(P4528)+ROW()/1000000000,"")</f>
        <v/>
      </c>
      <c r="V4528" s="64">
        <f>IF($A4528="","",IF(COUNTIF(변동분석!$E$7:$E$506,O4528)&gt;0,"Y","N"))</f>
        <v/>
      </c>
      <c r="W4528" s="64">
        <f>IF($A4528="","",IFERROR(INDEX(계정매핑!$D$5:$D$504,MATCH($F4528&amp;"",계정매핑!$A$5:$A$504,0)),"미매핑"))</f>
        <v/>
      </c>
      <c r="X4528" s="9">
        <f>IF($A4528="","",$F4528&amp;"")</f>
        <v/>
      </c>
      <c r="Y4528" s="94">
        <f>IF($A4528="",0,IF(AE4528="직접",IF(AF4528="비귀속",$P4528,0),$P4528*(1-AG4528)*IFERROR(INDEX(계정대체기준!$F$20:$F$49,MATCH($N4528,계정대체기준!$A$20:$A$49,0)),1)))</f>
        <v/>
      </c>
      <c r="Z4528" s="94">
        <f>IF($A4528="",0,IF(AE4528="직접",IF(AF4528="신계약비",$P4528,0),$P4528*(1-AG4528)*IFERROR(INDEX(계정대체기준!$C$20:$C$49,MATCH($N4528,계정대체기준!$A$20:$A$49,0)),0)))</f>
        <v/>
      </c>
      <c r="AA4528" s="94">
        <f>IF($A4528="",0,IF(AE4528="직접",IF(OR(AF4528="유지비",AF4528="손해조사비"),$P4528,0),$P4528*(1-AG4528)*IFERROR(INDEX(계정대체기준!$D$20:$D$49,MATCH($N4528,계정대체기준!$A$20:$A$49,0)),0)))</f>
        <v/>
      </c>
      <c r="AB4528" s="94">
        <f>IF($A4528="",0,IF(AE4528="직접",IF(AF4528="수금비",$P4528,0),$P4528*(1-AG4528)*IFERROR(INDEX(계정대체기준!$E$20:$E$49,MATCH($N4528,계정대체기준!$A$20:$A$49,0)),0)))</f>
        <v/>
      </c>
      <c r="AC4528" s="9">
        <f>IF(AND($A4528&lt;&gt;"",M4528=설정!$C$20,Z4528&gt;0),Z4528+ROW()/1000000000,"")</f>
        <v/>
      </c>
      <c r="AD4528" s="94">
        <f>IF($A4528="",0,$P4528*AG4528)</f>
        <v/>
      </c>
      <c r="AE4528" s="64">
        <f>IF($A4528="","",IFERROR(INDEX(계정매핑!$E$5:$E$504,MATCH($F4528&amp;"",계정매핑!$A$5:$A$504,0))&amp;"","공통비"))</f>
        <v/>
      </c>
      <c r="AF4528" s="64">
        <f>IF($A4528="","",IF(AE4528="직접",IFERROR(INDEX(계정매핑!$F$5:$F$504,MATCH($F4528&amp;"",계정매핑!$A$5:$A$504,0))&amp;"","비귀속"),""))</f>
        <v/>
      </c>
      <c r="AG4528" s="96">
        <f>IF($A4528="",0,IF(AND(AE4528&lt;&gt;"직접",IFERROR(INDEX(계정매핑!$G$5:$G$504,MATCH($F4528&amp;"",계정매핑!$A$5:$A$504,0))&amp;"","")="유지비",COUNTIF(계정대체기준!$A$6:$A$15,$N4528)&gt;0),IFERROR(INDEX(계정대체기준!$E$6:$E$15,MATCH(VALUE($A4528&amp;""),계정대체기준!$D$6:$D$15,0)),0),0))</f>
        <v/>
      </c>
      <c r="AH4528" s="64">
        <f>IF($A4528="","",IF(AD4528=0,"",IF(OR(COUNTIF(계정대체기준!$A$77:$A$86,$N4528)&gt;0,ISNUMBER(MATCH($X4528,계정대체기준!$D$77:$D$86,0)),ISNUMBER(MATCH($F4528,계정대체기준!$D$77:$D$86,0))),"Y","N")))</f>
        <v/>
      </c>
    </row>
    <row r="4529">
      <c r="A4529" s="92" t="n">
        <v>2026</v>
      </c>
      <c r="B4529" s="92" t="n">
        <v>8</v>
      </c>
      <c r="C4529" s="92" t="inlineStr">
        <is>
          <t>5100001807</t>
        </is>
      </c>
      <c r="D4529" s="95" t="n">
        <v>46258</v>
      </c>
      <c r="E4529" s="92" t="inlineStr">
        <is>
          <t>KR</t>
        </is>
      </c>
      <c r="F4529" s="92" t="n">
        <v>62901000</v>
      </c>
      <c r="G4529" s="92" t="n">
        <v>1801</v>
      </c>
      <c r="H4529" s="93" t="n">
        <v>8164000</v>
      </c>
      <c r="I4529" s="92" t="inlineStr">
        <is>
          <t>8월 자문 수수료 - K회계법인</t>
        </is>
      </c>
      <c r="J4529" s="92" t="inlineStr">
        <is>
          <t>V10011</t>
        </is>
      </c>
      <c r="K4529" s="92" t="inlineStr">
        <is>
          <t>K회계법인</t>
        </is>
      </c>
      <c r="M4529" s="9">
        <f>IF($A4529="","",VALUE($A4529&amp;"")*12+VALUE($B4529&amp;""))</f>
        <v/>
      </c>
      <c r="N4529" s="64">
        <f>IF($A4529="","",IFERROR(INDEX(부서매핑!$C$5:$C$504,MATCH($G4529&amp;"",부서매핑!$A$5:$A$504,0)),"미매핑"))</f>
        <v/>
      </c>
      <c r="O4529" s="9">
        <f>IF($A4529="","",N4529&amp;"|"&amp;$F4529)</f>
        <v/>
      </c>
      <c r="P4529" s="94">
        <f>IF($A4529="",0,$H4529*설정!$C$23)</f>
        <v/>
      </c>
      <c r="Q4529" s="64">
        <f>IF($A4529="","",IF(O4529&lt;&gt;원인분석!$C$9,"",IF(AND(M4529&gt;=원인분석!$C$10,M4529&lt;=원인분석!$C$11),"당기",IF(AND(M4529&gt;=원인분석!$C$12,M4529&lt;=원인분석!$C$13),"비교",""))))</f>
        <v/>
      </c>
      <c r="R4529" s="9">
        <f>IF(Q4529="","",$K4529&amp;"")</f>
        <v/>
      </c>
      <c r="S4529" s="9">
        <f>IF(Q4529="","",IF(MATCH(R4529,$R$5:$R$100000,0)=ROW()-4,ROW(),""))</f>
        <v/>
      </c>
      <c r="T4529" s="9">
        <f>IF(Q4529="당기",ABS(P4529)+ROW()/1000000000,"")</f>
        <v/>
      </c>
      <c r="U4529" s="9">
        <f>IF(Q4529="비교",ABS(P4529)+ROW()/1000000000,"")</f>
        <v/>
      </c>
      <c r="V4529" s="64">
        <f>IF($A4529="","",IF(COUNTIF(변동분석!$E$7:$E$506,O4529)&gt;0,"Y","N"))</f>
        <v/>
      </c>
      <c r="W4529" s="64">
        <f>IF($A4529="","",IFERROR(INDEX(계정매핑!$D$5:$D$504,MATCH($F4529&amp;"",계정매핑!$A$5:$A$504,0)),"미매핑"))</f>
        <v/>
      </c>
      <c r="X4529" s="9">
        <f>IF($A4529="","",$F4529&amp;"")</f>
        <v/>
      </c>
      <c r="Y4529" s="94">
        <f>IF($A4529="",0,IF(AE4529="직접",IF(AF4529="비귀속",$P4529,0),$P4529*(1-AG4529)*IFERROR(INDEX(계정대체기준!$F$20:$F$49,MATCH($N4529,계정대체기준!$A$20:$A$49,0)),1)))</f>
        <v/>
      </c>
      <c r="Z4529" s="94">
        <f>IF($A4529="",0,IF(AE4529="직접",IF(AF4529="신계약비",$P4529,0),$P4529*(1-AG4529)*IFERROR(INDEX(계정대체기준!$C$20:$C$49,MATCH($N4529,계정대체기준!$A$20:$A$49,0)),0)))</f>
        <v/>
      </c>
      <c r="AA4529" s="94">
        <f>IF($A4529="",0,IF(AE4529="직접",IF(OR(AF4529="유지비",AF4529="손해조사비"),$P4529,0),$P4529*(1-AG4529)*IFERROR(INDEX(계정대체기준!$D$20:$D$49,MATCH($N4529,계정대체기준!$A$20:$A$49,0)),0)))</f>
        <v/>
      </c>
      <c r="AB4529" s="94">
        <f>IF($A4529="",0,IF(AE4529="직접",IF(AF4529="수금비",$P4529,0),$P4529*(1-AG4529)*IFERROR(INDEX(계정대체기준!$E$20:$E$49,MATCH($N4529,계정대체기준!$A$20:$A$49,0)),0)))</f>
        <v/>
      </c>
      <c r="AC4529" s="9">
        <f>IF(AND($A4529&lt;&gt;"",M4529=설정!$C$20,Z4529&gt;0),Z4529+ROW()/1000000000,"")</f>
        <v/>
      </c>
      <c r="AD4529" s="94">
        <f>IF($A4529="",0,$P4529*AG4529)</f>
        <v/>
      </c>
      <c r="AE4529" s="64">
        <f>IF($A4529="","",IFERROR(INDEX(계정매핑!$E$5:$E$504,MATCH($F4529&amp;"",계정매핑!$A$5:$A$504,0))&amp;"","공통비"))</f>
        <v/>
      </c>
      <c r="AF4529" s="64">
        <f>IF($A4529="","",IF(AE4529="직접",IFERROR(INDEX(계정매핑!$F$5:$F$504,MATCH($F4529&amp;"",계정매핑!$A$5:$A$504,0))&amp;"","비귀속"),""))</f>
        <v/>
      </c>
      <c r="AG4529" s="96">
        <f>IF($A4529="",0,IF(AND(AE4529&lt;&gt;"직접",IFERROR(INDEX(계정매핑!$G$5:$G$504,MATCH($F4529&amp;"",계정매핑!$A$5:$A$504,0))&amp;"","")="유지비",COUNTIF(계정대체기준!$A$6:$A$15,$N4529)&gt;0),IFERROR(INDEX(계정대체기준!$E$6:$E$15,MATCH(VALUE($A4529&amp;""),계정대체기준!$D$6:$D$15,0)),0),0))</f>
        <v/>
      </c>
      <c r="AH4529" s="64">
        <f>IF($A4529="","",IF(AD4529=0,"",IF(OR(COUNTIF(계정대체기준!$A$77:$A$86,$N4529)&gt;0,ISNUMBER(MATCH($X4529,계정대체기준!$D$77:$D$86,0)),ISNUMBER(MATCH($F4529,계정대체기준!$D$77:$D$86,0))),"Y","N")))</f>
        <v/>
      </c>
    </row>
    <row r="4530">
      <c r="A4530" s="92" t="n">
        <v>2026</v>
      </c>
      <c r="B4530" s="92" t="n">
        <v>8</v>
      </c>
      <c r="C4530" s="92" t="inlineStr">
        <is>
          <t>5100001808</t>
        </is>
      </c>
      <c r="D4530" s="95" t="n">
        <v>46258</v>
      </c>
      <c r="E4530" s="92" t="inlineStr">
        <is>
          <t>KR</t>
        </is>
      </c>
      <c r="F4530" s="92" t="n">
        <v>63501000</v>
      </c>
      <c r="G4530" s="92" t="n">
        <v>1902</v>
      </c>
      <c r="H4530" s="93" t="n">
        <v>243427000</v>
      </c>
      <c r="I4530" s="92" t="inlineStr">
        <is>
          <t>8월 모집수수료 - BB에셋</t>
        </is>
      </c>
      <c r="J4530" s="92" t="inlineStr">
        <is>
          <t>V10013</t>
        </is>
      </c>
      <c r="K4530" s="92" t="inlineStr">
        <is>
          <t>BB에셋</t>
        </is>
      </c>
      <c r="M4530" s="9">
        <f>IF($A4530="","",VALUE($A4530&amp;"")*12+VALUE($B4530&amp;""))</f>
        <v/>
      </c>
      <c r="N4530" s="64">
        <f>IF($A4530="","",IFERROR(INDEX(부서매핑!$C$5:$C$504,MATCH($G4530&amp;"",부서매핑!$A$5:$A$504,0)),"미매핑"))</f>
        <v/>
      </c>
      <c r="O4530" s="9">
        <f>IF($A4530="","",N4530&amp;"|"&amp;$F4530)</f>
        <v/>
      </c>
      <c r="P4530" s="94">
        <f>IF($A4530="",0,$H4530*설정!$C$23)</f>
        <v/>
      </c>
      <c r="Q4530" s="64">
        <f>IF($A4530="","",IF(O4530&lt;&gt;원인분석!$C$9,"",IF(AND(M4530&gt;=원인분석!$C$10,M4530&lt;=원인분석!$C$11),"당기",IF(AND(M4530&gt;=원인분석!$C$12,M4530&lt;=원인분석!$C$13),"비교",""))))</f>
        <v/>
      </c>
      <c r="R4530" s="9">
        <f>IF(Q4530="","",$K4530&amp;"")</f>
        <v/>
      </c>
      <c r="S4530" s="9">
        <f>IF(Q4530="","",IF(MATCH(R4530,$R$5:$R$100000,0)=ROW()-4,ROW(),""))</f>
        <v/>
      </c>
      <c r="T4530" s="9">
        <f>IF(Q4530="당기",ABS(P4530)+ROW()/1000000000,"")</f>
        <v/>
      </c>
      <c r="U4530" s="9">
        <f>IF(Q4530="비교",ABS(P4530)+ROW()/1000000000,"")</f>
        <v/>
      </c>
      <c r="V4530" s="64">
        <f>IF($A4530="","",IF(COUNTIF(변동분석!$E$7:$E$506,O4530)&gt;0,"Y","N"))</f>
        <v/>
      </c>
      <c r="W4530" s="64">
        <f>IF($A4530="","",IFERROR(INDEX(계정매핑!$D$5:$D$504,MATCH($F4530&amp;"",계정매핑!$A$5:$A$504,0)),"미매핑"))</f>
        <v/>
      </c>
      <c r="X4530" s="9">
        <f>IF($A4530="","",$F4530&amp;"")</f>
        <v/>
      </c>
      <c r="Y4530" s="94">
        <f>IF($A4530="",0,IF(AE4530="직접",IF(AF4530="비귀속",$P4530,0),$P4530*(1-AG4530)*IFERROR(INDEX(계정대체기준!$F$20:$F$49,MATCH($N4530,계정대체기준!$A$20:$A$49,0)),1)))</f>
        <v/>
      </c>
      <c r="Z4530" s="94">
        <f>IF($A4530="",0,IF(AE4530="직접",IF(AF4530="신계약비",$P4530,0),$P4530*(1-AG4530)*IFERROR(INDEX(계정대체기준!$C$20:$C$49,MATCH($N4530,계정대체기준!$A$20:$A$49,0)),0)))</f>
        <v/>
      </c>
      <c r="AA4530" s="94">
        <f>IF($A4530="",0,IF(AE4530="직접",IF(OR(AF4530="유지비",AF4530="손해조사비"),$P4530,0),$P4530*(1-AG4530)*IFERROR(INDEX(계정대체기준!$D$20:$D$49,MATCH($N4530,계정대체기준!$A$20:$A$49,0)),0)))</f>
        <v/>
      </c>
      <c r="AB4530" s="94">
        <f>IF($A4530="",0,IF(AE4530="직접",IF(AF4530="수금비",$P4530,0),$P4530*(1-AG4530)*IFERROR(INDEX(계정대체기준!$E$20:$E$49,MATCH($N4530,계정대체기준!$A$20:$A$49,0)),0)))</f>
        <v/>
      </c>
      <c r="AC4530" s="9">
        <f>IF(AND($A4530&lt;&gt;"",M4530=설정!$C$20,Z4530&gt;0),Z4530+ROW()/1000000000,"")</f>
        <v/>
      </c>
      <c r="AD4530" s="94">
        <f>IF($A4530="",0,$P4530*AG4530)</f>
        <v/>
      </c>
      <c r="AE4530" s="64">
        <f>IF($A4530="","",IFERROR(INDEX(계정매핑!$E$5:$E$504,MATCH($F4530&amp;"",계정매핑!$A$5:$A$504,0))&amp;"","공통비"))</f>
        <v/>
      </c>
      <c r="AF4530" s="64">
        <f>IF($A4530="","",IF(AE4530="직접",IFERROR(INDEX(계정매핑!$F$5:$F$504,MATCH($F4530&amp;"",계정매핑!$A$5:$A$504,0))&amp;"","비귀속"),""))</f>
        <v/>
      </c>
      <c r="AG4530" s="96">
        <f>IF($A4530="",0,IF(AND(AE4530&lt;&gt;"직접",IFERROR(INDEX(계정매핑!$G$5:$G$504,MATCH($F4530&amp;"",계정매핑!$A$5:$A$504,0))&amp;"","")="유지비",COUNTIF(계정대체기준!$A$6:$A$15,$N4530)&gt;0),IFERROR(INDEX(계정대체기준!$E$6:$E$15,MATCH(VALUE($A4530&amp;""),계정대체기준!$D$6:$D$15,0)),0),0))</f>
        <v/>
      </c>
      <c r="AH4530" s="64">
        <f>IF($A4530="","",IF(AD4530=0,"",IF(OR(COUNTIF(계정대체기준!$A$77:$A$86,$N4530)&gt;0,ISNUMBER(MATCH($X4530,계정대체기준!$D$77:$D$86,0)),ISNUMBER(MATCH($F4530,계정대체기준!$D$77:$D$86,0))),"Y","N")))</f>
        <v/>
      </c>
    </row>
    <row r="4531">
      <c r="A4531" s="92" t="n">
        <v>2026</v>
      </c>
      <c r="B4531" s="92" t="n">
        <v>8</v>
      </c>
      <c r="C4531" s="92" t="inlineStr">
        <is>
          <t>5100001809</t>
        </is>
      </c>
      <c r="D4531" s="95" t="n">
        <v>46258</v>
      </c>
      <c r="E4531" s="92" t="inlineStr">
        <is>
          <t>KR</t>
        </is>
      </c>
      <c r="F4531" s="92" t="n">
        <v>63501000</v>
      </c>
      <c r="G4531" s="92" t="n">
        <v>1902</v>
      </c>
      <c r="H4531" s="93" t="n">
        <v>287974000</v>
      </c>
      <c r="I4531" s="92" t="inlineStr">
        <is>
          <t>8월 모집수수료 - (전속설계사)</t>
        </is>
      </c>
      <c r="J4531" s="92" t="inlineStr">
        <is>
          <t>V10021</t>
        </is>
      </c>
      <c r="K4531" s="92" t="inlineStr">
        <is>
          <t>(전속설계사)</t>
        </is>
      </c>
      <c r="M4531" s="9">
        <f>IF($A4531="","",VALUE($A4531&amp;"")*12+VALUE($B4531&amp;""))</f>
        <v/>
      </c>
      <c r="N4531" s="64">
        <f>IF($A4531="","",IFERROR(INDEX(부서매핑!$C$5:$C$504,MATCH($G4531&amp;"",부서매핑!$A$5:$A$504,0)),"미매핑"))</f>
        <v/>
      </c>
      <c r="O4531" s="9">
        <f>IF($A4531="","",N4531&amp;"|"&amp;$F4531)</f>
        <v/>
      </c>
      <c r="P4531" s="94">
        <f>IF($A4531="",0,$H4531*설정!$C$23)</f>
        <v/>
      </c>
      <c r="Q4531" s="64">
        <f>IF($A4531="","",IF(O4531&lt;&gt;원인분석!$C$9,"",IF(AND(M4531&gt;=원인분석!$C$10,M4531&lt;=원인분석!$C$11),"당기",IF(AND(M4531&gt;=원인분석!$C$12,M4531&lt;=원인분석!$C$13),"비교",""))))</f>
        <v/>
      </c>
      <c r="R4531" s="9">
        <f>IF(Q4531="","",$K4531&amp;"")</f>
        <v/>
      </c>
      <c r="S4531" s="9">
        <f>IF(Q4531="","",IF(MATCH(R4531,$R$5:$R$100000,0)=ROW()-4,ROW(),""))</f>
        <v/>
      </c>
      <c r="T4531" s="9">
        <f>IF(Q4531="당기",ABS(P4531)+ROW()/1000000000,"")</f>
        <v/>
      </c>
      <c r="U4531" s="9">
        <f>IF(Q4531="비교",ABS(P4531)+ROW()/1000000000,"")</f>
        <v/>
      </c>
      <c r="V4531" s="64">
        <f>IF($A4531="","",IF(COUNTIF(변동분석!$E$7:$E$506,O4531)&gt;0,"Y","N"))</f>
        <v/>
      </c>
      <c r="W4531" s="64">
        <f>IF($A4531="","",IFERROR(INDEX(계정매핑!$D$5:$D$504,MATCH($F4531&amp;"",계정매핑!$A$5:$A$504,0)),"미매핑"))</f>
        <v/>
      </c>
      <c r="X4531" s="9">
        <f>IF($A4531="","",$F4531&amp;"")</f>
        <v/>
      </c>
      <c r="Y4531" s="94">
        <f>IF($A4531="",0,IF(AE4531="직접",IF(AF4531="비귀속",$P4531,0),$P4531*(1-AG4531)*IFERROR(INDEX(계정대체기준!$F$20:$F$49,MATCH($N4531,계정대체기준!$A$20:$A$49,0)),1)))</f>
        <v/>
      </c>
      <c r="Z4531" s="94">
        <f>IF($A4531="",0,IF(AE4531="직접",IF(AF4531="신계약비",$P4531,0),$P4531*(1-AG4531)*IFERROR(INDEX(계정대체기준!$C$20:$C$49,MATCH($N4531,계정대체기준!$A$20:$A$49,0)),0)))</f>
        <v/>
      </c>
      <c r="AA4531" s="94">
        <f>IF($A4531="",0,IF(AE4531="직접",IF(OR(AF4531="유지비",AF4531="손해조사비"),$P4531,0),$P4531*(1-AG4531)*IFERROR(INDEX(계정대체기준!$D$20:$D$49,MATCH($N4531,계정대체기준!$A$20:$A$49,0)),0)))</f>
        <v/>
      </c>
      <c r="AB4531" s="94">
        <f>IF($A4531="",0,IF(AE4531="직접",IF(AF4531="수금비",$P4531,0),$P4531*(1-AG4531)*IFERROR(INDEX(계정대체기준!$E$20:$E$49,MATCH($N4531,계정대체기준!$A$20:$A$49,0)),0)))</f>
        <v/>
      </c>
      <c r="AC4531" s="9">
        <f>IF(AND($A4531&lt;&gt;"",M4531=설정!$C$20,Z4531&gt;0),Z4531+ROW()/1000000000,"")</f>
        <v/>
      </c>
      <c r="AD4531" s="94">
        <f>IF($A4531="",0,$P4531*AG4531)</f>
        <v/>
      </c>
      <c r="AE4531" s="64">
        <f>IF($A4531="","",IFERROR(INDEX(계정매핑!$E$5:$E$504,MATCH($F4531&amp;"",계정매핑!$A$5:$A$504,0))&amp;"","공통비"))</f>
        <v/>
      </c>
      <c r="AF4531" s="64">
        <f>IF($A4531="","",IF(AE4531="직접",IFERROR(INDEX(계정매핑!$F$5:$F$504,MATCH($F4531&amp;"",계정매핑!$A$5:$A$504,0))&amp;"","비귀속"),""))</f>
        <v/>
      </c>
      <c r="AG4531" s="96">
        <f>IF($A4531="",0,IF(AND(AE4531&lt;&gt;"직접",IFERROR(INDEX(계정매핑!$G$5:$G$504,MATCH($F4531&amp;"",계정매핑!$A$5:$A$504,0))&amp;"","")="유지비",COUNTIF(계정대체기준!$A$6:$A$15,$N4531)&gt;0),IFERROR(INDEX(계정대체기준!$E$6:$E$15,MATCH(VALUE($A4531&amp;""),계정대체기준!$D$6:$D$15,0)),0),0))</f>
        <v/>
      </c>
      <c r="AH4531" s="64">
        <f>IF($A4531="","",IF(AD4531=0,"",IF(OR(COUNTIF(계정대체기준!$A$77:$A$86,$N4531)&gt;0,ISNUMBER(MATCH($X4531,계정대체기준!$D$77:$D$86,0)),ISNUMBER(MATCH($F4531,계정대체기준!$D$77:$D$86,0))),"Y","N")))</f>
        <v/>
      </c>
    </row>
    <row r="4532">
      <c r="A4532" s="92" t="n">
        <v>2026</v>
      </c>
      <c r="B4532" s="92" t="n">
        <v>8</v>
      </c>
      <c r="C4532" s="92" t="inlineStr">
        <is>
          <t>5100001810</t>
        </is>
      </c>
      <c r="D4532" s="95" t="n">
        <v>46259</v>
      </c>
      <c r="E4532" s="92" t="inlineStr">
        <is>
          <t>KR</t>
        </is>
      </c>
      <c r="F4532" s="92" t="n">
        <v>62101000</v>
      </c>
      <c r="G4532" s="92" t="n">
        <v>1502</v>
      </c>
      <c r="H4532" s="93" t="n">
        <v>612000</v>
      </c>
      <c r="I4532" s="92" t="inlineStr">
        <is>
          <t>8월 국내출장 - L여행사</t>
        </is>
      </c>
      <c r="J4532" s="92" t="inlineStr">
        <is>
          <t>V10018</t>
        </is>
      </c>
      <c r="K4532" s="92" t="inlineStr">
        <is>
          <t>L여행사</t>
        </is>
      </c>
      <c r="M4532" s="9">
        <f>IF($A4532="","",VALUE($A4532&amp;"")*12+VALUE($B4532&amp;""))</f>
        <v/>
      </c>
      <c r="N4532" s="64">
        <f>IF($A4532="","",IFERROR(INDEX(부서매핑!$C$5:$C$504,MATCH($G4532&amp;"",부서매핑!$A$5:$A$504,0)),"미매핑"))</f>
        <v/>
      </c>
      <c r="O4532" s="9">
        <f>IF($A4532="","",N4532&amp;"|"&amp;$F4532)</f>
        <v/>
      </c>
      <c r="P4532" s="94">
        <f>IF($A4532="",0,$H4532*설정!$C$23)</f>
        <v/>
      </c>
      <c r="Q4532" s="64">
        <f>IF($A4532="","",IF(O4532&lt;&gt;원인분석!$C$9,"",IF(AND(M4532&gt;=원인분석!$C$10,M4532&lt;=원인분석!$C$11),"당기",IF(AND(M4532&gt;=원인분석!$C$12,M4532&lt;=원인분석!$C$13),"비교",""))))</f>
        <v/>
      </c>
      <c r="R4532" s="9">
        <f>IF(Q4532="","",$K4532&amp;"")</f>
        <v/>
      </c>
      <c r="S4532" s="9">
        <f>IF(Q4532="","",IF(MATCH(R4532,$R$5:$R$100000,0)=ROW()-4,ROW(),""))</f>
        <v/>
      </c>
      <c r="T4532" s="9">
        <f>IF(Q4532="당기",ABS(P4532)+ROW()/1000000000,"")</f>
        <v/>
      </c>
      <c r="U4532" s="9">
        <f>IF(Q4532="비교",ABS(P4532)+ROW()/1000000000,"")</f>
        <v/>
      </c>
      <c r="V4532" s="64">
        <f>IF($A4532="","",IF(COUNTIF(변동분석!$E$7:$E$506,O4532)&gt;0,"Y","N"))</f>
        <v/>
      </c>
      <c r="W4532" s="64">
        <f>IF($A4532="","",IFERROR(INDEX(계정매핑!$D$5:$D$504,MATCH($F4532&amp;"",계정매핑!$A$5:$A$504,0)),"미매핑"))</f>
        <v/>
      </c>
      <c r="X4532" s="9">
        <f>IF($A4532="","",$F4532&amp;"")</f>
        <v/>
      </c>
      <c r="Y4532" s="94">
        <f>IF($A4532="",0,IF(AE4532="직접",IF(AF4532="비귀속",$P4532,0),$P4532*(1-AG4532)*IFERROR(INDEX(계정대체기준!$F$20:$F$49,MATCH($N4532,계정대체기준!$A$20:$A$49,0)),1)))</f>
        <v/>
      </c>
      <c r="Z4532" s="94">
        <f>IF($A4532="",0,IF(AE4532="직접",IF(AF4532="신계약비",$P4532,0),$P4532*(1-AG4532)*IFERROR(INDEX(계정대체기준!$C$20:$C$49,MATCH($N4532,계정대체기준!$A$20:$A$49,0)),0)))</f>
        <v/>
      </c>
      <c r="AA4532" s="94">
        <f>IF($A4532="",0,IF(AE4532="직접",IF(OR(AF4532="유지비",AF4532="손해조사비"),$P4532,0),$P4532*(1-AG4532)*IFERROR(INDEX(계정대체기준!$D$20:$D$49,MATCH($N4532,계정대체기준!$A$20:$A$49,0)),0)))</f>
        <v/>
      </c>
      <c r="AB4532" s="94">
        <f>IF($A4532="",0,IF(AE4532="직접",IF(AF4532="수금비",$P4532,0),$P4532*(1-AG4532)*IFERROR(INDEX(계정대체기준!$E$20:$E$49,MATCH($N4532,계정대체기준!$A$20:$A$49,0)),0)))</f>
        <v/>
      </c>
      <c r="AC4532" s="9">
        <f>IF(AND($A4532&lt;&gt;"",M4532=설정!$C$20,Z4532&gt;0),Z4532+ROW()/1000000000,"")</f>
        <v/>
      </c>
      <c r="AD4532" s="94">
        <f>IF($A4532="",0,$P4532*AG4532)</f>
        <v/>
      </c>
      <c r="AE4532" s="64">
        <f>IF($A4532="","",IFERROR(INDEX(계정매핑!$E$5:$E$504,MATCH($F4532&amp;"",계정매핑!$A$5:$A$504,0))&amp;"","공통비"))</f>
        <v/>
      </c>
      <c r="AF4532" s="64">
        <f>IF($A4532="","",IF(AE4532="직접",IFERROR(INDEX(계정매핑!$F$5:$F$504,MATCH($F4532&amp;"",계정매핑!$A$5:$A$504,0))&amp;"","비귀속"),""))</f>
        <v/>
      </c>
      <c r="AG4532" s="96">
        <f>IF($A4532="",0,IF(AND(AE4532&lt;&gt;"직접",IFERROR(INDEX(계정매핑!$G$5:$G$504,MATCH($F4532&amp;"",계정매핑!$A$5:$A$504,0))&amp;"","")="유지비",COUNTIF(계정대체기준!$A$6:$A$15,$N4532)&gt;0),IFERROR(INDEX(계정대체기준!$E$6:$E$15,MATCH(VALUE($A4532&amp;""),계정대체기준!$D$6:$D$15,0)),0),0))</f>
        <v/>
      </c>
      <c r="AH4532" s="64">
        <f>IF($A4532="","",IF(AD4532=0,"",IF(OR(COUNTIF(계정대체기준!$A$77:$A$86,$N4532)&gt;0,ISNUMBER(MATCH($X4532,계정대체기준!$D$77:$D$86,0)),ISNUMBER(MATCH($F4532,계정대체기준!$D$77:$D$86,0))),"Y","N")))</f>
        <v/>
      </c>
    </row>
    <row r="4533">
      <c r="A4533" s="92" t="n">
        <v>2026</v>
      </c>
      <c r="B4533" s="92" t="n">
        <v>8</v>
      </c>
      <c r="C4533" s="92" t="inlineStr">
        <is>
          <t>5100001811</t>
        </is>
      </c>
      <c r="D4533" s="95" t="n">
        <v>46259</v>
      </c>
      <c r="E4533" s="92" t="inlineStr">
        <is>
          <t>KR</t>
        </is>
      </c>
      <c r="F4533" s="92" t="n">
        <v>62101000</v>
      </c>
      <c r="G4533" s="92" t="n">
        <v>1602</v>
      </c>
      <c r="H4533" s="93" t="n">
        <v>930000</v>
      </c>
      <c r="I4533" s="92" t="inlineStr">
        <is>
          <t>8월 국내출장 - M항공</t>
        </is>
      </c>
      <c r="J4533" s="92" t="inlineStr">
        <is>
          <t>V10001</t>
        </is>
      </c>
      <c r="K4533" s="92" t="inlineStr">
        <is>
          <t>M항공</t>
        </is>
      </c>
      <c r="M4533" s="9">
        <f>IF($A4533="","",VALUE($A4533&amp;"")*12+VALUE($B4533&amp;""))</f>
        <v/>
      </c>
      <c r="N4533" s="64">
        <f>IF($A4533="","",IFERROR(INDEX(부서매핑!$C$5:$C$504,MATCH($G4533&amp;"",부서매핑!$A$5:$A$504,0)),"미매핑"))</f>
        <v/>
      </c>
      <c r="O4533" s="9">
        <f>IF($A4533="","",N4533&amp;"|"&amp;$F4533)</f>
        <v/>
      </c>
      <c r="P4533" s="94">
        <f>IF($A4533="",0,$H4533*설정!$C$23)</f>
        <v/>
      </c>
      <c r="Q4533" s="64">
        <f>IF($A4533="","",IF(O4533&lt;&gt;원인분석!$C$9,"",IF(AND(M4533&gt;=원인분석!$C$10,M4533&lt;=원인분석!$C$11),"당기",IF(AND(M4533&gt;=원인분석!$C$12,M4533&lt;=원인분석!$C$13),"비교",""))))</f>
        <v/>
      </c>
      <c r="R4533" s="9">
        <f>IF(Q4533="","",$K4533&amp;"")</f>
        <v/>
      </c>
      <c r="S4533" s="9">
        <f>IF(Q4533="","",IF(MATCH(R4533,$R$5:$R$100000,0)=ROW()-4,ROW(),""))</f>
        <v/>
      </c>
      <c r="T4533" s="9">
        <f>IF(Q4533="당기",ABS(P4533)+ROW()/1000000000,"")</f>
        <v/>
      </c>
      <c r="U4533" s="9">
        <f>IF(Q4533="비교",ABS(P4533)+ROW()/1000000000,"")</f>
        <v/>
      </c>
      <c r="V4533" s="64">
        <f>IF($A4533="","",IF(COUNTIF(변동분석!$E$7:$E$506,O4533)&gt;0,"Y","N"))</f>
        <v/>
      </c>
      <c r="W4533" s="64">
        <f>IF($A4533="","",IFERROR(INDEX(계정매핑!$D$5:$D$504,MATCH($F4533&amp;"",계정매핑!$A$5:$A$504,0)),"미매핑"))</f>
        <v/>
      </c>
      <c r="X4533" s="9">
        <f>IF($A4533="","",$F4533&amp;"")</f>
        <v/>
      </c>
      <c r="Y4533" s="94">
        <f>IF($A4533="",0,IF(AE4533="직접",IF(AF4533="비귀속",$P4533,0),$P4533*(1-AG4533)*IFERROR(INDEX(계정대체기준!$F$20:$F$49,MATCH($N4533,계정대체기준!$A$20:$A$49,0)),1)))</f>
        <v/>
      </c>
      <c r="Z4533" s="94">
        <f>IF($A4533="",0,IF(AE4533="직접",IF(AF4533="신계약비",$P4533,0),$P4533*(1-AG4533)*IFERROR(INDEX(계정대체기준!$C$20:$C$49,MATCH($N4533,계정대체기준!$A$20:$A$49,0)),0)))</f>
        <v/>
      </c>
      <c r="AA4533" s="94">
        <f>IF($A4533="",0,IF(AE4533="직접",IF(OR(AF4533="유지비",AF4533="손해조사비"),$P4533,0),$P4533*(1-AG4533)*IFERROR(INDEX(계정대체기준!$D$20:$D$49,MATCH($N4533,계정대체기준!$A$20:$A$49,0)),0)))</f>
        <v/>
      </c>
      <c r="AB4533" s="94">
        <f>IF($A4533="",0,IF(AE4533="직접",IF(AF4533="수금비",$P4533,0),$P4533*(1-AG4533)*IFERROR(INDEX(계정대체기준!$E$20:$E$49,MATCH($N4533,계정대체기준!$A$20:$A$49,0)),0)))</f>
        <v/>
      </c>
      <c r="AC4533" s="9">
        <f>IF(AND($A4533&lt;&gt;"",M4533=설정!$C$20,Z4533&gt;0),Z4533+ROW()/1000000000,"")</f>
        <v/>
      </c>
      <c r="AD4533" s="94">
        <f>IF($A4533="",0,$P4533*AG4533)</f>
        <v/>
      </c>
      <c r="AE4533" s="64">
        <f>IF($A4533="","",IFERROR(INDEX(계정매핑!$E$5:$E$504,MATCH($F4533&amp;"",계정매핑!$A$5:$A$504,0))&amp;"","공통비"))</f>
        <v/>
      </c>
      <c r="AF4533" s="64">
        <f>IF($A4533="","",IF(AE4533="직접",IFERROR(INDEX(계정매핑!$F$5:$F$504,MATCH($F4533&amp;"",계정매핑!$A$5:$A$504,0))&amp;"","비귀속"),""))</f>
        <v/>
      </c>
      <c r="AG4533" s="96">
        <f>IF($A4533="",0,IF(AND(AE4533&lt;&gt;"직접",IFERROR(INDEX(계정매핑!$G$5:$G$504,MATCH($F4533&amp;"",계정매핑!$A$5:$A$504,0))&amp;"","")="유지비",COUNTIF(계정대체기준!$A$6:$A$15,$N4533)&gt;0),IFERROR(INDEX(계정대체기준!$E$6:$E$15,MATCH(VALUE($A4533&amp;""),계정대체기준!$D$6:$D$15,0)),0),0))</f>
        <v/>
      </c>
      <c r="AH4533" s="64">
        <f>IF($A4533="","",IF(AD4533=0,"",IF(OR(COUNTIF(계정대체기준!$A$77:$A$86,$N4533)&gt;0,ISNUMBER(MATCH($X4533,계정대체기준!$D$77:$D$86,0)),ISNUMBER(MATCH($F4533,계정대체기준!$D$77:$D$86,0))),"Y","N")))</f>
        <v/>
      </c>
    </row>
    <row r="4534">
      <c r="A4534" s="92" t="n">
        <v>2026</v>
      </c>
      <c r="B4534" s="92" t="n">
        <v>8</v>
      </c>
      <c r="C4534" s="92" t="inlineStr">
        <is>
          <t>5100001812</t>
        </is>
      </c>
      <c r="D4534" s="95" t="n">
        <v>46259</v>
      </c>
      <c r="E4534" s="92" t="inlineStr">
        <is>
          <t>KR</t>
        </is>
      </c>
      <c r="F4534" s="92" t="n">
        <v>62102000</v>
      </c>
      <c r="G4534" s="92" t="n">
        <v>1601</v>
      </c>
      <c r="H4534" s="93" t="n">
        <v>209000</v>
      </c>
      <c r="I4534" s="92" t="inlineStr">
        <is>
          <t>8월 해외출장 - N호텔</t>
        </is>
      </c>
      <c r="J4534" s="92" t="inlineStr">
        <is>
          <t>V10009</t>
        </is>
      </c>
      <c r="K4534" s="92" t="inlineStr">
        <is>
          <t>N호텔</t>
        </is>
      </c>
      <c r="M4534" s="9">
        <f>IF($A4534="","",VALUE($A4534&amp;"")*12+VALUE($B4534&amp;""))</f>
        <v/>
      </c>
      <c r="N4534" s="64">
        <f>IF($A4534="","",IFERROR(INDEX(부서매핑!$C$5:$C$504,MATCH($G4534&amp;"",부서매핑!$A$5:$A$504,0)),"미매핑"))</f>
        <v/>
      </c>
      <c r="O4534" s="9">
        <f>IF($A4534="","",N4534&amp;"|"&amp;$F4534)</f>
        <v/>
      </c>
      <c r="P4534" s="94">
        <f>IF($A4534="",0,$H4534*설정!$C$23)</f>
        <v/>
      </c>
      <c r="Q4534" s="64">
        <f>IF($A4534="","",IF(O4534&lt;&gt;원인분석!$C$9,"",IF(AND(M4534&gt;=원인분석!$C$10,M4534&lt;=원인분석!$C$11),"당기",IF(AND(M4534&gt;=원인분석!$C$12,M4534&lt;=원인분석!$C$13),"비교",""))))</f>
        <v/>
      </c>
      <c r="R4534" s="9">
        <f>IF(Q4534="","",$K4534&amp;"")</f>
        <v/>
      </c>
      <c r="S4534" s="9">
        <f>IF(Q4534="","",IF(MATCH(R4534,$R$5:$R$100000,0)=ROW()-4,ROW(),""))</f>
        <v/>
      </c>
      <c r="T4534" s="9">
        <f>IF(Q4534="당기",ABS(P4534)+ROW()/1000000000,"")</f>
        <v/>
      </c>
      <c r="U4534" s="9">
        <f>IF(Q4534="비교",ABS(P4534)+ROW()/1000000000,"")</f>
        <v/>
      </c>
      <c r="V4534" s="64">
        <f>IF($A4534="","",IF(COUNTIF(변동분석!$E$7:$E$506,O4534)&gt;0,"Y","N"))</f>
        <v/>
      </c>
      <c r="W4534" s="64">
        <f>IF($A4534="","",IFERROR(INDEX(계정매핑!$D$5:$D$504,MATCH($F4534&amp;"",계정매핑!$A$5:$A$504,0)),"미매핑"))</f>
        <v/>
      </c>
      <c r="X4534" s="9">
        <f>IF($A4534="","",$F4534&amp;"")</f>
        <v/>
      </c>
      <c r="Y4534" s="94">
        <f>IF($A4534="",0,IF(AE4534="직접",IF(AF4534="비귀속",$P4534,0),$P4534*(1-AG4534)*IFERROR(INDEX(계정대체기준!$F$20:$F$49,MATCH($N4534,계정대체기준!$A$20:$A$49,0)),1)))</f>
        <v/>
      </c>
      <c r="Z4534" s="94">
        <f>IF($A4534="",0,IF(AE4534="직접",IF(AF4534="신계약비",$P4534,0),$P4534*(1-AG4534)*IFERROR(INDEX(계정대체기준!$C$20:$C$49,MATCH($N4534,계정대체기준!$A$20:$A$49,0)),0)))</f>
        <v/>
      </c>
      <c r="AA4534" s="94">
        <f>IF($A4534="",0,IF(AE4534="직접",IF(OR(AF4534="유지비",AF4534="손해조사비"),$P4534,0),$P4534*(1-AG4534)*IFERROR(INDEX(계정대체기준!$D$20:$D$49,MATCH($N4534,계정대체기준!$A$20:$A$49,0)),0)))</f>
        <v/>
      </c>
      <c r="AB4534" s="94">
        <f>IF($A4534="",0,IF(AE4534="직접",IF(AF4534="수금비",$P4534,0),$P4534*(1-AG4534)*IFERROR(INDEX(계정대체기준!$E$20:$E$49,MATCH($N4534,계정대체기준!$A$20:$A$49,0)),0)))</f>
        <v/>
      </c>
      <c r="AC4534" s="9">
        <f>IF(AND($A4534&lt;&gt;"",M4534=설정!$C$20,Z4534&gt;0),Z4534+ROW()/1000000000,"")</f>
        <v/>
      </c>
      <c r="AD4534" s="94">
        <f>IF($A4534="",0,$P4534*AG4534)</f>
        <v/>
      </c>
      <c r="AE4534" s="64">
        <f>IF($A4534="","",IFERROR(INDEX(계정매핑!$E$5:$E$504,MATCH($F4534&amp;"",계정매핑!$A$5:$A$504,0))&amp;"","공통비"))</f>
        <v/>
      </c>
      <c r="AF4534" s="64">
        <f>IF($A4534="","",IF(AE4534="직접",IFERROR(INDEX(계정매핑!$F$5:$F$504,MATCH($F4534&amp;"",계정매핑!$A$5:$A$504,0))&amp;"","비귀속"),""))</f>
        <v/>
      </c>
      <c r="AG4534" s="96">
        <f>IF($A4534="",0,IF(AND(AE4534&lt;&gt;"직접",IFERROR(INDEX(계정매핑!$G$5:$G$504,MATCH($F4534&amp;"",계정매핑!$A$5:$A$504,0))&amp;"","")="유지비",COUNTIF(계정대체기준!$A$6:$A$15,$N4534)&gt;0),IFERROR(INDEX(계정대체기준!$E$6:$E$15,MATCH(VALUE($A4534&amp;""),계정대체기준!$D$6:$D$15,0)),0),0))</f>
        <v/>
      </c>
      <c r="AH4534" s="64">
        <f>IF($A4534="","",IF(AD4534=0,"",IF(OR(COUNTIF(계정대체기준!$A$77:$A$86,$N4534)&gt;0,ISNUMBER(MATCH($X4534,계정대체기준!$D$77:$D$86,0)),ISNUMBER(MATCH($F4534,계정대체기준!$D$77:$D$86,0))),"Y","N")))</f>
        <v/>
      </c>
    </row>
    <row r="4535">
      <c r="A4535" s="92" t="n">
        <v>2026</v>
      </c>
      <c r="B4535" s="92" t="n">
        <v>8</v>
      </c>
      <c r="C4535" s="92" t="inlineStr">
        <is>
          <t>5100001813</t>
        </is>
      </c>
      <c r="D4535" s="95" t="n">
        <v>46259</v>
      </c>
      <c r="E4535" s="92" t="inlineStr">
        <is>
          <t>KR</t>
        </is>
      </c>
      <c r="F4535" s="92" t="n">
        <v>62201000</v>
      </c>
      <c r="G4535" s="92" t="n">
        <v>1501</v>
      </c>
      <c r="H4535" s="93" t="n">
        <v>206000</v>
      </c>
      <c r="I4535" s="92" t="inlineStr">
        <is>
          <t>8월 통신요금 - O텔레콤</t>
        </is>
      </c>
      <c r="J4535" s="92" t="inlineStr">
        <is>
          <t>V10002</t>
        </is>
      </c>
      <c r="K4535" s="92" t="inlineStr">
        <is>
          <t>O텔레콤</t>
        </is>
      </c>
      <c r="M4535" s="9">
        <f>IF($A4535="","",VALUE($A4535&amp;"")*12+VALUE($B4535&amp;""))</f>
        <v/>
      </c>
      <c r="N4535" s="64">
        <f>IF($A4535="","",IFERROR(INDEX(부서매핑!$C$5:$C$504,MATCH($G4535&amp;"",부서매핑!$A$5:$A$504,0)),"미매핑"))</f>
        <v/>
      </c>
      <c r="O4535" s="9">
        <f>IF($A4535="","",N4535&amp;"|"&amp;$F4535)</f>
        <v/>
      </c>
      <c r="P4535" s="94">
        <f>IF($A4535="",0,$H4535*설정!$C$23)</f>
        <v/>
      </c>
      <c r="Q4535" s="64">
        <f>IF($A4535="","",IF(O4535&lt;&gt;원인분석!$C$9,"",IF(AND(M4535&gt;=원인분석!$C$10,M4535&lt;=원인분석!$C$11),"당기",IF(AND(M4535&gt;=원인분석!$C$12,M4535&lt;=원인분석!$C$13),"비교",""))))</f>
        <v/>
      </c>
      <c r="R4535" s="9">
        <f>IF(Q4535="","",$K4535&amp;"")</f>
        <v/>
      </c>
      <c r="S4535" s="9">
        <f>IF(Q4535="","",IF(MATCH(R4535,$R$5:$R$100000,0)=ROW()-4,ROW(),""))</f>
        <v/>
      </c>
      <c r="T4535" s="9">
        <f>IF(Q4535="당기",ABS(P4535)+ROW()/1000000000,"")</f>
        <v/>
      </c>
      <c r="U4535" s="9">
        <f>IF(Q4535="비교",ABS(P4535)+ROW()/1000000000,"")</f>
        <v/>
      </c>
      <c r="V4535" s="64">
        <f>IF($A4535="","",IF(COUNTIF(변동분석!$E$7:$E$506,O4535)&gt;0,"Y","N"))</f>
        <v/>
      </c>
      <c r="W4535" s="64">
        <f>IF($A4535="","",IFERROR(INDEX(계정매핑!$D$5:$D$504,MATCH($F4535&amp;"",계정매핑!$A$5:$A$504,0)),"미매핑"))</f>
        <v/>
      </c>
      <c r="X4535" s="9">
        <f>IF($A4535="","",$F4535&amp;"")</f>
        <v/>
      </c>
      <c r="Y4535" s="94">
        <f>IF($A4535="",0,IF(AE4535="직접",IF(AF4535="비귀속",$P4535,0),$P4535*(1-AG4535)*IFERROR(INDEX(계정대체기준!$F$20:$F$49,MATCH($N4535,계정대체기준!$A$20:$A$49,0)),1)))</f>
        <v/>
      </c>
      <c r="Z4535" s="94">
        <f>IF($A4535="",0,IF(AE4535="직접",IF(AF4535="신계약비",$P4535,0),$P4535*(1-AG4535)*IFERROR(INDEX(계정대체기준!$C$20:$C$49,MATCH($N4535,계정대체기준!$A$20:$A$49,0)),0)))</f>
        <v/>
      </c>
      <c r="AA4535" s="94">
        <f>IF($A4535="",0,IF(AE4535="직접",IF(OR(AF4535="유지비",AF4535="손해조사비"),$P4535,0),$P4535*(1-AG4535)*IFERROR(INDEX(계정대체기준!$D$20:$D$49,MATCH($N4535,계정대체기준!$A$20:$A$49,0)),0)))</f>
        <v/>
      </c>
      <c r="AB4535" s="94">
        <f>IF($A4535="",0,IF(AE4535="직접",IF(AF4535="수금비",$P4535,0),$P4535*(1-AG4535)*IFERROR(INDEX(계정대체기준!$E$20:$E$49,MATCH($N4535,계정대체기준!$A$20:$A$49,0)),0)))</f>
        <v/>
      </c>
      <c r="AC4535" s="9">
        <f>IF(AND($A4535&lt;&gt;"",M4535=설정!$C$20,Z4535&gt;0),Z4535+ROW()/1000000000,"")</f>
        <v/>
      </c>
      <c r="AD4535" s="94">
        <f>IF($A4535="",0,$P4535*AG4535)</f>
        <v/>
      </c>
      <c r="AE4535" s="64">
        <f>IF($A4535="","",IFERROR(INDEX(계정매핑!$E$5:$E$504,MATCH($F4535&amp;"",계정매핑!$A$5:$A$504,0))&amp;"","공통비"))</f>
        <v/>
      </c>
      <c r="AF4535" s="64">
        <f>IF($A4535="","",IF(AE4535="직접",IFERROR(INDEX(계정매핑!$F$5:$F$504,MATCH($F4535&amp;"",계정매핑!$A$5:$A$504,0))&amp;"","비귀속"),""))</f>
        <v/>
      </c>
      <c r="AG4535" s="96">
        <f>IF($A4535="",0,IF(AND(AE4535&lt;&gt;"직접",IFERROR(INDEX(계정매핑!$G$5:$G$504,MATCH($F4535&amp;"",계정매핑!$A$5:$A$504,0))&amp;"","")="유지비",COUNTIF(계정대체기준!$A$6:$A$15,$N4535)&gt;0),IFERROR(INDEX(계정대체기준!$E$6:$E$15,MATCH(VALUE($A4535&amp;""),계정대체기준!$D$6:$D$15,0)),0),0))</f>
        <v/>
      </c>
      <c r="AH4535" s="64">
        <f>IF($A4535="","",IF(AD4535=0,"",IF(OR(COUNTIF(계정대체기준!$A$77:$A$86,$N4535)&gt;0,ISNUMBER(MATCH($X4535,계정대체기준!$D$77:$D$86,0)),ISNUMBER(MATCH($F4535,계정대체기준!$D$77:$D$86,0))),"Y","N")))</f>
        <v/>
      </c>
    </row>
    <row r="4536">
      <c r="A4536" s="92" t="n">
        <v>2026</v>
      </c>
      <c r="B4536" s="92" t="n">
        <v>8</v>
      </c>
      <c r="C4536" s="92" t="inlineStr">
        <is>
          <t>5100001814</t>
        </is>
      </c>
      <c r="D4536" s="95" t="n">
        <v>46259</v>
      </c>
      <c r="E4536" s="92" t="inlineStr">
        <is>
          <t>KR</t>
        </is>
      </c>
      <c r="F4536" s="92" t="n">
        <v>62201000</v>
      </c>
      <c r="G4536" s="92" t="n">
        <v>1801</v>
      </c>
      <c r="H4536" s="93" t="n">
        <v>6298000</v>
      </c>
      <c r="I4536" s="92" t="inlineStr">
        <is>
          <t>8월 통신요금 - P통신</t>
        </is>
      </c>
      <c r="J4536" s="92" t="inlineStr">
        <is>
          <t>V10014</t>
        </is>
      </c>
      <c r="K4536" s="92" t="inlineStr">
        <is>
          <t>P통신</t>
        </is>
      </c>
      <c r="M4536" s="9">
        <f>IF($A4536="","",VALUE($A4536&amp;"")*12+VALUE($B4536&amp;""))</f>
        <v/>
      </c>
      <c r="N4536" s="64">
        <f>IF($A4536="","",IFERROR(INDEX(부서매핑!$C$5:$C$504,MATCH($G4536&amp;"",부서매핑!$A$5:$A$504,0)),"미매핑"))</f>
        <v/>
      </c>
      <c r="O4536" s="9">
        <f>IF($A4536="","",N4536&amp;"|"&amp;$F4536)</f>
        <v/>
      </c>
      <c r="P4536" s="94">
        <f>IF($A4536="",0,$H4536*설정!$C$23)</f>
        <v/>
      </c>
      <c r="Q4536" s="64">
        <f>IF($A4536="","",IF(O4536&lt;&gt;원인분석!$C$9,"",IF(AND(M4536&gt;=원인분석!$C$10,M4536&lt;=원인분석!$C$11),"당기",IF(AND(M4536&gt;=원인분석!$C$12,M4536&lt;=원인분석!$C$13),"비교",""))))</f>
        <v/>
      </c>
      <c r="R4536" s="9">
        <f>IF(Q4536="","",$K4536&amp;"")</f>
        <v/>
      </c>
      <c r="S4536" s="9">
        <f>IF(Q4536="","",IF(MATCH(R4536,$R$5:$R$100000,0)=ROW()-4,ROW(),""))</f>
        <v/>
      </c>
      <c r="T4536" s="9">
        <f>IF(Q4536="당기",ABS(P4536)+ROW()/1000000000,"")</f>
        <v/>
      </c>
      <c r="U4536" s="9">
        <f>IF(Q4536="비교",ABS(P4536)+ROW()/1000000000,"")</f>
        <v/>
      </c>
      <c r="V4536" s="64">
        <f>IF($A4536="","",IF(COUNTIF(변동분석!$E$7:$E$506,O4536)&gt;0,"Y","N"))</f>
        <v/>
      </c>
      <c r="W4536" s="64">
        <f>IF($A4536="","",IFERROR(INDEX(계정매핑!$D$5:$D$504,MATCH($F4536&amp;"",계정매핑!$A$5:$A$504,0)),"미매핑"))</f>
        <v/>
      </c>
      <c r="X4536" s="9">
        <f>IF($A4536="","",$F4536&amp;"")</f>
        <v/>
      </c>
      <c r="Y4536" s="94">
        <f>IF($A4536="",0,IF(AE4536="직접",IF(AF4536="비귀속",$P4536,0),$P4536*(1-AG4536)*IFERROR(INDEX(계정대체기준!$F$20:$F$49,MATCH($N4536,계정대체기준!$A$20:$A$49,0)),1)))</f>
        <v/>
      </c>
      <c r="Z4536" s="94">
        <f>IF($A4536="",0,IF(AE4536="직접",IF(AF4536="신계약비",$P4536,0),$P4536*(1-AG4536)*IFERROR(INDEX(계정대체기준!$C$20:$C$49,MATCH($N4536,계정대체기준!$A$20:$A$49,0)),0)))</f>
        <v/>
      </c>
      <c r="AA4536" s="94">
        <f>IF($A4536="",0,IF(AE4536="직접",IF(OR(AF4536="유지비",AF4536="손해조사비"),$P4536,0),$P4536*(1-AG4536)*IFERROR(INDEX(계정대체기준!$D$20:$D$49,MATCH($N4536,계정대체기준!$A$20:$A$49,0)),0)))</f>
        <v/>
      </c>
      <c r="AB4536" s="94">
        <f>IF($A4536="",0,IF(AE4536="직접",IF(AF4536="수금비",$P4536,0),$P4536*(1-AG4536)*IFERROR(INDEX(계정대체기준!$E$20:$E$49,MATCH($N4536,계정대체기준!$A$20:$A$49,0)),0)))</f>
        <v/>
      </c>
      <c r="AC4536" s="9">
        <f>IF(AND($A4536&lt;&gt;"",M4536=설정!$C$20,Z4536&gt;0),Z4536+ROW()/1000000000,"")</f>
        <v/>
      </c>
      <c r="AD4536" s="94">
        <f>IF($A4536="",0,$P4536*AG4536)</f>
        <v/>
      </c>
      <c r="AE4536" s="64">
        <f>IF($A4536="","",IFERROR(INDEX(계정매핑!$E$5:$E$504,MATCH($F4536&amp;"",계정매핑!$A$5:$A$504,0))&amp;"","공통비"))</f>
        <v/>
      </c>
      <c r="AF4536" s="64">
        <f>IF($A4536="","",IF(AE4536="직접",IFERROR(INDEX(계정매핑!$F$5:$F$504,MATCH($F4536&amp;"",계정매핑!$A$5:$A$504,0))&amp;"","비귀속"),""))</f>
        <v/>
      </c>
      <c r="AG4536" s="96">
        <f>IF($A4536="",0,IF(AND(AE4536&lt;&gt;"직접",IFERROR(INDEX(계정매핑!$G$5:$G$504,MATCH($F4536&amp;"",계정매핑!$A$5:$A$504,0))&amp;"","")="유지비",COUNTIF(계정대체기준!$A$6:$A$15,$N4536)&gt;0),IFERROR(INDEX(계정대체기준!$E$6:$E$15,MATCH(VALUE($A4536&amp;""),계정대체기준!$D$6:$D$15,0)),0),0))</f>
        <v/>
      </c>
      <c r="AH4536" s="64">
        <f>IF($A4536="","",IF(AD4536=0,"",IF(OR(COUNTIF(계정대체기준!$A$77:$A$86,$N4536)&gt;0,ISNUMBER(MATCH($X4536,계정대체기준!$D$77:$D$86,0)),ISNUMBER(MATCH($F4536,계정대체기준!$D$77:$D$86,0))),"Y","N")))</f>
        <v/>
      </c>
    </row>
    <row r="4537">
      <c r="A4537" s="92" t="n">
        <v>2026</v>
      </c>
      <c r="B4537" s="92" t="n">
        <v>8</v>
      </c>
      <c r="C4537" s="92" t="inlineStr">
        <is>
          <t>5100001815</t>
        </is>
      </c>
      <c r="D4537" s="95" t="n">
        <v>46259</v>
      </c>
      <c r="E4537" s="92" t="inlineStr">
        <is>
          <t>KR</t>
        </is>
      </c>
      <c r="F4537" s="92" t="n">
        <v>62301000</v>
      </c>
      <c r="G4537" s="92" t="n">
        <v>1701</v>
      </c>
      <c r="H4537" s="93" t="n">
        <v>301000</v>
      </c>
      <c r="I4537" s="92" t="inlineStr">
        <is>
          <t>8월 소모품 구입 - Q오피스</t>
        </is>
      </c>
      <c r="J4537" s="92" t="inlineStr">
        <is>
          <t>V10003</t>
        </is>
      </c>
      <c r="K4537" s="92" t="inlineStr">
        <is>
          <t>Q오피스</t>
        </is>
      </c>
      <c r="M4537" s="9">
        <f>IF($A4537="","",VALUE($A4537&amp;"")*12+VALUE($B4537&amp;""))</f>
        <v/>
      </c>
      <c r="N4537" s="64">
        <f>IF($A4537="","",IFERROR(INDEX(부서매핑!$C$5:$C$504,MATCH($G4537&amp;"",부서매핑!$A$5:$A$504,0)),"미매핑"))</f>
        <v/>
      </c>
      <c r="O4537" s="9">
        <f>IF($A4537="","",N4537&amp;"|"&amp;$F4537)</f>
        <v/>
      </c>
      <c r="P4537" s="94">
        <f>IF($A4537="",0,$H4537*설정!$C$23)</f>
        <v/>
      </c>
      <c r="Q4537" s="64">
        <f>IF($A4537="","",IF(O4537&lt;&gt;원인분석!$C$9,"",IF(AND(M4537&gt;=원인분석!$C$10,M4537&lt;=원인분석!$C$11),"당기",IF(AND(M4537&gt;=원인분석!$C$12,M4537&lt;=원인분석!$C$13),"비교",""))))</f>
        <v/>
      </c>
      <c r="R4537" s="9">
        <f>IF(Q4537="","",$K4537&amp;"")</f>
        <v/>
      </c>
      <c r="S4537" s="9">
        <f>IF(Q4537="","",IF(MATCH(R4537,$R$5:$R$100000,0)=ROW()-4,ROW(),""))</f>
        <v/>
      </c>
      <c r="T4537" s="9">
        <f>IF(Q4537="당기",ABS(P4537)+ROW()/1000000000,"")</f>
        <v/>
      </c>
      <c r="U4537" s="9">
        <f>IF(Q4537="비교",ABS(P4537)+ROW()/1000000000,"")</f>
        <v/>
      </c>
      <c r="V4537" s="64">
        <f>IF($A4537="","",IF(COUNTIF(변동분석!$E$7:$E$506,O4537)&gt;0,"Y","N"))</f>
        <v/>
      </c>
      <c r="W4537" s="64">
        <f>IF($A4537="","",IFERROR(INDEX(계정매핑!$D$5:$D$504,MATCH($F4537&amp;"",계정매핑!$A$5:$A$504,0)),"미매핑"))</f>
        <v/>
      </c>
      <c r="X4537" s="9">
        <f>IF($A4537="","",$F4537&amp;"")</f>
        <v/>
      </c>
      <c r="Y4537" s="94">
        <f>IF($A4537="",0,IF(AE4537="직접",IF(AF4537="비귀속",$P4537,0),$P4537*(1-AG4537)*IFERROR(INDEX(계정대체기준!$F$20:$F$49,MATCH($N4537,계정대체기준!$A$20:$A$49,0)),1)))</f>
        <v/>
      </c>
      <c r="Z4537" s="94">
        <f>IF($A4537="",0,IF(AE4537="직접",IF(AF4537="신계약비",$P4537,0),$P4537*(1-AG4537)*IFERROR(INDEX(계정대체기준!$C$20:$C$49,MATCH($N4537,계정대체기준!$A$20:$A$49,0)),0)))</f>
        <v/>
      </c>
      <c r="AA4537" s="94">
        <f>IF($A4537="",0,IF(AE4537="직접",IF(OR(AF4537="유지비",AF4537="손해조사비"),$P4537,0),$P4537*(1-AG4537)*IFERROR(INDEX(계정대체기준!$D$20:$D$49,MATCH($N4537,계정대체기준!$A$20:$A$49,0)),0)))</f>
        <v/>
      </c>
      <c r="AB4537" s="94">
        <f>IF($A4537="",0,IF(AE4537="직접",IF(AF4537="수금비",$P4537,0),$P4537*(1-AG4537)*IFERROR(INDEX(계정대체기준!$E$20:$E$49,MATCH($N4537,계정대체기준!$A$20:$A$49,0)),0)))</f>
        <v/>
      </c>
      <c r="AC4537" s="9">
        <f>IF(AND($A4537&lt;&gt;"",M4537=설정!$C$20,Z4537&gt;0),Z4537+ROW()/1000000000,"")</f>
        <v/>
      </c>
      <c r="AD4537" s="94">
        <f>IF($A4537="",0,$P4537*AG4537)</f>
        <v/>
      </c>
      <c r="AE4537" s="64">
        <f>IF($A4537="","",IFERROR(INDEX(계정매핑!$E$5:$E$504,MATCH($F4537&amp;"",계정매핑!$A$5:$A$504,0))&amp;"","공통비"))</f>
        <v/>
      </c>
      <c r="AF4537" s="64">
        <f>IF($A4537="","",IF(AE4537="직접",IFERROR(INDEX(계정매핑!$F$5:$F$504,MATCH($F4537&amp;"",계정매핑!$A$5:$A$504,0))&amp;"","비귀속"),""))</f>
        <v/>
      </c>
      <c r="AG4537" s="96">
        <f>IF($A4537="",0,IF(AND(AE4537&lt;&gt;"직접",IFERROR(INDEX(계정매핑!$G$5:$G$504,MATCH($F4537&amp;"",계정매핑!$A$5:$A$504,0))&amp;"","")="유지비",COUNTIF(계정대체기준!$A$6:$A$15,$N4537)&gt;0),IFERROR(INDEX(계정대체기준!$E$6:$E$15,MATCH(VALUE($A4537&amp;""),계정대체기준!$D$6:$D$15,0)),0),0))</f>
        <v/>
      </c>
      <c r="AH4537" s="64">
        <f>IF($A4537="","",IF(AD4537=0,"",IF(OR(COUNTIF(계정대체기준!$A$77:$A$86,$N4537)&gt;0,ISNUMBER(MATCH($X4537,계정대체기준!$D$77:$D$86,0)),ISNUMBER(MATCH($F4537,계정대체기준!$D$77:$D$86,0))),"Y","N")))</f>
        <v/>
      </c>
    </row>
    <row r="4538">
      <c r="A4538" s="92" t="n">
        <v>2026</v>
      </c>
      <c r="B4538" s="92" t="n">
        <v>8</v>
      </c>
      <c r="C4538" s="92" t="inlineStr">
        <is>
          <t>5100001816</t>
        </is>
      </c>
      <c r="D4538" s="95" t="n">
        <v>46259</v>
      </c>
      <c r="E4538" s="92" t="inlineStr">
        <is>
          <t>KR</t>
        </is>
      </c>
      <c r="F4538" s="92" t="n">
        <v>62601000</v>
      </c>
      <c r="G4538" s="92" t="n">
        <v>1501</v>
      </c>
      <c r="H4538" s="93" t="n">
        <v>2666000</v>
      </c>
      <c r="I4538" s="92" t="inlineStr">
        <is>
          <t>8월 업무추진 - (법인카드)</t>
        </is>
      </c>
      <c r="J4538" s="92" t="inlineStr">
        <is>
          <t>V10010</t>
        </is>
      </c>
      <c r="K4538" s="92" t="inlineStr">
        <is>
          <t>(법인카드)</t>
        </is>
      </c>
      <c r="M4538" s="9">
        <f>IF($A4538="","",VALUE($A4538&amp;"")*12+VALUE($B4538&amp;""))</f>
        <v/>
      </c>
      <c r="N4538" s="64">
        <f>IF($A4538="","",IFERROR(INDEX(부서매핑!$C$5:$C$504,MATCH($G4538&amp;"",부서매핑!$A$5:$A$504,0)),"미매핑"))</f>
        <v/>
      </c>
      <c r="O4538" s="9">
        <f>IF($A4538="","",N4538&amp;"|"&amp;$F4538)</f>
        <v/>
      </c>
      <c r="P4538" s="94">
        <f>IF($A4538="",0,$H4538*설정!$C$23)</f>
        <v/>
      </c>
      <c r="Q4538" s="64">
        <f>IF($A4538="","",IF(O4538&lt;&gt;원인분석!$C$9,"",IF(AND(M4538&gt;=원인분석!$C$10,M4538&lt;=원인분석!$C$11),"당기",IF(AND(M4538&gt;=원인분석!$C$12,M4538&lt;=원인분석!$C$13),"비교",""))))</f>
        <v/>
      </c>
      <c r="R4538" s="9">
        <f>IF(Q4538="","",$K4538&amp;"")</f>
        <v/>
      </c>
      <c r="S4538" s="9">
        <f>IF(Q4538="","",IF(MATCH(R4538,$R$5:$R$100000,0)=ROW()-4,ROW(),""))</f>
        <v/>
      </c>
      <c r="T4538" s="9">
        <f>IF(Q4538="당기",ABS(P4538)+ROW()/1000000000,"")</f>
        <v/>
      </c>
      <c r="U4538" s="9">
        <f>IF(Q4538="비교",ABS(P4538)+ROW()/1000000000,"")</f>
        <v/>
      </c>
      <c r="V4538" s="64">
        <f>IF($A4538="","",IF(COUNTIF(변동분석!$E$7:$E$506,O4538)&gt;0,"Y","N"))</f>
        <v/>
      </c>
      <c r="W4538" s="64">
        <f>IF($A4538="","",IFERROR(INDEX(계정매핑!$D$5:$D$504,MATCH($F4538&amp;"",계정매핑!$A$5:$A$504,0)),"미매핑"))</f>
        <v/>
      </c>
      <c r="X4538" s="9">
        <f>IF($A4538="","",$F4538&amp;"")</f>
        <v/>
      </c>
      <c r="Y4538" s="94">
        <f>IF($A4538="",0,IF(AE4538="직접",IF(AF4538="비귀속",$P4538,0),$P4538*(1-AG4538)*IFERROR(INDEX(계정대체기준!$F$20:$F$49,MATCH($N4538,계정대체기준!$A$20:$A$49,0)),1)))</f>
        <v/>
      </c>
      <c r="Z4538" s="94">
        <f>IF($A4538="",0,IF(AE4538="직접",IF(AF4538="신계약비",$P4538,0),$P4538*(1-AG4538)*IFERROR(INDEX(계정대체기준!$C$20:$C$49,MATCH($N4538,계정대체기준!$A$20:$A$49,0)),0)))</f>
        <v/>
      </c>
      <c r="AA4538" s="94">
        <f>IF($A4538="",0,IF(AE4538="직접",IF(OR(AF4538="유지비",AF4538="손해조사비"),$P4538,0),$P4538*(1-AG4538)*IFERROR(INDEX(계정대체기준!$D$20:$D$49,MATCH($N4538,계정대체기준!$A$20:$A$49,0)),0)))</f>
        <v/>
      </c>
      <c r="AB4538" s="94">
        <f>IF($A4538="",0,IF(AE4538="직접",IF(AF4538="수금비",$P4538,0),$P4538*(1-AG4538)*IFERROR(INDEX(계정대체기준!$E$20:$E$49,MATCH($N4538,계정대체기준!$A$20:$A$49,0)),0)))</f>
        <v/>
      </c>
      <c r="AC4538" s="9">
        <f>IF(AND($A4538&lt;&gt;"",M4538=설정!$C$20,Z4538&gt;0),Z4538+ROW()/1000000000,"")</f>
        <v/>
      </c>
      <c r="AD4538" s="94">
        <f>IF($A4538="",0,$P4538*AG4538)</f>
        <v/>
      </c>
      <c r="AE4538" s="64">
        <f>IF($A4538="","",IFERROR(INDEX(계정매핑!$E$5:$E$504,MATCH($F4538&amp;"",계정매핑!$A$5:$A$504,0))&amp;"","공통비"))</f>
        <v/>
      </c>
      <c r="AF4538" s="64">
        <f>IF($A4538="","",IF(AE4538="직접",IFERROR(INDEX(계정매핑!$F$5:$F$504,MATCH($F4538&amp;"",계정매핑!$A$5:$A$504,0))&amp;"","비귀속"),""))</f>
        <v/>
      </c>
      <c r="AG4538" s="96">
        <f>IF($A4538="",0,IF(AND(AE4538&lt;&gt;"직접",IFERROR(INDEX(계정매핑!$G$5:$G$504,MATCH($F4538&amp;"",계정매핑!$A$5:$A$504,0))&amp;"","")="유지비",COUNTIF(계정대체기준!$A$6:$A$15,$N4538)&gt;0),IFERROR(INDEX(계정대체기준!$E$6:$E$15,MATCH(VALUE($A4538&amp;""),계정대체기준!$D$6:$D$15,0)),0),0))</f>
        <v/>
      </c>
      <c r="AH4538" s="64">
        <f>IF($A4538="","",IF(AD4538=0,"",IF(OR(COUNTIF(계정대체기준!$A$77:$A$86,$N4538)&gt;0,ISNUMBER(MATCH($X4538,계정대체기준!$D$77:$D$86,0)),ISNUMBER(MATCH($F4538,계정대체기준!$D$77:$D$86,0))),"Y","N")))</f>
        <v/>
      </c>
    </row>
    <row r="4539">
      <c r="A4539" s="92" t="n">
        <v>2026</v>
      </c>
      <c r="B4539" s="92" t="n">
        <v>8</v>
      </c>
      <c r="C4539" s="92" t="inlineStr">
        <is>
          <t>5100001817</t>
        </is>
      </c>
      <c r="D4539" s="95" t="n">
        <v>46259</v>
      </c>
      <c r="E4539" s="92" t="inlineStr">
        <is>
          <t>KR</t>
        </is>
      </c>
      <c r="F4539" s="92" t="n">
        <v>62901000</v>
      </c>
      <c r="G4539" s="92" t="n">
        <v>1101</v>
      </c>
      <c r="H4539" s="93" t="n">
        <v>3163000</v>
      </c>
      <c r="I4539" s="92" t="inlineStr">
        <is>
          <t>8월 자문 수수료 - W컨설팅</t>
        </is>
      </c>
      <c r="J4539" s="92" t="inlineStr">
        <is>
          <t>V10006</t>
        </is>
      </c>
      <c r="K4539" s="92" t="inlineStr">
        <is>
          <t>W컨설팅</t>
        </is>
      </c>
      <c r="M4539" s="9">
        <f>IF($A4539="","",VALUE($A4539&amp;"")*12+VALUE($B4539&amp;""))</f>
        <v/>
      </c>
      <c r="N4539" s="64">
        <f>IF($A4539="","",IFERROR(INDEX(부서매핑!$C$5:$C$504,MATCH($G4539&amp;"",부서매핑!$A$5:$A$504,0)),"미매핑"))</f>
        <v/>
      </c>
      <c r="O4539" s="9">
        <f>IF($A4539="","",N4539&amp;"|"&amp;$F4539)</f>
        <v/>
      </c>
      <c r="P4539" s="94">
        <f>IF($A4539="",0,$H4539*설정!$C$23)</f>
        <v/>
      </c>
      <c r="Q4539" s="64">
        <f>IF($A4539="","",IF(O4539&lt;&gt;원인분석!$C$9,"",IF(AND(M4539&gt;=원인분석!$C$10,M4539&lt;=원인분석!$C$11),"당기",IF(AND(M4539&gt;=원인분석!$C$12,M4539&lt;=원인분석!$C$13),"비교",""))))</f>
        <v/>
      </c>
      <c r="R4539" s="9">
        <f>IF(Q4539="","",$K4539&amp;"")</f>
        <v/>
      </c>
      <c r="S4539" s="9">
        <f>IF(Q4539="","",IF(MATCH(R4539,$R$5:$R$100000,0)=ROW()-4,ROW(),""))</f>
        <v/>
      </c>
      <c r="T4539" s="9">
        <f>IF(Q4539="당기",ABS(P4539)+ROW()/1000000000,"")</f>
        <v/>
      </c>
      <c r="U4539" s="9">
        <f>IF(Q4539="비교",ABS(P4539)+ROW()/1000000000,"")</f>
        <v/>
      </c>
      <c r="V4539" s="64">
        <f>IF($A4539="","",IF(COUNTIF(변동분석!$E$7:$E$506,O4539)&gt;0,"Y","N"))</f>
        <v/>
      </c>
      <c r="W4539" s="64">
        <f>IF($A4539="","",IFERROR(INDEX(계정매핑!$D$5:$D$504,MATCH($F4539&amp;"",계정매핑!$A$5:$A$504,0)),"미매핑"))</f>
        <v/>
      </c>
      <c r="X4539" s="9">
        <f>IF($A4539="","",$F4539&amp;"")</f>
        <v/>
      </c>
      <c r="Y4539" s="94">
        <f>IF($A4539="",0,IF(AE4539="직접",IF(AF4539="비귀속",$P4539,0),$P4539*(1-AG4539)*IFERROR(INDEX(계정대체기준!$F$20:$F$49,MATCH($N4539,계정대체기준!$A$20:$A$49,0)),1)))</f>
        <v/>
      </c>
      <c r="Z4539" s="94">
        <f>IF($A4539="",0,IF(AE4539="직접",IF(AF4539="신계약비",$P4539,0),$P4539*(1-AG4539)*IFERROR(INDEX(계정대체기준!$C$20:$C$49,MATCH($N4539,계정대체기준!$A$20:$A$49,0)),0)))</f>
        <v/>
      </c>
      <c r="AA4539" s="94">
        <f>IF($A4539="",0,IF(AE4539="직접",IF(OR(AF4539="유지비",AF4539="손해조사비"),$P4539,0),$P4539*(1-AG4539)*IFERROR(INDEX(계정대체기준!$D$20:$D$49,MATCH($N4539,계정대체기준!$A$20:$A$49,0)),0)))</f>
        <v/>
      </c>
      <c r="AB4539" s="94">
        <f>IF($A4539="",0,IF(AE4539="직접",IF(AF4539="수금비",$P4539,0),$P4539*(1-AG4539)*IFERROR(INDEX(계정대체기준!$E$20:$E$49,MATCH($N4539,계정대체기준!$A$20:$A$49,0)),0)))</f>
        <v/>
      </c>
      <c r="AC4539" s="9">
        <f>IF(AND($A4539&lt;&gt;"",M4539=설정!$C$20,Z4539&gt;0),Z4539+ROW()/1000000000,"")</f>
        <v/>
      </c>
      <c r="AD4539" s="94">
        <f>IF($A4539="",0,$P4539*AG4539)</f>
        <v/>
      </c>
      <c r="AE4539" s="64">
        <f>IF($A4539="","",IFERROR(INDEX(계정매핑!$E$5:$E$504,MATCH($F4539&amp;"",계정매핑!$A$5:$A$504,0))&amp;"","공통비"))</f>
        <v/>
      </c>
      <c r="AF4539" s="64">
        <f>IF($A4539="","",IF(AE4539="직접",IFERROR(INDEX(계정매핑!$F$5:$F$504,MATCH($F4539&amp;"",계정매핑!$A$5:$A$504,0))&amp;"","비귀속"),""))</f>
        <v/>
      </c>
      <c r="AG4539" s="96">
        <f>IF($A4539="",0,IF(AND(AE4539&lt;&gt;"직접",IFERROR(INDEX(계정매핑!$G$5:$G$504,MATCH($F4539&amp;"",계정매핑!$A$5:$A$504,0))&amp;"","")="유지비",COUNTIF(계정대체기준!$A$6:$A$15,$N4539)&gt;0),IFERROR(INDEX(계정대체기준!$E$6:$E$15,MATCH(VALUE($A4539&amp;""),계정대체기준!$D$6:$D$15,0)),0),0))</f>
        <v/>
      </c>
      <c r="AH4539" s="64">
        <f>IF($A4539="","",IF(AD4539=0,"",IF(OR(COUNTIF(계정대체기준!$A$77:$A$86,$N4539)&gt;0,ISNUMBER(MATCH($X4539,계정대체기준!$D$77:$D$86,0)),ISNUMBER(MATCH($F4539,계정대체기준!$D$77:$D$86,0))),"Y","N")))</f>
        <v/>
      </c>
    </row>
    <row r="4540">
      <c r="A4540" s="92" t="n">
        <v>2026</v>
      </c>
      <c r="B4540" s="92" t="n">
        <v>8</v>
      </c>
      <c r="C4540" s="92" t="inlineStr">
        <is>
          <t>5100001818</t>
        </is>
      </c>
      <c r="D4540" s="95" t="n">
        <v>46259</v>
      </c>
      <c r="E4540" s="92" t="inlineStr">
        <is>
          <t>KR</t>
        </is>
      </c>
      <c r="F4540" s="92" t="n">
        <v>62901000</v>
      </c>
      <c r="G4540" s="92" t="n">
        <v>1951</v>
      </c>
      <c r="H4540" s="93" t="n">
        <v>3595000</v>
      </c>
      <c r="I4540" s="92" t="inlineStr">
        <is>
          <t>8월 자문 수수료 - W컨설팅</t>
        </is>
      </c>
      <c r="J4540" s="92" t="inlineStr">
        <is>
          <t>V10006</t>
        </is>
      </c>
      <c r="K4540" s="92" t="inlineStr">
        <is>
          <t>W컨설팅</t>
        </is>
      </c>
      <c r="M4540" s="9">
        <f>IF($A4540="","",VALUE($A4540&amp;"")*12+VALUE($B4540&amp;""))</f>
        <v/>
      </c>
      <c r="N4540" s="64">
        <f>IF($A4540="","",IFERROR(INDEX(부서매핑!$C$5:$C$504,MATCH($G4540&amp;"",부서매핑!$A$5:$A$504,0)),"미매핑"))</f>
        <v/>
      </c>
      <c r="O4540" s="9">
        <f>IF($A4540="","",N4540&amp;"|"&amp;$F4540)</f>
        <v/>
      </c>
      <c r="P4540" s="94">
        <f>IF($A4540="",0,$H4540*설정!$C$23)</f>
        <v/>
      </c>
      <c r="Q4540" s="64">
        <f>IF($A4540="","",IF(O4540&lt;&gt;원인분석!$C$9,"",IF(AND(M4540&gt;=원인분석!$C$10,M4540&lt;=원인분석!$C$11),"당기",IF(AND(M4540&gt;=원인분석!$C$12,M4540&lt;=원인분석!$C$13),"비교",""))))</f>
        <v/>
      </c>
      <c r="R4540" s="9">
        <f>IF(Q4540="","",$K4540&amp;"")</f>
        <v/>
      </c>
      <c r="S4540" s="9">
        <f>IF(Q4540="","",IF(MATCH(R4540,$R$5:$R$100000,0)=ROW()-4,ROW(),""))</f>
        <v/>
      </c>
      <c r="T4540" s="9">
        <f>IF(Q4540="당기",ABS(P4540)+ROW()/1000000000,"")</f>
        <v/>
      </c>
      <c r="U4540" s="9">
        <f>IF(Q4540="비교",ABS(P4540)+ROW()/1000000000,"")</f>
        <v/>
      </c>
      <c r="V4540" s="64">
        <f>IF($A4540="","",IF(COUNTIF(변동분석!$E$7:$E$506,O4540)&gt;0,"Y","N"))</f>
        <v/>
      </c>
      <c r="W4540" s="64">
        <f>IF($A4540="","",IFERROR(INDEX(계정매핑!$D$5:$D$504,MATCH($F4540&amp;"",계정매핑!$A$5:$A$504,0)),"미매핑"))</f>
        <v/>
      </c>
      <c r="X4540" s="9">
        <f>IF($A4540="","",$F4540&amp;"")</f>
        <v/>
      </c>
      <c r="Y4540" s="94">
        <f>IF($A4540="",0,IF(AE4540="직접",IF(AF4540="비귀속",$P4540,0),$P4540*(1-AG4540)*IFERROR(INDEX(계정대체기준!$F$20:$F$49,MATCH($N4540,계정대체기준!$A$20:$A$49,0)),1)))</f>
        <v/>
      </c>
      <c r="Z4540" s="94">
        <f>IF($A4540="",0,IF(AE4540="직접",IF(AF4540="신계약비",$P4540,0),$P4540*(1-AG4540)*IFERROR(INDEX(계정대체기준!$C$20:$C$49,MATCH($N4540,계정대체기준!$A$20:$A$49,0)),0)))</f>
        <v/>
      </c>
      <c r="AA4540" s="94">
        <f>IF($A4540="",0,IF(AE4540="직접",IF(OR(AF4540="유지비",AF4540="손해조사비"),$P4540,0),$P4540*(1-AG4540)*IFERROR(INDEX(계정대체기준!$D$20:$D$49,MATCH($N4540,계정대체기준!$A$20:$A$49,0)),0)))</f>
        <v/>
      </c>
      <c r="AB4540" s="94">
        <f>IF($A4540="",0,IF(AE4540="직접",IF(AF4540="수금비",$P4540,0),$P4540*(1-AG4540)*IFERROR(INDEX(계정대체기준!$E$20:$E$49,MATCH($N4540,계정대체기준!$A$20:$A$49,0)),0)))</f>
        <v/>
      </c>
      <c r="AC4540" s="9">
        <f>IF(AND($A4540&lt;&gt;"",M4540=설정!$C$20,Z4540&gt;0),Z4540+ROW()/1000000000,"")</f>
        <v/>
      </c>
      <c r="AD4540" s="94">
        <f>IF($A4540="",0,$P4540*AG4540)</f>
        <v/>
      </c>
      <c r="AE4540" s="64">
        <f>IF($A4540="","",IFERROR(INDEX(계정매핑!$E$5:$E$504,MATCH($F4540&amp;"",계정매핑!$A$5:$A$504,0))&amp;"","공통비"))</f>
        <v/>
      </c>
      <c r="AF4540" s="64">
        <f>IF($A4540="","",IF(AE4540="직접",IFERROR(INDEX(계정매핑!$F$5:$F$504,MATCH($F4540&amp;"",계정매핑!$A$5:$A$504,0))&amp;"","비귀속"),""))</f>
        <v/>
      </c>
      <c r="AG4540" s="96">
        <f>IF($A4540="",0,IF(AND(AE4540&lt;&gt;"직접",IFERROR(INDEX(계정매핑!$G$5:$G$504,MATCH($F4540&amp;"",계정매핑!$A$5:$A$504,0))&amp;"","")="유지비",COUNTIF(계정대체기준!$A$6:$A$15,$N4540)&gt;0),IFERROR(INDEX(계정대체기준!$E$6:$E$15,MATCH(VALUE($A4540&amp;""),계정대체기준!$D$6:$D$15,0)),0),0))</f>
        <v/>
      </c>
      <c r="AH4540" s="64">
        <f>IF($A4540="","",IF(AD4540=0,"",IF(OR(COUNTIF(계정대체기준!$A$77:$A$86,$N4540)&gt;0,ISNUMBER(MATCH($X4540,계정대체기준!$D$77:$D$86,0)),ISNUMBER(MATCH($F4540,계정대체기준!$D$77:$D$86,0))),"Y","N")))</f>
        <v/>
      </c>
    </row>
    <row r="4541">
      <c r="A4541" s="92" t="n">
        <v>2026</v>
      </c>
      <c r="B4541" s="92" t="n">
        <v>8</v>
      </c>
      <c r="C4541" s="92" t="inlineStr">
        <is>
          <t>5100001819</t>
        </is>
      </c>
      <c r="D4541" s="95" t="n">
        <v>46259</v>
      </c>
      <c r="E4541" s="92" t="inlineStr">
        <is>
          <t>KR</t>
        </is>
      </c>
      <c r="F4541" s="92" t="n">
        <v>63002000</v>
      </c>
      <c r="G4541" s="92" t="n">
        <v>1701</v>
      </c>
      <c r="H4541" s="93" t="n">
        <v>93000000</v>
      </c>
      <c r="I4541" s="92" t="inlineStr">
        <is>
          <t>8월 클라우드 사용료 - C클라우드</t>
        </is>
      </c>
      <c r="J4541" s="92" t="inlineStr">
        <is>
          <t>V10026</t>
        </is>
      </c>
      <c r="K4541" s="92" t="inlineStr">
        <is>
          <t>C클라우드</t>
        </is>
      </c>
      <c r="M4541" s="9">
        <f>IF($A4541="","",VALUE($A4541&amp;"")*12+VALUE($B4541&amp;""))</f>
        <v/>
      </c>
      <c r="N4541" s="64">
        <f>IF($A4541="","",IFERROR(INDEX(부서매핑!$C$5:$C$504,MATCH($G4541&amp;"",부서매핑!$A$5:$A$504,0)),"미매핑"))</f>
        <v/>
      </c>
      <c r="O4541" s="9">
        <f>IF($A4541="","",N4541&amp;"|"&amp;$F4541)</f>
        <v/>
      </c>
      <c r="P4541" s="94">
        <f>IF($A4541="",0,$H4541*설정!$C$23)</f>
        <v/>
      </c>
      <c r="Q4541" s="64">
        <f>IF($A4541="","",IF(O4541&lt;&gt;원인분석!$C$9,"",IF(AND(M4541&gt;=원인분석!$C$10,M4541&lt;=원인분석!$C$11),"당기",IF(AND(M4541&gt;=원인분석!$C$12,M4541&lt;=원인분석!$C$13),"비교",""))))</f>
        <v/>
      </c>
      <c r="R4541" s="9">
        <f>IF(Q4541="","",$K4541&amp;"")</f>
        <v/>
      </c>
      <c r="S4541" s="9">
        <f>IF(Q4541="","",IF(MATCH(R4541,$R$5:$R$100000,0)=ROW()-4,ROW(),""))</f>
        <v/>
      </c>
      <c r="T4541" s="9">
        <f>IF(Q4541="당기",ABS(P4541)+ROW()/1000000000,"")</f>
        <v/>
      </c>
      <c r="U4541" s="9">
        <f>IF(Q4541="비교",ABS(P4541)+ROW()/1000000000,"")</f>
        <v/>
      </c>
      <c r="V4541" s="64">
        <f>IF($A4541="","",IF(COUNTIF(변동분석!$E$7:$E$506,O4541)&gt;0,"Y","N"))</f>
        <v/>
      </c>
      <c r="W4541" s="64">
        <f>IF($A4541="","",IFERROR(INDEX(계정매핑!$D$5:$D$504,MATCH($F4541&amp;"",계정매핑!$A$5:$A$504,0)),"미매핑"))</f>
        <v/>
      </c>
      <c r="X4541" s="9">
        <f>IF($A4541="","",$F4541&amp;"")</f>
        <v/>
      </c>
      <c r="Y4541" s="94">
        <f>IF($A4541="",0,IF(AE4541="직접",IF(AF4541="비귀속",$P4541,0),$P4541*(1-AG4541)*IFERROR(INDEX(계정대체기준!$F$20:$F$49,MATCH($N4541,계정대체기준!$A$20:$A$49,0)),1)))</f>
        <v/>
      </c>
      <c r="Z4541" s="94">
        <f>IF($A4541="",0,IF(AE4541="직접",IF(AF4541="신계약비",$P4541,0),$P4541*(1-AG4541)*IFERROR(INDEX(계정대체기준!$C$20:$C$49,MATCH($N4541,계정대체기준!$A$20:$A$49,0)),0)))</f>
        <v/>
      </c>
      <c r="AA4541" s="94">
        <f>IF($A4541="",0,IF(AE4541="직접",IF(OR(AF4541="유지비",AF4541="손해조사비"),$P4541,0),$P4541*(1-AG4541)*IFERROR(INDEX(계정대체기준!$D$20:$D$49,MATCH($N4541,계정대체기준!$A$20:$A$49,0)),0)))</f>
        <v/>
      </c>
      <c r="AB4541" s="94">
        <f>IF($A4541="",0,IF(AE4541="직접",IF(AF4541="수금비",$P4541,0),$P4541*(1-AG4541)*IFERROR(INDEX(계정대체기준!$E$20:$E$49,MATCH($N4541,계정대체기준!$A$20:$A$49,0)),0)))</f>
        <v/>
      </c>
      <c r="AC4541" s="9">
        <f>IF(AND($A4541&lt;&gt;"",M4541=설정!$C$20,Z4541&gt;0),Z4541+ROW()/1000000000,"")</f>
        <v/>
      </c>
      <c r="AD4541" s="94">
        <f>IF($A4541="",0,$P4541*AG4541)</f>
        <v/>
      </c>
      <c r="AE4541" s="64">
        <f>IF($A4541="","",IFERROR(INDEX(계정매핑!$E$5:$E$504,MATCH($F4541&amp;"",계정매핑!$A$5:$A$504,0))&amp;"","공통비"))</f>
        <v/>
      </c>
      <c r="AF4541" s="64">
        <f>IF($A4541="","",IF(AE4541="직접",IFERROR(INDEX(계정매핑!$F$5:$F$504,MATCH($F4541&amp;"",계정매핑!$A$5:$A$504,0))&amp;"","비귀속"),""))</f>
        <v/>
      </c>
      <c r="AG4541" s="96">
        <f>IF($A4541="",0,IF(AND(AE4541&lt;&gt;"직접",IFERROR(INDEX(계정매핑!$G$5:$G$504,MATCH($F4541&amp;"",계정매핑!$A$5:$A$504,0))&amp;"","")="유지비",COUNTIF(계정대체기준!$A$6:$A$15,$N4541)&gt;0),IFERROR(INDEX(계정대체기준!$E$6:$E$15,MATCH(VALUE($A4541&amp;""),계정대체기준!$D$6:$D$15,0)),0),0))</f>
        <v/>
      </c>
      <c r="AH4541" s="64">
        <f>IF($A4541="","",IF(AD4541=0,"",IF(OR(COUNTIF(계정대체기준!$A$77:$A$86,$N4541)&gt;0,ISNUMBER(MATCH($X4541,계정대체기준!$D$77:$D$86,0)),ISNUMBER(MATCH($F4541,계정대체기준!$D$77:$D$86,0))),"Y","N")))</f>
        <v/>
      </c>
    </row>
    <row r="4542">
      <c r="A4542" s="92" t="n">
        <v>2026</v>
      </c>
      <c r="B4542" s="92" t="n">
        <v>8</v>
      </c>
      <c r="C4542" s="92" t="inlineStr">
        <is>
          <t>5100001820</t>
        </is>
      </c>
      <c r="D4542" s="95" t="n">
        <v>46260</v>
      </c>
      <c r="E4542" s="92" t="inlineStr">
        <is>
          <t>KR</t>
        </is>
      </c>
      <c r="F4542" s="92" t="n">
        <v>62101000</v>
      </c>
      <c r="G4542" s="92" t="n">
        <v>1801</v>
      </c>
      <c r="H4542" s="93" t="n">
        <v>187000</v>
      </c>
      <c r="I4542" s="92" t="inlineStr">
        <is>
          <t>8월 국내출장 - (법인카드)</t>
        </is>
      </c>
      <c r="J4542" s="92" t="inlineStr">
        <is>
          <t>V10010</t>
        </is>
      </c>
      <c r="K4542" s="92" t="inlineStr">
        <is>
          <t>(법인카드)</t>
        </is>
      </c>
      <c r="M4542" s="9">
        <f>IF($A4542="","",VALUE($A4542&amp;"")*12+VALUE($B4542&amp;""))</f>
        <v/>
      </c>
      <c r="N4542" s="64">
        <f>IF($A4542="","",IFERROR(INDEX(부서매핑!$C$5:$C$504,MATCH($G4542&amp;"",부서매핑!$A$5:$A$504,0)),"미매핑"))</f>
        <v/>
      </c>
      <c r="O4542" s="9">
        <f>IF($A4542="","",N4542&amp;"|"&amp;$F4542)</f>
        <v/>
      </c>
      <c r="P4542" s="94">
        <f>IF($A4542="",0,$H4542*설정!$C$23)</f>
        <v/>
      </c>
      <c r="Q4542" s="64">
        <f>IF($A4542="","",IF(O4542&lt;&gt;원인분석!$C$9,"",IF(AND(M4542&gt;=원인분석!$C$10,M4542&lt;=원인분석!$C$11),"당기",IF(AND(M4542&gt;=원인분석!$C$12,M4542&lt;=원인분석!$C$13),"비교",""))))</f>
        <v/>
      </c>
      <c r="R4542" s="9">
        <f>IF(Q4542="","",$K4542&amp;"")</f>
        <v/>
      </c>
      <c r="S4542" s="9">
        <f>IF(Q4542="","",IF(MATCH(R4542,$R$5:$R$100000,0)=ROW()-4,ROW(),""))</f>
        <v/>
      </c>
      <c r="T4542" s="9">
        <f>IF(Q4542="당기",ABS(P4542)+ROW()/1000000000,"")</f>
        <v/>
      </c>
      <c r="U4542" s="9">
        <f>IF(Q4542="비교",ABS(P4542)+ROW()/1000000000,"")</f>
        <v/>
      </c>
      <c r="V4542" s="64">
        <f>IF($A4542="","",IF(COUNTIF(변동분석!$E$7:$E$506,O4542)&gt;0,"Y","N"))</f>
        <v/>
      </c>
      <c r="W4542" s="64">
        <f>IF($A4542="","",IFERROR(INDEX(계정매핑!$D$5:$D$504,MATCH($F4542&amp;"",계정매핑!$A$5:$A$504,0)),"미매핑"))</f>
        <v/>
      </c>
      <c r="X4542" s="9">
        <f>IF($A4542="","",$F4542&amp;"")</f>
        <v/>
      </c>
      <c r="Y4542" s="94">
        <f>IF($A4542="",0,IF(AE4542="직접",IF(AF4542="비귀속",$P4542,0),$P4542*(1-AG4542)*IFERROR(INDEX(계정대체기준!$F$20:$F$49,MATCH($N4542,계정대체기준!$A$20:$A$49,0)),1)))</f>
        <v/>
      </c>
      <c r="Z4542" s="94">
        <f>IF($A4542="",0,IF(AE4542="직접",IF(AF4542="신계약비",$P4542,0),$P4542*(1-AG4542)*IFERROR(INDEX(계정대체기준!$C$20:$C$49,MATCH($N4542,계정대체기준!$A$20:$A$49,0)),0)))</f>
        <v/>
      </c>
      <c r="AA4542" s="94">
        <f>IF($A4542="",0,IF(AE4542="직접",IF(OR(AF4542="유지비",AF4542="손해조사비"),$P4542,0),$P4542*(1-AG4542)*IFERROR(INDEX(계정대체기준!$D$20:$D$49,MATCH($N4542,계정대체기준!$A$20:$A$49,0)),0)))</f>
        <v/>
      </c>
      <c r="AB4542" s="94">
        <f>IF($A4542="",0,IF(AE4542="직접",IF(AF4542="수금비",$P4542,0),$P4542*(1-AG4542)*IFERROR(INDEX(계정대체기준!$E$20:$E$49,MATCH($N4542,계정대체기준!$A$20:$A$49,0)),0)))</f>
        <v/>
      </c>
      <c r="AC4542" s="9">
        <f>IF(AND($A4542&lt;&gt;"",M4542=설정!$C$20,Z4542&gt;0),Z4542+ROW()/1000000000,"")</f>
        <v/>
      </c>
      <c r="AD4542" s="94">
        <f>IF($A4542="",0,$P4542*AG4542)</f>
        <v/>
      </c>
      <c r="AE4542" s="64">
        <f>IF($A4542="","",IFERROR(INDEX(계정매핑!$E$5:$E$504,MATCH($F4542&amp;"",계정매핑!$A$5:$A$504,0))&amp;"","공통비"))</f>
        <v/>
      </c>
      <c r="AF4542" s="64">
        <f>IF($A4542="","",IF(AE4542="직접",IFERROR(INDEX(계정매핑!$F$5:$F$504,MATCH($F4542&amp;"",계정매핑!$A$5:$A$504,0))&amp;"","비귀속"),""))</f>
        <v/>
      </c>
      <c r="AG4542" s="96">
        <f>IF($A4542="",0,IF(AND(AE4542&lt;&gt;"직접",IFERROR(INDEX(계정매핑!$G$5:$G$504,MATCH($F4542&amp;"",계정매핑!$A$5:$A$504,0))&amp;"","")="유지비",COUNTIF(계정대체기준!$A$6:$A$15,$N4542)&gt;0),IFERROR(INDEX(계정대체기준!$E$6:$E$15,MATCH(VALUE($A4542&amp;""),계정대체기준!$D$6:$D$15,0)),0),0))</f>
        <v/>
      </c>
      <c r="AH4542" s="64">
        <f>IF($A4542="","",IF(AD4542=0,"",IF(OR(COUNTIF(계정대체기준!$A$77:$A$86,$N4542)&gt;0,ISNUMBER(MATCH($X4542,계정대체기준!$D$77:$D$86,0)),ISNUMBER(MATCH($F4542,계정대체기준!$D$77:$D$86,0))),"Y","N")))</f>
        <v/>
      </c>
    </row>
    <row r="4543">
      <c r="A4543" s="92" t="n">
        <v>2026</v>
      </c>
      <c r="B4543" s="92" t="n">
        <v>8</v>
      </c>
      <c r="C4543" s="92" t="inlineStr">
        <is>
          <t>5100001821</t>
        </is>
      </c>
      <c r="D4543" s="95" t="n">
        <v>46260</v>
      </c>
      <c r="E4543" s="92" t="inlineStr">
        <is>
          <t>KR</t>
        </is>
      </c>
      <c r="F4543" s="92" t="n">
        <v>62102000</v>
      </c>
      <c r="G4543" s="92" t="n">
        <v>1301</v>
      </c>
      <c r="H4543" s="93" t="n">
        <v>89000</v>
      </c>
      <c r="I4543" s="92" t="inlineStr">
        <is>
          <t>8월 해외출장 - N호텔</t>
        </is>
      </c>
      <c r="J4543" s="92" t="inlineStr">
        <is>
          <t>V10009</t>
        </is>
      </c>
      <c r="K4543" s="92" t="inlineStr">
        <is>
          <t>N호텔</t>
        </is>
      </c>
      <c r="M4543" s="9">
        <f>IF($A4543="","",VALUE($A4543&amp;"")*12+VALUE($B4543&amp;""))</f>
        <v/>
      </c>
      <c r="N4543" s="64">
        <f>IF($A4543="","",IFERROR(INDEX(부서매핑!$C$5:$C$504,MATCH($G4543&amp;"",부서매핑!$A$5:$A$504,0)),"미매핑"))</f>
        <v/>
      </c>
      <c r="O4543" s="9">
        <f>IF($A4543="","",N4543&amp;"|"&amp;$F4543)</f>
        <v/>
      </c>
      <c r="P4543" s="94">
        <f>IF($A4543="",0,$H4543*설정!$C$23)</f>
        <v/>
      </c>
      <c r="Q4543" s="64">
        <f>IF($A4543="","",IF(O4543&lt;&gt;원인분석!$C$9,"",IF(AND(M4543&gt;=원인분석!$C$10,M4543&lt;=원인분석!$C$11),"당기",IF(AND(M4543&gt;=원인분석!$C$12,M4543&lt;=원인분석!$C$13),"비교",""))))</f>
        <v/>
      </c>
      <c r="R4543" s="9">
        <f>IF(Q4543="","",$K4543&amp;"")</f>
        <v/>
      </c>
      <c r="S4543" s="9">
        <f>IF(Q4543="","",IF(MATCH(R4543,$R$5:$R$100000,0)=ROW()-4,ROW(),""))</f>
        <v/>
      </c>
      <c r="T4543" s="9">
        <f>IF(Q4543="당기",ABS(P4543)+ROW()/1000000000,"")</f>
        <v/>
      </c>
      <c r="U4543" s="9">
        <f>IF(Q4543="비교",ABS(P4543)+ROW()/1000000000,"")</f>
        <v/>
      </c>
      <c r="V4543" s="64">
        <f>IF($A4543="","",IF(COUNTIF(변동분석!$E$7:$E$506,O4543)&gt;0,"Y","N"))</f>
        <v/>
      </c>
      <c r="W4543" s="64">
        <f>IF($A4543="","",IFERROR(INDEX(계정매핑!$D$5:$D$504,MATCH($F4543&amp;"",계정매핑!$A$5:$A$504,0)),"미매핑"))</f>
        <v/>
      </c>
      <c r="X4543" s="9">
        <f>IF($A4543="","",$F4543&amp;"")</f>
        <v/>
      </c>
      <c r="Y4543" s="94">
        <f>IF($A4543="",0,IF(AE4543="직접",IF(AF4543="비귀속",$P4543,0),$P4543*(1-AG4543)*IFERROR(INDEX(계정대체기준!$F$20:$F$49,MATCH($N4543,계정대체기준!$A$20:$A$49,0)),1)))</f>
        <v/>
      </c>
      <c r="Z4543" s="94">
        <f>IF($A4543="",0,IF(AE4543="직접",IF(AF4543="신계약비",$P4543,0),$P4543*(1-AG4543)*IFERROR(INDEX(계정대체기준!$C$20:$C$49,MATCH($N4543,계정대체기준!$A$20:$A$49,0)),0)))</f>
        <v/>
      </c>
      <c r="AA4543" s="94">
        <f>IF($A4543="",0,IF(AE4543="직접",IF(OR(AF4543="유지비",AF4543="손해조사비"),$P4543,0),$P4543*(1-AG4543)*IFERROR(INDEX(계정대체기준!$D$20:$D$49,MATCH($N4543,계정대체기준!$A$20:$A$49,0)),0)))</f>
        <v/>
      </c>
      <c r="AB4543" s="94">
        <f>IF($A4543="",0,IF(AE4543="직접",IF(AF4543="수금비",$P4543,0),$P4543*(1-AG4543)*IFERROR(INDEX(계정대체기준!$E$20:$E$49,MATCH($N4543,계정대체기준!$A$20:$A$49,0)),0)))</f>
        <v/>
      </c>
      <c r="AC4543" s="9">
        <f>IF(AND($A4543&lt;&gt;"",M4543=설정!$C$20,Z4543&gt;0),Z4543+ROW()/1000000000,"")</f>
        <v/>
      </c>
      <c r="AD4543" s="94">
        <f>IF($A4543="",0,$P4543*AG4543)</f>
        <v/>
      </c>
      <c r="AE4543" s="64">
        <f>IF($A4543="","",IFERROR(INDEX(계정매핑!$E$5:$E$504,MATCH($F4543&amp;"",계정매핑!$A$5:$A$504,0))&amp;"","공통비"))</f>
        <v/>
      </c>
      <c r="AF4543" s="64">
        <f>IF($A4543="","",IF(AE4543="직접",IFERROR(INDEX(계정매핑!$F$5:$F$504,MATCH($F4543&amp;"",계정매핑!$A$5:$A$504,0))&amp;"","비귀속"),""))</f>
        <v/>
      </c>
      <c r="AG4543" s="96">
        <f>IF($A4543="",0,IF(AND(AE4543&lt;&gt;"직접",IFERROR(INDEX(계정매핑!$G$5:$G$504,MATCH($F4543&amp;"",계정매핑!$A$5:$A$504,0))&amp;"","")="유지비",COUNTIF(계정대체기준!$A$6:$A$15,$N4543)&gt;0),IFERROR(INDEX(계정대체기준!$E$6:$E$15,MATCH(VALUE($A4543&amp;""),계정대체기준!$D$6:$D$15,0)),0),0))</f>
        <v/>
      </c>
      <c r="AH4543" s="64">
        <f>IF($A4543="","",IF(AD4543=0,"",IF(OR(COUNTIF(계정대체기준!$A$77:$A$86,$N4543)&gt;0,ISNUMBER(MATCH($X4543,계정대체기준!$D$77:$D$86,0)),ISNUMBER(MATCH($F4543,계정대체기준!$D$77:$D$86,0))),"Y","N")))</f>
        <v/>
      </c>
    </row>
    <row r="4544">
      <c r="A4544" s="92" t="n">
        <v>2026</v>
      </c>
      <c r="B4544" s="92" t="n">
        <v>8</v>
      </c>
      <c r="C4544" s="92" t="inlineStr">
        <is>
          <t>5100001822</t>
        </is>
      </c>
      <c r="D4544" s="95" t="n">
        <v>46260</v>
      </c>
      <c r="E4544" s="92" t="inlineStr">
        <is>
          <t>KR</t>
        </is>
      </c>
      <c r="F4544" s="92" t="n">
        <v>62102000</v>
      </c>
      <c r="G4544" s="92" t="n">
        <v>1502</v>
      </c>
      <c r="H4544" s="93" t="n">
        <v>166000</v>
      </c>
      <c r="I4544" s="92" t="inlineStr">
        <is>
          <t>8월 해외출장 - N호텔</t>
        </is>
      </c>
      <c r="J4544" s="92" t="inlineStr">
        <is>
          <t>V10009</t>
        </is>
      </c>
      <c r="K4544" s="92" t="inlineStr">
        <is>
          <t>N호텔</t>
        </is>
      </c>
      <c r="M4544" s="9">
        <f>IF($A4544="","",VALUE($A4544&amp;"")*12+VALUE($B4544&amp;""))</f>
        <v/>
      </c>
      <c r="N4544" s="64">
        <f>IF($A4544="","",IFERROR(INDEX(부서매핑!$C$5:$C$504,MATCH($G4544&amp;"",부서매핑!$A$5:$A$504,0)),"미매핑"))</f>
        <v/>
      </c>
      <c r="O4544" s="9">
        <f>IF($A4544="","",N4544&amp;"|"&amp;$F4544)</f>
        <v/>
      </c>
      <c r="P4544" s="94">
        <f>IF($A4544="",0,$H4544*설정!$C$23)</f>
        <v/>
      </c>
      <c r="Q4544" s="64">
        <f>IF($A4544="","",IF(O4544&lt;&gt;원인분석!$C$9,"",IF(AND(M4544&gt;=원인분석!$C$10,M4544&lt;=원인분석!$C$11),"당기",IF(AND(M4544&gt;=원인분석!$C$12,M4544&lt;=원인분석!$C$13),"비교",""))))</f>
        <v/>
      </c>
      <c r="R4544" s="9">
        <f>IF(Q4544="","",$K4544&amp;"")</f>
        <v/>
      </c>
      <c r="S4544" s="9">
        <f>IF(Q4544="","",IF(MATCH(R4544,$R$5:$R$100000,0)=ROW()-4,ROW(),""))</f>
        <v/>
      </c>
      <c r="T4544" s="9">
        <f>IF(Q4544="당기",ABS(P4544)+ROW()/1000000000,"")</f>
        <v/>
      </c>
      <c r="U4544" s="9">
        <f>IF(Q4544="비교",ABS(P4544)+ROW()/1000000000,"")</f>
        <v/>
      </c>
      <c r="V4544" s="64">
        <f>IF($A4544="","",IF(COUNTIF(변동분석!$E$7:$E$506,O4544)&gt;0,"Y","N"))</f>
        <v/>
      </c>
      <c r="W4544" s="64">
        <f>IF($A4544="","",IFERROR(INDEX(계정매핑!$D$5:$D$504,MATCH($F4544&amp;"",계정매핑!$A$5:$A$504,0)),"미매핑"))</f>
        <v/>
      </c>
      <c r="X4544" s="9">
        <f>IF($A4544="","",$F4544&amp;"")</f>
        <v/>
      </c>
      <c r="Y4544" s="94">
        <f>IF($A4544="",0,IF(AE4544="직접",IF(AF4544="비귀속",$P4544,0),$P4544*(1-AG4544)*IFERROR(INDEX(계정대체기준!$F$20:$F$49,MATCH($N4544,계정대체기준!$A$20:$A$49,0)),1)))</f>
        <v/>
      </c>
      <c r="Z4544" s="94">
        <f>IF($A4544="",0,IF(AE4544="직접",IF(AF4544="신계약비",$P4544,0),$P4544*(1-AG4544)*IFERROR(INDEX(계정대체기준!$C$20:$C$49,MATCH($N4544,계정대체기준!$A$20:$A$49,0)),0)))</f>
        <v/>
      </c>
      <c r="AA4544" s="94">
        <f>IF($A4544="",0,IF(AE4544="직접",IF(OR(AF4544="유지비",AF4544="손해조사비"),$P4544,0),$P4544*(1-AG4544)*IFERROR(INDEX(계정대체기준!$D$20:$D$49,MATCH($N4544,계정대체기준!$A$20:$A$49,0)),0)))</f>
        <v/>
      </c>
      <c r="AB4544" s="94">
        <f>IF($A4544="",0,IF(AE4544="직접",IF(AF4544="수금비",$P4544,0),$P4544*(1-AG4544)*IFERROR(INDEX(계정대체기준!$E$20:$E$49,MATCH($N4544,계정대체기준!$A$20:$A$49,0)),0)))</f>
        <v/>
      </c>
      <c r="AC4544" s="9">
        <f>IF(AND($A4544&lt;&gt;"",M4544=설정!$C$20,Z4544&gt;0),Z4544+ROW()/1000000000,"")</f>
        <v/>
      </c>
      <c r="AD4544" s="94">
        <f>IF($A4544="",0,$P4544*AG4544)</f>
        <v/>
      </c>
      <c r="AE4544" s="64">
        <f>IF($A4544="","",IFERROR(INDEX(계정매핑!$E$5:$E$504,MATCH($F4544&amp;"",계정매핑!$A$5:$A$504,0))&amp;"","공통비"))</f>
        <v/>
      </c>
      <c r="AF4544" s="64">
        <f>IF($A4544="","",IF(AE4544="직접",IFERROR(INDEX(계정매핑!$F$5:$F$504,MATCH($F4544&amp;"",계정매핑!$A$5:$A$504,0))&amp;"","비귀속"),""))</f>
        <v/>
      </c>
      <c r="AG4544" s="96">
        <f>IF($A4544="",0,IF(AND(AE4544&lt;&gt;"직접",IFERROR(INDEX(계정매핑!$G$5:$G$504,MATCH($F4544&amp;"",계정매핑!$A$5:$A$504,0))&amp;"","")="유지비",COUNTIF(계정대체기준!$A$6:$A$15,$N4544)&gt;0),IFERROR(INDEX(계정대체기준!$E$6:$E$15,MATCH(VALUE($A4544&amp;""),계정대체기준!$D$6:$D$15,0)),0),0))</f>
        <v/>
      </c>
      <c r="AH4544" s="64">
        <f>IF($A4544="","",IF(AD4544=0,"",IF(OR(COUNTIF(계정대체기준!$A$77:$A$86,$N4544)&gt;0,ISNUMBER(MATCH($X4544,계정대체기준!$D$77:$D$86,0)),ISNUMBER(MATCH($F4544,계정대체기준!$D$77:$D$86,0))),"Y","N")))</f>
        <v/>
      </c>
    </row>
    <row r="4545">
      <c r="A4545" s="92" t="n">
        <v>2026</v>
      </c>
      <c r="B4545" s="92" t="n">
        <v>8</v>
      </c>
      <c r="C4545" s="92" t="inlineStr">
        <is>
          <t>5100001823</t>
        </is>
      </c>
      <c r="D4545" s="95" t="n">
        <v>46260</v>
      </c>
      <c r="E4545" s="92" t="inlineStr">
        <is>
          <t>KR</t>
        </is>
      </c>
      <c r="F4545" s="92" t="n">
        <v>62201000</v>
      </c>
      <c r="G4545" s="92" t="n">
        <v>1801</v>
      </c>
      <c r="H4545" s="93" t="n">
        <v>6372000</v>
      </c>
      <c r="I4545" s="92" t="inlineStr">
        <is>
          <t>8월 통신요금 - P통신</t>
        </is>
      </c>
      <c r="J4545" s="92" t="inlineStr">
        <is>
          <t>V10014</t>
        </is>
      </c>
      <c r="K4545" s="92" t="inlineStr">
        <is>
          <t>P통신</t>
        </is>
      </c>
      <c r="M4545" s="9">
        <f>IF($A4545="","",VALUE($A4545&amp;"")*12+VALUE($B4545&amp;""))</f>
        <v/>
      </c>
      <c r="N4545" s="64">
        <f>IF($A4545="","",IFERROR(INDEX(부서매핑!$C$5:$C$504,MATCH($G4545&amp;"",부서매핑!$A$5:$A$504,0)),"미매핑"))</f>
        <v/>
      </c>
      <c r="O4545" s="9">
        <f>IF($A4545="","",N4545&amp;"|"&amp;$F4545)</f>
        <v/>
      </c>
      <c r="P4545" s="94">
        <f>IF($A4545="",0,$H4545*설정!$C$23)</f>
        <v/>
      </c>
      <c r="Q4545" s="64">
        <f>IF($A4545="","",IF(O4545&lt;&gt;원인분석!$C$9,"",IF(AND(M4545&gt;=원인분석!$C$10,M4545&lt;=원인분석!$C$11),"당기",IF(AND(M4545&gt;=원인분석!$C$12,M4545&lt;=원인분석!$C$13),"비교",""))))</f>
        <v/>
      </c>
      <c r="R4545" s="9">
        <f>IF(Q4545="","",$K4545&amp;"")</f>
        <v/>
      </c>
      <c r="S4545" s="9">
        <f>IF(Q4545="","",IF(MATCH(R4545,$R$5:$R$100000,0)=ROW()-4,ROW(),""))</f>
        <v/>
      </c>
      <c r="T4545" s="9">
        <f>IF(Q4545="당기",ABS(P4545)+ROW()/1000000000,"")</f>
        <v/>
      </c>
      <c r="U4545" s="9">
        <f>IF(Q4545="비교",ABS(P4545)+ROW()/1000000000,"")</f>
        <v/>
      </c>
      <c r="V4545" s="64">
        <f>IF($A4545="","",IF(COUNTIF(변동분석!$E$7:$E$506,O4545)&gt;0,"Y","N"))</f>
        <v/>
      </c>
      <c r="W4545" s="64">
        <f>IF($A4545="","",IFERROR(INDEX(계정매핑!$D$5:$D$504,MATCH($F4545&amp;"",계정매핑!$A$5:$A$504,0)),"미매핑"))</f>
        <v/>
      </c>
      <c r="X4545" s="9">
        <f>IF($A4545="","",$F4545&amp;"")</f>
        <v/>
      </c>
      <c r="Y4545" s="94">
        <f>IF($A4545="",0,IF(AE4545="직접",IF(AF4545="비귀속",$P4545,0),$P4545*(1-AG4545)*IFERROR(INDEX(계정대체기준!$F$20:$F$49,MATCH($N4545,계정대체기준!$A$20:$A$49,0)),1)))</f>
        <v/>
      </c>
      <c r="Z4545" s="94">
        <f>IF($A4545="",0,IF(AE4545="직접",IF(AF4545="신계약비",$P4545,0),$P4545*(1-AG4545)*IFERROR(INDEX(계정대체기준!$C$20:$C$49,MATCH($N4545,계정대체기준!$A$20:$A$49,0)),0)))</f>
        <v/>
      </c>
      <c r="AA4545" s="94">
        <f>IF($A4545="",0,IF(AE4545="직접",IF(OR(AF4545="유지비",AF4545="손해조사비"),$P4545,0),$P4545*(1-AG4545)*IFERROR(INDEX(계정대체기준!$D$20:$D$49,MATCH($N4545,계정대체기준!$A$20:$A$49,0)),0)))</f>
        <v/>
      </c>
      <c r="AB4545" s="94">
        <f>IF($A4545="",0,IF(AE4545="직접",IF(AF4545="수금비",$P4545,0),$P4545*(1-AG4545)*IFERROR(INDEX(계정대체기준!$E$20:$E$49,MATCH($N4545,계정대체기준!$A$20:$A$49,0)),0)))</f>
        <v/>
      </c>
      <c r="AC4545" s="9">
        <f>IF(AND($A4545&lt;&gt;"",M4545=설정!$C$20,Z4545&gt;0),Z4545+ROW()/1000000000,"")</f>
        <v/>
      </c>
      <c r="AD4545" s="94">
        <f>IF($A4545="",0,$P4545*AG4545)</f>
        <v/>
      </c>
      <c r="AE4545" s="64">
        <f>IF($A4545="","",IFERROR(INDEX(계정매핑!$E$5:$E$504,MATCH($F4545&amp;"",계정매핑!$A$5:$A$504,0))&amp;"","공통비"))</f>
        <v/>
      </c>
      <c r="AF4545" s="64">
        <f>IF($A4545="","",IF(AE4545="직접",IFERROR(INDEX(계정매핑!$F$5:$F$504,MATCH($F4545&amp;"",계정매핑!$A$5:$A$504,0))&amp;"","비귀속"),""))</f>
        <v/>
      </c>
      <c r="AG4545" s="96">
        <f>IF($A4545="",0,IF(AND(AE4545&lt;&gt;"직접",IFERROR(INDEX(계정매핑!$G$5:$G$504,MATCH($F4545&amp;"",계정매핑!$A$5:$A$504,0))&amp;"","")="유지비",COUNTIF(계정대체기준!$A$6:$A$15,$N4545)&gt;0),IFERROR(INDEX(계정대체기준!$E$6:$E$15,MATCH(VALUE($A4545&amp;""),계정대체기준!$D$6:$D$15,0)),0),0))</f>
        <v/>
      </c>
      <c r="AH4545" s="64">
        <f>IF($A4545="","",IF(AD4545=0,"",IF(OR(COUNTIF(계정대체기준!$A$77:$A$86,$N4545)&gt;0,ISNUMBER(MATCH($X4545,계정대체기준!$D$77:$D$86,0)),ISNUMBER(MATCH($F4545,계정대체기준!$D$77:$D$86,0))),"Y","N")))</f>
        <v/>
      </c>
    </row>
    <row r="4546">
      <c r="A4546" s="92" t="n">
        <v>2026</v>
      </c>
      <c r="B4546" s="92" t="n">
        <v>8</v>
      </c>
      <c r="C4546" s="92" t="inlineStr">
        <is>
          <t>5100001824</t>
        </is>
      </c>
      <c r="D4546" s="95" t="n">
        <v>46260</v>
      </c>
      <c r="E4546" s="92" t="inlineStr">
        <is>
          <t>KR</t>
        </is>
      </c>
      <c r="F4546" s="92" t="n">
        <v>62801000</v>
      </c>
      <c r="G4546" s="92" t="n">
        <v>1301</v>
      </c>
      <c r="H4546" s="93" t="n">
        <v>3933000</v>
      </c>
      <c r="I4546" s="92" t="inlineStr">
        <is>
          <t>8월 사내교육 - U에듀</t>
        </is>
      </c>
      <c r="J4546" s="92" t="inlineStr">
        <is>
          <t>V10031</t>
        </is>
      </c>
      <c r="K4546" s="92" t="inlineStr">
        <is>
          <t>U에듀</t>
        </is>
      </c>
      <c r="M4546" s="9">
        <f>IF($A4546="","",VALUE($A4546&amp;"")*12+VALUE($B4546&amp;""))</f>
        <v/>
      </c>
      <c r="N4546" s="64">
        <f>IF($A4546="","",IFERROR(INDEX(부서매핑!$C$5:$C$504,MATCH($G4546&amp;"",부서매핑!$A$5:$A$504,0)),"미매핑"))</f>
        <v/>
      </c>
      <c r="O4546" s="9">
        <f>IF($A4546="","",N4546&amp;"|"&amp;$F4546)</f>
        <v/>
      </c>
      <c r="P4546" s="94">
        <f>IF($A4546="",0,$H4546*설정!$C$23)</f>
        <v/>
      </c>
      <c r="Q4546" s="64">
        <f>IF($A4546="","",IF(O4546&lt;&gt;원인분석!$C$9,"",IF(AND(M4546&gt;=원인분석!$C$10,M4546&lt;=원인분석!$C$11),"당기",IF(AND(M4546&gt;=원인분석!$C$12,M4546&lt;=원인분석!$C$13),"비교",""))))</f>
        <v/>
      </c>
      <c r="R4546" s="9">
        <f>IF(Q4546="","",$K4546&amp;"")</f>
        <v/>
      </c>
      <c r="S4546" s="9">
        <f>IF(Q4546="","",IF(MATCH(R4546,$R$5:$R$100000,0)=ROW()-4,ROW(),""))</f>
        <v/>
      </c>
      <c r="T4546" s="9">
        <f>IF(Q4546="당기",ABS(P4546)+ROW()/1000000000,"")</f>
        <v/>
      </c>
      <c r="U4546" s="9">
        <f>IF(Q4546="비교",ABS(P4546)+ROW()/1000000000,"")</f>
        <v/>
      </c>
      <c r="V4546" s="64">
        <f>IF($A4546="","",IF(COUNTIF(변동분석!$E$7:$E$506,O4546)&gt;0,"Y","N"))</f>
        <v/>
      </c>
      <c r="W4546" s="64">
        <f>IF($A4546="","",IFERROR(INDEX(계정매핑!$D$5:$D$504,MATCH($F4546&amp;"",계정매핑!$A$5:$A$504,0)),"미매핑"))</f>
        <v/>
      </c>
      <c r="X4546" s="9">
        <f>IF($A4546="","",$F4546&amp;"")</f>
        <v/>
      </c>
      <c r="Y4546" s="94">
        <f>IF($A4546="",0,IF(AE4546="직접",IF(AF4546="비귀속",$P4546,0),$P4546*(1-AG4546)*IFERROR(INDEX(계정대체기준!$F$20:$F$49,MATCH($N4546,계정대체기준!$A$20:$A$49,0)),1)))</f>
        <v/>
      </c>
      <c r="Z4546" s="94">
        <f>IF($A4546="",0,IF(AE4546="직접",IF(AF4546="신계약비",$P4546,0),$P4546*(1-AG4546)*IFERROR(INDEX(계정대체기준!$C$20:$C$49,MATCH($N4546,계정대체기준!$A$20:$A$49,0)),0)))</f>
        <v/>
      </c>
      <c r="AA4546" s="94">
        <f>IF($A4546="",0,IF(AE4546="직접",IF(OR(AF4546="유지비",AF4546="손해조사비"),$P4546,0),$P4546*(1-AG4546)*IFERROR(INDEX(계정대체기준!$D$20:$D$49,MATCH($N4546,계정대체기준!$A$20:$A$49,0)),0)))</f>
        <v/>
      </c>
      <c r="AB4546" s="94">
        <f>IF($A4546="",0,IF(AE4546="직접",IF(AF4546="수금비",$P4546,0),$P4546*(1-AG4546)*IFERROR(INDEX(계정대체기준!$E$20:$E$49,MATCH($N4546,계정대체기준!$A$20:$A$49,0)),0)))</f>
        <v/>
      </c>
      <c r="AC4546" s="9">
        <f>IF(AND($A4546&lt;&gt;"",M4546=설정!$C$20,Z4546&gt;0),Z4546+ROW()/1000000000,"")</f>
        <v/>
      </c>
      <c r="AD4546" s="94">
        <f>IF($A4546="",0,$P4546*AG4546)</f>
        <v/>
      </c>
      <c r="AE4546" s="64">
        <f>IF($A4546="","",IFERROR(INDEX(계정매핑!$E$5:$E$504,MATCH($F4546&amp;"",계정매핑!$A$5:$A$504,0))&amp;"","공통비"))</f>
        <v/>
      </c>
      <c r="AF4546" s="64">
        <f>IF($A4546="","",IF(AE4546="직접",IFERROR(INDEX(계정매핑!$F$5:$F$504,MATCH($F4546&amp;"",계정매핑!$A$5:$A$504,0))&amp;"","비귀속"),""))</f>
        <v/>
      </c>
      <c r="AG4546" s="96">
        <f>IF($A4546="",0,IF(AND(AE4546&lt;&gt;"직접",IFERROR(INDEX(계정매핑!$G$5:$G$504,MATCH($F4546&amp;"",계정매핑!$A$5:$A$504,0))&amp;"","")="유지비",COUNTIF(계정대체기준!$A$6:$A$15,$N4546)&gt;0),IFERROR(INDEX(계정대체기준!$E$6:$E$15,MATCH(VALUE($A4546&amp;""),계정대체기준!$D$6:$D$15,0)),0),0))</f>
        <v/>
      </c>
      <c r="AH4546" s="64">
        <f>IF($A4546="","",IF(AD4546=0,"",IF(OR(COUNTIF(계정대체기준!$A$77:$A$86,$N4546)&gt;0,ISNUMBER(MATCH($X4546,계정대체기준!$D$77:$D$86,0)),ISNUMBER(MATCH($F4546,계정대체기준!$D$77:$D$86,0))),"Y","N")))</f>
        <v/>
      </c>
    </row>
    <row r="4547">
      <c r="A4547" s="92" t="n">
        <v>2026</v>
      </c>
      <c r="B4547" s="92" t="n">
        <v>8</v>
      </c>
      <c r="C4547" s="92" t="inlineStr">
        <is>
          <t>5100001825</t>
        </is>
      </c>
      <c r="D4547" s="95" t="n">
        <v>46260</v>
      </c>
      <c r="E4547" s="92" t="inlineStr">
        <is>
          <t>KR</t>
        </is>
      </c>
      <c r="F4547" s="92" t="n">
        <v>62802000</v>
      </c>
      <c r="G4547" s="92" t="n">
        <v>1301</v>
      </c>
      <c r="H4547" s="93" t="n">
        <v>3617000</v>
      </c>
      <c r="I4547" s="92" t="inlineStr">
        <is>
          <t>8월 위탁교육 - I교육원</t>
        </is>
      </c>
      <c r="J4547" s="92" t="inlineStr">
        <is>
          <t>V10019</t>
        </is>
      </c>
      <c r="K4547" s="92" t="inlineStr">
        <is>
          <t>I교육원</t>
        </is>
      </c>
      <c r="M4547" s="9">
        <f>IF($A4547="","",VALUE($A4547&amp;"")*12+VALUE($B4547&amp;""))</f>
        <v/>
      </c>
      <c r="N4547" s="64">
        <f>IF($A4547="","",IFERROR(INDEX(부서매핑!$C$5:$C$504,MATCH($G4547&amp;"",부서매핑!$A$5:$A$504,0)),"미매핑"))</f>
        <v/>
      </c>
      <c r="O4547" s="9">
        <f>IF($A4547="","",N4547&amp;"|"&amp;$F4547)</f>
        <v/>
      </c>
      <c r="P4547" s="94">
        <f>IF($A4547="",0,$H4547*설정!$C$23)</f>
        <v/>
      </c>
      <c r="Q4547" s="64">
        <f>IF($A4547="","",IF(O4547&lt;&gt;원인분석!$C$9,"",IF(AND(M4547&gt;=원인분석!$C$10,M4547&lt;=원인분석!$C$11),"당기",IF(AND(M4547&gt;=원인분석!$C$12,M4547&lt;=원인분석!$C$13),"비교",""))))</f>
        <v/>
      </c>
      <c r="R4547" s="9">
        <f>IF(Q4547="","",$K4547&amp;"")</f>
        <v/>
      </c>
      <c r="S4547" s="9">
        <f>IF(Q4547="","",IF(MATCH(R4547,$R$5:$R$100000,0)=ROW()-4,ROW(),""))</f>
        <v/>
      </c>
      <c r="T4547" s="9">
        <f>IF(Q4547="당기",ABS(P4547)+ROW()/1000000000,"")</f>
        <v/>
      </c>
      <c r="U4547" s="9">
        <f>IF(Q4547="비교",ABS(P4547)+ROW()/1000000000,"")</f>
        <v/>
      </c>
      <c r="V4547" s="64">
        <f>IF($A4547="","",IF(COUNTIF(변동분석!$E$7:$E$506,O4547)&gt;0,"Y","N"))</f>
        <v/>
      </c>
      <c r="W4547" s="64">
        <f>IF($A4547="","",IFERROR(INDEX(계정매핑!$D$5:$D$504,MATCH($F4547&amp;"",계정매핑!$A$5:$A$504,0)),"미매핑"))</f>
        <v/>
      </c>
      <c r="X4547" s="9">
        <f>IF($A4547="","",$F4547&amp;"")</f>
        <v/>
      </c>
      <c r="Y4547" s="94">
        <f>IF($A4547="",0,IF(AE4547="직접",IF(AF4547="비귀속",$P4547,0),$P4547*(1-AG4547)*IFERROR(INDEX(계정대체기준!$F$20:$F$49,MATCH($N4547,계정대체기준!$A$20:$A$49,0)),1)))</f>
        <v/>
      </c>
      <c r="Z4547" s="94">
        <f>IF($A4547="",0,IF(AE4547="직접",IF(AF4547="신계약비",$P4547,0),$P4547*(1-AG4547)*IFERROR(INDEX(계정대체기준!$C$20:$C$49,MATCH($N4547,계정대체기준!$A$20:$A$49,0)),0)))</f>
        <v/>
      </c>
      <c r="AA4547" s="94">
        <f>IF($A4547="",0,IF(AE4547="직접",IF(OR(AF4547="유지비",AF4547="손해조사비"),$P4547,0),$P4547*(1-AG4547)*IFERROR(INDEX(계정대체기준!$D$20:$D$49,MATCH($N4547,계정대체기준!$A$20:$A$49,0)),0)))</f>
        <v/>
      </c>
      <c r="AB4547" s="94">
        <f>IF($A4547="",0,IF(AE4547="직접",IF(AF4547="수금비",$P4547,0),$P4547*(1-AG4547)*IFERROR(INDEX(계정대체기준!$E$20:$E$49,MATCH($N4547,계정대체기준!$A$20:$A$49,0)),0)))</f>
        <v/>
      </c>
      <c r="AC4547" s="9">
        <f>IF(AND($A4547&lt;&gt;"",M4547=설정!$C$20,Z4547&gt;0),Z4547+ROW()/1000000000,"")</f>
        <v/>
      </c>
      <c r="AD4547" s="94">
        <f>IF($A4547="",0,$P4547*AG4547)</f>
        <v/>
      </c>
      <c r="AE4547" s="64">
        <f>IF($A4547="","",IFERROR(INDEX(계정매핑!$E$5:$E$504,MATCH($F4547&amp;"",계정매핑!$A$5:$A$504,0))&amp;"","공통비"))</f>
        <v/>
      </c>
      <c r="AF4547" s="64">
        <f>IF($A4547="","",IF(AE4547="직접",IFERROR(INDEX(계정매핑!$F$5:$F$504,MATCH($F4547&amp;"",계정매핑!$A$5:$A$504,0))&amp;"","비귀속"),""))</f>
        <v/>
      </c>
      <c r="AG4547" s="96">
        <f>IF($A4547="",0,IF(AND(AE4547&lt;&gt;"직접",IFERROR(INDEX(계정매핑!$G$5:$G$504,MATCH($F4547&amp;"",계정매핑!$A$5:$A$504,0))&amp;"","")="유지비",COUNTIF(계정대체기준!$A$6:$A$15,$N4547)&gt;0),IFERROR(INDEX(계정대체기준!$E$6:$E$15,MATCH(VALUE($A4547&amp;""),계정대체기준!$D$6:$D$15,0)),0),0))</f>
        <v/>
      </c>
      <c r="AH4547" s="64">
        <f>IF($A4547="","",IF(AD4547=0,"",IF(OR(COUNTIF(계정대체기준!$A$77:$A$86,$N4547)&gt;0,ISNUMBER(MATCH($X4547,계정대체기준!$D$77:$D$86,0)),ISNUMBER(MATCH($F4547,계정대체기준!$D$77:$D$86,0))),"Y","N")))</f>
        <v/>
      </c>
    </row>
    <row r="4548">
      <c r="A4548" s="92" t="n">
        <v>2026</v>
      </c>
      <c r="B4548" s="92" t="n">
        <v>8</v>
      </c>
      <c r="C4548" s="92" t="inlineStr">
        <is>
          <t>5100001826</t>
        </is>
      </c>
      <c r="D4548" s="95" t="n">
        <v>46260</v>
      </c>
      <c r="E4548" s="92" t="inlineStr">
        <is>
          <t>KR</t>
        </is>
      </c>
      <c r="F4548" s="92" t="n">
        <v>62901000</v>
      </c>
      <c r="G4548" s="92" t="n">
        <v>1101</v>
      </c>
      <c r="H4548" s="93" t="n">
        <v>4644000</v>
      </c>
      <c r="I4548" s="92" t="inlineStr">
        <is>
          <t>8월 자문 수수료 - K회계법인</t>
        </is>
      </c>
      <c r="J4548" s="92" t="inlineStr">
        <is>
          <t>V10011</t>
        </is>
      </c>
      <c r="K4548" s="92" t="inlineStr">
        <is>
          <t>K회계법인</t>
        </is>
      </c>
      <c r="M4548" s="9">
        <f>IF($A4548="","",VALUE($A4548&amp;"")*12+VALUE($B4548&amp;""))</f>
        <v/>
      </c>
      <c r="N4548" s="64">
        <f>IF($A4548="","",IFERROR(INDEX(부서매핑!$C$5:$C$504,MATCH($G4548&amp;"",부서매핑!$A$5:$A$504,0)),"미매핑"))</f>
        <v/>
      </c>
      <c r="O4548" s="9">
        <f>IF($A4548="","",N4548&amp;"|"&amp;$F4548)</f>
        <v/>
      </c>
      <c r="P4548" s="94">
        <f>IF($A4548="",0,$H4548*설정!$C$23)</f>
        <v/>
      </c>
      <c r="Q4548" s="64">
        <f>IF($A4548="","",IF(O4548&lt;&gt;원인분석!$C$9,"",IF(AND(M4548&gt;=원인분석!$C$10,M4548&lt;=원인분석!$C$11),"당기",IF(AND(M4548&gt;=원인분석!$C$12,M4548&lt;=원인분석!$C$13),"비교",""))))</f>
        <v/>
      </c>
      <c r="R4548" s="9">
        <f>IF(Q4548="","",$K4548&amp;"")</f>
        <v/>
      </c>
      <c r="S4548" s="9">
        <f>IF(Q4548="","",IF(MATCH(R4548,$R$5:$R$100000,0)=ROW()-4,ROW(),""))</f>
        <v/>
      </c>
      <c r="T4548" s="9">
        <f>IF(Q4548="당기",ABS(P4548)+ROW()/1000000000,"")</f>
        <v/>
      </c>
      <c r="U4548" s="9">
        <f>IF(Q4548="비교",ABS(P4548)+ROW()/1000000000,"")</f>
        <v/>
      </c>
      <c r="V4548" s="64">
        <f>IF($A4548="","",IF(COUNTIF(변동분석!$E$7:$E$506,O4548)&gt;0,"Y","N"))</f>
        <v/>
      </c>
      <c r="W4548" s="64">
        <f>IF($A4548="","",IFERROR(INDEX(계정매핑!$D$5:$D$504,MATCH($F4548&amp;"",계정매핑!$A$5:$A$504,0)),"미매핑"))</f>
        <v/>
      </c>
      <c r="X4548" s="9">
        <f>IF($A4548="","",$F4548&amp;"")</f>
        <v/>
      </c>
      <c r="Y4548" s="94">
        <f>IF($A4548="",0,IF(AE4548="직접",IF(AF4548="비귀속",$P4548,0),$P4548*(1-AG4548)*IFERROR(INDEX(계정대체기준!$F$20:$F$49,MATCH($N4548,계정대체기준!$A$20:$A$49,0)),1)))</f>
        <v/>
      </c>
      <c r="Z4548" s="94">
        <f>IF($A4548="",0,IF(AE4548="직접",IF(AF4548="신계약비",$P4548,0),$P4548*(1-AG4548)*IFERROR(INDEX(계정대체기준!$C$20:$C$49,MATCH($N4548,계정대체기준!$A$20:$A$49,0)),0)))</f>
        <v/>
      </c>
      <c r="AA4548" s="94">
        <f>IF($A4548="",0,IF(AE4548="직접",IF(OR(AF4548="유지비",AF4548="손해조사비"),$P4548,0),$P4548*(1-AG4548)*IFERROR(INDEX(계정대체기준!$D$20:$D$49,MATCH($N4548,계정대체기준!$A$20:$A$49,0)),0)))</f>
        <v/>
      </c>
      <c r="AB4548" s="94">
        <f>IF($A4548="",0,IF(AE4548="직접",IF(AF4548="수금비",$P4548,0),$P4548*(1-AG4548)*IFERROR(INDEX(계정대체기준!$E$20:$E$49,MATCH($N4548,계정대체기준!$A$20:$A$49,0)),0)))</f>
        <v/>
      </c>
      <c r="AC4548" s="9">
        <f>IF(AND($A4548&lt;&gt;"",M4548=설정!$C$20,Z4548&gt;0),Z4548+ROW()/1000000000,"")</f>
        <v/>
      </c>
      <c r="AD4548" s="94">
        <f>IF($A4548="",0,$P4548*AG4548)</f>
        <v/>
      </c>
      <c r="AE4548" s="64">
        <f>IF($A4548="","",IFERROR(INDEX(계정매핑!$E$5:$E$504,MATCH($F4548&amp;"",계정매핑!$A$5:$A$504,0))&amp;"","공통비"))</f>
        <v/>
      </c>
      <c r="AF4548" s="64">
        <f>IF($A4548="","",IF(AE4548="직접",IFERROR(INDEX(계정매핑!$F$5:$F$504,MATCH($F4548&amp;"",계정매핑!$A$5:$A$504,0))&amp;"","비귀속"),""))</f>
        <v/>
      </c>
      <c r="AG4548" s="96">
        <f>IF($A4548="",0,IF(AND(AE4548&lt;&gt;"직접",IFERROR(INDEX(계정매핑!$G$5:$G$504,MATCH($F4548&amp;"",계정매핑!$A$5:$A$504,0))&amp;"","")="유지비",COUNTIF(계정대체기준!$A$6:$A$15,$N4548)&gt;0),IFERROR(INDEX(계정대체기준!$E$6:$E$15,MATCH(VALUE($A4548&amp;""),계정대체기준!$D$6:$D$15,0)),0),0))</f>
        <v/>
      </c>
      <c r="AH4548" s="64">
        <f>IF($A4548="","",IF(AD4548=0,"",IF(OR(COUNTIF(계정대체기준!$A$77:$A$86,$N4548)&gt;0,ISNUMBER(MATCH($X4548,계정대체기준!$D$77:$D$86,0)),ISNUMBER(MATCH($F4548,계정대체기준!$D$77:$D$86,0))),"Y","N")))</f>
        <v/>
      </c>
    </row>
    <row r="4549">
      <c r="A4549" s="92" t="n">
        <v>2026</v>
      </c>
      <c r="B4549" s="92" t="n">
        <v>8</v>
      </c>
      <c r="C4549" s="92" t="inlineStr">
        <is>
          <t>5100001827</t>
        </is>
      </c>
      <c r="D4549" s="95" t="n">
        <v>46260</v>
      </c>
      <c r="E4549" s="92" t="inlineStr">
        <is>
          <t>KR</t>
        </is>
      </c>
      <c r="F4549" s="92" t="n">
        <v>63001000</v>
      </c>
      <c r="G4549" s="92" t="n">
        <v>1701</v>
      </c>
      <c r="H4549" s="93" t="n">
        <v>29941000</v>
      </c>
      <c r="I4549" s="92" t="inlineStr">
        <is>
          <t>8월 SW 유지보수 - Y소프트</t>
        </is>
      </c>
      <c r="J4549" s="92" t="inlineStr">
        <is>
          <t>V10017</t>
        </is>
      </c>
      <c r="K4549" s="92" t="inlineStr">
        <is>
          <t>Y소프트</t>
        </is>
      </c>
      <c r="M4549" s="9">
        <f>IF($A4549="","",VALUE($A4549&amp;"")*12+VALUE($B4549&amp;""))</f>
        <v/>
      </c>
      <c r="N4549" s="64">
        <f>IF($A4549="","",IFERROR(INDEX(부서매핑!$C$5:$C$504,MATCH($G4549&amp;"",부서매핑!$A$5:$A$504,0)),"미매핑"))</f>
        <v/>
      </c>
      <c r="O4549" s="9">
        <f>IF($A4549="","",N4549&amp;"|"&amp;$F4549)</f>
        <v/>
      </c>
      <c r="P4549" s="94">
        <f>IF($A4549="",0,$H4549*설정!$C$23)</f>
        <v/>
      </c>
      <c r="Q4549" s="64">
        <f>IF($A4549="","",IF(O4549&lt;&gt;원인분석!$C$9,"",IF(AND(M4549&gt;=원인분석!$C$10,M4549&lt;=원인분석!$C$11),"당기",IF(AND(M4549&gt;=원인분석!$C$12,M4549&lt;=원인분석!$C$13),"비교",""))))</f>
        <v/>
      </c>
      <c r="R4549" s="9">
        <f>IF(Q4549="","",$K4549&amp;"")</f>
        <v/>
      </c>
      <c r="S4549" s="9">
        <f>IF(Q4549="","",IF(MATCH(R4549,$R$5:$R$100000,0)=ROW()-4,ROW(),""))</f>
        <v/>
      </c>
      <c r="T4549" s="9">
        <f>IF(Q4549="당기",ABS(P4549)+ROW()/1000000000,"")</f>
        <v/>
      </c>
      <c r="U4549" s="9">
        <f>IF(Q4549="비교",ABS(P4549)+ROW()/1000000000,"")</f>
        <v/>
      </c>
      <c r="V4549" s="64">
        <f>IF($A4549="","",IF(COUNTIF(변동분석!$E$7:$E$506,O4549)&gt;0,"Y","N"))</f>
        <v/>
      </c>
      <c r="W4549" s="64">
        <f>IF($A4549="","",IFERROR(INDEX(계정매핑!$D$5:$D$504,MATCH($F4549&amp;"",계정매핑!$A$5:$A$504,0)),"미매핑"))</f>
        <v/>
      </c>
      <c r="X4549" s="9">
        <f>IF($A4549="","",$F4549&amp;"")</f>
        <v/>
      </c>
      <c r="Y4549" s="94">
        <f>IF($A4549="",0,IF(AE4549="직접",IF(AF4549="비귀속",$P4549,0),$P4549*(1-AG4549)*IFERROR(INDEX(계정대체기준!$F$20:$F$49,MATCH($N4549,계정대체기준!$A$20:$A$49,0)),1)))</f>
        <v/>
      </c>
      <c r="Z4549" s="94">
        <f>IF($A4549="",0,IF(AE4549="직접",IF(AF4549="신계약비",$P4549,0),$P4549*(1-AG4549)*IFERROR(INDEX(계정대체기준!$C$20:$C$49,MATCH($N4549,계정대체기준!$A$20:$A$49,0)),0)))</f>
        <v/>
      </c>
      <c r="AA4549" s="94">
        <f>IF($A4549="",0,IF(AE4549="직접",IF(OR(AF4549="유지비",AF4549="손해조사비"),$P4549,0),$P4549*(1-AG4549)*IFERROR(INDEX(계정대체기준!$D$20:$D$49,MATCH($N4549,계정대체기준!$A$20:$A$49,0)),0)))</f>
        <v/>
      </c>
      <c r="AB4549" s="94">
        <f>IF($A4549="",0,IF(AE4549="직접",IF(AF4549="수금비",$P4549,0),$P4549*(1-AG4549)*IFERROR(INDEX(계정대체기준!$E$20:$E$49,MATCH($N4549,계정대체기준!$A$20:$A$49,0)),0)))</f>
        <v/>
      </c>
      <c r="AC4549" s="9">
        <f>IF(AND($A4549&lt;&gt;"",M4549=설정!$C$20,Z4549&gt;0),Z4549+ROW()/1000000000,"")</f>
        <v/>
      </c>
      <c r="AD4549" s="94">
        <f>IF($A4549="",0,$P4549*AG4549)</f>
        <v/>
      </c>
      <c r="AE4549" s="64">
        <f>IF($A4549="","",IFERROR(INDEX(계정매핑!$E$5:$E$504,MATCH($F4549&amp;"",계정매핑!$A$5:$A$504,0))&amp;"","공통비"))</f>
        <v/>
      </c>
      <c r="AF4549" s="64">
        <f>IF($A4549="","",IF(AE4549="직접",IFERROR(INDEX(계정매핑!$F$5:$F$504,MATCH($F4549&amp;"",계정매핑!$A$5:$A$504,0))&amp;"","비귀속"),""))</f>
        <v/>
      </c>
      <c r="AG4549" s="96">
        <f>IF($A4549="",0,IF(AND(AE4549&lt;&gt;"직접",IFERROR(INDEX(계정매핑!$G$5:$G$504,MATCH($F4549&amp;"",계정매핑!$A$5:$A$504,0))&amp;"","")="유지비",COUNTIF(계정대체기준!$A$6:$A$15,$N4549)&gt;0),IFERROR(INDEX(계정대체기준!$E$6:$E$15,MATCH(VALUE($A4549&amp;""),계정대체기준!$D$6:$D$15,0)),0),0))</f>
        <v/>
      </c>
      <c r="AH4549" s="64">
        <f>IF($A4549="","",IF(AD4549=0,"",IF(OR(COUNTIF(계정대체기준!$A$77:$A$86,$N4549)&gt;0,ISNUMBER(MATCH($X4549,계정대체기준!$D$77:$D$86,0)),ISNUMBER(MATCH($F4549,계정대체기준!$D$77:$D$86,0))),"Y","N")))</f>
        <v/>
      </c>
    </row>
    <row r="4550">
      <c r="A4550" s="92" t="n">
        <v>2026</v>
      </c>
      <c r="B4550" s="92" t="n">
        <v>8</v>
      </c>
      <c r="C4550" s="92" t="inlineStr">
        <is>
          <t>5100001828</t>
        </is>
      </c>
      <c r="D4550" s="95" t="n">
        <v>46260</v>
      </c>
      <c r="E4550" s="92" t="inlineStr">
        <is>
          <t>KR</t>
        </is>
      </c>
      <c r="F4550" s="92" t="n">
        <v>63501000</v>
      </c>
      <c r="G4550" s="92" t="n">
        <v>1901</v>
      </c>
      <c r="H4550" s="93" t="n">
        <v>318767000</v>
      </c>
      <c r="I4550" s="92" t="inlineStr">
        <is>
          <t>8월 모집수수료 - AA보험대리점</t>
        </is>
      </c>
      <c r="J4550" s="92" t="inlineStr">
        <is>
          <t>V10034</t>
        </is>
      </c>
      <c r="K4550" s="92" t="inlineStr">
        <is>
          <t>AA보험대리점</t>
        </is>
      </c>
      <c r="M4550" s="9">
        <f>IF($A4550="","",VALUE($A4550&amp;"")*12+VALUE($B4550&amp;""))</f>
        <v/>
      </c>
      <c r="N4550" s="64">
        <f>IF($A4550="","",IFERROR(INDEX(부서매핑!$C$5:$C$504,MATCH($G4550&amp;"",부서매핑!$A$5:$A$504,0)),"미매핑"))</f>
        <v/>
      </c>
      <c r="O4550" s="9">
        <f>IF($A4550="","",N4550&amp;"|"&amp;$F4550)</f>
        <v/>
      </c>
      <c r="P4550" s="94">
        <f>IF($A4550="",0,$H4550*설정!$C$23)</f>
        <v/>
      </c>
      <c r="Q4550" s="64">
        <f>IF($A4550="","",IF(O4550&lt;&gt;원인분석!$C$9,"",IF(AND(M4550&gt;=원인분석!$C$10,M4550&lt;=원인분석!$C$11),"당기",IF(AND(M4550&gt;=원인분석!$C$12,M4550&lt;=원인분석!$C$13),"비교",""))))</f>
        <v/>
      </c>
      <c r="R4550" s="9">
        <f>IF(Q4550="","",$K4550&amp;"")</f>
        <v/>
      </c>
      <c r="S4550" s="9">
        <f>IF(Q4550="","",IF(MATCH(R4550,$R$5:$R$100000,0)=ROW()-4,ROW(),""))</f>
        <v/>
      </c>
      <c r="T4550" s="9">
        <f>IF(Q4550="당기",ABS(P4550)+ROW()/1000000000,"")</f>
        <v/>
      </c>
      <c r="U4550" s="9">
        <f>IF(Q4550="비교",ABS(P4550)+ROW()/1000000000,"")</f>
        <v/>
      </c>
      <c r="V4550" s="64">
        <f>IF($A4550="","",IF(COUNTIF(변동분석!$E$7:$E$506,O4550)&gt;0,"Y","N"))</f>
        <v/>
      </c>
      <c r="W4550" s="64">
        <f>IF($A4550="","",IFERROR(INDEX(계정매핑!$D$5:$D$504,MATCH($F4550&amp;"",계정매핑!$A$5:$A$504,0)),"미매핑"))</f>
        <v/>
      </c>
      <c r="X4550" s="9">
        <f>IF($A4550="","",$F4550&amp;"")</f>
        <v/>
      </c>
      <c r="Y4550" s="94">
        <f>IF($A4550="",0,IF(AE4550="직접",IF(AF4550="비귀속",$P4550,0),$P4550*(1-AG4550)*IFERROR(INDEX(계정대체기준!$F$20:$F$49,MATCH($N4550,계정대체기준!$A$20:$A$49,0)),1)))</f>
        <v/>
      </c>
      <c r="Z4550" s="94">
        <f>IF($A4550="",0,IF(AE4550="직접",IF(AF4550="신계약비",$P4550,0),$P4550*(1-AG4550)*IFERROR(INDEX(계정대체기준!$C$20:$C$49,MATCH($N4550,계정대체기준!$A$20:$A$49,0)),0)))</f>
        <v/>
      </c>
      <c r="AA4550" s="94">
        <f>IF($A4550="",0,IF(AE4550="직접",IF(OR(AF4550="유지비",AF4550="손해조사비"),$P4550,0),$P4550*(1-AG4550)*IFERROR(INDEX(계정대체기준!$D$20:$D$49,MATCH($N4550,계정대체기준!$A$20:$A$49,0)),0)))</f>
        <v/>
      </c>
      <c r="AB4550" s="94">
        <f>IF($A4550="",0,IF(AE4550="직접",IF(AF4550="수금비",$P4550,0),$P4550*(1-AG4550)*IFERROR(INDEX(계정대체기준!$E$20:$E$49,MATCH($N4550,계정대체기준!$A$20:$A$49,0)),0)))</f>
        <v/>
      </c>
      <c r="AC4550" s="9">
        <f>IF(AND($A4550&lt;&gt;"",M4550=설정!$C$20,Z4550&gt;0),Z4550+ROW()/1000000000,"")</f>
        <v/>
      </c>
      <c r="AD4550" s="94">
        <f>IF($A4550="",0,$P4550*AG4550)</f>
        <v/>
      </c>
      <c r="AE4550" s="64">
        <f>IF($A4550="","",IFERROR(INDEX(계정매핑!$E$5:$E$504,MATCH($F4550&amp;"",계정매핑!$A$5:$A$504,0))&amp;"","공통비"))</f>
        <v/>
      </c>
      <c r="AF4550" s="64">
        <f>IF($A4550="","",IF(AE4550="직접",IFERROR(INDEX(계정매핑!$F$5:$F$504,MATCH($F4550&amp;"",계정매핑!$A$5:$A$504,0))&amp;"","비귀속"),""))</f>
        <v/>
      </c>
      <c r="AG4550" s="96">
        <f>IF($A4550="",0,IF(AND(AE4550&lt;&gt;"직접",IFERROR(INDEX(계정매핑!$G$5:$G$504,MATCH($F4550&amp;"",계정매핑!$A$5:$A$504,0))&amp;"","")="유지비",COUNTIF(계정대체기준!$A$6:$A$15,$N4550)&gt;0),IFERROR(INDEX(계정대체기준!$E$6:$E$15,MATCH(VALUE($A4550&amp;""),계정대체기준!$D$6:$D$15,0)),0),0))</f>
        <v/>
      </c>
      <c r="AH4550" s="64">
        <f>IF($A4550="","",IF(AD4550=0,"",IF(OR(COUNTIF(계정대체기준!$A$77:$A$86,$N4550)&gt;0,ISNUMBER(MATCH($X4550,계정대체기준!$D$77:$D$86,0)),ISNUMBER(MATCH($F4550,계정대체기준!$D$77:$D$86,0))),"Y","N")))</f>
        <v/>
      </c>
    </row>
    <row r="4551">
      <c r="A4551" s="92" t="n">
        <v>2026</v>
      </c>
      <c r="B4551" s="92" t="n">
        <v>8</v>
      </c>
      <c r="C4551" s="92" t="inlineStr">
        <is>
          <t>5100001829</t>
        </is>
      </c>
      <c r="D4551" s="95" t="n">
        <v>46260</v>
      </c>
      <c r="E4551" s="92" t="inlineStr">
        <is>
          <t>KR</t>
        </is>
      </c>
      <c r="F4551" s="92" t="n">
        <v>63502000</v>
      </c>
      <c r="G4551" s="92" t="n">
        <v>1901</v>
      </c>
      <c r="H4551" s="93" t="n">
        <v>179803000</v>
      </c>
      <c r="I4551" s="92" t="inlineStr">
        <is>
          <t>8월 유지수수료 - (전속설계사)</t>
        </is>
      </c>
      <c r="J4551" s="92" t="inlineStr">
        <is>
          <t>V10021</t>
        </is>
      </c>
      <c r="K4551" s="92" t="inlineStr">
        <is>
          <t>(전속설계사)</t>
        </is>
      </c>
      <c r="M4551" s="9">
        <f>IF($A4551="","",VALUE($A4551&amp;"")*12+VALUE($B4551&amp;""))</f>
        <v/>
      </c>
      <c r="N4551" s="64">
        <f>IF($A4551="","",IFERROR(INDEX(부서매핑!$C$5:$C$504,MATCH($G4551&amp;"",부서매핑!$A$5:$A$504,0)),"미매핑"))</f>
        <v/>
      </c>
      <c r="O4551" s="9">
        <f>IF($A4551="","",N4551&amp;"|"&amp;$F4551)</f>
        <v/>
      </c>
      <c r="P4551" s="94">
        <f>IF($A4551="",0,$H4551*설정!$C$23)</f>
        <v/>
      </c>
      <c r="Q4551" s="64">
        <f>IF($A4551="","",IF(O4551&lt;&gt;원인분석!$C$9,"",IF(AND(M4551&gt;=원인분석!$C$10,M4551&lt;=원인분석!$C$11),"당기",IF(AND(M4551&gt;=원인분석!$C$12,M4551&lt;=원인분석!$C$13),"비교",""))))</f>
        <v/>
      </c>
      <c r="R4551" s="9">
        <f>IF(Q4551="","",$K4551&amp;"")</f>
        <v/>
      </c>
      <c r="S4551" s="9">
        <f>IF(Q4551="","",IF(MATCH(R4551,$R$5:$R$100000,0)=ROW()-4,ROW(),""))</f>
        <v/>
      </c>
      <c r="T4551" s="9">
        <f>IF(Q4551="당기",ABS(P4551)+ROW()/1000000000,"")</f>
        <v/>
      </c>
      <c r="U4551" s="9">
        <f>IF(Q4551="비교",ABS(P4551)+ROW()/1000000000,"")</f>
        <v/>
      </c>
      <c r="V4551" s="64">
        <f>IF($A4551="","",IF(COUNTIF(변동분석!$E$7:$E$506,O4551)&gt;0,"Y","N"))</f>
        <v/>
      </c>
      <c r="W4551" s="64">
        <f>IF($A4551="","",IFERROR(INDEX(계정매핑!$D$5:$D$504,MATCH($F4551&amp;"",계정매핑!$A$5:$A$504,0)),"미매핑"))</f>
        <v/>
      </c>
      <c r="X4551" s="9">
        <f>IF($A4551="","",$F4551&amp;"")</f>
        <v/>
      </c>
      <c r="Y4551" s="94">
        <f>IF($A4551="",0,IF(AE4551="직접",IF(AF4551="비귀속",$P4551,0),$P4551*(1-AG4551)*IFERROR(INDEX(계정대체기준!$F$20:$F$49,MATCH($N4551,계정대체기준!$A$20:$A$49,0)),1)))</f>
        <v/>
      </c>
      <c r="Z4551" s="94">
        <f>IF($A4551="",0,IF(AE4551="직접",IF(AF4551="신계약비",$P4551,0),$P4551*(1-AG4551)*IFERROR(INDEX(계정대체기준!$C$20:$C$49,MATCH($N4551,계정대체기준!$A$20:$A$49,0)),0)))</f>
        <v/>
      </c>
      <c r="AA4551" s="94">
        <f>IF($A4551="",0,IF(AE4551="직접",IF(OR(AF4551="유지비",AF4551="손해조사비"),$P4551,0),$P4551*(1-AG4551)*IFERROR(INDEX(계정대체기준!$D$20:$D$49,MATCH($N4551,계정대체기준!$A$20:$A$49,0)),0)))</f>
        <v/>
      </c>
      <c r="AB4551" s="94">
        <f>IF($A4551="",0,IF(AE4551="직접",IF(AF4551="수금비",$P4551,0),$P4551*(1-AG4551)*IFERROR(INDEX(계정대체기준!$E$20:$E$49,MATCH($N4551,계정대체기준!$A$20:$A$49,0)),0)))</f>
        <v/>
      </c>
      <c r="AC4551" s="9">
        <f>IF(AND($A4551&lt;&gt;"",M4551=설정!$C$20,Z4551&gt;0),Z4551+ROW()/1000000000,"")</f>
        <v/>
      </c>
      <c r="AD4551" s="94">
        <f>IF($A4551="",0,$P4551*AG4551)</f>
        <v/>
      </c>
      <c r="AE4551" s="64">
        <f>IF($A4551="","",IFERROR(INDEX(계정매핑!$E$5:$E$504,MATCH($F4551&amp;"",계정매핑!$A$5:$A$504,0))&amp;"","공통비"))</f>
        <v/>
      </c>
      <c r="AF4551" s="64">
        <f>IF($A4551="","",IF(AE4551="직접",IFERROR(INDEX(계정매핑!$F$5:$F$504,MATCH($F4551&amp;"",계정매핑!$A$5:$A$504,0))&amp;"","비귀속"),""))</f>
        <v/>
      </c>
      <c r="AG4551" s="96">
        <f>IF($A4551="",0,IF(AND(AE4551&lt;&gt;"직접",IFERROR(INDEX(계정매핑!$G$5:$G$504,MATCH($F4551&amp;"",계정매핑!$A$5:$A$504,0))&amp;"","")="유지비",COUNTIF(계정대체기준!$A$6:$A$15,$N4551)&gt;0),IFERROR(INDEX(계정대체기준!$E$6:$E$15,MATCH(VALUE($A4551&amp;""),계정대체기준!$D$6:$D$15,0)),0),0))</f>
        <v/>
      </c>
      <c r="AH4551" s="64">
        <f>IF($A4551="","",IF(AD4551=0,"",IF(OR(COUNTIF(계정대체기준!$A$77:$A$86,$N4551)&gt;0,ISNUMBER(MATCH($X4551,계정대체기준!$D$77:$D$86,0)),ISNUMBER(MATCH($F4551,계정대체기준!$D$77:$D$86,0))),"Y","N")))</f>
        <v/>
      </c>
    </row>
    <row r="4552">
      <c r="A4552" s="92" t="n">
        <v>2026</v>
      </c>
      <c r="B4552" s="92" t="n">
        <v>8</v>
      </c>
      <c r="C4552" s="92" t="inlineStr">
        <is>
          <t>5100001830</t>
        </is>
      </c>
      <c r="D4552" s="95" t="n">
        <v>46261</v>
      </c>
      <c r="E4552" s="92" t="inlineStr">
        <is>
          <t>KR</t>
        </is>
      </c>
      <c r="F4552" s="92" t="n">
        <v>62101000</v>
      </c>
      <c r="G4552" s="92" t="n">
        <v>1101</v>
      </c>
      <c r="H4552" s="93" t="n">
        <v>474000</v>
      </c>
      <c r="I4552" s="92" t="inlineStr">
        <is>
          <t>8월 국내출장 - (법인카드)</t>
        </is>
      </c>
      <c r="J4552" s="92" t="inlineStr">
        <is>
          <t>V10010</t>
        </is>
      </c>
      <c r="K4552" s="92" t="inlineStr">
        <is>
          <t>(법인카드)</t>
        </is>
      </c>
      <c r="M4552" s="9">
        <f>IF($A4552="","",VALUE($A4552&amp;"")*12+VALUE($B4552&amp;""))</f>
        <v/>
      </c>
      <c r="N4552" s="64">
        <f>IF($A4552="","",IFERROR(INDEX(부서매핑!$C$5:$C$504,MATCH($G4552&amp;"",부서매핑!$A$5:$A$504,0)),"미매핑"))</f>
        <v/>
      </c>
      <c r="O4552" s="9">
        <f>IF($A4552="","",N4552&amp;"|"&amp;$F4552)</f>
        <v/>
      </c>
      <c r="P4552" s="94">
        <f>IF($A4552="",0,$H4552*설정!$C$23)</f>
        <v/>
      </c>
      <c r="Q4552" s="64">
        <f>IF($A4552="","",IF(O4552&lt;&gt;원인분석!$C$9,"",IF(AND(M4552&gt;=원인분석!$C$10,M4552&lt;=원인분석!$C$11),"당기",IF(AND(M4552&gt;=원인분석!$C$12,M4552&lt;=원인분석!$C$13),"비교",""))))</f>
        <v/>
      </c>
      <c r="R4552" s="9">
        <f>IF(Q4552="","",$K4552&amp;"")</f>
        <v/>
      </c>
      <c r="S4552" s="9">
        <f>IF(Q4552="","",IF(MATCH(R4552,$R$5:$R$100000,0)=ROW()-4,ROW(),""))</f>
        <v/>
      </c>
      <c r="T4552" s="9">
        <f>IF(Q4552="당기",ABS(P4552)+ROW()/1000000000,"")</f>
        <v/>
      </c>
      <c r="U4552" s="9">
        <f>IF(Q4552="비교",ABS(P4552)+ROW()/1000000000,"")</f>
        <v/>
      </c>
      <c r="V4552" s="64">
        <f>IF($A4552="","",IF(COUNTIF(변동분석!$E$7:$E$506,O4552)&gt;0,"Y","N"))</f>
        <v/>
      </c>
      <c r="W4552" s="64">
        <f>IF($A4552="","",IFERROR(INDEX(계정매핑!$D$5:$D$504,MATCH($F4552&amp;"",계정매핑!$A$5:$A$504,0)),"미매핑"))</f>
        <v/>
      </c>
      <c r="X4552" s="9">
        <f>IF($A4552="","",$F4552&amp;"")</f>
        <v/>
      </c>
      <c r="Y4552" s="94">
        <f>IF($A4552="",0,IF(AE4552="직접",IF(AF4552="비귀속",$P4552,0),$P4552*(1-AG4552)*IFERROR(INDEX(계정대체기준!$F$20:$F$49,MATCH($N4552,계정대체기준!$A$20:$A$49,0)),1)))</f>
        <v/>
      </c>
      <c r="Z4552" s="94">
        <f>IF($A4552="",0,IF(AE4552="직접",IF(AF4552="신계약비",$P4552,0),$P4552*(1-AG4552)*IFERROR(INDEX(계정대체기준!$C$20:$C$49,MATCH($N4552,계정대체기준!$A$20:$A$49,0)),0)))</f>
        <v/>
      </c>
      <c r="AA4552" s="94">
        <f>IF($A4552="",0,IF(AE4552="직접",IF(OR(AF4552="유지비",AF4552="손해조사비"),$P4552,0),$P4552*(1-AG4552)*IFERROR(INDEX(계정대체기준!$D$20:$D$49,MATCH($N4552,계정대체기준!$A$20:$A$49,0)),0)))</f>
        <v/>
      </c>
      <c r="AB4552" s="94">
        <f>IF($A4552="",0,IF(AE4552="직접",IF(AF4552="수금비",$P4552,0),$P4552*(1-AG4552)*IFERROR(INDEX(계정대체기준!$E$20:$E$49,MATCH($N4552,계정대체기준!$A$20:$A$49,0)),0)))</f>
        <v/>
      </c>
      <c r="AC4552" s="9">
        <f>IF(AND($A4552&lt;&gt;"",M4552=설정!$C$20,Z4552&gt;0),Z4552+ROW()/1000000000,"")</f>
        <v/>
      </c>
      <c r="AD4552" s="94">
        <f>IF($A4552="",0,$P4552*AG4552)</f>
        <v/>
      </c>
      <c r="AE4552" s="64">
        <f>IF($A4552="","",IFERROR(INDEX(계정매핑!$E$5:$E$504,MATCH($F4552&amp;"",계정매핑!$A$5:$A$504,0))&amp;"","공통비"))</f>
        <v/>
      </c>
      <c r="AF4552" s="64">
        <f>IF($A4552="","",IF(AE4552="직접",IFERROR(INDEX(계정매핑!$F$5:$F$504,MATCH($F4552&amp;"",계정매핑!$A$5:$A$504,0))&amp;"","비귀속"),""))</f>
        <v/>
      </c>
      <c r="AG4552" s="96">
        <f>IF($A4552="",0,IF(AND(AE4552&lt;&gt;"직접",IFERROR(INDEX(계정매핑!$G$5:$G$504,MATCH($F4552&amp;"",계정매핑!$A$5:$A$504,0))&amp;"","")="유지비",COUNTIF(계정대체기준!$A$6:$A$15,$N4552)&gt;0),IFERROR(INDEX(계정대체기준!$E$6:$E$15,MATCH(VALUE($A4552&amp;""),계정대체기준!$D$6:$D$15,0)),0),0))</f>
        <v/>
      </c>
      <c r="AH4552" s="64">
        <f>IF($A4552="","",IF(AD4552=0,"",IF(OR(COUNTIF(계정대체기준!$A$77:$A$86,$N4552)&gt;0,ISNUMBER(MATCH($X4552,계정대체기준!$D$77:$D$86,0)),ISNUMBER(MATCH($F4552,계정대체기준!$D$77:$D$86,0))),"Y","N")))</f>
        <v/>
      </c>
    </row>
    <row r="4553">
      <c r="A4553" s="92" t="n">
        <v>2026</v>
      </c>
      <c r="B4553" s="92" t="n">
        <v>8</v>
      </c>
      <c r="C4553" s="92" t="inlineStr">
        <is>
          <t>5100001831</t>
        </is>
      </c>
      <c r="D4553" s="95" t="n">
        <v>46261</v>
      </c>
      <c r="E4553" s="92" t="inlineStr">
        <is>
          <t>KR</t>
        </is>
      </c>
      <c r="F4553" s="92" t="n">
        <v>62101000</v>
      </c>
      <c r="G4553" s="92" t="n">
        <v>1201</v>
      </c>
      <c r="H4553" s="93" t="n">
        <v>292000</v>
      </c>
      <c r="I4553" s="92" t="inlineStr">
        <is>
          <t>8월 국내출장 - (법인카드)</t>
        </is>
      </c>
      <c r="J4553" s="92" t="inlineStr">
        <is>
          <t>V10010</t>
        </is>
      </c>
      <c r="K4553" s="92" t="inlineStr">
        <is>
          <t>(법인카드)</t>
        </is>
      </c>
      <c r="M4553" s="9">
        <f>IF($A4553="","",VALUE($A4553&amp;"")*12+VALUE($B4553&amp;""))</f>
        <v/>
      </c>
      <c r="N4553" s="64">
        <f>IF($A4553="","",IFERROR(INDEX(부서매핑!$C$5:$C$504,MATCH($G4553&amp;"",부서매핑!$A$5:$A$504,0)),"미매핑"))</f>
        <v/>
      </c>
      <c r="O4553" s="9">
        <f>IF($A4553="","",N4553&amp;"|"&amp;$F4553)</f>
        <v/>
      </c>
      <c r="P4553" s="94">
        <f>IF($A4553="",0,$H4553*설정!$C$23)</f>
        <v/>
      </c>
      <c r="Q4553" s="64">
        <f>IF($A4553="","",IF(O4553&lt;&gt;원인분석!$C$9,"",IF(AND(M4553&gt;=원인분석!$C$10,M4553&lt;=원인분석!$C$11),"당기",IF(AND(M4553&gt;=원인분석!$C$12,M4553&lt;=원인분석!$C$13),"비교",""))))</f>
        <v/>
      </c>
      <c r="R4553" s="9">
        <f>IF(Q4553="","",$K4553&amp;"")</f>
        <v/>
      </c>
      <c r="S4553" s="9">
        <f>IF(Q4553="","",IF(MATCH(R4553,$R$5:$R$100000,0)=ROW()-4,ROW(),""))</f>
        <v/>
      </c>
      <c r="T4553" s="9">
        <f>IF(Q4553="당기",ABS(P4553)+ROW()/1000000000,"")</f>
        <v/>
      </c>
      <c r="U4553" s="9">
        <f>IF(Q4553="비교",ABS(P4553)+ROW()/1000000000,"")</f>
        <v/>
      </c>
      <c r="V4553" s="64">
        <f>IF($A4553="","",IF(COUNTIF(변동분석!$E$7:$E$506,O4553)&gt;0,"Y","N"))</f>
        <v/>
      </c>
      <c r="W4553" s="64">
        <f>IF($A4553="","",IFERROR(INDEX(계정매핑!$D$5:$D$504,MATCH($F4553&amp;"",계정매핑!$A$5:$A$504,0)),"미매핑"))</f>
        <v/>
      </c>
      <c r="X4553" s="9">
        <f>IF($A4553="","",$F4553&amp;"")</f>
        <v/>
      </c>
      <c r="Y4553" s="94">
        <f>IF($A4553="",0,IF(AE4553="직접",IF(AF4553="비귀속",$P4553,0),$P4553*(1-AG4553)*IFERROR(INDEX(계정대체기준!$F$20:$F$49,MATCH($N4553,계정대체기준!$A$20:$A$49,0)),1)))</f>
        <v/>
      </c>
      <c r="Z4553" s="94">
        <f>IF($A4553="",0,IF(AE4553="직접",IF(AF4553="신계약비",$P4553,0),$P4553*(1-AG4553)*IFERROR(INDEX(계정대체기준!$C$20:$C$49,MATCH($N4553,계정대체기준!$A$20:$A$49,0)),0)))</f>
        <v/>
      </c>
      <c r="AA4553" s="94">
        <f>IF($A4553="",0,IF(AE4553="직접",IF(OR(AF4553="유지비",AF4553="손해조사비"),$P4553,0),$P4553*(1-AG4553)*IFERROR(INDEX(계정대체기준!$D$20:$D$49,MATCH($N4553,계정대체기준!$A$20:$A$49,0)),0)))</f>
        <v/>
      </c>
      <c r="AB4553" s="94">
        <f>IF($A4553="",0,IF(AE4553="직접",IF(AF4553="수금비",$P4553,0),$P4553*(1-AG4553)*IFERROR(INDEX(계정대체기준!$E$20:$E$49,MATCH($N4553,계정대체기준!$A$20:$A$49,0)),0)))</f>
        <v/>
      </c>
      <c r="AC4553" s="9">
        <f>IF(AND($A4553&lt;&gt;"",M4553=설정!$C$20,Z4553&gt;0),Z4553+ROW()/1000000000,"")</f>
        <v/>
      </c>
      <c r="AD4553" s="94">
        <f>IF($A4553="",0,$P4553*AG4553)</f>
        <v/>
      </c>
      <c r="AE4553" s="64">
        <f>IF($A4553="","",IFERROR(INDEX(계정매핑!$E$5:$E$504,MATCH($F4553&amp;"",계정매핑!$A$5:$A$504,0))&amp;"","공통비"))</f>
        <v/>
      </c>
      <c r="AF4553" s="64">
        <f>IF($A4553="","",IF(AE4553="직접",IFERROR(INDEX(계정매핑!$F$5:$F$504,MATCH($F4553&amp;"",계정매핑!$A$5:$A$504,0))&amp;"","비귀속"),""))</f>
        <v/>
      </c>
      <c r="AG4553" s="96">
        <f>IF($A4553="",0,IF(AND(AE4553&lt;&gt;"직접",IFERROR(INDEX(계정매핑!$G$5:$G$504,MATCH($F4553&amp;"",계정매핑!$A$5:$A$504,0))&amp;"","")="유지비",COUNTIF(계정대체기준!$A$6:$A$15,$N4553)&gt;0),IFERROR(INDEX(계정대체기준!$E$6:$E$15,MATCH(VALUE($A4553&amp;""),계정대체기준!$D$6:$D$15,0)),0),0))</f>
        <v/>
      </c>
      <c r="AH4553" s="64">
        <f>IF($A4553="","",IF(AD4553=0,"",IF(OR(COUNTIF(계정대체기준!$A$77:$A$86,$N4553)&gt;0,ISNUMBER(MATCH($X4553,계정대체기준!$D$77:$D$86,0)),ISNUMBER(MATCH($F4553,계정대체기준!$D$77:$D$86,0))),"Y","N")))</f>
        <v/>
      </c>
    </row>
    <row r="4554">
      <c r="A4554" s="92" t="n">
        <v>2026</v>
      </c>
      <c r="B4554" s="92" t="n">
        <v>8</v>
      </c>
      <c r="C4554" s="92" t="inlineStr">
        <is>
          <t>5100001832</t>
        </is>
      </c>
      <c r="D4554" s="95" t="n">
        <v>46261</v>
      </c>
      <c r="E4554" s="92" t="inlineStr">
        <is>
          <t>KR</t>
        </is>
      </c>
      <c r="F4554" s="92" t="n">
        <v>62102000</v>
      </c>
      <c r="G4554" s="92" t="n">
        <v>1602</v>
      </c>
      <c r="H4554" s="93" t="n">
        <v>247000</v>
      </c>
      <c r="I4554" s="92" t="inlineStr">
        <is>
          <t>8월 해외출장 - M항공</t>
        </is>
      </c>
      <c r="J4554" s="92" t="inlineStr">
        <is>
          <t>V10001</t>
        </is>
      </c>
      <c r="K4554" s="92" t="inlineStr">
        <is>
          <t>M항공</t>
        </is>
      </c>
      <c r="M4554" s="9">
        <f>IF($A4554="","",VALUE($A4554&amp;"")*12+VALUE($B4554&amp;""))</f>
        <v/>
      </c>
      <c r="N4554" s="64">
        <f>IF($A4554="","",IFERROR(INDEX(부서매핑!$C$5:$C$504,MATCH($G4554&amp;"",부서매핑!$A$5:$A$504,0)),"미매핑"))</f>
        <v/>
      </c>
      <c r="O4554" s="9">
        <f>IF($A4554="","",N4554&amp;"|"&amp;$F4554)</f>
        <v/>
      </c>
      <c r="P4554" s="94">
        <f>IF($A4554="",0,$H4554*설정!$C$23)</f>
        <v/>
      </c>
      <c r="Q4554" s="64">
        <f>IF($A4554="","",IF(O4554&lt;&gt;원인분석!$C$9,"",IF(AND(M4554&gt;=원인분석!$C$10,M4554&lt;=원인분석!$C$11),"당기",IF(AND(M4554&gt;=원인분석!$C$12,M4554&lt;=원인분석!$C$13),"비교",""))))</f>
        <v/>
      </c>
      <c r="R4554" s="9">
        <f>IF(Q4554="","",$K4554&amp;"")</f>
        <v/>
      </c>
      <c r="S4554" s="9">
        <f>IF(Q4554="","",IF(MATCH(R4554,$R$5:$R$100000,0)=ROW()-4,ROW(),""))</f>
        <v/>
      </c>
      <c r="T4554" s="9">
        <f>IF(Q4554="당기",ABS(P4554)+ROW()/1000000000,"")</f>
        <v/>
      </c>
      <c r="U4554" s="9">
        <f>IF(Q4554="비교",ABS(P4554)+ROW()/1000000000,"")</f>
        <v/>
      </c>
      <c r="V4554" s="64">
        <f>IF($A4554="","",IF(COUNTIF(변동분석!$E$7:$E$506,O4554)&gt;0,"Y","N"))</f>
        <v/>
      </c>
      <c r="W4554" s="64">
        <f>IF($A4554="","",IFERROR(INDEX(계정매핑!$D$5:$D$504,MATCH($F4554&amp;"",계정매핑!$A$5:$A$504,0)),"미매핑"))</f>
        <v/>
      </c>
      <c r="X4554" s="9">
        <f>IF($A4554="","",$F4554&amp;"")</f>
        <v/>
      </c>
      <c r="Y4554" s="94">
        <f>IF($A4554="",0,IF(AE4554="직접",IF(AF4554="비귀속",$P4554,0),$P4554*(1-AG4554)*IFERROR(INDEX(계정대체기준!$F$20:$F$49,MATCH($N4554,계정대체기준!$A$20:$A$49,0)),1)))</f>
        <v/>
      </c>
      <c r="Z4554" s="94">
        <f>IF($A4554="",0,IF(AE4554="직접",IF(AF4554="신계약비",$P4554,0),$P4554*(1-AG4554)*IFERROR(INDEX(계정대체기준!$C$20:$C$49,MATCH($N4554,계정대체기준!$A$20:$A$49,0)),0)))</f>
        <v/>
      </c>
      <c r="AA4554" s="94">
        <f>IF($A4554="",0,IF(AE4554="직접",IF(OR(AF4554="유지비",AF4554="손해조사비"),$P4554,0),$P4554*(1-AG4554)*IFERROR(INDEX(계정대체기준!$D$20:$D$49,MATCH($N4554,계정대체기준!$A$20:$A$49,0)),0)))</f>
        <v/>
      </c>
      <c r="AB4554" s="94">
        <f>IF($A4554="",0,IF(AE4554="직접",IF(AF4554="수금비",$P4554,0),$P4554*(1-AG4554)*IFERROR(INDEX(계정대체기준!$E$20:$E$49,MATCH($N4554,계정대체기준!$A$20:$A$49,0)),0)))</f>
        <v/>
      </c>
      <c r="AC4554" s="9">
        <f>IF(AND($A4554&lt;&gt;"",M4554=설정!$C$20,Z4554&gt;0),Z4554+ROW()/1000000000,"")</f>
        <v/>
      </c>
      <c r="AD4554" s="94">
        <f>IF($A4554="",0,$P4554*AG4554)</f>
        <v/>
      </c>
      <c r="AE4554" s="64">
        <f>IF($A4554="","",IFERROR(INDEX(계정매핑!$E$5:$E$504,MATCH($F4554&amp;"",계정매핑!$A$5:$A$504,0))&amp;"","공통비"))</f>
        <v/>
      </c>
      <c r="AF4554" s="64">
        <f>IF($A4554="","",IF(AE4554="직접",IFERROR(INDEX(계정매핑!$F$5:$F$504,MATCH($F4554&amp;"",계정매핑!$A$5:$A$504,0))&amp;"","비귀속"),""))</f>
        <v/>
      </c>
      <c r="AG4554" s="96">
        <f>IF($A4554="",0,IF(AND(AE4554&lt;&gt;"직접",IFERROR(INDEX(계정매핑!$G$5:$G$504,MATCH($F4554&amp;"",계정매핑!$A$5:$A$504,0))&amp;"","")="유지비",COUNTIF(계정대체기준!$A$6:$A$15,$N4554)&gt;0),IFERROR(INDEX(계정대체기준!$E$6:$E$15,MATCH(VALUE($A4554&amp;""),계정대체기준!$D$6:$D$15,0)),0),0))</f>
        <v/>
      </c>
      <c r="AH4554" s="64">
        <f>IF($A4554="","",IF(AD4554=0,"",IF(OR(COUNTIF(계정대체기준!$A$77:$A$86,$N4554)&gt;0,ISNUMBER(MATCH($X4554,계정대체기준!$D$77:$D$86,0)),ISNUMBER(MATCH($F4554,계정대체기준!$D$77:$D$86,0))),"Y","N")))</f>
        <v/>
      </c>
    </row>
    <row r="4555">
      <c r="A4555" s="92" t="n">
        <v>2026</v>
      </c>
      <c r="B4555" s="92" t="n">
        <v>8</v>
      </c>
      <c r="C4555" s="92" t="inlineStr">
        <is>
          <t>5100001833</t>
        </is>
      </c>
      <c r="D4555" s="95" t="n">
        <v>46261</v>
      </c>
      <c r="E4555" s="92" t="inlineStr">
        <is>
          <t>KR</t>
        </is>
      </c>
      <c r="F4555" s="92" t="n">
        <v>62901000</v>
      </c>
      <c r="G4555" s="92" t="n">
        <v>1101</v>
      </c>
      <c r="H4555" s="93" t="n">
        <v>2309000</v>
      </c>
      <c r="I4555" s="92" t="inlineStr">
        <is>
          <t>8월 자문 수수료 - K회계법인</t>
        </is>
      </c>
      <c r="J4555" s="92" t="inlineStr">
        <is>
          <t>V10011</t>
        </is>
      </c>
      <c r="K4555" s="92" t="inlineStr">
        <is>
          <t>K회계법인</t>
        </is>
      </c>
      <c r="M4555" s="9">
        <f>IF($A4555="","",VALUE($A4555&amp;"")*12+VALUE($B4555&amp;""))</f>
        <v/>
      </c>
      <c r="N4555" s="64">
        <f>IF($A4555="","",IFERROR(INDEX(부서매핑!$C$5:$C$504,MATCH($G4555&amp;"",부서매핑!$A$5:$A$504,0)),"미매핑"))</f>
        <v/>
      </c>
      <c r="O4555" s="9">
        <f>IF($A4555="","",N4555&amp;"|"&amp;$F4555)</f>
        <v/>
      </c>
      <c r="P4555" s="94">
        <f>IF($A4555="",0,$H4555*설정!$C$23)</f>
        <v/>
      </c>
      <c r="Q4555" s="64">
        <f>IF($A4555="","",IF(O4555&lt;&gt;원인분석!$C$9,"",IF(AND(M4555&gt;=원인분석!$C$10,M4555&lt;=원인분석!$C$11),"당기",IF(AND(M4555&gt;=원인분석!$C$12,M4555&lt;=원인분석!$C$13),"비교",""))))</f>
        <v/>
      </c>
      <c r="R4555" s="9">
        <f>IF(Q4555="","",$K4555&amp;"")</f>
        <v/>
      </c>
      <c r="S4555" s="9">
        <f>IF(Q4555="","",IF(MATCH(R4555,$R$5:$R$100000,0)=ROW()-4,ROW(),""))</f>
        <v/>
      </c>
      <c r="T4555" s="9">
        <f>IF(Q4555="당기",ABS(P4555)+ROW()/1000000000,"")</f>
        <v/>
      </c>
      <c r="U4555" s="9">
        <f>IF(Q4555="비교",ABS(P4555)+ROW()/1000000000,"")</f>
        <v/>
      </c>
      <c r="V4555" s="64">
        <f>IF($A4555="","",IF(COUNTIF(변동분석!$E$7:$E$506,O4555)&gt;0,"Y","N"))</f>
        <v/>
      </c>
      <c r="W4555" s="64">
        <f>IF($A4555="","",IFERROR(INDEX(계정매핑!$D$5:$D$504,MATCH($F4555&amp;"",계정매핑!$A$5:$A$504,0)),"미매핑"))</f>
        <v/>
      </c>
      <c r="X4555" s="9">
        <f>IF($A4555="","",$F4555&amp;"")</f>
        <v/>
      </c>
      <c r="Y4555" s="94">
        <f>IF($A4555="",0,IF(AE4555="직접",IF(AF4555="비귀속",$P4555,0),$P4555*(1-AG4555)*IFERROR(INDEX(계정대체기준!$F$20:$F$49,MATCH($N4555,계정대체기준!$A$20:$A$49,0)),1)))</f>
        <v/>
      </c>
      <c r="Z4555" s="94">
        <f>IF($A4555="",0,IF(AE4555="직접",IF(AF4555="신계약비",$P4555,0),$P4555*(1-AG4555)*IFERROR(INDEX(계정대체기준!$C$20:$C$49,MATCH($N4555,계정대체기준!$A$20:$A$49,0)),0)))</f>
        <v/>
      </c>
      <c r="AA4555" s="94">
        <f>IF($A4555="",0,IF(AE4555="직접",IF(OR(AF4555="유지비",AF4555="손해조사비"),$P4555,0),$P4555*(1-AG4555)*IFERROR(INDEX(계정대체기준!$D$20:$D$49,MATCH($N4555,계정대체기준!$A$20:$A$49,0)),0)))</f>
        <v/>
      </c>
      <c r="AB4555" s="94">
        <f>IF($A4555="",0,IF(AE4555="직접",IF(AF4555="수금비",$P4555,0),$P4555*(1-AG4555)*IFERROR(INDEX(계정대체기준!$E$20:$E$49,MATCH($N4555,계정대체기준!$A$20:$A$49,0)),0)))</f>
        <v/>
      </c>
      <c r="AC4555" s="9">
        <f>IF(AND($A4555&lt;&gt;"",M4555=설정!$C$20,Z4555&gt;0),Z4555+ROW()/1000000000,"")</f>
        <v/>
      </c>
      <c r="AD4555" s="94">
        <f>IF($A4555="",0,$P4555*AG4555)</f>
        <v/>
      </c>
      <c r="AE4555" s="64">
        <f>IF($A4555="","",IFERROR(INDEX(계정매핑!$E$5:$E$504,MATCH($F4555&amp;"",계정매핑!$A$5:$A$504,0))&amp;"","공통비"))</f>
        <v/>
      </c>
      <c r="AF4555" s="64">
        <f>IF($A4555="","",IF(AE4555="직접",IFERROR(INDEX(계정매핑!$F$5:$F$504,MATCH($F4555&amp;"",계정매핑!$A$5:$A$504,0))&amp;"","비귀속"),""))</f>
        <v/>
      </c>
      <c r="AG4555" s="96">
        <f>IF($A4555="",0,IF(AND(AE4555&lt;&gt;"직접",IFERROR(INDEX(계정매핑!$G$5:$G$504,MATCH($F4555&amp;"",계정매핑!$A$5:$A$504,0))&amp;"","")="유지비",COUNTIF(계정대체기준!$A$6:$A$15,$N4555)&gt;0),IFERROR(INDEX(계정대체기준!$E$6:$E$15,MATCH(VALUE($A4555&amp;""),계정대체기준!$D$6:$D$15,0)),0),0))</f>
        <v/>
      </c>
      <c r="AH4555" s="64">
        <f>IF($A4555="","",IF(AD4555=0,"",IF(OR(COUNTIF(계정대체기준!$A$77:$A$86,$N4555)&gt;0,ISNUMBER(MATCH($X4555,계정대체기준!$D$77:$D$86,0)),ISNUMBER(MATCH($F4555,계정대체기준!$D$77:$D$86,0))),"Y","N")))</f>
        <v/>
      </c>
    </row>
    <row r="4556">
      <c r="A4556" s="92" t="n">
        <v>2026</v>
      </c>
      <c r="B4556" s="92" t="n">
        <v>8</v>
      </c>
      <c r="C4556" s="92" t="inlineStr">
        <is>
          <t>5100001834</t>
        </is>
      </c>
      <c r="D4556" s="95" t="n">
        <v>46261</v>
      </c>
      <c r="E4556" s="92" t="inlineStr">
        <is>
          <t>KR</t>
        </is>
      </c>
      <c r="F4556" s="92" t="n">
        <v>62902000</v>
      </c>
      <c r="G4556" s="92" t="n">
        <v>1951</v>
      </c>
      <c r="H4556" s="93" t="n">
        <v>2087000</v>
      </c>
      <c r="I4556" s="92" t="inlineStr">
        <is>
          <t>8월 업무 위탁 수수료 - J콜센터</t>
        </is>
      </c>
      <c r="J4556" s="92" t="inlineStr">
        <is>
          <t>V10016</t>
        </is>
      </c>
      <c r="K4556" s="92" t="inlineStr">
        <is>
          <t>J콜센터</t>
        </is>
      </c>
      <c r="M4556" s="9">
        <f>IF($A4556="","",VALUE($A4556&amp;"")*12+VALUE($B4556&amp;""))</f>
        <v/>
      </c>
      <c r="N4556" s="64">
        <f>IF($A4556="","",IFERROR(INDEX(부서매핑!$C$5:$C$504,MATCH($G4556&amp;"",부서매핑!$A$5:$A$504,0)),"미매핑"))</f>
        <v/>
      </c>
      <c r="O4556" s="9">
        <f>IF($A4556="","",N4556&amp;"|"&amp;$F4556)</f>
        <v/>
      </c>
      <c r="P4556" s="94">
        <f>IF($A4556="",0,$H4556*설정!$C$23)</f>
        <v/>
      </c>
      <c r="Q4556" s="64">
        <f>IF($A4556="","",IF(O4556&lt;&gt;원인분석!$C$9,"",IF(AND(M4556&gt;=원인분석!$C$10,M4556&lt;=원인분석!$C$11),"당기",IF(AND(M4556&gt;=원인분석!$C$12,M4556&lt;=원인분석!$C$13),"비교",""))))</f>
        <v/>
      </c>
      <c r="R4556" s="9">
        <f>IF(Q4556="","",$K4556&amp;"")</f>
        <v/>
      </c>
      <c r="S4556" s="9">
        <f>IF(Q4556="","",IF(MATCH(R4556,$R$5:$R$100000,0)=ROW()-4,ROW(),""))</f>
        <v/>
      </c>
      <c r="T4556" s="9">
        <f>IF(Q4556="당기",ABS(P4556)+ROW()/1000000000,"")</f>
        <v/>
      </c>
      <c r="U4556" s="9">
        <f>IF(Q4556="비교",ABS(P4556)+ROW()/1000000000,"")</f>
        <v/>
      </c>
      <c r="V4556" s="64">
        <f>IF($A4556="","",IF(COUNTIF(변동분석!$E$7:$E$506,O4556)&gt;0,"Y","N"))</f>
        <v/>
      </c>
      <c r="W4556" s="64">
        <f>IF($A4556="","",IFERROR(INDEX(계정매핑!$D$5:$D$504,MATCH($F4556&amp;"",계정매핑!$A$5:$A$504,0)),"미매핑"))</f>
        <v/>
      </c>
      <c r="X4556" s="9">
        <f>IF($A4556="","",$F4556&amp;"")</f>
        <v/>
      </c>
      <c r="Y4556" s="94">
        <f>IF($A4556="",0,IF(AE4556="직접",IF(AF4556="비귀속",$P4556,0),$P4556*(1-AG4556)*IFERROR(INDEX(계정대체기준!$F$20:$F$49,MATCH($N4556,계정대체기준!$A$20:$A$49,0)),1)))</f>
        <v/>
      </c>
      <c r="Z4556" s="94">
        <f>IF($A4556="",0,IF(AE4556="직접",IF(AF4556="신계약비",$P4556,0),$P4556*(1-AG4556)*IFERROR(INDEX(계정대체기준!$C$20:$C$49,MATCH($N4556,계정대체기준!$A$20:$A$49,0)),0)))</f>
        <v/>
      </c>
      <c r="AA4556" s="94">
        <f>IF($A4556="",0,IF(AE4556="직접",IF(OR(AF4556="유지비",AF4556="손해조사비"),$P4556,0),$P4556*(1-AG4556)*IFERROR(INDEX(계정대체기준!$D$20:$D$49,MATCH($N4556,계정대체기준!$A$20:$A$49,0)),0)))</f>
        <v/>
      </c>
      <c r="AB4556" s="94">
        <f>IF($A4556="",0,IF(AE4556="직접",IF(AF4556="수금비",$P4556,0),$P4556*(1-AG4556)*IFERROR(INDEX(계정대체기준!$E$20:$E$49,MATCH($N4556,계정대체기준!$A$20:$A$49,0)),0)))</f>
        <v/>
      </c>
      <c r="AC4556" s="9">
        <f>IF(AND($A4556&lt;&gt;"",M4556=설정!$C$20,Z4556&gt;0),Z4556+ROW()/1000000000,"")</f>
        <v/>
      </c>
      <c r="AD4556" s="94">
        <f>IF($A4556="",0,$P4556*AG4556)</f>
        <v/>
      </c>
      <c r="AE4556" s="64">
        <f>IF($A4556="","",IFERROR(INDEX(계정매핑!$E$5:$E$504,MATCH($F4556&amp;"",계정매핑!$A$5:$A$504,0))&amp;"","공통비"))</f>
        <v/>
      </c>
      <c r="AF4556" s="64">
        <f>IF($A4556="","",IF(AE4556="직접",IFERROR(INDEX(계정매핑!$F$5:$F$504,MATCH($F4556&amp;"",계정매핑!$A$5:$A$504,0))&amp;"","비귀속"),""))</f>
        <v/>
      </c>
      <c r="AG4556" s="96">
        <f>IF($A4556="",0,IF(AND(AE4556&lt;&gt;"직접",IFERROR(INDEX(계정매핑!$G$5:$G$504,MATCH($F4556&amp;"",계정매핑!$A$5:$A$504,0))&amp;"","")="유지비",COUNTIF(계정대체기준!$A$6:$A$15,$N4556)&gt;0),IFERROR(INDEX(계정대체기준!$E$6:$E$15,MATCH(VALUE($A4556&amp;""),계정대체기준!$D$6:$D$15,0)),0),0))</f>
        <v/>
      </c>
      <c r="AH4556" s="64">
        <f>IF($A4556="","",IF(AD4556=0,"",IF(OR(COUNTIF(계정대체기준!$A$77:$A$86,$N4556)&gt;0,ISNUMBER(MATCH($X4556,계정대체기준!$D$77:$D$86,0)),ISNUMBER(MATCH($F4556,계정대체기준!$D$77:$D$86,0))),"Y","N")))</f>
        <v/>
      </c>
    </row>
    <row r="4557">
      <c r="A4557" s="92" t="n">
        <v>2026</v>
      </c>
      <c r="B4557" s="92" t="n">
        <v>9</v>
      </c>
      <c r="C4557" s="92" t="inlineStr">
        <is>
          <t>5100001835</t>
        </is>
      </c>
      <c r="D4557" s="95" t="n">
        <v>46267</v>
      </c>
      <c r="E4557" s="92" t="inlineStr">
        <is>
          <t>KR</t>
        </is>
      </c>
      <c r="F4557" s="92" t="n">
        <v>62101000</v>
      </c>
      <c r="G4557" s="92" t="n">
        <v>1201</v>
      </c>
      <c r="H4557" s="93" t="n">
        <v>234000</v>
      </c>
      <c r="I4557" s="92" t="inlineStr">
        <is>
          <t>9월 국내출장 - (법인카드)</t>
        </is>
      </c>
      <c r="J4557" s="92" t="inlineStr">
        <is>
          <t>V10010</t>
        </is>
      </c>
      <c r="K4557" s="92" t="inlineStr">
        <is>
          <t>(법인카드)</t>
        </is>
      </c>
      <c r="M4557" s="9">
        <f>IF($A4557="","",VALUE($A4557&amp;"")*12+VALUE($B4557&amp;""))</f>
        <v/>
      </c>
      <c r="N4557" s="64">
        <f>IF($A4557="","",IFERROR(INDEX(부서매핑!$C$5:$C$504,MATCH($G4557&amp;"",부서매핑!$A$5:$A$504,0)),"미매핑"))</f>
        <v/>
      </c>
      <c r="O4557" s="9">
        <f>IF($A4557="","",N4557&amp;"|"&amp;$F4557)</f>
        <v/>
      </c>
      <c r="P4557" s="94">
        <f>IF($A4557="",0,$H4557*설정!$C$23)</f>
        <v/>
      </c>
      <c r="Q4557" s="64">
        <f>IF($A4557="","",IF(O4557&lt;&gt;원인분석!$C$9,"",IF(AND(M4557&gt;=원인분석!$C$10,M4557&lt;=원인분석!$C$11),"당기",IF(AND(M4557&gt;=원인분석!$C$12,M4557&lt;=원인분석!$C$13),"비교",""))))</f>
        <v/>
      </c>
      <c r="R4557" s="9">
        <f>IF(Q4557="","",$K4557&amp;"")</f>
        <v/>
      </c>
      <c r="S4557" s="9">
        <f>IF(Q4557="","",IF(MATCH(R4557,$R$5:$R$100000,0)=ROW()-4,ROW(),""))</f>
        <v/>
      </c>
      <c r="T4557" s="9">
        <f>IF(Q4557="당기",ABS(P4557)+ROW()/1000000000,"")</f>
        <v/>
      </c>
      <c r="U4557" s="9">
        <f>IF(Q4557="비교",ABS(P4557)+ROW()/1000000000,"")</f>
        <v/>
      </c>
      <c r="V4557" s="64">
        <f>IF($A4557="","",IF(COUNTIF(변동분석!$E$7:$E$506,O4557)&gt;0,"Y","N"))</f>
        <v/>
      </c>
      <c r="W4557" s="64">
        <f>IF($A4557="","",IFERROR(INDEX(계정매핑!$D$5:$D$504,MATCH($F4557&amp;"",계정매핑!$A$5:$A$504,0)),"미매핑"))</f>
        <v/>
      </c>
      <c r="X4557" s="9">
        <f>IF($A4557="","",$F4557&amp;"")</f>
        <v/>
      </c>
      <c r="Y4557" s="94">
        <f>IF($A4557="",0,IF(AE4557="직접",IF(AF4557="비귀속",$P4557,0),$P4557*(1-AG4557)*IFERROR(INDEX(계정대체기준!$F$20:$F$49,MATCH($N4557,계정대체기준!$A$20:$A$49,0)),1)))</f>
        <v/>
      </c>
      <c r="Z4557" s="94">
        <f>IF($A4557="",0,IF(AE4557="직접",IF(AF4557="신계약비",$P4557,0),$P4557*(1-AG4557)*IFERROR(INDEX(계정대체기준!$C$20:$C$49,MATCH($N4557,계정대체기준!$A$20:$A$49,0)),0)))</f>
        <v/>
      </c>
      <c r="AA4557" s="94">
        <f>IF($A4557="",0,IF(AE4557="직접",IF(OR(AF4557="유지비",AF4557="손해조사비"),$P4557,0),$P4557*(1-AG4557)*IFERROR(INDEX(계정대체기준!$D$20:$D$49,MATCH($N4557,계정대체기준!$A$20:$A$49,0)),0)))</f>
        <v/>
      </c>
      <c r="AB4557" s="94">
        <f>IF($A4557="",0,IF(AE4557="직접",IF(AF4557="수금비",$P4557,0),$P4557*(1-AG4557)*IFERROR(INDEX(계정대체기준!$E$20:$E$49,MATCH($N4557,계정대체기준!$A$20:$A$49,0)),0)))</f>
        <v/>
      </c>
      <c r="AC4557" s="9">
        <f>IF(AND($A4557&lt;&gt;"",M4557=설정!$C$20,Z4557&gt;0),Z4557+ROW()/1000000000,"")</f>
        <v/>
      </c>
      <c r="AD4557" s="94">
        <f>IF($A4557="",0,$P4557*AG4557)</f>
        <v/>
      </c>
      <c r="AE4557" s="64">
        <f>IF($A4557="","",IFERROR(INDEX(계정매핑!$E$5:$E$504,MATCH($F4557&amp;"",계정매핑!$A$5:$A$504,0))&amp;"","공통비"))</f>
        <v/>
      </c>
      <c r="AF4557" s="64">
        <f>IF($A4557="","",IF(AE4557="직접",IFERROR(INDEX(계정매핑!$F$5:$F$504,MATCH($F4557&amp;"",계정매핑!$A$5:$A$504,0))&amp;"","비귀속"),""))</f>
        <v/>
      </c>
      <c r="AG4557" s="96">
        <f>IF($A4557="",0,IF(AND(AE4557&lt;&gt;"직접",IFERROR(INDEX(계정매핑!$G$5:$G$504,MATCH($F4557&amp;"",계정매핑!$A$5:$A$504,0))&amp;"","")="유지비",COUNTIF(계정대체기준!$A$6:$A$15,$N4557)&gt;0),IFERROR(INDEX(계정대체기준!$E$6:$E$15,MATCH(VALUE($A4557&amp;""),계정대체기준!$D$6:$D$15,0)),0),0))</f>
        <v/>
      </c>
      <c r="AH4557" s="64">
        <f>IF($A4557="","",IF(AD4557=0,"",IF(OR(COUNTIF(계정대체기준!$A$77:$A$86,$N4557)&gt;0,ISNUMBER(MATCH($X4557,계정대체기준!$D$77:$D$86,0)),ISNUMBER(MATCH($F4557,계정대체기준!$D$77:$D$86,0))),"Y","N")))</f>
        <v/>
      </c>
    </row>
    <row r="4558">
      <c r="A4558" s="92" t="n">
        <v>2026</v>
      </c>
      <c r="B4558" s="92" t="n">
        <v>9</v>
      </c>
      <c r="C4558" s="92" t="inlineStr">
        <is>
          <t>5100001836</t>
        </is>
      </c>
      <c r="D4558" s="95" t="n">
        <v>46267</v>
      </c>
      <c r="E4558" s="92" t="inlineStr">
        <is>
          <t>KR</t>
        </is>
      </c>
      <c r="F4558" s="92" t="n">
        <v>62101000</v>
      </c>
      <c r="G4558" s="92" t="n">
        <v>1801</v>
      </c>
      <c r="H4558" s="93" t="n">
        <v>135000</v>
      </c>
      <c r="I4558" s="92" t="inlineStr">
        <is>
          <t>9월 국내출장 - M항공</t>
        </is>
      </c>
      <c r="J4558" s="92" t="inlineStr">
        <is>
          <t>V10001</t>
        </is>
      </c>
      <c r="K4558" s="92" t="inlineStr">
        <is>
          <t>M항공</t>
        </is>
      </c>
      <c r="M4558" s="9">
        <f>IF($A4558="","",VALUE($A4558&amp;"")*12+VALUE($B4558&amp;""))</f>
        <v/>
      </c>
      <c r="N4558" s="64">
        <f>IF($A4558="","",IFERROR(INDEX(부서매핑!$C$5:$C$504,MATCH($G4558&amp;"",부서매핑!$A$5:$A$504,0)),"미매핑"))</f>
        <v/>
      </c>
      <c r="O4558" s="9">
        <f>IF($A4558="","",N4558&amp;"|"&amp;$F4558)</f>
        <v/>
      </c>
      <c r="P4558" s="94">
        <f>IF($A4558="",0,$H4558*설정!$C$23)</f>
        <v/>
      </c>
      <c r="Q4558" s="64">
        <f>IF($A4558="","",IF(O4558&lt;&gt;원인분석!$C$9,"",IF(AND(M4558&gt;=원인분석!$C$10,M4558&lt;=원인분석!$C$11),"당기",IF(AND(M4558&gt;=원인분석!$C$12,M4558&lt;=원인분석!$C$13),"비교",""))))</f>
        <v/>
      </c>
      <c r="R4558" s="9">
        <f>IF(Q4558="","",$K4558&amp;"")</f>
        <v/>
      </c>
      <c r="S4558" s="9">
        <f>IF(Q4558="","",IF(MATCH(R4558,$R$5:$R$100000,0)=ROW()-4,ROW(),""))</f>
        <v/>
      </c>
      <c r="T4558" s="9">
        <f>IF(Q4558="당기",ABS(P4558)+ROW()/1000000000,"")</f>
        <v/>
      </c>
      <c r="U4558" s="9">
        <f>IF(Q4558="비교",ABS(P4558)+ROW()/1000000000,"")</f>
        <v/>
      </c>
      <c r="V4558" s="64">
        <f>IF($A4558="","",IF(COUNTIF(변동분석!$E$7:$E$506,O4558)&gt;0,"Y","N"))</f>
        <v/>
      </c>
      <c r="W4558" s="64">
        <f>IF($A4558="","",IFERROR(INDEX(계정매핑!$D$5:$D$504,MATCH($F4558&amp;"",계정매핑!$A$5:$A$504,0)),"미매핑"))</f>
        <v/>
      </c>
      <c r="X4558" s="9">
        <f>IF($A4558="","",$F4558&amp;"")</f>
        <v/>
      </c>
      <c r="Y4558" s="94">
        <f>IF($A4558="",0,IF(AE4558="직접",IF(AF4558="비귀속",$P4558,0),$P4558*(1-AG4558)*IFERROR(INDEX(계정대체기준!$F$20:$F$49,MATCH($N4558,계정대체기준!$A$20:$A$49,0)),1)))</f>
        <v/>
      </c>
      <c r="Z4558" s="94">
        <f>IF($A4558="",0,IF(AE4558="직접",IF(AF4558="신계약비",$P4558,0),$P4558*(1-AG4558)*IFERROR(INDEX(계정대체기준!$C$20:$C$49,MATCH($N4558,계정대체기준!$A$20:$A$49,0)),0)))</f>
        <v/>
      </c>
      <c r="AA4558" s="94">
        <f>IF($A4558="",0,IF(AE4558="직접",IF(OR(AF4558="유지비",AF4558="손해조사비"),$P4558,0),$P4558*(1-AG4558)*IFERROR(INDEX(계정대체기준!$D$20:$D$49,MATCH($N4558,계정대체기준!$A$20:$A$49,0)),0)))</f>
        <v/>
      </c>
      <c r="AB4558" s="94">
        <f>IF($A4558="",0,IF(AE4558="직접",IF(AF4558="수금비",$P4558,0),$P4558*(1-AG4558)*IFERROR(INDEX(계정대체기준!$E$20:$E$49,MATCH($N4558,계정대체기준!$A$20:$A$49,0)),0)))</f>
        <v/>
      </c>
      <c r="AC4558" s="9">
        <f>IF(AND($A4558&lt;&gt;"",M4558=설정!$C$20,Z4558&gt;0),Z4558+ROW()/1000000000,"")</f>
        <v/>
      </c>
      <c r="AD4558" s="94">
        <f>IF($A4558="",0,$P4558*AG4558)</f>
        <v/>
      </c>
      <c r="AE4558" s="64">
        <f>IF($A4558="","",IFERROR(INDEX(계정매핑!$E$5:$E$504,MATCH($F4558&amp;"",계정매핑!$A$5:$A$504,0))&amp;"","공통비"))</f>
        <v/>
      </c>
      <c r="AF4558" s="64">
        <f>IF($A4558="","",IF(AE4558="직접",IFERROR(INDEX(계정매핑!$F$5:$F$504,MATCH($F4558&amp;"",계정매핑!$A$5:$A$504,0))&amp;"","비귀속"),""))</f>
        <v/>
      </c>
      <c r="AG4558" s="96">
        <f>IF($A4558="",0,IF(AND(AE4558&lt;&gt;"직접",IFERROR(INDEX(계정매핑!$G$5:$G$504,MATCH($F4558&amp;"",계정매핑!$A$5:$A$504,0))&amp;"","")="유지비",COUNTIF(계정대체기준!$A$6:$A$15,$N4558)&gt;0),IFERROR(INDEX(계정대체기준!$E$6:$E$15,MATCH(VALUE($A4558&amp;""),계정대체기준!$D$6:$D$15,0)),0),0))</f>
        <v/>
      </c>
      <c r="AH4558" s="64">
        <f>IF($A4558="","",IF(AD4558=0,"",IF(OR(COUNTIF(계정대체기준!$A$77:$A$86,$N4558)&gt;0,ISNUMBER(MATCH($X4558,계정대체기준!$D$77:$D$86,0)),ISNUMBER(MATCH($F4558,계정대체기준!$D$77:$D$86,0))),"Y","N")))</f>
        <v/>
      </c>
    </row>
    <row r="4559">
      <c r="A4559" s="92" t="n">
        <v>2026</v>
      </c>
      <c r="B4559" s="92" t="n">
        <v>9</v>
      </c>
      <c r="C4559" s="92" t="inlineStr">
        <is>
          <t>5100001837</t>
        </is>
      </c>
      <c r="D4559" s="95" t="n">
        <v>46267</v>
      </c>
      <c r="E4559" s="92" t="inlineStr">
        <is>
          <t>KR</t>
        </is>
      </c>
      <c r="F4559" s="92" t="n">
        <v>62201000</v>
      </c>
      <c r="G4559" s="92" t="n">
        <v>1601</v>
      </c>
      <c r="H4559" s="93" t="n">
        <v>660000</v>
      </c>
      <c r="I4559" s="92" t="inlineStr">
        <is>
          <t>9월 통신요금 - P통신</t>
        </is>
      </c>
      <c r="J4559" s="92" t="inlineStr">
        <is>
          <t>V10014</t>
        </is>
      </c>
      <c r="K4559" s="92" t="inlineStr">
        <is>
          <t>P통신</t>
        </is>
      </c>
      <c r="M4559" s="9">
        <f>IF($A4559="","",VALUE($A4559&amp;"")*12+VALUE($B4559&amp;""))</f>
        <v/>
      </c>
      <c r="N4559" s="64">
        <f>IF($A4559="","",IFERROR(INDEX(부서매핑!$C$5:$C$504,MATCH($G4559&amp;"",부서매핑!$A$5:$A$504,0)),"미매핑"))</f>
        <v/>
      </c>
      <c r="O4559" s="9">
        <f>IF($A4559="","",N4559&amp;"|"&amp;$F4559)</f>
        <v/>
      </c>
      <c r="P4559" s="94">
        <f>IF($A4559="",0,$H4559*설정!$C$23)</f>
        <v/>
      </c>
      <c r="Q4559" s="64">
        <f>IF($A4559="","",IF(O4559&lt;&gt;원인분석!$C$9,"",IF(AND(M4559&gt;=원인분석!$C$10,M4559&lt;=원인분석!$C$11),"당기",IF(AND(M4559&gt;=원인분석!$C$12,M4559&lt;=원인분석!$C$13),"비교",""))))</f>
        <v/>
      </c>
      <c r="R4559" s="9">
        <f>IF(Q4559="","",$K4559&amp;"")</f>
        <v/>
      </c>
      <c r="S4559" s="9">
        <f>IF(Q4559="","",IF(MATCH(R4559,$R$5:$R$100000,0)=ROW()-4,ROW(),""))</f>
        <v/>
      </c>
      <c r="T4559" s="9">
        <f>IF(Q4559="당기",ABS(P4559)+ROW()/1000000000,"")</f>
        <v/>
      </c>
      <c r="U4559" s="9">
        <f>IF(Q4559="비교",ABS(P4559)+ROW()/1000000000,"")</f>
        <v/>
      </c>
      <c r="V4559" s="64">
        <f>IF($A4559="","",IF(COUNTIF(변동분석!$E$7:$E$506,O4559)&gt;0,"Y","N"))</f>
        <v/>
      </c>
      <c r="W4559" s="64">
        <f>IF($A4559="","",IFERROR(INDEX(계정매핑!$D$5:$D$504,MATCH($F4559&amp;"",계정매핑!$A$5:$A$504,0)),"미매핑"))</f>
        <v/>
      </c>
      <c r="X4559" s="9">
        <f>IF($A4559="","",$F4559&amp;"")</f>
        <v/>
      </c>
      <c r="Y4559" s="94">
        <f>IF($A4559="",0,IF(AE4559="직접",IF(AF4559="비귀속",$P4559,0),$P4559*(1-AG4559)*IFERROR(INDEX(계정대체기준!$F$20:$F$49,MATCH($N4559,계정대체기준!$A$20:$A$49,0)),1)))</f>
        <v/>
      </c>
      <c r="Z4559" s="94">
        <f>IF($A4559="",0,IF(AE4559="직접",IF(AF4559="신계약비",$P4559,0),$P4559*(1-AG4559)*IFERROR(INDEX(계정대체기준!$C$20:$C$49,MATCH($N4559,계정대체기준!$A$20:$A$49,0)),0)))</f>
        <v/>
      </c>
      <c r="AA4559" s="94">
        <f>IF($A4559="",0,IF(AE4559="직접",IF(OR(AF4559="유지비",AF4559="손해조사비"),$P4559,0),$P4559*(1-AG4559)*IFERROR(INDEX(계정대체기준!$D$20:$D$49,MATCH($N4559,계정대체기준!$A$20:$A$49,0)),0)))</f>
        <v/>
      </c>
      <c r="AB4559" s="94">
        <f>IF($A4559="",0,IF(AE4559="직접",IF(AF4559="수금비",$P4559,0),$P4559*(1-AG4559)*IFERROR(INDEX(계정대체기준!$E$20:$E$49,MATCH($N4559,계정대체기준!$A$20:$A$49,0)),0)))</f>
        <v/>
      </c>
      <c r="AC4559" s="9">
        <f>IF(AND($A4559&lt;&gt;"",M4559=설정!$C$20,Z4559&gt;0),Z4559+ROW()/1000000000,"")</f>
        <v/>
      </c>
      <c r="AD4559" s="94">
        <f>IF($A4559="",0,$P4559*AG4559)</f>
        <v/>
      </c>
      <c r="AE4559" s="64">
        <f>IF($A4559="","",IFERROR(INDEX(계정매핑!$E$5:$E$504,MATCH($F4559&amp;"",계정매핑!$A$5:$A$504,0))&amp;"","공통비"))</f>
        <v/>
      </c>
      <c r="AF4559" s="64">
        <f>IF($A4559="","",IF(AE4559="직접",IFERROR(INDEX(계정매핑!$F$5:$F$504,MATCH($F4559&amp;"",계정매핑!$A$5:$A$504,0))&amp;"","비귀속"),""))</f>
        <v/>
      </c>
      <c r="AG4559" s="96">
        <f>IF($A4559="",0,IF(AND(AE4559&lt;&gt;"직접",IFERROR(INDEX(계정매핑!$G$5:$G$504,MATCH($F4559&amp;"",계정매핑!$A$5:$A$504,0))&amp;"","")="유지비",COUNTIF(계정대체기준!$A$6:$A$15,$N4559)&gt;0),IFERROR(INDEX(계정대체기준!$E$6:$E$15,MATCH(VALUE($A4559&amp;""),계정대체기준!$D$6:$D$15,0)),0),0))</f>
        <v/>
      </c>
      <c r="AH4559" s="64">
        <f>IF($A4559="","",IF(AD4559=0,"",IF(OR(COUNTIF(계정대체기준!$A$77:$A$86,$N4559)&gt;0,ISNUMBER(MATCH($X4559,계정대체기준!$D$77:$D$86,0)),ISNUMBER(MATCH($F4559,계정대체기준!$D$77:$D$86,0))),"Y","N")))</f>
        <v/>
      </c>
    </row>
    <row r="4560">
      <c r="A4560" s="92" t="n">
        <v>2026</v>
      </c>
      <c r="B4560" s="92" t="n">
        <v>9</v>
      </c>
      <c r="C4560" s="92" t="inlineStr">
        <is>
          <t>5100001838</t>
        </is>
      </c>
      <c r="D4560" s="95" t="n">
        <v>46267</v>
      </c>
      <c r="E4560" s="92" t="inlineStr">
        <is>
          <t>KR</t>
        </is>
      </c>
      <c r="F4560" s="92" t="n">
        <v>62301000</v>
      </c>
      <c r="G4560" s="92" t="n">
        <v>1401</v>
      </c>
      <c r="H4560" s="93" t="n">
        <v>127000</v>
      </c>
      <c r="I4560" s="92" t="inlineStr">
        <is>
          <t>9월 소모품 구입 - R문구</t>
        </is>
      </c>
      <c r="J4560" s="92" t="inlineStr">
        <is>
          <t>V10022</t>
        </is>
      </c>
      <c r="K4560" s="92" t="inlineStr">
        <is>
          <t>R문구</t>
        </is>
      </c>
      <c r="M4560" s="9">
        <f>IF($A4560="","",VALUE($A4560&amp;"")*12+VALUE($B4560&amp;""))</f>
        <v/>
      </c>
      <c r="N4560" s="64">
        <f>IF($A4560="","",IFERROR(INDEX(부서매핑!$C$5:$C$504,MATCH($G4560&amp;"",부서매핑!$A$5:$A$504,0)),"미매핑"))</f>
        <v/>
      </c>
      <c r="O4560" s="9">
        <f>IF($A4560="","",N4560&amp;"|"&amp;$F4560)</f>
        <v/>
      </c>
      <c r="P4560" s="94">
        <f>IF($A4560="",0,$H4560*설정!$C$23)</f>
        <v/>
      </c>
      <c r="Q4560" s="64">
        <f>IF($A4560="","",IF(O4560&lt;&gt;원인분석!$C$9,"",IF(AND(M4560&gt;=원인분석!$C$10,M4560&lt;=원인분석!$C$11),"당기",IF(AND(M4560&gt;=원인분석!$C$12,M4560&lt;=원인분석!$C$13),"비교",""))))</f>
        <v/>
      </c>
      <c r="R4560" s="9">
        <f>IF(Q4560="","",$K4560&amp;"")</f>
        <v/>
      </c>
      <c r="S4560" s="9">
        <f>IF(Q4560="","",IF(MATCH(R4560,$R$5:$R$100000,0)=ROW()-4,ROW(),""))</f>
        <v/>
      </c>
      <c r="T4560" s="9">
        <f>IF(Q4560="당기",ABS(P4560)+ROW()/1000000000,"")</f>
        <v/>
      </c>
      <c r="U4560" s="9">
        <f>IF(Q4560="비교",ABS(P4560)+ROW()/1000000000,"")</f>
        <v/>
      </c>
      <c r="V4560" s="64">
        <f>IF($A4560="","",IF(COUNTIF(변동분석!$E$7:$E$506,O4560)&gt;0,"Y","N"))</f>
        <v/>
      </c>
      <c r="W4560" s="64">
        <f>IF($A4560="","",IFERROR(INDEX(계정매핑!$D$5:$D$504,MATCH($F4560&amp;"",계정매핑!$A$5:$A$504,0)),"미매핑"))</f>
        <v/>
      </c>
      <c r="X4560" s="9">
        <f>IF($A4560="","",$F4560&amp;"")</f>
        <v/>
      </c>
      <c r="Y4560" s="94">
        <f>IF($A4560="",0,IF(AE4560="직접",IF(AF4560="비귀속",$P4560,0),$P4560*(1-AG4560)*IFERROR(INDEX(계정대체기준!$F$20:$F$49,MATCH($N4560,계정대체기준!$A$20:$A$49,0)),1)))</f>
        <v/>
      </c>
      <c r="Z4560" s="94">
        <f>IF($A4560="",0,IF(AE4560="직접",IF(AF4560="신계약비",$P4560,0),$P4560*(1-AG4560)*IFERROR(INDEX(계정대체기준!$C$20:$C$49,MATCH($N4560,계정대체기준!$A$20:$A$49,0)),0)))</f>
        <v/>
      </c>
      <c r="AA4560" s="94">
        <f>IF($A4560="",0,IF(AE4560="직접",IF(OR(AF4560="유지비",AF4560="손해조사비"),$P4560,0),$P4560*(1-AG4560)*IFERROR(INDEX(계정대체기준!$D$20:$D$49,MATCH($N4560,계정대체기준!$A$20:$A$49,0)),0)))</f>
        <v/>
      </c>
      <c r="AB4560" s="94">
        <f>IF($A4560="",0,IF(AE4560="직접",IF(AF4560="수금비",$P4560,0),$P4560*(1-AG4560)*IFERROR(INDEX(계정대체기준!$E$20:$E$49,MATCH($N4560,계정대체기준!$A$20:$A$49,0)),0)))</f>
        <v/>
      </c>
      <c r="AC4560" s="9">
        <f>IF(AND($A4560&lt;&gt;"",M4560=설정!$C$20,Z4560&gt;0),Z4560+ROW()/1000000000,"")</f>
        <v/>
      </c>
      <c r="AD4560" s="94">
        <f>IF($A4560="",0,$P4560*AG4560)</f>
        <v/>
      </c>
      <c r="AE4560" s="64">
        <f>IF($A4560="","",IFERROR(INDEX(계정매핑!$E$5:$E$504,MATCH($F4560&amp;"",계정매핑!$A$5:$A$504,0))&amp;"","공통비"))</f>
        <v/>
      </c>
      <c r="AF4560" s="64">
        <f>IF($A4560="","",IF(AE4560="직접",IFERROR(INDEX(계정매핑!$F$5:$F$504,MATCH($F4560&amp;"",계정매핑!$A$5:$A$504,0))&amp;"","비귀속"),""))</f>
        <v/>
      </c>
      <c r="AG4560" s="96">
        <f>IF($A4560="",0,IF(AND(AE4560&lt;&gt;"직접",IFERROR(INDEX(계정매핑!$G$5:$G$504,MATCH($F4560&amp;"",계정매핑!$A$5:$A$504,0))&amp;"","")="유지비",COUNTIF(계정대체기준!$A$6:$A$15,$N4560)&gt;0),IFERROR(INDEX(계정대체기준!$E$6:$E$15,MATCH(VALUE($A4560&amp;""),계정대체기준!$D$6:$D$15,0)),0),0))</f>
        <v/>
      </c>
      <c r="AH4560" s="64">
        <f>IF($A4560="","",IF(AD4560=0,"",IF(OR(COUNTIF(계정대체기준!$A$77:$A$86,$N4560)&gt;0,ISNUMBER(MATCH($X4560,계정대체기준!$D$77:$D$86,0)),ISNUMBER(MATCH($F4560,계정대체기준!$D$77:$D$86,0))),"Y","N")))</f>
        <v/>
      </c>
    </row>
    <row r="4561">
      <c r="A4561" s="92" t="n">
        <v>2026</v>
      </c>
      <c r="B4561" s="92" t="n">
        <v>9</v>
      </c>
      <c r="C4561" s="92" t="inlineStr">
        <is>
          <t>5100001839</t>
        </is>
      </c>
      <c r="D4561" s="95" t="n">
        <v>46267</v>
      </c>
      <c r="E4561" s="92" t="inlineStr">
        <is>
          <t>KR</t>
        </is>
      </c>
      <c r="F4561" s="92" t="n">
        <v>62501000</v>
      </c>
      <c r="G4561" s="92" t="n">
        <v>1401</v>
      </c>
      <c r="H4561" s="93" t="n">
        <v>153000</v>
      </c>
      <c r="I4561" s="92" t="inlineStr">
        <is>
          <t>9월 회의 다과 - (법인카드)</t>
        </is>
      </c>
      <c r="J4561" s="92" t="inlineStr">
        <is>
          <t>V10010</t>
        </is>
      </c>
      <c r="K4561" s="92" t="inlineStr">
        <is>
          <t>(법인카드)</t>
        </is>
      </c>
      <c r="M4561" s="9">
        <f>IF($A4561="","",VALUE($A4561&amp;"")*12+VALUE($B4561&amp;""))</f>
        <v/>
      </c>
      <c r="N4561" s="64">
        <f>IF($A4561="","",IFERROR(INDEX(부서매핑!$C$5:$C$504,MATCH($G4561&amp;"",부서매핑!$A$5:$A$504,0)),"미매핑"))</f>
        <v/>
      </c>
      <c r="O4561" s="9">
        <f>IF($A4561="","",N4561&amp;"|"&amp;$F4561)</f>
        <v/>
      </c>
      <c r="P4561" s="94">
        <f>IF($A4561="",0,$H4561*설정!$C$23)</f>
        <v/>
      </c>
      <c r="Q4561" s="64">
        <f>IF($A4561="","",IF(O4561&lt;&gt;원인분석!$C$9,"",IF(AND(M4561&gt;=원인분석!$C$10,M4561&lt;=원인분석!$C$11),"당기",IF(AND(M4561&gt;=원인분석!$C$12,M4561&lt;=원인분석!$C$13),"비교",""))))</f>
        <v/>
      </c>
      <c r="R4561" s="9">
        <f>IF(Q4561="","",$K4561&amp;"")</f>
        <v/>
      </c>
      <c r="S4561" s="9">
        <f>IF(Q4561="","",IF(MATCH(R4561,$R$5:$R$100000,0)=ROW()-4,ROW(),""))</f>
        <v/>
      </c>
      <c r="T4561" s="9">
        <f>IF(Q4561="당기",ABS(P4561)+ROW()/1000000000,"")</f>
        <v/>
      </c>
      <c r="U4561" s="9">
        <f>IF(Q4561="비교",ABS(P4561)+ROW()/1000000000,"")</f>
        <v/>
      </c>
      <c r="V4561" s="64">
        <f>IF($A4561="","",IF(COUNTIF(변동분석!$E$7:$E$506,O4561)&gt;0,"Y","N"))</f>
        <v/>
      </c>
      <c r="W4561" s="64">
        <f>IF($A4561="","",IFERROR(INDEX(계정매핑!$D$5:$D$504,MATCH($F4561&amp;"",계정매핑!$A$5:$A$504,0)),"미매핑"))</f>
        <v/>
      </c>
      <c r="X4561" s="9">
        <f>IF($A4561="","",$F4561&amp;"")</f>
        <v/>
      </c>
      <c r="Y4561" s="94">
        <f>IF($A4561="",0,IF(AE4561="직접",IF(AF4561="비귀속",$P4561,0),$P4561*(1-AG4561)*IFERROR(INDEX(계정대체기준!$F$20:$F$49,MATCH($N4561,계정대체기준!$A$20:$A$49,0)),1)))</f>
        <v/>
      </c>
      <c r="Z4561" s="94">
        <f>IF($A4561="",0,IF(AE4561="직접",IF(AF4561="신계약비",$P4561,0),$P4561*(1-AG4561)*IFERROR(INDEX(계정대체기준!$C$20:$C$49,MATCH($N4561,계정대체기준!$A$20:$A$49,0)),0)))</f>
        <v/>
      </c>
      <c r="AA4561" s="94">
        <f>IF($A4561="",0,IF(AE4561="직접",IF(OR(AF4561="유지비",AF4561="손해조사비"),$P4561,0),$P4561*(1-AG4561)*IFERROR(INDEX(계정대체기준!$D$20:$D$49,MATCH($N4561,계정대체기준!$A$20:$A$49,0)),0)))</f>
        <v/>
      </c>
      <c r="AB4561" s="94">
        <f>IF($A4561="",0,IF(AE4561="직접",IF(AF4561="수금비",$P4561,0),$P4561*(1-AG4561)*IFERROR(INDEX(계정대체기준!$E$20:$E$49,MATCH($N4561,계정대체기준!$A$20:$A$49,0)),0)))</f>
        <v/>
      </c>
      <c r="AC4561" s="9">
        <f>IF(AND($A4561&lt;&gt;"",M4561=설정!$C$20,Z4561&gt;0),Z4561+ROW()/1000000000,"")</f>
        <v/>
      </c>
      <c r="AD4561" s="94">
        <f>IF($A4561="",0,$P4561*AG4561)</f>
        <v/>
      </c>
      <c r="AE4561" s="64">
        <f>IF($A4561="","",IFERROR(INDEX(계정매핑!$E$5:$E$504,MATCH($F4561&amp;"",계정매핑!$A$5:$A$504,0))&amp;"","공통비"))</f>
        <v/>
      </c>
      <c r="AF4561" s="64">
        <f>IF($A4561="","",IF(AE4561="직접",IFERROR(INDEX(계정매핑!$F$5:$F$504,MATCH($F4561&amp;"",계정매핑!$A$5:$A$504,0))&amp;"","비귀속"),""))</f>
        <v/>
      </c>
      <c r="AG4561" s="96">
        <f>IF($A4561="",0,IF(AND(AE4561&lt;&gt;"직접",IFERROR(INDEX(계정매핑!$G$5:$G$504,MATCH($F4561&amp;"",계정매핑!$A$5:$A$504,0))&amp;"","")="유지비",COUNTIF(계정대체기준!$A$6:$A$15,$N4561)&gt;0),IFERROR(INDEX(계정대체기준!$E$6:$E$15,MATCH(VALUE($A4561&amp;""),계정대체기준!$D$6:$D$15,0)),0),0))</f>
        <v/>
      </c>
      <c r="AH4561" s="64">
        <f>IF($A4561="","",IF(AD4561=0,"",IF(OR(COUNTIF(계정대체기준!$A$77:$A$86,$N4561)&gt;0,ISNUMBER(MATCH($X4561,계정대체기준!$D$77:$D$86,0)),ISNUMBER(MATCH($F4561,계정대체기준!$D$77:$D$86,0))),"Y","N")))</f>
        <v/>
      </c>
    </row>
    <row r="4562">
      <c r="A4562" s="92" t="n">
        <v>2026</v>
      </c>
      <c r="B4562" s="92" t="n">
        <v>9</v>
      </c>
      <c r="C4562" s="92" t="inlineStr">
        <is>
          <t>5100001840</t>
        </is>
      </c>
      <c r="D4562" s="95" t="n">
        <v>46267</v>
      </c>
      <c r="E4562" s="92" t="inlineStr">
        <is>
          <t>KR</t>
        </is>
      </c>
      <c r="F4562" s="92" t="n">
        <v>62902000</v>
      </c>
      <c r="G4562" s="92" t="n">
        <v>1801</v>
      </c>
      <c r="H4562" s="93" t="n">
        <v>1754000</v>
      </c>
      <c r="I4562" s="92" t="inlineStr">
        <is>
          <t>9월 콜 위탁 수수료(건별)</t>
        </is>
      </c>
      <c r="J4562" s="92" t="inlineStr">
        <is>
          <t>V10016</t>
        </is>
      </c>
      <c r="K4562" s="92" t="inlineStr">
        <is>
          <t>J콜센터</t>
        </is>
      </c>
      <c r="M4562" s="9">
        <f>IF($A4562="","",VALUE($A4562&amp;"")*12+VALUE($B4562&amp;""))</f>
        <v/>
      </c>
      <c r="N4562" s="64">
        <f>IF($A4562="","",IFERROR(INDEX(부서매핑!$C$5:$C$504,MATCH($G4562&amp;"",부서매핑!$A$5:$A$504,0)),"미매핑"))</f>
        <v/>
      </c>
      <c r="O4562" s="9">
        <f>IF($A4562="","",N4562&amp;"|"&amp;$F4562)</f>
        <v/>
      </c>
      <c r="P4562" s="94">
        <f>IF($A4562="",0,$H4562*설정!$C$23)</f>
        <v/>
      </c>
      <c r="Q4562" s="64">
        <f>IF($A4562="","",IF(O4562&lt;&gt;원인분석!$C$9,"",IF(AND(M4562&gt;=원인분석!$C$10,M4562&lt;=원인분석!$C$11),"당기",IF(AND(M4562&gt;=원인분석!$C$12,M4562&lt;=원인분석!$C$13),"비교",""))))</f>
        <v/>
      </c>
      <c r="R4562" s="9">
        <f>IF(Q4562="","",$K4562&amp;"")</f>
        <v/>
      </c>
      <c r="S4562" s="9">
        <f>IF(Q4562="","",IF(MATCH(R4562,$R$5:$R$100000,0)=ROW()-4,ROW(),""))</f>
        <v/>
      </c>
      <c r="T4562" s="9">
        <f>IF(Q4562="당기",ABS(P4562)+ROW()/1000000000,"")</f>
        <v/>
      </c>
      <c r="U4562" s="9">
        <f>IF(Q4562="비교",ABS(P4562)+ROW()/1000000000,"")</f>
        <v/>
      </c>
      <c r="V4562" s="64">
        <f>IF($A4562="","",IF(COUNTIF(변동분석!$E$7:$E$506,O4562)&gt;0,"Y","N"))</f>
        <v/>
      </c>
      <c r="W4562" s="64">
        <f>IF($A4562="","",IFERROR(INDEX(계정매핑!$D$5:$D$504,MATCH($F4562&amp;"",계정매핑!$A$5:$A$504,0)),"미매핑"))</f>
        <v/>
      </c>
      <c r="X4562" s="9">
        <f>IF($A4562="","",$F4562&amp;"")</f>
        <v/>
      </c>
      <c r="Y4562" s="94">
        <f>IF($A4562="",0,IF(AE4562="직접",IF(AF4562="비귀속",$P4562,0),$P4562*(1-AG4562)*IFERROR(INDEX(계정대체기준!$F$20:$F$49,MATCH($N4562,계정대체기준!$A$20:$A$49,0)),1)))</f>
        <v/>
      </c>
      <c r="Z4562" s="94">
        <f>IF($A4562="",0,IF(AE4562="직접",IF(AF4562="신계약비",$P4562,0),$P4562*(1-AG4562)*IFERROR(INDEX(계정대체기준!$C$20:$C$49,MATCH($N4562,계정대체기준!$A$20:$A$49,0)),0)))</f>
        <v/>
      </c>
      <c r="AA4562" s="94">
        <f>IF($A4562="",0,IF(AE4562="직접",IF(OR(AF4562="유지비",AF4562="손해조사비"),$P4562,0),$P4562*(1-AG4562)*IFERROR(INDEX(계정대체기준!$D$20:$D$49,MATCH($N4562,계정대체기준!$A$20:$A$49,0)),0)))</f>
        <v/>
      </c>
      <c r="AB4562" s="94">
        <f>IF($A4562="",0,IF(AE4562="직접",IF(AF4562="수금비",$P4562,0),$P4562*(1-AG4562)*IFERROR(INDEX(계정대체기준!$E$20:$E$49,MATCH($N4562,계정대체기준!$A$20:$A$49,0)),0)))</f>
        <v/>
      </c>
      <c r="AC4562" s="9">
        <f>IF(AND($A4562&lt;&gt;"",M4562=설정!$C$20,Z4562&gt;0),Z4562+ROW()/1000000000,"")</f>
        <v/>
      </c>
      <c r="AD4562" s="94">
        <f>IF($A4562="",0,$P4562*AG4562)</f>
        <v/>
      </c>
      <c r="AE4562" s="64">
        <f>IF($A4562="","",IFERROR(INDEX(계정매핑!$E$5:$E$504,MATCH($F4562&amp;"",계정매핑!$A$5:$A$504,0))&amp;"","공통비"))</f>
        <v/>
      </c>
      <c r="AF4562" s="64">
        <f>IF($A4562="","",IF(AE4562="직접",IFERROR(INDEX(계정매핑!$F$5:$F$504,MATCH($F4562&amp;"",계정매핑!$A$5:$A$504,0))&amp;"","비귀속"),""))</f>
        <v/>
      </c>
      <c r="AG4562" s="96">
        <f>IF($A4562="",0,IF(AND(AE4562&lt;&gt;"직접",IFERROR(INDEX(계정매핑!$G$5:$G$504,MATCH($F4562&amp;"",계정매핑!$A$5:$A$504,0))&amp;"","")="유지비",COUNTIF(계정대체기준!$A$6:$A$15,$N4562)&gt;0),IFERROR(INDEX(계정대체기준!$E$6:$E$15,MATCH(VALUE($A4562&amp;""),계정대체기준!$D$6:$D$15,0)),0),0))</f>
        <v/>
      </c>
      <c r="AH4562" s="64">
        <f>IF($A4562="","",IF(AD4562=0,"",IF(OR(COUNTIF(계정대체기준!$A$77:$A$86,$N4562)&gt;0,ISNUMBER(MATCH($X4562,계정대체기준!$D$77:$D$86,0)),ISNUMBER(MATCH($F4562,계정대체기준!$D$77:$D$86,0))),"Y","N")))</f>
        <v/>
      </c>
    </row>
    <row r="4563">
      <c r="A4563" s="92" t="n">
        <v>2026</v>
      </c>
      <c r="B4563" s="92" t="n">
        <v>9</v>
      </c>
      <c r="C4563" s="92" t="inlineStr">
        <is>
          <t>5100001841</t>
        </is>
      </c>
      <c r="D4563" s="95" t="n">
        <v>46267</v>
      </c>
      <c r="E4563" s="92" t="inlineStr">
        <is>
          <t>KR</t>
        </is>
      </c>
      <c r="F4563" s="92" t="n">
        <v>62902000</v>
      </c>
      <c r="G4563" s="92" t="n">
        <v>1951</v>
      </c>
      <c r="H4563" s="93" t="n">
        <v>4951000</v>
      </c>
      <c r="I4563" s="92" t="inlineStr">
        <is>
          <t>9월 업무 위탁 수수료 - J콜센터</t>
        </is>
      </c>
      <c r="J4563" s="92" t="inlineStr">
        <is>
          <t>V10016</t>
        </is>
      </c>
      <c r="K4563" s="92" t="inlineStr">
        <is>
          <t>J콜센터</t>
        </is>
      </c>
      <c r="M4563" s="9">
        <f>IF($A4563="","",VALUE($A4563&amp;"")*12+VALUE($B4563&amp;""))</f>
        <v/>
      </c>
      <c r="N4563" s="64">
        <f>IF($A4563="","",IFERROR(INDEX(부서매핑!$C$5:$C$504,MATCH($G4563&amp;"",부서매핑!$A$5:$A$504,0)),"미매핑"))</f>
        <v/>
      </c>
      <c r="O4563" s="9">
        <f>IF($A4563="","",N4563&amp;"|"&amp;$F4563)</f>
        <v/>
      </c>
      <c r="P4563" s="94">
        <f>IF($A4563="",0,$H4563*설정!$C$23)</f>
        <v/>
      </c>
      <c r="Q4563" s="64">
        <f>IF($A4563="","",IF(O4563&lt;&gt;원인분석!$C$9,"",IF(AND(M4563&gt;=원인분석!$C$10,M4563&lt;=원인분석!$C$11),"당기",IF(AND(M4563&gt;=원인분석!$C$12,M4563&lt;=원인분석!$C$13),"비교",""))))</f>
        <v/>
      </c>
      <c r="R4563" s="9">
        <f>IF(Q4563="","",$K4563&amp;"")</f>
        <v/>
      </c>
      <c r="S4563" s="9">
        <f>IF(Q4563="","",IF(MATCH(R4563,$R$5:$R$100000,0)=ROW()-4,ROW(),""))</f>
        <v/>
      </c>
      <c r="T4563" s="9">
        <f>IF(Q4563="당기",ABS(P4563)+ROW()/1000000000,"")</f>
        <v/>
      </c>
      <c r="U4563" s="9">
        <f>IF(Q4563="비교",ABS(P4563)+ROW()/1000000000,"")</f>
        <v/>
      </c>
      <c r="V4563" s="64">
        <f>IF($A4563="","",IF(COUNTIF(변동분석!$E$7:$E$506,O4563)&gt;0,"Y","N"))</f>
        <v/>
      </c>
      <c r="W4563" s="64">
        <f>IF($A4563="","",IFERROR(INDEX(계정매핑!$D$5:$D$504,MATCH($F4563&amp;"",계정매핑!$A$5:$A$504,0)),"미매핑"))</f>
        <v/>
      </c>
      <c r="X4563" s="9">
        <f>IF($A4563="","",$F4563&amp;"")</f>
        <v/>
      </c>
      <c r="Y4563" s="94">
        <f>IF($A4563="",0,IF(AE4563="직접",IF(AF4563="비귀속",$P4563,0),$P4563*(1-AG4563)*IFERROR(INDEX(계정대체기준!$F$20:$F$49,MATCH($N4563,계정대체기준!$A$20:$A$49,0)),1)))</f>
        <v/>
      </c>
      <c r="Z4563" s="94">
        <f>IF($A4563="",0,IF(AE4563="직접",IF(AF4563="신계약비",$P4563,0),$P4563*(1-AG4563)*IFERROR(INDEX(계정대체기준!$C$20:$C$49,MATCH($N4563,계정대체기준!$A$20:$A$49,0)),0)))</f>
        <v/>
      </c>
      <c r="AA4563" s="94">
        <f>IF($A4563="",0,IF(AE4563="직접",IF(OR(AF4563="유지비",AF4563="손해조사비"),$P4563,0),$P4563*(1-AG4563)*IFERROR(INDEX(계정대체기준!$D$20:$D$49,MATCH($N4563,계정대체기준!$A$20:$A$49,0)),0)))</f>
        <v/>
      </c>
      <c r="AB4563" s="94">
        <f>IF($A4563="",0,IF(AE4563="직접",IF(AF4563="수금비",$P4563,0),$P4563*(1-AG4563)*IFERROR(INDEX(계정대체기준!$E$20:$E$49,MATCH($N4563,계정대체기준!$A$20:$A$49,0)),0)))</f>
        <v/>
      </c>
      <c r="AC4563" s="9">
        <f>IF(AND($A4563&lt;&gt;"",M4563=설정!$C$20,Z4563&gt;0),Z4563+ROW()/1000000000,"")</f>
        <v/>
      </c>
      <c r="AD4563" s="94">
        <f>IF($A4563="",0,$P4563*AG4563)</f>
        <v/>
      </c>
      <c r="AE4563" s="64">
        <f>IF($A4563="","",IFERROR(INDEX(계정매핑!$E$5:$E$504,MATCH($F4563&amp;"",계정매핑!$A$5:$A$504,0))&amp;"","공통비"))</f>
        <v/>
      </c>
      <c r="AF4563" s="64">
        <f>IF($A4563="","",IF(AE4563="직접",IFERROR(INDEX(계정매핑!$F$5:$F$504,MATCH($F4563&amp;"",계정매핑!$A$5:$A$504,0))&amp;"","비귀속"),""))</f>
        <v/>
      </c>
      <c r="AG4563" s="96">
        <f>IF($A4563="",0,IF(AND(AE4563&lt;&gt;"직접",IFERROR(INDEX(계정매핑!$G$5:$G$504,MATCH($F4563&amp;"",계정매핑!$A$5:$A$504,0))&amp;"","")="유지비",COUNTIF(계정대체기준!$A$6:$A$15,$N4563)&gt;0),IFERROR(INDEX(계정대체기준!$E$6:$E$15,MATCH(VALUE($A4563&amp;""),계정대체기준!$D$6:$D$15,0)),0),0))</f>
        <v/>
      </c>
      <c r="AH4563" s="64">
        <f>IF($A4563="","",IF(AD4563=0,"",IF(OR(COUNTIF(계정대체기준!$A$77:$A$86,$N4563)&gt;0,ISNUMBER(MATCH($X4563,계정대체기준!$D$77:$D$86,0)),ISNUMBER(MATCH($F4563,계정대체기준!$D$77:$D$86,0))),"Y","N")))</f>
        <v/>
      </c>
    </row>
    <row r="4564">
      <c r="A4564" s="92" t="n">
        <v>2026</v>
      </c>
      <c r="B4564" s="92" t="n">
        <v>9</v>
      </c>
      <c r="C4564" s="92" t="inlineStr">
        <is>
          <t>5100001842</t>
        </is>
      </c>
      <c r="D4564" s="95" t="n">
        <v>46268</v>
      </c>
      <c r="E4564" s="92" t="inlineStr">
        <is>
          <t>KR</t>
        </is>
      </c>
      <c r="F4564" s="92" t="n">
        <v>62101000</v>
      </c>
      <c r="G4564" s="92" t="n">
        <v>1101</v>
      </c>
      <c r="H4564" s="93" t="n">
        <v>562000</v>
      </c>
      <c r="I4564" s="92" t="inlineStr">
        <is>
          <t>9월 국내출장 - (법인카드)</t>
        </is>
      </c>
      <c r="J4564" s="92" t="inlineStr">
        <is>
          <t>V10010</t>
        </is>
      </c>
      <c r="K4564" s="92" t="inlineStr">
        <is>
          <t>(법인카드)</t>
        </is>
      </c>
      <c r="M4564" s="9">
        <f>IF($A4564="","",VALUE($A4564&amp;"")*12+VALUE($B4564&amp;""))</f>
        <v/>
      </c>
      <c r="N4564" s="64">
        <f>IF($A4564="","",IFERROR(INDEX(부서매핑!$C$5:$C$504,MATCH($G4564&amp;"",부서매핑!$A$5:$A$504,0)),"미매핑"))</f>
        <v/>
      </c>
      <c r="O4564" s="9">
        <f>IF($A4564="","",N4564&amp;"|"&amp;$F4564)</f>
        <v/>
      </c>
      <c r="P4564" s="94">
        <f>IF($A4564="",0,$H4564*설정!$C$23)</f>
        <v/>
      </c>
      <c r="Q4564" s="64">
        <f>IF($A4564="","",IF(O4564&lt;&gt;원인분석!$C$9,"",IF(AND(M4564&gt;=원인분석!$C$10,M4564&lt;=원인분석!$C$11),"당기",IF(AND(M4564&gt;=원인분석!$C$12,M4564&lt;=원인분석!$C$13),"비교",""))))</f>
        <v/>
      </c>
      <c r="R4564" s="9">
        <f>IF(Q4564="","",$K4564&amp;"")</f>
        <v/>
      </c>
      <c r="S4564" s="9">
        <f>IF(Q4564="","",IF(MATCH(R4564,$R$5:$R$100000,0)=ROW()-4,ROW(),""))</f>
        <v/>
      </c>
      <c r="T4564" s="9">
        <f>IF(Q4564="당기",ABS(P4564)+ROW()/1000000000,"")</f>
        <v/>
      </c>
      <c r="U4564" s="9">
        <f>IF(Q4564="비교",ABS(P4564)+ROW()/1000000000,"")</f>
        <v/>
      </c>
      <c r="V4564" s="64">
        <f>IF($A4564="","",IF(COUNTIF(변동분석!$E$7:$E$506,O4564)&gt;0,"Y","N"))</f>
        <v/>
      </c>
      <c r="W4564" s="64">
        <f>IF($A4564="","",IFERROR(INDEX(계정매핑!$D$5:$D$504,MATCH($F4564&amp;"",계정매핑!$A$5:$A$504,0)),"미매핑"))</f>
        <v/>
      </c>
      <c r="X4564" s="9">
        <f>IF($A4564="","",$F4564&amp;"")</f>
        <v/>
      </c>
      <c r="Y4564" s="94">
        <f>IF($A4564="",0,IF(AE4564="직접",IF(AF4564="비귀속",$P4564,0),$P4564*(1-AG4564)*IFERROR(INDEX(계정대체기준!$F$20:$F$49,MATCH($N4564,계정대체기준!$A$20:$A$49,0)),1)))</f>
        <v/>
      </c>
      <c r="Z4564" s="94">
        <f>IF($A4564="",0,IF(AE4564="직접",IF(AF4564="신계약비",$P4564,0),$P4564*(1-AG4564)*IFERROR(INDEX(계정대체기준!$C$20:$C$49,MATCH($N4564,계정대체기준!$A$20:$A$49,0)),0)))</f>
        <v/>
      </c>
      <c r="AA4564" s="94">
        <f>IF($A4564="",0,IF(AE4564="직접",IF(OR(AF4564="유지비",AF4564="손해조사비"),$P4564,0),$P4564*(1-AG4564)*IFERROR(INDEX(계정대체기준!$D$20:$D$49,MATCH($N4564,계정대체기준!$A$20:$A$49,0)),0)))</f>
        <v/>
      </c>
      <c r="AB4564" s="94">
        <f>IF($A4564="",0,IF(AE4564="직접",IF(AF4564="수금비",$P4564,0),$P4564*(1-AG4564)*IFERROR(INDEX(계정대체기준!$E$20:$E$49,MATCH($N4564,계정대체기준!$A$20:$A$49,0)),0)))</f>
        <v/>
      </c>
      <c r="AC4564" s="9">
        <f>IF(AND($A4564&lt;&gt;"",M4564=설정!$C$20,Z4564&gt;0),Z4564+ROW()/1000000000,"")</f>
        <v/>
      </c>
      <c r="AD4564" s="94">
        <f>IF($A4564="",0,$P4564*AG4564)</f>
        <v/>
      </c>
      <c r="AE4564" s="64">
        <f>IF($A4564="","",IFERROR(INDEX(계정매핑!$E$5:$E$504,MATCH($F4564&amp;"",계정매핑!$A$5:$A$504,0))&amp;"","공통비"))</f>
        <v/>
      </c>
      <c r="AF4564" s="64">
        <f>IF($A4564="","",IF(AE4564="직접",IFERROR(INDEX(계정매핑!$F$5:$F$504,MATCH($F4564&amp;"",계정매핑!$A$5:$A$504,0))&amp;"","비귀속"),""))</f>
        <v/>
      </c>
      <c r="AG4564" s="96">
        <f>IF($A4564="",0,IF(AND(AE4564&lt;&gt;"직접",IFERROR(INDEX(계정매핑!$G$5:$G$504,MATCH($F4564&amp;"",계정매핑!$A$5:$A$504,0))&amp;"","")="유지비",COUNTIF(계정대체기준!$A$6:$A$15,$N4564)&gt;0),IFERROR(INDEX(계정대체기준!$E$6:$E$15,MATCH(VALUE($A4564&amp;""),계정대체기준!$D$6:$D$15,0)),0),0))</f>
        <v/>
      </c>
      <c r="AH4564" s="64">
        <f>IF($A4564="","",IF(AD4564=0,"",IF(OR(COUNTIF(계정대체기준!$A$77:$A$86,$N4564)&gt;0,ISNUMBER(MATCH($X4564,계정대체기준!$D$77:$D$86,0)),ISNUMBER(MATCH($F4564,계정대체기준!$D$77:$D$86,0))),"Y","N")))</f>
        <v/>
      </c>
    </row>
    <row r="4565">
      <c r="A4565" s="92" t="n">
        <v>2026</v>
      </c>
      <c r="B4565" s="92" t="n">
        <v>9</v>
      </c>
      <c r="C4565" s="92" t="inlineStr">
        <is>
          <t>5100001843</t>
        </is>
      </c>
      <c r="D4565" s="95" t="n">
        <v>46268</v>
      </c>
      <c r="E4565" s="92" t="inlineStr">
        <is>
          <t>KR</t>
        </is>
      </c>
      <c r="F4565" s="92" t="n">
        <v>62101000</v>
      </c>
      <c r="G4565" s="92" t="n">
        <v>1701</v>
      </c>
      <c r="H4565" s="93" t="n">
        <v>170000</v>
      </c>
      <c r="I4565" s="92" t="inlineStr">
        <is>
          <t>9월 국내출장 - L여행사</t>
        </is>
      </c>
      <c r="J4565" s="92" t="inlineStr">
        <is>
          <t>V10018</t>
        </is>
      </c>
      <c r="K4565" s="92" t="inlineStr">
        <is>
          <t>L여행사</t>
        </is>
      </c>
      <c r="M4565" s="9">
        <f>IF($A4565="","",VALUE($A4565&amp;"")*12+VALUE($B4565&amp;""))</f>
        <v/>
      </c>
      <c r="N4565" s="64">
        <f>IF($A4565="","",IFERROR(INDEX(부서매핑!$C$5:$C$504,MATCH($G4565&amp;"",부서매핑!$A$5:$A$504,0)),"미매핑"))</f>
        <v/>
      </c>
      <c r="O4565" s="9">
        <f>IF($A4565="","",N4565&amp;"|"&amp;$F4565)</f>
        <v/>
      </c>
      <c r="P4565" s="94">
        <f>IF($A4565="",0,$H4565*설정!$C$23)</f>
        <v/>
      </c>
      <c r="Q4565" s="64">
        <f>IF($A4565="","",IF(O4565&lt;&gt;원인분석!$C$9,"",IF(AND(M4565&gt;=원인분석!$C$10,M4565&lt;=원인분석!$C$11),"당기",IF(AND(M4565&gt;=원인분석!$C$12,M4565&lt;=원인분석!$C$13),"비교",""))))</f>
        <v/>
      </c>
      <c r="R4565" s="9">
        <f>IF(Q4565="","",$K4565&amp;"")</f>
        <v/>
      </c>
      <c r="S4565" s="9">
        <f>IF(Q4565="","",IF(MATCH(R4565,$R$5:$R$100000,0)=ROW()-4,ROW(),""))</f>
        <v/>
      </c>
      <c r="T4565" s="9">
        <f>IF(Q4565="당기",ABS(P4565)+ROW()/1000000000,"")</f>
        <v/>
      </c>
      <c r="U4565" s="9">
        <f>IF(Q4565="비교",ABS(P4565)+ROW()/1000000000,"")</f>
        <v/>
      </c>
      <c r="V4565" s="64">
        <f>IF($A4565="","",IF(COUNTIF(변동분석!$E$7:$E$506,O4565)&gt;0,"Y","N"))</f>
        <v/>
      </c>
      <c r="W4565" s="64">
        <f>IF($A4565="","",IFERROR(INDEX(계정매핑!$D$5:$D$504,MATCH($F4565&amp;"",계정매핑!$A$5:$A$504,0)),"미매핑"))</f>
        <v/>
      </c>
      <c r="X4565" s="9">
        <f>IF($A4565="","",$F4565&amp;"")</f>
        <v/>
      </c>
      <c r="Y4565" s="94">
        <f>IF($A4565="",0,IF(AE4565="직접",IF(AF4565="비귀속",$P4565,0),$P4565*(1-AG4565)*IFERROR(INDEX(계정대체기준!$F$20:$F$49,MATCH($N4565,계정대체기준!$A$20:$A$49,0)),1)))</f>
        <v/>
      </c>
      <c r="Z4565" s="94">
        <f>IF($A4565="",0,IF(AE4565="직접",IF(AF4565="신계약비",$P4565,0),$P4565*(1-AG4565)*IFERROR(INDEX(계정대체기준!$C$20:$C$49,MATCH($N4565,계정대체기준!$A$20:$A$49,0)),0)))</f>
        <v/>
      </c>
      <c r="AA4565" s="94">
        <f>IF($A4565="",0,IF(AE4565="직접",IF(OR(AF4565="유지비",AF4565="손해조사비"),$P4565,0),$P4565*(1-AG4565)*IFERROR(INDEX(계정대체기준!$D$20:$D$49,MATCH($N4565,계정대체기준!$A$20:$A$49,0)),0)))</f>
        <v/>
      </c>
      <c r="AB4565" s="94">
        <f>IF($A4565="",0,IF(AE4565="직접",IF(AF4565="수금비",$P4565,0),$P4565*(1-AG4565)*IFERROR(INDEX(계정대체기준!$E$20:$E$49,MATCH($N4565,계정대체기준!$A$20:$A$49,0)),0)))</f>
        <v/>
      </c>
      <c r="AC4565" s="9">
        <f>IF(AND($A4565&lt;&gt;"",M4565=설정!$C$20,Z4565&gt;0),Z4565+ROW()/1000000000,"")</f>
        <v/>
      </c>
      <c r="AD4565" s="94">
        <f>IF($A4565="",0,$P4565*AG4565)</f>
        <v/>
      </c>
      <c r="AE4565" s="64">
        <f>IF($A4565="","",IFERROR(INDEX(계정매핑!$E$5:$E$504,MATCH($F4565&amp;"",계정매핑!$A$5:$A$504,0))&amp;"","공통비"))</f>
        <v/>
      </c>
      <c r="AF4565" s="64">
        <f>IF($A4565="","",IF(AE4565="직접",IFERROR(INDEX(계정매핑!$F$5:$F$504,MATCH($F4565&amp;"",계정매핑!$A$5:$A$504,0))&amp;"","비귀속"),""))</f>
        <v/>
      </c>
      <c r="AG4565" s="96">
        <f>IF($A4565="",0,IF(AND(AE4565&lt;&gt;"직접",IFERROR(INDEX(계정매핑!$G$5:$G$504,MATCH($F4565&amp;"",계정매핑!$A$5:$A$504,0))&amp;"","")="유지비",COUNTIF(계정대체기준!$A$6:$A$15,$N4565)&gt;0),IFERROR(INDEX(계정대체기준!$E$6:$E$15,MATCH(VALUE($A4565&amp;""),계정대체기준!$D$6:$D$15,0)),0),0))</f>
        <v/>
      </c>
      <c r="AH4565" s="64">
        <f>IF($A4565="","",IF(AD4565=0,"",IF(OR(COUNTIF(계정대체기준!$A$77:$A$86,$N4565)&gt;0,ISNUMBER(MATCH($X4565,계정대체기준!$D$77:$D$86,0)),ISNUMBER(MATCH($F4565,계정대체기준!$D$77:$D$86,0))),"Y","N")))</f>
        <v/>
      </c>
    </row>
    <row r="4566">
      <c r="A4566" s="92" t="n">
        <v>2026</v>
      </c>
      <c r="B4566" s="92" t="n">
        <v>9</v>
      </c>
      <c r="C4566" s="92" t="inlineStr">
        <is>
          <t>5100001844</t>
        </is>
      </c>
      <c r="D4566" s="95" t="n">
        <v>46268</v>
      </c>
      <c r="E4566" s="92" t="inlineStr">
        <is>
          <t>KR</t>
        </is>
      </c>
      <c r="F4566" s="92" t="n">
        <v>62102000</v>
      </c>
      <c r="G4566" s="92" t="n">
        <v>1502</v>
      </c>
      <c r="H4566" s="93" t="n">
        <v>89000</v>
      </c>
      <c r="I4566" s="92" t="inlineStr">
        <is>
          <t>9월 해외출장 - N호텔</t>
        </is>
      </c>
      <c r="J4566" s="92" t="inlineStr">
        <is>
          <t>V10009</t>
        </is>
      </c>
      <c r="K4566" s="92" t="inlineStr">
        <is>
          <t>N호텔</t>
        </is>
      </c>
      <c r="M4566" s="9">
        <f>IF($A4566="","",VALUE($A4566&amp;"")*12+VALUE($B4566&amp;""))</f>
        <v/>
      </c>
      <c r="N4566" s="64">
        <f>IF($A4566="","",IFERROR(INDEX(부서매핑!$C$5:$C$504,MATCH($G4566&amp;"",부서매핑!$A$5:$A$504,0)),"미매핑"))</f>
        <v/>
      </c>
      <c r="O4566" s="9">
        <f>IF($A4566="","",N4566&amp;"|"&amp;$F4566)</f>
        <v/>
      </c>
      <c r="P4566" s="94">
        <f>IF($A4566="",0,$H4566*설정!$C$23)</f>
        <v/>
      </c>
      <c r="Q4566" s="64">
        <f>IF($A4566="","",IF(O4566&lt;&gt;원인분석!$C$9,"",IF(AND(M4566&gt;=원인분석!$C$10,M4566&lt;=원인분석!$C$11),"당기",IF(AND(M4566&gt;=원인분석!$C$12,M4566&lt;=원인분석!$C$13),"비교",""))))</f>
        <v/>
      </c>
      <c r="R4566" s="9">
        <f>IF(Q4566="","",$K4566&amp;"")</f>
        <v/>
      </c>
      <c r="S4566" s="9">
        <f>IF(Q4566="","",IF(MATCH(R4566,$R$5:$R$100000,0)=ROW()-4,ROW(),""))</f>
        <v/>
      </c>
      <c r="T4566" s="9">
        <f>IF(Q4566="당기",ABS(P4566)+ROW()/1000000000,"")</f>
        <v/>
      </c>
      <c r="U4566" s="9">
        <f>IF(Q4566="비교",ABS(P4566)+ROW()/1000000000,"")</f>
        <v/>
      </c>
      <c r="V4566" s="64">
        <f>IF($A4566="","",IF(COUNTIF(변동분석!$E$7:$E$506,O4566)&gt;0,"Y","N"))</f>
        <v/>
      </c>
      <c r="W4566" s="64">
        <f>IF($A4566="","",IFERROR(INDEX(계정매핑!$D$5:$D$504,MATCH($F4566&amp;"",계정매핑!$A$5:$A$504,0)),"미매핑"))</f>
        <v/>
      </c>
      <c r="X4566" s="9">
        <f>IF($A4566="","",$F4566&amp;"")</f>
        <v/>
      </c>
      <c r="Y4566" s="94">
        <f>IF($A4566="",0,IF(AE4566="직접",IF(AF4566="비귀속",$P4566,0),$P4566*(1-AG4566)*IFERROR(INDEX(계정대체기준!$F$20:$F$49,MATCH($N4566,계정대체기준!$A$20:$A$49,0)),1)))</f>
        <v/>
      </c>
      <c r="Z4566" s="94">
        <f>IF($A4566="",0,IF(AE4566="직접",IF(AF4566="신계약비",$P4566,0),$P4566*(1-AG4566)*IFERROR(INDEX(계정대체기준!$C$20:$C$49,MATCH($N4566,계정대체기준!$A$20:$A$49,0)),0)))</f>
        <v/>
      </c>
      <c r="AA4566" s="94">
        <f>IF($A4566="",0,IF(AE4566="직접",IF(OR(AF4566="유지비",AF4566="손해조사비"),$P4566,0),$P4566*(1-AG4566)*IFERROR(INDEX(계정대체기준!$D$20:$D$49,MATCH($N4566,계정대체기준!$A$20:$A$49,0)),0)))</f>
        <v/>
      </c>
      <c r="AB4566" s="94">
        <f>IF($A4566="",0,IF(AE4566="직접",IF(AF4566="수금비",$P4566,0),$P4566*(1-AG4566)*IFERROR(INDEX(계정대체기준!$E$20:$E$49,MATCH($N4566,계정대체기준!$A$20:$A$49,0)),0)))</f>
        <v/>
      </c>
      <c r="AC4566" s="9">
        <f>IF(AND($A4566&lt;&gt;"",M4566=설정!$C$20,Z4566&gt;0),Z4566+ROW()/1000000000,"")</f>
        <v/>
      </c>
      <c r="AD4566" s="94">
        <f>IF($A4566="",0,$P4566*AG4566)</f>
        <v/>
      </c>
      <c r="AE4566" s="64">
        <f>IF($A4566="","",IFERROR(INDEX(계정매핑!$E$5:$E$504,MATCH($F4566&amp;"",계정매핑!$A$5:$A$504,0))&amp;"","공통비"))</f>
        <v/>
      </c>
      <c r="AF4566" s="64">
        <f>IF($A4566="","",IF(AE4566="직접",IFERROR(INDEX(계정매핑!$F$5:$F$504,MATCH($F4566&amp;"",계정매핑!$A$5:$A$504,0))&amp;"","비귀속"),""))</f>
        <v/>
      </c>
      <c r="AG4566" s="96">
        <f>IF($A4566="",0,IF(AND(AE4566&lt;&gt;"직접",IFERROR(INDEX(계정매핑!$G$5:$G$504,MATCH($F4566&amp;"",계정매핑!$A$5:$A$504,0))&amp;"","")="유지비",COUNTIF(계정대체기준!$A$6:$A$15,$N4566)&gt;0),IFERROR(INDEX(계정대체기준!$E$6:$E$15,MATCH(VALUE($A4566&amp;""),계정대체기준!$D$6:$D$15,0)),0),0))</f>
        <v/>
      </c>
      <c r="AH4566" s="64">
        <f>IF($A4566="","",IF(AD4566=0,"",IF(OR(COUNTIF(계정대체기준!$A$77:$A$86,$N4566)&gt;0,ISNUMBER(MATCH($X4566,계정대체기준!$D$77:$D$86,0)),ISNUMBER(MATCH($F4566,계정대체기준!$D$77:$D$86,0))),"Y","N")))</f>
        <v/>
      </c>
    </row>
    <row r="4567">
      <c r="A4567" s="92" t="n">
        <v>2026</v>
      </c>
      <c r="B4567" s="92" t="n">
        <v>9</v>
      </c>
      <c r="C4567" s="92" t="inlineStr">
        <is>
          <t>5100001845</t>
        </is>
      </c>
      <c r="D4567" s="95" t="n">
        <v>46268</v>
      </c>
      <c r="E4567" s="92" t="inlineStr">
        <is>
          <t>KR</t>
        </is>
      </c>
      <c r="F4567" s="92" t="n">
        <v>62201000</v>
      </c>
      <c r="G4567" s="92" t="n">
        <v>1101</v>
      </c>
      <c r="H4567" s="93" t="n">
        <v>215000</v>
      </c>
      <c r="I4567" s="92" t="inlineStr">
        <is>
          <t>9월 통신요금 - O텔레콤</t>
        </is>
      </c>
      <c r="J4567" s="92" t="inlineStr">
        <is>
          <t>V10002</t>
        </is>
      </c>
      <c r="K4567" s="92" t="inlineStr">
        <is>
          <t>O텔레콤</t>
        </is>
      </c>
      <c r="M4567" s="9">
        <f>IF($A4567="","",VALUE($A4567&amp;"")*12+VALUE($B4567&amp;""))</f>
        <v/>
      </c>
      <c r="N4567" s="64">
        <f>IF($A4567="","",IFERROR(INDEX(부서매핑!$C$5:$C$504,MATCH($G4567&amp;"",부서매핑!$A$5:$A$504,0)),"미매핑"))</f>
        <v/>
      </c>
      <c r="O4567" s="9">
        <f>IF($A4567="","",N4567&amp;"|"&amp;$F4567)</f>
        <v/>
      </c>
      <c r="P4567" s="94">
        <f>IF($A4567="",0,$H4567*설정!$C$23)</f>
        <v/>
      </c>
      <c r="Q4567" s="64">
        <f>IF($A4567="","",IF(O4567&lt;&gt;원인분석!$C$9,"",IF(AND(M4567&gt;=원인분석!$C$10,M4567&lt;=원인분석!$C$11),"당기",IF(AND(M4567&gt;=원인분석!$C$12,M4567&lt;=원인분석!$C$13),"비교",""))))</f>
        <v/>
      </c>
      <c r="R4567" s="9">
        <f>IF(Q4567="","",$K4567&amp;"")</f>
        <v/>
      </c>
      <c r="S4567" s="9">
        <f>IF(Q4567="","",IF(MATCH(R4567,$R$5:$R$100000,0)=ROW()-4,ROW(),""))</f>
        <v/>
      </c>
      <c r="T4567" s="9">
        <f>IF(Q4567="당기",ABS(P4567)+ROW()/1000000000,"")</f>
        <v/>
      </c>
      <c r="U4567" s="9">
        <f>IF(Q4567="비교",ABS(P4567)+ROW()/1000000000,"")</f>
        <v/>
      </c>
      <c r="V4567" s="64">
        <f>IF($A4567="","",IF(COUNTIF(변동분석!$E$7:$E$506,O4567)&gt;0,"Y","N"))</f>
        <v/>
      </c>
      <c r="W4567" s="64">
        <f>IF($A4567="","",IFERROR(INDEX(계정매핑!$D$5:$D$504,MATCH($F4567&amp;"",계정매핑!$A$5:$A$504,0)),"미매핑"))</f>
        <v/>
      </c>
      <c r="X4567" s="9">
        <f>IF($A4567="","",$F4567&amp;"")</f>
        <v/>
      </c>
      <c r="Y4567" s="94">
        <f>IF($A4567="",0,IF(AE4567="직접",IF(AF4567="비귀속",$P4567,0),$P4567*(1-AG4567)*IFERROR(INDEX(계정대체기준!$F$20:$F$49,MATCH($N4567,계정대체기준!$A$20:$A$49,0)),1)))</f>
        <v/>
      </c>
      <c r="Z4567" s="94">
        <f>IF($A4567="",0,IF(AE4567="직접",IF(AF4567="신계약비",$P4567,0),$P4567*(1-AG4567)*IFERROR(INDEX(계정대체기준!$C$20:$C$49,MATCH($N4567,계정대체기준!$A$20:$A$49,0)),0)))</f>
        <v/>
      </c>
      <c r="AA4567" s="94">
        <f>IF($A4567="",0,IF(AE4567="직접",IF(OR(AF4567="유지비",AF4567="손해조사비"),$P4567,0),$P4567*(1-AG4567)*IFERROR(INDEX(계정대체기준!$D$20:$D$49,MATCH($N4567,계정대체기준!$A$20:$A$49,0)),0)))</f>
        <v/>
      </c>
      <c r="AB4567" s="94">
        <f>IF($A4567="",0,IF(AE4567="직접",IF(AF4567="수금비",$P4567,0),$P4567*(1-AG4567)*IFERROR(INDEX(계정대체기준!$E$20:$E$49,MATCH($N4567,계정대체기준!$A$20:$A$49,0)),0)))</f>
        <v/>
      </c>
      <c r="AC4567" s="9">
        <f>IF(AND($A4567&lt;&gt;"",M4567=설정!$C$20,Z4567&gt;0),Z4567+ROW()/1000000000,"")</f>
        <v/>
      </c>
      <c r="AD4567" s="94">
        <f>IF($A4567="",0,$P4567*AG4567)</f>
        <v/>
      </c>
      <c r="AE4567" s="64">
        <f>IF($A4567="","",IFERROR(INDEX(계정매핑!$E$5:$E$504,MATCH($F4567&amp;"",계정매핑!$A$5:$A$504,0))&amp;"","공통비"))</f>
        <v/>
      </c>
      <c r="AF4567" s="64">
        <f>IF($A4567="","",IF(AE4567="직접",IFERROR(INDEX(계정매핑!$F$5:$F$504,MATCH($F4567&amp;"",계정매핑!$A$5:$A$504,0))&amp;"","비귀속"),""))</f>
        <v/>
      </c>
      <c r="AG4567" s="96">
        <f>IF($A4567="",0,IF(AND(AE4567&lt;&gt;"직접",IFERROR(INDEX(계정매핑!$G$5:$G$504,MATCH($F4567&amp;"",계정매핑!$A$5:$A$504,0))&amp;"","")="유지비",COUNTIF(계정대체기준!$A$6:$A$15,$N4567)&gt;0),IFERROR(INDEX(계정대체기준!$E$6:$E$15,MATCH(VALUE($A4567&amp;""),계정대체기준!$D$6:$D$15,0)),0),0))</f>
        <v/>
      </c>
      <c r="AH4567" s="64">
        <f>IF($A4567="","",IF(AD4567=0,"",IF(OR(COUNTIF(계정대체기준!$A$77:$A$86,$N4567)&gt;0,ISNUMBER(MATCH($X4567,계정대체기준!$D$77:$D$86,0)),ISNUMBER(MATCH($F4567,계정대체기준!$D$77:$D$86,0))),"Y","N")))</f>
        <v/>
      </c>
    </row>
    <row r="4568">
      <c r="A4568" s="92" t="n">
        <v>2026</v>
      </c>
      <c r="B4568" s="92" t="n">
        <v>9</v>
      </c>
      <c r="C4568" s="92" t="inlineStr">
        <is>
          <t>5100001846</t>
        </is>
      </c>
      <c r="D4568" s="95" t="n">
        <v>46268</v>
      </c>
      <c r="E4568" s="92" t="inlineStr">
        <is>
          <t>KR</t>
        </is>
      </c>
      <c r="F4568" s="92" t="n">
        <v>62201000</v>
      </c>
      <c r="G4568" s="92" t="n">
        <v>1301</v>
      </c>
      <c r="H4568" s="93" t="n">
        <v>188000</v>
      </c>
      <c r="I4568" s="92" t="inlineStr">
        <is>
          <t>9월 통신요금 - O텔레콤</t>
        </is>
      </c>
      <c r="J4568" s="92" t="inlineStr">
        <is>
          <t>V10002</t>
        </is>
      </c>
      <c r="K4568" s="92" t="inlineStr">
        <is>
          <t>O텔레콤</t>
        </is>
      </c>
      <c r="M4568" s="9">
        <f>IF($A4568="","",VALUE($A4568&amp;"")*12+VALUE($B4568&amp;""))</f>
        <v/>
      </c>
      <c r="N4568" s="64">
        <f>IF($A4568="","",IFERROR(INDEX(부서매핑!$C$5:$C$504,MATCH($G4568&amp;"",부서매핑!$A$5:$A$504,0)),"미매핑"))</f>
        <v/>
      </c>
      <c r="O4568" s="9">
        <f>IF($A4568="","",N4568&amp;"|"&amp;$F4568)</f>
        <v/>
      </c>
      <c r="P4568" s="94">
        <f>IF($A4568="",0,$H4568*설정!$C$23)</f>
        <v/>
      </c>
      <c r="Q4568" s="64">
        <f>IF($A4568="","",IF(O4568&lt;&gt;원인분석!$C$9,"",IF(AND(M4568&gt;=원인분석!$C$10,M4568&lt;=원인분석!$C$11),"당기",IF(AND(M4568&gt;=원인분석!$C$12,M4568&lt;=원인분석!$C$13),"비교",""))))</f>
        <v/>
      </c>
      <c r="R4568" s="9">
        <f>IF(Q4568="","",$K4568&amp;"")</f>
        <v/>
      </c>
      <c r="S4568" s="9">
        <f>IF(Q4568="","",IF(MATCH(R4568,$R$5:$R$100000,0)=ROW()-4,ROW(),""))</f>
        <v/>
      </c>
      <c r="T4568" s="9">
        <f>IF(Q4568="당기",ABS(P4568)+ROW()/1000000000,"")</f>
        <v/>
      </c>
      <c r="U4568" s="9">
        <f>IF(Q4568="비교",ABS(P4568)+ROW()/1000000000,"")</f>
        <v/>
      </c>
      <c r="V4568" s="64">
        <f>IF($A4568="","",IF(COUNTIF(변동분석!$E$7:$E$506,O4568)&gt;0,"Y","N"))</f>
        <v/>
      </c>
      <c r="W4568" s="64">
        <f>IF($A4568="","",IFERROR(INDEX(계정매핑!$D$5:$D$504,MATCH($F4568&amp;"",계정매핑!$A$5:$A$504,0)),"미매핑"))</f>
        <v/>
      </c>
      <c r="X4568" s="9">
        <f>IF($A4568="","",$F4568&amp;"")</f>
        <v/>
      </c>
      <c r="Y4568" s="94">
        <f>IF($A4568="",0,IF(AE4568="직접",IF(AF4568="비귀속",$P4568,0),$P4568*(1-AG4568)*IFERROR(INDEX(계정대체기준!$F$20:$F$49,MATCH($N4568,계정대체기준!$A$20:$A$49,0)),1)))</f>
        <v/>
      </c>
      <c r="Z4568" s="94">
        <f>IF($A4568="",0,IF(AE4568="직접",IF(AF4568="신계약비",$P4568,0),$P4568*(1-AG4568)*IFERROR(INDEX(계정대체기준!$C$20:$C$49,MATCH($N4568,계정대체기준!$A$20:$A$49,0)),0)))</f>
        <v/>
      </c>
      <c r="AA4568" s="94">
        <f>IF($A4568="",0,IF(AE4568="직접",IF(OR(AF4568="유지비",AF4568="손해조사비"),$P4568,0),$P4568*(1-AG4568)*IFERROR(INDEX(계정대체기준!$D$20:$D$49,MATCH($N4568,계정대체기준!$A$20:$A$49,0)),0)))</f>
        <v/>
      </c>
      <c r="AB4568" s="94">
        <f>IF($A4568="",0,IF(AE4568="직접",IF(AF4568="수금비",$P4568,0),$P4568*(1-AG4568)*IFERROR(INDEX(계정대체기준!$E$20:$E$49,MATCH($N4568,계정대체기준!$A$20:$A$49,0)),0)))</f>
        <v/>
      </c>
      <c r="AC4568" s="9">
        <f>IF(AND($A4568&lt;&gt;"",M4568=설정!$C$20,Z4568&gt;0),Z4568+ROW()/1000000000,"")</f>
        <v/>
      </c>
      <c r="AD4568" s="94">
        <f>IF($A4568="",0,$P4568*AG4568)</f>
        <v/>
      </c>
      <c r="AE4568" s="64">
        <f>IF($A4568="","",IFERROR(INDEX(계정매핑!$E$5:$E$504,MATCH($F4568&amp;"",계정매핑!$A$5:$A$504,0))&amp;"","공통비"))</f>
        <v/>
      </c>
      <c r="AF4568" s="64">
        <f>IF($A4568="","",IF(AE4568="직접",IFERROR(INDEX(계정매핑!$F$5:$F$504,MATCH($F4568&amp;"",계정매핑!$A$5:$A$504,0))&amp;"","비귀속"),""))</f>
        <v/>
      </c>
      <c r="AG4568" s="96">
        <f>IF($A4568="",0,IF(AND(AE4568&lt;&gt;"직접",IFERROR(INDEX(계정매핑!$G$5:$G$504,MATCH($F4568&amp;"",계정매핑!$A$5:$A$504,0))&amp;"","")="유지비",COUNTIF(계정대체기준!$A$6:$A$15,$N4568)&gt;0),IFERROR(INDEX(계정대체기준!$E$6:$E$15,MATCH(VALUE($A4568&amp;""),계정대체기준!$D$6:$D$15,0)),0),0))</f>
        <v/>
      </c>
      <c r="AH4568" s="64">
        <f>IF($A4568="","",IF(AD4568=0,"",IF(OR(COUNTIF(계정대체기준!$A$77:$A$86,$N4568)&gt;0,ISNUMBER(MATCH($X4568,계정대체기준!$D$77:$D$86,0)),ISNUMBER(MATCH($F4568,계정대체기준!$D$77:$D$86,0))),"Y","N")))</f>
        <v/>
      </c>
    </row>
    <row r="4569">
      <c r="A4569" s="92" t="n">
        <v>2026</v>
      </c>
      <c r="B4569" s="92" t="n">
        <v>9</v>
      </c>
      <c r="C4569" s="92" t="inlineStr">
        <is>
          <t>5100001847</t>
        </is>
      </c>
      <c r="D4569" s="95" t="n">
        <v>46268</v>
      </c>
      <c r="E4569" s="92" t="inlineStr">
        <is>
          <t>KR</t>
        </is>
      </c>
      <c r="F4569" s="92" t="n">
        <v>62301000</v>
      </c>
      <c r="G4569" s="92" t="n">
        <v>1602</v>
      </c>
      <c r="H4569" s="93" t="n">
        <v>377000</v>
      </c>
      <c r="I4569" s="92" t="inlineStr">
        <is>
          <t>9월 소모품 구입 - Q오피스</t>
        </is>
      </c>
      <c r="J4569" s="92" t="inlineStr">
        <is>
          <t>V10003</t>
        </is>
      </c>
      <c r="K4569" s="92" t="inlineStr">
        <is>
          <t>Q오피스</t>
        </is>
      </c>
      <c r="M4569" s="9">
        <f>IF($A4569="","",VALUE($A4569&amp;"")*12+VALUE($B4569&amp;""))</f>
        <v/>
      </c>
      <c r="N4569" s="64">
        <f>IF($A4569="","",IFERROR(INDEX(부서매핑!$C$5:$C$504,MATCH($G4569&amp;"",부서매핑!$A$5:$A$504,0)),"미매핑"))</f>
        <v/>
      </c>
      <c r="O4569" s="9">
        <f>IF($A4569="","",N4569&amp;"|"&amp;$F4569)</f>
        <v/>
      </c>
      <c r="P4569" s="94">
        <f>IF($A4569="",0,$H4569*설정!$C$23)</f>
        <v/>
      </c>
      <c r="Q4569" s="64">
        <f>IF($A4569="","",IF(O4569&lt;&gt;원인분석!$C$9,"",IF(AND(M4569&gt;=원인분석!$C$10,M4569&lt;=원인분석!$C$11),"당기",IF(AND(M4569&gt;=원인분석!$C$12,M4569&lt;=원인분석!$C$13),"비교",""))))</f>
        <v/>
      </c>
      <c r="R4569" s="9">
        <f>IF(Q4569="","",$K4569&amp;"")</f>
        <v/>
      </c>
      <c r="S4569" s="9">
        <f>IF(Q4569="","",IF(MATCH(R4569,$R$5:$R$100000,0)=ROW()-4,ROW(),""))</f>
        <v/>
      </c>
      <c r="T4569" s="9">
        <f>IF(Q4569="당기",ABS(P4569)+ROW()/1000000000,"")</f>
        <v/>
      </c>
      <c r="U4569" s="9">
        <f>IF(Q4569="비교",ABS(P4569)+ROW()/1000000000,"")</f>
        <v/>
      </c>
      <c r="V4569" s="64">
        <f>IF($A4569="","",IF(COUNTIF(변동분석!$E$7:$E$506,O4569)&gt;0,"Y","N"))</f>
        <v/>
      </c>
      <c r="W4569" s="64">
        <f>IF($A4569="","",IFERROR(INDEX(계정매핑!$D$5:$D$504,MATCH($F4569&amp;"",계정매핑!$A$5:$A$504,0)),"미매핑"))</f>
        <v/>
      </c>
      <c r="X4569" s="9">
        <f>IF($A4569="","",$F4569&amp;"")</f>
        <v/>
      </c>
      <c r="Y4569" s="94">
        <f>IF($A4569="",0,IF(AE4569="직접",IF(AF4569="비귀속",$P4569,0),$P4569*(1-AG4569)*IFERROR(INDEX(계정대체기준!$F$20:$F$49,MATCH($N4569,계정대체기준!$A$20:$A$49,0)),1)))</f>
        <v/>
      </c>
      <c r="Z4569" s="94">
        <f>IF($A4569="",0,IF(AE4569="직접",IF(AF4569="신계약비",$P4569,0),$P4569*(1-AG4569)*IFERROR(INDEX(계정대체기준!$C$20:$C$49,MATCH($N4569,계정대체기준!$A$20:$A$49,0)),0)))</f>
        <v/>
      </c>
      <c r="AA4569" s="94">
        <f>IF($A4569="",0,IF(AE4569="직접",IF(OR(AF4569="유지비",AF4569="손해조사비"),$P4569,0),$P4569*(1-AG4569)*IFERROR(INDEX(계정대체기준!$D$20:$D$49,MATCH($N4569,계정대체기준!$A$20:$A$49,0)),0)))</f>
        <v/>
      </c>
      <c r="AB4569" s="94">
        <f>IF($A4569="",0,IF(AE4569="직접",IF(AF4569="수금비",$P4569,0),$P4569*(1-AG4569)*IFERROR(INDEX(계정대체기준!$E$20:$E$49,MATCH($N4569,계정대체기준!$A$20:$A$49,0)),0)))</f>
        <v/>
      </c>
      <c r="AC4569" s="9">
        <f>IF(AND($A4569&lt;&gt;"",M4569=설정!$C$20,Z4569&gt;0),Z4569+ROW()/1000000000,"")</f>
        <v/>
      </c>
      <c r="AD4569" s="94">
        <f>IF($A4569="",0,$P4569*AG4569)</f>
        <v/>
      </c>
      <c r="AE4569" s="64">
        <f>IF($A4569="","",IFERROR(INDEX(계정매핑!$E$5:$E$504,MATCH($F4569&amp;"",계정매핑!$A$5:$A$504,0))&amp;"","공통비"))</f>
        <v/>
      </c>
      <c r="AF4569" s="64">
        <f>IF($A4569="","",IF(AE4569="직접",IFERROR(INDEX(계정매핑!$F$5:$F$504,MATCH($F4569&amp;"",계정매핑!$A$5:$A$504,0))&amp;"","비귀속"),""))</f>
        <v/>
      </c>
      <c r="AG4569" s="96">
        <f>IF($A4569="",0,IF(AND(AE4569&lt;&gt;"직접",IFERROR(INDEX(계정매핑!$G$5:$G$504,MATCH($F4569&amp;"",계정매핑!$A$5:$A$504,0))&amp;"","")="유지비",COUNTIF(계정대체기준!$A$6:$A$15,$N4569)&gt;0),IFERROR(INDEX(계정대체기준!$E$6:$E$15,MATCH(VALUE($A4569&amp;""),계정대체기준!$D$6:$D$15,0)),0),0))</f>
        <v/>
      </c>
      <c r="AH4569" s="64">
        <f>IF($A4569="","",IF(AD4569=0,"",IF(OR(COUNTIF(계정대체기준!$A$77:$A$86,$N4569)&gt;0,ISNUMBER(MATCH($X4569,계정대체기준!$D$77:$D$86,0)),ISNUMBER(MATCH($F4569,계정대체기준!$D$77:$D$86,0))),"Y","N")))</f>
        <v/>
      </c>
    </row>
    <row r="4570">
      <c r="A4570" s="92" t="n">
        <v>2026</v>
      </c>
      <c r="B4570" s="92" t="n">
        <v>9</v>
      </c>
      <c r="C4570" s="92" t="inlineStr">
        <is>
          <t>5100001848</t>
        </is>
      </c>
      <c r="D4570" s="95" t="n">
        <v>46268</v>
      </c>
      <c r="E4570" s="92" t="inlineStr">
        <is>
          <t>KR</t>
        </is>
      </c>
      <c r="F4570" s="92" t="n">
        <v>62501000</v>
      </c>
      <c r="G4570" s="92" t="n">
        <v>1301</v>
      </c>
      <c r="H4570" s="93" t="n">
        <v>166000</v>
      </c>
      <c r="I4570" s="92" t="inlineStr">
        <is>
          <t>9월 회의 다과 - (법인카드)</t>
        </is>
      </c>
      <c r="J4570" s="92" t="inlineStr">
        <is>
          <t>V10010</t>
        </is>
      </c>
      <c r="K4570" s="92" t="inlineStr">
        <is>
          <t>(법인카드)</t>
        </is>
      </c>
      <c r="M4570" s="9">
        <f>IF($A4570="","",VALUE($A4570&amp;"")*12+VALUE($B4570&amp;""))</f>
        <v/>
      </c>
      <c r="N4570" s="64">
        <f>IF($A4570="","",IFERROR(INDEX(부서매핑!$C$5:$C$504,MATCH($G4570&amp;"",부서매핑!$A$5:$A$504,0)),"미매핑"))</f>
        <v/>
      </c>
      <c r="O4570" s="9">
        <f>IF($A4570="","",N4570&amp;"|"&amp;$F4570)</f>
        <v/>
      </c>
      <c r="P4570" s="94">
        <f>IF($A4570="",0,$H4570*설정!$C$23)</f>
        <v/>
      </c>
      <c r="Q4570" s="64">
        <f>IF($A4570="","",IF(O4570&lt;&gt;원인분석!$C$9,"",IF(AND(M4570&gt;=원인분석!$C$10,M4570&lt;=원인분석!$C$11),"당기",IF(AND(M4570&gt;=원인분석!$C$12,M4570&lt;=원인분석!$C$13),"비교",""))))</f>
        <v/>
      </c>
      <c r="R4570" s="9">
        <f>IF(Q4570="","",$K4570&amp;"")</f>
        <v/>
      </c>
      <c r="S4570" s="9">
        <f>IF(Q4570="","",IF(MATCH(R4570,$R$5:$R$100000,0)=ROW()-4,ROW(),""))</f>
        <v/>
      </c>
      <c r="T4570" s="9">
        <f>IF(Q4570="당기",ABS(P4570)+ROW()/1000000000,"")</f>
        <v/>
      </c>
      <c r="U4570" s="9">
        <f>IF(Q4570="비교",ABS(P4570)+ROW()/1000000000,"")</f>
        <v/>
      </c>
      <c r="V4570" s="64">
        <f>IF($A4570="","",IF(COUNTIF(변동분석!$E$7:$E$506,O4570)&gt;0,"Y","N"))</f>
        <v/>
      </c>
      <c r="W4570" s="64">
        <f>IF($A4570="","",IFERROR(INDEX(계정매핑!$D$5:$D$504,MATCH($F4570&amp;"",계정매핑!$A$5:$A$504,0)),"미매핑"))</f>
        <v/>
      </c>
      <c r="X4570" s="9">
        <f>IF($A4570="","",$F4570&amp;"")</f>
        <v/>
      </c>
      <c r="Y4570" s="94">
        <f>IF($A4570="",0,IF(AE4570="직접",IF(AF4570="비귀속",$P4570,0),$P4570*(1-AG4570)*IFERROR(INDEX(계정대체기준!$F$20:$F$49,MATCH($N4570,계정대체기준!$A$20:$A$49,0)),1)))</f>
        <v/>
      </c>
      <c r="Z4570" s="94">
        <f>IF($A4570="",0,IF(AE4570="직접",IF(AF4570="신계약비",$P4570,0),$P4570*(1-AG4570)*IFERROR(INDEX(계정대체기준!$C$20:$C$49,MATCH($N4570,계정대체기준!$A$20:$A$49,0)),0)))</f>
        <v/>
      </c>
      <c r="AA4570" s="94">
        <f>IF($A4570="",0,IF(AE4570="직접",IF(OR(AF4570="유지비",AF4570="손해조사비"),$P4570,0),$P4570*(1-AG4570)*IFERROR(INDEX(계정대체기준!$D$20:$D$49,MATCH($N4570,계정대체기준!$A$20:$A$49,0)),0)))</f>
        <v/>
      </c>
      <c r="AB4570" s="94">
        <f>IF($A4570="",0,IF(AE4570="직접",IF(AF4570="수금비",$P4570,0),$P4570*(1-AG4570)*IFERROR(INDEX(계정대체기준!$E$20:$E$49,MATCH($N4570,계정대체기준!$A$20:$A$49,0)),0)))</f>
        <v/>
      </c>
      <c r="AC4570" s="9">
        <f>IF(AND($A4570&lt;&gt;"",M4570=설정!$C$20,Z4570&gt;0),Z4570+ROW()/1000000000,"")</f>
        <v/>
      </c>
      <c r="AD4570" s="94">
        <f>IF($A4570="",0,$P4570*AG4570)</f>
        <v/>
      </c>
      <c r="AE4570" s="64">
        <f>IF($A4570="","",IFERROR(INDEX(계정매핑!$E$5:$E$504,MATCH($F4570&amp;"",계정매핑!$A$5:$A$504,0))&amp;"","공통비"))</f>
        <v/>
      </c>
      <c r="AF4570" s="64">
        <f>IF($A4570="","",IF(AE4570="직접",IFERROR(INDEX(계정매핑!$F$5:$F$504,MATCH($F4570&amp;"",계정매핑!$A$5:$A$504,0))&amp;"","비귀속"),""))</f>
        <v/>
      </c>
      <c r="AG4570" s="96">
        <f>IF($A4570="",0,IF(AND(AE4570&lt;&gt;"직접",IFERROR(INDEX(계정매핑!$G$5:$G$504,MATCH($F4570&amp;"",계정매핑!$A$5:$A$504,0))&amp;"","")="유지비",COUNTIF(계정대체기준!$A$6:$A$15,$N4570)&gt;0),IFERROR(INDEX(계정대체기준!$E$6:$E$15,MATCH(VALUE($A4570&amp;""),계정대체기준!$D$6:$D$15,0)),0),0))</f>
        <v/>
      </c>
      <c r="AH4570" s="64">
        <f>IF($A4570="","",IF(AD4570=0,"",IF(OR(COUNTIF(계정대체기준!$A$77:$A$86,$N4570)&gt;0,ISNUMBER(MATCH($X4570,계정대체기준!$D$77:$D$86,0)),ISNUMBER(MATCH($F4570,계정대체기준!$D$77:$D$86,0))),"Y","N")))</f>
        <v/>
      </c>
    </row>
    <row r="4571">
      <c r="A4571" s="92" t="n">
        <v>2026</v>
      </c>
      <c r="B4571" s="92" t="n">
        <v>9</v>
      </c>
      <c r="C4571" s="92" t="inlineStr">
        <is>
          <t>5100001849</t>
        </is>
      </c>
      <c r="D4571" s="95" t="n">
        <v>46268</v>
      </c>
      <c r="E4571" s="92" t="inlineStr">
        <is>
          <t>KR</t>
        </is>
      </c>
      <c r="F4571" s="92" t="n">
        <v>62501000</v>
      </c>
      <c r="G4571" s="92" t="n">
        <v>1701</v>
      </c>
      <c r="H4571" s="93" t="n">
        <v>107000</v>
      </c>
      <c r="I4571" s="92" t="inlineStr">
        <is>
          <t>9월 회의 다과 - T케이터링</t>
        </is>
      </c>
      <c r="J4571" s="92" t="inlineStr">
        <is>
          <t>V10005</t>
        </is>
      </c>
      <c r="K4571" s="92" t="inlineStr">
        <is>
          <t>T케이터링</t>
        </is>
      </c>
      <c r="M4571" s="9">
        <f>IF($A4571="","",VALUE($A4571&amp;"")*12+VALUE($B4571&amp;""))</f>
        <v/>
      </c>
      <c r="N4571" s="64">
        <f>IF($A4571="","",IFERROR(INDEX(부서매핑!$C$5:$C$504,MATCH($G4571&amp;"",부서매핑!$A$5:$A$504,0)),"미매핑"))</f>
        <v/>
      </c>
      <c r="O4571" s="9">
        <f>IF($A4571="","",N4571&amp;"|"&amp;$F4571)</f>
        <v/>
      </c>
      <c r="P4571" s="94">
        <f>IF($A4571="",0,$H4571*설정!$C$23)</f>
        <v/>
      </c>
      <c r="Q4571" s="64">
        <f>IF($A4571="","",IF(O4571&lt;&gt;원인분석!$C$9,"",IF(AND(M4571&gt;=원인분석!$C$10,M4571&lt;=원인분석!$C$11),"당기",IF(AND(M4571&gt;=원인분석!$C$12,M4571&lt;=원인분석!$C$13),"비교",""))))</f>
        <v/>
      </c>
      <c r="R4571" s="9">
        <f>IF(Q4571="","",$K4571&amp;"")</f>
        <v/>
      </c>
      <c r="S4571" s="9">
        <f>IF(Q4571="","",IF(MATCH(R4571,$R$5:$R$100000,0)=ROW()-4,ROW(),""))</f>
        <v/>
      </c>
      <c r="T4571" s="9">
        <f>IF(Q4571="당기",ABS(P4571)+ROW()/1000000000,"")</f>
        <v/>
      </c>
      <c r="U4571" s="9">
        <f>IF(Q4571="비교",ABS(P4571)+ROW()/1000000000,"")</f>
        <v/>
      </c>
      <c r="V4571" s="64">
        <f>IF($A4571="","",IF(COUNTIF(변동분석!$E$7:$E$506,O4571)&gt;0,"Y","N"))</f>
        <v/>
      </c>
      <c r="W4571" s="64">
        <f>IF($A4571="","",IFERROR(INDEX(계정매핑!$D$5:$D$504,MATCH($F4571&amp;"",계정매핑!$A$5:$A$504,0)),"미매핑"))</f>
        <v/>
      </c>
      <c r="X4571" s="9">
        <f>IF($A4571="","",$F4571&amp;"")</f>
        <v/>
      </c>
      <c r="Y4571" s="94">
        <f>IF($A4571="",0,IF(AE4571="직접",IF(AF4571="비귀속",$P4571,0),$P4571*(1-AG4571)*IFERROR(INDEX(계정대체기준!$F$20:$F$49,MATCH($N4571,계정대체기준!$A$20:$A$49,0)),1)))</f>
        <v/>
      </c>
      <c r="Z4571" s="94">
        <f>IF($A4571="",0,IF(AE4571="직접",IF(AF4571="신계약비",$P4571,0),$P4571*(1-AG4571)*IFERROR(INDEX(계정대체기준!$C$20:$C$49,MATCH($N4571,계정대체기준!$A$20:$A$49,0)),0)))</f>
        <v/>
      </c>
      <c r="AA4571" s="94">
        <f>IF($A4571="",0,IF(AE4571="직접",IF(OR(AF4571="유지비",AF4571="손해조사비"),$P4571,0),$P4571*(1-AG4571)*IFERROR(INDEX(계정대체기준!$D$20:$D$49,MATCH($N4571,계정대체기준!$A$20:$A$49,0)),0)))</f>
        <v/>
      </c>
      <c r="AB4571" s="94">
        <f>IF($A4571="",0,IF(AE4571="직접",IF(AF4571="수금비",$P4571,0),$P4571*(1-AG4571)*IFERROR(INDEX(계정대체기준!$E$20:$E$49,MATCH($N4571,계정대체기준!$A$20:$A$49,0)),0)))</f>
        <v/>
      </c>
      <c r="AC4571" s="9">
        <f>IF(AND($A4571&lt;&gt;"",M4571=설정!$C$20,Z4571&gt;0),Z4571+ROW()/1000000000,"")</f>
        <v/>
      </c>
      <c r="AD4571" s="94">
        <f>IF($A4571="",0,$P4571*AG4571)</f>
        <v/>
      </c>
      <c r="AE4571" s="64">
        <f>IF($A4571="","",IFERROR(INDEX(계정매핑!$E$5:$E$504,MATCH($F4571&amp;"",계정매핑!$A$5:$A$504,0))&amp;"","공통비"))</f>
        <v/>
      </c>
      <c r="AF4571" s="64">
        <f>IF($A4571="","",IF(AE4571="직접",IFERROR(INDEX(계정매핑!$F$5:$F$504,MATCH($F4571&amp;"",계정매핑!$A$5:$A$504,0))&amp;"","비귀속"),""))</f>
        <v/>
      </c>
      <c r="AG4571" s="96">
        <f>IF($A4571="",0,IF(AND(AE4571&lt;&gt;"직접",IFERROR(INDEX(계정매핑!$G$5:$G$504,MATCH($F4571&amp;"",계정매핑!$A$5:$A$504,0))&amp;"","")="유지비",COUNTIF(계정대체기준!$A$6:$A$15,$N4571)&gt;0),IFERROR(INDEX(계정대체기준!$E$6:$E$15,MATCH(VALUE($A4571&amp;""),계정대체기준!$D$6:$D$15,0)),0),0))</f>
        <v/>
      </c>
      <c r="AH4571" s="64">
        <f>IF($A4571="","",IF(AD4571=0,"",IF(OR(COUNTIF(계정대체기준!$A$77:$A$86,$N4571)&gt;0,ISNUMBER(MATCH($X4571,계정대체기준!$D$77:$D$86,0)),ISNUMBER(MATCH($F4571,계정대체기준!$D$77:$D$86,0))),"Y","N")))</f>
        <v/>
      </c>
    </row>
    <row r="4572">
      <c r="A4572" s="92" t="n">
        <v>2026</v>
      </c>
      <c r="B4572" s="92" t="n">
        <v>9</v>
      </c>
      <c r="C4572" s="92" t="inlineStr">
        <is>
          <t>5100001850</t>
        </is>
      </c>
      <c r="D4572" s="95" t="n">
        <v>46268</v>
      </c>
      <c r="E4572" s="92" t="inlineStr">
        <is>
          <t>KR</t>
        </is>
      </c>
      <c r="F4572" s="92" t="n">
        <v>62501000</v>
      </c>
      <c r="G4572" s="92" t="n">
        <v>1801</v>
      </c>
      <c r="H4572" s="93" t="n">
        <v>195000</v>
      </c>
      <c r="I4572" s="92" t="inlineStr">
        <is>
          <t>9월 회의 다과 - (법인카드)</t>
        </is>
      </c>
      <c r="J4572" s="92" t="inlineStr">
        <is>
          <t>V10010</t>
        </is>
      </c>
      <c r="K4572" s="92" t="inlineStr">
        <is>
          <t>(법인카드)</t>
        </is>
      </c>
      <c r="M4572" s="9">
        <f>IF($A4572="","",VALUE($A4572&amp;"")*12+VALUE($B4572&amp;""))</f>
        <v/>
      </c>
      <c r="N4572" s="64">
        <f>IF($A4572="","",IFERROR(INDEX(부서매핑!$C$5:$C$504,MATCH($G4572&amp;"",부서매핑!$A$5:$A$504,0)),"미매핑"))</f>
        <v/>
      </c>
      <c r="O4572" s="9">
        <f>IF($A4572="","",N4572&amp;"|"&amp;$F4572)</f>
        <v/>
      </c>
      <c r="P4572" s="94">
        <f>IF($A4572="",0,$H4572*설정!$C$23)</f>
        <v/>
      </c>
      <c r="Q4572" s="64">
        <f>IF($A4572="","",IF(O4572&lt;&gt;원인분석!$C$9,"",IF(AND(M4572&gt;=원인분석!$C$10,M4572&lt;=원인분석!$C$11),"당기",IF(AND(M4572&gt;=원인분석!$C$12,M4572&lt;=원인분석!$C$13),"비교",""))))</f>
        <v/>
      </c>
      <c r="R4572" s="9">
        <f>IF(Q4572="","",$K4572&amp;"")</f>
        <v/>
      </c>
      <c r="S4572" s="9">
        <f>IF(Q4572="","",IF(MATCH(R4572,$R$5:$R$100000,0)=ROW()-4,ROW(),""))</f>
        <v/>
      </c>
      <c r="T4572" s="9">
        <f>IF(Q4572="당기",ABS(P4572)+ROW()/1000000000,"")</f>
        <v/>
      </c>
      <c r="U4572" s="9">
        <f>IF(Q4572="비교",ABS(P4572)+ROW()/1000000000,"")</f>
        <v/>
      </c>
      <c r="V4572" s="64">
        <f>IF($A4572="","",IF(COUNTIF(변동분석!$E$7:$E$506,O4572)&gt;0,"Y","N"))</f>
        <v/>
      </c>
      <c r="W4572" s="64">
        <f>IF($A4572="","",IFERROR(INDEX(계정매핑!$D$5:$D$504,MATCH($F4572&amp;"",계정매핑!$A$5:$A$504,0)),"미매핑"))</f>
        <v/>
      </c>
      <c r="X4572" s="9">
        <f>IF($A4572="","",$F4572&amp;"")</f>
        <v/>
      </c>
      <c r="Y4572" s="94">
        <f>IF($A4572="",0,IF(AE4572="직접",IF(AF4572="비귀속",$P4572,0),$P4572*(1-AG4572)*IFERROR(INDEX(계정대체기준!$F$20:$F$49,MATCH($N4572,계정대체기준!$A$20:$A$49,0)),1)))</f>
        <v/>
      </c>
      <c r="Z4572" s="94">
        <f>IF($A4572="",0,IF(AE4572="직접",IF(AF4572="신계약비",$P4572,0),$P4572*(1-AG4572)*IFERROR(INDEX(계정대체기준!$C$20:$C$49,MATCH($N4572,계정대체기준!$A$20:$A$49,0)),0)))</f>
        <v/>
      </c>
      <c r="AA4572" s="94">
        <f>IF($A4572="",0,IF(AE4572="직접",IF(OR(AF4572="유지비",AF4572="손해조사비"),$P4572,0),$P4572*(1-AG4572)*IFERROR(INDEX(계정대체기준!$D$20:$D$49,MATCH($N4572,계정대체기준!$A$20:$A$49,0)),0)))</f>
        <v/>
      </c>
      <c r="AB4572" s="94">
        <f>IF($A4572="",0,IF(AE4572="직접",IF(AF4572="수금비",$P4572,0),$P4572*(1-AG4572)*IFERROR(INDEX(계정대체기준!$E$20:$E$49,MATCH($N4572,계정대체기준!$A$20:$A$49,0)),0)))</f>
        <v/>
      </c>
      <c r="AC4572" s="9">
        <f>IF(AND($A4572&lt;&gt;"",M4572=설정!$C$20,Z4572&gt;0),Z4572+ROW()/1000000000,"")</f>
        <v/>
      </c>
      <c r="AD4572" s="94">
        <f>IF($A4572="",0,$P4572*AG4572)</f>
        <v/>
      </c>
      <c r="AE4572" s="64">
        <f>IF($A4572="","",IFERROR(INDEX(계정매핑!$E$5:$E$504,MATCH($F4572&amp;"",계정매핑!$A$5:$A$504,0))&amp;"","공통비"))</f>
        <v/>
      </c>
      <c r="AF4572" s="64">
        <f>IF($A4572="","",IF(AE4572="직접",IFERROR(INDEX(계정매핑!$F$5:$F$504,MATCH($F4572&amp;"",계정매핑!$A$5:$A$504,0))&amp;"","비귀속"),""))</f>
        <v/>
      </c>
      <c r="AG4572" s="96">
        <f>IF($A4572="",0,IF(AND(AE4572&lt;&gt;"직접",IFERROR(INDEX(계정매핑!$G$5:$G$504,MATCH($F4572&amp;"",계정매핑!$A$5:$A$504,0))&amp;"","")="유지비",COUNTIF(계정대체기준!$A$6:$A$15,$N4572)&gt;0),IFERROR(INDEX(계정대체기준!$E$6:$E$15,MATCH(VALUE($A4572&amp;""),계정대체기준!$D$6:$D$15,0)),0),0))</f>
        <v/>
      </c>
      <c r="AH4572" s="64">
        <f>IF($A4572="","",IF(AD4572=0,"",IF(OR(COUNTIF(계정대체기준!$A$77:$A$86,$N4572)&gt;0,ISNUMBER(MATCH($X4572,계정대체기준!$D$77:$D$86,0)),ISNUMBER(MATCH($F4572,계정대체기준!$D$77:$D$86,0))),"Y","N")))</f>
        <v/>
      </c>
    </row>
    <row r="4573">
      <c r="A4573" s="92" t="n">
        <v>2026</v>
      </c>
      <c r="B4573" s="92" t="n">
        <v>9</v>
      </c>
      <c r="C4573" s="92" t="inlineStr">
        <is>
          <t>5100001851</t>
        </is>
      </c>
      <c r="D4573" s="95" t="n">
        <v>46268</v>
      </c>
      <c r="E4573" s="92" t="inlineStr">
        <is>
          <t>KR</t>
        </is>
      </c>
      <c r="F4573" s="92" t="n">
        <v>62801000</v>
      </c>
      <c r="G4573" s="92" t="n">
        <v>1301</v>
      </c>
      <c r="H4573" s="93" t="n">
        <v>4677000</v>
      </c>
      <c r="I4573" s="92" t="inlineStr">
        <is>
          <t>9월 사내교육 - (사내강사료)</t>
        </is>
      </c>
      <c r="J4573" s="92" t="inlineStr">
        <is>
          <t>V10024</t>
        </is>
      </c>
      <c r="K4573" s="92" t="inlineStr">
        <is>
          <t>(사내강사료)</t>
        </is>
      </c>
      <c r="M4573" s="9">
        <f>IF($A4573="","",VALUE($A4573&amp;"")*12+VALUE($B4573&amp;""))</f>
        <v/>
      </c>
      <c r="N4573" s="64">
        <f>IF($A4573="","",IFERROR(INDEX(부서매핑!$C$5:$C$504,MATCH($G4573&amp;"",부서매핑!$A$5:$A$504,0)),"미매핑"))</f>
        <v/>
      </c>
      <c r="O4573" s="9">
        <f>IF($A4573="","",N4573&amp;"|"&amp;$F4573)</f>
        <v/>
      </c>
      <c r="P4573" s="94">
        <f>IF($A4573="",0,$H4573*설정!$C$23)</f>
        <v/>
      </c>
      <c r="Q4573" s="64">
        <f>IF($A4573="","",IF(O4573&lt;&gt;원인분석!$C$9,"",IF(AND(M4573&gt;=원인분석!$C$10,M4573&lt;=원인분석!$C$11),"당기",IF(AND(M4573&gt;=원인분석!$C$12,M4573&lt;=원인분석!$C$13),"비교",""))))</f>
        <v/>
      </c>
      <c r="R4573" s="9">
        <f>IF(Q4573="","",$K4573&amp;"")</f>
        <v/>
      </c>
      <c r="S4573" s="9">
        <f>IF(Q4573="","",IF(MATCH(R4573,$R$5:$R$100000,0)=ROW()-4,ROW(),""))</f>
        <v/>
      </c>
      <c r="T4573" s="9">
        <f>IF(Q4573="당기",ABS(P4573)+ROW()/1000000000,"")</f>
        <v/>
      </c>
      <c r="U4573" s="9">
        <f>IF(Q4573="비교",ABS(P4573)+ROW()/1000000000,"")</f>
        <v/>
      </c>
      <c r="V4573" s="64">
        <f>IF($A4573="","",IF(COUNTIF(변동분석!$E$7:$E$506,O4573)&gt;0,"Y","N"))</f>
        <v/>
      </c>
      <c r="W4573" s="64">
        <f>IF($A4573="","",IFERROR(INDEX(계정매핑!$D$5:$D$504,MATCH($F4573&amp;"",계정매핑!$A$5:$A$504,0)),"미매핑"))</f>
        <v/>
      </c>
      <c r="X4573" s="9">
        <f>IF($A4573="","",$F4573&amp;"")</f>
        <v/>
      </c>
      <c r="Y4573" s="94">
        <f>IF($A4573="",0,IF(AE4573="직접",IF(AF4573="비귀속",$P4573,0),$P4573*(1-AG4573)*IFERROR(INDEX(계정대체기준!$F$20:$F$49,MATCH($N4573,계정대체기준!$A$20:$A$49,0)),1)))</f>
        <v/>
      </c>
      <c r="Z4573" s="94">
        <f>IF($A4573="",0,IF(AE4573="직접",IF(AF4573="신계약비",$P4573,0),$P4573*(1-AG4573)*IFERROR(INDEX(계정대체기준!$C$20:$C$49,MATCH($N4573,계정대체기준!$A$20:$A$49,0)),0)))</f>
        <v/>
      </c>
      <c r="AA4573" s="94">
        <f>IF($A4573="",0,IF(AE4573="직접",IF(OR(AF4573="유지비",AF4573="손해조사비"),$P4573,0),$P4573*(1-AG4573)*IFERROR(INDEX(계정대체기준!$D$20:$D$49,MATCH($N4573,계정대체기준!$A$20:$A$49,0)),0)))</f>
        <v/>
      </c>
      <c r="AB4573" s="94">
        <f>IF($A4573="",0,IF(AE4573="직접",IF(AF4573="수금비",$P4573,0),$P4573*(1-AG4573)*IFERROR(INDEX(계정대체기준!$E$20:$E$49,MATCH($N4573,계정대체기준!$A$20:$A$49,0)),0)))</f>
        <v/>
      </c>
      <c r="AC4573" s="9">
        <f>IF(AND($A4573&lt;&gt;"",M4573=설정!$C$20,Z4573&gt;0),Z4573+ROW()/1000000000,"")</f>
        <v/>
      </c>
      <c r="AD4573" s="94">
        <f>IF($A4573="",0,$P4573*AG4573)</f>
        <v/>
      </c>
      <c r="AE4573" s="64">
        <f>IF($A4573="","",IFERROR(INDEX(계정매핑!$E$5:$E$504,MATCH($F4573&amp;"",계정매핑!$A$5:$A$504,0))&amp;"","공통비"))</f>
        <v/>
      </c>
      <c r="AF4573" s="64">
        <f>IF($A4573="","",IF(AE4573="직접",IFERROR(INDEX(계정매핑!$F$5:$F$504,MATCH($F4573&amp;"",계정매핑!$A$5:$A$504,0))&amp;"","비귀속"),""))</f>
        <v/>
      </c>
      <c r="AG4573" s="96">
        <f>IF($A4573="",0,IF(AND(AE4573&lt;&gt;"직접",IFERROR(INDEX(계정매핑!$G$5:$G$504,MATCH($F4573&amp;"",계정매핑!$A$5:$A$504,0))&amp;"","")="유지비",COUNTIF(계정대체기준!$A$6:$A$15,$N4573)&gt;0),IFERROR(INDEX(계정대체기준!$E$6:$E$15,MATCH(VALUE($A4573&amp;""),계정대체기준!$D$6:$D$15,0)),0),0))</f>
        <v/>
      </c>
      <c r="AH4573" s="64">
        <f>IF($A4573="","",IF(AD4573=0,"",IF(OR(COUNTIF(계정대체기준!$A$77:$A$86,$N4573)&gt;0,ISNUMBER(MATCH($X4573,계정대체기준!$D$77:$D$86,0)),ISNUMBER(MATCH($F4573,계정대체기준!$D$77:$D$86,0))),"Y","N")))</f>
        <v/>
      </c>
    </row>
    <row r="4574">
      <c r="A4574" s="92" t="n">
        <v>2026</v>
      </c>
      <c r="B4574" s="92" t="n">
        <v>9</v>
      </c>
      <c r="C4574" s="92" t="inlineStr">
        <is>
          <t>5100001852</t>
        </is>
      </c>
      <c r="D4574" s="95" t="n">
        <v>46268</v>
      </c>
      <c r="E4574" s="92" t="inlineStr">
        <is>
          <t>KR</t>
        </is>
      </c>
      <c r="F4574" s="92" t="n">
        <v>62901000</v>
      </c>
      <c r="G4574" s="92" t="n">
        <v>1801</v>
      </c>
      <c r="H4574" s="93" t="n">
        <v>7774000</v>
      </c>
      <c r="I4574" s="92" t="inlineStr">
        <is>
          <t>9월 자문 수수료 - K회계법인</t>
        </is>
      </c>
      <c r="J4574" s="92" t="inlineStr">
        <is>
          <t>V10011</t>
        </is>
      </c>
      <c r="K4574" s="92" t="inlineStr">
        <is>
          <t>K회계법인</t>
        </is>
      </c>
      <c r="M4574" s="9">
        <f>IF($A4574="","",VALUE($A4574&amp;"")*12+VALUE($B4574&amp;""))</f>
        <v/>
      </c>
      <c r="N4574" s="64">
        <f>IF($A4574="","",IFERROR(INDEX(부서매핑!$C$5:$C$504,MATCH($G4574&amp;"",부서매핑!$A$5:$A$504,0)),"미매핑"))</f>
        <v/>
      </c>
      <c r="O4574" s="9">
        <f>IF($A4574="","",N4574&amp;"|"&amp;$F4574)</f>
        <v/>
      </c>
      <c r="P4574" s="94">
        <f>IF($A4574="",0,$H4574*설정!$C$23)</f>
        <v/>
      </c>
      <c r="Q4574" s="64">
        <f>IF($A4574="","",IF(O4574&lt;&gt;원인분석!$C$9,"",IF(AND(M4574&gt;=원인분석!$C$10,M4574&lt;=원인분석!$C$11),"당기",IF(AND(M4574&gt;=원인분석!$C$12,M4574&lt;=원인분석!$C$13),"비교",""))))</f>
        <v/>
      </c>
      <c r="R4574" s="9">
        <f>IF(Q4574="","",$K4574&amp;"")</f>
        <v/>
      </c>
      <c r="S4574" s="9">
        <f>IF(Q4574="","",IF(MATCH(R4574,$R$5:$R$100000,0)=ROW()-4,ROW(),""))</f>
        <v/>
      </c>
      <c r="T4574" s="9">
        <f>IF(Q4574="당기",ABS(P4574)+ROW()/1000000000,"")</f>
        <v/>
      </c>
      <c r="U4574" s="9">
        <f>IF(Q4574="비교",ABS(P4574)+ROW()/1000000000,"")</f>
        <v/>
      </c>
      <c r="V4574" s="64">
        <f>IF($A4574="","",IF(COUNTIF(변동분석!$E$7:$E$506,O4574)&gt;0,"Y","N"))</f>
        <v/>
      </c>
      <c r="W4574" s="64">
        <f>IF($A4574="","",IFERROR(INDEX(계정매핑!$D$5:$D$504,MATCH($F4574&amp;"",계정매핑!$A$5:$A$504,0)),"미매핑"))</f>
        <v/>
      </c>
      <c r="X4574" s="9">
        <f>IF($A4574="","",$F4574&amp;"")</f>
        <v/>
      </c>
      <c r="Y4574" s="94">
        <f>IF($A4574="",0,IF(AE4574="직접",IF(AF4574="비귀속",$P4574,0),$P4574*(1-AG4574)*IFERROR(INDEX(계정대체기준!$F$20:$F$49,MATCH($N4574,계정대체기준!$A$20:$A$49,0)),1)))</f>
        <v/>
      </c>
      <c r="Z4574" s="94">
        <f>IF($A4574="",0,IF(AE4574="직접",IF(AF4574="신계약비",$P4574,0),$P4574*(1-AG4574)*IFERROR(INDEX(계정대체기준!$C$20:$C$49,MATCH($N4574,계정대체기준!$A$20:$A$49,0)),0)))</f>
        <v/>
      </c>
      <c r="AA4574" s="94">
        <f>IF($A4574="",0,IF(AE4574="직접",IF(OR(AF4574="유지비",AF4574="손해조사비"),$P4574,0),$P4574*(1-AG4574)*IFERROR(INDEX(계정대체기준!$D$20:$D$49,MATCH($N4574,계정대체기준!$A$20:$A$49,0)),0)))</f>
        <v/>
      </c>
      <c r="AB4574" s="94">
        <f>IF($A4574="",0,IF(AE4574="직접",IF(AF4574="수금비",$P4574,0),$P4574*(1-AG4574)*IFERROR(INDEX(계정대체기준!$E$20:$E$49,MATCH($N4574,계정대체기준!$A$20:$A$49,0)),0)))</f>
        <v/>
      </c>
      <c r="AC4574" s="9">
        <f>IF(AND($A4574&lt;&gt;"",M4574=설정!$C$20,Z4574&gt;0),Z4574+ROW()/1000000000,"")</f>
        <v/>
      </c>
      <c r="AD4574" s="94">
        <f>IF($A4574="",0,$P4574*AG4574)</f>
        <v/>
      </c>
      <c r="AE4574" s="64">
        <f>IF($A4574="","",IFERROR(INDEX(계정매핑!$E$5:$E$504,MATCH($F4574&amp;"",계정매핑!$A$5:$A$504,0))&amp;"","공통비"))</f>
        <v/>
      </c>
      <c r="AF4574" s="64">
        <f>IF($A4574="","",IF(AE4574="직접",IFERROR(INDEX(계정매핑!$F$5:$F$504,MATCH($F4574&amp;"",계정매핑!$A$5:$A$504,0))&amp;"","비귀속"),""))</f>
        <v/>
      </c>
      <c r="AG4574" s="96">
        <f>IF($A4574="",0,IF(AND(AE4574&lt;&gt;"직접",IFERROR(INDEX(계정매핑!$G$5:$G$504,MATCH($F4574&amp;"",계정매핑!$A$5:$A$504,0))&amp;"","")="유지비",COUNTIF(계정대체기준!$A$6:$A$15,$N4574)&gt;0),IFERROR(INDEX(계정대체기준!$E$6:$E$15,MATCH(VALUE($A4574&amp;""),계정대체기준!$D$6:$D$15,0)),0),0))</f>
        <v/>
      </c>
      <c r="AH4574" s="64">
        <f>IF($A4574="","",IF(AD4574=0,"",IF(OR(COUNTIF(계정대체기준!$A$77:$A$86,$N4574)&gt;0,ISNUMBER(MATCH($X4574,계정대체기준!$D$77:$D$86,0)),ISNUMBER(MATCH($F4574,계정대체기준!$D$77:$D$86,0))),"Y","N")))</f>
        <v/>
      </c>
    </row>
    <row r="4575">
      <c r="A4575" s="92" t="n">
        <v>2026</v>
      </c>
      <c r="B4575" s="92" t="n">
        <v>9</v>
      </c>
      <c r="C4575" s="92" t="inlineStr">
        <is>
          <t>5100001853</t>
        </is>
      </c>
      <c r="D4575" s="95" t="n">
        <v>46268</v>
      </c>
      <c r="E4575" s="92" t="inlineStr">
        <is>
          <t>KR</t>
        </is>
      </c>
      <c r="F4575" s="92" t="n">
        <v>62901000</v>
      </c>
      <c r="G4575" s="92" t="n">
        <v>1951</v>
      </c>
      <c r="H4575" s="93" t="n">
        <v>6171000</v>
      </c>
      <c r="I4575" s="92" t="inlineStr">
        <is>
          <t>9월 자문 수수료 - K회계법인</t>
        </is>
      </c>
      <c r="J4575" s="92" t="inlineStr">
        <is>
          <t>V10011</t>
        </is>
      </c>
      <c r="K4575" s="92" t="inlineStr">
        <is>
          <t>K회계법인</t>
        </is>
      </c>
      <c r="M4575" s="9">
        <f>IF($A4575="","",VALUE($A4575&amp;"")*12+VALUE($B4575&amp;""))</f>
        <v/>
      </c>
      <c r="N4575" s="64">
        <f>IF($A4575="","",IFERROR(INDEX(부서매핑!$C$5:$C$504,MATCH($G4575&amp;"",부서매핑!$A$5:$A$504,0)),"미매핑"))</f>
        <v/>
      </c>
      <c r="O4575" s="9">
        <f>IF($A4575="","",N4575&amp;"|"&amp;$F4575)</f>
        <v/>
      </c>
      <c r="P4575" s="94">
        <f>IF($A4575="",0,$H4575*설정!$C$23)</f>
        <v/>
      </c>
      <c r="Q4575" s="64">
        <f>IF($A4575="","",IF(O4575&lt;&gt;원인분석!$C$9,"",IF(AND(M4575&gt;=원인분석!$C$10,M4575&lt;=원인분석!$C$11),"당기",IF(AND(M4575&gt;=원인분석!$C$12,M4575&lt;=원인분석!$C$13),"비교",""))))</f>
        <v/>
      </c>
      <c r="R4575" s="9">
        <f>IF(Q4575="","",$K4575&amp;"")</f>
        <v/>
      </c>
      <c r="S4575" s="9">
        <f>IF(Q4575="","",IF(MATCH(R4575,$R$5:$R$100000,0)=ROW()-4,ROW(),""))</f>
        <v/>
      </c>
      <c r="T4575" s="9">
        <f>IF(Q4575="당기",ABS(P4575)+ROW()/1000000000,"")</f>
        <v/>
      </c>
      <c r="U4575" s="9">
        <f>IF(Q4575="비교",ABS(P4575)+ROW()/1000000000,"")</f>
        <v/>
      </c>
      <c r="V4575" s="64">
        <f>IF($A4575="","",IF(COUNTIF(변동분석!$E$7:$E$506,O4575)&gt;0,"Y","N"))</f>
        <v/>
      </c>
      <c r="W4575" s="64">
        <f>IF($A4575="","",IFERROR(INDEX(계정매핑!$D$5:$D$504,MATCH($F4575&amp;"",계정매핑!$A$5:$A$504,0)),"미매핑"))</f>
        <v/>
      </c>
      <c r="X4575" s="9">
        <f>IF($A4575="","",$F4575&amp;"")</f>
        <v/>
      </c>
      <c r="Y4575" s="94">
        <f>IF($A4575="",0,IF(AE4575="직접",IF(AF4575="비귀속",$P4575,0),$P4575*(1-AG4575)*IFERROR(INDEX(계정대체기준!$F$20:$F$49,MATCH($N4575,계정대체기준!$A$20:$A$49,0)),1)))</f>
        <v/>
      </c>
      <c r="Z4575" s="94">
        <f>IF($A4575="",0,IF(AE4575="직접",IF(AF4575="신계약비",$P4575,0),$P4575*(1-AG4575)*IFERROR(INDEX(계정대체기준!$C$20:$C$49,MATCH($N4575,계정대체기준!$A$20:$A$49,0)),0)))</f>
        <v/>
      </c>
      <c r="AA4575" s="94">
        <f>IF($A4575="",0,IF(AE4575="직접",IF(OR(AF4575="유지비",AF4575="손해조사비"),$P4575,0),$P4575*(1-AG4575)*IFERROR(INDEX(계정대체기준!$D$20:$D$49,MATCH($N4575,계정대체기준!$A$20:$A$49,0)),0)))</f>
        <v/>
      </c>
      <c r="AB4575" s="94">
        <f>IF($A4575="",0,IF(AE4575="직접",IF(AF4575="수금비",$P4575,0),$P4575*(1-AG4575)*IFERROR(INDEX(계정대체기준!$E$20:$E$49,MATCH($N4575,계정대체기준!$A$20:$A$49,0)),0)))</f>
        <v/>
      </c>
      <c r="AC4575" s="9">
        <f>IF(AND($A4575&lt;&gt;"",M4575=설정!$C$20,Z4575&gt;0),Z4575+ROW()/1000000000,"")</f>
        <v/>
      </c>
      <c r="AD4575" s="94">
        <f>IF($A4575="",0,$P4575*AG4575)</f>
        <v/>
      </c>
      <c r="AE4575" s="64">
        <f>IF($A4575="","",IFERROR(INDEX(계정매핑!$E$5:$E$504,MATCH($F4575&amp;"",계정매핑!$A$5:$A$504,0))&amp;"","공통비"))</f>
        <v/>
      </c>
      <c r="AF4575" s="64">
        <f>IF($A4575="","",IF(AE4575="직접",IFERROR(INDEX(계정매핑!$F$5:$F$504,MATCH($F4575&amp;"",계정매핑!$A$5:$A$504,0))&amp;"","비귀속"),""))</f>
        <v/>
      </c>
      <c r="AG4575" s="96">
        <f>IF($A4575="",0,IF(AND(AE4575&lt;&gt;"직접",IFERROR(INDEX(계정매핑!$G$5:$G$504,MATCH($F4575&amp;"",계정매핑!$A$5:$A$504,0))&amp;"","")="유지비",COUNTIF(계정대체기준!$A$6:$A$15,$N4575)&gt;0),IFERROR(INDEX(계정대체기준!$E$6:$E$15,MATCH(VALUE($A4575&amp;""),계정대체기준!$D$6:$D$15,0)),0),0))</f>
        <v/>
      </c>
      <c r="AH4575" s="64">
        <f>IF($A4575="","",IF(AD4575=0,"",IF(OR(COUNTIF(계정대체기준!$A$77:$A$86,$N4575)&gt;0,ISNUMBER(MATCH($X4575,계정대체기준!$D$77:$D$86,0)),ISNUMBER(MATCH($F4575,계정대체기준!$D$77:$D$86,0))),"Y","N")))</f>
        <v/>
      </c>
    </row>
    <row r="4576">
      <c r="A4576" s="92" t="n">
        <v>2026</v>
      </c>
      <c r="B4576" s="92" t="n">
        <v>9</v>
      </c>
      <c r="C4576" s="92" t="inlineStr">
        <is>
          <t>5100001854</t>
        </is>
      </c>
      <c r="D4576" s="95" t="n">
        <v>46268</v>
      </c>
      <c r="E4576" s="92" t="inlineStr">
        <is>
          <t>KR</t>
        </is>
      </c>
      <c r="F4576" s="92" t="n">
        <v>63001000</v>
      </c>
      <c r="G4576" s="92" t="n">
        <v>1701</v>
      </c>
      <c r="H4576" s="93" t="n">
        <v>59195000</v>
      </c>
      <c r="I4576" s="92" t="inlineStr">
        <is>
          <t>9월 SW 유지보수 - Y소프트</t>
        </is>
      </c>
      <c r="J4576" s="92" t="inlineStr">
        <is>
          <t>V10017</t>
        </is>
      </c>
      <c r="K4576" s="92" t="inlineStr">
        <is>
          <t>Y소프트</t>
        </is>
      </c>
      <c r="M4576" s="9">
        <f>IF($A4576="","",VALUE($A4576&amp;"")*12+VALUE($B4576&amp;""))</f>
        <v/>
      </c>
      <c r="N4576" s="64">
        <f>IF($A4576="","",IFERROR(INDEX(부서매핑!$C$5:$C$504,MATCH($G4576&amp;"",부서매핑!$A$5:$A$504,0)),"미매핑"))</f>
        <v/>
      </c>
      <c r="O4576" s="9">
        <f>IF($A4576="","",N4576&amp;"|"&amp;$F4576)</f>
        <v/>
      </c>
      <c r="P4576" s="94">
        <f>IF($A4576="",0,$H4576*설정!$C$23)</f>
        <v/>
      </c>
      <c r="Q4576" s="64">
        <f>IF($A4576="","",IF(O4576&lt;&gt;원인분석!$C$9,"",IF(AND(M4576&gt;=원인분석!$C$10,M4576&lt;=원인분석!$C$11),"당기",IF(AND(M4576&gt;=원인분석!$C$12,M4576&lt;=원인분석!$C$13),"비교",""))))</f>
        <v/>
      </c>
      <c r="R4576" s="9">
        <f>IF(Q4576="","",$K4576&amp;"")</f>
        <v/>
      </c>
      <c r="S4576" s="9">
        <f>IF(Q4576="","",IF(MATCH(R4576,$R$5:$R$100000,0)=ROW()-4,ROW(),""))</f>
        <v/>
      </c>
      <c r="T4576" s="9">
        <f>IF(Q4576="당기",ABS(P4576)+ROW()/1000000000,"")</f>
        <v/>
      </c>
      <c r="U4576" s="9">
        <f>IF(Q4576="비교",ABS(P4576)+ROW()/1000000000,"")</f>
        <v/>
      </c>
      <c r="V4576" s="64">
        <f>IF($A4576="","",IF(COUNTIF(변동분석!$E$7:$E$506,O4576)&gt;0,"Y","N"))</f>
        <v/>
      </c>
      <c r="W4576" s="64">
        <f>IF($A4576="","",IFERROR(INDEX(계정매핑!$D$5:$D$504,MATCH($F4576&amp;"",계정매핑!$A$5:$A$504,0)),"미매핑"))</f>
        <v/>
      </c>
      <c r="X4576" s="9">
        <f>IF($A4576="","",$F4576&amp;"")</f>
        <v/>
      </c>
      <c r="Y4576" s="94">
        <f>IF($A4576="",0,IF(AE4576="직접",IF(AF4576="비귀속",$P4576,0),$P4576*(1-AG4576)*IFERROR(INDEX(계정대체기준!$F$20:$F$49,MATCH($N4576,계정대체기준!$A$20:$A$49,0)),1)))</f>
        <v/>
      </c>
      <c r="Z4576" s="94">
        <f>IF($A4576="",0,IF(AE4576="직접",IF(AF4576="신계약비",$P4576,0),$P4576*(1-AG4576)*IFERROR(INDEX(계정대체기준!$C$20:$C$49,MATCH($N4576,계정대체기준!$A$20:$A$49,0)),0)))</f>
        <v/>
      </c>
      <c r="AA4576" s="94">
        <f>IF($A4576="",0,IF(AE4576="직접",IF(OR(AF4576="유지비",AF4576="손해조사비"),$P4576,0),$P4576*(1-AG4576)*IFERROR(INDEX(계정대체기준!$D$20:$D$49,MATCH($N4576,계정대체기준!$A$20:$A$49,0)),0)))</f>
        <v/>
      </c>
      <c r="AB4576" s="94">
        <f>IF($A4576="",0,IF(AE4576="직접",IF(AF4576="수금비",$P4576,0),$P4576*(1-AG4576)*IFERROR(INDEX(계정대체기준!$E$20:$E$49,MATCH($N4576,계정대체기준!$A$20:$A$49,0)),0)))</f>
        <v/>
      </c>
      <c r="AC4576" s="9">
        <f>IF(AND($A4576&lt;&gt;"",M4576=설정!$C$20,Z4576&gt;0),Z4576+ROW()/1000000000,"")</f>
        <v/>
      </c>
      <c r="AD4576" s="94">
        <f>IF($A4576="",0,$P4576*AG4576)</f>
        <v/>
      </c>
      <c r="AE4576" s="64">
        <f>IF($A4576="","",IFERROR(INDEX(계정매핑!$E$5:$E$504,MATCH($F4576&amp;"",계정매핑!$A$5:$A$504,0))&amp;"","공통비"))</f>
        <v/>
      </c>
      <c r="AF4576" s="64">
        <f>IF($A4576="","",IF(AE4576="직접",IFERROR(INDEX(계정매핑!$F$5:$F$504,MATCH($F4576&amp;"",계정매핑!$A$5:$A$504,0))&amp;"","비귀속"),""))</f>
        <v/>
      </c>
      <c r="AG4576" s="96">
        <f>IF($A4576="",0,IF(AND(AE4576&lt;&gt;"직접",IFERROR(INDEX(계정매핑!$G$5:$G$504,MATCH($F4576&amp;"",계정매핑!$A$5:$A$504,0))&amp;"","")="유지비",COUNTIF(계정대체기준!$A$6:$A$15,$N4576)&gt;0),IFERROR(INDEX(계정대체기준!$E$6:$E$15,MATCH(VALUE($A4576&amp;""),계정대체기준!$D$6:$D$15,0)),0),0))</f>
        <v/>
      </c>
      <c r="AH4576" s="64">
        <f>IF($A4576="","",IF(AD4576=0,"",IF(OR(COUNTIF(계정대체기준!$A$77:$A$86,$N4576)&gt;0,ISNUMBER(MATCH($X4576,계정대체기준!$D$77:$D$86,0)),ISNUMBER(MATCH($F4576,계정대체기준!$D$77:$D$86,0))),"Y","N")))</f>
        <v/>
      </c>
    </row>
    <row r="4577">
      <c r="A4577" s="92" t="n">
        <v>2026</v>
      </c>
      <c r="B4577" s="92" t="n">
        <v>9</v>
      </c>
      <c r="C4577" s="92" t="inlineStr">
        <is>
          <t>5100001855</t>
        </is>
      </c>
      <c r="D4577" s="95" t="n">
        <v>46268</v>
      </c>
      <c r="E4577" s="92" t="inlineStr">
        <is>
          <t>KR</t>
        </is>
      </c>
      <c r="F4577" s="92" t="n">
        <v>63101000</v>
      </c>
      <c r="G4577" s="92" t="n">
        <v>1602</v>
      </c>
      <c r="H4577" s="93" t="n">
        <v>3134000</v>
      </c>
      <c r="I4577" s="92" t="inlineStr">
        <is>
          <t>9월 사무실 임차료 - AA빌딩</t>
        </is>
      </c>
      <c r="J4577" s="92" t="inlineStr">
        <is>
          <t>V10007</t>
        </is>
      </c>
      <c r="K4577" s="92" t="inlineStr">
        <is>
          <t>AA빌딩</t>
        </is>
      </c>
      <c r="M4577" s="9">
        <f>IF($A4577="","",VALUE($A4577&amp;"")*12+VALUE($B4577&amp;""))</f>
        <v/>
      </c>
      <c r="N4577" s="64">
        <f>IF($A4577="","",IFERROR(INDEX(부서매핑!$C$5:$C$504,MATCH($G4577&amp;"",부서매핑!$A$5:$A$504,0)),"미매핑"))</f>
        <v/>
      </c>
      <c r="O4577" s="9">
        <f>IF($A4577="","",N4577&amp;"|"&amp;$F4577)</f>
        <v/>
      </c>
      <c r="P4577" s="94">
        <f>IF($A4577="",0,$H4577*설정!$C$23)</f>
        <v/>
      </c>
      <c r="Q4577" s="64">
        <f>IF($A4577="","",IF(O4577&lt;&gt;원인분석!$C$9,"",IF(AND(M4577&gt;=원인분석!$C$10,M4577&lt;=원인분석!$C$11),"당기",IF(AND(M4577&gt;=원인분석!$C$12,M4577&lt;=원인분석!$C$13),"비교",""))))</f>
        <v/>
      </c>
      <c r="R4577" s="9">
        <f>IF(Q4577="","",$K4577&amp;"")</f>
        <v/>
      </c>
      <c r="S4577" s="9">
        <f>IF(Q4577="","",IF(MATCH(R4577,$R$5:$R$100000,0)=ROW()-4,ROW(),""))</f>
        <v/>
      </c>
      <c r="T4577" s="9">
        <f>IF(Q4577="당기",ABS(P4577)+ROW()/1000000000,"")</f>
        <v/>
      </c>
      <c r="U4577" s="9">
        <f>IF(Q4577="비교",ABS(P4577)+ROW()/1000000000,"")</f>
        <v/>
      </c>
      <c r="V4577" s="64">
        <f>IF($A4577="","",IF(COUNTIF(변동분석!$E$7:$E$506,O4577)&gt;0,"Y","N"))</f>
        <v/>
      </c>
      <c r="W4577" s="64">
        <f>IF($A4577="","",IFERROR(INDEX(계정매핑!$D$5:$D$504,MATCH($F4577&amp;"",계정매핑!$A$5:$A$504,0)),"미매핑"))</f>
        <v/>
      </c>
      <c r="X4577" s="9">
        <f>IF($A4577="","",$F4577&amp;"")</f>
        <v/>
      </c>
      <c r="Y4577" s="94">
        <f>IF($A4577="",0,IF(AE4577="직접",IF(AF4577="비귀속",$P4577,0),$P4577*(1-AG4577)*IFERROR(INDEX(계정대체기준!$F$20:$F$49,MATCH($N4577,계정대체기준!$A$20:$A$49,0)),1)))</f>
        <v/>
      </c>
      <c r="Z4577" s="94">
        <f>IF($A4577="",0,IF(AE4577="직접",IF(AF4577="신계약비",$P4577,0),$P4577*(1-AG4577)*IFERROR(INDEX(계정대체기준!$C$20:$C$49,MATCH($N4577,계정대체기준!$A$20:$A$49,0)),0)))</f>
        <v/>
      </c>
      <c r="AA4577" s="94">
        <f>IF($A4577="",0,IF(AE4577="직접",IF(OR(AF4577="유지비",AF4577="손해조사비"),$P4577,0),$P4577*(1-AG4577)*IFERROR(INDEX(계정대체기준!$D$20:$D$49,MATCH($N4577,계정대체기준!$A$20:$A$49,0)),0)))</f>
        <v/>
      </c>
      <c r="AB4577" s="94">
        <f>IF($A4577="",0,IF(AE4577="직접",IF(AF4577="수금비",$P4577,0),$P4577*(1-AG4577)*IFERROR(INDEX(계정대체기준!$E$20:$E$49,MATCH($N4577,계정대체기준!$A$20:$A$49,0)),0)))</f>
        <v/>
      </c>
      <c r="AC4577" s="9">
        <f>IF(AND($A4577&lt;&gt;"",M4577=설정!$C$20,Z4577&gt;0),Z4577+ROW()/1000000000,"")</f>
        <v/>
      </c>
      <c r="AD4577" s="94">
        <f>IF($A4577="",0,$P4577*AG4577)</f>
        <v/>
      </c>
      <c r="AE4577" s="64">
        <f>IF($A4577="","",IFERROR(INDEX(계정매핑!$E$5:$E$504,MATCH($F4577&amp;"",계정매핑!$A$5:$A$504,0))&amp;"","공통비"))</f>
        <v/>
      </c>
      <c r="AF4577" s="64">
        <f>IF($A4577="","",IF(AE4577="직접",IFERROR(INDEX(계정매핑!$F$5:$F$504,MATCH($F4577&amp;"",계정매핑!$A$5:$A$504,0))&amp;"","비귀속"),""))</f>
        <v/>
      </c>
      <c r="AG4577" s="96">
        <f>IF($A4577="",0,IF(AND(AE4577&lt;&gt;"직접",IFERROR(INDEX(계정매핑!$G$5:$G$504,MATCH($F4577&amp;"",계정매핑!$A$5:$A$504,0))&amp;"","")="유지비",COUNTIF(계정대체기준!$A$6:$A$15,$N4577)&gt;0),IFERROR(INDEX(계정대체기준!$E$6:$E$15,MATCH(VALUE($A4577&amp;""),계정대체기준!$D$6:$D$15,0)),0),0))</f>
        <v/>
      </c>
      <c r="AH4577" s="64">
        <f>IF($A4577="","",IF(AD4577=0,"",IF(OR(COUNTIF(계정대체기준!$A$77:$A$86,$N4577)&gt;0,ISNUMBER(MATCH($X4577,계정대체기준!$D$77:$D$86,0)),ISNUMBER(MATCH($F4577,계정대체기준!$D$77:$D$86,0))),"Y","N")))</f>
        <v/>
      </c>
    </row>
    <row r="4578">
      <c r="A4578" s="92" t="n">
        <v>2026</v>
      </c>
      <c r="B4578" s="92" t="n">
        <v>9</v>
      </c>
      <c r="C4578" s="92" t="inlineStr">
        <is>
          <t>5100001856</t>
        </is>
      </c>
      <c r="D4578" s="95" t="n">
        <v>46269</v>
      </c>
      <c r="E4578" s="92" t="inlineStr">
        <is>
          <t>KR</t>
        </is>
      </c>
      <c r="F4578" s="92" t="n">
        <v>62101000</v>
      </c>
      <c r="G4578" s="92" t="n">
        <v>1201</v>
      </c>
      <c r="H4578" s="93" t="n">
        <v>309000</v>
      </c>
      <c r="I4578" s="92" t="inlineStr">
        <is>
          <t>9월 국내출장 - M항공</t>
        </is>
      </c>
      <c r="J4578" s="92" t="inlineStr">
        <is>
          <t>V10001</t>
        </is>
      </c>
      <c r="K4578" s="92" t="inlineStr">
        <is>
          <t>M항공</t>
        </is>
      </c>
      <c r="M4578" s="9">
        <f>IF($A4578="","",VALUE($A4578&amp;"")*12+VALUE($B4578&amp;""))</f>
        <v/>
      </c>
      <c r="N4578" s="64">
        <f>IF($A4578="","",IFERROR(INDEX(부서매핑!$C$5:$C$504,MATCH($G4578&amp;"",부서매핑!$A$5:$A$504,0)),"미매핑"))</f>
        <v/>
      </c>
      <c r="O4578" s="9">
        <f>IF($A4578="","",N4578&amp;"|"&amp;$F4578)</f>
        <v/>
      </c>
      <c r="P4578" s="94">
        <f>IF($A4578="",0,$H4578*설정!$C$23)</f>
        <v/>
      </c>
      <c r="Q4578" s="64">
        <f>IF($A4578="","",IF(O4578&lt;&gt;원인분석!$C$9,"",IF(AND(M4578&gt;=원인분석!$C$10,M4578&lt;=원인분석!$C$11),"당기",IF(AND(M4578&gt;=원인분석!$C$12,M4578&lt;=원인분석!$C$13),"비교",""))))</f>
        <v/>
      </c>
      <c r="R4578" s="9">
        <f>IF(Q4578="","",$K4578&amp;"")</f>
        <v/>
      </c>
      <c r="S4578" s="9">
        <f>IF(Q4578="","",IF(MATCH(R4578,$R$5:$R$100000,0)=ROW()-4,ROW(),""))</f>
        <v/>
      </c>
      <c r="T4578" s="9">
        <f>IF(Q4578="당기",ABS(P4578)+ROW()/1000000000,"")</f>
        <v/>
      </c>
      <c r="U4578" s="9">
        <f>IF(Q4578="비교",ABS(P4578)+ROW()/1000000000,"")</f>
        <v/>
      </c>
      <c r="V4578" s="64">
        <f>IF($A4578="","",IF(COUNTIF(변동분석!$E$7:$E$506,O4578)&gt;0,"Y","N"))</f>
        <v/>
      </c>
      <c r="W4578" s="64">
        <f>IF($A4578="","",IFERROR(INDEX(계정매핑!$D$5:$D$504,MATCH($F4578&amp;"",계정매핑!$A$5:$A$504,0)),"미매핑"))</f>
        <v/>
      </c>
      <c r="X4578" s="9">
        <f>IF($A4578="","",$F4578&amp;"")</f>
        <v/>
      </c>
      <c r="Y4578" s="94">
        <f>IF($A4578="",0,IF(AE4578="직접",IF(AF4578="비귀속",$P4578,0),$P4578*(1-AG4578)*IFERROR(INDEX(계정대체기준!$F$20:$F$49,MATCH($N4578,계정대체기준!$A$20:$A$49,0)),1)))</f>
        <v/>
      </c>
      <c r="Z4578" s="94">
        <f>IF($A4578="",0,IF(AE4578="직접",IF(AF4578="신계약비",$P4578,0),$P4578*(1-AG4578)*IFERROR(INDEX(계정대체기준!$C$20:$C$49,MATCH($N4578,계정대체기준!$A$20:$A$49,0)),0)))</f>
        <v/>
      </c>
      <c r="AA4578" s="94">
        <f>IF($A4578="",0,IF(AE4578="직접",IF(OR(AF4578="유지비",AF4578="손해조사비"),$P4578,0),$P4578*(1-AG4578)*IFERROR(INDEX(계정대체기준!$D$20:$D$49,MATCH($N4578,계정대체기준!$A$20:$A$49,0)),0)))</f>
        <v/>
      </c>
      <c r="AB4578" s="94">
        <f>IF($A4578="",0,IF(AE4578="직접",IF(AF4578="수금비",$P4578,0),$P4578*(1-AG4578)*IFERROR(INDEX(계정대체기준!$E$20:$E$49,MATCH($N4578,계정대체기준!$A$20:$A$49,0)),0)))</f>
        <v/>
      </c>
      <c r="AC4578" s="9">
        <f>IF(AND($A4578&lt;&gt;"",M4578=설정!$C$20,Z4578&gt;0),Z4578+ROW()/1000000000,"")</f>
        <v/>
      </c>
      <c r="AD4578" s="94">
        <f>IF($A4578="",0,$P4578*AG4578)</f>
        <v/>
      </c>
      <c r="AE4578" s="64">
        <f>IF($A4578="","",IFERROR(INDEX(계정매핑!$E$5:$E$504,MATCH($F4578&amp;"",계정매핑!$A$5:$A$504,0))&amp;"","공통비"))</f>
        <v/>
      </c>
      <c r="AF4578" s="64">
        <f>IF($A4578="","",IF(AE4578="직접",IFERROR(INDEX(계정매핑!$F$5:$F$504,MATCH($F4578&amp;"",계정매핑!$A$5:$A$504,0))&amp;"","비귀속"),""))</f>
        <v/>
      </c>
      <c r="AG4578" s="96">
        <f>IF($A4578="",0,IF(AND(AE4578&lt;&gt;"직접",IFERROR(INDEX(계정매핑!$G$5:$G$504,MATCH($F4578&amp;"",계정매핑!$A$5:$A$504,0))&amp;"","")="유지비",COUNTIF(계정대체기준!$A$6:$A$15,$N4578)&gt;0),IFERROR(INDEX(계정대체기준!$E$6:$E$15,MATCH(VALUE($A4578&amp;""),계정대체기준!$D$6:$D$15,0)),0),0))</f>
        <v/>
      </c>
      <c r="AH4578" s="64">
        <f>IF($A4578="","",IF(AD4578=0,"",IF(OR(COUNTIF(계정대체기준!$A$77:$A$86,$N4578)&gt;0,ISNUMBER(MATCH($X4578,계정대체기준!$D$77:$D$86,0)),ISNUMBER(MATCH($F4578,계정대체기준!$D$77:$D$86,0))),"Y","N")))</f>
        <v/>
      </c>
    </row>
    <row r="4579">
      <c r="A4579" s="92" t="n">
        <v>2026</v>
      </c>
      <c r="B4579" s="92" t="n">
        <v>9</v>
      </c>
      <c r="C4579" s="92" t="inlineStr">
        <is>
          <t>5100001857</t>
        </is>
      </c>
      <c r="D4579" s="95" t="n">
        <v>46269</v>
      </c>
      <c r="E4579" s="92" t="inlineStr">
        <is>
          <t>KR</t>
        </is>
      </c>
      <c r="F4579" s="92" t="n">
        <v>62101000</v>
      </c>
      <c r="G4579" s="92" t="n">
        <v>1951</v>
      </c>
      <c r="H4579" s="93" t="n">
        <v>374000</v>
      </c>
      <c r="I4579" s="92" t="inlineStr">
        <is>
          <t>9월 국내출장 - M항공</t>
        </is>
      </c>
      <c r="J4579" s="92" t="inlineStr">
        <is>
          <t>V10001</t>
        </is>
      </c>
      <c r="K4579" s="92" t="inlineStr">
        <is>
          <t>M항공</t>
        </is>
      </c>
      <c r="M4579" s="9">
        <f>IF($A4579="","",VALUE($A4579&amp;"")*12+VALUE($B4579&amp;""))</f>
        <v/>
      </c>
      <c r="N4579" s="64">
        <f>IF($A4579="","",IFERROR(INDEX(부서매핑!$C$5:$C$504,MATCH($G4579&amp;"",부서매핑!$A$5:$A$504,0)),"미매핑"))</f>
        <v/>
      </c>
      <c r="O4579" s="9">
        <f>IF($A4579="","",N4579&amp;"|"&amp;$F4579)</f>
        <v/>
      </c>
      <c r="P4579" s="94">
        <f>IF($A4579="",0,$H4579*설정!$C$23)</f>
        <v/>
      </c>
      <c r="Q4579" s="64">
        <f>IF($A4579="","",IF(O4579&lt;&gt;원인분석!$C$9,"",IF(AND(M4579&gt;=원인분석!$C$10,M4579&lt;=원인분석!$C$11),"당기",IF(AND(M4579&gt;=원인분석!$C$12,M4579&lt;=원인분석!$C$13),"비교",""))))</f>
        <v/>
      </c>
      <c r="R4579" s="9">
        <f>IF(Q4579="","",$K4579&amp;"")</f>
        <v/>
      </c>
      <c r="S4579" s="9">
        <f>IF(Q4579="","",IF(MATCH(R4579,$R$5:$R$100000,0)=ROW()-4,ROW(),""))</f>
        <v/>
      </c>
      <c r="T4579" s="9">
        <f>IF(Q4579="당기",ABS(P4579)+ROW()/1000000000,"")</f>
        <v/>
      </c>
      <c r="U4579" s="9">
        <f>IF(Q4579="비교",ABS(P4579)+ROW()/1000000000,"")</f>
        <v/>
      </c>
      <c r="V4579" s="64">
        <f>IF($A4579="","",IF(COUNTIF(변동분석!$E$7:$E$506,O4579)&gt;0,"Y","N"))</f>
        <v/>
      </c>
      <c r="W4579" s="64">
        <f>IF($A4579="","",IFERROR(INDEX(계정매핑!$D$5:$D$504,MATCH($F4579&amp;"",계정매핑!$A$5:$A$504,0)),"미매핑"))</f>
        <v/>
      </c>
      <c r="X4579" s="9">
        <f>IF($A4579="","",$F4579&amp;"")</f>
        <v/>
      </c>
      <c r="Y4579" s="94">
        <f>IF($A4579="",0,IF(AE4579="직접",IF(AF4579="비귀속",$P4579,0),$P4579*(1-AG4579)*IFERROR(INDEX(계정대체기준!$F$20:$F$49,MATCH($N4579,계정대체기준!$A$20:$A$49,0)),1)))</f>
        <v/>
      </c>
      <c r="Z4579" s="94">
        <f>IF($A4579="",0,IF(AE4579="직접",IF(AF4579="신계약비",$P4579,0),$P4579*(1-AG4579)*IFERROR(INDEX(계정대체기준!$C$20:$C$49,MATCH($N4579,계정대체기준!$A$20:$A$49,0)),0)))</f>
        <v/>
      </c>
      <c r="AA4579" s="94">
        <f>IF($A4579="",0,IF(AE4579="직접",IF(OR(AF4579="유지비",AF4579="손해조사비"),$P4579,0),$P4579*(1-AG4579)*IFERROR(INDEX(계정대체기준!$D$20:$D$49,MATCH($N4579,계정대체기준!$A$20:$A$49,0)),0)))</f>
        <v/>
      </c>
      <c r="AB4579" s="94">
        <f>IF($A4579="",0,IF(AE4579="직접",IF(AF4579="수금비",$P4579,0),$P4579*(1-AG4579)*IFERROR(INDEX(계정대체기준!$E$20:$E$49,MATCH($N4579,계정대체기준!$A$20:$A$49,0)),0)))</f>
        <v/>
      </c>
      <c r="AC4579" s="9">
        <f>IF(AND($A4579&lt;&gt;"",M4579=설정!$C$20,Z4579&gt;0),Z4579+ROW()/1000000000,"")</f>
        <v/>
      </c>
      <c r="AD4579" s="94">
        <f>IF($A4579="",0,$P4579*AG4579)</f>
        <v/>
      </c>
      <c r="AE4579" s="64">
        <f>IF($A4579="","",IFERROR(INDEX(계정매핑!$E$5:$E$504,MATCH($F4579&amp;"",계정매핑!$A$5:$A$504,0))&amp;"","공통비"))</f>
        <v/>
      </c>
      <c r="AF4579" s="64">
        <f>IF($A4579="","",IF(AE4579="직접",IFERROR(INDEX(계정매핑!$F$5:$F$504,MATCH($F4579&amp;"",계정매핑!$A$5:$A$504,0))&amp;"","비귀속"),""))</f>
        <v/>
      </c>
      <c r="AG4579" s="96">
        <f>IF($A4579="",0,IF(AND(AE4579&lt;&gt;"직접",IFERROR(INDEX(계정매핑!$G$5:$G$504,MATCH($F4579&amp;"",계정매핑!$A$5:$A$504,0))&amp;"","")="유지비",COUNTIF(계정대체기준!$A$6:$A$15,$N4579)&gt;0),IFERROR(INDEX(계정대체기준!$E$6:$E$15,MATCH(VALUE($A4579&amp;""),계정대체기준!$D$6:$D$15,0)),0),0))</f>
        <v/>
      </c>
      <c r="AH4579" s="64">
        <f>IF($A4579="","",IF(AD4579=0,"",IF(OR(COUNTIF(계정대체기준!$A$77:$A$86,$N4579)&gt;0,ISNUMBER(MATCH($X4579,계정대체기준!$D$77:$D$86,0)),ISNUMBER(MATCH($F4579,계정대체기준!$D$77:$D$86,0))),"Y","N")))</f>
        <v/>
      </c>
    </row>
    <row r="4580">
      <c r="A4580" s="92" t="n">
        <v>2026</v>
      </c>
      <c r="B4580" s="92" t="n">
        <v>9</v>
      </c>
      <c r="C4580" s="92" t="inlineStr">
        <is>
          <t>5100001858</t>
        </is>
      </c>
      <c r="D4580" s="95" t="n">
        <v>46269</v>
      </c>
      <c r="E4580" s="92" t="inlineStr">
        <is>
          <t>KR</t>
        </is>
      </c>
      <c r="F4580" s="92" t="n">
        <v>62501000</v>
      </c>
      <c r="G4580" s="92" t="n">
        <v>1801</v>
      </c>
      <c r="H4580" s="93" t="n">
        <v>103000</v>
      </c>
      <c r="I4580" s="92" t="inlineStr">
        <is>
          <t>9월 회의 다과 - T케이터링</t>
        </is>
      </c>
      <c r="J4580" s="92" t="inlineStr">
        <is>
          <t>V10005</t>
        </is>
      </c>
      <c r="K4580" s="92" t="inlineStr">
        <is>
          <t>T케이터링</t>
        </is>
      </c>
      <c r="M4580" s="9">
        <f>IF($A4580="","",VALUE($A4580&amp;"")*12+VALUE($B4580&amp;""))</f>
        <v/>
      </c>
      <c r="N4580" s="64">
        <f>IF($A4580="","",IFERROR(INDEX(부서매핑!$C$5:$C$504,MATCH($G4580&amp;"",부서매핑!$A$5:$A$504,0)),"미매핑"))</f>
        <v/>
      </c>
      <c r="O4580" s="9">
        <f>IF($A4580="","",N4580&amp;"|"&amp;$F4580)</f>
        <v/>
      </c>
      <c r="P4580" s="94">
        <f>IF($A4580="",0,$H4580*설정!$C$23)</f>
        <v/>
      </c>
      <c r="Q4580" s="64">
        <f>IF($A4580="","",IF(O4580&lt;&gt;원인분석!$C$9,"",IF(AND(M4580&gt;=원인분석!$C$10,M4580&lt;=원인분석!$C$11),"당기",IF(AND(M4580&gt;=원인분석!$C$12,M4580&lt;=원인분석!$C$13),"비교",""))))</f>
        <v/>
      </c>
      <c r="R4580" s="9">
        <f>IF(Q4580="","",$K4580&amp;"")</f>
        <v/>
      </c>
      <c r="S4580" s="9">
        <f>IF(Q4580="","",IF(MATCH(R4580,$R$5:$R$100000,0)=ROW()-4,ROW(),""))</f>
        <v/>
      </c>
      <c r="T4580" s="9">
        <f>IF(Q4580="당기",ABS(P4580)+ROW()/1000000000,"")</f>
        <v/>
      </c>
      <c r="U4580" s="9">
        <f>IF(Q4580="비교",ABS(P4580)+ROW()/1000000000,"")</f>
        <v/>
      </c>
      <c r="V4580" s="64">
        <f>IF($A4580="","",IF(COUNTIF(변동분석!$E$7:$E$506,O4580)&gt;0,"Y","N"))</f>
        <v/>
      </c>
      <c r="W4580" s="64">
        <f>IF($A4580="","",IFERROR(INDEX(계정매핑!$D$5:$D$504,MATCH($F4580&amp;"",계정매핑!$A$5:$A$504,0)),"미매핑"))</f>
        <v/>
      </c>
      <c r="X4580" s="9">
        <f>IF($A4580="","",$F4580&amp;"")</f>
        <v/>
      </c>
      <c r="Y4580" s="94">
        <f>IF($A4580="",0,IF(AE4580="직접",IF(AF4580="비귀속",$P4580,0),$P4580*(1-AG4580)*IFERROR(INDEX(계정대체기준!$F$20:$F$49,MATCH($N4580,계정대체기준!$A$20:$A$49,0)),1)))</f>
        <v/>
      </c>
      <c r="Z4580" s="94">
        <f>IF($A4580="",0,IF(AE4580="직접",IF(AF4580="신계약비",$P4580,0),$P4580*(1-AG4580)*IFERROR(INDEX(계정대체기준!$C$20:$C$49,MATCH($N4580,계정대체기준!$A$20:$A$49,0)),0)))</f>
        <v/>
      </c>
      <c r="AA4580" s="94">
        <f>IF($A4580="",0,IF(AE4580="직접",IF(OR(AF4580="유지비",AF4580="손해조사비"),$P4580,0),$P4580*(1-AG4580)*IFERROR(INDEX(계정대체기준!$D$20:$D$49,MATCH($N4580,계정대체기준!$A$20:$A$49,0)),0)))</f>
        <v/>
      </c>
      <c r="AB4580" s="94">
        <f>IF($A4580="",0,IF(AE4580="직접",IF(AF4580="수금비",$P4580,0),$P4580*(1-AG4580)*IFERROR(INDEX(계정대체기준!$E$20:$E$49,MATCH($N4580,계정대체기준!$A$20:$A$49,0)),0)))</f>
        <v/>
      </c>
      <c r="AC4580" s="9">
        <f>IF(AND($A4580&lt;&gt;"",M4580=설정!$C$20,Z4580&gt;0),Z4580+ROW()/1000000000,"")</f>
        <v/>
      </c>
      <c r="AD4580" s="94">
        <f>IF($A4580="",0,$P4580*AG4580)</f>
        <v/>
      </c>
      <c r="AE4580" s="64">
        <f>IF($A4580="","",IFERROR(INDEX(계정매핑!$E$5:$E$504,MATCH($F4580&amp;"",계정매핑!$A$5:$A$504,0))&amp;"","공통비"))</f>
        <v/>
      </c>
      <c r="AF4580" s="64">
        <f>IF($A4580="","",IF(AE4580="직접",IFERROR(INDEX(계정매핑!$F$5:$F$504,MATCH($F4580&amp;"",계정매핑!$A$5:$A$504,0))&amp;"","비귀속"),""))</f>
        <v/>
      </c>
      <c r="AG4580" s="96">
        <f>IF($A4580="",0,IF(AND(AE4580&lt;&gt;"직접",IFERROR(INDEX(계정매핑!$G$5:$G$504,MATCH($F4580&amp;"",계정매핑!$A$5:$A$504,0))&amp;"","")="유지비",COUNTIF(계정대체기준!$A$6:$A$15,$N4580)&gt;0),IFERROR(INDEX(계정대체기준!$E$6:$E$15,MATCH(VALUE($A4580&amp;""),계정대체기준!$D$6:$D$15,0)),0),0))</f>
        <v/>
      </c>
      <c r="AH4580" s="64">
        <f>IF($A4580="","",IF(AD4580=0,"",IF(OR(COUNTIF(계정대체기준!$A$77:$A$86,$N4580)&gt;0,ISNUMBER(MATCH($X4580,계정대체기준!$D$77:$D$86,0)),ISNUMBER(MATCH($F4580,계정대체기준!$D$77:$D$86,0))),"Y","N")))</f>
        <v/>
      </c>
    </row>
    <row r="4581">
      <c r="A4581" s="92" t="n">
        <v>2026</v>
      </c>
      <c r="B4581" s="92" t="n">
        <v>9</v>
      </c>
      <c r="C4581" s="92" t="inlineStr">
        <is>
          <t>5100001859</t>
        </is>
      </c>
      <c r="D4581" s="95" t="n">
        <v>46269</v>
      </c>
      <c r="E4581" s="92" t="inlineStr">
        <is>
          <t>KR</t>
        </is>
      </c>
      <c r="F4581" s="92" t="n">
        <v>62601000</v>
      </c>
      <c r="G4581" s="92" t="n">
        <v>1101</v>
      </c>
      <c r="H4581" s="93" t="n">
        <v>1695000</v>
      </c>
      <c r="I4581" s="92" t="inlineStr">
        <is>
          <t>9월 업무추진 - (법인카드)</t>
        </is>
      </c>
      <c r="J4581" s="92" t="inlineStr">
        <is>
          <t>V10010</t>
        </is>
      </c>
      <c r="K4581" s="92" t="inlineStr">
        <is>
          <t>(법인카드)</t>
        </is>
      </c>
      <c r="M4581" s="9">
        <f>IF($A4581="","",VALUE($A4581&amp;"")*12+VALUE($B4581&amp;""))</f>
        <v/>
      </c>
      <c r="N4581" s="64">
        <f>IF($A4581="","",IFERROR(INDEX(부서매핑!$C$5:$C$504,MATCH($G4581&amp;"",부서매핑!$A$5:$A$504,0)),"미매핑"))</f>
        <v/>
      </c>
      <c r="O4581" s="9">
        <f>IF($A4581="","",N4581&amp;"|"&amp;$F4581)</f>
        <v/>
      </c>
      <c r="P4581" s="94">
        <f>IF($A4581="",0,$H4581*설정!$C$23)</f>
        <v/>
      </c>
      <c r="Q4581" s="64">
        <f>IF($A4581="","",IF(O4581&lt;&gt;원인분석!$C$9,"",IF(AND(M4581&gt;=원인분석!$C$10,M4581&lt;=원인분석!$C$11),"당기",IF(AND(M4581&gt;=원인분석!$C$12,M4581&lt;=원인분석!$C$13),"비교",""))))</f>
        <v/>
      </c>
      <c r="R4581" s="9">
        <f>IF(Q4581="","",$K4581&amp;"")</f>
        <v/>
      </c>
      <c r="S4581" s="9">
        <f>IF(Q4581="","",IF(MATCH(R4581,$R$5:$R$100000,0)=ROW()-4,ROW(),""))</f>
        <v/>
      </c>
      <c r="T4581" s="9">
        <f>IF(Q4581="당기",ABS(P4581)+ROW()/1000000000,"")</f>
        <v/>
      </c>
      <c r="U4581" s="9">
        <f>IF(Q4581="비교",ABS(P4581)+ROW()/1000000000,"")</f>
        <v/>
      </c>
      <c r="V4581" s="64">
        <f>IF($A4581="","",IF(COUNTIF(변동분석!$E$7:$E$506,O4581)&gt;0,"Y","N"))</f>
        <v/>
      </c>
      <c r="W4581" s="64">
        <f>IF($A4581="","",IFERROR(INDEX(계정매핑!$D$5:$D$504,MATCH($F4581&amp;"",계정매핑!$A$5:$A$504,0)),"미매핑"))</f>
        <v/>
      </c>
      <c r="X4581" s="9">
        <f>IF($A4581="","",$F4581&amp;"")</f>
        <v/>
      </c>
      <c r="Y4581" s="94">
        <f>IF($A4581="",0,IF(AE4581="직접",IF(AF4581="비귀속",$P4581,0),$P4581*(1-AG4581)*IFERROR(INDEX(계정대체기준!$F$20:$F$49,MATCH($N4581,계정대체기준!$A$20:$A$49,0)),1)))</f>
        <v/>
      </c>
      <c r="Z4581" s="94">
        <f>IF($A4581="",0,IF(AE4581="직접",IF(AF4581="신계약비",$P4581,0),$P4581*(1-AG4581)*IFERROR(INDEX(계정대체기준!$C$20:$C$49,MATCH($N4581,계정대체기준!$A$20:$A$49,0)),0)))</f>
        <v/>
      </c>
      <c r="AA4581" s="94">
        <f>IF($A4581="",0,IF(AE4581="직접",IF(OR(AF4581="유지비",AF4581="손해조사비"),$P4581,0),$P4581*(1-AG4581)*IFERROR(INDEX(계정대체기준!$D$20:$D$49,MATCH($N4581,계정대체기준!$A$20:$A$49,0)),0)))</f>
        <v/>
      </c>
      <c r="AB4581" s="94">
        <f>IF($A4581="",0,IF(AE4581="직접",IF(AF4581="수금비",$P4581,0),$P4581*(1-AG4581)*IFERROR(INDEX(계정대체기준!$E$20:$E$49,MATCH($N4581,계정대체기준!$A$20:$A$49,0)),0)))</f>
        <v/>
      </c>
      <c r="AC4581" s="9">
        <f>IF(AND($A4581&lt;&gt;"",M4581=설정!$C$20,Z4581&gt;0),Z4581+ROW()/1000000000,"")</f>
        <v/>
      </c>
      <c r="AD4581" s="94">
        <f>IF($A4581="",0,$P4581*AG4581)</f>
        <v/>
      </c>
      <c r="AE4581" s="64">
        <f>IF($A4581="","",IFERROR(INDEX(계정매핑!$E$5:$E$504,MATCH($F4581&amp;"",계정매핑!$A$5:$A$504,0))&amp;"","공통비"))</f>
        <v/>
      </c>
      <c r="AF4581" s="64">
        <f>IF($A4581="","",IF(AE4581="직접",IFERROR(INDEX(계정매핑!$F$5:$F$504,MATCH($F4581&amp;"",계정매핑!$A$5:$A$504,0))&amp;"","비귀속"),""))</f>
        <v/>
      </c>
      <c r="AG4581" s="96">
        <f>IF($A4581="",0,IF(AND(AE4581&lt;&gt;"직접",IFERROR(INDEX(계정매핑!$G$5:$G$504,MATCH($F4581&amp;"",계정매핑!$A$5:$A$504,0))&amp;"","")="유지비",COUNTIF(계정대체기준!$A$6:$A$15,$N4581)&gt;0),IFERROR(INDEX(계정대체기준!$E$6:$E$15,MATCH(VALUE($A4581&amp;""),계정대체기준!$D$6:$D$15,0)),0),0))</f>
        <v/>
      </c>
      <c r="AH4581" s="64">
        <f>IF($A4581="","",IF(AD4581=0,"",IF(OR(COUNTIF(계정대체기준!$A$77:$A$86,$N4581)&gt;0,ISNUMBER(MATCH($X4581,계정대체기준!$D$77:$D$86,0)),ISNUMBER(MATCH($F4581,계정대체기준!$D$77:$D$86,0))),"Y","N")))</f>
        <v/>
      </c>
    </row>
    <row r="4582">
      <c r="A4582" s="92" t="n">
        <v>2026</v>
      </c>
      <c r="B4582" s="92" t="n">
        <v>9</v>
      </c>
      <c r="C4582" s="92" t="inlineStr">
        <is>
          <t>5100001860</t>
        </is>
      </c>
      <c r="D4582" s="95" t="n">
        <v>46269</v>
      </c>
      <c r="E4582" s="92" t="inlineStr">
        <is>
          <t>KR</t>
        </is>
      </c>
      <c r="F4582" s="92" t="n">
        <v>62901000</v>
      </c>
      <c r="G4582" s="92" t="n">
        <v>1201</v>
      </c>
      <c r="H4582" s="93" t="n">
        <v>8825000</v>
      </c>
      <c r="I4582" s="92" t="inlineStr">
        <is>
          <t>9월 자문 수수료 - K회계법인</t>
        </is>
      </c>
      <c r="J4582" s="92" t="inlineStr">
        <is>
          <t>V10011</t>
        </is>
      </c>
      <c r="K4582" s="92" t="inlineStr">
        <is>
          <t>K회계법인</t>
        </is>
      </c>
      <c r="M4582" s="9">
        <f>IF($A4582="","",VALUE($A4582&amp;"")*12+VALUE($B4582&amp;""))</f>
        <v/>
      </c>
      <c r="N4582" s="64">
        <f>IF($A4582="","",IFERROR(INDEX(부서매핑!$C$5:$C$504,MATCH($G4582&amp;"",부서매핑!$A$5:$A$504,0)),"미매핑"))</f>
        <v/>
      </c>
      <c r="O4582" s="9">
        <f>IF($A4582="","",N4582&amp;"|"&amp;$F4582)</f>
        <v/>
      </c>
      <c r="P4582" s="94">
        <f>IF($A4582="",0,$H4582*설정!$C$23)</f>
        <v/>
      </c>
      <c r="Q4582" s="64">
        <f>IF($A4582="","",IF(O4582&lt;&gt;원인분석!$C$9,"",IF(AND(M4582&gt;=원인분석!$C$10,M4582&lt;=원인분석!$C$11),"당기",IF(AND(M4582&gt;=원인분석!$C$12,M4582&lt;=원인분석!$C$13),"비교",""))))</f>
        <v/>
      </c>
      <c r="R4582" s="9">
        <f>IF(Q4582="","",$K4582&amp;"")</f>
        <v/>
      </c>
      <c r="S4582" s="9">
        <f>IF(Q4582="","",IF(MATCH(R4582,$R$5:$R$100000,0)=ROW()-4,ROW(),""))</f>
        <v/>
      </c>
      <c r="T4582" s="9">
        <f>IF(Q4582="당기",ABS(P4582)+ROW()/1000000000,"")</f>
        <v/>
      </c>
      <c r="U4582" s="9">
        <f>IF(Q4582="비교",ABS(P4582)+ROW()/1000000000,"")</f>
        <v/>
      </c>
      <c r="V4582" s="64">
        <f>IF($A4582="","",IF(COUNTIF(변동분석!$E$7:$E$506,O4582)&gt;0,"Y","N"))</f>
        <v/>
      </c>
      <c r="W4582" s="64">
        <f>IF($A4582="","",IFERROR(INDEX(계정매핑!$D$5:$D$504,MATCH($F4582&amp;"",계정매핑!$A$5:$A$504,0)),"미매핑"))</f>
        <v/>
      </c>
      <c r="X4582" s="9">
        <f>IF($A4582="","",$F4582&amp;"")</f>
        <v/>
      </c>
      <c r="Y4582" s="94">
        <f>IF($A4582="",0,IF(AE4582="직접",IF(AF4582="비귀속",$P4582,0),$P4582*(1-AG4582)*IFERROR(INDEX(계정대체기준!$F$20:$F$49,MATCH($N4582,계정대체기준!$A$20:$A$49,0)),1)))</f>
        <v/>
      </c>
      <c r="Z4582" s="94">
        <f>IF($A4582="",0,IF(AE4582="직접",IF(AF4582="신계약비",$P4582,0),$P4582*(1-AG4582)*IFERROR(INDEX(계정대체기준!$C$20:$C$49,MATCH($N4582,계정대체기준!$A$20:$A$49,0)),0)))</f>
        <v/>
      </c>
      <c r="AA4582" s="94">
        <f>IF($A4582="",0,IF(AE4582="직접",IF(OR(AF4582="유지비",AF4582="손해조사비"),$P4582,0),$P4582*(1-AG4582)*IFERROR(INDEX(계정대체기준!$D$20:$D$49,MATCH($N4582,계정대체기준!$A$20:$A$49,0)),0)))</f>
        <v/>
      </c>
      <c r="AB4582" s="94">
        <f>IF($A4582="",0,IF(AE4582="직접",IF(AF4582="수금비",$P4582,0),$P4582*(1-AG4582)*IFERROR(INDEX(계정대체기준!$E$20:$E$49,MATCH($N4582,계정대체기준!$A$20:$A$49,0)),0)))</f>
        <v/>
      </c>
      <c r="AC4582" s="9">
        <f>IF(AND($A4582&lt;&gt;"",M4582=설정!$C$20,Z4582&gt;0),Z4582+ROW()/1000000000,"")</f>
        <v/>
      </c>
      <c r="AD4582" s="94">
        <f>IF($A4582="",0,$P4582*AG4582)</f>
        <v/>
      </c>
      <c r="AE4582" s="64">
        <f>IF($A4582="","",IFERROR(INDEX(계정매핑!$E$5:$E$504,MATCH($F4582&amp;"",계정매핑!$A$5:$A$504,0))&amp;"","공통비"))</f>
        <v/>
      </c>
      <c r="AF4582" s="64">
        <f>IF($A4582="","",IF(AE4582="직접",IFERROR(INDEX(계정매핑!$F$5:$F$504,MATCH($F4582&amp;"",계정매핑!$A$5:$A$504,0))&amp;"","비귀속"),""))</f>
        <v/>
      </c>
      <c r="AG4582" s="96">
        <f>IF($A4582="",0,IF(AND(AE4582&lt;&gt;"직접",IFERROR(INDEX(계정매핑!$G$5:$G$504,MATCH($F4582&amp;"",계정매핑!$A$5:$A$504,0))&amp;"","")="유지비",COUNTIF(계정대체기준!$A$6:$A$15,$N4582)&gt;0),IFERROR(INDEX(계정대체기준!$E$6:$E$15,MATCH(VALUE($A4582&amp;""),계정대체기준!$D$6:$D$15,0)),0),0))</f>
        <v/>
      </c>
      <c r="AH4582" s="64">
        <f>IF($A4582="","",IF(AD4582=0,"",IF(OR(COUNTIF(계정대체기준!$A$77:$A$86,$N4582)&gt;0,ISNUMBER(MATCH($X4582,계정대체기준!$D$77:$D$86,0)),ISNUMBER(MATCH($F4582,계정대체기준!$D$77:$D$86,0))),"Y","N")))</f>
        <v/>
      </c>
    </row>
    <row r="4583">
      <c r="A4583" s="92" t="n">
        <v>2026</v>
      </c>
      <c r="B4583" s="92" t="n">
        <v>9</v>
      </c>
      <c r="C4583" s="92" t="inlineStr">
        <is>
          <t>5100001861</t>
        </is>
      </c>
      <c r="D4583" s="95" t="n">
        <v>46269</v>
      </c>
      <c r="E4583" s="92" t="inlineStr">
        <is>
          <t>KR</t>
        </is>
      </c>
      <c r="F4583" s="92" t="n">
        <v>62901000</v>
      </c>
      <c r="G4583" s="92" t="n">
        <v>1401</v>
      </c>
      <c r="H4583" s="93" t="n">
        <v>4802000</v>
      </c>
      <c r="I4583" s="92" t="inlineStr">
        <is>
          <t>9월 자문 수수료 - W컨설팅</t>
        </is>
      </c>
      <c r="J4583" s="92" t="inlineStr">
        <is>
          <t>V10006</t>
        </is>
      </c>
      <c r="K4583" s="92" t="inlineStr">
        <is>
          <t>W컨설팅</t>
        </is>
      </c>
      <c r="M4583" s="9">
        <f>IF($A4583="","",VALUE($A4583&amp;"")*12+VALUE($B4583&amp;""))</f>
        <v/>
      </c>
      <c r="N4583" s="64">
        <f>IF($A4583="","",IFERROR(INDEX(부서매핑!$C$5:$C$504,MATCH($G4583&amp;"",부서매핑!$A$5:$A$504,0)),"미매핑"))</f>
        <v/>
      </c>
      <c r="O4583" s="9">
        <f>IF($A4583="","",N4583&amp;"|"&amp;$F4583)</f>
        <v/>
      </c>
      <c r="P4583" s="94">
        <f>IF($A4583="",0,$H4583*설정!$C$23)</f>
        <v/>
      </c>
      <c r="Q4583" s="64">
        <f>IF($A4583="","",IF(O4583&lt;&gt;원인분석!$C$9,"",IF(AND(M4583&gt;=원인분석!$C$10,M4583&lt;=원인분석!$C$11),"당기",IF(AND(M4583&gt;=원인분석!$C$12,M4583&lt;=원인분석!$C$13),"비교",""))))</f>
        <v/>
      </c>
      <c r="R4583" s="9">
        <f>IF(Q4583="","",$K4583&amp;"")</f>
        <v/>
      </c>
      <c r="S4583" s="9">
        <f>IF(Q4583="","",IF(MATCH(R4583,$R$5:$R$100000,0)=ROW()-4,ROW(),""))</f>
        <v/>
      </c>
      <c r="T4583" s="9">
        <f>IF(Q4583="당기",ABS(P4583)+ROW()/1000000000,"")</f>
        <v/>
      </c>
      <c r="U4583" s="9">
        <f>IF(Q4583="비교",ABS(P4583)+ROW()/1000000000,"")</f>
        <v/>
      </c>
      <c r="V4583" s="64">
        <f>IF($A4583="","",IF(COUNTIF(변동분석!$E$7:$E$506,O4583)&gt;0,"Y","N"))</f>
        <v/>
      </c>
      <c r="W4583" s="64">
        <f>IF($A4583="","",IFERROR(INDEX(계정매핑!$D$5:$D$504,MATCH($F4583&amp;"",계정매핑!$A$5:$A$504,0)),"미매핑"))</f>
        <v/>
      </c>
      <c r="X4583" s="9">
        <f>IF($A4583="","",$F4583&amp;"")</f>
        <v/>
      </c>
      <c r="Y4583" s="94">
        <f>IF($A4583="",0,IF(AE4583="직접",IF(AF4583="비귀속",$P4583,0),$P4583*(1-AG4583)*IFERROR(INDEX(계정대체기준!$F$20:$F$49,MATCH($N4583,계정대체기준!$A$20:$A$49,0)),1)))</f>
        <v/>
      </c>
      <c r="Z4583" s="94">
        <f>IF($A4583="",0,IF(AE4583="직접",IF(AF4583="신계약비",$P4583,0),$P4583*(1-AG4583)*IFERROR(INDEX(계정대체기준!$C$20:$C$49,MATCH($N4583,계정대체기준!$A$20:$A$49,0)),0)))</f>
        <v/>
      </c>
      <c r="AA4583" s="94">
        <f>IF($A4583="",0,IF(AE4583="직접",IF(OR(AF4583="유지비",AF4583="손해조사비"),$P4583,0),$P4583*(1-AG4583)*IFERROR(INDEX(계정대체기준!$D$20:$D$49,MATCH($N4583,계정대체기준!$A$20:$A$49,0)),0)))</f>
        <v/>
      </c>
      <c r="AB4583" s="94">
        <f>IF($A4583="",0,IF(AE4583="직접",IF(AF4583="수금비",$P4583,0),$P4583*(1-AG4583)*IFERROR(INDEX(계정대체기준!$E$20:$E$49,MATCH($N4583,계정대체기준!$A$20:$A$49,0)),0)))</f>
        <v/>
      </c>
      <c r="AC4583" s="9">
        <f>IF(AND($A4583&lt;&gt;"",M4583=설정!$C$20,Z4583&gt;0),Z4583+ROW()/1000000000,"")</f>
        <v/>
      </c>
      <c r="AD4583" s="94">
        <f>IF($A4583="",0,$P4583*AG4583)</f>
        <v/>
      </c>
      <c r="AE4583" s="64">
        <f>IF($A4583="","",IFERROR(INDEX(계정매핑!$E$5:$E$504,MATCH($F4583&amp;"",계정매핑!$A$5:$A$504,0))&amp;"","공통비"))</f>
        <v/>
      </c>
      <c r="AF4583" s="64">
        <f>IF($A4583="","",IF(AE4583="직접",IFERROR(INDEX(계정매핑!$F$5:$F$504,MATCH($F4583&amp;"",계정매핑!$A$5:$A$504,0))&amp;"","비귀속"),""))</f>
        <v/>
      </c>
      <c r="AG4583" s="96">
        <f>IF($A4583="",0,IF(AND(AE4583&lt;&gt;"직접",IFERROR(INDEX(계정매핑!$G$5:$G$504,MATCH($F4583&amp;"",계정매핑!$A$5:$A$504,0))&amp;"","")="유지비",COUNTIF(계정대체기준!$A$6:$A$15,$N4583)&gt;0),IFERROR(INDEX(계정대체기준!$E$6:$E$15,MATCH(VALUE($A4583&amp;""),계정대체기준!$D$6:$D$15,0)),0),0))</f>
        <v/>
      </c>
      <c r="AH4583" s="64">
        <f>IF($A4583="","",IF(AD4583=0,"",IF(OR(COUNTIF(계정대체기준!$A$77:$A$86,$N4583)&gt;0,ISNUMBER(MATCH($X4583,계정대체기준!$D$77:$D$86,0)),ISNUMBER(MATCH($F4583,계정대체기준!$D$77:$D$86,0))),"Y","N")))</f>
        <v/>
      </c>
    </row>
    <row r="4584">
      <c r="A4584" s="92" t="n">
        <v>2026</v>
      </c>
      <c r="B4584" s="92" t="n">
        <v>9</v>
      </c>
      <c r="C4584" s="92" t="inlineStr">
        <is>
          <t>5100001862</t>
        </is>
      </c>
      <c r="D4584" s="95" t="n">
        <v>46269</v>
      </c>
      <c r="E4584" s="92" t="inlineStr">
        <is>
          <t>KR</t>
        </is>
      </c>
      <c r="F4584" s="92" t="n">
        <v>62902000</v>
      </c>
      <c r="G4584" s="92" t="n">
        <v>1101</v>
      </c>
      <c r="H4584" s="93" t="n">
        <v>1599000</v>
      </c>
      <c r="I4584" s="92" t="inlineStr">
        <is>
          <t>9월 업무 위탁 수수료 - X서비스</t>
        </is>
      </c>
      <c r="J4584" s="92" t="inlineStr">
        <is>
          <t>V10020</t>
        </is>
      </c>
      <c r="K4584" s="92" t="inlineStr">
        <is>
          <t>X서비스</t>
        </is>
      </c>
      <c r="M4584" s="9">
        <f>IF($A4584="","",VALUE($A4584&amp;"")*12+VALUE($B4584&amp;""))</f>
        <v/>
      </c>
      <c r="N4584" s="64">
        <f>IF($A4584="","",IFERROR(INDEX(부서매핑!$C$5:$C$504,MATCH($G4584&amp;"",부서매핑!$A$5:$A$504,0)),"미매핑"))</f>
        <v/>
      </c>
      <c r="O4584" s="9">
        <f>IF($A4584="","",N4584&amp;"|"&amp;$F4584)</f>
        <v/>
      </c>
      <c r="P4584" s="94">
        <f>IF($A4584="",0,$H4584*설정!$C$23)</f>
        <v/>
      </c>
      <c r="Q4584" s="64">
        <f>IF($A4584="","",IF(O4584&lt;&gt;원인분석!$C$9,"",IF(AND(M4584&gt;=원인분석!$C$10,M4584&lt;=원인분석!$C$11),"당기",IF(AND(M4584&gt;=원인분석!$C$12,M4584&lt;=원인분석!$C$13),"비교",""))))</f>
        <v/>
      </c>
      <c r="R4584" s="9">
        <f>IF(Q4584="","",$K4584&amp;"")</f>
        <v/>
      </c>
      <c r="S4584" s="9">
        <f>IF(Q4584="","",IF(MATCH(R4584,$R$5:$R$100000,0)=ROW()-4,ROW(),""))</f>
        <v/>
      </c>
      <c r="T4584" s="9">
        <f>IF(Q4584="당기",ABS(P4584)+ROW()/1000000000,"")</f>
        <v/>
      </c>
      <c r="U4584" s="9">
        <f>IF(Q4584="비교",ABS(P4584)+ROW()/1000000000,"")</f>
        <v/>
      </c>
      <c r="V4584" s="64">
        <f>IF($A4584="","",IF(COUNTIF(변동분석!$E$7:$E$506,O4584)&gt;0,"Y","N"))</f>
        <v/>
      </c>
      <c r="W4584" s="64">
        <f>IF($A4584="","",IFERROR(INDEX(계정매핑!$D$5:$D$504,MATCH($F4584&amp;"",계정매핑!$A$5:$A$504,0)),"미매핑"))</f>
        <v/>
      </c>
      <c r="X4584" s="9">
        <f>IF($A4584="","",$F4584&amp;"")</f>
        <v/>
      </c>
      <c r="Y4584" s="94">
        <f>IF($A4584="",0,IF(AE4584="직접",IF(AF4584="비귀속",$P4584,0),$P4584*(1-AG4584)*IFERROR(INDEX(계정대체기준!$F$20:$F$49,MATCH($N4584,계정대체기준!$A$20:$A$49,0)),1)))</f>
        <v/>
      </c>
      <c r="Z4584" s="94">
        <f>IF($A4584="",0,IF(AE4584="직접",IF(AF4584="신계약비",$P4584,0),$P4584*(1-AG4584)*IFERROR(INDEX(계정대체기준!$C$20:$C$49,MATCH($N4584,계정대체기준!$A$20:$A$49,0)),0)))</f>
        <v/>
      </c>
      <c r="AA4584" s="94">
        <f>IF($A4584="",0,IF(AE4584="직접",IF(OR(AF4584="유지비",AF4584="손해조사비"),$P4584,0),$P4584*(1-AG4584)*IFERROR(INDEX(계정대체기준!$D$20:$D$49,MATCH($N4584,계정대체기준!$A$20:$A$49,0)),0)))</f>
        <v/>
      </c>
      <c r="AB4584" s="94">
        <f>IF($A4584="",0,IF(AE4584="직접",IF(AF4584="수금비",$P4584,0),$P4584*(1-AG4584)*IFERROR(INDEX(계정대체기준!$E$20:$E$49,MATCH($N4584,계정대체기준!$A$20:$A$49,0)),0)))</f>
        <v/>
      </c>
      <c r="AC4584" s="9">
        <f>IF(AND($A4584&lt;&gt;"",M4584=설정!$C$20,Z4584&gt;0),Z4584+ROW()/1000000000,"")</f>
        <v/>
      </c>
      <c r="AD4584" s="94">
        <f>IF($A4584="",0,$P4584*AG4584)</f>
        <v/>
      </c>
      <c r="AE4584" s="64">
        <f>IF($A4584="","",IFERROR(INDEX(계정매핑!$E$5:$E$504,MATCH($F4584&amp;"",계정매핑!$A$5:$A$504,0))&amp;"","공통비"))</f>
        <v/>
      </c>
      <c r="AF4584" s="64">
        <f>IF($A4584="","",IF(AE4584="직접",IFERROR(INDEX(계정매핑!$F$5:$F$504,MATCH($F4584&amp;"",계정매핑!$A$5:$A$504,0))&amp;"","비귀속"),""))</f>
        <v/>
      </c>
      <c r="AG4584" s="96">
        <f>IF($A4584="",0,IF(AND(AE4584&lt;&gt;"직접",IFERROR(INDEX(계정매핑!$G$5:$G$504,MATCH($F4584&amp;"",계정매핑!$A$5:$A$504,0))&amp;"","")="유지비",COUNTIF(계정대체기준!$A$6:$A$15,$N4584)&gt;0),IFERROR(INDEX(계정대체기준!$E$6:$E$15,MATCH(VALUE($A4584&amp;""),계정대체기준!$D$6:$D$15,0)),0),0))</f>
        <v/>
      </c>
      <c r="AH4584" s="64">
        <f>IF($A4584="","",IF(AD4584=0,"",IF(OR(COUNTIF(계정대체기준!$A$77:$A$86,$N4584)&gt;0,ISNUMBER(MATCH($X4584,계정대체기준!$D$77:$D$86,0)),ISNUMBER(MATCH($F4584,계정대체기준!$D$77:$D$86,0))),"Y","N")))</f>
        <v/>
      </c>
    </row>
    <row r="4585">
      <c r="A4585" s="92" t="n">
        <v>2026</v>
      </c>
      <c r="B4585" s="92" t="n">
        <v>9</v>
      </c>
      <c r="C4585" s="92" t="inlineStr">
        <is>
          <t>5100001863</t>
        </is>
      </c>
      <c r="D4585" s="95" t="n">
        <v>46269</v>
      </c>
      <c r="E4585" s="92" t="inlineStr">
        <is>
          <t>KR</t>
        </is>
      </c>
      <c r="F4585" s="92" t="n">
        <v>62902000</v>
      </c>
      <c r="G4585" s="92" t="n">
        <v>1401</v>
      </c>
      <c r="H4585" s="93" t="n">
        <v>3337000</v>
      </c>
      <c r="I4585" s="92" t="inlineStr">
        <is>
          <t>9월 업무 위탁 수수료 - J콜센터</t>
        </is>
      </c>
      <c r="J4585" s="92" t="inlineStr">
        <is>
          <t>V10016</t>
        </is>
      </c>
      <c r="K4585" s="92" t="inlineStr">
        <is>
          <t>J콜센터</t>
        </is>
      </c>
      <c r="M4585" s="9">
        <f>IF($A4585="","",VALUE($A4585&amp;"")*12+VALUE($B4585&amp;""))</f>
        <v/>
      </c>
      <c r="N4585" s="64">
        <f>IF($A4585="","",IFERROR(INDEX(부서매핑!$C$5:$C$504,MATCH($G4585&amp;"",부서매핑!$A$5:$A$504,0)),"미매핑"))</f>
        <v/>
      </c>
      <c r="O4585" s="9">
        <f>IF($A4585="","",N4585&amp;"|"&amp;$F4585)</f>
        <v/>
      </c>
      <c r="P4585" s="94">
        <f>IF($A4585="",0,$H4585*설정!$C$23)</f>
        <v/>
      </c>
      <c r="Q4585" s="64">
        <f>IF($A4585="","",IF(O4585&lt;&gt;원인분석!$C$9,"",IF(AND(M4585&gt;=원인분석!$C$10,M4585&lt;=원인분석!$C$11),"당기",IF(AND(M4585&gt;=원인분석!$C$12,M4585&lt;=원인분석!$C$13),"비교",""))))</f>
        <v/>
      </c>
      <c r="R4585" s="9">
        <f>IF(Q4585="","",$K4585&amp;"")</f>
        <v/>
      </c>
      <c r="S4585" s="9">
        <f>IF(Q4585="","",IF(MATCH(R4585,$R$5:$R$100000,0)=ROW()-4,ROW(),""))</f>
        <v/>
      </c>
      <c r="T4585" s="9">
        <f>IF(Q4585="당기",ABS(P4585)+ROW()/1000000000,"")</f>
        <v/>
      </c>
      <c r="U4585" s="9">
        <f>IF(Q4585="비교",ABS(P4585)+ROW()/1000000000,"")</f>
        <v/>
      </c>
      <c r="V4585" s="64">
        <f>IF($A4585="","",IF(COUNTIF(변동분석!$E$7:$E$506,O4585)&gt;0,"Y","N"))</f>
        <v/>
      </c>
      <c r="W4585" s="64">
        <f>IF($A4585="","",IFERROR(INDEX(계정매핑!$D$5:$D$504,MATCH($F4585&amp;"",계정매핑!$A$5:$A$504,0)),"미매핑"))</f>
        <v/>
      </c>
      <c r="X4585" s="9">
        <f>IF($A4585="","",$F4585&amp;"")</f>
        <v/>
      </c>
      <c r="Y4585" s="94">
        <f>IF($A4585="",0,IF(AE4585="직접",IF(AF4585="비귀속",$P4585,0),$P4585*(1-AG4585)*IFERROR(INDEX(계정대체기준!$F$20:$F$49,MATCH($N4585,계정대체기준!$A$20:$A$49,0)),1)))</f>
        <v/>
      </c>
      <c r="Z4585" s="94">
        <f>IF($A4585="",0,IF(AE4585="직접",IF(AF4585="신계약비",$P4585,0),$P4585*(1-AG4585)*IFERROR(INDEX(계정대체기준!$C$20:$C$49,MATCH($N4585,계정대체기준!$A$20:$A$49,0)),0)))</f>
        <v/>
      </c>
      <c r="AA4585" s="94">
        <f>IF($A4585="",0,IF(AE4585="직접",IF(OR(AF4585="유지비",AF4585="손해조사비"),$P4585,0),$P4585*(1-AG4585)*IFERROR(INDEX(계정대체기준!$D$20:$D$49,MATCH($N4585,계정대체기준!$A$20:$A$49,0)),0)))</f>
        <v/>
      </c>
      <c r="AB4585" s="94">
        <f>IF($A4585="",0,IF(AE4585="직접",IF(AF4585="수금비",$P4585,0),$P4585*(1-AG4585)*IFERROR(INDEX(계정대체기준!$E$20:$E$49,MATCH($N4585,계정대체기준!$A$20:$A$49,0)),0)))</f>
        <v/>
      </c>
      <c r="AC4585" s="9">
        <f>IF(AND($A4585&lt;&gt;"",M4585=설정!$C$20,Z4585&gt;0),Z4585+ROW()/1000000000,"")</f>
        <v/>
      </c>
      <c r="AD4585" s="94">
        <f>IF($A4585="",0,$P4585*AG4585)</f>
        <v/>
      </c>
      <c r="AE4585" s="64">
        <f>IF($A4585="","",IFERROR(INDEX(계정매핑!$E$5:$E$504,MATCH($F4585&amp;"",계정매핑!$A$5:$A$504,0))&amp;"","공통비"))</f>
        <v/>
      </c>
      <c r="AF4585" s="64">
        <f>IF($A4585="","",IF(AE4585="직접",IFERROR(INDEX(계정매핑!$F$5:$F$504,MATCH($F4585&amp;"",계정매핑!$A$5:$A$504,0))&amp;"","비귀속"),""))</f>
        <v/>
      </c>
      <c r="AG4585" s="96">
        <f>IF($A4585="",0,IF(AND(AE4585&lt;&gt;"직접",IFERROR(INDEX(계정매핑!$G$5:$G$504,MATCH($F4585&amp;"",계정매핑!$A$5:$A$504,0))&amp;"","")="유지비",COUNTIF(계정대체기준!$A$6:$A$15,$N4585)&gt;0),IFERROR(INDEX(계정대체기준!$E$6:$E$15,MATCH(VALUE($A4585&amp;""),계정대체기준!$D$6:$D$15,0)),0),0))</f>
        <v/>
      </c>
      <c r="AH4585" s="64">
        <f>IF($A4585="","",IF(AD4585=0,"",IF(OR(COUNTIF(계정대체기준!$A$77:$A$86,$N4585)&gt;0,ISNUMBER(MATCH($X4585,계정대체기준!$D$77:$D$86,0)),ISNUMBER(MATCH($F4585,계정대체기준!$D$77:$D$86,0))),"Y","N")))</f>
        <v/>
      </c>
    </row>
    <row r="4586">
      <c r="A4586" s="92" t="n">
        <v>2026</v>
      </c>
      <c r="B4586" s="92" t="n">
        <v>9</v>
      </c>
      <c r="C4586" s="92" t="inlineStr">
        <is>
          <t>5100001864</t>
        </is>
      </c>
      <c r="D4586" s="95" t="n">
        <v>46269</v>
      </c>
      <c r="E4586" s="92" t="inlineStr">
        <is>
          <t>KR</t>
        </is>
      </c>
      <c r="F4586" s="92" t="n">
        <v>62902000</v>
      </c>
      <c r="G4586" s="92" t="n">
        <v>1801</v>
      </c>
      <c r="H4586" s="93" t="n">
        <v>1793000</v>
      </c>
      <c r="I4586" s="92" t="inlineStr">
        <is>
          <t>9월 콜 위탁 수수료(건별)</t>
        </is>
      </c>
      <c r="J4586" s="92" t="inlineStr">
        <is>
          <t>V10016</t>
        </is>
      </c>
      <c r="K4586" s="92" t="inlineStr">
        <is>
          <t>J콜센터</t>
        </is>
      </c>
      <c r="M4586" s="9">
        <f>IF($A4586="","",VALUE($A4586&amp;"")*12+VALUE($B4586&amp;""))</f>
        <v/>
      </c>
      <c r="N4586" s="64">
        <f>IF($A4586="","",IFERROR(INDEX(부서매핑!$C$5:$C$504,MATCH($G4586&amp;"",부서매핑!$A$5:$A$504,0)),"미매핑"))</f>
        <v/>
      </c>
      <c r="O4586" s="9">
        <f>IF($A4586="","",N4586&amp;"|"&amp;$F4586)</f>
        <v/>
      </c>
      <c r="P4586" s="94">
        <f>IF($A4586="",0,$H4586*설정!$C$23)</f>
        <v/>
      </c>
      <c r="Q4586" s="64">
        <f>IF($A4586="","",IF(O4586&lt;&gt;원인분석!$C$9,"",IF(AND(M4586&gt;=원인분석!$C$10,M4586&lt;=원인분석!$C$11),"당기",IF(AND(M4586&gt;=원인분석!$C$12,M4586&lt;=원인분석!$C$13),"비교",""))))</f>
        <v/>
      </c>
      <c r="R4586" s="9">
        <f>IF(Q4586="","",$K4586&amp;"")</f>
        <v/>
      </c>
      <c r="S4586" s="9">
        <f>IF(Q4586="","",IF(MATCH(R4586,$R$5:$R$100000,0)=ROW()-4,ROW(),""))</f>
        <v/>
      </c>
      <c r="T4586" s="9">
        <f>IF(Q4586="당기",ABS(P4586)+ROW()/1000000000,"")</f>
        <v/>
      </c>
      <c r="U4586" s="9">
        <f>IF(Q4586="비교",ABS(P4586)+ROW()/1000000000,"")</f>
        <v/>
      </c>
      <c r="V4586" s="64">
        <f>IF($A4586="","",IF(COUNTIF(변동분석!$E$7:$E$506,O4586)&gt;0,"Y","N"))</f>
        <v/>
      </c>
      <c r="W4586" s="64">
        <f>IF($A4586="","",IFERROR(INDEX(계정매핑!$D$5:$D$504,MATCH($F4586&amp;"",계정매핑!$A$5:$A$504,0)),"미매핑"))</f>
        <v/>
      </c>
      <c r="X4586" s="9">
        <f>IF($A4586="","",$F4586&amp;"")</f>
        <v/>
      </c>
      <c r="Y4586" s="94">
        <f>IF($A4586="",0,IF(AE4586="직접",IF(AF4586="비귀속",$P4586,0),$P4586*(1-AG4586)*IFERROR(INDEX(계정대체기준!$F$20:$F$49,MATCH($N4586,계정대체기준!$A$20:$A$49,0)),1)))</f>
        <v/>
      </c>
      <c r="Z4586" s="94">
        <f>IF($A4586="",0,IF(AE4586="직접",IF(AF4586="신계약비",$P4586,0),$P4586*(1-AG4586)*IFERROR(INDEX(계정대체기준!$C$20:$C$49,MATCH($N4586,계정대체기준!$A$20:$A$49,0)),0)))</f>
        <v/>
      </c>
      <c r="AA4586" s="94">
        <f>IF($A4586="",0,IF(AE4586="직접",IF(OR(AF4586="유지비",AF4586="손해조사비"),$P4586,0),$P4586*(1-AG4586)*IFERROR(INDEX(계정대체기준!$D$20:$D$49,MATCH($N4586,계정대체기준!$A$20:$A$49,0)),0)))</f>
        <v/>
      </c>
      <c r="AB4586" s="94">
        <f>IF($A4586="",0,IF(AE4586="직접",IF(AF4586="수금비",$P4586,0),$P4586*(1-AG4586)*IFERROR(INDEX(계정대체기준!$E$20:$E$49,MATCH($N4586,계정대체기준!$A$20:$A$49,0)),0)))</f>
        <v/>
      </c>
      <c r="AC4586" s="9">
        <f>IF(AND($A4586&lt;&gt;"",M4586=설정!$C$20,Z4586&gt;0),Z4586+ROW()/1000000000,"")</f>
        <v/>
      </c>
      <c r="AD4586" s="94">
        <f>IF($A4586="",0,$P4586*AG4586)</f>
        <v/>
      </c>
      <c r="AE4586" s="64">
        <f>IF($A4586="","",IFERROR(INDEX(계정매핑!$E$5:$E$504,MATCH($F4586&amp;"",계정매핑!$A$5:$A$504,0))&amp;"","공통비"))</f>
        <v/>
      </c>
      <c r="AF4586" s="64">
        <f>IF($A4586="","",IF(AE4586="직접",IFERROR(INDEX(계정매핑!$F$5:$F$504,MATCH($F4586&amp;"",계정매핑!$A$5:$A$504,0))&amp;"","비귀속"),""))</f>
        <v/>
      </c>
      <c r="AG4586" s="96">
        <f>IF($A4586="",0,IF(AND(AE4586&lt;&gt;"직접",IFERROR(INDEX(계정매핑!$G$5:$G$504,MATCH($F4586&amp;"",계정매핑!$A$5:$A$504,0))&amp;"","")="유지비",COUNTIF(계정대체기준!$A$6:$A$15,$N4586)&gt;0),IFERROR(INDEX(계정대체기준!$E$6:$E$15,MATCH(VALUE($A4586&amp;""),계정대체기준!$D$6:$D$15,0)),0),0))</f>
        <v/>
      </c>
      <c r="AH4586" s="64">
        <f>IF($A4586="","",IF(AD4586=0,"",IF(OR(COUNTIF(계정대체기준!$A$77:$A$86,$N4586)&gt;0,ISNUMBER(MATCH($X4586,계정대체기준!$D$77:$D$86,0)),ISNUMBER(MATCH($F4586,계정대체기준!$D$77:$D$86,0))),"Y","N")))</f>
        <v/>
      </c>
    </row>
    <row r="4587">
      <c r="A4587" s="92" t="n">
        <v>2026</v>
      </c>
      <c r="B4587" s="92" t="n">
        <v>9</v>
      </c>
      <c r="C4587" s="92" t="inlineStr">
        <is>
          <t>5100001865</t>
        </is>
      </c>
      <c r="D4587" s="95" t="n">
        <v>46270</v>
      </c>
      <c r="E4587" s="92" t="inlineStr">
        <is>
          <t>KR</t>
        </is>
      </c>
      <c r="F4587" s="92" t="n">
        <v>62101000</v>
      </c>
      <c r="G4587" s="92" t="n">
        <v>1301</v>
      </c>
      <c r="H4587" s="93" t="n">
        <v>316000</v>
      </c>
      <c r="I4587" s="92" t="inlineStr">
        <is>
          <t>9월 국내출장 - (법인카드)</t>
        </is>
      </c>
      <c r="J4587" s="92" t="inlineStr">
        <is>
          <t>V10010</t>
        </is>
      </c>
      <c r="K4587" s="92" t="inlineStr">
        <is>
          <t>(법인카드)</t>
        </is>
      </c>
      <c r="M4587" s="9">
        <f>IF($A4587="","",VALUE($A4587&amp;"")*12+VALUE($B4587&amp;""))</f>
        <v/>
      </c>
      <c r="N4587" s="64">
        <f>IF($A4587="","",IFERROR(INDEX(부서매핑!$C$5:$C$504,MATCH($G4587&amp;"",부서매핑!$A$5:$A$504,0)),"미매핑"))</f>
        <v/>
      </c>
      <c r="O4587" s="9">
        <f>IF($A4587="","",N4587&amp;"|"&amp;$F4587)</f>
        <v/>
      </c>
      <c r="P4587" s="94">
        <f>IF($A4587="",0,$H4587*설정!$C$23)</f>
        <v/>
      </c>
      <c r="Q4587" s="64">
        <f>IF($A4587="","",IF(O4587&lt;&gt;원인분석!$C$9,"",IF(AND(M4587&gt;=원인분석!$C$10,M4587&lt;=원인분석!$C$11),"당기",IF(AND(M4587&gt;=원인분석!$C$12,M4587&lt;=원인분석!$C$13),"비교",""))))</f>
        <v/>
      </c>
      <c r="R4587" s="9">
        <f>IF(Q4587="","",$K4587&amp;"")</f>
        <v/>
      </c>
      <c r="S4587" s="9">
        <f>IF(Q4587="","",IF(MATCH(R4587,$R$5:$R$100000,0)=ROW()-4,ROW(),""))</f>
        <v/>
      </c>
      <c r="T4587" s="9">
        <f>IF(Q4587="당기",ABS(P4587)+ROW()/1000000000,"")</f>
        <v/>
      </c>
      <c r="U4587" s="9">
        <f>IF(Q4587="비교",ABS(P4587)+ROW()/1000000000,"")</f>
        <v/>
      </c>
      <c r="V4587" s="64">
        <f>IF($A4587="","",IF(COUNTIF(변동분석!$E$7:$E$506,O4587)&gt;0,"Y","N"))</f>
        <v/>
      </c>
      <c r="W4587" s="64">
        <f>IF($A4587="","",IFERROR(INDEX(계정매핑!$D$5:$D$504,MATCH($F4587&amp;"",계정매핑!$A$5:$A$504,0)),"미매핑"))</f>
        <v/>
      </c>
      <c r="X4587" s="9">
        <f>IF($A4587="","",$F4587&amp;"")</f>
        <v/>
      </c>
      <c r="Y4587" s="94">
        <f>IF($A4587="",0,IF(AE4587="직접",IF(AF4587="비귀속",$P4587,0),$P4587*(1-AG4587)*IFERROR(INDEX(계정대체기준!$F$20:$F$49,MATCH($N4587,계정대체기준!$A$20:$A$49,0)),1)))</f>
        <v/>
      </c>
      <c r="Z4587" s="94">
        <f>IF($A4587="",0,IF(AE4587="직접",IF(AF4587="신계약비",$P4587,0),$P4587*(1-AG4587)*IFERROR(INDEX(계정대체기준!$C$20:$C$49,MATCH($N4587,계정대체기준!$A$20:$A$49,0)),0)))</f>
        <v/>
      </c>
      <c r="AA4587" s="94">
        <f>IF($A4587="",0,IF(AE4587="직접",IF(OR(AF4587="유지비",AF4587="손해조사비"),$P4587,0),$P4587*(1-AG4587)*IFERROR(INDEX(계정대체기준!$D$20:$D$49,MATCH($N4587,계정대체기준!$A$20:$A$49,0)),0)))</f>
        <v/>
      </c>
      <c r="AB4587" s="94">
        <f>IF($A4587="",0,IF(AE4587="직접",IF(AF4587="수금비",$P4587,0),$P4587*(1-AG4587)*IFERROR(INDEX(계정대체기준!$E$20:$E$49,MATCH($N4587,계정대체기준!$A$20:$A$49,0)),0)))</f>
        <v/>
      </c>
      <c r="AC4587" s="9">
        <f>IF(AND($A4587&lt;&gt;"",M4587=설정!$C$20,Z4587&gt;0),Z4587+ROW()/1000000000,"")</f>
        <v/>
      </c>
      <c r="AD4587" s="94">
        <f>IF($A4587="",0,$P4587*AG4587)</f>
        <v/>
      </c>
      <c r="AE4587" s="64">
        <f>IF($A4587="","",IFERROR(INDEX(계정매핑!$E$5:$E$504,MATCH($F4587&amp;"",계정매핑!$A$5:$A$504,0))&amp;"","공통비"))</f>
        <v/>
      </c>
      <c r="AF4587" s="64">
        <f>IF($A4587="","",IF(AE4587="직접",IFERROR(INDEX(계정매핑!$F$5:$F$504,MATCH($F4587&amp;"",계정매핑!$A$5:$A$504,0))&amp;"","비귀속"),""))</f>
        <v/>
      </c>
      <c r="AG4587" s="96">
        <f>IF($A4587="",0,IF(AND(AE4587&lt;&gt;"직접",IFERROR(INDEX(계정매핑!$G$5:$G$504,MATCH($F4587&amp;"",계정매핑!$A$5:$A$504,0))&amp;"","")="유지비",COUNTIF(계정대체기준!$A$6:$A$15,$N4587)&gt;0),IFERROR(INDEX(계정대체기준!$E$6:$E$15,MATCH(VALUE($A4587&amp;""),계정대체기준!$D$6:$D$15,0)),0),0))</f>
        <v/>
      </c>
      <c r="AH4587" s="64">
        <f>IF($A4587="","",IF(AD4587=0,"",IF(OR(COUNTIF(계정대체기준!$A$77:$A$86,$N4587)&gt;0,ISNUMBER(MATCH($X4587,계정대체기준!$D$77:$D$86,0)),ISNUMBER(MATCH($F4587,계정대체기준!$D$77:$D$86,0))),"Y","N")))</f>
        <v/>
      </c>
    </row>
    <row r="4588">
      <c r="A4588" s="92" t="n">
        <v>2026</v>
      </c>
      <c r="B4588" s="92" t="n">
        <v>9</v>
      </c>
      <c r="C4588" s="92" t="inlineStr">
        <is>
          <t>5100001866</t>
        </is>
      </c>
      <c r="D4588" s="95" t="n">
        <v>46270</v>
      </c>
      <c r="E4588" s="92" t="inlineStr">
        <is>
          <t>KR</t>
        </is>
      </c>
      <c r="F4588" s="92" t="n">
        <v>62101000</v>
      </c>
      <c r="G4588" s="92" t="n">
        <v>1401</v>
      </c>
      <c r="H4588" s="93" t="n">
        <v>338000</v>
      </c>
      <c r="I4588" s="92" t="inlineStr">
        <is>
          <t>9월 국내출장 - M항공</t>
        </is>
      </c>
      <c r="J4588" s="92" t="inlineStr">
        <is>
          <t>V10001</t>
        </is>
      </c>
      <c r="K4588" s="92" t="inlineStr">
        <is>
          <t>M항공</t>
        </is>
      </c>
      <c r="M4588" s="9">
        <f>IF($A4588="","",VALUE($A4588&amp;"")*12+VALUE($B4588&amp;""))</f>
        <v/>
      </c>
      <c r="N4588" s="64">
        <f>IF($A4588="","",IFERROR(INDEX(부서매핑!$C$5:$C$504,MATCH($G4588&amp;"",부서매핑!$A$5:$A$504,0)),"미매핑"))</f>
        <v/>
      </c>
      <c r="O4588" s="9">
        <f>IF($A4588="","",N4588&amp;"|"&amp;$F4588)</f>
        <v/>
      </c>
      <c r="P4588" s="94">
        <f>IF($A4588="",0,$H4588*설정!$C$23)</f>
        <v/>
      </c>
      <c r="Q4588" s="64">
        <f>IF($A4588="","",IF(O4588&lt;&gt;원인분석!$C$9,"",IF(AND(M4588&gt;=원인분석!$C$10,M4588&lt;=원인분석!$C$11),"당기",IF(AND(M4588&gt;=원인분석!$C$12,M4588&lt;=원인분석!$C$13),"비교",""))))</f>
        <v/>
      </c>
      <c r="R4588" s="9">
        <f>IF(Q4588="","",$K4588&amp;"")</f>
        <v/>
      </c>
      <c r="S4588" s="9">
        <f>IF(Q4588="","",IF(MATCH(R4588,$R$5:$R$100000,0)=ROW()-4,ROW(),""))</f>
        <v/>
      </c>
      <c r="T4588" s="9">
        <f>IF(Q4588="당기",ABS(P4588)+ROW()/1000000000,"")</f>
        <v/>
      </c>
      <c r="U4588" s="9">
        <f>IF(Q4588="비교",ABS(P4588)+ROW()/1000000000,"")</f>
        <v/>
      </c>
      <c r="V4588" s="64">
        <f>IF($A4588="","",IF(COUNTIF(변동분석!$E$7:$E$506,O4588)&gt;0,"Y","N"))</f>
        <v/>
      </c>
      <c r="W4588" s="64">
        <f>IF($A4588="","",IFERROR(INDEX(계정매핑!$D$5:$D$504,MATCH($F4588&amp;"",계정매핑!$A$5:$A$504,0)),"미매핑"))</f>
        <v/>
      </c>
      <c r="X4588" s="9">
        <f>IF($A4588="","",$F4588&amp;"")</f>
        <v/>
      </c>
      <c r="Y4588" s="94">
        <f>IF($A4588="",0,IF(AE4588="직접",IF(AF4588="비귀속",$P4588,0),$P4588*(1-AG4588)*IFERROR(INDEX(계정대체기준!$F$20:$F$49,MATCH($N4588,계정대체기준!$A$20:$A$49,0)),1)))</f>
        <v/>
      </c>
      <c r="Z4588" s="94">
        <f>IF($A4588="",0,IF(AE4588="직접",IF(AF4588="신계약비",$P4588,0),$P4588*(1-AG4588)*IFERROR(INDEX(계정대체기준!$C$20:$C$49,MATCH($N4588,계정대체기준!$A$20:$A$49,0)),0)))</f>
        <v/>
      </c>
      <c r="AA4588" s="94">
        <f>IF($A4588="",0,IF(AE4588="직접",IF(OR(AF4588="유지비",AF4588="손해조사비"),$P4588,0),$P4588*(1-AG4588)*IFERROR(INDEX(계정대체기준!$D$20:$D$49,MATCH($N4588,계정대체기준!$A$20:$A$49,0)),0)))</f>
        <v/>
      </c>
      <c r="AB4588" s="94">
        <f>IF($A4588="",0,IF(AE4588="직접",IF(AF4588="수금비",$P4588,0),$P4588*(1-AG4588)*IFERROR(INDEX(계정대체기준!$E$20:$E$49,MATCH($N4588,계정대체기준!$A$20:$A$49,0)),0)))</f>
        <v/>
      </c>
      <c r="AC4588" s="9">
        <f>IF(AND($A4588&lt;&gt;"",M4588=설정!$C$20,Z4588&gt;0),Z4588+ROW()/1000000000,"")</f>
        <v/>
      </c>
      <c r="AD4588" s="94">
        <f>IF($A4588="",0,$P4588*AG4588)</f>
        <v/>
      </c>
      <c r="AE4588" s="64">
        <f>IF($A4588="","",IFERROR(INDEX(계정매핑!$E$5:$E$504,MATCH($F4588&amp;"",계정매핑!$A$5:$A$504,0))&amp;"","공통비"))</f>
        <v/>
      </c>
      <c r="AF4588" s="64">
        <f>IF($A4588="","",IF(AE4588="직접",IFERROR(INDEX(계정매핑!$F$5:$F$504,MATCH($F4588&amp;"",계정매핑!$A$5:$A$504,0))&amp;"","비귀속"),""))</f>
        <v/>
      </c>
      <c r="AG4588" s="96">
        <f>IF($A4588="",0,IF(AND(AE4588&lt;&gt;"직접",IFERROR(INDEX(계정매핑!$G$5:$G$504,MATCH($F4588&amp;"",계정매핑!$A$5:$A$504,0))&amp;"","")="유지비",COUNTIF(계정대체기준!$A$6:$A$15,$N4588)&gt;0),IFERROR(INDEX(계정대체기준!$E$6:$E$15,MATCH(VALUE($A4588&amp;""),계정대체기준!$D$6:$D$15,0)),0),0))</f>
        <v/>
      </c>
      <c r="AH4588" s="64">
        <f>IF($A4588="","",IF(AD4588=0,"",IF(OR(COUNTIF(계정대체기준!$A$77:$A$86,$N4588)&gt;0,ISNUMBER(MATCH($X4588,계정대체기준!$D$77:$D$86,0)),ISNUMBER(MATCH($F4588,계정대체기준!$D$77:$D$86,0))),"Y","N")))</f>
        <v/>
      </c>
    </row>
    <row r="4589">
      <c r="A4589" s="92" t="n">
        <v>2026</v>
      </c>
      <c r="B4589" s="92" t="n">
        <v>9</v>
      </c>
      <c r="C4589" s="92" t="inlineStr">
        <is>
          <t>5100001867</t>
        </is>
      </c>
      <c r="D4589" s="95" t="n">
        <v>46270</v>
      </c>
      <c r="E4589" s="92" t="inlineStr">
        <is>
          <t>KR</t>
        </is>
      </c>
      <c r="F4589" s="92" t="n">
        <v>62102000</v>
      </c>
      <c r="G4589" s="92" t="n">
        <v>1401</v>
      </c>
      <c r="H4589" s="93" t="n">
        <v>92000</v>
      </c>
      <c r="I4589" s="92" t="inlineStr">
        <is>
          <t>9월 해외출장 - N호텔</t>
        </is>
      </c>
      <c r="J4589" s="92" t="inlineStr">
        <is>
          <t>V10009</t>
        </is>
      </c>
      <c r="K4589" s="92" t="inlineStr">
        <is>
          <t>N호텔</t>
        </is>
      </c>
      <c r="M4589" s="9">
        <f>IF($A4589="","",VALUE($A4589&amp;"")*12+VALUE($B4589&amp;""))</f>
        <v/>
      </c>
      <c r="N4589" s="64">
        <f>IF($A4589="","",IFERROR(INDEX(부서매핑!$C$5:$C$504,MATCH($G4589&amp;"",부서매핑!$A$5:$A$504,0)),"미매핑"))</f>
        <v/>
      </c>
      <c r="O4589" s="9">
        <f>IF($A4589="","",N4589&amp;"|"&amp;$F4589)</f>
        <v/>
      </c>
      <c r="P4589" s="94">
        <f>IF($A4589="",0,$H4589*설정!$C$23)</f>
        <v/>
      </c>
      <c r="Q4589" s="64">
        <f>IF($A4589="","",IF(O4589&lt;&gt;원인분석!$C$9,"",IF(AND(M4589&gt;=원인분석!$C$10,M4589&lt;=원인분석!$C$11),"당기",IF(AND(M4589&gt;=원인분석!$C$12,M4589&lt;=원인분석!$C$13),"비교",""))))</f>
        <v/>
      </c>
      <c r="R4589" s="9">
        <f>IF(Q4589="","",$K4589&amp;"")</f>
        <v/>
      </c>
      <c r="S4589" s="9">
        <f>IF(Q4589="","",IF(MATCH(R4589,$R$5:$R$100000,0)=ROW()-4,ROW(),""))</f>
        <v/>
      </c>
      <c r="T4589" s="9">
        <f>IF(Q4589="당기",ABS(P4589)+ROW()/1000000000,"")</f>
        <v/>
      </c>
      <c r="U4589" s="9">
        <f>IF(Q4589="비교",ABS(P4589)+ROW()/1000000000,"")</f>
        <v/>
      </c>
      <c r="V4589" s="64">
        <f>IF($A4589="","",IF(COUNTIF(변동분석!$E$7:$E$506,O4589)&gt;0,"Y","N"))</f>
        <v/>
      </c>
      <c r="W4589" s="64">
        <f>IF($A4589="","",IFERROR(INDEX(계정매핑!$D$5:$D$504,MATCH($F4589&amp;"",계정매핑!$A$5:$A$504,0)),"미매핑"))</f>
        <v/>
      </c>
      <c r="X4589" s="9">
        <f>IF($A4589="","",$F4589&amp;"")</f>
        <v/>
      </c>
      <c r="Y4589" s="94">
        <f>IF($A4589="",0,IF(AE4589="직접",IF(AF4589="비귀속",$P4589,0),$P4589*(1-AG4589)*IFERROR(INDEX(계정대체기준!$F$20:$F$49,MATCH($N4589,계정대체기준!$A$20:$A$49,0)),1)))</f>
        <v/>
      </c>
      <c r="Z4589" s="94">
        <f>IF($A4589="",0,IF(AE4589="직접",IF(AF4589="신계약비",$P4589,0),$P4589*(1-AG4589)*IFERROR(INDEX(계정대체기준!$C$20:$C$49,MATCH($N4589,계정대체기준!$A$20:$A$49,0)),0)))</f>
        <v/>
      </c>
      <c r="AA4589" s="94">
        <f>IF($A4589="",0,IF(AE4589="직접",IF(OR(AF4589="유지비",AF4589="손해조사비"),$P4589,0),$P4589*(1-AG4589)*IFERROR(INDEX(계정대체기준!$D$20:$D$49,MATCH($N4589,계정대체기준!$A$20:$A$49,0)),0)))</f>
        <v/>
      </c>
      <c r="AB4589" s="94">
        <f>IF($A4589="",0,IF(AE4589="직접",IF(AF4589="수금비",$P4589,0),$P4589*(1-AG4589)*IFERROR(INDEX(계정대체기준!$E$20:$E$49,MATCH($N4589,계정대체기준!$A$20:$A$49,0)),0)))</f>
        <v/>
      </c>
      <c r="AC4589" s="9">
        <f>IF(AND($A4589&lt;&gt;"",M4589=설정!$C$20,Z4589&gt;0),Z4589+ROW()/1000000000,"")</f>
        <v/>
      </c>
      <c r="AD4589" s="94">
        <f>IF($A4589="",0,$P4589*AG4589)</f>
        <v/>
      </c>
      <c r="AE4589" s="64">
        <f>IF($A4589="","",IFERROR(INDEX(계정매핑!$E$5:$E$504,MATCH($F4589&amp;"",계정매핑!$A$5:$A$504,0))&amp;"","공통비"))</f>
        <v/>
      </c>
      <c r="AF4589" s="64">
        <f>IF($A4589="","",IF(AE4589="직접",IFERROR(INDEX(계정매핑!$F$5:$F$504,MATCH($F4589&amp;"",계정매핑!$A$5:$A$504,0))&amp;"","비귀속"),""))</f>
        <v/>
      </c>
      <c r="AG4589" s="96">
        <f>IF($A4589="",0,IF(AND(AE4589&lt;&gt;"직접",IFERROR(INDEX(계정매핑!$G$5:$G$504,MATCH($F4589&amp;"",계정매핑!$A$5:$A$504,0))&amp;"","")="유지비",COUNTIF(계정대체기준!$A$6:$A$15,$N4589)&gt;0),IFERROR(INDEX(계정대체기준!$E$6:$E$15,MATCH(VALUE($A4589&amp;""),계정대체기준!$D$6:$D$15,0)),0),0))</f>
        <v/>
      </c>
      <c r="AH4589" s="64">
        <f>IF($A4589="","",IF(AD4589=0,"",IF(OR(COUNTIF(계정대체기준!$A$77:$A$86,$N4589)&gt;0,ISNUMBER(MATCH($X4589,계정대체기준!$D$77:$D$86,0)),ISNUMBER(MATCH($F4589,계정대체기준!$D$77:$D$86,0))),"Y","N")))</f>
        <v/>
      </c>
    </row>
    <row r="4590">
      <c r="A4590" s="92" t="n">
        <v>2026</v>
      </c>
      <c r="B4590" s="92" t="n">
        <v>9</v>
      </c>
      <c r="C4590" s="92" t="inlineStr">
        <is>
          <t>5100001868</t>
        </is>
      </c>
      <c r="D4590" s="95" t="n">
        <v>46270</v>
      </c>
      <c r="E4590" s="92" t="inlineStr">
        <is>
          <t>KR</t>
        </is>
      </c>
      <c r="F4590" s="92" t="n">
        <v>62201000</v>
      </c>
      <c r="G4590" s="92" t="n">
        <v>1501</v>
      </c>
      <c r="H4590" s="93" t="n">
        <v>196000</v>
      </c>
      <c r="I4590" s="92" t="inlineStr">
        <is>
          <t>9월 통신요금 - O텔레콤</t>
        </is>
      </c>
      <c r="J4590" s="92" t="inlineStr">
        <is>
          <t>V10002</t>
        </is>
      </c>
      <c r="K4590" s="92" t="inlineStr">
        <is>
          <t>O텔레콤</t>
        </is>
      </c>
      <c r="M4590" s="9">
        <f>IF($A4590="","",VALUE($A4590&amp;"")*12+VALUE($B4590&amp;""))</f>
        <v/>
      </c>
      <c r="N4590" s="64">
        <f>IF($A4590="","",IFERROR(INDEX(부서매핑!$C$5:$C$504,MATCH($G4590&amp;"",부서매핑!$A$5:$A$504,0)),"미매핑"))</f>
        <v/>
      </c>
      <c r="O4590" s="9">
        <f>IF($A4590="","",N4590&amp;"|"&amp;$F4590)</f>
        <v/>
      </c>
      <c r="P4590" s="94">
        <f>IF($A4590="",0,$H4590*설정!$C$23)</f>
        <v/>
      </c>
      <c r="Q4590" s="64">
        <f>IF($A4590="","",IF(O4590&lt;&gt;원인분석!$C$9,"",IF(AND(M4590&gt;=원인분석!$C$10,M4590&lt;=원인분석!$C$11),"당기",IF(AND(M4590&gt;=원인분석!$C$12,M4590&lt;=원인분석!$C$13),"비교",""))))</f>
        <v/>
      </c>
      <c r="R4590" s="9">
        <f>IF(Q4590="","",$K4590&amp;"")</f>
        <v/>
      </c>
      <c r="S4590" s="9">
        <f>IF(Q4590="","",IF(MATCH(R4590,$R$5:$R$100000,0)=ROW()-4,ROW(),""))</f>
        <v/>
      </c>
      <c r="T4590" s="9">
        <f>IF(Q4590="당기",ABS(P4590)+ROW()/1000000000,"")</f>
        <v/>
      </c>
      <c r="U4590" s="9">
        <f>IF(Q4590="비교",ABS(P4590)+ROW()/1000000000,"")</f>
        <v/>
      </c>
      <c r="V4590" s="64">
        <f>IF($A4590="","",IF(COUNTIF(변동분석!$E$7:$E$506,O4590)&gt;0,"Y","N"))</f>
        <v/>
      </c>
      <c r="W4590" s="64">
        <f>IF($A4590="","",IFERROR(INDEX(계정매핑!$D$5:$D$504,MATCH($F4590&amp;"",계정매핑!$A$5:$A$504,0)),"미매핑"))</f>
        <v/>
      </c>
      <c r="X4590" s="9">
        <f>IF($A4590="","",$F4590&amp;"")</f>
        <v/>
      </c>
      <c r="Y4590" s="94">
        <f>IF($A4590="",0,IF(AE4590="직접",IF(AF4590="비귀속",$P4590,0),$P4590*(1-AG4590)*IFERROR(INDEX(계정대체기준!$F$20:$F$49,MATCH($N4590,계정대체기준!$A$20:$A$49,0)),1)))</f>
        <v/>
      </c>
      <c r="Z4590" s="94">
        <f>IF($A4590="",0,IF(AE4590="직접",IF(AF4590="신계약비",$P4590,0),$P4590*(1-AG4590)*IFERROR(INDEX(계정대체기준!$C$20:$C$49,MATCH($N4590,계정대체기준!$A$20:$A$49,0)),0)))</f>
        <v/>
      </c>
      <c r="AA4590" s="94">
        <f>IF($A4590="",0,IF(AE4590="직접",IF(OR(AF4590="유지비",AF4590="손해조사비"),$P4590,0),$P4590*(1-AG4590)*IFERROR(INDEX(계정대체기준!$D$20:$D$49,MATCH($N4590,계정대체기준!$A$20:$A$49,0)),0)))</f>
        <v/>
      </c>
      <c r="AB4590" s="94">
        <f>IF($A4590="",0,IF(AE4590="직접",IF(AF4590="수금비",$P4590,0),$P4590*(1-AG4590)*IFERROR(INDEX(계정대체기준!$E$20:$E$49,MATCH($N4590,계정대체기준!$A$20:$A$49,0)),0)))</f>
        <v/>
      </c>
      <c r="AC4590" s="9">
        <f>IF(AND($A4590&lt;&gt;"",M4590=설정!$C$20,Z4590&gt;0),Z4590+ROW()/1000000000,"")</f>
        <v/>
      </c>
      <c r="AD4590" s="94">
        <f>IF($A4590="",0,$P4590*AG4590)</f>
        <v/>
      </c>
      <c r="AE4590" s="64">
        <f>IF($A4590="","",IFERROR(INDEX(계정매핑!$E$5:$E$504,MATCH($F4590&amp;"",계정매핑!$A$5:$A$504,0))&amp;"","공통비"))</f>
        <v/>
      </c>
      <c r="AF4590" s="64">
        <f>IF($A4590="","",IF(AE4590="직접",IFERROR(INDEX(계정매핑!$F$5:$F$504,MATCH($F4590&amp;"",계정매핑!$A$5:$A$504,0))&amp;"","비귀속"),""))</f>
        <v/>
      </c>
      <c r="AG4590" s="96">
        <f>IF($A4590="",0,IF(AND(AE4590&lt;&gt;"직접",IFERROR(INDEX(계정매핑!$G$5:$G$504,MATCH($F4590&amp;"",계정매핑!$A$5:$A$504,0))&amp;"","")="유지비",COUNTIF(계정대체기준!$A$6:$A$15,$N4590)&gt;0),IFERROR(INDEX(계정대체기준!$E$6:$E$15,MATCH(VALUE($A4590&amp;""),계정대체기준!$D$6:$D$15,0)),0),0))</f>
        <v/>
      </c>
      <c r="AH4590" s="64">
        <f>IF($A4590="","",IF(AD4590=0,"",IF(OR(COUNTIF(계정대체기준!$A$77:$A$86,$N4590)&gt;0,ISNUMBER(MATCH($X4590,계정대체기준!$D$77:$D$86,0)),ISNUMBER(MATCH($F4590,계정대체기준!$D$77:$D$86,0))),"Y","N")))</f>
        <v/>
      </c>
    </row>
    <row r="4591">
      <c r="A4591" s="92" t="n">
        <v>2026</v>
      </c>
      <c r="B4591" s="92" t="n">
        <v>9</v>
      </c>
      <c r="C4591" s="92" t="inlineStr">
        <is>
          <t>5100001869</t>
        </is>
      </c>
      <c r="D4591" s="95" t="n">
        <v>46270</v>
      </c>
      <c r="E4591" s="92" t="inlineStr">
        <is>
          <t>KR</t>
        </is>
      </c>
      <c r="F4591" s="92" t="n">
        <v>62501000</v>
      </c>
      <c r="G4591" s="92" t="n">
        <v>1501</v>
      </c>
      <c r="H4591" s="93" t="n">
        <v>237000</v>
      </c>
      <c r="I4591" s="92" t="inlineStr">
        <is>
          <t>9월 회의 다과 - T케이터링</t>
        </is>
      </c>
      <c r="J4591" s="92" t="inlineStr">
        <is>
          <t>V10005</t>
        </is>
      </c>
      <c r="K4591" s="92" t="inlineStr">
        <is>
          <t>T케이터링</t>
        </is>
      </c>
      <c r="M4591" s="9">
        <f>IF($A4591="","",VALUE($A4591&amp;"")*12+VALUE($B4591&amp;""))</f>
        <v/>
      </c>
      <c r="N4591" s="64">
        <f>IF($A4591="","",IFERROR(INDEX(부서매핑!$C$5:$C$504,MATCH($G4591&amp;"",부서매핑!$A$5:$A$504,0)),"미매핑"))</f>
        <v/>
      </c>
      <c r="O4591" s="9">
        <f>IF($A4591="","",N4591&amp;"|"&amp;$F4591)</f>
        <v/>
      </c>
      <c r="P4591" s="94">
        <f>IF($A4591="",0,$H4591*설정!$C$23)</f>
        <v/>
      </c>
      <c r="Q4591" s="64">
        <f>IF($A4591="","",IF(O4591&lt;&gt;원인분석!$C$9,"",IF(AND(M4591&gt;=원인분석!$C$10,M4591&lt;=원인분석!$C$11),"당기",IF(AND(M4591&gt;=원인분석!$C$12,M4591&lt;=원인분석!$C$13),"비교",""))))</f>
        <v/>
      </c>
      <c r="R4591" s="9">
        <f>IF(Q4591="","",$K4591&amp;"")</f>
        <v/>
      </c>
      <c r="S4591" s="9">
        <f>IF(Q4591="","",IF(MATCH(R4591,$R$5:$R$100000,0)=ROW()-4,ROW(),""))</f>
        <v/>
      </c>
      <c r="T4591" s="9">
        <f>IF(Q4591="당기",ABS(P4591)+ROW()/1000000000,"")</f>
        <v/>
      </c>
      <c r="U4591" s="9">
        <f>IF(Q4591="비교",ABS(P4591)+ROW()/1000000000,"")</f>
        <v/>
      </c>
      <c r="V4591" s="64">
        <f>IF($A4591="","",IF(COUNTIF(변동분석!$E$7:$E$506,O4591)&gt;0,"Y","N"))</f>
        <v/>
      </c>
      <c r="W4591" s="64">
        <f>IF($A4591="","",IFERROR(INDEX(계정매핑!$D$5:$D$504,MATCH($F4591&amp;"",계정매핑!$A$5:$A$504,0)),"미매핑"))</f>
        <v/>
      </c>
      <c r="X4591" s="9">
        <f>IF($A4591="","",$F4591&amp;"")</f>
        <v/>
      </c>
      <c r="Y4591" s="94">
        <f>IF($A4591="",0,IF(AE4591="직접",IF(AF4591="비귀속",$P4591,0),$P4591*(1-AG4591)*IFERROR(INDEX(계정대체기준!$F$20:$F$49,MATCH($N4591,계정대체기준!$A$20:$A$49,0)),1)))</f>
        <v/>
      </c>
      <c r="Z4591" s="94">
        <f>IF($A4591="",0,IF(AE4591="직접",IF(AF4591="신계약비",$P4591,0),$P4591*(1-AG4591)*IFERROR(INDEX(계정대체기준!$C$20:$C$49,MATCH($N4591,계정대체기준!$A$20:$A$49,0)),0)))</f>
        <v/>
      </c>
      <c r="AA4591" s="94">
        <f>IF($A4591="",0,IF(AE4591="직접",IF(OR(AF4591="유지비",AF4591="손해조사비"),$P4591,0),$P4591*(1-AG4591)*IFERROR(INDEX(계정대체기준!$D$20:$D$49,MATCH($N4591,계정대체기준!$A$20:$A$49,0)),0)))</f>
        <v/>
      </c>
      <c r="AB4591" s="94">
        <f>IF($A4591="",0,IF(AE4591="직접",IF(AF4591="수금비",$P4591,0),$P4591*(1-AG4591)*IFERROR(INDEX(계정대체기준!$E$20:$E$49,MATCH($N4591,계정대체기준!$A$20:$A$49,0)),0)))</f>
        <v/>
      </c>
      <c r="AC4591" s="9">
        <f>IF(AND($A4591&lt;&gt;"",M4591=설정!$C$20,Z4591&gt;0),Z4591+ROW()/1000000000,"")</f>
        <v/>
      </c>
      <c r="AD4591" s="94">
        <f>IF($A4591="",0,$P4591*AG4591)</f>
        <v/>
      </c>
      <c r="AE4591" s="64">
        <f>IF($A4591="","",IFERROR(INDEX(계정매핑!$E$5:$E$504,MATCH($F4591&amp;"",계정매핑!$A$5:$A$504,0))&amp;"","공통비"))</f>
        <v/>
      </c>
      <c r="AF4591" s="64">
        <f>IF($A4591="","",IF(AE4591="직접",IFERROR(INDEX(계정매핑!$F$5:$F$504,MATCH($F4591&amp;"",계정매핑!$A$5:$A$504,0))&amp;"","비귀속"),""))</f>
        <v/>
      </c>
      <c r="AG4591" s="96">
        <f>IF($A4591="",0,IF(AND(AE4591&lt;&gt;"직접",IFERROR(INDEX(계정매핑!$G$5:$G$504,MATCH($F4591&amp;"",계정매핑!$A$5:$A$504,0))&amp;"","")="유지비",COUNTIF(계정대체기준!$A$6:$A$15,$N4591)&gt;0),IFERROR(INDEX(계정대체기준!$E$6:$E$15,MATCH(VALUE($A4591&amp;""),계정대체기준!$D$6:$D$15,0)),0),0))</f>
        <v/>
      </c>
      <c r="AH4591" s="64">
        <f>IF($A4591="","",IF(AD4591=0,"",IF(OR(COUNTIF(계정대체기준!$A$77:$A$86,$N4591)&gt;0,ISNUMBER(MATCH($X4591,계정대체기준!$D$77:$D$86,0)),ISNUMBER(MATCH($F4591,계정대체기준!$D$77:$D$86,0))),"Y","N")))</f>
        <v/>
      </c>
    </row>
    <row r="4592">
      <c r="A4592" s="92" t="n">
        <v>2026</v>
      </c>
      <c r="B4592" s="92" t="n">
        <v>9</v>
      </c>
      <c r="C4592" s="92" t="inlineStr">
        <is>
          <t>5100001870</t>
        </is>
      </c>
      <c r="D4592" s="95" t="n">
        <v>46270</v>
      </c>
      <c r="E4592" s="92" t="inlineStr">
        <is>
          <t>KR</t>
        </is>
      </c>
      <c r="F4592" s="92" t="n">
        <v>62601000</v>
      </c>
      <c r="G4592" s="92" t="n">
        <v>1101</v>
      </c>
      <c r="H4592" s="93" t="n">
        <v>2380000</v>
      </c>
      <c r="I4592" s="92" t="inlineStr">
        <is>
          <t>9월 업무추진 - (법인카드)</t>
        </is>
      </c>
      <c r="J4592" s="92" t="inlineStr">
        <is>
          <t>V10010</t>
        </is>
      </c>
      <c r="K4592" s="92" t="inlineStr">
        <is>
          <t>(법인카드)</t>
        </is>
      </c>
      <c r="M4592" s="9">
        <f>IF($A4592="","",VALUE($A4592&amp;"")*12+VALUE($B4592&amp;""))</f>
        <v/>
      </c>
      <c r="N4592" s="64">
        <f>IF($A4592="","",IFERROR(INDEX(부서매핑!$C$5:$C$504,MATCH($G4592&amp;"",부서매핑!$A$5:$A$504,0)),"미매핑"))</f>
        <v/>
      </c>
      <c r="O4592" s="9">
        <f>IF($A4592="","",N4592&amp;"|"&amp;$F4592)</f>
        <v/>
      </c>
      <c r="P4592" s="94">
        <f>IF($A4592="",0,$H4592*설정!$C$23)</f>
        <v/>
      </c>
      <c r="Q4592" s="64">
        <f>IF($A4592="","",IF(O4592&lt;&gt;원인분석!$C$9,"",IF(AND(M4592&gt;=원인분석!$C$10,M4592&lt;=원인분석!$C$11),"당기",IF(AND(M4592&gt;=원인분석!$C$12,M4592&lt;=원인분석!$C$13),"비교",""))))</f>
        <v/>
      </c>
      <c r="R4592" s="9">
        <f>IF(Q4592="","",$K4592&amp;"")</f>
        <v/>
      </c>
      <c r="S4592" s="9">
        <f>IF(Q4592="","",IF(MATCH(R4592,$R$5:$R$100000,0)=ROW()-4,ROW(),""))</f>
        <v/>
      </c>
      <c r="T4592" s="9">
        <f>IF(Q4592="당기",ABS(P4592)+ROW()/1000000000,"")</f>
        <v/>
      </c>
      <c r="U4592" s="9">
        <f>IF(Q4592="비교",ABS(P4592)+ROW()/1000000000,"")</f>
        <v/>
      </c>
      <c r="V4592" s="64">
        <f>IF($A4592="","",IF(COUNTIF(변동분석!$E$7:$E$506,O4592)&gt;0,"Y","N"))</f>
        <v/>
      </c>
      <c r="W4592" s="64">
        <f>IF($A4592="","",IFERROR(INDEX(계정매핑!$D$5:$D$504,MATCH($F4592&amp;"",계정매핑!$A$5:$A$504,0)),"미매핑"))</f>
        <v/>
      </c>
      <c r="X4592" s="9">
        <f>IF($A4592="","",$F4592&amp;"")</f>
        <v/>
      </c>
      <c r="Y4592" s="94">
        <f>IF($A4592="",0,IF(AE4592="직접",IF(AF4592="비귀속",$P4592,0),$P4592*(1-AG4592)*IFERROR(INDEX(계정대체기준!$F$20:$F$49,MATCH($N4592,계정대체기준!$A$20:$A$49,0)),1)))</f>
        <v/>
      </c>
      <c r="Z4592" s="94">
        <f>IF($A4592="",0,IF(AE4592="직접",IF(AF4592="신계약비",$P4592,0),$P4592*(1-AG4592)*IFERROR(INDEX(계정대체기준!$C$20:$C$49,MATCH($N4592,계정대체기준!$A$20:$A$49,0)),0)))</f>
        <v/>
      </c>
      <c r="AA4592" s="94">
        <f>IF($A4592="",0,IF(AE4592="직접",IF(OR(AF4592="유지비",AF4592="손해조사비"),$P4592,0),$P4592*(1-AG4592)*IFERROR(INDEX(계정대체기준!$D$20:$D$49,MATCH($N4592,계정대체기준!$A$20:$A$49,0)),0)))</f>
        <v/>
      </c>
      <c r="AB4592" s="94">
        <f>IF($A4592="",0,IF(AE4592="직접",IF(AF4592="수금비",$P4592,0),$P4592*(1-AG4592)*IFERROR(INDEX(계정대체기준!$E$20:$E$49,MATCH($N4592,계정대체기준!$A$20:$A$49,0)),0)))</f>
        <v/>
      </c>
      <c r="AC4592" s="9">
        <f>IF(AND($A4592&lt;&gt;"",M4592=설정!$C$20,Z4592&gt;0),Z4592+ROW()/1000000000,"")</f>
        <v/>
      </c>
      <c r="AD4592" s="94">
        <f>IF($A4592="",0,$P4592*AG4592)</f>
        <v/>
      </c>
      <c r="AE4592" s="64">
        <f>IF($A4592="","",IFERROR(INDEX(계정매핑!$E$5:$E$504,MATCH($F4592&amp;"",계정매핑!$A$5:$A$504,0))&amp;"","공통비"))</f>
        <v/>
      </c>
      <c r="AF4592" s="64">
        <f>IF($A4592="","",IF(AE4592="직접",IFERROR(INDEX(계정매핑!$F$5:$F$504,MATCH($F4592&amp;"",계정매핑!$A$5:$A$504,0))&amp;"","비귀속"),""))</f>
        <v/>
      </c>
      <c r="AG4592" s="96">
        <f>IF($A4592="",0,IF(AND(AE4592&lt;&gt;"직접",IFERROR(INDEX(계정매핑!$G$5:$G$504,MATCH($F4592&amp;"",계정매핑!$A$5:$A$504,0))&amp;"","")="유지비",COUNTIF(계정대체기준!$A$6:$A$15,$N4592)&gt;0),IFERROR(INDEX(계정대체기준!$E$6:$E$15,MATCH(VALUE($A4592&amp;""),계정대체기준!$D$6:$D$15,0)),0),0))</f>
        <v/>
      </c>
      <c r="AH4592" s="64">
        <f>IF($A4592="","",IF(AD4592=0,"",IF(OR(COUNTIF(계정대체기준!$A$77:$A$86,$N4592)&gt;0,ISNUMBER(MATCH($X4592,계정대체기준!$D$77:$D$86,0)),ISNUMBER(MATCH($F4592,계정대체기준!$D$77:$D$86,0))),"Y","N")))</f>
        <v/>
      </c>
    </row>
    <row r="4593">
      <c r="A4593" s="92" t="n">
        <v>2026</v>
      </c>
      <c r="B4593" s="92" t="n">
        <v>9</v>
      </c>
      <c r="C4593" s="92" t="inlineStr">
        <is>
          <t>5100001871</t>
        </is>
      </c>
      <c r="D4593" s="95" t="n">
        <v>46270</v>
      </c>
      <c r="E4593" s="92" t="inlineStr">
        <is>
          <t>KR</t>
        </is>
      </c>
      <c r="F4593" s="92" t="n">
        <v>62902000</v>
      </c>
      <c r="G4593" s="92" t="n">
        <v>1101</v>
      </c>
      <c r="H4593" s="93" t="n">
        <v>1931000</v>
      </c>
      <c r="I4593" s="92" t="inlineStr">
        <is>
          <t>9월 업무 위탁 수수료 - J콜센터</t>
        </is>
      </c>
      <c r="J4593" s="92" t="inlineStr">
        <is>
          <t>V10016</t>
        </is>
      </c>
      <c r="K4593" s="92" t="inlineStr">
        <is>
          <t>J콜센터</t>
        </is>
      </c>
      <c r="M4593" s="9">
        <f>IF($A4593="","",VALUE($A4593&amp;"")*12+VALUE($B4593&amp;""))</f>
        <v/>
      </c>
      <c r="N4593" s="64">
        <f>IF($A4593="","",IFERROR(INDEX(부서매핑!$C$5:$C$504,MATCH($G4593&amp;"",부서매핑!$A$5:$A$504,0)),"미매핑"))</f>
        <v/>
      </c>
      <c r="O4593" s="9">
        <f>IF($A4593="","",N4593&amp;"|"&amp;$F4593)</f>
        <v/>
      </c>
      <c r="P4593" s="94">
        <f>IF($A4593="",0,$H4593*설정!$C$23)</f>
        <v/>
      </c>
      <c r="Q4593" s="64">
        <f>IF($A4593="","",IF(O4593&lt;&gt;원인분석!$C$9,"",IF(AND(M4593&gt;=원인분석!$C$10,M4593&lt;=원인분석!$C$11),"당기",IF(AND(M4593&gt;=원인분석!$C$12,M4593&lt;=원인분석!$C$13),"비교",""))))</f>
        <v/>
      </c>
      <c r="R4593" s="9">
        <f>IF(Q4593="","",$K4593&amp;"")</f>
        <v/>
      </c>
      <c r="S4593" s="9">
        <f>IF(Q4593="","",IF(MATCH(R4593,$R$5:$R$100000,0)=ROW()-4,ROW(),""))</f>
        <v/>
      </c>
      <c r="T4593" s="9">
        <f>IF(Q4593="당기",ABS(P4593)+ROW()/1000000000,"")</f>
        <v/>
      </c>
      <c r="U4593" s="9">
        <f>IF(Q4593="비교",ABS(P4593)+ROW()/1000000000,"")</f>
        <v/>
      </c>
      <c r="V4593" s="64">
        <f>IF($A4593="","",IF(COUNTIF(변동분석!$E$7:$E$506,O4593)&gt;0,"Y","N"))</f>
        <v/>
      </c>
      <c r="W4593" s="64">
        <f>IF($A4593="","",IFERROR(INDEX(계정매핑!$D$5:$D$504,MATCH($F4593&amp;"",계정매핑!$A$5:$A$504,0)),"미매핑"))</f>
        <v/>
      </c>
      <c r="X4593" s="9">
        <f>IF($A4593="","",$F4593&amp;"")</f>
        <v/>
      </c>
      <c r="Y4593" s="94">
        <f>IF($A4593="",0,IF(AE4593="직접",IF(AF4593="비귀속",$P4593,0),$P4593*(1-AG4593)*IFERROR(INDEX(계정대체기준!$F$20:$F$49,MATCH($N4593,계정대체기준!$A$20:$A$49,0)),1)))</f>
        <v/>
      </c>
      <c r="Z4593" s="94">
        <f>IF($A4593="",0,IF(AE4593="직접",IF(AF4593="신계약비",$P4593,0),$P4593*(1-AG4593)*IFERROR(INDEX(계정대체기준!$C$20:$C$49,MATCH($N4593,계정대체기준!$A$20:$A$49,0)),0)))</f>
        <v/>
      </c>
      <c r="AA4593" s="94">
        <f>IF($A4593="",0,IF(AE4593="직접",IF(OR(AF4593="유지비",AF4593="손해조사비"),$P4593,0),$P4593*(1-AG4593)*IFERROR(INDEX(계정대체기준!$D$20:$D$49,MATCH($N4593,계정대체기준!$A$20:$A$49,0)),0)))</f>
        <v/>
      </c>
      <c r="AB4593" s="94">
        <f>IF($A4593="",0,IF(AE4593="직접",IF(AF4593="수금비",$P4593,0),$P4593*(1-AG4593)*IFERROR(INDEX(계정대체기준!$E$20:$E$49,MATCH($N4593,계정대체기준!$A$20:$A$49,0)),0)))</f>
        <v/>
      </c>
      <c r="AC4593" s="9">
        <f>IF(AND($A4593&lt;&gt;"",M4593=설정!$C$20,Z4593&gt;0),Z4593+ROW()/1000000000,"")</f>
        <v/>
      </c>
      <c r="AD4593" s="94">
        <f>IF($A4593="",0,$P4593*AG4593)</f>
        <v/>
      </c>
      <c r="AE4593" s="64">
        <f>IF($A4593="","",IFERROR(INDEX(계정매핑!$E$5:$E$504,MATCH($F4593&amp;"",계정매핑!$A$5:$A$504,0))&amp;"","공통비"))</f>
        <v/>
      </c>
      <c r="AF4593" s="64">
        <f>IF($A4593="","",IF(AE4593="직접",IFERROR(INDEX(계정매핑!$F$5:$F$504,MATCH($F4593&amp;"",계정매핑!$A$5:$A$504,0))&amp;"","비귀속"),""))</f>
        <v/>
      </c>
      <c r="AG4593" s="96">
        <f>IF($A4593="",0,IF(AND(AE4593&lt;&gt;"직접",IFERROR(INDEX(계정매핑!$G$5:$G$504,MATCH($F4593&amp;"",계정매핑!$A$5:$A$504,0))&amp;"","")="유지비",COUNTIF(계정대체기준!$A$6:$A$15,$N4593)&gt;0),IFERROR(INDEX(계정대체기준!$E$6:$E$15,MATCH(VALUE($A4593&amp;""),계정대체기준!$D$6:$D$15,0)),0),0))</f>
        <v/>
      </c>
      <c r="AH4593" s="64">
        <f>IF($A4593="","",IF(AD4593=0,"",IF(OR(COUNTIF(계정대체기준!$A$77:$A$86,$N4593)&gt;0,ISNUMBER(MATCH($X4593,계정대체기준!$D$77:$D$86,0)),ISNUMBER(MATCH($F4593,계정대체기준!$D$77:$D$86,0))),"Y","N")))</f>
        <v/>
      </c>
    </row>
    <row r="4594">
      <c r="A4594" s="92" t="n">
        <v>2026</v>
      </c>
      <c r="B4594" s="92" t="n">
        <v>9</v>
      </c>
      <c r="C4594" s="92" t="inlineStr">
        <is>
          <t>5100001872</t>
        </is>
      </c>
      <c r="D4594" s="95" t="n">
        <v>46271</v>
      </c>
      <c r="E4594" s="92" t="inlineStr">
        <is>
          <t>KR</t>
        </is>
      </c>
      <c r="F4594" s="92" t="n">
        <v>62101000</v>
      </c>
      <c r="G4594" s="92" t="n">
        <v>1201</v>
      </c>
      <c r="H4594" s="93" t="n">
        <v>273000</v>
      </c>
      <c r="I4594" s="92" t="inlineStr">
        <is>
          <t>9월 국내출장 - L여행사</t>
        </is>
      </c>
      <c r="J4594" s="92" t="inlineStr">
        <is>
          <t>V10018</t>
        </is>
      </c>
      <c r="K4594" s="92" t="inlineStr">
        <is>
          <t>L여행사</t>
        </is>
      </c>
      <c r="M4594" s="9">
        <f>IF($A4594="","",VALUE($A4594&amp;"")*12+VALUE($B4594&amp;""))</f>
        <v/>
      </c>
      <c r="N4594" s="64">
        <f>IF($A4594="","",IFERROR(INDEX(부서매핑!$C$5:$C$504,MATCH($G4594&amp;"",부서매핑!$A$5:$A$504,0)),"미매핑"))</f>
        <v/>
      </c>
      <c r="O4594" s="9">
        <f>IF($A4594="","",N4594&amp;"|"&amp;$F4594)</f>
        <v/>
      </c>
      <c r="P4594" s="94">
        <f>IF($A4594="",0,$H4594*설정!$C$23)</f>
        <v/>
      </c>
      <c r="Q4594" s="64">
        <f>IF($A4594="","",IF(O4594&lt;&gt;원인분석!$C$9,"",IF(AND(M4594&gt;=원인분석!$C$10,M4594&lt;=원인분석!$C$11),"당기",IF(AND(M4594&gt;=원인분석!$C$12,M4594&lt;=원인분석!$C$13),"비교",""))))</f>
        <v/>
      </c>
      <c r="R4594" s="9">
        <f>IF(Q4594="","",$K4594&amp;"")</f>
        <v/>
      </c>
      <c r="S4594" s="9">
        <f>IF(Q4594="","",IF(MATCH(R4594,$R$5:$R$100000,0)=ROW()-4,ROW(),""))</f>
        <v/>
      </c>
      <c r="T4594" s="9">
        <f>IF(Q4594="당기",ABS(P4594)+ROW()/1000000000,"")</f>
        <v/>
      </c>
      <c r="U4594" s="9">
        <f>IF(Q4594="비교",ABS(P4594)+ROW()/1000000000,"")</f>
        <v/>
      </c>
      <c r="V4594" s="64">
        <f>IF($A4594="","",IF(COUNTIF(변동분석!$E$7:$E$506,O4594)&gt;0,"Y","N"))</f>
        <v/>
      </c>
      <c r="W4594" s="64">
        <f>IF($A4594="","",IFERROR(INDEX(계정매핑!$D$5:$D$504,MATCH($F4594&amp;"",계정매핑!$A$5:$A$504,0)),"미매핑"))</f>
        <v/>
      </c>
      <c r="X4594" s="9">
        <f>IF($A4594="","",$F4594&amp;"")</f>
        <v/>
      </c>
      <c r="Y4594" s="94">
        <f>IF($A4594="",0,IF(AE4594="직접",IF(AF4594="비귀속",$P4594,0),$P4594*(1-AG4594)*IFERROR(INDEX(계정대체기준!$F$20:$F$49,MATCH($N4594,계정대체기준!$A$20:$A$49,0)),1)))</f>
        <v/>
      </c>
      <c r="Z4594" s="94">
        <f>IF($A4594="",0,IF(AE4594="직접",IF(AF4594="신계약비",$P4594,0),$P4594*(1-AG4594)*IFERROR(INDEX(계정대체기준!$C$20:$C$49,MATCH($N4594,계정대체기준!$A$20:$A$49,0)),0)))</f>
        <v/>
      </c>
      <c r="AA4594" s="94">
        <f>IF($A4594="",0,IF(AE4594="직접",IF(OR(AF4594="유지비",AF4594="손해조사비"),$P4594,0),$P4594*(1-AG4594)*IFERROR(INDEX(계정대체기준!$D$20:$D$49,MATCH($N4594,계정대체기준!$A$20:$A$49,0)),0)))</f>
        <v/>
      </c>
      <c r="AB4594" s="94">
        <f>IF($A4594="",0,IF(AE4594="직접",IF(AF4594="수금비",$P4594,0),$P4594*(1-AG4594)*IFERROR(INDEX(계정대체기준!$E$20:$E$49,MATCH($N4594,계정대체기준!$A$20:$A$49,0)),0)))</f>
        <v/>
      </c>
      <c r="AC4594" s="9">
        <f>IF(AND($A4594&lt;&gt;"",M4594=설정!$C$20,Z4594&gt;0),Z4594+ROW()/1000000000,"")</f>
        <v/>
      </c>
      <c r="AD4594" s="94">
        <f>IF($A4594="",0,$P4594*AG4594)</f>
        <v/>
      </c>
      <c r="AE4594" s="64">
        <f>IF($A4594="","",IFERROR(INDEX(계정매핑!$E$5:$E$504,MATCH($F4594&amp;"",계정매핑!$A$5:$A$504,0))&amp;"","공통비"))</f>
        <v/>
      </c>
      <c r="AF4594" s="64">
        <f>IF($A4594="","",IF(AE4594="직접",IFERROR(INDEX(계정매핑!$F$5:$F$504,MATCH($F4594&amp;"",계정매핑!$A$5:$A$504,0))&amp;"","비귀속"),""))</f>
        <v/>
      </c>
      <c r="AG4594" s="96">
        <f>IF($A4594="",0,IF(AND(AE4594&lt;&gt;"직접",IFERROR(INDEX(계정매핑!$G$5:$G$504,MATCH($F4594&amp;"",계정매핑!$A$5:$A$504,0))&amp;"","")="유지비",COUNTIF(계정대체기준!$A$6:$A$15,$N4594)&gt;0),IFERROR(INDEX(계정대체기준!$E$6:$E$15,MATCH(VALUE($A4594&amp;""),계정대체기준!$D$6:$D$15,0)),0),0))</f>
        <v/>
      </c>
      <c r="AH4594" s="64">
        <f>IF($A4594="","",IF(AD4594=0,"",IF(OR(COUNTIF(계정대체기준!$A$77:$A$86,$N4594)&gt;0,ISNUMBER(MATCH($X4594,계정대체기준!$D$77:$D$86,0)),ISNUMBER(MATCH($F4594,계정대체기준!$D$77:$D$86,0))),"Y","N")))</f>
        <v/>
      </c>
    </row>
    <row r="4595">
      <c r="A4595" s="92" t="n">
        <v>2026</v>
      </c>
      <c r="B4595" s="92" t="n">
        <v>9</v>
      </c>
      <c r="C4595" s="92" t="inlineStr">
        <is>
          <t>5100001873</t>
        </is>
      </c>
      <c r="D4595" s="95" t="n">
        <v>46271</v>
      </c>
      <c r="E4595" s="92" t="inlineStr">
        <is>
          <t>KR</t>
        </is>
      </c>
      <c r="F4595" s="92" t="n">
        <v>62102000</v>
      </c>
      <c r="G4595" s="92" t="n">
        <v>1301</v>
      </c>
      <c r="H4595" s="93" t="n">
        <v>189000</v>
      </c>
      <c r="I4595" s="92" t="inlineStr">
        <is>
          <t>9월 해외출장 - M항공</t>
        </is>
      </c>
      <c r="J4595" s="92" t="inlineStr">
        <is>
          <t>V10001</t>
        </is>
      </c>
      <c r="K4595" s="92" t="inlineStr">
        <is>
          <t>M항공</t>
        </is>
      </c>
      <c r="M4595" s="9">
        <f>IF($A4595="","",VALUE($A4595&amp;"")*12+VALUE($B4595&amp;""))</f>
        <v/>
      </c>
      <c r="N4595" s="64">
        <f>IF($A4595="","",IFERROR(INDEX(부서매핑!$C$5:$C$504,MATCH($G4595&amp;"",부서매핑!$A$5:$A$504,0)),"미매핑"))</f>
        <v/>
      </c>
      <c r="O4595" s="9">
        <f>IF($A4595="","",N4595&amp;"|"&amp;$F4595)</f>
        <v/>
      </c>
      <c r="P4595" s="94">
        <f>IF($A4595="",0,$H4595*설정!$C$23)</f>
        <v/>
      </c>
      <c r="Q4595" s="64">
        <f>IF($A4595="","",IF(O4595&lt;&gt;원인분석!$C$9,"",IF(AND(M4595&gt;=원인분석!$C$10,M4595&lt;=원인분석!$C$11),"당기",IF(AND(M4595&gt;=원인분석!$C$12,M4595&lt;=원인분석!$C$13),"비교",""))))</f>
        <v/>
      </c>
      <c r="R4595" s="9">
        <f>IF(Q4595="","",$K4595&amp;"")</f>
        <v/>
      </c>
      <c r="S4595" s="9">
        <f>IF(Q4595="","",IF(MATCH(R4595,$R$5:$R$100000,0)=ROW()-4,ROW(),""))</f>
        <v/>
      </c>
      <c r="T4595" s="9">
        <f>IF(Q4595="당기",ABS(P4595)+ROW()/1000000000,"")</f>
        <v/>
      </c>
      <c r="U4595" s="9">
        <f>IF(Q4595="비교",ABS(P4595)+ROW()/1000000000,"")</f>
        <v/>
      </c>
      <c r="V4595" s="64">
        <f>IF($A4595="","",IF(COUNTIF(변동분석!$E$7:$E$506,O4595)&gt;0,"Y","N"))</f>
        <v/>
      </c>
      <c r="W4595" s="64">
        <f>IF($A4595="","",IFERROR(INDEX(계정매핑!$D$5:$D$504,MATCH($F4595&amp;"",계정매핑!$A$5:$A$504,0)),"미매핑"))</f>
        <v/>
      </c>
      <c r="X4595" s="9">
        <f>IF($A4595="","",$F4595&amp;"")</f>
        <v/>
      </c>
      <c r="Y4595" s="94">
        <f>IF($A4595="",0,IF(AE4595="직접",IF(AF4595="비귀속",$P4595,0),$P4595*(1-AG4595)*IFERROR(INDEX(계정대체기준!$F$20:$F$49,MATCH($N4595,계정대체기준!$A$20:$A$49,0)),1)))</f>
        <v/>
      </c>
      <c r="Z4595" s="94">
        <f>IF($A4595="",0,IF(AE4595="직접",IF(AF4595="신계약비",$P4595,0),$P4595*(1-AG4595)*IFERROR(INDEX(계정대체기준!$C$20:$C$49,MATCH($N4595,계정대체기준!$A$20:$A$49,0)),0)))</f>
        <v/>
      </c>
      <c r="AA4595" s="94">
        <f>IF($A4595="",0,IF(AE4595="직접",IF(OR(AF4595="유지비",AF4595="손해조사비"),$P4595,0),$P4595*(1-AG4595)*IFERROR(INDEX(계정대체기준!$D$20:$D$49,MATCH($N4595,계정대체기준!$A$20:$A$49,0)),0)))</f>
        <v/>
      </c>
      <c r="AB4595" s="94">
        <f>IF($A4595="",0,IF(AE4595="직접",IF(AF4595="수금비",$P4595,0),$P4595*(1-AG4595)*IFERROR(INDEX(계정대체기준!$E$20:$E$49,MATCH($N4595,계정대체기준!$A$20:$A$49,0)),0)))</f>
        <v/>
      </c>
      <c r="AC4595" s="9">
        <f>IF(AND($A4595&lt;&gt;"",M4595=설정!$C$20,Z4595&gt;0),Z4595+ROW()/1000000000,"")</f>
        <v/>
      </c>
      <c r="AD4595" s="94">
        <f>IF($A4595="",0,$P4595*AG4595)</f>
        <v/>
      </c>
      <c r="AE4595" s="64">
        <f>IF($A4595="","",IFERROR(INDEX(계정매핑!$E$5:$E$504,MATCH($F4595&amp;"",계정매핑!$A$5:$A$504,0))&amp;"","공통비"))</f>
        <v/>
      </c>
      <c r="AF4595" s="64">
        <f>IF($A4595="","",IF(AE4595="직접",IFERROR(INDEX(계정매핑!$F$5:$F$504,MATCH($F4595&amp;"",계정매핑!$A$5:$A$504,0))&amp;"","비귀속"),""))</f>
        <v/>
      </c>
      <c r="AG4595" s="96">
        <f>IF($A4595="",0,IF(AND(AE4595&lt;&gt;"직접",IFERROR(INDEX(계정매핑!$G$5:$G$504,MATCH($F4595&amp;"",계정매핑!$A$5:$A$504,0))&amp;"","")="유지비",COUNTIF(계정대체기준!$A$6:$A$15,$N4595)&gt;0),IFERROR(INDEX(계정대체기준!$E$6:$E$15,MATCH(VALUE($A4595&amp;""),계정대체기준!$D$6:$D$15,0)),0),0))</f>
        <v/>
      </c>
      <c r="AH4595" s="64">
        <f>IF($A4595="","",IF(AD4595=0,"",IF(OR(COUNTIF(계정대체기준!$A$77:$A$86,$N4595)&gt;0,ISNUMBER(MATCH($X4595,계정대체기준!$D$77:$D$86,0)),ISNUMBER(MATCH($F4595,계정대체기준!$D$77:$D$86,0))),"Y","N")))</f>
        <v/>
      </c>
    </row>
    <row r="4596">
      <c r="A4596" s="92" t="n">
        <v>2026</v>
      </c>
      <c r="B4596" s="92" t="n">
        <v>9</v>
      </c>
      <c r="C4596" s="92" t="inlineStr">
        <is>
          <t>5100001874</t>
        </is>
      </c>
      <c r="D4596" s="95" t="n">
        <v>46271</v>
      </c>
      <c r="E4596" s="92" t="inlineStr">
        <is>
          <t>KR</t>
        </is>
      </c>
      <c r="F4596" s="92" t="n">
        <v>62102000</v>
      </c>
      <c r="G4596" s="92" t="n">
        <v>1401</v>
      </c>
      <c r="H4596" s="93" t="n">
        <v>82000</v>
      </c>
      <c r="I4596" s="92" t="inlineStr">
        <is>
          <t>9월 해외출장 - M항공</t>
        </is>
      </c>
      <c r="J4596" s="92" t="inlineStr">
        <is>
          <t>V10001</t>
        </is>
      </c>
      <c r="K4596" s="92" t="inlineStr">
        <is>
          <t>M항공</t>
        </is>
      </c>
      <c r="M4596" s="9">
        <f>IF($A4596="","",VALUE($A4596&amp;"")*12+VALUE($B4596&amp;""))</f>
        <v/>
      </c>
      <c r="N4596" s="64">
        <f>IF($A4596="","",IFERROR(INDEX(부서매핑!$C$5:$C$504,MATCH($G4596&amp;"",부서매핑!$A$5:$A$504,0)),"미매핑"))</f>
        <v/>
      </c>
      <c r="O4596" s="9">
        <f>IF($A4596="","",N4596&amp;"|"&amp;$F4596)</f>
        <v/>
      </c>
      <c r="P4596" s="94">
        <f>IF($A4596="",0,$H4596*설정!$C$23)</f>
        <v/>
      </c>
      <c r="Q4596" s="64">
        <f>IF($A4596="","",IF(O4596&lt;&gt;원인분석!$C$9,"",IF(AND(M4596&gt;=원인분석!$C$10,M4596&lt;=원인분석!$C$11),"당기",IF(AND(M4596&gt;=원인분석!$C$12,M4596&lt;=원인분석!$C$13),"비교",""))))</f>
        <v/>
      </c>
      <c r="R4596" s="9">
        <f>IF(Q4596="","",$K4596&amp;"")</f>
        <v/>
      </c>
      <c r="S4596" s="9">
        <f>IF(Q4596="","",IF(MATCH(R4596,$R$5:$R$100000,0)=ROW()-4,ROW(),""))</f>
        <v/>
      </c>
      <c r="T4596" s="9">
        <f>IF(Q4596="당기",ABS(P4596)+ROW()/1000000000,"")</f>
        <v/>
      </c>
      <c r="U4596" s="9">
        <f>IF(Q4596="비교",ABS(P4596)+ROW()/1000000000,"")</f>
        <v/>
      </c>
      <c r="V4596" s="64">
        <f>IF($A4596="","",IF(COUNTIF(변동분석!$E$7:$E$506,O4596)&gt;0,"Y","N"))</f>
        <v/>
      </c>
      <c r="W4596" s="64">
        <f>IF($A4596="","",IFERROR(INDEX(계정매핑!$D$5:$D$504,MATCH($F4596&amp;"",계정매핑!$A$5:$A$504,0)),"미매핑"))</f>
        <v/>
      </c>
      <c r="X4596" s="9">
        <f>IF($A4596="","",$F4596&amp;"")</f>
        <v/>
      </c>
      <c r="Y4596" s="94">
        <f>IF($A4596="",0,IF(AE4596="직접",IF(AF4596="비귀속",$P4596,0),$P4596*(1-AG4596)*IFERROR(INDEX(계정대체기준!$F$20:$F$49,MATCH($N4596,계정대체기준!$A$20:$A$49,0)),1)))</f>
        <v/>
      </c>
      <c r="Z4596" s="94">
        <f>IF($A4596="",0,IF(AE4596="직접",IF(AF4596="신계약비",$P4596,0),$P4596*(1-AG4596)*IFERROR(INDEX(계정대체기준!$C$20:$C$49,MATCH($N4596,계정대체기준!$A$20:$A$49,0)),0)))</f>
        <v/>
      </c>
      <c r="AA4596" s="94">
        <f>IF($A4596="",0,IF(AE4596="직접",IF(OR(AF4596="유지비",AF4596="손해조사비"),$P4596,0),$P4596*(1-AG4596)*IFERROR(INDEX(계정대체기준!$D$20:$D$49,MATCH($N4596,계정대체기준!$A$20:$A$49,0)),0)))</f>
        <v/>
      </c>
      <c r="AB4596" s="94">
        <f>IF($A4596="",0,IF(AE4596="직접",IF(AF4596="수금비",$P4596,0),$P4596*(1-AG4596)*IFERROR(INDEX(계정대체기준!$E$20:$E$49,MATCH($N4596,계정대체기준!$A$20:$A$49,0)),0)))</f>
        <v/>
      </c>
      <c r="AC4596" s="9">
        <f>IF(AND($A4596&lt;&gt;"",M4596=설정!$C$20,Z4596&gt;0),Z4596+ROW()/1000000000,"")</f>
        <v/>
      </c>
      <c r="AD4596" s="94">
        <f>IF($A4596="",0,$P4596*AG4596)</f>
        <v/>
      </c>
      <c r="AE4596" s="64">
        <f>IF($A4596="","",IFERROR(INDEX(계정매핑!$E$5:$E$504,MATCH($F4596&amp;"",계정매핑!$A$5:$A$504,0))&amp;"","공통비"))</f>
        <v/>
      </c>
      <c r="AF4596" s="64">
        <f>IF($A4596="","",IF(AE4596="직접",IFERROR(INDEX(계정매핑!$F$5:$F$504,MATCH($F4596&amp;"",계정매핑!$A$5:$A$504,0))&amp;"","비귀속"),""))</f>
        <v/>
      </c>
      <c r="AG4596" s="96">
        <f>IF($A4596="",0,IF(AND(AE4596&lt;&gt;"직접",IFERROR(INDEX(계정매핑!$G$5:$G$504,MATCH($F4596&amp;"",계정매핑!$A$5:$A$504,0))&amp;"","")="유지비",COUNTIF(계정대체기준!$A$6:$A$15,$N4596)&gt;0),IFERROR(INDEX(계정대체기준!$E$6:$E$15,MATCH(VALUE($A4596&amp;""),계정대체기준!$D$6:$D$15,0)),0),0))</f>
        <v/>
      </c>
      <c r="AH4596" s="64">
        <f>IF($A4596="","",IF(AD4596=0,"",IF(OR(COUNTIF(계정대체기준!$A$77:$A$86,$N4596)&gt;0,ISNUMBER(MATCH($X4596,계정대체기준!$D$77:$D$86,0)),ISNUMBER(MATCH($F4596,계정대체기준!$D$77:$D$86,0))),"Y","N")))</f>
        <v/>
      </c>
    </row>
    <row r="4597">
      <c r="A4597" s="92" t="n">
        <v>2026</v>
      </c>
      <c r="B4597" s="92" t="n">
        <v>9</v>
      </c>
      <c r="C4597" s="92" t="inlineStr">
        <is>
          <t>5100001875</t>
        </is>
      </c>
      <c r="D4597" s="95" t="n">
        <v>46271</v>
      </c>
      <c r="E4597" s="92" t="inlineStr">
        <is>
          <t>KR</t>
        </is>
      </c>
      <c r="F4597" s="92" t="n">
        <v>62201000</v>
      </c>
      <c r="G4597" s="92" t="n">
        <v>1801</v>
      </c>
      <c r="H4597" s="93" t="n">
        <v>3736000</v>
      </c>
      <c r="I4597" s="92" t="inlineStr">
        <is>
          <t>9월 통신요금 - P통신</t>
        </is>
      </c>
      <c r="J4597" s="92" t="inlineStr">
        <is>
          <t>V10014</t>
        </is>
      </c>
      <c r="K4597" s="92" t="inlineStr">
        <is>
          <t>P통신</t>
        </is>
      </c>
      <c r="M4597" s="9">
        <f>IF($A4597="","",VALUE($A4597&amp;"")*12+VALUE($B4597&amp;""))</f>
        <v/>
      </c>
      <c r="N4597" s="64">
        <f>IF($A4597="","",IFERROR(INDEX(부서매핑!$C$5:$C$504,MATCH($G4597&amp;"",부서매핑!$A$5:$A$504,0)),"미매핑"))</f>
        <v/>
      </c>
      <c r="O4597" s="9">
        <f>IF($A4597="","",N4597&amp;"|"&amp;$F4597)</f>
        <v/>
      </c>
      <c r="P4597" s="94">
        <f>IF($A4597="",0,$H4597*설정!$C$23)</f>
        <v/>
      </c>
      <c r="Q4597" s="64">
        <f>IF($A4597="","",IF(O4597&lt;&gt;원인분석!$C$9,"",IF(AND(M4597&gt;=원인분석!$C$10,M4597&lt;=원인분석!$C$11),"당기",IF(AND(M4597&gt;=원인분석!$C$12,M4597&lt;=원인분석!$C$13),"비교",""))))</f>
        <v/>
      </c>
      <c r="R4597" s="9">
        <f>IF(Q4597="","",$K4597&amp;"")</f>
        <v/>
      </c>
      <c r="S4597" s="9">
        <f>IF(Q4597="","",IF(MATCH(R4597,$R$5:$R$100000,0)=ROW()-4,ROW(),""))</f>
        <v/>
      </c>
      <c r="T4597" s="9">
        <f>IF(Q4597="당기",ABS(P4597)+ROW()/1000000000,"")</f>
        <v/>
      </c>
      <c r="U4597" s="9">
        <f>IF(Q4597="비교",ABS(P4597)+ROW()/1000000000,"")</f>
        <v/>
      </c>
      <c r="V4597" s="64">
        <f>IF($A4597="","",IF(COUNTIF(변동분석!$E$7:$E$506,O4597)&gt;0,"Y","N"))</f>
        <v/>
      </c>
      <c r="W4597" s="64">
        <f>IF($A4597="","",IFERROR(INDEX(계정매핑!$D$5:$D$504,MATCH($F4597&amp;"",계정매핑!$A$5:$A$504,0)),"미매핑"))</f>
        <v/>
      </c>
      <c r="X4597" s="9">
        <f>IF($A4597="","",$F4597&amp;"")</f>
        <v/>
      </c>
      <c r="Y4597" s="94">
        <f>IF($A4597="",0,IF(AE4597="직접",IF(AF4597="비귀속",$P4597,0),$P4597*(1-AG4597)*IFERROR(INDEX(계정대체기준!$F$20:$F$49,MATCH($N4597,계정대체기준!$A$20:$A$49,0)),1)))</f>
        <v/>
      </c>
      <c r="Z4597" s="94">
        <f>IF($A4597="",0,IF(AE4597="직접",IF(AF4597="신계약비",$P4597,0),$P4597*(1-AG4597)*IFERROR(INDEX(계정대체기준!$C$20:$C$49,MATCH($N4597,계정대체기준!$A$20:$A$49,0)),0)))</f>
        <v/>
      </c>
      <c r="AA4597" s="94">
        <f>IF($A4597="",0,IF(AE4597="직접",IF(OR(AF4597="유지비",AF4597="손해조사비"),$P4597,0),$P4597*(1-AG4597)*IFERROR(INDEX(계정대체기준!$D$20:$D$49,MATCH($N4597,계정대체기준!$A$20:$A$49,0)),0)))</f>
        <v/>
      </c>
      <c r="AB4597" s="94">
        <f>IF($A4597="",0,IF(AE4597="직접",IF(AF4597="수금비",$P4597,0),$P4597*(1-AG4597)*IFERROR(INDEX(계정대체기준!$E$20:$E$49,MATCH($N4597,계정대체기준!$A$20:$A$49,0)),0)))</f>
        <v/>
      </c>
      <c r="AC4597" s="9">
        <f>IF(AND($A4597&lt;&gt;"",M4597=설정!$C$20,Z4597&gt;0),Z4597+ROW()/1000000000,"")</f>
        <v/>
      </c>
      <c r="AD4597" s="94">
        <f>IF($A4597="",0,$P4597*AG4597)</f>
        <v/>
      </c>
      <c r="AE4597" s="64">
        <f>IF($A4597="","",IFERROR(INDEX(계정매핑!$E$5:$E$504,MATCH($F4597&amp;"",계정매핑!$A$5:$A$504,0))&amp;"","공통비"))</f>
        <v/>
      </c>
      <c r="AF4597" s="64">
        <f>IF($A4597="","",IF(AE4597="직접",IFERROR(INDEX(계정매핑!$F$5:$F$504,MATCH($F4597&amp;"",계정매핑!$A$5:$A$504,0))&amp;"","비귀속"),""))</f>
        <v/>
      </c>
      <c r="AG4597" s="96">
        <f>IF($A4597="",0,IF(AND(AE4597&lt;&gt;"직접",IFERROR(INDEX(계정매핑!$G$5:$G$504,MATCH($F4597&amp;"",계정매핑!$A$5:$A$504,0))&amp;"","")="유지비",COUNTIF(계정대체기준!$A$6:$A$15,$N4597)&gt;0),IFERROR(INDEX(계정대체기준!$E$6:$E$15,MATCH(VALUE($A4597&amp;""),계정대체기준!$D$6:$D$15,0)),0),0))</f>
        <v/>
      </c>
      <c r="AH4597" s="64">
        <f>IF($A4597="","",IF(AD4597=0,"",IF(OR(COUNTIF(계정대체기준!$A$77:$A$86,$N4597)&gt;0,ISNUMBER(MATCH($X4597,계정대체기준!$D$77:$D$86,0)),ISNUMBER(MATCH($F4597,계정대체기준!$D$77:$D$86,0))),"Y","N")))</f>
        <v/>
      </c>
    </row>
    <row r="4598">
      <c r="A4598" s="92" t="n">
        <v>2026</v>
      </c>
      <c r="B4598" s="92" t="n">
        <v>9</v>
      </c>
      <c r="C4598" s="92" t="inlineStr">
        <is>
          <t>5100001876</t>
        </is>
      </c>
      <c r="D4598" s="95" t="n">
        <v>46271</v>
      </c>
      <c r="E4598" s="92" t="inlineStr">
        <is>
          <t>KR</t>
        </is>
      </c>
      <c r="F4598" s="92" t="n">
        <v>62501000</v>
      </c>
      <c r="G4598" s="92" t="n">
        <v>1101</v>
      </c>
      <c r="H4598" s="93" t="n">
        <v>360000</v>
      </c>
      <c r="I4598" s="92" t="inlineStr">
        <is>
          <t>9월 회의 다과 - (법인카드)</t>
        </is>
      </c>
      <c r="J4598" s="92" t="inlineStr">
        <is>
          <t>V10010</t>
        </is>
      </c>
      <c r="K4598" s="92" t="inlineStr">
        <is>
          <t>(법인카드)</t>
        </is>
      </c>
      <c r="M4598" s="9">
        <f>IF($A4598="","",VALUE($A4598&amp;"")*12+VALUE($B4598&amp;""))</f>
        <v/>
      </c>
      <c r="N4598" s="64">
        <f>IF($A4598="","",IFERROR(INDEX(부서매핑!$C$5:$C$504,MATCH($G4598&amp;"",부서매핑!$A$5:$A$504,0)),"미매핑"))</f>
        <v/>
      </c>
      <c r="O4598" s="9">
        <f>IF($A4598="","",N4598&amp;"|"&amp;$F4598)</f>
        <v/>
      </c>
      <c r="P4598" s="94">
        <f>IF($A4598="",0,$H4598*설정!$C$23)</f>
        <v/>
      </c>
      <c r="Q4598" s="64">
        <f>IF($A4598="","",IF(O4598&lt;&gt;원인분석!$C$9,"",IF(AND(M4598&gt;=원인분석!$C$10,M4598&lt;=원인분석!$C$11),"당기",IF(AND(M4598&gt;=원인분석!$C$12,M4598&lt;=원인분석!$C$13),"비교",""))))</f>
        <v/>
      </c>
      <c r="R4598" s="9">
        <f>IF(Q4598="","",$K4598&amp;"")</f>
        <v/>
      </c>
      <c r="S4598" s="9">
        <f>IF(Q4598="","",IF(MATCH(R4598,$R$5:$R$100000,0)=ROW()-4,ROW(),""))</f>
        <v/>
      </c>
      <c r="T4598" s="9">
        <f>IF(Q4598="당기",ABS(P4598)+ROW()/1000000000,"")</f>
        <v/>
      </c>
      <c r="U4598" s="9">
        <f>IF(Q4598="비교",ABS(P4598)+ROW()/1000000000,"")</f>
        <v/>
      </c>
      <c r="V4598" s="64">
        <f>IF($A4598="","",IF(COUNTIF(변동분석!$E$7:$E$506,O4598)&gt;0,"Y","N"))</f>
        <v/>
      </c>
      <c r="W4598" s="64">
        <f>IF($A4598="","",IFERROR(INDEX(계정매핑!$D$5:$D$504,MATCH($F4598&amp;"",계정매핑!$A$5:$A$504,0)),"미매핑"))</f>
        <v/>
      </c>
      <c r="X4598" s="9">
        <f>IF($A4598="","",$F4598&amp;"")</f>
        <v/>
      </c>
      <c r="Y4598" s="94">
        <f>IF($A4598="",0,IF(AE4598="직접",IF(AF4598="비귀속",$P4598,0),$P4598*(1-AG4598)*IFERROR(INDEX(계정대체기준!$F$20:$F$49,MATCH($N4598,계정대체기준!$A$20:$A$49,0)),1)))</f>
        <v/>
      </c>
      <c r="Z4598" s="94">
        <f>IF($A4598="",0,IF(AE4598="직접",IF(AF4598="신계약비",$P4598,0),$P4598*(1-AG4598)*IFERROR(INDEX(계정대체기준!$C$20:$C$49,MATCH($N4598,계정대체기준!$A$20:$A$49,0)),0)))</f>
        <v/>
      </c>
      <c r="AA4598" s="94">
        <f>IF($A4598="",0,IF(AE4598="직접",IF(OR(AF4598="유지비",AF4598="손해조사비"),$P4598,0),$P4598*(1-AG4598)*IFERROR(INDEX(계정대체기준!$D$20:$D$49,MATCH($N4598,계정대체기준!$A$20:$A$49,0)),0)))</f>
        <v/>
      </c>
      <c r="AB4598" s="94">
        <f>IF($A4598="",0,IF(AE4598="직접",IF(AF4598="수금비",$P4598,0),$P4598*(1-AG4598)*IFERROR(INDEX(계정대체기준!$E$20:$E$49,MATCH($N4598,계정대체기준!$A$20:$A$49,0)),0)))</f>
        <v/>
      </c>
      <c r="AC4598" s="9">
        <f>IF(AND($A4598&lt;&gt;"",M4598=설정!$C$20,Z4598&gt;0),Z4598+ROW()/1000000000,"")</f>
        <v/>
      </c>
      <c r="AD4598" s="94">
        <f>IF($A4598="",0,$P4598*AG4598)</f>
        <v/>
      </c>
      <c r="AE4598" s="64">
        <f>IF($A4598="","",IFERROR(INDEX(계정매핑!$E$5:$E$504,MATCH($F4598&amp;"",계정매핑!$A$5:$A$504,0))&amp;"","공통비"))</f>
        <v/>
      </c>
      <c r="AF4598" s="64">
        <f>IF($A4598="","",IF(AE4598="직접",IFERROR(INDEX(계정매핑!$F$5:$F$504,MATCH($F4598&amp;"",계정매핑!$A$5:$A$504,0))&amp;"","비귀속"),""))</f>
        <v/>
      </c>
      <c r="AG4598" s="96">
        <f>IF($A4598="",0,IF(AND(AE4598&lt;&gt;"직접",IFERROR(INDEX(계정매핑!$G$5:$G$504,MATCH($F4598&amp;"",계정매핑!$A$5:$A$504,0))&amp;"","")="유지비",COUNTIF(계정대체기준!$A$6:$A$15,$N4598)&gt;0),IFERROR(INDEX(계정대체기준!$E$6:$E$15,MATCH(VALUE($A4598&amp;""),계정대체기준!$D$6:$D$15,0)),0),0))</f>
        <v/>
      </c>
      <c r="AH4598" s="64">
        <f>IF($A4598="","",IF(AD4598=0,"",IF(OR(COUNTIF(계정대체기준!$A$77:$A$86,$N4598)&gt;0,ISNUMBER(MATCH($X4598,계정대체기준!$D$77:$D$86,0)),ISNUMBER(MATCH($F4598,계정대체기준!$D$77:$D$86,0))),"Y","N")))</f>
        <v/>
      </c>
    </row>
    <row r="4599">
      <c r="A4599" s="92" t="n">
        <v>2026</v>
      </c>
      <c r="B4599" s="92" t="n">
        <v>9</v>
      </c>
      <c r="C4599" s="92" t="inlineStr">
        <is>
          <t>5100001877</t>
        </is>
      </c>
      <c r="D4599" s="95" t="n">
        <v>46271</v>
      </c>
      <c r="E4599" s="92" t="inlineStr">
        <is>
          <t>KR</t>
        </is>
      </c>
      <c r="F4599" s="92" t="n">
        <v>62901000</v>
      </c>
      <c r="G4599" s="92" t="n">
        <v>1801</v>
      </c>
      <c r="H4599" s="93" t="n">
        <v>8961000</v>
      </c>
      <c r="I4599" s="92" t="inlineStr">
        <is>
          <t>9월 자문 수수료 - W컨설팅</t>
        </is>
      </c>
      <c r="J4599" s="92" t="inlineStr">
        <is>
          <t>V10006</t>
        </is>
      </c>
      <c r="K4599" s="92" t="inlineStr">
        <is>
          <t>W컨설팅</t>
        </is>
      </c>
      <c r="M4599" s="9">
        <f>IF($A4599="","",VALUE($A4599&amp;"")*12+VALUE($B4599&amp;""))</f>
        <v/>
      </c>
      <c r="N4599" s="64">
        <f>IF($A4599="","",IFERROR(INDEX(부서매핑!$C$5:$C$504,MATCH($G4599&amp;"",부서매핑!$A$5:$A$504,0)),"미매핑"))</f>
        <v/>
      </c>
      <c r="O4599" s="9">
        <f>IF($A4599="","",N4599&amp;"|"&amp;$F4599)</f>
        <v/>
      </c>
      <c r="P4599" s="94">
        <f>IF($A4599="",0,$H4599*설정!$C$23)</f>
        <v/>
      </c>
      <c r="Q4599" s="64">
        <f>IF($A4599="","",IF(O4599&lt;&gt;원인분석!$C$9,"",IF(AND(M4599&gt;=원인분석!$C$10,M4599&lt;=원인분석!$C$11),"당기",IF(AND(M4599&gt;=원인분석!$C$12,M4599&lt;=원인분석!$C$13),"비교",""))))</f>
        <v/>
      </c>
      <c r="R4599" s="9">
        <f>IF(Q4599="","",$K4599&amp;"")</f>
        <v/>
      </c>
      <c r="S4599" s="9">
        <f>IF(Q4599="","",IF(MATCH(R4599,$R$5:$R$100000,0)=ROW()-4,ROW(),""))</f>
        <v/>
      </c>
      <c r="T4599" s="9">
        <f>IF(Q4599="당기",ABS(P4599)+ROW()/1000000000,"")</f>
        <v/>
      </c>
      <c r="U4599" s="9">
        <f>IF(Q4599="비교",ABS(P4599)+ROW()/1000000000,"")</f>
        <v/>
      </c>
      <c r="V4599" s="64">
        <f>IF($A4599="","",IF(COUNTIF(변동분석!$E$7:$E$506,O4599)&gt;0,"Y","N"))</f>
        <v/>
      </c>
      <c r="W4599" s="64">
        <f>IF($A4599="","",IFERROR(INDEX(계정매핑!$D$5:$D$504,MATCH($F4599&amp;"",계정매핑!$A$5:$A$504,0)),"미매핑"))</f>
        <v/>
      </c>
      <c r="X4599" s="9">
        <f>IF($A4599="","",$F4599&amp;"")</f>
        <v/>
      </c>
      <c r="Y4599" s="94">
        <f>IF($A4599="",0,IF(AE4599="직접",IF(AF4599="비귀속",$P4599,0),$P4599*(1-AG4599)*IFERROR(INDEX(계정대체기준!$F$20:$F$49,MATCH($N4599,계정대체기준!$A$20:$A$49,0)),1)))</f>
        <v/>
      </c>
      <c r="Z4599" s="94">
        <f>IF($A4599="",0,IF(AE4599="직접",IF(AF4599="신계약비",$P4599,0),$P4599*(1-AG4599)*IFERROR(INDEX(계정대체기준!$C$20:$C$49,MATCH($N4599,계정대체기준!$A$20:$A$49,0)),0)))</f>
        <v/>
      </c>
      <c r="AA4599" s="94">
        <f>IF($A4599="",0,IF(AE4599="직접",IF(OR(AF4599="유지비",AF4599="손해조사비"),$P4599,0),$P4599*(1-AG4599)*IFERROR(INDEX(계정대체기준!$D$20:$D$49,MATCH($N4599,계정대체기준!$A$20:$A$49,0)),0)))</f>
        <v/>
      </c>
      <c r="AB4599" s="94">
        <f>IF($A4599="",0,IF(AE4599="직접",IF(AF4599="수금비",$P4599,0),$P4599*(1-AG4599)*IFERROR(INDEX(계정대체기준!$E$20:$E$49,MATCH($N4599,계정대체기준!$A$20:$A$49,0)),0)))</f>
        <v/>
      </c>
      <c r="AC4599" s="9">
        <f>IF(AND($A4599&lt;&gt;"",M4599=설정!$C$20,Z4599&gt;0),Z4599+ROW()/1000000000,"")</f>
        <v/>
      </c>
      <c r="AD4599" s="94">
        <f>IF($A4599="",0,$P4599*AG4599)</f>
        <v/>
      </c>
      <c r="AE4599" s="64">
        <f>IF($A4599="","",IFERROR(INDEX(계정매핑!$E$5:$E$504,MATCH($F4599&amp;"",계정매핑!$A$5:$A$504,0))&amp;"","공통비"))</f>
        <v/>
      </c>
      <c r="AF4599" s="64">
        <f>IF($A4599="","",IF(AE4599="직접",IFERROR(INDEX(계정매핑!$F$5:$F$504,MATCH($F4599&amp;"",계정매핑!$A$5:$A$504,0))&amp;"","비귀속"),""))</f>
        <v/>
      </c>
      <c r="AG4599" s="96">
        <f>IF($A4599="",0,IF(AND(AE4599&lt;&gt;"직접",IFERROR(INDEX(계정매핑!$G$5:$G$504,MATCH($F4599&amp;"",계정매핑!$A$5:$A$504,0))&amp;"","")="유지비",COUNTIF(계정대체기준!$A$6:$A$15,$N4599)&gt;0),IFERROR(INDEX(계정대체기준!$E$6:$E$15,MATCH(VALUE($A4599&amp;""),계정대체기준!$D$6:$D$15,0)),0),0))</f>
        <v/>
      </c>
      <c r="AH4599" s="64">
        <f>IF($A4599="","",IF(AD4599=0,"",IF(OR(COUNTIF(계정대체기준!$A$77:$A$86,$N4599)&gt;0,ISNUMBER(MATCH($X4599,계정대체기준!$D$77:$D$86,0)),ISNUMBER(MATCH($F4599,계정대체기준!$D$77:$D$86,0))),"Y","N")))</f>
        <v/>
      </c>
    </row>
    <row r="4600">
      <c r="A4600" s="92" t="n">
        <v>2026</v>
      </c>
      <c r="B4600" s="92" t="n">
        <v>9</v>
      </c>
      <c r="C4600" s="92" t="inlineStr">
        <is>
          <t>5100001878</t>
        </is>
      </c>
      <c r="D4600" s="95" t="n">
        <v>46271</v>
      </c>
      <c r="E4600" s="92" t="inlineStr">
        <is>
          <t>KR</t>
        </is>
      </c>
      <c r="F4600" s="92" t="n">
        <v>63001000</v>
      </c>
      <c r="G4600" s="92" t="n">
        <v>1951</v>
      </c>
      <c r="H4600" s="93" t="n">
        <v>2622000</v>
      </c>
      <c r="I4600" s="92" t="inlineStr">
        <is>
          <t>9월 SW 유지보수 - Z시스템</t>
        </is>
      </c>
      <c r="J4600" s="92" t="inlineStr">
        <is>
          <t>V10012</t>
        </is>
      </c>
      <c r="K4600" s="92" t="inlineStr">
        <is>
          <t>Z시스템</t>
        </is>
      </c>
      <c r="M4600" s="9">
        <f>IF($A4600="","",VALUE($A4600&amp;"")*12+VALUE($B4600&amp;""))</f>
        <v/>
      </c>
      <c r="N4600" s="64">
        <f>IF($A4600="","",IFERROR(INDEX(부서매핑!$C$5:$C$504,MATCH($G4600&amp;"",부서매핑!$A$5:$A$504,0)),"미매핑"))</f>
        <v/>
      </c>
      <c r="O4600" s="9">
        <f>IF($A4600="","",N4600&amp;"|"&amp;$F4600)</f>
        <v/>
      </c>
      <c r="P4600" s="94">
        <f>IF($A4600="",0,$H4600*설정!$C$23)</f>
        <v/>
      </c>
      <c r="Q4600" s="64">
        <f>IF($A4600="","",IF(O4600&lt;&gt;원인분석!$C$9,"",IF(AND(M4600&gt;=원인분석!$C$10,M4600&lt;=원인분석!$C$11),"당기",IF(AND(M4600&gt;=원인분석!$C$12,M4600&lt;=원인분석!$C$13),"비교",""))))</f>
        <v/>
      </c>
      <c r="R4600" s="9">
        <f>IF(Q4600="","",$K4600&amp;"")</f>
        <v/>
      </c>
      <c r="S4600" s="9">
        <f>IF(Q4600="","",IF(MATCH(R4600,$R$5:$R$100000,0)=ROW()-4,ROW(),""))</f>
        <v/>
      </c>
      <c r="T4600" s="9">
        <f>IF(Q4600="당기",ABS(P4600)+ROW()/1000000000,"")</f>
        <v/>
      </c>
      <c r="U4600" s="9">
        <f>IF(Q4600="비교",ABS(P4600)+ROW()/1000000000,"")</f>
        <v/>
      </c>
      <c r="V4600" s="64">
        <f>IF($A4600="","",IF(COUNTIF(변동분석!$E$7:$E$506,O4600)&gt;0,"Y","N"))</f>
        <v/>
      </c>
      <c r="W4600" s="64">
        <f>IF($A4600="","",IFERROR(INDEX(계정매핑!$D$5:$D$504,MATCH($F4600&amp;"",계정매핑!$A$5:$A$504,0)),"미매핑"))</f>
        <v/>
      </c>
      <c r="X4600" s="9">
        <f>IF($A4600="","",$F4600&amp;"")</f>
        <v/>
      </c>
      <c r="Y4600" s="94">
        <f>IF($A4600="",0,IF(AE4600="직접",IF(AF4600="비귀속",$P4600,0),$P4600*(1-AG4600)*IFERROR(INDEX(계정대체기준!$F$20:$F$49,MATCH($N4600,계정대체기준!$A$20:$A$49,0)),1)))</f>
        <v/>
      </c>
      <c r="Z4600" s="94">
        <f>IF($A4600="",0,IF(AE4600="직접",IF(AF4600="신계약비",$P4600,0),$P4600*(1-AG4600)*IFERROR(INDEX(계정대체기준!$C$20:$C$49,MATCH($N4600,계정대체기준!$A$20:$A$49,0)),0)))</f>
        <v/>
      </c>
      <c r="AA4600" s="94">
        <f>IF($A4600="",0,IF(AE4600="직접",IF(OR(AF4600="유지비",AF4600="손해조사비"),$P4600,0),$P4600*(1-AG4600)*IFERROR(INDEX(계정대체기준!$D$20:$D$49,MATCH($N4600,계정대체기준!$A$20:$A$49,0)),0)))</f>
        <v/>
      </c>
      <c r="AB4600" s="94">
        <f>IF($A4600="",0,IF(AE4600="직접",IF(AF4600="수금비",$P4600,0),$P4600*(1-AG4600)*IFERROR(INDEX(계정대체기준!$E$20:$E$49,MATCH($N4600,계정대체기준!$A$20:$A$49,0)),0)))</f>
        <v/>
      </c>
      <c r="AC4600" s="9">
        <f>IF(AND($A4600&lt;&gt;"",M4600=설정!$C$20,Z4600&gt;0),Z4600+ROW()/1000000000,"")</f>
        <v/>
      </c>
      <c r="AD4600" s="94">
        <f>IF($A4600="",0,$P4600*AG4600)</f>
        <v/>
      </c>
      <c r="AE4600" s="64">
        <f>IF($A4600="","",IFERROR(INDEX(계정매핑!$E$5:$E$504,MATCH($F4600&amp;"",계정매핑!$A$5:$A$504,0))&amp;"","공통비"))</f>
        <v/>
      </c>
      <c r="AF4600" s="64">
        <f>IF($A4600="","",IF(AE4600="직접",IFERROR(INDEX(계정매핑!$F$5:$F$504,MATCH($F4600&amp;"",계정매핑!$A$5:$A$504,0))&amp;"","비귀속"),""))</f>
        <v/>
      </c>
      <c r="AG4600" s="96">
        <f>IF($A4600="",0,IF(AND(AE4600&lt;&gt;"직접",IFERROR(INDEX(계정매핑!$G$5:$G$504,MATCH($F4600&amp;"",계정매핑!$A$5:$A$504,0))&amp;"","")="유지비",COUNTIF(계정대체기준!$A$6:$A$15,$N4600)&gt;0),IFERROR(INDEX(계정대체기준!$E$6:$E$15,MATCH(VALUE($A4600&amp;""),계정대체기준!$D$6:$D$15,0)),0),0))</f>
        <v/>
      </c>
      <c r="AH4600" s="64">
        <f>IF($A4600="","",IF(AD4600=0,"",IF(OR(COUNTIF(계정대체기준!$A$77:$A$86,$N4600)&gt;0,ISNUMBER(MATCH($X4600,계정대체기준!$D$77:$D$86,0)),ISNUMBER(MATCH($F4600,계정대체기준!$D$77:$D$86,0))),"Y","N")))</f>
        <v/>
      </c>
    </row>
    <row r="4601">
      <c r="A4601" s="92" t="n">
        <v>2026</v>
      </c>
      <c r="B4601" s="92" t="n">
        <v>9</v>
      </c>
      <c r="C4601" s="92" t="inlineStr">
        <is>
          <t>5100001879</t>
        </is>
      </c>
      <c r="D4601" s="95" t="n">
        <v>46271</v>
      </c>
      <c r="E4601" s="92" t="inlineStr">
        <is>
          <t>KR</t>
        </is>
      </c>
      <c r="F4601" s="92" t="n">
        <v>63501000</v>
      </c>
      <c r="G4601" s="92" t="n">
        <v>1902</v>
      </c>
      <c r="H4601" s="93" t="n">
        <v>426499000</v>
      </c>
      <c r="I4601" s="92" t="inlineStr">
        <is>
          <t>9월 모집수수료 - (전속설계사)</t>
        </is>
      </c>
      <c r="J4601" s="92" t="inlineStr">
        <is>
          <t>V10021</t>
        </is>
      </c>
      <c r="K4601" s="92" t="inlineStr">
        <is>
          <t>(전속설계사)</t>
        </is>
      </c>
      <c r="M4601" s="9">
        <f>IF($A4601="","",VALUE($A4601&amp;"")*12+VALUE($B4601&amp;""))</f>
        <v/>
      </c>
      <c r="N4601" s="64">
        <f>IF($A4601="","",IFERROR(INDEX(부서매핑!$C$5:$C$504,MATCH($G4601&amp;"",부서매핑!$A$5:$A$504,0)),"미매핑"))</f>
        <v/>
      </c>
      <c r="O4601" s="9">
        <f>IF($A4601="","",N4601&amp;"|"&amp;$F4601)</f>
        <v/>
      </c>
      <c r="P4601" s="94">
        <f>IF($A4601="",0,$H4601*설정!$C$23)</f>
        <v/>
      </c>
      <c r="Q4601" s="64">
        <f>IF($A4601="","",IF(O4601&lt;&gt;원인분석!$C$9,"",IF(AND(M4601&gt;=원인분석!$C$10,M4601&lt;=원인분석!$C$11),"당기",IF(AND(M4601&gt;=원인분석!$C$12,M4601&lt;=원인분석!$C$13),"비교",""))))</f>
        <v/>
      </c>
      <c r="R4601" s="9">
        <f>IF(Q4601="","",$K4601&amp;"")</f>
        <v/>
      </c>
      <c r="S4601" s="9">
        <f>IF(Q4601="","",IF(MATCH(R4601,$R$5:$R$100000,0)=ROW()-4,ROW(),""))</f>
        <v/>
      </c>
      <c r="T4601" s="9">
        <f>IF(Q4601="당기",ABS(P4601)+ROW()/1000000000,"")</f>
        <v/>
      </c>
      <c r="U4601" s="9">
        <f>IF(Q4601="비교",ABS(P4601)+ROW()/1000000000,"")</f>
        <v/>
      </c>
      <c r="V4601" s="64">
        <f>IF($A4601="","",IF(COUNTIF(변동분석!$E$7:$E$506,O4601)&gt;0,"Y","N"))</f>
        <v/>
      </c>
      <c r="W4601" s="64">
        <f>IF($A4601="","",IFERROR(INDEX(계정매핑!$D$5:$D$504,MATCH($F4601&amp;"",계정매핑!$A$5:$A$504,0)),"미매핑"))</f>
        <v/>
      </c>
      <c r="X4601" s="9">
        <f>IF($A4601="","",$F4601&amp;"")</f>
        <v/>
      </c>
      <c r="Y4601" s="94">
        <f>IF($A4601="",0,IF(AE4601="직접",IF(AF4601="비귀속",$P4601,0),$P4601*(1-AG4601)*IFERROR(INDEX(계정대체기준!$F$20:$F$49,MATCH($N4601,계정대체기준!$A$20:$A$49,0)),1)))</f>
        <v/>
      </c>
      <c r="Z4601" s="94">
        <f>IF($A4601="",0,IF(AE4601="직접",IF(AF4601="신계약비",$P4601,0),$P4601*(1-AG4601)*IFERROR(INDEX(계정대체기준!$C$20:$C$49,MATCH($N4601,계정대체기준!$A$20:$A$49,0)),0)))</f>
        <v/>
      </c>
      <c r="AA4601" s="94">
        <f>IF($A4601="",0,IF(AE4601="직접",IF(OR(AF4601="유지비",AF4601="손해조사비"),$P4601,0),$P4601*(1-AG4601)*IFERROR(INDEX(계정대체기준!$D$20:$D$49,MATCH($N4601,계정대체기준!$A$20:$A$49,0)),0)))</f>
        <v/>
      </c>
      <c r="AB4601" s="94">
        <f>IF($A4601="",0,IF(AE4601="직접",IF(AF4601="수금비",$P4601,0),$P4601*(1-AG4601)*IFERROR(INDEX(계정대체기준!$E$20:$E$49,MATCH($N4601,계정대체기준!$A$20:$A$49,0)),0)))</f>
        <v/>
      </c>
      <c r="AC4601" s="9">
        <f>IF(AND($A4601&lt;&gt;"",M4601=설정!$C$20,Z4601&gt;0),Z4601+ROW()/1000000000,"")</f>
        <v/>
      </c>
      <c r="AD4601" s="94">
        <f>IF($A4601="",0,$P4601*AG4601)</f>
        <v/>
      </c>
      <c r="AE4601" s="64">
        <f>IF($A4601="","",IFERROR(INDEX(계정매핑!$E$5:$E$504,MATCH($F4601&amp;"",계정매핑!$A$5:$A$504,0))&amp;"","공통비"))</f>
        <v/>
      </c>
      <c r="AF4601" s="64">
        <f>IF($A4601="","",IF(AE4601="직접",IFERROR(INDEX(계정매핑!$F$5:$F$504,MATCH($F4601&amp;"",계정매핑!$A$5:$A$504,0))&amp;"","비귀속"),""))</f>
        <v/>
      </c>
      <c r="AG4601" s="96">
        <f>IF($A4601="",0,IF(AND(AE4601&lt;&gt;"직접",IFERROR(INDEX(계정매핑!$G$5:$G$504,MATCH($F4601&amp;"",계정매핑!$A$5:$A$504,0))&amp;"","")="유지비",COUNTIF(계정대체기준!$A$6:$A$15,$N4601)&gt;0),IFERROR(INDEX(계정대체기준!$E$6:$E$15,MATCH(VALUE($A4601&amp;""),계정대체기준!$D$6:$D$15,0)),0),0))</f>
        <v/>
      </c>
      <c r="AH4601" s="64">
        <f>IF($A4601="","",IF(AD4601=0,"",IF(OR(COUNTIF(계정대체기준!$A$77:$A$86,$N4601)&gt;0,ISNUMBER(MATCH($X4601,계정대체기준!$D$77:$D$86,0)),ISNUMBER(MATCH($F4601,계정대체기준!$D$77:$D$86,0))),"Y","N")))</f>
        <v/>
      </c>
    </row>
    <row r="4602">
      <c r="A4602" s="92" t="n">
        <v>2026</v>
      </c>
      <c r="B4602" s="92" t="n">
        <v>9</v>
      </c>
      <c r="C4602" s="92" t="inlineStr">
        <is>
          <t>5100001880</t>
        </is>
      </c>
      <c r="D4602" s="95" t="n">
        <v>46272</v>
      </c>
      <c r="E4602" s="92" t="inlineStr">
        <is>
          <t>KR</t>
        </is>
      </c>
      <c r="F4602" s="92" t="n">
        <v>62101000</v>
      </c>
      <c r="G4602" s="92" t="n">
        <v>1301</v>
      </c>
      <c r="H4602" s="93" t="n">
        <v>215000</v>
      </c>
      <c r="I4602" s="92" t="inlineStr">
        <is>
          <t>9월 국내출장 - L여행사</t>
        </is>
      </c>
      <c r="J4602" s="92" t="inlineStr">
        <is>
          <t>V10018</t>
        </is>
      </c>
      <c r="K4602" s="92" t="inlineStr">
        <is>
          <t>L여행사</t>
        </is>
      </c>
      <c r="M4602" s="9">
        <f>IF($A4602="","",VALUE($A4602&amp;"")*12+VALUE($B4602&amp;""))</f>
        <v/>
      </c>
      <c r="N4602" s="64">
        <f>IF($A4602="","",IFERROR(INDEX(부서매핑!$C$5:$C$504,MATCH($G4602&amp;"",부서매핑!$A$5:$A$504,0)),"미매핑"))</f>
        <v/>
      </c>
      <c r="O4602" s="9">
        <f>IF($A4602="","",N4602&amp;"|"&amp;$F4602)</f>
        <v/>
      </c>
      <c r="P4602" s="94">
        <f>IF($A4602="",0,$H4602*설정!$C$23)</f>
        <v/>
      </c>
      <c r="Q4602" s="64">
        <f>IF($A4602="","",IF(O4602&lt;&gt;원인분석!$C$9,"",IF(AND(M4602&gt;=원인분석!$C$10,M4602&lt;=원인분석!$C$11),"당기",IF(AND(M4602&gt;=원인분석!$C$12,M4602&lt;=원인분석!$C$13),"비교",""))))</f>
        <v/>
      </c>
      <c r="R4602" s="9">
        <f>IF(Q4602="","",$K4602&amp;"")</f>
        <v/>
      </c>
      <c r="S4602" s="9">
        <f>IF(Q4602="","",IF(MATCH(R4602,$R$5:$R$100000,0)=ROW()-4,ROW(),""))</f>
        <v/>
      </c>
      <c r="T4602" s="9">
        <f>IF(Q4602="당기",ABS(P4602)+ROW()/1000000000,"")</f>
        <v/>
      </c>
      <c r="U4602" s="9">
        <f>IF(Q4602="비교",ABS(P4602)+ROW()/1000000000,"")</f>
        <v/>
      </c>
      <c r="V4602" s="64">
        <f>IF($A4602="","",IF(COUNTIF(변동분석!$E$7:$E$506,O4602)&gt;0,"Y","N"))</f>
        <v/>
      </c>
      <c r="W4602" s="64">
        <f>IF($A4602="","",IFERROR(INDEX(계정매핑!$D$5:$D$504,MATCH($F4602&amp;"",계정매핑!$A$5:$A$504,0)),"미매핑"))</f>
        <v/>
      </c>
      <c r="X4602" s="9">
        <f>IF($A4602="","",$F4602&amp;"")</f>
        <v/>
      </c>
      <c r="Y4602" s="94">
        <f>IF($A4602="",0,IF(AE4602="직접",IF(AF4602="비귀속",$P4602,0),$P4602*(1-AG4602)*IFERROR(INDEX(계정대체기준!$F$20:$F$49,MATCH($N4602,계정대체기준!$A$20:$A$49,0)),1)))</f>
        <v/>
      </c>
      <c r="Z4602" s="94">
        <f>IF($A4602="",0,IF(AE4602="직접",IF(AF4602="신계약비",$P4602,0),$P4602*(1-AG4602)*IFERROR(INDEX(계정대체기준!$C$20:$C$49,MATCH($N4602,계정대체기준!$A$20:$A$49,0)),0)))</f>
        <v/>
      </c>
      <c r="AA4602" s="94">
        <f>IF($A4602="",0,IF(AE4602="직접",IF(OR(AF4602="유지비",AF4602="손해조사비"),$P4602,0),$P4602*(1-AG4602)*IFERROR(INDEX(계정대체기준!$D$20:$D$49,MATCH($N4602,계정대체기준!$A$20:$A$49,0)),0)))</f>
        <v/>
      </c>
      <c r="AB4602" s="94">
        <f>IF($A4602="",0,IF(AE4602="직접",IF(AF4602="수금비",$P4602,0),$P4602*(1-AG4602)*IFERROR(INDEX(계정대체기준!$E$20:$E$49,MATCH($N4602,계정대체기준!$A$20:$A$49,0)),0)))</f>
        <v/>
      </c>
      <c r="AC4602" s="9">
        <f>IF(AND($A4602&lt;&gt;"",M4602=설정!$C$20,Z4602&gt;0),Z4602+ROW()/1000000000,"")</f>
        <v/>
      </c>
      <c r="AD4602" s="94">
        <f>IF($A4602="",0,$P4602*AG4602)</f>
        <v/>
      </c>
      <c r="AE4602" s="64">
        <f>IF($A4602="","",IFERROR(INDEX(계정매핑!$E$5:$E$504,MATCH($F4602&amp;"",계정매핑!$A$5:$A$504,0))&amp;"","공통비"))</f>
        <v/>
      </c>
      <c r="AF4602" s="64">
        <f>IF($A4602="","",IF(AE4602="직접",IFERROR(INDEX(계정매핑!$F$5:$F$504,MATCH($F4602&amp;"",계정매핑!$A$5:$A$504,0))&amp;"","비귀속"),""))</f>
        <v/>
      </c>
      <c r="AG4602" s="96">
        <f>IF($A4602="",0,IF(AND(AE4602&lt;&gt;"직접",IFERROR(INDEX(계정매핑!$G$5:$G$504,MATCH($F4602&amp;"",계정매핑!$A$5:$A$504,0))&amp;"","")="유지비",COUNTIF(계정대체기준!$A$6:$A$15,$N4602)&gt;0),IFERROR(INDEX(계정대체기준!$E$6:$E$15,MATCH(VALUE($A4602&amp;""),계정대체기준!$D$6:$D$15,0)),0),0))</f>
        <v/>
      </c>
      <c r="AH4602" s="64">
        <f>IF($A4602="","",IF(AD4602=0,"",IF(OR(COUNTIF(계정대체기준!$A$77:$A$86,$N4602)&gt;0,ISNUMBER(MATCH($X4602,계정대체기준!$D$77:$D$86,0)),ISNUMBER(MATCH($F4602,계정대체기준!$D$77:$D$86,0))),"Y","N")))</f>
        <v/>
      </c>
    </row>
    <row r="4603">
      <c r="A4603" s="92" t="n">
        <v>2026</v>
      </c>
      <c r="B4603" s="92" t="n">
        <v>9</v>
      </c>
      <c r="C4603" s="92" t="inlineStr">
        <is>
          <t>5100001881</t>
        </is>
      </c>
      <c r="D4603" s="95" t="n">
        <v>46272</v>
      </c>
      <c r="E4603" s="92" t="inlineStr">
        <is>
          <t>KR</t>
        </is>
      </c>
      <c r="F4603" s="92" t="n">
        <v>62102000</v>
      </c>
      <c r="G4603" s="92" t="n">
        <v>1201</v>
      </c>
      <c r="H4603" s="93" t="n">
        <v>78000</v>
      </c>
      <c r="I4603" s="92" t="inlineStr">
        <is>
          <t>9월 해외출장 - M항공</t>
        </is>
      </c>
      <c r="J4603" s="92" t="inlineStr">
        <is>
          <t>V10001</t>
        </is>
      </c>
      <c r="K4603" s="92" t="inlineStr">
        <is>
          <t>M항공</t>
        </is>
      </c>
      <c r="M4603" s="9">
        <f>IF($A4603="","",VALUE($A4603&amp;"")*12+VALUE($B4603&amp;""))</f>
        <v/>
      </c>
      <c r="N4603" s="64">
        <f>IF($A4603="","",IFERROR(INDEX(부서매핑!$C$5:$C$504,MATCH($G4603&amp;"",부서매핑!$A$5:$A$504,0)),"미매핑"))</f>
        <v/>
      </c>
      <c r="O4603" s="9">
        <f>IF($A4603="","",N4603&amp;"|"&amp;$F4603)</f>
        <v/>
      </c>
      <c r="P4603" s="94">
        <f>IF($A4603="",0,$H4603*설정!$C$23)</f>
        <v/>
      </c>
      <c r="Q4603" s="64">
        <f>IF($A4603="","",IF(O4603&lt;&gt;원인분석!$C$9,"",IF(AND(M4603&gt;=원인분석!$C$10,M4603&lt;=원인분석!$C$11),"당기",IF(AND(M4603&gt;=원인분석!$C$12,M4603&lt;=원인분석!$C$13),"비교",""))))</f>
        <v/>
      </c>
      <c r="R4603" s="9">
        <f>IF(Q4603="","",$K4603&amp;"")</f>
        <v/>
      </c>
      <c r="S4603" s="9">
        <f>IF(Q4603="","",IF(MATCH(R4603,$R$5:$R$100000,0)=ROW()-4,ROW(),""))</f>
        <v/>
      </c>
      <c r="T4603" s="9">
        <f>IF(Q4603="당기",ABS(P4603)+ROW()/1000000000,"")</f>
        <v/>
      </c>
      <c r="U4603" s="9">
        <f>IF(Q4603="비교",ABS(P4603)+ROW()/1000000000,"")</f>
        <v/>
      </c>
      <c r="V4603" s="64">
        <f>IF($A4603="","",IF(COUNTIF(변동분석!$E$7:$E$506,O4603)&gt;0,"Y","N"))</f>
        <v/>
      </c>
      <c r="W4603" s="64">
        <f>IF($A4603="","",IFERROR(INDEX(계정매핑!$D$5:$D$504,MATCH($F4603&amp;"",계정매핑!$A$5:$A$504,0)),"미매핑"))</f>
        <v/>
      </c>
      <c r="X4603" s="9">
        <f>IF($A4603="","",$F4603&amp;"")</f>
        <v/>
      </c>
      <c r="Y4603" s="94">
        <f>IF($A4603="",0,IF(AE4603="직접",IF(AF4603="비귀속",$P4603,0),$P4603*(1-AG4603)*IFERROR(INDEX(계정대체기준!$F$20:$F$49,MATCH($N4603,계정대체기준!$A$20:$A$49,0)),1)))</f>
        <v/>
      </c>
      <c r="Z4603" s="94">
        <f>IF($A4603="",0,IF(AE4603="직접",IF(AF4603="신계약비",$P4603,0),$P4603*(1-AG4603)*IFERROR(INDEX(계정대체기준!$C$20:$C$49,MATCH($N4603,계정대체기준!$A$20:$A$49,0)),0)))</f>
        <v/>
      </c>
      <c r="AA4603" s="94">
        <f>IF($A4603="",0,IF(AE4603="직접",IF(OR(AF4603="유지비",AF4603="손해조사비"),$P4603,0),$P4603*(1-AG4603)*IFERROR(INDEX(계정대체기준!$D$20:$D$49,MATCH($N4603,계정대체기준!$A$20:$A$49,0)),0)))</f>
        <v/>
      </c>
      <c r="AB4603" s="94">
        <f>IF($A4603="",0,IF(AE4603="직접",IF(AF4603="수금비",$P4603,0),$P4603*(1-AG4603)*IFERROR(INDEX(계정대체기준!$E$20:$E$49,MATCH($N4603,계정대체기준!$A$20:$A$49,0)),0)))</f>
        <v/>
      </c>
      <c r="AC4603" s="9">
        <f>IF(AND($A4603&lt;&gt;"",M4603=설정!$C$20,Z4603&gt;0),Z4603+ROW()/1000000000,"")</f>
        <v/>
      </c>
      <c r="AD4603" s="94">
        <f>IF($A4603="",0,$P4603*AG4603)</f>
        <v/>
      </c>
      <c r="AE4603" s="64">
        <f>IF($A4603="","",IFERROR(INDEX(계정매핑!$E$5:$E$504,MATCH($F4603&amp;"",계정매핑!$A$5:$A$504,0))&amp;"","공통비"))</f>
        <v/>
      </c>
      <c r="AF4603" s="64">
        <f>IF($A4603="","",IF(AE4603="직접",IFERROR(INDEX(계정매핑!$F$5:$F$504,MATCH($F4603&amp;"",계정매핑!$A$5:$A$504,0))&amp;"","비귀속"),""))</f>
        <v/>
      </c>
      <c r="AG4603" s="96">
        <f>IF($A4603="",0,IF(AND(AE4603&lt;&gt;"직접",IFERROR(INDEX(계정매핑!$G$5:$G$504,MATCH($F4603&amp;"",계정매핑!$A$5:$A$504,0))&amp;"","")="유지비",COUNTIF(계정대체기준!$A$6:$A$15,$N4603)&gt;0),IFERROR(INDEX(계정대체기준!$E$6:$E$15,MATCH(VALUE($A4603&amp;""),계정대체기준!$D$6:$D$15,0)),0),0))</f>
        <v/>
      </c>
      <c r="AH4603" s="64">
        <f>IF($A4603="","",IF(AD4603=0,"",IF(OR(COUNTIF(계정대체기준!$A$77:$A$86,$N4603)&gt;0,ISNUMBER(MATCH($X4603,계정대체기준!$D$77:$D$86,0)),ISNUMBER(MATCH($F4603,계정대체기준!$D$77:$D$86,0))),"Y","N")))</f>
        <v/>
      </c>
    </row>
    <row r="4604">
      <c r="A4604" s="92" t="n">
        <v>2026</v>
      </c>
      <c r="B4604" s="92" t="n">
        <v>9</v>
      </c>
      <c r="C4604" s="92" t="inlineStr">
        <is>
          <t>5100001882</t>
        </is>
      </c>
      <c r="D4604" s="95" t="n">
        <v>46272</v>
      </c>
      <c r="E4604" s="92" t="inlineStr">
        <is>
          <t>KR</t>
        </is>
      </c>
      <c r="F4604" s="92" t="n">
        <v>62102000</v>
      </c>
      <c r="G4604" s="92" t="n">
        <v>1601</v>
      </c>
      <c r="H4604" s="93" t="n">
        <v>273000</v>
      </c>
      <c r="I4604" s="92" t="inlineStr">
        <is>
          <t>9월 해외출장 - N호텔</t>
        </is>
      </c>
      <c r="J4604" s="92" t="inlineStr">
        <is>
          <t>V10009</t>
        </is>
      </c>
      <c r="K4604" s="92" t="inlineStr">
        <is>
          <t>N호텔</t>
        </is>
      </c>
      <c r="M4604" s="9">
        <f>IF($A4604="","",VALUE($A4604&amp;"")*12+VALUE($B4604&amp;""))</f>
        <v/>
      </c>
      <c r="N4604" s="64">
        <f>IF($A4604="","",IFERROR(INDEX(부서매핑!$C$5:$C$504,MATCH($G4604&amp;"",부서매핑!$A$5:$A$504,0)),"미매핑"))</f>
        <v/>
      </c>
      <c r="O4604" s="9">
        <f>IF($A4604="","",N4604&amp;"|"&amp;$F4604)</f>
        <v/>
      </c>
      <c r="P4604" s="94">
        <f>IF($A4604="",0,$H4604*설정!$C$23)</f>
        <v/>
      </c>
      <c r="Q4604" s="64">
        <f>IF($A4604="","",IF(O4604&lt;&gt;원인분석!$C$9,"",IF(AND(M4604&gt;=원인분석!$C$10,M4604&lt;=원인분석!$C$11),"당기",IF(AND(M4604&gt;=원인분석!$C$12,M4604&lt;=원인분석!$C$13),"비교",""))))</f>
        <v/>
      </c>
      <c r="R4604" s="9">
        <f>IF(Q4604="","",$K4604&amp;"")</f>
        <v/>
      </c>
      <c r="S4604" s="9">
        <f>IF(Q4604="","",IF(MATCH(R4604,$R$5:$R$100000,0)=ROW()-4,ROW(),""))</f>
        <v/>
      </c>
      <c r="T4604" s="9">
        <f>IF(Q4604="당기",ABS(P4604)+ROW()/1000000000,"")</f>
        <v/>
      </c>
      <c r="U4604" s="9">
        <f>IF(Q4604="비교",ABS(P4604)+ROW()/1000000000,"")</f>
        <v/>
      </c>
      <c r="V4604" s="64">
        <f>IF($A4604="","",IF(COUNTIF(변동분석!$E$7:$E$506,O4604)&gt;0,"Y","N"))</f>
        <v/>
      </c>
      <c r="W4604" s="64">
        <f>IF($A4604="","",IFERROR(INDEX(계정매핑!$D$5:$D$504,MATCH($F4604&amp;"",계정매핑!$A$5:$A$504,0)),"미매핑"))</f>
        <v/>
      </c>
      <c r="X4604" s="9">
        <f>IF($A4604="","",$F4604&amp;"")</f>
        <v/>
      </c>
      <c r="Y4604" s="94">
        <f>IF($A4604="",0,IF(AE4604="직접",IF(AF4604="비귀속",$P4604,0),$P4604*(1-AG4604)*IFERROR(INDEX(계정대체기준!$F$20:$F$49,MATCH($N4604,계정대체기준!$A$20:$A$49,0)),1)))</f>
        <v/>
      </c>
      <c r="Z4604" s="94">
        <f>IF($A4604="",0,IF(AE4604="직접",IF(AF4604="신계약비",$P4604,0),$P4604*(1-AG4604)*IFERROR(INDEX(계정대체기준!$C$20:$C$49,MATCH($N4604,계정대체기준!$A$20:$A$49,0)),0)))</f>
        <v/>
      </c>
      <c r="AA4604" s="94">
        <f>IF($A4604="",0,IF(AE4604="직접",IF(OR(AF4604="유지비",AF4604="손해조사비"),$P4604,0),$P4604*(1-AG4604)*IFERROR(INDEX(계정대체기준!$D$20:$D$49,MATCH($N4604,계정대체기준!$A$20:$A$49,0)),0)))</f>
        <v/>
      </c>
      <c r="AB4604" s="94">
        <f>IF($A4604="",0,IF(AE4604="직접",IF(AF4604="수금비",$P4604,0),$P4604*(1-AG4604)*IFERROR(INDEX(계정대체기준!$E$20:$E$49,MATCH($N4604,계정대체기준!$A$20:$A$49,0)),0)))</f>
        <v/>
      </c>
      <c r="AC4604" s="9">
        <f>IF(AND($A4604&lt;&gt;"",M4604=설정!$C$20,Z4604&gt;0),Z4604+ROW()/1000000000,"")</f>
        <v/>
      </c>
      <c r="AD4604" s="94">
        <f>IF($A4604="",0,$P4604*AG4604)</f>
        <v/>
      </c>
      <c r="AE4604" s="64">
        <f>IF($A4604="","",IFERROR(INDEX(계정매핑!$E$5:$E$504,MATCH($F4604&amp;"",계정매핑!$A$5:$A$504,0))&amp;"","공통비"))</f>
        <v/>
      </c>
      <c r="AF4604" s="64">
        <f>IF($A4604="","",IF(AE4604="직접",IFERROR(INDEX(계정매핑!$F$5:$F$504,MATCH($F4604&amp;"",계정매핑!$A$5:$A$504,0))&amp;"","비귀속"),""))</f>
        <v/>
      </c>
      <c r="AG4604" s="96">
        <f>IF($A4604="",0,IF(AND(AE4604&lt;&gt;"직접",IFERROR(INDEX(계정매핑!$G$5:$G$504,MATCH($F4604&amp;"",계정매핑!$A$5:$A$504,0))&amp;"","")="유지비",COUNTIF(계정대체기준!$A$6:$A$15,$N4604)&gt;0),IFERROR(INDEX(계정대체기준!$E$6:$E$15,MATCH(VALUE($A4604&amp;""),계정대체기준!$D$6:$D$15,0)),0),0))</f>
        <v/>
      </c>
      <c r="AH4604" s="64">
        <f>IF($A4604="","",IF(AD4604=0,"",IF(OR(COUNTIF(계정대체기준!$A$77:$A$86,$N4604)&gt;0,ISNUMBER(MATCH($X4604,계정대체기준!$D$77:$D$86,0)),ISNUMBER(MATCH($F4604,계정대체기준!$D$77:$D$86,0))),"Y","N")))</f>
        <v/>
      </c>
    </row>
    <row r="4605">
      <c r="A4605" s="92" t="n">
        <v>2026</v>
      </c>
      <c r="B4605" s="92" t="n">
        <v>9</v>
      </c>
      <c r="C4605" s="92" t="inlineStr">
        <is>
          <t>5100001883</t>
        </is>
      </c>
      <c r="D4605" s="95" t="n">
        <v>46272</v>
      </c>
      <c r="E4605" s="92" t="inlineStr">
        <is>
          <t>KR</t>
        </is>
      </c>
      <c r="F4605" s="92" t="n">
        <v>62102000</v>
      </c>
      <c r="G4605" s="92" t="n">
        <v>1701</v>
      </c>
      <c r="H4605" s="93" t="n">
        <v>66000</v>
      </c>
      <c r="I4605" s="92" t="inlineStr">
        <is>
          <t>9월 해외출장 - M항공</t>
        </is>
      </c>
      <c r="J4605" s="92" t="inlineStr">
        <is>
          <t>V10001</t>
        </is>
      </c>
      <c r="K4605" s="92" t="inlineStr">
        <is>
          <t>M항공</t>
        </is>
      </c>
      <c r="M4605" s="9">
        <f>IF($A4605="","",VALUE($A4605&amp;"")*12+VALUE($B4605&amp;""))</f>
        <v/>
      </c>
      <c r="N4605" s="64">
        <f>IF($A4605="","",IFERROR(INDEX(부서매핑!$C$5:$C$504,MATCH($G4605&amp;"",부서매핑!$A$5:$A$504,0)),"미매핑"))</f>
        <v/>
      </c>
      <c r="O4605" s="9">
        <f>IF($A4605="","",N4605&amp;"|"&amp;$F4605)</f>
        <v/>
      </c>
      <c r="P4605" s="94">
        <f>IF($A4605="",0,$H4605*설정!$C$23)</f>
        <v/>
      </c>
      <c r="Q4605" s="64">
        <f>IF($A4605="","",IF(O4605&lt;&gt;원인분석!$C$9,"",IF(AND(M4605&gt;=원인분석!$C$10,M4605&lt;=원인분석!$C$11),"당기",IF(AND(M4605&gt;=원인분석!$C$12,M4605&lt;=원인분석!$C$13),"비교",""))))</f>
        <v/>
      </c>
      <c r="R4605" s="9">
        <f>IF(Q4605="","",$K4605&amp;"")</f>
        <v/>
      </c>
      <c r="S4605" s="9">
        <f>IF(Q4605="","",IF(MATCH(R4605,$R$5:$R$100000,0)=ROW()-4,ROW(),""))</f>
        <v/>
      </c>
      <c r="T4605" s="9">
        <f>IF(Q4605="당기",ABS(P4605)+ROW()/1000000000,"")</f>
        <v/>
      </c>
      <c r="U4605" s="9">
        <f>IF(Q4605="비교",ABS(P4605)+ROW()/1000000000,"")</f>
        <v/>
      </c>
      <c r="V4605" s="64">
        <f>IF($A4605="","",IF(COUNTIF(변동분석!$E$7:$E$506,O4605)&gt;0,"Y","N"))</f>
        <v/>
      </c>
      <c r="W4605" s="64">
        <f>IF($A4605="","",IFERROR(INDEX(계정매핑!$D$5:$D$504,MATCH($F4605&amp;"",계정매핑!$A$5:$A$504,0)),"미매핑"))</f>
        <v/>
      </c>
      <c r="X4605" s="9">
        <f>IF($A4605="","",$F4605&amp;"")</f>
        <v/>
      </c>
      <c r="Y4605" s="94">
        <f>IF($A4605="",0,IF(AE4605="직접",IF(AF4605="비귀속",$P4605,0),$P4605*(1-AG4605)*IFERROR(INDEX(계정대체기준!$F$20:$F$49,MATCH($N4605,계정대체기준!$A$20:$A$49,0)),1)))</f>
        <v/>
      </c>
      <c r="Z4605" s="94">
        <f>IF($A4605="",0,IF(AE4605="직접",IF(AF4605="신계약비",$P4605,0),$P4605*(1-AG4605)*IFERROR(INDEX(계정대체기준!$C$20:$C$49,MATCH($N4605,계정대체기준!$A$20:$A$49,0)),0)))</f>
        <v/>
      </c>
      <c r="AA4605" s="94">
        <f>IF($A4605="",0,IF(AE4605="직접",IF(OR(AF4605="유지비",AF4605="손해조사비"),$P4605,0),$P4605*(1-AG4605)*IFERROR(INDEX(계정대체기준!$D$20:$D$49,MATCH($N4605,계정대체기준!$A$20:$A$49,0)),0)))</f>
        <v/>
      </c>
      <c r="AB4605" s="94">
        <f>IF($A4605="",0,IF(AE4605="직접",IF(AF4605="수금비",$P4605,0),$P4605*(1-AG4605)*IFERROR(INDEX(계정대체기준!$E$20:$E$49,MATCH($N4605,계정대체기준!$A$20:$A$49,0)),0)))</f>
        <v/>
      </c>
      <c r="AC4605" s="9">
        <f>IF(AND($A4605&lt;&gt;"",M4605=설정!$C$20,Z4605&gt;0),Z4605+ROW()/1000000000,"")</f>
        <v/>
      </c>
      <c r="AD4605" s="94">
        <f>IF($A4605="",0,$P4605*AG4605)</f>
        <v/>
      </c>
      <c r="AE4605" s="64">
        <f>IF($A4605="","",IFERROR(INDEX(계정매핑!$E$5:$E$504,MATCH($F4605&amp;"",계정매핑!$A$5:$A$504,0))&amp;"","공통비"))</f>
        <v/>
      </c>
      <c r="AF4605" s="64">
        <f>IF($A4605="","",IF(AE4605="직접",IFERROR(INDEX(계정매핑!$F$5:$F$504,MATCH($F4605&amp;"",계정매핑!$A$5:$A$504,0))&amp;"","비귀속"),""))</f>
        <v/>
      </c>
      <c r="AG4605" s="96">
        <f>IF($A4605="",0,IF(AND(AE4605&lt;&gt;"직접",IFERROR(INDEX(계정매핑!$G$5:$G$504,MATCH($F4605&amp;"",계정매핑!$A$5:$A$504,0))&amp;"","")="유지비",COUNTIF(계정대체기준!$A$6:$A$15,$N4605)&gt;0),IFERROR(INDEX(계정대체기준!$E$6:$E$15,MATCH(VALUE($A4605&amp;""),계정대체기준!$D$6:$D$15,0)),0),0))</f>
        <v/>
      </c>
      <c r="AH4605" s="64">
        <f>IF($A4605="","",IF(AD4605=0,"",IF(OR(COUNTIF(계정대체기준!$A$77:$A$86,$N4605)&gt;0,ISNUMBER(MATCH($X4605,계정대체기준!$D$77:$D$86,0)),ISNUMBER(MATCH($F4605,계정대체기준!$D$77:$D$86,0))),"Y","N")))</f>
        <v/>
      </c>
    </row>
    <row r="4606">
      <c r="A4606" s="92" t="n">
        <v>2026</v>
      </c>
      <c r="B4606" s="92" t="n">
        <v>9</v>
      </c>
      <c r="C4606" s="92" t="inlineStr">
        <is>
          <t>5100001884</t>
        </is>
      </c>
      <c r="D4606" s="95" t="n">
        <v>46272</v>
      </c>
      <c r="E4606" s="92" t="inlineStr">
        <is>
          <t>KR</t>
        </is>
      </c>
      <c r="F4606" s="92" t="n">
        <v>62301000</v>
      </c>
      <c r="G4606" s="92" t="n">
        <v>1101</v>
      </c>
      <c r="H4606" s="93" t="n">
        <v>175000</v>
      </c>
      <c r="I4606" s="92" t="inlineStr">
        <is>
          <t>9월 소모품 구입 - R문구</t>
        </is>
      </c>
      <c r="J4606" s="92" t="inlineStr">
        <is>
          <t>V10022</t>
        </is>
      </c>
      <c r="K4606" s="92" t="inlineStr">
        <is>
          <t>R문구</t>
        </is>
      </c>
      <c r="M4606" s="9">
        <f>IF($A4606="","",VALUE($A4606&amp;"")*12+VALUE($B4606&amp;""))</f>
        <v/>
      </c>
      <c r="N4606" s="64">
        <f>IF($A4606="","",IFERROR(INDEX(부서매핑!$C$5:$C$504,MATCH($G4606&amp;"",부서매핑!$A$5:$A$504,0)),"미매핑"))</f>
        <v/>
      </c>
      <c r="O4606" s="9">
        <f>IF($A4606="","",N4606&amp;"|"&amp;$F4606)</f>
        <v/>
      </c>
      <c r="P4606" s="94">
        <f>IF($A4606="",0,$H4606*설정!$C$23)</f>
        <v/>
      </c>
      <c r="Q4606" s="64">
        <f>IF($A4606="","",IF(O4606&lt;&gt;원인분석!$C$9,"",IF(AND(M4606&gt;=원인분석!$C$10,M4606&lt;=원인분석!$C$11),"당기",IF(AND(M4606&gt;=원인분석!$C$12,M4606&lt;=원인분석!$C$13),"비교",""))))</f>
        <v/>
      </c>
      <c r="R4606" s="9">
        <f>IF(Q4606="","",$K4606&amp;"")</f>
        <v/>
      </c>
      <c r="S4606" s="9">
        <f>IF(Q4606="","",IF(MATCH(R4606,$R$5:$R$100000,0)=ROW()-4,ROW(),""))</f>
        <v/>
      </c>
      <c r="T4606" s="9">
        <f>IF(Q4606="당기",ABS(P4606)+ROW()/1000000000,"")</f>
        <v/>
      </c>
      <c r="U4606" s="9">
        <f>IF(Q4606="비교",ABS(P4606)+ROW()/1000000000,"")</f>
        <v/>
      </c>
      <c r="V4606" s="64">
        <f>IF($A4606="","",IF(COUNTIF(변동분석!$E$7:$E$506,O4606)&gt;0,"Y","N"))</f>
        <v/>
      </c>
      <c r="W4606" s="64">
        <f>IF($A4606="","",IFERROR(INDEX(계정매핑!$D$5:$D$504,MATCH($F4606&amp;"",계정매핑!$A$5:$A$504,0)),"미매핑"))</f>
        <v/>
      </c>
      <c r="X4606" s="9">
        <f>IF($A4606="","",$F4606&amp;"")</f>
        <v/>
      </c>
      <c r="Y4606" s="94">
        <f>IF($A4606="",0,IF(AE4606="직접",IF(AF4606="비귀속",$P4606,0),$P4606*(1-AG4606)*IFERROR(INDEX(계정대체기준!$F$20:$F$49,MATCH($N4606,계정대체기준!$A$20:$A$49,0)),1)))</f>
        <v/>
      </c>
      <c r="Z4606" s="94">
        <f>IF($A4606="",0,IF(AE4606="직접",IF(AF4606="신계약비",$P4606,0),$P4606*(1-AG4606)*IFERROR(INDEX(계정대체기준!$C$20:$C$49,MATCH($N4606,계정대체기준!$A$20:$A$49,0)),0)))</f>
        <v/>
      </c>
      <c r="AA4606" s="94">
        <f>IF($A4606="",0,IF(AE4606="직접",IF(OR(AF4606="유지비",AF4606="손해조사비"),$P4606,0),$P4606*(1-AG4606)*IFERROR(INDEX(계정대체기준!$D$20:$D$49,MATCH($N4606,계정대체기준!$A$20:$A$49,0)),0)))</f>
        <v/>
      </c>
      <c r="AB4606" s="94">
        <f>IF($A4606="",0,IF(AE4606="직접",IF(AF4606="수금비",$P4606,0),$P4606*(1-AG4606)*IFERROR(INDEX(계정대체기준!$E$20:$E$49,MATCH($N4606,계정대체기준!$A$20:$A$49,0)),0)))</f>
        <v/>
      </c>
      <c r="AC4606" s="9">
        <f>IF(AND($A4606&lt;&gt;"",M4606=설정!$C$20,Z4606&gt;0),Z4606+ROW()/1000000000,"")</f>
        <v/>
      </c>
      <c r="AD4606" s="94">
        <f>IF($A4606="",0,$P4606*AG4606)</f>
        <v/>
      </c>
      <c r="AE4606" s="64">
        <f>IF($A4606="","",IFERROR(INDEX(계정매핑!$E$5:$E$504,MATCH($F4606&amp;"",계정매핑!$A$5:$A$504,0))&amp;"","공통비"))</f>
        <v/>
      </c>
      <c r="AF4606" s="64">
        <f>IF($A4606="","",IF(AE4606="직접",IFERROR(INDEX(계정매핑!$F$5:$F$504,MATCH($F4606&amp;"",계정매핑!$A$5:$A$504,0))&amp;"","비귀속"),""))</f>
        <v/>
      </c>
      <c r="AG4606" s="96">
        <f>IF($A4606="",0,IF(AND(AE4606&lt;&gt;"직접",IFERROR(INDEX(계정매핑!$G$5:$G$504,MATCH($F4606&amp;"",계정매핑!$A$5:$A$504,0))&amp;"","")="유지비",COUNTIF(계정대체기준!$A$6:$A$15,$N4606)&gt;0),IFERROR(INDEX(계정대체기준!$E$6:$E$15,MATCH(VALUE($A4606&amp;""),계정대체기준!$D$6:$D$15,0)),0),0))</f>
        <v/>
      </c>
      <c r="AH4606" s="64">
        <f>IF($A4606="","",IF(AD4606=0,"",IF(OR(COUNTIF(계정대체기준!$A$77:$A$86,$N4606)&gt;0,ISNUMBER(MATCH($X4606,계정대체기준!$D$77:$D$86,0)),ISNUMBER(MATCH($F4606,계정대체기준!$D$77:$D$86,0))),"Y","N")))</f>
        <v/>
      </c>
    </row>
    <row r="4607">
      <c r="A4607" s="92" t="n">
        <v>2026</v>
      </c>
      <c r="B4607" s="92" t="n">
        <v>9</v>
      </c>
      <c r="C4607" s="92" t="inlineStr">
        <is>
          <t>5100001885</t>
        </is>
      </c>
      <c r="D4607" s="95" t="n">
        <v>46272</v>
      </c>
      <c r="E4607" s="92" t="inlineStr">
        <is>
          <t>KR</t>
        </is>
      </c>
      <c r="F4607" s="92" t="n">
        <v>62301000</v>
      </c>
      <c r="G4607" s="92" t="n">
        <v>1501</v>
      </c>
      <c r="H4607" s="93" t="n">
        <v>190000</v>
      </c>
      <c r="I4607" s="92" t="inlineStr">
        <is>
          <t>9월 소모품 구입 - R문구</t>
        </is>
      </c>
      <c r="J4607" s="92" t="inlineStr">
        <is>
          <t>V10022</t>
        </is>
      </c>
      <c r="K4607" s="92" t="inlineStr">
        <is>
          <t>R문구</t>
        </is>
      </c>
      <c r="M4607" s="9">
        <f>IF($A4607="","",VALUE($A4607&amp;"")*12+VALUE($B4607&amp;""))</f>
        <v/>
      </c>
      <c r="N4607" s="64">
        <f>IF($A4607="","",IFERROR(INDEX(부서매핑!$C$5:$C$504,MATCH($G4607&amp;"",부서매핑!$A$5:$A$504,0)),"미매핑"))</f>
        <v/>
      </c>
      <c r="O4607" s="9">
        <f>IF($A4607="","",N4607&amp;"|"&amp;$F4607)</f>
        <v/>
      </c>
      <c r="P4607" s="94">
        <f>IF($A4607="",0,$H4607*설정!$C$23)</f>
        <v/>
      </c>
      <c r="Q4607" s="64">
        <f>IF($A4607="","",IF(O4607&lt;&gt;원인분석!$C$9,"",IF(AND(M4607&gt;=원인분석!$C$10,M4607&lt;=원인분석!$C$11),"당기",IF(AND(M4607&gt;=원인분석!$C$12,M4607&lt;=원인분석!$C$13),"비교",""))))</f>
        <v/>
      </c>
      <c r="R4607" s="9">
        <f>IF(Q4607="","",$K4607&amp;"")</f>
        <v/>
      </c>
      <c r="S4607" s="9">
        <f>IF(Q4607="","",IF(MATCH(R4607,$R$5:$R$100000,0)=ROW()-4,ROW(),""))</f>
        <v/>
      </c>
      <c r="T4607" s="9">
        <f>IF(Q4607="당기",ABS(P4607)+ROW()/1000000000,"")</f>
        <v/>
      </c>
      <c r="U4607" s="9">
        <f>IF(Q4607="비교",ABS(P4607)+ROW()/1000000000,"")</f>
        <v/>
      </c>
      <c r="V4607" s="64">
        <f>IF($A4607="","",IF(COUNTIF(변동분석!$E$7:$E$506,O4607)&gt;0,"Y","N"))</f>
        <v/>
      </c>
      <c r="W4607" s="64">
        <f>IF($A4607="","",IFERROR(INDEX(계정매핑!$D$5:$D$504,MATCH($F4607&amp;"",계정매핑!$A$5:$A$504,0)),"미매핑"))</f>
        <v/>
      </c>
      <c r="X4607" s="9">
        <f>IF($A4607="","",$F4607&amp;"")</f>
        <v/>
      </c>
      <c r="Y4607" s="94">
        <f>IF($A4607="",0,IF(AE4607="직접",IF(AF4607="비귀속",$P4607,0),$P4607*(1-AG4607)*IFERROR(INDEX(계정대체기준!$F$20:$F$49,MATCH($N4607,계정대체기준!$A$20:$A$49,0)),1)))</f>
        <v/>
      </c>
      <c r="Z4607" s="94">
        <f>IF($A4607="",0,IF(AE4607="직접",IF(AF4607="신계약비",$P4607,0),$P4607*(1-AG4607)*IFERROR(INDEX(계정대체기준!$C$20:$C$49,MATCH($N4607,계정대체기준!$A$20:$A$49,0)),0)))</f>
        <v/>
      </c>
      <c r="AA4607" s="94">
        <f>IF($A4607="",0,IF(AE4607="직접",IF(OR(AF4607="유지비",AF4607="손해조사비"),$P4607,0),$P4607*(1-AG4607)*IFERROR(INDEX(계정대체기준!$D$20:$D$49,MATCH($N4607,계정대체기준!$A$20:$A$49,0)),0)))</f>
        <v/>
      </c>
      <c r="AB4607" s="94">
        <f>IF($A4607="",0,IF(AE4607="직접",IF(AF4607="수금비",$P4607,0),$P4607*(1-AG4607)*IFERROR(INDEX(계정대체기준!$E$20:$E$49,MATCH($N4607,계정대체기준!$A$20:$A$49,0)),0)))</f>
        <v/>
      </c>
      <c r="AC4607" s="9">
        <f>IF(AND($A4607&lt;&gt;"",M4607=설정!$C$20,Z4607&gt;0),Z4607+ROW()/1000000000,"")</f>
        <v/>
      </c>
      <c r="AD4607" s="94">
        <f>IF($A4607="",0,$P4607*AG4607)</f>
        <v/>
      </c>
      <c r="AE4607" s="64">
        <f>IF($A4607="","",IFERROR(INDEX(계정매핑!$E$5:$E$504,MATCH($F4607&amp;"",계정매핑!$A$5:$A$504,0))&amp;"","공통비"))</f>
        <v/>
      </c>
      <c r="AF4607" s="64">
        <f>IF($A4607="","",IF(AE4607="직접",IFERROR(INDEX(계정매핑!$F$5:$F$504,MATCH($F4607&amp;"",계정매핑!$A$5:$A$504,0))&amp;"","비귀속"),""))</f>
        <v/>
      </c>
      <c r="AG4607" s="96">
        <f>IF($A4607="",0,IF(AND(AE4607&lt;&gt;"직접",IFERROR(INDEX(계정매핑!$G$5:$G$504,MATCH($F4607&amp;"",계정매핑!$A$5:$A$504,0))&amp;"","")="유지비",COUNTIF(계정대체기준!$A$6:$A$15,$N4607)&gt;0),IFERROR(INDEX(계정대체기준!$E$6:$E$15,MATCH(VALUE($A4607&amp;""),계정대체기준!$D$6:$D$15,0)),0),0))</f>
        <v/>
      </c>
      <c r="AH4607" s="64">
        <f>IF($A4607="","",IF(AD4607=0,"",IF(OR(COUNTIF(계정대체기준!$A$77:$A$86,$N4607)&gt;0,ISNUMBER(MATCH($X4607,계정대체기준!$D$77:$D$86,0)),ISNUMBER(MATCH($F4607,계정대체기준!$D$77:$D$86,0))),"Y","N")))</f>
        <v/>
      </c>
    </row>
    <row r="4608">
      <c r="A4608" s="92" t="n">
        <v>2026</v>
      </c>
      <c r="B4608" s="92" t="n">
        <v>9</v>
      </c>
      <c r="C4608" s="92" t="inlineStr">
        <is>
          <t>5100001886</t>
        </is>
      </c>
      <c r="D4608" s="95" t="n">
        <v>46272</v>
      </c>
      <c r="E4608" s="92" t="inlineStr">
        <is>
          <t>KR</t>
        </is>
      </c>
      <c r="F4608" s="92" t="n">
        <v>62401000</v>
      </c>
      <c r="G4608" s="92" t="n">
        <v>1401</v>
      </c>
      <c r="H4608" s="93" t="n">
        <v>447000</v>
      </c>
      <c r="I4608" s="92" t="inlineStr">
        <is>
          <t>9월 인쇄물 제작 - G인쇄</t>
        </is>
      </c>
      <c r="J4608" s="92" t="inlineStr">
        <is>
          <t>V10004</t>
        </is>
      </c>
      <c r="K4608" s="92" t="inlineStr">
        <is>
          <t>G인쇄</t>
        </is>
      </c>
      <c r="M4608" s="9">
        <f>IF($A4608="","",VALUE($A4608&amp;"")*12+VALUE($B4608&amp;""))</f>
        <v/>
      </c>
      <c r="N4608" s="64">
        <f>IF($A4608="","",IFERROR(INDEX(부서매핑!$C$5:$C$504,MATCH($G4608&amp;"",부서매핑!$A$5:$A$504,0)),"미매핑"))</f>
        <v/>
      </c>
      <c r="O4608" s="9">
        <f>IF($A4608="","",N4608&amp;"|"&amp;$F4608)</f>
        <v/>
      </c>
      <c r="P4608" s="94">
        <f>IF($A4608="",0,$H4608*설정!$C$23)</f>
        <v/>
      </c>
      <c r="Q4608" s="64">
        <f>IF($A4608="","",IF(O4608&lt;&gt;원인분석!$C$9,"",IF(AND(M4608&gt;=원인분석!$C$10,M4608&lt;=원인분석!$C$11),"당기",IF(AND(M4608&gt;=원인분석!$C$12,M4608&lt;=원인분석!$C$13),"비교",""))))</f>
        <v/>
      </c>
      <c r="R4608" s="9">
        <f>IF(Q4608="","",$K4608&amp;"")</f>
        <v/>
      </c>
      <c r="S4608" s="9">
        <f>IF(Q4608="","",IF(MATCH(R4608,$R$5:$R$100000,0)=ROW()-4,ROW(),""))</f>
        <v/>
      </c>
      <c r="T4608" s="9">
        <f>IF(Q4608="당기",ABS(P4608)+ROW()/1000000000,"")</f>
        <v/>
      </c>
      <c r="U4608" s="9">
        <f>IF(Q4608="비교",ABS(P4608)+ROW()/1000000000,"")</f>
        <v/>
      </c>
      <c r="V4608" s="64">
        <f>IF($A4608="","",IF(COUNTIF(변동분석!$E$7:$E$506,O4608)&gt;0,"Y","N"))</f>
        <v/>
      </c>
      <c r="W4608" s="64">
        <f>IF($A4608="","",IFERROR(INDEX(계정매핑!$D$5:$D$504,MATCH($F4608&amp;"",계정매핑!$A$5:$A$504,0)),"미매핑"))</f>
        <v/>
      </c>
      <c r="X4608" s="9">
        <f>IF($A4608="","",$F4608&amp;"")</f>
        <v/>
      </c>
      <c r="Y4608" s="94">
        <f>IF($A4608="",0,IF(AE4608="직접",IF(AF4608="비귀속",$P4608,0),$P4608*(1-AG4608)*IFERROR(INDEX(계정대체기준!$F$20:$F$49,MATCH($N4608,계정대체기준!$A$20:$A$49,0)),1)))</f>
        <v/>
      </c>
      <c r="Z4608" s="94">
        <f>IF($A4608="",0,IF(AE4608="직접",IF(AF4608="신계약비",$P4608,0),$P4608*(1-AG4608)*IFERROR(INDEX(계정대체기준!$C$20:$C$49,MATCH($N4608,계정대체기준!$A$20:$A$49,0)),0)))</f>
        <v/>
      </c>
      <c r="AA4608" s="94">
        <f>IF($A4608="",0,IF(AE4608="직접",IF(OR(AF4608="유지비",AF4608="손해조사비"),$P4608,0),$P4608*(1-AG4608)*IFERROR(INDEX(계정대체기준!$D$20:$D$49,MATCH($N4608,계정대체기준!$A$20:$A$49,0)),0)))</f>
        <v/>
      </c>
      <c r="AB4608" s="94">
        <f>IF($A4608="",0,IF(AE4608="직접",IF(AF4608="수금비",$P4608,0),$P4608*(1-AG4608)*IFERROR(INDEX(계정대체기준!$E$20:$E$49,MATCH($N4608,계정대체기준!$A$20:$A$49,0)),0)))</f>
        <v/>
      </c>
      <c r="AC4608" s="9">
        <f>IF(AND($A4608&lt;&gt;"",M4608=설정!$C$20,Z4608&gt;0),Z4608+ROW()/1000000000,"")</f>
        <v/>
      </c>
      <c r="AD4608" s="94">
        <f>IF($A4608="",0,$P4608*AG4608)</f>
        <v/>
      </c>
      <c r="AE4608" s="64">
        <f>IF($A4608="","",IFERROR(INDEX(계정매핑!$E$5:$E$504,MATCH($F4608&amp;"",계정매핑!$A$5:$A$504,0))&amp;"","공통비"))</f>
        <v/>
      </c>
      <c r="AF4608" s="64">
        <f>IF($A4608="","",IF(AE4608="직접",IFERROR(INDEX(계정매핑!$F$5:$F$504,MATCH($F4608&amp;"",계정매핑!$A$5:$A$504,0))&amp;"","비귀속"),""))</f>
        <v/>
      </c>
      <c r="AG4608" s="96">
        <f>IF($A4608="",0,IF(AND(AE4608&lt;&gt;"직접",IFERROR(INDEX(계정매핑!$G$5:$G$504,MATCH($F4608&amp;"",계정매핑!$A$5:$A$504,0))&amp;"","")="유지비",COUNTIF(계정대체기준!$A$6:$A$15,$N4608)&gt;0),IFERROR(INDEX(계정대체기준!$E$6:$E$15,MATCH(VALUE($A4608&amp;""),계정대체기준!$D$6:$D$15,0)),0),0))</f>
        <v/>
      </c>
      <c r="AH4608" s="64">
        <f>IF($A4608="","",IF(AD4608=0,"",IF(OR(COUNTIF(계정대체기준!$A$77:$A$86,$N4608)&gt;0,ISNUMBER(MATCH($X4608,계정대체기준!$D$77:$D$86,0)),ISNUMBER(MATCH($F4608,계정대체기준!$D$77:$D$86,0))),"Y","N")))</f>
        <v/>
      </c>
    </row>
    <row r="4609">
      <c r="A4609" s="92" t="n">
        <v>2026</v>
      </c>
      <c r="B4609" s="92" t="n">
        <v>9</v>
      </c>
      <c r="C4609" s="92" t="inlineStr">
        <is>
          <t>5100001887</t>
        </is>
      </c>
      <c r="D4609" s="95" t="n">
        <v>46273</v>
      </c>
      <c r="E4609" s="92" t="inlineStr">
        <is>
          <t>KR</t>
        </is>
      </c>
      <c r="F4609" s="92" t="n">
        <v>62101000</v>
      </c>
      <c r="G4609" s="92" t="n">
        <v>1501</v>
      </c>
      <c r="H4609" s="93" t="n">
        <v>1084000</v>
      </c>
      <c r="I4609" s="92" t="inlineStr">
        <is>
          <t>9월 국내출장 - M항공</t>
        </is>
      </c>
      <c r="J4609" s="92" t="inlineStr">
        <is>
          <t>V10001</t>
        </is>
      </c>
      <c r="K4609" s="92" t="inlineStr">
        <is>
          <t>M항공</t>
        </is>
      </c>
      <c r="M4609" s="9">
        <f>IF($A4609="","",VALUE($A4609&amp;"")*12+VALUE($B4609&amp;""))</f>
        <v/>
      </c>
      <c r="N4609" s="64">
        <f>IF($A4609="","",IFERROR(INDEX(부서매핑!$C$5:$C$504,MATCH($G4609&amp;"",부서매핑!$A$5:$A$504,0)),"미매핑"))</f>
        <v/>
      </c>
      <c r="O4609" s="9">
        <f>IF($A4609="","",N4609&amp;"|"&amp;$F4609)</f>
        <v/>
      </c>
      <c r="P4609" s="94">
        <f>IF($A4609="",0,$H4609*설정!$C$23)</f>
        <v/>
      </c>
      <c r="Q4609" s="64">
        <f>IF($A4609="","",IF(O4609&lt;&gt;원인분석!$C$9,"",IF(AND(M4609&gt;=원인분석!$C$10,M4609&lt;=원인분석!$C$11),"당기",IF(AND(M4609&gt;=원인분석!$C$12,M4609&lt;=원인분석!$C$13),"비교",""))))</f>
        <v/>
      </c>
      <c r="R4609" s="9">
        <f>IF(Q4609="","",$K4609&amp;"")</f>
        <v/>
      </c>
      <c r="S4609" s="9">
        <f>IF(Q4609="","",IF(MATCH(R4609,$R$5:$R$100000,0)=ROW()-4,ROW(),""))</f>
        <v/>
      </c>
      <c r="T4609" s="9">
        <f>IF(Q4609="당기",ABS(P4609)+ROW()/1000000000,"")</f>
        <v/>
      </c>
      <c r="U4609" s="9">
        <f>IF(Q4609="비교",ABS(P4609)+ROW()/1000000000,"")</f>
        <v/>
      </c>
      <c r="V4609" s="64">
        <f>IF($A4609="","",IF(COUNTIF(변동분석!$E$7:$E$506,O4609)&gt;0,"Y","N"))</f>
        <v/>
      </c>
      <c r="W4609" s="64">
        <f>IF($A4609="","",IFERROR(INDEX(계정매핑!$D$5:$D$504,MATCH($F4609&amp;"",계정매핑!$A$5:$A$504,0)),"미매핑"))</f>
        <v/>
      </c>
      <c r="X4609" s="9">
        <f>IF($A4609="","",$F4609&amp;"")</f>
        <v/>
      </c>
      <c r="Y4609" s="94">
        <f>IF($A4609="",0,IF(AE4609="직접",IF(AF4609="비귀속",$P4609,0),$P4609*(1-AG4609)*IFERROR(INDEX(계정대체기준!$F$20:$F$49,MATCH($N4609,계정대체기준!$A$20:$A$49,0)),1)))</f>
        <v/>
      </c>
      <c r="Z4609" s="94">
        <f>IF($A4609="",0,IF(AE4609="직접",IF(AF4609="신계약비",$P4609,0),$P4609*(1-AG4609)*IFERROR(INDEX(계정대체기준!$C$20:$C$49,MATCH($N4609,계정대체기준!$A$20:$A$49,0)),0)))</f>
        <v/>
      </c>
      <c r="AA4609" s="94">
        <f>IF($A4609="",0,IF(AE4609="직접",IF(OR(AF4609="유지비",AF4609="손해조사비"),$P4609,0),$P4609*(1-AG4609)*IFERROR(INDEX(계정대체기준!$D$20:$D$49,MATCH($N4609,계정대체기준!$A$20:$A$49,0)),0)))</f>
        <v/>
      </c>
      <c r="AB4609" s="94">
        <f>IF($A4609="",0,IF(AE4609="직접",IF(AF4609="수금비",$P4609,0),$P4609*(1-AG4609)*IFERROR(INDEX(계정대체기준!$E$20:$E$49,MATCH($N4609,계정대체기준!$A$20:$A$49,0)),0)))</f>
        <v/>
      </c>
      <c r="AC4609" s="9">
        <f>IF(AND($A4609&lt;&gt;"",M4609=설정!$C$20,Z4609&gt;0),Z4609+ROW()/1000000000,"")</f>
        <v/>
      </c>
      <c r="AD4609" s="94">
        <f>IF($A4609="",0,$P4609*AG4609)</f>
        <v/>
      </c>
      <c r="AE4609" s="64">
        <f>IF($A4609="","",IFERROR(INDEX(계정매핑!$E$5:$E$504,MATCH($F4609&amp;"",계정매핑!$A$5:$A$504,0))&amp;"","공통비"))</f>
        <v/>
      </c>
      <c r="AF4609" s="64">
        <f>IF($A4609="","",IF(AE4609="직접",IFERROR(INDEX(계정매핑!$F$5:$F$504,MATCH($F4609&amp;"",계정매핑!$A$5:$A$504,0))&amp;"","비귀속"),""))</f>
        <v/>
      </c>
      <c r="AG4609" s="96">
        <f>IF($A4609="",0,IF(AND(AE4609&lt;&gt;"직접",IFERROR(INDEX(계정매핑!$G$5:$G$504,MATCH($F4609&amp;"",계정매핑!$A$5:$A$504,0))&amp;"","")="유지비",COUNTIF(계정대체기준!$A$6:$A$15,$N4609)&gt;0),IFERROR(INDEX(계정대체기준!$E$6:$E$15,MATCH(VALUE($A4609&amp;""),계정대체기준!$D$6:$D$15,0)),0),0))</f>
        <v/>
      </c>
      <c r="AH4609" s="64">
        <f>IF($A4609="","",IF(AD4609=0,"",IF(OR(COUNTIF(계정대체기준!$A$77:$A$86,$N4609)&gt;0,ISNUMBER(MATCH($X4609,계정대체기준!$D$77:$D$86,0)),ISNUMBER(MATCH($F4609,계정대체기준!$D$77:$D$86,0))),"Y","N")))</f>
        <v/>
      </c>
    </row>
    <row r="4610">
      <c r="A4610" s="92" t="n">
        <v>2026</v>
      </c>
      <c r="B4610" s="92" t="n">
        <v>9</v>
      </c>
      <c r="C4610" s="92" t="inlineStr">
        <is>
          <t>5100001888</t>
        </is>
      </c>
      <c r="D4610" s="95" t="n">
        <v>46273</v>
      </c>
      <c r="E4610" s="92" t="inlineStr">
        <is>
          <t>KR</t>
        </is>
      </c>
      <c r="F4610" s="92" t="n">
        <v>62101000</v>
      </c>
      <c r="G4610" s="92" t="n">
        <v>1601</v>
      </c>
      <c r="H4610" s="93" t="n">
        <v>1935000</v>
      </c>
      <c r="I4610" s="92" t="inlineStr">
        <is>
          <t>9월 국내출장 - M항공</t>
        </is>
      </c>
      <c r="J4610" s="92" t="inlineStr">
        <is>
          <t>V10001</t>
        </is>
      </c>
      <c r="K4610" s="92" t="inlineStr">
        <is>
          <t>M항공</t>
        </is>
      </c>
      <c r="M4610" s="9">
        <f>IF($A4610="","",VALUE($A4610&amp;"")*12+VALUE($B4610&amp;""))</f>
        <v/>
      </c>
      <c r="N4610" s="64">
        <f>IF($A4610="","",IFERROR(INDEX(부서매핑!$C$5:$C$504,MATCH($G4610&amp;"",부서매핑!$A$5:$A$504,0)),"미매핑"))</f>
        <v/>
      </c>
      <c r="O4610" s="9">
        <f>IF($A4610="","",N4610&amp;"|"&amp;$F4610)</f>
        <v/>
      </c>
      <c r="P4610" s="94">
        <f>IF($A4610="",0,$H4610*설정!$C$23)</f>
        <v/>
      </c>
      <c r="Q4610" s="64">
        <f>IF($A4610="","",IF(O4610&lt;&gt;원인분석!$C$9,"",IF(AND(M4610&gt;=원인분석!$C$10,M4610&lt;=원인분석!$C$11),"당기",IF(AND(M4610&gt;=원인분석!$C$12,M4610&lt;=원인분석!$C$13),"비교",""))))</f>
        <v/>
      </c>
      <c r="R4610" s="9">
        <f>IF(Q4610="","",$K4610&amp;"")</f>
        <v/>
      </c>
      <c r="S4610" s="9">
        <f>IF(Q4610="","",IF(MATCH(R4610,$R$5:$R$100000,0)=ROW()-4,ROW(),""))</f>
        <v/>
      </c>
      <c r="T4610" s="9">
        <f>IF(Q4610="당기",ABS(P4610)+ROW()/1000000000,"")</f>
        <v/>
      </c>
      <c r="U4610" s="9">
        <f>IF(Q4610="비교",ABS(P4610)+ROW()/1000000000,"")</f>
        <v/>
      </c>
      <c r="V4610" s="64">
        <f>IF($A4610="","",IF(COUNTIF(변동분석!$E$7:$E$506,O4610)&gt;0,"Y","N"))</f>
        <v/>
      </c>
      <c r="W4610" s="64">
        <f>IF($A4610="","",IFERROR(INDEX(계정매핑!$D$5:$D$504,MATCH($F4610&amp;"",계정매핑!$A$5:$A$504,0)),"미매핑"))</f>
        <v/>
      </c>
      <c r="X4610" s="9">
        <f>IF($A4610="","",$F4610&amp;"")</f>
        <v/>
      </c>
      <c r="Y4610" s="94">
        <f>IF($A4610="",0,IF(AE4610="직접",IF(AF4610="비귀속",$P4610,0),$P4610*(1-AG4610)*IFERROR(INDEX(계정대체기준!$F$20:$F$49,MATCH($N4610,계정대체기준!$A$20:$A$49,0)),1)))</f>
        <v/>
      </c>
      <c r="Z4610" s="94">
        <f>IF($A4610="",0,IF(AE4610="직접",IF(AF4610="신계약비",$P4610,0),$P4610*(1-AG4610)*IFERROR(INDEX(계정대체기준!$C$20:$C$49,MATCH($N4610,계정대체기준!$A$20:$A$49,0)),0)))</f>
        <v/>
      </c>
      <c r="AA4610" s="94">
        <f>IF($A4610="",0,IF(AE4610="직접",IF(OR(AF4610="유지비",AF4610="손해조사비"),$P4610,0),$P4610*(1-AG4610)*IFERROR(INDEX(계정대체기준!$D$20:$D$49,MATCH($N4610,계정대체기준!$A$20:$A$49,0)),0)))</f>
        <v/>
      </c>
      <c r="AB4610" s="94">
        <f>IF($A4610="",0,IF(AE4610="직접",IF(AF4610="수금비",$P4610,0),$P4610*(1-AG4610)*IFERROR(INDEX(계정대체기준!$E$20:$E$49,MATCH($N4610,계정대체기준!$A$20:$A$49,0)),0)))</f>
        <v/>
      </c>
      <c r="AC4610" s="9">
        <f>IF(AND($A4610&lt;&gt;"",M4610=설정!$C$20,Z4610&gt;0),Z4610+ROW()/1000000000,"")</f>
        <v/>
      </c>
      <c r="AD4610" s="94">
        <f>IF($A4610="",0,$P4610*AG4610)</f>
        <v/>
      </c>
      <c r="AE4610" s="64">
        <f>IF($A4610="","",IFERROR(INDEX(계정매핑!$E$5:$E$504,MATCH($F4610&amp;"",계정매핑!$A$5:$A$504,0))&amp;"","공통비"))</f>
        <v/>
      </c>
      <c r="AF4610" s="64">
        <f>IF($A4610="","",IF(AE4610="직접",IFERROR(INDEX(계정매핑!$F$5:$F$504,MATCH($F4610&amp;"",계정매핑!$A$5:$A$504,0))&amp;"","비귀속"),""))</f>
        <v/>
      </c>
      <c r="AG4610" s="96">
        <f>IF($A4610="",0,IF(AND(AE4610&lt;&gt;"직접",IFERROR(INDEX(계정매핑!$G$5:$G$504,MATCH($F4610&amp;"",계정매핑!$A$5:$A$504,0))&amp;"","")="유지비",COUNTIF(계정대체기준!$A$6:$A$15,$N4610)&gt;0),IFERROR(INDEX(계정대체기준!$E$6:$E$15,MATCH(VALUE($A4610&amp;""),계정대체기준!$D$6:$D$15,0)),0),0))</f>
        <v/>
      </c>
      <c r="AH4610" s="64">
        <f>IF($A4610="","",IF(AD4610=0,"",IF(OR(COUNTIF(계정대체기준!$A$77:$A$86,$N4610)&gt;0,ISNUMBER(MATCH($X4610,계정대체기준!$D$77:$D$86,0)),ISNUMBER(MATCH($F4610,계정대체기준!$D$77:$D$86,0))),"Y","N")))</f>
        <v/>
      </c>
    </row>
    <row r="4611">
      <c r="A4611" s="92" t="n">
        <v>2026</v>
      </c>
      <c r="B4611" s="92" t="n">
        <v>9</v>
      </c>
      <c r="C4611" s="92" t="inlineStr">
        <is>
          <t>5100001889</t>
        </is>
      </c>
      <c r="D4611" s="95" t="n">
        <v>46273</v>
      </c>
      <c r="E4611" s="92" t="inlineStr">
        <is>
          <t>KR</t>
        </is>
      </c>
      <c r="F4611" s="92" t="n">
        <v>62101000</v>
      </c>
      <c r="G4611" s="92" t="n">
        <v>1602</v>
      </c>
      <c r="H4611" s="93" t="n">
        <v>1688000</v>
      </c>
      <c r="I4611" s="92" t="inlineStr">
        <is>
          <t>9월 국내출장 - (법인카드)</t>
        </is>
      </c>
      <c r="J4611" s="92" t="inlineStr">
        <is>
          <t>V10010</t>
        </is>
      </c>
      <c r="K4611" s="92" t="inlineStr">
        <is>
          <t>(법인카드)</t>
        </is>
      </c>
      <c r="M4611" s="9">
        <f>IF($A4611="","",VALUE($A4611&amp;"")*12+VALUE($B4611&amp;""))</f>
        <v/>
      </c>
      <c r="N4611" s="64">
        <f>IF($A4611="","",IFERROR(INDEX(부서매핑!$C$5:$C$504,MATCH($G4611&amp;"",부서매핑!$A$5:$A$504,0)),"미매핑"))</f>
        <v/>
      </c>
      <c r="O4611" s="9">
        <f>IF($A4611="","",N4611&amp;"|"&amp;$F4611)</f>
        <v/>
      </c>
      <c r="P4611" s="94">
        <f>IF($A4611="",0,$H4611*설정!$C$23)</f>
        <v/>
      </c>
      <c r="Q4611" s="64">
        <f>IF($A4611="","",IF(O4611&lt;&gt;원인분석!$C$9,"",IF(AND(M4611&gt;=원인분석!$C$10,M4611&lt;=원인분석!$C$11),"당기",IF(AND(M4611&gt;=원인분석!$C$12,M4611&lt;=원인분석!$C$13),"비교",""))))</f>
        <v/>
      </c>
      <c r="R4611" s="9">
        <f>IF(Q4611="","",$K4611&amp;"")</f>
        <v/>
      </c>
      <c r="S4611" s="9">
        <f>IF(Q4611="","",IF(MATCH(R4611,$R$5:$R$100000,0)=ROW()-4,ROW(),""))</f>
        <v/>
      </c>
      <c r="T4611" s="9">
        <f>IF(Q4611="당기",ABS(P4611)+ROW()/1000000000,"")</f>
        <v/>
      </c>
      <c r="U4611" s="9">
        <f>IF(Q4611="비교",ABS(P4611)+ROW()/1000000000,"")</f>
        <v/>
      </c>
      <c r="V4611" s="64">
        <f>IF($A4611="","",IF(COUNTIF(변동분석!$E$7:$E$506,O4611)&gt;0,"Y","N"))</f>
        <v/>
      </c>
      <c r="W4611" s="64">
        <f>IF($A4611="","",IFERROR(INDEX(계정매핑!$D$5:$D$504,MATCH($F4611&amp;"",계정매핑!$A$5:$A$504,0)),"미매핑"))</f>
        <v/>
      </c>
      <c r="X4611" s="9">
        <f>IF($A4611="","",$F4611&amp;"")</f>
        <v/>
      </c>
      <c r="Y4611" s="94">
        <f>IF($A4611="",0,IF(AE4611="직접",IF(AF4611="비귀속",$P4611,0),$P4611*(1-AG4611)*IFERROR(INDEX(계정대체기준!$F$20:$F$49,MATCH($N4611,계정대체기준!$A$20:$A$49,0)),1)))</f>
        <v/>
      </c>
      <c r="Z4611" s="94">
        <f>IF($A4611="",0,IF(AE4611="직접",IF(AF4611="신계약비",$P4611,0),$P4611*(1-AG4611)*IFERROR(INDEX(계정대체기준!$C$20:$C$49,MATCH($N4611,계정대체기준!$A$20:$A$49,0)),0)))</f>
        <v/>
      </c>
      <c r="AA4611" s="94">
        <f>IF($A4611="",0,IF(AE4611="직접",IF(OR(AF4611="유지비",AF4611="손해조사비"),$P4611,0),$P4611*(1-AG4611)*IFERROR(INDEX(계정대체기준!$D$20:$D$49,MATCH($N4611,계정대체기준!$A$20:$A$49,0)),0)))</f>
        <v/>
      </c>
      <c r="AB4611" s="94">
        <f>IF($A4611="",0,IF(AE4611="직접",IF(AF4611="수금비",$P4611,0),$P4611*(1-AG4611)*IFERROR(INDEX(계정대체기준!$E$20:$E$49,MATCH($N4611,계정대체기준!$A$20:$A$49,0)),0)))</f>
        <v/>
      </c>
      <c r="AC4611" s="9">
        <f>IF(AND($A4611&lt;&gt;"",M4611=설정!$C$20,Z4611&gt;0),Z4611+ROW()/1000000000,"")</f>
        <v/>
      </c>
      <c r="AD4611" s="94">
        <f>IF($A4611="",0,$P4611*AG4611)</f>
        <v/>
      </c>
      <c r="AE4611" s="64">
        <f>IF($A4611="","",IFERROR(INDEX(계정매핑!$E$5:$E$504,MATCH($F4611&amp;"",계정매핑!$A$5:$A$504,0))&amp;"","공통비"))</f>
        <v/>
      </c>
      <c r="AF4611" s="64">
        <f>IF($A4611="","",IF(AE4611="직접",IFERROR(INDEX(계정매핑!$F$5:$F$504,MATCH($F4611&amp;"",계정매핑!$A$5:$A$504,0))&amp;"","비귀속"),""))</f>
        <v/>
      </c>
      <c r="AG4611" s="96">
        <f>IF($A4611="",0,IF(AND(AE4611&lt;&gt;"직접",IFERROR(INDEX(계정매핑!$G$5:$G$504,MATCH($F4611&amp;"",계정매핑!$A$5:$A$504,0))&amp;"","")="유지비",COUNTIF(계정대체기준!$A$6:$A$15,$N4611)&gt;0),IFERROR(INDEX(계정대체기준!$E$6:$E$15,MATCH(VALUE($A4611&amp;""),계정대체기준!$D$6:$D$15,0)),0),0))</f>
        <v/>
      </c>
      <c r="AH4611" s="64">
        <f>IF($A4611="","",IF(AD4611=0,"",IF(OR(COUNTIF(계정대체기준!$A$77:$A$86,$N4611)&gt;0,ISNUMBER(MATCH($X4611,계정대체기준!$D$77:$D$86,0)),ISNUMBER(MATCH($F4611,계정대체기준!$D$77:$D$86,0))),"Y","N")))</f>
        <v/>
      </c>
    </row>
    <row r="4612">
      <c r="A4612" s="92" t="n">
        <v>2026</v>
      </c>
      <c r="B4612" s="92" t="n">
        <v>9</v>
      </c>
      <c r="C4612" s="92" t="inlineStr">
        <is>
          <t>5100001890</t>
        </is>
      </c>
      <c r="D4612" s="95" t="n">
        <v>46273</v>
      </c>
      <c r="E4612" s="92" t="inlineStr">
        <is>
          <t>KR</t>
        </is>
      </c>
      <c r="F4612" s="92" t="n">
        <v>62102000</v>
      </c>
      <c r="G4612" s="92" t="n">
        <v>1701</v>
      </c>
      <c r="H4612" s="93" t="n">
        <v>35000</v>
      </c>
      <c r="I4612" s="92" t="inlineStr">
        <is>
          <t>9월 해외출장 - N호텔</t>
        </is>
      </c>
      <c r="J4612" s="92" t="inlineStr">
        <is>
          <t>V10009</t>
        </is>
      </c>
      <c r="K4612" s="92" t="inlineStr">
        <is>
          <t>N호텔</t>
        </is>
      </c>
      <c r="M4612" s="9">
        <f>IF($A4612="","",VALUE($A4612&amp;"")*12+VALUE($B4612&amp;""))</f>
        <v/>
      </c>
      <c r="N4612" s="64">
        <f>IF($A4612="","",IFERROR(INDEX(부서매핑!$C$5:$C$504,MATCH($G4612&amp;"",부서매핑!$A$5:$A$504,0)),"미매핑"))</f>
        <v/>
      </c>
      <c r="O4612" s="9">
        <f>IF($A4612="","",N4612&amp;"|"&amp;$F4612)</f>
        <v/>
      </c>
      <c r="P4612" s="94">
        <f>IF($A4612="",0,$H4612*설정!$C$23)</f>
        <v/>
      </c>
      <c r="Q4612" s="64">
        <f>IF($A4612="","",IF(O4612&lt;&gt;원인분석!$C$9,"",IF(AND(M4612&gt;=원인분석!$C$10,M4612&lt;=원인분석!$C$11),"당기",IF(AND(M4612&gt;=원인분석!$C$12,M4612&lt;=원인분석!$C$13),"비교",""))))</f>
        <v/>
      </c>
      <c r="R4612" s="9">
        <f>IF(Q4612="","",$K4612&amp;"")</f>
        <v/>
      </c>
      <c r="S4612" s="9">
        <f>IF(Q4612="","",IF(MATCH(R4612,$R$5:$R$100000,0)=ROW()-4,ROW(),""))</f>
        <v/>
      </c>
      <c r="T4612" s="9">
        <f>IF(Q4612="당기",ABS(P4612)+ROW()/1000000000,"")</f>
        <v/>
      </c>
      <c r="U4612" s="9">
        <f>IF(Q4612="비교",ABS(P4612)+ROW()/1000000000,"")</f>
        <v/>
      </c>
      <c r="V4612" s="64">
        <f>IF($A4612="","",IF(COUNTIF(변동분석!$E$7:$E$506,O4612)&gt;0,"Y","N"))</f>
        <v/>
      </c>
      <c r="W4612" s="64">
        <f>IF($A4612="","",IFERROR(INDEX(계정매핑!$D$5:$D$504,MATCH($F4612&amp;"",계정매핑!$A$5:$A$504,0)),"미매핑"))</f>
        <v/>
      </c>
      <c r="X4612" s="9">
        <f>IF($A4612="","",$F4612&amp;"")</f>
        <v/>
      </c>
      <c r="Y4612" s="94">
        <f>IF($A4612="",0,IF(AE4612="직접",IF(AF4612="비귀속",$P4612,0),$P4612*(1-AG4612)*IFERROR(INDEX(계정대체기준!$F$20:$F$49,MATCH($N4612,계정대체기준!$A$20:$A$49,0)),1)))</f>
        <v/>
      </c>
      <c r="Z4612" s="94">
        <f>IF($A4612="",0,IF(AE4612="직접",IF(AF4612="신계약비",$P4612,0),$P4612*(1-AG4612)*IFERROR(INDEX(계정대체기준!$C$20:$C$49,MATCH($N4612,계정대체기준!$A$20:$A$49,0)),0)))</f>
        <v/>
      </c>
      <c r="AA4612" s="94">
        <f>IF($A4612="",0,IF(AE4612="직접",IF(OR(AF4612="유지비",AF4612="손해조사비"),$P4612,0),$P4612*(1-AG4612)*IFERROR(INDEX(계정대체기준!$D$20:$D$49,MATCH($N4612,계정대체기준!$A$20:$A$49,0)),0)))</f>
        <v/>
      </c>
      <c r="AB4612" s="94">
        <f>IF($A4612="",0,IF(AE4612="직접",IF(AF4612="수금비",$P4612,0),$P4612*(1-AG4612)*IFERROR(INDEX(계정대체기준!$E$20:$E$49,MATCH($N4612,계정대체기준!$A$20:$A$49,0)),0)))</f>
        <v/>
      </c>
      <c r="AC4612" s="9">
        <f>IF(AND($A4612&lt;&gt;"",M4612=설정!$C$20,Z4612&gt;0),Z4612+ROW()/1000000000,"")</f>
        <v/>
      </c>
      <c r="AD4612" s="94">
        <f>IF($A4612="",0,$P4612*AG4612)</f>
        <v/>
      </c>
      <c r="AE4612" s="64">
        <f>IF($A4612="","",IFERROR(INDEX(계정매핑!$E$5:$E$504,MATCH($F4612&amp;"",계정매핑!$A$5:$A$504,0))&amp;"","공통비"))</f>
        <v/>
      </c>
      <c r="AF4612" s="64">
        <f>IF($A4612="","",IF(AE4612="직접",IFERROR(INDEX(계정매핑!$F$5:$F$504,MATCH($F4612&amp;"",계정매핑!$A$5:$A$504,0))&amp;"","비귀속"),""))</f>
        <v/>
      </c>
      <c r="AG4612" s="96">
        <f>IF($A4612="",0,IF(AND(AE4612&lt;&gt;"직접",IFERROR(INDEX(계정매핑!$G$5:$G$504,MATCH($F4612&amp;"",계정매핑!$A$5:$A$504,0))&amp;"","")="유지비",COUNTIF(계정대체기준!$A$6:$A$15,$N4612)&gt;0),IFERROR(INDEX(계정대체기준!$E$6:$E$15,MATCH(VALUE($A4612&amp;""),계정대체기준!$D$6:$D$15,0)),0),0))</f>
        <v/>
      </c>
      <c r="AH4612" s="64">
        <f>IF($A4612="","",IF(AD4612=0,"",IF(OR(COUNTIF(계정대체기준!$A$77:$A$86,$N4612)&gt;0,ISNUMBER(MATCH($X4612,계정대체기준!$D$77:$D$86,0)),ISNUMBER(MATCH($F4612,계정대체기준!$D$77:$D$86,0))),"Y","N")))</f>
        <v/>
      </c>
    </row>
    <row r="4613">
      <c r="A4613" s="92" t="n">
        <v>2026</v>
      </c>
      <c r="B4613" s="92" t="n">
        <v>9</v>
      </c>
      <c r="C4613" s="92" t="inlineStr">
        <is>
          <t>5100001891</t>
        </is>
      </c>
      <c r="D4613" s="95" t="n">
        <v>46273</v>
      </c>
      <c r="E4613" s="92" t="inlineStr">
        <is>
          <t>KR</t>
        </is>
      </c>
      <c r="F4613" s="92" t="n">
        <v>62301000</v>
      </c>
      <c r="G4613" s="92" t="n">
        <v>1301</v>
      </c>
      <c r="H4613" s="93" t="n">
        <v>286000</v>
      </c>
      <c r="I4613" s="92" t="inlineStr">
        <is>
          <t>9월 소모품 구입 - Q오피스</t>
        </is>
      </c>
      <c r="J4613" s="92" t="inlineStr">
        <is>
          <t>V10003</t>
        </is>
      </c>
      <c r="K4613" s="92" t="inlineStr">
        <is>
          <t>Q오피스</t>
        </is>
      </c>
      <c r="M4613" s="9">
        <f>IF($A4613="","",VALUE($A4613&amp;"")*12+VALUE($B4613&amp;""))</f>
        <v/>
      </c>
      <c r="N4613" s="64">
        <f>IF($A4613="","",IFERROR(INDEX(부서매핑!$C$5:$C$504,MATCH($G4613&amp;"",부서매핑!$A$5:$A$504,0)),"미매핑"))</f>
        <v/>
      </c>
      <c r="O4613" s="9">
        <f>IF($A4613="","",N4613&amp;"|"&amp;$F4613)</f>
        <v/>
      </c>
      <c r="P4613" s="94">
        <f>IF($A4613="",0,$H4613*설정!$C$23)</f>
        <v/>
      </c>
      <c r="Q4613" s="64">
        <f>IF($A4613="","",IF(O4613&lt;&gt;원인분석!$C$9,"",IF(AND(M4613&gt;=원인분석!$C$10,M4613&lt;=원인분석!$C$11),"당기",IF(AND(M4613&gt;=원인분석!$C$12,M4613&lt;=원인분석!$C$13),"비교",""))))</f>
        <v/>
      </c>
      <c r="R4613" s="9">
        <f>IF(Q4613="","",$K4613&amp;"")</f>
        <v/>
      </c>
      <c r="S4613" s="9">
        <f>IF(Q4613="","",IF(MATCH(R4613,$R$5:$R$100000,0)=ROW()-4,ROW(),""))</f>
        <v/>
      </c>
      <c r="T4613" s="9">
        <f>IF(Q4613="당기",ABS(P4613)+ROW()/1000000000,"")</f>
        <v/>
      </c>
      <c r="U4613" s="9">
        <f>IF(Q4613="비교",ABS(P4613)+ROW()/1000000000,"")</f>
        <v/>
      </c>
      <c r="V4613" s="64">
        <f>IF($A4613="","",IF(COUNTIF(변동분석!$E$7:$E$506,O4613)&gt;0,"Y","N"))</f>
        <v/>
      </c>
      <c r="W4613" s="64">
        <f>IF($A4613="","",IFERROR(INDEX(계정매핑!$D$5:$D$504,MATCH($F4613&amp;"",계정매핑!$A$5:$A$504,0)),"미매핑"))</f>
        <v/>
      </c>
      <c r="X4613" s="9">
        <f>IF($A4613="","",$F4613&amp;"")</f>
        <v/>
      </c>
      <c r="Y4613" s="94">
        <f>IF($A4613="",0,IF(AE4613="직접",IF(AF4613="비귀속",$P4613,0),$P4613*(1-AG4613)*IFERROR(INDEX(계정대체기준!$F$20:$F$49,MATCH($N4613,계정대체기준!$A$20:$A$49,0)),1)))</f>
        <v/>
      </c>
      <c r="Z4613" s="94">
        <f>IF($A4613="",0,IF(AE4613="직접",IF(AF4613="신계약비",$P4613,0),$P4613*(1-AG4613)*IFERROR(INDEX(계정대체기준!$C$20:$C$49,MATCH($N4613,계정대체기준!$A$20:$A$49,0)),0)))</f>
        <v/>
      </c>
      <c r="AA4613" s="94">
        <f>IF($A4613="",0,IF(AE4613="직접",IF(OR(AF4613="유지비",AF4613="손해조사비"),$P4613,0),$P4613*(1-AG4613)*IFERROR(INDEX(계정대체기준!$D$20:$D$49,MATCH($N4613,계정대체기준!$A$20:$A$49,0)),0)))</f>
        <v/>
      </c>
      <c r="AB4613" s="94">
        <f>IF($A4613="",0,IF(AE4613="직접",IF(AF4613="수금비",$P4613,0),$P4613*(1-AG4613)*IFERROR(INDEX(계정대체기준!$E$20:$E$49,MATCH($N4613,계정대체기준!$A$20:$A$49,0)),0)))</f>
        <v/>
      </c>
      <c r="AC4613" s="9">
        <f>IF(AND($A4613&lt;&gt;"",M4613=설정!$C$20,Z4613&gt;0),Z4613+ROW()/1000000000,"")</f>
        <v/>
      </c>
      <c r="AD4613" s="94">
        <f>IF($A4613="",0,$P4613*AG4613)</f>
        <v/>
      </c>
      <c r="AE4613" s="64">
        <f>IF($A4613="","",IFERROR(INDEX(계정매핑!$E$5:$E$504,MATCH($F4613&amp;"",계정매핑!$A$5:$A$504,0))&amp;"","공통비"))</f>
        <v/>
      </c>
      <c r="AF4613" s="64">
        <f>IF($A4613="","",IF(AE4613="직접",IFERROR(INDEX(계정매핑!$F$5:$F$504,MATCH($F4613&amp;"",계정매핑!$A$5:$A$504,0))&amp;"","비귀속"),""))</f>
        <v/>
      </c>
      <c r="AG4613" s="96">
        <f>IF($A4613="",0,IF(AND(AE4613&lt;&gt;"직접",IFERROR(INDEX(계정매핑!$G$5:$G$504,MATCH($F4613&amp;"",계정매핑!$A$5:$A$504,0))&amp;"","")="유지비",COUNTIF(계정대체기준!$A$6:$A$15,$N4613)&gt;0),IFERROR(INDEX(계정대체기준!$E$6:$E$15,MATCH(VALUE($A4613&amp;""),계정대체기준!$D$6:$D$15,0)),0),0))</f>
        <v/>
      </c>
      <c r="AH4613" s="64">
        <f>IF($A4613="","",IF(AD4613=0,"",IF(OR(COUNTIF(계정대체기준!$A$77:$A$86,$N4613)&gt;0,ISNUMBER(MATCH($X4613,계정대체기준!$D$77:$D$86,0)),ISNUMBER(MATCH($F4613,계정대체기준!$D$77:$D$86,0))),"Y","N")))</f>
        <v/>
      </c>
    </row>
    <row r="4614">
      <c r="A4614" s="92" t="n">
        <v>2026</v>
      </c>
      <c r="B4614" s="92" t="n">
        <v>9</v>
      </c>
      <c r="C4614" s="92" t="inlineStr">
        <is>
          <t>5100001892</t>
        </is>
      </c>
      <c r="D4614" s="95" t="n">
        <v>46273</v>
      </c>
      <c r="E4614" s="92" t="inlineStr">
        <is>
          <t>KR</t>
        </is>
      </c>
      <c r="F4614" s="92" t="n">
        <v>62401000</v>
      </c>
      <c r="G4614" s="92" t="n">
        <v>1801</v>
      </c>
      <c r="H4614" s="93" t="n">
        <v>3181000</v>
      </c>
      <c r="I4614" s="92" t="inlineStr">
        <is>
          <t>9월 인쇄물 제작 - G인쇄</t>
        </is>
      </c>
      <c r="J4614" s="92" t="inlineStr">
        <is>
          <t>V10004</t>
        </is>
      </c>
      <c r="K4614" s="92" t="inlineStr">
        <is>
          <t>G인쇄</t>
        </is>
      </c>
      <c r="M4614" s="9">
        <f>IF($A4614="","",VALUE($A4614&amp;"")*12+VALUE($B4614&amp;""))</f>
        <v/>
      </c>
      <c r="N4614" s="64">
        <f>IF($A4614="","",IFERROR(INDEX(부서매핑!$C$5:$C$504,MATCH($G4614&amp;"",부서매핑!$A$5:$A$504,0)),"미매핑"))</f>
        <v/>
      </c>
      <c r="O4614" s="9">
        <f>IF($A4614="","",N4614&amp;"|"&amp;$F4614)</f>
        <v/>
      </c>
      <c r="P4614" s="94">
        <f>IF($A4614="",0,$H4614*설정!$C$23)</f>
        <v/>
      </c>
      <c r="Q4614" s="64">
        <f>IF($A4614="","",IF(O4614&lt;&gt;원인분석!$C$9,"",IF(AND(M4614&gt;=원인분석!$C$10,M4614&lt;=원인분석!$C$11),"당기",IF(AND(M4614&gt;=원인분석!$C$12,M4614&lt;=원인분석!$C$13),"비교",""))))</f>
        <v/>
      </c>
      <c r="R4614" s="9">
        <f>IF(Q4614="","",$K4614&amp;"")</f>
        <v/>
      </c>
      <c r="S4614" s="9">
        <f>IF(Q4614="","",IF(MATCH(R4614,$R$5:$R$100000,0)=ROW()-4,ROW(),""))</f>
        <v/>
      </c>
      <c r="T4614" s="9">
        <f>IF(Q4614="당기",ABS(P4614)+ROW()/1000000000,"")</f>
        <v/>
      </c>
      <c r="U4614" s="9">
        <f>IF(Q4614="비교",ABS(P4614)+ROW()/1000000000,"")</f>
        <v/>
      </c>
      <c r="V4614" s="64">
        <f>IF($A4614="","",IF(COUNTIF(변동분석!$E$7:$E$506,O4614)&gt;0,"Y","N"))</f>
        <v/>
      </c>
      <c r="W4614" s="64">
        <f>IF($A4614="","",IFERROR(INDEX(계정매핑!$D$5:$D$504,MATCH($F4614&amp;"",계정매핑!$A$5:$A$504,0)),"미매핑"))</f>
        <v/>
      </c>
      <c r="X4614" s="9">
        <f>IF($A4614="","",$F4614&amp;"")</f>
        <v/>
      </c>
      <c r="Y4614" s="94">
        <f>IF($A4614="",0,IF(AE4614="직접",IF(AF4614="비귀속",$P4614,0),$P4614*(1-AG4614)*IFERROR(INDEX(계정대체기준!$F$20:$F$49,MATCH($N4614,계정대체기준!$A$20:$A$49,0)),1)))</f>
        <v/>
      </c>
      <c r="Z4614" s="94">
        <f>IF($A4614="",0,IF(AE4614="직접",IF(AF4614="신계약비",$P4614,0),$P4614*(1-AG4614)*IFERROR(INDEX(계정대체기준!$C$20:$C$49,MATCH($N4614,계정대체기준!$A$20:$A$49,0)),0)))</f>
        <v/>
      </c>
      <c r="AA4614" s="94">
        <f>IF($A4614="",0,IF(AE4614="직접",IF(OR(AF4614="유지비",AF4614="손해조사비"),$P4614,0),$P4614*(1-AG4614)*IFERROR(INDEX(계정대체기준!$D$20:$D$49,MATCH($N4614,계정대체기준!$A$20:$A$49,0)),0)))</f>
        <v/>
      </c>
      <c r="AB4614" s="94">
        <f>IF($A4614="",0,IF(AE4614="직접",IF(AF4614="수금비",$P4614,0),$P4614*(1-AG4614)*IFERROR(INDEX(계정대체기준!$E$20:$E$49,MATCH($N4614,계정대체기준!$A$20:$A$49,0)),0)))</f>
        <v/>
      </c>
      <c r="AC4614" s="9">
        <f>IF(AND($A4614&lt;&gt;"",M4614=설정!$C$20,Z4614&gt;0),Z4614+ROW()/1000000000,"")</f>
        <v/>
      </c>
      <c r="AD4614" s="94">
        <f>IF($A4614="",0,$P4614*AG4614)</f>
        <v/>
      </c>
      <c r="AE4614" s="64">
        <f>IF($A4614="","",IFERROR(INDEX(계정매핑!$E$5:$E$504,MATCH($F4614&amp;"",계정매핑!$A$5:$A$504,0))&amp;"","공통비"))</f>
        <v/>
      </c>
      <c r="AF4614" s="64">
        <f>IF($A4614="","",IF(AE4614="직접",IFERROR(INDEX(계정매핑!$F$5:$F$504,MATCH($F4614&amp;"",계정매핑!$A$5:$A$504,0))&amp;"","비귀속"),""))</f>
        <v/>
      </c>
      <c r="AG4614" s="96">
        <f>IF($A4614="",0,IF(AND(AE4614&lt;&gt;"직접",IFERROR(INDEX(계정매핑!$G$5:$G$504,MATCH($F4614&amp;"",계정매핑!$A$5:$A$504,0))&amp;"","")="유지비",COUNTIF(계정대체기준!$A$6:$A$15,$N4614)&gt;0),IFERROR(INDEX(계정대체기준!$E$6:$E$15,MATCH(VALUE($A4614&amp;""),계정대체기준!$D$6:$D$15,0)),0),0))</f>
        <v/>
      </c>
      <c r="AH4614" s="64">
        <f>IF($A4614="","",IF(AD4614=0,"",IF(OR(COUNTIF(계정대체기준!$A$77:$A$86,$N4614)&gt;0,ISNUMBER(MATCH($X4614,계정대체기준!$D$77:$D$86,0)),ISNUMBER(MATCH($F4614,계정대체기준!$D$77:$D$86,0))),"Y","N")))</f>
        <v/>
      </c>
    </row>
    <row r="4615">
      <c r="A4615" s="92" t="n">
        <v>2026</v>
      </c>
      <c r="B4615" s="92" t="n">
        <v>9</v>
      </c>
      <c r="C4615" s="92" t="inlineStr">
        <is>
          <t>5100001893</t>
        </is>
      </c>
      <c r="D4615" s="95" t="n">
        <v>46273</v>
      </c>
      <c r="E4615" s="92" t="inlineStr">
        <is>
          <t>KR</t>
        </is>
      </c>
      <c r="F4615" s="92" t="n">
        <v>62501000</v>
      </c>
      <c r="G4615" s="92" t="n">
        <v>1301</v>
      </c>
      <c r="H4615" s="93" t="n">
        <v>237000</v>
      </c>
      <c r="I4615" s="92" t="inlineStr">
        <is>
          <t>9월 회의 다과 - T케이터링</t>
        </is>
      </c>
      <c r="J4615" s="92" t="inlineStr">
        <is>
          <t>V10005</t>
        </is>
      </c>
      <c r="K4615" s="92" t="inlineStr">
        <is>
          <t>T케이터링</t>
        </is>
      </c>
      <c r="M4615" s="9">
        <f>IF($A4615="","",VALUE($A4615&amp;"")*12+VALUE($B4615&amp;""))</f>
        <v/>
      </c>
      <c r="N4615" s="64">
        <f>IF($A4615="","",IFERROR(INDEX(부서매핑!$C$5:$C$504,MATCH($G4615&amp;"",부서매핑!$A$5:$A$504,0)),"미매핑"))</f>
        <v/>
      </c>
      <c r="O4615" s="9">
        <f>IF($A4615="","",N4615&amp;"|"&amp;$F4615)</f>
        <v/>
      </c>
      <c r="P4615" s="94">
        <f>IF($A4615="",0,$H4615*설정!$C$23)</f>
        <v/>
      </c>
      <c r="Q4615" s="64">
        <f>IF($A4615="","",IF(O4615&lt;&gt;원인분석!$C$9,"",IF(AND(M4615&gt;=원인분석!$C$10,M4615&lt;=원인분석!$C$11),"당기",IF(AND(M4615&gt;=원인분석!$C$12,M4615&lt;=원인분석!$C$13),"비교",""))))</f>
        <v/>
      </c>
      <c r="R4615" s="9">
        <f>IF(Q4615="","",$K4615&amp;"")</f>
        <v/>
      </c>
      <c r="S4615" s="9">
        <f>IF(Q4615="","",IF(MATCH(R4615,$R$5:$R$100000,0)=ROW()-4,ROW(),""))</f>
        <v/>
      </c>
      <c r="T4615" s="9">
        <f>IF(Q4615="당기",ABS(P4615)+ROW()/1000000000,"")</f>
        <v/>
      </c>
      <c r="U4615" s="9">
        <f>IF(Q4615="비교",ABS(P4615)+ROW()/1000000000,"")</f>
        <v/>
      </c>
      <c r="V4615" s="64">
        <f>IF($A4615="","",IF(COUNTIF(변동분석!$E$7:$E$506,O4615)&gt;0,"Y","N"))</f>
        <v/>
      </c>
      <c r="W4615" s="64">
        <f>IF($A4615="","",IFERROR(INDEX(계정매핑!$D$5:$D$504,MATCH($F4615&amp;"",계정매핑!$A$5:$A$504,0)),"미매핑"))</f>
        <v/>
      </c>
      <c r="X4615" s="9">
        <f>IF($A4615="","",$F4615&amp;"")</f>
        <v/>
      </c>
      <c r="Y4615" s="94">
        <f>IF($A4615="",0,IF(AE4615="직접",IF(AF4615="비귀속",$P4615,0),$P4615*(1-AG4615)*IFERROR(INDEX(계정대체기준!$F$20:$F$49,MATCH($N4615,계정대체기준!$A$20:$A$49,0)),1)))</f>
        <v/>
      </c>
      <c r="Z4615" s="94">
        <f>IF($A4615="",0,IF(AE4615="직접",IF(AF4615="신계약비",$P4615,0),$P4615*(1-AG4615)*IFERROR(INDEX(계정대체기준!$C$20:$C$49,MATCH($N4615,계정대체기준!$A$20:$A$49,0)),0)))</f>
        <v/>
      </c>
      <c r="AA4615" s="94">
        <f>IF($A4615="",0,IF(AE4615="직접",IF(OR(AF4615="유지비",AF4615="손해조사비"),$P4615,0),$P4615*(1-AG4615)*IFERROR(INDEX(계정대체기준!$D$20:$D$49,MATCH($N4615,계정대체기준!$A$20:$A$49,0)),0)))</f>
        <v/>
      </c>
      <c r="AB4615" s="94">
        <f>IF($A4615="",0,IF(AE4615="직접",IF(AF4615="수금비",$P4615,0),$P4615*(1-AG4615)*IFERROR(INDEX(계정대체기준!$E$20:$E$49,MATCH($N4615,계정대체기준!$A$20:$A$49,0)),0)))</f>
        <v/>
      </c>
      <c r="AC4615" s="9">
        <f>IF(AND($A4615&lt;&gt;"",M4615=설정!$C$20,Z4615&gt;0),Z4615+ROW()/1000000000,"")</f>
        <v/>
      </c>
      <c r="AD4615" s="94">
        <f>IF($A4615="",0,$P4615*AG4615)</f>
        <v/>
      </c>
      <c r="AE4615" s="64">
        <f>IF($A4615="","",IFERROR(INDEX(계정매핑!$E$5:$E$504,MATCH($F4615&amp;"",계정매핑!$A$5:$A$504,0))&amp;"","공통비"))</f>
        <v/>
      </c>
      <c r="AF4615" s="64">
        <f>IF($A4615="","",IF(AE4615="직접",IFERROR(INDEX(계정매핑!$F$5:$F$504,MATCH($F4615&amp;"",계정매핑!$A$5:$A$504,0))&amp;"","비귀속"),""))</f>
        <v/>
      </c>
      <c r="AG4615" s="96">
        <f>IF($A4615="",0,IF(AND(AE4615&lt;&gt;"직접",IFERROR(INDEX(계정매핑!$G$5:$G$504,MATCH($F4615&amp;"",계정매핑!$A$5:$A$504,0))&amp;"","")="유지비",COUNTIF(계정대체기준!$A$6:$A$15,$N4615)&gt;0),IFERROR(INDEX(계정대체기준!$E$6:$E$15,MATCH(VALUE($A4615&amp;""),계정대체기준!$D$6:$D$15,0)),0),0))</f>
        <v/>
      </c>
      <c r="AH4615" s="64">
        <f>IF($A4615="","",IF(AD4615=0,"",IF(OR(COUNTIF(계정대체기준!$A$77:$A$86,$N4615)&gt;0,ISNUMBER(MATCH($X4615,계정대체기준!$D$77:$D$86,0)),ISNUMBER(MATCH($F4615,계정대체기준!$D$77:$D$86,0))),"Y","N")))</f>
        <v/>
      </c>
    </row>
    <row r="4616">
      <c r="A4616" s="92" t="n">
        <v>2026</v>
      </c>
      <c r="B4616" s="92" t="n">
        <v>9</v>
      </c>
      <c r="C4616" s="92" t="inlineStr">
        <is>
          <t>5100001894</t>
        </is>
      </c>
      <c r="D4616" s="95" t="n">
        <v>46273</v>
      </c>
      <c r="E4616" s="92" t="inlineStr">
        <is>
          <t>KR</t>
        </is>
      </c>
      <c r="F4616" s="92" t="n">
        <v>62501000</v>
      </c>
      <c r="G4616" s="92" t="n">
        <v>1501</v>
      </c>
      <c r="H4616" s="93" t="n">
        <v>336000</v>
      </c>
      <c r="I4616" s="92" t="inlineStr">
        <is>
          <t>9월 회의 다과 - T케이터링</t>
        </is>
      </c>
      <c r="J4616" s="92" t="inlineStr">
        <is>
          <t>V10005</t>
        </is>
      </c>
      <c r="K4616" s="92" t="inlineStr">
        <is>
          <t>T케이터링</t>
        </is>
      </c>
      <c r="M4616" s="9">
        <f>IF($A4616="","",VALUE($A4616&amp;"")*12+VALUE($B4616&amp;""))</f>
        <v/>
      </c>
      <c r="N4616" s="64">
        <f>IF($A4616="","",IFERROR(INDEX(부서매핑!$C$5:$C$504,MATCH($G4616&amp;"",부서매핑!$A$5:$A$504,0)),"미매핑"))</f>
        <v/>
      </c>
      <c r="O4616" s="9">
        <f>IF($A4616="","",N4616&amp;"|"&amp;$F4616)</f>
        <v/>
      </c>
      <c r="P4616" s="94">
        <f>IF($A4616="",0,$H4616*설정!$C$23)</f>
        <v/>
      </c>
      <c r="Q4616" s="64">
        <f>IF($A4616="","",IF(O4616&lt;&gt;원인분석!$C$9,"",IF(AND(M4616&gt;=원인분석!$C$10,M4616&lt;=원인분석!$C$11),"당기",IF(AND(M4616&gt;=원인분석!$C$12,M4616&lt;=원인분석!$C$13),"비교",""))))</f>
        <v/>
      </c>
      <c r="R4616" s="9">
        <f>IF(Q4616="","",$K4616&amp;"")</f>
        <v/>
      </c>
      <c r="S4616" s="9">
        <f>IF(Q4616="","",IF(MATCH(R4616,$R$5:$R$100000,0)=ROW()-4,ROW(),""))</f>
        <v/>
      </c>
      <c r="T4616" s="9">
        <f>IF(Q4616="당기",ABS(P4616)+ROW()/1000000000,"")</f>
        <v/>
      </c>
      <c r="U4616" s="9">
        <f>IF(Q4616="비교",ABS(P4616)+ROW()/1000000000,"")</f>
        <v/>
      </c>
      <c r="V4616" s="64">
        <f>IF($A4616="","",IF(COUNTIF(변동분석!$E$7:$E$506,O4616)&gt;0,"Y","N"))</f>
        <v/>
      </c>
      <c r="W4616" s="64">
        <f>IF($A4616="","",IFERROR(INDEX(계정매핑!$D$5:$D$504,MATCH($F4616&amp;"",계정매핑!$A$5:$A$504,0)),"미매핑"))</f>
        <v/>
      </c>
      <c r="X4616" s="9">
        <f>IF($A4616="","",$F4616&amp;"")</f>
        <v/>
      </c>
      <c r="Y4616" s="94">
        <f>IF($A4616="",0,IF(AE4616="직접",IF(AF4616="비귀속",$P4616,0),$P4616*(1-AG4616)*IFERROR(INDEX(계정대체기준!$F$20:$F$49,MATCH($N4616,계정대체기준!$A$20:$A$49,0)),1)))</f>
        <v/>
      </c>
      <c r="Z4616" s="94">
        <f>IF($A4616="",0,IF(AE4616="직접",IF(AF4616="신계약비",$P4616,0),$P4616*(1-AG4616)*IFERROR(INDEX(계정대체기준!$C$20:$C$49,MATCH($N4616,계정대체기준!$A$20:$A$49,0)),0)))</f>
        <v/>
      </c>
      <c r="AA4616" s="94">
        <f>IF($A4616="",0,IF(AE4616="직접",IF(OR(AF4616="유지비",AF4616="손해조사비"),$P4616,0),$P4616*(1-AG4616)*IFERROR(INDEX(계정대체기준!$D$20:$D$49,MATCH($N4616,계정대체기준!$A$20:$A$49,0)),0)))</f>
        <v/>
      </c>
      <c r="AB4616" s="94">
        <f>IF($A4616="",0,IF(AE4616="직접",IF(AF4616="수금비",$P4616,0),$P4616*(1-AG4616)*IFERROR(INDEX(계정대체기준!$E$20:$E$49,MATCH($N4616,계정대체기준!$A$20:$A$49,0)),0)))</f>
        <v/>
      </c>
      <c r="AC4616" s="9">
        <f>IF(AND($A4616&lt;&gt;"",M4616=설정!$C$20,Z4616&gt;0),Z4616+ROW()/1000000000,"")</f>
        <v/>
      </c>
      <c r="AD4616" s="94">
        <f>IF($A4616="",0,$P4616*AG4616)</f>
        <v/>
      </c>
      <c r="AE4616" s="64">
        <f>IF($A4616="","",IFERROR(INDEX(계정매핑!$E$5:$E$504,MATCH($F4616&amp;"",계정매핑!$A$5:$A$504,0))&amp;"","공통비"))</f>
        <v/>
      </c>
      <c r="AF4616" s="64">
        <f>IF($A4616="","",IF(AE4616="직접",IFERROR(INDEX(계정매핑!$F$5:$F$504,MATCH($F4616&amp;"",계정매핑!$A$5:$A$504,0))&amp;"","비귀속"),""))</f>
        <v/>
      </c>
      <c r="AG4616" s="96">
        <f>IF($A4616="",0,IF(AND(AE4616&lt;&gt;"직접",IFERROR(INDEX(계정매핑!$G$5:$G$504,MATCH($F4616&amp;"",계정매핑!$A$5:$A$504,0))&amp;"","")="유지비",COUNTIF(계정대체기준!$A$6:$A$15,$N4616)&gt;0),IFERROR(INDEX(계정대체기준!$E$6:$E$15,MATCH(VALUE($A4616&amp;""),계정대체기준!$D$6:$D$15,0)),0),0))</f>
        <v/>
      </c>
      <c r="AH4616" s="64">
        <f>IF($A4616="","",IF(AD4616=0,"",IF(OR(COUNTIF(계정대체기준!$A$77:$A$86,$N4616)&gt;0,ISNUMBER(MATCH($X4616,계정대체기준!$D$77:$D$86,0)),ISNUMBER(MATCH($F4616,계정대체기준!$D$77:$D$86,0))),"Y","N")))</f>
        <v/>
      </c>
    </row>
    <row r="4617">
      <c r="A4617" s="92" t="n">
        <v>2026</v>
      </c>
      <c r="B4617" s="92" t="n">
        <v>9</v>
      </c>
      <c r="C4617" s="92" t="inlineStr">
        <is>
          <t>5100001895</t>
        </is>
      </c>
      <c r="D4617" s="95" t="n">
        <v>46273</v>
      </c>
      <c r="E4617" s="92" t="inlineStr">
        <is>
          <t>KR</t>
        </is>
      </c>
      <c r="F4617" s="92" t="n">
        <v>62601000</v>
      </c>
      <c r="G4617" s="92" t="n">
        <v>1601</v>
      </c>
      <c r="H4617" s="93" t="n">
        <v>3041000</v>
      </c>
      <c r="I4617" s="92" t="inlineStr">
        <is>
          <t>9월 업무추진 - (법인카드)</t>
        </is>
      </c>
      <c r="J4617" s="92" t="inlineStr">
        <is>
          <t>V10010</t>
        </is>
      </c>
      <c r="K4617" s="92" t="inlineStr">
        <is>
          <t>(법인카드)</t>
        </is>
      </c>
      <c r="M4617" s="9">
        <f>IF($A4617="","",VALUE($A4617&amp;"")*12+VALUE($B4617&amp;""))</f>
        <v/>
      </c>
      <c r="N4617" s="64">
        <f>IF($A4617="","",IFERROR(INDEX(부서매핑!$C$5:$C$504,MATCH($G4617&amp;"",부서매핑!$A$5:$A$504,0)),"미매핑"))</f>
        <v/>
      </c>
      <c r="O4617" s="9">
        <f>IF($A4617="","",N4617&amp;"|"&amp;$F4617)</f>
        <v/>
      </c>
      <c r="P4617" s="94">
        <f>IF($A4617="",0,$H4617*설정!$C$23)</f>
        <v/>
      </c>
      <c r="Q4617" s="64">
        <f>IF($A4617="","",IF(O4617&lt;&gt;원인분석!$C$9,"",IF(AND(M4617&gt;=원인분석!$C$10,M4617&lt;=원인분석!$C$11),"당기",IF(AND(M4617&gt;=원인분석!$C$12,M4617&lt;=원인분석!$C$13),"비교",""))))</f>
        <v/>
      </c>
      <c r="R4617" s="9">
        <f>IF(Q4617="","",$K4617&amp;"")</f>
        <v/>
      </c>
      <c r="S4617" s="9">
        <f>IF(Q4617="","",IF(MATCH(R4617,$R$5:$R$100000,0)=ROW()-4,ROW(),""))</f>
        <v/>
      </c>
      <c r="T4617" s="9">
        <f>IF(Q4617="당기",ABS(P4617)+ROW()/1000000000,"")</f>
        <v/>
      </c>
      <c r="U4617" s="9">
        <f>IF(Q4617="비교",ABS(P4617)+ROW()/1000000000,"")</f>
        <v/>
      </c>
      <c r="V4617" s="64">
        <f>IF($A4617="","",IF(COUNTIF(변동분석!$E$7:$E$506,O4617)&gt;0,"Y","N"))</f>
        <v/>
      </c>
      <c r="W4617" s="64">
        <f>IF($A4617="","",IFERROR(INDEX(계정매핑!$D$5:$D$504,MATCH($F4617&amp;"",계정매핑!$A$5:$A$504,0)),"미매핑"))</f>
        <v/>
      </c>
      <c r="X4617" s="9">
        <f>IF($A4617="","",$F4617&amp;"")</f>
        <v/>
      </c>
      <c r="Y4617" s="94">
        <f>IF($A4617="",0,IF(AE4617="직접",IF(AF4617="비귀속",$P4617,0),$P4617*(1-AG4617)*IFERROR(INDEX(계정대체기준!$F$20:$F$49,MATCH($N4617,계정대체기준!$A$20:$A$49,0)),1)))</f>
        <v/>
      </c>
      <c r="Z4617" s="94">
        <f>IF($A4617="",0,IF(AE4617="직접",IF(AF4617="신계약비",$P4617,0),$P4617*(1-AG4617)*IFERROR(INDEX(계정대체기준!$C$20:$C$49,MATCH($N4617,계정대체기준!$A$20:$A$49,0)),0)))</f>
        <v/>
      </c>
      <c r="AA4617" s="94">
        <f>IF($A4617="",0,IF(AE4617="직접",IF(OR(AF4617="유지비",AF4617="손해조사비"),$P4617,0),$P4617*(1-AG4617)*IFERROR(INDEX(계정대체기준!$D$20:$D$49,MATCH($N4617,계정대체기준!$A$20:$A$49,0)),0)))</f>
        <v/>
      </c>
      <c r="AB4617" s="94">
        <f>IF($A4617="",0,IF(AE4617="직접",IF(AF4617="수금비",$P4617,0),$P4617*(1-AG4617)*IFERROR(INDEX(계정대체기준!$E$20:$E$49,MATCH($N4617,계정대체기준!$A$20:$A$49,0)),0)))</f>
        <v/>
      </c>
      <c r="AC4617" s="9">
        <f>IF(AND($A4617&lt;&gt;"",M4617=설정!$C$20,Z4617&gt;0),Z4617+ROW()/1000000000,"")</f>
        <v/>
      </c>
      <c r="AD4617" s="94">
        <f>IF($A4617="",0,$P4617*AG4617)</f>
        <v/>
      </c>
      <c r="AE4617" s="64">
        <f>IF($A4617="","",IFERROR(INDEX(계정매핑!$E$5:$E$504,MATCH($F4617&amp;"",계정매핑!$A$5:$A$504,0))&amp;"","공통비"))</f>
        <v/>
      </c>
      <c r="AF4617" s="64">
        <f>IF($A4617="","",IF(AE4617="직접",IFERROR(INDEX(계정매핑!$F$5:$F$504,MATCH($F4617&amp;"",계정매핑!$A$5:$A$504,0))&amp;"","비귀속"),""))</f>
        <v/>
      </c>
      <c r="AG4617" s="96">
        <f>IF($A4617="",0,IF(AND(AE4617&lt;&gt;"직접",IFERROR(INDEX(계정매핑!$G$5:$G$504,MATCH($F4617&amp;"",계정매핑!$A$5:$A$504,0))&amp;"","")="유지비",COUNTIF(계정대체기준!$A$6:$A$15,$N4617)&gt;0),IFERROR(INDEX(계정대체기준!$E$6:$E$15,MATCH(VALUE($A4617&amp;""),계정대체기준!$D$6:$D$15,0)),0),0))</f>
        <v/>
      </c>
      <c r="AH4617" s="64">
        <f>IF($A4617="","",IF(AD4617=0,"",IF(OR(COUNTIF(계정대체기준!$A$77:$A$86,$N4617)&gt;0,ISNUMBER(MATCH($X4617,계정대체기준!$D$77:$D$86,0)),ISNUMBER(MATCH($F4617,계정대체기준!$D$77:$D$86,0))),"Y","N")))</f>
        <v/>
      </c>
    </row>
    <row r="4618">
      <c r="A4618" s="92" t="n">
        <v>2026</v>
      </c>
      <c r="B4618" s="92" t="n">
        <v>9</v>
      </c>
      <c r="C4618" s="92" t="inlineStr">
        <is>
          <t>5100001896</t>
        </is>
      </c>
      <c r="D4618" s="95" t="n">
        <v>46274</v>
      </c>
      <c r="E4618" s="92" t="inlineStr">
        <is>
          <t>KR</t>
        </is>
      </c>
      <c r="F4618" s="92" t="n">
        <v>62101000</v>
      </c>
      <c r="G4618" s="92" t="n">
        <v>1301</v>
      </c>
      <c r="H4618" s="93" t="n">
        <v>375000</v>
      </c>
      <c r="I4618" s="92" t="inlineStr">
        <is>
          <t>9월 국내출장 - M항공</t>
        </is>
      </c>
      <c r="J4618" s="92" t="inlineStr">
        <is>
          <t>V10001</t>
        </is>
      </c>
      <c r="K4618" s="92" t="inlineStr">
        <is>
          <t>M항공</t>
        </is>
      </c>
      <c r="M4618" s="9">
        <f>IF($A4618="","",VALUE($A4618&amp;"")*12+VALUE($B4618&amp;""))</f>
        <v/>
      </c>
      <c r="N4618" s="64">
        <f>IF($A4618="","",IFERROR(INDEX(부서매핑!$C$5:$C$504,MATCH($G4618&amp;"",부서매핑!$A$5:$A$504,0)),"미매핑"))</f>
        <v/>
      </c>
      <c r="O4618" s="9">
        <f>IF($A4618="","",N4618&amp;"|"&amp;$F4618)</f>
        <v/>
      </c>
      <c r="P4618" s="94">
        <f>IF($A4618="",0,$H4618*설정!$C$23)</f>
        <v/>
      </c>
      <c r="Q4618" s="64">
        <f>IF($A4618="","",IF(O4618&lt;&gt;원인분석!$C$9,"",IF(AND(M4618&gt;=원인분석!$C$10,M4618&lt;=원인분석!$C$11),"당기",IF(AND(M4618&gt;=원인분석!$C$12,M4618&lt;=원인분석!$C$13),"비교",""))))</f>
        <v/>
      </c>
      <c r="R4618" s="9">
        <f>IF(Q4618="","",$K4618&amp;"")</f>
        <v/>
      </c>
      <c r="S4618" s="9">
        <f>IF(Q4618="","",IF(MATCH(R4618,$R$5:$R$100000,0)=ROW()-4,ROW(),""))</f>
        <v/>
      </c>
      <c r="T4618" s="9">
        <f>IF(Q4618="당기",ABS(P4618)+ROW()/1000000000,"")</f>
        <v/>
      </c>
      <c r="U4618" s="9">
        <f>IF(Q4618="비교",ABS(P4618)+ROW()/1000000000,"")</f>
        <v/>
      </c>
      <c r="V4618" s="64">
        <f>IF($A4618="","",IF(COUNTIF(변동분석!$E$7:$E$506,O4618)&gt;0,"Y","N"))</f>
        <v/>
      </c>
      <c r="W4618" s="64">
        <f>IF($A4618="","",IFERROR(INDEX(계정매핑!$D$5:$D$504,MATCH($F4618&amp;"",계정매핑!$A$5:$A$504,0)),"미매핑"))</f>
        <v/>
      </c>
      <c r="X4618" s="9">
        <f>IF($A4618="","",$F4618&amp;"")</f>
        <v/>
      </c>
      <c r="Y4618" s="94">
        <f>IF($A4618="",0,IF(AE4618="직접",IF(AF4618="비귀속",$P4618,0),$P4618*(1-AG4618)*IFERROR(INDEX(계정대체기준!$F$20:$F$49,MATCH($N4618,계정대체기준!$A$20:$A$49,0)),1)))</f>
        <v/>
      </c>
      <c r="Z4618" s="94">
        <f>IF($A4618="",0,IF(AE4618="직접",IF(AF4618="신계약비",$P4618,0),$P4618*(1-AG4618)*IFERROR(INDEX(계정대체기준!$C$20:$C$49,MATCH($N4618,계정대체기준!$A$20:$A$49,0)),0)))</f>
        <v/>
      </c>
      <c r="AA4618" s="94">
        <f>IF($A4618="",0,IF(AE4618="직접",IF(OR(AF4618="유지비",AF4618="손해조사비"),$P4618,0),$P4618*(1-AG4618)*IFERROR(INDEX(계정대체기준!$D$20:$D$49,MATCH($N4618,계정대체기준!$A$20:$A$49,0)),0)))</f>
        <v/>
      </c>
      <c r="AB4618" s="94">
        <f>IF($A4618="",0,IF(AE4618="직접",IF(AF4618="수금비",$P4618,0),$P4618*(1-AG4618)*IFERROR(INDEX(계정대체기준!$E$20:$E$49,MATCH($N4618,계정대체기준!$A$20:$A$49,0)),0)))</f>
        <v/>
      </c>
      <c r="AC4618" s="9">
        <f>IF(AND($A4618&lt;&gt;"",M4618=설정!$C$20,Z4618&gt;0),Z4618+ROW()/1000000000,"")</f>
        <v/>
      </c>
      <c r="AD4618" s="94">
        <f>IF($A4618="",0,$P4618*AG4618)</f>
        <v/>
      </c>
      <c r="AE4618" s="64">
        <f>IF($A4618="","",IFERROR(INDEX(계정매핑!$E$5:$E$504,MATCH($F4618&amp;"",계정매핑!$A$5:$A$504,0))&amp;"","공통비"))</f>
        <v/>
      </c>
      <c r="AF4618" s="64">
        <f>IF($A4618="","",IF(AE4618="직접",IFERROR(INDEX(계정매핑!$F$5:$F$504,MATCH($F4618&amp;"",계정매핑!$A$5:$A$504,0))&amp;"","비귀속"),""))</f>
        <v/>
      </c>
      <c r="AG4618" s="96">
        <f>IF($A4618="",0,IF(AND(AE4618&lt;&gt;"직접",IFERROR(INDEX(계정매핑!$G$5:$G$504,MATCH($F4618&amp;"",계정매핑!$A$5:$A$504,0))&amp;"","")="유지비",COUNTIF(계정대체기준!$A$6:$A$15,$N4618)&gt;0),IFERROR(INDEX(계정대체기준!$E$6:$E$15,MATCH(VALUE($A4618&amp;""),계정대체기준!$D$6:$D$15,0)),0),0))</f>
        <v/>
      </c>
      <c r="AH4618" s="64">
        <f>IF($A4618="","",IF(AD4618=0,"",IF(OR(COUNTIF(계정대체기준!$A$77:$A$86,$N4618)&gt;0,ISNUMBER(MATCH($X4618,계정대체기준!$D$77:$D$86,0)),ISNUMBER(MATCH($F4618,계정대체기준!$D$77:$D$86,0))),"Y","N")))</f>
        <v/>
      </c>
    </row>
    <row r="4619">
      <c r="A4619" s="92" t="n">
        <v>2026</v>
      </c>
      <c r="B4619" s="92" t="n">
        <v>9</v>
      </c>
      <c r="C4619" s="92" t="inlineStr">
        <is>
          <t>5100001897</t>
        </is>
      </c>
      <c r="D4619" s="95" t="n">
        <v>46274</v>
      </c>
      <c r="E4619" s="92" t="inlineStr">
        <is>
          <t>KR</t>
        </is>
      </c>
      <c r="F4619" s="92" t="n">
        <v>62101000</v>
      </c>
      <c r="G4619" s="92" t="n">
        <v>1401</v>
      </c>
      <c r="H4619" s="93" t="n">
        <v>291000</v>
      </c>
      <c r="I4619" s="92" t="inlineStr">
        <is>
          <t>9월 국내출장 - (법인카드)</t>
        </is>
      </c>
      <c r="J4619" s="92" t="inlineStr">
        <is>
          <t>V10010</t>
        </is>
      </c>
      <c r="K4619" s="92" t="inlineStr">
        <is>
          <t>(법인카드)</t>
        </is>
      </c>
      <c r="M4619" s="9">
        <f>IF($A4619="","",VALUE($A4619&amp;"")*12+VALUE($B4619&amp;""))</f>
        <v/>
      </c>
      <c r="N4619" s="64">
        <f>IF($A4619="","",IFERROR(INDEX(부서매핑!$C$5:$C$504,MATCH($G4619&amp;"",부서매핑!$A$5:$A$504,0)),"미매핑"))</f>
        <v/>
      </c>
      <c r="O4619" s="9">
        <f>IF($A4619="","",N4619&amp;"|"&amp;$F4619)</f>
        <v/>
      </c>
      <c r="P4619" s="94">
        <f>IF($A4619="",0,$H4619*설정!$C$23)</f>
        <v/>
      </c>
      <c r="Q4619" s="64">
        <f>IF($A4619="","",IF(O4619&lt;&gt;원인분석!$C$9,"",IF(AND(M4619&gt;=원인분석!$C$10,M4619&lt;=원인분석!$C$11),"당기",IF(AND(M4619&gt;=원인분석!$C$12,M4619&lt;=원인분석!$C$13),"비교",""))))</f>
        <v/>
      </c>
      <c r="R4619" s="9">
        <f>IF(Q4619="","",$K4619&amp;"")</f>
        <v/>
      </c>
      <c r="S4619" s="9">
        <f>IF(Q4619="","",IF(MATCH(R4619,$R$5:$R$100000,0)=ROW()-4,ROW(),""))</f>
        <v/>
      </c>
      <c r="T4619" s="9">
        <f>IF(Q4619="당기",ABS(P4619)+ROW()/1000000000,"")</f>
        <v/>
      </c>
      <c r="U4619" s="9">
        <f>IF(Q4619="비교",ABS(P4619)+ROW()/1000000000,"")</f>
        <v/>
      </c>
      <c r="V4619" s="64">
        <f>IF($A4619="","",IF(COUNTIF(변동분석!$E$7:$E$506,O4619)&gt;0,"Y","N"))</f>
        <v/>
      </c>
      <c r="W4619" s="64">
        <f>IF($A4619="","",IFERROR(INDEX(계정매핑!$D$5:$D$504,MATCH($F4619&amp;"",계정매핑!$A$5:$A$504,0)),"미매핑"))</f>
        <v/>
      </c>
      <c r="X4619" s="9">
        <f>IF($A4619="","",$F4619&amp;"")</f>
        <v/>
      </c>
      <c r="Y4619" s="94">
        <f>IF($A4619="",0,IF(AE4619="직접",IF(AF4619="비귀속",$P4619,0),$P4619*(1-AG4619)*IFERROR(INDEX(계정대체기준!$F$20:$F$49,MATCH($N4619,계정대체기준!$A$20:$A$49,0)),1)))</f>
        <v/>
      </c>
      <c r="Z4619" s="94">
        <f>IF($A4619="",0,IF(AE4619="직접",IF(AF4619="신계약비",$P4619,0),$P4619*(1-AG4619)*IFERROR(INDEX(계정대체기준!$C$20:$C$49,MATCH($N4619,계정대체기준!$A$20:$A$49,0)),0)))</f>
        <v/>
      </c>
      <c r="AA4619" s="94">
        <f>IF($A4619="",0,IF(AE4619="직접",IF(OR(AF4619="유지비",AF4619="손해조사비"),$P4619,0),$P4619*(1-AG4619)*IFERROR(INDEX(계정대체기준!$D$20:$D$49,MATCH($N4619,계정대체기준!$A$20:$A$49,0)),0)))</f>
        <v/>
      </c>
      <c r="AB4619" s="94">
        <f>IF($A4619="",0,IF(AE4619="직접",IF(AF4619="수금비",$P4619,0),$P4619*(1-AG4619)*IFERROR(INDEX(계정대체기준!$E$20:$E$49,MATCH($N4619,계정대체기준!$A$20:$A$49,0)),0)))</f>
        <v/>
      </c>
      <c r="AC4619" s="9">
        <f>IF(AND($A4619&lt;&gt;"",M4619=설정!$C$20,Z4619&gt;0),Z4619+ROW()/1000000000,"")</f>
        <v/>
      </c>
      <c r="AD4619" s="94">
        <f>IF($A4619="",0,$P4619*AG4619)</f>
        <v/>
      </c>
      <c r="AE4619" s="64">
        <f>IF($A4619="","",IFERROR(INDEX(계정매핑!$E$5:$E$504,MATCH($F4619&amp;"",계정매핑!$A$5:$A$504,0))&amp;"","공통비"))</f>
        <v/>
      </c>
      <c r="AF4619" s="64">
        <f>IF($A4619="","",IF(AE4619="직접",IFERROR(INDEX(계정매핑!$F$5:$F$504,MATCH($F4619&amp;"",계정매핑!$A$5:$A$504,0))&amp;"","비귀속"),""))</f>
        <v/>
      </c>
      <c r="AG4619" s="96">
        <f>IF($A4619="",0,IF(AND(AE4619&lt;&gt;"직접",IFERROR(INDEX(계정매핑!$G$5:$G$504,MATCH($F4619&amp;"",계정매핑!$A$5:$A$504,0))&amp;"","")="유지비",COUNTIF(계정대체기준!$A$6:$A$15,$N4619)&gt;0),IFERROR(INDEX(계정대체기준!$E$6:$E$15,MATCH(VALUE($A4619&amp;""),계정대체기준!$D$6:$D$15,0)),0),0))</f>
        <v/>
      </c>
      <c r="AH4619" s="64">
        <f>IF($A4619="","",IF(AD4619=0,"",IF(OR(COUNTIF(계정대체기준!$A$77:$A$86,$N4619)&gt;0,ISNUMBER(MATCH($X4619,계정대체기준!$D$77:$D$86,0)),ISNUMBER(MATCH($F4619,계정대체기준!$D$77:$D$86,0))),"Y","N")))</f>
        <v/>
      </c>
    </row>
    <row r="4620">
      <c r="A4620" s="92" t="n">
        <v>2026</v>
      </c>
      <c r="B4620" s="92" t="n">
        <v>9</v>
      </c>
      <c r="C4620" s="92" t="inlineStr">
        <is>
          <t>5100001898</t>
        </is>
      </c>
      <c r="D4620" s="95" t="n">
        <v>46274</v>
      </c>
      <c r="E4620" s="92" t="inlineStr">
        <is>
          <t>KR</t>
        </is>
      </c>
      <c r="F4620" s="92" t="n">
        <v>62102000</v>
      </c>
      <c r="G4620" s="92" t="n">
        <v>1301</v>
      </c>
      <c r="H4620" s="93" t="n">
        <v>105000</v>
      </c>
      <c r="I4620" s="92" t="inlineStr">
        <is>
          <t>9월 해외출장 - N호텔</t>
        </is>
      </c>
      <c r="J4620" s="92" t="inlineStr">
        <is>
          <t>V10009</t>
        </is>
      </c>
      <c r="K4620" s="92" t="inlineStr">
        <is>
          <t>N호텔</t>
        </is>
      </c>
      <c r="M4620" s="9">
        <f>IF($A4620="","",VALUE($A4620&amp;"")*12+VALUE($B4620&amp;""))</f>
        <v/>
      </c>
      <c r="N4620" s="64">
        <f>IF($A4620="","",IFERROR(INDEX(부서매핑!$C$5:$C$504,MATCH($G4620&amp;"",부서매핑!$A$5:$A$504,0)),"미매핑"))</f>
        <v/>
      </c>
      <c r="O4620" s="9">
        <f>IF($A4620="","",N4620&amp;"|"&amp;$F4620)</f>
        <v/>
      </c>
      <c r="P4620" s="94">
        <f>IF($A4620="",0,$H4620*설정!$C$23)</f>
        <v/>
      </c>
      <c r="Q4620" s="64">
        <f>IF($A4620="","",IF(O4620&lt;&gt;원인분석!$C$9,"",IF(AND(M4620&gt;=원인분석!$C$10,M4620&lt;=원인분석!$C$11),"당기",IF(AND(M4620&gt;=원인분석!$C$12,M4620&lt;=원인분석!$C$13),"비교",""))))</f>
        <v/>
      </c>
      <c r="R4620" s="9">
        <f>IF(Q4620="","",$K4620&amp;"")</f>
        <v/>
      </c>
      <c r="S4620" s="9">
        <f>IF(Q4620="","",IF(MATCH(R4620,$R$5:$R$100000,0)=ROW()-4,ROW(),""))</f>
        <v/>
      </c>
      <c r="T4620" s="9">
        <f>IF(Q4620="당기",ABS(P4620)+ROW()/1000000000,"")</f>
        <v/>
      </c>
      <c r="U4620" s="9">
        <f>IF(Q4620="비교",ABS(P4620)+ROW()/1000000000,"")</f>
        <v/>
      </c>
      <c r="V4620" s="64">
        <f>IF($A4620="","",IF(COUNTIF(변동분석!$E$7:$E$506,O4620)&gt;0,"Y","N"))</f>
        <v/>
      </c>
      <c r="W4620" s="64">
        <f>IF($A4620="","",IFERROR(INDEX(계정매핑!$D$5:$D$504,MATCH($F4620&amp;"",계정매핑!$A$5:$A$504,0)),"미매핑"))</f>
        <v/>
      </c>
      <c r="X4620" s="9">
        <f>IF($A4620="","",$F4620&amp;"")</f>
        <v/>
      </c>
      <c r="Y4620" s="94">
        <f>IF($A4620="",0,IF(AE4620="직접",IF(AF4620="비귀속",$P4620,0),$P4620*(1-AG4620)*IFERROR(INDEX(계정대체기준!$F$20:$F$49,MATCH($N4620,계정대체기준!$A$20:$A$49,0)),1)))</f>
        <v/>
      </c>
      <c r="Z4620" s="94">
        <f>IF($A4620="",0,IF(AE4620="직접",IF(AF4620="신계약비",$P4620,0),$P4620*(1-AG4620)*IFERROR(INDEX(계정대체기준!$C$20:$C$49,MATCH($N4620,계정대체기준!$A$20:$A$49,0)),0)))</f>
        <v/>
      </c>
      <c r="AA4620" s="94">
        <f>IF($A4620="",0,IF(AE4620="직접",IF(OR(AF4620="유지비",AF4620="손해조사비"),$P4620,0),$P4620*(1-AG4620)*IFERROR(INDEX(계정대체기준!$D$20:$D$49,MATCH($N4620,계정대체기준!$A$20:$A$49,0)),0)))</f>
        <v/>
      </c>
      <c r="AB4620" s="94">
        <f>IF($A4620="",0,IF(AE4620="직접",IF(AF4620="수금비",$P4620,0),$P4620*(1-AG4620)*IFERROR(INDEX(계정대체기준!$E$20:$E$49,MATCH($N4620,계정대체기준!$A$20:$A$49,0)),0)))</f>
        <v/>
      </c>
      <c r="AC4620" s="9">
        <f>IF(AND($A4620&lt;&gt;"",M4620=설정!$C$20,Z4620&gt;0),Z4620+ROW()/1000000000,"")</f>
        <v/>
      </c>
      <c r="AD4620" s="94">
        <f>IF($A4620="",0,$P4620*AG4620)</f>
        <v/>
      </c>
      <c r="AE4620" s="64">
        <f>IF($A4620="","",IFERROR(INDEX(계정매핑!$E$5:$E$504,MATCH($F4620&amp;"",계정매핑!$A$5:$A$504,0))&amp;"","공통비"))</f>
        <v/>
      </c>
      <c r="AF4620" s="64">
        <f>IF($A4620="","",IF(AE4620="직접",IFERROR(INDEX(계정매핑!$F$5:$F$504,MATCH($F4620&amp;"",계정매핑!$A$5:$A$504,0))&amp;"","비귀속"),""))</f>
        <v/>
      </c>
      <c r="AG4620" s="96">
        <f>IF($A4620="",0,IF(AND(AE4620&lt;&gt;"직접",IFERROR(INDEX(계정매핑!$G$5:$G$504,MATCH($F4620&amp;"",계정매핑!$A$5:$A$504,0))&amp;"","")="유지비",COUNTIF(계정대체기준!$A$6:$A$15,$N4620)&gt;0),IFERROR(INDEX(계정대체기준!$E$6:$E$15,MATCH(VALUE($A4620&amp;""),계정대체기준!$D$6:$D$15,0)),0),0))</f>
        <v/>
      </c>
      <c r="AH4620" s="64">
        <f>IF($A4620="","",IF(AD4620=0,"",IF(OR(COUNTIF(계정대체기준!$A$77:$A$86,$N4620)&gt;0,ISNUMBER(MATCH($X4620,계정대체기준!$D$77:$D$86,0)),ISNUMBER(MATCH($F4620,계정대체기준!$D$77:$D$86,0))),"Y","N")))</f>
        <v/>
      </c>
    </row>
    <row r="4621">
      <c r="A4621" s="92" t="n">
        <v>2026</v>
      </c>
      <c r="B4621" s="92" t="n">
        <v>9</v>
      </c>
      <c r="C4621" s="92" t="inlineStr">
        <is>
          <t>5100001899</t>
        </is>
      </c>
      <c r="D4621" s="95" t="n">
        <v>46274</v>
      </c>
      <c r="E4621" s="92" t="inlineStr">
        <is>
          <t>KR</t>
        </is>
      </c>
      <c r="F4621" s="92" t="n">
        <v>62102000</v>
      </c>
      <c r="G4621" s="92" t="n">
        <v>1801</v>
      </c>
      <c r="H4621" s="93" t="n">
        <v>51000</v>
      </c>
      <c r="I4621" s="92" t="inlineStr">
        <is>
          <t>9월 해외출장 - N호텔</t>
        </is>
      </c>
      <c r="J4621" s="92" t="inlineStr">
        <is>
          <t>V10009</t>
        </is>
      </c>
      <c r="K4621" s="92" t="inlineStr">
        <is>
          <t>N호텔</t>
        </is>
      </c>
      <c r="M4621" s="9">
        <f>IF($A4621="","",VALUE($A4621&amp;"")*12+VALUE($B4621&amp;""))</f>
        <v/>
      </c>
      <c r="N4621" s="64">
        <f>IF($A4621="","",IFERROR(INDEX(부서매핑!$C$5:$C$504,MATCH($G4621&amp;"",부서매핑!$A$5:$A$504,0)),"미매핑"))</f>
        <v/>
      </c>
      <c r="O4621" s="9">
        <f>IF($A4621="","",N4621&amp;"|"&amp;$F4621)</f>
        <v/>
      </c>
      <c r="P4621" s="94">
        <f>IF($A4621="",0,$H4621*설정!$C$23)</f>
        <v/>
      </c>
      <c r="Q4621" s="64">
        <f>IF($A4621="","",IF(O4621&lt;&gt;원인분석!$C$9,"",IF(AND(M4621&gt;=원인분석!$C$10,M4621&lt;=원인분석!$C$11),"당기",IF(AND(M4621&gt;=원인분석!$C$12,M4621&lt;=원인분석!$C$13),"비교",""))))</f>
        <v/>
      </c>
      <c r="R4621" s="9">
        <f>IF(Q4621="","",$K4621&amp;"")</f>
        <v/>
      </c>
      <c r="S4621" s="9">
        <f>IF(Q4621="","",IF(MATCH(R4621,$R$5:$R$100000,0)=ROW()-4,ROW(),""))</f>
        <v/>
      </c>
      <c r="T4621" s="9">
        <f>IF(Q4621="당기",ABS(P4621)+ROW()/1000000000,"")</f>
        <v/>
      </c>
      <c r="U4621" s="9">
        <f>IF(Q4621="비교",ABS(P4621)+ROW()/1000000000,"")</f>
        <v/>
      </c>
      <c r="V4621" s="64">
        <f>IF($A4621="","",IF(COUNTIF(변동분석!$E$7:$E$506,O4621)&gt;0,"Y","N"))</f>
        <v/>
      </c>
      <c r="W4621" s="64">
        <f>IF($A4621="","",IFERROR(INDEX(계정매핑!$D$5:$D$504,MATCH($F4621&amp;"",계정매핑!$A$5:$A$504,0)),"미매핑"))</f>
        <v/>
      </c>
      <c r="X4621" s="9">
        <f>IF($A4621="","",$F4621&amp;"")</f>
        <v/>
      </c>
      <c r="Y4621" s="94">
        <f>IF($A4621="",0,IF(AE4621="직접",IF(AF4621="비귀속",$P4621,0),$P4621*(1-AG4621)*IFERROR(INDEX(계정대체기준!$F$20:$F$49,MATCH($N4621,계정대체기준!$A$20:$A$49,0)),1)))</f>
        <v/>
      </c>
      <c r="Z4621" s="94">
        <f>IF($A4621="",0,IF(AE4621="직접",IF(AF4621="신계약비",$P4621,0),$P4621*(1-AG4621)*IFERROR(INDEX(계정대체기준!$C$20:$C$49,MATCH($N4621,계정대체기준!$A$20:$A$49,0)),0)))</f>
        <v/>
      </c>
      <c r="AA4621" s="94">
        <f>IF($A4621="",0,IF(AE4621="직접",IF(OR(AF4621="유지비",AF4621="손해조사비"),$P4621,0),$P4621*(1-AG4621)*IFERROR(INDEX(계정대체기준!$D$20:$D$49,MATCH($N4621,계정대체기준!$A$20:$A$49,0)),0)))</f>
        <v/>
      </c>
      <c r="AB4621" s="94">
        <f>IF($A4621="",0,IF(AE4621="직접",IF(AF4621="수금비",$P4621,0),$P4621*(1-AG4621)*IFERROR(INDEX(계정대체기준!$E$20:$E$49,MATCH($N4621,계정대체기준!$A$20:$A$49,0)),0)))</f>
        <v/>
      </c>
      <c r="AC4621" s="9">
        <f>IF(AND($A4621&lt;&gt;"",M4621=설정!$C$20,Z4621&gt;0),Z4621+ROW()/1000000000,"")</f>
        <v/>
      </c>
      <c r="AD4621" s="94">
        <f>IF($A4621="",0,$P4621*AG4621)</f>
        <v/>
      </c>
      <c r="AE4621" s="64">
        <f>IF($A4621="","",IFERROR(INDEX(계정매핑!$E$5:$E$504,MATCH($F4621&amp;"",계정매핑!$A$5:$A$504,0))&amp;"","공통비"))</f>
        <v/>
      </c>
      <c r="AF4621" s="64">
        <f>IF($A4621="","",IF(AE4621="직접",IFERROR(INDEX(계정매핑!$F$5:$F$504,MATCH($F4621&amp;"",계정매핑!$A$5:$A$504,0))&amp;"","비귀속"),""))</f>
        <v/>
      </c>
      <c r="AG4621" s="96">
        <f>IF($A4621="",0,IF(AND(AE4621&lt;&gt;"직접",IFERROR(INDEX(계정매핑!$G$5:$G$504,MATCH($F4621&amp;"",계정매핑!$A$5:$A$504,0))&amp;"","")="유지비",COUNTIF(계정대체기준!$A$6:$A$15,$N4621)&gt;0),IFERROR(INDEX(계정대체기준!$E$6:$E$15,MATCH(VALUE($A4621&amp;""),계정대체기준!$D$6:$D$15,0)),0),0))</f>
        <v/>
      </c>
      <c r="AH4621" s="64">
        <f>IF($A4621="","",IF(AD4621=0,"",IF(OR(COUNTIF(계정대체기준!$A$77:$A$86,$N4621)&gt;0,ISNUMBER(MATCH($X4621,계정대체기준!$D$77:$D$86,0)),ISNUMBER(MATCH($F4621,계정대체기준!$D$77:$D$86,0))),"Y","N")))</f>
        <v/>
      </c>
    </row>
    <row r="4622">
      <c r="A4622" s="92" t="n">
        <v>2026</v>
      </c>
      <c r="B4622" s="92" t="n">
        <v>9</v>
      </c>
      <c r="C4622" s="92" t="inlineStr">
        <is>
          <t>5100001900</t>
        </is>
      </c>
      <c r="D4622" s="95" t="n">
        <v>46274</v>
      </c>
      <c r="E4622" s="92" t="inlineStr">
        <is>
          <t>KR</t>
        </is>
      </c>
      <c r="F4622" s="92" t="n">
        <v>62201000</v>
      </c>
      <c r="G4622" s="92" t="n">
        <v>1401</v>
      </c>
      <c r="H4622" s="93" t="n">
        <v>254000</v>
      </c>
      <c r="I4622" s="92" t="inlineStr">
        <is>
          <t>9월 통신요금 - P통신</t>
        </is>
      </c>
      <c r="J4622" s="92" t="inlineStr">
        <is>
          <t>V10014</t>
        </is>
      </c>
      <c r="K4622" s="92" t="inlineStr">
        <is>
          <t>P통신</t>
        </is>
      </c>
      <c r="M4622" s="9">
        <f>IF($A4622="","",VALUE($A4622&amp;"")*12+VALUE($B4622&amp;""))</f>
        <v/>
      </c>
      <c r="N4622" s="64">
        <f>IF($A4622="","",IFERROR(INDEX(부서매핑!$C$5:$C$504,MATCH($G4622&amp;"",부서매핑!$A$5:$A$504,0)),"미매핑"))</f>
        <v/>
      </c>
      <c r="O4622" s="9">
        <f>IF($A4622="","",N4622&amp;"|"&amp;$F4622)</f>
        <v/>
      </c>
      <c r="P4622" s="94">
        <f>IF($A4622="",0,$H4622*설정!$C$23)</f>
        <v/>
      </c>
      <c r="Q4622" s="64">
        <f>IF($A4622="","",IF(O4622&lt;&gt;원인분석!$C$9,"",IF(AND(M4622&gt;=원인분석!$C$10,M4622&lt;=원인분석!$C$11),"당기",IF(AND(M4622&gt;=원인분석!$C$12,M4622&lt;=원인분석!$C$13),"비교",""))))</f>
        <v/>
      </c>
      <c r="R4622" s="9">
        <f>IF(Q4622="","",$K4622&amp;"")</f>
        <v/>
      </c>
      <c r="S4622" s="9">
        <f>IF(Q4622="","",IF(MATCH(R4622,$R$5:$R$100000,0)=ROW()-4,ROW(),""))</f>
        <v/>
      </c>
      <c r="T4622" s="9">
        <f>IF(Q4622="당기",ABS(P4622)+ROW()/1000000000,"")</f>
        <v/>
      </c>
      <c r="U4622" s="9">
        <f>IF(Q4622="비교",ABS(P4622)+ROW()/1000000000,"")</f>
        <v/>
      </c>
      <c r="V4622" s="64">
        <f>IF($A4622="","",IF(COUNTIF(변동분석!$E$7:$E$506,O4622)&gt;0,"Y","N"))</f>
        <v/>
      </c>
      <c r="W4622" s="64">
        <f>IF($A4622="","",IFERROR(INDEX(계정매핑!$D$5:$D$504,MATCH($F4622&amp;"",계정매핑!$A$5:$A$504,0)),"미매핑"))</f>
        <v/>
      </c>
      <c r="X4622" s="9">
        <f>IF($A4622="","",$F4622&amp;"")</f>
        <v/>
      </c>
      <c r="Y4622" s="94">
        <f>IF($A4622="",0,IF(AE4622="직접",IF(AF4622="비귀속",$P4622,0),$P4622*(1-AG4622)*IFERROR(INDEX(계정대체기준!$F$20:$F$49,MATCH($N4622,계정대체기준!$A$20:$A$49,0)),1)))</f>
        <v/>
      </c>
      <c r="Z4622" s="94">
        <f>IF($A4622="",0,IF(AE4622="직접",IF(AF4622="신계약비",$P4622,0),$P4622*(1-AG4622)*IFERROR(INDEX(계정대체기준!$C$20:$C$49,MATCH($N4622,계정대체기준!$A$20:$A$49,0)),0)))</f>
        <v/>
      </c>
      <c r="AA4622" s="94">
        <f>IF($A4622="",0,IF(AE4622="직접",IF(OR(AF4622="유지비",AF4622="손해조사비"),$P4622,0),$P4622*(1-AG4622)*IFERROR(INDEX(계정대체기준!$D$20:$D$49,MATCH($N4622,계정대체기준!$A$20:$A$49,0)),0)))</f>
        <v/>
      </c>
      <c r="AB4622" s="94">
        <f>IF($A4622="",0,IF(AE4622="직접",IF(AF4622="수금비",$P4622,0),$P4622*(1-AG4622)*IFERROR(INDEX(계정대체기준!$E$20:$E$49,MATCH($N4622,계정대체기준!$A$20:$A$49,0)),0)))</f>
        <v/>
      </c>
      <c r="AC4622" s="9">
        <f>IF(AND($A4622&lt;&gt;"",M4622=설정!$C$20,Z4622&gt;0),Z4622+ROW()/1000000000,"")</f>
        <v/>
      </c>
      <c r="AD4622" s="94">
        <f>IF($A4622="",0,$P4622*AG4622)</f>
        <v/>
      </c>
      <c r="AE4622" s="64">
        <f>IF($A4622="","",IFERROR(INDEX(계정매핑!$E$5:$E$504,MATCH($F4622&amp;"",계정매핑!$A$5:$A$504,0))&amp;"","공통비"))</f>
        <v/>
      </c>
      <c r="AF4622" s="64">
        <f>IF($A4622="","",IF(AE4622="직접",IFERROR(INDEX(계정매핑!$F$5:$F$504,MATCH($F4622&amp;"",계정매핑!$A$5:$A$504,0))&amp;"","비귀속"),""))</f>
        <v/>
      </c>
      <c r="AG4622" s="96">
        <f>IF($A4622="",0,IF(AND(AE4622&lt;&gt;"직접",IFERROR(INDEX(계정매핑!$G$5:$G$504,MATCH($F4622&amp;"",계정매핑!$A$5:$A$504,0))&amp;"","")="유지비",COUNTIF(계정대체기준!$A$6:$A$15,$N4622)&gt;0),IFERROR(INDEX(계정대체기준!$E$6:$E$15,MATCH(VALUE($A4622&amp;""),계정대체기준!$D$6:$D$15,0)),0),0))</f>
        <v/>
      </c>
      <c r="AH4622" s="64">
        <f>IF($A4622="","",IF(AD4622=0,"",IF(OR(COUNTIF(계정대체기준!$A$77:$A$86,$N4622)&gt;0,ISNUMBER(MATCH($X4622,계정대체기준!$D$77:$D$86,0)),ISNUMBER(MATCH($F4622,계정대체기준!$D$77:$D$86,0))),"Y","N")))</f>
        <v/>
      </c>
    </row>
    <row r="4623">
      <c r="A4623" s="92" t="n">
        <v>2026</v>
      </c>
      <c r="B4623" s="92" t="n">
        <v>9</v>
      </c>
      <c r="C4623" s="92" t="inlineStr">
        <is>
          <t>5100001901</t>
        </is>
      </c>
      <c r="D4623" s="95" t="n">
        <v>46274</v>
      </c>
      <c r="E4623" s="92" t="inlineStr">
        <is>
          <t>KR</t>
        </is>
      </c>
      <c r="F4623" s="92" t="n">
        <v>62201000</v>
      </c>
      <c r="G4623" s="92" t="n">
        <v>1801</v>
      </c>
      <c r="H4623" s="93" t="n">
        <v>4040000</v>
      </c>
      <c r="I4623" s="92" t="inlineStr">
        <is>
          <t>9월 통신요금 - O텔레콤</t>
        </is>
      </c>
      <c r="J4623" s="92" t="inlineStr">
        <is>
          <t>V10002</t>
        </is>
      </c>
      <c r="K4623" s="92" t="inlineStr">
        <is>
          <t>O텔레콤</t>
        </is>
      </c>
      <c r="M4623" s="9">
        <f>IF($A4623="","",VALUE($A4623&amp;"")*12+VALUE($B4623&amp;""))</f>
        <v/>
      </c>
      <c r="N4623" s="64">
        <f>IF($A4623="","",IFERROR(INDEX(부서매핑!$C$5:$C$504,MATCH($G4623&amp;"",부서매핑!$A$5:$A$504,0)),"미매핑"))</f>
        <v/>
      </c>
      <c r="O4623" s="9">
        <f>IF($A4623="","",N4623&amp;"|"&amp;$F4623)</f>
        <v/>
      </c>
      <c r="P4623" s="94">
        <f>IF($A4623="",0,$H4623*설정!$C$23)</f>
        <v/>
      </c>
      <c r="Q4623" s="64">
        <f>IF($A4623="","",IF(O4623&lt;&gt;원인분석!$C$9,"",IF(AND(M4623&gt;=원인분석!$C$10,M4623&lt;=원인분석!$C$11),"당기",IF(AND(M4623&gt;=원인분석!$C$12,M4623&lt;=원인분석!$C$13),"비교",""))))</f>
        <v/>
      </c>
      <c r="R4623" s="9">
        <f>IF(Q4623="","",$K4623&amp;"")</f>
        <v/>
      </c>
      <c r="S4623" s="9">
        <f>IF(Q4623="","",IF(MATCH(R4623,$R$5:$R$100000,0)=ROW()-4,ROW(),""))</f>
        <v/>
      </c>
      <c r="T4623" s="9">
        <f>IF(Q4623="당기",ABS(P4623)+ROW()/1000000000,"")</f>
        <v/>
      </c>
      <c r="U4623" s="9">
        <f>IF(Q4623="비교",ABS(P4623)+ROW()/1000000000,"")</f>
        <v/>
      </c>
      <c r="V4623" s="64">
        <f>IF($A4623="","",IF(COUNTIF(변동분석!$E$7:$E$506,O4623)&gt;0,"Y","N"))</f>
        <v/>
      </c>
      <c r="W4623" s="64">
        <f>IF($A4623="","",IFERROR(INDEX(계정매핑!$D$5:$D$504,MATCH($F4623&amp;"",계정매핑!$A$5:$A$504,0)),"미매핑"))</f>
        <v/>
      </c>
      <c r="X4623" s="9">
        <f>IF($A4623="","",$F4623&amp;"")</f>
        <v/>
      </c>
      <c r="Y4623" s="94">
        <f>IF($A4623="",0,IF(AE4623="직접",IF(AF4623="비귀속",$P4623,0),$P4623*(1-AG4623)*IFERROR(INDEX(계정대체기준!$F$20:$F$49,MATCH($N4623,계정대체기준!$A$20:$A$49,0)),1)))</f>
        <v/>
      </c>
      <c r="Z4623" s="94">
        <f>IF($A4623="",0,IF(AE4623="직접",IF(AF4623="신계약비",$P4623,0),$P4623*(1-AG4623)*IFERROR(INDEX(계정대체기준!$C$20:$C$49,MATCH($N4623,계정대체기준!$A$20:$A$49,0)),0)))</f>
        <v/>
      </c>
      <c r="AA4623" s="94">
        <f>IF($A4623="",0,IF(AE4623="직접",IF(OR(AF4623="유지비",AF4623="손해조사비"),$P4623,0),$P4623*(1-AG4623)*IFERROR(INDEX(계정대체기준!$D$20:$D$49,MATCH($N4623,계정대체기준!$A$20:$A$49,0)),0)))</f>
        <v/>
      </c>
      <c r="AB4623" s="94">
        <f>IF($A4623="",0,IF(AE4623="직접",IF(AF4623="수금비",$P4623,0),$P4623*(1-AG4623)*IFERROR(INDEX(계정대체기준!$E$20:$E$49,MATCH($N4623,계정대체기준!$A$20:$A$49,0)),0)))</f>
        <v/>
      </c>
      <c r="AC4623" s="9">
        <f>IF(AND($A4623&lt;&gt;"",M4623=설정!$C$20,Z4623&gt;0),Z4623+ROW()/1000000000,"")</f>
        <v/>
      </c>
      <c r="AD4623" s="94">
        <f>IF($A4623="",0,$P4623*AG4623)</f>
        <v/>
      </c>
      <c r="AE4623" s="64">
        <f>IF($A4623="","",IFERROR(INDEX(계정매핑!$E$5:$E$504,MATCH($F4623&amp;"",계정매핑!$A$5:$A$504,0))&amp;"","공통비"))</f>
        <v/>
      </c>
      <c r="AF4623" s="64">
        <f>IF($A4623="","",IF(AE4623="직접",IFERROR(INDEX(계정매핑!$F$5:$F$504,MATCH($F4623&amp;"",계정매핑!$A$5:$A$504,0))&amp;"","비귀속"),""))</f>
        <v/>
      </c>
      <c r="AG4623" s="96">
        <f>IF($A4623="",0,IF(AND(AE4623&lt;&gt;"직접",IFERROR(INDEX(계정매핑!$G$5:$G$504,MATCH($F4623&amp;"",계정매핑!$A$5:$A$504,0))&amp;"","")="유지비",COUNTIF(계정대체기준!$A$6:$A$15,$N4623)&gt;0),IFERROR(INDEX(계정대체기준!$E$6:$E$15,MATCH(VALUE($A4623&amp;""),계정대체기준!$D$6:$D$15,0)),0),0))</f>
        <v/>
      </c>
      <c r="AH4623" s="64">
        <f>IF($A4623="","",IF(AD4623=0,"",IF(OR(COUNTIF(계정대체기준!$A$77:$A$86,$N4623)&gt;0,ISNUMBER(MATCH($X4623,계정대체기준!$D$77:$D$86,0)),ISNUMBER(MATCH($F4623,계정대체기준!$D$77:$D$86,0))),"Y","N")))</f>
        <v/>
      </c>
    </row>
    <row r="4624">
      <c r="A4624" s="92" t="n">
        <v>2026</v>
      </c>
      <c r="B4624" s="92" t="n">
        <v>9</v>
      </c>
      <c r="C4624" s="92" t="inlineStr">
        <is>
          <t>5100001902</t>
        </is>
      </c>
      <c r="D4624" s="95" t="n">
        <v>46274</v>
      </c>
      <c r="E4624" s="92" t="inlineStr">
        <is>
          <t>KR</t>
        </is>
      </c>
      <c r="F4624" s="92" t="n">
        <v>62701000</v>
      </c>
      <c r="G4624" s="92" t="n">
        <v>1501</v>
      </c>
      <c r="H4624" s="93" t="n">
        <v>46136000</v>
      </c>
      <c r="I4624" s="92" t="inlineStr">
        <is>
          <t>9월 광고 집행 - E미디어</t>
        </is>
      </c>
      <c r="J4624" s="92" t="inlineStr">
        <is>
          <t>V10033</t>
        </is>
      </c>
      <c r="K4624" s="92" t="inlineStr">
        <is>
          <t>E미디어</t>
        </is>
      </c>
      <c r="M4624" s="9">
        <f>IF($A4624="","",VALUE($A4624&amp;"")*12+VALUE($B4624&amp;""))</f>
        <v/>
      </c>
      <c r="N4624" s="64">
        <f>IF($A4624="","",IFERROR(INDEX(부서매핑!$C$5:$C$504,MATCH($G4624&amp;"",부서매핑!$A$5:$A$504,0)),"미매핑"))</f>
        <v/>
      </c>
      <c r="O4624" s="9">
        <f>IF($A4624="","",N4624&amp;"|"&amp;$F4624)</f>
        <v/>
      </c>
      <c r="P4624" s="94">
        <f>IF($A4624="",0,$H4624*설정!$C$23)</f>
        <v/>
      </c>
      <c r="Q4624" s="64">
        <f>IF($A4624="","",IF(O4624&lt;&gt;원인분석!$C$9,"",IF(AND(M4624&gt;=원인분석!$C$10,M4624&lt;=원인분석!$C$11),"당기",IF(AND(M4624&gt;=원인분석!$C$12,M4624&lt;=원인분석!$C$13),"비교",""))))</f>
        <v/>
      </c>
      <c r="R4624" s="9">
        <f>IF(Q4624="","",$K4624&amp;"")</f>
        <v/>
      </c>
      <c r="S4624" s="9">
        <f>IF(Q4624="","",IF(MATCH(R4624,$R$5:$R$100000,0)=ROW()-4,ROW(),""))</f>
        <v/>
      </c>
      <c r="T4624" s="9">
        <f>IF(Q4624="당기",ABS(P4624)+ROW()/1000000000,"")</f>
        <v/>
      </c>
      <c r="U4624" s="9">
        <f>IF(Q4624="비교",ABS(P4624)+ROW()/1000000000,"")</f>
        <v/>
      </c>
      <c r="V4624" s="64">
        <f>IF($A4624="","",IF(COUNTIF(변동분석!$E$7:$E$506,O4624)&gt;0,"Y","N"))</f>
        <v/>
      </c>
      <c r="W4624" s="64">
        <f>IF($A4624="","",IFERROR(INDEX(계정매핑!$D$5:$D$504,MATCH($F4624&amp;"",계정매핑!$A$5:$A$504,0)),"미매핑"))</f>
        <v/>
      </c>
      <c r="X4624" s="9">
        <f>IF($A4624="","",$F4624&amp;"")</f>
        <v/>
      </c>
      <c r="Y4624" s="94">
        <f>IF($A4624="",0,IF(AE4624="직접",IF(AF4624="비귀속",$P4624,0),$P4624*(1-AG4624)*IFERROR(INDEX(계정대체기준!$F$20:$F$49,MATCH($N4624,계정대체기준!$A$20:$A$49,0)),1)))</f>
        <v/>
      </c>
      <c r="Z4624" s="94">
        <f>IF($A4624="",0,IF(AE4624="직접",IF(AF4624="신계약비",$P4624,0),$P4624*(1-AG4624)*IFERROR(INDEX(계정대체기준!$C$20:$C$49,MATCH($N4624,계정대체기준!$A$20:$A$49,0)),0)))</f>
        <v/>
      </c>
      <c r="AA4624" s="94">
        <f>IF($A4624="",0,IF(AE4624="직접",IF(OR(AF4624="유지비",AF4624="손해조사비"),$P4624,0),$P4624*(1-AG4624)*IFERROR(INDEX(계정대체기준!$D$20:$D$49,MATCH($N4624,계정대체기준!$A$20:$A$49,0)),0)))</f>
        <v/>
      </c>
      <c r="AB4624" s="94">
        <f>IF($A4624="",0,IF(AE4624="직접",IF(AF4624="수금비",$P4624,0),$P4624*(1-AG4624)*IFERROR(INDEX(계정대체기준!$E$20:$E$49,MATCH($N4624,계정대체기준!$A$20:$A$49,0)),0)))</f>
        <v/>
      </c>
      <c r="AC4624" s="9">
        <f>IF(AND($A4624&lt;&gt;"",M4624=설정!$C$20,Z4624&gt;0),Z4624+ROW()/1000000000,"")</f>
        <v/>
      </c>
      <c r="AD4624" s="94">
        <f>IF($A4624="",0,$P4624*AG4624)</f>
        <v/>
      </c>
      <c r="AE4624" s="64">
        <f>IF($A4624="","",IFERROR(INDEX(계정매핑!$E$5:$E$504,MATCH($F4624&amp;"",계정매핑!$A$5:$A$504,0))&amp;"","공통비"))</f>
        <v/>
      </c>
      <c r="AF4624" s="64">
        <f>IF($A4624="","",IF(AE4624="직접",IFERROR(INDEX(계정매핑!$F$5:$F$504,MATCH($F4624&amp;"",계정매핑!$A$5:$A$504,0))&amp;"","비귀속"),""))</f>
        <v/>
      </c>
      <c r="AG4624" s="96">
        <f>IF($A4624="",0,IF(AND(AE4624&lt;&gt;"직접",IFERROR(INDEX(계정매핑!$G$5:$G$504,MATCH($F4624&amp;"",계정매핑!$A$5:$A$504,0))&amp;"","")="유지비",COUNTIF(계정대체기준!$A$6:$A$15,$N4624)&gt;0),IFERROR(INDEX(계정대체기준!$E$6:$E$15,MATCH(VALUE($A4624&amp;""),계정대체기준!$D$6:$D$15,0)),0),0))</f>
        <v/>
      </c>
      <c r="AH4624" s="64">
        <f>IF($A4624="","",IF(AD4624=0,"",IF(OR(COUNTIF(계정대체기준!$A$77:$A$86,$N4624)&gt;0,ISNUMBER(MATCH($X4624,계정대체기준!$D$77:$D$86,0)),ISNUMBER(MATCH($F4624,계정대체기준!$D$77:$D$86,0))),"Y","N")))</f>
        <v/>
      </c>
    </row>
    <row r="4625">
      <c r="A4625" s="92" t="n">
        <v>2026</v>
      </c>
      <c r="B4625" s="92" t="n">
        <v>9</v>
      </c>
      <c r="C4625" s="92" t="inlineStr">
        <is>
          <t>5100001903</t>
        </is>
      </c>
      <c r="D4625" s="95" t="n">
        <v>46274</v>
      </c>
      <c r="E4625" s="92" t="inlineStr">
        <is>
          <t>KR</t>
        </is>
      </c>
      <c r="F4625" s="92" t="n">
        <v>62901000</v>
      </c>
      <c r="G4625" s="92" t="n">
        <v>1401</v>
      </c>
      <c r="H4625" s="93" t="n">
        <v>7761000</v>
      </c>
      <c r="I4625" s="92" t="inlineStr">
        <is>
          <t>9월 자문 수수료 - K회계법인</t>
        </is>
      </c>
      <c r="J4625" s="92" t="inlineStr">
        <is>
          <t>V10011</t>
        </is>
      </c>
      <c r="K4625" s="92" t="inlineStr">
        <is>
          <t>K회계법인</t>
        </is>
      </c>
      <c r="M4625" s="9">
        <f>IF($A4625="","",VALUE($A4625&amp;"")*12+VALUE($B4625&amp;""))</f>
        <v/>
      </c>
      <c r="N4625" s="64">
        <f>IF($A4625="","",IFERROR(INDEX(부서매핑!$C$5:$C$504,MATCH($G4625&amp;"",부서매핑!$A$5:$A$504,0)),"미매핑"))</f>
        <v/>
      </c>
      <c r="O4625" s="9">
        <f>IF($A4625="","",N4625&amp;"|"&amp;$F4625)</f>
        <v/>
      </c>
      <c r="P4625" s="94">
        <f>IF($A4625="",0,$H4625*설정!$C$23)</f>
        <v/>
      </c>
      <c r="Q4625" s="64">
        <f>IF($A4625="","",IF(O4625&lt;&gt;원인분석!$C$9,"",IF(AND(M4625&gt;=원인분석!$C$10,M4625&lt;=원인분석!$C$11),"당기",IF(AND(M4625&gt;=원인분석!$C$12,M4625&lt;=원인분석!$C$13),"비교",""))))</f>
        <v/>
      </c>
      <c r="R4625" s="9">
        <f>IF(Q4625="","",$K4625&amp;"")</f>
        <v/>
      </c>
      <c r="S4625" s="9">
        <f>IF(Q4625="","",IF(MATCH(R4625,$R$5:$R$100000,0)=ROW()-4,ROW(),""))</f>
        <v/>
      </c>
      <c r="T4625" s="9">
        <f>IF(Q4625="당기",ABS(P4625)+ROW()/1000000000,"")</f>
        <v/>
      </c>
      <c r="U4625" s="9">
        <f>IF(Q4625="비교",ABS(P4625)+ROW()/1000000000,"")</f>
        <v/>
      </c>
      <c r="V4625" s="64">
        <f>IF($A4625="","",IF(COUNTIF(변동분석!$E$7:$E$506,O4625)&gt;0,"Y","N"))</f>
        <v/>
      </c>
      <c r="W4625" s="64">
        <f>IF($A4625="","",IFERROR(INDEX(계정매핑!$D$5:$D$504,MATCH($F4625&amp;"",계정매핑!$A$5:$A$504,0)),"미매핑"))</f>
        <v/>
      </c>
      <c r="X4625" s="9">
        <f>IF($A4625="","",$F4625&amp;"")</f>
        <v/>
      </c>
      <c r="Y4625" s="94">
        <f>IF($A4625="",0,IF(AE4625="직접",IF(AF4625="비귀속",$P4625,0),$P4625*(1-AG4625)*IFERROR(INDEX(계정대체기준!$F$20:$F$49,MATCH($N4625,계정대체기준!$A$20:$A$49,0)),1)))</f>
        <v/>
      </c>
      <c r="Z4625" s="94">
        <f>IF($A4625="",0,IF(AE4625="직접",IF(AF4625="신계약비",$P4625,0),$P4625*(1-AG4625)*IFERROR(INDEX(계정대체기준!$C$20:$C$49,MATCH($N4625,계정대체기준!$A$20:$A$49,0)),0)))</f>
        <v/>
      </c>
      <c r="AA4625" s="94">
        <f>IF($A4625="",0,IF(AE4625="직접",IF(OR(AF4625="유지비",AF4625="손해조사비"),$P4625,0),$P4625*(1-AG4625)*IFERROR(INDEX(계정대체기준!$D$20:$D$49,MATCH($N4625,계정대체기준!$A$20:$A$49,0)),0)))</f>
        <v/>
      </c>
      <c r="AB4625" s="94">
        <f>IF($A4625="",0,IF(AE4625="직접",IF(AF4625="수금비",$P4625,0),$P4625*(1-AG4625)*IFERROR(INDEX(계정대체기준!$E$20:$E$49,MATCH($N4625,계정대체기준!$A$20:$A$49,0)),0)))</f>
        <v/>
      </c>
      <c r="AC4625" s="9">
        <f>IF(AND($A4625&lt;&gt;"",M4625=설정!$C$20,Z4625&gt;0),Z4625+ROW()/1000000000,"")</f>
        <v/>
      </c>
      <c r="AD4625" s="94">
        <f>IF($A4625="",0,$P4625*AG4625)</f>
        <v/>
      </c>
      <c r="AE4625" s="64">
        <f>IF($A4625="","",IFERROR(INDEX(계정매핑!$E$5:$E$504,MATCH($F4625&amp;"",계정매핑!$A$5:$A$504,0))&amp;"","공통비"))</f>
        <v/>
      </c>
      <c r="AF4625" s="64">
        <f>IF($A4625="","",IF(AE4625="직접",IFERROR(INDEX(계정매핑!$F$5:$F$504,MATCH($F4625&amp;"",계정매핑!$A$5:$A$504,0))&amp;"","비귀속"),""))</f>
        <v/>
      </c>
      <c r="AG4625" s="96">
        <f>IF($A4625="",0,IF(AND(AE4625&lt;&gt;"직접",IFERROR(INDEX(계정매핑!$G$5:$G$504,MATCH($F4625&amp;"",계정매핑!$A$5:$A$504,0))&amp;"","")="유지비",COUNTIF(계정대체기준!$A$6:$A$15,$N4625)&gt;0),IFERROR(INDEX(계정대체기준!$E$6:$E$15,MATCH(VALUE($A4625&amp;""),계정대체기준!$D$6:$D$15,0)),0),0))</f>
        <v/>
      </c>
      <c r="AH4625" s="64">
        <f>IF($A4625="","",IF(AD4625=0,"",IF(OR(COUNTIF(계정대체기준!$A$77:$A$86,$N4625)&gt;0,ISNUMBER(MATCH($X4625,계정대체기준!$D$77:$D$86,0)),ISNUMBER(MATCH($F4625,계정대체기준!$D$77:$D$86,0))),"Y","N")))</f>
        <v/>
      </c>
    </row>
    <row r="4626">
      <c r="A4626" s="92" t="n">
        <v>2026</v>
      </c>
      <c r="B4626" s="92" t="n">
        <v>9</v>
      </c>
      <c r="C4626" s="92" t="inlineStr">
        <is>
          <t>5100001904</t>
        </is>
      </c>
      <c r="D4626" s="95" t="n">
        <v>46275</v>
      </c>
      <c r="E4626" s="92" t="inlineStr">
        <is>
          <t>KR</t>
        </is>
      </c>
      <c r="F4626" s="92" t="n">
        <v>62101000</v>
      </c>
      <c r="G4626" s="92" t="n">
        <v>1401</v>
      </c>
      <c r="H4626" s="93" t="n">
        <v>379000</v>
      </c>
      <c r="I4626" s="92" t="inlineStr">
        <is>
          <t>9월 국내출장 - L여행사</t>
        </is>
      </c>
      <c r="J4626" s="92" t="inlineStr">
        <is>
          <t>V10018</t>
        </is>
      </c>
      <c r="K4626" s="92" t="inlineStr">
        <is>
          <t>L여행사</t>
        </is>
      </c>
      <c r="M4626" s="9">
        <f>IF($A4626="","",VALUE($A4626&amp;"")*12+VALUE($B4626&amp;""))</f>
        <v/>
      </c>
      <c r="N4626" s="64">
        <f>IF($A4626="","",IFERROR(INDEX(부서매핑!$C$5:$C$504,MATCH($G4626&amp;"",부서매핑!$A$5:$A$504,0)),"미매핑"))</f>
        <v/>
      </c>
      <c r="O4626" s="9">
        <f>IF($A4626="","",N4626&amp;"|"&amp;$F4626)</f>
        <v/>
      </c>
      <c r="P4626" s="94">
        <f>IF($A4626="",0,$H4626*설정!$C$23)</f>
        <v/>
      </c>
      <c r="Q4626" s="64">
        <f>IF($A4626="","",IF(O4626&lt;&gt;원인분석!$C$9,"",IF(AND(M4626&gt;=원인분석!$C$10,M4626&lt;=원인분석!$C$11),"당기",IF(AND(M4626&gt;=원인분석!$C$12,M4626&lt;=원인분석!$C$13),"비교",""))))</f>
        <v/>
      </c>
      <c r="R4626" s="9">
        <f>IF(Q4626="","",$K4626&amp;"")</f>
        <v/>
      </c>
      <c r="S4626" s="9">
        <f>IF(Q4626="","",IF(MATCH(R4626,$R$5:$R$100000,0)=ROW()-4,ROW(),""))</f>
        <v/>
      </c>
      <c r="T4626" s="9">
        <f>IF(Q4626="당기",ABS(P4626)+ROW()/1000000000,"")</f>
        <v/>
      </c>
      <c r="U4626" s="9">
        <f>IF(Q4626="비교",ABS(P4626)+ROW()/1000000000,"")</f>
        <v/>
      </c>
      <c r="V4626" s="64">
        <f>IF($A4626="","",IF(COUNTIF(변동분석!$E$7:$E$506,O4626)&gt;0,"Y","N"))</f>
        <v/>
      </c>
      <c r="W4626" s="64">
        <f>IF($A4626="","",IFERROR(INDEX(계정매핑!$D$5:$D$504,MATCH($F4626&amp;"",계정매핑!$A$5:$A$504,0)),"미매핑"))</f>
        <v/>
      </c>
      <c r="X4626" s="9">
        <f>IF($A4626="","",$F4626&amp;"")</f>
        <v/>
      </c>
      <c r="Y4626" s="94">
        <f>IF($A4626="",0,IF(AE4626="직접",IF(AF4626="비귀속",$P4626,0),$P4626*(1-AG4626)*IFERROR(INDEX(계정대체기준!$F$20:$F$49,MATCH($N4626,계정대체기준!$A$20:$A$49,0)),1)))</f>
        <v/>
      </c>
      <c r="Z4626" s="94">
        <f>IF($A4626="",0,IF(AE4626="직접",IF(AF4626="신계약비",$P4626,0),$P4626*(1-AG4626)*IFERROR(INDEX(계정대체기준!$C$20:$C$49,MATCH($N4626,계정대체기준!$A$20:$A$49,0)),0)))</f>
        <v/>
      </c>
      <c r="AA4626" s="94">
        <f>IF($A4626="",0,IF(AE4626="직접",IF(OR(AF4626="유지비",AF4626="손해조사비"),$P4626,0),$P4626*(1-AG4626)*IFERROR(INDEX(계정대체기준!$D$20:$D$49,MATCH($N4626,계정대체기준!$A$20:$A$49,0)),0)))</f>
        <v/>
      </c>
      <c r="AB4626" s="94">
        <f>IF($A4626="",0,IF(AE4626="직접",IF(AF4626="수금비",$P4626,0),$P4626*(1-AG4626)*IFERROR(INDEX(계정대체기준!$E$20:$E$49,MATCH($N4626,계정대체기준!$A$20:$A$49,0)),0)))</f>
        <v/>
      </c>
      <c r="AC4626" s="9">
        <f>IF(AND($A4626&lt;&gt;"",M4626=설정!$C$20,Z4626&gt;0),Z4626+ROW()/1000000000,"")</f>
        <v/>
      </c>
      <c r="AD4626" s="94">
        <f>IF($A4626="",0,$P4626*AG4626)</f>
        <v/>
      </c>
      <c r="AE4626" s="64">
        <f>IF($A4626="","",IFERROR(INDEX(계정매핑!$E$5:$E$504,MATCH($F4626&amp;"",계정매핑!$A$5:$A$504,0))&amp;"","공통비"))</f>
        <v/>
      </c>
      <c r="AF4626" s="64">
        <f>IF($A4626="","",IF(AE4626="직접",IFERROR(INDEX(계정매핑!$F$5:$F$504,MATCH($F4626&amp;"",계정매핑!$A$5:$A$504,0))&amp;"","비귀속"),""))</f>
        <v/>
      </c>
      <c r="AG4626" s="96">
        <f>IF($A4626="",0,IF(AND(AE4626&lt;&gt;"직접",IFERROR(INDEX(계정매핑!$G$5:$G$504,MATCH($F4626&amp;"",계정매핑!$A$5:$A$504,0))&amp;"","")="유지비",COUNTIF(계정대체기준!$A$6:$A$15,$N4626)&gt;0),IFERROR(INDEX(계정대체기준!$E$6:$E$15,MATCH(VALUE($A4626&amp;""),계정대체기준!$D$6:$D$15,0)),0),0))</f>
        <v/>
      </c>
      <c r="AH4626" s="64">
        <f>IF($A4626="","",IF(AD4626=0,"",IF(OR(COUNTIF(계정대체기준!$A$77:$A$86,$N4626)&gt;0,ISNUMBER(MATCH($X4626,계정대체기준!$D$77:$D$86,0)),ISNUMBER(MATCH($F4626,계정대체기준!$D$77:$D$86,0))),"Y","N")))</f>
        <v/>
      </c>
    </row>
    <row r="4627">
      <c r="A4627" s="92" t="n">
        <v>2026</v>
      </c>
      <c r="B4627" s="92" t="n">
        <v>9</v>
      </c>
      <c r="C4627" s="92" t="inlineStr">
        <is>
          <t>5100001905</t>
        </is>
      </c>
      <c r="D4627" s="95" t="n">
        <v>46275</v>
      </c>
      <c r="E4627" s="92" t="inlineStr">
        <is>
          <t>KR</t>
        </is>
      </c>
      <c r="F4627" s="92" t="n">
        <v>62101000</v>
      </c>
      <c r="G4627" s="92" t="n">
        <v>1701</v>
      </c>
      <c r="H4627" s="93" t="n">
        <v>92000</v>
      </c>
      <c r="I4627" s="92" t="inlineStr">
        <is>
          <t>9월 국내출장 - L여행사</t>
        </is>
      </c>
      <c r="J4627" s="92" t="inlineStr">
        <is>
          <t>V10018</t>
        </is>
      </c>
      <c r="K4627" s="92" t="inlineStr">
        <is>
          <t>L여행사</t>
        </is>
      </c>
      <c r="M4627" s="9">
        <f>IF($A4627="","",VALUE($A4627&amp;"")*12+VALUE($B4627&amp;""))</f>
        <v/>
      </c>
      <c r="N4627" s="64">
        <f>IF($A4627="","",IFERROR(INDEX(부서매핑!$C$5:$C$504,MATCH($G4627&amp;"",부서매핑!$A$5:$A$504,0)),"미매핑"))</f>
        <v/>
      </c>
      <c r="O4627" s="9">
        <f>IF($A4627="","",N4627&amp;"|"&amp;$F4627)</f>
        <v/>
      </c>
      <c r="P4627" s="94">
        <f>IF($A4627="",0,$H4627*설정!$C$23)</f>
        <v/>
      </c>
      <c r="Q4627" s="64">
        <f>IF($A4627="","",IF(O4627&lt;&gt;원인분석!$C$9,"",IF(AND(M4627&gt;=원인분석!$C$10,M4627&lt;=원인분석!$C$11),"당기",IF(AND(M4627&gt;=원인분석!$C$12,M4627&lt;=원인분석!$C$13),"비교",""))))</f>
        <v/>
      </c>
      <c r="R4627" s="9">
        <f>IF(Q4627="","",$K4627&amp;"")</f>
        <v/>
      </c>
      <c r="S4627" s="9">
        <f>IF(Q4627="","",IF(MATCH(R4627,$R$5:$R$100000,0)=ROW()-4,ROW(),""))</f>
        <v/>
      </c>
      <c r="T4627" s="9">
        <f>IF(Q4627="당기",ABS(P4627)+ROW()/1000000000,"")</f>
        <v/>
      </c>
      <c r="U4627" s="9">
        <f>IF(Q4627="비교",ABS(P4627)+ROW()/1000000000,"")</f>
        <v/>
      </c>
      <c r="V4627" s="64">
        <f>IF($A4627="","",IF(COUNTIF(변동분석!$E$7:$E$506,O4627)&gt;0,"Y","N"))</f>
        <v/>
      </c>
      <c r="W4627" s="64">
        <f>IF($A4627="","",IFERROR(INDEX(계정매핑!$D$5:$D$504,MATCH($F4627&amp;"",계정매핑!$A$5:$A$504,0)),"미매핑"))</f>
        <v/>
      </c>
      <c r="X4627" s="9">
        <f>IF($A4627="","",$F4627&amp;"")</f>
        <v/>
      </c>
      <c r="Y4627" s="94">
        <f>IF($A4627="",0,IF(AE4627="직접",IF(AF4627="비귀속",$P4627,0),$P4627*(1-AG4627)*IFERROR(INDEX(계정대체기준!$F$20:$F$49,MATCH($N4627,계정대체기준!$A$20:$A$49,0)),1)))</f>
        <v/>
      </c>
      <c r="Z4627" s="94">
        <f>IF($A4627="",0,IF(AE4627="직접",IF(AF4627="신계약비",$P4627,0),$P4627*(1-AG4627)*IFERROR(INDEX(계정대체기준!$C$20:$C$49,MATCH($N4627,계정대체기준!$A$20:$A$49,0)),0)))</f>
        <v/>
      </c>
      <c r="AA4627" s="94">
        <f>IF($A4627="",0,IF(AE4627="직접",IF(OR(AF4627="유지비",AF4627="손해조사비"),$P4627,0),$P4627*(1-AG4627)*IFERROR(INDEX(계정대체기준!$D$20:$D$49,MATCH($N4627,계정대체기준!$A$20:$A$49,0)),0)))</f>
        <v/>
      </c>
      <c r="AB4627" s="94">
        <f>IF($A4627="",0,IF(AE4627="직접",IF(AF4627="수금비",$P4627,0),$P4627*(1-AG4627)*IFERROR(INDEX(계정대체기준!$E$20:$E$49,MATCH($N4627,계정대체기준!$A$20:$A$49,0)),0)))</f>
        <v/>
      </c>
      <c r="AC4627" s="9">
        <f>IF(AND($A4627&lt;&gt;"",M4627=설정!$C$20,Z4627&gt;0),Z4627+ROW()/1000000000,"")</f>
        <v/>
      </c>
      <c r="AD4627" s="94">
        <f>IF($A4627="",0,$P4627*AG4627)</f>
        <v/>
      </c>
      <c r="AE4627" s="64">
        <f>IF($A4627="","",IFERROR(INDEX(계정매핑!$E$5:$E$504,MATCH($F4627&amp;"",계정매핑!$A$5:$A$504,0))&amp;"","공통비"))</f>
        <v/>
      </c>
      <c r="AF4627" s="64">
        <f>IF($A4627="","",IF(AE4627="직접",IFERROR(INDEX(계정매핑!$F$5:$F$504,MATCH($F4627&amp;"",계정매핑!$A$5:$A$504,0))&amp;"","비귀속"),""))</f>
        <v/>
      </c>
      <c r="AG4627" s="96">
        <f>IF($A4627="",0,IF(AND(AE4627&lt;&gt;"직접",IFERROR(INDEX(계정매핑!$G$5:$G$504,MATCH($F4627&amp;"",계정매핑!$A$5:$A$504,0))&amp;"","")="유지비",COUNTIF(계정대체기준!$A$6:$A$15,$N4627)&gt;0),IFERROR(INDEX(계정대체기준!$E$6:$E$15,MATCH(VALUE($A4627&amp;""),계정대체기준!$D$6:$D$15,0)),0),0))</f>
        <v/>
      </c>
      <c r="AH4627" s="64">
        <f>IF($A4627="","",IF(AD4627=0,"",IF(OR(COUNTIF(계정대체기준!$A$77:$A$86,$N4627)&gt;0,ISNUMBER(MATCH($X4627,계정대체기준!$D$77:$D$86,0)),ISNUMBER(MATCH($F4627,계정대체기준!$D$77:$D$86,0))),"Y","N")))</f>
        <v/>
      </c>
    </row>
    <row r="4628">
      <c r="A4628" s="92" t="n">
        <v>2026</v>
      </c>
      <c r="B4628" s="92" t="n">
        <v>9</v>
      </c>
      <c r="C4628" s="92" t="inlineStr">
        <is>
          <t>5100001906</t>
        </is>
      </c>
      <c r="D4628" s="95" t="n">
        <v>46275</v>
      </c>
      <c r="E4628" s="92" t="inlineStr">
        <is>
          <t>KR</t>
        </is>
      </c>
      <c r="F4628" s="92" t="n">
        <v>62102000</v>
      </c>
      <c r="G4628" s="92" t="n">
        <v>1101</v>
      </c>
      <c r="H4628" s="93" t="n">
        <v>93000</v>
      </c>
      <c r="I4628" s="92" t="inlineStr">
        <is>
          <t>9월 해외출장 - M항공</t>
        </is>
      </c>
      <c r="J4628" s="92" t="inlineStr">
        <is>
          <t>V10001</t>
        </is>
      </c>
      <c r="K4628" s="92" t="inlineStr">
        <is>
          <t>M항공</t>
        </is>
      </c>
      <c r="M4628" s="9">
        <f>IF($A4628="","",VALUE($A4628&amp;"")*12+VALUE($B4628&amp;""))</f>
        <v/>
      </c>
      <c r="N4628" s="64">
        <f>IF($A4628="","",IFERROR(INDEX(부서매핑!$C$5:$C$504,MATCH($G4628&amp;"",부서매핑!$A$5:$A$504,0)),"미매핑"))</f>
        <v/>
      </c>
      <c r="O4628" s="9">
        <f>IF($A4628="","",N4628&amp;"|"&amp;$F4628)</f>
        <v/>
      </c>
      <c r="P4628" s="94">
        <f>IF($A4628="",0,$H4628*설정!$C$23)</f>
        <v/>
      </c>
      <c r="Q4628" s="64">
        <f>IF($A4628="","",IF(O4628&lt;&gt;원인분석!$C$9,"",IF(AND(M4628&gt;=원인분석!$C$10,M4628&lt;=원인분석!$C$11),"당기",IF(AND(M4628&gt;=원인분석!$C$12,M4628&lt;=원인분석!$C$13),"비교",""))))</f>
        <v/>
      </c>
      <c r="R4628" s="9">
        <f>IF(Q4628="","",$K4628&amp;"")</f>
        <v/>
      </c>
      <c r="S4628" s="9">
        <f>IF(Q4628="","",IF(MATCH(R4628,$R$5:$R$100000,0)=ROW()-4,ROW(),""))</f>
        <v/>
      </c>
      <c r="T4628" s="9">
        <f>IF(Q4628="당기",ABS(P4628)+ROW()/1000000000,"")</f>
        <v/>
      </c>
      <c r="U4628" s="9">
        <f>IF(Q4628="비교",ABS(P4628)+ROW()/1000000000,"")</f>
        <v/>
      </c>
      <c r="V4628" s="64">
        <f>IF($A4628="","",IF(COUNTIF(변동분석!$E$7:$E$506,O4628)&gt;0,"Y","N"))</f>
        <v/>
      </c>
      <c r="W4628" s="64">
        <f>IF($A4628="","",IFERROR(INDEX(계정매핑!$D$5:$D$504,MATCH($F4628&amp;"",계정매핑!$A$5:$A$504,0)),"미매핑"))</f>
        <v/>
      </c>
      <c r="X4628" s="9">
        <f>IF($A4628="","",$F4628&amp;"")</f>
        <v/>
      </c>
      <c r="Y4628" s="94">
        <f>IF($A4628="",0,IF(AE4628="직접",IF(AF4628="비귀속",$P4628,0),$P4628*(1-AG4628)*IFERROR(INDEX(계정대체기준!$F$20:$F$49,MATCH($N4628,계정대체기준!$A$20:$A$49,0)),1)))</f>
        <v/>
      </c>
      <c r="Z4628" s="94">
        <f>IF($A4628="",0,IF(AE4628="직접",IF(AF4628="신계약비",$P4628,0),$P4628*(1-AG4628)*IFERROR(INDEX(계정대체기준!$C$20:$C$49,MATCH($N4628,계정대체기준!$A$20:$A$49,0)),0)))</f>
        <v/>
      </c>
      <c r="AA4628" s="94">
        <f>IF($A4628="",0,IF(AE4628="직접",IF(OR(AF4628="유지비",AF4628="손해조사비"),$P4628,0),$P4628*(1-AG4628)*IFERROR(INDEX(계정대체기준!$D$20:$D$49,MATCH($N4628,계정대체기준!$A$20:$A$49,0)),0)))</f>
        <v/>
      </c>
      <c r="AB4628" s="94">
        <f>IF($A4628="",0,IF(AE4628="직접",IF(AF4628="수금비",$P4628,0),$P4628*(1-AG4628)*IFERROR(INDEX(계정대체기준!$E$20:$E$49,MATCH($N4628,계정대체기준!$A$20:$A$49,0)),0)))</f>
        <v/>
      </c>
      <c r="AC4628" s="9">
        <f>IF(AND($A4628&lt;&gt;"",M4628=설정!$C$20,Z4628&gt;0),Z4628+ROW()/1000000000,"")</f>
        <v/>
      </c>
      <c r="AD4628" s="94">
        <f>IF($A4628="",0,$P4628*AG4628)</f>
        <v/>
      </c>
      <c r="AE4628" s="64">
        <f>IF($A4628="","",IFERROR(INDEX(계정매핑!$E$5:$E$504,MATCH($F4628&amp;"",계정매핑!$A$5:$A$504,0))&amp;"","공통비"))</f>
        <v/>
      </c>
      <c r="AF4628" s="64">
        <f>IF($A4628="","",IF(AE4628="직접",IFERROR(INDEX(계정매핑!$F$5:$F$504,MATCH($F4628&amp;"",계정매핑!$A$5:$A$504,0))&amp;"","비귀속"),""))</f>
        <v/>
      </c>
      <c r="AG4628" s="96">
        <f>IF($A4628="",0,IF(AND(AE4628&lt;&gt;"직접",IFERROR(INDEX(계정매핑!$G$5:$G$504,MATCH($F4628&amp;"",계정매핑!$A$5:$A$504,0))&amp;"","")="유지비",COUNTIF(계정대체기준!$A$6:$A$15,$N4628)&gt;0),IFERROR(INDEX(계정대체기준!$E$6:$E$15,MATCH(VALUE($A4628&amp;""),계정대체기준!$D$6:$D$15,0)),0),0))</f>
        <v/>
      </c>
      <c r="AH4628" s="64">
        <f>IF($A4628="","",IF(AD4628=0,"",IF(OR(COUNTIF(계정대체기준!$A$77:$A$86,$N4628)&gt;0,ISNUMBER(MATCH($X4628,계정대체기준!$D$77:$D$86,0)),ISNUMBER(MATCH($F4628,계정대체기준!$D$77:$D$86,0))),"Y","N")))</f>
        <v/>
      </c>
    </row>
    <row r="4629">
      <c r="A4629" s="92" t="n">
        <v>2026</v>
      </c>
      <c r="B4629" s="92" t="n">
        <v>9</v>
      </c>
      <c r="C4629" s="92" t="inlineStr">
        <is>
          <t>5100001907</t>
        </is>
      </c>
      <c r="D4629" s="95" t="n">
        <v>46275</v>
      </c>
      <c r="E4629" s="92" t="inlineStr">
        <is>
          <t>KR</t>
        </is>
      </c>
      <c r="F4629" s="92" t="n">
        <v>62201000</v>
      </c>
      <c r="G4629" s="92" t="n">
        <v>1501</v>
      </c>
      <c r="H4629" s="93" t="n">
        <v>260000</v>
      </c>
      <c r="I4629" s="92" t="inlineStr">
        <is>
          <t>9월 통신요금 - O텔레콤</t>
        </is>
      </c>
      <c r="J4629" s="92" t="inlineStr">
        <is>
          <t>V10002</t>
        </is>
      </c>
      <c r="K4629" s="92" t="inlineStr">
        <is>
          <t>O텔레콤</t>
        </is>
      </c>
      <c r="M4629" s="9">
        <f>IF($A4629="","",VALUE($A4629&amp;"")*12+VALUE($B4629&amp;""))</f>
        <v/>
      </c>
      <c r="N4629" s="64">
        <f>IF($A4629="","",IFERROR(INDEX(부서매핑!$C$5:$C$504,MATCH($G4629&amp;"",부서매핑!$A$5:$A$504,0)),"미매핑"))</f>
        <v/>
      </c>
      <c r="O4629" s="9">
        <f>IF($A4629="","",N4629&amp;"|"&amp;$F4629)</f>
        <v/>
      </c>
      <c r="P4629" s="94">
        <f>IF($A4629="",0,$H4629*설정!$C$23)</f>
        <v/>
      </c>
      <c r="Q4629" s="64">
        <f>IF($A4629="","",IF(O4629&lt;&gt;원인분석!$C$9,"",IF(AND(M4629&gt;=원인분석!$C$10,M4629&lt;=원인분석!$C$11),"당기",IF(AND(M4629&gt;=원인분석!$C$12,M4629&lt;=원인분석!$C$13),"비교",""))))</f>
        <v/>
      </c>
      <c r="R4629" s="9">
        <f>IF(Q4629="","",$K4629&amp;"")</f>
        <v/>
      </c>
      <c r="S4629" s="9">
        <f>IF(Q4629="","",IF(MATCH(R4629,$R$5:$R$100000,0)=ROW()-4,ROW(),""))</f>
        <v/>
      </c>
      <c r="T4629" s="9">
        <f>IF(Q4629="당기",ABS(P4629)+ROW()/1000000000,"")</f>
        <v/>
      </c>
      <c r="U4629" s="9">
        <f>IF(Q4629="비교",ABS(P4629)+ROW()/1000000000,"")</f>
        <v/>
      </c>
      <c r="V4629" s="64">
        <f>IF($A4629="","",IF(COUNTIF(변동분석!$E$7:$E$506,O4629)&gt;0,"Y","N"))</f>
        <v/>
      </c>
      <c r="W4629" s="64">
        <f>IF($A4629="","",IFERROR(INDEX(계정매핑!$D$5:$D$504,MATCH($F4629&amp;"",계정매핑!$A$5:$A$504,0)),"미매핑"))</f>
        <v/>
      </c>
      <c r="X4629" s="9">
        <f>IF($A4629="","",$F4629&amp;"")</f>
        <v/>
      </c>
      <c r="Y4629" s="94">
        <f>IF($A4629="",0,IF(AE4629="직접",IF(AF4629="비귀속",$P4629,0),$P4629*(1-AG4629)*IFERROR(INDEX(계정대체기준!$F$20:$F$49,MATCH($N4629,계정대체기준!$A$20:$A$49,0)),1)))</f>
        <v/>
      </c>
      <c r="Z4629" s="94">
        <f>IF($A4629="",0,IF(AE4629="직접",IF(AF4629="신계약비",$P4629,0),$P4629*(1-AG4629)*IFERROR(INDEX(계정대체기준!$C$20:$C$49,MATCH($N4629,계정대체기준!$A$20:$A$49,0)),0)))</f>
        <v/>
      </c>
      <c r="AA4629" s="94">
        <f>IF($A4629="",0,IF(AE4629="직접",IF(OR(AF4629="유지비",AF4629="손해조사비"),$P4629,0),$P4629*(1-AG4629)*IFERROR(INDEX(계정대체기준!$D$20:$D$49,MATCH($N4629,계정대체기준!$A$20:$A$49,0)),0)))</f>
        <v/>
      </c>
      <c r="AB4629" s="94">
        <f>IF($A4629="",0,IF(AE4629="직접",IF(AF4629="수금비",$P4629,0),$P4629*(1-AG4629)*IFERROR(INDEX(계정대체기준!$E$20:$E$49,MATCH($N4629,계정대체기준!$A$20:$A$49,0)),0)))</f>
        <v/>
      </c>
      <c r="AC4629" s="9">
        <f>IF(AND($A4629&lt;&gt;"",M4629=설정!$C$20,Z4629&gt;0),Z4629+ROW()/1000000000,"")</f>
        <v/>
      </c>
      <c r="AD4629" s="94">
        <f>IF($A4629="",0,$P4629*AG4629)</f>
        <v/>
      </c>
      <c r="AE4629" s="64">
        <f>IF($A4629="","",IFERROR(INDEX(계정매핑!$E$5:$E$504,MATCH($F4629&amp;"",계정매핑!$A$5:$A$504,0))&amp;"","공통비"))</f>
        <v/>
      </c>
      <c r="AF4629" s="64">
        <f>IF($A4629="","",IF(AE4629="직접",IFERROR(INDEX(계정매핑!$F$5:$F$504,MATCH($F4629&amp;"",계정매핑!$A$5:$A$504,0))&amp;"","비귀속"),""))</f>
        <v/>
      </c>
      <c r="AG4629" s="96">
        <f>IF($A4629="",0,IF(AND(AE4629&lt;&gt;"직접",IFERROR(INDEX(계정매핑!$G$5:$G$504,MATCH($F4629&amp;"",계정매핑!$A$5:$A$504,0))&amp;"","")="유지비",COUNTIF(계정대체기준!$A$6:$A$15,$N4629)&gt;0),IFERROR(INDEX(계정대체기준!$E$6:$E$15,MATCH(VALUE($A4629&amp;""),계정대체기준!$D$6:$D$15,0)),0),0))</f>
        <v/>
      </c>
      <c r="AH4629" s="64">
        <f>IF($A4629="","",IF(AD4629=0,"",IF(OR(COUNTIF(계정대체기준!$A$77:$A$86,$N4629)&gt;0,ISNUMBER(MATCH($X4629,계정대체기준!$D$77:$D$86,0)),ISNUMBER(MATCH($F4629,계정대체기준!$D$77:$D$86,0))),"Y","N")))</f>
        <v/>
      </c>
    </row>
    <row r="4630">
      <c r="A4630" s="92" t="n">
        <v>2026</v>
      </c>
      <c r="B4630" s="92" t="n">
        <v>9</v>
      </c>
      <c r="C4630" s="92" t="inlineStr">
        <is>
          <t>5100001908</t>
        </is>
      </c>
      <c r="D4630" s="95" t="n">
        <v>46275</v>
      </c>
      <c r="E4630" s="92" t="inlineStr">
        <is>
          <t>KR</t>
        </is>
      </c>
      <c r="F4630" s="92" t="n">
        <v>62201000</v>
      </c>
      <c r="G4630" s="92" t="n">
        <v>1502</v>
      </c>
      <c r="H4630" s="93" t="n">
        <v>288000</v>
      </c>
      <c r="I4630" s="92" t="inlineStr">
        <is>
          <t>9월 통신요금 - P통신</t>
        </is>
      </c>
      <c r="J4630" s="92" t="inlineStr">
        <is>
          <t>V10014</t>
        </is>
      </c>
      <c r="K4630" s="92" t="inlineStr">
        <is>
          <t>P통신</t>
        </is>
      </c>
      <c r="M4630" s="9">
        <f>IF($A4630="","",VALUE($A4630&amp;"")*12+VALUE($B4630&amp;""))</f>
        <v/>
      </c>
      <c r="N4630" s="64">
        <f>IF($A4630="","",IFERROR(INDEX(부서매핑!$C$5:$C$504,MATCH($G4630&amp;"",부서매핑!$A$5:$A$504,0)),"미매핑"))</f>
        <v/>
      </c>
      <c r="O4630" s="9">
        <f>IF($A4630="","",N4630&amp;"|"&amp;$F4630)</f>
        <v/>
      </c>
      <c r="P4630" s="94">
        <f>IF($A4630="",0,$H4630*설정!$C$23)</f>
        <v/>
      </c>
      <c r="Q4630" s="64">
        <f>IF($A4630="","",IF(O4630&lt;&gt;원인분석!$C$9,"",IF(AND(M4630&gt;=원인분석!$C$10,M4630&lt;=원인분석!$C$11),"당기",IF(AND(M4630&gt;=원인분석!$C$12,M4630&lt;=원인분석!$C$13),"비교",""))))</f>
        <v/>
      </c>
      <c r="R4630" s="9">
        <f>IF(Q4630="","",$K4630&amp;"")</f>
        <v/>
      </c>
      <c r="S4630" s="9">
        <f>IF(Q4630="","",IF(MATCH(R4630,$R$5:$R$100000,0)=ROW()-4,ROW(),""))</f>
        <v/>
      </c>
      <c r="T4630" s="9">
        <f>IF(Q4630="당기",ABS(P4630)+ROW()/1000000000,"")</f>
        <v/>
      </c>
      <c r="U4630" s="9">
        <f>IF(Q4630="비교",ABS(P4630)+ROW()/1000000000,"")</f>
        <v/>
      </c>
      <c r="V4630" s="64">
        <f>IF($A4630="","",IF(COUNTIF(변동분석!$E$7:$E$506,O4630)&gt;0,"Y","N"))</f>
        <v/>
      </c>
      <c r="W4630" s="64">
        <f>IF($A4630="","",IFERROR(INDEX(계정매핑!$D$5:$D$504,MATCH($F4630&amp;"",계정매핑!$A$5:$A$504,0)),"미매핑"))</f>
        <v/>
      </c>
      <c r="X4630" s="9">
        <f>IF($A4630="","",$F4630&amp;"")</f>
        <v/>
      </c>
      <c r="Y4630" s="94">
        <f>IF($A4630="",0,IF(AE4630="직접",IF(AF4630="비귀속",$P4630,0),$P4630*(1-AG4630)*IFERROR(INDEX(계정대체기준!$F$20:$F$49,MATCH($N4630,계정대체기준!$A$20:$A$49,0)),1)))</f>
        <v/>
      </c>
      <c r="Z4630" s="94">
        <f>IF($A4630="",0,IF(AE4630="직접",IF(AF4630="신계약비",$P4630,0),$P4630*(1-AG4630)*IFERROR(INDEX(계정대체기준!$C$20:$C$49,MATCH($N4630,계정대체기준!$A$20:$A$49,0)),0)))</f>
        <v/>
      </c>
      <c r="AA4630" s="94">
        <f>IF($A4630="",0,IF(AE4630="직접",IF(OR(AF4630="유지비",AF4630="손해조사비"),$P4630,0),$P4630*(1-AG4630)*IFERROR(INDEX(계정대체기준!$D$20:$D$49,MATCH($N4630,계정대체기준!$A$20:$A$49,0)),0)))</f>
        <v/>
      </c>
      <c r="AB4630" s="94">
        <f>IF($A4630="",0,IF(AE4630="직접",IF(AF4630="수금비",$P4630,0),$P4630*(1-AG4630)*IFERROR(INDEX(계정대체기준!$E$20:$E$49,MATCH($N4630,계정대체기준!$A$20:$A$49,0)),0)))</f>
        <v/>
      </c>
      <c r="AC4630" s="9">
        <f>IF(AND($A4630&lt;&gt;"",M4630=설정!$C$20,Z4630&gt;0),Z4630+ROW()/1000000000,"")</f>
        <v/>
      </c>
      <c r="AD4630" s="94">
        <f>IF($A4630="",0,$P4630*AG4630)</f>
        <v/>
      </c>
      <c r="AE4630" s="64">
        <f>IF($A4630="","",IFERROR(INDEX(계정매핑!$E$5:$E$504,MATCH($F4630&amp;"",계정매핑!$A$5:$A$504,0))&amp;"","공통비"))</f>
        <v/>
      </c>
      <c r="AF4630" s="64">
        <f>IF($A4630="","",IF(AE4630="직접",IFERROR(INDEX(계정매핑!$F$5:$F$504,MATCH($F4630&amp;"",계정매핑!$A$5:$A$504,0))&amp;"","비귀속"),""))</f>
        <v/>
      </c>
      <c r="AG4630" s="96">
        <f>IF($A4630="",0,IF(AND(AE4630&lt;&gt;"직접",IFERROR(INDEX(계정매핑!$G$5:$G$504,MATCH($F4630&amp;"",계정매핑!$A$5:$A$504,0))&amp;"","")="유지비",COUNTIF(계정대체기준!$A$6:$A$15,$N4630)&gt;0),IFERROR(INDEX(계정대체기준!$E$6:$E$15,MATCH(VALUE($A4630&amp;""),계정대체기준!$D$6:$D$15,0)),0),0))</f>
        <v/>
      </c>
      <c r="AH4630" s="64">
        <f>IF($A4630="","",IF(AD4630=0,"",IF(OR(COUNTIF(계정대체기준!$A$77:$A$86,$N4630)&gt;0,ISNUMBER(MATCH($X4630,계정대체기준!$D$77:$D$86,0)),ISNUMBER(MATCH($F4630,계정대체기준!$D$77:$D$86,0))),"Y","N")))</f>
        <v/>
      </c>
    </row>
    <row r="4631">
      <c r="A4631" s="92" t="n">
        <v>2026</v>
      </c>
      <c r="B4631" s="92" t="n">
        <v>9</v>
      </c>
      <c r="C4631" s="92" t="inlineStr">
        <is>
          <t>5100001909</t>
        </is>
      </c>
      <c r="D4631" s="95" t="n">
        <v>46275</v>
      </c>
      <c r="E4631" s="92" t="inlineStr">
        <is>
          <t>KR</t>
        </is>
      </c>
      <c r="F4631" s="92" t="n">
        <v>62201000</v>
      </c>
      <c r="G4631" s="92" t="n">
        <v>1701</v>
      </c>
      <c r="H4631" s="93" t="n">
        <v>8018000</v>
      </c>
      <c r="I4631" s="92" t="inlineStr">
        <is>
          <t>9월 통신요금 - O텔레콤</t>
        </is>
      </c>
      <c r="J4631" s="92" t="inlineStr">
        <is>
          <t>V10002</t>
        </is>
      </c>
      <c r="K4631" s="92" t="inlineStr">
        <is>
          <t>O텔레콤</t>
        </is>
      </c>
      <c r="M4631" s="9">
        <f>IF($A4631="","",VALUE($A4631&amp;"")*12+VALUE($B4631&amp;""))</f>
        <v/>
      </c>
      <c r="N4631" s="64">
        <f>IF($A4631="","",IFERROR(INDEX(부서매핑!$C$5:$C$504,MATCH($G4631&amp;"",부서매핑!$A$5:$A$504,0)),"미매핑"))</f>
        <v/>
      </c>
      <c r="O4631" s="9">
        <f>IF($A4631="","",N4631&amp;"|"&amp;$F4631)</f>
        <v/>
      </c>
      <c r="P4631" s="94">
        <f>IF($A4631="",0,$H4631*설정!$C$23)</f>
        <v/>
      </c>
      <c r="Q4631" s="64">
        <f>IF($A4631="","",IF(O4631&lt;&gt;원인분석!$C$9,"",IF(AND(M4631&gt;=원인분석!$C$10,M4631&lt;=원인분석!$C$11),"당기",IF(AND(M4631&gt;=원인분석!$C$12,M4631&lt;=원인분석!$C$13),"비교",""))))</f>
        <v/>
      </c>
      <c r="R4631" s="9">
        <f>IF(Q4631="","",$K4631&amp;"")</f>
        <v/>
      </c>
      <c r="S4631" s="9">
        <f>IF(Q4631="","",IF(MATCH(R4631,$R$5:$R$100000,0)=ROW()-4,ROW(),""))</f>
        <v/>
      </c>
      <c r="T4631" s="9">
        <f>IF(Q4631="당기",ABS(P4631)+ROW()/1000000000,"")</f>
        <v/>
      </c>
      <c r="U4631" s="9">
        <f>IF(Q4631="비교",ABS(P4631)+ROW()/1000000000,"")</f>
        <v/>
      </c>
      <c r="V4631" s="64">
        <f>IF($A4631="","",IF(COUNTIF(변동분석!$E$7:$E$506,O4631)&gt;0,"Y","N"))</f>
        <v/>
      </c>
      <c r="W4631" s="64">
        <f>IF($A4631="","",IFERROR(INDEX(계정매핑!$D$5:$D$504,MATCH($F4631&amp;"",계정매핑!$A$5:$A$504,0)),"미매핑"))</f>
        <v/>
      </c>
      <c r="X4631" s="9">
        <f>IF($A4631="","",$F4631&amp;"")</f>
        <v/>
      </c>
      <c r="Y4631" s="94">
        <f>IF($A4631="",0,IF(AE4631="직접",IF(AF4631="비귀속",$P4631,0),$P4631*(1-AG4631)*IFERROR(INDEX(계정대체기준!$F$20:$F$49,MATCH($N4631,계정대체기준!$A$20:$A$49,0)),1)))</f>
        <v/>
      </c>
      <c r="Z4631" s="94">
        <f>IF($A4631="",0,IF(AE4631="직접",IF(AF4631="신계약비",$P4631,0),$P4631*(1-AG4631)*IFERROR(INDEX(계정대체기준!$C$20:$C$49,MATCH($N4631,계정대체기준!$A$20:$A$49,0)),0)))</f>
        <v/>
      </c>
      <c r="AA4631" s="94">
        <f>IF($A4631="",0,IF(AE4631="직접",IF(OR(AF4631="유지비",AF4631="손해조사비"),$P4631,0),$P4631*(1-AG4631)*IFERROR(INDEX(계정대체기준!$D$20:$D$49,MATCH($N4631,계정대체기준!$A$20:$A$49,0)),0)))</f>
        <v/>
      </c>
      <c r="AB4631" s="94">
        <f>IF($A4631="",0,IF(AE4631="직접",IF(AF4631="수금비",$P4631,0),$P4631*(1-AG4631)*IFERROR(INDEX(계정대체기준!$E$20:$E$49,MATCH($N4631,계정대체기준!$A$20:$A$49,0)),0)))</f>
        <v/>
      </c>
      <c r="AC4631" s="9">
        <f>IF(AND($A4631&lt;&gt;"",M4631=설정!$C$20,Z4631&gt;0),Z4631+ROW()/1000000000,"")</f>
        <v/>
      </c>
      <c r="AD4631" s="94">
        <f>IF($A4631="",0,$P4631*AG4631)</f>
        <v/>
      </c>
      <c r="AE4631" s="64">
        <f>IF($A4631="","",IFERROR(INDEX(계정매핑!$E$5:$E$504,MATCH($F4631&amp;"",계정매핑!$A$5:$A$504,0))&amp;"","공통비"))</f>
        <v/>
      </c>
      <c r="AF4631" s="64">
        <f>IF($A4631="","",IF(AE4631="직접",IFERROR(INDEX(계정매핑!$F$5:$F$504,MATCH($F4631&amp;"",계정매핑!$A$5:$A$504,0))&amp;"","비귀속"),""))</f>
        <v/>
      </c>
      <c r="AG4631" s="96">
        <f>IF($A4631="",0,IF(AND(AE4631&lt;&gt;"직접",IFERROR(INDEX(계정매핑!$G$5:$G$504,MATCH($F4631&amp;"",계정매핑!$A$5:$A$504,0))&amp;"","")="유지비",COUNTIF(계정대체기준!$A$6:$A$15,$N4631)&gt;0),IFERROR(INDEX(계정대체기준!$E$6:$E$15,MATCH(VALUE($A4631&amp;""),계정대체기준!$D$6:$D$15,0)),0),0))</f>
        <v/>
      </c>
      <c r="AH4631" s="64">
        <f>IF($A4631="","",IF(AD4631=0,"",IF(OR(COUNTIF(계정대체기준!$A$77:$A$86,$N4631)&gt;0,ISNUMBER(MATCH($X4631,계정대체기준!$D$77:$D$86,0)),ISNUMBER(MATCH($F4631,계정대체기준!$D$77:$D$86,0))),"Y","N")))</f>
        <v/>
      </c>
    </row>
    <row r="4632">
      <c r="A4632" s="92" t="n">
        <v>2026</v>
      </c>
      <c r="B4632" s="92" t="n">
        <v>9</v>
      </c>
      <c r="C4632" s="92" t="inlineStr">
        <is>
          <t>5100001910</t>
        </is>
      </c>
      <c r="D4632" s="95" t="n">
        <v>46275</v>
      </c>
      <c r="E4632" s="92" t="inlineStr">
        <is>
          <t>KR</t>
        </is>
      </c>
      <c r="F4632" s="92" t="n">
        <v>62401000</v>
      </c>
      <c r="G4632" s="92" t="n">
        <v>1801</v>
      </c>
      <c r="H4632" s="93" t="n">
        <v>3861000</v>
      </c>
      <c r="I4632" s="92" t="inlineStr">
        <is>
          <t>9월 인쇄물 제작 - S출판</t>
        </is>
      </c>
      <c r="J4632" s="92" t="inlineStr">
        <is>
          <t>V10015</t>
        </is>
      </c>
      <c r="K4632" s="92" t="inlineStr">
        <is>
          <t>S출판</t>
        </is>
      </c>
      <c r="M4632" s="9">
        <f>IF($A4632="","",VALUE($A4632&amp;"")*12+VALUE($B4632&amp;""))</f>
        <v/>
      </c>
      <c r="N4632" s="64">
        <f>IF($A4632="","",IFERROR(INDEX(부서매핑!$C$5:$C$504,MATCH($G4632&amp;"",부서매핑!$A$5:$A$504,0)),"미매핑"))</f>
        <v/>
      </c>
      <c r="O4632" s="9">
        <f>IF($A4632="","",N4632&amp;"|"&amp;$F4632)</f>
        <v/>
      </c>
      <c r="P4632" s="94">
        <f>IF($A4632="",0,$H4632*설정!$C$23)</f>
        <v/>
      </c>
      <c r="Q4632" s="64">
        <f>IF($A4632="","",IF(O4632&lt;&gt;원인분석!$C$9,"",IF(AND(M4632&gt;=원인분석!$C$10,M4632&lt;=원인분석!$C$11),"당기",IF(AND(M4632&gt;=원인분석!$C$12,M4632&lt;=원인분석!$C$13),"비교",""))))</f>
        <v/>
      </c>
      <c r="R4632" s="9">
        <f>IF(Q4632="","",$K4632&amp;"")</f>
        <v/>
      </c>
      <c r="S4632" s="9">
        <f>IF(Q4632="","",IF(MATCH(R4632,$R$5:$R$100000,0)=ROW()-4,ROW(),""))</f>
        <v/>
      </c>
      <c r="T4632" s="9">
        <f>IF(Q4632="당기",ABS(P4632)+ROW()/1000000000,"")</f>
        <v/>
      </c>
      <c r="U4632" s="9">
        <f>IF(Q4632="비교",ABS(P4632)+ROW()/1000000000,"")</f>
        <v/>
      </c>
      <c r="V4632" s="64">
        <f>IF($A4632="","",IF(COUNTIF(변동분석!$E$7:$E$506,O4632)&gt;0,"Y","N"))</f>
        <v/>
      </c>
      <c r="W4632" s="64">
        <f>IF($A4632="","",IFERROR(INDEX(계정매핑!$D$5:$D$504,MATCH($F4632&amp;"",계정매핑!$A$5:$A$504,0)),"미매핑"))</f>
        <v/>
      </c>
      <c r="X4632" s="9">
        <f>IF($A4632="","",$F4632&amp;"")</f>
        <v/>
      </c>
      <c r="Y4632" s="94">
        <f>IF($A4632="",0,IF(AE4632="직접",IF(AF4632="비귀속",$P4632,0),$P4632*(1-AG4632)*IFERROR(INDEX(계정대체기준!$F$20:$F$49,MATCH($N4632,계정대체기준!$A$20:$A$49,0)),1)))</f>
        <v/>
      </c>
      <c r="Z4632" s="94">
        <f>IF($A4632="",0,IF(AE4632="직접",IF(AF4632="신계약비",$P4632,0),$P4632*(1-AG4632)*IFERROR(INDEX(계정대체기준!$C$20:$C$49,MATCH($N4632,계정대체기준!$A$20:$A$49,0)),0)))</f>
        <v/>
      </c>
      <c r="AA4632" s="94">
        <f>IF($A4632="",0,IF(AE4632="직접",IF(OR(AF4632="유지비",AF4632="손해조사비"),$P4632,0),$P4632*(1-AG4632)*IFERROR(INDEX(계정대체기준!$D$20:$D$49,MATCH($N4632,계정대체기준!$A$20:$A$49,0)),0)))</f>
        <v/>
      </c>
      <c r="AB4632" s="94">
        <f>IF($A4632="",0,IF(AE4632="직접",IF(AF4632="수금비",$P4632,0),$P4632*(1-AG4632)*IFERROR(INDEX(계정대체기준!$E$20:$E$49,MATCH($N4632,계정대체기준!$A$20:$A$49,0)),0)))</f>
        <v/>
      </c>
      <c r="AC4632" s="9">
        <f>IF(AND($A4632&lt;&gt;"",M4632=설정!$C$20,Z4632&gt;0),Z4632+ROW()/1000000000,"")</f>
        <v/>
      </c>
      <c r="AD4632" s="94">
        <f>IF($A4632="",0,$P4632*AG4632)</f>
        <v/>
      </c>
      <c r="AE4632" s="64">
        <f>IF($A4632="","",IFERROR(INDEX(계정매핑!$E$5:$E$504,MATCH($F4632&amp;"",계정매핑!$A$5:$A$504,0))&amp;"","공통비"))</f>
        <v/>
      </c>
      <c r="AF4632" s="64">
        <f>IF($A4632="","",IF(AE4632="직접",IFERROR(INDEX(계정매핑!$F$5:$F$504,MATCH($F4632&amp;"",계정매핑!$A$5:$A$504,0))&amp;"","비귀속"),""))</f>
        <v/>
      </c>
      <c r="AG4632" s="96">
        <f>IF($A4632="",0,IF(AND(AE4632&lt;&gt;"직접",IFERROR(INDEX(계정매핑!$G$5:$G$504,MATCH($F4632&amp;"",계정매핑!$A$5:$A$504,0))&amp;"","")="유지비",COUNTIF(계정대체기준!$A$6:$A$15,$N4632)&gt;0),IFERROR(INDEX(계정대체기준!$E$6:$E$15,MATCH(VALUE($A4632&amp;""),계정대체기준!$D$6:$D$15,0)),0),0))</f>
        <v/>
      </c>
      <c r="AH4632" s="64">
        <f>IF($A4632="","",IF(AD4632=0,"",IF(OR(COUNTIF(계정대체기준!$A$77:$A$86,$N4632)&gt;0,ISNUMBER(MATCH($X4632,계정대체기준!$D$77:$D$86,0)),ISNUMBER(MATCH($F4632,계정대체기준!$D$77:$D$86,0))),"Y","N")))</f>
        <v/>
      </c>
    </row>
    <row r="4633">
      <c r="A4633" s="92" t="n">
        <v>2026</v>
      </c>
      <c r="B4633" s="92" t="n">
        <v>9</v>
      </c>
      <c r="C4633" s="92" t="inlineStr">
        <is>
          <t>5100001911</t>
        </is>
      </c>
      <c r="D4633" s="95" t="n">
        <v>46275</v>
      </c>
      <c r="E4633" s="92" t="inlineStr">
        <is>
          <t>KR</t>
        </is>
      </c>
      <c r="F4633" s="92" t="n">
        <v>62501000</v>
      </c>
      <c r="G4633" s="92" t="n">
        <v>1401</v>
      </c>
      <c r="H4633" s="93" t="n">
        <v>130000</v>
      </c>
      <c r="I4633" s="92" t="inlineStr">
        <is>
          <t>9월 회의 다과 - T케이터링</t>
        </is>
      </c>
      <c r="J4633" s="92" t="inlineStr">
        <is>
          <t>V10005</t>
        </is>
      </c>
      <c r="K4633" s="92" t="inlineStr">
        <is>
          <t>T케이터링</t>
        </is>
      </c>
      <c r="M4633" s="9">
        <f>IF($A4633="","",VALUE($A4633&amp;"")*12+VALUE($B4633&amp;""))</f>
        <v/>
      </c>
      <c r="N4633" s="64">
        <f>IF($A4633="","",IFERROR(INDEX(부서매핑!$C$5:$C$504,MATCH($G4633&amp;"",부서매핑!$A$5:$A$504,0)),"미매핑"))</f>
        <v/>
      </c>
      <c r="O4633" s="9">
        <f>IF($A4633="","",N4633&amp;"|"&amp;$F4633)</f>
        <v/>
      </c>
      <c r="P4633" s="94">
        <f>IF($A4633="",0,$H4633*설정!$C$23)</f>
        <v/>
      </c>
      <c r="Q4633" s="64">
        <f>IF($A4633="","",IF(O4633&lt;&gt;원인분석!$C$9,"",IF(AND(M4633&gt;=원인분석!$C$10,M4633&lt;=원인분석!$C$11),"당기",IF(AND(M4633&gt;=원인분석!$C$12,M4633&lt;=원인분석!$C$13),"비교",""))))</f>
        <v/>
      </c>
      <c r="R4633" s="9">
        <f>IF(Q4633="","",$K4633&amp;"")</f>
        <v/>
      </c>
      <c r="S4633" s="9">
        <f>IF(Q4633="","",IF(MATCH(R4633,$R$5:$R$100000,0)=ROW()-4,ROW(),""))</f>
        <v/>
      </c>
      <c r="T4633" s="9">
        <f>IF(Q4633="당기",ABS(P4633)+ROW()/1000000000,"")</f>
        <v/>
      </c>
      <c r="U4633" s="9">
        <f>IF(Q4633="비교",ABS(P4633)+ROW()/1000000000,"")</f>
        <v/>
      </c>
      <c r="V4633" s="64">
        <f>IF($A4633="","",IF(COUNTIF(변동분석!$E$7:$E$506,O4633)&gt;0,"Y","N"))</f>
        <v/>
      </c>
      <c r="W4633" s="64">
        <f>IF($A4633="","",IFERROR(INDEX(계정매핑!$D$5:$D$504,MATCH($F4633&amp;"",계정매핑!$A$5:$A$504,0)),"미매핑"))</f>
        <v/>
      </c>
      <c r="X4633" s="9">
        <f>IF($A4633="","",$F4633&amp;"")</f>
        <v/>
      </c>
      <c r="Y4633" s="94">
        <f>IF($A4633="",0,IF(AE4633="직접",IF(AF4633="비귀속",$P4633,0),$P4633*(1-AG4633)*IFERROR(INDEX(계정대체기준!$F$20:$F$49,MATCH($N4633,계정대체기준!$A$20:$A$49,0)),1)))</f>
        <v/>
      </c>
      <c r="Z4633" s="94">
        <f>IF($A4633="",0,IF(AE4633="직접",IF(AF4633="신계약비",$P4633,0),$P4633*(1-AG4633)*IFERROR(INDEX(계정대체기준!$C$20:$C$49,MATCH($N4633,계정대체기준!$A$20:$A$49,0)),0)))</f>
        <v/>
      </c>
      <c r="AA4633" s="94">
        <f>IF($A4633="",0,IF(AE4633="직접",IF(OR(AF4633="유지비",AF4633="손해조사비"),$P4633,0),$P4633*(1-AG4633)*IFERROR(INDEX(계정대체기준!$D$20:$D$49,MATCH($N4633,계정대체기준!$A$20:$A$49,0)),0)))</f>
        <v/>
      </c>
      <c r="AB4633" s="94">
        <f>IF($A4633="",0,IF(AE4633="직접",IF(AF4633="수금비",$P4633,0),$P4633*(1-AG4633)*IFERROR(INDEX(계정대체기준!$E$20:$E$49,MATCH($N4633,계정대체기준!$A$20:$A$49,0)),0)))</f>
        <v/>
      </c>
      <c r="AC4633" s="9">
        <f>IF(AND($A4633&lt;&gt;"",M4633=설정!$C$20,Z4633&gt;0),Z4633+ROW()/1000000000,"")</f>
        <v/>
      </c>
      <c r="AD4633" s="94">
        <f>IF($A4633="",0,$P4633*AG4633)</f>
        <v/>
      </c>
      <c r="AE4633" s="64">
        <f>IF($A4633="","",IFERROR(INDEX(계정매핑!$E$5:$E$504,MATCH($F4633&amp;"",계정매핑!$A$5:$A$504,0))&amp;"","공통비"))</f>
        <v/>
      </c>
      <c r="AF4633" s="64">
        <f>IF($A4633="","",IF(AE4633="직접",IFERROR(INDEX(계정매핑!$F$5:$F$504,MATCH($F4633&amp;"",계정매핑!$A$5:$A$504,0))&amp;"","비귀속"),""))</f>
        <v/>
      </c>
      <c r="AG4633" s="96">
        <f>IF($A4633="",0,IF(AND(AE4633&lt;&gt;"직접",IFERROR(INDEX(계정매핑!$G$5:$G$504,MATCH($F4633&amp;"",계정매핑!$A$5:$A$504,0))&amp;"","")="유지비",COUNTIF(계정대체기준!$A$6:$A$15,$N4633)&gt;0),IFERROR(INDEX(계정대체기준!$E$6:$E$15,MATCH(VALUE($A4633&amp;""),계정대체기준!$D$6:$D$15,0)),0),0))</f>
        <v/>
      </c>
      <c r="AH4633" s="64">
        <f>IF($A4633="","",IF(AD4633=0,"",IF(OR(COUNTIF(계정대체기준!$A$77:$A$86,$N4633)&gt;0,ISNUMBER(MATCH($X4633,계정대체기준!$D$77:$D$86,0)),ISNUMBER(MATCH($F4633,계정대체기준!$D$77:$D$86,0))),"Y","N")))</f>
        <v/>
      </c>
    </row>
    <row r="4634">
      <c r="A4634" s="92" t="n">
        <v>2026</v>
      </c>
      <c r="B4634" s="92" t="n">
        <v>9</v>
      </c>
      <c r="C4634" s="92" t="inlineStr">
        <is>
          <t>5100001912</t>
        </is>
      </c>
      <c r="D4634" s="95" t="n">
        <v>46275</v>
      </c>
      <c r="E4634" s="92" t="inlineStr">
        <is>
          <t>KR</t>
        </is>
      </c>
      <c r="F4634" s="92" t="n">
        <v>62501000</v>
      </c>
      <c r="G4634" s="92" t="n">
        <v>1701</v>
      </c>
      <c r="H4634" s="93" t="n">
        <v>126000</v>
      </c>
      <c r="I4634" s="92" t="inlineStr">
        <is>
          <t>9월 회의 다과 - (법인카드)</t>
        </is>
      </c>
      <c r="J4634" s="92" t="inlineStr">
        <is>
          <t>V10010</t>
        </is>
      </c>
      <c r="K4634" s="92" t="inlineStr">
        <is>
          <t>(법인카드)</t>
        </is>
      </c>
      <c r="M4634" s="9">
        <f>IF($A4634="","",VALUE($A4634&amp;"")*12+VALUE($B4634&amp;""))</f>
        <v/>
      </c>
      <c r="N4634" s="64">
        <f>IF($A4634="","",IFERROR(INDEX(부서매핑!$C$5:$C$504,MATCH($G4634&amp;"",부서매핑!$A$5:$A$504,0)),"미매핑"))</f>
        <v/>
      </c>
      <c r="O4634" s="9">
        <f>IF($A4634="","",N4634&amp;"|"&amp;$F4634)</f>
        <v/>
      </c>
      <c r="P4634" s="94">
        <f>IF($A4634="",0,$H4634*설정!$C$23)</f>
        <v/>
      </c>
      <c r="Q4634" s="64">
        <f>IF($A4634="","",IF(O4634&lt;&gt;원인분석!$C$9,"",IF(AND(M4634&gt;=원인분석!$C$10,M4634&lt;=원인분석!$C$11),"당기",IF(AND(M4634&gt;=원인분석!$C$12,M4634&lt;=원인분석!$C$13),"비교",""))))</f>
        <v/>
      </c>
      <c r="R4634" s="9">
        <f>IF(Q4634="","",$K4634&amp;"")</f>
        <v/>
      </c>
      <c r="S4634" s="9">
        <f>IF(Q4634="","",IF(MATCH(R4634,$R$5:$R$100000,0)=ROW()-4,ROW(),""))</f>
        <v/>
      </c>
      <c r="T4634" s="9">
        <f>IF(Q4634="당기",ABS(P4634)+ROW()/1000000000,"")</f>
        <v/>
      </c>
      <c r="U4634" s="9">
        <f>IF(Q4634="비교",ABS(P4634)+ROW()/1000000000,"")</f>
        <v/>
      </c>
      <c r="V4634" s="64">
        <f>IF($A4634="","",IF(COUNTIF(변동분석!$E$7:$E$506,O4634)&gt;0,"Y","N"))</f>
        <v/>
      </c>
      <c r="W4634" s="64">
        <f>IF($A4634="","",IFERROR(INDEX(계정매핑!$D$5:$D$504,MATCH($F4634&amp;"",계정매핑!$A$5:$A$504,0)),"미매핑"))</f>
        <v/>
      </c>
      <c r="X4634" s="9">
        <f>IF($A4634="","",$F4634&amp;"")</f>
        <v/>
      </c>
      <c r="Y4634" s="94">
        <f>IF($A4634="",0,IF(AE4634="직접",IF(AF4634="비귀속",$P4634,0),$P4634*(1-AG4634)*IFERROR(INDEX(계정대체기준!$F$20:$F$49,MATCH($N4634,계정대체기준!$A$20:$A$49,0)),1)))</f>
        <v/>
      </c>
      <c r="Z4634" s="94">
        <f>IF($A4634="",0,IF(AE4634="직접",IF(AF4634="신계약비",$P4634,0),$P4634*(1-AG4634)*IFERROR(INDEX(계정대체기준!$C$20:$C$49,MATCH($N4634,계정대체기준!$A$20:$A$49,0)),0)))</f>
        <v/>
      </c>
      <c r="AA4634" s="94">
        <f>IF($A4634="",0,IF(AE4634="직접",IF(OR(AF4634="유지비",AF4634="손해조사비"),$P4634,0),$P4634*(1-AG4634)*IFERROR(INDEX(계정대체기준!$D$20:$D$49,MATCH($N4634,계정대체기준!$A$20:$A$49,0)),0)))</f>
        <v/>
      </c>
      <c r="AB4634" s="94">
        <f>IF($A4634="",0,IF(AE4634="직접",IF(AF4634="수금비",$P4634,0),$P4634*(1-AG4634)*IFERROR(INDEX(계정대체기준!$E$20:$E$49,MATCH($N4634,계정대체기준!$A$20:$A$49,0)),0)))</f>
        <v/>
      </c>
      <c r="AC4634" s="9">
        <f>IF(AND($A4634&lt;&gt;"",M4634=설정!$C$20,Z4634&gt;0),Z4634+ROW()/1000000000,"")</f>
        <v/>
      </c>
      <c r="AD4634" s="94">
        <f>IF($A4634="",0,$P4634*AG4634)</f>
        <v/>
      </c>
      <c r="AE4634" s="64">
        <f>IF($A4634="","",IFERROR(INDEX(계정매핑!$E$5:$E$504,MATCH($F4634&amp;"",계정매핑!$A$5:$A$504,0))&amp;"","공통비"))</f>
        <v/>
      </c>
      <c r="AF4634" s="64">
        <f>IF($A4634="","",IF(AE4634="직접",IFERROR(INDEX(계정매핑!$F$5:$F$504,MATCH($F4634&amp;"",계정매핑!$A$5:$A$504,0))&amp;"","비귀속"),""))</f>
        <v/>
      </c>
      <c r="AG4634" s="96">
        <f>IF($A4634="",0,IF(AND(AE4634&lt;&gt;"직접",IFERROR(INDEX(계정매핑!$G$5:$G$504,MATCH($F4634&amp;"",계정매핑!$A$5:$A$504,0))&amp;"","")="유지비",COUNTIF(계정대체기준!$A$6:$A$15,$N4634)&gt;0),IFERROR(INDEX(계정대체기준!$E$6:$E$15,MATCH(VALUE($A4634&amp;""),계정대체기준!$D$6:$D$15,0)),0),0))</f>
        <v/>
      </c>
      <c r="AH4634" s="64">
        <f>IF($A4634="","",IF(AD4634=0,"",IF(OR(COUNTIF(계정대체기준!$A$77:$A$86,$N4634)&gt;0,ISNUMBER(MATCH($X4634,계정대체기준!$D$77:$D$86,0)),ISNUMBER(MATCH($F4634,계정대체기준!$D$77:$D$86,0))),"Y","N")))</f>
        <v/>
      </c>
    </row>
    <row r="4635">
      <c r="A4635" s="92" t="n">
        <v>2026</v>
      </c>
      <c r="B4635" s="92" t="n">
        <v>9</v>
      </c>
      <c r="C4635" s="92" t="inlineStr">
        <is>
          <t>5100001913</t>
        </is>
      </c>
      <c r="D4635" s="95" t="n">
        <v>46275</v>
      </c>
      <c r="E4635" s="92" t="inlineStr">
        <is>
          <t>KR</t>
        </is>
      </c>
      <c r="F4635" s="92" t="n">
        <v>62802000</v>
      </c>
      <c r="G4635" s="92" t="n">
        <v>1301</v>
      </c>
      <c r="H4635" s="93" t="n">
        <v>4780000</v>
      </c>
      <c r="I4635" s="92" t="inlineStr">
        <is>
          <t>9월 위탁교육 - I교육원</t>
        </is>
      </c>
      <c r="J4635" s="92" t="inlineStr">
        <is>
          <t>V10019</t>
        </is>
      </c>
      <c r="K4635" s="92" t="inlineStr">
        <is>
          <t>I교육원</t>
        </is>
      </c>
      <c r="M4635" s="9">
        <f>IF($A4635="","",VALUE($A4635&amp;"")*12+VALUE($B4635&amp;""))</f>
        <v/>
      </c>
      <c r="N4635" s="64">
        <f>IF($A4635="","",IFERROR(INDEX(부서매핑!$C$5:$C$504,MATCH($G4635&amp;"",부서매핑!$A$5:$A$504,0)),"미매핑"))</f>
        <v/>
      </c>
      <c r="O4635" s="9">
        <f>IF($A4635="","",N4635&amp;"|"&amp;$F4635)</f>
        <v/>
      </c>
      <c r="P4635" s="94">
        <f>IF($A4635="",0,$H4635*설정!$C$23)</f>
        <v/>
      </c>
      <c r="Q4635" s="64">
        <f>IF($A4635="","",IF(O4635&lt;&gt;원인분석!$C$9,"",IF(AND(M4635&gt;=원인분석!$C$10,M4635&lt;=원인분석!$C$11),"당기",IF(AND(M4635&gt;=원인분석!$C$12,M4635&lt;=원인분석!$C$13),"비교",""))))</f>
        <v/>
      </c>
      <c r="R4635" s="9">
        <f>IF(Q4635="","",$K4635&amp;"")</f>
        <v/>
      </c>
      <c r="S4635" s="9">
        <f>IF(Q4635="","",IF(MATCH(R4635,$R$5:$R$100000,0)=ROW()-4,ROW(),""))</f>
        <v/>
      </c>
      <c r="T4635" s="9">
        <f>IF(Q4635="당기",ABS(P4635)+ROW()/1000000000,"")</f>
        <v/>
      </c>
      <c r="U4635" s="9">
        <f>IF(Q4635="비교",ABS(P4635)+ROW()/1000000000,"")</f>
        <v/>
      </c>
      <c r="V4635" s="64">
        <f>IF($A4635="","",IF(COUNTIF(변동분석!$E$7:$E$506,O4635)&gt;0,"Y","N"))</f>
        <v/>
      </c>
      <c r="W4635" s="64">
        <f>IF($A4635="","",IFERROR(INDEX(계정매핑!$D$5:$D$504,MATCH($F4635&amp;"",계정매핑!$A$5:$A$504,0)),"미매핑"))</f>
        <v/>
      </c>
      <c r="X4635" s="9">
        <f>IF($A4635="","",$F4635&amp;"")</f>
        <v/>
      </c>
      <c r="Y4635" s="94">
        <f>IF($A4635="",0,IF(AE4635="직접",IF(AF4635="비귀속",$P4635,0),$P4635*(1-AG4635)*IFERROR(INDEX(계정대체기준!$F$20:$F$49,MATCH($N4635,계정대체기준!$A$20:$A$49,0)),1)))</f>
        <v/>
      </c>
      <c r="Z4635" s="94">
        <f>IF($A4635="",0,IF(AE4635="직접",IF(AF4635="신계약비",$P4635,0),$P4635*(1-AG4635)*IFERROR(INDEX(계정대체기준!$C$20:$C$49,MATCH($N4635,계정대체기준!$A$20:$A$49,0)),0)))</f>
        <v/>
      </c>
      <c r="AA4635" s="94">
        <f>IF($A4635="",0,IF(AE4635="직접",IF(OR(AF4635="유지비",AF4635="손해조사비"),$P4635,0),$P4635*(1-AG4635)*IFERROR(INDEX(계정대체기준!$D$20:$D$49,MATCH($N4635,계정대체기준!$A$20:$A$49,0)),0)))</f>
        <v/>
      </c>
      <c r="AB4635" s="94">
        <f>IF($A4635="",0,IF(AE4635="직접",IF(AF4635="수금비",$P4635,0),$P4635*(1-AG4635)*IFERROR(INDEX(계정대체기준!$E$20:$E$49,MATCH($N4635,계정대체기준!$A$20:$A$49,0)),0)))</f>
        <v/>
      </c>
      <c r="AC4635" s="9">
        <f>IF(AND($A4635&lt;&gt;"",M4635=설정!$C$20,Z4635&gt;0),Z4635+ROW()/1000000000,"")</f>
        <v/>
      </c>
      <c r="AD4635" s="94">
        <f>IF($A4635="",0,$P4635*AG4635)</f>
        <v/>
      </c>
      <c r="AE4635" s="64">
        <f>IF($A4635="","",IFERROR(INDEX(계정매핑!$E$5:$E$504,MATCH($F4635&amp;"",계정매핑!$A$5:$A$504,0))&amp;"","공통비"))</f>
        <v/>
      </c>
      <c r="AF4635" s="64">
        <f>IF($A4635="","",IF(AE4635="직접",IFERROR(INDEX(계정매핑!$F$5:$F$504,MATCH($F4635&amp;"",계정매핑!$A$5:$A$504,0))&amp;"","비귀속"),""))</f>
        <v/>
      </c>
      <c r="AG4635" s="96">
        <f>IF($A4635="",0,IF(AND(AE4635&lt;&gt;"직접",IFERROR(INDEX(계정매핑!$G$5:$G$504,MATCH($F4635&amp;"",계정매핑!$A$5:$A$504,0))&amp;"","")="유지비",COUNTIF(계정대체기준!$A$6:$A$15,$N4635)&gt;0),IFERROR(INDEX(계정대체기준!$E$6:$E$15,MATCH(VALUE($A4635&amp;""),계정대체기준!$D$6:$D$15,0)),0),0))</f>
        <v/>
      </c>
      <c r="AH4635" s="64">
        <f>IF($A4635="","",IF(AD4635=0,"",IF(OR(COUNTIF(계정대체기준!$A$77:$A$86,$N4635)&gt;0,ISNUMBER(MATCH($X4635,계정대체기준!$D$77:$D$86,0)),ISNUMBER(MATCH($F4635,계정대체기준!$D$77:$D$86,0))),"Y","N")))</f>
        <v/>
      </c>
    </row>
    <row r="4636">
      <c r="A4636" s="92" t="n">
        <v>2026</v>
      </c>
      <c r="B4636" s="92" t="n">
        <v>9</v>
      </c>
      <c r="C4636" s="92" t="inlineStr">
        <is>
          <t>5100001914</t>
        </is>
      </c>
      <c r="D4636" s="95" t="n">
        <v>46275</v>
      </c>
      <c r="E4636" s="92" t="inlineStr">
        <is>
          <t>KR</t>
        </is>
      </c>
      <c r="F4636" s="92" t="n">
        <v>62901000</v>
      </c>
      <c r="G4636" s="92" t="n">
        <v>1201</v>
      </c>
      <c r="H4636" s="93" t="n">
        <v>8000000</v>
      </c>
      <c r="I4636" s="92" t="inlineStr">
        <is>
          <t>K회계법인 자문료 9월</t>
        </is>
      </c>
      <c r="J4636" s="92" t="inlineStr">
        <is>
          <t>V10011</t>
        </is>
      </c>
      <c r="K4636" s="92" t="inlineStr">
        <is>
          <t>K회계법인</t>
        </is>
      </c>
      <c r="M4636" s="9">
        <f>IF($A4636="","",VALUE($A4636&amp;"")*12+VALUE($B4636&amp;""))</f>
        <v/>
      </c>
      <c r="N4636" s="64">
        <f>IF($A4636="","",IFERROR(INDEX(부서매핑!$C$5:$C$504,MATCH($G4636&amp;"",부서매핑!$A$5:$A$504,0)),"미매핑"))</f>
        <v/>
      </c>
      <c r="O4636" s="9">
        <f>IF($A4636="","",N4636&amp;"|"&amp;$F4636)</f>
        <v/>
      </c>
      <c r="P4636" s="94">
        <f>IF($A4636="",0,$H4636*설정!$C$23)</f>
        <v/>
      </c>
      <c r="Q4636" s="64">
        <f>IF($A4636="","",IF(O4636&lt;&gt;원인분석!$C$9,"",IF(AND(M4636&gt;=원인분석!$C$10,M4636&lt;=원인분석!$C$11),"당기",IF(AND(M4636&gt;=원인분석!$C$12,M4636&lt;=원인분석!$C$13),"비교",""))))</f>
        <v/>
      </c>
      <c r="R4636" s="9">
        <f>IF(Q4636="","",$K4636&amp;"")</f>
        <v/>
      </c>
      <c r="S4636" s="9">
        <f>IF(Q4636="","",IF(MATCH(R4636,$R$5:$R$100000,0)=ROW()-4,ROW(),""))</f>
        <v/>
      </c>
      <c r="T4636" s="9">
        <f>IF(Q4636="당기",ABS(P4636)+ROW()/1000000000,"")</f>
        <v/>
      </c>
      <c r="U4636" s="9">
        <f>IF(Q4636="비교",ABS(P4636)+ROW()/1000000000,"")</f>
        <v/>
      </c>
      <c r="V4636" s="64">
        <f>IF($A4636="","",IF(COUNTIF(변동분석!$E$7:$E$506,O4636)&gt;0,"Y","N"))</f>
        <v/>
      </c>
      <c r="W4636" s="64">
        <f>IF($A4636="","",IFERROR(INDEX(계정매핑!$D$5:$D$504,MATCH($F4636&amp;"",계정매핑!$A$5:$A$504,0)),"미매핑"))</f>
        <v/>
      </c>
      <c r="X4636" s="9">
        <f>IF($A4636="","",$F4636&amp;"")</f>
        <v/>
      </c>
      <c r="Y4636" s="94">
        <f>IF($A4636="",0,IF(AE4636="직접",IF(AF4636="비귀속",$P4636,0),$P4636*(1-AG4636)*IFERROR(INDEX(계정대체기준!$F$20:$F$49,MATCH($N4636,계정대체기준!$A$20:$A$49,0)),1)))</f>
        <v/>
      </c>
      <c r="Z4636" s="94">
        <f>IF($A4636="",0,IF(AE4636="직접",IF(AF4636="신계약비",$P4636,0),$P4636*(1-AG4636)*IFERROR(INDEX(계정대체기준!$C$20:$C$49,MATCH($N4636,계정대체기준!$A$20:$A$49,0)),0)))</f>
        <v/>
      </c>
      <c r="AA4636" s="94">
        <f>IF($A4636="",0,IF(AE4636="직접",IF(OR(AF4636="유지비",AF4636="손해조사비"),$P4636,0),$P4636*(1-AG4636)*IFERROR(INDEX(계정대체기준!$D$20:$D$49,MATCH($N4636,계정대체기준!$A$20:$A$49,0)),0)))</f>
        <v/>
      </c>
      <c r="AB4636" s="94">
        <f>IF($A4636="",0,IF(AE4636="직접",IF(AF4636="수금비",$P4636,0),$P4636*(1-AG4636)*IFERROR(INDEX(계정대체기준!$E$20:$E$49,MATCH($N4636,계정대체기준!$A$20:$A$49,0)),0)))</f>
        <v/>
      </c>
      <c r="AC4636" s="9">
        <f>IF(AND($A4636&lt;&gt;"",M4636=설정!$C$20,Z4636&gt;0),Z4636+ROW()/1000000000,"")</f>
        <v/>
      </c>
      <c r="AD4636" s="94">
        <f>IF($A4636="",0,$P4636*AG4636)</f>
        <v/>
      </c>
      <c r="AE4636" s="64">
        <f>IF($A4636="","",IFERROR(INDEX(계정매핑!$E$5:$E$504,MATCH($F4636&amp;"",계정매핑!$A$5:$A$504,0))&amp;"","공통비"))</f>
        <v/>
      </c>
      <c r="AF4636" s="64">
        <f>IF($A4636="","",IF(AE4636="직접",IFERROR(INDEX(계정매핑!$F$5:$F$504,MATCH($F4636&amp;"",계정매핑!$A$5:$A$504,0))&amp;"","비귀속"),""))</f>
        <v/>
      </c>
      <c r="AG4636" s="96">
        <f>IF($A4636="",0,IF(AND(AE4636&lt;&gt;"직접",IFERROR(INDEX(계정매핑!$G$5:$G$504,MATCH($F4636&amp;"",계정매핑!$A$5:$A$504,0))&amp;"","")="유지비",COUNTIF(계정대체기준!$A$6:$A$15,$N4636)&gt;0),IFERROR(INDEX(계정대체기준!$E$6:$E$15,MATCH(VALUE($A4636&amp;""),계정대체기준!$D$6:$D$15,0)),0),0))</f>
        <v/>
      </c>
      <c r="AH4636" s="64">
        <f>IF($A4636="","",IF(AD4636=0,"",IF(OR(COUNTIF(계정대체기준!$A$77:$A$86,$N4636)&gt;0,ISNUMBER(MATCH($X4636,계정대체기준!$D$77:$D$86,0)),ISNUMBER(MATCH($F4636,계정대체기준!$D$77:$D$86,0))),"Y","N")))</f>
        <v/>
      </c>
    </row>
    <row r="4637">
      <c r="A4637" s="92" t="n">
        <v>2026</v>
      </c>
      <c r="B4637" s="92" t="n">
        <v>9</v>
      </c>
      <c r="C4637" s="92" t="inlineStr">
        <is>
          <t>5100001915</t>
        </is>
      </c>
      <c r="D4637" s="95" t="n">
        <v>46275</v>
      </c>
      <c r="E4637" s="92" t="inlineStr">
        <is>
          <t>KR</t>
        </is>
      </c>
      <c r="F4637" s="92" t="n">
        <v>62902000</v>
      </c>
      <c r="G4637" s="92" t="n">
        <v>1801</v>
      </c>
      <c r="H4637" s="93" t="n">
        <v>1827000</v>
      </c>
      <c r="I4637" s="92" t="inlineStr">
        <is>
          <t>9월 콜 위탁 수수료(건별)</t>
        </is>
      </c>
      <c r="J4637" s="92" t="inlineStr">
        <is>
          <t>V10016</t>
        </is>
      </c>
      <c r="K4637" s="92" t="inlineStr">
        <is>
          <t>J콜센터</t>
        </is>
      </c>
      <c r="M4637" s="9">
        <f>IF($A4637="","",VALUE($A4637&amp;"")*12+VALUE($B4637&amp;""))</f>
        <v/>
      </c>
      <c r="N4637" s="64">
        <f>IF($A4637="","",IFERROR(INDEX(부서매핑!$C$5:$C$504,MATCH($G4637&amp;"",부서매핑!$A$5:$A$504,0)),"미매핑"))</f>
        <v/>
      </c>
      <c r="O4637" s="9">
        <f>IF($A4637="","",N4637&amp;"|"&amp;$F4637)</f>
        <v/>
      </c>
      <c r="P4637" s="94">
        <f>IF($A4637="",0,$H4637*설정!$C$23)</f>
        <v/>
      </c>
      <c r="Q4637" s="64">
        <f>IF($A4637="","",IF(O4637&lt;&gt;원인분석!$C$9,"",IF(AND(M4637&gt;=원인분석!$C$10,M4637&lt;=원인분석!$C$11),"당기",IF(AND(M4637&gt;=원인분석!$C$12,M4637&lt;=원인분석!$C$13),"비교",""))))</f>
        <v/>
      </c>
      <c r="R4637" s="9">
        <f>IF(Q4637="","",$K4637&amp;"")</f>
        <v/>
      </c>
      <c r="S4637" s="9">
        <f>IF(Q4637="","",IF(MATCH(R4637,$R$5:$R$100000,0)=ROW()-4,ROW(),""))</f>
        <v/>
      </c>
      <c r="T4637" s="9">
        <f>IF(Q4637="당기",ABS(P4637)+ROW()/1000000000,"")</f>
        <v/>
      </c>
      <c r="U4637" s="9">
        <f>IF(Q4637="비교",ABS(P4637)+ROW()/1000000000,"")</f>
        <v/>
      </c>
      <c r="V4637" s="64">
        <f>IF($A4637="","",IF(COUNTIF(변동분석!$E$7:$E$506,O4637)&gt;0,"Y","N"))</f>
        <v/>
      </c>
      <c r="W4637" s="64">
        <f>IF($A4637="","",IFERROR(INDEX(계정매핑!$D$5:$D$504,MATCH($F4637&amp;"",계정매핑!$A$5:$A$504,0)),"미매핑"))</f>
        <v/>
      </c>
      <c r="X4637" s="9">
        <f>IF($A4637="","",$F4637&amp;"")</f>
        <v/>
      </c>
      <c r="Y4637" s="94">
        <f>IF($A4637="",0,IF(AE4637="직접",IF(AF4637="비귀속",$P4637,0),$P4637*(1-AG4637)*IFERROR(INDEX(계정대체기준!$F$20:$F$49,MATCH($N4637,계정대체기준!$A$20:$A$49,0)),1)))</f>
        <v/>
      </c>
      <c r="Z4637" s="94">
        <f>IF($A4637="",0,IF(AE4637="직접",IF(AF4637="신계약비",$P4637,0),$P4637*(1-AG4637)*IFERROR(INDEX(계정대체기준!$C$20:$C$49,MATCH($N4637,계정대체기준!$A$20:$A$49,0)),0)))</f>
        <v/>
      </c>
      <c r="AA4637" s="94">
        <f>IF($A4637="",0,IF(AE4637="직접",IF(OR(AF4637="유지비",AF4637="손해조사비"),$P4637,0),$P4637*(1-AG4637)*IFERROR(INDEX(계정대체기준!$D$20:$D$49,MATCH($N4637,계정대체기준!$A$20:$A$49,0)),0)))</f>
        <v/>
      </c>
      <c r="AB4637" s="94">
        <f>IF($A4637="",0,IF(AE4637="직접",IF(AF4637="수금비",$P4637,0),$P4637*(1-AG4637)*IFERROR(INDEX(계정대체기준!$E$20:$E$49,MATCH($N4637,계정대체기준!$A$20:$A$49,0)),0)))</f>
        <v/>
      </c>
      <c r="AC4637" s="9">
        <f>IF(AND($A4637&lt;&gt;"",M4637=설정!$C$20,Z4637&gt;0),Z4637+ROW()/1000000000,"")</f>
        <v/>
      </c>
      <c r="AD4637" s="94">
        <f>IF($A4637="",0,$P4637*AG4637)</f>
        <v/>
      </c>
      <c r="AE4637" s="64">
        <f>IF($A4637="","",IFERROR(INDEX(계정매핑!$E$5:$E$504,MATCH($F4637&amp;"",계정매핑!$A$5:$A$504,0))&amp;"","공통비"))</f>
        <v/>
      </c>
      <c r="AF4637" s="64">
        <f>IF($A4637="","",IF(AE4637="직접",IFERROR(INDEX(계정매핑!$F$5:$F$504,MATCH($F4637&amp;"",계정매핑!$A$5:$A$504,0))&amp;"","비귀속"),""))</f>
        <v/>
      </c>
      <c r="AG4637" s="96">
        <f>IF($A4637="",0,IF(AND(AE4637&lt;&gt;"직접",IFERROR(INDEX(계정매핑!$G$5:$G$504,MATCH($F4637&amp;"",계정매핑!$A$5:$A$504,0))&amp;"","")="유지비",COUNTIF(계정대체기준!$A$6:$A$15,$N4637)&gt;0),IFERROR(INDEX(계정대체기준!$E$6:$E$15,MATCH(VALUE($A4637&amp;""),계정대체기준!$D$6:$D$15,0)),0),0))</f>
        <v/>
      </c>
      <c r="AH4637" s="64">
        <f>IF($A4637="","",IF(AD4637=0,"",IF(OR(COUNTIF(계정대체기준!$A$77:$A$86,$N4637)&gt;0,ISNUMBER(MATCH($X4637,계정대체기준!$D$77:$D$86,0)),ISNUMBER(MATCH($F4637,계정대체기준!$D$77:$D$86,0))),"Y","N")))</f>
        <v/>
      </c>
    </row>
    <row r="4638">
      <c r="A4638" s="92" t="n">
        <v>2026</v>
      </c>
      <c r="B4638" s="92" t="n">
        <v>9</v>
      </c>
      <c r="C4638" s="92" t="inlineStr">
        <is>
          <t>5100001916</t>
        </is>
      </c>
      <c r="D4638" s="95" t="n">
        <v>46275</v>
      </c>
      <c r="E4638" s="92" t="inlineStr">
        <is>
          <t>KR</t>
        </is>
      </c>
      <c r="F4638" s="92" t="n">
        <v>63002000</v>
      </c>
      <c r="G4638" s="92" t="n">
        <v>1951</v>
      </c>
      <c r="H4638" s="93" t="n">
        <v>8115000</v>
      </c>
      <c r="I4638" s="92" t="inlineStr">
        <is>
          <t>9월 클라우드 사용료 - C클라우드</t>
        </is>
      </c>
      <c r="J4638" s="92" t="inlineStr">
        <is>
          <t>V10026</t>
        </is>
      </c>
      <c r="K4638" s="92" t="inlineStr">
        <is>
          <t>C클라우드</t>
        </is>
      </c>
      <c r="M4638" s="9">
        <f>IF($A4638="","",VALUE($A4638&amp;"")*12+VALUE($B4638&amp;""))</f>
        <v/>
      </c>
      <c r="N4638" s="64">
        <f>IF($A4638="","",IFERROR(INDEX(부서매핑!$C$5:$C$504,MATCH($G4638&amp;"",부서매핑!$A$5:$A$504,0)),"미매핑"))</f>
        <v/>
      </c>
      <c r="O4638" s="9">
        <f>IF($A4638="","",N4638&amp;"|"&amp;$F4638)</f>
        <v/>
      </c>
      <c r="P4638" s="94">
        <f>IF($A4638="",0,$H4638*설정!$C$23)</f>
        <v/>
      </c>
      <c r="Q4638" s="64">
        <f>IF($A4638="","",IF(O4638&lt;&gt;원인분석!$C$9,"",IF(AND(M4638&gt;=원인분석!$C$10,M4638&lt;=원인분석!$C$11),"당기",IF(AND(M4638&gt;=원인분석!$C$12,M4638&lt;=원인분석!$C$13),"비교",""))))</f>
        <v/>
      </c>
      <c r="R4638" s="9">
        <f>IF(Q4638="","",$K4638&amp;"")</f>
        <v/>
      </c>
      <c r="S4638" s="9">
        <f>IF(Q4638="","",IF(MATCH(R4638,$R$5:$R$100000,0)=ROW()-4,ROW(),""))</f>
        <v/>
      </c>
      <c r="T4638" s="9">
        <f>IF(Q4638="당기",ABS(P4638)+ROW()/1000000000,"")</f>
        <v/>
      </c>
      <c r="U4638" s="9">
        <f>IF(Q4638="비교",ABS(P4638)+ROW()/1000000000,"")</f>
        <v/>
      </c>
      <c r="V4638" s="64">
        <f>IF($A4638="","",IF(COUNTIF(변동분석!$E$7:$E$506,O4638)&gt;0,"Y","N"))</f>
        <v/>
      </c>
      <c r="W4638" s="64">
        <f>IF($A4638="","",IFERROR(INDEX(계정매핑!$D$5:$D$504,MATCH($F4638&amp;"",계정매핑!$A$5:$A$504,0)),"미매핑"))</f>
        <v/>
      </c>
      <c r="X4638" s="9">
        <f>IF($A4638="","",$F4638&amp;"")</f>
        <v/>
      </c>
      <c r="Y4638" s="94">
        <f>IF($A4638="",0,IF(AE4638="직접",IF(AF4638="비귀속",$P4638,0),$P4638*(1-AG4638)*IFERROR(INDEX(계정대체기준!$F$20:$F$49,MATCH($N4638,계정대체기준!$A$20:$A$49,0)),1)))</f>
        <v/>
      </c>
      <c r="Z4638" s="94">
        <f>IF($A4638="",0,IF(AE4638="직접",IF(AF4638="신계약비",$P4638,0),$P4638*(1-AG4638)*IFERROR(INDEX(계정대체기준!$C$20:$C$49,MATCH($N4638,계정대체기준!$A$20:$A$49,0)),0)))</f>
        <v/>
      </c>
      <c r="AA4638" s="94">
        <f>IF($A4638="",0,IF(AE4638="직접",IF(OR(AF4638="유지비",AF4638="손해조사비"),$P4638,0),$P4638*(1-AG4638)*IFERROR(INDEX(계정대체기준!$D$20:$D$49,MATCH($N4638,계정대체기준!$A$20:$A$49,0)),0)))</f>
        <v/>
      </c>
      <c r="AB4638" s="94">
        <f>IF($A4638="",0,IF(AE4638="직접",IF(AF4638="수금비",$P4638,0),$P4638*(1-AG4638)*IFERROR(INDEX(계정대체기준!$E$20:$E$49,MATCH($N4638,계정대체기준!$A$20:$A$49,0)),0)))</f>
        <v/>
      </c>
      <c r="AC4638" s="9">
        <f>IF(AND($A4638&lt;&gt;"",M4638=설정!$C$20,Z4638&gt;0),Z4638+ROW()/1000000000,"")</f>
        <v/>
      </c>
      <c r="AD4638" s="94">
        <f>IF($A4638="",0,$P4638*AG4638)</f>
        <v/>
      </c>
      <c r="AE4638" s="64">
        <f>IF($A4638="","",IFERROR(INDEX(계정매핑!$E$5:$E$504,MATCH($F4638&amp;"",계정매핑!$A$5:$A$504,0))&amp;"","공통비"))</f>
        <v/>
      </c>
      <c r="AF4638" s="64">
        <f>IF($A4638="","",IF(AE4638="직접",IFERROR(INDEX(계정매핑!$F$5:$F$504,MATCH($F4638&amp;"",계정매핑!$A$5:$A$504,0))&amp;"","비귀속"),""))</f>
        <v/>
      </c>
      <c r="AG4638" s="96">
        <f>IF($A4638="",0,IF(AND(AE4638&lt;&gt;"직접",IFERROR(INDEX(계정매핑!$G$5:$G$504,MATCH($F4638&amp;"",계정매핑!$A$5:$A$504,0))&amp;"","")="유지비",COUNTIF(계정대체기준!$A$6:$A$15,$N4638)&gt;0),IFERROR(INDEX(계정대체기준!$E$6:$E$15,MATCH(VALUE($A4638&amp;""),계정대체기준!$D$6:$D$15,0)),0),0))</f>
        <v/>
      </c>
      <c r="AH4638" s="64">
        <f>IF($A4638="","",IF(AD4638=0,"",IF(OR(COUNTIF(계정대체기준!$A$77:$A$86,$N4638)&gt;0,ISNUMBER(MATCH($X4638,계정대체기준!$D$77:$D$86,0)),ISNUMBER(MATCH($F4638,계정대체기준!$D$77:$D$86,0))),"Y","N")))</f>
        <v/>
      </c>
    </row>
    <row r="4639">
      <c r="A4639" s="92" t="n">
        <v>2026</v>
      </c>
      <c r="B4639" s="92" t="n">
        <v>9</v>
      </c>
      <c r="C4639" s="92" t="inlineStr">
        <is>
          <t>5100001917</t>
        </is>
      </c>
      <c r="D4639" s="95" t="n">
        <v>46275</v>
      </c>
      <c r="E4639" s="92" t="inlineStr">
        <is>
          <t>KR</t>
        </is>
      </c>
      <c r="F4639" s="92" t="n">
        <v>63101000</v>
      </c>
      <c r="G4639" s="92" t="n">
        <v>1602</v>
      </c>
      <c r="H4639" s="93" t="n">
        <v>5662000</v>
      </c>
      <c r="I4639" s="92" t="inlineStr">
        <is>
          <t>9월 사무실 임차료 - BB부동산</t>
        </is>
      </c>
      <c r="J4639" s="92" t="inlineStr">
        <is>
          <t>V10028</t>
        </is>
      </c>
      <c r="K4639" s="92" t="inlineStr">
        <is>
          <t>BB부동산</t>
        </is>
      </c>
      <c r="M4639" s="9">
        <f>IF($A4639="","",VALUE($A4639&amp;"")*12+VALUE($B4639&amp;""))</f>
        <v/>
      </c>
      <c r="N4639" s="64">
        <f>IF($A4639="","",IFERROR(INDEX(부서매핑!$C$5:$C$504,MATCH($G4639&amp;"",부서매핑!$A$5:$A$504,0)),"미매핑"))</f>
        <v/>
      </c>
      <c r="O4639" s="9">
        <f>IF($A4639="","",N4639&amp;"|"&amp;$F4639)</f>
        <v/>
      </c>
      <c r="P4639" s="94">
        <f>IF($A4639="",0,$H4639*설정!$C$23)</f>
        <v/>
      </c>
      <c r="Q4639" s="64">
        <f>IF($A4639="","",IF(O4639&lt;&gt;원인분석!$C$9,"",IF(AND(M4639&gt;=원인분석!$C$10,M4639&lt;=원인분석!$C$11),"당기",IF(AND(M4639&gt;=원인분석!$C$12,M4639&lt;=원인분석!$C$13),"비교",""))))</f>
        <v/>
      </c>
      <c r="R4639" s="9">
        <f>IF(Q4639="","",$K4639&amp;"")</f>
        <v/>
      </c>
      <c r="S4639" s="9">
        <f>IF(Q4639="","",IF(MATCH(R4639,$R$5:$R$100000,0)=ROW()-4,ROW(),""))</f>
        <v/>
      </c>
      <c r="T4639" s="9">
        <f>IF(Q4639="당기",ABS(P4639)+ROW()/1000000000,"")</f>
        <v/>
      </c>
      <c r="U4639" s="9">
        <f>IF(Q4639="비교",ABS(P4639)+ROW()/1000000000,"")</f>
        <v/>
      </c>
      <c r="V4639" s="64">
        <f>IF($A4639="","",IF(COUNTIF(변동분석!$E$7:$E$506,O4639)&gt;0,"Y","N"))</f>
        <v/>
      </c>
      <c r="W4639" s="64">
        <f>IF($A4639="","",IFERROR(INDEX(계정매핑!$D$5:$D$504,MATCH($F4639&amp;"",계정매핑!$A$5:$A$504,0)),"미매핑"))</f>
        <v/>
      </c>
      <c r="X4639" s="9">
        <f>IF($A4639="","",$F4639&amp;"")</f>
        <v/>
      </c>
      <c r="Y4639" s="94">
        <f>IF($A4639="",0,IF(AE4639="직접",IF(AF4639="비귀속",$P4639,0),$P4639*(1-AG4639)*IFERROR(INDEX(계정대체기준!$F$20:$F$49,MATCH($N4639,계정대체기준!$A$20:$A$49,0)),1)))</f>
        <v/>
      </c>
      <c r="Z4639" s="94">
        <f>IF($A4639="",0,IF(AE4639="직접",IF(AF4639="신계약비",$P4639,0),$P4639*(1-AG4639)*IFERROR(INDEX(계정대체기준!$C$20:$C$49,MATCH($N4639,계정대체기준!$A$20:$A$49,0)),0)))</f>
        <v/>
      </c>
      <c r="AA4639" s="94">
        <f>IF($A4639="",0,IF(AE4639="직접",IF(OR(AF4639="유지비",AF4639="손해조사비"),$P4639,0),$P4639*(1-AG4639)*IFERROR(INDEX(계정대체기준!$D$20:$D$49,MATCH($N4639,계정대체기준!$A$20:$A$49,0)),0)))</f>
        <v/>
      </c>
      <c r="AB4639" s="94">
        <f>IF($A4639="",0,IF(AE4639="직접",IF(AF4639="수금비",$P4639,0),$P4639*(1-AG4639)*IFERROR(INDEX(계정대체기준!$E$20:$E$49,MATCH($N4639,계정대체기준!$A$20:$A$49,0)),0)))</f>
        <v/>
      </c>
      <c r="AC4639" s="9">
        <f>IF(AND($A4639&lt;&gt;"",M4639=설정!$C$20,Z4639&gt;0),Z4639+ROW()/1000000000,"")</f>
        <v/>
      </c>
      <c r="AD4639" s="94">
        <f>IF($A4639="",0,$P4639*AG4639)</f>
        <v/>
      </c>
      <c r="AE4639" s="64">
        <f>IF($A4639="","",IFERROR(INDEX(계정매핑!$E$5:$E$504,MATCH($F4639&amp;"",계정매핑!$A$5:$A$504,0))&amp;"","공통비"))</f>
        <v/>
      </c>
      <c r="AF4639" s="64">
        <f>IF($A4639="","",IF(AE4639="직접",IFERROR(INDEX(계정매핑!$F$5:$F$504,MATCH($F4639&amp;"",계정매핑!$A$5:$A$504,0))&amp;"","비귀속"),""))</f>
        <v/>
      </c>
      <c r="AG4639" s="96">
        <f>IF($A4639="",0,IF(AND(AE4639&lt;&gt;"직접",IFERROR(INDEX(계정매핑!$G$5:$G$504,MATCH($F4639&amp;"",계정매핑!$A$5:$A$504,0))&amp;"","")="유지비",COUNTIF(계정대체기준!$A$6:$A$15,$N4639)&gt;0),IFERROR(INDEX(계정대체기준!$E$6:$E$15,MATCH(VALUE($A4639&amp;""),계정대체기준!$D$6:$D$15,0)),0),0))</f>
        <v/>
      </c>
      <c r="AH4639" s="64">
        <f>IF($A4639="","",IF(AD4639=0,"",IF(OR(COUNTIF(계정대체기준!$A$77:$A$86,$N4639)&gt;0,ISNUMBER(MATCH($X4639,계정대체기준!$D$77:$D$86,0)),ISNUMBER(MATCH($F4639,계정대체기준!$D$77:$D$86,0))),"Y","N")))</f>
        <v/>
      </c>
    </row>
    <row r="4640">
      <c r="A4640" s="92" t="n">
        <v>2026</v>
      </c>
      <c r="B4640" s="92" t="n">
        <v>9</v>
      </c>
      <c r="C4640" s="92" t="inlineStr">
        <is>
          <t>5100001918</t>
        </is>
      </c>
      <c r="D4640" s="95" t="n">
        <v>46275</v>
      </c>
      <c r="E4640" s="92" t="inlineStr">
        <is>
          <t>KR</t>
        </is>
      </c>
      <c r="F4640" s="92" t="n">
        <v>63501000</v>
      </c>
      <c r="G4640" s="92" t="n">
        <v>1902</v>
      </c>
      <c r="H4640" s="93" t="n">
        <v>507133000</v>
      </c>
      <c r="I4640" s="92" t="inlineStr">
        <is>
          <t>9월 모집수수료 - BB에셋</t>
        </is>
      </c>
      <c r="J4640" s="92" t="inlineStr">
        <is>
          <t>V10013</t>
        </is>
      </c>
      <c r="K4640" s="92" t="inlineStr">
        <is>
          <t>BB에셋</t>
        </is>
      </c>
      <c r="M4640" s="9">
        <f>IF($A4640="","",VALUE($A4640&amp;"")*12+VALUE($B4640&amp;""))</f>
        <v/>
      </c>
      <c r="N4640" s="64">
        <f>IF($A4640="","",IFERROR(INDEX(부서매핑!$C$5:$C$504,MATCH($G4640&amp;"",부서매핑!$A$5:$A$504,0)),"미매핑"))</f>
        <v/>
      </c>
      <c r="O4640" s="9">
        <f>IF($A4640="","",N4640&amp;"|"&amp;$F4640)</f>
        <v/>
      </c>
      <c r="P4640" s="94">
        <f>IF($A4640="",0,$H4640*설정!$C$23)</f>
        <v/>
      </c>
      <c r="Q4640" s="64">
        <f>IF($A4640="","",IF(O4640&lt;&gt;원인분석!$C$9,"",IF(AND(M4640&gt;=원인분석!$C$10,M4640&lt;=원인분석!$C$11),"당기",IF(AND(M4640&gt;=원인분석!$C$12,M4640&lt;=원인분석!$C$13),"비교",""))))</f>
        <v/>
      </c>
      <c r="R4640" s="9">
        <f>IF(Q4640="","",$K4640&amp;"")</f>
        <v/>
      </c>
      <c r="S4640" s="9">
        <f>IF(Q4640="","",IF(MATCH(R4640,$R$5:$R$100000,0)=ROW()-4,ROW(),""))</f>
        <v/>
      </c>
      <c r="T4640" s="9">
        <f>IF(Q4640="당기",ABS(P4640)+ROW()/1000000000,"")</f>
        <v/>
      </c>
      <c r="U4640" s="9">
        <f>IF(Q4640="비교",ABS(P4640)+ROW()/1000000000,"")</f>
        <v/>
      </c>
      <c r="V4640" s="64">
        <f>IF($A4640="","",IF(COUNTIF(변동분석!$E$7:$E$506,O4640)&gt;0,"Y","N"))</f>
        <v/>
      </c>
      <c r="W4640" s="64">
        <f>IF($A4640="","",IFERROR(INDEX(계정매핑!$D$5:$D$504,MATCH($F4640&amp;"",계정매핑!$A$5:$A$504,0)),"미매핑"))</f>
        <v/>
      </c>
      <c r="X4640" s="9">
        <f>IF($A4640="","",$F4640&amp;"")</f>
        <v/>
      </c>
      <c r="Y4640" s="94">
        <f>IF($A4640="",0,IF(AE4640="직접",IF(AF4640="비귀속",$P4640,0),$P4640*(1-AG4640)*IFERROR(INDEX(계정대체기준!$F$20:$F$49,MATCH($N4640,계정대체기준!$A$20:$A$49,0)),1)))</f>
        <v/>
      </c>
      <c r="Z4640" s="94">
        <f>IF($A4640="",0,IF(AE4640="직접",IF(AF4640="신계약비",$P4640,0),$P4640*(1-AG4640)*IFERROR(INDEX(계정대체기준!$C$20:$C$49,MATCH($N4640,계정대체기준!$A$20:$A$49,0)),0)))</f>
        <v/>
      </c>
      <c r="AA4640" s="94">
        <f>IF($A4640="",0,IF(AE4640="직접",IF(OR(AF4640="유지비",AF4640="손해조사비"),$P4640,0),$P4640*(1-AG4640)*IFERROR(INDEX(계정대체기준!$D$20:$D$49,MATCH($N4640,계정대체기준!$A$20:$A$49,0)),0)))</f>
        <v/>
      </c>
      <c r="AB4640" s="94">
        <f>IF($A4640="",0,IF(AE4640="직접",IF(AF4640="수금비",$P4640,0),$P4640*(1-AG4640)*IFERROR(INDEX(계정대체기준!$E$20:$E$49,MATCH($N4640,계정대체기준!$A$20:$A$49,0)),0)))</f>
        <v/>
      </c>
      <c r="AC4640" s="9">
        <f>IF(AND($A4640&lt;&gt;"",M4640=설정!$C$20,Z4640&gt;0),Z4640+ROW()/1000000000,"")</f>
        <v/>
      </c>
      <c r="AD4640" s="94">
        <f>IF($A4640="",0,$P4640*AG4640)</f>
        <v/>
      </c>
      <c r="AE4640" s="64">
        <f>IF($A4640="","",IFERROR(INDEX(계정매핑!$E$5:$E$504,MATCH($F4640&amp;"",계정매핑!$A$5:$A$504,0))&amp;"","공통비"))</f>
        <v/>
      </c>
      <c r="AF4640" s="64">
        <f>IF($A4640="","",IF(AE4640="직접",IFERROR(INDEX(계정매핑!$F$5:$F$504,MATCH($F4640&amp;"",계정매핑!$A$5:$A$504,0))&amp;"","비귀속"),""))</f>
        <v/>
      </c>
      <c r="AG4640" s="96">
        <f>IF($A4640="",0,IF(AND(AE4640&lt;&gt;"직접",IFERROR(INDEX(계정매핑!$G$5:$G$504,MATCH($F4640&amp;"",계정매핑!$A$5:$A$504,0))&amp;"","")="유지비",COUNTIF(계정대체기준!$A$6:$A$15,$N4640)&gt;0),IFERROR(INDEX(계정대체기준!$E$6:$E$15,MATCH(VALUE($A4640&amp;""),계정대체기준!$D$6:$D$15,0)),0),0))</f>
        <v/>
      </c>
      <c r="AH4640" s="64">
        <f>IF($A4640="","",IF(AD4640=0,"",IF(OR(COUNTIF(계정대체기준!$A$77:$A$86,$N4640)&gt;0,ISNUMBER(MATCH($X4640,계정대체기준!$D$77:$D$86,0)),ISNUMBER(MATCH($F4640,계정대체기준!$D$77:$D$86,0))),"Y","N")))</f>
        <v/>
      </c>
    </row>
    <row r="4641">
      <c r="A4641" s="92" t="n">
        <v>2026</v>
      </c>
      <c r="B4641" s="92" t="n">
        <v>9</v>
      </c>
      <c r="C4641" s="92" t="inlineStr">
        <is>
          <t>5100001919</t>
        </is>
      </c>
      <c r="D4641" s="95" t="n">
        <v>46275</v>
      </c>
      <c r="E4641" s="92" t="inlineStr">
        <is>
          <t>KR</t>
        </is>
      </c>
      <c r="F4641" s="92" t="n">
        <v>63502000</v>
      </c>
      <c r="G4641" s="92" t="n">
        <v>1902</v>
      </c>
      <c r="H4641" s="93" t="n">
        <v>160250000</v>
      </c>
      <c r="I4641" s="92" t="inlineStr">
        <is>
          <t>9월 유지수수료 - (전속설계사)</t>
        </is>
      </c>
      <c r="J4641" s="92" t="inlineStr">
        <is>
          <t>V10021</t>
        </is>
      </c>
      <c r="K4641" s="92" t="inlineStr">
        <is>
          <t>(전속설계사)</t>
        </is>
      </c>
      <c r="M4641" s="9">
        <f>IF($A4641="","",VALUE($A4641&amp;"")*12+VALUE($B4641&amp;""))</f>
        <v/>
      </c>
      <c r="N4641" s="64">
        <f>IF($A4641="","",IFERROR(INDEX(부서매핑!$C$5:$C$504,MATCH($G4641&amp;"",부서매핑!$A$5:$A$504,0)),"미매핑"))</f>
        <v/>
      </c>
      <c r="O4641" s="9">
        <f>IF($A4641="","",N4641&amp;"|"&amp;$F4641)</f>
        <v/>
      </c>
      <c r="P4641" s="94">
        <f>IF($A4641="",0,$H4641*설정!$C$23)</f>
        <v/>
      </c>
      <c r="Q4641" s="64">
        <f>IF($A4641="","",IF(O4641&lt;&gt;원인분석!$C$9,"",IF(AND(M4641&gt;=원인분석!$C$10,M4641&lt;=원인분석!$C$11),"당기",IF(AND(M4641&gt;=원인분석!$C$12,M4641&lt;=원인분석!$C$13),"비교",""))))</f>
        <v/>
      </c>
      <c r="R4641" s="9">
        <f>IF(Q4641="","",$K4641&amp;"")</f>
        <v/>
      </c>
      <c r="S4641" s="9">
        <f>IF(Q4641="","",IF(MATCH(R4641,$R$5:$R$100000,0)=ROW()-4,ROW(),""))</f>
        <v/>
      </c>
      <c r="T4641" s="9">
        <f>IF(Q4641="당기",ABS(P4641)+ROW()/1000000000,"")</f>
        <v/>
      </c>
      <c r="U4641" s="9">
        <f>IF(Q4641="비교",ABS(P4641)+ROW()/1000000000,"")</f>
        <v/>
      </c>
      <c r="V4641" s="64">
        <f>IF($A4641="","",IF(COUNTIF(변동분석!$E$7:$E$506,O4641)&gt;0,"Y","N"))</f>
        <v/>
      </c>
      <c r="W4641" s="64">
        <f>IF($A4641="","",IFERROR(INDEX(계정매핑!$D$5:$D$504,MATCH($F4641&amp;"",계정매핑!$A$5:$A$504,0)),"미매핑"))</f>
        <v/>
      </c>
      <c r="X4641" s="9">
        <f>IF($A4641="","",$F4641&amp;"")</f>
        <v/>
      </c>
      <c r="Y4641" s="94">
        <f>IF($A4641="",0,IF(AE4641="직접",IF(AF4641="비귀속",$P4641,0),$P4641*(1-AG4641)*IFERROR(INDEX(계정대체기준!$F$20:$F$49,MATCH($N4641,계정대체기준!$A$20:$A$49,0)),1)))</f>
        <v/>
      </c>
      <c r="Z4641" s="94">
        <f>IF($A4641="",0,IF(AE4641="직접",IF(AF4641="신계약비",$P4641,0),$P4641*(1-AG4641)*IFERROR(INDEX(계정대체기준!$C$20:$C$49,MATCH($N4641,계정대체기준!$A$20:$A$49,0)),0)))</f>
        <v/>
      </c>
      <c r="AA4641" s="94">
        <f>IF($A4641="",0,IF(AE4641="직접",IF(OR(AF4641="유지비",AF4641="손해조사비"),$P4641,0),$P4641*(1-AG4641)*IFERROR(INDEX(계정대체기준!$D$20:$D$49,MATCH($N4641,계정대체기준!$A$20:$A$49,0)),0)))</f>
        <v/>
      </c>
      <c r="AB4641" s="94">
        <f>IF($A4641="",0,IF(AE4641="직접",IF(AF4641="수금비",$P4641,0),$P4641*(1-AG4641)*IFERROR(INDEX(계정대체기준!$E$20:$E$49,MATCH($N4641,계정대체기준!$A$20:$A$49,0)),0)))</f>
        <v/>
      </c>
      <c r="AC4641" s="9">
        <f>IF(AND($A4641&lt;&gt;"",M4641=설정!$C$20,Z4641&gt;0),Z4641+ROW()/1000000000,"")</f>
        <v/>
      </c>
      <c r="AD4641" s="94">
        <f>IF($A4641="",0,$P4641*AG4641)</f>
        <v/>
      </c>
      <c r="AE4641" s="64">
        <f>IF($A4641="","",IFERROR(INDEX(계정매핑!$E$5:$E$504,MATCH($F4641&amp;"",계정매핑!$A$5:$A$504,0))&amp;"","공통비"))</f>
        <v/>
      </c>
      <c r="AF4641" s="64">
        <f>IF($A4641="","",IF(AE4641="직접",IFERROR(INDEX(계정매핑!$F$5:$F$504,MATCH($F4641&amp;"",계정매핑!$A$5:$A$504,0))&amp;"","비귀속"),""))</f>
        <v/>
      </c>
      <c r="AG4641" s="96">
        <f>IF($A4641="",0,IF(AND(AE4641&lt;&gt;"직접",IFERROR(INDEX(계정매핑!$G$5:$G$504,MATCH($F4641&amp;"",계정매핑!$A$5:$A$504,0))&amp;"","")="유지비",COUNTIF(계정대체기준!$A$6:$A$15,$N4641)&gt;0),IFERROR(INDEX(계정대체기준!$E$6:$E$15,MATCH(VALUE($A4641&amp;""),계정대체기준!$D$6:$D$15,0)),0),0))</f>
        <v/>
      </c>
      <c r="AH4641" s="64">
        <f>IF($A4641="","",IF(AD4641=0,"",IF(OR(COUNTIF(계정대체기준!$A$77:$A$86,$N4641)&gt;0,ISNUMBER(MATCH($X4641,계정대체기준!$D$77:$D$86,0)),ISNUMBER(MATCH($F4641,계정대체기준!$D$77:$D$86,0))),"Y","N")))</f>
        <v/>
      </c>
    </row>
    <row r="4642">
      <c r="A4642" s="92" t="n">
        <v>2026</v>
      </c>
      <c r="B4642" s="92" t="n">
        <v>9</v>
      </c>
      <c r="C4642" s="92" t="inlineStr">
        <is>
          <t>5100001920</t>
        </is>
      </c>
      <c r="D4642" s="95" t="n">
        <v>46276</v>
      </c>
      <c r="E4642" s="92" t="inlineStr">
        <is>
          <t>KR</t>
        </is>
      </c>
      <c r="F4642" s="92" t="n">
        <v>62101000</v>
      </c>
      <c r="G4642" s="92" t="n">
        <v>1701</v>
      </c>
      <c r="H4642" s="93" t="n">
        <v>167000</v>
      </c>
      <c r="I4642" s="92" t="inlineStr">
        <is>
          <t>9월 국내출장 - M항공</t>
        </is>
      </c>
      <c r="J4642" s="92" t="inlineStr">
        <is>
          <t>V10001</t>
        </is>
      </c>
      <c r="K4642" s="92" t="inlineStr">
        <is>
          <t>M항공</t>
        </is>
      </c>
      <c r="M4642" s="9">
        <f>IF($A4642="","",VALUE($A4642&amp;"")*12+VALUE($B4642&amp;""))</f>
        <v/>
      </c>
      <c r="N4642" s="64">
        <f>IF($A4642="","",IFERROR(INDEX(부서매핑!$C$5:$C$504,MATCH($G4642&amp;"",부서매핑!$A$5:$A$504,0)),"미매핑"))</f>
        <v/>
      </c>
      <c r="O4642" s="9">
        <f>IF($A4642="","",N4642&amp;"|"&amp;$F4642)</f>
        <v/>
      </c>
      <c r="P4642" s="94">
        <f>IF($A4642="",0,$H4642*설정!$C$23)</f>
        <v/>
      </c>
      <c r="Q4642" s="64">
        <f>IF($A4642="","",IF(O4642&lt;&gt;원인분석!$C$9,"",IF(AND(M4642&gt;=원인분석!$C$10,M4642&lt;=원인분석!$C$11),"당기",IF(AND(M4642&gt;=원인분석!$C$12,M4642&lt;=원인분석!$C$13),"비교",""))))</f>
        <v/>
      </c>
      <c r="R4642" s="9">
        <f>IF(Q4642="","",$K4642&amp;"")</f>
        <v/>
      </c>
      <c r="S4642" s="9">
        <f>IF(Q4642="","",IF(MATCH(R4642,$R$5:$R$100000,0)=ROW()-4,ROW(),""))</f>
        <v/>
      </c>
      <c r="T4642" s="9">
        <f>IF(Q4642="당기",ABS(P4642)+ROW()/1000000000,"")</f>
        <v/>
      </c>
      <c r="U4642" s="9">
        <f>IF(Q4642="비교",ABS(P4642)+ROW()/1000000000,"")</f>
        <v/>
      </c>
      <c r="V4642" s="64">
        <f>IF($A4642="","",IF(COUNTIF(변동분석!$E$7:$E$506,O4642)&gt;0,"Y","N"))</f>
        <v/>
      </c>
      <c r="W4642" s="64">
        <f>IF($A4642="","",IFERROR(INDEX(계정매핑!$D$5:$D$504,MATCH($F4642&amp;"",계정매핑!$A$5:$A$504,0)),"미매핑"))</f>
        <v/>
      </c>
      <c r="X4642" s="9">
        <f>IF($A4642="","",$F4642&amp;"")</f>
        <v/>
      </c>
      <c r="Y4642" s="94">
        <f>IF($A4642="",0,IF(AE4642="직접",IF(AF4642="비귀속",$P4642,0),$P4642*(1-AG4642)*IFERROR(INDEX(계정대체기준!$F$20:$F$49,MATCH($N4642,계정대체기준!$A$20:$A$49,0)),1)))</f>
        <v/>
      </c>
      <c r="Z4642" s="94">
        <f>IF($A4642="",0,IF(AE4642="직접",IF(AF4642="신계약비",$P4642,0),$P4642*(1-AG4642)*IFERROR(INDEX(계정대체기준!$C$20:$C$49,MATCH($N4642,계정대체기준!$A$20:$A$49,0)),0)))</f>
        <v/>
      </c>
      <c r="AA4642" s="94">
        <f>IF($A4642="",0,IF(AE4642="직접",IF(OR(AF4642="유지비",AF4642="손해조사비"),$P4642,0),$P4642*(1-AG4642)*IFERROR(INDEX(계정대체기준!$D$20:$D$49,MATCH($N4642,계정대체기준!$A$20:$A$49,0)),0)))</f>
        <v/>
      </c>
      <c r="AB4642" s="94">
        <f>IF($A4642="",0,IF(AE4642="직접",IF(AF4642="수금비",$P4642,0),$P4642*(1-AG4642)*IFERROR(INDEX(계정대체기준!$E$20:$E$49,MATCH($N4642,계정대체기준!$A$20:$A$49,0)),0)))</f>
        <v/>
      </c>
      <c r="AC4642" s="9">
        <f>IF(AND($A4642&lt;&gt;"",M4642=설정!$C$20,Z4642&gt;0),Z4642+ROW()/1000000000,"")</f>
        <v/>
      </c>
      <c r="AD4642" s="94">
        <f>IF($A4642="",0,$P4642*AG4642)</f>
        <v/>
      </c>
      <c r="AE4642" s="64">
        <f>IF($A4642="","",IFERROR(INDEX(계정매핑!$E$5:$E$504,MATCH($F4642&amp;"",계정매핑!$A$5:$A$504,0))&amp;"","공통비"))</f>
        <v/>
      </c>
      <c r="AF4642" s="64">
        <f>IF($A4642="","",IF(AE4642="직접",IFERROR(INDEX(계정매핑!$F$5:$F$504,MATCH($F4642&amp;"",계정매핑!$A$5:$A$504,0))&amp;"","비귀속"),""))</f>
        <v/>
      </c>
      <c r="AG4642" s="96">
        <f>IF($A4642="",0,IF(AND(AE4642&lt;&gt;"직접",IFERROR(INDEX(계정매핑!$G$5:$G$504,MATCH($F4642&amp;"",계정매핑!$A$5:$A$504,0))&amp;"","")="유지비",COUNTIF(계정대체기준!$A$6:$A$15,$N4642)&gt;0),IFERROR(INDEX(계정대체기준!$E$6:$E$15,MATCH(VALUE($A4642&amp;""),계정대체기준!$D$6:$D$15,0)),0),0))</f>
        <v/>
      </c>
      <c r="AH4642" s="64">
        <f>IF($A4642="","",IF(AD4642=0,"",IF(OR(COUNTIF(계정대체기준!$A$77:$A$86,$N4642)&gt;0,ISNUMBER(MATCH($X4642,계정대체기준!$D$77:$D$86,0)),ISNUMBER(MATCH($F4642,계정대체기준!$D$77:$D$86,0))),"Y","N")))</f>
        <v/>
      </c>
    </row>
    <row r="4643">
      <c r="A4643" s="92" t="n">
        <v>2026</v>
      </c>
      <c r="B4643" s="92" t="n">
        <v>9</v>
      </c>
      <c r="C4643" s="92" t="inlineStr">
        <is>
          <t>5100001921</t>
        </is>
      </c>
      <c r="D4643" s="95" t="n">
        <v>46276</v>
      </c>
      <c r="E4643" s="92" t="inlineStr">
        <is>
          <t>KR</t>
        </is>
      </c>
      <c r="F4643" s="92" t="n">
        <v>62102000</v>
      </c>
      <c r="G4643" s="92" t="n">
        <v>1501</v>
      </c>
      <c r="H4643" s="93" t="n">
        <v>99000</v>
      </c>
      <c r="I4643" s="92" t="inlineStr">
        <is>
          <t>9월 해외출장 - N호텔</t>
        </is>
      </c>
      <c r="J4643" s="92" t="inlineStr">
        <is>
          <t>V10009</t>
        </is>
      </c>
      <c r="K4643" s="92" t="inlineStr">
        <is>
          <t>N호텔</t>
        </is>
      </c>
      <c r="M4643" s="9">
        <f>IF($A4643="","",VALUE($A4643&amp;"")*12+VALUE($B4643&amp;""))</f>
        <v/>
      </c>
      <c r="N4643" s="64">
        <f>IF($A4643="","",IFERROR(INDEX(부서매핑!$C$5:$C$504,MATCH($G4643&amp;"",부서매핑!$A$5:$A$504,0)),"미매핑"))</f>
        <v/>
      </c>
      <c r="O4643" s="9">
        <f>IF($A4643="","",N4643&amp;"|"&amp;$F4643)</f>
        <v/>
      </c>
      <c r="P4643" s="94">
        <f>IF($A4643="",0,$H4643*설정!$C$23)</f>
        <v/>
      </c>
      <c r="Q4643" s="64">
        <f>IF($A4643="","",IF(O4643&lt;&gt;원인분석!$C$9,"",IF(AND(M4643&gt;=원인분석!$C$10,M4643&lt;=원인분석!$C$11),"당기",IF(AND(M4643&gt;=원인분석!$C$12,M4643&lt;=원인분석!$C$13),"비교",""))))</f>
        <v/>
      </c>
      <c r="R4643" s="9">
        <f>IF(Q4643="","",$K4643&amp;"")</f>
        <v/>
      </c>
      <c r="S4643" s="9">
        <f>IF(Q4643="","",IF(MATCH(R4643,$R$5:$R$100000,0)=ROW()-4,ROW(),""))</f>
        <v/>
      </c>
      <c r="T4643" s="9">
        <f>IF(Q4643="당기",ABS(P4643)+ROW()/1000000000,"")</f>
        <v/>
      </c>
      <c r="U4643" s="9">
        <f>IF(Q4643="비교",ABS(P4643)+ROW()/1000000000,"")</f>
        <v/>
      </c>
      <c r="V4643" s="64">
        <f>IF($A4643="","",IF(COUNTIF(변동분석!$E$7:$E$506,O4643)&gt;0,"Y","N"))</f>
        <v/>
      </c>
      <c r="W4643" s="64">
        <f>IF($A4643="","",IFERROR(INDEX(계정매핑!$D$5:$D$504,MATCH($F4643&amp;"",계정매핑!$A$5:$A$504,0)),"미매핑"))</f>
        <v/>
      </c>
      <c r="X4643" s="9">
        <f>IF($A4643="","",$F4643&amp;"")</f>
        <v/>
      </c>
      <c r="Y4643" s="94">
        <f>IF($A4643="",0,IF(AE4643="직접",IF(AF4643="비귀속",$P4643,0),$P4643*(1-AG4643)*IFERROR(INDEX(계정대체기준!$F$20:$F$49,MATCH($N4643,계정대체기준!$A$20:$A$49,0)),1)))</f>
        <v/>
      </c>
      <c r="Z4643" s="94">
        <f>IF($A4643="",0,IF(AE4643="직접",IF(AF4643="신계약비",$P4643,0),$P4643*(1-AG4643)*IFERROR(INDEX(계정대체기준!$C$20:$C$49,MATCH($N4643,계정대체기준!$A$20:$A$49,0)),0)))</f>
        <v/>
      </c>
      <c r="AA4643" s="94">
        <f>IF($A4643="",0,IF(AE4643="직접",IF(OR(AF4643="유지비",AF4643="손해조사비"),$P4643,0),$P4643*(1-AG4643)*IFERROR(INDEX(계정대체기준!$D$20:$D$49,MATCH($N4643,계정대체기준!$A$20:$A$49,0)),0)))</f>
        <v/>
      </c>
      <c r="AB4643" s="94">
        <f>IF($A4643="",0,IF(AE4643="직접",IF(AF4643="수금비",$P4643,0),$P4643*(1-AG4643)*IFERROR(INDEX(계정대체기준!$E$20:$E$49,MATCH($N4643,계정대체기준!$A$20:$A$49,0)),0)))</f>
        <v/>
      </c>
      <c r="AC4643" s="9">
        <f>IF(AND($A4643&lt;&gt;"",M4643=설정!$C$20,Z4643&gt;0),Z4643+ROW()/1000000000,"")</f>
        <v/>
      </c>
      <c r="AD4643" s="94">
        <f>IF($A4643="",0,$P4643*AG4643)</f>
        <v/>
      </c>
      <c r="AE4643" s="64">
        <f>IF($A4643="","",IFERROR(INDEX(계정매핑!$E$5:$E$504,MATCH($F4643&amp;"",계정매핑!$A$5:$A$504,0))&amp;"","공통비"))</f>
        <v/>
      </c>
      <c r="AF4643" s="64">
        <f>IF($A4643="","",IF(AE4643="직접",IFERROR(INDEX(계정매핑!$F$5:$F$504,MATCH($F4643&amp;"",계정매핑!$A$5:$A$504,0))&amp;"","비귀속"),""))</f>
        <v/>
      </c>
      <c r="AG4643" s="96">
        <f>IF($A4643="",0,IF(AND(AE4643&lt;&gt;"직접",IFERROR(INDEX(계정매핑!$G$5:$G$504,MATCH($F4643&amp;"",계정매핑!$A$5:$A$504,0))&amp;"","")="유지비",COUNTIF(계정대체기준!$A$6:$A$15,$N4643)&gt;0),IFERROR(INDEX(계정대체기준!$E$6:$E$15,MATCH(VALUE($A4643&amp;""),계정대체기준!$D$6:$D$15,0)),0),0))</f>
        <v/>
      </c>
      <c r="AH4643" s="64">
        <f>IF($A4643="","",IF(AD4643=0,"",IF(OR(COUNTIF(계정대체기준!$A$77:$A$86,$N4643)&gt;0,ISNUMBER(MATCH($X4643,계정대체기준!$D$77:$D$86,0)),ISNUMBER(MATCH($F4643,계정대체기준!$D$77:$D$86,0))),"Y","N")))</f>
        <v/>
      </c>
    </row>
    <row r="4644">
      <c r="A4644" s="92" t="n">
        <v>2026</v>
      </c>
      <c r="B4644" s="92" t="n">
        <v>9</v>
      </c>
      <c r="C4644" s="92" t="inlineStr">
        <is>
          <t>5100001922</t>
        </is>
      </c>
      <c r="D4644" s="95" t="n">
        <v>46276</v>
      </c>
      <c r="E4644" s="92" t="inlineStr">
        <is>
          <t>KR</t>
        </is>
      </c>
      <c r="F4644" s="92" t="n">
        <v>62201000</v>
      </c>
      <c r="G4644" s="92" t="n">
        <v>1201</v>
      </c>
      <c r="H4644" s="93" t="n">
        <v>113000</v>
      </c>
      <c r="I4644" s="92" t="inlineStr">
        <is>
          <t>9월 통신요금 - P통신</t>
        </is>
      </c>
      <c r="J4644" s="92" t="inlineStr">
        <is>
          <t>V10014</t>
        </is>
      </c>
      <c r="K4644" s="92" t="inlineStr">
        <is>
          <t>P통신</t>
        </is>
      </c>
      <c r="M4644" s="9">
        <f>IF($A4644="","",VALUE($A4644&amp;"")*12+VALUE($B4644&amp;""))</f>
        <v/>
      </c>
      <c r="N4644" s="64">
        <f>IF($A4644="","",IFERROR(INDEX(부서매핑!$C$5:$C$504,MATCH($G4644&amp;"",부서매핑!$A$5:$A$504,0)),"미매핑"))</f>
        <v/>
      </c>
      <c r="O4644" s="9">
        <f>IF($A4644="","",N4644&amp;"|"&amp;$F4644)</f>
        <v/>
      </c>
      <c r="P4644" s="94">
        <f>IF($A4644="",0,$H4644*설정!$C$23)</f>
        <v/>
      </c>
      <c r="Q4644" s="64">
        <f>IF($A4644="","",IF(O4644&lt;&gt;원인분석!$C$9,"",IF(AND(M4644&gt;=원인분석!$C$10,M4644&lt;=원인분석!$C$11),"당기",IF(AND(M4644&gt;=원인분석!$C$12,M4644&lt;=원인분석!$C$13),"비교",""))))</f>
        <v/>
      </c>
      <c r="R4644" s="9">
        <f>IF(Q4644="","",$K4644&amp;"")</f>
        <v/>
      </c>
      <c r="S4644" s="9">
        <f>IF(Q4644="","",IF(MATCH(R4644,$R$5:$R$100000,0)=ROW()-4,ROW(),""))</f>
        <v/>
      </c>
      <c r="T4644" s="9">
        <f>IF(Q4644="당기",ABS(P4644)+ROW()/1000000000,"")</f>
        <v/>
      </c>
      <c r="U4644" s="9">
        <f>IF(Q4644="비교",ABS(P4644)+ROW()/1000000000,"")</f>
        <v/>
      </c>
      <c r="V4644" s="64">
        <f>IF($A4644="","",IF(COUNTIF(변동분석!$E$7:$E$506,O4644)&gt;0,"Y","N"))</f>
        <v/>
      </c>
      <c r="W4644" s="64">
        <f>IF($A4644="","",IFERROR(INDEX(계정매핑!$D$5:$D$504,MATCH($F4644&amp;"",계정매핑!$A$5:$A$504,0)),"미매핑"))</f>
        <v/>
      </c>
      <c r="X4644" s="9">
        <f>IF($A4644="","",$F4644&amp;"")</f>
        <v/>
      </c>
      <c r="Y4644" s="94">
        <f>IF($A4644="",0,IF(AE4644="직접",IF(AF4644="비귀속",$P4644,0),$P4644*(1-AG4644)*IFERROR(INDEX(계정대체기준!$F$20:$F$49,MATCH($N4644,계정대체기준!$A$20:$A$49,0)),1)))</f>
        <v/>
      </c>
      <c r="Z4644" s="94">
        <f>IF($A4644="",0,IF(AE4644="직접",IF(AF4644="신계약비",$P4644,0),$P4644*(1-AG4644)*IFERROR(INDEX(계정대체기준!$C$20:$C$49,MATCH($N4644,계정대체기준!$A$20:$A$49,0)),0)))</f>
        <v/>
      </c>
      <c r="AA4644" s="94">
        <f>IF($A4644="",0,IF(AE4644="직접",IF(OR(AF4644="유지비",AF4644="손해조사비"),$P4644,0),$P4644*(1-AG4644)*IFERROR(INDEX(계정대체기준!$D$20:$D$49,MATCH($N4644,계정대체기준!$A$20:$A$49,0)),0)))</f>
        <v/>
      </c>
      <c r="AB4644" s="94">
        <f>IF($A4644="",0,IF(AE4644="직접",IF(AF4644="수금비",$P4644,0),$P4644*(1-AG4644)*IFERROR(INDEX(계정대체기준!$E$20:$E$49,MATCH($N4644,계정대체기준!$A$20:$A$49,0)),0)))</f>
        <v/>
      </c>
      <c r="AC4644" s="9">
        <f>IF(AND($A4644&lt;&gt;"",M4644=설정!$C$20,Z4644&gt;0),Z4644+ROW()/1000000000,"")</f>
        <v/>
      </c>
      <c r="AD4644" s="94">
        <f>IF($A4644="",0,$P4644*AG4644)</f>
        <v/>
      </c>
      <c r="AE4644" s="64">
        <f>IF($A4644="","",IFERROR(INDEX(계정매핑!$E$5:$E$504,MATCH($F4644&amp;"",계정매핑!$A$5:$A$504,0))&amp;"","공통비"))</f>
        <v/>
      </c>
      <c r="AF4644" s="64">
        <f>IF($A4644="","",IF(AE4644="직접",IFERROR(INDEX(계정매핑!$F$5:$F$504,MATCH($F4644&amp;"",계정매핑!$A$5:$A$504,0))&amp;"","비귀속"),""))</f>
        <v/>
      </c>
      <c r="AG4644" s="96">
        <f>IF($A4644="",0,IF(AND(AE4644&lt;&gt;"직접",IFERROR(INDEX(계정매핑!$G$5:$G$504,MATCH($F4644&amp;"",계정매핑!$A$5:$A$504,0))&amp;"","")="유지비",COUNTIF(계정대체기준!$A$6:$A$15,$N4644)&gt;0),IFERROR(INDEX(계정대체기준!$E$6:$E$15,MATCH(VALUE($A4644&amp;""),계정대체기준!$D$6:$D$15,0)),0),0))</f>
        <v/>
      </c>
      <c r="AH4644" s="64">
        <f>IF($A4644="","",IF(AD4644=0,"",IF(OR(COUNTIF(계정대체기준!$A$77:$A$86,$N4644)&gt;0,ISNUMBER(MATCH($X4644,계정대체기준!$D$77:$D$86,0)),ISNUMBER(MATCH($F4644,계정대체기준!$D$77:$D$86,0))),"Y","N")))</f>
        <v/>
      </c>
    </row>
    <row r="4645">
      <c r="A4645" s="92" t="n">
        <v>2026</v>
      </c>
      <c r="B4645" s="92" t="n">
        <v>9</v>
      </c>
      <c r="C4645" s="92" t="inlineStr">
        <is>
          <t>5100001923</t>
        </is>
      </c>
      <c r="D4645" s="95" t="n">
        <v>46276</v>
      </c>
      <c r="E4645" s="92" t="inlineStr">
        <is>
          <t>KR</t>
        </is>
      </c>
      <c r="F4645" s="92" t="n">
        <v>62501000</v>
      </c>
      <c r="G4645" s="92" t="n">
        <v>1601</v>
      </c>
      <c r="H4645" s="93" t="n">
        <v>300000</v>
      </c>
      <c r="I4645" s="92" t="inlineStr">
        <is>
          <t>9월 회의 다과 - (법인카드)</t>
        </is>
      </c>
      <c r="J4645" s="92" t="inlineStr">
        <is>
          <t>V10010</t>
        </is>
      </c>
      <c r="K4645" s="92" t="inlineStr">
        <is>
          <t>(법인카드)</t>
        </is>
      </c>
      <c r="M4645" s="9">
        <f>IF($A4645="","",VALUE($A4645&amp;"")*12+VALUE($B4645&amp;""))</f>
        <v/>
      </c>
      <c r="N4645" s="64">
        <f>IF($A4645="","",IFERROR(INDEX(부서매핑!$C$5:$C$504,MATCH($G4645&amp;"",부서매핑!$A$5:$A$504,0)),"미매핑"))</f>
        <v/>
      </c>
      <c r="O4645" s="9">
        <f>IF($A4645="","",N4645&amp;"|"&amp;$F4645)</f>
        <v/>
      </c>
      <c r="P4645" s="94">
        <f>IF($A4645="",0,$H4645*설정!$C$23)</f>
        <v/>
      </c>
      <c r="Q4645" s="64">
        <f>IF($A4645="","",IF(O4645&lt;&gt;원인분석!$C$9,"",IF(AND(M4645&gt;=원인분석!$C$10,M4645&lt;=원인분석!$C$11),"당기",IF(AND(M4645&gt;=원인분석!$C$12,M4645&lt;=원인분석!$C$13),"비교",""))))</f>
        <v/>
      </c>
      <c r="R4645" s="9">
        <f>IF(Q4645="","",$K4645&amp;"")</f>
        <v/>
      </c>
      <c r="S4645" s="9">
        <f>IF(Q4645="","",IF(MATCH(R4645,$R$5:$R$100000,0)=ROW()-4,ROW(),""))</f>
        <v/>
      </c>
      <c r="T4645" s="9">
        <f>IF(Q4645="당기",ABS(P4645)+ROW()/1000000000,"")</f>
        <v/>
      </c>
      <c r="U4645" s="9">
        <f>IF(Q4645="비교",ABS(P4645)+ROW()/1000000000,"")</f>
        <v/>
      </c>
      <c r="V4645" s="64">
        <f>IF($A4645="","",IF(COUNTIF(변동분석!$E$7:$E$506,O4645)&gt;0,"Y","N"))</f>
        <v/>
      </c>
      <c r="W4645" s="64">
        <f>IF($A4645="","",IFERROR(INDEX(계정매핑!$D$5:$D$504,MATCH($F4645&amp;"",계정매핑!$A$5:$A$504,0)),"미매핑"))</f>
        <v/>
      </c>
      <c r="X4645" s="9">
        <f>IF($A4645="","",$F4645&amp;"")</f>
        <v/>
      </c>
      <c r="Y4645" s="94">
        <f>IF($A4645="",0,IF(AE4645="직접",IF(AF4645="비귀속",$P4645,0),$P4645*(1-AG4645)*IFERROR(INDEX(계정대체기준!$F$20:$F$49,MATCH($N4645,계정대체기준!$A$20:$A$49,0)),1)))</f>
        <v/>
      </c>
      <c r="Z4645" s="94">
        <f>IF($A4645="",0,IF(AE4645="직접",IF(AF4645="신계약비",$P4645,0),$P4645*(1-AG4645)*IFERROR(INDEX(계정대체기준!$C$20:$C$49,MATCH($N4645,계정대체기준!$A$20:$A$49,0)),0)))</f>
        <v/>
      </c>
      <c r="AA4645" s="94">
        <f>IF($A4645="",0,IF(AE4645="직접",IF(OR(AF4645="유지비",AF4645="손해조사비"),$P4645,0),$P4645*(1-AG4645)*IFERROR(INDEX(계정대체기준!$D$20:$D$49,MATCH($N4645,계정대체기준!$A$20:$A$49,0)),0)))</f>
        <v/>
      </c>
      <c r="AB4645" s="94">
        <f>IF($A4645="",0,IF(AE4645="직접",IF(AF4645="수금비",$P4645,0),$P4645*(1-AG4645)*IFERROR(INDEX(계정대체기준!$E$20:$E$49,MATCH($N4645,계정대체기준!$A$20:$A$49,0)),0)))</f>
        <v/>
      </c>
      <c r="AC4645" s="9">
        <f>IF(AND($A4645&lt;&gt;"",M4645=설정!$C$20,Z4645&gt;0),Z4645+ROW()/1000000000,"")</f>
        <v/>
      </c>
      <c r="AD4645" s="94">
        <f>IF($A4645="",0,$P4645*AG4645)</f>
        <v/>
      </c>
      <c r="AE4645" s="64">
        <f>IF($A4645="","",IFERROR(INDEX(계정매핑!$E$5:$E$504,MATCH($F4645&amp;"",계정매핑!$A$5:$A$504,0))&amp;"","공통비"))</f>
        <v/>
      </c>
      <c r="AF4645" s="64">
        <f>IF($A4645="","",IF(AE4645="직접",IFERROR(INDEX(계정매핑!$F$5:$F$504,MATCH($F4645&amp;"",계정매핑!$A$5:$A$504,0))&amp;"","비귀속"),""))</f>
        <v/>
      </c>
      <c r="AG4645" s="96">
        <f>IF($A4645="",0,IF(AND(AE4645&lt;&gt;"직접",IFERROR(INDEX(계정매핑!$G$5:$G$504,MATCH($F4645&amp;"",계정매핑!$A$5:$A$504,0))&amp;"","")="유지비",COUNTIF(계정대체기준!$A$6:$A$15,$N4645)&gt;0),IFERROR(INDEX(계정대체기준!$E$6:$E$15,MATCH(VALUE($A4645&amp;""),계정대체기준!$D$6:$D$15,0)),0),0))</f>
        <v/>
      </c>
      <c r="AH4645" s="64">
        <f>IF($A4645="","",IF(AD4645=0,"",IF(OR(COUNTIF(계정대체기준!$A$77:$A$86,$N4645)&gt;0,ISNUMBER(MATCH($X4645,계정대체기준!$D$77:$D$86,0)),ISNUMBER(MATCH($F4645,계정대체기준!$D$77:$D$86,0))),"Y","N")))</f>
        <v/>
      </c>
    </row>
    <row r="4646">
      <c r="A4646" s="92" t="n">
        <v>2026</v>
      </c>
      <c r="B4646" s="92" t="n">
        <v>9</v>
      </c>
      <c r="C4646" s="92" t="inlineStr">
        <is>
          <t>5100001924</t>
        </is>
      </c>
      <c r="D4646" s="95" t="n">
        <v>46276</v>
      </c>
      <c r="E4646" s="92" t="inlineStr">
        <is>
          <t>KR</t>
        </is>
      </c>
      <c r="F4646" s="92" t="n">
        <v>62501000</v>
      </c>
      <c r="G4646" s="92" t="n">
        <v>1602</v>
      </c>
      <c r="H4646" s="93" t="n">
        <v>230000</v>
      </c>
      <c r="I4646" s="92" t="inlineStr">
        <is>
          <t>9월 회의 다과 - (법인카드)</t>
        </is>
      </c>
      <c r="J4646" s="92" t="inlineStr">
        <is>
          <t>V10010</t>
        </is>
      </c>
      <c r="K4646" s="92" t="inlineStr">
        <is>
          <t>(법인카드)</t>
        </is>
      </c>
      <c r="M4646" s="9">
        <f>IF($A4646="","",VALUE($A4646&amp;"")*12+VALUE($B4646&amp;""))</f>
        <v/>
      </c>
      <c r="N4646" s="64">
        <f>IF($A4646="","",IFERROR(INDEX(부서매핑!$C$5:$C$504,MATCH($G4646&amp;"",부서매핑!$A$5:$A$504,0)),"미매핑"))</f>
        <v/>
      </c>
      <c r="O4646" s="9">
        <f>IF($A4646="","",N4646&amp;"|"&amp;$F4646)</f>
        <v/>
      </c>
      <c r="P4646" s="94">
        <f>IF($A4646="",0,$H4646*설정!$C$23)</f>
        <v/>
      </c>
      <c r="Q4646" s="64">
        <f>IF($A4646="","",IF(O4646&lt;&gt;원인분석!$C$9,"",IF(AND(M4646&gt;=원인분석!$C$10,M4646&lt;=원인분석!$C$11),"당기",IF(AND(M4646&gt;=원인분석!$C$12,M4646&lt;=원인분석!$C$13),"비교",""))))</f>
        <v/>
      </c>
      <c r="R4646" s="9">
        <f>IF(Q4646="","",$K4646&amp;"")</f>
        <v/>
      </c>
      <c r="S4646" s="9">
        <f>IF(Q4646="","",IF(MATCH(R4646,$R$5:$R$100000,0)=ROW()-4,ROW(),""))</f>
        <v/>
      </c>
      <c r="T4646" s="9">
        <f>IF(Q4646="당기",ABS(P4646)+ROW()/1000000000,"")</f>
        <v/>
      </c>
      <c r="U4646" s="9">
        <f>IF(Q4646="비교",ABS(P4646)+ROW()/1000000000,"")</f>
        <v/>
      </c>
      <c r="V4646" s="64">
        <f>IF($A4646="","",IF(COUNTIF(변동분석!$E$7:$E$506,O4646)&gt;0,"Y","N"))</f>
        <v/>
      </c>
      <c r="W4646" s="64">
        <f>IF($A4646="","",IFERROR(INDEX(계정매핑!$D$5:$D$504,MATCH($F4646&amp;"",계정매핑!$A$5:$A$504,0)),"미매핑"))</f>
        <v/>
      </c>
      <c r="X4646" s="9">
        <f>IF($A4646="","",$F4646&amp;"")</f>
        <v/>
      </c>
      <c r="Y4646" s="94">
        <f>IF($A4646="",0,IF(AE4646="직접",IF(AF4646="비귀속",$P4646,0),$P4646*(1-AG4646)*IFERROR(INDEX(계정대체기준!$F$20:$F$49,MATCH($N4646,계정대체기준!$A$20:$A$49,0)),1)))</f>
        <v/>
      </c>
      <c r="Z4646" s="94">
        <f>IF($A4646="",0,IF(AE4646="직접",IF(AF4646="신계약비",$P4646,0),$P4646*(1-AG4646)*IFERROR(INDEX(계정대체기준!$C$20:$C$49,MATCH($N4646,계정대체기준!$A$20:$A$49,0)),0)))</f>
        <v/>
      </c>
      <c r="AA4646" s="94">
        <f>IF($A4646="",0,IF(AE4646="직접",IF(OR(AF4646="유지비",AF4646="손해조사비"),$P4646,0),$P4646*(1-AG4646)*IFERROR(INDEX(계정대체기준!$D$20:$D$49,MATCH($N4646,계정대체기준!$A$20:$A$49,0)),0)))</f>
        <v/>
      </c>
      <c r="AB4646" s="94">
        <f>IF($A4646="",0,IF(AE4646="직접",IF(AF4646="수금비",$P4646,0),$P4646*(1-AG4646)*IFERROR(INDEX(계정대체기준!$E$20:$E$49,MATCH($N4646,계정대체기준!$A$20:$A$49,0)),0)))</f>
        <v/>
      </c>
      <c r="AC4646" s="9">
        <f>IF(AND($A4646&lt;&gt;"",M4646=설정!$C$20,Z4646&gt;0),Z4646+ROW()/1000000000,"")</f>
        <v/>
      </c>
      <c r="AD4646" s="94">
        <f>IF($A4646="",0,$P4646*AG4646)</f>
        <v/>
      </c>
      <c r="AE4646" s="64">
        <f>IF($A4646="","",IFERROR(INDEX(계정매핑!$E$5:$E$504,MATCH($F4646&amp;"",계정매핑!$A$5:$A$504,0))&amp;"","공통비"))</f>
        <v/>
      </c>
      <c r="AF4646" s="64">
        <f>IF($A4646="","",IF(AE4646="직접",IFERROR(INDEX(계정매핑!$F$5:$F$504,MATCH($F4646&amp;"",계정매핑!$A$5:$A$504,0))&amp;"","비귀속"),""))</f>
        <v/>
      </c>
      <c r="AG4646" s="96">
        <f>IF($A4646="",0,IF(AND(AE4646&lt;&gt;"직접",IFERROR(INDEX(계정매핑!$G$5:$G$504,MATCH($F4646&amp;"",계정매핑!$A$5:$A$504,0))&amp;"","")="유지비",COUNTIF(계정대체기준!$A$6:$A$15,$N4646)&gt;0),IFERROR(INDEX(계정대체기준!$E$6:$E$15,MATCH(VALUE($A4646&amp;""),계정대체기준!$D$6:$D$15,0)),0),0))</f>
        <v/>
      </c>
      <c r="AH4646" s="64">
        <f>IF($A4646="","",IF(AD4646=0,"",IF(OR(COUNTIF(계정대체기준!$A$77:$A$86,$N4646)&gt;0,ISNUMBER(MATCH($X4646,계정대체기준!$D$77:$D$86,0)),ISNUMBER(MATCH($F4646,계정대체기준!$D$77:$D$86,0))),"Y","N")))</f>
        <v/>
      </c>
    </row>
    <row r="4647">
      <c r="A4647" s="92" t="n">
        <v>2026</v>
      </c>
      <c r="B4647" s="92" t="n">
        <v>9</v>
      </c>
      <c r="C4647" s="92" t="inlineStr">
        <is>
          <t>5100001925</t>
        </is>
      </c>
      <c r="D4647" s="95" t="n">
        <v>46276</v>
      </c>
      <c r="E4647" s="92" t="inlineStr">
        <is>
          <t>KR</t>
        </is>
      </c>
      <c r="F4647" s="92" t="n">
        <v>62501000</v>
      </c>
      <c r="G4647" s="92" t="n">
        <v>1701</v>
      </c>
      <c r="H4647" s="93" t="n">
        <v>111000</v>
      </c>
      <c r="I4647" s="92" t="inlineStr">
        <is>
          <t>9월 회의 다과 - T케이터링</t>
        </is>
      </c>
      <c r="J4647" s="92" t="inlineStr">
        <is>
          <t>V10005</t>
        </is>
      </c>
      <c r="K4647" s="92" t="inlineStr">
        <is>
          <t>T케이터링</t>
        </is>
      </c>
      <c r="M4647" s="9">
        <f>IF($A4647="","",VALUE($A4647&amp;"")*12+VALUE($B4647&amp;""))</f>
        <v/>
      </c>
      <c r="N4647" s="64">
        <f>IF($A4647="","",IFERROR(INDEX(부서매핑!$C$5:$C$504,MATCH($G4647&amp;"",부서매핑!$A$5:$A$504,0)),"미매핑"))</f>
        <v/>
      </c>
      <c r="O4647" s="9">
        <f>IF($A4647="","",N4647&amp;"|"&amp;$F4647)</f>
        <v/>
      </c>
      <c r="P4647" s="94">
        <f>IF($A4647="",0,$H4647*설정!$C$23)</f>
        <v/>
      </c>
      <c r="Q4647" s="64">
        <f>IF($A4647="","",IF(O4647&lt;&gt;원인분석!$C$9,"",IF(AND(M4647&gt;=원인분석!$C$10,M4647&lt;=원인분석!$C$11),"당기",IF(AND(M4647&gt;=원인분석!$C$12,M4647&lt;=원인분석!$C$13),"비교",""))))</f>
        <v/>
      </c>
      <c r="R4647" s="9">
        <f>IF(Q4647="","",$K4647&amp;"")</f>
        <v/>
      </c>
      <c r="S4647" s="9">
        <f>IF(Q4647="","",IF(MATCH(R4647,$R$5:$R$100000,0)=ROW()-4,ROW(),""))</f>
        <v/>
      </c>
      <c r="T4647" s="9">
        <f>IF(Q4647="당기",ABS(P4647)+ROW()/1000000000,"")</f>
        <v/>
      </c>
      <c r="U4647" s="9">
        <f>IF(Q4647="비교",ABS(P4647)+ROW()/1000000000,"")</f>
        <v/>
      </c>
      <c r="V4647" s="64">
        <f>IF($A4647="","",IF(COUNTIF(변동분석!$E$7:$E$506,O4647)&gt;0,"Y","N"))</f>
        <v/>
      </c>
      <c r="W4647" s="64">
        <f>IF($A4647="","",IFERROR(INDEX(계정매핑!$D$5:$D$504,MATCH($F4647&amp;"",계정매핑!$A$5:$A$504,0)),"미매핑"))</f>
        <v/>
      </c>
      <c r="X4647" s="9">
        <f>IF($A4647="","",$F4647&amp;"")</f>
        <v/>
      </c>
      <c r="Y4647" s="94">
        <f>IF($A4647="",0,IF(AE4647="직접",IF(AF4647="비귀속",$P4647,0),$P4647*(1-AG4647)*IFERROR(INDEX(계정대체기준!$F$20:$F$49,MATCH($N4647,계정대체기준!$A$20:$A$49,0)),1)))</f>
        <v/>
      </c>
      <c r="Z4647" s="94">
        <f>IF($A4647="",0,IF(AE4647="직접",IF(AF4647="신계약비",$P4647,0),$P4647*(1-AG4647)*IFERROR(INDEX(계정대체기준!$C$20:$C$49,MATCH($N4647,계정대체기준!$A$20:$A$49,0)),0)))</f>
        <v/>
      </c>
      <c r="AA4647" s="94">
        <f>IF($A4647="",0,IF(AE4647="직접",IF(OR(AF4647="유지비",AF4647="손해조사비"),$P4647,0),$P4647*(1-AG4647)*IFERROR(INDEX(계정대체기준!$D$20:$D$49,MATCH($N4647,계정대체기준!$A$20:$A$49,0)),0)))</f>
        <v/>
      </c>
      <c r="AB4647" s="94">
        <f>IF($A4647="",0,IF(AE4647="직접",IF(AF4647="수금비",$P4647,0),$P4647*(1-AG4647)*IFERROR(INDEX(계정대체기준!$E$20:$E$49,MATCH($N4647,계정대체기준!$A$20:$A$49,0)),0)))</f>
        <v/>
      </c>
      <c r="AC4647" s="9">
        <f>IF(AND($A4647&lt;&gt;"",M4647=설정!$C$20,Z4647&gt;0),Z4647+ROW()/1000000000,"")</f>
        <v/>
      </c>
      <c r="AD4647" s="94">
        <f>IF($A4647="",0,$P4647*AG4647)</f>
        <v/>
      </c>
      <c r="AE4647" s="64">
        <f>IF($A4647="","",IFERROR(INDEX(계정매핑!$E$5:$E$504,MATCH($F4647&amp;"",계정매핑!$A$5:$A$504,0))&amp;"","공통비"))</f>
        <v/>
      </c>
      <c r="AF4647" s="64">
        <f>IF($A4647="","",IF(AE4647="직접",IFERROR(INDEX(계정매핑!$F$5:$F$504,MATCH($F4647&amp;"",계정매핑!$A$5:$A$504,0))&amp;"","비귀속"),""))</f>
        <v/>
      </c>
      <c r="AG4647" s="96">
        <f>IF($A4647="",0,IF(AND(AE4647&lt;&gt;"직접",IFERROR(INDEX(계정매핑!$G$5:$G$504,MATCH($F4647&amp;"",계정매핑!$A$5:$A$504,0))&amp;"","")="유지비",COUNTIF(계정대체기준!$A$6:$A$15,$N4647)&gt;0),IFERROR(INDEX(계정대체기준!$E$6:$E$15,MATCH(VALUE($A4647&amp;""),계정대체기준!$D$6:$D$15,0)),0),0))</f>
        <v/>
      </c>
      <c r="AH4647" s="64">
        <f>IF($A4647="","",IF(AD4647=0,"",IF(OR(COUNTIF(계정대체기준!$A$77:$A$86,$N4647)&gt;0,ISNUMBER(MATCH($X4647,계정대체기준!$D$77:$D$86,0)),ISNUMBER(MATCH($F4647,계정대체기준!$D$77:$D$86,0))),"Y","N")))</f>
        <v/>
      </c>
    </row>
    <row r="4648">
      <c r="A4648" s="92" t="n">
        <v>2026</v>
      </c>
      <c r="B4648" s="92" t="n">
        <v>9</v>
      </c>
      <c r="C4648" s="92" t="inlineStr">
        <is>
          <t>5100001926</t>
        </is>
      </c>
      <c r="D4648" s="95" t="n">
        <v>46276</v>
      </c>
      <c r="E4648" s="92" t="inlineStr">
        <is>
          <t>KR</t>
        </is>
      </c>
      <c r="F4648" s="92" t="n">
        <v>62601000</v>
      </c>
      <c r="G4648" s="92" t="n">
        <v>1502</v>
      </c>
      <c r="H4648" s="93" t="n">
        <v>1835000</v>
      </c>
      <c r="I4648" s="92" t="inlineStr">
        <is>
          <t>9월 업무추진 - (법인카드)</t>
        </is>
      </c>
      <c r="J4648" s="92" t="inlineStr">
        <is>
          <t>V10010</t>
        </is>
      </c>
      <c r="K4648" s="92" t="inlineStr">
        <is>
          <t>(법인카드)</t>
        </is>
      </c>
      <c r="M4648" s="9">
        <f>IF($A4648="","",VALUE($A4648&amp;"")*12+VALUE($B4648&amp;""))</f>
        <v/>
      </c>
      <c r="N4648" s="64">
        <f>IF($A4648="","",IFERROR(INDEX(부서매핑!$C$5:$C$504,MATCH($G4648&amp;"",부서매핑!$A$5:$A$504,0)),"미매핑"))</f>
        <v/>
      </c>
      <c r="O4648" s="9">
        <f>IF($A4648="","",N4648&amp;"|"&amp;$F4648)</f>
        <v/>
      </c>
      <c r="P4648" s="94">
        <f>IF($A4648="",0,$H4648*설정!$C$23)</f>
        <v/>
      </c>
      <c r="Q4648" s="64">
        <f>IF($A4648="","",IF(O4648&lt;&gt;원인분석!$C$9,"",IF(AND(M4648&gt;=원인분석!$C$10,M4648&lt;=원인분석!$C$11),"당기",IF(AND(M4648&gt;=원인분석!$C$12,M4648&lt;=원인분석!$C$13),"비교",""))))</f>
        <v/>
      </c>
      <c r="R4648" s="9">
        <f>IF(Q4648="","",$K4648&amp;"")</f>
        <v/>
      </c>
      <c r="S4648" s="9">
        <f>IF(Q4648="","",IF(MATCH(R4648,$R$5:$R$100000,0)=ROW()-4,ROW(),""))</f>
        <v/>
      </c>
      <c r="T4648" s="9">
        <f>IF(Q4648="당기",ABS(P4648)+ROW()/1000000000,"")</f>
        <v/>
      </c>
      <c r="U4648" s="9">
        <f>IF(Q4648="비교",ABS(P4648)+ROW()/1000000000,"")</f>
        <v/>
      </c>
      <c r="V4648" s="64">
        <f>IF($A4648="","",IF(COUNTIF(변동분석!$E$7:$E$506,O4648)&gt;0,"Y","N"))</f>
        <v/>
      </c>
      <c r="W4648" s="64">
        <f>IF($A4648="","",IFERROR(INDEX(계정매핑!$D$5:$D$504,MATCH($F4648&amp;"",계정매핑!$A$5:$A$504,0)),"미매핑"))</f>
        <v/>
      </c>
      <c r="X4648" s="9">
        <f>IF($A4648="","",$F4648&amp;"")</f>
        <v/>
      </c>
      <c r="Y4648" s="94">
        <f>IF($A4648="",0,IF(AE4648="직접",IF(AF4648="비귀속",$P4648,0),$P4648*(1-AG4648)*IFERROR(INDEX(계정대체기준!$F$20:$F$49,MATCH($N4648,계정대체기준!$A$20:$A$49,0)),1)))</f>
        <v/>
      </c>
      <c r="Z4648" s="94">
        <f>IF($A4648="",0,IF(AE4648="직접",IF(AF4648="신계약비",$P4648,0),$P4648*(1-AG4648)*IFERROR(INDEX(계정대체기준!$C$20:$C$49,MATCH($N4648,계정대체기준!$A$20:$A$49,0)),0)))</f>
        <v/>
      </c>
      <c r="AA4648" s="94">
        <f>IF($A4648="",0,IF(AE4648="직접",IF(OR(AF4648="유지비",AF4648="손해조사비"),$P4648,0),$P4648*(1-AG4648)*IFERROR(INDEX(계정대체기준!$D$20:$D$49,MATCH($N4648,계정대체기준!$A$20:$A$49,0)),0)))</f>
        <v/>
      </c>
      <c r="AB4648" s="94">
        <f>IF($A4648="",0,IF(AE4648="직접",IF(AF4648="수금비",$P4648,0),$P4648*(1-AG4648)*IFERROR(INDEX(계정대체기준!$E$20:$E$49,MATCH($N4648,계정대체기준!$A$20:$A$49,0)),0)))</f>
        <v/>
      </c>
      <c r="AC4648" s="9">
        <f>IF(AND($A4648&lt;&gt;"",M4648=설정!$C$20,Z4648&gt;0),Z4648+ROW()/1000000000,"")</f>
        <v/>
      </c>
      <c r="AD4648" s="94">
        <f>IF($A4648="",0,$P4648*AG4648)</f>
        <v/>
      </c>
      <c r="AE4648" s="64">
        <f>IF($A4648="","",IFERROR(INDEX(계정매핑!$E$5:$E$504,MATCH($F4648&amp;"",계정매핑!$A$5:$A$504,0))&amp;"","공통비"))</f>
        <v/>
      </c>
      <c r="AF4648" s="64">
        <f>IF($A4648="","",IF(AE4648="직접",IFERROR(INDEX(계정매핑!$F$5:$F$504,MATCH($F4648&amp;"",계정매핑!$A$5:$A$504,0))&amp;"","비귀속"),""))</f>
        <v/>
      </c>
      <c r="AG4648" s="96">
        <f>IF($A4648="",0,IF(AND(AE4648&lt;&gt;"직접",IFERROR(INDEX(계정매핑!$G$5:$G$504,MATCH($F4648&amp;"",계정매핑!$A$5:$A$504,0))&amp;"","")="유지비",COUNTIF(계정대체기준!$A$6:$A$15,$N4648)&gt;0),IFERROR(INDEX(계정대체기준!$E$6:$E$15,MATCH(VALUE($A4648&amp;""),계정대체기준!$D$6:$D$15,0)),0),0))</f>
        <v/>
      </c>
      <c r="AH4648" s="64">
        <f>IF($A4648="","",IF(AD4648=0,"",IF(OR(COUNTIF(계정대체기준!$A$77:$A$86,$N4648)&gt;0,ISNUMBER(MATCH($X4648,계정대체기준!$D$77:$D$86,0)),ISNUMBER(MATCH($F4648,계정대체기준!$D$77:$D$86,0))),"Y","N")))</f>
        <v/>
      </c>
    </row>
    <row r="4649">
      <c r="A4649" s="92" t="n">
        <v>2026</v>
      </c>
      <c r="B4649" s="92" t="n">
        <v>9</v>
      </c>
      <c r="C4649" s="92" t="inlineStr">
        <is>
          <t>5100001927</t>
        </is>
      </c>
      <c r="D4649" s="95" t="n">
        <v>46276</v>
      </c>
      <c r="E4649" s="92" t="inlineStr">
        <is>
          <t>KR</t>
        </is>
      </c>
      <c r="F4649" s="92" t="n">
        <v>62701000</v>
      </c>
      <c r="G4649" s="92" t="n">
        <v>1502</v>
      </c>
      <c r="H4649" s="93" t="n">
        <v>29283000</v>
      </c>
      <c r="I4649" s="92" t="inlineStr">
        <is>
          <t>9월 광고 집행 - F애드</t>
        </is>
      </c>
      <c r="J4649" s="92" t="inlineStr">
        <is>
          <t>V10023</t>
        </is>
      </c>
      <c r="K4649" s="92" t="inlineStr">
        <is>
          <t>F애드</t>
        </is>
      </c>
      <c r="M4649" s="9">
        <f>IF($A4649="","",VALUE($A4649&amp;"")*12+VALUE($B4649&amp;""))</f>
        <v/>
      </c>
      <c r="N4649" s="64">
        <f>IF($A4649="","",IFERROR(INDEX(부서매핑!$C$5:$C$504,MATCH($G4649&amp;"",부서매핑!$A$5:$A$504,0)),"미매핑"))</f>
        <v/>
      </c>
      <c r="O4649" s="9">
        <f>IF($A4649="","",N4649&amp;"|"&amp;$F4649)</f>
        <v/>
      </c>
      <c r="P4649" s="94">
        <f>IF($A4649="",0,$H4649*설정!$C$23)</f>
        <v/>
      </c>
      <c r="Q4649" s="64">
        <f>IF($A4649="","",IF(O4649&lt;&gt;원인분석!$C$9,"",IF(AND(M4649&gt;=원인분석!$C$10,M4649&lt;=원인분석!$C$11),"당기",IF(AND(M4649&gt;=원인분석!$C$12,M4649&lt;=원인분석!$C$13),"비교",""))))</f>
        <v/>
      </c>
      <c r="R4649" s="9">
        <f>IF(Q4649="","",$K4649&amp;"")</f>
        <v/>
      </c>
      <c r="S4649" s="9">
        <f>IF(Q4649="","",IF(MATCH(R4649,$R$5:$R$100000,0)=ROW()-4,ROW(),""))</f>
        <v/>
      </c>
      <c r="T4649" s="9">
        <f>IF(Q4649="당기",ABS(P4649)+ROW()/1000000000,"")</f>
        <v/>
      </c>
      <c r="U4649" s="9">
        <f>IF(Q4649="비교",ABS(P4649)+ROW()/1000000000,"")</f>
        <v/>
      </c>
      <c r="V4649" s="64">
        <f>IF($A4649="","",IF(COUNTIF(변동분석!$E$7:$E$506,O4649)&gt;0,"Y","N"))</f>
        <v/>
      </c>
      <c r="W4649" s="64">
        <f>IF($A4649="","",IFERROR(INDEX(계정매핑!$D$5:$D$504,MATCH($F4649&amp;"",계정매핑!$A$5:$A$504,0)),"미매핑"))</f>
        <v/>
      </c>
      <c r="X4649" s="9">
        <f>IF($A4649="","",$F4649&amp;"")</f>
        <v/>
      </c>
      <c r="Y4649" s="94">
        <f>IF($A4649="",0,IF(AE4649="직접",IF(AF4649="비귀속",$P4649,0),$P4649*(1-AG4649)*IFERROR(INDEX(계정대체기준!$F$20:$F$49,MATCH($N4649,계정대체기준!$A$20:$A$49,0)),1)))</f>
        <v/>
      </c>
      <c r="Z4649" s="94">
        <f>IF($A4649="",0,IF(AE4649="직접",IF(AF4649="신계약비",$P4649,0),$P4649*(1-AG4649)*IFERROR(INDEX(계정대체기준!$C$20:$C$49,MATCH($N4649,계정대체기준!$A$20:$A$49,0)),0)))</f>
        <v/>
      </c>
      <c r="AA4649" s="94">
        <f>IF($A4649="",0,IF(AE4649="직접",IF(OR(AF4649="유지비",AF4649="손해조사비"),$P4649,0),$P4649*(1-AG4649)*IFERROR(INDEX(계정대체기준!$D$20:$D$49,MATCH($N4649,계정대체기준!$A$20:$A$49,0)),0)))</f>
        <v/>
      </c>
      <c r="AB4649" s="94">
        <f>IF($A4649="",0,IF(AE4649="직접",IF(AF4649="수금비",$P4649,0),$P4649*(1-AG4649)*IFERROR(INDEX(계정대체기준!$E$20:$E$49,MATCH($N4649,계정대체기준!$A$20:$A$49,0)),0)))</f>
        <v/>
      </c>
      <c r="AC4649" s="9">
        <f>IF(AND($A4649&lt;&gt;"",M4649=설정!$C$20,Z4649&gt;0),Z4649+ROW()/1000000000,"")</f>
        <v/>
      </c>
      <c r="AD4649" s="94">
        <f>IF($A4649="",0,$P4649*AG4649)</f>
        <v/>
      </c>
      <c r="AE4649" s="64">
        <f>IF($A4649="","",IFERROR(INDEX(계정매핑!$E$5:$E$504,MATCH($F4649&amp;"",계정매핑!$A$5:$A$504,0))&amp;"","공통비"))</f>
        <v/>
      </c>
      <c r="AF4649" s="64">
        <f>IF($A4649="","",IF(AE4649="직접",IFERROR(INDEX(계정매핑!$F$5:$F$504,MATCH($F4649&amp;"",계정매핑!$A$5:$A$504,0))&amp;"","비귀속"),""))</f>
        <v/>
      </c>
      <c r="AG4649" s="96">
        <f>IF($A4649="",0,IF(AND(AE4649&lt;&gt;"직접",IFERROR(INDEX(계정매핑!$G$5:$G$504,MATCH($F4649&amp;"",계정매핑!$A$5:$A$504,0))&amp;"","")="유지비",COUNTIF(계정대체기준!$A$6:$A$15,$N4649)&gt;0),IFERROR(INDEX(계정대체기준!$E$6:$E$15,MATCH(VALUE($A4649&amp;""),계정대체기준!$D$6:$D$15,0)),0),0))</f>
        <v/>
      </c>
      <c r="AH4649" s="64">
        <f>IF($A4649="","",IF(AD4649=0,"",IF(OR(COUNTIF(계정대체기준!$A$77:$A$86,$N4649)&gt;0,ISNUMBER(MATCH($X4649,계정대체기준!$D$77:$D$86,0)),ISNUMBER(MATCH($F4649,계정대체기준!$D$77:$D$86,0))),"Y","N")))</f>
        <v/>
      </c>
    </row>
    <row r="4650">
      <c r="A4650" s="92" t="n">
        <v>2026</v>
      </c>
      <c r="B4650" s="92" t="n">
        <v>9</v>
      </c>
      <c r="C4650" s="92" t="inlineStr">
        <is>
          <t>5100001928</t>
        </is>
      </c>
      <c r="D4650" s="95" t="n">
        <v>46276</v>
      </c>
      <c r="E4650" s="92" t="inlineStr">
        <is>
          <t>KR</t>
        </is>
      </c>
      <c r="F4650" s="92" t="n">
        <v>62902000</v>
      </c>
      <c r="G4650" s="92" t="n">
        <v>1801</v>
      </c>
      <c r="H4650" s="93" t="n">
        <v>3000000</v>
      </c>
      <c r="I4650" s="92" t="inlineStr">
        <is>
          <t>9월 업무 위탁 수수료 - X서비스</t>
        </is>
      </c>
      <c r="J4650" s="92" t="inlineStr">
        <is>
          <t>V10020</t>
        </is>
      </c>
      <c r="K4650" s="92" t="inlineStr">
        <is>
          <t>X서비스</t>
        </is>
      </c>
      <c r="M4650" s="9">
        <f>IF($A4650="","",VALUE($A4650&amp;"")*12+VALUE($B4650&amp;""))</f>
        <v/>
      </c>
      <c r="N4650" s="64">
        <f>IF($A4650="","",IFERROR(INDEX(부서매핑!$C$5:$C$504,MATCH($G4650&amp;"",부서매핑!$A$5:$A$504,0)),"미매핑"))</f>
        <v/>
      </c>
      <c r="O4650" s="9">
        <f>IF($A4650="","",N4650&amp;"|"&amp;$F4650)</f>
        <v/>
      </c>
      <c r="P4650" s="94">
        <f>IF($A4650="",0,$H4650*설정!$C$23)</f>
        <v/>
      </c>
      <c r="Q4650" s="64">
        <f>IF($A4650="","",IF(O4650&lt;&gt;원인분석!$C$9,"",IF(AND(M4650&gt;=원인분석!$C$10,M4650&lt;=원인분석!$C$11),"당기",IF(AND(M4650&gt;=원인분석!$C$12,M4650&lt;=원인분석!$C$13),"비교",""))))</f>
        <v/>
      </c>
      <c r="R4650" s="9">
        <f>IF(Q4650="","",$K4650&amp;"")</f>
        <v/>
      </c>
      <c r="S4650" s="9">
        <f>IF(Q4650="","",IF(MATCH(R4650,$R$5:$R$100000,0)=ROW()-4,ROW(),""))</f>
        <v/>
      </c>
      <c r="T4650" s="9">
        <f>IF(Q4650="당기",ABS(P4650)+ROW()/1000000000,"")</f>
        <v/>
      </c>
      <c r="U4650" s="9">
        <f>IF(Q4650="비교",ABS(P4650)+ROW()/1000000000,"")</f>
        <v/>
      </c>
      <c r="V4650" s="64">
        <f>IF($A4650="","",IF(COUNTIF(변동분석!$E$7:$E$506,O4650)&gt;0,"Y","N"))</f>
        <v/>
      </c>
      <c r="W4650" s="64">
        <f>IF($A4650="","",IFERROR(INDEX(계정매핑!$D$5:$D$504,MATCH($F4650&amp;"",계정매핑!$A$5:$A$504,0)),"미매핑"))</f>
        <v/>
      </c>
      <c r="X4650" s="9">
        <f>IF($A4650="","",$F4650&amp;"")</f>
        <v/>
      </c>
      <c r="Y4650" s="94">
        <f>IF($A4650="",0,IF(AE4650="직접",IF(AF4650="비귀속",$P4650,0),$P4650*(1-AG4650)*IFERROR(INDEX(계정대체기준!$F$20:$F$49,MATCH($N4650,계정대체기준!$A$20:$A$49,0)),1)))</f>
        <v/>
      </c>
      <c r="Z4650" s="94">
        <f>IF($A4650="",0,IF(AE4650="직접",IF(AF4650="신계약비",$P4650,0),$P4650*(1-AG4650)*IFERROR(INDEX(계정대체기준!$C$20:$C$49,MATCH($N4650,계정대체기준!$A$20:$A$49,0)),0)))</f>
        <v/>
      </c>
      <c r="AA4650" s="94">
        <f>IF($A4650="",0,IF(AE4650="직접",IF(OR(AF4650="유지비",AF4650="손해조사비"),$P4650,0),$P4650*(1-AG4650)*IFERROR(INDEX(계정대체기준!$D$20:$D$49,MATCH($N4650,계정대체기준!$A$20:$A$49,0)),0)))</f>
        <v/>
      </c>
      <c r="AB4650" s="94">
        <f>IF($A4650="",0,IF(AE4650="직접",IF(AF4650="수금비",$P4650,0),$P4650*(1-AG4650)*IFERROR(INDEX(계정대체기준!$E$20:$E$49,MATCH($N4650,계정대체기준!$A$20:$A$49,0)),0)))</f>
        <v/>
      </c>
      <c r="AC4650" s="9">
        <f>IF(AND($A4650&lt;&gt;"",M4650=설정!$C$20,Z4650&gt;0),Z4650+ROW()/1000000000,"")</f>
        <v/>
      </c>
      <c r="AD4650" s="94">
        <f>IF($A4650="",0,$P4650*AG4650)</f>
        <v/>
      </c>
      <c r="AE4650" s="64">
        <f>IF($A4650="","",IFERROR(INDEX(계정매핑!$E$5:$E$504,MATCH($F4650&amp;"",계정매핑!$A$5:$A$504,0))&amp;"","공통비"))</f>
        <v/>
      </c>
      <c r="AF4650" s="64">
        <f>IF($A4650="","",IF(AE4650="직접",IFERROR(INDEX(계정매핑!$F$5:$F$504,MATCH($F4650&amp;"",계정매핑!$A$5:$A$504,0))&amp;"","비귀속"),""))</f>
        <v/>
      </c>
      <c r="AG4650" s="96">
        <f>IF($A4650="",0,IF(AND(AE4650&lt;&gt;"직접",IFERROR(INDEX(계정매핑!$G$5:$G$504,MATCH($F4650&amp;"",계정매핑!$A$5:$A$504,0))&amp;"","")="유지비",COUNTIF(계정대체기준!$A$6:$A$15,$N4650)&gt;0),IFERROR(INDEX(계정대체기준!$E$6:$E$15,MATCH(VALUE($A4650&amp;""),계정대체기준!$D$6:$D$15,0)),0),0))</f>
        <v/>
      </c>
      <c r="AH4650" s="64">
        <f>IF($A4650="","",IF(AD4650=0,"",IF(OR(COUNTIF(계정대체기준!$A$77:$A$86,$N4650)&gt;0,ISNUMBER(MATCH($X4650,계정대체기준!$D$77:$D$86,0)),ISNUMBER(MATCH($F4650,계정대체기준!$D$77:$D$86,0))),"Y","N")))</f>
        <v/>
      </c>
    </row>
    <row r="4651">
      <c r="A4651" s="92" t="n">
        <v>2026</v>
      </c>
      <c r="B4651" s="92" t="n">
        <v>9</v>
      </c>
      <c r="C4651" s="92" t="inlineStr">
        <is>
          <t>5100001929</t>
        </is>
      </c>
      <c r="D4651" s="95" t="n">
        <v>46276</v>
      </c>
      <c r="E4651" s="92" t="inlineStr">
        <is>
          <t>KR</t>
        </is>
      </c>
      <c r="F4651" s="92" t="n">
        <v>63001000</v>
      </c>
      <c r="G4651" s="92" t="n">
        <v>1701</v>
      </c>
      <c r="H4651" s="93" t="n">
        <v>29919000</v>
      </c>
      <c r="I4651" s="92" t="inlineStr">
        <is>
          <t>9월 SW 유지보수 - Z시스템</t>
        </is>
      </c>
      <c r="J4651" s="92" t="inlineStr">
        <is>
          <t>V10012</t>
        </is>
      </c>
      <c r="K4651" s="92" t="inlineStr">
        <is>
          <t>Z시스템</t>
        </is>
      </c>
      <c r="M4651" s="9">
        <f>IF($A4651="","",VALUE($A4651&amp;"")*12+VALUE($B4651&amp;""))</f>
        <v/>
      </c>
      <c r="N4651" s="64">
        <f>IF($A4651="","",IFERROR(INDEX(부서매핑!$C$5:$C$504,MATCH($G4651&amp;"",부서매핑!$A$5:$A$504,0)),"미매핑"))</f>
        <v/>
      </c>
      <c r="O4651" s="9">
        <f>IF($A4651="","",N4651&amp;"|"&amp;$F4651)</f>
        <v/>
      </c>
      <c r="P4651" s="94">
        <f>IF($A4651="",0,$H4651*설정!$C$23)</f>
        <v/>
      </c>
      <c r="Q4651" s="64">
        <f>IF($A4651="","",IF(O4651&lt;&gt;원인분석!$C$9,"",IF(AND(M4651&gt;=원인분석!$C$10,M4651&lt;=원인분석!$C$11),"당기",IF(AND(M4651&gt;=원인분석!$C$12,M4651&lt;=원인분석!$C$13),"비교",""))))</f>
        <v/>
      </c>
      <c r="R4651" s="9">
        <f>IF(Q4651="","",$K4651&amp;"")</f>
        <v/>
      </c>
      <c r="S4651" s="9">
        <f>IF(Q4651="","",IF(MATCH(R4651,$R$5:$R$100000,0)=ROW()-4,ROW(),""))</f>
        <v/>
      </c>
      <c r="T4651" s="9">
        <f>IF(Q4651="당기",ABS(P4651)+ROW()/1000000000,"")</f>
        <v/>
      </c>
      <c r="U4651" s="9">
        <f>IF(Q4651="비교",ABS(P4651)+ROW()/1000000000,"")</f>
        <v/>
      </c>
      <c r="V4651" s="64">
        <f>IF($A4651="","",IF(COUNTIF(변동분석!$E$7:$E$506,O4651)&gt;0,"Y","N"))</f>
        <v/>
      </c>
      <c r="W4651" s="64">
        <f>IF($A4651="","",IFERROR(INDEX(계정매핑!$D$5:$D$504,MATCH($F4651&amp;"",계정매핑!$A$5:$A$504,0)),"미매핑"))</f>
        <v/>
      </c>
      <c r="X4651" s="9">
        <f>IF($A4651="","",$F4651&amp;"")</f>
        <v/>
      </c>
      <c r="Y4651" s="94">
        <f>IF($A4651="",0,IF(AE4651="직접",IF(AF4651="비귀속",$P4651,0),$P4651*(1-AG4651)*IFERROR(INDEX(계정대체기준!$F$20:$F$49,MATCH($N4651,계정대체기준!$A$20:$A$49,0)),1)))</f>
        <v/>
      </c>
      <c r="Z4651" s="94">
        <f>IF($A4651="",0,IF(AE4651="직접",IF(AF4651="신계약비",$P4651,0),$P4651*(1-AG4651)*IFERROR(INDEX(계정대체기준!$C$20:$C$49,MATCH($N4651,계정대체기준!$A$20:$A$49,0)),0)))</f>
        <v/>
      </c>
      <c r="AA4651" s="94">
        <f>IF($A4651="",0,IF(AE4651="직접",IF(OR(AF4651="유지비",AF4651="손해조사비"),$P4651,0),$P4651*(1-AG4651)*IFERROR(INDEX(계정대체기준!$D$20:$D$49,MATCH($N4651,계정대체기준!$A$20:$A$49,0)),0)))</f>
        <v/>
      </c>
      <c r="AB4651" s="94">
        <f>IF($A4651="",0,IF(AE4651="직접",IF(AF4651="수금비",$P4651,0),$P4651*(1-AG4651)*IFERROR(INDEX(계정대체기준!$E$20:$E$49,MATCH($N4651,계정대체기준!$A$20:$A$49,0)),0)))</f>
        <v/>
      </c>
      <c r="AC4651" s="9">
        <f>IF(AND($A4651&lt;&gt;"",M4651=설정!$C$20,Z4651&gt;0),Z4651+ROW()/1000000000,"")</f>
        <v/>
      </c>
      <c r="AD4651" s="94">
        <f>IF($A4651="",0,$P4651*AG4651)</f>
        <v/>
      </c>
      <c r="AE4651" s="64">
        <f>IF($A4651="","",IFERROR(INDEX(계정매핑!$E$5:$E$504,MATCH($F4651&amp;"",계정매핑!$A$5:$A$504,0))&amp;"","공통비"))</f>
        <v/>
      </c>
      <c r="AF4651" s="64">
        <f>IF($A4651="","",IF(AE4651="직접",IFERROR(INDEX(계정매핑!$F$5:$F$504,MATCH($F4651&amp;"",계정매핑!$A$5:$A$504,0))&amp;"","비귀속"),""))</f>
        <v/>
      </c>
      <c r="AG4651" s="96">
        <f>IF($A4651="",0,IF(AND(AE4651&lt;&gt;"직접",IFERROR(INDEX(계정매핑!$G$5:$G$504,MATCH($F4651&amp;"",계정매핑!$A$5:$A$504,0))&amp;"","")="유지비",COUNTIF(계정대체기준!$A$6:$A$15,$N4651)&gt;0),IFERROR(INDEX(계정대체기준!$E$6:$E$15,MATCH(VALUE($A4651&amp;""),계정대체기준!$D$6:$D$15,0)),0),0))</f>
        <v/>
      </c>
      <c r="AH4651" s="64">
        <f>IF($A4651="","",IF(AD4651=0,"",IF(OR(COUNTIF(계정대체기준!$A$77:$A$86,$N4651)&gt;0,ISNUMBER(MATCH($X4651,계정대체기준!$D$77:$D$86,0)),ISNUMBER(MATCH($F4651,계정대체기준!$D$77:$D$86,0))),"Y","N")))</f>
        <v/>
      </c>
    </row>
    <row r="4652">
      <c r="A4652" s="92" t="n">
        <v>2026</v>
      </c>
      <c r="B4652" s="92" t="n">
        <v>9</v>
      </c>
      <c r="C4652" s="92" t="inlineStr">
        <is>
          <t>5100001930</t>
        </is>
      </c>
      <c r="D4652" s="95" t="n">
        <v>46277</v>
      </c>
      <c r="E4652" s="92" t="inlineStr">
        <is>
          <t>KR</t>
        </is>
      </c>
      <c r="F4652" s="92" t="n">
        <v>62101000</v>
      </c>
      <c r="G4652" s="92" t="n">
        <v>1101</v>
      </c>
      <c r="H4652" s="93" t="n">
        <v>631000</v>
      </c>
      <c r="I4652" s="92" t="inlineStr">
        <is>
          <t>9월 국내출장 - L여행사</t>
        </is>
      </c>
      <c r="J4652" s="92" t="inlineStr">
        <is>
          <t>V10018</t>
        </is>
      </c>
      <c r="K4652" s="92" t="inlineStr">
        <is>
          <t>L여행사</t>
        </is>
      </c>
      <c r="M4652" s="9">
        <f>IF($A4652="","",VALUE($A4652&amp;"")*12+VALUE($B4652&amp;""))</f>
        <v/>
      </c>
      <c r="N4652" s="64">
        <f>IF($A4652="","",IFERROR(INDEX(부서매핑!$C$5:$C$504,MATCH($G4652&amp;"",부서매핑!$A$5:$A$504,0)),"미매핑"))</f>
        <v/>
      </c>
      <c r="O4652" s="9">
        <f>IF($A4652="","",N4652&amp;"|"&amp;$F4652)</f>
        <v/>
      </c>
      <c r="P4652" s="94">
        <f>IF($A4652="",0,$H4652*설정!$C$23)</f>
        <v/>
      </c>
      <c r="Q4652" s="64">
        <f>IF($A4652="","",IF(O4652&lt;&gt;원인분석!$C$9,"",IF(AND(M4652&gt;=원인분석!$C$10,M4652&lt;=원인분석!$C$11),"당기",IF(AND(M4652&gt;=원인분석!$C$12,M4652&lt;=원인분석!$C$13),"비교",""))))</f>
        <v/>
      </c>
      <c r="R4652" s="9">
        <f>IF(Q4652="","",$K4652&amp;"")</f>
        <v/>
      </c>
      <c r="S4652" s="9">
        <f>IF(Q4652="","",IF(MATCH(R4652,$R$5:$R$100000,0)=ROW()-4,ROW(),""))</f>
        <v/>
      </c>
      <c r="T4652" s="9">
        <f>IF(Q4652="당기",ABS(P4652)+ROW()/1000000000,"")</f>
        <v/>
      </c>
      <c r="U4652" s="9">
        <f>IF(Q4652="비교",ABS(P4652)+ROW()/1000000000,"")</f>
        <v/>
      </c>
      <c r="V4652" s="64">
        <f>IF($A4652="","",IF(COUNTIF(변동분석!$E$7:$E$506,O4652)&gt;0,"Y","N"))</f>
        <v/>
      </c>
      <c r="W4652" s="64">
        <f>IF($A4652="","",IFERROR(INDEX(계정매핑!$D$5:$D$504,MATCH($F4652&amp;"",계정매핑!$A$5:$A$504,0)),"미매핑"))</f>
        <v/>
      </c>
      <c r="X4652" s="9">
        <f>IF($A4652="","",$F4652&amp;"")</f>
        <v/>
      </c>
      <c r="Y4652" s="94">
        <f>IF($A4652="",0,IF(AE4652="직접",IF(AF4652="비귀속",$P4652,0),$P4652*(1-AG4652)*IFERROR(INDEX(계정대체기준!$F$20:$F$49,MATCH($N4652,계정대체기준!$A$20:$A$49,0)),1)))</f>
        <v/>
      </c>
      <c r="Z4652" s="94">
        <f>IF($A4652="",0,IF(AE4652="직접",IF(AF4652="신계약비",$P4652,0),$P4652*(1-AG4652)*IFERROR(INDEX(계정대체기준!$C$20:$C$49,MATCH($N4652,계정대체기준!$A$20:$A$49,0)),0)))</f>
        <v/>
      </c>
      <c r="AA4652" s="94">
        <f>IF($A4652="",0,IF(AE4652="직접",IF(OR(AF4652="유지비",AF4652="손해조사비"),$P4652,0),$P4652*(1-AG4652)*IFERROR(INDEX(계정대체기준!$D$20:$D$49,MATCH($N4652,계정대체기준!$A$20:$A$49,0)),0)))</f>
        <v/>
      </c>
      <c r="AB4652" s="94">
        <f>IF($A4652="",0,IF(AE4652="직접",IF(AF4652="수금비",$P4652,0),$P4652*(1-AG4652)*IFERROR(INDEX(계정대체기준!$E$20:$E$49,MATCH($N4652,계정대체기준!$A$20:$A$49,0)),0)))</f>
        <v/>
      </c>
      <c r="AC4652" s="9">
        <f>IF(AND($A4652&lt;&gt;"",M4652=설정!$C$20,Z4652&gt;0),Z4652+ROW()/1000000000,"")</f>
        <v/>
      </c>
      <c r="AD4652" s="94">
        <f>IF($A4652="",0,$P4652*AG4652)</f>
        <v/>
      </c>
      <c r="AE4652" s="64">
        <f>IF($A4652="","",IFERROR(INDEX(계정매핑!$E$5:$E$504,MATCH($F4652&amp;"",계정매핑!$A$5:$A$504,0))&amp;"","공통비"))</f>
        <v/>
      </c>
      <c r="AF4652" s="64">
        <f>IF($A4652="","",IF(AE4652="직접",IFERROR(INDEX(계정매핑!$F$5:$F$504,MATCH($F4652&amp;"",계정매핑!$A$5:$A$504,0))&amp;"","비귀속"),""))</f>
        <v/>
      </c>
      <c r="AG4652" s="96">
        <f>IF($A4652="",0,IF(AND(AE4652&lt;&gt;"직접",IFERROR(INDEX(계정매핑!$G$5:$G$504,MATCH($F4652&amp;"",계정매핑!$A$5:$A$504,0))&amp;"","")="유지비",COUNTIF(계정대체기준!$A$6:$A$15,$N4652)&gt;0),IFERROR(INDEX(계정대체기준!$E$6:$E$15,MATCH(VALUE($A4652&amp;""),계정대체기준!$D$6:$D$15,0)),0),0))</f>
        <v/>
      </c>
      <c r="AH4652" s="64">
        <f>IF($A4652="","",IF(AD4652=0,"",IF(OR(COUNTIF(계정대체기준!$A$77:$A$86,$N4652)&gt;0,ISNUMBER(MATCH($X4652,계정대체기준!$D$77:$D$86,0)),ISNUMBER(MATCH($F4652,계정대체기준!$D$77:$D$86,0))),"Y","N")))</f>
        <v/>
      </c>
    </row>
    <row r="4653">
      <c r="A4653" s="92" t="n">
        <v>2026</v>
      </c>
      <c r="B4653" s="92" t="n">
        <v>9</v>
      </c>
      <c r="C4653" s="92" t="inlineStr">
        <is>
          <t>5100001931</t>
        </is>
      </c>
      <c r="D4653" s="95" t="n">
        <v>46277</v>
      </c>
      <c r="E4653" s="92" t="inlineStr">
        <is>
          <t>KR</t>
        </is>
      </c>
      <c r="F4653" s="92" t="n">
        <v>62101000</v>
      </c>
      <c r="G4653" s="92" t="n">
        <v>1951</v>
      </c>
      <c r="H4653" s="93" t="n">
        <v>294000</v>
      </c>
      <c r="I4653" s="92" t="inlineStr">
        <is>
          <t>9월 국내출장 - L여행사</t>
        </is>
      </c>
      <c r="J4653" s="92" t="inlineStr">
        <is>
          <t>V10018</t>
        </is>
      </c>
      <c r="K4653" s="92" t="inlineStr">
        <is>
          <t>L여행사</t>
        </is>
      </c>
      <c r="M4653" s="9">
        <f>IF($A4653="","",VALUE($A4653&amp;"")*12+VALUE($B4653&amp;""))</f>
        <v/>
      </c>
      <c r="N4653" s="64">
        <f>IF($A4653="","",IFERROR(INDEX(부서매핑!$C$5:$C$504,MATCH($G4653&amp;"",부서매핑!$A$5:$A$504,0)),"미매핑"))</f>
        <v/>
      </c>
      <c r="O4653" s="9">
        <f>IF($A4653="","",N4653&amp;"|"&amp;$F4653)</f>
        <v/>
      </c>
      <c r="P4653" s="94">
        <f>IF($A4653="",0,$H4653*설정!$C$23)</f>
        <v/>
      </c>
      <c r="Q4653" s="64">
        <f>IF($A4653="","",IF(O4653&lt;&gt;원인분석!$C$9,"",IF(AND(M4653&gt;=원인분석!$C$10,M4653&lt;=원인분석!$C$11),"당기",IF(AND(M4653&gt;=원인분석!$C$12,M4653&lt;=원인분석!$C$13),"비교",""))))</f>
        <v/>
      </c>
      <c r="R4653" s="9">
        <f>IF(Q4653="","",$K4653&amp;"")</f>
        <v/>
      </c>
      <c r="S4653" s="9">
        <f>IF(Q4653="","",IF(MATCH(R4653,$R$5:$R$100000,0)=ROW()-4,ROW(),""))</f>
        <v/>
      </c>
      <c r="T4653" s="9">
        <f>IF(Q4653="당기",ABS(P4653)+ROW()/1000000000,"")</f>
        <v/>
      </c>
      <c r="U4653" s="9">
        <f>IF(Q4653="비교",ABS(P4653)+ROW()/1000000000,"")</f>
        <v/>
      </c>
      <c r="V4653" s="64">
        <f>IF($A4653="","",IF(COUNTIF(변동분석!$E$7:$E$506,O4653)&gt;0,"Y","N"))</f>
        <v/>
      </c>
      <c r="W4653" s="64">
        <f>IF($A4653="","",IFERROR(INDEX(계정매핑!$D$5:$D$504,MATCH($F4653&amp;"",계정매핑!$A$5:$A$504,0)),"미매핑"))</f>
        <v/>
      </c>
      <c r="X4653" s="9">
        <f>IF($A4653="","",$F4653&amp;"")</f>
        <v/>
      </c>
      <c r="Y4653" s="94">
        <f>IF($A4653="",0,IF(AE4653="직접",IF(AF4653="비귀속",$P4653,0),$P4653*(1-AG4653)*IFERROR(INDEX(계정대체기준!$F$20:$F$49,MATCH($N4653,계정대체기준!$A$20:$A$49,0)),1)))</f>
        <v/>
      </c>
      <c r="Z4653" s="94">
        <f>IF($A4653="",0,IF(AE4653="직접",IF(AF4653="신계약비",$P4653,0),$P4653*(1-AG4653)*IFERROR(INDEX(계정대체기준!$C$20:$C$49,MATCH($N4653,계정대체기준!$A$20:$A$49,0)),0)))</f>
        <v/>
      </c>
      <c r="AA4653" s="94">
        <f>IF($A4653="",0,IF(AE4653="직접",IF(OR(AF4653="유지비",AF4653="손해조사비"),$P4653,0),$P4653*(1-AG4653)*IFERROR(INDEX(계정대체기준!$D$20:$D$49,MATCH($N4653,계정대체기준!$A$20:$A$49,0)),0)))</f>
        <v/>
      </c>
      <c r="AB4653" s="94">
        <f>IF($A4653="",0,IF(AE4653="직접",IF(AF4653="수금비",$P4653,0),$P4653*(1-AG4653)*IFERROR(INDEX(계정대체기준!$E$20:$E$49,MATCH($N4653,계정대체기준!$A$20:$A$49,0)),0)))</f>
        <v/>
      </c>
      <c r="AC4653" s="9">
        <f>IF(AND($A4653&lt;&gt;"",M4653=설정!$C$20,Z4653&gt;0),Z4653+ROW()/1000000000,"")</f>
        <v/>
      </c>
      <c r="AD4653" s="94">
        <f>IF($A4653="",0,$P4653*AG4653)</f>
        <v/>
      </c>
      <c r="AE4653" s="64">
        <f>IF($A4653="","",IFERROR(INDEX(계정매핑!$E$5:$E$504,MATCH($F4653&amp;"",계정매핑!$A$5:$A$504,0))&amp;"","공통비"))</f>
        <v/>
      </c>
      <c r="AF4653" s="64">
        <f>IF($A4653="","",IF(AE4653="직접",IFERROR(INDEX(계정매핑!$F$5:$F$504,MATCH($F4653&amp;"",계정매핑!$A$5:$A$504,0))&amp;"","비귀속"),""))</f>
        <v/>
      </c>
      <c r="AG4653" s="96">
        <f>IF($A4653="",0,IF(AND(AE4653&lt;&gt;"직접",IFERROR(INDEX(계정매핑!$G$5:$G$504,MATCH($F4653&amp;"",계정매핑!$A$5:$A$504,0))&amp;"","")="유지비",COUNTIF(계정대체기준!$A$6:$A$15,$N4653)&gt;0),IFERROR(INDEX(계정대체기준!$E$6:$E$15,MATCH(VALUE($A4653&amp;""),계정대체기준!$D$6:$D$15,0)),0),0))</f>
        <v/>
      </c>
      <c r="AH4653" s="64">
        <f>IF($A4653="","",IF(AD4653=0,"",IF(OR(COUNTIF(계정대체기준!$A$77:$A$86,$N4653)&gt;0,ISNUMBER(MATCH($X4653,계정대체기준!$D$77:$D$86,0)),ISNUMBER(MATCH($F4653,계정대체기준!$D$77:$D$86,0))),"Y","N")))</f>
        <v/>
      </c>
    </row>
    <row r="4654">
      <c r="A4654" s="92" t="n">
        <v>2026</v>
      </c>
      <c r="B4654" s="92" t="n">
        <v>9</v>
      </c>
      <c r="C4654" s="92" t="inlineStr">
        <is>
          <t>5100001932</t>
        </is>
      </c>
      <c r="D4654" s="95" t="n">
        <v>46277</v>
      </c>
      <c r="E4654" s="92" t="inlineStr">
        <is>
          <t>KR</t>
        </is>
      </c>
      <c r="F4654" s="92" t="n">
        <v>62102000</v>
      </c>
      <c r="G4654" s="92" t="n">
        <v>1101</v>
      </c>
      <c r="H4654" s="93" t="n">
        <v>112000</v>
      </c>
      <c r="I4654" s="92" t="inlineStr">
        <is>
          <t>9월 해외출장 - M항공</t>
        </is>
      </c>
      <c r="J4654" s="92" t="inlineStr">
        <is>
          <t>V10001</t>
        </is>
      </c>
      <c r="K4654" s="92" t="inlineStr">
        <is>
          <t>M항공</t>
        </is>
      </c>
      <c r="M4654" s="9">
        <f>IF($A4654="","",VALUE($A4654&amp;"")*12+VALUE($B4654&amp;""))</f>
        <v/>
      </c>
      <c r="N4654" s="64">
        <f>IF($A4654="","",IFERROR(INDEX(부서매핑!$C$5:$C$504,MATCH($G4654&amp;"",부서매핑!$A$5:$A$504,0)),"미매핑"))</f>
        <v/>
      </c>
      <c r="O4654" s="9">
        <f>IF($A4654="","",N4654&amp;"|"&amp;$F4654)</f>
        <v/>
      </c>
      <c r="P4654" s="94">
        <f>IF($A4654="",0,$H4654*설정!$C$23)</f>
        <v/>
      </c>
      <c r="Q4654" s="64">
        <f>IF($A4654="","",IF(O4654&lt;&gt;원인분석!$C$9,"",IF(AND(M4654&gt;=원인분석!$C$10,M4654&lt;=원인분석!$C$11),"당기",IF(AND(M4654&gt;=원인분석!$C$12,M4654&lt;=원인분석!$C$13),"비교",""))))</f>
        <v/>
      </c>
      <c r="R4654" s="9">
        <f>IF(Q4654="","",$K4654&amp;"")</f>
        <v/>
      </c>
      <c r="S4654" s="9">
        <f>IF(Q4654="","",IF(MATCH(R4654,$R$5:$R$100000,0)=ROW()-4,ROW(),""))</f>
        <v/>
      </c>
      <c r="T4654" s="9">
        <f>IF(Q4654="당기",ABS(P4654)+ROW()/1000000000,"")</f>
        <v/>
      </c>
      <c r="U4654" s="9">
        <f>IF(Q4654="비교",ABS(P4654)+ROW()/1000000000,"")</f>
        <v/>
      </c>
      <c r="V4654" s="64">
        <f>IF($A4654="","",IF(COUNTIF(변동분석!$E$7:$E$506,O4654)&gt;0,"Y","N"))</f>
        <v/>
      </c>
      <c r="W4654" s="64">
        <f>IF($A4654="","",IFERROR(INDEX(계정매핑!$D$5:$D$504,MATCH($F4654&amp;"",계정매핑!$A$5:$A$504,0)),"미매핑"))</f>
        <v/>
      </c>
      <c r="X4654" s="9">
        <f>IF($A4654="","",$F4654&amp;"")</f>
        <v/>
      </c>
      <c r="Y4654" s="94">
        <f>IF($A4654="",0,IF(AE4654="직접",IF(AF4654="비귀속",$P4654,0),$P4654*(1-AG4654)*IFERROR(INDEX(계정대체기준!$F$20:$F$49,MATCH($N4654,계정대체기준!$A$20:$A$49,0)),1)))</f>
        <v/>
      </c>
      <c r="Z4654" s="94">
        <f>IF($A4654="",0,IF(AE4654="직접",IF(AF4654="신계약비",$P4654,0),$P4654*(1-AG4654)*IFERROR(INDEX(계정대체기준!$C$20:$C$49,MATCH($N4654,계정대체기준!$A$20:$A$49,0)),0)))</f>
        <v/>
      </c>
      <c r="AA4654" s="94">
        <f>IF($A4654="",0,IF(AE4654="직접",IF(OR(AF4654="유지비",AF4654="손해조사비"),$P4654,0),$P4654*(1-AG4654)*IFERROR(INDEX(계정대체기준!$D$20:$D$49,MATCH($N4654,계정대체기준!$A$20:$A$49,0)),0)))</f>
        <v/>
      </c>
      <c r="AB4654" s="94">
        <f>IF($A4654="",0,IF(AE4654="직접",IF(AF4654="수금비",$P4654,0),$P4654*(1-AG4654)*IFERROR(INDEX(계정대체기준!$E$20:$E$49,MATCH($N4654,계정대체기준!$A$20:$A$49,0)),0)))</f>
        <v/>
      </c>
      <c r="AC4654" s="9">
        <f>IF(AND($A4654&lt;&gt;"",M4654=설정!$C$20,Z4654&gt;0),Z4654+ROW()/1000000000,"")</f>
        <v/>
      </c>
      <c r="AD4654" s="94">
        <f>IF($A4654="",0,$P4654*AG4654)</f>
        <v/>
      </c>
      <c r="AE4654" s="64">
        <f>IF($A4654="","",IFERROR(INDEX(계정매핑!$E$5:$E$504,MATCH($F4654&amp;"",계정매핑!$A$5:$A$504,0))&amp;"","공통비"))</f>
        <v/>
      </c>
      <c r="AF4654" s="64">
        <f>IF($A4654="","",IF(AE4654="직접",IFERROR(INDEX(계정매핑!$F$5:$F$504,MATCH($F4654&amp;"",계정매핑!$A$5:$A$504,0))&amp;"","비귀속"),""))</f>
        <v/>
      </c>
      <c r="AG4654" s="96">
        <f>IF($A4654="",0,IF(AND(AE4654&lt;&gt;"직접",IFERROR(INDEX(계정매핑!$G$5:$G$504,MATCH($F4654&amp;"",계정매핑!$A$5:$A$504,0))&amp;"","")="유지비",COUNTIF(계정대체기준!$A$6:$A$15,$N4654)&gt;0),IFERROR(INDEX(계정대체기준!$E$6:$E$15,MATCH(VALUE($A4654&amp;""),계정대체기준!$D$6:$D$15,0)),0),0))</f>
        <v/>
      </c>
      <c r="AH4654" s="64">
        <f>IF($A4654="","",IF(AD4654=0,"",IF(OR(COUNTIF(계정대체기준!$A$77:$A$86,$N4654)&gt;0,ISNUMBER(MATCH($X4654,계정대체기준!$D$77:$D$86,0)),ISNUMBER(MATCH($F4654,계정대체기준!$D$77:$D$86,0))),"Y","N")))</f>
        <v/>
      </c>
    </row>
    <row r="4655">
      <c r="A4655" s="92" t="n">
        <v>2026</v>
      </c>
      <c r="B4655" s="92" t="n">
        <v>9</v>
      </c>
      <c r="C4655" s="92" t="inlineStr">
        <is>
          <t>5100001933</t>
        </is>
      </c>
      <c r="D4655" s="95" t="n">
        <v>46277</v>
      </c>
      <c r="E4655" s="92" t="inlineStr">
        <is>
          <t>KR</t>
        </is>
      </c>
      <c r="F4655" s="92" t="n">
        <v>62201000</v>
      </c>
      <c r="G4655" s="92" t="n">
        <v>1602</v>
      </c>
      <c r="H4655" s="93" t="n">
        <v>625000</v>
      </c>
      <c r="I4655" s="92" t="inlineStr">
        <is>
          <t>9월 통신요금 - O텔레콤</t>
        </is>
      </c>
      <c r="J4655" s="92" t="inlineStr">
        <is>
          <t>V10002</t>
        </is>
      </c>
      <c r="K4655" s="92" t="inlineStr">
        <is>
          <t>O텔레콤</t>
        </is>
      </c>
      <c r="M4655" s="9">
        <f>IF($A4655="","",VALUE($A4655&amp;"")*12+VALUE($B4655&amp;""))</f>
        <v/>
      </c>
      <c r="N4655" s="64">
        <f>IF($A4655="","",IFERROR(INDEX(부서매핑!$C$5:$C$504,MATCH($G4655&amp;"",부서매핑!$A$5:$A$504,0)),"미매핑"))</f>
        <v/>
      </c>
      <c r="O4655" s="9">
        <f>IF($A4655="","",N4655&amp;"|"&amp;$F4655)</f>
        <v/>
      </c>
      <c r="P4655" s="94">
        <f>IF($A4655="",0,$H4655*설정!$C$23)</f>
        <v/>
      </c>
      <c r="Q4655" s="64">
        <f>IF($A4655="","",IF(O4655&lt;&gt;원인분석!$C$9,"",IF(AND(M4655&gt;=원인분석!$C$10,M4655&lt;=원인분석!$C$11),"당기",IF(AND(M4655&gt;=원인분석!$C$12,M4655&lt;=원인분석!$C$13),"비교",""))))</f>
        <v/>
      </c>
      <c r="R4655" s="9">
        <f>IF(Q4655="","",$K4655&amp;"")</f>
        <v/>
      </c>
      <c r="S4655" s="9">
        <f>IF(Q4655="","",IF(MATCH(R4655,$R$5:$R$100000,0)=ROW()-4,ROW(),""))</f>
        <v/>
      </c>
      <c r="T4655" s="9">
        <f>IF(Q4655="당기",ABS(P4655)+ROW()/1000000000,"")</f>
        <v/>
      </c>
      <c r="U4655" s="9">
        <f>IF(Q4655="비교",ABS(P4655)+ROW()/1000000000,"")</f>
        <v/>
      </c>
      <c r="V4655" s="64">
        <f>IF($A4655="","",IF(COUNTIF(변동분석!$E$7:$E$506,O4655)&gt;0,"Y","N"))</f>
        <v/>
      </c>
      <c r="W4655" s="64">
        <f>IF($A4655="","",IFERROR(INDEX(계정매핑!$D$5:$D$504,MATCH($F4655&amp;"",계정매핑!$A$5:$A$504,0)),"미매핑"))</f>
        <v/>
      </c>
      <c r="X4655" s="9">
        <f>IF($A4655="","",$F4655&amp;"")</f>
        <v/>
      </c>
      <c r="Y4655" s="94">
        <f>IF($A4655="",0,IF(AE4655="직접",IF(AF4655="비귀속",$P4655,0),$P4655*(1-AG4655)*IFERROR(INDEX(계정대체기준!$F$20:$F$49,MATCH($N4655,계정대체기준!$A$20:$A$49,0)),1)))</f>
        <v/>
      </c>
      <c r="Z4655" s="94">
        <f>IF($A4655="",0,IF(AE4655="직접",IF(AF4655="신계약비",$P4655,0),$P4655*(1-AG4655)*IFERROR(INDEX(계정대체기준!$C$20:$C$49,MATCH($N4655,계정대체기준!$A$20:$A$49,0)),0)))</f>
        <v/>
      </c>
      <c r="AA4655" s="94">
        <f>IF($A4655="",0,IF(AE4655="직접",IF(OR(AF4655="유지비",AF4655="손해조사비"),$P4655,0),$P4655*(1-AG4655)*IFERROR(INDEX(계정대체기준!$D$20:$D$49,MATCH($N4655,계정대체기준!$A$20:$A$49,0)),0)))</f>
        <v/>
      </c>
      <c r="AB4655" s="94">
        <f>IF($A4655="",0,IF(AE4655="직접",IF(AF4655="수금비",$P4655,0),$P4655*(1-AG4655)*IFERROR(INDEX(계정대체기준!$E$20:$E$49,MATCH($N4655,계정대체기준!$A$20:$A$49,0)),0)))</f>
        <v/>
      </c>
      <c r="AC4655" s="9">
        <f>IF(AND($A4655&lt;&gt;"",M4655=설정!$C$20,Z4655&gt;0),Z4655+ROW()/1000000000,"")</f>
        <v/>
      </c>
      <c r="AD4655" s="94">
        <f>IF($A4655="",0,$P4655*AG4655)</f>
        <v/>
      </c>
      <c r="AE4655" s="64">
        <f>IF($A4655="","",IFERROR(INDEX(계정매핑!$E$5:$E$504,MATCH($F4655&amp;"",계정매핑!$A$5:$A$504,0))&amp;"","공통비"))</f>
        <v/>
      </c>
      <c r="AF4655" s="64">
        <f>IF($A4655="","",IF(AE4655="직접",IFERROR(INDEX(계정매핑!$F$5:$F$504,MATCH($F4655&amp;"",계정매핑!$A$5:$A$504,0))&amp;"","비귀속"),""))</f>
        <v/>
      </c>
      <c r="AG4655" s="96">
        <f>IF($A4655="",0,IF(AND(AE4655&lt;&gt;"직접",IFERROR(INDEX(계정매핑!$G$5:$G$504,MATCH($F4655&amp;"",계정매핑!$A$5:$A$504,0))&amp;"","")="유지비",COUNTIF(계정대체기준!$A$6:$A$15,$N4655)&gt;0),IFERROR(INDEX(계정대체기준!$E$6:$E$15,MATCH(VALUE($A4655&amp;""),계정대체기준!$D$6:$D$15,0)),0),0))</f>
        <v/>
      </c>
      <c r="AH4655" s="64">
        <f>IF($A4655="","",IF(AD4655=0,"",IF(OR(COUNTIF(계정대체기준!$A$77:$A$86,$N4655)&gt;0,ISNUMBER(MATCH($X4655,계정대체기준!$D$77:$D$86,0)),ISNUMBER(MATCH($F4655,계정대체기준!$D$77:$D$86,0))),"Y","N")))</f>
        <v/>
      </c>
    </row>
    <row r="4656">
      <c r="A4656" s="92" t="n">
        <v>2026</v>
      </c>
      <c r="B4656" s="92" t="n">
        <v>9</v>
      </c>
      <c r="C4656" s="92" t="inlineStr">
        <is>
          <t>5100001934</t>
        </is>
      </c>
      <c r="D4656" s="95" t="n">
        <v>46277</v>
      </c>
      <c r="E4656" s="92" t="inlineStr">
        <is>
          <t>KR</t>
        </is>
      </c>
      <c r="F4656" s="92" t="n">
        <v>62201000</v>
      </c>
      <c r="G4656" s="92" t="n">
        <v>1951</v>
      </c>
      <c r="H4656" s="93" t="n">
        <v>506000</v>
      </c>
      <c r="I4656" s="92" t="inlineStr">
        <is>
          <t>9월 통신요금 - P통신</t>
        </is>
      </c>
      <c r="J4656" s="92" t="inlineStr">
        <is>
          <t>V10014</t>
        </is>
      </c>
      <c r="K4656" s="92" t="inlineStr">
        <is>
          <t>P통신</t>
        </is>
      </c>
      <c r="M4656" s="9">
        <f>IF($A4656="","",VALUE($A4656&amp;"")*12+VALUE($B4656&amp;""))</f>
        <v/>
      </c>
      <c r="N4656" s="64">
        <f>IF($A4656="","",IFERROR(INDEX(부서매핑!$C$5:$C$504,MATCH($G4656&amp;"",부서매핑!$A$5:$A$504,0)),"미매핑"))</f>
        <v/>
      </c>
      <c r="O4656" s="9">
        <f>IF($A4656="","",N4656&amp;"|"&amp;$F4656)</f>
        <v/>
      </c>
      <c r="P4656" s="94">
        <f>IF($A4656="",0,$H4656*설정!$C$23)</f>
        <v/>
      </c>
      <c r="Q4656" s="64">
        <f>IF($A4656="","",IF(O4656&lt;&gt;원인분석!$C$9,"",IF(AND(M4656&gt;=원인분석!$C$10,M4656&lt;=원인분석!$C$11),"당기",IF(AND(M4656&gt;=원인분석!$C$12,M4656&lt;=원인분석!$C$13),"비교",""))))</f>
        <v/>
      </c>
      <c r="R4656" s="9">
        <f>IF(Q4656="","",$K4656&amp;"")</f>
        <v/>
      </c>
      <c r="S4656" s="9">
        <f>IF(Q4656="","",IF(MATCH(R4656,$R$5:$R$100000,0)=ROW()-4,ROW(),""))</f>
        <v/>
      </c>
      <c r="T4656" s="9">
        <f>IF(Q4656="당기",ABS(P4656)+ROW()/1000000000,"")</f>
        <v/>
      </c>
      <c r="U4656" s="9">
        <f>IF(Q4656="비교",ABS(P4656)+ROW()/1000000000,"")</f>
        <v/>
      </c>
      <c r="V4656" s="64">
        <f>IF($A4656="","",IF(COUNTIF(변동분석!$E$7:$E$506,O4656)&gt;0,"Y","N"))</f>
        <v/>
      </c>
      <c r="W4656" s="64">
        <f>IF($A4656="","",IFERROR(INDEX(계정매핑!$D$5:$D$504,MATCH($F4656&amp;"",계정매핑!$A$5:$A$504,0)),"미매핑"))</f>
        <v/>
      </c>
      <c r="X4656" s="9">
        <f>IF($A4656="","",$F4656&amp;"")</f>
        <v/>
      </c>
      <c r="Y4656" s="94">
        <f>IF($A4656="",0,IF(AE4656="직접",IF(AF4656="비귀속",$P4656,0),$P4656*(1-AG4656)*IFERROR(INDEX(계정대체기준!$F$20:$F$49,MATCH($N4656,계정대체기준!$A$20:$A$49,0)),1)))</f>
        <v/>
      </c>
      <c r="Z4656" s="94">
        <f>IF($A4656="",0,IF(AE4656="직접",IF(AF4656="신계약비",$P4656,0),$P4656*(1-AG4656)*IFERROR(INDEX(계정대체기준!$C$20:$C$49,MATCH($N4656,계정대체기준!$A$20:$A$49,0)),0)))</f>
        <v/>
      </c>
      <c r="AA4656" s="94">
        <f>IF($A4656="",0,IF(AE4656="직접",IF(OR(AF4656="유지비",AF4656="손해조사비"),$P4656,0),$P4656*(1-AG4656)*IFERROR(INDEX(계정대체기준!$D$20:$D$49,MATCH($N4656,계정대체기준!$A$20:$A$49,0)),0)))</f>
        <v/>
      </c>
      <c r="AB4656" s="94">
        <f>IF($A4656="",0,IF(AE4656="직접",IF(AF4656="수금비",$P4656,0),$P4656*(1-AG4656)*IFERROR(INDEX(계정대체기준!$E$20:$E$49,MATCH($N4656,계정대체기준!$A$20:$A$49,0)),0)))</f>
        <v/>
      </c>
      <c r="AC4656" s="9">
        <f>IF(AND($A4656&lt;&gt;"",M4656=설정!$C$20,Z4656&gt;0),Z4656+ROW()/1000000000,"")</f>
        <v/>
      </c>
      <c r="AD4656" s="94">
        <f>IF($A4656="",0,$P4656*AG4656)</f>
        <v/>
      </c>
      <c r="AE4656" s="64">
        <f>IF($A4656="","",IFERROR(INDEX(계정매핑!$E$5:$E$504,MATCH($F4656&amp;"",계정매핑!$A$5:$A$504,0))&amp;"","공통비"))</f>
        <v/>
      </c>
      <c r="AF4656" s="64">
        <f>IF($A4656="","",IF(AE4656="직접",IFERROR(INDEX(계정매핑!$F$5:$F$504,MATCH($F4656&amp;"",계정매핑!$A$5:$A$504,0))&amp;"","비귀속"),""))</f>
        <v/>
      </c>
      <c r="AG4656" s="96">
        <f>IF($A4656="",0,IF(AND(AE4656&lt;&gt;"직접",IFERROR(INDEX(계정매핑!$G$5:$G$504,MATCH($F4656&amp;"",계정매핑!$A$5:$A$504,0))&amp;"","")="유지비",COUNTIF(계정대체기준!$A$6:$A$15,$N4656)&gt;0),IFERROR(INDEX(계정대체기준!$E$6:$E$15,MATCH(VALUE($A4656&amp;""),계정대체기준!$D$6:$D$15,0)),0),0))</f>
        <v/>
      </c>
      <c r="AH4656" s="64">
        <f>IF($A4656="","",IF(AD4656=0,"",IF(OR(COUNTIF(계정대체기준!$A$77:$A$86,$N4656)&gt;0,ISNUMBER(MATCH($X4656,계정대체기준!$D$77:$D$86,0)),ISNUMBER(MATCH($F4656,계정대체기준!$D$77:$D$86,0))),"Y","N")))</f>
        <v/>
      </c>
    </row>
    <row r="4657">
      <c r="A4657" s="92" t="n">
        <v>2026</v>
      </c>
      <c r="B4657" s="92" t="n">
        <v>9</v>
      </c>
      <c r="C4657" s="92" t="inlineStr">
        <is>
          <t>5100001935</t>
        </is>
      </c>
      <c r="D4657" s="95" t="n">
        <v>46277</v>
      </c>
      <c r="E4657" s="92" t="inlineStr">
        <is>
          <t>KR</t>
        </is>
      </c>
      <c r="F4657" s="92" t="n">
        <v>62301000</v>
      </c>
      <c r="G4657" s="92" t="n">
        <v>1801</v>
      </c>
      <c r="H4657" s="93" t="n">
        <v>599000</v>
      </c>
      <c r="I4657" s="92" t="inlineStr">
        <is>
          <t>9월 소모품 구입 - R문구</t>
        </is>
      </c>
      <c r="J4657" s="92" t="inlineStr">
        <is>
          <t>V10022</t>
        </is>
      </c>
      <c r="K4657" s="92" t="inlineStr">
        <is>
          <t>R문구</t>
        </is>
      </c>
      <c r="M4657" s="9">
        <f>IF($A4657="","",VALUE($A4657&amp;"")*12+VALUE($B4657&amp;""))</f>
        <v/>
      </c>
      <c r="N4657" s="64">
        <f>IF($A4657="","",IFERROR(INDEX(부서매핑!$C$5:$C$504,MATCH($G4657&amp;"",부서매핑!$A$5:$A$504,0)),"미매핑"))</f>
        <v/>
      </c>
      <c r="O4657" s="9">
        <f>IF($A4657="","",N4657&amp;"|"&amp;$F4657)</f>
        <v/>
      </c>
      <c r="P4657" s="94">
        <f>IF($A4657="",0,$H4657*설정!$C$23)</f>
        <v/>
      </c>
      <c r="Q4657" s="64">
        <f>IF($A4657="","",IF(O4657&lt;&gt;원인분석!$C$9,"",IF(AND(M4657&gt;=원인분석!$C$10,M4657&lt;=원인분석!$C$11),"당기",IF(AND(M4657&gt;=원인분석!$C$12,M4657&lt;=원인분석!$C$13),"비교",""))))</f>
        <v/>
      </c>
      <c r="R4657" s="9">
        <f>IF(Q4657="","",$K4657&amp;"")</f>
        <v/>
      </c>
      <c r="S4657" s="9">
        <f>IF(Q4657="","",IF(MATCH(R4657,$R$5:$R$100000,0)=ROW()-4,ROW(),""))</f>
        <v/>
      </c>
      <c r="T4657" s="9">
        <f>IF(Q4657="당기",ABS(P4657)+ROW()/1000000000,"")</f>
        <v/>
      </c>
      <c r="U4657" s="9">
        <f>IF(Q4657="비교",ABS(P4657)+ROW()/1000000000,"")</f>
        <v/>
      </c>
      <c r="V4657" s="64">
        <f>IF($A4657="","",IF(COUNTIF(변동분석!$E$7:$E$506,O4657)&gt;0,"Y","N"))</f>
        <v/>
      </c>
      <c r="W4657" s="64">
        <f>IF($A4657="","",IFERROR(INDEX(계정매핑!$D$5:$D$504,MATCH($F4657&amp;"",계정매핑!$A$5:$A$504,0)),"미매핑"))</f>
        <v/>
      </c>
      <c r="X4657" s="9">
        <f>IF($A4657="","",$F4657&amp;"")</f>
        <v/>
      </c>
      <c r="Y4657" s="94">
        <f>IF($A4657="",0,IF(AE4657="직접",IF(AF4657="비귀속",$P4657,0),$P4657*(1-AG4657)*IFERROR(INDEX(계정대체기준!$F$20:$F$49,MATCH($N4657,계정대체기준!$A$20:$A$49,0)),1)))</f>
        <v/>
      </c>
      <c r="Z4657" s="94">
        <f>IF($A4657="",0,IF(AE4657="직접",IF(AF4657="신계약비",$P4657,0),$P4657*(1-AG4657)*IFERROR(INDEX(계정대체기준!$C$20:$C$49,MATCH($N4657,계정대체기준!$A$20:$A$49,0)),0)))</f>
        <v/>
      </c>
      <c r="AA4657" s="94">
        <f>IF($A4657="",0,IF(AE4657="직접",IF(OR(AF4657="유지비",AF4657="손해조사비"),$P4657,0),$P4657*(1-AG4657)*IFERROR(INDEX(계정대체기준!$D$20:$D$49,MATCH($N4657,계정대체기준!$A$20:$A$49,0)),0)))</f>
        <v/>
      </c>
      <c r="AB4657" s="94">
        <f>IF($A4657="",0,IF(AE4657="직접",IF(AF4657="수금비",$P4657,0),$P4657*(1-AG4657)*IFERROR(INDEX(계정대체기준!$E$20:$E$49,MATCH($N4657,계정대체기준!$A$20:$A$49,0)),0)))</f>
        <v/>
      </c>
      <c r="AC4657" s="9">
        <f>IF(AND($A4657&lt;&gt;"",M4657=설정!$C$20,Z4657&gt;0),Z4657+ROW()/1000000000,"")</f>
        <v/>
      </c>
      <c r="AD4657" s="94">
        <f>IF($A4657="",0,$P4657*AG4657)</f>
        <v/>
      </c>
      <c r="AE4657" s="64">
        <f>IF($A4657="","",IFERROR(INDEX(계정매핑!$E$5:$E$504,MATCH($F4657&amp;"",계정매핑!$A$5:$A$504,0))&amp;"","공통비"))</f>
        <v/>
      </c>
      <c r="AF4657" s="64">
        <f>IF($A4657="","",IF(AE4657="직접",IFERROR(INDEX(계정매핑!$F$5:$F$504,MATCH($F4657&amp;"",계정매핑!$A$5:$A$504,0))&amp;"","비귀속"),""))</f>
        <v/>
      </c>
      <c r="AG4657" s="96">
        <f>IF($A4657="",0,IF(AND(AE4657&lt;&gt;"직접",IFERROR(INDEX(계정매핑!$G$5:$G$504,MATCH($F4657&amp;"",계정매핑!$A$5:$A$504,0))&amp;"","")="유지비",COUNTIF(계정대체기준!$A$6:$A$15,$N4657)&gt;0),IFERROR(INDEX(계정대체기준!$E$6:$E$15,MATCH(VALUE($A4657&amp;""),계정대체기준!$D$6:$D$15,0)),0),0))</f>
        <v/>
      </c>
      <c r="AH4657" s="64">
        <f>IF($A4657="","",IF(AD4657=0,"",IF(OR(COUNTIF(계정대체기준!$A$77:$A$86,$N4657)&gt;0,ISNUMBER(MATCH($X4657,계정대체기준!$D$77:$D$86,0)),ISNUMBER(MATCH($F4657,계정대체기준!$D$77:$D$86,0))),"Y","N")))</f>
        <v/>
      </c>
    </row>
    <row r="4658">
      <c r="A4658" s="92" t="n">
        <v>2026</v>
      </c>
      <c r="B4658" s="92" t="n">
        <v>9</v>
      </c>
      <c r="C4658" s="92" t="inlineStr">
        <is>
          <t>5100001936</t>
        </is>
      </c>
      <c r="D4658" s="95" t="n">
        <v>46277</v>
      </c>
      <c r="E4658" s="92" t="inlineStr">
        <is>
          <t>KR</t>
        </is>
      </c>
      <c r="F4658" s="92" t="n">
        <v>62401000</v>
      </c>
      <c r="G4658" s="92" t="n">
        <v>1401</v>
      </c>
      <c r="H4658" s="93" t="n">
        <v>345000</v>
      </c>
      <c r="I4658" s="92" t="inlineStr">
        <is>
          <t>9월 인쇄물 제작 - S출판</t>
        </is>
      </c>
      <c r="J4658" s="92" t="inlineStr">
        <is>
          <t>V10015</t>
        </is>
      </c>
      <c r="K4658" s="92" t="inlineStr">
        <is>
          <t>S출판</t>
        </is>
      </c>
      <c r="M4658" s="9">
        <f>IF($A4658="","",VALUE($A4658&amp;"")*12+VALUE($B4658&amp;""))</f>
        <v/>
      </c>
      <c r="N4658" s="64">
        <f>IF($A4658="","",IFERROR(INDEX(부서매핑!$C$5:$C$504,MATCH($G4658&amp;"",부서매핑!$A$5:$A$504,0)),"미매핑"))</f>
        <v/>
      </c>
      <c r="O4658" s="9">
        <f>IF($A4658="","",N4658&amp;"|"&amp;$F4658)</f>
        <v/>
      </c>
      <c r="P4658" s="94">
        <f>IF($A4658="",0,$H4658*설정!$C$23)</f>
        <v/>
      </c>
      <c r="Q4658" s="64">
        <f>IF($A4658="","",IF(O4658&lt;&gt;원인분석!$C$9,"",IF(AND(M4658&gt;=원인분석!$C$10,M4658&lt;=원인분석!$C$11),"당기",IF(AND(M4658&gt;=원인분석!$C$12,M4658&lt;=원인분석!$C$13),"비교",""))))</f>
        <v/>
      </c>
      <c r="R4658" s="9">
        <f>IF(Q4658="","",$K4658&amp;"")</f>
        <v/>
      </c>
      <c r="S4658" s="9">
        <f>IF(Q4658="","",IF(MATCH(R4658,$R$5:$R$100000,0)=ROW()-4,ROW(),""))</f>
        <v/>
      </c>
      <c r="T4658" s="9">
        <f>IF(Q4658="당기",ABS(P4658)+ROW()/1000000000,"")</f>
        <v/>
      </c>
      <c r="U4658" s="9">
        <f>IF(Q4658="비교",ABS(P4658)+ROW()/1000000000,"")</f>
        <v/>
      </c>
      <c r="V4658" s="64">
        <f>IF($A4658="","",IF(COUNTIF(변동분석!$E$7:$E$506,O4658)&gt;0,"Y","N"))</f>
        <v/>
      </c>
      <c r="W4658" s="64">
        <f>IF($A4658="","",IFERROR(INDEX(계정매핑!$D$5:$D$504,MATCH($F4658&amp;"",계정매핑!$A$5:$A$504,0)),"미매핑"))</f>
        <v/>
      </c>
      <c r="X4658" s="9">
        <f>IF($A4658="","",$F4658&amp;"")</f>
        <v/>
      </c>
      <c r="Y4658" s="94">
        <f>IF($A4658="",0,IF(AE4658="직접",IF(AF4658="비귀속",$P4658,0),$P4658*(1-AG4658)*IFERROR(INDEX(계정대체기준!$F$20:$F$49,MATCH($N4658,계정대체기준!$A$20:$A$49,0)),1)))</f>
        <v/>
      </c>
      <c r="Z4658" s="94">
        <f>IF($A4658="",0,IF(AE4658="직접",IF(AF4658="신계약비",$P4658,0),$P4658*(1-AG4658)*IFERROR(INDEX(계정대체기준!$C$20:$C$49,MATCH($N4658,계정대체기준!$A$20:$A$49,0)),0)))</f>
        <v/>
      </c>
      <c r="AA4658" s="94">
        <f>IF($A4658="",0,IF(AE4658="직접",IF(OR(AF4658="유지비",AF4658="손해조사비"),$P4658,0),$P4658*(1-AG4658)*IFERROR(INDEX(계정대체기준!$D$20:$D$49,MATCH($N4658,계정대체기준!$A$20:$A$49,0)),0)))</f>
        <v/>
      </c>
      <c r="AB4658" s="94">
        <f>IF($A4658="",0,IF(AE4658="직접",IF(AF4658="수금비",$P4658,0),$P4658*(1-AG4658)*IFERROR(INDEX(계정대체기준!$E$20:$E$49,MATCH($N4658,계정대체기준!$A$20:$A$49,0)),0)))</f>
        <v/>
      </c>
      <c r="AC4658" s="9">
        <f>IF(AND($A4658&lt;&gt;"",M4658=설정!$C$20,Z4658&gt;0),Z4658+ROW()/1000000000,"")</f>
        <v/>
      </c>
      <c r="AD4658" s="94">
        <f>IF($A4658="",0,$P4658*AG4658)</f>
        <v/>
      </c>
      <c r="AE4658" s="64">
        <f>IF($A4658="","",IFERROR(INDEX(계정매핑!$E$5:$E$504,MATCH($F4658&amp;"",계정매핑!$A$5:$A$504,0))&amp;"","공통비"))</f>
        <v/>
      </c>
      <c r="AF4658" s="64">
        <f>IF($A4658="","",IF(AE4658="직접",IFERROR(INDEX(계정매핑!$F$5:$F$504,MATCH($F4658&amp;"",계정매핑!$A$5:$A$504,0))&amp;"","비귀속"),""))</f>
        <v/>
      </c>
      <c r="AG4658" s="96">
        <f>IF($A4658="",0,IF(AND(AE4658&lt;&gt;"직접",IFERROR(INDEX(계정매핑!$G$5:$G$504,MATCH($F4658&amp;"",계정매핑!$A$5:$A$504,0))&amp;"","")="유지비",COUNTIF(계정대체기준!$A$6:$A$15,$N4658)&gt;0),IFERROR(INDEX(계정대체기준!$E$6:$E$15,MATCH(VALUE($A4658&amp;""),계정대체기준!$D$6:$D$15,0)),0),0))</f>
        <v/>
      </c>
      <c r="AH4658" s="64">
        <f>IF($A4658="","",IF(AD4658=0,"",IF(OR(COUNTIF(계정대체기준!$A$77:$A$86,$N4658)&gt;0,ISNUMBER(MATCH($X4658,계정대체기준!$D$77:$D$86,0)),ISNUMBER(MATCH($F4658,계정대체기준!$D$77:$D$86,0))),"Y","N")))</f>
        <v/>
      </c>
    </row>
    <row r="4659">
      <c r="A4659" s="92" t="n">
        <v>2026</v>
      </c>
      <c r="B4659" s="92" t="n">
        <v>9</v>
      </c>
      <c r="C4659" s="92" t="inlineStr">
        <is>
          <t>5100001937</t>
        </is>
      </c>
      <c r="D4659" s="95" t="n">
        <v>46277</v>
      </c>
      <c r="E4659" s="92" t="inlineStr">
        <is>
          <t>KR</t>
        </is>
      </c>
      <c r="F4659" s="92" t="n">
        <v>62501000</v>
      </c>
      <c r="G4659" s="92" t="n">
        <v>1201</v>
      </c>
      <c r="H4659" s="93" t="n">
        <v>238000</v>
      </c>
      <c r="I4659" s="92" t="inlineStr">
        <is>
          <t>9월 회의 다과 - (법인카드)</t>
        </is>
      </c>
      <c r="J4659" s="92" t="inlineStr">
        <is>
          <t>V10010</t>
        </is>
      </c>
      <c r="K4659" s="92" t="inlineStr">
        <is>
          <t>(법인카드)</t>
        </is>
      </c>
      <c r="M4659" s="9">
        <f>IF($A4659="","",VALUE($A4659&amp;"")*12+VALUE($B4659&amp;""))</f>
        <v/>
      </c>
      <c r="N4659" s="64">
        <f>IF($A4659="","",IFERROR(INDEX(부서매핑!$C$5:$C$504,MATCH($G4659&amp;"",부서매핑!$A$5:$A$504,0)),"미매핑"))</f>
        <v/>
      </c>
      <c r="O4659" s="9">
        <f>IF($A4659="","",N4659&amp;"|"&amp;$F4659)</f>
        <v/>
      </c>
      <c r="P4659" s="94">
        <f>IF($A4659="",0,$H4659*설정!$C$23)</f>
        <v/>
      </c>
      <c r="Q4659" s="64">
        <f>IF($A4659="","",IF(O4659&lt;&gt;원인분석!$C$9,"",IF(AND(M4659&gt;=원인분석!$C$10,M4659&lt;=원인분석!$C$11),"당기",IF(AND(M4659&gt;=원인분석!$C$12,M4659&lt;=원인분석!$C$13),"비교",""))))</f>
        <v/>
      </c>
      <c r="R4659" s="9">
        <f>IF(Q4659="","",$K4659&amp;"")</f>
        <v/>
      </c>
      <c r="S4659" s="9">
        <f>IF(Q4659="","",IF(MATCH(R4659,$R$5:$R$100000,0)=ROW()-4,ROW(),""))</f>
        <v/>
      </c>
      <c r="T4659" s="9">
        <f>IF(Q4659="당기",ABS(P4659)+ROW()/1000000000,"")</f>
        <v/>
      </c>
      <c r="U4659" s="9">
        <f>IF(Q4659="비교",ABS(P4659)+ROW()/1000000000,"")</f>
        <v/>
      </c>
      <c r="V4659" s="64">
        <f>IF($A4659="","",IF(COUNTIF(변동분석!$E$7:$E$506,O4659)&gt;0,"Y","N"))</f>
        <v/>
      </c>
      <c r="W4659" s="64">
        <f>IF($A4659="","",IFERROR(INDEX(계정매핑!$D$5:$D$504,MATCH($F4659&amp;"",계정매핑!$A$5:$A$504,0)),"미매핑"))</f>
        <v/>
      </c>
      <c r="X4659" s="9">
        <f>IF($A4659="","",$F4659&amp;"")</f>
        <v/>
      </c>
      <c r="Y4659" s="94">
        <f>IF($A4659="",0,IF(AE4659="직접",IF(AF4659="비귀속",$P4659,0),$P4659*(1-AG4659)*IFERROR(INDEX(계정대체기준!$F$20:$F$49,MATCH($N4659,계정대체기준!$A$20:$A$49,0)),1)))</f>
        <v/>
      </c>
      <c r="Z4659" s="94">
        <f>IF($A4659="",0,IF(AE4659="직접",IF(AF4659="신계약비",$P4659,0),$P4659*(1-AG4659)*IFERROR(INDEX(계정대체기준!$C$20:$C$49,MATCH($N4659,계정대체기준!$A$20:$A$49,0)),0)))</f>
        <v/>
      </c>
      <c r="AA4659" s="94">
        <f>IF($A4659="",0,IF(AE4659="직접",IF(OR(AF4659="유지비",AF4659="손해조사비"),$P4659,0),$P4659*(1-AG4659)*IFERROR(INDEX(계정대체기준!$D$20:$D$49,MATCH($N4659,계정대체기준!$A$20:$A$49,0)),0)))</f>
        <v/>
      </c>
      <c r="AB4659" s="94">
        <f>IF($A4659="",0,IF(AE4659="직접",IF(AF4659="수금비",$P4659,0),$P4659*(1-AG4659)*IFERROR(INDEX(계정대체기준!$E$20:$E$49,MATCH($N4659,계정대체기준!$A$20:$A$49,0)),0)))</f>
        <v/>
      </c>
      <c r="AC4659" s="9">
        <f>IF(AND($A4659&lt;&gt;"",M4659=설정!$C$20,Z4659&gt;0),Z4659+ROW()/1000000000,"")</f>
        <v/>
      </c>
      <c r="AD4659" s="94">
        <f>IF($A4659="",0,$P4659*AG4659)</f>
        <v/>
      </c>
      <c r="AE4659" s="64">
        <f>IF($A4659="","",IFERROR(INDEX(계정매핑!$E$5:$E$504,MATCH($F4659&amp;"",계정매핑!$A$5:$A$504,0))&amp;"","공통비"))</f>
        <v/>
      </c>
      <c r="AF4659" s="64">
        <f>IF($A4659="","",IF(AE4659="직접",IFERROR(INDEX(계정매핑!$F$5:$F$504,MATCH($F4659&amp;"",계정매핑!$A$5:$A$504,0))&amp;"","비귀속"),""))</f>
        <v/>
      </c>
      <c r="AG4659" s="96">
        <f>IF($A4659="",0,IF(AND(AE4659&lt;&gt;"직접",IFERROR(INDEX(계정매핑!$G$5:$G$504,MATCH($F4659&amp;"",계정매핑!$A$5:$A$504,0))&amp;"","")="유지비",COUNTIF(계정대체기준!$A$6:$A$15,$N4659)&gt;0),IFERROR(INDEX(계정대체기준!$E$6:$E$15,MATCH(VALUE($A4659&amp;""),계정대체기준!$D$6:$D$15,0)),0),0))</f>
        <v/>
      </c>
      <c r="AH4659" s="64">
        <f>IF($A4659="","",IF(AD4659=0,"",IF(OR(COUNTIF(계정대체기준!$A$77:$A$86,$N4659)&gt;0,ISNUMBER(MATCH($X4659,계정대체기준!$D$77:$D$86,0)),ISNUMBER(MATCH($F4659,계정대체기준!$D$77:$D$86,0))),"Y","N")))</f>
        <v/>
      </c>
    </row>
    <row r="4660">
      <c r="A4660" s="92" t="n">
        <v>2026</v>
      </c>
      <c r="B4660" s="92" t="n">
        <v>9</v>
      </c>
      <c r="C4660" s="92" t="inlineStr">
        <is>
          <t>5100001938</t>
        </is>
      </c>
      <c r="D4660" s="95" t="n">
        <v>46277</v>
      </c>
      <c r="E4660" s="92" t="inlineStr">
        <is>
          <t>KR</t>
        </is>
      </c>
      <c r="F4660" s="92" t="n">
        <v>62501000</v>
      </c>
      <c r="G4660" s="92" t="n">
        <v>1301</v>
      </c>
      <c r="H4660" s="93" t="n">
        <v>153000</v>
      </c>
      <c r="I4660" s="92" t="inlineStr">
        <is>
          <t>9월 회의 다과 - (법인카드)</t>
        </is>
      </c>
      <c r="J4660" s="92" t="inlineStr">
        <is>
          <t>V10010</t>
        </is>
      </c>
      <c r="K4660" s="92" t="inlineStr">
        <is>
          <t>(법인카드)</t>
        </is>
      </c>
      <c r="M4660" s="9">
        <f>IF($A4660="","",VALUE($A4660&amp;"")*12+VALUE($B4660&amp;""))</f>
        <v/>
      </c>
      <c r="N4660" s="64">
        <f>IF($A4660="","",IFERROR(INDEX(부서매핑!$C$5:$C$504,MATCH($G4660&amp;"",부서매핑!$A$5:$A$504,0)),"미매핑"))</f>
        <v/>
      </c>
      <c r="O4660" s="9">
        <f>IF($A4660="","",N4660&amp;"|"&amp;$F4660)</f>
        <v/>
      </c>
      <c r="P4660" s="94">
        <f>IF($A4660="",0,$H4660*설정!$C$23)</f>
        <v/>
      </c>
      <c r="Q4660" s="64">
        <f>IF($A4660="","",IF(O4660&lt;&gt;원인분석!$C$9,"",IF(AND(M4660&gt;=원인분석!$C$10,M4660&lt;=원인분석!$C$11),"당기",IF(AND(M4660&gt;=원인분석!$C$12,M4660&lt;=원인분석!$C$13),"비교",""))))</f>
        <v/>
      </c>
      <c r="R4660" s="9">
        <f>IF(Q4660="","",$K4660&amp;"")</f>
        <v/>
      </c>
      <c r="S4660" s="9">
        <f>IF(Q4660="","",IF(MATCH(R4660,$R$5:$R$100000,0)=ROW()-4,ROW(),""))</f>
        <v/>
      </c>
      <c r="T4660" s="9">
        <f>IF(Q4660="당기",ABS(P4660)+ROW()/1000000000,"")</f>
        <v/>
      </c>
      <c r="U4660" s="9">
        <f>IF(Q4660="비교",ABS(P4660)+ROW()/1000000000,"")</f>
        <v/>
      </c>
      <c r="V4660" s="64">
        <f>IF($A4660="","",IF(COUNTIF(변동분석!$E$7:$E$506,O4660)&gt;0,"Y","N"))</f>
        <v/>
      </c>
      <c r="W4660" s="64">
        <f>IF($A4660="","",IFERROR(INDEX(계정매핑!$D$5:$D$504,MATCH($F4660&amp;"",계정매핑!$A$5:$A$504,0)),"미매핑"))</f>
        <v/>
      </c>
      <c r="X4660" s="9">
        <f>IF($A4660="","",$F4660&amp;"")</f>
        <v/>
      </c>
      <c r="Y4660" s="94">
        <f>IF($A4660="",0,IF(AE4660="직접",IF(AF4660="비귀속",$P4660,0),$P4660*(1-AG4660)*IFERROR(INDEX(계정대체기준!$F$20:$F$49,MATCH($N4660,계정대체기준!$A$20:$A$49,0)),1)))</f>
        <v/>
      </c>
      <c r="Z4660" s="94">
        <f>IF($A4660="",0,IF(AE4660="직접",IF(AF4660="신계약비",$P4660,0),$P4660*(1-AG4660)*IFERROR(INDEX(계정대체기준!$C$20:$C$49,MATCH($N4660,계정대체기준!$A$20:$A$49,0)),0)))</f>
        <v/>
      </c>
      <c r="AA4660" s="94">
        <f>IF($A4660="",0,IF(AE4660="직접",IF(OR(AF4660="유지비",AF4660="손해조사비"),$P4660,0),$P4660*(1-AG4660)*IFERROR(INDEX(계정대체기준!$D$20:$D$49,MATCH($N4660,계정대체기준!$A$20:$A$49,0)),0)))</f>
        <v/>
      </c>
      <c r="AB4660" s="94">
        <f>IF($A4660="",0,IF(AE4660="직접",IF(AF4660="수금비",$P4660,0),$P4660*(1-AG4660)*IFERROR(INDEX(계정대체기준!$E$20:$E$49,MATCH($N4660,계정대체기준!$A$20:$A$49,0)),0)))</f>
        <v/>
      </c>
      <c r="AC4660" s="9">
        <f>IF(AND($A4660&lt;&gt;"",M4660=설정!$C$20,Z4660&gt;0),Z4660+ROW()/1000000000,"")</f>
        <v/>
      </c>
      <c r="AD4660" s="94">
        <f>IF($A4660="",0,$P4660*AG4660)</f>
        <v/>
      </c>
      <c r="AE4660" s="64">
        <f>IF($A4660="","",IFERROR(INDEX(계정매핑!$E$5:$E$504,MATCH($F4660&amp;"",계정매핑!$A$5:$A$504,0))&amp;"","공통비"))</f>
        <v/>
      </c>
      <c r="AF4660" s="64">
        <f>IF($A4660="","",IF(AE4660="직접",IFERROR(INDEX(계정매핑!$F$5:$F$504,MATCH($F4660&amp;"",계정매핑!$A$5:$A$504,0))&amp;"","비귀속"),""))</f>
        <v/>
      </c>
      <c r="AG4660" s="96">
        <f>IF($A4660="",0,IF(AND(AE4660&lt;&gt;"직접",IFERROR(INDEX(계정매핑!$G$5:$G$504,MATCH($F4660&amp;"",계정매핑!$A$5:$A$504,0))&amp;"","")="유지비",COUNTIF(계정대체기준!$A$6:$A$15,$N4660)&gt;0),IFERROR(INDEX(계정대체기준!$E$6:$E$15,MATCH(VALUE($A4660&amp;""),계정대체기준!$D$6:$D$15,0)),0),0))</f>
        <v/>
      </c>
      <c r="AH4660" s="64">
        <f>IF($A4660="","",IF(AD4660=0,"",IF(OR(COUNTIF(계정대체기준!$A$77:$A$86,$N4660)&gt;0,ISNUMBER(MATCH($X4660,계정대체기준!$D$77:$D$86,0)),ISNUMBER(MATCH($F4660,계정대체기준!$D$77:$D$86,0))),"Y","N")))</f>
        <v/>
      </c>
    </row>
    <row r="4661">
      <c r="A4661" s="92" t="n">
        <v>2026</v>
      </c>
      <c r="B4661" s="92" t="n">
        <v>9</v>
      </c>
      <c r="C4661" s="92" t="inlineStr">
        <is>
          <t>5100001939</t>
        </is>
      </c>
      <c r="D4661" s="95" t="n">
        <v>46277</v>
      </c>
      <c r="E4661" s="92" t="inlineStr">
        <is>
          <t>KR</t>
        </is>
      </c>
      <c r="F4661" s="92" t="n">
        <v>62601000</v>
      </c>
      <c r="G4661" s="92" t="n">
        <v>1301</v>
      </c>
      <c r="H4661" s="93" t="n">
        <v>939000</v>
      </c>
      <c r="I4661" s="92" t="inlineStr">
        <is>
          <t>9월 업무추진 - (법인카드)</t>
        </is>
      </c>
      <c r="J4661" s="92" t="inlineStr">
        <is>
          <t>V10010</t>
        </is>
      </c>
      <c r="K4661" s="92" t="inlineStr">
        <is>
          <t>(법인카드)</t>
        </is>
      </c>
      <c r="M4661" s="9">
        <f>IF($A4661="","",VALUE($A4661&amp;"")*12+VALUE($B4661&amp;""))</f>
        <v/>
      </c>
      <c r="N4661" s="64">
        <f>IF($A4661="","",IFERROR(INDEX(부서매핑!$C$5:$C$504,MATCH($G4661&amp;"",부서매핑!$A$5:$A$504,0)),"미매핑"))</f>
        <v/>
      </c>
      <c r="O4661" s="9">
        <f>IF($A4661="","",N4661&amp;"|"&amp;$F4661)</f>
        <v/>
      </c>
      <c r="P4661" s="94">
        <f>IF($A4661="",0,$H4661*설정!$C$23)</f>
        <v/>
      </c>
      <c r="Q4661" s="64">
        <f>IF($A4661="","",IF(O4661&lt;&gt;원인분석!$C$9,"",IF(AND(M4661&gt;=원인분석!$C$10,M4661&lt;=원인분석!$C$11),"당기",IF(AND(M4661&gt;=원인분석!$C$12,M4661&lt;=원인분석!$C$13),"비교",""))))</f>
        <v/>
      </c>
      <c r="R4661" s="9">
        <f>IF(Q4661="","",$K4661&amp;"")</f>
        <v/>
      </c>
      <c r="S4661" s="9">
        <f>IF(Q4661="","",IF(MATCH(R4661,$R$5:$R$100000,0)=ROW()-4,ROW(),""))</f>
        <v/>
      </c>
      <c r="T4661" s="9">
        <f>IF(Q4661="당기",ABS(P4661)+ROW()/1000000000,"")</f>
        <v/>
      </c>
      <c r="U4661" s="9">
        <f>IF(Q4661="비교",ABS(P4661)+ROW()/1000000000,"")</f>
        <v/>
      </c>
      <c r="V4661" s="64">
        <f>IF($A4661="","",IF(COUNTIF(변동분석!$E$7:$E$506,O4661)&gt;0,"Y","N"))</f>
        <v/>
      </c>
      <c r="W4661" s="64">
        <f>IF($A4661="","",IFERROR(INDEX(계정매핑!$D$5:$D$504,MATCH($F4661&amp;"",계정매핑!$A$5:$A$504,0)),"미매핑"))</f>
        <v/>
      </c>
      <c r="X4661" s="9">
        <f>IF($A4661="","",$F4661&amp;"")</f>
        <v/>
      </c>
      <c r="Y4661" s="94">
        <f>IF($A4661="",0,IF(AE4661="직접",IF(AF4661="비귀속",$P4661,0),$P4661*(1-AG4661)*IFERROR(INDEX(계정대체기준!$F$20:$F$49,MATCH($N4661,계정대체기준!$A$20:$A$49,0)),1)))</f>
        <v/>
      </c>
      <c r="Z4661" s="94">
        <f>IF($A4661="",0,IF(AE4661="직접",IF(AF4661="신계약비",$P4661,0),$P4661*(1-AG4661)*IFERROR(INDEX(계정대체기준!$C$20:$C$49,MATCH($N4661,계정대체기준!$A$20:$A$49,0)),0)))</f>
        <v/>
      </c>
      <c r="AA4661" s="94">
        <f>IF($A4661="",0,IF(AE4661="직접",IF(OR(AF4661="유지비",AF4661="손해조사비"),$P4661,0),$P4661*(1-AG4661)*IFERROR(INDEX(계정대체기준!$D$20:$D$49,MATCH($N4661,계정대체기준!$A$20:$A$49,0)),0)))</f>
        <v/>
      </c>
      <c r="AB4661" s="94">
        <f>IF($A4661="",0,IF(AE4661="직접",IF(AF4661="수금비",$P4661,0),$P4661*(1-AG4661)*IFERROR(INDEX(계정대체기준!$E$20:$E$49,MATCH($N4661,계정대체기준!$A$20:$A$49,0)),0)))</f>
        <v/>
      </c>
      <c r="AC4661" s="9">
        <f>IF(AND($A4661&lt;&gt;"",M4661=설정!$C$20,Z4661&gt;0),Z4661+ROW()/1000000000,"")</f>
        <v/>
      </c>
      <c r="AD4661" s="94">
        <f>IF($A4661="",0,$P4661*AG4661)</f>
        <v/>
      </c>
      <c r="AE4661" s="64">
        <f>IF($A4661="","",IFERROR(INDEX(계정매핑!$E$5:$E$504,MATCH($F4661&amp;"",계정매핑!$A$5:$A$504,0))&amp;"","공통비"))</f>
        <v/>
      </c>
      <c r="AF4661" s="64">
        <f>IF($A4661="","",IF(AE4661="직접",IFERROR(INDEX(계정매핑!$F$5:$F$504,MATCH($F4661&amp;"",계정매핑!$A$5:$A$504,0))&amp;"","비귀속"),""))</f>
        <v/>
      </c>
      <c r="AG4661" s="96">
        <f>IF($A4661="",0,IF(AND(AE4661&lt;&gt;"직접",IFERROR(INDEX(계정매핑!$G$5:$G$504,MATCH($F4661&amp;"",계정매핑!$A$5:$A$504,0))&amp;"","")="유지비",COUNTIF(계정대체기준!$A$6:$A$15,$N4661)&gt;0),IFERROR(INDEX(계정대체기준!$E$6:$E$15,MATCH(VALUE($A4661&amp;""),계정대체기준!$D$6:$D$15,0)),0),0))</f>
        <v/>
      </c>
      <c r="AH4661" s="64">
        <f>IF($A4661="","",IF(AD4661=0,"",IF(OR(COUNTIF(계정대체기준!$A$77:$A$86,$N4661)&gt;0,ISNUMBER(MATCH($X4661,계정대체기준!$D$77:$D$86,0)),ISNUMBER(MATCH($F4661,계정대체기준!$D$77:$D$86,0))),"Y","N")))</f>
        <v/>
      </c>
    </row>
    <row r="4662">
      <c r="A4662" s="92" t="n">
        <v>2026</v>
      </c>
      <c r="B4662" s="92" t="n">
        <v>9</v>
      </c>
      <c r="C4662" s="92" t="inlineStr">
        <is>
          <t>5100001940</t>
        </is>
      </c>
      <c r="D4662" s="95" t="n">
        <v>46277</v>
      </c>
      <c r="E4662" s="92" t="inlineStr">
        <is>
          <t>KR</t>
        </is>
      </c>
      <c r="F4662" s="92" t="n">
        <v>62801000</v>
      </c>
      <c r="G4662" s="92" t="n">
        <v>1301</v>
      </c>
      <c r="H4662" s="93" t="n">
        <v>3906000</v>
      </c>
      <c r="I4662" s="92" t="inlineStr">
        <is>
          <t>9월 사내교육 - U에듀</t>
        </is>
      </c>
      <c r="J4662" s="92" t="inlineStr">
        <is>
          <t>V10031</t>
        </is>
      </c>
      <c r="K4662" s="92" t="inlineStr">
        <is>
          <t>U에듀</t>
        </is>
      </c>
      <c r="M4662" s="9">
        <f>IF($A4662="","",VALUE($A4662&amp;"")*12+VALUE($B4662&amp;""))</f>
        <v/>
      </c>
      <c r="N4662" s="64">
        <f>IF($A4662="","",IFERROR(INDEX(부서매핑!$C$5:$C$504,MATCH($G4662&amp;"",부서매핑!$A$5:$A$504,0)),"미매핑"))</f>
        <v/>
      </c>
      <c r="O4662" s="9">
        <f>IF($A4662="","",N4662&amp;"|"&amp;$F4662)</f>
        <v/>
      </c>
      <c r="P4662" s="94">
        <f>IF($A4662="",0,$H4662*설정!$C$23)</f>
        <v/>
      </c>
      <c r="Q4662" s="64">
        <f>IF($A4662="","",IF(O4662&lt;&gt;원인분석!$C$9,"",IF(AND(M4662&gt;=원인분석!$C$10,M4662&lt;=원인분석!$C$11),"당기",IF(AND(M4662&gt;=원인분석!$C$12,M4662&lt;=원인분석!$C$13),"비교",""))))</f>
        <v/>
      </c>
      <c r="R4662" s="9">
        <f>IF(Q4662="","",$K4662&amp;"")</f>
        <v/>
      </c>
      <c r="S4662" s="9">
        <f>IF(Q4662="","",IF(MATCH(R4662,$R$5:$R$100000,0)=ROW()-4,ROW(),""))</f>
        <v/>
      </c>
      <c r="T4662" s="9">
        <f>IF(Q4662="당기",ABS(P4662)+ROW()/1000000000,"")</f>
        <v/>
      </c>
      <c r="U4662" s="9">
        <f>IF(Q4662="비교",ABS(P4662)+ROW()/1000000000,"")</f>
        <v/>
      </c>
      <c r="V4662" s="64">
        <f>IF($A4662="","",IF(COUNTIF(변동분석!$E$7:$E$506,O4662)&gt;0,"Y","N"))</f>
        <v/>
      </c>
      <c r="W4662" s="64">
        <f>IF($A4662="","",IFERROR(INDEX(계정매핑!$D$5:$D$504,MATCH($F4662&amp;"",계정매핑!$A$5:$A$504,0)),"미매핑"))</f>
        <v/>
      </c>
      <c r="X4662" s="9">
        <f>IF($A4662="","",$F4662&amp;"")</f>
        <v/>
      </c>
      <c r="Y4662" s="94">
        <f>IF($A4662="",0,IF(AE4662="직접",IF(AF4662="비귀속",$P4662,0),$P4662*(1-AG4662)*IFERROR(INDEX(계정대체기준!$F$20:$F$49,MATCH($N4662,계정대체기준!$A$20:$A$49,0)),1)))</f>
        <v/>
      </c>
      <c r="Z4662" s="94">
        <f>IF($A4662="",0,IF(AE4662="직접",IF(AF4662="신계약비",$P4662,0),$P4662*(1-AG4662)*IFERROR(INDEX(계정대체기준!$C$20:$C$49,MATCH($N4662,계정대체기준!$A$20:$A$49,0)),0)))</f>
        <v/>
      </c>
      <c r="AA4662" s="94">
        <f>IF($A4662="",0,IF(AE4662="직접",IF(OR(AF4662="유지비",AF4662="손해조사비"),$P4662,0),$P4662*(1-AG4662)*IFERROR(INDEX(계정대체기준!$D$20:$D$49,MATCH($N4662,계정대체기준!$A$20:$A$49,0)),0)))</f>
        <v/>
      </c>
      <c r="AB4662" s="94">
        <f>IF($A4662="",0,IF(AE4662="직접",IF(AF4662="수금비",$P4662,0),$P4662*(1-AG4662)*IFERROR(INDEX(계정대체기준!$E$20:$E$49,MATCH($N4662,계정대체기준!$A$20:$A$49,0)),0)))</f>
        <v/>
      </c>
      <c r="AC4662" s="9">
        <f>IF(AND($A4662&lt;&gt;"",M4662=설정!$C$20,Z4662&gt;0),Z4662+ROW()/1000000000,"")</f>
        <v/>
      </c>
      <c r="AD4662" s="94">
        <f>IF($A4662="",0,$P4662*AG4662)</f>
        <v/>
      </c>
      <c r="AE4662" s="64">
        <f>IF($A4662="","",IFERROR(INDEX(계정매핑!$E$5:$E$504,MATCH($F4662&amp;"",계정매핑!$A$5:$A$504,0))&amp;"","공통비"))</f>
        <v/>
      </c>
      <c r="AF4662" s="64">
        <f>IF($A4662="","",IF(AE4662="직접",IFERROR(INDEX(계정매핑!$F$5:$F$504,MATCH($F4662&amp;"",계정매핑!$A$5:$A$504,0))&amp;"","비귀속"),""))</f>
        <v/>
      </c>
      <c r="AG4662" s="96">
        <f>IF($A4662="",0,IF(AND(AE4662&lt;&gt;"직접",IFERROR(INDEX(계정매핑!$G$5:$G$504,MATCH($F4662&amp;"",계정매핑!$A$5:$A$504,0))&amp;"","")="유지비",COUNTIF(계정대체기준!$A$6:$A$15,$N4662)&gt;0),IFERROR(INDEX(계정대체기준!$E$6:$E$15,MATCH(VALUE($A4662&amp;""),계정대체기준!$D$6:$D$15,0)),0),0))</f>
        <v/>
      </c>
      <c r="AH4662" s="64">
        <f>IF($A4662="","",IF(AD4662=0,"",IF(OR(COUNTIF(계정대체기준!$A$77:$A$86,$N4662)&gt;0,ISNUMBER(MATCH($X4662,계정대체기준!$D$77:$D$86,0)),ISNUMBER(MATCH($F4662,계정대체기준!$D$77:$D$86,0))),"Y","N")))</f>
        <v/>
      </c>
    </row>
    <row r="4663">
      <c r="A4663" s="92" t="n">
        <v>2026</v>
      </c>
      <c r="B4663" s="92" t="n">
        <v>9</v>
      </c>
      <c r="C4663" s="92" t="inlineStr">
        <is>
          <t>5100001941</t>
        </is>
      </c>
      <c r="D4663" s="95" t="n">
        <v>46277</v>
      </c>
      <c r="E4663" s="92" t="inlineStr">
        <is>
          <t>KR</t>
        </is>
      </c>
      <c r="F4663" s="92" t="n">
        <v>62901000</v>
      </c>
      <c r="G4663" s="92" t="n">
        <v>1101</v>
      </c>
      <c r="H4663" s="93" t="n">
        <v>2989000</v>
      </c>
      <c r="I4663" s="92" t="inlineStr">
        <is>
          <t>9월 자문 수수료 - W컨설팅</t>
        </is>
      </c>
      <c r="J4663" s="92" t="inlineStr">
        <is>
          <t>V10006</t>
        </is>
      </c>
      <c r="K4663" s="92" t="inlineStr">
        <is>
          <t>W컨설팅</t>
        </is>
      </c>
      <c r="M4663" s="9">
        <f>IF($A4663="","",VALUE($A4663&amp;"")*12+VALUE($B4663&amp;""))</f>
        <v/>
      </c>
      <c r="N4663" s="64">
        <f>IF($A4663="","",IFERROR(INDEX(부서매핑!$C$5:$C$504,MATCH($G4663&amp;"",부서매핑!$A$5:$A$504,0)),"미매핑"))</f>
        <v/>
      </c>
      <c r="O4663" s="9">
        <f>IF($A4663="","",N4663&amp;"|"&amp;$F4663)</f>
        <v/>
      </c>
      <c r="P4663" s="94">
        <f>IF($A4663="",0,$H4663*설정!$C$23)</f>
        <v/>
      </c>
      <c r="Q4663" s="64">
        <f>IF($A4663="","",IF(O4663&lt;&gt;원인분석!$C$9,"",IF(AND(M4663&gt;=원인분석!$C$10,M4663&lt;=원인분석!$C$11),"당기",IF(AND(M4663&gt;=원인분석!$C$12,M4663&lt;=원인분석!$C$13),"비교",""))))</f>
        <v/>
      </c>
      <c r="R4663" s="9">
        <f>IF(Q4663="","",$K4663&amp;"")</f>
        <v/>
      </c>
      <c r="S4663" s="9">
        <f>IF(Q4663="","",IF(MATCH(R4663,$R$5:$R$100000,0)=ROW()-4,ROW(),""))</f>
        <v/>
      </c>
      <c r="T4663" s="9">
        <f>IF(Q4663="당기",ABS(P4663)+ROW()/1000000000,"")</f>
        <v/>
      </c>
      <c r="U4663" s="9">
        <f>IF(Q4663="비교",ABS(P4663)+ROW()/1000000000,"")</f>
        <v/>
      </c>
      <c r="V4663" s="64">
        <f>IF($A4663="","",IF(COUNTIF(변동분석!$E$7:$E$506,O4663)&gt;0,"Y","N"))</f>
        <v/>
      </c>
      <c r="W4663" s="64">
        <f>IF($A4663="","",IFERROR(INDEX(계정매핑!$D$5:$D$504,MATCH($F4663&amp;"",계정매핑!$A$5:$A$504,0)),"미매핑"))</f>
        <v/>
      </c>
      <c r="X4663" s="9">
        <f>IF($A4663="","",$F4663&amp;"")</f>
        <v/>
      </c>
      <c r="Y4663" s="94">
        <f>IF($A4663="",0,IF(AE4663="직접",IF(AF4663="비귀속",$P4663,0),$P4663*(1-AG4663)*IFERROR(INDEX(계정대체기준!$F$20:$F$49,MATCH($N4663,계정대체기준!$A$20:$A$49,0)),1)))</f>
        <v/>
      </c>
      <c r="Z4663" s="94">
        <f>IF($A4663="",0,IF(AE4663="직접",IF(AF4663="신계약비",$P4663,0),$P4663*(1-AG4663)*IFERROR(INDEX(계정대체기준!$C$20:$C$49,MATCH($N4663,계정대체기준!$A$20:$A$49,0)),0)))</f>
        <v/>
      </c>
      <c r="AA4663" s="94">
        <f>IF($A4663="",0,IF(AE4663="직접",IF(OR(AF4663="유지비",AF4663="손해조사비"),$P4663,0),$P4663*(1-AG4663)*IFERROR(INDEX(계정대체기준!$D$20:$D$49,MATCH($N4663,계정대체기준!$A$20:$A$49,0)),0)))</f>
        <v/>
      </c>
      <c r="AB4663" s="94">
        <f>IF($A4663="",0,IF(AE4663="직접",IF(AF4663="수금비",$P4663,0),$P4663*(1-AG4663)*IFERROR(INDEX(계정대체기준!$E$20:$E$49,MATCH($N4663,계정대체기준!$A$20:$A$49,0)),0)))</f>
        <v/>
      </c>
      <c r="AC4663" s="9">
        <f>IF(AND($A4663&lt;&gt;"",M4663=설정!$C$20,Z4663&gt;0),Z4663+ROW()/1000000000,"")</f>
        <v/>
      </c>
      <c r="AD4663" s="94">
        <f>IF($A4663="",0,$P4663*AG4663)</f>
        <v/>
      </c>
      <c r="AE4663" s="64">
        <f>IF($A4663="","",IFERROR(INDEX(계정매핑!$E$5:$E$504,MATCH($F4663&amp;"",계정매핑!$A$5:$A$504,0))&amp;"","공통비"))</f>
        <v/>
      </c>
      <c r="AF4663" s="64">
        <f>IF($A4663="","",IF(AE4663="직접",IFERROR(INDEX(계정매핑!$F$5:$F$504,MATCH($F4663&amp;"",계정매핑!$A$5:$A$504,0))&amp;"","비귀속"),""))</f>
        <v/>
      </c>
      <c r="AG4663" s="96">
        <f>IF($A4663="",0,IF(AND(AE4663&lt;&gt;"직접",IFERROR(INDEX(계정매핑!$G$5:$G$504,MATCH($F4663&amp;"",계정매핑!$A$5:$A$504,0))&amp;"","")="유지비",COUNTIF(계정대체기준!$A$6:$A$15,$N4663)&gt;0),IFERROR(INDEX(계정대체기준!$E$6:$E$15,MATCH(VALUE($A4663&amp;""),계정대체기준!$D$6:$D$15,0)),0),0))</f>
        <v/>
      </c>
      <c r="AH4663" s="64">
        <f>IF($A4663="","",IF(AD4663=0,"",IF(OR(COUNTIF(계정대체기준!$A$77:$A$86,$N4663)&gt;0,ISNUMBER(MATCH($X4663,계정대체기준!$D$77:$D$86,0)),ISNUMBER(MATCH($F4663,계정대체기준!$D$77:$D$86,0))),"Y","N")))</f>
        <v/>
      </c>
    </row>
    <row r="4664">
      <c r="A4664" s="92" t="n">
        <v>2026</v>
      </c>
      <c r="B4664" s="92" t="n">
        <v>9</v>
      </c>
      <c r="C4664" s="92" t="inlineStr">
        <is>
          <t>5100001942</t>
        </is>
      </c>
      <c r="D4664" s="95" t="n">
        <v>46277</v>
      </c>
      <c r="E4664" s="92" t="inlineStr">
        <is>
          <t>KR</t>
        </is>
      </c>
      <c r="F4664" s="92" t="n">
        <v>62901000</v>
      </c>
      <c r="G4664" s="92" t="n">
        <v>1201</v>
      </c>
      <c r="H4664" s="93" t="n">
        <v>-8000000</v>
      </c>
      <c r="I4664" s="92" t="inlineStr">
        <is>
          <t>K회계법인 자문료 9월 정정(역분개)</t>
        </is>
      </c>
      <c r="J4664" s="92" t="inlineStr">
        <is>
          <t>V10011</t>
        </is>
      </c>
      <c r="K4664" s="92" t="inlineStr">
        <is>
          <t>K회계법인</t>
        </is>
      </c>
      <c r="M4664" s="9">
        <f>IF($A4664="","",VALUE($A4664&amp;"")*12+VALUE($B4664&amp;""))</f>
        <v/>
      </c>
      <c r="N4664" s="64">
        <f>IF($A4664="","",IFERROR(INDEX(부서매핑!$C$5:$C$504,MATCH($G4664&amp;"",부서매핑!$A$5:$A$504,0)),"미매핑"))</f>
        <v/>
      </c>
      <c r="O4664" s="9">
        <f>IF($A4664="","",N4664&amp;"|"&amp;$F4664)</f>
        <v/>
      </c>
      <c r="P4664" s="94">
        <f>IF($A4664="",0,$H4664*설정!$C$23)</f>
        <v/>
      </c>
      <c r="Q4664" s="64">
        <f>IF($A4664="","",IF(O4664&lt;&gt;원인분석!$C$9,"",IF(AND(M4664&gt;=원인분석!$C$10,M4664&lt;=원인분석!$C$11),"당기",IF(AND(M4664&gt;=원인분석!$C$12,M4664&lt;=원인분석!$C$13),"비교",""))))</f>
        <v/>
      </c>
      <c r="R4664" s="9">
        <f>IF(Q4664="","",$K4664&amp;"")</f>
        <v/>
      </c>
      <c r="S4664" s="9">
        <f>IF(Q4664="","",IF(MATCH(R4664,$R$5:$R$100000,0)=ROW()-4,ROW(),""))</f>
        <v/>
      </c>
      <c r="T4664" s="9">
        <f>IF(Q4664="당기",ABS(P4664)+ROW()/1000000000,"")</f>
        <v/>
      </c>
      <c r="U4664" s="9">
        <f>IF(Q4664="비교",ABS(P4664)+ROW()/1000000000,"")</f>
        <v/>
      </c>
      <c r="V4664" s="64">
        <f>IF($A4664="","",IF(COUNTIF(변동분석!$E$7:$E$506,O4664)&gt;0,"Y","N"))</f>
        <v/>
      </c>
      <c r="W4664" s="64">
        <f>IF($A4664="","",IFERROR(INDEX(계정매핑!$D$5:$D$504,MATCH($F4664&amp;"",계정매핑!$A$5:$A$504,0)),"미매핑"))</f>
        <v/>
      </c>
      <c r="X4664" s="9">
        <f>IF($A4664="","",$F4664&amp;"")</f>
        <v/>
      </c>
      <c r="Y4664" s="94">
        <f>IF($A4664="",0,IF(AE4664="직접",IF(AF4664="비귀속",$P4664,0),$P4664*(1-AG4664)*IFERROR(INDEX(계정대체기준!$F$20:$F$49,MATCH($N4664,계정대체기준!$A$20:$A$49,0)),1)))</f>
        <v/>
      </c>
      <c r="Z4664" s="94">
        <f>IF($A4664="",0,IF(AE4664="직접",IF(AF4664="신계약비",$P4664,0),$P4664*(1-AG4664)*IFERROR(INDEX(계정대체기준!$C$20:$C$49,MATCH($N4664,계정대체기준!$A$20:$A$49,0)),0)))</f>
        <v/>
      </c>
      <c r="AA4664" s="94">
        <f>IF($A4664="",0,IF(AE4664="직접",IF(OR(AF4664="유지비",AF4664="손해조사비"),$P4664,0),$P4664*(1-AG4664)*IFERROR(INDEX(계정대체기준!$D$20:$D$49,MATCH($N4664,계정대체기준!$A$20:$A$49,0)),0)))</f>
        <v/>
      </c>
      <c r="AB4664" s="94">
        <f>IF($A4664="",0,IF(AE4664="직접",IF(AF4664="수금비",$P4664,0),$P4664*(1-AG4664)*IFERROR(INDEX(계정대체기준!$E$20:$E$49,MATCH($N4664,계정대체기준!$A$20:$A$49,0)),0)))</f>
        <v/>
      </c>
      <c r="AC4664" s="9">
        <f>IF(AND($A4664&lt;&gt;"",M4664=설정!$C$20,Z4664&gt;0),Z4664+ROW()/1000000000,"")</f>
        <v/>
      </c>
      <c r="AD4664" s="94">
        <f>IF($A4664="",0,$P4664*AG4664)</f>
        <v/>
      </c>
      <c r="AE4664" s="64">
        <f>IF($A4664="","",IFERROR(INDEX(계정매핑!$E$5:$E$504,MATCH($F4664&amp;"",계정매핑!$A$5:$A$504,0))&amp;"","공통비"))</f>
        <v/>
      </c>
      <c r="AF4664" s="64">
        <f>IF($A4664="","",IF(AE4664="직접",IFERROR(INDEX(계정매핑!$F$5:$F$504,MATCH($F4664&amp;"",계정매핑!$A$5:$A$504,0))&amp;"","비귀속"),""))</f>
        <v/>
      </c>
      <c r="AG4664" s="96">
        <f>IF($A4664="",0,IF(AND(AE4664&lt;&gt;"직접",IFERROR(INDEX(계정매핑!$G$5:$G$504,MATCH($F4664&amp;"",계정매핑!$A$5:$A$504,0))&amp;"","")="유지비",COUNTIF(계정대체기준!$A$6:$A$15,$N4664)&gt;0),IFERROR(INDEX(계정대체기준!$E$6:$E$15,MATCH(VALUE($A4664&amp;""),계정대체기준!$D$6:$D$15,0)),0),0))</f>
        <v/>
      </c>
      <c r="AH4664" s="64">
        <f>IF($A4664="","",IF(AD4664=0,"",IF(OR(COUNTIF(계정대체기준!$A$77:$A$86,$N4664)&gt;0,ISNUMBER(MATCH($X4664,계정대체기준!$D$77:$D$86,0)),ISNUMBER(MATCH($F4664,계정대체기준!$D$77:$D$86,0))),"Y","N")))</f>
        <v/>
      </c>
    </row>
    <row r="4665">
      <c r="A4665" s="92" t="n">
        <v>2026</v>
      </c>
      <c r="B4665" s="92" t="n">
        <v>9</v>
      </c>
      <c r="C4665" s="92" t="inlineStr">
        <is>
          <t>5100001943</t>
        </is>
      </c>
      <c r="D4665" s="95" t="n">
        <v>46277</v>
      </c>
      <c r="E4665" s="92" t="inlineStr">
        <is>
          <t>KR</t>
        </is>
      </c>
      <c r="F4665" s="92" t="n">
        <v>62901000</v>
      </c>
      <c r="G4665" s="92" t="n">
        <v>1201</v>
      </c>
      <c r="H4665" s="93" t="n">
        <v>8500000</v>
      </c>
      <c r="I4665" s="92" t="inlineStr">
        <is>
          <t>K회계법인 자문료 9월 (정정분)</t>
        </is>
      </c>
      <c r="J4665" s="92" t="inlineStr">
        <is>
          <t>V10011</t>
        </is>
      </c>
      <c r="K4665" s="92" t="inlineStr">
        <is>
          <t>K회계법인</t>
        </is>
      </c>
      <c r="M4665" s="9">
        <f>IF($A4665="","",VALUE($A4665&amp;"")*12+VALUE($B4665&amp;""))</f>
        <v/>
      </c>
      <c r="N4665" s="64">
        <f>IF($A4665="","",IFERROR(INDEX(부서매핑!$C$5:$C$504,MATCH($G4665&amp;"",부서매핑!$A$5:$A$504,0)),"미매핑"))</f>
        <v/>
      </c>
      <c r="O4665" s="9">
        <f>IF($A4665="","",N4665&amp;"|"&amp;$F4665)</f>
        <v/>
      </c>
      <c r="P4665" s="94">
        <f>IF($A4665="",0,$H4665*설정!$C$23)</f>
        <v/>
      </c>
      <c r="Q4665" s="64">
        <f>IF($A4665="","",IF(O4665&lt;&gt;원인분석!$C$9,"",IF(AND(M4665&gt;=원인분석!$C$10,M4665&lt;=원인분석!$C$11),"당기",IF(AND(M4665&gt;=원인분석!$C$12,M4665&lt;=원인분석!$C$13),"비교",""))))</f>
        <v/>
      </c>
      <c r="R4665" s="9">
        <f>IF(Q4665="","",$K4665&amp;"")</f>
        <v/>
      </c>
      <c r="S4665" s="9">
        <f>IF(Q4665="","",IF(MATCH(R4665,$R$5:$R$100000,0)=ROW()-4,ROW(),""))</f>
        <v/>
      </c>
      <c r="T4665" s="9">
        <f>IF(Q4665="당기",ABS(P4665)+ROW()/1000000000,"")</f>
        <v/>
      </c>
      <c r="U4665" s="9">
        <f>IF(Q4665="비교",ABS(P4665)+ROW()/1000000000,"")</f>
        <v/>
      </c>
      <c r="V4665" s="64">
        <f>IF($A4665="","",IF(COUNTIF(변동분석!$E$7:$E$506,O4665)&gt;0,"Y","N"))</f>
        <v/>
      </c>
      <c r="W4665" s="64">
        <f>IF($A4665="","",IFERROR(INDEX(계정매핑!$D$5:$D$504,MATCH($F4665&amp;"",계정매핑!$A$5:$A$504,0)),"미매핑"))</f>
        <v/>
      </c>
      <c r="X4665" s="9">
        <f>IF($A4665="","",$F4665&amp;"")</f>
        <v/>
      </c>
      <c r="Y4665" s="94">
        <f>IF($A4665="",0,IF(AE4665="직접",IF(AF4665="비귀속",$P4665,0),$P4665*(1-AG4665)*IFERROR(INDEX(계정대체기준!$F$20:$F$49,MATCH($N4665,계정대체기준!$A$20:$A$49,0)),1)))</f>
        <v/>
      </c>
      <c r="Z4665" s="94">
        <f>IF($A4665="",0,IF(AE4665="직접",IF(AF4665="신계약비",$P4665,0),$P4665*(1-AG4665)*IFERROR(INDEX(계정대체기준!$C$20:$C$49,MATCH($N4665,계정대체기준!$A$20:$A$49,0)),0)))</f>
        <v/>
      </c>
      <c r="AA4665" s="94">
        <f>IF($A4665="",0,IF(AE4665="직접",IF(OR(AF4665="유지비",AF4665="손해조사비"),$P4665,0),$P4665*(1-AG4665)*IFERROR(INDEX(계정대체기준!$D$20:$D$49,MATCH($N4665,계정대체기준!$A$20:$A$49,0)),0)))</f>
        <v/>
      </c>
      <c r="AB4665" s="94">
        <f>IF($A4665="",0,IF(AE4665="직접",IF(AF4665="수금비",$P4665,0),$P4665*(1-AG4665)*IFERROR(INDEX(계정대체기준!$E$20:$E$49,MATCH($N4665,계정대체기준!$A$20:$A$49,0)),0)))</f>
        <v/>
      </c>
      <c r="AC4665" s="9">
        <f>IF(AND($A4665&lt;&gt;"",M4665=설정!$C$20,Z4665&gt;0),Z4665+ROW()/1000000000,"")</f>
        <v/>
      </c>
      <c r="AD4665" s="94">
        <f>IF($A4665="",0,$P4665*AG4665)</f>
        <v/>
      </c>
      <c r="AE4665" s="64">
        <f>IF($A4665="","",IFERROR(INDEX(계정매핑!$E$5:$E$504,MATCH($F4665&amp;"",계정매핑!$A$5:$A$504,0))&amp;"","공통비"))</f>
        <v/>
      </c>
      <c r="AF4665" s="64">
        <f>IF($A4665="","",IF(AE4665="직접",IFERROR(INDEX(계정매핑!$F$5:$F$504,MATCH($F4665&amp;"",계정매핑!$A$5:$A$504,0))&amp;"","비귀속"),""))</f>
        <v/>
      </c>
      <c r="AG4665" s="96">
        <f>IF($A4665="",0,IF(AND(AE4665&lt;&gt;"직접",IFERROR(INDEX(계정매핑!$G$5:$G$504,MATCH($F4665&amp;"",계정매핑!$A$5:$A$504,0))&amp;"","")="유지비",COUNTIF(계정대체기준!$A$6:$A$15,$N4665)&gt;0),IFERROR(INDEX(계정대체기준!$E$6:$E$15,MATCH(VALUE($A4665&amp;""),계정대체기준!$D$6:$D$15,0)),0),0))</f>
        <v/>
      </c>
      <c r="AH4665" s="64">
        <f>IF($A4665="","",IF(AD4665=0,"",IF(OR(COUNTIF(계정대체기준!$A$77:$A$86,$N4665)&gt;0,ISNUMBER(MATCH($X4665,계정대체기준!$D$77:$D$86,0)),ISNUMBER(MATCH($F4665,계정대체기준!$D$77:$D$86,0))),"Y","N")))</f>
        <v/>
      </c>
    </row>
    <row r="4666">
      <c r="A4666" s="92" t="n">
        <v>2026</v>
      </c>
      <c r="B4666" s="92" t="n">
        <v>9</v>
      </c>
      <c r="C4666" s="92" t="inlineStr">
        <is>
          <t>5100001944</t>
        </is>
      </c>
      <c r="D4666" s="95" t="n">
        <v>46277</v>
      </c>
      <c r="E4666" s="92" t="inlineStr">
        <is>
          <t>KR</t>
        </is>
      </c>
      <c r="F4666" s="92" t="n">
        <v>62902000</v>
      </c>
      <c r="G4666" s="92" t="n">
        <v>1801</v>
      </c>
      <c r="H4666" s="93" t="n">
        <v>1763000</v>
      </c>
      <c r="I4666" s="92" t="inlineStr">
        <is>
          <t>9월 콜 위탁 수수료(건별)</t>
        </is>
      </c>
      <c r="J4666" s="92" t="inlineStr">
        <is>
          <t>V10016</t>
        </is>
      </c>
      <c r="K4666" s="92" t="inlineStr">
        <is>
          <t>J콜센터</t>
        </is>
      </c>
      <c r="M4666" s="9">
        <f>IF($A4666="","",VALUE($A4666&amp;"")*12+VALUE($B4666&amp;""))</f>
        <v/>
      </c>
      <c r="N4666" s="64">
        <f>IF($A4666="","",IFERROR(INDEX(부서매핑!$C$5:$C$504,MATCH($G4666&amp;"",부서매핑!$A$5:$A$504,0)),"미매핑"))</f>
        <v/>
      </c>
      <c r="O4666" s="9">
        <f>IF($A4666="","",N4666&amp;"|"&amp;$F4666)</f>
        <v/>
      </c>
      <c r="P4666" s="94">
        <f>IF($A4666="",0,$H4666*설정!$C$23)</f>
        <v/>
      </c>
      <c r="Q4666" s="64">
        <f>IF($A4666="","",IF(O4666&lt;&gt;원인분석!$C$9,"",IF(AND(M4666&gt;=원인분석!$C$10,M4666&lt;=원인분석!$C$11),"당기",IF(AND(M4666&gt;=원인분석!$C$12,M4666&lt;=원인분석!$C$13),"비교",""))))</f>
        <v/>
      </c>
      <c r="R4666" s="9">
        <f>IF(Q4666="","",$K4666&amp;"")</f>
        <v/>
      </c>
      <c r="S4666" s="9">
        <f>IF(Q4666="","",IF(MATCH(R4666,$R$5:$R$100000,0)=ROW()-4,ROW(),""))</f>
        <v/>
      </c>
      <c r="T4666" s="9">
        <f>IF(Q4666="당기",ABS(P4666)+ROW()/1000000000,"")</f>
        <v/>
      </c>
      <c r="U4666" s="9">
        <f>IF(Q4666="비교",ABS(P4666)+ROW()/1000000000,"")</f>
        <v/>
      </c>
      <c r="V4666" s="64">
        <f>IF($A4666="","",IF(COUNTIF(변동분석!$E$7:$E$506,O4666)&gt;0,"Y","N"))</f>
        <v/>
      </c>
      <c r="W4666" s="64">
        <f>IF($A4666="","",IFERROR(INDEX(계정매핑!$D$5:$D$504,MATCH($F4666&amp;"",계정매핑!$A$5:$A$504,0)),"미매핑"))</f>
        <v/>
      </c>
      <c r="X4666" s="9">
        <f>IF($A4666="","",$F4666&amp;"")</f>
        <v/>
      </c>
      <c r="Y4666" s="94">
        <f>IF($A4666="",0,IF(AE4666="직접",IF(AF4666="비귀속",$P4666,0),$P4666*(1-AG4666)*IFERROR(INDEX(계정대체기준!$F$20:$F$49,MATCH($N4666,계정대체기준!$A$20:$A$49,0)),1)))</f>
        <v/>
      </c>
      <c r="Z4666" s="94">
        <f>IF($A4666="",0,IF(AE4666="직접",IF(AF4666="신계약비",$P4666,0),$P4666*(1-AG4666)*IFERROR(INDEX(계정대체기준!$C$20:$C$49,MATCH($N4666,계정대체기준!$A$20:$A$49,0)),0)))</f>
        <v/>
      </c>
      <c r="AA4666" s="94">
        <f>IF($A4666="",0,IF(AE4666="직접",IF(OR(AF4666="유지비",AF4666="손해조사비"),$P4666,0),$P4666*(1-AG4666)*IFERROR(INDEX(계정대체기준!$D$20:$D$49,MATCH($N4666,계정대체기준!$A$20:$A$49,0)),0)))</f>
        <v/>
      </c>
      <c r="AB4666" s="94">
        <f>IF($A4666="",0,IF(AE4666="직접",IF(AF4666="수금비",$P4666,0),$P4666*(1-AG4666)*IFERROR(INDEX(계정대체기준!$E$20:$E$49,MATCH($N4666,계정대체기준!$A$20:$A$49,0)),0)))</f>
        <v/>
      </c>
      <c r="AC4666" s="9">
        <f>IF(AND($A4666&lt;&gt;"",M4666=설정!$C$20,Z4666&gt;0),Z4666+ROW()/1000000000,"")</f>
        <v/>
      </c>
      <c r="AD4666" s="94">
        <f>IF($A4666="",0,$P4666*AG4666)</f>
        <v/>
      </c>
      <c r="AE4666" s="64">
        <f>IF($A4666="","",IFERROR(INDEX(계정매핑!$E$5:$E$504,MATCH($F4666&amp;"",계정매핑!$A$5:$A$504,0))&amp;"","공통비"))</f>
        <v/>
      </c>
      <c r="AF4666" s="64">
        <f>IF($A4666="","",IF(AE4666="직접",IFERROR(INDEX(계정매핑!$F$5:$F$504,MATCH($F4666&amp;"",계정매핑!$A$5:$A$504,0))&amp;"","비귀속"),""))</f>
        <v/>
      </c>
      <c r="AG4666" s="96">
        <f>IF($A4666="",0,IF(AND(AE4666&lt;&gt;"직접",IFERROR(INDEX(계정매핑!$G$5:$G$504,MATCH($F4666&amp;"",계정매핑!$A$5:$A$504,0))&amp;"","")="유지비",COUNTIF(계정대체기준!$A$6:$A$15,$N4666)&gt;0),IFERROR(INDEX(계정대체기준!$E$6:$E$15,MATCH(VALUE($A4666&amp;""),계정대체기준!$D$6:$D$15,0)),0),0))</f>
        <v/>
      </c>
      <c r="AH4666" s="64">
        <f>IF($A4666="","",IF(AD4666=0,"",IF(OR(COUNTIF(계정대체기준!$A$77:$A$86,$N4666)&gt;0,ISNUMBER(MATCH($X4666,계정대체기준!$D$77:$D$86,0)),ISNUMBER(MATCH($F4666,계정대체기준!$D$77:$D$86,0))),"Y","N")))</f>
        <v/>
      </c>
    </row>
    <row r="4667">
      <c r="A4667" s="92" t="n">
        <v>2026</v>
      </c>
      <c r="B4667" s="92" t="n">
        <v>9</v>
      </c>
      <c r="C4667" s="92" t="inlineStr">
        <is>
          <t>5100001945</t>
        </is>
      </c>
      <c r="D4667" s="95" t="n">
        <v>46278</v>
      </c>
      <c r="E4667" s="92" t="inlineStr">
        <is>
          <t>KR</t>
        </is>
      </c>
      <c r="F4667" s="92" t="n">
        <v>62101000</v>
      </c>
      <c r="G4667" s="92" t="n">
        <v>1101</v>
      </c>
      <c r="H4667" s="93" t="n">
        <v>469000</v>
      </c>
      <c r="I4667" s="92" t="inlineStr">
        <is>
          <t>9월 국내출장 - (법인카드)</t>
        </is>
      </c>
      <c r="J4667" s="92" t="inlineStr">
        <is>
          <t>V10010</t>
        </is>
      </c>
      <c r="K4667" s="92" t="inlineStr">
        <is>
          <t>(법인카드)</t>
        </is>
      </c>
      <c r="M4667" s="9">
        <f>IF($A4667="","",VALUE($A4667&amp;"")*12+VALUE($B4667&amp;""))</f>
        <v/>
      </c>
      <c r="N4667" s="64">
        <f>IF($A4667="","",IFERROR(INDEX(부서매핑!$C$5:$C$504,MATCH($G4667&amp;"",부서매핑!$A$5:$A$504,0)),"미매핑"))</f>
        <v/>
      </c>
      <c r="O4667" s="9">
        <f>IF($A4667="","",N4667&amp;"|"&amp;$F4667)</f>
        <v/>
      </c>
      <c r="P4667" s="94">
        <f>IF($A4667="",0,$H4667*설정!$C$23)</f>
        <v/>
      </c>
      <c r="Q4667" s="64">
        <f>IF($A4667="","",IF(O4667&lt;&gt;원인분석!$C$9,"",IF(AND(M4667&gt;=원인분석!$C$10,M4667&lt;=원인분석!$C$11),"당기",IF(AND(M4667&gt;=원인분석!$C$12,M4667&lt;=원인분석!$C$13),"비교",""))))</f>
        <v/>
      </c>
      <c r="R4667" s="9">
        <f>IF(Q4667="","",$K4667&amp;"")</f>
        <v/>
      </c>
      <c r="S4667" s="9">
        <f>IF(Q4667="","",IF(MATCH(R4667,$R$5:$R$100000,0)=ROW()-4,ROW(),""))</f>
        <v/>
      </c>
      <c r="T4667" s="9">
        <f>IF(Q4667="당기",ABS(P4667)+ROW()/1000000000,"")</f>
        <v/>
      </c>
      <c r="U4667" s="9">
        <f>IF(Q4667="비교",ABS(P4667)+ROW()/1000000000,"")</f>
        <v/>
      </c>
      <c r="V4667" s="64">
        <f>IF($A4667="","",IF(COUNTIF(변동분석!$E$7:$E$506,O4667)&gt;0,"Y","N"))</f>
        <v/>
      </c>
      <c r="W4667" s="64">
        <f>IF($A4667="","",IFERROR(INDEX(계정매핑!$D$5:$D$504,MATCH($F4667&amp;"",계정매핑!$A$5:$A$504,0)),"미매핑"))</f>
        <v/>
      </c>
      <c r="X4667" s="9">
        <f>IF($A4667="","",$F4667&amp;"")</f>
        <v/>
      </c>
      <c r="Y4667" s="94">
        <f>IF($A4667="",0,IF(AE4667="직접",IF(AF4667="비귀속",$P4667,0),$P4667*(1-AG4667)*IFERROR(INDEX(계정대체기준!$F$20:$F$49,MATCH($N4667,계정대체기준!$A$20:$A$49,0)),1)))</f>
        <v/>
      </c>
      <c r="Z4667" s="94">
        <f>IF($A4667="",0,IF(AE4667="직접",IF(AF4667="신계약비",$P4667,0),$P4667*(1-AG4667)*IFERROR(INDEX(계정대체기준!$C$20:$C$49,MATCH($N4667,계정대체기준!$A$20:$A$49,0)),0)))</f>
        <v/>
      </c>
      <c r="AA4667" s="94">
        <f>IF($A4667="",0,IF(AE4667="직접",IF(OR(AF4667="유지비",AF4667="손해조사비"),$P4667,0),$P4667*(1-AG4667)*IFERROR(INDEX(계정대체기준!$D$20:$D$49,MATCH($N4667,계정대체기준!$A$20:$A$49,0)),0)))</f>
        <v/>
      </c>
      <c r="AB4667" s="94">
        <f>IF($A4667="",0,IF(AE4667="직접",IF(AF4667="수금비",$P4667,0),$P4667*(1-AG4667)*IFERROR(INDEX(계정대체기준!$E$20:$E$49,MATCH($N4667,계정대체기준!$A$20:$A$49,0)),0)))</f>
        <v/>
      </c>
      <c r="AC4667" s="9">
        <f>IF(AND($A4667&lt;&gt;"",M4667=설정!$C$20,Z4667&gt;0),Z4667+ROW()/1000000000,"")</f>
        <v/>
      </c>
      <c r="AD4667" s="94">
        <f>IF($A4667="",0,$P4667*AG4667)</f>
        <v/>
      </c>
      <c r="AE4667" s="64">
        <f>IF($A4667="","",IFERROR(INDEX(계정매핑!$E$5:$E$504,MATCH($F4667&amp;"",계정매핑!$A$5:$A$504,0))&amp;"","공통비"))</f>
        <v/>
      </c>
      <c r="AF4667" s="64">
        <f>IF($A4667="","",IF(AE4667="직접",IFERROR(INDEX(계정매핑!$F$5:$F$504,MATCH($F4667&amp;"",계정매핑!$A$5:$A$504,0))&amp;"","비귀속"),""))</f>
        <v/>
      </c>
      <c r="AG4667" s="96">
        <f>IF($A4667="",0,IF(AND(AE4667&lt;&gt;"직접",IFERROR(INDEX(계정매핑!$G$5:$G$504,MATCH($F4667&amp;"",계정매핑!$A$5:$A$504,0))&amp;"","")="유지비",COUNTIF(계정대체기준!$A$6:$A$15,$N4667)&gt;0),IFERROR(INDEX(계정대체기준!$E$6:$E$15,MATCH(VALUE($A4667&amp;""),계정대체기준!$D$6:$D$15,0)),0),0))</f>
        <v/>
      </c>
      <c r="AH4667" s="64">
        <f>IF($A4667="","",IF(AD4667=0,"",IF(OR(COUNTIF(계정대체기준!$A$77:$A$86,$N4667)&gt;0,ISNUMBER(MATCH($X4667,계정대체기준!$D$77:$D$86,0)),ISNUMBER(MATCH($F4667,계정대체기준!$D$77:$D$86,0))),"Y","N")))</f>
        <v/>
      </c>
    </row>
    <row r="4668">
      <c r="A4668" s="92" t="n">
        <v>2026</v>
      </c>
      <c r="B4668" s="92" t="n">
        <v>9</v>
      </c>
      <c r="C4668" s="92" t="inlineStr">
        <is>
          <t>5100001946</t>
        </is>
      </c>
      <c r="D4668" s="95" t="n">
        <v>46278</v>
      </c>
      <c r="E4668" s="92" t="inlineStr">
        <is>
          <t>KR</t>
        </is>
      </c>
      <c r="F4668" s="92" t="n">
        <v>62101000</v>
      </c>
      <c r="G4668" s="92" t="n">
        <v>1801</v>
      </c>
      <c r="H4668" s="93" t="n">
        <v>104000</v>
      </c>
      <c r="I4668" s="92" t="inlineStr">
        <is>
          <t>9월 국내출장 - (법인카드)</t>
        </is>
      </c>
      <c r="J4668" s="92" t="inlineStr">
        <is>
          <t>V10010</t>
        </is>
      </c>
      <c r="K4668" s="92" t="inlineStr">
        <is>
          <t>(법인카드)</t>
        </is>
      </c>
      <c r="M4668" s="9">
        <f>IF($A4668="","",VALUE($A4668&amp;"")*12+VALUE($B4668&amp;""))</f>
        <v/>
      </c>
      <c r="N4668" s="64">
        <f>IF($A4668="","",IFERROR(INDEX(부서매핑!$C$5:$C$504,MATCH($G4668&amp;"",부서매핑!$A$5:$A$504,0)),"미매핑"))</f>
        <v/>
      </c>
      <c r="O4668" s="9">
        <f>IF($A4668="","",N4668&amp;"|"&amp;$F4668)</f>
        <v/>
      </c>
      <c r="P4668" s="94">
        <f>IF($A4668="",0,$H4668*설정!$C$23)</f>
        <v/>
      </c>
      <c r="Q4668" s="64">
        <f>IF($A4668="","",IF(O4668&lt;&gt;원인분석!$C$9,"",IF(AND(M4668&gt;=원인분석!$C$10,M4668&lt;=원인분석!$C$11),"당기",IF(AND(M4668&gt;=원인분석!$C$12,M4668&lt;=원인분석!$C$13),"비교",""))))</f>
        <v/>
      </c>
      <c r="R4668" s="9">
        <f>IF(Q4668="","",$K4668&amp;"")</f>
        <v/>
      </c>
      <c r="S4668" s="9">
        <f>IF(Q4668="","",IF(MATCH(R4668,$R$5:$R$100000,0)=ROW()-4,ROW(),""))</f>
        <v/>
      </c>
      <c r="T4668" s="9">
        <f>IF(Q4668="당기",ABS(P4668)+ROW()/1000000000,"")</f>
        <v/>
      </c>
      <c r="U4668" s="9">
        <f>IF(Q4668="비교",ABS(P4668)+ROW()/1000000000,"")</f>
        <v/>
      </c>
      <c r="V4668" s="64">
        <f>IF($A4668="","",IF(COUNTIF(변동분석!$E$7:$E$506,O4668)&gt;0,"Y","N"))</f>
        <v/>
      </c>
      <c r="W4668" s="64">
        <f>IF($A4668="","",IFERROR(INDEX(계정매핑!$D$5:$D$504,MATCH($F4668&amp;"",계정매핑!$A$5:$A$504,0)),"미매핑"))</f>
        <v/>
      </c>
      <c r="X4668" s="9">
        <f>IF($A4668="","",$F4668&amp;"")</f>
        <v/>
      </c>
      <c r="Y4668" s="94">
        <f>IF($A4668="",0,IF(AE4668="직접",IF(AF4668="비귀속",$P4668,0),$P4668*(1-AG4668)*IFERROR(INDEX(계정대체기준!$F$20:$F$49,MATCH($N4668,계정대체기준!$A$20:$A$49,0)),1)))</f>
        <v/>
      </c>
      <c r="Z4668" s="94">
        <f>IF($A4668="",0,IF(AE4668="직접",IF(AF4668="신계약비",$P4668,0),$P4668*(1-AG4668)*IFERROR(INDEX(계정대체기준!$C$20:$C$49,MATCH($N4668,계정대체기준!$A$20:$A$49,0)),0)))</f>
        <v/>
      </c>
      <c r="AA4668" s="94">
        <f>IF($A4668="",0,IF(AE4668="직접",IF(OR(AF4668="유지비",AF4668="손해조사비"),$P4668,0),$P4668*(1-AG4668)*IFERROR(INDEX(계정대체기준!$D$20:$D$49,MATCH($N4668,계정대체기준!$A$20:$A$49,0)),0)))</f>
        <v/>
      </c>
      <c r="AB4668" s="94">
        <f>IF($A4668="",0,IF(AE4668="직접",IF(AF4668="수금비",$P4668,0),$P4668*(1-AG4668)*IFERROR(INDEX(계정대체기준!$E$20:$E$49,MATCH($N4668,계정대체기준!$A$20:$A$49,0)),0)))</f>
        <v/>
      </c>
      <c r="AC4668" s="9">
        <f>IF(AND($A4668&lt;&gt;"",M4668=설정!$C$20,Z4668&gt;0),Z4668+ROW()/1000000000,"")</f>
        <v/>
      </c>
      <c r="AD4668" s="94">
        <f>IF($A4668="",0,$P4668*AG4668)</f>
        <v/>
      </c>
      <c r="AE4668" s="64">
        <f>IF($A4668="","",IFERROR(INDEX(계정매핑!$E$5:$E$504,MATCH($F4668&amp;"",계정매핑!$A$5:$A$504,0))&amp;"","공통비"))</f>
        <v/>
      </c>
      <c r="AF4668" s="64">
        <f>IF($A4668="","",IF(AE4668="직접",IFERROR(INDEX(계정매핑!$F$5:$F$504,MATCH($F4668&amp;"",계정매핑!$A$5:$A$504,0))&amp;"","비귀속"),""))</f>
        <v/>
      </c>
      <c r="AG4668" s="96">
        <f>IF($A4668="",0,IF(AND(AE4668&lt;&gt;"직접",IFERROR(INDEX(계정매핑!$G$5:$G$504,MATCH($F4668&amp;"",계정매핑!$A$5:$A$504,0))&amp;"","")="유지비",COUNTIF(계정대체기준!$A$6:$A$15,$N4668)&gt;0),IFERROR(INDEX(계정대체기준!$E$6:$E$15,MATCH(VALUE($A4668&amp;""),계정대체기준!$D$6:$D$15,0)),0),0))</f>
        <v/>
      </c>
      <c r="AH4668" s="64">
        <f>IF($A4668="","",IF(AD4668=0,"",IF(OR(COUNTIF(계정대체기준!$A$77:$A$86,$N4668)&gt;0,ISNUMBER(MATCH($X4668,계정대체기준!$D$77:$D$86,0)),ISNUMBER(MATCH($F4668,계정대체기준!$D$77:$D$86,0))),"Y","N")))</f>
        <v/>
      </c>
    </row>
    <row r="4669">
      <c r="A4669" s="92" t="n">
        <v>2026</v>
      </c>
      <c r="B4669" s="92" t="n">
        <v>9</v>
      </c>
      <c r="C4669" s="92" t="inlineStr">
        <is>
          <t>5100001947</t>
        </is>
      </c>
      <c r="D4669" s="95" t="n">
        <v>46278</v>
      </c>
      <c r="E4669" s="92" t="inlineStr">
        <is>
          <t>KR</t>
        </is>
      </c>
      <c r="F4669" s="92" t="n">
        <v>62102000</v>
      </c>
      <c r="G4669" s="92" t="n">
        <v>1951</v>
      </c>
      <c r="H4669" s="93" t="n">
        <v>58000</v>
      </c>
      <c r="I4669" s="92" t="inlineStr">
        <is>
          <t>9월 해외출장 - N호텔</t>
        </is>
      </c>
      <c r="J4669" s="92" t="inlineStr">
        <is>
          <t>V10009</t>
        </is>
      </c>
      <c r="K4669" s="92" t="inlineStr">
        <is>
          <t>N호텔</t>
        </is>
      </c>
      <c r="M4669" s="9">
        <f>IF($A4669="","",VALUE($A4669&amp;"")*12+VALUE($B4669&amp;""))</f>
        <v/>
      </c>
      <c r="N4669" s="64">
        <f>IF($A4669="","",IFERROR(INDEX(부서매핑!$C$5:$C$504,MATCH($G4669&amp;"",부서매핑!$A$5:$A$504,0)),"미매핑"))</f>
        <v/>
      </c>
      <c r="O4669" s="9">
        <f>IF($A4669="","",N4669&amp;"|"&amp;$F4669)</f>
        <v/>
      </c>
      <c r="P4669" s="94">
        <f>IF($A4669="",0,$H4669*설정!$C$23)</f>
        <v/>
      </c>
      <c r="Q4669" s="64">
        <f>IF($A4669="","",IF(O4669&lt;&gt;원인분석!$C$9,"",IF(AND(M4669&gt;=원인분석!$C$10,M4669&lt;=원인분석!$C$11),"당기",IF(AND(M4669&gt;=원인분석!$C$12,M4669&lt;=원인분석!$C$13),"비교",""))))</f>
        <v/>
      </c>
      <c r="R4669" s="9">
        <f>IF(Q4669="","",$K4669&amp;"")</f>
        <v/>
      </c>
      <c r="S4669" s="9">
        <f>IF(Q4669="","",IF(MATCH(R4669,$R$5:$R$100000,0)=ROW()-4,ROW(),""))</f>
        <v/>
      </c>
      <c r="T4669" s="9">
        <f>IF(Q4669="당기",ABS(P4669)+ROW()/1000000000,"")</f>
        <v/>
      </c>
      <c r="U4669" s="9">
        <f>IF(Q4669="비교",ABS(P4669)+ROW()/1000000000,"")</f>
        <v/>
      </c>
      <c r="V4669" s="64">
        <f>IF($A4669="","",IF(COUNTIF(변동분석!$E$7:$E$506,O4669)&gt;0,"Y","N"))</f>
        <v/>
      </c>
      <c r="W4669" s="64">
        <f>IF($A4669="","",IFERROR(INDEX(계정매핑!$D$5:$D$504,MATCH($F4669&amp;"",계정매핑!$A$5:$A$504,0)),"미매핑"))</f>
        <v/>
      </c>
      <c r="X4669" s="9">
        <f>IF($A4669="","",$F4669&amp;"")</f>
        <v/>
      </c>
      <c r="Y4669" s="94">
        <f>IF($A4669="",0,IF(AE4669="직접",IF(AF4669="비귀속",$P4669,0),$P4669*(1-AG4669)*IFERROR(INDEX(계정대체기준!$F$20:$F$49,MATCH($N4669,계정대체기준!$A$20:$A$49,0)),1)))</f>
        <v/>
      </c>
      <c r="Z4669" s="94">
        <f>IF($A4669="",0,IF(AE4669="직접",IF(AF4669="신계약비",$P4669,0),$P4669*(1-AG4669)*IFERROR(INDEX(계정대체기준!$C$20:$C$49,MATCH($N4669,계정대체기준!$A$20:$A$49,0)),0)))</f>
        <v/>
      </c>
      <c r="AA4669" s="94">
        <f>IF($A4669="",0,IF(AE4669="직접",IF(OR(AF4669="유지비",AF4669="손해조사비"),$P4669,0),$P4669*(1-AG4669)*IFERROR(INDEX(계정대체기준!$D$20:$D$49,MATCH($N4669,계정대체기준!$A$20:$A$49,0)),0)))</f>
        <v/>
      </c>
      <c r="AB4669" s="94">
        <f>IF($A4669="",0,IF(AE4669="직접",IF(AF4669="수금비",$P4669,0),$P4669*(1-AG4669)*IFERROR(INDEX(계정대체기준!$E$20:$E$49,MATCH($N4669,계정대체기준!$A$20:$A$49,0)),0)))</f>
        <v/>
      </c>
      <c r="AC4669" s="9">
        <f>IF(AND($A4669&lt;&gt;"",M4669=설정!$C$20,Z4669&gt;0),Z4669+ROW()/1000000000,"")</f>
        <v/>
      </c>
      <c r="AD4669" s="94">
        <f>IF($A4669="",0,$P4669*AG4669)</f>
        <v/>
      </c>
      <c r="AE4669" s="64">
        <f>IF($A4669="","",IFERROR(INDEX(계정매핑!$E$5:$E$504,MATCH($F4669&amp;"",계정매핑!$A$5:$A$504,0))&amp;"","공통비"))</f>
        <v/>
      </c>
      <c r="AF4669" s="64">
        <f>IF($A4669="","",IF(AE4669="직접",IFERROR(INDEX(계정매핑!$F$5:$F$504,MATCH($F4669&amp;"",계정매핑!$A$5:$A$504,0))&amp;"","비귀속"),""))</f>
        <v/>
      </c>
      <c r="AG4669" s="96">
        <f>IF($A4669="",0,IF(AND(AE4669&lt;&gt;"직접",IFERROR(INDEX(계정매핑!$G$5:$G$504,MATCH($F4669&amp;"",계정매핑!$A$5:$A$504,0))&amp;"","")="유지비",COUNTIF(계정대체기준!$A$6:$A$15,$N4669)&gt;0),IFERROR(INDEX(계정대체기준!$E$6:$E$15,MATCH(VALUE($A4669&amp;""),계정대체기준!$D$6:$D$15,0)),0),0))</f>
        <v/>
      </c>
      <c r="AH4669" s="64">
        <f>IF($A4669="","",IF(AD4669=0,"",IF(OR(COUNTIF(계정대체기준!$A$77:$A$86,$N4669)&gt;0,ISNUMBER(MATCH($X4669,계정대체기준!$D$77:$D$86,0)),ISNUMBER(MATCH($F4669,계정대체기준!$D$77:$D$86,0))),"Y","N")))</f>
        <v/>
      </c>
    </row>
    <row r="4670">
      <c r="A4670" s="92" t="n">
        <v>2026</v>
      </c>
      <c r="B4670" s="92" t="n">
        <v>9</v>
      </c>
      <c r="C4670" s="92" t="inlineStr">
        <is>
          <t>5100001948</t>
        </is>
      </c>
      <c r="D4670" s="95" t="n">
        <v>46278</v>
      </c>
      <c r="E4670" s="92" t="inlineStr">
        <is>
          <t>KR</t>
        </is>
      </c>
      <c r="F4670" s="92" t="n">
        <v>62201000</v>
      </c>
      <c r="G4670" s="92" t="n">
        <v>1201</v>
      </c>
      <c r="H4670" s="93" t="n">
        <v>162000</v>
      </c>
      <c r="I4670" s="92" t="inlineStr">
        <is>
          <t>9월 통신요금 - O텔레콤</t>
        </is>
      </c>
      <c r="J4670" s="92" t="inlineStr">
        <is>
          <t>V10002</t>
        </is>
      </c>
      <c r="K4670" s="92" t="inlineStr">
        <is>
          <t>O텔레콤</t>
        </is>
      </c>
      <c r="M4670" s="9">
        <f>IF($A4670="","",VALUE($A4670&amp;"")*12+VALUE($B4670&amp;""))</f>
        <v/>
      </c>
      <c r="N4670" s="64">
        <f>IF($A4670="","",IFERROR(INDEX(부서매핑!$C$5:$C$504,MATCH($G4670&amp;"",부서매핑!$A$5:$A$504,0)),"미매핑"))</f>
        <v/>
      </c>
      <c r="O4670" s="9">
        <f>IF($A4670="","",N4670&amp;"|"&amp;$F4670)</f>
        <v/>
      </c>
      <c r="P4670" s="94">
        <f>IF($A4670="",0,$H4670*설정!$C$23)</f>
        <v/>
      </c>
      <c r="Q4670" s="64">
        <f>IF($A4670="","",IF(O4670&lt;&gt;원인분석!$C$9,"",IF(AND(M4670&gt;=원인분석!$C$10,M4670&lt;=원인분석!$C$11),"당기",IF(AND(M4670&gt;=원인분석!$C$12,M4670&lt;=원인분석!$C$13),"비교",""))))</f>
        <v/>
      </c>
      <c r="R4670" s="9">
        <f>IF(Q4670="","",$K4670&amp;"")</f>
        <v/>
      </c>
      <c r="S4670" s="9">
        <f>IF(Q4670="","",IF(MATCH(R4670,$R$5:$R$100000,0)=ROW()-4,ROW(),""))</f>
        <v/>
      </c>
      <c r="T4670" s="9">
        <f>IF(Q4670="당기",ABS(P4670)+ROW()/1000000000,"")</f>
        <v/>
      </c>
      <c r="U4670" s="9">
        <f>IF(Q4670="비교",ABS(P4670)+ROW()/1000000000,"")</f>
        <v/>
      </c>
      <c r="V4670" s="64">
        <f>IF($A4670="","",IF(COUNTIF(변동분석!$E$7:$E$506,O4670)&gt;0,"Y","N"))</f>
        <v/>
      </c>
      <c r="W4670" s="64">
        <f>IF($A4670="","",IFERROR(INDEX(계정매핑!$D$5:$D$504,MATCH($F4670&amp;"",계정매핑!$A$5:$A$504,0)),"미매핑"))</f>
        <v/>
      </c>
      <c r="X4670" s="9">
        <f>IF($A4670="","",$F4670&amp;"")</f>
        <v/>
      </c>
      <c r="Y4670" s="94">
        <f>IF($A4670="",0,IF(AE4670="직접",IF(AF4670="비귀속",$P4670,0),$P4670*(1-AG4670)*IFERROR(INDEX(계정대체기준!$F$20:$F$49,MATCH($N4670,계정대체기준!$A$20:$A$49,0)),1)))</f>
        <v/>
      </c>
      <c r="Z4670" s="94">
        <f>IF($A4670="",0,IF(AE4670="직접",IF(AF4670="신계약비",$P4670,0),$P4670*(1-AG4670)*IFERROR(INDEX(계정대체기준!$C$20:$C$49,MATCH($N4670,계정대체기준!$A$20:$A$49,0)),0)))</f>
        <v/>
      </c>
      <c r="AA4670" s="94">
        <f>IF($A4670="",0,IF(AE4670="직접",IF(OR(AF4670="유지비",AF4670="손해조사비"),$P4670,0),$P4670*(1-AG4670)*IFERROR(INDEX(계정대체기준!$D$20:$D$49,MATCH($N4670,계정대체기준!$A$20:$A$49,0)),0)))</f>
        <v/>
      </c>
      <c r="AB4670" s="94">
        <f>IF($A4670="",0,IF(AE4670="직접",IF(AF4670="수금비",$P4670,0),$P4670*(1-AG4670)*IFERROR(INDEX(계정대체기준!$E$20:$E$49,MATCH($N4670,계정대체기준!$A$20:$A$49,0)),0)))</f>
        <v/>
      </c>
      <c r="AC4670" s="9">
        <f>IF(AND($A4670&lt;&gt;"",M4670=설정!$C$20,Z4670&gt;0),Z4670+ROW()/1000000000,"")</f>
        <v/>
      </c>
      <c r="AD4670" s="94">
        <f>IF($A4670="",0,$P4670*AG4670)</f>
        <v/>
      </c>
      <c r="AE4670" s="64">
        <f>IF($A4670="","",IFERROR(INDEX(계정매핑!$E$5:$E$504,MATCH($F4670&amp;"",계정매핑!$A$5:$A$504,0))&amp;"","공통비"))</f>
        <v/>
      </c>
      <c r="AF4670" s="64">
        <f>IF($A4670="","",IF(AE4670="직접",IFERROR(INDEX(계정매핑!$F$5:$F$504,MATCH($F4670&amp;"",계정매핑!$A$5:$A$504,0))&amp;"","비귀속"),""))</f>
        <v/>
      </c>
      <c r="AG4670" s="96">
        <f>IF($A4670="",0,IF(AND(AE4670&lt;&gt;"직접",IFERROR(INDEX(계정매핑!$G$5:$G$504,MATCH($F4670&amp;"",계정매핑!$A$5:$A$504,0))&amp;"","")="유지비",COUNTIF(계정대체기준!$A$6:$A$15,$N4670)&gt;0),IFERROR(INDEX(계정대체기준!$E$6:$E$15,MATCH(VALUE($A4670&amp;""),계정대체기준!$D$6:$D$15,0)),0),0))</f>
        <v/>
      </c>
      <c r="AH4670" s="64">
        <f>IF($A4670="","",IF(AD4670=0,"",IF(OR(COUNTIF(계정대체기준!$A$77:$A$86,$N4670)&gt;0,ISNUMBER(MATCH($X4670,계정대체기준!$D$77:$D$86,0)),ISNUMBER(MATCH($F4670,계정대체기준!$D$77:$D$86,0))),"Y","N")))</f>
        <v/>
      </c>
    </row>
    <row r="4671">
      <c r="A4671" s="92" t="n">
        <v>2026</v>
      </c>
      <c r="B4671" s="92" t="n">
        <v>9</v>
      </c>
      <c r="C4671" s="92" t="inlineStr">
        <is>
          <t>5100001949</t>
        </is>
      </c>
      <c r="D4671" s="95" t="n">
        <v>46278</v>
      </c>
      <c r="E4671" s="92" t="inlineStr">
        <is>
          <t>KR</t>
        </is>
      </c>
      <c r="F4671" s="92" t="n">
        <v>62201000</v>
      </c>
      <c r="G4671" s="92" t="n">
        <v>1301</v>
      </c>
      <c r="H4671" s="93" t="n">
        <v>182000</v>
      </c>
      <c r="I4671" s="92" t="inlineStr">
        <is>
          <t>9월 통신요금 - O텔레콤</t>
        </is>
      </c>
      <c r="J4671" s="92" t="inlineStr">
        <is>
          <t>V10002</t>
        </is>
      </c>
      <c r="K4671" s="92" t="inlineStr">
        <is>
          <t>O텔레콤</t>
        </is>
      </c>
      <c r="M4671" s="9">
        <f>IF($A4671="","",VALUE($A4671&amp;"")*12+VALUE($B4671&amp;""))</f>
        <v/>
      </c>
      <c r="N4671" s="64">
        <f>IF($A4671="","",IFERROR(INDEX(부서매핑!$C$5:$C$504,MATCH($G4671&amp;"",부서매핑!$A$5:$A$504,0)),"미매핑"))</f>
        <v/>
      </c>
      <c r="O4671" s="9">
        <f>IF($A4671="","",N4671&amp;"|"&amp;$F4671)</f>
        <v/>
      </c>
      <c r="P4671" s="94">
        <f>IF($A4671="",0,$H4671*설정!$C$23)</f>
        <v/>
      </c>
      <c r="Q4671" s="64">
        <f>IF($A4671="","",IF(O4671&lt;&gt;원인분석!$C$9,"",IF(AND(M4671&gt;=원인분석!$C$10,M4671&lt;=원인분석!$C$11),"당기",IF(AND(M4671&gt;=원인분석!$C$12,M4671&lt;=원인분석!$C$13),"비교",""))))</f>
        <v/>
      </c>
      <c r="R4671" s="9">
        <f>IF(Q4671="","",$K4671&amp;"")</f>
        <v/>
      </c>
      <c r="S4671" s="9">
        <f>IF(Q4671="","",IF(MATCH(R4671,$R$5:$R$100000,0)=ROW()-4,ROW(),""))</f>
        <v/>
      </c>
      <c r="T4671" s="9">
        <f>IF(Q4671="당기",ABS(P4671)+ROW()/1000000000,"")</f>
        <v/>
      </c>
      <c r="U4671" s="9">
        <f>IF(Q4671="비교",ABS(P4671)+ROW()/1000000000,"")</f>
        <v/>
      </c>
      <c r="V4671" s="64">
        <f>IF($A4671="","",IF(COUNTIF(변동분석!$E$7:$E$506,O4671)&gt;0,"Y","N"))</f>
        <v/>
      </c>
      <c r="W4671" s="64">
        <f>IF($A4671="","",IFERROR(INDEX(계정매핑!$D$5:$D$504,MATCH($F4671&amp;"",계정매핑!$A$5:$A$504,0)),"미매핑"))</f>
        <v/>
      </c>
      <c r="X4671" s="9">
        <f>IF($A4671="","",$F4671&amp;"")</f>
        <v/>
      </c>
      <c r="Y4671" s="94">
        <f>IF($A4671="",0,IF(AE4671="직접",IF(AF4671="비귀속",$P4671,0),$P4671*(1-AG4671)*IFERROR(INDEX(계정대체기준!$F$20:$F$49,MATCH($N4671,계정대체기준!$A$20:$A$49,0)),1)))</f>
        <v/>
      </c>
      <c r="Z4671" s="94">
        <f>IF($A4671="",0,IF(AE4671="직접",IF(AF4671="신계약비",$P4671,0),$P4671*(1-AG4671)*IFERROR(INDEX(계정대체기준!$C$20:$C$49,MATCH($N4671,계정대체기준!$A$20:$A$49,0)),0)))</f>
        <v/>
      </c>
      <c r="AA4671" s="94">
        <f>IF($A4671="",0,IF(AE4671="직접",IF(OR(AF4671="유지비",AF4671="손해조사비"),$P4671,0),$P4671*(1-AG4671)*IFERROR(INDEX(계정대체기준!$D$20:$D$49,MATCH($N4671,계정대체기준!$A$20:$A$49,0)),0)))</f>
        <v/>
      </c>
      <c r="AB4671" s="94">
        <f>IF($A4671="",0,IF(AE4671="직접",IF(AF4671="수금비",$P4671,0),$P4671*(1-AG4671)*IFERROR(INDEX(계정대체기준!$E$20:$E$49,MATCH($N4671,계정대체기준!$A$20:$A$49,0)),0)))</f>
        <v/>
      </c>
      <c r="AC4671" s="9">
        <f>IF(AND($A4671&lt;&gt;"",M4671=설정!$C$20,Z4671&gt;0),Z4671+ROW()/1000000000,"")</f>
        <v/>
      </c>
      <c r="AD4671" s="94">
        <f>IF($A4671="",0,$P4671*AG4671)</f>
        <v/>
      </c>
      <c r="AE4671" s="64">
        <f>IF($A4671="","",IFERROR(INDEX(계정매핑!$E$5:$E$504,MATCH($F4671&amp;"",계정매핑!$A$5:$A$504,0))&amp;"","공통비"))</f>
        <v/>
      </c>
      <c r="AF4671" s="64">
        <f>IF($A4671="","",IF(AE4671="직접",IFERROR(INDEX(계정매핑!$F$5:$F$504,MATCH($F4671&amp;"",계정매핑!$A$5:$A$504,0))&amp;"","비귀속"),""))</f>
        <v/>
      </c>
      <c r="AG4671" s="96">
        <f>IF($A4671="",0,IF(AND(AE4671&lt;&gt;"직접",IFERROR(INDEX(계정매핑!$G$5:$G$504,MATCH($F4671&amp;"",계정매핑!$A$5:$A$504,0))&amp;"","")="유지비",COUNTIF(계정대체기준!$A$6:$A$15,$N4671)&gt;0),IFERROR(INDEX(계정대체기준!$E$6:$E$15,MATCH(VALUE($A4671&amp;""),계정대체기준!$D$6:$D$15,0)),0),0))</f>
        <v/>
      </c>
      <c r="AH4671" s="64">
        <f>IF($A4671="","",IF(AD4671=0,"",IF(OR(COUNTIF(계정대체기준!$A$77:$A$86,$N4671)&gt;0,ISNUMBER(MATCH($X4671,계정대체기준!$D$77:$D$86,0)),ISNUMBER(MATCH($F4671,계정대체기준!$D$77:$D$86,0))),"Y","N")))</f>
        <v/>
      </c>
    </row>
    <row r="4672">
      <c r="A4672" s="92" t="n">
        <v>2026</v>
      </c>
      <c r="B4672" s="92" t="n">
        <v>9</v>
      </c>
      <c r="C4672" s="92" t="inlineStr">
        <is>
          <t>5100001950</t>
        </is>
      </c>
      <c r="D4672" s="95" t="n">
        <v>46278</v>
      </c>
      <c r="E4672" s="92" t="inlineStr">
        <is>
          <t>KR</t>
        </is>
      </c>
      <c r="F4672" s="92" t="n">
        <v>62301000</v>
      </c>
      <c r="G4672" s="92" t="n">
        <v>1201</v>
      </c>
      <c r="H4672" s="93" t="n">
        <v>133000</v>
      </c>
      <c r="I4672" s="92" t="inlineStr">
        <is>
          <t>9월 소모품 구입 - Q오피스</t>
        </is>
      </c>
      <c r="J4672" s="92" t="inlineStr">
        <is>
          <t>V10003</t>
        </is>
      </c>
      <c r="K4672" s="92" t="inlineStr">
        <is>
          <t>Q오피스</t>
        </is>
      </c>
      <c r="M4672" s="9">
        <f>IF($A4672="","",VALUE($A4672&amp;"")*12+VALUE($B4672&amp;""))</f>
        <v/>
      </c>
      <c r="N4672" s="64">
        <f>IF($A4672="","",IFERROR(INDEX(부서매핑!$C$5:$C$504,MATCH($G4672&amp;"",부서매핑!$A$5:$A$504,0)),"미매핑"))</f>
        <v/>
      </c>
      <c r="O4672" s="9">
        <f>IF($A4672="","",N4672&amp;"|"&amp;$F4672)</f>
        <v/>
      </c>
      <c r="P4672" s="94">
        <f>IF($A4672="",0,$H4672*설정!$C$23)</f>
        <v/>
      </c>
      <c r="Q4672" s="64">
        <f>IF($A4672="","",IF(O4672&lt;&gt;원인분석!$C$9,"",IF(AND(M4672&gt;=원인분석!$C$10,M4672&lt;=원인분석!$C$11),"당기",IF(AND(M4672&gt;=원인분석!$C$12,M4672&lt;=원인분석!$C$13),"비교",""))))</f>
        <v/>
      </c>
      <c r="R4672" s="9">
        <f>IF(Q4672="","",$K4672&amp;"")</f>
        <v/>
      </c>
      <c r="S4672" s="9">
        <f>IF(Q4672="","",IF(MATCH(R4672,$R$5:$R$100000,0)=ROW()-4,ROW(),""))</f>
        <v/>
      </c>
      <c r="T4672" s="9">
        <f>IF(Q4672="당기",ABS(P4672)+ROW()/1000000000,"")</f>
        <v/>
      </c>
      <c r="U4672" s="9">
        <f>IF(Q4672="비교",ABS(P4672)+ROW()/1000000000,"")</f>
        <v/>
      </c>
      <c r="V4672" s="64">
        <f>IF($A4672="","",IF(COUNTIF(변동분석!$E$7:$E$506,O4672)&gt;0,"Y","N"))</f>
        <v/>
      </c>
      <c r="W4672" s="64">
        <f>IF($A4672="","",IFERROR(INDEX(계정매핑!$D$5:$D$504,MATCH($F4672&amp;"",계정매핑!$A$5:$A$504,0)),"미매핑"))</f>
        <v/>
      </c>
      <c r="X4672" s="9">
        <f>IF($A4672="","",$F4672&amp;"")</f>
        <v/>
      </c>
      <c r="Y4672" s="94">
        <f>IF($A4672="",0,IF(AE4672="직접",IF(AF4672="비귀속",$P4672,0),$P4672*(1-AG4672)*IFERROR(INDEX(계정대체기준!$F$20:$F$49,MATCH($N4672,계정대체기준!$A$20:$A$49,0)),1)))</f>
        <v/>
      </c>
      <c r="Z4672" s="94">
        <f>IF($A4672="",0,IF(AE4672="직접",IF(AF4672="신계약비",$P4672,0),$P4672*(1-AG4672)*IFERROR(INDEX(계정대체기준!$C$20:$C$49,MATCH($N4672,계정대체기준!$A$20:$A$49,0)),0)))</f>
        <v/>
      </c>
      <c r="AA4672" s="94">
        <f>IF($A4672="",0,IF(AE4672="직접",IF(OR(AF4672="유지비",AF4672="손해조사비"),$P4672,0),$P4672*(1-AG4672)*IFERROR(INDEX(계정대체기준!$D$20:$D$49,MATCH($N4672,계정대체기준!$A$20:$A$49,0)),0)))</f>
        <v/>
      </c>
      <c r="AB4672" s="94">
        <f>IF($A4672="",0,IF(AE4672="직접",IF(AF4672="수금비",$P4672,0),$P4672*(1-AG4672)*IFERROR(INDEX(계정대체기준!$E$20:$E$49,MATCH($N4672,계정대체기준!$A$20:$A$49,0)),0)))</f>
        <v/>
      </c>
      <c r="AC4672" s="9">
        <f>IF(AND($A4672&lt;&gt;"",M4672=설정!$C$20,Z4672&gt;0),Z4672+ROW()/1000000000,"")</f>
        <v/>
      </c>
      <c r="AD4672" s="94">
        <f>IF($A4672="",0,$P4672*AG4672)</f>
        <v/>
      </c>
      <c r="AE4672" s="64">
        <f>IF($A4672="","",IFERROR(INDEX(계정매핑!$E$5:$E$504,MATCH($F4672&amp;"",계정매핑!$A$5:$A$504,0))&amp;"","공통비"))</f>
        <v/>
      </c>
      <c r="AF4672" s="64">
        <f>IF($A4672="","",IF(AE4672="직접",IFERROR(INDEX(계정매핑!$F$5:$F$504,MATCH($F4672&amp;"",계정매핑!$A$5:$A$504,0))&amp;"","비귀속"),""))</f>
        <v/>
      </c>
      <c r="AG4672" s="96">
        <f>IF($A4672="",0,IF(AND(AE4672&lt;&gt;"직접",IFERROR(INDEX(계정매핑!$G$5:$G$504,MATCH($F4672&amp;"",계정매핑!$A$5:$A$504,0))&amp;"","")="유지비",COUNTIF(계정대체기준!$A$6:$A$15,$N4672)&gt;0),IFERROR(INDEX(계정대체기준!$E$6:$E$15,MATCH(VALUE($A4672&amp;""),계정대체기준!$D$6:$D$15,0)),0),0))</f>
        <v/>
      </c>
      <c r="AH4672" s="64">
        <f>IF($A4672="","",IF(AD4672=0,"",IF(OR(COUNTIF(계정대체기준!$A$77:$A$86,$N4672)&gt;0,ISNUMBER(MATCH($X4672,계정대체기준!$D$77:$D$86,0)),ISNUMBER(MATCH($F4672,계정대체기준!$D$77:$D$86,0))),"Y","N")))</f>
        <v/>
      </c>
    </row>
    <row r="4673">
      <c r="A4673" s="92" t="n">
        <v>2026</v>
      </c>
      <c r="B4673" s="92" t="n">
        <v>9</v>
      </c>
      <c r="C4673" s="92" t="inlineStr">
        <is>
          <t>5100001951</t>
        </is>
      </c>
      <c r="D4673" s="95" t="n">
        <v>46278</v>
      </c>
      <c r="E4673" s="92" t="inlineStr">
        <is>
          <t>KR</t>
        </is>
      </c>
      <c r="F4673" s="92" t="n">
        <v>62401000</v>
      </c>
      <c r="G4673" s="92" t="n">
        <v>1502</v>
      </c>
      <c r="H4673" s="93" t="n">
        <v>2259000</v>
      </c>
      <c r="I4673" s="92" t="inlineStr">
        <is>
          <t>9월 인쇄물 제작 - G인쇄</t>
        </is>
      </c>
      <c r="J4673" s="92" t="inlineStr">
        <is>
          <t>V10004</t>
        </is>
      </c>
      <c r="K4673" s="92" t="inlineStr">
        <is>
          <t>G인쇄</t>
        </is>
      </c>
      <c r="M4673" s="9">
        <f>IF($A4673="","",VALUE($A4673&amp;"")*12+VALUE($B4673&amp;""))</f>
        <v/>
      </c>
      <c r="N4673" s="64">
        <f>IF($A4673="","",IFERROR(INDEX(부서매핑!$C$5:$C$504,MATCH($G4673&amp;"",부서매핑!$A$5:$A$504,0)),"미매핑"))</f>
        <v/>
      </c>
      <c r="O4673" s="9">
        <f>IF($A4673="","",N4673&amp;"|"&amp;$F4673)</f>
        <v/>
      </c>
      <c r="P4673" s="94">
        <f>IF($A4673="",0,$H4673*설정!$C$23)</f>
        <v/>
      </c>
      <c r="Q4673" s="64">
        <f>IF($A4673="","",IF(O4673&lt;&gt;원인분석!$C$9,"",IF(AND(M4673&gt;=원인분석!$C$10,M4673&lt;=원인분석!$C$11),"당기",IF(AND(M4673&gt;=원인분석!$C$12,M4673&lt;=원인분석!$C$13),"비교",""))))</f>
        <v/>
      </c>
      <c r="R4673" s="9">
        <f>IF(Q4673="","",$K4673&amp;"")</f>
        <v/>
      </c>
      <c r="S4673" s="9">
        <f>IF(Q4673="","",IF(MATCH(R4673,$R$5:$R$100000,0)=ROW()-4,ROW(),""))</f>
        <v/>
      </c>
      <c r="T4673" s="9">
        <f>IF(Q4673="당기",ABS(P4673)+ROW()/1000000000,"")</f>
        <v/>
      </c>
      <c r="U4673" s="9">
        <f>IF(Q4673="비교",ABS(P4673)+ROW()/1000000000,"")</f>
        <v/>
      </c>
      <c r="V4673" s="64">
        <f>IF($A4673="","",IF(COUNTIF(변동분석!$E$7:$E$506,O4673)&gt;0,"Y","N"))</f>
        <v/>
      </c>
      <c r="W4673" s="64">
        <f>IF($A4673="","",IFERROR(INDEX(계정매핑!$D$5:$D$504,MATCH($F4673&amp;"",계정매핑!$A$5:$A$504,0)),"미매핑"))</f>
        <v/>
      </c>
      <c r="X4673" s="9">
        <f>IF($A4673="","",$F4673&amp;"")</f>
        <v/>
      </c>
      <c r="Y4673" s="94">
        <f>IF($A4673="",0,IF(AE4673="직접",IF(AF4673="비귀속",$P4673,0),$P4673*(1-AG4673)*IFERROR(INDEX(계정대체기준!$F$20:$F$49,MATCH($N4673,계정대체기준!$A$20:$A$49,0)),1)))</f>
        <v/>
      </c>
      <c r="Z4673" s="94">
        <f>IF($A4673="",0,IF(AE4673="직접",IF(AF4673="신계약비",$P4673,0),$P4673*(1-AG4673)*IFERROR(INDEX(계정대체기준!$C$20:$C$49,MATCH($N4673,계정대체기준!$A$20:$A$49,0)),0)))</f>
        <v/>
      </c>
      <c r="AA4673" s="94">
        <f>IF($A4673="",0,IF(AE4673="직접",IF(OR(AF4673="유지비",AF4673="손해조사비"),$P4673,0),$P4673*(1-AG4673)*IFERROR(INDEX(계정대체기준!$D$20:$D$49,MATCH($N4673,계정대체기준!$A$20:$A$49,0)),0)))</f>
        <v/>
      </c>
      <c r="AB4673" s="94">
        <f>IF($A4673="",0,IF(AE4673="직접",IF(AF4673="수금비",$P4673,0),$P4673*(1-AG4673)*IFERROR(INDEX(계정대체기준!$E$20:$E$49,MATCH($N4673,계정대체기준!$A$20:$A$49,0)),0)))</f>
        <v/>
      </c>
      <c r="AC4673" s="9">
        <f>IF(AND($A4673&lt;&gt;"",M4673=설정!$C$20,Z4673&gt;0),Z4673+ROW()/1000000000,"")</f>
        <v/>
      </c>
      <c r="AD4673" s="94">
        <f>IF($A4673="",0,$P4673*AG4673)</f>
        <v/>
      </c>
      <c r="AE4673" s="64">
        <f>IF($A4673="","",IFERROR(INDEX(계정매핑!$E$5:$E$504,MATCH($F4673&amp;"",계정매핑!$A$5:$A$504,0))&amp;"","공통비"))</f>
        <v/>
      </c>
      <c r="AF4673" s="64">
        <f>IF($A4673="","",IF(AE4673="직접",IFERROR(INDEX(계정매핑!$F$5:$F$504,MATCH($F4673&amp;"",계정매핑!$A$5:$A$504,0))&amp;"","비귀속"),""))</f>
        <v/>
      </c>
      <c r="AG4673" s="96">
        <f>IF($A4673="",0,IF(AND(AE4673&lt;&gt;"직접",IFERROR(INDEX(계정매핑!$G$5:$G$504,MATCH($F4673&amp;"",계정매핑!$A$5:$A$504,0))&amp;"","")="유지비",COUNTIF(계정대체기준!$A$6:$A$15,$N4673)&gt;0),IFERROR(INDEX(계정대체기준!$E$6:$E$15,MATCH(VALUE($A4673&amp;""),계정대체기준!$D$6:$D$15,0)),0),0))</f>
        <v/>
      </c>
      <c r="AH4673" s="64">
        <f>IF($A4673="","",IF(AD4673=0,"",IF(OR(COUNTIF(계정대체기준!$A$77:$A$86,$N4673)&gt;0,ISNUMBER(MATCH($X4673,계정대체기준!$D$77:$D$86,0)),ISNUMBER(MATCH($F4673,계정대체기준!$D$77:$D$86,0))),"Y","N")))</f>
        <v/>
      </c>
    </row>
    <row r="4674">
      <c r="A4674" s="92" t="n">
        <v>2026</v>
      </c>
      <c r="B4674" s="92" t="n">
        <v>9</v>
      </c>
      <c r="C4674" s="92" t="inlineStr">
        <is>
          <t>5100001952</t>
        </is>
      </c>
      <c r="D4674" s="95" t="n">
        <v>46278</v>
      </c>
      <c r="E4674" s="92" t="inlineStr">
        <is>
          <t>KR</t>
        </is>
      </c>
      <c r="F4674" s="92" t="n">
        <v>62501000</v>
      </c>
      <c r="G4674" s="92" t="n">
        <v>1601</v>
      </c>
      <c r="H4674" s="93" t="n">
        <v>241000</v>
      </c>
      <c r="I4674" s="92" t="inlineStr">
        <is>
          <t>9월 회의 다과 - T케이터링</t>
        </is>
      </c>
      <c r="J4674" s="92" t="inlineStr">
        <is>
          <t>V10005</t>
        </is>
      </c>
      <c r="K4674" s="92" t="inlineStr">
        <is>
          <t>T케이터링</t>
        </is>
      </c>
      <c r="M4674" s="9">
        <f>IF($A4674="","",VALUE($A4674&amp;"")*12+VALUE($B4674&amp;""))</f>
        <v/>
      </c>
      <c r="N4674" s="64">
        <f>IF($A4674="","",IFERROR(INDEX(부서매핑!$C$5:$C$504,MATCH($G4674&amp;"",부서매핑!$A$5:$A$504,0)),"미매핑"))</f>
        <v/>
      </c>
      <c r="O4674" s="9">
        <f>IF($A4674="","",N4674&amp;"|"&amp;$F4674)</f>
        <v/>
      </c>
      <c r="P4674" s="94">
        <f>IF($A4674="",0,$H4674*설정!$C$23)</f>
        <v/>
      </c>
      <c r="Q4674" s="64">
        <f>IF($A4674="","",IF(O4674&lt;&gt;원인분석!$C$9,"",IF(AND(M4674&gt;=원인분석!$C$10,M4674&lt;=원인분석!$C$11),"당기",IF(AND(M4674&gt;=원인분석!$C$12,M4674&lt;=원인분석!$C$13),"비교",""))))</f>
        <v/>
      </c>
      <c r="R4674" s="9">
        <f>IF(Q4674="","",$K4674&amp;"")</f>
        <v/>
      </c>
      <c r="S4674" s="9">
        <f>IF(Q4674="","",IF(MATCH(R4674,$R$5:$R$100000,0)=ROW()-4,ROW(),""))</f>
        <v/>
      </c>
      <c r="T4674" s="9">
        <f>IF(Q4674="당기",ABS(P4674)+ROW()/1000000000,"")</f>
        <v/>
      </c>
      <c r="U4674" s="9">
        <f>IF(Q4674="비교",ABS(P4674)+ROW()/1000000000,"")</f>
        <v/>
      </c>
      <c r="V4674" s="64">
        <f>IF($A4674="","",IF(COUNTIF(변동분석!$E$7:$E$506,O4674)&gt;0,"Y","N"))</f>
        <v/>
      </c>
      <c r="W4674" s="64">
        <f>IF($A4674="","",IFERROR(INDEX(계정매핑!$D$5:$D$504,MATCH($F4674&amp;"",계정매핑!$A$5:$A$504,0)),"미매핑"))</f>
        <v/>
      </c>
      <c r="X4674" s="9">
        <f>IF($A4674="","",$F4674&amp;"")</f>
        <v/>
      </c>
      <c r="Y4674" s="94">
        <f>IF($A4674="",0,IF(AE4674="직접",IF(AF4674="비귀속",$P4674,0),$P4674*(1-AG4674)*IFERROR(INDEX(계정대체기준!$F$20:$F$49,MATCH($N4674,계정대체기준!$A$20:$A$49,0)),1)))</f>
        <v/>
      </c>
      <c r="Z4674" s="94">
        <f>IF($A4674="",0,IF(AE4674="직접",IF(AF4674="신계약비",$P4674,0),$P4674*(1-AG4674)*IFERROR(INDEX(계정대체기준!$C$20:$C$49,MATCH($N4674,계정대체기준!$A$20:$A$49,0)),0)))</f>
        <v/>
      </c>
      <c r="AA4674" s="94">
        <f>IF($A4674="",0,IF(AE4674="직접",IF(OR(AF4674="유지비",AF4674="손해조사비"),$P4674,0),$P4674*(1-AG4674)*IFERROR(INDEX(계정대체기준!$D$20:$D$49,MATCH($N4674,계정대체기준!$A$20:$A$49,0)),0)))</f>
        <v/>
      </c>
      <c r="AB4674" s="94">
        <f>IF($A4674="",0,IF(AE4674="직접",IF(AF4674="수금비",$P4674,0),$P4674*(1-AG4674)*IFERROR(INDEX(계정대체기준!$E$20:$E$49,MATCH($N4674,계정대체기준!$A$20:$A$49,0)),0)))</f>
        <v/>
      </c>
      <c r="AC4674" s="9">
        <f>IF(AND($A4674&lt;&gt;"",M4674=설정!$C$20,Z4674&gt;0),Z4674+ROW()/1000000000,"")</f>
        <v/>
      </c>
      <c r="AD4674" s="94">
        <f>IF($A4674="",0,$P4674*AG4674)</f>
        <v/>
      </c>
      <c r="AE4674" s="64">
        <f>IF($A4674="","",IFERROR(INDEX(계정매핑!$E$5:$E$504,MATCH($F4674&amp;"",계정매핑!$A$5:$A$504,0))&amp;"","공통비"))</f>
        <v/>
      </c>
      <c r="AF4674" s="64">
        <f>IF($A4674="","",IF(AE4674="직접",IFERROR(INDEX(계정매핑!$F$5:$F$504,MATCH($F4674&amp;"",계정매핑!$A$5:$A$504,0))&amp;"","비귀속"),""))</f>
        <v/>
      </c>
      <c r="AG4674" s="96">
        <f>IF($A4674="",0,IF(AND(AE4674&lt;&gt;"직접",IFERROR(INDEX(계정매핑!$G$5:$G$504,MATCH($F4674&amp;"",계정매핑!$A$5:$A$504,0))&amp;"","")="유지비",COUNTIF(계정대체기준!$A$6:$A$15,$N4674)&gt;0),IFERROR(INDEX(계정대체기준!$E$6:$E$15,MATCH(VALUE($A4674&amp;""),계정대체기준!$D$6:$D$15,0)),0),0))</f>
        <v/>
      </c>
      <c r="AH4674" s="64">
        <f>IF($A4674="","",IF(AD4674=0,"",IF(OR(COUNTIF(계정대체기준!$A$77:$A$86,$N4674)&gt;0,ISNUMBER(MATCH($X4674,계정대체기준!$D$77:$D$86,0)),ISNUMBER(MATCH($F4674,계정대체기준!$D$77:$D$86,0))),"Y","N")))</f>
        <v/>
      </c>
    </row>
    <row r="4675">
      <c r="A4675" s="92" t="n">
        <v>2026</v>
      </c>
      <c r="B4675" s="92" t="n">
        <v>9</v>
      </c>
      <c r="C4675" s="92" t="inlineStr">
        <is>
          <t>5100001953</t>
        </is>
      </c>
      <c r="D4675" s="95" t="n">
        <v>46278</v>
      </c>
      <c r="E4675" s="92" t="inlineStr">
        <is>
          <t>KR</t>
        </is>
      </c>
      <c r="F4675" s="92" t="n">
        <v>62902000</v>
      </c>
      <c r="G4675" s="92" t="n">
        <v>1801</v>
      </c>
      <c r="H4675" s="93" t="n">
        <v>1851000</v>
      </c>
      <c r="I4675" s="92" t="inlineStr">
        <is>
          <t>9월 콜 위탁 수수료(건별)</t>
        </is>
      </c>
      <c r="J4675" s="92" t="inlineStr">
        <is>
          <t>V10016</t>
        </is>
      </c>
      <c r="K4675" s="92" t="inlineStr">
        <is>
          <t>J콜센터</t>
        </is>
      </c>
      <c r="M4675" s="9">
        <f>IF($A4675="","",VALUE($A4675&amp;"")*12+VALUE($B4675&amp;""))</f>
        <v/>
      </c>
      <c r="N4675" s="64">
        <f>IF($A4675="","",IFERROR(INDEX(부서매핑!$C$5:$C$504,MATCH($G4675&amp;"",부서매핑!$A$5:$A$504,0)),"미매핑"))</f>
        <v/>
      </c>
      <c r="O4675" s="9">
        <f>IF($A4675="","",N4675&amp;"|"&amp;$F4675)</f>
        <v/>
      </c>
      <c r="P4675" s="94">
        <f>IF($A4675="",0,$H4675*설정!$C$23)</f>
        <v/>
      </c>
      <c r="Q4675" s="64">
        <f>IF($A4675="","",IF(O4675&lt;&gt;원인분석!$C$9,"",IF(AND(M4675&gt;=원인분석!$C$10,M4675&lt;=원인분석!$C$11),"당기",IF(AND(M4675&gt;=원인분석!$C$12,M4675&lt;=원인분석!$C$13),"비교",""))))</f>
        <v/>
      </c>
      <c r="R4675" s="9">
        <f>IF(Q4675="","",$K4675&amp;"")</f>
        <v/>
      </c>
      <c r="S4675" s="9">
        <f>IF(Q4675="","",IF(MATCH(R4675,$R$5:$R$100000,0)=ROW()-4,ROW(),""))</f>
        <v/>
      </c>
      <c r="T4675" s="9">
        <f>IF(Q4675="당기",ABS(P4675)+ROW()/1000000000,"")</f>
        <v/>
      </c>
      <c r="U4675" s="9">
        <f>IF(Q4675="비교",ABS(P4675)+ROW()/1000000000,"")</f>
        <v/>
      </c>
      <c r="V4675" s="64">
        <f>IF($A4675="","",IF(COUNTIF(변동분석!$E$7:$E$506,O4675)&gt;0,"Y","N"))</f>
        <v/>
      </c>
      <c r="W4675" s="64">
        <f>IF($A4675="","",IFERROR(INDEX(계정매핑!$D$5:$D$504,MATCH($F4675&amp;"",계정매핑!$A$5:$A$504,0)),"미매핑"))</f>
        <v/>
      </c>
      <c r="X4675" s="9">
        <f>IF($A4675="","",$F4675&amp;"")</f>
        <v/>
      </c>
      <c r="Y4675" s="94">
        <f>IF($A4675="",0,IF(AE4675="직접",IF(AF4675="비귀속",$P4675,0),$P4675*(1-AG4675)*IFERROR(INDEX(계정대체기준!$F$20:$F$49,MATCH($N4675,계정대체기준!$A$20:$A$49,0)),1)))</f>
        <v/>
      </c>
      <c r="Z4675" s="94">
        <f>IF($A4675="",0,IF(AE4675="직접",IF(AF4675="신계약비",$P4675,0),$P4675*(1-AG4675)*IFERROR(INDEX(계정대체기준!$C$20:$C$49,MATCH($N4675,계정대체기준!$A$20:$A$49,0)),0)))</f>
        <v/>
      </c>
      <c r="AA4675" s="94">
        <f>IF($A4675="",0,IF(AE4675="직접",IF(OR(AF4675="유지비",AF4675="손해조사비"),$P4675,0),$P4675*(1-AG4675)*IFERROR(INDEX(계정대체기준!$D$20:$D$49,MATCH($N4675,계정대체기준!$A$20:$A$49,0)),0)))</f>
        <v/>
      </c>
      <c r="AB4675" s="94">
        <f>IF($A4675="",0,IF(AE4675="직접",IF(AF4675="수금비",$P4675,0),$P4675*(1-AG4675)*IFERROR(INDEX(계정대체기준!$E$20:$E$49,MATCH($N4675,계정대체기준!$A$20:$A$49,0)),0)))</f>
        <v/>
      </c>
      <c r="AC4675" s="9">
        <f>IF(AND($A4675&lt;&gt;"",M4675=설정!$C$20,Z4675&gt;0),Z4675+ROW()/1000000000,"")</f>
        <v/>
      </c>
      <c r="AD4675" s="94">
        <f>IF($A4675="",0,$P4675*AG4675)</f>
        <v/>
      </c>
      <c r="AE4675" s="64">
        <f>IF($A4675="","",IFERROR(INDEX(계정매핑!$E$5:$E$504,MATCH($F4675&amp;"",계정매핑!$A$5:$A$504,0))&amp;"","공통비"))</f>
        <v/>
      </c>
      <c r="AF4675" s="64">
        <f>IF($A4675="","",IF(AE4675="직접",IFERROR(INDEX(계정매핑!$F$5:$F$504,MATCH($F4675&amp;"",계정매핑!$A$5:$A$504,0))&amp;"","비귀속"),""))</f>
        <v/>
      </c>
      <c r="AG4675" s="96">
        <f>IF($A4675="",0,IF(AND(AE4675&lt;&gt;"직접",IFERROR(INDEX(계정매핑!$G$5:$G$504,MATCH($F4675&amp;"",계정매핑!$A$5:$A$504,0))&amp;"","")="유지비",COUNTIF(계정대체기준!$A$6:$A$15,$N4675)&gt;0),IFERROR(INDEX(계정대체기준!$E$6:$E$15,MATCH(VALUE($A4675&amp;""),계정대체기준!$D$6:$D$15,0)),0),0))</f>
        <v/>
      </c>
      <c r="AH4675" s="64">
        <f>IF($A4675="","",IF(AD4675=0,"",IF(OR(COUNTIF(계정대체기준!$A$77:$A$86,$N4675)&gt;0,ISNUMBER(MATCH($X4675,계정대체기준!$D$77:$D$86,0)),ISNUMBER(MATCH($F4675,계정대체기준!$D$77:$D$86,0))),"Y","N")))</f>
        <v/>
      </c>
    </row>
    <row r="4676">
      <c r="A4676" s="92" t="n">
        <v>2026</v>
      </c>
      <c r="B4676" s="92" t="n">
        <v>9</v>
      </c>
      <c r="C4676" s="92" t="inlineStr">
        <is>
          <t>5100001954</t>
        </is>
      </c>
      <c r="D4676" s="95" t="n">
        <v>46279</v>
      </c>
      <c r="E4676" s="92" t="inlineStr">
        <is>
          <t>KR</t>
        </is>
      </c>
      <c r="F4676" s="92" t="n">
        <v>62201000</v>
      </c>
      <c r="G4676" s="92" t="n">
        <v>1201</v>
      </c>
      <c r="H4676" s="93" t="n">
        <v>188000</v>
      </c>
      <c r="I4676" s="92" t="inlineStr">
        <is>
          <t>9월 통신요금 - O텔레콤</t>
        </is>
      </c>
      <c r="J4676" s="92" t="inlineStr">
        <is>
          <t>V10002</t>
        </is>
      </c>
      <c r="K4676" s="92" t="inlineStr">
        <is>
          <t>O텔레콤</t>
        </is>
      </c>
      <c r="M4676" s="9">
        <f>IF($A4676="","",VALUE($A4676&amp;"")*12+VALUE($B4676&amp;""))</f>
        <v/>
      </c>
      <c r="N4676" s="64">
        <f>IF($A4676="","",IFERROR(INDEX(부서매핑!$C$5:$C$504,MATCH($G4676&amp;"",부서매핑!$A$5:$A$504,0)),"미매핑"))</f>
        <v/>
      </c>
      <c r="O4676" s="9">
        <f>IF($A4676="","",N4676&amp;"|"&amp;$F4676)</f>
        <v/>
      </c>
      <c r="P4676" s="94">
        <f>IF($A4676="",0,$H4676*설정!$C$23)</f>
        <v/>
      </c>
      <c r="Q4676" s="64">
        <f>IF($A4676="","",IF(O4676&lt;&gt;원인분석!$C$9,"",IF(AND(M4676&gt;=원인분석!$C$10,M4676&lt;=원인분석!$C$11),"당기",IF(AND(M4676&gt;=원인분석!$C$12,M4676&lt;=원인분석!$C$13),"비교",""))))</f>
        <v/>
      </c>
      <c r="R4676" s="9">
        <f>IF(Q4676="","",$K4676&amp;"")</f>
        <v/>
      </c>
      <c r="S4676" s="9">
        <f>IF(Q4676="","",IF(MATCH(R4676,$R$5:$R$100000,0)=ROW()-4,ROW(),""))</f>
        <v/>
      </c>
      <c r="T4676" s="9">
        <f>IF(Q4676="당기",ABS(P4676)+ROW()/1000000000,"")</f>
        <v/>
      </c>
      <c r="U4676" s="9">
        <f>IF(Q4676="비교",ABS(P4676)+ROW()/1000000000,"")</f>
        <v/>
      </c>
      <c r="V4676" s="64">
        <f>IF($A4676="","",IF(COUNTIF(변동분석!$E$7:$E$506,O4676)&gt;0,"Y","N"))</f>
        <v/>
      </c>
      <c r="W4676" s="64">
        <f>IF($A4676="","",IFERROR(INDEX(계정매핑!$D$5:$D$504,MATCH($F4676&amp;"",계정매핑!$A$5:$A$504,0)),"미매핑"))</f>
        <v/>
      </c>
      <c r="X4676" s="9">
        <f>IF($A4676="","",$F4676&amp;"")</f>
        <v/>
      </c>
      <c r="Y4676" s="94">
        <f>IF($A4676="",0,IF(AE4676="직접",IF(AF4676="비귀속",$P4676,0),$P4676*(1-AG4676)*IFERROR(INDEX(계정대체기준!$F$20:$F$49,MATCH($N4676,계정대체기준!$A$20:$A$49,0)),1)))</f>
        <v/>
      </c>
      <c r="Z4676" s="94">
        <f>IF($A4676="",0,IF(AE4676="직접",IF(AF4676="신계약비",$P4676,0),$P4676*(1-AG4676)*IFERROR(INDEX(계정대체기준!$C$20:$C$49,MATCH($N4676,계정대체기준!$A$20:$A$49,0)),0)))</f>
        <v/>
      </c>
      <c r="AA4676" s="94">
        <f>IF($A4676="",0,IF(AE4676="직접",IF(OR(AF4676="유지비",AF4676="손해조사비"),$P4676,0),$P4676*(1-AG4676)*IFERROR(INDEX(계정대체기준!$D$20:$D$49,MATCH($N4676,계정대체기준!$A$20:$A$49,0)),0)))</f>
        <v/>
      </c>
      <c r="AB4676" s="94">
        <f>IF($A4676="",0,IF(AE4676="직접",IF(AF4676="수금비",$P4676,0),$P4676*(1-AG4676)*IFERROR(INDEX(계정대체기준!$E$20:$E$49,MATCH($N4676,계정대체기준!$A$20:$A$49,0)),0)))</f>
        <v/>
      </c>
      <c r="AC4676" s="9">
        <f>IF(AND($A4676&lt;&gt;"",M4676=설정!$C$20,Z4676&gt;0),Z4676+ROW()/1000000000,"")</f>
        <v/>
      </c>
      <c r="AD4676" s="94">
        <f>IF($A4676="",0,$P4676*AG4676)</f>
        <v/>
      </c>
      <c r="AE4676" s="64">
        <f>IF($A4676="","",IFERROR(INDEX(계정매핑!$E$5:$E$504,MATCH($F4676&amp;"",계정매핑!$A$5:$A$504,0))&amp;"","공통비"))</f>
        <v/>
      </c>
      <c r="AF4676" s="64">
        <f>IF($A4676="","",IF(AE4676="직접",IFERROR(INDEX(계정매핑!$F$5:$F$504,MATCH($F4676&amp;"",계정매핑!$A$5:$A$504,0))&amp;"","비귀속"),""))</f>
        <v/>
      </c>
      <c r="AG4676" s="96">
        <f>IF($A4676="",0,IF(AND(AE4676&lt;&gt;"직접",IFERROR(INDEX(계정매핑!$G$5:$G$504,MATCH($F4676&amp;"",계정매핑!$A$5:$A$504,0))&amp;"","")="유지비",COUNTIF(계정대체기준!$A$6:$A$15,$N4676)&gt;0),IFERROR(INDEX(계정대체기준!$E$6:$E$15,MATCH(VALUE($A4676&amp;""),계정대체기준!$D$6:$D$15,0)),0),0))</f>
        <v/>
      </c>
      <c r="AH4676" s="64">
        <f>IF($A4676="","",IF(AD4676=0,"",IF(OR(COUNTIF(계정대체기준!$A$77:$A$86,$N4676)&gt;0,ISNUMBER(MATCH($X4676,계정대체기준!$D$77:$D$86,0)),ISNUMBER(MATCH($F4676,계정대체기준!$D$77:$D$86,0))),"Y","N")))</f>
        <v/>
      </c>
    </row>
    <row r="4677">
      <c r="A4677" s="92" t="n">
        <v>2026</v>
      </c>
      <c r="B4677" s="92" t="n">
        <v>9</v>
      </c>
      <c r="C4677" s="92" t="inlineStr">
        <is>
          <t>5100001955</t>
        </is>
      </c>
      <c r="D4677" s="95" t="n">
        <v>46279</v>
      </c>
      <c r="E4677" s="92" t="inlineStr">
        <is>
          <t>KR</t>
        </is>
      </c>
      <c r="F4677" s="92" t="n">
        <v>62301000</v>
      </c>
      <c r="G4677" s="92" t="n">
        <v>1201</v>
      </c>
      <c r="H4677" s="93" t="n">
        <v>130000</v>
      </c>
      <c r="I4677" s="92" t="inlineStr">
        <is>
          <t>9월 소모품 구입 - R문구</t>
        </is>
      </c>
      <c r="J4677" s="92" t="inlineStr">
        <is>
          <t>V10022</t>
        </is>
      </c>
      <c r="K4677" s="92" t="inlineStr">
        <is>
          <t>R문구</t>
        </is>
      </c>
      <c r="M4677" s="9">
        <f>IF($A4677="","",VALUE($A4677&amp;"")*12+VALUE($B4677&amp;""))</f>
        <v/>
      </c>
      <c r="N4677" s="64">
        <f>IF($A4677="","",IFERROR(INDEX(부서매핑!$C$5:$C$504,MATCH($G4677&amp;"",부서매핑!$A$5:$A$504,0)),"미매핑"))</f>
        <v/>
      </c>
      <c r="O4677" s="9">
        <f>IF($A4677="","",N4677&amp;"|"&amp;$F4677)</f>
        <v/>
      </c>
      <c r="P4677" s="94">
        <f>IF($A4677="",0,$H4677*설정!$C$23)</f>
        <v/>
      </c>
      <c r="Q4677" s="64">
        <f>IF($A4677="","",IF(O4677&lt;&gt;원인분석!$C$9,"",IF(AND(M4677&gt;=원인분석!$C$10,M4677&lt;=원인분석!$C$11),"당기",IF(AND(M4677&gt;=원인분석!$C$12,M4677&lt;=원인분석!$C$13),"비교",""))))</f>
        <v/>
      </c>
      <c r="R4677" s="9">
        <f>IF(Q4677="","",$K4677&amp;"")</f>
        <v/>
      </c>
      <c r="S4677" s="9">
        <f>IF(Q4677="","",IF(MATCH(R4677,$R$5:$R$100000,0)=ROW()-4,ROW(),""))</f>
        <v/>
      </c>
      <c r="T4677" s="9">
        <f>IF(Q4677="당기",ABS(P4677)+ROW()/1000000000,"")</f>
        <v/>
      </c>
      <c r="U4677" s="9">
        <f>IF(Q4677="비교",ABS(P4677)+ROW()/1000000000,"")</f>
        <v/>
      </c>
      <c r="V4677" s="64">
        <f>IF($A4677="","",IF(COUNTIF(변동분석!$E$7:$E$506,O4677)&gt;0,"Y","N"))</f>
        <v/>
      </c>
      <c r="W4677" s="64">
        <f>IF($A4677="","",IFERROR(INDEX(계정매핑!$D$5:$D$504,MATCH($F4677&amp;"",계정매핑!$A$5:$A$504,0)),"미매핑"))</f>
        <v/>
      </c>
      <c r="X4677" s="9">
        <f>IF($A4677="","",$F4677&amp;"")</f>
        <v/>
      </c>
      <c r="Y4677" s="94">
        <f>IF($A4677="",0,IF(AE4677="직접",IF(AF4677="비귀속",$P4677,0),$P4677*(1-AG4677)*IFERROR(INDEX(계정대체기준!$F$20:$F$49,MATCH($N4677,계정대체기준!$A$20:$A$49,0)),1)))</f>
        <v/>
      </c>
      <c r="Z4677" s="94">
        <f>IF($A4677="",0,IF(AE4677="직접",IF(AF4677="신계약비",$P4677,0),$P4677*(1-AG4677)*IFERROR(INDEX(계정대체기준!$C$20:$C$49,MATCH($N4677,계정대체기준!$A$20:$A$49,0)),0)))</f>
        <v/>
      </c>
      <c r="AA4677" s="94">
        <f>IF($A4677="",0,IF(AE4677="직접",IF(OR(AF4677="유지비",AF4677="손해조사비"),$P4677,0),$P4677*(1-AG4677)*IFERROR(INDEX(계정대체기준!$D$20:$D$49,MATCH($N4677,계정대체기준!$A$20:$A$49,0)),0)))</f>
        <v/>
      </c>
      <c r="AB4677" s="94">
        <f>IF($A4677="",0,IF(AE4677="직접",IF(AF4677="수금비",$P4677,0),$P4677*(1-AG4677)*IFERROR(INDEX(계정대체기준!$E$20:$E$49,MATCH($N4677,계정대체기준!$A$20:$A$49,0)),0)))</f>
        <v/>
      </c>
      <c r="AC4677" s="9">
        <f>IF(AND($A4677&lt;&gt;"",M4677=설정!$C$20,Z4677&gt;0),Z4677+ROW()/1000000000,"")</f>
        <v/>
      </c>
      <c r="AD4677" s="94">
        <f>IF($A4677="",0,$P4677*AG4677)</f>
        <v/>
      </c>
      <c r="AE4677" s="64">
        <f>IF($A4677="","",IFERROR(INDEX(계정매핑!$E$5:$E$504,MATCH($F4677&amp;"",계정매핑!$A$5:$A$504,0))&amp;"","공통비"))</f>
        <v/>
      </c>
      <c r="AF4677" s="64">
        <f>IF($A4677="","",IF(AE4677="직접",IFERROR(INDEX(계정매핑!$F$5:$F$504,MATCH($F4677&amp;"",계정매핑!$A$5:$A$504,0))&amp;"","비귀속"),""))</f>
        <v/>
      </c>
      <c r="AG4677" s="96">
        <f>IF($A4677="",0,IF(AND(AE4677&lt;&gt;"직접",IFERROR(INDEX(계정매핑!$G$5:$G$504,MATCH($F4677&amp;"",계정매핑!$A$5:$A$504,0))&amp;"","")="유지비",COUNTIF(계정대체기준!$A$6:$A$15,$N4677)&gt;0),IFERROR(INDEX(계정대체기준!$E$6:$E$15,MATCH(VALUE($A4677&amp;""),계정대체기준!$D$6:$D$15,0)),0),0))</f>
        <v/>
      </c>
      <c r="AH4677" s="64">
        <f>IF($A4677="","",IF(AD4677=0,"",IF(OR(COUNTIF(계정대체기준!$A$77:$A$86,$N4677)&gt;0,ISNUMBER(MATCH($X4677,계정대체기준!$D$77:$D$86,0)),ISNUMBER(MATCH($F4677,계정대체기준!$D$77:$D$86,0))),"Y","N")))</f>
        <v/>
      </c>
    </row>
    <row r="4678">
      <c r="A4678" s="92" t="n">
        <v>2026</v>
      </c>
      <c r="B4678" s="92" t="n">
        <v>9</v>
      </c>
      <c r="C4678" s="92" t="inlineStr">
        <is>
          <t>5100001956</t>
        </is>
      </c>
      <c r="D4678" s="95" t="n">
        <v>46279</v>
      </c>
      <c r="E4678" s="92" t="inlineStr">
        <is>
          <t>KR</t>
        </is>
      </c>
      <c r="F4678" s="92" t="n">
        <v>62301000</v>
      </c>
      <c r="G4678" s="92" t="n">
        <v>1701</v>
      </c>
      <c r="H4678" s="93" t="n">
        <v>436000</v>
      </c>
      <c r="I4678" s="92" t="inlineStr">
        <is>
          <t>9월 소모품 구입 - Q오피스</t>
        </is>
      </c>
      <c r="J4678" s="92" t="inlineStr">
        <is>
          <t>V10003</t>
        </is>
      </c>
      <c r="K4678" s="92" t="inlineStr">
        <is>
          <t>Q오피스</t>
        </is>
      </c>
      <c r="M4678" s="9">
        <f>IF($A4678="","",VALUE($A4678&amp;"")*12+VALUE($B4678&amp;""))</f>
        <v/>
      </c>
      <c r="N4678" s="64">
        <f>IF($A4678="","",IFERROR(INDEX(부서매핑!$C$5:$C$504,MATCH($G4678&amp;"",부서매핑!$A$5:$A$504,0)),"미매핑"))</f>
        <v/>
      </c>
      <c r="O4678" s="9">
        <f>IF($A4678="","",N4678&amp;"|"&amp;$F4678)</f>
        <v/>
      </c>
      <c r="P4678" s="94">
        <f>IF($A4678="",0,$H4678*설정!$C$23)</f>
        <v/>
      </c>
      <c r="Q4678" s="64">
        <f>IF($A4678="","",IF(O4678&lt;&gt;원인분석!$C$9,"",IF(AND(M4678&gt;=원인분석!$C$10,M4678&lt;=원인분석!$C$11),"당기",IF(AND(M4678&gt;=원인분석!$C$12,M4678&lt;=원인분석!$C$13),"비교",""))))</f>
        <v/>
      </c>
      <c r="R4678" s="9">
        <f>IF(Q4678="","",$K4678&amp;"")</f>
        <v/>
      </c>
      <c r="S4678" s="9">
        <f>IF(Q4678="","",IF(MATCH(R4678,$R$5:$R$100000,0)=ROW()-4,ROW(),""))</f>
        <v/>
      </c>
      <c r="T4678" s="9">
        <f>IF(Q4678="당기",ABS(P4678)+ROW()/1000000000,"")</f>
        <v/>
      </c>
      <c r="U4678" s="9">
        <f>IF(Q4678="비교",ABS(P4678)+ROW()/1000000000,"")</f>
        <v/>
      </c>
      <c r="V4678" s="64">
        <f>IF($A4678="","",IF(COUNTIF(변동분석!$E$7:$E$506,O4678)&gt;0,"Y","N"))</f>
        <v/>
      </c>
      <c r="W4678" s="64">
        <f>IF($A4678="","",IFERROR(INDEX(계정매핑!$D$5:$D$504,MATCH($F4678&amp;"",계정매핑!$A$5:$A$504,0)),"미매핑"))</f>
        <v/>
      </c>
      <c r="X4678" s="9">
        <f>IF($A4678="","",$F4678&amp;"")</f>
        <v/>
      </c>
      <c r="Y4678" s="94">
        <f>IF($A4678="",0,IF(AE4678="직접",IF(AF4678="비귀속",$P4678,0),$P4678*(1-AG4678)*IFERROR(INDEX(계정대체기준!$F$20:$F$49,MATCH($N4678,계정대체기준!$A$20:$A$49,0)),1)))</f>
        <v/>
      </c>
      <c r="Z4678" s="94">
        <f>IF($A4678="",0,IF(AE4678="직접",IF(AF4678="신계약비",$P4678,0),$P4678*(1-AG4678)*IFERROR(INDEX(계정대체기준!$C$20:$C$49,MATCH($N4678,계정대체기준!$A$20:$A$49,0)),0)))</f>
        <v/>
      </c>
      <c r="AA4678" s="94">
        <f>IF($A4678="",0,IF(AE4678="직접",IF(OR(AF4678="유지비",AF4678="손해조사비"),$P4678,0),$P4678*(1-AG4678)*IFERROR(INDEX(계정대체기준!$D$20:$D$49,MATCH($N4678,계정대체기준!$A$20:$A$49,0)),0)))</f>
        <v/>
      </c>
      <c r="AB4678" s="94">
        <f>IF($A4678="",0,IF(AE4678="직접",IF(AF4678="수금비",$P4678,0),$P4678*(1-AG4678)*IFERROR(INDEX(계정대체기준!$E$20:$E$49,MATCH($N4678,계정대체기준!$A$20:$A$49,0)),0)))</f>
        <v/>
      </c>
      <c r="AC4678" s="9">
        <f>IF(AND($A4678&lt;&gt;"",M4678=설정!$C$20,Z4678&gt;0),Z4678+ROW()/1000000000,"")</f>
        <v/>
      </c>
      <c r="AD4678" s="94">
        <f>IF($A4678="",0,$P4678*AG4678)</f>
        <v/>
      </c>
      <c r="AE4678" s="64">
        <f>IF($A4678="","",IFERROR(INDEX(계정매핑!$E$5:$E$504,MATCH($F4678&amp;"",계정매핑!$A$5:$A$504,0))&amp;"","공통비"))</f>
        <v/>
      </c>
      <c r="AF4678" s="64">
        <f>IF($A4678="","",IF(AE4678="직접",IFERROR(INDEX(계정매핑!$F$5:$F$504,MATCH($F4678&amp;"",계정매핑!$A$5:$A$504,0))&amp;"","비귀속"),""))</f>
        <v/>
      </c>
      <c r="AG4678" s="96">
        <f>IF($A4678="",0,IF(AND(AE4678&lt;&gt;"직접",IFERROR(INDEX(계정매핑!$G$5:$G$504,MATCH($F4678&amp;"",계정매핑!$A$5:$A$504,0))&amp;"","")="유지비",COUNTIF(계정대체기준!$A$6:$A$15,$N4678)&gt;0),IFERROR(INDEX(계정대체기준!$E$6:$E$15,MATCH(VALUE($A4678&amp;""),계정대체기준!$D$6:$D$15,0)),0),0))</f>
        <v/>
      </c>
      <c r="AH4678" s="64">
        <f>IF($A4678="","",IF(AD4678=0,"",IF(OR(COUNTIF(계정대체기준!$A$77:$A$86,$N4678)&gt;0,ISNUMBER(MATCH($X4678,계정대체기준!$D$77:$D$86,0)),ISNUMBER(MATCH($F4678,계정대체기준!$D$77:$D$86,0))),"Y","N")))</f>
        <v/>
      </c>
    </row>
    <row r="4679">
      <c r="A4679" s="92" t="n">
        <v>2026</v>
      </c>
      <c r="B4679" s="92" t="n">
        <v>9</v>
      </c>
      <c r="C4679" s="92" t="inlineStr">
        <is>
          <t>5100001957</t>
        </is>
      </c>
      <c r="D4679" s="95" t="n">
        <v>46279</v>
      </c>
      <c r="E4679" s="92" t="inlineStr">
        <is>
          <t>KR</t>
        </is>
      </c>
      <c r="F4679" s="92" t="n">
        <v>62301000</v>
      </c>
      <c r="G4679" s="92" t="n">
        <v>1701</v>
      </c>
      <c r="H4679" s="93" t="n">
        <v>334000</v>
      </c>
      <c r="I4679" s="92" t="inlineStr">
        <is>
          <t>9월 소모품 구입 - R문구</t>
        </is>
      </c>
      <c r="J4679" s="92" t="inlineStr">
        <is>
          <t>V10022</t>
        </is>
      </c>
      <c r="K4679" s="92" t="inlineStr">
        <is>
          <t>R문구</t>
        </is>
      </c>
      <c r="M4679" s="9">
        <f>IF($A4679="","",VALUE($A4679&amp;"")*12+VALUE($B4679&amp;""))</f>
        <v/>
      </c>
      <c r="N4679" s="64">
        <f>IF($A4679="","",IFERROR(INDEX(부서매핑!$C$5:$C$504,MATCH($G4679&amp;"",부서매핑!$A$5:$A$504,0)),"미매핑"))</f>
        <v/>
      </c>
      <c r="O4679" s="9">
        <f>IF($A4679="","",N4679&amp;"|"&amp;$F4679)</f>
        <v/>
      </c>
      <c r="P4679" s="94">
        <f>IF($A4679="",0,$H4679*설정!$C$23)</f>
        <v/>
      </c>
      <c r="Q4679" s="64">
        <f>IF($A4679="","",IF(O4679&lt;&gt;원인분석!$C$9,"",IF(AND(M4679&gt;=원인분석!$C$10,M4679&lt;=원인분석!$C$11),"당기",IF(AND(M4679&gt;=원인분석!$C$12,M4679&lt;=원인분석!$C$13),"비교",""))))</f>
        <v/>
      </c>
      <c r="R4679" s="9">
        <f>IF(Q4679="","",$K4679&amp;"")</f>
        <v/>
      </c>
      <c r="S4679" s="9">
        <f>IF(Q4679="","",IF(MATCH(R4679,$R$5:$R$100000,0)=ROW()-4,ROW(),""))</f>
        <v/>
      </c>
      <c r="T4679" s="9">
        <f>IF(Q4679="당기",ABS(P4679)+ROW()/1000000000,"")</f>
        <v/>
      </c>
      <c r="U4679" s="9">
        <f>IF(Q4679="비교",ABS(P4679)+ROW()/1000000000,"")</f>
        <v/>
      </c>
      <c r="V4679" s="64">
        <f>IF($A4679="","",IF(COUNTIF(변동분석!$E$7:$E$506,O4679)&gt;0,"Y","N"))</f>
        <v/>
      </c>
      <c r="W4679" s="64">
        <f>IF($A4679="","",IFERROR(INDEX(계정매핑!$D$5:$D$504,MATCH($F4679&amp;"",계정매핑!$A$5:$A$504,0)),"미매핑"))</f>
        <v/>
      </c>
      <c r="X4679" s="9">
        <f>IF($A4679="","",$F4679&amp;"")</f>
        <v/>
      </c>
      <c r="Y4679" s="94">
        <f>IF($A4679="",0,IF(AE4679="직접",IF(AF4679="비귀속",$P4679,0),$P4679*(1-AG4679)*IFERROR(INDEX(계정대체기준!$F$20:$F$49,MATCH($N4679,계정대체기준!$A$20:$A$49,0)),1)))</f>
        <v/>
      </c>
      <c r="Z4679" s="94">
        <f>IF($A4679="",0,IF(AE4679="직접",IF(AF4679="신계약비",$P4679,0),$P4679*(1-AG4679)*IFERROR(INDEX(계정대체기준!$C$20:$C$49,MATCH($N4679,계정대체기준!$A$20:$A$49,0)),0)))</f>
        <v/>
      </c>
      <c r="AA4679" s="94">
        <f>IF($A4679="",0,IF(AE4679="직접",IF(OR(AF4679="유지비",AF4679="손해조사비"),$P4679,0),$P4679*(1-AG4679)*IFERROR(INDEX(계정대체기준!$D$20:$D$49,MATCH($N4679,계정대체기준!$A$20:$A$49,0)),0)))</f>
        <v/>
      </c>
      <c r="AB4679" s="94">
        <f>IF($A4679="",0,IF(AE4679="직접",IF(AF4679="수금비",$P4679,0),$P4679*(1-AG4679)*IFERROR(INDEX(계정대체기준!$E$20:$E$49,MATCH($N4679,계정대체기준!$A$20:$A$49,0)),0)))</f>
        <v/>
      </c>
      <c r="AC4679" s="9">
        <f>IF(AND($A4679&lt;&gt;"",M4679=설정!$C$20,Z4679&gt;0),Z4679+ROW()/1000000000,"")</f>
        <v/>
      </c>
      <c r="AD4679" s="94">
        <f>IF($A4679="",0,$P4679*AG4679)</f>
        <v/>
      </c>
      <c r="AE4679" s="64">
        <f>IF($A4679="","",IFERROR(INDEX(계정매핑!$E$5:$E$504,MATCH($F4679&amp;"",계정매핑!$A$5:$A$504,0))&amp;"","공통비"))</f>
        <v/>
      </c>
      <c r="AF4679" s="64">
        <f>IF($A4679="","",IF(AE4679="직접",IFERROR(INDEX(계정매핑!$F$5:$F$504,MATCH($F4679&amp;"",계정매핑!$A$5:$A$504,0))&amp;"","비귀속"),""))</f>
        <v/>
      </c>
      <c r="AG4679" s="96">
        <f>IF($A4679="",0,IF(AND(AE4679&lt;&gt;"직접",IFERROR(INDEX(계정매핑!$G$5:$G$504,MATCH($F4679&amp;"",계정매핑!$A$5:$A$504,0))&amp;"","")="유지비",COUNTIF(계정대체기준!$A$6:$A$15,$N4679)&gt;0),IFERROR(INDEX(계정대체기준!$E$6:$E$15,MATCH(VALUE($A4679&amp;""),계정대체기준!$D$6:$D$15,0)),0),0))</f>
        <v/>
      </c>
      <c r="AH4679" s="64">
        <f>IF($A4679="","",IF(AD4679=0,"",IF(OR(COUNTIF(계정대체기준!$A$77:$A$86,$N4679)&gt;0,ISNUMBER(MATCH($X4679,계정대체기준!$D$77:$D$86,0)),ISNUMBER(MATCH($F4679,계정대체기준!$D$77:$D$86,0))),"Y","N")))</f>
        <v/>
      </c>
    </row>
    <row r="4680">
      <c r="A4680" s="92" t="n">
        <v>2026</v>
      </c>
      <c r="B4680" s="92" t="n">
        <v>9</v>
      </c>
      <c r="C4680" s="92" t="inlineStr">
        <is>
          <t>5100001958</t>
        </is>
      </c>
      <c r="D4680" s="95" t="n">
        <v>46279</v>
      </c>
      <c r="E4680" s="92" t="inlineStr">
        <is>
          <t>KR</t>
        </is>
      </c>
      <c r="F4680" s="92" t="n">
        <v>62701000</v>
      </c>
      <c r="G4680" s="92" t="n">
        <v>1301</v>
      </c>
      <c r="H4680" s="93" t="n">
        <v>5500000</v>
      </c>
      <c r="I4680" s="92" t="inlineStr">
        <is>
          <t>경력직 채용공고</t>
        </is>
      </c>
      <c r="J4680" s="92" t="inlineStr">
        <is>
          <t>V10035</t>
        </is>
      </c>
      <c r="K4680" s="92" t="inlineStr">
        <is>
          <t>LL채용</t>
        </is>
      </c>
      <c r="M4680" s="9">
        <f>IF($A4680="","",VALUE($A4680&amp;"")*12+VALUE($B4680&amp;""))</f>
        <v/>
      </c>
      <c r="N4680" s="64">
        <f>IF($A4680="","",IFERROR(INDEX(부서매핑!$C$5:$C$504,MATCH($G4680&amp;"",부서매핑!$A$5:$A$504,0)),"미매핑"))</f>
        <v/>
      </c>
      <c r="O4680" s="9">
        <f>IF($A4680="","",N4680&amp;"|"&amp;$F4680)</f>
        <v/>
      </c>
      <c r="P4680" s="94">
        <f>IF($A4680="",0,$H4680*설정!$C$23)</f>
        <v/>
      </c>
      <c r="Q4680" s="64">
        <f>IF($A4680="","",IF(O4680&lt;&gt;원인분석!$C$9,"",IF(AND(M4680&gt;=원인분석!$C$10,M4680&lt;=원인분석!$C$11),"당기",IF(AND(M4680&gt;=원인분석!$C$12,M4680&lt;=원인분석!$C$13),"비교",""))))</f>
        <v/>
      </c>
      <c r="R4680" s="9">
        <f>IF(Q4680="","",$K4680&amp;"")</f>
        <v/>
      </c>
      <c r="S4680" s="9">
        <f>IF(Q4680="","",IF(MATCH(R4680,$R$5:$R$100000,0)=ROW()-4,ROW(),""))</f>
        <v/>
      </c>
      <c r="T4680" s="9">
        <f>IF(Q4680="당기",ABS(P4680)+ROW()/1000000000,"")</f>
        <v/>
      </c>
      <c r="U4680" s="9">
        <f>IF(Q4680="비교",ABS(P4680)+ROW()/1000000000,"")</f>
        <v/>
      </c>
      <c r="V4680" s="64">
        <f>IF($A4680="","",IF(COUNTIF(변동분석!$E$7:$E$506,O4680)&gt;0,"Y","N"))</f>
        <v/>
      </c>
      <c r="W4680" s="64">
        <f>IF($A4680="","",IFERROR(INDEX(계정매핑!$D$5:$D$504,MATCH($F4680&amp;"",계정매핑!$A$5:$A$504,0)),"미매핑"))</f>
        <v/>
      </c>
      <c r="X4680" s="9">
        <f>IF($A4680="","",$F4680&amp;"")</f>
        <v/>
      </c>
      <c r="Y4680" s="94">
        <f>IF($A4680="",0,IF(AE4680="직접",IF(AF4680="비귀속",$P4680,0),$P4680*(1-AG4680)*IFERROR(INDEX(계정대체기준!$F$20:$F$49,MATCH($N4680,계정대체기준!$A$20:$A$49,0)),1)))</f>
        <v/>
      </c>
      <c r="Z4680" s="94">
        <f>IF($A4680="",0,IF(AE4680="직접",IF(AF4680="신계약비",$P4680,0),$P4680*(1-AG4680)*IFERROR(INDEX(계정대체기준!$C$20:$C$49,MATCH($N4680,계정대체기준!$A$20:$A$49,0)),0)))</f>
        <v/>
      </c>
      <c r="AA4680" s="94">
        <f>IF($A4680="",0,IF(AE4680="직접",IF(OR(AF4680="유지비",AF4680="손해조사비"),$P4680,0),$P4680*(1-AG4680)*IFERROR(INDEX(계정대체기준!$D$20:$D$49,MATCH($N4680,계정대체기준!$A$20:$A$49,0)),0)))</f>
        <v/>
      </c>
      <c r="AB4680" s="94">
        <f>IF($A4680="",0,IF(AE4680="직접",IF(AF4680="수금비",$P4680,0),$P4680*(1-AG4680)*IFERROR(INDEX(계정대체기준!$E$20:$E$49,MATCH($N4680,계정대체기준!$A$20:$A$49,0)),0)))</f>
        <v/>
      </c>
      <c r="AC4680" s="9">
        <f>IF(AND($A4680&lt;&gt;"",M4680=설정!$C$20,Z4680&gt;0),Z4680+ROW()/1000000000,"")</f>
        <v/>
      </c>
      <c r="AD4680" s="94">
        <f>IF($A4680="",0,$P4680*AG4680)</f>
        <v/>
      </c>
      <c r="AE4680" s="64">
        <f>IF($A4680="","",IFERROR(INDEX(계정매핑!$E$5:$E$504,MATCH($F4680&amp;"",계정매핑!$A$5:$A$504,0))&amp;"","공통비"))</f>
        <v/>
      </c>
      <c r="AF4680" s="64">
        <f>IF($A4680="","",IF(AE4680="직접",IFERROR(INDEX(계정매핑!$F$5:$F$504,MATCH($F4680&amp;"",계정매핑!$A$5:$A$504,0))&amp;"","비귀속"),""))</f>
        <v/>
      </c>
      <c r="AG4680" s="96">
        <f>IF($A4680="",0,IF(AND(AE4680&lt;&gt;"직접",IFERROR(INDEX(계정매핑!$G$5:$G$504,MATCH($F4680&amp;"",계정매핑!$A$5:$A$504,0))&amp;"","")="유지비",COUNTIF(계정대체기준!$A$6:$A$15,$N4680)&gt;0),IFERROR(INDEX(계정대체기준!$E$6:$E$15,MATCH(VALUE($A4680&amp;""),계정대체기준!$D$6:$D$15,0)),0),0))</f>
        <v/>
      </c>
      <c r="AH4680" s="64">
        <f>IF($A4680="","",IF(AD4680=0,"",IF(OR(COUNTIF(계정대체기준!$A$77:$A$86,$N4680)&gt;0,ISNUMBER(MATCH($X4680,계정대체기준!$D$77:$D$86,0)),ISNUMBER(MATCH($F4680,계정대체기준!$D$77:$D$86,0))),"Y","N")))</f>
        <v/>
      </c>
    </row>
    <row r="4681">
      <c r="A4681" s="92" t="n">
        <v>2026</v>
      </c>
      <c r="B4681" s="92" t="n">
        <v>9</v>
      </c>
      <c r="C4681" s="92" t="inlineStr">
        <is>
          <t>5100001959</t>
        </is>
      </c>
      <c r="D4681" s="95" t="n">
        <v>46279</v>
      </c>
      <c r="E4681" s="92" t="inlineStr">
        <is>
          <t>KR</t>
        </is>
      </c>
      <c r="F4681" s="92" t="n">
        <v>62901000</v>
      </c>
      <c r="G4681" s="92" t="n">
        <v>1201</v>
      </c>
      <c r="H4681" s="93" t="n">
        <v>9225000</v>
      </c>
      <c r="I4681" s="92" t="inlineStr">
        <is>
          <t>9월 자문 수수료 - W컨설팅</t>
        </is>
      </c>
      <c r="J4681" s="92" t="inlineStr">
        <is>
          <t>V10006</t>
        </is>
      </c>
      <c r="K4681" s="92" t="inlineStr">
        <is>
          <t>W컨설팅</t>
        </is>
      </c>
      <c r="M4681" s="9">
        <f>IF($A4681="","",VALUE($A4681&amp;"")*12+VALUE($B4681&amp;""))</f>
        <v/>
      </c>
      <c r="N4681" s="64">
        <f>IF($A4681="","",IFERROR(INDEX(부서매핑!$C$5:$C$504,MATCH($G4681&amp;"",부서매핑!$A$5:$A$504,0)),"미매핑"))</f>
        <v/>
      </c>
      <c r="O4681" s="9">
        <f>IF($A4681="","",N4681&amp;"|"&amp;$F4681)</f>
        <v/>
      </c>
      <c r="P4681" s="94">
        <f>IF($A4681="",0,$H4681*설정!$C$23)</f>
        <v/>
      </c>
      <c r="Q4681" s="64">
        <f>IF($A4681="","",IF(O4681&lt;&gt;원인분석!$C$9,"",IF(AND(M4681&gt;=원인분석!$C$10,M4681&lt;=원인분석!$C$11),"당기",IF(AND(M4681&gt;=원인분석!$C$12,M4681&lt;=원인분석!$C$13),"비교",""))))</f>
        <v/>
      </c>
      <c r="R4681" s="9">
        <f>IF(Q4681="","",$K4681&amp;"")</f>
        <v/>
      </c>
      <c r="S4681" s="9">
        <f>IF(Q4681="","",IF(MATCH(R4681,$R$5:$R$100000,0)=ROW()-4,ROW(),""))</f>
        <v/>
      </c>
      <c r="T4681" s="9">
        <f>IF(Q4681="당기",ABS(P4681)+ROW()/1000000000,"")</f>
        <v/>
      </c>
      <c r="U4681" s="9">
        <f>IF(Q4681="비교",ABS(P4681)+ROW()/1000000000,"")</f>
        <v/>
      </c>
      <c r="V4681" s="64">
        <f>IF($A4681="","",IF(COUNTIF(변동분석!$E$7:$E$506,O4681)&gt;0,"Y","N"))</f>
        <v/>
      </c>
      <c r="W4681" s="64">
        <f>IF($A4681="","",IFERROR(INDEX(계정매핑!$D$5:$D$504,MATCH($F4681&amp;"",계정매핑!$A$5:$A$504,0)),"미매핑"))</f>
        <v/>
      </c>
      <c r="X4681" s="9">
        <f>IF($A4681="","",$F4681&amp;"")</f>
        <v/>
      </c>
      <c r="Y4681" s="94">
        <f>IF($A4681="",0,IF(AE4681="직접",IF(AF4681="비귀속",$P4681,0),$P4681*(1-AG4681)*IFERROR(INDEX(계정대체기준!$F$20:$F$49,MATCH($N4681,계정대체기준!$A$20:$A$49,0)),1)))</f>
        <v/>
      </c>
      <c r="Z4681" s="94">
        <f>IF($A4681="",0,IF(AE4681="직접",IF(AF4681="신계약비",$P4681,0),$P4681*(1-AG4681)*IFERROR(INDEX(계정대체기준!$C$20:$C$49,MATCH($N4681,계정대체기준!$A$20:$A$49,0)),0)))</f>
        <v/>
      </c>
      <c r="AA4681" s="94">
        <f>IF($A4681="",0,IF(AE4681="직접",IF(OR(AF4681="유지비",AF4681="손해조사비"),$P4681,0),$P4681*(1-AG4681)*IFERROR(INDEX(계정대체기준!$D$20:$D$49,MATCH($N4681,계정대체기준!$A$20:$A$49,0)),0)))</f>
        <v/>
      </c>
      <c r="AB4681" s="94">
        <f>IF($A4681="",0,IF(AE4681="직접",IF(AF4681="수금비",$P4681,0),$P4681*(1-AG4681)*IFERROR(INDEX(계정대체기준!$E$20:$E$49,MATCH($N4681,계정대체기준!$A$20:$A$49,0)),0)))</f>
        <v/>
      </c>
      <c r="AC4681" s="9">
        <f>IF(AND($A4681&lt;&gt;"",M4681=설정!$C$20,Z4681&gt;0),Z4681+ROW()/1000000000,"")</f>
        <v/>
      </c>
      <c r="AD4681" s="94">
        <f>IF($A4681="",0,$P4681*AG4681)</f>
        <v/>
      </c>
      <c r="AE4681" s="64">
        <f>IF($A4681="","",IFERROR(INDEX(계정매핑!$E$5:$E$504,MATCH($F4681&amp;"",계정매핑!$A$5:$A$504,0))&amp;"","공통비"))</f>
        <v/>
      </c>
      <c r="AF4681" s="64">
        <f>IF($A4681="","",IF(AE4681="직접",IFERROR(INDEX(계정매핑!$F$5:$F$504,MATCH($F4681&amp;"",계정매핑!$A$5:$A$504,0))&amp;"","비귀속"),""))</f>
        <v/>
      </c>
      <c r="AG4681" s="96">
        <f>IF($A4681="",0,IF(AND(AE4681&lt;&gt;"직접",IFERROR(INDEX(계정매핑!$G$5:$G$504,MATCH($F4681&amp;"",계정매핑!$A$5:$A$504,0))&amp;"","")="유지비",COUNTIF(계정대체기준!$A$6:$A$15,$N4681)&gt;0),IFERROR(INDEX(계정대체기준!$E$6:$E$15,MATCH(VALUE($A4681&amp;""),계정대체기준!$D$6:$D$15,0)),0),0))</f>
        <v/>
      </c>
      <c r="AH4681" s="64">
        <f>IF($A4681="","",IF(AD4681=0,"",IF(OR(COUNTIF(계정대체기준!$A$77:$A$86,$N4681)&gt;0,ISNUMBER(MATCH($X4681,계정대체기준!$D$77:$D$86,0)),ISNUMBER(MATCH($F4681,계정대체기준!$D$77:$D$86,0))),"Y","N")))</f>
        <v/>
      </c>
    </row>
    <row r="4682">
      <c r="A4682" s="92" t="n">
        <v>2026</v>
      </c>
      <c r="B4682" s="92" t="n">
        <v>9</v>
      </c>
      <c r="C4682" s="92" t="inlineStr">
        <is>
          <t>5100001960</t>
        </is>
      </c>
      <c r="D4682" s="95" t="n">
        <v>46279</v>
      </c>
      <c r="E4682" s="92" t="inlineStr">
        <is>
          <t>KR</t>
        </is>
      </c>
      <c r="F4682" s="92" t="n">
        <v>62901000</v>
      </c>
      <c r="G4682" s="92" t="n">
        <v>1401</v>
      </c>
      <c r="H4682" s="93" t="n">
        <v>7096000</v>
      </c>
      <c r="I4682" s="92" t="inlineStr">
        <is>
          <t>9월 자문 수수료 - K회계법인</t>
        </is>
      </c>
      <c r="J4682" s="92" t="inlineStr">
        <is>
          <t>V10011</t>
        </is>
      </c>
      <c r="K4682" s="92" t="inlineStr">
        <is>
          <t>K회계법인</t>
        </is>
      </c>
      <c r="M4682" s="9">
        <f>IF($A4682="","",VALUE($A4682&amp;"")*12+VALUE($B4682&amp;""))</f>
        <v/>
      </c>
      <c r="N4682" s="64">
        <f>IF($A4682="","",IFERROR(INDEX(부서매핑!$C$5:$C$504,MATCH($G4682&amp;"",부서매핑!$A$5:$A$504,0)),"미매핑"))</f>
        <v/>
      </c>
      <c r="O4682" s="9">
        <f>IF($A4682="","",N4682&amp;"|"&amp;$F4682)</f>
        <v/>
      </c>
      <c r="P4682" s="94">
        <f>IF($A4682="",0,$H4682*설정!$C$23)</f>
        <v/>
      </c>
      <c r="Q4682" s="64">
        <f>IF($A4682="","",IF(O4682&lt;&gt;원인분석!$C$9,"",IF(AND(M4682&gt;=원인분석!$C$10,M4682&lt;=원인분석!$C$11),"당기",IF(AND(M4682&gt;=원인분석!$C$12,M4682&lt;=원인분석!$C$13),"비교",""))))</f>
        <v/>
      </c>
      <c r="R4682" s="9">
        <f>IF(Q4682="","",$K4682&amp;"")</f>
        <v/>
      </c>
      <c r="S4682" s="9">
        <f>IF(Q4682="","",IF(MATCH(R4682,$R$5:$R$100000,0)=ROW()-4,ROW(),""))</f>
        <v/>
      </c>
      <c r="T4682" s="9">
        <f>IF(Q4682="당기",ABS(P4682)+ROW()/1000000000,"")</f>
        <v/>
      </c>
      <c r="U4682" s="9">
        <f>IF(Q4682="비교",ABS(P4682)+ROW()/1000000000,"")</f>
        <v/>
      </c>
      <c r="V4682" s="64">
        <f>IF($A4682="","",IF(COUNTIF(변동분석!$E$7:$E$506,O4682)&gt;0,"Y","N"))</f>
        <v/>
      </c>
      <c r="W4682" s="64">
        <f>IF($A4682="","",IFERROR(INDEX(계정매핑!$D$5:$D$504,MATCH($F4682&amp;"",계정매핑!$A$5:$A$504,0)),"미매핑"))</f>
        <v/>
      </c>
      <c r="X4682" s="9">
        <f>IF($A4682="","",$F4682&amp;"")</f>
        <v/>
      </c>
      <c r="Y4682" s="94">
        <f>IF($A4682="",0,IF(AE4682="직접",IF(AF4682="비귀속",$P4682,0),$P4682*(1-AG4682)*IFERROR(INDEX(계정대체기준!$F$20:$F$49,MATCH($N4682,계정대체기준!$A$20:$A$49,0)),1)))</f>
        <v/>
      </c>
      <c r="Z4682" s="94">
        <f>IF($A4682="",0,IF(AE4682="직접",IF(AF4682="신계약비",$P4682,0),$P4682*(1-AG4682)*IFERROR(INDEX(계정대체기준!$C$20:$C$49,MATCH($N4682,계정대체기준!$A$20:$A$49,0)),0)))</f>
        <v/>
      </c>
      <c r="AA4682" s="94">
        <f>IF($A4682="",0,IF(AE4682="직접",IF(OR(AF4682="유지비",AF4682="손해조사비"),$P4682,0),$P4682*(1-AG4682)*IFERROR(INDEX(계정대체기준!$D$20:$D$49,MATCH($N4682,계정대체기준!$A$20:$A$49,0)),0)))</f>
        <v/>
      </c>
      <c r="AB4682" s="94">
        <f>IF($A4682="",0,IF(AE4682="직접",IF(AF4682="수금비",$P4682,0),$P4682*(1-AG4682)*IFERROR(INDEX(계정대체기준!$E$20:$E$49,MATCH($N4682,계정대체기준!$A$20:$A$49,0)),0)))</f>
        <v/>
      </c>
      <c r="AC4682" s="9">
        <f>IF(AND($A4682&lt;&gt;"",M4682=설정!$C$20,Z4682&gt;0),Z4682+ROW()/1000000000,"")</f>
        <v/>
      </c>
      <c r="AD4682" s="94">
        <f>IF($A4682="",0,$P4682*AG4682)</f>
        <v/>
      </c>
      <c r="AE4682" s="64">
        <f>IF($A4682="","",IFERROR(INDEX(계정매핑!$E$5:$E$504,MATCH($F4682&amp;"",계정매핑!$A$5:$A$504,0))&amp;"","공통비"))</f>
        <v/>
      </c>
      <c r="AF4682" s="64">
        <f>IF($A4682="","",IF(AE4682="직접",IFERROR(INDEX(계정매핑!$F$5:$F$504,MATCH($F4682&amp;"",계정매핑!$A$5:$A$504,0))&amp;"","비귀속"),""))</f>
        <v/>
      </c>
      <c r="AG4682" s="96">
        <f>IF($A4682="",0,IF(AND(AE4682&lt;&gt;"직접",IFERROR(INDEX(계정매핑!$G$5:$G$504,MATCH($F4682&amp;"",계정매핑!$A$5:$A$504,0))&amp;"","")="유지비",COUNTIF(계정대체기준!$A$6:$A$15,$N4682)&gt;0),IFERROR(INDEX(계정대체기준!$E$6:$E$15,MATCH(VALUE($A4682&amp;""),계정대체기준!$D$6:$D$15,0)),0),0))</f>
        <v/>
      </c>
      <c r="AH4682" s="64">
        <f>IF($A4682="","",IF(AD4682=0,"",IF(OR(COUNTIF(계정대체기준!$A$77:$A$86,$N4682)&gt;0,ISNUMBER(MATCH($X4682,계정대체기준!$D$77:$D$86,0)),ISNUMBER(MATCH($F4682,계정대체기준!$D$77:$D$86,0))),"Y","N")))</f>
        <v/>
      </c>
    </row>
    <row r="4683">
      <c r="A4683" s="92" t="n">
        <v>2026</v>
      </c>
      <c r="B4683" s="92" t="n">
        <v>9</v>
      </c>
      <c r="C4683" s="92" t="inlineStr">
        <is>
          <t>5100001961</t>
        </is>
      </c>
      <c r="D4683" s="95" t="n">
        <v>46279</v>
      </c>
      <c r="E4683" s="92" t="inlineStr">
        <is>
          <t>KR</t>
        </is>
      </c>
      <c r="F4683" s="92" t="n">
        <v>62902000</v>
      </c>
      <c r="G4683" s="92" t="n">
        <v>1801</v>
      </c>
      <c r="H4683" s="93" t="n">
        <v>1792000</v>
      </c>
      <c r="I4683" s="92" t="inlineStr">
        <is>
          <t>9월 콜 위탁 수수료(건별)</t>
        </is>
      </c>
      <c r="J4683" s="92" t="inlineStr">
        <is>
          <t>V10016</t>
        </is>
      </c>
      <c r="K4683" s="92" t="inlineStr">
        <is>
          <t>J콜센터</t>
        </is>
      </c>
      <c r="M4683" s="9">
        <f>IF($A4683="","",VALUE($A4683&amp;"")*12+VALUE($B4683&amp;""))</f>
        <v/>
      </c>
      <c r="N4683" s="64">
        <f>IF($A4683="","",IFERROR(INDEX(부서매핑!$C$5:$C$504,MATCH($G4683&amp;"",부서매핑!$A$5:$A$504,0)),"미매핑"))</f>
        <v/>
      </c>
      <c r="O4683" s="9">
        <f>IF($A4683="","",N4683&amp;"|"&amp;$F4683)</f>
        <v/>
      </c>
      <c r="P4683" s="94">
        <f>IF($A4683="",0,$H4683*설정!$C$23)</f>
        <v/>
      </c>
      <c r="Q4683" s="64">
        <f>IF($A4683="","",IF(O4683&lt;&gt;원인분석!$C$9,"",IF(AND(M4683&gt;=원인분석!$C$10,M4683&lt;=원인분석!$C$11),"당기",IF(AND(M4683&gt;=원인분석!$C$12,M4683&lt;=원인분석!$C$13),"비교",""))))</f>
        <v/>
      </c>
      <c r="R4683" s="9">
        <f>IF(Q4683="","",$K4683&amp;"")</f>
        <v/>
      </c>
      <c r="S4683" s="9">
        <f>IF(Q4683="","",IF(MATCH(R4683,$R$5:$R$100000,0)=ROW()-4,ROW(),""))</f>
        <v/>
      </c>
      <c r="T4683" s="9">
        <f>IF(Q4683="당기",ABS(P4683)+ROW()/1000000000,"")</f>
        <v/>
      </c>
      <c r="U4683" s="9">
        <f>IF(Q4683="비교",ABS(P4683)+ROW()/1000000000,"")</f>
        <v/>
      </c>
      <c r="V4683" s="64">
        <f>IF($A4683="","",IF(COUNTIF(변동분석!$E$7:$E$506,O4683)&gt;0,"Y","N"))</f>
        <v/>
      </c>
      <c r="W4683" s="64">
        <f>IF($A4683="","",IFERROR(INDEX(계정매핑!$D$5:$D$504,MATCH($F4683&amp;"",계정매핑!$A$5:$A$504,0)),"미매핑"))</f>
        <v/>
      </c>
      <c r="X4683" s="9">
        <f>IF($A4683="","",$F4683&amp;"")</f>
        <v/>
      </c>
      <c r="Y4683" s="94">
        <f>IF($A4683="",0,IF(AE4683="직접",IF(AF4683="비귀속",$P4683,0),$P4683*(1-AG4683)*IFERROR(INDEX(계정대체기준!$F$20:$F$49,MATCH($N4683,계정대체기준!$A$20:$A$49,0)),1)))</f>
        <v/>
      </c>
      <c r="Z4683" s="94">
        <f>IF($A4683="",0,IF(AE4683="직접",IF(AF4683="신계약비",$P4683,0),$P4683*(1-AG4683)*IFERROR(INDEX(계정대체기준!$C$20:$C$49,MATCH($N4683,계정대체기준!$A$20:$A$49,0)),0)))</f>
        <v/>
      </c>
      <c r="AA4683" s="94">
        <f>IF($A4683="",0,IF(AE4683="직접",IF(OR(AF4683="유지비",AF4683="손해조사비"),$P4683,0),$P4683*(1-AG4683)*IFERROR(INDEX(계정대체기준!$D$20:$D$49,MATCH($N4683,계정대체기준!$A$20:$A$49,0)),0)))</f>
        <v/>
      </c>
      <c r="AB4683" s="94">
        <f>IF($A4683="",0,IF(AE4683="직접",IF(AF4683="수금비",$P4683,0),$P4683*(1-AG4683)*IFERROR(INDEX(계정대체기준!$E$20:$E$49,MATCH($N4683,계정대체기준!$A$20:$A$49,0)),0)))</f>
        <v/>
      </c>
      <c r="AC4683" s="9">
        <f>IF(AND($A4683&lt;&gt;"",M4683=설정!$C$20,Z4683&gt;0),Z4683+ROW()/1000000000,"")</f>
        <v/>
      </c>
      <c r="AD4683" s="94">
        <f>IF($A4683="",0,$P4683*AG4683)</f>
        <v/>
      </c>
      <c r="AE4683" s="64">
        <f>IF($A4683="","",IFERROR(INDEX(계정매핑!$E$5:$E$504,MATCH($F4683&amp;"",계정매핑!$A$5:$A$504,0))&amp;"","공통비"))</f>
        <v/>
      </c>
      <c r="AF4683" s="64">
        <f>IF($A4683="","",IF(AE4683="직접",IFERROR(INDEX(계정매핑!$F$5:$F$504,MATCH($F4683&amp;"",계정매핑!$A$5:$A$504,0))&amp;"","비귀속"),""))</f>
        <v/>
      </c>
      <c r="AG4683" s="96">
        <f>IF($A4683="",0,IF(AND(AE4683&lt;&gt;"직접",IFERROR(INDEX(계정매핑!$G$5:$G$504,MATCH($F4683&amp;"",계정매핑!$A$5:$A$504,0))&amp;"","")="유지비",COUNTIF(계정대체기준!$A$6:$A$15,$N4683)&gt;0),IFERROR(INDEX(계정대체기준!$E$6:$E$15,MATCH(VALUE($A4683&amp;""),계정대체기준!$D$6:$D$15,0)),0),0))</f>
        <v/>
      </c>
      <c r="AH4683" s="64">
        <f>IF($A4683="","",IF(AD4683=0,"",IF(OR(COUNTIF(계정대체기준!$A$77:$A$86,$N4683)&gt;0,ISNUMBER(MATCH($X4683,계정대체기준!$D$77:$D$86,0)),ISNUMBER(MATCH($F4683,계정대체기준!$D$77:$D$86,0))),"Y","N")))</f>
        <v/>
      </c>
    </row>
    <row r="4684">
      <c r="A4684" s="92" t="n">
        <v>2026</v>
      </c>
      <c r="B4684" s="92" t="n">
        <v>9</v>
      </c>
      <c r="C4684" s="92" t="inlineStr">
        <is>
          <t>5100001962</t>
        </is>
      </c>
      <c r="D4684" s="95" t="n">
        <v>46279</v>
      </c>
      <c r="E4684" s="92" t="inlineStr">
        <is>
          <t>KR</t>
        </is>
      </c>
      <c r="F4684" s="92" t="n">
        <v>63502000</v>
      </c>
      <c r="G4684" s="92" t="n">
        <v>1901</v>
      </c>
      <c r="H4684" s="93" t="n">
        <v>120339000</v>
      </c>
      <c r="I4684" s="92" t="inlineStr">
        <is>
          <t>9월 유지수수료 - (전속설계사)</t>
        </is>
      </c>
      <c r="J4684" s="92" t="inlineStr">
        <is>
          <t>V10021</t>
        </is>
      </c>
      <c r="K4684" s="92" t="inlineStr">
        <is>
          <t>(전속설계사)</t>
        </is>
      </c>
      <c r="M4684" s="9">
        <f>IF($A4684="","",VALUE($A4684&amp;"")*12+VALUE($B4684&amp;""))</f>
        <v/>
      </c>
      <c r="N4684" s="64">
        <f>IF($A4684="","",IFERROR(INDEX(부서매핑!$C$5:$C$504,MATCH($G4684&amp;"",부서매핑!$A$5:$A$504,0)),"미매핑"))</f>
        <v/>
      </c>
      <c r="O4684" s="9">
        <f>IF($A4684="","",N4684&amp;"|"&amp;$F4684)</f>
        <v/>
      </c>
      <c r="P4684" s="94">
        <f>IF($A4684="",0,$H4684*설정!$C$23)</f>
        <v/>
      </c>
      <c r="Q4684" s="64">
        <f>IF($A4684="","",IF(O4684&lt;&gt;원인분석!$C$9,"",IF(AND(M4684&gt;=원인분석!$C$10,M4684&lt;=원인분석!$C$11),"당기",IF(AND(M4684&gt;=원인분석!$C$12,M4684&lt;=원인분석!$C$13),"비교",""))))</f>
        <v/>
      </c>
      <c r="R4684" s="9">
        <f>IF(Q4684="","",$K4684&amp;"")</f>
        <v/>
      </c>
      <c r="S4684" s="9">
        <f>IF(Q4684="","",IF(MATCH(R4684,$R$5:$R$100000,0)=ROW()-4,ROW(),""))</f>
        <v/>
      </c>
      <c r="T4684" s="9">
        <f>IF(Q4684="당기",ABS(P4684)+ROW()/1000000000,"")</f>
        <v/>
      </c>
      <c r="U4684" s="9">
        <f>IF(Q4684="비교",ABS(P4684)+ROW()/1000000000,"")</f>
        <v/>
      </c>
      <c r="V4684" s="64">
        <f>IF($A4684="","",IF(COUNTIF(변동분석!$E$7:$E$506,O4684)&gt;0,"Y","N"))</f>
        <v/>
      </c>
      <c r="W4684" s="64">
        <f>IF($A4684="","",IFERROR(INDEX(계정매핑!$D$5:$D$504,MATCH($F4684&amp;"",계정매핑!$A$5:$A$504,0)),"미매핑"))</f>
        <v/>
      </c>
      <c r="X4684" s="9">
        <f>IF($A4684="","",$F4684&amp;"")</f>
        <v/>
      </c>
      <c r="Y4684" s="94">
        <f>IF($A4684="",0,IF(AE4684="직접",IF(AF4684="비귀속",$P4684,0),$P4684*(1-AG4684)*IFERROR(INDEX(계정대체기준!$F$20:$F$49,MATCH($N4684,계정대체기준!$A$20:$A$49,0)),1)))</f>
        <v/>
      </c>
      <c r="Z4684" s="94">
        <f>IF($A4684="",0,IF(AE4684="직접",IF(AF4684="신계약비",$P4684,0),$P4684*(1-AG4684)*IFERROR(INDEX(계정대체기준!$C$20:$C$49,MATCH($N4684,계정대체기준!$A$20:$A$49,0)),0)))</f>
        <v/>
      </c>
      <c r="AA4684" s="94">
        <f>IF($A4684="",0,IF(AE4684="직접",IF(OR(AF4684="유지비",AF4684="손해조사비"),$P4684,0),$P4684*(1-AG4684)*IFERROR(INDEX(계정대체기준!$D$20:$D$49,MATCH($N4684,계정대체기준!$A$20:$A$49,0)),0)))</f>
        <v/>
      </c>
      <c r="AB4684" s="94">
        <f>IF($A4684="",0,IF(AE4684="직접",IF(AF4684="수금비",$P4684,0),$P4684*(1-AG4684)*IFERROR(INDEX(계정대체기준!$E$20:$E$49,MATCH($N4684,계정대체기준!$A$20:$A$49,0)),0)))</f>
        <v/>
      </c>
      <c r="AC4684" s="9">
        <f>IF(AND($A4684&lt;&gt;"",M4684=설정!$C$20,Z4684&gt;0),Z4684+ROW()/1000000000,"")</f>
        <v/>
      </c>
      <c r="AD4684" s="94">
        <f>IF($A4684="",0,$P4684*AG4684)</f>
        <v/>
      </c>
      <c r="AE4684" s="64">
        <f>IF($A4684="","",IFERROR(INDEX(계정매핑!$E$5:$E$504,MATCH($F4684&amp;"",계정매핑!$A$5:$A$504,0))&amp;"","공통비"))</f>
        <v/>
      </c>
      <c r="AF4684" s="64">
        <f>IF($A4684="","",IF(AE4684="직접",IFERROR(INDEX(계정매핑!$F$5:$F$504,MATCH($F4684&amp;"",계정매핑!$A$5:$A$504,0))&amp;"","비귀속"),""))</f>
        <v/>
      </c>
      <c r="AG4684" s="96">
        <f>IF($A4684="",0,IF(AND(AE4684&lt;&gt;"직접",IFERROR(INDEX(계정매핑!$G$5:$G$504,MATCH($F4684&amp;"",계정매핑!$A$5:$A$504,0))&amp;"","")="유지비",COUNTIF(계정대체기준!$A$6:$A$15,$N4684)&gt;0),IFERROR(INDEX(계정대체기준!$E$6:$E$15,MATCH(VALUE($A4684&amp;""),계정대체기준!$D$6:$D$15,0)),0),0))</f>
        <v/>
      </c>
      <c r="AH4684" s="64">
        <f>IF($A4684="","",IF(AD4684=0,"",IF(OR(COUNTIF(계정대체기준!$A$77:$A$86,$N4684)&gt;0,ISNUMBER(MATCH($X4684,계정대체기준!$D$77:$D$86,0)),ISNUMBER(MATCH($F4684,계정대체기준!$D$77:$D$86,0))),"Y","N")))</f>
        <v/>
      </c>
    </row>
    <row r="4685">
      <c r="A4685" s="92" t="n">
        <v>2026</v>
      </c>
      <c r="B4685" s="92" t="n">
        <v>9</v>
      </c>
      <c r="C4685" s="92" t="inlineStr">
        <is>
          <t>5100001963</t>
        </is>
      </c>
      <c r="D4685" s="95" t="n">
        <v>46279</v>
      </c>
      <c r="E4685" s="92" t="inlineStr">
        <is>
          <t>KR</t>
        </is>
      </c>
      <c r="F4685" s="92" t="n">
        <v>63601000</v>
      </c>
      <c r="G4685" s="92" t="n">
        <v>1801</v>
      </c>
      <c r="H4685" s="93" t="n">
        <v>9688000</v>
      </c>
      <c r="I4685" s="92" t="inlineStr">
        <is>
          <t>9월 손해사정 수수료 - DD손해사정</t>
        </is>
      </c>
      <c r="J4685" s="92" t="inlineStr">
        <is>
          <t>V10032</t>
        </is>
      </c>
      <c r="K4685" s="92" t="inlineStr">
        <is>
          <t>DD손해사정</t>
        </is>
      </c>
      <c r="M4685" s="9">
        <f>IF($A4685="","",VALUE($A4685&amp;"")*12+VALUE($B4685&amp;""))</f>
        <v/>
      </c>
      <c r="N4685" s="64">
        <f>IF($A4685="","",IFERROR(INDEX(부서매핑!$C$5:$C$504,MATCH($G4685&amp;"",부서매핑!$A$5:$A$504,0)),"미매핑"))</f>
        <v/>
      </c>
      <c r="O4685" s="9">
        <f>IF($A4685="","",N4685&amp;"|"&amp;$F4685)</f>
        <v/>
      </c>
      <c r="P4685" s="94">
        <f>IF($A4685="",0,$H4685*설정!$C$23)</f>
        <v/>
      </c>
      <c r="Q4685" s="64">
        <f>IF($A4685="","",IF(O4685&lt;&gt;원인분석!$C$9,"",IF(AND(M4685&gt;=원인분석!$C$10,M4685&lt;=원인분석!$C$11),"당기",IF(AND(M4685&gt;=원인분석!$C$12,M4685&lt;=원인분석!$C$13),"비교",""))))</f>
        <v/>
      </c>
      <c r="R4685" s="9">
        <f>IF(Q4685="","",$K4685&amp;"")</f>
        <v/>
      </c>
      <c r="S4685" s="9">
        <f>IF(Q4685="","",IF(MATCH(R4685,$R$5:$R$100000,0)=ROW()-4,ROW(),""))</f>
        <v/>
      </c>
      <c r="T4685" s="9">
        <f>IF(Q4685="당기",ABS(P4685)+ROW()/1000000000,"")</f>
        <v/>
      </c>
      <c r="U4685" s="9">
        <f>IF(Q4685="비교",ABS(P4685)+ROW()/1000000000,"")</f>
        <v/>
      </c>
      <c r="V4685" s="64">
        <f>IF($A4685="","",IF(COUNTIF(변동분석!$E$7:$E$506,O4685)&gt;0,"Y","N"))</f>
        <v/>
      </c>
      <c r="W4685" s="64">
        <f>IF($A4685="","",IFERROR(INDEX(계정매핑!$D$5:$D$504,MATCH($F4685&amp;"",계정매핑!$A$5:$A$504,0)),"미매핑"))</f>
        <v/>
      </c>
      <c r="X4685" s="9">
        <f>IF($A4685="","",$F4685&amp;"")</f>
        <v/>
      </c>
      <c r="Y4685" s="94">
        <f>IF($A4685="",0,IF(AE4685="직접",IF(AF4685="비귀속",$P4685,0),$P4685*(1-AG4685)*IFERROR(INDEX(계정대체기준!$F$20:$F$49,MATCH($N4685,계정대체기준!$A$20:$A$49,0)),1)))</f>
        <v/>
      </c>
      <c r="Z4685" s="94">
        <f>IF($A4685="",0,IF(AE4685="직접",IF(AF4685="신계약비",$P4685,0),$P4685*(1-AG4685)*IFERROR(INDEX(계정대체기준!$C$20:$C$49,MATCH($N4685,계정대체기준!$A$20:$A$49,0)),0)))</f>
        <v/>
      </c>
      <c r="AA4685" s="94">
        <f>IF($A4685="",0,IF(AE4685="직접",IF(OR(AF4685="유지비",AF4685="손해조사비"),$P4685,0),$P4685*(1-AG4685)*IFERROR(INDEX(계정대체기준!$D$20:$D$49,MATCH($N4685,계정대체기준!$A$20:$A$49,0)),0)))</f>
        <v/>
      </c>
      <c r="AB4685" s="94">
        <f>IF($A4685="",0,IF(AE4685="직접",IF(AF4685="수금비",$P4685,0),$P4685*(1-AG4685)*IFERROR(INDEX(계정대체기준!$E$20:$E$49,MATCH($N4685,계정대체기준!$A$20:$A$49,0)),0)))</f>
        <v/>
      </c>
      <c r="AC4685" s="9">
        <f>IF(AND($A4685&lt;&gt;"",M4685=설정!$C$20,Z4685&gt;0),Z4685+ROW()/1000000000,"")</f>
        <v/>
      </c>
      <c r="AD4685" s="94">
        <f>IF($A4685="",0,$P4685*AG4685)</f>
        <v/>
      </c>
      <c r="AE4685" s="64">
        <f>IF($A4685="","",IFERROR(INDEX(계정매핑!$E$5:$E$504,MATCH($F4685&amp;"",계정매핑!$A$5:$A$504,0))&amp;"","공통비"))</f>
        <v/>
      </c>
      <c r="AF4685" s="64">
        <f>IF($A4685="","",IF(AE4685="직접",IFERROR(INDEX(계정매핑!$F$5:$F$504,MATCH($F4685&amp;"",계정매핑!$A$5:$A$504,0))&amp;"","비귀속"),""))</f>
        <v/>
      </c>
      <c r="AG4685" s="96">
        <f>IF($A4685="",0,IF(AND(AE4685&lt;&gt;"직접",IFERROR(INDEX(계정매핑!$G$5:$G$504,MATCH($F4685&amp;"",계정매핑!$A$5:$A$504,0))&amp;"","")="유지비",COUNTIF(계정대체기준!$A$6:$A$15,$N4685)&gt;0),IFERROR(INDEX(계정대체기준!$E$6:$E$15,MATCH(VALUE($A4685&amp;""),계정대체기준!$D$6:$D$15,0)),0),0))</f>
        <v/>
      </c>
      <c r="AH4685" s="64">
        <f>IF($A4685="","",IF(AD4685=0,"",IF(OR(COUNTIF(계정대체기준!$A$77:$A$86,$N4685)&gt;0,ISNUMBER(MATCH($X4685,계정대체기준!$D$77:$D$86,0)),ISNUMBER(MATCH($F4685,계정대체기준!$D$77:$D$86,0))),"Y","N")))</f>
        <v/>
      </c>
    </row>
    <row r="4686">
      <c r="A4686" s="92" t="n">
        <v>2026</v>
      </c>
      <c r="B4686" s="92" t="n">
        <v>9</v>
      </c>
      <c r="C4686" s="92" t="inlineStr">
        <is>
          <t>5100001964</t>
        </is>
      </c>
      <c r="D4686" s="95" t="n">
        <v>46280</v>
      </c>
      <c r="E4686" s="92" t="inlineStr">
        <is>
          <t>KR</t>
        </is>
      </c>
      <c r="F4686" s="92" t="n">
        <v>62101000</v>
      </c>
      <c r="G4686" s="92" t="n">
        <v>1401</v>
      </c>
      <c r="H4686" s="93" t="n">
        <v>191000</v>
      </c>
      <c r="I4686" s="92" t="inlineStr">
        <is>
          <t>9월 국내출장 - L여행사</t>
        </is>
      </c>
      <c r="J4686" s="92" t="inlineStr">
        <is>
          <t>V10018</t>
        </is>
      </c>
      <c r="K4686" s="92" t="inlineStr">
        <is>
          <t>L여행사</t>
        </is>
      </c>
      <c r="M4686" s="9">
        <f>IF($A4686="","",VALUE($A4686&amp;"")*12+VALUE($B4686&amp;""))</f>
        <v/>
      </c>
      <c r="N4686" s="64">
        <f>IF($A4686="","",IFERROR(INDEX(부서매핑!$C$5:$C$504,MATCH($G4686&amp;"",부서매핑!$A$5:$A$504,0)),"미매핑"))</f>
        <v/>
      </c>
      <c r="O4686" s="9">
        <f>IF($A4686="","",N4686&amp;"|"&amp;$F4686)</f>
        <v/>
      </c>
      <c r="P4686" s="94">
        <f>IF($A4686="",0,$H4686*설정!$C$23)</f>
        <v/>
      </c>
      <c r="Q4686" s="64">
        <f>IF($A4686="","",IF(O4686&lt;&gt;원인분석!$C$9,"",IF(AND(M4686&gt;=원인분석!$C$10,M4686&lt;=원인분석!$C$11),"당기",IF(AND(M4686&gt;=원인분석!$C$12,M4686&lt;=원인분석!$C$13),"비교",""))))</f>
        <v/>
      </c>
      <c r="R4686" s="9">
        <f>IF(Q4686="","",$K4686&amp;"")</f>
        <v/>
      </c>
      <c r="S4686" s="9">
        <f>IF(Q4686="","",IF(MATCH(R4686,$R$5:$R$100000,0)=ROW()-4,ROW(),""))</f>
        <v/>
      </c>
      <c r="T4686" s="9">
        <f>IF(Q4686="당기",ABS(P4686)+ROW()/1000000000,"")</f>
        <v/>
      </c>
      <c r="U4686" s="9">
        <f>IF(Q4686="비교",ABS(P4686)+ROW()/1000000000,"")</f>
        <v/>
      </c>
      <c r="V4686" s="64">
        <f>IF($A4686="","",IF(COUNTIF(변동분석!$E$7:$E$506,O4686)&gt;0,"Y","N"))</f>
        <v/>
      </c>
      <c r="W4686" s="64">
        <f>IF($A4686="","",IFERROR(INDEX(계정매핑!$D$5:$D$504,MATCH($F4686&amp;"",계정매핑!$A$5:$A$504,0)),"미매핑"))</f>
        <v/>
      </c>
      <c r="X4686" s="9">
        <f>IF($A4686="","",$F4686&amp;"")</f>
        <v/>
      </c>
      <c r="Y4686" s="94">
        <f>IF($A4686="",0,IF(AE4686="직접",IF(AF4686="비귀속",$P4686,0),$P4686*(1-AG4686)*IFERROR(INDEX(계정대체기준!$F$20:$F$49,MATCH($N4686,계정대체기준!$A$20:$A$49,0)),1)))</f>
        <v/>
      </c>
      <c r="Z4686" s="94">
        <f>IF($A4686="",0,IF(AE4686="직접",IF(AF4686="신계약비",$P4686,0),$P4686*(1-AG4686)*IFERROR(INDEX(계정대체기준!$C$20:$C$49,MATCH($N4686,계정대체기준!$A$20:$A$49,0)),0)))</f>
        <v/>
      </c>
      <c r="AA4686" s="94">
        <f>IF($A4686="",0,IF(AE4686="직접",IF(OR(AF4686="유지비",AF4686="손해조사비"),$P4686,0),$P4686*(1-AG4686)*IFERROR(INDEX(계정대체기준!$D$20:$D$49,MATCH($N4686,계정대체기준!$A$20:$A$49,0)),0)))</f>
        <v/>
      </c>
      <c r="AB4686" s="94">
        <f>IF($A4686="",0,IF(AE4686="직접",IF(AF4686="수금비",$P4686,0),$P4686*(1-AG4686)*IFERROR(INDEX(계정대체기준!$E$20:$E$49,MATCH($N4686,계정대체기준!$A$20:$A$49,0)),0)))</f>
        <v/>
      </c>
      <c r="AC4686" s="9">
        <f>IF(AND($A4686&lt;&gt;"",M4686=설정!$C$20,Z4686&gt;0),Z4686+ROW()/1000000000,"")</f>
        <v/>
      </c>
      <c r="AD4686" s="94">
        <f>IF($A4686="",0,$P4686*AG4686)</f>
        <v/>
      </c>
      <c r="AE4686" s="64">
        <f>IF($A4686="","",IFERROR(INDEX(계정매핑!$E$5:$E$504,MATCH($F4686&amp;"",계정매핑!$A$5:$A$504,0))&amp;"","공통비"))</f>
        <v/>
      </c>
      <c r="AF4686" s="64">
        <f>IF($A4686="","",IF(AE4686="직접",IFERROR(INDEX(계정매핑!$F$5:$F$504,MATCH($F4686&amp;"",계정매핑!$A$5:$A$504,0))&amp;"","비귀속"),""))</f>
        <v/>
      </c>
      <c r="AG4686" s="96">
        <f>IF($A4686="",0,IF(AND(AE4686&lt;&gt;"직접",IFERROR(INDEX(계정매핑!$G$5:$G$504,MATCH($F4686&amp;"",계정매핑!$A$5:$A$504,0))&amp;"","")="유지비",COUNTIF(계정대체기준!$A$6:$A$15,$N4686)&gt;0),IFERROR(INDEX(계정대체기준!$E$6:$E$15,MATCH(VALUE($A4686&amp;""),계정대체기준!$D$6:$D$15,0)),0),0))</f>
        <v/>
      </c>
      <c r="AH4686" s="64">
        <f>IF($A4686="","",IF(AD4686=0,"",IF(OR(COUNTIF(계정대체기준!$A$77:$A$86,$N4686)&gt;0,ISNUMBER(MATCH($X4686,계정대체기준!$D$77:$D$86,0)),ISNUMBER(MATCH($F4686,계정대체기준!$D$77:$D$86,0))),"Y","N")))</f>
        <v/>
      </c>
    </row>
    <row r="4687">
      <c r="A4687" s="92" t="n">
        <v>2026</v>
      </c>
      <c r="B4687" s="92" t="n">
        <v>9</v>
      </c>
      <c r="C4687" s="92" t="inlineStr">
        <is>
          <t>5100001965</t>
        </is>
      </c>
      <c r="D4687" s="95" t="n">
        <v>46280</v>
      </c>
      <c r="E4687" s="92" t="inlineStr">
        <is>
          <t>KR</t>
        </is>
      </c>
      <c r="F4687" s="92" t="n">
        <v>62101000</v>
      </c>
      <c r="G4687" s="92" t="n">
        <v>1502</v>
      </c>
      <c r="H4687" s="93" t="n">
        <v>987000</v>
      </c>
      <c r="I4687" s="92" t="inlineStr">
        <is>
          <t>9월 국내출장 - (법인카드)</t>
        </is>
      </c>
      <c r="J4687" s="92" t="inlineStr">
        <is>
          <t>V10010</t>
        </is>
      </c>
      <c r="K4687" s="92" t="inlineStr">
        <is>
          <t>(법인카드)</t>
        </is>
      </c>
      <c r="M4687" s="9">
        <f>IF($A4687="","",VALUE($A4687&amp;"")*12+VALUE($B4687&amp;""))</f>
        <v/>
      </c>
      <c r="N4687" s="64">
        <f>IF($A4687="","",IFERROR(INDEX(부서매핑!$C$5:$C$504,MATCH($G4687&amp;"",부서매핑!$A$5:$A$504,0)),"미매핑"))</f>
        <v/>
      </c>
      <c r="O4687" s="9">
        <f>IF($A4687="","",N4687&amp;"|"&amp;$F4687)</f>
        <v/>
      </c>
      <c r="P4687" s="94">
        <f>IF($A4687="",0,$H4687*설정!$C$23)</f>
        <v/>
      </c>
      <c r="Q4687" s="64">
        <f>IF($A4687="","",IF(O4687&lt;&gt;원인분석!$C$9,"",IF(AND(M4687&gt;=원인분석!$C$10,M4687&lt;=원인분석!$C$11),"당기",IF(AND(M4687&gt;=원인분석!$C$12,M4687&lt;=원인분석!$C$13),"비교",""))))</f>
        <v/>
      </c>
      <c r="R4687" s="9">
        <f>IF(Q4687="","",$K4687&amp;"")</f>
        <v/>
      </c>
      <c r="S4687" s="9">
        <f>IF(Q4687="","",IF(MATCH(R4687,$R$5:$R$100000,0)=ROW()-4,ROW(),""))</f>
        <v/>
      </c>
      <c r="T4687" s="9">
        <f>IF(Q4687="당기",ABS(P4687)+ROW()/1000000000,"")</f>
        <v/>
      </c>
      <c r="U4687" s="9">
        <f>IF(Q4687="비교",ABS(P4687)+ROW()/1000000000,"")</f>
        <v/>
      </c>
      <c r="V4687" s="64">
        <f>IF($A4687="","",IF(COUNTIF(변동분석!$E$7:$E$506,O4687)&gt;0,"Y","N"))</f>
        <v/>
      </c>
      <c r="W4687" s="64">
        <f>IF($A4687="","",IFERROR(INDEX(계정매핑!$D$5:$D$504,MATCH($F4687&amp;"",계정매핑!$A$5:$A$504,0)),"미매핑"))</f>
        <v/>
      </c>
      <c r="X4687" s="9">
        <f>IF($A4687="","",$F4687&amp;"")</f>
        <v/>
      </c>
      <c r="Y4687" s="94">
        <f>IF($A4687="",0,IF(AE4687="직접",IF(AF4687="비귀속",$P4687,0),$P4687*(1-AG4687)*IFERROR(INDEX(계정대체기준!$F$20:$F$49,MATCH($N4687,계정대체기준!$A$20:$A$49,0)),1)))</f>
        <v/>
      </c>
      <c r="Z4687" s="94">
        <f>IF($A4687="",0,IF(AE4687="직접",IF(AF4687="신계약비",$P4687,0),$P4687*(1-AG4687)*IFERROR(INDEX(계정대체기준!$C$20:$C$49,MATCH($N4687,계정대체기준!$A$20:$A$49,0)),0)))</f>
        <v/>
      </c>
      <c r="AA4687" s="94">
        <f>IF($A4687="",0,IF(AE4687="직접",IF(OR(AF4687="유지비",AF4687="손해조사비"),$P4687,0),$P4687*(1-AG4687)*IFERROR(INDEX(계정대체기준!$D$20:$D$49,MATCH($N4687,계정대체기준!$A$20:$A$49,0)),0)))</f>
        <v/>
      </c>
      <c r="AB4687" s="94">
        <f>IF($A4687="",0,IF(AE4687="직접",IF(AF4687="수금비",$P4687,0),$P4687*(1-AG4687)*IFERROR(INDEX(계정대체기준!$E$20:$E$49,MATCH($N4687,계정대체기준!$A$20:$A$49,0)),0)))</f>
        <v/>
      </c>
      <c r="AC4687" s="9">
        <f>IF(AND($A4687&lt;&gt;"",M4687=설정!$C$20,Z4687&gt;0),Z4687+ROW()/1000000000,"")</f>
        <v/>
      </c>
      <c r="AD4687" s="94">
        <f>IF($A4687="",0,$P4687*AG4687)</f>
        <v/>
      </c>
      <c r="AE4687" s="64">
        <f>IF($A4687="","",IFERROR(INDEX(계정매핑!$E$5:$E$504,MATCH($F4687&amp;"",계정매핑!$A$5:$A$504,0))&amp;"","공통비"))</f>
        <v/>
      </c>
      <c r="AF4687" s="64">
        <f>IF($A4687="","",IF(AE4687="직접",IFERROR(INDEX(계정매핑!$F$5:$F$504,MATCH($F4687&amp;"",계정매핑!$A$5:$A$504,0))&amp;"","비귀속"),""))</f>
        <v/>
      </c>
      <c r="AG4687" s="96">
        <f>IF($A4687="",0,IF(AND(AE4687&lt;&gt;"직접",IFERROR(INDEX(계정매핑!$G$5:$G$504,MATCH($F4687&amp;"",계정매핑!$A$5:$A$504,0))&amp;"","")="유지비",COUNTIF(계정대체기준!$A$6:$A$15,$N4687)&gt;0),IFERROR(INDEX(계정대체기준!$E$6:$E$15,MATCH(VALUE($A4687&amp;""),계정대체기준!$D$6:$D$15,0)),0),0))</f>
        <v/>
      </c>
      <c r="AH4687" s="64">
        <f>IF($A4687="","",IF(AD4687=0,"",IF(OR(COUNTIF(계정대체기준!$A$77:$A$86,$N4687)&gt;0,ISNUMBER(MATCH($X4687,계정대체기준!$D$77:$D$86,0)),ISNUMBER(MATCH($F4687,계정대체기준!$D$77:$D$86,0))),"Y","N")))</f>
        <v/>
      </c>
    </row>
    <row r="4688">
      <c r="A4688" s="92" t="n">
        <v>2026</v>
      </c>
      <c r="B4688" s="92" t="n">
        <v>9</v>
      </c>
      <c r="C4688" s="92" t="inlineStr">
        <is>
          <t>5100001966</t>
        </is>
      </c>
      <c r="D4688" s="95" t="n">
        <v>46280</v>
      </c>
      <c r="E4688" s="92" t="inlineStr">
        <is>
          <t>KR</t>
        </is>
      </c>
      <c r="F4688" s="92" t="n">
        <v>62101000</v>
      </c>
      <c r="G4688" s="92" t="n">
        <v>1701</v>
      </c>
      <c r="H4688" s="93" t="n">
        <v>157000</v>
      </c>
      <c r="I4688" s="92" t="inlineStr">
        <is>
          <t>9월 국내출장 - (법인카드)</t>
        </is>
      </c>
      <c r="J4688" s="92" t="inlineStr">
        <is>
          <t>V10010</t>
        </is>
      </c>
      <c r="K4688" s="92" t="inlineStr">
        <is>
          <t>(법인카드)</t>
        </is>
      </c>
      <c r="M4688" s="9">
        <f>IF($A4688="","",VALUE($A4688&amp;"")*12+VALUE($B4688&amp;""))</f>
        <v/>
      </c>
      <c r="N4688" s="64">
        <f>IF($A4688="","",IFERROR(INDEX(부서매핑!$C$5:$C$504,MATCH($G4688&amp;"",부서매핑!$A$5:$A$504,0)),"미매핑"))</f>
        <v/>
      </c>
      <c r="O4688" s="9">
        <f>IF($A4688="","",N4688&amp;"|"&amp;$F4688)</f>
        <v/>
      </c>
      <c r="P4688" s="94">
        <f>IF($A4688="",0,$H4688*설정!$C$23)</f>
        <v/>
      </c>
      <c r="Q4688" s="64">
        <f>IF($A4688="","",IF(O4688&lt;&gt;원인분석!$C$9,"",IF(AND(M4688&gt;=원인분석!$C$10,M4688&lt;=원인분석!$C$11),"당기",IF(AND(M4688&gt;=원인분석!$C$12,M4688&lt;=원인분석!$C$13),"비교",""))))</f>
        <v/>
      </c>
      <c r="R4688" s="9">
        <f>IF(Q4688="","",$K4688&amp;"")</f>
        <v/>
      </c>
      <c r="S4688" s="9">
        <f>IF(Q4688="","",IF(MATCH(R4688,$R$5:$R$100000,0)=ROW()-4,ROW(),""))</f>
        <v/>
      </c>
      <c r="T4688" s="9">
        <f>IF(Q4688="당기",ABS(P4688)+ROW()/1000000000,"")</f>
        <v/>
      </c>
      <c r="U4688" s="9">
        <f>IF(Q4688="비교",ABS(P4688)+ROW()/1000000000,"")</f>
        <v/>
      </c>
      <c r="V4688" s="64">
        <f>IF($A4688="","",IF(COUNTIF(변동분석!$E$7:$E$506,O4688)&gt;0,"Y","N"))</f>
        <v/>
      </c>
      <c r="W4688" s="64">
        <f>IF($A4688="","",IFERROR(INDEX(계정매핑!$D$5:$D$504,MATCH($F4688&amp;"",계정매핑!$A$5:$A$504,0)),"미매핑"))</f>
        <v/>
      </c>
      <c r="X4688" s="9">
        <f>IF($A4688="","",$F4688&amp;"")</f>
        <v/>
      </c>
      <c r="Y4688" s="94">
        <f>IF($A4688="",0,IF(AE4688="직접",IF(AF4688="비귀속",$P4688,0),$P4688*(1-AG4688)*IFERROR(INDEX(계정대체기준!$F$20:$F$49,MATCH($N4688,계정대체기준!$A$20:$A$49,0)),1)))</f>
        <v/>
      </c>
      <c r="Z4688" s="94">
        <f>IF($A4688="",0,IF(AE4688="직접",IF(AF4688="신계약비",$P4688,0),$P4688*(1-AG4688)*IFERROR(INDEX(계정대체기준!$C$20:$C$49,MATCH($N4688,계정대체기준!$A$20:$A$49,0)),0)))</f>
        <v/>
      </c>
      <c r="AA4688" s="94">
        <f>IF($A4688="",0,IF(AE4688="직접",IF(OR(AF4688="유지비",AF4688="손해조사비"),$P4688,0),$P4688*(1-AG4688)*IFERROR(INDEX(계정대체기준!$D$20:$D$49,MATCH($N4688,계정대체기준!$A$20:$A$49,0)),0)))</f>
        <v/>
      </c>
      <c r="AB4688" s="94">
        <f>IF($A4688="",0,IF(AE4688="직접",IF(AF4688="수금비",$P4688,0),$P4688*(1-AG4688)*IFERROR(INDEX(계정대체기준!$E$20:$E$49,MATCH($N4688,계정대체기준!$A$20:$A$49,0)),0)))</f>
        <v/>
      </c>
      <c r="AC4688" s="9">
        <f>IF(AND($A4688&lt;&gt;"",M4688=설정!$C$20,Z4688&gt;0),Z4688+ROW()/1000000000,"")</f>
        <v/>
      </c>
      <c r="AD4688" s="94">
        <f>IF($A4688="",0,$P4688*AG4688)</f>
        <v/>
      </c>
      <c r="AE4688" s="64">
        <f>IF($A4688="","",IFERROR(INDEX(계정매핑!$E$5:$E$504,MATCH($F4688&amp;"",계정매핑!$A$5:$A$504,0))&amp;"","공통비"))</f>
        <v/>
      </c>
      <c r="AF4688" s="64">
        <f>IF($A4688="","",IF(AE4688="직접",IFERROR(INDEX(계정매핑!$F$5:$F$504,MATCH($F4688&amp;"",계정매핑!$A$5:$A$504,0))&amp;"","비귀속"),""))</f>
        <v/>
      </c>
      <c r="AG4688" s="96">
        <f>IF($A4688="",0,IF(AND(AE4688&lt;&gt;"직접",IFERROR(INDEX(계정매핑!$G$5:$G$504,MATCH($F4688&amp;"",계정매핑!$A$5:$A$504,0))&amp;"","")="유지비",COUNTIF(계정대체기준!$A$6:$A$15,$N4688)&gt;0),IFERROR(INDEX(계정대체기준!$E$6:$E$15,MATCH(VALUE($A4688&amp;""),계정대체기준!$D$6:$D$15,0)),0),0))</f>
        <v/>
      </c>
      <c r="AH4688" s="64">
        <f>IF($A4688="","",IF(AD4688=0,"",IF(OR(COUNTIF(계정대체기준!$A$77:$A$86,$N4688)&gt;0,ISNUMBER(MATCH($X4688,계정대체기준!$D$77:$D$86,0)),ISNUMBER(MATCH($F4688,계정대체기준!$D$77:$D$86,0))),"Y","N")))</f>
        <v/>
      </c>
    </row>
    <row r="4689">
      <c r="A4689" s="92" t="n">
        <v>2026</v>
      </c>
      <c r="B4689" s="92" t="n">
        <v>9</v>
      </c>
      <c r="C4689" s="92" t="inlineStr">
        <is>
          <t>5100001967</t>
        </is>
      </c>
      <c r="D4689" s="95" t="n">
        <v>46280</v>
      </c>
      <c r="E4689" s="92" t="inlineStr">
        <is>
          <t>KR</t>
        </is>
      </c>
      <c r="F4689" s="92" t="n">
        <v>62101000</v>
      </c>
      <c r="G4689" s="92" t="n">
        <v>1801</v>
      </c>
      <c r="H4689" s="93" t="n">
        <v>174000</v>
      </c>
      <c r="I4689" s="92" t="inlineStr">
        <is>
          <t>9월 국내출장 - (법인카드)</t>
        </is>
      </c>
      <c r="J4689" s="92" t="inlineStr">
        <is>
          <t>V10010</t>
        </is>
      </c>
      <c r="K4689" s="92" t="inlineStr">
        <is>
          <t>(법인카드)</t>
        </is>
      </c>
      <c r="M4689" s="9">
        <f>IF($A4689="","",VALUE($A4689&amp;"")*12+VALUE($B4689&amp;""))</f>
        <v/>
      </c>
      <c r="N4689" s="64">
        <f>IF($A4689="","",IFERROR(INDEX(부서매핑!$C$5:$C$504,MATCH($G4689&amp;"",부서매핑!$A$5:$A$504,0)),"미매핑"))</f>
        <v/>
      </c>
      <c r="O4689" s="9">
        <f>IF($A4689="","",N4689&amp;"|"&amp;$F4689)</f>
        <v/>
      </c>
      <c r="P4689" s="94">
        <f>IF($A4689="",0,$H4689*설정!$C$23)</f>
        <v/>
      </c>
      <c r="Q4689" s="64">
        <f>IF($A4689="","",IF(O4689&lt;&gt;원인분석!$C$9,"",IF(AND(M4689&gt;=원인분석!$C$10,M4689&lt;=원인분석!$C$11),"당기",IF(AND(M4689&gt;=원인분석!$C$12,M4689&lt;=원인분석!$C$13),"비교",""))))</f>
        <v/>
      </c>
      <c r="R4689" s="9">
        <f>IF(Q4689="","",$K4689&amp;"")</f>
        <v/>
      </c>
      <c r="S4689" s="9">
        <f>IF(Q4689="","",IF(MATCH(R4689,$R$5:$R$100000,0)=ROW()-4,ROW(),""))</f>
        <v/>
      </c>
      <c r="T4689" s="9">
        <f>IF(Q4689="당기",ABS(P4689)+ROW()/1000000000,"")</f>
        <v/>
      </c>
      <c r="U4689" s="9">
        <f>IF(Q4689="비교",ABS(P4689)+ROW()/1000000000,"")</f>
        <v/>
      </c>
      <c r="V4689" s="64">
        <f>IF($A4689="","",IF(COUNTIF(변동분석!$E$7:$E$506,O4689)&gt;0,"Y","N"))</f>
        <v/>
      </c>
      <c r="W4689" s="64">
        <f>IF($A4689="","",IFERROR(INDEX(계정매핑!$D$5:$D$504,MATCH($F4689&amp;"",계정매핑!$A$5:$A$504,0)),"미매핑"))</f>
        <v/>
      </c>
      <c r="X4689" s="9">
        <f>IF($A4689="","",$F4689&amp;"")</f>
        <v/>
      </c>
      <c r="Y4689" s="94">
        <f>IF($A4689="",0,IF(AE4689="직접",IF(AF4689="비귀속",$P4689,0),$P4689*(1-AG4689)*IFERROR(INDEX(계정대체기준!$F$20:$F$49,MATCH($N4689,계정대체기준!$A$20:$A$49,0)),1)))</f>
        <v/>
      </c>
      <c r="Z4689" s="94">
        <f>IF($A4689="",0,IF(AE4689="직접",IF(AF4689="신계약비",$P4689,0),$P4689*(1-AG4689)*IFERROR(INDEX(계정대체기준!$C$20:$C$49,MATCH($N4689,계정대체기준!$A$20:$A$49,0)),0)))</f>
        <v/>
      </c>
      <c r="AA4689" s="94">
        <f>IF($A4689="",0,IF(AE4689="직접",IF(OR(AF4689="유지비",AF4689="손해조사비"),$P4689,0),$P4689*(1-AG4689)*IFERROR(INDEX(계정대체기준!$D$20:$D$49,MATCH($N4689,계정대체기준!$A$20:$A$49,0)),0)))</f>
        <v/>
      </c>
      <c r="AB4689" s="94">
        <f>IF($A4689="",0,IF(AE4689="직접",IF(AF4689="수금비",$P4689,0),$P4689*(1-AG4689)*IFERROR(INDEX(계정대체기준!$E$20:$E$49,MATCH($N4689,계정대체기준!$A$20:$A$49,0)),0)))</f>
        <v/>
      </c>
      <c r="AC4689" s="9">
        <f>IF(AND($A4689&lt;&gt;"",M4689=설정!$C$20,Z4689&gt;0),Z4689+ROW()/1000000000,"")</f>
        <v/>
      </c>
      <c r="AD4689" s="94">
        <f>IF($A4689="",0,$P4689*AG4689)</f>
        <v/>
      </c>
      <c r="AE4689" s="64">
        <f>IF($A4689="","",IFERROR(INDEX(계정매핑!$E$5:$E$504,MATCH($F4689&amp;"",계정매핑!$A$5:$A$504,0))&amp;"","공통비"))</f>
        <v/>
      </c>
      <c r="AF4689" s="64">
        <f>IF($A4689="","",IF(AE4689="직접",IFERROR(INDEX(계정매핑!$F$5:$F$504,MATCH($F4689&amp;"",계정매핑!$A$5:$A$504,0))&amp;"","비귀속"),""))</f>
        <v/>
      </c>
      <c r="AG4689" s="96">
        <f>IF($A4689="",0,IF(AND(AE4689&lt;&gt;"직접",IFERROR(INDEX(계정매핑!$G$5:$G$504,MATCH($F4689&amp;"",계정매핑!$A$5:$A$504,0))&amp;"","")="유지비",COUNTIF(계정대체기준!$A$6:$A$15,$N4689)&gt;0),IFERROR(INDEX(계정대체기준!$E$6:$E$15,MATCH(VALUE($A4689&amp;""),계정대체기준!$D$6:$D$15,0)),0),0))</f>
        <v/>
      </c>
      <c r="AH4689" s="64">
        <f>IF($A4689="","",IF(AD4689=0,"",IF(OR(COUNTIF(계정대체기준!$A$77:$A$86,$N4689)&gt;0,ISNUMBER(MATCH($X4689,계정대체기준!$D$77:$D$86,0)),ISNUMBER(MATCH($F4689,계정대체기준!$D$77:$D$86,0))),"Y","N")))</f>
        <v/>
      </c>
    </row>
    <row r="4690">
      <c r="A4690" s="92" t="n">
        <v>2026</v>
      </c>
      <c r="B4690" s="92" t="n">
        <v>9</v>
      </c>
      <c r="C4690" s="92" t="inlineStr">
        <is>
          <t>5100001968</t>
        </is>
      </c>
      <c r="D4690" s="95" t="n">
        <v>46280</v>
      </c>
      <c r="E4690" s="92" t="inlineStr">
        <is>
          <t>KR</t>
        </is>
      </c>
      <c r="F4690" s="92" t="n">
        <v>62201000</v>
      </c>
      <c r="G4690" s="92" t="n">
        <v>1401</v>
      </c>
      <c r="H4690" s="93" t="n">
        <v>150000</v>
      </c>
      <c r="I4690" s="92" t="inlineStr">
        <is>
          <t>9월 통신요금 - O텔레콤</t>
        </is>
      </c>
      <c r="J4690" s="92" t="inlineStr">
        <is>
          <t>V10002</t>
        </is>
      </c>
      <c r="K4690" s="92" t="inlineStr">
        <is>
          <t>O텔레콤</t>
        </is>
      </c>
      <c r="M4690" s="9">
        <f>IF($A4690="","",VALUE($A4690&amp;"")*12+VALUE($B4690&amp;""))</f>
        <v/>
      </c>
      <c r="N4690" s="64">
        <f>IF($A4690="","",IFERROR(INDEX(부서매핑!$C$5:$C$504,MATCH($G4690&amp;"",부서매핑!$A$5:$A$504,0)),"미매핑"))</f>
        <v/>
      </c>
      <c r="O4690" s="9">
        <f>IF($A4690="","",N4690&amp;"|"&amp;$F4690)</f>
        <v/>
      </c>
      <c r="P4690" s="94">
        <f>IF($A4690="",0,$H4690*설정!$C$23)</f>
        <v/>
      </c>
      <c r="Q4690" s="64">
        <f>IF($A4690="","",IF(O4690&lt;&gt;원인분석!$C$9,"",IF(AND(M4690&gt;=원인분석!$C$10,M4690&lt;=원인분석!$C$11),"당기",IF(AND(M4690&gt;=원인분석!$C$12,M4690&lt;=원인분석!$C$13),"비교",""))))</f>
        <v/>
      </c>
      <c r="R4690" s="9">
        <f>IF(Q4690="","",$K4690&amp;"")</f>
        <v/>
      </c>
      <c r="S4690" s="9">
        <f>IF(Q4690="","",IF(MATCH(R4690,$R$5:$R$100000,0)=ROW()-4,ROW(),""))</f>
        <v/>
      </c>
      <c r="T4690" s="9">
        <f>IF(Q4690="당기",ABS(P4690)+ROW()/1000000000,"")</f>
        <v/>
      </c>
      <c r="U4690" s="9">
        <f>IF(Q4690="비교",ABS(P4690)+ROW()/1000000000,"")</f>
        <v/>
      </c>
      <c r="V4690" s="64">
        <f>IF($A4690="","",IF(COUNTIF(변동분석!$E$7:$E$506,O4690)&gt;0,"Y","N"))</f>
        <v/>
      </c>
      <c r="W4690" s="64">
        <f>IF($A4690="","",IFERROR(INDEX(계정매핑!$D$5:$D$504,MATCH($F4690&amp;"",계정매핑!$A$5:$A$504,0)),"미매핑"))</f>
        <v/>
      </c>
      <c r="X4690" s="9">
        <f>IF($A4690="","",$F4690&amp;"")</f>
        <v/>
      </c>
      <c r="Y4690" s="94">
        <f>IF($A4690="",0,IF(AE4690="직접",IF(AF4690="비귀속",$P4690,0),$P4690*(1-AG4690)*IFERROR(INDEX(계정대체기준!$F$20:$F$49,MATCH($N4690,계정대체기준!$A$20:$A$49,0)),1)))</f>
        <v/>
      </c>
      <c r="Z4690" s="94">
        <f>IF($A4690="",0,IF(AE4690="직접",IF(AF4690="신계약비",$P4690,0),$P4690*(1-AG4690)*IFERROR(INDEX(계정대체기준!$C$20:$C$49,MATCH($N4690,계정대체기준!$A$20:$A$49,0)),0)))</f>
        <v/>
      </c>
      <c r="AA4690" s="94">
        <f>IF($A4690="",0,IF(AE4690="직접",IF(OR(AF4690="유지비",AF4690="손해조사비"),$P4690,0),$P4690*(1-AG4690)*IFERROR(INDEX(계정대체기준!$D$20:$D$49,MATCH($N4690,계정대체기준!$A$20:$A$49,0)),0)))</f>
        <v/>
      </c>
      <c r="AB4690" s="94">
        <f>IF($A4690="",0,IF(AE4690="직접",IF(AF4690="수금비",$P4690,0),$P4690*(1-AG4690)*IFERROR(INDEX(계정대체기준!$E$20:$E$49,MATCH($N4690,계정대체기준!$A$20:$A$49,0)),0)))</f>
        <v/>
      </c>
      <c r="AC4690" s="9">
        <f>IF(AND($A4690&lt;&gt;"",M4690=설정!$C$20,Z4690&gt;0),Z4690+ROW()/1000000000,"")</f>
        <v/>
      </c>
      <c r="AD4690" s="94">
        <f>IF($A4690="",0,$P4690*AG4690)</f>
        <v/>
      </c>
      <c r="AE4690" s="64">
        <f>IF($A4690="","",IFERROR(INDEX(계정매핑!$E$5:$E$504,MATCH($F4690&amp;"",계정매핑!$A$5:$A$504,0))&amp;"","공통비"))</f>
        <v/>
      </c>
      <c r="AF4690" s="64">
        <f>IF($A4690="","",IF(AE4690="직접",IFERROR(INDEX(계정매핑!$F$5:$F$504,MATCH($F4690&amp;"",계정매핑!$A$5:$A$504,0))&amp;"","비귀속"),""))</f>
        <v/>
      </c>
      <c r="AG4690" s="96">
        <f>IF($A4690="",0,IF(AND(AE4690&lt;&gt;"직접",IFERROR(INDEX(계정매핑!$G$5:$G$504,MATCH($F4690&amp;"",계정매핑!$A$5:$A$504,0))&amp;"","")="유지비",COUNTIF(계정대체기준!$A$6:$A$15,$N4690)&gt;0),IFERROR(INDEX(계정대체기준!$E$6:$E$15,MATCH(VALUE($A4690&amp;""),계정대체기준!$D$6:$D$15,0)),0),0))</f>
        <v/>
      </c>
      <c r="AH4690" s="64">
        <f>IF($A4690="","",IF(AD4690=0,"",IF(OR(COUNTIF(계정대체기준!$A$77:$A$86,$N4690)&gt;0,ISNUMBER(MATCH($X4690,계정대체기준!$D$77:$D$86,0)),ISNUMBER(MATCH($F4690,계정대체기준!$D$77:$D$86,0))),"Y","N")))</f>
        <v/>
      </c>
    </row>
    <row r="4691">
      <c r="A4691" s="92" t="n">
        <v>2026</v>
      </c>
      <c r="B4691" s="92" t="n">
        <v>9</v>
      </c>
      <c r="C4691" s="92" t="inlineStr">
        <is>
          <t>5100001969</t>
        </is>
      </c>
      <c r="D4691" s="95" t="n">
        <v>46280</v>
      </c>
      <c r="E4691" s="92" t="inlineStr">
        <is>
          <t>KR</t>
        </is>
      </c>
      <c r="F4691" s="92" t="n">
        <v>62201000</v>
      </c>
      <c r="G4691" s="92" t="n">
        <v>1602</v>
      </c>
      <c r="H4691" s="93" t="n">
        <v>566000</v>
      </c>
      <c r="I4691" s="92" t="inlineStr">
        <is>
          <t>9월 통신요금 - P통신</t>
        </is>
      </c>
      <c r="J4691" s="92" t="inlineStr">
        <is>
          <t>V10014</t>
        </is>
      </c>
      <c r="K4691" s="92" t="inlineStr">
        <is>
          <t>P통신</t>
        </is>
      </c>
      <c r="M4691" s="9">
        <f>IF($A4691="","",VALUE($A4691&amp;"")*12+VALUE($B4691&amp;""))</f>
        <v/>
      </c>
      <c r="N4691" s="64">
        <f>IF($A4691="","",IFERROR(INDEX(부서매핑!$C$5:$C$504,MATCH($G4691&amp;"",부서매핑!$A$5:$A$504,0)),"미매핑"))</f>
        <v/>
      </c>
      <c r="O4691" s="9">
        <f>IF($A4691="","",N4691&amp;"|"&amp;$F4691)</f>
        <v/>
      </c>
      <c r="P4691" s="94">
        <f>IF($A4691="",0,$H4691*설정!$C$23)</f>
        <v/>
      </c>
      <c r="Q4691" s="64">
        <f>IF($A4691="","",IF(O4691&lt;&gt;원인분석!$C$9,"",IF(AND(M4691&gt;=원인분석!$C$10,M4691&lt;=원인분석!$C$11),"당기",IF(AND(M4691&gt;=원인분석!$C$12,M4691&lt;=원인분석!$C$13),"비교",""))))</f>
        <v/>
      </c>
      <c r="R4691" s="9">
        <f>IF(Q4691="","",$K4691&amp;"")</f>
        <v/>
      </c>
      <c r="S4691" s="9">
        <f>IF(Q4691="","",IF(MATCH(R4691,$R$5:$R$100000,0)=ROW()-4,ROW(),""))</f>
        <v/>
      </c>
      <c r="T4691" s="9">
        <f>IF(Q4691="당기",ABS(P4691)+ROW()/1000000000,"")</f>
        <v/>
      </c>
      <c r="U4691" s="9">
        <f>IF(Q4691="비교",ABS(P4691)+ROW()/1000000000,"")</f>
        <v/>
      </c>
      <c r="V4691" s="64">
        <f>IF($A4691="","",IF(COUNTIF(변동분석!$E$7:$E$506,O4691)&gt;0,"Y","N"))</f>
        <v/>
      </c>
      <c r="W4691" s="64">
        <f>IF($A4691="","",IFERROR(INDEX(계정매핑!$D$5:$D$504,MATCH($F4691&amp;"",계정매핑!$A$5:$A$504,0)),"미매핑"))</f>
        <v/>
      </c>
      <c r="X4691" s="9">
        <f>IF($A4691="","",$F4691&amp;"")</f>
        <v/>
      </c>
      <c r="Y4691" s="94">
        <f>IF($A4691="",0,IF(AE4691="직접",IF(AF4691="비귀속",$P4691,0),$P4691*(1-AG4691)*IFERROR(INDEX(계정대체기준!$F$20:$F$49,MATCH($N4691,계정대체기준!$A$20:$A$49,0)),1)))</f>
        <v/>
      </c>
      <c r="Z4691" s="94">
        <f>IF($A4691="",0,IF(AE4691="직접",IF(AF4691="신계약비",$P4691,0),$P4691*(1-AG4691)*IFERROR(INDEX(계정대체기준!$C$20:$C$49,MATCH($N4691,계정대체기준!$A$20:$A$49,0)),0)))</f>
        <v/>
      </c>
      <c r="AA4691" s="94">
        <f>IF($A4691="",0,IF(AE4691="직접",IF(OR(AF4691="유지비",AF4691="손해조사비"),$P4691,0),$P4691*(1-AG4691)*IFERROR(INDEX(계정대체기준!$D$20:$D$49,MATCH($N4691,계정대체기준!$A$20:$A$49,0)),0)))</f>
        <v/>
      </c>
      <c r="AB4691" s="94">
        <f>IF($A4691="",0,IF(AE4691="직접",IF(AF4691="수금비",$P4691,0),$P4691*(1-AG4691)*IFERROR(INDEX(계정대체기준!$E$20:$E$49,MATCH($N4691,계정대체기준!$A$20:$A$49,0)),0)))</f>
        <v/>
      </c>
      <c r="AC4691" s="9">
        <f>IF(AND($A4691&lt;&gt;"",M4691=설정!$C$20,Z4691&gt;0),Z4691+ROW()/1000000000,"")</f>
        <v/>
      </c>
      <c r="AD4691" s="94">
        <f>IF($A4691="",0,$P4691*AG4691)</f>
        <v/>
      </c>
      <c r="AE4691" s="64">
        <f>IF($A4691="","",IFERROR(INDEX(계정매핑!$E$5:$E$504,MATCH($F4691&amp;"",계정매핑!$A$5:$A$504,0))&amp;"","공통비"))</f>
        <v/>
      </c>
      <c r="AF4691" s="64">
        <f>IF($A4691="","",IF(AE4691="직접",IFERROR(INDEX(계정매핑!$F$5:$F$504,MATCH($F4691&amp;"",계정매핑!$A$5:$A$504,0))&amp;"","비귀속"),""))</f>
        <v/>
      </c>
      <c r="AG4691" s="96">
        <f>IF($A4691="",0,IF(AND(AE4691&lt;&gt;"직접",IFERROR(INDEX(계정매핑!$G$5:$G$504,MATCH($F4691&amp;"",계정매핑!$A$5:$A$504,0))&amp;"","")="유지비",COUNTIF(계정대체기준!$A$6:$A$15,$N4691)&gt;0),IFERROR(INDEX(계정대체기준!$E$6:$E$15,MATCH(VALUE($A4691&amp;""),계정대체기준!$D$6:$D$15,0)),0),0))</f>
        <v/>
      </c>
      <c r="AH4691" s="64">
        <f>IF($A4691="","",IF(AD4691=0,"",IF(OR(COUNTIF(계정대체기준!$A$77:$A$86,$N4691)&gt;0,ISNUMBER(MATCH($X4691,계정대체기준!$D$77:$D$86,0)),ISNUMBER(MATCH($F4691,계정대체기준!$D$77:$D$86,0))),"Y","N")))</f>
        <v/>
      </c>
    </row>
    <row r="4692">
      <c r="A4692" s="92" t="n">
        <v>2026</v>
      </c>
      <c r="B4692" s="92" t="n">
        <v>9</v>
      </c>
      <c r="C4692" s="92" t="inlineStr">
        <is>
          <t>5100001970</t>
        </is>
      </c>
      <c r="D4692" s="95" t="n">
        <v>46280</v>
      </c>
      <c r="E4692" s="92" t="inlineStr">
        <is>
          <t>KR</t>
        </is>
      </c>
      <c r="F4692" s="92" t="n">
        <v>62701000</v>
      </c>
      <c r="G4692" s="92" t="n">
        <v>1501</v>
      </c>
      <c r="H4692" s="93" t="n">
        <v>32348000</v>
      </c>
      <c r="I4692" s="92" t="inlineStr">
        <is>
          <t>9월 광고 집행 - F애드</t>
        </is>
      </c>
      <c r="J4692" s="92" t="inlineStr">
        <is>
          <t>V10023</t>
        </is>
      </c>
      <c r="K4692" s="92" t="inlineStr">
        <is>
          <t>F애드</t>
        </is>
      </c>
      <c r="M4692" s="9">
        <f>IF($A4692="","",VALUE($A4692&amp;"")*12+VALUE($B4692&amp;""))</f>
        <v/>
      </c>
      <c r="N4692" s="64">
        <f>IF($A4692="","",IFERROR(INDEX(부서매핑!$C$5:$C$504,MATCH($G4692&amp;"",부서매핑!$A$5:$A$504,0)),"미매핑"))</f>
        <v/>
      </c>
      <c r="O4692" s="9">
        <f>IF($A4692="","",N4692&amp;"|"&amp;$F4692)</f>
        <v/>
      </c>
      <c r="P4692" s="94">
        <f>IF($A4692="",0,$H4692*설정!$C$23)</f>
        <v/>
      </c>
      <c r="Q4692" s="64">
        <f>IF($A4692="","",IF(O4692&lt;&gt;원인분석!$C$9,"",IF(AND(M4692&gt;=원인분석!$C$10,M4692&lt;=원인분석!$C$11),"당기",IF(AND(M4692&gt;=원인분석!$C$12,M4692&lt;=원인분석!$C$13),"비교",""))))</f>
        <v/>
      </c>
      <c r="R4692" s="9">
        <f>IF(Q4692="","",$K4692&amp;"")</f>
        <v/>
      </c>
      <c r="S4692" s="9">
        <f>IF(Q4692="","",IF(MATCH(R4692,$R$5:$R$100000,0)=ROW()-4,ROW(),""))</f>
        <v/>
      </c>
      <c r="T4692" s="9">
        <f>IF(Q4692="당기",ABS(P4692)+ROW()/1000000000,"")</f>
        <v/>
      </c>
      <c r="U4692" s="9">
        <f>IF(Q4692="비교",ABS(P4692)+ROW()/1000000000,"")</f>
        <v/>
      </c>
      <c r="V4692" s="64">
        <f>IF($A4692="","",IF(COUNTIF(변동분석!$E$7:$E$506,O4692)&gt;0,"Y","N"))</f>
        <v/>
      </c>
      <c r="W4692" s="64">
        <f>IF($A4692="","",IFERROR(INDEX(계정매핑!$D$5:$D$504,MATCH($F4692&amp;"",계정매핑!$A$5:$A$504,0)),"미매핑"))</f>
        <v/>
      </c>
      <c r="X4692" s="9">
        <f>IF($A4692="","",$F4692&amp;"")</f>
        <v/>
      </c>
      <c r="Y4692" s="94">
        <f>IF($A4692="",0,IF(AE4692="직접",IF(AF4692="비귀속",$P4692,0),$P4692*(1-AG4692)*IFERROR(INDEX(계정대체기준!$F$20:$F$49,MATCH($N4692,계정대체기준!$A$20:$A$49,0)),1)))</f>
        <v/>
      </c>
      <c r="Z4692" s="94">
        <f>IF($A4692="",0,IF(AE4692="직접",IF(AF4692="신계약비",$P4692,0),$P4692*(1-AG4692)*IFERROR(INDEX(계정대체기준!$C$20:$C$49,MATCH($N4692,계정대체기준!$A$20:$A$49,0)),0)))</f>
        <v/>
      </c>
      <c r="AA4692" s="94">
        <f>IF($A4692="",0,IF(AE4692="직접",IF(OR(AF4692="유지비",AF4692="손해조사비"),$P4692,0),$P4692*(1-AG4692)*IFERROR(INDEX(계정대체기준!$D$20:$D$49,MATCH($N4692,계정대체기준!$A$20:$A$49,0)),0)))</f>
        <v/>
      </c>
      <c r="AB4692" s="94">
        <f>IF($A4692="",0,IF(AE4692="직접",IF(AF4692="수금비",$P4692,0),$P4692*(1-AG4692)*IFERROR(INDEX(계정대체기준!$E$20:$E$49,MATCH($N4692,계정대체기준!$A$20:$A$49,0)),0)))</f>
        <v/>
      </c>
      <c r="AC4692" s="9">
        <f>IF(AND($A4692&lt;&gt;"",M4692=설정!$C$20,Z4692&gt;0),Z4692+ROW()/1000000000,"")</f>
        <v/>
      </c>
      <c r="AD4692" s="94">
        <f>IF($A4692="",0,$P4692*AG4692)</f>
        <v/>
      </c>
      <c r="AE4692" s="64">
        <f>IF($A4692="","",IFERROR(INDEX(계정매핑!$E$5:$E$504,MATCH($F4692&amp;"",계정매핑!$A$5:$A$504,0))&amp;"","공통비"))</f>
        <v/>
      </c>
      <c r="AF4692" s="64">
        <f>IF($A4692="","",IF(AE4692="직접",IFERROR(INDEX(계정매핑!$F$5:$F$504,MATCH($F4692&amp;"",계정매핑!$A$5:$A$504,0))&amp;"","비귀속"),""))</f>
        <v/>
      </c>
      <c r="AG4692" s="96">
        <f>IF($A4692="",0,IF(AND(AE4692&lt;&gt;"직접",IFERROR(INDEX(계정매핑!$G$5:$G$504,MATCH($F4692&amp;"",계정매핑!$A$5:$A$504,0))&amp;"","")="유지비",COUNTIF(계정대체기준!$A$6:$A$15,$N4692)&gt;0),IFERROR(INDEX(계정대체기준!$E$6:$E$15,MATCH(VALUE($A4692&amp;""),계정대체기준!$D$6:$D$15,0)),0),0))</f>
        <v/>
      </c>
      <c r="AH4692" s="64">
        <f>IF($A4692="","",IF(AD4692=0,"",IF(OR(COUNTIF(계정대체기준!$A$77:$A$86,$N4692)&gt;0,ISNUMBER(MATCH($X4692,계정대체기준!$D$77:$D$86,0)),ISNUMBER(MATCH($F4692,계정대체기준!$D$77:$D$86,0))),"Y","N")))</f>
        <v/>
      </c>
    </row>
    <row r="4693">
      <c r="A4693" s="92" t="n">
        <v>2026</v>
      </c>
      <c r="B4693" s="92" t="n">
        <v>9</v>
      </c>
      <c r="C4693" s="92" t="inlineStr">
        <is>
          <t>5100001971</t>
        </is>
      </c>
      <c r="D4693" s="95" t="n">
        <v>46280</v>
      </c>
      <c r="E4693" s="92" t="inlineStr">
        <is>
          <t>KR</t>
        </is>
      </c>
      <c r="F4693" s="92" t="n">
        <v>62802000</v>
      </c>
      <c r="G4693" s="92" t="n">
        <v>1301</v>
      </c>
      <c r="H4693" s="93" t="n">
        <v>60000000</v>
      </c>
      <c r="I4693" s="92" t="inlineStr">
        <is>
          <t>2026 하반기 위탁교육 연간계약 일시 지급</t>
        </is>
      </c>
      <c r="J4693" s="92" t="inlineStr">
        <is>
          <t>V10019</t>
        </is>
      </c>
      <c r="K4693" s="92" t="inlineStr">
        <is>
          <t>I교육원</t>
        </is>
      </c>
      <c r="M4693" s="9">
        <f>IF($A4693="","",VALUE($A4693&amp;"")*12+VALUE($B4693&amp;""))</f>
        <v/>
      </c>
      <c r="N4693" s="64">
        <f>IF($A4693="","",IFERROR(INDEX(부서매핑!$C$5:$C$504,MATCH($G4693&amp;"",부서매핑!$A$5:$A$504,0)),"미매핑"))</f>
        <v/>
      </c>
      <c r="O4693" s="9">
        <f>IF($A4693="","",N4693&amp;"|"&amp;$F4693)</f>
        <v/>
      </c>
      <c r="P4693" s="94">
        <f>IF($A4693="",0,$H4693*설정!$C$23)</f>
        <v/>
      </c>
      <c r="Q4693" s="64">
        <f>IF($A4693="","",IF(O4693&lt;&gt;원인분석!$C$9,"",IF(AND(M4693&gt;=원인분석!$C$10,M4693&lt;=원인분석!$C$11),"당기",IF(AND(M4693&gt;=원인분석!$C$12,M4693&lt;=원인분석!$C$13),"비교",""))))</f>
        <v/>
      </c>
      <c r="R4693" s="9">
        <f>IF(Q4693="","",$K4693&amp;"")</f>
        <v/>
      </c>
      <c r="S4693" s="9">
        <f>IF(Q4693="","",IF(MATCH(R4693,$R$5:$R$100000,0)=ROW()-4,ROW(),""))</f>
        <v/>
      </c>
      <c r="T4693" s="9">
        <f>IF(Q4693="당기",ABS(P4693)+ROW()/1000000000,"")</f>
        <v/>
      </c>
      <c r="U4693" s="9">
        <f>IF(Q4693="비교",ABS(P4693)+ROW()/1000000000,"")</f>
        <v/>
      </c>
      <c r="V4693" s="64">
        <f>IF($A4693="","",IF(COUNTIF(변동분석!$E$7:$E$506,O4693)&gt;0,"Y","N"))</f>
        <v/>
      </c>
      <c r="W4693" s="64">
        <f>IF($A4693="","",IFERROR(INDEX(계정매핑!$D$5:$D$504,MATCH($F4693&amp;"",계정매핑!$A$5:$A$504,0)),"미매핑"))</f>
        <v/>
      </c>
      <c r="X4693" s="9">
        <f>IF($A4693="","",$F4693&amp;"")</f>
        <v/>
      </c>
      <c r="Y4693" s="94">
        <f>IF($A4693="",0,IF(AE4693="직접",IF(AF4693="비귀속",$P4693,0),$P4693*(1-AG4693)*IFERROR(INDEX(계정대체기준!$F$20:$F$49,MATCH($N4693,계정대체기준!$A$20:$A$49,0)),1)))</f>
        <v/>
      </c>
      <c r="Z4693" s="94">
        <f>IF($A4693="",0,IF(AE4693="직접",IF(AF4693="신계약비",$P4693,0),$P4693*(1-AG4693)*IFERROR(INDEX(계정대체기준!$C$20:$C$49,MATCH($N4693,계정대체기준!$A$20:$A$49,0)),0)))</f>
        <v/>
      </c>
      <c r="AA4693" s="94">
        <f>IF($A4693="",0,IF(AE4693="직접",IF(OR(AF4693="유지비",AF4693="손해조사비"),$P4693,0),$P4693*(1-AG4693)*IFERROR(INDEX(계정대체기준!$D$20:$D$49,MATCH($N4693,계정대체기준!$A$20:$A$49,0)),0)))</f>
        <v/>
      </c>
      <c r="AB4693" s="94">
        <f>IF($A4693="",0,IF(AE4693="직접",IF(AF4693="수금비",$P4693,0),$P4693*(1-AG4693)*IFERROR(INDEX(계정대체기준!$E$20:$E$49,MATCH($N4693,계정대체기준!$A$20:$A$49,0)),0)))</f>
        <v/>
      </c>
      <c r="AC4693" s="9">
        <f>IF(AND($A4693&lt;&gt;"",M4693=설정!$C$20,Z4693&gt;0),Z4693+ROW()/1000000000,"")</f>
        <v/>
      </c>
      <c r="AD4693" s="94">
        <f>IF($A4693="",0,$P4693*AG4693)</f>
        <v/>
      </c>
      <c r="AE4693" s="64">
        <f>IF($A4693="","",IFERROR(INDEX(계정매핑!$E$5:$E$504,MATCH($F4693&amp;"",계정매핑!$A$5:$A$504,0))&amp;"","공통비"))</f>
        <v/>
      </c>
      <c r="AF4693" s="64">
        <f>IF($A4693="","",IF(AE4693="직접",IFERROR(INDEX(계정매핑!$F$5:$F$504,MATCH($F4693&amp;"",계정매핑!$A$5:$A$504,0))&amp;"","비귀속"),""))</f>
        <v/>
      </c>
      <c r="AG4693" s="96">
        <f>IF($A4693="",0,IF(AND(AE4693&lt;&gt;"직접",IFERROR(INDEX(계정매핑!$G$5:$G$504,MATCH($F4693&amp;"",계정매핑!$A$5:$A$504,0))&amp;"","")="유지비",COUNTIF(계정대체기준!$A$6:$A$15,$N4693)&gt;0),IFERROR(INDEX(계정대체기준!$E$6:$E$15,MATCH(VALUE($A4693&amp;""),계정대체기준!$D$6:$D$15,0)),0),0))</f>
        <v/>
      </c>
      <c r="AH4693" s="64">
        <f>IF($A4693="","",IF(AD4693=0,"",IF(OR(COUNTIF(계정대체기준!$A$77:$A$86,$N4693)&gt;0,ISNUMBER(MATCH($X4693,계정대체기준!$D$77:$D$86,0)),ISNUMBER(MATCH($F4693,계정대체기준!$D$77:$D$86,0))),"Y","N")))</f>
        <v/>
      </c>
    </row>
    <row r="4694">
      <c r="A4694" s="92" t="n">
        <v>2026</v>
      </c>
      <c r="B4694" s="92" t="n">
        <v>9</v>
      </c>
      <c r="C4694" s="92" t="inlineStr">
        <is>
          <t>5100001972</t>
        </is>
      </c>
      <c r="D4694" s="95" t="n">
        <v>46280</v>
      </c>
      <c r="E4694" s="92" t="inlineStr">
        <is>
          <t>KR</t>
        </is>
      </c>
      <c r="F4694" s="92" t="n">
        <v>62902000</v>
      </c>
      <c r="G4694" s="92" t="n">
        <v>1801</v>
      </c>
      <c r="H4694" s="93" t="n">
        <v>1807000</v>
      </c>
      <c r="I4694" s="92" t="inlineStr">
        <is>
          <t>9월 콜 위탁 수수료(건별)</t>
        </is>
      </c>
      <c r="J4694" s="92" t="inlineStr">
        <is>
          <t>V10016</t>
        </is>
      </c>
      <c r="K4694" s="92" t="inlineStr">
        <is>
          <t>J콜센터</t>
        </is>
      </c>
      <c r="M4694" s="9">
        <f>IF($A4694="","",VALUE($A4694&amp;"")*12+VALUE($B4694&amp;""))</f>
        <v/>
      </c>
      <c r="N4694" s="64">
        <f>IF($A4694="","",IFERROR(INDEX(부서매핑!$C$5:$C$504,MATCH($G4694&amp;"",부서매핑!$A$5:$A$504,0)),"미매핑"))</f>
        <v/>
      </c>
      <c r="O4694" s="9">
        <f>IF($A4694="","",N4694&amp;"|"&amp;$F4694)</f>
        <v/>
      </c>
      <c r="P4694" s="94">
        <f>IF($A4694="",0,$H4694*설정!$C$23)</f>
        <v/>
      </c>
      <c r="Q4694" s="64">
        <f>IF($A4694="","",IF(O4694&lt;&gt;원인분석!$C$9,"",IF(AND(M4694&gt;=원인분석!$C$10,M4694&lt;=원인분석!$C$11),"당기",IF(AND(M4694&gt;=원인분석!$C$12,M4694&lt;=원인분석!$C$13),"비교",""))))</f>
        <v/>
      </c>
      <c r="R4694" s="9">
        <f>IF(Q4694="","",$K4694&amp;"")</f>
        <v/>
      </c>
      <c r="S4694" s="9">
        <f>IF(Q4694="","",IF(MATCH(R4694,$R$5:$R$100000,0)=ROW()-4,ROW(),""))</f>
        <v/>
      </c>
      <c r="T4694" s="9">
        <f>IF(Q4694="당기",ABS(P4694)+ROW()/1000000000,"")</f>
        <v/>
      </c>
      <c r="U4694" s="9">
        <f>IF(Q4694="비교",ABS(P4694)+ROW()/1000000000,"")</f>
        <v/>
      </c>
      <c r="V4694" s="64">
        <f>IF($A4694="","",IF(COUNTIF(변동분석!$E$7:$E$506,O4694)&gt;0,"Y","N"))</f>
        <v/>
      </c>
      <c r="W4694" s="64">
        <f>IF($A4694="","",IFERROR(INDEX(계정매핑!$D$5:$D$504,MATCH($F4694&amp;"",계정매핑!$A$5:$A$504,0)),"미매핑"))</f>
        <v/>
      </c>
      <c r="X4694" s="9">
        <f>IF($A4694="","",$F4694&amp;"")</f>
        <v/>
      </c>
      <c r="Y4694" s="94">
        <f>IF($A4694="",0,IF(AE4694="직접",IF(AF4694="비귀속",$P4694,0),$P4694*(1-AG4694)*IFERROR(INDEX(계정대체기준!$F$20:$F$49,MATCH($N4694,계정대체기준!$A$20:$A$49,0)),1)))</f>
        <v/>
      </c>
      <c r="Z4694" s="94">
        <f>IF($A4694="",0,IF(AE4694="직접",IF(AF4694="신계약비",$P4694,0),$P4694*(1-AG4694)*IFERROR(INDEX(계정대체기준!$C$20:$C$49,MATCH($N4694,계정대체기준!$A$20:$A$49,0)),0)))</f>
        <v/>
      </c>
      <c r="AA4694" s="94">
        <f>IF($A4694="",0,IF(AE4694="직접",IF(OR(AF4694="유지비",AF4694="손해조사비"),$P4694,0),$P4694*(1-AG4694)*IFERROR(INDEX(계정대체기준!$D$20:$D$49,MATCH($N4694,계정대체기준!$A$20:$A$49,0)),0)))</f>
        <v/>
      </c>
      <c r="AB4694" s="94">
        <f>IF($A4694="",0,IF(AE4694="직접",IF(AF4694="수금비",$P4694,0),$P4694*(1-AG4694)*IFERROR(INDEX(계정대체기준!$E$20:$E$49,MATCH($N4694,계정대체기준!$A$20:$A$49,0)),0)))</f>
        <v/>
      </c>
      <c r="AC4694" s="9">
        <f>IF(AND($A4694&lt;&gt;"",M4694=설정!$C$20,Z4694&gt;0),Z4694+ROW()/1000000000,"")</f>
        <v/>
      </c>
      <c r="AD4694" s="94">
        <f>IF($A4694="",0,$P4694*AG4694)</f>
        <v/>
      </c>
      <c r="AE4694" s="64">
        <f>IF($A4694="","",IFERROR(INDEX(계정매핑!$E$5:$E$504,MATCH($F4694&amp;"",계정매핑!$A$5:$A$504,0))&amp;"","공통비"))</f>
        <v/>
      </c>
      <c r="AF4694" s="64">
        <f>IF($A4694="","",IF(AE4694="직접",IFERROR(INDEX(계정매핑!$F$5:$F$504,MATCH($F4694&amp;"",계정매핑!$A$5:$A$504,0))&amp;"","비귀속"),""))</f>
        <v/>
      </c>
      <c r="AG4694" s="96">
        <f>IF($A4694="",0,IF(AND(AE4694&lt;&gt;"직접",IFERROR(INDEX(계정매핑!$G$5:$G$504,MATCH($F4694&amp;"",계정매핑!$A$5:$A$504,0))&amp;"","")="유지비",COUNTIF(계정대체기준!$A$6:$A$15,$N4694)&gt;0),IFERROR(INDEX(계정대체기준!$E$6:$E$15,MATCH(VALUE($A4694&amp;""),계정대체기준!$D$6:$D$15,0)),0),0))</f>
        <v/>
      </c>
      <c r="AH4694" s="64">
        <f>IF($A4694="","",IF(AD4694=0,"",IF(OR(COUNTIF(계정대체기준!$A$77:$A$86,$N4694)&gt;0,ISNUMBER(MATCH($X4694,계정대체기준!$D$77:$D$86,0)),ISNUMBER(MATCH($F4694,계정대체기준!$D$77:$D$86,0))),"Y","N")))</f>
        <v/>
      </c>
    </row>
    <row r="4695">
      <c r="A4695" s="92" t="n">
        <v>2026</v>
      </c>
      <c r="B4695" s="92" t="n">
        <v>9</v>
      </c>
      <c r="C4695" s="92" t="inlineStr">
        <is>
          <t>5100001973</t>
        </is>
      </c>
      <c r="D4695" s="95" t="n">
        <v>46281</v>
      </c>
      <c r="E4695" s="92" t="inlineStr">
        <is>
          <t>KR</t>
        </is>
      </c>
      <c r="F4695" s="92" t="n">
        <v>62101000</v>
      </c>
      <c r="G4695" s="92" t="n">
        <v>1401</v>
      </c>
      <c r="H4695" s="93" t="n">
        <v>371000</v>
      </c>
      <c r="I4695" s="92" t="inlineStr">
        <is>
          <t>9월 국내출장 - (법인카드)</t>
        </is>
      </c>
      <c r="J4695" s="92" t="inlineStr">
        <is>
          <t>V10010</t>
        </is>
      </c>
      <c r="K4695" s="92" t="inlineStr">
        <is>
          <t>(법인카드)</t>
        </is>
      </c>
      <c r="M4695" s="9">
        <f>IF($A4695="","",VALUE($A4695&amp;"")*12+VALUE($B4695&amp;""))</f>
        <v/>
      </c>
      <c r="N4695" s="64">
        <f>IF($A4695="","",IFERROR(INDEX(부서매핑!$C$5:$C$504,MATCH($G4695&amp;"",부서매핑!$A$5:$A$504,0)),"미매핑"))</f>
        <v/>
      </c>
      <c r="O4695" s="9">
        <f>IF($A4695="","",N4695&amp;"|"&amp;$F4695)</f>
        <v/>
      </c>
      <c r="P4695" s="94">
        <f>IF($A4695="",0,$H4695*설정!$C$23)</f>
        <v/>
      </c>
      <c r="Q4695" s="64">
        <f>IF($A4695="","",IF(O4695&lt;&gt;원인분석!$C$9,"",IF(AND(M4695&gt;=원인분석!$C$10,M4695&lt;=원인분석!$C$11),"당기",IF(AND(M4695&gt;=원인분석!$C$12,M4695&lt;=원인분석!$C$13),"비교",""))))</f>
        <v/>
      </c>
      <c r="R4695" s="9">
        <f>IF(Q4695="","",$K4695&amp;"")</f>
        <v/>
      </c>
      <c r="S4695" s="9">
        <f>IF(Q4695="","",IF(MATCH(R4695,$R$5:$R$100000,0)=ROW()-4,ROW(),""))</f>
        <v/>
      </c>
      <c r="T4695" s="9">
        <f>IF(Q4695="당기",ABS(P4695)+ROW()/1000000000,"")</f>
        <v/>
      </c>
      <c r="U4695" s="9">
        <f>IF(Q4695="비교",ABS(P4695)+ROW()/1000000000,"")</f>
        <v/>
      </c>
      <c r="V4695" s="64">
        <f>IF($A4695="","",IF(COUNTIF(변동분석!$E$7:$E$506,O4695)&gt;0,"Y","N"))</f>
        <v/>
      </c>
      <c r="W4695" s="64">
        <f>IF($A4695="","",IFERROR(INDEX(계정매핑!$D$5:$D$504,MATCH($F4695&amp;"",계정매핑!$A$5:$A$504,0)),"미매핑"))</f>
        <v/>
      </c>
      <c r="X4695" s="9">
        <f>IF($A4695="","",$F4695&amp;"")</f>
        <v/>
      </c>
      <c r="Y4695" s="94">
        <f>IF($A4695="",0,IF(AE4695="직접",IF(AF4695="비귀속",$P4695,0),$P4695*(1-AG4695)*IFERROR(INDEX(계정대체기준!$F$20:$F$49,MATCH($N4695,계정대체기준!$A$20:$A$49,0)),1)))</f>
        <v/>
      </c>
      <c r="Z4695" s="94">
        <f>IF($A4695="",0,IF(AE4695="직접",IF(AF4695="신계약비",$P4695,0),$P4695*(1-AG4695)*IFERROR(INDEX(계정대체기준!$C$20:$C$49,MATCH($N4695,계정대체기준!$A$20:$A$49,0)),0)))</f>
        <v/>
      </c>
      <c r="AA4695" s="94">
        <f>IF($A4695="",0,IF(AE4695="직접",IF(OR(AF4695="유지비",AF4695="손해조사비"),$P4695,0),$P4695*(1-AG4695)*IFERROR(INDEX(계정대체기준!$D$20:$D$49,MATCH($N4695,계정대체기준!$A$20:$A$49,0)),0)))</f>
        <v/>
      </c>
      <c r="AB4695" s="94">
        <f>IF($A4695="",0,IF(AE4695="직접",IF(AF4695="수금비",$P4695,0),$P4695*(1-AG4695)*IFERROR(INDEX(계정대체기준!$E$20:$E$49,MATCH($N4695,계정대체기준!$A$20:$A$49,0)),0)))</f>
        <v/>
      </c>
      <c r="AC4695" s="9">
        <f>IF(AND($A4695&lt;&gt;"",M4695=설정!$C$20,Z4695&gt;0),Z4695+ROW()/1000000000,"")</f>
        <v/>
      </c>
      <c r="AD4695" s="94">
        <f>IF($A4695="",0,$P4695*AG4695)</f>
        <v/>
      </c>
      <c r="AE4695" s="64">
        <f>IF($A4695="","",IFERROR(INDEX(계정매핑!$E$5:$E$504,MATCH($F4695&amp;"",계정매핑!$A$5:$A$504,0))&amp;"","공통비"))</f>
        <v/>
      </c>
      <c r="AF4695" s="64">
        <f>IF($A4695="","",IF(AE4695="직접",IFERROR(INDEX(계정매핑!$F$5:$F$504,MATCH($F4695&amp;"",계정매핑!$A$5:$A$504,0))&amp;"","비귀속"),""))</f>
        <v/>
      </c>
      <c r="AG4695" s="96">
        <f>IF($A4695="",0,IF(AND(AE4695&lt;&gt;"직접",IFERROR(INDEX(계정매핑!$G$5:$G$504,MATCH($F4695&amp;"",계정매핑!$A$5:$A$504,0))&amp;"","")="유지비",COUNTIF(계정대체기준!$A$6:$A$15,$N4695)&gt;0),IFERROR(INDEX(계정대체기준!$E$6:$E$15,MATCH(VALUE($A4695&amp;""),계정대체기준!$D$6:$D$15,0)),0),0))</f>
        <v/>
      </c>
      <c r="AH4695" s="64">
        <f>IF($A4695="","",IF(AD4695=0,"",IF(OR(COUNTIF(계정대체기준!$A$77:$A$86,$N4695)&gt;0,ISNUMBER(MATCH($X4695,계정대체기준!$D$77:$D$86,0)),ISNUMBER(MATCH($F4695,계정대체기준!$D$77:$D$86,0))),"Y","N")))</f>
        <v/>
      </c>
    </row>
    <row r="4696">
      <c r="A4696" s="92" t="n">
        <v>2026</v>
      </c>
      <c r="B4696" s="92" t="n">
        <v>9</v>
      </c>
      <c r="C4696" s="92" t="inlineStr">
        <is>
          <t>5100001974</t>
        </is>
      </c>
      <c r="D4696" s="95" t="n">
        <v>46281</v>
      </c>
      <c r="E4696" s="92" t="inlineStr">
        <is>
          <t>KR</t>
        </is>
      </c>
      <c r="F4696" s="92" t="n">
        <v>62101000</v>
      </c>
      <c r="G4696" s="92" t="n">
        <v>1601</v>
      </c>
      <c r="H4696" s="93" t="n">
        <v>1532000</v>
      </c>
      <c r="I4696" s="92" t="inlineStr">
        <is>
          <t>9월 국내출장 - L여행사</t>
        </is>
      </c>
      <c r="J4696" s="92" t="inlineStr">
        <is>
          <t>V10018</t>
        </is>
      </c>
      <c r="K4696" s="92" t="inlineStr">
        <is>
          <t>L여행사</t>
        </is>
      </c>
      <c r="M4696" s="9">
        <f>IF($A4696="","",VALUE($A4696&amp;"")*12+VALUE($B4696&amp;""))</f>
        <v/>
      </c>
      <c r="N4696" s="64">
        <f>IF($A4696="","",IFERROR(INDEX(부서매핑!$C$5:$C$504,MATCH($G4696&amp;"",부서매핑!$A$5:$A$504,0)),"미매핑"))</f>
        <v/>
      </c>
      <c r="O4696" s="9">
        <f>IF($A4696="","",N4696&amp;"|"&amp;$F4696)</f>
        <v/>
      </c>
      <c r="P4696" s="94">
        <f>IF($A4696="",0,$H4696*설정!$C$23)</f>
        <v/>
      </c>
      <c r="Q4696" s="64">
        <f>IF($A4696="","",IF(O4696&lt;&gt;원인분석!$C$9,"",IF(AND(M4696&gt;=원인분석!$C$10,M4696&lt;=원인분석!$C$11),"당기",IF(AND(M4696&gt;=원인분석!$C$12,M4696&lt;=원인분석!$C$13),"비교",""))))</f>
        <v/>
      </c>
      <c r="R4696" s="9">
        <f>IF(Q4696="","",$K4696&amp;"")</f>
        <v/>
      </c>
      <c r="S4696" s="9">
        <f>IF(Q4696="","",IF(MATCH(R4696,$R$5:$R$100000,0)=ROW()-4,ROW(),""))</f>
        <v/>
      </c>
      <c r="T4696" s="9">
        <f>IF(Q4696="당기",ABS(P4696)+ROW()/1000000000,"")</f>
        <v/>
      </c>
      <c r="U4696" s="9">
        <f>IF(Q4696="비교",ABS(P4696)+ROW()/1000000000,"")</f>
        <v/>
      </c>
      <c r="V4696" s="64">
        <f>IF($A4696="","",IF(COUNTIF(변동분석!$E$7:$E$506,O4696)&gt;0,"Y","N"))</f>
        <v/>
      </c>
      <c r="W4696" s="64">
        <f>IF($A4696="","",IFERROR(INDEX(계정매핑!$D$5:$D$504,MATCH($F4696&amp;"",계정매핑!$A$5:$A$504,0)),"미매핑"))</f>
        <v/>
      </c>
      <c r="X4696" s="9">
        <f>IF($A4696="","",$F4696&amp;"")</f>
        <v/>
      </c>
      <c r="Y4696" s="94">
        <f>IF($A4696="",0,IF(AE4696="직접",IF(AF4696="비귀속",$P4696,0),$P4696*(1-AG4696)*IFERROR(INDEX(계정대체기준!$F$20:$F$49,MATCH($N4696,계정대체기준!$A$20:$A$49,0)),1)))</f>
        <v/>
      </c>
      <c r="Z4696" s="94">
        <f>IF($A4696="",0,IF(AE4696="직접",IF(AF4696="신계약비",$P4696,0),$P4696*(1-AG4696)*IFERROR(INDEX(계정대체기준!$C$20:$C$49,MATCH($N4696,계정대체기준!$A$20:$A$49,0)),0)))</f>
        <v/>
      </c>
      <c r="AA4696" s="94">
        <f>IF($A4696="",0,IF(AE4696="직접",IF(OR(AF4696="유지비",AF4696="손해조사비"),$P4696,0),$P4696*(1-AG4696)*IFERROR(INDEX(계정대체기준!$D$20:$D$49,MATCH($N4696,계정대체기준!$A$20:$A$49,0)),0)))</f>
        <v/>
      </c>
      <c r="AB4696" s="94">
        <f>IF($A4696="",0,IF(AE4696="직접",IF(AF4696="수금비",$P4696,0),$P4696*(1-AG4696)*IFERROR(INDEX(계정대체기준!$E$20:$E$49,MATCH($N4696,계정대체기준!$A$20:$A$49,0)),0)))</f>
        <v/>
      </c>
      <c r="AC4696" s="9">
        <f>IF(AND($A4696&lt;&gt;"",M4696=설정!$C$20,Z4696&gt;0),Z4696+ROW()/1000000000,"")</f>
        <v/>
      </c>
      <c r="AD4696" s="94">
        <f>IF($A4696="",0,$P4696*AG4696)</f>
        <v/>
      </c>
      <c r="AE4696" s="64">
        <f>IF($A4696="","",IFERROR(INDEX(계정매핑!$E$5:$E$504,MATCH($F4696&amp;"",계정매핑!$A$5:$A$504,0))&amp;"","공통비"))</f>
        <v/>
      </c>
      <c r="AF4696" s="64">
        <f>IF($A4696="","",IF(AE4696="직접",IFERROR(INDEX(계정매핑!$F$5:$F$504,MATCH($F4696&amp;"",계정매핑!$A$5:$A$504,0))&amp;"","비귀속"),""))</f>
        <v/>
      </c>
      <c r="AG4696" s="96">
        <f>IF($A4696="",0,IF(AND(AE4696&lt;&gt;"직접",IFERROR(INDEX(계정매핑!$G$5:$G$504,MATCH($F4696&amp;"",계정매핑!$A$5:$A$504,0))&amp;"","")="유지비",COUNTIF(계정대체기준!$A$6:$A$15,$N4696)&gt;0),IFERROR(INDEX(계정대체기준!$E$6:$E$15,MATCH(VALUE($A4696&amp;""),계정대체기준!$D$6:$D$15,0)),0),0))</f>
        <v/>
      </c>
      <c r="AH4696" s="64">
        <f>IF($A4696="","",IF(AD4696=0,"",IF(OR(COUNTIF(계정대체기준!$A$77:$A$86,$N4696)&gt;0,ISNUMBER(MATCH($X4696,계정대체기준!$D$77:$D$86,0)),ISNUMBER(MATCH($F4696,계정대체기준!$D$77:$D$86,0))),"Y","N")))</f>
        <v/>
      </c>
    </row>
    <row r="4697">
      <c r="A4697" s="92" t="n">
        <v>2026</v>
      </c>
      <c r="B4697" s="92" t="n">
        <v>9</v>
      </c>
      <c r="C4697" s="92" t="inlineStr">
        <is>
          <t>5100001975</t>
        </is>
      </c>
      <c r="D4697" s="95" t="n">
        <v>46281</v>
      </c>
      <c r="E4697" s="92" t="inlineStr">
        <is>
          <t>KR</t>
        </is>
      </c>
      <c r="F4697" s="92" t="n">
        <v>62501000</v>
      </c>
      <c r="G4697" s="92" t="n">
        <v>1101</v>
      </c>
      <c r="H4697" s="93" t="n">
        <v>438000</v>
      </c>
      <c r="I4697" s="92" t="inlineStr">
        <is>
          <t>9월 회의 다과 - T케이터링</t>
        </is>
      </c>
      <c r="J4697" s="92" t="inlineStr">
        <is>
          <t>V10005</t>
        </is>
      </c>
      <c r="K4697" s="92" t="inlineStr">
        <is>
          <t>T케이터링</t>
        </is>
      </c>
      <c r="M4697" s="9">
        <f>IF($A4697="","",VALUE($A4697&amp;"")*12+VALUE($B4697&amp;""))</f>
        <v/>
      </c>
      <c r="N4697" s="64">
        <f>IF($A4697="","",IFERROR(INDEX(부서매핑!$C$5:$C$504,MATCH($G4697&amp;"",부서매핑!$A$5:$A$504,0)),"미매핑"))</f>
        <v/>
      </c>
      <c r="O4697" s="9">
        <f>IF($A4697="","",N4697&amp;"|"&amp;$F4697)</f>
        <v/>
      </c>
      <c r="P4697" s="94">
        <f>IF($A4697="",0,$H4697*설정!$C$23)</f>
        <v/>
      </c>
      <c r="Q4697" s="64">
        <f>IF($A4697="","",IF(O4697&lt;&gt;원인분석!$C$9,"",IF(AND(M4697&gt;=원인분석!$C$10,M4697&lt;=원인분석!$C$11),"당기",IF(AND(M4697&gt;=원인분석!$C$12,M4697&lt;=원인분석!$C$13),"비교",""))))</f>
        <v/>
      </c>
      <c r="R4697" s="9">
        <f>IF(Q4697="","",$K4697&amp;"")</f>
        <v/>
      </c>
      <c r="S4697" s="9">
        <f>IF(Q4697="","",IF(MATCH(R4697,$R$5:$R$100000,0)=ROW()-4,ROW(),""))</f>
        <v/>
      </c>
      <c r="T4697" s="9">
        <f>IF(Q4697="당기",ABS(P4697)+ROW()/1000000000,"")</f>
        <v/>
      </c>
      <c r="U4697" s="9">
        <f>IF(Q4697="비교",ABS(P4697)+ROW()/1000000000,"")</f>
        <v/>
      </c>
      <c r="V4697" s="64">
        <f>IF($A4697="","",IF(COUNTIF(변동분석!$E$7:$E$506,O4697)&gt;0,"Y","N"))</f>
        <v/>
      </c>
      <c r="W4697" s="64">
        <f>IF($A4697="","",IFERROR(INDEX(계정매핑!$D$5:$D$504,MATCH($F4697&amp;"",계정매핑!$A$5:$A$504,0)),"미매핑"))</f>
        <v/>
      </c>
      <c r="X4697" s="9">
        <f>IF($A4697="","",$F4697&amp;"")</f>
        <v/>
      </c>
      <c r="Y4697" s="94">
        <f>IF($A4697="",0,IF(AE4697="직접",IF(AF4697="비귀속",$P4697,0),$P4697*(1-AG4697)*IFERROR(INDEX(계정대체기준!$F$20:$F$49,MATCH($N4697,계정대체기준!$A$20:$A$49,0)),1)))</f>
        <v/>
      </c>
      <c r="Z4697" s="94">
        <f>IF($A4697="",0,IF(AE4697="직접",IF(AF4697="신계약비",$P4697,0),$P4697*(1-AG4697)*IFERROR(INDEX(계정대체기준!$C$20:$C$49,MATCH($N4697,계정대체기준!$A$20:$A$49,0)),0)))</f>
        <v/>
      </c>
      <c r="AA4697" s="94">
        <f>IF($A4697="",0,IF(AE4697="직접",IF(OR(AF4697="유지비",AF4697="손해조사비"),$P4697,0),$P4697*(1-AG4697)*IFERROR(INDEX(계정대체기준!$D$20:$D$49,MATCH($N4697,계정대체기준!$A$20:$A$49,0)),0)))</f>
        <v/>
      </c>
      <c r="AB4697" s="94">
        <f>IF($A4697="",0,IF(AE4697="직접",IF(AF4697="수금비",$P4697,0),$P4697*(1-AG4697)*IFERROR(INDEX(계정대체기준!$E$20:$E$49,MATCH($N4697,계정대체기준!$A$20:$A$49,0)),0)))</f>
        <v/>
      </c>
      <c r="AC4697" s="9">
        <f>IF(AND($A4697&lt;&gt;"",M4697=설정!$C$20,Z4697&gt;0),Z4697+ROW()/1000000000,"")</f>
        <v/>
      </c>
      <c r="AD4697" s="94">
        <f>IF($A4697="",0,$P4697*AG4697)</f>
        <v/>
      </c>
      <c r="AE4697" s="64">
        <f>IF($A4697="","",IFERROR(INDEX(계정매핑!$E$5:$E$504,MATCH($F4697&amp;"",계정매핑!$A$5:$A$504,0))&amp;"","공통비"))</f>
        <v/>
      </c>
      <c r="AF4697" s="64">
        <f>IF($A4697="","",IF(AE4697="직접",IFERROR(INDEX(계정매핑!$F$5:$F$504,MATCH($F4697&amp;"",계정매핑!$A$5:$A$504,0))&amp;"","비귀속"),""))</f>
        <v/>
      </c>
      <c r="AG4697" s="96">
        <f>IF($A4697="",0,IF(AND(AE4697&lt;&gt;"직접",IFERROR(INDEX(계정매핑!$G$5:$G$504,MATCH($F4697&amp;"",계정매핑!$A$5:$A$504,0))&amp;"","")="유지비",COUNTIF(계정대체기준!$A$6:$A$15,$N4697)&gt;0),IFERROR(INDEX(계정대체기준!$E$6:$E$15,MATCH(VALUE($A4697&amp;""),계정대체기준!$D$6:$D$15,0)),0),0))</f>
        <v/>
      </c>
      <c r="AH4697" s="64">
        <f>IF($A4697="","",IF(AD4697=0,"",IF(OR(COUNTIF(계정대체기준!$A$77:$A$86,$N4697)&gt;0,ISNUMBER(MATCH($X4697,계정대체기준!$D$77:$D$86,0)),ISNUMBER(MATCH($F4697,계정대체기준!$D$77:$D$86,0))),"Y","N")))</f>
        <v/>
      </c>
    </row>
    <row r="4698">
      <c r="A4698" s="92" t="n">
        <v>2026</v>
      </c>
      <c r="B4698" s="92" t="n">
        <v>9</v>
      </c>
      <c r="C4698" s="92" t="inlineStr">
        <is>
          <t>5100001976</t>
        </is>
      </c>
      <c r="D4698" s="95" t="n">
        <v>46281</v>
      </c>
      <c r="E4698" s="92" t="inlineStr">
        <is>
          <t>KR</t>
        </is>
      </c>
      <c r="F4698" s="92" t="n">
        <v>62601000</v>
      </c>
      <c r="G4698" s="92" t="n">
        <v>1301</v>
      </c>
      <c r="H4698" s="93" t="n">
        <v>813000</v>
      </c>
      <c r="I4698" s="92" t="inlineStr">
        <is>
          <t>9월 업무추진 - (법인카드)</t>
        </is>
      </c>
      <c r="J4698" s="92" t="inlineStr">
        <is>
          <t>V10010</t>
        </is>
      </c>
      <c r="K4698" s="92" t="inlineStr">
        <is>
          <t>(법인카드)</t>
        </is>
      </c>
      <c r="M4698" s="9">
        <f>IF($A4698="","",VALUE($A4698&amp;"")*12+VALUE($B4698&amp;""))</f>
        <v/>
      </c>
      <c r="N4698" s="64">
        <f>IF($A4698="","",IFERROR(INDEX(부서매핑!$C$5:$C$504,MATCH($G4698&amp;"",부서매핑!$A$5:$A$504,0)),"미매핑"))</f>
        <v/>
      </c>
      <c r="O4698" s="9">
        <f>IF($A4698="","",N4698&amp;"|"&amp;$F4698)</f>
        <v/>
      </c>
      <c r="P4698" s="94">
        <f>IF($A4698="",0,$H4698*설정!$C$23)</f>
        <v/>
      </c>
      <c r="Q4698" s="64">
        <f>IF($A4698="","",IF(O4698&lt;&gt;원인분석!$C$9,"",IF(AND(M4698&gt;=원인분석!$C$10,M4698&lt;=원인분석!$C$11),"당기",IF(AND(M4698&gt;=원인분석!$C$12,M4698&lt;=원인분석!$C$13),"비교",""))))</f>
        <v/>
      </c>
      <c r="R4698" s="9">
        <f>IF(Q4698="","",$K4698&amp;"")</f>
        <v/>
      </c>
      <c r="S4698" s="9">
        <f>IF(Q4698="","",IF(MATCH(R4698,$R$5:$R$100000,0)=ROW()-4,ROW(),""))</f>
        <v/>
      </c>
      <c r="T4698" s="9">
        <f>IF(Q4698="당기",ABS(P4698)+ROW()/1000000000,"")</f>
        <v/>
      </c>
      <c r="U4698" s="9">
        <f>IF(Q4698="비교",ABS(P4698)+ROW()/1000000000,"")</f>
        <v/>
      </c>
      <c r="V4698" s="64">
        <f>IF($A4698="","",IF(COUNTIF(변동분석!$E$7:$E$506,O4698)&gt;0,"Y","N"))</f>
        <v/>
      </c>
      <c r="W4698" s="64">
        <f>IF($A4698="","",IFERROR(INDEX(계정매핑!$D$5:$D$504,MATCH($F4698&amp;"",계정매핑!$A$5:$A$504,0)),"미매핑"))</f>
        <v/>
      </c>
      <c r="X4698" s="9">
        <f>IF($A4698="","",$F4698&amp;"")</f>
        <v/>
      </c>
      <c r="Y4698" s="94">
        <f>IF($A4698="",0,IF(AE4698="직접",IF(AF4698="비귀속",$P4698,0),$P4698*(1-AG4698)*IFERROR(INDEX(계정대체기준!$F$20:$F$49,MATCH($N4698,계정대체기준!$A$20:$A$49,0)),1)))</f>
        <v/>
      </c>
      <c r="Z4698" s="94">
        <f>IF($A4698="",0,IF(AE4698="직접",IF(AF4698="신계약비",$P4698,0),$P4698*(1-AG4698)*IFERROR(INDEX(계정대체기준!$C$20:$C$49,MATCH($N4698,계정대체기준!$A$20:$A$49,0)),0)))</f>
        <v/>
      </c>
      <c r="AA4698" s="94">
        <f>IF($A4698="",0,IF(AE4698="직접",IF(OR(AF4698="유지비",AF4698="손해조사비"),$P4698,0),$P4698*(1-AG4698)*IFERROR(INDEX(계정대체기준!$D$20:$D$49,MATCH($N4698,계정대체기준!$A$20:$A$49,0)),0)))</f>
        <v/>
      </c>
      <c r="AB4698" s="94">
        <f>IF($A4698="",0,IF(AE4698="직접",IF(AF4698="수금비",$P4698,0),$P4698*(1-AG4698)*IFERROR(INDEX(계정대체기준!$E$20:$E$49,MATCH($N4698,계정대체기준!$A$20:$A$49,0)),0)))</f>
        <v/>
      </c>
      <c r="AC4698" s="9">
        <f>IF(AND($A4698&lt;&gt;"",M4698=설정!$C$20,Z4698&gt;0),Z4698+ROW()/1000000000,"")</f>
        <v/>
      </c>
      <c r="AD4698" s="94">
        <f>IF($A4698="",0,$P4698*AG4698)</f>
        <v/>
      </c>
      <c r="AE4698" s="64">
        <f>IF($A4698="","",IFERROR(INDEX(계정매핑!$E$5:$E$504,MATCH($F4698&amp;"",계정매핑!$A$5:$A$504,0))&amp;"","공통비"))</f>
        <v/>
      </c>
      <c r="AF4698" s="64">
        <f>IF($A4698="","",IF(AE4698="직접",IFERROR(INDEX(계정매핑!$F$5:$F$504,MATCH($F4698&amp;"",계정매핑!$A$5:$A$504,0))&amp;"","비귀속"),""))</f>
        <v/>
      </c>
      <c r="AG4698" s="96">
        <f>IF($A4698="",0,IF(AND(AE4698&lt;&gt;"직접",IFERROR(INDEX(계정매핑!$G$5:$G$504,MATCH($F4698&amp;"",계정매핑!$A$5:$A$504,0))&amp;"","")="유지비",COUNTIF(계정대체기준!$A$6:$A$15,$N4698)&gt;0),IFERROR(INDEX(계정대체기준!$E$6:$E$15,MATCH(VALUE($A4698&amp;""),계정대체기준!$D$6:$D$15,0)),0),0))</f>
        <v/>
      </c>
      <c r="AH4698" s="64">
        <f>IF($A4698="","",IF(AD4698=0,"",IF(OR(COUNTIF(계정대체기준!$A$77:$A$86,$N4698)&gt;0,ISNUMBER(MATCH($X4698,계정대체기준!$D$77:$D$86,0)),ISNUMBER(MATCH($F4698,계정대체기준!$D$77:$D$86,0))),"Y","N")))</f>
        <v/>
      </c>
    </row>
    <row r="4699">
      <c r="A4699" s="92" t="n">
        <v>2026</v>
      </c>
      <c r="B4699" s="92" t="n">
        <v>9</v>
      </c>
      <c r="C4699" s="92" t="inlineStr">
        <is>
          <t>5100001977</t>
        </is>
      </c>
      <c r="D4699" s="95" t="n">
        <v>46281</v>
      </c>
      <c r="E4699" s="92" t="inlineStr">
        <is>
          <t>KR</t>
        </is>
      </c>
      <c r="F4699" s="92" t="n">
        <v>62902000</v>
      </c>
      <c r="G4699" s="92" t="n">
        <v>1201</v>
      </c>
      <c r="H4699" s="93" t="n">
        <v>3324000</v>
      </c>
      <c r="I4699" s="92" t="inlineStr">
        <is>
          <t>9월 업무 위탁 수수료 - J콜센터</t>
        </is>
      </c>
      <c r="J4699" s="92" t="inlineStr">
        <is>
          <t>V10016</t>
        </is>
      </c>
      <c r="K4699" s="92" t="inlineStr">
        <is>
          <t>J콜센터</t>
        </is>
      </c>
      <c r="M4699" s="9">
        <f>IF($A4699="","",VALUE($A4699&amp;"")*12+VALUE($B4699&amp;""))</f>
        <v/>
      </c>
      <c r="N4699" s="64">
        <f>IF($A4699="","",IFERROR(INDEX(부서매핑!$C$5:$C$504,MATCH($G4699&amp;"",부서매핑!$A$5:$A$504,0)),"미매핑"))</f>
        <v/>
      </c>
      <c r="O4699" s="9">
        <f>IF($A4699="","",N4699&amp;"|"&amp;$F4699)</f>
        <v/>
      </c>
      <c r="P4699" s="94">
        <f>IF($A4699="",0,$H4699*설정!$C$23)</f>
        <v/>
      </c>
      <c r="Q4699" s="64">
        <f>IF($A4699="","",IF(O4699&lt;&gt;원인분석!$C$9,"",IF(AND(M4699&gt;=원인분석!$C$10,M4699&lt;=원인분석!$C$11),"당기",IF(AND(M4699&gt;=원인분석!$C$12,M4699&lt;=원인분석!$C$13),"비교",""))))</f>
        <v/>
      </c>
      <c r="R4699" s="9">
        <f>IF(Q4699="","",$K4699&amp;"")</f>
        <v/>
      </c>
      <c r="S4699" s="9">
        <f>IF(Q4699="","",IF(MATCH(R4699,$R$5:$R$100000,0)=ROW()-4,ROW(),""))</f>
        <v/>
      </c>
      <c r="T4699" s="9">
        <f>IF(Q4699="당기",ABS(P4699)+ROW()/1000000000,"")</f>
        <v/>
      </c>
      <c r="U4699" s="9">
        <f>IF(Q4699="비교",ABS(P4699)+ROW()/1000000000,"")</f>
        <v/>
      </c>
      <c r="V4699" s="64">
        <f>IF($A4699="","",IF(COUNTIF(변동분석!$E$7:$E$506,O4699)&gt;0,"Y","N"))</f>
        <v/>
      </c>
      <c r="W4699" s="64">
        <f>IF($A4699="","",IFERROR(INDEX(계정매핑!$D$5:$D$504,MATCH($F4699&amp;"",계정매핑!$A$5:$A$504,0)),"미매핑"))</f>
        <v/>
      </c>
      <c r="X4699" s="9">
        <f>IF($A4699="","",$F4699&amp;"")</f>
        <v/>
      </c>
      <c r="Y4699" s="94">
        <f>IF($A4699="",0,IF(AE4699="직접",IF(AF4699="비귀속",$P4699,0),$P4699*(1-AG4699)*IFERROR(INDEX(계정대체기준!$F$20:$F$49,MATCH($N4699,계정대체기준!$A$20:$A$49,0)),1)))</f>
        <v/>
      </c>
      <c r="Z4699" s="94">
        <f>IF($A4699="",0,IF(AE4699="직접",IF(AF4699="신계약비",$P4699,0),$P4699*(1-AG4699)*IFERROR(INDEX(계정대체기준!$C$20:$C$49,MATCH($N4699,계정대체기준!$A$20:$A$49,0)),0)))</f>
        <v/>
      </c>
      <c r="AA4699" s="94">
        <f>IF($A4699="",0,IF(AE4699="직접",IF(OR(AF4699="유지비",AF4699="손해조사비"),$P4699,0),$P4699*(1-AG4699)*IFERROR(INDEX(계정대체기준!$D$20:$D$49,MATCH($N4699,계정대체기준!$A$20:$A$49,0)),0)))</f>
        <v/>
      </c>
      <c r="AB4699" s="94">
        <f>IF($A4699="",0,IF(AE4699="직접",IF(AF4699="수금비",$P4699,0),$P4699*(1-AG4699)*IFERROR(INDEX(계정대체기준!$E$20:$E$49,MATCH($N4699,계정대체기준!$A$20:$A$49,0)),0)))</f>
        <v/>
      </c>
      <c r="AC4699" s="9">
        <f>IF(AND($A4699&lt;&gt;"",M4699=설정!$C$20,Z4699&gt;0),Z4699+ROW()/1000000000,"")</f>
        <v/>
      </c>
      <c r="AD4699" s="94">
        <f>IF($A4699="",0,$P4699*AG4699)</f>
        <v/>
      </c>
      <c r="AE4699" s="64">
        <f>IF($A4699="","",IFERROR(INDEX(계정매핑!$E$5:$E$504,MATCH($F4699&amp;"",계정매핑!$A$5:$A$504,0))&amp;"","공통비"))</f>
        <v/>
      </c>
      <c r="AF4699" s="64">
        <f>IF($A4699="","",IF(AE4699="직접",IFERROR(INDEX(계정매핑!$F$5:$F$504,MATCH($F4699&amp;"",계정매핑!$A$5:$A$504,0))&amp;"","비귀속"),""))</f>
        <v/>
      </c>
      <c r="AG4699" s="96">
        <f>IF($A4699="",0,IF(AND(AE4699&lt;&gt;"직접",IFERROR(INDEX(계정매핑!$G$5:$G$504,MATCH($F4699&amp;"",계정매핑!$A$5:$A$504,0))&amp;"","")="유지비",COUNTIF(계정대체기준!$A$6:$A$15,$N4699)&gt;0),IFERROR(INDEX(계정대체기준!$E$6:$E$15,MATCH(VALUE($A4699&amp;""),계정대체기준!$D$6:$D$15,0)),0),0))</f>
        <v/>
      </c>
      <c r="AH4699" s="64">
        <f>IF($A4699="","",IF(AD4699=0,"",IF(OR(COUNTIF(계정대체기준!$A$77:$A$86,$N4699)&gt;0,ISNUMBER(MATCH($X4699,계정대체기준!$D$77:$D$86,0)),ISNUMBER(MATCH($F4699,계정대체기준!$D$77:$D$86,0))),"Y","N")))</f>
        <v/>
      </c>
    </row>
    <row r="4700">
      <c r="A4700" s="92" t="n">
        <v>2026</v>
      </c>
      <c r="B4700" s="92" t="n">
        <v>9</v>
      </c>
      <c r="C4700" s="92" t="inlineStr">
        <is>
          <t>5100001978</t>
        </is>
      </c>
      <c r="D4700" s="95" t="n">
        <v>46281</v>
      </c>
      <c r="E4700" s="92" t="inlineStr">
        <is>
          <t>KR</t>
        </is>
      </c>
      <c r="F4700" s="92" t="n">
        <v>62902000</v>
      </c>
      <c r="G4700" s="92" t="n">
        <v>1401</v>
      </c>
      <c r="H4700" s="93" t="n">
        <v>1876000</v>
      </c>
      <c r="I4700" s="92" t="inlineStr">
        <is>
          <t>9월 업무 위탁 수수료 - J콜센터</t>
        </is>
      </c>
      <c r="J4700" s="92" t="inlineStr">
        <is>
          <t>V10016</t>
        </is>
      </c>
      <c r="K4700" s="92" t="inlineStr">
        <is>
          <t>J콜센터</t>
        </is>
      </c>
      <c r="M4700" s="9">
        <f>IF($A4700="","",VALUE($A4700&amp;"")*12+VALUE($B4700&amp;""))</f>
        <v/>
      </c>
      <c r="N4700" s="64">
        <f>IF($A4700="","",IFERROR(INDEX(부서매핑!$C$5:$C$504,MATCH($G4700&amp;"",부서매핑!$A$5:$A$504,0)),"미매핑"))</f>
        <v/>
      </c>
      <c r="O4700" s="9">
        <f>IF($A4700="","",N4700&amp;"|"&amp;$F4700)</f>
        <v/>
      </c>
      <c r="P4700" s="94">
        <f>IF($A4700="",0,$H4700*설정!$C$23)</f>
        <v/>
      </c>
      <c r="Q4700" s="64">
        <f>IF($A4700="","",IF(O4700&lt;&gt;원인분석!$C$9,"",IF(AND(M4700&gt;=원인분석!$C$10,M4700&lt;=원인분석!$C$11),"당기",IF(AND(M4700&gt;=원인분석!$C$12,M4700&lt;=원인분석!$C$13),"비교",""))))</f>
        <v/>
      </c>
      <c r="R4700" s="9">
        <f>IF(Q4700="","",$K4700&amp;"")</f>
        <v/>
      </c>
      <c r="S4700" s="9">
        <f>IF(Q4700="","",IF(MATCH(R4700,$R$5:$R$100000,0)=ROW()-4,ROW(),""))</f>
        <v/>
      </c>
      <c r="T4700" s="9">
        <f>IF(Q4700="당기",ABS(P4700)+ROW()/1000000000,"")</f>
        <v/>
      </c>
      <c r="U4700" s="9">
        <f>IF(Q4700="비교",ABS(P4700)+ROW()/1000000000,"")</f>
        <v/>
      </c>
      <c r="V4700" s="64">
        <f>IF($A4700="","",IF(COUNTIF(변동분석!$E$7:$E$506,O4700)&gt;0,"Y","N"))</f>
        <v/>
      </c>
      <c r="W4700" s="64">
        <f>IF($A4700="","",IFERROR(INDEX(계정매핑!$D$5:$D$504,MATCH($F4700&amp;"",계정매핑!$A$5:$A$504,0)),"미매핑"))</f>
        <v/>
      </c>
      <c r="X4700" s="9">
        <f>IF($A4700="","",$F4700&amp;"")</f>
        <v/>
      </c>
      <c r="Y4700" s="94">
        <f>IF($A4700="",0,IF(AE4700="직접",IF(AF4700="비귀속",$P4700,0),$P4700*(1-AG4700)*IFERROR(INDEX(계정대체기준!$F$20:$F$49,MATCH($N4700,계정대체기준!$A$20:$A$49,0)),1)))</f>
        <v/>
      </c>
      <c r="Z4700" s="94">
        <f>IF($A4700="",0,IF(AE4700="직접",IF(AF4700="신계약비",$P4700,0),$P4700*(1-AG4700)*IFERROR(INDEX(계정대체기준!$C$20:$C$49,MATCH($N4700,계정대체기준!$A$20:$A$49,0)),0)))</f>
        <v/>
      </c>
      <c r="AA4700" s="94">
        <f>IF($A4700="",0,IF(AE4700="직접",IF(OR(AF4700="유지비",AF4700="손해조사비"),$P4700,0),$P4700*(1-AG4700)*IFERROR(INDEX(계정대체기준!$D$20:$D$49,MATCH($N4700,계정대체기준!$A$20:$A$49,0)),0)))</f>
        <v/>
      </c>
      <c r="AB4700" s="94">
        <f>IF($A4700="",0,IF(AE4700="직접",IF(AF4700="수금비",$P4700,0),$P4700*(1-AG4700)*IFERROR(INDEX(계정대체기준!$E$20:$E$49,MATCH($N4700,계정대체기준!$A$20:$A$49,0)),0)))</f>
        <v/>
      </c>
      <c r="AC4700" s="9">
        <f>IF(AND($A4700&lt;&gt;"",M4700=설정!$C$20,Z4700&gt;0),Z4700+ROW()/1000000000,"")</f>
        <v/>
      </c>
      <c r="AD4700" s="94">
        <f>IF($A4700="",0,$P4700*AG4700)</f>
        <v/>
      </c>
      <c r="AE4700" s="64">
        <f>IF($A4700="","",IFERROR(INDEX(계정매핑!$E$5:$E$504,MATCH($F4700&amp;"",계정매핑!$A$5:$A$504,0))&amp;"","공통비"))</f>
        <v/>
      </c>
      <c r="AF4700" s="64">
        <f>IF($A4700="","",IF(AE4700="직접",IFERROR(INDEX(계정매핑!$F$5:$F$504,MATCH($F4700&amp;"",계정매핑!$A$5:$A$504,0))&amp;"","비귀속"),""))</f>
        <v/>
      </c>
      <c r="AG4700" s="96">
        <f>IF($A4700="",0,IF(AND(AE4700&lt;&gt;"직접",IFERROR(INDEX(계정매핑!$G$5:$G$504,MATCH($F4700&amp;"",계정매핑!$A$5:$A$504,0))&amp;"","")="유지비",COUNTIF(계정대체기준!$A$6:$A$15,$N4700)&gt;0),IFERROR(INDEX(계정대체기준!$E$6:$E$15,MATCH(VALUE($A4700&amp;""),계정대체기준!$D$6:$D$15,0)),0),0))</f>
        <v/>
      </c>
      <c r="AH4700" s="64">
        <f>IF($A4700="","",IF(AD4700=0,"",IF(OR(COUNTIF(계정대체기준!$A$77:$A$86,$N4700)&gt;0,ISNUMBER(MATCH($X4700,계정대체기준!$D$77:$D$86,0)),ISNUMBER(MATCH($F4700,계정대체기준!$D$77:$D$86,0))),"Y","N")))</f>
        <v/>
      </c>
    </row>
    <row r="4701">
      <c r="A4701" s="92" t="n">
        <v>2026</v>
      </c>
      <c r="B4701" s="92" t="n">
        <v>9</v>
      </c>
      <c r="C4701" s="92" t="inlineStr">
        <is>
          <t>5100001979</t>
        </is>
      </c>
      <c r="D4701" s="95" t="n">
        <v>46281</v>
      </c>
      <c r="E4701" s="92" t="inlineStr">
        <is>
          <t>KR</t>
        </is>
      </c>
      <c r="F4701" s="92" t="n">
        <v>62902000</v>
      </c>
      <c r="G4701" s="92" t="n">
        <v>1801</v>
      </c>
      <c r="H4701" s="93" t="n">
        <v>1787000</v>
      </c>
      <c r="I4701" s="92" t="inlineStr">
        <is>
          <t>9월 콜 위탁 수수료(건별)</t>
        </is>
      </c>
      <c r="J4701" s="92" t="inlineStr">
        <is>
          <t>V10016</t>
        </is>
      </c>
      <c r="K4701" s="92" t="inlineStr">
        <is>
          <t>J콜센터</t>
        </is>
      </c>
      <c r="M4701" s="9">
        <f>IF($A4701="","",VALUE($A4701&amp;"")*12+VALUE($B4701&amp;""))</f>
        <v/>
      </c>
      <c r="N4701" s="64">
        <f>IF($A4701="","",IFERROR(INDEX(부서매핑!$C$5:$C$504,MATCH($G4701&amp;"",부서매핑!$A$5:$A$504,0)),"미매핑"))</f>
        <v/>
      </c>
      <c r="O4701" s="9">
        <f>IF($A4701="","",N4701&amp;"|"&amp;$F4701)</f>
        <v/>
      </c>
      <c r="P4701" s="94">
        <f>IF($A4701="",0,$H4701*설정!$C$23)</f>
        <v/>
      </c>
      <c r="Q4701" s="64">
        <f>IF($A4701="","",IF(O4701&lt;&gt;원인분석!$C$9,"",IF(AND(M4701&gt;=원인분석!$C$10,M4701&lt;=원인분석!$C$11),"당기",IF(AND(M4701&gt;=원인분석!$C$12,M4701&lt;=원인분석!$C$13),"비교",""))))</f>
        <v/>
      </c>
      <c r="R4701" s="9">
        <f>IF(Q4701="","",$K4701&amp;"")</f>
        <v/>
      </c>
      <c r="S4701" s="9">
        <f>IF(Q4701="","",IF(MATCH(R4701,$R$5:$R$100000,0)=ROW()-4,ROW(),""))</f>
        <v/>
      </c>
      <c r="T4701" s="9">
        <f>IF(Q4701="당기",ABS(P4701)+ROW()/1000000000,"")</f>
        <v/>
      </c>
      <c r="U4701" s="9">
        <f>IF(Q4701="비교",ABS(P4701)+ROW()/1000000000,"")</f>
        <v/>
      </c>
      <c r="V4701" s="64">
        <f>IF($A4701="","",IF(COUNTIF(변동분석!$E$7:$E$506,O4701)&gt;0,"Y","N"))</f>
        <v/>
      </c>
      <c r="W4701" s="64">
        <f>IF($A4701="","",IFERROR(INDEX(계정매핑!$D$5:$D$504,MATCH($F4701&amp;"",계정매핑!$A$5:$A$504,0)),"미매핑"))</f>
        <v/>
      </c>
      <c r="X4701" s="9">
        <f>IF($A4701="","",$F4701&amp;"")</f>
        <v/>
      </c>
      <c r="Y4701" s="94">
        <f>IF($A4701="",0,IF(AE4701="직접",IF(AF4701="비귀속",$P4701,0),$P4701*(1-AG4701)*IFERROR(INDEX(계정대체기준!$F$20:$F$49,MATCH($N4701,계정대체기준!$A$20:$A$49,0)),1)))</f>
        <v/>
      </c>
      <c r="Z4701" s="94">
        <f>IF($A4701="",0,IF(AE4701="직접",IF(AF4701="신계약비",$P4701,0),$P4701*(1-AG4701)*IFERROR(INDEX(계정대체기준!$C$20:$C$49,MATCH($N4701,계정대체기준!$A$20:$A$49,0)),0)))</f>
        <v/>
      </c>
      <c r="AA4701" s="94">
        <f>IF($A4701="",0,IF(AE4701="직접",IF(OR(AF4701="유지비",AF4701="손해조사비"),$P4701,0),$P4701*(1-AG4701)*IFERROR(INDEX(계정대체기준!$D$20:$D$49,MATCH($N4701,계정대체기준!$A$20:$A$49,0)),0)))</f>
        <v/>
      </c>
      <c r="AB4701" s="94">
        <f>IF($A4701="",0,IF(AE4701="직접",IF(AF4701="수금비",$P4701,0),$P4701*(1-AG4701)*IFERROR(INDEX(계정대체기준!$E$20:$E$49,MATCH($N4701,계정대체기준!$A$20:$A$49,0)),0)))</f>
        <v/>
      </c>
      <c r="AC4701" s="9">
        <f>IF(AND($A4701&lt;&gt;"",M4701=설정!$C$20,Z4701&gt;0),Z4701+ROW()/1000000000,"")</f>
        <v/>
      </c>
      <c r="AD4701" s="94">
        <f>IF($A4701="",0,$P4701*AG4701)</f>
        <v/>
      </c>
      <c r="AE4701" s="64">
        <f>IF($A4701="","",IFERROR(INDEX(계정매핑!$E$5:$E$504,MATCH($F4701&amp;"",계정매핑!$A$5:$A$504,0))&amp;"","공통비"))</f>
        <v/>
      </c>
      <c r="AF4701" s="64">
        <f>IF($A4701="","",IF(AE4701="직접",IFERROR(INDEX(계정매핑!$F$5:$F$504,MATCH($F4701&amp;"",계정매핑!$A$5:$A$504,0))&amp;"","비귀속"),""))</f>
        <v/>
      </c>
      <c r="AG4701" s="96">
        <f>IF($A4701="",0,IF(AND(AE4701&lt;&gt;"직접",IFERROR(INDEX(계정매핑!$G$5:$G$504,MATCH($F4701&amp;"",계정매핑!$A$5:$A$504,0))&amp;"","")="유지비",COUNTIF(계정대체기준!$A$6:$A$15,$N4701)&gt;0),IFERROR(INDEX(계정대체기준!$E$6:$E$15,MATCH(VALUE($A4701&amp;""),계정대체기준!$D$6:$D$15,0)),0),0))</f>
        <v/>
      </c>
      <c r="AH4701" s="64">
        <f>IF($A4701="","",IF(AD4701=0,"",IF(OR(COUNTIF(계정대체기준!$A$77:$A$86,$N4701)&gt;0,ISNUMBER(MATCH($X4701,계정대체기준!$D$77:$D$86,0)),ISNUMBER(MATCH($F4701,계정대체기준!$D$77:$D$86,0))),"Y","N")))</f>
        <v/>
      </c>
    </row>
    <row r="4702">
      <c r="A4702" s="92" t="n">
        <v>2026</v>
      </c>
      <c r="B4702" s="92" t="n">
        <v>9</v>
      </c>
      <c r="C4702" s="92" t="inlineStr">
        <is>
          <t>5100001980</t>
        </is>
      </c>
      <c r="D4702" s="95" t="n">
        <v>46281</v>
      </c>
      <c r="E4702" s="92" t="inlineStr">
        <is>
          <t>KR</t>
        </is>
      </c>
      <c r="F4702" s="92" t="n">
        <v>63201000</v>
      </c>
      <c r="G4702" s="92" t="n">
        <v>1602</v>
      </c>
      <c r="H4702" s="93" t="n">
        <v>1915000</v>
      </c>
      <c r="I4702" s="92" t="inlineStr">
        <is>
          <t>9월 차량 유지 - H에너지</t>
        </is>
      </c>
      <c r="J4702" s="92" t="inlineStr">
        <is>
          <t>V10030</t>
        </is>
      </c>
      <c r="K4702" s="92" t="inlineStr">
        <is>
          <t>H에너지</t>
        </is>
      </c>
      <c r="M4702" s="9">
        <f>IF($A4702="","",VALUE($A4702&amp;"")*12+VALUE($B4702&amp;""))</f>
        <v/>
      </c>
      <c r="N4702" s="64">
        <f>IF($A4702="","",IFERROR(INDEX(부서매핑!$C$5:$C$504,MATCH($G4702&amp;"",부서매핑!$A$5:$A$504,0)),"미매핑"))</f>
        <v/>
      </c>
      <c r="O4702" s="9">
        <f>IF($A4702="","",N4702&amp;"|"&amp;$F4702)</f>
        <v/>
      </c>
      <c r="P4702" s="94">
        <f>IF($A4702="",0,$H4702*설정!$C$23)</f>
        <v/>
      </c>
      <c r="Q4702" s="64">
        <f>IF($A4702="","",IF(O4702&lt;&gt;원인분석!$C$9,"",IF(AND(M4702&gt;=원인분석!$C$10,M4702&lt;=원인분석!$C$11),"당기",IF(AND(M4702&gt;=원인분석!$C$12,M4702&lt;=원인분석!$C$13),"비교",""))))</f>
        <v/>
      </c>
      <c r="R4702" s="9">
        <f>IF(Q4702="","",$K4702&amp;"")</f>
        <v/>
      </c>
      <c r="S4702" s="9">
        <f>IF(Q4702="","",IF(MATCH(R4702,$R$5:$R$100000,0)=ROW()-4,ROW(),""))</f>
        <v/>
      </c>
      <c r="T4702" s="9">
        <f>IF(Q4702="당기",ABS(P4702)+ROW()/1000000000,"")</f>
        <v/>
      </c>
      <c r="U4702" s="9">
        <f>IF(Q4702="비교",ABS(P4702)+ROW()/1000000000,"")</f>
        <v/>
      </c>
      <c r="V4702" s="64">
        <f>IF($A4702="","",IF(COUNTIF(변동분석!$E$7:$E$506,O4702)&gt;0,"Y","N"))</f>
        <v/>
      </c>
      <c r="W4702" s="64">
        <f>IF($A4702="","",IFERROR(INDEX(계정매핑!$D$5:$D$504,MATCH($F4702&amp;"",계정매핑!$A$5:$A$504,0)),"미매핑"))</f>
        <v/>
      </c>
      <c r="X4702" s="9">
        <f>IF($A4702="","",$F4702&amp;"")</f>
        <v/>
      </c>
      <c r="Y4702" s="94">
        <f>IF($A4702="",0,IF(AE4702="직접",IF(AF4702="비귀속",$P4702,0),$P4702*(1-AG4702)*IFERROR(INDEX(계정대체기준!$F$20:$F$49,MATCH($N4702,계정대체기준!$A$20:$A$49,0)),1)))</f>
        <v/>
      </c>
      <c r="Z4702" s="94">
        <f>IF($A4702="",0,IF(AE4702="직접",IF(AF4702="신계약비",$P4702,0),$P4702*(1-AG4702)*IFERROR(INDEX(계정대체기준!$C$20:$C$49,MATCH($N4702,계정대체기준!$A$20:$A$49,0)),0)))</f>
        <v/>
      </c>
      <c r="AA4702" s="94">
        <f>IF($A4702="",0,IF(AE4702="직접",IF(OR(AF4702="유지비",AF4702="손해조사비"),$P4702,0),$P4702*(1-AG4702)*IFERROR(INDEX(계정대체기준!$D$20:$D$49,MATCH($N4702,계정대체기준!$A$20:$A$49,0)),0)))</f>
        <v/>
      </c>
      <c r="AB4702" s="94">
        <f>IF($A4702="",0,IF(AE4702="직접",IF(AF4702="수금비",$P4702,0),$P4702*(1-AG4702)*IFERROR(INDEX(계정대체기준!$E$20:$E$49,MATCH($N4702,계정대체기준!$A$20:$A$49,0)),0)))</f>
        <v/>
      </c>
      <c r="AC4702" s="9">
        <f>IF(AND($A4702&lt;&gt;"",M4702=설정!$C$20,Z4702&gt;0),Z4702+ROW()/1000000000,"")</f>
        <v/>
      </c>
      <c r="AD4702" s="94">
        <f>IF($A4702="",0,$P4702*AG4702)</f>
        <v/>
      </c>
      <c r="AE4702" s="64">
        <f>IF($A4702="","",IFERROR(INDEX(계정매핑!$E$5:$E$504,MATCH($F4702&amp;"",계정매핑!$A$5:$A$504,0))&amp;"","공통비"))</f>
        <v/>
      </c>
      <c r="AF4702" s="64">
        <f>IF($A4702="","",IF(AE4702="직접",IFERROR(INDEX(계정매핑!$F$5:$F$504,MATCH($F4702&amp;"",계정매핑!$A$5:$A$504,0))&amp;"","비귀속"),""))</f>
        <v/>
      </c>
      <c r="AG4702" s="96">
        <f>IF($A4702="",0,IF(AND(AE4702&lt;&gt;"직접",IFERROR(INDEX(계정매핑!$G$5:$G$504,MATCH($F4702&amp;"",계정매핑!$A$5:$A$504,0))&amp;"","")="유지비",COUNTIF(계정대체기준!$A$6:$A$15,$N4702)&gt;0),IFERROR(INDEX(계정대체기준!$E$6:$E$15,MATCH(VALUE($A4702&amp;""),계정대체기준!$D$6:$D$15,0)),0),0))</f>
        <v/>
      </c>
      <c r="AH4702" s="64">
        <f>IF($A4702="","",IF(AD4702=0,"",IF(OR(COUNTIF(계정대체기준!$A$77:$A$86,$N4702)&gt;0,ISNUMBER(MATCH($X4702,계정대체기준!$D$77:$D$86,0)),ISNUMBER(MATCH($F4702,계정대체기준!$D$77:$D$86,0))),"Y","N")))</f>
        <v/>
      </c>
    </row>
    <row r="4703">
      <c r="A4703" s="92" t="n">
        <v>2026</v>
      </c>
      <c r="B4703" s="92" t="n">
        <v>9</v>
      </c>
      <c r="C4703" s="92" t="inlineStr">
        <is>
          <t>5100001981</t>
        </is>
      </c>
      <c r="D4703" s="95" t="n">
        <v>46282</v>
      </c>
      <c r="E4703" s="92" t="inlineStr">
        <is>
          <t>KR</t>
        </is>
      </c>
      <c r="F4703" s="92" t="n">
        <v>62101000</v>
      </c>
      <c r="G4703" s="92" t="n">
        <v>1701</v>
      </c>
      <c r="H4703" s="93" t="n">
        <v>148000</v>
      </c>
      <c r="I4703" s="92" t="inlineStr">
        <is>
          <t>9월 국내출장 - M항공</t>
        </is>
      </c>
      <c r="J4703" s="92" t="inlineStr">
        <is>
          <t>V10001</t>
        </is>
      </c>
      <c r="K4703" s="92" t="inlineStr">
        <is>
          <t>M항공</t>
        </is>
      </c>
      <c r="M4703" s="9">
        <f>IF($A4703="","",VALUE($A4703&amp;"")*12+VALUE($B4703&amp;""))</f>
        <v/>
      </c>
      <c r="N4703" s="64">
        <f>IF($A4703="","",IFERROR(INDEX(부서매핑!$C$5:$C$504,MATCH($G4703&amp;"",부서매핑!$A$5:$A$504,0)),"미매핑"))</f>
        <v/>
      </c>
      <c r="O4703" s="9">
        <f>IF($A4703="","",N4703&amp;"|"&amp;$F4703)</f>
        <v/>
      </c>
      <c r="P4703" s="94">
        <f>IF($A4703="",0,$H4703*설정!$C$23)</f>
        <v/>
      </c>
      <c r="Q4703" s="64">
        <f>IF($A4703="","",IF(O4703&lt;&gt;원인분석!$C$9,"",IF(AND(M4703&gt;=원인분석!$C$10,M4703&lt;=원인분석!$C$11),"당기",IF(AND(M4703&gt;=원인분석!$C$12,M4703&lt;=원인분석!$C$13),"비교",""))))</f>
        <v/>
      </c>
      <c r="R4703" s="9">
        <f>IF(Q4703="","",$K4703&amp;"")</f>
        <v/>
      </c>
      <c r="S4703" s="9">
        <f>IF(Q4703="","",IF(MATCH(R4703,$R$5:$R$100000,0)=ROW()-4,ROW(),""))</f>
        <v/>
      </c>
      <c r="T4703" s="9">
        <f>IF(Q4703="당기",ABS(P4703)+ROW()/1000000000,"")</f>
        <v/>
      </c>
      <c r="U4703" s="9">
        <f>IF(Q4703="비교",ABS(P4703)+ROW()/1000000000,"")</f>
        <v/>
      </c>
      <c r="V4703" s="64">
        <f>IF($A4703="","",IF(COUNTIF(변동분석!$E$7:$E$506,O4703)&gt;0,"Y","N"))</f>
        <v/>
      </c>
      <c r="W4703" s="64">
        <f>IF($A4703="","",IFERROR(INDEX(계정매핑!$D$5:$D$504,MATCH($F4703&amp;"",계정매핑!$A$5:$A$504,0)),"미매핑"))</f>
        <v/>
      </c>
      <c r="X4703" s="9">
        <f>IF($A4703="","",$F4703&amp;"")</f>
        <v/>
      </c>
      <c r="Y4703" s="94">
        <f>IF($A4703="",0,IF(AE4703="직접",IF(AF4703="비귀속",$P4703,0),$P4703*(1-AG4703)*IFERROR(INDEX(계정대체기준!$F$20:$F$49,MATCH($N4703,계정대체기준!$A$20:$A$49,0)),1)))</f>
        <v/>
      </c>
      <c r="Z4703" s="94">
        <f>IF($A4703="",0,IF(AE4703="직접",IF(AF4703="신계약비",$P4703,0),$P4703*(1-AG4703)*IFERROR(INDEX(계정대체기준!$C$20:$C$49,MATCH($N4703,계정대체기준!$A$20:$A$49,0)),0)))</f>
        <v/>
      </c>
      <c r="AA4703" s="94">
        <f>IF($A4703="",0,IF(AE4703="직접",IF(OR(AF4703="유지비",AF4703="손해조사비"),$P4703,0),$P4703*(1-AG4703)*IFERROR(INDEX(계정대체기준!$D$20:$D$49,MATCH($N4703,계정대체기준!$A$20:$A$49,0)),0)))</f>
        <v/>
      </c>
      <c r="AB4703" s="94">
        <f>IF($A4703="",0,IF(AE4703="직접",IF(AF4703="수금비",$P4703,0),$P4703*(1-AG4703)*IFERROR(INDEX(계정대체기준!$E$20:$E$49,MATCH($N4703,계정대체기준!$A$20:$A$49,0)),0)))</f>
        <v/>
      </c>
      <c r="AC4703" s="9">
        <f>IF(AND($A4703&lt;&gt;"",M4703=설정!$C$20,Z4703&gt;0),Z4703+ROW()/1000000000,"")</f>
        <v/>
      </c>
      <c r="AD4703" s="94">
        <f>IF($A4703="",0,$P4703*AG4703)</f>
        <v/>
      </c>
      <c r="AE4703" s="64">
        <f>IF($A4703="","",IFERROR(INDEX(계정매핑!$E$5:$E$504,MATCH($F4703&amp;"",계정매핑!$A$5:$A$504,0))&amp;"","공통비"))</f>
        <v/>
      </c>
      <c r="AF4703" s="64">
        <f>IF($A4703="","",IF(AE4703="직접",IFERROR(INDEX(계정매핑!$F$5:$F$504,MATCH($F4703&amp;"",계정매핑!$A$5:$A$504,0))&amp;"","비귀속"),""))</f>
        <v/>
      </c>
      <c r="AG4703" s="96">
        <f>IF($A4703="",0,IF(AND(AE4703&lt;&gt;"직접",IFERROR(INDEX(계정매핑!$G$5:$G$504,MATCH($F4703&amp;"",계정매핑!$A$5:$A$504,0))&amp;"","")="유지비",COUNTIF(계정대체기준!$A$6:$A$15,$N4703)&gt;0),IFERROR(INDEX(계정대체기준!$E$6:$E$15,MATCH(VALUE($A4703&amp;""),계정대체기준!$D$6:$D$15,0)),0),0))</f>
        <v/>
      </c>
      <c r="AH4703" s="64">
        <f>IF($A4703="","",IF(AD4703=0,"",IF(OR(COUNTIF(계정대체기준!$A$77:$A$86,$N4703)&gt;0,ISNUMBER(MATCH($X4703,계정대체기준!$D$77:$D$86,0)),ISNUMBER(MATCH($F4703,계정대체기준!$D$77:$D$86,0))),"Y","N")))</f>
        <v/>
      </c>
    </row>
    <row r="4704">
      <c r="A4704" s="92" t="n">
        <v>2026</v>
      </c>
      <c r="B4704" s="92" t="n">
        <v>9</v>
      </c>
      <c r="C4704" s="92" t="inlineStr">
        <is>
          <t>5100001982</t>
        </is>
      </c>
      <c r="D4704" s="95" t="n">
        <v>46282</v>
      </c>
      <c r="E4704" s="92" t="inlineStr">
        <is>
          <t>KR</t>
        </is>
      </c>
      <c r="F4704" s="92" t="n">
        <v>62102000</v>
      </c>
      <c r="G4704" s="92" t="n">
        <v>1201</v>
      </c>
      <c r="H4704" s="93" t="n">
        <v>73000</v>
      </c>
      <c r="I4704" s="92" t="inlineStr">
        <is>
          <t>9월 해외출장 - N호텔</t>
        </is>
      </c>
      <c r="J4704" s="92" t="inlineStr">
        <is>
          <t>V10009</t>
        </is>
      </c>
      <c r="K4704" s="92" t="inlineStr">
        <is>
          <t>N호텔</t>
        </is>
      </c>
      <c r="M4704" s="9">
        <f>IF($A4704="","",VALUE($A4704&amp;"")*12+VALUE($B4704&amp;""))</f>
        <v/>
      </c>
      <c r="N4704" s="64">
        <f>IF($A4704="","",IFERROR(INDEX(부서매핑!$C$5:$C$504,MATCH($G4704&amp;"",부서매핑!$A$5:$A$504,0)),"미매핑"))</f>
        <v/>
      </c>
      <c r="O4704" s="9">
        <f>IF($A4704="","",N4704&amp;"|"&amp;$F4704)</f>
        <v/>
      </c>
      <c r="P4704" s="94">
        <f>IF($A4704="",0,$H4704*설정!$C$23)</f>
        <v/>
      </c>
      <c r="Q4704" s="64">
        <f>IF($A4704="","",IF(O4704&lt;&gt;원인분석!$C$9,"",IF(AND(M4704&gt;=원인분석!$C$10,M4704&lt;=원인분석!$C$11),"당기",IF(AND(M4704&gt;=원인분석!$C$12,M4704&lt;=원인분석!$C$13),"비교",""))))</f>
        <v/>
      </c>
      <c r="R4704" s="9">
        <f>IF(Q4704="","",$K4704&amp;"")</f>
        <v/>
      </c>
      <c r="S4704" s="9">
        <f>IF(Q4704="","",IF(MATCH(R4704,$R$5:$R$100000,0)=ROW()-4,ROW(),""))</f>
        <v/>
      </c>
      <c r="T4704" s="9">
        <f>IF(Q4704="당기",ABS(P4704)+ROW()/1000000000,"")</f>
        <v/>
      </c>
      <c r="U4704" s="9">
        <f>IF(Q4704="비교",ABS(P4704)+ROW()/1000000000,"")</f>
        <v/>
      </c>
      <c r="V4704" s="64">
        <f>IF($A4704="","",IF(COUNTIF(변동분석!$E$7:$E$506,O4704)&gt;0,"Y","N"))</f>
        <v/>
      </c>
      <c r="W4704" s="64">
        <f>IF($A4704="","",IFERROR(INDEX(계정매핑!$D$5:$D$504,MATCH($F4704&amp;"",계정매핑!$A$5:$A$504,0)),"미매핑"))</f>
        <v/>
      </c>
      <c r="X4704" s="9">
        <f>IF($A4704="","",$F4704&amp;"")</f>
        <v/>
      </c>
      <c r="Y4704" s="94">
        <f>IF($A4704="",0,IF(AE4704="직접",IF(AF4704="비귀속",$P4704,0),$P4704*(1-AG4704)*IFERROR(INDEX(계정대체기준!$F$20:$F$49,MATCH($N4704,계정대체기준!$A$20:$A$49,0)),1)))</f>
        <v/>
      </c>
      <c r="Z4704" s="94">
        <f>IF($A4704="",0,IF(AE4704="직접",IF(AF4704="신계약비",$P4704,0),$P4704*(1-AG4704)*IFERROR(INDEX(계정대체기준!$C$20:$C$49,MATCH($N4704,계정대체기준!$A$20:$A$49,0)),0)))</f>
        <v/>
      </c>
      <c r="AA4704" s="94">
        <f>IF($A4704="",0,IF(AE4704="직접",IF(OR(AF4704="유지비",AF4704="손해조사비"),$P4704,0),$P4704*(1-AG4704)*IFERROR(INDEX(계정대체기준!$D$20:$D$49,MATCH($N4704,계정대체기준!$A$20:$A$49,0)),0)))</f>
        <v/>
      </c>
      <c r="AB4704" s="94">
        <f>IF($A4704="",0,IF(AE4704="직접",IF(AF4704="수금비",$P4704,0),$P4704*(1-AG4704)*IFERROR(INDEX(계정대체기준!$E$20:$E$49,MATCH($N4704,계정대체기준!$A$20:$A$49,0)),0)))</f>
        <v/>
      </c>
      <c r="AC4704" s="9">
        <f>IF(AND($A4704&lt;&gt;"",M4704=설정!$C$20,Z4704&gt;0),Z4704+ROW()/1000000000,"")</f>
        <v/>
      </c>
      <c r="AD4704" s="94">
        <f>IF($A4704="",0,$P4704*AG4704)</f>
        <v/>
      </c>
      <c r="AE4704" s="64">
        <f>IF($A4704="","",IFERROR(INDEX(계정매핑!$E$5:$E$504,MATCH($F4704&amp;"",계정매핑!$A$5:$A$504,0))&amp;"","공통비"))</f>
        <v/>
      </c>
      <c r="AF4704" s="64">
        <f>IF($A4704="","",IF(AE4704="직접",IFERROR(INDEX(계정매핑!$F$5:$F$504,MATCH($F4704&amp;"",계정매핑!$A$5:$A$504,0))&amp;"","비귀속"),""))</f>
        <v/>
      </c>
      <c r="AG4704" s="96">
        <f>IF($A4704="",0,IF(AND(AE4704&lt;&gt;"직접",IFERROR(INDEX(계정매핑!$G$5:$G$504,MATCH($F4704&amp;"",계정매핑!$A$5:$A$504,0))&amp;"","")="유지비",COUNTIF(계정대체기준!$A$6:$A$15,$N4704)&gt;0),IFERROR(INDEX(계정대체기준!$E$6:$E$15,MATCH(VALUE($A4704&amp;""),계정대체기준!$D$6:$D$15,0)),0),0))</f>
        <v/>
      </c>
      <c r="AH4704" s="64">
        <f>IF($A4704="","",IF(AD4704=0,"",IF(OR(COUNTIF(계정대체기준!$A$77:$A$86,$N4704)&gt;0,ISNUMBER(MATCH($X4704,계정대체기준!$D$77:$D$86,0)),ISNUMBER(MATCH($F4704,계정대체기준!$D$77:$D$86,0))),"Y","N")))</f>
        <v/>
      </c>
    </row>
    <row r="4705">
      <c r="A4705" s="92" t="n">
        <v>2026</v>
      </c>
      <c r="B4705" s="92" t="n">
        <v>9</v>
      </c>
      <c r="C4705" s="92" t="inlineStr">
        <is>
          <t>5100001983</t>
        </is>
      </c>
      <c r="D4705" s="95" t="n">
        <v>46282</v>
      </c>
      <c r="E4705" s="92" t="inlineStr">
        <is>
          <t>KR</t>
        </is>
      </c>
      <c r="F4705" s="92" t="n">
        <v>62501000</v>
      </c>
      <c r="G4705" s="92" t="n">
        <v>1501</v>
      </c>
      <c r="H4705" s="93" t="n">
        <v>236000</v>
      </c>
      <c r="I4705" s="92" t="inlineStr">
        <is>
          <t>9월 회의 다과 - (법인카드)</t>
        </is>
      </c>
      <c r="J4705" s="92" t="inlineStr">
        <is>
          <t>V10010</t>
        </is>
      </c>
      <c r="K4705" s="92" t="inlineStr">
        <is>
          <t>(법인카드)</t>
        </is>
      </c>
      <c r="M4705" s="9">
        <f>IF($A4705="","",VALUE($A4705&amp;"")*12+VALUE($B4705&amp;""))</f>
        <v/>
      </c>
      <c r="N4705" s="64">
        <f>IF($A4705="","",IFERROR(INDEX(부서매핑!$C$5:$C$504,MATCH($G4705&amp;"",부서매핑!$A$5:$A$504,0)),"미매핑"))</f>
        <v/>
      </c>
      <c r="O4705" s="9">
        <f>IF($A4705="","",N4705&amp;"|"&amp;$F4705)</f>
        <v/>
      </c>
      <c r="P4705" s="94">
        <f>IF($A4705="",0,$H4705*설정!$C$23)</f>
        <v/>
      </c>
      <c r="Q4705" s="64">
        <f>IF($A4705="","",IF(O4705&lt;&gt;원인분석!$C$9,"",IF(AND(M4705&gt;=원인분석!$C$10,M4705&lt;=원인분석!$C$11),"당기",IF(AND(M4705&gt;=원인분석!$C$12,M4705&lt;=원인분석!$C$13),"비교",""))))</f>
        <v/>
      </c>
      <c r="R4705" s="9">
        <f>IF(Q4705="","",$K4705&amp;"")</f>
        <v/>
      </c>
      <c r="S4705" s="9">
        <f>IF(Q4705="","",IF(MATCH(R4705,$R$5:$R$100000,0)=ROW()-4,ROW(),""))</f>
        <v/>
      </c>
      <c r="T4705" s="9">
        <f>IF(Q4705="당기",ABS(P4705)+ROW()/1000000000,"")</f>
        <v/>
      </c>
      <c r="U4705" s="9">
        <f>IF(Q4705="비교",ABS(P4705)+ROW()/1000000000,"")</f>
        <v/>
      </c>
      <c r="V4705" s="64">
        <f>IF($A4705="","",IF(COUNTIF(변동분석!$E$7:$E$506,O4705)&gt;0,"Y","N"))</f>
        <v/>
      </c>
      <c r="W4705" s="64">
        <f>IF($A4705="","",IFERROR(INDEX(계정매핑!$D$5:$D$504,MATCH($F4705&amp;"",계정매핑!$A$5:$A$504,0)),"미매핑"))</f>
        <v/>
      </c>
      <c r="X4705" s="9">
        <f>IF($A4705="","",$F4705&amp;"")</f>
        <v/>
      </c>
      <c r="Y4705" s="94">
        <f>IF($A4705="",0,IF(AE4705="직접",IF(AF4705="비귀속",$P4705,0),$P4705*(1-AG4705)*IFERROR(INDEX(계정대체기준!$F$20:$F$49,MATCH($N4705,계정대체기준!$A$20:$A$49,0)),1)))</f>
        <v/>
      </c>
      <c r="Z4705" s="94">
        <f>IF($A4705="",0,IF(AE4705="직접",IF(AF4705="신계약비",$P4705,0),$P4705*(1-AG4705)*IFERROR(INDEX(계정대체기준!$C$20:$C$49,MATCH($N4705,계정대체기준!$A$20:$A$49,0)),0)))</f>
        <v/>
      </c>
      <c r="AA4705" s="94">
        <f>IF($A4705="",0,IF(AE4705="직접",IF(OR(AF4705="유지비",AF4705="손해조사비"),$P4705,0),$P4705*(1-AG4705)*IFERROR(INDEX(계정대체기준!$D$20:$D$49,MATCH($N4705,계정대체기준!$A$20:$A$49,0)),0)))</f>
        <v/>
      </c>
      <c r="AB4705" s="94">
        <f>IF($A4705="",0,IF(AE4705="직접",IF(AF4705="수금비",$P4705,0),$P4705*(1-AG4705)*IFERROR(INDEX(계정대체기준!$E$20:$E$49,MATCH($N4705,계정대체기준!$A$20:$A$49,0)),0)))</f>
        <v/>
      </c>
      <c r="AC4705" s="9">
        <f>IF(AND($A4705&lt;&gt;"",M4705=설정!$C$20,Z4705&gt;0),Z4705+ROW()/1000000000,"")</f>
        <v/>
      </c>
      <c r="AD4705" s="94">
        <f>IF($A4705="",0,$P4705*AG4705)</f>
        <v/>
      </c>
      <c r="AE4705" s="64">
        <f>IF($A4705="","",IFERROR(INDEX(계정매핑!$E$5:$E$504,MATCH($F4705&amp;"",계정매핑!$A$5:$A$504,0))&amp;"","공통비"))</f>
        <v/>
      </c>
      <c r="AF4705" s="64">
        <f>IF($A4705="","",IF(AE4705="직접",IFERROR(INDEX(계정매핑!$F$5:$F$504,MATCH($F4705&amp;"",계정매핑!$A$5:$A$504,0))&amp;"","비귀속"),""))</f>
        <v/>
      </c>
      <c r="AG4705" s="96">
        <f>IF($A4705="",0,IF(AND(AE4705&lt;&gt;"직접",IFERROR(INDEX(계정매핑!$G$5:$G$504,MATCH($F4705&amp;"",계정매핑!$A$5:$A$504,0))&amp;"","")="유지비",COUNTIF(계정대체기준!$A$6:$A$15,$N4705)&gt;0),IFERROR(INDEX(계정대체기준!$E$6:$E$15,MATCH(VALUE($A4705&amp;""),계정대체기준!$D$6:$D$15,0)),0),0))</f>
        <v/>
      </c>
      <c r="AH4705" s="64">
        <f>IF($A4705="","",IF(AD4705=0,"",IF(OR(COUNTIF(계정대체기준!$A$77:$A$86,$N4705)&gt;0,ISNUMBER(MATCH($X4705,계정대체기준!$D$77:$D$86,0)),ISNUMBER(MATCH($F4705,계정대체기준!$D$77:$D$86,0))),"Y","N")))</f>
        <v/>
      </c>
    </row>
    <row r="4706">
      <c r="A4706" s="92" t="n">
        <v>2026</v>
      </c>
      <c r="B4706" s="92" t="n">
        <v>9</v>
      </c>
      <c r="C4706" s="92" t="inlineStr">
        <is>
          <t>5100001984</t>
        </is>
      </c>
      <c r="D4706" s="95" t="n">
        <v>46282</v>
      </c>
      <c r="E4706" s="92" t="inlineStr">
        <is>
          <t>KR</t>
        </is>
      </c>
      <c r="F4706" s="92" t="n">
        <v>62902000</v>
      </c>
      <c r="G4706" s="92" t="n">
        <v>1951</v>
      </c>
      <c r="H4706" s="93" t="n">
        <v>3136000</v>
      </c>
      <c r="I4706" s="92" t="inlineStr">
        <is>
          <t>9월 업무 위탁 수수료 - X서비스</t>
        </is>
      </c>
      <c r="J4706" s="92" t="inlineStr">
        <is>
          <t>V10020</t>
        </is>
      </c>
      <c r="K4706" s="92" t="inlineStr">
        <is>
          <t>X서비스</t>
        </is>
      </c>
      <c r="M4706" s="9">
        <f>IF($A4706="","",VALUE($A4706&amp;"")*12+VALUE($B4706&amp;""))</f>
        <v/>
      </c>
      <c r="N4706" s="64">
        <f>IF($A4706="","",IFERROR(INDEX(부서매핑!$C$5:$C$504,MATCH($G4706&amp;"",부서매핑!$A$5:$A$504,0)),"미매핑"))</f>
        <v/>
      </c>
      <c r="O4706" s="9">
        <f>IF($A4706="","",N4706&amp;"|"&amp;$F4706)</f>
        <v/>
      </c>
      <c r="P4706" s="94">
        <f>IF($A4706="",0,$H4706*설정!$C$23)</f>
        <v/>
      </c>
      <c r="Q4706" s="64">
        <f>IF($A4706="","",IF(O4706&lt;&gt;원인분석!$C$9,"",IF(AND(M4706&gt;=원인분석!$C$10,M4706&lt;=원인분석!$C$11),"당기",IF(AND(M4706&gt;=원인분석!$C$12,M4706&lt;=원인분석!$C$13),"비교",""))))</f>
        <v/>
      </c>
      <c r="R4706" s="9">
        <f>IF(Q4706="","",$K4706&amp;"")</f>
        <v/>
      </c>
      <c r="S4706" s="9">
        <f>IF(Q4706="","",IF(MATCH(R4706,$R$5:$R$100000,0)=ROW()-4,ROW(),""))</f>
        <v/>
      </c>
      <c r="T4706" s="9">
        <f>IF(Q4706="당기",ABS(P4706)+ROW()/1000000000,"")</f>
        <v/>
      </c>
      <c r="U4706" s="9">
        <f>IF(Q4706="비교",ABS(P4706)+ROW()/1000000000,"")</f>
        <v/>
      </c>
      <c r="V4706" s="64">
        <f>IF($A4706="","",IF(COUNTIF(변동분석!$E$7:$E$506,O4706)&gt;0,"Y","N"))</f>
        <v/>
      </c>
      <c r="W4706" s="64">
        <f>IF($A4706="","",IFERROR(INDEX(계정매핑!$D$5:$D$504,MATCH($F4706&amp;"",계정매핑!$A$5:$A$504,0)),"미매핑"))</f>
        <v/>
      </c>
      <c r="X4706" s="9">
        <f>IF($A4706="","",$F4706&amp;"")</f>
        <v/>
      </c>
      <c r="Y4706" s="94">
        <f>IF($A4706="",0,IF(AE4706="직접",IF(AF4706="비귀속",$P4706,0),$P4706*(1-AG4706)*IFERROR(INDEX(계정대체기준!$F$20:$F$49,MATCH($N4706,계정대체기준!$A$20:$A$49,0)),1)))</f>
        <v/>
      </c>
      <c r="Z4706" s="94">
        <f>IF($A4706="",0,IF(AE4706="직접",IF(AF4706="신계약비",$P4706,0),$P4706*(1-AG4706)*IFERROR(INDEX(계정대체기준!$C$20:$C$49,MATCH($N4706,계정대체기준!$A$20:$A$49,0)),0)))</f>
        <v/>
      </c>
      <c r="AA4706" s="94">
        <f>IF($A4706="",0,IF(AE4706="직접",IF(OR(AF4706="유지비",AF4706="손해조사비"),$P4706,0),$P4706*(1-AG4706)*IFERROR(INDEX(계정대체기준!$D$20:$D$49,MATCH($N4706,계정대체기준!$A$20:$A$49,0)),0)))</f>
        <v/>
      </c>
      <c r="AB4706" s="94">
        <f>IF($A4706="",0,IF(AE4706="직접",IF(AF4706="수금비",$P4706,0),$P4706*(1-AG4706)*IFERROR(INDEX(계정대체기준!$E$20:$E$49,MATCH($N4706,계정대체기준!$A$20:$A$49,0)),0)))</f>
        <v/>
      </c>
      <c r="AC4706" s="9">
        <f>IF(AND($A4706&lt;&gt;"",M4706=설정!$C$20,Z4706&gt;0),Z4706+ROW()/1000000000,"")</f>
        <v/>
      </c>
      <c r="AD4706" s="94">
        <f>IF($A4706="",0,$P4706*AG4706)</f>
        <v/>
      </c>
      <c r="AE4706" s="64">
        <f>IF($A4706="","",IFERROR(INDEX(계정매핑!$E$5:$E$504,MATCH($F4706&amp;"",계정매핑!$A$5:$A$504,0))&amp;"","공통비"))</f>
        <v/>
      </c>
      <c r="AF4706" s="64">
        <f>IF($A4706="","",IF(AE4706="직접",IFERROR(INDEX(계정매핑!$F$5:$F$504,MATCH($F4706&amp;"",계정매핑!$A$5:$A$504,0))&amp;"","비귀속"),""))</f>
        <v/>
      </c>
      <c r="AG4706" s="96">
        <f>IF($A4706="",0,IF(AND(AE4706&lt;&gt;"직접",IFERROR(INDEX(계정매핑!$G$5:$G$504,MATCH($F4706&amp;"",계정매핑!$A$5:$A$504,0))&amp;"","")="유지비",COUNTIF(계정대체기준!$A$6:$A$15,$N4706)&gt;0),IFERROR(INDEX(계정대체기준!$E$6:$E$15,MATCH(VALUE($A4706&amp;""),계정대체기준!$D$6:$D$15,0)),0),0))</f>
        <v/>
      </c>
      <c r="AH4706" s="64">
        <f>IF($A4706="","",IF(AD4706=0,"",IF(OR(COUNTIF(계정대체기준!$A$77:$A$86,$N4706)&gt;0,ISNUMBER(MATCH($X4706,계정대체기준!$D$77:$D$86,0)),ISNUMBER(MATCH($F4706,계정대체기준!$D$77:$D$86,0))),"Y","N")))</f>
        <v/>
      </c>
    </row>
    <row r="4707">
      <c r="A4707" s="92" t="n">
        <v>2026</v>
      </c>
      <c r="B4707" s="92" t="n">
        <v>9</v>
      </c>
      <c r="C4707" s="92" t="inlineStr">
        <is>
          <t>5100001985</t>
        </is>
      </c>
      <c r="D4707" s="95" t="n">
        <v>46282</v>
      </c>
      <c r="E4707" s="92" t="inlineStr">
        <is>
          <t>KR</t>
        </is>
      </c>
      <c r="F4707" s="92" t="n">
        <v>63001000</v>
      </c>
      <c r="G4707" s="92" t="n">
        <v>1951</v>
      </c>
      <c r="H4707" s="93" t="n">
        <v>3281000</v>
      </c>
      <c r="I4707" s="92" t="inlineStr">
        <is>
          <t>9월 SW 유지보수 - Y소프트</t>
        </is>
      </c>
      <c r="J4707" s="92" t="inlineStr">
        <is>
          <t>V10017</t>
        </is>
      </c>
      <c r="K4707" s="92" t="inlineStr">
        <is>
          <t>Y소프트</t>
        </is>
      </c>
      <c r="M4707" s="9">
        <f>IF($A4707="","",VALUE($A4707&amp;"")*12+VALUE($B4707&amp;""))</f>
        <v/>
      </c>
      <c r="N4707" s="64">
        <f>IF($A4707="","",IFERROR(INDEX(부서매핑!$C$5:$C$504,MATCH($G4707&amp;"",부서매핑!$A$5:$A$504,0)),"미매핑"))</f>
        <v/>
      </c>
      <c r="O4707" s="9">
        <f>IF($A4707="","",N4707&amp;"|"&amp;$F4707)</f>
        <v/>
      </c>
      <c r="P4707" s="94">
        <f>IF($A4707="",0,$H4707*설정!$C$23)</f>
        <v/>
      </c>
      <c r="Q4707" s="64">
        <f>IF($A4707="","",IF(O4707&lt;&gt;원인분석!$C$9,"",IF(AND(M4707&gt;=원인분석!$C$10,M4707&lt;=원인분석!$C$11),"당기",IF(AND(M4707&gt;=원인분석!$C$12,M4707&lt;=원인분석!$C$13),"비교",""))))</f>
        <v/>
      </c>
      <c r="R4707" s="9">
        <f>IF(Q4707="","",$K4707&amp;"")</f>
        <v/>
      </c>
      <c r="S4707" s="9">
        <f>IF(Q4707="","",IF(MATCH(R4707,$R$5:$R$100000,0)=ROW()-4,ROW(),""))</f>
        <v/>
      </c>
      <c r="T4707" s="9">
        <f>IF(Q4707="당기",ABS(P4707)+ROW()/1000000000,"")</f>
        <v/>
      </c>
      <c r="U4707" s="9">
        <f>IF(Q4707="비교",ABS(P4707)+ROW()/1000000000,"")</f>
        <v/>
      </c>
      <c r="V4707" s="64">
        <f>IF($A4707="","",IF(COUNTIF(변동분석!$E$7:$E$506,O4707)&gt;0,"Y","N"))</f>
        <v/>
      </c>
      <c r="W4707" s="64">
        <f>IF($A4707="","",IFERROR(INDEX(계정매핑!$D$5:$D$504,MATCH($F4707&amp;"",계정매핑!$A$5:$A$504,0)),"미매핑"))</f>
        <v/>
      </c>
      <c r="X4707" s="9">
        <f>IF($A4707="","",$F4707&amp;"")</f>
        <v/>
      </c>
      <c r="Y4707" s="94">
        <f>IF($A4707="",0,IF(AE4707="직접",IF(AF4707="비귀속",$P4707,0),$P4707*(1-AG4707)*IFERROR(INDEX(계정대체기준!$F$20:$F$49,MATCH($N4707,계정대체기준!$A$20:$A$49,0)),1)))</f>
        <v/>
      </c>
      <c r="Z4707" s="94">
        <f>IF($A4707="",0,IF(AE4707="직접",IF(AF4707="신계약비",$P4707,0),$P4707*(1-AG4707)*IFERROR(INDEX(계정대체기준!$C$20:$C$49,MATCH($N4707,계정대체기준!$A$20:$A$49,0)),0)))</f>
        <v/>
      </c>
      <c r="AA4707" s="94">
        <f>IF($A4707="",0,IF(AE4707="직접",IF(OR(AF4707="유지비",AF4707="손해조사비"),$P4707,0),$P4707*(1-AG4707)*IFERROR(INDEX(계정대체기준!$D$20:$D$49,MATCH($N4707,계정대체기준!$A$20:$A$49,0)),0)))</f>
        <v/>
      </c>
      <c r="AB4707" s="94">
        <f>IF($A4707="",0,IF(AE4707="직접",IF(AF4707="수금비",$P4707,0),$P4707*(1-AG4707)*IFERROR(INDEX(계정대체기준!$E$20:$E$49,MATCH($N4707,계정대체기준!$A$20:$A$49,0)),0)))</f>
        <v/>
      </c>
      <c r="AC4707" s="9">
        <f>IF(AND($A4707&lt;&gt;"",M4707=설정!$C$20,Z4707&gt;0),Z4707+ROW()/1000000000,"")</f>
        <v/>
      </c>
      <c r="AD4707" s="94">
        <f>IF($A4707="",0,$P4707*AG4707)</f>
        <v/>
      </c>
      <c r="AE4707" s="64">
        <f>IF($A4707="","",IFERROR(INDEX(계정매핑!$E$5:$E$504,MATCH($F4707&amp;"",계정매핑!$A$5:$A$504,0))&amp;"","공통비"))</f>
        <v/>
      </c>
      <c r="AF4707" s="64">
        <f>IF($A4707="","",IF(AE4707="직접",IFERROR(INDEX(계정매핑!$F$5:$F$504,MATCH($F4707&amp;"",계정매핑!$A$5:$A$504,0))&amp;"","비귀속"),""))</f>
        <v/>
      </c>
      <c r="AG4707" s="96">
        <f>IF($A4707="",0,IF(AND(AE4707&lt;&gt;"직접",IFERROR(INDEX(계정매핑!$G$5:$G$504,MATCH($F4707&amp;"",계정매핑!$A$5:$A$504,0))&amp;"","")="유지비",COUNTIF(계정대체기준!$A$6:$A$15,$N4707)&gt;0),IFERROR(INDEX(계정대체기준!$E$6:$E$15,MATCH(VALUE($A4707&amp;""),계정대체기준!$D$6:$D$15,0)),0),0))</f>
        <v/>
      </c>
      <c r="AH4707" s="64">
        <f>IF($A4707="","",IF(AD4707=0,"",IF(OR(COUNTIF(계정대체기준!$A$77:$A$86,$N4707)&gt;0,ISNUMBER(MATCH($X4707,계정대체기준!$D$77:$D$86,0)),ISNUMBER(MATCH($F4707,계정대체기준!$D$77:$D$86,0))),"Y","N")))</f>
        <v/>
      </c>
    </row>
    <row r="4708">
      <c r="A4708" s="92" t="n">
        <v>2026</v>
      </c>
      <c r="B4708" s="92" t="n">
        <v>9</v>
      </c>
      <c r="C4708" s="92" t="inlineStr">
        <is>
          <t>5100001986</t>
        </is>
      </c>
      <c r="D4708" s="95" t="n">
        <v>46282</v>
      </c>
      <c r="E4708" s="92" t="inlineStr">
        <is>
          <t>KR</t>
        </is>
      </c>
      <c r="F4708" s="92" t="n">
        <v>63601000</v>
      </c>
      <c r="G4708" s="92" t="n">
        <v>1801</v>
      </c>
      <c r="H4708" s="93" t="n">
        <v>7371000</v>
      </c>
      <c r="I4708" s="92" t="inlineStr">
        <is>
          <t>9월 손해사정 수수료 - EE손해사정</t>
        </is>
      </c>
      <c r="J4708" s="92" t="inlineStr">
        <is>
          <t>V10008</t>
        </is>
      </c>
      <c r="K4708" s="92" t="inlineStr">
        <is>
          <t>EE손해사정</t>
        </is>
      </c>
      <c r="M4708" s="9">
        <f>IF($A4708="","",VALUE($A4708&amp;"")*12+VALUE($B4708&amp;""))</f>
        <v/>
      </c>
      <c r="N4708" s="64">
        <f>IF($A4708="","",IFERROR(INDEX(부서매핑!$C$5:$C$504,MATCH($G4708&amp;"",부서매핑!$A$5:$A$504,0)),"미매핑"))</f>
        <v/>
      </c>
      <c r="O4708" s="9">
        <f>IF($A4708="","",N4708&amp;"|"&amp;$F4708)</f>
        <v/>
      </c>
      <c r="P4708" s="94">
        <f>IF($A4708="",0,$H4708*설정!$C$23)</f>
        <v/>
      </c>
      <c r="Q4708" s="64">
        <f>IF($A4708="","",IF(O4708&lt;&gt;원인분석!$C$9,"",IF(AND(M4708&gt;=원인분석!$C$10,M4708&lt;=원인분석!$C$11),"당기",IF(AND(M4708&gt;=원인분석!$C$12,M4708&lt;=원인분석!$C$13),"비교",""))))</f>
        <v/>
      </c>
      <c r="R4708" s="9">
        <f>IF(Q4708="","",$K4708&amp;"")</f>
        <v/>
      </c>
      <c r="S4708" s="9">
        <f>IF(Q4708="","",IF(MATCH(R4708,$R$5:$R$100000,0)=ROW()-4,ROW(),""))</f>
        <v/>
      </c>
      <c r="T4708" s="9">
        <f>IF(Q4708="당기",ABS(P4708)+ROW()/1000000000,"")</f>
        <v/>
      </c>
      <c r="U4708" s="9">
        <f>IF(Q4708="비교",ABS(P4708)+ROW()/1000000000,"")</f>
        <v/>
      </c>
      <c r="V4708" s="64">
        <f>IF($A4708="","",IF(COUNTIF(변동분석!$E$7:$E$506,O4708)&gt;0,"Y","N"))</f>
        <v/>
      </c>
      <c r="W4708" s="64">
        <f>IF($A4708="","",IFERROR(INDEX(계정매핑!$D$5:$D$504,MATCH($F4708&amp;"",계정매핑!$A$5:$A$504,0)),"미매핑"))</f>
        <v/>
      </c>
      <c r="X4708" s="9">
        <f>IF($A4708="","",$F4708&amp;"")</f>
        <v/>
      </c>
      <c r="Y4708" s="94">
        <f>IF($A4708="",0,IF(AE4708="직접",IF(AF4708="비귀속",$P4708,0),$P4708*(1-AG4708)*IFERROR(INDEX(계정대체기준!$F$20:$F$49,MATCH($N4708,계정대체기준!$A$20:$A$49,0)),1)))</f>
        <v/>
      </c>
      <c r="Z4708" s="94">
        <f>IF($A4708="",0,IF(AE4708="직접",IF(AF4708="신계약비",$P4708,0),$P4708*(1-AG4708)*IFERROR(INDEX(계정대체기준!$C$20:$C$49,MATCH($N4708,계정대체기준!$A$20:$A$49,0)),0)))</f>
        <v/>
      </c>
      <c r="AA4708" s="94">
        <f>IF($A4708="",0,IF(AE4708="직접",IF(OR(AF4708="유지비",AF4708="손해조사비"),$P4708,0),$P4708*(1-AG4708)*IFERROR(INDEX(계정대체기준!$D$20:$D$49,MATCH($N4708,계정대체기준!$A$20:$A$49,0)),0)))</f>
        <v/>
      </c>
      <c r="AB4708" s="94">
        <f>IF($A4708="",0,IF(AE4708="직접",IF(AF4708="수금비",$P4708,0),$P4708*(1-AG4708)*IFERROR(INDEX(계정대체기준!$E$20:$E$49,MATCH($N4708,계정대체기준!$A$20:$A$49,0)),0)))</f>
        <v/>
      </c>
      <c r="AC4708" s="9">
        <f>IF(AND($A4708&lt;&gt;"",M4708=설정!$C$20,Z4708&gt;0),Z4708+ROW()/1000000000,"")</f>
        <v/>
      </c>
      <c r="AD4708" s="94">
        <f>IF($A4708="",0,$P4708*AG4708)</f>
        <v/>
      </c>
      <c r="AE4708" s="64">
        <f>IF($A4708="","",IFERROR(INDEX(계정매핑!$E$5:$E$504,MATCH($F4708&amp;"",계정매핑!$A$5:$A$504,0))&amp;"","공통비"))</f>
        <v/>
      </c>
      <c r="AF4708" s="64">
        <f>IF($A4708="","",IF(AE4708="직접",IFERROR(INDEX(계정매핑!$F$5:$F$504,MATCH($F4708&amp;"",계정매핑!$A$5:$A$504,0))&amp;"","비귀속"),""))</f>
        <v/>
      </c>
      <c r="AG4708" s="96">
        <f>IF($A4708="",0,IF(AND(AE4708&lt;&gt;"직접",IFERROR(INDEX(계정매핑!$G$5:$G$504,MATCH($F4708&amp;"",계정매핑!$A$5:$A$504,0))&amp;"","")="유지비",COUNTIF(계정대체기준!$A$6:$A$15,$N4708)&gt;0),IFERROR(INDEX(계정대체기준!$E$6:$E$15,MATCH(VALUE($A4708&amp;""),계정대체기준!$D$6:$D$15,0)),0),0))</f>
        <v/>
      </c>
      <c r="AH4708" s="64">
        <f>IF($A4708="","",IF(AD4708=0,"",IF(OR(COUNTIF(계정대체기준!$A$77:$A$86,$N4708)&gt;0,ISNUMBER(MATCH($X4708,계정대체기준!$D$77:$D$86,0)),ISNUMBER(MATCH($F4708,계정대체기준!$D$77:$D$86,0))),"Y","N")))</f>
        <v/>
      </c>
    </row>
    <row r="4709">
      <c r="A4709" s="92" t="n">
        <v>2026</v>
      </c>
      <c r="B4709" s="92" t="n">
        <v>9</v>
      </c>
      <c r="C4709" s="92" t="inlineStr">
        <is>
          <t>5100001987</t>
        </is>
      </c>
      <c r="D4709" s="95" t="n">
        <v>46283</v>
      </c>
      <c r="E4709" s="92" t="inlineStr">
        <is>
          <t>KR</t>
        </is>
      </c>
      <c r="F4709" s="92" t="n">
        <v>62101000</v>
      </c>
      <c r="G4709" s="92" t="n">
        <v>1701</v>
      </c>
      <c r="H4709" s="93" t="n">
        <v>144000</v>
      </c>
      <c r="I4709" s="92" t="inlineStr">
        <is>
          <t>9월 국내출장 - (법인카드)</t>
        </is>
      </c>
      <c r="J4709" s="92" t="inlineStr">
        <is>
          <t>V10010</t>
        </is>
      </c>
      <c r="K4709" s="92" t="inlineStr">
        <is>
          <t>(법인카드)</t>
        </is>
      </c>
      <c r="M4709" s="9">
        <f>IF($A4709="","",VALUE($A4709&amp;"")*12+VALUE($B4709&amp;""))</f>
        <v/>
      </c>
      <c r="N4709" s="64">
        <f>IF($A4709="","",IFERROR(INDEX(부서매핑!$C$5:$C$504,MATCH($G4709&amp;"",부서매핑!$A$5:$A$504,0)),"미매핑"))</f>
        <v/>
      </c>
      <c r="O4709" s="9">
        <f>IF($A4709="","",N4709&amp;"|"&amp;$F4709)</f>
        <v/>
      </c>
      <c r="P4709" s="94">
        <f>IF($A4709="",0,$H4709*설정!$C$23)</f>
        <v/>
      </c>
      <c r="Q4709" s="64">
        <f>IF($A4709="","",IF(O4709&lt;&gt;원인분석!$C$9,"",IF(AND(M4709&gt;=원인분석!$C$10,M4709&lt;=원인분석!$C$11),"당기",IF(AND(M4709&gt;=원인분석!$C$12,M4709&lt;=원인분석!$C$13),"비교",""))))</f>
        <v/>
      </c>
      <c r="R4709" s="9">
        <f>IF(Q4709="","",$K4709&amp;"")</f>
        <v/>
      </c>
      <c r="S4709" s="9">
        <f>IF(Q4709="","",IF(MATCH(R4709,$R$5:$R$100000,0)=ROW()-4,ROW(),""))</f>
        <v/>
      </c>
      <c r="T4709" s="9">
        <f>IF(Q4709="당기",ABS(P4709)+ROW()/1000000000,"")</f>
        <v/>
      </c>
      <c r="U4709" s="9">
        <f>IF(Q4709="비교",ABS(P4709)+ROW()/1000000000,"")</f>
        <v/>
      </c>
      <c r="V4709" s="64">
        <f>IF($A4709="","",IF(COUNTIF(변동분석!$E$7:$E$506,O4709)&gt;0,"Y","N"))</f>
        <v/>
      </c>
      <c r="W4709" s="64">
        <f>IF($A4709="","",IFERROR(INDEX(계정매핑!$D$5:$D$504,MATCH($F4709&amp;"",계정매핑!$A$5:$A$504,0)),"미매핑"))</f>
        <v/>
      </c>
      <c r="X4709" s="9">
        <f>IF($A4709="","",$F4709&amp;"")</f>
        <v/>
      </c>
      <c r="Y4709" s="94">
        <f>IF($A4709="",0,IF(AE4709="직접",IF(AF4709="비귀속",$P4709,0),$P4709*(1-AG4709)*IFERROR(INDEX(계정대체기준!$F$20:$F$49,MATCH($N4709,계정대체기준!$A$20:$A$49,0)),1)))</f>
        <v/>
      </c>
      <c r="Z4709" s="94">
        <f>IF($A4709="",0,IF(AE4709="직접",IF(AF4709="신계약비",$P4709,0),$P4709*(1-AG4709)*IFERROR(INDEX(계정대체기준!$C$20:$C$49,MATCH($N4709,계정대체기준!$A$20:$A$49,0)),0)))</f>
        <v/>
      </c>
      <c r="AA4709" s="94">
        <f>IF($A4709="",0,IF(AE4709="직접",IF(OR(AF4709="유지비",AF4709="손해조사비"),$P4709,0),$P4709*(1-AG4709)*IFERROR(INDEX(계정대체기준!$D$20:$D$49,MATCH($N4709,계정대체기준!$A$20:$A$49,0)),0)))</f>
        <v/>
      </c>
      <c r="AB4709" s="94">
        <f>IF($A4709="",0,IF(AE4709="직접",IF(AF4709="수금비",$P4709,0),$P4709*(1-AG4709)*IFERROR(INDEX(계정대체기준!$E$20:$E$49,MATCH($N4709,계정대체기준!$A$20:$A$49,0)),0)))</f>
        <v/>
      </c>
      <c r="AC4709" s="9">
        <f>IF(AND($A4709&lt;&gt;"",M4709=설정!$C$20,Z4709&gt;0),Z4709+ROW()/1000000000,"")</f>
        <v/>
      </c>
      <c r="AD4709" s="94">
        <f>IF($A4709="",0,$P4709*AG4709)</f>
        <v/>
      </c>
      <c r="AE4709" s="64">
        <f>IF($A4709="","",IFERROR(INDEX(계정매핑!$E$5:$E$504,MATCH($F4709&amp;"",계정매핑!$A$5:$A$504,0))&amp;"","공통비"))</f>
        <v/>
      </c>
      <c r="AF4709" s="64">
        <f>IF($A4709="","",IF(AE4709="직접",IFERROR(INDEX(계정매핑!$F$5:$F$504,MATCH($F4709&amp;"",계정매핑!$A$5:$A$504,0))&amp;"","비귀속"),""))</f>
        <v/>
      </c>
      <c r="AG4709" s="96">
        <f>IF($A4709="",0,IF(AND(AE4709&lt;&gt;"직접",IFERROR(INDEX(계정매핑!$G$5:$G$504,MATCH($F4709&amp;"",계정매핑!$A$5:$A$504,0))&amp;"","")="유지비",COUNTIF(계정대체기준!$A$6:$A$15,$N4709)&gt;0),IFERROR(INDEX(계정대체기준!$E$6:$E$15,MATCH(VALUE($A4709&amp;""),계정대체기준!$D$6:$D$15,0)),0),0))</f>
        <v/>
      </c>
      <c r="AH4709" s="64">
        <f>IF($A4709="","",IF(AD4709=0,"",IF(OR(COUNTIF(계정대체기준!$A$77:$A$86,$N4709)&gt;0,ISNUMBER(MATCH($X4709,계정대체기준!$D$77:$D$86,0)),ISNUMBER(MATCH($F4709,계정대체기준!$D$77:$D$86,0))),"Y","N")))</f>
        <v/>
      </c>
    </row>
    <row r="4710">
      <c r="A4710" s="92" t="n">
        <v>2026</v>
      </c>
      <c r="B4710" s="92" t="n">
        <v>9</v>
      </c>
      <c r="C4710" s="92" t="inlineStr">
        <is>
          <t>5100001988</t>
        </is>
      </c>
      <c r="D4710" s="95" t="n">
        <v>46283</v>
      </c>
      <c r="E4710" s="92" t="inlineStr">
        <is>
          <t>KR</t>
        </is>
      </c>
      <c r="F4710" s="92" t="n">
        <v>62102000</v>
      </c>
      <c r="G4710" s="92" t="n">
        <v>1101</v>
      </c>
      <c r="H4710" s="93" t="n">
        <v>104000</v>
      </c>
      <c r="I4710" s="92" t="inlineStr">
        <is>
          <t>9월 해외출장 - N호텔</t>
        </is>
      </c>
      <c r="J4710" s="92" t="inlineStr">
        <is>
          <t>V10009</t>
        </is>
      </c>
      <c r="K4710" s="92" t="inlineStr">
        <is>
          <t>N호텔</t>
        </is>
      </c>
      <c r="M4710" s="9">
        <f>IF($A4710="","",VALUE($A4710&amp;"")*12+VALUE($B4710&amp;""))</f>
        <v/>
      </c>
      <c r="N4710" s="64">
        <f>IF($A4710="","",IFERROR(INDEX(부서매핑!$C$5:$C$504,MATCH($G4710&amp;"",부서매핑!$A$5:$A$504,0)),"미매핑"))</f>
        <v/>
      </c>
      <c r="O4710" s="9">
        <f>IF($A4710="","",N4710&amp;"|"&amp;$F4710)</f>
        <v/>
      </c>
      <c r="P4710" s="94">
        <f>IF($A4710="",0,$H4710*설정!$C$23)</f>
        <v/>
      </c>
      <c r="Q4710" s="64">
        <f>IF($A4710="","",IF(O4710&lt;&gt;원인분석!$C$9,"",IF(AND(M4710&gt;=원인분석!$C$10,M4710&lt;=원인분석!$C$11),"당기",IF(AND(M4710&gt;=원인분석!$C$12,M4710&lt;=원인분석!$C$13),"비교",""))))</f>
        <v/>
      </c>
      <c r="R4710" s="9">
        <f>IF(Q4710="","",$K4710&amp;"")</f>
        <v/>
      </c>
      <c r="S4710" s="9">
        <f>IF(Q4710="","",IF(MATCH(R4710,$R$5:$R$100000,0)=ROW()-4,ROW(),""))</f>
        <v/>
      </c>
      <c r="T4710" s="9">
        <f>IF(Q4710="당기",ABS(P4710)+ROW()/1000000000,"")</f>
        <v/>
      </c>
      <c r="U4710" s="9">
        <f>IF(Q4710="비교",ABS(P4710)+ROW()/1000000000,"")</f>
        <v/>
      </c>
      <c r="V4710" s="64">
        <f>IF($A4710="","",IF(COUNTIF(변동분석!$E$7:$E$506,O4710)&gt;0,"Y","N"))</f>
        <v/>
      </c>
      <c r="W4710" s="64">
        <f>IF($A4710="","",IFERROR(INDEX(계정매핑!$D$5:$D$504,MATCH($F4710&amp;"",계정매핑!$A$5:$A$504,0)),"미매핑"))</f>
        <v/>
      </c>
      <c r="X4710" s="9">
        <f>IF($A4710="","",$F4710&amp;"")</f>
        <v/>
      </c>
      <c r="Y4710" s="94">
        <f>IF($A4710="",0,IF(AE4710="직접",IF(AF4710="비귀속",$P4710,0),$P4710*(1-AG4710)*IFERROR(INDEX(계정대체기준!$F$20:$F$49,MATCH($N4710,계정대체기준!$A$20:$A$49,0)),1)))</f>
        <v/>
      </c>
      <c r="Z4710" s="94">
        <f>IF($A4710="",0,IF(AE4710="직접",IF(AF4710="신계약비",$P4710,0),$P4710*(1-AG4710)*IFERROR(INDEX(계정대체기준!$C$20:$C$49,MATCH($N4710,계정대체기준!$A$20:$A$49,0)),0)))</f>
        <v/>
      </c>
      <c r="AA4710" s="94">
        <f>IF($A4710="",0,IF(AE4710="직접",IF(OR(AF4710="유지비",AF4710="손해조사비"),$P4710,0),$P4710*(1-AG4710)*IFERROR(INDEX(계정대체기준!$D$20:$D$49,MATCH($N4710,계정대체기준!$A$20:$A$49,0)),0)))</f>
        <v/>
      </c>
      <c r="AB4710" s="94">
        <f>IF($A4710="",0,IF(AE4710="직접",IF(AF4710="수금비",$P4710,0),$P4710*(1-AG4710)*IFERROR(INDEX(계정대체기준!$E$20:$E$49,MATCH($N4710,계정대체기준!$A$20:$A$49,0)),0)))</f>
        <v/>
      </c>
      <c r="AC4710" s="9">
        <f>IF(AND($A4710&lt;&gt;"",M4710=설정!$C$20,Z4710&gt;0),Z4710+ROW()/1000000000,"")</f>
        <v/>
      </c>
      <c r="AD4710" s="94">
        <f>IF($A4710="",0,$P4710*AG4710)</f>
        <v/>
      </c>
      <c r="AE4710" s="64">
        <f>IF($A4710="","",IFERROR(INDEX(계정매핑!$E$5:$E$504,MATCH($F4710&amp;"",계정매핑!$A$5:$A$504,0))&amp;"","공통비"))</f>
        <v/>
      </c>
      <c r="AF4710" s="64">
        <f>IF($A4710="","",IF(AE4710="직접",IFERROR(INDEX(계정매핑!$F$5:$F$504,MATCH($F4710&amp;"",계정매핑!$A$5:$A$504,0))&amp;"","비귀속"),""))</f>
        <v/>
      </c>
      <c r="AG4710" s="96">
        <f>IF($A4710="",0,IF(AND(AE4710&lt;&gt;"직접",IFERROR(INDEX(계정매핑!$G$5:$G$504,MATCH($F4710&amp;"",계정매핑!$A$5:$A$504,0))&amp;"","")="유지비",COUNTIF(계정대체기준!$A$6:$A$15,$N4710)&gt;0),IFERROR(INDEX(계정대체기준!$E$6:$E$15,MATCH(VALUE($A4710&amp;""),계정대체기준!$D$6:$D$15,0)),0),0))</f>
        <v/>
      </c>
      <c r="AH4710" s="64">
        <f>IF($A4710="","",IF(AD4710=0,"",IF(OR(COUNTIF(계정대체기준!$A$77:$A$86,$N4710)&gt;0,ISNUMBER(MATCH($X4710,계정대체기준!$D$77:$D$86,0)),ISNUMBER(MATCH($F4710,계정대체기준!$D$77:$D$86,0))),"Y","N")))</f>
        <v/>
      </c>
    </row>
    <row r="4711">
      <c r="A4711" s="92" t="n">
        <v>2026</v>
      </c>
      <c r="B4711" s="92" t="n">
        <v>9</v>
      </c>
      <c r="C4711" s="92" t="inlineStr">
        <is>
          <t>5100001989</t>
        </is>
      </c>
      <c r="D4711" s="95" t="n">
        <v>46283</v>
      </c>
      <c r="E4711" s="92" t="inlineStr">
        <is>
          <t>KR</t>
        </is>
      </c>
      <c r="F4711" s="92" t="n">
        <v>62102000</v>
      </c>
      <c r="G4711" s="92" t="n">
        <v>1101</v>
      </c>
      <c r="H4711" s="93" t="n">
        <v>56000</v>
      </c>
      <c r="I4711" s="92" t="inlineStr">
        <is>
          <t>9월 해외출장 - N호텔</t>
        </is>
      </c>
      <c r="J4711" s="92" t="inlineStr">
        <is>
          <t>V10009</t>
        </is>
      </c>
      <c r="K4711" s="92" t="inlineStr">
        <is>
          <t>N호텔</t>
        </is>
      </c>
      <c r="M4711" s="9">
        <f>IF($A4711="","",VALUE($A4711&amp;"")*12+VALUE($B4711&amp;""))</f>
        <v/>
      </c>
      <c r="N4711" s="64">
        <f>IF($A4711="","",IFERROR(INDEX(부서매핑!$C$5:$C$504,MATCH($G4711&amp;"",부서매핑!$A$5:$A$504,0)),"미매핑"))</f>
        <v/>
      </c>
      <c r="O4711" s="9">
        <f>IF($A4711="","",N4711&amp;"|"&amp;$F4711)</f>
        <v/>
      </c>
      <c r="P4711" s="94">
        <f>IF($A4711="",0,$H4711*설정!$C$23)</f>
        <v/>
      </c>
      <c r="Q4711" s="64">
        <f>IF($A4711="","",IF(O4711&lt;&gt;원인분석!$C$9,"",IF(AND(M4711&gt;=원인분석!$C$10,M4711&lt;=원인분석!$C$11),"당기",IF(AND(M4711&gt;=원인분석!$C$12,M4711&lt;=원인분석!$C$13),"비교",""))))</f>
        <v/>
      </c>
      <c r="R4711" s="9">
        <f>IF(Q4711="","",$K4711&amp;"")</f>
        <v/>
      </c>
      <c r="S4711" s="9">
        <f>IF(Q4711="","",IF(MATCH(R4711,$R$5:$R$100000,0)=ROW()-4,ROW(),""))</f>
        <v/>
      </c>
      <c r="T4711" s="9">
        <f>IF(Q4711="당기",ABS(P4711)+ROW()/1000000000,"")</f>
        <v/>
      </c>
      <c r="U4711" s="9">
        <f>IF(Q4711="비교",ABS(P4711)+ROW()/1000000000,"")</f>
        <v/>
      </c>
      <c r="V4711" s="64">
        <f>IF($A4711="","",IF(COUNTIF(변동분석!$E$7:$E$506,O4711)&gt;0,"Y","N"))</f>
        <v/>
      </c>
      <c r="W4711" s="64">
        <f>IF($A4711="","",IFERROR(INDEX(계정매핑!$D$5:$D$504,MATCH($F4711&amp;"",계정매핑!$A$5:$A$504,0)),"미매핑"))</f>
        <v/>
      </c>
      <c r="X4711" s="9">
        <f>IF($A4711="","",$F4711&amp;"")</f>
        <v/>
      </c>
      <c r="Y4711" s="94">
        <f>IF($A4711="",0,IF(AE4711="직접",IF(AF4711="비귀속",$P4711,0),$P4711*(1-AG4711)*IFERROR(INDEX(계정대체기준!$F$20:$F$49,MATCH($N4711,계정대체기준!$A$20:$A$49,0)),1)))</f>
        <v/>
      </c>
      <c r="Z4711" s="94">
        <f>IF($A4711="",0,IF(AE4711="직접",IF(AF4711="신계약비",$P4711,0),$P4711*(1-AG4711)*IFERROR(INDEX(계정대체기준!$C$20:$C$49,MATCH($N4711,계정대체기준!$A$20:$A$49,0)),0)))</f>
        <v/>
      </c>
      <c r="AA4711" s="94">
        <f>IF($A4711="",0,IF(AE4711="직접",IF(OR(AF4711="유지비",AF4711="손해조사비"),$P4711,0),$P4711*(1-AG4711)*IFERROR(INDEX(계정대체기준!$D$20:$D$49,MATCH($N4711,계정대체기준!$A$20:$A$49,0)),0)))</f>
        <v/>
      </c>
      <c r="AB4711" s="94">
        <f>IF($A4711="",0,IF(AE4711="직접",IF(AF4711="수금비",$P4711,0),$P4711*(1-AG4711)*IFERROR(INDEX(계정대체기준!$E$20:$E$49,MATCH($N4711,계정대체기준!$A$20:$A$49,0)),0)))</f>
        <v/>
      </c>
      <c r="AC4711" s="9">
        <f>IF(AND($A4711&lt;&gt;"",M4711=설정!$C$20,Z4711&gt;0),Z4711+ROW()/1000000000,"")</f>
        <v/>
      </c>
      <c r="AD4711" s="94">
        <f>IF($A4711="",0,$P4711*AG4711)</f>
        <v/>
      </c>
      <c r="AE4711" s="64">
        <f>IF($A4711="","",IFERROR(INDEX(계정매핑!$E$5:$E$504,MATCH($F4711&amp;"",계정매핑!$A$5:$A$504,0))&amp;"","공통비"))</f>
        <v/>
      </c>
      <c r="AF4711" s="64">
        <f>IF($A4711="","",IF(AE4711="직접",IFERROR(INDEX(계정매핑!$F$5:$F$504,MATCH($F4711&amp;"",계정매핑!$A$5:$A$504,0))&amp;"","비귀속"),""))</f>
        <v/>
      </c>
      <c r="AG4711" s="96">
        <f>IF($A4711="",0,IF(AND(AE4711&lt;&gt;"직접",IFERROR(INDEX(계정매핑!$G$5:$G$504,MATCH($F4711&amp;"",계정매핑!$A$5:$A$504,0))&amp;"","")="유지비",COUNTIF(계정대체기준!$A$6:$A$15,$N4711)&gt;0),IFERROR(INDEX(계정대체기준!$E$6:$E$15,MATCH(VALUE($A4711&amp;""),계정대체기준!$D$6:$D$15,0)),0),0))</f>
        <v/>
      </c>
      <c r="AH4711" s="64">
        <f>IF($A4711="","",IF(AD4711=0,"",IF(OR(COUNTIF(계정대체기준!$A$77:$A$86,$N4711)&gt;0,ISNUMBER(MATCH($X4711,계정대체기준!$D$77:$D$86,0)),ISNUMBER(MATCH($F4711,계정대체기준!$D$77:$D$86,0))),"Y","N")))</f>
        <v/>
      </c>
    </row>
    <row r="4712">
      <c r="A4712" s="92" t="n">
        <v>2026</v>
      </c>
      <c r="B4712" s="92" t="n">
        <v>9</v>
      </c>
      <c r="C4712" s="92" t="inlineStr">
        <is>
          <t>5100001990</t>
        </is>
      </c>
      <c r="D4712" s="95" t="n">
        <v>46283</v>
      </c>
      <c r="E4712" s="92" t="inlineStr">
        <is>
          <t>KR</t>
        </is>
      </c>
      <c r="F4712" s="92" t="n">
        <v>62102000</v>
      </c>
      <c r="G4712" s="92" t="n">
        <v>1401</v>
      </c>
      <c r="H4712" s="93" t="n">
        <v>113000</v>
      </c>
      <c r="I4712" s="92" t="inlineStr">
        <is>
          <t>9월 해외출장 - M항공</t>
        </is>
      </c>
      <c r="J4712" s="92" t="inlineStr">
        <is>
          <t>V10001</t>
        </is>
      </c>
      <c r="K4712" s="92" t="inlineStr">
        <is>
          <t>M항공</t>
        </is>
      </c>
      <c r="M4712" s="9">
        <f>IF($A4712="","",VALUE($A4712&amp;"")*12+VALUE($B4712&amp;""))</f>
        <v/>
      </c>
      <c r="N4712" s="64">
        <f>IF($A4712="","",IFERROR(INDEX(부서매핑!$C$5:$C$504,MATCH($G4712&amp;"",부서매핑!$A$5:$A$504,0)),"미매핑"))</f>
        <v/>
      </c>
      <c r="O4712" s="9">
        <f>IF($A4712="","",N4712&amp;"|"&amp;$F4712)</f>
        <v/>
      </c>
      <c r="P4712" s="94">
        <f>IF($A4712="",0,$H4712*설정!$C$23)</f>
        <v/>
      </c>
      <c r="Q4712" s="64">
        <f>IF($A4712="","",IF(O4712&lt;&gt;원인분석!$C$9,"",IF(AND(M4712&gt;=원인분석!$C$10,M4712&lt;=원인분석!$C$11),"당기",IF(AND(M4712&gt;=원인분석!$C$12,M4712&lt;=원인분석!$C$13),"비교",""))))</f>
        <v/>
      </c>
      <c r="R4712" s="9">
        <f>IF(Q4712="","",$K4712&amp;"")</f>
        <v/>
      </c>
      <c r="S4712" s="9">
        <f>IF(Q4712="","",IF(MATCH(R4712,$R$5:$R$100000,0)=ROW()-4,ROW(),""))</f>
        <v/>
      </c>
      <c r="T4712" s="9">
        <f>IF(Q4712="당기",ABS(P4712)+ROW()/1000000000,"")</f>
        <v/>
      </c>
      <c r="U4712" s="9">
        <f>IF(Q4712="비교",ABS(P4712)+ROW()/1000000000,"")</f>
        <v/>
      </c>
      <c r="V4712" s="64">
        <f>IF($A4712="","",IF(COUNTIF(변동분석!$E$7:$E$506,O4712)&gt;0,"Y","N"))</f>
        <v/>
      </c>
      <c r="W4712" s="64">
        <f>IF($A4712="","",IFERROR(INDEX(계정매핑!$D$5:$D$504,MATCH($F4712&amp;"",계정매핑!$A$5:$A$504,0)),"미매핑"))</f>
        <v/>
      </c>
      <c r="X4712" s="9">
        <f>IF($A4712="","",$F4712&amp;"")</f>
        <v/>
      </c>
      <c r="Y4712" s="94">
        <f>IF($A4712="",0,IF(AE4712="직접",IF(AF4712="비귀속",$P4712,0),$P4712*(1-AG4712)*IFERROR(INDEX(계정대체기준!$F$20:$F$49,MATCH($N4712,계정대체기준!$A$20:$A$49,0)),1)))</f>
        <v/>
      </c>
      <c r="Z4712" s="94">
        <f>IF($A4712="",0,IF(AE4712="직접",IF(AF4712="신계약비",$P4712,0),$P4712*(1-AG4712)*IFERROR(INDEX(계정대체기준!$C$20:$C$49,MATCH($N4712,계정대체기준!$A$20:$A$49,0)),0)))</f>
        <v/>
      </c>
      <c r="AA4712" s="94">
        <f>IF($A4712="",0,IF(AE4712="직접",IF(OR(AF4712="유지비",AF4712="손해조사비"),$P4712,0),$P4712*(1-AG4712)*IFERROR(INDEX(계정대체기준!$D$20:$D$49,MATCH($N4712,계정대체기준!$A$20:$A$49,0)),0)))</f>
        <v/>
      </c>
      <c r="AB4712" s="94">
        <f>IF($A4712="",0,IF(AE4712="직접",IF(AF4712="수금비",$P4712,0),$P4712*(1-AG4712)*IFERROR(INDEX(계정대체기준!$E$20:$E$49,MATCH($N4712,계정대체기준!$A$20:$A$49,0)),0)))</f>
        <v/>
      </c>
      <c r="AC4712" s="9">
        <f>IF(AND($A4712&lt;&gt;"",M4712=설정!$C$20,Z4712&gt;0),Z4712+ROW()/1000000000,"")</f>
        <v/>
      </c>
      <c r="AD4712" s="94">
        <f>IF($A4712="",0,$P4712*AG4712)</f>
        <v/>
      </c>
      <c r="AE4712" s="64">
        <f>IF($A4712="","",IFERROR(INDEX(계정매핑!$E$5:$E$504,MATCH($F4712&amp;"",계정매핑!$A$5:$A$504,0))&amp;"","공통비"))</f>
        <v/>
      </c>
      <c r="AF4712" s="64">
        <f>IF($A4712="","",IF(AE4712="직접",IFERROR(INDEX(계정매핑!$F$5:$F$504,MATCH($F4712&amp;"",계정매핑!$A$5:$A$504,0))&amp;"","비귀속"),""))</f>
        <v/>
      </c>
      <c r="AG4712" s="96">
        <f>IF($A4712="",0,IF(AND(AE4712&lt;&gt;"직접",IFERROR(INDEX(계정매핑!$G$5:$G$504,MATCH($F4712&amp;"",계정매핑!$A$5:$A$504,0))&amp;"","")="유지비",COUNTIF(계정대체기준!$A$6:$A$15,$N4712)&gt;0),IFERROR(INDEX(계정대체기준!$E$6:$E$15,MATCH(VALUE($A4712&amp;""),계정대체기준!$D$6:$D$15,0)),0),0))</f>
        <v/>
      </c>
      <c r="AH4712" s="64">
        <f>IF($A4712="","",IF(AD4712=0,"",IF(OR(COUNTIF(계정대체기준!$A$77:$A$86,$N4712)&gt;0,ISNUMBER(MATCH($X4712,계정대체기준!$D$77:$D$86,0)),ISNUMBER(MATCH($F4712,계정대체기준!$D$77:$D$86,0))),"Y","N")))</f>
        <v/>
      </c>
    </row>
    <row r="4713">
      <c r="A4713" s="92" t="n">
        <v>2026</v>
      </c>
      <c r="B4713" s="92" t="n">
        <v>9</v>
      </c>
      <c r="C4713" s="92" t="inlineStr">
        <is>
          <t>5100001991</t>
        </is>
      </c>
      <c r="D4713" s="95" t="n">
        <v>46283</v>
      </c>
      <c r="E4713" s="92" t="inlineStr">
        <is>
          <t>KR</t>
        </is>
      </c>
      <c r="F4713" s="92" t="n">
        <v>62102000</v>
      </c>
      <c r="G4713" s="92" t="n">
        <v>1601</v>
      </c>
      <c r="H4713" s="93" t="n">
        <v>377000</v>
      </c>
      <c r="I4713" s="92" t="inlineStr">
        <is>
          <t>9월 해외출장 - M항공</t>
        </is>
      </c>
      <c r="J4713" s="92" t="inlineStr">
        <is>
          <t>V10001</t>
        </is>
      </c>
      <c r="K4713" s="92" t="inlineStr">
        <is>
          <t>M항공</t>
        </is>
      </c>
      <c r="M4713" s="9">
        <f>IF($A4713="","",VALUE($A4713&amp;"")*12+VALUE($B4713&amp;""))</f>
        <v/>
      </c>
      <c r="N4713" s="64">
        <f>IF($A4713="","",IFERROR(INDEX(부서매핑!$C$5:$C$504,MATCH($G4713&amp;"",부서매핑!$A$5:$A$504,0)),"미매핑"))</f>
        <v/>
      </c>
      <c r="O4713" s="9">
        <f>IF($A4713="","",N4713&amp;"|"&amp;$F4713)</f>
        <v/>
      </c>
      <c r="P4713" s="94">
        <f>IF($A4713="",0,$H4713*설정!$C$23)</f>
        <v/>
      </c>
      <c r="Q4713" s="64">
        <f>IF($A4713="","",IF(O4713&lt;&gt;원인분석!$C$9,"",IF(AND(M4713&gt;=원인분석!$C$10,M4713&lt;=원인분석!$C$11),"당기",IF(AND(M4713&gt;=원인분석!$C$12,M4713&lt;=원인분석!$C$13),"비교",""))))</f>
        <v/>
      </c>
      <c r="R4713" s="9">
        <f>IF(Q4713="","",$K4713&amp;"")</f>
        <v/>
      </c>
      <c r="S4713" s="9">
        <f>IF(Q4713="","",IF(MATCH(R4713,$R$5:$R$100000,0)=ROW()-4,ROW(),""))</f>
        <v/>
      </c>
      <c r="T4713" s="9">
        <f>IF(Q4713="당기",ABS(P4713)+ROW()/1000000000,"")</f>
        <v/>
      </c>
      <c r="U4713" s="9">
        <f>IF(Q4713="비교",ABS(P4713)+ROW()/1000000000,"")</f>
        <v/>
      </c>
      <c r="V4713" s="64">
        <f>IF($A4713="","",IF(COUNTIF(변동분석!$E$7:$E$506,O4713)&gt;0,"Y","N"))</f>
        <v/>
      </c>
      <c r="W4713" s="64">
        <f>IF($A4713="","",IFERROR(INDEX(계정매핑!$D$5:$D$504,MATCH($F4713&amp;"",계정매핑!$A$5:$A$504,0)),"미매핑"))</f>
        <v/>
      </c>
      <c r="X4713" s="9">
        <f>IF($A4713="","",$F4713&amp;"")</f>
        <v/>
      </c>
      <c r="Y4713" s="94">
        <f>IF($A4713="",0,IF(AE4713="직접",IF(AF4713="비귀속",$P4713,0),$P4713*(1-AG4713)*IFERROR(INDEX(계정대체기준!$F$20:$F$49,MATCH($N4713,계정대체기준!$A$20:$A$49,0)),1)))</f>
        <v/>
      </c>
      <c r="Z4713" s="94">
        <f>IF($A4713="",0,IF(AE4713="직접",IF(AF4713="신계약비",$P4713,0),$P4713*(1-AG4713)*IFERROR(INDEX(계정대체기준!$C$20:$C$49,MATCH($N4713,계정대체기준!$A$20:$A$49,0)),0)))</f>
        <v/>
      </c>
      <c r="AA4713" s="94">
        <f>IF($A4713="",0,IF(AE4713="직접",IF(OR(AF4713="유지비",AF4713="손해조사비"),$P4713,0),$P4713*(1-AG4713)*IFERROR(INDEX(계정대체기준!$D$20:$D$49,MATCH($N4713,계정대체기준!$A$20:$A$49,0)),0)))</f>
        <v/>
      </c>
      <c r="AB4713" s="94">
        <f>IF($A4713="",0,IF(AE4713="직접",IF(AF4713="수금비",$P4713,0),$P4713*(1-AG4713)*IFERROR(INDEX(계정대체기준!$E$20:$E$49,MATCH($N4713,계정대체기준!$A$20:$A$49,0)),0)))</f>
        <v/>
      </c>
      <c r="AC4713" s="9">
        <f>IF(AND($A4713&lt;&gt;"",M4713=설정!$C$20,Z4713&gt;0),Z4713+ROW()/1000000000,"")</f>
        <v/>
      </c>
      <c r="AD4713" s="94">
        <f>IF($A4713="",0,$P4713*AG4713)</f>
        <v/>
      </c>
      <c r="AE4713" s="64">
        <f>IF($A4713="","",IFERROR(INDEX(계정매핑!$E$5:$E$504,MATCH($F4713&amp;"",계정매핑!$A$5:$A$504,0))&amp;"","공통비"))</f>
        <v/>
      </c>
      <c r="AF4713" s="64">
        <f>IF($A4713="","",IF(AE4713="직접",IFERROR(INDEX(계정매핑!$F$5:$F$504,MATCH($F4713&amp;"",계정매핑!$A$5:$A$504,0))&amp;"","비귀속"),""))</f>
        <v/>
      </c>
      <c r="AG4713" s="96">
        <f>IF($A4713="",0,IF(AND(AE4713&lt;&gt;"직접",IFERROR(INDEX(계정매핑!$G$5:$G$504,MATCH($F4713&amp;"",계정매핑!$A$5:$A$504,0))&amp;"","")="유지비",COUNTIF(계정대체기준!$A$6:$A$15,$N4713)&gt;0),IFERROR(INDEX(계정대체기준!$E$6:$E$15,MATCH(VALUE($A4713&amp;""),계정대체기준!$D$6:$D$15,0)),0),0))</f>
        <v/>
      </c>
      <c r="AH4713" s="64">
        <f>IF($A4713="","",IF(AD4713=0,"",IF(OR(COUNTIF(계정대체기준!$A$77:$A$86,$N4713)&gt;0,ISNUMBER(MATCH($X4713,계정대체기준!$D$77:$D$86,0)),ISNUMBER(MATCH($F4713,계정대체기준!$D$77:$D$86,0))),"Y","N")))</f>
        <v/>
      </c>
    </row>
    <row r="4714">
      <c r="A4714" s="92" t="n">
        <v>2026</v>
      </c>
      <c r="B4714" s="92" t="n">
        <v>9</v>
      </c>
      <c r="C4714" s="92" t="inlineStr">
        <is>
          <t>5100001992</t>
        </is>
      </c>
      <c r="D4714" s="95" t="n">
        <v>46283</v>
      </c>
      <c r="E4714" s="92" t="inlineStr">
        <is>
          <t>KR</t>
        </is>
      </c>
      <c r="F4714" s="92" t="n">
        <v>62301000</v>
      </c>
      <c r="G4714" s="92" t="n">
        <v>1301</v>
      </c>
      <c r="H4714" s="93" t="n">
        <v>212000</v>
      </c>
      <c r="I4714" s="92" t="inlineStr">
        <is>
          <t>9월 소모품 구입 - Q오피스</t>
        </is>
      </c>
      <c r="J4714" s="92" t="inlineStr">
        <is>
          <t>V10003</t>
        </is>
      </c>
      <c r="K4714" s="92" t="inlineStr">
        <is>
          <t>Q오피스</t>
        </is>
      </c>
      <c r="M4714" s="9">
        <f>IF($A4714="","",VALUE($A4714&amp;"")*12+VALUE($B4714&amp;""))</f>
        <v/>
      </c>
      <c r="N4714" s="64">
        <f>IF($A4714="","",IFERROR(INDEX(부서매핑!$C$5:$C$504,MATCH($G4714&amp;"",부서매핑!$A$5:$A$504,0)),"미매핑"))</f>
        <v/>
      </c>
      <c r="O4714" s="9">
        <f>IF($A4714="","",N4714&amp;"|"&amp;$F4714)</f>
        <v/>
      </c>
      <c r="P4714" s="94">
        <f>IF($A4714="",0,$H4714*설정!$C$23)</f>
        <v/>
      </c>
      <c r="Q4714" s="64">
        <f>IF($A4714="","",IF(O4714&lt;&gt;원인분석!$C$9,"",IF(AND(M4714&gt;=원인분석!$C$10,M4714&lt;=원인분석!$C$11),"당기",IF(AND(M4714&gt;=원인분석!$C$12,M4714&lt;=원인분석!$C$13),"비교",""))))</f>
        <v/>
      </c>
      <c r="R4714" s="9">
        <f>IF(Q4714="","",$K4714&amp;"")</f>
        <v/>
      </c>
      <c r="S4714" s="9">
        <f>IF(Q4714="","",IF(MATCH(R4714,$R$5:$R$100000,0)=ROW()-4,ROW(),""))</f>
        <v/>
      </c>
      <c r="T4714" s="9">
        <f>IF(Q4714="당기",ABS(P4714)+ROW()/1000000000,"")</f>
        <v/>
      </c>
      <c r="U4714" s="9">
        <f>IF(Q4714="비교",ABS(P4714)+ROW()/1000000000,"")</f>
        <v/>
      </c>
      <c r="V4714" s="64">
        <f>IF($A4714="","",IF(COUNTIF(변동분석!$E$7:$E$506,O4714)&gt;0,"Y","N"))</f>
        <v/>
      </c>
      <c r="W4714" s="64">
        <f>IF($A4714="","",IFERROR(INDEX(계정매핑!$D$5:$D$504,MATCH($F4714&amp;"",계정매핑!$A$5:$A$504,0)),"미매핑"))</f>
        <v/>
      </c>
      <c r="X4714" s="9">
        <f>IF($A4714="","",$F4714&amp;"")</f>
        <v/>
      </c>
      <c r="Y4714" s="94">
        <f>IF($A4714="",0,IF(AE4714="직접",IF(AF4714="비귀속",$P4714,0),$P4714*(1-AG4714)*IFERROR(INDEX(계정대체기준!$F$20:$F$49,MATCH($N4714,계정대체기준!$A$20:$A$49,0)),1)))</f>
        <v/>
      </c>
      <c r="Z4714" s="94">
        <f>IF($A4714="",0,IF(AE4714="직접",IF(AF4714="신계약비",$P4714,0),$P4714*(1-AG4714)*IFERROR(INDEX(계정대체기준!$C$20:$C$49,MATCH($N4714,계정대체기준!$A$20:$A$49,0)),0)))</f>
        <v/>
      </c>
      <c r="AA4714" s="94">
        <f>IF($A4714="",0,IF(AE4714="직접",IF(OR(AF4714="유지비",AF4714="손해조사비"),$P4714,0),$P4714*(1-AG4714)*IFERROR(INDEX(계정대체기준!$D$20:$D$49,MATCH($N4714,계정대체기준!$A$20:$A$49,0)),0)))</f>
        <v/>
      </c>
      <c r="AB4714" s="94">
        <f>IF($A4714="",0,IF(AE4714="직접",IF(AF4714="수금비",$P4714,0),$P4714*(1-AG4714)*IFERROR(INDEX(계정대체기준!$E$20:$E$49,MATCH($N4714,계정대체기준!$A$20:$A$49,0)),0)))</f>
        <v/>
      </c>
      <c r="AC4714" s="9">
        <f>IF(AND($A4714&lt;&gt;"",M4714=설정!$C$20,Z4714&gt;0),Z4714+ROW()/1000000000,"")</f>
        <v/>
      </c>
      <c r="AD4714" s="94">
        <f>IF($A4714="",0,$P4714*AG4714)</f>
        <v/>
      </c>
      <c r="AE4714" s="64">
        <f>IF($A4714="","",IFERROR(INDEX(계정매핑!$E$5:$E$504,MATCH($F4714&amp;"",계정매핑!$A$5:$A$504,0))&amp;"","공통비"))</f>
        <v/>
      </c>
      <c r="AF4714" s="64">
        <f>IF($A4714="","",IF(AE4714="직접",IFERROR(INDEX(계정매핑!$F$5:$F$504,MATCH($F4714&amp;"",계정매핑!$A$5:$A$504,0))&amp;"","비귀속"),""))</f>
        <v/>
      </c>
      <c r="AG4714" s="96">
        <f>IF($A4714="",0,IF(AND(AE4714&lt;&gt;"직접",IFERROR(INDEX(계정매핑!$G$5:$G$504,MATCH($F4714&amp;"",계정매핑!$A$5:$A$504,0))&amp;"","")="유지비",COUNTIF(계정대체기준!$A$6:$A$15,$N4714)&gt;0),IFERROR(INDEX(계정대체기준!$E$6:$E$15,MATCH(VALUE($A4714&amp;""),계정대체기준!$D$6:$D$15,0)),0),0))</f>
        <v/>
      </c>
      <c r="AH4714" s="64">
        <f>IF($A4714="","",IF(AD4714=0,"",IF(OR(COUNTIF(계정대체기준!$A$77:$A$86,$N4714)&gt;0,ISNUMBER(MATCH($X4714,계정대체기준!$D$77:$D$86,0)),ISNUMBER(MATCH($F4714,계정대체기준!$D$77:$D$86,0))),"Y","N")))</f>
        <v/>
      </c>
    </row>
    <row r="4715">
      <c r="A4715" s="92" t="n">
        <v>2026</v>
      </c>
      <c r="B4715" s="92" t="n">
        <v>9</v>
      </c>
      <c r="C4715" s="92" t="inlineStr">
        <is>
          <t>5100001993</t>
        </is>
      </c>
      <c r="D4715" s="95" t="n">
        <v>46283</v>
      </c>
      <c r="E4715" s="92" t="inlineStr">
        <is>
          <t>KR</t>
        </is>
      </c>
      <c r="F4715" s="92" t="n">
        <v>62701000</v>
      </c>
      <c r="G4715" s="92" t="n">
        <v>1501</v>
      </c>
      <c r="H4715" s="93" t="n">
        <v>32233000</v>
      </c>
      <c r="I4715" s="92" t="inlineStr">
        <is>
          <t>9월 광고 집행 - E미디어</t>
        </is>
      </c>
      <c r="J4715" s="92" t="inlineStr">
        <is>
          <t>V10033</t>
        </is>
      </c>
      <c r="K4715" s="92" t="inlineStr">
        <is>
          <t>E미디어</t>
        </is>
      </c>
      <c r="M4715" s="9">
        <f>IF($A4715="","",VALUE($A4715&amp;"")*12+VALUE($B4715&amp;""))</f>
        <v/>
      </c>
      <c r="N4715" s="64">
        <f>IF($A4715="","",IFERROR(INDEX(부서매핑!$C$5:$C$504,MATCH($G4715&amp;"",부서매핑!$A$5:$A$504,0)),"미매핑"))</f>
        <v/>
      </c>
      <c r="O4715" s="9">
        <f>IF($A4715="","",N4715&amp;"|"&amp;$F4715)</f>
        <v/>
      </c>
      <c r="P4715" s="94">
        <f>IF($A4715="",0,$H4715*설정!$C$23)</f>
        <v/>
      </c>
      <c r="Q4715" s="64">
        <f>IF($A4715="","",IF(O4715&lt;&gt;원인분석!$C$9,"",IF(AND(M4715&gt;=원인분석!$C$10,M4715&lt;=원인분석!$C$11),"당기",IF(AND(M4715&gt;=원인분석!$C$12,M4715&lt;=원인분석!$C$13),"비교",""))))</f>
        <v/>
      </c>
      <c r="R4715" s="9">
        <f>IF(Q4715="","",$K4715&amp;"")</f>
        <v/>
      </c>
      <c r="S4715" s="9">
        <f>IF(Q4715="","",IF(MATCH(R4715,$R$5:$R$100000,0)=ROW()-4,ROW(),""))</f>
        <v/>
      </c>
      <c r="T4715" s="9">
        <f>IF(Q4715="당기",ABS(P4715)+ROW()/1000000000,"")</f>
        <v/>
      </c>
      <c r="U4715" s="9">
        <f>IF(Q4715="비교",ABS(P4715)+ROW()/1000000000,"")</f>
        <v/>
      </c>
      <c r="V4715" s="64">
        <f>IF($A4715="","",IF(COUNTIF(변동분석!$E$7:$E$506,O4715)&gt;0,"Y","N"))</f>
        <v/>
      </c>
      <c r="W4715" s="64">
        <f>IF($A4715="","",IFERROR(INDEX(계정매핑!$D$5:$D$504,MATCH($F4715&amp;"",계정매핑!$A$5:$A$504,0)),"미매핑"))</f>
        <v/>
      </c>
      <c r="X4715" s="9">
        <f>IF($A4715="","",$F4715&amp;"")</f>
        <v/>
      </c>
      <c r="Y4715" s="94">
        <f>IF($A4715="",0,IF(AE4715="직접",IF(AF4715="비귀속",$P4715,0),$P4715*(1-AG4715)*IFERROR(INDEX(계정대체기준!$F$20:$F$49,MATCH($N4715,계정대체기준!$A$20:$A$49,0)),1)))</f>
        <v/>
      </c>
      <c r="Z4715" s="94">
        <f>IF($A4715="",0,IF(AE4715="직접",IF(AF4715="신계약비",$P4715,0),$P4715*(1-AG4715)*IFERROR(INDEX(계정대체기준!$C$20:$C$49,MATCH($N4715,계정대체기준!$A$20:$A$49,0)),0)))</f>
        <v/>
      </c>
      <c r="AA4715" s="94">
        <f>IF($A4715="",0,IF(AE4715="직접",IF(OR(AF4715="유지비",AF4715="손해조사비"),$P4715,0),$P4715*(1-AG4715)*IFERROR(INDEX(계정대체기준!$D$20:$D$49,MATCH($N4715,계정대체기준!$A$20:$A$49,0)),0)))</f>
        <v/>
      </c>
      <c r="AB4715" s="94">
        <f>IF($A4715="",0,IF(AE4715="직접",IF(AF4715="수금비",$P4715,0),$P4715*(1-AG4715)*IFERROR(INDEX(계정대체기준!$E$20:$E$49,MATCH($N4715,계정대체기준!$A$20:$A$49,0)),0)))</f>
        <v/>
      </c>
      <c r="AC4715" s="9">
        <f>IF(AND($A4715&lt;&gt;"",M4715=설정!$C$20,Z4715&gt;0),Z4715+ROW()/1000000000,"")</f>
        <v/>
      </c>
      <c r="AD4715" s="94">
        <f>IF($A4715="",0,$P4715*AG4715)</f>
        <v/>
      </c>
      <c r="AE4715" s="64">
        <f>IF($A4715="","",IFERROR(INDEX(계정매핑!$E$5:$E$504,MATCH($F4715&amp;"",계정매핑!$A$5:$A$504,0))&amp;"","공통비"))</f>
        <v/>
      </c>
      <c r="AF4715" s="64">
        <f>IF($A4715="","",IF(AE4715="직접",IFERROR(INDEX(계정매핑!$F$5:$F$504,MATCH($F4715&amp;"",계정매핑!$A$5:$A$504,0))&amp;"","비귀속"),""))</f>
        <v/>
      </c>
      <c r="AG4715" s="96">
        <f>IF($A4715="",0,IF(AND(AE4715&lt;&gt;"직접",IFERROR(INDEX(계정매핑!$G$5:$G$504,MATCH($F4715&amp;"",계정매핑!$A$5:$A$504,0))&amp;"","")="유지비",COUNTIF(계정대체기준!$A$6:$A$15,$N4715)&gt;0),IFERROR(INDEX(계정대체기준!$E$6:$E$15,MATCH(VALUE($A4715&amp;""),계정대체기준!$D$6:$D$15,0)),0),0))</f>
        <v/>
      </c>
      <c r="AH4715" s="64">
        <f>IF($A4715="","",IF(AD4715=0,"",IF(OR(COUNTIF(계정대체기준!$A$77:$A$86,$N4715)&gt;0,ISNUMBER(MATCH($X4715,계정대체기준!$D$77:$D$86,0)),ISNUMBER(MATCH($F4715,계정대체기준!$D$77:$D$86,0))),"Y","N")))</f>
        <v/>
      </c>
    </row>
    <row r="4716">
      <c r="A4716" s="92" t="n">
        <v>2026</v>
      </c>
      <c r="B4716" s="92" t="n">
        <v>9</v>
      </c>
      <c r="C4716" s="92" t="inlineStr">
        <is>
          <t>5100001994</t>
        </is>
      </c>
      <c r="D4716" s="95" t="n">
        <v>46283</v>
      </c>
      <c r="E4716" s="92" t="inlineStr">
        <is>
          <t>KR</t>
        </is>
      </c>
      <c r="F4716" s="92" t="n">
        <v>62701000</v>
      </c>
      <c r="G4716" s="92" t="n">
        <v>1501</v>
      </c>
      <c r="H4716" s="93" t="n">
        <v>120000000</v>
      </c>
      <c r="I4716" s="92" t="inlineStr">
        <is>
          <t>3분기 TV캠페인 집행분</t>
        </is>
      </c>
      <c r="J4716" s="92" t="inlineStr">
        <is>
          <t>V10036</t>
        </is>
      </c>
      <c r="K4716" s="92" t="inlineStr">
        <is>
          <t>A광고대행사</t>
        </is>
      </c>
      <c r="M4716" s="9">
        <f>IF($A4716="","",VALUE($A4716&amp;"")*12+VALUE($B4716&amp;""))</f>
        <v/>
      </c>
      <c r="N4716" s="64">
        <f>IF($A4716="","",IFERROR(INDEX(부서매핑!$C$5:$C$504,MATCH($G4716&amp;"",부서매핑!$A$5:$A$504,0)),"미매핑"))</f>
        <v/>
      </c>
      <c r="O4716" s="9">
        <f>IF($A4716="","",N4716&amp;"|"&amp;$F4716)</f>
        <v/>
      </c>
      <c r="P4716" s="94">
        <f>IF($A4716="",0,$H4716*설정!$C$23)</f>
        <v/>
      </c>
      <c r="Q4716" s="64">
        <f>IF($A4716="","",IF(O4716&lt;&gt;원인분석!$C$9,"",IF(AND(M4716&gt;=원인분석!$C$10,M4716&lt;=원인분석!$C$11),"당기",IF(AND(M4716&gt;=원인분석!$C$12,M4716&lt;=원인분석!$C$13),"비교",""))))</f>
        <v/>
      </c>
      <c r="R4716" s="9">
        <f>IF(Q4716="","",$K4716&amp;"")</f>
        <v/>
      </c>
      <c r="S4716" s="9">
        <f>IF(Q4716="","",IF(MATCH(R4716,$R$5:$R$100000,0)=ROW()-4,ROW(),""))</f>
        <v/>
      </c>
      <c r="T4716" s="9">
        <f>IF(Q4716="당기",ABS(P4716)+ROW()/1000000000,"")</f>
        <v/>
      </c>
      <c r="U4716" s="9">
        <f>IF(Q4716="비교",ABS(P4716)+ROW()/1000000000,"")</f>
        <v/>
      </c>
      <c r="V4716" s="64">
        <f>IF($A4716="","",IF(COUNTIF(변동분석!$E$7:$E$506,O4716)&gt;0,"Y","N"))</f>
        <v/>
      </c>
      <c r="W4716" s="64">
        <f>IF($A4716="","",IFERROR(INDEX(계정매핑!$D$5:$D$504,MATCH($F4716&amp;"",계정매핑!$A$5:$A$504,0)),"미매핑"))</f>
        <v/>
      </c>
      <c r="X4716" s="9">
        <f>IF($A4716="","",$F4716&amp;"")</f>
        <v/>
      </c>
      <c r="Y4716" s="94">
        <f>IF($A4716="",0,IF(AE4716="직접",IF(AF4716="비귀속",$P4716,0),$P4716*(1-AG4716)*IFERROR(INDEX(계정대체기준!$F$20:$F$49,MATCH($N4716,계정대체기준!$A$20:$A$49,0)),1)))</f>
        <v/>
      </c>
      <c r="Z4716" s="94">
        <f>IF($A4716="",0,IF(AE4716="직접",IF(AF4716="신계약비",$P4716,0),$P4716*(1-AG4716)*IFERROR(INDEX(계정대체기준!$C$20:$C$49,MATCH($N4716,계정대체기준!$A$20:$A$49,0)),0)))</f>
        <v/>
      </c>
      <c r="AA4716" s="94">
        <f>IF($A4716="",0,IF(AE4716="직접",IF(OR(AF4716="유지비",AF4716="손해조사비"),$P4716,0),$P4716*(1-AG4716)*IFERROR(INDEX(계정대체기준!$D$20:$D$49,MATCH($N4716,계정대체기준!$A$20:$A$49,0)),0)))</f>
        <v/>
      </c>
      <c r="AB4716" s="94">
        <f>IF($A4716="",0,IF(AE4716="직접",IF(AF4716="수금비",$P4716,0),$P4716*(1-AG4716)*IFERROR(INDEX(계정대체기준!$E$20:$E$49,MATCH($N4716,계정대체기준!$A$20:$A$49,0)),0)))</f>
        <v/>
      </c>
      <c r="AC4716" s="9">
        <f>IF(AND($A4716&lt;&gt;"",M4716=설정!$C$20,Z4716&gt;0),Z4716+ROW()/1000000000,"")</f>
        <v/>
      </c>
      <c r="AD4716" s="94">
        <f>IF($A4716="",0,$P4716*AG4716)</f>
        <v/>
      </c>
      <c r="AE4716" s="64">
        <f>IF($A4716="","",IFERROR(INDEX(계정매핑!$E$5:$E$504,MATCH($F4716&amp;"",계정매핑!$A$5:$A$504,0))&amp;"","공통비"))</f>
        <v/>
      </c>
      <c r="AF4716" s="64">
        <f>IF($A4716="","",IF(AE4716="직접",IFERROR(INDEX(계정매핑!$F$5:$F$504,MATCH($F4716&amp;"",계정매핑!$A$5:$A$504,0))&amp;"","비귀속"),""))</f>
        <v/>
      </c>
      <c r="AG4716" s="96">
        <f>IF($A4716="",0,IF(AND(AE4716&lt;&gt;"직접",IFERROR(INDEX(계정매핑!$G$5:$G$504,MATCH($F4716&amp;"",계정매핑!$A$5:$A$504,0))&amp;"","")="유지비",COUNTIF(계정대체기준!$A$6:$A$15,$N4716)&gt;0),IFERROR(INDEX(계정대체기준!$E$6:$E$15,MATCH(VALUE($A4716&amp;""),계정대체기준!$D$6:$D$15,0)),0),0))</f>
        <v/>
      </c>
      <c r="AH4716" s="64">
        <f>IF($A4716="","",IF(AD4716=0,"",IF(OR(COUNTIF(계정대체기준!$A$77:$A$86,$N4716)&gt;0,ISNUMBER(MATCH($X4716,계정대체기준!$D$77:$D$86,0)),ISNUMBER(MATCH($F4716,계정대체기준!$D$77:$D$86,0))),"Y","N")))</f>
        <v/>
      </c>
    </row>
    <row r="4717">
      <c r="A4717" s="92" t="n">
        <v>2026</v>
      </c>
      <c r="B4717" s="92" t="n">
        <v>9</v>
      </c>
      <c r="C4717" s="92" t="inlineStr">
        <is>
          <t>5100001995</t>
        </is>
      </c>
      <c r="D4717" s="95" t="n">
        <v>46283</v>
      </c>
      <c r="E4717" s="92" t="inlineStr">
        <is>
          <t>KR</t>
        </is>
      </c>
      <c r="F4717" s="92" t="n">
        <v>63101000</v>
      </c>
      <c r="G4717" s="92" t="n">
        <v>1602</v>
      </c>
      <c r="H4717" s="93" t="n">
        <v>6052000</v>
      </c>
      <c r="I4717" s="92" t="inlineStr">
        <is>
          <t>9월 사무실 임차료 - BB부동산</t>
        </is>
      </c>
      <c r="J4717" s="92" t="inlineStr">
        <is>
          <t>V10028</t>
        </is>
      </c>
      <c r="K4717" s="92" t="inlineStr">
        <is>
          <t>BB부동산</t>
        </is>
      </c>
      <c r="M4717" s="9">
        <f>IF($A4717="","",VALUE($A4717&amp;"")*12+VALUE($B4717&amp;""))</f>
        <v/>
      </c>
      <c r="N4717" s="64">
        <f>IF($A4717="","",IFERROR(INDEX(부서매핑!$C$5:$C$504,MATCH($G4717&amp;"",부서매핑!$A$5:$A$504,0)),"미매핑"))</f>
        <v/>
      </c>
      <c r="O4717" s="9">
        <f>IF($A4717="","",N4717&amp;"|"&amp;$F4717)</f>
        <v/>
      </c>
      <c r="P4717" s="94">
        <f>IF($A4717="",0,$H4717*설정!$C$23)</f>
        <v/>
      </c>
      <c r="Q4717" s="64">
        <f>IF($A4717="","",IF(O4717&lt;&gt;원인분석!$C$9,"",IF(AND(M4717&gt;=원인분석!$C$10,M4717&lt;=원인분석!$C$11),"당기",IF(AND(M4717&gt;=원인분석!$C$12,M4717&lt;=원인분석!$C$13),"비교",""))))</f>
        <v/>
      </c>
      <c r="R4717" s="9">
        <f>IF(Q4717="","",$K4717&amp;"")</f>
        <v/>
      </c>
      <c r="S4717" s="9">
        <f>IF(Q4717="","",IF(MATCH(R4717,$R$5:$R$100000,0)=ROW()-4,ROW(),""))</f>
        <v/>
      </c>
      <c r="T4717" s="9">
        <f>IF(Q4717="당기",ABS(P4717)+ROW()/1000000000,"")</f>
        <v/>
      </c>
      <c r="U4717" s="9">
        <f>IF(Q4717="비교",ABS(P4717)+ROW()/1000000000,"")</f>
        <v/>
      </c>
      <c r="V4717" s="64">
        <f>IF($A4717="","",IF(COUNTIF(변동분석!$E$7:$E$506,O4717)&gt;0,"Y","N"))</f>
        <v/>
      </c>
      <c r="W4717" s="64">
        <f>IF($A4717="","",IFERROR(INDEX(계정매핑!$D$5:$D$504,MATCH($F4717&amp;"",계정매핑!$A$5:$A$504,0)),"미매핑"))</f>
        <v/>
      </c>
      <c r="X4717" s="9">
        <f>IF($A4717="","",$F4717&amp;"")</f>
        <v/>
      </c>
      <c r="Y4717" s="94">
        <f>IF($A4717="",0,IF(AE4717="직접",IF(AF4717="비귀속",$P4717,0),$P4717*(1-AG4717)*IFERROR(INDEX(계정대체기준!$F$20:$F$49,MATCH($N4717,계정대체기준!$A$20:$A$49,0)),1)))</f>
        <v/>
      </c>
      <c r="Z4717" s="94">
        <f>IF($A4717="",0,IF(AE4717="직접",IF(AF4717="신계약비",$P4717,0),$P4717*(1-AG4717)*IFERROR(INDEX(계정대체기준!$C$20:$C$49,MATCH($N4717,계정대체기준!$A$20:$A$49,0)),0)))</f>
        <v/>
      </c>
      <c r="AA4717" s="94">
        <f>IF($A4717="",0,IF(AE4717="직접",IF(OR(AF4717="유지비",AF4717="손해조사비"),$P4717,0),$P4717*(1-AG4717)*IFERROR(INDEX(계정대체기준!$D$20:$D$49,MATCH($N4717,계정대체기준!$A$20:$A$49,0)),0)))</f>
        <v/>
      </c>
      <c r="AB4717" s="94">
        <f>IF($A4717="",0,IF(AE4717="직접",IF(AF4717="수금비",$P4717,0),$P4717*(1-AG4717)*IFERROR(INDEX(계정대체기준!$E$20:$E$49,MATCH($N4717,계정대체기준!$A$20:$A$49,0)),0)))</f>
        <v/>
      </c>
      <c r="AC4717" s="9">
        <f>IF(AND($A4717&lt;&gt;"",M4717=설정!$C$20,Z4717&gt;0),Z4717+ROW()/1000000000,"")</f>
        <v/>
      </c>
      <c r="AD4717" s="94">
        <f>IF($A4717="",0,$P4717*AG4717)</f>
        <v/>
      </c>
      <c r="AE4717" s="64">
        <f>IF($A4717="","",IFERROR(INDEX(계정매핑!$E$5:$E$504,MATCH($F4717&amp;"",계정매핑!$A$5:$A$504,0))&amp;"","공통비"))</f>
        <v/>
      </c>
      <c r="AF4717" s="64">
        <f>IF($A4717="","",IF(AE4717="직접",IFERROR(INDEX(계정매핑!$F$5:$F$504,MATCH($F4717&amp;"",계정매핑!$A$5:$A$504,0))&amp;"","비귀속"),""))</f>
        <v/>
      </c>
      <c r="AG4717" s="96">
        <f>IF($A4717="",0,IF(AND(AE4717&lt;&gt;"직접",IFERROR(INDEX(계정매핑!$G$5:$G$504,MATCH($F4717&amp;"",계정매핑!$A$5:$A$504,0))&amp;"","")="유지비",COUNTIF(계정대체기준!$A$6:$A$15,$N4717)&gt;0),IFERROR(INDEX(계정대체기준!$E$6:$E$15,MATCH(VALUE($A4717&amp;""),계정대체기준!$D$6:$D$15,0)),0),0))</f>
        <v/>
      </c>
      <c r="AH4717" s="64">
        <f>IF($A4717="","",IF(AD4717=0,"",IF(OR(COUNTIF(계정대체기준!$A$77:$A$86,$N4717)&gt;0,ISNUMBER(MATCH($X4717,계정대체기준!$D$77:$D$86,0)),ISNUMBER(MATCH($F4717,계정대체기준!$D$77:$D$86,0))),"Y","N")))</f>
        <v/>
      </c>
    </row>
    <row r="4718">
      <c r="A4718" s="92" t="n">
        <v>2026</v>
      </c>
      <c r="B4718" s="92" t="n">
        <v>9</v>
      </c>
      <c r="C4718" s="92" t="inlineStr">
        <is>
          <t>5100001996</t>
        </is>
      </c>
      <c r="D4718" s="95" t="n">
        <v>46283</v>
      </c>
      <c r="E4718" s="92" t="inlineStr">
        <is>
          <t>KR</t>
        </is>
      </c>
      <c r="F4718" s="92" t="n">
        <v>63601000</v>
      </c>
      <c r="G4718" s="92" t="n">
        <v>1801</v>
      </c>
      <c r="H4718" s="93" t="n">
        <v>6982000</v>
      </c>
      <c r="I4718" s="92" t="inlineStr">
        <is>
          <t>9월 손해사정 수수료 - DD손해사정</t>
        </is>
      </c>
      <c r="J4718" s="92" t="inlineStr">
        <is>
          <t>V10032</t>
        </is>
      </c>
      <c r="K4718" s="92" t="inlineStr">
        <is>
          <t>DD손해사정</t>
        </is>
      </c>
      <c r="M4718" s="9">
        <f>IF($A4718="","",VALUE($A4718&amp;"")*12+VALUE($B4718&amp;""))</f>
        <v/>
      </c>
      <c r="N4718" s="64">
        <f>IF($A4718="","",IFERROR(INDEX(부서매핑!$C$5:$C$504,MATCH($G4718&amp;"",부서매핑!$A$5:$A$504,0)),"미매핑"))</f>
        <v/>
      </c>
      <c r="O4718" s="9">
        <f>IF($A4718="","",N4718&amp;"|"&amp;$F4718)</f>
        <v/>
      </c>
      <c r="P4718" s="94">
        <f>IF($A4718="",0,$H4718*설정!$C$23)</f>
        <v/>
      </c>
      <c r="Q4718" s="64">
        <f>IF($A4718="","",IF(O4718&lt;&gt;원인분석!$C$9,"",IF(AND(M4718&gt;=원인분석!$C$10,M4718&lt;=원인분석!$C$11),"당기",IF(AND(M4718&gt;=원인분석!$C$12,M4718&lt;=원인분석!$C$13),"비교",""))))</f>
        <v/>
      </c>
      <c r="R4718" s="9">
        <f>IF(Q4718="","",$K4718&amp;"")</f>
        <v/>
      </c>
      <c r="S4718" s="9">
        <f>IF(Q4718="","",IF(MATCH(R4718,$R$5:$R$100000,0)=ROW()-4,ROW(),""))</f>
        <v/>
      </c>
      <c r="T4718" s="9">
        <f>IF(Q4718="당기",ABS(P4718)+ROW()/1000000000,"")</f>
        <v/>
      </c>
      <c r="U4718" s="9">
        <f>IF(Q4718="비교",ABS(P4718)+ROW()/1000000000,"")</f>
        <v/>
      </c>
      <c r="V4718" s="64">
        <f>IF($A4718="","",IF(COUNTIF(변동분석!$E$7:$E$506,O4718)&gt;0,"Y","N"))</f>
        <v/>
      </c>
      <c r="W4718" s="64">
        <f>IF($A4718="","",IFERROR(INDEX(계정매핑!$D$5:$D$504,MATCH($F4718&amp;"",계정매핑!$A$5:$A$504,0)),"미매핑"))</f>
        <v/>
      </c>
      <c r="X4718" s="9">
        <f>IF($A4718="","",$F4718&amp;"")</f>
        <v/>
      </c>
      <c r="Y4718" s="94">
        <f>IF($A4718="",0,IF(AE4718="직접",IF(AF4718="비귀속",$P4718,0),$P4718*(1-AG4718)*IFERROR(INDEX(계정대체기준!$F$20:$F$49,MATCH($N4718,계정대체기준!$A$20:$A$49,0)),1)))</f>
        <v/>
      </c>
      <c r="Z4718" s="94">
        <f>IF($A4718="",0,IF(AE4718="직접",IF(AF4718="신계약비",$P4718,0),$P4718*(1-AG4718)*IFERROR(INDEX(계정대체기준!$C$20:$C$49,MATCH($N4718,계정대체기준!$A$20:$A$49,0)),0)))</f>
        <v/>
      </c>
      <c r="AA4718" s="94">
        <f>IF($A4718="",0,IF(AE4718="직접",IF(OR(AF4718="유지비",AF4718="손해조사비"),$P4718,0),$P4718*(1-AG4718)*IFERROR(INDEX(계정대체기준!$D$20:$D$49,MATCH($N4718,계정대체기준!$A$20:$A$49,0)),0)))</f>
        <v/>
      </c>
      <c r="AB4718" s="94">
        <f>IF($A4718="",0,IF(AE4718="직접",IF(AF4718="수금비",$P4718,0),$P4718*(1-AG4718)*IFERROR(INDEX(계정대체기준!$E$20:$E$49,MATCH($N4718,계정대체기준!$A$20:$A$49,0)),0)))</f>
        <v/>
      </c>
      <c r="AC4718" s="9">
        <f>IF(AND($A4718&lt;&gt;"",M4718=설정!$C$20,Z4718&gt;0),Z4718+ROW()/1000000000,"")</f>
        <v/>
      </c>
      <c r="AD4718" s="94">
        <f>IF($A4718="",0,$P4718*AG4718)</f>
        <v/>
      </c>
      <c r="AE4718" s="64">
        <f>IF($A4718="","",IFERROR(INDEX(계정매핑!$E$5:$E$504,MATCH($F4718&amp;"",계정매핑!$A$5:$A$504,0))&amp;"","공통비"))</f>
        <v/>
      </c>
      <c r="AF4718" s="64">
        <f>IF($A4718="","",IF(AE4718="직접",IFERROR(INDEX(계정매핑!$F$5:$F$504,MATCH($F4718&amp;"",계정매핑!$A$5:$A$504,0))&amp;"","비귀속"),""))</f>
        <v/>
      </c>
      <c r="AG4718" s="96">
        <f>IF($A4718="",0,IF(AND(AE4718&lt;&gt;"직접",IFERROR(INDEX(계정매핑!$G$5:$G$504,MATCH($F4718&amp;"",계정매핑!$A$5:$A$504,0))&amp;"","")="유지비",COUNTIF(계정대체기준!$A$6:$A$15,$N4718)&gt;0),IFERROR(INDEX(계정대체기준!$E$6:$E$15,MATCH(VALUE($A4718&amp;""),계정대체기준!$D$6:$D$15,0)),0),0))</f>
        <v/>
      </c>
      <c r="AH4718" s="64">
        <f>IF($A4718="","",IF(AD4718=0,"",IF(OR(COUNTIF(계정대체기준!$A$77:$A$86,$N4718)&gt;0,ISNUMBER(MATCH($X4718,계정대체기준!$D$77:$D$86,0)),ISNUMBER(MATCH($F4718,계정대체기준!$D$77:$D$86,0))),"Y","N")))</f>
        <v/>
      </c>
    </row>
    <row r="4719">
      <c r="A4719" s="92" t="n">
        <v>2026</v>
      </c>
      <c r="B4719" s="92" t="n">
        <v>9</v>
      </c>
      <c r="C4719" s="92" t="inlineStr">
        <is>
          <t>5100001997</t>
        </is>
      </c>
      <c r="D4719" s="95" t="n">
        <v>46284</v>
      </c>
      <c r="E4719" s="92" t="inlineStr">
        <is>
          <t>KR</t>
        </is>
      </c>
      <c r="F4719" s="92" t="n">
        <v>62101000</v>
      </c>
      <c r="G4719" s="92" t="n">
        <v>1801</v>
      </c>
      <c r="H4719" s="93" t="n">
        <v>165000</v>
      </c>
      <c r="I4719" s="92" t="inlineStr">
        <is>
          <t>9월 국내출장 - L여행사</t>
        </is>
      </c>
      <c r="J4719" s="92" t="inlineStr">
        <is>
          <t>V10018</t>
        </is>
      </c>
      <c r="K4719" s="92" t="inlineStr">
        <is>
          <t>L여행사</t>
        </is>
      </c>
      <c r="M4719" s="9">
        <f>IF($A4719="","",VALUE($A4719&amp;"")*12+VALUE($B4719&amp;""))</f>
        <v/>
      </c>
      <c r="N4719" s="64">
        <f>IF($A4719="","",IFERROR(INDEX(부서매핑!$C$5:$C$504,MATCH($G4719&amp;"",부서매핑!$A$5:$A$504,0)),"미매핑"))</f>
        <v/>
      </c>
      <c r="O4719" s="9">
        <f>IF($A4719="","",N4719&amp;"|"&amp;$F4719)</f>
        <v/>
      </c>
      <c r="P4719" s="94">
        <f>IF($A4719="",0,$H4719*설정!$C$23)</f>
        <v/>
      </c>
      <c r="Q4719" s="64">
        <f>IF($A4719="","",IF(O4719&lt;&gt;원인분석!$C$9,"",IF(AND(M4719&gt;=원인분석!$C$10,M4719&lt;=원인분석!$C$11),"당기",IF(AND(M4719&gt;=원인분석!$C$12,M4719&lt;=원인분석!$C$13),"비교",""))))</f>
        <v/>
      </c>
      <c r="R4719" s="9">
        <f>IF(Q4719="","",$K4719&amp;"")</f>
        <v/>
      </c>
      <c r="S4719" s="9">
        <f>IF(Q4719="","",IF(MATCH(R4719,$R$5:$R$100000,0)=ROW()-4,ROW(),""))</f>
        <v/>
      </c>
      <c r="T4719" s="9">
        <f>IF(Q4719="당기",ABS(P4719)+ROW()/1000000000,"")</f>
        <v/>
      </c>
      <c r="U4719" s="9">
        <f>IF(Q4719="비교",ABS(P4719)+ROW()/1000000000,"")</f>
        <v/>
      </c>
      <c r="V4719" s="64">
        <f>IF($A4719="","",IF(COUNTIF(변동분석!$E$7:$E$506,O4719)&gt;0,"Y","N"))</f>
        <v/>
      </c>
      <c r="W4719" s="64">
        <f>IF($A4719="","",IFERROR(INDEX(계정매핑!$D$5:$D$504,MATCH($F4719&amp;"",계정매핑!$A$5:$A$504,0)),"미매핑"))</f>
        <v/>
      </c>
      <c r="X4719" s="9">
        <f>IF($A4719="","",$F4719&amp;"")</f>
        <v/>
      </c>
      <c r="Y4719" s="94">
        <f>IF($A4719="",0,IF(AE4719="직접",IF(AF4719="비귀속",$P4719,0),$P4719*(1-AG4719)*IFERROR(INDEX(계정대체기준!$F$20:$F$49,MATCH($N4719,계정대체기준!$A$20:$A$49,0)),1)))</f>
        <v/>
      </c>
      <c r="Z4719" s="94">
        <f>IF($A4719="",0,IF(AE4719="직접",IF(AF4719="신계약비",$P4719,0),$P4719*(1-AG4719)*IFERROR(INDEX(계정대체기준!$C$20:$C$49,MATCH($N4719,계정대체기준!$A$20:$A$49,0)),0)))</f>
        <v/>
      </c>
      <c r="AA4719" s="94">
        <f>IF($A4719="",0,IF(AE4719="직접",IF(OR(AF4719="유지비",AF4719="손해조사비"),$P4719,0),$P4719*(1-AG4719)*IFERROR(INDEX(계정대체기준!$D$20:$D$49,MATCH($N4719,계정대체기준!$A$20:$A$49,0)),0)))</f>
        <v/>
      </c>
      <c r="AB4719" s="94">
        <f>IF($A4719="",0,IF(AE4719="직접",IF(AF4719="수금비",$P4719,0),$P4719*(1-AG4719)*IFERROR(INDEX(계정대체기준!$E$20:$E$49,MATCH($N4719,계정대체기준!$A$20:$A$49,0)),0)))</f>
        <v/>
      </c>
      <c r="AC4719" s="9">
        <f>IF(AND($A4719&lt;&gt;"",M4719=설정!$C$20,Z4719&gt;0),Z4719+ROW()/1000000000,"")</f>
        <v/>
      </c>
      <c r="AD4719" s="94">
        <f>IF($A4719="",0,$P4719*AG4719)</f>
        <v/>
      </c>
      <c r="AE4719" s="64">
        <f>IF($A4719="","",IFERROR(INDEX(계정매핑!$E$5:$E$504,MATCH($F4719&amp;"",계정매핑!$A$5:$A$504,0))&amp;"","공통비"))</f>
        <v/>
      </c>
      <c r="AF4719" s="64">
        <f>IF($A4719="","",IF(AE4719="직접",IFERROR(INDEX(계정매핑!$F$5:$F$504,MATCH($F4719&amp;"",계정매핑!$A$5:$A$504,0))&amp;"","비귀속"),""))</f>
        <v/>
      </c>
      <c r="AG4719" s="96">
        <f>IF($A4719="",0,IF(AND(AE4719&lt;&gt;"직접",IFERROR(INDEX(계정매핑!$G$5:$G$504,MATCH($F4719&amp;"",계정매핑!$A$5:$A$504,0))&amp;"","")="유지비",COUNTIF(계정대체기준!$A$6:$A$15,$N4719)&gt;0),IFERROR(INDEX(계정대체기준!$E$6:$E$15,MATCH(VALUE($A4719&amp;""),계정대체기준!$D$6:$D$15,0)),0),0))</f>
        <v/>
      </c>
      <c r="AH4719" s="64">
        <f>IF($A4719="","",IF(AD4719=0,"",IF(OR(COUNTIF(계정대체기준!$A$77:$A$86,$N4719)&gt;0,ISNUMBER(MATCH($X4719,계정대체기준!$D$77:$D$86,0)),ISNUMBER(MATCH($F4719,계정대체기준!$D$77:$D$86,0))),"Y","N")))</f>
        <v/>
      </c>
    </row>
    <row r="4720">
      <c r="A4720" s="92" t="n">
        <v>2026</v>
      </c>
      <c r="B4720" s="92" t="n">
        <v>9</v>
      </c>
      <c r="C4720" s="92" t="inlineStr">
        <is>
          <t>5100001998</t>
        </is>
      </c>
      <c r="D4720" s="95" t="n">
        <v>46284</v>
      </c>
      <c r="E4720" s="92" t="inlineStr">
        <is>
          <t>KR</t>
        </is>
      </c>
      <c r="F4720" s="92" t="n">
        <v>62801000</v>
      </c>
      <c r="G4720" s="92" t="n">
        <v>1301</v>
      </c>
      <c r="H4720" s="93" t="n">
        <v>4786000</v>
      </c>
      <c r="I4720" s="92" t="inlineStr">
        <is>
          <t>9월 사내교육 - (사내강사료)</t>
        </is>
      </c>
      <c r="J4720" s="92" t="inlineStr">
        <is>
          <t>V10024</t>
        </is>
      </c>
      <c r="K4720" s="92" t="inlineStr">
        <is>
          <t>(사내강사료)</t>
        </is>
      </c>
      <c r="M4720" s="9">
        <f>IF($A4720="","",VALUE($A4720&amp;"")*12+VALUE($B4720&amp;""))</f>
        <v/>
      </c>
      <c r="N4720" s="64">
        <f>IF($A4720="","",IFERROR(INDEX(부서매핑!$C$5:$C$504,MATCH($G4720&amp;"",부서매핑!$A$5:$A$504,0)),"미매핑"))</f>
        <v/>
      </c>
      <c r="O4720" s="9">
        <f>IF($A4720="","",N4720&amp;"|"&amp;$F4720)</f>
        <v/>
      </c>
      <c r="P4720" s="94">
        <f>IF($A4720="",0,$H4720*설정!$C$23)</f>
        <v/>
      </c>
      <c r="Q4720" s="64">
        <f>IF($A4720="","",IF(O4720&lt;&gt;원인분석!$C$9,"",IF(AND(M4720&gt;=원인분석!$C$10,M4720&lt;=원인분석!$C$11),"당기",IF(AND(M4720&gt;=원인분석!$C$12,M4720&lt;=원인분석!$C$13),"비교",""))))</f>
        <v/>
      </c>
      <c r="R4720" s="9">
        <f>IF(Q4720="","",$K4720&amp;"")</f>
        <v/>
      </c>
      <c r="S4720" s="9">
        <f>IF(Q4720="","",IF(MATCH(R4720,$R$5:$R$100000,0)=ROW()-4,ROW(),""))</f>
        <v/>
      </c>
      <c r="T4720" s="9">
        <f>IF(Q4720="당기",ABS(P4720)+ROW()/1000000000,"")</f>
        <v/>
      </c>
      <c r="U4720" s="9">
        <f>IF(Q4720="비교",ABS(P4720)+ROW()/1000000000,"")</f>
        <v/>
      </c>
      <c r="V4720" s="64">
        <f>IF($A4720="","",IF(COUNTIF(변동분석!$E$7:$E$506,O4720)&gt;0,"Y","N"))</f>
        <v/>
      </c>
      <c r="W4720" s="64">
        <f>IF($A4720="","",IFERROR(INDEX(계정매핑!$D$5:$D$504,MATCH($F4720&amp;"",계정매핑!$A$5:$A$504,0)),"미매핑"))</f>
        <v/>
      </c>
      <c r="X4720" s="9">
        <f>IF($A4720="","",$F4720&amp;"")</f>
        <v/>
      </c>
      <c r="Y4720" s="94">
        <f>IF($A4720="",0,IF(AE4720="직접",IF(AF4720="비귀속",$P4720,0),$P4720*(1-AG4720)*IFERROR(INDEX(계정대체기준!$F$20:$F$49,MATCH($N4720,계정대체기준!$A$20:$A$49,0)),1)))</f>
        <v/>
      </c>
      <c r="Z4720" s="94">
        <f>IF($A4720="",0,IF(AE4720="직접",IF(AF4720="신계약비",$P4720,0),$P4720*(1-AG4720)*IFERROR(INDEX(계정대체기준!$C$20:$C$49,MATCH($N4720,계정대체기준!$A$20:$A$49,0)),0)))</f>
        <v/>
      </c>
      <c r="AA4720" s="94">
        <f>IF($A4720="",0,IF(AE4720="직접",IF(OR(AF4720="유지비",AF4720="손해조사비"),$P4720,0),$P4720*(1-AG4720)*IFERROR(INDEX(계정대체기준!$D$20:$D$49,MATCH($N4720,계정대체기준!$A$20:$A$49,0)),0)))</f>
        <v/>
      </c>
      <c r="AB4720" s="94">
        <f>IF($A4720="",0,IF(AE4720="직접",IF(AF4720="수금비",$P4720,0),$P4720*(1-AG4720)*IFERROR(INDEX(계정대체기준!$E$20:$E$49,MATCH($N4720,계정대체기준!$A$20:$A$49,0)),0)))</f>
        <v/>
      </c>
      <c r="AC4720" s="9">
        <f>IF(AND($A4720&lt;&gt;"",M4720=설정!$C$20,Z4720&gt;0),Z4720+ROW()/1000000000,"")</f>
        <v/>
      </c>
      <c r="AD4720" s="94">
        <f>IF($A4720="",0,$P4720*AG4720)</f>
        <v/>
      </c>
      <c r="AE4720" s="64">
        <f>IF($A4720="","",IFERROR(INDEX(계정매핑!$E$5:$E$504,MATCH($F4720&amp;"",계정매핑!$A$5:$A$504,0))&amp;"","공통비"))</f>
        <v/>
      </c>
      <c r="AF4720" s="64">
        <f>IF($A4720="","",IF(AE4720="직접",IFERROR(INDEX(계정매핑!$F$5:$F$504,MATCH($F4720&amp;"",계정매핑!$A$5:$A$504,0))&amp;"","비귀속"),""))</f>
        <v/>
      </c>
      <c r="AG4720" s="96">
        <f>IF($A4720="",0,IF(AND(AE4720&lt;&gt;"직접",IFERROR(INDEX(계정매핑!$G$5:$G$504,MATCH($F4720&amp;"",계정매핑!$A$5:$A$504,0))&amp;"","")="유지비",COUNTIF(계정대체기준!$A$6:$A$15,$N4720)&gt;0),IFERROR(INDEX(계정대체기준!$E$6:$E$15,MATCH(VALUE($A4720&amp;""),계정대체기준!$D$6:$D$15,0)),0),0))</f>
        <v/>
      </c>
      <c r="AH4720" s="64">
        <f>IF($A4720="","",IF(AD4720=0,"",IF(OR(COUNTIF(계정대체기준!$A$77:$A$86,$N4720)&gt;0,ISNUMBER(MATCH($X4720,계정대체기준!$D$77:$D$86,0)),ISNUMBER(MATCH($F4720,계정대체기준!$D$77:$D$86,0))),"Y","N")))</f>
        <v/>
      </c>
    </row>
    <row r="4721">
      <c r="A4721" s="92" t="n">
        <v>2026</v>
      </c>
      <c r="B4721" s="92" t="n">
        <v>9</v>
      </c>
      <c r="C4721" s="92" t="inlineStr">
        <is>
          <t>5100001999</t>
        </is>
      </c>
      <c r="D4721" s="95" t="n">
        <v>46284</v>
      </c>
      <c r="E4721" s="92" t="inlineStr">
        <is>
          <t>KR</t>
        </is>
      </c>
      <c r="F4721" s="92" t="n">
        <v>62902000</v>
      </c>
      <c r="G4721" s="92" t="n">
        <v>1401</v>
      </c>
      <c r="H4721" s="93" t="n">
        <v>1661000</v>
      </c>
      <c r="I4721" s="92" t="inlineStr">
        <is>
          <t>9월 업무 위탁 수수료 - X서비스</t>
        </is>
      </c>
      <c r="J4721" s="92" t="inlineStr">
        <is>
          <t>V10020</t>
        </is>
      </c>
      <c r="K4721" s="92" t="inlineStr">
        <is>
          <t>X서비스</t>
        </is>
      </c>
      <c r="M4721" s="9">
        <f>IF($A4721="","",VALUE($A4721&amp;"")*12+VALUE($B4721&amp;""))</f>
        <v/>
      </c>
      <c r="N4721" s="64">
        <f>IF($A4721="","",IFERROR(INDEX(부서매핑!$C$5:$C$504,MATCH($G4721&amp;"",부서매핑!$A$5:$A$504,0)),"미매핑"))</f>
        <v/>
      </c>
      <c r="O4721" s="9">
        <f>IF($A4721="","",N4721&amp;"|"&amp;$F4721)</f>
        <v/>
      </c>
      <c r="P4721" s="94">
        <f>IF($A4721="",0,$H4721*설정!$C$23)</f>
        <v/>
      </c>
      <c r="Q4721" s="64">
        <f>IF($A4721="","",IF(O4721&lt;&gt;원인분석!$C$9,"",IF(AND(M4721&gt;=원인분석!$C$10,M4721&lt;=원인분석!$C$11),"당기",IF(AND(M4721&gt;=원인분석!$C$12,M4721&lt;=원인분석!$C$13),"비교",""))))</f>
        <v/>
      </c>
      <c r="R4721" s="9">
        <f>IF(Q4721="","",$K4721&amp;"")</f>
        <v/>
      </c>
      <c r="S4721" s="9">
        <f>IF(Q4721="","",IF(MATCH(R4721,$R$5:$R$100000,0)=ROW()-4,ROW(),""))</f>
        <v/>
      </c>
      <c r="T4721" s="9">
        <f>IF(Q4721="당기",ABS(P4721)+ROW()/1000000000,"")</f>
        <v/>
      </c>
      <c r="U4721" s="9">
        <f>IF(Q4721="비교",ABS(P4721)+ROW()/1000000000,"")</f>
        <v/>
      </c>
      <c r="V4721" s="64">
        <f>IF($A4721="","",IF(COUNTIF(변동분석!$E$7:$E$506,O4721)&gt;0,"Y","N"))</f>
        <v/>
      </c>
      <c r="W4721" s="64">
        <f>IF($A4721="","",IFERROR(INDEX(계정매핑!$D$5:$D$504,MATCH($F4721&amp;"",계정매핑!$A$5:$A$504,0)),"미매핑"))</f>
        <v/>
      </c>
      <c r="X4721" s="9">
        <f>IF($A4721="","",$F4721&amp;"")</f>
        <v/>
      </c>
      <c r="Y4721" s="94">
        <f>IF($A4721="",0,IF(AE4721="직접",IF(AF4721="비귀속",$P4721,0),$P4721*(1-AG4721)*IFERROR(INDEX(계정대체기준!$F$20:$F$49,MATCH($N4721,계정대체기준!$A$20:$A$49,0)),1)))</f>
        <v/>
      </c>
      <c r="Z4721" s="94">
        <f>IF($A4721="",0,IF(AE4721="직접",IF(AF4721="신계약비",$P4721,0),$P4721*(1-AG4721)*IFERROR(INDEX(계정대체기준!$C$20:$C$49,MATCH($N4721,계정대체기준!$A$20:$A$49,0)),0)))</f>
        <v/>
      </c>
      <c r="AA4721" s="94">
        <f>IF($A4721="",0,IF(AE4721="직접",IF(OR(AF4721="유지비",AF4721="손해조사비"),$P4721,0),$P4721*(1-AG4721)*IFERROR(INDEX(계정대체기준!$D$20:$D$49,MATCH($N4721,계정대체기준!$A$20:$A$49,0)),0)))</f>
        <v/>
      </c>
      <c r="AB4721" s="94">
        <f>IF($A4721="",0,IF(AE4721="직접",IF(AF4721="수금비",$P4721,0),$P4721*(1-AG4721)*IFERROR(INDEX(계정대체기준!$E$20:$E$49,MATCH($N4721,계정대체기준!$A$20:$A$49,0)),0)))</f>
        <v/>
      </c>
      <c r="AC4721" s="9">
        <f>IF(AND($A4721&lt;&gt;"",M4721=설정!$C$20,Z4721&gt;0),Z4721+ROW()/1000000000,"")</f>
        <v/>
      </c>
      <c r="AD4721" s="94">
        <f>IF($A4721="",0,$P4721*AG4721)</f>
        <v/>
      </c>
      <c r="AE4721" s="64">
        <f>IF($A4721="","",IFERROR(INDEX(계정매핑!$E$5:$E$504,MATCH($F4721&amp;"",계정매핑!$A$5:$A$504,0))&amp;"","공통비"))</f>
        <v/>
      </c>
      <c r="AF4721" s="64">
        <f>IF($A4721="","",IF(AE4721="직접",IFERROR(INDEX(계정매핑!$F$5:$F$504,MATCH($F4721&amp;"",계정매핑!$A$5:$A$504,0))&amp;"","비귀속"),""))</f>
        <v/>
      </c>
      <c r="AG4721" s="96">
        <f>IF($A4721="",0,IF(AND(AE4721&lt;&gt;"직접",IFERROR(INDEX(계정매핑!$G$5:$G$504,MATCH($F4721&amp;"",계정매핑!$A$5:$A$504,0))&amp;"","")="유지비",COUNTIF(계정대체기준!$A$6:$A$15,$N4721)&gt;0),IFERROR(INDEX(계정대체기준!$E$6:$E$15,MATCH(VALUE($A4721&amp;""),계정대체기준!$D$6:$D$15,0)),0),0))</f>
        <v/>
      </c>
      <c r="AH4721" s="64">
        <f>IF($A4721="","",IF(AD4721=0,"",IF(OR(COUNTIF(계정대체기준!$A$77:$A$86,$N4721)&gt;0,ISNUMBER(MATCH($X4721,계정대체기준!$D$77:$D$86,0)),ISNUMBER(MATCH($F4721,계정대체기준!$D$77:$D$86,0))),"Y","N")))</f>
        <v/>
      </c>
    </row>
    <row r="4722">
      <c r="A4722" s="92" t="n">
        <v>2026</v>
      </c>
      <c r="B4722" s="92" t="n">
        <v>9</v>
      </c>
      <c r="C4722" s="92" t="inlineStr">
        <is>
          <t>5100002000</t>
        </is>
      </c>
      <c r="D4722" s="95" t="n">
        <v>46285</v>
      </c>
      <c r="E4722" s="92" t="inlineStr">
        <is>
          <t>KR</t>
        </is>
      </c>
      <c r="F4722" s="92" t="n">
        <v>62101000</v>
      </c>
      <c r="G4722" s="92" t="n">
        <v>1301</v>
      </c>
      <c r="H4722" s="93" t="n">
        <v>172000</v>
      </c>
      <c r="I4722" s="92" t="inlineStr">
        <is>
          <t>9월 국내출장 - M항공</t>
        </is>
      </c>
      <c r="J4722" s="92" t="inlineStr">
        <is>
          <t>V10001</t>
        </is>
      </c>
      <c r="K4722" s="92" t="inlineStr">
        <is>
          <t>M항공</t>
        </is>
      </c>
      <c r="M4722" s="9">
        <f>IF($A4722="","",VALUE($A4722&amp;"")*12+VALUE($B4722&amp;""))</f>
        <v/>
      </c>
      <c r="N4722" s="64">
        <f>IF($A4722="","",IFERROR(INDEX(부서매핑!$C$5:$C$504,MATCH($G4722&amp;"",부서매핑!$A$5:$A$504,0)),"미매핑"))</f>
        <v/>
      </c>
      <c r="O4722" s="9">
        <f>IF($A4722="","",N4722&amp;"|"&amp;$F4722)</f>
        <v/>
      </c>
      <c r="P4722" s="94">
        <f>IF($A4722="",0,$H4722*설정!$C$23)</f>
        <v/>
      </c>
      <c r="Q4722" s="64">
        <f>IF($A4722="","",IF(O4722&lt;&gt;원인분석!$C$9,"",IF(AND(M4722&gt;=원인분석!$C$10,M4722&lt;=원인분석!$C$11),"당기",IF(AND(M4722&gt;=원인분석!$C$12,M4722&lt;=원인분석!$C$13),"비교",""))))</f>
        <v/>
      </c>
      <c r="R4722" s="9">
        <f>IF(Q4722="","",$K4722&amp;"")</f>
        <v/>
      </c>
      <c r="S4722" s="9">
        <f>IF(Q4722="","",IF(MATCH(R4722,$R$5:$R$100000,0)=ROW()-4,ROW(),""))</f>
        <v/>
      </c>
      <c r="T4722" s="9">
        <f>IF(Q4722="당기",ABS(P4722)+ROW()/1000000000,"")</f>
        <v/>
      </c>
      <c r="U4722" s="9">
        <f>IF(Q4722="비교",ABS(P4722)+ROW()/1000000000,"")</f>
        <v/>
      </c>
      <c r="V4722" s="64">
        <f>IF($A4722="","",IF(COUNTIF(변동분석!$E$7:$E$506,O4722)&gt;0,"Y","N"))</f>
        <v/>
      </c>
      <c r="W4722" s="64">
        <f>IF($A4722="","",IFERROR(INDEX(계정매핑!$D$5:$D$504,MATCH($F4722&amp;"",계정매핑!$A$5:$A$504,0)),"미매핑"))</f>
        <v/>
      </c>
      <c r="X4722" s="9">
        <f>IF($A4722="","",$F4722&amp;"")</f>
        <v/>
      </c>
      <c r="Y4722" s="94">
        <f>IF($A4722="",0,IF(AE4722="직접",IF(AF4722="비귀속",$P4722,0),$P4722*(1-AG4722)*IFERROR(INDEX(계정대체기준!$F$20:$F$49,MATCH($N4722,계정대체기준!$A$20:$A$49,0)),1)))</f>
        <v/>
      </c>
      <c r="Z4722" s="94">
        <f>IF($A4722="",0,IF(AE4722="직접",IF(AF4722="신계약비",$P4722,0),$P4722*(1-AG4722)*IFERROR(INDEX(계정대체기준!$C$20:$C$49,MATCH($N4722,계정대체기준!$A$20:$A$49,0)),0)))</f>
        <v/>
      </c>
      <c r="AA4722" s="94">
        <f>IF($A4722="",0,IF(AE4722="직접",IF(OR(AF4722="유지비",AF4722="손해조사비"),$P4722,0),$P4722*(1-AG4722)*IFERROR(INDEX(계정대체기준!$D$20:$D$49,MATCH($N4722,계정대체기준!$A$20:$A$49,0)),0)))</f>
        <v/>
      </c>
      <c r="AB4722" s="94">
        <f>IF($A4722="",0,IF(AE4722="직접",IF(AF4722="수금비",$P4722,0),$P4722*(1-AG4722)*IFERROR(INDEX(계정대체기준!$E$20:$E$49,MATCH($N4722,계정대체기준!$A$20:$A$49,0)),0)))</f>
        <v/>
      </c>
      <c r="AC4722" s="9">
        <f>IF(AND($A4722&lt;&gt;"",M4722=설정!$C$20,Z4722&gt;0),Z4722+ROW()/1000000000,"")</f>
        <v/>
      </c>
      <c r="AD4722" s="94">
        <f>IF($A4722="",0,$P4722*AG4722)</f>
        <v/>
      </c>
      <c r="AE4722" s="64">
        <f>IF($A4722="","",IFERROR(INDEX(계정매핑!$E$5:$E$504,MATCH($F4722&amp;"",계정매핑!$A$5:$A$504,0))&amp;"","공통비"))</f>
        <v/>
      </c>
      <c r="AF4722" s="64">
        <f>IF($A4722="","",IF(AE4722="직접",IFERROR(INDEX(계정매핑!$F$5:$F$504,MATCH($F4722&amp;"",계정매핑!$A$5:$A$504,0))&amp;"","비귀속"),""))</f>
        <v/>
      </c>
      <c r="AG4722" s="96">
        <f>IF($A4722="",0,IF(AND(AE4722&lt;&gt;"직접",IFERROR(INDEX(계정매핑!$G$5:$G$504,MATCH($F4722&amp;"",계정매핑!$A$5:$A$504,0))&amp;"","")="유지비",COUNTIF(계정대체기준!$A$6:$A$15,$N4722)&gt;0),IFERROR(INDEX(계정대체기준!$E$6:$E$15,MATCH(VALUE($A4722&amp;""),계정대체기준!$D$6:$D$15,0)),0),0))</f>
        <v/>
      </c>
      <c r="AH4722" s="64">
        <f>IF($A4722="","",IF(AD4722=0,"",IF(OR(COUNTIF(계정대체기준!$A$77:$A$86,$N4722)&gt;0,ISNUMBER(MATCH($X4722,계정대체기준!$D$77:$D$86,0)),ISNUMBER(MATCH($F4722,계정대체기준!$D$77:$D$86,0))),"Y","N")))</f>
        <v/>
      </c>
    </row>
    <row r="4723">
      <c r="A4723" s="92" t="n">
        <v>2026</v>
      </c>
      <c r="B4723" s="92" t="n">
        <v>9</v>
      </c>
      <c r="C4723" s="92" t="inlineStr">
        <is>
          <t>5100002001</t>
        </is>
      </c>
      <c r="D4723" s="95" t="n">
        <v>46285</v>
      </c>
      <c r="E4723" s="92" t="inlineStr">
        <is>
          <t>KR</t>
        </is>
      </c>
      <c r="F4723" s="92" t="n">
        <v>62101000</v>
      </c>
      <c r="G4723" s="92" t="n">
        <v>1301</v>
      </c>
      <c r="H4723" s="93" t="n">
        <v>338000</v>
      </c>
      <c r="I4723" s="92" t="inlineStr">
        <is>
          <t>9월 국내출장 - (법인카드)</t>
        </is>
      </c>
      <c r="J4723" s="92" t="inlineStr">
        <is>
          <t>V10010</t>
        </is>
      </c>
      <c r="K4723" s="92" t="inlineStr">
        <is>
          <t>(법인카드)</t>
        </is>
      </c>
      <c r="M4723" s="9">
        <f>IF($A4723="","",VALUE($A4723&amp;"")*12+VALUE($B4723&amp;""))</f>
        <v/>
      </c>
      <c r="N4723" s="64">
        <f>IF($A4723="","",IFERROR(INDEX(부서매핑!$C$5:$C$504,MATCH($G4723&amp;"",부서매핑!$A$5:$A$504,0)),"미매핑"))</f>
        <v/>
      </c>
      <c r="O4723" s="9">
        <f>IF($A4723="","",N4723&amp;"|"&amp;$F4723)</f>
        <v/>
      </c>
      <c r="P4723" s="94">
        <f>IF($A4723="",0,$H4723*설정!$C$23)</f>
        <v/>
      </c>
      <c r="Q4723" s="64">
        <f>IF($A4723="","",IF(O4723&lt;&gt;원인분석!$C$9,"",IF(AND(M4723&gt;=원인분석!$C$10,M4723&lt;=원인분석!$C$11),"당기",IF(AND(M4723&gt;=원인분석!$C$12,M4723&lt;=원인분석!$C$13),"비교",""))))</f>
        <v/>
      </c>
      <c r="R4723" s="9">
        <f>IF(Q4723="","",$K4723&amp;"")</f>
        <v/>
      </c>
      <c r="S4723" s="9">
        <f>IF(Q4723="","",IF(MATCH(R4723,$R$5:$R$100000,0)=ROW()-4,ROW(),""))</f>
        <v/>
      </c>
      <c r="T4723" s="9">
        <f>IF(Q4723="당기",ABS(P4723)+ROW()/1000000000,"")</f>
        <v/>
      </c>
      <c r="U4723" s="9">
        <f>IF(Q4723="비교",ABS(P4723)+ROW()/1000000000,"")</f>
        <v/>
      </c>
      <c r="V4723" s="64">
        <f>IF($A4723="","",IF(COUNTIF(변동분석!$E$7:$E$506,O4723)&gt;0,"Y","N"))</f>
        <v/>
      </c>
      <c r="W4723" s="64">
        <f>IF($A4723="","",IFERROR(INDEX(계정매핑!$D$5:$D$504,MATCH($F4723&amp;"",계정매핑!$A$5:$A$504,0)),"미매핑"))</f>
        <v/>
      </c>
      <c r="X4723" s="9">
        <f>IF($A4723="","",$F4723&amp;"")</f>
        <v/>
      </c>
      <c r="Y4723" s="94">
        <f>IF($A4723="",0,IF(AE4723="직접",IF(AF4723="비귀속",$P4723,0),$P4723*(1-AG4723)*IFERROR(INDEX(계정대체기준!$F$20:$F$49,MATCH($N4723,계정대체기준!$A$20:$A$49,0)),1)))</f>
        <v/>
      </c>
      <c r="Z4723" s="94">
        <f>IF($A4723="",0,IF(AE4723="직접",IF(AF4723="신계약비",$P4723,0),$P4723*(1-AG4723)*IFERROR(INDEX(계정대체기준!$C$20:$C$49,MATCH($N4723,계정대체기준!$A$20:$A$49,0)),0)))</f>
        <v/>
      </c>
      <c r="AA4723" s="94">
        <f>IF($A4723="",0,IF(AE4723="직접",IF(OR(AF4723="유지비",AF4723="손해조사비"),$P4723,0),$P4723*(1-AG4723)*IFERROR(INDEX(계정대체기준!$D$20:$D$49,MATCH($N4723,계정대체기준!$A$20:$A$49,0)),0)))</f>
        <v/>
      </c>
      <c r="AB4723" s="94">
        <f>IF($A4723="",0,IF(AE4723="직접",IF(AF4723="수금비",$P4723,0),$P4723*(1-AG4723)*IFERROR(INDEX(계정대체기준!$E$20:$E$49,MATCH($N4723,계정대체기준!$A$20:$A$49,0)),0)))</f>
        <v/>
      </c>
      <c r="AC4723" s="9">
        <f>IF(AND($A4723&lt;&gt;"",M4723=설정!$C$20,Z4723&gt;0),Z4723+ROW()/1000000000,"")</f>
        <v/>
      </c>
      <c r="AD4723" s="94">
        <f>IF($A4723="",0,$P4723*AG4723)</f>
        <v/>
      </c>
      <c r="AE4723" s="64">
        <f>IF($A4723="","",IFERROR(INDEX(계정매핑!$E$5:$E$504,MATCH($F4723&amp;"",계정매핑!$A$5:$A$504,0))&amp;"","공통비"))</f>
        <v/>
      </c>
      <c r="AF4723" s="64">
        <f>IF($A4723="","",IF(AE4723="직접",IFERROR(INDEX(계정매핑!$F$5:$F$504,MATCH($F4723&amp;"",계정매핑!$A$5:$A$504,0))&amp;"","비귀속"),""))</f>
        <v/>
      </c>
      <c r="AG4723" s="96">
        <f>IF($A4723="",0,IF(AND(AE4723&lt;&gt;"직접",IFERROR(INDEX(계정매핑!$G$5:$G$504,MATCH($F4723&amp;"",계정매핑!$A$5:$A$504,0))&amp;"","")="유지비",COUNTIF(계정대체기준!$A$6:$A$15,$N4723)&gt;0),IFERROR(INDEX(계정대체기준!$E$6:$E$15,MATCH(VALUE($A4723&amp;""),계정대체기준!$D$6:$D$15,0)),0),0))</f>
        <v/>
      </c>
      <c r="AH4723" s="64">
        <f>IF($A4723="","",IF(AD4723=0,"",IF(OR(COUNTIF(계정대체기준!$A$77:$A$86,$N4723)&gt;0,ISNUMBER(MATCH($X4723,계정대체기준!$D$77:$D$86,0)),ISNUMBER(MATCH($F4723,계정대체기준!$D$77:$D$86,0))),"Y","N")))</f>
        <v/>
      </c>
    </row>
    <row r="4724">
      <c r="A4724" s="92" t="n">
        <v>2026</v>
      </c>
      <c r="B4724" s="92" t="n">
        <v>9</v>
      </c>
      <c r="C4724" s="92" t="inlineStr">
        <is>
          <t>5100002002</t>
        </is>
      </c>
      <c r="D4724" s="95" t="n">
        <v>46285</v>
      </c>
      <c r="E4724" s="92" t="inlineStr">
        <is>
          <t>KR</t>
        </is>
      </c>
      <c r="F4724" s="92" t="n">
        <v>62101000</v>
      </c>
      <c r="G4724" s="92" t="n">
        <v>1951</v>
      </c>
      <c r="H4724" s="93" t="n">
        <v>334000</v>
      </c>
      <c r="I4724" s="92" t="inlineStr">
        <is>
          <t>9월 국내출장 - L여행사</t>
        </is>
      </c>
      <c r="J4724" s="92" t="inlineStr">
        <is>
          <t>V10018</t>
        </is>
      </c>
      <c r="K4724" s="92" t="inlineStr">
        <is>
          <t>L여행사</t>
        </is>
      </c>
      <c r="M4724" s="9">
        <f>IF($A4724="","",VALUE($A4724&amp;"")*12+VALUE($B4724&amp;""))</f>
        <v/>
      </c>
      <c r="N4724" s="64">
        <f>IF($A4724="","",IFERROR(INDEX(부서매핑!$C$5:$C$504,MATCH($G4724&amp;"",부서매핑!$A$5:$A$504,0)),"미매핑"))</f>
        <v/>
      </c>
      <c r="O4724" s="9">
        <f>IF($A4724="","",N4724&amp;"|"&amp;$F4724)</f>
        <v/>
      </c>
      <c r="P4724" s="94">
        <f>IF($A4724="",0,$H4724*설정!$C$23)</f>
        <v/>
      </c>
      <c r="Q4724" s="64">
        <f>IF($A4724="","",IF(O4724&lt;&gt;원인분석!$C$9,"",IF(AND(M4724&gt;=원인분석!$C$10,M4724&lt;=원인분석!$C$11),"당기",IF(AND(M4724&gt;=원인분석!$C$12,M4724&lt;=원인분석!$C$13),"비교",""))))</f>
        <v/>
      </c>
      <c r="R4724" s="9">
        <f>IF(Q4724="","",$K4724&amp;"")</f>
        <v/>
      </c>
      <c r="S4724" s="9">
        <f>IF(Q4724="","",IF(MATCH(R4724,$R$5:$R$100000,0)=ROW()-4,ROW(),""))</f>
        <v/>
      </c>
      <c r="T4724" s="9">
        <f>IF(Q4724="당기",ABS(P4724)+ROW()/1000000000,"")</f>
        <v/>
      </c>
      <c r="U4724" s="9">
        <f>IF(Q4724="비교",ABS(P4724)+ROW()/1000000000,"")</f>
        <v/>
      </c>
      <c r="V4724" s="64">
        <f>IF($A4724="","",IF(COUNTIF(변동분석!$E$7:$E$506,O4724)&gt;0,"Y","N"))</f>
        <v/>
      </c>
      <c r="W4724" s="64">
        <f>IF($A4724="","",IFERROR(INDEX(계정매핑!$D$5:$D$504,MATCH($F4724&amp;"",계정매핑!$A$5:$A$504,0)),"미매핑"))</f>
        <v/>
      </c>
      <c r="X4724" s="9">
        <f>IF($A4724="","",$F4724&amp;"")</f>
        <v/>
      </c>
      <c r="Y4724" s="94">
        <f>IF($A4724="",0,IF(AE4724="직접",IF(AF4724="비귀속",$P4724,0),$P4724*(1-AG4724)*IFERROR(INDEX(계정대체기준!$F$20:$F$49,MATCH($N4724,계정대체기준!$A$20:$A$49,0)),1)))</f>
        <v/>
      </c>
      <c r="Z4724" s="94">
        <f>IF($A4724="",0,IF(AE4724="직접",IF(AF4724="신계약비",$P4724,0),$P4724*(1-AG4724)*IFERROR(INDEX(계정대체기준!$C$20:$C$49,MATCH($N4724,계정대체기준!$A$20:$A$49,0)),0)))</f>
        <v/>
      </c>
      <c r="AA4724" s="94">
        <f>IF($A4724="",0,IF(AE4724="직접",IF(OR(AF4724="유지비",AF4724="손해조사비"),$P4724,0),$P4724*(1-AG4724)*IFERROR(INDEX(계정대체기준!$D$20:$D$49,MATCH($N4724,계정대체기준!$A$20:$A$49,0)),0)))</f>
        <v/>
      </c>
      <c r="AB4724" s="94">
        <f>IF($A4724="",0,IF(AE4724="직접",IF(AF4724="수금비",$P4724,0),$P4724*(1-AG4724)*IFERROR(INDEX(계정대체기준!$E$20:$E$49,MATCH($N4724,계정대체기준!$A$20:$A$49,0)),0)))</f>
        <v/>
      </c>
      <c r="AC4724" s="9">
        <f>IF(AND($A4724&lt;&gt;"",M4724=설정!$C$20,Z4724&gt;0),Z4724+ROW()/1000000000,"")</f>
        <v/>
      </c>
      <c r="AD4724" s="94">
        <f>IF($A4724="",0,$P4724*AG4724)</f>
        <v/>
      </c>
      <c r="AE4724" s="64">
        <f>IF($A4724="","",IFERROR(INDEX(계정매핑!$E$5:$E$504,MATCH($F4724&amp;"",계정매핑!$A$5:$A$504,0))&amp;"","공통비"))</f>
        <v/>
      </c>
      <c r="AF4724" s="64">
        <f>IF($A4724="","",IF(AE4724="직접",IFERROR(INDEX(계정매핑!$F$5:$F$504,MATCH($F4724&amp;"",계정매핑!$A$5:$A$504,0))&amp;"","비귀속"),""))</f>
        <v/>
      </c>
      <c r="AG4724" s="96">
        <f>IF($A4724="",0,IF(AND(AE4724&lt;&gt;"직접",IFERROR(INDEX(계정매핑!$G$5:$G$504,MATCH($F4724&amp;"",계정매핑!$A$5:$A$504,0))&amp;"","")="유지비",COUNTIF(계정대체기준!$A$6:$A$15,$N4724)&gt;0),IFERROR(INDEX(계정대체기준!$E$6:$E$15,MATCH(VALUE($A4724&amp;""),계정대체기준!$D$6:$D$15,0)),0),0))</f>
        <v/>
      </c>
      <c r="AH4724" s="64">
        <f>IF($A4724="","",IF(AD4724=0,"",IF(OR(COUNTIF(계정대체기준!$A$77:$A$86,$N4724)&gt;0,ISNUMBER(MATCH($X4724,계정대체기준!$D$77:$D$86,0)),ISNUMBER(MATCH($F4724,계정대체기준!$D$77:$D$86,0))),"Y","N")))</f>
        <v/>
      </c>
    </row>
    <row r="4725">
      <c r="A4725" s="92" t="n">
        <v>2026</v>
      </c>
      <c r="B4725" s="92" t="n">
        <v>9</v>
      </c>
      <c r="C4725" s="92" t="inlineStr">
        <is>
          <t>5100002003</t>
        </is>
      </c>
      <c r="D4725" s="95" t="n">
        <v>46285</v>
      </c>
      <c r="E4725" s="92" t="inlineStr">
        <is>
          <t>KR</t>
        </is>
      </c>
      <c r="F4725" s="92" t="n">
        <v>62201000</v>
      </c>
      <c r="G4725" s="92" t="n">
        <v>1501</v>
      </c>
      <c r="H4725" s="93" t="n">
        <v>261000</v>
      </c>
      <c r="I4725" s="92" t="inlineStr">
        <is>
          <t>9월 통신요금 - P통신</t>
        </is>
      </c>
      <c r="J4725" s="92" t="inlineStr">
        <is>
          <t>V10014</t>
        </is>
      </c>
      <c r="K4725" s="92" t="inlineStr">
        <is>
          <t>P통신</t>
        </is>
      </c>
      <c r="M4725" s="9">
        <f>IF($A4725="","",VALUE($A4725&amp;"")*12+VALUE($B4725&amp;""))</f>
        <v/>
      </c>
      <c r="N4725" s="64">
        <f>IF($A4725="","",IFERROR(INDEX(부서매핑!$C$5:$C$504,MATCH($G4725&amp;"",부서매핑!$A$5:$A$504,0)),"미매핑"))</f>
        <v/>
      </c>
      <c r="O4725" s="9">
        <f>IF($A4725="","",N4725&amp;"|"&amp;$F4725)</f>
        <v/>
      </c>
      <c r="P4725" s="94">
        <f>IF($A4725="",0,$H4725*설정!$C$23)</f>
        <v/>
      </c>
      <c r="Q4725" s="64">
        <f>IF($A4725="","",IF(O4725&lt;&gt;원인분석!$C$9,"",IF(AND(M4725&gt;=원인분석!$C$10,M4725&lt;=원인분석!$C$11),"당기",IF(AND(M4725&gt;=원인분석!$C$12,M4725&lt;=원인분석!$C$13),"비교",""))))</f>
        <v/>
      </c>
      <c r="R4725" s="9">
        <f>IF(Q4725="","",$K4725&amp;"")</f>
        <v/>
      </c>
      <c r="S4725" s="9">
        <f>IF(Q4725="","",IF(MATCH(R4725,$R$5:$R$100000,0)=ROW()-4,ROW(),""))</f>
        <v/>
      </c>
      <c r="T4725" s="9">
        <f>IF(Q4725="당기",ABS(P4725)+ROW()/1000000000,"")</f>
        <v/>
      </c>
      <c r="U4725" s="9">
        <f>IF(Q4725="비교",ABS(P4725)+ROW()/1000000000,"")</f>
        <v/>
      </c>
      <c r="V4725" s="64">
        <f>IF($A4725="","",IF(COUNTIF(변동분석!$E$7:$E$506,O4725)&gt;0,"Y","N"))</f>
        <v/>
      </c>
      <c r="W4725" s="64">
        <f>IF($A4725="","",IFERROR(INDEX(계정매핑!$D$5:$D$504,MATCH($F4725&amp;"",계정매핑!$A$5:$A$504,0)),"미매핑"))</f>
        <v/>
      </c>
      <c r="X4725" s="9">
        <f>IF($A4725="","",$F4725&amp;"")</f>
        <v/>
      </c>
      <c r="Y4725" s="94">
        <f>IF($A4725="",0,IF(AE4725="직접",IF(AF4725="비귀속",$P4725,0),$P4725*(1-AG4725)*IFERROR(INDEX(계정대체기준!$F$20:$F$49,MATCH($N4725,계정대체기준!$A$20:$A$49,0)),1)))</f>
        <v/>
      </c>
      <c r="Z4725" s="94">
        <f>IF($A4725="",0,IF(AE4725="직접",IF(AF4725="신계약비",$P4725,0),$P4725*(1-AG4725)*IFERROR(INDEX(계정대체기준!$C$20:$C$49,MATCH($N4725,계정대체기준!$A$20:$A$49,0)),0)))</f>
        <v/>
      </c>
      <c r="AA4725" s="94">
        <f>IF($A4725="",0,IF(AE4725="직접",IF(OR(AF4725="유지비",AF4725="손해조사비"),$P4725,0),$P4725*(1-AG4725)*IFERROR(INDEX(계정대체기준!$D$20:$D$49,MATCH($N4725,계정대체기준!$A$20:$A$49,0)),0)))</f>
        <v/>
      </c>
      <c r="AB4725" s="94">
        <f>IF($A4725="",0,IF(AE4725="직접",IF(AF4725="수금비",$P4725,0),$P4725*(1-AG4725)*IFERROR(INDEX(계정대체기준!$E$20:$E$49,MATCH($N4725,계정대체기준!$A$20:$A$49,0)),0)))</f>
        <v/>
      </c>
      <c r="AC4725" s="9">
        <f>IF(AND($A4725&lt;&gt;"",M4725=설정!$C$20,Z4725&gt;0),Z4725+ROW()/1000000000,"")</f>
        <v/>
      </c>
      <c r="AD4725" s="94">
        <f>IF($A4725="",0,$P4725*AG4725)</f>
        <v/>
      </c>
      <c r="AE4725" s="64">
        <f>IF($A4725="","",IFERROR(INDEX(계정매핑!$E$5:$E$504,MATCH($F4725&amp;"",계정매핑!$A$5:$A$504,0))&amp;"","공통비"))</f>
        <v/>
      </c>
      <c r="AF4725" s="64">
        <f>IF($A4725="","",IF(AE4725="직접",IFERROR(INDEX(계정매핑!$F$5:$F$504,MATCH($F4725&amp;"",계정매핑!$A$5:$A$504,0))&amp;"","비귀속"),""))</f>
        <v/>
      </c>
      <c r="AG4725" s="96">
        <f>IF($A4725="",0,IF(AND(AE4725&lt;&gt;"직접",IFERROR(INDEX(계정매핑!$G$5:$G$504,MATCH($F4725&amp;"",계정매핑!$A$5:$A$504,0))&amp;"","")="유지비",COUNTIF(계정대체기준!$A$6:$A$15,$N4725)&gt;0),IFERROR(INDEX(계정대체기준!$E$6:$E$15,MATCH(VALUE($A4725&amp;""),계정대체기준!$D$6:$D$15,0)),0),0))</f>
        <v/>
      </c>
      <c r="AH4725" s="64">
        <f>IF($A4725="","",IF(AD4725=0,"",IF(OR(COUNTIF(계정대체기준!$A$77:$A$86,$N4725)&gt;0,ISNUMBER(MATCH($X4725,계정대체기준!$D$77:$D$86,0)),ISNUMBER(MATCH($F4725,계정대체기준!$D$77:$D$86,0))),"Y","N")))</f>
        <v/>
      </c>
    </row>
    <row r="4726">
      <c r="A4726" s="92" t="n">
        <v>2026</v>
      </c>
      <c r="B4726" s="92" t="n">
        <v>9</v>
      </c>
      <c r="C4726" s="92" t="inlineStr">
        <is>
          <t>5100002004</t>
        </is>
      </c>
      <c r="D4726" s="95" t="n">
        <v>46285</v>
      </c>
      <c r="E4726" s="92" t="inlineStr">
        <is>
          <t>KR</t>
        </is>
      </c>
      <c r="F4726" s="92" t="n">
        <v>62201000</v>
      </c>
      <c r="G4726" s="92" t="n">
        <v>1801</v>
      </c>
      <c r="H4726" s="93" t="n">
        <v>3786000</v>
      </c>
      <c r="I4726" s="92" t="inlineStr">
        <is>
          <t>9월 통신요금 - P통신</t>
        </is>
      </c>
      <c r="J4726" s="92" t="inlineStr">
        <is>
          <t>V10014</t>
        </is>
      </c>
      <c r="K4726" s="92" t="inlineStr">
        <is>
          <t>P통신</t>
        </is>
      </c>
      <c r="M4726" s="9">
        <f>IF($A4726="","",VALUE($A4726&amp;"")*12+VALUE($B4726&amp;""))</f>
        <v/>
      </c>
      <c r="N4726" s="64">
        <f>IF($A4726="","",IFERROR(INDEX(부서매핑!$C$5:$C$504,MATCH($G4726&amp;"",부서매핑!$A$5:$A$504,0)),"미매핑"))</f>
        <v/>
      </c>
      <c r="O4726" s="9">
        <f>IF($A4726="","",N4726&amp;"|"&amp;$F4726)</f>
        <v/>
      </c>
      <c r="P4726" s="94">
        <f>IF($A4726="",0,$H4726*설정!$C$23)</f>
        <v/>
      </c>
      <c r="Q4726" s="64">
        <f>IF($A4726="","",IF(O4726&lt;&gt;원인분석!$C$9,"",IF(AND(M4726&gt;=원인분석!$C$10,M4726&lt;=원인분석!$C$11),"당기",IF(AND(M4726&gt;=원인분석!$C$12,M4726&lt;=원인분석!$C$13),"비교",""))))</f>
        <v/>
      </c>
      <c r="R4726" s="9">
        <f>IF(Q4726="","",$K4726&amp;"")</f>
        <v/>
      </c>
      <c r="S4726" s="9">
        <f>IF(Q4726="","",IF(MATCH(R4726,$R$5:$R$100000,0)=ROW()-4,ROW(),""))</f>
        <v/>
      </c>
      <c r="T4726" s="9">
        <f>IF(Q4726="당기",ABS(P4726)+ROW()/1000000000,"")</f>
        <v/>
      </c>
      <c r="U4726" s="9">
        <f>IF(Q4726="비교",ABS(P4726)+ROW()/1000000000,"")</f>
        <v/>
      </c>
      <c r="V4726" s="64">
        <f>IF($A4726="","",IF(COUNTIF(변동분석!$E$7:$E$506,O4726)&gt;0,"Y","N"))</f>
        <v/>
      </c>
      <c r="W4726" s="64">
        <f>IF($A4726="","",IFERROR(INDEX(계정매핑!$D$5:$D$504,MATCH($F4726&amp;"",계정매핑!$A$5:$A$504,0)),"미매핑"))</f>
        <v/>
      </c>
      <c r="X4726" s="9">
        <f>IF($A4726="","",$F4726&amp;"")</f>
        <v/>
      </c>
      <c r="Y4726" s="94">
        <f>IF($A4726="",0,IF(AE4726="직접",IF(AF4726="비귀속",$P4726,0),$P4726*(1-AG4726)*IFERROR(INDEX(계정대체기준!$F$20:$F$49,MATCH($N4726,계정대체기준!$A$20:$A$49,0)),1)))</f>
        <v/>
      </c>
      <c r="Z4726" s="94">
        <f>IF($A4726="",0,IF(AE4726="직접",IF(AF4726="신계약비",$P4726,0),$P4726*(1-AG4726)*IFERROR(INDEX(계정대체기준!$C$20:$C$49,MATCH($N4726,계정대체기준!$A$20:$A$49,0)),0)))</f>
        <v/>
      </c>
      <c r="AA4726" s="94">
        <f>IF($A4726="",0,IF(AE4726="직접",IF(OR(AF4726="유지비",AF4726="손해조사비"),$P4726,0),$P4726*(1-AG4726)*IFERROR(INDEX(계정대체기준!$D$20:$D$49,MATCH($N4726,계정대체기준!$A$20:$A$49,0)),0)))</f>
        <v/>
      </c>
      <c r="AB4726" s="94">
        <f>IF($A4726="",0,IF(AE4726="직접",IF(AF4726="수금비",$P4726,0),$P4726*(1-AG4726)*IFERROR(INDEX(계정대체기준!$E$20:$E$49,MATCH($N4726,계정대체기준!$A$20:$A$49,0)),0)))</f>
        <v/>
      </c>
      <c r="AC4726" s="9">
        <f>IF(AND($A4726&lt;&gt;"",M4726=설정!$C$20,Z4726&gt;0),Z4726+ROW()/1000000000,"")</f>
        <v/>
      </c>
      <c r="AD4726" s="94">
        <f>IF($A4726="",0,$P4726*AG4726)</f>
        <v/>
      </c>
      <c r="AE4726" s="64">
        <f>IF($A4726="","",IFERROR(INDEX(계정매핑!$E$5:$E$504,MATCH($F4726&amp;"",계정매핑!$A$5:$A$504,0))&amp;"","공통비"))</f>
        <v/>
      </c>
      <c r="AF4726" s="64">
        <f>IF($A4726="","",IF(AE4726="직접",IFERROR(INDEX(계정매핑!$F$5:$F$504,MATCH($F4726&amp;"",계정매핑!$A$5:$A$504,0))&amp;"","비귀속"),""))</f>
        <v/>
      </c>
      <c r="AG4726" s="96">
        <f>IF($A4726="",0,IF(AND(AE4726&lt;&gt;"직접",IFERROR(INDEX(계정매핑!$G$5:$G$504,MATCH($F4726&amp;"",계정매핑!$A$5:$A$504,0))&amp;"","")="유지비",COUNTIF(계정대체기준!$A$6:$A$15,$N4726)&gt;0),IFERROR(INDEX(계정대체기준!$E$6:$E$15,MATCH(VALUE($A4726&amp;""),계정대체기준!$D$6:$D$15,0)),0),0))</f>
        <v/>
      </c>
      <c r="AH4726" s="64">
        <f>IF($A4726="","",IF(AD4726=0,"",IF(OR(COUNTIF(계정대체기준!$A$77:$A$86,$N4726)&gt;0,ISNUMBER(MATCH($X4726,계정대체기준!$D$77:$D$86,0)),ISNUMBER(MATCH($F4726,계정대체기준!$D$77:$D$86,0))),"Y","N")))</f>
        <v/>
      </c>
    </row>
    <row r="4727">
      <c r="A4727" s="92" t="n">
        <v>2026</v>
      </c>
      <c r="B4727" s="92" t="n">
        <v>9</v>
      </c>
      <c r="C4727" s="92" t="inlineStr">
        <is>
          <t>5100002005</t>
        </is>
      </c>
      <c r="D4727" s="95" t="n">
        <v>46285</v>
      </c>
      <c r="E4727" s="92" t="inlineStr">
        <is>
          <t>KR</t>
        </is>
      </c>
      <c r="F4727" s="92" t="n">
        <v>62301000</v>
      </c>
      <c r="G4727" s="92" t="n">
        <v>1201</v>
      </c>
      <c r="H4727" s="93" t="n">
        <v>289000</v>
      </c>
      <c r="I4727" s="92" t="inlineStr">
        <is>
          <t>9월 소모품 구입 - R문구</t>
        </is>
      </c>
      <c r="J4727" s="92" t="inlineStr">
        <is>
          <t>V10022</t>
        </is>
      </c>
      <c r="K4727" s="92" t="inlineStr">
        <is>
          <t>R문구</t>
        </is>
      </c>
      <c r="M4727" s="9">
        <f>IF($A4727="","",VALUE($A4727&amp;"")*12+VALUE($B4727&amp;""))</f>
        <v/>
      </c>
      <c r="N4727" s="64">
        <f>IF($A4727="","",IFERROR(INDEX(부서매핑!$C$5:$C$504,MATCH($G4727&amp;"",부서매핑!$A$5:$A$504,0)),"미매핑"))</f>
        <v/>
      </c>
      <c r="O4727" s="9">
        <f>IF($A4727="","",N4727&amp;"|"&amp;$F4727)</f>
        <v/>
      </c>
      <c r="P4727" s="94">
        <f>IF($A4727="",0,$H4727*설정!$C$23)</f>
        <v/>
      </c>
      <c r="Q4727" s="64">
        <f>IF($A4727="","",IF(O4727&lt;&gt;원인분석!$C$9,"",IF(AND(M4727&gt;=원인분석!$C$10,M4727&lt;=원인분석!$C$11),"당기",IF(AND(M4727&gt;=원인분석!$C$12,M4727&lt;=원인분석!$C$13),"비교",""))))</f>
        <v/>
      </c>
      <c r="R4727" s="9">
        <f>IF(Q4727="","",$K4727&amp;"")</f>
        <v/>
      </c>
      <c r="S4727" s="9">
        <f>IF(Q4727="","",IF(MATCH(R4727,$R$5:$R$100000,0)=ROW()-4,ROW(),""))</f>
        <v/>
      </c>
      <c r="T4727" s="9">
        <f>IF(Q4727="당기",ABS(P4727)+ROW()/1000000000,"")</f>
        <v/>
      </c>
      <c r="U4727" s="9">
        <f>IF(Q4727="비교",ABS(P4727)+ROW()/1000000000,"")</f>
        <v/>
      </c>
      <c r="V4727" s="64">
        <f>IF($A4727="","",IF(COUNTIF(변동분석!$E$7:$E$506,O4727)&gt;0,"Y","N"))</f>
        <v/>
      </c>
      <c r="W4727" s="64">
        <f>IF($A4727="","",IFERROR(INDEX(계정매핑!$D$5:$D$504,MATCH($F4727&amp;"",계정매핑!$A$5:$A$504,0)),"미매핑"))</f>
        <v/>
      </c>
      <c r="X4727" s="9">
        <f>IF($A4727="","",$F4727&amp;"")</f>
        <v/>
      </c>
      <c r="Y4727" s="94">
        <f>IF($A4727="",0,IF(AE4727="직접",IF(AF4727="비귀속",$P4727,0),$P4727*(1-AG4727)*IFERROR(INDEX(계정대체기준!$F$20:$F$49,MATCH($N4727,계정대체기준!$A$20:$A$49,0)),1)))</f>
        <v/>
      </c>
      <c r="Z4727" s="94">
        <f>IF($A4727="",0,IF(AE4727="직접",IF(AF4727="신계약비",$P4727,0),$P4727*(1-AG4727)*IFERROR(INDEX(계정대체기준!$C$20:$C$49,MATCH($N4727,계정대체기준!$A$20:$A$49,0)),0)))</f>
        <v/>
      </c>
      <c r="AA4727" s="94">
        <f>IF($A4727="",0,IF(AE4727="직접",IF(OR(AF4727="유지비",AF4727="손해조사비"),$P4727,0),$P4727*(1-AG4727)*IFERROR(INDEX(계정대체기준!$D$20:$D$49,MATCH($N4727,계정대체기준!$A$20:$A$49,0)),0)))</f>
        <v/>
      </c>
      <c r="AB4727" s="94">
        <f>IF($A4727="",0,IF(AE4727="직접",IF(AF4727="수금비",$P4727,0),$P4727*(1-AG4727)*IFERROR(INDEX(계정대체기준!$E$20:$E$49,MATCH($N4727,계정대체기준!$A$20:$A$49,0)),0)))</f>
        <v/>
      </c>
      <c r="AC4727" s="9">
        <f>IF(AND($A4727&lt;&gt;"",M4727=설정!$C$20,Z4727&gt;0),Z4727+ROW()/1000000000,"")</f>
        <v/>
      </c>
      <c r="AD4727" s="94">
        <f>IF($A4727="",0,$P4727*AG4727)</f>
        <v/>
      </c>
      <c r="AE4727" s="64">
        <f>IF($A4727="","",IFERROR(INDEX(계정매핑!$E$5:$E$504,MATCH($F4727&amp;"",계정매핑!$A$5:$A$504,0))&amp;"","공통비"))</f>
        <v/>
      </c>
      <c r="AF4727" s="64">
        <f>IF($A4727="","",IF(AE4727="직접",IFERROR(INDEX(계정매핑!$F$5:$F$504,MATCH($F4727&amp;"",계정매핑!$A$5:$A$504,0))&amp;"","비귀속"),""))</f>
        <v/>
      </c>
      <c r="AG4727" s="96">
        <f>IF($A4727="",0,IF(AND(AE4727&lt;&gt;"직접",IFERROR(INDEX(계정매핑!$G$5:$G$504,MATCH($F4727&amp;"",계정매핑!$A$5:$A$504,0))&amp;"","")="유지비",COUNTIF(계정대체기준!$A$6:$A$15,$N4727)&gt;0),IFERROR(INDEX(계정대체기준!$E$6:$E$15,MATCH(VALUE($A4727&amp;""),계정대체기준!$D$6:$D$15,0)),0),0))</f>
        <v/>
      </c>
      <c r="AH4727" s="64">
        <f>IF($A4727="","",IF(AD4727=0,"",IF(OR(COUNTIF(계정대체기준!$A$77:$A$86,$N4727)&gt;0,ISNUMBER(MATCH($X4727,계정대체기준!$D$77:$D$86,0)),ISNUMBER(MATCH($F4727,계정대체기준!$D$77:$D$86,0))),"Y","N")))</f>
        <v/>
      </c>
    </row>
    <row r="4728">
      <c r="A4728" s="92" t="n">
        <v>2026</v>
      </c>
      <c r="B4728" s="92" t="n">
        <v>9</v>
      </c>
      <c r="C4728" s="92" t="inlineStr">
        <is>
          <t>5100002006</t>
        </is>
      </c>
      <c r="D4728" s="95" t="n">
        <v>46285</v>
      </c>
      <c r="E4728" s="92" t="inlineStr">
        <is>
          <t>KR</t>
        </is>
      </c>
      <c r="F4728" s="92" t="n">
        <v>62501000</v>
      </c>
      <c r="G4728" s="92" t="n">
        <v>1401</v>
      </c>
      <c r="H4728" s="93" t="n">
        <v>208000</v>
      </c>
      <c r="I4728" s="92" t="inlineStr">
        <is>
          <t>9월 회의 다과 - (법인카드)</t>
        </is>
      </c>
      <c r="J4728" s="92" t="inlineStr">
        <is>
          <t>V10010</t>
        </is>
      </c>
      <c r="K4728" s="92" t="inlineStr">
        <is>
          <t>(법인카드)</t>
        </is>
      </c>
      <c r="M4728" s="9">
        <f>IF($A4728="","",VALUE($A4728&amp;"")*12+VALUE($B4728&amp;""))</f>
        <v/>
      </c>
      <c r="N4728" s="64">
        <f>IF($A4728="","",IFERROR(INDEX(부서매핑!$C$5:$C$504,MATCH($G4728&amp;"",부서매핑!$A$5:$A$504,0)),"미매핑"))</f>
        <v/>
      </c>
      <c r="O4728" s="9">
        <f>IF($A4728="","",N4728&amp;"|"&amp;$F4728)</f>
        <v/>
      </c>
      <c r="P4728" s="94">
        <f>IF($A4728="",0,$H4728*설정!$C$23)</f>
        <v/>
      </c>
      <c r="Q4728" s="64">
        <f>IF($A4728="","",IF(O4728&lt;&gt;원인분석!$C$9,"",IF(AND(M4728&gt;=원인분석!$C$10,M4728&lt;=원인분석!$C$11),"당기",IF(AND(M4728&gt;=원인분석!$C$12,M4728&lt;=원인분석!$C$13),"비교",""))))</f>
        <v/>
      </c>
      <c r="R4728" s="9">
        <f>IF(Q4728="","",$K4728&amp;"")</f>
        <v/>
      </c>
      <c r="S4728" s="9">
        <f>IF(Q4728="","",IF(MATCH(R4728,$R$5:$R$100000,0)=ROW()-4,ROW(),""))</f>
        <v/>
      </c>
      <c r="T4728" s="9">
        <f>IF(Q4728="당기",ABS(P4728)+ROW()/1000000000,"")</f>
        <v/>
      </c>
      <c r="U4728" s="9">
        <f>IF(Q4728="비교",ABS(P4728)+ROW()/1000000000,"")</f>
        <v/>
      </c>
      <c r="V4728" s="64">
        <f>IF($A4728="","",IF(COUNTIF(변동분석!$E$7:$E$506,O4728)&gt;0,"Y","N"))</f>
        <v/>
      </c>
      <c r="W4728" s="64">
        <f>IF($A4728="","",IFERROR(INDEX(계정매핑!$D$5:$D$504,MATCH($F4728&amp;"",계정매핑!$A$5:$A$504,0)),"미매핑"))</f>
        <v/>
      </c>
      <c r="X4728" s="9">
        <f>IF($A4728="","",$F4728&amp;"")</f>
        <v/>
      </c>
      <c r="Y4728" s="94">
        <f>IF($A4728="",0,IF(AE4728="직접",IF(AF4728="비귀속",$P4728,0),$P4728*(1-AG4728)*IFERROR(INDEX(계정대체기준!$F$20:$F$49,MATCH($N4728,계정대체기준!$A$20:$A$49,0)),1)))</f>
        <v/>
      </c>
      <c r="Z4728" s="94">
        <f>IF($A4728="",0,IF(AE4728="직접",IF(AF4728="신계약비",$P4728,0),$P4728*(1-AG4728)*IFERROR(INDEX(계정대체기준!$C$20:$C$49,MATCH($N4728,계정대체기준!$A$20:$A$49,0)),0)))</f>
        <v/>
      </c>
      <c r="AA4728" s="94">
        <f>IF($A4728="",0,IF(AE4728="직접",IF(OR(AF4728="유지비",AF4728="손해조사비"),$P4728,0),$P4728*(1-AG4728)*IFERROR(INDEX(계정대체기준!$D$20:$D$49,MATCH($N4728,계정대체기준!$A$20:$A$49,0)),0)))</f>
        <v/>
      </c>
      <c r="AB4728" s="94">
        <f>IF($A4728="",0,IF(AE4728="직접",IF(AF4728="수금비",$P4728,0),$P4728*(1-AG4728)*IFERROR(INDEX(계정대체기준!$E$20:$E$49,MATCH($N4728,계정대체기준!$A$20:$A$49,0)),0)))</f>
        <v/>
      </c>
      <c r="AC4728" s="9">
        <f>IF(AND($A4728&lt;&gt;"",M4728=설정!$C$20,Z4728&gt;0),Z4728+ROW()/1000000000,"")</f>
        <v/>
      </c>
      <c r="AD4728" s="94">
        <f>IF($A4728="",0,$P4728*AG4728)</f>
        <v/>
      </c>
      <c r="AE4728" s="64">
        <f>IF($A4728="","",IFERROR(INDEX(계정매핑!$E$5:$E$504,MATCH($F4728&amp;"",계정매핑!$A$5:$A$504,0))&amp;"","공통비"))</f>
        <v/>
      </c>
      <c r="AF4728" s="64">
        <f>IF($A4728="","",IF(AE4728="직접",IFERROR(INDEX(계정매핑!$F$5:$F$504,MATCH($F4728&amp;"",계정매핑!$A$5:$A$504,0))&amp;"","비귀속"),""))</f>
        <v/>
      </c>
      <c r="AG4728" s="96">
        <f>IF($A4728="",0,IF(AND(AE4728&lt;&gt;"직접",IFERROR(INDEX(계정매핑!$G$5:$G$504,MATCH($F4728&amp;"",계정매핑!$A$5:$A$504,0))&amp;"","")="유지비",COUNTIF(계정대체기준!$A$6:$A$15,$N4728)&gt;0),IFERROR(INDEX(계정대체기준!$E$6:$E$15,MATCH(VALUE($A4728&amp;""),계정대체기준!$D$6:$D$15,0)),0),0))</f>
        <v/>
      </c>
      <c r="AH4728" s="64">
        <f>IF($A4728="","",IF(AD4728=0,"",IF(OR(COUNTIF(계정대체기준!$A$77:$A$86,$N4728)&gt;0,ISNUMBER(MATCH($X4728,계정대체기준!$D$77:$D$86,0)),ISNUMBER(MATCH($F4728,계정대체기준!$D$77:$D$86,0))),"Y","N")))</f>
        <v/>
      </c>
    </row>
    <row r="4729">
      <c r="A4729" s="92" t="n">
        <v>2026</v>
      </c>
      <c r="B4729" s="92" t="n">
        <v>9</v>
      </c>
      <c r="C4729" s="92" t="inlineStr">
        <is>
          <t>5100002007</t>
        </is>
      </c>
      <c r="D4729" s="95" t="n">
        <v>46285</v>
      </c>
      <c r="E4729" s="92" t="inlineStr">
        <is>
          <t>KR</t>
        </is>
      </c>
      <c r="F4729" s="92" t="n">
        <v>62901000</v>
      </c>
      <c r="G4729" s="92" t="n">
        <v>1101</v>
      </c>
      <c r="H4729" s="93" t="n">
        <v>4348000</v>
      </c>
      <c r="I4729" s="92" t="inlineStr">
        <is>
          <t>9월 자문 수수료 - W컨설팅</t>
        </is>
      </c>
      <c r="J4729" s="92" t="inlineStr">
        <is>
          <t>V10006</t>
        </is>
      </c>
      <c r="K4729" s="92" t="inlineStr">
        <is>
          <t>W컨설팅</t>
        </is>
      </c>
      <c r="M4729" s="9">
        <f>IF($A4729="","",VALUE($A4729&amp;"")*12+VALUE($B4729&amp;""))</f>
        <v/>
      </c>
      <c r="N4729" s="64">
        <f>IF($A4729="","",IFERROR(INDEX(부서매핑!$C$5:$C$504,MATCH($G4729&amp;"",부서매핑!$A$5:$A$504,0)),"미매핑"))</f>
        <v/>
      </c>
      <c r="O4729" s="9">
        <f>IF($A4729="","",N4729&amp;"|"&amp;$F4729)</f>
        <v/>
      </c>
      <c r="P4729" s="94">
        <f>IF($A4729="",0,$H4729*설정!$C$23)</f>
        <v/>
      </c>
      <c r="Q4729" s="64">
        <f>IF($A4729="","",IF(O4729&lt;&gt;원인분석!$C$9,"",IF(AND(M4729&gt;=원인분석!$C$10,M4729&lt;=원인분석!$C$11),"당기",IF(AND(M4729&gt;=원인분석!$C$12,M4729&lt;=원인분석!$C$13),"비교",""))))</f>
        <v/>
      </c>
      <c r="R4729" s="9">
        <f>IF(Q4729="","",$K4729&amp;"")</f>
        <v/>
      </c>
      <c r="S4729" s="9">
        <f>IF(Q4729="","",IF(MATCH(R4729,$R$5:$R$100000,0)=ROW()-4,ROW(),""))</f>
        <v/>
      </c>
      <c r="T4729" s="9">
        <f>IF(Q4729="당기",ABS(P4729)+ROW()/1000000000,"")</f>
        <v/>
      </c>
      <c r="U4729" s="9">
        <f>IF(Q4729="비교",ABS(P4729)+ROW()/1000000000,"")</f>
        <v/>
      </c>
      <c r="V4729" s="64">
        <f>IF($A4729="","",IF(COUNTIF(변동분석!$E$7:$E$506,O4729)&gt;0,"Y","N"))</f>
        <v/>
      </c>
      <c r="W4729" s="64">
        <f>IF($A4729="","",IFERROR(INDEX(계정매핑!$D$5:$D$504,MATCH($F4729&amp;"",계정매핑!$A$5:$A$504,0)),"미매핑"))</f>
        <v/>
      </c>
      <c r="X4729" s="9">
        <f>IF($A4729="","",$F4729&amp;"")</f>
        <v/>
      </c>
      <c r="Y4729" s="94">
        <f>IF($A4729="",0,IF(AE4729="직접",IF(AF4729="비귀속",$P4729,0),$P4729*(1-AG4729)*IFERROR(INDEX(계정대체기준!$F$20:$F$49,MATCH($N4729,계정대체기준!$A$20:$A$49,0)),1)))</f>
        <v/>
      </c>
      <c r="Z4729" s="94">
        <f>IF($A4729="",0,IF(AE4729="직접",IF(AF4729="신계약비",$P4729,0),$P4729*(1-AG4729)*IFERROR(INDEX(계정대체기준!$C$20:$C$49,MATCH($N4729,계정대체기준!$A$20:$A$49,0)),0)))</f>
        <v/>
      </c>
      <c r="AA4729" s="94">
        <f>IF($A4729="",0,IF(AE4729="직접",IF(OR(AF4729="유지비",AF4729="손해조사비"),$P4729,0),$P4729*(1-AG4729)*IFERROR(INDEX(계정대체기준!$D$20:$D$49,MATCH($N4729,계정대체기준!$A$20:$A$49,0)),0)))</f>
        <v/>
      </c>
      <c r="AB4729" s="94">
        <f>IF($A4729="",0,IF(AE4729="직접",IF(AF4729="수금비",$P4729,0),$P4729*(1-AG4729)*IFERROR(INDEX(계정대체기준!$E$20:$E$49,MATCH($N4729,계정대체기준!$A$20:$A$49,0)),0)))</f>
        <v/>
      </c>
      <c r="AC4729" s="9">
        <f>IF(AND($A4729&lt;&gt;"",M4729=설정!$C$20,Z4729&gt;0),Z4729+ROW()/1000000000,"")</f>
        <v/>
      </c>
      <c r="AD4729" s="94">
        <f>IF($A4729="",0,$P4729*AG4729)</f>
        <v/>
      </c>
      <c r="AE4729" s="64">
        <f>IF($A4729="","",IFERROR(INDEX(계정매핑!$E$5:$E$504,MATCH($F4729&amp;"",계정매핑!$A$5:$A$504,0))&amp;"","공통비"))</f>
        <v/>
      </c>
      <c r="AF4729" s="64">
        <f>IF($A4729="","",IF(AE4729="직접",IFERROR(INDEX(계정매핑!$F$5:$F$504,MATCH($F4729&amp;"",계정매핑!$A$5:$A$504,0))&amp;"","비귀속"),""))</f>
        <v/>
      </c>
      <c r="AG4729" s="96">
        <f>IF($A4729="",0,IF(AND(AE4729&lt;&gt;"직접",IFERROR(INDEX(계정매핑!$G$5:$G$504,MATCH($F4729&amp;"",계정매핑!$A$5:$A$504,0))&amp;"","")="유지비",COUNTIF(계정대체기준!$A$6:$A$15,$N4729)&gt;0),IFERROR(INDEX(계정대체기준!$E$6:$E$15,MATCH(VALUE($A4729&amp;""),계정대체기준!$D$6:$D$15,0)),0),0))</f>
        <v/>
      </c>
      <c r="AH4729" s="64">
        <f>IF($A4729="","",IF(AD4729=0,"",IF(OR(COUNTIF(계정대체기준!$A$77:$A$86,$N4729)&gt;0,ISNUMBER(MATCH($X4729,계정대체기준!$D$77:$D$86,0)),ISNUMBER(MATCH($F4729,계정대체기준!$D$77:$D$86,0))),"Y","N")))</f>
        <v/>
      </c>
    </row>
    <row r="4730">
      <c r="A4730" s="92" t="n">
        <v>2026</v>
      </c>
      <c r="B4730" s="92" t="n">
        <v>9</v>
      </c>
      <c r="C4730" s="92" t="inlineStr">
        <is>
          <t>5100002008</t>
        </is>
      </c>
      <c r="D4730" s="95" t="n">
        <v>46285</v>
      </c>
      <c r="E4730" s="92" t="inlineStr">
        <is>
          <t>KR</t>
        </is>
      </c>
      <c r="F4730" s="92" t="n">
        <v>62902000</v>
      </c>
      <c r="G4730" s="92" t="n">
        <v>1801</v>
      </c>
      <c r="H4730" s="93" t="n">
        <v>1778000</v>
      </c>
      <c r="I4730" s="92" t="inlineStr">
        <is>
          <t>9월 콜 위탁 수수료(건별)</t>
        </is>
      </c>
      <c r="J4730" s="92" t="inlineStr">
        <is>
          <t>V10016</t>
        </is>
      </c>
      <c r="K4730" s="92" t="inlineStr">
        <is>
          <t>J콜센터</t>
        </is>
      </c>
      <c r="M4730" s="9">
        <f>IF($A4730="","",VALUE($A4730&amp;"")*12+VALUE($B4730&amp;""))</f>
        <v/>
      </c>
      <c r="N4730" s="64">
        <f>IF($A4730="","",IFERROR(INDEX(부서매핑!$C$5:$C$504,MATCH($G4730&amp;"",부서매핑!$A$5:$A$504,0)),"미매핑"))</f>
        <v/>
      </c>
      <c r="O4730" s="9">
        <f>IF($A4730="","",N4730&amp;"|"&amp;$F4730)</f>
        <v/>
      </c>
      <c r="P4730" s="94">
        <f>IF($A4730="",0,$H4730*설정!$C$23)</f>
        <v/>
      </c>
      <c r="Q4730" s="64">
        <f>IF($A4730="","",IF(O4730&lt;&gt;원인분석!$C$9,"",IF(AND(M4730&gt;=원인분석!$C$10,M4730&lt;=원인분석!$C$11),"당기",IF(AND(M4730&gt;=원인분석!$C$12,M4730&lt;=원인분석!$C$13),"비교",""))))</f>
        <v/>
      </c>
      <c r="R4730" s="9">
        <f>IF(Q4730="","",$K4730&amp;"")</f>
        <v/>
      </c>
      <c r="S4730" s="9">
        <f>IF(Q4730="","",IF(MATCH(R4730,$R$5:$R$100000,0)=ROW()-4,ROW(),""))</f>
        <v/>
      </c>
      <c r="T4730" s="9">
        <f>IF(Q4730="당기",ABS(P4730)+ROW()/1000000000,"")</f>
        <v/>
      </c>
      <c r="U4730" s="9">
        <f>IF(Q4730="비교",ABS(P4730)+ROW()/1000000000,"")</f>
        <v/>
      </c>
      <c r="V4730" s="64">
        <f>IF($A4730="","",IF(COUNTIF(변동분석!$E$7:$E$506,O4730)&gt;0,"Y","N"))</f>
        <v/>
      </c>
      <c r="W4730" s="64">
        <f>IF($A4730="","",IFERROR(INDEX(계정매핑!$D$5:$D$504,MATCH($F4730&amp;"",계정매핑!$A$5:$A$504,0)),"미매핑"))</f>
        <v/>
      </c>
      <c r="X4730" s="9">
        <f>IF($A4730="","",$F4730&amp;"")</f>
        <v/>
      </c>
      <c r="Y4730" s="94">
        <f>IF($A4730="",0,IF(AE4730="직접",IF(AF4730="비귀속",$P4730,0),$P4730*(1-AG4730)*IFERROR(INDEX(계정대체기준!$F$20:$F$49,MATCH($N4730,계정대체기준!$A$20:$A$49,0)),1)))</f>
        <v/>
      </c>
      <c r="Z4730" s="94">
        <f>IF($A4730="",0,IF(AE4730="직접",IF(AF4730="신계약비",$P4730,0),$P4730*(1-AG4730)*IFERROR(INDEX(계정대체기준!$C$20:$C$49,MATCH($N4730,계정대체기준!$A$20:$A$49,0)),0)))</f>
        <v/>
      </c>
      <c r="AA4730" s="94">
        <f>IF($A4730="",0,IF(AE4730="직접",IF(OR(AF4730="유지비",AF4730="손해조사비"),$P4730,0),$P4730*(1-AG4730)*IFERROR(INDEX(계정대체기준!$D$20:$D$49,MATCH($N4730,계정대체기준!$A$20:$A$49,0)),0)))</f>
        <v/>
      </c>
      <c r="AB4730" s="94">
        <f>IF($A4730="",0,IF(AE4730="직접",IF(AF4730="수금비",$P4730,0),$P4730*(1-AG4730)*IFERROR(INDEX(계정대체기준!$E$20:$E$49,MATCH($N4730,계정대체기준!$A$20:$A$49,0)),0)))</f>
        <v/>
      </c>
      <c r="AC4730" s="9">
        <f>IF(AND($A4730&lt;&gt;"",M4730=설정!$C$20,Z4730&gt;0),Z4730+ROW()/1000000000,"")</f>
        <v/>
      </c>
      <c r="AD4730" s="94">
        <f>IF($A4730="",0,$P4730*AG4730)</f>
        <v/>
      </c>
      <c r="AE4730" s="64">
        <f>IF($A4730="","",IFERROR(INDEX(계정매핑!$E$5:$E$504,MATCH($F4730&amp;"",계정매핑!$A$5:$A$504,0))&amp;"","공통비"))</f>
        <v/>
      </c>
      <c r="AF4730" s="64">
        <f>IF($A4730="","",IF(AE4730="직접",IFERROR(INDEX(계정매핑!$F$5:$F$504,MATCH($F4730&amp;"",계정매핑!$A$5:$A$504,0))&amp;"","비귀속"),""))</f>
        <v/>
      </c>
      <c r="AG4730" s="96">
        <f>IF($A4730="",0,IF(AND(AE4730&lt;&gt;"직접",IFERROR(INDEX(계정매핑!$G$5:$G$504,MATCH($F4730&amp;"",계정매핑!$A$5:$A$504,0))&amp;"","")="유지비",COUNTIF(계정대체기준!$A$6:$A$15,$N4730)&gt;0),IFERROR(INDEX(계정대체기준!$E$6:$E$15,MATCH(VALUE($A4730&amp;""),계정대체기준!$D$6:$D$15,0)),0),0))</f>
        <v/>
      </c>
      <c r="AH4730" s="64">
        <f>IF($A4730="","",IF(AD4730=0,"",IF(OR(COUNTIF(계정대체기준!$A$77:$A$86,$N4730)&gt;0,ISNUMBER(MATCH($X4730,계정대체기준!$D$77:$D$86,0)),ISNUMBER(MATCH($F4730,계정대체기준!$D$77:$D$86,0))),"Y","N")))</f>
        <v/>
      </c>
    </row>
    <row r="4731">
      <c r="A4731" s="92" t="n">
        <v>2026</v>
      </c>
      <c r="B4731" s="92" t="n">
        <v>9</v>
      </c>
      <c r="C4731" s="92" t="inlineStr">
        <is>
          <t>5100002009</t>
        </is>
      </c>
      <c r="D4731" s="95" t="n">
        <v>46285</v>
      </c>
      <c r="E4731" s="92" t="inlineStr">
        <is>
          <t>KR</t>
        </is>
      </c>
      <c r="F4731" s="92" t="n">
        <v>63201000</v>
      </c>
      <c r="G4731" s="92" t="n">
        <v>1602</v>
      </c>
      <c r="H4731" s="93" t="n">
        <v>12400000</v>
      </c>
      <c r="I4731" s="92" t="inlineStr">
        <is>
          <t>8~9월분 업무차량 정비비</t>
        </is>
      </c>
      <c r="J4731" s="92" t="inlineStr">
        <is>
          <t>V10025</t>
        </is>
      </c>
      <c r="K4731" s="92" t="inlineStr">
        <is>
          <t>D정비</t>
        </is>
      </c>
      <c r="M4731" s="9">
        <f>IF($A4731="","",VALUE($A4731&amp;"")*12+VALUE($B4731&amp;""))</f>
        <v/>
      </c>
      <c r="N4731" s="64">
        <f>IF($A4731="","",IFERROR(INDEX(부서매핑!$C$5:$C$504,MATCH($G4731&amp;"",부서매핑!$A$5:$A$504,0)),"미매핑"))</f>
        <v/>
      </c>
      <c r="O4731" s="9">
        <f>IF($A4731="","",N4731&amp;"|"&amp;$F4731)</f>
        <v/>
      </c>
      <c r="P4731" s="94">
        <f>IF($A4731="",0,$H4731*설정!$C$23)</f>
        <v/>
      </c>
      <c r="Q4731" s="64">
        <f>IF($A4731="","",IF(O4731&lt;&gt;원인분석!$C$9,"",IF(AND(M4731&gt;=원인분석!$C$10,M4731&lt;=원인분석!$C$11),"당기",IF(AND(M4731&gt;=원인분석!$C$12,M4731&lt;=원인분석!$C$13),"비교",""))))</f>
        <v/>
      </c>
      <c r="R4731" s="9">
        <f>IF(Q4731="","",$K4731&amp;"")</f>
        <v/>
      </c>
      <c r="S4731" s="9">
        <f>IF(Q4731="","",IF(MATCH(R4731,$R$5:$R$100000,0)=ROW()-4,ROW(),""))</f>
        <v/>
      </c>
      <c r="T4731" s="9">
        <f>IF(Q4731="당기",ABS(P4731)+ROW()/1000000000,"")</f>
        <v/>
      </c>
      <c r="U4731" s="9">
        <f>IF(Q4731="비교",ABS(P4731)+ROW()/1000000000,"")</f>
        <v/>
      </c>
      <c r="V4731" s="64">
        <f>IF($A4731="","",IF(COUNTIF(변동분석!$E$7:$E$506,O4731)&gt;0,"Y","N"))</f>
        <v/>
      </c>
      <c r="W4731" s="64">
        <f>IF($A4731="","",IFERROR(INDEX(계정매핑!$D$5:$D$504,MATCH($F4731&amp;"",계정매핑!$A$5:$A$504,0)),"미매핑"))</f>
        <v/>
      </c>
      <c r="X4731" s="9">
        <f>IF($A4731="","",$F4731&amp;"")</f>
        <v/>
      </c>
      <c r="Y4731" s="94">
        <f>IF($A4731="",0,IF(AE4731="직접",IF(AF4731="비귀속",$P4731,0),$P4731*(1-AG4731)*IFERROR(INDEX(계정대체기준!$F$20:$F$49,MATCH($N4731,계정대체기준!$A$20:$A$49,0)),1)))</f>
        <v/>
      </c>
      <c r="Z4731" s="94">
        <f>IF($A4731="",0,IF(AE4731="직접",IF(AF4731="신계약비",$P4731,0),$P4731*(1-AG4731)*IFERROR(INDEX(계정대체기준!$C$20:$C$49,MATCH($N4731,계정대체기준!$A$20:$A$49,0)),0)))</f>
        <v/>
      </c>
      <c r="AA4731" s="94">
        <f>IF($A4731="",0,IF(AE4731="직접",IF(OR(AF4731="유지비",AF4731="손해조사비"),$P4731,0),$P4731*(1-AG4731)*IFERROR(INDEX(계정대체기준!$D$20:$D$49,MATCH($N4731,계정대체기준!$A$20:$A$49,0)),0)))</f>
        <v/>
      </c>
      <c r="AB4731" s="94">
        <f>IF($A4731="",0,IF(AE4731="직접",IF(AF4731="수금비",$P4731,0),$P4731*(1-AG4731)*IFERROR(INDEX(계정대체기준!$E$20:$E$49,MATCH($N4731,계정대체기준!$A$20:$A$49,0)),0)))</f>
        <v/>
      </c>
      <c r="AC4731" s="9">
        <f>IF(AND($A4731&lt;&gt;"",M4731=설정!$C$20,Z4731&gt;0),Z4731+ROW()/1000000000,"")</f>
        <v/>
      </c>
      <c r="AD4731" s="94">
        <f>IF($A4731="",0,$P4731*AG4731)</f>
        <v/>
      </c>
      <c r="AE4731" s="64">
        <f>IF($A4731="","",IFERROR(INDEX(계정매핑!$E$5:$E$504,MATCH($F4731&amp;"",계정매핑!$A$5:$A$504,0))&amp;"","공통비"))</f>
        <v/>
      </c>
      <c r="AF4731" s="64">
        <f>IF($A4731="","",IF(AE4731="직접",IFERROR(INDEX(계정매핑!$F$5:$F$504,MATCH($F4731&amp;"",계정매핑!$A$5:$A$504,0))&amp;"","비귀속"),""))</f>
        <v/>
      </c>
      <c r="AG4731" s="96">
        <f>IF($A4731="",0,IF(AND(AE4731&lt;&gt;"직접",IFERROR(INDEX(계정매핑!$G$5:$G$504,MATCH($F4731&amp;"",계정매핑!$A$5:$A$504,0))&amp;"","")="유지비",COUNTIF(계정대체기준!$A$6:$A$15,$N4731)&gt;0),IFERROR(INDEX(계정대체기준!$E$6:$E$15,MATCH(VALUE($A4731&amp;""),계정대체기준!$D$6:$D$15,0)),0),0))</f>
        <v/>
      </c>
      <c r="AH4731" s="64">
        <f>IF($A4731="","",IF(AD4731=0,"",IF(OR(COUNTIF(계정대체기준!$A$77:$A$86,$N4731)&gt;0,ISNUMBER(MATCH($X4731,계정대체기준!$D$77:$D$86,0)),ISNUMBER(MATCH($F4731,계정대체기준!$D$77:$D$86,0))),"Y","N")))</f>
        <v/>
      </c>
    </row>
    <row r="4732">
      <c r="A4732" s="92" t="n">
        <v>2026</v>
      </c>
      <c r="B4732" s="92" t="n">
        <v>9</v>
      </c>
      <c r="C4732" s="92" t="inlineStr">
        <is>
          <t>5100002010</t>
        </is>
      </c>
      <c r="D4732" s="95" t="n">
        <v>46286</v>
      </c>
      <c r="E4732" s="92" t="inlineStr">
        <is>
          <t>KR</t>
        </is>
      </c>
      <c r="F4732" s="92" t="n">
        <v>62102000</v>
      </c>
      <c r="G4732" s="92" t="n">
        <v>1501</v>
      </c>
      <c r="H4732" s="93" t="n">
        <v>96000</v>
      </c>
      <c r="I4732" s="92" t="inlineStr">
        <is>
          <t>9월 해외출장 - M항공</t>
        </is>
      </c>
      <c r="J4732" s="92" t="inlineStr">
        <is>
          <t>V10001</t>
        </is>
      </c>
      <c r="K4732" s="92" t="inlineStr">
        <is>
          <t>M항공</t>
        </is>
      </c>
      <c r="M4732" s="9">
        <f>IF($A4732="","",VALUE($A4732&amp;"")*12+VALUE($B4732&amp;""))</f>
        <v/>
      </c>
      <c r="N4732" s="64">
        <f>IF($A4732="","",IFERROR(INDEX(부서매핑!$C$5:$C$504,MATCH($G4732&amp;"",부서매핑!$A$5:$A$504,0)),"미매핑"))</f>
        <v/>
      </c>
      <c r="O4732" s="9">
        <f>IF($A4732="","",N4732&amp;"|"&amp;$F4732)</f>
        <v/>
      </c>
      <c r="P4732" s="94">
        <f>IF($A4732="",0,$H4732*설정!$C$23)</f>
        <v/>
      </c>
      <c r="Q4732" s="64">
        <f>IF($A4732="","",IF(O4732&lt;&gt;원인분석!$C$9,"",IF(AND(M4732&gt;=원인분석!$C$10,M4732&lt;=원인분석!$C$11),"당기",IF(AND(M4732&gt;=원인분석!$C$12,M4732&lt;=원인분석!$C$13),"비교",""))))</f>
        <v/>
      </c>
      <c r="R4732" s="9">
        <f>IF(Q4732="","",$K4732&amp;"")</f>
        <v/>
      </c>
      <c r="S4732" s="9">
        <f>IF(Q4732="","",IF(MATCH(R4732,$R$5:$R$100000,0)=ROW()-4,ROW(),""))</f>
        <v/>
      </c>
      <c r="T4732" s="9">
        <f>IF(Q4732="당기",ABS(P4732)+ROW()/1000000000,"")</f>
        <v/>
      </c>
      <c r="U4732" s="9">
        <f>IF(Q4732="비교",ABS(P4732)+ROW()/1000000000,"")</f>
        <v/>
      </c>
      <c r="V4732" s="64">
        <f>IF($A4732="","",IF(COUNTIF(변동분석!$E$7:$E$506,O4732)&gt;0,"Y","N"))</f>
        <v/>
      </c>
      <c r="W4732" s="64">
        <f>IF($A4732="","",IFERROR(INDEX(계정매핑!$D$5:$D$504,MATCH($F4732&amp;"",계정매핑!$A$5:$A$504,0)),"미매핑"))</f>
        <v/>
      </c>
      <c r="X4732" s="9">
        <f>IF($A4732="","",$F4732&amp;"")</f>
        <v/>
      </c>
      <c r="Y4732" s="94">
        <f>IF($A4732="",0,IF(AE4732="직접",IF(AF4732="비귀속",$P4732,0),$P4732*(1-AG4732)*IFERROR(INDEX(계정대체기준!$F$20:$F$49,MATCH($N4732,계정대체기준!$A$20:$A$49,0)),1)))</f>
        <v/>
      </c>
      <c r="Z4732" s="94">
        <f>IF($A4732="",0,IF(AE4732="직접",IF(AF4732="신계약비",$P4732,0),$P4732*(1-AG4732)*IFERROR(INDEX(계정대체기준!$C$20:$C$49,MATCH($N4732,계정대체기준!$A$20:$A$49,0)),0)))</f>
        <v/>
      </c>
      <c r="AA4732" s="94">
        <f>IF($A4732="",0,IF(AE4732="직접",IF(OR(AF4732="유지비",AF4732="손해조사비"),$P4732,0),$P4732*(1-AG4732)*IFERROR(INDEX(계정대체기준!$D$20:$D$49,MATCH($N4732,계정대체기준!$A$20:$A$49,0)),0)))</f>
        <v/>
      </c>
      <c r="AB4732" s="94">
        <f>IF($A4732="",0,IF(AE4732="직접",IF(AF4732="수금비",$P4732,0),$P4732*(1-AG4732)*IFERROR(INDEX(계정대체기준!$E$20:$E$49,MATCH($N4732,계정대체기준!$A$20:$A$49,0)),0)))</f>
        <v/>
      </c>
      <c r="AC4732" s="9">
        <f>IF(AND($A4732&lt;&gt;"",M4732=설정!$C$20,Z4732&gt;0),Z4732+ROW()/1000000000,"")</f>
        <v/>
      </c>
      <c r="AD4732" s="94">
        <f>IF($A4732="",0,$P4732*AG4732)</f>
        <v/>
      </c>
      <c r="AE4732" s="64">
        <f>IF($A4732="","",IFERROR(INDEX(계정매핑!$E$5:$E$504,MATCH($F4732&amp;"",계정매핑!$A$5:$A$504,0))&amp;"","공통비"))</f>
        <v/>
      </c>
      <c r="AF4732" s="64">
        <f>IF($A4732="","",IF(AE4732="직접",IFERROR(INDEX(계정매핑!$F$5:$F$504,MATCH($F4732&amp;"",계정매핑!$A$5:$A$504,0))&amp;"","비귀속"),""))</f>
        <v/>
      </c>
      <c r="AG4732" s="96">
        <f>IF($A4732="",0,IF(AND(AE4732&lt;&gt;"직접",IFERROR(INDEX(계정매핑!$G$5:$G$504,MATCH($F4732&amp;"",계정매핑!$A$5:$A$504,0))&amp;"","")="유지비",COUNTIF(계정대체기준!$A$6:$A$15,$N4732)&gt;0),IFERROR(INDEX(계정대체기준!$E$6:$E$15,MATCH(VALUE($A4732&amp;""),계정대체기준!$D$6:$D$15,0)),0),0))</f>
        <v/>
      </c>
      <c r="AH4732" s="64">
        <f>IF($A4732="","",IF(AD4732=0,"",IF(OR(COUNTIF(계정대체기준!$A$77:$A$86,$N4732)&gt;0,ISNUMBER(MATCH($X4732,계정대체기준!$D$77:$D$86,0)),ISNUMBER(MATCH($F4732,계정대체기준!$D$77:$D$86,0))),"Y","N")))</f>
        <v/>
      </c>
    </row>
    <row r="4733">
      <c r="A4733" s="92" t="n">
        <v>2026</v>
      </c>
      <c r="B4733" s="92" t="n">
        <v>9</v>
      </c>
      <c r="C4733" s="92" t="inlineStr">
        <is>
          <t>5100002011</t>
        </is>
      </c>
      <c r="D4733" s="95" t="n">
        <v>46286</v>
      </c>
      <c r="E4733" s="92" t="inlineStr">
        <is>
          <t>KR</t>
        </is>
      </c>
      <c r="F4733" s="92" t="n">
        <v>62102000</v>
      </c>
      <c r="G4733" s="92" t="n">
        <v>1601</v>
      </c>
      <c r="H4733" s="93" t="n">
        <v>272000</v>
      </c>
      <c r="I4733" s="92" t="inlineStr">
        <is>
          <t>9월 해외출장 - N호텔</t>
        </is>
      </c>
      <c r="J4733" s="92" t="inlineStr">
        <is>
          <t>V10009</t>
        </is>
      </c>
      <c r="K4733" s="92" t="inlineStr">
        <is>
          <t>N호텔</t>
        </is>
      </c>
      <c r="M4733" s="9">
        <f>IF($A4733="","",VALUE($A4733&amp;"")*12+VALUE($B4733&amp;""))</f>
        <v/>
      </c>
      <c r="N4733" s="64">
        <f>IF($A4733="","",IFERROR(INDEX(부서매핑!$C$5:$C$504,MATCH($G4733&amp;"",부서매핑!$A$5:$A$504,0)),"미매핑"))</f>
        <v/>
      </c>
      <c r="O4733" s="9">
        <f>IF($A4733="","",N4733&amp;"|"&amp;$F4733)</f>
        <v/>
      </c>
      <c r="P4733" s="94">
        <f>IF($A4733="",0,$H4733*설정!$C$23)</f>
        <v/>
      </c>
      <c r="Q4733" s="64">
        <f>IF($A4733="","",IF(O4733&lt;&gt;원인분석!$C$9,"",IF(AND(M4733&gt;=원인분석!$C$10,M4733&lt;=원인분석!$C$11),"당기",IF(AND(M4733&gt;=원인분석!$C$12,M4733&lt;=원인분석!$C$13),"비교",""))))</f>
        <v/>
      </c>
      <c r="R4733" s="9">
        <f>IF(Q4733="","",$K4733&amp;"")</f>
        <v/>
      </c>
      <c r="S4733" s="9">
        <f>IF(Q4733="","",IF(MATCH(R4733,$R$5:$R$100000,0)=ROW()-4,ROW(),""))</f>
        <v/>
      </c>
      <c r="T4733" s="9">
        <f>IF(Q4733="당기",ABS(P4733)+ROW()/1000000000,"")</f>
        <v/>
      </c>
      <c r="U4733" s="9">
        <f>IF(Q4733="비교",ABS(P4733)+ROW()/1000000000,"")</f>
        <v/>
      </c>
      <c r="V4733" s="64">
        <f>IF($A4733="","",IF(COUNTIF(변동분석!$E$7:$E$506,O4733)&gt;0,"Y","N"))</f>
        <v/>
      </c>
      <c r="W4733" s="64">
        <f>IF($A4733="","",IFERROR(INDEX(계정매핑!$D$5:$D$504,MATCH($F4733&amp;"",계정매핑!$A$5:$A$504,0)),"미매핑"))</f>
        <v/>
      </c>
      <c r="X4733" s="9">
        <f>IF($A4733="","",$F4733&amp;"")</f>
        <v/>
      </c>
      <c r="Y4733" s="94">
        <f>IF($A4733="",0,IF(AE4733="직접",IF(AF4733="비귀속",$P4733,0),$P4733*(1-AG4733)*IFERROR(INDEX(계정대체기준!$F$20:$F$49,MATCH($N4733,계정대체기준!$A$20:$A$49,0)),1)))</f>
        <v/>
      </c>
      <c r="Z4733" s="94">
        <f>IF($A4733="",0,IF(AE4733="직접",IF(AF4733="신계약비",$P4733,0),$P4733*(1-AG4733)*IFERROR(INDEX(계정대체기준!$C$20:$C$49,MATCH($N4733,계정대체기준!$A$20:$A$49,0)),0)))</f>
        <v/>
      </c>
      <c r="AA4733" s="94">
        <f>IF($A4733="",0,IF(AE4733="직접",IF(OR(AF4733="유지비",AF4733="손해조사비"),$P4733,0),$P4733*(1-AG4733)*IFERROR(INDEX(계정대체기준!$D$20:$D$49,MATCH($N4733,계정대체기준!$A$20:$A$49,0)),0)))</f>
        <v/>
      </c>
      <c r="AB4733" s="94">
        <f>IF($A4733="",0,IF(AE4733="직접",IF(AF4733="수금비",$P4733,0),$P4733*(1-AG4733)*IFERROR(INDEX(계정대체기준!$E$20:$E$49,MATCH($N4733,계정대체기준!$A$20:$A$49,0)),0)))</f>
        <v/>
      </c>
      <c r="AC4733" s="9">
        <f>IF(AND($A4733&lt;&gt;"",M4733=설정!$C$20,Z4733&gt;0),Z4733+ROW()/1000000000,"")</f>
        <v/>
      </c>
      <c r="AD4733" s="94">
        <f>IF($A4733="",0,$P4733*AG4733)</f>
        <v/>
      </c>
      <c r="AE4733" s="64">
        <f>IF($A4733="","",IFERROR(INDEX(계정매핑!$E$5:$E$504,MATCH($F4733&amp;"",계정매핑!$A$5:$A$504,0))&amp;"","공통비"))</f>
        <v/>
      </c>
      <c r="AF4733" s="64">
        <f>IF($A4733="","",IF(AE4733="직접",IFERROR(INDEX(계정매핑!$F$5:$F$504,MATCH($F4733&amp;"",계정매핑!$A$5:$A$504,0))&amp;"","비귀속"),""))</f>
        <v/>
      </c>
      <c r="AG4733" s="96">
        <f>IF($A4733="",0,IF(AND(AE4733&lt;&gt;"직접",IFERROR(INDEX(계정매핑!$G$5:$G$504,MATCH($F4733&amp;"",계정매핑!$A$5:$A$504,0))&amp;"","")="유지비",COUNTIF(계정대체기준!$A$6:$A$15,$N4733)&gt;0),IFERROR(INDEX(계정대체기준!$E$6:$E$15,MATCH(VALUE($A4733&amp;""),계정대체기준!$D$6:$D$15,0)),0),0))</f>
        <v/>
      </c>
      <c r="AH4733" s="64">
        <f>IF($A4733="","",IF(AD4733=0,"",IF(OR(COUNTIF(계정대체기준!$A$77:$A$86,$N4733)&gt;0,ISNUMBER(MATCH($X4733,계정대체기준!$D$77:$D$86,0)),ISNUMBER(MATCH($F4733,계정대체기준!$D$77:$D$86,0))),"Y","N")))</f>
        <v/>
      </c>
    </row>
    <row r="4734">
      <c r="A4734" s="92" t="n">
        <v>2026</v>
      </c>
      <c r="B4734" s="92" t="n">
        <v>9</v>
      </c>
      <c r="C4734" s="92" t="inlineStr">
        <is>
          <t>5100002012</t>
        </is>
      </c>
      <c r="D4734" s="95" t="n">
        <v>46286</v>
      </c>
      <c r="E4734" s="92" t="inlineStr">
        <is>
          <t>KR</t>
        </is>
      </c>
      <c r="F4734" s="92" t="n">
        <v>62301000</v>
      </c>
      <c r="G4734" s="92" t="n">
        <v>1101</v>
      </c>
      <c r="H4734" s="93" t="n">
        <v>159000</v>
      </c>
      <c r="I4734" s="92" t="inlineStr">
        <is>
          <t>9월 소모품 구입 - Q오피스</t>
        </is>
      </c>
      <c r="J4734" s="92" t="inlineStr">
        <is>
          <t>V10003</t>
        </is>
      </c>
      <c r="K4734" s="92" t="inlineStr">
        <is>
          <t>Q오피스</t>
        </is>
      </c>
      <c r="M4734" s="9">
        <f>IF($A4734="","",VALUE($A4734&amp;"")*12+VALUE($B4734&amp;""))</f>
        <v/>
      </c>
      <c r="N4734" s="64">
        <f>IF($A4734="","",IFERROR(INDEX(부서매핑!$C$5:$C$504,MATCH($G4734&amp;"",부서매핑!$A$5:$A$504,0)),"미매핑"))</f>
        <v/>
      </c>
      <c r="O4734" s="9">
        <f>IF($A4734="","",N4734&amp;"|"&amp;$F4734)</f>
        <v/>
      </c>
      <c r="P4734" s="94">
        <f>IF($A4734="",0,$H4734*설정!$C$23)</f>
        <v/>
      </c>
      <c r="Q4734" s="64">
        <f>IF($A4734="","",IF(O4734&lt;&gt;원인분석!$C$9,"",IF(AND(M4734&gt;=원인분석!$C$10,M4734&lt;=원인분석!$C$11),"당기",IF(AND(M4734&gt;=원인분석!$C$12,M4734&lt;=원인분석!$C$13),"비교",""))))</f>
        <v/>
      </c>
      <c r="R4734" s="9">
        <f>IF(Q4734="","",$K4734&amp;"")</f>
        <v/>
      </c>
      <c r="S4734" s="9">
        <f>IF(Q4734="","",IF(MATCH(R4734,$R$5:$R$100000,0)=ROW()-4,ROW(),""))</f>
        <v/>
      </c>
      <c r="T4734" s="9">
        <f>IF(Q4734="당기",ABS(P4734)+ROW()/1000000000,"")</f>
        <v/>
      </c>
      <c r="U4734" s="9">
        <f>IF(Q4734="비교",ABS(P4734)+ROW()/1000000000,"")</f>
        <v/>
      </c>
      <c r="V4734" s="64">
        <f>IF($A4734="","",IF(COUNTIF(변동분석!$E$7:$E$506,O4734)&gt;0,"Y","N"))</f>
        <v/>
      </c>
      <c r="W4734" s="64">
        <f>IF($A4734="","",IFERROR(INDEX(계정매핑!$D$5:$D$504,MATCH($F4734&amp;"",계정매핑!$A$5:$A$504,0)),"미매핑"))</f>
        <v/>
      </c>
      <c r="X4734" s="9">
        <f>IF($A4734="","",$F4734&amp;"")</f>
        <v/>
      </c>
      <c r="Y4734" s="94">
        <f>IF($A4734="",0,IF(AE4734="직접",IF(AF4734="비귀속",$P4734,0),$P4734*(1-AG4734)*IFERROR(INDEX(계정대체기준!$F$20:$F$49,MATCH($N4734,계정대체기준!$A$20:$A$49,0)),1)))</f>
        <v/>
      </c>
      <c r="Z4734" s="94">
        <f>IF($A4734="",0,IF(AE4734="직접",IF(AF4734="신계약비",$P4734,0),$P4734*(1-AG4734)*IFERROR(INDEX(계정대체기준!$C$20:$C$49,MATCH($N4734,계정대체기준!$A$20:$A$49,0)),0)))</f>
        <v/>
      </c>
      <c r="AA4734" s="94">
        <f>IF($A4734="",0,IF(AE4734="직접",IF(OR(AF4734="유지비",AF4734="손해조사비"),$P4734,0),$P4734*(1-AG4734)*IFERROR(INDEX(계정대체기준!$D$20:$D$49,MATCH($N4734,계정대체기준!$A$20:$A$49,0)),0)))</f>
        <v/>
      </c>
      <c r="AB4734" s="94">
        <f>IF($A4734="",0,IF(AE4734="직접",IF(AF4734="수금비",$P4734,0),$P4734*(1-AG4734)*IFERROR(INDEX(계정대체기준!$E$20:$E$49,MATCH($N4734,계정대체기준!$A$20:$A$49,0)),0)))</f>
        <v/>
      </c>
      <c r="AC4734" s="9">
        <f>IF(AND($A4734&lt;&gt;"",M4734=설정!$C$20,Z4734&gt;0),Z4734+ROW()/1000000000,"")</f>
        <v/>
      </c>
      <c r="AD4734" s="94">
        <f>IF($A4734="",0,$P4734*AG4734)</f>
        <v/>
      </c>
      <c r="AE4734" s="64">
        <f>IF($A4734="","",IFERROR(INDEX(계정매핑!$E$5:$E$504,MATCH($F4734&amp;"",계정매핑!$A$5:$A$504,0))&amp;"","공통비"))</f>
        <v/>
      </c>
      <c r="AF4734" s="64">
        <f>IF($A4734="","",IF(AE4734="직접",IFERROR(INDEX(계정매핑!$F$5:$F$504,MATCH($F4734&amp;"",계정매핑!$A$5:$A$504,0))&amp;"","비귀속"),""))</f>
        <v/>
      </c>
      <c r="AG4734" s="96">
        <f>IF($A4734="",0,IF(AND(AE4734&lt;&gt;"직접",IFERROR(INDEX(계정매핑!$G$5:$G$504,MATCH($F4734&amp;"",계정매핑!$A$5:$A$504,0))&amp;"","")="유지비",COUNTIF(계정대체기준!$A$6:$A$15,$N4734)&gt;0),IFERROR(INDEX(계정대체기준!$E$6:$E$15,MATCH(VALUE($A4734&amp;""),계정대체기준!$D$6:$D$15,0)),0),0))</f>
        <v/>
      </c>
      <c r="AH4734" s="64">
        <f>IF($A4734="","",IF(AD4734=0,"",IF(OR(COUNTIF(계정대체기준!$A$77:$A$86,$N4734)&gt;0,ISNUMBER(MATCH($X4734,계정대체기준!$D$77:$D$86,0)),ISNUMBER(MATCH($F4734,계정대체기준!$D$77:$D$86,0))),"Y","N")))</f>
        <v/>
      </c>
    </row>
    <row r="4735">
      <c r="A4735" s="92" t="n">
        <v>2026</v>
      </c>
      <c r="B4735" s="92" t="n">
        <v>9</v>
      </c>
      <c r="C4735" s="92" t="inlineStr">
        <is>
          <t>5100002013</t>
        </is>
      </c>
      <c r="D4735" s="95" t="n">
        <v>46286</v>
      </c>
      <c r="E4735" s="92" t="inlineStr">
        <is>
          <t>KR</t>
        </is>
      </c>
      <c r="F4735" s="92" t="n">
        <v>62401000</v>
      </c>
      <c r="G4735" s="92" t="n">
        <v>1501</v>
      </c>
      <c r="H4735" s="93" t="n">
        <v>1539000</v>
      </c>
      <c r="I4735" s="92" t="inlineStr">
        <is>
          <t>9월 인쇄물 제작 - S출판</t>
        </is>
      </c>
      <c r="J4735" s="92" t="inlineStr">
        <is>
          <t>V10015</t>
        </is>
      </c>
      <c r="K4735" s="92" t="inlineStr">
        <is>
          <t>S출판</t>
        </is>
      </c>
      <c r="M4735" s="9">
        <f>IF($A4735="","",VALUE($A4735&amp;"")*12+VALUE($B4735&amp;""))</f>
        <v/>
      </c>
      <c r="N4735" s="64">
        <f>IF($A4735="","",IFERROR(INDEX(부서매핑!$C$5:$C$504,MATCH($G4735&amp;"",부서매핑!$A$5:$A$504,0)),"미매핑"))</f>
        <v/>
      </c>
      <c r="O4735" s="9">
        <f>IF($A4735="","",N4735&amp;"|"&amp;$F4735)</f>
        <v/>
      </c>
      <c r="P4735" s="94">
        <f>IF($A4735="",0,$H4735*설정!$C$23)</f>
        <v/>
      </c>
      <c r="Q4735" s="64">
        <f>IF($A4735="","",IF(O4735&lt;&gt;원인분석!$C$9,"",IF(AND(M4735&gt;=원인분석!$C$10,M4735&lt;=원인분석!$C$11),"당기",IF(AND(M4735&gt;=원인분석!$C$12,M4735&lt;=원인분석!$C$13),"비교",""))))</f>
        <v/>
      </c>
      <c r="R4735" s="9">
        <f>IF(Q4735="","",$K4735&amp;"")</f>
        <v/>
      </c>
      <c r="S4735" s="9">
        <f>IF(Q4735="","",IF(MATCH(R4735,$R$5:$R$100000,0)=ROW()-4,ROW(),""))</f>
        <v/>
      </c>
      <c r="T4735" s="9">
        <f>IF(Q4735="당기",ABS(P4735)+ROW()/1000000000,"")</f>
        <v/>
      </c>
      <c r="U4735" s="9">
        <f>IF(Q4735="비교",ABS(P4735)+ROW()/1000000000,"")</f>
        <v/>
      </c>
      <c r="V4735" s="64">
        <f>IF($A4735="","",IF(COUNTIF(변동분석!$E$7:$E$506,O4735)&gt;0,"Y","N"))</f>
        <v/>
      </c>
      <c r="W4735" s="64">
        <f>IF($A4735="","",IFERROR(INDEX(계정매핑!$D$5:$D$504,MATCH($F4735&amp;"",계정매핑!$A$5:$A$504,0)),"미매핑"))</f>
        <v/>
      </c>
      <c r="X4735" s="9">
        <f>IF($A4735="","",$F4735&amp;"")</f>
        <v/>
      </c>
      <c r="Y4735" s="94">
        <f>IF($A4735="",0,IF(AE4735="직접",IF(AF4735="비귀속",$P4735,0),$P4735*(1-AG4735)*IFERROR(INDEX(계정대체기준!$F$20:$F$49,MATCH($N4735,계정대체기준!$A$20:$A$49,0)),1)))</f>
        <v/>
      </c>
      <c r="Z4735" s="94">
        <f>IF($A4735="",0,IF(AE4735="직접",IF(AF4735="신계약비",$P4735,0),$P4735*(1-AG4735)*IFERROR(INDEX(계정대체기준!$C$20:$C$49,MATCH($N4735,계정대체기준!$A$20:$A$49,0)),0)))</f>
        <v/>
      </c>
      <c r="AA4735" s="94">
        <f>IF($A4735="",0,IF(AE4735="직접",IF(OR(AF4735="유지비",AF4735="손해조사비"),$P4735,0),$P4735*(1-AG4735)*IFERROR(INDEX(계정대체기준!$D$20:$D$49,MATCH($N4735,계정대체기준!$A$20:$A$49,0)),0)))</f>
        <v/>
      </c>
      <c r="AB4735" s="94">
        <f>IF($A4735="",0,IF(AE4735="직접",IF(AF4735="수금비",$P4735,0),$P4735*(1-AG4735)*IFERROR(INDEX(계정대체기준!$E$20:$E$49,MATCH($N4735,계정대체기준!$A$20:$A$49,0)),0)))</f>
        <v/>
      </c>
      <c r="AC4735" s="9">
        <f>IF(AND($A4735&lt;&gt;"",M4735=설정!$C$20,Z4735&gt;0),Z4735+ROW()/1000000000,"")</f>
        <v/>
      </c>
      <c r="AD4735" s="94">
        <f>IF($A4735="",0,$P4735*AG4735)</f>
        <v/>
      </c>
      <c r="AE4735" s="64">
        <f>IF($A4735="","",IFERROR(INDEX(계정매핑!$E$5:$E$504,MATCH($F4735&amp;"",계정매핑!$A$5:$A$504,0))&amp;"","공통비"))</f>
        <v/>
      </c>
      <c r="AF4735" s="64">
        <f>IF($A4735="","",IF(AE4735="직접",IFERROR(INDEX(계정매핑!$F$5:$F$504,MATCH($F4735&amp;"",계정매핑!$A$5:$A$504,0))&amp;"","비귀속"),""))</f>
        <v/>
      </c>
      <c r="AG4735" s="96">
        <f>IF($A4735="",0,IF(AND(AE4735&lt;&gt;"직접",IFERROR(INDEX(계정매핑!$G$5:$G$504,MATCH($F4735&amp;"",계정매핑!$A$5:$A$504,0))&amp;"","")="유지비",COUNTIF(계정대체기준!$A$6:$A$15,$N4735)&gt;0),IFERROR(INDEX(계정대체기준!$E$6:$E$15,MATCH(VALUE($A4735&amp;""),계정대체기준!$D$6:$D$15,0)),0),0))</f>
        <v/>
      </c>
      <c r="AH4735" s="64">
        <f>IF($A4735="","",IF(AD4735=0,"",IF(OR(COUNTIF(계정대체기준!$A$77:$A$86,$N4735)&gt;0,ISNUMBER(MATCH($X4735,계정대체기준!$D$77:$D$86,0)),ISNUMBER(MATCH($F4735,계정대체기준!$D$77:$D$86,0))),"Y","N")))</f>
        <v/>
      </c>
    </row>
    <row r="4736">
      <c r="A4736" s="92" t="n">
        <v>2026</v>
      </c>
      <c r="B4736" s="92" t="n">
        <v>9</v>
      </c>
      <c r="C4736" s="92" t="inlineStr">
        <is>
          <t>5100002014</t>
        </is>
      </c>
      <c r="D4736" s="95" t="n">
        <v>46286</v>
      </c>
      <c r="E4736" s="92" t="inlineStr">
        <is>
          <t>KR</t>
        </is>
      </c>
      <c r="F4736" s="92" t="n">
        <v>62501000</v>
      </c>
      <c r="G4736" s="92" t="n">
        <v>1201</v>
      </c>
      <c r="H4736" s="93" t="n">
        <v>163000</v>
      </c>
      <c r="I4736" s="92" t="inlineStr">
        <is>
          <t>9월 회의 다과 - T케이터링</t>
        </is>
      </c>
      <c r="J4736" s="92" t="inlineStr">
        <is>
          <t>V10005</t>
        </is>
      </c>
      <c r="K4736" s="92" t="inlineStr">
        <is>
          <t>T케이터링</t>
        </is>
      </c>
      <c r="M4736" s="9">
        <f>IF($A4736="","",VALUE($A4736&amp;"")*12+VALUE($B4736&amp;""))</f>
        <v/>
      </c>
      <c r="N4736" s="64">
        <f>IF($A4736="","",IFERROR(INDEX(부서매핑!$C$5:$C$504,MATCH($G4736&amp;"",부서매핑!$A$5:$A$504,0)),"미매핑"))</f>
        <v/>
      </c>
      <c r="O4736" s="9">
        <f>IF($A4736="","",N4736&amp;"|"&amp;$F4736)</f>
        <v/>
      </c>
      <c r="P4736" s="94">
        <f>IF($A4736="",0,$H4736*설정!$C$23)</f>
        <v/>
      </c>
      <c r="Q4736" s="64">
        <f>IF($A4736="","",IF(O4736&lt;&gt;원인분석!$C$9,"",IF(AND(M4736&gt;=원인분석!$C$10,M4736&lt;=원인분석!$C$11),"당기",IF(AND(M4736&gt;=원인분석!$C$12,M4736&lt;=원인분석!$C$13),"비교",""))))</f>
        <v/>
      </c>
      <c r="R4736" s="9">
        <f>IF(Q4736="","",$K4736&amp;"")</f>
        <v/>
      </c>
      <c r="S4736" s="9">
        <f>IF(Q4736="","",IF(MATCH(R4736,$R$5:$R$100000,0)=ROW()-4,ROW(),""))</f>
        <v/>
      </c>
      <c r="T4736" s="9">
        <f>IF(Q4736="당기",ABS(P4736)+ROW()/1000000000,"")</f>
        <v/>
      </c>
      <c r="U4736" s="9">
        <f>IF(Q4736="비교",ABS(P4736)+ROW()/1000000000,"")</f>
        <v/>
      </c>
      <c r="V4736" s="64">
        <f>IF($A4736="","",IF(COUNTIF(변동분석!$E$7:$E$506,O4736)&gt;0,"Y","N"))</f>
        <v/>
      </c>
      <c r="W4736" s="64">
        <f>IF($A4736="","",IFERROR(INDEX(계정매핑!$D$5:$D$504,MATCH($F4736&amp;"",계정매핑!$A$5:$A$504,0)),"미매핑"))</f>
        <v/>
      </c>
      <c r="X4736" s="9">
        <f>IF($A4736="","",$F4736&amp;"")</f>
        <v/>
      </c>
      <c r="Y4736" s="94">
        <f>IF($A4736="",0,IF(AE4736="직접",IF(AF4736="비귀속",$P4736,0),$P4736*(1-AG4736)*IFERROR(INDEX(계정대체기준!$F$20:$F$49,MATCH($N4736,계정대체기준!$A$20:$A$49,0)),1)))</f>
        <v/>
      </c>
      <c r="Z4736" s="94">
        <f>IF($A4736="",0,IF(AE4736="직접",IF(AF4736="신계약비",$P4736,0),$P4736*(1-AG4736)*IFERROR(INDEX(계정대체기준!$C$20:$C$49,MATCH($N4736,계정대체기준!$A$20:$A$49,0)),0)))</f>
        <v/>
      </c>
      <c r="AA4736" s="94">
        <f>IF($A4736="",0,IF(AE4736="직접",IF(OR(AF4736="유지비",AF4736="손해조사비"),$P4736,0),$P4736*(1-AG4736)*IFERROR(INDEX(계정대체기준!$D$20:$D$49,MATCH($N4736,계정대체기준!$A$20:$A$49,0)),0)))</f>
        <v/>
      </c>
      <c r="AB4736" s="94">
        <f>IF($A4736="",0,IF(AE4736="직접",IF(AF4736="수금비",$P4736,0),$P4736*(1-AG4736)*IFERROR(INDEX(계정대체기준!$E$20:$E$49,MATCH($N4736,계정대체기준!$A$20:$A$49,0)),0)))</f>
        <v/>
      </c>
      <c r="AC4736" s="9">
        <f>IF(AND($A4736&lt;&gt;"",M4736=설정!$C$20,Z4736&gt;0),Z4736+ROW()/1000000000,"")</f>
        <v/>
      </c>
      <c r="AD4736" s="94">
        <f>IF($A4736="",0,$P4736*AG4736)</f>
        <v/>
      </c>
      <c r="AE4736" s="64">
        <f>IF($A4736="","",IFERROR(INDEX(계정매핑!$E$5:$E$504,MATCH($F4736&amp;"",계정매핑!$A$5:$A$504,0))&amp;"","공통비"))</f>
        <v/>
      </c>
      <c r="AF4736" s="64">
        <f>IF($A4736="","",IF(AE4736="직접",IFERROR(INDEX(계정매핑!$F$5:$F$504,MATCH($F4736&amp;"",계정매핑!$A$5:$A$504,0))&amp;"","비귀속"),""))</f>
        <v/>
      </c>
      <c r="AG4736" s="96">
        <f>IF($A4736="",0,IF(AND(AE4736&lt;&gt;"직접",IFERROR(INDEX(계정매핑!$G$5:$G$504,MATCH($F4736&amp;"",계정매핑!$A$5:$A$504,0))&amp;"","")="유지비",COUNTIF(계정대체기준!$A$6:$A$15,$N4736)&gt;0),IFERROR(INDEX(계정대체기준!$E$6:$E$15,MATCH(VALUE($A4736&amp;""),계정대체기준!$D$6:$D$15,0)),0),0))</f>
        <v/>
      </c>
      <c r="AH4736" s="64">
        <f>IF($A4736="","",IF(AD4736=0,"",IF(OR(COUNTIF(계정대체기준!$A$77:$A$86,$N4736)&gt;0,ISNUMBER(MATCH($X4736,계정대체기준!$D$77:$D$86,0)),ISNUMBER(MATCH($F4736,계정대체기준!$D$77:$D$86,0))),"Y","N")))</f>
        <v/>
      </c>
    </row>
    <row r="4737">
      <c r="A4737" s="92" t="n">
        <v>2026</v>
      </c>
      <c r="B4737" s="92" t="n">
        <v>9</v>
      </c>
      <c r="C4737" s="92" t="inlineStr">
        <is>
          <t>5100002015</t>
        </is>
      </c>
      <c r="D4737" s="95" t="n">
        <v>46286</v>
      </c>
      <c r="E4737" s="92" t="inlineStr">
        <is>
          <t>KR</t>
        </is>
      </c>
      <c r="F4737" s="92" t="n">
        <v>62901000</v>
      </c>
      <c r="G4737" s="92" t="n">
        <v>1101</v>
      </c>
      <c r="H4737" s="93" t="n">
        <v>3443000</v>
      </c>
      <c r="I4737" s="92" t="inlineStr">
        <is>
          <t>9월 자문 수수료 - K회계법인</t>
        </is>
      </c>
      <c r="J4737" s="92" t="inlineStr">
        <is>
          <t>V10011</t>
        </is>
      </c>
      <c r="K4737" s="92" t="inlineStr">
        <is>
          <t>K회계법인</t>
        </is>
      </c>
      <c r="M4737" s="9">
        <f>IF($A4737="","",VALUE($A4737&amp;"")*12+VALUE($B4737&amp;""))</f>
        <v/>
      </c>
      <c r="N4737" s="64">
        <f>IF($A4737="","",IFERROR(INDEX(부서매핑!$C$5:$C$504,MATCH($G4737&amp;"",부서매핑!$A$5:$A$504,0)),"미매핑"))</f>
        <v/>
      </c>
      <c r="O4737" s="9">
        <f>IF($A4737="","",N4737&amp;"|"&amp;$F4737)</f>
        <v/>
      </c>
      <c r="P4737" s="94">
        <f>IF($A4737="",0,$H4737*설정!$C$23)</f>
        <v/>
      </c>
      <c r="Q4737" s="64">
        <f>IF($A4737="","",IF(O4737&lt;&gt;원인분석!$C$9,"",IF(AND(M4737&gt;=원인분석!$C$10,M4737&lt;=원인분석!$C$11),"당기",IF(AND(M4737&gt;=원인분석!$C$12,M4737&lt;=원인분석!$C$13),"비교",""))))</f>
        <v/>
      </c>
      <c r="R4737" s="9">
        <f>IF(Q4737="","",$K4737&amp;"")</f>
        <v/>
      </c>
      <c r="S4737" s="9">
        <f>IF(Q4737="","",IF(MATCH(R4737,$R$5:$R$100000,0)=ROW()-4,ROW(),""))</f>
        <v/>
      </c>
      <c r="T4737" s="9">
        <f>IF(Q4737="당기",ABS(P4737)+ROW()/1000000000,"")</f>
        <v/>
      </c>
      <c r="U4737" s="9">
        <f>IF(Q4737="비교",ABS(P4737)+ROW()/1000000000,"")</f>
        <v/>
      </c>
      <c r="V4737" s="64">
        <f>IF($A4737="","",IF(COUNTIF(변동분석!$E$7:$E$506,O4737)&gt;0,"Y","N"))</f>
        <v/>
      </c>
      <c r="W4737" s="64">
        <f>IF($A4737="","",IFERROR(INDEX(계정매핑!$D$5:$D$504,MATCH($F4737&amp;"",계정매핑!$A$5:$A$504,0)),"미매핑"))</f>
        <v/>
      </c>
      <c r="X4737" s="9">
        <f>IF($A4737="","",$F4737&amp;"")</f>
        <v/>
      </c>
      <c r="Y4737" s="94">
        <f>IF($A4737="",0,IF(AE4737="직접",IF(AF4737="비귀속",$P4737,0),$P4737*(1-AG4737)*IFERROR(INDEX(계정대체기준!$F$20:$F$49,MATCH($N4737,계정대체기준!$A$20:$A$49,0)),1)))</f>
        <v/>
      </c>
      <c r="Z4737" s="94">
        <f>IF($A4737="",0,IF(AE4737="직접",IF(AF4737="신계약비",$P4737,0),$P4737*(1-AG4737)*IFERROR(INDEX(계정대체기준!$C$20:$C$49,MATCH($N4737,계정대체기준!$A$20:$A$49,0)),0)))</f>
        <v/>
      </c>
      <c r="AA4737" s="94">
        <f>IF($A4737="",0,IF(AE4737="직접",IF(OR(AF4737="유지비",AF4737="손해조사비"),$P4737,0),$P4737*(1-AG4737)*IFERROR(INDEX(계정대체기준!$D$20:$D$49,MATCH($N4737,계정대체기준!$A$20:$A$49,0)),0)))</f>
        <v/>
      </c>
      <c r="AB4737" s="94">
        <f>IF($A4737="",0,IF(AE4737="직접",IF(AF4737="수금비",$P4737,0),$P4737*(1-AG4737)*IFERROR(INDEX(계정대체기준!$E$20:$E$49,MATCH($N4737,계정대체기준!$A$20:$A$49,0)),0)))</f>
        <v/>
      </c>
      <c r="AC4737" s="9">
        <f>IF(AND($A4737&lt;&gt;"",M4737=설정!$C$20,Z4737&gt;0),Z4737+ROW()/1000000000,"")</f>
        <v/>
      </c>
      <c r="AD4737" s="94">
        <f>IF($A4737="",0,$P4737*AG4737)</f>
        <v/>
      </c>
      <c r="AE4737" s="64">
        <f>IF($A4737="","",IFERROR(INDEX(계정매핑!$E$5:$E$504,MATCH($F4737&amp;"",계정매핑!$A$5:$A$504,0))&amp;"","공통비"))</f>
        <v/>
      </c>
      <c r="AF4737" s="64">
        <f>IF($A4737="","",IF(AE4737="직접",IFERROR(INDEX(계정매핑!$F$5:$F$504,MATCH($F4737&amp;"",계정매핑!$A$5:$A$504,0))&amp;"","비귀속"),""))</f>
        <v/>
      </c>
      <c r="AG4737" s="96">
        <f>IF($A4737="",0,IF(AND(AE4737&lt;&gt;"직접",IFERROR(INDEX(계정매핑!$G$5:$G$504,MATCH($F4737&amp;"",계정매핑!$A$5:$A$504,0))&amp;"","")="유지비",COUNTIF(계정대체기준!$A$6:$A$15,$N4737)&gt;0),IFERROR(INDEX(계정대체기준!$E$6:$E$15,MATCH(VALUE($A4737&amp;""),계정대체기준!$D$6:$D$15,0)),0),0))</f>
        <v/>
      </c>
      <c r="AH4737" s="64">
        <f>IF($A4737="","",IF(AD4737=0,"",IF(OR(COUNTIF(계정대체기준!$A$77:$A$86,$N4737)&gt;0,ISNUMBER(MATCH($X4737,계정대체기준!$D$77:$D$86,0)),ISNUMBER(MATCH($F4737,계정대체기준!$D$77:$D$86,0))),"Y","N")))</f>
        <v/>
      </c>
    </row>
    <row r="4738">
      <c r="A4738" s="92" t="n">
        <v>2026</v>
      </c>
      <c r="B4738" s="92" t="n">
        <v>9</v>
      </c>
      <c r="C4738" s="92" t="inlineStr">
        <is>
          <t>5100002016</t>
        </is>
      </c>
      <c r="D4738" s="95" t="n">
        <v>46286</v>
      </c>
      <c r="E4738" s="92" t="inlineStr">
        <is>
          <t>KR</t>
        </is>
      </c>
      <c r="F4738" s="92" t="n">
        <v>62901000</v>
      </c>
      <c r="G4738" s="92" t="n">
        <v>1801</v>
      </c>
      <c r="H4738" s="93" t="n">
        <v>11780000</v>
      </c>
      <c r="I4738" s="92" t="inlineStr">
        <is>
          <t>9월 자문 수수료 - W컨설팅</t>
        </is>
      </c>
      <c r="J4738" s="92" t="inlineStr">
        <is>
          <t>V10006</t>
        </is>
      </c>
      <c r="K4738" s="92" t="inlineStr">
        <is>
          <t>W컨설팅</t>
        </is>
      </c>
      <c r="M4738" s="9">
        <f>IF($A4738="","",VALUE($A4738&amp;"")*12+VALUE($B4738&amp;""))</f>
        <v/>
      </c>
      <c r="N4738" s="64">
        <f>IF($A4738="","",IFERROR(INDEX(부서매핑!$C$5:$C$504,MATCH($G4738&amp;"",부서매핑!$A$5:$A$504,0)),"미매핑"))</f>
        <v/>
      </c>
      <c r="O4738" s="9">
        <f>IF($A4738="","",N4738&amp;"|"&amp;$F4738)</f>
        <v/>
      </c>
      <c r="P4738" s="94">
        <f>IF($A4738="",0,$H4738*설정!$C$23)</f>
        <v/>
      </c>
      <c r="Q4738" s="64">
        <f>IF($A4738="","",IF(O4738&lt;&gt;원인분석!$C$9,"",IF(AND(M4738&gt;=원인분석!$C$10,M4738&lt;=원인분석!$C$11),"당기",IF(AND(M4738&gt;=원인분석!$C$12,M4738&lt;=원인분석!$C$13),"비교",""))))</f>
        <v/>
      </c>
      <c r="R4738" s="9">
        <f>IF(Q4738="","",$K4738&amp;"")</f>
        <v/>
      </c>
      <c r="S4738" s="9">
        <f>IF(Q4738="","",IF(MATCH(R4738,$R$5:$R$100000,0)=ROW()-4,ROW(),""))</f>
        <v/>
      </c>
      <c r="T4738" s="9">
        <f>IF(Q4738="당기",ABS(P4738)+ROW()/1000000000,"")</f>
        <v/>
      </c>
      <c r="U4738" s="9">
        <f>IF(Q4738="비교",ABS(P4738)+ROW()/1000000000,"")</f>
        <v/>
      </c>
      <c r="V4738" s="64">
        <f>IF($A4738="","",IF(COUNTIF(변동분석!$E$7:$E$506,O4738)&gt;0,"Y","N"))</f>
        <v/>
      </c>
      <c r="W4738" s="64">
        <f>IF($A4738="","",IFERROR(INDEX(계정매핑!$D$5:$D$504,MATCH($F4738&amp;"",계정매핑!$A$5:$A$504,0)),"미매핑"))</f>
        <v/>
      </c>
      <c r="X4738" s="9">
        <f>IF($A4738="","",$F4738&amp;"")</f>
        <v/>
      </c>
      <c r="Y4738" s="94">
        <f>IF($A4738="",0,IF(AE4738="직접",IF(AF4738="비귀속",$P4738,0),$P4738*(1-AG4738)*IFERROR(INDEX(계정대체기준!$F$20:$F$49,MATCH($N4738,계정대체기준!$A$20:$A$49,0)),1)))</f>
        <v/>
      </c>
      <c r="Z4738" s="94">
        <f>IF($A4738="",0,IF(AE4738="직접",IF(AF4738="신계약비",$P4738,0),$P4738*(1-AG4738)*IFERROR(INDEX(계정대체기준!$C$20:$C$49,MATCH($N4738,계정대체기준!$A$20:$A$49,0)),0)))</f>
        <v/>
      </c>
      <c r="AA4738" s="94">
        <f>IF($A4738="",0,IF(AE4738="직접",IF(OR(AF4738="유지비",AF4738="손해조사비"),$P4738,0),$P4738*(1-AG4738)*IFERROR(INDEX(계정대체기준!$D$20:$D$49,MATCH($N4738,계정대체기준!$A$20:$A$49,0)),0)))</f>
        <v/>
      </c>
      <c r="AB4738" s="94">
        <f>IF($A4738="",0,IF(AE4738="직접",IF(AF4738="수금비",$P4738,0),$P4738*(1-AG4738)*IFERROR(INDEX(계정대체기준!$E$20:$E$49,MATCH($N4738,계정대체기준!$A$20:$A$49,0)),0)))</f>
        <v/>
      </c>
      <c r="AC4738" s="9">
        <f>IF(AND($A4738&lt;&gt;"",M4738=설정!$C$20,Z4738&gt;0),Z4738+ROW()/1000000000,"")</f>
        <v/>
      </c>
      <c r="AD4738" s="94">
        <f>IF($A4738="",0,$P4738*AG4738)</f>
        <v/>
      </c>
      <c r="AE4738" s="64">
        <f>IF($A4738="","",IFERROR(INDEX(계정매핑!$E$5:$E$504,MATCH($F4738&amp;"",계정매핑!$A$5:$A$504,0))&amp;"","공통비"))</f>
        <v/>
      </c>
      <c r="AF4738" s="64">
        <f>IF($A4738="","",IF(AE4738="직접",IFERROR(INDEX(계정매핑!$F$5:$F$504,MATCH($F4738&amp;"",계정매핑!$A$5:$A$504,0))&amp;"","비귀속"),""))</f>
        <v/>
      </c>
      <c r="AG4738" s="96">
        <f>IF($A4738="",0,IF(AND(AE4738&lt;&gt;"직접",IFERROR(INDEX(계정매핑!$G$5:$G$504,MATCH($F4738&amp;"",계정매핑!$A$5:$A$504,0))&amp;"","")="유지비",COUNTIF(계정대체기준!$A$6:$A$15,$N4738)&gt;0),IFERROR(INDEX(계정대체기준!$E$6:$E$15,MATCH(VALUE($A4738&amp;""),계정대체기준!$D$6:$D$15,0)),0),0))</f>
        <v/>
      </c>
      <c r="AH4738" s="64">
        <f>IF($A4738="","",IF(AD4738=0,"",IF(OR(COUNTIF(계정대체기준!$A$77:$A$86,$N4738)&gt;0,ISNUMBER(MATCH($X4738,계정대체기준!$D$77:$D$86,0)),ISNUMBER(MATCH($F4738,계정대체기준!$D$77:$D$86,0))),"Y","N")))</f>
        <v/>
      </c>
    </row>
    <row r="4739">
      <c r="A4739" s="92" t="n">
        <v>2026</v>
      </c>
      <c r="B4739" s="92" t="n">
        <v>9</v>
      </c>
      <c r="C4739" s="92" t="inlineStr">
        <is>
          <t>5100002017</t>
        </is>
      </c>
      <c r="D4739" s="95" t="n">
        <v>46286</v>
      </c>
      <c r="E4739" s="92" t="inlineStr">
        <is>
          <t>KR</t>
        </is>
      </c>
      <c r="F4739" s="92" t="n">
        <v>62902000</v>
      </c>
      <c r="G4739" s="92" t="n">
        <v>1201</v>
      </c>
      <c r="H4739" s="93" t="n">
        <v>3038000</v>
      </c>
      <c r="I4739" s="92" t="inlineStr">
        <is>
          <t>9월 업무 위탁 수수료 - J콜센터</t>
        </is>
      </c>
      <c r="J4739" s="92" t="inlineStr">
        <is>
          <t>V10016</t>
        </is>
      </c>
      <c r="K4739" s="92" t="inlineStr">
        <is>
          <t>J콜센터</t>
        </is>
      </c>
      <c r="M4739" s="9">
        <f>IF($A4739="","",VALUE($A4739&amp;"")*12+VALUE($B4739&amp;""))</f>
        <v/>
      </c>
      <c r="N4739" s="64">
        <f>IF($A4739="","",IFERROR(INDEX(부서매핑!$C$5:$C$504,MATCH($G4739&amp;"",부서매핑!$A$5:$A$504,0)),"미매핑"))</f>
        <v/>
      </c>
      <c r="O4739" s="9">
        <f>IF($A4739="","",N4739&amp;"|"&amp;$F4739)</f>
        <v/>
      </c>
      <c r="P4739" s="94">
        <f>IF($A4739="",0,$H4739*설정!$C$23)</f>
        <v/>
      </c>
      <c r="Q4739" s="64">
        <f>IF($A4739="","",IF(O4739&lt;&gt;원인분석!$C$9,"",IF(AND(M4739&gt;=원인분석!$C$10,M4739&lt;=원인분석!$C$11),"당기",IF(AND(M4739&gt;=원인분석!$C$12,M4739&lt;=원인분석!$C$13),"비교",""))))</f>
        <v/>
      </c>
      <c r="R4739" s="9">
        <f>IF(Q4739="","",$K4739&amp;"")</f>
        <v/>
      </c>
      <c r="S4739" s="9">
        <f>IF(Q4739="","",IF(MATCH(R4739,$R$5:$R$100000,0)=ROW()-4,ROW(),""))</f>
        <v/>
      </c>
      <c r="T4739" s="9">
        <f>IF(Q4739="당기",ABS(P4739)+ROW()/1000000000,"")</f>
        <v/>
      </c>
      <c r="U4739" s="9">
        <f>IF(Q4739="비교",ABS(P4739)+ROW()/1000000000,"")</f>
        <v/>
      </c>
      <c r="V4739" s="64">
        <f>IF($A4739="","",IF(COUNTIF(변동분석!$E$7:$E$506,O4739)&gt;0,"Y","N"))</f>
        <v/>
      </c>
      <c r="W4739" s="64">
        <f>IF($A4739="","",IFERROR(INDEX(계정매핑!$D$5:$D$504,MATCH($F4739&amp;"",계정매핑!$A$5:$A$504,0)),"미매핑"))</f>
        <v/>
      </c>
      <c r="X4739" s="9">
        <f>IF($A4739="","",$F4739&amp;"")</f>
        <v/>
      </c>
      <c r="Y4739" s="94">
        <f>IF($A4739="",0,IF(AE4739="직접",IF(AF4739="비귀속",$P4739,0),$P4739*(1-AG4739)*IFERROR(INDEX(계정대체기준!$F$20:$F$49,MATCH($N4739,계정대체기준!$A$20:$A$49,0)),1)))</f>
        <v/>
      </c>
      <c r="Z4739" s="94">
        <f>IF($A4739="",0,IF(AE4739="직접",IF(AF4739="신계약비",$P4739,0),$P4739*(1-AG4739)*IFERROR(INDEX(계정대체기준!$C$20:$C$49,MATCH($N4739,계정대체기준!$A$20:$A$49,0)),0)))</f>
        <v/>
      </c>
      <c r="AA4739" s="94">
        <f>IF($A4739="",0,IF(AE4739="직접",IF(OR(AF4739="유지비",AF4739="손해조사비"),$P4739,0),$P4739*(1-AG4739)*IFERROR(INDEX(계정대체기준!$D$20:$D$49,MATCH($N4739,계정대체기준!$A$20:$A$49,0)),0)))</f>
        <v/>
      </c>
      <c r="AB4739" s="94">
        <f>IF($A4739="",0,IF(AE4739="직접",IF(AF4739="수금비",$P4739,0),$P4739*(1-AG4739)*IFERROR(INDEX(계정대체기준!$E$20:$E$49,MATCH($N4739,계정대체기준!$A$20:$A$49,0)),0)))</f>
        <v/>
      </c>
      <c r="AC4739" s="9">
        <f>IF(AND($A4739&lt;&gt;"",M4739=설정!$C$20,Z4739&gt;0),Z4739+ROW()/1000000000,"")</f>
        <v/>
      </c>
      <c r="AD4739" s="94">
        <f>IF($A4739="",0,$P4739*AG4739)</f>
        <v/>
      </c>
      <c r="AE4739" s="64">
        <f>IF($A4739="","",IFERROR(INDEX(계정매핑!$E$5:$E$504,MATCH($F4739&amp;"",계정매핑!$A$5:$A$504,0))&amp;"","공통비"))</f>
        <v/>
      </c>
      <c r="AF4739" s="64">
        <f>IF($A4739="","",IF(AE4739="직접",IFERROR(INDEX(계정매핑!$F$5:$F$504,MATCH($F4739&amp;"",계정매핑!$A$5:$A$504,0))&amp;"","비귀속"),""))</f>
        <v/>
      </c>
      <c r="AG4739" s="96">
        <f>IF($A4739="",0,IF(AND(AE4739&lt;&gt;"직접",IFERROR(INDEX(계정매핑!$G$5:$G$504,MATCH($F4739&amp;"",계정매핑!$A$5:$A$504,0))&amp;"","")="유지비",COUNTIF(계정대체기준!$A$6:$A$15,$N4739)&gt;0),IFERROR(INDEX(계정대체기준!$E$6:$E$15,MATCH(VALUE($A4739&amp;""),계정대체기준!$D$6:$D$15,0)),0),0))</f>
        <v/>
      </c>
      <c r="AH4739" s="64">
        <f>IF($A4739="","",IF(AD4739=0,"",IF(OR(COUNTIF(계정대체기준!$A$77:$A$86,$N4739)&gt;0,ISNUMBER(MATCH($X4739,계정대체기준!$D$77:$D$86,0)),ISNUMBER(MATCH($F4739,계정대체기준!$D$77:$D$86,0))),"Y","N")))</f>
        <v/>
      </c>
    </row>
    <row r="4740">
      <c r="A4740" s="92" t="n">
        <v>2026</v>
      </c>
      <c r="B4740" s="92" t="n">
        <v>9</v>
      </c>
      <c r="C4740" s="92" t="inlineStr">
        <is>
          <t>5100002018</t>
        </is>
      </c>
      <c r="D4740" s="95" t="n">
        <v>46286</v>
      </c>
      <c r="E4740" s="92" t="inlineStr">
        <is>
          <t>KR</t>
        </is>
      </c>
      <c r="F4740" s="92" t="n">
        <v>62902000</v>
      </c>
      <c r="G4740" s="92" t="n">
        <v>1801</v>
      </c>
      <c r="H4740" s="93" t="n">
        <v>1752000</v>
      </c>
      <c r="I4740" s="92" t="inlineStr">
        <is>
          <t>9월 콜 위탁 수수료(건별)</t>
        </is>
      </c>
      <c r="J4740" s="92" t="inlineStr">
        <is>
          <t>V10016</t>
        </is>
      </c>
      <c r="K4740" s="92" t="inlineStr">
        <is>
          <t>J콜센터</t>
        </is>
      </c>
      <c r="M4740" s="9">
        <f>IF($A4740="","",VALUE($A4740&amp;"")*12+VALUE($B4740&amp;""))</f>
        <v/>
      </c>
      <c r="N4740" s="64">
        <f>IF($A4740="","",IFERROR(INDEX(부서매핑!$C$5:$C$504,MATCH($G4740&amp;"",부서매핑!$A$5:$A$504,0)),"미매핑"))</f>
        <v/>
      </c>
      <c r="O4740" s="9">
        <f>IF($A4740="","",N4740&amp;"|"&amp;$F4740)</f>
        <v/>
      </c>
      <c r="P4740" s="94">
        <f>IF($A4740="",0,$H4740*설정!$C$23)</f>
        <v/>
      </c>
      <c r="Q4740" s="64">
        <f>IF($A4740="","",IF(O4740&lt;&gt;원인분석!$C$9,"",IF(AND(M4740&gt;=원인분석!$C$10,M4740&lt;=원인분석!$C$11),"당기",IF(AND(M4740&gt;=원인분석!$C$12,M4740&lt;=원인분석!$C$13),"비교",""))))</f>
        <v/>
      </c>
      <c r="R4740" s="9">
        <f>IF(Q4740="","",$K4740&amp;"")</f>
        <v/>
      </c>
      <c r="S4740" s="9">
        <f>IF(Q4740="","",IF(MATCH(R4740,$R$5:$R$100000,0)=ROW()-4,ROW(),""))</f>
        <v/>
      </c>
      <c r="T4740" s="9">
        <f>IF(Q4740="당기",ABS(P4740)+ROW()/1000000000,"")</f>
        <v/>
      </c>
      <c r="U4740" s="9">
        <f>IF(Q4740="비교",ABS(P4740)+ROW()/1000000000,"")</f>
        <v/>
      </c>
      <c r="V4740" s="64">
        <f>IF($A4740="","",IF(COUNTIF(변동분석!$E$7:$E$506,O4740)&gt;0,"Y","N"))</f>
        <v/>
      </c>
      <c r="W4740" s="64">
        <f>IF($A4740="","",IFERROR(INDEX(계정매핑!$D$5:$D$504,MATCH($F4740&amp;"",계정매핑!$A$5:$A$504,0)),"미매핑"))</f>
        <v/>
      </c>
      <c r="X4740" s="9">
        <f>IF($A4740="","",$F4740&amp;"")</f>
        <v/>
      </c>
      <c r="Y4740" s="94">
        <f>IF($A4740="",0,IF(AE4740="직접",IF(AF4740="비귀속",$P4740,0),$P4740*(1-AG4740)*IFERROR(INDEX(계정대체기준!$F$20:$F$49,MATCH($N4740,계정대체기준!$A$20:$A$49,0)),1)))</f>
        <v/>
      </c>
      <c r="Z4740" s="94">
        <f>IF($A4740="",0,IF(AE4740="직접",IF(AF4740="신계약비",$P4740,0),$P4740*(1-AG4740)*IFERROR(INDEX(계정대체기준!$C$20:$C$49,MATCH($N4740,계정대체기준!$A$20:$A$49,0)),0)))</f>
        <v/>
      </c>
      <c r="AA4740" s="94">
        <f>IF($A4740="",0,IF(AE4740="직접",IF(OR(AF4740="유지비",AF4740="손해조사비"),$P4740,0),$P4740*(1-AG4740)*IFERROR(INDEX(계정대체기준!$D$20:$D$49,MATCH($N4740,계정대체기준!$A$20:$A$49,0)),0)))</f>
        <v/>
      </c>
      <c r="AB4740" s="94">
        <f>IF($A4740="",0,IF(AE4740="직접",IF(AF4740="수금비",$P4740,0),$P4740*(1-AG4740)*IFERROR(INDEX(계정대체기준!$E$20:$E$49,MATCH($N4740,계정대체기준!$A$20:$A$49,0)),0)))</f>
        <v/>
      </c>
      <c r="AC4740" s="9">
        <f>IF(AND($A4740&lt;&gt;"",M4740=설정!$C$20,Z4740&gt;0),Z4740+ROW()/1000000000,"")</f>
        <v/>
      </c>
      <c r="AD4740" s="94">
        <f>IF($A4740="",0,$P4740*AG4740)</f>
        <v/>
      </c>
      <c r="AE4740" s="64">
        <f>IF($A4740="","",IFERROR(INDEX(계정매핑!$E$5:$E$504,MATCH($F4740&amp;"",계정매핑!$A$5:$A$504,0))&amp;"","공통비"))</f>
        <v/>
      </c>
      <c r="AF4740" s="64">
        <f>IF($A4740="","",IF(AE4740="직접",IFERROR(INDEX(계정매핑!$F$5:$F$504,MATCH($F4740&amp;"",계정매핑!$A$5:$A$504,0))&amp;"","비귀속"),""))</f>
        <v/>
      </c>
      <c r="AG4740" s="96">
        <f>IF($A4740="",0,IF(AND(AE4740&lt;&gt;"직접",IFERROR(INDEX(계정매핑!$G$5:$G$504,MATCH($F4740&amp;"",계정매핑!$A$5:$A$504,0))&amp;"","")="유지비",COUNTIF(계정대체기준!$A$6:$A$15,$N4740)&gt;0),IFERROR(INDEX(계정대체기준!$E$6:$E$15,MATCH(VALUE($A4740&amp;""),계정대체기준!$D$6:$D$15,0)),0),0))</f>
        <v/>
      </c>
      <c r="AH4740" s="64">
        <f>IF($A4740="","",IF(AD4740=0,"",IF(OR(COUNTIF(계정대체기준!$A$77:$A$86,$N4740)&gt;0,ISNUMBER(MATCH($X4740,계정대체기준!$D$77:$D$86,0)),ISNUMBER(MATCH($F4740,계정대체기준!$D$77:$D$86,0))),"Y","N")))</f>
        <v/>
      </c>
    </row>
    <row r="4741">
      <c r="A4741" s="92" t="n">
        <v>2026</v>
      </c>
      <c r="B4741" s="92" t="n">
        <v>9</v>
      </c>
      <c r="C4741" s="92" t="inlineStr">
        <is>
          <t>5100002019</t>
        </is>
      </c>
      <c r="D4741" s="95" t="n">
        <v>46286</v>
      </c>
      <c r="E4741" s="92" t="inlineStr">
        <is>
          <t>KR</t>
        </is>
      </c>
      <c r="F4741" s="92" t="n">
        <v>63501000</v>
      </c>
      <c r="G4741" s="92" t="n">
        <v>1902</v>
      </c>
      <c r="H4741" s="93" t="n">
        <v>427302000</v>
      </c>
      <c r="I4741" s="92" t="inlineStr">
        <is>
          <t>9월 모집수수료 - AA보험대리점</t>
        </is>
      </c>
      <c r="J4741" s="92" t="inlineStr">
        <is>
          <t>V10034</t>
        </is>
      </c>
      <c r="K4741" s="92" t="inlineStr">
        <is>
          <t>AA보험대리점</t>
        </is>
      </c>
      <c r="M4741" s="9">
        <f>IF($A4741="","",VALUE($A4741&amp;"")*12+VALUE($B4741&amp;""))</f>
        <v/>
      </c>
      <c r="N4741" s="64">
        <f>IF($A4741="","",IFERROR(INDEX(부서매핑!$C$5:$C$504,MATCH($G4741&amp;"",부서매핑!$A$5:$A$504,0)),"미매핑"))</f>
        <v/>
      </c>
      <c r="O4741" s="9">
        <f>IF($A4741="","",N4741&amp;"|"&amp;$F4741)</f>
        <v/>
      </c>
      <c r="P4741" s="94">
        <f>IF($A4741="",0,$H4741*설정!$C$23)</f>
        <v/>
      </c>
      <c r="Q4741" s="64">
        <f>IF($A4741="","",IF(O4741&lt;&gt;원인분석!$C$9,"",IF(AND(M4741&gt;=원인분석!$C$10,M4741&lt;=원인분석!$C$11),"당기",IF(AND(M4741&gt;=원인분석!$C$12,M4741&lt;=원인분석!$C$13),"비교",""))))</f>
        <v/>
      </c>
      <c r="R4741" s="9">
        <f>IF(Q4741="","",$K4741&amp;"")</f>
        <v/>
      </c>
      <c r="S4741" s="9">
        <f>IF(Q4741="","",IF(MATCH(R4741,$R$5:$R$100000,0)=ROW()-4,ROW(),""))</f>
        <v/>
      </c>
      <c r="T4741" s="9">
        <f>IF(Q4741="당기",ABS(P4741)+ROW()/1000000000,"")</f>
        <v/>
      </c>
      <c r="U4741" s="9">
        <f>IF(Q4741="비교",ABS(P4741)+ROW()/1000000000,"")</f>
        <v/>
      </c>
      <c r="V4741" s="64">
        <f>IF($A4741="","",IF(COUNTIF(변동분석!$E$7:$E$506,O4741)&gt;0,"Y","N"))</f>
        <v/>
      </c>
      <c r="W4741" s="64">
        <f>IF($A4741="","",IFERROR(INDEX(계정매핑!$D$5:$D$504,MATCH($F4741&amp;"",계정매핑!$A$5:$A$504,0)),"미매핑"))</f>
        <v/>
      </c>
      <c r="X4741" s="9">
        <f>IF($A4741="","",$F4741&amp;"")</f>
        <v/>
      </c>
      <c r="Y4741" s="94">
        <f>IF($A4741="",0,IF(AE4741="직접",IF(AF4741="비귀속",$P4741,0),$P4741*(1-AG4741)*IFERROR(INDEX(계정대체기준!$F$20:$F$49,MATCH($N4741,계정대체기준!$A$20:$A$49,0)),1)))</f>
        <v/>
      </c>
      <c r="Z4741" s="94">
        <f>IF($A4741="",0,IF(AE4741="직접",IF(AF4741="신계약비",$P4741,0),$P4741*(1-AG4741)*IFERROR(INDEX(계정대체기준!$C$20:$C$49,MATCH($N4741,계정대체기준!$A$20:$A$49,0)),0)))</f>
        <v/>
      </c>
      <c r="AA4741" s="94">
        <f>IF($A4741="",0,IF(AE4741="직접",IF(OR(AF4741="유지비",AF4741="손해조사비"),$P4741,0),$P4741*(1-AG4741)*IFERROR(INDEX(계정대체기준!$D$20:$D$49,MATCH($N4741,계정대체기준!$A$20:$A$49,0)),0)))</f>
        <v/>
      </c>
      <c r="AB4741" s="94">
        <f>IF($A4741="",0,IF(AE4741="직접",IF(AF4741="수금비",$P4741,0),$P4741*(1-AG4741)*IFERROR(INDEX(계정대체기준!$E$20:$E$49,MATCH($N4741,계정대체기준!$A$20:$A$49,0)),0)))</f>
        <v/>
      </c>
      <c r="AC4741" s="9">
        <f>IF(AND($A4741&lt;&gt;"",M4741=설정!$C$20,Z4741&gt;0),Z4741+ROW()/1000000000,"")</f>
        <v/>
      </c>
      <c r="AD4741" s="94">
        <f>IF($A4741="",0,$P4741*AG4741)</f>
        <v/>
      </c>
      <c r="AE4741" s="64">
        <f>IF($A4741="","",IFERROR(INDEX(계정매핑!$E$5:$E$504,MATCH($F4741&amp;"",계정매핑!$A$5:$A$504,0))&amp;"","공통비"))</f>
        <v/>
      </c>
      <c r="AF4741" s="64">
        <f>IF($A4741="","",IF(AE4741="직접",IFERROR(INDEX(계정매핑!$F$5:$F$504,MATCH($F4741&amp;"",계정매핑!$A$5:$A$504,0))&amp;"","비귀속"),""))</f>
        <v/>
      </c>
      <c r="AG4741" s="96">
        <f>IF($A4741="",0,IF(AND(AE4741&lt;&gt;"직접",IFERROR(INDEX(계정매핑!$G$5:$G$504,MATCH($F4741&amp;"",계정매핑!$A$5:$A$504,0))&amp;"","")="유지비",COUNTIF(계정대체기준!$A$6:$A$15,$N4741)&gt;0),IFERROR(INDEX(계정대체기준!$E$6:$E$15,MATCH(VALUE($A4741&amp;""),계정대체기준!$D$6:$D$15,0)),0),0))</f>
        <v/>
      </c>
      <c r="AH4741" s="64">
        <f>IF($A4741="","",IF(AD4741=0,"",IF(OR(COUNTIF(계정대체기준!$A$77:$A$86,$N4741)&gt;0,ISNUMBER(MATCH($X4741,계정대체기준!$D$77:$D$86,0)),ISNUMBER(MATCH($F4741,계정대체기준!$D$77:$D$86,0))),"Y","N")))</f>
        <v/>
      </c>
    </row>
    <row r="4742">
      <c r="A4742" s="92" t="n">
        <v>2026</v>
      </c>
      <c r="B4742" s="92" t="n">
        <v>9</v>
      </c>
      <c r="C4742" s="92" t="inlineStr">
        <is>
          <t>5100002020</t>
        </is>
      </c>
      <c r="D4742" s="95" t="n">
        <v>46287</v>
      </c>
      <c r="E4742" s="92" t="inlineStr">
        <is>
          <t>KR</t>
        </is>
      </c>
      <c r="F4742" s="92" t="n">
        <v>62201000</v>
      </c>
      <c r="G4742" s="92" t="n">
        <v>1101</v>
      </c>
      <c r="H4742" s="93" t="n">
        <v>234000</v>
      </c>
      <c r="I4742" s="92" t="inlineStr">
        <is>
          <t>9월 통신요금 - P통신</t>
        </is>
      </c>
      <c r="J4742" s="92" t="inlineStr">
        <is>
          <t>V10014</t>
        </is>
      </c>
      <c r="K4742" s="92" t="inlineStr">
        <is>
          <t>P통신</t>
        </is>
      </c>
      <c r="M4742" s="9">
        <f>IF($A4742="","",VALUE($A4742&amp;"")*12+VALUE($B4742&amp;""))</f>
        <v/>
      </c>
      <c r="N4742" s="64">
        <f>IF($A4742="","",IFERROR(INDEX(부서매핑!$C$5:$C$504,MATCH($G4742&amp;"",부서매핑!$A$5:$A$504,0)),"미매핑"))</f>
        <v/>
      </c>
      <c r="O4742" s="9">
        <f>IF($A4742="","",N4742&amp;"|"&amp;$F4742)</f>
        <v/>
      </c>
      <c r="P4742" s="94">
        <f>IF($A4742="",0,$H4742*설정!$C$23)</f>
        <v/>
      </c>
      <c r="Q4742" s="64">
        <f>IF($A4742="","",IF(O4742&lt;&gt;원인분석!$C$9,"",IF(AND(M4742&gt;=원인분석!$C$10,M4742&lt;=원인분석!$C$11),"당기",IF(AND(M4742&gt;=원인분석!$C$12,M4742&lt;=원인분석!$C$13),"비교",""))))</f>
        <v/>
      </c>
      <c r="R4742" s="9">
        <f>IF(Q4742="","",$K4742&amp;"")</f>
        <v/>
      </c>
      <c r="S4742" s="9">
        <f>IF(Q4742="","",IF(MATCH(R4742,$R$5:$R$100000,0)=ROW()-4,ROW(),""))</f>
        <v/>
      </c>
      <c r="T4742" s="9">
        <f>IF(Q4742="당기",ABS(P4742)+ROW()/1000000000,"")</f>
        <v/>
      </c>
      <c r="U4742" s="9">
        <f>IF(Q4742="비교",ABS(P4742)+ROW()/1000000000,"")</f>
        <v/>
      </c>
      <c r="V4742" s="64">
        <f>IF($A4742="","",IF(COUNTIF(변동분석!$E$7:$E$506,O4742)&gt;0,"Y","N"))</f>
        <v/>
      </c>
      <c r="W4742" s="64">
        <f>IF($A4742="","",IFERROR(INDEX(계정매핑!$D$5:$D$504,MATCH($F4742&amp;"",계정매핑!$A$5:$A$504,0)),"미매핑"))</f>
        <v/>
      </c>
      <c r="X4742" s="9">
        <f>IF($A4742="","",$F4742&amp;"")</f>
        <v/>
      </c>
      <c r="Y4742" s="94">
        <f>IF($A4742="",0,IF(AE4742="직접",IF(AF4742="비귀속",$P4742,0),$P4742*(1-AG4742)*IFERROR(INDEX(계정대체기준!$F$20:$F$49,MATCH($N4742,계정대체기준!$A$20:$A$49,0)),1)))</f>
        <v/>
      </c>
      <c r="Z4742" s="94">
        <f>IF($A4742="",0,IF(AE4742="직접",IF(AF4742="신계약비",$P4742,0),$P4742*(1-AG4742)*IFERROR(INDEX(계정대체기준!$C$20:$C$49,MATCH($N4742,계정대체기준!$A$20:$A$49,0)),0)))</f>
        <v/>
      </c>
      <c r="AA4742" s="94">
        <f>IF($A4742="",0,IF(AE4742="직접",IF(OR(AF4742="유지비",AF4742="손해조사비"),$P4742,0),$P4742*(1-AG4742)*IFERROR(INDEX(계정대체기준!$D$20:$D$49,MATCH($N4742,계정대체기준!$A$20:$A$49,0)),0)))</f>
        <v/>
      </c>
      <c r="AB4742" s="94">
        <f>IF($A4742="",0,IF(AE4742="직접",IF(AF4742="수금비",$P4742,0),$P4742*(1-AG4742)*IFERROR(INDEX(계정대체기준!$E$20:$E$49,MATCH($N4742,계정대체기준!$A$20:$A$49,0)),0)))</f>
        <v/>
      </c>
      <c r="AC4742" s="9">
        <f>IF(AND($A4742&lt;&gt;"",M4742=설정!$C$20,Z4742&gt;0),Z4742+ROW()/1000000000,"")</f>
        <v/>
      </c>
      <c r="AD4742" s="94">
        <f>IF($A4742="",0,$P4742*AG4742)</f>
        <v/>
      </c>
      <c r="AE4742" s="64">
        <f>IF($A4742="","",IFERROR(INDEX(계정매핑!$E$5:$E$504,MATCH($F4742&amp;"",계정매핑!$A$5:$A$504,0))&amp;"","공통비"))</f>
        <v/>
      </c>
      <c r="AF4742" s="64">
        <f>IF($A4742="","",IF(AE4742="직접",IFERROR(INDEX(계정매핑!$F$5:$F$504,MATCH($F4742&amp;"",계정매핑!$A$5:$A$504,0))&amp;"","비귀속"),""))</f>
        <v/>
      </c>
      <c r="AG4742" s="96">
        <f>IF($A4742="",0,IF(AND(AE4742&lt;&gt;"직접",IFERROR(INDEX(계정매핑!$G$5:$G$504,MATCH($F4742&amp;"",계정매핑!$A$5:$A$504,0))&amp;"","")="유지비",COUNTIF(계정대체기준!$A$6:$A$15,$N4742)&gt;0),IFERROR(INDEX(계정대체기준!$E$6:$E$15,MATCH(VALUE($A4742&amp;""),계정대체기준!$D$6:$D$15,0)),0),0))</f>
        <v/>
      </c>
      <c r="AH4742" s="64">
        <f>IF($A4742="","",IF(AD4742=0,"",IF(OR(COUNTIF(계정대체기준!$A$77:$A$86,$N4742)&gt;0,ISNUMBER(MATCH($X4742,계정대체기준!$D$77:$D$86,0)),ISNUMBER(MATCH($F4742,계정대체기준!$D$77:$D$86,0))),"Y","N")))</f>
        <v/>
      </c>
    </row>
    <row r="4743">
      <c r="A4743" s="92" t="n">
        <v>2026</v>
      </c>
      <c r="B4743" s="92" t="n">
        <v>9</v>
      </c>
      <c r="C4743" s="92" t="inlineStr">
        <is>
          <t>5100002021</t>
        </is>
      </c>
      <c r="D4743" s="95" t="n">
        <v>46287</v>
      </c>
      <c r="E4743" s="92" t="inlineStr">
        <is>
          <t>KR</t>
        </is>
      </c>
      <c r="F4743" s="92" t="n">
        <v>62301000</v>
      </c>
      <c r="G4743" s="92" t="n">
        <v>1401</v>
      </c>
      <c r="H4743" s="93" t="n">
        <v>131000</v>
      </c>
      <c r="I4743" s="92" t="inlineStr">
        <is>
          <t>9월 소모품 구입 - Q오피스</t>
        </is>
      </c>
      <c r="J4743" s="92" t="inlineStr">
        <is>
          <t>V10003</t>
        </is>
      </c>
      <c r="K4743" s="92" t="inlineStr">
        <is>
          <t>Q오피스</t>
        </is>
      </c>
      <c r="M4743" s="9">
        <f>IF($A4743="","",VALUE($A4743&amp;"")*12+VALUE($B4743&amp;""))</f>
        <v/>
      </c>
      <c r="N4743" s="64">
        <f>IF($A4743="","",IFERROR(INDEX(부서매핑!$C$5:$C$504,MATCH($G4743&amp;"",부서매핑!$A$5:$A$504,0)),"미매핑"))</f>
        <v/>
      </c>
      <c r="O4743" s="9">
        <f>IF($A4743="","",N4743&amp;"|"&amp;$F4743)</f>
        <v/>
      </c>
      <c r="P4743" s="94">
        <f>IF($A4743="",0,$H4743*설정!$C$23)</f>
        <v/>
      </c>
      <c r="Q4743" s="64">
        <f>IF($A4743="","",IF(O4743&lt;&gt;원인분석!$C$9,"",IF(AND(M4743&gt;=원인분석!$C$10,M4743&lt;=원인분석!$C$11),"당기",IF(AND(M4743&gt;=원인분석!$C$12,M4743&lt;=원인분석!$C$13),"비교",""))))</f>
        <v/>
      </c>
      <c r="R4743" s="9">
        <f>IF(Q4743="","",$K4743&amp;"")</f>
        <v/>
      </c>
      <c r="S4743" s="9">
        <f>IF(Q4743="","",IF(MATCH(R4743,$R$5:$R$100000,0)=ROW()-4,ROW(),""))</f>
        <v/>
      </c>
      <c r="T4743" s="9">
        <f>IF(Q4743="당기",ABS(P4743)+ROW()/1000000000,"")</f>
        <v/>
      </c>
      <c r="U4743" s="9">
        <f>IF(Q4743="비교",ABS(P4743)+ROW()/1000000000,"")</f>
        <v/>
      </c>
      <c r="V4743" s="64">
        <f>IF($A4743="","",IF(COUNTIF(변동분석!$E$7:$E$506,O4743)&gt;0,"Y","N"))</f>
        <v/>
      </c>
      <c r="W4743" s="64">
        <f>IF($A4743="","",IFERROR(INDEX(계정매핑!$D$5:$D$504,MATCH($F4743&amp;"",계정매핑!$A$5:$A$504,0)),"미매핑"))</f>
        <v/>
      </c>
      <c r="X4743" s="9">
        <f>IF($A4743="","",$F4743&amp;"")</f>
        <v/>
      </c>
      <c r="Y4743" s="94">
        <f>IF($A4743="",0,IF(AE4743="직접",IF(AF4743="비귀속",$P4743,0),$P4743*(1-AG4743)*IFERROR(INDEX(계정대체기준!$F$20:$F$49,MATCH($N4743,계정대체기준!$A$20:$A$49,0)),1)))</f>
        <v/>
      </c>
      <c r="Z4743" s="94">
        <f>IF($A4743="",0,IF(AE4743="직접",IF(AF4743="신계약비",$P4743,0),$P4743*(1-AG4743)*IFERROR(INDEX(계정대체기준!$C$20:$C$49,MATCH($N4743,계정대체기준!$A$20:$A$49,0)),0)))</f>
        <v/>
      </c>
      <c r="AA4743" s="94">
        <f>IF($A4743="",0,IF(AE4743="직접",IF(OR(AF4743="유지비",AF4743="손해조사비"),$P4743,0),$P4743*(1-AG4743)*IFERROR(INDEX(계정대체기준!$D$20:$D$49,MATCH($N4743,계정대체기준!$A$20:$A$49,0)),0)))</f>
        <v/>
      </c>
      <c r="AB4743" s="94">
        <f>IF($A4743="",0,IF(AE4743="직접",IF(AF4743="수금비",$P4743,0),$P4743*(1-AG4743)*IFERROR(INDEX(계정대체기준!$E$20:$E$49,MATCH($N4743,계정대체기준!$A$20:$A$49,0)),0)))</f>
        <v/>
      </c>
      <c r="AC4743" s="9">
        <f>IF(AND($A4743&lt;&gt;"",M4743=설정!$C$20,Z4743&gt;0),Z4743+ROW()/1000000000,"")</f>
        <v/>
      </c>
      <c r="AD4743" s="94">
        <f>IF($A4743="",0,$P4743*AG4743)</f>
        <v/>
      </c>
      <c r="AE4743" s="64">
        <f>IF($A4743="","",IFERROR(INDEX(계정매핑!$E$5:$E$504,MATCH($F4743&amp;"",계정매핑!$A$5:$A$504,0))&amp;"","공통비"))</f>
        <v/>
      </c>
      <c r="AF4743" s="64">
        <f>IF($A4743="","",IF(AE4743="직접",IFERROR(INDEX(계정매핑!$F$5:$F$504,MATCH($F4743&amp;"",계정매핑!$A$5:$A$504,0))&amp;"","비귀속"),""))</f>
        <v/>
      </c>
      <c r="AG4743" s="96">
        <f>IF($A4743="",0,IF(AND(AE4743&lt;&gt;"직접",IFERROR(INDEX(계정매핑!$G$5:$G$504,MATCH($F4743&amp;"",계정매핑!$A$5:$A$504,0))&amp;"","")="유지비",COUNTIF(계정대체기준!$A$6:$A$15,$N4743)&gt;0),IFERROR(INDEX(계정대체기준!$E$6:$E$15,MATCH(VALUE($A4743&amp;""),계정대체기준!$D$6:$D$15,0)),0),0))</f>
        <v/>
      </c>
      <c r="AH4743" s="64">
        <f>IF($A4743="","",IF(AD4743=0,"",IF(OR(COUNTIF(계정대체기준!$A$77:$A$86,$N4743)&gt;0,ISNUMBER(MATCH($X4743,계정대체기준!$D$77:$D$86,0)),ISNUMBER(MATCH($F4743,계정대체기준!$D$77:$D$86,0))),"Y","N")))</f>
        <v/>
      </c>
    </row>
    <row r="4744">
      <c r="A4744" s="92" t="n">
        <v>2026</v>
      </c>
      <c r="B4744" s="92" t="n">
        <v>9</v>
      </c>
      <c r="C4744" s="92" t="inlineStr">
        <is>
          <t>5100002022</t>
        </is>
      </c>
      <c r="D4744" s="95" t="n">
        <v>46287</v>
      </c>
      <c r="E4744" s="92" t="inlineStr">
        <is>
          <t>KR</t>
        </is>
      </c>
      <c r="F4744" s="92" t="n">
        <v>62902000</v>
      </c>
      <c r="G4744" s="92" t="n">
        <v>1101</v>
      </c>
      <c r="H4744" s="93" t="n">
        <v>2107000</v>
      </c>
      <c r="I4744" s="92" t="inlineStr">
        <is>
          <t>9월 업무 위탁 수수료 - X서비스</t>
        </is>
      </c>
      <c r="J4744" s="92" t="inlineStr">
        <is>
          <t>V10020</t>
        </is>
      </c>
      <c r="K4744" s="92" t="inlineStr">
        <is>
          <t>X서비스</t>
        </is>
      </c>
      <c r="M4744" s="9">
        <f>IF($A4744="","",VALUE($A4744&amp;"")*12+VALUE($B4744&amp;""))</f>
        <v/>
      </c>
      <c r="N4744" s="64">
        <f>IF($A4744="","",IFERROR(INDEX(부서매핑!$C$5:$C$504,MATCH($G4744&amp;"",부서매핑!$A$5:$A$504,0)),"미매핑"))</f>
        <v/>
      </c>
      <c r="O4744" s="9">
        <f>IF($A4744="","",N4744&amp;"|"&amp;$F4744)</f>
        <v/>
      </c>
      <c r="P4744" s="94">
        <f>IF($A4744="",0,$H4744*설정!$C$23)</f>
        <v/>
      </c>
      <c r="Q4744" s="64">
        <f>IF($A4744="","",IF(O4744&lt;&gt;원인분석!$C$9,"",IF(AND(M4744&gt;=원인분석!$C$10,M4744&lt;=원인분석!$C$11),"당기",IF(AND(M4744&gt;=원인분석!$C$12,M4744&lt;=원인분석!$C$13),"비교",""))))</f>
        <v/>
      </c>
      <c r="R4744" s="9">
        <f>IF(Q4744="","",$K4744&amp;"")</f>
        <v/>
      </c>
      <c r="S4744" s="9">
        <f>IF(Q4744="","",IF(MATCH(R4744,$R$5:$R$100000,0)=ROW()-4,ROW(),""))</f>
        <v/>
      </c>
      <c r="T4744" s="9">
        <f>IF(Q4744="당기",ABS(P4744)+ROW()/1000000000,"")</f>
        <v/>
      </c>
      <c r="U4744" s="9">
        <f>IF(Q4744="비교",ABS(P4744)+ROW()/1000000000,"")</f>
        <v/>
      </c>
      <c r="V4744" s="64">
        <f>IF($A4744="","",IF(COUNTIF(변동분석!$E$7:$E$506,O4744)&gt;0,"Y","N"))</f>
        <v/>
      </c>
      <c r="W4744" s="64">
        <f>IF($A4744="","",IFERROR(INDEX(계정매핑!$D$5:$D$504,MATCH($F4744&amp;"",계정매핑!$A$5:$A$504,0)),"미매핑"))</f>
        <v/>
      </c>
      <c r="X4744" s="9">
        <f>IF($A4744="","",$F4744&amp;"")</f>
        <v/>
      </c>
      <c r="Y4744" s="94">
        <f>IF($A4744="",0,IF(AE4744="직접",IF(AF4744="비귀속",$P4744,0),$P4744*(1-AG4744)*IFERROR(INDEX(계정대체기준!$F$20:$F$49,MATCH($N4744,계정대체기준!$A$20:$A$49,0)),1)))</f>
        <v/>
      </c>
      <c r="Z4744" s="94">
        <f>IF($A4744="",0,IF(AE4744="직접",IF(AF4744="신계약비",$P4744,0),$P4744*(1-AG4744)*IFERROR(INDEX(계정대체기준!$C$20:$C$49,MATCH($N4744,계정대체기준!$A$20:$A$49,0)),0)))</f>
        <v/>
      </c>
      <c r="AA4744" s="94">
        <f>IF($A4744="",0,IF(AE4744="직접",IF(OR(AF4744="유지비",AF4744="손해조사비"),$P4744,0),$P4744*(1-AG4744)*IFERROR(INDEX(계정대체기준!$D$20:$D$49,MATCH($N4744,계정대체기준!$A$20:$A$49,0)),0)))</f>
        <v/>
      </c>
      <c r="AB4744" s="94">
        <f>IF($A4744="",0,IF(AE4744="직접",IF(AF4744="수금비",$P4744,0),$P4744*(1-AG4744)*IFERROR(INDEX(계정대체기준!$E$20:$E$49,MATCH($N4744,계정대체기준!$A$20:$A$49,0)),0)))</f>
        <v/>
      </c>
      <c r="AC4744" s="9">
        <f>IF(AND($A4744&lt;&gt;"",M4744=설정!$C$20,Z4744&gt;0),Z4744+ROW()/1000000000,"")</f>
        <v/>
      </c>
      <c r="AD4744" s="94">
        <f>IF($A4744="",0,$P4744*AG4744)</f>
        <v/>
      </c>
      <c r="AE4744" s="64">
        <f>IF($A4744="","",IFERROR(INDEX(계정매핑!$E$5:$E$504,MATCH($F4744&amp;"",계정매핑!$A$5:$A$504,0))&amp;"","공통비"))</f>
        <v/>
      </c>
      <c r="AF4744" s="64">
        <f>IF($A4744="","",IF(AE4744="직접",IFERROR(INDEX(계정매핑!$F$5:$F$504,MATCH($F4744&amp;"",계정매핑!$A$5:$A$504,0))&amp;"","비귀속"),""))</f>
        <v/>
      </c>
      <c r="AG4744" s="96">
        <f>IF($A4744="",0,IF(AND(AE4744&lt;&gt;"직접",IFERROR(INDEX(계정매핑!$G$5:$G$504,MATCH($F4744&amp;"",계정매핑!$A$5:$A$504,0))&amp;"","")="유지비",COUNTIF(계정대체기준!$A$6:$A$15,$N4744)&gt;0),IFERROR(INDEX(계정대체기준!$E$6:$E$15,MATCH(VALUE($A4744&amp;""),계정대체기준!$D$6:$D$15,0)),0),0))</f>
        <v/>
      </c>
      <c r="AH4744" s="64">
        <f>IF($A4744="","",IF(AD4744=0,"",IF(OR(COUNTIF(계정대체기준!$A$77:$A$86,$N4744)&gt;0,ISNUMBER(MATCH($X4744,계정대체기준!$D$77:$D$86,0)),ISNUMBER(MATCH($F4744,계정대체기준!$D$77:$D$86,0))),"Y","N")))</f>
        <v/>
      </c>
    </row>
    <row r="4745">
      <c r="A4745" s="92" t="n">
        <v>2026</v>
      </c>
      <c r="B4745" s="92" t="n">
        <v>9</v>
      </c>
      <c r="C4745" s="92" t="inlineStr">
        <is>
          <t>5100002023</t>
        </is>
      </c>
      <c r="D4745" s="95" t="n">
        <v>46287</v>
      </c>
      <c r="E4745" s="92" t="inlineStr">
        <is>
          <t>KR</t>
        </is>
      </c>
      <c r="F4745" s="92" t="n">
        <v>62902000</v>
      </c>
      <c r="G4745" s="92" t="n">
        <v>1201</v>
      </c>
      <c r="H4745" s="93" t="n">
        <v>3383000</v>
      </c>
      <c r="I4745" s="92" t="inlineStr">
        <is>
          <t>9월 업무 위탁 수수료 - X서비스</t>
        </is>
      </c>
      <c r="J4745" s="92" t="inlineStr">
        <is>
          <t>V10020</t>
        </is>
      </c>
      <c r="K4745" s="92" t="inlineStr">
        <is>
          <t>X서비스</t>
        </is>
      </c>
      <c r="M4745" s="9">
        <f>IF($A4745="","",VALUE($A4745&amp;"")*12+VALUE($B4745&amp;""))</f>
        <v/>
      </c>
      <c r="N4745" s="64">
        <f>IF($A4745="","",IFERROR(INDEX(부서매핑!$C$5:$C$504,MATCH($G4745&amp;"",부서매핑!$A$5:$A$504,0)),"미매핑"))</f>
        <v/>
      </c>
      <c r="O4745" s="9">
        <f>IF($A4745="","",N4745&amp;"|"&amp;$F4745)</f>
        <v/>
      </c>
      <c r="P4745" s="94">
        <f>IF($A4745="",0,$H4745*설정!$C$23)</f>
        <v/>
      </c>
      <c r="Q4745" s="64">
        <f>IF($A4745="","",IF(O4745&lt;&gt;원인분석!$C$9,"",IF(AND(M4745&gt;=원인분석!$C$10,M4745&lt;=원인분석!$C$11),"당기",IF(AND(M4745&gt;=원인분석!$C$12,M4745&lt;=원인분석!$C$13),"비교",""))))</f>
        <v/>
      </c>
      <c r="R4745" s="9">
        <f>IF(Q4745="","",$K4745&amp;"")</f>
        <v/>
      </c>
      <c r="S4745" s="9">
        <f>IF(Q4745="","",IF(MATCH(R4745,$R$5:$R$100000,0)=ROW()-4,ROW(),""))</f>
        <v/>
      </c>
      <c r="T4745" s="9">
        <f>IF(Q4745="당기",ABS(P4745)+ROW()/1000000000,"")</f>
        <v/>
      </c>
      <c r="U4745" s="9">
        <f>IF(Q4745="비교",ABS(P4745)+ROW()/1000000000,"")</f>
        <v/>
      </c>
      <c r="V4745" s="64">
        <f>IF($A4745="","",IF(COUNTIF(변동분석!$E$7:$E$506,O4745)&gt;0,"Y","N"))</f>
        <v/>
      </c>
      <c r="W4745" s="64">
        <f>IF($A4745="","",IFERROR(INDEX(계정매핑!$D$5:$D$504,MATCH($F4745&amp;"",계정매핑!$A$5:$A$504,0)),"미매핑"))</f>
        <v/>
      </c>
      <c r="X4745" s="9">
        <f>IF($A4745="","",$F4745&amp;"")</f>
        <v/>
      </c>
      <c r="Y4745" s="94">
        <f>IF($A4745="",0,IF(AE4745="직접",IF(AF4745="비귀속",$P4745,0),$P4745*(1-AG4745)*IFERROR(INDEX(계정대체기준!$F$20:$F$49,MATCH($N4745,계정대체기준!$A$20:$A$49,0)),1)))</f>
        <v/>
      </c>
      <c r="Z4745" s="94">
        <f>IF($A4745="",0,IF(AE4745="직접",IF(AF4745="신계약비",$P4745,0),$P4745*(1-AG4745)*IFERROR(INDEX(계정대체기준!$C$20:$C$49,MATCH($N4745,계정대체기준!$A$20:$A$49,0)),0)))</f>
        <v/>
      </c>
      <c r="AA4745" s="94">
        <f>IF($A4745="",0,IF(AE4745="직접",IF(OR(AF4745="유지비",AF4745="손해조사비"),$P4745,0),$P4745*(1-AG4745)*IFERROR(INDEX(계정대체기준!$D$20:$D$49,MATCH($N4745,계정대체기준!$A$20:$A$49,0)),0)))</f>
        <v/>
      </c>
      <c r="AB4745" s="94">
        <f>IF($A4745="",0,IF(AE4745="직접",IF(AF4745="수금비",$P4745,0),$P4745*(1-AG4745)*IFERROR(INDEX(계정대체기준!$E$20:$E$49,MATCH($N4745,계정대체기준!$A$20:$A$49,0)),0)))</f>
        <v/>
      </c>
      <c r="AC4745" s="9">
        <f>IF(AND($A4745&lt;&gt;"",M4745=설정!$C$20,Z4745&gt;0),Z4745+ROW()/1000000000,"")</f>
        <v/>
      </c>
      <c r="AD4745" s="94">
        <f>IF($A4745="",0,$P4745*AG4745)</f>
        <v/>
      </c>
      <c r="AE4745" s="64">
        <f>IF($A4745="","",IFERROR(INDEX(계정매핑!$E$5:$E$504,MATCH($F4745&amp;"",계정매핑!$A$5:$A$504,0))&amp;"","공통비"))</f>
        <v/>
      </c>
      <c r="AF4745" s="64">
        <f>IF($A4745="","",IF(AE4745="직접",IFERROR(INDEX(계정매핑!$F$5:$F$504,MATCH($F4745&amp;"",계정매핑!$A$5:$A$504,0))&amp;"","비귀속"),""))</f>
        <v/>
      </c>
      <c r="AG4745" s="96">
        <f>IF($A4745="",0,IF(AND(AE4745&lt;&gt;"직접",IFERROR(INDEX(계정매핑!$G$5:$G$504,MATCH($F4745&amp;"",계정매핑!$A$5:$A$504,0))&amp;"","")="유지비",COUNTIF(계정대체기준!$A$6:$A$15,$N4745)&gt;0),IFERROR(INDEX(계정대체기준!$E$6:$E$15,MATCH(VALUE($A4745&amp;""),계정대체기준!$D$6:$D$15,0)),0),0))</f>
        <v/>
      </c>
      <c r="AH4745" s="64">
        <f>IF($A4745="","",IF(AD4745=0,"",IF(OR(COUNTIF(계정대체기준!$A$77:$A$86,$N4745)&gt;0,ISNUMBER(MATCH($X4745,계정대체기준!$D$77:$D$86,0)),ISNUMBER(MATCH($F4745,계정대체기준!$D$77:$D$86,0))),"Y","N")))</f>
        <v/>
      </c>
    </row>
    <row r="4746">
      <c r="A4746" s="92" t="n">
        <v>2026</v>
      </c>
      <c r="B4746" s="92" t="n">
        <v>9</v>
      </c>
      <c r="C4746" s="92" t="inlineStr">
        <is>
          <t>5100002024</t>
        </is>
      </c>
      <c r="D4746" s="95" t="n">
        <v>46287</v>
      </c>
      <c r="E4746" s="92" t="inlineStr">
        <is>
          <t>KR</t>
        </is>
      </c>
      <c r="F4746" s="92" t="n">
        <v>62902000</v>
      </c>
      <c r="G4746" s="92" t="n">
        <v>1801</v>
      </c>
      <c r="H4746" s="93" t="n">
        <v>1755000</v>
      </c>
      <c r="I4746" s="92" t="inlineStr">
        <is>
          <t>9월 콜 위탁 수수료(건별)</t>
        </is>
      </c>
      <c r="J4746" s="92" t="inlineStr">
        <is>
          <t>V10016</t>
        </is>
      </c>
      <c r="K4746" s="92" t="inlineStr">
        <is>
          <t>J콜센터</t>
        </is>
      </c>
      <c r="M4746" s="9">
        <f>IF($A4746="","",VALUE($A4746&amp;"")*12+VALUE($B4746&amp;""))</f>
        <v/>
      </c>
      <c r="N4746" s="64">
        <f>IF($A4746="","",IFERROR(INDEX(부서매핑!$C$5:$C$504,MATCH($G4746&amp;"",부서매핑!$A$5:$A$504,0)),"미매핑"))</f>
        <v/>
      </c>
      <c r="O4746" s="9">
        <f>IF($A4746="","",N4746&amp;"|"&amp;$F4746)</f>
        <v/>
      </c>
      <c r="P4746" s="94">
        <f>IF($A4746="",0,$H4746*설정!$C$23)</f>
        <v/>
      </c>
      <c r="Q4746" s="64">
        <f>IF($A4746="","",IF(O4746&lt;&gt;원인분석!$C$9,"",IF(AND(M4746&gt;=원인분석!$C$10,M4746&lt;=원인분석!$C$11),"당기",IF(AND(M4746&gt;=원인분석!$C$12,M4746&lt;=원인분석!$C$13),"비교",""))))</f>
        <v/>
      </c>
      <c r="R4746" s="9">
        <f>IF(Q4746="","",$K4746&amp;"")</f>
        <v/>
      </c>
      <c r="S4746" s="9">
        <f>IF(Q4746="","",IF(MATCH(R4746,$R$5:$R$100000,0)=ROW()-4,ROW(),""))</f>
        <v/>
      </c>
      <c r="T4746" s="9">
        <f>IF(Q4746="당기",ABS(P4746)+ROW()/1000000000,"")</f>
        <v/>
      </c>
      <c r="U4746" s="9">
        <f>IF(Q4746="비교",ABS(P4746)+ROW()/1000000000,"")</f>
        <v/>
      </c>
      <c r="V4746" s="64">
        <f>IF($A4746="","",IF(COUNTIF(변동분석!$E$7:$E$506,O4746)&gt;0,"Y","N"))</f>
        <v/>
      </c>
      <c r="W4746" s="64">
        <f>IF($A4746="","",IFERROR(INDEX(계정매핑!$D$5:$D$504,MATCH($F4746&amp;"",계정매핑!$A$5:$A$504,0)),"미매핑"))</f>
        <v/>
      </c>
      <c r="X4746" s="9">
        <f>IF($A4746="","",$F4746&amp;"")</f>
        <v/>
      </c>
      <c r="Y4746" s="94">
        <f>IF($A4746="",0,IF(AE4746="직접",IF(AF4746="비귀속",$P4746,0),$P4746*(1-AG4746)*IFERROR(INDEX(계정대체기준!$F$20:$F$49,MATCH($N4746,계정대체기준!$A$20:$A$49,0)),1)))</f>
        <v/>
      </c>
      <c r="Z4746" s="94">
        <f>IF($A4746="",0,IF(AE4746="직접",IF(AF4746="신계약비",$P4746,0),$P4746*(1-AG4746)*IFERROR(INDEX(계정대체기준!$C$20:$C$49,MATCH($N4746,계정대체기준!$A$20:$A$49,0)),0)))</f>
        <v/>
      </c>
      <c r="AA4746" s="94">
        <f>IF($A4746="",0,IF(AE4746="직접",IF(OR(AF4746="유지비",AF4746="손해조사비"),$P4746,0),$P4746*(1-AG4746)*IFERROR(INDEX(계정대체기준!$D$20:$D$49,MATCH($N4746,계정대체기준!$A$20:$A$49,0)),0)))</f>
        <v/>
      </c>
      <c r="AB4746" s="94">
        <f>IF($A4746="",0,IF(AE4746="직접",IF(AF4746="수금비",$P4746,0),$P4746*(1-AG4746)*IFERROR(INDEX(계정대체기준!$E$20:$E$49,MATCH($N4746,계정대체기준!$A$20:$A$49,0)),0)))</f>
        <v/>
      </c>
      <c r="AC4746" s="9">
        <f>IF(AND($A4746&lt;&gt;"",M4746=설정!$C$20,Z4746&gt;0),Z4746+ROW()/1000000000,"")</f>
        <v/>
      </c>
      <c r="AD4746" s="94">
        <f>IF($A4746="",0,$P4746*AG4746)</f>
        <v/>
      </c>
      <c r="AE4746" s="64">
        <f>IF($A4746="","",IFERROR(INDEX(계정매핑!$E$5:$E$504,MATCH($F4746&amp;"",계정매핑!$A$5:$A$504,0))&amp;"","공통비"))</f>
        <v/>
      </c>
      <c r="AF4746" s="64">
        <f>IF($A4746="","",IF(AE4746="직접",IFERROR(INDEX(계정매핑!$F$5:$F$504,MATCH($F4746&amp;"",계정매핑!$A$5:$A$504,0))&amp;"","비귀속"),""))</f>
        <v/>
      </c>
      <c r="AG4746" s="96">
        <f>IF($A4746="",0,IF(AND(AE4746&lt;&gt;"직접",IFERROR(INDEX(계정매핑!$G$5:$G$504,MATCH($F4746&amp;"",계정매핑!$A$5:$A$504,0))&amp;"","")="유지비",COUNTIF(계정대체기준!$A$6:$A$15,$N4746)&gt;0),IFERROR(INDEX(계정대체기준!$E$6:$E$15,MATCH(VALUE($A4746&amp;""),계정대체기준!$D$6:$D$15,0)),0),0))</f>
        <v/>
      </c>
      <c r="AH4746" s="64">
        <f>IF($A4746="","",IF(AD4746=0,"",IF(OR(COUNTIF(계정대체기준!$A$77:$A$86,$N4746)&gt;0,ISNUMBER(MATCH($X4746,계정대체기준!$D$77:$D$86,0)),ISNUMBER(MATCH($F4746,계정대체기준!$D$77:$D$86,0))),"Y","N")))</f>
        <v/>
      </c>
    </row>
    <row r="4747">
      <c r="A4747" s="92" t="n">
        <v>2026</v>
      </c>
      <c r="B4747" s="92" t="n">
        <v>9</v>
      </c>
      <c r="C4747" s="92" t="inlineStr">
        <is>
          <t>5100002025</t>
        </is>
      </c>
      <c r="D4747" s="95" t="n">
        <v>46287</v>
      </c>
      <c r="E4747" s="92" t="inlineStr">
        <is>
          <t>KR</t>
        </is>
      </c>
      <c r="F4747" s="92" t="n">
        <v>63501000</v>
      </c>
      <c r="G4747" s="92" t="n">
        <v>1902</v>
      </c>
      <c r="H4747" s="93" t="n">
        <v>443648000</v>
      </c>
      <c r="I4747" s="92" t="inlineStr">
        <is>
          <t>9월 모집수수료 - BB에셋</t>
        </is>
      </c>
      <c r="J4747" s="92" t="inlineStr">
        <is>
          <t>V10013</t>
        </is>
      </c>
      <c r="K4747" s="92" t="inlineStr">
        <is>
          <t>BB에셋</t>
        </is>
      </c>
      <c r="M4747" s="9">
        <f>IF($A4747="","",VALUE($A4747&amp;"")*12+VALUE($B4747&amp;""))</f>
        <v/>
      </c>
      <c r="N4747" s="64">
        <f>IF($A4747="","",IFERROR(INDEX(부서매핑!$C$5:$C$504,MATCH($G4747&amp;"",부서매핑!$A$5:$A$504,0)),"미매핑"))</f>
        <v/>
      </c>
      <c r="O4747" s="9">
        <f>IF($A4747="","",N4747&amp;"|"&amp;$F4747)</f>
        <v/>
      </c>
      <c r="P4747" s="94">
        <f>IF($A4747="",0,$H4747*설정!$C$23)</f>
        <v/>
      </c>
      <c r="Q4747" s="64">
        <f>IF($A4747="","",IF(O4747&lt;&gt;원인분석!$C$9,"",IF(AND(M4747&gt;=원인분석!$C$10,M4747&lt;=원인분석!$C$11),"당기",IF(AND(M4747&gt;=원인분석!$C$12,M4747&lt;=원인분석!$C$13),"비교",""))))</f>
        <v/>
      </c>
      <c r="R4747" s="9">
        <f>IF(Q4747="","",$K4747&amp;"")</f>
        <v/>
      </c>
      <c r="S4747" s="9">
        <f>IF(Q4747="","",IF(MATCH(R4747,$R$5:$R$100000,0)=ROW()-4,ROW(),""))</f>
        <v/>
      </c>
      <c r="T4747" s="9">
        <f>IF(Q4747="당기",ABS(P4747)+ROW()/1000000000,"")</f>
        <v/>
      </c>
      <c r="U4747" s="9">
        <f>IF(Q4747="비교",ABS(P4747)+ROW()/1000000000,"")</f>
        <v/>
      </c>
      <c r="V4747" s="64">
        <f>IF($A4747="","",IF(COUNTIF(변동분석!$E$7:$E$506,O4747)&gt;0,"Y","N"))</f>
        <v/>
      </c>
      <c r="W4747" s="64">
        <f>IF($A4747="","",IFERROR(INDEX(계정매핑!$D$5:$D$504,MATCH($F4747&amp;"",계정매핑!$A$5:$A$504,0)),"미매핑"))</f>
        <v/>
      </c>
      <c r="X4747" s="9">
        <f>IF($A4747="","",$F4747&amp;"")</f>
        <v/>
      </c>
      <c r="Y4747" s="94">
        <f>IF($A4747="",0,IF(AE4747="직접",IF(AF4747="비귀속",$P4747,0),$P4747*(1-AG4747)*IFERROR(INDEX(계정대체기준!$F$20:$F$49,MATCH($N4747,계정대체기준!$A$20:$A$49,0)),1)))</f>
        <v/>
      </c>
      <c r="Z4747" s="94">
        <f>IF($A4747="",0,IF(AE4747="직접",IF(AF4747="신계약비",$P4747,0),$P4747*(1-AG4747)*IFERROR(INDEX(계정대체기준!$C$20:$C$49,MATCH($N4747,계정대체기준!$A$20:$A$49,0)),0)))</f>
        <v/>
      </c>
      <c r="AA4747" s="94">
        <f>IF($A4747="",0,IF(AE4747="직접",IF(OR(AF4747="유지비",AF4747="손해조사비"),$P4747,0),$P4747*(1-AG4747)*IFERROR(INDEX(계정대체기준!$D$20:$D$49,MATCH($N4747,계정대체기준!$A$20:$A$49,0)),0)))</f>
        <v/>
      </c>
      <c r="AB4747" s="94">
        <f>IF($A4747="",0,IF(AE4747="직접",IF(AF4747="수금비",$P4747,0),$P4747*(1-AG4747)*IFERROR(INDEX(계정대체기준!$E$20:$E$49,MATCH($N4747,계정대체기준!$A$20:$A$49,0)),0)))</f>
        <v/>
      </c>
      <c r="AC4747" s="9">
        <f>IF(AND($A4747&lt;&gt;"",M4747=설정!$C$20,Z4747&gt;0),Z4747+ROW()/1000000000,"")</f>
        <v/>
      </c>
      <c r="AD4747" s="94">
        <f>IF($A4747="",0,$P4747*AG4747)</f>
        <v/>
      </c>
      <c r="AE4747" s="64">
        <f>IF($A4747="","",IFERROR(INDEX(계정매핑!$E$5:$E$504,MATCH($F4747&amp;"",계정매핑!$A$5:$A$504,0))&amp;"","공통비"))</f>
        <v/>
      </c>
      <c r="AF4747" s="64">
        <f>IF($A4747="","",IF(AE4747="직접",IFERROR(INDEX(계정매핑!$F$5:$F$504,MATCH($F4747&amp;"",계정매핑!$A$5:$A$504,0))&amp;"","비귀속"),""))</f>
        <v/>
      </c>
      <c r="AG4747" s="96">
        <f>IF($A4747="",0,IF(AND(AE4747&lt;&gt;"직접",IFERROR(INDEX(계정매핑!$G$5:$G$504,MATCH($F4747&amp;"",계정매핑!$A$5:$A$504,0))&amp;"","")="유지비",COUNTIF(계정대체기준!$A$6:$A$15,$N4747)&gt;0),IFERROR(INDEX(계정대체기준!$E$6:$E$15,MATCH(VALUE($A4747&amp;""),계정대체기준!$D$6:$D$15,0)),0),0))</f>
        <v/>
      </c>
      <c r="AH4747" s="64">
        <f>IF($A4747="","",IF(AD4747=0,"",IF(OR(COUNTIF(계정대체기준!$A$77:$A$86,$N4747)&gt;0,ISNUMBER(MATCH($X4747,계정대체기준!$D$77:$D$86,0)),ISNUMBER(MATCH($F4747,계정대체기준!$D$77:$D$86,0))),"Y","N")))</f>
        <v/>
      </c>
    </row>
    <row r="4748">
      <c r="A4748" s="92" t="n">
        <v>2026</v>
      </c>
      <c r="B4748" s="92" t="n">
        <v>9</v>
      </c>
      <c r="C4748" s="92" t="inlineStr">
        <is>
          <t>5100002026</t>
        </is>
      </c>
      <c r="D4748" s="95" t="n">
        <v>46287</v>
      </c>
      <c r="E4748" s="92" t="inlineStr">
        <is>
          <t>KR</t>
        </is>
      </c>
      <c r="F4748" s="92" t="n">
        <v>63601000</v>
      </c>
      <c r="G4748" s="92" t="n">
        <v>1801</v>
      </c>
      <c r="H4748" s="93" t="n">
        <v>4719000</v>
      </c>
      <c r="I4748" s="92" t="inlineStr">
        <is>
          <t>9월 손해사정 수수료 - EE손해사정</t>
        </is>
      </c>
      <c r="J4748" s="92" t="inlineStr">
        <is>
          <t>V10008</t>
        </is>
      </c>
      <c r="K4748" s="92" t="inlineStr">
        <is>
          <t>EE손해사정</t>
        </is>
      </c>
      <c r="M4748" s="9">
        <f>IF($A4748="","",VALUE($A4748&amp;"")*12+VALUE($B4748&amp;""))</f>
        <v/>
      </c>
      <c r="N4748" s="64">
        <f>IF($A4748="","",IFERROR(INDEX(부서매핑!$C$5:$C$504,MATCH($G4748&amp;"",부서매핑!$A$5:$A$504,0)),"미매핑"))</f>
        <v/>
      </c>
      <c r="O4748" s="9">
        <f>IF($A4748="","",N4748&amp;"|"&amp;$F4748)</f>
        <v/>
      </c>
      <c r="P4748" s="94">
        <f>IF($A4748="",0,$H4748*설정!$C$23)</f>
        <v/>
      </c>
      <c r="Q4748" s="64">
        <f>IF($A4748="","",IF(O4748&lt;&gt;원인분석!$C$9,"",IF(AND(M4748&gt;=원인분석!$C$10,M4748&lt;=원인분석!$C$11),"당기",IF(AND(M4748&gt;=원인분석!$C$12,M4748&lt;=원인분석!$C$13),"비교",""))))</f>
        <v/>
      </c>
      <c r="R4748" s="9">
        <f>IF(Q4748="","",$K4748&amp;"")</f>
        <v/>
      </c>
      <c r="S4748" s="9">
        <f>IF(Q4748="","",IF(MATCH(R4748,$R$5:$R$100000,0)=ROW()-4,ROW(),""))</f>
        <v/>
      </c>
      <c r="T4748" s="9">
        <f>IF(Q4748="당기",ABS(P4748)+ROW()/1000000000,"")</f>
        <v/>
      </c>
      <c r="U4748" s="9">
        <f>IF(Q4748="비교",ABS(P4748)+ROW()/1000000000,"")</f>
        <v/>
      </c>
      <c r="V4748" s="64">
        <f>IF($A4748="","",IF(COUNTIF(변동분석!$E$7:$E$506,O4748)&gt;0,"Y","N"))</f>
        <v/>
      </c>
      <c r="W4748" s="64">
        <f>IF($A4748="","",IFERROR(INDEX(계정매핑!$D$5:$D$504,MATCH($F4748&amp;"",계정매핑!$A$5:$A$504,0)),"미매핑"))</f>
        <v/>
      </c>
      <c r="X4748" s="9">
        <f>IF($A4748="","",$F4748&amp;"")</f>
        <v/>
      </c>
      <c r="Y4748" s="94">
        <f>IF($A4748="",0,IF(AE4748="직접",IF(AF4748="비귀속",$P4748,0),$P4748*(1-AG4748)*IFERROR(INDEX(계정대체기준!$F$20:$F$49,MATCH($N4748,계정대체기준!$A$20:$A$49,0)),1)))</f>
        <v/>
      </c>
      <c r="Z4748" s="94">
        <f>IF($A4748="",0,IF(AE4748="직접",IF(AF4748="신계약비",$P4748,0),$P4748*(1-AG4748)*IFERROR(INDEX(계정대체기준!$C$20:$C$49,MATCH($N4748,계정대체기준!$A$20:$A$49,0)),0)))</f>
        <v/>
      </c>
      <c r="AA4748" s="94">
        <f>IF($A4748="",0,IF(AE4748="직접",IF(OR(AF4748="유지비",AF4748="손해조사비"),$P4748,0),$P4748*(1-AG4748)*IFERROR(INDEX(계정대체기준!$D$20:$D$49,MATCH($N4748,계정대체기준!$A$20:$A$49,0)),0)))</f>
        <v/>
      </c>
      <c r="AB4748" s="94">
        <f>IF($A4748="",0,IF(AE4748="직접",IF(AF4748="수금비",$P4748,0),$P4748*(1-AG4748)*IFERROR(INDEX(계정대체기준!$E$20:$E$49,MATCH($N4748,계정대체기준!$A$20:$A$49,0)),0)))</f>
        <v/>
      </c>
      <c r="AC4748" s="9">
        <f>IF(AND($A4748&lt;&gt;"",M4748=설정!$C$20,Z4748&gt;0),Z4748+ROW()/1000000000,"")</f>
        <v/>
      </c>
      <c r="AD4748" s="94">
        <f>IF($A4748="",0,$P4748*AG4748)</f>
        <v/>
      </c>
      <c r="AE4748" s="64">
        <f>IF($A4748="","",IFERROR(INDEX(계정매핑!$E$5:$E$504,MATCH($F4748&amp;"",계정매핑!$A$5:$A$504,0))&amp;"","공통비"))</f>
        <v/>
      </c>
      <c r="AF4748" s="64">
        <f>IF($A4748="","",IF(AE4748="직접",IFERROR(INDEX(계정매핑!$F$5:$F$504,MATCH($F4748&amp;"",계정매핑!$A$5:$A$504,0))&amp;"","비귀속"),""))</f>
        <v/>
      </c>
      <c r="AG4748" s="96">
        <f>IF($A4748="",0,IF(AND(AE4748&lt;&gt;"직접",IFERROR(INDEX(계정매핑!$G$5:$G$504,MATCH($F4748&amp;"",계정매핑!$A$5:$A$504,0))&amp;"","")="유지비",COUNTIF(계정대체기준!$A$6:$A$15,$N4748)&gt;0),IFERROR(INDEX(계정대체기준!$E$6:$E$15,MATCH(VALUE($A4748&amp;""),계정대체기준!$D$6:$D$15,0)),0),0))</f>
        <v/>
      </c>
      <c r="AH4748" s="64">
        <f>IF($A4748="","",IF(AD4748=0,"",IF(OR(COUNTIF(계정대체기준!$A$77:$A$86,$N4748)&gt;0,ISNUMBER(MATCH($X4748,계정대체기준!$D$77:$D$86,0)),ISNUMBER(MATCH($F4748,계정대체기준!$D$77:$D$86,0))),"Y","N")))</f>
        <v/>
      </c>
    </row>
    <row r="4749">
      <c r="A4749" s="92" t="n">
        <v>2026</v>
      </c>
      <c r="B4749" s="92" t="n">
        <v>9</v>
      </c>
      <c r="C4749" s="92" t="inlineStr">
        <is>
          <t>5100002027</t>
        </is>
      </c>
      <c r="D4749" s="95" t="n">
        <v>46288</v>
      </c>
      <c r="E4749" s="92" t="inlineStr">
        <is>
          <t>KR</t>
        </is>
      </c>
      <c r="F4749" s="92" t="n">
        <v>62101000</v>
      </c>
      <c r="G4749" s="92" t="n">
        <v>1502</v>
      </c>
      <c r="H4749" s="93" t="n">
        <v>588000</v>
      </c>
      <c r="I4749" s="92" t="inlineStr">
        <is>
          <t>9월 국내출장 - L여행사</t>
        </is>
      </c>
      <c r="J4749" s="92" t="inlineStr">
        <is>
          <t>V10018</t>
        </is>
      </c>
      <c r="K4749" s="92" t="inlineStr">
        <is>
          <t>L여행사</t>
        </is>
      </c>
      <c r="M4749" s="9">
        <f>IF($A4749="","",VALUE($A4749&amp;"")*12+VALUE($B4749&amp;""))</f>
        <v/>
      </c>
      <c r="N4749" s="64">
        <f>IF($A4749="","",IFERROR(INDEX(부서매핑!$C$5:$C$504,MATCH($G4749&amp;"",부서매핑!$A$5:$A$504,0)),"미매핑"))</f>
        <v/>
      </c>
      <c r="O4749" s="9">
        <f>IF($A4749="","",N4749&amp;"|"&amp;$F4749)</f>
        <v/>
      </c>
      <c r="P4749" s="94">
        <f>IF($A4749="",0,$H4749*설정!$C$23)</f>
        <v/>
      </c>
      <c r="Q4749" s="64">
        <f>IF($A4749="","",IF(O4749&lt;&gt;원인분석!$C$9,"",IF(AND(M4749&gt;=원인분석!$C$10,M4749&lt;=원인분석!$C$11),"당기",IF(AND(M4749&gt;=원인분석!$C$12,M4749&lt;=원인분석!$C$13),"비교",""))))</f>
        <v/>
      </c>
      <c r="R4749" s="9">
        <f>IF(Q4749="","",$K4749&amp;"")</f>
        <v/>
      </c>
      <c r="S4749" s="9">
        <f>IF(Q4749="","",IF(MATCH(R4749,$R$5:$R$100000,0)=ROW()-4,ROW(),""))</f>
        <v/>
      </c>
      <c r="T4749" s="9">
        <f>IF(Q4749="당기",ABS(P4749)+ROW()/1000000000,"")</f>
        <v/>
      </c>
      <c r="U4749" s="9">
        <f>IF(Q4749="비교",ABS(P4749)+ROW()/1000000000,"")</f>
        <v/>
      </c>
      <c r="V4749" s="64">
        <f>IF($A4749="","",IF(COUNTIF(변동분석!$E$7:$E$506,O4749)&gt;0,"Y","N"))</f>
        <v/>
      </c>
      <c r="W4749" s="64">
        <f>IF($A4749="","",IFERROR(INDEX(계정매핑!$D$5:$D$504,MATCH($F4749&amp;"",계정매핑!$A$5:$A$504,0)),"미매핑"))</f>
        <v/>
      </c>
      <c r="X4749" s="9">
        <f>IF($A4749="","",$F4749&amp;"")</f>
        <v/>
      </c>
      <c r="Y4749" s="94">
        <f>IF($A4749="",0,IF(AE4749="직접",IF(AF4749="비귀속",$P4749,0),$P4749*(1-AG4749)*IFERROR(INDEX(계정대체기준!$F$20:$F$49,MATCH($N4749,계정대체기준!$A$20:$A$49,0)),1)))</f>
        <v/>
      </c>
      <c r="Z4749" s="94">
        <f>IF($A4749="",0,IF(AE4749="직접",IF(AF4749="신계약비",$P4749,0),$P4749*(1-AG4749)*IFERROR(INDEX(계정대체기준!$C$20:$C$49,MATCH($N4749,계정대체기준!$A$20:$A$49,0)),0)))</f>
        <v/>
      </c>
      <c r="AA4749" s="94">
        <f>IF($A4749="",0,IF(AE4749="직접",IF(OR(AF4749="유지비",AF4749="손해조사비"),$P4749,0),$P4749*(1-AG4749)*IFERROR(INDEX(계정대체기준!$D$20:$D$49,MATCH($N4749,계정대체기준!$A$20:$A$49,0)),0)))</f>
        <v/>
      </c>
      <c r="AB4749" s="94">
        <f>IF($A4749="",0,IF(AE4749="직접",IF(AF4749="수금비",$P4749,0),$P4749*(1-AG4749)*IFERROR(INDEX(계정대체기준!$E$20:$E$49,MATCH($N4749,계정대체기준!$A$20:$A$49,0)),0)))</f>
        <v/>
      </c>
      <c r="AC4749" s="9">
        <f>IF(AND($A4749&lt;&gt;"",M4749=설정!$C$20,Z4749&gt;0),Z4749+ROW()/1000000000,"")</f>
        <v/>
      </c>
      <c r="AD4749" s="94">
        <f>IF($A4749="",0,$P4749*AG4749)</f>
        <v/>
      </c>
      <c r="AE4749" s="64">
        <f>IF($A4749="","",IFERROR(INDEX(계정매핑!$E$5:$E$504,MATCH($F4749&amp;"",계정매핑!$A$5:$A$504,0))&amp;"","공통비"))</f>
        <v/>
      </c>
      <c r="AF4749" s="64">
        <f>IF($A4749="","",IF(AE4749="직접",IFERROR(INDEX(계정매핑!$F$5:$F$504,MATCH($F4749&amp;"",계정매핑!$A$5:$A$504,0))&amp;"","비귀속"),""))</f>
        <v/>
      </c>
      <c r="AG4749" s="96">
        <f>IF($A4749="",0,IF(AND(AE4749&lt;&gt;"직접",IFERROR(INDEX(계정매핑!$G$5:$G$504,MATCH($F4749&amp;"",계정매핑!$A$5:$A$504,0))&amp;"","")="유지비",COUNTIF(계정대체기준!$A$6:$A$15,$N4749)&gt;0),IFERROR(INDEX(계정대체기준!$E$6:$E$15,MATCH(VALUE($A4749&amp;""),계정대체기준!$D$6:$D$15,0)),0),0))</f>
        <v/>
      </c>
      <c r="AH4749" s="64">
        <f>IF($A4749="","",IF(AD4749=0,"",IF(OR(COUNTIF(계정대체기준!$A$77:$A$86,$N4749)&gt;0,ISNUMBER(MATCH($X4749,계정대체기준!$D$77:$D$86,0)),ISNUMBER(MATCH($F4749,계정대체기준!$D$77:$D$86,0))),"Y","N")))</f>
        <v/>
      </c>
    </row>
    <row r="4750">
      <c r="A4750" s="92" t="n">
        <v>2026</v>
      </c>
      <c r="B4750" s="92" t="n">
        <v>9</v>
      </c>
      <c r="C4750" s="92" t="inlineStr">
        <is>
          <t>5100002028</t>
        </is>
      </c>
      <c r="D4750" s="95" t="n">
        <v>46288</v>
      </c>
      <c r="E4750" s="92" t="inlineStr">
        <is>
          <t>KR</t>
        </is>
      </c>
      <c r="F4750" s="92" t="n">
        <v>62102000</v>
      </c>
      <c r="G4750" s="92" t="n">
        <v>1501</v>
      </c>
      <c r="H4750" s="93" t="n">
        <v>162000</v>
      </c>
      <c r="I4750" s="92" t="inlineStr">
        <is>
          <t>9월 해외출장 - M항공</t>
        </is>
      </c>
      <c r="J4750" s="92" t="inlineStr">
        <is>
          <t>V10001</t>
        </is>
      </c>
      <c r="K4750" s="92" t="inlineStr">
        <is>
          <t>M항공</t>
        </is>
      </c>
      <c r="M4750" s="9">
        <f>IF($A4750="","",VALUE($A4750&amp;"")*12+VALUE($B4750&amp;""))</f>
        <v/>
      </c>
      <c r="N4750" s="64">
        <f>IF($A4750="","",IFERROR(INDEX(부서매핑!$C$5:$C$504,MATCH($G4750&amp;"",부서매핑!$A$5:$A$504,0)),"미매핑"))</f>
        <v/>
      </c>
      <c r="O4750" s="9">
        <f>IF($A4750="","",N4750&amp;"|"&amp;$F4750)</f>
        <v/>
      </c>
      <c r="P4750" s="94">
        <f>IF($A4750="",0,$H4750*설정!$C$23)</f>
        <v/>
      </c>
      <c r="Q4750" s="64">
        <f>IF($A4750="","",IF(O4750&lt;&gt;원인분석!$C$9,"",IF(AND(M4750&gt;=원인분석!$C$10,M4750&lt;=원인분석!$C$11),"당기",IF(AND(M4750&gt;=원인분석!$C$12,M4750&lt;=원인분석!$C$13),"비교",""))))</f>
        <v/>
      </c>
      <c r="R4750" s="9">
        <f>IF(Q4750="","",$K4750&amp;"")</f>
        <v/>
      </c>
      <c r="S4750" s="9">
        <f>IF(Q4750="","",IF(MATCH(R4750,$R$5:$R$100000,0)=ROW()-4,ROW(),""))</f>
        <v/>
      </c>
      <c r="T4750" s="9">
        <f>IF(Q4750="당기",ABS(P4750)+ROW()/1000000000,"")</f>
        <v/>
      </c>
      <c r="U4750" s="9">
        <f>IF(Q4750="비교",ABS(P4750)+ROW()/1000000000,"")</f>
        <v/>
      </c>
      <c r="V4750" s="64">
        <f>IF($A4750="","",IF(COUNTIF(변동분석!$E$7:$E$506,O4750)&gt;0,"Y","N"))</f>
        <v/>
      </c>
      <c r="W4750" s="64">
        <f>IF($A4750="","",IFERROR(INDEX(계정매핑!$D$5:$D$504,MATCH($F4750&amp;"",계정매핑!$A$5:$A$504,0)),"미매핑"))</f>
        <v/>
      </c>
      <c r="X4750" s="9">
        <f>IF($A4750="","",$F4750&amp;"")</f>
        <v/>
      </c>
      <c r="Y4750" s="94">
        <f>IF($A4750="",0,IF(AE4750="직접",IF(AF4750="비귀속",$P4750,0),$P4750*(1-AG4750)*IFERROR(INDEX(계정대체기준!$F$20:$F$49,MATCH($N4750,계정대체기준!$A$20:$A$49,0)),1)))</f>
        <v/>
      </c>
      <c r="Z4750" s="94">
        <f>IF($A4750="",0,IF(AE4750="직접",IF(AF4750="신계약비",$P4750,0),$P4750*(1-AG4750)*IFERROR(INDEX(계정대체기준!$C$20:$C$49,MATCH($N4750,계정대체기준!$A$20:$A$49,0)),0)))</f>
        <v/>
      </c>
      <c r="AA4750" s="94">
        <f>IF($A4750="",0,IF(AE4750="직접",IF(OR(AF4750="유지비",AF4750="손해조사비"),$P4750,0),$P4750*(1-AG4750)*IFERROR(INDEX(계정대체기준!$D$20:$D$49,MATCH($N4750,계정대체기준!$A$20:$A$49,0)),0)))</f>
        <v/>
      </c>
      <c r="AB4750" s="94">
        <f>IF($A4750="",0,IF(AE4750="직접",IF(AF4750="수금비",$P4750,0),$P4750*(1-AG4750)*IFERROR(INDEX(계정대체기준!$E$20:$E$49,MATCH($N4750,계정대체기준!$A$20:$A$49,0)),0)))</f>
        <v/>
      </c>
      <c r="AC4750" s="9">
        <f>IF(AND($A4750&lt;&gt;"",M4750=설정!$C$20,Z4750&gt;0),Z4750+ROW()/1000000000,"")</f>
        <v/>
      </c>
      <c r="AD4750" s="94">
        <f>IF($A4750="",0,$P4750*AG4750)</f>
        <v/>
      </c>
      <c r="AE4750" s="64">
        <f>IF($A4750="","",IFERROR(INDEX(계정매핑!$E$5:$E$504,MATCH($F4750&amp;"",계정매핑!$A$5:$A$504,0))&amp;"","공통비"))</f>
        <v/>
      </c>
      <c r="AF4750" s="64">
        <f>IF($A4750="","",IF(AE4750="직접",IFERROR(INDEX(계정매핑!$F$5:$F$504,MATCH($F4750&amp;"",계정매핑!$A$5:$A$504,0))&amp;"","비귀속"),""))</f>
        <v/>
      </c>
      <c r="AG4750" s="96">
        <f>IF($A4750="",0,IF(AND(AE4750&lt;&gt;"직접",IFERROR(INDEX(계정매핑!$G$5:$G$504,MATCH($F4750&amp;"",계정매핑!$A$5:$A$504,0))&amp;"","")="유지비",COUNTIF(계정대체기준!$A$6:$A$15,$N4750)&gt;0),IFERROR(INDEX(계정대체기준!$E$6:$E$15,MATCH(VALUE($A4750&amp;""),계정대체기준!$D$6:$D$15,0)),0),0))</f>
        <v/>
      </c>
      <c r="AH4750" s="64">
        <f>IF($A4750="","",IF(AD4750=0,"",IF(OR(COUNTIF(계정대체기준!$A$77:$A$86,$N4750)&gt;0,ISNUMBER(MATCH($X4750,계정대체기준!$D$77:$D$86,0)),ISNUMBER(MATCH($F4750,계정대체기준!$D$77:$D$86,0))),"Y","N")))</f>
        <v/>
      </c>
    </row>
    <row r="4751">
      <c r="A4751" s="92" t="n">
        <v>2026</v>
      </c>
      <c r="B4751" s="92" t="n">
        <v>9</v>
      </c>
      <c r="C4751" s="92" t="inlineStr">
        <is>
          <t>5100002029</t>
        </is>
      </c>
      <c r="D4751" s="95" t="n">
        <v>46288</v>
      </c>
      <c r="E4751" s="92" t="inlineStr">
        <is>
          <t>KR</t>
        </is>
      </c>
      <c r="F4751" s="92" t="n">
        <v>62201000</v>
      </c>
      <c r="G4751" s="92" t="n">
        <v>1301</v>
      </c>
      <c r="H4751" s="93" t="n">
        <v>304000</v>
      </c>
      <c r="I4751" s="92" t="inlineStr">
        <is>
          <t>9월 통신요금 - P통신</t>
        </is>
      </c>
      <c r="J4751" s="92" t="inlineStr">
        <is>
          <t>V10014</t>
        </is>
      </c>
      <c r="K4751" s="92" t="inlineStr">
        <is>
          <t>P통신</t>
        </is>
      </c>
      <c r="M4751" s="9">
        <f>IF($A4751="","",VALUE($A4751&amp;"")*12+VALUE($B4751&amp;""))</f>
        <v/>
      </c>
      <c r="N4751" s="64">
        <f>IF($A4751="","",IFERROR(INDEX(부서매핑!$C$5:$C$504,MATCH($G4751&amp;"",부서매핑!$A$5:$A$504,0)),"미매핑"))</f>
        <v/>
      </c>
      <c r="O4751" s="9">
        <f>IF($A4751="","",N4751&amp;"|"&amp;$F4751)</f>
        <v/>
      </c>
      <c r="P4751" s="94">
        <f>IF($A4751="",0,$H4751*설정!$C$23)</f>
        <v/>
      </c>
      <c r="Q4751" s="64">
        <f>IF($A4751="","",IF(O4751&lt;&gt;원인분석!$C$9,"",IF(AND(M4751&gt;=원인분석!$C$10,M4751&lt;=원인분석!$C$11),"당기",IF(AND(M4751&gt;=원인분석!$C$12,M4751&lt;=원인분석!$C$13),"비교",""))))</f>
        <v/>
      </c>
      <c r="R4751" s="9">
        <f>IF(Q4751="","",$K4751&amp;"")</f>
        <v/>
      </c>
      <c r="S4751" s="9">
        <f>IF(Q4751="","",IF(MATCH(R4751,$R$5:$R$100000,0)=ROW()-4,ROW(),""))</f>
        <v/>
      </c>
      <c r="T4751" s="9">
        <f>IF(Q4751="당기",ABS(P4751)+ROW()/1000000000,"")</f>
        <v/>
      </c>
      <c r="U4751" s="9">
        <f>IF(Q4751="비교",ABS(P4751)+ROW()/1000000000,"")</f>
        <v/>
      </c>
      <c r="V4751" s="64">
        <f>IF($A4751="","",IF(COUNTIF(변동분석!$E$7:$E$506,O4751)&gt;0,"Y","N"))</f>
        <v/>
      </c>
      <c r="W4751" s="64">
        <f>IF($A4751="","",IFERROR(INDEX(계정매핑!$D$5:$D$504,MATCH($F4751&amp;"",계정매핑!$A$5:$A$504,0)),"미매핑"))</f>
        <v/>
      </c>
      <c r="X4751" s="9">
        <f>IF($A4751="","",$F4751&amp;"")</f>
        <v/>
      </c>
      <c r="Y4751" s="94">
        <f>IF($A4751="",0,IF(AE4751="직접",IF(AF4751="비귀속",$P4751,0),$P4751*(1-AG4751)*IFERROR(INDEX(계정대체기준!$F$20:$F$49,MATCH($N4751,계정대체기준!$A$20:$A$49,0)),1)))</f>
        <v/>
      </c>
      <c r="Z4751" s="94">
        <f>IF($A4751="",0,IF(AE4751="직접",IF(AF4751="신계약비",$P4751,0),$P4751*(1-AG4751)*IFERROR(INDEX(계정대체기준!$C$20:$C$49,MATCH($N4751,계정대체기준!$A$20:$A$49,0)),0)))</f>
        <v/>
      </c>
      <c r="AA4751" s="94">
        <f>IF($A4751="",0,IF(AE4751="직접",IF(OR(AF4751="유지비",AF4751="손해조사비"),$P4751,0),$P4751*(1-AG4751)*IFERROR(INDEX(계정대체기준!$D$20:$D$49,MATCH($N4751,계정대체기준!$A$20:$A$49,0)),0)))</f>
        <v/>
      </c>
      <c r="AB4751" s="94">
        <f>IF($A4751="",0,IF(AE4751="직접",IF(AF4751="수금비",$P4751,0),$P4751*(1-AG4751)*IFERROR(INDEX(계정대체기준!$E$20:$E$49,MATCH($N4751,계정대체기준!$A$20:$A$49,0)),0)))</f>
        <v/>
      </c>
      <c r="AC4751" s="9">
        <f>IF(AND($A4751&lt;&gt;"",M4751=설정!$C$20,Z4751&gt;0),Z4751+ROW()/1000000000,"")</f>
        <v/>
      </c>
      <c r="AD4751" s="94">
        <f>IF($A4751="",0,$P4751*AG4751)</f>
        <v/>
      </c>
      <c r="AE4751" s="64">
        <f>IF($A4751="","",IFERROR(INDEX(계정매핑!$E$5:$E$504,MATCH($F4751&amp;"",계정매핑!$A$5:$A$504,0))&amp;"","공통비"))</f>
        <v/>
      </c>
      <c r="AF4751" s="64">
        <f>IF($A4751="","",IF(AE4751="직접",IFERROR(INDEX(계정매핑!$F$5:$F$504,MATCH($F4751&amp;"",계정매핑!$A$5:$A$504,0))&amp;"","비귀속"),""))</f>
        <v/>
      </c>
      <c r="AG4751" s="96">
        <f>IF($A4751="",0,IF(AND(AE4751&lt;&gt;"직접",IFERROR(INDEX(계정매핑!$G$5:$G$504,MATCH($F4751&amp;"",계정매핑!$A$5:$A$504,0))&amp;"","")="유지비",COUNTIF(계정대체기준!$A$6:$A$15,$N4751)&gt;0),IFERROR(INDEX(계정대체기준!$E$6:$E$15,MATCH(VALUE($A4751&amp;""),계정대체기준!$D$6:$D$15,0)),0),0))</f>
        <v/>
      </c>
      <c r="AH4751" s="64">
        <f>IF($A4751="","",IF(AD4751=0,"",IF(OR(COUNTIF(계정대체기준!$A$77:$A$86,$N4751)&gt;0,ISNUMBER(MATCH($X4751,계정대체기준!$D$77:$D$86,0)),ISNUMBER(MATCH($F4751,계정대체기준!$D$77:$D$86,0))),"Y","N")))</f>
        <v/>
      </c>
    </row>
    <row r="4752">
      <c r="A4752" s="92" t="n">
        <v>2026</v>
      </c>
      <c r="B4752" s="92" t="n">
        <v>9</v>
      </c>
      <c r="C4752" s="92" t="inlineStr">
        <is>
          <t>5100002030</t>
        </is>
      </c>
      <c r="D4752" s="95" t="n">
        <v>46288</v>
      </c>
      <c r="E4752" s="92" t="inlineStr">
        <is>
          <t>KR</t>
        </is>
      </c>
      <c r="F4752" s="92" t="n">
        <v>62301000</v>
      </c>
      <c r="G4752" s="92" t="n">
        <v>1801</v>
      </c>
      <c r="H4752" s="93" t="n">
        <v>756000</v>
      </c>
      <c r="I4752" s="92" t="inlineStr">
        <is>
          <t>9월 소모품 구입 - Q오피스</t>
        </is>
      </c>
      <c r="J4752" s="92" t="inlineStr">
        <is>
          <t>V10003</t>
        </is>
      </c>
      <c r="K4752" s="92" t="inlineStr">
        <is>
          <t>Q오피스</t>
        </is>
      </c>
      <c r="M4752" s="9">
        <f>IF($A4752="","",VALUE($A4752&amp;"")*12+VALUE($B4752&amp;""))</f>
        <v/>
      </c>
      <c r="N4752" s="64">
        <f>IF($A4752="","",IFERROR(INDEX(부서매핑!$C$5:$C$504,MATCH($G4752&amp;"",부서매핑!$A$5:$A$504,0)),"미매핑"))</f>
        <v/>
      </c>
      <c r="O4752" s="9">
        <f>IF($A4752="","",N4752&amp;"|"&amp;$F4752)</f>
        <v/>
      </c>
      <c r="P4752" s="94">
        <f>IF($A4752="",0,$H4752*설정!$C$23)</f>
        <v/>
      </c>
      <c r="Q4752" s="64">
        <f>IF($A4752="","",IF(O4752&lt;&gt;원인분석!$C$9,"",IF(AND(M4752&gt;=원인분석!$C$10,M4752&lt;=원인분석!$C$11),"당기",IF(AND(M4752&gt;=원인분석!$C$12,M4752&lt;=원인분석!$C$13),"비교",""))))</f>
        <v/>
      </c>
      <c r="R4752" s="9">
        <f>IF(Q4752="","",$K4752&amp;"")</f>
        <v/>
      </c>
      <c r="S4752" s="9">
        <f>IF(Q4752="","",IF(MATCH(R4752,$R$5:$R$100000,0)=ROW()-4,ROW(),""))</f>
        <v/>
      </c>
      <c r="T4752" s="9">
        <f>IF(Q4752="당기",ABS(P4752)+ROW()/1000000000,"")</f>
        <v/>
      </c>
      <c r="U4752" s="9">
        <f>IF(Q4752="비교",ABS(P4752)+ROW()/1000000000,"")</f>
        <v/>
      </c>
      <c r="V4752" s="64">
        <f>IF($A4752="","",IF(COUNTIF(변동분석!$E$7:$E$506,O4752)&gt;0,"Y","N"))</f>
        <v/>
      </c>
      <c r="W4752" s="64">
        <f>IF($A4752="","",IFERROR(INDEX(계정매핑!$D$5:$D$504,MATCH($F4752&amp;"",계정매핑!$A$5:$A$504,0)),"미매핑"))</f>
        <v/>
      </c>
      <c r="X4752" s="9">
        <f>IF($A4752="","",$F4752&amp;"")</f>
        <v/>
      </c>
      <c r="Y4752" s="94">
        <f>IF($A4752="",0,IF(AE4752="직접",IF(AF4752="비귀속",$P4752,0),$P4752*(1-AG4752)*IFERROR(INDEX(계정대체기준!$F$20:$F$49,MATCH($N4752,계정대체기준!$A$20:$A$49,0)),1)))</f>
        <v/>
      </c>
      <c r="Z4752" s="94">
        <f>IF($A4752="",0,IF(AE4752="직접",IF(AF4752="신계약비",$P4752,0),$P4752*(1-AG4752)*IFERROR(INDEX(계정대체기준!$C$20:$C$49,MATCH($N4752,계정대체기준!$A$20:$A$49,0)),0)))</f>
        <v/>
      </c>
      <c r="AA4752" s="94">
        <f>IF($A4752="",0,IF(AE4752="직접",IF(OR(AF4752="유지비",AF4752="손해조사비"),$P4752,0),$P4752*(1-AG4752)*IFERROR(INDEX(계정대체기준!$D$20:$D$49,MATCH($N4752,계정대체기준!$A$20:$A$49,0)),0)))</f>
        <v/>
      </c>
      <c r="AB4752" s="94">
        <f>IF($A4752="",0,IF(AE4752="직접",IF(AF4752="수금비",$P4752,0),$P4752*(1-AG4752)*IFERROR(INDEX(계정대체기준!$E$20:$E$49,MATCH($N4752,계정대체기준!$A$20:$A$49,0)),0)))</f>
        <v/>
      </c>
      <c r="AC4752" s="9">
        <f>IF(AND($A4752&lt;&gt;"",M4752=설정!$C$20,Z4752&gt;0),Z4752+ROW()/1000000000,"")</f>
        <v/>
      </c>
      <c r="AD4752" s="94">
        <f>IF($A4752="",0,$P4752*AG4752)</f>
        <v/>
      </c>
      <c r="AE4752" s="64">
        <f>IF($A4752="","",IFERROR(INDEX(계정매핑!$E$5:$E$504,MATCH($F4752&amp;"",계정매핑!$A$5:$A$504,0))&amp;"","공통비"))</f>
        <v/>
      </c>
      <c r="AF4752" s="64">
        <f>IF($A4752="","",IF(AE4752="직접",IFERROR(INDEX(계정매핑!$F$5:$F$504,MATCH($F4752&amp;"",계정매핑!$A$5:$A$504,0))&amp;"","비귀속"),""))</f>
        <v/>
      </c>
      <c r="AG4752" s="96">
        <f>IF($A4752="",0,IF(AND(AE4752&lt;&gt;"직접",IFERROR(INDEX(계정매핑!$G$5:$G$504,MATCH($F4752&amp;"",계정매핑!$A$5:$A$504,0))&amp;"","")="유지비",COUNTIF(계정대체기준!$A$6:$A$15,$N4752)&gt;0),IFERROR(INDEX(계정대체기준!$E$6:$E$15,MATCH(VALUE($A4752&amp;""),계정대체기준!$D$6:$D$15,0)),0),0))</f>
        <v/>
      </c>
      <c r="AH4752" s="64">
        <f>IF($A4752="","",IF(AD4752=0,"",IF(OR(COUNTIF(계정대체기준!$A$77:$A$86,$N4752)&gt;0,ISNUMBER(MATCH($X4752,계정대체기준!$D$77:$D$86,0)),ISNUMBER(MATCH($F4752,계정대체기준!$D$77:$D$86,0))),"Y","N")))</f>
        <v/>
      </c>
    </row>
    <row r="4753">
      <c r="A4753" s="92" t="n">
        <v>2026</v>
      </c>
      <c r="B4753" s="92" t="n">
        <v>9</v>
      </c>
      <c r="C4753" s="92" t="inlineStr">
        <is>
          <t>5100002031</t>
        </is>
      </c>
      <c r="D4753" s="95" t="n">
        <v>46288</v>
      </c>
      <c r="E4753" s="92" t="inlineStr">
        <is>
          <t>KR</t>
        </is>
      </c>
      <c r="F4753" s="92" t="n">
        <v>62501000</v>
      </c>
      <c r="G4753" s="92" t="n">
        <v>1301</v>
      </c>
      <c r="H4753" s="93" t="n">
        <v>181000</v>
      </c>
      <c r="I4753" s="92" t="inlineStr">
        <is>
          <t>9월 회의 다과 - T케이터링</t>
        </is>
      </c>
      <c r="J4753" s="92" t="inlineStr">
        <is>
          <t>V10005</t>
        </is>
      </c>
      <c r="K4753" s="92" t="inlineStr">
        <is>
          <t>T케이터링</t>
        </is>
      </c>
      <c r="M4753" s="9">
        <f>IF($A4753="","",VALUE($A4753&amp;"")*12+VALUE($B4753&amp;""))</f>
        <v/>
      </c>
      <c r="N4753" s="64">
        <f>IF($A4753="","",IFERROR(INDEX(부서매핑!$C$5:$C$504,MATCH($G4753&amp;"",부서매핑!$A$5:$A$504,0)),"미매핑"))</f>
        <v/>
      </c>
      <c r="O4753" s="9">
        <f>IF($A4753="","",N4753&amp;"|"&amp;$F4753)</f>
        <v/>
      </c>
      <c r="P4753" s="94">
        <f>IF($A4753="",0,$H4753*설정!$C$23)</f>
        <v/>
      </c>
      <c r="Q4753" s="64">
        <f>IF($A4753="","",IF(O4753&lt;&gt;원인분석!$C$9,"",IF(AND(M4753&gt;=원인분석!$C$10,M4753&lt;=원인분석!$C$11),"당기",IF(AND(M4753&gt;=원인분석!$C$12,M4753&lt;=원인분석!$C$13),"비교",""))))</f>
        <v/>
      </c>
      <c r="R4753" s="9">
        <f>IF(Q4753="","",$K4753&amp;"")</f>
        <v/>
      </c>
      <c r="S4753" s="9">
        <f>IF(Q4753="","",IF(MATCH(R4753,$R$5:$R$100000,0)=ROW()-4,ROW(),""))</f>
        <v/>
      </c>
      <c r="T4753" s="9">
        <f>IF(Q4753="당기",ABS(P4753)+ROW()/1000000000,"")</f>
        <v/>
      </c>
      <c r="U4753" s="9">
        <f>IF(Q4753="비교",ABS(P4753)+ROW()/1000000000,"")</f>
        <v/>
      </c>
      <c r="V4753" s="64">
        <f>IF($A4753="","",IF(COUNTIF(변동분석!$E$7:$E$506,O4753)&gt;0,"Y","N"))</f>
        <v/>
      </c>
      <c r="W4753" s="64">
        <f>IF($A4753="","",IFERROR(INDEX(계정매핑!$D$5:$D$504,MATCH($F4753&amp;"",계정매핑!$A$5:$A$504,0)),"미매핑"))</f>
        <v/>
      </c>
      <c r="X4753" s="9">
        <f>IF($A4753="","",$F4753&amp;"")</f>
        <v/>
      </c>
      <c r="Y4753" s="94">
        <f>IF($A4753="",0,IF(AE4753="직접",IF(AF4753="비귀속",$P4753,0),$P4753*(1-AG4753)*IFERROR(INDEX(계정대체기준!$F$20:$F$49,MATCH($N4753,계정대체기준!$A$20:$A$49,0)),1)))</f>
        <v/>
      </c>
      <c r="Z4753" s="94">
        <f>IF($A4753="",0,IF(AE4753="직접",IF(AF4753="신계약비",$P4753,0),$P4753*(1-AG4753)*IFERROR(INDEX(계정대체기준!$C$20:$C$49,MATCH($N4753,계정대체기준!$A$20:$A$49,0)),0)))</f>
        <v/>
      </c>
      <c r="AA4753" s="94">
        <f>IF($A4753="",0,IF(AE4753="직접",IF(OR(AF4753="유지비",AF4753="손해조사비"),$P4753,0),$P4753*(1-AG4753)*IFERROR(INDEX(계정대체기준!$D$20:$D$49,MATCH($N4753,계정대체기준!$A$20:$A$49,0)),0)))</f>
        <v/>
      </c>
      <c r="AB4753" s="94">
        <f>IF($A4753="",0,IF(AE4753="직접",IF(AF4753="수금비",$P4753,0),$P4753*(1-AG4753)*IFERROR(INDEX(계정대체기준!$E$20:$E$49,MATCH($N4753,계정대체기준!$A$20:$A$49,0)),0)))</f>
        <v/>
      </c>
      <c r="AC4753" s="9">
        <f>IF(AND($A4753&lt;&gt;"",M4753=설정!$C$20,Z4753&gt;0),Z4753+ROW()/1000000000,"")</f>
        <v/>
      </c>
      <c r="AD4753" s="94">
        <f>IF($A4753="",0,$P4753*AG4753)</f>
        <v/>
      </c>
      <c r="AE4753" s="64">
        <f>IF($A4753="","",IFERROR(INDEX(계정매핑!$E$5:$E$504,MATCH($F4753&amp;"",계정매핑!$A$5:$A$504,0))&amp;"","공통비"))</f>
        <v/>
      </c>
      <c r="AF4753" s="64">
        <f>IF($A4753="","",IF(AE4753="직접",IFERROR(INDEX(계정매핑!$F$5:$F$504,MATCH($F4753&amp;"",계정매핑!$A$5:$A$504,0))&amp;"","비귀속"),""))</f>
        <v/>
      </c>
      <c r="AG4753" s="96">
        <f>IF($A4753="",0,IF(AND(AE4753&lt;&gt;"직접",IFERROR(INDEX(계정매핑!$G$5:$G$504,MATCH($F4753&amp;"",계정매핑!$A$5:$A$504,0))&amp;"","")="유지비",COUNTIF(계정대체기준!$A$6:$A$15,$N4753)&gt;0),IFERROR(INDEX(계정대체기준!$E$6:$E$15,MATCH(VALUE($A4753&amp;""),계정대체기준!$D$6:$D$15,0)),0),0))</f>
        <v/>
      </c>
      <c r="AH4753" s="64">
        <f>IF($A4753="","",IF(AD4753=0,"",IF(OR(COUNTIF(계정대체기준!$A$77:$A$86,$N4753)&gt;0,ISNUMBER(MATCH($X4753,계정대체기준!$D$77:$D$86,0)),ISNUMBER(MATCH($F4753,계정대체기준!$D$77:$D$86,0))),"Y","N")))</f>
        <v/>
      </c>
    </row>
    <row r="4754">
      <c r="A4754" s="92" t="n">
        <v>2026</v>
      </c>
      <c r="B4754" s="92" t="n">
        <v>9</v>
      </c>
      <c r="C4754" s="92" t="inlineStr">
        <is>
          <t>5100002032</t>
        </is>
      </c>
      <c r="D4754" s="95" t="n">
        <v>46288</v>
      </c>
      <c r="E4754" s="92" t="inlineStr">
        <is>
          <t>KR</t>
        </is>
      </c>
      <c r="F4754" s="92" t="n">
        <v>62501000</v>
      </c>
      <c r="G4754" s="92" t="n">
        <v>1502</v>
      </c>
      <c r="H4754" s="93" t="n">
        <v>252000</v>
      </c>
      <c r="I4754" s="92" t="inlineStr">
        <is>
          <t>9월 회의 다과 - (법인카드)</t>
        </is>
      </c>
      <c r="J4754" s="92" t="inlineStr">
        <is>
          <t>V10010</t>
        </is>
      </c>
      <c r="K4754" s="92" t="inlineStr">
        <is>
          <t>(법인카드)</t>
        </is>
      </c>
      <c r="M4754" s="9">
        <f>IF($A4754="","",VALUE($A4754&amp;"")*12+VALUE($B4754&amp;""))</f>
        <v/>
      </c>
      <c r="N4754" s="64">
        <f>IF($A4754="","",IFERROR(INDEX(부서매핑!$C$5:$C$504,MATCH($G4754&amp;"",부서매핑!$A$5:$A$504,0)),"미매핑"))</f>
        <v/>
      </c>
      <c r="O4754" s="9">
        <f>IF($A4754="","",N4754&amp;"|"&amp;$F4754)</f>
        <v/>
      </c>
      <c r="P4754" s="94">
        <f>IF($A4754="",0,$H4754*설정!$C$23)</f>
        <v/>
      </c>
      <c r="Q4754" s="64">
        <f>IF($A4754="","",IF(O4754&lt;&gt;원인분석!$C$9,"",IF(AND(M4754&gt;=원인분석!$C$10,M4754&lt;=원인분석!$C$11),"당기",IF(AND(M4754&gt;=원인분석!$C$12,M4754&lt;=원인분석!$C$13),"비교",""))))</f>
        <v/>
      </c>
      <c r="R4754" s="9">
        <f>IF(Q4754="","",$K4754&amp;"")</f>
        <v/>
      </c>
      <c r="S4754" s="9">
        <f>IF(Q4754="","",IF(MATCH(R4754,$R$5:$R$100000,0)=ROW()-4,ROW(),""))</f>
        <v/>
      </c>
      <c r="T4754" s="9">
        <f>IF(Q4754="당기",ABS(P4754)+ROW()/1000000000,"")</f>
        <v/>
      </c>
      <c r="U4754" s="9">
        <f>IF(Q4754="비교",ABS(P4754)+ROW()/1000000000,"")</f>
        <v/>
      </c>
      <c r="V4754" s="64">
        <f>IF($A4754="","",IF(COUNTIF(변동분석!$E$7:$E$506,O4754)&gt;0,"Y","N"))</f>
        <v/>
      </c>
      <c r="W4754" s="64">
        <f>IF($A4754="","",IFERROR(INDEX(계정매핑!$D$5:$D$504,MATCH($F4754&amp;"",계정매핑!$A$5:$A$504,0)),"미매핑"))</f>
        <v/>
      </c>
      <c r="X4754" s="9">
        <f>IF($A4754="","",$F4754&amp;"")</f>
        <v/>
      </c>
      <c r="Y4754" s="94">
        <f>IF($A4754="",0,IF(AE4754="직접",IF(AF4754="비귀속",$P4754,0),$P4754*(1-AG4754)*IFERROR(INDEX(계정대체기준!$F$20:$F$49,MATCH($N4754,계정대체기준!$A$20:$A$49,0)),1)))</f>
        <v/>
      </c>
      <c r="Z4754" s="94">
        <f>IF($A4754="",0,IF(AE4754="직접",IF(AF4754="신계약비",$P4754,0),$P4754*(1-AG4754)*IFERROR(INDEX(계정대체기준!$C$20:$C$49,MATCH($N4754,계정대체기준!$A$20:$A$49,0)),0)))</f>
        <v/>
      </c>
      <c r="AA4754" s="94">
        <f>IF($A4754="",0,IF(AE4754="직접",IF(OR(AF4754="유지비",AF4754="손해조사비"),$P4754,0),$P4754*(1-AG4754)*IFERROR(INDEX(계정대체기준!$D$20:$D$49,MATCH($N4754,계정대체기준!$A$20:$A$49,0)),0)))</f>
        <v/>
      </c>
      <c r="AB4754" s="94">
        <f>IF($A4754="",0,IF(AE4754="직접",IF(AF4754="수금비",$P4754,0),$P4754*(1-AG4754)*IFERROR(INDEX(계정대체기준!$E$20:$E$49,MATCH($N4754,계정대체기준!$A$20:$A$49,0)),0)))</f>
        <v/>
      </c>
      <c r="AC4754" s="9">
        <f>IF(AND($A4754&lt;&gt;"",M4754=설정!$C$20,Z4754&gt;0),Z4754+ROW()/1000000000,"")</f>
        <v/>
      </c>
      <c r="AD4754" s="94">
        <f>IF($A4754="",0,$P4754*AG4754)</f>
        <v/>
      </c>
      <c r="AE4754" s="64">
        <f>IF($A4754="","",IFERROR(INDEX(계정매핑!$E$5:$E$504,MATCH($F4754&amp;"",계정매핑!$A$5:$A$504,0))&amp;"","공통비"))</f>
        <v/>
      </c>
      <c r="AF4754" s="64">
        <f>IF($A4754="","",IF(AE4754="직접",IFERROR(INDEX(계정매핑!$F$5:$F$504,MATCH($F4754&amp;"",계정매핑!$A$5:$A$504,0))&amp;"","비귀속"),""))</f>
        <v/>
      </c>
      <c r="AG4754" s="96">
        <f>IF($A4754="",0,IF(AND(AE4754&lt;&gt;"직접",IFERROR(INDEX(계정매핑!$G$5:$G$504,MATCH($F4754&amp;"",계정매핑!$A$5:$A$504,0))&amp;"","")="유지비",COUNTIF(계정대체기준!$A$6:$A$15,$N4754)&gt;0),IFERROR(INDEX(계정대체기준!$E$6:$E$15,MATCH(VALUE($A4754&amp;""),계정대체기준!$D$6:$D$15,0)),0),0))</f>
        <v/>
      </c>
      <c r="AH4754" s="64">
        <f>IF($A4754="","",IF(AD4754=0,"",IF(OR(COUNTIF(계정대체기준!$A$77:$A$86,$N4754)&gt;0,ISNUMBER(MATCH($X4754,계정대체기준!$D$77:$D$86,0)),ISNUMBER(MATCH($F4754,계정대체기준!$D$77:$D$86,0))),"Y","N")))</f>
        <v/>
      </c>
    </row>
    <row r="4755">
      <c r="A4755" s="92" t="n">
        <v>2026</v>
      </c>
      <c r="B4755" s="92" t="n">
        <v>9</v>
      </c>
      <c r="C4755" s="92" t="inlineStr">
        <is>
          <t>5100002033</t>
        </is>
      </c>
      <c r="D4755" s="95" t="n">
        <v>46288</v>
      </c>
      <c r="E4755" s="92" t="inlineStr">
        <is>
          <t>KR</t>
        </is>
      </c>
      <c r="F4755" s="92" t="n">
        <v>62901000</v>
      </c>
      <c r="G4755" s="92" t="n">
        <v>1951</v>
      </c>
      <c r="H4755" s="93" t="n">
        <v>6552000</v>
      </c>
      <c r="I4755" s="92" t="inlineStr">
        <is>
          <t>9월 자문 수수료 - K회계법인</t>
        </is>
      </c>
      <c r="J4755" s="92" t="inlineStr">
        <is>
          <t>V10011</t>
        </is>
      </c>
      <c r="K4755" s="92" t="inlineStr">
        <is>
          <t>K회계법인</t>
        </is>
      </c>
      <c r="M4755" s="9">
        <f>IF($A4755="","",VALUE($A4755&amp;"")*12+VALUE($B4755&amp;""))</f>
        <v/>
      </c>
      <c r="N4755" s="64">
        <f>IF($A4755="","",IFERROR(INDEX(부서매핑!$C$5:$C$504,MATCH($G4755&amp;"",부서매핑!$A$5:$A$504,0)),"미매핑"))</f>
        <v/>
      </c>
      <c r="O4755" s="9">
        <f>IF($A4755="","",N4755&amp;"|"&amp;$F4755)</f>
        <v/>
      </c>
      <c r="P4755" s="94">
        <f>IF($A4755="",0,$H4755*설정!$C$23)</f>
        <v/>
      </c>
      <c r="Q4755" s="64">
        <f>IF($A4755="","",IF(O4755&lt;&gt;원인분석!$C$9,"",IF(AND(M4755&gt;=원인분석!$C$10,M4755&lt;=원인분석!$C$11),"당기",IF(AND(M4755&gt;=원인분석!$C$12,M4755&lt;=원인분석!$C$13),"비교",""))))</f>
        <v/>
      </c>
      <c r="R4755" s="9">
        <f>IF(Q4755="","",$K4755&amp;"")</f>
        <v/>
      </c>
      <c r="S4755" s="9">
        <f>IF(Q4755="","",IF(MATCH(R4755,$R$5:$R$100000,0)=ROW()-4,ROW(),""))</f>
        <v/>
      </c>
      <c r="T4755" s="9">
        <f>IF(Q4755="당기",ABS(P4755)+ROW()/1000000000,"")</f>
        <v/>
      </c>
      <c r="U4755" s="9">
        <f>IF(Q4755="비교",ABS(P4755)+ROW()/1000000000,"")</f>
        <v/>
      </c>
      <c r="V4755" s="64">
        <f>IF($A4755="","",IF(COUNTIF(변동분석!$E$7:$E$506,O4755)&gt;0,"Y","N"))</f>
        <v/>
      </c>
      <c r="W4755" s="64">
        <f>IF($A4755="","",IFERROR(INDEX(계정매핑!$D$5:$D$504,MATCH($F4755&amp;"",계정매핑!$A$5:$A$504,0)),"미매핑"))</f>
        <v/>
      </c>
      <c r="X4755" s="9">
        <f>IF($A4755="","",$F4755&amp;"")</f>
        <v/>
      </c>
      <c r="Y4755" s="94">
        <f>IF($A4755="",0,IF(AE4755="직접",IF(AF4755="비귀속",$P4755,0),$P4755*(1-AG4755)*IFERROR(INDEX(계정대체기준!$F$20:$F$49,MATCH($N4755,계정대체기준!$A$20:$A$49,0)),1)))</f>
        <v/>
      </c>
      <c r="Z4755" s="94">
        <f>IF($A4755="",0,IF(AE4755="직접",IF(AF4755="신계약비",$P4755,0),$P4755*(1-AG4755)*IFERROR(INDEX(계정대체기준!$C$20:$C$49,MATCH($N4755,계정대체기준!$A$20:$A$49,0)),0)))</f>
        <v/>
      </c>
      <c r="AA4755" s="94">
        <f>IF($A4755="",0,IF(AE4755="직접",IF(OR(AF4755="유지비",AF4755="손해조사비"),$P4755,0),$P4755*(1-AG4755)*IFERROR(INDEX(계정대체기준!$D$20:$D$49,MATCH($N4755,계정대체기준!$A$20:$A$49,0)),0)))</f>
        <v/>
      </c>
      <c r="AB4755" s="94">
        <f>IF($A4755="",0,IF(AE4755="직접",IF(AF4755="수금비",$P4755,0),$P4755*(1-AG4755)*IFERROR(INDEX(계정대체기준!$E$20:$E$49,MATCH($N4755,계정대체기준!$A$20:$A$49,0)),0)))</f>
        <v/>
      </c>
      <c r="AC4755" s="9">
        <f>IF(AND($A4755&lt;&gt;"",M4755=설정!$C$20,Z4755&gt;0),Z4755+ROW()/1000000000,"")</f>
        <v/>
      </c>
      <c r="AD4755" s="94">
        <f>IF($A4755="",0,$P4755*AG4755)</f>
        <v/>
      </c>
      <c r="AE4755" s="64">
        <f>IF($A4755="","",IFERROR(INDEX(계정매핑!$E$5:$E$504,MATCH($F4755&amp;"",계정매핑!$A$5:$A$504,0))&amp;"","공통비"))</f>
        <v/>
      </c>
      <c r="AF4755" s="64">
        <f>IF($A4755="","",IF(AE4755="직접",IFERROR(INDEX(계정매핑!$F$5:$F$504,MATCH($F4755&amp;"",계정매핑!$A$5:$A$504,0))&amp;"","비귀속"),""))</f>
        <v/>
      </c>
      <c r="AG4755" s="96">
        <f>IF($A4755="",0,IF(AND(AE4755&lt;&gt;"직접",IFERROR(INDEX(계정매핑!$G$5:$G$504,MATCH($F4755&amp;"",계정매핑!$A$5:$A$504,0))&amp;"","")="유지비",COUNTIF(계정대체기준!$A$6:$A$15,$N4755)&gt;0),IFERROR(INDEX(계정대체기준!$E$6:$E$15,MATCH(VALUE($A4755&amp;""),계정대체기준!$D$6:$D$15,0)),0),0))</f>
        <v/>
      </c>
      <c r="AH4755" s="64">
        <f>IF($A4755="","",IF(AD4755=0,"",IF(OR(COUNTIF(계정대체기준!$A$77:$A$86,$N4755)&gt;0,ISNUMBER(MATCH($X4755,계정대체기준!$D$77:$D$86,0)),ISNUMBER(MATCH($F4755,계정대체기준!$D$77:$D$86,0))),"Y","N")))</f>
        <v/>
      </c>
    </row>
    <row r="4756">
      <c r="A4756" s="92" t="n">
        <v>2026</v>
      </c>
      <c r="B4756" s="92" t="n">
        <v>9</v>
      </c>
      <c r="C4756" s="92" t="inlineStr">
        <is>
          <t>5100002034</t>
        </is>
      </c>
      <c r="D4756" s="95" t="n">
        <v>46288</v>
      </c>
      <c r="E4756" s="92" t="inlineStr">
        <is>
          <t>KR</t>
        </is>
      </c>
      <c r="F4756" s="92" t="n">
        <v>63001000</v>
      </c>
      <c r="G4756" s="92" t="n">
        <v>1951</v>
      </c>
      <c r="H4756" s="93" t="n">
        <v>3327000</v>
      </c>
      <c r="I4756" s="92" t="inlineStr">
        <is>
          <t>9월 SW 유지보수 - Y소프트</t>
        </is>
      </c>
      <c r="J4756" s="92" t="inlineStr">
        <is>
          <t>V10017</t>
        </is>
      </c>
      <c r="K4756" s="92" t="inlineStr">
        <is>
          <t>Y소프트</t>
        </is>
      </c>
      <c r="M4756" s="9">
        <f>IF($A4756="","",VALUE($A4756&amp;"")*12+VALUE($B4756&amp;""))</f>
        <v/>
      </c>
      <c r="N4756" s="64">
        <f>IF($A4756="","",IFERROR(INDEX(부서매핑!$C$5:$C$504,MATCH($G4756&amp;"",부서매핑!$A$5:$A$504,0)),"미매핑"))</f>
        <v/>
      </c>
      <c r="O4756" s="9">
        <f>IF($A4756="","",N4756&amp;"|"&amp;$F4756)</f>
        <v/>
      </c>
      <c r="P4756" s="94">
        <f>IF($A4756="",0,$H4756*설정!$C$23)</f>
        <v/>
      </c>
      <c r="Q4756" s="64">
        <f>IF($A4756="","",IF(O4756&lt;&gt;원인분석!$C$9,"",IF(AND(M4756&gt;=원인분석!$C$10,M4756&lt;=원인분석!$C$11),"당기",IF(AND(M4756&gt;=원인분석!$C$12,M4756&lt;=원인분석!$C$13),"비교",""))))</f>
        <v/>
      </c>
      <c r="R4756" s="9">
        <f>IF(Q4756="","",$K4756&amp;"")</f>
        <v/>
      </c>
      <c r="S4756" s="9">
        <f>IF(Q4756="","",IF(MATCH(R4756,$R$5:$R$100000,0)=ROW()-4,ROW(),""))</f>
        <v/>
      </c>
      <c r="T4756" s="9">
        <f>IF(Q4756="당기",ABS(P4756)+ROW()/1000000000,"")</f>
        <v/>
      </c>
      <c r="U4756" s="9">
        <f>IF(Q4756="비교",ABS(P4756)+ROW()/1000000000,"")</f>
        <v/>
      </c>
      <c r="V4756" s="64">
        <f>IF($A4756="","",IF(COUNTIF(변동분석!$E$7:$E$506,O4756)&gt;0,"Y","N"))</f>
        <v/>
      </c>
      <c r="W4756" s="64">
        <f>IF($A4756="","",IFERROR(INDEX(계정매핑!$D$5:$D$504,MATCH($F4756&amp;"",계정매핑!$A$5:$A$504,0)),"미매핑"))</f>
        <v/>
      </c>
      <c r="X4756" s="9">
        <f>IF($A4756="","",$F4756&amp;"")</f>
        <v/>
      </c>
      <c r="Y4756" s="94">
        <f>IF($A4756="",0,IF(AE4756="직접",IF(AF4756="비귀속",$P4756,0),$P4756*(1-AG4756)*IFERROR(INDEX(계정대체기준!$F$20:$F$49,MATCH($N4756,계정대체기준!$A$20:$A$49,0)),1)))</f>
        <v/>
      </c>
      <c r="Z4756" s="94">
        <f>IF($A4756="",0,IF(AE4756="직접",IF(AF4756="신계약비",$P4756,0),$P4756*(1-AG4756)*IFERROR(INDEX(계정대체기준!$C$20:$C$49,MATCH($N4756,계정대체기준!$A$20:$A$49,0)),0)))</f>
        <v/>
      </c>
      <c r="AA4756" s="94">
        <f>IF($A4756="",0,IF(AE4756="직접",IF(OR(AF4756="유지비",AF4756="손해조사비"),$P4756,0),$P4756*(1-AG4756)*IFERROR(INDEX(계정대체기준!$D$20:$D$49,MATCH($N4756,계정대체기준!$A$20:$A$49,0)),0)))</f>
        <v/>
      </c>
      <c r="AB4756" s="94">
        <f>IF($A4756="",0,IF(AE4756="직접",IF(AF4756="수금비",$P4756,0),$P4756*(1-AG4756)*IFERROR(INDEX(계정대체기준!$E$20:$E$49,MATCH($N4756,계정대체기준!$A$20:$A$49,0)),0)))</f>
        <v/>
      </c>
      <c r="AC4756" s="9">
        <f>IF(AND($A4756&lt;&gt;"",M4756=설정!$C$20,Z4756&gt;0),Z4756+ROW()/1000000000,"")</f>
        <v/>
      </c>
      <c r="AD4756" s="94">
        <f>IF($A4756="",0,$P4756*AG4756)</f>
        <v/>
      </c>
      <c r="AE4756" s="64">
        <f>IF($A4756="","",IFERROR(INDEX(계정매핑!$E$5:$E$504,MATCH($F4756&amp;"",계정매핑!$A$5:$A$504,0))&amp;"","공통비"))</f>
        <v/>
      </c>
      <c r="AF4756" s="64">
        <f>IF($A4756="","",IF(AE4756="직접",IFERROR(INDEX(계정매핑!$F$5:$F$504,MATCH($F4756&amp;"",계정매핑!$A$5:$A$504,0))&amp;"","비귀속"),""))</f>
        <v/>
      </c>
      <c r="AG4756" s="96">
        <f>IF($A4756="",0,IF(AND(AE4756&lt;&gt;"직접",IFERROR(INDEX(계정매핑!$G$5:$G$504,MATCH($F4756&amp;"",계정매핑!$A$5:$A$504,0))&amp;"","")="유지비",COUNTIF(계정대체기준!$A$6:$A$15,$N4756)&gt;0),IFERROR(INDEX(계정대체기준!$E$6:$E$15,MATCH(VALUE($A4756&amp;""),계정대체기준!$D$6:$D$15,0)),0),0))</f>
        <v/>
      </c>
      <c r="AH4756" s="64">
        <f>IF($A4756="","",IF(AD4756=0,"",IF(OR(COUNTIF(계정대체기준!$A$77:$A$86,$N4756)&gt;0,ISNUMBER(MATCH($X4756,계정대체기준!$D$77:$D$86,0)),ISNUMBER(MATCH($F4756,계정대체기준!$D$77:$D$86,0))),"Y","N")))</f>
        <v/>
      </c>
    </row>
    <row r="4757">
      <c r="A4757" s="92" t="n">
        <v>2026</v>
      </c>
      <c r="B4757" s="92" t="n">
        <v>9</v>
      </c>
      <c r="C4757" s="92" t="inlineStr">
        <is>
          <t>5100002035</t>
        </is>
      </c>
      <c r="D4757" s="95" t="n">
        <v>46289</v>
      </c>
      <c r="E4757" s="92" t="inlineStr">
        <is>
          <t>KR</t>
        </is>
      </c>
      <c r="F4757" s="92" t="n">
        <v>62101000</v>
      </c>
      <c r="G4757" s="92" t="n">
        <v>1101</v>
      </c>
      <c r="H4757" s="93" t="n">
        <v>630000</v>
      </c>
      <c r="I4757" s="92" t="inlineStr">
        <is>
          <t>9월 국내출장 - M항공</t>
        </is>
      </c>
      <c r="J4757" s="92" t="inlineStr">
        <is>
          <t>V10001</t>
        </is>
      </c>
      <c r="K4757" s="92" t="inlineStr">
        <is>
          <t>M항공</t>
        </is>
      </c>
      <c r="M4757" s="9">
        <f>IF($A4757="","",VALUE($A4757&amp;"")*12+VALUE($B4757&amp;""))</f>
        <v/>
      </c>
      <c r="N4757" s="64">
        <f>IF($A4757="","",IFERROR(INDEX(부서매핑!$C$5:$C$504,MATCH($G4757&amp;"",부서매핑!$A$5:$A$504,0)),"미매핑"))</f>
        <v/>
      </c>
      <c r="O4757" s="9">
        <f>IF($A4757="","",N4757&amp;"|"&amp;$F4757)</f>
        <v/>
      </c>
      <c r="P4757" s="94">
        <f>IF($A4757="",0,$H4757*설정!$C$23)</f>
        <v/>
      </c>
      <c r="Q4757" s="64">
        <f>IF($A4757="","",IF(O4757&lt;&gt;원인분석!$C$9,"",IF(AND(M4757&gt;=원인분석!$C$10,M4757&lt;=원인분석!$C$11),"당기",IF(AND(M4757&gt;=원인분석!$C$12,M4757&lt;=원인분석!$C$13),"비교",""))))</f>
        <v/>
      </c>
      <c r="R4757" s="9">
        <f>IF(Q4757="","",$K4757&amp;"")</f>
        <v/>
      </c>
      <c r="S4757" s="9">
        <f>IF(Q4757="","",IF(MATCH(R4757,$R$5:$R$100000,0)=ROW()-4,ROW(),""))</f>
        <v/>
      </c>
      <c r="T4757" s="9">
        <f>IF(Q4757="당기",ABS(P4757)+ROW()/1000000000,"")</f>
        <v/>
      </c>
      <c r="U4757" s="9">
        <f>IF(Q4757="비교",ABS(P4757)+ROW()/1000000000,"")</f>
        <v/>
      </c>
      <c r="V4757" s="64">
        <f>IF($A4757="","",IF(COUNTIF(변동분석!$E$7:$E$506,O4757)&gt;0,"Y","N"))</f>
        <v/>
      </c>
      <c r="W4757" s="64">
        <f>IF($A4757="","",IFERROR(INDEX(계정매핑!$D$5:$D$504,MATCH($F4757&amp;"",계정매핑!$A$5:$A$504,0)),"미매핑"))</f>
        <v/>
      </c>
      <c r="X4757" s="9">
        <f>IF($A4757="","",$F4757&amp;"")</f>
        <v/>
      </c>
      <c r="Y4757" s="94">
        <f>IF($A4757="",0,IF(AE4757="직접",IF(AF4757="비귀속",$P4757,0),$P4757*(1-AG4757)*IFERROR(INDEX(계정대체기준!$F$20:$F$49,MATCH($N4757,계정대체기준!$A$20:$A$49,0)),1)))</f>
        <v/>
      </c>
      <c r="Z4757" s="94">
        <f>IF($A4757="",0,IF(AE4757="직접",IF(AF4757="신계약비",$P4757,0),$P4757*(1-AG4757)*IFERROR(INDEX(계정대체기준!$C$20:$C$49,MATCH($N4757,계정대체기준!$A$20:$A$49,0)),0)))</f>
        <v/>
      </c>
      <c r="AA4757" s="94">
        <f>IF($A4757="",0,IF(AE4757="직접",IF(OR(AF4757="유지비",AF4757="손해조사비"),$P4757,0),$P4757*(1-AG4757)*IFERROR(INDEX(계정대체기준!$D$20:$D$49,MATCH($N4757,계정대체기준!$A$20:$A$49,0)),0)))</f>
        <v/>
      </c>
      <c r="AB4757" s="94">
        <f>IF($A4757="",0,IF(AE4757="직접",IF(AF4757="수금비",$P4757,0),$P4757*(1-AG4757)*IFERROR(INDEX(계정대체기준!$E$20:$E$49,MATCH($N4757,계정대체기준!$A$20:$A$49,0)),0)))</f>
        <v/>
      </c>
      <c r="AC4757" s="9">
        <f>IF(AND($A4757&lt;&gt;"",M4757=설정!$C$20,Z4757&gt;0),Z4757+ROW()/1000000000,"")</f>
        <v/>
      </c>
      <c r="AD4757" s="94">
        <f>IF($A4757="",0,$P4757*AG4757)</f>
        <v/>
      </c>
      <c r="AE4757" s="64">
        <f>IF($A4757="","",IFERROR(INDEX(계정매핑!$E$5:$E$504,MATCH($F4757&amp;"",계정매핑!$A$5:$A$504,0))&amp;"","공통비"))</f>
        <v/>
      </c>
      <c r="AF4757" s="64">
        <f>IF($A4757="","",IF(AE4757="직접",IFERROR(INDEX(계정매핑!$F$5:$F$504,MATCH($F4757&amp;"",계정매핑!$A$5:$A$504,0))&amp;"","비귀속"),""))</f>
        <v/>
      </c>
      <c r="AG4757" s="96">
        <f>IF($A4757="",0,IF(AND(AE4757&lt;&gt;"직접",IFERROR(INDEX(계정매핑!$G$5:$G$504,MATCH($F4757&amp;"",계정매핑!$A$5:$A$504,0))&amp;"","")="유지비",COUNTIF(계정대체기준!$A$6:$A$15,$N4757)&gt;0),IFERROR(INDEX(계정대체기준!$E$6:$E$15,MATCH(VALUE($A4757&amp;""),계정대체기준!$D$6:$D$15,0)),0),0))</f>
        <v/>
      </c>
      <c r="AH4757" s="64">
        <f>IF($A4757="","",IF(AD4757=0,"",IF(OR(COUNTIF(계정대체기준!$A$77:$A$86,$N4757)&gt;0,ISNUMBER(MATCH($X4757,계정대체기준!$D$77:$D$86,0)),ISNUMBER(MATCH($F4757,계정대체기준!$D$77:$D$86,0))),"Y","N")))</f>
        <v/>
      </c>
    </row>
    <row r="4758">
      <c r="A4758" s="92" t="n">
        <v>2026</v>
      </c>
      <c r="B4758" s="92" t="n">
        <v>9</v>
      </c>
      <c r="C4758" s="92" t="inlineStr">
        <is>
          <t>5100002036</t>
        </is>
      </c>
      <c r="D4758" s="95" t="n">
        <v>46289</v>
      </c>
      <c r="E4758" s="92" t="inlineStr">
        <is>
          <t>KR</t>
        </is>
      </c>
      <c r="F4758" s="92" t="n">
        <v>62101000</v>
      </c>
      <c r="G4758" s="92" t="n">
        <v>1201</v>
      </c>
      <c r="H4758" s="93" t="n">
        <v>316000</v>
      </c>
      <c r="I4758" s="92" t="inlineStr">
        <is>
          <t>9월 국내출장 - L여행사</t>
        </is>
      </c>
      <c r="J4758" s="92" t="inlineStr">
        <is>
          <t>V10018</t>
        </is>
      </c>
      <c r="K4758" s="92" t="inlineStr">
        <is>
          <t>L여행사</t>
        </is>
      </c>
      <c r="M4758" s="9">
        <f>IF($A4758="","",VALUE($A4758&amp;"")*12+VALUE($B4758&amp;""))</f>
        <v/>
      </c>
      <c r="N4758" s="64">
        <f>IF($A4758="","",IFERROR(INDEX(부서매핑!$C$5:$C$504,MATCH($G4758&amp;"",부서매핑!$A$5:$A$504,0)),"미매핑"))</f>
        <v/>
      </c>
      <c r="O4758" s="9">
        <f>IF($A4758="","",N4758&amp;"|"&amp;$F4758)</f>
        <v/>
      </c>
      <c r="P4758" s="94">
        <f>IF($A4758="",0,$H4758*설정!$C$23)</f>
        <v/>
      </c>
      <c r="Q4758" s="64">
        <f>IF($A4758="","",IF(O4758&lt;&gt;원인분석!$C$9,"",IF(AND(M4758&gt;=원인분석!$C$10,M4758&lt;=원인분석!$C$11),"당기",IF(AND(M4758&gt;=원인분석!$C$12,M4758&lt;=원인분석!$C$13),"비교",""))))</f>
        <v/>
      </c>
      <c r="R4758" s="9">
        <f>IF(Q4758="","",$K4758&amp;"")</f>
        <v/>
      </c>
      <c r="S4758" s="9">
        <f>IF(Q4758="","",IF(MATCH(R4758,$R$5:$R$100000,0)=ROW()-4,ROW(),""))</f>
        <v/>
      </c>
      <c r="T4758" s="9">
        <f>IF(Q4758="당기",ABS(P4758)+ROW()/1000000000,"")</f>
        <v/>
      </c>
      <c r="U4758" s="9">
        <f>IF(Q4758="비교",ABS(P4758)+ROW()/1000000000,"")</f>
        <v/>
      </c>
      <c r="V4758" s="64">
        <f>IF($A4758="","",IF(COUNTIF(변동분석!$E$7:$E$506,O4758)&gt;0,"Y","N"))</f>
        <v/>
      </c>
      <c r="W4758" s="64">
        <f>IF($A4758="","",IFERROR(INDEX(계정매핑!$D$5:$D$504,MATCH($F4758&amp;"",계정매핑!$A$5:$A$504,0)),"미매핑"))</f>
        <v/>
      </c>
      <c r="X4758" s="9">
        <f>IF($A4758="","",$F4758&amp;"")</f>
        <v/>
      </c>
      <c r="Y4758" s="94">
        <f>IF($A4758="",0,IF(AE4758="직접",IF(AF4758="비귀속",$P4758,0),$P4758*(1-AG4758)*IFERROR(INDEX(계정대체기준!$F$20:$F$49,MATCH($N4758,계정대체기준!$A$20:$A$49,0)),1)))</f>
        <v/>
      </c>
      <c r="Z4758" s="94">
        <f>IF($A4758="",0,IF(AE4758="직접",IF(AF4758="신계약비",$P4758,0),$P4758*(1-AG4758)*IFERROR(INDEX(계정대체기준!$C$20:$C$49,MATCH($N4758,계정대체기준!$A$20:$A$49,0)),0)))</f>
        <v/>
      </c>
      <c r="AA4758" s="94">
        <f>IF($A4758="",0,IF(AE4758="직접",IF(OR(AF4758="유지비",AF4758="손해조사비"),$P4758,0),$P4758*(1-AG4758)*IFERROR(INDEX(계정대체기준!$D$20:$D$49,MATCH($N4758,계정대체기준!$A$20:$A$49,0)),0)))</f>
        <v/>
      </c>
      <c r="AB4758" s="94">
        <f>IF($A4758="",0,IF(AE4758="직접",IF(AF4758="수금비",$P4758,0),$P4758*(1-AG4758)*IFERROR(INDEX(계정대체기준!$E$20:$E$49,MATCH($N4758,계정대체기준!$A$20:$A$49,0)),0)))</f>
        <v/>
      </c>
      <c r="AC4758" s="9">
        <f>IF(AND($A4758&lt;&gt;"",M4758=설정!$C$20,Z4758&gt;0),Z4758+ROW()/1000000000,"")</f>
        <v/>
      </c>
      <c r="AD4758" s="94">
        <f>IF($A4758="",0,$P4758*AG4758)</f>
        <v/>
      </c>
      <c r="AE4758" s="64">
        <f>IF($A4758="","",IFERROR(INDEX(계정매핑!$E$5:$E$504,MATCH($F4758&amp;"",계정매핑!$A$5:$A$504,0))&amp;"","공통비"))</f>
        <v/>
      </c>
      <c r="AF4758" s="64">
        <f>IF($A4758="","",IF(AE4758="직접",IFERROR(INDEX(계정매핑!$F$5:$F$504,MATCH($F4758&amp;"",계정매핑!$A$5:$A$504,0))&amp;"","비귀속"),""))</f>
        <v/>
      </c>
      <c r="AG4758" s="96">
        <f>IF($A4758="",0,IF(AND(AE4758&lt;&gt;"직접",IFERROR(INDEX(계정매핑!$G$5:$G$504,MATCH($F4758&amp;"",계정매핑!$A$5:$A$504,0))&amp;"","")="유지비",COUNTIF(계정대체기준!$A$6:$A$15,$N4758)&gt;0),IFERROR(INDEX(계정대체기준!$E$6:$E$15,MATCH(VALUE($A4758&amp;""),계정대체기준!$D$6:$D$15,0)),0),0))</f>
        <v/>
      </c>
      <c r="AH4758" s="64">
        <f>IF($A4758="","",IF(AD4758=0,"",IF(OR(COUNTIF(계정대체기준!$A$77:$A$86,$N4758)&gt;0,ISNUMBER(MATCH($X4758,계정대체기준!$D$77:$D$86,0)),ISNUMBER(MATCH($F4758,계정대체기준!$D$77:$D$86,0))),"Y","N")))</f>
        <v/>
      </c>
    </row>
    <row r="4759">
      <c r="A4759" s="92" t="n">
        <v>2026</v>
      </c>
      <c r="B4759" s="92" t="n">
        <v>9</v>
      </c>
      <c r="C4759" s="92" t="inlineStr">
        <is>
          <t>5100002037</t>
        </is>
      </c>
      <c r="D4759" s="95" t="n">
        <v>46289</v>
      </c>
      <c r="E4759" s="92" t="inlineStr">
        <is>
          <t>KR</t>
        </is>
      </c>
      <c r="F4759" s="92" t="n">
        <v>62101000</v>
      </c>
      <c r="G4759" s="92" t="n">
        <v>1401</v>
      </c>
      <c r="H4759" s="93" t="n">
        <v>266000</v>
      </c>
      <c r="I4759" s="92" t="inlineStr">
        <is>
          <t>9월 국내출장 - M항공</t>
        </is>
      </c>
      <c r="J4759" s="92" t="inlineStr">
        <is>
          <t>V10001</t>
        </is>
      </c>
      <c r="K4759" s="92" t="inlineStr">
        <is>
          <t>M항공</t>
        </is>
      </c>
      <c r="M4759" s="9">
        <f>IF($A4759="","",VALUE($A4759&amp;"")*12+VALUE($B4759&amp;""))</f>
        <v/>
      </c>
      <c r="N4759" s="64">
        <f>IF($A4759="","",IFERROR(INDEX(부서매핑!$C$5:$C$504,MATCH($G4759&amp;"",부서매핑!$A$5:$A$504,0)),"미매핑"))</f>
        <v/>
      </c>
      <c r="O4759" s="9">
        <f>IF($A4759="","",N4759&amp;"|"&amp;$F4759)</f>
        <v/>
      </c>
      <c r="P4759" s="94">
        <f>IF($A4759="",0,$H4759*설정!$C$23)</f>
        <v/>
      </c>
      <c r="Q4759" s="64">
        <f>IF($A4759="","",IF(O4759&lt;&gt;원인분석!$C$9,"",IF(AND(M4759&gt;=원인분석!$C$10,M4759&lt;=원인분석!$C$11),"당기",IF(AND(M4759&gt;=원인분석!$C$12,M4759&lt;=원인분석!$C$13),"비교",""))))</f>
        <v/>
      </c>
      <c r="R4759" s="9">
        <f>IF(Q4759="","",$K4759&amp;"")</f>
        <v/>
      </c>
      <c r="S4759" s="9">
        <f>IF(Q4759="","",IF(MATCH(R4759,$R$5:$R$100000,0)=ROW()-4,ROW(),""))</f>
        <v/>
      </c>
      <c r="T4759" s="9">
        <f>IF(Q4759="당기",ABS(P4759)+ROW()/1000000000,"")</f>
        <v/>
      </c>
      <c r="U4759" s="9">
        <f>IF(Q4759="비교",ABS(P4759)+ROW()/1000000000,"")</f>
        <v/>
      </c>
      <c r="V4759" s="64">
        <f>IF($A4759="","",IF(COUNTIF(변동분석!$E$7:$E$506,O4759)&gt;0,"Y","N"))</f>
        <v/>
      </c>
      <c r="W4759" s="64">
        <f>IF($A4759="","",IFERROR(INDEX(계정매핑!$D$5:$D$504,MATCH($F4759&amp;"",계정매핑!$A$5:$A$504,0)),"미매핑"))</f>
        <v/>
      </c>
      <c r="X4759" s="9">
        <f>IF($A4759="","",$F4759&amp;"")</f>
        <v/>
      </c>
      <c r="Y4759" s="94">
        <f>IF($A4759="",0,IF(AE4759="직접",IF(AF4759="비귀속",$P4759,0),$P4759*(1-AG4759)*IFERROR(INDEX(계정대체기준!$F$20:$F$49,MATCH($N4759,계정대체기준!$A$20:$A$49,0)),1)))</f>
        <v/>
      </c>
      <c r="Z4759" s="94">
        <f>IF($A4759="",0,IF(AE4759="직접",IF(AF4759="신계약비",$P4759,0),$P4759*(1-AG4759)*IFERROR(INDEX(계정대체기준!$C$20:$C$49,MATCH($N4759,계정대체기준!$A$20:$A$49,0)),0)))</f>
        <v/>
      </c>
      <c r="AA4759" s="94">
        <f>IF($A4759="",0,IF(AE4759="직접",IF(OR(AF4759="유지비",AF4759="손해조사비"),$P4759,0),$P4759*(1-AG4759)*IFERROR(INDEX(계정대체기준!$D$20:$D$49,MATCH($N4759,계정대체기준!$A$20:$A$49,0)),0)))</f>
        <v/>
      </c>
      <c r="AB4759" s="94">
        <f>IF($A4759="",0,IF(AE4759="직접",IF(AF4759="수금비",$P4759,0),$P4759*(1-AG4759)*IFERROR(INDEX(계정대체기준!$E$20:$E$49,MATCH($N4759,계정대체기준!$A$20:$A$49,0)),0)))</f>
        <v/>
      </c>
      <c r="AC4759" s="9">
        <f>IF(AND($A4759&lt;&gt;"",M4759=설정!$C$20,Z4759&gt;0),Z4759+ROW()/1000000000,"")</f>
        <v/>
      </c>
      <c r="AD4759" s="94">
        <f>IF($A4759="",0,$P4759*AG4759)</f>
        <v/>
      </c>
      <c r="AE4759" s="64">
        <f>IF($A4759="","",IFERROR(INDEX(계정매핑!$E$5:$E$504,MATCH($F4759&amp;"",계정매핑!$A$5:$A$504,0))&amp;"","공통비"))</f>
        <v/>
      </c>
      <c r="AF4759" s="64">
        <f>IF($A4759="","",IF(AE4759="직접",IFERROR(INDEX(계정매핑!$F$5:$F$504,MATCH($F4759&amp;"",계정매핑!$A$5:$A$504,0))&amp;"","비귀속"),""))</f>
        <v/>
      </c>
      <c r="AG4759" s="96">
        <f>IF($A4759="",0,IF(AND(AE4759&lt;&gt;"직접",IFERROR(INDEX(계정매핑!$G$5:$G$504,MATCH($F4759&amp;"",계정매핑!$A$5:$A$504,0))&amp;"","")="유지비",COUNTIF(계정대체기준!$A$6:$A$15,$N4759)&gt;0),IFERROR(INDEX(계정대체기준!$E$6:$E$15,MATCH(VALUE($A4759&amp;""),계정대체기준!$D$6:$D$15,0)),0),0))</f>
        <v/>
      </c>
      <c r="AH4759" s="64">
        <f>IF($A4759="","",IF(AD4759=0,"",IF(OR(COUNTIF(계정대체기준!$A$77:$A$86,$N4759)&gt;0,ISNUMBER(MATCH($X4759,계정대체기준!$D$77:$D$86,0)),ISNUMBER(MATCH($F4759,계정대체기준!$D$77:$D$86,0))),"Y","N")))</f>
        <v/>
      </c>
    </row>
    <row r="4760">
      <c r="A4760" s="92" t="n">
        <v>2026</v>
      </c>
      <c r="B4760" s="92" t="n">
        <v>9</v>
      </c>
      <c r="C4760" s="92" t="inlineStr">
        <is>
          <t>5100002038</t>
        </is>
      </c>
      <c r="D4760" s="95" t="n">
        <v>46289</v>
      </c>
      <c r="E4760" s="92" t="inlineStr">
        <is>
          <t>KR</t>
        </is>
      </c>
      <c r="F4760" s="92" t="n">
        <v>62101000</v>
      </c>
      <c r="G4760" s="92" t="n">
        <v>1951</v>
      </c>
      <c r="H4760" s="93" t="n">
        <v>428000</v>
      </c>
      <c r="I4760" s="92" t="inlineStr">
        <is>
          <t>9월 국내출장 - (법인카드)</t>
        </is>
      </c>
      <c r="J4760" s="92" t="inlineStr">
        <is>
          <t>V10010</t>
        </is>
      </c>
      <c r="K4760" s="92" t="inlineStr">
        <is>
          <t>(법인카드)</t>
        </is>
      </c>
      <c r="M4760" s="9">
        <f>IF($A4760="","",VALUE($A4760&amp;"")*12+VALUE($B4760&amp;""))</f>
        <v/>
      </c>
      <c r="N4760" s="64">
        <f>IF($A4760="","",IFERROR(INDEX(부서매핑!$C$5:$C$504,MATCH($G4760&amp;"",부서매핑!$A$5:$A$504,0)),"미매핑"))</f>
        <v/>
      </c>
      <c r="O4760" s="9">
        <f>IF($A4760="","",N4760&amp;"|"&amp;$F4760)</f>
        <v/>
      </c>
      <c r="P4760" s="94">
        <f>IF($A4760="",0,$H4760*설정!$C$23)</f>
        <v/>
      </c>
      <c r="Q4760" s="64">
        <f>IF($A4760="","",IF(O4760&lt;&gt;원인분석!$C$9,"",IF(AND(M4760&gt;=원인분석!$C$10,M4760&lt;=원인분석!$C$11),"당기",IF(AND(M4760&gt;=원인분석!$C$12,M4760&lt;=원인분석!$C$13),"비교",""))))</f>
        <v/>
      </c>
      <c r="R4760" s="9">
        <f>IF(Q4760="","",$K4760&amp;"")</f>
        <v/>
      </c>
      <c r="S4760" s="9">
        <f>IF(Q4760="","",IF(MATCH(R4760,$R$5:$R$100000,0)=ROW()-4,ROW(),""))</f>
        <v/>
      </c>
      <c r="T4760" s="9">
        <f>IF(Q4760="당기",ABS(P4760)+ROW()/1000000000,"")</f>
        <v/>
      </c>
      <c r="U4760" s="9">
        <f>IF(Q4760="비교",ABS(P4760)+ROW()/1000000000,"")</f>
        <v/>
      </c>
      <c r="V4760" s="64">
        <f>IF($A4760="","",IF(COUNTIF(변동분석!$E$7:$E$506,O4760)&gt;0,"Y","N"))</f>
        <v/>
      </c>
      <c r="W4760" s="64">
        <f>IF($A4760="","",IFERROR(INDEX(계정매핑!$D$5:$D$504,MATCH($F4760&amp;"",계정매핑!$A$5:$A$504,0)),"미매핑"))</f>
        <v/>
      </c>
      <c r="X4760" s="9">
        <f>IF($A4760="","",$F4760&amp;"")</f>
        <v/>
      </c>
      <c r="Y4760" s="94">
        <f>IF($A4760="",0,IF(AE4760="직접",IF(AF4760="비귀속",$P4760,0),$P4760*(1-AG4760)*IFERROR(INDEX(계정대체기준!$F$20:$F$49,MATCH($N4760,계정대체기준!$A$20:$A$49,0)),1)))</f>
        <v/>
      </c>
      <c r="Z4760" s="94">
        <f>IF($A4760="",0,IF(AE4760="직접",IF(AF4760="신계약비",$P4760,0),$P4760*(1-AG4760)*IFERROR(INDEX(계정대체기준!$C$20:$C$49,MATCH($N4760,계정대체기준!$A$20:$A$49,0)),0)))</f>
        <v/>
      </c>
      <c r="AA4760" s="94">
        <f>IF($A4760="",0,IF(AE4760="직접",IF(OR(AF4760="유지비",AF4760="손해조사비"),$P4760,0),$P4760*(1-AG4760)*IFERROR(INDEX(계정대체기준!$D$20:$D$49,MATCH($N4760,계정대체기준!$A$20:$A$49,0)),0)))</f>
        <v/>
      </c>
      <c r="AB4760" s="94">
        <f>IF($A4760="",0,IF(AE4760="직접",IF(AF4760="수금비",$P4760,0),$P4760*(1-AG4760)*IFERROR(INDEX(계정대체기준!$E$20:$E$49,MATCH($N4760,계정대체기준!$A$20:$A$49,0)),0)))</f>
        <v/>
      </c>
      <c r="AC4760" s="9">
        <f>IF(AND($A4760&lt;&gt;"",M4760=설정!$C$20,Z4760&gt;0),Z4760+ROW()/1000000000,"")</f>
        <v/>
      </c>
      <c r="AD4760" s="94">
        <f>IF($A4760="",0,$P4760*AG4760)</f>
        <v/>
      </c>
      <c r="AE4760" s="64">
        <f>IF($A4760="","",IFERROR(INDEX(계정매핑!$E$5:$E$504,MATCH($F4760&amp;"",계정매핑!$A$5:$A$504,0))&amp;"","공통비"))</f>
        <v/>
      </c>
      <c r="AF4760" s="64">
        <f>IF($A4760="","",IF(AE4760="직접",IFERROR(INDEX(계정매핑!$F$5:$F$504,MATCH($F4760&amp;"",계정매핑!$A$5:$A$504,0))&amp;"","비귀속"),""))</f>
        <v/>
      </c>
      <c r="AG4760" s="96">
        <f>IF($A4760="",0,IF(AND(AE4760&lt;&gt;"직접",IFERROR(INDEX(계정매핑!$G$5:$G$504,MATCH($F4760&amp;"",계정매핑!$A$5:$A$504,0))&amp;"","")="유지비",COUNTIF(계정대체기준!$A$6:$A$15,$N4760)&gt;0),IFERROR(INDEX(계정대체기준!$E$6:$E$15,MATCH(VALUE($A4760&amp;""),계정대체기준!$D$6:$D$15,0)),0),0))</f>
        <v/>
      </c>
      <c r="AH4760" s="64">
        <f>IF($A4760="","",IF(AD4760=0,"",IF(OR(COUNTIF(계정대체기준!$A$77:$A$86,$N4760)&gt;0,ISNUMBER(MATCH($X4760,계정대체기준!$D$77:$D$86,0)),ISNUMBER(MATCH($F4760,계정대체기준!$D$77:$D$86,0))),"Y","N")))</f>
        <v/>
      </c>
    </row>
    <row r="4761">
      <c r="A4761" s="92" t="n">
        <v>2026</v>
      </c>
      <c r="B4761" s="92" t="n">
        <v>9</v>
      </c>
      <c r="C4761" s="92" t="inlineStr">
        <is>
          <t>5100002039</t>
        </is>
      </c>
      <c r="D4761" s="95" t="n">
        <v>46289</v>
      </c>
      <c r="E4761" s="92" t="inlineStr">
        <is>
          <t>KR</t>
        </is>
      </c>
      <c r="F4761" s="92" t="n">
        <v>62102000</v>
      </c>
      <c r="G4761" s="92" t="n">
        <v>1801</v>
      </c>
      <c r="H4761" s="93" t="n">
        <v>81000</v>
      </c>
      <c r="I4761" s="92" t="inlineStr">
        <is>
          <t>9월 해외출장 - M항공</t>
        </is>
      </c>
      <c r="J4761" s="92" t="inlineStr">
        <is>
          <t>V10001</t>
        </is>
      </c>
      <c r="K4761" s="92" t="inlineStr">
        <is>
          <t>M항공</t>
        </is>
      </c>
      <c r="M4761" s="9">
        <f>IF($A4761="","",VALUE($A4761&amp;"")*12+VALUE($B4761&amp;""))</f>
        <v/>
      </c>
      <c r="N4761" s="64">
        <f>IF($A4761="","",IFERROR(INDEX(부서매핑!$C$5:$C$504,MATCH($G4761&amp;"",부서매핑!$A$5:$A$504,0)),"미매핑"))</f>
        <v/>
      </c>
      <c r="O4761" s="9">
        <f>IF($A4761="","",N4761&amp;"|"&amp;$F4761)</f>
        <v/>
      </c>
      <c r="P4761" s="94">
        <f>IF($A4761="",0,$H4761*설정!$C$23)</f>
        <v/>
      </c>
      <c r="Q4761" s="64">
        <f>IF($A4761="","",IF(O4761&lt;&gt;원인분석!$C$9,"",IF(AND(M4761&gt;=원인분석!$C$10,M4761&lt;=원인분석!$C$11),"당기",IF(AND(M4761&gt;=원인분석!$C$12,M4761&lt;=원인분석!$C$13),"비교",""))))</f>
        <v/>
      </c>
      <c r="R4761" s="9">
        <f>IF(Q4761="","",$K4761&amp;"")</f>
        <v/>
      </c>
      <c r="S4761" s="9">
        <f>IF(Q4761="","",IF(MATCH(R4761,$R$5:$R$100000,0)=ROW()-4,ROW(),""))</f>
        <v/>
      </c>
      <c r="T4761" s="9">
        <f>IF(Q4761="당기",ABS(P4761)+ROW()/1000000000,"")</f>
        <v/>
      </c>
      <c r="U4761" s="9">
        <f>IF(Q4761="비교",ABS(P4761)+ROW()/1000000000,"")</f>
        <v/>
      </c>
      <c r="V4761" s="64">
        <f>IF($A4761="","",IF(COUNTIF(변동분석!$E$7:$E$506,O4761)&gt;0,"Y","N"))</f>
        <v/>
      </c>
      <c r="W4761" s="64">
        <f>IF($A4761="","",IFERROR(INDEX(계정매핑!$D$5:$D$504,MATCH($F4761&amp;"",계정매핑!$A$5:$A$504,0)),"미매핑"))</f>
        <v/>
      </c>
      <c r="X4761" s="9">
        <f>IF($A4761="","",$F4761&amp;"")</f>
        <v/>
      </c>
      <c r="Y4761" s="94">
        <f>IF($A4761="",0,IF(AE4761="직접",IF(AF4761="비귀속",$P4761,0),$P4761*(1-AG4761)*IFERROR(INDEX(계정대체기준!$F$20:$F$49,MATCH($N4761,계정대체기준!$A$20:$A$49,0)),1)))</f>
        <v/>
      </c>
      <c r="Z4761" s="94">
        <f>IF($A4761="",0,IF(AE4761="직접",IF(AF4761="신계약비",$P4761,0),$P4761*(1-AG4761)*IFERROR(INDEX(계정대체기준!$C$20:$C$49,MATCH($N4761,계정대체기준!$A$20:$A$49,0)),0)))</f>
        <v/>
      </c>
      <c r="AA4761" s="94">
        <f>IF($A4761="",0,IF(AE4761="직접",IF(OR(AF4761="유지비",AF4761="손해조사비"),$P4761,0),$P4761*(1-AG4761)*IFERROR(INDEX(계정대체기준!$D$20:$D$49,MATCH($N4761,계정대체기준!$A$20:$A$49,0)),0)))</f>
        <v/>
      </c>
      <c r="AB4761" s="94">
        <f>IF($A4761="",0,IF(AE4761="직접",IF(AF4761="수금비",$P4761,0),$P4761*(1-AG4761)*IFERROR(INDEX(계정대체기준!$E$20:$E$49,MATCH($N4761,계정대체기준!$A$20:$A$49,0)),0)))</f>
        <v/>
      </c>
      <c r="AC4761" s="9">
        <f>IF(AND($A4761&lt;&gt;"",M4761=설정!$C$20,Z4761&gt;0),Z4761+ROW()/1000000000,"")</f>
        <v/>
      </c>
      <c r="AD4761" s="94">
        <f>IF($A4761="",0,$P4761*AG4761)</f>
        <v/>
      </c>
      <c r="AE4761" s="64">
        <f>IF($A4761="","",IFERROR(INDEX(계정매핑!$E$5:$E$504,MATCH($F4761&amp;"",계정매핑!$A$5:$A$504,0))&amp;"","공통비"))</f>
        <v/>
      </c>
      <c r="AF4761" s="64">
        <f>IF($A4761="","",IF(AE4761="직접",IFERROR(INDEX(계정매핑!$F$5:$F$504,MATCH($F4761&amp;"",계정매핑!$A$5:$A$504,0))&amp;"","비귀속"),""))</f>
        <v/>
      </c>
      <c r="AG4761" s="96">
        <f>IF($A4761="",0,IF(AND(AE4761&lt;&gt;"직접",IFERROR(INDEX(계정매핑!$G$5:$G$504,MATCH($F4761&amp;"",계정매핑!$A$5:$A$504,0))&amp;"","")="유지비",COUNTIF(계정대체기준!$A$6:$A$15,$N4761)&gt;0),IFERROR(INDEX(계정대체기준!$E$6:$E$15,MATCH(VALUE($A4761&amp;""),계정대체기준!$D$6:$D$15,0)),0),0))</f>
        <v/>
      </c>
      <c r="AH4761" s="64">
        <f>IF($A4761="","",IF(AD4761=0,"",IF(OR(COUNTIF(계정대체기준!$A$77:$A$86,$N4761)&gt;0,ISNUMBER(MATCH($X4761,계정대체기준!$D$77:$D$86,0)),ISNUMBER(MATCH($F4761,계정대체기준!$D$77:$D$86,0))),"Y","N")))</f>
        <v/>
      </c>
    </row>
    <row r="4762">
      <c r="A4762" s="92" t="n">
        <v>2026</v>
      </c>
      <c r="B4762" s="92" t="n">
        <v>9</v>
      </c>
      <c r="C4762" s="92" t="inlineStr">
        <is>
          <t>5100002040</t>
        </is>
      </c>
      <c r="D4762" s="95" t="n">
        <v>46289</v>
      </c>
      <c r="E4762" s="92" t="inlineStr">
        <is>
          <t>KR</t>
        </is>
      </c>
      <c r="F4762" s="92" t="n">
        <v>62102000</v>
      </c>
      <c r="G4762" s="92" t="n">
        <v>1951</v>
      </c>
      <c r="H4762" s="93" t="n">
        <v>86000</v>
      </c>
      <c r="I4762" s="92" t="inlineStr">
        <is>
          <t>9월 해외출장 - M항공</t>
        </is>
      </c>
      <c r="J4762" s="92" t="inlineStr">
        <is>
          <t>V10001</t>
        </is>
      </c>
      <c r="K4762" s="92" t="inlineStr">
        <is>
          <t>M항공</t>
        </is>
      </c>
      <c r="M4762" s="9">
        <f>IF($A4762="","",VALUE($A4762&amp;"")*12+VALUE($B4762&amp;""))</f>
        <v/>
      </c>
      <c r="N4762" s="64">
        <f>IF($A4762="","",IFERROR(INDEX(부서매핑!$C$5:$C$504,MATCH($G4762&amp;"",부서매핑!$A$5:$A$504,0)),"미매핑"))</f>
        <v/>
      </c>
      <c r="O4762" s="9">
        <f>IF($A4762="","",N4762&amp;"|"&amp;$F4762)</f>
        <v/>
      </c>
      <c r="P4762" s="94">
        <f>IF($A4762="",0,$H4762*설정!$C$23)</f>
        <v/>
      </c>
      <c r="Q4762" s="64">
        <f>IF($A4762="","",IF(O4762&lt;&gt;원인분석!$C$9,"",IF(AND(M4762&gt;=원인분석!$C$10,M4762&lt;=원인분석!$C$11),"당기",IF(AND(M4762&gt;=원인분석!$C$12,M4762&lt;=원인분석!$C$13),"비교",""))))</f>
        <v/>
      </c>
      <c r="R4762" s="9">
        <f>IF(Q4762="","",$K4762&amp;"")</f>
        <v/>
      </c>
      <c r="S4762" s="9">
        <f>IF(Q4762="","",IF(MATCH(R4762,$R$5:$R$100000,0)=ROW()-4,ROW(),""))</f>
        <v/>
      </c>
      <c r="T4762" s="9">
        <f>IF(Q4762="당기",ABS(P4762)+ROW()/1000000000,"")</f>
        <v/>
      </c>
      <c r="U4762" s="9">
        <f>IF(Q4762="비교",ABS(P4762)+ROW()/1000000000,"")</f>
        <v/>
      </c>
      <c r="V4762" s="64">
        <f>IF($A4762="","",IF(COUNTIF(변동분석!$E$7:$E$506,O4762)&gt;0,"Y","N"))</f>
        <v/>
      </c>
      <c r="W4762" s="64">
        <f>IF($A4762="","",IFERROR(INDEX(계정매핑!$D$5:$D$504,MATCH($F4762&amp;"",계정매핑!$A$5:$A$504,0)),"미매핑"))</f>
        <v/>
      </c>
      <c r="X4762" s="9">
        <f>IF($A4762="","",$F4762&amp;"")</f>
        <v/>
      </c>
      <c r="Y4762" s="94">
        <f>IF($A4762="",0,IF(AE4762="직접",IF(AF4762="비귀속",$P4762,0),$P4762*(1-AG4762)*IFERROR(INDEX(계정대체기준!$F$20:$F$49,MATCH($N4762,계정대체기준!$A$20:$A$49,0)),1)))</f>
        <v/>
      </c>
      <c r="Z4762" s="94">
        <f>IF($A4762="",0,IF(AE4762="직접",IF(AF4762="신계약비",$P4762,0),$P4762*(1-AG4762)*IFERROR(INDEX(계정대체기준!$C$20:$C$49,MATCH($N4762,계정대체기준!$A$20:$A$49,0)),0)))</f>
        <v/>
      </c>
      <c r="AA4762" s="94">
        <f>IF($A4762="",0,IF(AE4762="직접",IF(OR(AF4762="유지비",AF4762="손해조사비"),$P4762,0),$P4762*(1-AG4762)*IFERROR(INDEX(계정대체기준!$D$20:$D$49,MATCH($N4762,계정대체기준!$A$20:$A$49,0)),0)))</f>
        <v/>
      </c>
      <c r="AB4762" s="94">
        <f>IF($A4762="",0,IF(AE4762="직접",IF(AF4762="수금비",$P4762,0),$P4762*(1-AG4762)*IFERROR(INDEX(계정대체기준!$E$20:$E$49,MATCH($N4762,계정대체기준!$A$20:$A$49,0)),0)))</f>
        <v/>
      </c>
      <c r="AC4762" s="9">
        <f>IF(AND($A4762&lt;&gt;"",M4762=설정!$C$20,Z4762&gt;0),Z4762+ROW()/1000000000,"")</f>
        <v/>
      </c>
      <c r="AD4762" s="94">
        <f>IF($A4762="",0,$P4762*AG4762)</f>
        <v/>
      </c>
      <c r="AE4762" s="64">
        <f>IF($A4762="","",IFERROR(INDEX(계정매핑!$E$5:$E$504,MATCH($F4762&amp;"",계정매핑!$A$5:$A$504,0))&amp;"","공통비"))</f>
        <v/>
      </c>
      <c r="AF4762" s="64">
        <f>IF($A4762="","",IF(AE4762="직접",IFERROR(INDEX(계정매핑!$F$5:$F$504,MATCH($F4762&amp;"",계정매핑!$A$5:$A$504,0))&amp;"","비귀속"),""))</f>
        <v/>
      </c>
      <c r="AG4762" s="96">
        <f>IF($A4762="",0,IF(AND(AE4762&lt;&gt;"직접",IFERROR(INDEX(계정매핑!$G$5:$G$504,MATCH($F4762&amp;"",계정매핑!$A$5:$A$504,0))&amp;"","")="유지비",COUNTIF(계정대체기준!$A$6:$A$15,$N4762)&gt;0),IFERROR(INDEX(계정대체기준!$E$6:$E$15,MATCH(VALUE($A4762&amp;""),계정대체기준!$D$6:$D$15,0)),0),0))</f>
        <v/>
      </c>
      <c r="AH4762" s="64">
        <f>IF($A4762="","",IF(AD4762=0,"",IF(OR(COUNTIF(계정대체기준!$A$77:$A$86,$N4762)&gt;0,ISNUMBER(MATCH($X4762,계정대체기준!$D$77:$D$86,0)),ISNUMBER(MATCH($F4762,계정대체기준!$D$77:$D$86,0))),"Y","N")))</f>
        <v/>
      </c>
    </row>
    <row r="4763">
      <c r="A4763" s="92" t="n">
        <v>2026</v>
      </c>
      <c r="B4763" s="92" t="n">
        <v>9</v>
      </c>
      <c r="C4763" s="92" t="inlineStr">
        <is>
          <t>5100002041</t>
        </is>
      </c>
      <c r="D4763" s="95" t="n">
        <v>46289</v>
      </c>
      <c r="E4763" s="92" t="inlineStr">
        <is>
          <t>KR</t>
        </is>
      </c>
      <c r="F4763" s="92" t="n">
        <v>62102000</v>
      </c>
      <c r="G4763" s="92" t="n">
        <v>1951</v>
      </c>
      <c r="H4763" s="93" t="n">
        <v>112000</v>
      </c>
      <c r="I4763" s="92" t="inlineStr">
        <is>
          <t>9월 해외출장 - N호텔</t>
        </is>
      </c>
      <c r="J4763" s="92" t="inlineStr">
        <is>
          <t>V10009</t>
        </is>
      </c>
      <c r="K4763" s="92" t="inlineStr">
        <is>
          <t>N호텔</t>
        </is>
      </c>
      <c r="M4763" s="9">
        <f>IF($A4763="","",VALUE($A4763&amp;"")*12+VALUE($B4763&amp;""))</f>
        <v/>
      </c>
      <c r="N4763" s="64">
        <f>IF($A4763="","",IFERROR(INDEX(부서매핑!$C$5:$C$504,MATCH($G4763&amp;"",부서매핑!$A$5:$A$504,0)),"미매핑"))</f>
        <v/>
      </c>
      <c r="O4763" s="9">
        <f>IF($A4763="","",N4763&amp;"|"&amp;$F4763)</f>
        <v/>
      </c>
      <c r="P4763" s="94">
        <f>IF($A4763="",0,$H4763*설정!$C$23)</f>
        <v/>
      </c>
      <c r="Q4763" s="64">
        <f>IF($A4763="","",IF(O4763&lt;&gt;원인분석!$C$9,"",IF(AND(M4763&gt;=원인분석!$C$10,M4763&lt;=원인분석!$C$11),"당기",IF(AND(M4763&gt;=원인분석!$C$12,M4763&lt;=원인분석!$C$13),"비교",""))))</f>
        <v/>
      </c>
      <c r="R4763" s="9">
        <f>IF(Q4763="","",$K4763&amp;"")</f>
        <v/>
      </c>
      <c r="S4763" s="9">
        <f>IF(Q4763="","",IF(MATCH(R4763,$R$5:$R$100000,0)=ROW()-4,ROW(),""))</f>
        <v/>
      </c>
      <c r="T4763" s="9">
        <f>IF(Q4763="당기",ABS(P4763)+ROW()/1000000000,"")</f>
        <v/>
      </c>
      <c r="U4763" s="9">
        <f>IF(Q4763="비교",ABS(P4763)+ROW()/1000000000,"")</f>
        <v/>
      </c>
      <c r="V4763" s="64">
        <f>IF($A4763="","",IF(COUNTIF(변동분석!$E$7:$E$506,O4763)&gt;0,"Y","N"))</f>
        <v/>
      </c>
      <c r="W4763" s="64">
        <f>IF($A4763="","",IFERROR(INDEX(계정매핑!$D$5:$D$504,MATCH($F4763&amp;"",계정매핑!$A$5:$A$504,0)),"미매핑"))</f>
        <v/>
      </c>
      <c r="X4763" s="9">
        <f>IF($A4763="","",$F4763&amp;"")</f>
        <v/>
      </c>
      <c r="Y4763" s="94">
        <f>IF($A4763="",0,IF(AE4763="직접",IF(AF4763="비귀속",$P4763,0),$P4763*(1-AG4763)*IFERROR(INDEX(계정대체기준!$F$20:$F$49,MATCH($N4763,계정대체기준!$A$20:$A$49,0)),1)))</f>
        <v/>
      </c>
      <c r="Z4763" s="94">
        <f>IF($A4763="",0,IF(AE4763="직접",IF(AF4763="신계약비",$P4763,0),$P4763*(1-AG4763)*IFERROR(INDEX(계정대체기준!$C$20:$C$49,MATCH($N4763,계정대체기준!$A$20:$A$49,0)),0)))</f>
        <v/>
      </c>
      <c r="AA4763" s="94">
        <f>IF($A4763="",0,IF(AE4763="직접",IF(OR(AF4763="유지비",AF4763="손해조사비"),$P4763,0),$P4763*(1-AG4763)*IFERROR(INDEX(계정대체기준!$D$20:$D$49,MATCH($N4763,계정대체기준!$A$20:$A$49,0)),0)))</f>
        <v/>
      </c>
      <c r="AB4763" s="94">
        <f>IF($A4763="",0,IF(AE4763="직접",IF(AF4763="수금비",$P4763,0),$P4763*(1-AG4763)*IFERROR(INDEX(계정대체기준!$E$20:$E$49,MATCH($N4763,계정대체기준!$A$20:$A$49,0)),0)))</f>
        <v/>
      </c>
      <c r="AC4763" s="9">
        <f>IF(AND($A4763&lt;&gt;"",M4763=설정!$C$20,Z4763&gt;0),Z4763+ROW()/1000000000,"")</f>
        <v/>
      </c>
      <c r="AD4763" s="94">
        <f>IF($A4763="",0,$P4763*AG4763)</f>
        <v/>
      </c>
      <c r="AE4763" s="64">
        <f>IF($A4763="","",IFERROR(INDEX(계정매핑!$E$5:$E$504,MATCH($F4763&amp;"",계정매핑!$A$5:$A$504,0))&amp;"","공통비"))</f>
        <v/>
      </c>
      <c r="AF4763" s="64">
        <f>IF($A4763="","",IF(AE4763="직접",IFERROR(INDEX(계정매핑!$F$5:$F$504,MATCH($F4763&amp;"",계정매핑!$A$5:$A$504,0))&amp;"","비귀속"),""))</f>
        <v/>
      </c>
      <c r="AG4763" s="96">
        <f>IF($A4763="",0,IF(AND(AE4763&lt;&gt;"직접",IFERROR(INDEX(계정매핑!$G$5:$G$504,MATCH($F4763&amp;"",계정매핑!$A$5:$A$504,0))&amp;"","")="유지비",COUNTIF(계정대체기준!$A$6:$A$15,$N4763)&gt;0),IFERROR(INDEX(계정대체기준!$E$6:$E$15,MATCH(VALUE($A4763&amp;""),계정대체기준!$D$6:$D$15,0)),0),0))</f>
        <v/>
      </c>
      <c r="AH4763" s="64">
        <f>IF($A4763="","",IF(AD4763=0,"",IF(OR(COUNTIF(계정대체기준!$A$77:$A$86,$N4763)&gt;0,ISNUMBER(MATCH($X4763,계정대체기준!$D$77:$D$86,0)),ISNUMBER(MATCH($F4763,계정대체기준!$D$77:$D$86,0))),"Y","N")))</f>
        <v/>
      </c>
    </row>
    <row r="4764">
      <c r="A4764" s="92" t="n">
        <v>2026</v>
      </c>
      <c r="B4764" s="92" t="n">
        <v>9</v>
      </c>
      <c r="C4764" s="92" t="inlineStr">
        <is>
          <t>5100002042</t>
        </is>
      </c>
      <c r="D4764" s="95" t="n">
        <v>46289</v>
      </c>
      <c r="E4764" s="92" t="inlineStr">
        <is>
          <t>KR</t>
        </is>
      </c>
      <c r="F4764" s="92" t="n">
        <v>62201000</v>
      </c>
      <c r="G4764" s="92" t="n">
        <v>1801</v>
      </c>
      <c r="H4764" s="93" t="n">
        <v>5511000</v>
      </c>
      <c r="I4764" s="92" t="inlineStr">
        <is>
          <t>9월 통신요금 - O텔레콤</t>
        </is>
      </c>
      <c r="J4764" s="92" t="inlineStr">
        <is>
          <t>V10002</t>
        </is>
      </c>
      <c r="K4764" s="92" t="inlineStr">
        <is>
          <t>O텔레콤</t>
        </is>
      </c>
      <c r="M4764" s="9">
        <f>IF($A4764="","",VALUE($A4764&amp;"")*12+VALUE($B4764&amp;""))</f>
        <v/>
      </c>
      <c r="N4764" s="64">
        <f>IF($A4764="","",IFERROR(INDEX(부서매핑!$C$5:$C$504,MATCH($G4764&amp;"",부서매핑!$A$5:$A$504,0)),"미매핑"))</f>
        <v/>
      </c>
      <c r="O4764" s="9">
        <f>IF($A4764="","",N4764&amp;"|"&amp;$F4764)</f>
        <v/>
      </c>
      <c r="P4764" s="94">
        <f>IF($A4764="",0,$H4764*설정!$C$23)</f>
        <v/>
      </c>
      <c r="Q4764" s="64">
        <f>IF($A4764="","",IF(O4764&lt;&gt;원인분석!$C$9,"",IF(AND(M4764&gt;=원인분석!$C$10,M4764&lt;=원인분석!$C$11),"당기",IF(AND(M4764&gt;=원인분석!$C$12,M4764&lt;=원인분석!$C$13),"비교",""))))</f>
        <v/>
      </c>
      <c r="R4764" s="9">
        <f>IF(Q4764="","",$K4764&amp;"")</f>
        <v/>
      </c>
      <c r="S4764" s="9">
        <f>IF(Q4764="","",IF(MATCH(R4764,$R$5:$R$100000,0)=ROW()-4,ROW(),""))</f>
        <v/>
      </c>
      <c r="T4764" s="9">
        <f>IF(Q4764="당기",ABS(P4764)+ROW()/1000000000,"")</f>
        <v/>
      </c>
      <c r="U4764" s="9">
        <f>IF(Q4764="비교",ABS(P4764)+ROW()/1000000000,"")</f>
        <v/>
      </c>
      <c r="V4764" s="64">
        <f>IF($A4764="","",IF(COUNTIF(변동분석!$E$7:$E$506,O4764)&gt;0,"Y","N"))</f>
        <v/>
      </c>
      <c r="W4764" s="64">
        <f>IF($A4764="","",IFERROR(INDEX(계정매핑!$D$5:$D$504,MATCH($F4764&amp;"",계정매핑!$A$5:$A$504,0)),"미매핑"))</f>
        <v/>
      </c>
      <c r="X4764" s="9">
        <f>IF($A4764="","",$F4764&amp;"")</f>
        <v/>
      </c>
      <c r="Y4764" s="94">
        <f>IF($A4764="",0,IF(AE4764="직접",IF(AF4764="비귀속",$P4764,0),$P4764*(1-AG4764)*IFERROR(INDEX(계정대체기준!$F$20:$F$49,MATCH($N4764,계정대체기준!$A$20:$A$49,0)),1)))</f>
        <v/>
      </c>
      <c r="Z4764" s="94">
        <f>IF($A4764="",0,IF(AE4764="직접",IF(AF4764="신계약비",$P4764,0),$P4764*(1-AG4764)*IFERROR(INDEX(계정대체기준!$C$20:$C$49,MATCH($N4764,계정대체기준!$A$20:$A$49,0)),0)))</f>
        <v/>
      </c>
      <c r="AA4764" s="94">
        <f>IF($A4764="",0,IF(AE4764="직접",IF(OR(AF4764="유지비",AF4764="손해조사비"),$P4764,0),$P4764*(1-AG4764)*IFERROR(INDEX(계정대체기준!$D$20:$D$49,MATCH($N4764,계정대체기준!$A$20:$A$49,0)),0)))</f>
        <v/>
      </c>
      <c r="AB4764" s="94">
        <f>IF($A4764="",0,IF(AE4764="직접",IF(AF4764="수금비",$P4764,0),$P4764*(1-AG4764)*IFERROR(INDEX(계정대체기준!$E$20:$E$49,MATCH($N4764,계정대체기준!$A$20:$A$49,0)),0)))</f>
        <v/>
      </c>
      <c r="AC4764" s="9">
        <f>IF(AND($A4764&lt;&gt;"",M4764=설정!$C$20,Z4764&gt;0),Z4764+ROW()/1000000000,"")</f>
        <v/>
      </c>
      <c r="AD4764" s="94">
        <f>IF($A4764="",0,$P4764*AG4764)</f>
        <v/>
      </c>
      <c r="AE4764" s="64">
        <f>IF($A4764="","",IFERROR(INDEX(계정매핑!$E$5:$E$504,MATCH($F4764&amp;"",계정매핑!$A$5:$A$504,0))&amp;"","공통비"))</f>
        <v/>
      </c>
      <c r="AF4764" s="64">
        <f>IF($A4764="","",IF(AE4764="직접",IFERROR(INDEX(계정매핑!$F$5:$F$504,MATCH($F4764&amp;"",계정매핑!$A$5:$A$504,0))&amp;"","비귀속"),""))</f>
        <v/>
      </c>
      <c r="AG4764" s="96">
        <f>IF($A4764="",0,IF(AND(AE4764&lt;&gt;"직접",IFERROR(INDEX(계정매핑!$G$5:$G$504,MATCH($F4764&amp;"",계정매핑!$A$5:$A$504,0))&amp;"","")="유지비",COUNTIF(계정대체기준!$A$6:$A$15,$N4764)&gt;0),IFERROR(INDEX(계정대체기준!$E$6:$E$15,MATCH(VALUE($A4764&amp;""),계정대체기준!$D$6:$D$15,0)),0),0))</f>
        <v/>
      </c>
      <c r="AH4764" s="64">
        <f>IF($A4764="","",IF(AD4764=0,"",IF(OR(COUNTIF(계정대체기준!$A$77:$A$86,$N4764)&gt;0,ISNUMBER(MATCH($X4764,계정대체기준!$D$77:$D$86,0)),ISNUMBER(MATCH($F4764,계정대체기준!$D$77:$D$86,0))),"Y","N")))</f>
        <v/>
      </c>
    </row>
    <row r="4765">
      <c r="A4765" s="92" t="n">
        <v>2026</v>
      </c>
      <c r="B4765" s="92" t="n">
        <v>9</v>
      </c>
      <c r="C4765" s="92" t="inlineStr">
        <is>
          <t>5100002043</t>
        </is>
      </c>
      <c r="D4765" s="95" t="n">
        <v>46289</v>
      </c>
      <c r="E4765" s="92" t="inlineStr">
        <is>
          <t>KR</t>
        </is>
      </c>
      <c r="F4765" s="92" t="n">
        <v>62301000</v>
      </c>
      <c r="G4765" s="92" t="n">
        <v>1401</v>
      </c>
      <c r="H4765" s="93" t="n">
        <v>117000</v>
      </c>
      <c r="I4765" s="92" t="inlineStr">
        <is>
          <t>9월 소모품 구입 - R문구</t>
        </is>
      </c>
      <c r="J4765" s="92" t="inlineStr">
        <is>
          <t>V10022</t>
        </is>
      </c>
      <c r="K4765" s="92" t="inlineStr">
        <is>
          <t>R문구</t>
        </is>
      </c>
      <c r="M4765" s="9">
        <f>IF($A4765="","",VALUE($A4765&amp;"")*12+VALUE($B4765&amp;""))</f>
        <v/>
      </c>
      <c r="N4765" s="64">
        <f>IF($A4765="","",IFERROR(INDEX(부서매핑!$C$5:$C$504,MATCH($G4765&amp;"",부서매핑!$A$5:$A$504,0)),"미매핑"))</f>
        <v/>
      </c>
      <c r="O4765" s="9">
        <f>IF($A4765="","",N4765&amp;"|"&amp;$F4765)</f>
        <v/>
      </c>
      <c r="P4765" s="94">
        <f>IF($A4765="",0,$H4765*설정!$C$23)</f>
        <v/>
      </c>
      <c r="Q4765" s="64">
        <f>IF($A4765="","",IF(O4765&lt;&gt;원인분석!$C$9,"",IF(AND(M4765&gt;=원인분석!$C$10,M4765&lt;=원인분석!$C$11),"당기",IF(AND(M4765&gt;=원인분석!$C$12,M4765&lt;=원인분석!$C$13),"비교",""))))</f>
        <v/>
      </c>
      <c r="R4765" s="9">
        <f>IF(Q4765="","",$K4765&amp;"")</f>
        <v/>
      </c>
      <c r="S4765" s="9">
        <f>IF(Q4765="","",IF(MATCH(R4765,$R$5:$R$100000,0)=ROW()-4,ROW(),""))</f>
        <v/>
      </c>
      <c r="T4765" s="9">
        <f>IF(Q4765="당기",ABS(P4765)+ROW()/1000000000,"")</f>
        <v/>
      </c>
      <c r="U4765" s="9">
        <f>IF(Q4765="비교",ABS(P4765)+ROW()/1000000000,"")</f>
        <v/>
      </c>
      <c r="V4765" s="64">
        <f>IF($A4765="","",IF(COUNTIF(변동분석!$E$7:$E$506,O4765)&gt;0,"Y","N"))</f>
        <v/>
      </c>
      <c r="W4765" s="64">
        <f>IF($A4765="","",IFERROR(INDEX(계정매핑!$D$5:$D$504,MATCH($F4765&amp;"",계정매핑!$A$5:$A$504,0)),"미매핑"))</f>
        <v/>
      </c>
      <c r="X4765" s="9">
        <f>IF($A4765="","",$F4765&amp;"")</f>
        <v/>
      </c>
      <c r="Y4765" s="94">
        <f>IF($A4765="",0,IF(AE4765="직접",IF(AF4765="비귀속",$P4765,0),$P4765*(1-AG4765)*IFERROR(INDEX(계정대체기준!$F$20:$F$49,MATCH($N4765,계정대체기준!$A$20:$A$49,0)),1)))</f>
        <v/>
      </c>
      <c r="Z4765" s="94">
        <f>IF($A4765="",0,IF(AE4765="직접",IF(AF4765="신계약비",$P4765,0),$P4765*(1-AG4765)*IFERROR(INDEX(계정대체기준!$C$20:$C$49,MATCH($N4765,계정대체기준!$A$20:$A$49,0)),0)))</f>
        <v/>
      </c>
      <c r="AA4765" s="94">
        <f>IF($A4765="",0,IF(AE4765="직접",IF(OR(AF4765="유지비",AF4765="손해조사비"),$P4765,0),$P4765*(1-AG4765)*IFERROR(INDEX(계정대체기준!$D$20:$D$49,MATCH($N4765,계정대체기준!$A$20:$A$49,0)),0)))</f>
        <v/>
      </c>
      <c r="AB4765" s="94">
        <f>IF($A4765="",0,IF(AE4765="직접",IF(AF4765="수금비",$P4765,0),$P4765*(1-AG4765)*IFERROR(INDEX(계정대체기준!$E$20:$E$49,MATCH($N4765,계정대체기준!$A$20:$A$49,0)),0)))</f>
        <v/>
      </c>
      <c r="AC4765" s="9">
        <f>IF(AND($A4765&lt;&gt;"",M4765=설정!$C$20,Z4765&gt;0),Z4765+ROW()/1000000000,"")</f>
        <v/>
      </c>
      <c r="AD4765" s="94">
        <f>IF($A4765="",0,$P4765*AG4765)</f>
        <v/>
      </c>
      <c r="AE4765" s="64">
        <f>IF($A4765="","",IFERROR(INDEX(계정매핑!$E$5:$E$504,MATCH($F4765&amp;"",계정매핑!$A$5:$A$504,0))&amp;"","공통비"))</f>
        <v/>
      </c>
      <c r="AF4765" s="64">
        <f>IF($A4765="","",IF(AE4765="직접",IFERROR(INDEX(계정매핑!$F$5:$F$504,MATCH($F4765&amp;"",계정매핑!$A$5:$A$504,0))&amp;"","비귀속"),""))</f>
        <v/>
      </c>
      <c r="AG4765" s="96">
        <f>IF($A4765="",0,IF(AND(AE4765&lt;&gt;"직접",IFERROR(INDEX(계정매핑!$G$5:$G$504,MATCH($F4765&amp;"",계정매핑!$A$5:$A$504,0))&amp;"","")="유지비",COUNTIF(계정대체기준!$A$6:$A$15,$N4765)&gt;0),IFERROR(INDEX(계정대체기준!$E$6:$E$15,MATCH(VALUE($A4765&amp;""),계정대체기준!$D$6:$D$15,0)),0),0))</f>
        <v/>
      </c>
      <c r="AH4765" s="64">
        <f>IF($A4765="","",IF(AD4765=0,"",IF(OR(COUNTIF(계정대체기준!$A$77:$A$86,$N4765)&gt;0,ISNUMBER(MATCH($X4765,계정대체기준!$D$77:$D$86,0)),ISNUMBER(MATCH($F4765,계정대체기준!$D$77:$D$86,0))),"Y","N")))</f>
        <v/>
      </c>
    </row>
    <row r="4766">
      <c r="A4766" s="92" t="n">
        <v>2026</v>
      </c>
      <c r="B4766" s="92" t="n">
        <v>9</v>
      </c>
      <c r="C4766" s="92" t="inlineStr">
        <is>
          <t>5100002044</t>
        </is>
      </c>
      <c r="D4766" s="95" t="n">
        <v>46289</v>
      </c>
      <c r="E4766" s="92" t="inlineStr">
        <is>
          <t>KR</t>
        </is>
      </c>
      <c r="F4766" s="92" t="n">
        <v>62401000</v>
      </c>
      <c r="G4766" s="92" t="n">
        <v>1502</v>
      </c>
      <c r="H4766" s="93" t="n">
        <v>2128000</v>
      </c>
      <c r="I4766" s="92" t="inlineStr">
        <is>
          <t>9월 인쇄물 제작 - G인쇄</t>
        </is>
      </c>
      <c r="J4766" s="92" t="inlineStr">
        <is>
          <t>V10004</t>
        </is>
      </c>
      <c r="K4766" s="92" t="inlineStr">
        <is>
          <t>G인쇄</t>
        </is>
      </c>
      <c r="M4766" s="9">
        <f>IF($A4766="","",VALUE($A4766&amp;"")*12+VALUE($B4766&amp;""))</f>
        <v/>
      </c>
      <c r="N4766" s="64">
        <f>IF($A4766="","",IFERROR(INDEX(부서매핑!$C$5:$C$504,MATCH($G4766&amp;"",부서매핑!$A$5:$A$504,0)),"미매핑"))</f>
        <v/>
      </c>
      <c r="O4766" s="9">
        <f>IF($A4766="","",N4766&amp;"|"&amp;$F4766)</f>
        <v/>
      </c>
      <c r="P4766" s="94">
        <f>IF($A4766="",0,$H4766*설정!$C$23)</f>
        <v/>
      </c>
      <c r="Q4766" s="64">
        <f>IF($A4766="","",IF(O4766&lt;&gt;원인분석!$C$9,"",IF(AND(M4766&gt;=원인분석!$C$10,M4766&lt;=원인분석!$C$11),"당기",IF(AND(M4766&gt;=원인분석!$C$12,M4766&lt;=원인분석!$C$13),"비교",""))))</f>
        <v/>
      </c>
      <c r="R4766" s="9">
        <f>IF(Q4766="","",$K4766&amp;"")</f>
        <v/>
      </c>
      <c r="S4766" s="9">
        <f>IF(Q4766="","",IF(MATCH(R4766,$R$5:$R$100000,0)=ROW()-4,ROW(),""))</f>
        <v/>
      </c>
      <c r="T4766" s="9">
        <f>IF(Q4766="당기",ABS(P4766)+ROW()/1000000000,"")</f>
        <v/>
      </c>
      <c r="U4766" s="9">
        <f>IF(Q4766="비교",ABS(P4766)+ROW()/1000000000,"")</f>
        <v/>
      </c>
      <c r="V4766" s="64">
        <f>IF($A4766="","",IF(COUNTIF(변동분석!$E$7:$E$506,O4766)&gt;0,"Y","N"))</f>
        <v/>
      </c>
      <c r="W4766" s="64">
        <f>IF($A4766="","",IFERROR(INDEX(계정매핑!$D$5:$D$504,MATCH($F4766&amp;"",계정매핑!$A$5:$A$504,0)),"미매핑"))</f>
        <v/>
      </c>
      <c r="X4766" s="9">
        <f>IF($A4766="","",$F4766&amp;"")</f>
        <v/>
      </c>
      <c r="Y4766" s="94">
        <f>IF($A4766="",0,IF(AE4766="직접",IF(AF4766="비귀속",$P4766,0),$P4766*(1-AG4766)*IFERROR(INDEX(계정대체기준!$F$20:$F$49,MATCH($N4766,계정대체기준!$A$20:$A$49,0)),1)))</f>
        <v/>
      </c>
      <c r="Z4766" s="94">
        <f>IF($A4766="",0,IF(AE4766="직접",IF(AF4766="신계약비",$P4766,0),$P4766*(1-AG4766)*IFERROR(INDEX(계정대체기준!$C$20:$C$49,MATCH($N4766,계정대체기준!$A$20:$A$49,0)),0)))</f>
        <v/>
      </c>
      <c r="AA4766" s="94">
        <f>IF($A4766="",0,IF(AE4766="직접",IF(OR(AF4766="유지비",AF4766="손해조사비"),$P4766,0),$P4766*(1-AG4766)*IFERROR(INDEX(계정대체기준!$D$20:$D$49,MATCH($N4766,계정대체기준!$A$20:$A$49,0)),0)))</f>
        <v/>
      </c>
      <c r="AB4766" s="94">
        <f>IF($A4766="",0,IF(AE4766="직접",IF(AF4766="수금비",$P4766,0),$P4766*(1-AG4766)*IFERROR(INDEX(계정대체기준!$E$20:$E$49,MATCH($N4766,계정대체기준!$A$20:$A$49,0)),0)))</f>
        <v/>
      </c>
      <c r="AC4766" s="9">
        <f>IF(AND($A4766&lt;&gt;"",M4766=설정!$C$20,Z4766&gt;0),Z4766+ROW()/1000000000,"")</f>
        <v/>
      </c>
      <c r="AD4766" s="94">
        <f>IF($A4766="",0,$P4766*AG4766)</f>
        <v/>
      </c>
      <c r="AE4766" s="64">
        <f>IF($A4766="","",IFERROR(INDEX(계정매핑!$E$5:$E$504,MATCH($F4766&amp;"",계정매핑!$A$5:$A$504,0))&amp;"","공통비"))</f>
        <v/>
      </c>
      <c r="AF4766" s="64">
        <f>IF($A4766="","",IF(AE4766="직접",IFERROR(INDEX(계정매핑!$F$5:$F$504,MATCH($F4766&amp;"",계정매핑!$A$5:$A$504,0))&amp;"","비귀속"),""))</f>
        <v/>
      </c>
      <c r="AG4766" s="96">
        <f>IF($A4766="",0,IF(AND(AE4766&lt;&gt;"직접",IFERROR(INDEX(계정매핑!$G$5:$G$504,MATCH($F4766&amp;"",계정매핑!$A$5:$A$504,0))&amp;"","")="유지비",COUNTIF(계정대체기준!$A$6:$A$15,$N4766)&gt;0),IFERROR(INDEX(계정대체기준!$E$6:$E$15,MATCH(VALUE($A4766&amp;""),계정대체기준!$D$6:$D$15,0)),0),0))</f>
        <v/>
      </c>
      <c r="AH4766" s="64">
        <f>IF($A4766="","",IF(AD4766=0,"",IF(OR(COUNTIF(계정대체기준!$A$77:$A$86,$N4766)&gt;0,ISNUMBER(MATCH($X4766,계정대체기준!$D$77:$D$86,0)),ISNUMBER(MATCH($F4766,계정대체기준!$D$77:$D$86,0))),"Y","N")))</f>
        <v/>
      </c>
    </row>
    <row r="4767">
      <c r="A4767" s="92" t="n">
        <v>2026</v>
      </c>
      <c r="B4767" s="92" t="n">
        <v>9</v>
      </c>
      <c r="C4767" s="92" t="inlineStr">
        <is>
          <t>5100002045</t>
        </is>
      </c>
      <c r="D4767" s="95" t="n">
        <v>46289</v>
      </c>
      <c r="E4767" s="92" t="inlineStr">
        <is>
          <t>KR</t>
        </is>
      </c>
      <c r="F4767" s="92" t="n">
        <v>62501000</v>
      </c>
      <c r="G4767" s="92" t="n">
        <v>1801</v>
      </c>
      <c r="H4767" s="93" t="n">
        <v>150000</v>
      </c>
      <c r="I4767" s="92" t="inlineStr">
        <is>
          <t>9월 회의 다과 - T케이터링</t>
        </is>
      </c>
      <c r="J4767" s="92" t="inlineStr">
        <is>
          <t>V10005</t>
        </is>
      </c>
      <c r="K4767" s="92" t="inlineStr">
        <is>
          <t>T케이터링</t>
        </is>
      </c>
      <c r="M4767" s="9">
        <f>IF($A4767="","",VALUE($A4767&amp;"")*12+VALUE($B4767&amp;""))</f>
        <v/>
      </c>
      <c r="N4767" s="64">
        <f>IF($A4767="","",IFERROR(INDEX(부서매핑!$C$5:$C$504,MATCH($G4767&amp;"",부서매핑!$A$5:$A$504,0)),"미매핑"))</f>
        <v/>
      </c>
      <c r="O4767" s="9">
        <f>IF($A4767="","",N4767&amp;"|"&amp;$F4767)</f>
        <v/>
      </c>
      <c r="P4767" s="94">
        <f>IF($A4767="",0,$H4767*설정!$C$23)</f>
        <v/>
      </c>
      <c r="Q4767" s="64">
        <f>IF($A4767="","",IF(O4767&lt;&gt;원인분석!$C$9,"",IF(AND(M4767&gt;=원인분석!$C$10,M4767&lt;=원인분석!$C$11),"당기",IF(AND(M4767&gt;=원인분석!$C$12,M4767&lt;=원인분석!$C$13),"비교",""))))</f>
        <v/>
      </c>
      <c r="R4767" s="9">
        <f>IF(Q4767="","",$K4767&amp;"")</f>
        <v/>
      </c>
      <c r="S4767" s="9">
        <f>IF(Q4767="","",IF(MATCH(R4767,$R$5:$R$100000,0)=ROW()-4,ROW(),""))</f>
        <v/>
      </c>
      <c r="T4767" s="9">
        <f>IF(Q4767="당기",ABS(P4767)+ROW()/1000000000,"")</f>
        <v/>
      </c>
      <c r="U4767" s="9">
        <f>IF(Q4767="비교",ABS(P4767)+ROW()/1000000000,"")</f>
        <v/>
      </c>
      <c r="V4767" s="64">
        <f>IF($A4767="","",IF(COUNTIF(변동분석!$E$7:$E$506,O4767)&gt;0,"Y","N"))</f>
        <v/>
      </c>
      <c r="W4767" s="64">
        <f>IF($A4767="","",IFERROR(INDEX(계정매핑!$D$5:$D$504,MATCH($F4767&amp;"",계정매핑!$A$5:$A$504,0)),"미매핑"))</f>
        <v/>
      </c>
      <c r="X4767" s="9">
        <f>IF($A4767="","",$F4767&amp;"")</f>
        <v/>
      </c>
      <c r="Y4767" s="94">
        <f>IF($A4767="",0,IF(AE4767="직접",IF(AF4767="비귀속",$P4767,0),$P4767*(1-AG4767)*IFERROR(INDEX(계정대체기준!$F$20:$F$49,MATCH($N4767,계정대체기준!$A$20:$A$49,0)),1)))</f>
        <v/>
      </c>
      <c r="Z4767" s="94">
        <f>IF($A4767="",0,IF(AE4767="직접",IF(AF4767="신계약비",$P4767,0),$P4767*(1-AG4767)*IFERROR(INDEX(계정대체기준!$C$20:$C$49,MATCH($N4767,계정대체기준!$A$20:$A$49,0)),0)))</f>
        <v/>
      </c>
      <c r="AA4767" s="94">
        <f>IF($A4767="",0,IF(AE4767="직접",IF(OR(AF4767="유지비",AF4767="손해조사비"),$P4767,0),$P4767*(1-AG4767)*IFERROR(INDEX(계정대체기준!$D$20:$D$49,MATCH($N4767,계정대체기준!$A$20:$A$49,0)),0)))</f>
        <v/>
      </c>
      <c r="AB4767" s="94">
        <f>IF($A4767="",0,IF(AE4767="직접",IF(AF4767="수금비",$P4767,0),$P4767*(1-AG4767)*IFERROR(INDEX(계정대체기준!$E$20:$E$49,MATCH($N4767,계정대체기준!$A$20:$A$49,0)),0)))</f>
        <v/>
      </c>
      <c r="AC4767" s="9">
        <f>IF(AND($A4767&lt;&gt;"",M4767=설정!$C$20,Z4767&gt;0),Z4767+ROW()/1000000000,"")</f>
        <v/>
      </c>
      <c r="AD4767" s="94">
        <f>IF($A4767="",0,$P4767*AG4767)</f>
        <v/>
      </c>
      <c r="AE4767" s="64">
        <f>IF($A4767="","",IFERROR(INDEX(계정매핑!$E$5:$E$504,MATCH($F4767&amp;"",계정매핑!$A$5:$A$504,0))&amp;"","공통비"))</f>
        <v/>
      </c>
      <c r="AF4767" s="64">
        <f>IF($A4767="","",IF(AE4767="직접",IFERROR(INDEX(계정매핑!$F$5:$F$504,MATCH($F4767&amp;"",계정매핑!$A$5:$A$504,0))&amp;"","비귀속"),""))</f>
        <v/>
      </c>
      <c r="AG4767" s="96">
        <f>IF($A4767="",0,IF(AND(AE4767&lt;&gt;"직접",IFERROR(INDEX(계정매핑!$G$5:$G$504,MATCH($F4767&amp;"",계정매핑!$A$5:$A$504,0))&amp;"","")="유지비",COUNTIF(계정대체기준!$A$6:$A$15,$N4767)&gt;0),IFERROR(INDEX(계정대체기준!$E$6:$E$15,MATCH(VALUE($A4767&amp;""),계정대체기준!$D$6:$D$15,0)),0),0))</f>
        <v/>
      </c>
      <c r="AH4767" s="64">
        <f>IF($A4767="","",IF(AD4767=0,"",IF(OR(COUNTIF(계정대체기준!$A$77:$A$86,$N4767)&gt;0,ISNUMBER(MATCH($X4767,계정대체기준!$D$77:$D$86,0)),ISNUMBER(MATCH($F4767,계정대체기준!$D$77:$D$86,0))),"Y","N")))</f>
        <v/>
      </c>
    </row>
    <row r="4768">
      <c r="A4768" s="92" t="n">
        <v>2026</v>
      </c>
      <c r="B4768" s="92" t="n">
        <v>9</v>
      </c>
      <c r="C4768" s="92" t="inlineStr">
        <is>
          <t>5100002046</t>
        </is>
      </c>
      <c r="D4768" s="95" t="n">
        <v>46290</v>
      </c>
      <c r="E4768" s="92" t="inlineStr">
        <is>
          <t>KR</t>
        </is>
      </c>
      <c r="F4768" s="92" t="n">
        <v>62101000</v>
      </c>
      <c r="G4768" s="92" t="n">
        <v>1801</v>
      </c>
      <c r="H4768" s="93" t="n">
        <v>146000</v>
      </c>
      <c r="I4768" s="92" t="inlineStr">
        <is>
          <t>9월 국내출장 - L여행사</t>
        </is>
      </c>
      <c r="J4768" s="92" t="inlineStr">
        <is>
          <t>V10018</t>
        </is>
      </c>
      <c r="K4768" s="92" t="inlineStr">
        <is>
          <t>L여행사</t>
        </is>
      </c>
      <c r="M4768" s="9">
        <f>IF($A4768="","",VALUE($A4768&amp;"")*12+VALUE($B4768&amp;""))</f>
        <v/>
      </c>
      <c r="N4768" s="64">
        <f>IF($A4768="","",IFERROR(INDEX(부서매핑!$C$5:$C$504,MATCH($G4768&amp;"",부서매핑!$A$5:$A$504,0)),"미매핑"))</f>
        <v/>
      </c>
      <c r="O4768" s="9">
        <f>IF($A4768="","",N4768&amp;"|"&amp;$F4768)</f>
        <v/>
      </c>
      <c r="P4768" s="94">
        <f>IF($A4768="",0,$H4768*설정!$C$23)</f>
        <v/>
      </c>
      <c r="Q4768" s="64">
        <f>IF($A4768="","",IF(O4768&lt;&gt;원인분석!$C$9,"",IF(AND(M4768&gt;=원인분석!$C$10,M4768&lt;=원인분석!$C$11),"당기",IF(AND(M4768&gt;=원인분석!$C$12,M4768&lt;=원인분석!$C$13),"비교",""))))</f>
        <v/>
      </c>
      <c r="R4768" s="9">
        <f>IF(Q4768="","",$K4768&amp;"")</f>
        <v/>
      </c>
      <c r="S4768" s="9">
        <f>IF(Q4768="","",IF(MATCH(R4768,$R$5:$R$100000,0)=ROW()-4,ROW(),""))</f>
        <v/>
      </c>
      <c r="T4768" s="9">
        <f>IF(Q4768="당기",ABS(P4768)+ROW()/1000000000,"")</f>
        <v/>
      </c>
      <c r="U4768" s="9">
        <f>IF(Q4768="비교",ABS(P4768)+ROW()/1000000000,"")</f>
        <v/>
      </c>
      <c r="V4768" s="64">
        <f>IF($A4768="","",IF(COUNTIF(변동분석!$E$7:$E$506,O4768)&gt;0,"Y","N"))</f>
        <v/>
      </c>
      <c r="W4768" s="64">
        <f>IF($A4768="","",IFERROR(INDEX(계정매핑!$D$5:$D$504,MATCH($F4768&amp;"",계정매핑!$A$5:$A$504,0)),"미매핑"))</f>
        <v/>
      </c>
      <c r="X4768" s="9">
        <f>IF($A4768="","",$F4768&amp;"")</f>
        <v/>
      </c>
      <c r="Y4768" s="94">
        <f>IF($A4768="",0,IF(AE4768="직접",IF(AF4768="비귀속",$P4768,0),$P4768*(1-AG4768)*IFERROR(INDEX(계정대체기준!$F$20:$F$49,MATCH($N4768,계정대체기준!$A$20:$A$49,0)),1)))</f>
        <v/>
      </c>
      <c r="Z4768" s="94">
        <f>IF($A4768="",0,IF(AE4768="직접",IF(AF4768="신계약비",$P4768,0),$P4768*(1-AG4768)*IFERROR(INDEX(계정대체기준!$C$20:$C$49,MATCH($N4768,계정대체기준!$A$20:$A$49,0)),0)))</f>
        <v/>
      </c>
      <c r="AA4768" s="94">
        <f>IF($A4768="",0,IF(AE4768="직접",IF(OR(AF4768="유지비",AF4768="손해조사비"),$P4768,0),$P4768*(1-AG4768)*IFERROR(INDEX(계정대체기준!$D$20:$D$49,MATCH($N4768,계정대체기준!$A$20:$A$49,0)),0)))</f>
        <v/>
      </c>
      <c r="AB4768" s="94">
        <f>IF($A4768="",0,IF(AE4768="직접",IF(AF4768="수금비",$P4768,0),$P4768*(1-AG4768)*IFERROR(INDEX(계정대체기준!$E$20:$E$49,MATCH($N4768,계정대체기준!$A$20:$A$49,0)),0)))</f>
        <v/>
      </c>
      <c r="AC4768" s="9">
        <f>IF(AND($A4768&lt;&gt;"",M4768=설정!$C$20,Z4768&gt;0),Z4768+ROW()/1000000000,"")</f>
        <v/>
      </c>
      <c r="AD4768" s="94">
        <f>IF($A4768="",0,$P4768*AG4768)</f>
        <v/>
      </c>
      <c r="AE4768" s="64">
        <f>IF($A4768="","",IFERROR(INDEX(계정매핑!$E$5:$E$504,MATCH($F4768&amp;"",계정매핑!$A$5:$A$504,0))&amp;"","공통비"))</f>
        <v/>
      </c>
      <c r="AF4768" s="64">
        <f>IF($A4768="","",IF(AE4768="직접",IFERROR(INDEX(계정매핑!$F$5:$F$504,MATCH($F4768&amp;"",계정매핑!$A$5:$A$504,0))&amp;"","비귀속"),""))</f>
        <v/>
      </c>
      <c r="AG4768" s="96">
        <f>IF($A4768="",0,IF(AND(AE4768&lt;&gt;"직접",IFERROR(INDEX(계정매핑!$G$5:$G$504,MATCH($F4768&amp;"",계정매핑!$A$5:$A$504,0))&amp;"","")="유지비",COUNTIF(계정대체기준!$A$6:$A$15,$N4768)&gt;0),IFERROR(INDEX(계정대체기준!$E$6:$E$15,MATCH(VALUE($A4768&amp;""),계정대체기준!$D$6:$D$15,0)),0),0))</f>
        <v/>
      </c>
      <c r="AH4768" s="64">
        <f>IF($A4768="","",IF(AD4768=0,"",IF(OR(COUNTIF(계정대체기준!$A$77:$A$86,$N4768)&gt;0,ISNUMBER(MATCH($X4768,계정대체기준!$D$77:$D$86,0)),ISNUMBER(MATCH($F4768,계정대체기준!$D$77:$D$86,0))),"Y","N")))</f>
        <v/>
      </c>
    </row>
    <row r="4769">
      <c r="A4769" s="92" t="n">
        <v>2026</v>
      </c>
      <c r="B4769" s="92" t="n">
        <v>9</v>
      </c>
      <c r="C4769" s="92" t="inlineStr">
        <is>
          <t>5100002047</t>
        </is>
      </c>
      <c r="D4769" s="95" t="n">
        <v>46290</v>
      </c>
      <c r="E4769" s="92" t="inlineStr">
        <is>
          <t>KR</t>
        </is>
      </c>
      <c r="F4769" s="92" t="n">
        <v>62201000</v>
      </c>
      <c r="G4769" s="92" t="n">
        <v>1101</v>
      </c>
      <c r="H4769" s="93" t="n">
        <v>264000</v>
      </c>
      <c r="I4769" s="92" t="inlineStr">
        <is>
          <t>9월 통신요금 - P통신</t>
        </is>
      </c>
      <c r="J4769" s="92" t="inlineStr">
        <is>
          <t>V10014</t>
        </is>
      </c>
      <c r="K4769" s="92" t="inlineStr">
        <is>
          <t>P통신</t>
        </is>
      </c>
      <c r="M4769" s="9">
        <f>IF($A4769="","",VALUE($A4769&amp;"")*12+VALUE($B4769&amp;""))</f>
        <v/>
      </c>
      <c r="N4769" s="64">
        <f>IF($A4769="","",IFERROR(INDEX(부서매핑!$C$5:$C$504,MATCH($G4769&amp;"",부서매핑!$A$5:$A$504,0)),"미매핑"))</f>
        <v/>
      </c>
      <c r="O4769" s="9">
        <f>IF($A4769="","",N4769&amp;"|"&amp;$F4769)</f>
        <v/>
      </c>
      <c r="P4769" s="94">
        <f>IF($A4769="",0,$H4769*설정!$C$23)</f>
        <v/>
      </c>
      <c r="Q4769" s="64">
        <f>IF($A4769="","",IF(O4769&lt;&gt;원인분석!$C$9,"",IF(AND(M4769&gt;=원인분석!$C$10,M4769&lt;=원인분석!$C$11),"당기",IF(AND(M4769&gt;=원인분석!$C$12,M4769&lt;=원인분석!$C$13),"비교",""))))</f>
        <v/>
      </c>
      <c r="R4769" s="9">
        <f>IF(Q4769="","",$K4769&amp;"")</f>
        <v/>
      </c>
      <c r="S4769" s="9">
        <f>IF(Q4769="","",IF(MATCH(R4769,$R$5:$R$100000,0)=ROW()-4,ROW(),""))</f>
        <v/>
      </c>
      <c r="T4769" s="9">
        <f>IF(Q4769="당기",ABS(P4769)+ROW()/1000000000,"")</f>
        <v/>
      </c>
      <c r="U4769" s="9">
        <f>IF(Q4769="비교",ABS(P4769)+ROW()/1000000000,"")</f>
        <v/>
      </c>
      <c r="V4769" s="64">
        <f>IF($A4769="","",IF(COUNTIF(변동분석!$E$7:$E$506,O4769)&gt;0,"Y","N"))</f>
        <v/>
      </c>
      <c r="W4769" s="64">
        <f>IF($A4769="","",IFERROR(INDEX(계정매핑!$D$5:$D$504,MATCH($F4769&amp;"",계정매핑!$A$5:$A$504,0)),"미매핑"))</f>
        <v/>
      </c>
      <c r="X4769" s="9">
        <f>IF($A4769="","",$F4769&amp;"")</f>
        <v/>
      </c>
      <c r="Y4769" s="94">
        <f>IF($A4769="",0,IF(AE4769="직접",IF(AF4769="비귀속",$P4769,0),$P4769*(1-AG4769)*IFERROR(INDEX(계정대체기준!$F$20:$F$49,MATCH($N4769,계정대체기준!$A$20:$A$49,0)),1)))</f>
        <v/>
      </c>
      <c r="Z4769" s="94">
        <f>IF($A4769="",0,IF(AE4769="직접",IF(AF4769="신계약비",$P4769,0),$P4769*(1-AG4769)*IFERROR(INDEX(계정대체기준!$C$20:$C$49,MATCH($N4769,계정대체기준!$A$20:$A$49,0)),0)))</f>
        <v/>
      </c>
      <c r="AA4769" s="94">
        <f>IF($A4769="",0,IF(AE4769="직접",IF(OR(AF4769="유지비",AF4769="손해조사비"),$P4769,0),$P4769*(1-AG4769)*IFERROR(INDEX(계정대체기준!$D$20:$D$49,MATCH($N4769,계정대체기준!$A$20:$A$49,0)),0)))</f>
        <v/>
      </c>
      <c r="AB4769" s="94">
        <f>IF($A4769="",0,IF(AE4769="직접",IF(AF4769="수금비",$P4769,0),$P4769*(1-AG4769)*IFERROR(INDEX(계정대체기준!$E$20:$E$49,MATCH($N4769,계정대체기준!$A$20:$A$49,0)),0)))</f>
        <v/>
      </c>
      <c r="AC4769" s="9">
        <f>IF(AND($A4769&lt;&gt;"",M4769=설정!$C$20,Z4769&gt;0),Z4769+ROW()/1000000000,"")</f>
        <v/>
      </c>
      <c r="AD4769" s="94">
        <f>IF($A4769="",0,$P4769*AG4769)</f>
        <v/>
      </c>
      <c r="AE4769" s="64">
        <f>IF($A4769="","",IFERROR(INDEX(계정매핑!$E$5:$E$504,MATCH($F4769&amp;"",계정매핑!$A$5:$A$504,0))&amp;"","공통비"))</f>
        <v/>
      </c>
      <c r="AF4769" s="64">
        <f>IF($A4769="","",IF(AE4769="직접",IFERROR(INDEX(계정매핑!$F$5:$F$504,MATCH($F4769&amp;"",계정매핑!$A$5:$A$504,0))&amp;"","비귀속"),""))</f>
        <v/>
      </c>
      <c r="AG4769" s="96">
        <f>IF($A4769="",0,IF(AND(AE4769&lt;&gt;"직접",IFERROR(INDEX(계정매핑!$G$5:$G$504,MATCH($F4769&amp;"",계정매핑!$A$5:$A$504,0))&amp;"","")="유지비",COUNTIF(계정대체기준!$A$6:$A$15,$N4769)&gt;0),IFERROR(INDEX(계정대체기준!$E$6:$E$15,MATCH(VALUE($A4769&amp;""),계정대체기준!$D$6:$D$15,0)),0),0))</f>
        <v/>
      </c>
      <c r="AH4769" s="64">
        <f>IF($A4769="","",IF(AD4769=0,"",IF(OR(COUNTIF(계정대체기준!$A$77:$A$86,$N4769)&gt;0,ISNUMBER(MATCH($X4769,계정대체기준!$D$77:$D$86,0)),ISNUMBER(MATCH($F4769,계정대체기준!$D$77:$D$86,0))),"Y","N")))</f>
        <v/>
      </c>
    </row>
    <row r="4770">
      <c r="A4770" s="92" t="n">
        <v>2026</v>
      </c>
      <c r="B4770" s="92" t="n">
        <v>9</v>
      </c>
      <c r="C4770" s="92" t="inlineStr">
        <is>
          <t>5100002048</t>
        </is>
      </c>
      <c r="D4770" s="95" t="n">
        <v>46290</v>
      </c>
      <c r="E4770" s="92" t="inlineStr">
        <is>
          <t>KR</t>
        </is>
      </c>
      <c r="F4770" s="92" t="n">
        <v>62201000</v>
      </c>
      <c r="G4770" s="92" t="n">
        <v>1401</v>
      </c>
      <c r="H4770" s="93" t="n">
        <v>151000</v>
      </c>
      <c r="I4770" s="92" t="inlineStr">
        <is>
          <t>9월 통신요금 - O텔레콤</t>
        </is>
      </c>
      <c r="J4770" s="92" t="inlineStr">
        <is>
          <t>V10002</t>
        </is>
      </c>
      <c r="K4770" s="92" t="inlineStr">
        <is>
          <t>O텔레콤</t>
        </is>
      </c>
      <c r="M4770" s="9">
        <f>IF($A4770="","",VALUE($A4770&amp;"")*12+VALUE($B4770&amp;""))</f>
        <v/>
      </c>
      <c r="N4770" s="64">
        <f>IF($A4770="","",IFERROR(INDEX(부서매핑!$C$5:$C$504,MATCH($G4770&amp;"",부서매핑!$A$5:$A$504,0)),"미매핑"))</f>
        <v/>
      </c>
      <c r="O4770" s="9">
        <f>IF($A4770="","",N4770&amp;"|"&amp;$F4770)</f>
        <v/>
      </c>
      <c r="P4770" s="94">
        <f>IF($A4770="",0,$H4770*설정!$C$23)</f>
        <v/>
      </c>
      <c r="Q4770" s="64">
        <f>IF($A4770="","",IF(O4770&lt;&gt;원인분석!$C$9,"",IF(AND(M4770&gt;=원인분석!$C$10,M4770&lt;=원인분석!$C$11),"당기",IF(AND(M4770&gt;=원인분석!$C$12,M4770&lt;=원인분석!$C$13),"비교",""))))</f>
        <v/>
      </c>
      <c r="R4770" s="9">
        <f>IF(Q4770="","",$K4770&amp;"")</f>
        <v/>
      </c>
      <c r="S4770" s="9">
        <f>IF(Q4770="","",IF(MATCH(R4770,$R$5:$R$100000,0)=ROW()-4,ROW(),""))</f>
        <v/>
      </c>
      <c r="T4770" s="9">
        <f>IF(Q4770="당기",ABS(P4770)+ROW()/1000000000,"")</f>
        <v/>
      </c>
      <c r="U4770" s="9">
        <f>IF(Q4770="비교",ABS(P4770)+ROW()/1000000000,"")</f>
        <v/>
      </c>
      <c r="V4770" s="64">
        <f>IF($A4770="","",IF(COUNTIF(변동분석!$E$7:$E$506,O4770)&gt;0,"Y","N"))</f>
        <v/>
      </c>
      <c r="W4770" s="64">
        <f>IF($A4770="","",IFERROR(INDEX(계정매핑!$D$5:$D$504,MATCH($F4770&amp;"",계정매핑!$A$5:$A$504,0)),"미매핑"))</f>
        <v/>
      </c>
      <c r="X4770" s="9">
        <f>IF($A4770="","",$F4770&amp;"")</f>
        <v/>
      </c>
      <c r="Y4770" s="94">
        <f>IF($A4770="",0,IF(AE4770="직접",IF(AF4770="비귀속",$P4770,0),$P4770*(1-AG4770)*IFERROR(INDEX(계정대체기준!$F$20:$F$49,MATCH($N4770,계정대체기준!$A$20:$A$49,0)),1)))</f>
        <v/>
      </c>
      <c r="Z4770" s="94">
        <f>IF($A4770="",0,IF(AE4770="직접",IF(AF4770="신계약비",$P4770,0),$P4770*(1-AG4770)*IFERROR(INDEX(계정대체기준!$C$20:$C$49,MATCH($N4770,계정대체기준!$A$20:$A$49,0)),0)))</f>
        <v/>
      </c>
      <c r="AA4770" s="94">
        <f>IF($A4770="",0,IF(AE4770="직접",IF(OR(AF4770="유지비",AF4770="손해조사비"),$P4770,0),$P4770*(1-AG4770)*IFERROR(INDEX(계정대체기준!$D$20:$D$49,MATCH($N4770,계정대체기준!$A$20:$A$49,0)),0)))</f>
        <v/>
      </c>
      <c r="AB4770" s="94">
        <f>IF($A4770="",0,IF(AE4770="직접",IF(AF4770="수금비",$P4770,0),$P4770*(1-AG4770)*IFERROR(INDEX(계정대체기준!$E$20:$E$49,MATCH($N4770,계정대체기준!$A$20:$A$49,0)),0)))</f>
        <v/>
      </c>
      <c r="AC4770" s="9">
        <f>IF(AND($A4770&lt;&gt;"",M4770=설정!$C$20,Z4770&gt;0),Z4770+ROW()/1000000000,"")</f>
        <v/>
      </c>
      <c r="AD4770" s="94">
        <f>IF($A4770="",0,$P4770*AG4770)</f>
        <v/>
      </c>
      <c r="AE4770" s="64">
        <f>IF($A4770="","",IFERROR(INDEX(계정매핑!$E$5:$E$504,MATCH($F4770&amp;"",계정매핑!$A$5:$A$504,0))&amp;"","공통비"))</f>
        <v/>
      </c>
      <c r="AF4770" s="64">
        <f>IF($A4770="","",IF(AE4770="직접",IFERROR(INDEX(계정매핑!$F$5:$F$504,MATCH($F4770&amp;"",계정매핑!$A$5:$A$504,0))&amp;"","비귀속"),""))</f>
        <v/>
      </c>
      <c r="AG4770" s="96">
        <f>IF($A4770="",0,IF(AND(AE4770&lt;&gt;"직접",IFERROR(INDEX(계정매핑!$G$5:$G$504,MATCH($F4770&amp;"",계정매핑!$A$5:$A$504,0))&amp;"","")="유지비",COUNTIF(계정대체기준!$A$6:$A$15,$N4770)&gt;0),IFERROR(INDEX(계정대체기준!$E$6:$E$15,MATCH(VALUE($A4770&amp;""),계정대체기준!$D$6:$D$15,0)),0),0))</f>
        <v/>
      </c>
      <c r="AH4770" s="64">
        <f>IF($A4770="","",IF(AD4770=0,"",IF(OR(COUNTIF(계정대체기준!$A$77:$A$86,$N4770)&gt;0,ISNUMBER(MATCH($X4770,계정대체기준!$D$77:$D$86,0)),ISNUMBER(MATCH($F4770,계정대체기준!$D$77:$D$86,0))),"Y","N")))</f>
        <v/>
      </c>
    </row>
    <row r="4771">
      <c r="A4771" s="92" t="n">
        <v>2026</v>
      </c>
      <c r="B4771" s="92" t="n">
        <v>9</v>
      </c>
      <c r="C4771" s="92" t="inlineStr">
        <is>
          <t>5100002049</t>
        </is>
      </c>
      <c r="D4771" s="95" t="n">
        <v>46290</v>
      </c>
      <c r="E4771" s="92" t="inlineStr">
        <is>
          <t>KR</t>
        </is>
      </c>
      <c r="F4771" s="92" t="n">
        <v>62201000</v>
      </c>
      <c r="G4771" s="92" t="n">
        <v>1701</v>
      </c>
      <c r="H4771" s="93" t="n">
        <v>5006000</v>
      </c>
      <c r="I4771" s="92" t="inlineStr">
        <is>
          <t>9월 통신요금 - P통신</t>
        </is>
      </c>
      <c r="J4771" s="92" t="inlineStr">
        <is>
          <t>V10014</t>
        </is>
      </c>
      <c r="K4771" s="92" t="inlineStr">
        <is>
          <t>P통신</t>
        </is>
      </c>
      <c r="M4771" s="9">
        <f>IF($A4771="","",VALUE($A4771&amp;"")*12+VALUE($B4771&amp;""))</f>
        <v/>
      </c>
      <c r="N4771" s="64">
        <f>IF($A4771="","",IFERROR(INDEX(부서매핑!$C$5:$C$504,MATCH($G4771&amp;"",부서매핑!$A$5:$A$504,0)),"미매핑"))</f>
        <v/>
      </c>
      <c r="O4771" s="9">
        <f>IF($A4771="","",N4771&amp;"|"&amp;$F4771)</f>
        <v/>
      </c>
      <c r="P4771" s="94">
        <f>IF($A4771="",0,$H4771*설정!$C$23)</f>
        <v/>
      </c>
      <c r="Q4771" s="64">
        <f>IF($A4771="","",IF(O4771&lt;&gt;원인분석!$C$9,"",IF(AND(M4771&gt;=원인분석!$C$10,M4771&lt;=원인분석!$C$11),"당기",IF(AND(M4771&gt;=원인분석!$C$12,M4771&lt;=원인분석!$C$13),"비교",""))))</f>
        <v/>
      </c>
      <c r="R4771" s="9">
        <f>IF(Q4771="","",$K4771&amp;"")</f>
        <v/>
      </c>
      <c r="S4771" s="9">
        <f>IF(Q4771="","",IF(MATCH(R4771,$R$5:$R$100000,0)=ROW()-4,ROW(),""))</f>
        <v/>
      </c>
      <c r="T4771" s="9">
        <f>IF(Q4771="당기",ABS(P4771)+ROW()/1000000000,"")</f>
        <v/>
      </c>
      <c r="U4771" s="9">
        <f>IF(Q4771="비교",ABS(P4771)+ROW()/1000000000,"")</f>
        <v/>
      </c>
      <c r="V4771" s="64">
        <f>IF($A4771="","",IF(COUNTIF(변동분석!$E$7:$E$506,O4771)&gt;0,"Y","N"))</f>
        <v/>
      </c>
      <c r="W4771" s="64">
        <f>IF($A4771="","",IFERROR(INDEX(계정매핑!$D$5:$D$504,MATCH($F4771&amp;"",계정매핑!$A$5:$A$504,0)),"미매핑"))</f>
        <v/>
      </c>
      <c r="X4771" s="9">
        <f>IF($A4771="","",$F4771&amp;"")</f>
        <v/>
      </c>
      <c r="Y4771" s="94">
        <f>IF($A4771="",0,IF(AE4771="직접",IF(AF4771="비귀속",$P4771,0),$P4771*(1-AG4771)*IFERROR(INDEX(계정대체기준!$F$20:$F$49,MATCH($N4771,계정대체기준!$A$20:$A$49,0)),1)))</f>
        <v/>
      </c>
      <c r="Z4771" s="94">
        <f>IF($A4771="",0,IF(AE4771="직접",IF(AF4771="신계약비",$P4771,0),$P4771*(1-AG4771)*IFERROR(INDEX(계정대체기준!$C$20:$C$49,MATCH($N4771,계정대체기준!$A$20:$A$49,0)),0)))</f>
        <v/>
      </c>
      <c r="AA4771" s="94">
        <f>IF($A4771="",0,IF(AE4771="직접",IF(OR(AF4771="유지비",AF4771="손해조사비"),$P4771,0),$P4771*(1-AG4771)*IFERROR(INDEX(계정대체기준!$D$20:$D$49,MATCH($N4771,계정대체기준!$A$20:$A$49,0)),0)))</f>
        <v/>
      </c>
      <c r="AB4771" s="94">
        <f>IF($A4771="",0,IF(AE4771="직접",IF(AF4771="수금비",$P4771,0),$P4771*(1-AG4771)*IFERROR(INDEX(계정대체기준!$E$20:$E$49,MATCH($N4771,계정대체기준!$A$20:$A$49,0)),0)))</f>
        <v/>
      </c>
      <c r="AC4771" s="9">
        <f>IF(AND($A4771&lt;&gt;"",M4771=설정!$C$20,Z4771&gt;0),Z4771+ROW()/1000000000,"")</f>
        <v/>
      </c>
      <c r="AD4771" s="94">
        <f>IF($A4771="",0,$P4771*AG4771)</f>
        <v/>
      </c>
      <c r="AE4771" s="64">
        <f>IF($A4771="","",IFERROR(INDEX(계정매핑!$E$5:$E$504,MATCH($F4771&amp;"",계정매핑!$A$5:$A$504,0))&amp;"","공통비"))</f>
        <v/>
      </c>
      <c r="AF4771" s="64">
        <f>IF($A4771="","",IF(AE4771="직접",IFERROR(INDEX(계정매핑!$F$5:$F$504,MATCH($F4771&amp;"",계정매핑!$A$5:$A$504,0))&amp;"","비귀속"),""))</f>
        <v/>
      </c>
      <c r="AG4771" s="96">
        <f>IF($A4771="",0,IF(AND(AE4771&lt;&gt;"직접",IFERROR(INDEX(계정매핑!$G$5:$G$504,MATCH($F4771&amp;"",계정매핑!$A$5:$A$504,0))&amp;"","")="유지비",COUNTIF(계정대체기준!$A$6:$A$15,$N4771)&gt;0),IFERROR(INDEX(계정대체기준!$E$6:$E$15,MATCH(VALUE($A4771&amp;""),계정대체기준!$D$6:$D$15,0)),0),0))</f>
        <v/>
      </c>
      <c r="AH4771" s="64">
        <f>IF($A4771="","",IF(AD4771=0,"",IF(OR(COUNTIF(계정대체기준!$A$77:$A$86,$N4771)&gt;0,ISNUMBER(MATCH($X4771,계정대체기준!$D$77:$D$86,0)),ISNUMBER(MATCH($F4771,계정대체기준!$D$77:$D$86,0))),"Y","N")))</f>
        <v/>
      </c>
    </row>
    <row r="4772">
      <c r="A4772" s="92" t="n">
        <v>2026</v>
      </c>
      <c r="B4772" s="92" t="n">
        <v>9</v>
      </c>
      <c r="C4772" s="92" t="inlineStr">
        <is>
          <t>5100002050</t>
        </is>
      </c>
      <c r="D4772" s="95" t="n">
        <v>46290</v>
      </c>
      <c r="E4772" s="92" t="inlineStr">
        <is>
          <t>KR</t>
        </is>
      </c>
      <c r="F4772" s="92" t="n">
        <v>62301000</v>
      </c>
      <c r="G4772" s="92" t="n">
        <v>1502</v>
      </c>
      <c r="H4772" s="93" t="n">
        <v>202000</v>
      </c>
      <c r="I4772" s="92" t="inlineStr">
        <is>
          <t>9월 소모품 구입 - Q오피스</t>
        </is>
      </c>
      <c r="J4772" s="92" t="inlineStr">
        <is>
          <t>V10003</t>
        </is>
      </c>
      <c r="K4772" s="92" t="inlineStr">
        <is>
          <t>Q오피스</t>
        </is>
      </c>
      <c r="M4772" s="9">
        <f>IF($A4772="","",VALUE($A4772&amp;"")*12+VALUE($B4772&amp;""))</f>
        <v/>
      </c>
      <c r="N4772" s="64">
        <f>IF($A4772="","",IFERROR(INDEX(부서매핑!$C$5:$C$504,MATCH($G4772&amp;"",부서매핑!$A$5:$A$504,0)),"미매핑"))</f>
        <v/>
      </c>
      <c r="O4772" s="9">
        <f>IF($A4772="","",N4772&amp;"|"&amp;$F4772)</f>
        <v/>
      </c>
      <c r="P4772" s="94">
        <f>IF($A4772="",0,$H4772*설정!$C$23)</f>
        <v/>
      </c>
      <c r="Q4772" s="64">
        <f>IF($A4772="","",IF(O4772&lt;&gt;원인분석!$C$9,"",IF(AND(M4772&gt;=원인분석!$C$10,M4772&lt;=원인분석!$C$11),"당기",IF(AND(M4772&gt;=원인분석!$C$12,M4772&lt;=원인분석!$C$13),"비교",""))))</f>
        <v/>
      </c>
      <c r="R4772" s="9">
        <f>IF(Q4772="","",$K4772&amp;"")</f>
        <v/>
      </c>
      <c r="S4772" s="9">
        <f>IF(Q4772="","",IF(MATCH(R4772,$R$5:$R$100000,0)=ROW()-4,ROW(),""))</f>
        <v/>
      </c>
      <c r="T4772" s="9">
        <f>IF(Q4772="당기",ABS(P4772)+ROW()/1000000000,"")</f>
        <v/>
      </c>
      <c r="U4772" s="9">
        <f>IF(Q4772="비교",ABS(P4772)+ROW()/1000000000,"")</f>
        <v/>
      </c>
      <c r="V4772" s="64">
        <f>IF($A4772="","",IF(COUNTIF(변동분석!$E$7:$E$506,O4772)&gt;0,"Y","N"))</f>
        <v/>
      </c>
      <c r="W4772" s="64">
        <f>IF($A4772="","",IFERROR(INDEX(계정매핑!$D$5:$D$504,MATCH($F4772&amp;"",계정매핑!$A$5:$A$504,0)),"미매핑"))</f>
        <v/>
      </c>
      <c r="X4772" s="9">
        <f>IF($A4772="","",$F4772&amp;"")</f>
        <v/>
      </c>
      <c r="Y4772" s="94">
        <f>IF($A4772="",0,IF(AE4772="직접",IF(AF4772="비귀속",$P4772,0),$P4772*(1-AG4772)*IFERROR(INDEX(계정대체기준!$F$20:$F$49,MATCH($N4772,계정대체기준!$A$20:$A$49,0)),1)))</f>
        <v/>
      </c>
      <c r="Z4772" s="94">
        <f>IF($A4772="",0,IF(AE4772="직접",IF(AF4772="신계약비",$P4772,0),$P4772*(1-AG4772)*IFERROR(INDEX(계정대체기준!$C$20:$C$49,MATCH($N4772,계정대체기준!$A$20:$A$49,0)),0)))</f>
        <v/>
      </c>
      <c r="AA4772" s="94">
        <f>IF($A4772="",0,IF(AE4772="직접",IF(OR(AF4772="유지비",AF4772="손해조사비"),$P4772,0),$P4772*(1-AG4772)*IFERROR(INDEX(계정대체기준!$D$20:$D$49,MATCH($N4772,계정대체기준!$A$20:$A$49,0)),0)))</f>
        <v/>
      </c>
      <c r="AB4772" s="94">
        <f>IF($A4772="",0,IF(AE4772="직접",IF(AF4772="수금비",$P4772,0),$P4772*(1-AG4772)*IFERROR(INDEX(계정대체기준!$E$20:$E$49,MATCH($N4772,계정대체기준!$A$20:$A$49,0)),0)))</f>
        <v/>
      </c>
      <c r="AC4772" s="9">
        <f>IF(AND($A4772&lt;&gt;"",M4772=설정!$C$20,Z4772&gt;0),Z4772+ROW()/1000000000,"")</f>
        <v/>
      </c>
      <c r="AD4772" s="94">
        <f>IF($A4772="",0,$P4772*AG4772)</f>
        <v/>
      </c>
      <c r="AE4772" s="64">
        <f>IF($A4772="","",IFERROR(INDEX(계정매핑!$E$5:$E$504,MATCH($F4772&amp;"",계정매핑!$A$5:$A$504,0))&amp;"","공통비"))</f>
        <v/>
      </c>
      <c r="AF4772" s="64">
        <f>IF($A4772="","",IF(AE4772="직접",IFERROR(INDEX(계정매핑!$F$5:$F$504,MATCH($F4772&amp;"",계정매핑!$A$5:$A$504,0))&amp;"","비귀속"),""))</f>
        <v/>
      </c>
      <c r="AG4772" s="96">
        <f>IF($A4772="",0,IF(AND(AE4772&lt;&gt;"직접",IFERROR(INDEX(계정매핑!$G$5:$G$504,MATCH($F4772&amp;"",계정매핑!$A$5:$A$504,0))&amp;"","")="유지비",COUNTIF(계정대체기준!$A$6:$A$15,$N4772)&gt;0),IFERROR(INDEX(계정대체기준!$E$6:$E$15,MATCH(VALUE($A4772&amp;""),계정대체기준!$D$6:$D$15,0)),0),0))</f>
        <v/>
      </c>
      <c r="AH4772" s="64">
        <f>IF($A4772="","",IF(AD4772=0,"",IF(OR(COUNTIF(계정대체기준!$A$77:$A$86,$N4772)&gt;0,ISNUMBER(MATCH($X4772,계정대체기준!$D$77:$D$86,0)),ISNUMBER(MATCH($F4772,계정대체기준!$D$77:$D$86,0))),"Y","N")))</f>
        <v/>
      </c>
    </row>
    <row r="4773">
      <c r="A4773" s="92" t="n">
        <v>2026</v>
      </c>
      <c r="B4773" s="92" t="n">
        <v>9</v>
      </c>
      <c r="C4773" s="92" t="inlineStr">
        <is>
          <t>5100002051</t>
        </is>
      </c>
      <c r="D4773" s="95" t="n">
        <v>46290</v>
      </c>
      <c r="E4773" s="92" t="inlineStr">
        <is>
          <t>KR</t>
        </is>
      </c>
      <c r="F4773" s="92" t="n">
        <v>62301000</v>
      </c>
      <c r="G4773" s="92" t="n">
        <v>1602</v>
      </c>
      <c r="H4773" s="93" t="n">
        <v>553000</v>
      </c>
      <c r="I4773" s="92" t="inlineStr">
        <is>
          <t>9월 소모품 구입 - R문구</t>
        </is>
      </c>
      <c r="J4773" s="92" t="inlineStr">
        <is>
          <t>V10022</t>
        </is>
      </c>
      <c r="K4773" s="92" t="inlineStr">
        <is>
          <t>R문구</t>
        </is>
      </c>
      <c r="M4773" s="9">
        <f>IF($A4773="","",VALUE($A4773&amp;"")*12+VALUE($B4773&amp;""))</f>
        <v/>
      </c>
      <c r="N4773" s="64">
        <f>IF($A4773="","",IFERROR(INDEX(부서매핑!$C$5:$C$504,MATCH($G4773&amp;"",부서매핑!$A$5:$A$504,0)),"미매핑"))</f>
        <v/>
      </c>
      <c r="O4773" s="9">
        <f>IF($A4773="","",N4773&amp;"|"&amp;$F4773)</f>
        <v/>
      </c>
      <c r="P4773" s="94">
        <f>IF($A4773="",0,$H4773*설정!$C$23)</f>
        <v/>
      </c>
      <c r="Q4773" s="64">
        <f>IF($A4773="","",IF(O4773&lt;&gt;원인분석!$C$9,"",IF(AND(M4773&gt;=원인분석!$C$10,M4773&lt;=원인분석!$C$11),"당기",IF(AND(M4773&gt;=원인분석!$C$12,M4773&lt;=원인분석!$C$13),"비교",""))))</f>
        <v/>
      </c>
      <c r="R4773" s="9">
        <f>IF(Q4773="","",$K4773&amp;"")</f>
        <v/>
      </c>
      <c r="S4773" s="9">
        <f>IF(Q4773="","",IF(MATCH(R4773,$R$5:$R$100000,0)=ROW()-4,ROW(),""))</f>
        <v/>
      </c>
      <c r="T4773" s="9">
        <f>IF(Q4773="당기",ABS(P4773)+ROW()/1000000000,"")</f>
        <v/>
      </c>
      <c r="U4773" s="9">
        <f>IF(Q4773="비교",ABS(P4773)+ROW()/1000000000,"")</f>
        <v/>
      </c>
      <c r="V4773" s="64">
        <f>IF($A4773="","",IF(COUNTIF(변동분석!$E$7:$E$506,O4773)&gt;0,"Y","N"))</f>
        <v/>
      </c>
      <c r="W4773" s="64">
        <f>IF($A4773="","",IFERROR(INDEX(계정매핑!$D$5:$D$504,MATCH($F4773&amp;"",계정매핑!$A$5:$A$504,0)),"미매핑"))</f>
        <v/>
      </c>
      <c r="X4773" s="9">
        <f>IF($A4773="","",$F4773&amp;"")</f>
        <v/>
      </c>
      <c r="Y4773" s="94">
        <f>IF($A4773="",0,IF(AE4773="직접",IF(AF4773="비귀속",$P4773,0),$P4773*(1-AG4773)*IFERROR(INDEX(계정대체기준!$F$20:$F$49,MATCH($N4773,계정대체기준!$A$20:$A$49,0)),1)))</f>
        <v/>
      </c>
      <c r="Z4773" s="94">
        <f>IF($A4773="",0,IF(AE4773="직접",IF(AF4773="신계약비",$P4773,0),$P4773*(1-AG4773)*IFERROR(INDEX(계정대체기준!$C$20:$C$49,MATCH($N4773,계정대체기준!$A$20:$A$49,0)),0)))</f>
        <v/>
      </c>
      <c r="AA4773" s="94">
        <f>IF($A4773="",0,IF(AE4773="직접",IF(OR(AF4773="유지비",AF4773="손해조사비"),$P4773,0),$P4773*(1-AG4773)*IFERROR(INDEX(계정대체기준!$D$20:$D$49,MATCH($N4773,계정대체기준!$A$20:$A$49,0)),0)))</f>
        <v/>
      </c>
      <c r="AB4773" s="94">
        <f>IF($A4773="",0,IF(AE4773="직접",IF(AF4773="수금비",$P4773,0),$P4773*(1-AG4773)*IFERROR(INDEX(계정대체기준!$E$20:$E$49,MATCH($N4773,계정대체기준!$A$20:$A$49,0)),0)))</f>
        <v/>
      </c>
      <c r="AC4773" s="9">
        <f>IF(AND($A4773&lt;&gt;"",M4773=설정!$C$20,Z4773&gt;0),Z4773+ROW()/1000000000,"")</f>
        <v/>
      </c>
      <c r="AD4773" s="94">
        <f>IF($A4773="",0,$P4773*AG4773)</f>
        <v/>
      </c>
      <c r="AE4773" s="64">
        <f>IF($A4773="","",IFERROR(INDEX(계정매핑!$E$5:$E$504,MATCH($F4773&amp;"",계정매핑!$A$5:$A$504,0))&amp;"","공통비"))</f>
        <v/>
      </c>
      <c r="AF4773" s="64">
        <f>IF($A4773="","",IF(AE4773="직접",IFERROR(INDEX(계정매핑!$F$5:$F$504,MATCH($F4773&amp;"",계정매핑!$A$5:$A$504,0))&amp;"","비귀속"),""))</f>
        <v/>
      </c>
      <c r="AG4773" s="96">
        <f>IF($A4773="",0,IF(AND(AE4773&lt;&gt;"직접",IFERROR(INDEX(계정매핑!$G$5:$G$504,MATCH($F4773&amp;"",계정매핑!$A$5:$A$504,0))&amp;"","")="유지비",COUNTIF(계정대체기준!$A$6:$A$15,$N4773)&gt;0),IFERROR(INDEX(계정대체기준!$E$6:$E$15,MATCH(VALUE($A4773&amp;""),계정대체기준!$D$6:$D$15,0)),0),0))</f>
        <v/>
      </c>
      <c r="AH4773" s="64">
        <f>IF($A4773="","",IF(AD4773=0,"",IF(OR(COUNTIF(계정대체기준!$A$77:$A$86,$N4773)&gt;0,ISNUMBER(MATCH($X4773,계정대체기준!$D$77:$D$86,0)),ISNUMBER(MATCH($F4773,계정대체기준!$D$77:$D$86,0))),"Y","N")))</f>
        <v/>
      </c>
    </row>
    <row r="4774">
      <c r="A4774" s="92" t="n">
        <v>2026</v>
      </c>
      <c r="B4774" s="92" t="n">
        <v>9</v>
      </c>
      <c r="C4774" s="92" t="inlineStr">
        <is>
          <t>5100002052</t>
        </is>
      </c>
      <c r="D4774" s="95" t="n">
        <v>46290</v>
      </c>
      <c r="E4774" s="92" t="inlineStr">
        <is>
          <t>KR</t>
        </is>
      </c>
      <c r="F4774" s="92" t="n">
        <v>62501000</v>
      </c>
      <c r="G4774" s="92" t="n">
        <v>1602</v>
      </c>
      <c r="H4774" s="93" t="n">
        <v>433000</v>
      </c>
      <c r="I4774" s="92" t="inlineStr">
        <is>
          <t>9월 회의 다과 - T케이터링</t>
        </is>
      </c>
      <c r="J4774" s="92" t="inlineStr">
        <is>
          <t>V10005</t>
        </is>
      </c>
      <c r="K4774" s="92" t="inlineStr">
        <is>
          <t>T케이터링</t>
        </is>
      </c>
      <c r="M4774" s="9">
        <f>IF($A4774="","",VALUE($A4774&amp;"")*12+VALUE($B4774&amp;""))</f>
        <v/>
      </c>
      <c r="N4774" s="64">
        <f>IF($A4774="","",IFERROR(INDEX(부서매핑!$C$5:$C$504,MATCH($G4774&amp;"",부서매핑!$A$5:$A$504,0)),"미매핑"))</f>
        <v/>
      </c>
      <c r="O4774" s="9">
        <f>IF($A4774="","",N4774&amp;"|"&amp;$F4774)</f>
        <v/>
      </c>
      <c r="P4774" s="94">
        <f>IF($A4774="",0,$H4774*설정!$C$23)</f>
        <v/>
      </c>
      <c r="Q4774" s="64">
        <f>IF($A4774="","",IF(O4774&lt;&gt;원인분석!$C$9,"",IF(AND(M4774&gt;=원인분석!$C$10,M4774&lt;=원인분석!$C$11),"당기",IF(AND(M4774&gt;=원인분석!$C$12,M4774&lt;=원인분석!$C$13),"비교",""))))</f>
        <v/>
      </c>
      <c r="R4774" s="9">
        <f>IF(Q4774="","",$K4774&amp;"")</f>
        <v/>
      </c>
      <c r="S4774" s="9">
        <f>IF(Q4774="","",IF(MATCH(R4774,$R$5:$R$100000,0)=ROW()-4,ROW(),""))</f>
        <v/>
      </c>
      <c r="T4774" s="9">
        <f>IF(Q4774="당기",ABS(P4774)+ROW()/1000000000,"")</f>
        <v/>
      </c>
      <c r="U4774" s="9">
        <f>IF(Q4774="비교",ABS(P4774)+ROW()/1000000000,"")</f>
        <v/>
      </c>
      <c r="V4774" s="64">
        <f>IF($A4774="","",IF(COUNTIF(변동분석!$E$7:$E$506,O4774)&gt;0,"Y","N"))</f>
        <v/>
      </c>
      <c r="W4774" s="64">
        <f>IF($A4774="","",IFERROR(INDEX(계정매핑!$D$5:$D$504,MATCH($F4774&amp;"",계정매핑!$A$5:$A$504,0)),"미매핑"))</f>
        <v/>
      </c>
      <c r="X4774" s="9">
        <f>IF($A4774="","",$F4774&amp;"")</f>
        <v/>
      </c>
      <c r="Y4774" s="94">
        <f>IF($A4774="",0,IF(AE4774="직접",IF(AF4774="비귀속",$P4774,0),$P4774*(1-AG4774)*IFERROR(INDEX(계정대체기준!$F$20:$F$49,MATCH($N4774,계정대체기준!$A$20:$A$49,0)),1)))</f>
        <v/>
      </c>
      <c r="Z4774" s="94">
        <f>IF($A4774="",0,IF(AE4774="직접",IF(AF4774="신계약비",$P4774,0),$P4774*(1-AG4774)*IFERROR(INDEX(계정대체기준!$C$20:$C$49,MATCH($N4774,계정대체기준!$A$20:$A$49,0)),0)))</f>
        <v/>
      </c>
      <c r="AA4774" s="94">
        <f>IF($A4774="",0,IF(AE4774="직접",IF(OR(AF4774="유지비",AF4774="손해조사비"),$P4774,0),$P4774*(1-AG4774)*IFERROR(INDEX(계정대체기준!$D$20:$D$49,MATCH($N4774,계정대체기준!$A$20:$A$49,0)),0)))</f>
        <v/>
      </c>
      <c r="AB4774" s="94">
        <f>IF($A4774="",0,IF(AE4774="직접",IF(AF4774="수금비",$P4774,0),$P4774*(1-AG4774)*IFERROR(INDEX(계정대체기준!$E$20:$E$49,MATCH($N4774,계정대체기준!$A$20:$A$49,0)),0)))</f>
        <v/>
      </c>
      <c r="AC4774" s="9">
        <f>IF(AND($A4774&lt;&gt;"",M4774=설정!$C$20,Z4774&gt;0),Z4774+ROW()/1000000000,"")</f>
        <v/>
      </c>
      <c r="AD4774" s="94">
        <f>IF($A4774="",0,$P4774*AG4774)</f>
        <v/>
      </c>
      <c r="AE4774" s="64">
        <f>IF($A4774="","",IFERROR(INDEX(계정매핑!$E$5:$E$504,MATCH($F4774&amp;"",계정매핑!$A$5:$A$504,0))&amp;"","공통비"))</f>
        <v/>
      </c>
      <c r="AF4774" s="64">
        <f>IF($A4774="","",IF(AE4774="직접",IFERROR(INDEX(계정매핑!$F$5:$F$504,MATCH($F4774&amp;"",계정매핑!$A$5:$A$504,0))&amp;"","비귀속"),""))</f>
        <v/>
      </c>
      <c r="AG4774" s="96">
        <f>IF($A4774="",0,IF(AND(AE4774&lt;&gt;"직접",IFERROR(INDEX(계정매핑!$G$5:$G$504,MATCH($F4774&amp;"",계정매핑!$A$5:$A$504,0))&amp;"","")="유지비",COUNTIF(계정대체기준!$A$6:$A$15,$N4774)&gt;0),IFERROR(INDEX(계정대체기준!$E$6:$E$15,MATCH(VALUE($A4774&amp;""),계정대체기준!$D$6:$D$15,0)),0),0))</f>
        <v/>
      </c>
      <c r="AH4774" s="64">
        <f>IF($A4774="","",IF(AD4774=0,"",IF(OR(COUNTIF(계정대체기준!$A$77:$A$86,$N4774)&gt;0,ISNUMBER(MATCH($X4774,계정대체기준!$D$77:$D$86,0)),ISNUMBER(MATCH($F4774,계정대체기준!$D$77:$D$86,0))),"Y","N")))</f>
        <v/>
      </c>
    </row>
    <row r="4775">
      <c r="A4775" s="92" t="n">
        <v>2026</v>
      </c>
      <c r="B4775" s="92" t="n">
        <v>9</v>
      </c>
      <c r="C4775" s="92" t="inlineStr">
        <is>
          <t>5100002053</t>
        </is>
      </c>
      <c r="D4775" s="95" t="n">
        <v>46290</v>
      </c>
      <c r="E4775" s="92" t="inlineStr">
        <is>
          <t>KR</t>
        </is>
      </c>
      <c r="F4775" s="92" t="n">
        <v>62601000</v>
      </c>
      <c r="G4775" s="92" t="n">
        <v>1501</v>
      </c>
      <c r="H4775" s="93" t="n">
        <v>1003000</v>
      </c>
      <c r="I4775" s="92" t="inlineStr">
        <is>
          <t>9월 업무추진 - (법인카드)</t>
        </is>
      </c>
      <c r="J4775" s="92" t="inlineStr">
        <is>
          <t>V10010</t>
        </is>
      </c>
      <c r="K4775" s="92" t="inlineStr">
        <is>
          <t>(법인카드)</t>
        </is>
      </c>
      <c r="M4775" s="9">
        <f>IF($A4775="","",VALUE($A4775&amp;"")*12+VALUE($B4775&amp;""))</f>
        <v/>
      </c>
      <c r="N4775" s="64">
        <f>IF($A4775="","",IFERROR(INDEX(부서매핑!$C$5:$C$504,MATCH($G4775&amp;"",부서매핑!$A$5:$A$504,0)),"미매핑"))</f>
        <v/>
      </c>
      <c r="O4775" s="9">
        <f>IF($A4775="","",N4775&amp;"|"&amp;$F4775)</f>
        <v/>
      </c>
      <c r="P4775" s="94">
        <f>IF($A4775="",0,$H4775*설정!$C$23)</f>
        <v/>
      </c>
      <c r="Q4775" s="64">
        <f>IF($A4775="","",IF(O4775&lt;&gt;원인분석!$C$9,"",IF(AND(M4775&gt;=원인분석!$C$10,M4775&lt;=원인분석!$C$11),"당기",IF(AND(M4775&gt;=원인분석!$C$12,M4775&lt;=원인분석!$C$13),"비교",""))))</f>
        <v/>
      </c>
      <c r="R4775" s="9">
        <f>IF(Q4775="","",$K4775&amp;"")</f>
        <v/>
      </c>
      <c r="S4775" s="9">
        <f>IF(Q4775="","",IF(MATCH(R4775,$R$5:$R$100000,0)=ROW()-4,ROW(),""))</f>
        <v/>
      </c>
      <c r="T4775" s="9">
        <f>IF(Q4775="당기",ABS(P4775)+ROW()/1000000000,"")</f>
        <v/>
      </c>
      <c r="U4775" s="9">
        <f>IF(Q4775="비교",ABS(P4775)+ROW()/1000000000,"")</f>
        <v/>
      </c>
      <c r="V4775" s="64">
        <f>IF($A4775="","",IF(COUNTIF(변동분석!$E$7:$E$506,O4775)&gt;0,"Y","N"))</f>
        <v/>
      </c>
      <c r="W4775" s="64">
        <f>IF($A4775="","",IFERROR(INDEX(계정매핑!$D$5:$D$504,MATCH($F4775&amp;"",계정매핑!$A$5:$A$504,0)),"미매핑"))</f>
        <v/>
      </c>
      <c r="X4775" s="9">
        <f>IF($A4775="","",$F4775&amp;"")</f>
        <v/>
      </c>
      <c r="Y4775" s="94">
        <f>IF($A4775="",0,IF(AE4775="직접",IF(AF4775="비귀속",$P4775,0),$P4775*(1-AG4775)*IFERROR(INDEX(계정대체기준!$F$20:$F$49,MATCH($N4775,계정대체기준!$A$20:$A$49,0)),1)))</f>
        <v/>
      </c>
      <c r="Z4775" s="94">
        <f>IF($A4775="",0,IF(AE4775="직접",IF(AF4775="신계약비",$P4775,0),$P4775*(1-AG4775)*IFERROR(INDEX(계정대체기준!$C$20:$C$49,MATCH($N4775,계정대체기준!$A$20:$A$49,0)),0)))</f>
        <v/>
      </c>
      <c r="AA4775" s="94">
        <f>IF($A4775="",0,IF(AE4775="직접",IF(OR(AF4775="유지비",AF4775="손해조사비"),$P4775,0),$P4775*(1-AG4775)*IFERROR(INDEX(계정대체기준!$D$20:$D$49,MATCH($N4775,계정대체기준!$A$20:$A$49,0)),0)))</f>
        <v/>
      </c>
      <c r="AB4775" s="94">
        <f>IF($A4775="",0,IF(AE4775="직접",IF(AF4775="수금비",$P4775,0),$P4775*(1-AG4775)*IFERROR(INDEX(계정대체기준!$E$20:$E$49,MATCH($N4775,계정대체기준!$A$20:$A$49,0)),0)))</f>
        <v/>
      </c>
      <c r="AC4775" s="9">
        <f>IF(AND($A4775&lt;&gt;"",M4775=설정!$C$20,Z4775&gt;0),Z4775+ROW()/1000000000,"")</f>
        <v/>
      </c>
      <c r="AD4775" s="94">
        <f>IF($A4775="",0,$P4775*AG4775)</f>
        <v/>
      </c>
      <c r="AE4775" s="64">
        <f>IF($A4775="","",IFERROR(INDEX(계정매핑!$E$5:$E$504,MATCH($F4775&amp;"",계정매핑!$A$5:$A$504,0))&amp;"","공통비"))</f>
        <v/>
      </c>
      <c r="AF4775" s="64">
        <f>IF($A4775="","",IF(AE4775="직접",IFERROR(INDEX(계정매핑!$F$5:$F$504,MATCH($F4775&amp;"",계정매핑!$A$5:$A$504,0))&amp;"","비귀속"),""))</f>
        <v/>
      </c>
      <c r="AG4775" s="96">
        <f>IF($A4775="",0,IF(AND(AE4775&lt;&gt;"직접",IFERROR(INDEX(계정매핑!$G$5:$G$504,MATCH($F4775&amp;"",계정매핑!$A$5:$A$504,0))&amp;"","")="유지비",COUNTIF(계정대체기준!$A$6:$A$15,$N4775)&gt;0),IFERROR(INDEX(계정대체기준!$E$6:$E$15,MATCH(VALUE($A4775&amp;""),계정대체기준!$D$6:$D$15,0)),0),0))</f>
        <v/>
      </c>
      <c r="AH4775" s="64">
        <f>IF($A4775="","",IF(AD4775=0,"",IF(OR(COUNTIF(계정대체기준!$A$77:$A$86,$N4775)&gt;0,ISNUMBER(MATCH($X4775,계정대체기준!$D$77:$D$86,0)),ISNUMBER(MATCH($F4775,계정대체기준!$D$77:$D$86,0))),"Y","N")))</f>
        <v/>
      </c>
    </row>
    <row r="4776">
      <c r="A4776" s="92" t="n">
        <v>2026</v>
      </c>
      <c r="B4776" s="92" t="n">
        <v>9</v>
      </c>
      <c r="C4776" s="92" t="inlineStr">
        <is>
          <t>5100002054</t>
        </is>
      </c>
      <c r="D4776" s="95" t="n">
        <v>46290</v>
      </c>
      <c r="E4776" s="92" t="inlineStr">
        <is>
          <t>KR</t>
        </is>
      </c>
      <c r="F4776" s="92" t="n">
        <v>62701000</v>
      </c>
      <c r="G4776" s="92" t="n">
        <v>1502</v>
      </c>
      <c r="H4776" s="93" t="n">
        <v>30000000</v>
      </c>
      <c r="I4776" s="92" t="inlineStr">
        <is>
          <t>디지털 퍼포먼스 광고 9월</t>
        </is>
      </c>
      <c r="J4776" s="92" t="inlineStr">
        <is>
          <t>V10037</t>
        </is>
      </c>
      <c r="K4776" s="92" t="inlineStr">
        <is>
          <t>B디지털</t>
        </is>
      </c>
      <c r="M4776" s="9">
        <f>IF($A4776="","",VALUE($A4776&amp;"")*12+VALUE($B4776&amp;""))</f>
        <v/>
      </c>
      <c r="N4776" s="64">
        <f>IF($A4776="","",IFERROR(INDEX(부서매핑!$C$5:$C$504,MATCH($G4776&amp;"",부서매핑!$A$5:$A$504,0)),"미매핑"))</f>
        <v/>
      </c>
      <c r="O4776" s="9">
        <f>IF($A4776="","",N4776&amp;"|"&amp;$F4776)</f>
        <v/>
      </c>
      <c r="P4776" s="94">
        <f>IF($A4776="",0,$H4776*설정!$C$23)</f>
        <v/>
      </c>
      <c r="Q4776" s="64">
        <f>IF($A4776="","",IF(O4776&lt;&gt;원인분석!$C$9,"",IF(AND(M4776&gt;=원인분석!$C$10,M4776&lt;=원인분석!$C$11),"당기",IF(AND(M4776&gt;=원인분석!$C$12,M4776&lt;=원인분석!$C$13),"비교",""))))</f>
        <v/>
      </c>
      <c r="R4776" s="9">
        <f>IF(Q4776="","",$K4776&amp;"")</f>
        <v/>
      </c>
      <c r="S4776" s="9">
        <f>IF(Q4776="","",IF(MATCH(R4776,$R$5:$R$100000,0)=ROW()-4,ROW(),""))</f>
        <v/>
      </c>
      <c r="T4776" s="9">
        <f>IF(Q4776="당기",ABS(P4776)+ROW()/1000000000,"")</f>
        <v/>
      </c>
      <c r="U4776" s="9">
        <f>IF(Q4776="비교",ABS(P4776)+ROW()/1000000000,"")</f>
        <v/>
      </c>
      <c r="V4776" s="64">
        <f>IF($A4776="","",IF(COUNTIF(변동분석!$E$7:$E$506,O4776)&gt;0,"Y","N"))</f>
        <v/>
      </c>
      <c r="W4776" s="64">
        <f>IF($A4776="","",IFERROR(INDEX(계정매핑!$D$5:$D$504,MATCH($F4776&amp;"",계정매핑!$A$5:$A$504,0)),"미매핑"))</f>
        <v/>
      </c>
      <c r="X4776" s="9">
        <f>IF($A4776="","",$F4776&amp;"")</f>
        <v/>
      </c>
      <c r="Y4776" s="94">
        <f>IF($A4776="",0,IF(AE4776="직접",IF(AF4776="비귀속",$P4776,0),$P4776*(1-AG4776)*IFERROR(INDEX(계정대체기준!$F$20:$F$49,MATCH($N4776,계정대체기준!$A$20:$A$49,0)),1)))</f>
        <v/>
      </c>
      <c r="Z4776" s="94">
        <f>IF($A4776="",0,IF(AE4776="직접",IF(AF4776="신계약비",$P4776,0),$P4776*(1-AG4776)*IFERROR(INDEX(계정대체기준!$C$20:$C$49,MATCH($N4776,계정대체기준!$A$20:$A$49,0)),0)))</f>
        <v/>
      </c>
      <c r="AA4776" s="94">
        <f>IF($A4776="",0,IF(AE4776="직접",IF(OR(AF4776="유지비",AF4776="손해조사비"),$P4776,0),$P4776*(1-AG4776)*IFERROR(INDEX(계정대체기준!$D$20:$D$49,MATCH($N4776,계정대체기준!$A$20:$A$49,0)),0)))</f>
        <v/>
      </c>
      <c r="AB4776" s="94">
        <f>IF($A4776="",0,IF(AE4776="직접",IF(AF4776="수금비",$P4776,0),$P4776*(1-AG4776)*IFERROR(INDEX(계정대체기준!$E$20:$E$49,MATCH($N4776,계정대체기준!$A$20:$A$49,0)),0)))</f>
        <v/>
      </c>
      <c r="AC4776" s="9">
        <f>IF(AND($A4776&lt;&gt;"",M4776=설정!$C$20,Z4776&gt;0),Z4776+ROW()/1000000000,"")</f>
        <v/>
      </c>
      <c r="AD4776" s="94">
        <f>IF($A4776="",0,$P4776*AG4776)</f>
        <v/>
      </c>
      <c r="AE4776" s="64">
        <f>IF($A4776="","",IFERROR(INDEX(계정매핑!$E$5:$E$504,MATCH($F4776&amp;"",계정매핑!$A$5:$A$504,0))&amp;"","공통비"))</f>
        <v/>
      </c>
      <c r="AF4776" s="64">
        <f>IF($A4776="","",IF(AE4776="직접",IFERROR(INDEX(계정매핑!$F$5:$F$504,MATCH($F4776&amp;"",계정매핑!$A$5:$A$504,0))&amp;"","비귀속"),""))</f>
        <v/>
      </c>
      <c r="AG4776" s="96">
        <f>IF($A4776="",0,IF(AND(AE4776&lt;&gt;"직접",IFERROR(INDEX(계정매핑!$G$5:$G$504,MATCH($F4776&amp;"",계정매핑!$A$5:$A$504,0))&amp;"","")="유지비",COUNTIF(계정대체기준!$A$6:$A$15,$N4776)&gt;0),IFERROR(INDEX(계정대체기준!$E$6:$E$15,MATCH(VALUE($A4776&amp;""),계정대체기준!$D$6:$D$15,0)),0),0))</f>
        <v/>
      </c>
      <c r="AH4776" s="64">
        <f>IF($A4776="","",IF(AD4776=0,"",IF(OR(COUNTIF(계정대체기준!$A$77:$A$86,$N4776)&gt;0,ISNUMBER(MATCH($X4776,계정대체기준!$D$77:$D$86,0)),ISNUMBER(MATCH($F4776,계정대체기준!$D$77:$D$86,0))),"Y","N")))</f>
        <v/>
      </c>
    </row>
    <row r="4777">
      <c r="A4777" s="92" t="n">
        <v>2026</v>
      </c>
      <c r="B4777" s="92" t="n">
        <v>9</v>
      </c>
      <c r="C4777" s="92" t="inlineStr">
        <is>
          <t>5100002055</t>
        </is>
      </c>
      <c r="D4777" s="95" t="n">
        <v>46290</v>
      </c>
      <c r="E4777" s="92" t="inlineStr">
        <is>
          <t>KR</t>
        </is>
      </c>
      <c r="F4777" s="92" t="n">
        <v>62902000</v>
      </c>
      <c r="G4777" s="92" t="n">
        <v>1801</v>
      </c>
      <c r="H4777" s="93" t="n">
        <v>1765000</v>
      </c>
      <c r="I4777" s="92" t="inlineStr">
        <is>
          <t>9월 콜 위탁 수수료(건별)</t>
        </is>
      </c>
      <c r="J4777" s="92" t="inlineStr">
        <is>
          <t>V10016</t>
        </is>
      </c>
      <c r="K4777" s="92" t="inlineStr">
        <is>
          <t>J콜센터</t>
        </is>
      </c>
      <c r="M4777" s="9">
        <f>IF($A4777="","",VALUE($A4777&amp;"")*12+VALUE($B4777&amp;""))</f>
        <v/>
      </c>
      <c r="N4777" s="64">
        <f>IF($A4777="","",IFERROR(INDEX(부서매핑!$C$5:$C$504,MATCH($G4777&amp;"",부서매핑!$A$5:$A$504,0)),"미매핑"))</f>
        <v/>
      </c>
      <c r="O4777" s="9">
        <f>IF($A4777="","",N4777&amp;"|"&amp;$F4777)</f>
        <v/>
      </c>
      <c r="P4777" s="94">
        <f>IF($A4777="",0,$H4777*설정!$C$23)</f>
        <v/>
      </c>
      <c r="Q4777" s="64">
        <f>IF($A4777="","",IF(O4777&lt;&gt;원인분석!$C$9,"",IF(AND(M4777&gt;=원인분석!$C$10,M4777&lt;=원인분석!$C$11),"당기",IF(AND(M4777&gt;=원인분석!$C$12,M4777&lt;=원인분석!$C$13),"비교",""))))</f>
        <v/>
      </c>
      <c r="R4777" s="9">
        <f>IF(Q4777="","",$K4777&amp;"")</f>
        <v/>
      </c>
      <c r="S4777" s="9">
        <f>IF(Q4777="","",IF(MATCH(R4777,$R$5:$R$100000,0)=ROW()-4,ROW(),""))</f>
        <v/>
      </c>
      <c r="T4777" s="9">
        <f>IF(Q4777="당기",ABS(P4777)+ROW()/1000000000,"")</f>
        <v/>
      </c>
      <c r="U4777" s="9">
        <f>IF(Q4777="비교",ABS(P4777)+ROW()/1000000000,"")</f>
        <v/>
      </c>
      <c r="V4777" s="64">
        <f>IF($A4777="","",IF(COUNTIF(변동분석!$E$7:$E$506,O4777)&gt;0,"Y","N"))</f>
        <v/>
      </c>
      <c r="W4777" s="64">
        <f>IF($A4777="","",IFERROR(INDEX(계정매핑!$D$5:$D$504,MATCH($F4777&amp;"",계정매핑!$A$5:$A$504,0)),"미매핑"))</f>
        <v/>
      </c>
      <c r="X4777" s="9">
        <f>IF($A4777="","",$F4777&amp;"")</f>
        <v/>
      </c>
      <c r="Y4777" s="94">
        <f>IF($A4777="",0,IF(AE4777="직접",IF(AF4777="비귀속",$P4777,0),$P4777*(1-AG4777)*IFERROR(INDEX(계정대체기준!$F$20:$F$49,MATCH($N4777,계정대체기준!$A$20:$A$49,0)),1)))</f>
        <v/>
      </c>
      <c r="Z4777" s="94">
        <f>IF($A4777="",0,IF(AE4777="직접",IF(AF4777="신계약비",$P4777,0),$P4777*(1-AG4777)*IFERROR(INDEX(계정대체기준!$C$20:$C$49,MATCH($N4777,계정대체기준!$A$20:$A$49,0)),0)))</f>
        <v/>
      </c>
      <c r="AA4777" s="94">
        <f>IF($A4777="",0,IF(AE4777="직접",IF(OR(AF4777="유지비",AF4777="손해조사비"),$P4777,0),$P4777*(1-AG4777)*IFERROR(INDEX(계정대체기준!$D$20:$D$49,MATCH($N4777,계정대체기준!$A$20:$A$49,0)),0)))</f>
        <v/>
      </c>
      <c r="AB4777" s="94">
        <f>IF($A4777="",0,IF(AE4777="직접",IF(AF4777="수금비",$P4777,0),$P4777*(1-AG4777)*IFERROR(INDEX(계정대체기준!$E$20:$E$49,MATCH($N4777,계정대체기준!$A$20:$A$49,0)),0)))</f>
        <v/>
      </c>
      <c r="AC4777" s="9">
        <f>IF(AND($A4777&lt;&gt;"",M4777=설정!$C$20,Z4777&gt;0),Z4777+ROW()/1000000000,"")</f>
        <v/>
      </c>
      <c r="AD4777" s="94">
        <f>IF($A4777="",0,$P4777*AG4777)</f>
        <v/>
      </c>
      <c r="AE4777" s="64">
        <f>IF($A4777="","",IFERROR(INDEX(계정매핑!$E$5:$E$504,MATCH($F4777&amp;"",계정매핑!$A$5:$A$504,0))&amp;"","공통비"))</f>
        <v/>
      </c>
      <c r="AF4777" s="64">
        <f>IF($A4777="","",IF(AE4777="직접",IFERROR(INDEX(계정매핑!$F$5:$F$504,MATCH($F4777&amp;"",계정매핑!$A$5:$A$504,0))&amp;"","비귀속"),""))</f>
        <v/>
      </c>
      <c r="AG4777" s="96">
        <f>IF($A4777="",0,IF(AND(AE4777&lt;&gt;"직접",IFERROR(INDEX(계정매핑!$G$5:$G$504,MATCH($F4777&amp;"",계정매핑!$A$5:$A$504,0))&amp;"","")="유지비",COUNTIF(계정대체기준!$A$6:$A$15,$N4777)&gt;0),IFERROR(INDEX(계정대체기준!$E$6:$E$15,MATCH(VALUE($A4777&amp;""),계정대체기준!$D$6:$D$15,0)),0),0))</f>
        <v/>
      </c>
      <c r="AH4777" s="64">
        <f>IF($A4777="","",IF(AD4777=0,"",IF(OR(COUNTIF(계정대체기준!$A$77:$A$86,$N4777)&gt;0,ISNUMBER(MATCH($X4777,계정대체기준!$D$77:$D$86,0)),ISNUMBER(MATCH($F4777,계정대체기준!$D$77:$D$86,0))),"Y","N")))</f>
        <v/>
      </c>
    </row>
    <row r="4778">
      <c r="A4778" s="92" t="n">
        <v>2026</v>
      </c>
      <c r="B4778" s="92" t="n">
        <v>9</v>
      </c>
      <c r="C4778" s="92" t="inlineStr">
        <is>
          <t>5100002056</t>
        </is>
      </c>
      <c r="D4778" s="95" t="n">
        <v>46290</v>
      </c>
      <c r="E4778" s="92" t="inlineStr">
        <is>
          <t>KR</t>
        </is>
      </c>
      <c r="F4778" s="92" t="n">
        <v>62902000</v>
      </c>
      <c r="G4778" s="92" t="n">
        <v>1801</v>
      </c>
      <c r="H4778" s="93" t="n">
        <v>1791000</v>
      </c>
      <c r="I4778" s="92" t="inlineStr">
        <is>
          <t>9월 콜 위탁 수수료(건별)</t>
        </is>
      </c>
      <c r="J4778" s="92" t="inlineStr">
        <is>
          <t>V10016</t>
        </is>
      </c>
      <c r="K4778" s="92" t="inlineStr">
        <is>
          <t>J콜센터</t>
        </is>
      </c>
      <c r="M4778" s="9">
        <f>IF($A4778="","",VALUE($A4778&amp;"")*12+VALUE($B4778&amp;""))</f>
        <v/>
      </c>
      <c r="N4778" s="64">
        <f>IF($A4778="","",IFERROR(INDEX(부서매핑!$C$5:$C$504,MATCH($G4778&amp;"",부서매핑!$A$5:$A$504,0)),"미매핑"))</f>
        <v/>
      </c>
      <c r="O4778" s="9">
        <f>IF($A4778="","",N4778&amp;"|"&amp;$F4778)</f>
        <v/>
      </c>
      <c r="P4778" s="94">
        <f>IF($A4778="",0,$H4778*설정!$C$23)</f>
        <v/>
      </c>
      <c r="Q4778" s="64">
        <f>IF($A4778="","",IF(O4778&lt;&gt;원인분석!$C$9,"",IF(AND(M4778&gt;=원인분석!$C$10,M4778&lt;=원인분석!$C$11),"당기",IF(AND(M4778&gt;=원인분석!$C$12,M4778&lt;=원인분석!$C$13),"비교",""))))</f>
        <v/>
      </c>
      <c r="R4778" s="9">
        <f>IF(Q4778="","",$K4778&amp;"")</f>
        <v/>
      </c>
      <c r="S4778" s="9">
        <f>IF(Q4778="","",IF(MATCH(R4778,$R$5:$R$100000,0)=ROW()-4,ROW(),""))</f>
        <v/>
      </c>
      <c r="T4778" s="9">
        <f>IF(Q4778="당기",ABS(P4778)+ROW()/1000000000,"")</f>
        <v/>
      </c>
      <c r="U4778" s="9">
        <f>IF(Q4778="비교",ABS(P4778)+ROW()/1000000000,"")</f>
        <v/>
      </c>
      <c r="V4778" s="64">
        <f>IF($A4778="","",IF(COUNTIF(변동분석!$E$7:$E$506,O4778)&gt;0,"Y","N"))</f>
        <v/>
      </c>
      <c r="W4778" s="64">
        <f>IF($A4778="","",IFERROR(INDEX(계정매핑!$D$5:$D$504,MATCH($F4778&amp;"",계정매핑!$A$5:$A$504,0)),"미매핑"))</f>
        <v/>
      </c>
      <c r="X4778" s="9">
        <f>IF($A4778="","",$F4778&amp;"")</f>
        <v/>
      </c>
      <c r="Y4778" s="94">
        <f>IF($A4778="",0,IF(AE4778="직접",IF(AF4778="비귀속",$P4778,0),$P4778*(1-AG4778)*IFERROR(INDEX(계정대체기준!$F$20:$F$49,MATCH($N4778,계정대체기준!$A$20:$A$49,0)),1)))</f>
        <v/>
      </c>
      <c r="Z4778" s="94">
        <f>IF($A4778="",0,IF(AE4778="직접",IF(AF4778="신계약비",$P4778,0),$P4778*(1-AG4778)*IFERROR(INDEX(계정대체기준!$C$20:$C$49,MATCH($N4778,계정대체기준!$A$20:$A$49,0)),0)))</f>
        <v/>
      </c>
      <c r="AA4778" s="94">
        <f>IF($A4778="",0,IF(AE4778="직접",IF(OR(AF4778="유지비",AF4778="손해조사비"),$P4778,0),$P4778*(1-AG4778)*IFERROR(INDEX(계정대체기준!$D$20:$D$49,MATCH($N4778,계정대체기준!$A$20:$A$49,0)),0)))</f>
        <v/>
      </c>
      <c r="AB4778" s="94">
        <f>IF($A4778="",0,IF(AE4778="직접",IF(AF4778="수금비",$P4778,0),$P4778*(1-AG4778)*IFERROR(INDEX(계정대체기준!$E$20:$E$49,MATCH($N4778,계정대체기준!$A$20:$A$49,0)),0)))</f>
        <v/>
      </c>
      <c r="AC4778" s="9">
        <f>IF(AND($A4778&lt;&gt;"",M4778=설정!$C$20,Z4778&gt;0),Z4778+ROW()/1000000000,"")</f>
        <v/>
      </c>
      <c r="AD4778" s="94">
        <f>IF($A4778="",0,$P4778*AG4778)</f>
        <v/>
      </c>
      <c r="AE4778" s="64">
        <f>IF($A4778="","",IFERROR(INDEX(계정매핑!$E$5:$E$504,MATCH($F4778&amp;"",계정매핑!$A$5:$A$504,0))&amp;"","공통비"))</f>
        <v/>
      </c>
      <c r="AF4778" s="64">
        <f>IF($A4778="","",IF(AE4778="직접",IFERROR(INDEX(계정매핑!$F$5:$F$504,MATCH($F4778&amp;"",계정매핑!$A$5:$A$504,0))&amp;"","비귀속"),""))</f>
        <v/>
      </c>
      <c r="AG4778" s="96">
        <f>IF($A4778="",0,IF(AND(AE4778&lt;&gt;"직접",IFERROR(INDEX(계정매핑!$G$5:$G$504,MATCH($F4778&amp;"",계정매핑!$A$5:$A$504,0))&amp;"","")="유지비",COUNTIF(계정대체기준!$A$6:$A$15,$N4778)&gt;0),IFERROR(INDEX(계정대체기준!$E$6:$E$15,MATCH(VALUE($A4778&amp;""),계정대체기준!$D$6:$D$15,0)),0),0))</f>
        <v/>
      </c>
      <c r="AH4778" s="64">
        <f>IF($A4778="","",IF(AD4778=0,"",IF(OR(COUNTIF(계정대체기준!$A$77:$A$86,$N4778)&gt;0,ISNUMBER(MATCH($X4778,계정대체기준!$D$77:$D$86,0)),ISNUMBER(MATCH($F4778,계정대체기준!$D$77:$D$86,0))),"Y","N")))</f>
        <v/>
      </c>
    </row>
    <row r="4779">
      <c r="A4779" s="92" t="n">
        <v>2026</v>
      </c>
      <c r="B4779" s="92" t="n">
        <v>9</v>
      </c>
      <c r="C4779" s="92" t="inlineStr">
        <is>
          <t>5100002057</t>
        </is>
      </c>
      <c r="D4779" s="95" t="n">
        <v>46290</v>
      </c>
      <c r="E4779" s="92" t="inlineStr">
        <is>
          <t>KR</t>
        </is>
      </c>
      <c r="F4779" s="92" t="n">
        <v>63002000</v>
      </c>
      <c r="G4779" s="92" t="n">
        <v>1701</v>
      </c>
      <c r="H4779" s="93" t="n">
        <v>101000000</v>
      </c>
      <c r="I4779" s="92" t="inlineStr">
        <is>
          <t>9월 클라우드 사용료 - C클라우드</t>
        </is>
      </c>
      <c r="J4779" s="92" t="inlineStr">
        <is>
          <t>V10026</t>
        </is>
      </c>
      <c r="K4779" s="92" t="inlineStr">
        <is>
          <t>C클라우드</t>
        </is>
      </c>
      <c r="M4779" s="9">
        <f>IF($A4779="","",VALUE($A4779&amp;"")*12+VALUE($B4779&amp;""))</f>
        <v/>
      </c>
      <c r="N4779" s="64">
        <f>IF($A4779="","",IFERROR(INDEX(부서매핑!$C$5:$C$504,MATCH($G4779&amp;"",부서매핑!$A$5:$A$504,0)),"미매핑"))</f>
        <v/>
      </c>
      <c r="O4779" s="9">
        <f>IF($A4779="","",N4779&amp;"|"&amp;$F4779)</f>
        <v/>
      </c>
      <c r="P4779" s="94">
        <f>IF($A4779="",0,$H4779*설정!$C$23)</f>
        <v/>
      </c>
      <c r="Q4779" s="64">
        <f>IF($A4779="","",IF(O4779&lt;&gt;원인분석!$C$9,"",IF(AND(M4779&gt;=원인분석!$C$10,M4779&lt;=원인분석!$C$11),"당기",IF(AND(M4779&gt;=원인분석!$C$12,M4779&lt;=원인분석!$C$13),"비교",""))))</f>
        <v/>
      </c>
      <c r="R4779" s="9">
        <f>IF(Q4779="","",$K4779&amp;"")</f>
        <v/>
      </c>
      <c r="S4779" s="9">
        <f>IF(Q4779="","",IF(MATCH(R4779,$R$5:$R$100000,0)=ROW()-4,ROW(),""))</f>
        <v/>
      </c>
      <c r="T4779" s="9">
        <f>IF(Q4779="당기",ABS(P4779)+ROW()/1000000000,"")</f>
        <v/>
      </c>
      <c r="U4779" s="9">
        <f>IF(Q4779="비교",ABS(P4779)+ROW()/1000000000,"")</f>
        <v/>
      </c>
      <c r="V4779" s="64">
        <f>IF($A4779="","",IF(COUNTIF(변동분석!$E$7:$E$506,O4779)&gt;0,"Y","N"))</f>
        <v/>
      </c>
      <c r="W4779" s="64">
        <f>IF($A4779="","",IFERROR(INDEX(계정매핑!$D$5:$D$504,MATCH($F4779&amp;"",계정매핑!$A$5:$A$504,0)),"미매핑"))</f>
        <v/>
      </c>
      <c r="X4779" s="9">
        <f>IF($A4779="","",$F4779&amp;"")</f>
        <v/>
      </c>
      <c r="Y4779" s="94">
        <f>IF($A4779="",0,IF(AE4779="직접",IF(AF4779="비귀속",$P4779,0),$P4779*(1-AG4779)*IFERROR(INDEX(계정대체기준!$F$20:$F$49,MATCH($N4779,계정대체기준!$A$20:$A$49,0)),1)))</f>
        <v/>
      </c>
      <c r="Z4779" s="94">
        <f>IF($A4779="",0,IF(AE4779="직접",IF(AF4779="신계약비",$P4779,0),$P4779*(1-AG4779)*IFERROR(INDEX(계정대체기준!$C$20:$C$49,MATCH($N4779,계정대체기준!$A$20:$A$49,0)),0)))</f>
        <v/>
      </c>
      <c r="AA4779" s="94">
        <f>IF($A4779="",0,IF(AE4779="직접",IF(OR(AF4779="유지비",AF4779="손해조사비"),$P4779,0),$P4779*(1-AG4779)*IFERROR(INDEX(계정대체기준!$D$20:$D$49,MATCH($N4779,계정대체기준!$A$20:$A$49,0)),0)))</f>
        <v/>
      </c>
      <c r="AB4779" s="94">
        <f>IF($A4779="",0,IF(AE4779="직접",IF(AF4779="수금비",$P4779,0),$P4779*(1-AG4779)*IFERROR(INDEX(계정대체기준!$E$20:$E$49,MATCH($N4779,계정대체기준!$A$20:$A$49,0)),0)))</f>
        <v/>
      </c>
      <c r="AC4779" s="9">
        <f>IF(AND($A4779&lt;&gt;"",M4779=설정!$C$20,Z4779&gt;0),Z4779+ROW()/1000000000,"")</f>
        <v/>
      </c>
      <c r="AD4779" s="94">
        <f>IF($A4779="",0,$P4779*AG4779)</f>
        <v/>
      </c>
      <c r="AE4779" s="64">
        <f>IF($A4779="","",IFERROR(INDEX(계정매핑!$E$5:$E$504,MATCH($F4779&amp;"",계정매핑!$A$5:$A$504,0))&amp;"","공통비"))</f>
        <v/>
      </c>
      <c r="AF4779" s="64">
        <f>IF($A4779="","",IF(AE4779="직접",IFERROR(INDEX(계정매핑!$F$5:$F$504,MATCH($F4779&amp;"",계정매핑!$A$5:$A$504,0))&amp;"","비귀속"),""))</f>
        <v/>
      </c>
      <c r="AG4779" s="96">
        <f>IF($A4779="",0,IF(AND(AE4779&lt;&gt;"직접",IFERROR(INDEX(계정매핑!$G$5:$G$504,MATCH($F4779&amp;"",계정매핑!$A$5:$A$504,0))&amp;"","")="유지비",COUNTIF(계정대체기준!$A$6:$A$15,$N4779)&gt;0),IFERROR(INDEX(계정대체기준!$E$6:$E$15,MATCH(VALUE($A4779&amp;""),계정대체기준!$D$6:$D$15,0)),0),0))</f>
        <v/>
      </c>
      <c r="AH4779" s="64">
        <f>IF($A4779="","",IF(AD4779=0,"",IF(OR(COUNTIF(계정대체기준!$A$77:$A$86,$N4779)&gt;0,ISNUMBER(MATCH($X4779,계정대체기준!$D$77:$D$86,0)),ISNUMBER(MATCH($F4779,계정대체기준!$D$77:$D$86,0))),"Y","N")))</f>
        <v/>
      </c>
    </row>
    <row r="4780">
      <c r="A4780" s="92" t="n">
        <v>2026</v>
      </c>
      <c r="B4780" s="92" t="n">
        <v>9</v>
      </c>
      <c r="C4780" s="92" t="inlineStr">
        <is>
          <t>5100002058</t>
        </is>
      </c>
      <c r="D4780" s="95" t="n">
        <v>46291</v>
      </c>
      <c r="E4780" s="92" t="inlineStr">
        <is>
          <t>KR</t>
        </is>
      </c>
      <c r="F4780" s="92" t="n">
        <v>62102000</v>
      </c>
      <c r="G4780" s="92" t="n">
        <v>1401</v>
      </c>
      <c r="H4780" s="93" t="n">
        <v>63000</v>
      </c>
      <c r="I4780" s="92" t="inlineStr">
        <is>
          <t>9월 해외출장 - N호텔</t>
        </is>
      </c>
      <c r="J4780" s="92" t="inlineStr">
        <is>
          <t>V10009</t>
        </is>
      </c>
      <c r="K4780" s="92" t="inlineStr">
        <is>
          <t>N호텔</t>
        </is>
      </c>
      <c r="M4780" s="9">
        <f>IF($A4780="","",VALUE($A4780&amp;"")*12+VALUE($B4780&amp;""))</f>
        <v/>
      </c>
      <c r="N4780" s="64">
        <f>IF($A4780="","",IFERROR(INDEX(부서매핑!$C$5:$C$504,MATCH($G4780&amp;"",부서매핑!$A$5:$A$504,0)),"미매핑"))</f>
        <v/>
      </c>
      <c r="O4780" s="9">
        <f>IF($A4780="","",N4780&amp;"|"&amp;$F4780)</f>
        <v/>
      </c>
      <c r="P4780" s="94">
        <f>IF($A4780="",0,$H4780*설정!$C$23)</f>
        <v/>
      </c>
      <c r="Q4780" s="64">
        <f>IF($A4780="","",IF(O4780&lt;&gt;원인분석!$C$9,"",IF(AND(M4780&gt;=원인분석!$C$10,M4780&lt;=원인분석!$C$11),"당기",IF(AND(M4780&gt;=원인분석!$C$12,M4780&lt;=원인분석!$C$13),"비교",""))))</f>
        <v/>
      </c>
      <c r="R4780" s="9">
        <f>IF(Q4780="","",$K4780&amp;"")</f>
        <v/>
      </c>
      <c r="S4780" s="9">
        <f>IF(Q4780="","",IF(MATCH(R4780,$R$5:$R$100000,0)=ROW()-4,ROW(),""))</f>
        <v/>
      </c>
      <c r="T4780" s="9">
        <f>IF(Q4780="당기",ABS(P4780)+ROW()/1000000000,"")</f>
        <v/>
      </c>
      <c r="U4780" s="9">
        <f>IF(Q4780="비교",ABS(P4780)+ROW()/1000000000,"")</f>
        <v/>
      </c>
      <c r="V4780" s="64">
        <f>IF($A4780="","",IF(COUNTIF(변동분석!$E$7:$E$506,O4780)&gt;0,"Y","N"))</f>
        <v/>
      </c>
      <c r="W4780" s="64">
        <f>IF($A4780="","",IFERROR(INDEX(계정매핑!$D$5:$D$504,MATCH($F4780&amp;"",계정매핑!$A$5:$A$504,0)),"미매핑"))</f>
        <v/>
      </c>
      <c r="X4780" s="9">
        <f>IF($A4780="","",$F4780&amp;"")</f>
        <v/>
      </c>
      <c r="Y4780" s="94">
        <f>IF($A4780="",0,IF(AE4780="직접",IF(AF4780="비귀속",$P4780,0),$P4780*(1-AG4780)*IFERROR(INDEX(계정대체기준!$F$20:$F$49,MATCH($N4780,계정대체기준!$A$20:$A$49,0)),1)))</f>
        <v/>
      </c>
      <c r="Z4780" s="94">
        <f>IF($A4780="",0,IF(AE4780="직접",IF(AF4780="신계약비",$P4780,0),$P4780*(1-AG4780)*IFERROR(INDEX(계정대체기준!$C$20:$C$49,MATCH($N4780,계정대체기준!$A$20:$A$49,0)),0)))</f>
        <v/>
      </c>
      <c r="AA4780" s="94">
        <f>IF($A4780="",0,IF(AE4780="직접",IF(OR(AF4780="유지비",AF4780="손해조사비"),$P4780,0),$P4780*(1-AG4780)*IFERROR(INDEX(계정대체기준!$D$20:$D$49,MATCH($N4780,계정대체기준!$A$20:$A$49,0)),0)))</f>
        <v/>
      </c>
      <c r="AB4780" s="94">
        <f>IF($A4780="",0,IF(AE4780="직접",IF(AF4780="수금비",$P4780,0),$P4780*(1-AG4780)*IFERROR(INDEX(계정대체기준!$E$20:$E$49,MATCH($N4780,계정대체기준!$A$20:$A$49,0)),0)))</f>
        <v/>
      </c>
      <c r="AC4780" s="9">
        <f>IF(AND($A4780&lt;&gt;"",M4780=설정!$C$20,Z4780&gt;0),Z4780+ROW()/1000000000,"")</f>
        <v/>
      </c>
      <c r="AD4780" s="94">
        <f>IF($A4780="",0,$P4780*AG4780)</f>
        <v/>
      </c>
      <c r="AE4780" s="64">
        <f>IF($A4780="","",IFERROR(INDEX(계정매핑!$E$5:$E$504,MATCH($F4780&amp;"",계정매핑!$A$5:$A$504,0))&amp;"","공통비"))</f>
        <v/>
      </c>
      <c r="AF4780" s="64">
        <f>IF($A4780="","",IF(AE4780="직접",IFERROR(INDEX(계정매핑!$F$5:$F$504,MATCH($F4780&amp;"",계정매핑!$A$5:$A$504,0))&amp;"","비귀속"),""))</f>
        <v/>
      </c>
      <c r="AG4780" s="96">
        <f>IF($A4780="",0,IF(AND(AE4780&lt;&gt;"직접",IFERROR(INDEX(계정매핑!$G$5:$G$504,MATCH($F4780&amp;"",계정매핑!$A$5:$A$504,0))&amp;"","")="유지비",COUNTIF(계정대체기준!$A$6:$A$15,$N4780)&gt;0),IFERROR(INDEX(계정대체기준!$E$6:$E$15,MATCH(VALUE($A4780&amp;""),계정대체기준!$D$6:$D$15,0)),0),0))</f>
        <v/>
      </c>
      <c r="AH4780" s="64">
        <f>IF($A4780="","",IF(AD4780=0,"",IF(OR(COUNTIF(계정대체기준!$A$77:$A$86,$N4780)&gt;0,ISNUMBER(MATCH($X4780,계정대체기준!$D$77:$D$86,0)),ISNUMBER(MATCH($F4780,계정대체기준!$D$77:$D$86,0))),"Y","N")))</f>
        <v/>
      </c>
    </row>
    <row r="4781">
      <c r="A4781" s="92" t="n">
        <v>2026</v>
      </c>
      <c r="B4781" s="92" t="n">
        <v>9</v>
      </c>
      <c r="C4781" s="92" t="inlineStr">
        <is>
          <t>5100002059</t>
        </is>
      </c>
      <c r="D4781" s="95" t="n">
        <v>46291</v>
      </c>
      <c r="E4781" s="92" t="inlineStr">
        <is>
          <t>KR</t>
        </is>
      </c>
      <c r="F4781" s="92" t="n">
        <v>62102000</v>
      </c>
      <c r="G4781" s="92" t="n">
        <v>1701</v>
      </c>
      <c r="H4781" s="93" t="n">
        <v>67000</v>
      </c>
      <c r="I4781" s="92" t="inlineStr">
        <is>
          <t>9월 해외출장 - M항공</t>
        </is>
      </c>
      <c r="J4781" s="92" t="inlineStr">
        <is>
          <t>V10001</t>
        </is>
      </c>
      <c r="K4781" s="92" t="inlineStr">
        <is>
          <t>M항공</t>
        </is>
      </c>
      <c r="M4781" s="9">
        <f>IF($A4781="","",VALUE($A4781&amp;"")*12+VALUE($B4781&amp;""))</f>
        <v/>
      </c>
      <c r="N4781" s="64">
        <f>IF($A4781="","",IFERROR(INDEX(부서매핑!$C$5:$C$504,MATCH($G4781&amp;"",부서매핑!$A$5:$A$504,0)),"미매핑"))</f>
        <v/>
      </c>
      <c r="O4781" s="9">
        <f>IF($A4781="","",N4781&amp;"|"&amp;$F4781)</f>
        <v/>
      </c>
      <c r="P4781" s="94">
        <f>IF($A4781="",0,$H4781*설정!$C$23)</f>
        <v/>
      </c>
      <c r="Q4781" s="64">
        <f>IF($A4781="","",IF(O4781&lt;&gt;원인분석!$C$9,"",IF(AND(M4781&gt;=원인분석!$C$10,M4781&lt;=원인분석!$C$11),"당기",IF(AND(M4781&gt;=원인분석!$C$12,M4781&lt;=원인분석!$C$13),"비교",""))))</f>
        <v/>
      </c>
      <c r="R4781" s="9">
        <f>IF(Q4781="","",$K4781&amp;"")</f>
        <v/>
      </c>
      <c r="S4781" s="9">
        <f>IF(Q4781="","",IF(MATCH(R4781,$R$5:$R$100000,0)=ROW()-4,ROW(),""))</f>
        <v/>
      </c>
      <c r="T4781" s="9">
        <f>IF(Q4781="당기",ABS(P4781)+ROW()/1000000000,"")</f>
        <v/>
      </c>
      <c r="U4781" s="9">
        <f>IF(Q4781="비교",ABS(P4781)+ROW()/1000000000,"")</f>
        <v/>
      </c>
      <c r="V4781" s="64">
        <f>IF($A4781="","",IF(COUNTIF(변동분석!$E$7:$E$506,O4781)&gt;0,"Y","N"))</f>
        <v/>
      </c>
      <c r="W4781" s="64">
        <f>IF($A4781="","",IFERROR(INDEX(계정매핑!$D$5:$D$504,MATCH($F4781&amp;"",계정매핑!$A$5:$A$504,0)),"미매핑"))</f>
        <v/>
      </c>
      <c r="X4781" s="9">
        <f>IF($A4781="","",$F4781&amp;"")</f>
        <v/>
      </c>
      <c r="Y4781" s="94">
        <f>IF($A4781="",0,IF(AE4781="직접",IF(AF4781="비귀속",$P4781,0),$P4781*(1-AG4781)*IFERROR(INDEX(계정대체기준!$F$20:$F$49,MATCH($N4781,계정대체기준!$A$20:$A$49,0)),1)))</f>
        <v/>
      </c>
      <c r="Z4781" s="94">
        <f>IF($A4781="",0,IF(AE4781="직접",IF(AF4781="신계약비",$P4781,0),$P4781*(1-AG4781)*IFERROR(INDEX(계정대체기준!$C$20:$C$49,MATCH($N4781,계정대체기준!$A$20:$A$49,0)),0)))</f>
        <v/>
      </c>
      <c r="AA4781" s="94">
        <f>IF($A4781="",0,IF(AE4781="직접",IF(OR(AF4781="유지비",AF4781="손해조사비"),$P4781,0),$P4781*(1-AG4781)*IFERROR(INDEX(계정대체기준!$D$20:$D$49,MATCH($N4781,계정대체기준!$A$20:$A$49,0)),0)))</f>
        <v/>
      </c>
      <c r="AB4781" s="94">
        <f>IF($A4781="",0,IF(AE4781="직접",IF(AF4781="수금비",$P4781,0),$P4781*(1-AG4781)*IFERROR(INDEX(계정대체기준!$E$20:$E$49,MATCH($N4781,계정대체기준!$A$20:$A$49,0)),0)))</f>
        <v/>
      </c>
      <c r="AC4781" s="9">
        <f>IF(AND($A4781&lt;&gt;"",M4781=설정!$C$20,Z4781&gt;0),Z4781+ROW()/1000000000,"")</f>
        <v/>
      </c>
      <c r="AD4781" s="94">
        <f>IF($A4781="",0,$P4781*AG4781)</f>
        <v/>
      </c>
      <c r="AE4781" s="64">
        <f>IF($A4781="","",IFERROR(INDEX(계정매핑!$E$5:$E$504,MATCH($F4781&amp;"",계정매핑!$A$5:$A$504,0))&amp;"","공통비"))</f>
        <v/>
      </c>
      <c r="AF4781" s="64">
        <f>IF($A4781="","",IF(AE4781="직접",IFERROR(INDEX(계정매핑!$F$5:$F$504,MATCH($F4781&amp;"",계정매핑!$A$5:$A$504,0))&amp;"","비귀속"),""))</f>
        <v/>
      </c>
      <c r="AG4781" s="96">
        <f>IF($A4781="",0,IF(AND(AE4781&lt;&gt;"직접",IFERROR(INDEX(계정매핑!$G$5:$G$504,MATCH($F4781&amp;"",계정매핑!$A$5:$A$504,0))&amp;"","")="유지비",COUNTIF(계정대체기준!$A$6:$A$15,$N4781)&gt;0),IFERROR(INDEX(계정대체기준!$E$6:$E$15,MATCH(VALUE($A4781&amp;""),계정대체기준!$D$6:$D$15,0)),0),0))</f>
        <v/>
      </c>
      <c r="AH4781" s="64">
        <f>IF($A4781="","",IF(AD4781=0,"",IF(OR(COUNTIF(계정대체기준!$A$77:$A$86,$N4781)&gt;0,ISNUMBER(MATCH($X4781,계정대체기준!$D$77:$D$86,0)),ISNUMBER(MATCH($F4781,계정대체기준!$D$77:$D$86,0))),"Y","N")))</f>
        <v/>
      </c>
    </row>
    <row r="4782">
      <c r="A4782" s="92" t="n">
        <v>2026</v>
      </c>
      <c r="B4782" s="92" t="n">
        <v>9</v>
      </c>
      <c r="C4782" s="92" t="inlineStr">
        <is>
          <t>5100002060</t>
        </is>
      </c>
      <c r="D4782" s="95" t="n">
        <v>46291</v>
      </c>
      <c r="E4782" s="92" t="inlineStr">
        <is>
          <t>KR</t>
        </is>
      </c>
      <c r="F4782" s="92" t="n">
        <v>62201000</v>
      </c>
      <c r="G4782" s="92" t="n">
        <v>1951</v>
      </c>
      <c r="H4782" s="93" t="n">
        <v>356000</v>
      </c>
      <c r="I4782" s="92" t="inlineStr">
        <is>
          <t>9월 통신요금 - O텔레콤</t>
        </is>
      </c>
      <c r="J4782" s="92" t="inlineStr">
        <is>
          <t>V10002</t>
        </is>
      </c>
      <c r="K4782" s="92" t="inlineStr">
        <is>
          <t>O텔레콤</t>
        </is>
      </c>
      <c r="M4782" s="9">
        <f>IF($A4782="","",VALUE($A4782&amp;"")*12+VALUE($B4782&amp;""))</f>
        <v/>
      </c>
      <c r="N4782" s="64">
        <f>IF($A4782="","",IFERROR(INDEX(부서매핑!$C$5:$C$504,MATCH($G4782&amp;"",부서매핑!$A$5:$A$504,0)),"미매핑"))</f>
        <v/>
      </c>
      <c r="O4782" s="9">
        <f>IF($A4782="","",N4782&amp;"|"&amp;$F4782)</f>
        <v/>
      </c>
      <c r="P4782" s="94">
        <f>IF($A4782="",0,$H4782*설정!$C$23)</f>
        <v/>
      </c>
      <c r="Q4782" s="64">
        <f>IF($A4782="","",IF(O4782&lt;&gt;원인분석!$C$9,"",IF(AND(M4782&gt;=원인분석!$C$10,M4782&lt;=원인분석!$C$11),"당기",IF(AND(M4782&gt;=원인분석!$C$12,M4782&lt;=원인분석!$C$13),"비교",""))))</f>
        <v/>
      </c>
      <c r="R4782" s="9">
        <f>IF(Q4782="","",$K4782&amp;"")</f>
        <v/>
      </c>
      <c r="S4782" s="9">
        <f>IF(Q4782="","",IF(MATCH(R4782,$R$5:$R$100000,0)=ROW()-4,ROW(),""))</f>
        <v/>
      </c>
      <c r="T4782" s="9">
        <f>IF(Q4782="당기",ABS(P4782)+ROW()/1000000000,"")</f>
        <v/>
      </c>
      <c r="U4782" s="9">
        <f>IF(Q4782="비교",ABS(P4782)+ROW()/1000000000,"")</f>
        <v/>
      </c>
      <c r="V4782" s="64">
        <f>IF($A4782="","",IF(COUNTIF(변동분석!$E$7:$E$506,O4782)&gt;0,"Y","N"))</f>
        <v/>
      </c>
      <c r="W4782" s="64">
        <f>IF($A4782="","",IFERROR(INDEX(계정매핑!$D$5:$D$504,MATCH($F4782&amp;"",계정매핑!$A$5:$A$504,0)),"미매핑"))</f>
        <v/>
      </c>
      <c r="X4782" s="9">
        <f>IF($A4782="","",$F4782&amp;"")</f>
        <v/>
      </c>
      <c r="Y4782" s="94">
        <f>IF($A4782="",0,IF(AE4782="직접",IF(AF4782="비귀속",$P4782,0),$P4782*(1-AG4782)*IFERROR(INDEX(계정대체기준!$F$20:$F$49,MATCH($N4782,계정대체기준!$A$20:$A$49,0)),1)))</f>
        <v/>
      </c>
      <c r="Z4782" s="94">
        <f>IF($A4782="",0,IF(AE4782="직접",IF(AF4782="신계약비",$P4782,0),$P4782*(1-AG4782)*IFERROR(INDEX(계정대체기준!$C$20:$C$49,MATCH($N4782,계정대체기준!$A$20:$A$49,0)),0)))</f>
        <v/>
      </c>
      <c r="AA4782" s="94">
        <f>IF($A4782="",0,IF(AE4782="직접",IF(OR(AF4782="유지비",AF4782="손해조사비"),$P4782,0),$P4782*(1-AG4782)*IFERROR(INDEX(계정대체기준!$D$20:$D$49,MATCH($N4782,계정대체기준!$A$20:$A$49,0)),0)))</f>
        <v/>
      </c>
      <c r="AB4782" s="94">
        <f>IF($A4782="",0,IF(AE4782="직접",IF(AF4782="수금비",$P4782,0),$P4782*(1-AG4782)*IFERROR(INDEX(계정대체기준!$E$20:$E$49,MATCH($N4782,계정대체기준!$A$20:$A$49,0)),0)))</f>
        <v/>
      </c>
      <c r="AC4782" s="9">
        <f>IF(AND($A4782&lt;&gt;"",M4782=설정!$C$20,Z4782&gt;0),Z4782+ROW()/1000000000,"")</f>
        <v/>
      </c>
      <c r="AD4782" s="94">
        <f>IF($A4782="",0,$P4782*AG4782)</f>
        <v/>
      </c>
      <c r="AE4782" s="64">
        <f>IF($A4782="","",IFERROR(INDEX(계정매핑!$E$5:$E$504,MATCH($F4782&amp;"",계정매핑!$A$5:$A$504,0))&amp;"","공통비"))</f>
        <v/>
      </c>
      <c r="AF4782" s="64">
        <f>IF($A4782="","",IF(AE4782="직접",IFERROR(INDEX(계정매핑!$F$5:$F$504,MATCH($F4782&amp;"",계정매핑!$A$5:$A$504,0))&amp;"","비귀속"),""))</f>
        <v/>
      </c>
      <c r="AG4782" s="96">
        <f>IF($A4782="",0,IF(AND(AE4782&lt;&gt;"직접",IFERROR(INDEX(계정매핑!$G$5:$G$504,MATCH($F4782&amp;"",계정매핑!$A$5:$A$504,0))&amp;"","")="유지비",COUNTIF(계정대체기준!$A$6:$A$15,$N4782)&gt;0),IFERROR(INDEX(계정대체기준!$E$6:$E$15,MATCH(VALUE($A4782&amp;""),계정대체기준!$D$6:$D$15,0)),0),0))</f>
        <v/>
      </c>
      <c r="AH4782" s="64">
        <f>IF($A4782="","",IF(AD4782=0,"",IF(OR(COUNTIF(계정대체기준!$A$77:$A$86,$N4782)&gt;0,ISNUMBER(MATCH($X4782,계정대체기준!$D$77:$D$86,0)),ISNUMBER(MATCH($F4782,계정대체기준!$D$77:$D$86,0))),"Y","N")))</f>
        <v/>
      </c>
    </row>
    <row r="4783">
      <c r="A4783" s="92" t="n">
        <v>2026</v>
      </c>
      <c r="B4783" s="92" t="n">
        <v>9</v>
      </c>
      <c r="C4783" s="92" t="inlineStr">
        <is>
          <t>5100002061</t>
        </is>
      </c>
      <c r="D4783" s="95" t="n">
        <v>46291</v>
      </c>
      <c r="E4783" s="92" t="inlineStr">
        <is>
          <t>KR</t>
        </is>
      </c>
      <c r="F4783" s="92" t="n">
        <v>62301000</v>
      </c>
      <c r="G4783" s="92" t="n">
        <v>1502</v>
      </c>
      <c r="H4783" s="93" t="n">
        <v>159000</v>
      </c>
      <c r="I4783" s="92" t="inlineStr">
        <is>
          <t>9월 소모품 구입 - Q오피스</t>
        </is>
      </c>
      <c r="J4783" s="92" t="inlineStr">
        <is>
          <t>V10003</t>
        </is>
      </c>
      <c r="K4783" s="92" t="inlineStr">
        <is>
          <t>Q오피스</t>
        </is>
      </c>
      <c r="M4783" s="9">
        <f>IF($A4783="","",VALUE($A4783&amp;"")*12+VALUE($B4783&amp;""))</f>
        <v/>
      </c>
      <c r="N4783" s="64">
        <f>IF($A4783="","",IFERROR(INDEX(부서매핑!$C$5:$C$504,MATCH($G4783&amp;"",부서매핑!$A$5:$A$504,0)),"미매핑"))</f>
        <v/>
      </c>
      <c r="O4783" s="9">
        <f>IF($A4783="","",N4783&amp;"|"&amp;$F4783)</f>
        <v/>
      </c>
      <c r="P4783" s="94">
        <f>IF($A4783="",0,$H4783*설정!$C$23)</f>
        <v/>
      </c>
      <c r="Q4783" s="64">
        <f>IF($A4783="","",IF(O4783&lt;&gt;원인분석!$C$9,"",IF(AND(M4783&gt;=원인분석!$C$10,M4783&lt;=원인분석!$C$11),"당기",IF(AND(M4783&gt;=원인분석!$C$12,M4783&lt;=원인분석!$C$13),"비교",""))))</f>
        <v/>
      </c>
      <c r="R4783" s="9">
        <f>IF(Q4783="","",$K4783&amp;"")</f>
        <v/>
      </c>
      <c r="S4783" s="9">
        <f>IF(Q4783="","",IF(MATCH(R4783,$R$5:$R$100000,0)=ROW()-4,ROW(),""))</f>
        <v/>
      </c>
      <c r="T4783" s="9">
        <f>IF(Q4783="당기",ABS(P4783)+ROW()/1000000000,"")</f>
        <v/>
      </c>
      <c r="U4783" s="9">
        <f>IF(Q4783="비교",ABS(P4783)+ROW()/1000000000,"")</f>
        <v/>
      </c>
      <c r="V4783" s="64">
        <f>IF($A4783="","",IF(COUNTIF(변동분석!$E$7:$E$506,O4783)&gt;0,"Y","N"))</f>
        <v/>
      </c>
      <c r="W4783" s="64">
        <f>IF($A4783="","",IFERROR(INDEX(계정매핑!$D$5:$D$504,MATCH($F4783&amp;"",계정매핑!$A$5:$A$504,0)),"미매핑"))</f>
        <v/>
      </c>
      <c r="X4783" s="9">
        <f>IF($A4783="","",$F4783&amp;"")</f>
        <v/>
      </c>
      <c r="Y4783" s="94">
        <f>IF($A4783="",0,IF(AE4783="직접",IF(AF4783="비귀속",$P4783,0),$P4783*(1-AG4783)*IFERROR(INDEX(계정대체기준!$F$20:$F$49,MATCH($N4783,계정대체기준!$A$20:$A$49,0)),1)))</f>
        <v/>
      </c>
      <c r="Z4783" s="94">
        <f>IF($A4783="",0,IF(AE4783="직접",IF(AF4783="신계약비",$P4783,0),$P4783*(1-AG4783)*IFERROR(INDEX(계정대체기준!$C$20:$C$49,MATCH($N4783,계정대체기준!$A$20:$A$49,0)),0)))</f>
        <v/>
      </c>
      <c r="AA4783" s="94">
        <f>IF($A4783="",0,IF(AE4783="직접",IF(OR(AF4783="유지비",AF4783="손해조사비"),$P4783,0),$P4783*(1-AG4783)*IFERROR(INDEX(계정대체기준!$D$20:$D$49,MATCH($N4783,계정대체기준!$A$20:$A$49,0)),0)))</f>
        <v/>
      </c>
      <c r="AB4783" s="94">
        <f>IF($A4783="",0,IF(AE4783="직접",IF(AF4783="수금비",$P4783,0),$P4783*(1-AG4783)*IFERROR(INDEX(계정대체기준!$E$20:$E$49,MATCH($N4783,계정대체기준!$A$20:$A$49,0)),0)))</f>
        <v/>
      </c>
      <c r="AC4783" s="9">
        <f>IF(AND($A4783&lt;&gt;"",M4783=설정!$C$20,Z4783&gt;0),Z4783+ROW()/1000000000,"")</f>
        <v/>
      </c>
      <c r="AD4783" s="94">
        <f>IF($A4783="",0,$P4783*AG4783)</f>
        <v/>
      </c>
      <c r="AE4783" s="64">
        <f>IF($A4783="","",IFERROR(INDEX(계정매핑!$E$5:$E$504,MATCH($F4783&amp;"",계정매핑!$A$5:$A$504,0))&amp;"","공통비"))</f>
        <v/>
      </c>
      <c r="AF4783" s="64">
        <f>IF($A4783="","",IF(AE4783="직접",IFERROR(INDEX(계정매핑!$F$5:$F$504,MATCH($F4783&amp;"",계정매핑!$A$5:$A$504,0))&amp;"","비귀속"),""))</f>
        <v/>
      </c>
      <c r="AG4783" s="96">
        <f>IF($A4783="",0,IF(AND(AE4783&lt;&gt;"직접",IFERROR(INDEX(계정매핑!$G$5:$G$504,MATCH($F4783&amp;"",계정매핑!$A$5:$A$504,0))&amp;"","")="유지비",COUNTIF(계정대체기준!$A$6:$A$15,$N4783)&gt;0),IFERROR(INDEX(계정대체기준!$E$6:$E$15,MATCH(VALUE($A4783&amp;""),계정대체기준!$D$6:$D$15,0)),0),0))</f>
        <v/>
      </c>
      <c r="AH4783" s="64">
        <f>IF($A4783="","",IF(AD4783=0,"",IF(OR(COUNTIF(계정대체기준!$A$77:$A$86,$N4783)&gt;0,ISNUMBER(MATCH($X4783,계정대체기준!$D$77:$D$86,0)),ISNUMBER(MATCH($F4783,계정대체기준!$D$77:$D$86,0))),"Y","N")))</f>
        <v/>
      </c>
    </row>
    <row r="4784">
      <c r="A4784" s="92" t="n">
        <v>2026</v>
      </c>
      <c r="B4784" s="92" t="n">
        <v>9</v>
      </c>
      <c r="C4784" s="92" t="inlineStr">
        <is>
          <t>5100002062</t>
        </is>
      </c>
      <c r="D4784" s="95" t="n">
        <v>46291</v>
      </c>
      <c r="E4784" s="92" t="inlineStr">
        <is>
          <t>KR</t>
        </is>
      </c>
      <c r="F4784" s="92" t="n">
        <v>62301000</v>
      </c>
      <c r="G4784" s="92" t="n">
        <v>1502</v>
      </c>
      <c r="H4784" s="93" t="n">
        <v>174000</v>
      </c>
      <c r="I4784" s="92" t="inlineStr">
        <is>
          <t>9월 소모품 구입 - R문구</t>
        </is>
      </c>
      <c r="J4784" s="92" t="inlineStr">
        <is>
          <t>V10022</t>
        </is>
      </c>
      <c r="K4784" s="92" t="inlineStr">
        <is>
          <t>R문구</t>
        </is>
      </c>
      <c r="M4784" s="9">
        <f>IF($A4784="","",VALUE($A4784&amp;"")*12+VALUE($B4784&amp;""))</f>
        <v/>
      </c>
      <c r="N4784" s="64">
        <f>IF($A4784="","",IFERROR(INDEX(부서매핑!$C$5:$C$504,MATCH($G4784&amp;"",부서매핑!$A$5:$A$504,0)),"미매핑"))</f>
        <v/>
      </c>
      <c r="O4784" s="9">
        <f>IF($A4784="","",N4784&amp;"|"&amp;$F4784)</f>
        <v/>
      </c>
      <c r="P4784" s="94">
        <f>IF($A4784="",0,$H4784*설정!$C$23)</f>
        <v/>
      </c>
      <c r="Q4784" s="64">
        <f>IF($A4784="","",IF(O4784&lt;&gt;원인분석!$C$9,"",IF(AND(M4784&gt;=원인분석!$C$10,M4784&lt;=원인분석!$C$11),"당기",IF(AND(M4784&gt;=원인분석!$C$12,M4784&lt;=원인분석!$C$13),"비교",""))))</f>
        <v/>
      </c>
      <c r="R4784" s="9">
        <f>IF(Q4784="","",$K4784&amp;"")</f>
        <v/>
      </c>
      <c r="S4784" s="9">
        <f>IF(Q4784="","",IF(MATCH(R4784,$R$5:$R$100000,0)=ROW()-4,ROW(),""))</f>
        <v/>
      </c>
      <c r="T4784" s="9">
        <f>IF(Q4784="당기",ABS(P4784)+ROW()/1000000000,"")</f>
        <v/>
      </c>
      <c r="U4784" s="9">
        <f>IF(Q4784="비교",ABS(P4784)+ROW()/1000000000,"")</f>
        <v/>
      </c>
      <c r="V4784" s="64">
        <f>IF($A4784="","",IF(COUNTIF(변동분석!$E$7:$E$506,O4784)&gt;0,"Y","N"))</f>
        <v/>
      </c>
      <c r="W4784" s="64">
        <f>IF($A4784="","",IFERROR(INDEX(계정매핑!$D$5:$D$504,MATCH($F4784&amp;"",계정매핑!$A$5:$A$504,0)),"미매핑"))</f>
        <v/>
      </c>
      <c r="X4784" s="9">
        <f>IF($A4784="","",$F4784&amp;"")</f>
        <v/>
      </c>
      <c r="Y4784" s="94">
        <f>IF($A4784="",0,IF(AE4784="직접",IF(AF4784="비귀속",$P4784,0),$P4784*(1-AG4784)*IFERROR(INDEX(계정대체기준!$F$20:$F$49,MATCH($N4784,계정대체기준!$A$20:$A$49,0)),1)))</f>
        <v/>
      </c>
      <c r="Z4784" s="94">
        <f>IF($A4784="",0,IF(AE4784="직접",IF(AF4784="신계약비",$P4784,0),$P4784*(1-AG4784)*IFERROR(INDEX(계정대체기준!$C$20:$C$49,MATCH($N4784,계정대체기준!$A$20:$A$49,0)),0)))</f>
        <v/>
      </c>
      <c r="AA4784" s="94">
        <f>IF($A4784="",0,IF(AE4784="직접",IF(OR(AF4784="유지비",AF4784="손해조사비"),$P4784,0),$P4784*(1-AG4784)*IFERROR(INDEX(계정대체기준!$D$20:$D$49,MATCH($N4784,계정대체기준!$A$20:$A$49,0)),0)))</f>
        <v/>
      </c>
      <c r="AB4784" s="94">
        <f>IF($A4784="",0,IF(AE4784="직접",IF(AF4784="수금비",$P4784,0),$P4784*(1-AG4784)*IFERROR(INDEX(계정대체기준!$E$20:$E$49,MATCH($N4784,계정대체기준!$A$20:$A$49,0)),0)))</f>
        <v/>
      </c>
      <c r="AC4784" s="9">
        <f>IF(AND($A4784&lt;&gt;"",M4784=설정!$C$20,Z4784&gt;0),Z4784+ROW()/1000000000,"")</f>
        <v/>
      </c>
      <c r="AD4784" s="94">
        <f>IF($A4784="",0,$P4784*AG4784)</f>
        <v/>
      </c>
      <c r="AE4784" s="64">
        <f>IF($A4784="","",IFERROR(INDEX(계정매핑!$E$5:$E$504,MATCH($F4784&amp;"",계정매핑!$A$5:$A$504,0))&amp;"","공통비"))</f>
        <v/>
      </c>
      <c r="AF4784" s="64">
        <f>IF($A4784="","",IF(AE4784="직접",IFERROR(INDEX(계정매핑!$F$5:$F$504,MATCH($F4784&amp;"",계정매핑!$A$5:$A$504,0))&amp;"","비귀속"),""))</f>
        <v/>
      </c>
      <c r="AG4784" s="96">
        <f>IF($A4784="",0,IF(AND(AE4784&lt;&gt;"직접",IFERROR(INDEX(계정매핑!$G$5:$G$504,MATCH($F4784&amp;"",계정매핑!$A$5:$A$504,0))&amp;"","")="유지비",COUNTIF(계정대체기준!$A$6:$A$15,$N4784)&gt;0),IFERROR(INDEX(계정대체기준!$E$6:$E$15,MATCH(VALUE($A4784&amp;""),계정대체기준!$D$6:$D$15,0)),0),0))</f>
        <v/>
      </c>
      <c r="AH4784" s="64">
        <f>IF($A4784="","",IF(AD4784=0,"",IF(OR(COUNTIF(계정대체기준!$A$77:$A$86,$N4784)&gt;0,ISNUMBER(MATCH($X4784,계정대체기준!$D$77:$D$86,0)),ISNUMBER(MATCH($F4784,계정대체기준!$D$77:$D$86,0))),"Y","N")))</f>
        <v/>
      </c>
    </row>
    <row r="4785">
      <c r="A4785" s="92" t="n">
        <v>2026</v>
      </c>
      <c r="B4785" s="92" t="n">
        <v>9</v>
      </c>
      <c r="C4785" s="92" t="inlineStr">
        <is>
          <t>5100002063</t>
        </is>
      </c>
      <c r="D4785" s="95" t="n">
        <v>46291</v>
      </c>
      <c r="E4785" s="92" t="inlineStr">
        <is>
          <t>KR</t>
        </is>
      </c>
      <c r="F4785" s="92" t="n">
        <v>63501000</v>
      </c>
      <c r="G4785" s="92" t="n">
        <v>1901</v>
      </c>
      <c r="H4785" s="93" t="n">
        <v>650000000</v>
      </c>
      <c r="I4785" s="92" t="inlineStr">
        <is>
          <t>9월 신상품 GA 판매시책비 (추가 수수료)</t>
        </is>
      </c>
      <c r="J4785" s="92" t="inlineStr">
        <is>
          <t>V10034</t>
        </is>
      </c>
      <c r="K4785" s="92" t="inlineStr">
        <is>
          <t>AA보험대리점</t>
        </is>
      </c>
      <c r="M4785" s="9">
        <f>IF($A4785="","",VALUE($A4785&amp;"")*12+VALUE($B4785&amp;""))</f>
        <v/>
      </c>
      <c r="N4785" s="64">
        <f>IF($A4785="","",IFERROR(INDEX(부서매핑!$C$5:$C$504,MATCH($G4785&amp;"",부서매핑!$A$5:$A$504,0)),"미매핑"))</f>
        <v/>
      </c>
      <c r="O4785" s="9">
        <f>IF($A4785="","",N4785&amp;"|"&amp;$F4785)</f>
        <v/>
      </c>
      <c r="P4785" s="94">
        <f>IF($A4785="",0,$H4785*설정!$C$23)</f>
        <v/>
      </c>
      <c r="Q4785" s="64">
        <f>IF($A4785="","",IF(O4785&lt;&gt;원인분석!$C$9,"",IF(AND(M4785&gt;=원인분석!$C$10,M4785&lt;=원인분석!$C$11),"당기",IF(AND(M4785&gt;=원인분석!$C$12,M4785&lt;=원인분석!$C$13),"비교",""))))</f>
        <v/>
      </c>
      <c r="R4785" s="9">
        <f>IF(Q4785="","",$K4785&amp;"")</f>
        <v/>
      </c>
      <c r="S4785" s="9">
        <f>IF(Q4785="","",IF(MATCH(R4785,$R$5:$R$100000,0)=ROW()-4,ROW(),""))</f>
        <v/>
      </c>
      <c r="T4785" s="9">
        <f>IF(Q4785="당기",ABS(P4785)+ROW()/1000000000,"")</f>
        <v/>
      </c>
      <c r="U4785" s="9">
        <f>IF(Q4785="비교",ABS(P4785)+ROW()/1000000000,"")</f>
        <v/>
      </c>
      <c r="V4785" s="64">
        <f>IF($A4785="","",IF(COUNTIF(변동분석!$E$7:$E$506,O4785)&gt;0,"Y","N"))</f>
        <v/>
      </c>
      <c r="W4785" s="64">
        <f>IF($A4785="","",IFERROR(INDEX(계정매핑!$D$5:$D$504,MATCH($F4785&amp;"",계정매핑!$A$5:$A$504,0)),"미매핑"))</f>
        <v/>
      </c>
      <c r="X4785" s="9">
        <f>IF($A4785="","",$F4785&amp;"")</f>
        <v/>
      </c>
      <c r="Y4785" s="94">
        <f>IF($A4785="",0,IF(AE4785="직접",IF(AF4785="비귀속",$P4785,0),$P4785*(1-AG4785)*IFERROR(INDEX(계정대체기준!$F$20:$F$49,MATCH($N4785,계정대체기준!$A$20:$A$49,0)),1)))</f>
        <v/>
      </c>
      <c r="Z4785" s="94">
        <f>IF($A4785="",0,IF(AE4785="직접",IF(AF4785="신계약비",$P4785,0),$P4785*(1-AG4785)*IFERROR(INDEX(계정대체기준!$C$20:$C$49,MATCH($N4785,계정대체기준!$A$20:$A$49,0)),0)))</f>
        <v/>
      </c>
      <c r="AA4785" s="94">
        <f>IF($A4785="",0,IF(AE4785="직접",IF(OR(AF4785="유지비",AF4785="손해조사비"),$P4785,0),$P4785*(1-AG4785)*IFERROR(INDEX(계정대체기준!$D$20:$D$49,MATCH($N4785,계정대체기준!$A$20:$A$49,0)),0)))</f>
        <v/>
      </c>
      <c r="AB4785" s="94">
        <f>IF($A4785="",0,IF(AE4785="직접",IF(AF4785="수금비",$P4785,0),$P4785*(1-AG4785)*IFERROR(INDEX(계정대체기준!$E$20:$E$49,MATCH($N4785,계정대체기준!$A$20:$A$49,0)),0)))</f>
        <v/>
      </c>
      <c r="AC4785" s="9">
        <f>IF(AND($A4785&lt;&gt;"",M4785=설정!$C$20,Z4785&gt;0),Z4785+ROW()/1000000000,"")</f>
        <v/>
      </c>
      <c r="AD4785" s="94">
        <f>IF($A4785="",0,$P4785*AG4785)</f>
        <v/>
      </c>
      <c r="AE4785" s="64">
        <f>IF($A4785="","",IFERROR(INDEX(계정매핑!$E$5:$E$504,MATCH($F4785&amp;"",계정매핑!$A$5:$A$504,0))&amp;"","공통비"))</f>
        <v/>
      </c>
      <c r="AF4785" s="64">
        <f>IF($A4785="","",IF(AE4785="직접",IFERROR(INDEX(계정매핑!$F$5:$F$504,MATCH($F4785&amp;"",계정매핑!$A$5:$A$504,0))&amp;"","비귀속"),""))</f>
        <v/>
      </c>
      <c r="AG4785" s="96">
        <f>IF($A4785="",0,IF(AND(AE4785&lt;&gt;"직접",IFERROR(INDEX(계정매핑!$G$5:$G$504,MATCH($F4785&amp;"",계정매핑!$A$5:$A$504,0))&amp;"","")="유지비",COUNTIF(계정대체기준!$A$6:$A$15,$N4785)&gt;0),IFERROR(INDEX(계정대체기준!$E$6:$E$15,MATCH(VALUE($A4785&amp;""),계정대체기준!$D$6:$D$15,0)),0),0))</f>
        <v/>
      </c>
      <c r="AH4785" s="64">
        <f>IF($A4785="","",IF(AD4785=0,"",IF(OR(COUNTIF(계정대체기준!$A$77:$A$86,$N4785)&gt;0,ISNUMBER(MATCH($X4785,계정대체기준!$D$77:$D$86,0)),ISNUMBER(MATCH($F4785,계정대체기준!$D$77:$D$86,0))),"Y","N")))</f>
        <v/>
      </c>
    </row>
    <row r="4786">
      <c r="A4786" s="92" t="n">
        <v>2026</v>
      </c>
      <c r="B4786" s="92" t="n">
        <v>9</v>
      </c>
      <c r="C4786" s="92" t="inlineStr">
        <is>
          <t>5100002064</t>
        </is>
      </c>
      <c r="D4786" s="95" t="n">
        <v>46292</v>
      </c>
      <c r="E4786" s="92" t="inlineStr">
        <is>
          <t>KR</t>
        </is>
      </c>
      <c r="F4786" s="92" t="n">
        <v>62102000</v>
      </c>
      <c r="G4786" s="92" t="n">
        <v>1201</v>
      </c>
      <c r="H4786" s="93" t="n">
        <v>72000</v>
      </c>
      <c r="I4786" s="92" t="inlineStr">
        <is>
          <t>9월 해외출장 - M항공</t>
        </is>
      </c>
      <c r="J4786" s="92" t="inlineStr">
        <is>
          <t>V10001</t>
        </is>
      </c>
      <c r="K4786" s="92" t="inlineStr">
        <is>
          <t>M항공</t>
        </is>
      </c>
      <c r="M4786" s="9">
        <f>IF($A4786="","",VALUE($A4786&amp;"")*12+VALUE($B4786&amp;""))</f>
        <v/>
      </c>
      <c r="N4786" s="64">
        <f>IF($A4786="","",IFERROR(INDEX(부서매핑!$C$5:$C$504,MATCH($G4786&amp;"",부서매핑!$A$5:$A$504,0)),"미매핑"))</f>
        <v/>
      </c>
      <c r="O4786" s="9">
        <f>IF($A4786="","",N4786&amp;"|"&amp;$F4786)</f>
        <v/>
      </c>
      <c r="P4786" s="94">
        <f>IF($A4786="",0,$H4786*설정!$C$23)</f>
        <v/>
      </c>
      <c r="Q4786" s="64">
        <f>IF($A4786="","",IF(O4786&lt;&gt;원인분석!$C$9,"",IF(AND(M4786&gt;=원인분석!$C$10,M4786&lt;=원인분석!$C$11),"당기",IF(AND(M4786&gt;=원인분석!$C$12,M4786&lt;=원인분석!$C$13),"비교",""))))</f>
        <v/>
      </c>
      <c r="R4786" s="9">
        <f>IF(Q4786="","",$K4786&amp;"")</f>
        <v/>
      </c>
      <c r="S4786" s="9">
        <f>IF(Q4786="","",IF(MATCH(R4786,$R$5:$R$100000,0)=ROW()-4,ROW(),""))</f>
        <v/>
      </c>
      <c r="T4786" s="9">
        <f>IF(Q4786="당기",ABS(P4786)+ROW()/1000000000,"")</f>
        <v/>
      </c>
      <c r="U4786" s="9">
        <f>IF(Q4786="비교",ABS(P4786)+ROW()/1000000000,"")</f>
        <v/>
      </c>
      <c r="V4786" s="64">
        <f>IF($A4786="","",IF(COUNTIF(변동분석!$E$7:$E$506,O4786)&gt;0,"Y","N"))</f>
        <v/>
      </c>
      <c r="W4786" s="64">
        <f>IF($A4786="","",IFERROR(INDEX(계정매핑!$D$5:$D$504,MATCH($F4786&amp;"",계정매핑!$A$5:$A$504,0)),"미매핑"))</f>
        <v/>
      </c>
      <c r="X4786" s="9">
        <f>IF($A4786="","",$F4786&amp;"")</f>
        <v/>
      </c>
      <c r="Y4786" s="94">
        <f>IF($A4786="",0,IF(AE4786="직접",IF(AF4786="비귀속",$P4786,0),$P4786*(1-AG4786)*IFERROR(INDEX(계정대체기준!$F$20:$F$49,MATCH($N4786,계정대체기준!$A$20:$A$49,0)),1)))</f>
        <v/>
      </c>
      <c r="Z4786" s="94">
        <f>IF($A4786="",0,IF(AE4786="직접",IF(AF4786="신계약비",$P4786,0),$P4786*(1-AG4786)*IFERROR(INDEX(계정대체기준!$C$20:$C$49,MATCH($N4786,계정대체기준!$A$20:$A$49,0)),0)))</f>
        <v/>
      </c>
      <c r="AA4786" s="94">
        <f>IF($A4786="",0,IF(AE4786="직접",IF(OR(AF4786="유지비",AF4786="손해조사비"),$P4786,0),$P4786*(1-AG4786)*IFERROR(INDEX(계정대체기준!$D$20:$D$49,MATCH($N4786,계정대체기준!$A$20:$A$49,0)),0)))</f>
        <v/>
      </c>
      <c r="AB4786" s="94">
        <f>IF($A4786="",0,IF(AE4786="직접",IF(AF4786="수금비",$P4786,0),$P4786*(1-AG4786)*IFERROR(INDEX(계정대체기준!$E$20:$E$49,MATCH($N4786,계정대체기준!$A$20:$A$49,0)),0)))</f>
        <v/>
      </c>
      <c r="AC4786" s="9">
        <f>IF(AND($A4786&lt;&gt;"",M4786=설정!$C$20,Z4786&gt;0),Z4786+ROW()/1000000000,"")</f>
        <v/>
      </c>
      <c r="AD4786" s="94">
        <f>IF($A4786="",0,$P4786*AG4786)</f>
        <v/>
      </c>
      <c r="AE4786" s="64">
        <f>IF($A4786="","",IFERROR(INDEX(계정매핑!$E$5:$E$504,MATCH($F4786&amp;"",계정매핑!$A$5:$A$504,0))&amp;"","공통비"))</f>
        <v/>
      </c>
      <c r="AF4786" s="64">
        <f>IF($A4786="","",IF(AE4786="직접",IFERROR(INDEX(계정매핑!$F$5:$F$504,MATCH($F4786&amp;"",계정매핑!$A$5:$A$504,0))&amp;"","비귀속"),""))</f>
        <v/>
      </c>
      <c r="AG4786" s="96">
        <f>IF($A4786="",0,IF(AND(AE4786&lt;&gt;"직접",IFERROR(INDEX(계정매핑!$G$5:$G$504,MATCH($F4786&amp;"",계정매핑!$A$5:$A$504,0))&amp;"","")="유지비",COUNTIF(계정대체기준!$A$6:$A$15,$N4786)&gt;0),IFERROR(INDEX(계정대체기준!$E$6:$E$15,MATCH(VALUE($A4786&amp;""),계정대체기준!$D$6:$D$15,0)),0),0))</f>
        <v/>
      </c>
      <c r="AH4786" s="64">
        <f>IF($A4786="","",IF(AD4786=0,"",IF(OR(COUNTIF(계정대체기준!$A$77:$A$86,$N4786)&gt;0,ISNUMBER(MATCH($X4786,계정대체기준!$D$77:$D$86,0)),ISNUMBER(MATCH($F4786,계정대체기준!$D$77:$D$86,0))),"Y","N")))</f>
        <v/>
      </c>
    </row>
    <row r="4787">
      <c r="A4787" s="92" t="n">
        <v>2026</v>
      </c>
      <c r="B4787" s="92" t="n">
        <v>9</v>
      </c>
      <c r="C4787" s="92" t="inlineStr">
        <is>
          <t>5100002065</t>
        </is>
      </c>
      <c r="D4787" s="95" t="n">
        <v>46292</v>
      </c>
      <c r="E4787" s="92" t="inlineStr">
        <is>
          <t>KR</t>
        </is>
      </c>
      <c r="F4787" s="92" t="n">
        <v>62301000</v>
      </c>
      <c r="G4787" s="92" t="n">
        <v>1101</v>
      </c>
      <c r="H4787" s="93" t="n">
        <v>169000</v>
      </c>
      <c r="I4787" s="92" t="inlineStr">
        <is>
          <t>9월 소모품 구입 - R문구</t>
        </is>
      </c>
      <c r="J4787" s="92" t="inlineStr">
        <is>
          <t>V10022</t>
        </is>
      </c>
      <c r="K4787" s="92" t="inlineStr">
        <is>
          <t>R문구</t>
        </is>
      </c>
      <c r="M4787" s="9">
        <f>IF($A4787="","",VALUE($A4787&amp;"")*12+VALUE($B4787&amp;""))</f>
        <v/>
      </c>
      <c r="N4787" s="64">
        <f>IF($A4787="","",IFERROR(INDEX(부서매핑!$C$5:$C$504,MATCH($G4787&amp;"",부서매핑!$A$5:$A$504,0)),"미매핑"))</f>
        <v/>
      </c>
      <c r="O4787" s="9">
        <f>IF($A4787="","",N4787&amp;"|"&amp;$F4787)</f>
        <v/>
      </c>
      <c r="P4787" s="94">
        <f>IF($A4787="",0,$H4787*설정!$C$23)</f>
        <v/>
      </c>
      <c r="Q4787" s="64">
        <f>IF($A4787="","",IF(O4787&lt;&gt;원인분석!$C$9,"",IF(AND(M4787&gt;=원인분석!$C$10,M4787&lt;=원인분석!$C$11),"당기",IF(AND(M4787&gt;=원인분석!$C$12,M4787&lt;=원인분석!$C$13),"비교",""))))</f>
        <v/>
      </c>
      <c r="R4787" s="9">
        <f>IF(Q4787="","",$K4787&amp;"")</f>
        <v/>
      </c>
      <c r="S4787" s="9">
        <f>IF(Q4787="","",IF(MATCH(R4787,$R$5:$R$100000,0)=ROW()-4,ROW(),""))</f>
        <v/>
      </c>
      <c r="T4787" s="9">
        <f>IF(Q4787="당기",ABS(P4787)+ROW()/1000000000,"")</f>
        <v/>
      </c>
      <c r="U4787" s="9">
        <f>IF(Q4787="비교",ABS(P4787)+ROW()/1000000000,"")</f>
        <v/>
      </c>
      <c r="V4787" s="64">
        <f>IF($A4787="","",IF(COUNTIF(변동분석!$E$7:$E$506,O4787)&gt;0,"Y","N"))</f>
        <v/>
      </c>
      <c r="W4787" s="64">
        <f>IF($A4787="","",IFERROR(INDEX(계정매핑!$D$5:$D$504,MATCH($F4787&amp;"",계정매핑!$A$5:$A$504,0)),"미매핑"))</f>
        <v/>
      </c>
      <c r="X4787" s="9">
        <f>IF($A4787="","",$F4787&amp;"")</f>
        <v/>
      </c>
      <c r="Y4787" s="94">
        <f>IF($A4787="",0,IF(AE4787="직접",IF(AF4787="비귀속",$P4787,0),$P4787*(1-AG4787)*IFERROR(INDEX(계정대체기준!$F$20:$F$49,MATCH($N4787,계정대체기준!$A$20:$A$49,0)),1)))</f>
        <v/>
      </c>
      <c r="Z4787" s="94">
        <f>IF($A4787="",0,IF(AE4787="직접",IF(AF4787="신계약비",$P4787,0),$P4787*(1-AG4787)*IFERROR(INDEX(계정대체기준!$C$20:$C$49,MATCH($N4787,계정대체기준!$A$20:$A$49,0)),0)))</f>
        <v/>
      </c>
      <c r="AA4787" s="94">
        <f>IF($A4787="",0,IF(AE4787="직접",IF(OR(AF4787="유지비",AF4787="손해조사비"),$P4787,0),$P4787*(1-AG4787)*IFERROR(INDEX(계정대체기준!$D$20:$D$49,MATCH($N4787,계정대체기준!$A$20:$A$49,0)),0)))</f>
        <v/>
      </c>
      <c r="AB4787" s="94">
        <f>IF($A4787="",0,IF(AE4787="직접",IF(AF4787="수금비",$P4787,0),$P4787*(1-AG4787)*IFERROR(INDEX(계정대체기준!$E$20:$E$49,MATCH($N4787,계정대체기준!$A$20:$A$49,0)),0)))</f>
        <v/>
      </c>
      <c r="AC4787" s="9">
        <f>IF(AND($A4787&lt;&gt;"",M4787=설정!$C$20,Z4787&gt;0),Z4787+ROW()/1000000000,"")</f>
        <v/>
      </c>
      <c r="AD4787" s="94">
        <f>IF($A4787="",0,$P4787*AG4787)</f>
        <v/>
      </c>
      <c r="AE4787" s="64">
        <f>IF($A4787="","",IFERROR(INDEX(계정매핑!$E$5:$E$504,MATCH($F4787&amp;"",계정매핑!$A$5:$A$504,0))&amp;"","공통비"))</f>
        <v/>
      </c>
      <c r="AF4787" s="64">
        <f>IF($A4787="","",IF(AE4787="직접",IFERROR(INDEX(계정매핑!$F$5:$F$504,MATCH($F4787&amp;"",계정매핑!$A$5:$A$504,0))&amp;"","비귀속"),""))</f>
        <v/>
      </c>
      <c r="AG4787" s="96">
        <f>IF($A4787="",0,IF(AND(AE4787&lt;&gt;"직접",IFERROR(INDEX(계정매핑!$G$5:$G$504,MATCH($F4787&amp;"",계정매핑!$A$5:$A$504,0))&amp;"","")="유지비",COUNTIF(계정대체기준!$A$6:$A$15,$N4787)&gt;0),IFERROR(INDEX(계정대체기준!$E$6:$E$15,MATCH(VALUE($A4787&amp;""),계정대체기준!$D$6:$D$15,0)),0),0))</f>
        <v/>
      </c>
      <c r="AH4787" s="64">
        <f>IF($A4787="","",IF(AD4787=0,"",IF(OR(COUNTIF(계정대체기준!$A$77:$A$86,$N4787)&gt;0,ISNUMBER(MATCH($X4787,계정대체기준!$D$77:$D$86,0)),ISNUMBER(MATCH($F4787,계정대체기준!$D$77:$D$86,0))),"Y","N")))</f>
        <v/>
      </c>
    </row>
    <row r="4788">
      <c r="A4788" s="92" t="n">
        <v>2026</v>
      </c>
      <c r="B4788" s="92" t="n">
        <v>9</v>
      </c>
      <c r="C4788" s="92" t="inlineStr">
        <is>
          <t>5100002066</t>
        </is>
      </c>
      <c r="D4788" s="95" t="n">
        <v>46292</v>
      </c>
      <c r="E4788" s="92" t="inlineStr">
        <is>
          <t>KR</t>
        </is>
      </c>
      <c r="F4788" s="92" t="n">
        <v>62301000</v>
      </c>
      <c r="G4788" s="92" t="n">
        <v>1301</v>
      </c>
      <c r="H4788" s="93" t="n">
        <v>315000</v>
      </c>
      <c r="I4788" s="92" t="inlineStr">
        <is>
          <t>9월 소모품 구입 - R문구</t>
        </is>
      </c>
      <c r="J4788" s="92" t="inlineStr">
        <is>
          <t>V10022</t>
        </is>
      </c>
      <c r="K4788" s="92" t="inlineStr">
        <is>
          <t>R문구</t>
        </is>
      </c>
      <c r="M4788" s="9">
        <f>IF($A4788="","",VALUE($A4788&amp;"")*12+VALUE($B4788&amp;""))</f>
        <v/>
      </c>
      <c r="N4788" s="64">
        <f>IF($A4788="","",IFERROR(INDEX(부서매핑!$C$5:$C$504,MATCH($G4788&amp;"",부서매핑!$A$5:$A$504,0)),"미매핑"))</f>
        <v/>
      </c>
      <c r="O4788" s="9">
        <f>IF($A4788="","",N4788&amp;"|"&amp;$F4788)</f>
        <v/>
      </c>
      <c r="P4788" s="94">
        <f>IF($A4788="",0,$H4788*설정!$C$23)</f>
        <v/>
      </c>
      <c r="Q4788" s="64">
        <f>IF($A4788="","",IF(O4788&lt;&gt;원인분석!$C$9,"",IF(AND(M4788&gt;=원인분석!$C$10,M4788&lt;=원인분석!$C$11),"당기",IF(AND(M4788&gt;=원인분석!$C$12,M4788&lt;=원인분석!$C$13),"비교",""))))</f>
        <v/>
      </c>
      <c r="R4788" s="9">
        <f>IF(Q4788="","",$K4788&amp;"")</f>
        <v/>
      </c>
      <c r="S4788" s="9">
        <f>IF(Q4788="","",IF(MATCH(R4788,$R$5:$R$100000,0)=ROW()-4,ROW(),""))</f>
        <v/>
      </c>
      <c r="T4788" s="9">
        <f>IF(Q4788="당기",ABS(P4788)+ROW()/1000000000,"")</f>
        <v/>
      </c>
      <c r="U4788" s="9">
        <f>IF(Q4788="비교",ABS(P4788)+ROW()/1000000000,"")</f>
        <v/>
      </c>
      <c r="V4788" s="64">
        <f>IF($A4788="","",IF(COUNTIF(변동분석!$E$7:$E$506,O4788)&gt;0,"Y","N"))</f>
        <v/>
      </c>
      <c r="W4788" s="64">
        <f>IF($A4788="","",IFERROR(INDEX(계정매핑!$D$5:$D$504,MATCH($F4788&amp;"",계정매핑!$A$5:$A$504,0)),"미매핑"))</f>
        <v/>
      </c>
      <c r="X4788" s="9">
        <f>IF($A4788="","",$F4788&amp;"")</f>
        <v/>
      </c>
      <c r="Y4788" s="94">
        <f>IF($A4788="",0,IF(AE4788="직접",IF(AF4788="비귀속",$P4788,0),$P4788*(1-AG4788)*IFERROR(INDEX(계정대체기준!$F$20:$F$49,MATCH($N4788,계정대체기준!$A$20:$A$49,0)),1)))</f>
        <v/>
      </c>
      <c r="Z4788" s="94">
        <f>IF($A4788="",0,IF(AE4788="직접",IF(AF4788="신계약비",$P4788,0),$P4788*(1-AG4788)*IFERROR(INDEX(계정대체기준!$C$20:$C$49,MATCH($N4788,계정대체기준!$A$20:$A$49,0)),0)))</f>
        <v/>
      </c>
      <c r="AA4788" s="94">
        <f>IF($A4788="",0,IF(AE4788="직접",IF(OR(AF4788="유지비",AF4788="손해조사비"),$P4788,0),$P4788*(1-AG4788)*IFERROR(INDEX(계정대체기준!$D$20:$D$49,MATCH($N4788,계정대체기준!$A$20:$A$49,0)),0)))</f>
        <v/>
      </c>
      <c r="AB4788" s="94">
        <f>IF($A4788="",0,IF(AE4788="직접",IF(AF4788="수금비",$P4788,0),$P4788*(1-AG4788)*IFERROR(INDEX(계정대체기준!$E$20:$E$49,MATCH($N4788,계정대체기준!$A$20:$A$49,0)),0)))</f>
        <v/>
      </c>
      <c r="AC4788" s="9">
        <f>IF(AND($A4788&lt;&gt;"",M4788=설정!$C$20,Z4788&gt;0),Z4788+ROW()/1000000000,"")</f>
        <v/>
      </c>
      <c r="AD4788" s="94">
        <f>IF($A4788="",0,$P4788*AG4788)</f>
        <v/>
      </c>
      <c r="AE4788" s="64">
        <f>IF($A4788="","",IFERROR(INDEX(계정매핑!$E$5:$E$504,MATCH($F4788&amp;"",계정매핑!$A$5:$A$504,0))&amp;"","공통비"))</f>
        <v/>
      </c>
      <c r="AF4788" s="64">
        <f>IF($A4788="","",IF(AE4788="직접",IFERROR(INDEX(계정매핑!$F$5:$F$504,MATCH($F4788&amp;"",계정매핑!$A$5:$A$504,0))&amp;"","비귀속"),""))</f>
        <v/>
      </c>
      <c r="AG4788" s="96">
        <f>IF($A4788="",0,IF(AND(AE4788&lt;&gt;"직접",IFERROR(INDEX(계정매핑!$G$5:$G$504,MATCH($F4788&amp;"",계정매핑!$A$5:$A$504,0))&amp;"","")="유지비",COUNTIF(계정대체기준!$A$6:$A$15,$N4788)&gt;0),IFERROR(INDEX(계정대체기준!$E$6:$E$15,MATCH(VALUE($A4788&amp;""),계정대체기준!$D$6:$D$15,0)),0),0))</f>
        <v/>
      </c>
      <c r="AH4788" s="64">
        <f>IF($A4788="","",IF(AD4788=0,"",IF(OR(COUNTIF(계정대체기준!$A$77:$A$86,$N4788)&gt;0,ISNUMBER(MATCH($X4788,계정대체기준!$D$77:$D$86,0)),ISNUMBER(MATCH($F4788,계정대체기준!$D$77:$D$86,0))),"Y","N")))</f>
        <v/>
      </c>
    </row>
    <row r="4789">
      <c r="A4789" s="92" t="n">
        <v>2026</v>
      </c>
      <c r="B4789" s="92" t="n">
        <v>9</v>
      </c>
      <c r="C4789" s="92" t="inlineStr">
        <is>
          <t>5100002067</t>
        </is>
      </c>
      <c r="D4789" s="95" t="n">
        <v>46292</v>
      </c>
      <c r="E4789" s="92" t="inlineStr">
        <is>
          <t>KR</t>
        </is>
      </c>
      <c r="F4789" s="92" t="n">
        <v>62802000</v>
      </c>
      <c r="G4789" s="92" t="n">
        <v>1301</v>
      </c>
      <c r="H4789" s="93" t="n">
        <v>5128000</v>
      </c>
      <c r="I4789" s="92" t="inlineStr">
        <is>
          <t>9월 위탁교육 - V아카데미</t>
        </is>
      </c>
      <c r="J4789" s="92" t="inlineStr">
        <is>
          <t>V10027</t>
        </is>
      </c>
      <c r="K4789" s="92" t="inlineStr">
        <is>
          <t>V아카데미</t>
        </is>
      </c>
      <c r="M4789" s="9">
        <f>IF($A4789="","",VALUE($A4789&amp;"")*12+VALUE($B4789&amp;""))</f>
        <v/>
      </c>
      <c r="N4789" s="64">
        <f>IF($A4789="","",IFERROR(INDEX(부서매핑!$C$5:$C$504,MATCH($G4789&amp;"",부서매핑!$A$5:$A$504,0)),"미매핑"))</f>
        <v/>
      </c>
      <c r="O4789" s="9">
        <f>IF($A4789="","",N4789&amp;"|"&amp;$F4789)</f>
        <v/>
      </c>
      <c r="P4789" s="94">
        <f>IF($A4789="",0,$H4789*설정!$C$23)</f>
        <v/>
      </c>
      <c r="Q4789" s="64">
        <f>IF($A4789="","",IF(O4789&lt;&gt;원인분석!$C$9,"",IF(AND(M4789&gt;=원인분석!$C$10,M4789&lt;=원인분석!$C$11),"당기",IF(AND(M4789&gt;=원인분석!$C$12,M4789&lt;=원인분석!$C$13),"비교",""))))</f>
        <v/>
      </c>
      <c r="R4789" s="9">
        <f>IF(Q4789="","",$K4789&amp;"")</f>
        <v/>
      </c>
      <c r="S4789" s="9">
        <f>IF(Q4789="","",IF(MATCH(R4789,$R$5:$R$100000,0)=ROW()-4,ROW(),""))</f>
        <v/>
      </c>
      <c r="T4789" s="9">
        <f>IF(Q4789="당기",ABS(P4789)+ROW()/1000000000,"")</f>
        <v/>
      </c>
      <c r="U4789" s="9">
        <f>IF(Q4789="비교",ABS(P4789)+ROW()/1000000000,"")</f>
        <v/>
      </c>
      <c r="V4789" s="64">
        <f>IF($A4789="","",IF(COUNTIF(변동분석!$E$7:$E$506,O4789)&gt;0,"Y","N"))</f>
        <v/>
      </c>
      <c r="W4789" s="64">
        <f>IF($A4789="","",IFERROR(INDEX(계정매핑!$D$5:$D$504,MATCH($F4789&amp;"",계정매핑!$A$5:$A$504,0)),"미매핑"))</f>
        <v/>
      </c>
      <c r="X4789" s="9">
        <f>IF($A4789="","",$F4789&amp;"")</f>
        <v/>
      </c>
      <c r="Y4789" s="94">
        <f>IF($A4789="",0,IF(AE4789="직접",IF(AF4789="비귀속",$P4789,0),$P4789*(1-AG4789)*IFERROR(INDEX(계정대체기준!$F$20:$F$49,MATCH($N4789,계정대체기준!$A$20:$A$49,0)),1)))</f>
        <v/>
      </c>
      <c r="Z4789" s="94">
        <f>IF($A4789="",0,IF(AE4789="직접",IF(AF4789="신계약비",$P4789,0),$P4789*(1-AG4789)*IFERROR(INDEX(계정대체기준!$C$20:$C$49,MATCH($N4789,계정대체기준!$A$20:$A$49,0)),0)))</f>
        <v/>
      </c>
      <c r="AA4789" s="94">
        <f>IF($A4789="",0,IF(AE4789="직접",IF(OR(AF4789="유지비",AF4789="손해조사비"),$P4789,0),$P4789*(1-AG4789)*IFERROR(INDEX(계정대체기준!$D$20:$D$49,MATCH($N4789,계정대체기준!$A$20:$A$49,0)),0)))</f>
        <v/>
      </c>
      <c r="AB4789" s="94">
        <f>IF($A4789="",0,IF(AE4789="직접",IF(AF4789="수금비",$P4789,0),$P4789*(1-AG4789)*IFERROR(INDEX(계정대체기준!$E$20:$E$49,MATCH($N4789,계정대체기준!$A$20:$A$49,0)),0)))</f>
        <v/>
      </c>
      <c r="AC4789" s="9">
        <f>IF(AND($A4789&lt;&gt;"",M4789=설정!$C$20,Z4789&gt;0),Z4789+ROW()/1000000000,"")</f>
        <v/>
      </c>
      <c r="AD4789" s="94">
        <f>IF($A4789="",0,$P4789*AG4789)</f>
        <v/>
      </c>
      <c r="AE4789" s="64">
        <f>IF($A4789="","",IFERROR(INDEX(계정매핑!$E$5:$E$504,MATCH($F4789&amp;"",계정매핑!$A$5:$A$504,0))&amp;"","공통비"))</f>
        <v/>
      </c>
      <c r="AF4789" s="64">
        <f>IF($A4789="","",IF(AE4789="직접",IFERROR(INDEX(계정매핑!$F$5:$F$504,MATCH($F4789&amp;"",계정매핑!$A$5:$A$504,0))&amp;"","비귀속"),""))</f>
        <v/>
      </c>
      <c r="AG4789" s="96">
        <f>IF($A4789="",0,IF(AND(AE4789&lt;&gt;"직접",IFERROR(INDEX(계정매핑!$G$5:$G$504,MATCH($F4789&amp;"",계정매핑!$A$5:$A$504,0))&amp;"","")="유지비",COUNTIF(계정대체기준!$A$6:$A$15,$N4789)&gt;0),IFERROR(INDEX(계정대체기준!$E$6:$E$15,MATCH(VALUE($A4789&amp;""),계정대체기준!$D$6:$D$15,0)),0),0))</f>
        <v/>
      </c>
      <c r="AH4789" s="64">
        <f>IF($A4789="","",IF(AD4789=0,"",IF(OR(COUNTIF(계정대체기준!$A$77:$A$86,$N4789)&gt;0,ISNUMBER(MATCH($X4789,계정대체기준!$D$77:$D$86,0)),ISNUMBER(MATCH($F4789,계정대체기준!$D$77:$D$86,0))),"Y","N")))</f>
        <v/>
      </c>
    </row>
    <row r="4790">
      <c r="A4790" s="92" t="n">
        <v>2026</v>
      </c>
      <c r="B4790" s="92" t="n">
        <v>9</v>
      </c>
      <c r="C4790" s="92" t="inlineStr">
        <is>
          <t>5100002068</t>
        </is>
      </c>
      <c r="D4790" s="95" t="n">
        <v>46292</v>
      </c>
      <c r="E4790" s="92" t="inlineStr">
        <is>
          <t>KR</t>
        </is>
      </c>
      <c r="F4790" s="92" t="n">
        <v>62901000</v>
      </c>
      <c r="G4790" s="92" t="n">
        <v>1951</v>
      </c>
      <c r="H4790" s="93" t="n">
        <v>5407000</v>
      </c>
      <c r="I4790" s="92" t="inlineStr">
        <is>
          <t>9월 자문 수수료 - W컨설팅</t>
        </is>
      </c>
      <c r="J4790" s="92" t="inlineStr">
        <is>
          <t>V10006</t>
        </is>
      </c>
      <c r="K4790" s="92" t="inlineStr">
        <is>
          <t>W컨설팅</t>
        </is>
      </c>
      <c r="M4790" s="9">
        <f>IF($A4790="","",VALUE($A4790&amp;"")*12+VALUE($B4790&amp;""))</f>
        <v/>
      </c>
      <c r="N4790" s="64">
        <f>IF($A4790="","",IFERROR(INDEX(부서매핑!$C$5:$C$504,MATCH($G4790&amp;"",부서매핑!$A$5:$A$504,0)),"미매핑"))</f>
        <v/>
      </c>
      <c r="O4790" s="9">
        <f>IF($A4790="","",N4790&amp;"|"&amp;$F4790)</f>
        <v/>
      </c>
      <c r="P4790" s="94">
        <f>IF($A4790="",0,$H4790*설정!$C$23)</f>
        <v/>
      </c>
      <c r="Q4790" s="64">
        <f>IF($A4790="","",IF(O4790&lt;&gt;원인분석!$C$9,"",IF(AND(M4790&gt;=원인분석!$C$10,M4790&lt;=원인분석!$C$11),"당기",IF(AND(M4790&gt;=원인분석!$C$12,M4790&lt;=원인분석!$C$13),"비교",""))))</f>
        <v/>
      </c>
      <c r="R4790" s="9">
        <f>IF(Q4790="","",$K4790&amp;"")</f>
        <v/>
      </c>
      <c r="S4790" s="9">
        <f>IF(Q4790="","",IF(MATCH(R4790,$R$5:$R$100000,0)=ROW()-4,ROW(),""))</f>
        <v/>
      </c>
      <c r="T4790" s="9">
        <f>IF(Q4790="당기",ABS(P4790)+ROW()/1000000000,"")</f>
        <v/>
      </c>
      <c r="U4790" s="9">
        <f>IF(Q4790="비교",ABS(P4790)+ROW()/1000000000,"")</f>
        <v/>
      </c>
      <c r="V4790" s="64">
        <f>IF($A4790="","",IF(COUNTIF(변동분석!$E$7:$E$506,O4790)&gt;0,"Y","N"))</f>
        <v/>
      </c>
      <c r="W4790" s="64">
        <f>IF($A4790="","",IFERROR(INDEX(계정매핑!$D$5:$D$504,MATCH($F4790&amp;"",계정매핑!$A$5:$A$504,0)),"미매핑"))</f>
        <v/>
      </c>
      <c r="X4790" s="9">
        <f>IF($A4790="","",$F4790&amp;"")</f>
        <v/>
      </c>
      <c r="Y4790" s="94">
        <f>IF($A4790="",0,IF(AE4790="직접",IF(AF4790="비귀속",$P4790,0),$P4790*(1-AG4790)*IFERROR(INDEX(계정대체기준!$F$20:$F$49,MATCH($N4790,계정대체기준!$A$20:$A$49,0)),1)))</f>
        <v/>
      </c>
      <c r="Z4790" s="94">
        <f>IF($A4790="",0,IF(AE4790="직접",IF(AF4790="신계약비",$P4790,0),$P4790*(1-AG4790)*IFERROR(INDEX(계정대체기준!$C$20:$C$49,MATCH($N4790,계정대체기준!$A$20:$A$49,0)),0)))</f>
        <v/>
      </c>
      <c r="AA4790" s="94">
        <f>IF($A4790="",0,IF(AE4790="직접",IF(OR(AF4790="유지비",AF4790="손해조사비"),$P4790,0),$P4790*(1-AG4790)*IFERROR(INDEX(계정대체기준!$D$20:$D$49,MATCH($N4790,계정대체기준!$A$20:$A$49,0)),0)))</f>
        <v/>
      </c>
      <c r="AB4790" s="94">
        <f>IF($A4790="",0,IF(AE4790="직접",IF(AF4790="수금비",$P4790,0),$P4790*(1-AG4790)*IFERROR(INDEX(계정대체기준!$E$20:$E$49,MATCH($N4790,계정대체기준!$A$20:$A$49,0)),0)))</f>
        <v/>
      </c>
      <c r="AC4790" s="9">
        <f>IF(AND($A4790&lt;&gt;"",M4790=설정!$C$20,Z4790&gt;0),Z4790+ROW()/1000000000,"")</f>
        <v/>
      </c>
      <c r="AD4790" s="94">
        <f>IF($A4790="",0,$P4790*AG4790)</f>
        <v/>
      </c>
      <c r="AE4790" s="64">
        <f>IF($A4790="","",IFERROR(INDEX(계정매핑!$E$5:$E$504,MATCH($F4790&amp;"",계정매핑!$A$5:$A$504,0))&amp;"","공통비"))</f>
        <v/>
      </c>
      <c r="AF4790" s="64">
        <f>IF($A4790="","",IF(AE4790="직접",IFERROR(INDEX(계정매핑!$F$5:$F$504,MATCH($F4790&amp;"",계정매핑!$A$5:$A$504,0))&amp;"","비귀속"),""))</f>
        <v/>
      </c>
      <c r="AG4790" s="96">
        <f>IF($A4790="",0,IF(AND(AE4790&lt;&gt;"직접",IFERROR(INDEX(계정매핑!$G$5:$G$504,MATCH($F4790&amp;"",계정매핑!$A$5:$A$504,0))&amp;"","")="유지비",COUNTIF(계정대체기준!$A$6:$A$15,$N4790)&gt;0),IFERROR(INDEX(계정대체기준!$E$6:$E$15,MATCH(VALUE($A4790&amp;""),계정대체기준!$D$6:$D$15,0)),0),0))</f>
        <v/>
      </c>
      <c r="AH4790" s="64">
        <f>IF($A4790="","",IF(AD4790=0,"",IF(OR(COUNTIF(계정대체기준!$A$77:$A$86,$N4790)&gt;0,ISNUMBER(MATCH($X4790,계정대체기준!$D$77:$D$86,0)),ISNUMBER(MATCH($F4790,계정대체기준!$D$77:$D$86,0))),"Y","N")))</f>
        <v/>
      </c>
    </row>
    <row r="4791">
      <c r="A4791" s="92" t="n">
        <v>2026</v>
      </c>
      <c r="B4791" s="92" t="n">
        <v>9</v>
      </c>
      <c r="C4791" s="92" t="inlineStr">
        <is>
          <t>5100002069</t>
        </is>
      </c>
      <c r="D4791" s="95" t="n">
        <v>46292</v>
      </c>
      <c r="E4791" s="92" t="inlineStr">
        <is>
          <t>KR</t>
        </is>
      </c>
      <c r="F4791" s="92" t="n">
        <v>62902000</v>
      </c>
      <c r="G4791" s="92" t="n">
        <v>1801</v>
      </c>
      <c r="H4791" s="93" t="n">
        <v>1777000</v>
      </c>
      <c r="I4791" s="92" t="inlineStr">
        <is>
          <t>9월 콜 위탁 수수료(건별)</t>
        </is>
      </c>
      <c r="J4791" s="92" t="inlineStr">
        <is>
          <t>V10016</t>
        </is>
      </c>
      <c r="K4791" s="92" t="inlineStr">
        <is>
          <t>J콜센터</t>
        </is>
      </c>
      <c r="M4791" s="9">
        <f>IF($A4791="","",VALUE($A4791&amp;"")*12+VALUE($B4791&amp;""))</f>
        <v/>
      </c>
      <c r="N4791" s="64">
        <f>IF($A4791="","",IFERROR(INDEX(부서매핑!$C$5:$C$504,MATCH($G4791&amp;"",부서매핑!$A$5:$A$504,0)),"미매핑"))</f>
        <v/>
      </c>
      <c r="O4791" s="9">
        <f>IF($A4791="","",N4791&amp;"|"&amp;$F4791)</f>
        <v/>
      </c>
      <c r="P4791" s="94">
        <f>IF($A4791="",0,$H4791*설정!$C$23)</f>
        <v/>
      </c>
      <c r="Q4791" s="64">
        <f>IF($A4791="","",IF(O4791&lt;&gt;원인분석!$C$9,"",IF(AND(M4791&gt;=원인분석!$C$10,M4791&lt;=원인분석!$C$11),"당기",IF(AND(M4791&gt;=원인분석!$C$12,M4791&lt;=원인분석!$C$13),"비교",""))))</f>
        <v/>
      </c>
      <c r="R4791" s="9">
        <f>IF(Q4791="","",$K4791&amp;"")</f>
        <v/>
      </c>
      <c r="S4791" s="9">
        <f>IF(Q4791="","",IF(MATCH(R4791,$R$5:$R$100000,0)=ROW()-4,ROW(),""))</f>
        <v/>
      </c>
      <c r="T4791" s="9">
        <f>IF(Q4791="당기",ABS(P4791)+ROW()/1000000000,"")</f>
        <v/>
      </c>
      <c r="U4791" s="9">
        <f>IF(Q4791="비교",ABS(P4791)+ROW()/1000000000,"")</f>
        <v/>
      </c>
      <c r="V4791" s="64">
        <f>IF($A4791="","",IF(COUNTIF(변동분석!$E$7:$E$506,O4791)&gt;0,"Y","N"))</f>
        <v/>
      </c>
      <c r="W4791" s="64">
        <f>IF($A4791="","",IFERROR(INDEX(계정매핑!$D$5:$D$504,MATCH($F4791&amp;"",계정매핑!$A$5:$A$504,0)),"미매핑"))</f>
        <v/>
      </c>
      <c r="X4791" s="9">
        <f>IF($A4791="","",$F4791&amp;"")</f>
        <v/>
      </c>
      <c r="Y4791" s="94">
        <f>IF($A4791="",0,IF(AE4791="직접",IF(AF4791="비귀속",$P4791,0),$P4791*(1-AG4791)*IFERROR(INDEX(계정대체기준!$F$20:$F$49,MATCH($N4791,계정대체기준!$A$20:$A$49,0)),1)))</f>
        <v/>
      </c>
      <c r="Z4791" s="94">
        <f>IF($A4791="",0,IF(AE4791="직접",IF(AF4791="신계약비",$P4791,0),$P4791*(1-AG4791)*IFERROR(INDEX(계정대체기준!$C$20:$C$49,MATCH($N4791,계정대체기준!$A$20:$A$49,0)),0)))</f>
        <v/>
      </c>
      <c r="AA4791" s="94">
        <f>IF($A4791="",0,IF(AE4791="직접",IF(OR(AF4791="유지비",AF4791="손해조사비"),$P4791,0),$P4791*(1-AG4791)*IFERROR(INDEX(계정대체기준!$D$20:$D$49,MATCH($N4791,계정대체기준!$A$20:$A$49,0)),0)))</f>
        <v/>
      </c>
      <c r="AB4791" s="94">
        <f>IF($A4791="",0,IF(AE4791="직접",IF(AF4791="수금비",$P4791,0),$P4791*(1-AG4791)*IFERROR(INDEX(계정대체기준!$E$20:$E$49,MATCH($N4791,계정대체기준!$A$20:$A$49,0)),0)))</f>
        <v/>
      </c>
      <c r="AC4791" s="9">
        <f>IF(AND($A4791&lt;&gt;"",M4791=설정!$C$20,Z4791&gt;0),Z4791+ROW()/1000000000,"")</f>
        <v/>
      </c>
      <c r="AD4791" s="94">
        <f>IF($A4791="",0,$P4791*AG4791)</f>
        <v/>
      </c>
      <c r="AE4791" s="64">
        <f>IF($A4791="","",IFERROR(INDEX(계정매핑!$E$5:$E$504,MATCH($F4791&amp;"",계정매핑!$A$5:$A$504,0))&amp;"","공통비"))</f>
        <v/>
      </c>
      <c r="AF4791" s="64">
        <f>IF($A4791="","",IF(AE4791="직접",IFERROR(INDEX(계정매핑!$F$5:$F$504,MATCH($F4791&amp;"",계정매핑!$A$5:$A$504,0))&amp;"","비귀속"),""))</f>
        <v/>
      </c>
      <c r="AG4791" s="96">
        <f>IF($A4791="",0,IF(AND(AE4791&lt;&gt;"직접",IFERROR(INDEX(계정매핑!$G$5:$G$504,MATCH($F4791&amp;"",계정매핑!$A$5:$A$504,0))&amp;"","")="유지비",COUNTIF(계정대체기준!$A$6:$A$15,$N4791)&gt;0),IFERROR(INDEX(계정대체기준!$E$6:$E$15,MATCH(VALUE($A4791&amp;""),계정대체기준!$D$6:$D$15,0)),0),0))</f>
        <v/>
      </c>
      <c r="AH4791" s="64">
        <f>IF($A4791="","",IF(AD4791=0,"",IF(OR(COUNTIF(계정대체기준!$A$77:$A$86,$N4791)&gt;0,ISNUMBER(MATCH($X4791,계정대체기준!$D$77:$D$86,0)),ISNUMBER(MATCH($F4791,계정대체기준!$D$77:$D$86,0))),"Y","N")))</f>
        <v/>
      </c>
    </row>
    <row r="4792">
      <c r="A4792" s="92" t="n">
        <v>2026</v>
      </c>
      <c r="B4792" s="92" t="n">
        <v>9</v>
      </c>
      <c r="C4792" s="92" t="inlineStr">
        <is>
          <t>5100002070</t>
        </is>
      </c>
      <c r="D4792" s="95" t="n">
        <v>46292</v>
      </c>
      <c r="E4792" s="92" t="inlineStr">
        <is>
          <t>KR</t>
        </is>
      </c>
      <c r="F4792" s="92" t="n">
        <v>63502000</v>
      </c>
      <c r="G4792" s="92" t="n">
        <v>1902</v>
      </c>
      <c r="H4792" s="93" t="n">
        <v>173153000</v>
      </c>
      <c r="I4792" s="92" t="inlineStr">
        <is>
          <t>9월 유지수수료 - CC금융서비스</t>
        </is>
      </c>
      <c r="J4792" s="92" t="inlineStr">
        <is>
          <t>V10029</t>
        </is>
      </c>
      <c r="K4792" s="92" t="inlineStr">
        <is>
          <t>CC금융서비스</t>
        </is>
      </c>
      <c r="M4792" s="9">
        <f>IF($A4792="","",VALUE($A4792&amp;"")*12+VALUE($B4792&amp;""))</f>
        <v/>
      </c>
      <c r="N4792" s="64">
        <f>IF($A4792="","",IFERROR(INDEX(부서매핑!$C$5:$C$504,MATCH($G4792&amp;"",부서매핑!$A$5:$A$504,0)),"미매핑"))</f>
        <v/>
      </c>
      <c r="O4792" s="9">
        <f>IF($A4792="","",N4792&amp;"|"&amp;$F4792)</f>
        <v/>
      </c>
      <c r="P4792" s="94">
        <f>IF($A4792="",0,$H4792*설정!$C$23)</f>
        <v/>
      </c>
      <c r="Q4792" s="64">
        <f>IF($A4792="","",IF(O4792&lt;&gt;원인분석!$C$9,"",IF(AND(M4792&gt;=원인분석!$C$10,M4792&lt;=원인분석!$C$11),"당기",IF(AND(M4792&gt;=원인분석!$C$12,M4792&lt;=원인분석!$C$13),"비교",""))))</f>
        <v/>
      </c>
      <c r="R4792" s="9">
        <f>IF(Q4792="","",$K4792&amp;"")</f>
        <v/>
      </c>
      <c r="S4792" s="9">
        <f>IF(Q4792="","",IF(MATCH(R4792,$R$5:$R$100000,0)=ROW()-4,ROW(),""))</f>
        <v/>
      </c>
      <c r="T4792" s="9">
        <f>IF(Q4792="당기",ABS(P4792)+ROW()/1000000000,"")</f>
        <v/>
      </c>
      <c r="U4792" s="9">
        <f>IF(Q4792="비교",ABS(P4792)+ROW()/1000000000,"")</f>
        <v/>
      </c>
      <c r="V4792" s="64">
        <f>IF($A4792="","",IF(COUNTIF(변동분석!$E$7:$E$506,O4792)&gt;0,"Y","N"))</f>
        <v/>
      </c>
      <c r="W4792" s="64">
        <f>IF($A4792="","",IFERROR(INDEX(계정매핑!$D$5:$D$504,MATCH($F4792&amp;"",계정매핑!$A$5:$A$504,0)),"미매핑"))</f>
        <v/>
      </c>
      <c r="X4792" s="9">
        <f>IF($A4792="","",$F4792&amp;"")</f>
        <v/>
      </c>
      <c r="Y4792" s="94">
        <f>IF($A4792="",0,IF(AE4792="직접",IF(AF4792="비귀속",$P4792,0),$P4792*(1-AG4792)*IFERROR(INDEX(계정대체기준!$F$20:$F$49,MATCH($N4792,계정대체기준!$A$20:$A$49,0)),1)))</f>
        <v/>
      </c>
      <c r="Z4792" s="94">
        <f>IF($A4792="",0,IF(AE4792="직접",IF(AF4792="신계약비",$P4792,0),$P4792*(1-AG4792)*IFERROR(INDEX(계정대체기준!$C$20:$C$49,MATCH($N4792,계정대체기준!$A$20:$A$49,0)),0)))</f>
        <v/>
      </c>
      <c r="AA4792" s="94">
        <f>IF($A4792="",0,IF(AE4792="직접",IF(OR(AF4792="유지비",AF4792="손해조사비"),$P4792,0),$P4792*(1-AG4792)*IFERROR(INDEX(계정대체기준!$D$20:$D$49,MATCH($N4792,계정대체기준!$A$20:$A$49,0)),0)))</f>
        <v/>
      </c>
      <c r="AB4792" s="94">
        <f>IF($A4792="",0,IF(AE4792="직접",IF(AF4792="수금비",$P4792,0),$P4792*(1-AG4792)*IFERROR(INDEX(계정대체기준!$E$20:$E$49,MATCH($N4792,계정대체기준!$A$20:$A$49,0)),0)))</f>
        <v/>
      </c>
      <c r="AC4792" s="9">
        <f>IF(AND($A4792&lt;&gt;"",M4792=설정!$C$20,Z4792&gt;0),Z4792+ROW()/1000000000,"")</f>
        <v/>
      </c>
      <c r="AD4792" s="94">
        <f>IF($A4792="",0,$P4792*AG4792)</f>
        <v/>
      </c>
      <c r="AE4792" s="64">
        <f>IF($A4792="","",IFERROR(INDEX(계정매핑!$E$5:$E$504,MATCH($F4792&amp;"",계정매핑!$A$5:$A$504,0))&amp;"","공통비"))</f>
        <v/>
      </c>
      <c r="AF4792" s="64">
        <f>IF($A4792="","",IF(AE4792="직접",IFERROR(INDEX(계정매핑!$F$5:$F$504,MATCH($F4792&amp;"",계정매핑!$A$5:$A$504,0))&amp;"","비귀속"),""))</f>
        <v/>
      </c>
      <c r="AG4792" s="96">
        <f>IF($A4792="",0,IF(AND(AE4792&lt;&gt;"직접",IFERROR(INDEX(계정매핑!$G$5:$G$504,MATCH($F4792&amp;"",계정매핑!$A$5:$A$504,0))&amp;"","")="유지비",COUNTIF(계정대체기준!$A$6:$A$15,$N4792)&gt;0),IFERROR(INDEX(계정대체기준!$E$6:$E$15,MATCH(VALUE($A4792&amp;""),계정대체기준!$D$6:$D$15,0)),0),0))</f>
        <v/>
      </c>
      <c r="AH4792" s="64">
        <f>IF($A4792="","",IF(AD4792=0,"",IF(OR(COUNTIF(계정대체기준!$A$77:$A$86,$N4792)&gt;0,ISNUMBER(MATCH($X4792,계정대체기준!$D$77:$D$86,0)),ISNUMBER(MATCH($F4792,계정대체기준!$D$77:$D$86,0))),"Y","N")))</f>
        <v/>
      </c>
    </row>
    <row r="4793">
      <c r="A4793" s="92" t="n">
        <v>2026</v>
      </c>
      <c r="B4793" s="92" t="n">
        <v>9</v>
      </c>
      <c r="C4793" s="92" t="inlineStr">
        <is>
          <t>100002071</t>
        </is>
      </c>
      <c r="D4793" s="95" t="n">
        <v>46293</v>
      </c>
      <c r="E4793" s="92" t="inlineStr">
        <is>
          <t>SA</t>
        </is>
      </c>
      <c r="F4793" s="92" t="n">
        <v>62901000</v>
      </c>
      <c r="G4793" s="92" t="n">
        <v>1101</v>
      </c>
      <c r="H4793" s="93" t="n">
        <v>-25000000</v>
      </c>
      <c r="I4793" s="92" t="inlineStr">
        <is>
          <t>재무회계팀으로 회계자문료 재분류 (8월분)</t>
        </is>
      </c>
      <c r="J4793" s="92" t="inlineStr">
        <is>
          <t>V10038</t>
        </is>
      </c>
      <c r="K4793" s="92" t="inlineStr">
        <is>
          <t>(내부대체)</t>
        </is>
      </c>
      <c r="M4793" s="9">
        <f>IF($A4793="","",VALUE($A4793&amp;"")*12+VALUE($B4793&amp;""))</f>
        <v/>
      </c>
      <c r="N4793" s="64">
        <f>IF($A4793="","",IFERROR(INDEX(부서매핑!$C$5:$C$504,MATCH($G4793&amp;"",부서매핑!$A$5:$A$504,0)),"미매핑"))</f>
        <v/>
      </c>
      <c r="O4793" s="9">
        <f>IF($A4793="","",N4793&amp;"|"&amp;$F4793)</f>
        <v/>
      </c>
      <c r="P4793" s="94">
        <f>IF($A4793="",0,$H4793*설정!$C$23)</f>
        <v/>
      </c>
      <c r="Q4793" s="64">
        <f>IF($A4793="","",IF(O4793&lt;&gt;원인분석!$C$9,"",IF(AND(M4793&gt;=원인분석!$C$10,M4793&lt;=원인분석!$C$11),"당기",IF(AND(M4793&gt;=원인분석!$C$12,M4793&lt;=원인분석!$C$13),"비교",""))))</f>
        <v/>
      </c>
      <c r="R4793" s="9">
        <f>IF(Q4793="","",$K4793&amp;"")</f>
        <v/>
      </c>
      <c r="S4793" s="9">
        <f>IF(Q4793="","",IF(MATCH(R4793,$R$5:$R$100000,0)=ROW()-4,ROW(),""))</f>
        <v/>
      </c>
      <c r="T4793" s="9">
        <f>IF(Q4793="당기",ABS(P4793)+ROW()/1000000000,"")</f>
        <v/>
      </c>
      <c r="U4793" s="9">
        <f>IF(Q4793="비교",ABS(P4793)+ROW()/1000000000,"")</f>
        <v/>
      </c>
      <c r="V4793" s="64">
        <f>IF($A4793="","",IF(COUNTIF(변동분석!$E$7:$E$506,O4793)&gt;0,"Y","N"))</f>
        <v/>
      </c>
      <c r="W4793" s="64">
        <f>IF($A4793="","",IFERROR(INDEX(계정매핑!$D$5:$D$504,MATCH($F4793&amp;"",계정매핑!$A$5:$A$504,0)),"미매핑"))</f>
        <v/>
      </c>
      <c r="X4793" s="9">
        <f>IF($A4793="","",$F4793&amp;"")</f>
        <v/>
      </c>
      <c r="Y4793" s="94">
        <f>IF($A4793="",0,IF(AE4793="직접",IF(AF4793="비귀속",$P4793,0),$P4793*(1-AG4793)*IFERROR(INDEX(계정대체기준!$F$20:$F$49,MATCH($N4793,계정대체기준!$A$20:$A$49,0)),1)))</f>
        <v/>
      </c>
      <c r="Z4793" s="94">
        <f>IF($A4793="",0,IF(AE4793="직접",IF(AF4793="신계약비",$P4793,0),$P4793*(1-AG4793)*IFERROR(INDEX(계정대체기준!$C$20:$C$49,MATCH($N4793,계정대체기준!$A$20:$A$49,0)),0)))</f>
        <v/>
      </c>
      <c r="AA4793" s="94">
        <f>IF($A4793="",0,IF(AE4793="직접",IF(OR(AF4793="유지비",AF4793="손해조사비"),$P4793,0),$P4793*(1-AG4793)*IFERROR(INDEX(계정대체기준!$D$20:$D$49,MATCH($N4793,계정대체기준!$A$20:$A$49,0)),0)))</f>
        <v/>
      </c>
      <c r="AB4793" s="94">
        <f>IF($A4793="",0,IF(AE4793="직접",IF(AF4793="수금비",$P4793,0),$P4793*(1-AG4793)*IFERROR(INDEX(계정대체기준!$E$20:$E$49,MATCH($N4793,계정대체기준!$A$20:$A$49,0)),0)))</f>
        <v/>
      </c>
      <c r="AC4793" s="9">
        <f>IF(AND($A4793&lt;&gt;"",M4793=설정!$C$20,Z4793&gt;0),Z4793+ROW()/1000000000,"")</f>
        <v/>
      </c>
      <c r="AD4793" s="94">
        <f>IF($A4793="",0,$P4793*AG4793)</f>
        <v/>
      </c>
      <c r="AE4793" s="64">
        <f>IF($A4793="","",IFERROR(INDEX(계정매핑!$E$5:$E$504,MATCH($F4793&amp;"",계정매핑!$A$5:$A$504,0))&amp;"","공통비"))</f>
        <v/>
      </c>
      <c r="AF4793" s="64">
        <f>IF($A4793="","",IF(AE4793="직접",IFERROR(INDEX(계정매핑!$F$5:$F$504,MATCH($F4793&amp;"",계정매핑!$A$5:$A$504,0))&amp;"","비귀속"),""))</f>
        <v/>
      </c>
      <c r="AG4793" s="96">
        <f>IF($A4793="",0,IF(AND(AE4793&lt;&gt;"직접",IFERROR(INDEX(계정매핑!$G$5:$G$504,MATCH($F4793&amp;"",계정매핑!$A$5:$A$504,0))&amp;"","")="유지비",COUNTIF(계정대체기준!$A$6:$A$15,$N4793)&gt;0),IFERROR(INDEX(계정대체기준!$E$6:$E$15,MATCH(VALUE($A4793&amp;""),계정대체기준!$D$6:$D$15,0)),0),0))</f>
        <v/>
      </c>
      <c r="AH4793" s="64">
        <f>IF($A4793="","",IF(AD4793=0,"",IF(OR(COUNTIF(계정대체기준!$A$77:$A$86,$N4793)&gt;0,ISNUMBER(MATCH($X4793,계정대체기준!$D$77:$D$86,0)),ISNUMBER(MATCH($F4793,계정대체기준!$D$77:$D$86,0))),"Y","N")))</f>
        <v/>
      </c>
    </row>
    <row r="4794">
      <c r="A4794" s="92" t="n">
        <v>2026</v>
      </c>
      <c r="B4794" s="92" t="n">
        <v>9</v>
      </c>
      <c r="C4794" s="92" t="inlineStr">
        <is>
          <t>100002072</t>
        </is>
      </c>
      <c r="D4794" s="95" t="n">
        <v>46293</v>
      </c>
      <c r="E4794" s="92" t="inlineStr">
        <is>
          <t>SA</t>
        </is>
      </c>
      <c r="F4794" s="92" t="n">
        <v>62901000</v>
      </c>
      <c r="G4794" s="92" t="n">
        <v>1201</v>
      </c>
      <c r="H4794" s="93" t="n">
        <v>25000000</v>
      </c>
      <c r="I4794" s="92" t="inlineStr">
        <is>
          <t>경영기획팀 회계자문료 재분류 (8월분)</t>
        </is>
      </c>
      <c r="J4794" s="92" t="inlineStr">
        <is>
          <t>V10038</t>
        </is>
      </c>
      <c r="K4794" s="92" t="inlineStr">
        <is>
          <t>(내부대체)</t>
        </is>
      </c>
      <c r="M4794" s="9">
        <f>IF($A4794="","",VALUE($A4794&amp;"")*12+VALUE($B4794&amp;""))</f>
        <v/>
      </c>
      <c r="N4794" s="64">
        <f>IF($A4794="","",IFERROR(INDEX(부서매핑!$C$5:$C$504,MATCH($G4794&amp;"",부서매핑!$A$5:$A$504,0)),"미매핑"))</f>
        <v/>
      </c>
      <c r="O4794" s="9">
        <f>IF($A4794="","",N4794&amp;"|"&amp;$F4794)</f>
        <v/>
      </c>
      <c r="P4794" s="94">
        <f>IF($A4794="",0,$H4794*설정!$C$23)</f>
        <v/>
      </c>
      <c r="Q4794" s="64">
        <f>IF($A4794="","",IF(O4794&lt;&gt;원인분석!$C$9,"",IF(AND(M4794&gt;=원인분석!$C$10,M4794&lt;=원인분석!$C$11),"당기",IF(AND(M4794&gt;=원인분석!$C$12,M4794&lt;=원인분석!$C$13),"비교",""))))</f>
        <v/>
      </c>
      <c r="R4794" s="9">
        <f>IF(Q4794="","",$K4794&amp;"")</f>
        <v/>
      </c>
      <c r="S4794" s="9">
        <f>IF(Q4794="","",IF(MATCH(R4794,$R$5:$R$100000,0)=ROW()-4,ROW(),""))</f>
        <v/>
      </c>
      <c r="T4794" s="9">
        <f>IF(Q4794="당기",ABS(P4794)+ROW()/1000000000,"")</f>
        <v/>
      </c>
      <c r="U4794" s="9">
        <f>IF(Q4794="비교",ABS(P4794)+ROW()/1000000000,"")</f>
        <v/>
      </c>
      <c r="V4794" s="64">
        <f>IF($A4794="","",IF(COUNTIF(변동분석!$E$7:$E$506,O4794)&gt;0,"Y","N"))</f>
        <v/>
      </c>
      <c r="W4794" s="64">
        <f>IF($A4794="","",IFERROR(INDEX(계정매핑!$D$5:$D$504,MATCH($F4794&amp;"",계정매핑!$A$5:$A$504,0)),"미매핑"))</f>
        <v/>
      </c>
      <c r="X4794" s="9">
        <f>IF($A4794="","",$F4794&amp;"")</f>
        <v/>
      </c>
      <c r="Y4794" s="94">
        <f>IF($A4794="",0,IF(AE4794="직접",IF(AF4794="비귀속",$P4794,0),$P4794*(1-AG4794)*IFERROR(INDEX(계정대체기준!$F$20:$F$49,MATCH($N4794,계정대체기준!$A$20:$A$49,0)),1)))</f>
        <v/>
      </c>
      <c r="Z4794" s="94">
        <f>IF($A4794="",0,IF(AE4794="직접",IF(AF4794="신계약비",$P4794,0),$P4794*(1-AG4794)*IFERROR(INDEX(계정대체기준!$C$20:$C$49,MATCH($N4794,계정대체기준!$A$20:$A$49,0)),0)))</f>
        <v/>
      </c>
      <c r="AA4794" s="94">
        <f>IF($A4794="",0,IF(AE4794="직접",IF(OR(AF4794="유지비",AF4794="손해조사비"),$P4794,0),$P4794*(1-AG4794)*IFERROR(INDEX(계정대체기준!$D$20:$D$49,MATCH($N4794,계정대체기준!$A$20:$A$49,0)),0)))</f>
        <v/>
      </c>
      <c r="AB4794" s="94">
        <f>IF($A4794="",0,IF(AE4794="직접",IF(AF4794="수금비",$P4794,0),$P4794*(1-AG4794)*IFERROR(INDEX(계정대체기준!$E$20:$E$49,MATCH($N4794,계정대체기준!$A$20:$A$49,0)),0)))</f>
        <v/>
      </c>
      <c r="AC4794" s="9">
        <f>IF(AND($A4794&lt;&gt;"",M4794=설정!$C$20,Z4794&gt;0),Z4794+ROW()/1000000000,"")</f>
        <v/>
      </c>
      <c r="AD4794" s="94">
        <f>IF($A4794="",0,$P4794*AG4794)</f>
        <v/>
      </c>
      <c r="AE4794" s="64">
        <f>IF($A4794="","",IFERROR(INDEX(계정매핑!$E$5:$E$504,MATCH($F4794&amp;"",계정매핑!$A$5:$A$504,0))&amp;"","공통비"))</f>
        <v/>
      </c>
      <c r="AF4794" s="64">
        <f>IF($A4794="","",IF(AE4794="직접",IFERROR(INDEX(계정매핑!$F$5:$F$504,MATCH($F4794&amp;"",계정매핑!$A$5:$A$504,0))&amp;"","비귀속"),""))</f>
        <v/>
      </c>
      <c r="AG4794" s="96">
        <f>IF($A4794="",0,IF(AND(AE4794&lt;&gt;"직접",IFERROR(INDEX(계정매핑!$G$5:$G$504,MATCH($F4794&amp;"",계정매핑!$A$5:$A$504,0))&amp;"","")="유지비",COUNTIF(계정대체기준!$A$6:$A$15,$N4794)&gt;0),IFERROR(INDEX(계정대체기준!$E$6:$E$15,MATCH(VALUE($A4794&amp;""),계정대체기준!$D$6:$D$15,0)),0),0))</f>
        <v/>
      </c>
      <c r="AH4794" s="64">
        <f>IF($A4794="","",IF(AD4794=0,"",IF(OR(COUNTIF(계정대체기준!$A$77:$A$86,$N4794)&gt;0,ISNUMBER(MATCH($X4794,계정대체기준!$D$77:$D$86,0)),ISNUMBER(MATCH($F4794,계정대체기준!$D$77:$D$86,0))),"Y","N")))</f>
        <v/>
      </c>
    </row>
  </sheetData>
  <autoFilter ref="A4:AH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5B9BD5"/>
    <outlinePr summaryBelow="1" summaryRight="1"/>
    <pageSetUpPr/>
  </sheetPr>
  <dimension ref="A1:K4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9" customWidth="1" min="3" max="3"/>
    <col width="20" customWidth="1" min="4" max="4"/>
    <col width="6" customWidth="1" min="5" max="5"/>
    <col width="5" customWidth="1" min="6" max="6"/>
    <col width="16" customWidth="1" min="7" max="7"/>
    <col width="16" customWidth="1" min="8" max="8"/>
    <col width="2" customWidth="1" min="9" max="9"/>
    <col width="8" customWidth="1" min="10" max="10"/>
    <col width="9" customWidth="1" min="11" max="11"/>
    <col width="13" customWidth="1" min="12" max="12"/>
  </cols>
  <sheetData>
    <row r="1">
      <c r="A1" s="1" t="inlineStr">
        <is>
          <t>TRACE · BS 원본</t>
        </is>
      </c>
    </row>
    <row r="2">
      <c r="A2" s="2" t="inlineStr">
        <is>
          <t>A~G: 붙여넣기 · 보조수식은 회색 머리글 · 재무상태표 · 월말 기준 · 한 행 = 기간 × 항목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항목코드</t>
        </is>
      </c>
      <c r="D4" s="4" t="inlineStr">
        <is>
          <t>항목명</t>
        </is>
      </c>
      <c r="E4" s="4" t="inlineStr">
        <is>
          <t>구분</t>
        </is>
      </c>
      <c r="F4" s="4" t="inlineStr">
        <is>
          <t>레벨</t>
        </is>
      </c>
      <c r="G4" s="4" t="inlineStr">
        <is>
          <t>기말잔액</t>
        </is>
      </c>
      <c r="I4" s="39" t="inlineStr">
        <is>
          <t>기간번호</t>
        </is>
      </c>
      <c r="J4" s="39" t="inlineStr">
        <is>
          <t>항목코드
텍스트</t>
        </is>
      </c>
      <c r="K4" s="39" t="inlineStr">
        <is>
          <t>기말잔액
(보고단위)</t>
        </is>
      </c>
    </row>
    <row r="5">
      <c r="A5" s="92" t="n">
        <v>2025</v>
      </c>
      <c r="B5" s="92" t="n">
        <v>1</v>
      </c>
      <c r="C5" s="92" t="inlineStr">
        <is>
          <t>A000</t>
        </is>
      </c>
      <c r="D5" s="92" t="inlineStr">
        <is>
          <t>자산총계</t>
        </is>
      </c>
      <c r="E5" s="92" t="inlineStr">
        <is>
          <t>자산</t>
        </is>
      </c>
      <c r="F5" s="92" t="n">
        <v>1</v>
      </c>
      <c r="G5" s="93" t="n">
        <v>3012047100000</v>
      </c>
      <c r="I5" s="9">
        <f>IF($A5="","",VALUE($A5&amp;"")*12+VALUE($B5&amp;""))</f>
        <v/>
      </c>
      <c r="J5" s="9">
        <f>IF($A5="","",IFERROR(INDEX(입력옵션!$C$22:$C$53,MATCH($C5&amp;"",입력옵션!$E$22:$E$53,0)),IFERROR(INDEX(입력옵션!$C$22:$C$53,MATCH($D5&amp;"",입력옵션!$F$22:$F$53,0)),$C5&amp;"")))</f>
        <v/>
      </c>
      <c r="K5" s="97">
        <f>IF($A5="",0,$G5*설정!$C$23)</f>
        <v/>
      </c>
    </row>
    <row r="6">
      <c r="A6" s="92" t="n">
        <v>2025</v>
      </c>
      <c r="B6" s="92" t="n">
        <v>1</v>
      </c>
      <c r="C6" s="92" t="inlineStr">
        <is>
          <t>A100</t>
        </is>
      </c>
      <c r="D6" s="92" t="inlineStr">
        <is>
          <t>운용자산</t>
        </is>
      </c>
      <c r="E6" s="92" t="inlineStr">
        <is>
          <t>자산</t>
        </is>
      </c>
      <c r="F6" s="92" t="n">
        <v>2</v>
      </c>
      <c r="G6" s="93" t="n">
        <v>2799883900000</v>
      </c>
      <c r="I6" s="9">
        <f>IF($A6="","",VALUE($A6&amp;"")*12+VALUE($B6&amp;""))</f>
        <v/>
      </c>
      <c r="J6" s="9">
        <f>IF($A6="","",IFERROR(INDEX(입력옵션!$C$22:$C$53,MATCH($C6&amp;"",입력옵션!$E$22:$E$53,0)),IFERROR(INDEX(입력옵션!$C$22:$C$53,MATCH($D6&amp;"",입력옵션!$F$22:$F$53,0)),$C6&amp;"")))</f>
        <v/>
      </c>
      <c r="K6" s="97">
        <f>IF($A6="",0,$G6*설정!$C$23)</f>
        <v/>
      </c>
    </row>
    <row r="7">
      <c r="A7" s="92" t="n">
        <v>2025</v>
      </c>
      <c r="B7" s="92" t="n">
        <v>1</v>
      </c>
      <c r="C7" s="92" t="inlineStr">
        <is>
          <t>A110</t>
        </is>
      </c>
      <c r="D7" s="92" t="inlineStr">
        <is>
          <t>현금및예치금</t>
        </is>
      </c>
      <c r="E7" s="92" t="inlineStr">
        <is>
          <t>자산</t>
        </is>
      </c>
      <c r="F7" s="92" t="n">
        <v>3</v>
      </c>
      <c r="G7" s="93" t="n">
        <v>87166800000</v>
      </c>
      <c r="I7" s="9">
        <f>IF($A7="","",VALUE($A7&amp;"")*12+VALUE($B7&amp;""))</f>
        <v/>
      </c>
      <c r="J7" s="9">
        <f>IF($A7="","",IFERROR(INDEX(입력옵션!$C$22:$C$53,MATCH($C7&amp;"",입력옵션!$E$22:$E$53,0)),IFERROR(INDEX(입력옵션!$C$22:$C$53,MATCH($D7&amp;"",입력옵션!$F$22:$F$53,0)),$C7&amp;"")))</f>
        <v/>
      </c>
      <c r="K7" s="97">
        <f>IF($A7="",0,$G7*설정!$C$23)</f>
        <v/>
      </c>
    </row>
    <row r="8">
      <c r="A8" s="92" t="n">
        <v>2025</v>
      </c>
      <c r="B8" s="92" t="n">
        <v>1</v>
      </c>
      <c r="C8" s="92" t="inlineStr">
        <is>
          <t>A120</t>
        </is>
      </c>
      <c r="D8" s="92" t="inlineStr">
        <is>
          <t>유가증권</t>
        </is>
      </c>
      <c r="E8" s="92" t="inlineStr">
        <is>
          <t>자산</t>
        </is>
      </c>
      <c r="F8" s="92" t="n">
        <v>3</v>
      </c>
      <c r="G8" s="93" t="n">
        <v>2109420700000</v>
      </c>
      <c r="I8" s="9">
        <f>IF($A8="","",VALUE($A8&amp;"")*12+VALUE($B8&amp;""))</f>
        <v/>
      </c>
      <c r="J8" s="9">
        <f>IF($A8="","",IFERROR(INDEX(입력옵션!$C$22:$C$53,MATCH($C8&amp;"",입력옵션!$E$22:$E$53,0)),IFERROR(INDEX(입력옵션!$C$22:$C$53,MATCH($D8&amp;"",입력옵션!$F$22:$F$53,0)),$C8&amp;"")))</f>
        <v/>
      </c>
      <c r="K8" s="97">
        <f>IF($A8="",0,$G8*설정!$C$23)</f>
        <v/>
      </c>
    </row>
    <row r="9">
      <c r="A9" s="92" t="n">
        <v>2025</v>
      </c>
      <c r="B9" s="92" t="n">
        <v>1</v>
      </c>
      <c r="C9" s="92" t="inlineStr">
        <is>
          <t>A130</t>
        </is>
      </c>
      <c r="D9" s="92" t="inlineStr">
        <is>
          <t>대출채권</t>
        </is>
      </c>
      <c r="E9" s="92" t="inlineStr">
        <is>
          <t>자산</t>
        </is>
      </c>
      <c r="F9" s="92" t="n">
        <v>3</v>
      </c>
      <c r="G9" s="93" t="n">
        <v>423296400000</v>
      </c>
      <c r="I9" s="9">
        <f>IF($A9="","",VALUE($A9&amp;"")*12+VALUE($B9&amp;""))</f>
        <v/>
      </c>
      <c r="J9" s="9">
        <f>IF($A9="","",IFERROR(INDEX(입력옵션!$C$22:$C$53,MATCH($C9&amp;"",입력옵션!$E$22:$E$53,0)),IFERROR(INDEX(입력옵션!$C$22:$C$53,MATCH($D9&amp;"",입력옵션!$F$22:$F$53,0)),$C9&amp;"")))</f>
        <v/>
      </c>
      <c r="K9" s="97">
        <f>IF($A9="",0,$G9*설정!$C$23)</f>
        <v/>
      </c>
    </row>
    <row r="10">
      <c r="A10" s="92" t="n">
        <v>2025</v>
      </c>
      <c r="B10" s="92" t="n">
        <v>1</v>
      </c>
      <c r="C10" s="92" t="inlineStr">
        <is>
          <t>A140</t>
        </is>
      </c>
      <c r="D10" s="92" t="inlineStr">
        <is>
          <t>투자부동산</t>
        </is>
      </c>
      <c r="E10" s="92" t="inlineStr">
        <is>
          <t>자산</t>
        </is>
      </c>
      <c r="F10" s="92" t="n">
        <v>3</v>
      </c>
      <c r="G10" s="93" t="n">
        <v>180000000000</v>
      </c>
      <c r="I10" s="9">
        <f>IF($A10="","",VALUE($A10&amp;"")*12+VALUE($B10&amp;""))</f>
        <v/>
      </c>
      <c r="J10" s="9">
        <f>IF($A10="","",IFERROR(INDEX(입력옵션!$C$22:$C$53,MATCH($C10&amp;"",입력옵션!$E$22:$E$53,0)),IFERROR(INDEX(입력옵션!$C$22:$C$53,MATCH($D10&amp;"",입력옵션!$F$22:$F$53,0)),$C10&amp;"")))</f>
        <v/>
      </c>
      <c r="K10" s="97">
        <f>IF($A10="",0,$G10*설정!$C$23)</f>
        <v/>
      </c>
    </row>
    <row r="11">
      <c r="A11" s="92" t="n">
        <v>2025</v>
      </c>
      <c r="B11" s="92" t="n">
        <v>1</v>
      </c>
      <c r="C11" s="92" t="inlineStr">
        <is>
          <t>A200</t>
        </is>
      </c>
      <c r="D11" s="92" t="inlineStr">
        <is>
          <t>보험계약자산</t>
        </is>
      </c>
      <c r="E11" s="92" t="inlineStr">
        <is>
          <t>자산</t>
        </is>
      </c>
      <c r="F11" s="92" t="n">
        <v>2</v>
      </c>
      <c r="G11" s="93" t="n">
        <v>11500300000</v>
      </c>
      <c r="I11" s="9">
        <f>IF($A11="","",VALUE($A11&amp;"")*12+VALUE($B11&amp;""))</f>
        <v/>
      </c>
      <c r="J11" s="9">
        <f>IF($A11="","",IFERROR(INDEX(입력옵션!$C$22:$C$53,MATCH($C11&amp;"",입력옵션!$E$22:$E$53,0)),IFERROR(INDEX(입력옵션!$C$22:$C$53,MATCH($D11&amp;"",입력옵션!$F$22:$F$53,0)),$C11&amp;"")))</f>
        <v/>
      </c>
      <c r="K11" s="97">
        <f>IF($A11="",0,$G11*설정!$C$23)</f>
        <v/>
      </c>
    </row>
    <row r="12">
      <c r="A12" s="92" t="n">
        <v>2025</v>
      </c>
      <c r="B12" s="92" t="n">
        <v>1</v>
      </c>
      <c r="C12" s="92" t="inlineStr">
        <is>
          <t>A300</t>
        </is>
      </c>
      <c r="D12" s="92" t="inlineStr">
        <is>
          <t>재보험계약자산</t>
        </is>
      </c>
      <c r="E12" s="92" t="inlineStr">
        <is>
          <t>자산</t>
        </is>
      </c>
      <c r="F12" s="92" t="n">
        <v>2</v>
      </c>
      <c r="G12" s="93" t="n">
        <v>41150900000</v>
      </c>
      <c r="I12" s="9">
        <f>IF($A12="","",VALUE($A12&amp;"")*12+VALUE($B12&amp;""))</f>
        <v/>
      </c>
      <c r="J12" s="9">
        <f>IF($A12="","",IFERROR(INDEX(입력옵션!$C$22:$C$53,MATCH($C12&amp;"",입력옵션!$E$22:$E$53,0)),IFERROR(INDEX(입력옵션!$C$22:$C$53,MATCH($D12&amp;"",입력옵션!$F$22:$F$53,0)),$C12&amp;"")))</f>
        <v/>
      </c>
      <c r="K12" s="97">
        <f>IF($A12="",0,$G12*설정!$C$23)</f>
        <v/>
      </c>
    </row>
    <row r="13">
      <c r="A13" s="92" t="n">
        <v>2025</v>
      </c>
      <c r="B13" s="92" t="n">
        <v>1</v>
      </c>
      <c r="C13" s="92" t="inlineStr">
        <is>
          <t>A900</t>
        </is>
      </c>
      <c r="D13" s="92" t="inlineStr">
        <is>
          <t>기타자산</t>
        </is>
      </c>
      <c r="E13" s="92" t="inlineStr">
        <is>
          <t>자산</t>
        </is>
      </c>
      <c r="F13" s="92" t="n">
        <v>2</v>
      </c>
      <c r="G13" s="93" t="n">
        <v>159512000000</v>
      </c>
      <c r="I13" s="9">
        <f>IF($A13="","",VALUE($A13&amp;"")*12+VALUE($B13&amp;""))</f>
        <v/>
      </c>
      <c r="J13" s="9">
        <f>IF($A13="","",IFERROR(INDEX(입력옵션!$C$22:$C$53,MATCH($C13&amp;"",입력옵션!$E$22:$E$53,0)),IFERROR(INDEX(입력옵션!$C$22:$C$53,MATCH($D13&amp;"",입력옵션!$F$22:$F$53,0)),$C13&amp;"")))</f>
        <v/>
      </c>
      <c r="K13" s="97">
        <f>IF($A13="",0,$G13*설정!$C$23)</f>
        <v/>
      </c>
    </row>
    <row r="14">
      <c r="A14" s="92" t="n">
        <v>2025</v>
      </c>
      <c r="B14" s="92" t="n">
        <v>1</v>
      </c>
      <c r="C14" s="92" t="inlineStr">
        <is>
          <t>L000</t>
        </is>
      </c>
      <c r="D14" s="92" t="inlineStr">
        <is>
          <t>부채총계</t>
        </is>
      </c>
      <c r="E14" s="92" t="inlineStr">
        <is>
          <t>부채</t>
        </is>
      </c>
      <c r="F14" s="92" t="n">
        <v>1</v>
      </c>
      <c r="G14" s="93" t="n">
        <v>2640892514000</v>
      </c>
      <c r="I14" s="9">
        <f>IF($A14="","",VALUE($A14&amp;"")*12+VALUE($B14&amp;""))</f>
        <v/>
      </c>
      <c r="J14" s="9">
        <f>IF($A14="","",IFERROR(INDEX(입력옵션!$C$22:$C$53,MATCH($C14&amp;"",입력옵션!$E$22:$E$53,0)),IFERROR(INDEX(입력옵션!$C$22:$C$53,MATCH($D14&amp;"",입력옵션!$F$22:$F$53,0)),$C14&amp;"")))</f>
        <v/>
      </c>
      <c r="K14" s="97">
        <f>IF($A14="",0,$G14*설정!$C$23)</f>
        <v/>
      </c>
    </row>
    <row r="15">
      <c r="A15" s="92" t="n">
        <v>2025</v>
      </c>
      <c r="B15" s="92" t="n">
        <v>1</v>
      </c>
      <c r="C15" s="92" t="inlineStr">
        <is>
          <t>L100</t>
        </is>
      </c>
      <c r="D15" s="92" t="inlineStr">
        <is>
          <t>보험계약부채</t>
        </is>
      </c>
      <c r="E15" s="92" t="inlineStr">
        <is>
          <t>부채</t>
        </is>
      </c>
      <c r="F15" s="92" t="n">
        <v>2</v>
      </c>
      <c r="G15" s="93" t="n">
        <v>2540720314000</v>
      </c>
      <c r="I15" s="9">
        <f>IF($A15="","",VALUE($A15&amp;"")*12+VALUE($B15&amp;""))</f>
        <v/>
      </c>
      <c r="J15" s="9">
        <f>IF($A15="","",IFERROR(INDEX(입력옵션!$C$22:$C$53,MATCH($C15&amp;"",입력옵션!$E$22:$E$53,0)),IFERROR(INDEX(입력옵션!$C$22:$C$53,MATCH($D15&amp;"",입력옵션!$F$22:$F$53,0)),$C15&amp;"")))</f>
        <v/>
      </c>
      <c r="K15" s="97">
        <f>IF($A15="",0,$G15*설정!$C$23)</f>
        <v/>
      </c>
    </row>
    <row r="16">
      <c r="A16" s="92" t="n">
        <v>2025</v>
      </c>
      <c r="B16" s="92" t="n">
        <v>1</v>
      </c>
      <c r="C16" s="92" t="inlineStr">
        <is>
          <t>L110</t>
        </is>
      </c>
      <c r="D16" s="92" t="inlineStr">
        <is>
          <t>최선추정부채(BEL)</t>
        </is>
      </c>
      <c r="E16" s="92" t="inlineStr">
        <is>
          <t>부채</t>
        </is>
      </c>
      <c r="F16" s="92" t="n">
        <v>3</v>
      </c>
      <c r="G16" s="93" t="n">
        <v>2050493400000</v>
      </c>
      <c r="I16" s="9">
        <f>IF($A16="","",VALUE($A16&amp;"")*12+VALUE($B16&amp;""))</f>
        <v/>
      </c>
      <c r="J16" s="9">
        <f>IF($A16="","",IFERROR(INDEX(입력옵션!$C$22:$C$53,MATCH($C16&amp;"",입력옵션!$E$22:$E$53,0)),IFERROR(INDEX(입력옵션!$C$22:$C$53,MATCH($D16&amp;"",입력옵션!$F$22:$F$53,0)),$C16&amp;"")))</f>
        <v/>
      </c>
      <c r="K16" s="97">
        <f>IF($A16="",0,$G16*설정!$C$23)</f>
        <v/>
      </c>
    </row>
    <row r="17">
      <c r="A17" s="92" t="n">
        <v>2025</v>
      </c>
      <c r="B17" s="92" t="n">
        <v>1</v>
      </c>
      <c r="C17" s="92" t="inlineStr">
        <is>
          <t>L120</t>
        </is>
      </c>
      <c r="D17" s="92" t="inlineStr">
        <is>
          <t>위험조정(RA)</t>
        </is>
      </c>
      <c r="E17" s="92" t="inlineStr">
        <is>
          <t>부채</t>
        </is>
      </c>
      <c r="F17" s="92" t="n">
        <v>3</v>
      </c>
      <c r="G17" s="93" t="n">
        <v>117127500000</v>
      </c>
      <c r="I17" s="9">
        <f>IF($A17="","",VALUE($A17&amp;"")*12+VALUE($B17&amp;""))</f>
        <v/>
      </c>
      <c r="J17" s="9">
        <f>IF($A17="","",IFERROR(INDEX(입력옵션!$C$22:$C$53,MATCH($C17&amp;"",입력옵션!$E$22:$E$53,0)),IFERROR(INDEX(입력옵션!$C$22:$C$53,MATCH($D17&amp;"",입력옵션!$F$22:$F$53,0)),$C17&amp;"")))</f>
        <v/>
      </c>
      <c r="K17" s="97">
        <f>IF($A17="",0,$G17*설정!$C$23)</f>
        <v/>
      </c>
    </row>
    <row r="18">
      <c r="A18" s="92" t="n">
        <v>2025</v>
      </c>
      <c r="B18" s="92" t="n">
        <v>1</v>
      </c>
      <c r="C18" s="92" t="inlineStr">
        <is>
          <t>L130</t>
        </is>
      </c>
      <c r="D18" s="92" t="inlineStr">
        <is>
          <t>보험계약마진(CSM)</t>
        </is>
      </c>
      <c r="E18" s="92" t="inlineStr">
        <is>
          <t>부채</t>
        </is>
      </c>
      <c r="F18" s="92" t="n">
        <v>3</v>
      </c>
      <c r="G18" s="93" t="n">
        <v>373099414000</v>
      </c>
      <c r="I18" s="9">
        <f>IF($A18="","",VALUE($A18&amp;"")*12+VALUE($B18&amp;""))</f>
        <v/>
      </c>
      <c r="J18" s="9">
        <f>IF($A18="","",IFERROR(INDEX(입력옵션!$C$22:$C$53,MATCH($C18&amp;"",입력옵션!$E$22:$E$53,0)),IFERROR(INDEX(입력옵션!$C$22:$C$53,MATCH($D18&amp;"",입력옵션!$F$22:$F$53,0)),$C18&amp;"")))</f>
        <v/>
      </c>
      <c r="K18" s="97">
        <f>IF($A18="",0,$G18*설정!$C$23)</f>
        <v/>
      </c>
    </row>
    <row r="19">
      <c r="A19" s="92" t="n">
        <v>2025</v>
      </c>
      <c r="B19" s="92" t="n">
        <v>1</v>
      </c>
      <c r="C19" s="92" t="inlineStr">
        <is>
          <t>L200</t>
        </is>
      </c>
      <c r="D19" s="92" t="inlineStr">
        <is>
          <t>재보험계약부채</t>
        </is>
      </c>
      <c r="E19" s="92" t="inlineStr">
        <is>
          <t>부채</t>
        </is>
      </c>
      <c r="F19" s="92" t="n">
        <v>2</v>
      </c>
      <c r="G19" s="93" t="n">
        <v>6762300000</v>
      </c>
      <c r="I19" s="9">
        <f>IF($A19="","",VALUE($A19&amp;"")*12+VALUE($B19&amp;""))</f>
        <v/>
      </c>
      <c r="J19" s="9">
        <f>IF($A19="","",IFERROR(INDEX(입력옵션!$C$22:$C$53,MATCH($C19&amp;"",입력옵션!$E$22:$E$53,0)),IFERROR(INDEX(입력옵션!$C$22:$C$53,MATCH($D19&amp;"",입력옵션!$F$22:$F$53,0)),$C19&amp;"")))</f>
        <v/>
      </c>
      <c r="K19" s="97">
        <f>IF($A19="",0,$G19*설정!$C$23)</f>
        <v/>
      </c>
    </row>
    <row r="20">
      <c r="A20" s="92" t="n">
        <v>2025</v>
      </c>
      <c r="B20" s="92" t="n">
        <v>1</v>
      </c>
      <c r="C20" s="92" t="inlineStr">
        <is>
          <t>L900</t>
        </is>
      </c>
      <c r="D20" s="92" t="inlineStr">
        <is>
          <t>기타부채</t>
        </is>
      </c>
      <c r="E20" s="92" t="inlineStr">
        <is>
          <t>부채</t>
        </is>
      </c>
      <c r="F20" s="92" t="n">
        <v>2</v>
      </c>
      <c r="G20" s="93" t="n">
        <v>93409900000</v>
      </c>
      <c r="I20" s="9">
        <f>IF($A20="","",VALUE($A20&amp;"")*12+VALUE($B20&amp;""))</f>
        <v/>
      </c>
      <c r="J20" s="9">
        <f>IF($A20="","",IFERROR(INDEX(입력옵션!$C$22:$C$53,MATCH($C20&amp;"",입력옵션!$E$22:$E$53,0)),IFERROR(INDEX(입력옵션!$C$22:$C$53,MATCH($D20&amp;"",입력옵션!$F$22:$F$53,0)),$C20&amp;"")))</f>
        <v/>
      </c>
      <c r="K20" s="97">
        <f>IF($A20="",0,$G20*설정!$C$23)</f>
        <v/>
      </c>
    </row>
    <row r="21">
      <c r="A21" s="92" t="n">
        <v>2025</v>
      </c>
      <c r="B21" s="92" t="n">
        <v>1</v>
      </c>
      <c r="C21" s="92" t="inlineStr">
        <is>
          <t>E000</t>
        </is>
      </c>
      <c r="D21" s="92" t="inlineStr">
        <is>
          <t>자본총계</t>
        </is>
      </c>
      <c r="E21" s="92" t="inlineStr">
        <is>
          <t>자본</t>
        </is>
      </c>
      <c r="F21" s="92" t="n">
        <v>1</v>
      </c>
      <c r="G21" s="93" t="n">
        <v>371154586000</v>
      </c>
      <c r="I21" s="9">
        <f>IF($A21="","",VALUE($A21&amp;"")*12+VALUE($B21&amp;""))</f>
        <v/>
      </c>
      <c r="J21" s="9">
        <f>IF($A21="","",IFERROR(INDEX(입력옵션!$C$22:$C$53,MATCH($C21&amp;"",입력옵션!$E$22:$E$53,0)),IFERROR(INDEX(입력옵션!$C$22:$C$53,MATCH($D21&amp;"",입력옵션!$F$22:$F$53,0)),$C21&amp;"")))</f>
        <v/>
      </c>
      <c r="K21" s="97">
        <f>IF($A21="",0,$G21*설정!$C$23)</f>
        <v/>
      </c>
    </row>
    <row r="22">
      <c r="A22" s="92" t="n">
        <v>2025</v>
      </c>
      <c r="B22" s="92" t="n">
        <v>1</v>
      </c>
      <c r="C22" s="92" t="inlineStr">
        <is>
          <t>E100</t>
        </is>
      </c>
      <c r="D22" s="92" t="inlineStr">
        <is>
          <t>자본금</t>
        </is>
      </c>
      <c r="E22" s="92" t="inlineStr">
        <is>
          <t>자본</t>
        </is>
      </c>
      <c r="F22" s="92" t="n">
        <v>2</v>
      </c>
      <c r="G22" s="93" t="n">
        <v>100000000000</v>
      </c>
      <c r="I22" s="9">
        <f>IF($A22="","",VALUE($A22&amp;"")*12+VALUE($B22&amp;""))</f>
        <v/>
      </c>
      <c r="J22" s="9">
        <f>IF($A22="","",IFERROR(INDEX(입력옵션!$C$22:$C$53,MATCH($C22&amp;"",입력옵션!$E$22:$E$53,0)),IFERROR(INDEX(입력옵션!$C$22:$C$53,MATCH($D22&amp;"",입력옵션!$F$22:$F$53,0)),$C22&amp;"")))</f>
        <v/>
      </c>
      <c r="K22" s="97">
        <f>IF($A22="",0,$G22*설정!$C$23)</f>
        <v/>
      </c>
    </row>
    <row r="23">
      <c r="A23" s="92" t="n">
        <v>2025</v>
      </c>
      <c r="B23" s="92" t="n">
        <v>1</v>
      </c>
      <c r="C23" s="92" t="inlineStr">
        <is>
          <t>E200</t>
        </is>
      </c>
      <c r="D23" s="92" t="inlineStr">
        <is>
          <t>이익잉여금</t>
        </is>
      </c>
      <c r="E23" s="92" t="inlineStr">
        <is>
          <t>자본</t>
        </is>
      </c>
      <c r="F23" s="92" t="n">
        <v>2</v>
      </c>
      <c r="G23" s="93" t="n">
        <v>311604286000</v>
      </c>
      <c r="I23" s="9">
        <f>IF($A23="","",VALUE($A23&amp;"")*12+VALUE($B23&amp;""))</f>
        <v/>
      </c>
      <c r="J23" s="9">
        <f>IF($A23="","",IFERROR(INDEX(입력옵션!$C$22:$C$53,MATCH($C23&amp;"",입력옵션!$E$22:$E$53,0)),IFERROR(INDEX(입력옵션!$C$22:$C$53,MATCH($D23&amp;"",입력옵션!$F$22:$F$53,0)),$C23&amp;"")))</f>
        <v/>
      </c>
      <c r="K23" s="97">
        <f>IF($A23="",0,$G23*설정!$C$23)</f>
        <v/>
      </c>
    </row>
    <row r="24">
      <c r="A24" s="92" t="n">
        <v>2025</v>
      </c>
      <c r="B24" s="92" t="n">
        <v>1</v>
      </c>
      <c r="C24" s="92" t="inlineStr">
        <is>
          <t>E300</t>
        </is>
      </c>
      <c r="D24" s="92" t="inlineStr">
        <is>
          <t>기타포괄손익누계액</t>
        </is>
      </c>
      <c r="E24" s="92" t="inlineStr">
        <is>
          <t>자본</t>
        </is>
      </c>
      <c r="F24" s="92" t="n">
        <v>2</v>
      </c>
      <c r="G24" s="93" t="n">
        <v>-40449700000</v>
      </c>
      <c r="I24" s="9">
        <f>IF($A24="","",VALUE($A24&amp;"")*12+VALUE($B24&amp;""))</f>
        <v/>
      </c>
      <c r="J24" s="9">
        <f>IF($A24="","",IFERROR(INDEX(입력옵션!$C$22:$C$53,MATCH($C24&amp;"",입력옵션!$E$22:$E$53,0)),IFERROR(INDEX(입력옵션!$C$22:$C$53,MATCH($D24&amp;"",입력옵션!$F$22:$F$53,0)),$C24&amp;"")))</f>
        <v/>
      </c>
      <c r="K24" s="97">
        <f>IF($A24="",0,$G24*설정!$C$23)</f>
        <v/>
      </c>
    </row>
    <row r="25">
      <c r="A25" s="92" t="n">
        <v>2025</v>
      </c>
      <c r="B25" s="92" t="n">
        <v>2</v>
      </c>
      <c r="C25" s="92" t="inlineStr">
        <is>
          <t>A000</t>
        </is>
      </c>
      <c r="D25" s="92" t="inlineStr">
        <is>
          <t>자산총계</t>
        </is>
      </c>
      <c r="E25" s="92" t="inlineStr">
        <is>
          <t>자산</t>
        </is>
      </c>
      <c r="F25" s="92" t="n">
        <v>1</v>
      </c>
      <c r="G25" s="93" t="n">
        <v>3002797600000</v>
      </c>
      <c r="I25" s="9">
        <f>IF($A25="","",VALUE($A25&amp;"")*12+VALUE($B25&amp;""))</f>
        <v/>
      </c>
      <c r="J25" s="9">
        <f>IF($A25="","",IFERROR(INDEX(입력옵션!$C$22:$C$53,MATCH($C25&amp;"",입력옵션!$E$22:$E$53,0)),IFERROR(INDEX(입력옵션!$C$22:$C$53,MATCH($D25&amp;"",입력옵션!$F$22:$F$53,0)),$C25&amp;"")))</f>
        <v/>
      </c>
      <c r="K25" s="97">
        <f>IF($A25="",0,$G25*설정!$C$23)</f>
        <v/>
      </c>
    </row>
    <row r="26">
      <c r="A26" s="92" t="n">
        <v>2025</v>
      </c>
      <c r="B26" s="92" t="n">
        <v>2</v>
      </c>
      <c r="C26" s="92" t="inlineStr">
        <is>
          <t>A100</t>
        </is>
      </c>
      <c r="D26" s="92" t="inlineStr">
        <is>
          <t>운용자산</t>
        </is>
      </c>
      <c r="E26" s="92" t="inlineStr">
        <is>
          <t>자산</t>
        </is>
      </c>
      <c r="F26" s="92" t="n">
        <v>2</v>
      </c>
      <c r="G26" s="93" t="n">
        <v>2788260000000</v>
      </c>
      <c r="I26" s="9">
        <f>IF($A26="","",VALUE($A26&amp;"")*12+VALUE($B26&amp;""))</f>
        <v/>
      </c>
      <c r="J26" s="9">
        <f>IF($A26="","",IFERROR(INDEX(입력옵션!$C$22:$C$53,MATCH($C26&amp;"",입력옵션!$E$22:$E$53,0)),IFERROR(INDEX(입력옵션!$C$22:$C$53,MATCH($D26&amp;"",입력옵션!$F$22:$F$53,0)),$C26&amp;"")))</f>
        <v/>
      </c>
      <c r="K26" s="97">
        <f>IF($A26="",0,$G26*설정!$C$23)</f>
        <v/>
      </c>
    </row>
    <row r="27">
      <c r="A27" s="92" t="n">
        <v>2025</v>
      </c>
      <c r="B27" s="92" t="n">
        <v>2</v>
      </c>
      <c r="C27" s="92" t="inlineStr">
        <is>
          <t>A110</t>
        </is>
      </c>
      <c r="D27" s="92" t="inlineStr">
        <is>
          <t>현금및예치금</t>
        </is>
      </c>
      <c r="E27" s="92" t="inlineStr">
        <is>
          <t>자산</t>
        </is>
      </c>
      <c r="F27" s="92" t="n">
        <v>3</v>
      </c>
      <c r="G27" s="93" t="n">
        <v>86366900000</v>
      </c>
      <c r="I27" s="9">
        <f>IF($A27="","",VALUE($A27&amp;"")*12+VALUE($B27&amp;""))</f>
        <v/>
      </c>
      <c r="J27" s="9">
        <f>IF($A27="","",IFERROR(INDEX(입력옵션!$C$22:$C$53,MATCH($C27&amp;"",입력옵션!$E$22:$E$53,0)),IFERROR(INDEX(입력옵션!$C$22:$C$53,MATCH($D27&amp;"",입력옵션!$F$22:$F$53,0)),$C27&amp;"")))</f>
        <v/>
      </c>
      <c r="K27" s="97">
        <f>IF($A27="",0,$G27*설정!$C$23)</f>
        <v/>
      </c>
    </row>
    <row r="28">
      <c r="A28" s="92" t="n">
        <v>2025</v>
      </c>
      <c r="B28" s="92" t="n">
        <v>2</v>
      </c>
      <c r="C28" s="92" t="inlineStr">
        <is>
          <t>A120</t>
        </is>
      </c>
      <c r="D28" s="92" t="inlineStr">
        <is>
          <t>유가증권</t>
        </is>
      </c>
      <c r="E28" s="92" t="inlineStr">
        <is>
          <t>자산</t>
        </is>
      </c>
      <c r="F28" s="92" t="n">
        <v>3</v>
      </c>
      <c r="G28" s="93" t="n">
        <v>2105427100000</v>
      </c>
      <c r="I28" s="9">
        <f>IF($A28="","",VALUE($A28&amp;"")*12+VALUE($B28&amp;""))</f>
        <v/>
      </c>
      <c r="J28" s="9">
        <f>IF($A28="","",IFERROR(INDEX(입력옵션!$C$22:$C$53,MATCH($C28&amp;"",입력옵션!$E$22:$E$53,0)),IFERROR(INDEX(입력옵션!$C$22:$C$53,MATCH($D28&amp;"",입력옵션!$F$22:$F$53,0)),$C28&amp;"")))</f>
        <v/>
      </c>
      <c r="K28" s="97">
        <f>IF($A28="",0,$G28*설정!$C$23)</f>
        <v/>
      </c>
    </row>
    <row r="29">
      <c r="A29" s="92" t="n">
        <v>2025</v>
      </c>
      <c r="B29" s="92" t="n">
        <v>2</v>
      </c>
      <c r="C29" s="92" t="inlineStr">
        <is>
          <t>A130</t>
        </is>
      </c>
      <c r="D29" s="92" t="inlineStr">
        <is>
          <t>대출채권</t>
        </is>
      </c>
      <c r="E29" s="92" t="inlineStr">
        <is>
          <t>자산</t>
        </is>
      </c>
      <c r="F29" s="92" t="n">
        <v>3</v>
      </c>
      <c r="G29" s="93" t="n">
        <v>417116000000</v>
      </c>
      <c r="I29" s="9">
        <f>IF($A29="","",VALUE($A29&amp;"")*12+VALUE($B29&amp;""))</f>
        <v/>
      </c>
      <c r="J29" s="9">
        <f>IF($A29="","",IFERROR(INDEX(입력옵션!$C$22:$C$53,MATCH($C29&amp;"",입력옵션!$E$22:$E$53,0)),IFERROR(INDEX(입력옵션!$C$22:$C$53,MATCH($D29&amp;"",입력옵션!$F$22:$F$53,0)),$C29&amp;"")))</f>
        <v/>
      </c>
      <c r="K29" s="97">
        <f>IF($A29="",0,$G29*설정!$C$23)</f>
        <v/>
      </c>
    </row>
    <row r="30">
      <c r="A30" s="92" t="n">
        <v>2025</v>
      </c>
      <c r="B30" s="92" t="n">
        <v>2</v>
      </c>
      <c r="C30" s="92" t="inlineStr">
        <is>
          <t>A140</t>
        </is>
      </c>
      <c r="D30" s="92" t="inlineStr">
        <is>
          <t>투자부동산</t>
        </is>
      </c>
      <c r="E30" s="92" t="inlineStr">
        <is>
          <t>자산</t>
        </is>
      </c>
      <c r="F30" s="92" t="n">
        <v>3</v>
      </c>
      <c r="G30" s="93" t="n">
        <v>179350000000</v>
      </c>
      <c r="I30" s="9">
        <f>IF($A30="","",VALUE($A30&amp;"")*12+VALUE($B30&amp;""))</f>
        <v/>
      </c>
      <c r="J30" s="9">
        <f>IF($A30="","",IFERROR(INDEX(입력옵션!$C$22:$C$53,MATCH($C30&amp;"",입력옵션!$E$22:$E$53,0)),IFERROR(INDEX(입력옵션!$C$22:$C$53,MATCH($D30&amp;"",입력옵션!$F$22:$F$53,0)),$C30&amp;"")))</f>
        <v/>
      </c>
      <c r="K30" s="97">
        <f>IF($A30="",0,$G30*설정!$C$23)</f>
        <v/>
      </c>
    </row>
    <row r="31">
      <c r="A31" s="92" t="n">
        <v>2025</v>
      </c>
      <c r="B31" s="92" t="n">
        <v>2</v>
      </c>
      <c r="C31" s="92" t="inlineStr">
        <is>
          <t>A200</t>
        </is>
      </c>
      <c r="D31" s="92" t="inlineStr">
        <is>
          <t>보험계약자산</t>
        </is>
      </c>
      <c r="E31" s="92" t="inlineStr">
        <is>
          <t>자산</t>
        </is>
      </c>
      <c r="F31" s="92" t="n">
        <v>2</v>
      </c>
      <c r="G31" s="93" t="n">
        <v>12339700000</v>
      </c>
      <c r="I31" s="9">
        <f>IF($A31="","",VALUE($A31&amp;"")*12+VALUE($B31&amp;""))</f>
        <v/>
      </c>
      <c r="J31" s="9">
        <f>IF($A31="","",IFERROR(INDEX(입력옵션!$C$22:$C$53,MATCH($C31&amp;"",입력옵션!$E$22:$E$53,0)),IFERROR(INDEX(입력옵션!$C$22:$C$53,MATCH($D31&amp;"",입력옵션!$F$22:$F$53,0)),$C31&amp;"")))</f>
        <v/>
      </c>
      <c r="K31" s="97">
        <f>IF($A31="",0,$G31*설정!$C$23)</f>
        <v/>
      </c>
    </row>
    <row r="32">
      <c r="A32" s="92" t="n">
        <v>2025</v>
      </c>
      <c r="B32" s="92" t="n">
        <v>2</v>
      </c>
      <c r="C32" s="92" t="inlineStr">
        <is>
          <t>A300</t>
        </is>
      </c>
      <c r="D32" s="92" t="inlineStr">
        <is>
          <t>재보험계약자산</t>
        </is>
      </c>
      <c r="E32" s="92" t="inlineStr">
        <is>
          <t>자산</t>
        </is>
      </c>
      <c r="F32" s="92" t="n">
        <v>2</v>
      </c>
      <c r="G32" s="93" t="n">
        <v>41187300000</v>
      </c>
      <c r="I32" s="9">
        <f>IF($A32="","",VALUE($A32&amp;"")*12+VALUE($B32&amp;""))</f>
        <v/>
      </c>
      <c r="J32" s="9">
        <f>IF($A32="","",IFERROR(INDEX(입력옵션!$C$22:$C$53,MATCH($C32&amp;"",입력옵션!$E$22:$E$53,0)),IFERROR(INDEX(입력옵션!$C$22:$C$53,MATCH($D32&amp;"",입력옵션!$F$22:$F$53,0)),$C32&amp;"")))</f>
        <v/>
      </c>
      <c r="K32" s="97">
        <f>IF($A32="",0,$G32*설정!$C$23)</f>
        <v/>
      </c>
    </row>
    <row r="33">
      <c r="A33" s="92" t="n">
        <v>2025</v>
      </c>
      <c r="B33" s="92" t="n">
        <v>2</v>
      </c>
      <c r="C33" s="92" t="inlineStr">
        <is>
          <t>A900</t>
        </is>
      </c>
      <c r="D33" s="92" t="inlineStr">
        <is>
          <t>기타자산</t>
        </is>
      </c>
      <c r="E33" s="92" t="inlineStr">
        <is>
          <t>자산</t>
        </is>
      </c>
      <c r="F33" s="92" t="n">
        <v>2</v>
      </c>
      <c r="G33" s="93" t="n">
        <v>161010600000</v>
      </c>
      <c r="I33" s="9">
        <f>IF($A33="","",VALUE($A33&amp;"")*12+VALUE($B33&amp;""))</f>
        <v/>
      </c>
      <c r="J33" s="9">
        <f>IF($A33="","",IFERROR(INDEX(입력옵션!$C$22:$C$53,MATCH($C33&amp;"",입력옵션!$E$22:$E$53,0)),IFERROR(INDEX(입력옵션!$C$22:$C$53,MATCH($D33&amp;"",입력옵션!$F$22:$F$53,0)),$C33&amp;"")))</f>
        <v/>
      </c>
      <c r="K33" s="97">
        <f>IF($A33="",0,$G33*설정!$C$23)</f>
        <v/>
      </c>
    </row>
    <row r="34">
      <c r="A34" s="92" t="n">
        <v>2025</v>
      </c>
      <c r="B34" s="92" t="n">
        <v>2</v>
      </c>
      <c r="C34" s="92" t="inlineStr">
        <is>
          <t>L000</t>
        </is>
      </c>
      <c r="D34" s="92" t="inlineStr">
        <is>
          <t>부채총계</t>
        </is>
      </c>
      <c r="E34" s="92" t="inlineStr">
        <is>
          <t>부채</t>
        </is>
      </c>
      <c r="F34" s="92" t="n">
        <v>1</v>
      </c>
      <c r="G34" s="93" t="n">
        <v>2655787794000</v>
      </c>
      <c r="I34" s="9">
        <f>IF($A34="","",VALUE($A34&amp;"")*12+VALUE($B34&amp;""))</f>
        <v/>
      </c>
      <c r="J34" s="9">
        <f>IF($A34="","",IFERROR(INDEX(입력옵션!$C$22:$C$53,MATCH($C34&amp;"",입력옵션!$E$22:$E$53,0)),IFERROR(INDEX(입력옵션!$C$22:$C$53,MATCH($D34&amp;"",입력옵션!$F$22:$F$53,0)),$C34&amp;"")))</f>
        <v/>
      </c>
      <c r="K34" s="97">
        <f>IF($A34="",0,$G34*설정!$C$23)</f>
        <v/>
      </c>
    </row>
    <row r="35">
      <c r="A35" s="92" t="n">
        <v>2025</v>
      </c>
      <c r="B35" s="92" t="n">
        <v>2</v>
      </c>
      <c r="C35" s="92" t="inlineStr">
        <is>
          <t>L100</t>
        </is>
      </c>
      <c r="D35" s="92" t="inlineStr">
        <is>
          <t>보험계약부채</t>
        </is>
      </c>
      <c r="E35" s="92" t="inlineStr">
        <is>
          <t>부채</t>
        </is>
      </c>
      <c r="F35" s="92" t="n">
        <v>2</v>
      </c>
      <c r="G35" s="93" t="n">
        <v>2554559594000</v>
      </c>
      <c r="I35" s="9">
        <f>IF($A35="","",VALUE($A35&amp;"")*12+VALUE($B35&amp;""))</f>
        <v/>
      </c>
      <c r="J35" s="9">
        <f>IF($A35="","",IFERROR(INDEX(입력옵션!$C$22:$C$53,MATCH($C35&amp;"",입력옵션!$E$22:$E$53,0)),IFERROR(INDEX(입력옵션!$C$22:$C$53,MATCH($D35&amp;"",입력옵션!$F$22:$F$53,0)),$C35&amp;"")))</f>
        <v/>
      </c>
      <c r="K35" s="97">
        <f>IF($A35="",0,$G35*설정!$C$23)</f>
        <v/>
      </c>
    </row>
    <row r="36">
      <c r="A36" s="92" t="n">
        <v>2025</v>
      </c>
      <c r="B36" s="92" t="n">
        <v>2</v>
      </c>
      <c r="C36" s="92" t="inlineStr">
        <is>
          <t>L110</t>
        </is>
      </c>
      <c r="D36" s="92" t="inlineStr">
        <is>
          <t>최선추정부채(BEL)</t>
        </is>
      </c>
      <c r="E36" s="92" t="inlineStr">
        <is>
          <t>부채</t>
        </is>
      </c>
      <c r="F36" s="92" t="n">
        <v>3</v>
      </c>
      <c r="G36" s="93" t="n">
        <v>2059166200000</v>
      </c>
      <c r="I36" s="9">
        <f>IF($A36="","",VALUE($A36&amp;"")*12+VALUE($B36&amp;""))</f>
        <v/>
      </c>
      <c r="J36" s="9">
        <f>IF($A36="","",IFERROR(INDEX(입력옵션!$C$22:$C$53,MATCH($C36&amp;"",입력옵션!$E$22:$E$53,0)),IFERROR(INDEX(입력옵션!$C$22:$C$53,MATCH($D36&amp;"",입력옵션!$F$22:$F$53,0)),$C36&amp;"")))</f>
        <v/>
      </c>
      <c r="K36" s="97">
        <f>IF($A36="",0,$G36*설정!$C$23)</f>
        <v/>
      </c>
    </row>
    <row r="37">
      <c r="A37" s="92" t="n">
        <v>2025</v>
      </c>
      <c r="B37" s="92" t="n">
        <v>2</v>
      </c>
      <c r="C37" s="92" t="inlineStr">
        <is>
          <t>L120</t>
        </is>
      </c>
      <c r="D37" s="92" t="inlineStr">
        <is>
          <t>위험조정(RA)</t>
        </is>
      </c>
      <c r="E37" s="92" t="inlineStr">
        <is>
          <t>부채</t>
        </is>
      </c>
      <c r="F37" s="92" t="n">
        <v>3</v>
      </c>
      <c r="G37" s="93" t="n">
        <v>119349200000</v>
      </c>
      <c r="I37" s="9">
        <f>IF($A37="","",VALUE($A37&amp;"")*12+VALUE($B37&amp;""))</f>
        <v/>
      </c>
      <c r="J37" s="9">
        <f>IF($A37="","",IFERROR(INDEX(입력옵션!$C$22:$C$53,MATCH($C37&amp;"",입력옵션!$E$22:$E$53,0)),IFERROR(INDEX(입력옵션!$C$22:$C$53,MATCH($D37&amp;"",입력옵션!$F$22:$F$53,0)),$C37&amp;"")))</f>
        <v/>
      </c>
      <c r="K37" s="97">
        <f>IF($A37="",0,$G37*설정!$C$23)</f>
        <v/>
      </c>
    </row>
    <row r="38">
      <c r="A38" s="92" t="n">
        <v>2025</v>
      </c>
      <c r="B38" s="92" t="n">
        <v>2</v>
      </c>
      <c r="C38" s="92" t="inlineStr">
        <is>
          <t>L130</t>
        </is>
      </c>
      <c r="D38" s="92" t="inlineStr">
        <is>
          <t>보험계약마진(CSM)</t>
        </is>
      </c>
      <c r="E38" s="92" t="inlineStr">
        <is>
          <t>부채</t>
        </is>
      </c>
      <c r="F38" s="92" t="n">
        <v>3</v>
      </c>
      <c r="G38" s="93" t="n">
        <v>376044194000</v>
      </c>
      <c r="I38" s="9">
        <f>IF($A38="","",VALUE($A38&amp;"")*12+VALUE($B38&amp;""))</f>
        <v/>
      </c>
      <c r="J38" s="9">
        <f>IF($A38="","",IFERROR(INDEX(입력옵션!$C$22:$C$53,MATCH($C38&amp;"",입력옵션!$E$22:$E$53,0)),IFERROR(INDEX(입력옵션!$C$22:$C$53,MATCH($D38&amp;"",입력옵션!$F$22:$F$53,0)),$C38&amp;"")))</f>
        <v/>
      </c>
      <c r="K38" s="97">
        <f>IF($A38="",0,$G38*설정!$C$23)</f>
        <v/>
      </c>
    </row>
    <row r="39">
      <c r="A39" s="92" t="n">
        <v>2025</v>
      </c>
      <c r="B39" s="92" t="n">
        <v>2</v>
      </c>
      <c r="C39" s="92" t="inlineStr">
        <is>
          <t>L200</t>
        </is>
      </c>
      <c r="D39" s="92" t="inlineStr">
        <is>
          <t>재보험계약부채</t>
        </is>
      </c>
      <c r="E39" s="92" t="inlineStr">
        <is>
          <t>부채</t>
        </is>
      </c>
      <c r="F39" s="92" t="n">
        <v>2</v>
      </c>
      <c r="G39" s="93" t="n">
        <v>6976700000</v>
      </c>
      <c r="I39" s="9">
        <f>IF($A39="","",VALUE($A39&amp;"")*12+VALUE($B39&amp;""))</f>
        <v/>
      </c>
      <c r="J39" s="9">
        <f>IF($A39="","",IFERROR(INDEX(입력옵션!$C$22:$C$53,MATCH($C39&amp;"",입력옵션!$E$22:$E$53,0)),IFERROR(INDEX(입력옵션!$C$22:$C$53,MATCH($D39&amp;"",입력옵션!$F$22:$F$53,0)),$C39&amp;"")))</f>
        <v/>
      </c>
      <c r="K39" s="97">
        <f>IF($A39="",0,$G39*설정!$C$23)</f>
        <v/>
      </c>
    </row>
    <row r="40">
      <c r="A40" s="92" t="n">
        <v>2025</v>
      </c>
      <c r="B40" s="92" t="n">
        <v>2</v>
      </c>
      <c r="C40" s="92" t="inlineStr">
        <is>
          <t>L900</t>
        </is>
      </c>
      <c r="D40" s="92" t="inlineStr">
        <is>
          <t>기타부채</t>
        </is>
      </c>
      <c r="E40" s="92" t="inlineStr">
        <is>
          <t>부채</t>
        </is>
      </c>
      <c r="F40" s="92" t="n">
        <v>2</v>
      </c>
      <c r="G40" s="93" t="n">
        <v>94251500000</v>
      </c>
      <c r="I40" s="9">
        <f>IF($A40="","",VALUE($A40&amp;"")*12+VALUE($B40&amp;""))</f>
        <v/>
      </c>
      <c r="J40" s="9">
        <f>IF($A40="","",IFERROR(INDEX(입력옵션!$C$22:$C$53,MATCH($C40&amp;"",입력옵션!$E$22:$E$53,0)),IFERROR(INDEX(입력옵션!$C$22:$C$53,MATCH($D40&amp;"",입력옵션!$F$22:$F$53,0)),$C40&amp;"")))</f>
        <v/>
      </c>
      <c r="K40" s="97">
        <f>IF($A40="",0,$G40*설정!$C$23)</f>
        <v/>
      </c>
    </row>
    <row r="41">
      <c r="A41" s="92" t="n">
        <v>2025</v>
      </c>
      <c r="B41" s="92" t="n">
        <v>2</v>
      </c>
      <c r="C41" s="92" t="inlineStr">
        <is>
          <t>E000</t>
        </is>
      </c>
      <c r="D41" s="92" t="inlineStr">
        <is>
          <t>자본총계</t>
        </is>
      </c>
      <c r="E41" s="92" t="inlineStr">
        <is>
          <t>자본</t>
        </is>
      </c>
      <c r="F41" s="92" t="n">
        <v>1</v>
      </c>
      <c r="G41" s="93" t="n">
        <v>347009806000</v>
      </c>
      <c r="I41" s="9">
        <f>IF($A41="","",VALUE($A41&amp;"")*12+VALUE($B41&amp;""))</f>
        <v/>
      </c>
      <c r="J41" s="9">
        <f>IF($A41="","",IFERROR(INDEX(입력옵션!$C$22:$C$53,MATCH($C41&amp;"",입력옵션!$E$22:$E$53,0)),IFERROR(INDEX(입력옵션!$C$22:$C$53,MATCH($D41&amp;"",입력옵션!$F$22:$F$53,0)),$C41&amp;"")))</f>
        <v/>
      </c>
      <c r="K41" s="97">
        <f>IF($A41="",0,$G41*설정!$C$23)</f>
        <v/>
      </c>
    </row>
    <row r="42">
      <c r="A42" s="92" t="n">
        <v>2025</v>
      </c>
      <c r="B42" s="92" t="n">
        <v>2</v>
      </c>
      <c r="C42" s="92" t="inlineStr">
        <is>
          <t>E100</t>
        </is>
      </c>
      <c r="D42" s="92" t="inlineStr">
        <is>
          <t>자본금</t>
        </is>
      </c>
      <c r="E42" s="92" t="inlineStr">
        <is>
          <t>자본</t>
        </is>
      </c>
      <c r="F42" s="92" t="n">
        <v>2</v>
      </c>
      <c r="G42" s="93" t="n">
        <v>100000000000</v>
      </c>
      <c r="I42" s="9">
        <f>IF($A42="","",VALUE($A42&amp;"")*12+VALUE($B42&amp;""))</f>
        <v/>
      </c>
      <c r="J42" s="9">
        <f>IF($A42="","",IFERROR(INDEX(입력옵션!$C$22:$C$53,MATCH($C42&amp;"",입력옵션!$E$22:$E$53,0)),IFERROR(INDEX(입력옵션!$C$22:$C$53,MATCH($D42&amp;"",입력옵션!$F$22:$F$53,0)),$C42&amp;"")))</f>
        <v/>
      </c>
      <c r="K42" s="97">
        <f>IF($A42="",0,$G42*설정!$C$23)</f>
        <v/>
      </c>
    </row>
    <row r="43">
      <c r="A43" s="92" t="n">
        <v>2025</v>
      </c>
      <c r="B43" s="92" t="n">
        <v>2</v>
      </c>
      <c r="C43" s="92" t="inlineStr">
        <is>
          <t>E200</t>
        </is>
      </c>
      <c r="D43" s="92" t="inlineStr">
        <is>
          <t>이익잉여금</t>
        </is>
      </c>
      <c r="E43" s="92" t="inlineStr">
        <is>
          <t>자본</t>
        </is>
      </c>
      <c r="F43" s="92" t="n">
        <v>2</v>
      </c>
      <c r="G43" s="93" t="n">
        <v>286289306000</v>
      </c>
      <c r="I43" s="9">
        <f>IF($A43="","",VALUE($A43&amp;"")*12+VALUE($B43&amp;""))</f>
        <v/>
      </c>
      <c r="J43" s="9">
        <f>IF($A43="","",IFERROR(INDEX(입력옵션!$C$22:$C$53,MATCH($C43&amp;"",입력옵션!$E$22:$E$53,0)),IFERROR(INDEX(입력옵션!$C$22:$C$53,MATCH($D43&amp;"",입력옵션!$F$22:$F$53,0)),$C43&amp;"")))</f>
        <v/>
      </c>
      <c r="K43" s="97">
        <f>IF($A43="",0,$G43*설정!$C$23)</f>
        <v/>
      </c>
    </row>
    <row r="44">
      <c r="A44" s="92" t="n">
        <v>2025</v>
      </c>
      <c r="B44" s="92" t="n">
        <v>2</v>
      </c>
      <c r="C44" s="92" t="inlineStr">
        <is>
          <t>E300</t>
        </is>
      </c>
      <c r="D44" s="92" t="inlineStr">
        <is>
          <t>기타포괄손익누계액</t>
        </is>
      </c>
      <c r="E44" s="92" t="inlineStr">
        <is>
          <t>자본</t>
        </is>
      </c>
      <c r="F44" s="92" t="n">
        <v>2</v>
      </c>
      <c r="G44" s="93" t="n">
        <v>-39279500000</v>
      </c>
      <c r="I44" s="9">
        <f>IF($A44="","",VALUE($A44&amp;"")*12+VALUE($B44&amp;""))</f>
        <v/>
      </c>
      <c r="J44" s="9">
        <f>IF($A44="","",IFERROR(INDEX(입력옵션!$C$22:$C$53,MATCH($C44&amp;"",입력옵션!$E$22:$E$53,0)),IFERROR(INDEX(입력옵션!$C$22:$C$53,MATCH($D44&amp;"",입력옵션!$F$22:$F$53,0)),$C44&amp;"")))</f>
        <v/>
      </c>
      <c r="K44" s="97">
        <f>IF($A44="",0,$G44*설정!$C$23)</f>
        <v/>
      </c>
    </row>
    <row r="45">
      <c r="A45" s="92" t="n">
        <v>2025</v>
      </c>
      <c r="B45" s="92" t="n">
        <v>3</v>
      </c>
      <c r="C45" s="92" t="inlineStr">
        <is>
          <t>A000</t>
        </is>
      </c>
      <c r="D45" s="92" t="inlineStr">
        <is>
          <t>자산총계</t>
        </is>
      </c>
      <c r="E45" s="92" t="inlineStr">
        <is>
          <t>자산</t>
        </is>
      </c>
      <c r="F45" s="92" t="n">
        <v>1</v>
      </c>
      <c r="G45" s="93" t="n">
        <v>3014114500000</v>
      </c>
      <c r="I45" s="9">
        <f>IF($A45="","",VALUE($A45&amp;"")*12+VALUE($B45&amp;""))</f>
        <v/>
      </c>
      <c r="J45" s="9">
        <f>IF($A45="","",IFERROR(INDEX(입력옵션!$C$22:$C$53,MATCH($C45&amp;"",입력옵션!$E$22:$E$53,0)),IFERROR(INDEX(입력옵션!$C$22:$C$53,MATCH($D45&amp;"",입력옵션!$F$22:$F$53,0)),$C45&amp;"")))</f>
        <v/>
      </c>
      <c r="K45" s="97">
        <f>IF($A45="",0,$G45*설정!$C$23)</f>
        <v/>
      </c>
    </row>
    <row r="46">
      <c r="A46" s="92" t="n">
        <v>2025</v>
      </c>
      <c r="B46" s="92" t="n">
        <v>3</v>
      </c>
      <c r="C46" s="92" t="inlineStr">
        <is>
          <t>A100</t>
        </is>
      </c>
      <c r="D46" s="92" t="inlineStr">
        <is>
          <t>운용자산</t>
        </is>
      </c>
      <c r="E46" s="92" t="inlineStr">
        <is>
          <t>자산</t>
        </is>
      </c>
      <c r="F46" s="92" t="n">
        <v>2</v>
      </c>
      <c r="G46" s="93" t="n">
        <v>2803072500000</v>
      </c>
      <c r="I46" s="9">
        <f>IF($A46="","",VALUE($A46&amp;"")*12+VALUE($B46&amp;""))</f>
        <v/>
      </c>
      <c r="J46" s="9">
        <f>IF($A46="","",IFERROR(INDEX(입력옵션!$C$22:$C$53,MATCH($C46&amp;"",입력옵션!$E$22:$E$53,0)),IFERROR(INDEX(입력옵션!$C$22:$C$53,MATCH($D46&amp;"",입력옵션!$F$22:$F$53,0)),$C46&amp;"")))</f>
        <v/>
      </c>
      <c r="K46" s="97">
        <f>IF($A46="",0,$G46*설정!$C$23)</f>
        <v/>
      </c>
    </row>
    <row r="47">
      <c r="A47" s="92" t="n">
        <v>2025</v>
      </c>
      <c r="B47" s="92" t="n">
        <v>3</v>
      </c>
      <c r="C47" s="92" t="inlineStr">
        <is>
          <t>A110</t>
        </is>
      </c>
      <c r="D47" s="92" t="inlineStr">
        <is>
          <t>현금및예치금</t>
        </is>
      </c>
      <c r="E47" s="92" t="inlineStr">
        <is>
          <t>자산</t>
        </is>
      </c>
      <c r="F47" s="92" t="n">
        <v>3</v>
      </c>
      <c r="G47" s="93" t="n">
        <v>85804000000</v>
      </c>
      <c r="I47" s="9">
        <f>IF($A47="","",VALUE($A47&amp;"")*12+VALUE($B47&amp;""))</f>
        <v/>
      </c>
      <c r="J47" s="9">
        <f>IF($A47="","",IFERROR(INDEX(입력옵션!$C$22:$C$53,MATCH($C47&amp;"",입력옵션!$E$22:$E$53,0)),IFERROR(INDEX(입력옵션!$C$22:$C$53,MATCH($D47&amp;"",입력옵션!$F$22:$F$53,0)),$C47&amp;"")))</f>
        <v/>
      </c>
      <c r="K47" s="97">
        <f>IF($A47="",0,$G47*설정!$C$23)</f>
        <v/>
      </c>
    </row>
    <row r="48">
      <c r="A48" s="92" t="n">
        <v>2025</v>
      </c>
      <c r="B48" s="92" t="n">
        <v>3</v>
      </c>
      <c r="C48" s="92" t="inlineStr">
        <is>
          <t>A120</t>
        </is>
      </c>
      <c r="D48" s="92" t="inlineStr">
        <is>
          <t>유가증권</t>
        </is>
      </c>
      <c r="E48" s="92" t="inlineStr">
        <is>
          <t>자산</t>
        </is>
      </c>
      <c r="F48" s="92" t="n">
        <v>3</v>
      </c>
      <c r="G48" s="93" t="n">
        <v>2115687700000</v>
      </c>
      <c r="I48" s="9">
        <f>IF($A48="","",VALUE($A48&amp;"")*12+VALUE($B48&amp;""))</f>
        <v/>
      </c>
      <c r="J48" s="9">
        <f>IF($A48="","",IFERROR(INDEX(입력옵션!$C$22:$C$53,MATCH($C48&amp;"",입력옵션!$E$22:$E$53,0)),IFERROR(INDEX(입력옵션!$C$22:$C$53,MATCH($D48&amp;"",입력옵션!$F$22:$F$53,0)),$C48&amp;"")))</f>
        <v/>
      </c>
      <c r="K48" s="97">
        <f>IF($A48="",0,$G48*설정!$C$23)</f>
        <v/>
      </c>
    </row>
    <row r="49">
      <c r="A49" s="92" t="n">
        <v>2025</v>
      </c>
      <c r="B49" s="92" t="n">
        <v>3</v>
      </c>
      <c r="C49" s="92" t="inlineStr">
        <is>
          <t>A130</t>
        </is>
      </c>
      <c r="D49" s="92" t="inlineStr">
        <is>
          <t>대출채권</t>
        </is>
      </c>
      <c r="E49" s="92" t="inlineStr">
        <is>
          <t>자산</t>
        </is>
      </c>
      <c r="F49" s="92" t="n">
        <v>3</v>
      </c>
      <c r="G49" s="93" t="n">
        <v>422880800000</v>
      </c>
      <c r="I49" s="9">
        <f>IF($A49="","",VALUE($A49&amp;"")*12+VALUE($B49&amp;""))</f>
        <v/>
      </c>
      <c r="J49" s="9">
        <f>IF($A49="","",IFERROR(INDEX(입력옵션!$C$22:$C$53,MATCH($C49&amp;"",입력옵션!$E$22:$E$53,0)),IFERROR(INDEX(입력옵션!$C$22:$C$53,MATCH($D49&amp;"",입력옵션!$F$22:$F$53,0)),$C49&amp;"")))</f>
        <v/>
      </c>
      <c r="K49" s="97">
        <f>IF($A49="",0,$G49*설정!$C$23)</f>
        <v/>
      </c>
    </row>
    <row r="50">
      <c r="A50" s="92" t="n">
        <v>2025</v>
      </c>
      <c r="B50" s="92" t="n">
        <v>3</v>
      </c>
      <c r="C50" s="92" t="inlineStr">
        <is>
          <t>A140</t>
        </is>
      </c>
      <c r="D50" s="92" t="inlineStr">
        <is>
          <t>투자부동산</t>
        </is>
      </c>
      <c r="E50" s="92" t="inlineStr">
        <is>
          <t>자산</t>
        </is>
      </c>
      <c r="F50" s="92" t="n">
        <v>3</v>
      </c>
      <c r="G50" s="93" t="n">
        <v>178700000000</v>
      </c>
      <c r="I50" s="9">
        <f>IF($A50="","",VALUE($A50&amp;"")*12+VALUE($B50&amp;""))</f>
        <v/>
      </c>
      <c r="J50" s="9">
        <f>IF($A50="","",IFERROR(INDEX(입력옵션!$C$22:$C$53,MATCH($C50&amp;"",입력옵션!$E$22:$E$53,0)),IFERROR(INDEX(입력옵션!$C$22:$C$53,MATCH($D50&amp;"",입력옵션!$F$22:$F$53,0)),$C50&amp;"")))</f>
        <v/>
      </c>
      <c r="K50" s="97">
        <f>IF($A50="",0,$G50*설정!$C$23)</f>
        <v/>
      </c>
    </row>
    <row r="51">
      <c r="A51" s="92" t="n">
        <v>2025</v>
      </c>
      <c r="B51" s="92" t="n">
        <v>3</v>
      </c>
      <c r="C51" s="92" t="inlineStr">
        <is>
          <t>A200</t>
        </is>
      </c>
      <c r="D51" s="92" t="inlineStr">
        <is>
          <t>보험계약자산</t>
        </is>
      </c>
      <c r="E51" s="92" t="inlineStr">
        <is>
          <t>자산</t>
        </is>
      </c>
      <c r="F51" s="92" t="n">
        <v>2</v>
      </c>
      <c r="G51" s="93" t="n">
        <v>11618400000</v>
      </c>
      <c r="I51" s="9">
        <f>IF($A51="","",VALUE($A51&amp;"")*12+VALUE($B51&amp;""))</f>
        <v/>
      </c>
      <c r="J51" s="9">
        <f>IF($A51="","",IFERROR(INDEX(입력옵션!$C$22:$C$53,MATCH($C51&amp;"",입력옵션!$E$22:$E$53,0)),IFERROR(INDEX(입력옵션!$C$22:$C$53,MATCH($D51&amp;"",입력옵션!$F$22:$F$53,0)),$C51&amp;"")))</f>
        <v/>
      </c>
      <c r="K51" s="97">
        <f>IF($A51="",0,$G51*설정!$C$23)</f>
        <v/>
      </c>
    </row>
    <row r="52">
      <c r="A52" s="92" t="n">
        <v>2025</v>
      </c>
      <c r="B52" s="92" t="n">
        <v>3</v>
      </c>
      <c r="C52" s="92" t="inlineStr">
        <is>
          <t>A300</t>
        </is>
      </c>
      <c r="D52" s="92" t="inlineStr">
        <is>
          <t>재보험계약자산</t>
        </is>
      </c>
      <c r="E52" s="92" t="inlineStr">
        <is>
          <t>자산</t>
        </is>
      </c>
      <c r="F52" s="92" t="n">
        <v>2</v>
      </c>
      <c r="G52" s="93" t="n">
        <v>40553800000</v>
      </c>
      <c r="I52" s="9">
        <f>IF($A52="","",VALUE($A52&amp;"")*12+VALUE($B52&amp;""))</f>
        <v/>
      </c>
      <c r="J52" s="9">
        <f>IF($A52="","",IFERROR(INDEX(입력옵션!$C$22:$C$53,MATCH($C52&amp;"",입력옵션!$E$22:$E$53,0)),IFERROR(INDEX(입력옵션!$C$22:$C$53,MATCH($D52&amp;"",입력옵션!$F$22:$F$53,0)),$C52&amp;"")))</f>
        <v/>
      </c>
      <c r="K52" s="97">
        <f>IF($A52="",0,$G52*설정!$C$23)</f>
        <v/>
      </c>
    </row>
    <row r="53">
      <c r="A53" s="92" t="n">
        <v>2025</v>
      </c>
      <c r="B53" s="92" t="n">
        <v>3</v>
      </c>
      <c r="C53" s="92" t="inlineStr">
        <is>
          <t>A900</t>
        </is>
      </c>
      <c r="D53" s="92" t="inlineStr">
        <is>
          <t>기타자산</t>
        </is>
      </c>
      <c r="E53" s="92" t="inlineStr">
        <is>
          <t>자산</t>
        </is>
      </c>
      <c r="F53" s="92" t="n">
        <v>2</v>
      </c>
      <c r="G53" s="93" t="n">
        <v>158869800000</v>
      </c>
      <c r="I53" s="9">
        <f>IF($A53="","",VALUE($A53&amp;"")*12+VALUE($B53&amp;""))</f>
        <v/>
      </c>
      <c r="J53" s="9">
        <f>IF($A53="","",IFERROR(INDEX(입력옵션!$C$22:$C$53,MATCH($C53&amp;"",입력옵션!$E$22:$E$53,0)),IFERROR(INDEX(입력옵션!$C$22:$C$53,MATCH($D53&amp;"",입력옵션!$F$22:$F$53,0)),$C53&amp;"")))</f>
        <v/>
      </c>
      <c r="K53" s="97">
        <f>IF($A53="",0,$G53*설정!$C$23)</f>
        <v/>
      </c>
    </row>
    <row r="54">
      <c r="A54" s="92" t="n">
        <v>2025</v>
      </c>
      <c r="B54" s="92" t="n">
        <v>3</v>
      </c>
      <c r="C54" s="92" t="inlineStr">
        <is>
          <t>L000</t>
        </is>
      </c>
      <c r="D54" s="92" t="inlineStr">
        <is>
          <t>부채총계</t>
        </is>
      </c>
      <c r="E54" s="92" t="inlineStr">
        <is>
          <t>부채</t>
        </is>
      </c>
      <c r="F54" s="92" t="n">
        <v>1</v>
      </c>
      <c r="G54" s="93" t="n">
        <v>2664636547000</v>
      </c>
      <c r="I54" s="9">
        <f>IF($A54="","",VALUE($A54&amp;"")*12+VALUE($B54&amp;""))</f>
        <v/>
      </c>
      <c r="J54" s="9">
        <f>IF($A54="","",IFERROR(INDEX(입력옵션!$C$22:$C$53,MATCH($C54&amp;"",입력옵션!$E$22:$E$53,0)),IFERROR(INDEX(입력옵션!$C$22:$C$53,MATCH($D54&amp;"",입력옵션!$F$22:$F$53,0)),$C54&amp;"")))</f>
        <v/>
      </c>
      <c r="K54" s="97">
        <f>IF($A54="",0,$G54*설정!$C$23)</f>
        <v/>
      </c>
    </row>
    <row r="55">
      <c r="A55" s="92" t="n">
        <v>2025</v>
      </c>
      <c r="B55" s="92" t="n">
        <v>3</v>
      </c>
      <c r="C55" s="92" t="inlineStr">
        <is>
          <t>L100</t>
        </is>
      </c>
      <c r="D55" s="92" t="inlineStr">
        <is>
          <t>보험계약부채</t>
        </is>
      </c>
      <c r="E55" s="92" t="inlineStr">
        <is>
          <t>부채</t>
        </is>
      </c>
      <c r="F55" s="92" t="n">
        <v>2</v>
      </c>
      <c r="G55" s="93" t="n">
        <v>2565737547000</v>
      </c>
      <c r="I55" s="9">
        <f>IF($A55="","",VALUE($A55&amp;"")*12+VALUE($B55&amp;""))</f>
        <v/>
      </c>
      <c r="J55" s="9">
        <f>IF($A55="","",IFERROR(INDEX(입력옵션!$C$22:$C$53,MATCH($C55&amp;"",입력옵션!$E$22:$E$53,0)),IFERROR(INDEX(입력옵션!$C$22:$C$53,MATCH($D55&amp;"",입력옵션!$F$22:$F$53,0)),$C55&amp;"")))</f>
        <v/>
      </c>
      <c r="K55" s="97">
        <f>IF($A55="",0,$G55*설정!$C$23)</f>
        <v/>
      </c>
    </row>
    <row r="56">
      <c r="A56" s="92" t="n">
        <v>2025</v>
      </c>
      <c r="B56" s="92" t="n">
        <v>3</v>
      </c>
      <c r="C56" s="92" t="inlineStr">
        <is>
          <t>L110</t>
        </is>
      </c>
      <c r="D56" s="92" t="inlineStr">
        <is>
          <t>최선추정부채(BEL)</t>
        </is>
      </c>
      <c r="E56" s="92" t="inlineStr">
        <is>
          <t>부채</t>
        </is>
      </c>
      <c r="F56" s="92" t="n">
        <v>3</v>
      </c>
      <c r="G56" s="93" t="n">
        <v>2069566600000</v>
      </c>
      <c r="I56" s="9">
        <f>IF($A56="","",VALUE($A56&amp;"")*12+VALUE($B56&amp;""))</f>
        <v/>
      </c>
      <c r="J56" s="9">
        <f>IF($A56="","",IFERROR(INDEX(입력옵션!$C$22:$C$53,MATCH($C56&amp;"",입력옵션!$E$22:$E$53,0)),IFERROR(INDEX(입력옵션!$C$22:$C$53,MATCH($D56&amp;"",입력옵션!$F$22:$F$53,0)),$C56&amp;"")))</f>
        <v/>
      </c>
      <c r="K56" s="97">
        <f>IF($A56="",0,$G56*설정!$C$23)</f>
        <v/>
      </c>
    </row>
    <row r="57">
      <c r="A57" s="92" t="n">
        <v>2025</v>
      </c>
      <c r="B57" s="92" t="n">
        <v>3</v>
      </c>
      <c r="C57" s="92" t="inlineStr">
        <is>
          <t>L120</t>
        </is>
      </c>
      <c r="D57" s="92" t="inlineStr">
        <is>
          <t>위험조정(RA)</t>
        </is>
      </c>
      <c r="E57" s="92" t="inlineStr">
        <is>
          <t>부채</t>
        </is>
      </c>
      <c r="F57" s="92" t="n">
        <v>3</v>
      </c>
      <c r="G57" s="93" t="n">
        <v>117750800000</v>
      </c>
      <c r="I57" s="9">
        <f>IF($A57="","",VALUE($A57&amp;"")*12+VALUE($B57&amp;""))</f>
        <v/>
      </c>
      <c r="J57" s="9">
        <f>IF($A57="","",IFERROR(INDEX(입력옵션!$C$22:$C$53,MATCH($C57&amp;"",입력옵션!$E$22:$E$53,0)),IFERROR(INDEX(입력옵션!$C$22:$C$53,MATCH($D57&amp;"",입력옵션!$F$22:$F$53,0)),$C57&amp;"")))</f>
        <v/>
      </c>
      <c r="K57" s="97">
        <f>IF($A57="",0,$G57*설정!$C$23)</f>
        <v/>
      </c>
    </row>
    <row r="58">
      <c r="A58" s="92" t="n">
        <v>2025</v>
      </c>
      <c r="B58" s="92" t="n">
        <v>3</v>
      </c>
      <c r="C58" s="92" t="inlineStr">
        <is>
          <t>L130</t>
        </is>
      </c>
      <c r="D58" s="92" t="inlineStr">
        <is>
          <t>보험계약마진(CSM)</t>
        </is>
      </c>
      <c r="E58" s="92" t="inlineStr">
        <is>
          <t>부채</t>
        </is>
      </c>
      <c r="F58" s="92" t="n">
        <v>3</v>
      </c>
      <c r="G58" s="93" t="n">
        <v>378420147000</v>
      </c>
      <c r="I58" s="9">
        <f>IF($A58="","",VALUE($A58&amp;"")*12+VALUE($B58&amp;""))</f>
        <v/>
      </c>
      <c r="J58" s="9">
        <f>IF($A58="","",IFERROR(INDEX(입력옵션!$C$22:$C$53,MATCH($C58&amp;"",입력옵션!$E$22:$E$53,0)),IFERROR(INDEX(입력옵션!$C$22:$C$53,MATCH($D58&amp;"",입력옵션!$F$22:$F$53,0)),$C58&amp;"")))</f>
        <v/>
      </c>
      <c r="K58" s="97">
        <f>IF($A58="",0,$G58*설정!$C$23)</f>
        <v/>
      </c>
    </row>
    <row r="59">
      <c r="A59" s="92" t="n">
        <v>2025</v>
      </c>
      <c r="B59" s="92" t="n">
        <v>3</v>
      </c>
      <c r="C59" s="92" t="inlineStr">
        <is>
          <t>L200</t>
        </is>
      </c>
      <c r="D59" s="92" t="inlineStr">
        <is>
          <t>재보험계약부채</t>
        </is>
      </c>
      <c r="E59" s="92" t="inlineStr">
        <is>
          <t>부채</t>
        </is>
      </c>
      <c r="F59" s="92" t="n">
        <v>2</v>
      </c>
      <c r="G59" s="93" t="n">
        <v>6527100000</v>
      </c>
      <c r="I59" s="9">
        <f>IF($A59="","",VALUE($A59&amp;"")*12+VALUE($B59&amp;""))</f>
        <v/>
      </c>
      <c r="J59" s="9">
        <f>IF($A59="","",IFERROR(INDEX(입력옵션!$C$22:$C$53,MATCH($C59&amp;"",입력옵션!$E$22:$E$53,0)),IFERROR(INDEX(입력옵션!$C$22:$C$53,MATCH($D59&amp;"",입력옵션!$F$22:$F$53,0)),$C59&amp;"")))</f>
        <v/>
      </c>
      <c r="K59" s="97">
        <f>IF($A59="",0,$G59*설정!$C$23)</f>
        <v/>
      </c>
    </row>
    <row r="60">
      <c r="A60" s="92" t="n">
        <v>2025</v>
      </c>
      <c r="B60" s="92" t="n">
        <v>3</v>
      </c>
      <c r="C60" s="92" t="inlineStr">
        <is>
          <t>L900</t>
        </is>
      </c>
      <c r="D60" s="92" t="inlineStr">
        <is>
          <t>기타부채</t>
        </is>
      </c>
      <c r="E60" s="92" t="inlineStr">
        <is>
          <t>부채</t>
        </is>
      </c>
      <c r="F60" s="92" t="n">
        <v>2</v>
      </c>
      <c r="G60" s="93" t="n">
        <v>92371900000</v>
      </c>
      <c r="I60" s="9">
        <f>IF($A60="","",VALUE($A60&amp;"")*12+VALUE($B60&amp;""))</f>
        <v/>
      </c>
      <c r="J60" s="9">
        <f>IF($A60="","",IFERROR(INDEX(입력옵션!$C$22:$C$53,MATCH($C60&amp;"",입력옵션!$E$22:$E$53,0)),IFERROR(INDEX(입력옵션!$C$22:$C$53,MATCH($D60&amp;"",입력옵션!$F$22:$F$53,0)),$C60&amp;"")))</f>
        <v/>
      </c>
      <c r="K60" s="97">
        <f>IF($A60="",0,$G60*설정!$C$23)</f>
        <v/>
      </c>
    </row>
    <row r="61">
      <c r="A61" s="92" t="n">
        <v>2025</v>
      </c>
      <c r="B61" s="92" t="n">
        <v>3</v>
      </c>
      <c r="C61" s="92" t="inlineStr">
        <is>
          <t>E000</t>
        </is>
      </c>
      <c r="D61" s="92" t="inlineStr">
        <is>
          <t>자본총계</t>
        </is>
      </c>
      <c r="E61" s="92" t="inlineStr">
        <is>
          <t>자본</t>
        </is>
      </c>
      <c r="F61" s="92" t="n">
        <v>1</v>
      </c>
      <c r="G61" s="93" t="n">
        <v>349477953000</v>
      </c>
      <c r="I61" s="9">
        <f>IF($A61="","",VALUE($A61&amp;"")*12+VALUE($B61&amp;""))</f>
        <v/>
      </c>
      <c r="J61" s="9">
        <f>IF($A61="","",IFERROR(INDEX(입력옵션!$C$22:$C$53,MATCH($C61&amp;"",입력옵션!$E$22:$E$53,0)),IFERROR(INDEX(입력옵션!$C$22:$C$53,MATCH($D61&amp;"",입력옵션!$F$22:$F$53,0)),$C61&amp;"")))</f>
        <v/>
      </c>
      <c r="K61" s="97">
        <f>IF($A61="",0,$G61*설정!$C$23)</f>
        <v/>
      </c>
    </row>
    <row r="62">
      <c r="A62" s="92" t="n">
        <v>2025</v>
      </c>
      <c r="B62" s="92" t="n">
        <v>3</v>
      </c>
      <c r="C62" s="92" t="inlineStr">
        <is>
          <t>E100</t>
        </is>
      </c>
      <c r="D62" s="92" t="inlineStr">
        <is>
          <t>자본금</t>
        </is>
      </c>
      <c r="E62" s="92" t="inlineStr">
        <is>
          <t>자본</t>
        </is>
      </c>
      <c r="F62" s="92" t="n">
        <v>2</v>
      </c>
      <c r="G62" s="93" t="n">
        <v>100000000000</v>
      </c>
      <c r="I62" s="9">
        <f>IF($A62="","",VALUE($A62&amp;"")*12+VALUE($B62&amp;""))</f>
        <v/>
      </c>
      <c r="J62" s="9">
        <f>IF($A62="","",IFERROR(INDEX(입력옵션!$C$22:$C$53,MATCH($C62&amp;"",입력옵션!$E$22:$E$53,0)),IFERROR(INDEX(입력옵션!$C$22:$C$53,MATCH($D62&amp;"",입력옵션!$F$22:$F$53,0)),$C62&amp;"")))</f>
        <v/>
      </c>
      <c r="K62" s="97">
        <f>IF($A62="",0,$G62*설정!$C$23)</f>
        <v/>
      </c>
    </row>
    <row r="63">
      <c r="A63" s="92" t="n">
        <v>2025</v>
      </c>
      <c r="B63" s="92" t="n">
        <v>3</v>
      </c>
      <c r="C63" s="92" t="inlineStr">
        <is>
          <t>E200</t>
        </is>
      </c>
      <c r="D63" s="92" t="inlineStr">
        <is>
          <t>이익잉여금</t>
        </is>
      </c>
      <c r="E63" s="92" t="inlineStr">
        <is>
          <t>자본</t>
        </is>
      </c>
      <c r="F63" s="92" t="n">
        <v>2</v>
      </c>
      <c r="G63" s="93" t="n">
        <v>291722353000</v>
      </c>
      <c r="I63" s="9">
        <f>IF($A63="","",VALUE($A63&amp;"")*12+VALUE($B63&amp;""))</f>
        <v/>
      </c>
      <c r="J63" s="9">
        <f>IF($A63="","",IFERROR(INDEX(입력옵션!$C$22:$C$53,MATCH($C63&amp;"",입력옵션!$E$22:$E$53,0)),IFERROR(INDEX(입력옵션!$C$22:$C$53,MATCH($D63&amp;"",입력옵션!$F$22:$F$53,0)),$C63&amp;"")))</f>
        <v/>
      </c>
      <c r="K63" s="97">
        <f>IF($A63="",0,$G63*설정!$C$23)</f>
        <v/>
      </c>
    </row>
    <row r="64">
      <c r="A64" s="92" t="n">
        <v>2025</v>
      </c>
      <c r="B64" s="92" t="n">
        <v>3</v>
      </c>
      <c r="C64" s="92" t="inlineStr">
        <is>
          <t>E300</t>
        </is>
      </c>
      <c r="D64" s="92" t="inlineStr">
        <is>
          <t>기타포괄손익누계액</t>
        </is>
      </c>
      <c r="E64" s="92" t="inlineStr">
        <is>
          <t>자본</t>
        </is>
      </c>
      <c r="F64" s="92" t="n">
        <v>2</v>
      </c>
      <c r="G64" s="93" t="n">
        <v>-42244400000</v>
      </c>
      <c r="I64" s="9">
        <f>IF($A64="","",VALUE($A64&amp;"")*12+VALUE($B64&amp;""))</f>
        <v/>
      </c>
      <c r="J64" s="9">
        <f>IF($A64="","",IFERROR(INDEX(입력옵션!$C$22:$C$53,MATCH($C64&amp;"",입력옵션!$E$22:$E$53,0)),IFERROR(INDEX(입력옵션!$C$22:$C$53,MATCH($D64&amp;"",입력옵션!$F$22:$F$53,0)),$C64&amp;"")))</f>
        <v/>
      </c>
      <c r="K64" s="97">
        <f>IF($A64="",0,$G64*설정!$C$23)</f>
        <v/>
      </c>
    </row>
    <row r="65">
      <c r="A65" s="92" t="n">
        <v>2025</v>
      </c>
      <c r="B65" s="92" t="n">
        <v>4</v>
      </c>
      <c r="C65" s="92" t="inlineStr">
        <is>
          <t>A000</t>
        </is>
      </c>
      <c r="D65" s="92" t="inlineStr">
        <is>
          <t>자산총계</t>
        </is>
      </c>
      <c r="E65" s="92" t="inlineStr">
        <is>
          <t>자산</t>
        </is>
      </c>
      <c r="F65" s="92" t="n">
        <v>1</v>
      </c>
      <c r="G65" s="93" t="n">
        <v>3030594900000</v>
      </c>
      <c r="I65" s="9">
        <f>IF($A65="","",VALUE($A65&amp;"")*12+VALUE($B65&amp;""))</f>
        <v/>
      </c>
      <c r="J65" s="9">
        <f>IF($A65="","",IFERROR(INDEX(입력옵션!$C$22:$C$53,MATCH($C65&amp;"",입력옵션!$E$22:$E$53,0)),IFERROR(INDEX(입력옵션!$C$22:$C$53,MATCH($D65&amp;"",입력옵션!$F$22:$F$53,0)),$C65&amp;"")))</f>
        <v/>
      </c>
      <c r="K65" s="97">
        <f>IF($A65="",0,$G65*설정!$C$23)</f>
        <v/>
      </c>
    </row>
    <row r="66">
      <c r="A66" s="92" t="n">
        <v>2025</v>
      </c>
      <c r="B66" s="92" t="n">
        <v>4</v>
      </c>
      <c r="C66" s="92" t="inlineStr">
        <is>
          <t>A100</t>
        </is>
      </c>
      <c r="D66" s="92" t="inlineStr">
        <is>
          <t>운용자산</t>
        </is>
      </c>
      <c r="E66" s="92" t="inlineStr">
        <is>
          <t>자산</t>
        </is>
      </c>
      <c r="F66" s="92" t="n">
        <v>2</v>
      </c>
      <c r="G66" s="93" t="n">
        <v>2816591600000</v>
      </c>
      <c r="I66" s="9">
        <f>IF($A66="","",VALUE($A66&amp;"")*12+VALUE($B66&amp;""))</f>
        <v/>
      </c>
      <c r="J66" s="9">
        <f>IF($A66="","",IFERROR(INDEX(입력옵션!$C$22:$C$53,MATCH($C66&amp;"",입력옵션!$E$22:$E$53,0)),IFERROR(INDEX(입력옵션!$C$22:$C$53,MATCH($D66&amp;"",입력옵션!$F$22:$F$53,0)),$C66&amp;"")))</f>
        <v/>
      </c>
      <c r="K66" s="97">
        <f>IF($A66="",0,$G66*설정!$C$23)</f>
        <v/>
      </c>
    </row>
    <row r="67">
      <c r="A67" s="92" t="n">
        <v>2025</v>
      </c>
      <c r="B67" s="92" t="n">
        <v>4</v>
      </c>
      <c r="C67" s="92" t="inlineStr">
        <is>
          <t>A110</t>
        </is>
      </c>
      <c r="D67" s="92" t="inlineStr">
        <is>
          <t>현금및예치금</t>
        </is>
      </c>
      <c r="E67" s="92" t="inlineStr">
        <is>
          <t>자산</t>
        </is>
      </c>
      <c r="F67" s="92" t="n">
        <v>3</v>
      </c>
      <c r="G67" s="93" t="n">
        <v>84508400000</v>
      </c>
      <c r="I67" s="9">
        <f>IF($A67="","",VALUE($A67&amp;"")*12+VALUE($B67&amp;""))</f>
        <v/>
      </c>
      <c r="J67" s="9">
        <f>IF($A67="","",IFERROR(INDEX(입력옵션!$C$22:$C$53,MATCH($C67&amp;"",입력옵션!$E$22:$E$53,0)),IFERROR(INDEX(입력옵션!$C$22:$C$53,MATCH($D67&amp;"",입력옵션!$F$22:$F$53,0)),$C67&amp;"")))</f>
        <v/>
      </c>
      <c r="K67" s="97">
        <f>IF($A67="",0,$G67*설정!$C$23)</f>
        <v/>
      </c>
    </row>
    <row r="68">
      <c r="A68" s="92" t="n">
        <v>2025</v>
      </c>
      <c r="B68" s="92" t="n">
        <v>4</v>
      </c>
      <c r="C68" s="92" t="inlineStr">
        <is>
          <t>A120</t>
        </is>
      </c>
      <c r="D68" s="92" t="inlineStr">
        <is>
          <t>유가증권</t>
        </is>
      </c>
      <c r="E68" s="92" t="inlineStr">
        <is>
          <t>자산</t>
        </is>
      </c>
      <c r="F68" s="92" t="n">
        <v>3</v>
      </c>
      <c r="G68" s="93" t="n">
        <v>2131099200000</v>
      </c>
      <c r="I68" s="9">
        <f>IF($A68="","",VALUE($A68&amp;"")*12+VALUE($B68&amp;""))</f>
        <v/>
      </c>
      <c r="J68" s="9">
        <f>IF($A68="","",IFERROR(INDEX(입력옵션!$C$22:$C$53,MATCH($C68&amp;"",입력옵션!$E$22:$E$53,0)),IFERROR(INDEX(입력옵션!$C$22:$C$53,MATCH($D68&amp;"",입력옵션!$F$22:$F$53,0)),$C68&amp;"")))</f>
        <v/>
      </c>
      <c r="K68" s="97">
        <f>IF($A68="",0,$G68*설정!$C$23)</f>
        <v/>
      </c>
    </row>
    <row r="69">
      <c r="A69" s="92" t="n">
        <v>2025</v>
      </c>
      <c r="B69" s="92" t="n">
        <v>4</v>
      </c>
      <c r="C69" s="92" t="inlineStr">
        <is>
          <t>A130</t>
        </is>
      </c>
      <c r="D69" s="92" t="inlineStr">
        <is>
          <t>대출채권</t>
        </is>
      </c>
      <c r="E69" s="92" t="inlineStr">
        <is>
          <t>자산</t>
        </is>
      </c>
      <c r="F69" s="92" t="n">
        <v>3</v>
      </c>
      <c r="G69" s="93" t="n">
        <v>422934000000</v>
      </c>
      <c r="I69" s="9">
        <f>IF($A69="","",VALUE($A69&amp;"")*12+VALUE($B69&amp;""))</f>
        <v/>
      </c>
      <c r="J69" s="9">
        <f>IF($A69="","",IFERROR(INDEX(입력옵션!$C$22:$C$53,MATCH($C69&amp;"",입력옵션!$E$22:$E$53,0)),IFERROR(INDEX(입력옵션!$C$22:$C$53,MATCH($D69&amp;"",입력옵션!$F$22:$F$53,0)),$C69&amp;"")))</f>
        <v/>
      </c>
      <c r="K69" s="97">
        <f>IF($A69="",0,$G69*설정!$C$23)</f>
        <v/>
      </c>
    </row>
    <row r="70">
      <c r="A70" s="92" t="n">
        <v>2025</v>
      </c>
      <c r="B70" s="92" t="n">
        <v>4</v>
      </c>
      <c r="C70" s="92" t="inlineStr">
        <is>
          <t>A140</t>
        </is>
      </c>
      <c r="D70" s="92" t="inlineStr">
        <is>
          <t>투자부동산</t>
        </is>
      </c>
      <c r="E70" s="92" t="inlineStr">
        <is>
          <t>자산</t>
        </is>
      </c>
      <c r="F70" s="92" t="n">
        <v>3</v>
      </c>
      <c r="G70" s="93" t="n">
        <v>178050000000</v>
      </c>
      <c r="I70" s="9">
        <f>IF($A70="","",VALUE($A70&amp;"")*12+VALUE($B70&amp;""))</f>
        <v/>
      </c>
      <c r="J70" s="9">
        <f>IF($A70="","",IFERROR(INDEX(입력옵션!$C$22:$C$53,MATCH($C70&amp;"",입력옵션!$E$22:$E$53,0)),IFERROR(INDEX(입력옵션!$C$22:$C$53,MATCH($D70&amp;"",입력옵션!$F$22:$F$53,0)),$C70&amp;"")))</f>
        <v/>
      </c>
      <c r="K70" s="97">
        <f>IF($A70="",0,$G70*설정!$C$23)</f>
        <v/>
      </c>
    </row>
    <row r="71">
      <c r="A71" s="92" t="n">
        <v>2025</v>
      </c>
      <c r="B71" s="92" t="n">
        <v>4</v>
      </c>
      <c r="C71" s="92" t="inlineStr">
        <is>
          <t>A200</t>
        </is>
      </c>
      <c r="D71" s="92" t="inlineStr">
        <is>
          <t>보험계약자산</t>
        </is>
      </c>
      <c r="E71" s="92" t="inlineStr">
        <is>
          <t>자산</t>
        </is>
      </c>
      <c r="F71" s="92" t="n">
        <v>2</v>
      </c>
      <c r="G71" s="93" t="n">
        <v>11710100000</v>
      </c>
      <c r="I71" s="9">
        <f>IF($A71="","",VALUE($A71&amp;"")*12+VALUE($B71&amp;""))</f>
        <v/>
      </c>
      <c r="J71" s="9">
        <f>IF($A71="","",IFERROR(INDEX(입력옵션!$C$22:$C$53,MATCH($C71&amp;"",입력옵션!$E$22:$E$53,0)),IFERROR(INDEX(입력옵션!$C$22:$C$53,MATCH($D71&amp;"",입력옵션!$F$22:$F$53,0)),$C71&amp;"")))</f>
        <v/>
      </c>
      <c r="K71" s="97">
        <f>IF($A71="",0,$G71*설정!$C$23)</f>
        <v/>
      </c>
    </row>
    <row r="72">
      <c r="A72" s="92" t="n">
        <v>2025</v>
      </c>
      <c r="B72" s="92" t="n">
        <v>4</v>
      </c>
      <c r="C72" s="92" t="inlineStr">
        <is>
          <t>A300</t>
        </is>
      </c>
      <c r="D72" s="92" t="inlineStr">
        <is>
          <t>재보험계약자산</t>
        </is>
      </c>
      <c r="E72" s="92" t="inlineStr">
        <is>
          <t>자산</t>
        </is>
      </c>
      <c r="F72" s="92" t="n">
        <v>2</v>
      </c>
      <c r="G72" s="93" t="n">
        <v>40476800000</v>
      </c>
      <c r="I72" s="9">
        <f>IF($A72="","",VALUE($A72&amp;"")*12+VALUE($B72&amp;""))</f>
        <v/>
      </c>
      <c r="J72" s="9">
        <f>IF($A72="","",IFERROR(INDEX(입력옵션!$C$22:$C$53,MATCH($C72&amp;"",입력옵션!$E$22:$E$53,0)),IFERROR(INDEX(입력옵션!$C$22:$C$53,MATCH($D72&amp;"",입력옵션!$F$22:$F$53,0)),$C72&amp;"")))</f>
        <v/>
      </c>
      <c r="K72" s="97">
        <f>IF($A72="",0,$G72*설정!$C$23)</f>
        <v/>
      </c>
    </row>
    <row r="73">
      <c r="A73" s="92" t="n">
        <v>2025</v>
      </c>
      <c r="B73" s="92" t="n">
        <v>4</v>
      </c>
      <c r="C73" s="92" t="inlineStr">
        <is>
          <t>A900</t>
        </is>
      </c>
      <c r="D73" s="92" t="inlineStr">
        <is>
          <t>기타자산</t>
        </is>
      </c>
      <c r="E73" s="92" t="inlineStr">
        <is>
          <t>자산</t>
        </is>
      </c>
      <c r="F73" s="92" t="n">
        <v>2</v>
      </c>
      <c r="G73" s="93" t="n">
        <v>161816400000</v>
      </c>
      <c r="I73" s="9">
        <f>IF($A73="","",VALUE($A73&amp;"")*12+VALUE($B73&amp;""))</f>
        <v/>
      </c>
      <c r="J73" s="9">
        <f>IF($A73="","",IFERROR(INDEX(입력옵션!$C$22:$C$53,MATCH($C73&amp;"",입력옵션!$E$22:$E$53,0)),IFERROR(INDEX(입력옵션!$C$22:$C$53,MATCH($D73&amp;"",입력옵션!$F$22:$F$53,0)),$C73&amp;"")))</f>
        <v/>
      </c>
      <c r="K73" s="97">
        <f>IF($A73="",0,$G73*설정!$C$23)</f>
        <v/>
      </c>
    </row>
    <row r="74">
      <c r="A74" s="92" t="n">
        <v>2025</v>
      </c>
      <c r="B74" s="92" t="n">
        <v>4</v>
      </c>
      <c r="C74" s="92" t="inlineStr">
        <is>
          <t>L000</t>
        </is>
      </c>
      <c r="D74" s="92" t="inlineStr">
        <is>
          <t>부채총계</t>
        </is>
      </c>
      <c r="E74" s="92" t="inlineStr">
        <is>
          <t>부채</t>
        </is>
      </c>
      <c r="F74" s="92" t="n">
        <v>1</v>
      </c>
      <c r="G74" s="93" t="n">
        <v>2679268196000</v>
      </c>
      <c r="I74" s="9">
        <f>IF($A74="","",VALUE($A74&amp;"")*12+VALUE($B74&amp;""))</f>
        <v/>
      </c>
      <c r="J74" s="9">
        <f>IF($A74="","",IFERROR(INDEX(입력옵션!$C$22:$C$53,MATCH($C74&amp;"",입력옵션!$E$22:$E$53,0)),IFERROR(INDEX(입력옵션!$C$22:$C$53,MATCH($D74&amp;"",입력옵션!$F$22:$F$53,0)),$C74&amp;"")))</f>
        <v/>
      </c>
      <c r="K74" s="97">
        <f>IF($A74="",0,$G74*설정!$C$23)</f>
        <v/>
      </c>
    </row>
    <row r="75">
      <c r="A75" s="92" t="n">
        <v>2025</v>
      </c>
      <c r="B75" s="92" t="n">
        <v>4</v>
      </c>
      <c r="C75" s="92" t="inlineStr">
        <is>
          <t>L100</t>
        </is>
      </c>
      <c r="D75" s="92" t="inlineStr">
        <is>
          <t>보험계약부채</t>
        </is>
      </c>
      <c r="E75" s="92" t="inlineStr">
        <is>
          <t>부채</t>
        </is>
      </c>
      <c r="F75" s="92" t="n">
        <v>2</v>
      </c>
      <c r="G75" s="93" t="n">
        <v>2575050496000</v>
      </c>
      <c r="I75" s="9">
        <f>IF($A75="","",VALUE($A75&amp;"")*12+VALUE($B75&amp;""))</f>
        <v/>
      </c>
      <c r="J75" s="9">
        <f>IF($A75="","",IFERROR(INDEX(입력옵션!$C$22:$C$53,MATCH($C75&amp;"",입력옵션!$E$22:$E$53,0)),IFERROR(INDEX(입력옵션!$C$22:$C$53,MATCH($D75&amp;"",입력옵션!$F$22:$F$53,0)),$C75&amp;"")))</f>
        <v/>
      </c>
      <c r="K75" s="97">
        <f>IF($A75="",0,$G75*설정!$C$23)</f>
        <v/>
      </c>
    </row>
    <row r="76">
      <c r="A76" s="92" t="n">
        <v>2025</v>
      </c>
      <c r="B76" s="92" t="n">
        <v>4</v>
      </c>
      <c r="C76" s="92" t="inlineStr">
        <is>
          <t>L110</t>
        </is>
      </c>
      <c r="D76" s="92" t="inlineStr">
        <is>
          <t>최선추정부채(BEL)</t>
        </is>
      </c>
      <c r="E76" s="92" t="inlineStr">
        <is>
          <t>부채</t>
        </is>
      </c>
      <c r="F76" s="92" t="n">
        <v>3</v>
      </c>
      <c r="G76" s="93" t="n">
        <v>2074957800000</v>
      </c>
      <c r="I76" s="9">
        <f>IF($A76="","",VALUE($A76&amp;"")*12+VALUE($B76&amp;""))</f>
        <v/>
      </c>
      <c r="J76" s="9">
        <f>IF($A76="","",IFERROR(INDEX(입력옵션!$C$22:$C$53,MATCH($C76&amp;"",입력옵션!$E$22:$E$53,0)),IFERROR(INDEX(입력옵션!$C$22:$C$53,MATCH($D76&amp;"",입력옵션!$F$22:$F$53,0)),$C76&amp;"")))</f>
        <v/>
      </c>
      <c r="K76" s="97">
        <f>IF($A76="",0,$G76*설정!$C$23)</f>
        <v/>
      </c>
    </row>
    <row r="77">
      <c r="A77" s="92" t="n">
        <v>2025</v>
      </c>
      <c r="B77" s="92" t="n">
        <v>4</v>
      </c>
      <c r="C77" s="92" t="inlineStr">
        <is>
          <t>L120</t>
        </is>
      </c>
      <c r="D77" s="92" t="inlineStr">
        <is>
          <t>위험조정(RA)</t>
        </is>
      </c>
      <c r="E77" s="92" t="inlineStr">
        <is>
          <t>부채</t>
        </is>
      </c>
      <c r="F77" s="92" t="n">
        <v>3</v>
      </c>
      <c r="G77" s="93" t="n">
        <v>119488100000</v>
      </c>
      <c r="I77" s="9">
        <f>IF($A77="","",VALUE($A77&amp;"")*12+VALUE($B77&amp;""))</f>
        <v/>
      </c>
      <c r="J77" s="9">
        <f>IF($A77="","",IFERROR(INDEX(입력옵션!$C$22:$C$53,MATCH($C77&amp;"",입력옵션!$E$22:$E$53,0)),IFERROR(INDEX(입력옵션!$C$22:$C$53,MATCH($D77&amp;"",입력옵션!$F$22:$F$53,0)),$C77&amp;"")))</f>
        <v/>
      </c>
      <c r="K77" s="97">
        <f>IF($A77="",0,$G77*설정!$C$23)</f>
        <v/>
      </c>
    </row>
    <row r="78">
      <c r="A78" s="92" t="n">
        <v>2025</v>
      </c>
      <c r="B78" s="92" t="n">
        <v>4</v>
      </c>
      <c r="C78" s="92" t="inlineStr">
        <is>
          <t>L130</t>
        </is>
      </c>
      <c r="D78" s="92" t="inlineStr">
        <is>
          <t>보험계약마진(CSM)</t>
        </is>
      </c>
      <c r="E78" s="92" t="inlineStr">
        <is>
          <t>부채</t>
        </is>
      </c>
      <c r="F78" s="92" t="n">
        <v>3</v>
      </c>
      <c r="G78" s="93" t="n">
        <v>380604596000</v>
      </c>
      <c r="I78" s="9">
        <f>IF($A78="","",VALUE($A78&amp;"")*12+VALUE($B78&amp;""))</f>
        <v/>
      </c>
      <c r="J78" s="9">
        <f>IF($A78="","",IFERROR(INDEX(입력옵션!$C$22:$C$53,MATCH($C78&amp;"",입력옵션!$E$22:$E$53,0)),IFERROR(INDEX(입력옵션!$C$22:$C$53,MATCH($D78&amp;"",입력옵션!$F$22:$F$53,0)),$C78&amp;"")))</f>
        <v/>
      </c>
      <c r="K78" s="97">
        <f>IF($A78="",0,$G78*설정!$C$23)</f>
        <v/>
      </c>
    </row>
    <row r="79">
      <c r="A79" s="92" t="n">
        <v>2025</v>
      </c>
      <c r="B79" s="92" t="n">
        <v>4</v>
      </c>
      <c r="C79" s="92" t="inlineStr">
        <is>
          <t>L200</t>
        </is>
      </c>
      <c r="D79" s="92" t="inlineStr">
        <is>
          <t>재보험계약부채</t>
        </is>
      </c>
      <c r="E79" s="92" t="inlineStr">
        <is>
          <t>부채</t>
        </is>
      </c>
      <c r="F79" s="92" t="n">
        <v>2</v>
      </c>
      <c r="G79" s="93" t="n">
        <v>6830900000</v>
      </c>
      <c r="I79" s="9">
        <f>IF($A79="","",VALUE($A79&amp;"")*12+VALUE($B79&amp;""))</f>
        <v/>
      </c>
      <c r="J79" s="9">
        <f>IF($A79="","",IFERROR(INDEX(입력옵션!$C$22:$C$53,MATCH($C79&amp;"",입력옵션!$E$22:$E$53,0)),IFERROR(INDEX(입력옵션!$C$22:$C$53,MATCH($D79&amp;"",입력옵션!$F$22:$F$53,0)),$C79&amp;"")))</f>
        <v/>
      </c>
      <c r="K79" s="97">
        <f>IF($A79="",0,$G79*설정!$C$23)</f>
        <v/>
      </c>
    </row>
    <row r="80">
      <c r="A80" s="92" t="n">
        <v>2025</v>
      </c>
      <c r="B80" s="92" t="n">
        <v>4</v>
      </c>
      <c r="C80" s="92" t="inlineStr">
        <is>
          <t>L900</t>
        </is>
      </c>
      <c r="D80" s="92" t="inlineStr">
        <is>
          <t>기타부채</t>
        </is>
      </c>
      <c r="E80" s="92" t="inlineStr">
        <is>
          <t>부채</t>
        </is>
      </c>
      <c r="F80" s="92" t="n">
        <v>2</v>
      </c>
      <c r="G80" s="93" t="n">
        <v>97386800000</v>
      </c>
      <c r="I80" s="9">
        <f>IF($A80="","",VALUE($A80&amp;"")*12+VALUE($B80&amp;""))</f>
        <v/>
      </c>
      <c r="J80" s="9">
        <f>IF($A80="","",IFERROR(INDEX(입력옵션!$C$22:$C$53,MATCH($C80&amp;"",입력옵션!$E$22:$E$53,0)),IFERROR(INDEX(입력옵션!$C$22:$C$53,MATCH($D80&amp;"",입력옵션!$F$22:$F$53,0)),$C80&amp;"")))</f>
        <v/>
      </c>
      <c r="K80" s="97">
        <f>IF($A80="",0,$G80*설정!$C$23)</f>
        <v/>
      </c>
    </row>
    <row r="81">
      <c r="A81" s="92" t="n">
        <v>2025</v>
      </c>
      <c r="B81" s="92" t="n">
        <v>4</v>
      </c>
      <c r="C81" s="92" t="inlineStr">
        <is>
          <t>E000</t>
        </is>
      </c>
      <c r="D81" s="92" t="inlineStr">
        <is>
          <t>자본총계</t>
        </is>
      </c>
      <c r="E81" s="92" t="inlineStr">
        <is>
          <t>자본</t>
        </is>
      </c>
      <c r="F81" s="92" t="n">
        <v>1</v>
      </c>
      <c r="G81" s="93" t="n">
        <v>351326704000</v>
      </c>
      <c r="I81" s="9">
        <f>IF($A81="","",VALUE($A81&amp;"")*12+VALUE($B81&amp;""))</f>
        <v/>
      </c>
      <c r="J81" s="9">
        <f>IF($A81="","",IFERROR(INDEX(입력옵션!$C$22:$C$53,MATCH($C81&amp;"",입력옵션!$E$22:$E$53,0)),IFERROR(INDEX(입력옵션!$C$22:$C$53,MATCH($D81&amp;"",입력옵션!$F$22:$F$53,0)),$C81&amp;"")))</f>
        <v/>
      </c>
      <c r="K81" s="97">
        <f>IF($A81="",0,$G81*설정!$C$23)</f>
        <v/>
      </c>
    </row>
    <row r="82">
      <c r="A82" s="92" t="n">
        <v>2025</v>
      </c>
      <c r="B82" s="92" t="n">
        <v>4</v>
      </c>
      <c r="C82" s="92" t="inlineStr">
        <is>
          <t>E100</t>
        </is>
      </c>
      <c r="D82" s="92" t="inlineStr">
        <is>
          <t>자본금</t>
        </is>
      </c>
      <c r="E82" s="92" t="inlineStr">
        <is>
          <t>자본</t>
        </is>
      </c>
      <c r="F82" s="92" t="n">
        <v>2</v>
      </c>
      <c r="G82" s="93" t="n">
        <v>100000000000</v>
      </c>
      <c r="I82" s="9">
        <f>IF($A82="","",VALUE($A82&amp;"")*12+VALUE($B82&amp;""))</f>
        <v/>
      </c>
      <c r="J82" s="9">
        <f>IF($A82="","",IFERROR(INDEX(입력옵션!$C$22:$C$53,MATCH($C82&amp;"",입력옵션!$E$22:$E$53,0)),IFERROR(INDEX(입력옵션!$C$22:$C$53,MATCH($D82&amp;"",입력옵션!$F$22:$F$53,0)),$C82&amp;"")))</f>
        <v/>
      </c>
      <c r="K82" s="97">
        <f>IF($A82="",0,$G82*설정!$C$23)</f>
        <v/>
      </c>
    </row>
    <row r="83">
      <c r="A83" s="92" t="n">
        <v>2025</v>
      </c>
      <c r="B83" s="92" t="n">
        <v>4</v>
      </c>
      <c r="C83" s="92" t="inlineStr">
        <is>
          <t>E200</t>
        </is>
      </c>
      <c r="D83" s="92" t="inlineStr">
        <is>
          <t>이익잉여금</t>
        </is>
      </c>
      <c r="E83" s="92" t="inlineStr">
        <is>
          <t>자본</t>
        </is>
      </c>
      <c r="F83" s="92" t="n">
        <v>2</v>
      </c>
      <c r="G83" s="93" t="n">
        <v>290399704000</v>
      </c>
      <c r="I83" s="9">
        <f>IF($A83="","",VALUE($A83&amp;"")*12+VALUE($B83&amp;""))</f>
        <v/>
      </c>
      <c r="J83" s="9">
        <f>IF($A83="","",IFERROR(INDEX(입력옵션!$C$22:$C$53,MATCH($C83&amp;"",입력옵션!$E$22:$E$53,0)),IFERROR(INDEX(입력옵션!$C$22:$C$53,MATCH($D83&amp;"",입력옵션!$F$22:$F$53,0)),$C83&amp;"")))</f>
        <v/>
      </c>
      <c r="K83" s="97">
        <f>IF($A83="",0,$G83*설정!$C$23)</f>
        <v/>
      </c>
    </row>
    <row r="84">
      <c r="A84" s="92" t="n">
        <v>2025</v>
      </c>
      <c r="B84" s="92" t="n">
        <v>4</v>
      </c>
      <c r="C84" s="92" t="inlineStr">
        <is>
          <t>E300</t>
        </is>
      </c>
      <c r="D84" s="92" t="inlineStr">
        <is>
          <t>기타포괄손익누계액</t>
        </is>
      </c>
      <c r="E84" s="92" t="inlineStr">
        <is>
          <t>자본</t>
        </is>
      </c>
      <c r="F84" s="92" t="n">
        <v>2</v>
      </c>
      <c r="G84" s="93" t="n">
        <v>-39073000000</v>
      </c>
      <c r="I84" s="9">
        <f>IF($A84="","",VALUE($A84&amp;"")*12+VALUE($B84&amp;""))</f>
        <v/>
      </c>
      <c r="J84" s="9">
        <f>IF($A84="","",IFERROR(INDEX(입력옵션!$C$22:$C$53,MATCH($C84&amp;"",입력옵션!$E$22:$E$53,0)),IFERROR(INDEX(입력옵션!$C$22:$C$53,MATCH($D84&amp;"",입력옵션!$F$22:$F$53,0)),$C84&amp;"")))</f>
        <v/>
      </c>
      <c r="K84" s="97">
        <f>IF($A84="",0,$G84*설정!$C$23)</f>
        <v/>
      </c>
    </row>
    <row r="85">
      <c r="A85" s="92" t="n">
        <v>2025</v>
      </c>
      <c r="B85" s="92" t="n">
        <v>5</v>
      </c>
      <c r="C85" s="92" t="inlineStr">
        <is>
          <t>A000</t>
        </is>
      </c>
      <c r="D85" s="92" t="inlineStr">
        <is>
          <t>자산총계</t>
        </is>
      </c>
      <c r="E85" s="92" t="inlineStr">
        <is>
          <t>자산</t>
        </is>
      </c>
      <c r="F85" s="92" t="n">
        <v>1</v>
      </c>
      <c r="G85" s="93" t="n">
        <v>3042886700000</v>
      </c>
      <c r="I85" s="9">
        <f>IF($A85="","",VALUE($A85&amp;"")*12+VALUE($B85&amp;""))</f>
        <v/>
      </c>
      <c r="J85" s="9">
        <f>IF($A85="","",IFERROR(INDEX(입력옵션!$C$22:$C$53,MATCH($C85&amp;"",입력옵션!$E$22:$E$53,0)),IFERROR(INDEX(입력옵션!$C$22:$C$53,MATCH($D85&amp;"",입력옵션!$F$22:$F$53,0)),$C85&amp;"")))</f>
        <v/>
      </c>
      <c r="K85" s="97">
        <f>IF($A85="",0,$G85*설정!$C$23)</f>
        <v/>
      </c>
    </row>
    <row r="86">
      <c r="A86" s="92" t="n">
        <v>2025</v>
      </c>
      <c r="B86" s="92" t="n">
        <v>5</v>
      </c>
      <c r="C86" s="92" t="inlineStr">
        <is>
          <t>A100</t>
        </is>
      </c>
      <c r="D86" s="92" t="inlineStr">
        <is>
          <t>운용자산</t>
        </is>
      </c>
      <c r="E86" s="92" t="inlineStr">
        <is>
          <t>자산</t>
        </is>
      </c>
      <c r="F86" s="92" t="n">
        <v>2</v>
      </c>
      <c r="G86" s="93" t="n">
        <v>2825779600000</v>
      </c>
      <c r="I86" s="9">
        <f>IF($A86="","",VALUE($A86&amp;"")*12+VALUE($B86&amp;""))</f>
        <v/>
      </c>
      <c r="J86" s="9">
        <f>IF($A86="","",IFERROR(INDEX(입력옵션!$C$22:$C$53,MATCH($C86&amp;"",입력옵션!$E$22:$E$53,0)),IFERROR(INDEX(입력옵션!$C$22:$C$53,MATCH($D86&amp;"",입력옵션!$F$22:$F$53,0)),$C86&amp;"")))</f>
        <v/>
      </c>
      <c r="K86" s="97">
        <f>IF($A86="",0,$G86*설정!$C$23)</f>
        <v/>
      </c>
    </row>
    <row r="87">
      <c r="A87" s="92" t="n">
        <v>2025</v>
      </c>
      <c r="B87" s="92" t="n">
        <v>5</v>
      </c>
      <c r="C87" s="92" t="inlineStr">
        <is>
          <t>A110</t>
        </is>
      </c>
      <c r="D87" s="92" t="inlineStr">
        <is>
          <t>현금및예치금</t>
        </is>
      </c>
      <c r="E87" s="92" t="inlineStr">
        <is>
          <t>자산</t>
        </is>
      </c>
      <c r="F87" s="92" t="n">
        <v>3</v>
      </c>
      <c r="G87" s="93" t="n">
        <v>83229700000</v>
      </c>
      <c r="I87" s="9">
        <f>IF($A87="","",VALUE($A87&amp;"")*12+VALUE($B87&amp;""))</f>
        <v/>
      </c>
      <c r="J87" s="9">
        <f>IF($A87="","",IFERROR(INDEX(입력옵션!$C$22:$C$53,MATCH($C87&amp;"",입력옵션!$E$22:$E$53,0)),IFERROR(INDEX(입력옵션!$C$22:$C$53,MATCH($D87&amp;"",입력옵션!$F$22:$F$53,0)),$C87&amp;"")))</f>
        <v/>
      </c>
      <c r="K87" s="97">
        <f>IF($A87="",0,$G87*설정!$C$23)</f>
        <v/>
      </c>
    </row>
    <row r="88">
      <c r="A88" s="92" t="n">
        <v>2025</v>
      </c>
      <c r="B88" s="92" t="n">
        <v>5</v>
      </c>
      <c r="C88" s="92" t="inlineStr">
        <is>
          <t>A120</t>
        </is>
      </c>
      <c r="D88" s="92" t="inlineStr">
        <is>
          <t>유가증권</t>
        </is>
      </c>
      <c r="E88" s="92" t="inlineStr">
        <is>
          <t>자산</t>
        </is>
      </c>
      <c r="F88" s="92" t="n">
        <v>3</v>
      </c>
      <c r="G88" s="93" t="n">
        <v>2140204800000</v>
      </c>
      <c r="I88" s="9">
        <f>IF($A88="","",VALUE($A88&amp;"")*12+VALUE($B88&amp;""))</f>
        <v/>
      </c>
      <c r="J88" s="9">
        <f>IF($A88="","",IFERROR(INDEX(입력옵션!$C$22:$C$53,MATCH($C88&amp;"",입력옵션!$E$22:$E$53,0)),IFERROR(INDEX(입력옵션!$C$22:$C$53,MATCH($D88&amp;"",입력옵션!$F$22:$F$53,0)),$C88&amp;"")))</f>
        <v/>
      </c>
      <c r="K88" s="97">
        <f>IF($A88="",0,$G88*설정!$C$23)</f>
        <v/>
      </c>
    </row>
    <row r="89">
      <c r="A89" s="92" t="n">
        <v>2025</v>
      </c>
      <c r="B89" s="92" t="n">
        <v>5</v>
      </c>
      <c r="C89" s="92" t="inlineStr">
        <is>
          <t>A130</t>
        </is>
      </c>
      <c r="D89" s="92" t="inlineStr">
        <is>
          <t>대출채권</t>
        </is>
      </c>
      <c r="E89" s="92" t="inlineStr">
        <is>
          <t>자산</t>
        </is>
      </c>
      <c r="F89" s="92" t="n">
        <v>3</v>
      </c>
      <c r="G89" s="93" t="n">
        <v>424945100000</v>
      </c>
      <c r="I89" s="9">
        <f>IF($A89="","",VALUE($A89&amp;"")*12+VALUE($B89&amp;""))</f>
        <v/>
      </c>
      <c r="J89" s="9">
        <f>IF($A89="","",IFERROR(INDEX(입력옵션!$C$22:$C$53,MATCH($C89&amp;"",입력옵션!$E$22:$E$53,0)),IFERROR(INDEX(입력옵션!$C$22:$C$53,MATCH($D89&amp;"",입력옵션!$F$22:$F$53,0)),$C89&amp;"")))</f>
        <v/>
      </c>
      <c r="K89" s="97">
        <f>IF($A89="",0,$G89*설정!$C$23)</f>
        <v/>
      </c>
    </row>
    <row r="90">
      <c r="A90" s="92" t="n">
        <v>2025</v>
      </c>
      <c r="B90" s="92" t="n">
        <v>5</v>
      </c>
      <c r="C90" s="92" t="inlineStr">
        <is>
          <t>A140</t>
        </is>
      </c>
      <c r="D90" s="92" t="inlineStr">
        <is>
          <t>투자부동산</t>
        </is>
      </c>
      <c r="E90" s="92" t="inlineStr">
        <is>
          <t>자산</t>
        </is>
      </c>
      <c r="F90" s="92" t="n">
        <v>3</v>
      </c>
      <c r="G90" s="93" t="n">
        <v>177400000000</v>
      </c>
      <c r="I90" s="9">
        <f>IF($A90="","",VALUE($A90&amp;"")*12+VALUE($B90&amp;""))</f>
        <v/>
      </c>
      <c r="J90" s="9">
        <f>IF($A90="","",IFERROR(INDEX(입력옵션!$C$22:$C$53,MATCH($C90&amp;"",입력옵션!$E$22:$E$53,0)),IFERROR(INDEX(입력옵션!$C$22:$C$53,MATCH($D90&amp;"",입력옵션!$F$22:$F$53,0)),$C90&amp;"")))</f>
        <v/>
      </c>
      <c r="K90" s="97">
        <f>IF($A90="",0,$G90*설정!$C$23)</f>
        <v/>
      </c>
    </row>
    <row r="91">
      <c r="A91" s="92" t="n">
        <v>2025</v>
      </c>
      <c r="B91" s="92" t="n">
        <v>5</v>
      </c>
      <c r="C91" s="92" t="inlineStr">
        <is>
          <t>A200</t>
        </is>
      </c>
      <c r="D91" s="92" t="inlineStr">
        <is>
          <t>보험계약자산</t>
        </is>
      </c>
      <c r="E91" s="92" t="inlineStr">
        <is>
          <t>자산</t>
        </is>
      </c>
      <c r="F91" s="92" t="n">
        <v>2</v>
      </c>
      <c r="G91" s="93" t="n">
        <v>12568500000</v>
      </c>
      <c r="I91" s="9">
        <f>IF($A91="","",VALUE($A91&amp;"")*12+VALUE($B91&amp;""))</f>
        <v/>
      </c>
      <c r="J91" s="9">
        <f>IF($A91="","",IFERROR(INDEX(입력옵션!$C$22:$C$53,MATCH($C91&amp;"",입력옵션!$E$22:$E$53,0)),IFERROR(INDEX(입력옵션!$C$22:$C$53,MATCH($D91&amp;"",입력옵션!$F$22:$F$53,0)),$C91&amp;"")))</f>
        <v/>
      </c>
      <c r="K91" s="97">
        <f>IF($A91="",0,$G91*설정!$C$23)</f>
        <v/>
      </c>
    </row>
    <row r="92">
      <c r="A92" s="92" t="n">
        <v>2025</v>
      </c>
      <c r="B92" s="92" t="n">
        <v>5</v>
      </c>
      <c r="C92" s="92" t="inlineStr">
        <is>
          <t>A300</t>
        </is>
      </c>
      <c r="D92" s="92" t="inlineStr">
        <is>
          <t>재보험계약자산</t>
        </is>
      </c>
      <c r="E92" s="92" t="inlineStr">
        <is>
          <t>자산</t>
        </is>
      </c>
      <c r="F92" s="92" t="n">
        <v>2</v>
      </c>
      <c r="G92" s="93" t="n">
        <v>41666100000</v>
      </c>
      <c r="I92" s="9">
        <f>IF($A92="","",VALUE($A92&amp;"")*12+VALUE($B92&amp;""))</f>
        <v/>
      </c>
      <c r="J92" s="9">
        <f>IF($A92="","",IFERROR(INDEX(입력옵션!$C$22:$C$53,MATCH($C92&amp;"",입력옵션!$E$22:$E$53,0)),IFERROR(INDEX(입력옵션!$C$22:$C$53,MATCH($D92&amp;"",입력옵션!$F$22:$F$53,0)),$C92&amp;"")))</f>
        <v/>
      </c>
      <c r="K92" s="97">
        <f>IF($A92="",0,$G92*설정!$C$23)</f>
        <v/>
      </c>
    </row>
    <row r="93">
      <c r="A93" s="92" t="n">
        <v>2025</v>
      </c>
      <c r="B93" s="92" t="n">
        <v>5</v>
      </c>
      <c r="C93" s="92" t="inlineStr">
        <is>
          <t>A900</t>
        </is>
      </c>
      <c r="D93" s="92" t="inlineStr">
        <is>
          <t>기타자산</t>
        </is>
      </c>
      <c r="E93" s="92" t="inlineStr">
        <is>
          <t>자산</t>
        </is>
      </c>
      <c r="F93" s="92" t="n">
        <v>2</v>
      </c>
      <c r="G93" s="93" t="n">
        <v>162872500000</v>
      </c>
      <c r="I93" s="9">
        <f>IF($A93="","",VALUE($A93&amp;"")*12+VALUE($B93&amp;""))</f>
        <v/>
      </c>
      <c r="J93" s="9">
        <f>IF($A93="","",IFERROR(INDEX(입력옵션!$C$22:$C$53,MATCH($C93&amp;"",입력옵션!$E$22:$E$53,0)),IFERROR(INDEX(입력옵션!$C$22:$C$53,MATCH($D93&amp;"",입력옵션!$F$22:$F$53,0)),$C93&amp;"")))</f>
        <v/>
      </c>
      <c r="K93" s="97">
        <f>IF($A93="",0,$G93*설정!$C$23)</f>
        <v/>
      </c>
    </row>
    <row r="94">
      <c r="A94" s="92" t="n">
        <v>2025</v>
      </c>
      <c r="B94" s="92" t="n">
        <v>5</v>
      </c>
      <c r="C94" s="92" t="inlineStr">
        <is>
          <t>L000</t>
        </is>
      </c>
      <c r="D94" s="92" t="inlineStr">
        <is>
          <t>부채총계</t>
        </is>
      </c>
      <c r="E94" s="92" t="inlineStr">
        <is>
          <t>부채</t>
        </is>
      </c>
      <c r="F94" s="92" t="n">
        <v>1</v>
      </c>
      <c r="G94" s="93" t="n">
        <v>2685845229000</v>
      </c>
      <c r="I94" s="9">
        <f>IF($A94="","",VALUE($A94&amp;"")*12+VALUE($B94&amp;""))</f>
        <v/>
      </c>
      <c r="J94" s="9">
        <f>IF($A94="","",IFERROR(INDEX(입력옵션!$C$22:$C$53,MATCH($C94&amp;"",입력옵션!$E$22:$E$53,0)),IFERROR(INDEX(입력옵션!$C$22:$C$53,MATCH($D94&amp;"",입력옵션!$F$22:$F$53,0)),$C94&amp;"")))</f>
        <v/>
      </c>
      <c r="K94" s="97">
        <f>IF($A94="",0,$G94*설정!$C$23)</f>
        <v/>
      </c>
    </row>
    <row r="95">
      <c r="A95" s="92" t="n">
        <v>2025</v>
      </c>
      <c r="B95" s="92" t="n">
        <v>5</v>
      </c>
      <c r="C95" s="92" t="inlineStr">
        <is>
          <t>L100</t>
        </is>
      </c>
      <c r="D95" s="92" t="inlineStr">
        <is>
          <t>보험계약부채</t>
        </is>
      </c>
      <c r="E95" s="92" t="inlineStr">
        <is>
          <t>부채</t>
        </is>
      </c>
      <c r="F95" s="92" t="n">
        <v>2</v>
      </c>
      <c r="G95" s="93" t="n">
        <v>2581445829000</v>
      </c>
      <c r="I95" s="9">
        <f>IF($A95="","",VALUE($A95&amp;"")*12+VALUE($B95&amp;""))</f>
        <v/>
      </c>
      <c r="J95" s="9">
        <f>IF($A95="","",IFERROR(INDEX(입력옵션!$C$22:$C$53,MATCH($C95&amp;"",입력옵션!$E$22:$E$53,0)),IFERROR(INDEX(입력옵션!$C$22:$C$53,MATCH($D95&amp;"",입력옵션!$F$22:$F$53,0)),$C95&amp;"")))</f>
        <v/>
      </c>
      <c r="K95" s="97">
        <f>IF($A95="",0,$G95*설정!$C$23)</f>
        <v/>
      </c>
    </row>
    <row r="96">
      <c r="A96" s="92" t="n">
        <v>2025</v>
      </c>
      <c r="B96" s="92" t="n">
        <v>5</v>
      </c>
      <c r="C96" s="92" t="inlineStr">
        <is>
          <t>L110</t>
        </is>
      </c>
      <c r="D96" s="92" t="inlineStr">
        <is>
          <t>최선추정부채(BEL)</t>
        </is>
      </c>
      <c r="E96" s="92" t="inlineStr">
        <is>
          <t>부채</t>
        </is>
      </c>
      <c r="F96" s="92" t="n">
        <v>3</v>
      </c>
      <c r="G96" s="93" t="n">
        <v>2079341800000</v>
      </c>
      <c r="I96" s="9">
        <f>IF($A96="","",VALUE($A96&amp;"")*12+VALUE($B96&amp;""))</f>
        <v/>
      </c>
      <c r="J96" s="9">
        <f>IF($A96="","",IFERROR(INDEX(입력옵션!$C$22:$C$53,MATCH($C96&amp;"",입력옵션!$E$22:$E$53,0)),IFERROR(INDEX(입력옵션!$C$22:$C$53,MATCH($D96&amp;"",입력옵션!$F$22:$F$53,0)),$C96&amp;"")))</f>
        <v/>
      </c>
      <c r="K96" s="97">
        <f>IF($A96="",0,$G96*설정!$C$23)</f>
        <v/>
      </c>
    </row>
    <row r="97">
      <c r="A97" s="92" t="n">
        <v>2025</v>
      </c>
      <c r="B97" s="92" t="n">
        <v>5</v>
      </c>
      <c r="C97" s="92" t="inlineStr">
        <is>
          <t>L120</t>
        </is>
      </c>
      <c r="D97" s="92" t="inlineStr">
        <is>
          <t>위험조정(RA)</t>
        </is>
      </c>
      <c r="E97" s="92" t="inlineStr">
        <is>
          <t>부채</t>
        </is>
      </c>
      <c r="F97" s="92" t="n">
        <v>3</v>
      </c>
      <c r="G97" s="93" t="n">
        <v>120105400000</v>
      </c>
      <c r="I97" s="9">
        <f>IF($A97="","",VALUE($A97&amp;"")*12+VALUE($B97&amp;""))</f>
        <v/>
      </c>
      <c r="J97" s="9">
        <f>IF($A97="","",IFERROR(INDEX(입력옵션!$C$22:$C$53,MATCH($C97&amp;"",입력옵션!$E$22:$E$53,0)),IFERROR(INDEX(입력옵션!$C$22:$C$53,MATCH($D97&amp;"",입력옵션!$F$22:$F$53,0)),$C97&amp;"")))</f>
        <v/>
      </c>
      <c r="K97" s="97">
        <f>IF($A97="",0,$G97*설정!$C$23)</f>
        <v/>
      </c>
    </row>
    <row r="98">
      <c r="A98" s="92" t="n">
        <v>2025</v>
      </c>
      <c r="B98" s="92" t="n">
        <v>5</v>
      </c>
      <c r="C98" s="92" t="inlineStr">
        <is>
          <t>L130</t>
        </is>
      </c>
      <c r="D98" s="92" t="inlineStr">
        <is>
          <t>보험계약마진(CSM)</t>
        </is>
      </c>
      <c r="E98" s="92" t="inlineStr">
        <is>
          <t>부채</t>
        </is>
      </c>
      <c r="F98" s="92" t="n">
        <v>3</v>
      </c>
      <c r="G98" s="93" t="n">
        <v>381998629000</v>
      </c>
      <c r="I98" s="9">
        <f>IF($A98="","",VALUE($A98&amp;"")*12+VALUE($B98&amp;""))</f>
        <v/>
      </c>
      <c r="J98" s="9">
        <f>IF($A98="","",IFERROR(INDEX(입력옵션!$C$22:$C$53,MATCH($C98&amp;"",입력옵션!$E$22:$E$53,0)),IFERROR(INDEX(입력옵션!$C$22:$C$53,MATCH($D98&amp;"",입력옵션!$F$22:$F$53,0)),$C98&amp;"")))</f>
        <v/>
      </c>
      <c r="K98" s="97">
        <f>IF($A98="",0,$G98*설정!$C$23)</f>
        <v/>
      </c>
    </row>
    <row r="99">
      <c r="A99" s="92" t="n">
        <v>2025</v>
      </c>
      <c r="B99" s="92" t="n">
        <v>5</v>
      </c>
      <c r="C99" s="92" t="inlineStr">
        <is>
          <t>L200</t>
        </is>
      </c>
      <c r="D99" s="92" t="inlineStr">
        <is>
          <t>재보험계약부채</t>
        </is>
      </c>
      <c r="E99" s="92" t="inlineStr">
        <is>
          <t>부채</t>
        </is>
      </c>
      <c r="F99" s="92" t="n">
        <v>2</v>
      </c>
      <c r="G99" s="93" t="n">
        <v>6695400000</v>
      </c>
      <c r="I99" s="9">
        <f>IF($A99="","",VALUE($A99&amp;"")*12+VALUE($B99&amp;""))</f>
        <v/>
      </c>
      <c r="J99" s="9">
        <f>IF($A99="","",IFERROR(INDEX(입력옵션!$C$22:$C$53,MATCH($C99&amp;"",입력옵션!$E$22:$E$53,0)),IFERROR(INDEX(입력옵션!$C$22:$C$53,MATCH($D99&amp;"",입력옵션!$F$22:$F$53,0)),$C99&amp;"")))</f>
        <v/>
      </c>
      <c r="K99" s="97">
        <f>IF($A99="",0,$G99*설정!$C$23)</f>
        <v/>
      </c>
    </row>
    <row r="100">
      <c r="A100" s="92" t="n">
        <v>2025</v>
      </c>
      <c r="B100" s="92" t="n">
        <v>5</v>
      </c>
      <c r="C100" s="92" t="inlineStr">
        <is>
          <t>L900</t>
        </is>
      </c>
      <c r="D100" s="92" t="inlineStr">
        <is>
          <t>기타부채</t>
        </is>
      </c>
      <c r="E100" s="92" t="inlineStr">
        <is>
          <t>부채</t>
        </is>
      </c>
      <c r="F100" s="92" t="n">
        <v>2</v>
      </c>
      <c r="G100" s="93" t="n">
        <v>97704000000</v>
      </c>
      <c r="I100" s="9">
        <f>IF($A100="","",VALUE($A100&amp;"")*12+VALUE($B100&amp;""))</f>
        <v/>
      </c>
      <c r="J100" s="9">
        <f>IF($A100="","",IFERROR(INDEX(입력옵션!$C$22:$C$53,MATCH($C100&amp;"",입력옵션!$E$22:$E$53,0)),IFERROR(INDEX(입력옵션!$C$22:$C$53,MATCH($D100&amp;"",입력옵션!$F$22:$F$53,0)),$C100&amp;"")))</f>
        <v/>
      </c>
      <c r="K100" s="97">
        <f>IF($A100="",0,$G100*설정!$C$23)</f>
        <v/>
      </c>
    </row>
    <row r="101">
      <c r="A101" s="92" t="n">
        <v>2025</v>
      </c>
      <c r="B101" s="92" t="n">
        <v>5</v>
      </c>
      <c r="C101" s="92" t="inlineStr">
        <is>
          <t>E000</t>
        </is>
      </c>
      <c r="D101" s="92" t="inlineStr">
        <is>
          <t>자본총계</t>
        </is>
      </c>
      <c r="E101" s="92" t="inlineStr">
        <is>
          <t>자본</t>
        </is>
      </c>
      <c r="F101" s="92" t="n">
        <v>1</v>
      </c>
      <c r="G101" s="93" t="n">
        <v>357041471000</v>
      </c>
      <c r="I101" s="9">
        <f>IF($A101="","",VALUE($A101&amp;"")*12+VALUE($B101&amp;""))</f>
        <v/>
      </c>
      <c r="J101" s="9">
        <f>IF($A101="","",IFERROR(INDEX(입력옵션!$C$22:$C$53,MATCH($C101&amp;"",입력옵션!$E$22:$E$53,0)),IFERROR(INDEX(입력옵션!$C$22:$C$53,MATCH($D101&amp;"",입력옵션!$F$22:$F$53,0)),$C101&amp;"")))</f>
        <v/>
      </c>
      <c r="K101" s="97">
        <f>IF($A101="",0,$G101*설정!$C$23)</f>
        <v/>
      </c>
    </row>
    <row r="102">
      <c r="A102" s="92" t="n">
        <v>2025</v>
      </c>
      <c r="B102" s="92" t="n">
        <v>5</v>
      </c>
      <c r="C102" s="92" t="inlineStr">
        <is>
          <t>E100</t>
        </is>
      </c>
      <c r="D102" s="92" t="inlineStr">
        <is>
          <t>자본금</t>
        </is>
      </c>
      <c r="E102" s="92" t="inlineStr">
        <is>
          <t>자본</t>
        </is>
      </c>
      <c r="F102" s="92" t="n">
        <v>2</v>
      </c>
      <c r="G102" s="93" t="n">
        <v>100000000000</v>
      </c>
      <c r="I102" s="9">
        <f>IF($A102="","",VALUE($A102&amp;"")*12+VALUE($B102&amp;""))</f>
        <v/>
      </c>
      <c r="J102" s="9">
        <f>IF($A102="","",IFERROR(INDEX(입력옵션!$C$22:$C$53,MATCH($C102&amp;"",입력옵션!$E$22:$E$53,0)),IFERROR(INDEX(입력옵션!$C$22:$C$53,MATCH($D102&amp;"",입력옵션!$F$22:$F$53,0)),$C102&amp;"")))</f>
        <v/>
      </c>
      <c r="K102" s="97">
        <f>IF($A102="",0,$G102*설정!$C$23)</f>
        <v/>
      </c>
    </row>
    <row r="103">
      <c r="A103" s="92" t="n">
        <v>2025</v>
      </c>
      <c r="B103" s="92" t="n">
        <v>5</v>
      </c>
      <c r="C103" s="92" t="inlineStr">
        <is>
          <t>E200</t>
        </is>
      </c>
      <c r="D103" s="92" t="inlineStr">
        <is>
          <t>이익잉여금</t>
        </is>
      </c>
      <c r="E103" s="92" t="inlineStr">
        <is>
          <t>자본</t>
        </is>
      </c>
      <c r="F103" s="92" t="n">
        <v>2</v>
      </c>
      <c r="G103" s="93" t="n">
        <v>298271471000</v>
      </c>
      <c r="I103" s="9">
        <f>IF($A103="","",VALUE($A103&amp;"")*12+VALUE($B103&amp;""))</f>
        <v/>
      </c>
      <c r="J103" s="9">
        <f>IF($A103="","",IFERROR(INDEX(입력옵션!$C$22:$C$53,MATCH($C103&amp;"",입력옵션!$E$22:$E$53,0)),IFERROR(INDEX(입력옵션!$C$22:$C$53,MATCH($D103&amp;"",입력옵션!$F$22:$F$53,0)),$C103&amp;"")))</f>
        <v/>
      </c>
      <c r="K103" s="97">
        <f>IF($A103="",0,$G103*설정!$C$23)</f>
        <v/>
      </c>
    </row>
    <row r="104">
      <c r="A104" s="92" t="n">
        <v>2025</v>
      </c>
      <c r="B104" s="92" t="n">
        <v>5</v>
      </c>
      <c r="C104" s="92" t="inlineStr">
        <is>
          <t>E300</t>
        </is>
      </c>
      <c r="D104" s="92" t="inlineStr">
        <is>
          <t>기타포괄손익누계액</t>
        </is>
      </c>
      <c r="E104" s="92" t="inlineStr">
        <is>
          <t>자본</t>
        </is>
      </c>
      <c r="F104" s="92" t="n">
        <v>2</v>
      </c>
      <c r="G104" s="93" t="n">
        <v>-41230000000</v>
      </c>
      <c r="I104" s="9">
        <f>IF($A104="","",VALUE($A104&amp;"")*12+VALUE($B104&amp;""))</f>
        <v/>
      </c>
      <c r="J104" s="9">
        <f>IF($A104="","",IFERROR(INDEX(입력옵션!$C$22:$C$53,MATCH($C104&amp;"",입력옵션!$E$22:$E$53,0)),IFERROR(INDEX(입력옵션!$C$22:$C$53,MATCH($D104&amp;"",입력옵션!$F$22:$F$53,0)),$C104&amp;"")))</f>
        <v/>
      </c>
      <c r="K104" s="97">
        <f>IF($A104="",0,$G104*설정!$C$23)</f>
        <v/>
      </c>
    </row>
    <row r="105">
      <c r="A105" s="92" t="n">
        <v>2025</v>
      </c>
      <c r="B105" s="92" t="n">
        <v>6</v>
      </c>
      <c r="C105" s="92" t="inlineStr">
        <is>
          <t>A000</t>
        </is>
      </c>
      <c r="D105" s="92" t="inlineStr">
        <is>
          <t>자산총계</t>
        </is>
      </c>
      <c r="E105" s="92" t="inlineStr">
        <is>
          <t>자산</t>
        </is>
      </c>
      <c r="F105" s="92" t="n">
        <v>1</v>
      </c>
      <c r="G105" s="93" t="n">
        <v>3034646800000</v>
      </c>
      <c r="I105" s="9">
        <f>IF($A105="","",VALUE($A105&amp;"")*12+VALUE($B105&amp;""))</f>
        <v/>
      </c>
      <c r="J105" s="9">
        <f>IF($A105="","",IFERROR(INDEX(입력옵션!$C$22:$C$53,MATCH($C105&amp;"",입력옵션!$E$22:$E$53,0)),IFERROR(INDEX(입력옵션!$C$22:$C$53,MATCH($D105&amp;"",입력옵션!$F$22:$F$53,0)),$C105&amp;"")))</f>
        <v/>
      </c>
      <c r="K105" s="97">
        <f>IF($A105="",0,$G105*설정!$C$23)</f>
        <v/>
      </c>
    </row>
    <row r="106">
      <c r="A106" s="92" t="n">
        <v>2025</v>
      </c>
      <c r="B106" s="92" t="n">
        <v>6</v>
      </c>
      <c r="C106" s="92" t="inlineStr">
        <is>
          <t>A100</t>
        </is>
      </c>
      <c r="D106" s="92" t="inlineStr">
        <is>
          <t>운용자산</t>
        </is>
      </c>
      <c r="E106" s="92" t="inlineStr">
        <is>
          <t>자산</t>
        </is>
      </c>
      <c r="F106" s="92" t="n">
        <v>2</v>
      </c>
      <c r="G106" s="93" t="n">
        <v>2821672100000</v>
      </c>
      <c r="I106" s="9">
        <f>IF($A106="","",VALUE($A106&amp;"")*12+VALUE($B106&amp;""))</f>
        <v/>
      </c>
      <c r="J106" s="9">
        <f>IF($A106="","",IFERROR(INDEX(입력옵션!$C$22:$C$53,MATCH($C106&amp;"",입력옵션!$E$22:$E$53,0)),IFERROR(INDEX(입력옵션!$C$22:$C$53,MATCH($D106&amp;"",입력옵션!$F$22:$F$53,0)),$C106&amp;"")))</f>
        <v/>
      </c>
      <c r="K106" s="97">
        <f>IF($A106="",0,$G106*설정!$C$23)</f>
        <v/>
      </c>
    </row>
    <row r="107">
      <c r="A107" s="92" t="n">
        <v>2025</v>
      </c>
      <c r="B107" s="92" t="n">
        <v>6</v>
      </c>
      <c r="C107" s="92" t="inlineStr">
        <is>
          <t>A110</t>
        </is>
      </c>
      <c r="D107" s="92" t="inlineStr">
        <is>
          <t>현금및예치금</t>
        </is>
      </c>
      <c r="E107" s="92" t="inlineStr">
        <is>
          <t>자산</t>
        </is>
      </c>
      <c r="F107" s="92" t="n">
        <v>3</v>
      </c>
      <c r="G107" s="93" t="n">
        <v>88170300000</v>
      </c>
      <c r="I107" s="9">
        <f>IF($A107="","",VALUE($A107&amp;"")*12+VALUE($B107&amp;""))</f>
        <v/>
      </c>
      <c r="J107" s="9">
        <f>IF($A107="","",IFERROR(INDEX(입력옵션!$C$22:$C$53,MATCH($C107&amp;"",입력옵션!$E$22:$E$53,0)),IFERROR(INDEX(입력옵션!$C$22:$C$53,MATCH($D107&amp;"",입력옵션!$F$22:$F$53,0)),$C107&amp;"")))</f>
        <v/>
      </c>
      <c r="K107" s="97">
        <f>IF($A107="",0,$G107*설정!$C$23)</f>
        <v/>
      </c>
    </row>
    <row r="108">
      <c r="A108" s="92" t="n">
        <v>2025</v>
      </c>
      <c r="B108" s="92" t="n">
        <v>6</v>
      </c>
      <c r="C108" s="92" t="inlineStr">
        <is>
          <t>A120</t>
        </is>
      </c>
      <c r="D108" s="92" t="inlineStr">
        <is>
          <t>유가증권</t>
        </is>
      </c>
      <c r="E108" s="92" t="inlineStr">
        <is>
          <t>자산</t>
        </is>
      </c>
      <c r="F108" s="92" t="n">
        <v>3</v>
      </c>
      <c r="G108" s="93" t="n">
        <v>2135915700000</v>
      </c>
      <c r="I108" s="9">
        <f>IF($A108="","",VALUE($A108&amp;"")*12+VALUE($B108&amp;""))</f>
        <v/>
      </c>
      <c r="J108" s="9">
        <f>IF($A108="","",IFERROR(INDEX(입력옵션!$C$22:$C$53,MATCH($C108&amp;"",입력옵션!$E$22:$E$53,0)),IFERROR(INDEX(입력옵션!$C$22:$C$53,MATCH($D108&amp;"",입력옵션!$F$22:$F$53,0)),$C108&amp;"")))</f>
        <v/>
      </c>
      <c r="K108" s="97">
        <f>IF($A108="",0,$G108*설정!$C$23)</f>
        <v/>
      </c>
    </row>
    <row r="109">
      <c r="A109" s="92" t="n">
        <v>2025</v>
      </c>
      <c r="B109" s="92" t="n">
        <v>6</v>
      </c>
      <c r="C109" s="92" t="inlineStr">
        <is>
          <t>A130</t>
        </is>
      </c>
      <c r="D109" s="92" t="inlineStr">
        <is>
          <t>대출채권</t>
        </is>
      </c>
      <c r="E109" s="92" t="inlineStr">
        <is>
          <t>자산</t>
        </is>
      </c>
      <c r="F109" s="92" t="n">
        <v>3</v>
      </c>
      <c r="G109" s="93" t="n">
        <v>420836100000</v>
      </c>
      <c r="I109" s="9">
        <f>IF($A109="","",VALUE($A109&amp;"")*12+VALUE($B109&amp;""))</f>
        <v/>
      </c>
      <c r="J109" s="9">
        <f>IF($A109="","",IFERROR(INDEX(입력옵션!$C$22:$C$53,MATCH($C109&amp;"",입력옵션!$E$22:$E$53,0)),IFERROR(INDEX(입력옵션!$C$22:$C$53,MATCH($D109&amp;"",입력옵션!$F$22:$F$53,0)),$C109&amp;"")))</f>
        <v/>
      </c>
      <c r="K109" s="97">
        <f>IF($A109="",0,$G109*설정!$C$23)</f>
        <v/>
      </c>
    </row>
    <row r="110">
      <c r="A110" s="92" t="n">
        <v>2025</v>
      </c>
      <c r="B110" s="92" t="n">
        <v>6</v>
      </c>
      <c r="C110" s="92" t="inlineStr">
        <is>
          <t>A140</t>
        </is>
      </c>
      <c r="D110" s="92" t="inlineStr">
        <is>
          <t>투자부동산</t>
        </is>
      </c>
      <c r="E110" s="92" t="inlineStr">
        <is>
          <t>자산</t>
        </is>
      </c>
      <c r="F110" s="92" t="n">
        <v>3</v>
      </c>
      <c r="G110" s="93" t="n">
        <v>176750000000</v>
      </c>
      <c r="I110" s="9">
        <f>IF($A110="","",VALUE($A110&amp;"")*12+VALUE($B110&amp;""))</f>
        <v/>
      </c>
      <c r="J110" s="9">
        <f>IF($A110="","",IFERROR(INDEX(입력옵션!$C$22:$C$53,MATCH($C110&amp;"",입력옵션!$E$22:$E$53,0)),IFERROR(INDEX(입력옵션!$C$22:$C$53,MATCH($D110&amp;"",입력옵션!$F$22:$F$53,0)),$C110&amp;"")))</f>
        <v/>
      </c>
      <c r="K110" s="97">
        <f>IF($A110="",0,$G110*설정!$C$23)</f>
        <v/>
      </c>
    </row>
    <row r="111">
      <c r="A111" s="92" t="n">
        <v>2025</v>
      </c>
      <c r="B111" s="92" t="n">
        <v>6</v>
      </c>
      <c r="C111" s="92" t="inlineStr">
        <is>
          <t>A200</t>
        </is>
      </c>
      <c r="D111" s="92" t="inlineStr">
        <is>
          <t>보험계약자산</t>
        </is>
      </c>
      <c r="E111" s="92" t="inlineStr">
        <is>
          <t>자산</t>
        </is>
      </c>
      <c r="F111" s="92" t="n">
        <v>2</v>
      </c>
      <c r="G111" s="93" t="n">
        <v>12034800000</v>
      </c>
      <c r="I111" s="9">
        <f>IF($A111="","",VALUE($A111&amp;"")*12+VALUE($B111&amp;""))</f>
        <v/>
      </c>
      <c r="J111" s="9">
        <f>IF($A111="","",IFERROR(INDEX(입력옵션!$C$22:$C$53,MATCH($C111&amp;"",입력옵션!$E$22:$E$53,0)),IFERROR(INDEX(입력옵션!$C$22:$C$53,MATCH($D111&amp;"",입력옵션!$F$22:$F$53,0)),$C111&amp;"")))</f>
        <v/>
      </c>
      <c r="K111" s="97">
        <f>IF($A111="",0,$G111*설정!$C$23)</f>
        <v/>
      </c>
    </row>
    <row r="112">
      <c r="A112" s="92" t="n">
        <v>2025</v>
      </c>
      <c r="B112" s="92" t="n">
        <v>6</v>
      </c>
      <c r="C112" s="92" t="inlineStr">
        <is>
          <t>A300</t>
        </is>
      </c>
      <c r="D112" s="92" t="inlineStr">
        <is>
          <t>재보험계약자산</t>
        </is>
      </c>
      <c r="E112" s="92" t="inlineStr">
        <is>
          <t>자산</t>
        </is>
      </c>
      <c r="F112" s="92" t="n">
        <v>2</v>
      </c>
      <c r="G112" s="93" t="n">
        <v>40660600000</v>
      </c>
      <c r="I112" s="9">
        <f>IF($A112="","",VALUE($A112&amp;"")*12+VALUE($B112&amp;""))</f>
        <v/>
      </c>
      <c r="J112" s="9">
        <f>IF($A112="","",IFERROR(INDEX(입력옵션!$C$22:$C$53,MATCH($C112&amp;"",입력옵션!$E$22:$E$53,0)),IFERROR(INDEX(입력옵션!$C$22:$C$53,MATCH($D112&amp;"",입력옵션!$F$22:$F$53,0)),$C112&amp;"")))</f>
        <v/>
      </c>
      <c r="K112" s="97">
        <f>IF($A112="",0,$G112*설정!$C$23)</f>
        <v/>
      </c>
    </row>
    <row r="113">
      <c r="A113" s="92" t="n">
        <v>2025</v>
      </c>
      <c r="B113" s="92" t="n">
        <v>6</v>
      </c>
      <c r="C113" s="92" t="inlineStr">
        <is>
          <t>A900</t>
        </is>
      </c>
      <c r="D113" s="92" t="inlineStr">
        <is>
          <t>기타자산</t>
        </is>
      </c>
      <c r="E113" s="92" t="inlineStr">
        <is>
          <t>자산</t>
        </is>
      </c>
      <c r="F113" s="92" t="n">
        <v>2</v>
      </c>
      <c r="G113" s="93" t="n">
        <v>160279300000</v>
      </c>
      <c r="I113" s="9">
        <f>IF($A113="","",VALUE($A113&amp;"")*12+VALUE($B113&amp;""))</f>
        <v/>
      </c>
      <c r="J113" s="9">
        <f>IF($A113="","",IFERROR(INDEX(입력옵션!$C$22:$C$53,MATCH($C113&amp;"",입력옵션!$E$22:$E$53,0)),IFERROR(INDEX(입력옵션!$C$22:$C$53,MATCH($D113&amp;"",입력옵션!$F$22:$F$53,0)),$C113&amp;"")))</f>
        <v/>
      </c>
      <c r="K113" s="97">
        <f>IF($A113="",0,$G113*설정!$C$23)</f>
        <v/>
      </c>
    </row>
    <row r="114">
      <c r="A114" s="92" t="n">
        <v>2025</v>
      </c>
      <c r="B114" s="92" t="n">
        <v>6</v>
      </c>
      <c r="C114" s="92" t="inlineStr">
        <is>
          <t>L000</t>
        </is>
      </c>
      <c r="D114" s="92" t="inlineStr">
        <is>
          <t>부채총계</t>
        </is>
      </c>
      <c r="E114" s="92" t="inlineStr">
        <is>
          <t>부채</t>
        </is>
      </c>
      <c r="F114" s="92" t="n">
        <v>1</v>
      </c>
      <c r="G114" s="93" t="n">
        <v>2695542658000</v>
      </c>
      <c r="I114" s="9">
        <f>IF($A114="","",VALUE($A114&amp;"")*12+VALUE($B114&amp;""))</f>
        <v/>
      </c>
      <c r="J114" s="9">
        <f>IF($A114="","",IFERROR(INDEX(입력옵션!$C$22:$C$53,MATCH($C114&amp;"",입력옵션!$E$22:$E$53,0)),IFERROR(INDEX(입력옵션!$C$22:$C$53,MATCH($D114&amp;"",입력옵션!$F$22:$F$53,0)),$C114&amp;"")))</f>
        <v/>
      </c>
      <c r="K114" s="97">
        <f>IF($A114="",0,$G114*설정!$C$23)</f>
        <v/>
      </c>
    </row>
    <row r="115">
      <c r="A115" s="92" t="n">
        <v>2025</v>
      </c>
      <c r="B115" s="92" t="n">
        <v>6</v>
      </c>
      <c r="C115" s="92" t="inlineStr">
        <is>
          <t>L100</t>
        </is>
      </c>
      <c r="D115" s="92" t="inlineStr">
        <is>
          <t>보험계약부채</t>
        </is>
      </c>
      <c r="E115" s="92" t="inlineStr">
        <is>
          <t>부채</t>
        </is>
      </c>
      <c r="F115" s="92" t="n">
        <v>2</v>
      </c>
      <c r="G115" s="93" t="n">
        <v>2593785358000</v>
      </c>
      <c r="I115" s="9">
        <f>IF($A115="","",VALUE($A115&amp;"")*12+VALUE($B115&amp;""))</f>
        <v/>
      </c>
      <c r="J115" s="9">
        <f>IF($A115="","",IFERROR(INDEX(입력옵션!$C$22:$C$53,MATCH($C115&amp;"",입력옵션!$E$22:$E$53,0)),IFERROR(INDEX(입력옵션!$C$22:$C$53,MATCH($D115&amp;"",입력옵션!$F$22:$F$53,0)),$C115&amp;"")))</f>
        <v/>
      </c>
      <c r="K115" s="97">
        <f>IF($A115="",0,$G115*설정!$C$23)</f>
        <v/>
      </c>
    </row>
    <row r="116">
      <c r="A116" s="92" t="n">
        <v>2025</v>
      </c>
      <c r="B116" s="92" t="n">
        <v>6</v>
      </c>
      <c r="C116" s="92" t="inlineStr">
        <is>
          <t>L110</t>
        </is>
      </c>
      <c r="D116" s="92" t="inlineStr">
        <is>
          <t>최선추정부채(BEL)</t>
        </is>
      </c>
      <c r="E116" s="92" t="inlineStr">
        <is>
          <t>부채</t>
        </is>
      </c>
      <c r="F116" s="92" t="n">
        <v>3</v>
      </c>
      <c r="G116" s="93" t="n">
        <v>2091095400000</v>
      </c>
      <c r="I116" s="9">
        <f>IF($A116="","",VALUE($A116&amp;"")*12+VALUE($B116&amp;""))</f>
        <v/>
      </c>
      <c r="J116" s="9">
        <f>IF($A116="","",IFERROR(INDEX(입력옵션!$C$22:$C$53,MATCH($C116&amp;"",입력옵션!$E$22:$E$53,0)),IFERROR(INDEX(입력옵션!$C$22:$C$53,MATCH($D116&amp;"",입력옵션!$F$22:$F$53,0)),$C116&amp;"")))</f>
        <v/>
      </c>
      <c r="K116" s="97">
        <f>IF($A116="",0,$G116*설정!$C$23)</f>
        <v/>
      </c>
    </row>
    <row r="117">
      <c r="A117" s="92" t="n">
        <v>2025</v>
      </c>
      <c r="B117" s="92" t="n">
        <v>6</v>
      </c>
      <c r="C117" s="92" t="inlineStr">
        <is>
          <t>L120</t>
        </is>
      </c>
      <c r="D117" s="92" t="inlineStr">
        <is>
          <t>위험조정(RA)</t>
        </is>
      </c>
      <c r="E117" s="92" t="inlineStr">
        <is>
          <t>부채</t>
        </is>
      </c>
      <c r="F117" s="92" t="n">
        <v>3</v>
      </c>
      <c r="G117" s="93" t="n">
        <v>118591400000</v>
      </c>
      <c r="I117" s="9">
        <f>IF($A117="","",VALUE($A117&amp;"")*12+VALUE($B117&amp;""))</f>
        <v/>
      </c>
      <c r="J117" s="9">
        <f>IF($A117="","",IFERROR(INDEX(입력옵션!$C$22:$C$53,MATCH($C117&amp;"",입력옵션!$E$22:$E$53,0)),IFERROR(INDEX(입력옵션!$C$22:$C$53,MATCH($D117&amp;"",입력옵션!$F$22:$F$53,0)),$C117&amp;"")))</f>
        <v/>
      </c>
      <c r="K117" s="97">
        <f>IF($A117="",0,$G117*설정!$C$23)</f>
        <v/>
      </c>
    </row>
    <row r="118">
      <c r="A118" s="92" t="n">
        <v>2025</v>
      </c>
      <c r="B118" s="92" t="n">
        <v>6</v>
      </c>
      <c r="C118" s="92" t="inlineStr">
        <is>
          <t>L130</t>
        </is>
      </c>
      <c r="D118" s="92" t="inlineStr">
        <is>
          <t>보험계약마진(CSM)</t>
        </is>
      </c>
      <c r="E118" s="92" t="inlineStr">
        <is>
          <t>부채</t>
        </is>
      </c>
      <c r="F118" s="92" t="n">
        <v>3</v>
      </c>
      <c r="G118" s="93" t="n">
        <v>384098558000</v>
      </c>
      <c r="I118" s="9">
        <f>IF($A118="","",VALUE($A118&amp;"")*12+VALUE($B118&amp;""))</f>
        <v/>
      </c>
      <c r="J118" s="9">
        <f>IF($A118="","",IFERROR(INDEX(입력옵션!$C$22:$C$53,MATCH($C118&amp;"",입력옵션!$E$22:$E$53,0)),IFERROR(INDEX(입력옵션!$C$22:$C$53,MATCH($D118&amp;"",입력옵션!$F$22:$F$53,0)),$C118&amp;"")))</f>
        <v/>
      </c>
      <c r="K118" s="97">
        <f>IF($A118="",0,$G118*설정!$C$23)</f>
        <v/>
      </c>
    </row>
    <row r="119">
      <c r="A119" s="92" t="n">
        <v>2025</v>
      </c>
      <c r="B119" s="92" t="n">
        <v>6</v>
      </c>
      <c r="C119" s="92" t="inlineStr">
        <is>
          <t>L200</t>
        </is>
      </c>
      <c r="D119" s="92" t="inlineStr">
        <is>
          <t>재보험계약부채</t>
        </is>
      </c>
      <c r="E119" s="92" t="inlineStr">
        <is>
          <t>부채</t>
        </is>
      </c>
      <c r="F119" s="92" t="n">
        <v>2</v>
      </c>
      <c r="G119" s="93" t="n">
        <v>7072600000</v>
      </c>
      <c r="I119" s="9">
        <f>IF($A119="","",VALUE($A119&amp;"")*12+VALUE($B119&amp;""))</f>
        <v/>
      </c>
      <c r="J119" s="9">
        <f>IF($A119="","",IFERROR(INDEX(입력옵션!$C$22:$C$53,MATCH($C119&amp;"",입력옵션!$E$22:$E$53,0)),IFERROR(INDEX(입력옵션!$C$22:$C$53,MATCH($D119&amp;"",입력옵션!$F$22:$F$53,0)),$C119&amp;"")))</f>
        <v/>
      </c>
      <c r="K119" s="97">
        <f>IF($A119="",0,$G119*설정!$C$23)</f>
        <v/>
      </c>
    </row>
    <row r="120">
      <c r="A120" s="92" t="n">
        <v>2025</v>
      </c>
      <c r="B120" s="92" t="n">
        <v>6</v>
      </c>
      <c r="C120" s="92" t="inlineStr">
        <is>
          <t>L900</t>
        </is>
      </c>
      <c r="D120" s="92" t="inlineStr">
        <is>
          <t>기타부채</t>
        </is>
      </c>
      <c r="E120" s="92" t="inlineStr">
        <is>
          <t>부채</t>
        </is>
      </c>
      <c r="F120" s="92" t="n">
        <v>2</v>
      </c>
      <c r="G120" s="93" t="n">
        <v>94684700000</v>
      </c>
      <c r="I120" s="9">
        <f>IF($A120="","",VALUE($A120&amp;"")*12+VALUE($B120&amp;""))</f>
        <v/>
      </c>
      <c r="J120" s="9">
        <f>IF($A120="","",IFERROR(INDEX(입력옵션!$C$22:$C$53,MATCH($C120&amp;"",입력옵션!$E$22:$E$53,0)),IFERROR(INDEX(입력옵션!$C$22:$C$53,MATCH($D120&amp;"",입력옵션!$F$22:$F$53,0)),$C120&amp;"")))</f>
        <v/>
      </c>
      <c r="K120" s="97">
        <f>IF($A120="",0,$G120*설정!$C$23)</f>
        <v/>
      </c>
    </row>
    <row r="121">
      <c r="A121" s="92" t="n">
        <v>2025</v>
      </c>
      <c r="B121" s="92" t="n">
        <v>6</v>
      </c>
      <c r="C121" s="92" t="inlineStr">
        <is>
          <t>E000</t>
        </is>
      </c>
      <c r="D121" s="92" t="inlineStr">
        <is>
          <t>자본총계</t>
        </is>
      </c>
      <c r="E121" s="92" t="inlineStr">
        <is>
          <t>자본</t>
        </is>
      </c>
      <c r="F121" s="92" t="n">
        <v>1</v>
      </c>
      <c r="G121" s="93" t="n">
        <v>339104142000</v>
      </c>
      <c r="I121" s="9">
        <f>IF($A121="","",VALUE($A121&amp;"")*12+VALUE($B121&amp;""))</f>
        <v/>
      </c>
      <c r="J121" s="9">
        <f>IF($A121="","",IFERROR(INDEX(입력옵션!$C$22:$C$53,MATCH($C121&amp;"",입력옵션!$E$22:$E$53,0)),IFERROR(INDEX(입력옵션!$C$22:$C$53,MATCH($D121&amp;"",입력옵션!$F$22:$F$53,0)),$C121&amp;"")))</f>
        <v/>
      </c>
      <c r="K121" s="97">
        <f>IF($A121="",0,$G121*설정!$C$23)</f>
        <v/>
      </c>
    </row>
    <row r="122">
      <c r="A122" s="92" t="n">
        <v>2025</v>
      </c>
      <c r="B122" s="92" t="n">
        <v>6</v>
      </c>
      <c r="C122" s="92" t="inlineStr">
        <is>
          <t>E100</t>
        </is>
      </c>
      <c r="D122" s="92" t="inlineStr">
        <is>
          <t>자본금</t>
        </is>
      </c>
      <c r="E122" s="92" t="inlineStr">
        <is>
          <t>자본</t>
        </is>
      </c>
      <c r="F122" s="92" t="n">
        <v>2</v>
      </c>
      <c r="G122" s="93" t="n">
        <v>100000000000</v>
      </c>
      <c r="I122" s="9">
        <f>IF($A122="","",VALUE($A122&amp;"")*12+VALUE($B122&amp;""))</f>
        <v/>
      </c>
      <c r="J122" s="9">
        <f>IF($A122="","",IFERROR(INDEX(입력옵션!$C$22:$C$53,MATCH($C122&amp;"",입력옵션!$E$22:$E$53,0)),IFERROR(INDEX(입력옵션!$C$22:$C$53,MATCH($D122&amp;"",입력옵션!$F$22:$F$53,0)),$C122&amp;"")))</f>
        <v/>
      </c>
      <c r="K122" s="97">
        <f>IF($A122="",0,$G122*설정!$C$23)</f>
        <v/>
      </c>
    </row>
    <row r="123">
      <c r="A123" s="92" t="n">
        <v>2025</v>
      </c>
      <c r="B123" s="92" t="n">
        <v>6</v>
      </c>
      <c r="C123" s="92" t="inlineStr">
        <is>
          <t>E200</t>
        </is>
      </c>
      <c r="D123" s="92" t="inlineStr">
        <is>
          <t>이익잉여금</t>
        </is>
      </c>
      <c r="E123" s="92" t="inlineStr">
        <is>
          <t>자본</t>
        </is>
      </c>
      <c r="F123" s="92" t="n">
        <v>2</v>
      </c>
      <c r="G123" s="93" t="n">
        <v>280676342000</v>
      </c>
      <c r="I123" s="9">
        <f>IF($A123="","",VALUE($A123&amp;"")*12+VALUE($B123&amp;""))</f>
        <v/>
      </c>
      <c r="J123" s="9">
        <f>IF($A123="","",IFERROR(INDEX(입력옵션!$C$22:$C$53,MATCH($C123&amp;"",입력옵션!$E$22:$E$53,0)),IFERROR(INDEX(입력옵션!$C$22:$C$53,MATCH($D123&amp;"",입력옵션!$F$22:$F$53,0)),$C123&amp;"")))</f>
        <v/>
      </c>
      <c r="K123" s="97">
        <f>IF($A123="",0,$G123*설정!$C$23)</f>
        <v/>
      </c>
    </row>
    <row r="124">
      <c r="A124" s="92" t="n">
        <v>2025</v>
      </c>
      <c r="B124" s="92" t="n">
        <v>6</v>
      </c>
      <c r="C124" s="92" t="inlineStr">
        <is>
          <t>E300</t>
        </is>
      </c>
      <c r="D124" s="92" t="inlineStr">
        <is>
          <t>기타포괄손익누계액</t>
        </is>
      </c>
      <c r="E124" s="92" t="inlineStr">
        <is>
          <t>자본</t>
        </is>
      </c>
      <c r="F124" s="92" t="n">
        <v>2</v>
      </c>
      <c r="G124" s="93" t="n">
        <v>-41572200000</v>
      </c>
      <c r="I124" s="9">
        <f>IF($A124="","",VALUE($A124&amp;"")*12+VALUE($B124&amp;""))</f>
        <v/>
      </c>
      <c r="J124" s="9">
        <f>IF($A124="","",IFERROR(INDEX(입력옵션!$C$22:$C$53,MATCH($C124&amp;"",입력옵션!$E$22:$E$53,0)),IFERROR(INDEX(입력옵션!$C$22:$C$53,MATCH($D124&amp;"",입력옵션!$F$22:$F$53,0)),$C124&amp;"")))</f>
        <v/>
      </c>
      <c r="K124" s="97">
        <f>IF($A124="",0,$G124*설정!$C$23)</f>
        <v/>
      </c>
    </row>
    <row r="125">
      <c r="A125" s="92" t="n">
        <v>2025</v>
      </c>
      <c r="B125" s="92" t="n">
        <v>7</v>
      </c>
      <c r="C125" s="92" t="inlineStr">
        <is>
          <t>A000</t>
        </is>
      </c>
      <c r="D125" s="92" t="inlineStr">
        <is>
          <t>자산총계</t>
        </is>
      </c>
      <c r="E125" s="92" t="inlineStr">
        <is>
          <t>자산</t>
        </is>
      </c>
      <c r="F125" s="92" t="n">
        <v>1</v>
      </c>
      <c r="G125" s="93" t="n">
        <v>3058850400000</v>
      </c>
      <c r="I125" s="9">
        <f>IF($A125="","",VALUE($A125&amp;"")*12+VALUE($B125&amp;""))</f>
        <v/>
      </c>
      <c r="J125" s="9">
        <f>IF($A125="","",IFERROR(INDEX(입력옵션!$C$22:$C$53,MATCH($C125&amp;"",입력옵션!$E$22:$E$53,0)),IFERROR(INDEX(입력옵션!$C$22:$C$53,MATCH($D125&amp;"",입력옵션!$F$22:$F$53,0)),$C125&amp;"")))</f>
        <v/>
      </c>
      <c r="K125" s="97">
        <f>IF($A125="",0,$G125*설정!$C$23)</f>
        <v/>
      </c>
    </row>
    <row r="126">
      <c r="A126" s="92" t="n">
        <v>2025</v>
      </c>
      <c r="B126" s="92" t="n">
        <v>7</v>
      </c>
      <c r="C126" s="92" t="inlineStr">
        <is>
          <t>A100</t>
        </is>
      </c>
      <c r="D126" s="92" t="inlineStr">
        <is>
          <t>운용자산</t>
        </is>
      </c>
      <c r="E126" s="92" t="inlineStr">
        <is>
          <t>자산</t>
        </is>
      </c>
      <c r="F126" s="92" t="n">
        <v>2</v>
      </c>
      <c r="G126" s="93" t="n">
        <v>2846834600000</v>
      </c>
      <c r="I126" s="9">
        <f>IF($A126="","",VALUE($A126&amp;"")*12+VALUE($B126&amp;""))</f>
        <v/>
      </c>
      <c r="J126" s="9">
        <f>IF($A126="","",IFERROR(INDEX(입력옵션!$C$22:$C$53,MATCH($C126&amp;"",입력옵션!$E$22:$E$53,0)),IFERROR(INDEX(입력옵션!$C$22:$C$53,MATCH($D126&amp;"",입력옵션!$F$22:$F$53,0)),$C126&amp;"")))</f>
        <v/>
      </c>
      <c r="K126" s="97">
        <f>IF($A126="",0,$G126*설정!$C$23)</f>
        <v/>
      </c>
    </row>
    <row r="127">
      <c r="A127" s="92" t="n">
        <v>2025</v>
      </c>
      <c r="B127" s="92" t="n">
        <v>7</v>
      </c>
      <c r="C127" s="92" t="inlineStr">
        <is>
          <t>A110</t>
        </is>
      </c>
      <c r="D127" s="92" t="inlineStr">
        <is>
          <t>현금및예치금</t>
        </is>
      </c>
      <c r="E127" s="92" t="inlineStr">
        <is>
          <t>자산</t>
        </is>
      </c>
      <c r="F127" s="92" t="n">
        <v>3</v>
      </c>
      <c r="G127" s="93" t="n">
        <v>87016200000</v>
      </c>
      <c r="I127" s="9">
        <f>IF($A127="","",VALUE($A127&amp;"")*12+VALUE($B127&amp;""))</f>
        <v/>
      </c>
      <c r="J127" s="9">
        <f>IF($A127="","",IFERROR(INDEX(입력옵션!$C$22:$C$53,MATCH($C127&amp;"",입력옵션!$E$22:$E$53,0)),IFERROR(INDEX(입력옵션!$C$22:$C$53,MATCH($D127&amp;"",입력옵션!$F$22:$F$53,0)),$C127&amp;"")))</f>
        <v/>
      </c>
      <c r="K127" s="97">
        <f>IF($A127="",0,$G127*설정!$C$23)</f>
        <v/>
      </c>
    </row>
    <row r="128">
      <c r="A128" s="92" t="n">
        <v>2025</v>
      </c>
      <c r="B128" s="92" t="n">
        <v>7</v>
      </c>
      <c r="C128" s="92" t="inlineStr">
        <is>
          <t>A120</t>
        </is>
      </c>
      <c r="D128" s="92" t="inlineStr">
        <is>
          <t>유가증권</t>
        </is>
      </c>
      <c r="E128" s="92" t="inlineStr">
        <is>
          <t>자산</t>
        </is>
      </c>
      <c r="F128" s="92" t="n">
        <v>3</v>
      </c>
      <c r="G128" s="93" t="n">
        <v>2157492400000</v>
      </c>
      <c r="I128" s="9">
        <f>IF($A128="","",VALUE($A128&amp;"")*12+VALUE($B128&amp;""))</f>
        <v/>
      </c>
      <c r="J128" s="9">
        <f>IF($A128="","",IFERROR(INDEX(입력옵션!$C$22:$C$53,MATCH($C128&amp;"",입력옵션!$E$22:$E$53,0)),IFERROR(INDEX(입력옵션!$C$22:$C$53,MATCH($D128&amp;"",입력옵션!$F$22:$F$53,0)),$C128&amp;"")))</f>
        <v/>
      </c>
      <c r="K128" s="97">
        <f>IF($A128="",0,$G128*설정!$C$23)</f>
        <v/>
      </c>
    </row>
    <row r="129">
      <c r="A129" s="92" t="n">
        <v>2025</v>
      </c>
      <c r="B129" s="92" t="n">
        <v>7</v>
      </c>
      <c r="C129" s="92" t="inlineStr">
        <is>
          <t>A130</t>
        </is>
      </c>
      <c r="D129" s="92" t="inlineStr">
        <is>
          <t>대출채권</t>
        </is>
      </c>
      <c r="E129" s="92" t="inlineStr">
        <is>
          <t>자산</t>
        </is>
      </c>
      <c r="F129" s="92" t="n">
        <v>3</v>
      </c>
      <c r="G129" s="93" t="n">
        <v>426226000000</v>
      </c>
      <c r="I129" s="9">
        <f>IF($A129="","",VALUE($A129&amp;"")*12+VALUE($B129&amp;""))</f>
        <v/>
      </c>
      <c r="J129" s="9">
        <f>IF($A129="","",IFERROR(INDEX(입력옵션!$C$22:$C$53,MATCH($C129&amp;"",입력옵션!$E$22:$E$53,0)),IFERROR(INDEX(입력옵션!$C$22:$C$53,MATCH($D129&amp;"",입력옵션!$F$22:$F$53,0)),$C129&amp;"")))</f>
        <v/>
      </c>
      <c r="K129" s="97">
        <f>IF($A129="",0,$G129*설정!$C$23)</f>
        <v/>
      </c>
    </row>
    <row r="130">
      <c r="A130" s="92" t="n">
        <v>2025</v>
      </c>
      <c r="B130" s="92" t="n">
        <v>7</v>
      </c>
      <c r="C130" s="92" t="inlineStr">
        <is>
          <t>A140</t>
        </is>
      </c>
      <c r="D130" s="92" t="inlineStr">
        <is>
          <t>투자부동산</t>
        </is>
      </c>
      <c r="E130" s="92" t="inlineStr">
        <is>
          <t>자산</t>
        </is>
      </c>
      <c r="F130" s="92" t="n">
        <v>3</v>
      </c>
      <c r="G130" s="93" t="n">
        <v>176100000000</v>
      </c>
      <c r="I130" s="9">
        <f>IF($A130="","",VALUE($A130&amp;"")*12+VALUE($B130&amp;""))</f>
        <v/>
      </c>
      <c r="J130" s="9">
        <f>IF($A130="","",IFERROR(INDEX(입력옵션!$C$22:$C$53,MATCH($C130&amp;"",입력옵션!$E$22:$E$53,0)),IFERROR(INDEX(입력옵션!$C$22:$C$53,MATCH($D130&amp;"",입력옵션!$F$22:$F$53,0)),$C130&amp;"")))</f>
        <v/>
      </c>
      <c r="K130" s="97">
        <f>IF($A130="",0,$G130*설정!$C$23)</f>
        <v/>
      </c>
    </row>
    <row r="131">
      <c r="A131" s="92" t="n">
        <v>2025</v>
      </c>
      <c r="B131" s="92" t="n">
        <v>7</v>
      </c>
      <c r="C131" s="92" t="inlineStr">
        <is>
          <t>A200</t>
        </is>
      </c>
      <c r="D131" s="92" t="inlineStr">
        <is>
          <t>보험계약자산</t>
        </is>
      </c>
      <c r="E131" s="92" t="inlineStr">
        <is>
          <t>자산</t>
        </is>
      </c>
      <c r="F131" s="92" t="n">
        <v>2</v>
      </c>
      <c r="G131" s="93" t="n">
        <v>11686100000</v>
      </c>
      <c r="I131" s="9">
        <f>IF($A131="","",VALUE($A131&amp;"")*12+VALUE($B131&amp;""))</f>
        <v/>
      </c>
      <c r="J131" s="9">
        <f>IF($A131="","",IFERROR(INDEX(입력옵션!$C$22:$C$53,MATCH($C131&amp;"",입력옵션!$E$22:$E$53,0)),IFERROR(INDEX(입력옵션!$C$22:$C$53,MATCH($D131&amp;"",입력옵션!$F$22:$F$53,0)),$C131&amp;"")))</f>
        <v/>
      </c>
      <c r="K131" s="97">
        <f>IF($A131="",0,$G131*설정!$C$23)</f>
        <v/>
      </c>
    </row>
    <row r="132">
      <c r="A132" s="92" t="n">
        <v>2025</v>
      </c>
      <c r="B132" s="92" t="n">
        <v>7</v>
      </c>
      <c r="C132" s="92" t="inlineStr">
        <is>
          <t>A300</t>
        </is>
      </c>
      <c r="D132" s="92" t="inlineStr">
        <is>
          <t>재보험계약자산</t>
        </is>
      </c>
      <c r="E132" s="92" t="inlineStr">
        <is>
          <t>자산</t>
        </is>
      </c>
      <c r="F132" s="92" t="n">
        <v>2</v>
      </c>
      <c r="G132" s="93" t="n">
        <v>40908200000</v>
      </c>
      <c r="I132" s="9">
        <f>IF($A132="","",VALUE($A132&amp;"")*12+VALUE($B132&amp;""))</f>
        <v/>
      </c>
      <c r="J132" s="9">
        <f>IF($A132="","",IFERROR(INDEX(입력옵션!$C$22:$C$53,MATCH($C132&amp;"",입력옵션!$E$22:$E$53,0)),IFERROR(INDEX(입력옵션!$C$22:$C$53,MATCH($D132&amp;"",입력옵션!$F$22:$F$53,0)),$C132&amp;"")))</f>
        <v/>
      </c>
      <c r="K132" s="97">
        <f>IF($A132="",0,$G132*설정!$C$23)</f>
        <v/>
      </c>
    </row>
    <row r="133">
      <c r="A133" s="92" t="n">
        <v>2025</v>
      </c>
      <c r="B133" s="92" t="n">
        <v>7</v>
      </c>
      <c r="C133" s="92" t="inlineStr">
        <is>
          <t>A900</t>
        </is>
      </c>
      <c r="D133" s="92" t="inlineStr">
        <is>
          <t>기타자산</t>
        </is>
      </c>
      <c r="E133" s="92" t="inlineStr">
        <is>
          <t>자산</t>
        </is>
      </c>
      <c r="F133" s="92" t="n">
        <v>2</v>
      </c>
      <c r="G133" s="93" t="n">
        <v>159421500000</v>
      </c>
      <c r="I133" s="9">
        <f>IF($A133="","",VALUE($A133&amp;"")*12+VALUE($B133&amp;""))</f>
        <v/>
      </c>
      <c r="J133" s="9">
        <f>IF($A133="","",IFERROR(INDEX(입력옵션!$C$22:$C$53,MATCH($C133&amp;"",입력옵션!$E$22:$E$53,0)),IFERROR(INDEX(입력옵션!$C$22:$C$53,MATCH($D133&amp;"",입력옵션!$F$22:$F$53,0)),$C133&amp;"")))</f>
        <v/>
      </c>
      <c r="K133" s="97">
        <f>IF($A133="",0,$G133*설정!$C$23)</f>
        <v/>
      </c>
    </row>
    <row r="134">
      <c r="A134" s="92" t="n">
        <v>2025</v>
      </c>
      <c r="B134" s="92" t="n">
        <v>7</v>
      </c>
      <c r="C134" s="92" t="inlineStr">
        <is>
          <t>L000</t>
        </is>
      </c>
      <c r="D134" s="92" t="inlineStr">
        <is>
          <t>부채총계</t>
        </is>
      </c>
      <c r="E134" s="92" t="inlineStr">
        <is>
          <t>부채</t>
        </is>
      </c>
      <c r="F134" s="92" t="n">
        <v>1</v>
      </c>
      <c r="G134" s="93" t="n">
        <v>2703051067000</v>
      </c>
      <c r="I134" s="9">
        <f>IF($A134="","",VALUE($A134&amp;"")*12+VALUE($B134&amp;""))</f>
        <v/>
      </c>
      <c r="J134" s="9">
        <f>IF($A134="","",IFERROR(INDEX(입력옵션!$C$22:$C$53,MATCH($C134&amp;"",입력옵션!$E$22:$E$53,0)),IFERROR(INDEX(입력옵션!$C$22:$C$53,MATCH($D134&amp;"",입력옵션!$F$22:$F$53,0)),$C134&amp;"")))</f>
        <v/>
      </c>
      <c r="K134" s="97">
        <f>IF($A134="",0,$G134*설정!$C$23)</f>
        <v/>
      </c>
    </row>
    <row r="135">
      <c r="A135" s="92" t="n">
        <v>2025</v>
      </c>
      <c r="B135" s="92" t="n">
        <v>7</v>
      </c>
      <c r="C135" s="92" t="inlineStr">
        <is>
          <t>L100</t>
        </is>
      </c>
      <c r="D135" s="92" t="inlineStr">
        <is>
          <t>보험계약부채</t>
        </is>
      </c>
      <c r="E135" s="92" t="inlineStr">
        <is>
          <t>부채</t>
        </is>
      </c>
      <c r="F135" s="92" t="n">
        <v>2</v>
      </c>
      <c r="G135" s="93" t="n">
        <v>2603260967000</v>
      </c>
      <c r="I135" s="9">
        <f>IF($A135="","",VALUE($A135&amp;"")*12+VALUE($B135&amp;""))</f>
        <v/>
      </c>
      <c r="J135" s="9">
        <f>IF($A135="","",IFERROR(INDEX(입력옵션!$C$22:$C$53,MATCH($C135&amp;"",입력옵션!$E$22:$E$53,0)),IFERROR(INDEX(입력옵션!$C$22:$C$53,MATCH($D135&amp;"",입력옵션!$F$22:$F$53,0)),$C135&amp;"")))</f>
        <v/>
      </c>
      <c r="K135" s="97">
        <f>IF($A135="",0,$G135*설정!$C$23)</f>
        <v/>
      </c>
    </row>
    <row r="136">
      <c r="A136" s="92" t="n">
        <v>2025</v>
      </c>
      <c r="B136" s="92" t="n">
        <v>7</v>
      </c>
      <c r="C136" s="92" t="inlineStr">
        <is>
          <t>L110</t>
        </is>
      </c>
      <c r="D136" s="92" t="inlineStr">
        <is>
          <t>최선추정부채(BEL)</t>
        </is>
      </c>
      <c r="E136" s="92" t="inlineStr">
        <is>
          <t>부채</t>
        </is>
      </c>
      <c r="F136" s="92" t="n">
        <v>3</v>
      </c>
      <c r="G136" s="93" t="n">
        <v>2097598900000</v>
      </c>
      <c r="I136" s="9">
        <f>IF($A136="","",VALUE($A136&amp;"")*12+VALUE($B136&amp;""))</f>
        <v/>
      </c>
      <c r="J136" s="9">
        <f>IF($A136="","",IFERROR(INDEX(입력옵션!$C$22:$C$53,MATCH($C136&amp;"",입력옵션!$E$22:$E$53,0)),IFERROR(INDEX(입력옵션!$C$22:$C$53,MATCH($D136&amp;"",입력옵션!$F$22:$F$53,0)),$C136&amp;"")))</f>
        <v/>
      </c>
      <c r="K136" s="97">
        <f>IF($A136="",0,$G136*설정!$C$23)</f>
        <v/>
      </c>
    </row>
    <row r="137">
      <c r="A137" s="92" t="n">
        <v>2025</v>
      </c>
      <c r="B137" s="92" t="n">
        <v>7</v>
      </c>
      <c r="C137" s="92" t="inlineStr">
        <is>
          <t>L120</t>
        </is>
      </c>
      <c r="D137" s="92" t="inlineStr">
        <is>
          <t>위험조정(RA)</t>
        </is>
      </c>
      <c r="E137" s="92" t="inlineStr">
        <is>
          <t>부채</t>
        </is>
      </c>
      <c r="F137" s="92" t="n">
        <v>3</v>
      </c>
      <c r="G137" s="93" t="n">
        <v>119552400000</v>
      </c>
      <c r="I137" s="9">
        <f>IF($A137="","",VALUE($A137&amp;"")*12+VALUE($B137&amp;""))</f>
        <v/>
      </c>
      <c r="J137" s="9">
        <f>IF($A137="","",IFERROR(INDEX(입력옵션!$C$22:$C$53,MATCH($C137&amp;"",입력옵션!$E$22:$E$53,0)),IFERROR(INDEX(입력옵션!$C$22:$C$53,MATCH($D137&amp;"",입력옵션!$F$22:$F$53,0)),$C137&amp;"")))</f>
        <v/>
      </c>
      <c r="K137" s="97">
        <f>IF($A137="",0,$G137*설정!$C$23)</f>
        <v/>
      </c>
    </row>
    <row r="138">
      <c r="A138" s="92" t="n">
        <v>2025</v>
      </c>
      <c r="B138" s="92" t="n">
        <v>7</v>
      </c>
      <c r="C138" s="92" t="inlineStr">
        <is>
          <t>L130</t>
        </is>
      </c>
      <c r="D138" s="92" t="inlineStr">
        <is>
          <t>보험계약마진(CSM)</t>
        </is>
      </c>
      <c r="E138" s="92" t="inlineStr">
        <is>
          <t>부채</t>
        </is>
      </c>
      <c r="F138" s="92" t="n">
        <v>3</v>
      </c>
      <c r="G138" s="93" t="n">
        <v>386109667000</v>
      </c>
      <c r="I138" s="9">
        <f>IF($A138="","",VALUE($A138&amp;"")*12+VALUE($B138&amp;""))</f>
        <v/>
      </c>
      <c r="J138" s="9">
        <f>IF($A138="","",IFERROR(INDEX(입력옵션!$C$22:$C$53,MATCH($C138&amp;"",입력옵션!$E$22:$E$53,0)),IFERROR(INDEX(입력옵션!$C$22:$C$53,MATCH($D138&amp;"",입력옵션!$F$22:$F$53,0)),$C138&amp;"")))</f>
        <v/>
      </c>
      <c r="K138" s="97">
        <f>IF($A138="",0,$G138*설정!$C$23)</f>
        <v/>
      </c>
    </row>
    <row r="139">
      <c r="A139" s="92" t="n">
        <v>2025</v>
      </c>
      <c r="B139" s="92" t="n">
        <v>7</v>
      </c>
      <c r="C139" s="92" t="inlineStr">
        <is>
          <t>L200</t>
        </is>
      </c>
      <c r="D139" s="92" t="inlineStr">
        <is>
          <t>재보험계약부채</t>
        </is>
      </c>
      <c r="E139" s="92" t="inlineStr">
        <is>
          <t>부채</t>
        </is>
      </c>
      <c r="F139" s="92" t="n">
        <v>2</v>
      </c>
      <c r="G139" s="93" t="n">
        <v>7022000000</v>
      </c>
      <c r="I139" s="9">
        <f>IF($A139="","",VALUE($A139&amp;"")*12+VALUE($B139&amp;""))</f>
        <v/>
      </c>
      <c r="J139" s="9">
        <f>IF($A139="","",IFERROR(INDEX(입력옵션!$C$22:$C$53,MATCH($C139&amp;"",입력옵션!$E$22:$E$53,0)),IFERROR(INDEX(입력옵션!$C$22:$C$53,MATCH($D139&amp;"",입력옵션!$F$22:$F$53,0)),$C139&amp;"")))</f>
        <v/>
      </c>
      <c r="K139" s="97">
        <f>IF($A139="",0,$G139*설정!$C$23)</f>
        <v/>
      </c>
    </row>
    <row r="140">
      <c r="A140" s="92" t="n">
        <v>2025</v>
      </c>
      <c r="B140" s="92" t="n">
        <v>7</v>
      </c>
      <c r="C140" s="92" t="inlineStr">
        <is>
          <t>L900</t>
        </is>
      </c>
      <c r="D140" s="92" t="inlineStr">
        <is>
          <t>기타부채</t>
        </is>
      </c>
      <c r="E140" s="92" t="inlineStr">
        <is>
          <t>부채</t>
        </is>
      </c>
      <c r="F140" s="92" t="n">
        <v>2</v>
      </c>
      <c r="G140" s="93" t="n">
        <v>92768100000</v>
      </c>
      <c r="I140" s="9">
        <f>IF($A140="","",VALUE($A140&amp;"")*12+VALUE($B140&amp;""))</f>
        <v/>
      </c>
      <c r="J140" s="9">
        <f>IF($A140="","",IFERROR(INDEX(입력옵션!$C$22:$C$53,MATCH($C140&amp;"",입력옵션!$E$22:$E$53,0)),IFERROR(INDEX(입력옵션!$C$22:$C$53,MATCH($D140&amp;"",입력옵션!$F$22:$F$53,0)),$C140&amp;"")))</f>
        <v/>
      </c>
      <c r="K140" s="97">
        <f>IF($A140="",0,$G140*설정!$C$23)</f>
        <v/>
      </c>
    </row>
    <row r="141">
      <c r="A141" s="92" t="n">
        <v>2025</v>
      </c>
      <c r="B141" s="92" t="n">
        <v>7</v>
      </c>
      <c r="C141" s="92" t="inlineStr">
        <is>
          <t>E000</t>
        </is>
      </c>
      <c r="D141" s="92" t="inlineStr">
        <is>
          <t>자본총계</t>
        </is>
      </c>
      <c r="E141" s="92" t="inlineStr">
        <is>
          <t>자본</t>
        </is>
      </c>
      <c r="F141" s="92" t="n">
        <v>1</v>
      </c>
      <c r="G141" s="93" t="n">
        <v>355799333000</v>
      </c>
      <c r="I141" s="9">
        <f>IF($A141="","",VALUE($A141&amp;"")*12+VALUE($B141&amp;""))</f>
        <v/>
      </c>
      <c r="J141" s="9">
        <f>IF($A141="","",IFERROR(INDEX(입력옵션!$C$22:$C$53,MATCH($C141&amp;"",입력옵션!$E$22:$E$53,0)),IFERROR(INDEX(입력옵션!$C$22:$C$53,MATCH($D141&amp;"",입력옵션!$F$22:$F$53,0)),$C141&amp;"")))</f>
        <v/>
      </c>
      <c r="K141" s="97">
        <f>IF($A141="",0,$G141*설정!$C$23)</f>
        <v/>
      </c>
    </row>
    <row r="142">
      <c r="A142" s="92" t="n">
        <v>2025</v>
      </c>
      <c r="B142" s="92" t="n">
        <v>7</v>
      </c>
      <c r="C142" s="92" t="inlineStr">
        <is>
          <t>E100</t>
        </is>
      </c>
      <c r="D142" s="92" t="inlineStr">
        <is>
          <t>자본금</t>
        </is>
      </c>
      <c r="E142" s="92" t="inlineStr">
        <is>
          <t>자본</t>
        </is>
      </c>
      <c r="F142" s="92" t="n">
        <v>2</v>
      </c>
      <c r="G142" s="93" t="n">
        <v>100000000000</v>
      </c>
      <c r="I142" s="9">
        <f>IF($A142="","",VALUE($A142&amp;"")*12+VALUE($B142&amp;""))</f>
        <v/>
      </c>
      <c r="J142" s="9">
        <f>IF($A142="","",IFERROR(INDEX(입력옵션!$C$22:$C$53,MATCH($C142&amp;"",입력옵션!$E$22:$E$53,0)),IFERROR(INDEX(입력옵션!$C$22:$C$53,MATCH($D142&amp;"",입력옵션!$F$22:$F$53,0)),$C142&amp;"")))</f>
        <v/>
      </c>
      <c r="K142" s="97">
        <f>IF($A142="",0,$G142*설정!$C$23)</f>
        <v/>
      </c>
    </row>
    <row r="143">
      <c r="A143" s="92" t="n">
        <v>2025</v>
      </c>
      <c r="B143" s="92" t="n">
        <v>7</v>
      </c>
      <c r="C143" s="92" t="inlineStr">
        <is>
          <t>E200</t>
        </is>
      </c>
      <c r="D143" s="92" t="inlineStr">
        <is>
          <t>이익잉여금</t>
        </is>
      </c>
      <c r="E143" s="92" t="inlineStr">
        <is>
          <t>자본</t>
        </is>
      </c>
      <c r="F143" s="92" t="n">
        <v>2</v>
      </c>
      <c r="G143" s="93" t="n">
        <v>294486933000</v>
      </c>
      <c r="I143" s="9">
        <f>IF($A143="","",VALUE($A143&amp;"")*12+VALUE($B143&amp;""))</f>
        <v/>
      </c>
      <c r="J143" s="9">
        <f>IF($A143="","",IFERROR(INDEX(입력옵션!$C$22:$C$53,MATCH($C143&amp;"",입력옵션!$E$22:$E$53,0)),IFERROR(INDEX(입력옵션!$C$22:$C$53,MATCH($D143&amp;"",입력옵션!$F$22:$F$53,0)),$C143&amp;"")))</f>
        <v/>
      </c>
      <c r="K143" s="97">
        <f>IF($A143="",0,$G143*설정!$C$23)</f>
        <v/>
      </c>
    </row>
    <row r="144">
      <c r="A144" s="92" t="n">
        <v>2025</v>
      </c>
      <c r="B144" s="92" t="n">
        <v>7</v>
      </c>
      <c r="C144" s="92" t="inlineStr">
        <is>
          <t>E300</t>
        </is>
      </c>
      <c r="D144" s="92" t="inlineStr">
        <is>
          <t>기타포괄손익누계액</t>
        </is>
      </c>
      <c r="E144" s="92" t="inlineStr">
        <is>
          <t>자본</t>
        </is>
      </c>
      <c r="F144" s="92" t="n">
        <v>2</v>
      </c>
      <c r="G144" s="93" t="n">
        <v>-38687600000</v>
      </c>
      <c r="I144" s="9">
        <f>IF($A144="","",VALUE($A144&amp;"")*12+VALUE($B144&amp;""))</f>
        <v/>
      </c>
      <c r="J144" s="9">
        <f>IF($A144="","",IFERROR(INDEX(입력옵션!$C$22:$C$53,MATCH($C144&amp;"",입력옵션!$E$22:$E$53,0)),IFERROR(INDEX(입력옵션!$C$22:$C$53,MATCH($D144&amp;"",입력옵션!$F$22:$F$53,0)),$C144&amp;"")))</f>
        <v/>
      </c>
      <c r="K144" s="97">
        <f>IF($A144="",0,$G144*설정!$C$23)</f>
        <v/>
      </c>
    </row>
    <row r="145">
      <c r="A145" s="92" t="n">
        <v>2025</v>
      </c>
      <c r="B145" s="92" t="n">
        <v>8</v>
      </c>
      <c r="C145" s="92" t="inlineStr">
        <is>
          <t>A000</t>
        </is>
      </c>
      <c r="D145" s="92" t="inlineStr">
        <is>
          <t>자산총계</t>
        </is>
      </c>
      <c r="E145" s="92" t="inlineStr">
        <is>
          <t>자산</t>
        </is>
      </c>
      <c r="F145" s="92" t="n">
        <v>1</v>
      </c>
      <c r="G145" s="93" t="n">
        <v>3058718000000</v>
      </c>
      <c r="I145" s="9">
        <f>IF($A145="","",VALUE($A145&amp;"")*12+VALUE($B145&amp;""))</f>
        <v/>
      </c>
      <c r="J145" s="9">
        <f>IF($A145="","",IFERROR(INDEX(입력옵션!$C$22:$C$53,MATCH($C145&amp;"",입력옵션!$E$22:$E$53,0)),IFERROR(INDEX(입력옵션!$C$22:$C$53,MATCH($D145&amp;"",입력옵션!$F$22:$F$53,0)),$C145&amp;"")))</f>
        <v/>
      </c>
      <c r="K145" s="97">
        <f>IF($A145="",0,$G145*설정!$C$23)</f>
        <v/>
      </c>
    </row>
    <row r="146">
      <c r="A146" s="92" t="n">
        <v>2025</v>
      </c>
      <c r="B146" s="92" t="n">
        <v>8</v>
      </c>
      <c r="C146" s="92" t="inlineStr">
        <is>
          <t>A100</t>
        </is>
      </c>
      <c r="D146" s="92" t="inlineStr">
        <is>
          <t>운용자산</t>
        </is>
      </c>
      <c r="E146" s="92" t="inlineStr">
        <is>
          <t>자산</t>
        </is>
      </c>
      <c r="F146" s="92" t="n">
        <v>2</v>
      </c>
      <c r="G146" s="93" t="n">
        <v>2845835700000</v>
      </c>
      <c r="I146" s="9">
        <f>IF($A146="","",VALUE($A146&amp;"")*12+VALUE($B146&amp;""))</f>
        <v/>
      </c>
      <c r="J146" s="9">
        <f>IF($A146="","",IFERROR(INDEX(입력옵션!$C$22:$C$53,MATCH($C146&amp;"",입력옵션!$E$22:$E$53,0)),IFERROR(INDEX(입력옵션!$C$22:$C$53,MATCH($D146&amp;"",입력옵션!$F$22:$F$53,0)),$C146&amp;"")))</f>
        <v/>
      </c>
      <c r="K146" s="97">
        <f>IF($A146="",0,$G146*설정!$C$23)</f>
        <v/>
      </c>
    </row>
    <row r="147">
      <c r="A147" s="92" t="n">
        <v>2025</v>
      </c>
      <c r="B147" s="92" t="n">
        <v>8</v>
      </c>
      <c r="C147" s="92" t="inlineStr">
        <is>
          <t>A110</t>
        </is>
      </c>
      <c r="D147" s="92" t="inlineStr">
        <is>
          <t>현금및예치금</t>
        </is>
      </c>
      <c r="E147" s="92" t="inlineStr">
        <is>
          <t>자산</t>
        </is>
      </c>
      <c r="F147" s="92" t="n">
        <v>3</v>
      </c>
      <c r="G147" s="93" t="n">
        <v>84010600000</v>
      </c>
      <c r="I147" s="9">
        <f>IF($A147="","",VALUE($A147&amp;"")*12+VALUE($B147&amp;""))</f>
        <v/>
      </c>
      <c r="J147" s="9">
        <f>IF($A147="","",IFERROR(INDEX(입력옵션!$C$22:$C$53,MATCH($C147&amp;"",입력옵션!$E$22:$E$53,0)),IFERROR(INDEX(입력옵션!$C$22:$C$53,MATCH($D147&amp;"",입력옵션!$F$22:$F$53,0)),$C147&amp;"")))</f>
        <v/>
      </c>
      <c r="K147" s="97">
        <f>IF($A147="",0,$G147*설정!$C$23)</f>
        <v/>
      </c>
    </row>
    <row r="148">
      <c r="A148" s="92" t="n">
        <v>2025</v>
      </c>
      <c r="B148" s="92" t="n">
        <v>8</v>
      </c>
      <c r="C148" s="92" t="inlineStr">
        <is>
          <t>A120</t>
        </is>
      </c>
      <c r="D148" s="92" t="inlineStr">
        <is>
          <t>유가증권</t>
        </is>
      </c>
      <c r="E148" s="92" t="inlineStr">
        <is>
          <t>자산</t>
        </is>
      </c>
      <c r="F148" s="92" t="n">
        <v>3</v>
      </c>
      <c r="G148" s="93" t="n">
        <v>2160138900000</v>
      </c>
      <c r="I148" s="9">
        <f>IF($A148="","",VALUE($A148&amp;"")*12+VALUE($B148&amp;""))</f>
        <v/>
      </c>
      <c r="J148" s="9">
        <f>IF($A148="","",IFERROR(INDEX(입력옵션!$C$22:$C$53,MATCH($C148&amp;"",입력옵션!$E$22:$E$53,0)),IFERROR(INDEX(입력옵션!$C$22:$C$53,MATCH($D148&amp;"",입력옵션!$F$22:$F$53,0)),$C148&amp;"")))</f>
        <v/>
      </c>
      <c r="K148" s="97">
        <f>IF($A148="",0,$G148*설정!$C$23)</f>
        <v/>
      </c>
    </row>
    <row r="149">
      <c r="A149" s="92" t="n">
        <v>2025</v>
      </c>
      <c r="B149" s="92" t="n">
        <v>8</v>
      </c>
      <c r="C149" s="92" t="inlineStr">
        <is>
          <t>A130</t>
        </is>
      </c>
      <c r="D149" s="92" t="inlineStr">
        <is>
          <t>대출채권</t>
        </is>
      </c>
      <c r="E149" s="92" t="inlineStr">
        <is>
          <t>자산</t>
        </is>
      </c>
      <c r="F149" s="92" t="n">
        <v>3</v>
      </c>
      <c r="G149" s="93" t="n">
        <v>426236200000</v>
      </c>
      <c r="I149" s="9">
        <f>IF($A149="","",VALUE($A149&amp;"")*12+VALUE($B149&amp;""))</f>
        <v/>
      </c>
      <c r="J149" s="9">
        <f>IF($A149="","",IFERROR(INDEX(입력옵션!$C$22:$C$53,MATCH($C149&amp;"",입력옵션!$E$22:$E$53,0)),IFERROR(INDEX(입력옵션!$C$22:$C$53,MATCH($D149&amp;"",입력옵션!$F$22:$F$53,0)),$C149&amp;"")))</f>
        <v/>
      </c>
      <c r="K149" s="97">
        <f>IF($A149="",0,$G149*설정!$C$23)</f>
        <v/>
      </c>
    </row>
    <row r="150">
      <c r="A150" s="92" t="n">
        <v>2025</v>
      </c>
      <c r="B150" s="92" t="n">
        <v>8</v>
      </c>
      <c r="C150" s="92" t="inlineStr">
        <is>
          <t>A140</t>
        </is>
      </c>
      <c r="D150" s="92" t="inlineStr">
        <is>
          <t>투자부동산</t>
        </is>
      </c>
      <c r="E150" s="92" t="inlineStr">
        <is>
          <t>자산</t>
        </is>
      </c>
      <c r="F150" s="92" t="n">
        <v>3</v>
      </c>
      <c r="G150" s="93" t="n">
        <v>175450000000</v>
      </c>
      <c r="I150" s="9">
        <f>IF($A150="","",VALUE($A150&amp;"")*12+VALUE($B150&amp;""))</f>
        <v/>
      </c>
      <c r="J150" s="9">
        <f>IF($A150="","",IFERROR(INDEX(입력옵션!$C$22:$C$53,MATCH($C150&amp;"",입력옵션!$E$22:$E$53,0)),IFERROR(INDEX(입력옵션!$C$22:$C$53,MATCH($D150&amp;"",입력옵션!$F$22:$F$53,0)),$C150&amp;"")))</f>
        <v/>
      </c>
      <c r="K150" s="97">
        <f>IF($A150="",0,$G150*설정!$C$23)</f>
        <v/>
      </c>
    </row>
    <row r="151">
      <c r="A151" s="92" t="n">
        <v>2025</v>
      </c>
      <c r="B151" s="92" t="n">
        <v>8</v>
      </c>
      <c r="C151" s="92" t="inlineStr">
        <is>
          <t>A200</t>
        </is>
      </c>
      <c r="D151" s="92" t="inlineStr">
        <is>
          <t>보험계약자산</t>
        </is>
      </c>
      <c r="E151" s="92" t="inlineStr">
        <is>
          <t>자산</t>
        </is>
      </c>
      <c r="F151" s="92" t="n">
        <v>2</v>
      </c>
      <c r="G151" s="93" t="n">
        <v>11682100000</v>
      </c>
      <c r="I151" s="9">
        <f>IF($A151="","",VALUE($A151&amp;"")*12+VALUE($B151&amp;""))</f>
        <v/>
      </c>
      <c r="J151" s="9">
        <f>IF($A151="","",IFERROR(INDEX(입력옵션!$C$22:$C$53,MATCH($C151&amp;"",입력옵션!$E$22:$E$53,0)),IFERROR(INDEX(입력옵션!$C$22:$C$53,MATCH($D151&amp;"",입력옵션!$F$22:$F$53,0)),$C151&amp;"")))</f>
        <v/>
      </c>
      <c r="K151" s="97">
        <f>IF($A151="",0,$G151*설정!$C$23)</f>
        <v/>
      </c>
    </row>
    <row r="152">
      <c r="A152" s="92" t="n">
        <v>2025</v>
      </c>
      <c r="B152" s="92" t="n">
        <v>8</v>
      </c>
      <c r="C152" s="92" t="inlineStr">
        <is>
          <t>A300</t>
        </is>
      </c>
      <c r="D152" s="92" t="inlineStr">
        <is>
          <t>재보험계약자산</t>
        </is>
      </c>
      <c r="E152" s="92" t="inlineStr">
        <is>
          <t>자산</t>
        </is>
      </c>
      <c r="F152" s="92" t="n">
        <v>2</v>
      </c>
      <c r="G152" s="93" t="n">
        <v>41387500000</v>
      </c>
      <c r="I152" s="9">
        <f>IF($A152="","",VALUE($A152&amp;"")*12+VALUE($B152&amp;""))</f>
        <v/>
      </c>
      <c r="J152" s="9">
        <f>IF($A152="","",IFERROR(INDEX(입력옵션!$C$22:$C$53,MATCH($C152&amp;"",입력옵션!$E$22:$E$53,0)),IFERROR(INDEX(입력옵션!$C$22:$C$53,MATCH($D152&amp;"",입력옵션!$F$22:$F$53,0)),$C152&amp;"")))</f>
        <v/>
      </c>
      <c r="K152" s="97">
        <f>IF($A152="",0,$G152*설정!$C$23)</f>
        <v/>
      </c>
    </row>
    <row r="153">
      <c r="A153" s="92" t="n">
        <v>2025</v>
      </c>
      <c r="B153" s="92" t="n">
        <v>8</v>
      </c>
      <c r="C153" s="92" t="inlineStr">
        <is>
          <t>A900</t>
        </is>
      </c>
      <c r="D153" s="92" t="inlineStr">
        <is>
          <t>기타자산</t>
        </is>
      </c>
      <c r="E153" s="92" t="inlineStr">
        <is>
          <t>자산</t>
        </is>
      </c>
      <c r="F153" s="92" t="n">
        <v>2</v>
      </c>
      <c r="G153" s="93" t="n">
        <v>159812700000</v>
      </c>
      <c r="I153" s="9">
        <f>IF($A153="","",VALUE($A153&amp;"")*12+VALUE($B153&amp;""))</f>
        <v/>
      </c>
      <c r="J153" s="9">
        <f>IF($A153="","",IFERROR(INDEX(입력옵션!$C$22:$C$53,MATCH($C153&amp;"",입력옵션!$E$22:$E$53,0)),IFERROR(INDEX(입력옵션!$C$22:$C$53,MATCH($D153&amp;"",입력옵션!$F$22:$F$53,0)),$C153&amp;"")))</f>
        <v/>
      </c>
      <c r="K153" s="97">
        <f>IF($A153="",0,$G153*설정!$C$23)</f>
        <v/>
      </c>
    </row>
    <row r="154">
      <c r="A154" s="92" t="n">
        <v>2025</v>
      </c>
      <c r="B154" s="92" t="n">
        <v>8</v>
      </c>
      <c r="C154" s="92" t="inlineStr">
        <is>
          <t>L000</t>
        </is>
      </c>
      <c r="D154" s="92" t="inlineStr">
        <is>
          <t>부채총계</t>
        </is>
      </c>
      <c r="E154" s="92" t="inlineStr">
        <is>
          <t>부채</t>
        </is>
      </c>
      <c r="F154" s="92" t="n">
        <v>1</v>
      </c>
      <c r="G154" s="93" t="n">
        <v>2710986136000</v>
      </c>
      <c r="I154" s="9">
        <f>IF($A154="","",VALUE($A154&amp;"")*12+VALUE($B154&amp;""))</f>
        <v/>
      </c>
      <c r="J154" s="9">
        <f>IF($A154="","",IFERROR(INDEX(입력옵션!$C$22:$C$53,MATCH($C154&amp;"",입력옵션!$E$22:$E$53,0)),IFERROR(INDEX(입력옵션!$C$22:$C$53,MATCH($D154&amp;"",입력옵션!$F$22:$F$53,0)),$C154&amp;"")))</f>
        <v/>
      </c>
      <c r="K154" s="97">
        <f>IF($A154="",0,$G154*설정!$C$23)</f>
        <v/>
      </c>
    </row>
    <row r="155">
      <c r="A155" s="92" t="n">
        <v>2025</v>
      </c>
      <c r="B155" s="92" t="n">
        <v>8</v>
      </c>
      <c r="C155" s="92" t="inlineStr">
        <is>
          <t>L100</t>
        </is>
      </c>
      <c r="D155" s="92" t="inlineStr">
        <is>
          <t>보험계약부채</t>
        </is>
      </c>
      <c r="E155" s="92" t="inlineStr">
        <is>
          <t>부채</t>
        </is>
      </c>
      <c r="F155" s="92" t="n">
        <v>2</v>
      </c>
      <c r="G155" s="93" t="n">
        <v>2607641736000</v>
      </c>
      <c r="I155" s="9">
        <f>IF($A155="","",VALUE($A155&amp;"")*12+VALUE($B155&amp;""))</f>
        <v/>
      </c>
      <c r="J155" s="9">
        <f>IF($A155="","",IFERROR(INDEX(입력옵션!$C$22:$C$53,MATCH($C155&amp;"",입력옵션!$E$22:$E$53,0)),IFERROR(INDEX(입력옵션!$C$22:$C$53,MATCH($D155&amp;"",입력옵션!$F$22:$F$53,0)),$C155&amp;"")))</f>
        <v/>
      </c>
      <c r="K155" s="97">
        <f>IF($A155="",0,$G155*설정!$C$23)</f>
        <v/>
      </c>
    </row>
    <row r="156">
      <c r="A156" s="92" t="n">
        <v>2025</v>
      </c>
      <c r="B156" s="92" t="n">
        <v>8</v>
      </c>
      <c r="C156" s="92" t="inlineStr">
        <is>
          <t>L110</t>
        </is>
      </c>
      <c r="D156" s="92" t="inlineStr">
        <is>
          <t>최선추정부채(BEL)</t>
        </is>
      </c>
      <c r="E156" s="92" t="inlineStr">
        <is>
          <t>부채</t>
        </is>
      </c>
      <c r="F156" s="92" t="n">
        <v>3</v>
      </c>
      <c r="G156" s="93" t="n">
        <v>2099378100000</v>
      </c>
      <c r="I156" s="9">
        <f>IF($A156="","",VALUE($A156&amp;"")*12+VALUE($B156&amp;""))</f>
        <v/>
      </c>
      <c r="J156" s="9">
        <f>IF($A156="","",IFERROR(INDEX(입력옵션!$C$22:$C$53,MATCH($C156&amp;"",입력옵션!$E$22:$E$53,0)),IFERROR(INDEX(입력옵션!$C$22:$C$53,MATCH($D156&amp;"",입력옵션!$F$22:$F$53,0)),$C156&amp;"")))</f>
        <v/>
      </c>
      <c r="K156" s="97">
        <f>IF($A156="",0,$G156*설정!$C$23)</f>
        <v/>
      </c>
    </row>
    <row r="157">
      <c r="A157" s="92" t="n">
        <v>2025</v>
      </c>
      <c r="B157" s="92" t="n">
        <v>8</v>
      </c>
      <c r="C157" s="92" t="inlineStr">
        <is>
          <t>L120</t>
        </is>
      </c>
      <c r="D157" s="92" t="inlineStr">
        <is>
          <t>위험조정(RA)</t>
        </is>
      </c>
      <c r="E157" s="92" t="inlineStr">
        <is>
          <t>부채</t>
        </is>
      </c>
      <c r="F157" s="92" t="n">
        <v>3</v>
      </c>
      <c r="G157" s="93" t="n">
        <v>120174600000</v>
      </c>
      <c r="I157" s="9">
        <f>IF($A157="","",VALUE($A157&amp;"")*12+VALUE($B157&amp;""))</f>
        <v/>
      </c>
      <c r="J157" s="9">
        <f>IF($A157="","",IFERROR(INDEX(입력옵션!$C$22:$C$53,MATCH($C157&amp;"",입력옵션!$E$22:$E$53,0)),IFERROR(INDEX(입력옵션!$C$22:$C$53,MATCH($D157&amp;"",입력옵션!$F$22:$F$53,0)),$C157&amp;"")))</f>
        <v/>
      </c>
      <c r="K157" s="97">
        <f>IF($A157="",0,$G157*설정!$C$23)</f>
        <v/>
      </c>
    </row>
    <row r="158">
      <c r="A158" s="92" t="n">
        <v>2025</v>
      </c>
      <c r="B158" s="92" t="n">
        <v>8</v>
      </c>
      <c r="C158" s="92" t="inlineStr">
        <is>
          <t>L130</t>
        </is>
      </c>
      <c r="D158" s="92" t="inlineStr">
        <is>
          <t>보험계약마진(CSM)</t>
        </is>
      </c>
      <c r="E158" s="92" t="inlineStr">
        <is>
          <t>부채</t>
        </is>
      </c>
      <c r="F158" s="92" t="n">
        <v>3</v>
      </c>
      <c r="G158" s="93" t="n">
        <v>388089036000</v>
      </c>
      <c r="I158" s="9">
        <f>IF($A158="","",VALUE($A158&amp;"")*12+VALUE($B158&amp;""))</f>
        <v/>
      </c>
      <c r="J158" s="9">
        <f>IF($A158="","",IFERROR(INDEX(입력옵션!$C$22:$C$53,MATCH($C158&amp;"",입력옵션!$E$22:$E$53,0)),IFERROR(INDEX(입력옵션!$C$22:$C$53,MATCH($D158&amp;"",입력옵션!$F$22:$F$53,0)),$C158&amp;"")))</f>
        <v/>
      </c>
      <c r="K158" s="97">
        <f>IF($A158="",0,$G158*설정!$C$23)</f>
        <v/>
      </c>
    </row>
    <row r="159">
      <c r="A159" s="92" t="n">
        <v>2025</v>
      </c>
      <c r="B159" s="92" t="n">
        <v>8</v>
      </c>
      <c r="C159" s="92" t="inlineStr">
        <is>
          <t>L200</t>
        </is>
      </c>
      <c r="D159" s="92" t="inlineStr">
        <is>
          <t>재보험계약부채</t>
        </is>
      </c>
      <c r="E159" s="92" t="inlineStr">
        <is>
          <t>부채</t>
        </is>
      </c>
      <c r="F159" s="92" t="n">
        <v>2</v>
      </c>
      <c r="G159" s="93" t="n">
        <v>6716500000</v>
      </c>
      <c r="I159" s="9">
        <f>IF($A159="","",VALUE($A159&amp;"")*12+VALUE($B159&amp;""))</f>
        <v/>
      </c>
      <c r="J159" s="9">
        <f>IF($A159="","",IFERROR(INDEX(입력옵션!$C$22:$C$53,MATCH($C159&amp;"",입력옵션!$E$22:$E$53,0)),IFERROR(INDEX(입력옵션!$C$22:$C$53,MATCH($D159&amp;"",입력옵션!$F$22:$F$53,0)),$C159&amp;"")))</f>
        <v/>
      </c>
      <c r="K159" s="97">
        <f>IF($A159="",0,$G159*설정!$C$23)</f>
        <v/>
      </c>
    </row>
    <row r="160">
      <c r="A160" s="92" t="n">
        <v>2025</v>
      </c>
      <c r="B160" s="92" t="n">
        <v>8</v>
      </c>
      <c r="C160" s="92" t="inlineStr">
        <is>
          <t>L900</t>
        </is>
      </c>
      <c r="D160" s="92" t="inlineStr">
        <is>
          <t>기타부채</t>
        </is>
      </c>
      <c r="E160" s="92" t="inlineStr">
        <is>
          <t>부채</t>
        </is>
      </c>
      <c r="F160" s="92" t="n">
        <v>2</v>
      </c>
      <c r="G160" s="93" t="n">
        <v>96627900000</v>
      </c>
      <c r="I160" s="9">
        <f>IF($A160="","",VALUE($A160&amp;"")*12+VALUE($B160&amp;""))</f>
        <v/>
      </c>
      <c r="J160" s="9">
        <f>IF($A160="","",IFERROR(INDEX(입력옵션!$C$22:$C$53,MATCH($C160&amp;"",입력옵션!$E$22:$E$53,0)),IFERROR(INDEX(입력옵션!$C$22:$C$53,MATCH($D160&amp;"",입력옵션!$F$22:$F$53,0)),$C160&amp;"")))</f>
        <v/>
      </c>
      <c r="K160" s="97">
        <f>IF($A160="",0,$G160*설정!$C$23)</f>
        <v/>
      </c>
    </row>
    <row r="161">
      <c r="A161" s="92" t="n">
        <v>2025</v>
      </c>
      <c r="B161" s="92" t="n">
        <v>8</v>
      </c>
      <c r="C161" s="92" t="inlineStr">
        <is>
          <t>E000</t>
        </is>
      </c>
      <c r="D161" s="92" t="inlineStr">
        <is>
          <t>자본총계</t>
        </is>
      </c>
      <c r="E161" s="92" t="inlineStr">
        <is>
          <t>자본</t>
        </is>
      </c>
      <c r="F161" s="92" t="n">
        <v>1</v>
      </c>
      <c r="G161" s="93" t="n">
        <v>347731864000</v>
      </c>
      <c r="I161" s="9">
        <f>IF($A161="","",VALUE($A161&amp;"")*12+VALUE($B161&amp;""))</f>
        <v/>
      </c>
      <c r="J161" s="9">
        <f>IF($A161="","",IFERROR(INDEX(입력옵션!$C$22:$C$53,MATCH($C161&amp;"",입력옵션!$E$22:$E$53,0)),IFERROR(INDEX(입력옵션!$C$22:$C$53,MATCH($D161&amp;"",입력옵션!$F$22:$F$53,0)),$C161&amp;"")))</f>
        <v/>
      </c>
      <c r="K161" s="97">
        <f>IF($A161="",0,$G161*설정!$C$23)</f>
        <v/>
      </c>
    </row>
    <row r="162">
      <c r="A162" s="92" t="n">
        <v>2025</v>
      </c>
      <c r="B162" s="92" t="n">
        <v>8</v>
      </c>
      <c r="C162" s="92" t="inlineStr">
        <is>
          <t>E100</t>
        </is>
      </c>
      <c r="D162" s="92" t="inlineStr">
        <is>
          <t>자본금</t>
        </is>
      </c>
      <c r="E162" s="92" t="inlineStr">
        <is>
          <t>자본</t>
        </is>
      </c>
      <c r="F162" s="92" t="n">
        <v>2</v>
      </c>
      <c r="G162" s="93" t="n">
        <v>100000000000</v>
      </c>
      <c r="I162" s="9">
        <f>IF($A162="","",VALUE($A162&amp;"")*12+VALUE($B162&amp;""))</f>
        <v/>
      </c>
      <c r="J162" s="9">
        <f>IF($A162="","",IFERROR(INDEX(입력옵션!$C$22:$C$53,MATCH($C162&amp;"",입력옵션!$E$22:$E$53,0)),IFERROR(INDEX(입력옵션!$C$22:$C$53,MATCH($D162&amp;"",입력옵션!$F$22:$F$53,0)),$C162&amp;"")))</f>
        <v/>
      </c>
      <c r="K162" s="97">
        <f>IF($A162="",0,$G162*설정!$C$23)</f>
        <v/>
      </c>
    </row>
    <row r="163">
      <c r="A163" s="92" t="n">
        <v>2025</v>
      </c>
      <c r="B163" s="92" t="n">
        <v>8</v>
      </c>
      <c r="C163" s="92" t="inlineStr">
        <is>
          <t>E200</t>
        </is>
      </c>
      <c r="D163" s="92" t="inlineStr">
        <is>
          <t>이익잉여금</t>
        </is>
      </c>
      <c r="E163" s="92" t="inlineStr">
        <is>
          <t>자본</t>
        </is>
      </c>
      <c r="F163" s="92" t="n">
        <v>2</v>
      </c>
      <c r="G163" s="93" t="n">
        <v>291313264000</v>
      </c>
      <c r="I163" s="9">
        <f>IF($A163="","",VALUE($A163&amp;"")*12+VALUE($B163&amp;""))</f>
        <v/>
      </c>
      <c r="J163" s="9">
        <f>IF($A163="","",IFERROR(INDEX(입력옵션!$C$22:$C$53,MATCH($C163&amp;"",입력옵션!$E$22:$E$53,0)),IFERROR(INDEX(입력옵션!$C$22:$C$53,MATCH($D163&amp;"",입력옵션!$F$22:$F$53,0)),$C163&amp;"")))</f>
        <v/>
      </c>
      <c r="K163" s="97">
        <f>IF($A163="",0,$G163*설정!$C$23)</f>
        <v/>
      </c>
    </row>
    <row r="164">
      <c r="A164" s="92" t="n">
        <v>2025</v>
      </c>
      <c r="B164" s="92" t="n">
        <v>8</v>
      </c>
      <c r="C164" s="92" t="inlineStr">
        <is>
          <t>E300</t>
        </is>
      </c>
      <c r="D164" s="92" t="inlineStr">
        <is>
          <t>기타포괄손익누계액</t>
        </is>
      </c>
      <c r="E164" s="92" t="inlineStr">
        <is>
          <t>자본</t>
        </is>
      </c>
      <c r="F164" s="92" t="n">
        <v>2</v>
      </c>
      <c r="G164" s="93" t="n">
        <v>-43581400000</v>
      </c>
      <c r="I164" s="9">
        <f>IF($A164="","",VALUE($A164&amp;"")*12+VALUE($B164&amp;""))</f>
        <v/>
      </c>
      <c r="J164" s="9">
        <f>IF($A164="","",IFERROR(INDEX(입력옵션!$C$22:$C$53,MATCH($C164&amp;"",입력옵션!$E$22:$E$53,0)),IFERROR(INDEX(입력옵션!$C$22:$C$53,MATCH($D164&amp;"",입력옵션!$F$22:$F$53,0)),$C164&amp;"")))</f>
        <v/>
      </c>
      <c r="K164" s="97">
        <f>IF($A164="",0,$G164*설정!$C$23)</f>
        <v/>
      </c>
    </row>
    <row r="165">
      <c r="A165" s="92" t="n">
        <v>2025</v>
      </c>
      <c r="B165" s="92" t="n">
        <v>9</v>
      </c>
      <c r="C165" s="92" t="inlineStr">
        <is>
          <t>A000</t>
        </is>
      </c>
      <c r="D165" s="92" t="inlineStr">
        <is>
          <t>자산총계</t>
        </is>
      </c>
      <c r="E165" s="92" t="inlineStr">
        <is>
          <t>자산</t>
        </is>
      </c>
      <c r="F165" s="92" t="n">
        <v>1</v>
      </c>
      <c r="G165" s="93" t="n">
        <v>3061186200000</v>
      </c>
      <c r="I165" s="9">
        <f>IF($A165="","",VALUE($A165&amp;"")*12+VALUE($B165&amp;""))</f>
        <v/>
      </c>
      <c r="J165" s="9">
        <f>IF($A165="","",IFERROR(INDEX(입력옵션!$C$22:$C$53,MATCH($C165&amp;"",입력옵션!$E$22:$E$53,0)),IFERROR(INDEX(입력옵션!$C$22:$C$53,MATCH($D165&amp;"",입력옵션!$F$22:$F$53,0)),$C165&amp;"")))</f>
        <v/>
      </c>
      <c r="K165" s="97">
        <f>IF($A165="",0,$G165*설정!$C$23)</f>
        <v/>
      </c>
    </row>
    <row r="166">
      <c r="A166" s="92" t="n">
        <v>2025</v>
      </c>
      <c r="B166" s="92" t="n">
        <v>9</v>
      </c>
      <c r="C166" s="92" t="inlineStr">
        <is>
          <t>A100</t>
        </is>
      </c>
      <c r="D166" s="92" t="inlineStr">
        <is>
          <t>운용자산</t>
        </is>
      </c>
      <c r="E166" s="92" t="inlineStr">
        <is>
          <t>자산</t>
        </is>
      </c>
      <c r="F166" s="92" t="n">
        <v>2</v>
      </c>
      <c r="G166" s="93" t="n">
        <v>2847319000000</v>
      </c>
      <c r="I166" s="9">
        <f>IF($A166="","",VALUE($A166&amp;"")*12+VALUE($B166&amp;""))</f>
        <v/>
      </c>
      <c r="J166" s="9">
        <f>IF($A166="","",IFERROR(INDEX(입력옵션!$C$22:$C$53,MATCH($C166&amp;"",입력옵션!$E$22:$E$53,0)),IFERROR(INDEX(입력옵션!$C$22:$C$53,MATCH($D166&amp;"",입력옵션!$F$22:$F$53,0)),$C166&amp;"")))</f>
        <v/>
      </c>
      <c r="K166" s="97">
        <f>IF($A166="",0,$G166*설정!$C$23)</f>
        <v/>
      </c>
    </row>
    <row r="167">
      <c r="A167" s="92" t="n">
        <v>2025</v>
      </c>
      <c r="B167" s="92" t="n">
        <v>9</v>
      </c>
      <c r="C167" s="92" t="inlineStr">
        <is>
          <t>A110</t>
        </is>
      </c>
      <c r="D167" s="92" t="inlineStr">
        <is>
          <t>현금및예치금</t>
        </is>
      </c>
      <c r="E167" s="92" t="inlineStr">
        <is>
          <t>자산</t>
        </is>
      </c>
      <c r="F167" s="92" t="n">
        <v>3</v>
      </c>
      <c r="G167" s="93" t="n">
        <v>85958700000</v>
      </c>
      <c r="I167" s="9">
        <f>IF($A167="","",VALUE($A167&amp;"")*12+VALUE($B167&amp;""))</f>
        <v/>
      </c>
      <c r="J167" s="9">
        <f>IF($A167="","",IFERROR(INDEX(입력옵션!$C$22:$C$53,MATCH($C167&amp;"",입력옵션!$E$22:$E$53,0)),IFERROR(INDEX(입력옵션!$C$22:$C$53,MATCH($D167&amp;"",입력옵션!$F$22:$F$53,0)),$C167&amp;"")))</f>
        <v/>
      </c>
      <c r="K167" s="97">
        <f>IF($A167="",0,$G167*설정!$C$23)</f>
        <v/>
      </c>
    </row>
    <row r="168">
      <c r="A168" s="92" t="n">
        <v>2025</v>
      </c>
      <c r="B168" s="92" t="n">
        <v>9</v>
      </c>
      <c r="C168" s="92" t="inlineStr">
        <is>
          <t>A120</t>
        </is>
      </c>
      <c r="D168" s="92" t="inlineStr">
        <is>
          <t>유가증권</t>
        </is>
      </c>
      <c r="E168" s="92" t="inlineStr">
        <is>
          <t>자산</t>
        </is>
      </c>
      <c r="F168" s="92" t="n">
        <v>3</v>
      </c>
      <c r="G168" s="93" t="n">
        <v>2158136800000</v>
      </c>
      <c r="I168" s="9">
        <f>IF($A168="","",VALUE($A168&amp;"")*12+VALUE($B168&amp;""))</f>
        <v/>
      </c>
      <c r="J168" s="9">
        <f>IF($A168="","",IFERROR(INDEX(입력옵션!$C$22:$C$53,MATCH($C168&amp;"",입력옵션!$E$22:$E$53,0)),IFERROR(INDEX(입력옵션!$C$22:$C$53,MATCH($D168&amp;"",입력옵션!$F$22:$F$53,0)),$C168&amp;"")))</f>
        <v/>
      </c>
      <c r="K168" s="97">
        <f>IF($A168="",0,$G168*설정!$C$23)</f>
        <v/>
      </c>
    </row>
    <row r="169">
      <c r="A169" s="92" t="n">
        <v>2025</v>
      </c>
      <c r="B169" s="92" t="n">
        <v>9</v>
      </c>
      <c r="C169" s="92" t="inlineStr">
        <is>
          <t>A130</t>
        </is>
      </c>
      <c r="D169" s="92" t="inlineStr">
        <is>
          <t>대출채권</t>
        </is>
      </c>
      <c r="E169" s="92" t="inlineStr">
        <is>
          <t>자산</t>
        </is>
      </c>
      <c r="F169" s="92" t="n">
        <v>3</v>
      </c>
      <c r="G169" s="93" t="n">
        <v>428423500000</v>
      </c>
      <c r="I169" s="9">
        <f>IF($A169="","",VALUE($A169&amp;"")*12+VALUE($B169&amp;""))</f>
        <v/>
      </c>
      <c r="J169" s="9">
        <f>IF($A169="","",IFERROR(INDEX(입력옵션!$C$22:$C$53,MATCH($C169&amp;"",입력옵션!$E$22:$E$53,0)),IFERROR(INDEX(입력옵션!$C$22:$C$53,MATCH($D169&amp;"",입력옵션!$F$22:$F$53,0)),$C169&amp;"")))</f>
        <v/>
      </c>
      <c r="K169" s="97">
        <f>IF($A169="",0,$G169*설정!$C$23)</f>
        <v/>
      </c>
    </row>
    <row r="170">
      <c r="A170" s="92" t="n">
        <v>2025</v>
      </c>
      <c r="B170" s="92" t="n">
        <v>9</v>
      </c>
      <c r="C170" s="92" t="inlineStr">
        <is>
          <t>A140</t>
        </is>
      </c>
      <c r="D170" s="92" t="inlineStr">
        <is>
          <t>투자부동산</t>
        </is>
      </c>
      <c r="E170" s="92" t="inlineStr">
        <is>
          <t>자산</t>
        </is>
      </c>
      <c r="F170" s="92" t="n">
        <v>3</v>
      </c>
      <c r="G170" s="93" t="n">
        <v>174800000000</v>
      </c>
      <c r="I170" s="9">
        <f>IF($A170="","",VALUE($A170&amp;"")*12+VALUE($B170&amp;""))</f>
        <v/>
      </c>
      <c r="J170" s="9">
        <f>IF($A170="","",IFERROR(INDEX(입력옵션!$C$22:$C$53,MATCH($C170&amp;"",입력옵션!$E$22:$E$53,0)),IFERROR(INDEX(입력옵션!$C$22:$C$53,MATCH($D170&amp;"",입력옵션!$F$22:$F$53,0)),$C170&amp;"")))</f>
        <v/>
      </c>
      <c r="K170" s="97">
        <f>IF($A170="",0,$G170*설정!$C$23)</f>
        <v/>
      </c>
    </row>
    <row r="171">
      <c r="A171" s="92" t="n">
        <v>2025</v>
      </c>
      <c r="B171" s="92" t="n">
        <v>9</v>
      </c>
      <c r="C171" s="92" t="inlineStr">
        <is>
          <t>A200</t>
        </is>
      </c>
      <c r="D171" s="92" t="inlineStr">
        <is>
          <t>보험계약자산</t>
        </is>
      </c>
      <c r="E171" s="92" t="inlineStr">
        <is>
          <t>자산</t>
        </is>
      </c>
      <c r="F171" s="92" t="n">
        <v>2</v>
      </c>
      <c r="G171" s="93" t="n">
        <v>11976200000</v>
      </c>
      <c r="I171" s="9">
        <f>IF($A171="","",VALUE($A171&amp;"")*12+VALUE($B171&amp;""))</f>
        <v/>
      </c>
      <c r="J171" s="9">
        <f>IF($A171="","",IFERROR(INDEX(입력옵션!$C$22:$C$53,MATCH($C171&amp;"",입력옵션!$E$22:$E$53,0)),IFERROR(INDEX(입력옵션!$C$22:$C$53,MATCH($D171&amp;"",입력옵션!$F$22:$F$53,0)),$C171&amp;"")))</f>
        <v/>
      </c>
      <c r="K171" s="97">
        <f>IF($A171="",0,$G171*설정!$C$23)</f>
        <v/>
      </c>
    </row>
    <row r="172">
      <c r="A172" s="92" t="n">
        <v>2025</v>
      </c>
      <c r="B172" s="92" t="n">
        <v>9</v>
      </c>
      <c r="C172" s="92" t="inlineStr">
        <is>
          <t>A300</t>
        </is>
      </c>
      <c r="D172" s="92" t="inlineStr">
        <is>
          <t>재보험계약자산</t>
        </is>
      </c>
      <c r="E172" s="92" t="inlineStr">
        <is>
          <t>자산</t>
        </is>
      </c>
      <c r="F172" s="92" t="n">
        <v>2</v>
      </c>
      <c r="G172" s="93" t="n">
        <v>41640500000</v>
      </c>
      <c r="I172" s="9">
        <f>IF($A172="","",VALUE($A172&amp;"")*12+VALUE($B172&amp;""))</f>
        <v/>
      </c>
      <c r="J172" s="9">
        <f>IF($A172="","",IFERROR(INDEX(입력옵션!$C$22:$C$53,MATCH($C172&amp;"",입력옵션!$E$22:$E$53,0)),IFERROR(INDEX(입력옵션!$C$22:$C$53,MATCH($D172&amp;"",입력옵션!$F$22:$F$53,0)),$C172&amp;"")))</f>
        <v/>
      </c>
      <c r="K172" s="97">
        <f>IF($A172="",0,$G172*설정!$C$23)</f>
        <v/>
      </c>
    </row>
    <row r="173">
      <c r="A173" s="92" t="n">
        <v>2025</v>
      </c>
      <c r="B173" s="92" t="n">
        <v>9</v>
      </c>
      <c r="C173" s="92" t="inlineStr">
        <is>
          <t>A900</t>
        </is>
      </c>
      <c r="D173" s="92" t="inlineStr">
        <is>
          <t>기타자산</t>
        </is>
      </c>
      <c r="E173" s="92" t="inlineStr">
        <is>
          <t>자산</t>
        </is>
      </c>
      <c r="F173" s="92" t="n">
        <v>2</v>
      </c>
      <c r="G173" s="93" t="n">
        <v>160250500000</v>
      </c>
      <c r="I173" s="9">
        <f>IF($A173="","",VALUE($A173&amp;"")*12+VALUE($B173&amp;""))</f>
        <v/>
      </c>
      <c r="J173" s="9">
        <f>IF($A173="","",IFERROR(INDEX(입력옵션!$C$22:$C$53,MATCH($C173&amp;"",입력옵션!$E$22:$E$53,0)),IFERROR(INDEX(입력옵션!$C$22:$C$53,MATCH($D173&amp;"",입력옵션!$F$22:$F$53,0)),$C173&amp;"")))</f>
        <v/>
      </c>
      <c r="K173" s="97">
        <f>IF($A173="",0,$G173*설정!$C$23)</f>
        <v/>
      </c>
    </row>
    <row r="174">
      <c r="A174" s="92" t="n">
        <v>2025</v>
      </c>
      <c r="B174" s="92" t="n">
        <v>9</v>
      </c>
      <c r="C174" s="92" t="inlineStr">
        <is>
          <t>L000</t>
        </is>
      </c>
      <c r="D174" s="92" t="inlineStr">
        <is>
          <t>부채총계</t>
        </is>
      </c>
      <c r="E174" s="92" t="inlineStr">
        <is>
          <t>부채</t>
        </is>
      </c>
      <c r="F174" s="92" t="n">
        <v>1</v>
      </c>
      <c r="G174" s="93" t="n">
        <v>2718763811000</v>
      </c>
      <c r="I174" s="9">
        <f>IF($A174="","",VALUE($A174&amp;"")*12+VALUE($B174&amp;""))</f>
        <v/>
      </c>
      <c r="J174" s="9">
        <f>IF($A174="","",IFERROR(INDEX(입력옵션!$C$22:$C$53,MATCH($C174&amp;"",입력옵션!$E$22:$E$53,0)),IFERROR(INDEX(입력옵션!$C$22:$C$53,MATCH($D174&amp;"",입력옵션!$F$22:$F$53,0)),$C174&amp;"")))</f>
        <v/>
      </c>
      <c r="K174" s="97">
        <f>IF($A174="",0,$G174*설정!$C$23)</f>
        <v/>
      </c>
    </row>
    <row r="175">
      <c r="A175" s="92" t="n">
        <v>2025</v>
      </c>
      <c r="B175" s="92" t="n">
        <v>9</v>
      </c>
      <c r="C175" s="92" t="inlineStr">
        <is>
          <t>L100</t>
        </is>
      </c>
      <c r="D175" s="92" t="inlineStr">
        <is>
          <t>보험계약부채</t>
        </is>
      </c>
      <c r="E175" s="92" t="inlineStr">
        <is>
          <t>부채</t>
        </is>
      </c>
      <c r="F175" s="92" t="n">
        <v>2</v>
      </c>
      <c r="G175" s="93" t="n">
        <v>2619050211000</v>
      </c>
      <c r="I175" s="9">
        <f>IF($A175="","",VALUE($A175&amp;"")*12+VALUE($B175&amp;""))</f>
        <v/>
      </c>
      <c r="J175" s="9">
        <f>IF($A175="","",IFERROR(INDEX(입력옵션!$C$22:$C$53,MATCH($C175&amp;"",입력옵션!$E$22:$E$53,0)),IFERROR(INDEX(입력옵션!$C$22:$C$53,MATCH($D175&amp;"",입력옵션!$F$22:$F$53,0)),$C175&amp;"")))</f>
        <v/>
      </c>
      <c r="K175" s="97">
        <f>IF($A175="",0,$G175*설정!$C$23)</f>
        <v/>
      </c>
    </row>
    <row r="176">
      <c r="A176" s="92" t="n">
        <v>2025</v>
      </c>
      <c r="B176" s="92" t="n">
        <v>9</v>
      </c>
      <c r="C176" s="92" t="inlineStr">
        <is>
          <t>L110</t>
        </is>
      </c>
      <c r="D176" s="92" t="inlineStr">
        <is>
          <t>최선추정부채(BEL)</t>
        </is>
      </c>
      <c r="E176" s="92" t="inlineStr">
        <is>
          <t>부채</t>
        </is>
      </c>
      <c r="F176" s="92" t="n">
        <v>3</v>
      </c>
      <c r="G176" s="93" t="n">
        <v>2108341900000</v>
      </c>
      <c r="I176" s="9">
        <f>IF($A176="","",VALUE($A176&amp;"")*12+VALUE($B176&amp;""))</f>
        <v/>
      </c>
      <c r="J176" s="9">
        <f>IF($A176="","",IFERROR(INDEX(입력옵션!$C$22:$C$53,MATCH($C176&amp;"",입력옵션!$E$22:$E$53,0)),IFERROR(INDEX(입력옵션!$C$22:$C$53,MATCH($D176&amp;"",입력옵션!$F$22:$F$53,0)),$C176&amp;"")))</f>
        <v/>
      </c>
      <c r="K176" s="97">
        <f>IF($A176="",0,$G176*설정!$C$23)</f>
        <v/>
      </c>
    </row>
    <row r="177">
      <c r="A177" s="92" t="n">
        <v>2025</v>
      </c>
      <c r="B177" s="92" t="n">
        <v>9</v>
      </c>
      <c r="C177" s="92" t="inlineStr">
        <is>
          <t>L120</t>
        </is>
      </c>
      <c r="D177" s="92" t="inlineStr">
        <is>
          <t>위험조정(RA)</t>
        </is>
      </c>
      <c r="E177" s="92" t="inlineStr">
        <is>
          <t>부채</t>
        </is>
      </c>
      <c r="F177" s="92" t="n">
        <v>3</v>
      </c>
      <c r="G177" s="93" t="n">
        <v>119950600000</v>
      </c>
      <c r="I177" s="9">
        <f>IF($A177="","",VALUE($A177&amp;"")*12+VALUE($B177&amp;""))</f>
        <v/>
      </c>
      <c r="J177" s="9">
        <f>IF($A177="","",IFERROR(INDEX(입력옵션!$C$22:$C$53,MATCH($C177&amp;"",입력옵션!$E$22:$E$53,0)),IFERROR(INDEX(입력옵션!$C$22:$C$53,MATCH($D177&amp;"",입력옵션!$F$22:$F$53,0)),$C177&amp;"")))</f>
        <v/>
      </c>
      <c r="K177" s="97">
        <f>IF($A177="",0,$G177*설정!$C$23)</f>
        <v/>
      </c>
    </row>
    <row r="178">
      <c r="A178" s="92" t="n">
        <v>2025</v>
      </c>
      <c r="B178" s="92" t="n">
        <v>9</v>
      </c>
      <c r="C178" s="92" t="inlineStr">
        <is>
          <t>L130</t>
        </is>
      </c>
      <c r="D178" s="92" t="inlineStr">
        <is>
          <t>보험계약마진(CSM)</t>
        </is>
      </c>
      <c r="E178" s="92" t="inlineStr">
        <is>
          <t>부채</t>
        </is>
      </c>
      <c r="F178" s="92" t="n">
        <v>3</v>
      </c>
      <c r="G178" s="93" t="n">
        <v>390757711000</v>
      </c>
      <c r="I178" s="9">
        <f>IF($A178="","",VALUE($A178&amp;"")*12+VALUE($B178&amp;""))</f>
        <v/>
      </c>
      <c r="J178" s="9">
        <f>IF($A178="","",IFERROR(INDEX(입력옵션!$C$22:$C$53,MATCH($C178&amp;"",입력옵션!$E$22:$E$53,0)),IFERROR(INDEX(입력옵션!$C$22:$C$53,MATCH($D178&amp;"",입력옵션!$F$22:$F$53,0)),$C178&amp;"")))</f>
        <v/>
      </c>
      <c r="K178" s="97">
        <f>IF($A178="",0,$G178*설정!$C$23)</f>
        <v/>
      </c>
    </row>
    <row r="179">
      <c r="A179" s="92" t="n">
        <v>2025</v>
      </c>
      <c r="B179" s="92" t="n">
        <v>9</v>
      </c>
      <c r="C179" s="92" t="inlineStr">
        <is>
          <t>L200</t>
        </is>
      </c>
      <c r="D179" s="92" t="inlineStr">
        <is>
          <t>재보험계약부채</t>
        </is>
      </c>
      <c r="E179" s="92" t="inlineStr">
        <is>
          <t>부채</t>
        </is>
      </c>
      <c r="F179" s="92" t="n">
        <v>2</v>
      </c>
      <c r="G179" s="93" t="n">
        <v>7071200000</v>
      </c>
      <c r="I179" s="9">
        <f>IF($A179="","",VALUE($A179&amp;"")*12+VALUE($B179&amp;""))</f>
        <v/>
      </c>
      <c r="J179" s="9">
        <f>IF($A179="","",IFERROR(INDEX(입력옵션!$C$22:$C$53,MATCH($C179&amp;"",입력옵션!$E$22:$E$53,0)),IFERROR(INDEX(입력옵션!$C$22:$C$53,MATCH($D179&amp;"",입력옵션!$F$22:$F$53,0)),$C179&amp;"")))</f>
        <v/>
      </c>
      <c r="K179" s="97">
        <f>IF($A179="",0,$G179*설정!$C$23)</f>
        <v/>
      </c>
    </row>
    <row r="180">
      <c r="A180" s="92" t="n">
        <v>2025</v>
      </c>
      <c r="B180" s="92" t="n">
        <v>9</v>
      </c>
      <c r="C180" s="92" t="inlineStr">
        <is>
          <t>L900</t>
        </is>
      </c>
      <c r="D180" s="92" t="inlineStr">
        <is>
          <t>기타부채</t>
        </is>
      </c>
      <c r="E180" s="92" t="inlineStr">
        <is>
          <t>부채</t>
        </is>
      </c>
      <c r="F180" s="92" t="n">
        <v>2</v>
      </c>
      <c r="G180" s="93" t="n">
        <v>92642400000</v>
      </c>
      <c r="I180" s="9">
        <f>IF($A180="","",VALUE($A180&amp;"")*12+VALUE($B180&amp;""))</f>
        <v/>
      </c>
      <c r="J180" s="9">
        <f>IF($A180="","",IFERROR(INDEX(입력옵션!$C$22:$C$53,MATCH($C180&amp;"",입력옵션!$E$22:$E$53,0)),IFERROR(INDEX(입력옵션!$C$22:$C$53,MATCH($D180&amp;"",입력옵션!$F$22:$F$53,0)),$C180&amp;"")))</f>
        <v/>
      </c>
      <c r="K180" s="97">
        <f>IF($A180="",0,$G180*설정!$C$23)</f>
        <v/>
      </c>
    </row>
    <row r="181">
      <c r="A181" s="92" t="n">
        <v>2025</v>
      </c>
      <c r="B181" s="92" t="n">
        <v>9</v>
      </c>
      <c r="C181" s="92" t="inlineStr">
        <is>
          <t>E000</t>
        </is>
      </c>
      <c r="D181" s="92" t="inlineStr">
        <is>
          <t>자본총계</t>
        </is>
      </c>
      <c r="E181" s="92" t="inlineStr">
        <is>
          <t>자본</t>
        </is>
      </c>
      <c r="F181" s="92" t="n">
        <v>1</v>
      </c>
      <c r="G181" s="93" t="n">
        <v>342422389000</v>
      </c>
      <c r="I181" s="9">
        <f>IF($A181="","",VALUE($A181&amp;"")*12+VALUE($B181&amp;""))</f>
        <v/>
      </c>
      <c r="J181" s="9">
        <f>IF($A181="","",IFERROR(INDEX(입력옵션!$C$22:$C$53,MATCH($C181&amp;"",입력옵션!$E$22:$E$53,0)),IFERROR(INDEX(입력옵션!$C$22:$C$53,MATCH($D181&amp;"",입력옵션!$F$22:$F$53,0)),$C181&amp;"")))</f>
        <v/>
      </c>
      <c r="K181" s="97">
        <f>IF($A181="",0,$G181*설정!$C$23)</f>
        <v/>
      </c>
    </row>
    <row r="182">
      <c r="A182" s="92" t="n">
        <v>2025</v>
      </c>
      <c r="B182" s="92" t="n">
        <v>9</v>
      </c>
      <c r="C182" s="92" t="inlineStr">
        <is>
          <t>E100</t>
        </is>
      </c>
      <c r="D182" s="92" t="inlineStr">
        <is>
          <t>자본금</t>
        </is>
      </c>
      <c r="E182" s="92" t="inlineStr">
        <is>
          <t>자본</t>
        </is>
      </c>
      <c r="F182" s="92" t="n">
        <v>2</v>
      </c>
      <c r="G182" s="93" t="n">
        <v>100000000000</v>
      </c>
      <c r="I182" s="9">
        <f>IF($A182="","",VALUE($A182&amp;"")*12+VALUE($B182&amp;""))</f>
        <v/>
      </c>
      <c r="J182" s="9">
        <f>IF($A182="","",IFERROR(INDEX(입력옵션!$C$22:$C$53,MATCH($C182&amp;"",입력옵션!$E$22:$E$53,0)),IFERROR(INDEX(입력옵션!$C$22:$C$53,MATCH($D182&amp;"",입력옵션!$F$22:$F$53,0)),$C182&amp;"")))</f>
        <v/>
      </c>
      <c r="K182" s="97">
        <f>IF($A182="",0,$G182*설정!$C$23)</f>
        <v/>
      </c>
    </row>
    <row r="183">
      <c r="A183" s="92" t="n">
        <v>2025</v>
      </c>
      <c r="B183" s="92" t="n">
        <v>9</v>
      </c>
      <c r="C183" s="92" t="inlineStr">
        <is>
          <t>E200</t>
        </is>
      </c>
      <c r="D183" s="92" t="inlineStr">
        <is>
          <t>이익잉여금</t>
        </is>
      </c>
      <c r="E183" s="92" t="inlineStr">
        <is>
          <t>자본</t>
        </is>
      </c>
      <c r="F183" s="92" t="n">
        <v>2</v>
      </c>
      <c r="G183" s="93" t="n">
        <v>278656189000</v>
      </c>
      <c r="I183" s="9">
        <f>IF($A183="","",VALUE($A183&amp;"")*12+VALUE($B183&amp;""))</f>
        <v/>
      </c>
      <c r="J183" s="9">
        <f>IF($A183="","",IFERROR(INDEX(입력옵션!$C$22:$C$53,MATCH($C183&amp;"",입력옵션!$E$22:$E$53,0)),IFERROR(INDEX(입력옵션!$C$22:$C$53,MATCH($D183&amp;"",입력옵션!$F$22:$F$53,0)),$C183&amp;"")))</f>
        <v/>
      </c>
      <c r="K183" s="97">
        <f>IF($A183="",0,$G183*설정!$C$23)</f>
        <v/>
      </c>
    </row>
    <row r="184">
      <c r="A184" s="92" t="n">
        <v>2025</v>
      </c>
      <c r="B184" s="92" t="n">
        <v>9</v>
      </c>
      <c r="C184" s="92" t="inlineStr">
        <is>
          <t>E300</t>
        </is>
      </c>
      <c r="D184" s="92" t="inlineStr">
        <is>
          <t>기타포괄손익누계액</t>
        </is>
      </c>
      <c r="E184" s="92" t="inlineStr">
        <is>
          <t>자본</t>
        </is>
      </c>
      <c r="F184" s="92" t="n">
        <v>2</v>
      </c>
      <c r="G184" s="93" t="n">
        <v>-36233800000</v>
      </c>
      <c r="I184" s="9">
        <f>IF($A184="","",VALUE($A184&amp;"")*12+VALUE($B184&amp;""))</f>
        <v/>
      </c>
      <c r="J184" s="9">
        <f>IF($A184="","",IFERROR(INDEX(입력옵션!$C$22:$C$53,MATCH($C184&amp;"",입력옵션!$E$22:$E$53,0)),IFERROR(INDEX(입력옵션!$C$22:$C$53,MATCH($D184&amp;"",입력옵션!$F$22:$F$53,0)),$C184&amp;"")))</f>
        <v/>
      </c>
      <c r="K184" s="97">
        <f>IF($A184="",0,$G184*설정!$C$23)</f>
        <v/>
      </c>
    </row>
    <row r="185">
      <c r="A185" s="92" t="n">
        <v>2025</v>
      </c>
      <c r="B185" s="92" t="n">
        <v>10</v>
      </c>
      <c r="C185" s="92" t="inlineStr">
        <is>
          <t>A000</t>
        </is>
      </c>
      <c r="D185" s="92" t="inlineStr">
        <is>
          <t>자산총계</t>
        </is>
      </c>
      <c r="E185" s="92" t="inlineStr">
        <is>
          <t>자산</t>
        </is>
      </c>
      <c r="F185" s="92" t="n">
        <v>1</v>
      </c>
      <c r="G185" s="93" t="n">
        <v>3070423000000</v>
      </c>
      <c r="I185" s="9">
        <f>IF($A185="","",VALUE($A185&amp;"")*12+VALUE($B185&amp;""))</f>
        <v/>
      </c>
      <c r="J185" s="9">
        <f>IF($A185="","",IFERROR(INDEX(입력옵션!$C$22:$C$53,MATCH($C185&amp;"",입력옵션!$E$22:$E$53,0)),IFERROR(INDEX(입력옵션!$C$22:$C$53,MATCH($D185&amp;"",입력옵션!$F$22:$F$53,0)),$C185&amp;"")))</f>
        <v/>
      </c>
      <c r="K185" s="97">
        <f>IF($A185="",0,$G185*설정!$C$23)</f>
        <v/>
      </c>
    </row>
    <row r="186">
      <c r="A186" s="92" t="n">
        <v>2025</v>
      </c>
      <c r="B186" s="92" t="n">
        <v>10</v>
      </c>
      <c r="C186" s="92" t="inlineStr">
        <is>
          <t>A100</t>
        </is>
      </c>
      <c r="D186" s="92" t="inlineStr">
        <is>
          <t>운용자산</t>
        </is>
      </c>
      <c r="E186" s="92" t="inlineStr">
        <is>
          <t>자산</t>
        </is>
      </c>
      <c r="F186" s="92" t="n">
        <v>2</v>
      </c>
      <c r="G186" s="93" t="n">
        <v>2857546500000</v>
      </c>
      <c r="I186" s="9">
        <f>IF($A186="","",VALUE($A186&amp;"")*12+VALUE($B186&amp;""))</f>
        <v/>
      </c>
      <c r="J186" s="9">
        <f>IF($A186="","",IFERROR(INDEX(입력옵션!$C$22:$C$53,MATCH($C186&amp;"",입력옵션!$E$22:$E$53,0)),IFERROR(INDEX(입력옵션!$C$22:$C$53,MATCH($D186&amp;"",입력옵션!$F$22:$F$53,0)),$C186&amp;"")))</f>
        <v/>
      </c>
      <c r="K186" s="97">
        <f>IF($A186="",0,$G186*설정!$C$23)</f>
        <v/>
      </c>
    </row>
    <row r="187">
      <c r="A187" s="92" t="n">
        <v>2025</v>
      </c>
      <c r="B187" s="92" t="n">
        <v>10</v>
      </c>
      <c r="C187" s="92" t="inlineStr">
        <is>
          <t>A110</t>
        </is>
      </c>
      <c r="D187" s="92" t="inlineStr">
        <is>
          <t>현금및예치금</t>
        </is>
      </c>
      <c r="E187" s="92" t="inlineStr">
        <is>
          <t>자산</t>
        </is>
      </c>
      <c r="F187" s="92" t="n">
        <v>3</v>
      </c>
      <c r="G187" s="93" t="n">
        <v>85448200000</v>
      </c>
      <c r="I187" s="9">
        <f>IF($A187="","",VALUE($A187&amp;"")*12+VALUE($B187&amp;""))</f>
        <v/>
      </c>
      <c r="J187" s="9">
        <f>IF($A187="","",IFERROR(INDEX(입력옵션!$C$22:$C$53,MATCH($C187&amp;"",입력옵션!$E$22:$E$53,0)),IFERROR(INDEX(입력옵션!$C$22:$C$53,MATCH($D187&amp;"",입력옵션!$F$22:$F$53,0)),$C187&amp;"")))</f>
        <v/>
      </c>
      <c r="K187" s="97">
        <f>IF($A187="",0,$G187*설정!$C$23)</f>
        <v/>
      </c>
    </row>
    <row r="188">
      <c r="A188" s="92" t="n">
        <v>2025</v>
      </c>
      <c r="B188" s="92" t="n">
        <v>10</v>
      </c>
      <c r="C188" s="92" t="inlineStr">
        <is>
          <t>A120</t>
        </is>
      </c>
      <c r="D188" s="92" t="inlineStr">
        <is>
          <t>유가증권</t>
        </is>
      </c>
      <c r="E188" s="92" t="inlineStr">
        <is>
          <t>자산</t>
        </is>
      </c>
      <c r="F188" s="92" t="n">
        <v>3</v>
      </c>
      <c r="G188" s="93" t="n">
        <v>2171676300000</v>
      </c>
      <c r="I188" s="9">
        <f>IF($A188="","",VALUE($A188&amp;"")*12+VALUE($B188&amp;""))</f>
        <v/>
      </c>
      <c r="J188" s="9">
        <f>IF($A188="","",IFERROR(INDEX(입력옵션!$C$22:$C$53,MATCH($C188&amp;"",입력옵션!$E$22:$E$53,0)),IFERROR(INDEX(입력옵션!$C$22:$C$53,MATCH($D188&amp;"",입력옵션!$F$22:$F$53,0)),$C188&amp;"")))</f>
        <v/>
      </c>
      <c r="K188" s="97">
        <f>IF($A188="",0,$G188*설정!$C$23)</f>
        <v/>
      </c>
    </row>
    <row r="189">
      <c r="A189" s="92" t="n">
        <v>2025</v>
      </c>
      <c r="B189" s="92" t="n">
        <v>10</v>
      </c>
      <c r="C189" s="92" t="inlineStr">
        <is>
          <t>A130</t>
        </is>
      </c>
      <c r="D189" s="92" t="inlineStr">
        <is>
          <t>대출채권</t>
        </is>
      </c>
      <c r="E189" s="92" t="inlineStr">
        <is>
          <t>자산</t>
        </is>
      </c>
      <c r="F189" s="92" t="n">
        <v>3</v>
      </c>
      <c r="G189" s="93" t="n">
        <v>426272000000</v>
      </c>
      <c r="I189" s="9">
        <f>IF($A189="","",VALUE($A189&amp;"")*12+VALUE($B189&amp;""))</f>
        <v/>
      </c>
      <c r="J189" s="9">
        <f>IF($A189="","",IFERROR(INDEX(입력옵션!$C$22:$C$53,MATCH($C189&amp;"",입력옵션!$E$22:$E$53,0)),IFERROR(INDEX(입력옵션!$C$22:$C$53,MATCH($D189&amp;"",입력옵션!$F$22:$F$53,0)),$C189&amp;"")))</f>
        <v/>
      </c>
      <c r="K189" s="97">
        <f>IF($A189="",0,$G189*설정!$C$23)</f>
        <v/>
      </c>
    </row>
    <row r="190">
      <c r="A190" s="92" t="n">
        <v>2025</v>
      </c>
      <c r="B190" s="92" t="n">
        <v>10</v>
      </c>
      <c r="C190" s="92" t="inlineStr">
        <is>
          <t>A140</t>
        </is>
      </c>
      <c r="D190" s="92" t="inlineStr">
        <is>
          <t>투자부동산</t>
        </is>
      </c>
      <c r="E190" s="92" t="inlineStr">
        <is>
          <t>자산</t>
        </is>
      </c>
      <c r="F190" s="92" t="n">
        <v>3</v>
      </c>
      <c r="G190" s="93" t="n">
        <v>174150000000</v>
      </c>
      <c r="I190" s="9">
        <f>IF($A190="","",VALUE($A190&amp;"")*12+VALUE($B190&amp;""))</f>
        <v/>
      </c>
      <c r="J190" s="9">
        <f>IF($A190="","",IFERROR(INDEX(입력옵션!$C$22:$C$53,MATCH($C190&amp;"",입력옵션!$E$22:$E$53,0)),IFERROR(INDEX(입력옵션!$C$22:$C$53,MATCH($D190&amp;"",입력옵션!$F$22:$F$53,0)),$C190&amp;"")))</f>
        <v/>
      </c>
      <c r="K190" s="97">
        <f>IF($A190="",0,$G190*설정!$C$23)</f>
        <v/>
      </c>
    </row>
    <row r="191">
      <c r="A191" s="92" t="n">
        <v>2025</v>
      </c>
      <c r="B191" s="92" t="n">
        <v>10</v>
      </c>
      <c r="C191" s="92" t="inlineStr">
        <is>
          <t>A200</t>
        </is>
      </c>
      <c r="D191" s="92" t="inlineStr">
        <is>
          <t>보험계약자산</t>
        </is>
      </c>
      <c r="E191" s="92" t="inlineStr">
        <is>
          <t>자산</t>
        </is>
      </c>
      <c r="F191" s="92" t="n">
        <v>2</v>
      </c>
      <c r="G191" s="93" t="n">
        <v>11762600000</v>
      </c>
      <c r="I191" s="9">
        <f>IF($A191="","",VALUE($A191&amp;"")*12+VALUE($B191&amp;""))</f>
        <v/>
      </c>
      <c r="J191" s="9">
        <f>IF($A191="","",IFERROR(INDEX(입력옵션!$C$22:$C$53,MATCH($C191&amp;"",입력옵션!$E$22:$E$53,0)),IFERROR(INDEX(입력옵션!$C$22:$C$53,MATCH($D191&amp;"",입력옵션!$F$22:$F$53,0)),$C191&amp;"")))</f>
        <v/>
      </c>
      <c r="K191" s="97">
        <f>IF($A191="",0,$G191*설정!$C$23)</f>
        <v/>
      </c>
    </row>
    <row r="192">
      <c r="A192" s="92" t="n">
        <v>2025</v>
      </c>
      <c r="B192" s="92" t="n">
        <v>10</v>
      </c>
      <c r="C192" s="92" t="inlineStr">
        <is>
          <t>A300</t>
        </is>
      </c>
      <c r="D192" s="92" t="inlineStr">
        <is>
          <t>재보험계약자산</t>
        </is>
      </c>
      <c r="E192" s="92" t="inlineStr">
        <is>
          <t>자산</t>
        </is>
      </c>
      <c r="F192" s="92" t="n">
        <v>2</v>
      </c>
      <c r="G192" s="93" t="n">
        <v>42129700000</v>
      </c>
      <c r="I192" s="9">
        <f>IF($A192="","",VALUE($A192&amp;"")*12+VALUE($B192&amp;""))</f>
        <v/>
      </c>
      <c r="J192" s="9">
        <f>IF($A192="","",IFERROR(INDEX(입력옵션!$C$22:$C$53,MATCH($C192&amp;"",입력옵션!$E$22:$E$53,0)),IFERROR(INDEX(입력옵션!$C$22:$C$53,MATCH($D192&amp;"",입력옵션!$F$22:$F$53,0)),$C192&amp;"")))</f>
        <v/>
      </c>
      <c r="K192" s="97">
        <f>IF($A192="",0,$G192*설정!$C$23)</f>
        <v/>
      </c>
    </row>
    <row r="193">
      <c r="A193" s="92" t="n">
        <v>2025</v>
      </c>
      <c r="B193" s="92" t="n">
        <v>10</v>
      </c>
      <c r="C193" s="92" t="inlineStr">
        <is>
          <t>A900</t>
        </is>
      </c>
      <c r="D193" s="92" t="inlineStr">
        <is>
          <t>기타자산</t>
        </is>
      </c>
      <c r="E193" s="92" t="inlineStr">
        <is>
          <t>자산</t>
        </is>
      </c>
      <c r="F193" s="92" t="n">
        <v>2</v>
      </c>
      <c r="G193" s="93" t="n">
        <v>158984200000</v>
      </c>
      <c r="I193" s="9">
        <f>IF($A193="","",VALUE($A193&amp;"")*12+VALUE($B193&amp;""))</f>
        <v/>
      </c>
      <c r="J193" s="9">
        <f>IF($A193="","",IFERROR(INDEX(입력옵션!$C$22:$C$53,MATCH($C193&amp;"",입력옵션!$E$22:$E$53,0)),IFERROR(INDEX(입력옵션!$C$22:$C$53,MATCH($D193&amp;"",입력옵션!$F$22:$F$53,0)),$C193&amp;"")))</f>
        <v/>
      </c>
      <c r="K193" s="97">
        <f>IF($A193="",0,$G193*설정!$C$23)</f>
        <v/>
      </c>
    </row>
    <row r="194">
      <c r="A194" s="92" t="n">
        <v>2025</v>
      </c>
      <c r="B194" s="92" t="n">
        <v>10</v>
      </c>
      <c r="C194" s="92" t="inlineStr">
        <is>
          <t>L000</t>
        </is>
      </c>
      <c r="D194" s="92" t="inlineStr">
        <is>
          <t>부채총계</t>
        </is>
      </c>
      <c r="E194" s="92" t="inlineStr">
        <is>
          <t>부채</t>
        </is>
      </c>
      <c r="F194" s="92" t="n">
        <v>1</v>
      </c>
      <c r="G194" s="93" t="n">
        <v>2727067228000</v>
      </c>
      <c r="I194" s="9">
        <f>IF($A194="","",VALUE($A194&amp;"")*12+VALUE($B194&amp;""))</f>
        <v/>
      </c>
      <c r="J194" s="9">
        <f>IF($A194="","",IFERROR(INDEX(입력옵션!$C$22:$C$53,MATCH($C194&amp;"",입력옵션!$E$22:$E$53,0)),IFERROR(INDEX(입력옵션!$C$22:$C$53,MATCH($D194&amp;"",입력옵션!$F$22:$F$53,0)),$C194&amp;"")))</f>
        <v/>
      </c>
      <c r="K194" s="97">
        <f>IF($A194="",0,$G194*설정!$C$23)</f>
        <v/>
      </c>
    </row>
    <row r="195">
      <c r="A195" s="92" t="n">
        <v>2025</v>
      </c>
      <c r="B195" s="92" t="n">
        <v>10</v>
      </c>
      <c r="C195" s="92" t="inlineStr">
        <is>
          <t>L100</t>
        </is>
      </c>
      <c r="D195" s="92" t="inlineStr">
        <is>
          <t>보험계약부채</t>
        </is>
      </c>
      <c r="E195" s="92" t="inlineStr">
        <is>
          <t>부채</t>
        </is>
      </c>
      <c r="F195" s="92" t="n">
        <v>2</v>
      </c>
      <c r="G195" s="93" t="n">
        <v>2624975928000</v>
      </c>
      <c r="I195" s="9">
        <f>IF($A195="","",VALUE($A195&amp;"")*12+VALUE($B195&amp;""))</f>
        <v/>
      </c>
      <c r="J195" s="9">
        <f>IF($A195="","",IFERROR(INDEX(입력옵션!$C$22:$C$53,MATCH($C195&amp;"",입력옵션!$E$22:$E$53,0)),IFERROR(INDEX(입력옵션!$C$22:$C$53,MATCH($D195&amp;"",입력옵션!$F$22:$F$53,0)),$C195&amp;"")))</f>
        <v/>
      </c>
      <c r="K195" s="97">
        <f>IF($A195="",0,$G195*설정!$C$23)</f>
        <v/>
      </c>
    </row>
    <row r="196">
      <c r="A196" s="92" t="n">
        <v>2025</v>
      </c>
      <c r="B196" s="92" t="n">
        <v>10</v>
      </c>
      <c r="C196" s="92" t="inlineStr">
        <is>
          <t>L110</t>
        </is>
      </c>
      <c r="D196" s="92" t="inlineStr">
        <is>
          <t>최선추정부채(BEL)</t>
        </is>
      </c>
      <c r="E196" s="92" t="inlineStr">
        <is>
          <t>부채</t>
        </is>
      </c>
      <c r="F196" s="92" t="n">
        <v>3</v>
      </c>
      <c r="G196" s="93" t="n">
        <v>2112672700000</v>
      </c>
      <c r="I196" s="9">
        <f>IF($A196="","",VALUE($A196&amp;"")*12+VALUE($B196&amp;""))</f>
        <v/>
      </c>
      <c r="J196" s="9">
        <f>IF($A196="","",IFERROR(INDEX(입력옵션!$C$22:$C$53,MATCH($C196&amp;"",입력옵션!$E$22:$E$53,0)),IFERROR(INDEX(입력옵션!$C$22:$C$53,MATCH($D196&amp;"",입력옵션!$F$22:$F$53,0)),$C196&amp;"")))</f>
        <v/>
      </c>
      <c r="K196" s="97">
        <f>IF($A196="",0,$G196*설정!$C$23)</f>
        <v/>
      </c>
    </row>
    <row r="197">
      <c r="A197" s="92" t="n">
        <v>2025</v>
      </c>
      <c r="B197" s="92" t="n">
        <v>10</v>
      </c>
      <c r="C197" s="92" t="inlineStr">
        <is>
          <t>L120</t>
        </is>
      </c>
      <c r="D197" s="92" t="inlineStr">
        <is>
          <t>위험조정(RA)</t>
        </is>
      </c>
      <c r="E197" s="92" t="inlineStr">
        <is>
          <t>부채</t>
        </is>
      </c>
      <c r="F197" s="92" t="n">
        <v>3</v>
      </c>
      <c r="G197" s="93" t="n">
        <v>119930700000</v>
      </c>
      <c r="I197" s="9">
        <f>IF($A197="","",VALUE($A197&amp;"")*12+VALUE($B197&amp;""))</f>
        <v/>
      </c>
      <c r="J197" s="9">
        <f>IF($A197="","",IFERROR(INDEX(입력옵션!$C$22:$C$53,MATCH($C197&amp;"",입력옵션!$E$22:$E$53,0)),IFERROR(INDEX(입력옵션!$C$22:$C$53,MATCH($D197&amp;"",입력옵션!$F$22:$F$53,0)),$C197&amp;"")))</f>
        <v/>
      </c>
      <c r="K197" s="97">
        <f>IF($A197="",0,$G197*설정!$C$23)</f>
        <v/>
      </c>
    </row>
    <row r="198">
      <c r="A198" s="92" t="n">
        <v>2025</v>
      </c>
      <c r="B198" s="92" t="n">
        <v>10</v>
      </c>
      <c r="C198" s="92" t="inlineStr">
        <is>
          <t>L130</t>
        </is>
      </c>
      <c r="D198" s="92" t="inlineStr">
        <is>
          <t>보험계약마진(CSM)</t>
        </is>
      </c>
      <c r="E198" s="92" t="inlineStr">
        <is>
          <t>부채</t>
        </is>
      </c>
      <c r="F198" s="92" t="n">
        <v>3</v>
      </c>
      <c r="G198" s="93" t="n">
        <v>392372528000</v>
      </c>
      <c r="I198" s="9">
        <f>IF($A198="","",VALUE($A198&amp;"")*12+VALUE($B198&amp;""))</f>
        <v/>
      </c>
      <c r="J198" s="9">
        <f>IF($A198="","",IFERROR(INDEX(입력옵션!$C$22:$C$53,MATCH($C198&amp;"",입력옵션!$E$22:$E$53,0)),IFERROR(INDEX(입력옵션!$C$22:$C$53,MATCH($D198&amp;"",입력옵션!$F$22:$F$53,0)),$C198&amp;"")))</f>
        <v/>
      </c>
      <c r="K198" s="97">
        <f>IF($A198="",0,$G198*설정!$C$23)</f>
        <v/>
      </c>
    </row>
    <row r="199">
      <c r="A199" s="92" t="n">
        <v>2025</v>
      </c>
      <c r="B199" s="92" t="n">
        <v>10</v>
      </c>
      <c r="C199" s="92" t="inlineStr">
        <is>
          <t>L200</t>
        </is>
      </c>
      <c r="D199" s="92" t="inlineStr">
        <is>
          <t>재보험계약부채</t>
        </is>
      </c>
      <c r="E199" s="92" t="inlineStr">
        <is>
          <t>부채</t>
        </is>
      </c>
      <c r="F199" s="92" t="n">
        <v>2</v>
      </c>
      <c r="G199" s="93" t="n">
        <v>6784900000</v>
      </c>
      <c r="I199" s="9">
        <f>IF($A199="","",VALUE($A199&amp;"")*12+VALUE($B199&amp;""))</f>
        <v/>
      </c>
      <c r="J199" s="9">
        <f>IF($A199="","",IFERROR(INDEX(입력옵션!$C$22:$C$53,MATCH($C199&amp;"",입력옵션!$E$22:$E$53,0)),IFERROR(INDEX(입력옵션!$C$22:$C$53,MATCH($D199&amp;"",입력옵션!$F$22:$F$53,0)),$C199&amp;"")))</f>
        <v/>
      </c>
      <c r="K199" s="97">
        <f>IF($A199="",0,$G199*설정!$C$23)</f>
        <v/>
      </c>
    </row>
    <row r="200">
      <c r="A200" s="92" t="n">
        <v>2025</v>
      </c>
      <c r="B200" s="92" t="n">
        <v>10</v>
      </c>
      <c r="C200" s="92" t="inlineStr">
        <is>
          <t>L900</t>
        </is>
      </c>
      <c r="D200" s="92" t="inlineStr">
        <is>
          <t>기타부채</t>
        </is>
      </c>
      <c r="E200" s="92" t="inlineStr">
        <is>
          <t>부채</t>
        </is>
      </c>
      <c r="F200" s="92" t="n">
        <v>2</v>
      </c>
      <c r="G200" s="93" t="n">
        <v>95306400000</v>
      </c>
      <c r="I200" s="9">
        <f>IF($A200="","",VALUE($A200&amp;"")*12+VALUE($B200&amp;""))</f>
        <v/>
      </c>
      <c r="J200" s="9">
        <f>IF($A200="","",IFERROR(INDEX(입력옵션!$C$22:$C$53,MATCH($C200&amp;"",입력옵션!$E$22:$E$53,0)),IFERROR(INDEX(입력옵션!$C$22:$C$53,MATCH($D200&amp;"",입력옵션!$F$22:$F$53,0)),$C200&amp;"")))</f>
        <v/>
      </c>
      <c r="K200" s="97">
        <f>IF($A200="",0,$G200*설정!$C$23)</f>
        <v/>
      </c>
    </row>
    <row r="201">
      <c r="A201" s="92" t="n">
        <v>2025</v>
      </c>
      <c r="B201" s="92" t="n">
        <v>10</v>
      </c>
      <c r="C201" s="92" t="inlineStr">
        <is>
          <t>E000</t>
        </is>
      </c>
      <c r="D201" s="92" t="inlineStr">
        <is>
          <t>자본총계</t>
        </is>
      </c>
      <c r="E201" s="92" t="inlineStr">
        <is>
          <t>자본</t>
        </is>
      </c>
      <c r="F201" s="92" t="n">
        <v>1</v>
      </c>
      <c r="G201" s="93" t="n">
        <v>343355772000</v>
      </c>
      <c r="I201" s="9">
        <f>IF($A201="","",VALUE($A201&amp;"")*12+VALUE($B201&amp;""))</f>
        <v/>
      </c>
      <c r="J201" s="9">
        <f>IF($A201="","",IFERROR(INDEX(입력옵션!$C$22:$C$53,MATCH($C201&amp;"",입력옵션!$E$22:$E$53,0)),IFERROR(INDEX(입력옵션!$C$22:$C$53,MATCH($D201&amp;"",입력옵션!$F$22:$F$53,0)),$C201&amp;"")))</f>
        <v/>
      </c>
      <c r="K201" s="97">
        <f>IF($A201="",0,$G201*설정!$C$23)</f>
        <v/>
      </c>
    </row>
    <row r="202">
      <c r="A202" s="92" t="n">
        <v>2025</v>
      </c>
      <c r="B202" s="92" t="n">
        <v>10</v>
      </c>
      <c r="C202" s="92" t="inlineStr">
        <is>
          <t>E100</t>
        </is>
      </c>
      <c r="D202" s="92" t="inlineStr">
        <is>
          <t>자본금</t>
        </is>
      </c>
      <c r="E202" s="92" t="inlineStr">
        <is>
          <t>자본</t>
        </is>
      </c>
      <c r="F202" s="92" t="n">
        <v>2</v>
      </c>
      <c r="G202" s="93" t="n">
        <v>100000000000</v>
      </c>
      <c r="I202" s="9">
        <f>IF($A202="","",VALUE($A202&amp;"")*12+VALUE($B202&amp;""))</f>
        <v/>
      </c>
      <c r="J202" s="9">
        <f>IF($A202="","",IFERROR(INDEX(입력옵션!$C$22:$C$53,MATCH($C202&amp;"",입력옵션!$E$22:$E$53,0)),IFERROR(INDEX(입력옵션!$C$22:$C$53,MATCH($D202&amp;"",입력옵션!$F$22:$F$53,0)),$C202&amp;"")))</f>
        <v/>
      </c>
      <c r="K202" s="97">
        <f>IF($A202="",0,$G202*설정!$C$23)</f>
        <v/>
      </c>
    </row>
    <row r="203">
      <c r="A203" s="92" t="n">
        <v>2025</v>
      </c>
      <c r="B203" s="92" t="n">
        <v>10</v>
      </c>
      <c r="C203" s="92" t="inlineStr">
        <is>
          <t>E200</t>
        </is>
      </c>
      <c r="D203" s="92" t="inlineStr">
        <is>
          <t>이익잉여금</t>
        </is>
      </c>
      <c r="E203" s="92" t="inlineStr">
        <is>
          <t>자본</t>
        </is>
      </c>
      <c r="F203" s="92" t="n">
        <v>2</v>
      </c>
      <c r="G203" s="93" t="n">
        <v>285800972000</v>
      </c>
      <c r="I203" s="9">
        <f>IF($A203="","",VALUE($A203&amp;"")*12+VALUE($B203&amp;""))</f>
        <v/>
      </c>
      <c r="J203" s="9">
        <f>IF($A203="","",IFERROR(INDEX(입력옵션!$C$22:$C$53,MATCH($C203&amp;"",입력옵션!$E$22:$E$53,0)),IFERROR(INDEX(입력옵션!$C$22:$C$53,MATCH($D203&amp;"",입력옵션!$F$22:$F$53,0)),$C203&amp;"")))</f>
        <v/>
      </c>
      <c r="K203" s="97">
        <f>IF($A203="",0,$G203*설정!$C$23)</f>
        <v/>
      </c>
    </row>
    <row r="204">
      <c r="A204" s="92" t="n">
        <v>2025</v>
      </c>
      <c r="B204" s="92" t="n">
        <v>10</v>
      </c>
      <c r="C204" s="92" t="inlineStr">
        <is>
          <t>E300</t>
        </is>
      </c>
      <c r="D204" s="92" t="inlineStr">
        <is>
          <t>기타포괄손익누계액</t>
        </is>
      </c>
      <c r="E204" s="92" t="inlineStr">
        <is>
          <t>자본</t>
        </is>
      </c>
      <c r="F204" s="92" t="n">
        <v>2</v>
      </c>
      <c r="G204" s="93" t="n">
        <v>-42445200000</v>
      </c>
      <c r="I204" s="9">
        <f>IF($A204="","",VALUE($A204&amp;"")*12+VALUE($B204&amp;""))</f>
        <v/>
      </c>
      <c r="J204" s="9">
        <f>IF($A204="","",IFERROR(INDEX(입력옵션!$C$22:$C$53,MATCH($C204&amp;"",입력옵션!$E$22:$E$53,0)),IFERROR(INDEX(입력옵션!$C$22:$C$53,MATCH($D204&amp;"",입력옵션!$F$22:$F$53,0)),$C204&amp;"")))</f>
        <v/>
      </c>
      <c r="K204" s="97">
        <f>IF($A204="",0,$G204*설정!$C$23)</f>
        <v/>
      </c>
    </row>
    <row r="205">
      <c r="A205" s="92" t="n">
        <v>2025</v>
      </c>
      <c r="B205" s="92" t="n">
        <v>11</v>
      </c>
      <c r="C205" s="92" t="inlineStr">
        <is>
          <t>A000</t>
        </is>
      </c>
      <c r="D205" s="92" t="inlineStr">
        <is>
          <t>자산총계</t>
        </is>
      </c>
      <c r="E205" s="92" t="inlineStr">
        <is>
          <t>자산</t>
        </is>
      </c>
      <c r="F205" s="92" t="n">
        <v>1</v>
      </c>
      <c r="G205" s="93" t="n">
        <v>3076478500000</v>
      </c>
      <c r="I205" s="9">
        <f>IF($A205="","",VALUE($A205&amp;"")*12+VALUE($B205&amp;""))</f>
        <v/>
      </c>
      <c r="J205" s="9">
        <f>IF($A205="","",IFERROR(INDEX(입력옵션!$C$22:$C$53,MATCH($C205&amp;"",입력옵션!$E$22:$E$53,0)),IFERROR(INDEX(입력옵션!$C$22:$C$53,MATCH($D205&amp;"",입력옵션!$F$22:$F$53,0)),$C205&amp;"")))</f>
        <v/>
      </c>
      <c r="K205" s="97">
        <f>IF($A205="",0,$G205*설정!$C$23)</f>
        <v/>
      </c>
    </row>
    <row r="206">
      <c r="A206" s="92" t="n">
        <v>2025</v>
      </c>
      <c r="B206" s="92" t="n">
        <v>11</v>
      </c>
      <c r="C206" s="92" t="inlineStr">
        <is>
          <t>A100</t>
        </is>
      </c>
      <c r="D206" s="92" t="inlineStr">
        <is>
          <t>운용자산</t>
        </is>
      </c>
      <c r="E206" s="92" t="inlineStr">
        <is>
          <t>자산</t>
        </is>
      </c>
      <c r="F206" s="92" t="n">
        <v>2</v>
      </c>
      <c r="G206" s="93" t="n">
        <v>2863784300000</v>
      </c>
      <c r="I206" s="9">
        <f>IF($A206="","",VALUE($A206&amp;"")*12+VALUE($B206&amp;""))</f>
        <v/>
      </c>
      <c r="J206" s="9">
        <f>IF($A206="","",IFERROR(INDEX(입력옵션!$C$22:$C$53,MATCH($C206&amp;"",입력옵션!$E$22:$E$53,0)),IFERROR(INDEX(입력옵션!$C$22:$C$53,MATCH($D206&amp;"",입력옵션!$F$22:$F$53,0)),$C206&amp;"")))</f>
        <v/>
      </c>
      <c r="K206" s="97">
        <f>IF($A206="",0,$G206*설정!$C$23)</f>
        <v/>
      </c>
    </row>
    <row r="207">
      <c r="A207" s="92" t="n">
        <v>2025</v>
      </c>
      <c r="B207" s="92" t="n">
        <v>11</v>
      </c>
      <c r="C207" s="92" t="inlineStr">
        <is>
          <t>A110</t>
        </is>
      </c>
      <c r="D207" s="92" t="inlineStr">
        <is>
          <t>현금및예치금</t>
        </is>
      </c>
      <c r="E207" s="92" t="inlineStr">
        <is>
          <t>자산</t>
        </is>
      </c>
      <c r="F207" s="92" t="n">
        <v>3</v>
      </c>
      <c r="G207" s="93" t="n">
        <v>86712800000</v>
      </c>
      <c r="I207" s="9">
        <f>IF($A207="","",VALUE($A207&amp;"")*12+VALUE($B207&amp;""))</f>
        <v/>
      </c>
      <c r="J207" s="9">
        <f>IF($A207="","",IFERROR(INDEX(입력옵션!$C$22:$C$53,MATCH($C207&amp;"",입력옵션!$E$22:$E$53,0)),IFERROR(INDEX(입력옵션!$C$22:$C$53,MATCH($D207&amp;"",입력옵션!$F$22:$F$53,0)),$C207&amp;"")))</f>
        <v/>
      </c>
      <c r="K207" s="97">
        <f>IF($A207="",0,$G207*설정!$C$23)</f>
        <v/>
      </c>
    </row>
    <row r="208">
      <c r="A208" s="92" t="n">
        <v>2025</v>
      </c>
      <c r="B208" s="92" t="n">
        <v>11</v>
      </c>
      <c r="C208" s="92" t="inlineStr">
        <is>
          <t>A120</t>
        </is>
      </c>
      <c r="D208" s="92" t="inlineStr">
        <is>
          <t>유가증권</t>
        </is>
      </c>
      <c r="E208" s="92" t="inlineStr">
        <is>
          <t>자산</t>
        </is>
      </c>
      <c r="F208" s="92" t="n">
        <v>3</v>
      </c>
      <c r="G208" s="93" t="n">
        <v>2175490900000</v>
      </c>
      <c r="I208" s="9">
        <f>IF($A208="","",VALUE($A208&amp;"")*12+VALUE($B208&amp;""))</f>
        <v/>
      </c>
      <c r="J208" s="9">
        <f>IF($A208="","",IFERROR(INDEX(입력옵션!$C$22:$C$53,MATCH($C208&amp;"",입력옵션!$E$22:$E$53,0)),IFERROR(INDEX(입력옵션!$C$22:$C$53,MATCH($D208&amp;"",입력옵션!$F$22:$F$53,0)),$C208&amp;"")))</f>
        <v/>
      </c>
      <c r="K208" s="97">
        <f>IF($A208="",0,$G208*설정!$C$23)</f>
        <v/>
      </c>
    </row>
    <row r="209">
      <c r="A209" s="92" t="n">
        <v>2025</v>
      </c>
      <c r="B209" s="92" t="n">
        <v>11</v>
      </c>
      <c r="C209" s="92" t="inlineStr">
        <is>
          <t>A130</t>
        </is>
      </c>
      <c r="D209" s="92" t="inlineStr">
        <is>
          <t>대출채권</t>
        </is>
      </c>
      <c r="E209" s="92" t="inlineStr">
        <is>
          <t>자산</t>
        </is>
      </c>
      <c r="F209" s="92" t="n">
        <v>3</v>
      </c>
      <c r="G209" s="93" t="n">
        <v>428080600000</v>
      </c>
      <c r="I209" s="9">
        <f>IF($A209="","",VALUE($A209&amp;"")*12+VALUE($B209&amp;""))</f>
        <v/>
      </c>
      <c r="J209" s="9">
        <f>IF($A209="","",IFERROR(INDEX(입력옵션!$C$22:$C$53,MATCH($C209&amp;"",입력옵션!$E$22:$E$53,0)),IFERROR(INDEX(입력옵션!$C$22:$C$53,MATCH($D209&amp;"",입력옵션!$F$22:$F$53,0)),$C209&amp;"")))</f>
        <v/>
      </c>
      <c r="K209" s="97">
        <f>IF($A209="",0,$G209*설정!$C$23)</f>
        <v/>
      </c>
    </row>
    <row r="210">
      <c r="A210" s="92" t="n">
        <v>2025</v>
      </c>
      <c r="B210" s="92" t="n">
        <v>11</v>
      </c>
      <c r="C210" s="92" t="inlineStr">
        <is>
          <t>A140</t>
        </is>
      </c>
      <c r="D210" s="92" t="inlineStr">
        <is>
          <t>투자부동산</t>
        </is>
      </c>
      <c r="E210" s="92" t="inlineStr">
        <is>
          <t>자산</t>
        </is>
      </c>
      <c r="F210" s="92" t="n">
        <v>3</v>
      </c>
      <c r="G210" s="93" t="n">
        <v>173500000000</v>
      </c>
      <c r="I210" s="9">
        <f>IF($A210="","",VALUE($A210&amp;"")*12+VALUE($B210&amp;""))</f>
        <v/>
      </c>
      <c r="J210" s="9">
        <f>IF($A210="","",IFERROR(INDEX(입력옵션!$C$22:$C$53,MATCH($C210&amp;"",입력옵션!$E$22:$E$53,0)),IFERROR(INDEX(입력옵션!$C$22:$C$53,MATCH($D210&amp;"",입력옵션!$F$22:$F$53,0)),$C210&amp;"")))</f>
        <v/>
      </c>
      <c r="K210" s="97">
        <f>IF($A210="",0,$G210*설정!$C$23)</f>
        <v/>
      </c>
    </row>
    <row r="211">
      <c r="A211" s="92" t="n">
        <v>2025</v>
      </c>
      <c r="B211" s="92" t="n">
        <v>11</v>
      </c>
      <c r="C211" s="92" t="inlineStr">
        <is>
          <t>A200</t>
        </is>
      </c>
      <c r="D211" s="92" t="inlineStr">
        <is>
          <t>보험계약자산</t>
        </is>
      </c>
      <c r="E211" s="92" t="inlineStr">
        <is>
          <t>자산</t>
        </is>
      </c>
      <c r="F211" s="92" t="n">
        <v>2</v>
      </c>
      <c r="G211" s="93" t="n">
        <v>11545100000</v>
      </c>
      <c r="I211" s="9">
        <f>IF($A211="","",VALUE($A211&amp;"")*12+VALUE($B211&amp;""))</f>
        <v/>
      </c>
      <c r="J211" s="9">
        <f>IF($A211="","",IFERROR(INDEX(입력옵션!$C$22:$C$53,MATCH($C211&amp;"",입력옵션!$E$22:$E$53,0)),IFERROR(INDEX(입력옵션!$C$22:$C$53,MATCH($D211&amp;"",입력옵션!$F$22:$F$53,0)),$C211&amp;"")))</f>
        <v/>
      </c>
      <c r="K211" s="97">
        <f>IF($A211="",0,$G211*설정!$C$23)</f>
        <v/>
      </c>
    </row>
    <row r="212">
      <c r="A212" s="92" t="n">
        <v>2025</v>
      </c>
      <c r="B212" s="92" t="n">
        <v>11</v>
      </c>
      <c r="C212" s="92" t="inlineStr">
        <is>
          <t>A300</t>
        </is>
      </c>
      <c r="D212" s="92" t="inlineStr">
        <is>
          <t>재보험계약자산</t>
        </is>
      </c>
      <c r="E212" s="92" t="inlineStr">
        <is>
          <t>자산</t>
        </is>
      </c>
      <c r="F212" s="92" t="n">
        <v>2</v>
      </c>
      <c r="G212" s="93" t="n">
        <v>41519400000</v>
      </c>
      <c r="I212" s="9">
        <f>IF($A212="","",VALUE($A212&amp;"")*12+VALUE($B212&amp;""))</f>
        <v/>
      </c>
      <c r="J212" s="9">
        <f>IF($A212="","",IFERROR(INDEX(입력옵션!$C$22:$C$53,MATCH($C212&amp;"",입력옵션!$E$22:$E$53,0)),IFERROR(INDEX(입력옵션!$C$22:$C$53,MATCH($D212&amp;"",입력옵션!$F$22:$F$53,0)),$C212&amp;"")))</f>
        <v/>
      </c>
      <c r="K212" s="97">
        <f>IF($A212="",0,$G212*설정!$C$23)</f>
        <v/>
      </c>
    </row>
    <row r="213">
      <c r="A213" s="92" t="n">
        <v>2025</v>
      </c>
      <c r="B213" s="92" t="n">
        <v>11</v>
      </c>
      <c r="C213" s="92" t="inlineStr">
        <is>
          <t>A900</t>
        </is>
      </c>
      <c r="D213" s="92" t="inlineStr">
        <is>
          <t>기타자산</t>
        </is>
      </c>
      <c r="E213" s="92" t="inlineStr">
        <is>
          <t>자산</t>
        </is>
      </c>
      <c r="F213" s="92" t="n">
        <v>2</v>
      </c>
      <c r="G213" s="93" t="n">
        <v>159629700000</v>
      </c>
      <c r="I213" s="9">
        <f>IF($A213="","",VALUE($A213&amp;"")*12+VALUE($B213&amp;""))</f>
        <v/>
      </c>
      <c r="J213" s="9">
        <f>IF($A213="","",IFERROR(INDEX(입력옵션!$C$22:$C$53,MATCH($C213&amp;"",입력옵션!$E$22:$E$53,0)),IFERROR(INDEX(입력옵션!$C$22:$C$53,MATCH($D213&amp;"",입력옵션!$F$22:$F$53,0)),$C213&amp;"")))</f>
        <v/>
      </c>
      <c r="K213" s="97">
        <f>IF($A213="",0,$G213*설정!$C$23)</f>
        <v/>
      </c>
    </row>
    <row r="214">
      <c r="A214" s="92" t="n">
        <v>2025</v>
      </c>
      <c r="B214" s="92" t="n">
        <v>11</v>
      </c>
      <c r="C214" s="92" t="inlineStr">
        <is>
          <t>L000</t>
        </is>
      </c>
      <c r="D214" s="92" t="inlineStr">
        <is>
          <t>부채총계</t>
        </is>
      </c>
      <c r="E214" s="92" t="inlineStr">
        <is>
          <t>부채</t>
        </is>
      </c>
      <c r="F214" s="92" t="n">
        <v>1</v>
      </c>
      <c r="G214" s="93" t="n">
        <v>2745843172000</v>
      </c>
      <c r="I214" s="9">
        <f>IF($A214="","",VALUE($A214&amp;"")*12+VALUE($B214&amp;""))</f>
        <v/>
      </c>
      <c r="J214" s="9">
        <f>IF($A214="","",IFERROR(INDEX(입력옵션!$C$22:$C$53,MATCH($C214&amp;"",입력옵션!$E$22:$E$53,0)),IFERROR(INDEX(입력옵션!$C$22:$C$53,MATCH($D214&amp;"",입력옵션!$F$22:$F$53,0)),$C214&amp;"")))</f>
        <v/>
      </c>
      <c r="K214" s="97">
        <f>IF($A214="",0,$G214*설정!$C$23)</f>
        <v/>
      </c>
    </row>
    <row r="215">
      <c r="A215" s="92" t="n">
        <v>2025</v>
      </c>
      <c r="B215" s="92" t="n">
        <v>11</v>
      </c>
      <c r="C215" s="92" t="inlineStr">
        <is>
          <t>L100</t>
        </is>
      </c>
      <c r="D215" s="92" t="inlineStr">
        <is>
          <t>보험계약부채</t>
        </is>
      </c>
      <c r="E215" s="92" t="inlineStr">
        <is>
          <t>부채</t>
        </is>
      </c>
      <c r="F215" s="92" t="n">
        <v>2</v>
      </c>
      <c r="G215" s="93" t="n">
        <v>2641463872000</v>
      </c>
      <c r="I215" s="9">
        <f>IF($A215="","",VALUE($A215&amp;"")*12+VALUE($B215&amp;""))</f>
        <v/>
      </c>
      <c r="J215" s="9">
        <f>IF($A215="","",IFERROR(INDEX(입력옵션!$C$22:$C$53,MATCH($C215&amp;"",입력옵션!$E$22:$E$53,0)),IFERROR(INDEX(입력옵션!$C$22:$C$53,MATCH($D215&amp;"",입력옵션!$F$22:$F$53,0)),$C215&amp;"")))</f>
        <v/>
      </c>
      <c r="K215" s="97">
        <f>IF($A215="",0,$G215*설정!$C$23)</f>
        <v/>
      </c>
    </row>
    <row r="216">
      <c r="A216" s="92" t="n">
        <v>2025</v>
      </c>
      <c r="B216" s="92" t="n">
        <v>11</v>
      </c>
      <c r="C216" s="92" t="inlineStr">
        <is>
          <t>L110</t>
        </is>
      </c>
      <c r="D216" s="92" t="inlineStr">
        <is>
          <t>최선추정부채(BEL)</t>
        </is>
      </c>
      <c r="E216" s="92" t="inlineStr">
        <is>
          <t>부채</t>
        </is>
      </c>
      <c r="F216" s="92" t="n">
        <v>3</v>
      </c>
      <c r="G216" s="93" t="n">
        <v>2127831500000</v>
      </c>
      <c r="I216" s="9">
        <f>IF($A216="","",VALUE($A216&amp;"")*12+VALUE($B216&amp;""))</f>
        <v/>
      </c>
      <c r="J216" s="9">
        <f>IF($A216="","",IFERROR(INDEX(입력옵션!$C$22:$C$53,MATCH($C216&amp;"",입력옵션!$E$22:$E$53,0)),IFERROR(INDEX(입력옵션!$C$22:$C$53,MATCH($D216&amp;"",입력옵션!$F$22:$F$53,0)),$C216&amp;"")))</f>
        <v/>
      </c>
      <c r="K216" s="97">
        <f>IF($A216="",0,$G216*설정!$C$23)</f>
        <v/>
      </c>
    </row>
    <row r="217">
      <c r="A217" s="92" t="n">
        <v>2025</v>
      </c>
      <c r="B217" s="92" t="n">
        <v>11</v>
      </c>
      <c r="C217" s="92" t="inlineStr">
        <is>
          <t>L120</t>
        </is>
      </c>
      <c r="D217" s="92" t="inlineStr">
        <is>
          <t>위험조정(RA)</t>
        </is>
      </c>
      <c r="E217" s="92" t="inlineStr">
        <is>
          <t>부채</t>
        </is>
      </c>
      <c r="F217" s="92" t="n">
        <v>3</v>
      </c>
      <c r="G217" s="93" t="n">
        <v>119780500000</v>
      </c>
      <c r="I217" s="9">
        <f>IF($A217="","",VALUE($A217&amp;"")*12+VALUE($B217&amp;""))</f>
        <v/>
      </c>
      <c r="J217" s="9">
        <f>IF($A217="","",IFERROR(INDEX(입력옵션!$C$22:$C$53,MATCH($C217&amp;"",입력옵션!$E$22:$E$53,0)),IFERROR(INDEX(입력옵션!$C$22:$C$53,MATCH($D217&amp;"",입력옵션!$F$22:$F$53,0)),$C217&amp;"")))</f>
        <v/>
      </c>
      <c r="K217" s="97">
        <f>IF($A217="",0,$G217*설정!$C$23)</f>
        <v/>
      </c>
    </row>
    <row r="218">
      <c r="A218" s="92" t="n">
        <v>2025</v>
      </c>
      <c r="B218" s="92" t="n">
        <v>11</v>
      </c>
      <c r="C218" s="92" t="inlineStr">
        <is>
          <t>L130</t>
        </is>
      </c>
      <c r="D218" s="92" t="inlineStr">
        <is>
          <t>보험계약마진(CSM)</t>
        </is>
      </c>
      <c r="E218" s="92" t="inlineStr">
        <is>
          <t>부채</t>
        </is>
      </c>
      <c r="F218" s="92" t="n">
        <v>3</v>
      </c>
      <c r="G218" s="93" t="n">
        <v>393851872000</v>
      </c>
      <c r="I218" s="9">
        <f>IF($A218="","",VALUE($A218&amp;"")*12+VALUE($B218&amp;""))</f>
        <v/>
      </c>
      <c r="J218" s="9">
        <f>IF($A218="","",IFERROR(INDEX(입력옵션!$C$22:$C$53,MATCH($C218&amp;"",입력옵션!$E$22:$E$53,0)),IFERROR(INDEX(입력옵션!$C$22:$C$53,MATCH($D218&amp;"",입력옵션!$F$22:$F$53,0)),$C218&amp;"")))</f>
        <v/>
      </c>
      <c r="K218" s="97">
        <f>IF($A218="",0,$G218*설정!$C$23)</f>
        <v/>
      </c>
    </row>
    <row r="219">
      <c r="A219" s="92" t="n">
        <v>2025</v>
      </c>
      <c r="B219" s="92" t="n">
        <v>11</v>
      </c>
      <c r="C219" s="92" t="inlineStr">
        <is>
          <t>L200</t>
        </is>
      </c>
      <c r="D219" s="92" t="inlineStr">
        <is>
          <t>재보험계약부채</t>
        </is>
      </c>
      <c r="E219" s="92" t="inlineStr">
        <is>
          <t>부채</t>
        </is>
      </c>
      <c r="F219" s="92" t="n">
        <v>2</v>
      </c>
      <c r="G219" s="93" t="n">
        <v>6628400000</v>
      </c>
      <c r="I219" s="9">
        <f>IF($A219="","",VALUE($A219&amp;"")*12+VALUE($B219&amp;""))</f>
        <v/>
      </c>
      <c r="J219" s="9">
        <f>IF($A219="","",IFERROR(INDEX(입력옵션!$C$22:$C$53,MATCH($C219&amp;"",입력옵션!$E$22:$E$53,0)),IFERROR(INDEX(입력옵션!$C$22:$C$53,MATCH($D219&amp;"",입력옵션!$F$22:$F$53,0)),$C219&amp;"")))</f>
        <v/>
      </c>
      <c r="K219" s="97">
        <f>IF($A219="",0,$G219*설정!$C$23)</f>
        <v/>
      </c>
    </row>
    <row r="220">
      <c r="A220" s="92" t="n">
        <v>2025</v>
      </c>
      <c r="B220" s="92" t="n">
        <v>11</v>
      </c>
      <c r="C220" s="92" t="inlineStr">
        <is>
          <t>L900</t>
        </is>
      </c>
      <c r="D220" s="92" t="inlineStr">
        <is>
          <t>기타부채</t>
        </is>
      </c>
      <c r="E220" s="92" t="inlineStr">
        <is>
          <t>부채</t>
        </is>
      </c>
      <c r="F220" s="92" t="n">
        <v>2</v>
      </c>
      <c r="G220" s="93" t="n">
        <v>97750900000</v>
      </c>
      <c r="I220" s="9">
        <f>IF($A220="","",VALUE($A220&amp;"")*12+VALUE($B220&amp;""))</f>
        <v/>
      </c>
      <c r="J220" s="9">
        <f>IF($A220="","",IFERROR(INDEX(입력옵션!$C$22:$C$53,MATCH($C220&amp;"",입력옵션!$E$22:$E$53,0)),IFERROR(INDEX(입력옵션!$C$22:$C$53,MATCH($D220&amp;"",입력옵션!$F$22:$F$53,0)),$C220&amp;"")))</f>
        <v/>
      </c>
      <c r="K220" s="97">
        <f>IF($A220="",0,$G220*설정!$C$23)</f>
        <v/>
      </c>
    </row>
    <row r="221">
      <c r="A221" s="92" t="n">
        <v>2025</v>
      </c>
      <c r="B221" s="92" t="n">
        <v>11</v>
      </c>
      <c r="C221" s="92" t="inlineStr">
        <is>
          <t>E000</t>
        </is>
      </c>
      <c r="D221" s="92" t="inlineStr">
        <is>
          <t>자본총계</t>
        </is>
      </c>
      <c r="E221" s="92" t="inlineStr">
        <is>
          <t>자본</t>
        </is>
      </c>
      <c r="F221" s="92" t="n">
        <v>1</v>
      </c>
      <c r="G221" s="93" t="n">
        <v>330635328000</v>
      </c>
      <c r="I221" s="9">
        <f>IF($A221="","",VALUE($A221&amp;"")*12+VALUE($B221&amp;""))</f>
        <v/>
      </c>
      <c r="J221" s="9">
        <f>IF($A221="","",IFERROR(INDEX(입력옵션!$C$22:$C$53,MATCH($C221&amp;"",입력옵션!$E$22:$E$53,0)),IFERROR(INDEX(입력옵션!$C$22:$C$53,MATCH($D221&amp;"",입력옵션!$F$22:$F$53,0)),$C221&amp;"")))</f>
        <v/>
      </c>
      <c r="K221" s="97">
        <f>IF($A221="",0,$G221*설정!$C$23)</f>
        <v/>
      </c>
    </row>
    <row r="222">
      <c r="A222" s="92" t="n">
        <v>2025</v>
      </c>
      <c r="B222" s="92" t="n">
        <v>11</v>
      </c>
      <c r="C222" s="92" t="inlineStr">
        <is>
          <t>E100</t>
        </is>
      </c>
      <c r="D222" s="92" t="inlineStr">
        <is>
          <t>자본금</t>
        </is>
      </c>
      <c r="E222" s="92" t="inlineStr">
        <is>
          <t>자본</t>
        </is>
      </c>
      <c r="F222" s="92" t="n">
        <v>2</v>
      </c>
      <c r="G222" s="93" t="n">
        <v>100000000000</v>
      </c>
      <c r="I222" s="9">
        <f>IF($A222="","",VALUE($A222&amp;"")*12+VALUE($B222&amp;""))</f>
        <v/>
      </c>
      <c r="J222" s="9">
        <f>IF($A222="","",IFERROR(INDEX(입력옵션!$C$22:$C$53,MATCH($C222&amp;"",입력옵션!$E$22:$E$53,0)),IFERROR(INDEX(입력옵션!$C$22:$C$53,MATCH($D222&amp;"",입력옵션!$F$22:$F$53,0)),$C222&amp;"")))</f>
        <v/>
      </c>
      <c r="K222" s="97">
        <f>IF($A222="",0,$G222*설정!$C$23)</f>
        <v/>
      </c>
    </row>
    <row r="223">
      <c r="A223" s="92" t="n">
        <v>2025</v>
      </c>
      <c r="B223" s="92" t="n">
        <v>11</v>
      </c>
      <c r="C223" s="92" t="inlineStr">
        <is>
          <t>E200</t>
        </is>
      </c>
      <c r="D223" s="92" t="inlineStr">
        <is>
          <t>이익잉여금</t>
        </is>
      </c>
      <c r="E223" s="92" t="inlineStr">
        <is>
          <t>자본</t>
        </is>
      </c>
      <c r="F223" s="92" t="n">
        <v>2</v>
      </c>
      <c r="G223" s="93" t="n">
        <v>269293528000</v>
      </c>
      <c r="I223" s="9">
        <f>IF($A223="","",VALUE($A223&amp;"")*12+VALUE($B223&amp;""))</f>
        <v/>
      </c>
      <c r="J223" s="9">
        <f>IF($A223="","",IFERROR(INDEX(입력옵션!$C$22:$C$53,MATCH($C223&amp;"",입력옵션!$E$22:$E$53,0)),IFERROR(INDEX(입력옵션!$C$22:$C$53,MATCH($D223&amp;"",입력옵션!$F$22:$F$53,0)),$C223&amp;"")))</f>
        <v/>
      </c>
      <c r="K223" s="97">
        <f>IF($A223="",0,$G223*설정!$C$23)</f>
        <v/>
      </c>
    </row>
    <row r="224">
      <c r="A224" s="92" t="n">
        <v>2025</v>
      </c>
      <c r="B224" s="92" t="n">
        <v>11</v>
      </c>
      <c r="C224" s="92" t="inlineStr">
        <is>
          <t>E300</t>
        </is>
      </c>
      <c r="D224" s="92" t="inlineStr">
        <is>
          <t>기타포괄손익누계액</t>
        </is>
      </c>
      <c r="E224" s="92" t="inlineStr">
        <is>
          <t>자본</t>
        </is>
      </c>
      <c r="F224" s="92" t="n">
        <v>2</v>
      </c>
      <c r="G224" s="93" t="n">
        <v>-38658200000</v>
      </c>
      <c r="I224" s="9">
        <f>IF($A224="","",VALUE($A224&amp;"")*12+VALUE($B224&amp;""))</f>
        <v/>
      </c>
      <c r="J224" s="9">
        <f>IF($A224="","",IFERROR(INDEX(입력옵션!$C$22:$C$53,MATCH($C224&amp;"",입력옵션!$E$22:$E$53,0)),IFERROR(INDEX(입력옵션!$C$22:$C$53,MATCH($D224&amp;"",입력옵션!$F$22:$F$53,0)),$C224&amp;"")))</f>
        <v/>
      </c>
      <c r="K224" s="97">
        <f>IF($A224="",0,$G224*설정!$C$23)</f>
        <v/>
      </c>
    </row>
    <row r="225">
      <c r="A225" s="92" t="n">
        <v>2025</v>
      </c>
      <c r="B225" s="92" t="n">
        <v>12</v>
      </c>
      <c r="C225" s="92" t="inlineStr">
        <is>
          <t>A000</t>
        </is>
      </c>
      <c r="D225" s="92" t="inlineStr">
        <is>
          <t>자산총계</t>
        </is>
      </c>
      <c r="E225" s="92" t="inlineStr">
        <is>
          <t>자산</t>
        </is>
      </c>
      <c r="F225" s="92" t="n">
        <v>1</v>
      </c>
      <c r="G225" s="93" t="n">
        <v>3088482700000</v>
      </c>
      <c r="I225" s="9">
        <f>IF($A225="","",VALUE($A225&amp;"")*12+VALUE($B225&amp;""))</f>
        <v/>
      </c>
      <c r="J225" s="9">
        <f>IF($A225="","",IFERROR(INDEX(입력옵션!$C$22:$C$53,MATCH($C225&amp;"",입력옵션!$E$22:$E$53,0)),IFERROR(INDEX(입력옵션!$C$22:$C$53,MATCH($D225&amp;"",입력옵션!$F$22:$F$53,0)),$C225&amp;"")))</f>
        <v/>
      </c>
      <c r="K225" s="97">
        <f>IF($A225="",0,$G225*설정!$C$23)</f>
        <v/>
      </c>
    </row>
    <row r="226">
      <c r="A226" s="92" t="n">
        <v>2025</v>
      </c>
      <c r="B226" s="92" t="n">
        <v>12</v>
      </c>
      <c r="C226" s="92" t="inlineStr">
        <is>
          <t>A100</t>
        </is>
      </c>
      <c r="D226" s="92" t="inlineStr">
        <is>
          <t>운용자산</t>
        </is>
      </c>
      <c r="E226" s="92" t="inlineStr">
        <is>
          <t>자산</t>
        </is>
      </c>
      <c r="F226" s="92" t="n">
        <v>2</v>
      </c>
      <c r="G226" s="93" t="n">
        <v>2876183700000</v>
      </c>
      <c r="I226" s="9">
        <f>IF($A226="","",VALUE($A226&amp;"")*12+VALUE($B226&amp;""))</f>
        <v/>
      </c>
      <c r="J226" s="9">
        <f>IF($A226="","",IFERROR(INDEX(입력옵션!$C$22:$C$53,MATCH($C226&amp;"",입력옵션!$E$22:$E$53,0)),IFERROR(INDEX(입력옵션!$C$22:$C$53,MATCH($D226&amp;"",입력옵션!$F$22:$F$53,0)),$C226&amp;"")))</f>
        <v/>
      </c>
      <c r="K226" s="97">
        <f>IF($A226="",0,$G226*설정!$C$23)</f>
        <v/>
      </c>
    </row>
    <row r="227">
      <c r="A227" s="92" t="n">
        <v>2025</v>
      </c>
      <c r="B227" s="92" t="n">
        <v>12</v>
      </c>
      <c r="C227" s="92" t="inlineStr">
        <is>
          <t>A110</t>
        </is>
      </c>
      <c r="D227" s="92" t="inlineStr">
        <is>
          <t>현금및예치금</t>
        </is>
      </c>
      <c r="E227" s="92" t="inlineStr">
        <is>
          <t>자산</t>
        </is>
      </c>
      <c r="F227" s="92" t="n">
        <v>3</v>
      </c>
      <c r="G227" s="93" t="n">
        <v>88628800000</v>
      </c>
      <c r="I227" s="9">
        <f>IF($A227="","",VALUE($A227&amp;"")*12+VALUE($B227&amp;""))</f>
        <v/>
      </c>
      <c r="J227" s="9">
        <f>IF($A227="","",IFERROR(INDEX(입력옵션!$C$22:$C$53,MATCH($C227&amp;"",입력옵션!$E$22:$E$53,0)),IFERROR(INDEX(입력옵션!$C$22:$C$53,MATCH($D227&amp;"",입력옵션!$F$22:$F$53,0)),$C227&amp;"")))</f>
        <v/>
      </c>
      <c r="K227" s="97">
        <f>IF($A227="",0,$G227*설정!$C$23)</f>
        <v/>
      </c>
    </row>
    <row r="228">
      <c r="A228" s="92" t="n">
        <v>2025</v>
      </c>
      <c r="B228" s="92" t="n">
        <v>12</v>
      </c>
      <c r="C228" s="92" t="inlineStr">
        <is>
          <t>A120</t>
        </is>
      </c>
      <c r="D228" s="92" t="inlineStr">
        <is>
          <t>유가증권</t>
        </is>
      </c>
      <c r="E228" s="92" t="inlineStr">
        <is>
          <t>자산</t>
        </is>
      </c>
      <c r="F228" s="92" t="n">
        <v>3</v>
      </c>
      <c r="G228" s="93" t="n">
        <v>2183419400000</v>
      </c>
      <c r="I228" s="9">
        <f>IF($A228="","",VALUE($A228&amp;"")*12+VALUE($B228&amp;""))</f>
        <v/>
      </c>
      <c r="J228" s="9">
        <f>IF($A228="","",IFERROR(INDEX(입력옵션!$C$22:$C$53,MATCH($C228&amp;"",입력옵션!$E$22:$E$53,0)),IFERROR(INDEX(입력옵션!$C$22:$C$53,MATCH($D228&amp;"",입력옵션!$F$22:$F$53,0)),$C228&amp;"")))</f>
        <v/>
      </c>
      <c r="K228" s="97">
        <f>IF($A228="",0,$G228*설정!$C$23)</f>
        <v/>
      </c>
    </row>
    <row r="229">
      <c r="A229" s="92" t="n">
        <v>2025</v>
      </c>
      <c r="B229" s="92" t="n">
        <v>12</v>
      </c>
      <c r="C229" s="92" t="inlineStr">
        <is>
          <t>A130</t>
        </is>
      </c>
      <c r="D229" s="92" t="inlineStr">
        <is>
          <t>대출채권</t>
        </is>
      </c>
      <c r="E229" s="92" t="inlineStr">
        <is>
          <t>자산</t>
        </is>
      </c>
      <c r="F229" s="92" t="n">
        <v>3</v>
      </c>
      <c r="G229" s="93" t="n">
        <v>431285500000</v>
      </c>
      <c r="I229" s="9">
        <f>IF($A229="","",VALUE($A229&amp;"")*12+VALUE($B229&amp;""))</f>
        <v/>
      </c>
      <c r="J229" s="9">
        <f>IF($A229="","",IFERROR(INDEX(입력옵션!$C$22:$C$53,MATCH($C229&amp;"",입력옵션!$E$22:$E$53,0)),IFERROR(INDEX(입력옵션!$C$22:$C$53,MATCH($D229&amp;"",입력옵션!$F$22:$F$53,0)),$C229&amp;"")))</f>
        <v/>
      </c>
      <c r="K229" s="97">
        <f>IF($A229="",0,$G229*설정!$C$23)</f>
        <v/>
      </c>
    </row>
    <row r="230">
      <c r="A230" s="92" t="n">
        <v>2025</v>
      </c>
      <c r="B230" s="92" t="n">
        <v>12</v>
      </c>
      <c r="C230" s="92" t="inlineStr">
        <is>
          <t>A140</t>
        </is>
      </c>
      <c r="D230" s="92" t="inlineStr">
        <is>
          <t>투자부동산</t>
        </is>
      </c>
      <c r="E230" s="92" t="inlineStr">
        <is>
          <t>자산</t>
        </is>
      </c>
      <c r="F230" s="92" t="n">
        <v>3</v>
      </c>
      <c r="G230" s="93" t="n">
        <v>172850000000</v>
      </c>
      <c r="I230" s="9">
        <f>IF($A230="","",VALUE($A230&amp;"")*12+VALUE($B230&amp;""))</f>
        <v/>
      </c>
      <c r="J230" s="9">
        <f>IF($A230="","",IFERROR(INDEX(입력옵션!$C$22:$C$53,MATCH($C230&amp;"",입력옵션!$E$22:$E$53,0)),IFERROR(INDEX(입력옵션!$C$22:$C$53,MATCH($D230&amp;"",입력옵션!$F$22:$F$53,0)),$C230&amp;"")))</f>
        <v/>
      </c>
      <c r="K230" s="97">
        <f>IF($A230="",0,$G230*설정!$C$23)</f>
        <v/>
      </c>
    </row>
    <row r="231">
      <c r="A231" s="92" t="n">
        <v>2025</v>
      </c>
      <c r="B231" s="92" t="n">
        <v>12</v>
      </c>
      <c r="C231" s="92" t="inlineStr">
        <is>
          <t>A200</t>
        </is>
      </c>
      <c r="D231" s="92" t="inlineStr">
        <is>
          <t>보험계약자산</t>
        </is>
      </c>
      <c r="E231" s="92" t="inlineStr">
        <is>
          <t>자산</t>
        </is>
      </c>
      <c r="F231" s="92" t="n">
        <v>2</v>
      </c>
      <c r="G231" s="93" t="n">
        <v>11874900000</v>
      </c>
      <c r="I231" s="9">
        <f>IF($A231="","",VALUE($A231&amp;"")*12+VALUE($B231&amp;""))</f>
        <v/>
      </c>
      <c r="J231" s="9">
        <f>IF($A231="","",IFERROR(INDEX(입력옵션!$C$22:$C$53,MATCH($C231&amp;"",입력옵션!$E$22:$E$53,0)),IFERROR(INDEX(입력옵션!$C$22:$C$53,MATCH($D231&amp;"",입력옵션!$F$22:$F$53,0)),$C231&amp;"")))</f>
        <v/>
      </c>
      <c r="K231" s="97">
        <f>IF($A231="",0,$G231*설정!$C$23)</f>
        <v/>
      </c>
    </row>
    <row r="232">
      <c r="A232" s="92" t="n">
        <v>2025</v>
      </c>
      <c r="B232" s="92" t="n">
        <v>12</v>
      </c>
      <c r="C232" s="92" t="inlineStr">
        <is>
          <t>A300</t>
        </is>
      </c>
      <c r="D232" s="92" t="inlineStr">
        <is>
          <t>재보험계약자산</t>
        </is>
      </c>
      <c r="E232" s="92" t="inlineStr">
        <is>
          <t>자산</t>
        </is>
      </c>
      <c r="F232" s="92" t="n">
        <v>2</v>
      </c>
      <c r="G232" s="93" t="n">
        <v>41748500000</v>
      </c>
      <c r="I232" s="9">
        <f>IF($A232="","",VALUE($A232&amp;"")*12+VALUE($B232&amp;""))</f>
        <v/>
      </c>
      <c r="J232" s="9">
        <f>IF($A232="","",IFERROR(INDEX(입력옵션!$C$22:$C$53,MATCH($C232&amp;"",입력옵션!$E$22:$E$53,0)),IFERROR(INDEX(입력옵션!$C$22:$C$53,MATCH($D232&amp;"",입력옵션!$F$22:$F$53,0)),$C232&amp;"")))</f>
        <v/>
      </c>
      <c r="K232" s="97">
        <f>IF($A232="",0,$G232*설정!$C$23)</f>
        <v/>
      </c>
    </row>
    <row r="233">
      <c r="A233" s="92" t="n">
        <v>2025</v>
      </c>
      <c r="B233" s="92" t="n">
        <v>12</v>
      </c>
      <c r="C233" s="92" t="inlineStr">
        <is>
          <t>A900</t>
        </is>
      </c>
      <c r="D233" s="92" t="inlineStr">
        <is>
          <t>기타자산</t>
        </is>
      </c>
      <c r="E233" s="92" t="inlineStr">
        <is>
          <t>자산</t>
        </is>
      </c>
      <c r="F233" s="92" t="n">
        <v>2</v>
      </c>
      <c r="G233" s="93" t="n">
        <v>158675600000</v>
      </c>
      <c r="I233" s="9">
        <f>IF($A233="","",VALUE($A233&amp;"")*12+VALUE($B233&amp;""))</f>
        <v/>
      </c>
      <c r="J233" s="9">
        <f>IF($A233="","",IFERROR(INDEX(입력옵션!$C$22:$C$53,MATCH($C233&amp;"",입력옵션!$E$22:$E$53,0)),IFERROR(INDEX(입력옵션!$C$22:$C$53,MATCH($D233&amp;"",입력옵션!$F$22:$F$53,0)),$C233&amp;"")))</f>
        <v/>
      </c>
      <c r="K233" s="97">
        <f>IF($A233="",0,$G233*설정!$C$23)</f>
        <v/>
      </c>
    </row>
    <row r="234">
      <c r="A234" s="92" t="n">
        <v>2025</v>
      </c>
      <c r="B234" s="92" t="n">
        <v>12</v>
      </c>
      <c r="C234" s="92" t="inlineStr">
        <is>
          <t>L000</t>
        </is>
      </c>
      <c r="D234" s="92" t="inlineStr">
        <is>
          <t>부채총계</t>
        </is>
      </c>
      <c r="E234" s="92" t="inlineStr">
        <is>
          <t>부채</t>
        </is>
      </c>
      <c r="F234" s="92" t="n">
        <v>1</v>
      </c>
      <c r="G234" s="93" t="n">
        <v>2742792258000</v>
      </c>
      <c r="I234" s="9">
        <f>IF($A234="","",VALUE($A234&amp;"")*12+VALUE($B234&amp;""))</f>
        <v/>
      </c>
      <c r="J234" s="9">
        <f>IF($A234="","",IFERROR(INDEX(입력옵션!$C$22:$C$53,MATCH($C234&amp;"",입력옵션!$E$22:$E$53,0)),IFERROR(INDEX(입력옵션!$C$22:$C$53,MATCH($D234&amp;"",입력옵션!$F$22:$F$53,0)),$C234&amp;"")))</f>
        <v/>
      </c>
      <c r="K234" s="97">
        <f>IF($A234="",0,$G234*설정!$C$23)</f>
        <v/>
      </c>
    </row>
    <row r="235">
      <c r="A235" s="92" t="n">
        <v>2025</v>
      </c>
      <c r="B235" s="92" t="n">
        <v>12</v>
      </c>
      <c r="C235" s="92" t="inlineStr">
        <is>
          <t>L100</t>
        </is>
      </c>
      <c r="D235" s="92" t="inlineStr">
        <is>
          <t>보험계약부채</t>
        </is>
      </c>
      <c r="E235" s="92" t="inlineStr">
        <is>
          <t>부채</t>
        </is>
      </c>
      <c r="F235" s="92" t="n">
        <v>2</v>
      </c>
      <c r="G235" s="93" t="n">
        <v>2638502558000</v>
      </c>
      <c r="I235" s="9">
        <f>IF($A235="","",VALUE($A235&amp;"")*12+VALUE($B235&amp;""))</f>
        <v/>
      </c>
      <c r="J235" s="9">
        <f>IF($A235="","",IFERROR(INDEX(입력옵션!$C$22:$C$53,MATCH($C235&amp;"",입력옵션!$E$22:$E$53,0)),IFERROR(INDEX(입력옵션!$C$22:$C$53,MATCH($D235&amp;"",입력옵션!$F$22:$F$53,0)),$C235&amp;"")))</f>
        <v/>
      </c>
      <c r="K235" s="97">
        <f>IF($A235="",0,$G235*설정!$C$23)</f>
        <v/>
      </c>
    </row>
    <row r="236">
      <c r="A236" s="92" t="n">
        <v>2025</v>
      </c>
      <c r="B236" s="92" t="n">
        <v>12</v>
      </c>
      <c r="C236" s="92" t="inlineStr">
        <is>
          <t>L110</t>
        </is>
      </c>
      <c r="D236" s="92" t="inlineStr">
        <is>
          <t>최선추정부채(BEL)</t>
        </is>
      </c>
      <c r="E236" s="92" t="inlineStr">
        <is>
          <t>부채</t>
        </is>
      </c>
      <c r="F236" s="92" t="n">
        <v>3</v>
      </c>
      <c r="G236" s="93" t="n">
        <v>2121742500000</v>
      </c>
      <c r="I236" s="9">
        <f>IF($A236="","",VALUE($A236&amp;"")*12+VALUE($B236&amp;""))</f>
        <v/>
      </c>
      <c r="J236" s="9">
        <f>IF($A236="","",IFERROR(INDEX(입력옵션!$C$22:$C$53,MATCH($C236&amp;"",입력옵션!$E$22:$E$53,0)),IFERROR(INDEX(입력옵션!$C$22:$C$53,MATCH($D236&amp;"",입력옵션!$F$22:$F$53,0)),$C236&amp;"")))</f>
        <v/>
      </c>
      <c r="K236" s="97">
        <f>IF($A236="",0,$G236*설정!$C$23)</f>
        <v/>
      </c>
    </row>
    <row r="237">
      <c r="A237" s="92" t="n">
        <v>2025</v>
      </c>
      <c r="B237" s="92" t="n">
        <v>12</v>
      </c>
      <c r="C237" s="92" t="inlineStr">
        <is>
          <t>L120</t>
        </is>
      </c>
      <c r="D237" s="92" t="inlineStr">
        <is>
          <t>위험조정(RA)</t>
        </is>
      </c>
      <c r="E237" s="92" t="inlineStr">
        <is>
          <t>부채</t>
        </is>
      </c>
      <c r="F237" s="92" t="n">
        <v>3</v>
      </c>
      <c r="G237" s="93" t="n">
        <v>121597400000</v>
      </c>
      <c r="I237" s="9">
        <f>IF($A237="","",VALUE($A237&amp;"")*12+VALUE($B237&amp;""))</f>
        <v/>
      </c>
      <c r="J237" s="9">
        <f>IF($A237="","",IFERROR(INDEX(입력옵션!$C$22:$C$53,MATCH($C237&amp;"",입력옵션!$E$22:$E$53,0)),IFERROR(INDEX(입력옵션!$C$22:$C$53,MATCH($D237&amp;"",입력옵션!$F$22:$F$53,0)),$C237&amp;"")))</f>
        <v/>
      </c>
      <c r="K237" s="97">
        <f>IF($A237="",0,$G237*설정!$C$23)</f>
        <v/>
      </c>
    </row>
    <row r="238">
      <c r="A238" s="92" t="n">
        <v>2025</v>
      </c>
      <c r="B238" s="92" t="n">
        <v>12</v>
      </c>
      <c r="C238" s="92" t="inlineStr">
        <is>
          <t>L130</t>
        </is>
      </c>
      <c r="D238" s="92" t="inlineStr">
        <is>
          <t>보험계약마진(CSM)</t>
        </is>
      </c>
      <c r="E238" s="92" t="inlineStr">
        <is>
          <t>부채</t>
        </is>
      </c>
      <c r="F238" s="92" t="n">
        <v>3</v>
      </c>
      <c r="G238" s="93" t="n">
        <v>395162658000</v>
      </c>
      <c r="I238" s="9">
        <f>IF($A238="","",VALUE($A238&amp;"")*12+VALUE($B238&amp;""))</f>
        <v/>
      </c>
      <c r="J238" s="9">
        <f>IF($A238="","",IFERROR(INDEX(입력옵션!$C$22:$C$53,MATCH($C238&amp;"",입력옵션!$E$22:$E$53,0)),IFERROR(INDEX(입력옵션!$C$22:$C$53,MATCH($D238&amp;"",입력옵션!$F$22:$F$53,0)),$C238&amp;"")))</f>
        <v/>
      </c>
      <c r="K238" s="97">
        <f>IF($A238="",0,$G238*설정!$C$23)</f>
        <v/>
      </c>
    </row>
    <row r="239">
      <c r="A239" s="92" t="n">
        <v>2025</v>
      </c>
      <c r="B239" s="92" t="n">
        <v>12</v>
      </c>
      <c r="C239" s="92" t="inlineStr">
        <is>
          <t>L200</t>
        </is>
      </c>
      <c r="D239" s="92" t="inlineStr">
        <is>
          <t>재보험계약부채</t>
        </is>
      </c>
      <c r="E239" s="92" t="inlineStr">
        <is>
          <t>부채</t>
        </is>
      </c>
      <c r="F239" s="92" t="n">
        <v>2</v>
      </c>
      <c r="G239" s="93" t="n">
        <v>6575400000</v>
      </c>
      <c r="I239" s="9">
        <f>IF($A239="","",VALUE($A239&amp;"")*12+VALUE($B239&amp;""))</f>
        <v/>
      </c>
      <c r="J239" s="9">
        <f>IF($A239="","",IFERROR(INDEX(입력옵션!$C$22:$C$53,MATCH($C239&amp;"",입력옵션!$E$22:$E$53,0)),IFERROR(INDEX(입력옵션!$C$22:$C$53,MATCH($D239&amp;"",입력옵션!$F$22:$F$53,0)),$C239&amp;"")))</f>
        <v/>
      </c>
      <c r="K239" s="97">
        <f>IF($A239="",0,$G239*설정!$C$23)</f>
        <v/>
      </c>
    </row>
    <row r="240">
      <c r="A240" s="92" t="n">
        <v>2025</v>
      </c>
      <c r="B240" s="92" t="n">
        <v>12</v>
      </c>
      <c r="C240" s="92" t="inlineStr">
        <is>
          <t>L900</t>
        </is>
      </c>
      <c r="D240" s="92" t="inlineStr">
        <is>
          <t>기타부채</t>
        </is>
      </c>
      <c r="E240" s="92" t="inlineStr">
        <is>
          <t>부채</t>
        </is>
      </c>
      <c r="F240" s="92" t="n">
        <v>2</v>
      </c>
      <c r="G240" s="93" t="n">
        <v>97714300000</v>
      </c>
      <c r="I240" s="9">
        <f>IF($A240="","",VALUE($A240&amp;"")*12+VALUE($B240&amp;""))</f>
        <v/>
      </c>
      <c r="J240" s="9">
        <f>IF($A240="","",IFERROR(INDEX(입력옵션!$C$22:$C$53,MATCH($C240&amp;"",입력옵션!$E$22:$E$53,0)),IFERROR(INDEX(입력옵션!$C$22:$C$53,MATCH($D240&amp;"",입력옵션!$F$22:$F$53,0)),$C240&amp;"")))</f>
        <v/>
      </c>
      <c r="K240" s="97">
        <f>IF($A240="",0,$G240*설정!$C$23)</f>
        <v/>
      </c>
    </row>
    <row r="241">
      <c r="A241" s="92" t="n">
        <v>2025</v>
      </c>
      <c r="B241" s="92" t="n">
        <v>12</v>
      </c>
      <c r="C241" s="92" t="inlineStr">
        <is>
          <t>E000</t>
        </is>
      </c>
      <c r="D241" s="92" t="inlineStr">
        <is>
          <t>자본총계</t>
        </is>
      </c>
      <c r="E241" s="92" t="inlineStr">
        <is>
          <t>자본</t>
        </is>
      </c>
      <c r="F241" s="92" t="n">
        <v>1</v>
      </c>
      <c r="G241" s="93" t="n">
        <v>345690442000</v>
      </c>
      <c r="I241" s="9">
        <f>IF($A241="","",VALUE($A241&amp;"")*12+VALUE($B241&amp;""))</f>
        <v/>
      </c>
      <c r="J241" s="9">
        <f>IF($A241="","",IFERROR(INDEX(입력옵션!$C$22:$C$53,MATCH($C241&amp;"",입력옵션!$E$22:$E$53,0)),IFERROR(INDEX(입력옵션!$C$22:$C$53,MATCH($D241&amp;"",입력옵션!$F$22:$F$53,0)),$C241&amp;"")))</f>
        <v/>
      </c>
      <c r="K241" s="97">
        <f>IF($A241="",0,$G241*설정!$C$23)</f>
        <v/>
      </c>
    </row>
    <row r="242">
      <c r="A242" s="92" t="n">
        <v>2025</v>
      </c>
      <c r="B242" s="92" t="n">
        <v>12</v>
      </c>
      <c r="C242" s="92" t="inlineStr">
        <is>
          <t>E100</t>
        </is>
      </c>
      <c r="D242" s="92" t="inlineStr">
        <is>
          <t>자본금</t>
        </is>
      </c>
      <c r="E242" s="92" t="inlineStr">
        <is>
          <t>자본</t>
        </is>
      </c>
      <c r="F242" s="92" t="n">
        <v>2</v>
      </c>
      <c r="G242" s="93" t="n">
        <v>100000000000</v>
      </c>
      <c r="I242" s="9">
        <f>IF($A242="","",VALUE($A242&amp;"")*12+VALUE($B242&amp;""))</f>
        <v/>
      </c>
      <c r="J242" s="9">
        <f>IF($A242="","",IFERROR(INDEX(입력옵션!$C$22:$C$53,MATCH($C242&amp;"",입력옵션!$E$22:$E$53,0)),IFERROR(INDEX(입력옵션!$C$22:$C$53,MATCH($D242&amp;"",입력옵션!$F$22:$F$53,0)),$C242&amp;"")))</f>
        <v/>
      </c>
      <c r="K242" s="97">
        <f>IF($A242="",0,$G242*설정!$C$23)</f>
        <v/>
      </c>
    </row>
    <row r="243">
      <c r="A243" s="92" t="n">
        <v>2025</v>
      </c>
      <c r="B243" s="92" t="n">
        <v>12</v>
      </c>
      <c r="C243" s="92" t="inlineStr">
        <is>
          <t>E200</t>
        </is>
      </c>
      <c r="D243" s="92" t="inlineStr">
        <is>
          <t>이익잉여금</t>
        </is>
      </c>
      <c r="E243" s="92" t="inlineStr">
        <is>
          <t>자본</t>
        </is>
      </c>
      <c r="F243" s="92" t="n">
        <v>2</v>
      </c>
      <c r="G243" s="93" t="n">
        <v>281572242000</v>
      </c>
      <c r="I243" s="9">
        <f>IF($A243="","",VALUE($A243&amp;"")*12+VALUE($B243&amp;""))</f>
        <v/>
      </c>
      <c r="J243" s="9">
        <f>IF($A243="","",IFERROR(INDEX(입력옵션!$C$22:$C$53,MATCH($C243&amp;"",입력옵션!$E$22:$E$53,0)),IFERROR(INDEX(입력옵션!$C$22:$C$53,MATCH($D243&amp;"",입력옵션!$F$22:$F$53,0)),$C243&amp;"")))</f>
        <v/>
      </c>
      <c r="K243" s="97">
        <f>IF($A243="",0,$G243*설정!$C$23)</f>
        <v/>
      </c>
    </row>
    <row r="244">
      <c r="A244" s="92" t="n">
        <v>2025</v>
      </c>
      <c r="B244" s="92" t="n">
        <v>12</v>
      </c>
      <c r="C244" s="92" t="inlineStr">
        <is>
          <t>E300</t>
        </is>
      </c>
      <c r="D244" s="92" t="inlineStr">
        <is>
          <t>기타포괄손익누계액</t>
        </is>
      </c>
      <c r="E244" s="92" t="inlineStr">
        <is>
          <t>자본</t>
        </is>
      </c>
      <c r="F244" s="92" t="n">
        <v>2</v>
      </c>
      <c r="G244" s="93" t="n">
        <v>-35881800000</v>
      </c>
      <c r="I244" s="9">
        <f>IF($A244="","",VALUE($A244&amp;"")*12+VALUE($B244&amp;""))</f>
        <v/>
      </c>
      <c r="J244" s="9">
        <f>IF($A244="","",IFERROR(INDEX(입력옵션!$C$22:$C$53,MATCH($C244&amp;"",입력옵션!$E$22:$E$53,0)),IFERROR(INDEX(입력옵션!$C$22:$C$53,MATCH($D244&amp;"",입력옵션!$F$22:$F$53,0)),$C244&amp;"")))</f>
        <v/>
      </c>
      <c r="K244" s="97">
        <f>IF($A244="",0,$G244*설정!$C$23)</f>
        <v/>
      </c>
    </row>
    <row r="245">
      <c r="A245" s="92" t="n">
        <v>2026</v>
      </c>
      <c r="B245" s="92" t="n">
        <v>1</v>
      </c>
      <c r="C245" s="92" t="inlineStr">
        <is>
          <t>A000</t>
        </is>
      </c>
      <c r="D245" s="92" t="inlineStr">
        <is>
          <t>자산총계</t>
        </is>
      </c>
      <c r="E245" s="92" t="inlineStr">
        <is>
          <t>자산</t>
        </is>
      </c>
      <c r="F245" s="92" t="n">
        <v>1</v>
      </c>
      <c r="G245" s="93" t="n">
        <v>3110168100000</v>
      </c>
      <c r="I245" s="9">
        <f>IF($A245="","",VALUE($A245&amp;"")*12+VALUE($B245&amp;""))</f>
        <v/>
      </c>
      <c r="J245" s="9">
        <f>IF($A245="","",IFERROR(INDEX(입력옵션!$C$22:$C$53,MATCH($C245&amp;"",입력옵션!$E$22:$E$53,0)),IFERROR(INDEX(입력옵션!$C$22:$C$53,MATCH($D245&amp;"",입력옵션!$F$22:$F$53,0)),$C245&amp;"")))</f>
        <v/>
      </c>
      <c r="K245" s="97">
        <f>IF($A245="",0,$G245*설정!$C$23)</f>
        <v/>
      </c>
    </row>
    <row r="246">
      <c r="A246" s="92" t="n">
        <v>2026</v>
      </c>
      <c r="B246" s="92" t="n">
        <v>1</v>
      </c>
      <c r="C246" s="92" t="inlineStr">
        <is>
          <t>A100</t>
        </is>
      </c>
      <c r="D246" s="92" t="inlineStr">
        <is>
          <t>운용자산</t>
        </is>
      </c>
      <c r="E246" s="92" t="inlineStr">
        <is>
          <t>자산</t>
        </is>
      </c>
      <c r="F246" s="92" t="n">
        <v>2</v>
      </c>
      <c r="G246" s="93" t="n">
        <v>2895158900000</v>
      </c>
      <c r="I246" s="9">
        <f>IF($A246="","",VALUE($A246&amp;"")*12+VALUE($B246&amp;""))</f>
        <v/>
      </c>
      <c r="J246" s="9">
        <f>IF($A246="","",IFERROR(INDEX(입력옵션!$C$22:$C$53,MATCH($C246&amp;"",입력옵션!$E$22:$E$53,0)),IFERROR(INDEX(입력옵션!$C$22:$C$53,MATCH($D246&amp;"",입력옵션!$F$22:$F$53,0)),$C246&amp;"")))</f>
        <v/>
      </c>
      <c r="K246" s="97">
        <f>IF($A246="",0,$G246*설정!$C$23)</f>
        <v/>
      </c>
    </row>
    <row r="247">
      <c r="A247" s="92" t="n">
        <v>2026</v>
      </c>
      <c r="B247" s="92" t="n">
        <v>1</v>
      </c>
      <c r="C247" s="92" t="inlineStr">
        <is>
          <t>A110</t>
        </is>
      </c>
      <c r="D247" s="92" t="inlineStr">
        <is>
          <t>현금및예치금</t>
        </is>
      </c>
      <c r="E247" s="92" t="inlineStr">
        <is>
          <t>자산</t>
        </is>
      </c>
      <c r="F247" s="92" t="n">
        <v>3</v>
      </c>
      <c r="G247" s="93" t="n">
        <v>86877500000</v>
      </c>
      <c r="I247" s="9">
        <f>IF($A247="","",VALUE($A247&amp;"")*12+VALUE($B247&amp;""))</f>
        <v/>
      </c>
      <c r="J247" s="9">
        <f>IF($A247="","",IFERROR(INDEX(입력옵션!$C$22:$C$53,MATCH($C247&amp;"",입력옵션!$E$22:$E$53,0)),IFERROR(INDEX(입력옵션!$C$22:$C$53,MATCH($D247&amp;"",입력옵션!$F$22:$F$53,0)),$C247&amp;"")))</f>
        <v/>
      </c>
      <c r="K247" s="97">
        <f>IF($A247="",0,$G247*설정!$C$23)</f>
        <v/>
      </c>
    </row>
    <row r="248">
      <c r="A248" s="92" t="n">
        <v>2026</v>
      </c>
      <c r="B248" s="92" t="n">
        <v>1</v>
      </c>
      <c r="C248" s="92" t="inlineStr">
        <is>
          <t>A120</t>
        </is>
      </c>
      <c r="D248" s="92" t="inlineStr">
        <is>
          <t>유가증권</t>
        </is>
      </c>
      <c r="E248" s="92" t="inlineStr">
        <is>
          <t>자산</t>
        </is>
      </c>
      <c r="F248" s="92" t="n">
        <v>3</v>
      </c>
      <c r="G248" s="93" t="n">
        <v>2205401100000</v>
      </c>
      <c r="I248" s="9">
        <f>IF($A248="","",VALUE($A248&amp;"")*12+VALUE($B248&amp;""))</f>
        <v/>
      </c>
      <c r="J248" s="9">
        <f>IF($A248="","",IFERROR(INDEX(입력옵션!$C$22:$C$53,MATCH($C248&amp;"",입력옵션!$E$22:$E$53,0)),IFERROR(INDEX(입력옵션!$C$22:$C$53,MATCH($D248&amp;"",입력옵션!$F$22:$F$53,0)),$C248&amp;"")))</f>
        <v/>
      </c>
      <c r="K248" s="97">
        <f>IF($A248="",0,$G248*설정!$C$23)</f>
        <v/>
      </c>
    </row>
    <row r="249">
      <c r="A249" s="92" t="n">
        <v>2026</v>
      </c>
      <c r="B249" s="92" t="n">
        <v>1</v>
      </c>
      <c r="C249" s="92" t="inlineStr">
        <is>
          <t>A130</t>
        </is>
      </c>
      <c r="D249" s="92" t="inlineStr">
        <is>
          <t>대출채권</t>
        </is>
      </c>
      <c r="E249" s="92" t="inlineStr">
        <is>
          <t>자산</t>
        </is>
      </c>
      <c r="F249" s="92" t="n">
        <v>3</v>
      </c>
      <c r="G249" s="93" t="n">
        <v>430680300000</v>
      </c>
      <c r="I249" s="9">
        <f>IF($A249="","",VALUE($A249&amp;"")*12+VALUE($B249&amp;""))</f>
        <v/>
      </c>
      <c r="J249" s="9">
        <f>IF($A249="","",IFERROR(INDEX(입력옵션!$C$22:$C$53,MATCH($C249&amp;"",입력옵션!$E$22:$E$53,0)),IFERROR(INDEX(입력옵션!$C$22:$C$53,MATCH($D249&amp;"",입력옵션!$F$22:$F$53,0)),$C249&amp;"")))</f>
        <v/>
      </c>
      <c r="K249" s="97">
        <f>IF($A249="",0,$G249*설정!$C$23)</f>
        <v/>
      </c>
    </row>
    <row r="250">
      <c r="A250" s="92" t="n">
        <v>2026</v>
      </c>
      <c r="B250" s="92" t="n">
        <v>1</v>
      </c>
      <c r="C250" s="92" t="inlineStr">
        <is>
          <t>A140</t>
        </is>
      </c>
      <c r="D250" s="92" t="inlineStr">
        <is>
          <t>투자부동산</t>
        </is>
      </c>
      <c r="E250" s="92" t="inlineStr">
        <is>
          <t>자산</t>
        </is>
      </c>
      <c r="F250" s="92" t="n">
        <v>3</v>
      </c>
      <c r="G250" s="93" t="n">
        <v>172200000000</v>
      </c>
      <c r="I250" s="9">
        <f>IF($A250="","",VALUE($A250&amp;"")*12+VALUE($B250&amp;""))</f>
        <v/>
      </c>
      <c r="J250" s="9">
        <f>IF($A250="","",IFERROR(INDEX(입력옵션!$C$22:$C$53,MATCH($C250&amp;"",입력옵션!$E$22:$E$53,0)),IFERROR(INDEX(입력옵션!$C$22:$C$53,MATCH($D250&amp;"",입력옵션!$F$22:$F$53,0)),$C250&amp;"")))</f>
        <v/>
      </c>
      <c r="K250" s="97">
        <f>IF($A250="",0,$G250*설정!$C$23)</f>
        <v/>
      </c>
    </row>
    <row r="251">
      <c r="A251" s="92" t="n">
        <v>2026</v>
      </c>
      <c r="B251" s="92" t="n">
        <v>1</v>
      </c>
      <c r="C251" s="92" t="inlineStr">
        <is>
          <t>A200</t>
        </is>
      </c>
      <c r="D251" s="92" t="inlineStr">
        <is>
          <t>보험계약자산</t>
        </is>
      </c>
      <c r="E251" s="92" t="inlineStr">
        <is>
          <t>자산</t>
        </is>
      </c>
      <c r="F251" s="92" t="n">
        <v>2</v>
      </c>
      <c r="G251" s="93" t="n">
        <v>12324800000</v>
      </c>
      <c r="I251" s="9">
        <f>IF($A251="","",VALUE($A251&amp;"")*12+VALUE($B251&amp;""))</f>
        <v/>
      </c>
      <c r="J251" s="9">
        <f>IF($A251="","",IFERROR(INDEX(입력옵션!$C$22:$C$53,MATCH($C251&amp;"",입력옵션!$E$22:$E$53,0)),IFERROR(INDEX(입력옵션!$C$22:$C$53,MATCH($D251&amp;"",입력옵션!$F$22:$F$53,0)),$C251&amp;"")))</f>
        <v/>
      </c>
      <c r="K251" s="97">
        <f>IF($A251="",0,$G251*설정!$C$23)</f>
        <v/>
      </c>
    </row>
    <row r="252">
      <c r="A252" s="92" t="n">
        <v>2026</v>
      </c>
      <c r="B252" s="92" t="n">
        <v>1</v>
      </c>
      <c r="C252" s="92" t="inlineStr">
        <is>
          <t>A300</t>
        </is>
      </c>
      <c r="D252" s="92" t="inlineStr">
        <is>
          <t>재보험계약자산</t>
        </is>
      </c>
      <c r="E252" s="92" t="inlineStr">
        <is>
          <t>자산</t>
        </is>
      </c>
      <c r="F252" s="92" t="n">
        <v>2</v>
      </c>
      <c r="G252" s="93" t="n">
        <v>42025800000</v>
      </c>
      <c r="I252" s="9">
        <f>IF($A252="","",VALUE($A252&amp;"")*12+VALUE($B252&amp;""))</f>
        <v/>
      </c>
      <c r="J252" s="9">
        <f>IF($A252="","",IFERROR(INDEX(입력옵션!$C$22:$C$53,MATCH($C252&amp;"",입력옵션!$E$22:$E$53,0)),IFERROR(INDEX(입력옵션!$C$22:$C$53,MATCH($D252&amp;"",입력옵션!$F$22:$F$53,0)),$C252&amp;"")))</f>
        <v/>
      </c>
      <c r="K252" s="97">
        <f>IF($A252="",0,$G252*설정!$C$23)</f>
        <v/>
      </c>
    </row>
    <row r="253">
      <c r="A253" s="92" t="n">
        <v>2026</v>
      </c>
      <c r="B253" s="92" t="n">
        <v>1</v>
      </c>
      <c r="C253" s="92" t="inlineStr">
        <is>
          <t>A900</t>
        </is>
      </c>
      <c r="D253" s="92" t="inlineStr">
        <is>
          <t>기타자산</t>
        </is>
      </c>
      <c r="E253" s="92" t="inlineStr">
        <is>
          <t>자산</t>
        </is>
      </c>
      <c r="F253" s="92" t="n">
        <v>2</v>
      </c>
      <c r="G253" s="93" t="n">
        <v>160658600000</v>
      </c>
      <c r="I253" s="9">
        <f>IF($A253="","",VALUE($A253&amp;"")*12+VALUE($B253&amp;""))</f>
        <v/>
      </c>
      <c r="J253" s="9">
        <f>IF($A253="","",IFERROR(INDEX(입력옵션!$C$22:$C$53,MATCH($C253&amp;"",입력옵션!$E$22:$E$53,0)),IFERROR(INDEX(입력옵션!$C$22:$C$53,MATCH($D253&amp;"",입력옵션!$F$22:$F$53,0)),$C253&amp;"")))</f>
        <v/>
      </c>
      <c r="K253" s="97">
        <f>IF($A253="",0,$G253*설정!$C$23)</f>
        <v/>
      </c>
    </row>
    <row r="254">
      <c r="A254" s="92" t="n">
        <v>2026</v>
      </c>
      <c r="B254" s="92" t="n">
        <v>1</v>
      </c>
      <c r="C254" s="92" t="inlineStr">
        <is>
          <t>L000</t>
        </is>
      </c>
      <c r="D254" s="92" t="inlineStr">
        <is>
          <t>부채총계</t>
        </is>
      </c>
      <c r="E254" s="92" t="inlineStr">
        <is>
          <t>부채</t>
        </is>
      </c>
      <c r="F254" s="92" t="n">
        <v>1</v>
      </c>
      <c r="G254" s="93" t="n">
        <v>2758275323000</v>
      </c>
      <c r="I254" s="9">
        <f>IF($A254="","",VALUE($A254&amp;"")*12+VALUE($B254&amp;""))</f>
        <v/>
      </c>
      <c r="J254" s="9">
        <f>IF($A254="","",IFERROR(INDEX(입력옵션!$C$22:$C$53,MATCH($C254&amp;"",입력옵션!$E$22:$E$53,0)),IFERROR(INDEX(입력옵션!$C$22:$C$53,MATCH($D254&amp;"",입력옵션!$F$22:$F$53,0)),$C254&amp;"")))</f>
        <v/>
      </c>
      <c r="K254" s="97">
        <f>IF($A254="",0,$G254*설정!$C$23)</f>
        <v/>
      </c>
    </row>
    <row r="255">
      <c r="A255" s="92" t="n">
        <v>2026</v>
      </c>
      <c r="B255" s="92" t="n">
        <v>1</v>
      </c>
      <c r="C255" s="92" t="inlineStr">
        <is>
          <t>L100</t>
        </is>
      </c>
      <c r="D255" s="92" t="inlineStr">
        <is>
          <t>보험계약부채</t>
        </is>
      </c>
      <c r="E255" s="92" t="inlineStr">
        <is>
          <t>부채</t>
        </is>
      </c>
      <c r="F255" s="92" t="n">
        <v>2</v>
      </c>
      <c r="G255" s="93" t="n">
        <v>2654717823000</v>
      </c>
      <c r="I255" s="9">
        <f>IF($A255="","",VALUE($A255&amp;"")*12+VALUE($B255&amp;""))</f>
        <v/>
      </c>
      <c r="J255" s="9">
        <f>IF($A255="","",IFERROR(INDEX(입력옵션!$C$22:$C$53,MATCH($C255&amp;"",입력옵션!$E$22:$E$53,0)),IFERROR(INDEX(입력옵션!$C$22:$C$53,MATCH($D255&amp;"",입력옵션!$F$22:$F$53,0)),$C255&amp;"")))</f>
        <v/>
      </c>
      <c r="K255" s="97">
        <f>IF($A255="",0,$G255*설정!$C$23)</f>
        <v/>
      </c>
    </row>
    <row r="256">
      <c r="A256" s="92" t="n">
        <v>2026</v>
      </c>
      <c r="B256" s="92" t="n">
        <v>1</v>
      </c>
      <c r="C256" s="92" t="inlineStr">
        <is>
          <t>L110</t>
        </is>
      </c>
      <c r="D256" s="92" t="inlineStr">
        <is>
          <t>최선추정부채(BEL)</t>
        </is>
      </c>
      <c r="E256" s="92" t="inlineStr">
        <is>
          <t>부채</t>
        </is>
      </c>
      <c r="F256" s="92" t="n">
        <v>3</v>
      </c>
      <c r="G256" s="93" t="n">
        <v>2137661900000</v>
      </c>
      <c r="I256" s="9">
        <f>IF($A256="","",VALUE($A256&amp;"")*12+VALUE($B256&amp;""))</f>
        <v/>
      </c>
      <c r="J256" s="9">
        <f>IF($A256="","",IFERROR(INDEX(입력옵션!$C$22:$C$53,MATCH($C256&amp;"",입력옵션!$E$22:$E$53,0)),IFERROR(INDEX(입력옵션!$C$22:$C$53,MATCH($D256&amp;"",입력옵션!$F$22:$F$53,0)),$C256&amp;"")))</f>
        <v/>
      </c>
      <c r="K256" s="97">
        <f>IF($A256="",0,$G256*설정!$C$23)</f>
        <v/>
      </c>
    </row>
    <row r="257">
      <c r="A257" s="92" t="n">
        <v>2026</v>
      </c>
      <c r="B257" s="92" t="n">
        <v>1</v>
      </c>
      <c r="C257" s="92" t="inlineStr">
        <is>
          <t>L120</t>
        </is>
      </c>
      <c r="D257" s="92" t="inlineStr">
        <is>
          <t>위험조정(RA)</t>
        </is>
      </c>
      <c r="E257" s="92" t="inlineStr">
        <is>
          <t>부채</t>
        </is>
      </c>
      <c r="F257" s="92" t="n">
        <v>3</v>
      </c>
      <c r="G257" s="93" t="n">
        <v>120413600000</v>
      </c>
      <c r="I257" s="9">
        <f>IF($A257="","",VALUE($A257&amp;"")*12+VALUE($B257&amp;""))</f>
        <v/>
      </c>
      <c r="J257" s="9">
        <f>IF($A257="","",IFERROR(INDEX(입력옵션!$C$22:$C$53,MATCH($C257&amp;"",입력옵션!$E$22:$E$53,0)),IFERROR(INDEX(입력옵션!$C$22:$C$53,MATCH($D257&amp;"",입력옵션!$F$22:$F$53,0)),$C257&amp;"")))</f>
        <v/>
      </c>
      <c r="K257" s="97">
        <f>IF($A257="",0,$G257*설정!$C$23)</f>
        <v/>
      </c>
    </row>
    <row r="258">
      <c r="A258" s="92" t="n">
        <v>2026</v>
      </c>
      <c r="B258" s="92" t="n">
        <v>1</v>
      </c>
      <c r="C258" s="92" t="inlineStr">
        <is>
          <t>L130</t>
        </is>
      </c>
      <c r="D258" s="92" t="inlineStr">
        <is>
          <t>보험계약마진(CSM)</t>
        </is>
      </c>
      <c r="E258" s="92" t="inlineStr">
        <is>
          <t>부채</t>
        </is>
      </c>
      <c r="F258" s="92" t="n">
        <v>3</v>
      </c>
      <c r="G258" s="93" t="n">
        <v>396642323000</v>
      </c>
      <c r="I258" s="9">
        <f>IF($A258="","",VALUE($A258&amp;"")*12+VALUE($B258&amp;""))</f>
        <v/>
      </c>
      <c r="J258" s="9">
        <f>IF($A258="","",IFERROR(INDEX(입력옵션!$C$22:$C$53,MATCH($C258&amp;"",입력옵션!$E$22:$E$53,0)),IFERROR(INDEX(입력옵션!$C$22:$C$53,MATCH($D258&amp;"",입력옵션!$F$22:$F$53,0)),$C258&amp;"")))</f>
        <v/>
      </c>
      <c r="K258" s="97">
        <f>IF($A258="",0,$G258*설정!$C$23)</f>
        <v/>
      </c>
    </row>
    <row r="259">
      <c r="A259" s="92" t="n">
        <v>2026</v>
      </c>
      <c r="B259" s="92" t="n">
        <v>1</v>
      </c>
      <c r="C259" s="92" t="inlineStr">
        <is>
          <t>L200</t>
        </is>
      </c>
      <c r="D259" s="92" t="inlineStr">
        <is>
          <t>재보험계약부채</t>
        </is>
      </c>
      <c r="E259" s="92" t="inlineStr">
        <is>
          <t>부채</t>
        </is>
      </c>
      <c r="F259" s="92" t="n">
        <v>2</v>
      </c>
      <c r="G259" s="93" t="n">
        <v>6522900000</v>
      </c>
      <c r="I259" s="9">
        <f>IF($A259="","",VALUE($A259&amp;"")*12+VALUE($B259&amp;""))</f>
        <v/>
      </c>
      <c r="J259" s="9">
        <f>IF($A259="","",IFERROR(INDEX(입력옵션!$C$22:$C$53,MATCH($C259&amp;"",입력옵션!$E$22:$E$53,0)),IFERROR(INDEX(입력옵션!$C$22:$C$53,MATCH($D259&amp;"",입력옵션!$F$22:$F$53,0)),$C259&amp;"")))</f>
        <v/>
      </c>
      <c r="K259" s="97">
        <f>IF($A259="",0,$G259*설정!$C$23)</f>
        <v/>
      </c>
    </row>
    <row r="260">
      <c r="A260" s="92" t="n">
        <v>2026</v>
      </c>
      <c r="B260" s="92" t="n">
        <v>1</v>
      </c>
      <c r="C260" s="92" t="inlineStr">
        <is>
          <t>L900</t>
        </is>
      </c>
      <c r="D260" s="92" t="inlineStr">
        <is>
          <t>기타부채</t>
        </is>
      </c>
      <c r="E260" s="92" t="inlineStr">
        <is>
          <t>부채</t>
        </is>
      </c>
      <c r="F260" s="92" t="n">
        <v>2</v>
      </c>
      <c r="G260" s="93" t="n">
        <v>97034600000</v>
      </c>
      <c r="I260" s="9">
        <f>IF($A260="","",VALUE($A260&amp;"")*12+VALUE($B260&amp;""))</f>
        <v/>
      </c>
      <c r="J260" s="9">
        <f>IF($A260="","",IFERROR(INDEX(입력옵션!$C$22:$C$53,MATCH($C260&amp;"",입력옵션!$E$22:$E$53,0)),IFERROR(INDEX(입력옵션!$C$22:$C$53,MATCH($D260&amp;"",입력옵션!$F$22:$F$53,0)),$C260&amp;"")))</f>
        <v/>
      </c>
      <c r="K260" s="97">
        <f>IF($A260="",0,$G260*설정!$C$23)</f>
        <v/>
      </c>
    </row>
    <row r="261">
      <c r="A261" s="92" t="n">
        <v>2026</v>
      </c>
      <c r="B261" s="92" t="n">
        <v>1</v>
      </c>
      <c r="C261" s="92" t="inlineStr">
        <is>
          <t>E000</t>
        </is>
      </c>
      <c r="D261" s="92" t="inlineStr">
        <is>
          <t>자본총계</t>
        </is>
      </c>
      <c r="E261" s="92" t="inlineStr">
        <is>
          <t>자본</t>
        </is>
      </c>
      <c r="F261" s="92" t="n">
        <v>1</v>
      </c>
      <c r="G261" s="93" t="n">
        <v>351892777000</v>
      </c>
      <c r="I261" s="9">
        <f>IF($A261="","",VALUE($A261&amp;"")*12+VALUE($B261&amp;""))</f>
        <v/>
      </c>
      <c r="J261" s="9">
        <f>IF($A261="","",IFERROR(INDEX(입력옵션!$C$22:$C$53,MATCH($C261&amp;"",입력옵션!$E$22:$E$53,0)),IFERROR(INDEX(입력옵션!$C$22:$C$53,MATCH($D261&amp;"",입력옵션!$F$22:$F$53,0)),$C261&amp;"")))</f>
        <v/>
      </c>
      <c r="K261" s="97">
        <f>IF($A261="",0,$G261*설정!$C$23)</f>
        <v/>
      </c>
    </row>
    <row r="262">
      <c r="A262" s="92" t="n">
        <v>2026</v>
      </c>
      <c r="B262" s="92" t="n">
        <v>1</v>
      </c>
      <c r="C262" s="92" t="inlineStr">
        <is>
          <t>E100</t>
        </is>
      </c>
      <c r="D262" s="92" t="inlineStr">
        <is>
          <t>자본금</t>
        </is>
      </c>
      <c r="E262" s="92" t="inlineStr">
        <is>
          <t>자본</t>
        </is>
      </c>
      <c r="F262" s="92" t="n">
        <v>2</v>
      </c>
      <c r="G262" s="93" t="n">
        <v>100000000000</v>
      </c>
      <c r="I262" s="9">
        <f>IF($A262="","",VALUE($A262&amp;"")*12+VALUE($B262&amp;""))</f>
        <v/>
      </c>
      <c r="J262" s="9">
        <f>IF($A262="","",IFERROR(INDEX(입력옵션!$C$22:$C$53,MATCH($C262&amp;"",입력옵션!$E$22:$E$53,0)),IFERROR(INDEX(입력옵션!$C$22:$C$53,MATCH($D262&amp;"",입력옵션!$F$22:$F$53,0)),$C262&amp;"")))</f>
        <v/>
      </c>
      <c r="K262" s="97">
        <f>IF($A262="",0,$G262*설정!$C$23)</f>
        <v/>
      </c>
    </row>
    <row r="263">
      <c r="A263" s="92" t="n">
        <v>2026</v>
      </c>
      <c r="B263" s="92" t="n">
        <v>1</v>
      </c>
      <c r="C263" s="92" t="inlineStr">
        <is>
          <t>E200</t>
        </is>
      </c>
      <c r="D263" s="92" t="inlineStr">
        <is>
          <t>이익잉여금</t>
        </is>
      </c>
      <c r="E263" s="92" t="inlineStr">
        <is>
          <t>자본</t>
        </is>
      </c>
      <c r="F263" s="92" t="n">
        <v>2</v>
      </c>
      <c r="G263" s="93" t="n">
        <v>294831877000</v>
      </c>
      <c r="I263" s="9">
        <f>IF($A263="","",VALUE($A263&amp;"")*12+VALUE($B263&amp;""))</f>
        <v/>
      </c>
      <c r="J263" s="9">
        <f>IF($A263="","",IFERROR(INDEX(입력옵션!$C$22:$C$53,MATCH($C263&amp;"",입력옵션!$E$22:$E$53,0)),IFERROR(INDEX(입력옵션!$C$22:$C$53,MATCH($D263&amp;"",입력옵션!$F$22:$F$53,0)),$C263&amp;"")))</f>
        <v/>
      </c>
      <c r="K263" s="97">
        <f>IF($A263="",0,$G263*설정!$C$23)</f>
        <v/>
      </c>
    </row>
    <row r="264">
      <c r="A264" s="92" t="n">
        <v>2026</v>
      </c>
      <c r="B264" s="92" t="n">
        <v>1</v>
      </c>
      <c r="C264" s="92" t="inlineStr">
        <is>
          <t>E300</t>
        </is>
      </c>
      <c r="D264" s="92" t="inlineStr">
        <is>
          <t>기타포괄손익누계액</t>
        </is>
      </c>
      <c r="E264" s="92" t="inlineStr">
        <is>
          <t>자본</t>
        </is>
      </c>
      <c r="F264" s="92" t="n">
        <v>2</v>
      </c>
      <c r="G264" s="93" t="n">
        <v>-42939100000</v>
      </c>
      <c r="I264" s="9">
        <f>IF($A264="","",VALUE($A264&amp;"")*12+VALUE($B264&amp;""))</f>
        <v/>
      </c>
      <c r="J264" s="9">
        <f>IF($A264="","",IFERROR(INDEX(입력옵션!$C$22:$C$53,MATCH($C264&amp;"",입력옵션!$E$22:$E$53,0)),IFERROR(INDEX(입력옵션!$C$22:$C$53,MATCH($D264&amp;"",입력옵션!$F$22:$F$53,0)),$C264&amp;"")))</f>
        <v/>
      </c>
      <c r="K264" s="97">
        <f>IF($A264="",0,$G264*설정!$C$23)</f>
        <v/>
      </c>
    </row>
    <row r="265">
      <c r="A265" s="92" t="n">
        <v>2026</v>
      </c>
      <c r="B265" s="92" t="n">
        <v>2</v>
      </c>
      <c r="C265" s="92" t="inlineStr">
        <is>
          <t>A000</t>
        </is>
      </c>
      <c r="D265" s="92" t="inlineStr">
        <is>
          <t>자산총계</t>
        </is>
      </c>
      <c r="E265" s="92" t="inlineStr">
        <is>
          <t>자산</t>
        </is>
      </c>
      <c r="F265" s="92" t="n">
        <v>1</v>
      </c>
      <c r="G265" s="93" t="n">
        <v>3110127100000</v>
      </c>
      <c r="I265" s="9">
        <f>IF($A265="","",VALUE($A265&amp;"")*12+VALUE($B265&amp;""))</f>
        <v/>
      </c>
      <c r="J265" s="9">
        <f>IF($A265="","",IFERROR(INDEX(입력옵션!$C$22:$C$53,MATCH($C265&amp;"",입력옵션!$E$22:$E$53,0)),IFERROR(INDEX(입력옵션!$C$22:$C$53,MATCH($D265&amp;"",입력옵션!$F$22:$F$53,0)),$C265&amp;"")))</f>
        <v/>
      </c>
      <c r="K265" s="97">
        <f>IF($A265="",0,$G265*설정!$C$23)</f>
        <v/>
      </c>
    </row>
    <row r="266">
      <c r="A266" s="92" t="n">
        <v>2026</v>
      </c>
      <c r="B266" s="92" t="n">
        <v>2</v>
      </c>
      <c r="C266" s="92" t="inlineStr">
        <is>
          <t>A100</t>
        </is>
      </c>
      <c r="D266" s="92" t="inlineStr">
        <is>
          <t>운용자산</t>
        </is>
      </c>
      <c r="E266" s="92" t="inlineStr">
        <is>
          <t>자산</t>
        </is>
      </c>
      <c r="F266" s="92" t="n">
        <v>2</v>
      </c>
      <c r="G266" s="93" t="n">
        <v>2896797800000</v>
      </c>
      <c r="I266" s="9">
        <f>IF($A266="","",VALUE($A266&amp;"")*12+VALUE($B266&amp;""))</f>
        <v/>
      </c>
      <c r="J266" s="9">
        <f>IF($A266="","",IFERROR(INDEX(입력옵션!$C$22:$C$53,MATCH($C266&amp;"",입력옵션!$E$22:$E$53,0)),IFERROR(INDEX(입력옵션!$C$22:$C$53,MATCH($D266&amp;"",입력옵션!$F$22:$F$53,0)),$C266&amp;"")))</f>
        <v/>
      </c>
      <c r="K266" s="97">
        <f>IF($A266="",0,$G266*설정!$C$23)</f>
        <v/>
      </c>
    </row>
    <row r="267">
      <c r="A267" s="92" t="n">
        <v>2026</v>
      </c>
      <c r="B267" s="92" t="n">
        <v>2</v>
      </c>
      <c r="C267" s="92" t="inlineStr">
        <is>
          <t>A110</t>
        </is>
      </c>
      <c r="D267" s="92" t="inlineStr">
        <is>
          <t>현금및예치금</t>
        </is>
      </c>
      <c r="E267" s="92" t="inlineStr">
        <is>
          <t>자산</t>
        </is>
      </c>
      <c r="F267" s="92" t="n">
        <v>3</v>
      </c>
      <c r="G267" s="93" t="n">
        <v>86875300000</v>
      </c>
      <c r="I267" s="9">
        <f>IF($A267="","",VALUE($A267&amp;"")*12+VALUE($B267&amp;""))</f>
        <v/>
      </c>
      <c r="J267" s="9">
        <f>IF($A267="","",IFERROR(INDEX(입력옵션!$C$22:$C$53,MATCH($C267&amp;"",입력옵션!$E$22:$E$53,0)),IFERROR(INDEX(입력옵션!$C$22:$C$53,MATCH($D267&amp;"",입력옵션!$F$22:$F$53,0)),$C267&amp;"")))</f>
        <v/>
      </c>
      <c r="K267" s="97">
        <f>IF($A267="",0,$G267*설정!$C$23)</f>
        <v/>
      </c>
    </row>
    <row r="268">
      <c r="A268" s="92" t="n">
        <v>2026</v>
      </c>
      <c r="B268" s="92" t="n">
        <v>2</v>
      </c>
      <c r="C268" s="92" t="inlineStr">
        <is>
          <t>A120</t>
        </is>
      </c>
      <c r="D268" s="92" t="inlineStr">
        <is>
          <t>유가증권</t>
        </is>
      </c>
      <c r="E268" s="92" t="inlineStr">
        <is>
          <t>자산</t>
        </is>
      </c>
      <c r="F268" s="92" t="n">
        <v>3</v>
      </c>
      <c r="G268" s="93" t="n">
        <v>2206149200000</v>
      </c>
      <c r="I268" s="9">
        <f>IF($A268="","",VALUE($A268&amp;"")*12+VALUE($B268&amp;""))</f>
        <v/>
      </c>
      <c r="J268" s="9">
        <f>IF($A268="","",IFERROR(INDEX(입력옵션!$C$22:$C$53,MATCH($C268&amp;"",입력옵션!$E$22:$E$53,0)),IFERROR(INDEX(입력옵션!$C$22:$C$53,MATCH($D268&amp;"",입력옵션!$F$22:$F$53,0)),$C268&amp;"")))</f>
        <v/>
      </c>
      <c r="K268" s="97">
        <f>IF($A268="",0,$G268*설정!$C$23)</f>
        <v/>
      </c>
    </row>
    <row r="269">
      <c r="A269" s="92" t="n">
        <v>2026</v>
      </c>
      <c r="B269" s="92" t="n">
        <v>2</v>
      </c>
      <c r="C269" s="92" t="inlineStr">
        <is>
          <t>A130</t>
        </is>
      </c>
      <c r="D269" s="92" t="inlineStr">
        <is>
          <t>대출채권</t>
        </is>
      </c>
      <c r="E269" s="92" t="inlineStr">
        <is>
          <t>자산</t>
        </is>
      </c>
      <c r="F269" s="92" t="n">
        <v>3</v>
      </c>
      <c r="G269" s="93" t="n">
        <v>432223300000</v>
      </c>
      <c r="I269" s="9">
        <f>IF($A269="","",VALUE($A269&amp;"")*12+VALUE($B269&amp;""))</f>
        <v/>
      </c>
      <c r="J269" s="9">
        <f>IF($A269="","",IFERROR(INDEX(입력옵션!$C$22:$C$53,MATCH($C269&amp;"",입력옵션!$E$22:$E$53,0)),IFERROR(INDEX(입력옵션!$C$22:$C$53,MATCH($D269&amp;"",입력옵션!$F$22:$F$53,0)),$C269&amp;"")))</f>
        <v/>
      </c>
      <c r="K269" s="97">
        <f>IF($A269="",0,$G269*설정!$C$23)</f>
        <v/>
      </c>
    </row>
    <row r="270">
      <c r="A270" s="92" t="n">
        <v>2026</v>
      </c>
      <c r="B270" s="92" t="n">
        <v>2</v>
      </c>
      <c r="C270" s="92" t="inlineStr">
        <is>
          <t>A140</t>
        </is>
      </c>
      <c r="D270" s="92" t="inlineStr">
        <is>
          <t>투자부동산</t>
        </is>
      </c>
      <c r="E270" s="92" t="inlineStr">
        <is>
          <t>자산</t>
        </is>
      </c>
      <c r="F270" s="92" t="n">
        <v>3</v>
      </c>
      <c r="G270" s="93" t="n">
        <v>171550000000</v>
      </c>
      <c r="I270" s="9">
        <f>IF($A270="","",VALUE($A270&amp;"")*12+VALUE($B270&amp;""))</f>
        <v/>
      </c>
      <c r="J270" s="9">
        <f>IF($A270="","",IFERROR(INDEX(입력옵션!$C$22:$C$53,MATCH($C270&amp;"",입력옵션!$E$22:$E$53,0)),IFERROR(INDEX(입력옵션!$C$22:$C$53,MATCH($D270&amp;"",입력옵션!$F$22:$F$53,0)),$C270&amp;"")))</f>
        <v/>
      </c>
      <c r="K270" s="97">
        <f>IF($A270="",0,$G270*설정!$C$23)</f>
        <v/>
      </c>
    </row>
    <row r="271">
      <c r="A271" s="92" t="n">
        <v>2026</v>
      </c>
      <c r="B271" s="92" t="n">
        <v>2</v>
      </c>
      <c r="C271" s="92" t="inlineStr">
        <is>
          <t>A200</t>
        </is>
      </c>
      <c r="D271" s="92" t="inlineStr">
        <is>
          <t>보험계약자산</t>
        </is>
      </c>
      <c r="E271" s="92" t="inlineStr">
        <is>
          <t>자산</t>
        </is>
      </c>
      <c r="F271" s="92" t="n">
        <v>2</v>
      </c>
      <c r="G271" s="93" t="n">
        <v>12293800000</v>
      </c>
      <c r="I271" s="9">
        <f>IF($A271="","",VALUE($A271&amp;"")*12+VALUE($B271&amp;""))</f>
        <v/>
      </c>
      <c r="J271" s="9">
        <f>IF($A271="","",IFERROR(INDEX(입력옵션!$C$22:$C$53,MATCH($C271&amp;"",입력옵션!$E$22:$E$53,0)),IFERROR(INDEX(입력옵션!$C$22:$C$53,MATCH($D271&amp;"",입력옵션!$F$22:$F$53,0)),$C271&amp;"")))</f>
        <v/>
      </c>
      <c r="K271" s="97">
        <f>IF($A271="",0,$G271*설정!$C$23)</f>
        <v/>
      </c>
    </row>
    <row r="272">
      <c r="A272" s="92" t="n">
        <v>2026</v>
      </c>
      <c r="B272" s="92" t="n">
        <v>2</v>
      </c>
      <c r="C272" s="92" t="inlineStr">
        <is>
          <t>A300</t>
        </is>
      </c>
      <c r="D272" s="92" t="inlineStr">
        <is>
          <t>재보험계약자산</t>
        </is>
      </c>
      <c r="E272" s="92" t="inlineStr">
        <is>
          <t>자산</t>
        </is>
      </c>
      <c r="F272" s="92" t="n">
        <v>2</v>
      </c>
      <c r="G272" s="93" t="n">
        <v>42239800000</v>
      </c>
      <c r="I272" s="9">
        <f>IF($A272="","",VALUE($A272&amp;"")*12+VALUE($B272&amp;""))</f>
        <v/>
      </c>
      <c r="J272" s="9">
        <f>IF($A272="","",IFERROR(INDEX(입력옵션!$C$22:$C$53,MATCH($C272&amp;"",입력옵션!$E$22:$E$53,0)),IFERROR(INDEX(입력옵션!$C$22:$C$53,MATCH($D272&amp;"",입력옵션!$F$22:$F$53,0)),$C272&amp;"")))</f>
        <v/>
      </c>
      <c r="K272" s="97">
        <f>IF($A272="",0,$G272*설정!$C$23)</f>
        <v/>
      </c>
    </row>
    <row r="273">
      <c r="A273" s="92" t="n">
        <v>2026</v>
      </c>
      <c r="B273" s="92" t="n">
        <v>2</v>
      </c>
      <c r="C273" s="92" t="inlineStr">
        <is>
          <t>A900</t>
        </is>
      </c>
      <c r="D273" s="92" t="inlineStr">
        <is>
          <t>기타자산</t>
        </is>
      </c>
      <c r="E273" s="92" t="inlineStr">
        <is>
          <t>자산</t>
        </is>
      </c>
      <c r="F273" s="92" t="n">
        <v>2</v>
      </c>
      <c r="G273" s="93" t="n">
        <v>158795700000</v>
      </c>
      <c r="I273" s="9">
        <f>IF($A273="","",VALUE($A273&amp;"")*12+VALUE($B273&amp;""))</f>
        <v/>
      </c>
      <c r="J273" s="9">
        <f>IF($A273="","",IFERROR(INDEX(입력옵션!$C$22:$C$53,MATCH($C273&amp;"",입력옵션!$E$22:$E$53,0)),IFERROR(INDEX(입력옵션!$C$22:$C$53,MATCH($D273&amp;"",입력옵션!$F$22:$F$53,0)),$C273&amp;"")))</f>
        <v/>
      </c>
      <c r="K273" s="97">
        <f>IF($A273="",0,$G273*설정!$C$23)</f>
        <v/>
      </c>
    </row>
    <row r="274">
      <c r="A274" s="92" t="n">
        <v>2026</v>
      </c>
      <c r="B274" s="92" t="n">
        <v>2</v>
      </c>
      <c r="C274" s="92" t="inlineStr">
        <is>
          <t>L000</t>
        </is>
      </c>
      <c r="D274" s="92" t="inlineStr">
        <is>
          <t>부채총계</t>
        </is>
      </c>
      <c r="E274" s="92" t="inlineStr">
        <is>
          <t>부채</t>
        </is>
      </c>
      <c r="F274" s="92" t="n">
        <v>1</v>
      </c>
      <c r="G274" s="93" t="n">
        <v>2771317155000</v>
      </c>
      <c r="I274" s="9">
        <f>IF($A274="","",VALUE($A274&amp;"")*12+VALUE($B274&amp;""))</f>
        <v/>
      </c>
      <c r="J274" s="9">
        <f>IF($A274="","",IFERROR(INDEX(입력옵션!$C$22:$C$53,MATCH($C274&amp;"",입력옵션!$E$22:$E$53,0)),IFERROR(INDEX(입력옵션!$C$22:$C$53,MATCH($D274&amp;"",입력옵션!$F$22:$F$53,0)),$C274&amp;"")))</f>
        <v/>
      </c>
      <c r="K274" s="97">
        <f>IF($A274="",0,$G274*설정!$C$23)</f>
        <v/>
      </c>
    </row>
    <row r="275">
      <c r="A275" s="92" t="n">
        <v>2026</v>
      </c>
      <c r="B275" s="92" t="n">
        <v>2</v>
      </c>
      <c r="C275" s="92" t="inlineStr">
        <is>
          <t>L100</t>
        </is>
      </c>
      <c r="D275" s="92" t="inlineStr">
        <is>
          <t>보험계약부채</t>
        </is>
      </c>
      <c r="E275" s="92" t="inlineStr">
        <is>
          <t>부채</t>
        </is>
      </c>
      <c r="F275" s="92" t="n">
        <v>2</v>
      </c>
      <c r="G275" s="93" t="n">
        <v>2670452655000</v>
      </c>
      <c r="I275" s="9">
        <f>IF($A275="","",VALUE($A275&amp;"")*12+VALUE($B275&amp;""))</f>
        <v/>
      </c>
      <c r="J275" s="9">
        <f>IF($A275="","",IFERROR(INDEX(입력옵션!$C$22:$C$53,MATCH($C275&amp;"",입력옵션!$E$22:$E$53,0)),IFERROR(INDEX(입력옵션!$C$22:$C$53,MATCH($D275&amp;"",입력옵션!$F$22:$F$53,0)),$C275&amp;"")))</f>
        <v/>
      </c>
      <c r="K275" s="97">
        <f>IF($A275="",0,$G275*설정!$C$23)</f>
        <v/>
      </c>
    </row>
    <row r="276">
      <c r="A276" s="92" t="n">
        <v>2026</v>
      </c>
      <c r="B276" s="92" t="n">
        <v>2</v>
      </c>
      <c r="C276" s="92" t="inlineStr">
        <is>
          <t>L110</t>
        </is>
      </c>
      <c r="D276" s="92" t="inlineStr">
        <is>
          <t>최선추정부채(BEL)</t>
        </is>
      </c>
      <c r="E276" s="92" t="inlineStr">
        <is>
          <t>부채</t>
        </is>
      </c>
      <c r="F276" s="92" t="n">
        <v>3</v>
      </c>
      <c r="G276" s="93" t="n">
        <v>2149901600000</v>
      </c>
      <c r="I276" s="9">
        <f>IF($A276="","",VALUE($A276&amp;"")*12+VALUE($B276&amp;""))</f>
        <v/>
      </c>
      <c r="J276" s="9">
        <f>IF($A276="","",IFERROR(INDEX(입력옵션!$C$22:$C$53,MATCH($C276&amp;"",입력옵션!$E$22:$E$53,0)),IFERROR(INDEX(입력옵션!$C$22:$C$53,MATCH($D276&amp;"",입력옵션!$F$22:$F$53,0)),$C276&amp;"")))</f>
        <v/>
      </c>
      <c r="K276" s="97">
        <f>IF($A276="",0,$G276*설정!$C$23)</f>
        <v/>
      </c>
    </row>
    <row r="277">
      <c r="A277" s="92" t="n">
        <v>2026</v>
      </c>
      <c r="B277" s="92" t="n">
        <v>2</v>
      </c>
      <c r="C277" s="92" t="inlineStr">
        <is>
          <t>L120</t>
        </is>
      </c>
      <c r="D277" s="92" t="inlineStr">
        <is>
          <t>위험조정(RA)</t>
        </is>
      </c>
      <c r="E277" s="92" t="inlineStr">
        <is>
          <t>부채</t>
        </is>
      </c>
      <c r="F277" s="92" t="n">
        <v>3</v>
      </c>
      <c r="G277" s="93" t="n">
        <v>122233700000</v>
      </c>
      <c r="I277" s="9">
        <f>IF($A277="","",VALUE($A277&amp;"")*12+VALUE($B277&amp;""))</f>
        <v/>
      </c>
      <c r="J277" s="9">
        <f>IF($A277="","",IFERROR(INDEX(입력옵션!$C$22:$C$53,MATCH($C277&amp;"",입력옵션!$E$22:$E$53,0)),IFERROR(INDEX(입력옵션!$C$22:$C$53,MATCH($D277&amp;"",입력옵션!$F$22:$F$53,0)),$C277&amp;"")))</f>
        <v/>
      </c>
      <c r="K277" s="97">
        <f>IF($A277="",0,$G277*설정!$C$23)</f>
        <v/>
      </c>
    </row>
    <row r="278">
      <c r="A278" s="92" t="n">
        <v>2026</v>
      </c>
      <c r="B278" s="92" t="n">
        <v>2</v>
      </c>
      <c r="C278" s="92" t="inlineStr">
        <is>
          <t>L130</t>
        </is>
      </c>
      <c r="D278" s="92" t="inlineStr">
        <is>
          <t>보험계약마진(CSM)</t>
        </is>
      </c>
      <c r="E278" s="92" t="inlineStr">
        <is>
          <t>부채</t>
        </is>
      </c>
      <c r="F278" s="92" t="n">
        <v>3</v>
      </c>
      <c r="G278" s="93" t="n">
        <v>398317355000</v>
      </c>
      <c r="I278" s="9">
        <f>IF($A278="","",VALUE($A278&amp;"")*12+VALUE($B278&amp;""))</f>
        <v/>
      </c>
      <c r="J278" s="9">
        <f>IF($A278="","",IFERROR(INDEX(입력옵션!$C$22:$C$53,MATCH($C278&amp;"",입력옵션!$E$22:$E$53,0)),IFERROR(INDEX(입력옵션!$C$22:$C$53,MATCH($D278&amp;"",입력옵션!$F$22:$F$53,0)),$C278&amp;"")))</f>
        <v/>
      </c>
      <c r="K278" s="97">
        <f>IF($A278="",0,$G278*설정!$C$23)</f>
        <v/>
      </c>
    </row>
    <row r="279">
      <c r="A279" s="92" t="n">
        <v>2026</v>
      </c>
      <c r="B279" s="92" t="n">
        <v>2</v>
      </c>
      <c r="C279" s="92" t="inlineStr">
        <is>
          <t>L200</t>
        </is>
      </c>
      <c r="D279" s="92" t="inlineStr">
        <is>
          <t>재보험계약부채</t>
        </is>
      </c>
      <c r="E279" s="92" t="inlineStr">
        <is>
          <t>부채</t>
        </is>
      </c>
      <c r="F279" s="92" t="n">
        <v>2</v>
      </c>
      <c r="G279" s="93" t="n">
        <v>6547900000</v>
      </c>
      <c r="I279" s="9">
        <f>IF($A279="","",VALUE($A279&amp;"")*12+VALUE($B279&amp;""))</f>
        <v/>
      </c>
      <c r="J279" s="9">
        <f>IF($A279="","",IFERROR(INDEX(입력옵션!$C$22:$C$53,MATCH($C279&amp;"",입력옵션!$E$22:$E$53,0)),IFERROR(INDEX(입력옵션!$C$22:$C$53,MATCH($D279&amp;"",입력옵션!$F$22:$F$53,0)),$C279&amp;"")))</f>
        <v/>
      </c>
      <c r="K279" s="97">
        <f>IF($A279="",0,$G279*설정!$C$23)</f>
        <v/>
      </c>
    </row>
    <row r="280">
      <c r="A280" s="92" t="n">
        <v>2026</v>
      </c>
      <c r="B280" s="92" t="n">
        <v>2</v>
      </c>
      <c r="C280" s="92" t="inlineStr">
        <is>
          <t>L900</t>
        </is>
      </c>
      <c r="D280" s="92" t="inlineStr">
        <is>
          <t>기타부채</t>
        </is>
      </c>
      <c r="E280" s="92" t="inlineStr">
        <is>
          <t>부채</t>
        </is>
      </c>
      <c r="F280" s="92" t="n">
        <v>2</v>
      </c>
      <c r="G280" s="93" t="n">
        <v>94316600000</v>
      </c>
      <c r="I280" s="9">
        <f>IF($A280="","",VALUE($A280&amp;"")*12+VALUE($B280&amp;""))</f>
        <v/>
      </c>
      <c r="J280" s="9">
        <f>IF($A280="","",IFERROR(INDEX(입력옵션!$C$22:$C$53,MATCH($C280&amp;"",입력옵션!$E$22:$E$53,0)),IFERROR(INDEX(입력옵션!$C$22:$C$53,MATCH($D280&amp;"",입력옵션!$F$22:$F$53,0)),$C280&amp;"")))</f>
        <v/>
      </c>
      <c r="K280" s="97">
        <f>IF($A280="",0,$G280*설정!$C$23)</f>
        <v/>
      </c>
    </row>
    <row r="281">
      <c r="A281" s="92" t="n">
        <v>2026</v>
      </c>
      <c r="B281" s="92" t="n">
        <v>2</v>
      </c>
      <c r="C281" s="92" t="inlineStr">
        <is>
          <t>E000</t>
        </is>
      </c>
      <c r="D281" s="92" t="inlineStr">
        <is>
          <t>자본총계</t>
        </is>
      </c>
      <c r="E281" s="92" t="inlineStr">
        <is>
          <t>자본</t>
        </is>
      </c>
      <c r="F281" s="92" t="n">
        <v>1</v>
      </c>
      <c r="G281" s="93" t="n">
        <v>338809945000</v>
      </c>
      <c r="I281" s="9">
        <f>IF($A281="","",VALUE($A281&amp;"")*12+VALUE($B281&amp;""))</f>
        <v/>
      </c>
      <c r="J281" s="9">
        <f>IF($A281="","",IFERROR(INDEX(입력옵션!$C$22:$C$53,MATCH($C281&amp;"",입력옵션!$E$22:$E$53,0)),IFERROR(INDEX(입력옵션!$C$22:$C$53,MATCH($D281&amp;"",입력옵션!$F$22:$F$53,0)),$C281&amp;"")))</f>
        <v/>
      </c>
      <c r="K281" s="97">
        <f>IF($A281="",0,$G281*설정!$C$23)</f>
        <v/>
      </c>
    </row>
    <row r="282">
      <c r="A282" s="92" t="n">
        <v>2026</v>
      </c>
      <c r="B282" s="92" t="n">
        <v>2</v>
      </c>
      <c r="C282" s="92" t="inlineStr">
        <is>
          <t>E100</t>
        </is>
      </c>
      <c r="D282" s="92" t="inlineStr">
        <is>
          <t>자본금</t>
        </is>
      </c>
      <c r="E282" s="92" t="inlineStr">
        <is>
          <t>자본</t>
        </is>
      </c>
      <c r="F282" s="92" t="n">
        <v>2</v>
      </c>
      <c r="G282" s="93" t="n">
        <v>100000000000</v>
      </c>
      <c r="I282" s="9">
        <f>IF($A282="","",VALUE($A282&amp;"")*12+VALUE($B282&amp;""))</f>
        <v/>
      </c>
      <c r="J282" s="9">
        <f>IF($A282="","",IFERROR(INDEX(입력옵션!$C$22:$C$53,MATCH($C282&amp;"",입력옵션!$E$22:$E$53,0)),IFERROR(INDEX(입력옵션!$C$22:$C$53,MATCH($D282&amp;"",입력옵션!$F$22:$F$53,0)),$C282&amp;"")))</f>
        <v/>
      </c>
      <c r="K282" s="97">
        <f>IF($A282="",0,$G282*설정!$C$23)</f>
        <v/>
      </c>
    </row>
    <row r="283">
      <c r="A283" s="92" t="n">
        <v>2026</v>
      </c>
      <c r="B283" s="92" t="n">
        <v>2</v>
      </c>
      <c r="C283" s="92" t="inlineStr">
        <is>
          <t>E200</t>
        </is>
      </c>
      <c r="D283" s="92" t="inlineStr">
        <is>
          <t>이익잉여금</t>
        </is>
      </c>
      <c r="E283" s="92" t="inlineStr">
        <is>
          <t>자본</t>
        </is>
      </c>
      <c r="F283" s="92" t="n">
        <v>2</v>
      </c>
      <c r="G283" s="93" t="n">
        <v>276070045000</v>
      </c>
      <c r="I283" s="9">
        <f>IF($A283="","",VALUE($A283&amp;"")*12+VALUE($B283&amp;""))</f>
        <v/>
      </c>
      <c r="J283" s="9">
        <f>IF($A283="","",IFERROR(INDEX(입력옵션!$C$22:$C$53,MATCH($C283&amp;"",입력옵션!$E$22:$E$53,0)),IFERROR(INDEX(입력옵션!$C$22:$C$53,MATCH($D283&amp;"",입력옵션!$F$22:$F$53,0)),$C283&amp;"")))</f>
        <v/>
      </c>
      <c r="K283" s="97">
        <f>IF($A283="",0,$G283*설정!$C$23)</f>
        <v/>
      </c>
    </row>
    <row r="284">
      <c r="A284" s="92" t="n">
        <v>2026</v>
      </c>
      <c r="B284" s="92" t="n">
        <v>2</v>
      </c>
      <c r="C284" s="92" t="inlineStr">
        <is>
          <t>E300</t>
        </is>
      </c>
      <c r="D284" s="92" t="inlineStr">
        <is>
          <t>기타포괄손익누계액</t>
        </is>
      </c>
      <c r="E284" s="92" t="inlineStr">
        <is>
          <t>자본</t>
        </is>
      </c>
      <c r="F284" s="92" t="n">
        <v>2</v>
      </c>
      <c r="G284" s="93" t="n">
        <v>-37260100000</v>
      </c>
      <c r="I284" s="9">
        <f>IF($A284="","",VALUE($A284&amp;"")*12+VALUE($B284&amp;""))</f>
        <v/>
      </c>
      <c r="J284" s="9">
        <f>IF($A284="","",IFERROR(INDEX(입력옵션!$C$22:$C$53,MATCH($C284&amp;"",입력옵션!$E$22:$E$53,0)),IFERROR(INDEX(입력옵션!$C$22:$C$53,MATCH($D284&amp;"",입력옵션!$F$22:$F$53,0)),$C284&amp;"")))</f>
        <v/>
      </c>
      <c r="K284" s="97">
        <f>IF($A284="",0,$G284*설정!$C$23)</f>
        <v/>
      </c>
    </row>
    <row r="285">
      <c r="A285" s="92" t="n">
        <v>2026</v>
      </c>
      <c r="B285" s="92" t="n">
        <v>3</v>
      </c>
      <c r="C285" s="92" t="inlineStr">
        <is>
          <t>A000</t>
        </is>
      </c>
      <c r="D285" s="92" t="inlineStr">
        <is>
          <t>자산총계</t>
        </is>
      </c>
      <c r="E285" s="92" t="inlineStr">
        <is>
          <t>자산</t>
        </is>
      </c>
      <c r="F285" s="92" t="n">
        <v>1</v>
      </c>
      <c r="G285" s="93" t="n">
        <v>3112873500000</v>
      </c>
      <c r="I285" s="9">
        <f>IF($A285="","",VALUE($A285&amp;"")*12+VALUE($B285&amp;""))</f>
        <v/>
      </c>
      <c r="J285" s="9">
        <f>IF($A285="","",IFERROR(INDEX(입력옵션!$C$22:$C$53,MATCH($C285&amp;"",입력옵션!$E$22:$E$53,0)),IFERROR(INDEX(입력옵션!$C$22:$C$53,MATCH($D285&amp;"",입력옵션!$F$22:$F$53,0)),$C285&amp;"")))</f>
        <v/>
      </c>
      <c r="K285" s="97">
        <f>IF($A285="",0,$G285*설정!$C$23)</f>
        <v/>
      </c>
    </row>
    <row r="286">
      <c r="A286" s="92" t="n">
        <v>2026</v>
      </c>
      <c r="B286" s="92" t="n">
        <v>3</v>
      </c>
      <c r="C286" s="92" t="inlineStr">
        <is>
          <t>A100</t>
        </is>
      </c>
      <c r="D286" s="92" t="inlineStr">
        <is>
          <t>운용자산</t>
        </is>
      </c>
      <c r="E286" s="92" t="inlineStr">
        <is>
          <t>자산</t>
        </is>
      </c>
      <c r="F286" s="92" t="n">
        <v>2</v>
      </c>
      <c r="G286" s="93" t="n">
        <v>2900600500000</v>
      </c>
      <c r="I286" s="9">
        <f>IF($A286="","",VALUE($A286&amp;"")*12+VALUE($B286&amp;""))</f>
        <v/>
      </c>
      <c r="J286" s="9">
        <f>IF($A286="","",IFERROR(INDEX(입력옵션!$C$22:$C$53,MATCH($C286&amp;"",입력옵션!$E$22:$E$53,0)),IFERROR(INDEX(입력옵션!$C$22:$C$53,MATCH($D286&amp;"",입력옵션!$F$22:$F$53,0)),$C286&amp;"")))</f>
        <v/>
      </c>
      <c r="K286" s="97">
        <f>IF($A286="",0,$G286*설정!$C$23)</f>
        <v/>
      </c>
    </row>
    <row r="287">
      <c r="A287" s="92" t="n">
        <v>2026</v>
      </c>
      <c r="B287" s="92" t="n">
        <v>3</v>
      </c>
      <c r="C287" s="92" t="inlineStr">
        <is>
          <t>A110</t>
        </is>
      </c>
      <c r="D287" s="92" t="inlineStr">
        <is>
          <t>현금및예치금</t>
        </is>
      </c>
      <c r="E287" s="92" t="inlineStr">
        <is>
          <t>자산</t>
        </is>
      </c>
      <c r="F287" s="92" t="n">
        <v>3</v>
      </c>
      <c r="G287" s="93" t="n">
        <v>87564000000</v>
      </c>
      <c r="I287" s="9">
        <f>IF($A287="","",VALUE($A287&amp;"")*12+VALUE($B287&amp;""))</f>
        <v/>
      </c>
      <c r="J287" s="9">
        <f>IF($A287="","",IFERROR(INDEX(입력옵션!$C$22:$C$53,MATCH($C287&amp;"",입력옵션!$E$22:$E$53,0)),IFERROR(INDEX(입력옵션!$C$22:$C$53,MATCH($D287&amp;"",입력옵션!$F$22:$F$53,0)),$C287&amp;"")))</f>
        <v/>
      </c>
      <c r="K287" s="97">
        <f>IF($A287="",0,$G287*설정!$C$23)</f>
        <v/>
      </c>
    </row>
    <row r="288">
      <c r="A288" s="92" t="n">
        <v>2026</v>
      </c>
      <c r="B288" s="92" t="n">
        <v>3</v>
      </c>
      <c r="C288" s="92" t="inlineStr">
        <is>
          <t>A120</t>
        </is>
      </c>
      <c r="D288" s="92" t="inlineStr">
        <is>
          <t>유가증권</t>
        </is>
      </c>
      <c r="E288" s="92" t="inlineStr">
        <is>
          <t>자산</t>
        </is>
      </c>
      <c r="F288" s="92" t="n">
        <v>3</v>
      </c>
      <c r="G288" s="93" t="n">
        <v>2211181200000</v>
      </c>
      <c r="I288" s="9">
        <f>IF($A288="","",VALUE($A288&amp;"")*12+VALUE($B288&amp;""))</f>
        <v/>
      </c>
      <c r="J288" s="9">
        <f>IF($A288="","",IFERROR(INDEX(입력옵션!$C$22:$C$53,MATCH($C288&amp;"",입력옵션!$E$22:$E$53,0)),IFERROR(INDEX(입력옵션!$C$22:$C$53,MATCH($D288&amp;"",입력옵션!$F$22:$F$53,0)),$C288&amp;"")))</f>
        <v/>
      </c>
      <c r="K288" s="97">
        <f>IF($A288="",0,$G288*설정!$C$23)</f>
        <v/>
      </c>
    </row>
    <row r="289">
      <c r="A289" s="92" t="n">
        <v>2026</v>
      </c>
      <c r="B289" s="92" t="n">
        <v>3</v>
      </c>
      <c r="C289" s="92" t="inlineStr">
        <is>
          <t>A130</t>
        </is>
      </c>
      <c r="D289" s="92" t="inlineStr">
        <is>
          <t>대출채권</t>
        </is>
      </c>
      <c r="E289" s="92" t="inlineStr">
        <is>
          <t>자산</t>
        </is>
      </c>
      <c r="F289" s="92" t="n">
        <v>3</v>
      </c>
      <c r="G289" s="93" t="n">
        <v>430955300000</v>
      </c>
      <c r="I289" s="9">
        <f>IF($A289="","",VALUE($A289&amp;"")*12+VALUE($B289&amp;""))</f>
        <v/>
      </c>
      <c r="J289" s="9">
        <f>IF($A289="","",IFERROR(INDEX(입력옵션!$C$22:$C$53,MATCH($C289&amp;"",입력옵션!$E$22:$E$53,0)),IFERROR(INDEX(입력옵션!$C$22:$C$53,MATCH($D289&amp;"",입력옵션!$F$22:$F$53,0)),$C289&amp;"")))</f>
        <v/>
      </c>
      <c r="K289" s="97">
        <f>IF($A289="",0,$G289*설정!$C$23)</f>
        <v/>
      </c>
    </row>
    <row r="290">
      <c r="A290" s="92" t="n">
        <v>2026</v>
      </c>
      <c r="B290" s="92" t="n">
        <v>3</v>
      </c>
      <c r="C290" s="92" t="inlineStr">
        <is>
          <t>A140</t>
        </is>
      </c>
      <c r="D290" s="92" t="inlineStr">
        <is>
          <t>투자부동산</t>
        </is>
      </c>
      <c r="E290" s="92" t="inlineStr">
        <is>
          <t>자산</t>
        </is>
      </c>
      <c r="F290" s="92" t="n">
        <v>3</v>
      </c>
      <c r="G290" s="93" t="n">
        <v>170900000000</v>
      </c>
      <c r="I290" s="9">
        <f>IF($A290="","",VALUE($A290&amp;"")*12+VALUE($B290&amp;""))</f>
        <v/>
      </c>
      <c r="J290" s="9">
        <f>IF($A290="","",IFERROR(INDEX(입력옵션!$C$22:$C$53,MATCH($C290&amp;"",입력옵션!$E$22:$E$53,0)),IFERROR(INDEX(입력옵션!$C$22:$C$53,MATCH($D290&amp;"",입력옵션!$F$22:$F$53,0)),$C290&amp;"")))</f>
        <v/>
      </c>
      <c r="K290" s="97">
        <f>IF($A290="",0,$G290*설정!$C$23)</f>
        <v/>
      </c>
    </row>
    <row r="291">
      <c r="A291" s="92" t="n">
        <v>2026</v>
      </c>
      <c r="B291" s="92" t="n">
        <v>3</v>
      </c>
      <c r="C291" s="92" t="inlineStr">
        <is>
          <t>A200</t>
        </is>
      </c>
      <c r="D291" s="92" t="inlineStr">
        <is>
          <t>보험계약자산</t>
        </is>
      </c>
      <c r="E291" s="92" t="inlineStr">
        <is>
          <t>자산</t>
        </is>
      </c>
      <c r="F291" s="92" t="n">
        <v>2</v>
      </c>
      <c r="G291" s="93" t="n">
        <v>11470300000</v>
      </c>
      <c r="I291" s="9">
        <f>IF($A291="","",VALUE($A291&amp;"")*12+VALUE($B291&amp;""))</f>
        <v/>
      </c>
      <c r="J291" s="9">
        <f>IF($A291="","",IFERROR(INDEX(입력옵션!$C$22:$C$53,MATCH($C291&amp;"",입력옵션!$E$22:$E$53,0)),IFERROR(INDEX(입력옵션!$C$22:$C$53,MATCH($D291&amp;"",입력옵션!$F$22:$F$53,0)),$C291&amp;"")))</f>
        <v/>
      </c>
      <c r="K291" s="97">
        <f>IF($A291="",0,$G291*설정!$C$23)</f>
        <v/>
      </c>
    </row>
    <row r="292">
      <c r="A292" s="92" t="n">
        <v>2026</v>
      </c>
      <c r="B292" s="92" t="n">
        <v>3</v>
      </c>
      <c r="C292" s="92" t="inlineStr">
        <is>
          <t>A300</t>
        </is>
      </c>
      <c r="D292" s="92" t="inlineStr">
        <is>
          <t>재보험계약자산</t>
        </is>
      </c>
      <c r="E292" s="92" t="inlineStr">
        <is>
          <t>자산</t>
        </is>
      </c>
      <c r="F292" s="92" t="n">
        <v>2</v>
      </c>
      <c r="G292" s="93" t="n">
        <v>41267500000</v>
      </c>
      <c r="I292" s="9">
        <f>IF($A292="","",VALUE($A292&amp;"")*12+VALUE($B292&amp;""))</f>
        <v/>
      </c>
      <c r="J292" s="9">
        <f>IF($A292="","",IFERROR(INDEX(입력옵션!$C$22:$C$53,MATCH($C292&amp;"",입력옵션!$E$22:$E$53,0)),IFERROR(INDEX(입력옵션!$C$22:$C$53,MATCH($D292&amp;"",입력옵션!$F$22:$F$53,0)),$C292&amp;"")))</f>
        <v/>
      </c>
      <c r="K292" s="97">
        <f>IF($A292="",0,$G292*설정!$C$23)</f>
        <v/>
      </c>
    </row>
    <row r="293">
      <c r="A293" s="92" t="n">
        <v>2026</v>
      </c>
      <c r="B293" s="92" t="n">
        <v>3</v>
      </c>
      <c r="C293" s="92" t="inlineStr">
        <is>
          <t>A900</t>
        </is>
      </c>
      <c r="D293" s="92" t="inlineStr">
        <is>
          <t>기타자산</t>
        </is>
      </c>
      <c r="E293" s="92" t="inlineStr">
        <is>
          <t>자산</t>
        </is>
      </c>
      <c r="F293" s="92" t="n">
        <v>2</v>
      </c>
      <c r="G293" s="93" t="n">
        <v>159535200000</v>
      </c>
      <c r="I293" s="9">
        <f>IF($A293="","",VALUE($A293&amp;"")*12+VALUE($B293&amp;""))</f>
        <v/>
      </c>
      <c r="J293" s="9">
        <f>IF($A293="","",IFERROR(INDEX(입력옵션!$C$22:$C$53,MATCH($C293&amp;"",입력옵션!$E$22:$E$53,0)),IFERROR(INDEX(입력옵션!$C$22:$C$53,MATCH($D293&amp;"",입력옵션!$F$22:$F$53,0)),$C293&amp;"")))</f>
        <v/>
      </c>
      <c r="K293" s="97">
        <f>IF($A293="",0,$G293*설정!$C$23)</f>
        <v/>
      </c>
    </row>
    <row r="294">
      <c r="A294" s="92" t="n">
        <v>2026</v>
      </c>
      <c r="B294" s="92" t="n">
        <v>3</v>
      </c>
      <c r="C294" s="92" t="inlineStr">
        <is>
          <t>L000</t>
        </is>
      </c>
      <c r="D294" s="92" t="inlineStr">
        <is>
          <t>부채총계</t>
        </is>
      </c>
      <c r="E294" s="92" t="inlineStr">
        <is>
          <t>부채</t>
        </is>
      </c>
      <c r="F294" s="92" t="n">
        <v>1</v>
      </c>
      <c r="G294" s="93" t="n">
        <v>2778333989000</v>
      </c>
      <c r="I294" s="9">
        <f>IF($A294="","",VALUE($A294&amp;"")*12+VALUE($B294&amp;""))</f>
        <v/>
      </c>
      <c r="J294" s="9">
        <f>IF($A294="","",IFERROR(INDEX(입력옵션!$C$22:$C$53,MATCH($C294&amp;"",입력옵션!$E$22:$E$53,0)),IFERROR(INDEX(입력옵션!$C$22:$C$53,MATCH($D294&amp;"",입력옵션!$F$22:$F$53,0)),$C294&amp;"")))</f>
        <v/>
      </c>
      <c r="K294" s="97">
        <f>IF($A294="",0,$G294*설정!$C$23)</f>
        <v/>
      </c>
    </row>
    <row r="295">
      <c r="A295" s="92" t="n">
        <v>2026</v>
      </c>
      <c r="B295" s="92" t="n">
        <v>3</v>
      </c>
      <c r="C295" s="92" t="inlineStr">
        <is>
          <t>L100</t>
        </is>
      </c>
      <c r="D295" s="92" t="inlineStr">
        <is>
          <t>보험계약부채</t>
        </is>
      </c>
      <c r="E295" s="92" t="inlineStr">
        <is>
          <t>부채</t>
        </is>
      </c>
      <c r="F295" s="92" t="n">
        <v>2</v>
      </c>
      <c r="G295" s="93" t="n">
        <v>2677759689000</v>
      </c>
      <c r="I295" s="9">
        <f>IF($A295="","",VALUE($A295&amp;"")*12+VALUE($B295&amp;""))</f>
        <v/>
      </c>
      <c r="J295" s="9">
        <f>IF($A295="","",IFERROR(INDEX(입력옵션!$C$22:$C$53,MATCH($C295&amp;"",입력옵션!$E$22:$E$53,0)),IFERROR(INDEX(입력옵션!$C$22:$C$53,MATCH($D295&amp;"",입력옵션!$F$22:$F$53,0)),$C295&amp;"")))</f>
        <v/>
      </c>
      <c r="K295" s="97">
        <f>IF($A295="",0,$G295*설정!$C$23)</f>
        <v/>
      </c>
    </row>
    <row r="296">
      <c r="A296" s="92" t="n">
        <v>2026</v>
      </c>
      <c r="B296" s="92" t="n">
        <v>3</v>
      </c>
      <c r="C296" s="92" t="inlineStr">
        <is>
          <t>L110</t>
        </is>
      </c>
      <c r="D296" s="92" t="inlineStr">
        <is>
          <t>최선추정부채(BEL)</t>
        </is>
      </c>
      <c r="E296" s="92" t="inlineStr">
        <is>
          <t>부채</t>
        </is>
      </c>
      <c r="F296" s="92" t="n">
        <v>3</v>
      </c>
      <c r="G296" s="93" t="n">
        <v>2156005700000</v>
      </c>
      <c r="I296" s="9">
        <f>IF($A296="","",VALUE($A296&amp;"")*12+VALUE($B296&amp;""))</f>
        <v/>
      </c>
      <c r="J296" s="9">
        <f>IF($A296="","",IFERROR(INDEX(입력옵션!$C$22:$C$53,MATCH($C296&amp;"",입력옵션!$E$22:$E$53,0)),IFERROR(INDEX(입력옵션!$C$22:$C$53,MATCH($D296&amp;"",입력옵션!$F$22:$F$53,0)),$C296&amp;"")))</f>
        <v/>
      </c>
      <c r="K296" s="97">
        <f>IF($A296="",0,$G296*설정!$C$23)</f>
        <v/>
      </c>
    </row>
    <row r="297">
      <c r="A297" s="92" t="n">
        <v>2026</v>
      </c>
      <c r="B297" s="92" t="n">
        <v>3</v>
      </c>
      <c r="C297" s="92" t="inlineStr">
        <is>
          <t>L120</t>
        </is>
      </c>
      <c r="D297" s="92" t="inlineStr">
        <is>
          <t>위험조정(RA)</t>
        </is>
      </c>
      <c r="E297" s="92" t="inlineStr">
        <is>
          <t>부채</t>
        </is>
      </c>
      <c r="F297" s="92" t="n">
        <v>3</v>
      </c>
      <c r="G297" s="93" t="n">
        <v>121520700000</v>
      </c>
      <c r="I297" s="9">
        <f>IF($A297="","",VALUE($A297&amp;"")*12+VALUE($B297&amp;""))</f>
        <v/>
      </c>
      <c r="J297" s="9">
        <f>IF($A297="","",IFERROR(INDEX(입력옵션!$C$22:$C$53,MATCH($C297&amp;"",입력옵션!$E$22:$E$53,0)),IFERROR(INDEX(입력옵션!$C$22:$C$53,MATCH($D297&amp;"",입력옵션!$F$22:$F$53,0)),$C297&amp;"")))</f>
        <v/>
      </c>
      <c r="K297" s="97">
        <f>IF($A297="",0,$G297*설정!$C$23)</f>
        <v/>
      </c>
    </row>
    <row r="298">
      <c r="A298" s="92" t="n">
        <v>2026</v>
      </c>
      <c r="B298" s="92" t="n">
        <v>3</v>
      </c>
      <c r="C298" s="92" t="inlineStr">
        <is>
          <t>L130</t>
        </is>
      </c>
      <c r="D298" s="92" t="inlineStr">
        <is>
          <t>보험계약마진(CSM)</t>
        </is>
      </c>
      <c r="E298" s="92" t="inlineStr">
        <is>
          <t>부채</t>
        </is>
      </c>
      <c r="F298" s="92" t="n">
        <v>3</v>
      </c>
      <c r="G298" s="93" t="n">
        <v>400233289000</v>
      </c>
      <c r="I298" s="9">
        <f>IF($A298="","",VALUE($A298&amp;"")*12+VALUE($B298&amp;""))</f>
        <v/>
      </c>
      <c r="J298" s="9">
        <f>IF($A298="","",IFERROR(INDEX(입력옵션!$C$22:$C$53,MATCH($C298&amp;"",입력옵션!$E$22:$E$53,0)),IFERROR(INDEX(입력옵션!$C$22:$C$53,MATCH($D298&amp;"",입력옵션!$F$22:$F$53,0)),$C298&amp;"")))</f>
        <v/>
      </c>
      <c r="K298" s="97">
        <f>IF($A298="",0,$G298*설정!$C$23)</f>
        <v/>
      </c>
    </row>
    <row r="299">
      <c r="A299" s="92" t="n">
        <v>2026</v>
      </c>
      <c r="B299" s="92" t="n">
        <v>3</v>
      </c>
      <c r="C299" s="92" t="inlineStr">
        <is>
          <t>L200</t>
        </is>
      </c>
      <c r="D299" s="92" t="inlineStr">
        <is>
          <t>재보험계약부채</t>
        </is>
      </c>
      <c r="E299" s="92" t="inlineStr">
        <is>
          <t>부채</t>
        </is>
      </c>
      <c r="F299" s="92" t="n">
        <v>2</v>
      </c>
      <c r="G299" s="93" t="n">
        <v>6627200000</v>
      </c>
      <c r="I299" s="9">
        <f>IF($A299="","",VALUE($A299&amp;"")*12+VALUE($B299&amp;""))</f>
        <v/>
      </c>
      <c r="J299" s="9">
        <f>IF($A299="","",IFERROR(INDEX(입력옵션!$C$22:$C$53,MATCH($C299&amp;"",입력옵션!$E$22:$E$53,0)),IFERROR(INDEX(입력옵션!$C$22:$C$53,MATCH($D299&amp;"",입력옵션!$F$22:$F$53,0)),$C299&amp;"")))</f>
        <v/>
      </c>
      <c r="K299" s="97">
        <f>IF($A299="",0,$G299*설정!$C$23)</f>
        <v/>
      </c>
    </row>
    <row r="300">
      <c r="A300" s="92" t="n">
        <v>2026</v>
      </c>
      <c r="B300" s="92" t="n">
        <v>3</v>
      </c>
      <c r="C300" s="92" t="inlineStr">
        <is>
          <t>L900</t>
        </is>
      </c>
      <c r="D300" s="92" t="inlineStr">
        <is>
          <t>기타부채</t>
        </is>
      </c>
      <c r="E300" s="92" t="inlineStr">
        <is>
          <t>부채</t>
        </is>
      </c>
      <c r="F300" s="92" t="n">
        <v>2</v>
      </c>
      <c r="G300" s="93" t="n">
        <v>93947100000</v>
      </c>
      <c r="I300" s="9">
        <f>IF($A300="","",VALUE($A300&amp;"")*12+VALUE($B300&amp;""))</f>
        <v/>
      </c>
      <c r="J300" s="9">
        <f>IF($A300="","",IFERROR(INDEX(입력옵션!$C$22:$C$53,MATCH($C300&amp;"",입력옵션!$E$22:$E$53,0)),IFERROR(INDEX(입력옵션!$C$22:$C$53,MATCH($D300&amp;"",입력옵션!$F$22:$F$53,0)),$C300&amp;"")))</f>
        <v/>
      </c>
      <c r="K300" s="97">
        <f>IF($A300="",0,$G300*설정!$C$23)</f>
        <v/>
      </c>
    </row>
    <row r="301">
      <c r="A301" s="92" t="n">
        <v>2026</v>
      </c>
      <c r="B301" s="92" t="n">
        <v>3</v>
      </c>
      <c r="C301" s="92" t="inlineStr">
        <is>
          <t>E000</t>
        </is>
      </c>
      <c r="D301" s="92" t="inlineStr">
        <is>
          <t>자본총계</t>
        </is>
      </c>
      <c r="E301" s="92" t="inlineStr">
        <is>
          <t>자본</t>
        </is>
      </c>
      <c r="F301" s="92" t="n">
        <v>1</v>
      </c>
      <c r="G301" s="93" t="n">
        <v>334539511000</v>
      </c>
      <c r="I301" s="9">
        <f>IF($A301="","",VALUE($A301&amp;"")*12+VALUE($B301&amp;""))</f>
        <v/>
      </c>
      <c r="J301" s="9">
        <f>IF($A301="","",IFERROR(INDEX(입력옵션!$C$22:$C$53,MATCH($C301&amp;"",입력옵션!$E$22:$E$53,0)),IFERROR(INDEX(입력옵션!$C$22:$C$53,MATCH($D301&amp;"",입력옵션!$F$22:$F$53,0)),$C301&amp;"")))</f>
        <v/>
      </c>
      <c r="K301" s="97">
        <f>IF($A301="",0,$G301*설정!$C$23)</f>
        <v/>
      </c>
    </row>
    <row r="302">
      <c r="A302" s="92" t="n">
        <v>2026</v>
      </c>
      <c r="B302" s="92" t="n">
        <v>3</v>
      </c>
      <c r="C302" s="92" t="inlineStr">
        <is>
          <t>E100</t>
        </is>
      </c>
      <c r="D302" s="92" t="inlineStr">
        <is>
          <t>자본금</t>
        </is>
      </c>
      <c r="E302" s="92" t="inlineStr">
        <is>
          <t>자본</t>
        </is>
      </c>
      <c r="F302" s="92" t="n">
        <v>2</v>
      </c>
      <c r="G302" s="93" t="n">
        <v>100000000000</v>
      </c>
      <c r="I302" s="9">
        <f>IF($A302="","",VALUE($A302&amp;"")*12+VALUE($B302&amp;""))</f>
        <v/>
      </c>
      <c r="J302" s="9">
        <f>IF($A302="","",IFERROR(INDEX(입력옵션!$C$22:$C$53,MATCH($C302&amp;"",입력옵션!$E$22:$E$53,0)),IFERROR(INDEX(입력옵션!$C$22:$C$53,MATCH($D302&amp;"",입력옵션!$F$22:$F$53,0)),$C302&amp;"")))</f>
        <v/>
      </c>
      <c r="K302" s="97">
        <f>IF($A302="",0,$G302*설정!$C$23)</f>
        <v/>
      </c>
    </row>
    <row r="303">
      <c r="A303" s="92" t="n">
        <v>2026</v>
      </c>
      <c r="B303" s="92" t="n">
        <v>3</v>
      </c>
      <c r="C303" s="92" t="inlineStr">
        <is>
          <t>E200</t>
        </is>
      </c>
      <c r="D303" s="92" t="inlineStr">
        <is>
          <t>이익잉여금</t>
        </is>
      </c>
      <c r="E303" s="92" t="inlineStr">
        <is>
          <t>자본</t>
        </is>
      </c>
      <c r="F303" s="92" t="n">
        <v>2</v>
      </c>
      <c r="G303" s="93" t="n">
        <v>272832011000</v>
      </c>
      <c r="I303" s="9">
        <f>IF($A303="","",VALUE($A303&amp;"")*12+VALUE($B303&amp;""))</f>
        <v/>
      </c>
      <c r="J303" s="9">
        <f>IF($A303="","",IFERROR(INDEX(입력옵션!$C$22:$C$53,MATCH($C303&amp;"",입력옵션!$E$22:$E$53,0)),IFERROR(INDEX(입력옵션!$C$22:$C$53,MATCH($D303&amp;"",입력옵션!$F$22:$F$53,0)),$C303&amp;"")))</f>
        <v/>
      </c>
      <c r="K303" s="97">
        <f>IF($A303="",0,$G303*설정!$C$23)</f>
        <v/>
      </c>
    </row>
    <row r="304">
      <c r="A304" s="92" t="n">
        <v>2026</v>
      </c>
      <c r="B304" s="92" t="n">
        <v>3</v>
      </c>
      <c r="C304" s="92" t="inlineStr">
        <is>
          <t>E300</t>
        </is>
      </c>
      <c r="D304" s="92" t="inlineStr">
        <is>
          <t>기타포괄손익누계액</t>
        </is>
      </c>
      <c r="E304" s="92" t="inlineStr">
        <is>
          <t>자본</t>
        </is>
      </c>
      <c r="F304" s="92" t="n">
        <v>2</v>
      </c>
      <c r="G304" s="93" t="n">
        <v>-38292500000</v>
      </c>
      <c r="I304" s="9">
        <f>IF($A304="","",VALUE($A304&amp;"")*12+VALUE($B304&amp;""))</f>
        <v/>
      </c>
      <c r="J304" s="9">
        <f>IF($A304="","",IFERROR(INDEX(입력옵션!$C$22:$C$53,MATCH($C304&amp;"",입력옵션!$E$22:$E$53,0)),IFERROR(INDEX(입력옵션!$C$22:$C$53,MATCH($D304&amp;"",입력옵션!$F$22:$F$53,0)),$C304&amp;"")))</f>
        <v/>
      </c>
      <c r="K304" s="97">
        <f>IF($A304="",0,$G304*설정!$C$23)</f>
        <v/>
      </c>
    </row>
    <row r="305">
      <c r="A305" s="92" t="n">
        <v>2026</v>
      </c>
      <c r="B305" s="92" t="n">
        <v>4</v>
      </c>
      <c r="C305" s="92" t="inlineStr">
        <is>
          <t>A000</t>
        </is>
      </c>
      <c r="D305" s="92" t="inlineStr">
        <is>
          <t>자산총계</t>
        </is>
      </c>
      <c r="E305" s="92" t="inlineStr">
        <is>
          <t>자산</t>
        </is>
      </c>
      <c r="F305" s="92" t="n">
        <v>1</v>
      </c>
      <c r="G305" s="93" t="n">
        <v>3136227000000</v>
      </c>
      <c r="I305" s="9">
        <f>IF($A305="","",VALUE($A305&amp;"")*12+VALUE($B305&amp;""))</f>
        <v/>
      </c>
      <c r="J305" s="9">
        <f>IF($A305="","",IFERROR(INDEX(입력옵션!$C$22:$C$53,MATCH($C305&amp;"",입력옵션!$E$22:$E$53,0)),IFERROR(INDEX(입력옵션!$C$22:$C$53,MATCH($D305&amp;"",입력옵션!$F$22:$F$53,0)),$C305&amp;"")))</f>
        <v/>
      </c>
      <c r="K305" s="97">
        <f>IF($A305="",0,$G305*설정!$C$23)</f>
        <v/>
      </c>
    </row>
    <row r="306">
      <c r="A306" s="92" t="n">
        <v>2026</v>
      </c>
      <c r="B306" s="92" t="n">
        <v>4</v>
      </c>
      <c r="C306" s="92" t="inlineStr">
        <is>
          <t>A100</t>
        </is>
      </c>
      <c r="D306" s="92" t="inlineStr">
        <is>
          <t>운용자산</t>
        </is>
      </c>
      <c r="E306" s="92" t="inlineStr">
        <is>
          <t>자산</t>
        </is>
      </c>
      <c r="F306" s="92" t="n">
        <v>2</v>
      </c>
      <c r="G306" s="93" t="n">
        <v>2918704600000</v>
      </c>
      <c r="I306" s="9">
        <f>IF($A306="","",VALUE($A306&amp;"")*12+VALUE($B306&amp;""))</f>
        <v/>
      </c>
      <c r="J306" s="9">
        <f>IF($A306="","",IFERROR(INDEX(입력옵션!$C$22:$C$53,MATCH($C306&amp;"",입력옵션!$E$22:$E$53,0)),IFERROR(INDEX(입력옵션!$C$22:$C$53,MATCH($D306&amp;"",입력옵션!$F$22:$F$53,0)),$C306&amp;"")))</f>
        <v/>
      </c>
      <c r="K306" s="97">
        <f>IF($A306="",0,$G306*설정!$C$23)</f>
        <v/>
      </c>
    </row>
    <row r="307">
      <c r="A307" s="92" t="n">
        <v>2026</v>
      </c>
      <c r="B307" s="92" t="n">
        <v>4</v>
      </c>
      <c r="C307" s="92" t="inlineStr">
        <is>
          <t>A110</t>
        </is>
      </c>
      <c r="D307" s="92" t="inlineStr">
        <is>
          <t>현금및예치금</t>
        </is>
      </c>
      <c r="E307" s="92" t="inlineStr">
        <is>
          <t>자산</t>
        </is>
      </c>
      <c r="F307" s="92" t="n">
        <v>3</v>
      </c>
      <c r="G307" s="93" t="n">
        <v>87741100000</v>
      </c>
      <c r="I307" s="9">
        <f>IF($A307="","",VALUE($A307&amp;"")*12+VALUE($B307&amp;""))</f>
        <v/>
      </c>
      <c r="J307" s="9">
        <f>IF($A307="","",IFERROR(INDEX(입력옵션!$C$22:$C$53,MATCH($C307&amp;"",입력옵션!$E$22:$E$53,0)),IFERROR(INDEX(입력옵션!$C$22:$C$53,MATCH($D307&amp;"",입력옵션!$F$22:$F$53,0)),$C307&amp;"")))</f>
        <v/>
      </c>
      <c r="K307" s="97">
        <f>IF($A307="",0,$G307*설정!$C$23)</f>
        <v/>
      </c>
    </row>
    <row r="308">
      <c r="A308" s="92" t="n">
        <v>2026</v>
      </c>
      <c r="B308" s="92" t="n">
        <v>4</v>
      </c>
      <c r="C308" s="92" t="inlineStr">
        <is>
          <t>A120</t>
        </is>
      </c>
      <c r="D308" s="92" t="inlineStr">
        <is>
          <t>유가증권</t>
        </is>
      </c>
      <c r="E308" s="92" t="inlineStr">
        <is>
          <t>자산</t>
        </is>
      </c>
      <c r="F308" s="92" t="n">
        <v>3</v>
      </c>
      <c r="G308" s="93" t="n">
        <v>2228739500000</v>
      </c>
      <c r="I308" s="9">
        <f>IF($A308="","",VALUE($A308&amp;"")*12+VALUE($B308&amp;""))</f>
        <v/>
      </c>
      <c r="J308" s="9">
        <f>IF($A308="","",IFERROR(INDEX(입력옵션!$C$22:$C$53,MATCH($C308&amp;"",입력옵션!$E$22:$E$53,0)),IFERROR(INDEX(입력옵션!$C$22:$C$53,MATCH($D308&amp;"",입력옵션!$F$22:$F$53,0)),$C308&amp;"")))</f>
        <v/>
      </c>
      <c r="K308" s="97">
        <f>IF($A308="",0,$G308*설정!$C$23)</f>
        <v/>
      </c>
    </row>
    <row r="309">
      <c r="A309" s="92" t="n">
        <v>2026</v>
      </c>
      <c r="B309" s="92" t="n">
        <v>4</v>
      </c>
      <c r="C309" s="92" t="inlineStr">
        <is>
          <t>A130</t>
        </is>
      </c>
      <c r="D309" s="92" t="inlineStr">
        <is>
          <t>대출채권</t>
        </is>
      </c>
      <c r="E309" s="92" t="inlineStr">
        <is>
          <t>자산</t>
        </is>
      </c>
      <c r="F309" s="92" t="n">
        <v>3</v>
      </c>
      <c r="G309" s="93" t="n">
        <v>431974000000</v>
      </c>
      <c r="I309" s="9">
        <f>IF($A309="","",VALUE($A309&amp;"")*12+VALUE($B309&amp;""))</f>
        <v/>
      </c>
      <c r="J309" s="9">
        <f>IF($A309="","",IFERROR(INDEX(입력옵션!$C$22:$C$53,MATCH($C309&amp;"",입력옵션!$E$22:$E$53,0)),IFERROR(INDEX(입력옵션!$C$22:$C$53,MATCH($D309&amp;"",입력옵션!$F$22:$F$53,0)),$C309&amp;"")))</f>
        <v/>
      </c>
      <c r="K309" s="97">
        <f>IF($A309="",0,$G309*설정!$C$23)</f>
        <v/>
      </c>
    </row>
    <row r="310">
      <c r="A310" s="92" t="n">
        <v>2026</v>
      </c>
      <c r="B310" s="92" t="n">
        <v>4</v>
      </c>
      <c r="C310" s="92" t="inlineStr">
        <is>
          <t>A140</t>
        </is>
      </c>
      <c r="D310" s="92" t="inlineStr">
        <is>
          <t>투자부동산</t>
        </is>
      </c>
      <c r="E310" s="92" t="inlineStr">
        <is>
          <t>자산</t>
        </is>
      </c>
      <c r="F310" s="92" t="n">
        <v>3</v>
      </c>
      <c r="G310" s="93" t="n">
        <v>170250000000</v>
      </c>
      <c r="I310" s="9">
        <f>IF($A310="","",VALUE($A310&amp;"")*12+VALUE($B310&amp;""))</f>
        <v/>
      </c>
      <c r="J310" s="9">
        <f>IF($A310="","",IFERROR(INDEX(입력옵션!$C$22:$C$53,MATCH($C310&amp;"",입력옵션!$E$22:$E$53,0)),IFERROR(INDEX(입력옵션!$C$22:$C$53,MATCH($D310&amp;"",입력옵션!$F$22:$F$53,0)),$C310&amp;"")))</f>
        <v/>
      </c>
      <c r="K310" s="97">
        <f>IF($A310="",0,$G310*설정!$C$23)</f>
        <v/>
      </c>
    </row>
    <row r="311">
      <c r="A311" s="92" t="n">
        <v>2026</v>
      </c>
      <c r="B311" s="92" t="n">
        <v>4</v>
      </c>
      <c r="C311" s="92" t="inlineStr">
        <is>
          <t>A200</t>
        </is>
      </c>
      <c r="D311" s="92" t="inlineStr">
        <is>
          <t>보험계약자산</t>
        </is>
      </c>
      <c r="E311" s="92" t="inlineStr">
        <is>
          <t>자산</t>
        </is>
      </c>
      <c r="F311" s="92" t="n">
        <v>2</v>
      </c>
      <c r="G311" s="93" t="n">
        <v>12129900000</v>
      </c>
      <c r="I311" s="9">
        <f>IF($A311="","",VALUE($A311&amp;"")*12+VALUE($B311&amp;""))</f>
        <v/>
      </c>
      <c r="J311" s="9">
        <f>IF($A311="","",IFERROR(INDEX(입력옵션!$C$22:$C$53,MATCH($C311&amp;"",입력옵션!$E$22:$E$53,0)),IFERROR(INDEX(입력옵션!$C$22:$C$53,MATCH($D311&amp;"",입력옵션!$F$22:$F$53,0)),$C311&amp;"")))</f>
        <v/>
      </c>
      <c r="K311" s="97">
        <f>IF($A311="",0,$G311*설정!$C$23)</f>
        <v/>
      </c>
    </row>
    <row r="312">
      <c r="A312" s="92" t="n">
        <v>2026</v>
      </c>
      <c r="B312" s="92" t="n">
        <v>4</v>
      </c>
      <c r="C312" s="92" t="inlineStr">
        <is>
          <t>A300</t>
        </is>
      </c>
      <c r="D312" s="92" t="inlineStr">
        <is>
          <t>재보험계약자산</t>
        </is>
      </c>
      <c r="E312" s="92" t="inlineStr">
        <is>
          <t>자산</t>
        </is>
      </c>
      <c r="F312" s="92" t="n">
        <v>2</v>
      </c>
      <c r="G312" s="93" t="n">
        <v>42312200000</v>
      </c>
      <c r="I312" s="9">
        <f>IF($A312="","",VALUE($A312&amp;"")*12+VALUE($B312&amp;""))</f>
        <v/>
      </c>
      <c r="J312" s="9">
        <f>IF($A312="","",IFERROR(INDEX(입력옵션!$C$22:$C$53,MATCH($C312&amp;"",입력옵션!$E$22:$E$53,0)),IFERROR(INDEX(입력옵션!$C$22:$C$53,MATCH($D312&amp;"",입력옵션!$F$22:$F$53,0)),$C312&amp;"")))</f>
        <v/>
      </c>
      <c r="K312" s="97">
        <f>IF($A312="",0,$G312*설정!$C$23)</f>
        <v/>
      </c>
    </row>
    <row r="313">
      <c r="A313" s="92" t="n">
        <v>2026</v>
      </c>
      <c r="B313" s="92" t="n">
        <v>4</v>
      </c>
      <c r="C313" s="92" t="inlineStr">
        <is>
          <t>A900</t>
        </is>
      </c>
      <c r="D313" s="92" t="inlineStr">
        <is>
          <t>기타자산</t>
        </is>
      </c>
      <c r="E313" s="92" t="inlineStr">
        <is>
          <t>자산</t>
        </is>
      </c>
      <c r="F313" s="92" t="n">
        <v>2</v>
      </c>
      <c r="G313" s="93" t="n">
        <v>163080300000</v>
      </c>
      <c r="I313" s="9">
        <f>IF($A313="","",VALUE($A313&amp;"")*12+VALUE($B313&amp;""))</f>
        <v/>
      </c>
      <c r="J313" s="9">
        <f>IF($A313="","",IFERROR(INDEX(입력옵션!$C$22:$C$53,MATCH($C313&amp;"",입력옵션!$E$22:$E$53,0)),IFERROR(INDEX(입력옵션!$C$22:$C$53,MATCH($D313&amp;"",입력옵션!$F$22:$F$53,0)),$C313&amp;"")))</f>
        <v/>
      </c>
      <c r="K313" s="97">
        <f>IF($A313="",0,$G313*설정!$C$23)</f>
        <v/>
      </c>
    </row>
    <row r="314">
      <c r="A314" s="92" t="n">
        <v>2026</v>
      </c>
      <c r="B314" s="92" t="n">
        <v>4</v>
      </c>
      <c r="C314" s="92" t="inlineStr">
        <is>
          <t>L000</t>
        </is>
      </c>
      <c r="D314" s="92" t="inlineStr">
        <is>
          <t>부채총계</t>
        </is>
      </c>
      <c r="E314" s="92" t="inlineStr">
        <is>
          <t>부채</t>
        </is>
      </c>
      <c r="F314" s="92" t="n">
        <v>1</v>
      </c>
      <c r="G314" s="93" t="n">
        <v>2784872821000</v>
      </c>
      <c r="I314" s="9">
        <f>IF($A314="","",VALUE($A314&amp;"")*12+VALUE($B314&amp;""))</f>
        <v/>
      </c>
      <c r="J314" s="9">
        <f>IF($A314="","",IFERROR(INDEX(입력옵션!$C$22:$C$53,MATCH($C314&amp;"",입력옵션!$E$22:$E$53,0)),IFERROR(INDEX(입력옵션!$C$22:$C$53,MATCH($D314&amp;"",입력옵션!$F$22:$F$53,0)),$C314&amp;"")))</f>
        <v/>
      </c>
      <c r="K314" s="97">
        <f>IF($A314="",0,$G314*설정!$C$23)</f>
        <v/>
      </c>
    </row>
    <row r="315">
      <c r="A315" s="92" t="n">
        <v>2026</v>
      </c>
      <c r="B315" s="92" t="n">
        <v>4</v>
      </c>
      <c r="C315" s="92" t="inlineStr">
        <is>
          <t>L100</t>
        </is>
      </c>
      <c r="D315" s="92" t="inlineStr">
        <is>
          <t>보험계약부채</t>
        </is>
      </c>
      <c r="E315" s="92" t="inlineStr">
        <is>
          <t>부채</t>
        </is>
      </c>
      <c r="F315" s="92" t="n">
        <v>2</v>
      </c>
      <c r="G315" s="93" t="n">
        <v>2683460421000</v>
      </c>
      <c r="I315" s="9">
        <f>IF($A315="","",VALUE($A315&amp;"")*12+VALUE($B315&amp;""))</f>
        <v/>
      </c>
      <c r="J315" s="9">
        <f>IF($A315="","",IFERROR(INDEX(입력옵션!$C$22:$C$53,MATCH($C315&amp;"",입력옵션!$E$22:$E$53,0)),IFERROR(INDEX(입력옵션!$C$22:$C$53,MATCH($D315&amp;"",입력옵션!$F$22:$F$53,0)),$C315&amp;"")))</f>
        <v/>
      </c>
      <c r="K315" s="97">
        <f>IF($A315="",0,$G315*설정!$C$23)</f>
        <v/>
      </c>
    </row>
    <row r="316">
      <c r="A316" s="92" t="n">
        <v>2026</v>
      </c>
      <c r="B316" s="92" t="n">
        <v>4</v>
      </c>
      <c r="C316" s="92" t="inlineStr">
        <is>
          <t>L110</t>
        </is>
      </c>
      <c r="D316" s="92" t="inlineStr">
        <is>
          <t>최선추정부채(BEL)</t>
        </is>
      </c>
      <c r="E316" s="92" t="inlineStr">
        <is>
          <t>부채</t>
        </is>
      </c>
      <c r="F316" s="92" t="n">
        <v>3</v>
      </c>
      <c r="G316" s="93" t="n">
        <v>2160403200000</v>
      </c>
      <c r="I316" s="9">
        <f>IF($A316="","",VALUE($A316&amp;"")*12+VALUE($B316&amp;""))</f>
        <v/>
      </c>
      <c r="J316" s="9">
        <f>IF($A316="","",IFERROR(INDEX(입력옵션!$C$22:$C$53,MATCH($C316&amp;"",입력옵션!$E$22:$E$53,0)),IFERROR(INDEX(입력옵션!$C$22:$C$53,MATCH($D316&amp;"",입력옵션!$F$22:$F$53,0)),$C316&amp;"")))</f>
        <v/>
      </c>
      <c r="K316" s="97">
        <f>IF($A316="",0,$G316*설정!$C$23)</f>
        <v/>
      </c>
    </row>
    <row r="317">
      <c r="A317" s="92" t="n">
        <v>2026</v>
      </c>
      <c r="B317" s="92" t="n">
        <v>4</v>
      </c>
      <c r="C317" s="92" t="inlineStr">
        <is>
          <t>L120</t>
        </is>
      </c>
      <c r="D317" s="92" t="inlineStr">
        <is>
          <t>위험조정(RA)</t>
        </is>
      </c>
      <c r="E317" s="92" t="inlineStr">
        <is>
          <t>부채</t>
        </is>
      </c>
      <c r="F317" s="92" t="n">
        <v>3</v>
      </c>
      <c r="G317" s="93" t="n">
        <v>121370400000</v>
      </c>
      <c r="I317" s="9">
        <f>IF($A317="","",VALUE($A317&amp;"")*12+VALUE($B317&amp;""))</f>
        <v/>
      </c>
      <c r="J317" s="9">
        <f>IF($A317="","",IFERROR(INDEX(입력옵션!$C$22:$C$53,MATCH($C317&amp;"",입력옵션!$E$22:$E$53,0)),IFERROR(INDEX(입력옵션!$C$22:$C$53,MATCH($D317&amp;"",입력옵션!$F$22:$F$53,0)),$C317&amp;"")))</f>
        <v/>
      </c>
      <c r="K317" s="97">
        <f>IF($A317="",0,$G317*설정!$C$23)</f>
        <v/>
      </c>
    </row>
    <row r="318">
      <c r="A318" s="92" t="n">
        <v>2026</v>
      </c>
      <c r="B318" s="92" t="n">
        <v>4</v>
      </c>
      <c r="C318" s="92" t="inlineStr">
        <is>
          <t>L130</t>
        </is>
      </c>
      <c r="D318" s="92" t="inlineStr">
        <is>
          <t>보험계약마진(CSM)</t>
        </is>
      </c>
      <c r="E318" s="92" t="inlineStr">
        <is>
          <t>부채</t>
        </is>
      </c>
      <c r="F318" s="92" t="n">
        <v>3</v>
      </c>
      <c r="G318" s="93" t="n">
        <v>401686821000</v>
      </c>
      <c r="I318" s="9">
        <f>IF($A318="","",VALUE($A318&amp;"")*12+VALUE($B318&amp;""))</f>
        <v/>
      </c>
      <c r="J318" s="9">
        <f>IF($A318="","",IFERROR(INDEX(입력옵션!$C$22:$C$53,MATCH($C318&amp;"",입력옵션!$E$22:$E$53,0)),IFERROR(INDEX(입력옵션!$C$22:$C$53,MATCH($D318&amp;"",입력옵션!$F$22:$F$53,0)),$C318&amp;"")))</f>
        <v/>
      </c>
      <c r="K318" s="97">
        <f>IF($A318="",0,$G318*설정!$C$23)</f>
        <v/>
      </c>
    </row>
    <row r="319">
      <c r="A319" s="92" t="n">
        <v>2026</v>
      </c>
      <c r="B319" s="92" t="n">
        <v>4</v>
      </c>
      <c r="C319" s="92" t="inlineStr">
        <is>
          <t>L200</t>
        </is>
      </c>
      <c r="D319" s="92" t="inlineStr">
        <is>
          <t>재보험계약부채</t>
        </is>
      </c>
      <c r="E319" s="92" t="inlineStr">
        <is>
          <t>부채</t>
        </is>
      </c>
      <c r="F319" s="92" t="n">
        <v>2</v>
      </c>
      <c r="G319" s="93" t="n">
        <v>7031300000</v>
      </c>
      <c r="I319" s="9">
        <f>IF($A319="","",VALUE($A319&amp;"")*12+VALUE($B319&amp;""))</f>
        <v/>
      </c>
      <c r="J319" s="9">
        <f>IF($A319="","",IFERROR(INDEX(입력옵션!$C$22:$C$53,MATCH($C319&amp;"",입력옵션!$E$22:$E$53,0)),IFERROR(INDEX(입력옵션!$C$22:$C$53,MATCH($D319&amp;"",입력옵션!$F$22:$F$53,0)),$C319&amp;"")))</f>
        <v/>
      </c>
      <c r="K319" s="97">
        <f>IF($A319="",0,$G319*설정!$C$23)</f>
        <v/>
      </c>
    </row>
    <row r="320">
      <c r="A320" s="92" t="n">
        <v>2026</v>
      </c>
      <c r="B320" s="92" t="n">
        <v>4</v>
      </c>
      <c r="C320" s="92" t="inlineStr">
        <is>
          <t>L900</t>
        </is>
      </c>
      <c r="D320" s="92" t="inlineStr">
        <is>
          <t>기타부채</t>
        </is>
      </c>
      <c r="E320" s="92" t="inlineStr">
        <is>
          <t>부채</t>
        </is>
      </c>
      <c r="F320" s="92" t="n">
        <v>2</v>
      </c>
      <c r="G320" s="93" t="n">
        <v>94381100000</v>
      </c>
      <c r="I320" s="9">
        <f>IF($A320="","",VALUE($A320&amp;"")*12+VALUE($B320&amp;""))</f>
        <v/>
      </c>
      <c r="J320" s="9">
        <f>IF($A320="","",IFERROR(INDEX(입력옵션!$C$22:$C$53,MATCH($C320&amp;"",입력옵션!$E$22:$E$53,0)),IFERROR(INDEX(입력옵션!$C$22:$C$53,MATCH($D320&amp;"",입력옵션!$F$22:$F$53,0)),$C320&amp;"")))</f>
        <v/>
      </c>
      <c r="K320" s="97">
        <f>IF($A320="",0,$G320*설정!$C$23)</f>
        <v/>
      </c>
    </row>
    <row r="321">
      <c r="A321" s="92" t="n">
        <v>2026</v>
      </c>
      <c r="B321" s="92" t="n">
        <v>4</v>
      </c>
      <c r="C321" s="92" t="inlineStr">
        <is>
          <t>E000</t>
        </is>
      </c>
      <c r="D321" s="92" t="inlineStr">
        <is>
          <t>자본총계</t>
        </is>
      </c>
      <c r="E321" s="92" t="inlineStr">
        <is>
          <t>자본</t>
        </is>
      </c>
      <c r="F321" s="92" t="n">
        <v>1</v>
      </c>
      <c r="G321" s="93" t="n">
        <v>351354179000</v>
      </c>
      <c r="I321" s="9">
        <f>IF($A321="","",VALUE($A321&amp;"")*12+VALUE($B321&amp;""))</f>
        <v/>
      </c>
      <c r="J321" s="9">
        <f>IF($A321="","",IFERROR(INDEX(입력옵션!$C$22:$C$53,MATCH($C321&amp;"",입력옵션!$E$22:$E$53,0)),IFERROR(INDEX(입력옵션!$C$22:$C$53,MATCH($D321&amp;"",입력옵션!$F$22:$F$53,0)),$C321&amp;"")))</f>
        <v/>
      </c>
      <c r="K321" s="97">
        <f>IF($A321="",0,$G321*설정!$C$23)</f>
        <v/>
      </c>
    </row>
    <row r="322">
      <c r="A322" s="92" t="n">
        <v>2026</v>
      </c>
      <c r="B322" s="92" t="n">
        <v>4</v>
      </c>
      <c r="C322" s="92" t="inlineStr">
        <is>
          <t>E100</t>
        </is>
      </c>
      <c r="D322" s="92" t="inlineStr">
        <is>
          <t>자본금</t>
        </is>
      </c>
      <c r="E322" s="92" t="inlineStr">
        <is>
          <t>자본</t>
        </is>
      </c>
      <c r="F322" s="92" t="n">
        <v>2</v>
      </c>
      <c r="G322" s="93" t="n">
        <v>100000000000</v>
      </c>
      <c r="I322" s="9">
        <f>IF($A322="","",VALUE($A322&amp;"")*12+VALUE($B322&amp;""))</f>
        <v/>
      </c>
      <c r="J322" s="9">
        <f>IF($A322="","",IFERROR(INDEX(입력옵션!$C$22:$C$53,MATCH($C322&amp;"",입력옵션!$E$22:$E$53,0)),IFERROR(INDEX(입력옵션!$C$22:$C$53,MATCH($D322&amp;"",입력옵션!$F$22:$F$53,0)),$C322&amp;"")))</f>
        <v/>
      </c>
      <c r="K322" s="97">
        <f>IF($A322="",0,$G322*설정!$C$23)</f>
        <v/>
      </c>
    </row>
    <row r="323">
      <c r="A323" s="92" t="n">
        <v>2026</v>
      </c>
      <c r="B323" s="92" t="n">
        <v>4</v>
      </c>
      <c r="C323" s="92" t="inlineStr">
        <is>
          <t>E200</t>
        </is>
      </c>
      <c r="D323" s="92" t="inlineStr">
        <is>
          <t>이익잉여금</t>
        </is>
      </c>
      <c r="E323" s="92" t="inlineStr">
        <is>
          <t>자본</t>
        </is>
      </c>
      <c r="F323" s="92" t="n">
        <v>2</v>
      </c>
      <c r="G323" s="93" t="n">
        <v>292529679000</v>
      </c>
      <c r="I323" s="9">
        <f>IF($A323="","",VALUE($A323&amp;"")*12+VALUE($B323&amp;""))</f>
        <v/>
      </c>
      <c r="J323" s="9">
        <f>IF($A323="","",IFERROR(INDEX(입력옵션!$C$22:$C$53,MATCH($C323&amp;"",입력옵션!$E$22:$E$53,0)),IFERROR(INDEX(입력옵션!$C$22:$C$53,MATCH($D323&amp;"",입력옵션!$F$22:$F$53,0)),$C323&amp;"")))</f>
        <v/>
      </c>
      <c r="K323" s="97">
        <f>IF($A323="",0,$G323*설정!$C$23)</f>
        <v/>
      </c>
    </row>
    <row r="324">
      <c r="A324" s="92" t="n">
        <v>2026</v>
      </c>
      <c r="B324" s="92" t="n">
        <v>4</v>
      </c>
      <c r="C324" s="92" t="inlineStr">
        <is>
          <t>E300</t>
        </is>
      </c>
      <c r="D324" s="92" t="inlineStr">
        <is>
          <t>기타포괄손익누계액</t>
        </is>
      </c>
      <c r="E324" s="92" t="inlineStr">
        <is>
          <t>자본</t>
        </is>
      </c>
      <c r="F324" s="92" t="n">
        <v>2</v>
      </c>
      <c r="G324" s="93" t="n">
        <v>-41175500000</v>
      </c>
      <c r="I324" s="9">
        <f>IF($A324="","",VALUE($A324&amp;"")*12+VALUE($B324&amp;""))</f>
        <v/>
      </c>
      <c r="J324" s="9">
        <f>IF($A324="","",IFERROR(INDEX(입력옵션!$C$22:$C$53,MATCH($C324&amp;"",입력옵션!$E$22:$E$53,0)),IFERROR(INDEX(입력옵션!$C$22:$C$53,MATCH($D324&amp;"",입력옵션!$F$22:$F$53,0)),$C324&amp;"")))</f>
        <v/>
      </c>
      <c r="K324" s="97">
        <f>IF($A324="",0,$G324*설정!$C$23)</f>
        <v/>
      </c>
    </row>
    <row r="325">
      <c r="A325" s="92" t="n">
        <v>2026</v>
      </c>
      <c r="B325" s="92" t="n">
        <v>5</v>
      </c>
      <c r="C325" s="92" t="inlineStr">
        <is>
          <t>A000</t>
        </is>
      </c>
      <c r="D325" s="92" t="inlineStr">
        <is>
          <t>자산총계</t>
        </is>
      </c>
      <c r="E325" s="92" t="inlineStr">
        <is>
          <t>자산</t>
        </is>
      </c>
      <c r="F325" s="92" t="n">
        <v>1</v>
      </c>
      <c r="G325" s="93" t="n">
        <v>3138689600000</v>
      </c>
      <c r="I325" s="9">
        <f>IF($A325="","",VALUE($A325&amp;"")*12+VALUE($B325&amp;""))</f>
        <v/>
      </c>
      <c r="J325" s="9">
        <f>IF($A325="","",IFERROR(INDEX(입력옵션!$C$22:$C$53,MATCH($C325&amp;"",입력옵션!$E$22:$E$53,0)),IFERROR(INDEX(입력옵션!$C$22:$C$53,MATCH($D325&amp;"",입력옵션!$F$22:$F$53,0)),$C325&amp;"")))</f>
        <v/>
      </c>
      <c r="K325" s="97">
        <f>IF($A325="",0,$G325*설정!$C$23)</f>
        <v/>
      </c>
    </row>
    <row r="326">
      <c r="A326" s="92" t="n">
        <v>2026</v>
      </c>
      <c r="B326" s="92" t="n">
        <v>5</v>
      </c>
      <c r="C326" s="92" t="inlineStr">
        <is>
          <t>A100</t>
        </is>
      </c>
      <c r="D326" s="92" t="inlineStr">
        <is>
          <t>운용자산</t>
        </is>
      </c>
      <c r="E326" s="92" t="inlineStr">
        <is>
          <t>자산</t>
        </is>
      </c>
      <c r="F326" s="92" t="n">
        <v>2</v>
      </c>
      <c r="G326" s="93" t="n">
        <v>2928053900000</v>
      </c>
      <c r="I326" s="9">
        <f>IF($A326="","",VALUE($A326&amp;"")*12+VALUE($B326&amp;""))</f>
        <v/>
      </c>
      <c r="J326" s="9">
        <f>IF($A326="","",IFERROR(INDEX(입력옵션!$C$22:$C$53,MATCH($C326&amp;"",입력옵션!$E$22:$E$53,0)),IFERROR(INDEX(입력옵션!$C$22:$C$53,MATCH($D326&amp;"",입력옵션!$F$22:$F$53,0)),$C326&amp;"")))</f>
        <v/>
      </c>
      <c r="K326" s="97">
        <f>IF($A326="",0,$G326*설정!$C$23)</f>
        <v/>
      </c>
    </row>
    <row r="327">
      <c r="A327" s="92" t="n">
        <v>2026</v>
      </c>
      <c r="B327" s="92" t="n">
        <v>5</v>
      </c>
      <c r="C327" s="92" t="inlineStr">
        <is>
          <t>A110</t>
        </is>
      </c>
      <c r="D327" s="92" t="inlineStr">
        <is>
          <t>현금및예치금</t>
        </is>
      </c>
      <c r="E327" s="92" t="inlineStr">
        <is>
          <t>자산</t>
        </is>
      </c>
      <c r="F327" s="92" t="n">
        <v>3</v>
      </c>
      <c r="G327" s="93" t="n">
        <v>88819000000</v>
      </c>
      <c r="I327" s="9">
        <f>IF($A327="","",VALUE($A327&amp;"")*12+VALUE($B327&amp;""))</f>
        <v/>
      </c>
      <c r="J327" s="9">
        <f>IF($A327="","",IFERROR(INDEX(입력옵션!$C$22:$C$53,MATCH($C327&amp;"",입력옵션!$E$22:$E$53,0)),IFERROR(INDEX(입력옵션!$C$22:$C$53,MATCH($D327&amp;"",입력옵션!$F$22:$F$53,0)),$C327&amp;"")))</f>
        <v/>
      </c>
      <c r="K327" s="97">
        <f>IF($A327="",0,$G327*설정!$C$23)</f>
        <v/>
      </c>
    </row>
    <row r="328">
      <c r="A328" s="92" t="n">
        <v>2026</v>
      </c>
      <c r="B328" s="92" t="n">
        <v>5</v>
      </c>
      <c r="C328" s="92" t="inlineStr">
        <is>
          <t>A120</t>
        </is>
      </c>
      <c r="D328" s="92" t="inlineStr">
        <is>
          <t>유가증권</t>
        </is>
      </c>
      <c r="E328" s="92" t="inlineStr">
        <is>
          <t>자산</t>
        </is>
      </c>
      <c r="F328" s="92" t="n">
        <v>3</v>
      </c>
      <c r="G328" s="93" t="n">
        <v>2238163800000</v>
      </c>
      <c r="I328" s="9">
        <f>IF($A328="","",VALUE($A328&amp;"")*12+VALUE($B328&amp;""))</f>
        <v/>
      </c>
      <c r="J328" s="9">
        <f>IF($A328="","",IFERROR(INDEX(입력옵션!$C$22:$C$53,MATCH($C328&amp;"",입력옵션!$E$22:$E$53,0)),IFERROR(INDEX(입력옵션!$C$22:$C$53,MATCH($D328&amp;"",입력옵션!$F$22:$F$53,0)),$C328&amp;"")))</f>
        <v/>
      </c>
      <c r="K328" s="97">
        <f>IF($A328="",0,$G328*설정!$C$23)</f>
        <v/>
      </c>
    </row>
    <row r="329">
      <c r="A329" s="92" t="n">
        <v>2026</v>
      </c>
      <c r="B329" s="92" t="n">
        <v>5</v>
      </c>
      <c r="C329" s="92" t="inlineStr">
        <is>
          <t>A130</t>
        </is>
      </c>
      <c r="D329" s="92" t="inlineStr">
        <is>
          <t>대출채권</t>
        </is>
      </c>
      <c r="E329" s="92" t="inlineStr">
        <is>
          <t>자산</t>
        </is>
      </c>
      <c r="F329" s="92" t="n">
        <v>3</v>
      </c>
      <c r="G329" s="93" t="n">
        <v>431471100000</v>
      </c>
      <c r="I329" s="9">
        <f>IF($A329="","",VALUE($A329&amp;"")*12+VALUE($B329&amp;""))</f>
        <v/>
      </c>
      <c r="J329" s="9">
        <f>IF($A329="","",IFERROR(INDEX(입력옵션!$C$22:$C$53,MATCH($C329&amp;"",입력옵션!$E$22:$E$53,0)),IFERROR(INDEX(입력옵션!$C$22:$C$53,MATCH($D329&amp;"",입력옵션!$F$22:$F$53,0)),$C329&amp;"")))</f>
        <v/>
      </c>
      <c r="K329" s="97">
        <f>IF($A329="",0,$G329*설정!$C$23)</f>
        <v/>
      </c>
    </row>
    <row r="330">
      <c r="A330" s="92" t="n">
        <v>2026</v>
      </c>
      <c r="B330" s="92" t="n">
        <v>5</v>
      </c>
      <c r="C330" s="92" t="inlineStr">
        <is>
          <t>A140</t>
        </is>
      </c>
      <c r="D330" s="92" t="inlineStr">
        <is>
          <t>투자부동산</t>
        </is>
      </c>
      <c r="E330" s="92" t="inlineStr">
        <is>
          <t>자산</t>
        </is>
      </c>
      <c r="F330" s="92" t="n">
        <v>3</v>
      </c>
      <c r="G330" s="93" t="n">
        <v>169600000000</v>
      </c>
      <c r="I330" s="9">
        <f>IF($A330="","",VALUE($A330&amp;"")*12+VALUE($B330&amp;""))</f>
        <v/>
      </c>
      <c r="J330" s="9">
        <f>IF($A330="","",IFERROR(INDEX(입력옵션!$C$22:$C$53,MATCH($C330&amp;"",입력옵션!$E$22:$E$53,0)),IFERROR(INDEX(입력옵션!$C$22:$C$53,MATCH($D330&amp;"",입력옵션!$F$22:$F$53,0)),$C330&amp;"")))</f>
        <v/>
      </c>
      <c r="K330" s="97">
        <f>IF($A330="",0,$G330*설정!$C$23)</f>
        <v/>
      </c>
    </row>
    <row r="331">
      <c r="A331" s="92" t="n">
        <v>2026</v>
      </c>
      <c r="B331" s="92" t="n">
        <v>5</v>
      </c>
      <c r="C331" s="92" t="inlineStr">
        <is>
          <t>A200</t>
        </is>
      </c>
      <c r="D331" s="92" t="inlineStr">
        <is>
          <t>보험계약자산</t>
        </is>
      </c>
      <c r="E331" s="92" t="inlineStr">
        <is>
          <t>자산</t>
        </is>
      </c>
      <c r="F331" s="92" t="n">
        <v>2</v>
      </c>
      <c r="G331" s="93" t="n">
        <v>11602400000</v>
      </c>
      <c r="I331" s="9">
        <f>IF($A331="","",VALUE($A331&amp;"")*12+VALUE($B331&amp;""))</f>
        <v/>
      </c>
      <c r="J331" s="9">
        <f>IF($A331="","",IFERROR(INDEX(입력옵션!$C$22:$C$53,MATCH($C331&amp;"",입력옵션!$E$22:$E$53,0)),IFERROR(INDEX(입력옵션!$C$22:$C$53,MATCH($D331&amp;"",입력옵션!$F$22:$F$53,0)),$C331&amp;"")))</f>
        <v/>
      </c>
      <c r="K331" s="97">
        <f>IF($A331="",0,$G331*설정!$C$23)</f>
        <v/>
      </c>
    </row>
    <row r="332">
      <c r="A332" s="92" t="n">
        <v>2026</v>
      </c>
      <c r="B332" s="92" t="n">
        <v>5</v>
      </c>
      <c r="C332" s="92" t="inlineStr">
        <is>
          <t>A300</t>
        </is>
      </c>
      <c r="D332" s="92" t="inlineStr">
        <is>
          <t>재보험계약자산</t>
        </is>
      </c>
      <c r="E332" s="92" t="inlineStr">
        <is>
          <t>자산</t>
        </is>
      </c>
      <c r="F332" s="92" t="n">
        <v>2</v>
      </c>
      <c r="G332" s="93" t="n">
        <v>41826500000</v>
      </c>
      <c r="I332" s="9">
        <f>IF($A332="","",VALUE($A332&amp;"")*12+VALUE($B332&amp;""))</f>
        <v/>
      </c>
      <c r="J332" s="9">
        <f>IF($A332="","",IFERROR(INDEX(입력옵션!$C$22:$C$53,MATCH($C332&amp;"",입력옵션!$E$22:$E$53,0)),IFERROR(INDEX(입력옵션!$C$22:$C$53,MATCH($D332&amp;"",입력옵션!$F$22:$F$53,0)),$C332&amp;"")))</f>
        <v/>
      </c>
      <c r="K332" s="97">
        <f>IF($A332="",0,$G332*설정!$C$23)</f>
        <v/>
      </c>
    </row>
    <row r="333">
      <c r="A333" s="92" t="n">
        <v>2026</v>
      </c>
      <c r="B333" s="92" t="n">
        <v>5</v>
      </c>
      <c r="C333" s="92" t="inlineStr">
        <is>
          <t>A900</t>
        </is>
      </c>
      <c r="D333" s="92" t="inlineStr">
        <is>
          <t>기타자산</t>
        </is>
      </c>
      <c r="E333" s="92" t="inlineStr">
        <is>
          <t>자산</t>
        </is>
      </c>
      <c r="F333" s="92" t="n">
        <v>2</v>
      </c>
      <c r="G333" s="93" t="n">
        <v>157206800000</v>
      </c>
      <c r="I333" s="9">
        <f>IF($A333="","",VALUE($A333&amp;"")*12+VALUE($B333&amp;""))</f>
        <v/>
      </c>
      <c r="J333" s="9">
        <f>IF($A333="","",IFERROR(INDEX(입력옵션!$C$22:$C$53,MATCH($C333&amp;"",입력옵션!$E$22:$E$53,0)),IFERROR(INDEX(입력옵션!$C$22:$C$53,MATCH($D333&amp;"",입력옵션!$F$22:$F$53,0)),$C333&amp;"")))</f>
        <v/>
      </c>
      <c r="K333" s="97">
        <f>IF($A333="",0,$G333*설정!$C$23)</f>
        <v/>
      </c>
    </row>
    <row r="334">
      <c r="A334" s="92" t="n">
        <v>2026</v>
      </c>
      <c r="B334" s="92" t="n">
        <v>5</v>
      </c>
      <c r="C334" s="92" t="inlineStr">
        <is>
          <t>L000</t>
        </is>
      </c>
      <c r="D334" s="92" t="inlineStr">
        <is>
          <t>부채총계</t>
        </is>
      </c>
      <c r="E334" s="92" t="inlineStr">
        <is>
          <t>부채</t>
        </is>
      </c>
      <c r="F334" s="92" t="n">
        <v>1</v>
      </c>
      <c r="G334" s="93" t="n">
        <v>2790222958000</v>
      </c>
      <c r="I334" s="9">
        <f>IF($A334="","",VALUE($A334&amp;"")*12+VALUE($B334&amp;""))</f>
        <v/>
      </c>
      <c r="J334" s="9">
        <f>IF($A334="","",IFERROR(INDEX(입력옵션!$C$22:$C$53,MATCH($C334&amp;"",입력옵션!$E$22:$E$53,0)),IFERROR(INDEX(입력옵션!$C$22:$C$53,MATCH($D334&amp;"",입력옵션!$F$22:$F$53,0)),$C334&amp;"")))</f>
        <v/>
      </c>
      <c r="K334" s="97">
        <f>IF($A334="",0,$G334*설정!$C$23)</f>
        <v/>
      </c>
    </row>
    <row r="335">
      <c r="A335" s="92" t="n">
        <v>2026</v>
      </c>
      <c r="B335" s="92" t="n">
        <v>5</v>
      </c>
      <c r="C335" s="92" t="inlineStr">
        <is>
          <t>L100</t>
        </is>
      </c>
      <c r="D335" s="92" t="inlineStr">
        <is>
          <t>보험계약부채</t>
        </is>
      </c>
      <c r="E335" s="92" t="inlineStr">
        <is>
          <t>부채</t>
        </is>
      </c>
      <c r="F335" s="92" t="n">
        <v>2</v>
      </c>
      <c r="G335" s="93" t="n">
        <v>2691145158000</v>
      </c>
      <c r="I335" s="9">
        <f>IF($A335="","",VALUE($A335&amp;"")*12+VALUE($B335&amp;""))</f>
        <v/>
      </c>
      <c r="J335" s="9">
        <f>IF($A335="","",IFERROR(INDEX(입력옵션!$C$22:$C$53,MATCH($C335&amp;"",입력옵션!$E$22:$E$53,0)),IFERROR(INDEX(입력옵션!$C$22:$C$53,MATCH($D335&amp;"",입력옵션!$F$22:$F$53,0)),$C335&amp;"")))</f>
        <v/>
      </c>
      <c r="K335" s="97">
        <f>IF($A335="",0,$G335*설정!$C$23)</f>
        <v/>
      </c>
    </row>
    <row r="336">
      <c r="A336" s="92" t="n">
        <v>2026</v>
      </c>
      <c r="B336" s="92" t="n">
        <v>5</v>
      </c>
      <c r="C336" s="92" t="inlineStr">
        <is>
          <t>L110</t>
        </is>
      </c>
      <c r="D336" s="92" t="inlineStr">
        <is>
          <t>최선추정부채(BEL)</t>
        </is>
      </c>
      <c r="E336" s="92" t="inlineStr">
        <is>
          <t>부채</t>
        </is>
      </c>
      <c r="F336" s="92" t="n">
        <v>3</v>
      </c>
      <c r="G336" s="93" t="n">
        <v>2166325300000</v>
      </c>
      <c r="I336" s="9">
        <f>IF($A336="","",VALUE($A336&amp;"")*12+VALUE($B336&amp;""))</f>
        <v/>
      </c>
      <c r="J336" s="9">
        <f>IF($A336="","",IFERROR(INDEX(입력옵션!$C$22:$C$53,MATCH($C336&amp;"",입력옵션!$E$22:$E$53,0)),IFERROR(INDEX(입력옵션!$C$22:$C$53,MATCH($D336&amp;"",입력옵션!$F$22:$F$53,0)),$C336&amp;"")))</f>
        <v/>
      </c>
      <c r="K336" s="97">
        <f>IF($A336="",0,$G336*설정!$C$23)</f>
        <v/>
      </c>
    </row>
    <row r="337">
      <c r="A337" s="92" t="n">
        <v>2026</v>
      </c>
      <c r="B337" s="92" t="n">
        <v>5</v>
      </c>
      <c r="C337" s="92" t="inlineStr">
        <is>
          <t>L120</t>
        </is>
      </c>
      <c r="D337" s="92" t="inlineStr">
        <is>
          <t>위험조정(RA)</t>
        </is>
      </c>
      <c r="E337" s="92" t="inlineStr">
        <is>
          <t>부채</t>
        </is>
      </c>
      <c r="F337" s="92" t="n">
        <v>3</v>
      </c>
      <c r="G337" s="93" t="n">
        <v>121811300000</v>
      </c>
      <c r="I337" s="9">
        <f>IF($A337="","",VALUE($A337&amp;"")*12+VALUE($B337&amp;""))</f>
        <v/>
      </c>
      <c r="J337" s="9">
        <f>IF($A337="","",IFERROR(INDEX(입력옵션!$C$22:$C$53,MATCH($C337&amp;"",입력옵션!$E$22:$E$53,0)),IFERROR(INDEX(입력옵션!$C$22:$C$53,MATCH($D337&amp;"",입력옵션!$F$22:$F$53,0)),$C337&amp;"")))</f>
        <v/>
      </c>
      <c r="K337" s="97">
        <f>IF($A337="",0,$G337*설정!$C$23)</f>
        <v/>
      </c>
    </row>
    <row r="338">
      <c r="A338" s="92" t="n">
        <v>2026</v>
      </c>
      <c r="B338" s="92" t="n">
        <v>5</v>
      </c>
      <c r="C338" s="92" t="inlineStr">
        <is>
          <t>L130</t>
        </is>
      </c>
      <c r="D338" s="92" t="inlineStr">
        <is>
          <t>보험계약마진(CSM)</t>
        </is>
      </c>
      <c r="E338" s="92" t="inlineStr">
        <is>
          <t>부채</t>
        </is>
      </c>
      <c r="F338" s="92" t="n">
        <v>3</v>
      </c>
      <c r="G338" s="93" t="n">
        <v>403008558000</v>
      </c>
      <c r="I338" s="9">
        <f>IF($A338="","",VALUE($A338&amp;"")*12+VALUE($B338&amp;""))</f>
        <v/>
      </c>
      <c r="J338" s="9">
        <f>IF($A338="","",IFERROR(INDEX(입력옵션!$C$22:$C$53,MATCH($C338&amp;"",입력옵션!$E$22:$E$53,0)),IFERROR(INDEX(입력옵션!$C$22:$C$53,MATCH($D338&amp;"",입력옵션!$F$22:$F$53,0)),$C338&amp;"")))</f>
        <v/>
      </c>
      <c r="K338" s="97">
        <f>IF($A338="",0,$G338*설정!$C$23)</f>
        <v/>
      </c>
    </row>
    <row r="339">
      <c r="A339" s="92" t="n">
        <v>2026</v>
      </c>
      <c r="B339" s="92" t="n">
        <v>5</v>
      </c>
      <c r="C339" s="92" t="inlineStr">
        <is>
          <t>L200</t>
        </is>
      </c>
      <c r="D339" s="92" t="inlineStr">
        <is>
          <t>재보험계약부채</t>
        </is>
      </c>
      <c r="E339" s="92" t="inlineStr">
        <is>
          <t>부채</t>
        </is>
      </c>
      <c r="F339" s="92" t="n">
        <v>2</v>
      </c>
      <c r="G339" s="93" t="n">
        <v>6542500000</v>
      </c>
      <c r="I339" s="9">
        <f>IF($A339="","",VALUE($A339&amp;"")*12+VALUE($B339&amp;""))</f>
        <v/>
      </c>
      <c r="J339" s="9">
        <f>IF($A339="","",IFERROR(INDEX(입력옵션!$C$22:$C$53,MATCH($C339&amp;"",입력옵션!$E$22:$E$53,0)),IFERROR(INDEX(입력옵션!$C$22:$C$53,MATCH($D339&amp;"",입력옵션!$F$22:$F$53,0)),$C339&amp;"")))</f>
        <v/>
      </c>
      <c r="K339" s="97">
        <f>IF($A339="",0,$G339*설정!$C$23)</f>
        <v/>
      </c>
    </row>
    <row r="340">
      <c r="A340" s="92" t="n">
        <v>2026</v>
      </c>
      <c r="B340" s="92" t="n">
        <v>5</v>
      </c>
      <c r="C340" s="92" t="inlineStr">
        <is>
          <t>L900</t>
        </is>
      </c>
      <c r="D340" s="92" t="inlineStr">
        <is>
          <t>기타부채</t>
        </is>
      </c>
      <c r="E340" s="92" t="inlineStr">
        <is>
          <t>부채</t>
        </is>
      </c>
      <c r="F340" s="92" t="n">
        <v>2</v>
      </c>
      <c r="G340" s="93" t="n">
        <v>92535300000</v>
      </c>
      <c r="I340" s="9">
        <f>IF($A340="","",VALUE($A340&amp;"")*12+VALUE($B340&amp;""))</f>
        <v/>
      </c>
      <c r="J340" s="9">
        <f>IF($A340="","",IFERROR(INDEX(입력옵션!$C$22:$C$53,MATCH($C340&amp;"",입력옵션!$E$22:$E$53,0)),IFERROR(INDEX(입력옵션!$C$22:$C$53,MATCH($D340&amp;"",입력옵션!$F$22:$F$53,0)),$C340&amp;"")))</f>
        <v/>
      </c>
      <c r="K340" s="97">
        <f>IF($A340="",0,$G340*설정!$C$23)</f>
        <v/>
      </c>
    </row>
    <row r="341">
      <c r="A341" s="92" t="n">
        <v>2026</v>
      </c>
      <c r="B341" s="92" t="n">
        <v>5</v>
      </c>
      <c r="C341" s="92" t="inlineStr">
        <is>
          <t>E000</t>
        </is>
      </c>
      <c r="D341" s="92" t="inlineStr">
        <is>
          <t>자본총계</t>
        </is>
      </c>
      <c r="E341" s="92" t="inlineStr">
        <is>
          <t>자본</t>
        </is>
      </c>
      <c r="F341" s="92" t="n">
        <v>1</v>
      </c>
      <c r="G341" s="93" t="n">
        <v>348466642000</v>
      </c>
      <c r="I341" s="9">
        <f>IF($A341="","",VALUE($A341&amp;"")*12+VALUE($B341&amp;""))</f>
        <v/>
      </c>
      <c r="J341" s="9">
        <f>IF($A341="","",IFERROR(INDEX(입력옵션!$C$22:$C$53,MATCH($C341&amp;"",입력옵션!$E$22:$E$53,0)),IFERROR(INDEX(입력옵션!$C$22:$C$53,MATCH($D341&amp;"",입력옵션!$F$22:$F$53,0)),$C341&amp;"")))</f>
        <v/>
      </c>
      <c r="K341" s="97">
        <f>IF($A341="",0,$G341*설정!$C$23)</f>
        <v/>
      </c>
    </row>
    <row r="342">
      <c r="A342" s="92" t="n">
        <v>2026</v>
      </c>
      <c r="B342" s="92" t="n">
        <v>5</v>
      </c>
      <c r="C342" s="92" t="inlineStr">
        <is>
          <t>E100</t>
        </is>
      </c>
      <c r="D342" s="92" t="inlineStr">
        <is>
          <t>자본금</t>
        </is>
      </c>
      <c r="E342" s="92" t="inlineStr">
        <is>
          <t>자본</t>
        </is>
      </c>
      <c r="F342" s="92" t="n">
        <v>2</v>
      </c>
      <c r="G342" s="93" t="n">
        <v>100000000000</v>
      </c>
      <c r="I342" s="9">
        <f>IF($A342="","",VALUE($A342&amp;"")*12+VALUE($B342&amp;""))</f>
        <v/>
      </c>
      <c r="J342" s="9">
        <f>IF($A342="","",IFERROR(INDEX(입력옵션!$C$22:$C$53,MATCH($C342&amp;"",입력옵션!$E$22:$E$53,0)),IFERROR(INDEX(입력옵션!$C$22:$C$53,MATCH($D342&amp;"",입력옵션!$F$22:$F$53,0)),$C342&amp;"")))</f>
        <v/>
      </c>
      <c r="K342" s="97">
        <f>IF($A342="",0,$G342*설정!$C$23)</f>
        <v/>
      </c>
    </row>
    <row r="343">
      <c r="A343" s="92" t="n">
        <v>2026</v>
      </c>
      <c r="B343" s="92" t="n">
        <v>5</v>
      </c>
      <c r="C343" s="92" t="inlineStr">
        <is>
          <t>E200</t>
        </is>
      </c>
      <c r="D343" s="92" t="inlineStr">
        <is>
          <t>이익잉여금</t>
        </is>
      </c>
      <c r="E343" s="92" t="inlineStr">
        <is>
          <t>자본</t>
        </is>
      </c>
      <c r="F343" s="92" t="n">
        <v>2</v>
      </c>
      <c r="G343" s="93" t="n">
        <v>288734342000</v>
      </c>
      <c r="I343" s="9">
        <f>IF($A343="","",VALUE($A343&amp;"")*12+VALUE($B343&amp;""))</f>
        <v/>
      </c>
      <c r="J343" s="9">
        <f>IF($A343="","",IFERROR(INDEX(입력옵션!$C$22:$C$53,MATCH($C343&amp;"",입력옵션!$E$22:$E$53,0)),IFERROR(INDEX(입력옵션!$C$22:$C$53,MATCH($D343&amp;"",입력옵션!$F$22:$F$53,0)),$C343&amp;"")))</f>
        <v/>
      </c>
      <c r="K343" s="97">
        <f>IF($A343="",0,$G343*설정!$C$23)</f>
        <v/>
      </c>
    </row>
    <row r="344">
      <c r="A344" s="92" t="n">
        <v>2026</v>
      </c>
      <c r="B344" s="92" t="n">
        <v>5</v>
      </c>
      <c r="C344" s="92" t="inlineStr">
        <is>
          <t>E300</t>
        </is>
      </c>
      <c r="D344" s="92" t="inlineStr">
        <is>
          <t>기타포괄손익누계액</t>
        </is>
      </c>
      <c r="E344" s="92" t="inlineStr">
        <is>
          <t>자본</t>
        </is>
      </c>
      <c r="F344" s="92" t="n">
        <v>2</v>
      </c>
      <c r="G344" s="93" t="n">
        <v>-40267700000</v>
      </c>
      <c r="I344" s="9">
        <f>IF($A344="","",VALUE($A344&amp;"")*12+VALUE($B344&amp;""))</f>
        <v/>
      </c>
      <c r="J344" s="9">
        <f>IF($A344="","",IFERROR(INDEX(입력옵션!$C$22:$C$53,MATCH($C344&amp;"",입력옵션!$E$22:$E$53,0)),IFERROR(INDEX(입력옵션!$C$22:$C$53,MATCH($D344&amp;"",입력옵션!$F$22:$F$53,0)),$C344&amp;"")))</f>
        <v/>
      </c>
      <c r="K344" s="97">
        <f>IF($A344="",0,$G344*설정!$C$23)</f>
        <v/>
      </c>
    </row>
    <row r="345">
      <c r="A345" s="92" t="n">
        <v>2026</v>
      </c>
      <c r="B345" s="92" t="n">
        <v>6</v>
      </c>
      <c r="C345" s="92" t="inlineStr">
        <is>
          <t>A000</t>
        </is>
      </c>
      <c r="D345" s="92" t="inlineStr">
        <is>
          <t>자산총계</t>
        </is>
      </c>
      <c r="E345" s="92" t="inlineStr">
        <is>
          <t>자산</t>
        </is>
      </c>
      <c r="F345" s="92" t="n">
        <v>1</v>
      </c>
      <c r="G345" s="93" t="n">
        <v>3145390300000</v>
      </c>
      <c r="I345" s="9">
        <f>IF($A345="","",VALUE($A345&amp;"")*12+VALUE($B345&amp;""))</f>
        <v/>
      </c>
      <c r="J345" s="9">
        <f>IF($A345="","",IFERROR(INDEX(입력옵션!$C$22:$C$53,MATCH($C345&amp;"",입력옵션!$E$22:$E$53,0)),IFERROR(INDEX(입력옵션!$C$22:$C$53,MATCH($D345&amp;"",입력옵션!$F$22:$F$53,0)),$C345&amp;"")))</f>
        <v/>
      </c>
      <c r="K345" s="97">
        <f>IF($A345="",0,$G345*설정!$C$23)</f>
        <v/>
      </c>
    </row>
    <row r="346">
      <c r="A346" s="92" t="n">
        <v>2026</v>
      </c>
      <c r="B346" s="92" t="n">
        <v>6</v>
      </c>
      <c r="C346" s="92" t="inlineStr">
        <is>
          <t>A100</t>
        </is>
      </c>
      <c r="D346" s="92" t="inlineStr">
        <is>
          <t>운용자산</t>
        </is>
      </c>
      <c r="E346" s="92" t="inlineStr">
        <is>
          <t>자산</t>
        </is>
      </c>
      <c r="F346" s="92" t="n">
        <v>2</v>
      </c>
      <c r="G346" s="93" t="n">
        <v>2932560700000</v>
      </c>
      <c r="I346" s="9">
        <f>IF($A346="","",VALUE($A346&amp;"")*12+VALUE($B346&amp;""))</f>
        <v/>
      </c>
      <c r="J346" s="9">
        <f>IF($A346="","",IFERROR(INDEX(입력옵션!$C$22:$C$53,MATCH($C346&amp;"",입력옵션!$E$22:$E$53,0)),IFERROR(INDEX(입력옵션!$C$22:$C$53,MATCH($D346&amp;"",입력옵션!$F$22:$F$53,0)),$C346&amp;"")))</f>
        <v/>
      </c>
      <c r="K346" s="97">
        <f>IF($A346="",0,$G346*설정!$C$23)</f>
        <v/>
      </c>
    </row>
    <row r="347">
      <c r="A347" s="92" t="n">
        <v>2026</v>
      </c>
      <c r="B347" s="92" t="n">
        <v>6</v>
      </c>
      <c r="C347" s="92" t="inlineStr">
        <is>
          <t>A110</t>
        </is>
      </c>
      <c r="D347" s="92" t="inlineStr">
        <is>
          <t>현금및예치금</t>
        </is>
      </c>
      <c r="E347" s="92" t="inlineStr">
        <is>
          <t>자산</t>
        </is>
      </c>
      <c r="F347" s="92" t="n">
        <v>3</v>
      </c>
      <c r="G347" s="93" t="n">
        <v>88451300000</v>
      </c>
      <c r="I347" s="9">
        <f>IF($A347="","",VALUE($A347&amp;"")*12+VALUE($B347&amp;""))</f>
        <v/>
      </c>
      <c r="J347" s="9">
        <f>IF($A347="","",IFERROR(INDEX(입력옵션!$C$22:$C$53,MATCH($C347&amp;"",입력옵션!$E$22:$E$53,0)),IFERROR(INDEX(입력옵션!$C$22:$C$53,MATCH($D347&amp;"",입력옵션!$F$22:$F$53,0)),$C347&amp;"")))</f>
        <v/>
      </c>
      <c r="K347" s="97">
        <f>IF($A347="",0,$G347*설정!$C$23)</f>
        <v/>
      </c>
    </row>
    <row r="348">
      <c r="A348" s="92" t="n">
        <v>2026</v>
      </c>
      <c r="B348" s="92" t="n">
        <v>6</v>
      </c>
      <c r="C348" s="92" t="inlineStr">
        <is>
          <t>A120</t>
        </is>
      </c>
      <c r="D348" s="92" t="inlineStr">
        <is>
          <t>유가증권</t>
        </is>
      </c>
      <c r="E348" s="92" t="inlineStr">
        <is>
          <t>자산</t>
        </is>
      </c>
      <c r="F348" s="92" t="n">
        <v>3</v>
      </c>
      <c r="G348" s="93" t="n">
        <v>2243508300000</v>
      </c>
      <c r="I348" s="9">
        <f>IF($A348="","",VALUE($A348&amp;"")*12+VALUE($B348&amp;""))</f>
        <v/>
      </c>
      <c r="J348" s="9">
        <f>IF($A348="","",IFERROR(INDEX(입력옵션!$C$22:$C$53,MATCH($C348&amp;"",입력옵션!$E$22:$E$53,0)),IFERROR(INDEX(입력옵션!$C$22:$C$53,MATCH($D348&amp;"",입력옵션!$F$22:$F$53,0)),$C348&amp;"")))</f>
        <v/>
      </c>
      <c r="K348" s="97">
        <f>IF($A348="",0,$G348*설정!$C$23)</f>
        <v/>
      </c>
    </row>
    <row r="349">
      <c r="A349" s="92" t="n">
        <v>2026</v>
      </c>
      <c r="B349" s="92" t="n">
        <v>6</v>
      </c>
      <c r="C349" s="92" t="inlineStr">
        <is>
          <t>A130</t>
        </is>
      </c>
      <c r="D349" s="92" t="inlineStr">
        <is>
          <t>대출채권</t>
        </is>
      </c>
      <c r="E349" s="92" t="inlineStr">
        <is>
          <t>자산</t>
        </is>
      </c>
      <c r="F349" s="92" t="n">
        <v>3</v>
      </c>
      <c r="G349" s="93" t="n">
        <v>431651100000</v>
      </c>
      <c r="I349" s="9">
        <f>IF($A349="","",VALUE($A349&amp;"")*12+VALUE($B349&amp;""))</f>
        <v/>
      </c>
      <c r="J349" s="9">
        <f>IF($A349="","",IFERROR(INDEX(입력옵션!$C$22:$C$53,MATCH($C349&amp;"",입력옵션!$E$22:$E$53,0)),IFERROR(INDEX(입력옵션!$C$22:$C$53,MATCH($D349&amp;"",입력옵션!$F$22:$F$53,0)),$C349&amp;"")))</f>
        <v/>
      </c>
      <c r="K349" s="97">
        <f>IF($A349="",0,$G349*설정!$C$23)</f>
        <v/>
      </c>
    </row>
    <row r="350">
      <c r="A350" s="92" t="n">
        <v>2026</v>
      </c>
      <c r="B350" s="92" t="n">
        <v>6</v>
      </c>
      <c r="C350" s="92" t="inlineStr">
        <is>
          <t>A140</t>
        </is>
      </c>
      <c r="D350" s="92" t="inlineStr">
        <is>
          <t>투자부동산</t>
        </is>
      </c>
      <c r="E350" s="92" t="inlineStr">
        <is>
          <t>자산</t>
        </is>
      </c>
      <c r="F350" s="92" t="n">
        <v>3</v>
      </c>
      <c r="G350" s="93" t="n">
        <v>168950000000</v>
      </c>
      <c r="I350" s="9">
        <f>IF($A350="","",VALUE($A350&amp;"")*12+VALUE($B350&amp;""))</f>
        <v/>
      </c>
      <c r="J350" s="9">
        <f>IF($A350="","",IFERROR(INDEX(입력옵션!$C$22:$C$53,MATCH($C350&amp;"",입력옵션!$E$22:$E$53,0)),IFERROR(INDEX(입력옵션!$C$22:$C$53,MATCH($D350&amp;"",입력옵션!$F$22:$F$53,0)),$C350&amp;"")))</f>
        <v/>
      </c>
      <c r="K350" s="97">
        <f>IF($A350="",0,$G350*설정!$C$23)</f>
        <v/>
      </c>
    </row>
    <row r="351">
      <c r="A351" s="92" t="n">
        <v>2026</v>
      </c>
      <c r="B351" s="92" t="n">
        <v>6</v>
      </c>
      <c r="C351" s="92" t="inlineStr">
        <is>
          <t>A200</t>
        </is>
      </c>
      <c r="D351" s="92" t="inlineStr">
        <is>
          <t>보험계약자산</t>
        </is>
      </c>
      <c r="E351" s="92" t="inlineStr">
        <is>
          <t>자산</t>
        </is>
      </c>
      <c r="F351" s="92" t="n">
        <v>2</v>
      </c>
      <c r="G351" s="93" t="n">
        <v>11816600000</v>
      </c>
      <c r="I351" s="9">
        <f>IF($A351="","",VALUE($A351&amp;"")*12+VALUE($B351&amp;""))</f>
        <v/>
      </c>
      <c r="J351" s="9">
        <f>IF($A351="","",IFERROR(INDEX(입력옵션!$C$22:$C$53,MATCH($C351&amp;"",입력옵션!$E$22:$E$53,0)),IFERROR(INDEX(입력옵션!$C$22:$C$53,MATCH($D351&amp;"",입력옵션!$F$22:$F$53,0)),$C351&amp;"")))</f>
        <v/>
      </c>
      <c r="K351" s="97">
        <f>IF($A351="",0,$G351*설정!$C$23)</f>
        <v/>
      </c>
    </row>
    <row r="352">
      <c r="A352" s="92" t="n">
        <v>2026</v>
      </c>
      <c r="B352" s="92" t="n">
        <v>6</v>
      </c>
      <c r="C352" s="92" t="inlineStr">
        <is>
          <t>A300</t>
        </is>
      </c>
      <c r="D352" s="92" t="inlineStr">
        <is>
          <t>재보험계약자산</t>
        </is>
      </c>
      <c r="E352" s="92" t="inlineStr">
        <is>
          <t>자산</t>
        </is>
      </c>
      <c r="F352" s="92" t="n">
        <v>2</v>
      </c>
      <c r="G352" s="93" t="n">
        <v>42494200000</v>
      </c>
      <c r="I352" s="9">
        <f>IF($A352="","",VALUE($A352&amp;"")*12+VALUE($B352&amp;""))</f>
        <v/>
      </c>
      <c r="J352" s="9">
        <f>IF($A352="","",IFERROR(INDEX(입력옵션!$C$22:$C$53,MATCH($C352&amp;"",입력옵션!$E$22:$E$53,0)),IFERROR(INDEX(입력옵션!$C$22:$C$53,MATCH($D352&amp;"",입력옵션!$F$22:$F$53,0)),$C352&amp;"")))</f>
        <v/>
      </c>
      <c r="K352" s="97">
        <f>IF($A352="",0,$G352*설정!$C$23)</f>
        <v/>
      </c>
    </row>
    <row r="353">
      <c r="A353" s="92" t="n">
        <v>2026</v>
      </c>
      <c r="B353" s="92" t="n">
        <v>6</v>
      </c>
      <c r="C353" s="92" t="inlineStr">
        <is>
          <t>A900</t>
        </is>
      </c>
      <c r="D353" s="92" t="inlineStr">
        <is>
          <t>기타자산</t>
        </is>
      </c>
      <c r="E353" s="92" t="inlineStr">
        <is>
          <t>자산</t>
        </is>
      </c>
      <c r="F353" s="92" t="n">
        <v>2</v>
      </c>
      <c r="G353" s="93" t="n">
        <v>158518800000</v>
      </c>
      <c r="I353" s="9">
        <f>IF($A353="","",VALUE($A353&amp;"")*12+VALUE($B353&amp;""))</f>
        <v/>
      </c>
      <c r="J353" s="9">
        <f>IF($A353="","",IFERROR(INDEX(입력옵션!$C$22:$C$53,MATCH($C353&amp;"",입력옵션!$E$22:$E$53,0)),IFERROR(INDEX(입력옵션!$C$22:$C$53,MATCH($D353&amp;"",입력옵션!$F$22:$F$53,0)),$C353&amp;"")))</f>
        <v/>
      </c>
      <c r="K353" s="97">
        <f>IF($A353="",0,$G353*설정!$C$23)</f>
        <v/>
      </c>
    </row>
    <row r="354">
      <c r="A354" s="92" t="n">
        <v>2026</v>
      </c>
      <c r="B354" s="92" t="n">
        <v>6</v>
      </c>
      <c r="C354" s="92" t="inlineStr">
        <is>
          <t>L000</t>
        </is>
      </c>
      <c r="D354" s="92" t="inlineStr">
        <is>
          <t>부채총계</t>
        </is>
      </c>
      <c r="E354" s="92" t="inlineStr">
        <is>
          <t>부채</t>
        </is>
      </c>
      <c r="F354" s="92" t="n">
        <v>1</v>
      </c>
      <c r="G354" s="93" t="n">
        <v>2795259292000</v>
      </c>
      <c r="I354" s="9">
        <f>IF($A354="","",VALUE($A354&amp;"")*12+VALUE($B354&amp;""))</f>
        <v/>
      </c>
      <c r="J354" s="9">
        <f>IF($A354="","",IFERROR(INDEX(입력옵션!$C$22:$C$53,MATCH($C354&amp;"",입력옵션!$E$22:$E$53,0)),IFERROR(INDEX(입력옵션!$C$22:$C$53,MATCH($D354&amp;"",입력옵션!$F$22:$F$53,0)),$C354&amp;"")))</f>
        <v/>
      </c>
      <c r="K354" s="97">
        <f>IF($A354="",0,$G354*설정!$C$23)</f>
        <v/>
      </c>
    </row>
    <row r="355">
      <c r="A355" s="92" t="n">
        <v>2026</v>
      </c>
      <c r="B355" s="92" t="n">
        <v>6</v>
      </c>
      <c r="C355" s="92" t="inlineStr">
        <is>
          <t>L100</t>
        </is>
      </c>
      <c r="D355" s="92" t="inlineStr">
        <is>
          <t>보험계약부채</t>
        </is>
      </c>
      <c r="E355" s="92" t="inlineStr">
        <is>
          <t>부채</t>
        </is>
      </c>
      <c r="F355" s="92" t="n">
        <v>2</v>
      </c>
      <c r="G355" s="93" t="n">
        <v>2694428692000</v>
      </c>
      <c r="I355" s="9">
        <f>IF($A355="","",VALUE($A355&amp;"")*12+VALUE($B355&amp;""))</f>
        <v/>
      </c>
      <c r="J355" s="9">
        <f>IF($A355="","",IFERROR(INDEX(입력옵션!$C$22:$C$53,MATCH($C355&amp;"",입력옵션!$E$22:$E$53,0)),IFERROR(INDEX(입력옵션!$C$22:$C$53,MATCH($D355&amp;"",입력옵션!$F$22:$F$53,0)),$C355&amp;"")))</f>
        <v/>
      </c>
      <c r="K355" s="97">
        <f>IF($A355="",0,$G355*설정!$C$23)</f>
        <v/>
      </c>
    </row>
    <row r="356">
      <c r="A356" s="92" t="n">
        <v>2026</v>
      </c>
      <c r="B356" s="92" t="n">
        <v>6</v>
      </c>
      <c r="C356" s="92" t="inlineStr">
        <is>
          <t>L110</t>
        </is>
      </c>
      <c r="D356" s="92" t="inlineStr">
        <is>
          <t>최선추정부채(BEL)</t>
        </is>
      </c>
      <c r="E356" s="92" t="inlineStr">
        <is>
          <t>부채</t>
        </is>
      </c>
      <c r="F356" s="92" t="n">
        <v>3</v>
      </c>
      <c r="G356" s="93" t="n">
        <v>2168227500000</v>
      </c>
      <c r="I356" s="9">
        <f>IF($A356="","",VALUE($A356&amp;"")*12+VALUE($B356&amp;""))</f>
        <v/>
      </c>
      <c r="J356" s="9">
        <f>IF($A356="","",IFERROR(INDEX(입력옵션!$C$22:$C$53,MATCH($C356&amp;"",입력옵션!$E$22:$E$53,0)),IFERROR(INDEX(입력옵션!$C$22:$C$53,MATCH($D356&amp;"",입력옵션!$F$22:$F$53,0)),$C356&amp;"")))</f>
        <v/>
      </c>
      <c r="K356" s="97">
        <f>IF($A356="",0,$G356*설정!$C$23)</f>
        <v/>
      </c>
    </row>
    <row r="357">
      <c r="A357" s="92" t="n">
        <v>2026</v>
      </c>
      <c r="B357" s="92" t="n">
        <v>6</v>
      </c>
      <c r="C357" s="92" t="inlineStr">
        <is>
          <t>L120</t>
        </is>
      </c>
      <c r="D357" s="92" t="inlineStr">
        <is>
          <t>위험조정(RA)</t>
        </is>
      </c>
      <c r="E357" s="92" t="inlineStr">
        <is>
          <t>부채</t>
        </is>
      </c>
      <c r="F357" s="92" t="n">
        <v>3</v>
      </c>
      <c r="G357" s="93" t="n">
        <v>121995600000</v>
      </c>
      <c r="I357" s="9">
        <f>IF($A357="","",VALUE($A357&amp;"")*12+VALUE($B357&amp;""))</f>
        <v/>
      </c>
      <c r="J357" s="9">
        <f>IF($A357="","",IFERROR(INDEX(입력옵션!$C$22:$C$53,MATCH($C357&amp;"",입력옵션!$E$22:$E$53,0)),IFERROR(INDEX(입력옵션!$C$22:$C$53,MATCH($D357&amp;"",입력옵션!$F$22:$F$53,0)),$C357&amp;"")))</f>
        <v/>
      </c>
      <c r="K357" s="97">
        <f>IF($A357="",0,$G357*설정!$C$23)</f>
        <v/>
      </c>
    </row>
    <row r="358">
      <c r="A358" s="92" t="n">
        <v>2026</v>
      </c>
      <c r="B358" s="92" t="n">
        <v>6</v>
      </c>
      <c r="C358" s="92" t="inlineStr">
        <is>
          <t>L130</t>
        </is>
      </c>
      <c r="D358" s="92" t="inlineStr">
        <is>
          <t>보험계약마진(CSM)</t>
        </is>
      </c>
      <c r="E358" s="92" t="inlineStr">
        <is>
          <t>부채</t>
        </is>
      </c>
      <c r="F358" s="92" t="n">
        <v>3</v>
      </c>
      <c r="G358" s="93" t="n">
        <v>404205592000</v>
      </c>
      <c r="I358" s="9">
        <f>IF($A358="","",VALUE($A358&amp;"")*12+VALUE($B358&amp;""))</f>
        <v/>
      </c>
      <c r="J358" s="9">
        <f>IF($A358="","",IFERROR(INDEX(입력옵션!$C$22:$C$53,MATCH($C358&amp;"",입력옵션!$E$22:$E$53,0)),IFERROR(INDEX(입력옵션!$C$22:$C$53,MATCH($D358&amp;"",입력옵션!$F$22:$F$53,0)),$C358&amp;"")))</f>
        <v/>
      </c>
      <c r="K358" s="97">
        <f>IF($A358="",0,$G358*설정!$C$23)</f>
        <v/>
      </c>
    </row>
    <row r="359">
      <c r="A359" s="92" t="n">
        <v>2026</v>
      </c>
      <c r="B359" s="92" t="n">
        <v>6</v>
      </c>
      <c r="C359" s="92" t="inlineStr">
        <is>
          <t>L200</t>
        </is>
      </c>
      <c r="D359" s="92" t="inlineStr">
        <is>
          <t>재보험계약부채</t>
        </is>
      </c>
      <c r="E359" s="92" t="inlineStr">
        <is>
          <t>부채</t>
        </is>
      </c>
      <c r="F359" s="92" t="n">
        <v>2</v>
      </c>
      <c r="G359" s="93" t="n">
        <v>6997700000</v>
      </c>
      <c r="I359" s="9">
        <f>IF($A359="","",VALUE($A359&amp;"")*12+VALUE($B359&amp;""))</f>
        <v/>
      </c>
      <c r="J359" s="9">
        <f>IF($A359="","",IFERROR(INDEX(입력옵션!$C$22:$C$53,MATCH($C359&amp;"",입력옵션!$E$22:$E$53,0)),IFERROR(INDEX(입력옵션!$C$22:$C$53,MATCH($D359&amp;"",입력옵션!$F$22:$F$53,0)),$C359&amp;"")))</f>
        <v/>
      </c>
      <c r="K359" s="97">
        <f>IF($A359="",0,$G359*설정!$C$23)</f>
        <v/>
      </c>
    </row>
    <row r="360">
      <c r="A360" s="92" t="n">
        <v>2026</v>
      </c>
      <c r="B360" s="92" t="n">
        <v>6</v>
      </c>
      <c r="C360" s="92" t="inlineStr">
        <is>
          <t>L900</t>
        </is>
      </c>
      <c r="D360" s="92" t="inlineStr">
        <is>
          <t>기타부채</t>
        </is>
      </c>
      <c r="E360" s="92" t="inlineStr">
        <is>
          <t>부채</t>
        </is>
      </c>
      <c r="F360" s="92" t="n">
        <v>2</v>
      </c>
      <c r="G360" s="93" t="n">
        <v>93832900000</v>
      </c>
      <c r="I360" s="9">
        <f>IF($A360="","",VALUE($A360&amp;"")*12+VALUE($B360&amp;""))</f>
        <v/>
      </c>
      <c r="J360" s="9">
        <f>IF($A360="","",IFERROR(INDEX(입력옵션!$C$22:$C$53,MATCH($C360&amp;"",입력옵션!$E$22:$E$53,0)),IFERROR(INDEX(입력옵션!$C$22:$C$53,MATCH($D360&amp;"",입력옵션!$F$22:$F$53,0)),$C360&amp;"")))</f>
        <v/>
      </c>
      <c r="K360" s="97">
        <f>IF($A360="",0,$G360*설정!$C$23)</f>
        <v/>
      </c>
    </row>
    <row r="361">
      <c r="A361" s="92" t="n">
        <v>2026</v>
      </c>
      <c r="B361" s="92" t="n">
        <v>6</v>
      </c>
      <c r="C361" s="92" t="inlineStr">
        <is>
          <t>E000</t>
        </is>
      </c>
      <c r="D361" s="92" t="inlineStr">
        <is>
          <t>자본총계</t>
        </is>
      </c>
      <c r="E361" s="92" t="inlineStr">
        <is>
          <t>자본</t>
        </is>
      </c>
      <c r="F361" s="92" t="n">
        <v>1</v>
      </c>
      <c r="G361" s="93" t="n">
        <v>350131008000</v>
      </c>
      <c r="I361" s="9">
        <f>IF($A361="","",VALUE($A361&amp;"")*12+VALUE($B361&amp;""))</f>
        <v/>
      </c>
      <c r="J361" s="9">
        <f>IF($A361="","",IFERROR(INDEX(입력옵션!$C$22:$C$53,MATCH($C361&amp;"",입력옵션!$E$22:$E$53,0)),IFERROR(INDEX(입력옵션!$C$22:$C$53,MATCH($D361&amp;"",입력옵션!$F$22:$F$53,0)),$C361&amp;"")))</f>
        <v/>
      </c>
      <c r="K361" s="97">
        <f>IF($A361="",0,$G361*설정!$C$23)</f>
        <v/>
      </c>
    </row>
    <row r="362">
      <c r="A362" s="92" t="n">
        <v>2026</v>
      </c>
      <c r="B362" s="92" t="n">
        <v>6</v>
      </c>
      <c r="C362" s="92" t="inlineStr">
        <is>
          <t>E100</t>
        </is>
      </c>
      <c r="D362" s="92" t="inlineStr">
        <is>
          <t>자본금</t>
        </is>
      </c>
      <c r="E362" s="92" t="inlineStr">
        <is>
          <t>자본</t>
        </is>
      </c>
      <c r="F362" s="92" t="n">
        <v>2</v>
      </c>
      <c r="G362" s="93" t="n">
        <v>100000000000</v>
      </c>
      <c r="I362" s="9">
        <f>IF($A362="","",VALUE($A362&amp;"")*12+VALUE($B362&amp;""))</f>
        <v/>
      </c>
      <c r="J362" s="9">
        <f>IF($A362="","",IFERROR(INDEX(입력옵션!$C$22:$C$53,MATCH($C362&amp;"",입력옵션!$E$22:$E$53,0)),IFERROR(INDEX(입력옵션!$C$22:$C$53,MATCH($D362&amp;"",입력옵션!$F$22:$F$53,0)),$C362&amp;"")))</f>
        <v/>
      </c>
      <c r="K362" s="97">
        <f>IF($A362="",0,$G362*설정!$C$23)</f>
        <v/>
      </c>
    </row>
    <row r="363">
      <c r="A363" s="92" t="n">
        <v>2026</v>
      </c>
      <c r="B363" s="92" t="n">
        <v>6</v>
      </c>
      <c r="C363" s="92" t="inlineStr">
        <is>
          <t>E200</t>
        </is>
      </c>
      <c r="D363" s="92" t="inlineStr">
        <is>
          <t>이익잉여금</t>
        </is>
      </c>
      <c r="E363" s="92" t="inlineStr">
        <is>
          <t>자본</t>
        </is>
      </c>
      <c r="F363" s="92" t="n">
        <v>2</v>
      </c>
      <c r="G363" s="93" t="n">
        <v>285502708000</v>
      </c>
      <c r="I363" s="9">
        <f>IF($A363="","",VALUE($A363&amp;"")*12+VALUE($B363&amp;""))</f>
        <v/>
      </c>
      <c r="J363" s="9">
        <f>IF($A363="","",IFERROR(INDEX(입력옵션!$C$22:$C$53,MATCH($C363&amp;"",입력옵션!$E$22:$E$53,0)),IFERROR(INDEX(입력옵션!$C$22:$C$53,MATCH($D363&amp;"",입력옵션!$F$22:$F$53,0)),$C363&amp;"")))</f>
        <v/>
      </c>
      <c r="K363" s="97">
        <f>IF($A363="",0,$G363*설정!$C$23)</f>
        <v/>
      </c>
    </row>
    <row r="364">
      <c r="A364" s="92" t="n">
        <v>2026</v>
      </c>
      <c r="B364" s="92" t="n">
        <v>6</v>
      </c>
      <c r="C364" s="92" t="inlineStr">
        <is>
          <t>E300</t>
        </is>
      </c>
      <c r="D364" s="92" t="inlineStr">
        <is>
          <t>기타포괄손익누계액</t>
        </is>
      </c>
      <c r="E364" s="92" t="inlineStr">
        <is>
          <t>자본</t>
        </is>
      </c>
      <c r="F364" s="92" t="n">
        <v>2</v>
      </c>
      <c r="G364" s="93" t="n">
        <v>-35371700000</v>
      </c>
      <c r="I364" s="9">
        <f>IF($A364="","",VALUE($A364&amp;"")*12+VALUE($B364&amp;""))</f>
        <v/>
      </c>
      <c r="J364" s="9">
        <f>IF($A364="","",IFERROR(INDEX(입력옵션!$C$22:$C$53,MATCH($C364&amp;"",입력옵션!$E$22:$E$53,0)),IFERROR(INDEX(입력옵션!$C$22:$C$53,MATCH($D364&amp;"",입력옵션!$F$22:$F$53,0)),$C364&amp;"")))</f>
        <v/>
      </c>
      <c r="K364" s="97">
        <f>IF($A364="",0,$G364*설정!$C$23)</f>
        <v/>
      </c>
    </row>
    <row r="365">
      <c r="A365" s="92" t="n">
        <v>2026</v>
      </c>
      <c r="B365" s="92" t="n">
        <v>7</v>
      </c>
      <c r="C365" s="92" t="inlineStr">
        <is>
          <t>A000</t>
        </is>
      </c>
      <c r="D365" s="92" t="inlineStr">
        <is>
          <t>자산총계</t>
        </is>
      </c>
      <c r="E365" s="92" t="inlineStr">
        <is>
          <t>자산</t>
        </is>
      </c>
      <c r="F365" s="92" t="n">
        <v>1</v>
      </c>
      <c r="G365" s="93" t="n">
        <v>3172182700000</v>
      </c>
      <c r="I365" s="9">
        <f>IF($A365="","",VALUE($A365&amp;"")*12+VALUE($B365&amp;""))</f>
        <v/>
      </c>
      <c r="J365" s="9">
        <f>IF($A365="","",IFERROR(INDEX(입력옵션!$C$22:$C$53,MATCH($C365&amp;"",입력옵션!$E$22:$E$53,0)),IFERROR(INDEX(입력옵션!$C$22:$C$53,MATCH($D365&amp;"",입력옵션!$F$22:$F$53,0)),$C365&amp;"")))</f>
        <v/>
      </c>
      <c r="K365" s="97">
        <f>IF($A365="",0,$G365*설정!$C$23)</f>
        <v/>
      </c>
    </row>
    <row r="366">
      <c r="A366" s="92" t="n">
        <v>2026</v>
      </c>
      <c r="B366" s="92" t="n">
        <v>7</v>
      </c>
      <c r="C366" s="92" t="inlineStr">
        <is>
          <t>A100</t>
        </is>
      </c>
      <c r="D366" s="92" t="inlineStr">
        <is>
          <t>운용자산</t>
        </is>
      </c>
      <c r="E366" s="92" t="inlineStr">
        <is>
          <t>자산</t>
        </is>
      </c>
      <c r="F366" s="92" t="n">
        <v>2</v>
      </c>
      <c r="G366" s="93" t="n">
        <v>2955201300000</v>
      </c>
      <c r="I366" s="9">
        <f>IF($A366="","",VALUE($A366&amp;"")*12+VALUE($B366&amp;""))</f>
        <v/>
      </c>
      <c r="J366" s="9">
        <f>IF($A366="","",IFERROR(INDEX(입력옵션!$C$22:$C$53,MATCH($C366&amp;"",입력옵션!$E$22:$E$53,0)),IFERROR(INDEX(입력옵션!$C$22:$C$53,MATCH($D366&amp;"",입력옵션!$F$22:$F$53,0)),$C366&amp;"")))</f>
        <v/>
      </c>
      <c r="K366" s="97">
        <f>IF($A366="",0,$G366*설정!$C$23)</f>
        <v/>
      </c>
    </row>
    <row r="367">
      <c r="A367" s="92" t="n">
        <v>2026</v>
      </c>
      <c r="B367" s="92" t="n">
        <v>7</v>
      </c>
      <c r="C367" s="92" t="inlineStr">
        <is>
          <t>A110</t>
        </is>
      </c>
      <c r="D367" s="92" t="inlineStr">
        <is>
          <t>현금및예치금</t>
        </is>
      </c>
      <c r="E367" s="92" t="inlineStr">
        <is>
          <t>자산</t>
        </is>
      </c>
      <c r="F367" s="92" t="n">
        <v>3</v>
      </c>
      <c r="G367" s="93" t="n">
        <v>89059800000</v>
      </c>
      <c r="I367" s="9">
        <f>IF($A367="","",VALUE($A367&amp;"")*12+VALUE($B367&amp;""))</f>
        <v/>
      </c>
      <c r="J367" s="9">
        <f>IF($A367="","",IFERROR(INDEX(입력옵션!$C$22:$C$53,MATCH($C367&amp;"",입력옵션!$E$22:$E$53,0)),IFERROR(INDEX(입력옵션!$C$22:$C$53,MATCH($D367&amp;"",입력옵션!$F$22:$F$53,0)),$C367&amp;"")))</f>
        <v/>
      </c>
      <c r="K367" s="97">
        <f>IF($A367="",0,$G367*설정!$C$23)</f>
        <v/>
      </c>
    </row>
    <row r="368">
      <c r="A368" s="92" t="n">
        <v>2026</v>
      </c>
      <c r="B368" s="92" t="n">
        <v>7</v>
      </c>
      <c r="C368" s="92" t="inlineStr">
        <is>
          <t>A120</t>
        </is>
      </c>
      <c r="D368" s="92" t="inlineStr">
        <is>
          <t>유가증권</t>
        </is>
      </c>
      <c r="E368" s="92" t="inlineStr">
        <is>
          <t>자산</t>
        </is>
      </c>
      <c r="F368" s="92" t="n">
        <v>3</v>
      </c>
      <c r="G368" s="93" t="n">
        <v>2261267700000</v>
      </c>
      <c r="I368" s="9">
        <f>IF($A368="","",VALUE($A368&amp;"")*12+VALUE($B368&amp;""))</f>
        <v/>
      </c>
      <c r="J368" s="9">
        <f>IF($A368="","",IFERROR(INDEX(입력옵션!$C$22:$C$53,MATCH($C368&amp;"",입력옵션!$E$22:$E$53,0)),IFERROR(INDEX(입력옵션!$C$22:$C$53,MATCH($D368&amp;"",입력옵션!$F$22:$F$53,0)),$C368&amp;"")))</f>
        <v/>
      </c>
      <c r="K368" s="97">
        <f>IF($A368="",0,$G368*설정!$C$23)</f>
        <v/>
      </c>
    </row>
    <row r="369">
      <c r="A369" s="92" t="n">
        <v>2026</v>
      </c>
      <c r="B369" s="92" t="n">
        <v>7</v>
      </c>
      <c r="C369" s="92" t="inlineStr">
        <is>
          <t>A130</t>
        </is>
      </c>
      <c r="D369" s="92" t="inlineStr">
        <is>
          <t>대출채권</t>
        </is>
      </c>
      <c r="E369" s="92" t="inlineStr">
        <is>
          <t>자산</t>
        </is>
      </c>
      <c r="F369" s="92" t="n">
        <v>3</v>
      </c>
      <c r="G369" s="93" t="n">
        <v>436573800000</v>
      </c>
      <c r="I369" s="9">
        <f>IF($A369="","",VALUE($A369&amp;"")*12+VALUE($B369&amp;""))</f>
        <v/>
      </c>
      <c r="J369" s="9">
        <f>IF($A369="","",IFERROR(INDEX(입력옵션!$C$22:$C$53,MATCH($C369&amp;"",입력옵션!$E$22:$E$53,0)),IFERROR(INDEX(입력옵션!$C$22:$C$53,MATCH($D369&amp;"",입력옵션!$F$22:$F$53,0)),$C369&amp;"")))</f>
        <v/>
      </c>
      <c r="K369" s="97">
        <f>IF($A369="",0,$G369*설정!$C$23)</f>
        <v/>
      </c>
    </row>
    <row r="370">
      <c r="A370" s="92" t="n">
        <v>2026</v>
      </c>
      <c r="B370" s="92" t="n">
        <v>7</v>
      </c>
      <c r="C370" s="92" t="inlineStr">
        <is>
          <t>A140</t>
        </is>
      </c>
      <c r="D370" s="92" t="inlineStr">
        <is>
          <t>투자부동산</t>
        </is>
      </c>
      <c r="E370" s="92" t="inlineStr">
        <is>
          <t>자산</t>
        </is>
      </c>
      <c r="F370" s="92" t="n">
        <v>3</v>
      </c>
      <c r="G370" s="93" t="n">
        <v>168300000000</v>
      </c>
      <c r="I370" s="9">
        <f>IF($A370="","",VALUE($A370&amp;"")*12+VALUE($B370&amp;""))</f>
        <v/>
      </c>
      <c r="J370" s="9">
        <f>IF($A370="","",IFERROR(INDEX(입력옵션!$C$22:$C$53,MATCH($C370&amp;"",입력옵션!$E$22:$E$53,0)),IFERROR(INDEX(입력옵션!$C$22:$C$53,MATCH($D370&amp;"",입력옵션!$F$22:$F$53,0)),$C370&amp;"")))</f>
        <v/>
      </c>
      <c r="K370" s="97">
        <f>IF($A370="",0,$G370*설정!$C$23)</f>
        <v/>
      </c>
    </row>
    <row r="371">
      <c r="A371" s="92" t="n">
        <v>2026</v>
      </c>
      <c r="B371" s="92" t="n">
        <v>7</v>
      </c>
      <c r="C371" s="92" t="inlineStr">
        <is>
          <t>A200</t>
        </is>
      </c>
      <c r="D371" s="92" t="inlineStr">
        <is>
          <t>보험계약자산</t>
        </is>
      </c>
      <c r="E371" s="92" t="inlineStr">
        <is>
          <t>자산</t>
        </is>
      </c>
      <c r="F371" s="92" t="n">
        <v>2</v>
      </c>
      <c r="G371" s="93" t="n">
        <v>11534900000</v>
      </c>
      <c r="I371" s="9">
        <f>IF($A371="","",VALUE($A371&amp;"")*12+VALUE($B371&amp;""))</f>
        <v/>
      </c>
      <c r="J371" s="9">
        <f>IF($A371="","",IFERROR(INDEX(입력옵션!$C$22:$C$53,MATCH($C371&amp;"",입력옵션!$E$22:$E$53,0)),IFERROR(INDEX(입력옵션!$C$22:$C$53,MATCH($D371&amp;"",입력옵션!$F$22:$F$53,0)),$C371&amp;"")))</f>
        <v/>
      </c>
      <c r="K371" s="97">
        <f>IF($A371="",0,$G371*설정!$C$23)</f>
        <v/>
      </c>
    </row>
    <row r="372">
      <c r="A372" s="92" t="n">
        <v>2026</v>
      </c>
      <c r="B372" s="92" t="n">
        <v>7</v>
      </c>
      <c r="C372" s="92" t="inlineStr">
        <is>
          <t>A300</t>
        </is>
      </c>
      <c r="D372" s="92" t="inlineStr">
        <is>
          <t>재보험계약자산</t>
        </is>
      </c>
      <c r="E372" s="92" t="inlineStr">
        <is>
          <t>자산</t>
        </is>
      </c>
      <c r="F372" s="92" t="n">
        <v>2</v>
      </c>
      <c r="G372" s="93" t="n">
        <v>42440800000</v>
      </c>
      <c r="I372" s="9">
        <f>IF($A372="","",VALUE($A372&amp;"")*12+VALUE($B372&amp;""))</f>
        <v/>
      </c>
      <c r="J372" s="9">
        <f>IF($A372="","",IFERROR(INDEX(입력옵션!$C$22:$C$53,MATCH($C372&amp;"",입력옵션!$E$22:$E$53,0)),IFERROR(INDEX(입력옵션!$C$22:$C$53,MATCH($D372&amp;"",입력옵션!$F$22:$F$53,0)),$C372&amp;"")))</f>
        <v/>
      </c>
      <c r="K372" s="97">
        <f>IF($A372="",0,$G372*설정!$C$23)</f>
        <v/>
      </c>
    </row>
    <row r="373">
      <c r="A373" s="92" t="n">
        <v>2026</v>
      </c>
      <c r="B373" s="92" t="n">
        <v>7</v>
      </c>
      <c r="C373" s="92" t="inlineStr">
        <is>
          <t>A900</t>
        </is>
      </c>
      <c r="D373" s="92" t="inlineStr">
        <is>
          <t>기타자산</t>
        </is>
      </c>
      <c r="E373" s="92" t="inlineStr">
        <is>
          <t>자산</t>
        </is>
      </c>
      <c r="F373" s="92" t="n">
        <v>2</v>
      </c>
      <c r="G373" s="93" t="n">
        <v>163005700000</v>
      </c>
      <c r="I373" s="9">
        <f>IF($A373="","",VALUE($A373&amp;"")*12+VALUE($B373&amp;""))</f>
        <v/>
      </c>
      <c r="J373" s="9">
        <f>IF($A373="","",IFERROR(INDEX(입력옵션!$C$22:$C$53,MATCH($C373&amp;"",입력옵션!$E$22:$E$53,0)),IFERROR(INDEX(입력옵션!$C$22:$C$53,MATCH($D373&amp;"",입력옵션!$F$22:$F$53,0)),$C373&amp;"")))</f>
        <v/>
      </c>
      <c r="K373" s="97">
        <f>IF($A373="",0,$G373*설정!$C$23)</f>
        <v/>
      </c>
    </row>
    <row r="374">
      <c r="A374" s="92" t="n">
        <v>2026</v>
      </c>
      <c r="B374" s="92" t="n">
        <v>7</v>
      </c>
      <c r="C374" s="92" t="inlineStr">
        <is>
          <t>L000</t>
        </is>
      </c>
      <c r="D374" s="92" t="inlineStr">
        <is>
          <t>부채총계</t>
        </is>
      </c>
      <c r="E374" s="92" t="inlineStr">
        <is>
          <t>부채</t>
        </is>
      </c>
      <c r="F374" s="92" t="n">
        <v>1</v>
      </c>
      <c r="G374" s="93" t="n">
        <v>2804559641000</v>
      </c>
      <c r="I374" s="9">
        <f>IF($A374="","",VALUE($A374&amp;"")*12+VALUE($B374&amp;""))</f>
        <v/>
      </c>
      <c r="J374" s="9">
        <f>IF($A374="","",IFERROR(INDEX(입력옵션!$C$22:$C$53,MATCH($C374&amp;"",입력옵션!$E$22:$E$53,0)),IFERROR(INDEX(입력옵션!$C$22:$C$53,MATCH($D374&amp;"",입력옵션!$F$22:$F$53,0)),$C374&amp;"")))</f>
        <v/>
      </c>
      <c r="K374" s="97">
        <f>IF($A374="",0,$G374*설정!$C$23)</f>
        <v/>
      </c>
    </row>
    <row r="375">
      <c r="A375" s="92" t="n">
        <v>2026</v>
      </c>
      <c r="B375" s="92" t="n">
        <v>7</v>
      </c>
      <c r="C375" s="92" t="inlineStr">
        <is>
          <t>L100</t>
        </is>
      </c>
      <c r="D375" s="92" t="inlineStr">
        <is>
          <t>보험계약부채</t>
        </is>
      </c>
      <c r="E375" s="92" t="inlineStr">
        <is>
          <t>부채</t>
        </is>
      </c>
      <c r="F375" s="92" t="n">
        <v>2</v>
      </c>
      <c r="G375" s="93" t="n">
        <v>2701360741000</v>
      </c>
      <c r="I375" s="9">
        <f>IF($A375="","",VALUE($A375&amp;"")*12+VALUE($B375&amp;""))</f>
        <v/>
      </c>
      <c r="J375" s="9">
        <f>IF($A375="","",IFERROR(INDEX(입력옵션!$C$22:$C$53,MATCH($C375&amp;"",입력옵션!$E$22:$E$53,0)),IFERROR(INDEX(입력옵션!$C$22:$C$53,MATCH($D375&amp;"",입력옵션!$F$22:$F$53,0)),$C375&amp;"")))</f>
        <v/>
      </c>
      <c r="K375" s="97">
        <f>IF($A375="",0,$G375*설정!$C$23)</f>
        <v/>
      </c>
    </row>
    <row r="376">
      <c r="A376" s="92" t="n">
        <v>2026</v>
      </c>
      <c r="B376" s="92" t="n">
        <v>7</v>
      </c>
      <c r="C376" s="92" t="inlineStr">
        <is>
          <t>L110</t>
        </is>
      </c>
      <c r="D376" s="92" t="inlineStr">
        <is>
          <t>최선추정부채(BEL)</t>
        </is>
      </c>
      <c r="E376" s="92" t="inlineStr">
        <is>
          <t>부채</t>
        </is>
      </c>
      <c r="F376" s="92" t="n">
        <v>3</v>
      </c>
      <c r="G376" s="93" t="n">
        <v>2172365100000</v>
      </c>
      <c r="I376" s="9">
        <f>IF($A376="","",VALUE($A376&amp;"")*12+VALUE($B376&amp;""))</f>
        <v/>
      </c>
      <c r="J376" s="9">
        <f>IF($A376="","",IFERROR(INDEX(입력옵션!$C$22:$C$53,MATCH($C376&amp;"",입력옵션!$E$22:$E$53,0)),IFERROR(INDEX(입력옵션!$C$22:$C$53,MATCH($D376&amp;"",입력옵션!$F$22:$F$53,0)),$C376&amp;"")))</f>
        <v/>
      </c>
      <c r="K376" s="97">
        <f>IF($A376="",0,$G376*설정!$C$23)</f>
        <v/>
      </c>
    </row>
    <row r="377">
      <c r="A377" s="92" t="n">
        <v>2026</v>
      </c>
      <c r="B377" s="92" t="n">
        <v>7</v>
      </c>
      <c r="C377" s="92" t="inlineStr">
        <is>
          <t>L120</t>
        </is>
      </c>
      <c r="D377" s="92" t="inlineStr">
        <is>
          <t>위험조정(RA)</t>
        </is>
      </c>
      <c r="E377" s="92" t="inlineStr">
        <is>
          <t>부채</t>
        </is>
      </c>
      <c r="F377" s="92" t="n">
        <v>3</v>
      </c>
      <c r="G377" s="93" t="n">
        <v>123048200000</v>
      </c>
      <c r="I377" s="9">
        <f>IF($A377="","",VALUE($A377&amp;"")*12+VALUE($B377&amp;""))</f>
        <v/>
      </c>
      <c r="J377" s="9">
        <f>IF($A377="","",IFERROR(INDEX(입력옵션!$C$22:$C$53,MATCH($C377&amp;"",입력옵션!$E$22:$E$53,0)),IFERROR(INDEX(입력옵션!$C$22:$C$53,MATCH($D377&amp;"",입력옵션!$F$22:$F$53,0)),$C377&amp;"")))</f>
        <v/>
      </c>
      <c r="K377" s="97">
        <f>IF($A377="",0,$G377*설정!$C$23)</f>
        <v/>
      </c>
    </row>
    <row r="378">
      <c r="A378" s="92" t="n">
        <v>2026</v>
      </c>
      <c r="B378" s="92" t="n">
        <v>7</v>
      </c>
      <c r="C378" s="92" t="inlineStr">
        <is>
          <t>L130</t>
        </is>
      </c>
      <c r="D378" s="92" t="inlineStr">
        <is>
          <t>보험계약마진(CSM)</t>
        </is>
      </c>
      <c r="E378" s="92" t="inlineStr">
        <is>
          <t>부채</t>
        </is>
      </c>
      <c r="F378" s="92" t="n">
        <v>3</v>
      </c>
      <c r="G378" s="93" t="n">
        <v>405947441000</v>
      </c>
      <c r="I378" s="9">
        <f>IF($A378="","",VALUE($A378&amp;"")*12+VALUE($B378&amp;""))</f>
        <v/>
      </c>
      <c r="J378" s="9">
        <f>IF($A378="","",IFERROR(INDEX(입력옵션!$C$22:$C$53,MATCH($C378&amp;"",입력옵션!$E$22:$E$53,0)),IFERROR(INDEX(입력옵션!$C$22:$C$53,MATCH($D378&amp;"",입력옵션!$F$22:$F$53,0)),$C378&amp;"")))</f>
        <v/>
      </c>
      <c r="K378" s="97">
        <f>IF($A378="",0,$G378*설정!$C$23)</f>
        <v/>
      </c>
    </row>
    <row r="379">
      <c r="A379" s="92" t="n">
        <v>2026</v>
      </c>
      <c r="B379" s="92" t="n">
        <v>7</v>
      </c>
      <c r="C379" s="92" t="inlineStr">
        <is>
          <t>L200</t>
        </is>
      </c>
      <c r="D379" s="92" t="inlineStr">
        <is>
          <t>재보험계약부채</t>
        </is>
      </c>
      <c r="E379" s="92" t="inlineStr">
        <is>
          <t>부채</t>
        </is>
      </c>
      <c r="F379" s="92" t="n">
        <v>2</v>
      </c>
      <c r="G379" s="93" t="n">
        <v>6515300000</v>
      </c>
      <c r="I379" s="9">
        <f>IF($A379="","",VALUE($A379&amp;"")*12+VALUE($B379&amp;""))</f>
        <v/>
      </c>
      <c r="J379" s="9">
        <f>IF($A379="","",IFERROR(INDEX(입력옵션!$C$22:$C$53,MATCH($C379&amp;"",입력옵션!$E$22:$E$53,0)),IFERROR(INDEX(입력옵션!$C$22:$C$53,MATCH($D379&amp;"",입력옵션!$F$22:$F$53,0)),$C379&amp;"")))</f>
        <v/>
      </c>
      <c r="K379" s="97">
        <f>IF($A379="",0,$G379*설정!$C$23)</f>
        <v/>
      </c>
    </row>
    <row r="380">
      <c r="A380" s="92" t="n">
        <v>2026</v>
      </c>
      <c r="B380" s="92" t="n">
        <v>7</v>
      </c>
      <c r="C380" s="92" t="inlineStr">
        <is>
          <t>L900</t>
        </is>
      </c>
      <c r="D380" s="92" t="inlineStr">
        <is>
          <t>기타부채</t>
        </is>
      </c>
      <c r="E380" s="92" t="inlineStr">
        <is>
          <t>부채</t>
        </is>
      </c>
      <c r="F380" s="92" t="n">
        <v>2</v>
      </c>
      <c r="G380" s="93" t="n">
        <v>96683600000</v>
      </c>
      <c r="I380" s="9">
        <f>IF($A380="","",VALUE($A380&amp;"")*12+VALUE($B380&amp;""))</f>
        <v/>
      </c>
      <c r="J380" s="9">
        <f>IF($A380="","",IFERROR(INDEX(입력옵션!$C$22:$C$53,MATCH($C380&amp;"",입력옵션!$E$22:$E$53,0)),IFERROR(INDEX(입력옵션!$C$22:$C$53,MATCH($D380&amp;"",입력옵션!$F$22:$F$53,0)),$C380&amp;"")))</f>
        <v/>
      </c>
      <c r="K380" s="97">
        <f>IF($A380="",0,$G380*설정!$C$23)</f>
        <v/>
      </c>
    </row>
    <row r="381">
      <c r="A381" s="92" t="n">
        <v>2026</v>
      </c>
      <c r="B381" s="92" t="n">
        <v>7</v>
      </c>
      <c r="C381" s="92" t="inlineStr">
        <is>
          <t>E000</t>
        </is>
      </c>
      <c r="D381" s="92" t="inlineStr">
        <is>
          <t>자본총계</t>
        </is>
      </c>
      <c r="E381" s="92" t="inlineStr">
        <is>
          <t>자본</t>
        </is>
      </c>
      <c r="F381" s="92" t="n">
        <v>1</v>
      </c>
      <c r="G381" s="93" t="n">
        <v>367623059000</v>
      </c>
      <c r="I381" s="9">
        <f>IF($A381="","",VALUE($A381&amp;"")*12+VALUE($B381&amp;""))</f>
        <v/>
      </c>
      <c r="J381" s="9">
        <f>IF($A381="","",IFERROR(INDEX(입력옵션!$C$22:$C$53,MATCH($C381&amp;"",입력옵션!$E$22:$E$53,0)),IFERROR(INDEX(입력옵션!$C$22:$C$53,MATCH($D381&amp;"",입력옵션!$F$22:$F$53,0)),$C381&amp;"")))</f>
        <v/>
      </c>
      <c r="K381" s="97">
        <f>IF($A381="",0,$G381*설정!$C$23)</f>
        <v/>
      </c>
    </row>
    <row r="382">
      <c r="A382" s="92" t="n">
        <v>2026</v>
      </c>
      <c r="B382" s="92" t="n">
        <v>7</v>
      </c>
      <c r="C382" s="92" t="inlineStr">
        <is>
          <t>E100</t>
        </is>
      </c>
      <c r="D382" s="92" t="inlineStr">
        <is>
          <t>자본금</t>
        </is>
      </c>
      <c r="E382" s="92" t="inlineStr">
        <is>
          <t>자본</t>
        </is>
      </c>
      <c r="F382" s="92" t="n">
        <v>2</v>
      </c>
      <c r="G382" s="93" t="n">
        <v>100000000000</v>
      </c>
      <c r="I382" s="9">
        <f>IF($A382="","",VALUE($A382&amp;"")*12+VALUE($B382&amp;""))</f>
        <v/>
      </c>
      <c r="J382" s="9">
        <f>IF($A382="","",IFERROR(INDEX(입력옵션!$C$22:$C$53,MATCH($C382&amp;"",입력옵션!$E$22:$E$53,0)),IFERROR(INDEX(입력옵션!$C$22:$C$53,MATCH($D382&amp;"",입력옵션!$F$22:$F$53,0)),$C382&amp;"")))</f>
        <v/>
      </c>
      <c r="K382" s="97">
        <f>IF($A382="",0,$G382*설정!$C$23)</f>
        <v/>
      </c>
    </row>
    <row r="383">
      <c r="A383" s="92" t="n">
        <v>2026</v>
      </c>
      <c r="B383" s="92" t="n">
        <v>7</v>
      </c>
      <c r="C383" s="92" t="inlineStr">
        <is>
          <t>E200</t>
        </is>
      </c>
      <c r="D383" s="92" t="inlineStr">
        <is>
          <t>이익잉여금</t>
        </is>
      </c>
      <c r="E383" s="92" t="inlineStr">
        <is>
          <t>자본</t>
        </is>
      </c>
      <c r="F383" s="92" t="n">
        <v>2</v>
      </c>
      <c r="G383" s="93" t="n">
        <v>305423859000</v>
      </c>
      <c r="I383" s="9">
        <f>IF($A383="","",VALUE($A383&amp;"")*12+VALUE($B383&amp;""))</f>
        <v/>
      </c>
      <c r="J383" s="9">
        <f>IF($A383="","",IFERROR(INDEX(입력옵션!$C$22:$C$53,MATCH($C383&amp;"",입력옵션!$E$22:$E$53,0)),IFERROR(INDEX(입력옵션!$C$22:$C$53,MATCH($D383&amp;"",입력옵션!$F$22:$F$53,0)),$C383&amp;"")))</f>
        <v/>
      </c>
      <c r="K383" s="97">
        <f>IF($A383="",0,$G383*설정!$C$23)</f>
        <v/>
      </c>
    </row>
    <row r="384">
      <c r="A384" s="92" t="n">
        <v>2026</v>
      </c>
      <c r="B384" s="92" t="n">
        <v>7</v>
      </c>
      <c r="C384" s="92" t="inlineStr">
        <is>
          <t>E300</t>
        </is>
      </c>
      <c r="D384" s="92" t="inlineStr">
        <is>
          <t>기타포괄손익누계액</t>
        </is>
      </c>
      <c r="E384" s="92" t="inlineStr">
        <is>
          <t>자본</t>
        </is>
      </c>
      <c r="F384" s="92" t="n">
        <v>2</v>
      </c>
      <c r="G384" s="93" t="n">
        <v>-37800800000</v>
      </c>
      <c r="I384" s="9">
        <f>IF($A384="","",VALUE($A384&amp;"")*12+VALUE($B384&amp;""))</f>
        <v/>
      </c>
      <c r="J384" s="9">
        <f>IF($A384="","",IFERROR(INDEX(입력옵션!$C$22:$C$53,MATCH($C384&amp;"",입력옵션!$E$22:$E$53,0)),IFERROR(INDEX(입력옵션!$C$22:$C$53,MATCH($D384&amp;"",입력옵션!$F$22:$F$53,0)),$C384&amp;"")))</f>
        <v/>
      </c>
      <c r="K384" s="97">
        <f>IF($A384="",0,$G384*설정!$C$23)</f>
        <v/>
      </c>
    </row>
    <row r="385">
      <c r="A385" s="92" t="n">
        <v>2026</v>
      </c>
      <c r="B385" s="92" t="n">
        <v>8</v>
      </c>
      <c r="C385" s="92" t="inlineStr">
        <is>
          <t>A000</t>
        </is>
      </c>
      <c r="D385" s="92" t="inlineStr">
        <is>
          <t>자산총계</t>
        </is>
      </c>
      <c r="E385" s="92" t="inlineStr">
        <is>
          <t>자산</t>
        </is>
      </c>
      <c r="F385" s="92" t="n">
        <v>1</v>
      </c>
      <c r="G385" s="93" t="n">
        <v>3175927600000</v>
      </c>
      <c r="I385" s="9">
        <f>IF($A385="","",VALUE($A385&amp;"")*12+VALUE($B385&amp;""))</f>
        <v/>
      </c>
      <c r="J385" s="9">
        <f>IF($A385="","",IFERROR(INDEX(입력옵션!$C$22:$C$53,MATCH($C385&amp;"",입력옵션!$E$22:$E$53,0)),IFERROR(INDEX(입력옵션!$C$22:$C$53,MATCH($D385&amp;"",입력옵션!$F$22:$F$53,0)),$C385&amp;"")))</f>
        <v/>
      </c>
      <c r="K385" s="97">
        <f>IF($A385="",0,$G385*설정!$C$23)</f>
        <v/>
      </c>
    </row>
    <row r="386">
      <c r="A386" s="92" t="n">
        <v>2026</v>
      </c>
      <c r="B386" s="92" t="n">
        <v>8</v>
      </c>
      <c r="C386" s="92" t="inlineStr">
        <is>
          <t>A100</t>
        </is>
      </c>
      <c r="D386" s="92" t="inlineStr">
        <is>
          <t>운용자산</t>
        </is>
      </c>
      <c r="E386" s="92" t="inlineStr">
        <is>
          <t>자산</t>
        </is>
      </c>
      <c r="F386" s="92" t="n">
        <v>2</v>
      </c>
      <c r="G386" s="93" t="n">
        <v>2960635600000</v>
      </c>
      <c r="I386" s="9">
        <f>IF($A386="","",VALUE($A386&amp;"")*12+VALUE($B386&amp;""))</f>
        <v/>
      </c>
      <c r="J386" s="9">
        <f>IF($A386="","",IFERROR(INDEX(입력옵션!$C$22:$C$53,MATCH($C386&amp;"",입력옵션!$E$22:$E$53,0)),IFERROR(INDEX(입력옵션!$C$22:$C$53,MATCH($D386&amp;"",입력옵션!$F$22:$F$53,0)),$C386&amp;"")))</f>
        <v/>
      </c>
      <c r="K386" s="97">
        <f>IF($A386="",0,$G386*설정!$C$23)</f>
        <v/>
      </c>
    </row>
    <row r="387">
      <c r="A387" s="92" t="n">
        <v>2026</v>
      </c>
      <c r="B387" s="92" t="n">
        <v>8</v>
      </c>
      <c r="C387" s="92" t="inlineStr">
        <is>
          <t>A110</t>
        </is>
      </c>
      <c r="D387" s="92" t="inlineStr">
        <is>
          <t>현금및예치금</t>
        </is>
      </c>
      <c r="E387" s="92" t="inlineStr">
        <is>
          <t>자산</t>
        </is>
      </c>
      <c r="F387" s="92" t="n">
        <v>3</v>
      </c>
      <c r="G387" s="93" t="n">
        <v>90837000000</v>
      </c>
      <c r="I387" s="9">
        <f>IF($A387="","",VALUE($A387&amp;"")*12+VALUE($B387&amp;""))</f>
        <v/>
      </c>
      <c r="J387" s="9">
        <f>IF($A387="","",IFERROR(INDEX(입력옵션!$C$22:$C$53,MATCH($C387&amp;"",입력옵션!$E$22:$E$53,0)),IFERROR(INDEX(입력옵션!$C$22:$C$53,MATCH($D387&amp;"",입력옵션!$F$22:$F$53,0)),$C387&amp;"")))</f>
        <v/>
      </c>
      <c r="K387" s="97">
        <f>IF($A387="",0,$G387*설정!$C$23)</f>
        <v/>
      </c>
    </row>
    <row r="388">
      <c r="A388" s="92" t="n">
        <v>2026</v>
      </c>
      <c r="B388" s="92" t="n">
        <v>8</v>
      </c>
      <c r="C388" s="92" t="inlineStr">
        <is>
          <t>A120</t>
        </is>
      </c>
      <c r="D388" s="92" t="inlineStr">
        <is>
          <t>유가증권</t>
        </is>
      </c>
      <c r="E388" s="92" t="inlineStr">
        <is>
          <t>자산</t>
        </is>
      </c>
      <c r="F388" s="92" t="n">
        <v>3</v>
      </c>
      <c r="G388" s="93" t="n">
        <v>2262914100000</v>
      </c>
      <c r="I388" s="9">
        <f>IF($A388="","",VALUE($A388&amp;"")*12+VALUE($B388&amp;""))</f>
        <v/>
      </c>
      <c r="J388" s="9">
        <f>IF($A388="","",IFERROR(INDEX(입력옵션!$C$22:$C$53,MATCH($C388&amp;"",입력옵션!$E$22:$E$53,0)),IFERROR(INDEX(입력옵션!$C$22:$C$53,MATCH($D388&amp;"",입력옵션!$F$22:$F$53,0)),$C388&amp;"")))</f>
        <v/>
      </c>
      <c r="K388" s="97">
        <f>IF($A388="",0,$G388*설정!$C$23)</f>
        <v/>
      </c>
    </row>
    <row r="389">
      <c r="A389" s="92" t="n">
        <v>2026</v>
      </c>
      <c r="B389" s="92" t="n">
        <v>8</v>
      </c>
      <c r="C389" s="92" t="inlineStr">
        <is>
          <t>A130</t>
        </is>
      </c>
      <c r="D389" s="92" t="inlineStr">
        <is>
          <t>대출채권</t>
        </is>
      </c>
      <c r="E389" s="92" t="inlineStr">
        <is>
          <t>자산</t>
        </is>
      </c>
      <c r="F389" s="92" t="n">
        <v>3</v>
      </c>
      <c r="G389" s="93" t="n">
        <v>439234500000</v>
      </c>
      <c r="I389" s="9">
        <f>IF($A389="","",VALUE($A389&amp;"")*12+VALUE($B389&amp;""))</f>
        <v/>
      </c>
      <c r="J389" s="9">
        <f>IF($A389="","",IFERROR(INDEX(입력옵션!$C$22:$C$53,MATCH($C389&amp;"",입력옵션!$E$22:$E$53,0)),IFERROR(INDEX(입력옵션!$C$22:$C$53,MATCH($D389&amp;"",입력옵션!$F$22:$F$53,0)),$C389&amp;"")))</f>
        <v/>
      </c>
      <c r="K389" s="97">
        <f>IF($A389="",0,$G389*설정!$C$23)</f>
        <v/>
      </c>
    </row>
    <row r="390">
      <c r="A390" s="92" t="n">
        <v>2026</v>
      </c>
      <c r="B390" s="92" t="n">
        <v>8</v>
      </c>
      <c r="C390" s="92" t="inlineStr">
        <is>
          <t>A140</t>
        </is>
      </c>
      <c r="D390" s="92" t="inlineStr">
        <is>
          <t>투자부동산</t>
        </is>
      </c>
      <c r="E390" s="92" t="inlineStr">
        <is>
          <t>자산</t>
        </is>
      </c>
      <c r="F390" s="92" t="n">
        <v>3</v>
      </c>
      <c r="G390" s="93" t="n">
        <v>167650000000</v>
      </c>
      <c r="I390" s="9">
        <f>IF($A390="","",VALUE($A390&amp;"")*12+VALUE($B390&amp;""))</f>
        <v/>
      </c>
      <c r="J390" s="9">
        <f>IF($A390="","",IFERROR(INDEX(입력옵션!$C$22:$C$53,MATCH($C390&amp;"",입력옵션!$E$22:$E$53,0)),IFERROR(INDEX(입력옵션!$C$22:$C$53,MATCH($D390&amp;"",입력옵션!$F$22:$F$53,0)),$C390&amp;"")))</f>
        <v/>
      </c>
      <c r="K390" s="97">
        <f>IF($A390="",0,$G390*설정!$C$23)</f>
        <v/>
      </c>
    </row>
    <row r="391">
      <c r="A391" s="92" t="n">
        <v>2026</v>
      </c>
      <c r="B391" s="92" t="n">
        <v>8</v>
      </c>
      <c r="C391" s="92" t="inlineStr">
        <is>
          <t>A200</t>
        </is>
      </c>
      <c r="D391" s="92" t="inlineStr">
        <is>
          <t>보험계약자산</t>
        </is>
      </c>
      <c r="E391" s="92" t="inlineStr">
        <is>
          <t>자산</t>
        </is>
      </c>
      <c r="F391" s="92" t="n">
        <v>2</v>
      </c>
      <c r="G391" s="93" t="n">
        <v>11636900000</v>
      </c>
      <c r="I391" s="9">
        <f>IF($A391="","",VALUE($A391&amp;"")*12+VALUE($B391&amp;""))</f>
        <v/>
      </c>
      <c r="J391" s="9">
        <f>IF($A391="","",IFERROR(INDEX(입력옵션!$C$22:$C$53,MATCH($C391&amp;"",입력옵션!$E$22:$E$53,0)),IFERROR(INDEX(입력옵션!$C$22:$C$53,MATCH($D391&amp;"",입력옵션!$F$22:$F$53,0)),$C391&amp;"")))</f>
        <v/>
      </c>
      <c r="K391" s="97">
        <f>IF($A391="",0,$G391*설정!$C$23)</f>
        <v/>
      </c>
    </row>
    <row r="392">
      <c r="A392" s="92" t="n">
        <v>2026</v>
      </c>
      <c r="B392" s="92" t="n">
        <v>8</v>
      </c>
      <c r="C392" s="92" t="inlineStr">
        <is>
          <t>A300</t>
        </is>
      </c>
      <c r="D392" s="92" t="inlineStr">
        <is>
          <t>재보험계약자산</t>
        </is>
      </c>
      <c r="E392" s="92" t="inlineStr">
        <is>
          <t>자산</t>
        </is>
      </c>
      <c r="F392" s="92" t="n">
        <v>2</v>
      </c>
      <c r="G392" s="93" t="n">
        <v>42171700000</v>
      </c>
      <c r="I392" s="9">
        <f>IF($A392="","",VALUE($A392&amp;"")*12+VALUE($B392&amp;""))</f>
        <v/>
      </c>
      <c r="J392" s="9">
        <f>IF($A392="","",IFERROR(INDEX(입력옵션!$C$22:$C$53,MATCH($C392&amp;"",입력옵션!$E$22:$E$53,0)),IFERROR(INDEX(입력옵션!$C$22:$C$53,MATCH($D392&amp;"",입력옵션!$F$22:$F$53,0)),$C392&amp;"")))</f>
        <v/>
      </c>
      <c r="K392" s="97">
        <f>IF($A392="",0,$G392*설정!$C$23)</f>
        <v/>
      </c>
    </row>
    <row r="393">
      <c r="A393" s="92" t="n">
        <v>2026</v>
      </c>
      <c r="B393" s="92" t="n">
        <v>8</v>
      </c>
      <c r="C393" s="92" t="inlineStr">
        <is>
          <t>A900</t>
        </is>
      </c>
      <c r="D393" s="92" t="inlineStr">
        <is>
          <t>기타자산</t>
        </is>
      </c>
      <c r="E393" s="92" t="inlineStr">
        <is>
          <t>자산</t>
        </is>
      </c>
      <c r="F393" s="92" t="n">
        <v>2</v>
      </c>
      <c r="G393" s="93" t="n">
        <v>161483400000</v>
      </c>
      <c r="I393" s="9">
        <f>IF($A393="","",VALUE($A393&amp;"")*12+VALUE($B393&amp;""))</f>
        <v/>
      </c>
      <c r="J393" s="9">
        <f>IF($A393="","",IFERROR(INDEX(입력옵션!$C$22:$C$53,MATCH($C393&amp;"",입력옵션!$E$22:$E$53,0)),IFERROR(INDEX(입력옵션!$C$22:$C$53,MATCH($D393&amp;"",입력옵션!$F$22:$F$53,0)),$C393&amp;"")))</f>
        <v/>
      </c>
      <c r="K393" s="97">
        <f>IF($A393="",0,$G393*설정!$C$23)</f>
        <v/>
      </c>
    </row>
    <row r="394">
      <c r="A394" s="92" t="n">
        <v>2026</v>
      </c>
      <c r="B394" s="92" t="n">
        <v>8</v>
      </c>
      <c r="C394" s="92" t="inlineStr">
        <is>
          <t>L000</t>
        </is>
      </c>
      <c r="D394" s="92" t="inlineStr">
        <is>
          <t>부채총계</t>
        </is>
      </c>
      <c r="E394" s="92" t="inlineStr">
        <is>
          <t>부채</t>
        </is>
      </c>
      <c r="F394" s="92" t="n">
        <v>1</v>
      </c>
      <c r="G394" s="93" t="n">
        <v>2808643243000</v>
      </c>
      <c r="I394" s="9">
        <f>IF($A394="","",VALUE($A394&amp;"")*12+VALUE($B394&amp;""))</f>
        <v/>
      </c>
      <c r="J394" s="9">
        <f>IF($A394="","",IFERROR(INDEX(입력옵션!$C$22:$C$53,MATCH($C394&amp;"",입력옵션!$E$22:$E$53,0)),IFERROR(INDEX(입력옵션!$C$22:$C$53,MATCH($D394&amp;"",입력옵션!$F$22:$F$53,0)),$C394&amp;"")))</f>
        <v/>
      </c>
      <c r="K394" s="97">
        <f>IF($A394="",0,$G394*설정!$C$23)</f>
        <v/>
      </c>
    </row>
    <row r="395">
      <c r="A395" s="92" t="n">
        <v>2026</v>
      </c>
      <c r="B395" s="92" t="n">
        <v>8</v>
      </c>
      <c r="C395" s="92" t="inlineStr">
        <is>
          <t>L100</t>
        </is>
      </c>
      <c r="D395" s="92" t="inlineStr">
        <is>
          <t>보험계약부채</t>
        </is>
      </c>
      <c r="E395" s="92" t="inlineStr">
        <is>
          <t>부채</t>
        </is>
      </c>
      <c r="F395" s="92" t="n">
        <v>2</v>
      </c>
      <c r="G395" s="93" t="n">
        <v>2709536543000</v>
      </c>
      <c r="I395" s="9">
        <f>IF($A395="","",VALUE($A395&amp;"")*12+VALUE($B395&amp;""))</f>
        <v/>
      </c>
      <c r="J395" s="9">
        <f>IF($A395="","",IFERROR(INDEX(입력옵션!$C$22:$C$53,MATCH($C395&amp;"",입력옵션!$E$22:$E$53,0)),IFERROR(INDEX(입력옵션!$C$22:$C$53,MATCH($D395&amp;"",입력옵션!$F$22:$F$53,0)),$C395&amp;"")))</f>
        <v/>
      </c>
      <c r="K395" s="97">
        <f>IF($A395="",0,$G395*설정!$C$23)</f>
        <v/>
      </c>
    </row>
    <row r="396">
      <c r="A396" s="92" t="n">
        <v>2026</v>
      </c>
      <c r="B396" s="92" t="n">
        <v>8</v>
      </c>
      <c r="C396" s="92" t="inlineStr">
        <is>
          <t>L110</t>
        </is>
      </c>
      <c r="D396" s="92" t="inlineStr">
        <is>
          <t>최선추정부채(BEL)</t>
        </is>
      </c>
      <c r="E396" s="92" t="inlineStr">
        <is>
          <t>부채</t>
        </is>
      </c>
      <c r="F396" s="92" t="n">
        <v>3</v>
      </c>
      <c r="G396" s="93" t="n">
        <v>2178819000000</v>
      </c>
      <c r="I396" s="9">
        <f>IF($A396="","",VALUE($A396&amp;"")*12+VALUE($B396&amp;""))</f>
        <v/>
      </c>
      <c r="J396" s="9">
        <f>IF($A396="","",IFERROR(INDEX(입력옵션!$C$22:$C$53,MATCH($C396&amp;"",입력옵션!$E$22:$E$53,0)),IFERROR(INDEX(입력옵션!$C$22:$C$53,MATCH($D396&amp;"",입력옵션!$F$22:$F$53,0)),$C396&amp;"")))</f>
        <v/>
      </c>
      <c r="K396" s="97">
        <f>IF($A396="",0,$G396*설정!$C$23)</f>
        <v/>
      </c>
    </row>
    <row r="397">
      <c r="A397" s="92" t="n">
        <v>2026</v>
      </c>
      <c r="B397" s="92" t="n">
        <v>8</v>
      </c>
      <c r="C397" s="92" t="inlineStr">
        <is>
          <t>L120</t>
        </is>
      </c>
      <c r="D397" s="92" t="inlineStr">
        <is>
          <t>위험조정(RA)</t>
        </is>
      </c>
      <c r="E397" s="92" t="inlineStr">
        <is>
          <t>부채</t>
        </is>
      </c>
      <c r="F397" s="92" t="n">
        <v>3</v>
      </c>
      <c r="G397" s="93" t="n">
        <v>123268400000</v>
      </c>
      <c r="I397" s="9">
        <f>IF($A397="","",VALUE($A397&amp;"")*12+VALUE($B397&amp;""))</f>
        <v/>
      </c>
      <c r="J397" s="9">
        <f>IF($A397="","",IFERROR(INDEX(입력옵션!$C$22:$C$53,MATCH($C397&amp;"",입력옵션!$E$22:$E$53,0)),IFERROR(INDEX(입력옵션!$C$22:$C$53,MATCH($D397&amp;"",입력옵션!$F$22:$F$53,0)),$C397&amp;"")))</f>
        <v/>
      </c>
      <c r="K397" s="97">
        <f>IF($A397="",0,$G397*설정!$C$23)</f>
        <v/>
      </c>
    </row>
    <row r="398">
      <c r="A398" s="92" t="n">
        <v>2026</v>
      </c>
      <c r="B398" s="92" t="n">
        <v>8</v>
      </c>
      <c r="C398" s="92" t="inlineStr">
        <is>
          <t>L130</t>
        </is>
      </c>
      <c r="D398" s="92" t="inlineStr">
        <is>
          <t>보험계약마진(CSM)</t>
        </is>
      </c>
      <c r="E398" s="92" t="inlineStr">
        <is>
          <t>부채</t>
        </is>
      </c>
      <c r="F398" s="92" t="n">
        <v>3</v>
      </c>
      <c r="G398" s="93" t="n">
        <v>407449143000</v>
      </c>
      <c r="I398" s="9">
        <f>IF($A398="","",VALUE($A398&amp;"")*12+VALUE($B398&amp;""))</f>
        <v/>
      </c>
      <c r="J398" s="9">
        <f>IF($A398="","",IFERROR(INDEX(입력옵션!$C$22:$C$53,MATCH($C398&amp;"",입력옵션!$E$22:$E$53,0)),IFERROR(INDEX(입력옵션!$C$22:$C$53,MATCH($D398&amp;"",입력옵션!$F$22:$F$53,0)),$C398&amp;"")))</f>
        <v/>
      </c>
      <c r="K398" s="97">
        <f>IF($A398="",0,$G398*설정!$C$23)</f>
        <v/>
      </c>
    </row>
    <row r="399">
      <c r="A399" s="92" t="n">
        <v>2026</v>
      </c>
      <c r="B399" s="92" t="n">
        <v>8</v>
      </c>
      <c r="C399" s="92" t="inlineStr">
        <is>
          <t>L200</t>
        </is>
      </c>
      <c r="D399" s="92" t="inlineStr">
        <is>
          <t>재보험계약부채</t>
        </is>
      </c>
      <c r="E399" s="92" t="inlineStr">
        <is>
          <t>부채</t>
        </is>
      </c>
      <c r="F399" s="92" t="n">
        <v>2</v>
      </c>
      <c r="G399" s="93" t="n">
        <v>6607800000</v>
      </c>
      <c r="I399" s="9">
        <f>IF($A399="","",VALUE($A399&amp;"")*12+VALUE($B399&amp;""))</f>
        <v/>
      </c>
      <c r="J399" s="9">
        <f>IF($A399="","",IFERROR(INDEX(입력옵션!$C$22:$C$53,MATCH($C399&amp;"",입력옵션!$E$22:$E$53,0)),IFERROR(INDEX(입력옵션!$C$22:$C$53,MATCH($D399&amp;"",입력옵션!$F$22:$F$53,0)),$C399&amp;"")))</f>
        <v/>
      </c>
      <c r="K399" s="97">
        <f>IF($A399="",0,$G399*설정!$C$23)</f>
        <v/>
      </c>
    </row>
    <row r="400">
      <c r="A400" s="92" t="n">
        <v>2026</v>
      </c>
      <c r="B400" s="92" t="n">
        <v>8</v>
      </c>
      <c r="C400" s="92" t="inlineStr">
        <is>
          <t>L900</t>
        </is>
      </c>
      <c r="D400" s="92" t="inlineStr">
        <is>
          <t>기타부채</t>
        </is>
      </c>
      <c r="E400" s="92" t="inlineStr">
        <is>
          <t>부채</t>
        </is>
      </c>
      <c r="F400" s="92" t="n">
        <v>2</v>
      </c>
      <c r="G400" s="93" t="n">
        <v>92498900000</v>
      </c>
      <c r="I400" s="9">
        <f>IF($A400="","",VALUE($A400&amp;"")*12+VALUE($B400&amp;""))</f>
        <v/>
      </c>
      <c r="J400" s="9">
        <f>IF($A400="","",IFERROR(INDEX(입력옵션!$C$22:$C$53,MATCH($C400&amp;"",입력옵션!$E$22:$E$53,0)),IFERROR(INDEX(입력옵션!$C$22:$C$53,MATCH($D400&amp;"",입력옵션!$F$22:$F$53,0)),$C400&amp;"")))</f>
        <v/>
      </c>
      <c r="K400" s="97">
        <f>IF($A400="",0,$G400*설정!$C$23)</f>
        <v/>
      </c>
    </row>
    <row r="401">
      <c r="A401" s="92" t="n">
        <v>2026</v>
      </c>
      <c r="B401" s="92" t="n">
        <v>8</v>
      </c>
      <c r="C401" s="92" t="inlineStr">
        <is>
          <t>E000</t>
        </is>
      </c>
      <c r="D401" s="92" t="inlineStr">
        <is>
          <t>자본총계</t>
        </is>
      </c>
      <c r="E401" s="92" t="inlineStr">
        <is>
          <t>자본</t>
        </is>
      </c>
      <c r="F401" s="92" t="n">
        <v>1</v>
      </c>
      <c r="G401" s="93" t="n">
        <v>367284357000</v>
      </c>
      <c r="I401" s="9">
        <f>IF($A401="","",VALUE($A401&amp;"")*12+VALUE($B401&amp;""))</f>
        <v/>
      </c>
      <c r="J401" s="9">
        <f>IF($A401="","",IFERROR(INDEX(입력옵션!$C$22:$C$53,MATCH($C401&amp;"",입력옵션!$E$22:$E$53,0)),IFERROR(INDEX(입력옵션!$C$22:$C$53,MATCH($D401&amp;"",입력옵션!$F$22:$F$53,0)),$C401&amp;"")))</f>
        <v/>
      </c>
      <c r="K401" s="97">
        <f>IF($A401="",0,$G401*설정!$C$23)</f>
        <v/>
      </c>
    </row>
    <row r="402">
      <c r="A402" s="92" t="n">
        <v>2026</v>
      </c>
      <c r="B402" s="92" t="n">
        <v>8</v>
      </c>
      <c r="C402" s="92" t="inlineStr">
        <is>
          <t>E100</t>
        </is>
      </c>
      <c r="D402" s="92" t="inlineStr">
        <is>
          <t>자본금</t>
        </is>
      </c>
      <c r="E402" s="92" t="inlineStr">
        <is>
          <t>자본</t>
        </is>
      </c>
      <c r="F402" s="92" t="n">
        <v>2</v>
      </c>
      <c r="G402" s="93" t="n">
        <v>100000000000</v>
      </c>
      <c r="I402" s="9">
        <f>IF($A402="","",VALUE($A402&amp;"")*12+VALUE($B402&amp;""))</f>
        <v/>
      </c>
      <c r="J402" s="9">
        <f>IF($A402="","",IFERROR(INDEX(입력옵션!$C$22:$C$53,MATCH($C402&amp;"",입력옵션!$E$22:$E$53,0)),IFERROR(INDEX(입력옵션!$C$22:$C$53,MATCH($D402&amp;"",입력옵션!$F$22:$F$53,0)),$C402&amp;"")))</f>
        <v/>
      </c>
      <c r="K402" s="97">
        <f>IF($A402="",0,$G402*설정!$C$23)</f>
        <v/>
      </c>
    </row>
    <row r="403">
      <c r="A403" s="92" t="n">
        <v>2026</v>
      </c>
      <c r="B403" s="92" t="n">
        <v>8</v>
      </c>
      <c r="C403" s="92" t="inlineStr">
        <is>
          <t>E200</t>
        </is>
      </c>
      <c r="D403" s="92" t="inlineStr">
        <is>
          <t>이익잉여금</t>
        </is>
      </c>
      <c r="E403" s="92" t="inlineStr">
        <is>
          <t>자본</t>
        </is>
      </c>
      <c r="F403" s="92" t="n">
        <v>2</v>
      </c>
      <c r="G403" s="93" t="n">
        <v>305657657000</v>
      </c>
      <c r="I403" s="9">
        <f>IF($A403="","",VALUE($A403&amp;"")*12+VALUE($B403&amp;""))</f>
        <v/>
      </c>
      <c r="J403" s="9">
        <f>IF($A403="","",IFERROR(INDEX(입력옵션!$C$22:$C$53,MATCH($C403&amp;"",입력옵션!$E$22:$E$53,0)),IFERROR(INDEX(입력옵션!$C$22:$C$53,MATCH($D403&amp;"",입력옵션!$F$22:$F$53,0)),$C403&amp;"")))</f>
        <v/>
      </c>
      <c r="K403" s="97">
        <f>IF($A403="",0,$G403*설정!$C$23)</f>
        <v/>
      </c>
    </row>
    <row r="404">
      <c r="A404" s="92" t="n">
        <v>2026</v>
      </c>
      <c r="B404" s="92" t="n">
        <v>8</v>
      </c>
      <c r="C404" s="92" t="inlineStr">
        <is>
          <t>E300</t>
        </is>
      </c>
      <c r="D404" s="92" t="inlineStr">
        <is>
          <t>기타포괄손익누계액</t>
        </is>
      </c>
      <c r="E404" s="92" t="inlineStr">
        <is>
          <t>자본</t>
        </is>
      </c>
      <c r="F404" s="92" t="n">
        <v>2</v>
      </c>
      <c r="G404" s="93" t="n">
        <v>-38373300000</v>
      </c>
      <c r="I404" s="9">
        <f>IF($A404="","",VALUE($A404&amp;"")*12+VALUE($B404&amp;""))</f>
        <v/>
      </c>
      <c r="J404" s="9">
        <f>IF($A404="","",IFERROR(INDEX(입력옵션!$C$22:$C$53,MATCH($C404&amp;"",입력옵션!$E$22:$E$53,0)),IFERROR(INDEX(입력옵션!$C$22:$C$53,MATCH($D404&amp;"",입력옵션!$F$22:$F$53,0)),$C404&amp;"")))</f>
        <v/>
      </c>
      <c r="K404" s="97">
        <f>IF($A404="",0,$G404*설정!$C$23)</f>
        <v/>
      </c>
    </row>
    <row r="405">
      <c r="A405" s="92" t="n">
        <v>2026</v>
      </c>
      <c r="B405" s="92" t="n">
        <v>9</v>
      </c>
      <c r="C405" s="92" t="inlineStr">
        <is>
          <t>A000</t>
        </is>
      </c>
      <c r="D405" s="92" t="inlineStr">
        <is>
          <t>자산총계</t>
        </is>
      </c>
      <c r="E405" s="92" t="inlineStr">
        <is>
          <t>자산</t>
        </is>
      </c>
      <c r="F405" s="92" t="n">
        <v>1</v>
      </c>
      <c r="G405" s="93" t="n">
        <v>3180083300000</v>
      </c>
      <c r="I405" s="9">
        <f>IF($A405="","",VALUE($A405&amp;"")*12+VALUE($B405&amp;""))</f>
        <v/>
      </c>
      <c r="J405" s="9">
        <f>IF($A405="","",IFERROR(INDEX(입력옵션!$C$22:$C$53,MATCH($C405&amp;"",입력옵션!$E$22:$E$53,0)),IFERROR(INDEX(입력옵션!$C$22:$C$53,MATCH($D405&amp;"",입력옵션!$F$22:$F$53,0)),$C405&amp;"")))</f>
        <v/>
      </c>
      <c r="K405" s="97">
        <f>IF($A405="",0,$G405*설정!$C$23)</f>
        <v/>
      </c>
    </row>
    <row r="406">
      <c r="A406" s="92" t="n">
        <v>2026</v>
      </c>
      <c r="B406" s="92" t="n">
        <v>9</v>
      </c>
      <c r="C406" s="92" t="inlineStr">
        <is>
          <t>A100</t>
        </is>
      </c>
      <c r="D406" s="92" t="inlineStr">
        <is>
          <t>운용자산</t>
        </is>
      </c>
      <c r="E406" s="92" t="inlineStr">
        <is>
          <t>자산</t>
        </is>
      </c>
      <c r="F406" s="92" t="n">
        <v>2</v>
      </c>
      <c r="G406" s="93" t="n">
        <v>2964803200000</v>
      </c>
      <c r="I406" s="9">
        <f>IF($A406="","",VALUE($A406&amp;"")*12+VALUE($B406&amp;""))</f>
        <v/>
      </c>
      <c r="J406" s="9">
        <f>IF($A406="","",IFERROR(INDEX(입력옵션!$C$22:$C$53,MATCH($C406&amp;"",입력옵션!$E$22:$E$53,0)),IFERROR(INDEX(입력옵션!$C$22:$C$53,MATCH($D406&amp;"",입력옵션!$F$22:$F$53,0)),$C406&amp;"")))</f>
        <v/>
      </c>
      <c r="K406" s="97">
        <f>IF($A406="",0,$G406*설정!$C$23)</f>
        <v/>
      </c>
    </row>
    <row r="407">
      <c r="A407" s="92" t="n">
        <v>2026</v>
      </c>
      <c r="B407" s="92" t="n">
        <v>9</v>
      </c>
      <c r="C407" s="92" t="inlineStr">
        <is>
          <t>A110</t>
        </is>
      </c>
      <c r="D407" s="92" t="inlineStr">
        <is>
          <t>현금및예치금</t>
        </is>
      </c>
      <c r="E407" s="92" t="inlineStr">
        <is>
          <t>자산</t>
        </is>
      </c>
      <c r="F407" s="92" t="n">
        <v>3</v>
      </c>
      <c r="G407" s="93" t="n">
        <v>88767600000</v>
      </c>
      <c r="I407" s="9">
        <f>IF($A407="","",VALUE($A407&amp;"")*12+VALUE($B407&amp;""))</f>
        <v/>
      </c>
      <c r="J407" s="9">
        <f>IF($A407="","",IFERROR(INDEX(입력옵션!$C$22:$C$53,MATCH($C407&amp;"",입력옵션!$E$22:$E$53,0)),IFERROR(INDEX(입력옵션!$C$22:$C$53,MATCH($D407&amp;"",입력옵션!$F$22:$F$53,0)),$C407&amp;"")))</f>
        <v/>
      </c>
      <c r="K407" s="97">
        <f>IF($A407="",0,$G407*설정!$C$23)</f>
        <v/>
      </c>
    </row>
    <row r="408">
      <c r="A408" s="92" t="n">
        <v>2026</v>
      </c>
      <c r="B408" s="92" t="n">
        <v>9</v>
      </c>
      <c r="C408" s="92" t="inlineStr">
        <is>
          <t>A120</t>
        </is>
      </c>
      <c r="D408" s="92" t="inlineStr">
        <is>
          <t>유가증권</t>
        </is>
      </c>
      <c r="E408" s="92" t="inlineStr">
        <is>
          <t>자산</t>
        </is>
      </c>
      <c r="F408" s="92" t="n">
        <v>3</v>
      </c>
      <c r="G408" s="93" t="n">
        <v>2269632500000</v>
      </c>
      <c r="I408" s="9">
        <f>IF($A408="","",VALUE($A408&amp;"")*12+VALUE($B408&amp;""))</f>
        <v/>
      </c>
      <c r="J408" s="9">
        <f>IF($A408="","",IFERROR(INDEX(입력옵션!$C$22:$C$53,MATCH($C408&amp;"",입력옵션!$E$22:$E$53,0)),IFERROR(INDEX(입력옵션!$C$22:$C$53,MATCH($D408&amp;"",입력옵션!$F$22:$F$53,0)),$C408&amp;"")))</f>
        <v/>
      </c>
      <c r="K408" s="97">
        <f>IF($A408="",0,$G408*설정!$C$23)</f>
        <v/>
      </c>
    </row>
    <row r="409">
      <c r="A409" s="92" t="n">
        <v>2026</v>
      </c>
      <c r="B409" s="92" t="n">
        <v>9</v>
      </c>
      <c r="C409" s="92" t="inlineStr">
        <is>
          <t>A130</t>
        </is>
      </c>
      <c r="D409" s="92" t="inlineStr">
        <is>
          <t>대출채권</t>
        </is>
      </c>
      <c r="E409" s="92" t="inlineStr">
        <is>
          <t>자산</t>
        </is>
      </c>
      <c r="F409" s="92" t="n">
        <v>3</v>
      </c>
      <c r="G409" s="93" t="n">
        <v>439403100000</v>
      </c>
      <c r="I409" s="9">
        <f>IF($A409="","",VALUE($A409&amp;"")*12+VALUE($B409&amp;""))</f>
        <v/>
      </c>
      <c r="J409" s="9">
        <f>IF($A409="","",IFERROR(INDEX(입력옵션!$C$22:$C$53,MATCH($C409&amp;"",입력옵션!$E$22:$E$53,0)),IFERROR(INDEX(입력옵션!$C$22:$C$53,MATCH($D409&amp;"",입력옵션!$F$22:$F$53,0)),$C409&amp;"")))</f>
        <v/>
      </c>
      <c r="K409" s="97">
        <f>IF($A409="",0,$G409*설정!$C$23)</f>
        <v/>
      </c>
    </row>
    <row r="410">
      <c r="A410" s="92" t="n">
        <v>2026</v>
      </c>
      <c r="B410" s="92" t="n">
        <v>9</v>
      </c>
      <c r="C410" s="92" t="inlineStr">
        <is>
          <t>A140</t>
        </is>
      </c>
      <c r="D410" s="92" t="inlineStr">
        <is>
          <t>투자부동산</t>
        </is>
      </c>
      <c r="E410" s="92" t="inlineStr">
        <is>
          <t>자산</t>
        </is>
      </c>
      <c r="F410" s="92" t="n">
        <v>3</v>
      </c>
      <c r="G410" s="93" t="n">
        <v>167000000000</v>
      </c>
      <c r="I410" s="9">
        <f>IF($A410="","",VALUE($A410&amp;"")*12+VALUE($B410&amp;""))</f>
        <v/>
      </c>
      <c r="J410" s="9">
        <f>IF($A410="","",IFERROR(INDEX(입력옵션!$C$22:$C$53,MATCH($C410&amp;"",입력옵션!$E$22:$E$53,0)),IFERROR(INDEX(입력옵션!$C$22:$C$53,MATCH($D410&amp;"",입력옵션!$F$22:$F$53,0)),$C410&amp;"")))</f>
        <v/>
      </c>
      <c r="K410" s="97">
        <f>IF($A410="",0,$G410*설정!$C$23)</f>
        <v/>
      </c>
    </row>
    <row r="411">
      <c r="A411" s="92" t="n">
        <v>2026</v>
      </c>
      <c r="B411" s="92" t="n">
        <v>9</v>
      </c>
      <c r="C411" s="92" t="inlineStr">
        <is>
          <t>A200</t>
        </is>
      </c>
      <c r="D411" s="92" t="inlineStr">
        <is>
          <t>보험계약자산</t>
        </is>
      </c>
      <c r="E411" s="92" t="inlineStr">
        <is>
          <t>자산</t>
        </is>
      </c>
      <c r="F411" s="92" t="n">
        <v>2</v>
      </c>
      <c r="G411" s="93" t="n">
        <v>12163600000</v>
      </c>
      <c r="I411" s="9">
        <f>IF($A411="","",VALUE($A411&amp;"")*12+VALUE($B411&amp;""))</f>
        <v/>
      </c>
      <c r="J411" s="9">
        <f>IF($A411="","",IFERROR(INDEX(입력옵션!$C$22:$C$53,MATCH($C411&amp;"",입력옵션!$E$22:$E$53,0)),IFERROR(INDEX(입력옵션!$C$22:$C$53,MATCH($D411&amp;"",입력옵션!$F$22:$F$53,0)),$C411&amp;"")))</f>
        <v/>
      </c>
      <c r="K411" s="97">
        <f>IF($A411="",0,$G411*설정!$C$23)</f>
        <v/>
      </c>
    </row>
    <row r="412">
      <c r="A412" s="92" t="n">
        <v>2026</v>
      </c>
      <c r="B412" s="92" t="n">
        <v>9</v>
      </c>
      <c r="C412" s="92" t="inlineStr">
        <is>
          <t>A300</t>
        </is>
      </c>
      <c r="D412" s="92" t="inlineStr">
        <is>
          <t>재보험계약자산</t>
        </is>
      </c>
      <c r="E412" s="92" t="inlineStr">
        <is>
          <t>자산</t>
        </is>
      </c>
      <c r="F412" s="92" t="n">
        <v>2</v>
      </c>
      <c r="G412" s="93" t="n">
        <v>41216700000</v>
      </c>
      <c r="I412" s="9">
        <f>IF($A412="","",VALUE($A412&amp;"")*12+VALUE($B412&amp;""))</f>
        <v/>
      </c>
      <c r="J412" s="9">
        <f>IF($A412="","",IFERROR(INDEX(입력옵션!$C$22:$C$53,MATCH($C412&amp;"",입력옵션!$E$22:$E$53,0)),IFERROR(INDEX(입력옵션!$C$22:$C$53,MATCH($D412&amp;"",입력옵션!$F$22:$F$53,0)),$C412&amp;"")))</f>
        <v/>
      </c>
      <c r="K412" s="97">
        <f>IF($A412="",0,$G412*설정!$C$23)</f>
        <v/>
      </c>
    </row>
    <row r="413">
      <c r="A413" s="92" t="n">
        <v>2026</v>
      </c>
      <c r="B413" s="92" t="n">
        <v>9</v>
      </c>
      <c r="C413" s="92" t="inlineStr">
        <is>
          <t>A900</t>
        </is>
      </c>
      <c r="D413" s="92" t="inlineStr">
        <is>
          <t>기타자산</t>
        </is>
      </c>
      <c r="E413" s="92" t="inlineStr">
        <is>
          <t>자산</t>
        </is>
      </c>
      <c r="F413" s="92" t="n">
        <v>2</v>
      </c>
      <c r="G413" s="93" t="n">
        <v>161899800000</v>
      </c>
      <c r="I413" s="9">
        <f>IF($A413="","",VALUE($A413&amp;"")*12+VALUE($B413&amp;""))</f>
        <v/>
      </c>
      <c r="J413" s="9">
        <f>IF($A413="","",IFERROR(INDEX(입력옵션!$C$22:$C$53,MATCH($C413&amp;"",입력옵션!$E$22:$E$53,0)),IFERROR(INDEX(입력옵션!$C$22:$C$53,MATCH($D413&amp;"",입력옵션!$F$22:$F$53,0)),$C413&amp;"")))</f>
        <v/>
      </c>
      <c r="K413" s="97">
        <f>IF($A413="",0,$G413*설정!$C$23)</f>
        <v/>
      </c>
    </row>
    <row r="414">
      <c r="A414" s="92" t="n">
        <v>2026</v>
      </c>
      <c r="B414" s="92" t="n">
        <v>9</v>
      </c>
      <c r="C414" s="92" t="inlineStr">
        <is>
          <t>L000</t>
        </is>
      </c>
      <c r="D414" s="92" t="inlineStr">
        <is>
          <t>부채총계</t>
        </is>
      </c>
      <c r="E414" s="92" t="inlineStr">
        <is>
          <t>부채</t>
        </is>
      </c>
      <c r="F414" s="92" t="n">
        <v>1</v>
      </c>
      <c r="G414" s="93" t="n">
        <v>2822858616000</v>
      </c>
      <c r="I414" s="9">
        <f>IF($A414="","",VALUE($A414&amp;"")*12+VALUE($B414&amp;""))</f>
        <v/>
      </c>
      <c r="J414" s="9">
        <f>IF($A414="","",IFERROR(INDEX(입력옵션!$C$22:$C$53,MATCH($C414&amp;"",입력옵션!$E$22:$E$53,0)),IFERROR(INDEX(입력옵션!$C$22:$C$53,MATCH($D414&amp;"",입력옵션!$F$22:$F$53,0)),$C414&amp;"")))</f>
        <v/>
      </c>
      <c r="K414" s="97">
        <f>IF($A414="",0,$G414*설정!$C$23)</f>
        <v/>
      </c>
    </row>
    <row r="415">
      <c r="A415" s="92" t="n">
        <v>2026</v>
      </c>
      <c r="B415" s="92" t="n">
        <v>9</v>
      </c>
      <c r="C415" s="92" t="inlineStr">
        <is>
          <t>L100</t>
        </is>
      </c>
      <c r="D415" s="92" t="inlineStr">
        <is>
          <t>보험계약부채</t>
        </is>
      </c>
      <c r="E415" s="92" t="inlineStr">
        <is>
          <t>부채</t>
        </is>
      </c>
      <c r="F415" s="92" t="n">
        <v>2</v>
      </c>
      <c r="G415" s="93" t="n">
        <v>2721272016000</v>
      </c>
      <c r="I415" s="9">
        <f>IF($A415="","",VALUE($A415&amp;"")*12+VALUE($B415&amp;""))</f>
        <v/>
      </c>
      <c r="J415" s="9">
        <f>IF($A415="","",IFERROR(INDEX(입력옵션!$C$22:$C$53,MATCH($C415&amp;"",입력옵션!$E$22:$E$53,0)),IFERROR(INDEX(입력옵션!$C$22:$C$53,MATCH($D415&amp;"",입력옵션!$F$22:$F$53,0)),$C415&amp;"")))</f>
        <v/>
      </c>
      <c r="K415" s="97">
        <f>IF($A415="",0,$G415*설정!$C$23)</f>
        <v/>
      </c>
    </row>
    <row r="416">
      <c r="A416" s="92" t="n">
        <v>2026</v>
      </c>
      <c r="B416" s="92" t="n">
        <v>9</v>
      </c>
      <c r="C416" s="92" t="inlineStr">
        <is>
          <t>L110</t>
        </is>
      </c>
      <c r="D416" s="92" t="inlineStr">
        <is>
          <t>최선추정부채(BEL)</t>
        </is>
      </c>
      <c r="E416" s="92" t="inlineStr">
        <is>
          <t>부채</t>
        </is>
      </c>
      <c r="F416" s="92" t="n">
        <v>3</v>
      </c>
      <c r="G416" s="93" t="n">
        <v>2190935900000</v>
      </c>
      <c r="I416" s="9">
        <f>IF($A416="","",VALUE($A416&amp;"")*12+VALUE($B416&amp;""))</f>
        <v/>
      </c>
      <c r="J416" s="9">
        <f>IF($A416="","",IFERROR(INDEX(입력옵션!$C$22:$C$53,MATCH($C416&amp;"",입력옵션!$E$22:$E$53,0)),IFERROR(INDEX(입력옵션!$C$22:$C$53,MATCH($D416&amp;"",입력옵션!$F$22:$F$53,0)),$C416&amp;"")))</f>
        <v/>
      </c>
      <c r="K416" s="97">
        <f>IF($A416="",0,$G416*설정!$C$23)</f>
        <v/>
      </c>
    </row>
    <row r="417">
      <c r="A417" s="92" t="n">
        <v>2026</v>
      </c>
      <c r="B417" s="92" t="n">
        <v>9</v>
      </c>
      <c r="C417" s="92" t="inlineStr">
        <is>
          <t>L120</t>
        </is>
      </c>
      <c r="D417" s="92" t="inlineStr">
        <is>
          <t>위험조정(RA)</t>
        </is>
      </c>
      <c r="E417" s="92" t="inlineStr">
        <is>
          <t>부채</t>
        </is>
      </c>
      <c r="F417" s="92" t="n">
        <v>3</v>
      </c>
      <c r="G417" s="93" t="n">
        <v>122925600000</v>
      </c>
      <c r="I417" s="9">
        <f>IF($A417="","",VALUE($A417&amp;"")*12+VALUE($B417&amp;""))</f>
        <v/>
      </c>
      <c r="J417" s="9">
        <f>IF($A417="","",IFERROR(INDEX(입력옵션!$C$22:$C$53,MATCH($C417&amp;"",입력옵션!$E$22:$E$53,0)),IFERROR(INDEX(입력옵션!$C$22:$C$53,MATCH($D417&amp;"",입력옵션!$F$22:$F$53,0)),$C417&amp;"")))</f>
        <v/>
      </c>
      <c r="K417" s="97">
        <f>IF($A417="",0,$G417*설정!$C$23)</f>
        <v/>
      </c>
    </row>
    <row r="418">
      <c r="A418" s="92" t="n">
        <v>2026</v>
      </c>
      <c r="B418" s="92" t="n">
        <v>9</v>
      </c>
      <c r="C418" s="92" t="inlineStr">
        <is>
          <t>L130</t>
        </is>
      </c>
      <c r="D418" s="92" t="inlineStr">
        <is>
          <t>보험계약마진(CSM)</t>
        </is>
      </c>
      <c r="E418" s="92" t="inlineStr">
        <is>
          <t>부채</t>
        </is>
      </c>
      <c r="F418" s="92" t="n">
        <v>3</v>
      </c>
      <c r="G418" s="93" t="n">
        <v>407410516000</v>
      </c>
      <c r="I418" s="9">
        <f>IF($A418="","",VALUE($A418&amp;"")*12+VALUE($B418&amp;""))</f>
        <v/>
      </c>
      <c r="J418" s="9">
        <f>IF($A418="","",IFERROR(INDEX(입력옵션!$C$22:$C$53,MATCH($C418&amp;"",입력옵션!$E$22:$E$53,0)),IFERROR(INDEX(입력옵션!$C$22:$C$53,MATCH($D418&amp;"",입력옵션!$F$22:$F$53,0)),$C418&amp;"")))</f>
        <v/>
      </c>
      <c r="K418" s="97">
        <f>IF($A418="",0,$G418*설정!$C$23)</f>
        <v/>
      </c>
    </row>
    <row r="419">
      <c r="A419" s="92" t="n">
        <v>2026</v>
      </c>
      <c r="B419" s="92" t="n">
        <v>9</v>
      </c>
      <c r="C419" s="92" t="inlineStr">
        <is>
          <t>L200</t>
        </is>
      </c>
      <c r="D419" s="92" t="inlineStr">
        <is>
          <t>재보험계약부채</t>
        </is>
      </c>
      <c r="E419" s="92" t="inlineStr">
        <is>
          <t>부채</t>
        </is>
      </c>
      <c r="F419" s="92" t="n">
        <v>2</v>
      </c>
      <c r="G419" s="93" t="n">
        <v>7074700000</v>
      </c>
      <c r="I419" s="9">
        <f>IF($A419="","",VALUE($A419&amp;"")*12+VALUE($B419&amp;""))</f>
        <v/>
      </c>
      <c r="J419" s="9">
        <f>IF($A419="","",IFERROR(INDEX(입력옵션!$C$22:$C$53,MATCH($C419&amp;"",입력옵션!$E$22:$E$53,0)),IFERROR(INDEX(입력옵션!$C$22:$C$53,MATCH($D419&amp;"",입력옵션!$F$22:$F$53,0)),$C419&amp;"")))</f>
        <v/>
      </c>
      <c r="K419" s="97">
        <f>IF($A419="",0,$G419*설정!$C$23)</f>
        <v/>
      </c>
    </row>
    <row r="420">
      <c r="A420" s="92" t="n">
        <v>2026</v>
      </c>
      <c r="B420" s="92" t="n">
        <v>9</v>
      </c>
      <c r="C420" s="92" t="inlineStr">
        <is>
          <t>L900</t>
        </is>
      </c>
      <c r="D420" s="92" t="inlineStr">
        <is>
          <t>기타부채</t>
        </is>
      </c>
      <c r="E420" s="92" t="inlineStr">
        <is>
          <t>부채</t>
        </is>
      </c>
      <c r="F420" s="92" t="n">
        <v>2</v>
      </c>
      <c r="G420" s="93" t="n">
        <v>94511900000</v>
      </c>
      <c r="I420" s="9">
        <f>IF($A420="","",VALUE($A420&amp;"")*12+VALUE($B420&amp;""))</f>
        <v/>
      </c>
      <c r="J420" s="9">
        <f>IF($A420="","",IFERROR(INDEX(입력옵션!$C$22:$C$53,MATCH($C420&amp;"",입력옵션!$E$22:$E$53,0)),IFERROR(INDEX(입력옵션!$C$22:$C$53,MATCH($D420&amp;"",입력옵션!$F$22:$F$53,0)),$C420&amp;"")))</f>
        <v/>
      </c>
      <c r="K420" s="97">
        <f>IF($A420="",0,$G420*설정!$C$23)</f>
        <v/>
      </c>
    </row>
    <row r="421">
      <c r="A421" s="92" t="n">
        <v>2026</v>
      </c>
      <c r="B421" s="92" t="n">
        <v>9</v>
      </c>
      <c r="C421" s="92" t="inlineStr">
        <is>
          <t>E000</t>
        </is>
      </c>
      <c r="D421" s="92" t="inlineStr">
        <is>
          <t>자본총계</t>
        </is>
      </c>
      <c r="E421" s="92" t="inlineStr">
        <is>
          <t>자본</t>
        </is>
      </c>
      <c r="F421" s="92" t="n">
        <v>1</v>
      </c>
      <c r="G421" s="93" t="n">
        <v>357224684000</v>
      </c>
      <c r="I421" s="9">
        <f>IF($A421="","",VALUE($A421&amp;"")*12+VALUE($B421&amp;""))</f>
        <v/>
      </c>
      <c r="J421" s="9">
        <f>IF($A421="","",IFERROR(INDEX(입력옵션!$C$22:$C$53,MATCH($C421&amp;"",입력옵션!$E$22:$E$53,0)),IFERROR(INDEX(입력옵션!$C$22:$C$53,MATCH($D421&amp;"",입력옵션!$F$22:$F$53,0)),$C421&amp;"")))</f>
        <v/>
      </c>
      <c r="K421" s="97">
        <f>IF($A421="",0,$G421*설정!$C$23)</f>
        <v/>
      </c>
    </row>
    <row r="422">
      <c r="A422" s="92" t="n">
        <v>2026</v>
      </c>
      <c r="B422" s="92" t="n">
        <v>9</v>
      </c>
      <c r="C422" s="92" t="inlineStr">
        <is>
          <t>E100</t>
        </is>
      </c>
      <c r="D422" s="92" t="inlineStr">
        <is>
          <t>자본금</t>
        </is>
      </c>
      <c r="E422" s="92" t="inlineStr">
        <is>
          <t>자본</t>
        </is>
      </c>
      <c r="F422" s="92" t="n">
        <v>2</v>
      </c>
      <c r="G422" s="93" t="n">
        <v>100000000000</v>
      </c>
      <c r="I422" s="9">
        <f>IF($A422="","",VALUE($A422&amp;"")*12+VALUE($B422&amp;""))</f>
        <v/>
      </c>
      <c r="J422" s="9">
        <f>IF($A422="","",IFERROR(INDEX(입력옵션!$C$22:$C$53,MATCH($C422&amp;"",입력옵션!$E$22:$E$53,0)),IFERROR(INDEX(입력옵션!$C$22:$C$53,MATCH($D422&amp;"",입력옵션!$F$22:$F$53,0)),$C422&amp;"")))</f>
        <v/>
      </c>
      <c r="K422" s="97">
        <f>IF($A422="",0,$G422*설정!$C$23)</f>
        <v/>
      </c>
    </row>
    <row r="423">
      <c r="A423" s="92" t="n">
        <v>2026</v>
      </c>
      <c r="B423" s="92" t="n">
        <v>9</v>
      </c>
      <c r="C423" s="92" t="inlineStr">
        <is>
          <t>E200</t>
        </is>
      </c>
      <c r="D423" s="92" t="inlineStr">
        <is>
          <t>이익잉여금</t>
        </is>
      </c>
      <c r="E423" s="92" t="inlineStr">
        <is>
          <t>자본</t>
        </is>
      </c>
      <c r="F423" s="92" t="n">
        <v>2</v>
      </c>
      <c r="G423" s="93" t="n">
        <v>293690484000</v>
      </c>
      <c r="I423" s="9">
        <f>IF($A423="","",VALUE($A423&amp;"")*12+VALUE($B423&amp;""))</f>
        <v/>
      </c>
      <c r="J423" s="9">
        <f>IF($A423="","",IFERROR(INDEX(입력옵션!$C$22:$C$53,MATCH($C423&amp;"",입력옵션!$E$22:$E$53,0)),IFERROR(INDEX(입력옵션!$C$22:$C$53,MATCH($D423&amp;"",입력옵션!$F$22:$F$53,0)),$C423&amp;"")))</f>
        <v/>
      </c>
      <c r="K423" s="97">
        <f>IF($A423="",0,$G423*설정!$C$23)</f>
        <v/>
      </c>
    </row>
    <row r="424">
      <c r="A424" s="92" t="n">
        <v>2026</v>
      </c>
      <c r="B424" s="92" t="n">
        <v>9</v>
      </c>
      <c r="C424" s="92" t="inlineStr">
        <is>
          <t>E300</t>
        </is>
      </c>
      <c r="D424" s="92" t="inlineStr">
        <is>
          <t>기타포괄손익누계액</t>
        </is>
      </c>
      <c r="E424" s="92" t="inlineStr">
        <is>
          <t>자본</t>
        </is>
      </c>
      <c r="F424" s="92" t="n">
        <v>2</v>
      </c>
      <c r="G424" s="93" t="n">
        <v>-36465800000</v>
      </c>
      <c r="I424" s="9">
        <f>IF($A424="","",VALUE($A424&amp;"")*12+VALUE($B424&amp;""))</f>
        <v/>
      </c>
      <c r="J424" s="9">
        <f>IF($A424="","",IFERROR(INDEX(입력옵션!$C$22:$C$53,MATCH($C424&amp;"",입력옵션!$E$22:$E$53,0)),IFERROR(INDEX(입력옵션!$C$22:$C$53,MATCH($D424&amp;"",입력옵션!$F$22:$F$53,0)),$C424&amp;"")))</f>
        <v/>
      </c>
      <c r="K424" s="97">
        <f>IF($A424="",0,$G424*설정!$C$23)</f>
        <v/>
      </c>
    </row>
  </sheetData>
  <autoFilter ref="A4:K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5B9BD5"/>
    <outlinePr summaryBelow="1" summaryRight="1"/>
    <pageSetUpPr/>
  </sheetPr>
  <dimension ref="A1:M2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9" customWidth="1" min="3" max="3"/>
    <col width="20" customWidth="1" min="4" max="4"/>
    <col width="6" customWidth="1" min="5" max="5"/>
    <col width="5" customWidth="1" min="6" max="6"/>
    <col width="16" customWidth="1" min="7" max="7"/>
    <col width="16" customWidth="1" min="8" max="8"/>
    <col width="2" customWidth="1" min="9" max="9"/>
    <col width="8" customWidth="1" min="10" max="10"/>
    <col width="9" customWidth="1" min="11" max="11"/>
    <col width="13" customWidth="1" min="12" max="12"/>
    <col width="13" customWidth="1" min="13" max="13"/>
  </cols>
  <sheetData>
    <row r="1">
      <c r="A1" s="1" t="inlineStr">
        <is>
          <t>TRACE · PL 원본</t>
        </is>
      </c>
    </row>
    <row r="2">
      <c r="A2" s="2" t="inlineStr">
        <is>
          <t>A~H: 붙여넣기 · 보조수식은 회색 머리글 · 손익계산서 · 한 행 = 기간 × 항목 · 비용 항목은 양수로 입력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항목코드</t>
        </is>
      </c>
      <c r="D4" s="4" t="inlineStr">
        <is>
          <t>항목명</t>
        </is>
      </c>
      <c r="E4" s="4" t="inlineStr">
        <is>
          <t>구분</t>
        </is>
      </c>
      <c r="F4" s="4" t="inlineStr">
        <is>
          <t>레벨</t>
        </is>
      </c>
      <c r="G4" s="4" t="inlineStr">
        <is>
          <t>당월금액</t>
        </is>
      </c>
      <c r="H4" s="4" t="inlineStr">
        <is>
          <t>누계금액</t>
        </is>
      </c>
      <c r="J4" s="39" t="inlineStr">
        <is>
          <t>기간번호</t>
        </is>
      </c>
      <c r="K4" s="39" t="inlineStr">
        <is>
          <t>항목코드
텍스트</t>
        </is>
      </c>
      <c r="L4" s="39" t="inlineStr">
        <is>
          <t>당월
(보고단위)</t>
        </is>
      </c>
      <c r="M4" s="39" t="inlineStr">
        <is>
          <t>누계
(보고단위)</t>
        </is>
      </c>
    </row>
    <row r="5">
      <c r="A5" s="92" t="n">
        <v>2025</v>
      </c>
      <c r="B5" s="92" t="n">
        <v>1</v>
      </c>
      <c r="C5" s="92" t="inlineStr">
        <is>
          <t>P100</t>
        </is>
      </c>
      <c r="D5" s="92" t="inlineStr">
        <is>
          <t>보험손익</t>
        </is>
      </c>
      <c r="E5" s="92" t="inlineStr">
        <is>
          <t>손익</t>
        </is>
      </c>
      <c r="F5" s="92" t="n">
        <v>1</v>
      </c>
      <c r="G5" s="93" t="n">
        <v>10389609000</v>
      </c>
      <c r="H5" s="93" t="n">
        <v>10389609000</v>
      </c>
      <c r="J5" s="9">
        <f>IF($A5="","",VALUE($A5&amp;"")*12+VALUE($B5&amp;""))</f>
        <v/>
      </c>
      <c r="K5" s="9">
        <f>IF($A5="","",IFERROR(INDEX(입력옵션!$C$22:$C$53,MATCH($C5&amp;"",입력옵션!$E$22:$E$53,0)),IFERROR(INDEX(입력옵션!$C$22:$C$53,MATCH($D5&amp;"",입력옵션!$F$22:$F$53,0)),$C5&amp;"")))</f>
        <v/>
      </c>
      <c r="L5" s="97">
        <f>IF($A5="",0,$G5*설정!$C$23)</f>
        <v/>
      </c>
      <c r="M5" s="97">
        <f>IF($A5="",0,$H5*설정!$C$23)</f>
        <v/>
      </c>
    </row>
    <row r="6">
      <c r="A6" s="92" t="n">
        <v>2025</v>
      </c>
      <c r="B6" s="92" t="n">
        <v>1</v>
      </c>
      <c r="C6" s="92" t="inlineStr">
        <is>
          <t>P110</t>
        </is>
      </c>
      <c r="D6" s="92" t="inlineStr">
        <is>
          <t>보험수익</t>
        </is>
      </c>
      <c r="E6" s="92" t="inlineStr">
        <is>
          <t>수익</t>
        </is>
      </c>
      <c r="F6" s="92" t="n">
        <v>2</v>
      </c>
      <c r="G6" s="93" t="n">
        <v>60232133000</v>
      </c>
      <c r="H6" s="93" t="n">
        <v>60232133000</v>
      </c>
      <c r="J6" s="9">
        <f>IF($A6="","",VALUE($A6&amp;"")*12+VALUE($B6&amp;""))</f>
        <v/>
      </c>
      <c r="K6" s="9">
        <f>IF($A6="","",IFERROR(INDEX(입력옵션!$C$22:$C$53,MATCH($C6&amp;"",입력옵션!$E$22:$E$53,0)),IFERROR(INDEX(입력옵션!$C$22:$C$53,MATCH($D6&amp;"",입력옵션!$F$22:$F$53,0)),$C6&amp;"")))</f>
        <v/>
      </c>
      <c r="L6" s="97">
        <f>IF($A6="",0,$G6*설정!$C$23)</f>
        <v/>
      </c>
      <c r="M6" s="97">
        <f>IF($A6="",0,$H6*설정!$C$23)</f>
        <v/>
      </c>
    </row>
    <row r="7">
      <c r="A7" s="92" t="n">
        <v>2025</v>
      </c>
      <c r="B7" s="92" t="n">
        <v>1</v>
      </c>
      <c r="C7" s="92" t="inlineStr">
        <is>
          <t>P120</t>
        </is>
      </c>
      <c r="D7" s="92" t="inlineStr">
        <is>
          <t>보험서비스비용</t>
        </is>
      </c>
      <c r="E7" s="92" t="inlineStr">
        <is>
          <t>비용</t>
        </is>
      </c>
      <c r="F7" s="92" t="n">
        <v>2</v>
      </c>
      <c r="G7" s="93" t="n">
        <v>48826527000</v>
      </c>
      <c r="H7" s="93" t="n">
        <v>48826527000</v>
      </c>
      <c r="J7" s="9">
        <f>IF($A7="","",VALUE($A7&amp;"")*12+VALUE($B7&amp;""))</f>
        <v/>
      </c>
      <c r="K7" s="9">
        <f>IF($A7="","",IFERROR(INDEX(입력옵션!$C$22:$C$53,MATCH($C7&amp;"",입력옵션!$E$22:$E$53,0)),IFERROR(INDEX(입력옵션!$C$22:$C$53,MATCH($D7&amp;"",입력옵션!$F$22:$F$53,0)),$C7&amp;"")))</f>
        <v/>
      </c>
      <c r="L7" s="97">
        <f>IF($A7="",0,$G7*설정!$C$23)</f>
        <v/>
      </c>
      <c r="M7" s="97">
        <f>IF($A7="",0,$H7*설정!$C$23)</f>
        <v/>
      </c>
    </row>
    <row r="8">
      <c r="A8" s="92" t="n">
        <v>2025</v>
      </c>
      <c r="B8" s="92" t="n">
        <v>1</v>
      </c>
      <c r="C8" s="92" t="inlineStr">
        <is>
          <t>P130</t>
        </is>
      </c>
      <c r="D8" s="92" t="inlineStr">
        <is>
          <t>재보험손익</t>
        </is>
      </c>
      <c r="E8" s="92" t="inlineStr">
        <is>
          <t>손익</t>
        </is>
      </c>
      <c r="F8" s="92" t="n">
        <v>2</v>
      </c>
      <c r="G8" s="93" t="n">
        <v>-1015997000</v>
      </c>
      <c r="H8" s="93" t="n">
        <v>-1015997000</v>
      </c>
      <c r="J8" s="9">
        <f>IF($A8="","",VALUE($A8&amp;"")*12+VALUE($B8&amp;""))</f>
        <v/>
      </c>
      <c r="K8" s="9">
        <f>IF($A8="","",IFERROR(INDEX(입력옵션!$C$22:$C$53,MATCH($C8&amp;"",입력옵션!$E$22:$E$53,0)),IFERROR(INDEX(입력옵션!$C$22:$C$53,MATCH($D8&amp;"",입력옵션!$F$22:$F$53,0)),$C8&amp;"")))</f>
        <v/>
      </c>
      <c r="L8" s="97">
        <f>IF($A8="",0,$G8*설정!$C$23)</f>
        <v/>
      </c>
      <c r="M8" s="97">
        <f>IF($A8="",0,$H8*설정!$C$23)</f>
        <v/>
      </c>
    </row>
    <row r="9">
      <c r="A9" s="92" t="n">
        <v>2025</v>
      </c>
      <c r="B9" s="92" t="n">
        <v>1</v>
      </c>
      <c r="C9" s="92" t="inlineStr">
        <is>
          <t>P200</t>
        </is>
      </c>
      <c r="D9" s="92" t="inlineStr">
        <is>
          <t>투자손익</t>
        </is>
      </c>
      <c r="E9" s="92" t="inlineStr">
        <is>
          <t>손익</t>
        </is>
      </c>
      <c r="F9" s="92" t="n">
        <v>1</v>
      </c>
      <c r="G9" s="93" t="n">
        <v>1746753300</v>
      </c>
      <c r="H9" s="93" t="n">
        <v>1746753300</v>
      </c>
      <c r="J9" s="9">
        <f>IF($A9="","",VALUE($A9&amp;"")*12+VALUE($B9&amp;""))</f>
        <v/>
      </c>
      <c r="K9" s="9">
        <f>IF($A9="","",IFERROR(INDEX(입력옵션!$C$22:$C$53,MATCH($C9&amp;"",입력옵션!$E$22:$E$53,0)),IFERROR(INDEX(입력옵션!$C$22:$C$53,MATCH($D9&amp;"",입력옵션!$F$22:$F$53,0)),$C9&amp;"")))</f>
        <v/>
      </c>
      <c r="L9" s="97">
        <f>IF($A9="",0,$G9*설정!$C$23)</f>
        <v/>
      </c>
      <c r="M9" s="97">
        <f>IF($A9="",0,$H9*설정!$C$23)</f>
        <v/>
      </c>
    </row>
    <row r="10">
      <c r="A10" s="92" t="n">
        <v>2025</v>
      </c>
      <c r="B10" s="92" t="n">
        <v>1</v>
      </c>
      <c r="C10" s="92" t="inlineStr">
        <is>
          <t>P210</t>
        </is>
      </c>
      <c r="D10" s="92" t="inlineStr">
        <is>
          <t>투자수익</t>
        </is>
      </c>
      <c r="E10" s="92" t="inlineStr">
        <is>
          <t>수익</t>
        </is>
      </c>
      <c r="F10" s="92" t="n">
        <v>2</v>
      </c>
      <c r="G10" s="93" t="n">
        <v>9380298000</v>
      </c>
      <c r="H10" s="93" t="n">
        <v>9380298000</v>
      </c>
      <c r="J10" s="9">
        <f>IF($A10="","",VALUE($A10&amp;"")*12+VALUE($B10&amp;""))</f>
        <v/>
      </c>
      <c r="K10" s="9">
        <f>IF($A10="","",IFERROR(INDEX(입력옵션!$C$22:$C$53,MATCH($C10&amp;"",입력옵션!$E$22:$E$53,0)),IFERROR(INDEX(입력옵션!$C$22:$C$53,MATCH($D10&amp;"",입력옵션!$F$22:$F$53,0)),$C10&amp;"")))</f>
        <v/>
      </c>
      <c r="L10" s="97">
        <f>IF($A10="",0,$G10*설정!$C$23)</f>
        <v/>
      </c>
      <c r="M10" s="97">
        <f>IF($A10="",0,$H10*설정!$C$23)</f>
        <v/>
      </c>
    </row>
    <row r="11">
      <c r="A11" s="92" t="n">
        <v>2025</v>
      </c>
      <c r="B11" s="92" t="n">
        <v>1</v>
      </c>
      <c r="C11" s="92" t="inlineStr">
        <is>
          <t>P220</t>
        </is>
      </c>
      <c r="D11" s="92" t="inlineStr">
        <is>
          <t>보험금융비용</t>
        </is>
      </c>
      <c r="E11" s="92" t="inlineStr">
        <is>
          <t>비용</t>
        </is>
      </c>
      <c r="F11" s="92" t="n">
        <v>2</v>
      </c>
      <c r="G11" s="93" t="n">
        <v>7603841000</v>
      </c>
      <c r="H11" s="93" t="n">
        <v>7603841000</v>
      </c>
      <c r="J11" s="9">
        <f>IF($A11="","",VALUE($A11&amp;"")*12+VALUE($B11&amp;""))</f>
        <v/>
      </c>
      <c r="K11" s="9">
        <f>IF($A11="","",IFERROR(INDEX(입력옵션!$C$22:$C$53,MATCH($C11&amp;"",입력옵션!$E$22:$E$53,0)),IFERROR(INDEX(입력옵션!$C$22:$C$53,MATCH($D11&amp;"",입력옵션!$F$22:$F$53,0)),$C11&amp;"")))</f>
        <v/>
      </c>
      <c r="L11" s="97">
        <f>IF($A11="",0,$G11*설정!$C$23)</f>
        <v/>
      </c>
      <c r="M11" s="97">
        <f>IF($A11="",0,$H11*설정!$C$23)</f>
        <v/>
      </c>
    </row>
    <row r="12">
      <c r="A12" s="92" t="n">
        <v>2025</v>
      </c>
      <c r="B12" s="92" t="n">
        <v>1</v>
      </c>
      <c r="C12" s="92" t="inlineStr">
        <is>
          <t>P230</t>
        </is>
      </c>
      <c r="D12" s="92" t="inlineStr">
        <is>
          <t>재산관리비</t>
        </is>
      </c>
      <c r="E12" s="92" t="inlineStr">
        <is>
          <t>비용</t>
        </is>
      </c>
      <c r="F12" s="92" t="n">
        <v>2</v>
      </c>
      <c r="G12" s="93" t="n">
        <v>29703700</v>
      </c>
      <c r="H12" s="93" t="n">
        <v>29703700</v>
      </c>
      <c r="J12" s="9">
        <f>IF($A12="","",VALUE($A12&amp;"")*12+VALUE($B12&amp;""))</f>
        <v/>
      </c>
      <c r="K12" s="9">
        <f>IF($A12="","",IFERROR(INDEX(입력옵션!$C$22:$C$53,MATCH($C12&amp;"",입력옵션!$E$22:$E$53,0)),IFERROR(INDEX(입력옵션!$C$22:$C$53,MATCH($D12&amp;"",입력옵션!$F$22:$F$53,0)),$C12&amp;"")))</f>
        <v/>
      </c>
      <c r="L12" s="97">
        <f>IF($A12="",0,$G12*설정!$C$23)</f>
        <v/>
      </c>
      <c r="M12" s="97">
        <f>IF($A12="",0,$H12*설정!$C$23)</f>
        <v/>
      </c>
    </row>
    <row r="13">
      <c r="A13" s="92" t="n">
        <v>2025</v>
      </c>
      <c r="B13" s="92" t="n">
        <v>1</v>
      </c>
      <c r="C13" s="92" t="inlineStr">
        <is>
          <t>P300</t>
        </is>
      </c>
      <c r="D13" s="92" t="inlineStr">
        <is>
          <t>기타사업비용 (사업비)</t>
        </is>
      </c>
      <c r="E13" s="92" t="inlineStr">
        <is>
          <t>비용</t>
        </is>
      </c>
      <c r="F13" s="92" t="n">
        <v>1</v>
      </c>
      <c r="G13" s="93" t="n">
        <v>335306860</v>
      </c>
      <c r="H13" s="93" t="n">
        <v>335306860</v>
      </c>
      <c r="J13" s="9">
        <f>IF($A13="","",VALUE($A13&amp;"")*12+VALUE($B13&amp;""))</f>
        <v/>
      </c>
      <c r="K13" s="9">
        <f>IF($A13="","",IFERROR(INDEX(입력옵션!$C$22:$C$53,MATCH($C13&amp;"",입력옵션!$E$22:$E$53,0)),IFERROR(INDEX(입력옵션!$C$22:$C$53,MATCH($D13&amp;"",입력옵션!$F$22:$F$53,0)),$C13&amp;"")))</f>
        <v/>
      </c>
      <c r="L13" s="97">
        <f>IF($A13="",0,$G13*설정!$C$23)</f>
        <v/>
      </c>
      <c r="M13" s="97">
        <f>IF($A13="",0,$H13*설정!$C$23)</f>
        <v/>
      </c>
    </row>
    <row r="14">
      <c r="A14" s="92" t="n">
        <v>2025</v>
      </c>
      <c r="B14" s="92" t="n">
        <v>1</v>
      </c>
      <c r="C14" s="92" t="inlineStr">
        <is>
          <t>P400</t>
        </is>
      </c>
      <c r="D14" s="92" t="inlineStr">
        <is>
          <t>법인세차감전이익</t>
        </is>
      </c>
      <c r="E14" s="92" t="inlineStr">
        <is>
          <t>손익</t>
        </is>
      </c>
      <c r="F14" s="92" t="n">
        <v>1</v>
      </c>
      <c r="G14" s="93" t="n">
        <v>11801055440</v>
      </c>
      <c r="H14" s="93" t="n">
        <v>11801055440</v>
      </c>
      <c r="J14" s="9">
        <f>IF($A14="","",VALUE($A14&amp;"")*12+VALUE($B14&amp;""))</f>
        <v/>
      </c>
      <c r="K14" s="9">
        <f>IF($A14="","",IFERROR(INDEX(입력옵션!$C$22:$C$53,MATCH($C14&amp;"",입력옵션!$E$22:$E$53,0)),IFERROR(INDEX(입력옵션!$C$22:$C$53,MATCH($D14&amp;"",입력옵션!$F$22:$F$53,0)),$C14&amp;"")))</f>
        <v/>
      </c>
      <c r="L14" s="97">
        <f>IF($A14="",0,$G14*설정!$C$23)</f>
        <v/>
      </c>
      <c r="M14" s="97">
        <f>IF($A14="",0,$H14*설정!$C$23)</f>
        <v/>
      </c>
    </row>
    <row r="15">
      <c r="A15" s="92" t="n">
        <v>2025</v>
      </c>
      <c r="B15" s="92" t="n">
        <v>1</v>
      </c>
      <c r="C15" s="92" t="inlineStr">
        <is>
          <t>P500</t>
        </is>
      </c>
      <c r="D15" s="92" t="inlineStr">
        <is>
          <t>법인세비용</t>
        </is>
      </c>
      <c r="E15" s="92" t="inlineStr">
        <is>
          <t>비용</t>
        </is>
      </c>
      <c r="F15" s="92" t="n">
        <v>1</v>
      </c>
      <c r="G15" s="93" t="n">
        <v>2596232000</v>
      </c>
      <c r="H15" s="93" t="n">
        <v>2596232000</v>
      </c>
      <c r="J15" s="9">
        <f>IF($A15="","",VALUE($A15&amp;"")*12+VALUE($B15&amp;""))</f>
        <v/>
      </c>
      <c r="K15" s="9">
        <f>IF($A15="","",IFERROR(INDEX(입력옵션!$C$22:$C$53,MATCH($C15&amp;"",입력옵션!$E$22:$E$53,0)),IFERROR(INDEX(입력옵션!$C$22:$C$53,MATCH($D15&amp;"",입력옵션!$F$22:$F$53,0)),$C15&amp;"")))</f>
        <v/>
      </c>
      <c r="L15" s="97">
        <f>IF($A15="",0,$G15*설정!$C$23)</f>
        <v/>
      </c>
      <c r="M15" s="97">
        <f>IF($A15="",0,$H15*설정!$C$23)</f>
        <v/>
      </c>
    </row>
    <row r="16">
      <c r="A16" s="92" t="n">
        <v>2025</v>
      </c>
      <c r="B16" s="92" t="n">
        <v>1</v>
      </c>
      <c r="C16" s="92" t="inlineStr">
        <is>
          <t>P600</t>
        </is>
      </c>
      <c r="D16" s="92" t="inlineStr">
        <is>
          <t>당기순이익</t>
        </is>
      </c>
      <c r="E16" s="92" t="inlineStr">
        <is>
          <t>손익</t>
        </is>
      </c>
      <c r="F16" s="92" t="n">
        <v>1</v>
      </c>
      <c r="G16" s="93" t="n">
        <v>9204823440</v>
      </c>
      <c r="H16" s="93" t="n">
        <v>9204823440</v>
      </c>
      <c r="J16" s="9">
        <f>IF($A16="","",VALUE($A16&amp;"")*12+VALUE($B16&amp;""))</f>
        <v/>
      </c>
      <c r="K16" s="9">
        <f>IF($A16="","",IFERROR(INDEX(입력옵션!$C$22:$C$53,MATCH($C16&amp;"",입력옵션!$E$22:$E$53,0)),IFERROR(INDEX(입력옵션!$C$22:$C$53,MATCH($D16&amp;"",입력옵션!$F$22:$F$53,0)),$C16&amp;"")))</f>
        <v/>
      </c>
      <c r="L16" s="97">
        <f>IF($A16="",0,$G16*설정!$C$23)</f>
        <v/>
      </c>
      <c r="M16" s="97">
        <f>IF($A16="",0,$H16*설정!$C$23)</f>
        <v/>
      </c>
    </row>
    <row r="17">
      <c r="A17" s="92" t="n">
        <v>2025</v>
      </c>
      <c r="B17" s="92" t="n">
        <v>2</v>
      </c>
      <c r="C17" s="92" t="inlineStr">
        <is>
          <t>P100</t>
        </is>
      </c>
      <c r="D17" s="92" t="inlineStr">
        <is>
          <t>보험손익</t>
        </is>
      </c>
      <c r="E17" s="92" t="inlineStr">
        <is>
          <t>손익</t>
        </is>
      </c>
      <c r="F17" s="92" t="n">
        <v>1</v>
      </c>
      <c r="G17" s="93" t="n">
        <v>11619874000</v>
      </c>
      <c r="H17" s="93" t="n">
        <v>22009483000</v>
      </c>
      <c r="J17" s="9">
        <f>IF($A17="","",VALUE($A17&amp;"")*12+VALUE($B17&amp;""))</f>
        <v/>
      </c>
      <c r="K17" s="9">
        <f>IF($A17="","",IFERROR(INDEX(입력옵션!$C$22:$C$53,MATCH($C17&amp;"",입력옵션!$E$22:$E$53,0)),IFERROR(INDEX(입력옵션!$C$22:$C$53,MATCH($D17&amp;"",입력옵션!$F$22:$F$53,0)),$C17&amp;"")))</f>
        <v/>
      </c>
      <c r="L17" s="97">
        <f>IF($A17="",0,$G17*설정!$C$23)</f>
        <v/>
      </c>
      <c r="M17" s="97">
        <f>IF($A17="",0,$H17*설정!$C$23)</f>
        <v/>
      </c>
    </row>
    <row r="18">
      <c r="A18" s="92" t="n">
        <v>2025</v>
      </c>
      <c r="B18" s="92" t="n">
        <v>2</v>
      </c>
      <c r="C18" s="92" t="inlineStr">
        <is>
          <t>P110</t>
        </is>
      </c>
      <c r="D18" s="92" t="inlineStr">
        <is>
          <t>보험수익</t>
        </is>
      </c>
      <c r="E18" s="92" t="inlineStr">
        <is>
          <t>수익</t>
        </is>
      </c>
      <c r="F18" s="92" t="n">
        <v>2</v>
      </c>
      <c r="G18" s="93" t="n">
        <v>62784971000</v>
      </c>
      <c r="H18" s="93" t="n">
        <v>123017104000</v>
      </c>
      <c r="J18" s="9">
        <f>IF($A18="","",VALUE($A18&amp;"")*12+VALUE($B18&amp;""))</f>
        <v/>
      </c>
      <c r="K18" s="9">
        <f>IF($A18="","",IFERROR(INDEX(입력옵션!$C$22:$C$53,MATCH($C18&amp;"",입력옵션!$E$22:$E$53,0)),IFERROR(INDEX(입력옵션!$C$22:$C$53,MATCH($D18&amp;"",입력옵션!$F$22:$F$53,0)),$C18&amp;"")))</f>
        <v/>
      </c>
      <c r="L18" s="97">
        <f>IF($A18="",0,$G18*설정!$C$23)</f>
        <v/>
      </c>
      <c r="M18" s="97">
        <f>IF($A18="",0,$H18*설정!$C$23)</f>
        <v/>
      </c>
    </row>
    <row r="19">
      <c r="A19" s="92" t="n">
        <v>2025</v>
      </c>
      <c r="B19" s="92" t="n">
        <v>2</v>
      </c>
      <c r="C19" s="92" t="inlineStr">
        <is>
          <t>P120</t>
        </is>
      </c>
      <c r="D19" s="92" t="inlineStr">
        <is>
          <t>보험서비스비용</t>
        </is>
      </c>
      <c r="E19" s="92" t="inlineStr">
        <is>
          <t>비용</t>
        </is>
      </c>
      <c r="F19" s="92" t="n">
        <v>2</v>
      </c>
      <c r="G19" s="93" t="n">
        <v>49899391000</v>
      </c>
      <c r="H19" s="93" t="n">
        <v>98725918000</v>
      </c>
      <c r="J19" s="9">
        <f>IF($A19="","",VALUE($A19&amp;"")*12+VALUE($B19&amp;""))</f>
        <v/>
      </c>
      <c r="K19" s="9">
        <f>IF($A19="","",IFERROR(INDEX(입력옵션!$C$22:$C$53,MATCH($C19&amp;"",입력옵션!$E$22:$E$53,0)),IFERROR(INDEX(입력옵션!$C$22:$C$53,MATCH($D19&amp;"",입력옵션!$F$22:$F$53,0)),$C19&amp;"")))</f>
        <v/>
      </c>
      <c r="L19" s="97">
        <f>IF($A19="",0,$G19*설정!$C$23)</f>
        <v/>
      </c>
      <c r="M19" s="97">
        <f>IF($A19="",0,$H19*설정!$C$23)</f>
        <v/>
      </c>
    </row>
    <row r="20">
      <c r="A20" s="92" t="n">
        <v>2025</v>
      </c>
      <c r="B20" s="92" t="n">
        <v>2</v>
      </c>
      <c r="C20" s="92" t="inlineStr">
        <is>
          <t>P130</t>
        </is>
      </c>
      <c r="D20" s="92" t="inlineStr">
        <is>
          <t>재보험손익</t>
        </is>
      </c>
      <c r="E20" s="92" t="inlineStr">
        <is>
          <t>손익</t>
        </is>
      </c>
      <c r="F20" s="92" t="n">
        <v>2</v>
      </c>
      <c r="G20" s="93" t="n">
        <v>-1265706000</v>
      </c>
      <c r="H20" s="93" t="n">
        <v>-2281703000</v>
      </c>
      <c r="J20" s="9">
        <f>IF($A20="","",VALUE($A20&amp;"")*12+VALUE($B20&amp;""))</f>
        <v/>
      </c>
      <c r="K20" s="9">
        <f>IF($A20="","",IFERROR(INDEX(입력옵션!$C$22:$C$53,MATCH($C20&amp;"",입력옵션!$E$22:$E$53,0)),IFERROR(INDEX(입력옵션!$C$22:$C$53,MATCH($D20&amp;"",입력옵션!$F$22:$F$53,0)),$C20&amp;"")))</f>
        <v/>
      </c>
      <c r="L20" s="97">
        <f>IF($A20="",0,$G20*설정!$C$23)</f>
        <v/>
      </c>
      <c r="M20" s="97">
        <f>IF($A20="",0,$H20*설정!$C$23)</f>
        <v/>
      </c>
    </row>
    <row r="21">
      <c r="A21" s="92" t="n">
        <v>2025</v>
      </c>
      <c r="B21" s="92" t="n">
        <v>2</v>
      </c>
      <c r="C21" s="92" t="inlineStr">
        <is>
          <t>P200</t>
        </is>
      </c>
      <c r="D21" s="92" t="inlineStr">
        <is>
          <t>투자손익</t>
        </is>
      </c>
      <c r="E21" s="92" t="inlineStr">
        <is>
          <t>손익</t>
        </is>
      </c>
      <c r="F21" s="92" t="n">
        <v>1</v>
      </c>
      <c r="G21" s="93" t="n">
        <v>1742752250</v>
      </c>
      <c r="H21" s="93" t="n">
        <v>3489505550</v>
      </c>
      <c r="J21" s="9">
        <f>IF($A21="","",VALUE($A21&amp;"")*12+VALUE($B21&amp;""))</f>
        <v/>
      </c>
      <c r="K21" s="9">
        <f>IF($A21="","",IFERROR(INDEX(입력옵션!$C$22:$C$53,MATCH($C21&amp;"",입력옵션!$E$22:$E$53,0)),IFERROR(INDEX(입력옵션!$C$22:$C$53,MATCH($D21&amp;"",입력옵션!$F$22:$F$53,0)),$C21&amp;"")))</f>
        <v/>
      </c>
      <c r="L21" s="97">
        <f>IF($A21="",0,$G21*설정!$C$23)</f>
        <v/>
      </c>
      <c r="M21" s="97">
        <f>IF($A21="",0,$H21*설정!$C$23)</f>
        <v/>
      </c>
    </row>
    <row r="22">
      <c r="A22" s="92" t="n">
        <v>2025</v>
      </c>
      <c r="B22" s="92" t="n">
        <v>2</v>
      </c>
      <c r="C22" s="92" t="inlineStr">
        <is>
          <t>P210</t>
        </is>
      </c>
      <c r="D22" s="92" t="inlineStr">
        <is>
          <t>투자수익</t>
        </is>
      </c>
      <c r="E22" s="92" t="inlineStr">
        <is>
          <t>수익</t>
        </is>
      </c>
      <c r="F22" s="92" t="n">
        <v>2</v>
      </c>
      <c r="G22" s="93" t="n">
        <v>9460581000</v>
      </c>
      <c r="H22" s="93" t="n">
        <v>18840879000</v>
      </c>
      <c r="J22" s="9">
        <f>IF($A22="","",VALUE($A22&amp;"")*12+VALUE($B22&amp;""))</f>
        <v/>
      </c>
      <c r="K22" s="9">
        <f>IF($A22="","",IFERROR(INDEX(입력옵션!$C$22:$C$53,MATCH($C22&amp;"",입력옵션!$E$22:$E$53,0)),IFERROR(INDEX(입력옵션!$C$22:$C$53,MATCH($D22&amp;"",입력옵션!$F$22:$F$53,0)),$C22&amp;"")))</f>
        <v/>
      </c>
      <c r="L22" s="97">
        <f>IF($A22="",0,$G22*설정!$C$23)</f>
        <v/>
      </c>
      <c r="M22" s="97">
        <f>IF($A22="",0,$H22*설정!$C$23)</f>
        <v/>
      </c>
    </row>
    <row r="23">
      <c r="A23" s="92" t="n">
        <v>2025</v>
      </c>
      <c r="B23" s="92" t="n">
        <v>2</v>
      </c>
      <c r="C23" s="92" t="inlineStr">
        <is>
          <t>P220</t>
        </is>
      </c>
      <c r="D23" s="92" t="inlineStr">
        <is>
          <t>보험금융비용</t>
        </is>
      </c>
      <c r="E23" s="92" t="inlineStr">
        <is>
          <t>비용</t>
        </is>
      </c>
      <c r="F23" s="92" t="n">
        <v>2</v>
      </c>
      <c r="G23" s="93" t="n">
        <v>7689245000</v>
      </c>
      <c r="H23" s="93" t="n">
        <v>15293086000</v>
      </c>
      <c r="J23" s="9">
        <f>IF($A23="","",VALUE($A23&amp;"")*12+VALUE($B23&amp;""))</f>
        <v/>
      </c>
      <c r="K23" s="9">
        <f>IF($A23="","",IFERROR(INDEX(입력옵션!$C$22:$C$53,MATCH($C23&amp;"",입력옵션!$E$22:$E$53,0)),IFERROR(INDEX(입력옵션!$C$22:$C$53,MATCH($D23&amp;"",입력옵션!$F$22:$F$53,0)),$C23&amp;"")))</f>
        <v/>
      </c>
      <c r="L23" s="97">
        <f>IF($A23="",0,$G23*설정!$C$23)</f>
        <v/>
      </c>
      <c r="M23" s="97">
        <f>IF($A23="",0,$H23*설정!$C$23)</f>
        <v/>
      </c>
    </row>
    <row r="24">
      <c r="A24" s="92" t="n">
        <v>2025</v>
      </c>
      <c r="B24" s="92" t="n">
        <v>2</v>
      </c>
      <c r="C24" s="92" t="inlineStr">
        <is>
          <t>P230</t>
        </is>
      </c>
      <c r="D24" s="92" t="inlineStr">
        <is>
          <t>재산관리비</t>
        </is>
      </c>
      <c r="E24" s="92" t="inlineStr">
        <is>
          <t>비용</t>
        </is>
      </c>
      <c r="F24" s="92" t="n">
        <v>2</v>
      </c>
      <c r="G24" s="93" t="n">
        <v>28583750</v>
      </c>
      <c r="H24" s="93" t="n">
        <v>58287450</v>
      </c>
      <c r="J24" s="9">
        <f>IF($A24="","",VALUE($A24&amp;"")*12+VALUE($B24&amp;""))</f>
        <v/>
      </c>
      <c r="K24" s="9">
        <f>IF($A24="","",IFERROR(INDEX(입력옵션!$C$22:$C$53,MATCH($C24&amp;"",입력옵션!$E$22:$E$53,0)),IFERROR(INDEX(입력옵션!$C$22:$C$53,MATCH($D24&amp;"",입력옵션!$F$22:$F$53,0)),$C24&amp;"")))</f>
        <v/>
      </c>
      <c r="L24" s="97">
        <f>IF($A24="",0,$G24*설정!$C$23)</f>
        <v/>
      </c>
      <c r="M24" s="97">
        <f>IF($A24="",0,$H24*설정!$C$23)</f>
        <v/>
      </c>
    </row>
    <row r="25">
      <c r="A25" s="92" t="n">
        <v>2025</v>
      </c>
      <c r="B25" s="92" t="n">
        <v>2</v>
      </c>
      <c r="C25" s="92" t="inlineStr">
        <is>
          <t>P300</t>
        </is>
      </c>
      <c r="D25" s="92" t="inlineStr">
        <is>
          <t>기타사업비용 (사업비)</t>
        </is>
      </c>
      <c r="E25" s="92" t="inlineStr">
        <is>
          <t>비용</t>
        </is>
      </c>
      <c r="F25" s="92" t="n">
        <v>1</v>
      </c>
      <c r="G25" s="93" t="n">
        <v>324330025</v>
      </c>
      <c r="H25" s="93" t="n">
        <v>659636885</v>
      </c>
      <c r="J25" s="9">
        <f>IF($A25="","",VALUE($A25&amp;"")*12+VALUE($B25&amp;""))</f>
        <v/>
      </c>
      <c r="K25" s="9">
        <f>IF($A25="","",IFERROR(INDEX(입력옵션!$C$22:$C$53,MATCH($C25&amp;"",입력옵션!$E$22:$E$53,0)),IFERROR(INDEX(입력옵션!$C$22:$C$53,MATCH($D25&amp;"",입력옵션!$F$22:$F$53,0)),$C25&amp;"")))</f>
        <v/>
      </c>
      <c r="L25" s="97">
        <f>IF($A25="",0,$G25*설정!$C$23)</f>
        <v/>
      </c>
      <c r="M25" s="97">
        <f>IF($A25="",0,$H25*설정!$C$23)</f>
        <v/>
      </c>
    </row>
    <row r="26">
      <c r="A26" s="92" t="n">
        <v>2025</v>
      </c>
      <c r="B26" s="92" t="n">
        <v>2</v>
      </c>
      <c r="C26" s="92" t="inlineStr">
        <is>
          <t>P400</t>
        </is>
      </c>
      <c r="D26" s="92" t="inlineStr">
        <is>
          <t>법인세차감전이익</t>
        </is>
      </c>
      <c r="E26" s="92" t="inlineStr">
        <is>
          <t>손익</t>
        </is>
      </c>
      <c r="F26" s="92" t="n">
        <v>1</v>
      </c>
      <c r="G26" s="93" t="n">
        <v>13038296225</v>
      </c>
      <c r="H26" s="93" t="n">
        <v>24839351665</v>
      </c>
      <c r="J26" s="9">
        <f>IF($A26="","",VALUE($A26&amp;"")*12+VALUE($B26&amp;""))</f>
        <v/>
      </c>
      <c r="K26" s="9">
        <f>IF($A26="","",IFERROR(INDEX(입력옵션!$C$22:$C$53,MATCH($C26&amp;"",입력옵션!$E$22:$E$53,0)),IFERROR(INDEX(입력옵션!$C$22:$C$53,MATCH($D26&amp;"",입력옵션!$F$22:$F$53,0)),$C26&amp;"")))</f>
        <v/>
      </c>
      <c r="L26" s="97">
        <f>IF($A26="",0,$G26*설정!$C$23)</f>
        <v/>
      </c>
      <c r="M26" s="97">
        <f>IF($A26="",0,$H26*설정!$C$23)</f>
        <v/>
      </c>
    </row>
    <row r="27">
      <c r="A27" s="92" t="n">
        <v>2025</v>
      </c>
      <c r="B27" s="92" t="n">
        <v>2</v>
      </c>
      <c r="C27" s="92" t="inlineStr">
        <is>
          <t>P500</t>
        </is>
      </c>
      <c r="D27" s="92" t="inlineStr">
        <is>
          <t>법인세비용</t>
        </is>
      </c>
      <c r="E27" s="92" t="inlineStr">
        <is>
          <t>비용</t>
        </is>
      </c>
      <c r="F27" s="92" t="n">
        <v>1</v>
      </c>
      <c r="G27" s="93" t="n">
        <v>2868425000</v>
      </c>
      <c r="H27" s="93" t="n">
        <v>5464657000</v>
      </c>
      <c r="J27" s="9">
        <f>IF($A27="","",VALUE($A27&amp;"")*12+VALUE($B27&amp;""))</f>
        <v/>
      </c>
      <c r="K27" s="9">
        <f>IF($A27="","",IFERROR(INDEX(입력옵션!$C$22:$C$53,MATCH($C27&amp;"",입력옵션!$E$22:$E$53,0)),IFERROR(INDEX(입력옵션!$C$22:$C$53,MATCH($D27&amp;"",입력옵션!$F$22:$F$53,0)),$C27&amp;"")))</f>
        <v/>
      </c>
      <c r="L27" s="97">
        <f>IF($A27="",0,$G27*설정!$C$23)</f>
        <v/>
      </c>
      <c r="M27" s="97">
        <f>IF($A27="",0,$H27*설정!$C$23)</f>
        <v/>
      </c>
    </row>
    <row r="28">
      <c r="A28" s="92" t="n">
        <v>2025</v>
      </c>
      <c r="B28" s="92" t="n">
        <v>2</v>
      </c>
      <c r="C28" s="92" t="inlineStr">
        <is>
          <t>P600</t>
        </is>
      </c>
      <c r="D28" s="92" t="inlineStr">
        <is>
          <t>당기순이익</t>
        </is>
      </c>
      <c r="E28" s="92" t="inlineStr">
        <is>
          <t>손익</t>
        </is>
      </c>
      <c r="F28" s="92" t="n">
        <v>1</v>
      </c>
      <c r="G28" s="93" t="n">
        <v>10169871225</v>
      </c>
      <c r="H28" s="93" t="n">
        <v>19374694665</v>
      </c>
      <c r="J28" s="9">
        <f>IF($A28="","",VALUE($A28&amp;"")*12+VALUE($B28&amp;""))</f>
        <v/>
      </c>
      <c r="K28" s="9">
        <f>IF($A28="","",IFERROR(INDEX(입력옵션!$C$22:$C$53,MATCH($C28&amp;"",입력옵션!$E$22:$E$53,0)),IFERROR(INDEX(입력옵션!$C$22:$C$53,MATCH($D28&amp;"",입력옵션!$F$22:$F$53,0)),$C28&amp;"")))</f>
        <v/>
      </c>
      <c r="L28" s="97">
        <f>IF($A28="",0,$G28*설정!$C$23)</f>
        <v/>
      </c>
      <c r="M28" s="97">
        <f>IF($A28="",0,$H28*설정!$C$23)</f>
        <v/>
      </c>
    </row>
    <row r="29">
      <c r="A29" s="92" t="n">
        <v>2025</v>
      </c>
      <c r="B29" s="92" t="n">
        <v>3</v>
      </c>
      <c r="C29" s="92" t="inlineStr">
        <is>
          <t>P100</t>
        </is>
      </c>
      <c r="D29" s="92" t="inlineStr">
        <is>
          <t>보험손익</t>
        </is>
      </c>
      <c r="E29" s="92" t="inlineStr">
        <is>
          <t>손익</t>
        </is>
      </c>
      <c r="F29" s="92" t="n">
        <v>1</v>
      </c>
      <c r="G29" s="93" t="n">
        <v>9370593000</v>
      </c>
      <c r="H29" s="93" t="n">
        <v>31380076000</v>
      </c>
      <c r="J29" s="9">
        <f>IF($A29="","",VALUE($A29&amp;"")*12+VALUE($B29&amp;""))</f>
        <v/>
      </c>
      <c r="K29" s="9">
        <f>IF($A29="","",IFERROR(INDEX(입력옵션!$C$22:$C$53,MATCH($C29&amp;"",입력옵션!$E$22:$E$53,0)),IFERROR(INDEX(입력옵션!$C$22:$C$53,MATCH($D29&amp;"",입력옵션!$F$22:$F$53,0)),$C29&amp;"")))</f>
        <v/>
      </c>
      <c r="L29" s="97">
        <f>IF($A29="",0,$G29*설정!$C$23)</f>
        <v/>
      </c>
      <c r="M29" s="97">
        <f>IF($A29="",0,$H29*설정!$C$23)</f>
        <v/>
      </c>
    </row>
    <row r="30">
      <c r="A30" s="92" t="n">
        <v>2025</v>
      </c>
      <c r="B30" s="92" t="n">
        <v>3</v>
      </c>
      <c r="C30" s="92" t="inlineStr">
        <is>
          <t>P110</t>
        </is>
      </c>
      <c r="D30" s="92" t="inlineStr">
        <is>
          <t>보험수익</t>
        </is>
      </c>
      <c r="E30" s="92" t="inlineStr">
        <is>
          <t>수익</t>
        </is>
      </c>
      <c r="F30" s="92" t="n">
        <v>2</v>
      </c>
      <c r="G30" s="93" t="n">
        <v>62644523000</v>
      </c>
      <c r="H30" s="93" t="n">
        <v>185661627000</v>
      </c>
      <c r="J30" s="9">
        <f>IF($A30="","",VALUE($A30&amp;"")*12+VALUE($B30&amp;""))</f>
        <v/>
      </c>
      <c r="K30" s="9">
        <f>IF($A30="","",IFERROR(INDEX(입력옵션!$C$22:$C$53,MATCH($C30&amp;"",입력옵션!$E$22:$E$53,0)),IFERROR(INDEX(입력옵션!$C$22:$C$53,MATCH($D30&amp;"",입력옵션!$F$22:$F$53,0)),$C30&amp;"")))</f>
        <v/>
      </c>
      <c r="L30" s="97">
        <f>IF($A30="",0,$G30*설정!$C$23)</f>
        <v/>
      </c>
      <c r="M30" s="97">
        <f>IF($A30="",0,$H30*설정!$C$23)</f>
        <v/>
      </c>
    </row>
    <row r="31">
      <c r="A31" s="92" t="n">
        <v>2025</v>
      </c>
      <c r="B31" s="92" t="n">
        <v>3</v>
      </c>
      <c r="C31" s="92" t="inlineStr">
        <is>
          <t>P120</t>
        </is>
      </c>
      <c r="D31" s="92" t="inlineStr">
        <is>
          <t>보험서비스비용</t>
        </is>
      </c>
      <c r="E31" s="92" t="inlineStr">
        <is>
          <t>비용</t>
        </is>
      </c>
      <c r="F31" s="92" t="n">
        <v>2</v>
      </c>
      <c r="G31" s="93" t="n">
        <v>52106252000</v>
      </c>
      <c r="H31" s="93" t="n">
        <v>150832170000</v>
      </c>
      <c r="J31" s="9">
        <f>IF($A31="","",VALUE($A31&amp;"")*12+VALUE($B31&amp;""))</f>
        <v/>
      </c>
      <c r="K31" s="9">
        <f>IF($A31="","",IFERROR(INDEX(입력옵션!$C$22:$C$53,MATCH($C31&amp;"",입력옵션!$E$22:$E$53,0)),IFERROR(INDEX(입력옵션!$C$22:$C$53,MATCH($D31&amp;"",입력옵션!$F$22:$F$53,0)),$C31&amp;"")))</f>
        <v/>
      </c>
      <c r="L31" s="97">
        <f>IF($A31="",0,$G31*설정!$C$23)</f>
        <v/>
      </c>
      <c r="M31" s="97">
        <f>IF($A31="",0,$H31*설정!$C$23)</f>
        <v/>
      </c>
    </row>
    <row r="32">
      <c r="A32" s="92" t="n">
        <v>2025</v>
      </c>
      <c r="B32" s="92" t="n">
        <v>3</v>
      </c>
      <c r="C32" s="92" t="inlineStr">
        <is>
          <t>P130</t>
        </is>
      </c>
      <c r="D32" s="92" t="inlineStr">
        <is>
          <t>재보험손익</t>
        </is>
      </c>
      <c r="E32" s="92" t="inlineStr">
        <is>
          <t>손익</t>
        </is>
      </c>
      <c r="F32" s="92" t="n">
        <v>2</v>
      </c>
      <c r="G32" s="93" t="n">
        <v>-1167678000</v>
      </c>
      <c r="H32" s="93" t="n">
        <v>-3449381000</v>
      </c>
      <c r="J32" s="9">
        <f>IF($A32="","",VALUE($A32&amp;"")*12+VALUE($B32&amp;""))</f>
        <v/>
      </c>
      <c r="K32" s="9">
        <f>IF($A32="","",IFERROR(INDEX(입력옵션!$C$22:$C$53,MATCH($C32&amp;"",입력옵션!$E$22:$E$53,0)),IFERROR(INDEX(입력옵션!$C$22:$C$53,MATCH($D32&amp;"",입력옵션!$F$22:$F$53,0)),$C32&amp;"")))</f>
        <v/>
      </c>
      <c r="L32" s="97">
        <f>IF($A32="",0,$G32*설정!$C$23)</f>
        <v/>
      </c>
      <c r="M32" s="97">
        <f>IF($A32="",0,$H32*설정!$C$23)</f>
        <v/>
      </c>
    </row>
    <row r="33">
      <c r="A33" s="92" t="n">
        <v>2025</v>
      </c>
      <c r="B33" s="92" t="n">
        <v>3</v>
      </c>
      <c r="C33" s="92" t="inlineStr">
        <is>
          <t>P200</t>
        </is>
      </c>
      <c r="D33" s="92" t="inlineStr">
        <is>
          <t>투자손익</t>
        </is>
      </c>
      <c r="E33" s="92" t="inlineStr">
        <is>
          <t>손익</t>
        </is>
      </c>
      <c r="F33" s="92" t="n">
        <v>1</v>
      </c>
      <c r="G33" s="93" t="n">
        <v>1691502350</v>
      </c>
      <c r="H33" s="93" t="n">
        <v>5181007900</v>
      </c>
      <c r="J33" s="9">
        <f>IF($A33="","",VALUE($A33&amp;"")*12+VALUE($B33&amp;""))</f>
        <v/>
      </c>
      <c r="K33" s="9">
        <f>IF($A33="","",IFERROR(INDEX(입력옵션!$C$22:$C$53,MATCH($C33&amp;"",입력옵션!$E$22:$E$53,0)),IFERROR(INDEX(입력옵션!$C$22:$C$53,MATCH($D33&amp;"",입력옵션!$F$22:$F$53,0)),$C33&amp;"")))</f>
        <v/>
      </c>
      <c r="L33" s="97">
        <f>IF($A33="",0,$G33*설정!$C$23)</f>
        <v/>
      </c>
      <c r="M33" s="97">
        <f>IF($A33="",0,$H33*설정!$C$23)</f>
        <v/>
      </c>
    </row>
    <row r="34">
      <c r="A34" s="92" t="n">
        <v>2025</v>
      </c>
      <c r="B34" s="92" t="n">
        <v>3</v>
      </c>
      <c r="C34" s="92" t="inlineStr">
        <is>
          <t>P210</t>
        </is>
      </c>
      <c r="D34" s="92" t="inlineStr">
        <is>
          <t>투자수익</t>
        </is>
      </c>
      <c r="E34" s="92" t="inlineStr">
        <is>
          <t>수익</t>
        </is>
      </c>
      <c r="F34" s="92" t="n">
        <v>2</v>
      </c>
      <c r="G34" s="93" t="n">
        <v>9301874000</v>
      </c>
      <c r="H34" s="93" t="n">
        <v>28142753000</v>
      </c>
      <c r="J34" s="9">
        <f>IF($A34="","",VALUE($A34&amp;"")*12+VALUE($B34&amp;""))</f>
        <v/>
      </c>
      <c r="K34" s="9">
        <f>IF($A34="","",IFERROR(INDEX(입력옵션!$C$22:$C$53,MATCH($C34&amp;"",입력옵션!$E$22:$E$53,0)),IFERROR(INDEX(입력옵션!$C$22:$C$53,MATCH($D34&amp;"",입력옵션!$F$22:$F$53,0)),$C34&amp;"")))</f>
        <v/>
      </c>
      <c r="L34" s="97">
        <f>IF($A34="",0,$G34*설정!$C$23)</f>
        <v/>
      </c>
      <c r="M34" s="97">
        <f>IF($A34="",0,$H34*설정!$C$23)</f>
        <v/>
      </c>
    </row>
    <row r="35">
      <c r="A35" s="92" t="n">
        <v>2025</v>
      </c>
      <c r="B35" s="92" t="n">
        <v>3</v>
      </c>
      <c r="C35" s="92" t="inlineStr">
        <is>
          <t>P220</t>
        </is>
      </c>
      <c r="D35" s="92" t="inlineStr">
        <is>
          <t>보험금융비용</t>
        </is>
      </c>
      <c r="E35" s="92" t="inlineStr">
        <is>
          <t>비용</t>
        </is>
      </c>
      <c r="F35" s="92" t="n">
        <v>2</v>
      </c>
      <c r="G35" s="93" t="n">
        <v>7580913000</v>
      </c>
      <c r="H35" s="93" t="n">
        <v>22873999000</v>
      </c>
      <c r="J35" s="9">
        <f>IF($A35="","",VALUE($A35&amp;"")*12+VALUE($B35&amp;""))</f>
        <v/>
      </c>
      <c r="K35" s="9">
        <f>IF($A35="","",IFERROR(INDEX(입력옵션!$C$22:$C$53,MATCH($C35&amp;"",입력옵션!$E$22:$E$53,0)),IFERROR(INDEX(입력옵션!$C$22:$C$53,MATCH($D35&amp;"",입력옵션!$F$22:$F$53,0)),$C35&amp;"")))</f>
        <v/>
      </c>
      <c r="L35" s="97">
        <f>IF($A35="",0,$G35*설정!$C$23)</f>
        <v/>
      </c>
      <c r="M35" s="97">
        <f>IF($A35="",0,$H35*설정!$C$23)</f>
        <v/>
      </c>
    </row>
    <row r="36">
      <c r="A36" s="92" t="n">
        <v>2025</v>
      </c>
      <c r="B36" s="92" t="n">
        <v>3</v>
      </c>
      <c r="C36" s="92" t="inlineStr">
        <is>
          <t>P230</t>
        </is>
      </c>
      <c r="D36" s="92" t="inlineStr">
        <is>
          <t>재산관리비</t>
        </is>
      </c>
      <c r="E36" s="92" t="inlineStr">
        <is>
          <t>비용</t>
        </is>
      </c>
      <c r="F36" s="92" t="n">
        <v>2</v>
      </c>
      <c r="G36" s="93" t="n">
        <v>29458650</v>
      </c>
      <c r="H36" s="93" t="n">
        <v>87746100</v>
      </c>
      <c r="J36" s="9">
        <f>IF($A36="","",VALUE($A36&amp;"")*12+VALUE($B36&amp;""))</f>
        <v/>
      </c>
      <c r="K36" s="9">
        <f>IF($A36="","",IFERROR(INDEX(입력옵션!$C$22:$C$53,MATCH($C36&amp;"",입력옵션!$E$22:$E$53,0)),IFERROR(INDEX(입력옵션!$C$22:$C$53,MATCH($D36&amp;"",입력옵션!$F$22:$F$53,0)),$C36&amp;"")))</f>
        <v/>
      </c>
      <c r="L36" s="97">
        <f>IF($A36="",0,$G36*설정!$C$23)</f>
        <v/>
      </c>
      <c r="M36" s="97">
        <f>IF($A36="",0,$H36*설정!$C$23)</f>
        <v/>
      </c>
    </row>
    <row r="37">
      <c r="A37" s="92" t="n">
        <v>2025</v>
      </c>
      <c r="B37" s="92" t="n">
        <v>3</v>
      </c>
      <c r="C37" s="92" t="inlineStr">
        <is>
          <t>P300</t>
        </is>
      </c>
      <c r="D37" s="92" t="inlineStr">
        <is>
          <t>기타사업비용 (사업비)</t>
        </is>
      </c>
      <c r="E37" s="92" t="inlineStr">
        <is>
          <t>비용</t>
        </is>
      </c>
      <c r="F37" s="92" t="n">
        <v>1</v>
      </c>
      <c r="G37" s="93" t="n">
        <v>346976945</v>
      </c>
      <c r="H37" s="93" t="n">
        <v>1006613830</v>
      </c>
      <c r="J37" s="9">
        <f>IF($A37="","",VALUE($A37&amp;"")*12+VALUE($B37&amp;""))</f>
        <v/>
      </c>
      <c r="K37" s="9">
        <f>IF($A37="","",IFERROR(INDEX(입력옵션!$C$22:$C$53,MATCH($C37&amp;"",입력옵션!$E$22:$E$53,0)),IFERROR(INDEX(입력옵션!$C$22:$C$53,MATCH($D37&amp;"",입력옵션!$F$22:$F$53,0)),$C37&amp;"")))</f>
        <v/>
      </c>
      <c r="L37" s="97">
        <f>IF($A37="",0,$G37*설정!$C$23)</f>
        <v/>
      </c>
      <c r="M37" s="97">
        <f>IF($A37="",0,$H37*설정!$C$23)</f>
        <v/>
      </c>
    </row>
    <row r="38">
      <c r="A38" s="92" t="n">
        <v>2025</v>
      </c>
      <c r="B38" s="92" t="n">
        <v>3</v>
      </c>
      <c r="C38" s="92" t="inlineStr">
        <is>
          <t>P400</t>
        </is>
      </c>
      <c r="D38" s="92" t="inlineStr">
        <is>
          <t>법인세차감전이익</t>
        </is>
      </c>
      <c r="E38" s="92" t="inlineStr">
        <is>
          <t>손익</t>
        </is>
      </c>
      <c r="F38" s="92" t="n">
        <v>1</v>
      </c>
      <c r="G38" s="93" t="n">
        <v>10715118405</v>
      </c>
      <c r="H38" s="93" t="n">
        <v>35554470070</v>
      </c>
      <c r="J38" s="9">
        <f>IF($A38="","",VALUE($A38&amp;"")*12+VALUE($B38&amp;""))</f>
        <v/>
      </c>
      <c r="K38" s="9">
        <f>IF($A38="","",IFERROR(INDEX(입력옵션!$C$22:$C$53,MATCH($C38&amp;"",입력옵션!$E$22:$E$53,0)),IFERROR(INDEX(입력옵션!$C$22:$C$53,MATCH($D38&amp;"",입력옵션!$F$22:$F$53,0)),$C38&amp;"")))</f>
        <v/>
      </c>
      <c r="L38" s="97">
        <f>IF($A38="",0,$G38*설정!$C$23)</f>
        <v/>
      </c>
      <c r="M38" s="97">
        <f>IF($A38="",0,$H38*설정!$C$23)</f>
        <v/>
      </c>
    </row>
    <row r="39">
      <c r="A39" s="92" t="n">
        <v>2025</v>
      </c>
      <c r="B39" s="92" t="n">
        <v>3</v>
      </c>
      <c r="C39" s="92" t="inlineStr">
        <is>
          <t>P500</t>
        </is>
      </c>
      <c r="D39" s="92" t="inlineStr">
        <is>
          <t>법인세비용</t>
        </is>
      </c>
      <c r="E39" s="92" t="inlineStr">
        <is>
          <t>비용</t>
        </is>
      </c>
      <c r="F39" s="92" t="n">
        <v>1</v>
      </c>
      <c r="G39" s="93" t="n">
        <v>2357326000</v>
      </c>
      <c r="H39" s="93" t="n">
        <v>7821983000</v>
      </c>
      <c r="J39" s="9">
        <f>IF($A39="","",VALUE($A39&amp;"")*12+VALUE($B39&amp;""))</f>
        <v/>
      </c>
      <c r="K39" s="9">
        <f>IF($A39="","",IFERROR(INDEX(입력옵션!$C$22:$C$53,MATCH($C39&amp;"",입력옵션!$E$22:$E$53,0)),IFERROR(INDEX(입력옵션!$C$22:$C$53,MATCH($D39&amp;"",입력옵션!$F$22:$F$53,0)),$C39&amp;"")))</f>
        <v/>
      </c>
      <c r="L39" s="97">
        <f>IF($A39="",0,$G39*설정!$C$23)</f>
        <v/>
      </c>
      <c r="M39" s="97">
        <f>IF($A39="",0,$H39*설정!$C$23)</f>
        <v/>
      </c>
    </row>
    <row r="40">
      <c r="A40" s="92" t="n">
        <v>2025</v>
      </c>
      <c r="B40" s="92" t="n">
        <v>3</v>
      </c>
      <c r="C40" s="92" t="inlineStr">
        <is>
          <t>P600</t>
        </is>
      </c>
      <c r="D40" s="92" t="inlineStr">
        <is>
          <t>당기순이익</t>
        </is>
      </c>
      <c r="E40" s="92" t="inlineStr">
        <is>
          <t>손익</t>
        </is>
      </c>
      <c r="F40" s="92" t="n">
        <v>1</v>
      </c>
      <c r="G40" s="93" t="n">
        <v>8357792405</v>
      </c>
      <c r="H40" s="93" t="n">
        <v>27732487070</v>
      </c>
      <c r="J40" s="9">
        <f>IF($A40="","",VALUE($A40&amp;"")*12+VALUE($B40&amp;""))</f>
        <v/>
      </c>
      <c r="K40" s="9">
        <f>IF($A40="","",IFERROR(INDEX(입력옵션!$C$22:$C$53,MATCH($C40&amp;"",입력옵션!$E$22:$E$53,0)),IFERROR(INDEX(입력옵션!$C$22:$C$53,MATCH($D40&amp;"",입력옵션!$F$22:$F$53,0)),$C40&amp;"")))</f>
        <v/>
      </c>
      <c r="L40" s="97">
        <f>IF($A40="",0,$G40*설정!$C$23)</f>
        <v/>
      </c>
      <c r="M40" s="97">
        <f>IF($A40="",0,$H40*설정!$C$23)</f>
        <v/>
      </c>
    </row>
    <row r="41">
      <c r="A41" s="92" t="n">
        <v>2025</v>
      </c>
      <c r="B41" s="92" t="n">
        <v>4</v>
      </c>
      <c r="C41" s="92" t="inlineStr">
        <is>
          <t>P100</t>
        </is>
      </c>
      <c r="D41" s="92" t="inlineStr">
        <is>
          <t>보험손익</t>
        </is>
      </c>
      <c r="E41" s="92" t="inlineStr">
        <is>
          <t>손익</t>
        </is>
      </c>
      <c r="F41" s="92" t="n">
        <v>1</v>
      </c>
      <c r="G41" s="93" t="n">
        <v>13721921000</v>
      </c>
      <c r="H41" s="93" t="n">
        <v>45101997000</v>
      </c>
      <c r="J41" s="9">
        <f>IF($A41="","",VALUE($A41&amp;"")*12+VALUE($B41&amp;""))</f>
        <v/>
      </c>
      <c r="K41" s="9">
        <f>IF($A41="","",IFERROR(INDEX(입력옵션!$C$22:$C$53,MATCH($C41&amp;"",입력옵션!$E$22:$E$53,0)),IFERROR(INDEX(입력옵션!$C$22:$C$53,MATCH($D41&amp;"",입력옵션!$F$22:$F$53,0)),$C41&amp;"")))</f>
        <v/>
      </c>
      <c r="L41" s="97">
        <f>IF($A41="",0,$G41*설정!$C$23)</f>
        <v/>
      </c>
      <c r="M41" s="97">
        <f>IF($A41="",0,$H41*설정!$C$23)</f>
        <v/>
      </c>
    </row>
    <row r="42">
      <c r="A42" s="92" t="n">
        <v>2025</v>
      </c>
      <c r="B42" s="92" t="n">
        <v>4</v>
      </c>
      <c r="C42" s="92" t="inlineStr">
        <is>
          <t>P110</t>
        </is>
      </c>
      <c r="D42" s="92" t="inlineStr">
        <is>
          <t>보험수익</t>
        </is>
      </c>
      <c r="E42" s="92" t="inlineStr">
        <is>
          <t>수익</t>
        </is>
      </c>
      <c r="F42" s="92" t="n">
        <v>2</v>
      </c>
      <c r="G42" s="93" t="n">
        <v>64230049000</v>
      </c>
      <c r="H42" s="93" t="n">
        <v>249891676000</v>
      </c>
      <c r="J42" s="9">
        <f>IF($A42="","",VALUE($A42&amp;"")*12+VALUE($B42&amp;""))</f>
        <v/>
      </c>
      <c r="K42" s="9">
        <f>IF($A42="","",IFERROR(INDEX(입력옵션!$C$22:$C$53,MATCH($C42&amp;"",입력옵션!$E$22:$E$53,0)),IFERROR(INDEX(입력옵션!$C$22:$C$53,MATCH($D42&amp;"",입력옵션!$F$22:$F$53,0)),$C42&amp;"")))</f>
        <v/>
      </c>
      <c r="L42" s="97">
        <f>IF($A42="",0,$G42*설정!$C$23)</f>
        <v/>
      </c>
      <c r="M42" s="97">
        <f>IF($A42="",0,$H42*설정!$C$23)</f>
        <v/>
      </c>
    </row>
    <row r="43">
      <c r="A43" s="92" t="n">
        <v>2025</v>
      </c>
      <c r="B43" s="92" t="n">
        <v>4</v>
      </c>
      <c r="C43" s="92" t="inlineStr">
        <is>
          <t>P120</t>
        </is>
      </c>
      <c r="D43" s="92" t="inlineStr">
        <is>
          <t>보험서비스비용</t>
        </is>
      </c>
      <c r="E43" s="92" t="inlineStr">
        <is>
          <t>비용</t>
        </is>
      </c>
      <c r="F43" s="92" t="n">
        <v>2</v>
      </c>
      <c r="G43" s="93" t="n">
        <v>49598131000</v>
      </c>
      <c r="H43" s="93" t="n">
        <v>200430301000</v>
      </c>
      <c r="J43" s="9">
        <f>IF($A43="","",VALUE($A43&amp;"")*12+VALUE($B43&amp;""))</f>
        <v/>
      </c>
      <c r="K43" s="9">
        <f>IF($A43="","",IFERROR(INDEX(입력옵션!$C$22:$C$53,MATCH($C43&amp;"",입력옵션!$E$22:$E$53,0)),IFERROR(INDEX(입력옵션!$C$22:$C$53,MATCH($D43&amp;"",입력옵션!$F$22:$F$53,0)),$C43&amp;"")))</f>
        <v/>
      </c>
      <c r="L43" s="97">
        <f>IF($A43="",0,$G43*설정!$C$23)</f>
        <v/>
      </c>
      <c r="M43" s="97">
        <f>IF($A43="",0,$H43*설정!$C$23)</f>
        <v/>
      </c>
    </row>
    <row r="44">
      <c r="A44" s="92" t="n">
        <v>2025</v>
      </c>
      <c r="B44" s="92" t="n">
        <v>4</v>
      </c>
      <c r="C44" s="92" t="inlineStr">
        <is>
          <t>P130</t>
        </is>
      </c>
      <c r="D44" s="92" t="inlineStr">
        <is>
          <t>재보험손익</t>
        </is>
      </c>
      <c r="E44" s="92" t="inlineStr">
        <is>
          <t>손익</t>
        </is>
      </c>
      <c r="F44" s="92" t="n">
        <v>2</v>
      </c>
      <c r="G44" s="93" t="n">
        <v>-909997000</v>
      </c>
      <c r="H44" s="93" t="n">
        <v>-4359378000</v>
      </c>
      <c r="J44" s="9">
        <f>IF($A44="","",VALUE($A44&amp;"")*12+VALUE($B44&amp;""))</f>
        <v/>
      </c>
      <c r="K44" s="9">
        <f>IF($A44="","",IFERROR(INDEX(입력옵션!$C$22:$C$53,MATCH($C44&amp;"",입력옵션!$E$22:$E$53,0)),IFERROR(INDEX(입력옵션!$C$22:$C$53,MATCH($D44&amp;"",입력옵션!$F$22:$F$53,0)),$C44&amp;"")))</f>
        <v/>
      </c>
      <c r="L44" s="97">
        <f>IF($A44="",0,$G44*설정!$C$23)</f>
        <v/>
      </c>
      <c r="M44" s="97">
        <f>IF($A44="",0,$H44*설정!$C$23)</f>
        <v/>
      </c>
    </row>
    <row r="45">
      <c r="A45" s="92" t="n">
        <v>2025</v>
      </c>
      <c r="B45" s="92" t="n">
        <v>4</v>
      </c>
      <c r="C45" s="92" t="inlineStr">
        <is>
          <t>P200</t>
        </is>
      </c>
      <c r="D45" s="92" t="inlineStr">
        <is>
          <t>투자손익</t>
        </is>
      </c>
      <c r="E45" s="92" t="inlineStr">
        <is>
          <t>손익</t>
        </is>
      </c>
      <c r="F45" s="92" t="n">
        <v>1</v>
      </c>
      <c r="G45" s="93" t="n">
        <v>1152820100</v>
      </c>
      <c r="H45" s="93" t="n">
        <v>6333828000</v>
      </c>
      <c r="J45" s="9">
        <f>IF($A45="","",VALUE($A45&amp;"")*12+VALUE($B45&amp;""))</f>
        <v/>
      </c>
      <c r="K45" s="9">
        <f>IF($A45="","",IFERROR(INDEX(입력옵션!$C$22:$C$53,MATCH($C45&amp;"",입력옵션!$E$22:$E$53,0)),IFERROR(INDEX(입력옵션!$C$22:$C$53,MATCH($D45&amp;"",입력옵션!$F$22:$F$53,0)),$C45&amp;"")))</f>
        <v/>
      </c>
      <c r="L45" s="97">
        <f>IF($A45="",0,$G45*설정!$C$23)</f>
        <v/>
      </c>
      <c r="M45" s="97">
        <f>IF($A45="",0,$H45*설정!$C$23)</f>
        <v/>
      </c>
    </row>
    <row r="46">
      <c r="A46" s="92" t="n">
        <v>2025</v>
      </c>
      <c r="B46" s="92" t="n">
        <v>4</v>
      </c>
      <c r="C46" s="92" t="inlineStr">
        <is>
          <t>P210</t>
        </is>
      </c>
      <c r="D46" s="92" t="inlineStr">
        <is>
          <t>투자수익</t>
        </is>
      </c>
      <c r="E46" s="92" t="inlineStr">
        <is>
          <t>수익</t>
        </is>
      </c>
      <c r="F46" s="92" t="n">
        <v>2</v>
      </c>
      <c r="G46" s="93" t="n">
        <v>8824998000</v>
      </c>
      <c r="H46" s="93" t="n">
        <v>36967751000</v>
      </c>
      <c r="J46" s="9">
        <f>IF($A46="","",VALUE($A46&amp;"")*12+VALUE($B46&amp;""))</f>
        <v/>
      </c>
      <c r="K46" s="9">
        <f>IF($A46="","",IFERROR(INDEX(입력옵션!$C$22:$C$53,MATCH($C46&amp;"",입력옵션!$E$22:$E$53,0)),IFERROR(INDEX(입력옵션!$C$22:$C$53,MATCH($D46&amp;"",입력옵션!$F$22:$F$53,0)),$C46&amp;"")))</f>
        <v/>
      </c>
      <c r="L46" s="97">
        <f>IF($A46="",0,$G46*설정!$C$23)</f>
        <v/>
      </c>
      <c r="M46" s="97">
        <f>IF($A46="",0,$H46*설정!$C$23)</f>
        <v/>
      </c>
    </row>
    <row r="47">
      <c r="A47" s="92" t="n">
        <v>2025</v>
      </c>
      <c r="B47" s="92" t="n">
        <v>4</v>
      </c>
      <c r="C47" s="92" t="inlineStr">
        <is>
          <t>P220</t>
        </is>
      </c>
      <c r="D47" s="92" t="inlineStr">
        <is>
          <t>보험금융비용</t>
        </is>
      </c>
      <c r="E47" s="92" t="inlineStr">
        <is>
          <t>비용</t>
        </is>
      </c>
      <c r="F47" s="92" t="n">
        <v>2</v>
      </c>
      <c r="G47" s="93" t="n">
        <v>7642703000</v>
      </c>
      <c r="H47" s="93" t="n">
        <v>30516702000</v>
      </c>
      <c r="J47" s="9">
        <f>IF($A47="","",VALUE($A47&amp;"")*12+VALUE($B47&amp;""))</f>
        <v/>
      </c>
      <c r="K47" s="9">
        <f>IF($A47="","",IFERROR(INDEX(입력옵션!$C$22:$C$53,MATCH($C47&amp;"",입력옵션!$E$22:$E$53,0)),IFERROR(INDEX(입력옵션!$C$22:$C$53,MATCH($D47&amp;"",입력옵션!$F$22:$F$53,0)),$C47&amp;"")))</f>
        <v/>
      </c>
      <c r="L47" s="97">
        <f>IF($A47="",0,$G47*설정!$C$23)</f>
        <v/>
      </c>
      <c r="M47" s="97">
        <f>IF($A47="",0,$H47*설정!$C$23)</f>
        <v/>
      </c>
    </row>
    <row r="48">
      <c r="A48" s="92" t="n">
        <v>2025</v>
      </c>
      <c r="B48" s="92" t="n">
        <v>4</v>
      </c>
      <c r="C48" s="92" t="inlineStr">
        <is>
          <t>P230</t>
        </is>
      </c>
      <c r="D48" s="92" t="inlineStr">
        <is>
          <t>재산관리비</t>
        </is>
      </c>
      <c r="E48" s="92" t="inlineStr">
        <is>
          <t>비용</t>
        </is>
      </c>
      <c r="F48" s="92" t="n">
        <v>2</v>
      </c>
      <c r="G48" s="93" t="n">
        <v>29474900</v>
      </c>
      <c r="H48" s="93" t="n">
        <v>117221000</v>
      </c>
      <c r="J48" s="9">
        <f>IF($A48="","",VALUE($A48&amp;"")*12+VALUE($B48&amp;""))</f>
        <v/>
      </c>
      <c r="K48" s="9">
        <f>IF($A48="","",IFERROR(INDEX(입력옵션!$C$22:$C$53,MATCH($C48&amp;"",입력옵션!$E$22:$E$53,0)),IFERROR(INDEX(입력옵션!$C$22:$C$53,MATCH($D48&amp;"",입력옵션!$F$22:$F$53,0)),$C48&amp;"")))</f>
        <v/>
      </c>
      <c r="L48" s="97">
        <f>IF($A48="",0,$G48*설정!$C$23)</f>
        <v/>
      </c>
      <c r="M48" s="97">
        <f>IF($A48="",0,$H48*설정!$C$23)</f>
        <v/>
      </c>
    </row>
    <row r="49">
      <c r="A49" s="92" t="n">
        <v>2025</v>
      </c>
      <c r="B49" s="92" t="n">
        <v>4</v>
      </c>
      <c r="C49" s="92" t="inlineStr">
        <is>
          <t>P300</t>
        </is>
      </c>
      <c r="D49" s="92" t="inlineStr">
        <is>
          <t>기타사업비용 (사업비)</t>
        </is>
      </c>
      <c r="E49" s="92" t="inlineStr">
        <is>
          <t>비용</t>
        </is>
      </c>
      <c r="F49" s="92" t="n">
        <v>1</v>
      </c>
      <c r="G49" s="93" t="n">
        <v>338169420</v>
      </c>
      <c r="H49" s="93" t="n">
        <v>1344783250</v>
      </c>
      <c r="J49" s="9">
        <f>IF($A49="","",VALUE($A49&amp;"")*12+VALUE($B49&amp;""))</f>
        <v/>
      </c>
      <c r="K49" s="9">
        <f>IF($A49="","",IFERROR(INDEX(입력옵션!$C$22:$C$53,MATCH($C49&amp;"",입력옵션!$E$22:$E$53,0)),IFERROR(INDEX(입력옵션!$C$22:$C$53,MATCH($D49&amp;"",입력옵션!$F$22:$F$53,0)),$C49&amp;"")))</f>
        <v/>
      </c>
      <c r="L49" s="97">
        <f>IF($A49="",0,$G49*설정!$C$23)</f>
        <v/>
      </c>
      <c r="M49" s="97">
        <f>IF($A49="",0,$H49*설정!$C$23)</f>
        <v/>
      </c>
    </row>
    <row r="50">
      <c r="A50" s="92" t="n">
        <v>2025</v>
      </c>
      <c r="B50" s="92" t="n">
        <v>4</v>
      </c>
      <c r="C50" s="92" t="inlineStr">
        <is>
          <t>P400</t>
        </is>
      </c>
      <c r="D50" s="92" t="inlineStr">
        <is>
          <t>법인세차감전이익</t>
        </is>
      </c>
      <c r="E50" s="92" t="inlineStr">
        <is>
          <t>손익</t>
        </is>
      </c>
      <c r="F50" s="92" t="n">
        <v>1</v>
      </c>
      <c r="G50" s="93" t="n">
        <v>14536571680</v>
      </c>
      <c r="H50" s="93" t="n">
        <v>50091041750</v>
      </c>
      <c r="J50" s="9">
        <f>IF($A50="","",VALUE($A50&amp;"")*12+VALUE($B50&amp;""))</f>
        <v/>
      </c>
      <c r="K50" s="9">
        <f>IF($A50="","",IFERROR(INDEX(입력옵션!$C$22:$C$53,MATCH($C50&amp;"",입력옵션!$E$22:$E$53,0)),IFERROR(INDEX(입력옵션!$C$22:$C$53,MATCH($D50&amp;"",입력옵션!$F$22:$F$53,0)),$C50&amp;"")))</f>
        <v/>
      </c>
      <c r="L50" s="97">
        <f>IF($A50="",0,$G50*설정!$C$23)</f>
        <v/>
      </c>
      <c r="M50" s="97">
        <f>IF($A50="",0,$H50*설정!$C$23)</f>
        <v/>
      </c>
    </row>
    <row r="51">
      <c r="A51" s="92" t="n">
        <v>2025</v>
      </c>
      <c r="B51" s="92" t="n">
        <v>4</v>
      </c>
      <c r="C51" s="92" t="inlineStr">
        <is>
          <t>P500</t>
        </is>
      </c>
      <c r="D51" s="92" t="inlineStr">
        <is>
          <t>법인세비용</t>
        </is>
      </c>
      <c r="E51" s="92" t="inlineStr">
        <is>
          <t>비용</t>
        </is>
      </c>
      <c r="F51" s="92" t="n">
        <v>1</v>
      </c>
      <c r="G51" s="93" t="n">
        <v>3198046000</v>
      </c>
      <c r="H51" s="93" t="n">
        <v>11020029000</v>
      </c>
      <c r="J51" s="9">
        <f>IF($A51="","",VALUE($A51&amp;"")*12+VALUE($B51&amp;""))</f>
        <v/>
      </c>
      <c r="K51" s="9">
        <f>IF($A51="","",IFERROR(INDEX(입력옵션!$C$22:$C$53,MATCH($C51&amp;"",입력옵션!$E$22:$E$53,0)),IFERROR(INDEX(입력옵션!$C$22:$C$53,MATCH($D51&amp;"",입력옵션!$F$22:$F$53,0)),$C51&amp;"")))</f>
        <v/>
      </c>
      <c r="L51" s="97">
        <f>IF($A51="",0,$G51*설정!$C$23)</f>
        <v/>
      </c>
      <c r="M51" s="97">
        <f>IF($A51="",0,$H51*설정!$C$23)</f>
        <v/>
      </c>
    </row>
    <row r="52">
      <c r="A52" s="92" t="n">
        <v>2025</v>
      </c>
      <c r="B52" s="92" t="n">
        <v>4</v>
      </c>
      <c r="C52" s="92" t="inlineStr">
        <is>
          <t>P600</t>
        </is>
      </c>
      <c r="D52" s="92" t="inlineStr">
        <is>
          <t>당기순이익</t>
        </is>
      </c>
      <c r="E52" s="92" t="inlineStr">
        <is>
          <t>손익</t>
        </is>
      </c>
      <c r="F52" s="92" t="n">
        <v>1</v>
      </c>
      <c r="G52" s="93" t="n">
        <v>11338525680</v>
      </c>
      <c r="H52" s="93" t="n">
        <v>39071012750</v>
      </c>
      <c r="J52" s="9">
        <f>IF($A52="","",VALUE($A52&amp;"")*12+VALUE($B52&amp;""))</f>
        <v/>
      </c>
      <c r="K52" s="9">
        <f>IF($A52="","",IFERROR(INDEX(입력옵션!$C$22:$C$53,MATCH($C52&amp;"",입력옵션!$E$22:$E$53,0)),IFERROR(INDEX(입력옵션!$C$22:$C$53,MATCH($D52&amp;"",입력옵션!$F$22:$F$53,0)),$C52&amp;"")))</f>
        <v/>
      </c>
      <c r="L52" s="97">
        <f>IF($A52="",0,$G52*설정!$C$23)</f>
        <v/>
      </c>
      <c r="M52" s="97">
        <f>IF($A52="",0,$H52*설정!$C$23)</f>
        <v/>
      </c>
    </row>
    <row r="53">
      <c r="A53" s="92" t="n">
        <v>2025</v>
      </c>
      <c r="B53" s="92" t="n">
        <v>5</v>
      </c>
      <c r="C53" s="92" t="inlineStr">
        <is>
          <t>P100</t>
        </is>
      </c>
      <c r="D53" s="92" t="inlineStr">
        <is>
          <t>보험손익</t>
        </is>
      </c>
      <c r="E53" s="92" t="inlineStr">
        <is>
          <t>손익</t>
        </is>
      </c>
      <c r="F53" s="92" t="n">
        <v>1</v>
      </c>
      <c r="G53" s="93" t="n">
        <v>11103838000</v>
      </c>
      <c r="H53" s="93" t="n">
        <v>56205835000</v>
      </c>
      <c r="J53" s="9">
        <f>IF($A53="","",VALUE($A53&amp;"")*12+VALUE($B53&amp;""))</f>
        <v/>
      </c>
      <c r="K53" s="9">
        <f>IF($A53="","",IFERROR(INDEX(입력옵션!$C$22:$C$53,MATCH($C53&amp;"",입력옵션!$E$22:$E$53,0)),IFERROR(INDEX(입력옵션!$C$22:$C$53,MATCH($D53&amp;"",입력옵션!$F$22:$F$53,0)),$C53&amp;"")))</f>
        <v/>
      </c>
      <c r="L53" s="97">
        <f>IF($A53="",0,$G53*설정!$C$23)</f>
        <v/>
      </c>
      <c r="M53" s="97">
        <f>IF($A53="",0,$H53*설정!$C$23)</f>
        <v/>
      </c>
    </row>
    <row r="54">
      <c r="A54" s="92" t="n">
        <v>2025</v>
      </c>
      <c r="B54" s="92" t="n">
        <v>5</v>
      </c>
      <c r="C54" s="92" t="inlineStr">
        <is>
          <t>P110</t>
        </is>
      </c>
      <c r="D54" s="92" t="inlineStr">
        <is>
          <t>보험수익</t>
        </is>
      </c>
      <c r="E54" s="92" t="inlineStr">
        <is>
          <t>수익</t>
        </is>
      </c>
      <c r="F54" s="92" t="n">
        <v>2</v>
      </c>
      <c r="G54" s="93" t="n">
        <v>61589437000</v>
      </c>
      <c r="H54" s="93" t="n">
        <v>311481113000</v>
      </c>
      <c r="J54" s="9">
        <f>IF($A54="","",VALUE($A54&amp;"")*12+VALUE($B54&amp;""))</f>
        <v/>
      </c>
      <c r="K54" s="9">
        <f>IF($A54="","",IFERROR(INDEX(입력옵션!$C$22:$C$53,MATCH($C54&amp;"",입력옵션!$E$22:$E$53,0)),IFERROR(INDEX(입력옵션!$C$22:$C$53,MATCH($D54&amp;"",입력옵션!$F$22:$F$53,0)),$C54&amp;"")))</f>
        <v/>
      </c>
      <c r="L54" s="97">
        <f>IF($A54="",0,$G54*설정!$C$23)</f>
        <v/>
      </c>
      <c r="M54" s="97">
        <f>IF($A54="",0,$H54*설정!$C$23)</f>
        <v/>
      </c>
    </row>
    <row r="55">
      <c r="A55" s="92" t="n">
        <v>2025</v>
      </c>
      <c r="B55" s="92" t="n">
        <v>5</v>
      </c>
      <c r="C55" s="92" t="inlineStr">
        <is>
          <t>P120</t>
        </is>
      </c>
      <c r="D55" s="92" t="inlineStr">
        <is>
          <t>보험서비스비용</t>
        </is>
      </c>
      <c r="E55" s="92" t="inlineStr">
        <is>
          <t>비용</t>
        </is>
      </c>
      <c r="F55" s="92" t="n">
        <v>2</v>
      </c>
      <c r="G55" s="93" t="n">
        <v>49371982000</v>
      </c>
      <c r="H55" s="93" t="n">
        <v>249802283000</v>
      </c>
      <c r="J55" s="9">
        <f>IF($A55="","",VALUE($A55&amp;"")*12+VALUE($B55&amp;""))</f>
        <v/>
      </c>
      <c r="K55" s="9">
        <f>IF($A55="","",IFERROR(INDEX(입력옵션!$C$22:$C$53,MATCH($C55&amp;"",입력옵션!$E$22:$E$53,0)),IFERROR(INDEX(입력옵션!$C$22:$C$53,MATCH($D55&amp;"",입력옵션!$F$22:$F$53,0)),$C55&amp;"")))</f>
        <v/>
      </c>
      <c r="L55" s="97">
        <f>IF($A55="",0,$G55*설정!$C$23)</f>
        <v/>
      </c>
      <c r="M55" s="97">
        <f>IF($A55="",0,$H55*설정!$C$23)</f>
        <v/>
      </c>
    </row>
    <row r="56">
      <c r="A56" s="92" t="n">
        <v>2025</v>
      </c>
      <c r="B56" s="92" t="n">
        <v>5</v>
      </c>
      <c r="C56" s="92" t="inlineStr">
        <is>
          <t>P130</t>
        </is>
      </c>
      <c r="D56" s="92" t="inlineStr">
        <is>
          <t>재보험손익</t>
        </is>
      </c>
      <c r="E56" s="92" t="inlineStr">
        <is>
          <t>손익</t>
        </is>
      </c>
      <c r="F56" s="92" t="n">
        <v>2</v>
      </c>
      <c r="G56" s="93" t="n">
        <v>-1113617000</v>
      </c>
      <c r="H56" s="93" t="n">
        <v>-5472995000</v>
      </c>
      <c r="J56" s="9">
        <f>IF($A56="","",VALUE($A56&amp;"")*12+VALUE($B56&amp;""))</f>
        <v/>
      </c>
      <c r="K56" s="9">
        <f>IF($A56="","",IFERROR(INDEX(입력옵션!$C$22:$C$53,MATCH($C56&amp;"",입력옵션!$E$22:$E$53,0)),IFERROR(INDEX(입력옵션!$C$22:$C$53,MATCH($D56&amp;"",입력옵션!$F$22:$F$53,0)),$C56&amp;"")))</f>
        <v/>
      </c>
      <c r="L56" s="97">
        <f>IF($A56="",0,$G56*설정!$C$23)</f>
        <v/>
      </c>
      <c r="M56" s="97">
        <f>IF($A56="",0,$H56*설정!$C$23)</f>
        <v/>
      </c>
    </row>
    <row r="57">
      <c r="A57" s="92" t="n">
        <v>2025</v>
      </c>
      <c r="B57" s="92" t="n">
        <v>5</v>
      </c>
      <c r="C57" s="92" t="inlineStr">
        <is>
          <t>P200</t>
        </is>
      </c>
      <c r="D57" s="92" t="inlineStr">
        <is>
          <t>투자손익</t>
        </is>
      </c>
      <c r="E57" s="92" t="inlineStr">
        <is>
          <t>손익</t>
        </is>
      </c>
      <c r="F57" s="92" t="n">
        <v>1</v>
      </c>
      <c r="G57" s="93" t="n">
        <v>1185417200</v>
      </c>
      <c r="H57" s="93" t="n">
        <v>7519245200</v>
      </c>
      <c r="J57" s="9">
        <f>IF($A57="","",VALUE($A57&amp;"")*12+VALUE($B57&amp;""))</f>
        <v/>
      </c>
      <c r="K57" s="9">
        <f>IF($A57="","",IFERROR(INDEX(입력옵션!$C$22:$C$53,MATCH($C57&amp;"",입력옵션!$E$22:$E$53,0)),IFERROR(INDEX(입력옵션!$C$22:$C$53,MATCH($D57&amp;"",입력옵션!$F$22:$F$53,0)),$C57&amp;"")))</f>
        <v/>
      </c>
      <c r="L57" s="97">
        <f>IF($A57="",0,$G57*설정!$C$23)</f>
        <v/>
      </c>
      <c r="M57" s="97">
        <f>IF($A57="",0,$H57*설정!$C$23)</f>
        <v/>
      </c>
    </row>
    <row r="58">
      <c r="A58" s="92" t="n">
        <v>2025</v>
      </c>
      <c r="B58" s="92" t="n">
        <v>5</v>
      </c>
      <c r="C58" s="92" t="inlineStr">
        <is>
          <t>P210</t>
        </is>
      </c>
      <c r="D58" s="92" t="inlineStr">
        <is>
          <t>투자수익</t>
        </is>
      </c>
      <c r="E58" s="92" t="inlineStr">
        <is>
          <t>수익</t>
        </is>
      </c>
      <c r="F58" s="92" t="n">
        <v>2</v>
      </c>
      <c r="G58" s="93" t="n">
        <v>9038900000</v>
      </c>
      <c r="H58" s="93" t="n">
        <v>46006651000</v>
      </c>
      <c r="J58" s="9">
        <f>IF($A58="","",VALUE($A58&amp;"")*12+VALUE($B58&amp;""))</f>
        <v/>
      </c>
      <c r="K58" s="9">
        <f>IF($A58="","",IFERROR(INDEX(입력옵션!$C$22:$C$53,MATCH($C58&amp;"",입력옵션!$E$22:$E$53,0)),IFERROR(INDEX(입력옵션!$C$22:$C$53,MATCH($D58&amp;"",입력옵션!$F$22:$F$53,0)),$C58&amp;"")))</f>
        <v/>
      </c>
      <c r="L58" s="97">
        <f>IF($A58="",0,$G58*설정!$C$23)</f>
        <v/>
      </c>
      <c r="M58" s="97">
        <f>IF($A58="",0,$H58*설정!$C$23)</f>
        <v/>
      </c>
    </row>
    <row r="59">
      <c r="A59" s="92" t="n">
        <v>2025</v>
      </c>
      <c r="B59" s="92" t="n">
        <v>5</v>
      </c>
      <c r="C59" s="92" t="inlineStr">
        <is>
          <t>P220</t>
        </is>
      </c>
      <c r="D59" s="92" t="inlineStr">
        <is>
          <t>보험금융비용</t>
        </is>
      </c>
      <c r="E59" s="92" t="inlineStr">
        <is>
          <t>비용</t>
        </is>
      </c>
      <c r="F59" s="92" t="n">
        <v>2</v>
      </c>
      <c r="G59" s="93" t="n">
        <v>7824589000</v>
      </c>
      <c r="H59" s="93" t="n">
        <v>38341291000</v>
      </c>
      <c r="J59" s="9">
        <f>IF($A59="","",VALUE($A59&amp;"")*12+VALUE($B59&amp;""))</f>
        <v/>
      </c>
      <c r="K59" s="9">
        <f>IF($A59="","",IFERROR(INDEX(입력옵션!$C$22:$C$53,MATCH($C59&amp;"",입력옵션!$E$22:$E$53,0)),IFERROR(INDEX(입력옵션!$C$22:$C$53,MATCH($D59&amp;"",입력옵션!$F$22:$F$53,0)),$C59&amp;"")))</f>
        <v/>
      </c>
      <c r="L59" s="97">
        <f>IF($A59="",0,$G59*설정!$C$23)</f>
        <v/>
      </c>
      <c r="M59" s="97">
        <f>IF($A59="",0,$H59*설정!$C$23)</f>
        <v/>
      </c>
    </row>
    <row r="60">
      <c r="A60" s="92" t="n">
        <v>2025</v>
      </c>
      <c r="B60" s="92" t="n">
        <v>5</v>
      </c>
      <c r="C60" s="92" t="inlineStr">
        <is>
          <t>P230</t>
        </is>
      </c>
      <c r="D60" s="92" t="inlineStr">
        <is>
          <t>재산관리비</t>
        </is>
      </c>
      <c r="E60" s="92" t="inlineStr">
        <is>
          <t>비용</t>
        </is>
      </c>
      <c r="F60" s="92" t="n">
        <v>2</v>
      </c>
      <c r="G60" s="93" t="n">
        <v>28893800</v>
      </c>
      <c r="H60" s="93" t="n">
        <v>146114800</v>
      </c>
      <c r="J60" s="9">
        <f>IF($A60="","",VALUE($A60&amp;"")*12+VALUE($B60&amp;""))</f>
        <v/>
      </c>
      <c r="K60" s="9">
        <f>IF($A60="","",IFERROR(INDEX(입력옵션!$C$22:$C$53,MATCH($C60&amp;"",입력옵션!$E$22:$E$53,0)),IFERROR(INDEX(입력옵션!$C$22:$C$53,MATCH($D60&amp;"",입력옵션!$F$22:$F$53,0)),$C60&amp;"")))</f>
        <v/>
      </c>
      <c r="L60" s="97">
        <f>IF($A60="",0,$G60*설정!$C$23)</f>
        <v/>
      </c>
      <c r="M60" s="97">
        <f>IF($A60="",0,$H60*설정!$C$23)</f>
        <v/>
      </c>
    </row>
    <row r="61">
      <c r="A61" s="92" t="n">
        <v>2025</v>
      </c>
      <c r="B61" s="92" t="n">
        <v>5</v>
      </c>
      <c r="C61" s="92" t="inlineStr">
        <is>
          <t>P300</t>
        </is>
      </c>
      <c r="D61" s="92" t="inlineStr">
        <is>
          <t>기타사업비용 (사업비)</t>
        </is>
      </c>
      <c r="E61" s="92" t="inlineStr">
        <is>
          <t>비용</t>
        </is>
      </c>
      <c r="F61" s="92" t="n">
        <v>1</v>
      </c>
      <c r="G61" s="93" t="n">
        <v>325570940</v>
      </c>
      <c r="H61" s="93" t="n">
        <v>1670354190</v>
      </c>
      <c r="J61" s="9">
        <f>IF($A61="","",VALUE($A61&amp;"")*12+VALUE($B61&amp;""))</f>
        <v/>
      </c>
      <c r="K61" s="9">
        <f>IF($A61="","",IFERROR(INDEX(입력옵션!$C$22:$C$53,MATCH($C61&amp;"",입력옵션!$E$22:$E$53,0)),IFERROR(INDEX(입력옵션!$C$22:$C$53,MATCH($D61&amp;"",입력옵션!$F$22:$F$53,0)),$C61&amp;"")))</f>
        <v/>
      </c>
      <c r="L61" s="97">
        <f>IF($A61="",0,$G61*설정!$C$23)</f>
        <v/>
      </c>
      <c r="M61" s="97">
        <f>IF($A61="",0,$H61*설정!$C$23)</f>
        <v/>
      </c>
    </row>
    <row r="62">
      <c r="A62" s="92" t="n">
        <v>2025</v>
      </c>
      <c r="B62" s="92" t="n">
        <v>5</v>
      </c>
      <c r="C62" s="92" t="inlineStr">
        <is>
          <t>P400</t>
        </is>
      </c>
      <c r="D62" s="92" t="inlineStr">
        <is>
          <t>법인세차감전이익</t>
        </is>
      </c>
      <c r="E62" s="92" t="inlineStr">
        <is>
          <t>손익</t>
        </is>
      </c>
      <c r="F62" s="92" t="n">
        <v>1</v>
      </c>
      <c r="G62" s="93" t="n">
        <v>11963684260</v>
      </c>
      <c r="H62" s="93" t="n">
        <v>62054726010</v>
      </c>
      <c r="J62" s="9">
        <f>IF($A62="","",VALUE($A62&amp;"")*12+VALUE($B62&amp;""))</f>
        <v/>
      </c>
      <c r="K62" s="9">
        <f>IF($A62="","",IFERROR(INDEX(입력옵션!$C$22:$C$53,MATCH($C62&amp;"",입력옵션!$E$22:$E$53,0)),IFERROR(INDEX(입력옵션!$C$22:$C$53,MATCH($D62&amp;"",입력옵션!$F$22:$F$53,0)),$C62&amp;"")))</f>
        <v/>
      </c>
      <c r="L62" s="97">
        <f>IF($A62="",0,$G62*설정!$C$23)</f>
        <v/>
      </c>
      <c r="M62" s="97">
        <f>IF($A62="",0,$H62*설정!$C$23)</f>
        <v/>
      </c>
    </row>
    <row r="63">
      <c r="A63" s="92" t="n">
        <v>2025</v>
      </c>
      <c r="B63" s="92" t="n">
        <v>5</v>
      </c>
      <c r="C63" s="92" t="inlineStr">
        <is>
          <t>P500</t>
        </is>
      </c>
      <c r="D63" s="92" t="inlineStr">
        <is>
          <t>법인세비용</t>
        </is>
      </c>
      <c r="E63" s="92" t="inlineStr">
        <is>
          <t>비용</t>
        </is>
      </c>
      <c r="F63" s="92" t="n">
        <v>1</v>
      </c>
      <c r="G63" s="93" t="n">
        <v>2632011000</v>
      </c>
      <c r="H63" s="93" t="n">
        <v>13652040000</v>
      </c>
      <c r="J63" s="9">
        <f>IF($A63="","",VALUE($A63&amp;"")*12+VALUE($B63&amp;""))</f>
        <v/>
      </c>
      <c r="K63" s="9">
        <f>IF($A63="","",IFERROR(INDEX(입력옵션!$C$22:$C$53,MATCH($C63&amp;"",입력옵션!$E$22:$E$53,0)),IFERROR(INDEX(입력옵션!$C$22:$C$53,MATCH($D63&amp;"",입력옵션!$F$22:$F$53,0)),$C63&amp;"")))</f>
        <v/>
      </c>
      <c r="L63" s="97">
        <f>IF($A63="",0,$G63*설정!$C$23)</f>
        <v/>
      </c>
      <c r="M63" s="97">
        <f>IF($A63="",0,$H63*설정!$C$23)</f>
        <v/>
      </c>
    </row>
    <row r="64">
      <c r="A64" s="92" t="n">
        <v>2025</v>
      </c>
      <c r="B64" s="92" t="n">
        <v>5</v>
      </c>
      <c r="C64" s="92" t="inlineStr">
        <is>
          <t>P600</t>
        </is>
      </c>
      <c r="D64" s="92" t="inlineStr">
        <is>
          <t>당기순이익</t>
        </is>
      </c>
      <c r="E64" s="92" t="inlineStr">
        <is>
          <t>손익</t>
        </is>
      </c>
      <c r="F64" s="92" t="n">
        <v>1</v>
      </c>
      <c r="G64" s="93" t="n">
        <v>9331673260</v>
      </c>
      <c r="H64" s="93" t="n">
        <v>48402686010</v>
      </c>
      <c r="J64" s="9">
        <f>IF($A64="","",VALUE($A64&amp;"")*12+VALUE($B64&amp;""))</f>
        <v/>
      </c>
      <c r="K64" s="9">
        <f>IF($A64="","",IFERROR(INDEX(입력옵션!$C$22:$C$53,MATCH($C64&amp;"",입력옵션!$E$22:$E$53,0)),IFERROR(INDEX(입력옵션!$C$22:$C$53,MATCH($D64&amp;"",입력옵션!$F$22:$F$53,0)),$C64&amp;"")))</f>
        <v/>
      </c>
      <c r="L64" s="97">
        <f>IF($A64="",0,$G64*설정!$C$23)</f>
        <v/>
      </c>
      <c r="M64" s="97">
        <f>IF($A64="",0,$H64*설정!$C$23)</f>
        <v/>
      </c>
    </row>
    <row r="65">
      <c r="A65" s="92" t="n">
        <v>2025</v>
      </c>
      <c r="B65" s="92" t="n">
        <v>6</v>
      </c>
      <c r="C65" s="92" t="inlineStr">
        <is>
          <t>P100</t>
        </is>
      </c>
      <c r="D65" s="92" t="inlineStr">
        <is>
          <t>보험손익</t>
        </is>
      </c>
      <c r="E65" s="92" t="inlineStr">
        <is>
          <t>손익</t>
        </is>
      </c>
      <c r="F65" s="92" t="n">
        <v>1</v>
      </c>
      <c r="G65" s="93" t="n">
        <v>10925340000</v>
      </c>
      <c r="H65" s="93" t="n">
        <v>67131175000</v>
      </c>
      <c r="J65" s="9">
        <f>IF($A65="","",VALUE($A65&amp;"")*12+VALUE($B65&amp;""))</f>
        <v/>
      </c>
      <c r="K65" s="9">
        <f>IF($A65="","",IFERROR(INDEX(입력옵션!$C$22:$C$53,MATCH($C65&amp;"",입력옵션!$E$22:$E$53,0)),IFERROR(INDEX(입력옵션!$C$22:$C$53,MATCH($D65&amp;"",입력옵션!$F$22:$F$53,0)),$C65&amp;"")))</f>
        <v/>
      </c>
      <c r="L65" s="97">
        <f>IF($A65="",0,$G65*설정!$C$23)</f>
        <v/>
      </c>
      <c r="M65" s="97">
        <f>IF($A65="",0,$H65*설정!$C$23)</f>
        <v/>
      </c>
    </row>
    <row r="66">
      <c r="A66" s="92" t="n">
        <v>2025</v>
      </c>
      <c r="B66" s="92" t="n">
        <v>6</v>
      </c>
      <c r="C66" s="92" t="inlineStr">
        <is>
          <t>P110</t>
        </is>
      </c>
      <c r="D66" s="92" t="inlineStr">
        <is>
          <t>보험수익</t>
        </is>
      </c>
      <c r="E66" s="92" t="inlineStr">
        <is>
          <t>수익</t>
        </is>
      </c>
      <c r="F66" s="92" t="n">
        <v>2</v>
      </c>
      <c r="G66" s="93" t="n">
        <v>64411355000</v>
      </c>
      <c r="H66" s="93" t="n">
        <v>375892468000</v>
      </c>
      <c r="J66" s="9">
        <f>IF($A66="","",VALUE($A66&amp;"")*12+VALUE($B66&amp;""))</f>
        <v/>
      </c>
      <c r="K66" s="9">
        <f>IF($A66="","",IFERROR(INDEX(입력옵션!$C$22:$C$53,MATCH($C66&amp;"",입력옵션!$E$22:$E$53,0)),IFERROR(INDEX(입력옵션!$C$22:$C$53,MATCH($D66&amp;"",입력옵션!$F$22:$F$53,0)),$C66&amp;"")))</f>
        <v/>
      </c>
      <c r="L66" s="97">
        <f>IF($A66="",0,$G66*설정!$C$23)</f>
        <v/>
      </c>
      <c r="M66" s="97">
        <f>IF($A66="",0,$H66*설정!$C$23)</f>
        <v/>
      </c>
    </row>
    <row r="67">
      <c r="A67" s="92" t="n">
        <v>2025</v>
      </c>
      <c r="B67" s="92" t="n">
        <v>6</v>
      </c>
      <c r="C67" s="92" t="inlineStr">
        <is>
          <t>P120</t>
        </is>
      </c>
      <c r="D67" s="92" t="inlineStr">
        <is>
          <t>보험서비스비용</t>
        </is>
      </c>
      <c r="E67" s="92" t="inlineStr">
        <is>
          <t>비용</t>
        </is>
      </c>
      <c r="F67" s="92" t="n">
        <v>2</v>
      </c>
      <c r="G67" s="93" t="n">
        <v>52544088000</v>
      </c>
      <c r="H67" s="93" t="n">
        <v>302346371000</v>
      </c>
      <c r="J67" s="9">
        <f>IF($A67="","",VALUE($A67&amp;"")*12+VALUE($B67&amp;""))</f>
        <v/>
      </c>
      <c r="K67" s="9">
        <f>IF($A67="","",IFERROR(INDEX(입력옵션!$C$22:$C$53,MATCH($C67&amp;"",입력옵션!$E$22:$E$53,0)),IFERROR(INDEX(입력옵션!$C$22:$C$53,MATCH($D67&amp;"",입력옵션!$F$22:$F$53,0)),$C67&amp;"")))</f>
        <v/>
      </c>
      <c r="L67" s="97">
        <f>IF($A67="",0,$G67*설정!$C$23)</f>
        <v/>
      </c>
      <c r="M67" s="97">
        <f>IF($A67="",0,$H67*설정!$C$23)</f>
        <v/>
      </c>
    </row>
    <row r="68">
      <c r="A68" s="92" t="n">
        <v>2025</v>
      </c>
      <c r="B68" s="92" t="n">
        <v>6</v>
      </c>
      <c r="C68" s="92" t="inlineStr">
        <is>
          <t>P130</t>
        </is>
      </c>
      <c r="D68" s="92" t="inlineStr">
        <is>
          <t>재보험손익</t>
        </is>
      </c>
      <c r="E68" s="92" t="inlineStr">
        <is>
          <t>손익</t>
        </is>
      </c>
      <c r="F68" s="92" t="n">
        <v>2</v>
      </c>
      <c r="G68" s="93" t="n">
        <v>-941927000</v>
      </c>
      <c r="H68" s="93" t="n">
        <v>-6414922000</v>
      </c>
      <c r="J68" s="9">
        <f>IF($A68="","",VALUE($A68&amp;"")*12+VALUE($B68&amp;""))</f>
        <v/>
      </c>
      <c r="K68" s="9">
        <f>IF($A68="","",IFERROR(INDEX(입력옵션!$C$22:$C$53,MATCH($C68&amp;"",입력옵션!$E$22:$E$53,0)),IFERROR(INDEX(입력옵션!$C$22:$C$53,MATCH($D68&amp;"",입력옵션!$F$22:$F$53,0)),$C68&amp;"")))</f>
        <v/>
      </c>
      <c r="L68" s="97">
        <f>IF($A68="",0,$G68*설정!$C$23)</f>
        <v/>
      </c>
      <c r="M68" s="97">
        <f>IF($A68="",0,$H68*설정!$C$23)</f>
        <v/>
      </c>
    </row>
    <row r="69">
      <c r="A69" s="92" t="n">
        <v>2025</v>
      </c>
      <c r="B69" s="92" t="n">
        <v>6</v>
      </c>
      <c r="C69" s="92" t="inlineStr">
        <is>
          <t>P200</t>
        </is>
      </c>
      <c r="D69" s="92" t="inlineStr">
        <is>
          <t>투자손익</t>
        </is>
      </c>
      <c r="E69" s="92" t="inlineStr">
        <is>
          <t>손익</t>
        </is>
      </c>
      <c r="F69" s="92" t="n">
        <v>1</v>
      </c>
      <c r="G69" s="93" t="n">
        <v>2069088500</v>
      </c>
      <c r="H69" s="93" t="n">
        <v>9588333700</v>
      </c>
      <c r="J69" s="9">
        <f>IF($A69="","",VALUE($A69&amp;"")*12+VALUE($B69&amp;""))</f>
        <v/>
      </c>
      <c r="K69" s="9">
        <f>IF($A69="","",IFERROR(INDEX(입력옵션!$C$22:$C$53,MATCH($C69&amp;"",입력옵션!$E$22:$E$53,0)),IFERROR(INDEX(입력옵션!$C$22:$C$53,MATCH($D69&amp;"",입력옵션!$F$22:$F$53,0)),$C69&amp;"")))</f>
        <v/>
      </c>
      <c r="L69" s="97">
        <f>IF($A69="",0,$G69*설정!$C$23)</f>
        <v/>
      </c>
      <c r="M69" s="97">
        <f>IF($A69="",0,$H69*설정!$C$23)</f>
        <v/>
      </c>
    </row>
    <row r="70">
      <c r="A70" s="92" t="n">
        <v>2025</v>
      </c>
      <c r="B70" s="92" t="n">
        <v>6</v>
      </c>
      <c r="C70" s="92" t="inlineStr">
        <is>
          <t>P210</t>
        </is>
      </c>
      <c r="D70" s="92" t="inlineStr">
        <is>
          <t>투자수익</t>
        </is>
      </c>
      <c r="E70" s="92" t="inlineStr">
        <is>
          <t>수익</t>
        </is>
      </c>
      <c r="F70" s="92" t="n">
        <v>2</v>
      </c>
      <c r="G70" s="93" t="n">
        <v>9785371000</v>
      </c>
      <c r="H70" s="93" t="n">
        <v>55792022000</v>
      </c>
      <c r="J70" s="9">
        <f>IF($A70="","",VALUE($A70&amp;"")*12+VALUE($B70&amp;""))</f>
        <v/>
      </c>
      <c r="K70" s="9">
        <f>IF($A70="","",IFERROR(INDEX(입력옵션!$C$22:$C$53,MATCH($C70&amp;"",입력옵션!$E$22:$E$53,0)),IFERROR(INDEX(입력옵션!$C$22:$C$53,MATCH($D70&amp;"",입력옵션!$F$22:$F$53,0)),$C70&amp;"")))</f>
        <v/>
      </c>
      <c r="L70" s="97">
        <f>IF($A70="",0,$G70*설정!$C$23)</f>
        <v/>
      </c>
      <c r="M70" s="97">
        <f>IF($A70="",0,$H70*설정!$C$23)</f>
        <v/>
      </c>
    </row>
    <row r="71">
      <c r="A71" s="92" t="n">
        <v>2025</v>
      </c>
      <c r="B71" s="92" t="n">
        <v>6</v>
      </c>
      <c r="C71" s="92" t="inlineStr">
        <is>
          <t>P220</t>
        </is>
      </c>
      <c r="D71" s="92" t="inlineStr">
        <is>
          <t>보험금융비용</t>
        </is>
      </c>
      <c r="E71" s="92" t="inlineStr">
        <is>
          <t>비용</t>
        </is>
      </c>
      <c r="F71" s="92" t="n">
        <v>2</v>
      </c>
      <c r="G71" s="93" t="n">
        <v>7687039000</v>
      </c>
      <c r="H71" s="93" t="n">
        <v>46028330000</v>
      </c>
      <c r="J71" s="9">
        <f>IF($A71="","",VALUE($A71&amp;"")*12+VALUE($B71&amp;""))</f>
        <v/>
      </c>
      <c r="K71" s="9">
        <f>IF($A71="","",IFERROR(INDEX(입력옵션!$C$22:$C$53,MATCH($C71&amp;"",입력옵션!$E$22:$E$53,0)),IFERROR(INDEX(입력옵션!$C$22:$C$53,MATCH($D71&amp;"",입력옵션!$F$22:$F$53,0)),$C71&amp;"")))</f>
        <v/>
      </c>
      <c r="L71" s="97">
        <f>IF($A71="",0,$G71*설정!$C$23)</f>
        <v/>
      </c>
      <c r="M71" s="97">
        <f>IF($A71="",0,$H71*설정!$C$23)</f>
        <v/>
      </c>
    </row>
    <row r="72">
      <c r="A72" s="92" t="n">
        <v>2025</v>
      </c>
      <c r="B72" s="92" t="n">
        <v>6</v>
      </c>
      <c r="C72" s="92" t="inlineStr">
        <is>
          <t>P230</t>
        </is>
      </c>
      <c r="D72" s="92" t="inlineStr">
        <is>
          <t>재산관리비</t>
        </is>
      </c>
      <c r="E72" s="92" t="inlineStr">
        <is>
          <t>비용</t>
        </is>
      </c>
      <c r="F72" s="92" t="n">
        <v>2</v>
      </c>
      <c r="G72" s="93" t="n">
        <v>29243500</v>
      </c>
      <c r="H72" s="93" t="n">
        <v>175358300</v>
      </c>
      <c r="J72" s="9">
        <f>IF($A72="","",VALUE($A72&amp;"")*12+VALUE($B72&amp;""))</f>
        <v/>
      </c>
      <c r="K72" s="9">
        <f>IF($A72="","",IFERROR(INDEX(입력옵션!$C$22:$C$53,MATCH($C72&amp;"",입력옵션!$E$22:$E$53,0)),IFERROR(INDEX(입력옵션!$C$22:$C$53,MATCH($D72&amp;"",입력옵션!$F$22:$F$53,0)),$C72&amp;"")))</f>
        <v/>
      </c>
      <c r="L72" s="97">
        <f>IF($A72="",0,$G72*설정!$C$23)</f>
        <v/>
      </c>
      <c r="M72" s="97">
        <f>IF($A72="",0,$H72*설정!$C$23)</f>
        <v/>
      </c>
    </row>
    <row r="73">
      <c r="A73" s="92" t="n">
        <v>2025</v>
      </c>
      <c r="B73" s="92" t="n">
        <v>6</v>
      </c>
      <c r="C73" s="92" t="inlineStr">
        <is>
          <t>P300</t>
        </is>
      </c>
      <c r="D73" s="92" t="inlineStr">
        <is>
          <t>기타사업비용 (사업비)</t>
        </is>
      </c>
      <c r="E73" s="92" t="inlineStr">
        <is>
          <t>비용</t>
        </is>
      </c>
      <c r="F73" s="92" t="n">
        <v>1</v>
      </c>
      <c r="G73" s="93" t="n">
        <v>335307700</v>
      </c>
      <c r="H73" s="93" t="n">
        <v>2005661890</v>
      </c>
      <c r="J73" s="9">
        <f>IF($A73="","",VALUE($A73&amp;"")*12+VALUE($B73&amp;""))</f>
        <v/>
      </c>
      <c r="K73" s="9">
        <f>IF($A73="","",IFERROR(INDEX(입력옵션!$C$22:$C$53,MATCH($C73&amp;"",입력옵션!$E$22:$E$53,0)),IFERROR(INDEX(입력옵션!$C$22:$C$53,MATCH($D73&amp;"",입력옵션!$F$22:$F$53,0)),$C73&amp;"")))</f>
        <v/>
      </c>
      <c r="L73" s="97">
        <f>IF($A73="",0,$G73*설정!$C$23)</f>
        <v/>
      </c>
      <c r="M73" s="97">
        <f>IF($A73="",0,$H73*설정!$C$23)</f>
        <v/>
      </c>
    </row>
    <row r="74">
      <c r="A74" s="92" t="n">
        <v>2025</v>
      </c>
      <c r="B74" s="92" t="n">
        <v>6</v>
      </c>
      <c r="C74" s="92" t="inlineStr">
        <is>
          <t>P400</t>
        </is>
      </c>
      <c r="D74" s="92" t="inlineStr">
        <is>
          <t>법인세차감전이익</t>
        </is>
      </c>
      <c r="E74" s="92" t="inlineStr">
        <is>
          <t>손익</t>
        </is>
      </c>
      <c r="F74" s="92" t="n">
        <v>1</v>
      </c>
      <c r="G74" s="93" t="n">
        <v>12659120800</v>
      </c>
      <c r="H74" s="93" t="n">
        <v>74713846810</v>
      </c>
      <c r="J74" s="9">
        <f>IF($A74="","",VALUE($A74&amp;"")*12+VALUE($B74&amp;""))</f>
        <v/>
      </c>
      <c r="K74" s="9">
        <f>IF($A74="","",IFERROR(INDEX(입력옵션!$C$22:$C$53,MATCH($C74&amp;"",입력옵션!$E$22:$E$53,0)),IFERROR(INDEX(입력옵션!$C$22:$C$53,MATCH($D74&amp;"",입력옵션!$F$22:$F$53,0)),$C74&amp;"")))</f>
        <v/>
      </c>
      <c r="L74" s="97">
        <f>IF($A74="",0,$G74*설정!$C$23)</f>
        <v/>
      </c>
      <c r="M74" s="97">
        <f>IF($A74="",0,$H74*설정!$C$23)</f>
        <v/>
      </c>
    </row>
    <row r="75">
      <c r="A75" s="92" t="n">
        <v>2025</v>
      </c>
      <c r="B75" s="92" t="n">
        <v>6</v>
      </c>
      <c r="C75" s="92" t="inlineStr">
        <is>
          <t>P500</t>
        </is>
      </c>
      <c r="D75" s="92" t="inlineStr">
        <is>
          <t>법인세비용</t>
        </is>
      </c>
      <c r="E75" s="92" t="inlineStr">
        <is>
          <t>비용</t>
        </is>
      </c>
      <c r="F75" s="92" t="n">
        <v>1</v>
      </c>
      <c r="G75" s="93" t="n">
        <v>2785007000</v>
      </c>
      <c r="H75" s="93" t="n">
        <v>16437047000</v>
      </c>
      <c r="J75" s="9">
        <f>IF($A75="","",VALUE($A75&amp;"")*12+VALUE($B75&amp;""))</f>
        <v/>
      </c>
      <c r="K75" s="9">
        <f>IF($A75="","",IFERROR(INDEX(입력옵션!$C$22:$C$53,MATCH($C75&amp;"",입력옵션!$E$22:$E$53,0)),IFERROR(INDEX(입력옵션!$C$22:$C$53,MATCH($D75&amp;"",입력옵션!$F$22:$F$53,0)),$C75&amp;"")))</f>
        <v/>
      </c>
      <c r="L75" s="97">
        <f>IF($A75="",0,$G75*설정!$C$23)</f>
        <v/>
      </c>
      <c r="M75" s="97">
        <f>IF($A75="",0,$H75*설정!$C$23)</f>
        <v/>
      </c>
    </row>
    <row r="76">
      <c r="A76" s="92" t="n">
        <v>2025</v>
      </c>
      <c r="B76" s="92" t="n">
        <v>6</v>
      </c>
      <c r="C76" s="92" t="inlineStr">
        <is>
          <t>P600</t>
        </is>
      </c>
      <c r="D76" s="92" t="inlineStr">
        <is>
          <t>당기순이익</t>
        </is>
      </c>
      <c r="E76" s="92" t="inlineStr">
        <is>
          <t>손익</t>
        </is>
      </c>
      <c r="F76" s="92" t="n">
        <v>1</v>
      </c>
      <c r="G76" s="93" t="n">
        <v>9874113800</v>
      </c>
      <c r="H76" s="93" t="n">
        <v>58276799810</v>
      </c>
      <c r="J76" s="9">
        <f>IF($A76="","",VALUE($A76&amp;"")*12+VALUE($B76&amp;""))</f>
        <v/>
      </c>
      <c r="K76" s="9">
        <f>IF($A76="","",IFERROR(INDEX(입력옵션!$C$22:$C$53,MATCH($C76&amp;"",입력옵션!$E$22:$E$53,0)),IFERROR(INDEX(입력옵션!$C$22:$C$53,MATCH($D76&amp;"",입력옵션!$F$22:$F$53,0)),$C76&amp;"")))</f>
        <v/>
      </c>
      <c r="L76" s="97">
        <f>IF($A76="",0,$G76*설정!$C$23)</f>
        <v/>
      </c>
      <c r="M76" s="97">
        <f>IF($A76="",0,$H76*설정!$C$23)</f>
        <v/>
      </c>
    </row>
    <row r="77">
      <c r="A77" s="92" t="n">
        <v>2025</v>
      </c>
      <c r="B77" s="92" t="n">
        <v>7</v>
      </c>
      <c r="C77" s="92" t="inlineStr">
        <is>
          <t>P100</t>
        </is>
      </c>
      <c r="D77" s="92" t="inlineStr">
        <is>
          <t>보험손익</t>
        </is>
      </c>
      <c r="E77" s="92" t="inlineStr">
        <is>
          <t>손익</t>
        </is>
      </c>
      <c r="F77" s="92" t="n">
        <v>1</v>
      </c>
      <c r="G77" s="93" t="n">
        <v>9862722000</v>
      </c>
      <c r="H77" s="93" t="n">
        <v>76993897000</v>
      </c>
      <c r="J77" s="9">
        <f>IF($A77="","",VALUE($A77&amp;"")*12+VALUE($B77&amp;""))</f>
        <v/>
      </c>
      <c r="K77" s="9">
        <f>IF($A77="","",IFERROR(INDEX(입력옵션!$C$22:$C$53,MATCH($C77&amp;"",입력옵션!$E$22:$E$53,0)),IFERROR(INDEX(입력옵션!$C$22:$C$53,MATCH($D77&amp;"",입력옵션!$F$22:$F$53,0)),$C77&amp;"")))</f>
        <v/>
      </c>
      <c r="L77" s="97">
        <f>IF($A77="",0,$G77*설정!$C$23)</f>
        <v/>
      </c>
      <c r="M77" s="97">
        <f>IF($A77="",0,$H77*설정!$C$23)</f>
        <v/>
      </c>
    </row>
    <row r="78">
      <c r="A78" s="92" t="n">
        <v>2025</v>
      </c>
      <c r="B78" s="92" t="n">
        <v>7</v>
      </c>
      <c r="C78" s="92" t="inlineStr">
        <is>
          <t>P110</t>
        </is>
      </c>
      <c r="D78" s="92" t="inlineStr">
        <is>
          <t>보험수익</t>
        </is>
      </c>
      <c r="E78" s="92" t="inlineStr">
        <is>
          <t>수익</t>
        </is>
      </c>
      <c r="F78" s="92" t="n">
        <v>2</v>
      </c>
      <c r="G78" s="93" t="n">
        <v>62481693000</v>
      </c>
      <c r="H78" s="93" t="n">
        <v>438374161000</v>
      </c>
      <c r="J78" s="9">
        <f>IF($A78="","",VALUE($A78&amp;"")*12+VALUE($B78&amp;""))</f>
        <v/>
      </c>
      <c r="K78" s="9">
        <f>IF($A78="","",IFERROR(INDEX(입력옵션!$C$22:$C$53,MATCH($C78&amp;"",입력옵션!$E$22:$E$53,0)),IFERROR(INDEX(입력옵션!$C$22:$C$53,MATCH($D78&amp;"",입력옵션!$F$22:$F$53,0)),$C78&amp;"")))</f>
        <v/>
      </c>
      <c r="L78" s="97">
        <f>IF($A78="",0,$G78*설정!$C$23)</f>
        <v/>
      </c>
      <c r="M78" s="97">
        <f>IF($A78="",0,$H78*설정!$C$23)</f>
        <v/>
      </c>
    </row>
    <row r="79">
      <c r="A79" s="92" t="n">
        <v>2025</v>
      </c>
      <c r="B79" s="92" t="n">
        <v>7</v>
      </c>
      <c r="C79" s="92" t="inlineStr">
        <is>
          <t>P120</t>
        </is>
      </c>
      <c r="D79" s="92" t="inlineStr">
        <is>
          <t>보험서비스비용</t>
        </is>
      </c>
      <c r="E79" s="92" t="inlineStr">
        <is>
          <t>비용</t>
        </is>
      </c>
      <c r="F79" s="92" t="n">
        <v>2</v>
      </c>
      <c r="G79" s="93" t="n">
        <v>51653111000</v>
      </c>
      <c r="H79" s="93" t="n">
        <v>353999482000</v>
      </c>
      <c r="J79" s="9">
        <f>IF($A79="","",VALUE($A79&amp;"")*12+VALUE($B79&amp;""))</f>
        <v/>
      </c>
      <c r="K79" s="9">
        <f>IF($A79="","",IFERROR(INDEX(입력옵션!$C$22:$C$53,MATCH($C79&amp;"",입력옵션!$E$22:$E$53,0)),IFERROR(INDEX(입력옵션!$C$22:$C$53,MATCH($D79&amp;"",입력옵션!$F$22:$F$53,0)),$C79&amp;"")))</f>
        <v/>
      </c>
      <c r="L79" s="97">
        <f>IF($A79="",0,$G79*설정!$C$23)</f>
        <v/>
      </c>
      <c r="M79" s="97">
        <f>IF($A79="",0,$H79*설정!$C$23)</f>
        <v/>
      </c>
    </row>
    <row r="80">
      <c r="A80" s="92" t="n">
        <v>2025</v>
      </c>
      <c r="B80" s="92" t="n">
        <v>7</v>
      </c>
      <c r="C80" s="92" t="inlineStr">
        <is>
          <t>P130</t>
        </is>
      </c>
      <c r="D80" s="92" t="inlineStr">
        <is>
          <t>재보험손익</t>
        </is>
      </c>
      <c r="E80" s="92" t="inlineStr">
        <is>
          <t>손익</t>
        </is>
      </c>
      <c r="F80" s="92" t="n">
        <v>2</v>
      </c>
      <c r="G80" s="93" t="n">
        <v>-965860000</v>
      </c>
      <c r="H80" s="93" t="n">
        <v>-7380782000</v>
      </c>
      <c r="J80" s="9">
        <f>IF($A80="","",VALUE($A80&amp;"")*12+VALUE($B80&amp;""))</f>
        <v/>
      </c>
      <c r="K80" s="9">
        <f>IF($A80="","",IFERROR(INDEX(입력옵션!$C$22:$C$53,MATCH($C80&amp;"",입력옵션!$E$22:$E$53,0)),IFERROR(INDEX(입력옵션!$C$22:$C$53,MATCH($D80&amp;"",입력옵션!$F$22:$F$53,0)),$C80&amp;"")))</f>
        <v/>
      </c>
      <c r="L80" s="97">
        <f>IF($A80="",0,$G80*설정!$C$23)</f>
        <v/>
      </c>
      <c r="M80" s="97">
        <f>IF($A80="",0,$H80*설정!$C$23)</f>
        <v/>
      </c>
    </row>
    <row r="81">
      <c r="A81" s="92" t="n">
        <v>2025</v>
      </c>
      <c r="B81" s="92" t="n">
        <v>7</v>
      </c>
      <c r="C81" s="92" t="inlineStr">
        <is>
          <t>P200</t>
        </is>
      </c>
      <c r="D81" s="92" t="inlineStr">
        <is>
          <t>투자손익</t>
        </is>
      </c>
      <c r="E81" s="92" t="inlineStr">
        <is>
          <t>손익</t>
        </is>
      </c>
      <c r="F81" s="92" t="n">
        <v>1</v>
      </c>
      <c r="G81" s="93" t="n">
        <v>1212426050</v>
      </c>
      <c r="H81" s="93" t="n">
        <v>10800759750</v>
      </c>
      <c r="J81" s="9">
        <f>IF($A81="","",VALUE($A81&amp;"")*12+VALUE($B81&amp;""))</f>
        <v/>
      </c>
      <c r="K81" s="9">
        <f>IF($A81="","",IFERROR(INDEX(입력옵션!$C$22:$C$53,MATCH($C81&amp;"",입력옵션!$E$22:$E$53,0)),IFERROR(INDEX(입력옵션!$C$22:$C$53,MATCH($D81&amp;"",입력옵션!$F$22:$F$53,0)),$C81&amp;"")))</f>
        <v/>
      </c>
      <c r="L81" s="97">
        <f>IF($A81="",0,$G81*설정!$C$23)</f>
        <v/>
      </c>
      <c r="M81" s="97">
        <f>IF($A81="",0,$H81*설정!$C$23)</f>
        <v/>
      </c>
    </row>
    <row r="82">
      <c r="A82" s="92" t="n">
        <v>2025</v>
      </c>
      <c r="B82" s="92" t="n">
        <v>7</v>
      </c>
      <c r="C82" s="92" t="inlineStr">
        <is>
          <t>P210</t>
        </is>
      </c>
      <c r="D82" s="92" t="inlineStr">
        <is>
          <t>투자수익</t>
        </is>
      </c>
      <c r="E82" s="92" t="inlineStr">
        <is>
          <t>수익</t>
        </is>
      </c>
      <c r="F82" s="92" t="n">
        <v>2</v>
      </c>
      <c r="G82" s="93" t="n">
        <v>9117495000</v>
      </c>
      <c r="H82" s="93" t="n">
        <v>64909517000</v>
      </c>
      <c r="J82" s="9">
        <f>IF($A82="","",VALUE($A82&amp;"")*12+VALUE($B82&amp;""))</f>
        <v/>
      </c>
      <c r="K82" s="9">
        <f>IF($A82="","",IFERROR(INDEX(입력옵션!$C$22:$C$53,MATCH($C82&amp;"",입력옵션!$E$22:$E$53,0)),IFERROR(INDEX(입력옵션!$C$22:$C$53,MATCH($D82&amp;"",입력옵션!$F$22:$F$53,0)),$C82&amp;"")))</f>
        <v/>
      </c>
      <c r="L82" s="97">
        <f>IF($A82="",0,$G82*설정!$C$23)</f>
        <v/>
      </c>
      <c r="M82" s="97">
        <f>IF($A82="",0,$H82*설정!$C$23)</f>
        <v/>
      </c>
    </row>
    <row r="83">
      <c r="A83" s="92" t="n">
        <v>2025</v>
      </c>
      <c r="B83" s="92" t="n">
        <v>7</v>
      </c>
      <c r="C83" s="92" t="inlineStr">
        <is>
          <t>P220</t>
        </is>
      </c>
      <c r="D83" s="92" t="inlineStr">
        <is>
          <t>보험금융비용</t>
        </is>
      </c>
      <c r="E83" s="92" t="inlineStr">
        <is>
          <t>비용</t>
        </is>
      </c>
      <c r="F83" s="92" t="n">
        <v>2</v>
      </c>
      <c r="G83" s="93" t="n">
        <v>7876532000</v>
      </c>
      <c r="H83" s="93" t="n">
        <v>53904862000</v>
      </c>
      <c r="J83" s="9">
        <f>IF($A83="","",VALUE($A83&amp;"")*12+VALUE($B83&amp;""))</f>
        <v/>
      </c>
      <c r="K83" s="9">
        <f>IF($A83="","",IFERROR(INDEX(입력옵션!$C$22:$C$53,MATCH($C83&amp;"",입력옵션!$E$22:$E$53,0)),IFERROR(INDEX(입력옵션!$C$22:$C$53,MATCH($D83&amp;"",입력옵션!$F$22:$F$53,0)),$C83&amp;"")))</f>
        <v/>
      </c>
      <c r="L83" s="97">
        <f>IF($A83="",0,$G83*설정!$C$23)</f>
        <v/>
      </c>
      <c r="M83" s="97">
        <f>IF($A83="",0,$H83*설정!$C$23)</f>
        <v/>
      </c>
    </row>
    <row r="84">
      <c r="A84" s="92" t="n">
        <v>2025</v>
      </c>
      <c r="B84" s="92" t="n">
        <v>7</v>
      </c>
      <c r="C84" s="92" t="inlineStr">
        <is>
          <t>P230</t>
        </is>
      </c>
      <c r="D84" s="92" t="inlineStr">
        <is>
          <t>재산관리비</t>
        </is>
      </c>
      <c r="E84" s="92" t="inlineStr">
        <is>
          <t>비용</t>
        </is>
      </c>
      <c r="F84" s="92" t="n">
        <v>2</v>
      </c>
      <c r="G84" s="93" t="n">
        <v>28536950</v>
      </c>
      <c r="H84" s="93" t="n">
        <v>203895250</v>
      </c>
      <c r="J84" s="9">
        <f>IF($A84="","",VALUE($A84&amp;"")*12+VALUE($B84&amp;""))</f>
        <v/>
      </c>
      <c r="K84" s="9">
        <f>IF($A84="","",IFERROR(INDEX(입력옵션!$C$22:$C$53,MATCH($C84&amp;"",입력옵션!$E$22:$E$53,0)),IFERROR(INDEX(입력옵션!$C$22:$C$53,MATCH($D84&amp;"",입력옵션!$F$22:$F$53,0)),$C84&amp;"")))</f>
        <v/>
      </c>
      <c r="L84" s="97">
        <f>IF($A84="",0,$G84*설정!$C$23)</f>
        <v/>
      </c>
      <c r="M84" s="97">
        <f>IF($A84="",0,$H84*설정!$C$23)</f>
        <v/>
      </c>
    </row>
    <row r="85">
      <c r="A85" s="92" t="n">
        <v>2025</v>
      </c>
      <c r="B85" s="92" t="n">
        <v>7</v>
      </c>
      <c r="C85" s="92" t="inlineStr">
        <is>
          <t>P300</t>
        </is>
      </c>
      <c r="D85" s="92" t="inlineStr">
        <is>
          <t>기타사업비용 (사업비)</t>
        </is>
      </c>
      <c r="E85" s="92" t="inlineStr">
        <is>
          <t>비용</t>
        </is>
      </c>
      <c r="F85" s="92" t="n">
        <v>1</v>
      </c>
      <c r="G85" s="93" t="n">
        <v>345024035</v>
      </c>
      <c r="H85" s="93" t="n">
        <v>2350685925</v>
      </c>
      <c r="J85" s="9">
        <f>IF($A85="","",VALUE($A85&amp;"")*12+VALUE($B85&amp;""))</f>
        <v/>
      </c>
      <c r="K85" s="9">
        <f>IF($A85="","",IFERROR(INDEX(입력옵션!$C$22:$C$53,MATCH($C85&amp;"",입력옵션!$E$22:$E$53,0)),IFERROR(INDEX(입력옵션!$C$22:$C$53,MATCH($D85&amp;"",입력옵션!$F$22:$F$53,0)),$C85&amp;"")))</f>
        <v/>
      </c>
      <c r="L85" s="97">
        <f>IF($A85="",0,$G85*설정!$C$23)</f>
        <v/>
      </c>
      <c r="M85" s="97">
        <f>IF($A85="",0,$H85*설정!$C$23)</f>
        <v/>
      </c>
    </row>
    <row r="86">
      <c r="A86" s="92" t="n">
        <v>2025</v>
      </c>
      <c r="B86" s="92" t="n">
        <v>7</v>
      </c>
      <c r="C86" s="92" t="inlineStr">
        <is>
          <t>P400</t>
        </is>
      </c>
      <c r="D86" s="92" t="inlineStr">
        <is>
          <t>법인세차감전이익</t>
        </is>
      </c>
      <c r="E86" s="92" t="inlineStr">
        <is>
          <t>손익</t>
        </is>
      </c>
      <c r="F86" s="92" t="n">
        <v>1</v>
      </c>
      <c r="G86" s="93" t="n">
        <v>10730124015</v>
      </c>
      <c r="H86" s="93" t="n">
        <v>85443970825</v>
      </c>
      <c r="J86" s="9">
        <f>IF($A86="","",VALUE($A86&amp;"")*12+VALUE($B86&amp;""))</f>
        <v/>
      </c>
      <c r="K86" s="9">
        <f>IF($A86="","",IFERROR(INDEX(입력옵션!$C$22:$C$53,MATCH($C86&amp;"",입력옵션!$E$22:$E$53,0)),IFERROR(INDEX(입력옵션!$C$22:$C$53,MATCH($D86&amp;"",입력옵션!$F$22:$F$53,0)),$C86&amp;"")))</f>
        <v/>
      </c>
      <c r="L86" s="97">
        <f>IF($A86="",0,$G86*설정!$C$23)</f>
        <v/>
      </c>
      <c r="M86" s="97">
        <f>IF($A86="",0,$H86*설정!$C$23)</f>
        <v/>
      </c>
    </row>
    <row r="87">
      <c r="A87" s="92" t="n">
        <v>2025</v>
      </c>
      <c r="B87" s="92" t="n">
        <v>7</v>
      </c>
      <c r="C87" s="92" t="inlineStr">
        <is>
          <t>P500</t>
        </is>
      </c>
      <c r="D87" s="92" t="inlineStr">
        <is>
          <t>법인세비용</t>
        </is>
      </c>
      <c r="E87" s="92" t="inlineStr">
        <is>
          <t>비용</t>
        </is>
      </c>
      <c r="F87" s="92" t="n">
        <v>1</v>
      </c>
      <c r="G87" s="93" t="n">
        <v>2360627000</v>
      </c>
      <c r="H87" s="93" t="n">
        <v>18797674000</v>
      </c>
      <c r="J87" s="9">
        <f>IF($A87="","",VALUE($A87&amp;"")*12+VALUE($B87&amp;""))</f>
        <v/>
      </c>
      <c r="K87" s="9">
        <f>IF($A87="","",IFERROR(INDEX(입력옵션!$C$22:$C$53,MATCH($C87&amp;"",입력옵션!$E$22:$E$53,0)),IFERROR(INDEX(입력옵션!$C$22:$C$53,MATCH($D87&amp;"",입력옵션!$F$22:$F$53,0)),$C87&amp;"")))</f>
        <v/>
      </c>
      <c r="L87" s="97">
        <f>IF($A87="",0,$G87*설정!$C$23)</f>
        <v/>
      </c>
      <c r="M87" s="97">
        <f>IF($A87="",0,$H87*설정!$C$23)</f>
        <v/>
      </c>
    </row>
    <row r="88">
      <c r="A88" s="92" t="n">
        <v>2025</v>
      </c>
      <c r="B88" s="92" t="n">
        <v>7</v>
      </c>
      <c r="C88" s="92" t="inlineStr">
        <is>
          <t>P600</t>
        </is>
      </c>
      <c r="D88" s="92" t="inlineStr">
        <is>
          <t>당기순이익</t>
        </is>
      </c>
      <c r="E88" s="92" t="inlineStr">
        <is>
          <t>손익</t>
        </is>
      </c>
      <c r="F88" s="92" t="n">
        <v>1</v>
      </c>
      <c r="G88" s="93" t="n">
        <v>8369497015</v>
      </c>
      <c r="H88" s="93" t="n">
        <v>66646296825</v>
      </c>
      <c r="J88" s="9">
        <f>IF($A88="","",VALUE($A88&amp;"")*12+VALUE($B88&amp;""))</f>
        <v/>
      </c>
      <c r="K88" s="9">
        <f>IF($A88="","",IFERROR(INDEX(입력옵션!$C$22:$C$53,MATCH($C88&amp;"",입력옵션!$E$22:$E$53,0)),IFERROR(INDEX(입력옵션!$C$22:$C$53,MATCH($D88&amp;"",입력옵션!$F$22:$F$53,0)),$C88&amp;"")))</f>
        <v/>
      </c>
      <c r="L88" s="97">
        <f>IF($A88="",0,$G88*설정!$C$23)</f>
        <v/>
      </c>
      <c r="M88" s="97">
        <f>IF($A88="",0,$H88*설정!$C$23)</f>
        <v/>
      </c>
    </row>
    <row r="89">
      <c r="A89" s="92" t="n">
        <v>2025</v>
      </c>
      <c r="B89" s="92" t="n">
        <v>8</v>
      </c>
      <c r="C89" s="92" t="inlineStr">
        <is>
          <t>P100</t>
        </is>
      </c>
      <c r="D89" s="92" t="inlineStr">
        <is>
          <t>보험손익</t>
        </is>
      </c>
      <c r="E89" s="92" t="inlineStr">
        <is>
          <t>손익</t>
        </is>
      </c>
      <c r="F89" s="92" t="n">
        <v>1</v>
      </c>
      <c r="G89" s="93" t="n">
        <v>13331986000</v>
      </c>
      <c r="H89" s="93" t="n">
        <v>90325883000</v>
      </c>
      <c r="J89" s="9">
        <f>IF($A89="","",VALUE($A89&amp;"")*12+VALUE($B89&amp;""))</f>
        <v/>
      </c>
      <c r="K89" s="9">
        <f>IF($A89="","",IFERROR(INDEX(입력옵션!$C$22:$C$53,MATCH($C89&amp;"",입력옵션!$E$22:$E$53,0)),IFERROR(INDEX(입력옵션!$C$22:$C$53,MATCH($D89&amp;"",입력옵션!$F$22:$F$53,0)),$C89&amp;"")))</f>
        <v/>
      </c>
      <c r="L89" s="97">
        <f>IF($A89="",0,$G89*설정!$C$23)</f>
        <v/>
      </c>
      <c r="M89" s="97">
        <f>IF($A89="",0,$H89*설정!$C$23)</f>
        <v/>
      </c>
    </row>
    <row r="90">
      <c r="A90" s="92" t="n">
        <v>2025</v>
      </c>
      <c r="B90" s="92" t="n">
        <v>8</v>
      </c>
      <c r="C90" s="92" t="inlineStr">
        <is>
          <t>P110</t>
        </is>
      </c>
      <c r="D90" s="92" t="inlineStr">
        <is>
          <t>보험수익</t>
        </is>
      </c>
      <c r="E90" s="92" t="inlineStr">
        <is>
          <t>수익</t>
        </is>
      </c>
      <c r="F90" s="92" t="n">
        <v>2</v>
      </c>
      <c r="G90" s="93" t="n">
        <v>64697394000</v>
      </c>
      <c r="H90" s="93" t="n">
        <v>503071555000</v>
      </c>
      <c r="J90" s="9">
        <f>IF($A90="","",VALUE($A90&amp;"")*12+VALUE($B90&amp;""))</f>
        <v/>
      </c>
      <c r="K90" s="9">
        <f>IF($A90="","",IFERROR(INDEX(입력옵션!$C$22:$C$53,MATCH($C90&amp;"",입력옵션!$E$22:$E$53,0)),IFERROR(INDEX(입력옵션!$C$22:$C$53,MATCH($D90&amp;"",입력옵션!$F$22:$F$53,0)),$C90&amp;"")))</f>
        <v/>
      </c>
      <c r="L90" s="97">
        <f>IF($A90="",0,$G90*설정!$C$23)</f>
        <v/>
      </c>
      <c r="M90" s="97">
        <f>IF($A90="",0,$H90*설정!$C$23)</f>
        <v/>
      </c>
    </row>
    <row r="91">
      <c r="A91" s="92" t="n">
        <v>2025</v>
      </c>
      <c r="B91" s="92" t="n">
        <v>8</v>
      </c>
      <c r="C91" s="92" t="inlineStr">
        <is>
          <t>P120</t>
        </is>
      </c>
      <c r="D91" s="92" t="inlineStr">
        <is>
          <t>보험서비스비용</t>
        </is>
      </c>
      <c r="E91" s="92" t="inlineStr">
        <is>
          <t>비용</t>
        </is>
      </c>
      <c r="F91" s="92" t="n">
        <v>2</v>
      </c>
      <c r="G91" s="93" t="n">
        <v>50337859000</v>
      </c>
      <c r="H91" s="93" t="n">
        <v>404337341000</v>
      </c>
      <c r="J91" s="9">
        <f>IF($A91="","",VALUE($A91&amp;"")*12+VALUE($B91&amp;""))</f>
        <v/>
      </c>
      <c r="K91" s="9">
        <f>IF($A91="","",IFERROR(INDEX(입력옵션!$C$22:$C$53,MATCH($C91&amp;"",입력옵션!$E$22:$E$53,0)),IFERROR(INDEX(입력옵션!$C$22:$C$53,MATCH($D91&amp;"",입력옵션!$F$22:$F$53,0)),$C91&amp;"")))</f>
        <v/>
      </c>
      <c r="L91" s="97">
        <f>IF($A91="",0,$G91*설정!$C$23)</f>
        <v/>
      </c>
      <c r="M91" s="97">
        <f>IF($A91="",0,$H91*설정!$C$23)</f>
        <v/>
      </c>
    </row>
    <row r="92">
      <c r="A92" s="92" t="n">
        <v>2025</v>
      </c>
      <c r="B92" s="92" t="n">
        <v>8</v>
      </c>
      <c r="C92" s="92" t="inlineStr">
        <is>
          <t>P130</t>
        </is>
      </c>
      <c r="D92" s="92" t="inlineStr">
        <is>
          <t>재보험손익</t>
        </is>
      </c>
      <c r="E92" s="92" t="inlineStr">
        <is>
          <t>손익</t>
        </is>
      </c>
      <c r="F92" s="92" t="n">
        <v>2</v>
      </c>
      <c r="G92" s="93" t="n">
        <v>-1027549000</v>
      </c>
      <c r="H92" s="93" t="n">
        <v>-8408331000</v>
      </c>
      <c r="J92" s="9">
        <f>IF($A92="","",VALUE($A92&amp;"")*12+VALUE($B92&amp;""))</f>
        <v/>
      </c>
      <c r="K92" s="9">
        <f>IF($A92="","",IFERROR(INDEX(입력옵션!$C$22:$C$53,MATCH($C92&amp;"",입력옵션!$E$22:$E$53,0)),IFERROR(INDEX(입력옵션!$C$22:$C$53,MATCH($D92&amp;"",입력옵션!$F$22:$F$53,0)),$C92&amp;"")))</f>
        <v/>
      </c>
      <c r="L92" s="97">
        <f>IF($A92="",0,$G92*설정!$C$23)</f>
        <v/>
      </c>
      <c r="M92" s="97">
        <f>IF($A92="",0,$H92*설정!$C$23)</f>
        <v/>
      </c>
    </row>
    <row r="93">
      <c r="A93" s="92" t="n">
        <v>2025</v>
      </c>
      <c r="B93" s="92" t="n">
        <v>8</v>
      </c>
      <c r="C93" s="92" t="inlineStr">
        <is>
          <t>P200</t>
        </is>
      </c>
      <c r="D93" s="92" t="inlineStr">
        <is>
          <t>투자손익</t>
        </is>
      </c>
      <c r="E93" s="92" t="inlineStr">
        <is>
          <t>손익</t>
        </is>
      </c>
      <c r="F93" s="92" t="n">
        <v>1</v>
      </c>
      <c r="G93" s="93" t="n">
        <v>1229707150</v>
      </c>
      <c r="H93" s="93" t="n">
        <v>12030466900</v>
      </c>
      <c r="J93" s="9">
        <f>IF($A93="","",VALUE($A93&amp;"")*12+VALUE($B93&amp;""))</f>
        <v/>
      </c>
      <c r="K93" s="9">
        <f>IF($A93="","",IFERROR(INDEX(입력옵션!$C$22:$C$53,MATCH($C93&amp;"",입력옵션!$E$22:$E$53,0)),IFERROR(INDEX(입력옵션!$C$22:$C$53,MATCH($D93&amp;"",입력옵션!$F$22:$F$53,0)),$C93&amp;"")))</f>
        <v/>
      </c>
      <c r="L93" s="97">
        <f>IF($A93="",0,$G93*설정!$C$23)</f>
        <v/>
      </c>
      <c r="M93" s="97">
        <f>IF($A93="",0,$H93*설정!$C$23)</f>
        <v/>
      </c>
    </row>
    <row r="94">
      <c r="A94" s="92" t="n">
        <v>2025</v>
      </c>
      <c r="B94" s="92" t="n">
        <v>8</v>
      </c>
      <c r="C94" s="92" t="inlineStr">
        <is>
          <t>P210</t>
        </is>
      </c>
      <c r="D94" s="92" t="inlineStr">
        <is>
          <t>투자수익</t>
        </is>
      </c>
      <c r="E94" s="92" t="inlineStr">
        <is>
          <t>수익</t>
        </is>
      </c>
      <c r="F94" s="92" t="n">
        <v>2</v>
      </c>
      <c r="G94" s="93" t="n">
        <v>9003211000</v>
      </c>
      <c r="H94" s="93" t="n">
        <v>73912728000</v>
      </c>
      <c r="J94" s="9">
        <f>IF($A94="","",VALUE($A94&amp;"")*12+VALUE($B94&amp;""))</f>
        <v/>
      </c>
      <c r="K94" s="9">
        <f>IF($A94="","",IFERROR(INDEX(입력옵션!$C$22:$C$53,MATCH($C94&amp;"",입력옵션!$E$22:$E$53,0)),IFERROR(INDEX(입력옵션!$C$22:$C$53,MATCH($D94&amp;"",입력옵션!$F$22:$F$53,0)),$C94&amp;"")))</f>
        <v/>
      </c>
      <c r="L94" s="97">
        <f>IF($A94="",0,$G94*설정!$C$23)</f>
        <v/>
      </c>
      <c r="M94" s="97">
        <f>IF($A94="",0,$H94*설정!$C$23)</f>
        <v/>
      </c>
    </row>
    <row r="95">
      <c r="A95" s="92" t="n">
        <v>2025</v>
      </c>
      <c r="B95" s="92" t="n">
        <v>8</v>
      </c>
      <c r="C95" s="92" t="inlineStr">
        <is>
          <t>P220</t>
        </is>
      </c>
      <c r="D95" s="92" t="inlineStr">
        <is>
          <t>보험금융비용</t>
        </is>
      </c>
      <c r="E95" s="92" t="inlineStr">
        <is>
          <t>비용</t>
        </is>
      </c>
      <c r="F95" s="92" t="n">
        <v>2</v>
      </c>
      <c r="G95" s="93" t="n">
        <v>7743871000</v>
      </c>
      <c r="H95" s="93" t="n">
        <v>61648733000</v>
      </c>
      <c r="J95" s="9">
        <f>IF($A95="","",VALUE($A95&amp;"")*12+VALUE($B95&amp;""))</f>
        <v/>
      </c>
      <c r="K95" s="9">
        <f>IF($A95="","",IFERROR(INDEX(입력옵션!$C$22:$C$53,MATCH($C95&amp;"",입력옵션!$E$22:$E$53,0)),IFERROR(INDEX(입력옵션!$C$22:$C$53,MATCH($D95&amp;"",입력옵션!$F$22:$F$53,0)),$C95&amp;"")))</f>
        <v/>
      </c>
      <c r="L95" s="97">
        <f>IF($A95="",0,$G95*설정!$C$23)</f>
        <v/>
      </c>
      <c r="M95" s="97">
        <f>IF($A95="",0,$H95*설정!$C$23)</f>
        <v/>
      </c>
    </row>
    <row r="96">
      <c r="A96" s="92" t="n">
        <v>2025</v>
      </c>
      <c r="B96" s="92" t="n">
        <v>8</v>
      </c>
      <c r="C96" s="92" t="inlineStr">
        <is>
          <t>P230</t>
        </is>
      </c>
      <c r="D96" s="92" t="inlineStr">
        <is>
          <t>재산관리비</t>
        </is>
      </c>
      <c r="E96" s="92" t="inlineStr">
        <is>
          <t>비용</t>
        </is>
      </c>
      <c r="F96" s="92" t="n">
        <v>2</v>
      </c>
      <c r="G96" s="93" t="n">
        <v>29632850</v>
      </c>
      <c r="H96" s="93" t="n">
        <v>233528100</v>
      </c>
      <c r="J96" s="9">
        <f>IF($A96="","",VALUE($A96&amp;"")*12+VALUE($B96&amp;""))</f>
        <v/>
      </c>
      <c r="K96" s="9">
        <f>IF($A96="","",IFERROR(INDEX(입력옵션!$C$22:$C$53,MATCH($C96&amp;"",입력옵션!$E$22:$E$53,0)),IFERROR(INDEX(입력옵션!$C$22:$C$53,MATCH($D96&amp;"",입력옵션!$F$22:$F$53,0)),$C96&amp;"")))</f>
        <v/>
      </c>
      <c r="L96" s="97">
        <f>IF($A96="",0,$G96*설정!$C$23)</f>
        <v/>
      </c>
      <c r="M96" s="97">
        <f>IF($A96="",0,$H96*설정!$C$23)</f>
        <v/>
      </c>
    </row>
    <row r="97">
      <c r="A97" s="92" t="n">
        <v>2025</v>
      </c>
      <c r="B97" s="92" t="n">
        <v>8</v>
      </c>
      <c r="C97" s="92" t="inlineStr">
        <is>
          <t>P300</t>
        </is>
      </c>
      <c r="D97" s="92" t="inlineStr">
        <is>
          <t>기타사업비용 (사업비)</t>
        </is>
      </c>
      <c r="E97" s="92" t="inlineStr">
        <is>
          <t>비용</t>
        </is>
      </c>
      <c r="F97" s="92" t="n">
        <v>1</v>
      </c>
      <c r="G97" s="93" t="n">
        <v>340554505</v>
      </c>
      <c r="H97" s="93" t="n">
        <v>2691240430</v>
      </c>
      <c r="J97" s="9">
        <f>IF($A97="","",VALUE($A97&amp;"")*12+VALUE($B97&amp;""))</f>
        <v/>
      </c>
      <c r="K97" s="9">
        <f>IF($A97="","",IFERROR(INDEX(입력옵션!$C$22:$C$53,MATCH($C97&amp;"",입력옵션!$E$22:$E$53,0)),IFERROR(INDEX(입력옵션!$C$22:$C$53,MATCH($D97&amp;"",입력옵션!$F$22:$F$53,0)),$C97&amp;"")))</f>
        <v/>
      </c>
      <c r="L97" s="97">
        <f>IF($A97="",0,$G97*설정!$C$23)</f>
        <v/>
      </c>
      <c r="M97" s="97">
        <f>IF($A97="",0,$H97*설정!$C$23)</f>
        <v/>
      </c>
    </row>
    <row r="98">
      <c r="A98" s="92" t="n">
        <v>2025</v>
      </c>
      <c r="B98" s="92" t="n">
        <v>8</v>
      </c>
      <c r="C98" s="92" t="inlineStr">
        <is>
          <t>P400</t>
        </is>
      </c>
      <c r="D98" s="92" t="inlineStr">
        <is>
          <t>법인세차감전이익</t>
        </is>
      </c>
      <c r="E98" s="92" t="inlineStr">
        <is>
          <t>손익</t>
        </is>
      </c>
      <c r="F98" s="92" t="n">
        <v>1</v>
      </c>
      <c r="G98" s="93" t="n">
        <v>14221138645</v>
      </c>
      <c r="H98" s="93" t="n">
        <v>99665109470</v>
      </c>
      <c r="J98" s="9">
        <f>IF($A98="","",VALUE($A98&amp;"")*12+VALUE($B98&amp;""))</f>
        <v/>
      </c>
      <c r="K98" s="9">
        <f>IF($A98="","",IFERROR(INDEX(입력옵션!$C$22:$C$53,MATCH($C98&amp;"",입력옵션!$E$22:$E$53,0)),IFERROR(INDEX(입력옵션!$C$22:$C$53,MATCH($D98&amp;"",입력옵션!$F$22:$F$53,0)),$C98&amp;"")))</f>
        <v/>
      </c>
      <c r="L98" s="97">
        <f>IF($A98="",0,$G98*설정!$C$23)</f>
        <v/>
      </c>
      <c r="M98" s="97">
        <f>IF($A98="",0,$H98*설정!$C$23)</f>
        <v/>
      </c>
    </row>
    <row r="99">
      <c r="A99" s="92" t="n">
        <v>2025</v>
      </c>
      <c r="B99" s="92" t="n">
        <v>8</v>
      </c>
      <c r="C99" s="92" t="inlineStr">
        <is>
          <t>P500</t>
        </is>
      </c>
      <c r="D99" s="92" t="inlineStr">
        <is>
          <t>법인세비용</t>
        </is>
      </c>
      <c r="E99" s="92" t="inlineStr">
        <is>
          <t>비용</t>
        </is>
      </c>
      <c r="F99" s="92" t="n">
        <v>1</v>
      </c>
      <c r="G99" s="93" t="n">
        <v>3128651000</v>
      </c>
      <c r="H99" s="93" t="n">
        <v>21926325000</v>
      </c>
      <c r="J99" s="9">
        <f>IF($A99="","",VALUE($A99&amp;"")*12+VALUE($B99&amp;""))</f>
        <v/>
      </c>
      <c r="K99" s="9">
        <f>IF($A99="","",IFERROR(INDEX(입력옵션!$C$22:$C$53,MATCH($C99&amp;"",입력옵션!$E$22:$E$53,0)),IFERROR(INDEX(입력옵션!$C$22:$C$53,MATCH($D99&amp;"",입력옵션!$F$22:$F$53,0)),$C99&amp;"")))</f>
        <v/>
      </c>
      <c r="L99" s="97">
        <f>IF($A99="",0,$G99*설정!$C$23)</f>
        <v/>
      </c>
      <c r="M99" s="97">
        <f>IF($A99="",0,$H99*설정!$C$23)</f>
        <v/>
      </c>
    </row>
    <row r="100">
      <c r="A100" s="92" t="n">
        <v>2025</v>
      </c>
      <c r="B100" s="92" t="n">
        <v>8</v>
      </c>
      <c r="C100" s="92" t="inlineStr">
        <is>
          <t>P600</t>
        </is>
      </c>
      <c r="D100" s="92" t="inlineStr">
        <is>
          <t>당기순이익</t>
        </is>
      </c>
      <c r="E100" s="92" t="inlineStr">
        <is>
          <t>손익</t>
        </is>
      </c>
      <c r="F100" s="92" t="n">
        <v>1</v>
      </c>
      <c r="G100" s="93" t="n">
        <v>11092487645</v>
      </c>
      <c r="H100" s="93" t="n">
        <v>77738784470</v>
      </c>
      <c r="J100" s="9">
        <f>IF($A100="","",VALUE($A100&amp;"")*12+VALUE($B100&amp;""))</f>
        <v/>
      </c>
      <c r="K100" s="9">
        <f>IF($A100="","",IFERROR(INDEX(입력옵션!$C$22:$C$53,MATCH($C100&amp;"",입력옵션!$E$22:$E$53,0)),IFERROR(INDEX(입력옵션!$C$22:$C$53,MATCH($D100&amp;"",입력옵션!$F$22:$F$53,0)),$C100&amp;"")))</f>
        <v/>
      </c>
      <c r="L100" s="97">
        <f>IF($A100="",0,$G100*설정!$C$23)</f>
        <v/>
      </c>
      <c r="M100" s="97">
        <f>IF($A100="",0,$H100*설정!$C$23)</f>
        <v/>
      </c>
    </row>
    <row r="101">
      <c r="A101" s="92" t="n">
        <v>2025</v>
      </c>
      <c r="B101" s="92" t="n">
        <v>9</v>
      </c>
      <c r="C101" s="92" t="inlineStr">
        <is>
          <t>P100</t>
        </is>
      </c>
      <c r="D101" s="92" t="inlineStr">
        <is>
          <t>보험손익</t>
        </is>
      </c>
      <c r="E101" s="92" t="inlineStr">
        <is>
          <t>손익</t>
        </is>
      </c>
      <c r="F101" s="92" t="n">
        <v>1</v>
      </c>
      <c r="G101" s="93" t="n">
        <v>12180389000</v>
      </c>
      <c r="H101" s="93" t="n">
        <v>102506272000</v>
      </c>
      <c r="J101" s="9">
        <f>IF($A101="","",VALUE($A101&amp;"")*12+VALUE($B101&amp;""))</f>
        <v/>
      </c>
      <c r="K101" s="9">
        <f>IF($A101="","",IFERROR(INDEX(입력옵션!$C$22:$C$53,MATCH($C101&amp;"",입력옵션!$E$22:$E$53,0)),IFERROR(INDEX(입력옵션!$C$22:$C$53,MATCH($D101&amp;"",입력옵션!$F$22:$F$53,0)),$C101&amp;"")))</f>
        <v/>
      </c>
      <c r="L101" s="97">
        <f>IF($A101="",0,$G101*설정!$C$23)</f>
        <v/>
      </c>
      <c r="M101" s="97">
        <f>IF($A101="",0,$H101*설정!$C$23)</f>
        <v/>
      </c>
    </row>
    <row r="102">
      <c r="A102" s="92" t="n">
        <v>2025</v>
      </c>
      <c r="B102" s="92" t="n">
        <v>9</v>
      </c>
      <c r="C102" s="92" t="inlineStr">
        <is>
          <t>P110</t>
        </is>
      </c>
      <c r="D102" s="92" t="inlineStr">
        <is>
          <t>보험수익</t>
        </is>
      </c>
      <c r="E102" s="92" t="inlineStr">
        <is>
          <t>수익</t>
        </is>
      </c>
      <c r="F102" s="92" t="n">
        <v>2</v>
      </c>
      <c r="G102" s="93" t="n">
        <v>64872536000</v>
      </c>
      <c r="H102" s="93" t="n">
        <v>567944091000</v>
      </c>
      <c r="J102" s="9">
        <f>IF($A102="","",VALUE($A102&amp;"")*12+VALUE($B102&amp;""))</f>
        <v/>
      </c>
      <c r="K102" s="9">
        <f>IF($A102="","",IFERROR(INDEX(입력옵션!$C$22:$C$53,MATCH($C102&amp;"",입력옵션!$E$22:$E$53,0)),IFERROR(INDEX(입력옵션!$C$22:$C$53,MATCH($D102&amp;"",입력옵션!$F$22:$F$53,0)),$C102&amp;"")))</f>
        <v/>
      </c>
      <c r="L102" s="97">
        <f>IF($A102="",0,$G102*설정!$C$23)</f>
        <v/>
      </c>
      <c r="M102" s="97">
        <f>IF($A102="",0,$H102*설정!$C$23)</f>
        <v/>
      </c>
    </row>
    <row r="103">
      <c r="A103" s="92" t="n">
        <v>2025</v>
      </c>
      <c r="B103" s="92" t="n">
        <v>9</v>
      </c>
      <c r="C103" s="92" t="inlineStr">
        <is>
          <t>P120</t>
        </is>
      </c>
      <c r="D103" s="92" t="inlineStr">
        <is>
          <t>보험서비스비용</t>
        </is>
      </c>
      <c r="E103" s="92" t="inlineStr">
        <is>
          <t>비용</t>
        </is>
      </c>
      <c r="F103" s="92" t="n">
        <v>2</v>
      </c>
      <c r="G103" s="93" t="n">
        <v>51702926000</v>
      </c>
      <c r="H103" s="93" t="n">
        <v>456040267000</v>
      </c>
      <c r="J103" s="9">
        <f>IF($A103="","",VALUE($A103&amp;"")*12+VALUE($B103&amp;""))</f>
        <v/>
      </c>
      <c r="K103" s="9">
        <f>IF($A103="","",IFERROR(INDEX(입력옵션!$C$22:$C$53,MATCH($C103&amp;"",입력옵션!$E$22:$E$53,0)),IFERROR(INDEX(입력옵션!$C$22:$C$53,MATCH($D103&amp;"",입력옵션!$F$22:$F$53,0)),$C103&amp;"")))</f>
        <v/>
      </c>
      <c r="L103" s="97">
        <f>IF($A103="",0,$G103*설정!$C$23)</f>
        <v/>
      </c>
      <c r="M103" s="97">
        <f>IF($A103="",0,$H103*설정!$C$23)</f>
        <v/>
      </c>
    </row>
    <row r="104">
      <c r="A104" s="92" t="n">
        <v>2025</v>
      </c>
      <c r="B104" s="92" t="n">
        <v>9</v>
      </c>
      <c r="C104" s="92" t="inlineStr">
        <is>
          <t>P130</t>
        </is>
      </c>
      <c r="D104" s="92" t="inlineStr">
        <is>
          <t>재보험손익</t>
        </is>
      </c>
      <c r="E104" s="92" t="inlineStr">
        <is>
          <t>손익</t>
        </is>
      </c>
      <c r="F104" s="92" t="n">
        <v>2</v>
      </c>
      <c r="G104" s="93" t="n">
        <v>-989221000</v>
      </c>
      <c r="H104" s="93" t="n">
        <v>-9397552000</v>
      </c>
      <c r="J104" s="9">
        <f>IF($A104="","",VALUE($A104&amp;"")*12+VALUE($B104&amp;""))</f>
        <v/>
      </c>
      <c r="K104" s="9">
        <f>IF($A104="","",IFERROR(INDEX(입력옵션!$C$22:$C$53,MATCH($C104&amp;"",입력옵션!$E$22:$E$53,0)),IFERROR(INDEX(입력옵션!$C$22:$C$53,MATCH($D104&amp;"",입력옵션!$F$22:$F$53,0)),$C104&amp;"")))</f>
        <v/>
      </c>
      <c r="L104" s="97">
        <f>IF($A104="",0,$G104*설정!$C$23)</f>
        <v/>
      </c>
      <c r="M104" s="97">
        <f>IF($A104="",0,$H104*설정!$C$23)</f>
        <v/>
      </c>
    </row>
    <row r="105">
      <c r="A105" s="92" t="n">
        <v>2025</v>
      </c>
      <c r="B105" s="92" t="n">
        <v>9</v>
      </c>
      <c r="C105" s="92" t="inlineStr">
        <is>
          <t>P200</t>
        </is>
      </c>
      <c r="D105" s="92" t="inlineStr">
        <is>
          <t>투자손익</t>
        </is>
      </c>
      <c r="E105" s="92" t="inlineStr">
        <is>
          <t>손익</t>
        </is>
      </c>
      <c r="F105" s="92" t="n">
        <v>1</v>
      </c>
      <c r="G105" s="93" t="n">
        <v>1919520050</v>
      </c>
      <c r="H105" s="93" t="n">
        <v>13949986950</v>
      </c>
      <c r="J105" s="9">
        <f>IF($A105="","",VALUE($A105&amp;"")*12+VALUE($B105&amp;""))</f>
        <v/>
      </c>
      <c r="K105" s="9">
        <f>IF($A105="","",IFERROR(INDEX(입력옵션!$C$22:$C$53,MATCH($C105&amp;"",입력옵션!$E$22:$E$53,0)),IFERROR(INDEX(입력옵션!$C$22:$C$53,MATCH($D105&amp;"",입력옵션!$F$22:$F$53,0)),$C105&amp;"")))</f>
        <v/>
      </c>
      <c r="L105" s="97">
        <f>IF($A105="",0,$G105*설정!$C$23)</f>
        <v/>
      </c>
      <c r="M105" s="97">
        <f>IF($A105="",0,$H105*설정!$C$23)</f>
        <v/>
      </c>
    </row>
    <row r="106">
      <c r="A106" s="92" t="n">
        <v>2025</v>
      </c>
      <c r="B106" s="92" t="n">
        <v>9</v>
      </c>
      <c r="C106" s="92" t="inlineStr">
        <is>
          <t>P210</t>
        </is>
      </c>
      <c r="D106" s="92" t="inlineStr">
        <is>
          <t>투자수익</t>
        </is>
      </c>
      <c r="E106" s="92" t="inlineStr">
        <is>
          <t>수익</t>
        </is>
      </c>
      <c r="F106" s="92" t="n">
        <v>2</v>
      </c>
      <c r="G106" s="93" t="n">
        <v>9763517000</v>
      </c>
      <c r="H106" s="93" t="n">
        <v>83676245000</v>
      </c>
      <c r="J106" s="9">
        <f>IF($A106="","",VALUE($A106&amp;"")*12+VALUE($B106&amp;""))</f>
        <v/>
      </c>
      <c r="K106" s="9">
        <f>IF($A106="","",IFERROR(INDEX(입력옵션!$C$22:$C$53,MATCH($C106&amp;"",입력옵션!$E$22:$E$53,0)),IFERROR(INDEX(입력옵션!$C$22:$C$53,MATCH($D106&amp;"",입력옵션!$F$22:$F$53,0)),$C106&amp;"")))</f>
        <v/>
      </c>
      <c r="L106" s="97">
        <f>IF($A106="",0,$G106*설정!$C$23)</f>
        <v/>
      </c>
      <c r="M106" s="97">
        <f>IF($A106="",0,$H106*설정!$C$23)</f>
        <v/>
      </c>
    </row>
    <row r="107">
      <c r="A107" s="92" t="n">
        <v>2025</v>
      </c>
      <c r="B107" s="92" t="n">
        <v>9</v>
      </c>
      <c r="C107" s="92" t="inlineStr">
        <is>
          <t>P220</t>
        </is>
      </c>
      <c r="D107" s="92" t="inlineStr">
        <is>
          <t>보험금융비용</t>
        </is>
      </c>
      <c r="E107" s="92" t="inlineStr">
        <is>
          <t>비용</t>
        </is>
      </c>
      <c r="F107" s="92" t="n">
        <v>2</v>
      </c>
      <c r="G107" s="93" t="n">
        <v>7815109000</v>
      </c>
      <c r="H107" s="93" t="n">
        <v>69463842000</v>
      </c>
      <c r="J107" s="9">
        <f>IF($A107="","",VALUE($A107&amp;"")*12+VALUE($B107&amp;""))</f>
        <v/>
      </c>
      <c r="K107" s="9">
        <f>IF($A107="","",IFERROR(INDEX(입력옵션!$C$22:$C$53,MATCH($C107&amp;"",입력옵션!$E$22:$E$53,0)),IFERROR(INDEX(입력옵션!$C$22:$C$53,MATCH($D107&amp;"",입력옵션!$F$22:$F$53,0)),$C107&amp;"")))</f>
        <v/>
      </c>
      <c r="L107" s="97">
        <f>IF($A107="",0,$G107*설정!$C$23)</f>
        <v/>
      </c>
      <c r="M107" s="97">
        <f>IF($A107="",0,$H107*설정!$C$23)</f>
        <v/>
      </c>
    </row>
    <row r="108">
      <c r="A108" s="92" t="n">
        <v>2025</v>
      </c>
      <c r="B108" s="92" t="n">
        <v>9</v>
      </c>
      <c r="C108" s="92" t="inlineStr">
        <is>
          <t>P230</t>
        </is>
      </c>
      <c r="D108" s="92" t="inlineStr">
        <is>
          <t>재산관리비</t>
        </is>
      </c>
      <c r="E108" s="92" t="inlineStr">
        <is>
          <t>비용</t>
        </is>
      </c>
      <c r="F108" s="92" t="n">
        <v>2</v>
      </c>
      <c r="G108" s="93" t="n">
        <v>28887950</v>
      </c>
      <c r="H108" s="93" t="n">
        <v>262416050</v>
      </c>
      <c r="J108" s="9">
        <f>IF($A108="","",VALUE($A108&amp;"")*12+VALUE($B108&amp;""))</f>
        <v/>
      </c>
      <c r="K108" s="9">
        <f>IF($A108="","",IFERROR(INDEX(입력옵션!$C$22:$C$53,MATCH($C108&amp;"",입력옵션!$E$22:$E$53,0)),IFERROR(INDEX(입력옵션!$C$22:$C$53,MATCH($D108&amp;"",입력옵션!$F$22:$F$53,0)),$C108&amp;"")))</f>
        <v/>
      </c>
      <c r="L108" s="97">
        <f>IF($A108="",0,$G108*설정!$C$23)</f>
        <v/>
      </c>
      <c r="M108" s="97">
        <f>IF($A108="",0,$H108*설정!$C$23)</f>
        <v/>
      </c>
    </row>
    <row r="109">
      <c r="A109" s="92" t="n">
        <v>2025</v>
      </c>
      <c r="B109" s="92" t="n">
        <v>9</v>
      </c>
      <c r="C109" s="92" t="inlineStr">
        <is>
          <t>P300</t>
        </is>
      </c>
      <c r="D109" s="92" t="inlineStr">
        <is>
          <t>기타사업비용 (사업비)</t>
        </is>
      </c>
      <c r="E109" s="92" t="inlineStr">
        <is>
          <t>비용</t>
        </is>
      </c>
      <c r="F109" s="92" t="n">
        <v>1</v>
      </c>
      <c r="G109" s="93" t="n">
        <v>370081185</v>
      </c>
      <c r="H109" s="93" t="n">
        <v>3061321615</v>
      </c>
      <c r="J109" s="9">
        <f>IF($A109="","",VALUE($A109&amp;"")*12+VALUE($B109&amp;""))</f>
        <v/>
      </c>
      <c r="K109" s="9">
        <f>IF($A109="","",IFERROR(INDEX(입력옵션!$C$22:$C$53,MATCH($C109&amp;"",입력옵션!$E$22:$E$53,0)),IFERROR(INDEX(입력옵션!$C$22:$C$53,MATCH($D109&amp;"",입력옵션!$F$22:$F$53,0)),$C109&amp;"")))</f>
        <v/>
      </c>
      <c r="L109" s="97">
        <f>IF($A109="",0,$G109*설정!$C$23)</f>
        <v/>
      </c>
      <c r="M109" s="97">
        <f>IF($A109="",0,$H109*설정!$C$23)</f>
        <v/>
      </c>
    </row>
    <row r="110">
      <c r="A110" s="92" t="n">
        <v>2025</v>
      </c>
      <c r="B110" s="92" t="n">
        <v>9</v>
      </c>
      <c r="C110" s="92" t="inlineStr">
        <is>
          <t>P400</t>
        </is>
      </c>
      <c r="D110" s="92" t="inlineStr">
        <is>
          <t>법인세차감전이익</t>
        </is>
      </c>
      <c r="E110" s="92" t="inlineStr">
        <is>
          <t>손익</t>
        </is>
      </c>
      <c r="F110" s="92" t="n">
        <v>1</v>
      </c>
      <c r="G110" s="93" t="n">
        <v>13729827865</v>
      </c>
      <c r="H110" s="93" t="n">
        <v>113394937335</v>
      </c>
      <c r="J110" s="9">
        <f>IF($A110="","",VALUE($A110&amp;"")*12+VALUE($B110&amp;""))</f>
        <v/>
      </c>
      <c r="K110" s="9">
        <f>IF($A110="","",IFERROR(INDEX(입력옵션!$C$22:$C$53,MATCH($C110&amp;"",입력옵션!$E$22:$E$53,0)),IFERROR(INDEX(입력옵션!$C$22:$C$53,MATCH($D110&amp;"",입력옵션!$F$22:$F$53,0)),$C110&amp;"")))</f>
        <v/>
      </c>
      <c r="L110" s="97">
        <f>IF($A110="",0,$G110*설정!$C$23)</f>
        <v/>
      </c>
      <c r="M110" s="97">
        <f>IF($A110="",0,$H110*설정!$C$23)</f>
        <v/>
      </c>
    </row>
    <row r="111">
      <c r="A111" s="92" t="n">
        <v>2025</v>
      </c>
      <c r="B111" s="92" t="n">
        <v>9</v>
      </c>
      <c r="C111" s="92" t="inlineStr">
        <is>
          <t>P500</t>
        </is>
      </c>
      <c r="D111" s="92" t="inlineStr">
        <is>
          <t>법인세비용</t>
        </is>
      </c>
      <c r="E111" s="92" t="inlineStr">
        <is>
          <t>비용</t>
        </is>
      </c>
      <c r="F111" s="92" t="n">
        <v>1</v>
      </c>
      <c r="G111" s="93" t="n">
        <v>3020562000</v>
      </c>
      <c r="H111" s="93" t="n">
        <v>24946887000</v>
      </c>
      <c r="J111" s="9">
        <f>IF($A111="","",VALUE($A111&amp;"")*12+VALUE($B111&amp;""))</f>
        <v/>
      </c>
      <c r="K111" s="9">
        <f>IF($A111="","",IFERROR(INDEX(입력옵션!$C$22:$C$53,MATCH($C111&amp;"",입력옵션!$E$22:$E$53,0)),IFERROR(INDEX(입력옵션!$C$22:$C$53,MATCH($D111&amp;"",입력옵션!$F$22:$F$53,0)),$C111&amp;"")))</f>
        <v/>
      </c>
      <c r="L111" s="97">
        <f>IF($A111="",0,$G111*설정!$C$23)</f>
        <v/>
      </c>
      <c r="M111" s="97">
        <f>IF($A111="",0,$H111*설정!$C$23)</f>
        <v/>
      </c>
    </row>
    <row r="112">
      <c r="A112" s="92" t="n">
        <v>2025</v>
      </c>
      <c r="B112" s="92" t="n">
        <v>9</v>
      </c>
      <c r="C112" s="92" t="inlineStr">
        <is>
          <t>P600</t>
        </is>
      </c>
      <c r="D112" s="92" t="inlineStr">
        <is>
          <t>당기순이익</t>
        </is>
      </c>
      <c r="E112" s="92" t="inlineStr">
        <is>
          <t>손익</t>
        </is>
      </c>
      <c r="F112" s="92" t="n">
        <v>1</v>
      </c>
      <c r="G112" s="93" t="n">
        <v>10709265865</v>
      </c>
      <c r="H112" s="93" t="n">
        <v>88448050335</v>
      </c>
      <c r="J112" s="9">
        <f>IF($A112="","",VALUE($A112&amp;"")*12+VALUE($B112&amp;""))</f>
        <v/>
      </c>
      <c r="K112" s="9">
        <f>IF($A112="","",IFERROR(INDEX(입력옵션!$C$22:$C$53,MATCH($C112&amp;"",입력옵션!$E$22:$E$53,0)),IFERROR(INDEX(입력옵션!$C$22:$C$53,MATCH($D112&amp;"",입력옵션!$F$22:$F$53,0)),$C112&amp;"")))</f>
        <v/>
      </c>
      <c r="L112" s="97">
        <f>IF($A112="",0,$G112*설정!$C$23)</f>
        <v/>
      </c>
      <c r="M112" s="97">
        <f>IF($A112="",0,$H112*설정!$C$23)</f>
        <v/>
      </c>
    </row>
    <row r="113">
      <c r="A113" s="92" t="n">
        <v>2025</v>
      </c>
      <c r="B113" s="92" t="n">
        <v>10</v>
      </c>
      <c r="C113" s="92" t="inlineStr">
        <is>
          <t>P100</t>
        </is>
      </c>
      <c r="D113" s="92" t="inlineStr">
        <is>
          <t>보험손익</t>
        </is>
      </c>
      <c r="E113" s="92" t="inlineStr">
        <is>
          <t>손익</t>
        </is>
      </c>
      <c r="F113" s="92" t="n">
        <v>1</v>
      </c>
      <c r="G113" s="93" t="n">
        <v>11454439000</v>
      </c>
      <c r="H113" s="93" t="n">
        <v>113960711000</v>
      </c>
      <c r="J113" s="9">
        <f>IF($A113="","",VALUE($A113&amp;"")*12+VALUE($B113&amp;""))</f>
        <v/>
      </c>
      <c r="K113" s="9">
        <f>IF($A113="","",IFERROR(INDEX(입력옵션!$C$22:$C$53,MATCH($C113&amp;"",입력옵션!$E$22:$E$53,0)),IFERROR(INDEX(입력옵션!$C$22:$C$53,MATCH($D113&amp;"",입력옵션!$F$22:$F$53,0)),$C113&amp;"")))</f>
        <v/>
      </c>
      <c r="L113" s="97">
        <f>IF($A113="",0,$G113*설정!$C$23)</f>
        <v/>
      </c>
      <c r="M113" s="97">
        <f>IF($A113="",0,$H113*설정!$C$23)</f>
        <v/>
      </c>
    </row>
    <row r="114">
      <c r="A114" s="92" t="n">
        <v>2025</v>
      </c>
      <c r="B114" s="92" t="n">
        <v>10</v>
      </c>
      <c r="C114" s="92" t="inlineStr">
        <is>
          <t>P110</t>
        </is>
      </c>
      <c r="D114" s="92" t="inlineStr">
        <is>
          <t>보험수익</t>
        </is>
      </c>
      <c r="E114" s="92" t="inlineStr">
        <is>
          <t>수익</t>
        </is>
      </c>
      <c r="F114" s="92" t="n">
        <v>2</v>
      </c>
      <c r="G114" s="93" t="n">
        <v>62826129000</v>
      </c>
      <c r="H114" s="93" t="n">
        <v>630770220000</v>
      </c>
      <c r="J114" s="9">
        <f>IF($A114="","",VALUE($A114&amp;"")*12+VALUE($B114&amp;""))</f>
        <v/>
      </c>
      <c r="K114" s="9">
        <f>IF($A114="","",IFERROR(INDEX(입력옵션!$C$22:$C$53,MATCH($C114&amp;"",입력옵션!$E$22:$E$53,0)),IFERROR(INDEX(입력옵션!$C$22:$C$53,MATCH($D114&amp;"",입력옵션!$F$22:$F$53,0)),$C114&amp;"")))</f>
        <v/>
      </c>
      <c r="L114" s="97">
        <f>IF($A114="",0,$G114*설정!$C$23)</f>
        <v/>
      </c>
      <c r="M114" s="97">
        <f>IF($A114="",0,$H114*설정!$C$23)</f>
        <v/>
      </c>
    </row>
    <row r="115">
      <c r="A115" s="92" t="n">
        <v>2025</v>
      </c>
      <c r="B115" s="92" t="n">
        <v>10</v>
      </c>
      <c r="C115" s="92" t="inlineStr">
        <is>
          <t>P120</t>
        </is>
      </c>
      <c r="D115" s="92" t="inlineStr">
        <is>
          <t>보험서비스비용</t>
        </is>
      </c>
      <c r="E115" s="92" t="inlineStr">
        <is>
          <t>비용</t>
        </is>
      </c>
      <c r="F115" s="92" t="n">
        <v>2</v>
      </c>
      <c r="G115" s="93" t="n">
        <v>50158593000</v>
      </c>
      <c r="H115" s="93" t="n">
        <v>506198860000</v>
      </c>
      <c r="J115" s="9">
        <f>IF($A115="","",VALUE($A115&amp;"")*12+VALUE($B115&amp;""))</f>
        <v/>
      </c>
      <c r="K115" s="9">
        <f>IF($A115="","",IFERROR(INDEX(입력옵션!$C$22:$C$53,MATCH($C115&amp;"",입력옵션!$E$22:$E$53,0)),IFERROR(INDEX(입력옵션!$C$22:$C$53,MATCH($D115&amp;"",입력옵션!$F$22:$F$53,0)),$C115&amp;"")))</f>
        <v/>
      </c>
      <c r="L115" s="97">
        <f>IF($A115="",0,$G115*설정!$C$23)</f>
        <v/>
      </c>
      <c r="M115" s="97">
        <f>IF($A115="",0,$H115*설정!$C$23)</f>
        <v/>
      </c>
    </row>
    <row r="116">
      <c r="A116" s="92" t="n">
        <v>2025</v>
      </c>
      <c r="B116" s="92" t="n">
        <v>10</v>
      </c>
      <c r="C116" s="92" t="inlineStr">
        <is>
          <t>P130</t>
        </is>
      </c>
      <c r="D116" s="92" t="inlineStr">
        <is>
          <t>재보험손익</t>
        </is>
      </c>
      <c r="E116" s="92" t="inlineStr">
        <is>
          <t>손익</t>
        </is>
      </c>
      <c r="F116" s="92" t="n">
        <v>2</v>
      </c>
      <c r="G116" s="93" t="n">
        <v>-1213097000</v>
      </c>
      <c r="H116" s="93" t="n">
        <v>-10610649000</v>
      </c>
      <c r="J116" s="9">
        <f>IF($A116="","",VALUE($A116&amp;"")*12+VALUE($B116&amp;""))</f>
        <v/>
      </c>
      <c r="K116" s="9">
        <f>IF($A116="","",IFERROR(INDEX(입력옵션!$C$22:$C$53,MATCH($C116&amp;"",입력옵션!$E$22:$E$53,0)),IFERROR(INDEX(입력옵션!$C$22:$C$53,MATCH($D116&amp;"",입력옵션!$F$22:$F$53,0)),$C116&amp;"")))</f>
        <v/>
      </c>
      <c r="L116" s="97">
        <f>IF($A116="",0,$G116*설정!$C$23)</f>
        <v/>
      </c>
      <c r="M116" s="97">
        <f>IF($A116="",0,$H116*설정!$C$23)</f>
        <v/>
      </c>
    </row>
    <row r="117">
      <c r="A117" s="92" t="n">
        <v>2025</v>
      </c>
      <c r="B117" s="92" t="n">
        <v>10</v>
      </c>
      <c r="C117" s="92" t="inlineStr">
        <is>
          <t>P200</t>
        </is>
      </c>
      <c r="D117" s="92" t="inlineStr">
        <is>
          <t>투자손익</t>
        </is>
      </c>
      <c r="E117" s="92" t="inlineStr">
        <is>
          <t>손익</t>
        </is>
      </c>
      <c r="F117" s="92" t="n">
        <v>1</v>
      </c>
      <c r="G117" s="93" t="n">
        <v>1197262350</v>
      </c>
      <c r="H117" s="93" t="n">
        <v>15147249300</v>
      </c>
      <c r="J117" s="9">
        <f>IF($A117="","",VALUE($A117&amp;"")*12+VALUE($B117&amp;""))</f>
        <v/>
      </c>
      <c r="K117" s="9">
        <f>IF($A117="","",IFERROR(INDEX(입력옵션!$C$22:$C$53,MATCH($C117&amp;"",입력옵션!$E$22:$E$53,0)),IFERROR(INDEX(입력옵션!$C$22:$C$53,MATCH($D117&amp;"",입력옵션!$F$22:$F$53,0)),$C117&amp;"")))</f>
        <v/>
      </c>
      <c r="L117" s="97">
        <f>IF($A117="",0,$G117*설정!$C$23)</f>
        <v/>
      </c>
      <c r="M117" s="97">
        <f>IF($A117="",0,$H117*설정!$C$23)</f>
        <v/>
      </c>
    </row>
    <row r="118">
      <c r="A118" s="92" t="n">
        <v>2025</v>
      </c>
      <c r="B118" s="92" t="n">
        <v>10</v>
      </c>
      <c r="C118" s="92" t="inlineStr">
        <is>
          <t>P210</t>
        </is>
      </c>
      <c r="D118" s="92" t="inlineStr">
        <is>
          <t>투자수익</t>
        </is>
      </c>
      <c r="E118" s="92" t="inlineStr">
        <is>
          <t>수익</t>
        </is>
      </c>
      <c r="F118" s="92" t="n">
        <v>2</v>
      </c>
      <c r="G118" s="93" t="n">
        <v>9141110000</v>
      </c>
      <c r="H118" s="93" t="n">
        <v>92817355000</v>
      </c>
      <c r="J118" s="9">
        <f>IF($A118="","",VALUE($A118&amp;"")*12+VALUE($B118&amp;""))</f>
        <v/>
      </c>
      <c r="K118" s="9">
        <f>IF($A118="","",IFERROR(INDEX(입력옵션!$C$22:$C$53,MATCH($C118&amp;"",입력옵션!$E$22:$E$53,0)),IFERROR(INDEX(입력옵션!$C$22:$C$53,MATCH($D118&amp;"",입력옵션!$F$22:$F$53,0)),$C118&amp;"")))</f>
        <v/>
      </c>
      <c r="L118" s="97">
        <f>IF($A118="",0,$G118*설정!$C$23)</f>
        <v/>
      </c>
      <c r="M118" s="97">
        <f>IF($A118="",0,$H118*설정!$C$23)</f>
        <v/>
      </c>
    </row>
    <row r="119">
      <c r="A119" s="92" t="n">
        <v>2025</v>
      </c>
      <c r="B119" s="92" t="n">
        <v>10</v>
      </c>
      <c r="C119" s="92" t="inlineStr">
        <is>
          <t>P220</t>
        </is>
      </c>
      <c r="D119" s="92" t="inlineStr">
        <is>
          <t>보험금융비용</t>
        </is>
      </c>
      <c r="E119" s="92" t="inlineStr">
        <is>
          <t>비용</t>
        </is>
      </c>
      <c r="F119" s="92" t="n">
        <v>2</v>
      </c>
      <c r="G119" s="93" t="n">
        <v>7915182000</v>
      </c>
      <c r="H119" s="93" t="n">
        <v>77379024000</v>
      </c>
      <c r="J119" s="9">
        <f>IF($A119="","",VALUE($A119&amp;"")*12+VALUE($B119&amp;""))</f>
        <v/>
      </c>
      <c r="K119" s="9">
        <f>IF($A119="","",IFERROR(INDEX(입력옵션!$C$22:$C$53,MATCH($C119&amp;"",입력옵션!$E$22:$E$53,0)),IFERROR(INDEX(입력옵션!$C$22:$C$53,MATCH($D119&amp;"",입력옵션!$F$22:$F$53,0)),$C119&amp;"")))</f>
        <v/>
      </c>
      <c r="L119" s="97">
        <f>IF($A119="",0,$G119*설정!$C$23)</f>
        <v/>
      </c>
      <c r="M119" s="97">
        <f>IF($A119="",0,$H119*설정!$C$23)</f>
        <v/>
      </c>
    </row>
    <row r="120">
      <c r="A120" s="92" t="n">
        <v>2025</v>
      </c>
      <c r="B120" s="92" t="n">
        <v>10</v>
      </c>
      <c r="C120" s="92" t="inlineStr">
        <is>
          <t>P230</t>
        </is>
      </c>
      <c r="D120" s="92" t="inlineStr">
        <is>
          <t>재산관리비</t>
        </is>
      </c>
      <c r="E120" s="92" t="inlineStr">
        <is>
          <t>비용</t>
        </is>
      </c>
      <c r="F120" s="92" t="n">
        <v>2</v>
      </c>
      <c r="G120" s="93" t="n">
        <v>28665650</v>
      </c>
      <c r="H120" s="93" t="n">
        <v>291081700</v>
      </c>
      <c r="J120" s="9">
        <f>IF($A120="","",VALUE($A120&amp;"")*12+VALUE($B120&amp;""))</f>
        <v/>
      </c>
      <c r="K120" s="9">
        <f>IF($A120="","",IFERROR(INDEX(입력옵션!$C$22:$C$53,MATCH($C120&amp;"",입력옵션!$E$22:$E$53,0)),IFERROR(INDEX(입력옵션!$C$22:$C$53,MATCH($D120&amp;"",입력옵션!$F$22:$F$53,0)),$C120&amp;"")))</f>
        <v/>
      </c>
      <c r="L120" s="97">
        <f>IF($A120="",0,$G120*설정!$C$23)</f>
        <v/>
      </c>
      <c r="M120" s="97">
        <f>IF($A120="",0,$H120*설정!$C$23)</f>
        <v/>
      </c>
    </row>
    <row r="121">
      <c r="A121" s="92" t="n">
        <v>2025</v>
      </c>
      <c r="B121" s="92" t="n">
        <v>10</v>
      </c>
      <c r="C121" s="92" t="inlineStr">
        <is>
          <t>P300</t>
        </is>
      </c>
      <c r="D121" s="92" t="inlineStr">
        <is>
          <t>기타사업비용 (사업비)</t>
        </is>
      </c>
      <c r="E121" s="92" t="inlineStr">
        <is>
          <t>비용</t>
        </is>
      </c>
      <c r="F121" s="92" t="n">
        <v>1</v>
      </c>
      <c r="G121" s="93" t="n">
        <v>379363645</v>
      </c>
      <c r="H121" s="93" t="n">
        <v>3440685260</v>
      </c>
      <c r="J121" s="9">
        <f>IF($A121="","",VALUE($A121&amp;"")*12+VALUE($B121&amp;""))</f>
        <v/>
      </c>
      <c r="K121" s="9">
        <f>IF($A121="","",IFERROR(INDEX(입력옵션!$C$22:$C$53,MATCH($C121&amp;"",입력옵션!$E$22:$E$53,0)),IFERROR(INDEX(입력옵션!$C$22:$C$53,MATCH($D121&amp;"",입력옵션!$F$22:$F$53,0)),$C121&amp;"")))</f>
        <v/>
      </c>
      <c r="L121" s="97">
        <f>IF($A121="",0,$G121*설정!$C$23)</f>
        <v/>
      </c>
      <c r="M121" s="97">
        <f>IF($A121="",0,$H121*설정!$C$23)</f>
        <v/>
      </c>
    </row>
    <row r="122">
      <c r="A122" s="92" t="n">
        <v>2025</v>
      </c>
      <c r="B122" s="92" t="n">
        <v>10</v>
      </c>
      <c r="C122" s="92" t="inlineStr">
        <is>
          <t>P400</t>
        </is>
      </c>
      <c r="D122" s="92" t="inlineStr">
        <is>
          <t>법인세차감전이익</t>
        </is>
      </c>
      <c r="E122" s="92" t="inlineStr">
        <is>
          <t>손익</t>
        </is>
      </c>
      <c r="F122" s="92" t="n">
        <v>1</v>
      </c>
      <c r="G122" s="93" t="n">
        <v>12272337705</v>
      </c>
      <c r="H122" s="93" t="n">
        <v>125667275040</v>
      </c>
      <c r="J122" s="9">
        <f>IF($A122="","",VALUE($A122&amp;"")*12+VALUE($B122&amp;""))</f>
        <v/>
      </c>
      <c r="K122" s="9">
        <f>IF($A122="","",IFERROR(INDEX(입력옵션!$C$22:$C$53,MATCH($C122&amp;"",입력옵션!$E$22:$E$53,0)),IFERROR(INDEX(입력옵션!$C$22:$C$53,MATCH($D122&amp;"",입력옵션!$F$22:$F$53,0)),$C122&amp;"")))</f>
        <v/>
      </c>
      <c r="L122" s="97">
        <f>IF($A122="",0,$G122*설정!$C$23)</f>
        <v/>
      </c>
      <c r="M122" s="97">
        <f>IF($A122="",0,$H122*설정!$C$23)</f>
        <v/>
      </c>
    </row>
    <row r="123">
      <c r="A123" s="92" t="n">
        <v>2025</v>
      </c>
      <c r="B123" s="92" t="n">
        <v>10</v>
      </c>
      <c r="C123" s="92" t="inlineStr">
        <is>
          <t>P500</t>
        </is>
      </c>
      <c r="D123" s="92" t="inlineStr">
        <is>
          <t>법인세비용</t>
        </is>
      </c>
      <c r="E123" s="92" t="inlineStr">
        <is>
          <t>비용</t>
        </is>
      </c>
      <c r="F123" s="92" t="n">
        <v>1</v>
      </c>
      <c r="G123" s="93" t="n">
        <v>2699914000</v>
      </c>
      <c r="H123" s="93" t="n">
        <v>27646801000</v>
      </c>
      <c r="J123" s="9">
        <f>IF($A123="","",VALUE($A123&amp;"")*12+VALUE($B123&amp;""))</f>
        <v/>
      </c>
      <c r="K123" s="9">
        <f>IF($A123="","",IFERROR(INDEX(입력옵션!$C$22:$C$53,MATCH($C123&amp;"",입력옵션!$E$22:$E$53,0)),IFERROR(INDEX(입력옵션!$C$22:$C$53,MATCH($D123&amp;"",입력옵션!$F$22:$F$53,0)),$C123&amp;"")))</f>
        <v/>
      </c>
      <c r="L123" s="97">
        <f>IF($A123="",0,$G123*설정!$C$23)</f>
        <v/>
      </c>
      <c r="M123" s="97">
        <f>IF($A123="",0,$H123*설정!$C$23)</f>
        <v/>
      </c>
    </row>
    <row r="124">
      <c r="A124" s="92" t="n">
        <v>2025</v>
      </c>
      <c r="B124" s="92" t="n">
        <v>10</v>
      </c>
      <c r="C124" s="92" t="inlineStr">
        <is>
          <t>P600</t>
        </is>
      </c>
      <c r="D124" s="92" t="inlineStr">
        <is>
          <t>당기순이익</t>
        </is>
      </c>
      <c r="E124" s="92" t="inlineStr">
        <is>
          <t>손익</t>
        </is>
      </c>
      <c r="F124" s="92" t="n">
        <v>1</v>
      </c>
      <c r="G124" s="93" t="n">
        <v>9572423705</v>
      </c>
      <c r="H124" s="93" t="n">
        <v>98020474040</v>
      </c>
      <c r="J124" s="9">
        <f>IF($A124="","",VALUE($A124&amp;"")*12+VALUE($B124&amp;""))</f>
        <v/>
      </c>
      <c r="K124" s="9">
        <f>IF($A124="","",IFERROR(INDEX(입력옵션!$C$22:$C$53,MATCH($C124&amp;"",입력옵션!$E$22:$E$53,0)),IFERROR(INDEX(입력옵션!$C$22:$C$53,MATCH($D124&amp;"",입력옵션!$F$22:$F$53,0)),$C124&amp;"")))</f>
        <v/>
      </c>
      <c r="L124" s="97">
        <f>IF($A124="",0,$G124*설정!$C$23)</f>
        <v/>
      </c>
      <c r="M124" s="97">
        <f>IF($A124="",0,$H124*설정!$C$23)</f>
        <v/>
      </c>
    </row>
    <row r="125">
      <c r="A125" s="92" t="n">
        <v>2025</v>
      </c>
      <c r="B125" s="92" t="n">
        <v>11</v>
      </c>
      <c r="C125" s="92" t="inlineStr">
        <is>
          <t>P100</t>
        </is>
      </c>
      <c r="D125" s="92" t="inlineStr">
        <is>
          <t>보험손익</t>
        </is>
      </c>
      <c r="E125" s="92" t="inlineStr">
        <is>
          <t>손익</t>
        </is>
      </c>
      <c r="F125" s="92" t="n">
        <v>1</v>
      </c>
      <c r="G125" s="93" t="n">
        <v>7624770000</v>
      </c>
      <c r="H125" s="93" t="n">
        <v>121585481000</v>
      </c>
      <c r="J125" s="9">
        <f>IF($A125="","",VALUE($A125&amp;"")*12+VALUE($B125&amp;""))</f>
        <v/>
      </c>
      <c r="K125" s="9">
        <f>IF($A125="","",IFERROR(INDEX(입력옵션!$C$22:$C$53,MATCH($C125&amp;"",입력옵션!$E$22:$E$53,0)),IFERROR(INDEX(입력옵션!$C$22:$C$53,MATCH($D125&amp;"",입력옵션!$F$22:$F$53,0)),$C125&amp;"")))</f>
        <v/>
      </c>
      <c r="L125" s="97">
        <f>IF($A125="",0,$G125*설정!$C$23)</f>
        <v/>
      </c>
      <c r="M125" s="97">
        <f>IF($A125="",0,$H125*설정!$C$23)</f>
        <v/>
      </c>
    </row>
    <row r="126">
      <c r="A126" s="92" t="n">
        <v>2025</v>
      </c>
      <c r="B126" s="92" t="n">
        <v>11</v>
      </c>
      <c r="C126" s="92" t="inlineStr">
        <is>
          <t>P110</t>
        </is>
      </c>
      <c r="D126" s="92" t="inlineStr">
        <is>
          <t>보험수익</t>
        </is>
      </c>
      <c r="E126" s="92" t="inlineStr">
        <is>
          <t>수익</t>
        </is>
      </c>
      <c r="F126" s="92" t="n">
        <v>2</v>
      </c>
      <c r="G126" s="93" t="n">
        <v>62107731000</v>
      </c>
      <c r="H126" s="93" t="n">
        <v>692877951000</v>
      </c>
      <c r="J126" s="9">
        <f>IF($A126="","",VALUE($A126&amp;"")*12+VALUE($B126&amp;""))</f>
        <v/>
      </c>
      <c r="K126" s="9">
        <f>IF($A126="","",IFERROR(INDEX(입력옵션!$C$22:$C$53,MATCH($C126&amp;"",입력옵션!$E$22:$E$53,0)),IFERROR(INDEX(입력옵션!$C$22:$C$53,MATCH($D126&amp;"",입력옵션!$F$22:$F$53,0)),$C126&amp;"")))</f>
        <v/>
      </c>
      <c r="L126" s="97">
        <f>IF($A126="",0,$G126*설정!$C$23)</f>
        <v/>
      </c>
      <c r="M126" s="97">
        <f>IF($A126="",0,$H126*설정!$C$23)</f>
        <v/>
      </c>
    </row>
    <row r="127">
      <c r="A127" s="92" t="n">
        <v>2025</v>
      </c>
      <c r="B127" s="92" t="n">
        <v>11</v>
      </c>
      <c r="C127" s="92" t="inlineStr">
        <is>
          <t>P120</t>
        </is>
      </c>
      <c r="D127" s="92" t="inlineStr">
        <is>
          <t>보험서비스비용</t>
        </is>
      </c>
      <c r="E127" s="92" t="inlineStr">
        <is>
          <t>비용</t>
        </is>
      </c>
      <c r="F127" s="92" t="n">
        <v>2</v>
      </c>
      <c r="G127" s="93" t="n">
        <v>53293220000</v>
      </c>
      <c r="H127" s="93" t="n">
        <v>559492080000</v>
      </c>
      <c r="J127" s="9">
        <f>IF($A127="","",VALUE($A127&amp;"")*12+VALUE($B127&amp;""))</f>
        <v/>
      </c>
      <c r="K127" s="9">
        <f>IF($A127="","",IFERROR(INDEX(입력옵션!$C$22:$C$53,MATCH($C127&amp;"",입력옵션!$E$22:$E$53,0)),IFERROR(INDEX(입력옵션!$C$22:$C$53,MATCH($D127&amp;"",입력옵션!$F$22:$F$53,0)),$C127&amp;"")))</f>
        <v/>
      </c>
      <c r="L127" s="97">
        <f>IF($A127="",0,$G127*설정!$C$23)</f>
        <v/>
      </c>
      <c r="M127" s="97">
        <f>IF($A127="",0,$H127*설정!$C$23)</f>
        <v/>
      </c>
    </row>
    <row r="128">
      <c r="A128" s="92" t="n">
        <v>2025</v>
      </c>
      <c r="B128" s="92" t="n">
        <v>11</v>
      </c>
      <c r="C128" s="92" t="inlineStr">
        <is>
          <t>P130</t>
        </is>
      </c>
      <c r="D128" s="92" t="inlineStr">
        <is>
          <t>재보험손익</t>
        </is>
      </c>
      <c r="E128" s="92" t="inlineStr">
        <is>
          <t>손익</t>
        </is>
      </c>
      <c r="F128" s="92" t="n">
        <v>2</v>
      </c>
      <c r="G128" s="93" t="n">
        <v>-1189741000</v>
      </c>
      <c r="H128" s="93" t="n">
        <v>-11800390000</v>
      </c>
      <c r="J128" s="9">
        <f>IF($A128="","",VALUE($A128&amp;"")*12+VALUE($B128&amp;""))</f>
        <v/>
      </c>
      <c r="K128" s="9">
        <f>IF($A128="","",IFERROR(INDEX(입력옵션!$C$22:$C$53,MATCH($C128&amp;"",입력옵션!$E$22:$E$53,0)),IFERROR(INDEX(입력옵션!$C$22:$C$53,MATCH($D128&amp;"",입력옵션!$F$22:$F$53,0)),$C128&amp;"")))</f>
        <v/>
      </c>
      <c r="L128" s="97">
        <f>IF($A128="",0,$G128*설정!$C$23)</f>
        <v/>
      </c>
      <c r="M128" s="97">
        <f>IF($A128="",0,$H128*설정!$C$23)</f>
        <v/>
      </c>
    </row>
    <row r="129">
      <c r="A129" s="92" t="n">
        <v>2025</v>
      </c>
      <c r="B129" s="92" t="n">
        <v>11</v>
      </c>
      <c r="C129" s="92" t="inlineStr">
        <is>
          <t>P200</t>
        </is>
      </c>
      <c r="D129" s="92" t="inlineStr">
        <is>
          <t>투자손익</t>
        </is>
      </c>
      <c r="E129" s="92" t="inlineStr">
        <is>
          <t>손익</t>
        </is>
      </c>
      <c r="F129" s="92" t="n">
        <v>1</v>
      </c>
      <c r="G129" s="93" t="n">
        <v>1543668800</v>
      </c>
      <c r="H129" s="93" t="n">
        <v>16690918100</v>
      </c>
      <c r="J129" s="9">
        <f>IF($A129="","",VALUE($A129&amp;"")*12+VALUE($B129&amp;""))</f>
        <v/>
      </c>
      <c r="K129" s="9">
        <f>IF($A129="","",IFERROR(INDEX(입력옵션!$C$22:$C$53,MATCH($C129&amp;"",입력옵션!$E$22:$E$53,0)),IFERROR(INDEX(입력옵션!$C$22:$C$53,MATCH($D129&amp;"",입력옵션!$F$22:$F$53,0)),$C129&amp;"")))</f>
        <v/>
      </c>
      <c r="L129" s="97">
        <f>IF($A129="",0,$G129*설정!$C$23)</f>
        <v/>
      </c>
      <c r="M129" s="97">
        <f>IF($A129="",0,$H129*설정!$C$23)</f>
        <v/>
      </c>
    </row>
    <row r="130">
      <c r="A130" s="92" t="n">
        <v>2025</v>
      </c>
      <c r="B130" s="92" t="n">
        <v>11</v>
      </c>
      <c r="C130" s="92" t="inlineStr">
        <is>
          <t>P210</t>
        </is>
      </c>
      <c r="D130" s="92" t="inlineStr">
        <is>
          <t>투자수익</t>
        </is>
      </c>
      <c r="E130" s="92" t="inlineStr">
        <is>
          <t>수익</t>
        </is>
      </c>
      <c r="F130" s="92" t="n">
        <v>2</v>
      </c>
      <c r="G130" s="93" t="n">
        <v>9290613000</v>
      </c>
      <c r="H130" s="93" t="n">
        <v>102107968000</v>
      </c>
      <c r="J130" s="9">
        <f>IF($A130="","",VALUE($A130&amp;"")*12+VALUE($B130&amp;""))</f>
        <v/>
      </c>
      <c r="K130" s="9">
        <f>IF($A130="","",IFERROR(INDEX(입력옵션!$C$22:$C$53,MATCH($C130&amp;"",입력옵션!$E$22:$E$53,0)),IFERROR(INDEX(입력옵션!$C$22:$C$53,MATCH($D130&amp;"",입력옵션!$F$22:$F$53,0)),$C130&amp;"")))</f>
        <v/>
      </c>
      <c r="L130" s="97">
        <f>IF($A130="",0,$G130*설정!$C$23)</f>
        <v/>
      </c>
      <c r="M130" s="97">
        <f>IF($A130="",0,$H130*설정!$C$23)</f>
        <v/>
      </c>
    </row>
    <row r="131">
      <c r="A131" s="92" t="n">
        <v>2025</v>
      </c>
      <c r="B131" s="92" t="n">
        <v>11</v>
      </c>
      <c r="C131" s="92" t="inlineStr">
        <is>
          <t>P220</t>
        </is>
      </c>
      <c r="D131" s="92" t="inlineStr">
        <is>
          <t>보험금융비용</t>
        </is>
      </c>
      <c r="E131" s="92" t="inlineStr">
        <is>
          <t>비용</t>
        </is>
      </c>
      <c r="F131" s="92" t="n">
        <v>2</v>
      </c>
      <c r="G131" s="93" t="n">
        <v>7717338000</v>
      </c>
      <c r="H131" s="93" t="n">
        <v>85096362000</v>
      </c>
      <c r="J131" s="9">
        <f>IF($A131="","",VALUE($A131&amp;"")*12+VALUE($B131&amp;""))</f>
        <v/>
      </c>
      <c r="K131" s="9">
        <f>IF($A131="","",IFERROR(INDEX(입력옵션!$C$22:$C$53,MATCH($C131&amp;"",입력옵션!$E$22:$E$53,0)),IFERROR(INDEX(입력옵션!$C$22:$C$53,MATCH($D131&amp;"",입력옵션!$F$22:$F$53,0)),$C131&amp;"")))</f>
        <v/>
      </c>
      <c r="L131" s="97">
        <f>IF($A131="",0,$G131*설정!$C$23)</f>
        <v/>
      </c>
      <c r="M131" s="97">
        <f>IF($A131="",0,$H131*설정!$C$23)</f>
        <v/>
      </c>
    </row>
    <row r="132">
      <c r="A132" s="92" t="n">
        <v>2025</v>
      </c>
      <c r="B132" s="92" t="n">
        <v>11</v>
      </c>
      <c r="C132" s="92" t="inlineStr">
        <is>
          <t>P230</t>
        </is>
      </c>
      <c r="D132" s="92" t="inlineStr">
        <is>
          <t>재산관리비</t>
        </is>
      </c>
      <c r="E132" s="92" t="inlineStr">
        <is>
          <t>비용</t>
        </is>
      </c>
      <c r="F132" s="92" t="n">
        <v>2</v>
      </c>
      <c r="G132" s="93" t="n">
        <v>29606200</v>
      </c>
      <c r="H132" s="93" t="n">
        <v>320687900</v>
      </c>
      <c r="J132" s="9">
        <f>IF($A132="","",VALUE($A132&amp;"")*12+VALUE($B132&amp;""))</f>
        <v/>
      </c>
      <c r="K132" s="9">
        <f>IF($A132="","",IFERROR(INDEX(입력옵션!$C$22:$C$53,MATCH($C132&amp;"",입력옵션!$E$22:$E$53,0)),IFERROR(INDEX(입력옵션!$C$22:$C$53,MATCH($D132&amp;"",입력옵션!$F$22:$F$53,0)),$C132&amp;"")))</f>
        <v/>
      </c>
      <c r="L132" s="97">
        <f>IF($A132="",0,$G132*설정!$C$23)</f>
        <v/>
      </c>
      <c r="M132" s="97">
        <f>IF($A132="",0,$H132*설정!$C$23)</f>
        <v/>
      </c>
    </row>
    <row r="133">
      <c r="A133" s="92" t="n">
        <v>2025</v>
      </c>
      <c r="B133" s="92" t="n">
        <v>11</v>
      </c>
      <c r="C133" s="92" t="inlineStr">
        <is>
          <t>P300</t>
        </is>
      </c>
      <c r="D133" s="92" t="inlineStr">
        <is>
          <t>기타사업비용 (사업비)</t>
        </is>
      </c>
      <c r="E133" s="92" t="inlineStr">
        <is>
          <t>비용</t>
        </is>
      </c>
      <c r="F133" s="92" t="n">
        <v>1</v>
      </c>
      <c r="G133" s="93" t="n">
        <v>387550160</v>
      </c>
      <c r="H133" s="93" t="n">
        <v>3828235420</v>
      </c>
      <c r="J133" s="9">
        <f>IF($A133="","",VALUE($A133&amp;"")*12+VALUE($B133&amp;""))</f>
        <v/>
      </c>
      <c r="K133" s="9">
        <f>IF($A133="","",IFERROR(INDEX(입력옵션!$C$22:$C$53,MATCH($C133&amp;"",입력옵션!$E$22:$E$53,0)),IFERROR(INDEX(입력옵션!$C$22:$C$53,MATCH($D133&amp;"",입력옵션!$F$22:$F$53,0)),$C133&amp;"")))</f>
        <v/>
      </c>
      <c r="L133" s="97">
        <f>IF($A133="",0,$G133*설정!$C$23)</f>
        <v/>
      </c>
      <c r="M133" s="97">
        <f>IF($A133="",0,$H133*설정!$C$23)</f>
        <v/>
      </c>
    </row>
    <row r="134">
      <c r="A134" s="92" t="n">
        <v>2025</v>
      </c>
      <c r="B134" s="92" t="n">
        <v>11</v>
      </c>
      <c r="C134" s="92" t="inlineStr">
        <is>
          <t>P400</t>
        </is>
      </c>
      <c r="D134" s="92" t="inlineStr">
        <is>
          <t>법인세차감전이익</t>
        </is>
      </c>
      <c r="E134" s="92" t="inlineStr">
        <is>
          <t>손익</t>
        </is>
      </c>
      <c r="F134" s="92" t="n">
        <v>1</v>
      </c>
      <c r="G134" s="93" t="n">
        <v>8780888640</v>
      </c>
      <c r="H134" s="93" t="n">
        <v>134448163680</v>
      </c>
      <c r="J134" s="9">
        <f>IF($A134="","",VALUE($A134&amp;"")*12+VALUE($B134&amp;""))</f>
        <v/>
      </c>
      <c r="K134" s="9">
        <f>IF($A134="","",IFERROR(INDEX(입력옵션!$C$22:$C$53,MATCH($C134&amp;"",입력옵션!$E$22:$E$53,0)),IFERROR(INDEX(입력옵션!$C$22:$C$53,MATCH($D134&amp;"",입력옵션!$F$22:$F$53,0)),$C134&amp;"")))</f>
        <v/>
      </c>
      <c r="L134" s="97">
        <f>IF($A134="",0,$G134*설정!$C$23)</f>
        <v/>
      </c>
      <c r="M134" s="97">
        <f>IF($A134="",0,$H134*설정!$C$23)</f>
        <v/>
      </c>
    </row>
    <row r="135">
      <c r="A135" s="92" t="n">
        <v>2025</v>
      </c>
      <c r="B135" s="92" t="n">
        <v>11</v>
      </c>
      <c r="C135" s="92" t="inlineStr">
        <is>
          <t>P500</t>
        </is>
      </c>
      <c r="D135" s="92" t="inlineStr">
        <is>
          <t>법인세비용</t>
        </is>
      </c>
      <c r="E135" s="92" t="inlineStr">
        <is>
          <t>비용</t>
        </is>
      </c>
      <c r="F135" s="92" t="n">
        <v>1</v>
      </c>
      <c r="G135" s="93" t="n">
        <v>1931796000</v>
      </c>
      <c r="H135" s="93" t="n">
        <v>29578597000</v>
      </c>
      <c r="J135" s="9">
        <f>IF($A135="","",VALUE($A135&amp;"")*12+VALUE($B135&amp;""))</f>
        <v/>
      </c>
      <c r="K135" s="9">
        <f>IF($A135="","",IFERROR(INDEX(입력옵션!$C$22:$C$53,MATCH($C135&amp;"",입력옵션!$E$22:$E$53,0)),IFERROR(INDEX(입력옵션!$C$22:$C$53,MATCH($D135&amp;"",입력옵션!$F$22:$F$53,0)),$C135&amp;"")))</f>
        <v/>
      </c>
      <c r="L135" s="97">
        <f>IF($A135="",0,$G135*설정!$C$23)</f>
        <v/>
      </c>
      <c r="M135" s="97">
        <f>IF($A135="",0,$H135*설정!$C$23)</f>
        <v/>
      </c>
    </row>
    <row r="136">
      <c r="A136" s="92" t="n">
        <v>2025</v>
      </c>
      <c r="B136" s="92" t="n">
        <v>11</v>
      </c>
      <c r="C136" s="92" t="inlineStr">
        <is>
          <t>P600</t>
        </is>
      </c>
      <c r="D136" s="92" t="inlineStr">
        <is>
          <t>당기순이익</t>
        </is>
      </c>
      <c r="E136" s="92" t="inlineStr">
        <is>
          <t>손익</t>
        </is>
      </c>
      <c r="F136" s="92" t="n">
        <v>1</v>
      </c>
      <c r="G136" s="93" t="n">
        <v>6849092640</v>
      </c>
      <c r="H136" s="93" t="n">
        <v>104869566680</v>
      </c>
      <c r="J136" s="9">
        <f>IF($A136="","",VALUE($A136&amp;"")*12+VALUE($B136&amp;""))</f>
        <v/>
      </c>
      <c r="K136" s="9">
        <f>IF($A136="","",IFERROR(INDEX(입력옵션!$C$22:$C$53,MATCH($C136&amp;"",입력옵션!$E$22:$E$53,0)),IFERROR(INDEX(입력옵션!$C$22:$C$53,MATCH($D136&amp;"",입력옵션!$F$22:$F$53,0)),$C136&amp;"")))</f>
        <v/>
      </c>
      <c r="L136" s="97">
        <f>IF($A136="",0,$G136*설정!$C$23)</f>
        <v/>
      </c>
      <c r="M136" s="97">
        <f>IF($A136="",0,$H136*설정!$C$23)</f>
        <v/>
      </c>
    </row>
    <row r="137">
      <c r="A137" s="92" t="n">
        <v>2025</v>
      </c>
      <c r="B137" s="92" t="n">
        <v>12</v>
      </c>
      <c r="C137" s="92" t="inlineStr">
        <is>
          <t>P100</t>
        </is>
      </c>
      <c r="D137" s="92" t="inlineStr">
        <is>
          <t>보험손익</t>
        </is>
      </c>
      <c r="E137" s="92" t="inlineStr">
        <is>
          <t>손익</t>
        </is>
      </c>
      <c r="F137" s="92" t="n">
        <v>1</v>
      </c>
      <c r="G137" s="93" t="n">
        <v>11611166000</v>
      </c>
      <c r="H137" s="93" t="n">
        <v>133196647000</v>
      </c>
      <c r="J137" s="9">
        <f>IF($A137="","",VALUE($A137&amp;"")*12+VALUE($B137&amp;""))</f>
        <v/>
      </c>
      <c r="K137" s="9">
        <f>IF($A137="","",IFERROR(INDEX(입력옵션!$C$22:$C$53,MATCH($C137&amp;"",입력옵션!$E$22:$E$53,0)),IFERROR(INDEX(입력옵션!$C$22:$C$53,MATCH($D137&amp;"",입력옵션!$F$22:$F$53,0)),$C137&amp;"")))</f>
        <v/>
      </c>
      <c r="L137" s="97">
        <f>IF($A137="",0,$G137*설정!$C$23)</f>
        <v/>
      </c>
      <c r="M137" s="97">
        <f>IF($A137="",0,$H137*설정!$C$23)</f>
        <v/>
      </c>
    </row>
    <row r="138">
      <c r="A138" s="92" t="n">
        <v>2025</v>
      </c>
      <c r="B138" s="92" t="n">
        <v>12</v>
      </c>
      <c r="C138" s="92" t="inlineStr">
        <is>
          <t>P110</t>
        </is>
      </c>
      <c r="D138" s="92" t="inlineStr">
        <is>
          <t>보험수익</t>
        </is>
      </c>
      <c r="E138" s="92" t="inlineStr">
        <is>
          <t>수익</t>
        </is>
      </c>
      <c r="F138" s="92" t="n">
        <v>2</v>
      </c>
      <c r="G138" s="93" t="n">
        <v>62826317000</v>
      </c>
      <c r="H138" s="93" t="n">
        <v>755704268000</v>
      </c>
      <c r="J138" s="9">
        <f>IF($A138="","",VALUE($A138&amp;"")*12+VALUE($B138&amp;""))</f>
        <v/>
      </c>
      <c r="K138" s="9">
        <f>IF($A138="","",IFERROR(INDEX(입력옵션!$C$22:$C$53,MATCH($C138&amp;"",입력옵션!$E$22:$E$53,0)),IFERROR(INDEX(입력옵션!$C$22:$C$53,MATCH($D138&amp;"",입력옵션!$F$22:$F$53,0)),$C138&amp;"")))</f>
        <v/>
      </c>
      <c r="L138" s="97">
        <f>IF($A138="",0,$G138*설정!$C$23)</f>
        <v/>
      </c>
      <c r="M138" s="97">
        <f>IF($A138="",0,$H138*설정!$C$23)</f>
        <v/>
      </c>
    </row>
    <row r="139">
      <c r="A139" s="92" t="n">
        <v>2025</v>
      </c>
      <c r="B139" s="92" t="n">
        <v>12</v>
      </c>
      <c r="C139" s="92" t="inlineStr">
        <is>
          <t>P120</t>
        </is>
      </c>
      <c r="D139" s="92" t="inlineStr">
        <is>
          <t>보험서비스비용</t>
        </is>
      </c>
      <c r="E139" s="92" t="inlineStr">
        <is>
          <t>비용</t>
        </is>
      </c>
      <c r="F139" s="92" t="n">
        <v>2</v>
      </c>
      <c r="G139" s="93" t="n">
        <v>50159550000</v>
      </c>
      <c r="H139" s="93" t="n">
        <v>609651630000</v>
      </c>
      <c r="J139" s="9">
        <f>IF($A139="","",VALUE($A139&amp;"")*12+VALUE($B139&amp;""))</f>
        <v/>
      </c>
      <c r="K139" s="9">
        <f>IF($A139="","",IFERROR(INDEX(입력옵션!$C$22:$C$53,MATCH($C139&amp;"",입력옵션!$E$22:$E$53,0)),IFERROR(INDEX(입력옵션!$C$22:$C$53,MATCH($D139&amp;"",입력옵션!$F$22:$F$53,0)),$C139&amp;"")))</f>
        <v/>
      </c>
      <c r="L139" s="97">
        <f>IF($A139="",0,$G139*설정!$C$23)</f>
        <v/>
      </c>
      <c r="M139" s="97">
        <f>IF($A139="",0,$H139*설정!$C$23)</f>
        <v/>
      </c>
    </row>
    <row r="140">
      <c r="A140" s="92" t="n">
        <v>2025</v>
      </c>
      <c r="B140" s="92" t="n">
        <v>12</v>
      </c>
      <c r="C140" s="92" t="inlineStr">
        <is>
          <t>P130</t>
        </is>
      </c>
      <c r="D140" s="92" t="inlineStr">
        <is>
          <t>재보험손익</t>
        </is>
      </c>
      <c r="E140" s="92" t="inlineStr">
        <is>
          <t>손익</t>
        </is>
      </c>
      <c r="F140" s="92" t="n">
        <v>2</v>
      </c>
      <c r="G140" s="93" t="n">
        <v>-1055601000</v>
      </c>
      <c r="H140" s="93" t="n">
        <v>-12855991000</v>
      </c>
      <c r="J140" s="9">
        <f>IF($A140="","",VALUE($A140&amp;"")*12+VALUE($B140&amp;""))</f>
        <v/>
      </c>
      <c r="K140" s="9">
        <f>IF($A140="","",IFERROR(INDEX(입력옵션!$C$22:$C$53,MATCH($C140&amp;"",입력옵션!$E$22:$E$53,0)),IFERROR(INDEX(입력옵션!$C$22:$C$53,MATCH($D140&amp;"",입력옵션!$F$22:$F$53,0)),$C140&amp;"")))</f>
        <v/>
      </c>
      <c r="L140" s="97">
        <f>IF($A140="",0,$G140*설정!$C$23)</f>
        <v/>
      </c>
      <c r="M140" s="97">
        <f>IF($A140="",0,$H140*설정!$C$23)</f>
        <v/>
      </c>
    </row>
    <row r="141">
      <c r="A141" s="92" t="n">
        <v>2025</v>
      </c>
      <c r="B141" s="92" t="n">
        <v>12</v>
      </c>
      <c r="C141" s="92" t="inlineStr">
        <is>
          <t>P200</t>
        </is>
      </c>
      <c r="D141" s="92" t="inlineStr">
        <is>
          <t>투자손익</t>
        </is>
      </c>
      <c r="E141" s="92" t="inlineStr">
        <is>
          <t>손익</t>
        </is>
      </c>
      <c r="F141" s="92" t="n">
        <v>1</v>
      </c>
      <c r="G141" s="93" t="n">
        <v>999011800</v>
      </c>
      <c r="H141" s="93" t="n">
        <v>17689929900</v>
      </c>
      <c r="J141" s="9">
        <f>IF($A141="","",VALUE($A141&amp;"")*12+VALUE($B141&amp;""))</f>
        <v/>
      </c>
      <c r="K141" s="9">
        <f>IF($A141="","",IFERROR(INDEX(입력옵션!$C$22:$C$53,MATCH($C141&amp;"",입력옵션!$E$22:$E$53,0)),IFERROR(INDEX(입력옵션!$C$22:$C$53,MATCH($D141&amp;"",입력옵션!$F$22:$F$53,0)),$C141&amp;"")))</f>
        <v/>
      </c>
      <c r="L141" s="97">
        <f>IF($A141="",0,$G141*설정!$C$23)</f>
        <v/>
      </c>
      <c r="M141" s="97">
        <f>IF($A141="",0,$H141*설정!$C$23)</f>
        <v/>
      </c>
    </row>
    <row r="142">
      <c r="A142" s="92" t="n">
        <v>2025</v>
      </c>
      <c r="B142" s="92" t="n">
        <v>12</v>
      </c>
      <c r="C142" s="92" t="inlineStr">
        <is>
          <t>P210</t>
        </is>
      </c>
      <c r="D142" s="92" t="inlineStr">
        <is>
          <t>투자수익</t>
        </is>
      </c>
      <c r="E142" s="92" t="inlineStr">
        <is>
          <t>수익</t>
        </is>
      </c>
      <c r="F142" s="92" t="n">
        <v>2</v>
      </c>
      <c r="G142" s="93" t="n">
        <v>8951511000</v>
      </c>
      <c r="H142" s="93" t="n">
        <v>111059479000</v>
      </c>
      <c r="J142" s="9">
        <f>IF($A142="","",VALUE($A142&amp;"")*12+VALUE($B142&amp;""))</f>
        <v/>
      </c>
      <c r="K142" s="9">
        <f>IF($A142="","",IFERROR(INDEX(입력옵션!$C$22:$C$53,MATCH($C142&amp;"",입력옵션!$E$22:$E$53,0)),IFERROR(INDEX(입력옵션!$C$22:$C$53,MATCH($D142&amp;"",입력옵션!$F$22:$F$53,0)),$C142&amp;"")))</f>
        <v/>
      </c>
      <c r="L142" s="97">
        <f>IF($A142="",0,$G142*설정!$C$23)</f>
        <v/>
      </c>
      <c r="M142" s="97">
        <f>IF($A142="",0,$H142*설정!$C$23)</f>
        <v/>
      </c>
    </row>
    <row r="143">
      <c r="A143" s="92" t="n">
        <v>2025</v>
      </c>
      <c r="B143" s="92" t="n">
        <v>12</v>
      </c>
      <c r="C143" s="92" t="inlineStr">
        <is>
          <t>P220</t>
        </is>
      </c>
      <c r="D143" s="92" t="inlineStr">
        <is>
          <t>보험금융비용</t>
        </is>
      </c>
      <c r="E143" s="92" t="inlineStr">
        <is>
          <t>비용</t>
        </is>
      </c>
      <c r="F143" s="92" t="n">
        <v>2</v>
      </c>
      <c r="G143" s="93" t="n">
        <v>7923621000</v>
      </c>
      <c r="H143" s="93" t="n">
        <v>93019983000</v>
      </c>
      <c r="J143" s="9">
        <f>IF($A143="","",VALUE($A143&amp;"")*12+VALUE($B143&amp;""))</f>
        <v/>
      </c>
      <c r="K143" s="9">
        <f>IF($A143="","",IFERROR(INDEX(입력옵션!$C$22:$C$53,MATCH($C143&amp;"",입력옵션!$E$22:$E$53,0)),IFERROR(INDEX(입력옵션!$C$22:$C$53,MATCH($D143&amp;"",입력옵션!$F$22:$F$53,0)),$C143&amp;"")))</f>
        <v/>
      </c>
      <c r="L143" s="97">
        <f>IF($A143="",0,$G143*설정!$C$23)</f>
        <v/>
      </c>
      <c r="M143" s="97">
        <f>IF($A143="",0,$H143*설정!$C$23)</f>
        <v/>
      </c>
    </row>
    <row r="144">
      <c r="A144" s="92" t="n">
        <v>2025</v>
      </c>
      <c r="B144" s="92" t="n">
        <v>12</v>
      </c>
      <c r="C144" s="92" t="inlineStr">
        <is>
          <t>P230</t>
        </is>
      </c>
      <c r="D144" s="92" t="inlineStr">
        <is>
          <t>재산관리비</t>
        </is>
      </c>
      <c r="E144" s="92" t="inlineStr">
        <is>
          <t>비용</t>
        </is>
      </c>
      <c r="F144" s="92" t="n">
        <v>2</v>
      </c>
      <c r="G144" s="93" t="n">
        <v>28878200</v>
      </c>
      <c r="H144" s="93" t="n">
        <v>349566100</v>
      </c>
      <c r="J144" s="9">
        <f>IF($A144="","",VALUE($A144&amp;"")*12+VALUE($B144&amp;""))</f>
        <v/>
      </c>
      <c r="K144" s="9">
        <f>IF($A144="","",IFERROR(INDEX(입력옵션!$C$22:$C$53,MATCH($C144&amp;"",입력옵션!$E$22:$E$53,0)),IFERROR(INDEX(입력옵션!$C$22:$C$53,MATCH($D144&amp;"",입력옵션!$F$22:$F$53,0)),$C144&amp;"")))</f>
        <v/>
      </c>
      <c r="L144" s="97">
        <f>IF($A144="",0,$G144*설정!$C$23)</f>
        <v/>
      </c>
      <c r="M144" s="97">
        <f>IF($A144="",0,$H144*설정!$C$23)</f>
        <v/>
      </c>
    </row>
    <row r="145">
      <c r="A145" s="92" t="n">
        <v>2025</v>
      </c>
      <c r="B145" s="92" t="n">
        <v>12</v>
      </c>
      <c r="C145" s="92" t="inlineStr">
        <is>
          <t>P300</t>
        </is>
      </c>
      <c r="D145" s="92" t="inlineStr">
        <is>
          <t>기타사업비용 (사업비)</t>
        </is>
      </c>
      <c r="E145" s="92" t="inlineStr">
        <is>
          <t>비용</t>
        </is>
      </c>
      <c r="F145" s="92" t="n">
        <v>1</v>
      </c>
      <c r="G145" s="93" t="n">
        <v>389789510</v>
      </c>
      <c r="H145" s="93" t="n">
        <v>4218024930</v>
      </c>
      <c r="J145" s="9">
        <f>IF($A145="","",VALUE($A145&amp;"")*12+VALUE($B145&amp;""))</f>
        <v/>
      </c>
      <c r="K145" s="9">
        <f>IF($A145="","",IFERROR(INDEX(입력옵션!$C$22:$C$53,MATCH($C145&amp;"",입력옵션!$E$22:$E$53,0)),IFERROR(INDEX(입력옵션!$C$22:$C$53,MATCH($D145&amp;"",입력옵션!$F$22:$F$53,0)),$C145&amp;"")))</f>
        <v/>
      </c>
      <c r="L145" s="97">
        <f>IF($A145="",0,$G145*설정!$C$23)</f>
        <v/>
      </c>
      <c r="M145" s="97">
        <f>IF($A145="",0,$H145*설정!$C$23)</f>
        <v/>
      </c>
    </row>
    <row r="146">
      <c r="A146" s="92" t="n">
        <v>2025</v>
      </c>
      <c r="B146" s="92" t="n">
        <v>12</v>
      </c>
      <c r="C146" s="92" t="inlineStr">
        <is>
          <t>P400</t>
        </is>
      </c>
      <c r="D146" s="92" t="inlineStr">
        <is>
          <t>법인세차감전이익</t>
        </is>
      </c>
      <c r="E146" s="92" t="inlineStr">
        <is>
          <t>손익</t>
        </is>
      </c>
      <c r="F146" s="92" t="n">
        <v>1</v>
      </c>
      <c r="G146" s="93" t="n">
        <v>12220388290</v>
      </c>
      <c r="H146" s="93" t="n">
        <v>146668551970</v>
      </c>
      <c r="J146" s="9">
        <f>IF($A146="","",VALUE($A146&amp;"")*12+VALUE($B146&amp;""))</f>
        <v/>
      </c>
      <c r="K146" s="9">
        <f>IF($A146="","",IFERROR(INDEX(입력옵션!$C$22:$C$53,MATCH($C146&amp;"",입력옵션!$E$22:$E$53,0)),IFERROR(INDEX(입력옵션!$C$22:$C$53,MATCH($D146&amp;"",입력옵션!$F$22:$F$53,0)),$C146&amp;"")))</f>
        <v/>
      </c>
      <c r="L146" s="97">
        <f>IF($A146="",0,$G146*설정!$C$23)</f>
        <v/>
      </c>
      <c r="M146" s="97">
        <f>IF($A146="",0,$H146*설정!$C$23)</f>
        <v/>
      </c>
    </row>
    <row r="147">
      <c r="A147" s="92" t="n">
        <v>2025</v>
      </c>
      <c r="B147" s="92" t="n">
        <v>12</v>
      </c>
      <c r="C147" s="92" t="inlineStr">
        <is>
          <t>P500</t>
        </is>
      </c>
      <c r="D147" s="92" t="inlineStr">
        <is>
          <t>법인세비용</t>
        </is>
      </c>
      <c r="E147" s="92" t="inlineStr">
        <is>
          <t>비용</t>
        </is>
      </c>
      <c r="F147" s="92" t="n">
        <v>1</v>
      </c>
      <c r="G147" s="93" t="n">
        <v>2688485000</v>
      </c>
      <c r="H147" s="93" t="n">
        <v>32267082000</v>
      </c>
      <c r="J147" s="9">
        <f>IF($A147="","",VALUE($A147&amp;"")*12+VALUE($B147&amp;""))</f>
        <v/>
      </c>
      <c r="K147" s="9">
        <f>IF($A147="","",IFERROR(INDEX(입력옵션!$C$22:$C$53,MATCH($C147&amp;"",입력옵션!$E$22:$E$53,0)),IFERROR(INDEX(입력옵션!$C$22:$C$53,MATCH($D147&amp;"",입력옵션!$F$22:$F$53,0)),$C147&amp;"")))</f>
        <v/>
      </c>
      <c r="L147" s="97">
        <f>IF($A147="",0,$G147*설정!$C$23)</f>
        <v/>
      </c>
      <c r="M147" s="97">
        <f>IF($A147="",0,$H147*설정!$C$23)</f>
        <v/>
      </c>
    </row>
    <row r="148">
      <c r="A148" s="92" t="n">
        <v>2025</v>
      </c>
      <c r="B148" s="92" t="n">
        <v>12</v>
      </c>
      <c r="C148" s="92" t="inlineStr">
        <is>
          <t>P600</t>
        </is>
      </c>
      <c r="D148" s="92" t="inlineStr">
        <is>
          <t>당기순이익</t>
        </is>
      </c>
      <c r="E148" s="92" t="inlineStr">
        <is>
          <t>손익</t>
        </is>
      </c>
      <c r="F148" s="92" t="n">
        <v>1</v>
      </c>
      <c r="G148" s="93" t="n">
        <v>9531903290</v>
      </c>
      <c r="H148" s="93" t="n">
        <v>114401469970</v>
      </c>
      <c r="J148" s="9">
        <f>IF($A148="","",VALUE($A148&amp;"")*12+VALUE($B148&amp;""))</f>
        <v/>
      </c>
      <c r="K148" s="9">
        <f>IF($A148="","",IFERROR(INDEX(입력옵션!$C$22:$C$53,MATCH($C148&amp;"",입력옵션!$E$22:$E$53,0)),IFERROR(INDEX(입력옵션!$C$22:$C$53,MATCH($D148&amp;"",입력옵션!$F$22:$F$53,0)),$C148&amp;"")))</f>
        <v/>
      </c>
      <c r="L148" s="97">
        <f>IF($A148="",0,$G148*설정!$C$23)</f>
        <v/>
      </c>
      <c r="M148" s="97">
        <f>IF($A148="",0,$H148*설정!$C$23)</f>
        <v/>
      </c>
    </row>
    <row r="149">
      <c r="A149" s="92" t="n">
        <v>2026</v>
      </c>
      <c r="B149" s="92" t="n">
        <v>1</v>
      </c>
      <c r="C149" s="92" t="inlineStr">
        <is>
          <t>P100</t>
        </is>
      </c>
      <c r="D149" s="92" t="inlineStr">
        <is>
          <t>보험손익</t>
        </is>
      </c>
      <c r="E149" s="92" t="inlineStr">
        <is>
          <t>손익</t>
        </is>
      </c>
      <c r="F149" s="92" t="n">
        <v>1</v>
      </c>
      <c r="G149" s="93" t="n">
        <v>11345822000</v>
      </c>
      <c r="H149" s="93" t="n">
        <v>11345822000</v>
      </c>
      <c r="J149" s="9">
        <f>IF($A149="","",VALUE($A149&amp;"")*12+VALUE($B149&amp;""))</f>
        <v/>
      </c>
      <c r="K149" s="9">
        <f>IF($A149="","",IFERROR(INDEX(입력옵션!$C$22:$C$53,MATCH($C149&amp;"",입력옵션!$E$22:$E$53,0)),IFERROR(INDEX(입력옵션!$C$22:$C$53,MATCH($D149&amp;"",입력옵션!$F$22:$F$53,0)),$C149&amp;"")))</f>
        <v/>
      </c>
      <c r="L149" s="97">
        <f>IF($A149="",0,$G149*설정!$C$23)</f>
        <v/>
      </c>
      <c r="M149" s="97">
        <f>IF($A149="",0,$H149*설정!$C$23)</f>
        <v/>
      </c>
    </row>
    <row r="150">
      <c r="A150" s="92" t="n">
        <v>2026</v>
      </c>
      <c r="B150" s="92" t="n">
        <v>1</v>
      </c>
      <c r="C150" s="92" t="inlineStr">
        <is>
          <t>P110</t>
        </is>
      </c>
      <c r="D150" s="92" t="inlineStr">
        <is>
          <t>보험수익</t>
        </is>
      </c>
      <c r="E150" s="92" t="inlineStr">
        <is>
          <t>수익</t>
        </is>
      </c>
      <c r="F150" s="92" t="n">
        <v>2</v>
      </c>
      <c r="G150" s="93" t="n">
        <v>63948985000</v>
      </c>
      <c r="H150" s="93" t="n">
        <v>63948985000</v>
      </c>
      <c r="J150" s="9">
        <f>IF($A150="","",VALUE($A150&amp;"")*12+VALUE($B150&amp;""))</f>
        <v/>
      </c>
      <c r="K150" s="9">
        <f>IF($A150="","",IFERROR(INDEX(입력옵션!$C$22:$C$53,MATCH($C150&amp;"",입력옵션!$E$22:$E$53,0)),IFERROR(INDEX(입력옵션!$C$22:$C$53,MATCH($D150&amp;"",입력옵션!$F$22:$F$53,0)),$C150&amp;"")))</f>
        <v/>
      </c>
      <c r="L150" s="97">
        <f>IF($A150="",0,$G150*설정!$C$23)</f>
        <v/>
      </c>
      <c r="M150" s="97">
        <f>IF($A150="",0,$H150*설정!$C$23)</f>
        <v/>
      </c>
    </row>
    <row r="151">
      <c r="A151" s="92" t="n">
        <v>2026</v>
      </c>
      <c r="B151" s="92" t="n">
        <v>1</v>
      </c>
      <c r="C151" s="92" t="inlineStr">
        <is>
          <t>P120</t>
        </is>
      </c>
      <c r="D151" s="92" t="inlineStr">
        <is>
          <t>보험서비스비용</t>
        </is>
      </c>
      <c r="E151" s="92" t="inlineStr">
        <is>
          <t>비용</t>
        </is>
      </c>
      <c r="F151" s="92" t="n">
        <v>2</v>
      </c>
      <c r="G151" s="93" t="n">
        <v>51551019000</v>
      </c>
      <c r="H151" s="93" t="n">
        <v>51551019000</v>
      </c>
      <c r="J151" s="9">
        <f>IF($A151="","",VALUE($A151&amp;"")*12+VALUE($B151&amp;""))</f>
        <v/>
      </c>
      <c r="K151" s="9">
        <f>IF($A151="","",IFERROR(INDEX(입력옵션!$C$22:$C$53,MATCH($C151&amp;"",입력옵션!$E$22:$E$53,0)),IFERROR(INDEX(입력옵션!$C$22:$C$53,MATCH($D151&amp;"",입력옵션!$F$22:$F$53,0)),$C151&amp;"")))</f>
        <v/>
      </c>
      <c r="L151" s="97">
        <f>IF($A151="",0,$G151*설정!$C$23)</f>
        <v/>
      </c>
      <c r="M151" s="97">
        <f>IF($A151="",0,$H151*설정!$C$23)</f>
        <v/>
      </c>
    </row>
    <row r="152">
      <c r="A152" s="92" t="n">
        <v>2026</v>
      </c>
      <c r="B152" s="92" t="n">
        <v>1</v>
      </c>
      <c r="C152" s="92" t="inlineStr">
        <is>
          <t>P130</t>
        </is>
      </c>
      <c r="D152" s="92" t="inlineStr">
        <is>
          <t>재보험손익</t>
        </is>
      </c>
      <c r="E152" s="92" t="inlineStr">
        <is>
          <t>손익</t>
        </is>
      </c>
      <c r="F152" s="92" t="n">
        <v>2</v>
      </c>
      <c r="G152" s="93" t="n">
        <v>-1052144000</v>
      </c>
      <c r="H152" s="93" t="n">
        <v>-1052144000</v>
      </c>
      <c r="J152" s="9">
        <f>IF($A152="","",VALUE($A152&amp;"")*12+VALUE($B152&amp;""))</f>
        <v/>
      </c>
      <c r="K152" s="9">
        <f>IF($A152="","",IFERROR(INDEX(입력옵션!$C$22:$C$53,MATCH($C152&amp;"",입력옵션!$E$22:$E$53,0)),IFERROR(INDEX(입력옵션!$C$22:$C$53,MATCH($D152&amp;"",입력옵션!$F$22:$F$53,0)),$C152&amp;"")))</f>
        <v/>
      </c>
      <c r="L152" s="97">
        <f>IF($A152="",0,$G152*설정!$C$23)</f>
        <v/>
      </c>
      <c r="M152" s="97">
        <f>IF($A152="",0,$H152*설정!$C$23)</f>
        <v/>
      </c>
    </row>
    <row r="153">
      <c r="A153" s="92" t="n">
        <v>2026</v>
      </c>
      <c r="B153" s="92" t="n">
        <v>1</v>
      </c>
      <c r="C153" s="92" t="inlineStr">
        <is>
          <t>P200</t>
        </is>
      </c>
      <c r="D153" s="92" t="inlineStr">
        <is>
          <t>투자손익</t>
        </is>
      </c>
      <c r="E153" s="92" t="inlineStr">
        <is>
          <t>손익</t>
        </is>
      </c>
      <c r="F153" s="92" t="n">
        <v>1</v>
      </c>
      <c r="G153" s="93" t="n">
        <v>1531527200</v>
      </c>
      <c r="H153" s="93" t="n">
        <v>1531527200</v>
      </c>
      <c r="J153" s="9">
        <f>IF($A153="","",VALUE($A153&amp;"")*12+VALUE($B153&amp;""))</f>
        <v/>
      </c>
      <c r="K153" s="9">
        <f>IF($A153="","",IFERROR(INDEX(입력옵션!$C$22:$C$53,MATCH($C153&amp;"",입력옵션!$E$22:$E$53,0)),IFERROR(INDEX(입력옵션!$C$22:$C$53,MATCH($D153&amp;"",입력옵션!$F$22:$F$53,0)),$C153&amp;"")))</f>
        <v/>
      </c>
      <c r="L153" s="97">
        <f>IF($A153="",0,$G153*설정!$C$23)</f>
        <v/>
      </c>
      <c r="M153" s="97">
        <f>IF($A153="",0,$H153*설정!$C$23)</f>
        <v/>
      </c>
    </row>
    <row r="154">
      <c r="A154" s="92" t="n">
        <v>2026</v>
      </c>
      <c r="B154" s="92" t="n">
        <v>1</v>
      </c>
      <c r="C154" s="92" t="inlineStr">
        <is>
          <t>P210</t>
        </is>
      </c>
      <c r="D154" s="92" t="inlineStr">
        <is>
          <t>투자수익</t>
        </is>
      </c>
      <c r="E154" s="92" t="inlineStr">
        <is>
          <t>수익</t>
        </is>
      </c>
      <c r="F154" s="92" t="n">
        <v>2</v>
      </c>
      <c r="G154" s="93" t="n">
        <v>9550687000</v>
      </c>
      <c r="H154" s="93" t="n">
        <v>9550687000</v>
      </c>
      <c r="J154" s="9">
        <f>IF($A154="","",VALUE($A154&amp;"")*12+VALUE($B154&amp;""))</f>
        <v/>
      </c>
      <c r="K154" s="9">
        <f>IF($A154="","",IFERROR(INDEX(입력옵션!$C$22:$C$53,MATCH($C154&amp;"",입력옵션!$E$22:$E$53,0)),IFERROR(INDEX(입력옵션!$C$22:$C$53,MATCH($D154&amp;"",입력옵션!$F$22:$F$53,0)),$C154&amp;"")))</f>
        <v/>
      </c>
      <c r="L154" s="97">
        <f>IF($A154="",0,$G154*설정!$C$23)</f>
        <v/>
      </c>
      <c r="M154" s="97">
        <f>IF($A154="",0,$H154*설정!$C$23)</f>
        <v/>
      </c>
    </row>
    <row r="155">
      <c r="A155" s="92" t="n">
        <v>2026</v>
      </c>
      <c r="B155" s="92" t="n">
        <v>1</v>
      </c>
      <c r="C155" s="92" t="inlineStr">
        <is>
          <t>P220</t>
        </is>
      </c>
      <c r="D155" s="92" t="inlineStr">
        <is>
          <t>보험금융비용</t>
        </is>
      </c>
      <c r="E155" s="92" t="inlineStr">
        <is>
          <t>비용</t>
        </is>
      </c>
      <c r="F155" s="92" t="n">
        <v>2</v>
      </c>
      <c r="G155" s="93" t="n">
        <v>7986677000</v>
      </c>
      <c r="H155" s="93" t="n">
        <v>7986677000</v>
      </c>
      <c r="J155" s="9">
        <f>IF($A155="","",VALUE($A155&amp;"")*12+VALUE($B155&amp;""))</f>
        <v/>
      </c>
      <c r="K155" s="9">
        <f>IF($A155="","",IFERROR(INDEX(입력옵션!$C$22:$C$53,MATCH($C155&amp;"",입력옵션!$E$22:$E$53,0)),IFERROR(INDEX(입력옵션!$C$22:$C$53,MATCH($D155&amp;"",입력옵션!$F$22:$F$53,0)),$C155&amp;"")))</f>
        <v/>
      </c>
      <c r="L155" s="97">
        <f>IF($A155="",0,$G155*설정!$C$23)</f>
        <v/>
      </c>
      <c r="M155" s="97">
        <f>IF($A155="",0,$H155*설정!$C$23)</f>
        <v/>
      </c>
    </row>
    <row r="156">
      <c r="A156" s="92" t="n">
        <v>2026</v>
      </c>
      <c r="B156" s="92" t="n">
        <v>1</v>
      </c>
      <c r="C156" s="92" t="inlineStr">
        <is>
          <t>P230</t>
        </is>
      </c>
      <c r="D156" s="92" t="inlineStr">
        <is>
          <t>재산관리비</t>
        </is>
      </c>
      <c r="E156" s="92" t="inlineStr">
        <is>
          <t>비용</t>
        </is>
      </c>
      <c r="F156" s="92" t="n">
        <v>2</v>
      </c>
      <c r="G156" s="93" t="n">
        <v>32482800</v>
      </c>
      <c r="H156" s="93" t="n">
        <v>32482800</v>
      </c>
      <c r="J156" s="9">
        <f>IF($A156="","",VALUE($A156&amp;"")*12+VALUE($B156&amp;""))</f>
        <v/>
      </c>
      <c r="K156" s="9">
        <f>IF($A156="","",IFERROR(INDEX(입력옵션!$C$22:$C$53,MATCH($C156&amp;"",입력옵션!$E$22:$E$53,0)),IFERROR(INDEX(입력옵션!$C$22:$C$53,MATCH($D156&amp;"",입력옵션!$F$22:$F$53,0)),$C156&amp;"")))</f>
        <v/>
      </c>
      <c r="L156" s="97">
        <f>IF($A156="",0,$G156*설정!$C$23)</f>
        <v/>
      </c>
      <c r="M156" s="97">
        <f>IF($A156="",0,$H156*설정!$C$23)</f>
        <v/>
      </c>
    </row>
    <row r="157">
      <c r="A157" s="92" t="n">
        <v>2026</v>
      </c>
      <c r="B157" s="92" t="n">
        <v>1</v>
      </c>
      <c r="C157" s="92" t="inlineStr">
        <is>
          <t>P300</t>
        </is>
      </c>
      <c r="D157" s="92" t="inlineStr">
        <is>
          <t>기타사업비용 (사업비)</t>
        </is>
      </c>
      <c r="E157" s="92" t="inlineStr">
        <is>
          <t>비용</t>
        </is>
      </c>
      <c r="F157" s="92" t="n">
        <v>1</v>
      </c>
      <c r="G157" s="93" t="n">
        <v>385260090</v>
      </c>
      <c r="H157" s="93" t="n">
        <v>385260090</v>
      </c>
      <c r="J157" s="9">
        <f>IF($A157="","",VALUE($A157&amp;"")*12+VALUE($B157&amp;""))</f>
        <v/>
      </c>
      <c r="K157" s="9">
        <f>IF($A157="","",IFERROR(INDEX(입력옵션!$C$22:$C$53,MATCH($C157&amp;"",입력옵션!$E$22:$E$53,0)),IFERROR(INDEX(입력옵션!$C$22:$C$53,MATCH($D157&amp;"",입력옵션!$F$22:$F$53,0)),$C157&amp;"")))</f>
        <v/>
      </c>
      <c r="L157" s="97">
        <f>IF($A157="",0,$G157*설정!$C$23)</f>
        <v/>
      </c>
      <c r="M157" s="97">
        <f>IF($A157="",0,$H157*설정!$C$23)</f>
        <v/>
      </c>
    </row>
    <row r="158">
      <c r="A158" s="92" t="n">
        <v>2026</v>
      </c>
      <c r="B158" s="92" t="n">
        <v>1</v>
      </c>
      <c r="C158" s="92" t="inlineStr">
        <is>
          <t>P400</t>
        </is>
      </c>
      <c r="D158" s="92" t="inlineStr">
        <is>
          <t>법인세차감전이익</t>
        </is>
      </c>
      <c r="E158" s="92" t="inlineStr">
        <is>
          <t>손익</t>
        </is>
      </c>
      <c r="F158" s="92" t="n">
        <v>1</v>
      </c>
      <c r="G158" s="93" t="n">
        <v>12492089110</v>
      </c>
      <c r="H158" s="93" t="n">
        <v>12492089110</v>
      </c>
      <c r="J158" s="9">
        <f>IF($A158="","",VALUE($A158&amp;"")*12+VALUE($B158&amp;""))</f>
        <v/>
      </c>
      <c r="K158" s="9">
        <f>IF($A158="","",IFERROR(INDEX(입력옵션!$C$22:$C$53,MATCH($C158&amp;"",입력옵션!$E$22:$E$53,0)),IFERROR(INDEX(입력옵션!$C$22:$C$53,MATCH($D158&amp;"",입력옵션!$F$22:$F$53,0)),$C158&amp;"")))</f>
        <v/>
      </c>
      <c r="L158" s="97">
        <f>IF($A158="",0,$G158*설정!$C$23)</f>
        <v/>
      </c>
      <c r="M158" s="97">
        <f>IF($A158="",0,$H158*설정!$C$23)</f>
        <v/>
      </c>
    </row>
    <row r="159">
      <c r="A159" s="92" t="n">
        <v>2026</v>
      </c>
      <c r="B159" s="92" t="n">
        <v>1</v>
      </c>
      <c r="C159" s="92" t="inlineStr">
        <is>
          <t>P500</t>
        </is>
      </c>
      <c r="D159" s="92" t="inlineStr">
        <is>
          <t>법인세비용</t>
        </is>
      </c>
      <c r="E159" s="92" t="inlineStr">
        <is>
          <t>비용</t>
        </is>
      </c>
      <c r="F159" s="92" t="n">
        <v>1</v>
      </c>
      <c r="G159" s="93" t="n">
        <v>2748260000</v>
      </c>
      <c r="H159" s="93" t="n">
        <v>2748260000</v>
      </c>
      <c r="J159" s="9">
        <f>IF($A159="","",VALUE($A159&amp;"")*12+VALUE($B159&amp;""))</f>
        <v/>
      </c>
      <c r="K159" s="9">
        <f>IF($A159="","",IFERROR(INDEX(입력옵션!$C$22:$C$53,MATCH($C159&amp;"",입력옵션!$E$22:$E$53,0)),IFERROR(INDEX(입력옵션!$C$22:$C$53,MATCH($D159&amp;"",입력옵션!$F$22:$F$53,0)),$C159&amp;"")))</f>
        <v/>
      </c>
      <c r="L159" s="97">
        <f>IF($A159="",0,$G159*설정!$C$23)</f>
        <v/>
      </c>
      <c r="M159" s="97">
        <f>IF($A159="",0,$H159*설정!$C$23)</f>
        <v/>
      </c>
    </row>
    <row r="160">
      <c r="A160" s="92" t="n">
        <v>2026</v>
      </c>
      <c r="B160" s="92" t="n">
        <v>1</v>
      </c>
      <c r="C160" s="92" t="inlineStr">
        <is>
          <t>P600</t>
        </is>
      </c>
      <c r="D160" s="92" t="inlineStr">
        <is>
          <t>당기순이익</t>
        </is>
      </c>
      <c r="E160" s="92" t="inlineStr">
        <is>
          <t>손익</t>
        </is>
      </c>
      <c r="F160" s="92" t="n">
        <v>1</v>
      </c>
      <c r="G160" s="93" t="n">
        <v>9743829110</v>
      </c>
      <c r="H160" s="93" t="n">
        <v>9743829110</v>
      </c>
      <c r="J160" s="9">
        <f>IF($A160="","",VALUE($A160&amp;"")*12+VALUE($B160&amp;""))</f>
        <v/>
      </c>
      <c r="K160" s="9">
        <f>IF($A160="","",IFERROR(INDEX(입력옵션!$C$22:$C$53,MATCH($C160&amp;"",입력옵션!$E$22:$E$53,0)),IFERROR(INDEX(입력옵션!$C$22:$C$53,MATCH($D160&amp;"",입력옵션!$F$22:$F$53,0)),$C160&amp;"")))</f>
        <v/>
      </c>
      <c r="L160" s="97">
        <f>IF($A160="",0,$G160*설정!$C$23)</f>
        <v/>
      </c>
      <c r="M160" s="97">
        <f>IF($A160="",0,$H160*설정!$C$23)</f>
        <v/>
      </c>
    </row>
    <row r="161">
      <c r="A161" s="92" t="n">
        <v>2026</v>
      </c>
      <c r="B161" s="92" t="n">
        <v>2</v>
      </c>
      <c r="C161" s="92" t="inlineStr">
        <is>
          <t>P100</t>
        </is>
      </c>
      <c r="D161" s="92" t="inlineStr">
        <is>
          <t>보험손익</t>
        </is>
      </c>
      <c r="E161" s="92" t="inlineStr">
        <is>
          <t>손익</t>
        </is>
      </c>
      <c r="F161" s="92" t="n">
        <v>1</v>
      </c>
      <c r="G161" s="93" t="n">
        <v>14018876000</v>
      </c>
      <c r="H161" s="93" t="n">
        <v>25364698000</v>
      </c>
      <c r="J161" s="9">
        <f>IF($A161="","",VALUE($A161&amp;"")*12+VALUE($B161&amp;""))</f>
        <v/>
      </c>
      <c r="K161" s="9">
        <f>IF($A161="","",IFERROR(INDEX(입력옵션!$C$22:$C$53,MATCH($C161&amp;"",입력옵션!$E$22:$E$53,0)),IFERROR(INDEX(입력옵션!$C$22:$C$53,MATCH($D161&amp;"",입력옵션!$F$22:$F$53,0)),$C161&amp;"")))</f>
        <v/>
      </c>
      <c r="L161" s="97">
        <f>IF($A161="",0,$G161*설정!$C$23)</f>
        <v/>
      </c>
      <c r="M161" s="97">
        <f>IF($A161="",0,$H161*설정!$C$23)</f>
        <v/>
      </c>
    </row>
    <row r="162">
      <c r="A162" s="92" t="n">
        <v>2026</v>
      </c>
      <c r="B162" s="92" t="n">
        <v>2</v>
      </c>
      <c r="C162" s="92" t="inlineStr">
        <is>
          <t>P110</t>
        </is>
      </c>
      <c r="D162" s="92" t="inlineStr">
        <is>
          <t>보험수익</t>
        </is>
      </c>
      <c r="E162" s="92" t="inlineStr">
        <is>
          <t>수익</t>
        </is>
      </c>
      <c r="F162" s="92" t="n">
        <v>2</v>
      </c>
      <c r="G162" s="93" t="n">
        <v>65697439000</v>
      </c>
      <c r="H162" s="93" t="n">
        <v>129646424000</v>
      </c>
      <c r="J162" s="9">
        <f>IF($A162="","",VALUE($A162&amp;"")*12+VALUE($B162&amp;""))</f>
        <v/>
      </c>
      <c r="K162" s="9">
        <f>IF($A162="","",IFERROR(INDEX(입력옵션!$C$22:$C$53,MATCH($C162&amp;"",입력옵션!$E$22:$E$53,0)),IFERROR(INDEX(입력옵션!$C$22:$C$53,MATCH($D162&amp;"",입력옵션!$F$22:$F$53,0)),$C162&amp;"")))</f>
        <v/>
      </c>
      <c r="L162" s="97">
        <f>IF($A162="",0,$G162*설정!$C$23)</f>
        <v/>
      </c>
      <c r="M162" s="97">
        <f>IF($A162="",0,$H162*설정!$C$23)</f>
        <v/>
      </c>
    </row>
    <row r="163">
      <c r="A163" s="92" t="n">
        <v>2026</v>
      </c>
      <c r="B163" s="92" t="n">
        <v>2</v>
      </c>
      <c r="C163" s="92" t="inlineStr">
        <is>
          <t>P120</t>
        </is>
      </c>
      <c r="D163" s="92" t="inlineStr">
        <is>
          <t>보험서비스비용</t>
        </is>
      </c>
      <c r="E163" s="92" t="inlineStr">
        <is>
          <t>비용</t>
        </is>
      </c>
      <c r="F163" s="92" t="n">
        <v>2</v>
      </c>
      <c r="G163" s="93" t="n">
        <v>50536589000</v>
      </c>
      <c r="H163" s="93" t="n">
        <v>102087608000</v>
      </c>
      <c r="J163" s="9">
        <f>IF($A163="","",VALUE($A163&amp;"")*12+VALUE($B163&amp;""))</f>
        <v/>
      </c>
      <c r="K163" s="9">
        <f>IF($A163="","",IFERROR(INDEX(입력옵션!$C$22:$C$53,MATCH($C163&amp;"",입력옵션!$E$22:$E$53,0)),IFERROR(INDEX(입력옵션!$C$22:$C$53,MATCH($D163&amp;"",입력옵션!$F$22:$F$53,0)),$C163&amp;"")))</f>
        <v/>
      </c>
      <c r="L163" s="97">
        <f>IF($A163="",0,$G163*설정!$C$23)</f>
        <v/>
      </c>
      <c r="M163" s="97">
        <f>IF($A163="",0,$H163*설정!$C$23)</f>
        <v/>
      </c>
    </row>
    <row r="164">
      <c r="A164" s="92" t="n">
        <v>2026</v>
      </c>
      <c r="B164" s="92" t="n">
        <v>2</v>
      </c>
      <c r="C164" s="92" t="inlineStr">
        <is>
          <t>P130</t>
        </is>
      </c>
      <c r="D164" s="92" t="inlineStr">
        <is>
          <t>재보험손익</t>
        </is>
      </c>
      <c r="E164" s="92" t="inlineStr">
        <is>
          <t>손익</t>
        </is>
      </c>
      <c r="F164" s="92" t="n">
        <v>2</v>
      </c>
      <c r="G164" s="93" t="n">
        <v>-1141974000</v>
      </c>
      <c r="H164" s="93" t="n">
        <v>-2194118000</v>
      </c>
      <c r="J164" s="9">
        <f>IF($A164="","",VALUE($A164&amp;"")*12+VALUE($B164&amp;""))</f>
        <v/>
      </c>
      <c r="K164" s="9">
        <f>IF($A164="","",IFERROR(INDEX(입력옵션!$C$22:$C$53,MATCH($C164&amp;"",입력옵션!$E$22:$E$53,0)),IFERROR(INDEX(입력옵션!$C$22:$C$53,MATCH($D164&amp;"",입력옵션!$F$22:$F$53,0)),$C164&amp;"")))</f>
        <v/>
      </c>
      <c r="L164" s="97">
        <f>IF($A164="",0,$G164*설정!$C$23)</f>
        <v/>
      </c>
      <c r="M164" s="97">
        <f>IF($A164="",0,$H164*설정!$C$23)</f>
        <v/>
      </c>
    </row>
    <row r="165">
      <c r="A165" s="92" t="n">
        <v>2026</v>
      </c>
      <c r="B165" s="92" t="n">
        <v>2</v>
      </c>
      <c r="C165" s="92" t="inlineStr">
        <is>
          <t>P200</t>
        </is>
      </c>
      <c r="D165" s="92" t="inlineStr">
        <is>
          <t>투자손익</t>
        </is>
      </c>
      <c r="E165" s="92" t="inlineStr">
        <is>
          <t>손익</t>
        </is>
      </c>
      <c r="F165" s="92" t="n">
        <v>1</v>
      </c>
      <c r="G165" s="93" t="n">
        <v>1829866700</v>
      </c>
      <c r="H165" s="93" t="n">
        <v>3361393900</v>
      </c>
      <c r="J165" s="9">
        <f>IF($A165="","",VALUE($A165&amp;"")*12+VALUE($B165&amp;""))</f>
        <v/>
      </c>
      <c r="K165" s="9">
        <f>IF($A165="","",IFERROR(INDEX(입력옵션!$C$22:$C$53,MATCH($C165&amp;"",입력옵션!$E$22:$E$53,0)),IFERROR(INDEX(입력옵션!$C$22:$C$53,MATCH($D165&amp;"",입력옵션!$F$22:$F$53,0)),$C165&amp;"")))</f>
        <v/>
      </c>
      <c r="L165" s="97">
        <f>IF($A165="",0,$G165*설정!$C$23)</f>
        <v/>
      </c>
      <c r="M165" s="97">
        <f>IF($A165="",0,$H165*설정!$C$23)</f>
        <v/>
      </c>
    </row>
    <row r="166">
      <c r="A166" s="92" t="n">
        <v>2026</v>
      </c>
      <c r="B166" s="92" t="n">
        <v>2</v>
      </c>
      <c r="C166" s="92" t="inlineStr">
        <is>
          <t>P210</t>
        </is>
      </c>
      <c r="D166" s="92" t="inlineStr">
        <is>
          <t>투자수익</t>
        </is>
      </c>
      <c r="E166" s="92" t="inlineStr">
        <is>
          <t>수익</t>
        </is>
      </c>
      <c r="F166" s="92" t="n">
        <v>2</v>
      </c>
      <c r="G166" s="93" t="n">
        <v>9840717000</v>
      </c>
      <c r="H166" s="93" t="n">
        <v>19391404000</v>
      </c>
      <c r="J166" s="9">
        <f>IF($A166="","",VALUE($A166&amp;"")*12+VALUE($B166&amp;""))</f>
        <v/>
      </c>
      <c r="K166" s="9">
        <f>IF($A166="","",IFERROR(INDEX(입력옵션!$C$22:$C$53,MATCH($C166&amp;"",입력옵션!$E$22:$E$53,0)),IFERROR(INDEX(입력옵션!$C$22:$C$53,MATCH($D166&amp;"",입력옵션!$F$22:$F$53,0)),$C166&amp;"")))</f>
        <v/>
      </c>
      <c r="L166" s="97">
        <f>IF($A166="",0,$G166*설정!$C$23)</f>
        <v/>
      </c>
      <c r="M166" s="97">
        <f>IF($A166="",0,$H166*설정!$C$23)</f>
        <v/>
      </c>
    </row>
    <row r="167">
      <c r="A167" s="92" t="n">
        <v>2026</v>
      </c>
      <c r="B167" s="92" t="n">
        <v>2</v>
      </c>
      <c r="C167" s="92" t="inlineStr">
        <is>
          <t>P220</t>
        </is>
      </c>
      <c r="D167" s="92" t="inlineStr">
        <is>
          <t>보험금융비용</t>
        </is>
      </c>
      <c r="E167" s="92" t="inlineStr">
        <is>
          <t>비용</t>
        </is>
      </c>
      <c r="F167" s="92" t="n">
        <v>2</v>
      </c>
      <c r="G167" s="93" t="n">
        <v>7977979000</v>
      </c>
      <c r="H167" s="93" t="n">
        <v>15964656000</v>
      </c>
      <c r="J167" s="9">
        <f>IF($A167="","",VALUE($A167&amp;"")*12+VALUE($B167&amp;""))</f>
        <v/>
      </c>
      <c r="K167" s="9">
        <f>IF($A167="","",IFERROR(INDEX(입력옵션!$C$22:$C$53,MATCH($C167&amp;"",입력옵션!$E$22:$E$53,0)),IFERROR(INDEX(입력옵션!$C$22:$C$53,MATCH($D167&amp;"",입력옵션!$F$22:$F$53,0)),$C167&amp;"")))</f>
        <v/>
      </c>
      <c r="L167" s="97">
        <f>IF($A167="",0,$G167*설정!$C$23)</f>
        <v/>
      </c>
      <c r="M167" s="97">
        <f>IF($A167="",0,$H167*설정!$C$23)</f>
        <v/>
      </c>
    </row>
    <row r="168">
      <c r="A168" s="92" t="n">
        <v>2026</v>
      </c>
      <c r="B168" s="92" t="n">
        <v>2</v>
      </c>
      <c r="C168" s="92" t="inlineStr">
        <is>
          <t>P230</t>
        </is>
      </c>
      <c r="D168" s="92" t="inlineStr">
        <is>
          <t>재산관리비</t>
        </is>
      </c>
      <c r="E168" s="92" t="inlineStr">
        <is>
          <t>비용</t>
        </is>
      </c>
      <c r="F168" s="92" t="n">
        <v>2</v>
      </c>
      <c r="G168" s="93" t="n">
        <v>32871300</v>
      </c>
      <c r="H168" s="93" t="n">
        <v>65354100</v>
      </c>
      <c r="J168" s="9">
        <f>IF($A168="","",VALUE($A168&amp;"")*12+VALUE($B168&amp;""))</f>
        <v/>
      </c>
      <c r="K168" s="9">
        <f>IF($A168="","",IFERROR(INDEX(입력옵션!$C$22:$C$53,MATCH($C168&amp;"",입력옵션!$E$22:$E$53,0)),IFERROR(INDEX(입력옵션!$C$22:$C$53,MATCH($D168&amp;"",입력옵션!$F$22:$F$53,0)),$C168&amp;"")))</f>
        <v/>
      </c>
      <c r="L168" s="97">
        <f>IF($A168="",0,$G168*설정!$C$23)</f>
        <v/>
      </c>
      <c r="M168" s="97">
        <f>IF($A168="",0,$H168*설정!$C$23)</f>
        <v/>
      </c>
    </row>
    <row r="169">
      <c r="A169" s="92" t="n">
        <v>2026</v>
      </c>
      <c r="B169" s="92" t="n">
        <v>2</v>
      </c>
      <c r="C169" s="92" t="inlineStr">
        <is>
          <t>P300</t>
        </is>
      </c>
      <c r="D169" s="92" t="inlineStr">
        <is>
          <t>기타사업비용 (사업비)</t>
        </is>
      </c>
      <c r="E169" s="92" t="inlineStr">
        <is>
          <t>비용</t>
        </is>
      </c>
      <c r="F169" s="92" t="n">
        <v>1</v>
      </c>
      <c r="G169" s="93" t="n">
        <v>381438990</v>
      </c>
      <c r="H169" s="93" t="n">
        <v>766699080</v>
      </c>
      <c r="J169" s="9">
        <f>IF($A169="","",VALUE($A169&amp;"")*12+VALUE($B169&amp;""))</f>
        <v/>
      </c>
      <c r="K169" s="9">
        <f>IF($A169="","",IFERROR(INDEX(입력옵션!$C$22:$C$53,MATCH($C169&amp;"",입력옵션!$E$22:$E$53,0)),IFERROR(INDEX(입력옵션!$C$22:$C$53,MATCH($D169&amp;"",입력옵션!$F$22:$F$53,0)),$C169&amp;"")))</f>
        <v/>
      </c>
      <c r="L169" s="97">
        <f>IF($A169="",0,$G169*설정!$C$23)</f>
        <v/>
      </c>
      <c r="M169" s="97">
        <f>IF($A169="",0,$H169*설정!$C$23)</f>
        <v/>
      </c>
    </row>
    <row r="170">
      <c r="A170" s="92" t="n">
        <v>2026</v>
      </c>
      <c r="B170" s="92" t="n">
        <v>2</v>
      </c>
      <c r="C170" s="92" t="inlineStr">
        <is>
          <t>P400</t>
        </is>
      </c>
      <c r="D170" s="92" t="inlineStr">
        <is>
          <t>법인세차감전이익</t>
        </is>
      </c>
      <c r="E170" s="92" t="inlineStr">
        <is>
          <t>손익</t>
        </is>
      </c>
      <c r="F170" s="92" t="n">
        <v>1</v>
      </c>
      <c r="G170" s="93" t="n">
        <v>15467303710</v>
      </c>
      <c r="H170" s="93" t="n">
        <v>27959392820</v>
      </c>
      <c r="J170" s="9">
        <f>IF($A170="","",VALUE($A170&amp;"")*12+VALUE($B170&amp;""))</f>
        <v/>
      </c>
      <c r="K170" s="9">
        <f>IF($A170="","",IFERROR(INDEX(입력옵션!$C$22:$C$53,MATCH($C170&amp;"",입력옵션!$E$22:$E$53,0)),IFERROR(INDEX(입력옵션!$C$22:$C$53,MATCH($D170&amp;"",입력옵션!$F$22:$F$53,0)),$C170&amp;"")))</f>
        <v/>
      </c>
      <c r="L170" s="97">
        <f>IF($A170="",0,$G170*설정!$C$23)</f>
        <v/>
      </c>
      <c r="M170" s="97">
        <f>IF($A170="",0,$H170*설정!$C$23)</f>
        <v/>
      </c>
    </row>
    <row r="171">
      <c r="A171" s="92" t="n">
        <v>2026</v>
      </c>
      <c r="B171" s="92" t="n">
        <v>2</v>
      </c>
      <c r="C171" s="92" t="inlineStr">
        <is>
          <t>P500</t>
        </is>
      </c>
      <c r="D171" s="92" t="inlineStr">
        <is>
          <t>법인세비용</t>
        </is>
      </c>
      <c r="E171" s="92" t="inlineStr">
        <is>
          <t>비용</t>
        </is>
      </c>
      <c r="F171" s="92" t="n">
        <v>1</v>
      </c>
      <c r="G171" s="93" t="n">
        <v>3402807000</v>
      </c>
      <c r="H171" s="93" t="n">
        <v>6151067000</v>
      </c>
      <c r="J171" s="9">
        <f>IF($A171="","",VALUE($A171&amp;"")*12+VALUE($B171&amp;""))</f>
        <v/>
      </c>
      <c r="K171" s="9">
        <f>IF($A171="","",IFERROR(INDEX(입력옵션!$C$22:$C$53,MATCH($C171&amp;"",입력옵션!$E$22:$E$53,0)),IFERROR(INDEX(입력옵션!$C$22:$C$53,MATCH($D171&amp;"",입력옵션!$F$22:$F$53,0)),$C171&amp;"")))</f>
        <v/>
      </c>
      <c r="L171" s="97">
        <f>IF($A171="",0,$G171*설정!$C$23)</f>
        <v/>
      </c>
      <c r="M171" s="97">
        <f>IF($A171="",0,$H171*설정!$C$23)</f>
        <v/>
      </c>
    </row>
    <row r="172">
      <c r="A172" s="92" t="n">
        <v>2026</v>
      </c>
      <c r="B172" s="92" t="n">
        <v>2</v>
      </c>
      <c r="C172" s="92" t="inlineStr">
        <is>
          <t>P600</t>
        </is>
      </c>
      <c r="D172" s="92" t="inlineStr">
        <is>
          <t>당기순이익</t>
        </is>
      </c>
      <c r="E172" s="92" t="inlineStr">
        <is>
          <t>손익</t>
        </is>
      </c>
      <c r="F172" s="92" t="n">
        <v>1</v>
      </c>
      <c r="G172" s="93" t="n">
        <v>12064496710</v>
      </c>
      <c r="H172" s="93" t="n">
        <v>21808325820</v>
      </c>
      <c r="J172" s="9">
        <f>IF($A172="","",VALUE($A172&amp;"")*12+VALUE($B172&amp;""))</f>
        <v/>
      </c>
      <c r="K172" s="9">
        <f>IF($A172="","",IFERROR(INDEX(입력옵션!$C$22:$C$53,MATCH($C172&amp;"",입력옵션!$E$22:$E$53,0)),IFERROR(INDEX(입력옵션!$C$22:$C$53,MATCH($D172&amp;"",입력옵션!$F$22:$F$53,0)),$C172&amp;"")))</f>
        <v/>
      </c>
      <c r="L172" s="97">
        <f>IF($A172="",0,$G172*설정!$C$23)</f>
        <v/>
      </c>
      <c r="M172" s="97">
        <f>IF($A172="",0,$H172*설정!$C$23)</f>
        <v/>
      </c>
    </row>
    <row r="173">
      <c r="A173" s="92" t="n">
        <v>2026</v>
      </c>
      <c r="B173" s="92" t="n">
        <v>3</v>
      </c>
      <c r="C173" s="92" t="inlineStr">
        <is>
          <t>P100</t>
        </is>
      </c>
      <c r="D173" s="92" t="inlineStr">
        <is>
          <t>보험손익</t>
        </is>
      </c>
      <c r="E173" s="92" t="inlineStr">
        <is>
          <t>손익</t>
        </is>
      </c>
      <c r="F173" s="92" t="n">
        <v>1</v>
      </c>
      <c r="G173" s="93" t="n">
        <v>12176321000</v>
      </c>
      <c r="H173" s="93" t="n">
        <v>37541019000</v>
      </c>
      <c r="J173" s="9">
        <f>IF($A173="","",VALUE($A173&amp;"")*12+VALUE($B173&amp;""))</f>
        <v/>
      </c>
      <c r="K173" s="9">
        <f>IF($A173="","",IFERROR(INDEX(입력옵션!$C$22:$C$53,MATCH($C173&amp;"",입력옵션!$E$22:$E$53,0)),IFERROR(INDEX(입력옵션!$C$22:$C$53,MATCH($D173&amp;"",입력옵션!$F$22:$F$53,0)),$C173&amp;"")))</f>
        <v/>
      </c>
      <c r="L173" s="97">
        <f>IF($A173="",0,$G173*설정!$C$23)</f>
        <v/>
      </c>
      <c r="M173" s="97">
        <f>IF($A173="",0,$H173*설정!$C$23)</f>
        <v/>
      </c>
    </row>
    <row r="174">
      <c r="A174" s="92" t="n">
        <v>2026</v>
      </c>
      <c r="B174" s="92" t="n">
        <v>3</v>
      </c>
      <c r="C174" s="92" t="inlineStr">
        <is>
          <t>P110</t>
        </is>
      </c>
      <c r="D174" s="92" t="inlineStr">
        <is>
          <t>보험수익</t>
        </is>
      </c>
      <c r="E174" s="92" t="inlineStr">
        <is>
          <t>수익</t>
        </is>
      </c>
      <c r="F174" s="92" t="n">
        <v>2</v>
      </c>
      <c r="G174" s="93" t="n">
        <v>64392584000</v>
      </c>
      <c r="H174" s="93" t="n">
        <v>194039008000</v>
      </c>
      <c r="J174" s="9">
        <f>IF($A174="","",VALUE($A174&amp;"")*12+VALUE($B174&amp;""))</f>
        <v/>
      </c>
      <c r="K174" s="9">
        <f>IF($A174="","",IFERROR(INDEX(입력옵션!$C$22:$C$53,MATCH($C174&amp;"",입력옵션!$E$22:$E$53,0)),IFERROR(INDEX(입력옵션!$C$22:$C$53,MATCH($D174&amp;"",입력옵션!$F$22:$F$53,0)),$C174&amp;"")))</f>
        <v/>
      </c>
      <c r="L174" s="97">
        <f>IF($A174="",0,$G174*설정!$C$23)</f>
        <v/>
      </c>
      <c r="M174" s="97">
        <f>IF($A174="",0,$H174*설정!$C$23)</f>
        <v/>
      </c>
    </row>
    <row r="175">
      <c r="A175" s="92" t="n">
        <v>2026</v>
      </c>
      <c r="B175" s="92" t="n">
        <v>3</v>
      </c>
      <c r="C175" s="92" t="inlineStr">
        <is>
          <t>P120</t>
        </is>
      </c>
      <c r="D175" s="92" t="inlineStr">
        <is>
          <t>보험서비스비용</t>
        </is>
      </c>
      <c r="E175" s="92" t="inlineStr">
        <is>
          <t>비용</t>
        </is>
      </c>
      <c r="F175" s="92" t="n">
        <v>2</v>
      </c>
      <c r="G175" s="93" t="n">
        <v>51244956000</v>
      </c>
      <c r="H175" s="93" t="n">
        <v>153332564000</v>
      </c>
      <c r="J175" s="9">
        <f>IF($A175="","",VALUE($A175&amp;"")*12+VALUE($B175&amp;""))</f>
        <v/>
      </c>
      <c r="K175" s="9">
        <f>IF($A175="","",IFERROR(INDEX(입력옵션!$C$22:$C$53,MATCH($C175&amp;"",입력옵션!$E$22:$E$53,0)),IFERROR(INDEX(입력옵션!$C$22:$C$53,MATCH($D175&amp;"",입력옵션!$F$22:$F$53,0)),$C175&amp;"")))</f>
        <v/>
      </c>
      <c r="L175" s="97">
        <f>IF($A175="",0,$G175*설정!$C$23)</f>
        <v/>
      </c>
      <c r="M175" s="97">
        <f>IF($A175="",0,$H175*설정!$C$23)</f>
        <v/>
      </c>
    </row>
    <row r="176">
      <c r="A176" s="92" t="n">
        <v>2026</v>
      </c>
      <c r="B176" s="92" t="n">
        <v>3</v>
      </c>
      <c r="C176" s="92" t="inlineStr">
        <is>
          <t>P130</t>
        </is>
      </c>
      <c r="D176" s="92" t="inlineStr">
        <is>
          <t>재보험손익</t>
        </is>
      </c>
      <c r="E176" s="92" t="inlineStr">
        <is>
          <t>손익</t>
        </is>
      </c>
      <c r="F176" s="92" t="n">
        <v>2</v>
      </c>
      <c r="G176" s="93" t="n">
        <v>-971307000</v>
      </c>
      <c r="H176" s="93" t="n">
        <v>-3165425000</v>
      </c>
      <c r="J176" s="9">
        <f>IF($A176="","",VALUE($A176&amp;"")*12+VALUE($B176&amp;""))</f>
        <v/>
      </c>
      <c r="K176" s="9">
        <f>IF($A176="","",IFERROR(INDEX(입력옵션!$C$22:$C$53,MATCH($C176&amp;"",입력옵션!$E$22:$E$53,0)),IFERROR(INDEX(입력옵션!$C$22:$C$53,MATCH($D176&amp;"",입력옵션!$F$22:$F$53,0)),$C176&amp;"")))</f>
        <v/>
      </c>
      <c r="L176" s="97">
        <f>IF($A176="",0,$G176*설정!$C$23)</f>
        <v/>
      </c>
      <c r="M176" s="97">
        <f>IF($A176="",0,$H176*설정!$C$23)</f>
        <v/>
      </c>
    </row>
    <row r="177">
      <c r="A177" s="92" t="n">
        <v>2026</v>
      </c>
      <c r="B177" s="92" t="n">
        <v>3</v>
      </c>
      <c r="C177" s="92" t="inlineStr">
        <is>
          <t>P200</t>
        </is>
      </c>
      <c r="D177" s="92" t="inlineStr">
        <is>
          <t>투자손익</t>
        </is>
      </c>
      <c r="E177" s="92" t="inlineStr">
        <is>
          <t>손익</t>
        </is>
      </c>
      <c r="F177" s="92" t="n">
        <v>1</v>
      </c>
      <c r="G177" s="93" t="n">
        <v>1514617500</v>
      </c>
      <c r="H177" s="93" t="n">
        <v>4876011400</v>
      </c>
      <c r="J177" s="9">
        <f>IF($A177="","",VALUE($A177&amp;"")*12+VALUE($B177&amp;""))</f>
        <v/>
      </c>
      <c r="K177" s="9">
        <f>IF($A177="","",IFERROR(INDEX(입력옵션!$C$22:$C$53,MATCH($C177&amp;"",입력옵션!$E$22:$E$53,0)),IFERROR(INDEX(입력옵션!$C$22:$C$53,MATCH($D177&amp;"",입력옵션!$F$22:$F$53,0)),$C177&amp;"")))</f>
        <v/>
      </c>
      <c r="L177" s="97">
        <f>IF($A177="",0,$G177*설정!$C$23)</f>
        <v/>
      </c>
      <c r="M177" s="97">
        <f>IF($A177="",0,$H177*설정!$C$23)</f>
        <v/>
      </c>
    </row>
    <row r="178">
      <c r="A178" s="92" t="n">
        <v>2026</v>
      </c>
      <c r="B178" s="92" t="n">
        <v>3</v>
      </c>
      <c r="C178" s="92" t="inlineStr">
        <is>
          <t>P210</t>
        </is>
      </c>
      <c r="D178" s="92" t="inlineStr">
        <is>
          <t>투자수익</t>
        </is>
      </c>
      <c r="E178" s="92" t="inlineStr">
        <is>
          <t>수익</t>
        </is>
      </c>
      <c r="F178" s="92" t="n">
        <v>2</v>
      </c>
      <c r="G178" s="93" t="n">
        <v>9614935000</v>
      </c>
      <c r="H178" s="93" t="n">
        <v>29006339000</v>
      </c>
      <c r="J178" s="9">
        <f>IF($A178="","",VALUE($A178&amp;"")*12+VALUE($B178&amp;""))</f>
        <v/>
      </c>
      <c r="K178" s="9">
        <f>IF($A178="","",IFERROR(INDEX(입력옵션!$C$22:$C$53,MATCH($C178&amp;"",입력옵션!$E$22:$E$53,0)),IFERROR(INDEX(입력옵션!$C$22:$C$53,MATCH($D178&amp;"",입력옵션!$F$22:$F$53,0)),$C178&amp;"")))</f>
        <v/>
      </c>
      <c r="L178" s="97">
        <f>IF($A178="",0,$G178*설정!$C$23)</f>
        <v/>
      </c>
      <c r="M178" s="97">
        <f>IF($A178="",0,$H178*설정!$C$23)</f>
        <v/>
      </c>
    </row>
    <row r="179">
      <c r="A179" s="92" t="n">
        <v>2026</v>
      </c>
      <c r="B179" s="92" t="n">
        <v>3</v>
      </c>
      <c r="C179" s="92" t="inlineStr">
        <is>
          <t>P220</t>
        </is>
      </c>
      <c r="D179" s="92" t="inlineStr">
        <is>
          <t>보험금융비용</t>
        </is>
      </c>
      <c r="E179" s="92" t="inlineStr">
        <is>
          <t>비용</t>
        </is>
      </c>
      <c r="F179" s="92" t="n">
        <v>2</v>
      </c>
      <c r="G179" s="93" t="n">
        <v>8067295000</v>
      </c>
      <c r="H179" s="93" t="n">
        <v>24031951000</v>
      </c>
      <c r="J179" s="9">
        <f>IF($A179="","",VALUE($A179&amp;"")*12+VALUE($B179&amp;""))</f>
        <v/>
      </c>
      <c r="K179" s="9">
        <f>IF($A179="","",IFERROR(INDEX(입력옵션!$C$22:$C$53,MATCH($C179&amp;"",입력옵션!$E$22:$E$53,0)),IFERROR(INDEX(입력옵션!$C$22:$C$53,MATCH($D179&amp;"",입력옵션!$F$22:$F$53,0)),$C179&amp;"")))</f>
        <v/>
      </c>
      <c r="L179" s="97">
        <f>IF($A179="",0,$G179*설정!$C$23)</f>
        <v/>
      </c>
      <c r="M179" s="97">
        <f>IF($A179="",0,$H179*설정!$C$23)</f>
        <v/>
      </c>
    </row>
    <row r="180">
      <c r="A180" s="92" t="n">
        <v>2026</v>
      </c>
      <c r="B180" s="92" t="n">
        <v>3</v>
      </c>
      <c r="C180" s="92" t="inlineStr">
        <is>
          <t>P230</t>
        </is>
      </c>
      <c r="D180" s="92" t="inlineStr">
        <is>
          <t>재산관리비</t>
        </is>
      </c>
      <c r="E180" s="92" t="inlineStr">
        <is>
          <t>비용</t>
        </is>
      </c>
      <c r="F180" s="92" t="n">
        <v>2</v>
      </c>
      <c r="G180" s="93" t="n">
        <v>33022500</v>
      </c>
      <c r="H180" s="93" t="n">
        <v>98376600</v>
      </c>
      <c r="J180" s="9">
        <f>IF($A180="","",VALUE($A180&amp;"")*12+VALUE($B180&amp;""))</f>
        <v/>
      </c>
      <c r="K180" s="9">
        <f>IF($A180="","",IFERROR(INDEX(입력옵션!$C$22:$C$53,MATCH($C180&amp;"",입력옵션!$E$22:$E$53,0)),IFERROR(INDEX(입력옵션!$C$22:$C$53,MATCH($D180&amp;"",입력옵션!$F$22:$F$53,0)),$C180&amp;"")))</f>
        <v/>
      </c>
      <c r="L180" s="97">
        <f>IF($A180="",0,$G180*설정!$C$23)</f>
        <v/>
      </c>
      <c r="M180" s="97">
        <f>IF($A180="",0,$H180*설정!$C$23)</f>
        <v/>
      </c>
    </row>
    <row r="181">
      <c r="A181" s="92" t="n">
        <v>2026</v>
      </c>
      <c r="B181" s="92" t="n">
        <v>3</v>
      </c>
      <c r="C181" s="92" t="inlineStr">
        <is>
          <t>P300</t>
        </is>
      </c>
      <c r="D181" s="92" t="inlineStr">
        <is>
          <t>기타사업비용 (사업비)</t>
        </is>
      </c>
      <c r="E181" s="92" t="inlineStr">
        <is>
          <t>비용</t>
        </is>
      </c>
      <c r="F181" s="92" t="n">
        <v>1</v>
      </c>
      <c r="G181" s="93" t="n">
        <v>391304750</v>
      </c>
      <c r="H181" s="93" t="n">
        <v>1158003830</v>
      </c>
      <c r="J181" s="9">
        <f>IF($A181="","",VALUE($A181&amp;"")*12+VALUE($B181&amp;""))</f>
        <v/>
      </c>
      <c r="K181" s="9">
        <f>IF($A181="","",IFERROR(INDEX(입력옵션!$C$22:$C$53,MATCH($C181&amp;"",입력옵션!$E$22:$E$53,0)),IFERROR(INDEX(입력옵션!$C$22:$C$53,MATCH($D181&amp;"",입력옵션!$F$22:$F$53,0)),$C181&amp;"")))</f>
        <v/>
      </c>
      <c r="L181" s="97">
        <f>IF($A181="",0,$G181*설정!$C$23)</f>
        <v/>
      </c>
      <c r="M181" s="97">
        <f>IF($A181="",0,$H181*설정!$C$23)</f>
        <v/>
      </c>
    </row>
    <row r="182">
      <c r="A182" s="92" t="n">
        <v>2026</v>
      </c>
      <c r="B182" s="92" t="n">
        <v>3</v>
      </c>
      <c r="C182" s="92" t="inlineStr">
        <is>
          <t>P400</t>
        </is>
      </c>
      <c r="D182" s="92" t="inlineStr">
        <is>
          <t>법인세차감전이익</t>
        </is>
      </c>
      <c r="E182" s="92" t="inlineStr">
        <is>
          <t>손익</t>
        </is>
      </c>
      <c r="F182" s="92" t="n">
        <v>1</v>
      </c>
      <c r="G182" s="93" t="n">
        <v>13299633750</v>
      </c>
      <c r="H182" s="93" t="n">
        <v>41259026570</v>
      </c>
      <c r="J182" s="9">
        <f>IF($A182="","",VALUE($A182&amp;"")*12+VALUE($B182&amp;""))</f>
        <v/>
      </c>
      <c r="K182" s="9">
        <f>IF($A182="","",IFERROR(INDEX(입력옵션!$C$22:$C$53,MATCH($C182&amp;"",입력옵션!$E$22:$E$53,0)),IFERROR(INDEX(입력옵션!$C$22:$C$53,MATCH($D182&amp;"",입력옵션!$F$22:$F$53,0)),$C182&amp;"")))</f>
        <v/>
      </c>
      <c r="L182" s="97">
        <f>IF($A182="",0,$G182*설정!$C$23)</f>
        <v/>
      </c>
      <c r="M182" s="97">
        <f>IF($A182="",0,$H182*설정!$C$23)</f>
        <v/>
      </c>
    </row>
    <row r="183">
      <c r="A183" s="92" t="n">
        <v>2026</v>
      </c>
      <c r="B183" s="92" t="n">
        <v>3</v>
      </c>
      <c r="C183" s="92" t="inlineStr">
        <is>
          <t>P500</t>
        </is>
      </c>
      <c r="D183" s="92" t="inlineStr">
        <is>
          <t>법인세비용</t>
        </is>
      </c>
      <c r="E183" s="92" t="inlineStr">
        <is>
          <t>비용</t>
        </is>
      </c>
      <c r="F183" s="92" t="n">
        <v>1</v>
      </c>
      <c r="G183" s="93" t="n">
        <v>2925919000</v>
      </c>
      <c r="H183" s="93" t="n">
        <v>9076986000</v>
      </c>
      <c r="J183" s="9">
        <f>IF($A183="","",VALUE($A183&amp;"")*12+VALUE($B183&amp;""))</f>
        <v/>
      </c>
      <c r="K183" s="9">
        <f>IF($A183="","",IFERROR(INDEX(입력옵션!$C$22:$C$53,MATCH($C183&amp;"",입력옵션!$E$22:$E$53,0)),IFERROR(INDEX(입력옵션!$C$22:$C$53,MATCH($D183&amp;"",입력옵션!$F$22:$F$53,0)),$C183&amp;"")))</f>
        <v/>
      </c>
      <c r="L183" s="97">
        <f>IF($A183="",0,$G183*설정!$C$23)</f>
        <v/>
      </c>
      <c r="M183" s="97">
        <f>IF($A183="",0,$H183*설정!$C$23)</f>
        <v/>
      </c>
    </row>
    <row r="184">
      <c r="A184" s="92" t="n">
        <v>2026</v>
      </c>
      <c r="B184" s="92" t="n">
        <v>3</v>
      </c>
      <c r="C184" s="92" t="inlineStr">
        <is>
          <t>P600</t>
        </is>
      </c>
      <c r="D184" s="92" t="inlineStr">
        <is>
          <t>당기순이익</t>
        </is>
      </c>
      <c r="E184" s="92" t="inlineStr">
        <is>
          <t>손익</t>
        </is>
      </c>
      <c r="F184" s="92" t="n">
        <v>1</v>
      </c>
      <c r="G184" s="93" t="n">
        <v>10373714750</v>
      </c>
      <c r="H184" s="93" t="n">
        <v>32182040570</v>
      </c>
      <c r="J184" s="9">
        <f>IF($A184="","",VALUE($A184&amp;"")*12+VALUE($B184&amp;""))</f>
        <v/>
      </c>
      <c r="K184" s="9">
        <f>IF($A184="","",IFERROR(INDEX(입력옵션!$C$22:$C$53,MATCH($C184&amp;"",입력옵션!$E$22:$E$53,0)),IFERROR(INDEX(입력옵션!$C$22:$C$53,MATCH($D184&amp;"",입력옵션!$F$22:$F$53,0)),$C184&amp;"")))</f>
        <v/>
      </c>
      <c r="L184" s="97">
        <f>IF($A184="",0,$G184*설정!$C$23)</f>
        <v/>
      </c>
      <c r="M184" s="97">
        <f>IF($A184="",0,$H184*설정!$C$23)</f>
        <v/>
      </c>
    </row>
    <row r="185">
      <c r="A185" s="92" t="n">
        <v>2026</v>
      </c>
      <c r="B185" s="92" t="n">
        <v>4</v>
      </c>
      <c r="C185" s="92" t="inlineStr">
        <is>
          <t>P100</t>
        </is>
      </c>
      <c r="D185" s="92" t="inlineStr">
        <is>
          <t>보험손익</t>
        </is>
      </c>
      <c r="E185" s="92" t="inlineStr">
        <is>
          <t>손익</t>
        </is>
      </c>
      <c r="F185" s="92" t="n">
        <v>1</v>
      </c>
      <c r="G185" s="93" t="n">
        <v>11118854000</v>
      </c>
      <c r="H185" s="93" t="n">
        <v>48659873000</v>
      </c>
      <c r="J185" s="9">
        <f>IF($A185="","",VALUE($A185&amp;"")*12+VALUE($B185&amp;""))</f>
        <v/>
      </c>
      <c r="K185" s="9">
        <f>IF($A185="","",IFERROR(INDEX(입력옵션!$C$22:$C$53,MATCH($C185&amp;"",입력옵션!$E$22:$E$53,0)),IFERROR(INDEX(입력옵션!$C$22:$C$53,MATCH($D185&amp;"",입력옵션!$F$22:$F$53,0)),$C185&amp;"")))</f>
        <v/>
      </c>
      <c r="L185" s="97">
        <f>IF($A185="",0,$G185*설정!$C$23)</f>
        <v/>
      </c>
      <c r="M185" s="97">
        <f>IF($A185="",0,$H185*설정!$C$23)</f>
        <v/>
      </c>
    </row>
    <row r="186">
      <c r="A186" s="92" t="n">
        <v>2026</v>
      </c>
      <c r="B186" s="92" t="n">
        <v>4</v>
      </c>
      <c r="C186" s="92" t="inlineStr">
        <is>
          <t>P110</t>
        </is>
      </c>
      <c r="D186" s="92" t="inlineStr">
        <is>
          <t>보험수익</t>
        </is>
      </c>
      <c r="E186" s="92" t="inlineStr">
        <is>
          <t>수익</t>
        </is>
      </c>
      <c r="F186" s="92" t="n">
        <v>2</v>
      </c>
      <c r="G186" s="93" t="n">
        <v>63068323000</v>
      </c>
      <c r="H186" s="93" t="n">
        <v>257107331000</v>
      </c>
      <c r="J186" s="9">
        <f>IF($A186="","",VALUE($A186&amp;"")*12+VALUE($B186&amp;""))</f>
        <v/>
      </c>
      <c r="K186" s="9">
        <f>IF($A186="","",IFERROR(INDEX(입력옵션!$C$22:$C$53,MATCH($C186&amp;"",입력옵션!$E$22:$E$53,0)),IFERROR(INDEX(입력옵션!$C$22:$C$53,MATCH($D186&amp;"",입력옵션!$F$22:$F$53,0)),$C186&amp;"")))</f>
        <v/>
      </c>
      <c r="L186" s="97">
        <f>IF($A186="",0,$G186*설정!$C$23)</f>
        <v/>
      </c>
      <c r="M186" s="97">
        <f>IF($A186="",0,$H186*설정!$C$23)</f>
        <v/>
      </c>
    </row>
    <row r="187">
      <c r="A187" s="92" t="n">
        <v>2026</v>
      </c>
      <c r="B187" s="92" t="n">
        <v>4</v>
      </c>
      <c r="C187" s="92" t="inlineStr">
        <is>
          <t>P120</t>
        </is>
      </c>
      <c r="D187" s="92" t="inlineStr">
        <is>
          <t>보험서비스비용</t>
        </is>
      </c>
      <c r="E187" s="92" t="inlineStr">
        <is>
          <t>비용</t>
        </is>
      </c>
      <c r="F187" s="92" t="n">
        <v>2</v>
      </c>
      <c r="G187" s="93" t="n">
        <v>50805684000</v>
      </c>
      <c r="H187" s="93" t="n">
        <v>204138248000</v>
      </c>
      <c r="J187" s="9">
        <f>IF($A187="","",VALUE($A187&amp;"")*12+VALUE($B187&amp;""))</f>
        <v/>
      </c>
      <c r="K187" s="9">
        <f>IF($A187="","",IFERROR(INDEX(입력옵션!$C$22:$C$53,MATCH($C187&amp;"",입력옵션!$E$22:$E$53,0)),IFERROR(INDEX(입력옵션!$C$22:$C$53,MATCH($D187&amp;"",입력옵션!$F$22:$F$53,0)),$C187&amp;"")))</f>
        <v/>
      </c>
      <c r="L187" s="97">
        <f>IF($A187="",0,$G187*설정!$C$23)</f>
        <v/>
      </c>
      <c r="M187" s="97">
        <f>IF($A187="",0,$H187*설정!$C$23)</f>
        <v/>
      </c>
    </row>
    <row r="188">
      <c r="A188" s="92" t="n">
        <v>2026</v>
      </c>
      <c r="B188" s="92" t="n">
        <v>4</v>
      </c>
      <c r="C188" s="92" t="inlineStr">
        <is>
          <t>P130</t>
        </is>
      </c>
      <c r="D188" s="92" t="inlineStr">
        <is>
          <t>재보험손익</t>
        </is>
      </c>
      <c r="E188" s="92" t="inlineStr">
        <is>
          <t>손익</t>
        </is>
      </c>
      <c r="F188" s="92" t="n">
        <v>2</v>
      </c>
      <c r="G188" s="93" t="n">
        <v>-1143785000</v>
      </c>
      <c r="H188" s="93" t="n">
        <v>-4309210000</v>
      </c>
      <c r="J188" s="9">
        <f>IF($A188="","",VALUE($A188&amp;"")*12+VALUE($B188&amp;""))</f>
        <v/>
      </c>
      <c r="K188" s="9">
        <f>IF($A188="","",IFERROR(INDEX(입력옵션!$C$22:$C$53,MATCH($C188&amp;"",입력옵션!$E$22:$E$53,0)),IFERROR(INDEX(입력옵션!$C$22:$C$53,MATCH($D188&amp;"",입력옵션!$F$22:$F$53,0)),$C188&amp;"")))</f>
        <v/>
      </c>
      <c r="L188" s="97">
        <f>IF($A188="",0,$G188*설정!$C$23)</f>
        <v/>
      </c>
      <c r="M188" s="97">
        <f>IF($A188="",0,$H188*설정!$C$23)</f>
        <v/>
      </c>
    </row>
    <row r="189">
      <c r="A189" s="92" t="n">
        <v>2026</v>
      </c>
      <c r="B189" s="92" t="n">
        <v>4</v>
      </c>
      <c r="C189" s="92" t="inlineStr">
        <is>
          <t>P200</t>
        </is>
      </c>
      <c r="D189" s="92" t="inlineStr">
        <is>
          <t>투자손익</t>
        </is>
      </c>
      <c r="E189" s="92" t="inlineStr">
        <is>
          <t>손익</t>
        </is>
      </c>
      <c r="F189" s="92" t="n">
        <v>1</v>
      </c>
      <c r="G189" s="93" t="n">
        <v>2170340700</v>
      </c>
      <c r="H189" s="93" t="n">
        <v>7046352100</v>
      </c>
      <c r="J189" s="9">
        <f>IF($A189="","",VALUE($A189&amp;"")*12+VALUE($B189&amp;""))</f>
        <v/>
      </c>
      <c r="K189" s="9">
        <f>IF($A189="","",IFERROR(INDEX(입력옵션!$C$22:$C$53,MATCH($C189&amp;"",입력옵션!$E$22:$E$53,0)),IFERROR(INDEX(입력옵션!$C$22:$C$53,MATCH($D189&amp;"",입력옵션!$F$22:$F$53,0)),$C189&amp;"")))</f>
        <v/>
      </c>
      <c r="L189" s="97">
        <f>IF($A189="",0,$G189*설정!$C$23)</f>
        <v/>
      </c>
      <c r="M189" s="97">
        <f>IF($A189="",0,$H189*설정!$C$23)</f>
        <v/>
      </c>
    </row>
    <row r="190">
      <c r="A190" s="92" t="n">
        <v>2026</v>
      </c>
      <c r="B190" s="92" t="n">
        <v>4</v>
      </c>
      <c r="C190" s="92" t="inlineStr">
        <is>
          <t>P210</t>
        </is>
      </c>
      <c r="D190" s="92" t="inlineStr">
        <is>
          <t>투자수익</t>
        </is>
      </c>
      <c r="E190" s="92" t="inlineStr">
        <is>
          <t>수익</t>
        </is>
      </c>
      <c r="F190" s="92" t="n">
        <v>2</v>
      </c>
      <c r="G190" s="93" t="n">
        <v>10221589000</v>
      </c>
      <c r="H190" s="93" t="n">
        <v>39227928000</v>
      </c>
      <c r="J190" s="9">
        <f>IF($A190="","",VALUE($A190&amp;"")*12+VALUE($B190&amp;""))</f>
        <v/>
      </c>
      <c r="K190" s="9">
        <f>IF($A190="","",IFERROR(INDEX(입력옵션!$C$22:$C$53,MATCH($C190&amp;"",입력옵션!$E$22:$E$53,0)),IFERROR(INDEX(입력옵션!$C$22:$C$53,MATCH($D190&amp;"",입력옵션!$F$22:$F$53,0)),$C190&amp;"")))</f>
        <v/>
      </c>
      <c r="L190" s="97">
        <f>IF($A190="",0,$G190*설정!$C$23)</f>
        <v/>
      </c>
      <c r="M190" s="97">
        <f>IF($A190="",0,$H190*설정!$C$23)</f>
        <v/>
      </c>
    </row>
    <row r="191">
      <c r="A191" s="92" t="n">
        <v>2026</v>
      </c>
      <c r="B191" s="92" t="n">
        <v>4</v>
      </c>
      <c r="C191" s="92" t="inlineStr">
        <is>
          <t>P220</t>
        </is>
      </c>
      <c r="D191" s="92" t="inlineStr">
        <is>
          <t>보험금융비용</t>
        </is>
      </c>
      <c r="E191" s="92" t="inlineStr">
        <is>
          <t>비용</t>
        </is>
      </c>
      <c r="F191" s="92" t="n">
        <v>2</v>
      </c>
      <c r="G191" s="93" t="n">
        <v>8018426000</v>
      </c>
      <c r="H191" s="93" t="n">
        <v>32050377000</v>
      </c>
      <c r="J191" s="9">
        <f>IF($A191="","",VALUE($A191&amp;"")*12+VALUE($B191&amp;""))</f>
        <v/>
      </c>
      <c r="K191" s="9">
        <f>IF($A191="","",IFERROR(INDEX(입력옵션!$C$22:$C$53,MATCH($C191&amp;"",입력옵션!$E$22:$E$53,0)),IFERROR(INDEX(입력옵션!$C$22:$C$53,MATCH($D191&amp;"",입력옵션!$F$22:$F$53,0)),$C191&amp;"")))</f>
        <v/>
      </c>
      <c r="L191" s="97">
        <f>IF($A191="",0,$G191*설정!$C$23)</f>
        <v/>
      </c>
      <c r="M191" s="97">
        <f>IF($A191="",0,$H191*설정!$C$23)</f>
        <v/>
      </c>
    </row>
    <row r="192">
      <c r="A192" s="92" t="n">
        <v>2026</v>
      </c>
      <c r="B192" s="92" t="n">
        <v>4</v>
      </c>
      <c r="C192" s="92" t="inlineStr">
        <is>
          <t>P230</t>
        </is>
      </c>
      <c r="D192" s="92" t="inlineStr">
        <is>
          <t>재산관리비</t>
        </is>
      </c>
      <c r="E192" s="92" t="inlineStr">
        <is>
          <t>비용</t>
        </is>
      </c>
      <c r="F192" s="92" t="n">
        <v>2</v>
      </c>
      <c r="G192" s="93" t="n">
        <v>32822300</v>
      </c>
      <c r="H192" s="93" t="n">
        <v>131198900</v>
      </c>
      <c r="J192" s="9">
        <f>IF($A192="","",VALUE($A192&amp;"")*12+VALUE($B192&amp;""))</f>
        <v/>
      </c>
      <c r="K192" s="9">
        <f>IF($A192="","",IFERROR(INDEX(입력옵션!$C$22:$C$53,MATCH($C192&amp;"",입력옵션!$E$22:$E$53,0)),IFERROR(INDEX(입력옵션!$C$22:$C$53,MATCH($D192&amp;"",입력옵션!$F$22:$F$53,0)),$C192&amp;"")))</f>
        <v/>
      </c>
      <c r="L192" s="97">
        <f>IF($A192="",0,$G192*설정!$C$23)</f>
        <v/>
      </c>
      <c r="M192" s="97">
        <f>IF($A192="",0,$H192*설정!$C$23)</f>
        <v/>
      </c>
    </row>
    <row r="193">
      <c r="A193" s="92" t="n">
        <v>2026</v>
      </c>
      <c r="B193" s="92" t="n">
        <v>4</v>
      </c>
      <c r="C193" s="92" t="inlineStr">
        <is>
          <t>P300</t>
        </is>
      </c>
      <c r="D193" s="92" t="inlineStr">
        <is>
          <t>기타사업비용 (사업비)</t>
        </is>
      </c>
      <c r="E193" s="92" t="inlineStr">
        <is>
          <t>비용</t>
        </is>
      </c>
      <c r="F193" s="92" t="n">
        <v>1</v>
      </c>
      <c r="G193" s="93" t="n">
        <v>332049840</v>
      </c>
      <c r="H193" s="93" t="n">
        <v>1490053670</v>
      </c>
      <c r="J193" s="9">
        <f>IF($A193="","",VALUE($A193&amp;"")*12+VALUE($B193&amp;""))</f>
        <v/>
      </c>
      <c r="K193" s="9">
        <f>IF($A193="","",IFERROR(INDEX(입력옵션!$C$22:$C$53,MATCH($C193&amp;"",입력옵션!$E$22:$E$53,0)),IFERROR(INDEX(입력옵션!$C$22:$C$53,MATCH($D193&amp;"",입력옵션!$F$22:$F$53,0)),$C193&amp;"")))</f>
        <v/>
      </c>
      <c r="L193" s="97">
        <f>IF($A193="",0,$G193*설정!$C$23)</f>
        <v/>
      </c>
      <c r="M193" s="97">
        <f>IF($A193="",0,$H193*설정!$C$23)</f>
        <v/>
      </c>
    </row>
    <row r="194">
      <c r="A194" s="92" t="n">
        <v>2026</v>
      </c>
      <c r="B194" s="92" t="n">
        <v>4</v>
      </c>
      <c r="C194" s="92" t="inlineStr">
        <is>
          <t>P400</t>
        </is>
      </c>
      <c r="D194" s="92" t="inlineStr">
        <is>
          <t>법인세차감전이익</t>
        </is>
      </c>
      <c r="E194" s="92" t="inlineStr">
        <is>
          <t>손익</t>
        </is>
      </c>
      <c r="F194" s="92" t="n">
        <v>1</v>
      </c>
      <c r="G194" s="93" t="n">
        <v>12957144860</v>
      </c>
      <c r="H194" s="93" t="n">
        <v>54216171430</v>
      </c>
      <c r="J194" s="9">
        <f>IF($A194="","",VALUE($A194&amp;"")*12+VALUE($B194&amp;""))</f>
        <v/>
      </c>
      <c r="K194" s="9">
        <f>IF($A194="","",IFERROR(INDEX(입력옵션!$C$22:$C$53,MATCH($C194&amp;"",입력옵션!$E$22:$E$53,0)),IFERROR(INDEX(입력옵션!$C$22:$C$53,MATCH($D194&amp;"",입력옵션!$F$22:$F$53,0)),$C194&amp;"")))</f>
        <v/>
      </c>
      <c r="L194" s="97">
        <f>IF($A194="",0,$G194*설정!$C$23)</f>
        <v/>
      </c>
      <c r="M194" s="97">
        <f>IF($A194="",0,$H194*설정!$C$23)</f>
        <v/>
      </c>
    </row>
    <row r="195">
      <c r="A195" s="92" t="n">
        <v>2026</v>
      </c>
      <c r="B195" s="92" t="n">
        <v>4</v>
      </c>
      <c r="C195" s="92" t="inlineStr">
        <is>
          <t>P500</t>
        </is>
      </c>
      <c r="D195" s="92" t="inlineStr">
        <is>
          <t>법인세비용</t>
        </is>
      </c>
      <c r="E195" s="92" t="inlineStr">
        <is>
          <t>비용</t>
        </is>
      </c>
      <c r="F195" s="92" t="n">
        <v>1</v>
      </c>
      <c r="G195" s="93" t="n">
        <v>2850572000</v>
      </c>
      <c r="H195" s="93" t="n">
        <v>11927558000</v>
      </c>
      <c r="J195" s="9">
        <f>IF($A195="","",VALUE($A195&amp;"")*12+VALUE($B195&amp;""))</f>
        <v/>
      </c>
      <c r="K195" s="9">
        <f>IF($A195="","",IFERROR(INDEX(입력옵션!$C$22:$C$53,MATCH($C195&amp;"",입력옵션!$E$22:$E$53,0)),IFERROR(INDEX(입력옵션!$C$22:$C$53,MATCH($D195&amp;"",입력옵션!$F$22:$F$53,0)),$C195&amp;"")))</f>
        <v/>
      </c>
      <c r="L195" s="97">
        <f>IF($A195="",0,$G195*설정!$C$23)</f>
        <v/>
      </c>
      <c r="M195" s="97">
        <f>IF($A195="",0,$H195*설정!$C$23)</f>
        <v/>
      </c>
    </row>
    <row r="196">
      <c r="A196" s="92" t="n">
        <v>2026</v>
      </c>
      <c r="B196" s="92" t="n">
        <v>4</v>
      </c>
      <c r="C196" s="92" t="inlineStr">
        <is>
          <t>P600</t>
        </is>
      </c>
      <c r="D196" s="92" t="inlineStr">
        <is>
          <t>당기순이익</t>
        </is>
      </c>
      <c r="E196" s="92" t="inlineStr">
        <is>
          <t>손익</t>
        </is>
      </c>
      <c r="F196" s="92" t="n">
        <v>1</v>
      </c>
      <c r="G196" s="93" t="n">
        <v>10106572860</v>
      </c>
      <c r="H196" s="93" t="n">
        <v>42288613430</v>
      </c>
      <c r="J196" s="9">
        <f>IF($A196="","",VALUE($A196&amp;"")*12+VALUE($B196&amp;""))</f>
        <v/>
      </c>
      <c r="K196" s="9">
        <f>IF($A196="","",IFERROR(INDEX(입력옵션!$C$22:$C$53,MATCH($C196&amp;"",입력옵션!$E$22:$E$53,0)),IFERROR(INDEX(입력옵션!$C$22:$C$53,MATCH($D196&amp;"",입력옵션!$F$22:$F$53,0)),$C196&amp;"")))</f>
        <v/>
      </c>
      <c r="L196" s="97">
        <f>IF($A196="",0,$G196*설정!$C$23)</f>
        <v/>
      </c>
      <c r="M196" s="97">
        <f>IF($A196="",0,$H196*설정!$C$23)</f>
        <v/>
      </c>
    </row>
    <row r="197">
      <c r="A197" s="92" t="n">
        <v>2026</v>
      </c>
      <c r="B197" s="92" t="n">
        <v>5</v>
      </c>
      <c r="C197" s="92" t="inlineStr">
        <is>
          <t>P100</t>
        </is>
      </c>
      <c r="D197" s="92" t="inlineStr">
        <is>
          <t>보험손익</t>
        </is>
      </c>
      <c r="E197" s="92" t="inlineStr">
        <is>
          <t>손익</t>
        </is>
      </c>
      <c r="F197" s="92" t="n">
        <v>1</v>
      </c>
      <c r="G197" s="93" t="n">
        <v>8895159000</v>
      </c>
      <c r="H197" s="93" t="n">
        <v>57555032000</v>
      </c>
      <c r="J197" s="9">
        <f>IF($A197="","",VALUE($A197&amp;"")*12+VALUE($B197&amp;""))</f>
        <v/>
      </c>
      <c r="K197" s="9">
        <f>IF($A197="","",IFERROR(INDEX(입력옵션!$C$22:$C$53,MATCH($C197&amp;"",입력옵션!$E$22:$E$53,0)),IFERROR(INDEX(입력옵션!$C$22:$C$53,MATCH($D197&amp;"",입력옵션!$F$22:$F$53,0)),$C197&amp;"")))</f>
        <v/>
      </c>
      <c r="L197" s="97">
        <f>IF($A197="",0,$G197*설정!$C$23)</f>
        <v/>
      </c>
      <c r="M197" s="97">
        <f>IF($A197="",0,$H197*설정!$C$23)</f>
        <v/>
      </c>
    </row>
    <row r="198">
      <c r="A198" s="92" t="n">
        <v>2026</v>
      </c>
      <c r="B198" s="92" t="n">
        <v>5</v>
      </c>
      <c r="C198" s="92" t="inlineStr">
        <is>
          <t>P110</t>
        </is>
      </c>
      <c r="D198" s="92" t="inlineStr">
        <is>
          <t>보험수익</t>
        </is>
      </c>
      <c r="E198" s="92" t="inlineStr">
        <is>
          <t>수익</t>
        </is>
      </c>
      <c r="F198" s="92" t="n">
        <v>2</v>
      </c>
      <c r="G198" s="93" t="n">
        <v>63594253000</v>
      </c>
      <c r="H198" s="93" t="n">
        <v>320701584000</v>
      </c>
      <c r="J198" s="9">
        <f>IF($A198="","",VALUE($A198&amp;"")*12+VALUE($B198&amp;""))</f>
        <v/>
      </c>
      <c r="K198" s="9">
        <f>IF($A198="","",IFERROR(INDEX(입력옵션!$C$22:$C$53,MATCH($C198&amp;"",입력옵션!$E$22:$E$53,0)),IFERROR(INDEX(입력옵션!$C$22:$C$53,MATCH($D198&amp;"",입력옵션!$F$22:$F$53,0)),$C198&amp;"")))</f>
        <v/>
      </c>
      <c r="L198" s="97">
        <f>IF($A198="",0,$G198*설정!$C$23)</f>
        <v/>
      </c>
      <c r="M198" s="97">
        <f>IF($A198="",0,$H198*설정!$C$23)</f>
        <v/>
      </c>
    </row>
    <row r="199">
      <c r="A199" s="92" t="n">
        <v>2026</v>
      </c>
      <c r="B199" s="92" t="n">
        <v>5</v>
      </c>
      <c r="C199" s="92" t="inlineStr">
        <is>
          <t>P120</t>
        </is>
      </c>
      <c r="D199" s="92" t="inlineStr">
        <is>
          <t>보험서비스비용</t>
        </is>
      </c>
      <c r="E199" s="92" t="inlineStr">
        <is>
          <t>비용</t>
        </is>
      </c>
      <c r="F199" s="92" t="n">
        <v>2</v>
      </c>
      <c r="G199" s="93" t="n">
        <v>53522908000</v>
      </c>
      <c r="H199" s="93" t="n">
        <v>257661156000</v>
      </c>
      <c r="J199" s="9">
        <f>IF($A199="","",VALUE($A199&amp;"")*12+VALUE($B199&amp;""))</f>
        <v/>
      </c>
      <c r="K199" s="9">
        <f>IF($A199="","",IFERROR(INDEX(입력옵션!$C$22:$C$53,MATCH($C199&amp;"",입력옵션!$E$22:$E$53,0)),IFERROR(INDEX(입력옵션!$C$22:$C$53,MATCH($D199&amp;"",입력옵션!$F$22:$F$53,0)),$C199&amp;"")))</f>
        <v/>
      </c>
      <c r="L199" s="97">
        <f>IF($A199="",0,$G199*설정!$C$23)</f>
        <v/>
      </c>
      <c r="M199" s="97">
        <f>IF($A199="",0,$H199*설정!$C$23)</f>
        <v/>
      </c>
    </row>
    <row r="200">
      <c r="A200" s="92" t="n">
        <v>2026</v>
      </c>
      <c r="B200" s="92" t="n">
        <v>5</v>
      </c>
      <c r="C200" s="92" t="inlineStr">
        <is>
          <t>P130</t>
        </is>
      </c>
      <c r="D200" s="92" t="inlineStr">
        <is>
          <t>재보험손익</t>
        </is>
      </c>
      <c r="E200" s="92" t="inlineStr">
        <is>
          <t>손익</t>
        </is>
      </c>
      <c r="F200" s="92" t="n">
        <v>2</v>
      </c>
      <c r="G200" s="93" t="n">
        <v>-1176186000</v>
      </c>
      <c r="H200" s="93" t="n">
        <v>-5485396000</v>
      </c>
      <c r="J200" s="9">
        <f>IF($A200="","",VALUE($A200&amp;"")*12+VALUE($B200&amp;""))</f>
        <v/>
      </c>
      <c r="K200" s="9">
        <f>IF($A200="","",IFERROR(INDEX(입력옵션!$C$22:$C$53,MATCH($C200&amp;"",입력옵션!$E$22:$E$53,0)),IFERROR(INDEX(입력옵션!$C$22:$C$53,MATCH($D200&amp;"",입력옵션!$F$22:$F$53,0)),$C200&amp;"")))</f>
        <v/>
      </c>
      <c r="L200" s="97">
        <f>IF($A200="",0,$G200*설정!$C$23)</f>
        <v/>
      </c>
      <c r="M200" s="97">
        <f>IF($A200="",0,$H200*설정!$C$23)</f>
        <v/>
      </c>
    </row>
    <row r="201">
      <c r="A201" s="92" t="n">
        <v>2026</v>
      </c>
      <c r="B201" s="92" t="n">
        <v>5</v>
      </c>
      <c r="C201" s="92" t="inlineStr">
        <is>
          <t>P200</t>
        </is>
      </c>
      <c r="D201" s="92" t="inlineStr">
        <is>
          <t>투자손익</t>
        </is>
      </c>
      <c r="E201" s="92" t="inlineStr">
        <is>
          <t>손익</t>
        </is>
      </c>
      <c r="F201" s="92" t="n">
        <v>1</v>
      </c>
      <c r="G201" s="93" t="n">
        <v>1607179900</v>
      </c>
      <c r="H201" s="93" t="n">
        <v>8653532000</v>
      </c>
      <c r="J201" s="9">
        <f>IF($A201="","",VALUE($A201&amp;"")*12+VALUE($B201&amp;""))</f>
        <v/>
      </c>
      <c r="K201" s="9">
        <f>IF($A201="","",IFERROR(INDEX(입력옵션!$C$22:$C$53,MATCH($C201&amp;"",입력옵션!$E$22:$E$53,0)),IFERROR(INDEX(입력옵션!$C$22:$C$53,MATCH($D201&amp;"",입력옵션!$F$22:$F$53,0)),$C201&amp;"")))</f>
        <v/>
      </c>
      <c r="L201" s="97">
        <f>IF($A201="",0,$G201*설정!$C$23)</f>
        <v/>
      </c>
      <c r="M201" s="97">
        <f>IF($A201="",0,$H201*설정!$C$23)</f>
        <v/>
      </c>
    </row>
    <row r="202">
      <c r="A202" s="92" t="n">
        <v>2026</v>
      </c>
      <c r="B202" s="92" t="n">
        <v>5</v>
      </c>
      <c r="C202" s="92" t="inlineStr">
        <is>
          <t>P210</t>
        </is>
      </c>
      <c r="D202" s="92" t="inlineStr">
        <is>
          <t>투자수익</t>
        </is>
      </c>
      <c r="E202" s="92" t="inlineStr">
        <is>
          <t>수익</t>
        </is>
      </c>
      <c r="F202" s="92" t="n">
        <v>2</v>
      </c>
      <c r="G202" s="93" t="n">
        <v>9683379000</v>
      </c>
      <c r="H202" s="93" t="n">
        <v>48911307000</v>
      </c>
      <c r="J202" s="9">
        <f>IF($A202="","",VALUE($A202&amp;"")*12+VALUE($B202&amp;""))</f>
        <v/>
      </c>
      <c r="K202" s="9">
        <f>IF($A202="","",IFERROR(INDEX(입력옵션!$C$22:$C$53,MATCH($C202&amp;"",입력옵션!$E$22:$E$53,0)),IFERROR(INDEX(입력옵션!$C$22:$C$53,MATCH($D202&amp;"",입력옵션!$F$22:$F$53,0)),$C202&amp;"")))</f>
        <v/>
      </c>
      <c r="L202" s="97">
        <f>IF($A202="",0,$G202*설정!$C$23)</f>
        <v/>
      </c>
      <c r="M202" s="97">
        <f>IF($A202="",0,$H202*설정!$C$23)</f>
        <v/>
      </c>
    </row>
    <row r="203">
      <c r="A203" s="92" t="n">
        <v>2026</v>
      </c>
      <c r="B203" s="92" t="n">
        <v>5</v>
      </c>
      <c r="C203" s="92" t="inlineStr">
        <is>
          <t>P220</t>
        </is>
      </c>
      <c r="D203" s="92" t="inlineStr">
        <is>
          <t>보험금융비용</t>
        </is>
      </c>
      <c r="E203" s="92" t="inlineStr">
        <is>
          <t>비용</t>
        </is>
      </c>
      <c r="F203" s="92" t="n">
        <v>2</v>
      </c>
      <c r="G203" s="93" t="n">
        <v>8044515000</v>
      </c>
      <c r="H203" s="93" t="n">
        <v>40094892000</v>
      </c>
      <c r="J203" s="9">
        <f>IF($A203="","",VALUE($A203&amp;"")*12+VALUE($B203&amp;""))</f>
        <v/>
      </c>
      <c r="K203" s="9">
        <f>IF($A203="","",IFERROR(INDEX(입력옵션!$C$22:$C$53,MATCH($C203&amp;"",입력옵션!$E$22:$E$53,0)),IFERROR(INDEX(입력옵션!$C$22:$C$53,MATCH($D203&amp;"",입력옵션!$F$22:$F$53,0)),$C203&amp;"")))</f>
        <v/>
      </c>
      <c r="L203" s="97">
        <f>IF($A203="",0,$G203*설정!$C$23)</f>
        <v/>
      </c>
      <c r="M203" s="97">
        <f>IF($A203="",0,$H203*설정!$C$23)</f>
        <v/>
      </c>
    </row>
    <row r="204">
      <c r="A204" s="92" t="n">
        <v>2026</v>
      </c>
      <c r="B204" s="92" t="n">
        <v>5</v>
      </c>
      <c r="C204" s="92" t="inlineStr">
        <is>
          <t>P230</t>
        </is>
      </c>
      <c r="D204" s="92" t="inlineStr">
        <is>
          <t>재산관리비</t>
        </is>
      </c>
      <c r="E204" s="92" t="inlineStr">
        <is>
          <t>비용</t>
        </is>
      </c>
      <c r="F204" s="92" t="n">
        <v>2</v>
      </c>
      <c r="G204" s="93" t="n">
        <v>31684100</v>
      </c>
      <c r="H204" s="93" t="n">
        <v>162883000</v>
      </c>
      <c r="J204" s="9">
        <f>IF($A204="","",VALUE($A204&amp;"")*12+VALUE($B204&amp;""))</f>
        <v/>
      </c>
      <c r="K204" s="9">
        <f>IF($A204="","",IFERROR(INDEX(입력옵션!$C$22:$C$53,MATCH($C204&amp;"",입력옵션!$E$22:$E$53,0)),IFERROR(INDEX(입력옵션!$C$22:$C$53,MATCH($D204&amp;"",입력옵션!$F$22:$F$53,0)),$C204&amp;"")))</f>
        <v/>
      </c>
      <c r="L204" s="97">
        <f>IF($A204="",0,$G204*설정!$C$23)</f>
        <v/>
      </c>
      <c r="M204" s="97">
        <f>IF($A204="",0,$H204*설정!$C$23)</f>
        <v/>
      </c>
    </row>
    <row r="205">
      <c r="A205" s="92" t="n">
        <v>2026</v>
      </c>
      <c r="B205" s="92" t="n">
        <v>5</v>
      </c>
      <c r="C205" s="92" t="inlineStr">
        <is>
          <t>P300</t>
        </is>
      </c>
      <c r="D205" s="92" t="inlineStr">
        <is>
          <t>기타사업비용 (사업비)</t>
        </is>
      </c>
      <c r="E205" s="92" t="inlineStr">
        <is>
          <t>비용</t>
        </is>
      </c>
      <c r="F205" s="92" t="n">
        <v>1</v>
      </c>
      <c r="G205" s="93" t="n">
        <v>324614680</v>
      </c>
      <c r="H205" s="93" t="n">
        <v>1814668350</v>
      </c>
      <c r="J205" s="9">
        <f>IF($A205="","",VALUE($A205&amp;"")*12+VALUE($B205&amp;""))</f>
        <v/>
      </c>
      <c r="K205" s="9">
        <f>IF($A205="","",IFERROR(INDEX(입력옵션!$C$22:$C$53,MATCH($C205&amp;"",입력옵션!$E$22:$E$53,0)),IFERROR(INDEX(입력옵션!$C$22:$C$53,MATCH($D205&amp;"",입력옵션!$F$22:$F$53,0)),$C205&amp;"")))</f>
        <v/>
      </c>
      <c r="L205" s="97">
        <f>IF($A205="",0,$G205*설정!$C$23)</f>
        <v/>
      </c>
      <c r="M205" s="97">
        <f>IF($A205="",0,$H205*설정!$C$23)</f>
        <v/>
      </c>
    </row>
    <row r="206">
      <c r="A206" s="92" t="n">
        <v>2026</v>
      </c>
      <c r="B206" s="92" t="n">
        <v>5</v>
      </c>
      <c r="C206" s="92" t="inlineStr">
        <is>
          <t>P400</t>
        </is>
      </c>
      <c r="D206" s="92" t="inlineStr">
        <is>
          <t>법인세차감전이익</t>
        </is>
      </c>
      <c r="E206" s="92" t="inlineStr">
        <is>
          <t>손익</t>
        </is>
      </c>
      <c r="F206" s="92" t="n">
        <v>1</v>
      </c>
      <c r="G206" s="93" t="n">
        <v>10177724220</v>
      </c>
      <c r="H206" s="93" t="n">
        <v>64393895650</v>
      </c>
      <c r="J206" s="9">
        <f>IF($A206="","",VALUE($A206&amp;"")*12+VALUE($B206&amp;""))</f>
        <v/>
      </c>
      <c r="K206" s="9">
        <f>IF($A206="","",IFERROR(INDEX(입력옵션!$C$22:$C$53,MATCH($C206&amp;"",입력옵션!$E$22:$E$53,0)),IFERROR(INDEX(입력옵션!$C$22:$C$53,MATCH($D206&amp;"",입력옵션!$F$22:$F$53,0)),$C206&amp;"")))</f>
        <v/>
      </c>
      <c r="L206" s="97">
        <f>IF($A206="",0,$G206*설정!$C$23)</f>
        <v/>
      </c>
      <c r="M206" s="97">
        <f>IF($A206="",0,$H206*설정!$C$23)</f>
        <v/>
      </c>
    </row>
    <row r="207">
      <c r="A207" s="92" t="n">
        <v>2026</v>
      </c>
      <c r="B207" s="92" t="n">
        <v>5</v>
      </c>
      <c r="C207" s="92" t="inlineStr">
        <is>
          <t>P500</t>
        </is>
      </c>
      <c r="D207" s="92" t="inlineStr">
        <is>
          <t>법인세비용</t>
        </is>
      </c>
      <c r="E207" s="92" t="inlineStr">
        <is>
          <t>비용</t>
        </is>
      </c>
      <c r="F207" s="92" t="n">
        <v>1</v>
      </c>
      <c r="G207" s="93" t="n">
        <v>2239099000</v>
      </c>
      <c r="H207" s="93" t="n">
        <v>14166657000</v>
      </c>
      <c r="J207" s="9">
        <f>IF($A207="","",VALUE($A207&amp;"")*12+VALUE($B207&amp;""))</f>
        <v/>
      </c>
      <c r="K207" s="9">
        <f>IF($A207="","",IFERROR(INDEX(입력옵션!$C$22:$C$53,MATCH($C207&amp;"",입력옵션!$E$22:$E$53,0)),IFERROR(INDEX(입력옵션!$C$22:$C$53,MATCH($D207&amp;"",입력옵션!$F$22:$F$53,0)),$C207&amp;"")))</f>
        <v/>
      </c>
      <c r="L207" s="97">
        <f>IF($A207="",0,$G207*설정!$C$23)</f>
        <v/>
      </c>
      <c r="M207" s="97">
        <f>IF($A207="",0,$H207*설정!$C$23)</f>
        <v/>
      </c>
    </row>
    <row r="208">
      <c r="A208" s="92" t="n">
        <v>2026</v>
      </c>
      <c r="B208" s="92" t="n">
        <v>5</v>
      </c>
      <c r="C208" s="92" t="inlineStr">
        <is>
          <t>P600</t>
        </is>
      </c>
      <c r="D208" s="92" t="inlineStr">
        <is>
          <t>당기순이익</t>
        </is>
      </c>
      <c r="E208" s="92" t="inlineStr">
        <is>
          <t>손익</t>
        </is>
      </c>
      <c r="F208" s="92" t="n">
        <v>1</v>
      </c>
      <c r="G208" s="93" t="n">
        <v>7938625220</v>
      </c>
      <c r="H208" s="93" t="n">
        <v>50227238650</v>
      </c>
      <c r="J208" s="9">
        <f>IF($A208="","",VALUE($A208&amp;"")*12+VALUE($B208&amp;""))</f>
        <v/>
      </c>
      <c r="K208" s="9">
        <f>IF($A208="","",IFERROR(INDEX(입력옵션!$C$22:$C$53,MATCH($C208&amp;"",입력옵션!$E$22:$E$53,0)),IFERROR(INDEX(입력옵션!$C$22:$C$53,MATCH($D208&amp;"",입력옵션!$F$22:$F$53,0)),$C208&amp;"")))</f>
        <v/>
      </c>
      <c r="L208" s="97">
        <f>IF($A208="",0,$G208*설정!$C$23)</f>
        <v/>
      </c>
      <c r="M208" s="97">
        <f>IF($A208="",0,$H208*설정!$C$23)</f>
        <v/>
      </c>
    </row>
    <row r="209">
      <c r="A209" s="92" t="n">
        <v>2026</v>
      </c>
      <c r="B209" s="92" t="n">
        <v>6</v>
      </c>
      <c r="C209" s="92" t="inlineStr">
        <is>
          <t>P100</t>
        </is>
      </c>
      <c r="D209" s="92" t="inlineStr">
        <is>
          <t>보험손익</t>
        </is>
      </c>
      <c r="E209" s="92" t="inlineStr">
        <is>
          <t>손익</t>
        </is>
      </c>
      <c r="F209" s="92" t="n">
        <v>1</v>
      </c>
      <c r="G209" s="93" t="n">
        <v>7913541000</v>
      </c>
      <c r="H209" s="93" t="n">
        <v>65468573000</v>
      </c>
      <c r="J209" s="9">
        <f>IF($A209="","",VALUE($A209&amp;"")*12+VALUE($B209&amp;""))</f>
        <v/>
      </c>
      <c r="K209" s="9">
        <f>IF($A209="","",IFERROR(INDEX(입력옵션!$C$22:$C$53,MATCH($C209&amp;"",입력옵션!$E$22:$E$53,0)),IFERROR(INDEX(입력옵션!$C$22:$C$53,MATCH($D209&amp;"",입력옵션!$F$22:$F$53,0)),$C209&amp;"")))</f>
        <v/>
      </c>
      <c r="L209" s="97">
        <f>IF($A209="",0,$G209*설정!$C$23)</f>
        <v/>
      </c>
      <c r="M209" s="97">
        <f>IF($A209="",0,$H209*설정!$C$23)</f>
        <v/>
      </c>
    </row>
    <row r="210">
      <c r="A210" s="92" t="n">
        <v>2026</v>
      </c>
      <c r="B210" s="92" t="n">
        <v>6</v>
      </c>
      <c r="C210" s="92" t="inlineStr">
        <is>
          <t>P110</t>
        </is>
      </c>
      <c r="D210" s="92" t="inlineStr">
        <is>
          <t>보험수익</t>
        </is>
      </c>
      <c r="E210" s="92" t="inlineStr">
        <is>
          <t>수익</t>
        </is>
      </c>
      <c r="F210" s="92" t="n">
        <v>2</v>
      </c>
      <c r="G210" s="93" t="n">
        <v>63294040000</v>
      </c>
      <c r="H210" s="93" t="n">
        <v>383995624000</v>
      </c>
      <c r="J210" s="9">
        <f>IF($A210="","",VALUE($A210&amp;"")*12+VALUE($B210&amp;""))</f>
        <v/>
      </c>
      <c r="K210" s="9">
        <f>IF($A210="","",IFERROR(INDEX(입력옵션!$C$22:$C$53,MATCH($C210&amp;"",입력옵션!$E$22:$E$53,0)),IFERROR(INDEX(입력옵션!$C$22:$C$53,MATCH($D210&amp;"",입력옵션!$F$22:$F$53,0)),$C210&amp;"")))</f>
        <v/>
      </c>
      <c r="L210" s="97">
        <f>IF($A210="",0,$G210*설정!$C$23)</f>
        <v/>
      </c>
      <c r="M210" s="97">
        <f>IF($A210="",0,$H210*설정!$C$23)</f>
        <v/>
      </c>
    </row>
    <row r="211">
      <c r="A211" s="92" t="n">
        <v>2026</v>
      </c>
      <c r="B211" s="92" t="n">
        <v>6</v>
      </c>
      <c r="C211" s="92" t="inlineStr">
        <is>
          <t>P120</t>
        </is>
      </c>
      <c r="D211" s="92" t="inlineStr">
        <is>
          <t>보험서비스비용</t>
        </is>
      </c>
      <c r="E211" s="92" t="inlineStr">
        <is>
          <t>비용</t>
        </is>
      </c>
      <c r="F211" s="92" t="n">
        <v>2</v>
      </c>
      <c r="G211" s="93" t="n">
        <v>54308391000</v>
      </c>
      <c r="H211" s="93" t="n">
        <v>311969547000</v>
      </c>
      <c r="J211" s="9">
        <f>IF($A211="","",VALUE($A211&amp;"")*12+VALUE($B211&amp;""))</f>
        <v/>
      </c>
      <c r="K211" s="9">
        <f>IF($A211="","",IFERROR(INDEX(입력옵션!$C$22:$C$53,MATCH($C211&amp;"",입력옵션!$E$22:$E$53,0)),IFERROR(INDEX(입력옵션!$C$22:$C$53,MATCH($D211&amp;"",입력옵션!$F$22:$F$53,0)),$C211&amp;"")))</f>
        <v/>
      </c>
      <c r="L211" s="97">
        <f>IF($A211="",0,$G211*설정!$C$23)</f>
        <v/>
      </c>
      <c r="M211" s="97">
        <f>IF($A211="",0,$H211*설정!$C$23)</f>
        <v/>
      </c>
    </row>
    <row r="212">
      <c r="A212" s="92" t="n">
        <v>2026</v>
      </c>
      <c r="B212" s="92" t="n">
        <v>6</v>
      </c>
      <c r="C212" s="92" t="inlineStr">
        <is>
          <t>P130</t>
        </is>
      </c>
      <c r="D212" s="92" t="inlineStr">
        <is>
          <t>재보험손익</t>
        </is>
      </c>
      <c r="E212" s="92" t="inlineStr">
        <is>
          <t>손익</t>
        </is>
      </c>
      <c r="F212" s="92" t="n">
        <v>2</v>
      </c>
      <c r="G212" s="93" t="n">
        <v>-1072108000</v>
      </c>
      <c r="H212" s="93" t="n">
        <v>-6557504000</v>
      </c>
      <c r="J212" s="9">
        <f>IF($A212="","",VALUE($A212&amp;"")*12+VALUE($B212&amp;""))</f>
        <v/>
      </c>
      <c r="K212" s="9">
        <f>IF($A212="","",IFERROR(INDEX(입력옵션!$C$22:$C$53,MATCH($C212&amp;"",입력옵션!$E$22:$E$53,0)),IFERROR(INDEX(입력옵션!$C$22:$C$53,MATCH($D212&amp;"",입력옵션!$F$22:$F$53,0)),$C212&amp;"")))</f>
        <v/>
      </c>
      <c r="L212" s="97">
        <f>IF($A212="",0,$G212*설정!$C$23)</f>
        <v/>
      </c>
      <c r="M212" s="97">
        <f>IF($A212="",0,$H212*설정!$C$23)</f>
        <v/>
      </c>
    </row>
    <row r="213">
      <c r="A213" s="92" t="n">
        <v>2026</v>
      </c>
      <c r="B213" s="92" t="n">
        <v>6</v>
      </c>
      <c r="C213" s="92" t="inlineStr">
        <is>
          <t>P200</t>
        </is>
      </c>
      <c r="D213" s="92" t="inlineStr">
        <is>
          <t>투자손익</t>
        </is>
      </c>
      <c r="E213" s="92" t="inlineStr">
        <is>
          <t>손익</t>
        </is>
      </c>
      <c r="F213" s="92" t="n">
        <v>1</v>
      </c>
      <c r="G213" s="93" t="n">
        <v>2200264000</v>
      </c>
      <c r="H213" s="93" t="n">
        <v>10853796000</v>
      </c>
      <c r="J213" s="9">
        <f>IF($A213="","",VALUE($A213&amp;"")*12+VALUE($B213&amp;""))</f>
        <v/>
      </c>
      <c r="K213" s="9">
        <f>IF($A213="","",IFERROR(INDEX(입력옵션!$C$22:$C$53,MATCH($C213&amp;"",입력옵션!$E$22:$E$53,0)),IFERROR(INDEX(입력옵션!$C$22:$C$53,MATCH($D213&amp;"",입력옵션!$F$22:$F$53,0)),$C213&amp;"")))</f>
        <v/>
      </c>
      <c r="L213" s="97">
        <f>IF($A213="",0,$G213*설정!$C$23)</f>
        <v/>
      </c>
      <c r="M213" s="97">
        <f>IF($A213="",0,$H213*설정!$C$23)</f>
        <v/>
      </c>
    </row>
    <row r="214">
      <c r="A214" s="92" t="n">
        <v>2026</v>
      </c>
      <c r="B214" s="92" t="n">
        <v>6</v>
      </c>
      <c r="C214" s="92" t="inlineStr">
        <is>
          <t>P210</t>
        </is>
      </c>
      <c r="D214" s="92" t="inlineStr">
        <is>
          <t>투자수익</t>
        </is>
      </c>
      <c r="E214" s="92" t="inlineStr">
        <is>
          <t>수익</t>
        </is>
      </c>
      <c r="F214" s="92" t="n">
        <v>2</v>
      </c>
      <c r="G214" s="93" t="n">
        <v>10109770000</v>
      </c>
      <c r="H214" s="93" t="n">
        <v>59021077000</v>
      </c>
      <c r="J214" s="9">
        <f>IF($A214="","",VALUE($A214&amp;"")*12+VALUE($B214&amp;""))</f>
        <v/>
      </c>
      <c r="K214" s="9">
        <f>IF($A214="","",IFERROR(INDEX(입력옵션!$C$22:$C$53,MATCH($C214&amp;"",입력옵션!$E$22:$E$53,0)),IFERROR(INDEX(입력옵션!$C$22:$C$53,MATCH($D214&amp;"",입력옵션!$F$22:$F$53,0)),$C214&amp;"")))</f>
        <v/>
      </c>
      <c r="L214" s="97">
        <f>IF($A214="",0,$G214*설정!$C$23)</f>
        <v/>
      </c>
      <c r="M214" s="97">
        <f>IF($A214="",0,$H214*설정!$C$23)</f>
        <v/>
      </c>
    </row>
    <row r="215">
      <c r="A215" s="92" t="n">
        <v>2026</v>
      </c>
      <c r="B215" s="92" t="n">
        <v>6</v>
      </c>
      <c r="C215" s="92" t="inlineStr">
        <is>
          <t>P220</t>
        </is>
      </c>
      <c r="D215" s="92" t="inlineStr">
        <is>
          <t>보험금융비용</t>
        </is>
      </c>
      <c r="E215" s="92" t="inlineStr">
        <is>
          <t>비용</t>
        </is>
      </c>
      <c r="F215" s="92" t="n">
        <v>2</v>
      </c>
      <c r="G215" s="93" t="n">
        <v>7876753000</v>
      </c>
      <c r="H215" s="93" t="n">
        <v>47971645000</v>
      </c>
      <c r="J215" s="9">
        <f>IF($A215="","",VALUE($A215&amp;"")*12+VALUE($B215&amp;""))</f>
        <v/>
      </c>
      <c r="K215" s="9">
        <f>IF($A215="","",IFERROR(INDEX(입력옵션!$C$22:$C$53,MATCH($C215&amp;"",입력옵션!$E$22:$E$53,0)),IFERROR(INDEX(입력옵션!$C$22:$C$53,MATCH($D215&amp;"",입력옵션!$F$22:$F$53,0)),$C215&amp;"")))</f>
        <v/>
      </c>
      <c r="L215" s="97">
        <f>IF($A215="",0,$G215*설정!$C$23)</f>
        <v/>
      </c>
      <c r="M215" s="97">
        <f>IF($A215="",0,$H215*설정!$C$23)</f>
        <v/>
      </c>
    </row>
    <row r="216">
      <c r="A216" s="92" t="n">
        <v>2026</v>
      </c>
      <c r="B216" s="92" t="n">
        <v>6</v>
      </c>
      <c r="C216" s="92" t="inlineStr">
        <is>
          <t>P230</t>
        </is>
      </c>
      <c r="D216" s="92" t="inlineStr">
        <is>
          <t>재산관리비</t>
        </is>
      </c>
      <c r="E216" s="92" t="inlineStr">
        <is>
          <t>비용</t>
        </is>
      </c>
      <c r="F216" s="92" t="n">
        <v>2</v>
      </c>
      <c r="G216" s="93" t="n">
        <v>32753000</v>
      </c>
      <c r="H216" s="93" t="n">
        <v>195636000</v>
      </c>
      <c r="J216" s="9">
        <f>IF($A216="","",VALUE($A216&amp;"")*12+VALUE($B216&amp;""))</f>
        <v/>
      </c>
      <c r="K216" s="9">
        <f>IF($A216="","",IFERROR(INDEX(입력옵션!$C$22:$C$53,MATCH($C216&amp;"",입력옵션!$E$22:$E$53,0)),IFERROR(INDEX(입력옵션!$C$22:$C$53,MATCH($D216&amp;"",입력옵션!$F$22:$F$53,0)),$C216&amp;"")))</f>
        <v/>
      </c>
      <c r="L216" s="97">
        <f>IF($A216="",0,$G216*설정!$C$23)</f>
        <v/>
      </c>
      <c r="M216" s="97">
        <f>IF($A216="",0,$H216*설정!$C$23)</f>
        <v/>
      </c>
    </row>
    <row r="217">
      <c r="A217" s="92" t="n">
        <v>2026</v>
      </c>
      <c r="B217" s="92" t="n">
        <v>6</v>
      </c>
      <c r="C217" s="92" t="inlineStr">
        <is>
          <t>P300</t>
        </is>
      </c>
      <c r="D217" s="92" t="inlineStr">
        <is>
          <t>기타사업비용 (사업비)</t>
        </is>
      </c>
      <c r="E217" s="92" t="inlineStr">
        <is>
          <t>비용</t>
        </is>
      </c>
      <c r="F217" s="92" t="n">
        <v>1</v>
      </c>
      <c r="G217" s="93" t="n">
        <v>334614050</v>
      </c>
      <c r="H217" s="93" t="n">
        <v>2149282400</v>
      </c>
      <c r="J217" s="9">
        <f>IF($A217="","",VALUE($A217&amp;"")*12+VALUE($B217&amp;""))</f>
        <v/>
      </c>
      <c r="K217" s="9">
        <f>IF($A217="","",IFERROR(INDEX(입력옵션!$C$22:$C$53,MATCH($C217&amp;"",입력옵션!$E$22:$E$53,0)),IFERROR(INDEX(입력옵션!$C$22:$C$53,MATCH($D217&amp;"",입력옵션!$F$22:$F$53,0)),$C217&amp;"")))</f>
        <v/>
      </c>
      <c r="L217" s="97">
        <f>IF($A217="",0,$G217*설정!$C$23)</f>
        <v/>
      </c>
      <c r="M217" s="97">
        <f>IF($A217="",0,$H217*설정!$C$23)</f>
        <v/>
      </c>
    </row>
    <row r="218">
      <c r="A218" s="92" t="n">
        <v>2026</v>
      </c>
      <c r="B218" s="92" t="n">
        <v>6</v>
      </c>
      <c r="C218" s="92" t="inlineStr">
        <is>
          <t>P400</t>
        </is>
      </c>
      <c r="D218" s="92" t="inlineStr">
        <is>
          <t>법인세차감전이익</t>
        </is>
      </c>
      <c r="E218" s="92" t="inlineStr">
        <is>
          <t>손익</t>
        </is>
      </c>
      <c r="F218" s="92" t="n">
        <v>1</v>
      </c>
      <c r="G218" s="93" t="n">
        <v>9779190950</v>
      </c>
      <c r="H218" s="93" t="n">
        <v>74173086600</v>
      </c>
      <c r="J218" s="9">
        <f>IF($A218="","",VALUE($A218&amp;"")*12+VALUE($B218&amp;""))</f>
        <v/>
      </c>
      <c r="K218" s="9">
        <f>IF($A218="","",IFERROR(INDEX(입력옵션!$C$22:$C$53,MATCH($C218&amp;"",입력옵션!$E$22:$E$53,0)),IFERROR(INDEX(입력옵션!$C$22:$C$53,MATCH($D218&amp;"",입력옵션!$F$22:$F$53,0)),$C218&amp;"")))</f>
        <v/>
      </c>
      <c r="L218" s="97">
        <f>IF($A218="",0,$G218*설정!$C$23)</f>
        <v/>
      </c>
      <c r="M218" s="97">
        <f>IF($A218="",0,$H218*설정!$C$23)</f>
        <v/>
      </c>
    </row>
    <row r="219">
      <c r="A219" s="92" t="n">
        <v>2026</v>
      </c>
      <c r="B219" s="92" t="n">
        <v>6</v>
      </c>
      <c r="C219" s="92" t="inlineStr">
        <is>
          <t>P500</t>
        </is>
      </c>
      <c r="D219" s="92" t="inlineStr">
        <is>
          <t>법인세비용</t>
        </is>
      </c>
      <c r="E219" s="92" t="inlineStr">
        <is>
          <t>비용</t>
        </is>
      </c>
      <c r="F219" s="92" t="n">
        <v>1</v>
      </c>
      <c r="G219" s="93" t="n">
        <v>2151422000</v>
      </c>
      <c r="H219" s="93" t="n">
        <v>16318079000</v>
      </c>
      <c r="J219" s="9">
        <f>IF($A219="","",VALUE($A219&amp;"")*12+VALUE($B219&amp;""))</f>
        <v/>
      </c>
      <c r="K219" s="9">
        <f>IF($A219="","",IFERROR(INDEX(입력옵션!$C$22:$C$53,MATCH($C219&amp;"",입력옵션!$E$22:$E$53,0)),IFERROR(INDEX(입력옵션!$C$22:$C$53,MATCH($D219&amp;"",입력옵션!$F$22:$F$53,0)),$C219&amp;"")))</f>
        <v/>
      </c>
      <c r="L219" s="97">
        <f>IF($A219="",0,$G219*설정!$C$23)</f>
        <v/>
      </c>
      <c r="M219" s="97">
        <f>IF($A219="",0,$H219*설정!$C$23)</f>
        <v/>
      </c>
    </row>
    <row r="220">
      <c r="A220" s="92" t="n">
        <v>2026</v>
      </c>
      <c r="B220" s="92" t="n">
        <v>6</v>
      </c>
      <c r="C220" s="92" t="inlineStr">
        <is>
          <t>P600</t>
        </is>
      </c>
      <c r="D220" s="92" t="inlineStr">
        <is>
          <t>당기순이익</t>
        </is>
      </c>
      <c r="E220" s="92" t="inlineStr">
        <is>
          <t>손익</t>
        </is>
      </c>
      <c r="F220" s="92" t="n">
        <v>1</v>
      </c>
      <c r="G220" s="93" t="n">
        <v>7627768950</v>
      </c>
      <c r="H220" s="93" t="n">
        <v>57855007600</v>
      </c>
      <c r="J220" s="9">
        <f>IF($A220="","",VALUE($A220&amp;"")*12+VALUE($B220&amp;""))</f>
        <v/>
      </c>
      <c r="K220" s="9">
        <f>IF($A220="","",IFERROR(INDEX(입력옵션!$C$22:$C$53,MATCH($C220&amp;"",입력옵션!$E$22:$E$53,0)),IFERROR(INDEX(입력옵션!$C$22:$C$53,MATCH($D220&amp;"",입력옵션!$F$22:$F$53,0)),$C220&amp;"")))</f>
        <v/>
      </c>
      <c r="L220" s="97">
        <f>IF($A220="",0,$G220*설정!$C$23)</f>
        <v/>
      </c>
      <c r="M220" s="97">
        <f>IF($A220="",0,$H220*설정!$C$23)</f>
        <v/>
      </c>
    </row>
    <row r="221">
      <c r="A221" s="92" t="n">
        <v>2026</v>
      </c>
      <c r="B221" s="92" t="n">
        <v>7</v>
      </c>
      <c r="C221" s="92" t="inlineStr">
        <is>
          <t>P100</t>
        </is>
      </c>
      <c r="D221" s="92" t="inlineStr">
        <is>
          <t>보험손익</t>
        </is>
      </c>
      <c r="E221" s="92" t="inlineStr">
        <is>
          <t>손익</t>
        </is>
      </c>
      <c r="F221" s="92" t="n">
        <v>1</v>
      </c>
      <c r="G221" s="93" t="n">
        <v>12256481000</v>
      </c>
      <c r="H221" s="93" t="n">
        <v>77725054000</v>
      </c>
      <c r="J221" s="9">
        <f>IF($A221="","",VALUE($A221&amp;"")*12+VALUE($B221&amp;""))</f>
        <v/>
      </c>
      <c r="K221" s="9">
        <f>IF($A221="","",IFERROR(INDEX(입력옵션!$C$22:$C$53,MATCH($C221&amp;"",입력옵션!$E$22:$E$53,0)),IFERROR(INDEX(입력옵션!$C$22:$C$53,MATCH($D221&amp;"",입력옵션!$F$22:$F$53,0)),$C221&amp;"")))</f>
        <v/>
      </c>
      <c r="L221" s="97">
        <f>IF($A221="",0,$G221*설정!$C$23)</f>
        <v/>
      </c>
      <c r="M221" s="97">
        <f>IF($A221="",0,$H221*설정!$C$23)</f>
        <v/>
      </c>
    </row>
    <row r="222">
      <c r="A222" s="92" t="n">
        <v>2026</v>
      </c>
      <c r="B222" s="92" t="n">
        <v>7</v>
      </c>
      <c r="C222" s="92" t="inlineStr">
        <is>
          <t>P110</t>
        </is>
      </c>
      <c r="D222" s="92" t="inlineStr">
        <is>
          <t>보험수익</t>
        </is>
      </c>
      <c r="E222" s="92" t="inlineStr">
        <is>
          <t>수익</t>
        </is>
      </c>
      <c r="F222" s="92" t="n">
        <v>2</v>
      </c>
      <c r="G222" s="93" t="n">
        <v>67140576000</v>
      </c>
      <c r="H222" s="93" t="n">
        <v>451136200000</v>
      </c>
      <c r="J222" s="9">
        <f>IF($A222="","",VALUE($A222&amp;"")*12+VALUE($B222&amp;""))</f>
        <v/>
      </c>
      <c r="K222" s="9">
        <f>IF($A222="","",IFERROR(INDEX(입력옵션!$C$22:$C$53,MATCH($C222&amp;"",입력옵션!$E$22:$E$53,0)),IFERROR(INDEX(입력옵션!$C$22:$C$53,MATCH($D222&amp;"",입력옵션!$F$22:$F$53,0)),$C222&amp;"")))</f>
        <v/>
      </c>
      <c r="L222" s="97">
        <f>IF($A222="",0,$G222*설정!$C$23)</f>
        <v/>
      </c>
      <c r="M222" s="97">
        <f>IF($A222="",0,$H222*설정!$C$23)</f>
        <v/>
      </c>
    </row>
    <row r="223">
      <c r="A223" s="92" t="n">
        <v>2026</v>
      </c>
      <c r="B223" s="92" t="n">
        <v>7</v>
      </c>
      <c r="C223" s="92" t="inlineStr">
        <is>
          <t>P120</t>
        </is>
      </c>
      <c r="D223" s="92" t="inlineStr">
        <is>
          <t>보험서비스비용</t>
        </is>
      </c>
      <c r="E223" s="92" t="inlineStr">
        <is>
          <t>비용</t>
        </is>
      </c>
      <c r="F223" s="92" t="n">
        <v>2</v>
      </c>
      <c r="G223" s="93" t="n">
        <v>53788774000</v>
      </c>
      <c r="H223" s="93" t="n">
        <v>365758321000</v>
      </c>
      <c r="J223" s="9">
        <f>IF($A223="","",VALUE($A223&amp;"")*12+VALUE($B223&amp;""))</f>
        <v/>
      </c>
      <c r="K223" s="9">
        <f>IF($A223="","",IFERROR(INDEX(입력옵션!$C$22:$C$53,MATCH($C223&amp;"",입력옵션!$E$22:$E$53,0)),IFERROR(INDEX(입력옵션!$C$22:$C$53,MATCH($D223&amp;"",입력옵션!$F$22:$F$53,0)),$C223&amp;"")))</f>
        <v/>
      </c>
      <c r="L223" s="97">
        <f>IF($A223="",0,$G223*설정!$C$23)</f>
        <v/>
      </c>
      <c r="M223" s="97">
        <f>IF($A223="",0,$H223*설정!$C$23)</f>
        <v/>
      </c>
    </row>
    <row r="224">
      <c r="A224" s="92" t="n">
        <v>2026</v>
      </c>
      <c r="B224" s="92" t="n">
        <v>7</v>
      </c>
      <c r="C224" s="92" t="inlineStr">
        <is>
          <t>P130</t>
        </is>
      </c>
      <c r="D224" s="92" t="inlineStr">
        <is>
          <t>재보험손익</t>
        </is>
      </c>
      <c r="E224" s="92" t="inlineStr">
        <is>
          <t>손익</t>
        </is>
      </c>
      <c r="F224" s="92" t="n">
        <v>2</v>
      </c>
      <c r="G224" s="93" t="n">
        <v>-1095321000</v>
      </c>
      <c r="H224" s="93" t="n">
        <v>-7652825000</v>
      </c>
      <c r="J224" s="9">
        <f>IF($A224="","",VALUE($A224&amp;"")*12+VALUE($B224&amp;""))</f>
        <v/>
      </c>
      <c r="K224" s="9">
        <f>IF($A224="","",IFERROR(INDEX(입력옵션!$C$22:$C$53,MATCH($C224&amp;"",입력옵션!$E$22:$E$53,0)),IFERROR(INDEX(입력옵션!$C$22:$C$53,MATCH($D224&amp;"",입력옵션!$F$22:$F$53,0)),$C224&amp;"")))</f>
        <v/>
      </c>
      <c r="L224" s="97">
        <f>IF($A224="",0,$G224*설정!$C$23)</f>
        <v/>
      </c>
      <c r="M224" s="97">
        <f>IF($A224="",0,$H224*설정!$C$23)</f>
        <v/>
      </c>
    </row>
    <row r="225">
      <c r="A225" s="92" t="n">
        <v>2026</v>
      </c>
      <c r="B225" s="92" t="n">
        <v>7</v>
      </c>
      <c r="C225" s="92" t="inlineStr">
        <is>
          <t>P200</t>
        </is>
      </c>
      <c r="D225" s="92" t="inlineStr">
        <is>
          <t>투자손익</t>
        </is>
      </c>
      <c r="E225" s="92" t="inlineStr">
        <is>
          <t>손익</t>
        </is>
      </c>
      <c r="F225" s="92" t="n">
        <v>1</v>
      </c>
      <c r="G225" s="93" t="n">
        <v>1087089700</v>
      </c>
      <c r="H225" s="93" t="n">
        <v>11940885700</v>
      </c>
      <c r="J225" s="9">
        <f>IF($A225="","",VALUE($A225&amp;"")*12+VALUE($B225&amp;""))</f>
        <v/>
      </c>
      <c r="K225" s="9">
        <f>IF($A225="","",IFERROR(INDEX(입력옵션!$C$22:$C$53,MATCH($C225&amp;"",입력옵션!$E$22:$E$53,0)),IFERROR(INDEX(입력옵션!$C$22:$C$53,MATCH($D225&amp;"",입력옵션!$F$22:$F$53,0)),$C225&amp;"")))</f>
        <v/>
      </c>
      <c r="L225" s="97">
        <f>IF($A225="",0,$G225*설정!$C$23)</f>
        <v/>
      </c>
      <c r="M225" s="97">
        <f>IF($A225="",0,$H225*설정!$C$23)</f>
        <v/>
      </c>
    </row>
    <row r="226">
      <c r="A226" s="92" t="n">
        <v>2026</v>
      </c>
      <c r="B226" s="92" t="n">
        <v>7</v>
      </c>
      <c r="C226" s="92" t="inlineStr">
        <is>
          <t>P210</t>
        </is>
      </c>
      <c r="D226" s="92" t="inlineStr">
        <is>
          <t>투자수익</t>
        </is>
      </c>
      <c r="E226" s="92" t="inlineStr">
        <is>
          <t>수익</t>
        </is>
      </c>
      <c r="F226" s="92" t="n">
        <v>2</v>
      </c>
      <c r="G226" s="93" t="n">
        <v>9153544000</v>
      </c>
      <c r="H226" s="93" t="n">
        <v>68174621000</v>
      </c>
      <c r="J226" s="9">
        <f>IF($A226="","",VALUE($A226&amp;"")*12+VALUE($B226&amp;""))</f>
        <v/>
      </c>
      <c r="K226" s="9">
        <f>IF($A226="","",IFERROR(INDEX(입력옵션!$C$22:$C$53,MATCH($C226&amp;"",입력옵션!$E$22:$E$53,0)),IFERROR(INDEX(입력옵션!$C$22:$C$53,MATCH($D226&amp;"",입력옵션!$F$22:$F$53,0)),$C226&amp;"")))</f>
        <v/>
      </c>
      <c r="L226" s="97">
        <f>IF($A226="",0,$G226*설정!$C$23)</f>
        <v/>
      </c>
      <c r="M226" s="97">
        <f>IF($A226="",0,$H226*설정!$C$23)</f>
        <v/>
      </c>
    </row>
    <row r="227">
      <c r="A227" s="92" t="n">
        <v>2026</v>
      </c>
      <c r="B227" s="92" t="n">
        <v>7</v>
      </c>
      <c r="C227" s="92" t="inlineStr">
        <is>
          <t>P220</t>
        </is>
      </c>
      <c r="D227" s="92" t="inlineStr">
        <is>
          <t>보험금융비용</t>
        </is>
      </c>
      <c r="E227" s="92" t="inlineStr">
        <is>
          <t>비용</t>
        </is>
      </c>
      <c r="F227" s="92" t="n">
        <v>2</v>
      </c>
      <c r="G227" s="93" t="n">
        <v>8033744000</v>
      </c>
      <c r="H227" s="93" t="n">
        <v>56005389000</v>
      </c>
      <c r="J227" s="9">
        <f>IF($A227="","",VALUE($A227&amp;"")*12+VALUE($B227&amp;""))</f>
        <v/>
      </c>
      <c r="K227" s="9">
        <f>IF($A227="","",IFERROR(INDEX(입력옵션!$C$22:$C$53,MATCH($C227&amp;"",입력옵션!$E$22:$E$53,0)),IFERROR(INDEX(입력옵션!$C$22:$C$53,MATCH($D227&amp;"",입력옵션!$F$22:$F$53,0)),$C227&amp;"")))</f>
        <v/>
      </c>
      <c r="L227" s="97">
        <f>IF($A227="",0,$G227*설정!$C$23)</f>
        <v/>
      </c>
      <c r="M227" s="97">
        <f>IF($A227="",0,$H227*설정!$C$23)</f>
        <v/>
      </c>
    </row>
    <row r="228">
      <c r="A228" s="92" t="n">
        <v>2026</v>
      </c>
      <c r="B228" s="92" t="n">
        <v>7</v>
      </c>
      <c r="C228" s="92" t="inlineStr">
        <is>
          <t>P230</t>
        </is>
      </c>
      <c r="D228" s="92" t="inlineStr">
        <is>
          <t>재산관리비</t>
        </is>
      </c>
      <c r="E228" s="92" t="inlineStr">
        <is>
          <t>비용</t>
        </is>
      </c>
      <c r="F228" s="92" t="n">
        <v>2</v>
      </c>
      <c r="G228" s="93" t="n">
        <v>32710300</v>
      </c>
      <c r="H228" s="93" t="n">
        <v>228346300</v>
      </c>
      <c r="J228" s="9">
        <f>IF($A228="","",VALUE($A228&amp;"")*12+VALUE($B228&amp;""))</f>
        <v/>
      </c>
      <c r="K228" s="9">
        <f>IF($A228="","",IFERROR(INDEX(입력옵션!$C$22:$C$53,MATCH($C228&amp;"",입력옵션!$E$22:$E$53,0)),IFERROR(INDEX(입력옵션!$C$22:$C$53,MATCH($D228&amp;"",입력옵션!$F$22:$F$53,0)),$C228&amp;"")))</f>
        <v/>
      </c>
      <c r="L228" s="97">
        <f>IF($A228="",0,$G228*설정!$C$23)</f>
        <v/>
      </c>
      <c r="M228" s="97">
        <f>IF($A228="",0,$H228*설정!$C$23)</f>
        <v/>
      </c>
    </row>
    <row r="229">
      <c r="A229" s="92" t="n">
        <v>2026</v>
      </c>
      <c r="B229" s="92" t="n">
        <v>7</v>
      </c>
      <c r="C229" s="92" t="inlineStr">
        <is>
          <t>P300</t>
        </is>
      </c>
      <c r="D229" s="92" t="inlineStr">
        <is>
          <t>기타사업비용 (사업비)</t>
        </is>
      </c>
      <c r="E229" s="92" t="inlineStr">
        <is>
          <t>비용</t>
        </is>
      </c>
      <c r="F229" s="92" t="n">
        <v>1</v>
      </c>
      <c r="G229" s="93" t="n">
        <v>385083990</v>
      </c>
      <c r="H229" s="93" t="n">
        <v>2534366390</v>
      </c>
      <c r="J229" s="9">
        <f>IF($A229="","",VALUE($A229&amp;"")*12+VALUE($B229&amp;""))</f>
        <v/>
      </c>
      <c r="K229" s="9">
        <f>IF($A229="","",IFERROR(INDEX(입력옵션!$C$22:$C$53,MATCH($C229&amp;"",입력옵션!$E$22:$E$53,0)),IFERROR(INDEX(입력옵션!$C$22:$C$53,MATCH($D229&amp;"",입력옵션!$F$22:$F$53,0)),$C229&amp;"")))</f>
        <v/>
      </c>
      <c r="L229" s="97">
        <f>IF($A229="",0,$G229*설정!$C$23)</f>
        <v/>
      </c>
      <c r="M229" s="97">
        <f>IF($A229="",0,$H229*설정!$C$23)</f>
        <v/>
      </c>
    </row>
    <row r="230">
      <c r="A230" s="92" t="n">
        <v>2026</v>
      </c>
      <c r="B230" s="92" t="n">
        <v>7</v>
      </c>
      <c r="C230" s="92" t="inlineStr">
        <is>
          <t>P400</t>
        </is>
      </c>
      <c r="D230" s="92" t="inlineStr">
        <is>
          <t>법인세차감전이익</t>
        </is>
      </c>
      <c r="E230" s="92" t="inlineStr">
        <is>
          <t>손익</t>
        </is>
      </c>
      <c r="F230" s="92" t="n">
        <v>1</v>
      </c>
      <c r="G230" s="93" t="n">
        <v>12958486710</v>
      </c>
      <c r="H230" s="93" t="n">
        <v>87131573310</v>
      </c>
      <c r="J230" s="9">
        <f>IF($A230="","",VALUE($A230&amp;"")*12+VALUE($B230&amp;""))</f>
        <v/>
      </c>
      <c r="K230" s="9">
        <f>IF($A230="","",IFERROR(INDEX(입력옵션!$C$22:$C$53,MATCH($C230&amp;"",입력옵션!$E$22:$E$53,0)),IFERROR(INDEX(입력옵션!$C$22:$C$53,MATCH($D230&amp;"",입력옵션!$F$22:$F$53,0)),$C230&amp;"")))</f>
        <v/>
      </c>
      <c r="L230" s="97">
        <f>IF($A230="",0,$G230*설정!$C$23)</f>
        <v/>
      </c>
      <c r="M230" s="97">
        <f>IF($A230="",0,$H230*설정!$C$23)</f>
        <v/>
      </c>
    </row>
    <row r="231">
      <c r="A231" s="92" t="n">
        <v>2026</v>
      </c>
      <c r="B231" s="92" t="n">
        <v>7</v>
      </c>
      <c r="C231" s="92" t="inlineStr">
        <is>
          <t>P500</t>
        </is>
      </c>
      <c r="D231" s="92" t="inlineStr">
        <is>
          <t>법인세비용</t>
        </is>
      </c>
      <c r="E231" s="92" t="inlineStr">
        <is>
          <t>비용</t>
        </is>
      </c>
      <c r="F231" s="92" t="n">
        <v>1</v>
      </c>
      <c r="G231" s="93" t="n">
        <v>2850867000</v>
      </c>
      <c r="H231" s="93" t="n">
        <v>19168946000</v>
      </c>
      <c r="J231" s="9">
        <f>IF($A231="","",VALUE($A231&amp;"")*12+VALUE($B231&amp;""))</f>
        <v/>
      </c>
      <c r="K231" s="9">
        <f>IF($A231="","",IFERROR(INDEX(입력옵션!$C$22:$C$53,MATCH($C231&amp;"",입력옵션!$E$22:$E$53,0)),IFERROR(INDEX(입력옵션!$C$22:$C$53,MATCH($D231&amp;"",입력옵션!$F$22:$F$53,0)),$C231&amp;"")))</f>
        <v/>
      </c>
      <c r="L231" s="97">
        <f>IF($A231="",0,$G231*설정!$C$23)</f>
        <v/>
      </c>
      <c r="M231" s="97">
        <f>IF($A231="",0,$H231*설정!$C$23)</f>
        <v/>
      </c>
    </row>
    <row r="232">
      <c r="A232" s="92" t="n">
        <v>2026</v>
      </c>
      <c r="B232" s="92" t="n">
        <v>7</v>
      </c>
      <c r="C232" s="92" t="inlineStr">
        <is>
          <t>P600</t>
        </is>
      </c>
      <c r="D232" s="92" t="inlineStr">
        <is>
          <t>당기순이익</t>
        </is>
      </c>
      <c r="E232" s="92" t="inlineStr">
        <is>
          <t>손익</t>
        </is>
      </c>
      <c r="F232" s="92" t="n">
        <v>1</v>
      </c>
      <c r="G232" s="93" t="n">
        <v>10107619710</v>
      </c>
      <c r="H232" s="93" t="n">
        <v>67962627310</v>
      </c>
      <c r="J232" s="9">
        <f>IF($A232="","",VALUE($A232&amp;"")*12+VALUE($B232&amp;""))</f>
        <v/>
      </c>
      <c r="K232" s="9">
        <f>IF($A232="","",IFERROR(INDEX(입력옵션!$C$22:$C$53,MATCH($C232&amp;"",입력옵션!$E$22:$E$53,0)),IFERROR(INDEX(입력옵션!$C$22:$C$53,MATCH($D232&amp;"",입력옵션!$F$22:$F$53,0)),$C232&amp;"")))</f>
        <v/>
      </c>
      <c r="L232" s="97">
        <f>IF($A232="",0,$G232*설정!$C$23)</f>
        <v/>
      </c>
      <c r="M232" s="97">
        <f>IF($A232="",0,$H232*설정!$C$23)</f>
        <v/>
      </c>
    </row>
    <row r="233">
      <c r="A233" s="92" t="n">
        <v>2026</v>
      </c>
      <c r="B233" s="92" t="n">
        <v>8</v>
      </c>
      <c r="C233" s="92" t="inlineStr">
        <is>
          <t>P100</t>
        </is>
      </c>
      <c r="D233" s="92" t="inlineStr">
        <is>
          <t>보험손익</t>
        </is>
      </c>
      <c r="E233" s="92" t="inlineStr">
        <is>
          <t>손익</t>
        </is>
      </c>
      <c r="F233" s="92" t="n">
        <v>1</v>
      </c>
      <c r="G233" s="93" t="n">
        <v>7417653000</v>
      </c>
      <c r="H233" s="93" t="n">
        <v>85142707000</v>
      </c>
      <c r="J233" s="9">
        <f>IF($A233="","",VALUE($A233&amp;"")*12+VALUE($B233&amp;""))</f>
        <v/>
      </c>
      <c r="K233" s="9">
        <f>IF($A233="","",IFERROR(INDEX(입력옵션!$C$22:$C$53,MATCH($C233&amp;"",입력옵션!$E$22:$E$53,0)),IFERROR(INDEX(입력옵션!$C$22:$C$53,MATCH($D233&amp;"",입력옵션!$F$22:$F$53,0)),$C233&amp;"")))</f>
        <v/>
      </c>
      <c r="L233" s="97">
        <f>IF($A233="",0,$G233*설정!$C$23)</f>
        <v/>
      </c>
      <c r="M233" s="97">
        <f>IF($A233="",0,$H233*설정!$C$23)</f>
        <v/>
      </c>
    </row>
    <row r="234">
      <c r="A234" s="92" t="n">
        <v>2026</v>
      </c>
      <c r="B234" s="92" t="n">
        <v>8</v>
      </c>
      <c r="C234" s="92" t="inlineStr">
        <is>
          <t>P110</t>
        </is>
      </c>
      <c r="D234" s="92" t="inlineStr">
        <is>
          <t>보험수익</t>
        </is>
      </c>
      <c r="E234" s="92" t="inlineStr">
        <is>
          <t>수익</t>
        </is>
      </c>
      <c r="F234" s="92" t="n">
        <v>2</v>
      </c>
      <c r="G234" s="93" t="n">
        <v>64127500000</v>
      </c>
      <c r="H234" s="93" t="n">
        <v>515263700000</v>
      </c>
      <c r="J234" s="9">
        <f>IF($A234="","",VALUE($A234&amp;"")*12+VALUE($B234&amp;""))</f>
        <v/>
      </c>
      <c r="K234" s="9">
        <f>IF($A234="","",IFERROR(INDEX(입력옵션!$C$22:$C$53,MATCH($C234&amp;"",입력옵션!$E$22:$E$53,0)),IFERROR(INDEX(입력옵션!$C$22:$C$53,MATCH($D234&amp;"",입력옵션!$F$22:$F$53,0)),$C234&amp;"")))</f>
        <v/>
      </c>
      <c r="L234" s="97">
        <f>IF($A234="",0,$G234*설정!$C$23)</f>
        <v/>
      </c>
      <c r="M234" s="97">
        <f>IF($A234="",0,$H234*설정!$C$23)</f>
        <v/>
      </c>
    </row>
    <row r="235">
      <c r="A235" s="92" t="n">
        <v>2026</v>
      </c>
      <c r="B235" s="92" t="n">
        <v>8</v>
      </c>
      <c r="C235" s="92" t="inlineStr">
        <is>
          <t>P120</t>
        </is>
      </c>
      <c r="D235" s="92" t="inlineStr">
        <is>
          <t>보험서비스비용</t>
        </is>
      </c>
      <c r="E235" s="92" t="inlineStr">
        <is>
          <t>비용</t>
        </is>
      </c>
      <c r="F235" s="92" t="n">
        <v>2</v>
      </c>
      <c r="G235" s="93" t="n">
        <v>55409863000</v>
      </c>
      <c r="H235" s="93" t="n">
        <v>421168184000</v>
      </c>
      <c r="J235" s="9">
        <f>IF($A235="","",VALUE($A235&amp;"")*12+VALUE($B235&amp;""))</f>
        <v/>
      </c>
      <c r="K235" s="9">
        <f>IF($A235="","",IFERROR(INDEX(입력옵션!$C$22:$C$53,MATCH($C235&amp;"",입력옵션!$E$22:$E$53,0)),IFERROR(INDEX(입력옵션!$C$22:$C$53,MATCH($D235&amp;"",입력옵션!$F$22:$F$53,0)),$C235&amp;"")))</f>
        <v/>
      </c>
      <c r="L235" s="97">
        <f>IF($A235="",0,$G235*설정!$C$23)</f>
        <v/>
      </c>
      <c r="M235" s="97">
        <f>IF($A235="",0,$H235*설정!$C$23)</f>
        <v/>
      </c>
    </row>
    <row r="236">
      <c r="A236" s="92" t="n">
        <v>2026</v>
      </c>
      <c r="B236" s="92" t="n">
        <v>8</v>
      </c>
      <c r="C236" s="92" t="inlineStr">
        <is>
          <t>P130</t>
        </is>
      </c>
      <c r="D236" s="92" t="inlineStr">
        <is>
          <t>재보험손익</t>
        </is>
      </c>
      <c r="E236" s="92" t="inlineStr">
        <is>
          <t>손익</t>
        </is>
      </c>
      <c r="F236" s="92" t="n">
        <v>2</v>
      </c>
      <c r="G236" s="93" t="n">
        <v>-1299984000</v>
      </c>
      <c r="H236" s="93" t="n">
        <v>-8952809000</v>
      </c>
      <c r="J236" s="9">
        <f>IF($A236="","",VALUE($A236&amp;"")*12+VALUE($B236&amp;""))</f>
        <v/>
      </c>
      <c r="K236" s="9">
        <f>IF($A236="","",IFERROR(INDEX(입력옵션!$C$22:$C$53,MATCH($C236&amp;"",입력옵션!$E$22:$E$53,0)),IFERROR(INDEX(입력옵션!$C$22:$C$53,MATCH($D236&amp;"",입력옵션!$F$22:$F$53,0)),$C236&amp;"")))</f>
        <v/>
      </c>
      <c r="L236" s="97">
        <f>IF($A236="",0,$G236*설정!$C$23)</f>
        <v/>
      </c>
      <c r="M236" s="97">
        <f>IF($A236="",0,$H236*설정!$C$23)</f>
        <v/>
      </c>
    </row>
    <row r="237">
      <c r="A237" s="92" t="n">
        <v>2026</v>
      </c>
      <c r="B237" s="92" t="n">
        <v>8</v>
      </c>
      <c r="C237" s="92" t="inlineStr">
        <is>
          <t>P200</t>
        </is>
      </c>
      <c r="D237" s="92" t="inlineStr">
        <is>
          <t>투자손익</t>
        </is>
      </c>
      <c r="E237" s="92" t="inlineStr">
        <is>
          <t>손익</t>
        </is>
      </c>
      <c r="F237" s="92" t="n">
        <v>1</v>
      </c>
      <c r="G237" s="93" t="n">
        <v>1821073600</v>
      </c>
      <c r="H237" s="93" t="n">
        <v>13761959300</v>
      </c>
      <c r="J237" s="9">
        <f>IF($A237="","",VALUE($A237&amp;"")*12+VALUE($B237&amp;""))</f>
        <v/>
      </c>
      <c r="K237" s="9">
        <f>IF($A237="","",IFERROR(INDEX(입력옵션!$C$22:$C$53,MATCH($C237&amp;"",입력옵션!$E$22:$E$53,0)),IFERROR(INDEX(입력옵션!$C$22:$C$53,MATCH($D237&amp;"",입력옵션!$F$22:$F$53,0)),$C237&amp;"")))</f>
        <v/>
      </c>
      <c r="L237" s="97">
        <f>IF($A237="",0,$G237*설정!$C$23)</f>
        <v/>
      </c>
      <c r="M237" s="97">
        <f>IF($A237="",0,$H237*설정!$C$23)</f>
        <v/>
      </c>
    </row>
    <row r="238">
      <c r="A238" s="92" t="n">
        <v>2026</v>
      </c>
      <c r="B238" s="92" t="n">
        <v>8</v>
      </c>
      <c r="C238" s="92" t="inlineStr">
        <is>
          <t>P210</t>
        </is>
      </c>
      <c r="D238" s="92" t="inlineStr">
        <is>
          <t>투자수익</t>
        </is>
      </c>
      <c r="E238" s="92" t="inlineStr">
        <is>
          <t>수익</t>
        </is>
      </c>
      <c r="F238" s="92" t="n">
        <v>2</v>
      </c>
      <c r="G238" s="93" t="n">
        <v>9970425000</v>
      </c>
      <c r="H238" s="93" t="n">
        <v>78145046000</v>
      </c>
      <c r="J238" s="9">
        <f>IF($A238="","",VALUE($A238&amp;"")*12+VALUE($B238&amp;""))</f>
        <v/>
      </c>
      <c r="K238" s="9">
        <f>IF($A238="","",IFERROR(INDEX(입력옵션!$C$22:$C$53,MATCH($C238&amp;"",입력옵션!$E$22:$E$53,0)),IFERROR(INDEX(입력옵션!$C$22:$C$53,MATCH($D238&amp;"",입력옵션!$F$22:$F$53,0)),$C238&amp;"")))</f>
        <v/>
      </c>
      <c r="L238" s="97">
        <f>IF($A238="",0,$G238*설정!$C$23)</f>
        <v/>
      </c>
      <c r="M238" s="97">
        <f>IF($A238="",0,$H238*설정!$C$23)</f>
        <v/>
      </c>
    </row>
    <row r="239">
      <c r="A239" s="92" t="n">
        <v>2026</v>
      </c>
      <c r="B239" s="92" t="n">
        <v>8</v>
      </c>
      <c r="C239" s="92" t="inlineStr">
        <is>
          <t>P220</t>
        </is>
      </c>
      <c r="D239" s="92" t="inlineStr">
        <is>
          <t>보험금융비용</t>
        </is>
      </c>
      <c r="E239" s="92" t="inlineStr">
        <is>
          <t>비용</t>
        </is>
      </c>
      <c r="F239" s="92" t="n">
        <v>2</v>
      </c>
      <c r="G239" s="93" t="n">
        <v>8116478000</v>
      </c>
      <c r="H239" s="93" t="n">
        <v>64121867000</v>
      </c>
      <c r="J239" s="9">
        <f>IF($A239="","",VALUE($A239&amp;"")*12+VALUE($B239&amp;""))</f>
        <v/>
      </c>
      <c r="K239" s="9">
        <f>IF($A239="","",IFERROR(INDEX(입력옵션!$C$22:$C$53,MATCH($C239&amp;"",입력옵션!$E$22:$E$53,0)),IFERROR(INDEX(입력옵션!$C$22:$C$53,MATCH($D239&amp;"",입력옵션!$F$22:$F$53,0)),$C239&amp;"")))</f>
        <v/>
      </c>
      <c r="L239" s="97">
        <f>IF($A239="",0,$G239*설정!$C$23)</f>
        <v/>
      </c>
      <c r="M239" s="97">
        <f>IF($A239="",0,$H239*설정!$C$23)</f>
        <v/>
      </c>
    </row>
    <row r="240">
      <c r="A240" s="92" t="n">
        <v>2026</v>
      </c>
      <c r="B240" s="92" t="n">
        <v>8</v>
      </c>
      <c r="C240" s="92" t="inlineStr">
        <is>
          <t>P230</t>
        </is>
      </c>
      <c r="D240" s="92" t="inlineStr">
        <is>
          <t>재산관리비</t>
        </is>
      </c>
      <c r="E240" s="92" t="inlineStr">
        <is>
          <t>비용</t>
        </is>
      </c>
      <c r="F240" s="92" t="n">
        <v>2</v>
      </c>
      <c r="G240" s="93" t="n">
        <v>32873400</v>
      </c>
      <c r="H240" s="93" t="n">
        <v>261219700</v>
      </c>
      <c r="J240" s="9">
        <f>IF($A240="","",VALUE($A240&amp;"")*12+VALUE($B240&amp;""))</f>
        <v/>
      </c>
      <c r="K240" s="9">
        <f>IF($A240="","",IFERROR(INDEX(입력옵션!$C$22:$C$53,MATCH($C240&amp;"",입력옵션!$E$22:$E$53,0)),IFERROR(INDEX(입력옵션!$C$22:$C$53,MATCH($D240&amp;"",입력옵션!$F$22:$F$53,0)),$C240&amp;"")))</f>
        <v/>
      </c>
      <c r="L240" s="97">
        <f>IF($A240="",0,$G240*설정!$C$23)</f>
        <v/>
      </c>
      <c r="M240" s="97">
        <f>IF($A240="",0,$H240*설정!$C$23)</f>
        <v/>
      </c>
    </row>
    <row r="241">
      <c r="A241" s="92" t="n">
        <v>2026</v>
      </c>
      <c r="B241" s="92" t="n">
        <v>8</v>
      </c>
      <c r="C241" s="92" t="inlineStr">
        <is>
          <t>P300</t>
        </is>
      </c>
      <c r="D241" s="92" t="inlineStr">
        <is>
          <t>기타사업비용 (사업비)</t>
        </is>
      </c>
      <c r="E241" s="92" t="inlineStr">
        <is>
          <t>비용</t>
        </is>
      </c>
      <c r="F241" s="92" t="n">
        <v>1</v>
      </c>
      <c r="G241" s="93" t="n">
        <v>317838220</v>
      </c>
      <c r="H241" s="93" t="n">
        <v>2852204610</v>
      </c>
      <c r="J241" s="9">
        <f>IF($A241="","",VALUE($A241&amp;"")*12+VALUE($B241&amp;""))</f>
        <v/>
      </c>
      <c r="K241" s="9">
        <f>IF($A241="","",IFERROR(INDEX(입력옵션!$C$22:$C$53,MATCH($C241&amp;"",입력옵션!$E$22:$E$53,0)),IFERROR(INDEX(입력옵션!$C$22:$C$53,MATCH($D241&amp;"",입력옵션!$F$22:$F$53,0)),$C241&amp;"")))</f>
        <v/>
      </c>
      <c r="L241" s="97">
        <f>IF($A241="",0,$G241*설정!$C$23)</f>
        <v/>
      </c>
      <c r="M241" s="97">
        <f>IF($A241="",0,$H241*설정!$C$23)</f>
        <v/>
      </c>
    </row>
    <row r="242">
      <c r="A242" s="92" t="n">
        <v>2026</v>
      </c>
      <c r="B242" s="92" t="n">
        <v>8</v>
      </c>
      <c r="C242" s="92" t="inlineStr">
        <is>
          <t>P400</t>
        </is>
      </c>
      <c r="D242" s="92" t="inlineStr">
        <is>
          <t>법인세차감전이익</t>
        </is>
      </c>
      <c r="E242" s="92" t="inlineStr">
        <is>
          <t>손익</t>
        </is>
      </c>
      <c r="F242" s="92" t="n">
        <v>1</v>
      </c>
      <c r="G242" s="93" t="n">
        <v>8920888380</v>
      </c>
      <c r="H242" s="93" t="n">
        <v>96052461690</v>
      </c>
      <c r="J242" s="9">
        <f>IF($A242="","",VALUE($A242&amp;"")*12+VALUE($B242&amp;""))</f>
        <v/>
      </c>
      <c r="K242" s="9">
        <f>IF($A242="","",IFERROR(INDEX(입력옵션!$C$22:$C$53,MATCH($C242&amp;"",입력옵션!$E$22:$E$53,0)),IFERROR(INDEX(입력옵션!$C$22:$C$53,MATCH($D242&amp;"",입력옵션!$F$22:$F$53,0)),$C242&amp;"")))</f>
        <v/>
      </c>
      <c r="L242" s="97">
        <f>IF($A242="",0,$G242*설정!$C$23)</f>
        <v/>
      </c>
      <c r="M242" s="97">
        <f>IF($A242="",0,$H242*설정!$C$23)</f>
        <v/>
      </c>
    </row>
    <row r="243">
      <c r="A243" s="92" t="n">
        <v>2026</v>
      </c>
      <c r="B243" s="92" t="n">
        <v>8</v>
      </c>
      <c r="C243" s="92" t="inlineStr">
        <is>
          <t>P500</t>
        </is>
      </c>
      <c r="D243" s="92" t="inlineStr">
        <is>
          <t>법인세비용</t>
        </is>
      </c>
      <c r="E243" s="92" t="inlineStr">
        <is>
          <t>비용</t>
        </is>
      </c>
      <c r="F243" s="92" t="n">
        <v>1</v>
      </c>
      <c r="G243" s="93" t="n">
        <v>1962595000</v>
      </c>
      <c r="H243" s="93" t="n">
        <v>21131541000</v>
      </c>
      <c r="J243" s="9">
        <f>IF($A243="","",VALUE($A243&amp;"")*12+VALUE($B243&amp;""))</f>
        <v/>
      </c>
      <c r="K243" s="9">
        <f>IF($A243="","",IFERROR(INDEX(입력옵션!$C$22:$C$53,MATCH($C243&amp;"",입력옵션!$E$22:$E$53,0)),IFERROR(INDEX(입력옵션!$C$22:$C$53,MATCH($D243&amp;"",입력옵션!$F$22:$F$53,0)),$C243&amp;"")))</f>
        <v/>
      </c>
      <c r="L243" s="97">
        <f>IF($A243="",0,$G243*설정!$C$23)</f>
        <v/>
      </c>
      <c r="M243" s="97">
        <f>IF($A243="",0,$H243*설정!$C$23)</f>
        <v/>
      </c>
    </row>
    <row r="244">
      <c r="A244" s="92" t="n">
        <v>2026</v>
      </c>
      <c r="B244" s="92" t="n">
        <v>8</v>
      </c>
      <c r="C244" s="92" t="inlineStr">
        <is>
          <t>P600</t>
        </is>
      </c>
      <c r="D244" s="92" t="inlineStr">
        <is>
          <t>당기순이익</t>
        </is>
      </c>
      <c r="E244" s="92" t="inlineStr">
        <is>
          <t>손익</t>
        </is>
      </c>
      <c r="F244" s="92" t="n">
        <v>1</v>
      </c>
      <c r="G244" s="93" t="n">
        <v>6958293380</v>
      </c>
      <c r="H244" s="93" t="n">
        <v>74920920690</v>
      </c>
      <c r="J244" s="9">
        <f>IF($A244="","",VALUE($A244&amp;"")*12+VALUE($B244&amp;""))</f>
        <v/>
      </c>
      <c r="K244" s="9">
        <f>IF($A244="","",IFERROR(INDEX(입력옵션!$C$22:$C$53,MATCH($C244&amp;"",입력옵션!$E$22:$E$53,0)),IFERROR(INDEX(입력옵션!$C$22:$C$53,MATCH($D244&amp;"",입력옵션!$F$22:$F$53,0)),$C244&amp;"")))</f>
        <v/>
      </c>
      <c r="L244" s="97">
        <f>IF($A244="",0,$G244*설정!$C$23)</f>
        <v/>
      </c>
      <c r="M244" s="97">
        <f>IF($A244="",0,$H244*설정!$C$23)</f>
        <v/>
      </c>
    </row>
    <row r="245">
      <c r="A245" s="92" t="n">
        <v>2026</v>
      </c>
      <c r="B245" s="92" t="n">
        <v>9</v>
      </c>
      <c r="C245" s="92" t="inlineStr">
        <is>
          <t>P100</t>
        </is>
      </c>
      <c r="D245" s="92" t="inlineStr">
        <is>
          <t>보험손익</t>
        </is>
      </c>
      <c r="E245" s="92" t="inlineStr">
        <is>
          <t>손익</t>
        </is>
      </c>
      <c r="F245" s="92" t="n">
        <v>1</v>
      </c>
      <c r="G245" s="93" t="n">
        <v>10253623000</v>
      </c>
      <c r="H245" s="93" t="n">
        <v>95396330000</v>
      </c>
      <c r="J245" s="9">
        <f>IF($A245="","",VALUE($A245&amp;"")*12+VALUE($B245&amp;""))</f>
        <v/>
      </c>
      <c r="K245" s="9">
        <f>IF($A245="","",IFERROR(INDEX(입력옵션!$C$22:$C$53,MATCH($C245&amp;"",입력옵션!$E$22:$E$53,0)),IFERROR(INDEX(입력옵션!$C$22:$C$53,MATCH($D245&amp;"",입력옵션!$F$22:$F$53,0)),$C245&amp;"")))</f>
        <v/>
      </c>
      <c r="L245" s="97">
        <f>IF($A245="",0,$G245*설정!$C$23)</f>
        <v/>
      </c>
      <c r="M245" s="97">
        <f>IF($A245="",0,$H245*설정!$C$23)</f>
        <v/>
      </c>
    </row>
    <row r="246">
      <c r="A246" s="92" t="n">
        <v>2026</v>
      </c>
      <c r="B246" s="92" t="n">
        <v>9</v>
      </c>
      <c r="C246" s="92" t="inlineStr">
        <is>
          <t>P110</t>
        </is>
      </c>
      <c r="D246" s="92" t="inlineStr">
        <is>
          <t>보험수익</t>
        </is>
      </c>
      <c r="E246" s="92" t="inlineStr">
        <is>
          <t>수익</t>
        </is>
      </c>
      <c r="F246" s="92" t="n">
        <v>2</v>
      </c>
      <c r="G246" s="93" t="n">
        <v>64070978000</v>
      </c>
      <c r="H246" s="93" t="n">
        <v>579334678000</v>
      </c>
      <c r="J246" s="9">
        <f>IF($A246="","",VALUE($A246&amp;"")*12+VALUE($B246&amp;""))</f>
        <v/>
      </c>
      <c r="K246" s="9">
        <f>IF($A246="","",IFERROR(INDEX(입력옵션!$C$22:$C$53,MATCH($C246&amp;"",입력옵션!$E$22:$E$53,0)),IFERROR(INDEX(입력옵션!$C$22:$C$53,MATCH($D246&amp;"",입력옵션!$F$22:$F$53,0)),$C246&amp;"")))</f>
        <v/>
      </c>
      <c r="L246" s="97">
        <f>IF($A246="",0,$G246*설정!$C$23)</f>
        <v/>
      </c>
      <c r="M246" s="97">
        <f>IF($A246="",0,$H246*설정!$C$23)</f>
        <v/>
      </c>
    </row>
    <row r="247">
      <c r="A247" s="92" t="n">
        <v>2026</v>
      </c>
      <c r="B247" s="92" t="n">
        <v>9</v>
      </c>
      <c r="C247" s="92" t="inlineStr">
        <is>
          <t>P120</t>
        </is>
      </c>
      <c r="D247" s="92" t="inlineStr">
        <is>
          <t>보험서비스비용</t>
        </is>
      </c>
      <c r="E247" s="92" t="inlineStr">
        <is>
          <t>비용</t>
        </is>
      </c>
      <c r="F247" s="92" t="n">
        <v>2</v>
      </c>
      <c r="G247" s="93" t="n">
        <v>52785585000</v>
      </c>
      <c r="H247" s="93" t="n">
        <v>473953769000</v>
      </c>
      <c r="J247" s="9">
        <f>IF($A247="","",VALUE($A247&amp;"")*12+VALUE($B247&amp;""))</f>
        <v/>
      </c>
      <c r="K247" s="9">
        <f>IF($A247="","",IFERROR(INDEX(입력옵션!$C$22:$C$53,MATCH($C247&amp;"",입력옵션!$E$22:$E$53,0)),IFERROR(INDEX(입력옵션!$C$22:$C$53,MATCH($D247&amp;"",입력옵션!$F$22:$F$53,0)),$C247&amp;"")))</f>
        <v/>
      </c>
      <c r="L247" s="97">
        <f>IF($A247="",0,$G247*설정!$C$23)</f>
        <v/>
      </c>
      <c r="M247" s="97">
        <f>IF($A247="",0,$H247*설정!$C$23)</f>
        <v/>
      </c>
    </row>
    <row r="248">
      <c r="A248" s="92" t="n">
        <v>2026</v>
      </c>
      <c r="B248" s="92" t="n">
        <v>9</v>
      </c>
      <c r="C248" s="92" t="inlineStr">
        <is>
          <t>P130</t>
        </is>
      </c>
      <c r="D248" s="92" t="inlineStr">
        <is>
          <t>재보험손익</t>
        </is>
      </c>
      <c r="E248" s="92" t="inlineStr">
        <is>
          <t>손익</t>
        </is>
      </c>
      <c r="F248" s="92" t="n">
        <v>2</v>
      </c>
      <c r="G248" s="93" t="n">
        <v>-1031770000</v>
      </c>
      <c r="H248" s="93" t="n">
        <v>-9984579000</v>
      </c>
      <c r="J248" s="9">
        <f>IF($A248="","",VALUE($A248&amp;"")*12+VALUE($B248&amp;""))</f>
        <v/>
      </c>
      <c r="K248" s="9">
        <f>IF($A248="","",IFERROR(INDEX(입력옵션!$C$22:$C$53,MATCH($C248&amp;"",입력옵션!$E$22:$E$53,0)),IFERROR(INDEX(입력옵션!$C$22:$C$53,MATCH($D248&amp;"",입력옵션!$F$22:$F$53,0)),$C248&amp;"")))</f>
        <v/>
      </c>
      <c r="L248" s="97">
        <f>IF($A248="",0,$G248*설정!$C$23)</f>
        <v/>
      </c>
      <c r="M248" s="97">
        <f>IF($A248="",0,$H248*설정!$C$23)</f>
        <v/>
      </c>
    </row>
    <row r="249">
      <c r="A249" s="92" t="n">
        <v>2026</v>
      </c>
      <c r="B249" s="92" t="n">
        <v>9</v>
      </c>
      <c r="C249" s="92" t="inlineStr">
        <is>
          <t>P200</t>
        </is>
      </c>
      <c r="D249" s="92" t="inlineStr">
        <is>
          <t>투자손익</t>
        </is>
      </c>
      <c r="E249" s="92" t="inlineStr">
        <is>
          <t>손익</t>
        </is>
      </c>
      <c r="F249" s="92" t="n">
        <v>1</v>
      </c>
      <c r="G249" s="93" t="n">
        <v>1474797000</v>
      </c>
      <c r="H249" s="93" t="n">
        <v>15236756300</v>
      </c>
      <c r="J249" s="9">
        <f>IF($A249="","",VALUE($A249&amp;"")*12+VALUE($B249&amp;""))</f>
        <v/>
      </c>
      <c r="K249" s="9">
        <f>IF($A249="","",IFERROR(INDEX(입력옵션!$C$22:$C$53,MATCH($C249&amp;"",입력옵션!$E$22:$E$53,0)),IFERROR(INDEX(입력옵션!$C$22:$C$53,MATCH($D249&amp;"",입력옵션!$F$22:$F$53,0)),$C249&amp;"")))</f>
        <v/>
      </c>
      <c r="L249" s="97">
        <f>IF($A249="",0,$G249*설정!$C$23)</f>
        <v/>
      </c>
      <c r="M249" s="97">
        <f>IF($A249="",0,$H249*설정!$C$23)</f>
        <v/>
      </c>
    </row>
    <row r="250">
      <c r="A250" s="92" t="n">
        <v>2026</v>
      </c>
      <c r="B250" s="92" t="n">
        <v>9</v>
      </c>
      <c r="C250" s="92" t="inlineStr">
        <is>
          <t>P210</t>
        </is>
      </c>
      <c r="D250" s="92" t="inlineStr">
        <is>
          <t>투자수익</t>
        </is>
      </c>
      <c r="E250" s="92" t="inlineStr">
        <is>
          <t>수익</t>
        </is>
      </c>
      <c r="F250" s="92" t="n">
        <v>2</v>
      </c>
      <c r="G250" s="93" t="n">
        <v>9670161000</v>
      </c>
      <c r="H250" s="93" t="n">
        <v>87815207000</v>
      </c>
      <c r="J250" s="9">
        <f>IF($A250="","",VALUE($A250&amp;"")*12+VALUE($B250&amp;""))</f>
        <v/>
      </c>
      <c r="K250" s="9">
        <f>IF($A250="","",IFERROR(INDEX(입력옵션!$C$22:$C$53,MATCH($C250&amp;"",입력옵션!$E$22:$E$53,0)),IFERROR(INDEX(입력옵션!$C$22:$C$53,MATCH($D250&amp;"",입력옵션!$F$22:$F$53,0)),$C250&amp;"")))</f>
        <v/>
      </c>
      <c r="L250" s="97">
        <f>IF($A250="",0,$G250*설정!$C$23)</f>
        <v/>
      </c>
      <c r="M250" s="97">
        <f>IF($A250="",0,$H250*설정!$C$23)</f>
        <v/>
      </c>
    </row>
    <row r="251">
      <c r="A251" s="92" t="n">
        <v>2026</v>
      </c>
      <c r="B251" s="92" t="n">
        <v>9</v>
      </c>
      <c r="C251" s="92" t="inlineStr">
        <is>
          <t>P220</t>
        </is>
      </c>
      <c r="D251" s="92" t="inlineStr">
        <is>
          <t>보험금융비용</t>
        </is>
      </c>
      <c r="E251" s="92" t="inlineStr">
        <is>
          <t>비용</t>
        </is>
      </c>
      <c r="F251" s="92" t="n">
        <v>2</v>
      </c>
      <c r="G251" s="93" t="n">
        <v>8163087000</v>
      </c>
      <c r="H251" s="93" t="n">
        <v>72284954000</v>
      </c>
      <c r="J251" s="9">
        <f>IF($A251="","",VALUE($A251&amp;"")*12+VALUE($B251&amp;""))</f>
        <v/>
      </c>
      <c r="K251" s="9">
        <f>IF($A251="","",IFERROR(INDEX(입력옵션!$C$22:$C$53,MATCH($C251&amp;"",입력옵션!$E$22:$E$53,0)),IFERROR(INDEX(입력옵션!$C$22:$C$53,MATCH($D251&amp;"",입력옵션!$F$22:$F$53,0)),$C251&amp;"")))</f>
        <v/>
      </c>
      <c r="L251" s="97">
        <f>IF($A251="",0,$G251*설정!$C$23)</f>
        <v/>
      </c>
      <c r="M251" s="97">
        <f>IF($A251="",0,$H251*설정!$C$23)</f>
        <v/>
      </c>
    </row>
    <row r="252">
      <c r="A252" s="92" t="n">
        <v>2026</v>
      </c>
      <c r="B252" s="92" t="n">
        <v>9</v>
      </c>
      <c r="C252" s="92" t="inlineStr">
        <is>
          <t>P230</t>
        </is>
      </c>
      <c r="D252" s="92" t="inlineStr">
        <is>
          <t>재산관리비</t>
        </is>
      </c>
      <c r="E252" s="92" t="inlineStr">
        <is>
          <t>비용</t>
        </is>
      </c>
      <c r="F252" s="92" t="n">
        <v>2</v>
      </c>
      <c r="G252" s="93" t="n">
        <v>32277000</v>
      </c>
      <c r="H252" s="93" t="n">
        <v>293496700</v>
      </c>
      <c r="J252" s="9">
        <f>IF($A252="","",VALUE($A252&amp;"")*12+VALUE($B252&amp;""))</f>
        <v/>
      </c>
      <c r="K252" s="9">
        <f>IF($A252="","",IFERROR(INDEX(입력옵션!$C$22:$C$53,MATCH($C252&amp;"",입력옵션!$E$22:$E$53,0)),IFERROR(INDEX(입력옵션!$C$22:$C$53,MATCH($D252&amp;"",입력옵션!$F$22:$F$53,0)),$C252&amp;"")))</f>
        <v/>
      </c>
      <c r="L252" s="97">
        <f>IF($A252="",0,$G252*설정!$C$23)</f>
        <v/>
      </c>
      <c r="M252" s="97">
        <f>IF($A252="",0,$H252*설정!$C$23)</f>
        <v/>
      </c>
    </row>
    <row r="253">
      <c r="A253" s="92" t="n">
        <v>2026</v>
      </c>
      <c r="B253" s="92" t="n">
        <v>9</v>
      </c>
      <c r="C253" s="92" t="inlineStr">
        <is>
          <t>P300</t>
        </is>
      </c>
      <c r="D253" s="92" t="inlineStr">
        <is>
          <t>기타사업비용 (사업비)</t>
        </is>
      </c>
      <c r="E253" s="92" t="inlineStr">
        <is>
          <t>비용</t>
        </is>
      </c>
      <c r="F253" s="92" t="n">
        <v>1</v>
      </c>
      <c r="G253" s="93" t="n">
        <v>542967400</v>
      </c>
      <c r="H253" s="93" t="n">
        <v>3395172010</v>
      </c>
      <c r="J253" s="9">
        <f>IF($A253="","",VALUE($A253&amp;"")*12+VALUE($B253&amp;""))</f>
        <v/>
      </c>
      <c r="K253" s="9">
        <f>IF($A253="","",IFERROR(INDEX(입력옵션!$C$22:$C$53,MATCH($C253&amp;"",입력옵션!$E$22:$E$53,0)),IFERROR(INDEX(입력옵션!$C$22:$C$53,MATCH($D253&amp;"",입력옵션!$F$22:$F$53,0)),$C253&amp;"")))</f>
        <v/>
      </c>
      <c r="L253" s="97">
        <f>IF($A253="",0,$G253*설정!$C$23)</f>
        <v/>
      </c>
      <c r="M253" s="97">
        <f>IF($A253="",0,$H253*설정!$C$23)</f>
        <v/>
      </c>
    </row>
    <row r="254">
      <c r="A254" s="92" t="n">
        <v>2026</v>
      </c>
      <c r="B254" s="92" t="n">
        <v>9</v>
      </c>
      <c r="C254" s="92" t="inlineStr">
        <is>
          <t>P400</t>
        </is>
      </c>
      <c r="D254" s="92" t="inlineStr">
        <is>
          <t>법인세차감전이익</t>
        </is>
      </c>
      <c r="E254" s="92" t="inlineStr">
        <is>
          <t>손익</t>
        </is>
      </c>
      <c r="F254" s="92" t="n">
        <v>1</v>
      </c>
      <c r="G254" s="93" t="n">
        <v>11185452600</v>
      </c>
      <c r="H254" s="93" t="n">
        <v>107237914290</v>
      </c>
      <c r="J254" s="9">
        <f>IF($A254="","",VALUE($A254&amp;"")*12+VALUE($B254&amp;""))</f>
        <v/>
      </c>
      <c r="K254" s="9">
        <f>IF($A254="","",IFERROR(INDEX(입력옵션!$C$22:$C$53,MATCH($C254&amp;"",입력옵션!$E$22:$E$53,0)),IFERROR(INDEX(입력옵션!$C$22:$C$53,MATCH($D254&amp;"",입력옵션!$F$22:$F$53,0)),$C254&amp;"")))</f>
        <v/>
      </c>
      <c r="L254" s="97">
        <f>IF($A254="",0,$G254*설정!$C$23)</f>
        <v/>
      </c>
      <c r="M254" s="97">
        <f>IF($A254="",0,$H254*설정!$C$23)</f>
        <v/>
      </c>
    </row>
    <row r="255">
      <c r="A255" s="92" t="n">
        <v>2026</v>
      </c>
      <c r="B255" s="92" t="n">
        <v>9</v>
      </c>
      <c r="C255" s="92" t="inlineStr">
        <is>
          <t>P500</t>
        </is>
      </c>
      <c r="D255" s="92" t="inlineStr">
        <is>
          <t>법인세비용</t>
        </is>
      </c>
      <c r="E255" s="92" t="inlineStr">
        <is>
          <t>비용</t>
        </is>
      </c>
      <c r="F255" s="92" t="n">
        <v>1</v>
      </c>
      <c r="G255" s="93" t="n">
        <v>2460800000</v>
      </c>
      <c r="H255" s="93" t="n">
        <v>23592341000</v>
      </c>
      <c r="J255" s="9">
        <f>IF($A255="","",VALUE($A255&amp;"")*12+VALUE($B255&amp;""))</f>
        <v/>
      </c>
      <c r="K255" s="9">
        <f>IF($A255="","",IFERROR(INDEX(입력옵션!$C$22:$C$53,MATCH($C255&amp;"",입력옵션!$E$22:$E$53,0)),IFERROR(INDEX(입력옵션!$C$22:$C$53,MATCH($D255&amp;"",입력옵션!$F$22:$F$53,0)),$C255&amp;"")))</f>
        <v/>
      </c>
      <c r="L255" s="97">
        <f>IF($A255="",0,$G255*설정!$C$23)</f>
        <v/>
      </c>
      <c r="M255" s="97">
        <f>IF($A255="",0,$H255*설정!$C$23)</f>
        <v/>
      </c>
    </row>
    <row r="256">
      <c r="A256" s="92" t="n">
        <v>2026</v>
      </c>
      <c r="B256" s="92" t="n">
        <v>9</v>
      </c>
      <c r="C256" s="92" t="inlineStr">
        <is>
          <t>P600</t>
        </is>
      </c>
      <c r="D256" s="92" t="inlineStr">
        <is>
          <t>당기순이익</t>
        </is>
      </c>
      <c r="E256" s="92" t="inlineStr">
        <is>
          <t>손익</t>
        </is>
      </c>
      <c r="F256" s="92" t="n">
        <v>1</v>
      </c>
      <c r="G256" s="93" t="n">
        <v>8724652600</v>
      </c>
      <c r="H256" s="93" t="n">
        <v>83645573290</v>
      </c>
      <c r="J256" s="9">
        <f>IF($A256="","",VALUE($A256&amp;"")*12+VALUE($B256&amp;""))</f>
        <v/>
      </c>
      <c r="K256" s="9">
        <f>IF($A256="","",IFERROR(INDEX(입력옵션!$C$22:$C$53,MATCH($C256&amp;"",입력옵션!$E$22:$E$53,0)),IFERROR(INDEX(입력옵션!$C$22:$C$53,MATCH($D256&amp;"",입력옵션!$F$22:$F$53,0)),$C256&amp;"")))</f>
        <v/>
      </c>
      <c r="L256" s="97">
        <f>IF($A256="",0,$G256*설정!$C$23)</f>
        <v/>
      </c>
      <c r="M256" s="97">
        <f>IF($A256="",0,$H256*설정!$C$23)</f>
        <v/>
      </c>
    </row>
  </sheetData>
  <autoFilter ref="A4:M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B9BD5"/>
    <outlinePr summaryBelow="1" summaryRight="1"/>
    <pageSetUpPr/>
  </sheetPr>
  <dimension ref="A1:P9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0" customWidth="1" min="3" max="3"/>
    <col width="11" customWidth="1" min="4" max="4"/>
    <col width="8" customWidth="1" min="5" max="5"/>
    <col width="11" customWidth="1" min="6" max="6"/>
    <col width="22" customWidth="1" min="7" max="7"/>
    <col width="15" customWidth="1" min="8" max="8"/>
    <col width="13" customWidth="1" min="9" max="9"/>
    <col width="13" customWidth="1" min="10" max="10"/>
    <col width="2" customWidth="1" min="11" max="11"/>
    <col width="8" customWidth="1" min="12" max="12"/>
    <col width="12" customWidth="1" min="13" max="13"/>
    <col width="11" customWidth="1" min="14" max="14"/>
    <col width="11" customWidth="1" min="15" max="15"/>
    <col width="9" customWidth="1" min="16" max="16"/>
  </cols>
  <sheetData>
    <row r="1">
      <c r="A1" s="1" t="inlineStr">
        <is>
          <t>TRACE · 보험계약부채 변동표 (BEL · RA · CSM)</t>
        </is>
      </c>
    </row>
    <row r="2">
      <c r="A2" s="2" t="inlineStr">
        <is>
          <t>A~J: 붙여넣기 (감독원 양식·계리 결과) · L~P: 보조수식 · 요인코드는 입력옵션의 변동요인 매핑으로 TRACE 코드에 연결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포트폴리오</t>
        </is>
      </c>
      <c r="D4" s="4" t="inlineStr">
        <is>
          <t>포트폴리오명</t>
        </is>
      </c>
      <c r="E4" s="4" t="inlineStr">
        <is>
          <t>측정모형</t>
        </is>
      </c>
      <c r="F4" s="4" t="inlineStr">
        <is>
          <t>변동요인코드</t>
        </is>
      </c>
      <c r="G4" s="4" t="inlineStr">
        <is>
          <t>변동요인</t>
        </is>
      </c>
      <c r="H4" s="4" t="inlineStr">
        <is>
          <t>BEL</t>
        </is>
      </c>
      <c r="I4" s="4" t="inlineStr">
        <is>
          <t>RA</t>
        </is>
      </c>
      <c r="J4" s="4" t="inlineStr">
        <is>
          <t>CSM</t>
        </is>
      </c>
      <c r="L4" s="39" t="inlineStr">
        <is>
          <t>기간번호</t>
        </is>
      </c>
      <c r="M4" s="39" t="inlineStr">
        <is>
          <t>BEL
(보고단위)</t>
        </is>
      </c>
      <c r="N4" s="39" t="inlineStr">
        <is>
          <t>RA
(보고단위)</t>
        </is>
      </c>
      <c r="O4" s="39" t="inlineStr">
        <is>
          <t>CSM
(보고단위)</t>
        </is>
      </c>
      <c r="P4" s="39" t="inlineStr">
        <is>
          <t>TRACE
요인코드</t>
        </is>
      </c>
    </row>
    <row r="5">
      <c r="A5" s="92" t="n">
        <v>2025</v>
      </c>
      <c r="B5" s="92" t="n">
        <v>1</v>
      </c>
      <c r="C5" s="92" t="inlineStr">
        <is>
          <t>PF01</t>
        </is>
      </c>
      <c r="D5" s="92" t="inlineStr">
        <is>
          <t>보장성</t>
        </is>
      </c>
      <c r="E5" s="92" t="inlineStr">
        <is>
          <t>GMM</t>
        </is>
      </c>
      <c r="F5" s="92" t="inlineStr">
        <is>
          <t>F00</t>
        </is>
      </c>
      <c r="G5" s="92" t="inlineStr">
        <is>
          <t>기초잔액</t>
        </is>
      </c>
      <c r="H5" s="93" t="n">
        <v>1021670852000</v>
      </c>
      <c r="I5" s="93" t="n">
        <v>70136228000</v>
      </c>
      <c r="J5" s="93" t="n">
        <v>229710000000</v>
      </c>
      <c r="L5" s="9">
        <f>IF($A5="","",VALUE($A5&amp;"")*12+VALUE($B5&amp;""))</f>
        <v/>
      </c>
      <c r="M5" s="94">
        <f>IF($A5="",0,$H5*설정!$C$23)</f>
        <v/>
      </c>
      <c r="N5" s="94">
        <f>IF($A5="",0,$I5*설정!$C$23)</f>
        <v/>
      </c>
      <c r="O5" s="94">
        <f>IF($A5="",0,$J5*설정!$C$23)</f>
        <v/>
      </c>
      <c r="P5" s="64">
        <f>IF($A5="","",IFERROR(INDEX(입력옵션!$C$58:$C$68,MATCH($F5&amp;"",입력옵션!$E$58:$E$68,0)),IFERROR(INDEX(입력옵션!$C$58:$C$68,MATCH($G5&amp;"",입력옵션!$F$58:$F$68,0)),$F5&amp;"")))</f>
        <v/>
      </c>
    </row>
    <row r="6">
      <c r="A6" s="92" t="n">
        <v>2025</v>
      </c>
      <c r="B6" s="92" t="n">
        <v>1</v>
      </c>
      <c r="C6" s="92" t="inlineStr">
        <is>
          <t>PF01</t>
        </is>
      </c>
      <c r="D6" s="92" t="inlineStr">
        <is>
          <t>보장성</t>
        </is>
      </c>
      <c r="E6" s="92" t="inlineStr">
        <is>
          <t>GMM</t>
        </is>
      </c>
      <c r="F6" s="92" t="inlineStr">
        <is>
          <t>F10</t>
        </is>
      </c>
      <c r="G6" s="92" t="inlineStr">
        <is>
          <t>신계약 효과</t>
        </is>
      </c>
      <c r="H6" s="93" t="n">
        <v>-3610059000</v>
      </c>
      <c r="I6" s="93" t="n">
        <v>722012000</v>
      </c>
      <c r="J6" s="93" t="n">
        <v>2888047000</v>
      </c>
      <c r="L6" s="9">
        <f>IF($A6="","",VALUE($A6&amp;"")*12+VALUE($B6&amp;""))</f>
        <v/>
      </c>
      <c r="M6" s="94">
        <f>IF($A6="",0,$H6*설정!$C$23)</f>
        <v/>
      </c>
      <c r="N6" s="94">
        <f>IF($A6="",0,$I6*설정!$C$23)</f>
        <v/>
      </c>
      <c r="O6" s="94">
        <f>IF($A6="",0,$J6*설정!$C$23)</f>
        <v/>
      </c>
      <c r="P6" s="64">
        <f>IF($A6="","",IFERROR(INDEX(입력옵션!$C$58:$C$68,MATCH($F6&amp;"",입력옵션!$E$58:$E$68,0)),IFERROR(INDEX(입력옵션!$C$58:$C$68,MATCH($G6&amp;"",입력옵션!$F$58:$F$68,0)),$F6&amp;"")))</f>
        <v/>
      </c>
    </row>
    <row r="7">
      <c r="A7" s="92" t="n">
        <v>2025</v>
      </c>
      <c r="B7" s="92" t="n">
        <v>1</v>
      </c>
      <c r="C7" s="92" t="inlineStr">
        <is>
          <t>PF01</t>
        </is>
      </c>
      <c r="D7" s="92" t="inlineStr">
        <is>
          <t>보장성</t>
        </is>
      </c>
      <c r="E7" s="92" t="inlineStr">
        <is>
          <t>GMM</t>
        </is>
      </c>
      <c r="F7" s="92" t="inlineStr">
        <is>
          <t>F21</t>
        </is>
      </c>
      <c r="G7" s="92" t="inlineStr">
        <is>
          <t>가정변경-사업비</t>
        </is>
      </c>
      <c r="H7" s="93" t="n">
        <v>0</v>
      </c>
      <c r="I7" s="93" t="n">
        <v>0</v>
      </c>
      <c r="J7" s="93" t="n">
        <v>0</v>
      </c>
      <c r="L7" s="9">
        <f>IF($A7="","",VALUE($A7&amp;"")*12+VALUE($B7&amp;""))</f>
        <v/>
      </c>
      <c r="M7" s="94">
        <f>IF($A7="",0,$H7*설정!$C$23)</f>
        <v/>
      </c>
      <c r="N7" s="94">
        <f>IF($A7="",0,$I7*설정!$C$23)</f>
        <v/>
      </c>
      <c r="O7" s="94">
        <f>IF($A7="",0,$J7*설정!$C$23)</f>
        <v/>
      </c>
      <c r="P7" s="64">
        <f>IF($A7="","",IFERROR(INDEX(입력옵션!$C$58:$C$68,MATCH($F7&amp;"",입력옵션!$E$58:$E$68,0)),IFERROR(INDEX(입력옵션!$C$58:$C$68,MATCH($G7&amp;"",입력옵션!$F$58:$F$68,0)),$F7&amp;"")))</f>
        <v/>
      </c>
    </row>
    <row r="8">
      <c r="A8" s="92" t="n">
        <v>2025</v>
      </c>
      <c r="B8" s="92" t="n">
        <v>1</v>
      </c>
      <c r="C8" s="92" t="inlineStr">
        <is>
          <t>PF01</t>
        </is>
      </c>
      <c r="D8" s="92" t="inlineStr">
        <is>
          <t>보장성</t>
        </is>
      </c>
      <c r="E8" s="92" t="inlineStr">
        <is>
          <t>GMM</t>
        </is>
      </c>
      <c r="F8" s="92" t="inlineStr">
        <is>
          <t>F22</t>
        </is>
      </c>
      <c r="G8" s="92" t="inlineStr">
        <is>
          <t>가정변경-기타</t>
        </is>
      </c>
      <c r="H8" s="93" t="n">
        <v>0</v>
      </c>
      <c r="I8" s="93" t="n">
        <v>0</v>
      </c>
      <c r="J8" s="93" t="n">
        <v>0</v>
      </c>
      <c r="L8" s="9">
        <f>IF($A8="","",VALUE($A8&amp;"")*12+VALUE($B8&amp;""))</f>
        <v/>
      </c>
      <c r="M8" s="94">
        <f>IF($A8="",0,$H8*설정!$C$23)</f>
        <v/>
      </c>
      <c r="N8" s="94">
        <f>IF($A8="",0,$I8*설정!$C$23)</f>
        <v/>
      </c>
      <c r="O8" s="94">
        <f>IF($A8="",0,$J8*설정!$C$23)</f>
        <v/>
      </c>
      <c r="P8" s="64">
        <f>IF($A8="","",IFERROR(INDEX(입력옵션!$C$58:$C$68,MATCH($F8&amp;"",입력옵션!$E$58:$E$68,0)),IFERROR(INDEX(입력옵션!$C$58:$C$68,MATCH($G8&amp;"",입력옵션!$F$58:$F$68,0)),$F8&amp;"")))</f>
        <v/>
      </c>
    </row>
    <row r="9">
      <c r="A9" s="92" t="n">
        <v>2025</v>
      </c>
      <c r="B9" s="92" t="n">
        <v>1</v>
      </c>
      <c r="C9" s="92" t="inlineStr">
        <is>
          <t>PF01</t>
        </is>
      </c>
      <c r="D9" s="92" t="inlineStr">
        <is>
          <t>보장성</t>
        </is>
      </c>
      <c r="E9" s="92" t="inlineStr">
        <is>
          <t>GMM</t>
        </is>
      </c>
      <c r="F9" s="92" t="inlineStr">
        <is>
          <t>F31</t>
        </is>
      </c>
      <c r="G9" s="92" t="inlineStr">
        <is>
          <t>경험조정-취득현금흐름</t>
        </is>
      </c>
      <c r="H9" s="93" t="n">
        <v>0</v>
      </c>
      <c r="I9" s="93" t="n">
        <v>0</v>
      </c>
      <c r="J9" s="93" t="n">
        <v>5435000</v>
      </c>
      <c r="L9" s="9">
        <f>IF($A9="","",VALUE($A9&amp;"")*12+VALUE($B9&amp;""))</f>
        <v/>
      </c>
      <c r="M9" s="94">
        <f>IF($A9="",0,$H9*설정!$C$23)</f>
        <v/>
      </c>
      <c r="N9" s="94">
        <f>IF($A9="",0,$I9*설정!$C$23)</f>
        <v/>
      </c>
      <c r="O9" s="94">
        <f>IF($A9="",0,$J9*설정!$C$23)</f>
        <v/>
      </c>
      <c r="P9" s="64">
        <f>IF($A9="","",IFERROR(INDEX(입력옵션!$C$58:$C$68,MATCH($F9&amp;"",입력옵션!$E$58:$E$68,0)),IFERROR(INDEX(입력옵션!$C$58:$C$68,MATCH($G9&amp;"",입력옵션!$F$58:$F$68,0)),$F9&amp;"")))</f>
        <v/>
      </c>
    </row>
    <row r="10">
      <c r="A10" s="92" t="n">
        <v>2025</v>
      </c>
      <c r="B10" s="92" t="n">
        <v>1</v>
      </c>
      <c r="C10" s="92" t="inlineStr">
        <is>
          <t>PF01</t>
        </is>
      </c>
      <c r="D10" s="92" t="inlineStr">
        <is>
          <t>보장성</t>
        </is>
      </c>
      <c r="E10" s="92" t="inlineStr">
        <is>
          <t>GMM</t>
        </is>
      </c>
      <c r="F10" s="92" t="inlineStr">
        <is>
          <t>F32</t>
        </is>
      </c>
      <c r="G10" s="92" t="inlineStr">
        <is>
          <t>경험조정-보험료 등</t>
        </is>
      </c>
      <c r="H10" s="93" t="n">
        <v>0</v>
      </c>
      <c r="I10" s="93" t="n">
        <v>0</v>
      </c>
      <c r="J10" s="93" t="n">
        <v>234083000</v>
      </c>
      <c r="L10" s="9">
        <f>IF($A10="","",VALUE($A10&amp;"")*12+VALUE($B10&amp;""))</f>
        <v/>
      </c>
      <c r="M10" s="94">
        <f>IF($A10="",0,$H10*설정!$C$23)</f>
        <v/>
      </c>
      <c r="N10" s="94">
        <f>IF($A10="",0,$I10*설정!$C$23)</f>
        <v/>
      </c>
      <c r="O10" s="94">
        <f>IF($A10="",0,$J10*설정!$C$23)</f>
        <v/>
      </c>
      <c r="P10" s="64">
        <f>IF($A10="","",IFERROR(INDEX(입력옵션!$C$58:$C$68,MATCH($F10&amp;"",입력옵션!$E$58:$E$68,0)),IFERROR(INDEX(입력옵션!$C$58:$C$68,MATCH($G10&amp;"",입력옵션!$F$58:$F$68,0)),$F10&amp;"")))</f>
        <v/>
      </c>
    </row>
    <row r="11">
      <c r="A11" s="92" t="n">
        <v>2025</v>
      </c>
      <c r="B11" s="92" t="n">
        <v>1</v>
      </c>
      <c r="C11" s="92" t="inlineStr">
        <is>
          <t>PF01</t>
        </is>
      </c>
      <c r="D11" s="92" t="inlineStr">
        <is>
          <t>보장성</t>
        </is>
      </c>
      <c r="E11" s="92" t="inlineStr">
        <is>
          <t>GMM</t>
        </is>
      </c>
      <c r="F11" s="92" t="inlineStr">
        <is>
          <t>F40</t>
        </is>
      </c>
      <c r="G11" s="92" t="inlineStr">
        <is>
          <t>보험금융비용(이자부리)</t>
        </is>
      </c>
      <c r="H11" s="93" t="n">
        <v>2554177000</v>
      </c>
      <c r="I11" s="93" t="n">
        <v>140272000</v>
      </c>
      <c r="J11" s="93" t="n">
        <v>574275000</v>
      </c>
      <c r="L11" s="9">
        <f>IF($A11="","",VALUE($A11&amp;"")*12+VALUE($B11&amp;""))</f>
        <v/>
      </c>
      <c r="M11" s="94">
        <f>IF($A11="",0,$H11*설정!$C$23)</f>
        <v/>
      </c>
      <c r="N11" s="94">
        <f>IF($A11="",0,$I11*설정!$C$23)</f>
        <v/>
      </c>
      <c r="O11" s="94">
        <f>IF($A11="",0,$J11*설정!$C$23)</f>
        <v/>
      </c>
      <c r="P11" s="64">
        <f>IF($A11="","",IFERROR(INDEX(입력옵션!$C$58:$C$68,MATCH($F11&amp;"",입력옵션!$E$58:$E$68,0)),IFERROR(INDEX(입력옵션!$C$58:$C$68,MATCH($G11&amp;"",입력옵션!$F$58:$F$68,0)),$F11&amp;"")))</f>
        <v/>
      </c>
    </row>
    <row r="12">
      <c r="A12" s="92" t="n">
        <v>2025</v>
      </c>
      <c r="B12" s="92" t="n">
        <v>1</v>
      </c>
      <c r="C12" s="92" t="inlineStr">
        <is>
          <t>PF01</t>
        </is>
      </c>
      <c r="D12" s="92" t="inlineStr">
        <is>
          <t>보장성</t>
        </is>
      </c>
      <c r="E12" s="92" t="inlineStr">
        <is>
          <t>GMM</t>
        </is>
      </c>
      <c r="F12" s="92" t="inlineStr">
        <is>
          <t>F51</t>
        </is>
      </c>
      <c r="G12" s="92" t="inlineStr">
        <is>
          <t>CSM 상각</t>
        </is>
      </c>
      <c r="H12" s="93" t="n">
        <v>0</v>
      </c>
      <c r="I12" s="93" t="n">
        <v>0</v>
      </c>
      <c r="J12" s="93" t="n">
        <v>-2067390000</v>
      </c>
      <c r="L12" s="9">
        <f>IF($A12="","",VALUE($A12&amp;"")*12+VALUE($B12&amp;""))</f>
        <v/>
      </c>
      <c r="M12" s="94">
        <f>IF($A12="",0,$H12*설정!$C$23)</f>
        <v/>
      </c>
      <c r="N12" s="94">
        <f>IF($A12="",0,$I12*설정!$C$23)</f>
        <v/>
      </c>
      <c r="O12" s="94">
        <f>IF($A12="",0,$J12*설정!$C$23)</f>
        <v/>
      </c>
      <c r="P12" s="64">
        <f>IF($A12="","",IFERROR(INDEX(입력옵션!$C$58:$C$68,MATCH($F12&amp;"",입력옵션!$E$58:$E$68,0)),IFERROR(INDEX(입력옵션!$C$58:$C$68,MATCH($G12&amp;"",입력옵션!$F$58:$F$68,0)),$F12&amp;"")))</f>
        <v/>
      </c>
    </row>
    <row r="13">
      <c r="A13" s="92" t="n">
        <v>2025</v>
      </c>
      <c r="B13" s="92" t="n">
        <v>1</v>
      </c>
      <c r="C13" s="92" t="inlineStr">
        <is>
          <t>PF01</t>
        </is>
      </c>
      <c r="D13" s="92" t="inlineStr">
        <is>
          <t>보장성</t>
        </is>
      </c>
      <c r="E13" s="92" t="inlineStr">
        <is>
          <t>GMM</t>
        </is>
      </c>
      <c r="F13" s="92" t="inlineStr">
        <is>
          <t>F52</t>
        </is>
      </c>
      <c r="G13" s="92" t="inlineStr">
        <is>
          <t>RA 해제</t>
        </is>
      </c>
      <c r="H13" s="93" t="n">
        <v>0</v>
      </c>
      <c r="I13" s="93" t="n">
        <v>-420817000</v>
      </c>
      <c r="J13" s="93" t="n">
        <v>0</v>
      </c>
      <c r="L13" s="9">
        <f>IF($A13="","",VALUE($A13&amp;"")*12+VALUE($B13&amp;""))</f>
        <v/>
      </c>
      <c r="M13" s="94">
        <f>IF($A13="",0,$H13*설정!$C$23)</f>
        <v/>
      </c>
      <c r="N13" s="94">
        <f>IF($A13="",0,$I13*설정!$C$23)</f>
        <v/>
      </c>
      <c r="O13" s="94">
        <f>IF($A13="",0,$J13*설정!$C$23)</f>
        <v/>
      </c>
      <c r="P13" s="64">
        <f>IF($A13="","",IFERROR(INDEX(입력옵션!$C$58:$C$68,MATCH($F13&amp;"",입력옵션!$E$58:$E$68,0)),IFERROR(INDEX(입력옵션!$C$58:$C$68,MATCH($G13&amp;"",입력옵션!$F$58:$F$68,0)),$F13&amp;"")))</f>
        <v/>
      </c>
    </row>
    <row r="14">
      <c r="A14" s="92" t="n">
        <v>2025</v>
      </c>
      <c r="B14" s="92" t="n">
        <v>1</v>
      </c>
      <c r="C14" s="92" t="inlineStr">
        <is>
          <t>PF01</t>
        </is>
      </c>
      <c r="D14" s="92" t="inlineStr">
        <is>
          <t>보장성</t>
        </is>
      </c>
      <c r="E14" s="92" t="inlineStr">
        <is>
          <t>GMM</t>
        </is>
      </c>
      <c r="F14" s="92" t="inlineStr">
        <is>
          <t>F60</t>
        </is>
      </c>
      <c r="G14" s="92" t="inlineStr">
        <is>
          <t>현금흐름 및 기타</t>
        </is>
      </c>
      <c r="H14" s="93" t="n">
        <v>4631730000</v>
      </c>
      <c r="I14" s="93" t="n">
        <v>-301194000</v>
      </c>
      <c r="J14" s="93" t="n">
        <v>0</v>
      </c>
      <c r="L14" s="9">
        <f>IF($A14="","",VALUE($A14&amp;"")*12+VALUE($B14&amp;""))</f>
        <v/>
      </c>
      <c r="M14" s="94">
        <f>IF($A14="",0,$H14*설정!$C$23)</f>
        <v/>
      </c>
      <c r="N14" s="94">
        <f>IF($A14="",0,$I14*설정!$C$23)</f>
        <v/>
      </c>
      <c r="O14" s="94">
        <f>IF($A14="",0,$J14*설정!$C$23)</f>
        <v/>
      </c>
      <c r="P14" s="64">
        <f>IF($A14="","",IFERROR(INDEX(입력옵션!$C$58:$C$68,MATCH($F14&amp;"",입력옵션!$E$58:$E$68,0)),IFERROR(INDEX(입력옵션!$C$58:$C$68,MATCH($G14&amp;"",입력옵션!$F$58:$F$68,0)),$F14&amp;"")))</f>
        <v/>
      </c>
    </row>
    <row r="15">
      <c r="A15" s="92" t="n">
        <v>2025</v>
      </c>
      <c r="B15" s="92" t="n">
        <v>1</v>
      </c>
      <c r="C15" s="92" t="inlineStr">
        <is>
          <t>PF01</t>
        </is>
      </c>
      <c r="D15" s="92" t="inlineStr">
        <is>
          <t>보장성</t>
        </is>
      </c>
      <c r="E15" s="92" t="inlineStr">
        <is>
          <t>GMM</t>
        </is>
      </c>
      <c r="F15" s="92" t="inlineStr">
        <is>
          <t>F99</t>
        </is>
      </c>
      <c r="G15" s="92" t="inlineStr">
        <is>
          <t>기말잔액</t>
        </is>
      </c>
      <c r="H15" s="93" t="n">
        <v>1025246700000</v>
      </c>
      <c r="I15" s="93" t="n">
        <v>70276500000</v>
      </c>
      <c r="J15" s="93" t="n">
        <v>231344450000</v>
      </c>
      <c r="L15" s="9">
        <f>IF($A15="","",VALUE($A15&amp;"")*12+VALUE($B15&amp;""))</f>
        <v/>
      </c>
      <c r="M15" s="94">
        <f>IF($A15="",0,$H15*설정!$C$23)</f>
        <v/>
      </c>
      <c r="N15" s="94">
        <f>IF($A15="",0,$I15*설정!$C$23)</f>
        <v/>
      </c>
      <c r="O15" s="94">
        <f>IF($A15="",0,$J15*설정!$C$23)</f>
        <v/>
      </c>
      <c r="P15" s="64">
        <f>IF($A15="","",IFERROR(INDEX(입력옵션!$C$58:$C$68,MATCH($F15&amp;"",입력옵션!$E$58:$E$68,0)),IFERROR(INDEX(입력옵션!$C$58:$C$68,MATCH($G15&amp;"",입력옵션!$F$58:$F$68,0)),$F15&amp;"")))</f>
        <v/>
      </c>
    </row>
    <row r="16">
      <c r="A16" s="92" t="n">
        <v>2025</v>
      </c>
      <c r="B16" s="92" t="n">
        <v>1</v>
      </c>
      <c r="C16" s="92" t="inlineStr">
        <is>
          <t>PF02</t>
        </is>
      </c>
      <c r="D16" s="92" t="inlineStr">
        <is>
          <t>저축성</t>
        </is>
      </c>
      <c r="E16" s="92" t="inlineStr">
        <is>
          <t>GMM</t>
        </is>
      </c>
      <c r="F16" s="92" t="inlineStr">
        <is>
          <t>F00</t>
        </is>
      </c>
      <c r="G16" s="92" t="inlineStr">
        <is>
          <t>기초잔액</t>
        </is>
      </c>
      <c r="H16" s="93" t="n">
        <v>674302762000</v>
      </c>
      <c r="I16" s="93" t="n">
        <v>29223428000</v>
      </c>
      <c r="J16" s="93" t="n">
        <v>92625000000</v>
      </c>
      <c r="L16" s="9">
        <f>IF($A16="","",VALUE($A16&amp;"")*12+VALUE($B16&amp;""))</f>
        <v/>
      </c>
      <c r="M16" s="94">
        <f>IF($A16="",0,$H16*설정!$C$23)</f>
        <v/>
      </c>
      <c r="N16" s="94">
        <f>IF($A16="",0,$I16*설정!$C$23)</f>
        <v/>
      </c>
      <c r="O16" s="94">
        <f>IF($A16="",0,$J16*설정!$C$23)</f>
        <v/>
      </c>
      <c r="P16" s="64">
        <f>IF($A16="","",IFERROR(INDEX(입력옵션!$C$58:$C$68,MATCH($F16&amp;"",입력옵션!$E$58:$E$68,0)),IFERROR(INDEX(입력옵션!$C$58:$C$68,MATCH($G16&amp;"",입력옵션!$F$58:$F$68,0)),$F16&amp;"")))</f>
        <v/>
      </c>
    </row>
    <row r="17">
      <c r="A17" s="92" t="n">
        <v>2025</v>
      </c>
      <c r="B17" s="92" t="n">
        <v>1</v>
      </c>
      <c r="C17" s="92" t="inlineStr">
        <is>
          <t>PF02</t>
        </is>
      </c>
      <c r="D17" s="92" t="inlineStr">
        <is>
          <t>저축성</t>
        </is>
      </c>
      <c r="E17" s="92" t="inlineStr">
        <is>
          <t>GMM</t>
        </is>
      </c>
      <c r="F17" s="92" t="inlineStr">
        <is>
          <t>F10</t>
        </is>
      </c>
      <c r="G17" s="92" t="inlineStr">
        <is>
          <t>신계약 효과</t>
        </is>
      </c>
      <c r="H17" s="93" t="n">
        <v>-1455669000</v>
      </c>
      <c r="I17" s="93" t="n">
        <v>291134000</v>
      </c>
      <c r="J17" s="93" t="n">
        <v>1164535000</v>
      </c>
      <c r="L17" s="9">
        <f>IF($A17="","",VALUE($A17&amp;"")*12+VALUE($B17&amp;""))</f>
        <v/>
      </c>
      <c r="M17" s="94">
        <f>IF($A17="",0,$H17*설정!$C$23)</f>
        <v/>
      </c>
      <c r="N17" s="94">
        <f>IF($A17="",0,$I17*설정!$C$23)</f>
        <v/>
      </c>
      <c r="O17" s="94">
        <f>IF($A17="",0,$J17*설정!$C$23)</f>
        <v/>
      </c>
      <c r="P17" s="64">
        <f>IF($A17="","",IFERROR(INDEX(입력옵션!$C$58:$C$68,MATCH($F17&amp;"",입력옵션!$E$58:$E$68,0)),IFERROR(INDEX(입력옵션!$C$58:$C$68,MATCH($G17&amp;"",입력옵션!$F$58:$F$68,0)),$F17&amp;"")))</f>
        <v/>
      </c>
    </row>
    <row r="18">
      <c r="A18" s="92" t="n">
        <v>2025</v>
      </c>
      <c r="B18" s="92" t="n">
        <v>1</v>
      </c>
      <c r="C18" s="92" t="inlineStr">
        <is>
          <t>PF02</t>
        </is>
      </c>
      <c r="D18" s="92" t="inlineStr">
        <is>
          <t>저축성</t>
        </is>
      </c>
      <c r="E18" s="92" t="inlineStr">
        <is>
          <t>GMM</t>
        </is>
      </c>
      <c r="F18" s="92" t="inlineStr">
        <is>
          <t>F21</t>
        </is>
      </c>
      <c r="G18" s="92" t="inlineStr">
        <is>
          <t>가정변경-사업비</t>
        </is>
      </c>
      <c r="H18" s="93" t="n">
        <v>0</v>
      </c>
      <c r="I18" s="93" t="n">
        <v>0</v>
      </c>
      <c r="J18" s="93" t="n">
        <v>0</v>
      </c>
      <c r="L18" s="9">
        <f>IF($A18="","",VALUE($A18&amp;"")*12+VALUE($B18&amp;""))</f>
        <v/>
      </c>
      <c r="M18" s="94">
        <f>IF($A18="",0,$H18*설정!$C$23)</f>
        <v/>
      </c>
      <c r="N18" s="94">
        <f>IF($A18="",0,$I18*설정!$C$23)</f>
        <v/>
      </c>
      <c r="O18" s="94">
        <f>IF($A18="",0,$J18*설정!$C$23)</f>
        <v/>
      </c>
      <c r="P18" s="64">
        <f>IF($A18="","",IFERROR(INDEX(입력옵션!$C$58:$C$68,MATCH($F18&amp;"",입력옵션!$E$58:$E$68,0)),IFERROR(INDEX(입력옵션!$C$58:$C$68,MATCH($G18&amp;"",입력옵션!$F$58:$F$68,0)),$F18&amp;"")))</f>
        <v/>
      </c>
    </row>
    <row r="19">
      <c r="A19" s="92" t="n">
        <v>2025</v>
      </c>
      <c r="B19" s="92" t="n">
        <v>1</v>
      </c>
      <c r="C19" s="92" t="inlineStr">
        <is>
          <t>PF02</t>
        </is>
      </c>
      <c r="D19" s="92" t="inlineStr">
        <is>
          <t>저축성</t>
        </is>
      </c>
      <c r="E19" s="92" t="inlineStr">
        <is>
          <t>GMM</t>
        </is>
      </c>
      <c r="F19" s="92" t="inlineStr">
        <is>
          <t>F22</t>
        </is>
      </c>
      <c r="G19" s="92" t="inlineStr">
        <is>
          <t>가정변경-기타</t>
        </is>
      </c>
      <c r="H19" s="93" t="n">
        <v>0</v>
      </c>
      <c r="I19" s="93" t="n">
        <v>0</v>
      </c>
      <c r="J19" s="93" t="n">
        <v>0</v>
      </c>
      <c r="L19" s="9">
        <f>IF($A19="","",VALUE($A19&amp;"")*12+VALUE($B19&amp;""))</f>
        <v/>
      </c>
      <c r="M19" s="94">
        <f>IF($A19="",0,$H19*설정!$C$23)</f>
        <v/>
      </c>
      <c r="N19" s="94">
        <f>IF($A19="",0,$I19*설정!$C$23)</f>
        <v/>
      </c>
      <c r="O19" s="94">
        <f>IF($A19="",0,$J19*설정!$C$23)</f>
        <v/>
      </c>
      <c r="P19" s="64">
        <f>IF($A19="","",IFERROR(INDEX(입력옵션!$C$58:$C$68,MATCH($F19&amp;"",입력옵션!$E$58:$E$68,0)),IFERROR(INDEX(입력옵션!$C$58:$C$68,MATCH($G19&amp;"",입력옵션!$F$58:$F$68,0)),$F19&amp;"")))</f>
        <v/>
      </c>
    </row>
    <row r="20">
      <c r="A20" s="92" t="n">
        <v>2025</v>
      </c>
      <c r="B20" s="92" t="n">
        <v>1</v>
      </c>
      <c r="C20" s="92" t="inlineStr">
        <is>
          <t>PF02</t>
        </is>
      </c>
      <c r="D20" s="92" t="inlineStr">
        <is>
          <t>저축성</t>
        </is>
      </c>
      <c r="E20" s="92" t="inlineStr">
        <is>
          <t>GMM</t>
        </is>
      </c>
      <c r="F20" s="92" t="inlineStr">
        <is>
          <t>F31</t>
        </is>
      </c>
      <c r="G20" s="92" t="inlineStr">
        <is>
          <t>경험조정-취득현금흐름</t>
        </is>
      </c>
      <c r="H20" s="93" t="n">
        <v>0</v>
      </c>
      <c r="I20" s="93" t="n">
        <v>0</v>
      </c>
      <c r="J20" s="93" t="n">
        <v>6534000</v>
      </c>
      <c r="L20" s="9">
        <f>IF($A20="","",VALUE($A20&amp;"")*12+VALUE($B20&amp;""))</f>
        <v/>
      </c>
      <c r="M20" s="94">
        <f>IF($A20="",0,$H20*설정!$C$23)</f>
        <v/>
      </c>
      <c r="N20" s="94">
        <f>IF($A20="",0,$I20*설정!$C$23)</f>
        <v/>
      </c>
      <c r="O20" s="94">
        <f>IF($A20="",0,$J20*설정!$C$23)</f>
        <v/>
      </c>
      <c r="P20" s="64">
        <f>IF($A20="","",IFERROR(INDEX(입력옵션!$C$58:$C$68,MATCH($F20&amp;"",입력옵션!$E$58:$E$68,0)),IFERROR(INDEX(입력옵션!$C$58:$C$68,MATCH($G20&amp;"",입력옵션!$F$58:$F$68,0)),$F20&amp;"")))</f>
        <v/>
      </c>
    </row>
    <row r="21">
      <c r="A21" s="92" t="n">
        <v>2025</v>
      </c>
      <c r="B21" s="92" t="n">
        <v>1</v>
      </c>
      <c r="C21" s="92" t="inlineStr">
        <is>
          <t>PF02</t>
        </is>
      </c>
      <c r="D21" s="92" t="inlineStr">
        <is>
          <t>저축성</t>
        </is>
      </c>
      <c r="E21" s="92" t="inlineStr">
        <is>
          <t>GMM</t>
        </is>
      </c>
      <c r="F21" s="92" t="inlineStr">
        <is>
          <t>F32</t>
        </is>
      </c>
      <c r="G21" s="92" t="inlineStr">
        <is>
          <t>경험조정-보험료 등</t>
        </is>
      </c>
      <c r="H21" s="93" t="n">
        <v>0</v>
      </c>
      <c r="I21" s="93" t="n">
        <v>0</v>
      </c>
      <c r="J21" s="93" t="n">
        <v>-26108000</v>
      </c>
      <c r="L21" s="9">
        <f>IF($A21="","",VALUE($A21&amp;"")*12+VALUE($B21&amp;""))</f>
        <v/>
      </c>
      <c r="M21" s="94">
        <f>IF($A21="",0,$H21*설정!$C$23)</f>
        <v/>
      </c>
      <c r="N21" s="94">
        <f>IF($A21="",0,$I21*설정!$C$23)</f>
        <v/>
      </c>
      <c r="O21" s="94">
        <f>IF($A21="",0,$J21*설정!$C$23)</f>
        <v/>
      </c>
      <c r="P21" s="64">
        <f>IF($A21="","",IFERROR(INDEX(입력옵션!$C$58:$C$68,MATCH($F21&amp;"",입력옵션!$E$58:$E$68,0)),IFERROR(INDEX(입력옵션!$C$58:$C$68,MATCH($G21&amp;"",입력옵션!$F$58:$F$68,0)),$F21&amp;"")))</f>
        <v/>
      </c>
    </row>
    <row r="22">
      <c r="A22" s="92" t="n">
        <v>2025</v>
      </c>
      <c r="B22" s="92" t="n">
        <v>1</v>
      </c>
      <c r="C22" s="92" t="inlineStr">
        <is>
          <t>PF02</t>
        </is>
      </c>
      <c r="D22" s="92" t="inlineStr">
        <is>
          <t>저축성</t>
        </is>
      </c>
      <c r="E22" s="92" t="inlineStr">
        <is>
          <t>GMM</t>
        </is>
      </c>
      <c r="F22" s="92" t="inlineStr">
        <is>
          <t>F40</t>
        </is>
      </c>
      <c r="G22" s="92" t="inlineStr">
        <is>
          <t>보험금융비용(이자부리)</t>
        </is>
      </c>
      <c r="H22" s="93" t="n">
        <v>1685757000</v>
      </c>
      <c r="I22" s="93" t="n">
        <v>58447000</v>
      </c>
      <c r="J22" s="93" t="n">
        <v>231562000</v>
      </c>
      <c r="L22" s="9">
        <f>IF($A22="","",VALUE($A22&amp;"")*12+VALUE($B22&amp;""))</f>
        <v/>
      </c>
      <c r="M22" s="94">
        <f>IF($A22="",0,$H22*설정!$C$23)</f>
        <v/>
      </c>
      <c r="N22" s="94">
        <f>IF($A22="",0,$I22*설정!$C$23)</f>
        <v/>
      </c>
      <c r="O22" s="94">
        <f>IF($A22="",0,$J22*설정!$C$23)</f>
        <v/>
      </c>
      <c r="P22" s="64">
        <f>IF($A22="","",IFERROR(INDEX(입력옵션!$C$58:$C$68,MATCH($F22&amp;"",입력옵션!$E$58:$E$68,0)),IFERROR(INDEX(입력옵션!$C$58:$C$68,MATCH($G22&amp;"",입력옵션!$F$58:$F$68,0)),$F22&amp;"")))</f>
        <v/>
      </c>
    </row>
    <row r="23">
      <c r="A23" s="92" t="n">
        <v>2025</v>
      </c>
      <c r="B23" s="92" t="n">
        <v>1</v>
      </c>
      <c r="C23" s="92" t="inlineStr">
        <is>
          <t>PF02</t>
        </is>
      </c>
      <c r="D23" s="92" t="inlineStr">
        <is>
          <t>저축성</t>
        </is>
      </c>
      <c r="E23" s="92" t="inlineStr">
        <is>
          <t>GMM</t>
        </is>
      </c>
      <c r="F23" s="92" t="inlineStr">
        <is>
          <t>F51</t>
        </is>
      </c>
      <c r="G23" s="92" t="inlineStr">
        <is>
          <t>CSM 상각</t>
        </is>
      </c>
      <c r="H23" s="93" t="n">
        <v>0</v>
      </c>
      <c r="I23" s="93" t="n">
        <v>0</v>
      </c>
      <c r="J23" s="93" t="n">
        <v>-833625000</v>
      </c>
      <c r="L23" s="9">
        <f>IF($A23="","",VALUE($A23&amp;"")*12+VALUE($B23&amp;""))</f>
        <v/>
      </c>
      <c r="M23" s="94">
        <f>IF($A23="",0,$H23*설정!$C$23)</f>
        <v/>
      </c>
      <c r="N23" s="94">
        <f>IF($A23="",0,$I23*설정!$C$23)</f>
        <v/>
      </c>
      <c r="O23" s="94">
        <f>IF($A23="",0,$J23*설정!$C$23)</f>
        <v/>
      </c>
      <c r="P23" s="64">
        <f>IF($A23="","",IFERROR(INDEX(입력옵션!$C$58:$C$68,MATCH($F23&amp;"",입력옵션!$E$58:$E$68,0)),IFERROR(INDEX(입력옵션!$C$58:$C$68,MATCH($G23&amp;"",입력옵션!$F$58:$F$68,0)),$F23&amp;"")))</f>
        <v/>
      </c>
    </row>
    <row r="24">
      <c r="A24" s="92" t="n">
        <v>2025</v>
      </c>
      <c r="B24" s="92" t="n">
        <v>1</v>
      </c>
      <c r="C24" s="92" t="inlineStr">
        <is>
          <t>PF02</t>
        </is>
      </c>
      <c r="D24" s="92" t="inlineStr">
        <is>
          <t>저축성</t>
        </is>
      </c>
      <c r="E24" s="92" t="inlineStr">
        <is>
          <t>GMM</t>
        </is>
      </c>
      <c r="F24" s="92" t="inlineStr">
        <is>
          <t>F52</t>
        </is>
      </c>
      <c r="G24" s="92" t="inlineStr">
        <is>
          <t>RA 해제</t>
        </is>
      </c>
      <c r="H24" s="93" t="n">
        <v>0</v>
      </c>
      <c r="I24" s="93" t="n">
        <v>-175341000</v>
      </c>
      <c r="J24" s="93" t="n">
        <v>0</v>
      </c>
      <c r="L24" s="9">
        <f>IF($A24="","",VALUE($A24&amp;"")*12+VALUE($B24&amp;""))</f>
        <v/>
      </c>
      <c r="M24" s="94">
        <f>IF($A24="",0,$H24*설정!$C$23)</f>
        <v/>
      </c>
      <c r="N24" s="94">
        <f>IF($A24="",0,$I24*설정!$C$23)</f>
        <v/>
      </c>
      <c r="O24" s="94">
        <f>IF($A24="",0,$J24*설정!$C$23)</f>
        <v/>
      </c>
      <c r="P24" s="64">
        <f>IF($A24="","",IFERROR(INDEX(입력옵션!$C$58:$C$68,MATCH($F24&amp;"",입력옵션!$E$58:$E$68,0)),IFERROR(INDEX(입력옵션!$C$58:$C$68,MATCH($G24&amp;"",입력옵션!$F$58:$F$68,0)),$F24&amp;"")))</f>
        <v/>
      </c>
    </row>
    <row r="25">
      <c r="A25" s="92" t="n">
        <v>2025</v>
      </c>
      <c r="B25" s="92" t="n">
        <v>1</v>
      </c>
      <c r="C25" s="92" t="inlineStr">
        <is>
          <t>PF02</t>
        </is>
      </c>
      <c r="D25" s="92" t="inlineStr">
        <is>
          <t>저축성</t>
        </is>
      </c>
      <c r="E25" s="92" t="inlineStr">
        <is>
          <t>GMM</t>
        </is>
      </c>
      <c r="F25" s="92" t="inlineStr">
        <is>
          <t>F60</t>
        </is>
      </c>
      <c r="G25" s="92" t="inlineStr">
        <is>
          <t>현금흐름 및 기타</t>
        </is>
      </c>
      <c r="H25" s="93" t="n">
        <v>2129972000</v>
      </c>
      <c r="I25" s="93" t="n">
        <v>-115793000</v>
      </c>
      <c r="J25" s="93" t="n">
        <v>0</v>
      </c>
      <c r="L25" s="9">
        <f>IF($A25="","",VALUE($A25&amp;"")*12+VALUE($B25&amp;""))</f>
        <v/>
      </c>
      <c r="M25" s="94">
        <f>IF($A25="",0,$H25*설정!$C$23)</f>
        <v/>
      </c>
      <c r="N25" s="94">
        <f>IF($A25="",0,$I25*설정!$C$23)</f>
        <v/>
      </c>
      <c r="O25" s="94">
        <f>IF($A25="",0,$J25*설정!$C$23)</f>
        <v/>
      </c>
      <c r="P25" s="64">
        <f>IF($A25="","",IFERROR(INDEX(입력옵션!$C$58:$C$68,MATCH($F25&amp;"",입력옵션!$E$58:$E$68,0)),IFERROR(INDEX(입력옵션!$C$58:$C$68,MATCH($G25&amp;"",입력옵션!$F$58:$F$68,0)),$F25&amp;"")))</f>
        <v/>
      </c>
    </row>
    <row r="26">
      <c r="A26" s="92" t="n">
        <v>2025</v>
      </c>
      <c r="B26" s="92" t="n">
        <v>1</v>
      </c>
      <c r="C26" s="92" t="inlineStr">
        <is>
          <t>PF02</t>
        </is>
      </c>
      <c r="D26" s="92" t="inlineStr">
        <is>
          <t>저축성</t>
        </is>
      </c>
      <c r="E26" s="92" t="inlineStr">
        <is>
          <t>GMM</t>
        </is>
      </c>
      <c r="F26" s="92" t="inlineStr">
        <is>
          <t>F99</t>
        </is>
      </c>
      <c r="G26" s="92" t="inlineStr">
        <is>
          <t>기말잔액</t>
        </is>
      </c>
      <c r="H26" s="93" t="n">
        <v>676662822000</v>
      </c>
      <c r="I26" s="93" t="n">
        <v>29281875000</v>
      </c>
      <c r="J26" s="93" t="n">
        <v>93167899000</v>
      </c>
      <c r="L26" s="9">
        <f>IF($A26="","",VALUE($A26&amp;"")*12+VALUE($B26&amp;""))</f>
        <v/>
      </c>
      <c r="M26" s="94">
        <f>IF($A26="",0,$H26*설정!$C$23)</f>
        <v/>
      </c>
      <c r="N26" s="94">
        <f>IF($A26="",0,$I26*설정!$C$23)</f>
        <v/>
      </c>
      <c r="O26" s="94">
        <f>IF($A26="",0,$J26*설정!$C$23)</f>
        <v/>
      </c>
      <c r="P26" s="64">
        <f>IF($A26="","",IFERROR(INDEX(입력옵션!$C$58:$C$68,MATCH($F26&amp;"",입력옵션!$E$58:$E$68,0)),IFERROR(INDEX(입력옵션!$C$58:$C$68,MATCH($G26&amp;"",입력옵션!$F$58:$F$68,0)),$F26&amp;"")))</f>
        <v/>
      </c>
    </row>
    <row r="27">
      <c r="A27" s="92" t="n">
        <v>2025</v>
      </c>
      <c r="B27" s="92" t="n">
        <v>1</v>
      </c>
      <c r="C27" s="92" t="inlineStr">
        <is>
          <t>PF03</t>
        </is>
      </c>
      <c r="D27" s="92" t="inlineStr">
        <is>
          <t>단체(단기)</t>
        </is>
      </c>
      <c r="E27" s="92" t="inlineStr">
        <is>
          <t>PAA</t>
        </is>
      </c>
      <c r="F27" s="92" t="inlineStr">
        <is>
          <t>F00</t>
        </is>
      </c>
      <c r="G27" s="92" t="inlineStr">
        <is>
          <t>기초잔액</t>
        </is>
      </c>
      <c r="H27" s="93" t="n">
        <v>40866834000</v>
      </c>
      <c r="I27" s="93" t="n">
        <v>2337874000</v>
      </c>
      <c r="J27" s="93" t="n">
        <v>0</v>
      </c>
      <c r="L27" s="9">
        <f>IF($A27="","",VALUE($A27&amp;"")*12+VALUE($B27&amp;""))</f>
        <v/>
      </c>
      <c r="M27" s="94">
        <f>IF($A27="",0,$H27*설정!$C$23)</f>
        <v/>
      </c>
      <c r="N27" s="94">
        <f>IF($A27="",0,$I27*설정!$C$23)</f>
        <v/>
      </c>
      <c r="O27" s="94">
        <f>IF($A27="",0,$J27*설정!$C$23)</f>
        <v/>
      </c>
      <c r="P27" s="64">
        <f>IF($A27="","",IFERROR(INDEX(입력옵션!$C$58:$C$68,MATCH($F27&amp;"",입력옵션!$E$58:$E$68,0)),IFERROR(INDEX(입력옵션!$C$58:$C$68,MATCH($G27&amp;"",입력옵션!$F$58:$F$68,0)),$F27&amp;"")))</f>
        <v/>
      </c>
    </row>
    <row r="28">
      <c r="A28" s="92" t="n">
        <v>2025</v>
      </c>
      <c r="B28" s="92" t="n">
        <v>1</v>
      </c>
      <c r="C28" s="92" t="inlineStr">
        <is>
          <t>PF03</t>
        </is>
      </c>
      <c r="D28" s="92" t="inlineStr">
        <is>
          <t>단체(단기)</t>
        </is>
      </c>
      <c r="E28" s="92" t="inlineStr">
        <is>
          <t>PAA</t>
        </is>
      </c>
      <c r="F28" s="92" t="inlineStr">
        <is>
          <t>F10</t>
        </is>
      </c>
      <c r="G28" s="92" t="inlineStr">
        <is>
          <t>신계약 효과</t>
        </is>
      </c>
      <c r="H28" s="93" t="n">
        <v>0</v>
      </c>
      <c r="I28" s="93" t="n">
        <v>0</v>
      </c>
      <c r="J28" s="93" t="n">
        <v>0</v>
      </c>
      <c r="L28" s="9">
        <f>IF($A28="","",VALUE($A28&amp;"")*12+VALUE($B28&amp;""))</f>
        <v/>
      </c>
      <c r="M28" s="94">
        <f>IF($A28="",0,$H28*설정!$C$23)</f>
        <v/>
      </c>
      <c r="N28" s="94">
        <f>IF($A28="",0,$I28*설정!$C$23)</f>
        <v/>
      </c>
      <c r="O28" s="94">
        <f>IF($A28="",0,$J28*설정!$C$23)</f>
        <v/>
      </c>
      <c r="P28" s="64">
        <f>IF($A28="","",IFERROR(INDEX(입력옵션!$C$58:$C$68,MATCH($F28&amp;"",입력옵션!$E$58:$E$68,0)),IFERROR(INDEX(입력옵션!$C$58:$C$68,MATCH($G28&amp;"",입력옵션!$F$58:$F$68,0)),$F28&amp;"")))</f>
        <v/>
      </c>
    </row>
    <row r="29">
      <c r="A29" s="92" t="n">
        <v>2025</v>
      </c>
      <c r="B29" s="92" t="n">
        <v>1</v>
      </c>
      <c r="C29" s="92" t="inlineStr">
        <is>
          <t>PF03</t>
        </is>
      </c>
      <c r="D29" s="92" t="inlineStr">
        <is>
          <t>단체(단기)</t>
        </is>
      </c>
      <c r="E29" s="92" t="inlineStr">
        <is>
          <t>PAA</t>
        </is>
      </c>
      <c r="F29" s="92" t="inlineStr">
        <is>
          <t>F21</t>
        </is>
      </c>
      <c r="G29" s="92" t="inlineStr">
        <is>
          <t>가정변경-사업비</t>
        </is>
      </c>
      <c r="H29" s="93" t="n">
        <v>0</v>
      </c>
      <c r="I29" s="93" t="n">
        <v>0</v>
      </c>
      <c r="J29" s="93" t="n">
        <v>0</v>
      </c>
      <c r="L29" s="9">
        <f>IF($A29="","",VALUE($A29&amp;"")*12+VALUE($B29&amp;""))</f>
        <v/>
      </c>
      <c r="M29" s="94">
        <f>IF($A29="",0,$H29*설정!$C$23)</f>
        <v/>
      </c>
      <c r="N29" s="94">
        <f>IF($A29="",0,$I29*설정!$C$23)</f>
        <v/>
      </c>
      <c r="O29" s="94">
        <f>IF($A29="",0,$J29*설정!$C$23)</f>
        <v/>
      </c>
      <c r="P29" s="64">
        <f>IF($A29="","",IFERROR(INDEX(입력옵션!$C$58:$C$68,MATCH($F29&amp;"",입력옵션!$E$58:$E$68,0)),IFERROR(INDEX(입력옵션!$C$58:$C$68,MATCH($G29&amp;"",입력옵션!$F$58:$F$68,0)),$F29&amp;"")))</f>
        <v/>
      </c>
    </row>
    <row r="30">
      <c r="A30" s="92" t="n">
        <v>2025</v>
      </c>
      <c r="B30" s="92" t="n">
        <v>1</v>
      </c>
      <c r="C30" s="92" t="inlineStr">
        <is>
          <t>PF03</t>
        </is>
      </c>
      <c r="D30" s="92" t="inlineStr">
        <is>
          <t>단체(단기)</t>
        </is>
      </c>
      <c r="E30" s="92" t="inlineStr">
        <is>
          <t>PAA</t>
        </is>
      </c>
      <c r="F30" s="92" t="inlineStr">
        <is>
          <t>F22</t>
        </is>
      </c>
      <c r="G30" s="92" t="inlineStr">
        <is>
          <t>가정변경-기타</t>
        </is>
      </c>
      <c r="H30" s="93" t="n">
        <v>0</v>
      </c>
      <c r="I30" s="93" t="n">
        <v>0</v>
      </c>
      <c r="J30" s="93" t="n">
        <v>0</v>
      </c>
      <c r="L30" s="9">
        <f>IF($A30="","",VALUE($A30&amp;"")*12+VALUE($B30&amp;""))</f>
        <v/>
      </c>
      <c r="M30" s="94">
        <f>IF($A30="",0,$H30*설정!$C$23)</f>
        <v/>
      </c>
      <c r="N30" s="94">
        <f>IF($A30="",0,$I30*설정!$C$23)</f>
        <v/>
      </c>
      <c r="O30" s="94">
        <f>IF($A30="",0,$J30*설정!$C$23)</f>
        <v/>
      </c>
      <c r="P30" s="64">
        <f>IF($A30="","",IFERROR(INDEX(입력옵션!$C$58:$C$68,MATCH($F30&amp;"",입력옵션!$E$58:$E$68,0)),IFERROR(INDEX(입력옵션!$C$58:$C$68,MATCH($G30&amp;"",입력옵션!$F$58:$F$68,0)),$F30&amp;"")))</f>
        <v/>
      </c>
    </row>
    <row r="31">
      <c r="A31" s="92" t="n">
        <v>2025</v>
      </c>
      <c r="B31" s="92" t="n">
        <v>1</v>
      </c>
      <c r="C31" s="92" t="inlineStr">
        <is>
          <t>PF03</t>
        </is>
      </c>
      <c r="D31" s="92" t="inlineStr">
        <is>
          <t>단체(단기)</t>
        </is>
      </c>
      <c r="E31" s="92" t="inlineStr">
        <is>
          <t>PAA</t>
        </is>
      </c>
      <c r="F31" s="92" t="inlineStr">
        <is>
          <t>F31</t>
        </is>
      </c>
      <c r="G31" s="92" t="inlineStr">
        <is>
          <t>경험조정-취득현금흐름</t>
        </is>
      </c>
      <c r="H31" s="93" t="n">
        <v>0</v>
      </c>
      <c r="I31" s="93" t="n">
        <v>0</v>
      </c>
      <c r="J31" s="93" t="n">
        <v>0</v>
      </c>
      <c r="L31" s="9">
        <f>IF($A31="","",VALUE($A31&amp;"")*12+VALUE($B31&amp;""))</f>
        <v/>
      </c>
      <c r="M31" s="94">
        <f>IF($A31="",0,$H31*설정!$C$23)</f>
        <v/>
      </c>
      <c r="N31" s="94">
        <f>IF($A31="",0,$I31*설정!$C$23)</f>
        <v/>
      </c>
      <c r="O31" s="94">
        <f>IF($A31="",0,$J31*설정!$C$23)</f>
        <v/>
      </c>
      <c r="P31" s="64">
        <f>IF($A31="","",IFERROR(INDEX(입력옵션!$C$58:$C$68,MATCH($F31&amp;"",입력옵션!$E$58:$E$68,0)),IFERROR(INDEX(입력옵션!$C$58:$C$68,MATCH($G31&amp;"",입력옵션!$F$58:$F$68,0)),$F31&amp;"")))</f>
        <v/>
      </c>
    </row>
    <row r="32">
      <c r="A32" s="92" t="n">
        <v>2025</v>
      </c>
      <c r="B32" s="92" t="n">
        <v>1</v>
      </c>
      <c r="C32" s="92" t="inlineStr">
        <is>
          <t>PF03</t>
        </is>
      </c>
      <c r="D32" s="92" t="inlineStr">
        <is>
          <t>단체(단기)</t>
        </is>
      </c>
      <c r="E32" s="92" t="inlineStr">
        <is>
          <t>PAA</t>
        </is>
      </c>
      <c r="F32" s="92" t="inlineStr">
        <is>
          <t>F32</t>
        </is>
      </c>
      <c r="G32" s="92" t="inlineStr">
        <is>
          <t>경험조정-보험료 등</t>
        </is>
      </c>
      <c r="H32" s="93" t="n">
        <v>0</v>
      </c>
      <c r="I32" s="93" t="n">
        <v>0</v>
      </c>
      <c r="J32" s="93" t="n">
        <v>0</v>
      </c>
      <c r="L32" s="9">
        <f>IF($A32="","",VALUE($A32&amp;"")*12+VALUE($B32&amp;""))</f>
        <v/>
      </c>
      <c r="M32" s="94">
        <f>IF($A32="",0,$H32*설정!$C$23)</f>
        <v/>
      </c>
      <c r="N32" s="94">
        <f>IF($A32="",0,$I32*설정!$C$23)</f>
        <v/>
      </c>
      <c r="O32" s="94">
        <f>IF($A32="",0,$J32*설정!$C$23)</f>
        <v/>
      </c>
      <c r="P32" s="64">
        <f>IF($A32="","",IFERROR(INDEX(입력옵션!$C$58:$C$68,MATCH($F32&amp;"",입력옵션!$E$58:$E$68,0)),IFERROR(INDEX(입력옵션!$C$58:$C$68,MATCH($G32&amp;"",입력옵션!$F$58:$F$68,0)),$F32&amp;"")))</f>
        <v/>
      </c>
    </row>
    <row r="33">
      <c r="A33" s="92" t="n">
        <v>2025</v>
      </c>
      <c r="B33" s="92" t="n">
        <v>1</v>
      </c>
      <c r="C33" s="92" t="inlineStr">
        <is>
          <t>PF03</t>
        </is>
      </c>
      <c r="D33" s="92" t="inlineStr">
        <is>
          <t>단체(단기)</t>
        </is>
      </c>
      <c r="E33" s="92" t="inlineStr">
        <is>
          <t>PAA</t>
        </is>
      </c>
      <c r="F33" s="92" t="inlineStr">
        <is>
          <t>F40</t>
        </is>
      </c>
      <c r="G33" s="92" t="inlineStr">
        <is>
          <t>보험금융비용(이자부리)</t>
        </is>
      </c>
      <c r="H33" s="93" t="n">
        <v>0</v>
      </c>
      <c r="I33" s="93" t="n">
        <v>0</v>
      </c>
      <c r="J33" s="93" t="n">
        <v>0</v>
      </c>
      <c r="L33" s="9">
        <f>IF($A33="","",VALUE($A33&amp;"")*12+VALUE($B33&amp;""))</f>
        <v/>
      </c>
      <c r="M33" s="94">
        <f>IF($A33="",0,$H33*설정!$C$23)</f>
        <v/>
      </c>
      <c r="N33" s="94">
        <f>IF($A33="",0,$I33*설정!$C$23)</f>
        <v/>
      </c>
      <c r="O33" s="94">
        <f>IF($A33="",0,$J33*설정!$C$23)</f>
        <v/>
      </c>
      <c r="P33" s="64">
        <f>IF($A33="","",IFERROR(INDEX(입력옵션!$C$58:$C$68,MATCH($F33&amp;"",입력옵션!$E$58:$E$68,0)),IFERROR(INDEX(입력옵션!$C$58:$C$68,MATCH($G33&amp;"",입력옵션!$F$58:$F$68,0)),$F33&amp;"")))</f>
        <v/>
      </c>
    </row>
    <row r="34">
      <c r="A34" s="92" t="n">
        <v>2025</v>
      </c>
      <c r="B34" s="92" t="n">
        <v>1</v>
      </c>
      <c r="C34" s="92" t="inlineStr">
        <is>
          <t>PF03</t>
        </is>
      </c>
      <c r="D34" s="92" t="inlineStr">
        <is>
          <t>단체(단기)</t>
        </is>
      </c>
      <c r="E34" s="92" t="inlineStr">
        <is>
          <t>PAA</t>
        </is>
      </c>
      <c r="F34" s="92" t="inlineStr">
        <is>
          <t>F51</t>
        </is>
      </c>
      <c r="G34" s="92" t="inlineStr">
        <is>
          <t>CSM 상각</t>
        </is>
      </c>
      <c r="H34" s="93" t="n">
        <v>0</v>
      </c>
      <c r="I34" s="93" t="n">
        <v>0</v>
      </c>
      <c r="J34" s="93" t="n">
        <v>0</v>
      </c>
      <c r="L34" s="9">
        <f>IF($A34="","",VALUE($A34&amp;"")*12+VALUE($B34&amp;""))</f>
        <v/>
      </c>
      <c r="M34" s="94">
        <f>IF($A34="",0,$H34*설정!$C$23)</f>
        <v/>
      </c>
      <c r="N34" s="94">
        <f>IF($A34="",0,$I34*설정!$C$23)</f>
        <v/>
      </c>
      <c r="O34" s="94">
        <f>IF($A34="",0,$J34*설정!$C$23)</f>
        <v/>
      </c>
      <c r="P34" s="64">
        <f>IF($A34="","",IFERROR(INDEX(입력옵션!$C$58:$C$68,MATCH($F34&amp;"",입력옵션!$E$58:$E$68,0)),IFERROR(INDEX(입력옵션!$C$58:$C$68,MATCH($G34&amp;"",입력옵션!$F$58:$F$68,0)),$F34&amp;"")))</f>
        <v/>
      </c>
    </row>
    <row r="35">
      <c r="A35" s="92" t="n">
        <v>2025</v>
      </c>
      <c r="B35" s="92" t="n">
        <v>1</v>
      </c>
      <c r="C35" s="92" t="inlineStr">
        <is>
          <t>PF03</t>
        </is>
      </c>
      <c r="D35" s="92" t="inlineStr">
        <is>
          <t>단체(단기)</t>
        </is>
      </c>
      <c r="E35" s="92" t="inlineStr">
        <is>
          <t>PAA</t>
        </is>
      </c>
      <c r="F35" s="92" t="inlineStr">
        <is>
          <t>F52</t>
        </is>
      </c>
      <c r="G35" s="92" t="inlineStr">
        <is>
          <t>RA 해제</t>
        </is>
      </c>
      <c r="H35" s="93" t="n">
        <v>0</v>
      </c>
      <c r="I35" s="93" t="n">
        <v>-14027000</v>
      </c>
      <c r="J35" s="93" t="n">
        <v>0</v>
      </c>
      <c r="L35" s="9">
        <f>IF($A35="","",VALUE($A35&amp;"")*12+VALUE($B35&amp;""))</f>
        <v/>
      </c>
      <c r="M35" s="94">
        <f>IF($A35="",0,$H35*설정!$C$23)</f>
        <v/>
      </c>
      <c r="N35" s="94">
        <f>IF($A35="",0,$I35*설정!$C$23)</f>
        <v/>
      </c>
      <c r="O35" s="94">
        <f>IF($A35="",0,$J35*설정!$C$23)</f>
        <v/>
      </c>
      <c r="P35" s="64">
        <f>IF($A35="","",IFERROR(INDEX(입력옵션!$C$58:$C$68,MATCH($F35&amp;"",입력옵션!$E$58:$E$68,0)),IFERROR(INDEX(입력옵션!$C$58:$C$68,MATCH($G35&amp;"",입력옵션!$F$58:$F$68,0)),$F35&amp;"")))</f>
        <v/>
      </c>
    </row>
    <row r="36">
      <c r="A36" s="92" t="n">
        <v>2025</v>
      </c>
      <c r="B36" s="92" t="n">
        <v>1</v>
      </c>
      <c r="C36" s="92" t="inlineStr">
        <is>
          <t>PF03</t>
        </is>
      </c>
      <c r="D36" s="92" t="inlineStr">
        <is>
          <t>단체(단기)</t>
        </is>
      </c>
      <c r="E36" s="92" t="inlineStr">
        <is>
          <t>PAA</t>
        </is>
      </c>
      <c r="F36" s="92" t="inlineStr">
        <is>
          <t>F60</t>
        </is>
      </c>
      <c r="G36" s="92" t="inlineStr">
        <is>
          <t>현금흐름 및 기타</t>
        </is>
      </c>
      <c r="H36" s="93" t="n">
        <v>143034000</v>
      </c>
      <c r="I36" s="93" t="n">
        <v>18703000</v>
      </c>
      <c r="J36" s="93" t="n">
        <v>0</v>
      </c>
      <c r="L36" s="9">
        <f>IF($A36="","",VALUE($A36&amp;"")*12+VALUE($B36&amp;""))</f>
        <v/>
      </c>
      <c r="M36" s="94">
        <f>IF($A36="",0,$H36*설정!$C$23)</f>
        <v/>
      </c>
      <c r="N36" s="94">
        <f>IF($A36="",0,$I36*설정!$C$23)</f>
        <v/>
      </c>
      <c r="O36" s="94">
        <f>IF($A36="",0,$J36*설정!$C$23)</f>
        <v/>
      </c>
      <c r="P36" s="64">
        <f>IF($A36="","",IFERROR(INDEX(입력옵션!$C$58:$C$68,MATCH($F36&amp;"",입력옵션!$E$58:$E$68,0)),IFERROR(INDEX(입력옵션!$C$58:$C$68,MATCH($G36&amp;"",입력옵션!$F$58:$F$68,0)),$F36&amp;"")))</f>
        <v/>
      </c>
    </row>
    <row r="37">
      <c r="A37" s="92" t="n">
        <v>2025</v>
      </c>
      <c r="B37" s="92" t="n">
        <v>1</v>
      </c>
      <c r="C37" s="92" t="inlineStr">
        <is>
          <t>PF03</t>
        </is>
      </c>
      <c r="D37" s="92" t="inlineStr">
        <is>
          <t>단체(단기)</t>
        </is>
      </c>
      <c r="E37" s="92" t="inlineStr">
        <is>
          <t>PAA</t>
        </is>
      </c>
      <c r="F37" s="92" t="inlineStr">
        <is>
          <t>F99</t>
        </is>
      </c>
      <c r="G37" s="92" t="inlineStr">
        <is>
          <t>기말잔액</t>
        </is>
      </c>
      <c r="H37" s="93" t="n">
        <v>41009868000</v>
      </c>
      <c r="I37" s="93" t="n">
        <v>2342550000</v>
      </c>
      <c r="J37" s="93" t="n">
        <v>0</v>
      </c>
      <c r="L37" s="9">
        <f>IF($A37="","",VALUE($A37&amp;"")*12+VALUE($B37&amp;""))</f>
        <v/>
      </c>
      <c r="M37" s="94">
        <f>IF($A37="",0,$H37*설정!$C$23)</f>
        <v/>
      </c>
      <c r="N37" s="94">
        <f>IF($A37="",0,$I37*설정!$C$23)</f>
        <v/>
      </c>
      <c r="O37" s="94">
        <f>IF($A37="",0,$J37*설정!$C$23)</f>
        <v/>
      </c>
      <c r="P37" s="64">
        <f>IF($A37="","",IFERROR(INDEX(입력옵션!$C$58:$C$68,MATCH($F37&amp;"",입력옵션!$E$58:$E$68,0)),IFERROR(INDEX(입력옵션!$C$58:$C$68,MATCH($G37&amp;"",입력옵션!$F$58:$F$68,0)),$F37&amp;"")))</f>
        <v/>
      </c>
    </row>
    <row r="38">
      <c r="A38" s="92" t="n">
        <v>2025</v>
      </c>
      <c r="B38" s="92" t="n">
        <v>1</v>
      </c>
      <c r="C38" s="92" t="inlineStr">
        <is>
          <t>PF04</t>
        </is>
      </c>
      <c r="D38" s="92" t="inlineStr">
        <is>
          <t>변액</t>
        </is>
      </c>
      <c r="E38" s="92" t="inlineStr">
        <is>
          <t>VFA</t>
        </is>
      </c>
      <c r="F38" s="92" t="inlineStr">
        <is>
          <t>F00</t>
        </is>
      </c>
      <c r="G38" s="92" t="inlineStr">
        <is>
          <t>기초잔액</t>
        </is>
      </c>
      <c r="H38" s="93" t="n">
        <v>306501256000</v>
      </c>
      <c r="I38" s="93" t="n">
        <v>15196183000</v>
      </c>
      <c r="J38" s="93" t="n">
        <v>48165000000</v>
      </c>
      <c r="L38" s="9">
        <f>IF($A38="","",VALUE($A38&amp;"")*12+VALUE($B38&amp;""))</f>
        <v/>
      </c>
      <c r="M38" s="94">
        <f>IF($A38="",0,$H38*설정!$C$23)</f>
        <v/>
      </c>
      <c r="N38" s="94">
        <f>IF($A38="",0,$I38*설정!$C$23)</f>
        <v/>
      </c>
      <c r="O38" s="94">
        <f>IF($A38="",0,$J38*설정!$C$23)</f>
        <v/>
      </c>
      <c r="P38" s="64">
        <f>IF($A38="","",IFERROR(INDEX(입력옵션!$C$58:$C$68,MATCH($F38&amp;"",입력옵션!$E$58:$E$68,0)),IFERROR(INDEX(입력옵션!$C$58:$C$68,MATCH($G38&amp;"",입력옵션!$F$58:$F$68,0)),$F38&amp;"")))</f>
        <v/>
      </c>
    </row>
    <row r="39">
      <c r="A39" s="92" t="n">
        <v>2025</v>
      </c>
      <c r="B39" s="92" t="n">
        <v>1</v>
      </c>
      <c r="C39" s="92" t="inlineStr">
        <is>
          <t>PF04</t>
        </is>
      </c>
      <c r="D39" s="92" t="inlineStr">
        <is>
          <t>변액</t>
        </is>
      </c>
      <c r="E39" s="92" t="inlineStr">
        <is>
          <t>VFA</t>
        </is>
      </c>
      <c r="F39" s="92" t="inlineStr">
        <is>
          <t>F10</t>
        </is>
      </c>
      <c r="G39" s="92" t="inlineStr">
        <is>
          <t>신계약 효과</t>
        </is>
      </c>
      <c r="H39" s="93" t="n">
        <v>-756948000</v>
      </c>
      <c r="I39" s="93" t="n">
        <v>151390000</v>
      </c>
      <c r="J39" s="93" t="n">
        <v>605558000</v>
      </c>
      <c r="L39" s="9">
        <f>IF($A39="","",VALUE($A39&amp;"")*12+VALUE($B39&amp;""))</f>
        <v/>
      </c>
      <c r="M39" s="94">
        <f>IF($A39="",0,$H39*설정!$C$23)</f>
        <v/>
      </c>
      <c r="N39" s="94">
        <f>IF($A39="",0,$I39*설정!$C$23)</f>
        <v/>
      </c>
      <c r="O39" s="94">
        <f>IF($A39="",0,$J39*설정!$C$23)</f>
        <v/>
      </c>
      <c r="P39" s="64">
        <f>IF($A39="","",IFERROR(INDEX(입력옵션!$C$58:$C$68,MATCH($F39&amp;"",입력옵션!$E$58:$E$68,0)),IFERROR(INDEX(입력옵션!$C$58:$C$68,MATCH($G39&amp;"",입력옵션!$F$58:$F$68,0)),$F39&amp;"")))</f>
        <v/>
      </c>
    </row>
    <row r="40">
      <c r="A40" s="92" t="n">
        <v>2025</v>
      </c>
      <c r="B40" s="92" t="n">
        <v>1</v>
      </c>
      <c r="C40" s="92" t="inlineStr">
        <is>
          <t>PF04</t>
        </is>
      </c>
      <c r="D40" s="92" t="inlineStr">
        <is>
          <t>변액</t>
        </is>
      </c>
      <c r="E40" s="92" t="inlineStr">
        <is>
          <t>VFA</t>
        </is>
      </c>
      <c r="F40" s="92" t="inlineStr">
        <is>
          <t>F21</t>
        </is>
      </c>
      <c r="G40" s="92" t="inlineStr">
        <is>
          <t>가정변경-사업비</t>
        </is>
      </c>
      <c r="H40" s="93" t="n">
        <v>0</v>
      </c>
      <c r="I40" s="93" t="n">
        <v>0</v>
      </c>
      <c r="J40" s="93" t="n">
        <v>0</v>
      </c>
      <c r="L40" s="9">
        <f>IF($A40="","",VALUE($A40&amp;"")*12+VALUE($B40&amp;""))</f>
        <v/>
      </c>
      <c r="M40" s="94">
        <f>IF($A40="",0,$H40*설정!$C$23)</f>
        <v/>
      </c>
      <c r="N40" s="94">
        <f>IF($A40="",0,$I40*설정!$C$23)</f>
        <v/>
      </c>
      <c r="O40" s="94">
        <f>IF($A40="",0,$J40*설정!$C$23)</f>
        <v/>
      </c>
      <c r="P40" s="64">
        <f>IF($A40="","",IFERROR(INDEX(입력옵션!$C$58:$C$68,MATCH($F40&amp;"",입력옵션!$E$58:$E$68,0)),IFERROR(INDEX(입력옵션!$C$58:$C$68,MATCH($G40&amp;"",입력옵션!$F$58:$F$68,0)),$F40&amp;"")))</f>
        <v/>
      </c>
    </row>
    <row r="41">
      <c r="A41" s="92" t="n">
        <v>2025</v>
      </c>
      <c r="B41" s="92" t="n">
        <v>1</v>
      </c>
      <c r="C41" s="92" t="inlineStr">
        <is>
          <t>PF04</t>
        </is>
      </c>
      <c r="D41" s="92" t="inlineStr">
        <is>
          <t>변액</t>
        </is>
      </c>
      <c r="E41" s="92" t="inlineStr">
        <is>
          <t>VFA</t>
        </is>
      </c>
      <c r="F41" s="92" t="inlineStr">
        <is>
          <t>F22</t>
        </is>
      </c>
      <c r="G41" s="92" t="inlineStr">
        <is>
          <t>가정변경-기타</t>
        </is>
      </c>
      <c r="H41" s="93" t="n">
        <v>0</v>
      </c>
      <c r="I41" s="93" t="n">
        <v>0</v>
      </c>
      <c r="J41" s="93" t="n">
        <v>0</v>
      </c>
      <c r="L41" s="9">
        <f>IF($A41="","",VALUE($A41&amp;"")*12+VALUE($B41&amp;""))</f>
        <v/>
      </c>
      <c r="M41" s="94">
        <f>IF($A41="",0,$H41*설정!$C$23)</f>
        <v/>
      </c>
      <c r="N41" s="94">
        <f>IF($A41="",0,$I41*설정!$C$23)</f>
        <v/>
      </c>
      <c r="O41" s="94">
        <f>IF($A41="",0,$J41*설정!$C$23)</f>
        <v/>
      </c>
      <c r="P41" s="64">
        <f>IF($A41="","",IFERROR(INDEX(입력옵션!$C$58:$C$68,MATCH($F41&amp;"",입력옵션!$E$58:$E$68,0)),IFERROR(INDEX(입력옵션!$C$58:$C$68,MATCH($G41&amp;"",입력옵션!$F$58:$F$68,0)),$F41&amp;"")))</f>
        <v/>
      </c>
    </row>
    <row r="42">
      <c r="A42" s="92" t="n">
        <v>2025</v>
      </c>
      <c r="B42" s="92" t="n">
        <v>1</v>
      </c>
      <c r="C42" s="92" t="inlineStr">
        <is>
          <t>PF04</t>
        </is>
      </c>
      <c r="D42" s="92" t="inlineStr">
        <is>
          <t>변액</t>
        </is>
      </c>
      <c r="E42" s="92" t="inlineStr">
        <is>
          <t>VFA</t>
        </is>
      </c>
      <c r="F42" s="92" t="inlineStr">
        <is>
          <t>F31</t>
        </is>
      </c>
      <c r="G42" s="92" t="inlineStr">
        <is>
          <t>경험조정-취득현금흐름</t>
        </is>
      </c>
      <c r="H42" s="93" t="n">
        <v>0</v>
      </c>
      <c r="I42" s="93" t="n">
        <v>0</v>
      </c>
      <c r="J42" s="93" t="n">
        <v>2736000</v>
      </c>
      <c r="L42" s="9">
        <f>IF($A42="","",VALUE($A42&amp;"")*12+VALUE($B42&amp;""))</f>
        <v/>
      </c>
      <c r="M42" s="94">
        <f>IF($A42="",0,$H42*설정!$C$23)</f>
        <v/>
      </c>
      <c r="N42" s="94">
        <f>IF($A42="",0,$I42*설정!$C$23)</f>
        <v/>
      </c>
      <c r="O42" s="94">
        <f>IF($A42="",0,$J42*설정!$C$23)</f>
        <v/>
      </c>
      <c r="P42" s="64">
        <f>IF($A42="","",IFERROR(INDEX(입력옵션!$C$58:$C$68,MATCH($F42&amp;"",입력옵션!$E$58:$E$68,0)),IFERROR(INDEX(입력옵션!$C$58:$C$68,MATCH($G42&amp;"",입력옵션!$F$58:$F$68,0)),$F42&amp;"")))</f>
        <v/>
      </c>
    </row>
    <row r="43">
      <c r="A43" s="92" t="n">
        <v>2025</v>
      </c>
      <c r="B43" s="92" t="n">
        <v>1</v>
      </c>
      <c r="C43" s="92" t="inlineStr">
        <is>
          <t>PF04</t>
        </is>
      </c>
      <c r="D43" s="92" t="inlineStr">
        <is>
          <t>변액</t>
        </is>
      </c>
      <c r="E43" s="92" t="inlineStr">
        <is>
          <t>VFA</t>
        </is>
      </c>
      <c r="F43" s="92" t="inlineStr">
        <is>
          <t>F32</t>
        </is>
      </c>
      <c r="G43" s="92" t="inlineStr">
        <is>
          <t>경험조정-보험료 등</t>
        </is>
      </c>
      <c r="H43" s="93" t="n">
        <v>0</v>
      </c>
      <c r="I43" s="93" t="n">
        <v>0</v>
      </c>
      <c r="J43" s="93" t="n">
        <v>126843000</v>
      </c>
      <c r="L43" s="9">
        <f>IF($A43="","",VALUE($A43&amp;"")*12+VALUE($B43&amp;""))</f>
        <v/>
      </c>
      <c r="M43" s="94">
        <f>IF($A43="",0,$H43*설정!$C$23)</f>
        <v/>
      </c>
      <c r="N43" s="94">
        <f>IF($A43="",0,$I43*설정!$C$23)</f>
        <v/>
      </c>
      <c r="O43" s="94">
        <f>IF($A43="",0,$J43*설정!$C$23)</f>
        <v/>
      </c>
      <c r="P43" s="64">
        <f>IF($A43="","",IFERROR(INDEX(입력옵션!$C$58:$C$68,MATCH($F43&amp;"",입력옵션!$E$58:$E$68,0)),IFERROR(INDEX(입력옵션!$C$58:$C$68,MATCH($G43&amp;"",입력옵션!$F$58:$F$68,0)),$F43&amp;"")))</f>
        <v/>
      </c>
    </row>
    <row r="44">
      <c r="A44" s="92" t="n">
        <v>2025</v>
      </c>
      <c r="B44" s="92" t="n">
        <v>1</v>
      </c>
      <c r="C44" s="92" t="inlineStr">
        <is>
          <t>PF04</t>
        </is>
      </c>
      <c r="D44" s="92" t="inlineStr">
        <is>
          <t>변액</t>
        </is>
      </c>
      <c r="E44" s="92" t="inlineStr">
        <is>
          <t>VFA</t>
        </is>
      </c>
      <c r="F44" s="92" t="inlineStr">
        <is>
          <t>F40</t>
        </is>
      </c>
      <c r="G44" s="92" t="inlineStr">
        <is>
          <t>보험금융비용(이자부리)</t>
        </is>
      </c>
      <c r="H44" s="93" t="n">
        <v>766253000</v>
      </c>
      <c r="I44" s="93" t="n">
        <v>30392000</v>
      </c>
      <c r="J44" s="93" t="n">
        <v>120413000</v>
      </c>
      <c r="L44" s="9">
        <f>IF($A44="","",VALUE($A44&amp;"")*12+VALUE($B44&amp;""))</f>
        <v/>
      </c>
      <c r="M44" s="94">
        <f>IF($A44="",0,$H44*설정!$C$23)</f>
        <v/>
      </c>
      <c r="N44" s="94">
        <f>IF($A44="",0,$I44*설정!$C$23)</f>
        <v/>
      </c>
      <c r="O44" s="94">
        <f>IF($A44="",0,$J44*설정!$C$23)</f>
        <v/>
      </c>
      <c r="P44" s="64">
        <f>IF($A44="","",IFERROR(INDEX(입력옵션!$C$58:$C$68,MATCH($F44&amp;"",입력옵션!$E$58:$E$68,0)),IFERROR(INDEX(입력옵션!$C$58:$C$68,MATCH($G44&amp;"",입력옵션!$F$58:$F$68,0)),$F44&amp;"")))</f>
        <v/>
      </c>
    </row>
    <row r="45">
      <c r="A45" s="92" t="n">
        <v>2025</v>
      </c>
      <c r="B45" s="92" t="n">
        <v>1</v>
      </c>
      <c r="C45" s="92" t="inlineStr">
        <is>
          <t>PF04</t>
        </is>
      </c>
      <c r="D45" s="92" t="inlineStr">
        <is>
          <t>변액</t>
        </is>
      </c>
      <c r="E45" s="92" t="inlineStr">
        <is>
          <t>VFA</t>
        </is>
      </c>
      <c r="F45" s="92" t="inlineStr">
        <is>
          <t>F51</t>
        </is>
      </c>
      <c r="G45" s="92" t="inlineStr">
        <is>
          <t>CSM 상각</t>
        </is>
      </c>
      <c r="H45" s="93" t="n">
        <v>0</v>
      </c>
      <c r="I45" s="93" t="n">
        <v>0</v>
      </c>
      <c r="J45" s="93" t="n">
        <v>-433485000</v>
      </c>
      <c r="L45" s="9">
        <f>IF($A45="","",VALUE($A45&amp;"")*12+VALUE($B45&amp;""))</f>
        <v/>
      </c>
      <c r="M45" s="94">
        <f>IF($A45="",0,$H45*설정!$C$23)</f>
        <v/>
      </c>
      <c r="N45" s="94">
        <f>IF($A45="",0,$I45*설정!$C$23)</f>
        <v/>
      </c>
      <c r="O45" s="94">
        <f>IF($A45="",0,$J45*설정!$C$23)</f>
        <v/>
      </c>
      <c r="P45" s="64">
        <f>IF($A45="","",IFERROR(INDEX(입력옵션!$C$58:$C$68,MATCH($F45&amp;"",입력옵션!$E$58:$E$68,0)),IFERROR(INDEX(입력옵션!$C$58:$C$68,MATCH($G45&amp;"",입력옵션!$F$58:$F$68,0)),$F45&amp;"")))</f>
        <v/>
      </c>
    </row>
    <row r="46">
      <c r="A46" s="92" t="n">
        <v>2025</v>
      </c>
      <c r="B46" s="92" t="n">
        <v>1</v>
      </c>
      <c r="C46" s="92" t="inlineStr">
        <is>
          <t>PF04</t>
        </is>
      </c>
      <c r="D46" s="92" t="inlineStr">
        <is>
          <t>변액</t>
        </is>
      </c>
      <c r="E46" s="92" t="inlineStr">
        <is>
          <t>VFA</t>
        </is>
      </c>
      <c r="F46" s="92" t="inlineStr">
        <is>
          <t>F52</t>
        </is>
      </c>
      <c r="G46" s="92" t="inlineStr">
        <is>
          <t>RA 해제</t>
        </is>
      </c>
      <c r="H46" s="93" t="n">
        <v>0</v>
      </c>
      <c r="I46" s="93" t="n">
        <v>-91177000</v>
      </c>
      <c r="J46" s="93" t="n">
        <v>0</v>
      </c>
      <c r="L46" s="9">
        <f>IF($A46="","",VALUE($A46&amp;"")*12+VALUE($B46&amp;""))</f>
        <v/>
      </c>
      <c r="M46" s="94">
        <f>IF($A46="",0,$H46*설정!$C$23)</f>
        <v/>
      </c>
      <c r="N46" s="94">
        <f>IF($A46="",0,$I46*설정!$C$23)</f>
        <v/>
      </c>
      <c r="O46" s="94">
        <f>IF($A46="",0,$J46*설정!$C$23)</f>
        <v/>
      </c>
      <c r="P46" s="64">
        <f>IF($A46="","",IFERROR(INDEX(입력옵션!$C$58:$C$68,MATCH($F46&amp;"",입력옵션!$E$58:$E$68,0)),IFERROR(INDEX(입력옵션!$C$58:$C$68,MATCH($G46&amp;"",입력옵션!$F$58:$F$68,0)),$F46&amp;"")))</f>
        <v/>
      </c>
    </row>
    <row r="47">
      <c r="A47" s="92" t="n">
        <v>2025</v>
      </c>
      <c r="B47" s="92" t="n">
        <v>1</v>
      </c>
      <c r="C47" s="92" t="inlineStr">
        <is>
          <t>PF04</t>
        </is>
      </c>
      <c r="D47" s="92" t="inlineStr">
        <is>
          <t>변액</t>
        </is>
      </c>
      <c r="E47" s="92" t="inlineStr">
        <is>
          <t>VFA</t>
        </is>
      </c>
      <c r="F47" s="92" t="inlineStr">
        <is>
          <t>F60</t>
        </is>
      </c>
      <c r="G47" s="92" t="inlineStr">
        <is>
          <t>현금흐름 및 기타</t>
        </is>
      </c>
      <c r="H47" s="93" t="n">
        <v>1063449000</v>
      </c>
      <c r="I47" s="93" t="n">
        <v>-60212000</v>
      </c>
      <c r="J47" s="93" t="n">
        <v>0</v>
      </c>
      <c r="L47" s="9">
        <f>IF($A47="","",VALUE($A47&amp;"")*12+VALUE($B47&amp;""))</f>
        <v/>
      </c>
      <c r="M47" s="94">
        <f>IF($A47="",0,$H47*설정!$C$23)</f>
        <v/>
      </c>
      <c r="N47" s="94">
        <f>IF($A47="",0,$I47*설정!$C$23)</f>
        <v/>
      </c>
      <c r="O47" s="94">
        <f>IF($A47="",0,$J47*설정!$C$23)</f>
        <v/>
      </c>
      <c r="P47" s="64">
        <f>IF($A47="","",IFERROR(INDEX(입력옵션!$C$58:$C$68,MATCH($F47&amp;"",입력옵션!$E$58:$E$68,0)),IFERROR(INDEX(입력옵션!$C$58:$C$68,MATCH($G47&amp;"",입력옵션!$F$58:$F$68,0)),$F47&amp;"")))</f>
        <v/>
      </c>
    </row>
    <row r="48">
      <c r="A48" s="92" t="n">
        <v>2025</v>
      </c>
      <c r="B48" s="92" t="n">
        <v>1</v>
      </c>
      <c r="C48" s="92" t="inlineStr">
        <is>
          <t>PF04</t>
        </is>
      </c>
      <c r="D48" s="92" t="inlineStr">
        <is>
          <t>변액</t>
        </is>
      </c>
      <c r="E48" s="92" t="inlineStr">
        <is>
          <t>VFA</t>
        </is>
      </c>
      <c r="F48" s="92" t="inlineStr">
        <is>
          <t>F99</t>
        </is>
      </c>
      <c r="G48" s="92" t="inlineStr">
        <is>
          <t>기말잔액</t>
        </is>
      </c>
      <c r="H48" s="93" t="n">
        <v>307574010000</v>
      </c>
      <c r="I48" s="93" t="n">
        <v>15226575000</v>
      </c>
      <c r="J48" s="93" t="n">
        <v>48587065000</v>
      </c>
      <c r="L48" s="9">
        <f>IF($A48="","",VALUE($A48&amp;"")*12+VALUE($B48&amp;""))</f>
        <v/>
      </c>
      <c r="M48" s="94">
        <f>IF($A48="",0,$H48*설정!$C$23)</f>
        <v/>
      </c>
      <c r="N48" s="94">
        <f>IF($A48="",0,$I48*설정!$C$23)</f>
        <v/>
      </c>
      <c r="O48" s="94">
        <f>IF($A48="",0,$J48*설정!$C$23)</f>
        <v/>
      </c>
      <c r="P48" s="64">
        <f>IF($A48="","",IFERROR(INDEX(입력옵션!$C$58:$C$68,MATCH($F48&amp;"",입력옵션!$E$58:$E$68,0)),IFERROR(INDEX(입력옵션!$C$58:$C$68,MATCH($G48&amp;"",입력옵션!$F$58:$F$68,0)),$F48&amp;"")))</f>
        <v/>
      </c>
    </row>
    <row r="49">
      <c r="A49" s="92" t="n">
        <v>2025</v>
      </c>
      <c r="B49" s="92" t="n">
        <v>2</v>
      </c>
      <c r="C49" s="92" t="inlineStr">
        <is>
          <t>PF01</t>
        </is>
      </c>
      <c r="D49" s="92" t="inlineStr">
        <is>
          <t>보장성</t>
        </is>
      </c>
      <c r="E49" s="92" t="inlineStr">
        <is>
          <t>GMM</t>
        </is>
      </c>
      <c r="F49" s="92" t="inlineStr">
        <is>
          <t>F00</t>
        </is>
      </c>
      <c r="G49" s="92" t="inlineStr">
        <is>
          <t>기초잔액</t>
        </is>
      </c>
      <c r="H49" s="93" t="n">
        <v>1025246700000</v>
      </c>
      <c r="I49" s="93" t="n">
        <v>70276500000</v>
      </c>
      <c r="J49" s="93" t="n">
        <v>231344450000</v>
      </c>
      <c r="L49" s="9">
        <f>IF($A49="","",VALUE($A49&amp;"")*12+VALUE($B49&amp;""))</f>
        <v/>
      </c>
      <c r="M49" s="94">
        <f>IF($A49="",0,$H49*설정!$C$23)</f>
        <v/>
      </c>
      <c r="N49" s="94">
        <f>IF($A49="",0,$I49*설정!$C$23)</f>
        <v/>
      </c>
      <c r="O49" s="94">
        <f>IF($A49="",0,$J49*설정!$C$23)</f>
        <v/>
      </c>
      <c r="P49" s="64">
        <f>IF($A49="","",IFERROR(INDEX(입력옵션!$C$58:$C$68,MATCH($F49&amp;"",입력옵션!$E$58:$E$68,0)),IFERROR(INDEX(입력옵션!$C$58:$C$68,MATCH($G49&amp;"",입력옵션!$F$58:$F$68,0)),$F49&amp;"")))</f>
        <v/>
      </c>
    </row>
    <row r="50">
      <c r="A50" s="92" t="n">
        <v>2025</v>
      </c>
      <c r="B50" s="92" t="n">
        <v>2</v>
      </c>
      <c r="C50" s="92" t="inlineStr">
        <is>
          <t>PF01</t>
        </is>
      </c>
      <c r="D50" s="92" t="inlineStr">
        <is>
          <t>보장성</t>
        </is>
      </c>
      <c r="E50" s="92" t="inlineStr">
        <is>
          <t>GMM</t>
        </is>
      </c>
      <c r="F50" s="92" t="inlineStr">
        <is>
          <t>F10</t>
        </is>
      </c>
      <c r="G50" s="92" t="inlineStr">
        <is>
          <t>신계약 효과</t>
        </is>
      </c>
      <c r="H50" s="93" t="n">
        <v>-3944692000</v>
      </c>
      <c r="I50" s="93" t="n">
        <v>788938000</v>
      </c>
      <c r="J50" s="93" t="n">
        <v>3155753000</v>
      </c>
      <c r="L50" s="9">
        <f>IF($A50="","",VALUE($A50&amp;"")*12+VALUE($B50&amp;""))</f>
        <v/>
      </c>
      <c r="M50" s="94">
        <f>IF($A50="",0,$H50*설정!$C$23)</f>
        <v/>
      </c>
      <c r="N50" s="94">
        <f>IF($A50="",0,$I50*설정!$C$23)</f>
        <v/>
      </c>
      <c r="O50" s="94">
        <f>IF($A50="",0,$J50*설정!$C$23)</f>
        <v/>
      </c>
      <c r="P50" s="64">
        <f>IF($A50="","",IFERROR(INDEX(입력옵션!$C$58:$C$68,MATCH($F50&amp;"",입력옵션!$E$58:$E$68,0)),IFERROR(INDEX(입력옵션!$C$58:$C$68,MATCH($G50&amp;"",입력옵션!$F$58:$F$68,0)),$F50&amp;"")))</f>
        <v/>
      </c>
    </row>
    <row r="51">
      <c r="A51" s="92" t="n">
        <v>2025</v>
      </c>
      <c r="B51" s="92" t="n">
        <v>2</v>
      </c>
      <c r="C51" s="92" t="inlineStr">
        <is>
          <t>PF01</t>
        </is>
      </c>
      <c r="D51" s="92" t="inlineStr">
        <is>
          <t>보장성</t>
        </is>
      </c>
      <c r="E51" s="92" t="inlineStr">
        <is>
          <t>GMM</t>
        </is>
      </c>
      <c r="F51" s="92" t="inlineStr">
        <is>
          <t>F21</t>
        </is>
      </c>
      <c r="G51" s="92" t="inlineStr">
        <is>
          <t>가정변경-사업비</t>
        </is>
      </c>
      <c r="H51" s="93" t="n">
        <v>0</v>
      </c>
      <c r="I51" s="93" t="n">
        <v>0</v>
      </c>
      <c r="J51" s="93" t="n">
        <v>0</v>
      </c>
      <c r="L51" s="9">
        <f>IF($A51="","",VALUE($A51&amp;"")*12+VALUE($B51&amp;""))</f>
        <v/>
      </c>
      <c r="M51" s="94">
        <f>IF($A51="",0,$H51*설정!$C$23)</f>
        <v/>
      </c>
      <c r="N51" s="94">
        <f>IF($A51="",0,$I51*설정!$C$23)</f>
        <v/>
      </c>
      <c r="O51" s="94">
        <f>IF($A51="",0,$J51*설정!$C$23)</f>
        <v/>
      </c>
      <c r="P51" s="64">
        <f>IF($A51="","",IFERROR(INDEX(입력옵션!$C$58:$C$68,MATCH($F51&amp;"",입력옵션!$E$58:$E$68,0)),IFERROR(INDEX(입력옵션!$C$58:$C$68,MATCH($G51&amp;"",입력옵션!$F$58:$F$68,0)),$F51&amp;"")))</f>
        <v/>
      </c>
    </row>
    <row r="52">
      <c r="A52" s="92" t="n">
        <v>2025</v>
      </c>
      <c r="B52" s="92" t="n">
        <v>2</v>
      </c>
      <c r="C52" s="92" t="inlineStr">
        <is>
          <t>PF01</t>
        </is>
      </c>
      <c r="D52" s="92" t="inlineStr">
        <is>
          <t>보장성</t>
        </is>
      </c>
      <c r="E52" s="92" t="inlineStr">
        <is>
          <t>GMM</t>
        </is>
      </c>
      <c r="F52" s="92" t="inlineStr">
        <is>
          <t>F22</t>
        </is>
      </c>
      <c r="G52" s="92" t="inlineStr">
        <is>
          <t>가정변경-기타</t>
        </is>
      </c>
      <c r="H52" s="93" t="n">
        <v>0</v>
      </c>
      <c r="I52" s="93" t="n">
        <v>0</v>
      </c>
      <c r="J52" s="93" t="n">
        <v>0</v>
      </c>
      <c r="L52" s="9">
        <f>IF($A52="","",VALUE($A52&amp;"")*12+VALUE($B52&amp;""))</f>
        <v/>
      </c>
      <c r="M52" s="94">
        <f>IF($A52="",0,$H52*설정!$C$23)</f>
        <v/>
      </c>
      <c r="N52" s="94">
        <f>IF($A52="",0,$I52*설정!$C$23)</f>
        <v/>
      </c>
      <c r="O52" s="94">
        <f>IF($A52="",0,$J52*설정!$C$23)</f>
        <v/>
      </c>
      <c r="P52" s="64">
        <f>IF($A52="","",IFERROR(INDEX(입력옵션!$C$58:$C$68,MATCH($F52&amp;"",입력옵션!$E$58:$E$68,0)),IFERROR(INDEX(입력옵션!$C$58:$C$68,MATCH($G52&amp;"",입력옵션!$F$58:$F$68,0)),$F52&amp;"")))</f>
        <v/>
      </c>
    </row>
    <row r="53">
      <c r="A53" s="92" t="n">
        <v>2025</v>
      </c>
      <c r="B53" s="92" t="n">
        <v>2</v>
      </c>
      <c r="C53" s="92" t="inlineStr">
        <is>
          <t>PF01</t>
        </is>
      </c>
      <c r="D53" s="92" t="inlineStr">
        <is>
          <t>보장성</t>
        </is>
      </c>
      <c r="E53" s="92" t="inlineStr">
        <is>
          <t>GMM</t>
        </is>
      </c>
      <c r="F53" s="92" t="inlineStr">
        <is>
          <t>F31</t>
        </is>
      </c>
      <c r="G53" s="92" t="inlineStr">
        <is>
          <t>경험조정-취득현금흐름</t>
        </is>
      </c>
      <c r="H53" s="93" t="n">
        <v>0</v>
      </c>
      <c r="I53" s="93" t="n">
        <v>0</v>
      </c>
      <c r="J53" s="93" t="n">
        <v>-2014000</v>
      </c>
      <c r="L53" s="9">
        <f>IF($A53="","",VALUE($A53&amp;"")*12+VALUE($B53&amp;""))</f>
        <v/>
      </c>
      <c r="M53" s="94">
        <f>IF($A53="",0,$H53*설정!$C$23)</f>
        <v/>
      </c>
      <c r="N53" s="94">
        <f>IF($A53="",0,$I53*설정!$C$23)</f>
        <v/>
      </c>
      <c r="O53" s="94">
        <f>IF($A53="",0,$J53*설정!$C$23)</f>
        <v/>
      </c>
      <c r="P53" s="64">
        <f>IF($A53="","",IFERROR(INDEX(입력옵션!$C$58:$C$68,MATCH($F53&amp;"",입력옵션!$E$58:$E$68,0)),IFERROR(INDEX(입력옵션!$C$58:$C$68,MATCH($G53&amp;"",입력옵션!$F$58:$F$68,0)),$F53&amp;"")))</f>
        <v/>
      </c>
    </row>
    <row r="54">
      <c r="A54" s="92" t="n">
        <v>2025</v>
      </c>
      <c r="B54" s="92" t="n">
        <v>2</v>
      </c>
      <c r="C54" s="92" t="inlineStr">
        <is>
          <t>PF01</t>
        </is>
      </c>
      <c r="D54" s="92" t="inlineStr">
        <is>
          <t>보장성</t>
        </is>
      </c>
      <c r="E54" s="92" t="inlineStr">
        <is>
          <t>GMM</t>
        </is>
      </c>
      <c r="F54" s="92" t="inlineStr">
        <is>
          <t>F32</t>
        </is>
      </c>
      <c r="G54" s="92" t="inlineStr">
        <is>
          <t>경험조정-보험료 등</t>
        </is>
      </c>
      <c r="H54" s="93" t="n">
        <v>0</v>
      </c>
      <c r="I54" s="93" t="n">
        <v>0</v>
      </c>
      <c r="J54" s="93" t="n">
        <v>12336000</v>
      </c>
      <c r="L54" s="9">
        <f>IF($A54="","",VALUE($A54&amp;"")*12+VALUE($B54&amp;""))</f>
        <v/>
      </c>
      <c r="M54" s="94">
        <f>IF($A54="",0,$H54*설정!$C$23)</f>
        <v/>
      </c>
      <c r="N54" s="94">
        <f>IF($A54="",0,$I54*설정!$C$23)</f>
        <v/>
      </c>
      <c r="O54" s="94">
        <f>IF($A54="",0,$J54*설정!$C$23)</f>
        <v/>
      </c>
      <c r="P54" s="64">
        <f>IF($A54="","",IFERROR(INDEX(입력옵션!$C$58:$C$68,MATCH($F54&amp;"",입력옵션!$E$58:$E$68,0)),IFERROR(INDEX(입력옵션!$C$58:$C$68,MATCH($G54&amp;"",입력옵션!$F$58:$F$68,0)),$F54&amp;"")))</f>
        <v/>
      </c>
    </row>
    <row r="55">
      <c r="A55" s="92" t="n">
        <v>2025</v>
      </c>
      <c r="B55" s="92" t="n">
        <v>2</v>
      </c>
      <c r="C55" s="92" t="inlineStr">
        <is>
          <t>PF01</t>
        </is>
      </c>
      <c r="D55" s="92" t="inlineStr">
        <is>
          <t>보장성</t>
        </is>
      </c>
      <c r="E55" s="92" t="inlineStr">
        <is>
          <t>GMM</t>
        </is>
      </c>
      <c r="F55" s="92" t="inlineStr">
        <is>
          <t>F40</t>
        </is>
      </c>
      <c r="G55" s="92" t="inlineStr">
        <is>
          <t>보험금융비용(이자부리)</t>
        </is>
      </c>
      <c r="H55" s="93" t="n">
        <v>2563117000</v>
      </c>
      <c r="I55" s="93" t="n">
        <v>140553000</v>
      </c>
      <c r="J55" s="93" t="n">
        <v>578361000</v>
      </c>
      <c r="L55" s="9">
        <f>IF($A55="","",VALUE($A55&amp;"")*12+VALUE($B55&amp;""))</f>
        <v/>
      </c>
      <c r="M55" s="94">
        <f>IF($A55="",0,$H55*설정!$C$23)</f>
        <v/>
      </c>
      <c r="N55" s="94">
        <f>IF($A55="",0,$I55*설정!$C$23)</f>
        <v/>
      </c>
      <c r="O55" s="94">
        <f>IF($A55="",0,$J55*설정!$C$23)</f>
        <v/>
      </c>
      <c r="P55" s="64">
        <f>IF($A55="","",IFERROR(INDEX(입력옵션!$C$58:$C$68,MATCH($F55&amp;"",입력옵션!$E$58:$E$68,0)),IFERROR(INDEX(입력옵션!$C$58:$C$68,MATCH($G55&amp;"",입력옵션!$F$58:$F$68,0)),$F55&amp;"")))</f>
        <v/>
      </c>
    </row>
    <row r="56">
      <c r="A56" s="92" t="n">
        <v>2025</v>
      </c>
      <c r="B56" s="92" t="n">
        <v>2</v>
      </c>
      <c r="C56" s="92" t="inlineStr">
        <is>
          <t>PF01</t>
        </is>
      </c>
      <c r="D56" s="92" t="inlineStr">
        <is>
          <t>보장성</t>
        </is>
      </c>
      <c r="E56" s="92" t="inlineStr">
        <is>
          <t>GMM</t>
        </is>
      </c>
      <c r="F56" s="92" t="inlineStr">
        <is>
          <t>F51</t>
        </is>
      </c>
      <c r="G56" s="92" t="inlineStr">
        <is>
          <t>CSM 상각</t>
        </is>
      </c>
      <c r="H56" s="93" t="n">
        <v>0</v>
      </c>
      <c r="I56" s="93" t="n">
        <v>0</v>
      </c>
      <c r="J56" s="93" t="n">
        <v>-2082100000</v>
      </c>
      <c r="L56" s="9">
        <f>IF($A56="","",VALUE($A56&amp;"")*12+VALUE($B56&amp;""))</f>
        <v/>
      </c>
      <c r="M56" s="94">
        <f>IF($A56="",0,$H56*설정!$C$23)</f>
        <v/>
      </c>
      <c r="N56" s="94">
        <f>IF($A56="",0,$I56*설정!$C$23)</f>
        <v/>
      </c>
      <c r="O56" s="94">
        <f>IF($A56="",0,$J56*설정!$C$23)</f>
        <v/>
      </c>
      <c r="P56" s="64">
        <f>IF($A56="","",IFERROR(INDEX(입력옵션!$C$58:$C$68,MATCH($F56&amp;"",입력옵션!$E$58:$E$68,0)),IFERROR(INDEX(입력옵션!$C$58:$C$68,MATCH($G56&amp;"",입력옵션!$F$58:$F$68,0)),$F56&amp;"")))</f>
        <v/>
      </c>
    </row>
    <row r="57">
      <c r="A57" s="92" t="n">
        <v>2025</v>
      </c>
      <c r="B57" s="92" t="n">
        <v>2</v>
      </c>
      <c r="C57" s="92" t="inlineStr">
        <is>
          <t>PF01</t>
        </is>
      </c>
      <c r="D57" s="92" t="inlineStr">
        <is>
          <t>보장성</t>
        </is>
      </c>
      <c r="E57" s="92" t="inlineStr">
        <is>
          <t>GMM</t>
        </is>
      </c>
      <c r="F57" s="92" t="inlineStr">
        <is>
          <t>F52</t>
        </is>
      </c>
      <c r="G57" s="92" t="inlineStr">
        <is>
          <t>RA 해제</t>
        </is>
      </c>
      <c r="H57" s="93" t="n">
        <v>0</v>
      </c>
      <c r="I57" s="93" t="n">
        <v>-421659000</v>
      </c>
      <c r="J57" s="93" t="n">
        <v>0</v>
      </c>
      <c r="L57" s="9">
        <f>IF($A57="","",VALUE($A57&amp;"")*12+VALUE($B57&amp;""))</f>
        <v/>
      </c>
      <c r="M57" s="94">
        <f>IF($A57="",0,$H57*설정!$C$23)</f>
        <v/>
      </c>
      <c r="N57" s="94">
        <f>IF($A57="",0,$I57*설정!$C$23)</f>
        <v/>
      </c>
      <c r="O57" s="94">
        <f>IF($A57="",0,$J57*설정!$C$23)</f>
        <v/>
      </c>
      <c r="P57" s="64">
        <f>IF($A57="","",IFERROR(INDEX(입력옵션!$C$58:$C$68,MATCH($F57&amp;"",입력옵션!$E$58:$E$68,0)),IFERROR(INDEX(입력옵션!$C$58:$C$68,MATCH($G57&amp;"",입력옵션!$F$58:$F$68,0)),$F57&amp;"")))</f>
        <v/>
      </c>
    </row>
    <row r="58">
      <c r="A58" s="92" t="n">
        <v>2025</v>
      </c>
      <c r="B58" s="92" t="n">
        <v>2</v>
      </c>
      <c r="C58" s="92" t="inlineStr">
        <is>
          <t>PF01</t>
        </is>
      </c>
      <c r="D58" s="92" t="inlineStr">
        <is>
          <t>보장성</t>
        </is>
      </c>
      <c r="E58" s="92" t="inlineStr">
        <is>
          <t>GMM</t>
        </is>
      </c>
      <c r="F58" s="92" t="inlineStr">
        <is>
          <t>F60</t>
        </is>
      </c>
      <c r="G58" s="92" t="inlineStr">
        <is>
          <t>현금흐름 및 기타</t>
        </is>
      </c>
      <c r="H58" s="93" t="n">
        <v>5717975000</v>
      </c>
      <c r="I58" s="93" t="n">
        <v>825188000</v>
      </c>
      <c r="J58" s="93" t="n">
        <v>0</v>
      </c>
      <c r="L58" s="9">
        <f>IF($A58="","",VALUE($A58&amp;"")*12+VALUE($B58&amp;""))</f>
        <v/>
      </c>
      <c r="M58" s="94">
        <f>IF($A58="",0,$H58*설정!$C$23)</f>
        <v/>
      </c>
      <c r="N58" s="94">
        <f>IF($A58="",0,$I58*설정!$C$23)</f>
        <v/>
      </c>
      <c r="O58" s="94">
        <f>IF($A58="",0,$J58*설정!$C$23)</f>
        <v/>
      </c>
      <c r="P58" s="64">
        <f>IF($A58="","",IFERROR(INDEX(입력옵션!$C$58:$C$68,MATCH($F58&amp;"",입력옵션!$E$58:$E$68,0)),IFERROR(INDEX(입력옵션!$C$58:$C$68,MATCH($G58&amp;"",입력옵션!$F$58:$F$68,0)),$F58&amp;"")))</f>
        <v/>
      </c>
    </row>
    <row r="59">
      <c r="A59" s="92" t="n">
        <v>2025</v>
      </c>
      <c r="B59" s="92" t="n">
        <v>2</v>
      </c>
      <c r="C59" s="92" t="inlineStr">
        <is>
          <t>PF01</t>
        </is>
      </c>
      <c r="D59" s="92" t="inlineStr">
        <is>
          <t>보장성</t>
        </is>
      </c>
      <c r="E59" s="92" t="inlineStr">
        <is>
          <t>GMM</t>
        </is>
      </c>
      <c r="F59" s="92" t="inlineStr">
        <is>
          <t>F99</t>
        </is>
      </c>
      <c r="G59" s="92" t="inlineStr">
        <is>
          <t>기말잔액</t>
        </is>
      </c>
      <c r="H59" s="93" t="n">
        <v>1029583100000</v>
      </c>
      <c r="I59" s="93" t="n">
        <v>71609520000</v>
      </c>
      <c r="J59" s="93" t="n">
        <v>233006787000</v>
      </c>
      <c r="L59" s="9">
        <f>IF($A59="","",VALUE($A59&amp;"")*12+VALUE($B59&amp;""))</f>
        <v/>
      </c>
      <c r="M59" s="94">
        <f>IF($A59="",0,$H59*설정!$C$23)</f>
        <v/>
      </c>
      <c r="N59" s="94">
        <f>IF($A59="",0,$I59*설정!$C$23)</f>
        <v/>
      </c>
      <c r="O59" s="94">
        <f>IF($A59="",0,$J59*설정!$C$23)</f>
        <v/>
      </c>
      <c r="P59" s="64">
        <f>IF($A59="","",IFERROR(INDEX(입력옵션!$C$58:$C$68,MATCH($F59&amp;"",입력옵션!$E$58:$E$68,0)),IFERROR(INDEX(입력옵션!$C$58:$C$68,MATCH($G59&amp;"",입력옵션!$F$58:$F$68,0)),$F59&amp;"")))</f>
        <v/>
      </c>
    </row>
    <row r="60">
      <c r="A60" s="92" t="n">
        <v>2025</v>
      </c>
      <c r="B60" s="92" t="n">
        <v>2</v>
      </c>
      <c r="C60" s="92" t="inlineStr">
        <is>
          <t>PF02</t>
        </is>
      </c>
      <c r="D60" s="92" t="inlineStr">
        <is>
          <t>저축성</t>
        </is>
      </c>
      <c r="E60" s="92" t="inlineStr">
        <is>
          <t>GMM</t>
        </is>
      </c>
      <c r="F60" s="92" t="inlineStr">
        <is>
          <t>F00</t>
        </is>
      </c>
      <c r="G60" s="92" t="inlineStr">
        <is>
          <t>기초잔액</t>
        </is>
      </c>
      <c r="H60" s="93" t="n">
        <v>676662822000</v>
      </c>
      <c r="I60" s="93" t="n">
        <v>29281875000</v>
      </c>
      <c r="J60" s="93" t="n">
        <v>93167899000</v>
      </c>
      <c r="L60" s="9">
        <f>IF($A60="","",VALUE($A60&amp;"")*12+VALUE($B60&amp;""))</f>
        <v/>
      </c>
      <c r="M60" s="94">
        <f>IF($A60="",0,$H60*설정!$C$23)</f>
        <v/>
      </c>
      <c r="N60" s="94">
        <f>IF($A60="",0,$I60*설정!$C$23)</f>
        <v/>
      </c>
      <c r="O60" s="94">
        <f>IF($A60="",0,$J60*설정!$C$23)</f>
        <v/>
      </c>
      <c r="P60" s="64">
        <f>IF($A60="","",IFERROR(INDEX(입력옵션!$C$58:$C$68,MATCH($F60&amp;"",입력옵션!$E$58:$E$68,0)),IFERROR(INDEX(입력옵션!$C$58:$C$68,MATCH($G60&amp;"",입력옵션!$F$58:$F$68,0)),$F60&amp;"")))</f>
        <v/>
      </c>
    </row>
    <row r="61">
      <c r="A61" s="92" t="n">
        <v>2025</v>
      </c>
      <c r="B61" s="92" t="n">
        <v>2</v>
      </c>
      <c r="C61" s="92" t="inlineStr">
        <is>
          <t>PF02</t>
        </is>
      </c>
      <c r="D61" s="92" t="inlineStr">
        <is>
          <t>저축성</t>
        </is>
      </c>
      <c r="E61" s="92" t="inlineStr">
        <is>
          <t>GMM</t>
        </is>
      </c>
      <c r="F61" s="92" t="inlineStr">
        <is>
          <t>F10</t>
        </is>
      </c>
      <c r="G61" s="92" t="inlineStr">
        <is>
          <t>신계약 효과</t>
        </is>
      </c>
      <c r="H61" s="93" t="n">
        <v>-1590601000</v>
      </c>
      <c r="I61" s="93" t="n">
        <v>318120000</v>
      </c>
      <c r="J61" s="93" t="n">
        <v>1272481000</v>
      </c>
      <c r="L61" s="9">
        <f>IF($A61="","",VALUE($A61&amp;"")*12+VALUE($B61&amp;""))</f>
        <v/>
      </c>
      <c r="M61" s="94">
        <f>IF($A61="",0,$H61*설정!$C$23)</f>
        <v/>
      </c>
      <c r="N61" s="94">
        <f>IF($A61="",0,$I61*설정!$C$23)</f>
        <v/>
      </c>
      <c r="O61" s="94">
        <f>IF($A61="",0,$J61*설정!$C$23)</f>
        <v/>
      </c>
      <c r="P61" s="64">
        <f>IF($A61="","",IFERROR(INDEX(입력옵션!$C$58:$C$68,MATCH($F61&amp;"",입력옵션!$E$58:$E$68,0)),IFERROR(INDEX(입력옵션!$C$58:$C$68,MATCH($G61&amp;"",입력옵션!$F$58:$F$68,0)),$F61&amp;"")))</f>
        <v/>
      </c>
    </row>
    <row r="62">
      <c r="A62" s="92" t="n">
        <v>2025</v>
      </c>
      <c r="B62" s="92" t="n">
        <v>2</v>
      </c>
      <c r="C62" s="92" t="inlineStr">
        <is>
          <t>PF02</t>
        </is>
      </c>
      <c r="D62" s="92" t="inlineStr">
        <is>
          <t>저축성</t>
        </is>
      </c>
      <c r="E62" s="92" t="inlineStr">
        <is>
          <t>GMM</t>
        </is>
      </c>
      <c r="F62" s="92" t="inlineStr">
        <is>
          <t>F21</t>
        </is>
      </c>
      <c r="G62" s="92" t="inlineStr">
        <is>
          <t>가정변경-사업비</t>
        </is>
      </c>
      <c r="H62" s="93" t="n">
        <v>0</v>
      </c>
      <c r="I62" s="93" t="n">
        <v>0</v>
      </c>
      <c r="J62" s="93" t="n">
        <v>0</v>
      </c>
      <c r="L62" s="9">
        <f>IF($A62="","",VALUE($A62&amp;"")*12+VALUE($B62&amp;""))</f>
        <v/>
      </c>
      <c r="M62" s="94">
        <f>IF($A62="",0,$H62*설정!$C$23)</f>
        <v/>
      </c>
      <c r="N62" s="94">
        <f>IF($A62="",0,$I62*설정!$C$23)</f>
        <v/>
      </c>
      <c r="O62" s="94">
        <f>IF($A62="",0,$J62*설정!$C$23)</f>
        <v/>
      </c>
      <c r="P62" s="64">
        <f>IF($A62="","",IFERROR(INDEX(입력옵션!$C$58:$C$68,MATCH($F62&amp;"",입력옵션!$E$58:$E$68,0)),IFERROR(INDEX(입력옵션!$C$58:$C$68,MATCH($G62&amp;"",입력옵션!$F$58:$F$68,0)),$F62&amp;"")))</f>
        <v/>
      </c>
    </row>
    <row r="63">
      <c r="A63" s="92" t="n">
        <v>2025</v>
      </c>
      <c r="B63" s="92" t="n">
        <v>2</v>
      </c>
      <c r="C63" s="92" t="inlineStr">
        <is>
          <t>PF02</t>
        </is>
      </c>
      <c r="D63" s="92" t="inlineStr">
        <is>
          <t>저축성</t>
        </is>
      </c>
      <c r="E63" s="92" t="inlineStr">
        <is>
          <t>GMM</t>
        </is>
      </c>
      <c r="F63" s="92" t="inlineStr">
        <is>
          <t>F22</t>
        </is>
      </c>
      <c r="G63" s="92" t="inlineStr">
        <is>
          <t>가정변경-기타</t>
        </is>
      </c>
      <c r="H63" s="93" t="n">
        <v>0</v>
      </c>
      <c r="I63" s="93" t="n">
        <v>0</v>
      </c>
      <c r="J63" s="93" t="n">
        <v>0</v>
      </c>
      <c r="L63" s="9">
        <f>IF($A63="","",VALUE($A63&amp;"")*12+VALUE($B63&amp;""))</f>
        <v/>
      </c>
      <c r="M63" s="94">
        <f>IF($A63="",0,$H63*설정!$C$23)</f>
        <v/>
      </c>
      <c r="N63" s="94">
        <f>IF($A63="",0,$I63*설정!$C$23)</f>
        <v/>
      </c>
      <c r="O63" s="94">
        <f>IF($A63="",0,$J63*설정!$C$23)</f>
        <v/>
      </c>
      <c r="P63" s="64">
        <f>IF($A63="","",IFERROR(INDEX(입력옵션!$C$58:$C$68,MATCH($F63&amp;"",입력옵션!$E$58:$E$68,0)),IFERROR(INDEX(입력옵션!$C$58:$C$68,MATCH($G63&amp;"",입력옵션!$F$58:$F$68,0)),$F63&amp;"")))</f>
        <v/>
      </c>
    </row>
    <row r="64">
      <c r="A64" s="92" t="n">
        <v>2025</v>
      </c>
      <c r="B64" s="92" t="n">
        <v>2</v>
      </c>
      <c r="C64" s="92" t="inlineStr">
        <is>
          <t>PF02</t>
        </is>
      </c>
      <c r="D64" s="92" t="inlineStr">
        <is>
          <t>저축성</t>
        </is>
      </c>
      <c r="E64" s="92" t="inlineStr">
        <is>
          <t>GMM</t>
        </is>
      </c>
      <c r="F64" s="92" t="inlineStr">
        <is>
          <t>F31</t>
        </is>
      </c>
      <c r="G64" s="92" t="inlineStr">
        <is>
          <t>경험조정-취득현금흐름</t>
        </is>
      </c>
      <c r="H64" s="93" t="n">
        <v>0</v>
      </c>
      <c r="I64" s="93" t="n">
        <v>0</v>
      </c>
      <c r="J64" s="93" t="n">
        <v>-6547000</v>
      </c>
      <c r="L64" s="9">
        <f>IF($A64="","",VALUE($A64&amp;"")*12+VALUE($B64&amp;""))</f>
        <v/>
      </c>
      <c r="M64" s="94">
        <f>IF($A64="",0,$H64*설정!$C$23)</f>
        <v/>
      </c>
      <c r="N64" s="94">
        <f>IF($A64="",0,$I64*설정!$C$23)</f>
        <v/>
      </c>
      <c r="O64" s="94">
        <f>IF($A64="",0,$J64*설정!$C$23)</f>
        <v/>
      </c>
      <c r="P64" s="64">
        <f>IF($A64="","",IFERROR(INDEX(입력옵션!$C$58:$C$68,MATCH($F64&amp;"",입력옵션!$E$58:$E$68,0)),IFERROR(INDEX(입력옵션!$C$58:$C$68,MATCH($G64&amp;"",입력옵션!$F$58:$F$68,0)),$F64&amp;"")))</f>
        <v/>
      </c>
    </row>
    <row r="65">
      <c r="A65" s="92" t="n">
        <v>2025</v>
      </c>
      <c r="B65" s="92" t="n">
        <v>2</v>
      </c>
      <c r="C65" s="92" t="inlineStr">
        <is>
          <t>PF02</t>
        </is>
      </c>
      <c r="D65" s="92" t="inlineStr">
        <is>
          <t>저축성</t>
        </is>
      </c>
      <c r="E65" s="92" t="inlineStr">
        <is>
          <t>GMM</t>
        </is>
      </c>
      <c r="F65" s="92" t="inlineStr">
        <is>
          <t>F32</t>
        </is>
      </c>
      <c r="G65" s="92" t="inlineStr">
        <is>
          <t>경험조정-보험료 등</t>
        </is>
      </c>
      <c r="H65" s="93" t="n">
        <v>0</v>
      </c>
      <c r="I65" s="93" t="n">
        <v>0</v>
      </c>
      <c r="J65" s="93" t="n">
        <v>140304000</v>
      </c>
      <c r="L65" s="9">
        <f>IF($A65="","",VALUE($A65&amp;"")*12+VALUE($B65&amp;""))</f>
        <v/>
      </c>
      <c r="M65" s="94">
        <f>IF($A65="",0,$H65*설정!$C$23)</f>
        <v/>
      </c>
      <c r="N65" s="94">
        <f>IF($A65="",0,$I65*설정!$C$23)</f>
        <v/>
      </c>
      <c r="O65" s="94">
        <f>IF($A65="",0,$J65*설정!$C$23)</f>
        <v/>
      </c>
      <c r="P65" s="64">
        <f>IF($A65="","",IFERROR(INDEX(입력옵션!$C$58:$C$68,MATCH($F65&amp;"",입력옵션!$E$58:$E$68,0)),IFERROR(INDEX(입력옵션!$C$58:$C$68,MATCH($G65&amp;"",입력옵션!$F$58:$F$68,0)),$F65&amp;"")))</f>
        <v/>
      </c>
    </row>
    <row r="66">
      <c r="A66" s="92" t="n">
        <v>2025</v>
      </c>
      <c r="B66" s="92" t="n">
        <v>2</v>
      </c>
      <c r="C66" s="92" t="inlineStr">
        <is>
          <t>PF02</t>
        </is>
      </c>
      <c r="D66" s="92" t="inlineStr">
        <is>
          <t>저축성</t>
        </is>
      </c>
      <c r="E66" s="92" t="inlineStr">
        <is>
          <t>GMM</t>
        </is>
      </c>
      <c r="F66" s="92" t="inlineStr">
        <is>
          <t>F40</t>
        </is>
      </c>
      <c r="G66" s="92" t="inlineStr">
        <is>
          <t>보험금융비용(이자부리)</t>
        </is>
      </c>
      <c r="H66" s="93" t="n">
        <v>1691657000</v>
      </c>
      <c r="I66" s="93" t="n">
        <v>58564000</v>
      </c>
      <c r="J66" s="93" t="n">
        <v>232920000</v>
      </c>
      <c r="L66" s="9">
        <f>IF($A66="","",VALUE($A66&amp;"")*12+VALUE($B66&amp;""))</f>
        <v/>
      </c>
      <c r="M66" s="94">
        <f>IF($A66="",0,$H66*설정!$C$23)</f>
        <v/>
      </c>
      <c r="N66" s="94">
        <f>IF($A66="",0,$I66*설정!$C$23)</f>
        <v/>
      </c>
      <c r="O66" s="94">
        <f>IF($A66="",0,$J66*설정!$C$23)</f>
        <v/>
      </c>
      <c r="P66" s="64">
        <f>IF($A66="","",IFERROR(INDEX(입력옵션!$C$58:$C$68,MATCH($F66&amp;"",입력옵션!$E$58:$E$68,0)),IFERROR(INDEX(입력옵션!$C$58:$C$68,MATCH($G66&amp;"",입력옵션!$F$58:$F$68,0)),$F66&amp;"")))</f>
        <v/>
      </c>
    </row>
    <row r="67">
      <c r="A67" s="92" t="n">
        <v>2025</v>
      </c>
      <c r="B67" s="92" t="n">
        <v>2</v>
      </c>
      <c r="C67" s="92" t="inlineStr">
        <is>
          <t>PF02</t>
        </is>
      </c>
      <c r="D67" s="92" t="inlineStr">
        <is>
          <t>저축성</t>
        </is>
      </c>
      <c r="E67" s="92" t="inlineStr">
        <is>
          <t>GMM</t>
        </is>
      </c>
      <c r="F67" s="92" t="inlineStr">
        <is>
          <t>F51</t>
        </is>
      </c>
      <c r="G67" s="92" t="inlineStr">
        <is>
          <t>CSM 상각</t>
        </is>
      </c>
      <c r="H67" s="93" t="n">
        <v>0</v>
      </c>
      <c r="I67" s="93" t="n">
        <v>0</v>
      </c>
      <c r="J67" s="93" t="n">
        <v>-838511000</v>
      </c>
      <c r="L67" s="9">
        <f>IF($A67="","",VALUE($A67&amp;"")*12+VALUE($B67&amp;""))</f>
        <v/>
      </c>
      <c r="M67" s="94">
        <f>IF($A67="",0,$H67*설정!$C$23)</f>
        <v/>
      </c>
      <c r="N67" s="94">
        <f>IF($A67="",0,$I67*설정!$C$23)</f>
        <v/>
      </c>
      <c r="O67" s="94">
        <f>IF($A67="",0,$J67*설정!$C$23)</f>
        <v/>
      </c>
      <c r="P67" s="64">
        <f>IF($A67="","",IFERROR(INDEX(입력옵션!$C$58:$C$68,MATCH($F67&amp;"",입력옵션!$E$58:$E$68,0)),IFERROR(INDEX(입력옵션!$C$58:$C$68,MATCH($G67&amp;"",입력옵션!$F$58:$F$68,0)),$F67&amp;"")))</f>
        <v/>
      </c>
    </row>
    <row r="68">
      <c r="A68" s="92" t="n">
        <v>2025</v>
      </c>
      <c r="B68" s="92" t="n">
        <v>2</v>
      </c>
      <c r="C68" s="92" t="inlineStr">
        <is>
          <t>PF02</t>
        </is>
      </c>
      <c r="D68" s="92" t="inlineStr">
        <is>
          <t>저축성</t>
        </is>
      </c>
      <c r="E68" s="92" t="inlineStr">
        <is>
          <t>GMM</t>
        </is>
      </c>
      <c r="F68" s="92" t="inlineStr">
        <is>
          <t>F52</t>
        </is>
      </c>
      <c r="G68" s="92" t="inlineStr">
        <is>
          <t>RA 해제</t>
        </is>
      </c>
      <c r="H68" s="93" t="n">
        <v>0</v>
      </c>
      <c r="I68" s="93" t="n">
        <v>-175691000</v>
      </c>
      <c r="J68" s="93" t="n">
        <v>0</v>
      </c>
      <c r="L68" s="9">
        <f>IF($A68="","",VALUE($A68&amp;"")*12+VALUE($B68&amp;""))</f>
        <v/>
      </c>
      <c r="M68" s="94">
        <f>IF($A68="",0,$H68*설정!$C$23)</f>
        <v/>
      </c>
      <c r="N68" s="94">
        <f>IF($A68="",0,$I68*설정!$C$23)</f>
        <v/>
      </c>
      <c r="O68" s="94">
        <f>IF($A68="",0,$J68*설정!$C$23)</f>
        <v/>
      </c>
      <c r="P68" s="64">
        <f>IF($A68="","",IFERROR(INDEX(입력옵션!$C$58:$C$68,MATCH($F68&amp;"",입력옵션!$E$58:$E$68,0)),IFERROR(INDEX(입력옵션!$C$58:$C$68,MATCH($G68&amp;"",입력옵션!$F$58:$F$68,0)),$F68&amp;"")))</f>
        <v/>
      </c>
    </row>
    <row r="69">
      <c r="A69" s="92" t="n">
        <v>2025</v>
      </c>
      <c r="B69" s="92" t="n">
        <v>2</v>
      </c>
      <c r="C69" s="92" t="inlineStr">
        <is>
          <t>PF02</t>
        </is>
      </c>
      <c r="D69" s="92" t="inlineStr">
        <is>
          <t>저축성</t>
        </is>
      </c>
      <c r="E69" s="92" t="inlineStr">
        <is>
          <t>GMM</t>
        </is>
      </c>
      <c r="F69" s="92" t="inlineStr">
        <is>
          <t>F60</t>
        </is>
      </c>
      <c r="G69" s="92" t="inlineStr">
        <is>
          <t>현금흐름 및 기타</t>
        </is>
      </c>
      <c r="H69" s="93" t="n">
        <v>2760968000</v>
      </c>
      <c r="I69" s="93" t="n">
        <v>354432000</v>
      </c>
      <c r="J69" s="93" t="n">
        <v>0</v>
      </c>
      <c r="L69" s="9">
        <f>IF($A69="","",VALUE($A69&amp;"")*12+VALUE($B69&amp;""))</f>
        <v/>
      </c>
      <c r="M69" s="94">
        <f>IF($A69="",0,$H69*설정!$C$23)</f>
        <v/>
      </c>
      <c r="N69" s="94">
        <f>IF($A69="",0,$I69*설정!$C$23)</f>
        <v/>
      </c>
      <c r="O69" s="94">
        <f>IF($A69="",0,$J69*설정!$C$23)</f>
        <v/>
      </c>
      <c r="P69" s="64">
        <f>IF($A69="","",IFERROR(INDEX(입력옵션!$C$58:$C$68,MATCH($F69&amp;"",입력옵션!$E$58:$E$68,0)),IFERROR(INDEX(입력옵션!$C$58:$C$68,MATCH($G69&amp;"",입력옵션!$F$58:$F$68,0)),$F69&amp;"")))</f>
        <v/>
      </c>
    </row>
    <row r="70">
      <c r="A70" s="92" t="n">
        <v>2025</v>
      </c>
      <c r="B70" s="92" t="n">
        <v>2</v>
      </c>
      <c r="C70" s="92" t="inlineStr">
        <is>
          <t>PF02</t>
        </is>
      </c>
      <c r="D70" s="92" t="inlineStr">
        <is>
          <t>저축성</t>
        </is>
      </c>
      <c r="E70" s="92" t="inlineStr">
        <is>
          <t>GMM</t>
        </is>
      </c>
      <c r="F70" s="92" t="inlineStr">
        <is>
          <t>F99</t>
        </is>
      </c>
      <c r="G70" s="92" t="inlineStr">
        <is>
          <t>기말잔액</t>
        </is>
      </c>
      <c r="H70" s="93" t="n">
        <v>679524846000</v>
      </c>
      <c r="I70" s="93" t="n">
        <v>29837300000</v>
      </c>
      <c r="J70" s="93" t="n">
        <v>93968546000</v>
      </c>
      <c r="L70" s="9">
        <f>IF($A70="","",VALUE($A70&amp;"")*12+VALUE($B70&amp;""))</f>
        <v/>
      </c>
      <c r="M70" s="94">
        <f>IF($A70="",0,$H70*설정!$C$23)</f>
        <v/>
      </c>
      <c r="N70" s="94">
        <f>IF($A70="",0,$I70*설정!$C$23)</f>
        <v/>
      </c>
      <c r="O70" s="94">
        <f>IF($A70="",0,$J70*설정!$C$23)</f>
        <v/>
      </c>
      <c r="P70" s="64">
        <f>IF($A70="","",IFERROR(INDEX(입력옵션!$C$58:$C$68,MATCH($F70&amp;"",입력옵션!$E$58:$E$68,0)),IFERROR(INDEX(입력옵션!$C$58:$C$68,MATCH($G70&amp;"",입력옵션!$F$58:$F$68,0)),$F70&amp;"")))</f>
        <v/>
      </c>
    </row>
    <row r="71">
      <c r="A71" s="92" t="n">
        <v>2025</v>
      </c>
      <c r="B71" s="92" t="n">
        <v>2</v>
      </c>
      <c r="C71" s="92" t="inlineStr">
        <is>
          <t>PF03</t>
        </is>
      </c>
      <c r="D71" s="92" t="inlineStr">
        <is>
          <t>단체(단기)</t>
        </is>
      </c>
      <c r="E71" s="92" t="inlineStr">
        <is>
          <t>PAA</t>
        </is>
      </c>
      <c r="F71" s="92" t="inlineStr">
        <is>
          <t>F00</t>
        </is>
      </c>
      <c r="G71" s="92" t="inlineStr">
        <is>
          <t>기초잔액</t>
        </is>
      </c>
      <c r="H71" s="93" t="n">
        <v>41009868000</v>
      </c>
      <c r="I71" s="93" t="n">
        <v>2342550000</v>
      </c>
      <c r="J71" s="93" t="n">
        <v>0</v>
      </c>
      <c r="L71" s="9">
        <f>IF($A71="","",VALUE($A71&amp;"")*12+VALUE($B71&amp;""))</f>
        <v/>
      </c>
      <c r="M71" s="94">
        <f>IF($A71="",0,$H71*설정!$C$23)</f>
        <v/>
      </c>
      <c r="N71" s="94">
        <f>IF($A71="",0,$I71*설정!$C$23)</f>
        <v/>
      </c>
      <c r="O71" s="94">
        <f>IF($A71="",0,$J71*설정!$C$23)</f>
        <v/>
      </c>
      <c r="P71" s="64">
        <f>IF($A71="","",IFERROR(INDEX(입력옵션!$C$58:$C$68,MATCH($F71&amp;"",입력옵션!$E$58:$E$68,0)),IFERROR(INDEX(입력옵션!$C$58:$C$68,MATCH($G71&amp;"",입력옵션!$F$58:$F$68,0)),$F71&amp;"")))</f>
        <v/>
      </c>
    </row>
    <row r="72">
      <c r="A72" s="92" t="n">
        <v>2025</v>
      </c>
      <c r="B72" s="92" t="n">
        <v>2</v>
      </c>
      <c r="C72" s="92" t="inlineStr">
        <is>
          <t>PF03</t>
        </is>
      </c>
      <c r="D72" s="92" t="inlineStr">
        <is>
          <t>단체(단기)</t>
        </is>
      </c>
      <c r="E72" s="92" t="inlineStr">
        <is>
          <t>PAA</t>
        </is>
      </c>
      <c r="F72" s="92" t="inlineStr">
        <is>
          <t>F10</t>
        </is>
      </c>
      <c r="G72" s="92" t="inlineStr">
        <is>
          <t>신계약 효과</t>
        </is>
      </c>
      <c r="H72" s="93" t="n">
        <v>0</v>
      </c>
      <c r="I72" s="93" t="n">
        <v>0</v>
      </c>
      <c r="J72" s="93" t="n">
        <v>0</v>
      </c>
      <c r="L72" s="9">
        <f>IF($A72="","",VALUE($A72&amp;"")*12+VALUE($B72&amp;""))</f>
        <v/>
      </c>
      <c r="M72" s="94">
        <f>IF($A72="",0,$H72*설정!$C$23)</f>
        <v/>
      </c>
      <c r="N72" s="94">
        <f>IF($A72="",0,$I72*설정!$C$23)</f>
        <v/>
      </c>
      <c r="O72" s="94">
        <f>IF($A72="",0,$J72*설정!$C$23)</f>
        <v/>
      </c>
      <c r="P72" s="64">
        <f>IF($A72="","",IFERROR(INDEX(입력옵션!$C$58:$C$68,MATCH($F72&amp;"",입력옵션!$E$58:$E$68,0)),IFERROR(INDEX(입력옵션!$C$58:$C$68,MATCH($G72&amp;"",입력옵션!$F$58:$F$68,0)),$F72&amp;"")))</f>
        <v/>
      </c>
    </row>
    <row r="73">
      <c r="A73" s="92" t="n">
        <v>2025</v>
      </c>
      <c r="B73" s="92" t="n">
        <v>2</v>
      </c>
      <c r="C73" s="92" t="inlineStr">
        <is>
          <t>PF03</t>
        </is>
      </c>
      <c r="D73" s="92" t="inlineStr">
        <is>
          <t>단체(단기)</t>
        </is>
      </c>
      <c r="E73" s="92" t="inlineStr">
        <is>
          <t>PAA</t>
        </is>
      </c>
      <c r="F73" s="92" t="inlineStr">
        <is>
          <t>F21</t>
        </is>
      </c>
      <c r="G73" s="92" t="inlineStr">
        <is>
          <t>가정변경-사업비</t>
        </is>
      </c>
      <c r="H73" s="93" t="n">
        <v>0</v>
      </c>
      <c r="I73" s="93" t="n">
        <v>0</v>
      </c>
      <c r="J73" s="93" t="n">
        <v>0</v>
      </c>
      <c r="L73" s="9">
        <f>IF($A73="","",VALUE($A73&amp;"")*12+VALUE($B73&amp;""))</f>
        <v/>
      </c>
      <c r="M73" s="94">
        <f>IF($A73="",0,$H73*설정!$C$23)</f>
        <v/>
      </c>
      <c r="N73" s="94">
        <f>IF($A73="",0,$I73*설정!$C$23)</f>
        <v/>
      </c>
      <c r="O73" s="94">
        <f>IF($A73="",0,$J73*설정!$C$23)</f>
        <v/>
      </c>
      <c r="P73" s="64">
        <f>IF($A73="","",IFERROR(INDEX(입력옵션!$C$58:$C$68,MATCH($F73&amp;"",입력옵션!$E$58:$E$68,0)),IFERROR(INDEX(입력옵션!$C$58:$C$68,MATCH($G73&amp;"",입력옵션!$F$58:$F$68,0)),$F73&amp;"")))</f>
        <v/>
      </c>
    </row>
    <row r="74">
      <c r="A74" s="92" t="n">
        <v>2025</v>
      </c>
      <c r="B74" s="92" t="n">
        <v>2</v>
      </c>
      <c r="C74" s="92" t="inlineStr">
        <is>
          <t>PF03</t>
        </is>
      </c>
      <c r="D74" s="92" t="inlineStr">
        <is>
          <t>단체(단기)</t>
        </is>
      </c>
      <c r="E74" s="92" t="inlineStr">
        <is>
          <t>PAA</t>
        </is>
      </c>
      <c r="F74" s="92" t="inlineStr">
        <is>
          <t>F22</t>
        </is>
      </c>
      <c r="G74" s="92" t="inlineStr">
        <is>
          <t>가정변경-기타</t>
        </is>
      </c>
      <c r="H74" s="93" t="n">
        <v>0</v>
      </c>
      <c r="I74" s="93" t="n">
        <v>0</v>
      </c>
      <c r="J74" s="93" t="n">
        <v>0</v>
      </c>
      <c r="L74" s="9">
        <f>IF($A74="","",VALUE($A74&amp;"")*12+VALUE($B74&amp;""))</f>
        <v/>
      </c>
      <c r="M74" s="94">
        <f>IF($A74="",0,$H74*설정!$C$23)</f>
        <v/>
      </c>
      <c r="N74" s="94">
        <f>IF($A74="",0,$I74*설정!$C$23)</f>
        <v/>
      </c>
      <c r="O74" s="94">
        <f>IF($A74="",0,$J74*설정!$C$23)</f>
        <v/>
      </c>
      <c r="P74" s="64">
        <f>IF($A74="","",IFERROR(INDEX(입력옵션!$C$58:$C$68,MATCH($F74&amp;"",입력옵션!$E$58:$E$68,0)),IFERROR(INDEX(입력옵션!$C$58:$C$68,MATCH($G74&amp;"",입력옵션!$F$58:$F$68,0)),$F74&amp;"")))</f>
        <v/>
      </c>
    </row>
    <row r="75">
      <c r="A75" s="92" t="n">
        <v>2025</v>
      </c>
      <c r="B75" s="92" t="n">
        <v>2</v>
      </c>
      <c r="C75" s="92" t="inlineStr">
        <is>
          <t>PF03</t>
        </is>
      </c>
      <c r="D75" s="92" t="inlineStr">
        <is>
          <t>단체(단기)</t>
        </is>
      </c>
      <c r="E75" s="92" t="inlineStr">
        <is>
          <t>PAA</t>
        </is>
      </c>
      <c r="F75" s="92" t="inlineStr">
        <is>
          <t>F31</t>
        </is>
      </c>
      <c r="G75" s="92" t="inlineStr">
        <is>
          <t>경험조정-취득현금흐름</t>
        </is>
      </c>
      <c r="H75" s="93" t="n">
        <v>0</v>
      </c>
      <c r="I75" s="93" t="n">
        <v>0</v>
      </c>
      <c r="J75" s="93" t="n">
        <v>0</v>
      </c>
      <c r="L75" s="9">
        <f>IF($A75="","",VALUE($A75&amp;"")*12+VALUE($B75&amp;""))</f>
        <v/>
      </c>
      <c r="M75" s="94">
        <f>IF($A75="",0,$H75*설정!$C$23)</f>
        <v/>
      </c>
      <c r="N75" s="94">
        <f>IF($A75="",0,$I75*설정!$C$23)</f>
        <v/>
      </c>
      <c r="O75" s="94">
        <f>IF($A75="",0,$J75*설정!$C$23)</f>
        <v/>
      </c>
      <c r="P75" s="64">
        <f>IF($A75="","",IFERROR(INDEX(입력옵션!$C$58:$C$68,MATCH($F75&amp;"",입력옵션!$E$58:$E$68,0)),IFERROR(INDEX(입력옵션!$C$58:$C$68,MATCH($G75&amp;"",입력옵션!$F$58:$F$68,0)),$F75&amp;"")))</f>
        <v/>
      </c>
    </row>
    <row r="76">
      <c r="A76" s="92" t="n">
        <v>2025</v>
      </c>
      <c r="B76" s="92" t="n">
        <v>2</v>
      </c>
      <c r="C76" s="92" t="inlineStr">
        <is>
          <t>PF03</t>
        </is>
      </c>
      <c r="D76" s="92" t="inlineStr">
        <is>
          <t>단체(단기)</t>
        </is>
      </c>
      <c r="E76" s="92" t="inlineStr">
        <is>
          <t>PAA</t>
        </is>
      </c>
      <c r="F76" s="92" t="inlineStr">
        <is>
          <t>F32</t>
        </is>
      </c>
      <c r="G76" s="92" t="inlineStr">
        <is>
          <t>경험조정-보험료 등</t>
        </is>
      </c>
      <c r="H76" s="93" t="n">
        <v>0</v>
      </c>
      <c r="I76" s="93" t="n">
        <v>0</v>
      </c>
      <c r="J76" s="93" t="n">
        <v>0</v>
      </c>
      <c r="L76" s="9">
        <f>IF($A76="","",VALUE($A76&amp;"")*12+VALUE($B76&amp;""))</f>
        <v/>
      </c>
      <c r="M76" s="94">
        <f>IF($A76="",0,$H76*설정!$C$23)</f>
        <v/>
      </c>
      <c r="N76" s="94">
        <f>IF($A76="",0,$I76*설정!$C$23)</f>
        <v/>
      </c>
      <c r="O76" s="94">
        <f>IF($A76="",0,$J76*설정!$C$23)</f>
        <v/>
      </c>
      <c r="P76" s="64">
        <f>IF($A76="","",IFERROR(INDEX(입력옵션!$C$58:$C$68,MATCH($F76&amp;"",입력옵션!$E$58:$E$68,0)),IFERROR(INDEX(입력옵션!$C$58:$C$68,MATCH($G76&amp;"",입력옵션!$F$58:$F$68,0)),$F76&amp;"")))</f>
        <v/>
      </c>
    </row>
    <row r="77">
      <c r="A77" s="92" t="n">
        <v>2025</v>
      </c>
      <c r="B77" s="92" t="n">
        <v>2</v>
      </c>
      <c r="C77" s="92" t="inlineStr">
        <is>
          <t>PF03</t>
        </is>
      </c>
      <c r="D77" s="92" t="inlineStr">
        <is>
          <t>단체(단기)</t>
        </is>
      </c>
      <c r="E77" s="92" t="inlineStr">
        <is>
          <t>PAA</t>
        </is>
      </c>
      <c r="F77" s="92" t="inlineStr">
        <is>
          <t>F40</t>
        </is>
      </c>
      <c r="G77" s="92" t="inlineStr">
        <is>
          <t>보험금융비용(이자부리)</t>
        </is>
      </c>
      <c r="H77" s="93" t="n">
        <v>0</v>
      </c>
      <c r="I77" s="93" t="n">
        <v>0</v>
      </c>
      <c r="J77" s="93" t="n">
        <v>0</v>
      </c>
      <c r="L77" s="9">
        <f>IF($A77="","",VALUE($A77&amp;"")*12+VALUE($B77&amp;""))</f>
        <v/>
      </c>
      <c r="M77" s="94">
        <f>IF($A77="",0,$H77*설정!$C$23)</f>
        <v/>
      </c>
      <c r="N77" s="94">
        <f>IF($A77="",0,$I77*설정!$C$23)</f>
        <v/>
      </c>
      <c r="O77" s="94">
        <f>IF($A77="",0,$J77*설정!$C$23)</f>
        <v/>
      </c>
      <c r="P77" s="64">
        <f>IF($A77="","",IFERROR(INDEX(입력옵션!$C$58:$C$68,MATCH($F77&amp;"",입력옵션!$E$58:$E$68,0)),IFERROR(INDEX(입력옵션!$C$58:$C$68,MATCH($G77&amp;"",입력옵션!$F$58:$F$68,0)),$F77&amp;"")))</f>
        <v/>
      </c>
    </row>
    <row r="78">
      <c r="A78" s="92" t="n">
        <v>2025</v>
      </c>
      <c r="B78" s="92" t="n">
        <v>2</v>
      </c>
      <c r="C78" s="92" t="inlineStr">
        <is>
          <t>PF03</t>
        </is>
      </c>
      <c r="D78" s="92" t="inlineStr">
        <is>
          <t>단체(단기)</t>
        </is>
      </c>
      <c r="E78" s="92" t="inlineStr">
        <is>
          <t>PAA</t>
        </is>
      </c>
      <c r="F78" s="92" t="inlineStr">
        <is>
          <t>F51</t>
        </is>
      </c>
      <c r="G78" s="92" t="inlineStr">
        <is>
          <t>CSM 상각</t>
        </is>
      </c>
      <c r="H78" s="93" t="n">
        <v>0</v>
      </c>
      <c r="I78" s="93" t="n">
        <v>0</v>
      </c>
      <c r="J78" s="93" t="n">
        <v>0</v>
      </c>
      <c r="L78" s="9">
        <f>IF($A78="","",VALUE($A78&amp;"")*12+VALUE($B78&amp;""))</f>
        <v/>
      </c>
      <c r="M78" s="94">
        <f>IF($A78="",0,$H78*설정!$C$23)</f>
        <v/>
      </c>
      <c r="N78" s="94">
        <f>IF($A78="",0,$I78*설정!$C$23)</f>
        <v/>
      </c>
      <c r="O78" s="94">
        <f>IF($A78="",0,$J78*설정!$C$23)</f>
        <v/>
      </c>
      <c r="P78" s="64">
        <f>IF($A78="","",IFERROR(INDEX(입력옵션!$C$58:$C$68,MATCH($F78&amp;"",입력옵션!$E$58:$E$68,0)),IFERROR(INDEX(입력옵션!$C$58:$C$68,MATCH($G78&amp;"",입력옵션!$F$58:$F$68,0)),$F78&amp;"")))</f>
        <v/>
      </c>
    </row>
    <row r="79">
      <c r="A79" s="92" t="n">
        <v>2025</v>
      </c>
      <c r="B79" s="92" t="n">
        <v>2</v>
      </c>
      <c r="C79" s="92" t="inlineStr">
        <is>
          <t>PF03</t>
        </is>
      </c>
      <c r="D79" s="92" t="inlineStr">
        <is>
          <t>단체(단기)</t>
        </is>
      </c>
      <c r="E79" s="92" t="inlineStr">
        <is>
          <t>PAA</t>
        </is>
      </c>
      <c r="F79" s="92" t="inlineStr">
        <is>
          <t>F52</t>
        </is>
      </c>
      <c r="G79" s="92" t="inlineStr">
        <is>
          <t>RA 해제</t>
        </is>
      </c>
      <c r="H79" s="93" t="n">
        <v>0</v>
      </c>
      <c r="I79" s="93" t="n">
        <v>-14055000</v>
      </c>
      <c r="J79" s="93" t="n">
        <v>0</v>
      </c>
      <c r="L79" s="9">
        <f>IF($A79="","",VALUE($A79&amp;"")*12+VALUE($B79&amp;""))</f>
        <v/>
      </c>
      <c r="M79" s="94">
        <f>IF($A79="",0,$H79*설정!$C$23)</f>
        <v/>
      </c>
      <c r="N79" s="94">
        <f>IF($A79="",0,$I79*설정!$C$23)</f>
        <v/>
      </c>
      <c r="O79" s="94">
        <f>IF($A79="",0,$J79*설정!$C$23)</f>
        <v/>
      </c>
      <c r="P79" s="64">
        <f>IF($A79="","",IFERROR(INDEX(입력옵션!$C$58:$C$68,MATCH($F79&amp;"",입력옵션!$E$58:$E$68,0)),IFERROR(INDEX(입력옵션!$C$58:$C$68,MATCH($G79&amp;"",입력옵션!$F$58:$F$68,0)),$F79&amp;"")))</f>
        <v/>
      </c>
    </row>
    <row r="80">
      <c r="A80" s="92" t="n">
        <v>2025</v>
      </c>
      <c r="B80" s="92" t="n">
        <v>2</v>
      </c>
      <c r="C80" s="92" t="inlineStr">
        <is>
          <t>PF03</t>
        </is>
      </c>
      <c r="D80" s="92" t="inlineStr">
        <is>
          <t>단체(단기)</t>
        </is>
      </c>
      <c r="E80" s="92" t="inlineStr">
        <is>
          <t>PAA</t>
        </is>
      </c>
      <c r="F80" s="92" t="inlineStr">
        <is>
          <t>F60</t>
        </is>
      </c>
      <c r="G80" s="92" t="inlineStr">
        <is>
          <t>현금흐름 및 기타</t>
        </is>
      </c>
      <c r="H80" s="93" t="n">
        <v>173456000</v>
      </c>
      <c r="I80" s="93" t="n">
        <v>58489000</v>
      </c>
      <c r="J80" s="93" t="n">
        <v>0</v>
      </c>
      <c r="L80" s="9">
        <f>IF($A80="","",VALUE($A80&amp;"")*12+VALUE($B80&amp;""))</f>
        <v/>
      </c>
      <c r="M80" s="94">
        <f>IF($A80="",0,$H80*설정!$C$23)</f>
        <v/>
      </c>
      <c r="N80" s="94">
        <f>IF($A80="",0,$I80*설정!$C$23)</f>
        <v/>
      </c>
      <c r="O80" s="94">
        <f>IF($A80="",0,$J80*설정!$C$23)</f>
        <v/>
      </c>
      <c r="P80" s="64">
        <f>IF($A80="","",IFERROR(INDEX(입력옵션!$C$58:$C$68,MATCH($F80&amp;"",입력옵션!$E$58:$E$68,0)),IFERROR(INDEX(입력옵션!$C$58:$C$68,MATCH($G80&amp;"",입력옵션!$F$58:$F$68,0)),$F80&amp;"")))</f>
        <v/>
      </c>
    </row>
    <row r="81">
      <c r="A81" s="92" t="n">
        <v>2025</v>
      </c>
      <c r="B81" s="92" t="n">
        <v>2</v>
      </c>
      <c r="C81" s="92" t="inlineStr">
        <is>
          <t>PF03</t>
        </is>
      </c>
      <c r="D81" s="92" t="inlineStr">
        <is>
          <t>단체(단기)</t>
        </is>
      </c>
      <c r="E81" s="92" t="inlineStr">
        <is>
          <t>PAA</t>
        </is>
      </c>
      <c r="F81" s="92" t="inlineStr">
        <is>
          <t>F99</t>
        </is>
      </c>
      <c r="G81" s="92" t="inlineStr">
        <is>
          <t>기말잔액</t>
        </is>
      </c>
      <c r="H81" s="93" t="n">
        <v>41183324000</v>
      </c>
      <c r="I81" s="93" t="n">
        <v>2386984000</v>
      </c>
      <c r="J81" s="93" t="n">
        <v>0</v>
      </c>
      <c r="L81" s="9">
        <f>IF($A81="","",VALUE($A81&amp;"")*12+VALUE($B81&amp;""))</f>
        <v/>
      </c>
      <c r="M81" s="94">
        <f>IF($A81="",0,$H81*설정!$C$23)</f>
        <v/>
      </c>
      <c r="N81" s="94">
        <f>IF($A81="",0,$I81*설정!$C$23)</f>
        <v/>
      </c>
      <c r="O81" s="94">
        <f>IF($A81="",0,$J81*설정!$C$23)</f>
        <v/>
      </c>
      <c r="P81" s="64">
        <f>IF($A81="","",IFERROR(INDEX(입력옵션!$C$58:$C$68,MATCH($F81&amp;"",입력옵션!$E$58:$E$68,0)),IFERROR(INDEX(입력옵션!$C$58:$C$68,MATCH($G81&amp;"",입력옵션!$F$58:$F$68,0)),$F81&amp;"")))</f>
        <v/>
      </c>
    </row>
    <row r="82">
      <c r="A82" s="92" t="n">
        <v>2025</v>
      </c>
      <c r="B82" s="92" t="n">
        <v>2</v>
      </c>
      <c r="C82" s="92" t="inlineStr">
        <is>
          <t>PF04</t>
        </is>
      </c>
      <c r="D82" s="92" t="inlineStr">
        <is>
          <t>변액</t>
        </is>
      </c>
      <c r="E82" s="92" t="inlineStr">
        <is>
          <t>VFA</t>
        </is>
      </c>
      <c r="F82" s="92" t="inlineStr">
        <is>
          <t>F00</t>
        </is>
      </c>
      <c r="G82" s="92" t="inlineStr">
        <is>
          <t>기초잔액</t>
        </is>
      </c>
      <c r="H82" s="93" t="n">
        <v>307574010000</v>
      </c>
      <c r="I82" s="93" t="n">
        <v>15226575000</v>
      </c>
      <c r="J82" s="93" t="n">
        <v>48587065000</v>
      </c>
      <c r="L82" s="9">
        <f>IF($A82="","",VALUE($A82&amp;"")*12+VALUE($B82&amp;""))</f>
        <v/>
      </c>
      <c r="M82" s="94">
        <f>IF($A82="",0,$H82*설정!$C$23)</f>
        <v/>
      </c>
      <c r="N82" s="94">
        <f>IF($A82="",0,$I82*설정!$C$23)</f>
        <v/>
      </c>
      <c r="O82" s="94">
        <f>IF($A82="",0,$J82*설정!$C$23)</f>
        <v/>
      </c>
      <c r="P82" s="64">
        <f>IF($A82="","",IFERROR(INDEX(입력옵션!$C$58:$C$68,MATCH($F82&amp;"",입력옵션!$E$58:$E$68,0)),IFERROR(INDEX(입력옵션!$C$58:$C$68,MATCH($G82&amp;"",입력옵션!$F$58:$F$68,0)),$F82&amp;"")))</f>
        <v/>
      </c>
    </row>
    <row r="83">
      <c r="A83" s="92" t="n">
        <v>2025</v>
      </c>
      <c r="B83" s="92" t="n">
        <v>2</v>
      </c>
      <c r="C83" s="92" t="inlineStr">
        <is>
          <t>PF04</t>
        </is>
      </c>
      <c r="D83" s="92" t="inlineStr">
        <is>
          <t>변액</t>
        </is>
      </c>
      <c r="E83" s="92" t="inlineStr">
        <is>
          <t>VFA</t>
        </is>
      </c>
      <c r="F83" s="92" t="inlineStr">
        <is>
          <t>F10</t>
        </is>
      </c>
      <c r="G83" s="92" t="inlineStr">
        <is>
          <t>신계약 효과</t>
        </is>
      </c>
      <c r="H83" s="93" t="n">
        <v>-827113000</v>
      </c>
      <c r="I83" s="93" t="n">
        <v>165423000</v>
      </c>
      <c r="J83" s="93" t="n">
        <v>661690000</v>
      </c>
      <c r="L83" s="9">
        <f>IF($A83="","",VALUE($A83&amp;"")*12+VALUE($B83&amp;""))</f>
        <v/>
      </c>
      <c r="M83" s="94">
        <f>IF($A83="",0,$H83*설정!$C$23)</f>
        <v/>
      </c>
      <c r="N83" s="94">
        <f>IF($A83="",0,$I83*설정!$C$23)</f>
        <v/>
      </c>
      <c r="O83" s="94">
        <f>IF($A83="",0,$J83*설정!$C$23)</f>
        <v/>
      </c>
      <c r="P83" s="64">
        <f>IF($A83="","",IFERROR(INDEX(입력옵션!$C$58:$C$68,MATCH($F83&amp;"",입력옵션!$E$58:$E$68,0)),IFERROR(INDEX(입력옵션!$C$58:$C$68,MATCH($G83&amp;"",입력옵션!$F$58:$F$68,0)),$F83&amp;"")))</f>
        <v/>
      </c>
    </row>
    <row r="84">
      <c r="A84" s="92" t="n">
        <v>2025</v>
      </c>
      <c r="B84" s="92" t="n">
        <v>2</v>
      </c>
      <c r="C84" s="92" t="inlineStr">
        <is>
          <t>PF04</t>
        </is>
      </c>
      <c r="D84" s="92" t="inlineStr">
        <is>
          <t>변액</t>
        </is>
      </c>
      <c r="E84" s="92" t="inlineStr">
        <is>
          <t>VFA</t>
        </is>
      </c>
      <c r="F84" s="92" t="inlineStr">
        <is>
          <t>F21</t>
        </is>
      </c>
      <c r="G84" s="92" t="inlineStr">
        <is>
          <t>가정변경-사업비</t>
        </is>
      </c>
      <c r="H84" s="93" t="n">
        <v>0</v>
      </c>
      <c r="I84" s="93" t="n">
        <v>0</v>
      </c>
      <c r="J84" s="93" t="n">
        <v>0</v>
      </c>
      <c r="L84" s="9">
        <f>IF($A84="","",VALUE($A84&amp;"")*12+VALUE($B84&amp;""))</f>
        <v/>
      </c>
      <c r="M84" s="94">
        <f>IF($A84="",0,$H84*설정!$C$23)</f>
        <v/>
      </c>
      <c r="N84" s="94">
        <f>IF($A84="",0,$I84*설정!$C$23)</f>
        <v/>
      </c>
      <c r="O84" s="94">
        <f>IF($A84="",0,$J84*설정!$C$23)</f>
        <v/>
      </c>
      <c r="P84" s="64">
        <f>IF($A84="","",IFERROR(INDEX(입력옵션!$C$58:$C$68,MATCH($F84&amp;"",입력옵션!$E$58:$E$68,0)),IFERROR(INDEX(입력옵션!$C$58:$C$68,MATCH($G84&amp;"",입력옵션!$F$58:$F$68,0)),$F84&amp;"")))</f>
        <v/>
      </c>
    </row>
    <row r="85">
      <c r="A85" s="92" t="n">
        <v>2025</v>
      </c>
      <c r="B85" s="92" t="n">
        <v>2</v>
      </c>
      <c r="C85" s="92" t="inlineStr">
        <is>
          <t>PF04</t>
        </is>
      </c>
      <c r="D85" s="92" t="inlineStr">
        <is>
          <t>변액</t>
        </is>
      </c>
      <c r="E85" s="92" t="inlineStr">
        <is>
          <t>VFA</t>
        </is>
      </c>
      <c r="F85" s="92" t="inlineStr">
        <is>
          <t>F22</t>
        </is>
      </c>
      <c r="G85" s="92" t="inlineStr">
        <is>
          <t>가정변경-기타</t>
        </is>
      </c>
      <c r="H85" s="93" t="n">
        <v>0</v>
      </c>
      <c r="I85" s="93" t="n">
        <v>0</v>
      </c>
      <c r="J85" s="93" t="n">
        <v>0</v>
      </c>
      <c r="L85" s="9">
        <f>IF($A85="","",VALUE($A85&amp;"")*12+VALUE($B85&amp;""))</f>
        <v/>
      </c>
      <c r="M85" s="94">
        <f>IF($A85="",0,$H85*설정!$C$23)</f>
        <v/>
      </c>
      <c r="N85" s="94">
        <f>IF($A85="",0,$I85*설정!$C$23)</f>
        <v/>
      </c>
      <c r="O85" s="94">
        <f>IF($A85="",0,$J85*설정!$C$23)</f>
        <v/>
      </c>
      <c r="P85" s="64">
        <f>IF($A85="","",IFERROR(INDEX(입력옵션!$C$58:$C$68,MATCH($F85&amp;"",입력옵션!$E$58:$E$68,0)),IFERROR(INDEX(입력옵션!$C$58:$C$68,MATCH($G85&amp;"",입력옵션!$F$58:$F$68,0)),$F85&amp;"")))</f>
        <v/>
      </c>
    </row>
    <row r="86">
      <c r="A86" s="92" t="n">
        <v>2025</v>
      </c>
      <c r="B86" s="92" t="n">
        <v>2</v>
      </c>
      <c r="C86" s="92" t="inlineStr">
        <is>
          <t>PF04</t>
        </is>
      </c>
      <c r="D86" s="92" t="inlineStr">
        <is>
          <t>변액</t>
        </is>
      </c>
      <c r="E86" s="92" t="inlineStr">
        <is>
          <t>VFA</t>
        </is>
      </c>
      <c r="F86" s="92" t="inlineStr">
        <is>
          <t>F31</t>
        </is>
      </c>
      <c r="G86" s="92" t="inlineStr">
        <is>
          <t>경험조정-취득현금흐름</t>
        </is>
      </c>
      <c r="H86" s="93" t="n">
        <v>0</v>
      </c>
      <c r="I86" s="93" t="n">
        <v>0</v>
      </c>
      <c r="J86" s="93" t="n">
        <v>-897000</v>
      </c>
      <c r="L86" s="9">
        <f>IF($A86="","",VALUE($A86&amp;"")*12+VALUE($B86&amp;""))</f>
        <v/>
      </c>
      <c r="M86" s="94">
        <f>IF($A86="",0,$H86*설정!$C$23)</f>
        <v/>
      </c>
      <c r="N86" s="94">
        <f>IF($A86="",0,$I86*설정!$C$23)</f>
        <v/>
      </c>
      <c r="O86" s="94">
        <f>IF($A86="",0,$J86*설정!$C$23)</f>
        <v/>
      </c>
      <c r="P86" s="64">
        <f>IF($A86="","",IFERROR(INDEX(입력옵션!$C$58:$C$68,MATCH($F86&amp;"",입력옵션!$E$58:$E$68,0)),IFERROR(INDEX(입력옵션!$C$58:$C$68,MATCH($G86&amp;"",입력옵션!$F$58:$F$68,0)),$F86&amp;"")))</f>
        <v/>
      </c>
    </row>
    <row r="87">
      <c r="A87" s="92" t="n">
        <v>2025</v>
      </c>
      <c r="B87" s="92" t="n">
        <v>2</v>
      </c>
      <c r="C87" s="92" t="inlineStr">
        <is>
          <t>PF04</t>
        </is>
      </c>
      <c r="D87" s="92" t="inlineStr">
        <is>
          <t>변액</t>
        </is>
      </c>
      <c r="E87" s="92" t="inlineStr">
        <is>
          <t>VFA</t>
        </is>
      </c>
      <c r="F87" s="92" t="inlineStr">
        <is>
          <t>F32</t>
        </is>
      </c>
      <c r="G87" s="92" t="inlineStr">
        <is>
          <t>경험조정-보험료 등</t>
        </is>
      </c>
      <c r="H87" s="93" t="n">
        <v>0</v>
      </c>
      <c r="I87" s="93" t="n">
        <v>0</v>
      </c>
      <c r="J87" s="93" t="n">
        <v>136819000</v>
      </c>
      <c r="L87" s="9">
        <f>IF($A87="","",VALUE($A87&amp;"")*12+VALUE($B87&amp;""))</f>
        <v/>
      </c>
      <c r="M87" s="94">
        <f>IF($A87="",0,$H87*설정!$C$23)</f>
        <v/>
      </c>
      <c r="N87" s="94">
        <f>IF($A87="",0,$I87*설정!$C$23)</f>
        <v/>
      </c>
      <c r="O87" s="94">
        <f>IF($A87="",0,$J87*설정!$C$23)</f>
        <v/>
      </c>
      <c r="P87" s="64">
        <f>IF($A87="","",IFERROR(INDEX(입력옵션!$C$58:$C$68,MATCH($F87&amp;"",입력옵션!$E$58:$E$68,0)),IFERROR(INDEX(입력옵션!$C$58:$C$68,MATCH($G87&amp;"",입력옵션!$F$58:$F$68,0)),$F87&amp;"")))</f>
        <v/>
      </c>
    </row>
    <row r="88">
      <c r="A88" s="92" t="n">
        <v>2025</v>
      </c>
      <c r="B88" s="92" t="n">
        <v>2</v>
      </c>
      <c r="C88" s="92" t="inlineStr">
        <is>
          <t>PF04</t>
        </is>
      </c>
      <c r="D88" s="92" t="inlineStr">
        <is>
          <t>변액</t>
        </is>
      </c>
      <c r="E88" s="92" t="inlineStr">
        <is>
          <t>VFA</t>
        </is>
      </c>
      <c r="F88" s="92" t="inlineStr">
        <is>
          <t>F40</t>
        </is>
      </c>
      <c r="G88" s="92" t="inlineStr">
        <is>
          <t>보험금융비용(이자부리)</t>
        </is>
      </c>
      <c r="H88" s="93" t="n">
        <v>768935000</v>
      </c>
      <c r="I88" s="93" t="n">
        <v>30453000</v>
      </c>
      <c r="J88" s="93" t="n">
        <v>121468000</v>
      </c>
      <c r="L88" s="9">
        <f>IF($A88="","",VALUE($A88&amp;"")*12+VALUE($B88&amp;""))</f>
        <v/>
      </c>
      <c r="M88" s="94">
        <f>IF($A88="",0,$H88*설정!$C$23)</f>
        <v/>
      </c>
      <c r="N88" s="94">
        <f>IF($A88="",0,$I88*설정!$C$23)</f>
        <v/>
      </c>
      <c r="O88" s="94">
        <f>IF($A88="",0,$J88*설정!$C$23)</f>
        <v/>
      </c>
      <c r="P88" s="64">
        <f>IF($A88="","",IFERROR(INDEX(입력옵션!$C$58:$C$68,MATCH($F88&amp;"",입력옵션!$E$58:$E$68,0)),IFERROR(INDEX(입력옵션!$C$58:$C$68,MATCH($G88&amp;"",입력옵션!$F$58:$F$68,0)),$F88&amp;"")))</f>
        <v/>
      </c>
    </row>
    <row r="89">
      <c r="A89" s="92" t="n">
        <v>2025</v>
      </c>
      <c r="B89" s="92" t="n">
        <v>2</v>
      </c>
      <c r="C89" s="92" t="inlineStr">
        <is>
          <t>PF04</t>
        </is>
      </c>
      <c r="D89" s="92" t="inlineStr">
        <is>
          <t>변액</t>
        </is>
      </c>
      <c r="E89" s="92" t="inlineStr">
        <is>
          <t>VFA</t>
        </is>
      </c>
      <c r="F89" s="92" t="inlineStr">
        <is>
          <t>F51</t>
        </is>
      </c>
      <c r="G89" s="92" t="inlineStr">
        <is>
          <t>CSM 상각</t>
        </is>
      </c>
      <c r="H89" s="93" t="n">
        <v>0</v>
      </c>
      <c r="I89" s="93" t="n">
        <v>0</v>
      </c>
      <c r="J89" s="93" t="n">
        <v>-437284000</v>
      </c>
      <c r="L89" s="9">
        <f>IF($A89="","",VALUE($A89&amp;"")*12+VALUE($B89&amp;""))</f>
        <v/>
      </c>
      <c r="M89" s="94">
        <f>IF($A89="",0,$H89*설정!$C$23)</f>
        <v/>
      </c>
      <c r="N89" s="94">
        <f>IF($A89="",0,$I89*설정!$C$23)</f>
        <v/>
      </c>
      <c r="O89" s="94">
        <f>IF($A89="",0,$J89*설정!$C$23)</f>
        <v/>
      </c>
      <c r="P89" s="64">
        <f>IF($A89="","",IFERROR(INDEX(입력옵션!$C$58:$C$68,MATCH($F89&amp;"",입력옵션!$E$58:$E$68,0)),IFERROR(INDEX(입력옵션!$C$58:$C$68,MATCH($G89&amp;"",입력옵션!$F$58:$F$68,0)),$F89&amp;"")))</f>
        <v/>
      </c>
    </row>
    <row r="90">
      <c r="A90" s="92" t="n">
        <v>2025</v>
      </c>
      <c r="B90" s="92" t="n">
        <v>2</v>
      </c>
      <c r="C90" s="92" t="inlineStr">
        <is>
          <t>PF04</t>
        </is>
      </c>
      <c r="D90" s="92" t="inlineStr">
        <is>
          <t>변액</t>
        </is>
      </c>
      <c r="E90" s="92" t="inlineStr">
        <is>
          <t>VFA</t>
        </is>
      </c>
      <c r="F90" s="92" t="inlineStr">
        <is>
          <t>F52</t>
        </is>
      </c>
      <c r="G90" s="92" t="inlineStr">
        <is>
          <t>RA 해제</t>
        </is>
      </c>
      <c r="H90" s="93" t="n">
        <v>0</v>
      </c>
      <c r="I90" s="93" t="n">
        <v>-91359000</v>
      </c>
      <c r="J90" s="93" t="n">
        <v>0</v>
      </c>
      <c r="L90" s="9">
        <f>IF($A90="","",VALUE($A90&amp;"")*12+VALUE($B90&amp;""))</f>
        <v/>
      </c>
      <c r="M90" s="94">
        <f>IF($A90="",0,$H90*설정!$C$23)</f>
        <v/>
      </c>
      <c r="N90" s="94">
        <f>IF($A90="",0,$I90*설정!$C$23)</f>
        <v/>
      </c>
      <c r="O90" s="94">
        <f>IF($A90="",0,$J90*설정!$C$23)</f>
        <v/>
      </c>
      <c r="P90" s="64">
        <f>IF($A90="","",IFERROR(INDEX(입력옵션!$C$58:$C$68,MATCH($F90&amp;"",입력옵션!$E$58:$E$68,0)),IFERROR(INDEX(입력옵션!$C$58:$C$68,MATCH($G90&amp;"",입력옵션!$F$58:$F$68,0)),$F90&amp;"")))</f>
        <v/>
      </c>
    </row>
    <row r="91">
      <c r="A91" s="92" t="n">
        <v>2025</v>
      </c>
      <c r="B91" s="92" t="n">
        <v>2</v>
      </c>
      <c r="C91" s="92" t="inlineStr">
        <is>
          <t>PF04</t>
        </is>
      </c>
      <c r="D91" s="92" t="inlineStr">
        <is>
          <t>변액</t>
        </is>
      </c>
      <c r="E91" s="92" t="inlineStr">
        <is>
          <t>VFA</t>
        </is>
      </c>
      <c r="F91" s="92" t="inlineStr">
        <is>
          <t>F60</t>
        </is>
      </c>
      <c r="G91" s="92" t="inlineStr">
        <is>
          <t>현금흐름 및 기타</t>
        </is>
      </c>
      <c r="H91" s="93" t="n">
        <v>1359098000</v>
      </c>
      <c r="I91" s="93" t="n">
        <v>184305000</v>
      </c>
      <c r="J91" s="93" t="n">
        <v>0</v>
      </c>
      <c r="L91" s="9">
        <f>IF($A91="","",VALUE($A91&amp;"")*12+VALUE($B91&amp;""))</f>
        <v/>
      </c>
      <c r="M91" s="94">
        <f>IF($A91="",0,$H91*설정!$C$23)</f>
        <v/>
      </c>
      <c r="N91" s="94">
        <f>IF($A91="",0,$I91*설정!$C$23)</f>
        <v/>
      </c>
      <c r="O91" s="94">
        <f>IF($A91="",0,$J91*설정!$C$23)</f>
        <v/>
      </c>
      <c r="P91" s="64">
        <f>IF($A91="","",IFERROR(INDEX(입력옵션!$C$58:$C$68,MATCH($F91&amp;"",입력옵션!$E$58:$E$68,0)),IFERROR(INDEX(입력옵션!$C$58:$C$68,MATCH($G91&amp;"",입력옵션!$F$58:$F$68,0)),$F91&amp;"")))</f>
        <v/>
      </c>
    </row>
    <row r="92">
      <c r="A92" s="92" t="n">
        <v>2025</v>
      </c>
      <c r="B92" s="92" t="n">
        <v>2</v>
      </c>
      <c r="C92" s="92" t="inlineStr">
        <is>
          <t>PF04</t>
        </is>
      </c>
      <c r="D92" s="92" t="inlineStr">
        <is>
          <t>변액</t>
        </is>
      </c>
      <c r="E92" s="92" t="inlineStr">
        <is>
          <t>VFA</t>
        </is>
      </c>
      <c r="F92" s="92" t="inlineStr">
        <is>
          <t>F99</t>
        </is>
      </c>
      <c r="G92" s="92" t="inlineStr">
        <is>
          <t>기말잔액</t>
        </is>
      </c>
      <c r="H92" s="93" t="n">
        <v>308874930000</v>
      </c>
      <c r="I92" s="93" t="n">
        <v>15515396000</v>
      </c>
      <c r="J92" s="93" t="n">
        <v>49068861000</v>
      </c>
      <c r="L92" s="9">
        <f>IF($A92="","",VALUE($A92&amp;"")*12+VALUE($B92&amp;""))</f>
        <v/>
      </c>
      <c r="M92" s="94">
        <f>IF($A92="",0,$H92*설정!$C$23)</f>
        <v/>
      </c>
      <c r="N92" s="94">
        <f>IF($A92="",0,$I92*설정!$C$23)</f>
        <v/>
      </c>
      <c r="O92" s="94">
        <f>IF($A92="",0,$J92*설정!$C$23)</f>
        <v/>
      </c>
      <c r="P92" s="64">
        <f>IF($A92="","",IFERROR(INDEX(입력옵션!$C$58:$C$68,MATCH($F92&amp;"",입력옵션!$E$58:$E$68,0)),IFERROR(INDEX(입력옵션!$C$58:$C$68,MATCH($G92&amp;"",입력옵션!$F$58:$F$68,0)),$F92&amp;"")))</f>
        <v/>
      </c>
    </row>
    <row r="93">
      <c r="A93" s="92" t="n">
        <v>2025</v>
      </c>
      <c r="B93" s="92" t="n">
        <v>3</v>
      </c>
      <c r="C93" s="92" t="inlineStr">
        <is>
          <t>PF01</t>
        </is>
      </c>
      <c r="D93" s="92" t="inlineStr">
        <is>
          <t>보장성</t>
        </is>
      </c>
      <c r="E93" s="92" t="inlineStr">
        <is>
          <t>GMM</t>
        </is>
      </c>
      <c r="F93" s="92" t="inlineStr">
        <is>
          <t>F00</t>
        </is>
      </c>
      <c r="G93" s="92" t="inlineStr">
        <is>
          <t>기초잔액</t>
        </is>
      </c>
      <c r="H93" s="93" t="n">
        <v>1029583100000</v>
      </c>
      <c r="I93" s="93" t="n">
        <v>71609520000</v>
      </c>
      <c r="J93" s="93" t="n">
        <v>233006787000</v>
      </c>
      <c r="L93" s="9">
        <f>IF($A93="","",VALUE($A93&amp;"")*12+VALUE($B93&amp;""))</f>
        <v/>
      </c>
      <c r="M93" s="94">
        <f>IF($A93="",0,$H93*설정!$C$23)</f>
        <v/>
      </c>
      <c r="N93" s="94">
        <f>IF($A93="",0,$I93*설정!$C$23)</f>
        <v/>
      </c>
      <c r="O93" s="94">
        <f>IF($A93="",0,$J93*설정!$C$23)</f>
        <v/>
      </c>
      <c r="P93" s="64">
        <f>IF($A93="","",IFERROR(INDEX(입력옵션!$C$58:$C$68,MATCH($F93&amp;"",입력옵션!$E$58:$E$68,0)),IFERROR(INDEX(입력옵션!$C$58:$C$68,MATCH($G93&amp;"",입력옵션!$F$58:$F$68,0)),$F93&amp;"")))</f>
        <v/>
      </c>
    </row>
    <row r="94">
      <c r="A94" s="92" t="n">
        <v>2025</v>
      </c>
      <c r="B94" s="92" t="n">
        <v>3</v>
      </c>
      <c r="C94" s="92" t="inlineStr">
        <is>
          <t>PF01</t>
        </is>
      </c>
      <c r="D94" s="92" t="inlineStr">
        <is>
          <t>보장성</t>
        </is>
      </c>
      <c r="E94" s="92" t="inlineStr">
        <is>
          <t>GMM</t>
        </is>
      </c>
      <c r="F94" s="92" t="inlineStr">
        <is>
          <t>F10</t>
        </is>
      </c>
      <c r="G94" s="92" t="inlineStr">
        <is>
          <t>신계약 효과</t>
        </is>
      </c>
      <c r="H94" s="93" t="n">
        <v>-3862253000</v>
      </c>
      <c r="I94" s="93" t="n">
        <v>772451000</v>
      </c>
      <c r="J94" s="93" t="n">
        <v>3089802000</v>
      </c>
      <c r="L94" s="9">
        <f>IF($A94="","",VALUE($A94&amp;"")*12+VALUE($B94&amp;""))</f>
        <v/>
      </c>
      <c r="M94" s="94">
        <f>IF($A94="",0,$H94*설정!$C$23)</f>
        <v/>
      </c>
      <c r="N94" s="94">
        <f>IF($A94="",0,$I94*설정!$C$23)</f>
        <v/>
      </c>
      <c r="O94" s="94">
        <f>IF($A94="",0,$J94*설정!$C$23)</f>
        <v/>
      </c>
      <c r="P94" s="64">
        <f>IF($A94="","",IFERROR(INDEX(입력옵션!$C$58:$C$68,MATCH($F94&amp;"",입력옵션!$E$58:$E$68,0)),IFERROR(INDEX(입력옵션!$C$58:$C$68,MATCH($G94&amp;"",입력옵션!$F$58:$F$68,0)),$F94&amp;"")))</f>
        <v/>
      </c>
    </row>
    <row r="95">
      <c r="A95" s="92" t="n">
        <v>2025</v>
      </c>
      <c r="B95" s="92" t="n">
        <v>3</v>
      </c>
      <c r="C95" s="92" t="inlineStr">
        <is>
          <t>PF01</t>
        </is>
      </c>
      <c r="D95" s="92" t="inlineStr">
        <is>
          <t>보장성</t>
        </is>
      </c>
      <c r="E95" s="92" t="inlineStr">
        <is>
          <t>GMM</t>
        </is>
      </c>
      <c r="F95" s="92" t="inlineStr">
        <is>
          <t>F21</t>
        </is>
      </c>
      <c r="G95" s="92" t="inlineStr">
        <is>
          <t>가정변경-사업비</t>
        </is>
      </c>
      <c r="H95" s="93" t="n">
        <v>0</v>
      </c>
      <c r="I95" s="93" t="n">
        <v>0</v>
      </c>
      <c r="J95" s="93" t="n">
        <v>0</v>
      </c>
      <c r="L95" s="9">
        <f>IF($A95="","",VALUE($A95&amp;"")*12+VALUE($B95&amp;""))</f>
        <v/>
      </c>
      <c r="M95" s="94">
        <f>IF($A95="",0,$H95*설정!$C$23)</f>
        <v/>
      </c>
      <c r="N95" s="94">
        <f>IF($A95="",0,$I95*설정!$C$23)</f>
        <v/>
      </c>
      <c r="O95" s="94">
        <f>IF($A95="",0,$J95*설정!$C$23)</f>
        <v/>
      </c>
      <c r="P95" s="64">
        <f>IF($A95="","",IFERROR(INDEX(입력옵션!$C$58:$C$68,MATCH($F95&amp;"",입력옵션!$E$58:$E$68,0)),IFERROR(INDEX(입력옵션!$C$58:$C$68,MATCH($G95&amp;"",입력옵션!$F$58:$F$68,0)),$F95&amp;"")))</f>
        <v/>
      </c>
    </row>
    <row r="96">
      <c r="A96" s="92" t="n">
        <v>2025</v>
      </c>
      <c r="B96" s="92" t="n">
        <v>3</v>
      </c>
      <c r="C96" s="92" t="inlineStr">
        <is>
          <t>PF01</t>
        </is>
      </c>
      <c r="D96" s="92" t="inlineStr">
        <is>
          <t>보장성</t>
        </is>
      </c>
      <c r="E96" s="92" t="inlineStr">
        <is>
          <t>GMM</t>
        </is>
      </c>
      <c r="F96" s="92" t="inlineStr">
        <is>
          <t>F22</t>
        </is>
      </c>
      <c r="G96" s="92" t="inlineStr">
        <is>
          <t>가정변경-기타</t>
        </is>
      </c>
      <c r="H96" s="93" t="n">
        <v>0</v>
      </c>
      <c r="I96" s="93" t="n">
        <v>0</v>
      </c>
      <c r="J96" s="93" t="n">
        <v>0</v>
      </c>
      <c r="L96" s="9">
        <f>IF($A96="","",VALUE($A96&amp;"")*12+VALUE($B96&amp;""))</f>
        <v/>
      </c>
      <c r="M96" s="94">
        <f>IF($A96="",0,$H96*설정!$C$23)</f>
        <v/>
      </c>
      <c r="N96" s="94">
        <f>IF($A96="",0,$I96*설정!$C$23)</f>
        <v/>
      </c>
      <c r="O96" s="94">
        <f>IF($A96="",0,$J96*설정!$C$23)</f>
        <v/>
      </c>
      <c r="P96" s="64">
        <f>IF($A96="","",IFERROR(INDEX(입력옵션!$C$58:$C$68,MATCH($F96&amp;"",입력옵션!$E$58:$E$68,0)),IFERROR(INDEX(입력옵션!$C$58:$C$68,MATCH($G96&amp;"",입력옵션!$F$58:$F$68,0)),$F96&amp;"")))</f>
        <v/>
      </c>
    </row>
    <row r="97">
      <c r="A97" s="92" t="n">
        <v>2025</v>
      </c>
      <c r="B97" s="92" t="n">
        <v>3</v>
      </c>
      <c r="C97" s="92" t="inlineStr">
        <is>
          <t>PF01</t>
        </is>
      </c>
      <c r="D97" s="92" t="inlineStr">
        <is>
          <t>보장성</t>
        </is>
      </c>
      <c r="E97" s="92" t="inlineStr">
        <is>
          <t>GMM</t>
        </is>
      </c>
      <c r="F97" s="92" t="inlineStr">
        <is>
          <t>F31</t>
        </is>
      </c>
      <c r="G97" s="92" t="inlineStr">
        <is>
          <t>경험조정-취득현금흐름</t>
        </is>
      </c>
      <c r="H97" s="93" t="n">
        <v>0</v>
      </c>
      <c r="I97" s="93" t="n">
        <v>0</v>
      </c>
      <c r="J97" s="93" t="n">
        <v>9100000</v>
      </c>
      <c r="L97" s="9">
        <f>IF($A97="","",VALUE($A97&amp;"")*12+VALUE($B97&amp;""))</f>
        <v/>
      </c>
      <c r="M97" s="94">
        <f>IF($A97="",0,$H97*설정!$C$23)</f>
        <v/>
      </c>
      <c r="N97" s="94">
        <f>IF($A97="",0,$I97*설정!$C$23)</f>
        <v/>
      </c>
      <c r="O97" s="94">
        <f>IF($A97="",0,$J97*설정!$C$23)</f>
        <v/>
      </c>
      <c r="P97" s="64">
        <f>IF($A97="","",IFERROR(INDEX(입력옵션!$C$58:$C$68,MATCH($F97&amp;"",입력옵션!$E$58:$E$68,0)),IFERROR(INDEX(입력옵션!$C$58:$C$68,MATCH($G97&amp;"",입력옵션!$F$58:$F$68,0)),$F97&amp;"")))</f>
        <v/>
      </c>
    </row>
    <row r="98">
      <c r="A98" s="92" t="n">
        <v>2025</v>
      </c>
      <c r="B98" s="92" t="n">
        <v>3</v>
      </c>
      <c r="C98" s="92" t="inlineStr">
        <is>
          <t>PF01</t>
        </is>
      </c>
      <c r="D98" s="92" t="inlineStr">
        <is>
          <t>보장성</t>
        </is>
      </c>
      <c r="E98" s="92" t="inlineStr">
        <is>
          <t>GMM</t>
        </is>
      </c>
      <c r="F98" s="92" t="inlineStr">
        <is>
          <t>F32</t>
        </is>
      </c>
      <c r="G98" s="92" t="inlineStr">
        <is>
          <t>경험조정-보험료 등</t>
        </is>
      </c>
      <c r="H98" s="93" t="n">
        <v>0</v>
      </c>
      <c r="I98" s="93" t="n">
        <v>0</v>
      </c>
      <c r="J98" s="93" t="n">
        <v>-277925000</v>
      </c>
      <c r="L98" s="9">
        <f>IF($A98="","",VALUE($A98&amp;"")*12+VALUE($B98&amp;""))</f>
        <v/>
      </c>
      <c r="M98" s="94">
        <f>IF($A98="",0,$H98*설정!$C$23)</f>
        <v/>
      </c>
      <c r="N98" s="94">
        <f>IF($A98="",0,$I98*설정!$C$23)</f>
        <v/>
      </c>
      <c r="O98" s="94">
        <f>IF($A98="",0,$J98*설정!$C$23)</f>
        <v/>
      </c>
      <c r="P98" s="64">
        <f>IF($A98="","",IFERROR(INDEX(입력옵션!$C$58:$C$68,MATCH($F98&amp;"",입력옵션!$E$58:$E$68,0)),IFERROR(INDEX(입력옵션!$C$58:$C$68,MATCH($G98&amp;"",입력옵션!$F$58:$F$68,0)),$F98&amp;"")))</f>
        <v/>
      </c>
    </row>
    <row r="99">
      <c r="A99" s="92" t="n">
        <v>2025</v>
      </c>
      <c r="B99" s="92" t="n">
        <v>3</v>
      </c>
      <c r="C99" s="92" t="inlineStr">
        <is>
          <t>PF01</t>
        </is>
      </c>
      <c r="D99" s="92" t="inlineStr">
        <is>
          <t>보장성</t>
        </is>
      </c>
      <c r="E99" s="92" t="inlineStr">
        <is>
          <t>GMM</t>
        </is>
      </c>
      <c r="F99" s="92" t="inlineStr">
        <is>
          <t>F40</t>
        </is>
      </c>
      <c r="G99" s="92" t="inlineStr">
        <is>
          <t>보험금융비용(이자부리)</t>
        </is>
      </c>
      <c r="H99" s="93" t="n">
        <v>2573958000</v>
      </c>
      <c r="I99" s="93" t="n">
        <v>143219000</v>
      </c>
      <c r="J99" s="93" t="n">
        <v>582517000</v>
      </c>
      <c r="L99" s="9">
        <f>IF($A99="","",VALUE($A99&amp;"")*12+VALUE($B99&amp;""))</f>
        <v/>
      </c>
      <c r="M99" s="94">
        <f>IF($A99="",0,$H99*설정!$C$23)</f>
        <v/>
      </c>
      <c r="N99" s="94">
        <f>IF($A99="",0,$I99*설정!$C$23)</f>
        <v/>
      </c>
      <c r="O99" s="94">
        <f>IF($A99="",0,$J99*설정!$C$23)</f>
        <v/>
      </c>
      <c r="P99" s="64">
        <f>IF($A99="","",IFERROR(INDEX(입력옵션!$C$58:$C$68,MATCH($F99&amp;"",입력옵션!$E$58:$E$68,0)),IFERROR(INDEX(입력옵션!$C$58:$C$68,MATCH($G99&amp;"",입력옵션!$F$58:$F$68,0)),$F99&amp;"")))</f>
        <v/>
      </c>
    </row>
    <row r="100">
      <c r="A100" s="92" t="n">
        <v>2025</v>
      </c>
      <c r="B100" s="92" t="n">
        <v>3</v>
      </c>
      <c r="C100" s="92" t="inlineStr">
        <is>
          <t>PF01</t>
        </is>
      </c>
      <c r="D100" s="92" t="inlineStr">
        <is>
          <t>보장성</t>
        </is>
      </c>
      <c r="E100" s="92" t="inlineStr">
        <is>
          <t>GMM</t>
        </is>
      </c>
      <c r="F100" s="92" t="inlineStr">
        <is>
          <t>F51</t>
        </is>
      </c>
      <c r="G100" s="92" t="inlineStr">
        <is>
          <t>CSM 상각</t>
        </is>
      </c>
      <c r="H100" s="93" t="n">
        <v>0</v>
      </c>
      <c r="I100" s="93" t="n">
        <v>0</v>
      </c>
      <c r="J100" s="93" t="n">
        <v>-2097061000</v>
      </c>
      <c r="L100" s="9">
        <f>IF($A100="","",VALUE($A100&amp;"")*12+VALUE($B100&amp;""))</f>
        <v/>
      </c>
      <c r="M100" s="94">
        <f>IF($A100="",0,$H100*설정!$C$23)</f>
        <v/>
      </c>
      <c r="N100" s="94">
        <f>IF($A100="",0,$I100*설정!$C$23)</f>
        <v/>
      </c>
      <c r="O100" s="94">
        <f>IF($A100="",0,$J100*설정!$C$23)</f>
        <v/>
      </c>
      <c r="P100" s="64">
        <f>IF($A100="","",IFERROR(INDEX(입력옵션!$C$58:$C$68,MATCH($F100&amp;"",입력옵션!$E$58:$E$68,0)),IFERROR(INDEX(입력옵션!$C$58:$C$68,MATCH($G100&amp;"",입력옵션!$F$58:$F$68,0)),$F100&amp;"")))</f>
        <v/>
      </c>
    </row>
    <row r="101">
      <c r="A101" s="92" t="n">
        <v>2025</v>
      </c>
      <c r="B101" s="92" t="n">
        <v>3</v>
      </c>
      <c r="C101" s="92" t="inlineStr">
        <is>
          <t>PF01</t>
        </is>
      </c>
      <c r="D101" s="92" t="inlineStr">
        <is>
          <t>보장성</t>
        </is>
      </c>
      <c r="E101" s="92" t="inlineStr">
        <is>
          <t>GMM</t>
        </is>
      </c>
      <c r="F101" s="92" t="inlineStr">
        <is>
          <t>F52</t>
        </is>
      </c>
      <c r="G101" s="92" t="inlineStr">
        <is>
          <t>RA 해제</t>
        </is>
      </c>
      <c r="H101" s="93" t="n">
        <v>0</v>
      </c>
      <c r="I101" s="93" t="n">
        <v>-429657000</v>
      </c>
      <c r="J101" s="93" t="n">
        <v>0</v>
      </c>
      <c r="L101" s="9">
        <f>IF($A101="","",VALUE($A101&amp;"")*12+VALUE($B101&amp;""))</f>
        <v/>
      </c>
      <c r="M101" s="94">
        <f>IF($A101="",0,$H101*설정!$C$23)</f>
        <v/>
      </c>
      <c r="N101" s="94">
        <f>IF($A101="",0,$I101*설정!$C$23)</f>
        <v/>
      </c>
      <c r="O101" s="94">
        <f>IF($A101="",0,$J101*설정!$C$23)</f>
        <v/>
      </c>
      <c r="P101" s="64">
        <f>IF($A101="","",IFERROR(INDEX(입력옵션!$C$58:$C$68,MATCH($F101&amp;"",입력옵션!$E$58:$E$68,0)),IFERROR(INDEX(입력옵션!$C$58:$C$68,MATCH($G101&amp;"",입력옵션!$F$58:$F$68,0)),$F101&amp;"")))</f>
        <v/>
      </c>
    </row>
    <row r="102">
      <c r="A102" s="92" t="n">
        <v>2025</v>
      </c>
      <c r="B102" s="92" t="n">
        <v>3</v>
      </c>
      <c r="C102" s="92" t="inlineStr">
        <is>
          <t>PF01</t>
        </is>
      </c>
      <c r="D102" s="92" t="inlineStr">
        <is>
          <t>보장성</t>
        </is>
      </c>
      <c r="E102" s="92" t="inlineStr">
        <is>
          <t>GMM</t>
        </is>
      </c>
      <c r="F102" s="92" t="inlineStr">
        <is>
          <t>F60</t>
        </is>
      </c>
      <c r="G102" s="92" t="inlineStr">
        <is>
          <t>현금흐름 및 기타</t>
        </is>
      </c>
      <c r="H102" s="93" t="n">
        <v>6488495000</v>
      </c>
      <c r="I102" s="93" t="n">
        <v>-1445052000</v>
      </c>
      <c r="J102" s="93" t="n">
        <v>0</v>
      </c>
      <c r="L102" s="9">
        <f>IF($A102="","",VALUE($A102&amp;"")*12+VALUE($B102&amp;""))</f>
        <v/>
      </c>
      <c r="M102" s="94">
        <f>IF($A102="",0,$H102*설정!$C$23)</f>
        <v/>
      </c>
      <c r="N102" s="94">
        <f>IF($A102="",0,$I102*설정!$C$23)</f>
        <v/>
      </c>
      <c r="O102" s="94">
        <f>IF($A102="",0,$J102*설정!$C$23)</f>
        <v/>
      </c>
      <c r="P102" s="64">
        <f>IF($A102="","",IFERROR(INDEX(입력옵션!$C$58:$C$68,MATCH($F102&amp;"",입력옵션!$E$58:$E$68,0)),IFERROR(INDEX(입력옵션!$C$58:$C$68,MATCH($G102&amp;"",입력옵션!$F$58:$F$68,0)),$F102&amp;"")))</f>
        <v/>
      </c>
    </row>
    <row r="103">
      <c r="A103" s="92" t="n">
        <v>2025</v>
      </c>
      <c r="B103" s="92" t="n">
        <v>3</v>
      </c>
      <c r="C103" s="92" t="inlineStr">
        <is>
          <t>PF01</t>
        </is>
      </c>
      <c r="D103" s="92" t="inlineStr">
        <is>
          <t>보장성</t>
        </is>
      </c>
      <c r="E103" s="92" t="inlineStr">
        <is>
          <t>GMM</t>
        </is>
      </c>
      <c r="F103" s="92" t="inlineStr">
        <is>
          <t>F99</t>
        </is>
      </c>
      <c r="G103" s="92" t="inlineStr">
        <is>
          <t>기말잔액</t>
        </is>
      </c>
      <c r="H103" s="93" t="n">
        <v>1034783300000</v>
      </c>
      <c r="I103" s="93" t="n">
        <v>70650480000</v>
      </c>
      <c r="J103" s="93" t="n">
        <v>234313220000</v>
      </c>
      <c r="L103" s="9">
        <f>IF($A103="","",VALUE($A103&amp;"")*12+VALUE($B103&amp;""))</f>
        <v/>
      </c>
      <c r="M103" s="94">
        <f>IF($A103="",0,$H103*설정!$C$23)</f>
        <v/>
      </c>
      <c r="N103" s="94">
        <f>IF($A103="",0,$I103*설정!$C$23)</f>
        <v/>
      </c>
      <c r="O103" s="94">
        <f>IF($A103="",0,$J103*설정!$C$23)</f>
        <v/>
      </c>
      <c r="P103" s="64">
        <f>IF($A103="","",IFERROR(INDEX(입력옵션!$C$58:$C$68,MATCH($F103&amp;"",입력옵션!$E$58:$E$68,0)),IFERROR(INDEX(입력옵션!$C$58:$C$68,MATCH($G103&amp;"",입력옵션!$F$58:$F$68,0)),$F103&amp;"")))</f>
        <v/>
      </c>
    </row>
    <row r="104">
      <c r="A104" s="92" t="n">
        <v>2025</v>
      </c>
      <c r="B104" s="92" t="n">
        <v>3</v>
      </c>
      <c r="C104" s="92" t="inlineStr">
        <is>
          <t>PF02</t>
        </is>
      </c>
      <c r="D104" s="92" t="inlineStr">
        <is>
          <t>저축성</t>
        </is>
      </c>
      <c r="E104" s="92" t="inlineStr">
        <is>
          <t>GMM</t>
        </is>
      </c>
      <c r="F104" s="92" t="inlineStr">
        <is>
          <t>F00</t>
        </is>
      </c>
      <c r="G104" s="92" t="inlineStr">
        <is>
          <t>기초잔액</t>
        </is>
      </c>
      <c r="H104" s="93" t="n">
        <v>679524846000</v>
      </c>
      <c r="I104" s="93" t="n">
        <v>29837300000</v>
      </c>
      <c r="J104" s="93" t="n">
        <v>93968546000</v>
      </c>
      <c r="L104" s="9">
        <f>IF($A104="","",VALUE($A104&amp;"")*12+VALUE($B104&amp;""))</f>
        <v/>
      </c>
      <c r="M104" s="94">
        <f>IF($A104="",0,$H104*설정!$C$23)</f>
        <v/>
      </c>
      <c r="N104" s="94">
        <f>IF($A104="",0,$I104*설정!$C$23)</f>
        <v/>
      </c>
      <c r="O104" s="94">
        <f>IF($A104="",0,$J104*설정!$C$23)</f>
        <v/>
      </c>
      <c r="P104" s="64">
        <f>IF($A104="","",IFERROR(INDEX(입력옵션!$C$58:$C$68,MATCH($F104&amp;"",입력옵션!$E$58:$E$68,0)),IFERROR(INDEX(입력옵션!$C$58:$C$68,MATCH($G104&amp;"",입력옵션!$F$58:$F$68,0)),$F104&amp;"")))</f>
        <v/>
      </c>
    </row>
    <row r="105">
      <c r="A105" s="92" t="n">
        <v>2025</v>
      </c>
      <c r="B105" s="92" t="n">
        <v>3</v>
      </c>
      <c r="C105" s="92" t="inlineStr">
        <is>
          <t>PF02</t>
        </is>
      </c>
      <c r="D105" s="92" t="inlineStr">
        <is>
          <t>저축성</t>
        </is>
      </c>
      <c r="E105" s="92" t="inlineStr">
        <is>
          <t>GMM</t>
        </is>
      </c>
      <c r="F105" s="92" t="inlineStr">
        <is>
          <t>F10</t>
        </is>
      </c>
      <c r="G105" s="92" t="inlineStr">
        <is>
          <t>신계약 효과</t>
        </is>
      </c>
      <c r="H105" s="93" t="n">
        <v>-1557360000</v>
      </c>
      <c r="I105" s="93" t="n">
        <v>311472000</v>
      </c>
      <c r="J105" s="93" t="n">
        <v>1245888000</v>
      </c>
      <c r="L105" s="9">
        <f>IF($A105="","",VALUE($A105&amp;"")*12+VALUE($B105&amp;""))</f>
        <v/>
      </c>
      <c r="M105" s="94">
        <f>IF($A105="",0,$H105*설정!$C$23)</f>
        <v/>
      </c>
      <c r="N105" s="94">
        <f>IF($A105="",0,$I105*설정!$C$23)</f>
        <v/>
      </c>
      <c r="O105" s="94">
        <f>IF($A105="",0,$J105*설정!$C$23)</f>
        <v/>
      </c>
      <c r="P105" s="64">
        <f>IF($A105="","",IFERROR(INDEX(입력옵션!$C$58:$C$68,MATCH($F105&amp;"",입력옵션!$E$58:$E$68,0)),IFERROR(INDEX(입력옵션!$C$58:$C$68,MATCH($G105&amp;"",입력옵션!$F$58:$F$68,0)),$F105&amp;"")))</f>
        <v/>
      </c>
    </row>
    <row r="106">
      <c r="A106" s="92" t="n">
        <v>2025</v>
      </c>
      <c r="B106" s="92" t="n">
        <v>3</v>
      </c>
      <c r="C106" s="92" t="inlineStr">
        <is>
          <t>PF02</t>
        </is>
      </c>
      <c r="D106" s="92" t="inlineStr">
        <is>
          <t>저축성</t>
        </is>
      </c>
      <c r="E106" s="92" t="inlineStr">
        <is>
          <t>GMM</t>
        </is>
      </c>
      <c r="F106" s="92" t="inlineStr">
        <is>
          <t>F21</t>
        </is>
      </c>
      <c r="G106" s="92" t="inlineStr">
        <is>
          <t>가정변경-사업비</t>
        </is>
      </c>
      <c r="H106" s="93" t="n">
        <v>0</v>
      </c>
      <c r="I106" s="93" t="n">
        <v>0</v>
      </c>
      <c r="J106" s="93" t="n">
        <v>0</v>
      </c>
      <c r="L106" s="9">
        <f>IF($A106="","",VALUE($A106&amp;"")*12+VALUE($B106&amp;""))</f>
        <v/>
      </c>
      <c r="M106" s="94">
        <f>IF($A106="",0,$H106*설정!$C$23)</f>
        <v/>
      </c>
      <c r="N106" s="94">
        <f>IF($A106="",0,$I106*설정!$C$23)</f>
        <v/>
      </c>
      <c r="O106" s="94">
        <f>IF($A106="",0,$J106*설정!$C$23)</f>
        <v/>
      </c>
      <c r="P106" s="64">
        <f>IF($A106="","",IFERROR(INDEX(입력옵션!$C$58:$C$68,MATCH($F106&amp;"",입력옵션!$E$58:$E$68,0)),IFERROR(INDEX(입력옵션!$C$58:$C$68,MATCH($G106&amp;"",입력옵션!$F$58:$F$68,0)),$F106&amp;"")))</f>
        <v/>
      </c>
    </row>
    <row r="107">
      <c r="A107" s="92" t="n">
        <v>2025</v>
      </c>
      <c r="B107" s="92" t="n">
        <v>3</v>
      </c>
      <c r="C107" s="92" t="inlineStr">
        <is>
          <t>PF02</t>
        </is>
      </c>
      <c r="D107" s="92" t="inlineStr">
        <is>
          <t>저축성</t>
        </is>
      </c>
      <c r="E107" s="92" t="inlineStr">
        <is>
          <t>GMM</t>
        </is>
      </c>
      <c r="F107" s="92" t="inlineStr">
        <is>
          <t>F22</t>
        </is>
      </c>
      <c r="G107" s="92" t="inlineStr">
        <is>
          <t>가정변경-기타</t>
        </is>
      </c>
      <c r="H107" s="93" t="n">
        <v>0</v>
      </c>
      <c r="I107" s="93" t="n">
        <v>0</v>
      </c>
      <c r="J107" s="93" t="n">
        <v>0</v>
      </c>
      <c r="L107" s="9">
        <f>IF($A107="","",VALUE($A107&amp;"")*12+VALUE($B107&amp;""))</f>
        <v/>
      </c>
      <c r="M107" s="94">
        <f>IF($A107="",0,$H107*설정!$C$23)</f>
        <v/>
      </c>
      <c r="N107" s="94">
        <f>IF($A107="",0,$I107*설정!$C$23)</f>
        <v/>
      </c>
      <c r="O107" s="94">
        <f>IF($A107="",0,$J107*설정!$C$23)</f>
        <v/>
      </c>
      <c r="P107" s="64">
        <f>IF($A107="","",IFERROR(INDEX(입력옵션!$C$58:$C$68,MATCH($F107&amp;"",입력옵션!$E$58:$E$68,0)),IFERROR(INDEX(입력옵션!$C$58:$C$68,MATCH($G107&amp;"",입력옵션!$F$58:$F$68,0)),$F107&amp;"")))</f>
        <v/>
      </c>
    </row>
    <row r="108">
      <c r="A108" s="92" t="n">
        <v>2025</v>
      </c>
      <c r="B108" s="92" t="n">
        <v>3</v>
      </c>
      <c r="C108" s="92" t="inlineStr">
        <is>
          <t>PF02</t>
        </is>
      </c>
      <c r="D108" s="92" t="inlineStr">
        <is>
          <t>저축성</t>
        </is>
      </c>
      <c r="E108" s="92" t="inlineStr">
        <is>
          <t>GMM</t>
        </is>
      </c>
      <c r="F108" s="92" t="inlineStr">
        <is>
          <t>F31</t>
        </is>
      </c>
      <c r="G108" s="92" t="inlineStr">
        <is>
          <t>경험조정-취득현금흐름</t>
        </is>
      </c>
      <c r="H108" s="93" t="n">
        <v>0</v>
      </c>
      <c r="I108" s="93" t="n">
        <v>0</v>
      </c>
      <c r="J108" s="93" t="n">
        <v>2385000</v>
      </c>
      <c r="L108" s="9">
        <f>IF($A108="","",VALUE($A108&amp;"")*12+VALUE($B108&amp;""))</f>
        <v/>
      </c>
      <c r="M108" s="94">
        <f>IF($A108="",0,$H108*설정!$C$23)</f>
        <v/>
      </c>
      <c r="N108" s="94">
        <f>IF($A108="",0,$I108*설정!$C$23)</f>
        <v/>
      </c>
      <c r="O108" s="94">
        <f>IF($A108="",0,$J108*설정!$C$23)</f>
        <v/>
      </c>
      <c r="P108" s="64">
        <f>IF($A108="","",IFERROR(INDEX(입력옵션!$C$58:$C$68,MATCH($F108&amp;"",입력옵션!$E$58:$E$68,0)),IFERROR(INDEX(입력옵션!$C$58:$C$68,MATCH($G108&amp;"",입력옵션!$F$58:$F$68,0)),$F108&amp;"")))</f>
        <v/>
      </c>
    </row>
    <row r="109">
      <c r="A109" s="92" t="n">
        <v>2025</v>
      </c>
      <c r="B109" s="92" t="n">
        <v>3</v>
      </c>
      <c r="C109" s="92" t="inlineStr">
        <is>
          <t>PF02</t>
        </is>
      </c>
      <c r="D109" s="92" t="inlineStr">
        <is>
          <t>저축성</t>
        </is>
      </c>
      <c r="E109" s="92" t="inlineStr">
        <is>
          <t>GMM</t>
        </is>
      </c>
      <c r="F109" s="92" t="inlineStr">
        <is>
          <t>F32</t>
        </is>
      </c>
      <c r="G109" s="92" t="inlineStr">
        <is>
          <t>경험조정-보험료 등</t>
        </is>
      </c>
      <c r="H109" s="93" t="n">
        <v>0</v>
      </c>
      <c r="I109" s="93" t="n">
        <v>0</v>
      </c>
      <c r="J109" s="93" t="n">
        <v>-198425000</v>
      </c>
      <c r="L109" s="9">
        <f>IF($A109="","",VALUE($A109&amp;"")*12+VALUE($B109&amp;""))</f>
        <v/>
      </c>
      <c r="M109" s="94">
        <f>IF($A109="",0,$H109*설정!$C$23)</f>
        <v/>
      </c>
      <c r="N109" s="94">
        <f>IF($A109="",0,$I109*설정!$C$23)</f>
        <v/>
      </c>
      <c r="O109" s="94">
        <f>IF($A109="",0,$J109*설정!$C$23)</f>
        <v/>
      </c>
      <c r="P109" s="64">
        <f>IF($A109="","",IFERROR(INDEX(입력옵션!$C$58:$C$68,MATCH($F109&amp;"",입력옵션!$E$58:$E$68,0)),IFERROR(INDEX(입력옵션!$C$58:$C$68,MATCH($G109&amp;"",입력옵션!$F$58:$F$68,0)),$F109&amp;"")))</f>
        <v/>
      </c>
    </row>
    <row r="110">
      <c r="A110" s="92" t="n">
        <v>2025</v>
      </c>
      <c r="B110" s="92" t="n">
        <v>3</v>
      </c>
      <c r="C110" s="92" t="inlineStr">
        <is>
          <t>PF02</t>
        </is>
      </c>
      <c r="D110" s="92" t="inlineStr">
        <is>
          <t>저축성</t>
        </is>
      </c>
      <c r="E110" s="92" t="inlineStr">
        <is>
          <t>GMM</t>
        </is>
      </c>
      <c r="F110" s="92" t="inlineStr">
        <is>
          <t>F40</t>
        </is>
      </c>
      <c r="G110" s="92" t="inlineStr">
        <is>
          <t>보험금융비용(이자부리)</t>
        </is>
      </c>
      <c r="H110" s="93" t="n">
        <v>1698812000</v>
      </c>
      <c r="I110" s="93" t="n">
        <v>59675000</v>
      </c>
      <c r="J110" s="93" t="n">
        <v>234921000</v>
      </c>
      <c r="L110" s="9">
        <f>IF($A110="","",VALUE($A110&amp;"")*12+VALUE($B110&amp;""))</f>
        <v/>
      </c>
      <c r="M110" s="94">
        <f>IF($A110="",0,$H110*설정!$C$23)</f>
        <v/>
      </c>
      <c r="N110" s="94">
        <f>IF($A110="",0,$I110*설정!$C$23)</f>
        <v/>
      </c>
      <c r="O110" s="94">
        <f>IF($A110="",0,$J110*설정!$C$23)</f>
        <v/>
      </c>
      <c r="P110" s="64">
        <f>IF($A110="","",IFERROR(INDEX(입력옵션!$C$58:$C$68,MATCH($F110&amp;"",입력옵션!$E$58:$E$68,0)),IFERROR(INDEX(입력옵션!$C$58:$C$68,MATCH($G110&amp;"",입력옵션!$F$58:$F$68,0)),$F110&amp;"")))</f>
        <v/>
      </c>
    </row>
    <row r="111">
      <c r="A111" s="92" t="n">
        <v>2025</v>
      </c>
      <c r="B111" s="92" t="n">
        <v>3</v>
      </c>
      <c r="C111" s="92" t="inlineStr">
        <is>
          <t>PF02</t>
        </is>
      </c>
      <c r="D111" s="92" t="inlineStr">
        <is>
          <t>저축성</t>
        </is>
      </c>
      <c r="E111" s="92" t="inlineStr">
        <is>
          <t>GMM</t>
        </is>
      </c>
      <c r="F111" s="92" t="inlineStr">
        <is>
          <t>F51</t>
        </is>
      </c>
      <c r="G111" s="92" t="inlineStr">
        <is>
          <t>CSM 상각</t>
        </is>
      </c>
      <c r="H111" s="93" t="n">
        <v>0</v>
      </c>
      <c r="I111" s="93" t="n">
        <v>0</v>
      </c>
      <c r="J111" s="93" t="n">
        <v>-845717000</v>
      </c>
      <c r="L111" s="9">
        <f>IF($A111="","",VALUE($A111&amp;"")*12+VALUE($B111&amp;""))</f>
        <v/>
      </c>
      <c r="M111" s="94">
        <f>IF($A111="",0,$H111*설정!$C$23)</f>
        <v/>
      </c>
      <c r="N111" s="94">
        <f>IF($A111="",0,$I111*설정!$C$23)</f>
        <v/>
      </c>
      <c r="O111" s="94">
        <f>IF($A111="",0,$J111*설정!$C$23)</f>
        <v/>
      </c>
      <c r="P111" s="64">
        <f>IF($A111="","",IFERROR(INDEX(입력옵션!$C$58:$C$68,MATCH($F111&amp;"",입력옵션!$E$58:$E$68,0)),IFERROR(INDEX(입력옵션!$C$58:$C$68,MATCH($G111&amp;"",입력옵션!$F$58:$F$68,0)),$F111&amp;"")))</f>
        <v/>
      </c>
    </row>
    <row r="112">
      <c r="A112" s="92" t="n">
        <v>2025</v>
      </c>
      <c r="B112" s="92" t="n">
        <v>3</v>
      </c>
      <c r="C112" s="92" t="inlineStr">
        <is>
          <t>PF02</t>
        </is>
      </c>
      <c r="D112" s="92" t="inlineStr">
        <is>
          <t>저축성</t>
        </is>
      </c>
      <c r="E112" s="92" t="inlineStr">
        <is>
          <t>GMM</t>
        </is>
      </c>
      <c r="F112" s="92" t="inlineStr">
        <is>
          <t>F52</t>
        </is>
      </c>
      <c r="G112" s="92" t="inlineStr">
        <is>
          <t>RA 해제</t>
        </is>
      </c>
      <c r="H112" s="93" t="n">
        <v>0</v>
      </c>
      <c r="I112" s="93" t="n">
        <v>-179024000</v>
      </c>
      <c r="J112" s="93" t="n">
        <v>0</v>
      </c>
      <c r="L112" s="9">
        <f>IF($A112="","",VALUE($A112&amp;"")*12+VALUE($B112&amp;""))</f>
        <v/>
      </c>
      <c r="M112" s="94">
        <f>IF($A112="",0,$H112*설정!$C$23)</f>
        <v/>
      </c>
      <c r="N112" s="94">
        <f>IF($A112="",0,$I112*설정!$C$23)</f>
        <v/>
      </c>
      <c r="O112" s="94">
        <f>IF($A112="",0,$J112*설정!$C$23)</f>
        <v/>
      </c>
      <c r="P112" s="64">
        <f>IF($A112="","",IFERROR(INDEX(입력옵션!$C$58:$C$68,MATCH($F112&amp;"",입력옵션!$E$58:$E$68,0)),IFERROR(INDEX(입력옵션!$C$58:$C$68,MATCH($G112&amp;"",입력옵션!$F$58:$F$68,0)),$F112&amp;"")))</f>
        <v/>
      </c>
    </row>
    <row r="113">
      <c r="A113" s="92" t="n">
        <v>2025</v>
      </c>
      <c r="B113" s="92" t="n">
        <v>3</v>
      </c>
      <c r="C113" s="92" t="inlineStr">
        <is>
          <t>PF02</t>
        </is>
      </c>
      <c r="D113" s="92" t="inlineStr">
        <is>
          <t>저축성</t>
        </is>
      </c>
      <c r="E113" s="92" t="inlineStr">
        <is>
          <t>GMM</t>
        </is>
      </c>
      <c r="F113" s="92" t="inlineStr">
        <is>
          <t>F60</t>
        </is>
      </c>
      <c r="G113" s="92" t="inlineStr">
        <is>
          <t>현금흐름 및 기타</t>
        </is>
      </c>
      <c r="H113" s="93" t="n">
        <v>3290680000</v>
      </c>
      <c r="I113" s="93" t="n">
        <v>-591723000</v>
      </c>
      <c r="J113" s="93" t="n">
        <v>0</v>
      </c>
      <c r="L113" s="9">
        <f>IF($A113="","",VALUE($A113&amp;"")*12+VALUE($B113&amp;""))</f>
        <v/>
      </c>
      <c r="M113" s="94">
        <f>IF($A113="",0,$H113*설정!$C$23)</f>
        <v/>
      </c>
      <c r="N113" s="94">
        <f>IF($A113="",0,$I113*설정!$C$23)</f>
        <v/>
      </c>
      <c r="O113" s="94">
        <f>IF($A113="",0,$J113*설정!$C$23)</f>
        <v/>
      </c>
      <c r="P113" s="64">
        <f>IF($A113="","",IFERROR(INDEX(입력옵션!$C$58:$C$68,MATCH($F113&amp;"",입력옵션!$E$58:$E$68,0)),IFERROR(INDEX(입력옵션!$C$58:$C$68,MATCH($G113&amp;"",입력옵션!$F$58:$F$68,0)),$F113&amp;"")))</f>
        <v/>
      </c>
    </row>
    <row r="114">
      <c r="A114" s="92" t="n">
        <v>2025</v>
      </c>
      <c r="B114" s="92" t="n">
        <v>3</v>
      </c>
      <c r="C114" s="92" t="inlineStr">
        <is>
          <t>PF02</t>
        </is>
      </c>
      <c r="D114" s="92" t="inlineStr">
        <is>
          <t>저축성</t>
        </is>
      </c>
      <c r="E114" s="92" t="inlineStr">
        <is>
          <t>GMM</t>
        </is>
      </c>
      <c r="F114" s="92" t="inlineStr">
        <is>
          <t>F99</t>
        </is>
      </c>
      <c r="G114" s="92" t="inlineStr">
        <is>
          <t>기말잔액</t>
        </is>
      </c>
      <c r="H114" s="93" t="n">
        <v>682956978000</v>
      </c>
      <c r="I114" s="93" t="n">
        <v>29437700000</v>
      </c>
      <c r="J114" s="93" t="n">
        <v>94407598000</v>
      </c>
      <c r="L114" s="9">
        <f>IF($A114="","",VALUE($A114&amp;"")*12+VALUE($B114&amp;""))</f>
        <v/>
      </c>
      <c r="M114" s="94">
        <f>IF($A114="",0,$H114*설정!$C$23)</f>
        <v/>
      </c>
      <c r="N114" s="94">
        <f>IF($A114="",0,$I114*설정!$C$23)</f>
        <v/>
      </c>
      <c r="O114" s="94">
        <f>IF($A114="",0,$J114*설정!$C$23)</f>
        <v/>
      </c>
      <c r="P114" s="64">
        <f>IF($A114="","",IFERROR(INDEX(입력옵션!$C$58:$C$68,MATCH($F114&amp;"",입력옵션!$E$58:$E$68,0)),IFERROR(INDEX(입력옵션!$C$58:$C$68,MATCH($G114&amp;"",입력옵션!$F$58:$F$68,0)),$F114&amp;"")))</f>
        <v/>
      </c>
    </row>
    <row r="115">
      <c r="A115" s="92" t="n">
        <v>2025</v>
      </c>
      <c r="B115" s="92" t="n">
        <v>3</v>
      </c>
      <c r="C115" s="92" t="inlineStr">
        <is>
          <t>PF03</t>
        </is>
      </c>
      <c r="D115" s="92" t="inlineStr">
        <is>
          <t>단체(단기)</t>
        </is>
      </c>
      <c r="E115" s="92" t="inlineStr">
        <is>
          <t>PAA</t>
        </is>
      </c>
      <c r="F115" s="92" t="inlineStr">
        <is>
          <t>F00</t>
        </is>
      </c>
      <c r="G115" s="92" t="inlineStr">
        <is>
          <t>기초잔액</t>
        </is>
      </c>
      <c r="H115" s="93" t="n">
        <v>41183324000</v>
      </c>
      <c r="I115" s="93" t="n">
        <v>2386984000</v>
      </c>
      <c r="J115" s="93" t="n">
        <v>0</v>
      </c>
      <c r="L115" s="9">
        <f>IF($A115="","",VALUE($A115&amp;"")*12+VALUE($B115&amp;""))</f>
        <v/>
      </c>
      <c r="M115" s="94">
        <f>IF($A115="",0,$H115*설정!$C$23)</f>
        <v/>
      </c>
      <c r="N115" s="94">
        <f>IF($A115="",0,$I115*설정!$C$23)</f>
        <v/>
      </c>
      <c r="O115" s="94">
        <f>IF($A115="",0,$J115*설정!$C$23)</f>
        <v/>
      </c>
      <c r="P115" s="64">
        <f>IF($A115="","",IFERROR(INDEX(입력옵션!$C$58:$C$68,MATCH($F115&amp;"",입력옵션!$E$58:$E$68,0)),IFERROR(INDEX(입력옵션!$C$58:$C$68,MATCH($G115&amp;"",입력옵션!$F$58:$F$68,0)),$F115&amp;"")))</f>
        <v/>
      </c>
    </row>
    <row r="116">
      <c r="A116" s="92" t="n">
        <v>2025</v>
      </c>
      <c r="B116" s="92" t="n">
        <v>3</v>
      </c>
      <c r="C116" s="92" t="inlineStr">
        <is>
          <t>PF03</t>
        </is>
      </c>
      <c r="D116" s="92" t="inlineStr">
        <is>
          <t>단체(단기)</t>
        </is>
      </c>
      <c r="E116" s="92" t="inlineStr">
        <is>
          <t>PAA</t>
        </is>
      </c>
      <c r="F116" s="92" t="inlineStr">
        <is>
          <t>F10</t>
        </is>
      </c>
      <c r="G116" s="92" t="inlineStr">
        <is>
          <t>신계약 효과</t>
        </is>
      </c>
      <c r="H116" s="93" t="n">
        <v>0</v>
      </c>
      <c r="I116" s="93" t="n">
        <v>0</v>
      </c>
      <c r="J116" s="93" t="n">
        <v>0</v>
      </c>
      <c r="L116" s="9">
        <f>IF($A116="","",VALUE($A116&amp;"")*12+VALUE($B116&amp;""))</f>
        <v/>
      </c>
      <c r="M116" s="94">
        <f>IF($A116="",0,$H116*설정!$C$23)</f>
        <v/>
      </c>
      <c r="N116" s="94">
        <f>IF($A116="",0,$I116*설정!$C$23)</f>
        <v/>
      </c>
      <c r="O116" s="94">
        <f>IF($A116="",0,$J116*설정!$C$23)</f>
        <v/>
      </c>
      <c r="P116" s="64">
        <f>IF($A116="","",IFERROR(INDEX(입력옵션!$C$58:$C$68,MATCH($F116&amp;"",입력옵션!$E$58:$E$68,0)),IFERROR(INDEX(입력옵션!$C$58:$C$68,MATCH($G116&amp;"",입력옵션!$F$58:$F$68,0)),$F116&amp;"")))</f>
        <v/>
      </c>
    </row>
    <row r="117">
      <c r="A117" s="92" t="n">
        <v>2025</v>
      </c>
      <c r="B117" s="92" t="n">
        <v>3</v>
      </c>
      <c r="C117" s="92" t="inlineStr">
        <is>
          <t>PF03</t>
        </is>
      </c>
      <c r="D117" s="92" t="inlineStr">
        <is>
          <t>단체(단기)</t>
        </is>
      </c>
      <c r="E117" s="92" t="inlineStr">
        <is>
          <t>PAA</t>
        </is>
      </c>
      <c r="F117" s="92" t="inlineStr">
        <is>
          <t>F21</t>
        </is>
      </c>
      <c r="G117" s="92" t="inlineStr">
        <is>
          <t>가정변경-사업비</t>
        </is>
      </c>
      <c r="H117" s="93" t="n">
        <v>0</v>
      </c>
      <c r="I117" s="93" t="n">
        <v>0</v>
      </c>
      <c r="J117" s="93" t="n">
        <v>0</v>
      </c>
      <c r="L117" s="9">
        <f>IF($A117="","",VALUE($A117&amp;"")*12+VALUE($B117&amp;""))</f>
        <v/>
      </c>
      <c r="M117" s="94">
        <f>IF($A117="",0,$H117*설정!$C$23)</f>
        <v/>
      </c>
      <c r="N117" s="94">
        <f>IF($A117="",0,$I117*설정!$C$23)</f>
        <v/>
      </c>
      <c r="O117" s="94">
        <f>IF($A117="",0,$J117*설정!$C$23)</f>
        <v/>
      </c>
      <c r="P117" s="64">
        <f>IF($A117="","",IFERROR(INDEX(입력옵션!$C$58:$C$68,MATCH($F117&amp;"",입력옵션!$E$58:$E$68,0)),IFERROR(INDEX(입력옵션!$C$58:$C$68,MATCH($G117&amp;"",입력옵션!$F$58:$F$68,0)),$F117&amp;"")))</f>
        <v/>
      </c>
    </row>
    <row r="118">
      <c r="A118" s="92" t="n">
        <v>2025</v>
      </c>
      <c r="B118" s="92" t="n">
        <v>3</v>
      </c>
      <c r="C118" s="92" t="inlineStr">
        <is>
          <t>PF03</t>
        </is>
      </c>
      <c r="D118" s="92" t="inlineStr">
        <is>
          <t>단체(단기)</t>
        </is>
      </c>
      <c r="E118" s="92" t="inlineStr">
        <is>
          <t>PAA</t>
        </is>
      </c>
      <c r="F118" s="92" t="inlineStr">
        <is>
          <t>F22</t>
        </is>
      </c>
      <c r="G118" s="92" t="inlineStr">
        <is>
          <t>가정변경-기타</t>
        </is>
      </c>
      <c r="H118" s="93" t="n">
        <v>0</v>
      </c>
      <c r="I118" s="93" t="n">
        <v>0</v>
      </c>
      <c r="J118" s="93" t="n">
        <v>0</v>
      </c>
      <c r="L118" s="9">
        <f>IF($A118="","",VALUE($A118&amp;"")*12+VALUE($B118&amp;""))</f>
        <v/>
      </c>
      <c r="M118" s="94">
        <f>IF($A118="",0,$H118*설정!$C$23)</f>
        <v/>
      </c>
      <c r="N118" s="94">
        <f>IF($A118="",0,$I118*설정!$C$23)</f>
        <v/>
      </c>
      <c r="O118" s="94">
        <f>IF($A118="",0,$J118*설정!$C$23)</f>
        <v/>
      </c>
      <c r="P118" s="64">
        <f>IF($A118="","",IFERROR(INDEX(입력옵션!$C$58:$C$68,MATCH($F118&amp;"",입력옵션!$E$58:$E$68,0)),IFERROR(INDEX(입력옵션!$C$58:$C$68,MATCH($G118&amp;"",입력옵션!$F$58:$F$68,0)),$F118&amp;"")))</f>
        <v/>
      </c>
    </row>
    <row r="119">
      <c r="A119" s="92" t="n">
        <v>2025</v>
      </c>
      <c r="B119" s="92" t="n">
        <v>3</v>
      </c>
      <c r="C119" s="92" t="inlineStr">
        <is>
          <t>PF03</t>
        </is>
      </c>
      <c r="D119" s="92" t="inlineStr">
        <is>
          <t>단체(단기)</t>
        </is>
      </c>
      <c r="E119" s="92" t="inlineStr">
        <is>
          <t>PAA</t>
        </is>
      </c>
      <c r="F119" s="92" t="inlineStr">
        <is>
          <t>F31</t>
        </is>
      </c>
      <c r="G119" s="92" t="inlineStr">
        <is>
          <t>경험조정-취득현금흐름</t>
        </is>
      </c>
      <c r="H119" s="93" t="n">
        <v>0</v>
      </c>
      <c r="I119" s="93" t="n">
        <v>0</v>
      </c>
      <c r="J119" s="93" t="n">
        <v>0</v>
      </c>
      <c r="L119" s="9">
        <f>IF($A119="","",VALUE($A119&amp;"")*12+VALUE($B119&amp;""))</f>
        <v/>
      </c>
      <c r="M119" s="94">
        <f>IF($A119="",0,$H119*설정!$C$23)</f>
        <v/>
      </c>
      <c r="N119" s="94">
        <f>IF($A119="",0,$I119*설정!$C$23)</f>
        <v/>
      </c>
      <c r="O119" s="94">
        <f>IF($A119="",0,$J119*설정!$C$23)</f>
        <v/>
      </c>
      <c r="P119" s="64">
        <f>IF($A119="","",IFERROR(INDEX(입력옵션!$C$58:$C$68,MATCH($F119&amp;"",입력옵션!$E$58:$E$68,0)),IFERROR(INDEX(입력옵션!$C$58:$C$68,MATCH($G119&amp;"",입력옵션!$F$58:$F$68,0)),$F119&amp;"")))</f>
        <v/>
      </c>
    </row>
    <row r="120">
      <c r="A120" s="92" t="n">
        <v>2025</v>
      </c>
      <c r="B120" s="92" t="n">
        <v>3</v>
      </c>
      <c r="C120" s="92" t="inlineStr">
        <is>
          <t>PF03</t>
        </is>
      </c>
      <c r="D120" s="92" t="inlineStr">
        <is>
          <t>단체(단기)</t>
        </is>
      </c>
      <c r="E120" s="92" t="inlineStr">
        <is>
          <t>PAA</t>
        </is>
      </c>
      <c r="F120" s="92" t="inlineStr">
        <is>
          <t>F32</t>
        </is>
      </c>
      <c r="G120" s="92" t="inlineStr">
        <is>
          <t>경험조정-보험료 등</t>
        </is>
      </c>
      <c r="H120" s="93" t="n">
        <v>0</v>
      </c>
      <c r="I120" s="93" t="n">
        <v>0</v>
      </c>
      <c r="J120" s="93" t="n">
        <v>0</v>
      </c>
      <c r="L120" s="9">
        <f>IF($A120="","",VALUE($A120&amp;"")*12+VALUE($B120&amp;""))</f>
        <v/>
      </c>
      <c r="M120" s="94">
        <f>IF($A120="",0,$H120*설정!$C$23)</f>
        <v/>
      </c>
      <c r="N120" s="94">
        <f>IF($A120="",0,$I120*설정!$C$23)</f>
        <v/>
      </c>
      <c r="O120" s="94">
        <f>IF($A120="",0,$J120*설정!$C$23)</f>
        <v/>
      </c>
      <c r="P120" s="64">
        <f>IF($A120="","",IFERROR(INDEX(입력옵션!$C$58:$C$68,MATCH($F120&amp;"",입력옵션!$E$58:$E$68,0)),IFERROR(INDEX(입력옵션!$C$58:$C$68,MATCH($G120&amp;"",입력옵션!$F$58:$F$68,0)),$F120&amp;"")))</f>
        <v/>
      </c>
    </row>
    <row r="121">
      <c r="A121" s="92" t="n">
        <v>2025</v>
      </c>
      <c r="B121" s="92" t="n">
        <v>3</v>
      </c>
      <c r="C121" s="92" t="inlineStr">
        <is>
          <t>PF03</t>
        </is>
      </c>
      <c r="D121" s="92" t="inlineStr">
        <is>
          <t>단체(단기)</t>
        </is>
      </c>
      <c r="E121" s="92" t="inlineStr">
        <is>
          <t>PAA</t>
        </is>
      </c>
      <c r="F121" s="92" t="inlineStr">
        <is>
          <t>F40</t>
        </is>
      </c>
      <c r="G121" s="92" t="inlineStr">
        <is>
          <t>보험금융비용(이자부리)</t>
        </is>
      </c>
      <c r="H121" s="93" t="n">
        <v>0</v>
      </c>
      <c r="I121" s="93" t="n">
        <v>0</v>
      </c>
      <c r="J121" s="93" t="n">
        <v>0</v>
      </c>
      <c r="L121" s="9">
        <f>IF($A121="","",VALUE($A121&amp;"")*12+VALUE($B121&amp;""))</f>
        <v/>
      </c>
      <c r="M121" s="94">
        <f>IF($A121="",0,$H121*설정!$C$23)</f>
        <v/>
      </c>
      <c r="N121" s="94">
        <f>IF($A121="",0,$I121*설정!$C$23)</f>
        <v/>
      </c>
      <c r="O121" s="94">
        <f>IF($A121="",0,$J121*설정!$C$23)</f>
        <v/>
      </c>
      <c r="P121" s="64">
        <f>IF($A121="","",IFERROR(INDEX(입력옵션!$C$58:$C$68,MATCH($F121&amp;"",입력옵션!$E$58:$E$68,0)),IFERROR(INDEX(입력옵션!$C$58:$C$68,MATCH($G121&amp;"",입력옵션!$F$58:$F$68,0)),$F121&amp;"")))</f>
        <v/>
      </c>
    </row>
    <row r="122">
      <c r="A122" s="92" t="n">
        <v>2025</v>
      </c>
      <c r="B122" s="92" t="n">
        <v>3</v>
      </c>
      <c r="C122" s="92" t="inlineStr">
        <is>
          <t>PF03</t>
        </is>
      </c>
      <c r="D122" s="92" t="inlineStr">
        <is>
          <t>단체(단기)</t>
        </is>
      </c>
      <c r="E122" s="92" t="inlineStr">
        <is>
          <t>PAA</t>
        </is>
      </c>
      <c r="F122" s="92" t="inlineStr">
        <is>
          <t>F51</t>
        </is>
      </c>
      <c r="G122" s="92" t="inlineStr">
        <is>
          <t>CSM 상각</t>
        </is>
      </c>
      <c r="H122" s="93" t="n">
        <v>0</v>
      </c>
      <c r="I122" s="93" t="n">
        <v>0</v>
      </c>
      <c r="J122" s="93" t="n">
        <v>0</v>
      </c>
      <c r="L122" s="9">
        <f>IF($A122="","",VALUE($A122&amp;"")*12+VALUE($B122&amp;""))</f>
        <v/>
      </c>
      <c r="M122" s="94">
        <f>IF($A122="",0,$H122*설정!$C$23)</f>
        <v/>
      </c>
      <c r="N122" s="94">
        <f>IF($A122="",0,$I122*설정!$C$23)</f>
        <v/>
      </c>
      <c r="O122" s="94">
        <f>IF($A122="",0,$J122*설정!$C$23)</f>
        <v/>
      </c>
      <c r="P122" s="64">
        <f>IF($A122="","",IFERROR(INDEX(입력옵션!$C$58:$C$68,MATCH($F122&amp;"",입력옵션!$E$58:$E$68,0)),IFERROR(INDEX(입력옵션!$C$58:$C$68,MATCH($G122&amp;"",입력옵션!$F$58:$F$68,0)),$F122&amp;"")))</f>
        <v/>
      </c>
    </row>
    <row r="123">
      <c r="A123" s="92" t="n">
        <v>2025</v>
      </c>
      <c r="B123" s="92" t="n">
        <v>3</v>
      </c>
      <c r="C123" s="92" t="inlineStr">
        <is>
          <t>PF03</t>
        </is>
      </c>
      <c r="D123" s="92" t="inlineStr">
        <is>
          <t>단체(단기)</t>
        </is>
      </c>
      <c r="E123" s="92" t="inlineStr">
        <is>
          <t>PAA</t>
        </is>
      </c>
      <c r="F123" s="92" t="inlineStr">
        <is>
          <t>F52</t>
        </is>
      </c>
      <c r="G123" s="92" t="inlineStr">
        <is>
          <t>RA 해제</t>
        </is>
      </c>
      <c r="H123" s="93" t="n">
        <v>0</v>
      </c>
      <c r="I123" s="93" t="n">
        <v>-14322000</v>
      </c>
      <c r="J123" s="93" t="n">
        <v>0</v>
      </c>
      <c r="L123" s="9">
        <f>IF($A123="","",VALUE($A123&amp;"")*12+VALUE($B123&amp;""))</f>
        <v/>
      </c>
      <c r="M123" s="94">
        <f>IF($A123="",0,$H123*설정!$C$23)</f>
        <v/>
      </c>
      <c r="N123" s="94">
        <f>IF($A123="",0,$I123*설정!$C$23)</f>
        <v/>
      </c>
      <c r="O123" s="94">
        <f>IF($A123="",0,$J123*설정!$C$23)</f>
        <v/>
      </c>
      <c r="P123" s="64">
        <f>IF($A123="","",IFERROR(INDEX(입력옵션!$C$58:$C$68,MATCH($F123&amp;"",입력옵션!$E$58:$E$68,0)),IFERROR(INDEX(입력옵션!$C$58:$C$68,MATCH($G123&amp;"",입력옵션!$F$58:$F$68,0)),$F123&amp;"")))</f>
        <v/>
      </c>
    </row>
    <row r="124">
      <c r="A124" s="92" t="n">
        <v>2025</v>
      </c>
      <c r="B124" s="92" t="n">
        <v>3</v>
      </c>
      <c r="C124" s="92" t="inlineStr">
        <is>
          <t>PF03</t>
        </is>
      </c>
      <c r="D124" s="92" t="inlineStr">
        <is>
          <t>단체(단기)</t>
        </is>
      </c>
      <c r="E124" s="92" t="inlineStr">
        <is>
          <t>PAA</t>
        </is>
      </c>
      <c r="F124" s="92" t="inlineStr">
        <is>
          <t>F60</t>
        </is>
      </c>
      <c r="G124" s="92" t="inlineStr">
        <is>
          <t>현금흐름 및 기타</t>
        </is>
      </c>
      <c r="H124" s="93" t="n">
        <v>208008000</v>
      </c>
      <c r="I124" s="93" t="n">
        <v>-17646000</v>
      </c>
      <c r="J124" s="93" t="n">
        <v>0</v>
      </c>
      <c r="L124" s="9">
        <f>IF($A124="","",VALUE($A124&amp;"")*12+VALUE($B124&amp;""))</f>
        <v/>
      </c>
      <c r="M124" s="94">
        <f>IF($A124="",0,$H124*설정!$C$23)</f>
        <v/>
      </c>
      <c r="N124" s="94">
        <f>IF($A124="",0,$I124*설정!$C$23)</f>
        <v/>
      </c>
      <c r="O124" s="94">
        <f>IF($A124="",0,$J124*설정!$C$23)</f>
        <v/>
      </c>
      <c r="P124" s="64">
        <f>IF($A124="","",IFERROR(INDEX(입력옵션!$C$58:$C$68,MATCH($F124&amp;"",입력옵션!$E$58:$E$68,0)),IFERROR(INDEX(입력옵션!$C$58:$C$68,MATCH($G124&amp;"",입력옵션!$F$58:$F$68,0)),$F124&amp;"")))</f>
        <v/>
      </c>
    </row>
    <row r="125">
      <c r="A125" s="92" t="n">
        <v>2025</v>
      </c>
      <c r="B125" s="92" t="n">
        <v>3</v>
      </c>
      <c r="C125" s="92" t="inlineStr">
        <is>
          <t>PF03</t>
        </is>
      </c>
      <c r="D125" s="92" t="inlineStr">
        <is>
          <t>단체(단기)</t>
        </is>
      </c>
      <c r="E125" s="92" t="inlineStr">
        <is>
          <t>PAA</t>
        </is>
      </c>
      <c r="F125" s="92" t="inlineStr">
        <is>
          <t>F99</t>
        </is>
      </c>
      <c r="G125" s="92" t="inlineStr">
        <is>
          <t>기말잔액</t>
        </is>
      </c>
      <c r="H125" s="93" t="n">
        <v>41391332000</v>
      </c>
      <c r="I125" s="93" t="n">
        <v>2355016000</v>
      </c>
      <c r="J125" s="93" t="n">
        <v>0</v>
      </c>
      <c r="L125" s="9">
        <f>IF($A125="","",VALUE($A125&amp;"")*12+VALUE($B125&amp;""))</f>
        <v/>
      </c>
      <c r="M125" s="94">
        <f>IF($A125="",0,$H125*설정!$C$23)</f>
        <v/>
      </c>
      <c r="N125" s="94">
        <f>IF($A125="",0,$I125*설정!$C$23)</f>
        <v/>
      </c>
      <c r="O125" s="94">
        <f>IF($A125="",0,$J125*설정!$C$23)</f>
        <v/>
      </c>
      <c r="P125" s="64">
        <f>IF($A125="","",IFERROR(INDEX(입력옵션!$C$58:$C$68,MATCH($F125&amp;"",입력옵션!$E$58:$E$68,0)),IFERROR(INDEX(입력옵션!$C$58:$C$68,MATCH($G125&amp;"",입력옵션!$F$58:$F$68,0)),$F125&amp;"")))</f>
        <v/>
      </c>
    </row>
    <row r="126">
      <c r="A126" s="92" t="n">
        <v>2025</v>
      </c>
      <c r="B126" s="92" t="n">
        <v>3</v>
      </c>
      <c r="C126" s="92" t="inlineStr">
        <is>
          <t>PF04</t>
        </is>
      </c>
      <c r="D126" s="92" t="inlineStr">
        <is>
          <t>변액</t>
        </is>
      </c>
      <c r="E126" s="92" t="inlineStr">
        <is>
          <t>VFA</t>
        </is>
      </c>
      <c r="F126" s="92" t="inlineStr">
        <is>
          <t>F00</t>
        </is>
      </c>
      <c r="G126" s="92" t="inlineStr">
        <is>
          <t>기초잔액</t>
        </is>
      </c>
      <c r="H126" s="93" t="n">
        <v>308874930000</v>
      </c>
      <c r="I126" s="93" t="n">
        <v>15515396000</v>
      </c>
      <c r="J126" s="93" t="n">
        <v>49068861000</v>
      </c>
      <c r="L126" s="9">
        <f>IF($A126="","",VALUE($A126&amp;"")*12+VALUE($B126&amp;""))</f>
        <v/>
      </c>
      <c r="M126" s="94">
        <f>IF($A126="",0,$H126*설정!$C$23)</f>
        <v/>
      </c>
      <c r="N126" s="94">
        <f>IF($A126="",0,$I126*설정!$C$23)</f>
        <v/>
      </c>
      <c r="O126" s="94">
        <f>IF($A126="",0,$J126*설정!$C$23)</f>
        <v/>
      </c>
      <c r="P126" s="64">
        <f>IF($A126="","",IFERROR(INDEX(입력옵션!$C$58:$C$68,MATCH($F126&amp;"",입력옵션!$E$58:$E$68,0)),IFERROR(INDEX(입력옵션!$C$58:$C$68,MATCH($G126&amp;"",입력옵션!$F$58:$F$68,0)),$F126&amp;"")))</f>
        <v/>
      </c>
    </row>
    <row r="127">
      <c r="A127" s="92" t="n">
        <v>2025</v>
      </c>
      <c r="B127" s="92" t="n">
        <v>3</v>
      </c>
      <c r="C127" s="92" t="inlineStr">
        <is>
          <t>PF04</t>
        </is>
      </c>
      <c r="D127" s="92" t="inlineStr">
        <is>
          <t>변액</t>
        </is>
      </c>
      <c r="E127" s="92" t="inlineStr">
        <is>
          <t>VFA</t>
        </is>
      </c>
      <c r="F127" s="92" t="inlineStr">
        <is>
          <t>F10</t>
        </is>
      </c>
      <c r="G127" s="92" t="inlineStr">
        <is>
          <t>신계약 효과</t>
        </is>
      </c>
      <c r="H127" s="93" t="n">
        <v>-809827000</v>
      </c>
      <c r="I127" s="93" t="n">
        <v>161965000</v>
      </c>
      <c r="J127" s="93" t="n">
        <v>647862000</v>
      </c>
      <c r="L127" s="9">
        <f>IF($A127="","",VALUE($A127&amp;"")*12+VALUE($B127&amp;""))</f>
        <v/>
      </c>
      <c r="M127" s="94">
        <f>IF($A127="",0,$H127*설정!$C$23)</f>
        <v/>
      </c>
      <c r="N127" s="94">
        <f>IF($A127="",0,$I127*설정!$C$23)</f>
        <v/>
      </c>
      <c r="O127" s="94">
        <f>IF($A127="",0,$J127*설정!$C$23)</f>
        <v/>
      </c>
      <c r="P127" s="64">
        <f>IF($A127="","",IFERROR(INDEX(입력옵션!$C$58:$C$68,MATCH($F127&amp;"",입력옵션!$E$58:$E$68,0)),IFERROR(INDEX(입력옵션!$C$58:$C$68,MATCH($G127&amp;"",입력옵션!$F$58:$F$68,0)),$F127&amp;"")))</f>
        <v/>
      </c>
    </row>
    <row r="128">
      <c r="A128" s="92" t="n">
        <v>2025</v>
      </c>
      <c r="B128" s="92" t="n">
        <v>3</v>
      </c>
      <c r="C128" s="92" t="inlineStr">
        <is>
          <t>PF04</t>
        </is>
      </c>
      <c r="D128" s="92" t="inlineStr">
        <is>
          <t>변액</t>
        </is>
      </c>
      <c r="E128" s="92" t="inlineStr">
        <is>
          <t>VFA</t>
        </is>
      </c>
      <c r="F128" s="92" t="inlineStr">
        <is>
          <t>F21</t>
        </is>
      </c>
      <c r="G128" s="92" t="inlineStr">
        <is>
          <t>가정변경-사업비</t>
        </is>
      </c>
      <c r="H128" s="93" t="n">
        <v>0</v>
      </c>
      <c r="I128" s="93" t="n">
        <v>0</v>
      </c>
      <c r="J128" s="93" t="n">
        <v>0</v>
      </c>
      <c r="L128" s="9">
        <f>IF($A128="","",VALUE($A128&amp;"")*12+VALUE($B128&amp;""))</f>
        <v/>
      </c>
      <c r="M128" s="94">
        <f>IF($A128="",0,$H128*설정!$C$23)</f>
        <v/>
      </c>
      <c r="N128" s="94">
        <f>IF($A128="",0,$I128*설정!$C$23)</f>
        <v/>
      </c>
      <c r="O128" s="94">
        <f>IF($A128="",0,$J128*설정!$C$23)</f>
        <v/>
      </c>
      <c r="P128" s="64">
        <f>IF($A128="","",IFERROR(INDEX(입력옵션!$C$58:$C$68,MATCH($F128&amp;"",입력옵션!$E$58:$E$68,0)),IFERROR(INDEX(입력옵션!$C$58:$C$68,MATCH($G128&amp;"",입력옵션!$F$58:$F$68,0)),$F128&amp;"")))</f>
        <v/>
      </c>
    </row>
    <row r="129">
      <c r="A129" s="92" t="n">
        <v>2025</v>
      </c>
      <c r="B129" s="92" t="n">
        <v>3</v>
      </c>
      <c r="C129" s="92" t="inlineStr">
        <is>
          <t>PF04</t>
        </is>
      </c>
      <c r="D129" s="92" t="inlineStr">
        <is>
          <t>변액</t>
        </is>
      </c>
      <c r="E129" s="92" t="inlineStr">
        <is>
          <t>VFA</t>
        </is>
      </c>
      <c r="F129" s="92" t="inlineStr">
        <is>
          <t>F22</t>
        </is>
      </c>
      <c r="G129" s="92" t="inlineStr">
        <is>
          <t>가정변경-기타</t>
        </is>
      </c>
      <c r="H129" s="93" t="n">
        <v>0</v>
      </c>
      <c r="I129" s="93" t="n">
        <v>0</v>
      </c>
      <c r="J129" s="93" t="n">
        <v>0</v>
      </c>
      <c r="L129" s="9">
        <f>IF($A129="","",VALUE($A129&amp;"")*12+VALUE($B129&amp;""))</f>
        <v/>
      </c>
      <c r="M129" s="94">
        <f>IF($A129="",0,$H129*설정!$C$23)</f>
        <v/>
      </c>
      <c r="N129" s="94">
        <f>IF($A129="",0,$I129*설정!$C$23)</f>
        <v/>
      </c>
      <c r="O129" s="94">
        <f>IF($A129="",0,$J129*설정!$C$23)</f>
        <v/>
      </c>
      <c r="P129" s="64">
        <f>IF($A129="","",IFERROR(INDEX(입력옵션!$C$58:$C$68,MATCH($F129&amp;"",입력옵션!$E$58:$E$68,0)),IFERROR(INDEX(입력옵션!$C$58:$C$68,MATCH($G129&amp;"",입력옵션!$F$58:$F$68,0)),$F129&amp;"")))</f>
        <v/>
      </c>
    </row>
    <row r="130">
      <c r="A130" s="92" t="n">
        <v>2025</v>
      </c>
      <c r="B130" s="92" t="n">
        <v>3</v>
      </c>
      <c r="C130" s="92" t="inlineStr">
        <is>
          <t>PF04</t>
        </is>
      </c>
      <c r="D130" s="92" t="inlineStr">
        <is>
          <t>변액</t>
        </is>
      </c>
      <c r="E130" s="92" t="inlineStr">
        <is>
          <t>VFA</t>
        </is>
      </c>
      <c r="F130" s="92" t="inlineStr">
        <is>
          <t>F31</t>
        </is>
      </c>
      <c r="G130" s="92" t="inlineStr">
        <is>
          <t>경험조정-취득현금흐름</t>
        </is>
      </c>
      <c r="H130" s="93" t="n">
        <v>0</v>
      </c>
      <c r="I130" s="93" t="n">
        <v>0</v>
      </c>
      <c r="J130" s="93" t="n">
        <v>3368000</v>
      </c>
      <c r="L130" s="9">
        <f>IF($A130="","",VALUE($A130&amp;"")*12+VALUE($B130&amp;""))</f>
        <v/>
      </c>
      <c r="M130" s="94">
        <f>IF($A130="",0,$H130*설정!$C$23)</f>
        <v/>
      </c>
      <c r="N130" s="94">
        <f>IF($A130="",0,$I130*설정!$C$23)</f>
        <v/>
      </c>
      <c r="O130" s="94">
        <f>IF($A130="",0,$J130*설정!$C$23)</f>
        <v/>
      </c>
      <c r="P130" s="64">
        <f>IF($A130="","",IFERROR(INDEX(입력옵션!$C$58:$C$68,MATCH($F130&amp;"",입력옵션!$E$58:$E$68,0)),IFERROR(INDEX(입력옵션!$C$58:$C$68,MATCH($G130&amp;"",입력옵션!$F$58:$F$68,0)),$F130&amp;"")))</f>
        <v/>
      </c>
    </row>
    <row r="131">
      <c r="A131" s="92" t="n">
        <v>2025</v>
      </c>
      <c r="B131" s="92" t="n">
        <v>3</v>
      </c>
      <c r="C131" s="92" t="inlineStr">
        <is>
          <t>PF04</t>
        </is>
      </c>
      <c r="D131" s="92" t="inlineStr">
        <is>
          <t>변액</t>
        </is>
      </c>
      <c r="E131" s="92" t="inlineStr">
        <is>
          <t>VFA</t>
        </is>
      </c>
      <c r="F131" s="92" t="inlineStr">
        <is>
          <t>F32</t>
        </is>
      </c>
      <c r="G131" s="92" t="inlineStr">
        <is>
          <t>경험조정-보험료 등</t>
        </is>
      </c>
      <c r="H131" s="93" t="n">
        <v>0</v>
      </c>
      <c r="I131" s="93" t="n">
        <v>0</v>
      </c>
      <c r="J131" s="93" t="n">
        <v>298186000</v>
      </c>
      <c r="L131" s="9">
        <f>IF($A131="","",VALUE($A131&amp;"")*12+VALUE($B131&amp;""))</f>
        <v/>
      </c>
      <c r="M131" s="94">
        <f>IF($A131="",0,$H131*설정!$C$23)</f>
        <v/>
      </c>
      <c r="N131" s="94">
        <f>IF($A131="",0,$I131*설정!$C$23)</f>
        <v/>
      </c>
      <c r="O131" s="94">
        <f>IF($A131="",0,$J131*설정!$C$23)</f>
        <v/>
      </c>
      <c r="P131" s="64">
        <f>IF($A131="","",IFERROR(INDEX(입력옵션!$C$58:$C$68,MATCH($F131&amp;"",입력옵션!$E$58:$E$68,0)),IFERROR(INDEX(입력옵션!$C$58:$C$68,MATCH($G131&amp;"",입력옵션!$F$58:$F$68,0)),$F131&amp;"")))</f>
        <v/>
      </c>
    </row>
    <row r="132">
      <c r="A132" s="92" t="n">
        <v>2025</v>
      </c>
      <c r="B132" s="92" t="n">
        <v>3</v>
      </c>
      <c r="C132" s="92" t="inlineStr">
        <is>
          <t>PF04</t>
        </is>
      </c>
      <c r="D132" s="92" t="inlineStr">
        <is>
          <t>변액</t>
        </is>
      </c>
      <c r="E132" s="92" t="inlineStr">
        <is>
          <t>VFA</t>
        </is>
      </c>
      <c r="F132" s="92" t="inlineStr">
        <is>
          <t>F40</t>
        </is>
      </c>
      <c r="G132" s="92" t="inlineStr">
        <is>
          <t>보험금융비용(이자부리)</t>
        </is>
      </c>
      <c r="H132" s="93" t="n">
        <v>772187000</v>
      </c>
      <c r="I132" s="93" t="n">
        <v>31031000</v>
      </c>
      <c r="J132" s="93" t="n">
        <v>122672000</v>
      </c>
      <c r="L132" s="9">
        <f>IF($A132="","",VALUE($A132&amp;"")*12+VALUE($B132&amp;""))</f>
        <v/>
      </c>
      <c r="M132" s="94">
        <f>IF($A132="",0,$H132*설정!$C$23)</f>
        <v/>
      </c>
      <c r="N132" s="94">
        <f>IF($A132="",0,$I132*설정!$C$23)</f>
        <v/>
      </c>
      <c r="O132" s="94">
        <f>IF($A132="",0,$J132*설정!$C$23)</f>
        <v/>
      </c>
      <c r="P132" s="64">
        <f>IF($A132="","",IFERROR(INDEX(입력옵션!$C$58:$C$68,MATCH($F132&amp;"",입력옵션!$E$58:$E$68,0)),IFERROR(INDEX(입력옵션!$C$58:$C$68,MATCH($G132&amp;"",입력옵션!$F$58:$F$68,0)),$F132&amp;"")))</f>
        <v/>
      </c>
    </row>
    <row r="133">
      <c r="A133" s="92" t="n">
        <v>2025</v>
      </c>
      <c r="B133" s="92" t="n">
        <v>3</v>
      </c>
      <c r="C133" s="92" t="inlineStr">
        <is>
          <t>PF04</t>
        </is>
      </c>
      <c r="D133" s="92" t="inlineStr">
        <is>
          <t>변액</t>
        </is>
      </c>
      <c r="E133" s="92" t="inlineStr">
        <is>
          <t>VFA</t>
        </is>
      </c>
      <c r="F133" s="92" t="inlineStr">
        <is>
          <t>F51</t>
        </is>
      </c>
      <c r="G133" s="92" t="inlineStr">
        <is>
          <t>CSM 상각</t>
        </is>
      </c>
      <c r="H133" s="93" t="n">
        <v>0</v>
      </c>
      <c r="I133" s="93" t="n">
        <v>0</v>
      </c>
      <c r="J133" s="93" t="n">
        <v>-441620000</v>
      </c>
      <c r="L133" s="9">
        <f>IF($A133="","",VALUE($A133&amp;"")*12+VALUE($B133&amp;""))</f>
        <v/>
      </c>
      <c r="M133" s="94">
        <f>IF($A133="",0,$H133*설정!$C$23)</f>
        <v/>
      </c>
      <c r="N133" s="94">
        <f>IF($A133="",0,$I133*설정!$C$23)</f>
        <v/>
      </c>
      <c r="O133" s="94">
        <f>IF($A133="",0,$J133*설정!$C$23)</f>
        <v/>
      </c>
      <c r="P133" s="64">
        <f>IF($A133="","",IFERROR(INDEX(입력옵션!$C$58:$C$68,MATCH($F133&amp;"",입력옵션!$E$58:$E$68,0)),IFERROR(INDEX(입력옵션!$C$58:$C$68,MATCH($G133&amp;"",입력옵션!$F$58:$F$68,0)),$F133&amp;"")))</f>
        <v/>
      </c>
    </row>
    <row r="134">
      <c r="A134" s="92" t="n">
        <v>2025</v>
      </c>
      <c r="B134" s="92" t="n">
        <v>3</v>
      </c>
      <c r="C134" s="92" t="inlineStr">
        <is>
          <t>PF04</t>
        </is>
      </c>
      <c r="D134" s="92" t="inlineStr">
        <is>
          <t>변액</t>
        </is>
      </c>
      <c r="E134" s="92" t="inlineStr">
        <is>
          <t>VFA</t>
        </is>
      </c>
      <c r="F134" s="92" t="inlineStr">
        <is>
          <t>F52</t>
        </is>
      </c>
      <c r="G134" s="92" t="inlineStr">
        <is>
          <t>RA 해제</t>
        </is>
      </c>
      <c r="H134" s="93" t="n">
        <v>0</v>
      </c>
      <c r="I134" s="93" t="n">
        <v>-93092000</v>
      </c>
      <c r="J134" s="93" t="n">
        <v>0</v>
      </c>
      <c r="L134" s="9">
        <f>IF($A134="","",VALUE($A134&amp;"")*12+VALUE($B134&amp;""))</f>
        <v/>
      </c>
      <c r="M134" s="94">
        <f>IF($A134="",0,$H134*설정!$C$23)</f>
        <v/>
      </c>
      <c r="N134" s="94">
        <f>IF($A134="",0,$I134*설정!$C$23)</f>
        <v/>
      </c>
      <c r="O134" s="94">
        <f>IF($A134="",0,$J134*설정!$C$23)</f>
        <v/>
      </c>
      <c r="P134" s="64">
        <f>IF($A134="","",IFERROR(INDEX(입력옵션!$C$58:$C$68,MATCH($F134&amp;"",입력옵션!$E$58:$E$68,0)),IFERROR(INDEX(입력옵션!$C$58:$C$68,MATCH($G134&amp;"",입력옵션!$F$58:$F$68,0)),$F134&amp;"")))</f>
        <v/>
      </c>
    </row>
    <row r="135">
      <c r="A135" s="92" t="n">
        <v>2025</v>
      </c>
      <c r="B135" s="92" t="n">
        <v>3</v>
      </c>
      <c r="C135" s="92" t="inlineStr">
        <is>
          <t>PF04</t>
        </is>
      </c>
      <c r="D135" s="92" t="inlineStr">
        <is>
          <t>변액</t>
        </is>
      </c>
      <c r="E135" s="92" t="inlineStr">
        <is>
          <t>VFA</t>
        </is>
      </c>
      <c r="F135" s="92" t="inlineStr">
        <is>
          <t>F60</t>
        </is>
      </c>
      <c r="G135" s="92" t="inlineStr">
        <is>
          <t>현금흐름 및 기타</t>
        </is>
      </c>
      <c r="H135" s="93" t="n">
        <v>1597700000</v>
      </c>
      <c r="I135" s="93" t="n">
        <v>-307696000</v>
      </c>
      <c r="J135" s="93" t="n">
        <v>0</v>
      </c>
      <c r="L135" s="9">
        <f>IF($A135="","",VALUE($A135&amp;"")*12+VALUE($B135&amp;""))</f>
        <v/>
      </c>
      <c r="M135" s="94">
        <f>IF($A135="",0,$H135*설정!$C$23)</f>
        <v/>
      </c>
      <c r="N135" s="94">
        <f>IF($A135="",0,$I135*설정!$C$23)</f>
        <v/>
      </c>
      <c r="O135" s="94">
        <f>IF($A135="",0,$J135*설정!$C$23)</f>
        <v/>
      </c>
      <c r="P135" s="64">
        <f>IF($A135="","",IFERROR(INDEX(입력옵션!$C$58:$C$68,MATCH($F135&amp;"",입력옵션!$E$58:$E$68,0)),IFERROR(INDEX(입력옵션!$C$58:$C$68,MATCH($G135&amp;"",입력옵션!$F$58:$F$68,0)),$F135&amp;"")))</f>
        <v/>
      </c>
    </row>
    <row r="136">
      <c r="A136" s="92" t="n">
        <v>2025</v>
      </c>
      <c r="B136" s="92" t="n">
        <v>3</v>
      </c>
      <c r="C136" s="92" t="inlineStr">
        <is>
          <t>PF04</t>
        </is>
      </c>
      <c r="D136" s="92" t="inlineStr">
        <is>
          <t>변액</t>
        </is>
      </c>
      <c r="E136" s="92" t="inlineStr">
        <is>
          <t>VFA</t>
        </is>
      </c>
      <c r="F136" s="92" t="inlineStr">
        <is>
          <t>F99</t>
        </is>
      </c>
      <c r="G136" s="92" t="inlineStr">
        <is>
          <t>기말잔액</t>
        </is>
      </c>
      <c r="H136" s="93" t="n">
        <v>310434990000</v>
      </c>
      <c r="I136" s="93" t="n">
        <v>15307604000</v>
      </c>
      <c r="J136" s="93" t="n">
        <v>49699329000</v>
      </c>
      <c r="L136" s="9">
        <f>IF($A136="","",VALUE($A136&amp;"")*12+VALUE($B136&amp;""))</f>
        <v/>
      </c>
      <c r="M136" s="94">
        <f>IF($A136="",0,$H136*설정!$C$23)</f>
        <v/>
      </c>
      <c r="N136" s="94">
        <f>IF($A136="",0,$I136*설정!$C$23)</f>
        <v/>
      </c>
      <c r="O136" s="94">
        <f>IF($A136="",0,$J136*설정!$C$23)</f>
        <v/>
      </c>
      <c r="P136" s="64">
        <f>IF($A136="","",IFERROR(INDEX(입력옵션!$C$58:$C$68,MATCH($F136&amp;"",입력옵션!$E$58:$E$68,0)),IFERROR(INDEX(입력옵션!$C$58:$C$68,MATCH($G136&amp;"",입력옵션!$F$58:$F$68,0)),$F136&amp;"")))</f>
        <v/>
      </c>
    </row>
    <row r="137">
      <c r="A137" s="92" t="n">
        <v>2025</v>
      </c>
      <c r="B137" s="92" t="n">
        <v>4</v>
      </c>
      <c r="C137" s="92" t="inlineStr">
        <is>
          <t>PF01</t>
        </is>
      </c>
      <c r="D137" s="92" t="inlineStr">
        <is>
          <t>보장성</t>
        </is>
      </c>
      <c r="E137" s="92" t="inlineStr">
        <is>
          <t>GMM</t>
        </is>
      </c>
      <c r="F137" s="92" t="inlineStr">
        <is>
          <t>F00</t>
        </is>
      </c>
      <c r="G137" s="92" t="inlineStr">
        <is>
          <t>기초잔액</t>
        </is>
      </c>
      <c r="H137" s="93" t="n">
        <v>1034783300000</v>
      </c>
      <c r="I137" s="93" t="n">
        <v>70650480000</v>
      </c>
      <c r="J137" s="93" t="n">
        <v>234313220000</v>
      </c>
      <c r="L137" s="9">
        <f>IF($A137="","",VALUE($A137&amp;"")*12+VALUE($B137&amp;""))</f>
        <v/>
      </c>
      <c r="M137" s="94">
        <f>IF($A137="",0,$H137*설정!$C$23)</f>
        <v/>
      </c>
      <c r="N137" s="94">
        <f>IF($A137="",0,$I137*설정!$C$23)</f>
        <v/>
      </c>
      <c r="O137" s="94">
        <f>IF($A137="",0,$J137*설정!$C$23)</f>
        <v/>
      </c>
      <c r="P137" s="64">
        <f>IF($A137="","",IFERROR(INDEX(입력옵션!$C$58:$C$68,MATCH($F137&amp;"",입력옵션!$E$58:$E$68,0)),IFERROR(INDEX(입력옵션!$C$58:$C$68,MATCH($G137&amp;"",입력옵션!$F$58:$F$68,0)),$F137&amp;"")))</f>
        <v/>
      </c>
    </row>
    <row r="138">
      <c r="A138" s="92" t="n">
        <v>2025</v>
      </c>
      <c r="B138" s="92" t="n">
        <v>4</v>
      </c>
      <c r="C138" s="92" t="inlineStr">
        <is>
          <t>PF01</t>
        </is>
      </c>
      <c r="D138" s="92" t="inlineStr">
        <is>
          <t>보장성</t>
        </is>
      </c>
      <c r="E138" s="92" t="inlineStr">
        <is>
          <t>GMM</t>
        </is>
      </c>
      <c r="F138" s="92" t="inlineStr">
        <is>
          <t>F10</t>
        </is>
      </c>
      <c r="G138" s="92" t="inlineStr">
        <is>
          <t>신계약 효과</t>
        </is>
      </c>
      <c r="H138" s="93" t="n">
        <v>-3745717000</v>
      </c>
      <c r="I138" s="93" t="n">
        <v>749143000</v>
      </c>
      <c r="J138" s="93" t="n">
        <v>2996573000</v>
      </c>
      <c r="L138" s="9">
        <f>IF($A138="","",VALUE($A138&amp;"")*12+VALUE($B138&amp;""))</f>
        <v/>
      </c>
      <c r="M138" s="94">
        <f>IF($A138="",0,$H138*설정!$C$23)</f>
        <v/>
      </c>
      <c r="N138" s="94">
        <f>IF($A138="",0,$I138*설정!$C$23)</f>
        <v/>
      </c>
      <c r="O138" s="94">
        <f>IF($A138="",0,$J138*설정!$C$23)</f>
        <v/>
      </c>
      <c r="P138" s="64">
        <f>IF($A138="","",IFERROR(INDEX(입력옵션!$C$58:$C$68,MATCH($F138&amp;"",입력옵션!$E$58:$E$68,0)),IFERROR(INDEX(입력옵션!$C$58:$C$68,MATCH($G138&amp;"",입력옵션!$F$58:$F$68,0)),$F138&amp;"")))</f>
        <v/>
      </c>
    </row>
    <row r="139">
      <c r="A139" s="92" t="n">
        <v>2025</v>
      </c>
      <c r="B139" s="92" t="n">
        <v>4</v>
      </c>
      <c r="C139" s="92" t="inlineStr">
        <is>
          <t>PF01</t>
        </is>
      </c>
      <c r="D139" s="92" t="inlineStr">
        <is>
          <t>보장성</t>
        </is>
      </c>
      <c r="E139" s="92" t="inlineStr">
        <is>
          <t>GMM</t>
        </is>
      </c>
      <c r="F139" s="92" t="inlineStr">
        <is>
          <t>F21</t>
        </is>
      </c>
      <c r="G139" s="92" t="inlineStr">
        <is>
          <t>가정변경-사업비</t>
        </is>
      </c>
      <c r="H139" s="93" t="n">
        <v>0</v>
      </c>
      <c r="I139" s="93" t="n">
        <v>0</v>
      </c>
      <c r="J139" s="93" t="n">
        <v>0</v>
      </c>
      <c r="L139" s="9">
        <f>IF($A139="","",VALUE($A139&amp;"")*12+VALUE($B139&amp;""))</f>
        <v/>
      </c>
      <c r="M139" s="94">
        <f>IF($A139="",0,$H139*설정!$C$23)</f>
        <v/>
      </c>
      <c r="N139" s="94">
        <f>IF($A139="",0,$I139*설정!$C$23)</f>
        <v/>
      </c>
      <c r="O139" s="94">
        <f>IF($A139="",0,$J139*설정!$C$23)</f>
        <v/>
      </c>
      <c r="P139" s="64">
        <f>IF($A139="","",IFERROR(INDEX(입력옵션!$C$58:$C$68,MATCH($F139&amp;"",입력옵션!$E$58:$E$68,0)),IFERROR(INDEX(입력옵션!$C$58:$C$68,MATCH($G139&amp;"",입력옵션!$F$58:$F$68,0)),$F139&amp;"")))</f>
        <v/>
      </c>
    </row>
    <row r="140">
      <c r="A140" s="92" t="n">
        <v>2025</v>
      </c>
      <c r="B140" s="92" t="n">
        <v>4</v>
      </c>
      <c r="C140" s="92" t="inlineStr">
        <is>
          <t>PF01</t>
        </is>
      </c>
      <c r="D140" s="92" t="inlineStr">
        <is>
          <t>보장성</t>
        </is>
      </c>
      <c r="E140" s="92" t="inlineStr">
        <is>
          <t>GMM</t>
        </is>
      </c>
      <c r="F140" s="92" t="inlineStr">
        <is>
          <t>F22</t>
        </is>
      </c>
      <c r="G140" s="92" t="inlineStr">
        <is>
          <t>가정변경-기타</t>
        </is>
      </c>
      <c r="H140" s="93" t="n">
        <v>0</v>
      </c>
      <c r="I140" s="93" t="n">
        <v>0</v>
      </c>
      <c r="J140" s="93" t="n">
        <v>0</v>
      </c>
      <c r="L140" s="9">
        <f>IF($A140="","",VALUE($A140&amp;"")*12+VALUE($B140&amp;""))</f>
        <v/>
      </c>
      <c r="M140" s="94">
        <f>IF($A140="",0,$H140*설정!$C$23)</f>
        <v/>
      </c>
      <c r="N140" s="94">
        <f>IF($A140="",0,$I140*설정!$C$23)</f>
        <v/>
      </c>
      <c r="O140" s="94">
        <f>IF($A140="",0,$J140*설정!$C$23)</f>
        <v/>
      </c>
      <c r="P140" s="64">
        <f>IF($A140="","",IFERROR(INDEX(입력옵션!$C$58:$C$68,MATCH($F140&amp;"",입력옵션!$E$58:$E$68,0)),IFERROR(INDEX(입력옵션!$C$58:$C$68,MATCH($G140&amp;"",입력옵션!$F$58:$F$68,0)),$F140&amp;"")))</f>
        <v/>
      </c>
    </row>
    <row r="141">
      <c r="A141" s="92" t="n">
        <v>2025</v>
      </c>
      <c r="B141" s="92" t="n">
        <v>4</v>
      </c>
      <c r="C141" s="92" t="inlineStr">
        <is>
          <t>PF01</t>
        </is>
      </c>
      <c r="D141" s="92" t="inlineStr">
        <is>
          <t>보장성</t>
        </is>
      </c>
      <c r="E141" s="92" t="inlineStr">
        <is>
          <t>GMM</t>
        </is>
      </c>
      <c r="F141" s="92" t="inlineStr">
        <is>
          <t>F31</t>
        </is>
      </c>
      <c r="G141" s="92" t="inlineStr">
        <is>
          <t>경험조정-취득현금흐름</t>
        </is>
      </c>
      <c r="H141" s="93" t="n">
        <v>0</v>
      </c>
      <c r="I141" s="93" t="n">
        <v>0</v>
      </c>
      <c r="J141" s="93" t="n">
        <v>2956000</v>
      </c>
      <c r="L141" s="9">
        <f>IF($A141="","",VALUE($A141&amp;"")*12+VALUE($B141&amp;""))</f>
        <v/>
      </c>
      <c r="M141" s="94">
        <f>IF($A141="",0,$H141*설정!$C$23)</f>
        <v/>
      </c>
      <c r="N141" s="94">
        <f>IF($A141="",0,$I141*설정!$C$23)</f>
        <v/>
      </c>
      <c r="O141" s="94">
        <f>IF($A141="",0,$J141*설정!$C$23)</f>
        <v/>
      </c>
      <c r="P141" s="64">
        <f>IF($A141="","",IFERROR(INDEX(입력옵션!$C$58:$C$68,MATCH($F141&amp;"",입력옵션!$E$58:$E$68,0)),IFERROR(INDEX(입력옵션!$C$58:$C$68,MATCH($G141&amp;"",입력옵션!$F$58:$F$68,0)),$F141&amp;"")))</f>
        <v/>
      </c>
    </row>
    <row r="142">
      <c r="A142" s="92" t="n">
        <v>2025</v>
      </c>
      <c r="B142" s="92" t="n">
        <v>4</v>
      </c>
      <c r="C142" s="92" t="inlineStr">
        <is>
          <t>PF01</t>
        </is>
      </c>
      <c r="D142" s="92" t="inlineStr">
        <is>
          <t>보장성</t>
        </is>
      </c>
      <c r="E142" s="92" t="inlineStr">
        <is>
          <t>GMM</t>
        </is>
      </c>
      <c r="F142" s="92" t="inlineStr">
        <is>
          <t>F32</t>
        </is>
      </c>
      <c r="G142" s="92" t="inlineStr">
        <is>
          <t>경험조정-보험료 등</t>
        </is>
      </c>
      <c r="H142" s="93" t="n">
        <v>0</v>
      </c>
      <c r="I142" s="93" t="n">
        <v>0</v>
      </c>
      <c r="J142" s="93" t="n">
        <v>-143401000</v>
      </c>
      <c r="L142" s="9">
        <f>IF($A142="","",VALUE($A142&amp;"")*12+VALUE($B142&amp;""))</f>
        <v/>
      </c>
      <c r="M142" s="94">
        <f>IF($A142="",0,$H142*설정!$C$23)</f>
        <v/>
      </c>
      <c r="N142" s="94">
        <f>IF($A142="",0,$I142*설정!$C$23)</f>
        <v/>
      </c>
      <c r="O142" s="94">
        <f>IF($A142="",0,$J142*설정!$C$23)</f>
        <v/>
      </c>
      <c r="P142" s="64">
        <f>IF($A142="","",IFERROR(INDEX(입력옵션!$C$58:$C$68,MATCH($F142&amp;"",입력옵션!$E$58:$E$68,0)),IFERROR(INDEX(입력옵션!$C$58:$C$68,MATCH($G142&amp;"",입력옵션!$F$58:$F$68,0)),$F142&amp;"")))</f>
        <v/>
      </c>
    </row>
    <row r="143">
      <c r="A143" s="92" t="n">
        <v>2025</v>
      </c>
      <c r="B143" s="92" t="n">
        <v>4</v>
      </c>
      <c r="C143" s="92" t="inlineStr">
        <is>
          <t>PF01</t>
        </is>
      </c>
      <c r="D143" s="92" t="inlineStr">
        <is>
          <t>보장성</t>
        </is>
      </c>
      <c r="E143" s="92" t="inlineStr">
        <is>
          <t>GMM</t>
        </is>
      </c>
      <c r="F143" s="92" t="inlineStr">
        <is>
          <t>F40</t>
        </is>
      </c>
      <c r="G143" s="92" t="inlineStr">
        <is>
          <t>보험금융비용(이자부리)</t>
        </is>
      </c>
      <c r="H143" s="93" t="n">
        <v>2586958000</v>
      </c>
      <c r="I143" s="93" t="n">
        <v>141301000</v>
      </c>
      <c r="J143" s="93" t="n">
        <v>585783000</v>
      </c>
      <c r="L143" s="9">
        <f>IF($A143="","",VALUE($A143&amp;"")*12+VALUE($B143&amp;""))</f>
        <v/>
      </c>
      <c r="M143" s="94">
        <f>IF($A143="",0,$H143*설정!$C$23)</f>
        <v/>
      </c>
      <c r="N143" s="94">
        <f>IF($A143="",0,$I143*설정!$C$23)</f>
        <v/>
      </c>
      <c r="O143" s="94">
        <f>IF($A143="",0,$J143*설정!$C$23)</f>
        <v/>
      </c>
      <c r="P143" s="64">
        <f>IF($A143="","",IFERROR(INDEX(입력옵션!$C$58:$C$68,MATCH($F143&amp;"",입력옵션!$E$58:$E$68,0)),IFERROR(INDEX(입력옵션!$C$58:$C$68,MATCH($G143&amp;"",입력옵션!$F$58:$F$68,0)),$F143&amp;"")))</f>
        <v/>
      </c>
    </row>
    <row r="144">
      <c r="A144" s="92" t="n">
        <v>2025</v>
      </c>
      <c r="B144" s="92" t="n">
        <v>4</v>
      </c>
      <c r="C144" s="92" t="inlineStr">
        <is>
          <t>PF01</t>
        </is>
      </c>
      <c r="D144" s="92" t="inlineStr">
        <is>
          <t>보장성</t>
        </is>
      </c>
      <c r="E144" s="92" t="inlineStr">
        <is>
          <t>GMM</t>
        </is>
      </c>
      <c r="F144" s="92" t="inlineStr">
        <is>
          <t>F51</t>
        </is>
      </c>
      <c r="G144" s="92" t="inlineStr">
        <is>
          <t>CSM 상각</t>
        </is>
      </c>
      <c r="H144" s="93" t="n">
        <v>0</v>
      </c>
      <c r="I144" s="93" t="n">
        <v>0</v>
      </c>
      <c r="J144" s="93" t="n">
        <v>-2108819000</v>
      </c>
      <c r="L144" s="9">
        <f>IF($A144="","",VALUE($A144&amp;"")*12+VALUE($B144&amp;""))</f>
        <v/>
      </c>
      <c r="M144" s="94">
        <f>IF($A144="",0,$H144*설정!$C$23)</f>
        <v/>
      </c>
      <c r="N144" s="94">
        <f>IF($A144="",0,$I144*설정!$C$23)</f>
        <v/>
      </c>
      <c r="O144" s="94">
        <f>IF($A144="",0,$J144*설정!$C$23)</f>
        <v/>
      </c>
      <c r="P144" s="64">
        <f>IF($A144="","",IFERROR(INDEX(입력옵션!$C$58:$C$68,MATCH($F144&amp;"",입력옵션!$E$58:$E$68,0)),IFERROR(INDEX(입력옵션!$C$58:$C$68,MATCH($G144&amp;"",입력옵션!$F$58:$F$68,0)),$F144&amp;"")))</f>
        <v/>
      </c>
    </row>
    <row r="145">
      <c r="A145" s="92" t="n">
        <v>2025</v>
      </c>
      <c r="B145" s="92" t="n">
        <v>4</v>
      </c>
      <c r="C145" s="92" t="inlineStr">
        <is>
          <t>PF01</t>
        </is>
      </c>
      <c r="D145" s="92" t="inlineStr">
        <is>
          <t>보장성</t>
        </is>
      </c>
      <c r="E145" s="92" t="inlineStr">
        <is>
          <t>GMM</t>
        </is>
      </c>
      <c r="F145" s="92" t="inlineStr">
        <is>
          <t>F52</t>
        </is>
      </c>
      <c r="G145" s="92" t="inlineStr">
        <is>
          <t>RA 해제</t>
        </is>
      </c>
      <c r="H145" s="93" t="n">
        <v>0</v>
      </c>
      <c r="I145" s="93" t="n">
        <v>-423903000</v>
      </c>
      <c r="J145" s="93" t="n">
        <v>0</v>
      </c>
      <c r="L145" s="9">
        <f>IF($A145="","",VALUE($A145&amp;"")*12+VALUE($B145&amp;""))</f>
        <v/>
      </c>
      <c r="M145" s="94">
        <f>IF($A145="",0,$H145*설정!$C$23)</f>
        <v/>
      </c>
      <c r="N145" s="94">
        <f>IF($A145="",0,$I145*설정!$C$23)</f>
        <v/>
      </c>
      <c r="O145" s="94">
        <f>IF($A145="",0,$J145*설정!$C$23)</f>
        <v/>
      </c>
      <c r="P145" s="64">
        <f>IF($A145="","",IFERROR(INDEX(입력옵션!$C$58:$C$68,MATCH($F145&amp;"",입력옵션!$E$58:$E$68,0)),IFERROR(INDEX(입력옵션!$C$58:$C$68,MATCH($G145&amp;"",입력옵션!$F$58:$F$68,0)),$F145&amp;"")))</f>
        <v/>
      </c>
    </row>
    <row r="146">
      <c r="A146" s="92" t="n">
        <v>2025</v>
      </c>
      <c r="B146" s="92" t="n">
        <v>4</v>
      </c>
      <c r="C146" s="92" t="inlineStr">
        <is>
          <t>PF01</t>
        </is>
      </c>
      <c r="D146" s="92" t="inlineStr">
        <is>
          <t>보장성</t>
        </is>
      </c>
      <c r="E146" s="92" t="inlineStr">
        <is>
          <t>GMM</t>
        </is>
      </c>
      <c r="F146" s="92" t="inlineStr">
        <is>
          <t>F60</t>
        </is>
      </c>
      <c r="G146" s="92" t="inlineStr">
        <is>
          <t>현금흐름 및 기타</t>
        </is>
      </c>
      <c r="H146" s="93" t="n">
        <v>3854358000</v>
      </c>
      <c r="I146" s="93" t="n">
        <v>575839000</v>
      </c>
      <c r="J146" s="93" t="n">
        <v>0</v>
      </c>
      <c r="L146" s="9">
        <f>IF($A146="","",VALUE($A146&amp;"")*12+VALUE($B146&amp;""))</f>
        <v/>
      </c>
      <c r="M146" s="94">
        <f>IF($A146="",0,$H146*설정!$C$23)</f>
        <v/>
      </c>
      <c r="N146" s="94">
        <f>IF($A146="",0,$I146*설정!$C$23)</f>
        <v/>
      </c>
      <c r="O146" s="94">
        <f>IF($A146="",0,$J146*설정!$C$23)</f>
        <v/>
      </c>
      <c r="P146" s="64">
        <f>IF($A146="","",IFERROR(INDEX(입력옵션!$C$58:$C$68,MATCH($F146&amp;"",입력옵션!$E$58:$E$68,0)),IFERROR(INDEX(입력옵션!$C$58:$C$68,MATCH($G146&amp;"",입력옵션!$F$58:$F$68,0)),$F146&amp;"")))</f>
        <v/>
      </c>
    </row>
    <row r="147">
      <c r="A147" s="92" t="n">
        <v>2025</v>
      </c>
      <c r="B147" s="92" t="n">
        <v>4</v>
      </c>
      <c r="C147" s="92" t="inlineStr">
        <is>
          <t>PF01</t>
        </is>
      </c>
      <c r="D147" s="92" t="inlineStr">
        <is>
          <t>보장성</t>
        </is>
      </c>
      <c r="E147" s="92" t="inlineStr">
        <is>
          <t>GMM</t>
        </is>
      </c>
      <c r="F147" s="92" t="inlineStr">
        <is>
          <t>F99</t>
        </is>
      </c>
      <c r="G147" s="92" t="inlineStr">
        <is>
          <t>기말잔액</t>
        </is>
      </c>
      <c r="H147" s="93" t="n">
        <v>1037478900000</v>
      </c>
      <c r="I147" s="93" t="n">
        <v>71692860000</v>
      </c>
      <c r="J147" s="93" t="n">
        <v>235646312000</v>
      </c>
      <c r="L147" s="9">
        <f>IF($A147="","",VALUE($A147&amp;"")*12+VALUE($B147&amp;""))</f>
        <v/>
      </c>
      <c r="M147" s="94">
        <f>IF($A147="",0,$H147*설정!$C$23)</f>
        <v/>
      </c>
      <c r="N147" s="94">
        <f>IF($A147="",0,$I147*설정!$C$23)</f>
        <v/>
      </c>
      <c r="O147" s="94">
        <f>IF($A147="",0,$J147*설정!$C$23)</f>
        <v/>
      </c>
      <c r="P147" s="64">
        <f>IF($A147="","",IFERROR(INDEX(입력옵션!$C$58:$C$68,MATCH($F147&amp;"",입력옵션!$E$58:$E$68,0)),IFERROR(INDEX(입력옵션!$C$58:$C$68,MATCH($G147&amp;"",입력옵션!$F$58:$F$68,0)),$F147&amp;"")))</f>
        <v/>
      </c>
    </row>
    <row r="148">
      <c r="A148" s="92" t="n">
        <v>2025</v>
      </c>
      <c r="B148" s="92" t="n">
        <v>4</v>
      </c>
      <c r="C148" s="92" t="inlineStr">
        <is>
          <t>PF02</t>
        </is>
      </c>
      <c r="D148" s="92" t="inlineStr">
        <is>
          <t>저축성</t>
        </is>
      </c>
      <c r="E148" s="92" t="inlineStr">
        <is>
          <t>GMM</t>
        </is>
      </c>
      <c r="F148" s="92" t="inlineStr">
        <is>
          <t>F00</t>
        </is>
      </c>
      <c r="G148" s="92" t="inlineStr">
        <is>
          <t>기초잔액</t>
        </is>
      </c>
      <c r="H148" s="93" t="n">
        <v>682956978000</v>
      </c>
      <c r="I148" s="93" t="n">
        <v>29437700000</v>
      </c>
      <c r="J148" s="93" t="n">
        <v>94407598000</v>
      </c>
      <c r="L148" s="9">
        <f>IF($A148="","",VALUE($A148&amp;"")*12+VALUE($B148&amp;""))</f>
        <v/>
      </c>
      <c r="M148" s="94">
        <f>IF($A148="",0,$H148*설정!$C$23)</f>
        <v/>
      </c>
      <c r="N148" s="94">
        <f>IF($A148="",0,$I148*설정!$C$23)</f>
        <v/>
      </c>
      <c r="O148" s="94">
        <f>IF($A148="",0,$J148*설정!$C$23)</f>
        <v/>
      </c>
      <c r="P148" s="64">
        <f>IF($A148="","",IFERROR(INDEX(입력옵션!$C$58:$C$68,MATCH($F148&amp;"",입력옵션!$E$58:$E$68,0)),IFERROR(INDEX(입력옵션!$C$58:$C$68,MATCH($G148&amp;"",입력옵션!$F$58:$F$68,0)),$F148&amp;"")))</f>
        <v/>
      </c>
    </row>
    <row r="149">
      <c r="A149" s="92" t="n">
        <v>2025</v>
      </c>
      <c r="B149" s="92" t="n">
        <v>4</v>
      </c>
      <c r="C149" s="92" t="inlineStr">
        <is>
          <t>PF02</t>
        </is>
      </c>
      <c r="D149" s="92" t="inlineStr">
        <is>
          <t>저축성</t>
        </is>
      </c>
      <c r="E149" s="92" t="inlineStr">
        <is>
          <t>GMM</t>
        </is>
      </c>
      <c r="F149" s="92" t="inlineStr">
        <is>
          <t>F10</t>
        </is>
      </c>
      <c r="G149" s="92" t="inlineStr">
        <is>
          <t>신계약 효과</t>
        </is>
      </c>
      <c r="H149" s="93" t="n">
        <v>-1510370000</v>
      </c>
      <c r="I149" s="93" t="n">
        <v>302074000</v>
      </c>
      <c r="J149" s="93" t="n">
        <v>1208296000</v>
      </c>
      <c r="L149" s="9">
        <f>IF($A149="","",VALUE($A149&amp;"")*12+VALUE($B149&amp;""))</f>
        <v/>
      </c>
      <c r="M149" s="94">
        <f>IF($A149="",0,$H149*설정!$C$23)</f>
        <v/>
      </c>
      <c r="N149" s="94">
        <f>IF($A149="",0,$I149*설정!$C$23)</f>
        <v/>
      </c>
      <c r="O149" s="94">
        <f>IF($A149="",0,$J149*설정!$C$23)</f>
        <v/>
      </c>
      <c r="P149" s="64">
        <f>IF($A149="","",IFERROR(INDEX(입력옵션!$C$58:$C$68,MATCH($F149&amp;"",입력옵션!$E$58:$E$68,0)),IFERROR(INDEX(입력옵션!$C$58:$C$68,MATCH($G149&amp;"",입력옵션!$F$58:$F$68,0)),$F149&amp;"")))</f>
        <v/>
      </c>
    </row>
    <row r="150">
      <c r="A150" s="92" t="n">
        <v>2025</v>
      </c>
      <c r="B150" s="92" t="n">
        <v>4</v>
      </c>
      <c r="C150" s="92" t="inlineStr">
        <is>
          <t>PF02</t>
        </is>
      </c>
      <c r="D150" s="92" t="inlineStr">
        <is>
          <t>저축성</t>
        </is>
      </c>
      <c r="E150" s="92" t="inlineStr">
        <is>
          <t>GMM</t>
        </is>
      </c>
      <c r="F150" s="92" t="inlineStr">
        <is>
          <t>F21</t>
        </is>
      </c>
      <c r="G150" s="92" t="inlineStr">
        <is>
          <t>가정변경-사업비</t>
        </is>
      </c>
      <c r="H150" s="93" t="n">
        <v>0</v>
      </c>
      <c r="I150" s="93" t="n">
        <v>0</v>
      </c>
      <c r="J150" s="93" t="n">
        <v>0</v>
      </c>
      <c r="L150" s="9">
        <f>IF($A150="","",VALUE($A150&amp;"")*12+VALUE($B150&amp;""))</f>
        <v/>
      </c>
      <c r="M150" s="94">
        <f>IF($A150="",0,$H150*설정!$C$23)</f>
        <v/>
      </c>
      <c r="N150" s="94">
        <f>IF($A150="",0,$I150*설정!$C$23)</f>
        <v/>
      </c>
      <c r="O150" s="94">
        <f>IF($A150="",0,$J150*설정!$C$23)</f>
        <v/>
      </c>
      <c r="P150" s="64">
        <f>IF($A150="","",IFERROR(INDEX(입력옵션!$C$58:$C$68,MATCH($F150&amp;"",입력옵션!$E$58:$E$68,0)),IFERROR(INDEX(입력옵션!$C$58:$C$68,MATCH($G150&amp;"",입력옵션!$F$58:$F$68,0)),$F150&amp;"")))</f>
        <v/>
      </c>
    </row>
    <row r="151">
      <c r="A151" s="92" t="n">
        <v>2025</v>
      </c>
      <c r="B151" s="92" t="n">
        <v>4</v>
      </c>
      <c r="C151" s="92" t="inlineStr">
        <is>
          <t>PF02</t>
        </is>
      </c>
      <c r="D151" s="92" t="inlineStr">
        <is>
          <t>저축성</t>
        </is>
      </c>
      <c r="E151" s="92" t="inlineStr">
        <is>
          <t>GMM</t>
        </is>
      </c>
      <c r="F151" s="92" t="inlineStr">
        <is>
          <t>F22</t>
        </is>
      </c>
      <c r="G151" s="92" t="inlineStr">
        <is>
          <t>가정변경-기타</t>
        </is>
      </c>
      <c r="H151" s="93" t="n">
        <v>0</v>
      </c>
      <c r="I151" s="93" t="n">
        <v>0</v>
      </c>
      <c r="J151" s="93" t="n">
        <v>0</v>
      </c>
      <c r="L151" s="9">
        <f>IF($A151="","",VALUE($A151&amp;"")*12+VALUE($B151&amp;""))</f>
        <v/>
      </c>
      <c r="M151" s="94">
        <f>IF($A151="",0,$H151*설정!$C$23)</f>
        <v/>
      </c>
      <c r="N151" s="94">
        <f>IF($A151="",0,$I151*설정!$C$23)</f>
        <v/>
      </c>
      <c r="O151" s="94">
        <f>IF($A151="",0,$J151*설정!$C$23)</f>
        <v/>
      </c>
      <c r="P151" s="64">
        <f>IF($A151="","",IFERROR(INDEX(입력옵션!$C$58:$C$68,MATCH($F151&amp;"",입력옵션!$E$58:$E$68,0)),IFERROR(INDEX(입력옵션!$C$58:$C$68,MATCH($G151&amp;"",입력옵션!$F$58:$F$68,0)),$F151&amp;"")))</f>
        <v/>
      </c>
    </row>
    <row r="152">
      <c r="A152" s="92" t="n">
        <v>2025</v>
      </c>
      <c r="B152" s="92" t="n">
        <v>4</v>
      </c>
      <c r="C152" s="92" t="inlineStr">
        <is>
          <t>PF02</t>
        </is>
      </c>
      <c r="D152" s="92" t="inlineStr">
        <is>
          <t>저축성</t>
        </is>
      </c>
      <c r="E152" s="92" t="inlineStr">
        <is>
          <t>GMM</t>
        </is>
      </c>
      <c r="F152" s="92" t="inlineStr">
        <is>
          <t>F31</t>
        </is>
      </c>
      <c r="G152" s="92" t="inlineStr">
        <is>
          <t>경험조정-취득현금흐름</t>
        </is>
      </c>
      <c r="H152" s="93" t="n">
        <v>0</v>
      </c>
      <c r="I152" s="93" t="n">
        <v>0</v>
      </c>
      <c r="J152" s="93" t="n">
        <v>3352000</v>
      </c>
      <c r="L152" s="9">
        <f>IF($A152="","",VALUE($A152&amp;"")*12+VALUE($B152&amp;""))</f>
        <v/>
      </c>
      <c r="M152" s="94">
        <f>IF($A152="",0,$H152*설정!$C$23)</f>
        <v/>
      </c>
      <c r="N152" s="94">
        <f>IF($A152="",0,$I152*설정!$C$23)</f>
        <v/>
      </c>
      <c r="O152" s="94">
        <f>IF($A152="",0,$J152*설정!$C$23)</f>
        <v/>
      </c>
      <c r="P152" s="64">
        <f>IF($A152="","",IFERROR(INDEX(입력옵션!$C$58:$C$68,MATCH($F152&amp;"",입력옵션!$E$58:$E$68,0)),IFERROR(INDEX(입력옵션!$C$58:$C$68,MATCH($G152&amp;"",입력옵션!$F$58:$F$68,0)),$F152&amp;"")))</f>
        <v/>
      </c>
    </row>
    <row r="153">
      <c r="A153" s="92" t="n">
        <v>2025</v>
      </c>
      <c r="B153" s="92" t="n">
        <v>4</v>
      </c>
      <c r="C153" s="92" t="inlineStr">
        <is>
          <t>PF02</t>
        </is>
      </c>
      <c r="D153" s="92" t="inlineStr">
        <is>
          <t>저축성</t>
        </is>
      </c>
      <c r="E153" s="92" t="inlineStr">
        <is>
          <t>GMM</t>
        </is>
      </c>
      <c r="F153" s="92" t="inlineStr">
        <is>
          <t>F32</t>
        </is>
      </c>
      <c r="G153" s="92" t="inlineStr">
        <is>
          <t>경험조정-보험료 등</t>
        </is>
      </c>
      <c r="H153" s="93" t="n">
        <v>0</v>
      </c>
      <c r="I153" s="93" t="n">
        <v>0</v>
      </c>
      <c r="J153" s="93" t="n">
        <v>145466000</v>
      </c>
      <c r="L153" s="9">
        <f>IF($A153="","",VALUE($A153&amp;"")*12+VALUE($B153&amp;""))</f>
        <v/>
      </c>
      <c r="M153" s="94">
        <f>IF($A153="",0,$H153*설정!$C$23)</f>
        <v/>
      </c>
      <c r="N153" s="94">
        <f>IF($A153="",0,$I153*설정!$C$23)</f>
        <v/>
      </c>
      <c r="O153" s="94">
        <f>IF($A153="",0,$J153*설정!$C$23)</f>
        <v/>
      </c>
      <c r="P153" s="64">
        <f>IF($A153="","",IFERROR(INDEX(입력옵션!$C$58:$C$68,MATCH($F153&amp;"",입력옵션!$E$58:$E$68,0)),IFERROR(INDEX(입력옵션!$C$58:$C$68,MATCH($G153&amp;"",입력옵션!$F$58:$F$68,0)),$F153&amp;"")))</f>
        <v/>
      </c>
    </row>
    <row r="154">
      <c r="A154" s="92" t="n">
        <v>2025</v>
      </c>
      <c r="B154" s="92" t="n">
        <v>4</v>
      </c>
      <c r="C154" s="92" t="inlineStr">
        <is>
          <t>PF02</t>
        </is>
      </c>
      <c r="D154" s="92" t="inlineStr">
        <is>
          <t>저축성</t>
        </is>
      </c>
      <c r="E154" s="92" t="inlineStr">
        <is>
          <t>GMM</t>
        </is>
      </c>
      <c r="F154" s="92" t="inlineStr">
        <is>
          <t>F40</t>
        </is>
      </c>
      <c r="G154" s="92" t="inlineStr">
        <is>
          <t>보험금융비용(이자부리)</t>
        </is>
      </c>
      <c r="H154" s="93" t="n">
        <v>1707392000</v>
      </c>
      <c r="I154" s="93" t="n">
        <v>58875000</v>
      </c>
      <c r="J154" s="93" t="n">
        <v>236019000</v>
      </c>
      <c r="L154" s="9">
        <f>IF($A154="","",VALUE($A154&amp;"")*12+VALUE($B154&amp;""))</f>
        <v/>
      </c>
      <c r="M154" s="94">
        <f>IF($A154="",0,$H154*설정!$C$23)</f>
        <v/>
      </c>
      <c r="N154" s="94">
        <f>IF($A154="",0,$I154*설정!$C$23)</f>
        <v/>
      </c>
      <c r="O154" s="94">
        <f>IF($A154="",0,$J154*설정!$C$23)</f>
        <v/>
      </c>
      <c r="P154" s="64">
        <f>IF($A154="","",IFERROR(INDEX(입력옵션!$C$58:$C$68,MATCH($F154&amp;"",입력옵션!$E$58:$E$68,0)),IFERROR(INDEX(입력옵션!$C$58:$C$68,MATCH($G154&amp;"",입력옵션!$F$58:$F$68,0)),$F154&amp;"")))</f>
        <v/>
      </c>
    </row>
    <row r="155">
      <c r="A155" s="92" t="n">
        <v>2025</v>
      </c>
      <c r="B155" s="92" t="n">
        <v>4</v>
      </c>
      <c r="C155" s="92" t="inlineStr">
        <is>
          <t>PF02</t>
        </is>
      </c>
      <c r="D155" s="92" t="inlineStr">
        <is>
          <t>저축성</t>
        </is>
      </c>
      <c r="E155" s="92" t="inlineStr">
        <is>
          <t>GMM</t>
        </is>
      </c>
      <c r="F155" s="92" t="inlineStr">
        <is>
          <t>F51</t>
        </is>
      </c>
      <c r="G155" s="92" t="inlineStr">
        <is>
          <t>CSM 상각</t>
        </is>
      </c>
      <c r="H155" s="93" t="n">
        <v>0</v>
      </c>
      <c r="I155" s="93" t="n">
        <v>0</v>
      </c>
      <c r="J155" s="93" t="n">
        <v>-849668000</v>
      </c>
      <c r="L155" s="9">
        <f>IF($A155="","",VALUE($A155&amp;"")*12+VALUE($B155&amp;""))</f>
        <v/>
      </c>
      <c r="M155" s="94">
        <f>IF($A155="",0,$H155*설정!$C$23)</f>
        <v/>
      </c>
      <c r="N155" s="94">
        <f>IF($A155="",0,$I155*설정!$C$23)</f>
        <v/>
      </c>
      <c r="O155" s="94">
        <f>IF($A155="",0,$J155*설정!$C$23)</f>
        <v/>
      </c>
      <c r="P155" s="64">
        <f>IF($A155="","",IFERROR(INDEX(입력옵션!$C$58:$C$68,MATCH($F155&amp;"",입력옵션!$E$58:$E$68,0)),IFERROR(INDEX(입력옵션!$C$58:$C$68,MATCH($G155&amp;"",입력옵션!$F$58:$F$68,0)),$F155&amp;"")))</f>
        <v/>
      </c>
    </row>
    <row r="156">
      <c r="A156" s="92" t="n">
        <v>2025</v>
      </c>
      <c r="B156" s="92" t="n">
        <v>4</v>
      </c>
      <c r="C156" s="92" t="inlineStr">
        <is>
          <t>PF02</t>
        </is>
      </c>
      <c r="D156" s="92" t="inlineStr">
        <is>
          <t>저축성</t>
        </is>
      </c>
      <c r="E156" s="92" t="inlineStr">
        <is>
          <t>GMM</t>
        </is>
      </c>
      <c r="F156" s="92" t="inlineStr">
        <is>
          <t>F52</t>
        </is>
      </c>
      <c r="G156" s="92" t="inlineStr">
        <is>
          <t>RA 해제</t>
        </is>
      </c>
      <c r="H156" s="93" t="n">
        <v>0</v>
      </c>
      <c r="I156" s="93" t="n">
        <v>-176626000</v>
      </c>
      <c r="J156" s="93" t="n">
        <v>0</v>
      </c>
      <c r="L156" s="9">
        <f>IF($A156="","",VALUE($A156&amp;"")*12+VALUE($B156&amp;""))</f>
        <v/>
      </c>
      <c r="M156" s="94">
        <f>IF($A156="",0,$H156*설정!$C$23)</f>
        <v/>
      </c>
      <c r="N156" s="94">
        <f>IF($A156="",0,$I156*설정!$C$23)</f>
        <v/>
      </c>
      <c r="O156" s="94">
        <f>IF($A156="",0,$J156*설정!$C$23)</f>
        <v/>
      </c>
      <c r="P156" s="64">
        <f>IF($A156="","",IFERROR(INDEX(입력옵션!$C$58:$C$68,MATCH($F156&amp;"",입력옵션!$E$58:$E$68,0)),IFERROR(INDEX(입력옵션!$C$58:$C$68,MATCH($G156&amp;"",입력옵션!$F$58:$F$68,0)),$F156&amp;"")))</f>
        <v/>
      </c>
    </row>
    <row r="157">
      <c r="A157" s="92" t="n">
        <v>2025</v>
      </c>
      <c r="B157" s="92" t="n">
        <v>4</v>
      </c>
      <c r="C157" s="92" t="inlineStr">
        <is>
          <t>PF02</t>
        </is>
      </c>
      <c r="D157" s="92" t="inlineStr">
        <is>
          <t>저축성</t>
        </is>
      </c>
      <c r="E157" s="92" t="inlineStr">
        <is>
          <t>GMM</t>
        </is>
      </c>
      <c r="F157" s="92" t="inlineStr">
        <is>
          <t>F60</t>
        </is>
      </c>
      <c r="G157" s="92" t="inlineStr">
        <is>
          <t>현금흐름 및 기타</t>
        </is>
      </c>
      <c r="H157" s="93" t="n">
        <v>1582073000</v>
      </c>
      <c r="I157" s="93" t="n">
        <v>250002000</v>
      </c>
      <c r="J157" s="93" t="n">
        <v>0</v>
      </c>
      <c r="L157" s="9">
        <f>IF($A157="","",VALUE($A157&amp;"")*12+VALUE($B157&amp;""))</f>
        <v/>
      </c>
      <c r="M157" s="94">
        <f>IF($A157="",0,$H157*설정!$C$23)</f>
        <v/>
      </c>
      <c r="N157" s="94">
        <f>IF($A157="",0,$I157*설정!$C$23)</f>
        <v/>
      </c>
      <c r="O157" s="94">
        <f>IF($A157="",0,$J157*설정!$C$23)</f>
        <v/>
      </c>
      <c r="P157" s="64">
        <f>IF($A157="","",IFERROR(INDEX(입력옵션!$C$58:$C$68,MATCH($F157&amp;"",입력옵션!$E$58:$E$68,0)),IFERROR(INDEX(입력옵션!$C$58:$C$68,MATCH($G157&amp;"",입력옵션!$F$58:$F$68,0)),$F157&amp;"")))</f>
        <v/>
      </c>
    </row>
    <row r="158">
      <c r="A158" s="92" t="n">
        <v>2025</v>
      </c>
      <c r="B158" s="92" t="n">
        <v>4</v>
      </c>
      <c r="C158" s="92" t="inlineStr">
        <is>
          <t>PF02</t>
        </is>
      </c>
      <c r="D158" s="92" t="inlineStr">
        <is>
          <t>저축성</t>
        </is>
      </c>
      <c r="E158" s="92" t="inlineStr">
        <is>
          <t>GMM</t>
        </is>
      </c>
      <c r="F158" s="92" t="inlineStr">
        <is>
          <t>F99</t>
        </is>
      </c>
      <c r="G158" s="92" t="inlineStr">
        <is>
          <t>기말잔액</t>
        </is>
      </c>
      <c r="H158" s="93" t="n">
        <v>684736074000</v>
      </c>
      <c r="I158" s="93" t="n">
        <v>29872025000</v>
      </c>
      <c r="J158" s="93" t="n">
        <v>95151062000</v>
      </c>
      <c r="L158" s="9">
        <f>IF($A158="","",VALUE($A158&amp;"")*12+VALUE($B158&amp;""))</f>
        <v/>
      </c>
      <c r="M158" s="94">
        <f>IF($A158="",0,$H158*설정!$C$23)</f>
        <v/>
      </c>
      <c r="N158" s="94">
        <f>IF($A158="",0,$I158*설정!$C$23)</f>
        <v/>
      </c>
      <c r="O158" s="94">
        <f>IF($A158="",0,$J158*설정!$C$23)</f>
        <v/>
      </c>
      <c r="P158" s="64">
        <f>IF($A158="","",IFERROR(INDEX(입력옵션!$C$58:$C$68,MATCH($F158&amp;"",입력옵션!$E$58:$E$68,0)),IFERROR(INDEX(입력옵션!$C$58:$C$68,MATCH($G158&amp;"",입력옵션!$F$58:$F$68,0)),$F158&amp;"")))</f>
        <v/>
      </c>
    </row>
    <row r="159">
      <c r="A159" s="92" t="n">
        <v>2025</v>
      </c>
      <c r="B159" s="92" t="n">
        <v>4</v>
      </c>
      <c r="C159" s="92" t="inlineStr">
        <is>
          <t>PF03</t>
        </is>
      </c>
      <c r="D159" s="92" t="inlineStr">
        <is>
          <t>단체(단기)</t>
        </is>
      </c>
      <c r="E159" s="92" t="inlineStr">
        <is>
          <t>PAA</t>
        </is>
      </c>
      <c r="F159" s="92" t="inlineStr">
        <is>
          <t>F00</t>
        </is>
      </c>
      <c r="G159" s="92" t="inlineStr">
        <is>
          <t>기초잔액</t>
        </is>
      </c>
      <c r="H159" s="93" t="n">
        <v>41391332000</v>
      </c>
      <c r="I159" s="93" t="n">
        <v>2355016000</v>
      </c>
      <c r="J159" s="93" t="n">
        <v>0</v>
      </c>
      <c r="L159" s="9">
        <f>IF($A159="","",VALUE($A159&amp;"")*12+VALUE($B159&amp;""))</f>
        <v/>
      </c>
      <c r="M159" s="94">
        <f>IF($A159="",0,$H159*설정!$C$23)</f>
        <v/>
      </c>
      <c r="N159" s="94">
        <f>IF($A159="",0,$I159*설정!$C$23)</f>
        <v/>
      </c>
      <c r="O159" s="94">
        <f>IF($A159="",0,$J159*설정!$C$23)</f>
        <v/>
      </c>
      <c r="P159" s="64">
        <f>IF($A159="","",IFERROR(INDEX(입력옵션!$C$58:$C$68,MATCH($F159&amp;"",입력옵션!$E$58:$E$68,0)),IFERROR(INDEX(입력옵션!$C$58:$C$68,MATCH($G159&amp;"",입력옵션!$F$58:$F$68,0)),$F159&amp;"")))</f>
        <v/>
      </c>
    </row>
    <row r="160">
      <c r="A160" s="92" t="n">
        <v>2025</v>
      </c>
      <c r="B160" s="92" t="n">
        <v>4</v>
      </c>
      <c r="C160" s="92" t="inlineStr">
        <is>
          <t>PF03</t>
        </is>
      </c>
      <c r="D160" s="92" t="inlineStr">
        <is>
          <t>단체(단기)</t>
        </is>
      </c>
      <c r="E160" s="92" t="inlineStr">
        <is>
          <t>PAA</t>
        </is>
      </c>
      <c r="F160" s="92" t="inlineStr">
        <is>
          <t>F10</t>
        </is>
      </c>
      <c r="G160" s="92" t="inlineStr">
        <is>
          <t>신계약 효과</t>
        </is>
      </c>
      <c r="H160" s="93" t="n">
        <v>0</v>
      </c>
      <c r="I160" s="93" t="n">
        <v>0</v>
      </c>
      <c r="J160" s="93" t="n">
        <v>0</v>
      </c>
      <c r="L160" s="9">
        <f>IF($A160="","",VALUE($A160&amp;"")*12+VALUE($B160&amp;""))</f>
        <v/>
      </c>
      <c r="M160" s="94">
        <f>IF($A160="",0,$H160*설정!$C$23)</f>
        <v/>
      </c>
      <c r="N160" s="94">
        <f>IF($A160="",0,$I160*설정!$C$23)</f>
        <v/>
      </c>
      <c r="O160" s="94">
        <f>IF($A160="",0,$J160*설정!$C$23)</f>
        <v/>
      </c>
      <c r="P160" s="64">
        <f>IF($A160="","",IFERROR(INDEX(입력옵션!$C$58:$C$68,MATCH($F160&amp;"",입력옵션!$E$58:$E$68,0)),IFERROR(INDEX(입력옵션!$C$58:$C$68,MATCH($G160&amp;"",입력옵션!$F$58:$F$68,0)),$F160&amp;"")))</f>
        <v/>
      </c>
    </row>
    <row r="161">
      <c r="A161" s="92" t="n">
        <v>2025</v>
      </c>
      <c r="B161" s="92" t="n">
        <v>4</v>
      </c>
      <c r="C161" s="92" t="inlineStr">
        <is>
          <t>PF03</t>
        </is>
      </c>
      <c r="D161" s="92" t="inlineStr">
        <is>
          <t>단체(단기)</t>
        </is>
      </c>
      <c r="E161" s="92" t="inlineStr">
        <is>
          <t>PAA</t>
        </is>
      </c>
      <c r="F161" s="92" t="inlineStr">
        <is>
          <t>F21</t>
        </is>
      </c>
      <c r="G161" s="92" t="inlineStr">
        <is>
          <t>가정변경-사업비</t>
        </is>
      </c>
      <c r="H161" s="93" t="n">
        <v>0</v>
      </c>
      <c r="I161" s="93" t="n">
        <v>0</v>
      </c>
      <c r="J161" s="93" t="n">
        <v>0</v>
      </c>
      <c r="L161" s="9">
        <f>IF($A161="","",VALUE($A161&amp;"")*12+VALUE($B161&amp;""))</f>
        <v/>
      </c>
      <c r="M161" s="94">
        <f>IF($A161="",0,$H161*설정!$C$23)</f>
        <v/>
      </c>
      <c r="N161" s="94">
        <f>IF($A161="",0,$I161*설정!$C$23)</f>
        <v/>
      </c>
      <c r="O161" s="94">
        <f>IF($A161="",0,$J161*설정!$C$23)</f>
        <v/>
      </c>
      <c r="P161" s="64">
        <f>IF($A161="","",IFERROR(INDEX(입력옵션!$C$58:$C$68,MATCH($F161&amp;"",입력옵션!$E$58:$E$68,0)),IFERROR(INDEX(입력옵션!$C$58:$C$68,MATCH($G161&amp;"",입력옵션!$F$58:$F$68,0)),$F161&amp;"")))</f>
        <v/>
      </c>
    </row>
    <row r="162">
      <c r="A162" s="92" t="n">
        <v>2025</v>
      </c>
      <c r="B162" s="92" t="n">
        <v>4</v>
      </c>
      <c r="C162" s="92" t="inlineStr">
        <is>
          <t>PF03</t>
        </is>
      </c>
      <c r="D162" s="92" t="inlineStr">
        <is>
          <t>단체(단기)</t>
        </is>
      </c>
      <c r="E162" s="92" t="inlineStr">
        <is>
          <t>PAA</t>
        </is>
      </c>
      <c r="F162" s="92" t="inlineStr">
        <is>
          <t>F22</t>
        </is>
      </c>
      <c r="G162" s="92" t="inlineStr">
        <is>
          <t>가정변경-기타</t>
        </is>
      </c>
      <c r="H162" s="93" t="n">
        <v>0</v>
      </c>
      <c r="I162" s="93" t="n">
        <v>0</v>
      </c>
      <c r="J162" s="93" t="n">
        <v>0</v>
      </c>
      <c r="L162" s="9">
        <f>IF($A162="","",VALUE($A162&amp;"")*12+VALUE($B162&amp;""))</f>
        <v/>
      </c>
      <c r="M162" s="94">
        <f>IF($A162="",0,$H162*설정!$C$23)</f>
        <v/>
      </c>
      <c r="N162" s="94">
        <f>IF($A162="",0,$I162*설정!$C$23)</f>
        <v/>
      </c>
      <c r="O162" s="94">
        <f>IF($A162="",0,$J162*설정!$C$23)</f>
        <v/>
      </c>
      <c r="P162" s="64">
        <f>IF($A162="","",IFERROR(INDEX(입력옵션!$C$58:$C$68,MATCH($F162&amp;"",입력옵션!$E$58:$E$68,0)),IFERROR(INDEX(입력옵션!$C$58:$C$68,MATCH($G162&amp;"",입력옵션!$F$58:$F$68,0)),$F162&amp;"")))</f>
        <v/>
      </c>
    </row>
    <row r="163">
      <c r="A163" s="92" t="n">
        <v>2025</v>
      </c>
      <c r="B163" s="92" t="n">
        <v>4</v>
      </c>
      <c r="C163" s="92" t="inlineStr">
        <is>
          <t>PF03</t>
        </is>
      </c>
      <c r="D163" s="92" t="inlineStr">
        <is>
          <t>단체(단기)</t>
        </is>
      </c>
      <c r="E163" s="92" t="inlineStr">
        <is>
          <t>PAA</t>
        </is>
      </c>
      <c r="F163" s="92" t="inlineStr">
        <is>
          <t>F31</t>
        </is>
      </c>
      <c r="G163" s="92" t="inlineStr">
        <is>
          <t>경험조정-취득현금흐름</t>
        </is>
      </c>
      <c r="H163" s="93" t="n">
        <v>0</v>
      </c>
      <c r="I163" s="93" t="n">
        <v>0</v>
      </c>
      <c r="J163" s="93" t="n">
        <v>0</v>
      </c>
      <c r="L163" s="9">
        <f>IF($A163="","",VALUE($A163&amp;"")*12+VALUE($B163&amp;""))</f>
        <v/>
      </c>
      <c r="M163" s="94">
        <f>IF($A163="",0,$H163*설정!$C$23)</f>
        <v/>
      </c>
      <c r="N163" s="94">
        <f>IF($A163="",0,$I163*설정!$C$23)</f>
        <v/>
      </c>
      <c r="O163" s="94">
        <f>IF($A163="",0,$J163*설정!$C$23)</f>
        <v/>
      </c>
      <c r="P163" s="64">
        <f>IF($A163="","",IFERROR(INDEX(입력옵션!$C$58:$C$68,MATCH($F163&amp;"",입력옵션!$E$58:$E$68,0)),IFERROR(INDEX(입력옵션!$C$58:$C$68,MATCH($G163&amp;"",입력옵션!$F$58:$F$68,0)),$F163&amp;"")))</f>
        <v/>
      </c>
    </row>
    <row r="164">
      <c r="A164" s="92" t="n">
        <v>2025</v>
      </c>
      <c r="B164" s="92" t="n">
        <v>4</v>
      </c>
      <c r="C164" s="92" t="inlineStr">
        <is>
          <t>PF03</t>
        </is>
      </c>
      <c r="D164" s="92" t="inlineStr">
        <is>
          <t>단체(단기)</t>
        </is>
      </c>
      <c r="E164" s="92" t="inlineStr">
        <is>
          <t>PAA</t>
        </is>
      </c>
      <c r="F164" s="92" t="inlineStr">
        <is>
          <t>F32</t>
        </is>
      </c>
      <c r="G164" s="92" t="inlineStr">
        <is>
          <t>경험조정-보험료 등</t>
        </is>
      </c>
      <c r="H164" s="93" t="n">
        <v>0</v>
      </c>
      <c r="I164" s="93" t="n">
        <v>0</v>
      </c>
      <c r="J164" s="93" t="n">
        <v>0</v>
      </c>
      <c r="L164" s="9">
        <f>IF($A164="","",VALUE($A164&amp;"")*12+VALUE($B164&amp;""))</f>
        <v/>
      </c>
      <c r="M164" s="94">
        <f>IF($A164="",0,$H164*설정!$C$23)</f>
        <v/>
      </c>
      <c r="N164" s="94">
        <f>IF($A164="",0,$I164*설정!$C$23)</f>
        <v/>
      </c>
      <c r="O164" s="94">
        <f>IF($A164="",0,$J164*설정!$C$23)</f>
        <v/>
      </c>
      <c r="P164" s="64">
        <f>IF($A164="","",IFERROR(INDEX(입력옵션!$C$58:$C$68,MATCH($F164&amp;"",입력옵션!$E$58:$E$68,0)),IFERROR(INDEX(입력옵션!$C$58:$C$68,MATCH($G164&amp;"",입력옵션!$F$58:$F$68,0)),$F164&amp;"")))</f>
        <v/>
      </c>
    </row>
    <row r="165">
      <c r="A165" s="92" t="n">
        <v>2025</v>
      </c>
      <c r="B165" s="92" t="n">
        <v>4</v>
      </c>
      <c r="C165" s="92" t="inlineStr">
        <is>
          <t>PF03</t>
        </is>
      </c>
      <c r="D165" s="92" t="inlineStr">
        <is>
          <t>단체(단기)</t>
        </is>
      </c>
      <c r="E165" s="92" t="inlineStr">
        <is>
          <t>PAA</t>
        </is>
      </c>
      <c r="F165" s="92" t="inlineStr">
        <is>
          <t>F40</t>
        </is>
      </c>
      <c r="G165" s="92" t="inlineStr">
        <is>
          <t>보험금융비용(이자부리)</t>
        </is>
      </c>
      <c r="H165" s="93" t="n">
        <v>0</v>
      </c>
      <c r="I165" s="93" t="n">
        <v>0</v>
      </c>
      <c r="J165" s="93" t="n">
        <v>0</v>
      </c>
      <c r="L165" s="9">
        <f>IF($A165="","",VALUE($A165&amp;"")*12+VALUE($B165&amp;""))</f>
        <v/>
      </c>
      <c r="M165" s="94">
        <f>IF($A165="",0,$H165*설정!$C$23)</f>
        <v/>
      </c>
      <c r="N165" s="94">
        <f>IF($A165="",0,$I165*설정!$C$23)</f>
        <v/>
      </c>
      <c r="O165" s="94">
        <f>IF($A165="",0,$J165*설정!$C$23)</f>
        <v/>
      </c>
      <c r="P165" s="64">
        <f>IF($A165="","",IFERROR(INDEX(입력옵션!$C$58:$C$68,MATCH($F165&amp;"",입력옵션!$E$58:$E$68,0)),IFERROR(INDEX(입력옵션!$C$58:$C$68,MATCH($G165&amp;"",입력옵션!$F$58:$F$68,0)),$F165&amp;"")))</f>
        <v/>
      </c>
    </row>
    <row r="166">
      <c r="A166" s="92" t="n">
        <v>2025</v>
      </c>
      <c r="B166" s="92" t="n">
        <v>4</v>
      </c>
      <c r="C166" s="92" t="inlineStr">
        <is>
          <t>PF03</t>
        </is>
      </c>
      <c r="D166" s="92" t="inlineStr">
        <is>
          <t>단체(단기)</t>
        </is>
      </c>
      <c r="E166" s="92" t="inlineStr">
        <is>
          <t>PAA</t>
        </is>
      </c>
      <c r="F166" s="92" t="inlineStr">
        <is>
          <t>F51</t>
        </is>
      </c>
      <c r="G166" s="92" t="inlineStr">
        <is>
          <t>CSM 상각</t>
        </is>
      </c>
      <c r="H166" s="93" t="n">
        <v>0</v>
      </c>
      <c r="I166" s="93" t="n">
        <v>0</v>
      </c>
      <c r="J166" s="93" t="n">
        <v>0</v>
      </c>
      <c r="L166" s="9">
        <f>IF($A166="","",VALUE($A166&amp;"")*12+VALUE($B166&amp;""))</f>
        <v/>
      </c>
      <c r="M166" s="94">
        <f>IF($A166="",0,$H166*설정!$C$23)</f>
        <v/>
      </c>
      <c r="N166" s="94">
        <f>IF($A166="",0,$I166*설정!$C$23)</f>
        <v/>
      </c>
      <c r="O166" s="94">
        <f>IF($A166="",0,$J166*설정!$C$23)</f>
        <v/>
      </c>
      <c r="P166" s="64">
        <f>IF($A166="","",IFERROR(INDEX(입력옵션!$C$58:$C$68,MATCH($F166&amp;"",입력옵션!$E$58:$E$68,0)),IFERROR(INDEX(입력옵션!$C$58:$C$68,MATCH($G166&amp;"",입력옵션!$F$58:$F$68,0)),$F166&amp;"")))</f>
        <v/>
      </c>
    </row>
    <row r="167">
      <c r="A167" s="92" t="n">
        <v>2025</v>
      </c>
      <c r="B167" s="92" t="n">
        <v>4</v>
      </c>
      <c r="C167" s="92" t="inlineStr">
        <is>
          <t>PF03</t>
        </is>
      </c>
      <c r="D167" s="92" t="inlineStr">
        <is>
          <t>단체(단기)</t>
        </is>
      </c>
      <c r="E167" s="92" t="inlineStr">
        <is>
          <t>PAA</t>
        </is>
      </c>
      <c r="F167" s="92" t="inlineStr">
        <is>
          <t>F52</t>
        </is>
      </c>
      <c r="G167" s="92" t="inlineStr">
        <is>
          <t>RA 해제</t>
        </is>
      </c>
      <c r="H167" s="93" t="n">
        <v>0</v>
      </c>
      <c r="I167" s="93" t="n">
        <v>-14130000</v>
      </c>
      <c r="J167" s="93" t="n">
        <v>0</v>
      </c>
      <c r="L167" s="9">
        <f>IF($A167="","",VALUE($A167&amp;"")*12+VALUE($B167&amp;""))</f>
        <v/>
      </c>
      <c r="M167" s="94">
        <f>IF($A167="",0,$H167*설정!$C$23)</f>
        <v/>
      </c>
      <c r="N167" s="94">
        <f>IF($A167="",0,$I167*설정!$C$23)</f>
        <v/>
      </c>
      <c r="O167" s="94">
        <f>IF($A167="",0,$J167*설정!$C$23)</f>
        <v/>
      </c>
      <c r="P167" s="64">
        <f>IF($A167="","",IFERROR(INDEX(입력옵션!$C$58:$C$68,MATCH($F167&amp;"",입력옵션!$E$58:$E$68,0)),IFERROR(INDEX(입력옵션!$C$58:$C$68,MATCH($G167&amp;"",입력옵션!$F$58:$F$68,0)),$F167&amp;"")))</f>
        <v/>
      </c>
    </row>
    <row r="168">
      <c r="A168" s="92" t="n">
        <v>2025</v>
      </c>
      <c r="B168" s="92" t="n">
        <v>4</v>
      </c>
      <c r="C168" s="92" t="inlineStr">
        <is>
          <t>PF03</t>
        </is>
      </c>
      <c r="D168" s="92" t="inlineStr">
        <is>
          <t>단체(단기)</t>
        </is>
      </c>
      <c r="E168" s="92" t="inlineStr">
        <is>
          <t>PAA</t>
        </is>
      </c>
      <c r="F168" s="92" t="inlineStr">
        <is>
          <t>F60</t>
        </is>
      </c>
      <c r="G168" s="92" t="inlineStr">
        <is>
          <t>현금흐름 및 기타</t>
        </is>
      </c>
      <c r="H168" s="93" t="n">
        <v>107824000</v>
      </c>
      <c r="I168" s="93" t="n">
        <v>48876000</v>
      </c>
      <c r="J168" s="93" t="n">
        <v>0</v>
      </c>
      <c r="L168" s="9">
        <f>IF($A168="","",VALUE($A168&amp;"")*12+VALUE($B168&amp;""))</f>
        <v/>
      </c>
      <c r="M168" s="94">
        <f>IF($A168="",0,$H168*설정!$C$23)</f>
        <v/>
      </c>
      <c r="N168" s="94">
        <f>IF($A168="",0,$I168*설정!$C$23)</f>
        <v/>
      </c>
      <c r="O168" s="94">
        <f>IF($A168="",0,$J168*설정!$C$23)</f>
        <v/>
      </c>
      <c r="P168" s="64">
        <f>IF($A168="","",IFERROR(INDEX(입력옵션!$C$58:$C$68,MATCH($F168&amp;"",입력옵션!$E$58:$E$68,0)),IFERROR(INDEX(입력옵션!$C$58:$C$68,MATCH($G168&amp;"",입력옵션!$F$58:$F$68,0)),$F168&amp;"")))</f>
        <v/>
      </c>
    </row>
    <row r="169">
      <c r="A169" s="92" t="n">
        <v>2025</v>
      </c>
      <c r="B169" s="92" t="n">
        <v>4</v>
      </c>
      <c r="C169" s="92" t="inlineStr">
        <is>
          <t>PF03</t>
        </is>
      </c>
      <c r="D169" s="92" t="inlineStr">
        <is>
          <t>단체(단기)</t>
        </is>
      </c>
      <c r="E169" s="92" t="inlineStr">
        <is>
          <t>PAA</t>
        </is>
      </c>
      <c r="F169" s="92" t="inlineStr">
        <is>
          <t>F99</t>
        </is>
      </c>
      <c r="G169" s="92" t="inlineStr">
        <is>
          <t>기말잔액</t>
        </is>
      </c>
      <c r="H169" s="93" t="n">
        <v>41499156000</v>
      </c>
      <c r="I169" s="93" t="n">
        <v>2389762000</v>
      </c>
      <c r="J169" s="93" t="n">
        <v>0</v>
      </c>
      <c r="L169" s="9">
        <f>IF($A169="","",VALUE($A169&amp;"")*12+VALUE($B169&amp;""))</f>
        <v/>
      </c>
      <c r="M169" s="94">
        <f>IF($A169="",0,$H169*설정!$C$23)</f>
        <v/>
      </c>
      <c r="N169" s="94">
        <f>IF($A169="",0,$I169*설정!$C$23)</f>
        <v/>
      </c>
      <c r="O169" s="94">
        <f>IF($A169="",0,$J169*설정!$C$23)</f>
        <v/>
      </c>
      <c r="P169" s="64">
        <f>IF($A169="","",IFERROR(INDEX(입력옵션!$C$58:$C$68,MATCH($F169&amp;"",입력옵션!$E$58:$E$68,0)),IFERROR(INDEX(입력옵션!$C$58:$C$68,MATCH($G169&amp;"",입력옵션!$F$58:$F$68,0)),$F169&amp;"")))</f>
        <v/>
      </c>
    </row>
    <row r="170">
      <c r="A170" s="92" t="n">
        <v>2025</v>
      </c>
      <c r="B170" s="92" t="n">
        <v>4</v>
      </c>
      <c r="C170" s="92" t="inlineStr">
        <is>
          <t>PF04</t>
        </is>
      </c>
      <c r="D170" s="92" t="inlineStr">
        <is>
          <t>변액</t>
        </is>
      </c>
      <c r="E170" s="92" t="inlineStr">
        <is>
          <t>VFA</t>
        </is>
      </c>
      <c r="F170" s="92" t="inlineStr">
        <is>
          <t>F00</t>
        </is>
      </c>
      <c r="G170" s="92" t="inlineStr">
        <is>
          <t>기초잔액</t>
        </is>
      </c>
      <c r="H170" s="93" t="n">
        <v>310434990000</v>
      </c>
      <c r="I170" s="93" t="n">
        <v>15307604000</v>
      </c>
      <c r="J170" s="93" t="n">
        <v>49699329000</v>
      </c>
      <c r="L170" s="9">
        <f>IF($A170="","",VALUE($A170&amp;"")*12+VALUE($B170&amp;""))</f>
        <v/>
      </c>
      <c r="M170" s="94">
        <f>IF($A170="",0,$H170*설정!$C$23)</f>
        <v/>
      </c>
      <c r="N170" s="94">
        <f>IF($A170="",0,$I170*설정!$C$23)</f>
        <v/>
      </c>
      <c r="O170" s="94">
        <f>IF($A170="",0,$J170*설정!$C$23)</f>
        <v/>
      </c>
      <c r="P170" s="64">
        <f>IF($A170="","",IFERROR(INDEX(입력옵션!$C$58:$C$68,MATCH($F170&amp;"",입력옵션!$E$58:$E$68,0)),IFERROR(INDEX(입력옵션!$C$58:$C$68,MATCH($G170&amp;"",입력옵션!$F$58:$F$68,0)),$F170&amp;"")))</f>
        <v/>
      </c>
    </row>
    <row r="171">
      <c r="A171" s="92" t="n">
        <v>2025</v>
      </c>
      <c r="B171" s="92" t="n">
        <v>4</v>
      </c>
      <c r="C171" s="92" t="inlineStr">
        <is>
          <t>PF04</t>
        </is>
      </c>
      <c r="D171" s="92" t="inlineStr">
        <is>
          <t>변액</t>
        </is>
      </c>
      <c r="E171" s="92" t="inlineStr">
        <is>
          <t>VFA</t>
        </is>
      </c>
      <c r="F171" s="92" t="inlineStr">
        <is>
          <t>F10</t>
        </is>
      </c>
      <c r="G171" s="92" t="inlineStr">
        <is>
          <t>신계약 효과</t>
        </is>
      </c>
      <c r="H171" s="93" t="n">
        <v>-785392000</v>
      </c>
      <c r="I171" s="93" t="n">
        <v>157078000</v>
      </c>
      <c r="J171" s="93" t="n">
        <v>628314000</v>
      </c>
      <c r="L171" s="9">
        <f>IF($A171="","",VALUE($A171&amp;"")*12+VALUE($B171&amp;""))</f>
        <v/>
      </c>
      <c r="M171" s="94">
        <f>IF($A171="",0,$H171*설정!$C$23)</f>
        <v/>
      </c>
      <c r="N171" s="94">
        <f>IF($A171="",0,$I171*설정!$C$23)</f>
        <v/>
      </c>
      <c r="O171" s="94">
        <f>IF($A171="",0,$J171*설정!$C$23)</f>
        <v/>
      </c>
      <c r="P171" s="64">
        <f>IF($A171="","",IFERROR(INDEX(입력옵션!$C$58:$C$68,MATCH($F171&amp;"",입력옵션!$E$58:$E$68,0)),IFERROR(INDEX(입력옵션!$C$58:$C$68,MATCH($G171&amp;"",입력옵션!$F$58:$F$68,0)),$F171&amp;"")))</f>
        <v/>
      </c>
    </row>
    <row r="172">
      <c r="A172" s="92" t="n">
        <v>2025</v>
      </c>
      <c r="B172" s="92" t="n">
        <v>4</v>
      </c>
      <c r="C172" s="92" t="inlineStr">
        <is>
          <t>PF04</t>
        </is>
      </c>
      <c r="D172" s="92" t="inlineStr">
        <is>
          <t>변액</t>
        </is>
      </c>
      <c r="E172" s="92" t="inlineStr">
        <is>
          <t>VFA</t>
        </is>
      </c>
      <c r="F172" s="92" t="inlineStr">
        <is>
          <t>F21</t>
        </is>
      </c>
      <c r="G172" s="92" t="inlineStr">
        <is>
          <t>가정변경-사업비</t>
        </is>
      </c>
      <c r="H172" s="93" t="n">
        <v>0</v>
      </c>
      <c r="I172" s="93" t="n">
        <v>0</v>
      </c>
      <c r="J172" s="93" t="n">
        <v>0</v>
      </c>
      <c r="L172" s="9">
        <f>IF($A172="","",VALUE($A172&amp;"")*12+VALUE($B172&amp;""))</f>
        <v/>
      </c>
      <c r="M172" s="94">
        <f>IF($A172="",0,$H172*설정!$C$23)</f>
        <v/>
      </c>
      <c r="N172" s="94">
        <f>IF($A172="",0,$I172*설정!$C$23)</f>
        <v/>
      </c>
      <c r="O172" s="94">
        <f>IF($A172="",0,$J172*설정!$C$23)</f>
        <v/>
      </c>
      <c r="P172" s="64">
        <f>IF($A172="","",IFERROR(INDEX(입력옵션!$C$58:$C$68,MATCH($F172&amp;"",입력옵션!$E$58:$E$68,0)),IFERROR(INDEX(입력옵션!$C$58:$C$68,MATCH($G172&amp;"",입력옵션!$F$58:$F$68,0)),$F172&amp;"")))</f>
        <v/>
      </c>
    </row>
    <row r="173">
      <c r="A173" s="92" t="n">
        <v>2025</v>
      </c>
      <c r="B173" s="92" t="n">
        <v>4</v>
      </c>
      <c r="C173" s="92" t="inlineStr">
        <is>
          <t>PF04</t>
        </is>
      </c>
      <c r="D173" s="92" t="inlineStr">
        <is>
          <t>변액</t>
        </is>
      </c>
      <c r="E173" s="92" t="inlineStr">
        <is>
          <t>VFA</t>
        </is>
      </c>
      <c r="F173" s="92" t="inlineStr">
        <is>
          <t>F22</t>
        </is>
      </c>
      <c r="G173" s="92" t="inlineStr">
        <is>
          <t>가정변경-기타</t>
        </is>
      </c>
      <c r="H173" s="93" t="n">
        <v>0</v>
      </c>
      <c r="I173" s="93" t="n">
        <v>0</v>
      </c>
      <c r="J173" s="93" t="n">
        <v>0</v>
      </c>
      <c r="L173" s="9">
        <f>IF($A173="","",VALUE($A173&amp;"")*12+VALUE($B173&amp;""))</f>
        <v/>
      </c>
      <c r="M173" s="94">
        <f>IF($A173="",0,$H173*설정!$C$23)</f>
        <v/>
      </c>
      <c r="N173" s="94">
        <f>IF($A173="",0,$I173*설정!$C$23)</f>
        <v/>
      </c>
      <c r="O173" s="94">
        <f>IF($A173="",0,$J173*설정!$C$23)</f>
        <v/>
      </c>
      <c r="P173" s="64">
        <f>IF($A173="","",IFERROR(INDEX(입력옵션!$C$58:$C$68,MATCH($F173&amp;"",입력옵션!$E$58:$E$68,0)),IFERROR(INDEX(입력옵션!$C$58:$C$68,MATCH($G173&amp;"",입력옵션!$F$58:$F$68,0)),$F173&amp;"")))</f>
        <v/>
      </c>
    </row>
    <row r="174">
      <c r="A174" s="92" t="n">
        <v>2025</v>
      </c>
      <c r="B174" s="92" t="n">
        <v>4</v>
      </c>
      <c r="C174" s="92" t="inlineStr">
        <is>
          <t>PF04</t>
        </is>
      </c>
      <c r="D174" s="92" t="inlineStr">
        <is>
          <t>변액</t>
        </is>
      </c>
      <c r="E174" s="92" t="inlineStr">
        <is>
          <t>VFA</t>
        </is>
      </c>
      <c r="F174" s="92" t="inlineStr">
        <is>
          <t>F31</t>
        </is>
      </c>
      <c r="G174" s="92" t="inlineStr">
        <is>
          <t>경험조정-취득현금흐름</t>
        </is>
      </c>
      <c r="H174" s="93" t="n">
        <v>0</v>
      </c>
      <c r="I174" s="93" t="n">
        <v>0</v>
      </c>
      <c r="J174" s="93" t="n">
        <v>1083000</v>
      </c>
      <c r="L174" s="9">
        <f>IF($A174="","",VALUE($A174&amp;"")*12+VALUE($B174&amp;""))</f>
        <v/>
      </c>
      <c r="M174" s="94">
        <f>IF($A174="",0,$H174*설정!$C$23)</f>
        <v/>
      </c>
      <c r="N174" s="94">
        <f>IF($A174="",0,$I174*설정!$C$23)</f>
        <v/>
      </c>
      <c r="O174" s="94">
        <f>IF($A174="",0,$J174*설정!$C$23)</f>
        <v/>
      </c>
      <c r="P174" s="64">
        <f>IF($A174="","",IFERROR(INDEX(입력옵션!$C$58:$C$68,MATCH($F174&amp;"",입력옵션!$E$58:$E$68,0)),IFERROR(INDEX(입력옵션!$C$58:$C$68,MATCH($G174&amp;"",입력옵션!$F$58:$F$68,0)),$F174&amp;"")))</f>
        <v/>
      </c>
    </row>
    <row r="175">
      <c r="A175" s="92" t="n">
        <v>2025</v>
      </c>
      <c r="B175" s="92" t="n">
        <v>4</v>
      </c>
      <c r="C175" s="92" t="inlineStr">
        <is>
          <t>PF04</t>
        </is>
      </c>
      <c r="D175" s="92" t="inlineStr">
        <is>
          <t>변액</t>
        </is>
      </c>
      <c r="E175" s="92" t="inlineStr">
        <is>
          <t>VFA</t>
        </is>
      </c>
      <c r="F175" s="92" t="inlineStr">
        <is>
          <t>F32</t>
        </is>
      </c>
      <c r="G175" s="92" t="inlineStr">
        <is>
          <t>경험조정-보험료 등</t>
        </is>
      </c>
      <c r="H175" s="93" t="n">
        <v>0</v>
      </c>
      <c r="I175" s="93" t="n">
        <v>0</v>
      </c>
      <c r="J175" s="93" t="n">
        <v>-198458000</v>
      </c>
      <c r="L175" s="9">
        <f>IF($A175="","",VALUE($A175&amp;"")*12+VALUE($B175&amp;""))</f>
        <v/>
      </c>
      <c r="M175" s="94">
        <f>IF($A175="",0,$H175*설정!$C$23)</f>
        <v/>
      </c>
      <c r="N175" s="94">
        <f>IF($A175="",0,$I175*설정!$C$23)</f>
        <v/>
      </c>
      <c r="O175" s="94">
        <f>IF($A175="",0,$J175*설정!$C$23)</f>
        <v/>
      </c>
      <c r="P175" s="64">
        <f>IF($A175="","",IFERROR(INDEX(입력옵션!$C$58:$C$68,MATCH($F175&amp;"",입력옵션!$E$58:$E$68,0)),IFERROR(INDEX(입력옵션!$C$58:$C$68,MATCH($G175&amp;"",입력옵션!$F$58:$F$68,0)),$F175&amp;"")))</f>
        <v/>
      </c>
    </row>
    <row r="176">
      <c r="A176" s="92" t="n">
        <v>2025</v>
      </c>
      <c r="B176" s="92" t="n">
        <v>4</v>
      </c>
      <c r="C176" s="92" t="inlineStr">
        <is>
          <t>PF04</t>
        </is>
      </c>
      <c r="D176" s="92" t="inlineStr">
        <is>
          <t>변액</t>
        </is>
      </c>
      <c r="E176" s="92" t="inlineStr">
        <is>
          <t>VFA</t>
        </is>
      </c>
      <c r="F176" s="92" t="inlineStr">
        <is>
          <t>F40</t>
        </is>
      </c>
      <c r="G176" s="92" t="inlineStr">
        <is>
          <t>보험금융비용(이자부리)</t>
        </is>
      </c>
      <c r="H176" s="93" t="n">
        <v>776087000</v>
      </c>
      <c r="I176" s="93" t="n">
        <v>30615000</v>
      </c>
      <c r="J176" s="93" t="n">
        <v>124248000</v>
      </c>
      <c r="L176" s="9">
        <f>IF($A176="","",VALUE($A176&amp;"")*12+VALUE($B176&amp;""))</f>
        <v/>
      </c>
      <c r="M176" s="94">
        <f>IF($A176="",0,$H176*설정!$C$23)</f>
        <v/>
      </c>
      <c r="N176" s="94">
        <f>IF($A176="",0,$I176*설정!$C$23)</f>
        <v/>
      </c>
      <c r="O176" s="94">
        <f>IF($A176="",0,$J176*설정!$C$23)</f>
        <v/>
      </c>
      <c r="P176" s="64">
        <f>IF($A176="","",IFERROR(INDEX(입력옵션!$C$58:$C$68,MATCH($F176&amp;"",입력옵션!$E$58:$E$68,0)),IFERROR(INDEX(입력옵션!$C$58:$C$68,MATCH($G176&amp;"",입력옵션!$F$58:$F$68,0)),$F176&amp;"")))</f>
        <v/>
      </c>
    </row>
    <row r="177">
      <c r="A177" s="92" t="n">
        <v>2025</v>
      </c>
      <c r="B177" s="92" t="n">
        <v>4</v>
      </c>
      <c r="C177" s="92" t="inlineStr">
        <is>
          <t>PF04</t>
        </is>
      </c>
      <c r="D177" s="92" t="inlineStr">
        <is>
          <t>변액</t>
        </is>
      </c>
      <c r="E177" s="92" t="inlineStr">
        <is>
          <t>VFA</t>
        </is>
      </c>
      <c r="F177" s="92" t="inlineStr">
        <is>
          <t>F51</t>
        </is>
      </c>
      <c r="G177" s="92" t="inlineStr">
        <is>
          <t>CSM 상각</t>
        </is>
      </c>
      <c r="H177" s="93" t="n">
        <v>0</v>
      </c>
      <c r="I177" s="93" t="n">
        <v>0</v>
      </c>
      <c r="J177" s="93" t="n">
        <v>-447294000</v>
      </c>
      <c r="L177" s="9">
        <f>IF($A177="","",VALUE($A177&amp;"")*12+VALUE($B177&amp;""))</f>
        <v/>
      </c>
      <c r="M177" s="94">
        <f>IF($A177="",0,$H177*설정!$C$23)</f>
        <v/>
      </c>
      <c r="N177" s="94">
        <f>IF($A177="",0,$I177*설정!$C$23)</f>
        <v/>
      </c>
      <c r="O177" s="94">
        <f>IF($A177="",0,$J177*설정!$C$23)</f>
        <v/>
      </c>
      <c r="P177" s="64">
        <f>IF($A177="","",IFERROR(INDEX(입력옵션!$C$58:$C$68,MATCH($F177&amp;"",입력옵션!$E$58:$E$68,0)),IFERROR(INDEX(입력옵션!$C$58:$C$68,MATCH($G177&amp;"",입력옵션!$F$58:$F$68,0)),$F177&amp;"")))</f>
        <v/>
      </c>
    </row>
    <row r="178">
      <c r="A178" s="92" t="n">
        <v>2025</v>
      </c>
      <c r="B178" s="92" t="n">
        <v>4</v>
      </c>
      <c r="C178" s="92" t="inlineStr">
        <is>
          <t>PF04</t>
        </is>
      </c>
      <c r="D178" s="92" t="inlineStr">
        <is>
          <t>변액</t>
        </is>
      </c>
      <c r="E178" s="92" t="inlineStr">
        <is>
          <t>VFA</t>
        </is>
      </c>
      <c r="F178" s="92" t="inlineStr">
        <is>
          <t>F52</t>
        </is>
      </c>
      <c r="G178" s="92" t="inlineStr">
        <is>
          <t>RA 해제</t>
        </is>
      </c>
      <c r="H178" s="93" t="n">
        <v>0</v>
      </c>
      <c r="I178" s="93" t="n">
        <v>-91846000</v>
      </c>
      <c r="J178" s="93" t="n">
        <v>0</v>
      </c>
      <c r="L178" s="9">
        <f>IF($A178="","",VALUE($A178&amp;"")*12+VALUE($B178&amp;""))</f>
        <v/>
      </c>
      <c r="M178" s="94">
        <f>IF($A178="",0,$H178*설정!$C$23)</f>
        <v/>
      </c>
      <c r="N178" s="94">
        <f>IF($A178="",0,$I178*설정!$C$23)</f>
        <v/>
      </c>
      <c r="O178" s="94">
        <f>IF($A178="",0,$J178*설정!$C$23)</f>
        <v/>
      </c>
      <c r="P178" s="64">
        <f>IF($A178="","",IFERROR(INDEX(입력옵션!$C$58:$C$68,MATCH($F178&amp;"",입력옵션!$E$58:$E$68,0)),IFERROR(INDEX(입력옵션!$C$58:$C$68,MATCH($G178&amp;"",입력옵션!$F$58:$F$68,0)),$F178&amp;"")))</f>
        <v/>
      </c>
    </row>
    <row r="179">
      <c r="A179" s="92" t="n">
        <v>2025</v>
      </c>
      <c r="B179" s="92" t="n">
        <v>4</v>
      </c>
      <c r="C179" s="92" t="inlineStr">
        <is>
          <t>PF04</t>
        </is>
      </c>
      <c r="D179" s="92" t="inlineStr">
        <is>
          <t>변액</t>
        </is>
      </c>
      <c r="E179" s="92" t="inlineStr">
        <is>
          <t>VFA</t>
        </is>
      </c>
      <c r="F179" s="92" t="inlineStr">
        <is>
          <t>F60</t>
        </is>
      </c>
      <c r="G179" s="92" t="inlineStr">
        <is>
          <t>현금흐름 및 기타</t>
        </is>
      </c>
      <c r="H179" s="93" t="n">
        <v>817985000</v>
      </c>
      <c r="I179" s="93" t="n">
        <v>130001000</v>
      </c>
      <c r="J179" s="93" t="n">
        <v>0</v>
      </c>
      <c r="L179" s="9">
        <f>IF($A179="","",VALUE($A179&amp;"")*12+VALUE($B179&amp;""))</f>
        <v/>
      </c>
      <c r="M179" s="94">
        <f>IF($A179="",0,$H179*설정!$C$23)</f>
        <v/>
      </c>
      <c r="N179" s="94">
        <f>IF($A179="",0,$I179*설정!$C$23)</f>
        <v/>
      </c>
      <c r="O179" s="94">
        <f>IF($A179="",0,$J179*설정!$C$23)</f>
        <v/>
      </c>
      <c r="P179" s="64">
        <f>IF($A179="","",IFERROR(INDEX(입력옵션!$C$58:$C$68,MATCH($F179&amp;"",입력옵션!$E$58:$E$68,0)),IFERROR(INDEX(입력옵션!$C$58:$C$68,MATCH($G179&amp;"",입력옵션!$F$58:$F$68,0)),$F179&amp;"")))</f>
        <v/>
      </c>
    </row>
    <row r="180">
      <c r="A180" s="92" t="n">
        <v>2025</v>
      </c>
      <c r="B180" s="92" t="n">
        <v>4</v>
      </c>
      <c r="C180" s="92" t="inlineStr">
        <is>
          <t>PF04</t>
        </is>
      </c>
      <c r="D180" s="92" t="inlineStr">
        <is>
          <t>변액</t>
        </is>
      </c>
      <c r="E180" s="92" t="inlineStr">
        <is>
          <t>VFA</t>
        </is>
      </c>
      <c r="F180" s="92" t="inlineStr">
        <is>
          <t>F99</t>
        </is>
      </c>
      <c r="G180" s="92" t="inlineStr">
        <is>
          <t>기말잔액</t>
        </is>
      </c>
      <c r="H180" s="93" t="n">
        <v>311243670000</v>
      </c>
      <c r="I180" s="93" t="n">
        <v>15533453000</v>
      </c>
      <c r="J180" s="93" t="n">
        <v>49807222000</v>
      </c>
      <c r="L180" s="9">
        <f>IF($A180="","",VALUE($A180&amp;"")*12+VALUE($B180&amp;""))</f>
        <v/>
      </c>
      <c r="M180" s="94">
        <f>IF($A180="",0,$H180*설정!$C$23)</f>
        <v/>
      </c>
      <c r="N180" s="94">
        <f>IF($A180="",0,$I180*설정!$C$23)</f>
        <v/>
      </c>
      <c r="O180" s="94">
        <f>IF($A180="",0,$J180*설정!$C$23)</f>
        <v/>
      </c>
      <c r="P180" s="64">
        <f>IF($A180="","",IFERROR(INDEX(입력옵션!$C$58:$C$68,MATCH($F180&amp;"",입력옵션!$E$58:$E$68,0)),IFERROR(INDEX(입력옵션!$C$58:$C$68,MATCH($G180&amp;"",입력옵션!$F$58:$F$68,0)),$F180&amp;"")))</f>
        <v/>
      </c>
    </row>
    <row r="181">
      <c r="A181" s="92" t="n">
        <v>2025</v>
      </c>
      <c r="B181" s="92" t="n">
        <v>5</v>
      </c>
      <c r="C181" s="92" t="inlineStr">
        <is>
          <t>PF01</t>
        </is>
      </c>
      <c r="D181" s="92" t="inlineStr">
        <is>
          <t>보장성</t>
        </is>
      </c>
      <c r="E181" s="92" t="inlineStr">
        <is>
          <t>GMM</t>
        </is>
      </c>
      <c r="F181" s="92" t="inlineStr">
        <is>
          <t>F00</t>
        </is>
      </c>
      <c r="G181" s="92" t="inlineStr">
        <is>
          <t>기초잔액</t>
        </is>
      </c>
      <c r="H181" s="93" t="n">
        <v>1037478900000</v>
      </c>
      <c r="I181" s="93" t="n">
        <v>71692860000</v>
      </c>
      <c r="J181" s="93" t="n">
        <v>235646312000</v>
      </c>
      <c r="L181" s="9">
        <f>IF($A181="","",VALUE($A181&amp;"")*12+VALUE($B181&amp;""))</f>
        <v/>
      </c>
      <c r="M181" s="94">
        <f>IF($A181="",0,$H181*설정!$C$23)</f>
        <v/>
      </c>
      <c r="N181" s="94">
        <f>IF($A181="",0,$I181*설정!$C$23)</f>
        <v/>
      </c>
      <c r="O181" s="94">
        <f>IF($A181="",0,$J181*설정!$C$23)</f>
        <v/>
      </c>
      <c r="P181" s="64">
        <f>IF($A181="","",IFERROR(INDEX(입력옵션!$C$58:$C$68,MATCH($F181&amp;"",입력옵션!$E$58:$E$68,0)),IFERROR(INDEX(입력옵션!$C$58:$C$68,MATCH($G181&amp;"",입력옵션!$F$58:$F$68,0)),$F181&amp;"")))</f>
        <v/>
      </c>
    </row>
    <row r="182">
      <c r="A182" s="92" t="n">
        <v>2025</v>
      </c>
      <c r="B182" s="92" t="n">
        <v>5</v>
      </c>
      <c r="C182" s="92" t="inlineStr">
        <is>
          <t>PF01</t>
        </is>
      </c>
      <c r="D182" s="92" t="inlineStr">
        <is>
          <t>보장성</t>
        </is>
      </c>
      <c r="E182" s="92" t="inlineStr">
        <is>
          <t>GMM</t>
        </is>
      </c>
      <c r="F182" s="92" t="inlineStr">
        <is>
          <t>F10</t>
        </is>
      </c>
      <c r="G182" s="92" t="inlineStr">
        <is>
          <t>신계약 효과</t>
        </is>
      </c>
      <c r="H182" s="93" t="n">
        <v>-3341273000</v>
      </c>
      <c r="I182" s="93" t="n">
        <v>668255000</v>
      </c>
      <c r="J182" s="93" t="n">
        <v>2673018000</v>
      </c>
      <c r="L182" s="9">
        <f>IF($A182="","",VALUE($A182&amp;"")*12+VALUE($B182&amp;""))</f>
        <v/>
      </c>
      <c r="M182" s="94">
        <f>IF($A182="",0,$H182*설정!$C$23)</f>
        <v/>
      </c>
      <c r="N182" s="94">
        <f>IF($A182="",0,$I182*설정!$C$23)</f>
        <v/>
      </c>
      <c r="O182" s="94">
        <f>IF($A182="",0,$J182*설정!$C$23)</f>
        <v/>
      </c>
      <c r="P182" s="64">
        <f>IF($A182="","",IFERROR(INDEX(입력옵션!$C$58:$C$68,MATCH($F182&amp;"",입력옵션!$E$58:$E$68,0)),IFERROR(INDEX(입력옵션!$C$58:$C$68,MATCH($G182&amp;"",입력옵션!$F$58:$F$68,0)),$F182&amp;"")))</f>
        <v/>
      </c>
    </row>
    <row r="183">
      <c r="A183" s="92" t="n">
        <v>2025</v>
      </c>
      <c r="B183" s="92" t="n">
        <v>5</v>
      </c>
      <c r="C183" s="92" t="inlineStr">
        <is>
          <t>PF01</t>
        </is>
      </c>
      <c r="D183" s="92" t="inlineStr">
        <is>
          <t>보장성</t>
        </is>
      </c>
      <c r="E183" s="92" t="inlineStr">
        <is>
          <t>GMM</t>
        </is>
      </c>
      <c r="F183" s="92" t="inlineStr">
        <is>
          <t>F21</t>
        </is>
      </c>
      <c r="G183" s="92" t="inlineStr">
        <is>
          <t>가정변경-사업비</t>
        </is>
      </c>
      <c r="H183" s="93" t="n">
        <v>0</v>
      </c>
      <c r="I183" s="93" t="n">
        <v>0</v>
      </c>
      <c r="J183" s="93" t="n">
        <v>0</v>
      </c>
      <c r="L183" s="9">
        <f>IF($A183="","",VALUE($A183&amp;"")*12+VALUE($B183&amp;""))</f>
        <v/>
      </c>
      <c r="M183" s="94">
        <f>IF($A183="",0,$H183*설정!$C$23)</f>
        <v/>
      </c>
      <c r="N183" s="94">
        <f>IF($A183="",0,$I183*설정!$C$23)</f>
        <v/>
      </c>
      <c r="O183" s="94">
        <f>IF($A183="",0,$J183*설정!$C$23)</f>
        <v/>
      </c>
      <c r="P183" s="64">
        <f>IF($A183="","",IFERROR(INDEX(입력옵션!$C$58:$C$68,MATCH($F183&amp;"",입력옵션!$E$58:$E$68,0)),IFERROR(INDEX(입력옵션!$C$58:$C$68,MATCH($G183&amp;"",입력옵션!$F$58:$F$68,0)),$F183&amp;"")))</f>
        <v/>
      </c>
    </row>
    <row r="184">
      <c r="A184" s="92" t="n">
        <v>2025</v>
      </c>
      <c r="B184" s="92" t="n">
        <v>5</v>
      </c>
      <c r="C184" s="92" t="inlineStr">
        <is>
          <t>PF01</t>
        </is>
      </c>
      <c r="D184" s="92" t="inlineStr">
        <is>
          <t>보장성</t>
        </is>
      </c>
      <c r="E184" s="92" t="inlineStr">
        <is>
          <t>GMM</t>
        </is>
      </c>
      <c r="F184" s="92" t="inlineStr">
        <is>
          <t>F22</t>
        </is>
      </c>
      <c r="G184" s="92" t="inlineStr">
        <is>
          <t>가정변경-기타</t>
        </is>
      </c>
      <c r="H184" s="93" t="n">
        <v>0</v>
      </c>
      <c r="I184" s="93" t="n">
        <v>0</v>
      </c>
      <c r="J184" s="93" t="n">
        <v>0</v>
      </c>
      <c r="L184" s="9">
        <f>IF($A184="","",VALUE($A184&amp;"")*12+VALUE($B184&amp;""))</f>
        <v/>
      </c>
      <c r="M184" s="94">
        <f>IF($A184="",0,$H184*설정!$C$23)</f>
        <v/>
      </c>
      <c r="N184" s="94">
        <f>IF($A184="",0,$I184*설정!$C$23)</f>
        <v/>
      </c>
      <c r="O184" s="94">
        <f>IF($A184="",0,$J184*설정!$C$23)</f>
        <v/>
      </c>
      <c r="P184" s="64">
        <f>IF($A184="","",IFERROR(INDEX(입력옵션!$C$58:$C$68,MATCH($F184&amp;"",입력옵션!$E$58:$E$68,0)),IFERROR(INDEX(입력옵션!$C$58:$C$68,MATCH($G184&amp;"",입력옵션!$F$58:$F$68,0)),$F184&amp;"")))</f>
        <v/>
      </c>
    </row>
    <row r="185">
      <c r="A185" s="92" t="n">
        <v>2025</v>
      </c>
      <c r="B185" s="92" t="n">
        <v>5</v>
      </c>
      <c r="C185" s="92" t="inlineStr">
        <is>
          <t>PF01</t>
        </is>
      </c>
      <c r="D185" s="92" t="inlineStr">
        <is>
          <t>보장성</t>
        </is>
      </c>
      <c r="E185" s="92" t="inlineStr">
        <is>
          <t>GMM</t>
        </is>
      </c>
      <c r="F185" s="92" t="inlineStr">
        <is>
          <t>F31</t>
        </is>
      </c>
      <c r="G185" s="92" t="inlineStr">
        <is>
          <t>경험조정-취득현금흐름</t>
        </is>
      </c>
      <c r="H185" s="93" t="n">
        <v>0</v>
      </c>
      <c r="I185" s="93" t="n">
        <v>0</v>
      </c>
      <c r="J185" s="93" t="n">
        <v>-22021000</v>
      </c>
      <c r="L185" s="9">
        <f>IF($A185="","",VALUE($A185&amp;"")*12+VALUE($B185&amp;""))</f>
        <v/>
      </c>
      <c r="M185" s="94">
        <f>IF($A185="",0,$H185*설정!$C$23)</f>
        <v/>
      </c>
      <c r="N185" s="94">
        <f>IF($A185="",0,$I185*설정!$C$23)</f>
        <v/>
      </c>
      <c r="O185" s="94">
        <f>IF($A185="",0,$J185*설정!$C$23)</f>
        <v/>
      </c>
      <c r="P185" s="64">
        <f>IF($A185="","",IFERROR(INDEX(입력옵션!$C$58:$C$68,MATCH($F185&amp;"",입력옵션!$E$58:$E$68,0)),IFERROR(INDEX(입력옵션!$C$58:$C$68,MATCH($G185&amp;"",입력옵션!$F$58:$F$68,0)),$F185&amp;"")))</f>
        <v/>
      </c>
    </row>
    <row r="186">
      <c r="A186" s="92" t="n">
        <v>2025</v>
      </c>
      <c r="B186" s="92" t="n">
        <v>5</v>
      </c>
      <c r="C186" s="92" t="inlineStr">
        <is>
          <t>PF01</t>
        </is>
      </c>
      <c r="D186" s="92" t="inlineStr">
        <is>
          <t>보장성</t>
        </is>
      </c>
      <c r="E186" s="92" t="inlineStr">
        <is>
          <t>GMM</t>
        </is>
      </c>
      <c r="F186" s="92" t="inlineStr">
        <is>
          <t>F32</t>
        </is>
      </c>
      <c r="G186" s="92" t="inlineStr">
        <is>
          <t>경험조정-보험료 등</t>
        </is>
      </c>
      <c r="H186" s="93" t="n">
        <v>0</v>
      </c>
      <c r="I186" s="93" t="n">
        <v>0</v>
      </c>
      <c r="J186" s="93" t="n">
        <v>-35450000</v>
      </c>
      <c r="L186" s="9">
        <f>IF($A186="","",VALUE($A186&amp;"")*12+VALUE($B186&amp;""))</f>
        <v/>
      </c>
      <c r="M186" s="94">
        <f>IF($A186="",0,$H186*설정!$C$23)</f>
        <v/>
      </c>
      <c r="N186" s="94">
        <f>IF($A186="",0,$I186*설정!$C$23)</f>
        <v/>
      </c>
      <c r="O186" s="94">
        <f>IF($A186="",0,$J186*설정!$C$23)</f>
        <v/>
      </c>
      <c r="P186" s="64">
        <f>IF($A186="","",IFERROR(INDEX(입력옵션!$C$58:$C$68,MATCH($F186&amp;"",입력옵션!$E$58:$E$68,0)),IFERROR(INDEX(입력옵션!$C$58:$C$68,MATCH($G186&amp;"",입력옵션!$F$58:$F$68,0)),$F186&amp;"")))</f>
        <v/>
      </c>
    </row>
    <row r="187">
      <c r="A187" s="92" t="n">
        <v>2025</v>
      </c>
      <c r="B187" s="92" t="n">
        <v>5</v>
      </c>
      <c r="C187" s="92" t="inlineStr">
        <is>
          <t>PF01</t>
        </is>
      </c>
      <c r="D187" s="92" t="inlineStr">
        <is>
          <t>보장성</t>
        </is>
      </c>
      <c r="E187" s="92" t="inlineStr">
        <is>
          <t>GMM</t>
        </is>
      </c>
      <c r="F187" s="92" t="inlineStr">
        <is>
          <t>F40</t>
        </is>
      </c>
      <c r="G187" s="92" t="inlineStr">
        <is>
          <t>보험금융비용(이자부리)</t>
        </is>
      </c>
      <c r="H187" s="93" t="n">
        <v>2593697000</v>
      </c>
      <c r="I187" s="93" t="n">
        <v>143386000</v>
      </c>
      <c r="J187" s="93" t="n">
        <v>589116000</v>
      </c>
      <c r="L187" s="9">
        <f>IF($A187="","",VALUE($A187&amp;"")*12+VALUE($B187&amp;""))</f>
        <v/>
      </c>
      <c r="M187" s="94">
        <f>IF($A187="",0,$H187*설정!$C$23)</f>
        <v/>
      </c>
      <c r="N187" s="94">
        <f>IF($A187="",0,$I187*설정!$C$23)</f>
        <v/>
      </c>
      <c r="O187" s="94">
        <f>IF($A187="",0,$J187*설정!$C$23)</f>
        <v/>
      </c>
      <c r="P187" s="64">
        <f>IF($A187="","",IFERROR(INDEX(입력옵션!$C$58:$C$68,MATCH($F187&amp;"",입력옵션!$E$58:$E$68,0)),IFERROR(INDEX(입력옵션!$C$58:$C$68,MATCH($G187&amp;"",입력옵션!$F$58:$F$68,0)),$F187&amp;"")))</f>
        <v/>
      </c>
    </row>
    <row r="188">
      <c r="A188" s="92" t="n">
        <v>2025</v>
      </c>
      <c r="B188" s="92" t="n">
        <v>5</v>
      </c>
      <c r="C188" s="92" t="inlineStr">
        <is>
          <t>PF01</t>
        </is>
      </c>
      <c r="D188" s="92" t="inlineStr">
        <is>
          <t>보장성</t>
        </is>
      </c>
      <c r="E188" s="92" t="inlineStr">
        <is>
          <t>GMM</t>
        </is>
      </c>
      <c r="F188" s="92" t="inlineStr">
        <is>
          <t>F51</t>
        </is>
      </c>
      <c r="G188" s="92" t="inlineStr">
        <is>
          <t>CSM 상각</t>
        </is>
      </c>
      <c r="H188" s="93" t="n">
        <v>0</v>
      </c>
      <c r="I188" s="93" t="n">
        <v>0</v>
      </c>
      <c r="J188" s="93" t="n">
        <v>-2120817000</v>
      </c>
      <c r="L188" s="9">
        <f>IF($A188="","",VALUE($A188&amp;"")*12+VALUE($B188&amp;""))</f>
        <v/>
      </c>
      <c r="M188" s="94">
        <f>IF($A188="",0,$H188*설정!$C$23)</f>
        <v/>
      </c>
      <c r="N188" s="94">
        <f>IF($A188="",0,$I188*설정!$C$23)</f>
        <v/>
      </c>
      <c r="O188" s="94">
        <f>IF($A188="",0,$J188*설정!$C$23)</f>
        <v/>
      </c>
      <c r="P188" s="64">
        <f>IF($A188="","",IFERROR(INDEX(입력옵션!$C$58:$C$68,MATCH($F188&amp;"",입력옵션!$E$58:$E$68,0)),IFERROR(INDEX(입력옵션!$C$58:$C$68,MATCH($G188&amp;"",입력옵션!$F$58:$F$68,0)),$F188&amp;"")))</f>
        <v/>
      </c>
    </row>
    <row r="189">
      <c r="A189" s="92" t="n">
        <v>2025</v>
      </c>
      <c r="B189" s="92" t="n">
        <v>5</v>
      </c>
      <c r="C189" s="92" t="inlineStr">
        <is>
          <t>PF01</t>
        </is>
      </c>
      <c r="D189" s="92" t="inlineStr">
        <is>
          <t>보장성</t>
        </is>
      </c>
      <c r="E189" s="92" t="inlineStr">
        <is>
          <t>GMM</t>
        </is>
      </c>
      <c r="F189" s="92" t="inlineStr">
        <is>
          <t>F52</t>
        </is>
      </c>
      <c r="G189" s="92" t="inlineStr">
        <is>
          <t>RA 해제</t>
        </is>
      </c>
      <c r="H189" s="93" t="n">
        <v>0</v>
      </c>
      <c r="I189" s="93" t="n">
        <v>-430157000</v>
      </c>
      <c r="J189" s="93" t="n">
        <v>0</v>
      </c>
      <c r="L189" s="9">
        <f>IF($A189="","",VALUE($A189&amp;"")*12+VALUE($B189&amp;""))</f>
        <v/>
      </c>
      <c r="M189" s="94">
        <f>IF($A189="",0,$H189*설정!$C$23)</f>
        <v/>
      </c>
      <c r="N189" s="94">
        <f>IF($A189="",0,$I189*설정!$C$23)</f>
        <v/>
      </c>
      <c r="O189" s="94">
        <f>IF($A189="",0,$J189*설정!$C$23)</f>
        <v/>
      </c>
      <c r="P189" s="64">
        <f>IF($A189="","",IFERROR(INDEX(입력옵션!$C$58:$C$68,MATCH($F189&amp;"",입력옵션!$E$58:$E$68,0)),IFERROR(INDEX(입력옵션!$C$58:$C$68,MATCH($G189&amp;"",입력옵션!$F$58:$F$68,0)),$F189&amp;"")))</f>
        <v/>
      </c>
    </row>
    <row r="190">
      <c r="A190" s="92" t="n">
        <v>2025</v>
      </c>
      <c r="B190" s="92" t="n">
        <v>5</v>
      </c>
      <c r="C190" s="92" t="inlineStr">
        <is>
          <t>PF01</t>
        </is>
      </c>
      <c r="D190" s="92" t="inlineStr">
        <is>
          <t>보장성</t>
        </is>
      </c>
      <c r="E190" s="92" t="inlineStr">
        <is>
          <t>GMM</t>
        </is>
      </c>
      <c r="F190" s="92" t="inlineStr">
        <is>
          <t>F60</t>
        </is>
      </c>
      <c r="G190" s="92" t="inlineStr">
        <is>
          <t>현금흐름 및 기타</t>
        </is>
      </c>
      <c r="H190" s="93" t="n">
        <v>2939576000</v>
      </c>
      <c r="I190" s="93" t="n">
        <v>-11103000</v>
      </c>
      <c r="J190" s="93" t="n">
        <v>0</v>
      </c>
      <c r="L190" s="9">
        <f>IF($A190="","",VALUE($A190&amp;"")*12+VALUE($B190&amp;""))</f>
        <v/>
      </c>
      <c r="M190" s="94">
        <f>IF($A190="",0,$H190*설정!$C$23)</f>
        <v/>
      </c>
      <c r="N190" s="94">
        <f>IF($A190="",0,$I190*설정!$C$23)</f>
        <v/>
      </c>
      <c r="O190" s="94">
        <f>IF($A190="",0,$J190*설정!$C$23)</f>
        <v/>
      </c>
      <c r="P190" s="64">
        <f>IF($A190="","",IFERROR(INDEX(입력옵션!$C$58:$C$68,MATCH($F190&amp;"",입력옵션!$E$58:$E$68,0)),IFERROR(INDEX(입력옵션!$C$58:$C$68,MATCH($G190&amp;"",입력옵션!$F$58:$F$68,0)),$F190&amp;"")))</f>
        <v/>
      </c>
    </row>
    <row r="191">
      <c r="A191" s="92" t="n">
        <v>2025</v>
      </c>
      <c r="B191" s="92" t="n">
        <v>5</v>
      </c>
      <c r="C191" s="92" t="inlineStr">
        <is>
          <t>PF01</t>
        </is>
      </c>
      <c r="D191" s="92" t="inlineStr">
        <is>
          <t>보장성</t>
        </is>
      </c>
      <c r="E191" s="92" t="inlineStr">
        <is>
          <t>GMM</t>
        </is>
      </c>
      <c r="F191" s="92" t="inlineStr">
        <is>
          <t>F99</t>
        </is>
      </c>
      <c r="G191" s="92" t="inlineStr">
        <is>
          <t>기말잔액</t>
        </is>
      </c>
      <c r="H191" s="93" t="n">
        <v>1039670900000</v>
      </c>
      <c r="I191" s="93" t="n">
        <v>72063240000</v>
      </c>
      <c r="J191" s="93" t="n">
        <v>236730158000</v>
      </c>
      <c r="L191" s="9">
        <f>IF($A191="","",VALUE($A191&amp;"")*12+VALUE($B191&amp;""))</f>
        <v/>
      </c>
      <c r="M191" s="94">
        <f>IF($A191="",0,$H191*설정!$C$23)</f>
        <v/>
      </c>
      <c r="N191" s="94">
        <f>IF($A191="",0,$I191*설정!$C$23)</f>
        <v/>
      </c>
      <c r="O191" s="94">
        <f>IF($A191="",0,$J191*설정!$C$23)</f>
        <v/>
      </c>
      <c r="P191" s="64">
        <f>IF($A191="","",IFERROR(INDEX(입력옵션!$C$58:$C$68,MATCH($F191&amp;"",입력옵션!$E$58:$E$68,0)),IFERROR(INDEX(입력옵션!$C$58:$C$68,MATCH($G191&amp;"",입력옵션!$F$58:$F$68,0)),$F191&amp;"")))</f>
        <v/>
      </c>
    </row>
    <row r="192">
      <c r="A192" s="92" t="n">
        <v>2025</v>
      </c>
      <c r="B192" s="92" t="n">
        <v>5</v>
      </c>
      <c r="C192" s="92" t="inlineStr">
        <is>
          <t>PF02</t>
        </is>
      </c>
      <c r="D192" s="92" t="inlineStr">
        <is>
          <t>저축성</t>
        </is>
      </c>
      <c r="E192" s="92" t="inlineStr">
        <is>
          <t>GMM</t>
        </is>
      </c>
      <c r="F192" s="92" t="inlineStr">
        <is>
          <t>F00</t>
        </is>
      </c>
      <c r="G192" s="92" t="inlineStr">
        <is>
          <t>기초잔액</t>
        </is>
      </c>
      <c r="H192" s="93" t="n">
        <v>684736074000</v>
      </c>
      <c r="I192" s="93" t="n">
        <v>29872025000</v>
      </c>
      <c r="J192" s="93" t="n">
        <v>95151062000</v>
      </c>
      <c r="L192" s="9">
        <f>IF($A192="","",VALUE($A192&amp;"")*12+VALUE($B192&amp;""))</f>
        <v/>
      </c>
      <c r="M192" s="94">
        <f>IF($A192="",0,$H192*설정!$C$23)</f>
        <v/>
      </c>
      <c r="N192" s="94">
        <f>IF($A192="",0,$I192*설정!$C$23)</f>
        <v/>
      </c>
      <c r="O192" s="94">
        <f>IF($A192="",0,$J192*설정!$C$23)</f>
        <v/>
      </c>
      <c r="P192" s="64">
        <f>IF($A192="","",IFERROR(INDEX(입력옵션!$C$58:$C$68,MATCH($F192&amp;"",입력옵션!$E$58:$E$68,0)),IFERROR(INDEX(입력옵션!$C$58:$C$68,MATCH($G192&amp;"",입력옵션!$F$58:$F$68,0)),$F192&amp;"")))</f>
        <v/>
      </c>
    </row>
    <row r="193">
      <c r="A193" s="92" t="n">
        <v>2025</v>
      </c>
      <c r="B193" s="92" t="n">
        <v>5</v>
      </c>
      <c r="C193" s="92" t="inlineStr">
        <is>
          <t>PF02</t>
        </is>
      </c>
      <c r="D193" s="92" t="inlineStr">
        <is>
          <t>저축성</t>
        </is>
      </c>
      <c r="E193" s="92" t="inlineStr">
        <is>
          <t>GMM</t>
        </is>
      </c>
      <c r="F193" s="92" t="inlineStr">
        <is>
          <t>F10</t>
        </is>
      </c>
      <c r="G193" s="92" t="inlineStr">
        <is>
          <t>신계약 효과</t>
        </is>
      </c>
      <c r="H193" s="93" t="n">
        <v>-1347288000</v>
      </c>
      <c r="I193" s="93" t="n">
        <v>269458000</v>
      </c>
      <c r="J193" s="93" t="n">
        <v>1077830000</v>
      </c>
      <c r="L193" s="9">
        <f>IF($A193="","",VALUE($A193&amp;"")*12+VALUE($B193&amp;""))</f>
        <v/>
      </c>
      <c r="M193" s="94">
        <f>IF($A193="",0,$H193*설정!$C$23)</f>
        <v/>
      </c>
      <c r="N193" s="94">
        <f>IF($A193="",0,$I193*설정!$C$23)</f>
        <v/>
      </c>
      <c r="O193" s="94">
        <f>IF($A193="",0,$J193*설정!$C$23)</f>
        <v/>
      </c>
      <c r="P193" s="64">
        <f>IF($A193="","",IFERROR(INDEX(입력옵션!$C$58:$C$68,MATCH($F193&amp;"",입력옵션!$E$58:$E$68,0)),IFERROR(INDEX(입력옵션!$C$58:$C$68,MATCH($G193&amp;"",입력옵션!$F$58:$F$68,0)),$F193&amp;"")))</f>
        <v/>
      </c>
    </row>
    <row r="194">
      <c r="A194" s="92" t="n">
        <v>2025</v>
      </c>
      <c r="B194" s="92" t="n">
        <v>5</v>
      </c>
      <c r="C194" s="92" t="inlineStr">
        <is>
          <t>PF02</t>
        </is>
      </c>
      <c r="D194" s="92" t="inlineStr">
        <is>
          <t>저축성</t>
        </is>
      </c>
      <c r="E194" s="92" t="inlineStr">
        <is>
          <t>GMM</t>
        </is>
      </c>
      <c r="F194" s="92" t="inlineStr">
        <is>
          <t>F21</t>
        </is>
      </c>
      <c r="G194" s="92" t="inlineStr">
        <is>
          <t>가정변경-사업비</t>
        </is>
      </c>
      <c r="H194" s="93" t="n">
        <v>0</v>
      </c>
      <c r="I194" s="93" t="n">
        <v>0</v>
      </c>
      <c r="J194" s="93" t="n">
        <v>0</v>
      </c>
      <c r="L194" s="9">
        <f>IF($A194="","",VALUE($A194&amp;"")*12+VALUE($B194&amp;""))</f>
        <v/>
      </c>
      <c r="M194" s="94">
        <f>IF($A194="",0,$H194*설정!$C$23)</f>
        <v/>
      </c>
      <c r="N194" s="94">
        <f>IF($A194="",0,$I194*설정!$C$23)</f>
        <v/>
      </c>
      <c r="O194" s="94">
        <f>IF($A194="",0,$J194*설정!$C$23)</f>
        <v/>
      </c>
      <c r="P194" s="64">
        <f>IF($A194="","",IFERROR(INDEX(입력옵션!$C$58:$C$68,MATCH($F194&amp;"",입력옵션!$E$58:$E$68,0)),IFERROR(INDEX(입력옵션!$C$58:$C$68,MATCH($G194&amp;"",입력옵션!$F$58:$F$68,0)),$F194&amp;"")))</f>
        <v/>
      </c>
    </row>
    <row r="195">
      <c r="A195" s="92" t="n">
        <v>2025</v>
      </c>
      <c r="B195" s="92" t="n">
        <v>5</v>
      </c>
      <c r="C195" s="92" t="inlineStr">
        <is>
          <t>PF02</t>
        </is>
      </c>
      <c r="D195" s="92" t="inlineStr">
        <is>
          <t>저축성</t>
        </is>
      </c>
      <c r="E195" s="92" t="inlineStr">
        <is>
          <t>GMM</t>
        </is>
      </c>
      <c r="F195" s="92" t="inlineStr">
        <is>
          <t>F22</t>
        </is>
      </c>
      <c r="G195" s="92" t="inlineStr">
        <is>
          <t>가정변경-기타</t>
        </is>
      </c>
      <c r="H195" s="93" t="n">
        <v>0</v>
      </c>
      <c r="I195" s="93" t="n">
        <v>0</v>
      </c>
      <c r="J195" s="93" t="n">
        <v>0</v>
      </c>
      <c r="L195" s="9">
        <f>IF($A195="","",VALUE($A195&amp;"")*12+VALUE($B195&amp;""))</f>
        <v/>
      </c>
      <c r="M195" s="94">
        <f>IF($A195="",0,$H195*설정!$C$23)</f>
        <v/>
      </c>
      <c r="N195" s="94">
        <f>IF($A195="",0,$I195*설정!$C$23)</f>
        <v/>
      </c>
      <c r="O195" s="94">
        <f>IF($A195="",0,$J195*설정!$C$23)</f>
        <v/>
      </c>
      <c r="P195" s="64">
        <f>IF($A195="","",IFERROR(INDEX(입력옵션!$C$58:$C$68,MATCH($F195&amp;"",입력옵션!$E$58:$E$68,0)),IFERROR(INDEX(입력옵션!$C$58:$C$68,MATCH($G195&amp;"",입력옵션!$F$58:$F$68,0)),$F195&amp;"")))</f>
        <v/>
      </c>
    </row>
    <row r="196">
      <c r="A196" s="92" t="n">
        <v>2025</v>
      </c>
      <c r="B196" s="92" t="n">
        <v>5</v>
      </c>
      <c r="C196" s="92" t="inlineStr">
        <is>
          <t>PF02</t>
        </is>
      </c>
      <c r="D196" s="92" t="inlineStr">
        <is>
          <t>저축성</t>
        </is>
      </c>
      <c r="E196" s="92" t="inlineStr">
        <is>
          <t>GMM</t>
        </is>
      </c>
      <c r="F196" s="92" t="inlineStr">
        <is>
          <t>F31</t>
        </is>
      </c>
      <c r="G196" s="92" t="inlineStr">
        <is>
          <t>경험조정-취득현금흐름</t>
        </is>
      </c>
      <c r="H196" s="93" t="n">
        <v>0</v>
      </c>
      <c r="I196" s="93" t="n">
        <v>0</v>
      </c>
      <c r="J196" s="93" t="n">
        <v>-2003000</v>
      </c>
      <c r="L196" s="9">
        <f>IF($A196="","",VALUE($A196&amp;"")*12+VALUE($B196&amp;""))</f>
        <v/>
      </c>
      <c r="M196" s="94">
        <f>IF($A196="",0,$H196*설정!$C$23)</f>
        <v/>
      </c>
      <c r="N196" s="94">
        <f>IF($A196="",0,$I196*설정!$C$23)</f>
        <v/>
      </c>
      <c r="O196" s="94">
        <f>IF($A196="",0,$J196*설정!$C$23)</f>
        <v/>
      </c>
      <c r="P196" s="64">
        <f>IF($A196="","",IFERROR(INDEX(입력옵션!$C$58:$C$68,MATCH($F196&amp;"",입력옵션!$E$58:$E$68,0)),IFERROR(INDEX(입력옵션!$C$58:$C$68,MATCH($G196&amp;"",입력옵션!$F$58:$F$68,0)),$F196&amp;"")))</f>
        <v/>
      </c>
    </row>
    <row r="197">
      <c r="A197" s="92" t="n">
        <v>2025</v>
      </c>
      <c r="B197" s="92" t="n">
        <v>5</v>
      </c>
      <c r="C197" s="92" t="inlineStr">
        <is>
          <t>PF02</t>
        </is>
      </c>
      <c r="D197" s="92" t="inlineStr">
        <is>
          <t>저축성</t>
        </is>
      </c>
      <c r="E197" s="92" t="inlineStr">
        <is>
          <t>GMM</t>
        </is>
      </c>
      <c r="F197" s="92" t="inlineStr">
        <is>
          <t>F32</t>
        </is>
      </c>
      <c r="G197" s="92" t="inlineStr">
        <is>
          <t>경험조정-보험료 등</t>
        </is>
      </c>
      <c r="H197" s="93" t="n">
        <v>0</v>
      </c>
      <c r="I197" s="93" t="n">
        <v>0</v>
      </c>
      <c r="J197" s="93" t="n">
        <v>-162711000</v>
      </c>
      <c r="L197" s="9">
        <f>IF($A197="","",VALUE($A197&amp;"")*12+VALUE($B197&amp;""))</f>
        <v/>
      </c>
      <c r="M197" s="94">
        <f>IF($A197="",0,$H197*설정!$C$23)</f>
        <v/>
      </c>
      <c r="N197" s="94">
        <f>IF($A197="",0,$I197*설정!$C$23)</f>
        <v/>
      </c>
      <c r="O197" s="94">
        <f>IF($A197="",0,$J197*설정!$C$23)</f>
        <v/>
      </c>
      <c r="P197" s="64">
        <f>IF($A197="","",IFERROR(INDEX(입력옵션!$C$58:$C$68,MATCH($F197&amp;"",입력옵션!$E$58:$E$68,0)),IFERROR(INDEX(입력옵션!$C$58:$C$68,MATCH($G197&amp;"",입력옵션!$F$58:$F$68,0)),$F197&amp;"")))</f>
        <v/>
      </c>
    </row>
    <row r="198">
      <c r="A198" s="92" t="n">
        <v>2025</v>
      </c>
      <c r="B198" s="92" t="n">
        <v>5</v>
      </c>
      <c r="C198" s="92" t="inlineStr">
        <is>
          <t>PF02</t>
        </is>
      </c>
      <c r="D198" s="92" t="inlineStr">
        <is>
          <t>저축성</t>
        </is>
      </c>
      <c r="E198" s="92" t="inlineStr">
        <is>
          <t>GMM</t>
        </is>
      </c>
      <c r="F198" s="92" t="inlineStr">
        <is>
          <t>F40</t>
        </is>
      </c>
      <c r="G198" s="92" t="inlineStr">
        <is>
          <t>보험금융비용(이자부리)</t>
        </is>
      </c>
      <c r="H198" s="93" t="n">
        <v>1711840000</v>
      </c>
      <c r="I198" s="93" t="n">
        <v>59744000</v>
      </c>
      <c r="J198" s="93" t="n">
        <v>237878000</v>
      </c>
      <c r="L198" s="9">
        <f>IF($A198="","",VALUE($A198&amp;"")*12+VALUE($B198&amp;""))</f>
        <v/>
      </c>
      <c r="M198" s="94">
        <f>IF($A198="",0,$H198*설정!$C$23)</f>
        <v/>
      </c>
      <c r="N198" s="94">
        <f>IF($A198="",0,$I198*설정!$C$23)</f>
        <v/>
      </c>
      <c r="O198" s="94">
        <f>IF($A198="",0,$J198*설정!$C$23)</f>
        <v/>
      </c>
      <c r="P198" s="64">
        <f>IF($A198="","",IFERROR(INDEX(입력옵션!$C$58:$C$68,MATCH($F198&amp;"",입력옵션!$E$58:$E$68,0)),IFERROR(INDEX(입력옵션!$C$58:$C$68,MATCH($G198&amp;"",입력옵션!$F$58:$F$68,0)),$F198&amp;"")))</f>
        <v/>
      </c>
    </row>
    <row r="199">
      <c r="A199" s="92" t="n">
        <v>2025</v>
      </c>
      <c r="B199" s="92" t="n">
        <v>5</v>
      </c>
      <c r="C199" s="92" t="inlineStr">
        <is>
          <t>PF02</t>
        </is>
      </c>
      <c r="D199" s="92" t="inlineStr">
        <is>
          <t>저축성</t>
        </is>
      </c>
      <c r="E199" s="92" t="inlineStr">
        <is>
          <t>GMM</t>
        </is>
      </c>
      <c r="F199" s="92" t="inlineStr">
        <is>
          <t>F51</t>
        </is>
      </c>
      <c r="G199" s="92" t="inlineStr">
        <is>
          <t>CSM 상각</t>
        </is>
      </c>
      <c r="H199" s="93" t="n">
        <v>0</v>
      </c>
      <c r="I199" s="93" t="n">
        <v>0</v>
      </c>
      <c r="J199" s="93" t="n">
        <v>-856360000</v>
      </c>
      <c r="L199" s="9">
        <f>IF($A199="","",VALUE($A199&amp;"")*12+VALUE($B199&amp;""))</f>
        <v/>
      </c>
      <c r="M199" s="94">
        <f>IF($A199="",0,$H199*설정!$C$23)</f>
        <v/>
      </c>
      <c r="N199" s="94">
        <f>IF($A199="",0,$I199*설정!$C$23)</f>
        <v/>
      </c>
      <c r="O199" s="94">
        <f>IF($A199="",0,$J199*설정!$C$23)</f>
        <v/>
      </c>
      <c r="P199" s="64">
        <f>IF($A199="","",IFERROR(INDEX(입력옵션!$C$58:$C$68,MATCH($F199&amp;"",입력옵션!$E$58:$E$68,0)),IFERROR(INDEX(입력옵션!$C$58:$C$68,MATCH($G199&amp;"",입력옵션!$F$58:$F$68,0)),$F199&amp;"")))</f>
        <v/>
      </c>
    </row>
    <row r="200">
      <c r="A200" s="92" t="n">
        <v>2025</v>
      </c>
      <c r="B200" s="92" t="n">
        <v>5</v>
      </c>
      <c r="C200" s="92" t="inlineStr">
        <is>
          <t>PF02</t>
        </is>
      </c>
      <c r="D200" s="92" t="inlineStr">
        <is>
          <t>저축성</t>
        </is>
      </c>
      <c r="E200" s="92" t="inlineStr">
        <is>
          <t>GMM</t>
        </is>
      </c>
      <c r="F200" s="92" t="inlineStr">
        <is>
          <t>F52</t>
        </is>
      </c>
      <c r="G200" s="92" t="inlineStr">
        <is>
          <t>RA 해제</t>
        </is>
      </c>
      <c r="H200" s="93" t="n">
        <v>0</v>
      </c>
      <c r="I200" s="93" t="n">
        <v>-179232000</v>
      </c>
      <c r="J200" s="93" t="n">
        <v>0</v>
      </c>
      <c r="L200" s="9">
        <f>IF($A200="","",VALUE($A200&amp;"")*12+VALUE($B200&amp;""))</f>
        <v/>
      </c>
      <c r="M200" s="94">
        <f>IF($A200="",0,$H200*설정!$C$23)</f>
        <v/>
      </c>
      <c r="N200" s="94">
        <f>IF($A200="",0,$I200*설정!$C$23)</f>
        <v/>
      </c>
      <c r="O200" s="94">
        <f>IF($A200="",0,$J200*설정!$C$23)</f>
        <v/>
      </c>
      <c r="P200" s="64">
        <f>IF($A200="","",IFERROR(INDEX(입력옵션!$C$58:$C$68,MATCH($F200&amp;"",입력옵션!$E$58:$E$68,0)),IFERROR(INDEX(입력옵션!$C$58:$C$68,MATCH($G200&amp;"",입력옵션!$F$58:$F$68,0)),$F200&amp;"")))</f>
        <v/>
      </c>
    </row>
    <row r="201">
      <c r="A201" s="92" t="n">
        <v>2025</v>
      </c>
      <c r="B201" s="92" t="n">
        <v>5</v>
      </c>
      <c r="C201" s="92" t="inlineStr">
        <is>
          <t>PF02</t>
        </is>
      </c>
      <c r="D201" s="92" t="inlineStr">
        <is>
          <t>저축성</t>
        </is>
      </c>
      <c r="E201" s="92" t="inlineStr">
        <is>
          <t>GMM</t>
        </is>
      </c>
      <c r="F201" s="92" t="inlineStr">
        <is>
          <t>F60</t>
        </is>
      </c>
      <c r="G201" s="92" t="inlineStr">
        <is>
          <t>현금흐름 및 기타</t>
        </is>
      </c>
      <c r="H201" s="93" t="n">
        <v>1082167000</v>
      </c>
      <c r="I201" s="93" t="n">
        <v>4356000</v>
      </c>
      <c r="J201" s="93" t="n">
        <v>0</v>
      </c>
      <c r="L201" s="9">
        <f>IF($A201="","",VALUE($A201&amp;"")*12+VALUE($B201&amp;""))</f>
        <v/>
      </c>
      <c r="M201" s="94">
        <f>IF($A201="",0,$H201*설정!$C$23)</f>
        <v/>
      </c>
      <c r="N201" s="94">
        <f>IF($A201="",0,$I201*설정!$C$23)</f>
        <v/>
      </c>
      <c r="O201" s="94">
        <f>IF($A201="",0,$J201*설정!$C$23)</f>
        <v/>
      </c>
      <c r="P201" s="64">
        <f>IF($A201="","",IFERROR(INDEX(입력옵션!$C$58:$C$68,MATCH($F201&amp;"",입력옵션!$E$58:$E$68,0)),IFERROR(INDEX(입력옵션!$C$58:$C$68,MATCH($G201&amp;"",입력옵션!$F$58:$F$68,0)),$F201&amp;"")))</f>
        <v/>
      </c>
    </row>
    <row r="202">
      <c r="A202" s="92" t="n">
        <v>2025</v>
      </c>
      <c r="B202" s="92" t="n">
        <v>5</v>
      </c>
      <c r="C202" s="92" t="inlineStr">
        <is>
          <t>PF02</t>
        </is>
      </c>
      <c r="D202" s="92" t="inlineStr">
        <is>
          <t>저축성</t>
        </is>
      </c>
      <c r="E202" s="92" t="inlineStr">
        <is>
          <t>GMM</t>
        </is>
      </c>
      <c r="F202" s="92" t="inlineStr">
        <is>
          <t>F99</t>
        </is>
      </c>
      <c r="G202" s="92" t="inlineStr">
        <is>
          <t>기말잔액</t>
        </is>
      </c>
      <c r="H202" s="93" t="n">
        <v>686182794000</v>
      </c>
      <c r="I202" s="93" t="n">
        <v>30026350000</v>
      </c>
      <c r="J202" s="93" t="n">
        <v>95445697000</v>
      </c>
      <c r="L202" s="9">
        <f>IF($A202="","",VALUE($A202&amp;"")*12+VALUE($B202&amp;""))</f>
        <v/>
      </c>
      <c r="M202" s="94">
        <f>IF($A202="",0,$H202*설정!$C$23)</f>
        <v/>
      </c>
      <c r="N202" s="94">
        <f>IF($A202="",0,$I202*설정!$C$23)</f>
        <v/>
      </c>
      <c r="O202" s="94">
        <f>IF($A202="",0,$J202*설정!$C$23)</f>
        <v/>
      </c>
      <c r="P202" s="64">
        <f>IF($A202="","",IFERROR(INDEX(입력옵션!$C$58:$C$68,MATCH($F202&amp;"",입력옵션!$E$58:$E$68,0)),IFERROR(INDEX(입력옵션!$C$58:$C$68,MATCH($G202&amp;"",입력옵션!$F$58:$F$68,0)),$F202&amp;"")))</f>
        <v/>
      </c>
    </row>
    <row r="203">
      <c r="A203" s="92" t="n">
        <v>2025</v>
      </c>
      <c r="B203" s="92" t="n">
        <v>5</v>
      </c>
      <c r="C203" s="92" t="inlineStr">
        <is>
          <t>PF03</t>
        </is>
      </c>
      <c r="D203" s="92" t="inlineStr">
        <is>
          <t>단체(단기)</t>
        </is>
      </c>
      <c r="E203" s="92" t="inlineStr">
        <is>
          <t>PAA</t>
        </is>
      </c>
      <c r="F203" s="92" t="inlineStr">
        <is>
          <t>F00</t>
        </is>
      </c>
      <c r="G203" s="92" t="inlineStr">
        <is>
          <t>기초잔액</t>
        </is>
      </c>
      <c r="H203" s="93" t="n">
        <v>41499156000</v>
      </c>
      <c r="I203" s="93" t="n">
        <v>2389762000</v>
      </c>
      <c r="J203" s="93" t="n">
        <v>0</v>
      </c>
      <c r="L203" s="9">
        <f>IF($A203="","",VALUE($A203&amp;"")*12+VALUE($B203&amp;""))</f>
        <v/>
      </c>
      <c r="M203" s="94">
        <f>IF($A203="",0,$H203*설정!$C$23)</f>
        <v/>
      </c>
      <c r="N203" s="94">
        <f>IF($A203="",0,$I203*설정!$C$23)</f>
        <v/>
      </c>
      <c r="O203" s="94">
        <f>IF($A203="",0,$J203*설정!$C$23)</f>
        <v/>
      </c>
      <c r="P203" s="64">
        <f>IF($A203="","",IFERROR(INDEX(입력옵션!$C$58:$C$68,MATCH($F203&amp;"",입력옵션!$E$58:$E$68,0)),IFERROR(INDEX(입력옵션!$C$58:$C$68,MATCH($G203&amp;"",입력옵션!$F$58:$F$68,0)),$F203&amp;"")))</f>
        <v/>
      </c>
    </row>
    <row r="204">
      <c r="A204" s="92" t="n">
        <v>2025</v>
      </c>
      <c r="B204" s="92" t="n">
        <v>5</v>
      </c>
      <c r="C204" s="92" t="inlineStr">
        <is>
          <t>PF03</t>
        </is>
      </c>
      <c r="D204" s="92" t="inlineStr">
        <is>
          <t>단체(단기)</t>
        </is>
      </c>
      <c r="E204" s="92" t="inlineStr">
        <is>
          <t>PAA</t>
        </is>
      </c>
      <c r="F204" s="92" t="inlineStr">
        <is>
          <t>F10</t>
        </is>
      </c>
      <c r="G204" s="92" t="inlineStr">
        <is>
          <t>신계약 효과</t>
        </is>
      </c>
      <c r="H204" s="93" t="n">
        <v>0</v>
      </c>
      <c r="I204" s="93" t="n">
        <v>0</v>
      </c>
      <c r="J204" s="93" t="n">
        <v>0</v>
      </c>
      <c r="L204" s="9">
        <f>IF($A204="","",VALUE($A204&amp;"")*12+VALUE($B204&amp;""))</f>
        <v/>
      </c>
      <c r="M204" s="94">
        <f>IF($A204="",0,$H204*설정!$C$23)</f>
        <v/>
      </c>
      <c r="N204" s="94">
        <f>IF($A204="",0,$I204*설정!$C$23)</f>
        <v/>
      </c>
      <c r="O204" s="94">
        <f>IF($A204="",0,$J204*설정!$C$23)</f>
        <v/>
      </c>
      <c r="P204" s="64">
        <f>IF($A204="","",IFERROR(INDEX(입력옵션!$C$58:$C$68,MATCH($F204&amp;"",입력옵션!$E$58:$E$68,0)),IFERROR(INDEX(입력옵션!$C$58:$C$68,MATCH($G204&amp;"",입력옵션!$F$58:$F$68,0)),$F204&amp;"")))</f>
        <v/>
      </c>
    </row>
    <row r="205">
      <c r="A205" s="92" t="n">
        <v>2025</v>
      </c>
      <c r="B205" s="92" t="n">
        <v>5</v>
      </c>
      <c r="C205" s="92" t="inlineStr">
        <is>
          <t>PF03</t>
        </is>
      </c>
      <c r="D205" s="92" t="inlineStr">
        <is>
          <t>단체(단기)</t>
        </is>
      </c>
      <c r="E205" s="92" t="inlineStr">
        <is>
          <t>PAA</t>
        </is>
      </c>
      <c r="F205" s="92" t="inlineStr">
        <is>
          <t>F21</t>
        </is>
      </c>
      <c r="G205" s="92" t="inlineStr">
        <is>
          <t>가정변경-사업비</t>
        </is>
      </c>
      <c r="H205" s="93" t="n">
        <v>0</v>
      </c>
      <c r="I205" s="93" t="n">
        <v>0</v>
      </c>
      <c r="J205" s="93" t="n">
        <v>0</v>
      </c>
      <c r="L205" s="9">
        <f>IF($A205="","",VALUE($A205&amp;"")*12+VALUE($B205&amp;""))</f>
        <v/>
      </c>
      <c r="M205" s="94">
        <f>IF($A205="",0,$H205*설정!$C$23)</f>
        <v/>
      </c>
      <c r="N205" s="94">
        <f>IF($A205="",0,$I205*설정!$C$23)</f>
        <v/>
      </c>
      <c r="O205" s="94">
        <f>IF($A205="",0,$J205*설정!$C$23)</f>
        <v/>
      </c>
      <c r="P205" s="64">
        <f>IF($A205="","",IFERROR(INDEX(입력옵션!$C$58:$C$68,MATCH($F205&amp;"",입력옵션!$E$58:$E$68,0)),IFERROR(INDEX(입력옵션!$C$58:$C$68,MATCH($G205&amp;"",입력옵션!$F$58:$F$68,0)),$F205&amp;"")))</f>
        <v/>
      </c>
    </row>
    <row r="206">
      <c r="A206" s="92" t="n">
        <v>2025</v>
      </c>
      <c r="B206" s="92" t="n">
        <v>5</v>
      </c>
      <c r="C206" s="92" t="inlineStr">
        <is>
          <t>PF03</t>
        </is>
      </c>
      <c r="D206" s="92" t="inlineStr">
        <is>
          <t>단체(단기)</t>
        </is>
      </c>
      <c r="E206" s="92" t="inlineStr">
        <is>
          <t>PAA</t>
        </is>
      </c>
      <c r="F206" s="92" t="inlineStr">
        <is>
          <t>F22</t>
        </is>
      </c>
      <c r="G206" s="92" t="inlineStr">
        <is>
          <t>가정변경-기타</t>
        </is>
      </c>
      <c r="H206" s="93" t="n">
        <v>0</v>
      </c>
      <c r="I206" s="93" t="n">
        <v>0</v>
      </c>
      <c r="J206" s="93" t="n">
        <v>0</v>
      </c>
      <c r="L206" s="9">
        <f>IF($A206="","",VALUE($A206&amp;"")*12+VALUE($B206&amp;""))</f>
        <v/>
      </c>
      <c r="M206" s="94">
        <f>IF($A206="",0,$H206*설정!$C$23)</f>
        <v/>
      </c>
      <c r="N206" s="94">
        <f>IF($A206="",0,$I206*설정!$C$23)</f>
        <v/>
      </c>
      <c r="O206" s="94">
        <f>IF($A206="",0,$J206*설정!$C$23)</f>
        <v/>
      </c>
      <c r="P206" s="64">
        <f>IF($A206="","",IFERROR(INDEX(입력옵션!$C$58:$C$68,MATCH($F206&amp;"",입력옵션!$E$58:$E$68,0)),IFERROR(INDEX(입력옵션!$C$58:$C$68,MATCH($G206&amp;"",입력옵션!$F$58:$F$68,0)),$F206&amp;"")))</f>
        <v/>
      </c>
    </row>
    <row r="207">
      <c r="A207" s="92" t="n">
        <v>2025</v>
      </c>
      <c r="B207" s="92" t="n">
        <v>5</v>
      </c>
      <c r="C207" s="92" t="inlineStr">
        <is>
          <t>PF03</t>
        </is>
      </c>
      <c r="D207" s="92" t="inlineStr">
        <is>
          <t>단체(단기)</t>
        </is>
      </c>
      <c r="E207" s="92" t="inlineStr">
        <is>
          <t>PAA</t>
        </is>
      </c>
      <c r="F207" s="92" t="inlineStr">
        <is>
          <t>F31</t>
        </is>
      </c>
      <c r="G207" s="92" t="inlineStr">
        <is>
          <t>경험조정-취득현금흐름</t>
        </is>
      </c>
      <c r="H207" s="93" t="n">
        <v>0</v>
      </c>
      <c r="I207" s="93" t="n">
        <v>0</v>
      </c>
      <c r="J207" s="93" t="n">
        <v>0</v>
      </c>
      <c r="L207" s="9">
        <f>IF($A207="","",VALUE($A207&amp;"")*12+VALUE($B207&amp;""))</f>
        <v/>
      </c>
      <c r="M207" s="94">
        <f>IF($A207="",0,$H207*설정!$C$23)</f>
        <v/>
      </c>
      <c r="N207" s="94">
        <f>IF($A207="",0,$I207*설정!$C$23)</f>
        <v/>
      </c>
      <c r="O207" s="94">
        <f>IF($A207="",0,$J207*설정!$C$23)</f>
        <v/>
      </c>
      <c r="P207" s="64">
        <f>IF($A207="","",IFERROR(INDEX(입력옵션!$C$58:$C$68,MATCH($F207&amp;"",입력옵션!$E$58:$E$68,0)),IFERROR(INDEX(입력옵션!$C$58:$C$68,MATCH($G207&amp;"",입력옵션!$F$58:$F$68,0)),$F207&amp;"")))</f>
        <v/>
      </c>
    </row>
    <row r="208">
      <c r="A208" s="92" t="n">
        <v>2025</v>
      </c>
      <c r="B208" s="92" t="n">
        <v>5</v>
      </c>
      <c r="C208" s="92" t="inlineStr">
        <is>
          <t>PF03</t>
        </is>
      </c>
      <c r="D208" s="92" t="inlineStr">
        <is>
          <t>단체(단기)</t>
        </is>
      </c>
      <c r="E208" s="92" t="inlineStr">
        <is>
          <t>PAA</t>
        </is>
      </c>
      <c r="F208" s="92" t="inlineStr">
        <is>
          <t>F32</t>
        </is>
      </c>
      <c r="G208" s="92" t="inlineStr">
        <is>
          <t>경험조정-보험료 등</t>
        </is>
      </c>
      <c r="H208" s="93" t="n">
        <v>0</v>
      </c>
      <c r="I208" s="93" t="n">
        <v>0</v>
      </c>
      <c r="J208" s="93" t="n">
        <v>0</v>
      </c>
      <c r="L208" s="9">
        <f>IF($A208="","",VALUE($A208&amp;"")*12+VALUE($B208&amp;""))</f>
        <v/>
      </c>
      <c r="M208" s="94">
        <f>IF($A208="",0,$H208*설정!$C$23)</f>
        <v/>
      </c>
      <c r="N208" s="94">
        <f>IF($A208="",0,$I208*설정!$C$23)</f>
        <v/>
      </c>
      <c r="O208" s="94">
        <f>IF($A208="",0,$J208*설정!$C$23)</f>
        <v/>
      </c>
      <c r="P208" s="64">
        <f>IF($A208="","",IFERROR(INDEX(입력옵션!$C$58:$C$68,MATCH($F208&amp;"",입력옵션!$E$58:$E$68,0)),IFERROR(INDEX(입력옵션!$C$58:$C$68,MATCH($G208&amp;"",입력옵션!$F$58:$F$68,0)),$F208&amp;"")))</f>
        <v/>
      </c>
    </row>
    <row r="209">
      <c r="A209" s="92" t="n">
        <v>2025</v>
      </c>
      <c r="B209" s="92" t="n">
        <v>5</v>
      </c>
      <c r="C209" s="92" t="inlineStr">
        <is>
          <t>PF03</t>
        </is>
      </c>
      <c r="D209" s="92" t="inlineStr">
        <is>
          <t>단체(단기)</t>
        </is>
      </c>
      <c r="E209" s="92" t="inlineStr">
        <is>
          <t>PAA</t>
        </is>
      </c>
      <c r="F209" s="92" t="inlineStr">
        <is>
          <t>F40</t>
        </is>
      </c>
      <c r="G209" s="92" t="inlineStr">
        <is>
          <t>보험금융비용(이자부리)</t>
        </is>
      </c>
      <c r="H209" s="93" t="n">
        <v>0</v>
      </c>
      <c r="I209" s="93" t="n">
        <v>0</v>
      </c>
      <c r="J209" s="93" t="n">
        <v>0</v>
      </c>
      <c r="L209" s="9">
        <f>IF($A209="","",VALUE($A209&amp;"")*12+VALUE($B209&amp;""))</f>
        <v/>
      </c>
      <c r="M209" s="94">
        <f>IF($A209="",0,$H209*설정!$C$23)</f>
        <v/>
      </c>
      <c r="N209" s="94">
        <f>IF($A209="",0,$I209*설정!$C$23)</f>
        <v/>
      </c>
      <c r="O209" s="94">
        <f>IF($A209="",0,$J209*설정!$C$23)</f>
        <v/>
      </c>
      <c r="P209" s="64">
        <f>IF($A209="","",IFERROR(INDEX(입력옵션!$C$58:$C$68,MATCH($F209&amp;"",입력옵션!$E$58:$E$68,0)),IFERROR(INDEX(입력옵션!$C$58:$C$68,MATCH($G209&amp;"",입력옵션!$F$58:$F$68,0)),$F209&amp;"")))</f>
        <v/>
      </c>
    </row>
    <row r="210">
      <c r="A210" s="92" t="n">
        <v>2025</v>
      </c>
      <c r="B210" s="92" t="n">
        <v>5</v>
      </c>
      <c r="C210" s="92" t="inlineStr">
        <is>
          <t>PF03</t>
        </is>
      </c>
      <c r="D210" s="92" t="inlineStr">
        <is>
          <t>단체(단기)</t>
        </is>
      </c>
      <c r="E210" s="92" t="inlineStr">
        <is>
          <t>PAA</t>
        </is>
      </c>
      <c r="F210" s="92" t="inlineStr">
        <is>
          <t>F51</t>
        </is>
      </c>
      <c r="G210" s="92" t="inlineStr">
        <is>
          <t>CSM 상각</t>
        </is>
      </c>
      <c r="H210" s="93" t="n">
        <v>0</v>
      </c>
      <c r="I210" s="93" t="n">
        <v>0</v>
      </c>
      <c r="J210" s="93" t="n">
        <v>0</v>
      </c>
      <c r="L210" s="9">
        <f>IF($A210="","",VALUE($A210&amp;"")*12+VALUE($B210&amp;""))</f>
        <v/>
      </c>
      <c r="M210" s="94">
        <f>IF($A210="",0,$H210*설정!$C$23)</f>
        <v/>
      </c>
      <c r="N210" s="94">
        <f>IF($A210="",0,$I210*설정!$C$23)</f>
        <v/>
      </c>
      <c r="O210" s="94">
        <f>IF($A210="",0,$J210*설정!$C$23)</f>
        <v/>
      </c>
      <c r="P210" s="64">
        <f>IF($A210="","",IFERROR(INDEX(입력옵션!$C$58:$C$68,MATCH($F210&amp;"",입력옵션!$E$58:$E$68,0)),IFERROR(INDEX(입력옵션!$C$58:$C$68,MATCH($G210&amp;"",입력옵션!$F$58:$F$68,0)),$F210&amp;"")))</f>
        <v/>
      </c>
    </row>
    <row r="211">
      <c r="A211" s="92" t="n">
        <v>2025</v>
      </c>
      <c r="B211" s="92" t="n">
        <v>5</v>
      </c>
      <c r="C211" s="92" t="inlineStr">
        <is>
          <t>PF03</t>
        </is>
      </c>
      <c r="D211" s="92" t="inlineStr">
        <is>
          <t>단체(단기)</t>
        </is>
      </c>
      <c r="E211" s="92" t="inlineStr">
        <is>
          <t>PAA</t>
        </is>
      </c>
      <c r="F211" s="92" t="inlineStr">
        <is>
          <t>F52</t>
        </is>
      </c>
      <c r="G211" s="92" t="inlineStr">
        <is>
          <t>RA 해제</t>
        </is>
      </c>
      <c r="H211" s="93" t="n">
        <v>0</v>
      </c>
      <c r="I211" s="93" t="n">
        <v>-14339000</v>
      </c>
      <c r="J211" s="93" t="n">
        <v>0</v>
      </c>
      <c r="L211" s="9">
        <f>IF($A211="","",VALUE($A211&amp;"")*12+VALUE($B211&amp;""))</f>
        <v/>
      </c>
      <c r="M211" s="94">
        <f>IF($A211="",0,$H211*설정!$C$23)</f>
        <v/>
      </c>
      <c r="N211" s="94">
        <f>IF($A211="",0,$I211*설정!$C$23)</f>
        <v/>
      </c>
      <c r="O211" s="94">
        <f>IF($A211="",0,$J211*설정!$C$23)</f>
        <v/>
      </c>
      <c r="P211" s="64">
        <f>IF($A211="","",IFERROR(INDEX(입력옵션!$C$58:$C$68,MATCH($F211&amp;"",입력옵션!$E$58:$E$68,0)),IFERROR(INDEX(입력옵션!$C$58:$C$68,MATCH($G211&amp;"",입력옵션!$F$58:$F$68,0)),$F211&amp;"")))</f>
        <v/>
      </c>
    </row>
    <row r="212">
      <c r="A212" s="92" t="n">
        <v>2025</v>
      </c>
      <c r="B212" s="92" t="n">
        <v>5</v>
      </c>
      <c r="C212" s="92" t="inlineStr">
        <is>
          <t>PF03</t>
        </is>
      </c>
      <c r="D212" s="92" t="inlineStr">
        <is>
          <t>단체(단기)</t>
        </is>
      </c>
      <c r="E212" s="92" t="inlineStr">
        <is>
          <t>PAA</t>
        </is>
      </c>
      <c r="F212" s="92" t="inlineStr">
        <is>
          <t>F60</t>
        </is>
      </c>
      <c r="G212" s="92" t="inlineStr">
        <is>
          <t>현금흐름 및 기타</t>
        </is>
      </c>
      <c r="H212" s="93" t="n">
        <v>87680000</v>
      </c>
      <c r="I212" s="93" t="n">
        <v>26685000</v>
      </c>
      <c r="J212" s="93" t="n">
        <v>0</v>
      </c>
      <c r="L212" s="9">
        <f>IF($A212="","",VALUE($A212&amp;"")*12+VALUE($B212&amp;""))</f>
        <v/>
      </c>
      <c r="M212" s="94">
        <f>IF($A212="",0,$H212*설정!$C$23)</f>
        <v/>
      </c>
      <c r="N212" s="94">
        <f>IF($A212="",0,$I212*설정!$C$23)</f>
        <v/>
      </c>
      <c r="O212" s="94">
        <f>IF($A212="",0,$J212*설정!$C$23)</f>
        <v/>
      </c>
      <c r="P212" s="64">
        <f>IF($A212="","",IFERROR(INDEX(입력옵션!$C$58:$C$68,MATCH($F212&amp;"",입력옵션!$E$58:$E$68,0)),IFERROR(INDEX(입력옵션!$C$58:$C$68,MATCH($G212&amp;"",입력옵션!$F$58:$F$68,0)),$F212&amp;"")))</f>
        <v/>
      </c>
    </row>
    <row r="213">
      <c r="A213" s="92" t="n">
        <v>2025</v>
      </c>
      <c r="B213" s="92" t="n">
        <v>5</v>
      </c>
      <c r="C213" s="92" t="inlineStr">
        <is>
          <t>PF03</t>
        </is>
      </c>
      <c r="D213" s="92" t="inlineStr">
        <is>
          <t>단체(단기)</t>
        </is>
      </c>
      <c r="E213" s="92" t="inlineStr">
        <is>
          <t>PAA</t>
        </is>
      </c>
      <c r="F213" s="92" t="inlineStr">
        <is>
          <t>F99</t>
        </is>
      </c>
      <c r="G213" s="92" t="inlineStr">
        <is>
          <t>기말잔액</t>
        </is>
      </c>
      <c r="H213" s="93" t="n">
        <v>41586836000</v>
      </c>
      <c r="I213" s="93" t="n">
        <v>2402108000</v>
      </c>
      <c r="J213" s="93" t="n">
        <v>0</v>
      </c>
      <c r="L213" s="9">
        <f>IF($A213="","",VALUE($A213&amp;"")*12+VALUE($B213&amp;""))</f>
        <v/>
      </c>
      <c r="M213" s="94">
        <f>IF($A213="",0,$H213*설정!$C$23)</f>
        <v/>
      </c>
      <c r="N213" s="94">
        <f>IF($A213="",0,$I213*설정!$C$23)</f>
        <v/>
      </c>
      <c r="O213" s="94">
        <f>IF($A213="",0,$J213*설정!$C$23)</f>
        <v/>
      </c>
      <c r="P213" s="64">
        <f>IF($A213="","",IFERROR(INDEX(입력옵션!$C$58:$C$68,MATCH($F213&amp;"",입력옵션!$E$58:$E$68,0)),IFERROR(INDEX(입력옵션!$C$58:$C$68,MATCH($G213&amp;"",입력옵션!$F$58:$F$68,0)),$F213&amp;"")))</f>
        <v/>
      </c>
    </row>
    <row r="214">
      <c r="A214" s="92" t="n">
        <v>2025</v>
      </c>
      <c r="B214" s="92" t="n">
        <v>5</v>
      </c>
      <c r="C214" s="92" t="inlineStr">
        <is>
          <t>PF04</t>
        </is>
      </c>
      <c r="D214" s="92" t="inlineStr">
        <is>
          <t>변액</t>
        </is>
      </c>
      <c r="E214" s="92" t="inlineStr">
        <is>
          <t>VFA</t>
        </is>
      </c>
      <c r="F214" s="92" t="inlineStr">
        <is>
          <t>F00</t>
        </is>
      </c>
      <c r="G214" s="92" t="inlineStr">
        <is>
          <t>기초잔액</t>
        </is>
      </c>
      <c r="H214" s="93" t="n">
        <v>311243670000</v>
      </c>
      <c r="I214" s="93" t="n">
        <v>15533453000</v>
      </c>
      <c r="J214" s="93" t="n">
        <v>49807222000</v>
      </c>
      <c r="L214" s="9">
        <f>IF($A214="","",VALUE($A214&amp;"")*12+VALUE($B214&amp;""))</f>
        <v/>
      </c>
      <c r="M214" s="94">
        <f>IF($A214="",0,$H214*설정!$C$23)</f>
        <v/>
      </c>
      <c r="N214" s="94">
        <f>IF($A214="",0,$I214*설정!$C$23)</f>
        <v/>
      </c>
      <c r="O214" s="94">
        <f>IF($A214="",0,$J214*설정!$C$23)</f>
        <v/>
      </c>
      <c r="P214" s="64">
        <f>IF($A214="","",IFERROR(INDEX(입력옵션!$C$58:$C$68,MATCH($F214&amp;"",입력옵션!$E$58:$E$68,0)),IFERROR(INDEX(입력옵션!$C$58:$C$68,MATCH($G214&amp;"",입력옵션!$F$58:$F$68,0)),$F214&amp;"")))</f>
        <v/>
      </c>
    </row>
    <row r="215">
      <c r="A215" s="92" t="n">
        <v>2025</v>
      </c>
      <c r="B215" s="92" t="n">
        <v>5</v>
      </c>
      <c r="C215" s="92" t="inlineStr">
        <is>
          <t>PF04</t>
        </is>
      </c>
      <c r="D215" s="92" t="inlineStr">
        <is>
          <t>변액</t>
        </is>
      </c>
      <c r="E215" s="92" t="inlineStr">
        <is>
          <t>VFA</t>
        </is>
      </c>
      <c r="F215" s="92" t="inlineStr">
        <is>
          <t>F10</t>
        </is>
      </c>
      <c r="G215" s="92" t="inlineStr">
        <is>
          <t>신계약 효과</t>
        </is>
      </c>
      <c r="H215" s="93" t="n">
        <v>-700590000</v>
      </c>
      <c r="I215" s="93" t="n">
        <v>140118000</v>
      </c>
      <c r="J215" s="93" t="n">
        <v>560472000</v>
      </c>
      <c r="L215" s="9">
        <f>IF($A215="","",VALUE($A215&amp;"")*12+VALUE($B215&amp;""))</f>
        <v/>
      </c>
      <c r="M215" s="94">
        <f>IF($A215="",0,$H215*설정!$C$23)</f>
        <v/>
      </c>
      <c r="N215" s="94">
        <f>IF($A215="",0,$I215*설정!$C$23)</f>
        <v/>
      </c>
      <c r="O215" s="94">
        <f>IF($A215="",0,$J215*설정!$C$23)</f>
        <v/>
      </c>
      <c r="P215" s="64">
        <f>IF($A215="","",IFERROR(INDEX(입력옵션!$C$58:$C$68,MATCH($F215&amp;"",입력옵션!$E$58:$E$68,0)),IFERROR(INDEX(입력옵션!$C$58:$C$68,MATCH($G215&amp;"",입력옵션!$F$58:$F$68,0)),$F215&amp;"")))</f>
        <v/>
      </c>
    </row>
    <row r="216">
      <c r="A216" s="92" t="n">
        <v>2025</v>
      </c>
      <c r="B216" s="92" t="n">
        <v>5</v>
      </c>
      <c r="C216" s="92" t="inlineStr">
        <is>
          <t>PF04</t>
        </is>
      </c>
      <c r="D216" s="92" t="inlineStr">
        <is>
          <t>변액</t>
        </is>
      </c>
      <c r="E216" s="92" t="inlineStr">
        <is>
          <t>VFA</t>
        </is>
      </c>
      <c r="F216" s="92" t="inlineStr">
        <is>
          <t>F21</t>
        </is>
      </c>
      <c r="G216" s="92" t="inlineStr">
        <is>
          <t>가정변경-사업비</t>
        </is>
      </c>
      <c r="H216" s="93" t="n">
        <v>0</v>
      </c>
      <c r="I216" s="93" t="n">
        <v>0</v>
      </c>
      <c r="J216" s="93" t="n">
        <v>0</v>
      </c>
      <c r="L216" s="9">
        <f>IF($A216="","",VALUE($A216&amp;"")*12+VALUE($B216&amp;""))</f>
        <v/>
      </c>
      <c r="M216" s="94">
        <f>IF($A216="",0,$H216*설정!$C$23)</f>
        <v/>
      </c>
      <c r="N216" s="94">
        <f>IF($A216="",0,$I216*설정!$C$23)</f>
        <v/>
      </c>
      <c r="O216" s="94">
        <f>IF($A216="",0,$J216*설정!$C$23)</f>
        <v/>
      </c>
      <c r="P216" s="64">
        <f>IF($A216="","",IFERROR(INDEX(입력옵션!$C$58:$C$68,MATCH($F216&amp;"",입력옵션!$E$58:$E$68,0)),IFERROR(INDEX(입력옵션!$C$58:$C$68,MATCH($G216&amp;"",입력옵션!$F$58:$F$68,0)),$F216&amp;"")))</f>
        <v/>
      </c>
    </row>
    <row r="217">
      <c r="A217" s="92" t="n">
        <v>2025</v>
      </c>
      <c r="B217" s="92" t="n">
        <v>5</v>
      </c>
      <c r="C217" s="92" t="inlineStr">
        <is>
          <t>PF04</t>
        </is>
      </c>
      <c r="D217" s="92" t="inlineStr">
        <is>
          <t>변액</t>
        </is>
      </c>
      <c r="E217" s="92" t="inlineStr">
        <is>
          <t>VFA</t>
        </is>
      </c>
      <c r="F217" s="92" t="inlineStr">
        <is>
          <t>F22</t>
        </is>
      </c>
      <c r="G217" s="92" t="inlineStr">
        <is>
          <t>가정변경-기타</t>
        </is>
      </c>
      <c r="H217" s="93" t="n">
        <v>0</v>
      </c>
      <c r="I217" s="93" t="n">
        <v>0</v>
      </c>
      <c r="J217" s="93" t="n">
        <v>0</v>
      </c>
      <c r="L217" s="9">
        <f>IF($A217="","",VALUE($A217&amp;"")*12+VALUE($B217&amp;""))</f>
        <v/>
      </c>
      <c r="M217" s="94">
        <f>IF($A217="",0,$H217*설정!$C$23)</f>
        <v/>
      </c>
      <c r="N217" s="94">
        <f>IF($A217="",0,$I217*설정!$C$23)</f>
        <v/>
      </c>
      <c r="O217" s="94">
        <f>IF($A217="",0,$J217*설정!$C$23)</f>
        <v/>
      </c>
      <c r="P217" s="64">
        <f>IF($A217="","",IFERROR(INDEX(입력옵션!$C$58:$C$68,MATCH($F217&amp;"",입력옵션!$E$58:$E$68,0)),IFERROR(INDEX(입력옵션!$C$58:$C$68,MATCH($G217&amp;"",입력옵션!$F$58:$F$68,0)),$F217&amp;"")))</f>
        <v/>
      </c>
    </row>
    <row r="218">
      <c r="A218" s="92" t="n">
        <v>2025</v>
      </c>
      <c r="B218" s="92" t="n">
        <v>5</v>
      </c>
      <c r="C218" s="92" t="inlineStr">
        <is>
          <t>PF04</t>
        </is>
      </c>
      <c r="D218" s="92" t="inlineStr">
        <is>
          <t>변액</t>
        </is>
      </c>
      <c r="E218" s="92" t="inlineStr">
        <is>
          <t>VFA</t>
        </is>
      </c>
      <c r="F218" s="92" t="inlineStr">
        <is>
          <t>F31</t>
        </is>
      </c>
      <c r="G218" s="92" t="inlineStr">
        <is>
          <t>경험조정-취득현금흐름</t>
        </is>
      </c>
      <c r="H218" s="93" t="n">
        <v>0</v>
      </c>
      <c r="I218" s="93" t="n">
        <v>0</v>
      </c>
      <c r="J218" s="93" t="n">
        <v>-4092000</v>
      </c>
      <c r="L218" s="9">
        <f>IF($A218="","",VALUE($A218&amp;"")*12+VALUE($B218&amp;""))</f>
        <v/>
      </c>
      <c r="M218" s="94">
        <f>IF($A218="",0,$H218*설정!$C$23)</f>
        <v/>
      </c>
      <c r="N218" s="94">
        <f>IF($A218="",0,$I218*설정!$C$23)</f>
        <v/>
      </c>
      <c r="O218" s="94">
        <f>IF($A218="",0,$J218*설정!$C$23)</f>
        <v/>
      </c>
      <c r="P218" s="64">
        <f>IF($A218="","",IFERROR(INDEX(입력옵션!$C$58:$C$68,MATCH($F218&amp;"",입력옵션!$E$58:$E$68,0)),IFERROR(INDEX(입력옵션!$C$58:$C$68,MATCH($G218&amp;"",입력옵션!$F$58:$F$68,0)),$F218&amp;"")))</f>
        <v/>
      </c>
    </row>
    <row r="219">
      <c r="A219" s="92" t="n">
        <v>2025</v>
      </c>
      <c r="B219" s="92" t="n">
        <v>5</v>
      </c>
      <c r="C219" s="92" t="inlineStr">
        <is>
          <t>PF04</t>
        </is>
      </c>
      <c r="D219" s="92" t="inlineStr">
        <is>
          <t>변액</t>
        </is>
      </c>
      <c r="E219" s="92" t="inlineStr">
        <is>
          <t>VFA</t>
        </is>
      </c>
      <c r="F219" s="92" t="inlineStr">
        <is>
          <t>F32</t>
        </is>
      </c>
      <c r="G219" s="92" t="inlineStr">
        <is>
          <t>경험조정-보험료 등</t>
        </is>
      </c>
      <c r="H219" s="93" t="n">
        <v>0</v>
      </c>
      <c r="I219" s="93" t="n">
        <v>0</v>
      </c>
      <c r="J219" s="93" t="n">
        <v>-217081000</v>
      </c>
      <c r="L219" s="9">
        <f>IF($A219="","",VALUE($A219&amp;"")*12+VALUE($B219&amp;""))</f>
        <v/>
      </c>
      <c r="M219" s="94">
        <f>IF($A219="",0,$H219*설정!$C$23)</f>
        <v/>
      </c>
      <c r="N219" s="94">
        <f>IF($A219="",0,$I219*설정!$C$23)</f>
        <v/>
      </c>
      <c r="O219" s="94">
        <f>IF($A219="",0,$J219*설정!$C$23)</f>
        <v/>
      </c>
      <c r="P219" s="64">
        <f>IF($A219="","",IFERROR(INDEX(입력옵션!$C$58:$C$68,MATCH($F219&amp;"",입력옵션!$E$58:$E$68,0)),IFERROR(INDEX(입력옵션!$C$58:$C$68,MATCH($G219&amp;"",입력옵션!$F$58:$F$68,0)),$F219&amp;"")))</f>
        <v/>
      </c>
    </row>
    <row r="220">
      <c r="A220" s="92" t="n">
        <v>2025</v>
      </c>
      <c r="B220" s="92" t="n">
        <v>5</v>
      </c>
      <c r="C220" s="92" t="inlineStr">
        <is>
          <t>PF04</t>
        </is>
      </c>
      <c r="D220" s="92" t="inlineStr">
        <is>
          <t>변액</t>
        </is>
      </c>
      <c r="E220" s="92" t="inlineStr">
        <is>
          <t>VFA</t>
        </is>
      </c>
      <c r="F220" s="92" t="inlineStr">
        <is>
          <t>F40</t>
        </is>
      </c>
      <c r="G220" s="92" t="inlineStr">
        <is>
          <t>보험금융비용(이자부리)</t>
        </is>
      </c>
      <c r="H220" s="93" t="n">
        <v>778109000</v>
      </c>
      <c r="I220" s="93" t="n">
        <v>31067000</v>
      </c>
      <c r="J220" s="93" t="n">
        <v>124518000</v>
      </c>
      <c r="L220" s="9">
        <f>IF($A220="","",VALUE($A220&amp;"")*12+VALUE($B220&amp;""))</f>
        <v/>
      </c>
      <c r="M220" s="94">
        <f>IF($A220="",0,$H220*설정!$C$23)</f>
        <v/>
      </c>
      <c r="N220" s="94">
        <f>IF($A220="",0,$I220*설정!$C$23)</f>
        <v/>
      </c>
      <c r="O220" s="94">
        <f>IF($A220="",0,$J220*설정!$C$23)</f>
        <v/>
      </c>
      <c r="P220" s="64">
        <f>IF($A220="","",IFERROR(INDEX(입력옵션!$C$58:$C$68,MATCH($F220&amp;"",입력옵션!$E$58:$E$68,0)),IFERROR(INDEX(입력옵션!$C$58:$C$68,MATCH($G220&amp;"",입력옵션!$F$58:$F$68,0)),$F220&amp;"")))</f>
        <v/>
      </c>
    </row>
    <row r="221">
      <c r="A221" s="92" t="n">
        <v>2025</v>
      </c>
      <c r="B221" s="92" t="n">
        <v>5</v>
      </c>
      <c r="C221" s="92" t="inlineStr">
        <is>
          <t>PF04</t>
        </is>
      </c>
      <c r="D221" s="92" t="inlineStr">
        <is>
          <t>변액</t>
        </is>
      </c>
      <c r="E221" s="92" t="inlineStr">
        <is>
          <t>VFA</t>
        </is>
      </c>
      <c r="F221" s="92" t="inlineStr">
        <is>
          <t>F51</t>
        </is>
      </c>
      <c r="G221" s="92" t="inlineStr">
        <is>
          <t>CSM 상각</t>
        </is>
      </c>
      <c r="H221" s="93" t="n">
        <v>0</v>
      </c>
      <c r="I221" s="93" t="n">
        <v>0</v>
      </c>
      <c r="J221" s="93" t="n">
        <v>-448265000</v>
      </c>
      <c r="L221" s="9">
        <f>IF($A221="","",VALUE($A221&amp;"")*12+VALUE($B221&amp;""))</f>
        <v/>
      </c>
      <c r="M221" s="94">
        <f>IF($A221="",0,$H221*설정!$C$23)</f>
        <v/>
      </c>
      <c r="N221" s="94">
        <f>IF($A221="",0,$I221*설정!$C$23)</f>
        <v/>
      </c>
      <c r="O221" s="94">
        <f>IF($A221="",0,$J221*설정!$C$23)</f>
        <v/>
      </c>
      <c r="P221" s="64">
        <f>IF($A221="","",IFERROR(INDEX(입력옵션!$C$58:$C$68,MATCH($F221&amp;"",입력옵션!$E$58:$E$68,0)),IFERROR(INDEX(입력옵션!$C$58:$C$68,MATCH($G221&amp;"",입력옵션!$F$58:$F$68,0)),$F221&amp;"")))</f>
        <v/>
      </c>
    </row>
    <row r="222">
      <c r="A222" s="92" t="n">
        <v>2025</v>
      </c>
      <c r="B222" s="92" t="n">
        <v>5</v>
      </c>
      <c r="C222" s="92" t="inlineStr">
        <is>
          <t>PF04</t>
        </is>
      </c>
      <c r="D222" s="92" t="inlineStr">
        <is>
          <t>변액</t>
        </is>
      </c>
      <c r="E222" s="92" t="inlineStr">
        <is>
          <t>VFA</t>
        </is>
      </c>
      <c r="F222" s="92" t="inlineStr">
        <is>
          <t>F52</t>
        </is>
      </c>
      <c r="G222" s="92" t="inlineStr">
        <is>
          <t>RA 해제</t>
        </is>
      </c>
      <c r="H222" s="93" t="n">
        <v>0</v>
      </c>
      <c r="I222" s="93" t="n">
        <v>-93201000</v>
      </c>
      <c r="J222" s="93" t="n">
        <v>0</v>
      </c>
      <c r="L222" s="9">
        <f>IF($A222="","",VALUE($A222&amp;"")*12+VALUE($B222&amp;""))</f>
        <v/>
      </c>
      <c r="M222" s="94">
        <f>IF($A222="",0,$H222*설정!$C$23)</f>
        <v/>
      </c>
      <c r="N222" s="94">
        <f>IF($A222="",0,$I222*설정!$C$23)</f>
        <v/>
      </c>
      <c r="O222" s="94">
        <f>IF($A222="",0,$J222*설정!$C$23)</f>
        <v/>
      </c>
      <c r="P222" s="64">
        <f>IF($A222="","",IFERROR(INDEX(입력옵션!$C$58:$C$68,MATCH($F222&amp;"",입력옵션!$E$58:$E$68,0)),IFERROR(INDEX(입력옵션!$C$58:$C$68,MATCH($G222&amp;"",입력옵션!$F$58:$F$68,0)),$F222&amp;"")))</f>
        <v/>
      </c>
    </row>
    <row r="223">
      <c r="A223" s="92" t="n">
        <v>2025</v>
      </c>
      <c r="B223" s="92" t="n">
        <v>5</v>
      </c>
      <c r="C223" s="92" t="inlineStr">
        <is>
          <t>PF04</t>
        </is>
      </c>
      <c r="D223" s="92" t="inlineStr">
        <is>
          <t>변액</t>
        </is>
      </c>
      <c r="E223" s="92" t="inlineStr">
        <is>
          <t>VFA</t>
        </is>
      </c>
      <c r="F223" s="92" t="inlineStr">
        <is>
          <t>F60</t>
        </is>
      </c>
      <c r="G223" s="92" t="inlineStr">
        <is>
          <t>현금흐름 및 기타</t>
        </is>
      </c>
      <c r="H223" s="93" t="n">
        <v>580080000</v>
      </c>
      <c r="I223" s="93" t="n">
        <v>2265000</v>
      </c>
      <c r="J223" s="93" t="n">
        <v>0</v>
      </c>
      <c r="L223" s="9">
        <f>IF($A223="","",VALUE($A223&amp;"")*12+VALUE($B223&amp;""))</f>
        <v/>
      </c>
      <c r="M223" s="94">
        <f>IF($A223="",0,$H223*설정!$C$23)</f>
        <v/>
      </c>
      <c r="N223" s="94">
        <f>IF($A223="",0,$I223*설정!$C$23)</f>
        <v/>
      </c>
      <c r="O223" s="94">
        <f>IF($A223="",0,$J223*설정!$C$23)</f>
        <v/>
      </c>
      <c r="P223" s="64">
        <f>IF($A223="","",IFERROR(INDEX(입력옵션!$C$58:$C$68,MATCH($F223&amp;"",입력옵션!$E$58:$E$68,0)),IFERROR(INDEX(입력옵션!$C$58:$C$68,MATCH($G223&amp;"",입력옵션!$F$58:$F$68,0)),$F223&amp;"")))</f>
        <v/>
      </c>
    </row>
    <row r="224">
      <c r="A224" s="92" t="n">
        <v>2025</v>
      </c>
      <c r="B224" s="92" t="n">
        <v>5</v>
      </c>
      <c r="C224" s="92" t="inlineStr">
        <is>
          <t>PF04</t>
        </is>
      </c>
      <c r="D224" s="92" t="inlineStr">
        <is>
          <t>변액</t>
        </is>
      </c>
      <c r="E224" s="92" t="inlineStr">
        <is>
          <t>VFA</t>
        </is>
      </c>
      <c r="F224" s="92" t="inlineStr">
        <is>
          <t>F99</t>
        </is>
      </c>
      <c r="G224" s="92" t="inlineStr">
        <is>
          <t>기말잔액</t>
        </is>
      </c>
      <c r="H224" s="93" t="n">
        <v>311901270000</v>
      </c>
      <c r="I224" s="93" t="n">
        <v>15613702000</v>
      </c>
      <c r="J224" s="93" t="n">
        <v>49822774000</v>
      </c>
      <c r="L224" s="9">
        <f>IF($A224="","",VALUE($A224&amp;"")*12+VALUE($B224&amp;""))</f>
        <v/>
      </c>
      <c r="M224" s="94">
        <f>IF($A224="",0,$H224*설정!$C$23)</f>
        <v/>
      </c>
      <c r="N224" s="94">
        <f>IF($A224="",0,$I224*설정!$C$23)</f>
        <v/>
      </c>
      <c r="O224" s="94">
        <f>IF($A224="",0,$J224*설정!$C$23)</f>
        <v/>
      </c>
      <c r="P224" s="64">
        <f>IF($A224="","",IFERROR(INDEX(입력옵션!$C$58:$C$68,MATCH($F224&amp;"",입력옵션!$E$58:$E$68,0)),IFERROR(INDEX(입력옵션!$C$58:$C$68,MATCH($G224&amp;"",입력옵션!$F$58:$F$68,0)),$F224&amp;"")))</f>
        <v/>
      </c>
    </row>
    <row r="225">
      <c r="A225" s="92" t="n">
        <v>2025</v>
      </c>
      <c r="B225" s="92" t="n">
        <v>6</v>
      </c>
      <c r="C225" s="92" t="inlineStr">
        <is>
          <t>PF01</t>
        </is>
      </c>
      <c r="D225" s="92" t="inlineStr">
        <is>
          <t>보장성</t>
        </is>
      </c>
      <c r="E225" s="92" t="inlineStr">
        <is>
          <t>GMM</t>
        </is>
      </c>
      <c r="F225" s="92" t="inlineStr">
        <is>
          <t>F00</t>
        </is>
      </c>
      <c r="G225" s="92" t="inlineStr">
        <is>
          <t>기초잔액</t>
        </is>
      </c>
      <c r="H225" s="93" t="n">
        <v>1039670900000</v>
      </c>
      <c r="I225" s="93" t="n">
        <v>72063240000</v>
      </c>
      <c r="J225" s="93" t="n">
        <v>236730158000</v>
      </c>
      <c r="L225" s="9">
        <f>IF($A225="","",VALUE($A225&amp;"")*12+VALUE($B225&amp;""))</f>
        <v/>
      </c>
      <c r="M225" s="94">
        <f>IF($A225="",0,$H225*설정!$C$23)</f>
        <v/>
      </c>
      <c r="N225" s="94">
        <f>IF($A225="",0,$I225*설정!$C$23)</f>
        <v/>
      </c>
      <c r="O225" s="94">
        <f>IF($A225="",0,$J225*설정!$C$23)</f>
        <v/>
      </c>
      <c r="P225" s="64">
        <f>IF($A225="","",IFERROR(INDEX(입력옵션!$C$58:$C$68,MATCH($F225&amp;"",입력옵션!$E$58:$E$68,0)),IFERROR(INDEX(입력옵션!$C$58:$C$68,MATCH($G225&amp;"",입력옵션!$F$58:$F$68,0)),$F225&amp;"")))</f>
        <v/>
      </c>
    </row>
    <row r="226">
      <c r="A226" s="92" t="n">
        <v>2025</v>
      </c>
      <c r="B226" s="92" t="n">
        <v>6</v>
      </c>
      <c r="C226" s="92" t="inlineStr">
        <is>
          <t>PF01</t>
        </is>
      </c>
      <c r="D226" s="92" t="inlineStr">
        <is>
          <t>보장성</t>
        </is>
      </c>
      <c r="E226" s="92" t="inlineStr">
        <is>
          <t>GMM</t>
        </is>
      </c>
      <c r="F226" s="92" t="inlineStr">
        <is>
          <t>F10</t>
        </is>
      </c>
      <c r="G226" s="92" t="inlineStr">
        <is>
          <t>신계약 효과</t>
        </is>
      </c>
      <c r="H226" s="93" t="n">
        <v>-3495389000</v>
      </c>
      <c r="I226" s="93" t="n">
        <v>699078000</v>
      </c>
      <c r="J226" s="93" t="n">
        <v>2796311000</v>
      </c>
      <c r="L226" s="9">
        <f>IF($A226="","",VALUE($A226&amp;"")*12+VALUE($B226&amp;""))</f>
        <v/>
      </c>
      <c r="M226" s="94">
        <f>IF($A226="",0,$H226*설정!$C$23)</f>
        <v/>
      </c>
      <c r="N226" s="94">
        <f>IF($A226="",0,$I226*설정!$C$23)</f>
        <v/>
      </c>
      <c r="O226" s="94">
        <f>IF($A226="",0,$J226*설정!$C$23)</f>
        <v/>
      </c>
      <c r="P226" s="64">
        <f>IF($A226="","",IFERROR(INDEX(입력옵션!$C$58:$C$68,MATCH($F226&amp;"",입력옵션!$E$58:$E$68,0)),IFERROR(INDEX(입력옵션!$C$58:$C$68,MATCH($G226&amp;"",입력옵션!$F$58:$F$68,0)),$F226&amp;"")))</f>
        <v/>
      </c>
    </row>
    <row r="227">
      <c r="A227" s="92" t="n">
        <v>2025</v>
      </c>
      <c r="B227" s="92" t="n">
        <v>6</v>
      </c>
      <c r="C227" s="92" t="inlineStr">
        <is>
          <t>PF01</t>
        </is>
      </c>
      <c r="D227" s="92" t="inlineStr">
        <is>
          <t>보장성</t>
        </is>
      </c>
      <c r="E227" s="92" t="inlineStr">
        <is>
          <t>GMM</t>
        </is>
      </c>
      <c r="F227" s="92" t="inlineStr">
        <is>
          <t>F21</t>
        </is>
      </c>
      <c r="G227" s="92" t="inlineStr">
        <is>
          <t>가정변경-사업비</t>
        </is>
      </c>
      <c r="H227" s="93" t="n">
        <v>0</v>
      </c>
      <c r="I227" s="93" t="n">
        <v>0</v>
      </c>
      <c r="J227" s="93" t="n">
        <v>0</v>
      </c>
      <c r="L227" s="9">
        <f>IF($A227="","",VALUE($A227&amp;"")*12+VALUE($B227&amp;""))</f>
        <v/>
      </c>
      <c r="M227" s="94">
        <f>IF($A227="",0,$H227*설정!$C$23)</f>
        <v/>
      </c>
      <c r="N227" s="94">
        <f>IF($A227="",0,$I227*설정!$C$23)</f>
        <v/>
      </c>
      <c r="O227" s="94">
        <f>IF($A227="",0,$J227*설정!$C$23)</f>
        <v/>
      </c>
      <c r="P227" s="64">
        <f>IF($A227="","",IFERROR(INDEX(입력옵션!$C$58:$C$68,MATCH($F227&amp;"",입력옵션!$E$58:$E$68,0)),IFERROR(INDEX(입력옵션!$C$58:$C$68,MATCH($G227&amp;"",입력옵션!$F$58:$F$68,0)),$F227&amp;"")))</f>
        <v/>
      </c>
    </row>
    <row r="228">
      <c r="A228" s="92" t="n">
        <v>2025</v>
      </c>
      <c r="B228" s="92" t="n">
        <v>6</v>
      </c>
      <c r="C228" s="92" t="inlineStr">
        <is>
          <t>PF01</t>
        </is>
      </c>
      <c r="D228" s="92" t="inlineStr">
        <is>
          <t>보장성</t>
        </is>
      </c>
      <c r="E228" s="92" t="inlineStr">
        <is>
          <t>GMM</t>
        </is>
      </c>
      <c r="F228" s="92" t="inlineStr">
        <is>
          <t>F22</t>
        </is>
      </c>
      <c r="G228" s="92" t="inlineStr">
        <is>
          <t>가정변경-기타</t>
        </is>
      </c>
      <c r="H228" s="93" t="n">
        <v>0</v>
      </c>
      <c r="I228" s="93" t="n">
        <v>0</v>
      </c>
      <c r="J228" s="93" t="n">
        <v>0</v>
      </c>
      <c r="L228" s="9">
        <f>IF($A228="","",VALUE($A228&amp;"")*12+VALUE($B228&amp;""))</f>
        <v/>
      </c>
      <c r="M228" s="94">
        <f>IF($A228="",0,$H228*설정!$C$23)</f>
        <v/>
      </c>
      <c r="N228" s="94">
        <f>IF($A228="",0,$I228*설정!$C$23)</f>
        <v/>
      </c>
      <c r="O228" s="94">
        <f>IF($A228="",0,$J228*설정!$C$23)</f>
        <v/>
      </c>
      <c r="P228" s="64">
        <f>IF($A228="","",IFERROR(INDEX(입력옵션!$C$58:$C$68,MATCH($F228&amp;"",입력옵션!$E$58:$E$68,0)),IFERROR(INDEX(입력옵션!$C$58:$C$68,MATCH($G228&amp;"",입력옵션!$F$58:$F$68,0)),$F228&amp;"")))</f>
        <v/>
      </c>
    </row>
    <row r="229">
      <c r="A229" s="92" t="n">
        <v>2025</v>
      </c>
      <c r="B229" s="92" t="n">
        <v>6</v>
      </c>
      <c r="C229" s="92" t="inlineStr">
        <is>
          <t>PF01</t>
        </is>
      </c>
      <c r="D229" s="92" t="inlineStr">
        <is>
          <t>보장성</t>
        </is>
      </c>
      <c r="E229" s="92" t="inlineStr">
        <is>
          <t>GMM</t>
        </is>
      </c>
      <c r="F229" s="92" t="inlineStr">
        <is>
          <t>F31</t>
        </is>
      </c>
      <c r="G229" s="92" t="inlineStr">
        <is>
          <t>경험조정-취득현금흐름</t>
        </is>
      </c>
      <c r="H229" s="93" t="n">
        <v>0</v>
      </c>
      <c r="I229" s="93" t="n">
        <v>0</v>
      </c>
      <c r="J229" s="93" t="n">
        <v>-8072000</v>
      </c>
      <c r="L229" s="9">
        <f>IF($A229="","",VALUE($A229&amp;"")*12+VALUE($B229&amp;""))</f>
        <v/>
      </c>
      <c r="M229" s="94">
        <f>IF($A229="",0,$H229*설정!$C$23)</f>
        <v/>
      </c>
      <c r="N229" s="94">
        <f>IF($A229="",0,$I229*설정!$C$23)</f>
        <v/>
      </c>
      <c r="O229" s="94">
        <f>IF($A229="",0,$J229*설정!$C$23)</f>
        <v/>
      </c>
      <c r="P229" s="64">
        <f>IF($A229="","",IFERROR(INDEX(입력옵션!$C$58:$C$68,MATCH($F229&amp;"",입력옵션!$E$58:$E$68,0)),IFERROR(INDEX(입력옵션!$C$58:$C$68,MATCH($G229&amp;"",입력옵션!$F$58:$F$68,0)),$F229&amp;"")))</f>
        <v/>
      </c>
    </row>
    <row r="230">
      <c r="A230" s="92" t="n">
        <v>2025</v>
      </c>
      <c r="B230" s="92" t="n">
        <v>6</v>
      </c>
      <c r="C230" s="92" t="inlineStr">
        <is>
          <t>PF01</t>
        </is>
      </c>
      <c r="D230" s="92" t="inlineStr">
        <is>
          <t>보장성</t>
        </is>
      </c>
      <c r="E230" s="92" t="inlineStr">
        <is>
          <t>GMM</t>
        </is>
      </c>
      <c r="F230" s="92" t="inlineStr">
        <is>
          <t>F32</t>
        </is>
      </c>
      <c r="G230" s="92" t="inlineStr">
        <is>
          <t>경험조정-보험료 등</t>
        </is>
      </c>
      <c r="H230" s="93" t="n">
        <v>0</v>
      </c>
      <c r="I230" s="93" t="n">
        <v>0</v>
      </c>
      <c r="J230" s="93" t="n">
        <v>88217000</v>
      </c>
      <c r="L230" s="9">
        <f>IF($A230="","",VALUE($A230&amp;"")*12+VALUE($B230&amp;""))</f>
        <v/>
      </c>
      <c r="M230" s="94">
        <f>IF($A230="",0,$H230*설정!$C$23)</f>
        <v/>
      </c>
      <c r="N230" s="94">
        <f>IF($A230="",0,$I230*설정!$C$23)</f>
        <v/>
      </c>
      <c r="O230" s="94">
        <f>IF($A230="",0,$J230*설정!$C$23)</f>
        <v/>
      </c>
      <c r="P230" s="64">
        <f>IF($A230="","",IFERROR(INDEX(입력옵션!$C$58:$C$68,MATCH($F230&amp;"",입력옵션!$E$58:$E$68,0)),IFERROR(INDEX(입력옵션!$C$58:$C$68,MATCH($G230&amp;"",입력옵션!$F$58:$F$68,0)),$F230&amp;"")))</f>
        <v/>
      </c>
    </row>
    <row r="231">
      <c r="A231" s="92" t="n">
        <v>2025</v>
      </c>
      <c r="B231" s="92" t="n">
        <v>6</v>
      </c>
      <c r="C231" s="92" t="inlineStr">
        <is>
          <t>PF01</t>
        </is>
      </c>
      <c r="D231" s="92" t="inlineStr">
        <is>
          <t>보장성</t>
        </is>
      </c>
      <c r="E231" s="92" t="inlineStr">
        <is>
          <t>GMM</t>
        </is>
      </c>
      <c r="F231" s="92" t="inlineStr">
        <is>
          <t>F40</t>
        </is>
      </c>
      <c r="G231" s="92" t="inlineStr">
        <is>
          <t>보험금융비용(이자부리)</t>
        </is>
      </c>
      <c r="H231" s="93" t="n">
        <v>2599177000</v>
      </c>
      <c r="I231" s="93" t="n">
        <v>144126000</v>
      </c>
      <c r="J231" s="93" t="n">
        <v>591825000</v>
      </c>
      <c r="L231" s="9">
        <f>IF($A231="","",VALUE($A231&amp;"")*12+VALUE($B231&amp;""))</f>
        <v/>
      </c>
      <c r="M231" s="94">
        <f>IF($A231="",0,$H231*설정!$C$23)</f>
        <v/>
      </c>
      <c r="N231" s="94">
        <f>IF($A231="",0,$I231*설정!$C$23)</f>
        <v/>
      </c>
      <c r="O231" s="94">
        <f>IF($A231="",0,$J231*설정!$C$23)</f>
        <v/>
      </c>
      <c r="P231" s="64">
        <f>IF($A231="","",IFERROR(INDEX(입력옵션!$C$58:$C$68,MATCH($F231&amp;"",입력옵션!$E$58:$E$68,0)),IFERROR(INDEX(입력옵션!$C$58:$C$68,MATCH($G231&amp;"",입력옵션!$F$58:$F$68,0)),$F231&amp;"")))</f>
        <v/>
      </c>
    </row>
    <row r="232">
      <c r="A232" s="92" t="n">
        <v>2025</v>
      </c>
      <c r="B232" s="92" t="n">
        <v>6</v>
      </c>
      <c r="C232" s="92" t="inlineStr">
        <is>
          <t>PF01</t>
        </is>
      </c>
      <c r="D232" s="92" t="inlineStr">
        <is>
          <t>보장성</t>
        </is>
      </c>
      <c r="E232" s="92" t="inlineStr">
        <is>
          <t>GMM</t>
        </is>
      </c>
      <c r="F232" s="92" t="inlineStr">
        <is>
          <t>F51</t>
        </is>
      </c>
      <c r="G232" s="92" t="inlineStr">
        <is>
          <t>CSM 상각</t>
        </is>
      </c>
      <c r="H232" s="93" t="n">
        <v>0</v>
      </c>
      <c r="I232" s="93" t="n">
        <v>0</v>
      </c>
      <c r="J232" s="93" t="n">
        <v>-2130571000</v>
      </c>
      <c r="L232" s="9">
        <f>IF($A232="","",VALUE($A232&amp;"")*12+VALUE($B232&amp;""))</f>
        <v/>
      </c>
      <c r="M232" s="94">
        <f>IF($A232="",0,$H232*설정!$C$23)</f>
        <v/>
      </c>
      <c r="N232" s="94">
        <f>IF($A232="",0,$I232*설정!$C$23)</f>
        <v/>
      </c>
      <c r="O232" s="94">
        <f>IF($A232="",0,$J232*설정!$C$23)</f>
        <v/>
      </c>
      <c r="P232" s="64">
        <f>IF($A232="","",IFERROR(INDEX(입력옵션!$C$58:$C$68,MATCH($F232&amp;"",입력옵션!$E$58:$E$68,0)),IFERROR(INDEX(입력옵션!$C$58:$C$68,MATCH($G232&amp;"",입력옵션!$F$58:$F$68,0)),$F232&amp;"")))</f>
        <v/>
      </c>
    </row>
    <row r="233">
      <c r="A233" s="92" t="n">
        <v>2025</v>
      </c>
      <c r="B233" s="92" t="n">
        <v>6</v>
      </c>
      <c r="C233" s="92" t="inlineStr">
        <is>
          <t>PF01</t>
        </is>
      </c>
      <c r="D233" s="92" t="inlineStr">
        <is>
          <t>보장성</t>
        </is>
      </c>
      <c r="E233" s="92" t="inlineStr">
        <is>
          <t>GMM</t>
        </is>
      </c>
      <c r="F233" s="92" t="inlineStr">
        <is>
          <t>F52</t>
        </is>
      </c>
      <c r="G233" s="92" t="inlineStr">
        <is>
          <t>RA 해제</t>
        </is>
      </c>
      <c r="H233" s="93" t="n">
        <v>0</v>
      </c>
      <c r="I233" s="93" t="n">
        <v>-432379000</v>
      </c>
      <c r="J233" s="93" t="n">
        <v>0</v>
      </c>
      <c r="L233" s="9">
        <f>IF($A233="","",VALUE($A233&amp;"")*12+VALUE($B233&amp;""))</f>
        <v/>
      </c>
      <c r="M233" s="94">
        <f>IF($A233="",0,$H233*설정!$C$23)</f>
        <v/>
      </c>
      <c r="N233" s="94">
        <f>IF($A233="",0,$I233*설정!$C$23)</f>
        <v/>
      </c>
      <c r="O233" s="94">
        <f>IF($A233="",0,$J233*설정!$C$23)</f>
        <v/>
      </c>
      <c r="P233" s="64">
        <f>IF($A233="","",IFERROR(INDEX(입력옵션!$C$58:$C$68,MATCH($F233&amp;"",입력옵션!$E$58:$E$68,0)),IFERROR(INDEX(입력옵션!$C$58:$C$68,MATCH($G233&amp;"",입력옵션!$F$58:$F$68,0)),$F233&amp;"")))</f>
        <v/>
      </c>
    </row>
    <row r="234">
      <c r="A234" s="92" t="n">
        <v>2025</v>
      </c>
      <c r="B234" s="92" t="n">
        <v>6</v>
      </c>
      <c r="C234" s="92" t="inlineStr">
        <is>
          <t>PF01</t>
        </is>
      </c>
      <c r="D234" s="92" t="inlineStr">
        <is>
          <t>보장성</t>
        </is>
      </c>
      <c r="E234" s="92" t="inlineStr">
        <is>
          <t>GMM</t>
        </is>
      </c>
      <c r="F234" s="92" t="inlineStr">
        <is>
          <t>F60</t>
        </is>
      </c>
      <c r="G234" s="92" t="inlineStr">
        <is>
          <t>현금흐름 및 기타</t>
        </is>
      </c>
      <c r="H234" s="93" t="n">
        <v>6773012000</v>
      </c>
      <c r="I234" s="93" t="n">
        <v>-1319225000</v>
      </c>
      <c r="J234" s="93" t="n">
        <v>0</v>
      </c>
      <c r="L234" s="9">
        <f>IF($A234="","",VALUE($A234&amp;"")*12+VALUE($B234&amp;""))</f>
        <v/>
      </c>
      <c r="M234" s="94">
        <f>IF($A234="",0,$H234*설정!$C$23)</f>
        <v/>
      </c>
      <c r="N234" s="94">
        <f>IF($A234="",0,$I234*설정!$C$23)</f>
        <v/>
      </c>
      <c r="O234" s="94">
        <f>IF($A234="",0,$J234*설정!$C$23)</f>
        <v/>
      </c>
      <c r="P234" s="64">
        <f>IF($A234="","",IFERROR(INDEX(입력옵션!$C$58:$C$68,MATCH($F234&amp;"",입력옵션!$E$58:$E$68,0)),IFERROR(INDEX(입력옵션!$C$58:$C$68,MATCH($G234&amp;"",입력옵션!$F$58:$F$68,0)),$F234&amp;"")))</f>
        <v/>
      </c>
    </row>
    <row r="235">
      <c r="A235" s="92" t="n">
        <v>2025</v>
      </c>
      <c r="B235" s="92" t="n">
        <v>6</v>
      </c>
      <c r="C235" s="92" t="inlineStr">
        <is>
          <t>PF01</t>
        </is>
      </c>
      <c r="D235" s="92" t="inlineStr">
        <is>
          <t>보장성</t>
        </is>
      </c>
      <c r="E235" s="92" t="inlineStr">
        <is>
          <t>GMM</t>
        </is>
      </c>
      <c r="F235" s="92" t="inlineStr">
        <is>
          <t>F99</t>
        </is>
      </c>
      <c r="G235" s="92" t="inlineStr">
        <is>
          <t>기말잔액</t>
        </is>
      </c>
      <c r="H235" s="93" t="n">
        <v>1045547700000</v>
      </c>
      <c r="I235" s="93" t="n">
        <v>71154840000</v>
      </c>
      <c r="J235" s="93" t="n">
        <v>238067868000</v>
      </c>
      <c r="L235" s="9">
        <f>IF($A235="","",VALUE($A235&amp;"")*12+VALUE($B235&amp;""))</f>
        <v/>
      </c>
      <c r="M235" s="94">
        <f>IF($A235="",0,$H235*설정!$C$23)</f>
        <v/>
      </c>
      <c r="N235" s="94">
        <f>IF($A235="",0,$I235*설정!$C$23)</f>
        <v/>
      </c>
      <c r="O235" s="94">
        <f>IF($A235="",0,$J235*설정!$C$23)</f>
        <v/>
      </c>
      <c r="P235" s="64">
        <f>IF($A235="","",IFERROR(INDEX(입력옵션!$C$58:$C$68,MATCH($F235&amp;"",입력옵션!$E$58:$E$68,0)),IFERROR(INDEX(입력옵션!$C$58:$C$68,MATCH($G235&amp;"",입력옵션!$F$58:$F$68,0)),$F235&amp;"")))</f>
        <v/>
      </c>
    </row>
    <row r="236">
      <c r="A236" s="92" t="n">
        <v>2025</v>
      </c>
      <c r="B236" s="92" t="n">
        <v>6</v>
      </c>
      <c r="C236" s="92" t="inlineStr">
        <is>
          <t>PF02</t>
        </is>
      </c>
      <c r="D236" s="92" t="inlineStr">
        <is>
          <t>저축성</t>
        </is>
      </c>
      <c r="E236" s="92" t="inlineStr">
        <is>
          <t>GMM</t>
        </is>
      </c>
      <c r="F236" s="92" t="inlineStr">
        <is>
          <t>F00</t>
        </is>
      </c>
      <c r="G236" s="92" t="inlineStr">
        <is>
          <t>기초잔액</t>
        </is>
      </c>
      <c r="H236" s="93" t="n">
        <v>686182794000</v>
      </c>
      <c r="I236" s="93" t="n">
        <v>30026350000</v>
      </c>
      <c r="J236" s="93" t="n">
        <v>95445697000</v>
      </c>
      <c r="L236" s="9">
        <f>IF($A236="","",VALUE($A236&amp;"")*12+VALUE($B236&amp;""))</f>
        <v/>
      </c>
      <c r="M236" s="94">
        <f>IF($A236="",0,$H236*설정!$C$23)</f>
        <v/>
      </c>
      <c r="N236" s="94">
        <f>IF($A236="",0,$I236*설정!$C$23)</f>
        <v/>
      </c>
      <c r="O236" s="94">
        <f>IF($A236="",0,$J236*설정!$C$23)</f>
        <v/>
      </c>
      <c r="P236" s="64">
        <f>IF($A236="","",IFERROR(INDEX(입력옵션!$C$58:$C$68,MATCH($F236&amp;"",입력옵션!$E$58:$E$68,0)),IFERROR(INDEX(입력옵션!$C$58:$C$68,MATCH($G236&amp;"",입력옵션!$F$58:$F$68,0)),$F236&amp;"")))</f>
        <v/>
      </c>
    </row>
    <row r="237">
      <c r="A237" s="92" t="n">
        <v>2025</v>
      </c>
      <c r="B237" s="92" t="n">
        <v>6</v>
      </c>
      <c r="C237" s="92" t="inlineStr">
        <is>
          <t>PF02</t>
        </is>
      </c>
      <c r="D237" s="92" t="inlineStr">
        <is>
          <t>저축성</t>
        </is>
      </c>
      <c r="E237" s="92" t="inlineStr">
        <is>
          <t>GMM</t>
        </is>
      </c>
      <c r="F237" s="92" t="inlineStr">
        <is>
          <t>F10</t>
        </is>
      </c>
      <c r="G237" s="92" t="inlineStr">
        <is>
          <t>신계약 효과</t>
        </is>
      </c>
      <c r="H237" s="93" t="n">
        <v>-1409431000</v>
      </c>
      <c r="I237" s="93" t="n">
        <v>281886000</v>
      </c>
      <c r="J237" s="93" t="n">
        <v>1127545000</v>
      </c>
      <c r="L237" s="9">
        <f>IF($A237="","",VALUE($A237&amp;"")*12+VALUE($B237&amp;""))</f>
        <v/>
      </c>
      <c r="M237" s="94">
        <f>IF($A237="",0,$H237*설정!$C$23)</f>
        <v/>
      </c>
      <c r="N237" s="94">
        <f>IF($A237="",0,$I237*설정!$C$23)</f>
        <v/>
      </c>
      <c r="O237" s="94">
        <f>IF($A237="",0,$J237*설정!$C$23)</f>
        <v/>
      </c>
      <c r="P237" s="64">
        <f>IF($A237="","",IFERROR(INDEX(입력옵션!$C$58:$C$68,MATCH($F237&amp;"",입력옵션!$E$58:$E$68,0)),IFERROR(INDEX(입력옵션!$C$58:$C$68,MATCH($G237&amp;"",입력옵션!$F$58:$F$68,0)),$F237&amp;"")))</f>
        <v/>
      </c>
    </row>
    <row r="238">
      <c r="A238" s="92" t="n">
        <v>2025</v>
      </c>
      <c r="B238" s="92" t="n">
        <v>6</v>
      </c>
      <c r="C238" s="92" t="inlineStr">
        <is>
          <t>PF02</t>
        </is>
      </c>
      <c r="D238" s="92" t="inlineStr">
        <is>
          <t>저축성</t>
        </is>
      </c>
      <c r="E238" s="92" t="inlineStr">
        <is>
          <t>GMM</t>
        </is>
      </c>
      <c r="F238" s="92" t="inlineStr">
        <is>
          <t>F21</t>
        </is>
      </c>
      <c r="G238" s="92" t="inlineStr">
        <is>
          <t>가정변경-사업비</t>
        </is>
      </c>
      <c r="H238" s="93" t="n">
        <v>0</v>
      </c>
      <c r="I238" s="93" t="n">
        <v>0</v>
      </c>
      <c r="J238" s="93" t="n">
        <v>0</v>
      </c>
      <c r="L238" s="9">
        <f>IF($A238="","",VALUE($A238&amp;"")*12+VALUE($B238&amp;""))</f>
        <v/>
      </c>
      <c r="M238" s="94">
        <f>IF($A238="",0,$H238*설정!$C$23)</f>
        <v/>
      </c>
      <c r="N238" s="94">
        <f>IF($A238="",0,$I238*설정!$C$23)</f>
        <v/>
      </c>
      <c r="O238" s="94">
        <f>IF($A238="",0,$J238*설정!$C$23)</f>
        <v/>
      </c>
      <c r="P238" s="64">
        <f>IF($A238="","",IFERROR(INDEX(입력옵션!$C$58:$C$68,MATCH($F238&amp;"",입력옵션!$E$58:$E$68,0)),IFERROR(INDEX(입력옵션!$C$58:$C$68,MATCH($G238&amp;"",입력옵션!$F$58:$F$68,0)),$F238&amp;"")))</f>
        <v/>
      </c>
    </row>
    <row r="239">
      <c r="A239" s="92" t="n">
        <v>2025</v>
      </c>
      <c r="B239" s="92" t="n">
        <v>6</v>
      </c>
      <c r="C239" s="92" t="inlineStr">
        <is>
          <t>PF02</t>
        </is>
      </c>
      <c r="D239" s="92" t="inlineStr">
        <is>
          <t>저축성</t>
        </is>
      </c>
      <c r="E239" s="92" t="inlineStr">
        <is>
          <t>GMM</t>
        </is>
      </c>
      <c r="F239" s="92" t="inlineStr">
        <is>
          <t>F22</t>
        </is>
      </c>
      <c r="G239" s="92" t="inlineStr">
        <is>
          <t>가정변경-기타</t>
        </is>
      </c>
      <c r="H239" s="93" t="n">
        <v>0</v>
      </c>
      <c r="I239" s="93" t="n">
        <v>0</v>
      </c>
      <c r="J239" s="93" t="n">
        <v>0</v>
      </c>
      <c r="L239" s="9">
        <f>IF($A239="","",VALUE($A239&amp;"")*12+VALUE($B239&amp;""))</f>
        <v/>
      </c>
      <c r="M239" s="94">
        <f>IF($A239="",0,$H239*설정!$C$23)</f>
        <v/>
      </c>
      <c r="N239" s="94">
        <f>IF($A239="",0,$I239*설정!$C$23)</f>
        <v/>
      </c>
      <c r="O239" s="94">
        <f>IF($A239="",0,$J239*설정!$C$23)</f>
        <v/>
      </c>
      <c r="P239" s="64">
        <f>IF($A239="","",IFERROR(INDEX(입력옵션!$C$58:$C$68,MATCH($F239&amp;"",입력옵션!$E$58:$E$68,0)),IFERROR(INDEX(입력옵션!$C$58:$C$68,MATCH($G239&amp;"",입력옵션!$F$58:$F$68,0)),$F239&amp;"")))</f>
        <v/>
      </c>
    </row>
    <row r="240">
      <c r="A240" s="92" t="n">
        <v>2025</v>
      </c>
      <c r="B240" s="92" t="n">
        <v>6</v>
      </c>
      <c r="C240" s="92" t="inlineStr">
        <is>
          <t>PF02</t>
        </is>
      </c>
      <c r="D240" s="92" t="inlineStr">
        <is>
          <t>저축성</t>
        </is>
      </c>
      <c r="E240" s="92" t="inlineStr">
        <is>
          <t>GMM</t>
        </is>
      </c>
      <c r="F240" s="92" t="inlineStr">
        <is>
          <t>F31</t>
        </is>
      </c>
      <c r="G240" s="92" t="inlineStr">
        <is>
          <t>경험조정-취득현금흐름</t>
        </is>
      </c>
      <c r="H240" s="93" t="n">
        <v>0</v>
      </c>
      <c r="I240" s="93" t="n">
        <v>0</v>
      </c>
      <c r="J240" s="93" t="n">
        <v>3137000</v>
      </c>
      <c r="L240" s="9">
        <f>IF($A240="","",VALUE($A240&amp;"")*12+VALUE($B240&amp;""))</f>
        <v/>
      </c>
      <c r="M240" s="94">
        <f>IF($A240="",0,$H240*설정!$C$23)</f>
        <v/>
      </c>
      <c r="N240" s="94">
        <f>IF($A240="",0,$I240*설정!$C$23)</f>
        <v/>
      </c>
      <c r="O240" s="94">
        <f>IF($A240="",0,$J240*설정!$C$23)</f>
        <v/>
      </c>
      <c r="P240" s="64">
        <f>IF($A240="","",IFERROR(INDEX(입력옵션!$C$58:$C$68,MATCH($F240&amp;"",입력옵션!$E$58:$E$68,0)),IFERROR(INDEX(입력옵션!$C$58:$C$68,MATCH($G240&amp;"",입력옵션!$F$58:$F$68,0)),$F240&amp;"")))</f>
        <v/>
      </c>
    </row>
    <row r="241">
      <c r="A241" s="92" t="n">
        <v>2025</v>
      </c>
      <c r="B241" s="92" t="n">
        <v>6</v>
      </c>
      <c r="C241" s="92" t="inlineStr">
        <is>
          <t>PF02</t>
        </is>
      </c>
      <c r="D241" s="92" t="inlineStr">
        <is>
          <t>저축성</t>
        </is>
      </c>
      <c r="E241" s="92" t="inlineStr">
        <is>
          <t>GMM</t>
        </is>
      </c>
      <c r="F241" s="92" t="inlineStr">
        <is>
          <t>F32</t>
        </is>
      </c>
      <c r="G241" s="92" t="inlineStr">
        <is>
          <t>경험조정-보험료 등</t>
        </is>
      </c>
      <c r="H241" s="93" t="n">
        <v>0</v>
      </c>
      <c r="I241" s="93" t="n">
        <v>0</v>
      </c>
      <c r="J241" s="93" t="n">
        <v>-109044000</v>
      </c>
      <c r="L241" s="9">
        <f>IF($A241="","",VALUE($A241&amp;"")*12+VALUE($B241&amp;""))</f>
        <v/>
      </c>
      <c r="M241" s="94">
        <f>IF($A241="",0,$H241*설정!$C$23)</f>
        <v/>
      </c>
      <c r="N241" s="94">
        <f>IF($A241="",0,$I241*설정!$C$23)</f>
        <v/>
      </c>
      <c r="O241" s="94">
        <f>IF($A241="",0,$J241*설정!$C$23)</f>
        <v/>
      </c>
      <c r="P241" s="64">
        <f>IF($A241="","",IFERROR(INDEX(입력옵션!$C$58:$C$68,MATCH($F241&amp;"",입력옵션!$E$58:$E$68,0)),IFERROR(INDEX(입력옵션!$C$58:$C$68,MATCH($G241&amp;"",입력옵션!$F$58:$F$68,0)),$F241&amp;"")))</f>
        <v/>
      </c>
    </row>
    <row r="242">
      <c r="A242" s="92" t="n">
        <v>2025</v>
      </c>
      <c r="B242" s="92" t="n">
        <v>6</v>
      </c>
      <c r="C242" s="92" t="inlineStr">
        <is>
          <t>PF02</t>
        </is>
      </c>
      <c r="D242" s="92" t="inlineStr">
        <is>
          <t>저축성</t>
        </is>
      </c>
      <c r="E242" s="92" t="inlineStr">
        <is>
          <t>GMM</t>
        </is>
      </c>
      <c r="F242" s="92" t="inlineStr">
        <is>
          <t>F40</t>
        </is>
      </c>
      <c r="G242" s="92" t="inlineStr">
        <is>
          <t>보험금융비용(이자부리)</t>
        </is>
      </c>
      <c r="H242" s="93" t="n">
        <v>1715457000</v>
      </c>
      <c r="I242" s="93" t="n">
        <v>60053000</v>
      </c>
      <c r="J242" s="93" t="n">
        <v>238614000</v>
      </c>
      <c r="L242" s="9">
        <f>IF($A242="","",VALUE($A242&amp;"")*12+VALUE($B242&amp;""))</f>
        <v/>
      </c>
      <c r="M242" s="94">
        <f>IF($A242="",0,$H242*설정!$C$23)</f>
        <v/>
      </c>
      <c r="N242" s="94">
        <f>IF($A242="",0,$I242*설정!$C$23)</f>
        <v/>
      </c>
      <c r="O242" s="94">
        <f>IF($A242="",0,$J242*설정!$C$23)</f>
        <v/>
      </c>
      <c r="P242" s="64">
        <f>IF($A242="","",IFERROR(INDEX(입력옵션!$C$58:$C$68,MATCH($F242&amp;"",입력옵션!$E$58:$E$68,0)),IFERROR(INDEX(입력옵션!$C$58:$C$68,MATCH($G242&amp;"",입력옵션!$F$58:$F$68,0)),$F242&amp;"")))</f>
        <v/>
      </c>
    </row>
    <row r="243">
      <c r="A243" s="92" t="n">
        <v>2025</v>
      </c>
      <c r="B243" s="92" t="n">
        <v>6</v>
      </c>
      <c r="C243" s="92" t="inlineStr">
        <is>
          <t>PF02</t>
        </is>
      </c>
      <c r="D243" s="92" t="inlineStr">
        <is>
          <t>저축성</t>
        </is>
      </c>
      <c r="E243" s="92" t="inlineStr">
        <is>
          <t>GMM</t>
        </is>
      </c>
      <c r="F243" s="92" t="inlineStr">
        <is>
          <t>F51</t>
        </is>
      </c>
      <c r="G243" s="92" t="inlineStr">
        <is>
          <t>CSM 상각</t>
        </is>
      </c>
      <c r="H243" s="93" t="n">
        <v>0</v>
      </c>
      <c r="I243" s="93" t="n">
        <v>0</v>
      </c>
      <c r="J243" s="93" t="n">
        <v>-859011000</v>
      </c>
      <c r="L243" s="9">
        <f>IF($A243="","",VALUE($A243&amp;"")*12+VALUE($B243&amp;""))</f>
        <v/>
      </c>
      <c r="M243" s="94">
        <f>IF($A243="",0,$H243*설정!$C$23)</f>
        <v/>
      </c>
      <c r="N243" s="94">
        <f>IF($A243="",0,$I243*설정!$C$23)</f>
        <v/>
      </c>
      <c r="O243" s="94">
        <f>IF($A243="",0,$J243*설정!$C$23)</f>
        <v/>
      </c>
      <c r="P243" s="64">
        <f>IF($A243="","",IFERROR(INDEX(입력옵션!$C$58:$C$68,MATCH($F243&amp;"",입력옵션!$E$58:$E$68,0)),IFERROR(INDEX(입력옵션!$C$58:$C$68,MATCH($G243&amp;"",입력옵션!$F$58:$F$68,0)),$F243&amp;"")))</f>
        <v/>
      </c>
    </row>
    <row r="244">
      <c r="A244" s="92" t="n">
        <v>2025</v>
      </c>
      <c r="B244" s="92" t="n">
        <v>6</v>
      </c>
      <c r="C244" s="92" t="inlineStr">
        <is>
          <t>PF02</t>
        </is>
      </c>
      <c r="D244" s="92" t="inlineStr">
        <is>
          <t>저축성</t>
        </is>
      </c>
      <c r="E244" s="92" t="inlineStr">
        <is>
          <t>GMM</t>
        </is>
      </c>
      <c r="F244" s="92" t="inlineStr">
        <is>
          <t>F52</t>
        </is>
      </c>
      <c r="G244" s="92" t="inlineStr">
        <is>
          <t>RA 해제</t>
        </is>
      </c>
      <c r="H244" s="93" t="n">
        <v>0</v>
      </c>
      <c r="I244" s="93" t="n">
        <v>-180158000</v>
      </c>
      <c r="J244" s="93" t="n">
        <v>0</v>
      </c>
      <c r="L244" s="9">
        <f>IF($A244="","",VALUE($A244&amp;"")*12+VALUE($B244&amp;""))</f>
        <v/>
      </c>
      <c r="M244" s="94">
        <f>IF($A244="",0,$H244*설정!$C$23)</f>
        <v/>
      </c>
      <c r="N244" s="94">
        <f>IF($A244="",0,$I244*설정!$C$23)</f>
        <v/>
      </c>
      <c r="O244" s="94">
        <f>IF($A244="",0,$J244*설정!$C$23)</f>
        <v/>
      </c>
      <c r="P244" s="64">
        <f>IF($A244="","",IFERROR(INDEX(입력옵션!$C$58:$C$68,MATCH($F244&amp;"",입력옵션!$E$58:$E$68,0)),IFERROR(INDEX(입력옵션!$C$58:$C$68,MATCH($G244&amp;"",입력옵션!$F$58:$F$68,0)),$F244&amp;"")))</f>
        <v/>
      </c>
    </row>
    <row r="245">
      <c r="A245" s="92" t="n">
        <v>2025</v>
      </c>
      <c r="B245" s="92" t="n">
        <v>6</v>
      </c>
      <c r="C245" s="92" t="inlineStr">
        <is>
          <t>PF02</t>
        </is>
      </c>
      <c r="D245" s="92" t="inlineStr">
        <is>
          <t>저축성</t>
        </is>
      </c>
      <c r="E245" s="92" t="inlineStr">
        <is>
          <t>GMM</t>
        </is>
      </c>
      <c r="F245" s="92" t="inlineStr">
        <is>
          <t>F60</t>
        </is>
      </c>
      <c r="G245" s="92" t="inlineStr">
        <is>
          <t>현금흐름 및 기타</t>
        </is>
      </c>
      <c r="H245" s="93" t="n">
        <v>3572662000</v>
      </c>
      <c r="I245" s="93" t="n">
        <v>-540281000</v>
      </c>
      <c r="J245" s="93" t="n">
        <v>0</v>
      </c>
      <c r="L245" s="9">
        <f>IF($A245="","",VALUE($A245&amp;"")*12+VALUE($B245&amp;""))</f>
        <v/>
      </c>
      <c r="M245" s="94">
        <f>IF($A245="",0,$H245*설정!$C$23)</f>
        <v/>
      </c>
      <c r="N245" s="94">
        <f>IF($A245="",0,$I245*설정!$C$23)</f>
        <v/>
      </c>
      <c r="O245" s="94">
        <f>IF($A245="",0,$J245*설정!$C$23)</f>
        <v/>
      </c>
      <c r="P245" s="64">
        <f>IF($A245="","",IFERROR(INDEX(입력옵션!$C$58:$C$68,MATCH($F245&amp;"",입력옵션!$E$58:$E$68,0)),IFERROR(INDEX(입력옵션!$C$58:$C$68,MATCH($G245&amp;"",입력옵션!$F$58:$F$68,0)),$F245&amp;"")))</f>
        <v/>
      </c>
    </row>
    <row r="246">
      <c r="A246" s="92" t="n">
        <v>2025</v>
      </c>
      <c r="B246" s="92" t="n">
        <v>6</v>
      </c>
      <c r="C246" s="92" t="inlineStr">
        <is>
          <t>PF02</t>
        </is>
      </c>
      <c r="D246" s="92" t="inlineStr">
        <is>
          <t>저축성</t>
        </is>
      </c>
      <c r="E246" s="92" t="inlineStr">
        <is>
          <t>GMM</t>
        </is>
      </c>
      <c r="F246" s="92" t="inlineStr">
        <is>
          <t>F99</t>
        </is>
      </c>
      <c r="G246" s="92" t="inlineStr">
        <is>
          <t>기말잔액</t>
        </is>
      </c>
      <c r="H246" s="93" t="n">
        <v>690061482000</v>
      </c>
      <c r="I246" s="93" t="n">
        <v>29647850000</v>
      </c>
      <c r="J246" s="93" t="n">
        <v>95846937000</v>
      </c>
      <c r="L246" s="9">
        <f>IF($A246="","",VALUE($A246&amp;"")*12+VALUE($B246&amp;""))</f>
        <v/>
      </c>
      <c r="M246" s="94">
        <f>IF($A246="",0,$H246*설정!$C$23)</f>
        <v/>
      </c>
      <c r="N246" s="94">
        <f>IF($A246="",0,$I246*설정!$C$23)</f>
        <v/>
      </c>
      <c r="O246" s="94">
        <f>IF($A246="",0,$J246*설정!$C$23)</f>
        <v/>
      </c>
      <c r="P246" s="64">
        <f>IF($A246="","",IFERROR(INDEX(입력옵션!$C$58:$C$68,MATCH($F246&amp;"",입력옵션!$E$58:$E$68,0)),IFERROR(INDEX(입력옵션!$C$58:$C$68,MATCH($G246&amp;"",입력옵션!$F$58:$F$68,0)),$F246&amp;"")))</f>
        <v/>
      </c>
    </row>
    <row r="247">
      <c r="A247" s="92" t="n">
        <v>2025</v>
      </c>
      <c r="B247" s="92" t="n">
        <v>6</v>
      </c>
      <c r="C247" s="92" t="inlineStr">
        <is>
          <t>PF03</t>
        </is>
      </c>
      <c r="D247" s="92" t="inlineStr">
        <is>
          <t>단체(단기)</t>
        </is>
      </c>
      <c r="E247" s="92" t="inlineStr">
        <is>
          <t>PAA</t>
        </is>
      </c>
      <c r="F247" s="92" t="inlineStr">
        <is>
          <t>F00</t>
        </is>
      </c>
      <c r="G247" s="92" t="inlineStr">
        <is>
          <t>기초잔액</t>
        </is>
      </c>
      <c r="H247" s="93" t="n">
        <v>41586836000</v>
      </c>
      <c r="I247" s="93" t="n">
        <v>2402108000</v>
      </c>
      <c r="J247" s="93" t="n">
        <v>0</v>
      </c>
      <c r="L247" s="9">
        <f>IF($A247="","",VALUE($A247&amp;"")*12+VALUE($B247&amp;""))</f>
        <v/>
      </c>
      <c r="M247" s="94">
        <f>IF($A247="",0,$H247*설정!$C$23)</f>
        <v/>
      </c>
      <c r="N247" s="94">
        <f>IF($A247="",0,$I247*설정!$C$23)</f>
        <v/>
      </c>
      <c r="O247" s="94">
        <f>IF($A247="",0,$J247*설정!$C$23)</f>
        <v/>
      </c>
      <c r="P247" s="64">
        <f>IF($A247="","",IFERROR(INDEX(입력옵션!$C$58:$C$68,MATCH($F247&amp;"",입력옵션!$E$58:$E$68,0)),IFERROR(INDEX(입력옵션!$C$58:$C$68,MATCH($G247&amp;"",입력옵션!$F$58:$F$68,0)),$F247&amp;"")))</f>
        <v/>
      </c>
    </row>
    <row r="248">
      <c r="A248" s="92" t="n">
        <v>2025</v>
      </c>
      <c r="B248" s="92" t="n">
        <v>6</v>
      </c>
      <c r="C248" s="92" t="inlineStr">
        <is>
          <t>PF03</t>
        </is>
      </c>
      <c r="D248" s="92" t="inlineStr">
        <is>
          <t>단체(단기)</t>
        </is>
      </c>
      <c r="E248" s="92" t="inlineStr">
        <is>
          <t>PAA</t>
        </is>
      </c>
      <c r="F248" s="92" t="inlineStr">
        <is>
          <t>F10</t>
        </is>
      </c>
      <c r="G248" s="92" t="inlineStr">
        <is>
          <t>신계약 효과</t>
        </is>
      </c>
      <c r="H248" s="93" t="n">
        <v>0</v>
      </c>
      <c r="I248" s="93" t="n">
        <v>0</v>
      </c>
      <c r="J248" s="93" t="n">
        <v>0</v>
      </c>
      <c r="L248" s="9">
        <f>IF($A248="","",VALUE($A248&amp;"")*12+VALUE($B248&amp;""))</f>
        <v/>
      </c>
      <c r="M248" s="94">
        <f>IF($A248="",0,$H248*설정!$C$23)</f>
        <v/>
      </c>
      <c r="N248" s="94">
        <f>IF($A248="",0,$I248*설정!$C$23)</f>
        <v/>
      </c>
      <c r="O248" s="94">
        <f>IF($A248="",0,$J248*설정!$C$23)</f>
        <v/>
      </c>
      <c r="P248" s="64">
        <f>IF($A248="","",IFERROR(INDEX(입력옵션!$C$58:$C$68,MATCH($F248&amp;"",입력옵션!$E$58:$E$68,0)),IFERROR(INDEX(입력옵션!$C$58:$C$68,MATCH($G248&amp;"",입력옵션!$F$58:$F$68,0)),$F248&amp;"")))</f>
        <v/>
      </c>
    </row>
    <row r="249">
      <c r="A249" s="92" t="n">
        <v>2025</v>
      </c>
      <c r="B249" s="92" t="n">
        <v>6</v>
      </c>
      <c r="C249" s="92" t="inlineStr">
        <is>
          <t>PF03</t>
        </is>
      </c>
      <c r="D249" s="92" t="inlineStr">
        <is>
          <t>단체(단기)</t>
        </is>
      </c>
      <c r="E249" s="92" t="inlineStr">
        <is>
          <t>PAA</t>
        </is>
      </c>
      <c r="F249" s="92" t="inlineStr">
        <is>
          <t>F21</t>
        </is>
      </c>
      <c r="G249" s="92" t="inlineStr">
        <is>
          <t>가정변경-사업비</t>
        </is>
      </c>
      <c r="H249" s="93" t="n">
        <v>0</v>
      </c>
      <c r="I249" s="93" t="n">
        <v>0</v>
      </c>
      <c r="J249" s="93" t="n">
        <v>0</v>
      </c>
      <c r="L249" s="9">
        <f>IF($A249="","",VALUE($A249&amp;"")*12+VALUE($B249&amp;""))</f>
        <v/>
      </c>
      <c r="M249" s="94">
        <f>IF($A249="",0,$H249*설정!$C$23)</f>
        <v/>
      </c>
      <c r="N249" s="94">
        <f>IF($A249="",0,$I249*설정!$C$23)</f>
        <v/>
      </c>
      <c r="O249" s="94">
        <f>IF($A249="",0,$J249*설정!$C$23)</f>
        <v/>
      </c>
      <c r="P249" s="64">
        <f>IF($A249="","",IFERROR(INDEX(입력옵션!$C$58:$C$68,MATCH($F249&amp;"",입력옵션!$E$58:$E$68,0)),IFERROR(INDEX(입력옵션!$C$58:$C$68,MATCH($G249&amp;"",입력옵션!$F$58:$F$68,0)),$F249&amp;"")))</f>
        <v/>
      </c>
    </row>
    <row r="250">
      <c r="A250" s="92" t="n">
        <v>2025</v>
      </c>
      <c r="B250" s="92" t="n">
        <v>6</v>
      </c>
      <c r="C250" s="92" t="inlineStr">
        <is>
          <t>PF03</t>
        </is>
      </c>
      <c r="D250" s="92" t="inlineStr">
        <is>
          <t>단체(단기)</t>
        </is>
      </c>
      <c r="E250" s="92" t="inlineStr">
        <is>
          <t>PAA</t>
        </is>
      </c>
      <c r="F250" s="92" t="inlineStr">
        <is>
          <t>F22</t>
        </is>
      </c>
      <c r="G250" s="92" t="inlineStr">
        <is>
          <t>가정변경-기타</t>
        </is>
      </c>
      <c r="H250" s="93" t="n">
        <v>0</v>
      </c>
      <c r="I250" s="93" t="n">
        <v>0</v>
      </c>
      <c r="J250" s="93" t="n">
        <v>0</v>
      </c>
      <c r="L250" s="9">
        <f>IF($A250="","",VALUE($A250&amp;"")*12+VALUE($B250&amp;""))</f>
        <v/>
      </c>
      <c r="M250" s="94">
        <f>IF($A250="",0,$H250*설정!$C$23)</f>
        <v/>
      </c>
      <c r="N250" s="94">
        <f>IF($A250="",0,$I250*설정!$C$23)</f>
        <v/>
      </c>
      <c r="O250" s="94">
        <f>IF($A250="",0,$J250*설정!$C$23)</f>
        <v/>
      </c>
      <c r="P250" s="64">
        <f>IF($A250="","",IFERROR(INDEX(입력옵션!$C$58:$C$68,MATCH($F250&amp;"",입력옵션!$E$58:$E$68,0)),IFERROR(INDEX(입력옵션!$C$58:$C$68,MATCH($G250&amp;"",입력옵션!$F$58:$F$68,0)),$F250&amp;"")))</f>
        <v/>
      </c>
    </row>
    <row r="251">
      <c r="A251" s="92" t="n">
        <v>2025</v>
      </c>
      <c r="B251" s="92" t="n">
        <v>6</v>
      </c>
      <c r="C251" s="92" t="inlineStr">
        <is>
          <t>PF03</t>
        </is>
      </c>
      <c r="D251" s="92" t="inlineStr">
        <is>
          <t>단체(단기)</t>
        </is>
      </c>
      <c r="E251" s="92" t="inlineStr">
        <is>
          <t>PAA</t>
        </is>
      </c>
      <c r="F251" s="92" t="inlineStr">
        <is>
          <t>F31</t>
        </is>
      </c>
      <c r="G251" s="92" t="inlineStr">
        <is>
          <t>경험조정-취득현금흐름</t>
        </is>
      </c>
      <c r="H251" s="93" t="n">
        <v>0</v>
      </c>
      <c r="I251" s="93" t="n">
        <v>0</v>
      </c>
      <c r="J251" s="93" t="n">
        <v>0</v>
      </c>
      <c r="L251" s="9">
        <f>IF($A251="","",VALUE($A251&amp;"")*12+VALUE($B251&amp;""))</f>
        <v/>
      </c>
      <c r="M251" s="94">
        <f>IF($A251="",0,$H251*설정!$C$23)</f>
        <v/>
      </c>
      <c r="N251" s="94">
        <f>IF($A251="",0,$I251*설정!$C$23)</f>
        <v/>
      </c>
      <c r="O251" s="94">
        <f>IF($A251="",0,$J251*설정!$C$23)</f>
        <v/>
      </c>
      <c r="P251" s="64">
        <f>IF($A251="","",IFERROR(INDEX(입력옵션!$C$58:$C$68,MATCH($F251&amp;"",입력옵션!$E$58:$E$68,0)),IFERROR(INDEX(입력옵션!$C$58:$C$68,MATCH($G251&amp;"",입력옵션!$F$58:$F$68,0)),$F251&amp;"")))</f>
        <v/>
      </c>
    </row>
    <row r="252">
      <c r="A252" s="92" t="n">
        <v>2025</v>
      </c>
      <c r="B252" s="92" t="n">
        <v>6</v>
      </c>
      <c r="C252" s="92" t="inlineStr">
        <is>
          <t>PF03</t>
        </is>
      </c>
      <c r="D252" s="92" t="inlineStr">
        <is>
          <t>단체(단기)</t>
        </is>
      </c>
      <c r="E252" s="92" t="inlineStr">
        <is>
          <t>PAA</t>
        </is>
      </c>
      <c r="F252" s="92" t="inlineStr">
        <is>
          <t>F32</t>
        </is>
      </c>
      <c r="G252" s="92" t="inlineStr">
        <is>
          <t>경험조정-보험료 등</t>
        </is>
      </c>
      <c r="H252" s="93" t="n">
        <v>0</v>
      </c>
      <c r="I252" s="93" t="n">
        <v>0</v>
      </c>
      <c r="J252" s="93" t="n">
        <v>0</v>
      </c>
      <c r="L252" s="9">
        <f>IF($A252="","",VALUE($A252&amp;"")*12+VALUE($B252&amp;""))</f>
        <v/>
      </c>
      <c r="M252" s="94">
        <f>IF($A252="",0,$H252*설정!$C$23)</f>
        <v/>
      </c>
      <c r="N252" s="94">
        <f>IF($A252="",0,$I252*설정!$C$23)</f>
        <v/>
      </c>
      <c r="O252" s="94">
        <f>IF($A252="",0,$J252*설정!$C$23)</f>
        <v/>
      </c>
      <c r="P252" s="64">
        <f>IF($A252="","",IFERROR(INDEX(입력옵션!$C$58:$C$68,MATCH($F252&amp;"",입력옵션!$E$58:$E$68,0)),IFERROR(INDEX(입력옵션!$C$58:$C$68,MATCH($G252&amp;"",입력옵션!$F$58:$F$68,0)),$F252&amp;"")))</f>
        <v/>
      </c>
    </row>
    <row r="253">
      <c r="A253" s="92" t="n">
        <v>2025</v>
      </c>
      <c r="B253" s="92" t="n">
        <v>6</v>
      </c>
      <c r="C253" s="92" t="inlineStr">
        <is>
          <t>PF03</t>
        </is>
      </c>
      <c r="D253" s="92" t="inlineStr">
        <is>
          <t>단체(단기)</t>
        </is>
      </c>
      <c r="E253" s="92" t="inlineStr">
        <is>
          <t>PAA</t>
        </is>
      </c>
      <c r="F253" s="92" t="inlineStr">
        <is>
          <t>F40</t>
        </is>
      </c>
      <c r="G253" s="92" t="inlineStr">
        <is>
          <t>보험금융비용(이자부리)</t>
        </is>
      </c>
      <c r="H253" s="93" t="n">
        <v>0</v>
      </c>
      <c r="I253" s="93" t="n">
        <v>0</v>
      </c>
      <c r="J253" s="93" t="n">
        <v>0</v>
      </c>
      <c r="L253" s="9">
        <f>IF($A253="","",VALUE($A253&amp;"")*12+VALUE($B253&amp;""))</f>
        <v/>
      </c>
      <c r="M253" s="94">
        <f>IF($A253="",0,$H253*설정!$C$23)</f>
        <v/>
      </c>
      <c r="N253" s="94">
        <f>IF($A253="",0,$I253*설정!$C$23)</f>
        <v/>
      </c>
      <c r="O253" s="94">
        <f>IF($A253="",0,$J253*설정!$C$23)</f>
        <v/>
      </c>
      <c r="P253" s="64">
        <f>IF($A253="","",IFERROR(INDEX(입력옵션!$C$58:$C$68,MATCH($F253&amp;"",입력옵션!$E$58:$E$68,0)),IFERROR(INDEX(입력옵션!$C$58:$C$68,MATCH($G253&amp;"",입력옵션!$F$58:$F$68,0)),$F253&amp;"")))</f>
        <v/>
      </c>
    </row>
    <row r="254">
      <c r="A254" s="92" t="n">
        <v>2025</v>
      </c>
      <c r="B254" s="92" t="n">
        <v>6</v>
      </c>
      <c r="C254" s="92" t="inlineStr">
        <is>
          <t>PF03</t>
        </is>
      </c>
      <c r="D254" s="92" t="inlineStr">
        <is>
          <t>단체(단기)</t>
        </is>
      </c>
      <c r="E254" s="92" t="inlineStr">
        <is>
          <t>PAA</t>
        </is>
      </c>
      <c r="F254" s="92" t="inlineStr">
        <is>
          <t>F51</t>
        </is>
      </c>
      <c r="G254" s="92" t="inlineStr">
        <is>
          <t>CSM 상각</t>
        </is>
      </c>
      <c r="H254" s="93" t="n">
        <v>0</v>
      </c>
      <c r="I254" s="93" t="n">
        <v>0</v>
      </c>
      <c r="J254" s="93" t="n">
        <v>0</v>
      </c>
      <c r="L254" s="9">
        <f>IF($A254="","",VALUE($A254&amp;"")*12+VALUE($B254&amp;""))</f>
        <v/>
      </c>
      <c r="M254" s="94">
        <f>IF($A254="",0,$H254*설정!$C$23)</f>
        <v/>
      </c>
      <c r="N254" s="94">
        <f>IF($A254="",0,$I254*설정!$C$23)</f>
        <v/>
      </c>
      <c r="O254" s="94">
        <f>IF($A254="",0,$J254*설정!$C$23)</f>
        <v/>
      </c>
      <c r="P254" s="64">
        <f>IF($A254="","",IFERROR(INDEX(입력옵션!$C$58:$C$68,MATCH($F254&amp;"",입력옵션!$E$58:$E$68,0)),IFERROR(INDEX(입력옵션!$C$58:$C$68,MATCH($G254&amp;"",입력옵션!$F$58:$F$68,0)),$F254&amp;"")))</f>
        <v/>
      </c>
    </row>
    <row r="255">
      <c r="A255" s="92" t="n">
        <v>2025</v>
      </c>
      <c r="B255" s="92" t="n">
        <v>6</v>
      </c>
      <c r="C255" s="92" t="inlineStr">
        <is>
          <t>PF03</t>
        </is>
      </c>
      <c r="D255" s="92" t="inlineStr">
        <is>
          <t>단체(단기)</t>
        </is>
      </c>
      <c r="E255" s="92" t="inlineStr">
        <is>
          <t>PAA</t>
        </is>
      </c>
      <c r="F255" s="92" t="inlineStr">
        <is>
          <t>F52</t>
        </is>
      </c>
      <c r="G255" s="92" t="inlineStr">
        <is>
          <t>RA 해제</t>
        </is>
      </c>
      <c r="H255" s="93" t="n">
        <v>0</v>
      </c>
      <c r="I255" s="93" t="n">
        <v>-14413000</v>
      </c>
      <c r="J255" s="93" t="n">
        <v>0</v>
      </c>
      <c r="L255" s="9">
        <f>IF($A255="","",VALUE($A255&amp;"")*12+VALUE($B255&amp;""))</f>
        <v/>
      </c>
      <c r="M255" s="94">
        <f>IF($A255="",0,$H255*설정!$C$23)</f>
        <v/>
      </c>
      <c r="N255" s="94">
        <f>IF($A255="",0,$I255*설정!$C$23)</f>
        <v/>
      </c>
      <c r="O255" s="94">
        <f>IF($A255="",0,$J255*설정!$C$23)</f>
        <v/>
      </c>
      <c r="P255" s="64">
        <f>IF($A255="","",IFERROR(INDEX(입력옵션!$C$58:$C$68,MATCH($F255&amp;"",입력옵션!$E$58:$E$68,0)),IFERROR(INDEX(입력옵션!$C$58:$C$68,MATCH($G255&amp;"",입력옵션!$F$58:$F$68,0)),$F255&amp;"")))</f>
        <v/>
      </c>
    </row>
    <row r="256">
      <c r="A256" s="92" t="n">
        <v>2025</v>
      </c>
      <c r="B256" s="92" t="n">
        <v>6</v>
      </c>
      <c r="C256" s="92" t="inlineStr">
        <is>
          <t>PF03</t>
        </is>
      </c>
      <c r="D256" s="92" t="inlineStr">
        <is>
          <t>단체(단기)</t>
        </is>
      </c>
      <c r="E256" s="92" t="inlineStr">
        <is>
          <t>PAA</t>
        </is>
      </c>
      <c r="F256" s="92" t="inlineStr">
        <is>
          <t>F60</t>
        </is>
      </c>
      <c r="G256" s="92" t="inlineStr">
        <is>
          <t>현금흐름 및 기타</t>
        </is>
      </c>
      <c r="H256" s="93" t="n">
        <v>235072000</v>
      </c>
      <c r="I256" s="93" t="n">
        <v>-15867000</v>
      </c>
      <c r="J256" s="93" t="n">
        <v>0</v>
      </c>
      <c r="L256" s="9">
        <f>IF($A256="","",VALUE($A256&amp;"")*12+VALUE($B256&amp;""))</f>
        <v/>
      </c>
      <c r="M256" s="94">
        <f>IF($A256="",0,$H256*설정!$C$23)</f>
        <v/>
      </c>
      <c r="N256" s="94">
        <f>IF($A256="",0,$I256*설정!$C$23)</f>
        <v/>
      </c>
      <c r="O256" s="94">
        <f>IF($A256="",0,$J256*설정!$C$23)</f>
        <v/>
      </c>
      <c r="P256" s="64">
        <f>IF($A256="","",IFERROR(INDEX(입력옵션!$C$58:$C$68,MATCH($F256&amp;"",입력옵션!$E$58:$E$68,0)),IFERROR(INDEX(입력옵션!$C$58:$C$68,MATCH($G256&amp;"",입력옵션!$F$58:$F$68,0)),$F256&amp;"")))</f>
        <v/>
      </c>
    </row>
    <row r="257">
      <c r="A257" s="92" t="n">
        <v>2025</v>
      </c>
      <c r="B257" s="92" t="n">
        <v>6</v>
      </c>
      <c r="C257" s="92" t="inlineStr">
        <is>
          <t>PF03</t>
        </is>
      </c>
      <c r="D257" s="92" t="inlineStr">
        <is>
          <t>단체(단기)</t>
        </is>
      </c>
      <c r="E257" s="92" t="inlineStr">
        <is>
          <t>PAA</t>
        </is>
      </c>
      <c r="F257" s="92" t="inlineStr">
        <is>
          <t>F99</t>
        </is>
      </c>
      <c r="G257" s="92" t="inlineStr">
        <is>
          <t>기말잔액</t>
        </is>
      </c>
      <c r="H257" s="93" t="n">
        <v>41821908000</v>
      </c>
      <c r="I257" s="93" t="n">
        <v>2371828000</v>
      </c>
      <c r="J257" s="93" t="n">
        <v>0</v>
      </c>
      <c r="L257" s="9">
        <f>IF($A257="","",VALUE($A257&amp;"")*12+VALUE($B257&amp;""))</f>
        <v/>
      </c>
      <c r="M257" s="94">
        <f>IF($A257="",0,$H257*설정!$C$23)</f>
        <v/>
      </c>
      <c r="N257" s="94">
        <f>IF($A257="",0,$I257*설정!$C$23)</f>
        <v/>
      </c>
      <c r="O257" s="94">
        <f>IF($A257="",0,$J257*설정!$C$23)</f>
        <v/>
      </c>
      <c r="P257" s="64">
        <f>IF($A257="","",IFERROR(INDEX(입력옵션!$C$58:$C$68,MATCH($F257&amp;"",입력옵션!$E$58:$E$68,0)),IFERROR(INDEX(입력옵션!$C$58:$C$68,MATCH($G257&amp;"",입력옵션!$F$58:$F$68,0)),$F257&amp;"")))</f>
        <v/>
      </c>
    </row>
    <row r="258">
      <c r="A258" s="92" t="n">
        <v>2025</v>
      </c>
      <c r="B258" s="92" t="n">
        <v>6</v>
      </c>
      <c r="C258" s="92" t="inlineStr">
        <is>
          <t>PF04</t>
        </is>
      </c>
      <c r="D258" s="92" t="inlineStr">
        <is>
          <t>변액</t>
        </is>
      </c>
      <c r="E258" s="92" t="inlineStr">
        <is>
          <t>VFA</t>
        </is>
      </c>
      <c r="F258" s="92" t="inlineStr">
        <is>
          <t>F00</t>
        </is>
      </c>
      <c r="G258" s="92" t="inlineStr">
        <is>
          <t>기초잔액</t>
        </is>
      </c>
      <c r="H258" s="93" t="n">
        <v>311901270000</v>
      </c>
      <c r="I258" s="93" t="n">
        <v>15613702000</v>
      </c>
      <c r="J258" s="93" t="n">
        <v>49822774000</v>
      </c>
      <c r="L258" s="9">
        <f>IF($A258="","",VALUE($A258&amp;"")*12+VALUE($B258&amp;""))</f>
        <v/>
      </c>
      <c r="M258" s="94">
        <f>IF($A258="",0,$H258*설정!$C$23)</f>
        <v/>
      </c>
      <c r="N258" s="94">
        <f>IF($A258="",0,$I258*설정!$C$23)</f>
        <v/>
      </c>
      <c r="O258" s="94">
        <f>IF($A258="",0,$J258*설정!$C$23)</f>
        <v/>
      </c>
      <c r="P258" s="64">
        <f>IF($A258="","",IFERROR(INDEX(입력옵션!$C$58:$C$68,MATCH($F258&amp;"",입력옵션!$E$58:$E$68,0)),IFERROR(INDEX(입력옵션!$C$58:$C$68,MATCH($G258&amp;"",입력옵션!$F$58:$F$68,0)),$F258&amp;"")))</f>
        <v/>
      </c>
    </row>
    <row r="259">
      <c r="A259" s="92" t="n">
        <v>2025</v>
      </c>
      <c r="B259" s="92" t="n">
        <v>6</v>
      </c>
      <c r="C259" s="92" t="inlineStr">
        <is>
          <t>PF04</t>
        </is>
      </c>
      <c r="D259" s="92" t="inlineStr">
        <is>
          <t>변액</t>
        </is>
      </c>
      <c r="E259" s="92" t="inlineStr">
        <is>
          <t>VFA</t>
        </is>
      </c>
      <c r="F259" s="92" t="inlineStr">
        <is>
          <t>F10</t>
        </is>
      </c>
      <c r="G259" s="92" t="inlineStr">
        <is>
          <t>신계약 효과</t>
        </is>
      </c>
      <c r="H259" s="93" t="n">
        <v>-732904000</v>
      </c>
      <c r="I259" s="93" t="n">
        <v>146581000</v>
      </c>
      <c r="J259" s="93" t="n">
        <v>586323000</v>
      </c>
      <c r="L259" s="9">
        <f>IF($A259="","",VALUE($A259&amp;"")*12+VALUE($B259&amp;""))</f>
        <v/>
      </c>
      <c r="M259" s="94">
        <f>IF($A259="",0,$H259*설정!$C$23)</f>
        <v/>
      </c>
      <c r="N259" s="94">
        <f>IF($A259="",0,$I259*설정!$C$23)</f>
        <v/>
      </c>
      <c r="O259" s="94">
        <f>IF($A259="",0,$J259*설정!$C$23)</f>
        <v/>
      </c>
      <c r="P259" s="64">
        <f>IF($A259="","",IFERROR(INDEX(입력옵션!$C$58:$C$68,MATCH($F259&amp;"",입력옵션!$E$58:$E$68,0)),IFERROR(INDEX(입력옵션!$C$58:$C$68,MATCH($G259&amp;"",입력옵션!$F$58:$F$68,0)),$F259&amp;"")))</f>
        <v/>
      </c>
    </row>
    <row r="260">
      <c r="A260" s="92" t="n">
        <v>2025</v>
      </c>
      <c r="B260" s="92" t="n">
        <v>6</v>
      </c>
      <c r="C260" s="92" t="inlineStr">
        <is>
          <t>PF04</t>
        </is>
      </c>
      <c r="D260" s="92" t="inlineStr">
        <is>
          <t>변액</t>
        </is>
      </c>
      <c r="E260" s="92" t="inlineStr">
        <is>
          <t>VFA</t>
        </is>
      </c>
      <c r="F260" s="92" t="inlineStr">
        <is>
          <t>F21</t>
        </is>
      </c>
      <c r="G260" s="92" t="inlineStr">
        <is>
          <t>가정변경-사업비</t>
        </is>
      </c>
      <c r="H260" s="93" t="n">
        <v>0</v>
      </c>
      <c r="I260" s="93" t="n">
        <v>0</v>
      </c>
      <c r="J260" s="93" t="n">
        <v>0</v>
      </c>
      <c r="L260" s="9">
        <f>IF($A260="","",VALUE($A260&amp;"")*12+VALUE($B260&amp;""))</f>
        <v/>
      </c>
      <c r="M260" s="94">
        <f>IF($A260="",0,$H260*설정!$C$23)</f>
        <v/>
      </c>
      <c r="N260" s="94">
        <f>IF($A260="",0,$I260*설정!$C$23)</f>
        <v/>
      </c>
      <c r="O260" s="94">
        <f>IF($A260="",0,$J260*설정!$C$23)</f>
        <v/>
      </c>
      <c r="P260" s="64">
        <f>IF($A260="","",IFERROR(INDEX(입력옵션!$C$58:$C$68,MATCH($F260&amp;"",입력옵션!$E$58:$E$68,0)),IFERROR(INDEX(입력옵션!$C$58:$C$68,MATCH($G260&amp;"",입력옵션!$F$58:$F$68,0)),$F260&amp;"")))</f>
        <v/>
      </c>
    </row>
    <row r="261">
      <c r="A261" s="92" t="n">
        <v>2025</v>
      </c>
      <c r="B261" s="92" t="n">
        <v>6</v>
      </c>
      <c r="C261" s="92" t="inlineStr">
        <is>
          <t>PF04</t>
        </is>
      </c>
      <c r="D261" s="92" t="inlineStr">
        <is>
          <t>변액</t>
        </is>
      </c>
      <c r="E261" s="92" t="inlineStr">
        <is>
          <t>VFA</t>
        </is>
      </c>
      <c r="F261" s="92" t="inlineStr">
        <is>
          <t>F22</t>
        </is>
      </c>
      <c r="G261" s="92" t="inlineStr">
        <is>
          <t>가정변경-기타</t>
        </is>
      </c>
      <c r="H261" s="93" t="n">
        <v>0</v>
      </c>
      <c r="I261" s="93" t="n">
        <v>0</v>
      </c>
      <c r="J261" s="93" t="n">
        <v>0</v>
      </c>
      <c r="L261" s="9">
        <f>IF($A261="","",VALUE($A261&amp;"")*12+VALUE($B261&amp;""))</f>
        <v/>
      </c>
      <c r="M261" s="94">
        <f>IF($A261="",0,$H261*설정!$C$23)</f>
        <v/>
      </c>
      <c r="N261" s="94">
        <f>IF($A261="",0,$I261*설정!$C$23)</f>
        <v/>
      </c>
      <c r="O261" s="94">
        <f>IF($A261="",0,$J261*설정!$C$23)</f>
        <v/>
      </c>
      <c r="P261" s="64">
        <f>IF($A261="","",IFERROR(INDEX(입력옵션!$C$58:$C$68,MATCH($F261&amp;"",입력옵션!$E$58:$E$68,0)),IFERROR(INDEX(입력옵션!$C$58:$C$68,MATCH($G261&amp;"",입력옵션!$F$58:$F$68,0)),$F261&amp;"")))</f>
        <v/>
      </c>
    </row>
    <row r="262">
      <c r="A262" s="92" t="n">
        <v>2025</v>
      </c>
      <c r="B262" s="92" t="n">
        <v>6</v>
      </c>
      <c r="C262" s="92" t="inlineStr">
        <is>
          <t>PF04</t>
        </is>
      </c>
      <c r="D262" s="92" t="inlineStr">
        <is>
          <t>변액</t>
        </is>
      </c>
      <c r="E262" s="92" t="inlineStr">
        <is>
          <t>VFA</t>
        </is>
      </c>
      <c r="F262" s="92" t="inlineStr">
        <is>
          <t>F31</t>
        </is>
      </c>
      <c r="G262" s="92" t="inlineStr">
        <is>
          <t>경험조정-취득현금흐름</t>
        </is>
      </c>
      <c r="H262" s="93" t="n">
        <v>0</v>
      </c>
      <c r="I262" s="93" t="n">
        <v>0</v>
      </c>
      <c r="J262" s="93" t="n">
        <v>2341000</v>
      </c>
      <c r="L262" s="9">
        <f>IF($A262="","",VALUE($A262&amp;"")*12+VALUE($B262&amp;""))</f>
        <v/>
      </c>
      <c r="M262" s="94">
        <f>IF($A262="",0,$H262*설정!$C$23)</f>
        <v/>
      </c>
      <c r="N262" s="94">
        <f>IF($A262="",0,$I262*설정!$C$23)</f>
        <v/>
      </c>
      <c r="O262" s="94">
        <f>IF($A262="",0,$J262*설정!$C$23)</f>
        <v/>
      </c>
      <c r="P262" s="64">
        <f>IF($A262="","",IFERROR(INDEX(입력옵션!$C$58:$C$68,MATCH($F262&amp;"",입력옵션!$E$58:$E$68,0)),IFERROR(INDEX(입력옵션!$C$58:$C$68,MATCH($G262&amp;"",입력옵션!$F$58:$F$68,0)),$F262&amp;"")))</f>
        <v/>
      </c>
    </row>
    <row r="263">
      <c r="A263" s="92" t="n">
        <v>2025</v>
      </c>
      <c r="B263" s="92" t="n">
        <v>6</v>
      </c>
      <c r="C263" s="92" t="inlineStr">
        <is>
          <t>PF04</t>
        </is>
      </c>
      <c r="D263" s="92" t="inlineStr">
        <is>
          <t>변액</t>
        </is>
      </c>
      <c r="E263" s="92" t="inlineStr">
        <is>
          <t>VFA</t>
        </is>
      </c>
      <c r="F263" s="92" t="inlineStr">
        <is>
          <t>F32</t>
        </is>
      </c>
      <c r="G263" s="92" t="inlineStr">
        <is>
          <t>경험조정-보험료 등</t>
        </is>
      </c>
      <c r="H263" s="93" t="n">
        <v>0</v>
      </c>
      <c r="I263" s="93" t="n">
        <v>0</v>
      </c>
      <c r="J263" s="93" t="n">
        <v>96162000</v>
      </c>
      <c r="L263" s="9">
        <f>IF($A263="","",VALUE($A263&amp;"")*12+VALUE($B263&amp;""))</f>
        <v/>
      </c>
      <c r="M263" s="94">
        <f>IF($A263="",0,$H263*설정!$C$23)</f>
        <v/>
      </c>
      <c r="N263" s="94">
        <f>IF($A263="",0,$I263*설정!$C$23)</f>
        <v/>
      </c>
      <c r="O263" s="94">
        <f>IF($A263="",0,$J263*설정!$C$23)</f>
        <v/>
      </c>
      <c r="P263" s="64">
        <f>IF($A263="","",IFERROR(INDEX(입력옵션!$C$58:$C$68,MATCH($F263&amp;"",입력옵션!$E$58:$E$68,0)),IFERROR(INDEX(입력옵션!$C$58:$C$68,MATCH($G263&amp;"",입력옵션!$F$58:$F$68,0)),$F263&amp;"")))</f>
        <v/>
      </c>
    </row>
    <row r="264">
      <c r="A264" s="92" t="n">
        <v>2025</v>
      </c>
      <c r="B264" s="92" t="n">
        <v>6</v>
      </c>
      <c r="C264" s="92" t="inlineStr">
        <is>
          <t>PF04</t>
        </is>
      </c>
      <c r="D264" s="92" t="inlineStr">
        <is>
          <t>변액</t>
        </is>
      </c>
      <c r="E264" s="92" t="inlineStr">
        <is>
          <t>VFA</t>
        </is>
      </c>
      <c r="F264" s="92" t="inlineStr">
        <is>
          <t>F40</t>
        </is>
      </c>
      <c r="G264" s="92" t="inlineStr">
        <is>
          <t>보험금융비용(이자부리)</t>
        </is>
      </c>
      <c r="H264" s="93" t="n">
        <v>779753000</v>
      </c>
      <c r="I264" s="93" t="n">
        <v>31227000</v>
      </c>
      <c r="J264" s="93" t="n">
        <v>124557000</v>
      </c>
      <c r="L264" s="9">
        <f>IF($A264="","",VALUE($A264&amp;"")*12+VALUE($B264&amp;""))</f>
        <v/>
      </c>
      <c r="M264" s="94">
        <f>IF($A264="",0,$H264*설정!$C$23)</f>
        <v/>
      </c>
      <c r="N264" s="94">
        <f>IF($A264="",0,$I264*설정!$C$23)</f>
        <v/>
      </c>
      <c r="O264" s="94">
        <f>IF($A264="",0,$J264*설정!$C$23)</f>
        <v/>
      </c>
      <c r="P264" s="64">
        <f>IF($A264="","",IFERROR(INDEX(입력옵션!$C$58:$C$68,MATCH($F264&amp;"",입력옵션!$E$58:$E$68,0)),IFERROR(INDEX(입력옵션!$C$58:$C$68,MATCH($G264&amp;"",입력옵션!$F$58:$F$68,0)),$F264&amp;"")))</f>
        <v/>
      </c>
    </row>
    <row r="265">
      <c r="A265" s="92" t="n">
        <v>2025</v>
      </c>
      <c r="B265" s="92" t="n">
        <v>6</v>
      </c>
      <c r="C265" s="92" t="inlineStr">
        <is>
          <t>PF04</t>
        </is>
      </c>
      <c r="D265" s="92" t="inlineStr">
        <is>
          <t>변액</t>
        </is>
      </c>
      <c r="E265" s="92" t="inlineStr">
        <is>
          <t>VFA</t>
        </is>
      </c>
      <c r="F265" s="92" t="inlineStr">
        <is>
          <t>F51</t>
        </is>
      </c>
      <c r="G265" s="92" t="inlineStr">
        <is>
          <t>CSM 상각</t>
        </is>
      </c>
      <c r="H265" s="93" t="n">
        <v>0</v>
      </c>
      <c r="I265" s="93" t="n">
        <v>0</v>
      </c>
      <c r="J265" s="93" t="n">
        <v>-448405000</v>
      </c>
      <c r="L265" s="9">
        <f>IF($A265="","",VALUE($A265&amp;"")*12+VALUE($B265&amp;""))</f>
        <v/>
      </c>
      <c r="M265" s="94">
        <f>IF($A265="",0,$H265*설정!$C$23)</f>
        <v/>
      </c>
      <c r="N265" s="94">
        <f>IF($A265="",0,$I265*설정!$C$23)</f>
        <v/>
      </c>
      <c r="O265" s="94">
        <f>IF($A265="",0,$J265*설정!$C$23)</f>
        <v/>
      </c>
      <c r="P265" s="64">
        <f>IF($A265="","",IFERROR(INDEX(입력옵션!$C$58:$C$68,MATCH($F265&amp;"",입력옵션!$E$58:$E$68,0)),IFERROR(INDEX(입력옵션!$C$58:$C$68,MATCH($G265&amp;"",입력옵션!$F$58:$F$68,0)),$F265&amp;"")))</f>
        <v/>
      </c>
    </row>
    <row r="266">
      <c r="A266" s="92" t="n">
        <v>2025</v>
      </c>
      <c r="B266" s="92" t="n">
        <v>6</v>
      </c>
      <c r="C266" s="92" t="inlineStr">
        <is>
          <t>PF04</t>
        </is>
      </c>
      <c r="D266" s="92" t="inlineStr">
        <is>
          <t>변액</t>
        </is>
      </c>
      <c r="E266" s="92" t="inlineStr">
        <is>
          <t>VFA</t>
        </is>
      </c>
      <c r="F266" s="92" t="inlineStr">
        <is>
          <t>F52</t>
        </is>
      </c>
      <c r="G266" s="92" t="inlineStr">
        <is>
          <t>RA 해제</t>
        </is>
      </c>
      <c r="H266" s="93" t="n">
        <v>0</v>
      </c>
      <c r="I266" s="93" t="n">
        <v>-93682000</v>
      </c>
      <c r="J266" s="93" t="n">
        <v>0</v>
      </c>
      <c r="L266" s="9">
        <f>IF($A266="","",VALUE($A266&amp;"")*12+VALUE($B266&amp;""))</f>
        <v/>
      </c>
      <c r="M266" s="94">
        <f>IF($A266="",0,$H266*설정!$C$23)</f>
        <v/>
      </c>
      <c r="N266" s="94">
        <f>IF($A266="",0,$I266*설정!$C$23)</f>
        <v/>
      </c>
      <c r="O266" s="94">
        <f>IF($A266="",0,$J266*설정!$C$23)</f>
        <v/>
      </c>
      <c r="P266" s="64">
        <f>IF($A266="","",IFERROR(INDEX(입력옵션!$C$58:$C$68,MATCH($F266&amp;"",입력옵션!$E$58:$E$68,0)),IFERROR(INDEX(입력옵션!$C$58:$C$68,MATCH($G266&amp;"",입력옵션!$F$58:$F$68,0)),$F266&amp;"")))</f>
        <v/>
      </c>
    </row>
    <row r="267">
      <c r="A267" s="92" t="n">
        <v>2025</v>
      </c>
      <c r="B267" s="92" t="n">
        <v>6</v>
      </c>
      <c r="C267" s="92" t="inlineStr">
        <is>
          <t>PF04</t>
        </is>
      </c>
      <c r="D267" s="92" t="inlineStr">
        <is>
          <t>변액</t>
        </is>
      </c>
      <c r="E267" s="92" t="inlineStr">
        <is>
          <t>VFA</t>
        </is>
      </c>
      <c r="F267" s="92" t="inlineStr">
        <is>
          <t>F60</t>
        </is>
      </c>
      <c r="G267" s="92" t="inlineStr">
        <is>
          <t>현금흐름 및 기타</t>
        </is>
      </c>
      <c r="H267" s="93" t="n">
        <v>1716191000</v>
      </c>
      <c r="I267" s="93" t="n">
        <v>-280946000</v>
      </c>
      <c r="J267" s="93" t="n">
        <v>0</v>
      </c>
      <c r="L267" s="9">
        <f>IF($A267="","",VALUE($A267&amp;"")*12+VALUE($B267&amp;""))</f>
        <v/>
      </c>
      <c r="M267" s="94">
        <f>IF($A267="",0,$H267*설정!$C$23)</f>
        <v/>
      </c>
      <c r="N267" s="94">
        <f>IF($A267="",0,$I267*설정!$C$23)</f>
        <v/>
      </c>
      <c r="O267" s="94">
        <f>IF($A267="",0,$J267*설정!$C$23)</f>
        <v/>
      </c>
      <c r="P267" s="64">
        <f>IF($A267="","",IFERROR(INDEX(입력옵션!$C$58:$C$68,MATCH($F267&amp;"",입력옵션!$E$58:$E$68,0)),IFERROR(INDEX(입력옵션!$C$58:$C$68,MATCH($G267&amp;"",입력옵션!$F$58:$F$68,0)),$F267&amp;"")))</f>
        <v/>
      </c>
    </row>
    <row r="268">
      <c r="A268" s="92" t="n">
        <v>2025</v>
      </c>
      <c r="B268" s="92" t="n">
        <v>6</v>
      </c>
      <c r="C268" s="92" t="inlineStr">
        <is>
          <t>PF04</t>
        </is>
      </c>
      <c r="D268" s="92" t="inlineStr">
        <is>
          <t>변액</t>
        </is>
      </c>
      <c r="E268" s="92" t="inlineStr">
        <is>
          <t>VFA</t>
        </is>
      </c>
      <c r="F268" s="92" t="inlineStr">
        <is>
          <t>F99</t>
        </is>
      </c>
      <c r="G268" s="92" t="inlineStr">
        <is>
          <t>기말잔액</t>
        </is>
      </c>
      <c r="H268" s="93" t="n">
        <v>313664310000</v>
      </c>
      <c r="I268" s="93" t="n">
        <v>15416882000</v>
      </c>
      <c r="J268" s="93" t="n">
        <v>50183753000</v>
      </c>
      <c r="L268" s="9">
        <f>IF($A268="","",VALUE($A268&amp;"")*12+VALUE($B268&amp;""))</f>
        <v/>
      </c>
      <c r="M268" s="94">
        <f>IF($A268="",0,$H268*설정!$C$23)</f>
        <v/>
      </c>
      <c r="N268" s="94">
        <f>IF($A268="",0,$I268*설정!$C$23)</f>
        <v/>
      </c>
      <c r="O268" s="94">
        <f>IF($A268="",0,$J268*설정!$C$23)</f>
        <v/>
      </c>
      <c r="P268" s="64">
        <f>IF($A268="","",IFERROR(INDEX(입력옵션!$C$58:$C$68,MATCH($F268&amp;"",입력옵션!$E$58:$E$68,0)),IFERROR(INDEX(입력옵션!$C$58:$C$68,MATCH($G268&amp;"",입력옵션!$F$58:$F$68,0)),$F268&amp;"")))</f>
        <v/>
      </c>
    </row>
    <row r="269">
      <c r="A269" s="92" t="n">
        <v>2025</v>
      </c>
      <c r="B269" s="92" t="n">
        <v>7</v>
      </c>
      <c r="C269" s="92" t="inlineStr">
        <is>
          <t>PF01</t>
        </is>
      </c>
      <c r="D269" s="92" t="inlineStr">
        <is>
          <t>보장성</t>
        </is>
      </c>
      <c r="E269" s="92" t="inlineStr">
        <is>
          <t>GMM</t>
        </is>
      </c>
      <c r="F269" s="92" t="inlineStr">
        <is>
          <t>F00</t>
        </is>
      </c>
      <c r="G269" s="92" t="inlineStr">
        <is>
          <t>기초잔액</t>
        </is>
      </c>
      <c r="H269" s="93" t="n">
        <v>1045547700000</v>
      </c>
      <c r="I269" s="93" t="n">
        <v>71154840000</v>
      </c>
      <c r="J269" s="93" t="n">
        <v>238067868000</v>
      </c>
      <c r="L269" s="9">
        <f>IF($A269="","",VALUE($A269&amp;"")*12+VALUE($B269&amp;""))</f>
        <v/>
      </c>
      <c r="M269" s="94">
        <f>IF($A269="",0,$H269*설정!$C$23)</f>
        <v/>
      </c>
      <c r="N269" s="94">
        <f>IF($A269="",0,$I269*설정!$C$23)</f>
        <v/>
      </c>
      <c r="O269" s="94">
        <f>IF($A269="",0,$J269*설정!$C$23)</f>
        <v/>
      </c>
      <c r="P269" s="64">
        <f>IF($A269="","",IFERROR(INDEX(입력옵션!$C$58:$C$68,MATCH($F269&amp;"",입력옵션!$E$58:$E$68,0)),IFERROR(INDEX(입력옵션!$C$58:$C$68,MATCH($G269&amp;"",입력옵션!$F$58:$F$68,0)),$F269&amp;"")))</f>
        <v/>
      </c>
    </row>
    <row r="270">
      <c r="A270" s="92" t="n">
        <v>2025</v>
      </c>
      <c r="B270" s="92" t="n">
        <v>7</v>
      </c>
      <c r="C270" s="92" t="inlineStr">
        <is>
          <t>PF01</t>
        </is>
      </c>
      <c r="D270" s="92" t="inlineStr">
        <is>
          <t>보장성</t>
        </is>
      </c>
      <c r="E270" s="92" t="inlineStr">
        <is>
          <t>GMM</t>
        </is>
      </c>
      <c r="F270" s="92" t="inlineStr">
        <is>
          <t>F10</t>
        </is>
      </c>
      <c r="G270" s="92" t="inlineStr">
        <is>
          <t>신계약 효과</t>
        </is>
      </c>
      <c r="H270" s="93" t="n">
        <v>-3991763000</v>
      </c>
      <c r="I270" s="93" t="n">
        <v>798353000</v>
      </c>
      <c r="J270" s="93" t="n">
        <v>3193410000</v>
      </c>
      <c r="L270" s="9">
        <f>IF($A270="","",VALUE($A270&amp;"")*12+VALUE($B270&amp;""))</f>
        <v/>
      </c>
      <c r="M270" s="94">
        <f>IF($A270="",0,$H270*설정!$C$23)</f>
        <v/>
      </c>
      <c r="N270" s="94">
        <f>IF($A270="",0,$I270*설정!$C$23)</f>
        <v/>
      </c>
      <c r="O270" s="94">
        <f>IF($A270="",0,$J270*설정!$C$23)</f>
        <v/>
      </c>
      <c r="P270" s="64">
        <f>IF($A270="","",IFERROR(INDEX(입력옵션!$C$58:$C$68,MATCH($F270&amp;"",입력옵션!$E$58:$E$68,0)),IFERROR(INDEX(입력옵션!$C$58:$C$68,MATCH($G270&amp;"",입력옵션!$F$58:$F$68,0)),$F270&amp;"")))</f>
        <v/>
      </c>
    </row>
    <row r="271">
      <c r="A271" s="92" t="n">
        <v>2025</v>
      </c>
      <c r="B271" s="92" t="n">
        <v>7</v>
      </c>
      <c r="C271" s="92" t="inlineStr">
        <is>
          <t>PF01</t>
        </is>
      </c>
      <c r="D271" s="92" t="inlineStr">
        <is>
          <t>보장성</t>
        </is>
      </c>
      <c r="E271" s="92" t="inlineStr">
        <is>
          <t>GMM</t>
        </is>
      </c>
      <c r="F271" s="92" t="inlineStr">
        <is>
          <t>F21</t>
        </is>
      </c>
      <c r="G271" s="92" t="inlineStr">
        <is>
          <t>가정변경-사업비</t>
        </is>
      </c>
      <c r="H271" s="93" t="n">
        <v>0</v>
      </c>
      <c r="I271" s="93" t="n">
        <v>0</v>
      </c>
      <c r="J271" s="93" t="n">
        <v>0</v>
      </c>
      <c r="L271" s="9">
        <f>IF($A271="","",VALUE($A271&amp;"")*12+VALUE($B271&amp;""))</f>
        <v/>
      </c>
      <c r="M271" s="94">
        <f>IF($A271="",0,$H271*설정!$C$23)</f>
        <v/>
      </c>
      <c r="N271" s="94">
        <f>IF($A271="",0,$I271*설정!$C$23)</f>
        <v/>
      </c>
      <c r="O271" s="94">
        <f>IF($A271="",0,$J271*설정!$C$23)</f>
        <v/>
      </c>
      <c r="P271" s="64">
        <f>IF($A271="","",IFERROR(INDEX(입력옵션!$C$58:$C$68,MATCH($F271&amp;"",입력옵션!$E$58:$E$68,0)),IFERROR(INDEX(입력옵션!$C$58:$C$68,MATCH($G271&amp;"",입력옵션!$F$58:$F$68,0)),$F271&amp;"")))</f>
        <v/>
      </c>
    </row>
    <row r="272">
      <c r="A272" s="92" t="n">
        <v>2025</v>
      </c>
      <c r="B272" s="92" t="n">
        <v>7</v>
      </c>
      <c r="C272" s="92" t="inlineStr">
        <is>
          <t>PF01</t>
        </is>
      </c>
      <c r="D272" s="92" t="inlineStr">
        <is>
          <t>보장성</t>
        </is>
      </c>
      <c r="E272" s="92" t="inlineStr">
        <is>
          <t>GMM</t>
        </is>
      </c>
      <c r="F272" s="92" t="inlineStr">
        <is>
          <t>F22</t>
        </is>
      </c>
      <c r="G272" s="92" t="inlineStr">
        <is>
          <t>가정변경-기타</t>
        </is>
      </c>
      <c r="H272" s="93" t="n">
        <v>0</v>
      </c>
      <c r="I272" s="93" t="n">
        <v>0</v>
      </c>
      <c r="J272" s="93" t="n">
        <v>0</v>
      </c>
      <c r="L272" s="9">
        <f>IF($A272="","",VALUE($A272&amp;"")*12+VALUE($B272&amp;""))</f>
        <v/>
      </c>
      <c r="M272" s="94">
        <f>IF($A272="",0,$H272*설정!$C$23)</f>
        <v/>
      </c>
      <c r="N272" s="94">
        <f>IF($A272="",0,$I272*설정!$C$23)</f>
        <v/>
      </c>
      <c r="O272" s="94">
        <f>IF($A272="",0,$J272*설정!$C$23)</f>
        <v/>
      </c>
      <c r="P272" s="64">
        <f>IF($A272="","",IFERROR(INDEX(입력옵션!$C$58:$C$68,MATCH($F272&amp;"",입력옵션!$E$58:$E$68,0)),IFERROR(INDEX(입력옵션!$C$58:$C$68,MATCH($G272&amp;"",입력옵션!$F$58:$F$68,0)),$F272&amp;"")))</f>
        <v/>
      </c>
    </row>
    <row r="273">
      <c r="A273" s="92" t="n">
        <v>2025</v>
      </c>
      <c r="B273" s="92" t="n">
        <v>7</v>
      </c>
      <c r="C273" s="92" t="inlineStr">
        <is>
          <t>PF01</t>
        </is>
      </c>
      <c r="D273" s="92" t="inlineStr">
        <is>
          <t>보장성</t>
        </is>
      </c>
      <c r="E273" s="92" t="inlineStr">
        <is>
          <t>GMM</t>
        </is>
      </c>
      <c r="F273" s="92" t="inlineStr">
        <is>
          <t>F31</t>
        </is>
      </c>
      <c r="G273" s="92" t="inlineStr">
        <is>
          <t>경험조정-취득현금흐름</t>
        </is>
      </c>
      <c r="H273" s="93" t="n">
        <v>0</v>
      </c>
      <c r="I273" s="93" t="n">
        <v>0</v>
      </c>
      <c r="J273" s="93" t="n">
        <v>6049000</v>
      </c>
      <c r="L273" s="9">
        <f>IF($A273="","",VALUE($A273&amp;"")*12+VALUE($B273&amp;""))</f>
        <v/>
      </c>
      <c r="M273" s="94">
        <f>IF($A273="",0,$H273*설정!$C$23)</f>
        <v/>
      </c>
      <c r="N273" s="94">
        <f>IF($A273="",0,$I273*설정!$C$23)</f>
        <v/>
      </c>
      <c r="O273" s="94">
        <f>IF($A273="",0,$J273*설정!$C$23)</f>
        <v/>
      </c>
      <c r="P273" s="64">
        <f>IF($A273="","",IFERROR(INDEX(입력옵션!$C$58:$C$68,MATCH($F273&amp;"",입력옵션!$E$58:$E$68,0)),IFERROR(INDEX(입력옵션!$C$58:$C$68,MATCH($G273&amp;"",입력옵션!$F$58:$F$68,0)),$F273&amp;"")))</f>
        <v/>
      </c>
    </row>
    <row r="274">
      <c r="A274" s="92" t="n">
        <v>2025</v>
      </c>
      <c r="B274" s="92" t="n">
        <v>7</v>
      </c>
      <c r="C274" s="92" t="inlineStr">
        <is>
          <t>PF01</t>
        </is>
      </c>
      <c r="D274" s="92" t="inlineStr">
        <is>
          <t>보장성</t>
        </is>
      </c>
      <c r="E274" s="92" t="inlineStr">
        <is>
          <t>GMM</t>
        </is>
      </c>
      <c r="F274" s="92" t="inlineStr">
        <is>
          <t>F32</t>
        </is>
      </c>
      <c r="G274" s="92" t="inlineStr">
        <is>
          <t>경험조정-보험료 등</t>
        </is>
      </c>
      <c r="H274" s="93" t="n">
        <v>0</v>
      </c>
      <c r="I274" s="93" t="n">
        <v>0</v>
      </c>
      <c r="J274" s="93" t="n">
        <v>-266949000</v>
      </c>
      <c r="L274" s="9">
        <f>IF($A274="","",VALUE($A274&amp;"")*12+VALUE($B274&amp;""))</f>
        <v/>
      </c>
      <c r="M274" s="94">
        <f>IF($A274="",0,$H274*설정!$C$23)</f>
        <v/>
      </c>
      <c r="N274" s="94">
        <f>IF($A274="",0,$I274*설정!$C$23)</f>
        <v/>
      </c>
      <c r="O274" s="94">
        <f>IF($A274="",0,$J274*설정!$C$23)</f>
        <v/>
      </c>
      <c r="P274" s="64">
        <f>IF($A274="","",IFERROR(INDEX(입력옵션!$C$58:$C$68,MATCH($F274&amp;"",입력옵션!$E$58:$E$68,0)),IFERROR(INDEX(입력옵션!$C$58:$C$68,MATCH($G274&amp;"",입력옵션!$F$58:$F$68,0)),$F274&amp;"")))</f>
        <v/>
      </c>
    </row>
    <row r="275">
      <c r="A275" s="92" t="n">
        <v>2025</v>
      </c>
      <c r="B275" s="92" t="n">
        <v>7</v>
      </c>
      <c r="C275" s="92" t="inlineStr">
        <is>
          <t>PF01</t>
        </is>
      </c>
      <c r="D275" s="92" t="inlineStr">
        <is>
          <t>보장성</t>
        </is>
      </c>
      <c r="E275" s="92" t="inlineStr">
        <is>
          <t>GMM</t>
        </is>
      </c>
      <c r="F275" s="92" t="inlineStr">
        <is>
          <t>F40</t>
        </is>
      </c>
      <c r="G275" s="92" t="inlineStr">
        <is>
          <t>보험금융비용(이자부리)</t>
        </is>
      </c>
      <c r="H275" s="93" t="n">
        <v>2613869000</v>
      </c>
      <c r="I275" s="93" t="n">
        <v>142310000</v>
      </c>
      <c r="J275" s="93" t="n">
        <v>595170000</v>
      </c>
      <c r="L275" s="9">
        <f>IF($A275="","",VALUE($A275&amp;"")*12+VALUE($B275&amp;""))</f>
        <v/>
      </c>
      <c r="M275" s="94">
        <f>IF($A275="",0,$H275*설정!$C$23)</f>
        <v/>
      </c>
      <c r="N275" s="94">
        <f>IF($A275="",0,$I275*설정!$C$23)</f>
        <v/>
      </c>
      <c r="O275" s="94">
        <f>IF($A275="",0,$J275*설정!$C$23)</f>
        <v/>
      </c>
      <c r="P275" s="64">
        <f>IF($A275="","",IFERROR(INDEX(입력옵션!$C$58:$C$68,MATCH($F275&amp;"",입력옵션!$E$58:$E$68,0)),IFERROR(INDEX(입력옵션!$C$58:$C$68,MATCH($G275&amp;"",입력옵션!$F$58:$F$68,0)),$F275&amp;"")))</f>
        <v/>
      </c>
    </row>
    <row r="276">
      <c r="A276" s="92" t="n">
        <v>2025</v>
      </c>
      <c r="B276" s="92" t="n">
        <v>7</v>
      </c>
      <c r="C276" s="92" t="inlineStr">
        <is>
          <t>PF01</t>
        </is>
      </c>
      <c r="D276" s="92" t="inlineStr">
        <is>
          <t>보장성</t>
        </is>
      </c>
      <c r="E276" s="92" t="inlineStr">
        <is>
          <t>GMM</t>
        </is>
      </c>
      <c r="F276" s="92" t="inlineStr">
        <is>
          <t>F51</t>
        </is>
      </c>
      <c r="G276" s="92" t="inlineStr">
        <is>
          <t>CSM 상각</t>
        </is>
      </c>
      <c r="H276" s="93" t="n">
        <v>0</v>
      </c>
      <c r="I276" s="93" t="n">
        <v>0</v>
      </c>
      <c r="J276" s="93" t="n">
        <v>-2142611000</v>
      </c>
      <c r="L276" s="9">
        <f>IF($A276="","",VALUE($A276&amp;"")*12+VALUE($B276&amp;""))</f>
        <v/>
      </c>
      <c r="M276" s="94">
        <f>IF($A276="",0,$H276*설정!$C$23)</f>
        <v/>
      </c>
      <c r="N276" s="94">
        <f>IF($A276="",0,$I276*설정!$C$23)</f>
        <v/>
      </c>
      <c r="O276" s="94">
        <f>IF($A276="",0,$J276*설정!$C$23)</f>
        <v/>
      </c>
      <c r="P276" s="64">
        <f>IF($A276="","",IFERROR(INDEX(입력옵션!$C$58:$C$68,MATCH($F276&amp;"",입력옵션!$E$58:$E$68,0)),IFERROR(INDEX(입력옵션!$C$58:$C$68,MATCH($G276&amp;"",입력옵션!$F$58:$F$68,0)),$F276&amp;"")))</f>
        <v/>
      </c>
    </row>
    <row r="277">
      <c r="A277" s="92" t="n">
        <v>2025</v>
      </c>
      <c r="B277" s="92" t="n">
        <v>7</v>
      </c>
      <c r="C277" s="92" t="inlineStr">
        <is>
          <t>PF01</t>
        </is>
      </c>
      <c r="D277" s="92" t="inlineStr">
        <is>
          <t>보장성</t>
        </is>
      </c>
      <c r="E277" s="92" t="inlineStr">
        <is>
          <t>GMM</t>
        </is>
      </c>
      <c r="F277" s="92" t="inlineStr">
        <is>
          <t>F52</t>
        </is>
      </c>
      <c r="G277" s="92" t="inlineStr">
        <is>
          <t>RA 해제</t>
        </is>
      </c>
      <c r="H277" s="93" t="n">
        <v>0</v>
      </c>
      <c r="I277" s="93" t="n">
        <v>-426929000</v>
      </c>
      <c r="J277" s="93" t="n">
        <v>0</v>
      </c>
      <c r="L277" s="9">
        <f>IF($A277="","",VALUE($A277&amp;"")*12+VALUE($B277&amp;""))</f>
        <v/>
      </c>
      <c r="M277" s="94">
        <f>IF($A277="",0,$H277*설정!$C$23)</f>
        <v/>
      </c>
      <c r="N277" s="94">
        <f>IF($A277="",0,$I277*설정!$C$23)</f>
        <v/>
      </c>
      <c r="O277" s="94">
        <f>IF($A277="",0,$J277*설정!$C$23)</f>
        <v/>
      </c>
      <c r="P277" s="64">
        <f>IF($A277="","",IFERROR(INDEX(입력옵션!$C$58:$C$68,MATCH($F277&amp;"",입력옵션!$E$58:$E$68,0)),IFERROR(INDEX(입력옵션!$C$58:$C$68,MATCH($G277&amp;"",입력옵션!$F$58:$F$68,0)),$F277&amp;"")))</f>
        <v/>
      </c>
    </row>
    <row r="278">
      <c r="A278" s="92" t="n">
        <v>2025</v>
      </c>
      <c r="B278" s="92" t="n">
        <v>7</v>
      </c>
      <c r="C278" s="92" t="inlineStr">
        <is>
          <t>PF01</t>
        </is>
      </c>
      <c r="D278" s="92" t="inlineStr">
        <is>
          <t>보장성</t>
        </is>
      </c>
      <c r="E278" s="92" t="inlineStr">
        <is>
          <t>GMM</t>
        </is>
      </c>
      <c r="F278" s="92" t="inlineStr">
        <is>
          <t>F60</t>
        </is>
      </c>
      <c r="G278" s="92" t="inlineStr">
        <is>
          <t>현금흐름 및 기타</t>
        </is>
      </c>
      <c r="H278" s="93" t="n">
        <v>4629643000</v>
      </c>
      <c r="I278" s="93" t="n">
        <v>62867000</v>
      </c>
      <c r="J278" s="93" t="n">
        <v>0</v>
      </c>
      <c r="L278" s="9">
        <f>IF($A278="","",VALUE($A278&amp;"")*12+VALUE($B278&amp;""))</f>
        <v/>
      </c>
      <c r="M278" s="94">
        <f>IF($A278="",0,$H278*설정!$C$23)</f>
        <v/>
      </c>
      <c r="N278" s="94">
        <f>IF($A278="",0,$I278*설정!$C$23)</f>
        <v/>
      </c>
      <c r="O278" s="94">
        <f>IF($A278="",0,$J278*설정!$C$23)</f>
        <v/>
      </c>
      <c r="P278" s="64">
        <f>IF($A278="","",IFERROR(INDEX(입력옵션!$C$58:$C$68,MATCH($F278&amp;"",입력옵션!$E$58:$E$68,0)),IFERROR(INDEX(입력옵션!$C$58:$C$68,MATCH($G278&amp;"",입력옵션!$F$58:$F$68,0)),$F278&amp;"")))</f>
        <v/>
      </c>
    </row>
    <row r="279">
      <c r="A279" s="92" t="n">
        <v>2025</v>
      </c>
      <c r="B279" s="92" t="n">
        <v>7</v>
      </c>
      <c r="C279" s="92" t="inlineStr">
        <is>
          <t>PF01</t>
        </is>
      </c>
      <c r="D279" s="92" t="inlineStr">
        <is>
          <t>보장성</t>
        </is>
      </c>
      <c r="E279" s="92" t="inlineStr">
        <is>
          <t>GMM</t>
        </is>
      </c>
      <c r="F279" s="92" t="inlineStr">
        <is>
          <t>F99</t>
        </is>
      </c>
      <c r="G279" s="92" t="inlineStr">
        <is>
          <t>기말잔액</t>
        </is>
      </c>
      <c r="H279" s="93" t="n">
        <v>1048799450000</v>
      </c>
      <c r="I279" s="93" t="n">
        <v>71731440000</v>
      </c>
      <c r="J279" s="93" t="n">
        <v>239452938000</v>
      </c>
      <c r="L279" s="9">
        <f>IF($A279="","",VALUE($A279&amp;"")*12+VALUE($B279&amp;""))</f>
        <v/>
      </c>
      <c r="M279" s="94">
        <f>IF($A279="",0,$H279*설정!$C$23)</f>
        <v/>
      </c>
      <c r="N279" s="94">
        <f>IF($A279="",0,$I279*설정!$C$23)</f>
        <v/>
      </c>
      <c r="O279" s="94">
        <f>IF($A279="",0,$J279*설정!$C$23)</f>
        <v/>
      </c>
      <c r="P279" s="64">
        <f>IF($A279="","",IFERROR(INDEX(입력옵션!$C$58:$C$68,MATCH($F279&amp;"",입력옵션!$E$58:$E$68,0)),IFERROR(INDEX(입력옵션!$C$58:$C$68,MATCH($G279&amp;"",입력옵션!$F$58:$F$68,0)),$F279&amp;"")))</f>
        <v/>
      </c>
    </row>
    <row r="280">
      <c r="A280" s="92" t="n">
        <v>2025</v>
      </c>
      <c r="B280" s="92" t="n">
        <v>7</v>
      </c>
      <c r="C280" s="92" t="inlineStr">
        <is>
          <t>PF02</t>
        </is>
      </c>
      <c r="D280" s="92" t="inlineStr">
        <is>
          <t>저축성</t>
        </is>
      </c>
      <c r="E280" s="92" t="inlineStr">
        <is>
          <t>GMM</t>
        </is>
      </c>
      <c r="F280" s="92" t="inlineStr">
        <is>
          <t>F00</t>
        </is>
      </c>
      <c r="G280" s="92" t="inlineStr">
        <is>
          <t>기초잔액</t>
        </is>
      </c>
      <c r="H280" s="93" t="n">
        <v>690061482000</v>
      </c>
      <c r="I280" s="93" t="n">
        <v>29647850000</v>
      </c>
      <c r="J280" s="93" t="n">
        <v>95846937000</v>
      </c>
      <c r="L280" s="9">
        <f>IF($A280="","",VALUE($A280&amp;"")*12+VALUE($B280&amp;""))</f>
        <v/>
      </c>
      <c r="M280" s="94">
        <f>IF($A280="",0,$H280*설정!$C$23)</f>
        <v/>
      </c>
      <c r="N280" s="94">
        <f>IF($A280="",0,$I280*설정!$C$23)</f>
        <v/>
      </c>
      <c r="O280" s="94">
        <f>IF($A280="",0,$J280*설정!$C$23)</f>
        <v/>
      </c>
      <c r="P280" s="64">
        <f>IF($A280="","",IFERROR(INDEX(입력옵션!$C$58:$C$68,MATCH($F280&amp;"",입력옵션!$E$58:$E$68,0)),IFERROR(INDEX(입력옵션!$C$58:$C$68,MATCH($G280&amp;"",입력옵션!$F$58:$F$68,0)),$F280&amp;"")))</f>
        <v/>
      </c>
    </row>
    <row r="281">
      <c r="A281" s="92" t="n">
        <v>2025</v>
      </c>
      <c r="B281" s="92" t="n">
        <v>7</v>
      </c>
      <c r="C281" s="92" t="inlineStr">
        <is>
          <t>PF02</t>
        </is>
      </c>
      <c r="D281" s="92" t="inlineStr">
        <is>
          <t>저축성</t>
        </is>
      </c>
      <c r="E281" s="92" t="inlineStr">
        <is>
          <t>GMM</t>
        </is>
      </c>
      <c r="F281" s="92" t="inlineStr">
        <is>
          <t>F10</t>
        </is>
      </c>
      <c r="G281" s="92" t="inlineStr">
        <is>
          <t>신계약 효과</t>
        </is>
      </c>
      <c r="H281" s="93" t="n">
        <v>-1609582000</v>
      </c>
      <c r="I281" s="93" t="n">
        <v>321916000</v>
      </c>
      <c r="J281" s="93" t="n">
        <v>1287665000</v>
      </c>
      <c r="L281" s="9">
        <f>IF($A281="","",VALUE($A281&amp;"")*12+VALUE($B281&amp;""))</f>
        <v/>
      </c>
      <c r="M281" s="94">
        <f>IF($A281="",0,$H281*설정!$C$23)</f>
        <v/>
      </c>
      <c r="N281" s="94">
        <f>IF($A281="",0,$I281*설정!$C$23)</f>
        <v/>
      </c>
      <c r="O281" s="94">
        <f>IF($A281="",0,$J281*설정!$C$23)</f>
        <v/>
      </c>
      <c r="P281" s="64">
        <f>IF($A281="","",IFERROR(INDEX(입력옵션!$C$58:$C$68,MATCH($F281&amp;"",입력옵션!$E$58:$E$68,0)),IFERROR(INDEX(입력옵션!$C$58:$C$68,MATCH($G281&amp;"",입력옵션!$F$58:$F$68,0)),$F281&amp;"")))</f>
        <v/>
      </c>
    </row>
    <row r="282">
      <c r="A282" s="92" t="n">
        <v>2025</v>
      </c>
      <c r="B282" s="92" t="n">
        <v>7</v>
      </c>
      <c r="C282" s="92" t="inlineStr">
        <is>
          <t>PF02</t>
        </is>
      </c>
      <c r="D282" s="92" t="inlineStr">
        <is>
          <t>저축성</t>
        </is>
      </c>
      <c r="E282" s="92" t="inlineStr">
        <is>
          <t>GMM</t>
        </is>
      </c>
      <c r="F282" s="92" t="inlineStr">
        <is>
          <t>F21</t>
        </is>
      </c>
      <c r="G282" s="92" t="inlineStr">
        <is>
          <t>가정변경-사업비</t>
        </is>
      </c>
      <c r="H282" s="93" t="n">
        <v>0</v>
      </c>
      <c r="I282" s="93" t="n">
        <v>0</v>
      </c>
      <c r="J282" s="93" t="n">
        <v>0</v>
      </c>
      <c r="L282" s="9">
        <f>IF($A282="","",VALUE($A282&amp;"")*12+VALUE($B282&amp;""))</f>
        <v/>
      </c>
      <c r="M282" s="94">
        <f>IF($A282="",0,$H282*설정!$C$23)</f>
        <v/>
      </c>
      <c r="N282" s="94">
        <f>IF($A282="",0,$I282*설정!$C$23)</f>
        <v/>
      </c>
      <c r="O282" s="94">
        <f>IF($A282="",0,$J282*설정!$C$23)</f>
        <v/>
      </c>
      <c r="P282" s="64">
        <f>IF($A282="","",IFERROR(INDEX(입력옵션!$C$58:$C$68,MATCH($F282&amp;"",입력옵션!$E$58:$E$68,0)),IFERROR(INDEX(입력옵션!$C$58:$C$68,MATCH($G282&amp;"",입력옵션!$F$58:$F$68,0)),$F282&amp;"")))</f>
        <v/>
      </c>
    </row>
    <row r="283">
      <c r="A283" s="92" t="n">
        <v>2025</v>
      </c>
      <c r="B283" s="92" t="n">
        <v>7</v>
      </c>
      <c r="C283" s="92" t="inlineStr">
        <is>
          <t>PF02</t>
        </is>
      </c>
      <c r="D283" s="92" t="inlineStr">
        <is>
          <t>저축성</t>
        </is>
      </c>
      <c r="E283" s="92" t="inlineStr">
        <is>
          <t>GMM</t>
        </is>
      </c>
      <c r="F283" s="92" t="inlineStr">
        <is>
          <t>F22</t>
        </is>
      </c>
      <c r="G283" s="92" t="inlineStr">
        <is>
          <t>가정변경-기타</t>
        </is>
      </c>
      <c r="H283" s="93" t="n">
        <v>0</v>
      </c>
      <c r="I283" s="93" t="n">
        <v>0</v>
      </c>
      <c r="J283" s="93" t="n">
        <v>0</v>
      </c>
      <c r="L283" s="9">
        <f>IF($A283="","",VALUE($A283&amp;"")*12+VALUE($B283&amp;""))</f>
        <v/>
      </c>
      <c r="M283" s="94">
        <f>IF($A283="",0,$H283*설정!$C$23)</f>
        <v/>
      </c>
      <c r="N283" s="94">
        <f>IF($A283="",0,$I283*설정!$C$23)</f>
        <v/>
      </c>
      <c r="O283" s="94">
        <f>IF($A283="",0,$J283*설정!$C$23)</f>
        <v/>
      </c>
      <c r="P283" s="64">
        <f>IF($A283="","",IFERROR(INDEX(입력옵션!$C$58:$C$68,MATCH($F283&amp;"",입력옵션!$E$58:$E$68,0)),IFERROR(INDEX(입력옵션!$C$58:$C$68,MATCH($G283&amp;"",입력옵션!$F$58:$F$68,0)),$F283&amp;"")))</f>
        <v/>
      </c>
    </row>
    <row r="284">
      <c r="A284" s="92" t="n">
        <v>2025</v>
      </c>
      <c r="B284" s="92" t="n">
        <v>7</v>
      </c>
      <c r="C284" s="92" t="inlineStr">
        <is>
          <t>PF02</t>
        </is>
      </c>
      <c r="D284" s="92" t="inlineStr">
        <is>
          <t>저축성</t>
        </is>
      </c>
      <c r="E284" s="92" t="inlineStr">
        <is>
          <t>GMM</t>
        </is>
      </c>
      <c r="F284" s="92" t="inlineStr">
        <is>
          <t>F31</t>
        </is>
      </c>
      <c r="G284" s="92" t="inlineStr">
        <is>
          <t>경험조정-취득현금흐름</t>
        </is>
      </c>
      <c r="H284" s="93" t="n">
        <v>0</v>
      </c>
      <c r="I284" s="93" t="n">
        <v>0</v>
      </c>
      <c r="J284" s="93" t="n">
        <v>-1304000</v>
      </c>
      <c r="L284" s="9">
        <f>IF($A284="","",VALUE($A284&amp;"")*12+VALUE($B284&amp;""))</f>
        <v/>
      </c>
      <c r="M284" s="94">
        <f>IF($A284="",0,$H284*설정!$C$23)</f>
        <v/>
      </c>
      <c r="N284" s="94">
        <f>IF($A284="",0,$I284*설정!$C$23)</f>
        <v/>
      </c>
      <c r="O284" s="94">
        <f>IF($A284="",0,$J284*설정!$C$23)</f>
        <v/>
      </c>
      <c r="P284" s="64">
        <f>IF($A284="","",IFERROR(INDEX(입력옵션!$C$58:$C$68,MATCH($F284&amp;"",입력옵션!$E$58:$E$68,0)),IFERROR(INDEX(입력옵션!$C$58:$C$68,MATCH($G284&amp;"",입력옵션!$F$58:$F$68,0)),$F284&amp;"")))</f>
        <v/>
      </c>
    </row>
    <row r="285">
      <c r="A285" s="92" t="n">
        <v>2025</v>
      </c>
      <c r="B285" s="92" t="n">
        <v>7</v>
      </c>
      <c r="C285" s="92" t="inlineStr">
        <is>
          <t>PF02</t>
        </is>
      </c>
      <c r="D285" s="92" t="inlineStr">
        <is>
          <t>저축성</t>
        </is>
      </c>
      <c r="E285" s="92" t="inlineStr">
        <is>
          <t>GMM</t>
        </is>
      </c>
      <c r="F285" s="92" t="inlineStr">
        <is>
          <t>F32</t>
        </is>
      </c>
      <c r="G285" s="92" t="inlineStr">
        <is>
          <t>경험조정-보험료 등</t>
        </is>
      </c>
      <c r="H285" s="93" t="n">
        <v>0</v>
      </c>
      <c r="I285" s="93" t="n">
        <v>0</v>
      </c>
      <c r="J285" s="93" t="n">
        <v>-133004000</v>
      </c>
      <c r="L285" s="9">
        <f>IF($A285="","",VALUE($A285&amp;"")*12+VALUE($B285&amp;""))</f>
        <v/>
      </c>
      <c r="M285" s="94">
        <f>IF($A285="",0,$H285*설정!$C$23)</f>
        <v/>
      </c>
      <c r="N285" s="94">
        <f>IF($A285="",0,$I285*설정!$C$23)</f>
        <v/>
      </c>
      <c r="O285" s="94">
        <f>IF($A285="",0,$J285*설정!$C$23)</f>
        <v/>
      </c>
      <c r="P285" s="64">
        <f>IF($A285="","",IFERROR(INDEX(입력옵션!$C$58:$C$68,MATCH($F285&amp;"",입력옵션!$E$58:$E$68,0)),IFERROR(INDEX(입력옵션!$C$58:$C$68,MATCH($G285&amp;"",입력옵션!$F$58:$F$68,0)),$F285&amp;"")))</f>
        <v/>
      </c>
    </row>
    <row r="286">
      <c r="A286" s="92" t="n">
        <v>2025</v>
      </c>
      <c r="B286" s="92" t="n">
        <v>7</v>
      </c>
      <c r="C286" s="92" t="inlineStr">
        <is>
          <t>PF02</t>
        </is>
      </c>
      <c r="D286" s="92" t="inlineStr">
        <is>
          <t>저축성</t>
        </is>
      </c>
      <c r="E286" s="92" t="inlineStr">
        <is>
          <t>GMM</t>
        </is>
      </c>
      <c r="F286" s="92" t="inlineStr">
        <is>
          <t>F40</t>
        </is>
      </c>
      <c r="G286" s="92" t="inlineStr">
        <is>
          <t>보험금융비용(이자부리)</t>
        </is>
      </c>
      <c r="H286" s="93" t="n">
        <v>1725154000</v>
      </c>
      <c r="I286" s="93" t="n">
        <v>59296000</v>
      </c>
      <c r="J286" s="93" t="n">
        <v>239617000</v>
      </c>
      <c r="L286" s="9">
        <f>IF($A286="","",VALUE($A286&amp;"")*12+VALUE($B286&amp;""))</f>
        <v/>
      </c>
      <c r="M286" s="94">
        <f>IF($A286="",0,$H286*설정!$C$23)</f>
        <v/>
      </c>
      <c r="N286" s="94">
        <f>IF($A286="",0,$I286*설정!$C$23)</f>
        <v/>
      </c>
      <c r="O286" s="94">
        <f>IF($A286="",0,$J286*설정!$C$23)</f>
        <v/>
      </c>
      <c r="P286" s="64">
        <f>IF($A286="","",IFERROR(INDEX(입력옵션!$C$58:$C$68,MATCH($F286&amp;"",입력옵션!$E$58:$E$68,0)),IFERROR(INDEX(입력옵션!$C$58:$C$68,MATCH($G286&amp;"",입력옵션!$F$58:$F$68,0)),$F286&amp;"")))</f>
        <v/>
      </c>
    </row>
    <row r="287">
      <c r="A287" s="92" t="n">
        <v>2025</v>
      </c>
      <c r="B287" s="92" t="n">
        <v>7</v>
      </c>
      <c r="C287" s="92" t="inlineStr">
        <is>
          <t>PF02</t>
        </is>
      </c>
      <c r="D287" s="92" t="inlineStr">
        <is>
          <t>저축성</t>
        </is>
      </c>
      <c r="E287" s="92" t="inlineStr">
        <is>
          <t>GMM</t>
        </is>
      </c>
      <c r="F287" s="92" t="inlineStr">
        <is>
          <t>F51</t>
        </is>
      </c>
      <c r="G287" s="92" t="inlineStr">
        <is>
          <t>CSM 상각</t>
        </is>
      </c>
      <c r="H287" s="93" t="n">
        <v>0</v>
      </c>
      <c r="I287" s="93" t="n">
        <v>0</v>
      </c>
      <c r="J287" s="93" t="n">
        <v>-862622000</v>
      </c>
      <c r="L287" s="9">
        <f>IF($A287="","",VALUE($A287&amp;"")*12+VALUE($B287&amp;""))</f>
        <v/>
      </c>
      <c r="M287" s="94">
        <f>IF($A287="",0,$H287*설정!$C$23)</f>
        <v/>
      </c>
      <c r="N287" s="94">
        <f>IF($A287="",0,$I287*설정!$C$23)</f>
        <v/>
      </c>
      <c r="O287" s="94">
        <f>IF($A287="",0,$J287*설정!$C$23)</f>
        <v/>
      </c>
      <c r="P287" s="64">
        <f>IF($A287="","",IFERROR(INDEX(입력옵션!$C$58:$C$68,MATCH($F287&amp;"",입력옵션!$E$58:$E$68,0)),IFERROR(INDEX(입력옵션!$C$58:$C$68,MATCH($G287&amp;"",입력옵션!$F$58:$F$68,0)),$F287&amp;"")))</f>
        <v/>
      </c>
    </row>
    <row r="288">
      <c r="A288" s="92" t="n">
        <v>2025</v>
      </c>
      <c r="B288" s="92" t="n">
        <v>7</v>
      </c>
      <c r="C288" s="92" t="inlineStr">
        <is>
          <t>PF02</t>
        </is>
      </c>
      <c r="D288" s="92" t="inlineStr">
        <is>
          <t>저축성</t>
        </is>
      </c>
      <c r="E288" s="92" t="inlineStr">
        <is>
          <t>GMM</t>
        </is>
      </c>
      <c r="F288" s="92" t="inlineStr">
        <is>
          <t>F52</t>
        </is>
      </c>
      <c r="G288" s="92" t="inlineStr">
        <is>
          <t>RA 해제</t>
        </is>
      </c>
      <c r="H288" s="93" t="n">
        <v>0</v>
      </c>
      <c r="I288" s="93" t="n">
        <v>-177887000</v>
      </c>
      <c r="J288" s="93" t="n">
        <v>0</v>
      </c>
      <c r="L288" s="9">
        <f>IF($A288="","",VALUE($A288&amp;"")*12+VALUE($B288&amp;""))</f>
        <v/>
      </c>
      <c r="M288" s="94">
        <f>IF($A288="",0,$H288*설정!$C$23)</f>
        <v/>
      </c>
      <c r="N288" s="94">
        <f>IF($A288="",0,$I288*설정!$C$23)</f>
        <v/>
      </c>
      <c r="O288" s="94">
        <f>IF($A288="",0,$J288*설정!$C$23)</f>
        <v/>
      </c>
      <c r="P288" s="64">
        <f>IF($A288="","",IFERROR(INDEX(입력옵션!$C$58:$C$68,MATCH($F288&amp;"",입력옵션!$E$58:$E$68,0)),IFERROR(INDEX(입력옵션!$C$58:$C$68,MATCH($G288&amp;"",입력옵션!$F$58:$F$68,0)),$F288&amp;"")))</f>
        <v/>
      </c>
    </row>
    <row r="289">
      <c r="A289" s="92" t="n">
        <v>2025</v>
      </c>
      <c r="B289" s="92" t="n">
        <v>7</v>
      </c>
      <c r="C289" s="92" t="inlineStr">
        <is>
          <t>PF02</t>
        </is>
      </c>
      <c r="D289" s="92" t="inlineStr">
        <is>
          <t>저축성</t>
        </is>
      </c>
      <c r="E289" s="92" t="inlineStr">
        <is>
          <t>GMM</t>
        </is>
      </c>
      <c r="F289" s="92" t="inlineStr">
        <is>
          <t>F60</t>
        </is>
      </c>
      <c r="G289" s="92" t="inlineStr">
        <is>
          <t>현금흐름 및 기타</t>
        </is>
      </c>
      <c r="H289" s="93" t="n">
        <v>2030583000</v>
      </c>
      <c r="I289" s="93" t="n">
        <v>36925000</v>
      </c>
      <c r="J289" s="93" t="n">
        <v>0</v>
      </c>
      <c r="L289" s="9">
        <f>IF($A289="","",VALUE($A289&amp;"")*12+VALUE($B289&amp;""))</f>
        <v/>
      </c>
      <c r="M289" s="94">
        <f>IF($A289="",0,$H289*설정!$C$23)</f>
        <v/>
      </c>
      <c r="N289" s="94">
        <f>IF($A289="",0,$I289*설정!$C$23)</f>
        <v/>
      </c>
      <c r="O289" s="94">
        <f>IF($A289="",0,$J289*설정!$C$23)</f>
        <v/>
      </c>
      <c r="P289" s="64">
        <f>IF($A289="","",IFERROR(INDEX(입력옵션!$C$58:$C$68,MATCH($F289&amp;"",입력옵션!$E$58:$E$68,0)),IFERROR(INDEX(입력옵션!$C$58:$C$68,MATCH($G289&amp;"",입력옵션!$F$58:$F$68,0)),$F289&amp;"")))</f>
        <v/>
      </c>
    </row>
    <row r="290">
      <c r="A290" s="92" t="n">
        <v>2025</v>
      </c>
      <c r="B290" s="92" t="n">
        <v>7</v>
      </c>
      <c r="C290" s="92" t="inlineStr">
        <is>
          <t>PF02</t>
        </is>
      </c>
      <c r="D290" s="92" t="inlineStr">
        <is>
          <t>저축성</t>
        </is>
      </c>
      <c r="E290" s="92" t="inlineStr">
        <is>
          <t>GMM</t>
        </is>
      </c>
      <c r="F290" s="92" t="inlineStr">
        <is>
          <t>F99</t>
        </is>
      </c>
      <c r="G290" s="92" t="inlineStr">
        <is>
          <t>기말잔액</t>
        </is>
      </c>
      <c r="H290" s="93" t="n">
        <v>692207637000</v>
      </c>
      <c r="I290" s="93" t="n">
        <v>29888100000</v>
      </c>
      <c r="J290" s="93" t="n">
        <v>96377289000</v>
      </c>
      <c r="L290" s="9">
        <f>IF($A290="","",VALUE($A290&amp;"")*12+VALUE($B290&amp;""))</f>
        <v/>
      </c>
      <c r="M290" s="94">
        <f>IF($A290="",0,$H290*설정!$C$23)</f>
        <v/>
      </c>
      <c r="N290" s="94">
        <f>IF($A290="",0,$I290*설정!$C$23)</f>
        <v/>
      </c>
      <c r="O290" s="94">
        <f>IF($A290="",0,$J290*설정!$C$23)</f>
        <v/>
      </c>
      <c r="P290" s="64">
        <f>IF($A290="","",IFERROR(INDEX(입력옵션!$C$58:$C$68,MATCH($F290&amp;"",입력옵션!$E$58:$E$68,0)),IFERROR(INDEX(입력옵션!$C$58:$C$68,MATCH($G290&amp;"",입력옵션!$F$58:$F$68,0)),$F290&amp;"")))</f>
        <v/>
      </c>
    </row>
    <row r="291">
      <c r="A291" s="92" t="n">
        <v>2025</v>
      </c>
      <c r="B291" s="92" t="n">
        <v>7</v>
      </c>
      <c r="C291" s="92" t="inlineStr">
        <is>
          <t>PF03</t>
        </is>
      </c>
      <c r="D291" s="92" t="inlineStr">
        <is>
          <t>단체(단기)</t>
        </is>
      </c>
      <c r="E291" s="92" t="inlineStr">
        <is>
          <t>PAA</t>
        </is>
      </c>
      <c r="F291" s="92" t="inlineStr">
        <is>
          <t>F00</t>
        </is>
      </c>
      <c r="G291" s="92" t="inlineStr">
        <is>
          <t>기초잔액</t>
        </is>
      </c>
      <c r="H291" s="93" t="n">
        <v>41821908000</v>
      </c>
      <c r="I291" s="93" t="n">
        <v>2371828000</v>
      </c>
      <c r="J291" s="93" t="n">
        <v>0</v>
      </c>
      <c r="L291" s="9">
        <f>IF($A291="","",VALUE($A291&amp;"")*12+VALUE($B291&amp;""))</f>
        <v/>
      </c>
      <c r="M291" s="94">
        <f>IF($A291="",0,$H291*설정!$C$23)</f>
        <v/>
      </c>
      <c r="N291" s="94">
        <f>IF($A291="",0,$I291*설정!$C$23)</f>
        <v/>
      </c>
      <c r="O291" s="94">
        <f>IF($A291="",0,$J291*설정!$C$23)</f>
        <v/>
      </c>
      <c r="P291" s="64">
        <f>IF($A291="","",IFERROR(INDEX(입력옵션!$C$58:$C$68,MATCH($F291&amp;"",입력옵션!$E$58:$E$68,0)),IFERROR(INDEX(입력옵션!$C$58:$C$68,MATCH($G291&amp;"",입력옵션!$F$58:$F$68,0)),$F291&amp;"")))</f>
        <v/>
      </c>
    </row>
    <row r="292">
      <c r="A292" s="92" t="n">
        <v>2025</v>
      </c>
      <c r="B292" s="92" t="n">
        <v>7</v>
      </c>
      <c r="C292" s="92" t="inlineStr">
        <is>
          <t>PF03</t>
        </is>
      </c>
      <c r="D292" s="92" t="inlineStr">
        <is>
          <t>단체(단기)</t>
        </is>
      </c>
      <c r="E292" s="92" t="inlineStr">
        <is>
          <t>PAA</t>
        </is>
      </c>
      <c r="F292" s="92" t="inlineStr">
        <is>
          <t>F10</t>
        </is>
      </c>
      <c r="G292" s="92" t="inlineStr">
        <is>
          <t>신계약 효과</t>
        </is>
      </c>
      <c r="H292" s="93" t="n">
        <v>0</v>
      </c>
      <c r="I292" s="93" t="n">
        <v>0</v>
      </c>
      <c r="J292" s="93" t="n">
        <v>0</v>
      </c>
      <c r="L292" s="9">
        <f>IF($A292="","",VALUE($A292&amp;"")*12+VALUE($B292&amp;""))</f>
        <v/>
      </c>
      <c r="M292" s="94">
        <f>IF($A292="",0,$H292*설정!$C$23)</f>
        <v/>
      </c>
      <c r="N292" s="94">
        <f>IF($A292="",0,$I292*설정!$C$23)</f>
        <v/>
      </c>
      <c r="O292" s="94">
        <f>IF($A292="",0,$J292*설정!$C$23)</f>
        <v/>
      </c>
      <c r="P292" s="64">
        <f>IF($A292="","",IFERROR(INDEX(입력옵션!$C$58:$C$68,MATCH($F292&amp;"",입력옵션!$E$58:$E$68,0)),IFERROR(INDEX(입력옵션!$C$58:$C$68,MATCH($G292&amp;"",입력옵션!$F$58:$F$68,0)),$F292&amp;"")))</f>
        <v/>
      </c>
    </row>
    <row r="293">
      <c r="A293" s="92" t="n">
        <v>2025</v>
      </c>
      <c r="B293" s="92" t="n">
        <v>7</v>
      </c>
      <c r="C293" s="92" t="inlineStr">
        <is>
          <t>PF03</t>
        </is>
      </c>
      <c r="D293" s="92" t="inlineStr">
        <is>
          <t>단체(단기)</t>
        </is>
      </c>
      <c r="E293" s="92" t="inlineStr">
        <is>
          <t>PAA</t>
        </is>
      </c>
      <c r="F293" s="92" t="inlineStr">
        <is>
          <t>F21</t>
        </is>
      </c>
      <c r="G293" s="92" t="inlineStr">
        <is>
          <t>가정변경-사업비</t>
        </is>
      </c>
      <c r="H293" s="93" t="n">
        <v>0</v>
      </c>
      <c r="I293" s="93" t="n">
        <v>0</v>
      </c>
      <c r="J293" s="93" t="n">
        <v>0</v>
      </c>
      <c r="L293" s="9">
        <f>IF($A293="","",VALUE($A293&amp;"")*12+VALUE($B293&amp;""))</f>
        <v/>
      </c>
      <c r="M293" s="94">
        <f>IF($A293="",0,$H293*설정!$C$23)</f>
        <v/>
      </c>
      <c r="N293" s="94">
        <f>IF($A293="",0,$I293*설정!$C$23)</f>
        <v/>
      </c>
      <c r="O293" s="94">
        <f>IF($A293="",0,$J293*설정!$C$23)</f>
        <v/>
      </c>
      <c r="P293" s="64">
        <f>IF($A293="","",IFERROR(INDEX(입력옵션!$C$58:$C$68,MATCH($F293&amp;"",입력옵션!$E$58:$E$68,0)),IFERROR(INDEX(입력옵션!$C$58:$C$68,MATCH($G293&amp;"",입력옵션!$F$58:$F$68,0)),$F293&amp;"")))</f>
        <v/>
      </c>
    </row>
    <row r="294">
      <c r="A294" s="92" t="n">
        <v>2025</v>
      </c>
      <c r="B294" s="92" t="n">
        <v>7</v>
      </c>
      <c r="C294" s="92" t="inlineStr">
        <is>
          <t>PF03</t>
        </is>
      </c>
      <c r="D294" s="92" t="inlineStr">
        <is>
          <t>단체(단기)</t>
        </is>
      </c>
      <c r="E294" s="92" t="inlineStr">
        <is>
          <t>PAA</t>
        </is>
      </c>
      <c r="F294" s="92" t="inlineStr">
        <is>
          <t>F22</t>
        </is>
      </c>
      <c r="G294" s="92" t="inlineStr">
        <is>
          <t>가정변경-기타</t>
        </is>
      </c>
      <c r="H294" s="93" t="n">
        <v>0</v>
      </c>
      <c r="I294" s="93" t="n">
        <v>0</v>
      </c>
      <c r="J294" s="93" t="n">
        <v>0</v>
      </c>
      <c r="L294" s="9">
        <f>IF($A294="","",VALUE($A294&amp;"")*12+VALUE($B294&amp;""))</f>
        <v/>
      </c>
      <c r="M294" s="94">
        <f>IF($A294="",0,$H294*설정!$C$23)</f>
        <v/>
      </c>
      <c r="N294" s="94">
        <f>IF($A294="",0,$I294*설정!$C$23)</f>
        <v/>
      </c>
      <c r="O294" s="94">
        <f>IF($A294="",0,$J294*설정!$C$23)</f>
        <v/>
      </c>
      <c r="P294" s="64">
        <f>IF($A294="","",IFERROR(INDEX(입력옵션!$C$58:$C$68,MATCH($F294&amp;"",입력옵션!$E$58:$E$68,0)),IFERROR(INDEX(입력옵션!$C$58:$C$68,MATCH($G294&amp;"",입력옵션!$F$58:$F$68,0)),$F294&amp;"")))</f>
        <v/>
      </c>
    </row>
    <row r="295">
      <c r="A295" s="92" t="n">
        <v>2025</v>
      </c>
      <c r="B295" s="92" t="n">
        <v>7</v>
      </c>
      <c r="C295" s="92" t="inlineStr">
        <is>
          <t>PF03</t>
        </is>
      </c>
      <c r="D295" s="92" t="inlineStr">
        <is>
          <t>단체(단기)</t>
        </is>
      </c>
      <c r="E295" s="92" t="inlineStr">
        <is>
          <t>PAA</t>
        </is>
      </c>
      <c r="F295" s="92" t="inlineStr">
        <is>
          <t>F31</t>
        </is>
      </c>
      <c r="G295" s="92" t="inlineStr">
        <is>
          <t>경험조정-취득현금흐름</t>
        </is>
      </c>
      <c r="H295" s="93" t="n">
        <v>0</v>
      </c>
      <c r="I295" s="93" t="n">
        <v>0</v>
      </c>
      <c r="J295" s="93" t="n">
        <v>0</v>
      </c>
      <c r="L295" s="9">
        <f>IF($A295="","",VALUE($A295&amp;"")*12+VALUE($B295&amp;""))</f>
        <v/>
      </c>
      <c r="M295" s="94">
        <f>IF($A295="",0,$H295*설정!$C$23)</f>
        <v/>
      </c>
      <c r="N295" s="94">
        <f>IF($A295="",0,$I295*설정!$C$23)</f>
        <v/>
      </c>
      <c r="O295" s="94">
        <f>IF($A295="",0,$J295*설정!$C$23)</f>
        <v/>
      </c>
      <c r="P295" s="64">
        <f>IF($A295="","",IFERROR(INDEX(입력옵션!$C$58:$C$68,MATCH($F295&amp;"",입력옵션!$E$58:$E$68,0)),IFERROR(INDEX(입력옵션!$C$58:$C$68,MATCH($G295&amp;"",입력옵션!$F$58:$F$68,0)),$F295&amp;"")))</f>
        <v/>
      </c>
    </row>
    <row r="296">
      <c r="A296" s="92" t="n">
        <v>2025</v>
      </c>
      <c r="B296" s="92" t="n">
        <v>7</v>
      </c>
      <c r="C296" s="92" t="inlineStr">
        <is>
          <t>PF03</t>
        </is>
      </c>
      <c r="D296" s="92" t="inlineStr">
        <is>
          <t>단체(단기)</t>
        </is>
      </c>
      <c r="E296" s="92" t="inlineStr">
        <is>
          <t>PAA</t>
        </is>
      </c>
      <c r="F296" s="92" t="inlineStr">
        <is>
          <t>F32</t>
        </is>
      </c>
      <c r="G296" s="92" t="inlineStr">
        <is>
          <t>경험조정-보험료 등</t>
        </is>
      </c>
      <c r="H296" s="93" t="n">
        <v>0</v>
      </c>
      <c r="I296" s="93" t="n">
        <v>0</v>
      </c>
      <c r="J296" s="93" t="n">
        <v>0</v>
      </c>
      <c r="L296" s="9">
        <f>IF($A296="","",VALUE($A296&amp;"")*12+VALUE($B296&amp;""))</f>
        <v/>
      </c>
      <c r="M296" s="94">
        <f>IF($A296="",0,$H296*설정!$C$23)</f>
        <v/>
      </c>
      <c r="N296" s="94">
        <f>IF($A296="",0,$I296*설정!$C$23)</f>
        <v/>
      </c>
      <c r="O296" s="94">
        <f>IF($A296="",0,$J296*설정!$C$23)</f>
        <v/>
      </c>
      <c r="P296" s="64">
        <f>IF($A296="","",IFERROR(INDEX(입력옵션!$C$58:$C$68,MATCH($F296&amp;"",입력옵션!$E$58:$E$68,0)),IFERROR(INDEX(입력옵션!$C$58:$C$68,MATCH($G296&amp;"",입력옵션!$F$58:$F$68,0)),$F296&amp;"")))</f>
        <v/>
      </c>
    </row>
    <row r="297">
      <c r="A297" s="92" t="n">
        <v>2025</v>
      </c>
      <c r="B297" s="92" t="n">
        <v>7</v>
      </c>
      <c r="C297" s="92" t="inlineStr">
        <is>
          <t>PF03</t>
        </is>
      </c>
      <c r="D297" s="92" t="inlineStr">
        <is>
          <t>단체(단기)</t>
        </is>
      </c>
      <c r="E297" s="92" t="inlineStr">
        <is>
          <t>PAA</t>
        </is>
      </c>
      <c r="F297" s="92" t="inlineStr">
        <is>
          <t>F40</t>
        </is>
      </c>
      <c r="G297" s="92" t="inlineStr">
        <is>
          <t>보험금융비용(이자부리)</t>
        </is>
      </c>
      <c r="H297" s="93" t="n">
        <v>0</v>
      </c>
      <c r="I297" s="93" t="n">
        <v>0</v>
      </c>
      <c r="J297" s="93" t="n">
        <v>0</v>
      </c>
      <c r="L297" s="9">
        <f>IF($A297="","",VALUE($A297&amp;"")*12+VALUE($B297&amp;""))</f>
        <v/>
      </c>
      <c r="M297" s="94">
        <f>IF($A297="",0,$H297*설정!$C$23)</f>
        <v/>
      </c>
      <c r="N297" s="94">
        <f>IF($A297="",0,$I297*설정!$C$23)</f>
        <v/>
      </c>
      <c r="O297" s="94">
        <f>IF($A297="",0,$J297*설정!$C$23)</f>
        <v/>
      </c>
      <c r="P297" s="64">
        <f>IF($A297="","",IFERROR(INDEX(입력옵션!$C$58:$C$68,MATCH($F297&amp;"",입력옵션!$E$58:$E$68,0)),IFERROR(INDEX(입력옵션!$C$58:$C$68,MATCH($G297&amp;"",입력옵션!$F$58:$F$68,0)),$F297&amp;"")))</f>
        <v/>
      </c>
    </row>
    <row r="298">
      <c r="A298" s="92" t="n">
        <v>2025</v>
      </c>
      <c r="B298" s="92" t="n">
        <v>7</v>
      </c>
      <c r="C298" s="92" t="inlineStr">
        <is>
          <t>PF03</t>
        </is>
      </c>
      <c r="D298" s="92" t="inlineStr">
        <is>
          <t>단체(단기)</t>
        </is>
      </c>
      <c r="E298" s="92" t="inlineStr">
        <is>
          <t>PAA</t>
        </is>
      </c>
      <c r="F298" s="92" t="inlineStr">
        <is>
          <t>F51</t>
        </is>
      </c>
      <c r="G298" s="92" t="inlineStr">
        <is>
          <t>CSM 상각</t>
        </is>
      </c>
      <c r="H298" s="93" t="n">
        <v>0</v>
      </c>
      <c r="I298" s="93" t="n">
        <v>0</v>
      </c>
      <c r="J298" s="93" t="n">
        <v>0</v>
      </c>
      <c r="L298" s="9">
        <f>IF($A298="","",VALUE($A298&amp;"")*12+VALUE($B298&amp;""))</f>
        <v/>
      </c>
      <c r="M298" s="94">
        <f>IF($A298="",0,$H298*설정!$C$23)</f>
        <v/>
      </c>
      <c r="N298" s="94">
        <f>IF($A298="",0,$I298*설정!$C$23)</f>
        <v/>
      </c>
      <c r="O298" s="94">
        <f>IF($A298="",0,$J298*설정!$C$23)</f>
        <v/>
      </c>
      <c r="P298" s="64">
        <f>IF($A298="","",IFERROR(INDEX(입력옵션!$C$58:$C$68,MATCH($F298&amp;"",입력옵션!$E$58:$E$68,0)),IFERROR(INDEX(입력옵션!$C$58:$C$68,MATCH($G298&amp;"",입력옵션!$F$58:$F$68,0)),$F298&amp;"")))</f>
        <v/>
      </c>
    </row>
    <row r="299">
      <c r="A299" s="92" t="n">
        <v>2025</v>
      </c>
      <c r="B299" s="92" t="n">
        <v>7</v>
      </c>
      <c r="C299" s="92" t="inlineStr">
        <is>
          <t>PF03</t>
        </is>
      </c>
      <c r="D299" s="92" t="inlineStr">
        <is>
          <t>단체(단기)</t>
        </is>
      </c>
      <c r="E299" s="92" t="inlineStr">
        <is>
          <t>PAA</t>
        </is>
      </c>
      <c r="F299" s="92" t="inlineStr">
        <is>
          <t>F52</t>
        </is>
      </c>
      <c r="G299" s="92" t="inlineStr">
        <is>
          <t>RA 해제</t>
        </is>
      </c>
      <c r="H299" s="93" t="n">
        <v>0</v>
      </c>
      <c r="I299" s="93" t="n">
        <v>-14231000</v>
      </c>
      <c r="J299" s="93" t="n">
        <v>0</v>
      </c>
      <c r="L299" s="9">
        <f>IF($A299="","",VALUE($A299&amp;"")*12+VALUE($B299&amp;""))</f>
        <v/>
      </c>
      <c r="M299" s="94">
        <f>IF($A299="",0,$H299*설정!$C$23)</f>
        <v/>
      </c>
      <c r="N299" s="94">
        <f>IF($A299="",0,$I299*설정!$C$23)</f>
        <v/>
      </c>
      <c r="O299" s="94">
        <f>IF($A299="",0,$J299*설정!$C$23)</f>
        <v/>
      </c>
      <c r="P299" s="64">
        <f>IF($A299="","",IFERROR(INDEX(입력옵션!$C$58:$C$68,MATCH($F299&amp;"",입력옵션!$E$58:$E$68,0)),IFERROR(INDEX(입력옵션!$C$58:$C$68,MATCH($G299&amp;"",입력옵션!$F$58:$F$68,0)),$F299&amp;"")))</f>
        <v/>
      </c>
    </row>
    <row r="300">
      <c r="A300" s="92" t="n">
        <v>2025</v>
      </c>
      <c r="B300" s="92" t="n">
        <v>7</v>
      </c>
      <c r="C300" s="92" t="inlineStr">
        <is>
          <t>PF03</t>
        </is>
      </c>
      <c r="D300" s="92" t="inlineStr">
        <is>
          <t>단체(단기)</t>
        </is>
      </c>
      <c r="E300" s="92" t="inlineStr">
        <is>
          <t>PAA</t>
        </is>
      </c>
      <c r="F300" s="92" t="inlineStr">
        <is>
          <t>F60</t>
        </is>
      </c>
      <c r="G300" s="92" t="inlineStr">
        <is>
          <t>현금흐름 및 기타</t>
        </is>
      </c>
      <c r="H300" s="93" t="n">
        <v>130070000</v>
      </c>
      <c r="I300" s="93" t="n">
        <v>33451000</v>
      </c>
      <c r="J300" s="93" t="n">
        <v>0</v>
      </c>
      <c r="L300" s="9">
        <f>IF($A300="","",VALUE($A300&amp;"")*12+VALUE($B300&amp;""))</f>
        <v/>
      </c>
      <c r="M300" s="94">
        <f>IF($A300="",0,$H300*설정!$C$23)</f>
        <v/>
      </c>
      <c r="N300" s="94">
        <f>IF($A300="",0,$I300*설정!$C$23)</f>
        <v/>
      </c>
      <c r="O300" s="94">
        <f>IF($A300="",0,$J300*설정!$C$23)</f>
        <v/>
      </c>
      <c r="P300" s="64">
        <f>IF($A300="","",IFERROR(INDEX(입력옵션!$C$58:$C$68,MATCH($F300&amp;"",입력옵션!$E$58:$E$68,0)),IFERROR(INDEX(입력옵션!$C$58:$C$68,MATCH($G300&amp;"",입력옵션!$F$58:$F$68,0)),$F300&amp;"")))</f>
        <v/>
      </c>
    </row>
    <row r="301">
      <c r="A301" s="92" t="n">
        <v>2025</v>
      </c>
      <c r="B301" s="92" t="n">
        <v>7</v>
      </c>
      <c r="C301" s="92" t="inlineStr">
        <is>
          <t>PF03</t>
        </is>
      </c>
      <c r="D301" s="92" t="inlineStr">
        <is>
          <t>단체(단기)</t>
        </is>
      </c>
      <c r="E301" s="92" t="inlineStr">
        <is>
          <t>PAA</t>
        </is>
      </c>
      <c r="F301" s="92" t="inlineStr">
        <is>
          <t>F99</t>
        </is>
      </c>
      <c r="G301" s="92" t="inlineStr">
        <is>
          <t>기말잔액</t>
        </is>
      </c>
      <c r="H301" s="93" t="n">
        <v>41951978000</v>
      </c>
      <c r="I301" s="93" t="n">
        <v>2391048000</v>
      </c>
      <c r="J301" s="93" t="n">
        <v>0</v>
      </c>
      <c r="L301" s="9">
        <f>IF($A301="","",VALUE($A301&amp;"")*12+VALUE($B301&amp;""))</f>
        <v/>
      </c>
      <c r="M301" s="94">
        <f>IF($A301="",0,$H301*설정!$C$23)</f>
        <v/>
      </c>
      <c r="N301" s="94">
        <f>IF($A301="",0,$I301*설정!$C$23)</f>
        <v/>
      </c>
      <c r="O301" s="94">
        <f>IF($A301="",0,$J301*설정!$C$23)</f>
        <v/>
      </c>
      <c r="P301" s="64">
        <f>IF($A301="","",IFERROR(INDEX(입력옵션!$C$58:$C$68,MATCH($F301&amp;"",입력옵션!$E$58:$E$68,0)),IFERROR(INDEX(입력옵션!$C$58:$C$68,MATCH($G301&amp;"",입력옵션!$F$58:$F$68,0)),$F301&amp;"")))</f>
        <v/>
      </c>
    </row>
    <row r="302">
      <c r="A302" s="92" t="n">
        <v>2025</v>
      </c>
      <c r="B302" s="92" t="n">
        <v>7</v>
      </c>
      <c r="C302" s="92" t="inlineStr">
        <is>
          <t>PF04</t>
        </is>
      </c>
      <c r="D302" s="92" t="inlineStr">
        <is>
          <t>변액</t>
        </is>
      </c>
      <c r="E302" s="92" t="inlineStr">
        <is>
          <t>VFA</t>
        </is>
      </c>
      <c r="F302" s="92" t="inlineStr">
        <is>
          <t>F00</t>
        </is>
      </c>
      <c r="G302" s="92" t="inlineStr">
        <is>
          <t>기초잔액</t>
        </is>
      </c>
      <c r="H302" s="93" t="n">
        <v>313664310000</v>
      </c>
      <c r="I302" s="93" t="n">
        <v>15416882000</v>
      </c>
      <c r="J302" s="93" t="n">
        <v>50183753000</v>
      </c>
      <c r="L302" s="9">
        <f>IF($A302="","",VALUE($A302&amp;"")*12+VALUE($B302&amp;""))</f>
        <v/>
      </c>
      <c r="M302" s="94">
        <f>IF($A302="",0,$H302*설정!$C$23)</f>
        <v/>
      </c>
      <c r="N302" s="94">
        <f>IF($A302="",0,$I302*설정!$C$23)</f>
        <v/>
      </c>
      <c r="O302" s="94">
        <f>IF($A302="",0,$J302*설정!$C$23)</f>
        <v/>
      </c>
      <c r="P302" s="64">
        <f>IF($A302="","",IFERROR(INDEX(입력옵션!$C$58:$C$68,MATCH($F302&amp;"",입력옵션!$E$58:$E$68,0)),IFERROR(INDEX(입력옵션!$C$58:$C$68,MATCH($G302&amp;"",입력옵션!$F$58:$F$68,0)),$F302&amp;"")))</f>
        <v/>
      </c>
    </row>
    <row r="303">
      <c r="A303" s="92" t="n">
        <v>2025</v>
      </c>
      <c r="B303" s="92" t="n">
        <v>7</v>
      </c>
      <c r="C303" s="92" t="inlineStr">
        <is>
          <t>PF04</t>
        </is>
      </c>
      <c r="D303" s="92" t="inlineStr">
        <is>
          <t>변액</t>
        </is>
      </c>
      <c r="E303" s="92" t="inlineStr">
        <is>
          <t>VFA</t>
        </is>
      </c>
      <c r="F303" s="92" t="inlineStr">
        <is>
          <t>F10</t>
        </is>
      </c>
      <c r="G303" s="92" t="inlineStr">
        <is>
          <t>신계약 효과</t>
        </is>
      </c>
      <c r="H303" s="93" t="n">
        <v>-836982000</v>
      </c>
      <c r="I303" s="93" t="n">
        <v>167396000</v>
      </c>
      <c r="J303" s="93" t="n">
        <v>669586000</v>
      </c>
      <c r="L303" s="9">
        <f>IF($A303="","",VALUE($A303&amp;"")*12+VALUE($B303&amp;""))</f>
        <v/>
      </c>
      <c r="M303" s="94">
        <f>IF($A303="",0,$H303*설정!$C$23)</f>
        <v/>
      </c>
      <c r="N303" s="94">
        <f>IF($A303="",0,$I303*설정!$C$23)</f>
        <v/>
      </c>
      <c r="O303" s="94">
        <f>IF($A303="",0,$J303*설정!$C$23)</f>
        <v/>
      </c>
      <c r="P303" s="64">
        <f>IF($A303="","",IFERROR(INDEX(입력옵션!$C$58:$C$68,MATCH($F303&amp;"",입력옵션!$E$58:$E$68,0)),IFERROR(INDEX(입력옵션!$C$58:$C$68,MATCH($G303&amp;"",입력옵션!$F$58:$F$68,0)),$F303&amp;"")))</f>
        <v/>
      </c>
    </row>
    <row r="304">
      <c r="A304" s="92" t="n">
        <v>2025</v>
      </c>
      <c r="B304" s="92" t="n">
        <v>7</v>
      </c>
      <c r="C304" s="92" t="inlineStr">
        <is>
          <t>PF04</t>
        </is>
      </c>
      <c r="D304" s="92" t="inlineStr">
        <is>
          <t>변액</t>
        </is>
      </c>
      <c r="E304" s="92" t="inlineStr">
        <is>
          <t>VFA</t>
        </is>
      </c>
      <c r="F304" s="92" t="inlineStr">
        <is>
          <t>F21</t>
        </is>
      </c>
      <c r="G304" s="92" t="inlineStr">
        <is>
          <t>가정변경-사업비</t>
        </is>
      </c>
      <c r="H304" s="93" t="n">
        <v>0</v>
      </c>
      <c r="I304" s="93" t="n">
        <v>0</v>
      </c>
      <c r="J304" s="93" t="n">
        <v>0</v>
      </c>
      <c r="L304" s="9">
        <f>IF($A304="","",VALUE($A304&amp;"")*12+VALUE($B304&amp;""))</f>
        <v/>
      </c>
      <c r="M304" s="94">
        <f>IF($A304="",0,$H304*설정!$C$23)</f>
        <v/>
      </c>
      <c r="N304" s="94">
        <f>IF($A304="",0,$I304*설정!$C$23)</f>
        <v/>
      </c>
      <c r="O304" s="94">
        <f>IF($A304="",0,$J304*설정!$C$23)</f>
        <v/>
      </c>
      <c r="P304" s="64">
        <f>IF($A304="","",IFERROR(INDEX(입력옵션!$C$58:$C$68,MATCH($F304&amp;"",입력옵션!$E$58:$E$68,0)),IFERROR(INDEX(입력옵션!$C$58:$C$68,MATCH($G304&amp;"",입력옵션!$F$58:$F$68,0)),$F304&amp;"")))</f>
        <v/>
      </c>
    </row>
    <row r="305">
      <c r="A305" s="92" t="n">
        <v>2025</v>
      </c>
      <c r="B305" s="92" t="n">
        <v>7</v>
      </c>
      <c r="C305" s="92" t="inlineStr">
        <is>
          <t>PF04</t>
        </is>
      </c>
      <c r="D305" s="92" t="inlineStr">
        <is>
          <t>변액</t>
        </is>
      </c>
      <c r="E305" s="92" t="inlineStr">
        <is>
          <t>VFA</t>
        </is>
      </c>
      <c r="F305" s="92" t="inlineStr">
        <is>
          <t>F22</t>
        </is>
      </c>
      <c r="G305" s="92" t="inlineStr">
        <is>
          <t>가정변경-기타</t>
        </is>
      </c>
      <c r="H305" s="93" t="n">
        <v>0</v>
      </c>
      <c r="I305" s="93" t="n">
        <v>0</v>
      </c>
      <c r="J305" s="93" t="n">
        <v>0</v>
      </c>
      <c r="L305" s="9">
        <f>IF($A305="","",VALUE($A305&amp;"")*12+VALUE($B305&amp;""))</f>
        <v/>
      </c>
      <c r="M305" s="94">
        <f>IF($A305="",0,$H305*설정!$C$23)</f>
        <v/>
      </c>
      <c r="N305" s="94">
        <f>IF($A305="",0,$I305*설정!$C$23)</f>
        <v/>
      </c>
      <c r="O305" s="94">
        <f>IF($A305="",0,$J305*설정!$C$23)</f>
        <v/>
      </c>
      <c r="P305" s="64">
        <f>IF($A305="","",IFERROR(INDEX(입력옵션!$C$58:$C$68,MATCH($F305&amp;"",입력옵션!$E$58:$E$68,0)),IFERROR(INDEX(입력옵션!$C$58:$C$68,MATCH($G305&amp;"",입력옵션!$F$58:$F$68,0)),$F305&amp;"")))</f>
        <v/>
      </c>
    </row>
    <row r="306">
      <c r="A306" s="92" t="n">
        <v>2025</v>
      </c>
      <c r="B306" s="92" t="n">
        <v>7</v>
      </c>
      <c r="C306" s="92" t="inlineStr">
        <is>
          <t>PF04</t>
        </is>
      </c>
      <c r="D306" s="92" t="inlineStr">
        <is>
          <t>변액</t>
        </is>
      </c>
      <c r="E306" s="92" t="inlineStr">
        <is>
          <t>VFA</t>
        </is>
      </c>
      <c r="F306" s="92" t="inlineStr">
        <is>
          <t>F31</t>
        </is>
      </c>
      <c r="G306" s="92" t="inlineStr">
        <is>
          <t>경험조정-취득현금흐름</t>
        </is>
      </c>
      <c r="H306" s="93" t="n">
        <v>0</v>
      </c>
      <c r="I306" s="93" t="n">
        <v>0</v>
      </c>
      <c r="J306" s="93" t="n">
        <v>-2010000</v>
      </c>
      <c r="L306" s="9">
        <f>IF($A306="","",VALUE($A306&amp;"")*12+VALUE($B306&amp;""))</f>
        <v/>
      </c>
      <c r="M306" s="94">
        <f>IF($A306="",0,$H306*설정!$C$23)</f>
        <v/>
      </c>
      <c r="N306" s="94">
        <f>IF($A306="",0,$I306*설정!$C$23)</f>
        <v/>
      </c>
      <c r="O306" s="94">
        <f>IF($A306="",0,$J306*설정!$C$23)</f>
        <v/>
      </c>
      <c r="P306" s="64">
        <f>IF($A306="","",IFERROR(INDEX(입력옵션!$C$58:$C$68,MATCH($F306&amp;"",입력옵션!$E$58:$E$68,0)),IFERROR(INDEX(입력옵션!$C$58:$C$68,MATCH($G306&amp;"",입력옵션!$F$58:$F$68,0)),$F306&amp;"")))</f>
        <v/>
      </c>
    </row>
    <row r="307">
      <c r="A307" s="92" t="n">
        <v>2025</v>
      </c>
      <c r="B307" s="92" t="n">
        <v>7</v>
      </c>
      <c r="C307" s="92" t="inlineStr">
        <is>
          <t>PF04</t>
        </is>
      </c>
      <c r="D307" s="92" t="inlineStr">
        <is>
          <t>변액</t>
        </is>
      </c>
      <c r="E307" s="92" t="inlineStr">
        <is>
          <t>VFA</t>
        </is>
      </c>
      <c r="F307" s="92" t="inlineStr">
        <is>
          <t>F32</t>
        </is>
      </c>
      <c r="G307" s="92" t="inlineStr">
        <is>
          <t>경험조정-보험료 등</t>
        </is>
      </c>
      <c r="H307" s="93" t="n">
        <v>0</v>
      </c>
      <c r="I307" s="93" t="n">
        <v>0</v>
      </c>
      <c r="J307" s="93" t="n">
        <v>-245694000</v>
      </c>
      <c r="L307" s="9">
        <f>IF($A307="","",VALUE($A307&amp;"")*12+VALUE($B307&amp;""))</f>
        <v/>
      </c>
      <c r="M307" s="94">
        <f>IF($A307="",0,$H307*설정!$C$23)</f>
        <v/>
      </c>
      <c r="N307" s="94">
        <f>IF($A307="",0,$I307*설정!$C$23)</f>
        <v/>
      </c>
      <c r="O307" s="94">
        <f>IF($A307="",0,$J307*설정!$C$23)</f>
        <v/>
      </c>
      <c r="P307" s="64">
        <f>IF($A307="","",IFERROR(INDEX(입력옵션!$C$58:$C$68,MATCH($F307&amp;"",입력옵션!$E$58:$E$68,0)),IFERROR(INDEX(입력옵션!$C$58:$C$68,MATCH($G307&amp;"",입력옵션!$F$58:$F$68,0)),$F307&amp;"")))</f>
        <v/>
      </c>
    </row>
    <row r="308">
      <c r="A308" s="92" t="n">
        <v>2025</v>
      </c>
      <c r="B308" s="92" t="n">
        <v>7</v>
      </c>
      <c r="C308" s="92" t="inlineStr">
        <is>
          <t>PF04</t>
        </is>
      </c>
      <c r="D308" s="92" t="inlineStr">
        <is>
          <t>변액</t>
        </is>
      </c>
      <c r="E308" s="92" t="inlineStr">
        <is>
          <t>VFA</t>
        </is>
      </c>
      <c r="F308" s="92" t="inlineStr">
        <is>
          <t>F40</t>
        </is>
      </c>
      <c r="G308" s="92" t="inlineStr">
        <is>
          <t>보험금융비용(이자부리)</t>
        </is>
      </c>
      <c r="H308" s="93" t="n">
        <v>784161000</v>
      </c>
      <c r="I308" s="93" t="n">
        <v>30834000</v>
      </c>
      <c r="J308" s="93" t="n">
        <v>125459000</v>
      </c>
      <c r="L308" s="9">
        <f>IF($A308="","",VALUE($A308&amp;"")*12+VALUE($B308&amp;""))</f>
        <v/>
      </c>
      <c r="M308" s="94">
        <f>IF($A308="",0,$H308*설정!$C$23)</f>
        <v/>
      </c>
      <c r="N308" s="94">
        <f>IF($A308="",0,$I308*설정!$C$23)</f>
        <v/>
      </c>
      <c r="O308" s="94">
        <f>IF($A308="",0,$J308*설정!$C$23)</f>
        <v/>
      </c>
      <c r="P308" s="64">
        <f>IF($A308="","",IFERROR(INDEX(입력옵션!$C$58:$C$68,MATCH($F308&amp;"",입력옵션!$E$58:$E$68,0)),IFERROR(INDEX(입력옵션!$C$58:$C$68,MATCH($G308&amp;"",입력옵션!$F$58:$F$68,0)),$F308&amp;"")))</f>
        <v/>
      </c>
    </row>
    <row r="309">
      <c r="A309" s="92" t="n">
        <v>2025</v>
      </c>
      <c r="B309" s="92" t="n">
        <v>7</v>
      </c>
      <c r="C309" s="92" t="inlineStr">
        <is>
          <t>PF04</t>
        </is>
      </c>
      <c r="D309" s="92" t="inlineStr">
        <is>
          <t>변액</t>
        </is>
      </c>
      <c r="E309" s="92" t="inlineStr">
        <is>
          <t>VFA</t>
        </is>
      </c>
      <c r="F309" s="92" t="inlineStr">
        <is>
          <t>F51</t>
        </is>
      </c>
      <c r="G309" s="92" t="inlineStr">
        <is>
          <t>CSM 상각</t>
        </is>
      </c>
      <c r="H309" s="93" t="n">
        <v>0</v>
      </c>
      <c r="I309" s="93" t="n">
        <v>0</v>
      </c>
      <c r="J309" s="93" t="n">
        <v>-451654000</v>
      </c>
      <c r="L309" s="9">
        <f>IF($A309="","",VALUE($A309&amp;"")*12+VALUE($B309&amp;""))</f>
        <v/>
      </c>
      <c r="M309" s="94">
        <f>IF($A309="",0,$H309*설정!$C$23)</f>
        <v/>
      </c>
      <c r="N309" s="94">
        <f>IF($A309="",0,$I309*설정!$C$23)</f>
        <v/>
      </c>
      <c r="O309" s="94">
        <f>IF($A309="",0,$J309*설정!$C$23)</f>
        <v/>
      </c>
      <c r="P309" s="64">
        <f>IF($A309="","",IFERROR(INDEX(입력옵션!$C$58:$C$68,MATCH($F309&amp;"",입력옵션!$E$58:$E$68,0)),IFERROR(INDEX(입력옵션!$C$58:$C$68,MATCH($G309&amp;"",입력옵션!$F$58:$F$68,0)),$F309&amp;"")))</f>
        <v/>
      </c>
    </row>
    <row r="310">
      <c r="A310" s="92" t="n">
        <v>2025</v>
      </c>
      <c r="B310" s="92" t="n">
        <v>7</v>
      </c>
      <c r="C310" s="92" t="inlineStr">
        <is>
          <t>PF04</t>
        </is>
      </c>
      <c r="D310" s="92" t="inlineStr">
        <is>
          <t>변액</t>
        </is>
      </c>
      <c r="E310" s="92" t="inlineStr">
        <is>
          <t>VFA</t>
        </is>
      </c>
      <c r="F310" s="92" t="inlineStr">
        <is>
          <t>F52</t>
        </is>
      </c>
      <c r="G310" s="92" t="inlineStr">
        <is>
          <t>RA 해제</t>
        </is>
      </c>
      <c r="H310" s="93" t="n">
        <v>0</v>
      </c>
      <c r="I310" s="93" t="n">
        <v>-92501000</v>
      </c>
      <c r="J310" s="93" t="n">
        <v>0</v>
      </c>
      <c r="L310" s="9">
        <f>IF($A310="","",VALUE($A310&amp;"")*12+VALUE($B310&amp;""))</f>
        <v/>
      </c>
      <c r="M310" s="94">
        <f>IF($A310="",0,$H310*설정!$C$23)</f>
        <v/>
      </c>
      <c r="N310" s="94">
        <f>IF($A310="",0,$I310*설정!$C$23)</f>
        <v/>
      </c>
      <c r="O310" s="94">
        <f>IF($A310="",0,$J310*설정!$C$23)</f>
        <v/>
      </c>
      <c r="P310" s="64">
        <f>IF($A310="","",IFERROR(INDEX(입력옵션!$C$58:$C$68,MATCH($F310&amp;"",입력옵션!$E$58:$E$68,0)),IFERROR(INDEX(입력옵션!$C$58:$C$68,MATCH($G310&amp;"",입력옵션!$F$58:$F$68,0)),$F310&amp;"")))</f>
        <v/>
      </c>
    </row>
    <row r="311">
      <c r="A311" s="92" t="n">
        <v>2025</v>
      </c>
      <c r="B311" s="92" t="n">
        <v>7</v>
      </c>
      <c r="C311" s="92" t="inlineStr">
        <is>
          <t>PF04</t>
        </is>
      </c>
      <c r="D311" s="92" t="inlineStr">
        <is>
          <t>변액</t>
        </is>
      </c>
      <c r="E311" s="92" t="inlineStr">
        <is>
          <t>VFA</t>
        </is>
      </c>
      <c r="F311" s="92" t="inlineStr">
        <is>
          <t>F60</t>
        </is>
      </c>
      <c r="G311" s="92" t="inlineStr">
        <is>
          <t>현금흐름 및 기타</t>
        </is>
      </c>
      <c r="H311" s="93" t="n">
        <v>1028347000</v>
      </c>
      <c r="I311" s="93" t="n">
        <v>19201000</v>
      </c>
      <c r="J311" s="93" t="n">
        <v>0</v>
      </c>
      <c r="L311" s="9">
        <f>IF($A311="","",VALUE($A311&amp;"")*12+VALUE($B311&amp;""))</f>
        <v/>
      </c>
      <c r="M311" s="94">
        <f>IF($A311="",0,$H311*설정!$C$23)</f>
        <v/>
      </c>
      <c r="N311" s="94">
        <f>IF($A311="",0,$I311*설정!$C$23)</f>
        <v/>
      </c>
      <c r="O311" s="94">
        <f>IF($A311="",0,$J311*설정!$C$23)</f>
        <v/>
      </c>
      <c r="P311" s="64">
        <f>IF($A311="","",IFERROR(INDEX(입력옵션!$C$58:$C$68,MATCH($F311&amp;"",입력옵션!$E$58:$E$68,0)),IFERROR(INDEX(입력옵션!$C$58:$C$68,MATCH($G311&amp;"",입력옵션!$F$58:$F$68,0)),$F311&amp;"")))</f>
        <v/>
      </c>
    </row>
    <row r="312">
      <c r="A312" s="92" t="n">
        <v>2025</v>
      </c>
      <c r="B312" s="92" t="n">
        <v>7</v>
      </c>
      <c r="C312" s="92" t="inlineStr">
        <is>
          <t>PF04</t>
        </is>
      </c>
      <c r="D312" s="92" t="inlineStr">
        <is>
          <t>변액</t>
        </is>
      </c>
      <c r="E312" s="92" t="inlineStr">
        <is>
          <t>VFA</t>
        </is>
      </c>
      <c r="F312" s="92" t="inlineStr">
        <is>
          <t>F99</t>
        </is>
      </c>
      <c r="G312" s="92" t="inlineStr">
        <is>
          <t>기말잔액</t>
        </is>
      </c>
      <c r="H312" s="93" t="n">
        <v>314639835000</v>
      </c>
      <c r="I312" s="93" t="n">
        <v>15541812000</v>
      </c>
      <c r="J312" s="93" t="n">
        <v>50279440000</v>
      </c>
      <c r="L312" s="9">
        <f>IF($A312="","",VALUE($A312&amp;"")*12+VALUE($B312&amp;""))</f>
        <v/>
      </c>
      <c r="M312" s="94">
        <f>IF($A312="",0,$H312*설정!$C$23)</f>
        <v/>
      </c>
      <c r="N312" s="94">
        <f>IF($A312="",0,$I312*설정!$C$23)</f>
        <v/>
      </c>
      <c r="O312" s="94">
        <f>IF($A312="",0,$J312*설정!$C$23)</f>
        <v/>
      </c>
      <c r="P312" s="64">
        <f>IF($A312="","",IFERROR(INDEX(입력옵션!$C$58:$C$68,MATCH($F312&amp;"",입력옵션!$E$58:$E$68,0)),IFERROR(INDEX(입력옵션!$C$58:$C$68,MATCH($G312&amp;"",입력옵션!$F$58:$F$68,0)),$F312&amp;"")))</f>
        <v/>
      </c>
    </row>
    <row r="313">
      <c r="A313" s="92" t="n">
        <v>2025</v>
      </c>
      <c r="B313" s="92" t="n">
        <v>8</v>
      </c>
      <c r="C313" s="92" t="inlineStr">
        <is>
          <t>PF01</t>
        </is>
      </c>
      <c r="D313" s="92" t="inlineStr">
        <is>
          <t>보장성</t>
        </is>
      </c>
      <c r="E313" s="92" t="inlineStr">
        <is>
          <t>GMM</t>
        </is>
      </c>
      <c r="F313" s="92" t="inlineStr">
        <is>
          <t>F00</t>
        </is>
      </c>
      <c r="G313" s="92" t="inlineStr">
        <is>
          <t>기초잔액</t>
        </is>
      </c>
      <c r="H313" s="93" t="n">
        <v>1048799450000</v>
      </c>
      <c r="I313" s="93" t="n">
        <v>71731440000</v>
      </c>
      <c r="J313" s="93" t="n">
        <v>239452938000</v>
      </c>
      <c r="L313" s="9">
        <f>IF($A313="","",VALUE($A313&amp;"")*12+VALUE($B313&amp;""))</f>
        <v/>
      </c>
      <c r="M313" s="94">
        <f>IF($A313="",0,$H313*설정!$C$23)</f>
        <v/>
      </c>
      <c r="N313" s="94">
        <f>IF($A313="",0,$I313*설정!$C$23)</f>
        <v/>
      </c>
      <c r="O313" s="94">
        <f>IF($A313="",0,$J313*설정!$C$23)</f>
        <v/>
      </c>
      <c r="P313" s="64">
        <f>IF($A313="","",IFERROR(INDEX(입력옵션!$C$58:$C$68,MATCH($F313&amp;"",입력옵션!$E$58:$E$68,0)),IFERROR(INDEX(입력옵션!$C$58:$C$68,MATCH($G313&amp;"",입력옵션!$F$58:$F$68,0)),$F313&amp;"")))</f>
        <v/>
      </c>
    </row>
    <row r="314">
      <c r="A314" s="92" t="n">
        <v>2025</v>
      </c>
      <c r="B314" s="92" t="n">
        <v>8</v>
      </c>
      <c r="C314" s="92" t="inlineStr">
        <is>
          <t>PF01</t>
        </is>
      </c>
      <c r="D314" s="92" t="inlineStr">
        <is>
          <t>보장성</t>
        </is>
      </c>
      <c r="E314" s="92" t="inlineStr">
        <is>
          <t>GMM</t>
        </is>
      </c>
      <c r="F314" s="92" t="inlineStr">
        <is>
          <t>F10</t>
        </is>
      </c>
      <c r="G314" s="92" t="inlineStr">
        <is>
          <t>신계약 효과</t>
        </is>
      </c>
      <c r="H314" s="93" t="n">
        <v>-3672978000</v>
      </c>
      <c r="I314" s="93" t="n">
        <v>734596000</v>
      </c>
      <c r="J314" s="93" t="n">
        <v>2938383000</v>
      </c>
      <c r="L314" s="9">
        <f>IF($A314="","",VALUE($A314&amp;"")*12+VALUE($B314&amp;""))</f>
        <v/>
      </c>
      <c r="M314" s="94">
        <f>IF($A314="",0,$H314*설정!$C$23)</f>
        <v/>
      </c>
      <c r="N314" s="94">
        <f>IF($A314="",0,$I314*설정!$C$23)</f>
        <v/>
      </c>
      <c r="O314" s="94">
        <f>IF($A314="",0,$J314*설정!$C$23)</f>
        <v/>
      </c>
      <c r="P314" s="64">
        <f>IF($A314="","",IFERROR(INDEX(입력옵션!$C$58:$C$68,MATCH($F314&amp;"",입력옵션!$E$58:$E$68,0)),IFERROR(INDEX(입력옵션!$C$58:$C$68,MATCH($G314&amp;"",입력옵션!$F$58:$F$68,0)),$F314&amp;"")))</f>
        <v/>
      </c>
    </row>
    <row r="315">
      <c r="A315" s="92" t="n">
        <v>2025</v>
      </c>
      <c r="B315" s="92" t="n">
        <v>8</v>
      </c>
      <c r="C315" s="92" t="inlineStr">
        <is>
          <t>PF01</t>
        </is>
      </c>
      <c r="D315" s="92" t="inlineStr">
        <is>
          <t>보장성</t>
        </is>
      </c>
      <c r="E315" s="92" t="inlineStr">
        <is>
          <t>GMM</t>
        </is>
      </c>
      <c r="F315" s="92" t="inlineStr">
        <is>
          <t>F21</t>
        </is>
      </c>
      <c r="G315" s="92" t="inlineStr">
        <is>
          <t>가정변경-사업비</t>
        </is>
      </c>
      <c r="H315" s="93" t="n">
        <v>0</v>
      </c>
      <c r="I315" s="93" t="n">
        <v>0</v>
      </c>
      <c r="J315" s="93" t="n">
        <v>0</v>
      </c>
      <c r="L315" s="9">
        <f>IF($A315="","",VALUE($A315&amp;"")*12+VALUE($B315&amp;""))</f>
        <v/>
      </c>
      <c r="M315" s="94">
        <f>IF($A315="",0,$H315*설정!$C$23)</f>
        <v/>
      </c>
      <c r="N315" s="94">
        <f>IF($A315="",0,$I315*설정!$C$23)</f>
        <v/>
      </c>
      <c r="O315" s="94">
        <f>IF($A315="",0,$J315*설정!$C$23)</f>
        <v/>
      </c>
      <c r="P315" s="64">
        <f>IF($A315="","",IFERROR(INDEX(입력옵션!$C$58:$C$68,MATCH($F315&amp;"",입력옵션!$E$58:$E$68,0)),IFERROR(INDEX(입력옵션!$C$58:$C$68,MATCH($G315&amp;"",입력옵션!$F$58:$F$68,0)),$F315&amp;"")))</f>
        <v/>
      </c>
    </row>
    <row r="316">
      <c r="A316" s="92" t="n">
        <v>2025</v>
      </c>
      <c r="B316" s="92" t="n">
        <v>8</v>
      </c>
      <c r="C316" s="92" t="inlineStr">
        <is>
          <t>PF01</t>
        </is>
      </c>
      <c r="D316" s="92" t="inlineStr">
        <is>
          <t>보장성</t>
        </is>
      </c>
      <c r="E316" s="92" t="inlineStr">
        <is>
          <t>GMM</t>
        </is>
      </c>
      <c r="F316" s="92" t="inlineStr">
        <is>
          <t>F22</t>
        </is>
      </c>
      <c r="G316" s="92" t="inlineStr">
        <is>
          <t>가정변경-기타</t>
        </is>
      </c>
      <c r="H316" s="93" t="n">
        <v>0</v>
      </c>
      <c r="I316" s="93" t="n">
        <v>0</v>
      </c>
      <c r="J316" s="93" t="n">
        <v>0</v>
      </c>
      <c r="L316" s="9">
        <f>IF($A316="","",VALUE($A316&amp;"")*12+VALUE($B316&amp;""))</f>
        <v/>
      </c>
      <c r="M316" s="94">
        <f>IF($A316="",0,$H316*설정!$C$23)</f>
        <v/>
      </c>
      <c r="N316" s="94">
        <f>IF($A316="",0,$I316*설정!$C$23)</f>
        <v/>
      </c>
      <c r="O316" s="94">
        <f>IF($A316="",0,$J316*설정!$C$23)</f>
        <v/>
      </c>
      <c r="P316" s="64">
        <f>IF($A316="","",IFERROR(INDEX(입력옵션!$C$58:$C$68,MATCH($F316&amp;"",입력옵션!$E$58:$E$68,0)),IFERROR(INDEX(입력옵션!$C$58:$C$68,MATCH($G316&amp;"",입력옵션!$F$58:$F$68,0)),$F316&amp;"")))</f>
        <v/>
      </c>
    </row>
    <row r="317">
      <c r="A317" s="92" t="n">
        <v>2025</v>
      </c>
      <c r="B317" s="92" t="n">
        <v>8</v>
      </c>
      <c r="C317" s="92" t="inlineStr">
        <is>
          <t>PF01</t>
        </is>
      </c>
      <c r="D317" s="92" t="inlineStr">
        <is>
          <t>보장성</t>
        </is>
      </c>
      <c r="E317" s="92" t="inlineStr">
        <is>
          <t>GMM</t>
        </is>
      </c>
      <c r="F317" s="92" t="inlineStr">
        <is>
          <t>F31</t>
        </is>
      </c>
      <c r="G317" s="92" t="inlineStr">
        <is>
          <t>경험조정-취득현금흐름</t>
        </is>
      </c>
      <c r="H317" s="93" t="n">
        <v>0</v>
      </c>
      <c r="I317" s="93" t="n">
        <v>0</v>
      </c>
      <c r="J317" s="93" t="n">
        <v>-8884000</v>
      </c>
      <c r="L317" s="9">
        <f>IF($A317="","",VALUE($A317&amp;"")*12+VALUE($B317&amp;""))</f>
        <v/>
      </c>
      <c r="M317" s="94">
        <f>IF($A317="",0,$H317*설정!$C$23)</f>
        <v/>
      </c>
      <c r="N317" s="94">
        <f>IF($A317="",0,$I317*설정!$C$23)</f>
        <v/>
      </c>
      <c r="O317" s="94">
        <f>IF($A317="",0,$J317*설정!$C$23)</f>
        <v/>
      </c>
      <c r="P317" s="64">
        <f>IF($A317="","",IFERROR(INDEX(입력옵션!$C$58:$C$68,MATCH($F317&amp;"",입력옵션!$E$58:$E$68,0)),IFERROR(INDEX(입력옵션!$C$58:$C$68,MATCH($G317&amp;"",입력옵션!$F$58:$F$68,0)),$F317&amp;"")))</f>
        <v/>
      </c>
    </row>
    <row r="318">
      <c r="A318" s="92" t="n">
        <v>2025</v>
      </c>
      <c r="B318" s="92" t="n">
        <v>8</v>
      </c>
      <c r="C318" s="92" t="inlineStr">
        <is>
          <t>PF01</t>
        </is>
      </c>
      <c r="D318" s="92" t="inlineStr">
        <is>
          <t>보장성</t>
        </is>
      </c>
      <c r="E318" s="92" t="inlineStr">
        <is>
          <t>GMM</t>
        </is>
      </c>
      <c r="F318" s="92" t="inlineStr">
        <is>
          <t>F32</t>
        </is>
      </c>
      <c r="G318" s="92" t="inlineStr">
        <is>
          <t>경험조정-보험료 등</t>
        </is>
      </c>
      <c r="H318" s="93" t="n">
        <v>0</v>
      </c>
      <c r="I318" s="93" t="n">
        <v>0</v>
      </c>
      <c r="J318" s="93" t="n">
        <v>-52444000</v>
      </c>
      <c r="L318" s="9">
        <f>IF($A318="","",VALUE($A318&amp;"")*12+VALUE($B318&amp;""))</f>
        <v/>
      </c>
      <c r="M318" s="94">
        <f>IF($A318="",0,$H318*설정!$C$23)</f>
        <v/>
      </c>
      <c r="N318" s="94">
        <f>IF($A318="",0,$I318*설정!$C$23)</f>
        <v/>
      </c>
      <c r="O318" s="94">
        <f>IF($A318="",0,$J318*설정!$C$23)</f>
        <v/>
      </c>
      <c r="P318" s="64">
        <f>IF($A318="","",IFERROR(INDEX(입력옵션!$C$58:$C$68,MATCH($F318&amp;"",입력옵션!$E$58:$E$68,0)),IFERROR(INDEX(입력옵션!$C$58:$C$68,MATCH($G318&amp;"",입력옵션!$F$58:$F$68,0)),$F318&amp;"")))</f>
        <v/>
      </c>
    </row>
    <row r="319">
      <c r="A319" s="92" t="n">
        <v>2025</v>
      </c>
      <c r="B319" s="92" t="n">
        <v>8</v>
      </c>
      <c r="C319" s="92" t="inlineStr">
        <is>
          <t>PF01</t>
        </is>
      </c>
      <c r="D319" s="92" t="inlineStr">
        <is>
          <t>보장성</t>
        </is>
      </c>
      <c r="E319" s="92" t="inlineStr">
        <is>
          <t>GMM</t>
        </is>
      </c>
      <c r="F319" s="92" t="inlineStr">
        <is>
          <t>F40</t>
        </is>
      </c>
      <c r="G319" s="92" t="inlineStr">
        <is>
          <t>보험금융비용(이자부리)</t>
        </is>
      </c>
      <c r="H319" s="93" t="n">
        <v>2621999000</v>
      </c>
      <c r="I319" s="93" t="n">
        <v>143463000</v>
      </c>
      <c r="J319" s="93" t="n">
        <v>598632000</v>
      </c>
      <c r="L319" s="9">
        <f>IF($A319="","",VALUE($A319&amp;"")*12+VALUE($B319&amp;""))</f>
        <v/>
      </c>
      <c r="M319" s="94">
        <f>IF($A319="",0,$H319*설정!$C$23)</f>
        <v/>
      </c>
      <c r="N319" s="94">
        <f>IF($A319="",0,$I319*설정!$C$23)</f>
        <v/>
      </c>
      <c r="O319" s="94">
        <f>IF($A319="",0,$J319*설정!$C$23)</f>
        <v/>
      </c>
      <c r="P319" s="64">
        <f>IF($A319="","",IFERROR(INDEX(입력옵션!$C$58:$C$68,MATCH($F319&amp;"",입력옵션!$E$58:$E$68,0)),IFERROR(INDEX(입력옵션!$C$58:$C$68,MATCH($G319&amp;"",입력옵션!$F$58:$F$68,0)),$F319&amp;"")))</f>
        <v/>
      </c>
    </row>
    <row r="320">
      <c r="A320" s="92" t="n">
        <v>2025</v>
      </c>
      <c r="B320" s="92" t="n">
        <v>8</v>
      </c>
      <c r="C320" s="92" t="inlineStr">
        <is>
          <t>PF01</t>
        </is>
      </c>
      <c r="D320" s="92" t="inlineStr">
        <is>
          <t>보장성</t>
        </is>
      </c>
      <c r="E320" s="92" t="inlineStr">
        <is>
          <t>GMM</t>
        </is>
      </c>
      <c r="F320" s="92" t="inlineStr">
        <is>
          <t>F51</t>
        </is>
      </c>
      <c r="G320" s="92" t="inlineStr">
        <is>
          <t>CSM 상각</t>
        </is>
      </c>
      <c r="H320" s="93" t="n">
        <v>0</v>
      </c>
      <c r="I320" s="93" t="n">
        <v>0</v>
      </c>
      <c r="J320" s="93" t="n">
        <v>-2155076000</v>
      </c>
      <c r="L320" s="9">
        <f>IF($A320="","",VALUE($A320&amp;"")*12+VALUE($B320&amp;""))</f>
        <v/>
      </c>
      <c r="M320" s="94">
        <f>IF($A320="",0,$H320*설정!$C$23)</f>
        <v/>
      </c>
      <c r="N320" s="94">
        <f>IF($A320="",0,$I320*설정!$C$23)</f>
        <v/>
      </c>
      <c r="O320" s="94">
        <f>IF($A320="",0,$J320*설정!$C$23)</f>
        <v/>
      </c>
      <c r="P320" s="64">
        <f>IF($A320="","",IFERROR(INDEX(입력옵션!$C$58:$C$68,MATCH($F320&amp;"",입력옵션!$E$58:$E$68,0)),IFERROR(INDEX(입력옵션!$C$58:$C$68,MATCH($G320&amp;"",입력옵션!$F$58:$F$68,0)),$F320&amp;"")))</f>
        <v/>
      </c>
    </row>
    <row r="321">
      <c r="A321" s="92" t="n">
        <v>2025</v>
      </c>
      <c r="B321" s="92" t="n">
        <v>8</v>
      </c>
      <c r="C321" s="92" t="inlineStr">
        <is>
          <t>PF01</t>
        </is>
      </c>
      <c r="D321" s="92" t="inlineStr">
        <is>
          <t>보장성</t>
        </is>
      </c>
      <c r="E321" s="92" t="inlineStr">
        <is>
          <t>GMM</t>
        </is>
      </c>
      <c r="F321" s="92" t="inlineStr">
        <is>
          <t>F52</t>
        </is>
      </c>
      <c r="G321" s="92" t="inlineStr">
        <is>
          <t>RA 해제</t>
        </is>
      </c>
      <c r="H321" s="93" t="n">
        <v>0</v>
      </c>
      <c r="I321" s="93" t="n">
        <v>-430389000</v>
      </c>
      <c r="J321" s="93" t="n">
        <v>0</v>
      </c>
      <c r="L321" s="9">
        <f>IF($A321="","",VALUE($A321&amp;"")*12+VALUE($B321&amp;""))</f>
        <v/>
      </c>
      <c r="M321" s="94">
        <f>IF($A321="",0,$H321*설정!$C$23)</f>
        <v/>
      </c>
      <c r="N321" s="94">
        <f>IF($A321="",0,$I321*설정!$C$23)</f>
        <v/>
      </c>
      <c r="O321" s="94">
        <f>IF($A321="",0,$J321*설정!$C$23)</f>
        <v/>
      </c>
      <c r="P321" s="64">
        <f>IF($A321="","",IFERROR(INDEX(입력옵션!$C$58:$C$68,MATCH($F321&amp;"",입력옵션!$E$58:$E$68,0)),IFERROR(INDEX(입력옵션!$C$58:$C$68,MATCH($G321&amp;"",입력옵션!$F$58:$F$68,0)),$F321&amp;"")))</f>
        <v/>
      </c>
    </row>
    <row r="322">
      <c r="A322" s="92" t="n">
        <v>2025</v>
      </c>
      <c r="B322" s="92" t="n">
        <v>8</v>
      </c>
      <c r="C322" s="92" t="inlineStr">
        <is>
          <t>PF01</t>
        </is>
      </c>
      <c r="D322" s="92" t="inlineStr">
        <is>
          <t>보장성</t>
        </is>
      </c>
      <c r="E322" s="92" t="inlineStr">
        <is>
          <t>GMM</t>
        </is>
      </c>
      <c r="F322" s="92" t="inlineStr">
        <is>
          <t>F60</t>
        </is>
      </c>
      <c r="G322" s="92" t="inlineStr">
        <is>
          <t>현금흐름 및 기타</t>
        </is>
      </c>
      <c r="H322" s="93" t="n">
        <v>1940580000</v>
      </c>
      <c r="I322" s="93" t="n">
        <v>-74350000</v>
      </c>
      <c r="J322" s="93" t="n">
        <v>0</v>
      </c>
      <c r="L322" s="9">
        <f>IF($A322="","",VALUE($A322&amp;"")*12+VALUE($B322&amp;""))</f>
        <v/>
      </c>
      <c r="M322" s="94">
        <f>IF($A322="",0,$H322*설정!$C$23)</f>
        <v/>
      </c>
      <c r="N322" s="94">
        <f>IF($A322="",0,$I322*설정!$C$23)</f>
        <v/>
      </c>
      <c r="O322" s="94">
        <f>IF($A322="",0,$J322*설정!$C$23)</f>
        <v/>
      </c>
      <c r="P322" s="64">
        <f>IF($A322="","",IFERROR(INDEX(입력옵션!$C$58:$C$68,MATCH($F322&amp;"",입력옵션!$E$58:$E$68,0)),IFERROR(INDEX(입력옵션!$C$58:$C$68,MATCH($G322&amp;"",입력옵션!$F$58:$F$68,0)),$F322&amp;"")))</f>
        <v/>
      </c>
    </row>
    <row r="323">
      <c r="A323" s="92" t="n">
        <v>2025</v>
      </c>
      <c r="B323" s="92" t="n">
        <v>8</v>
      </c>
      <c r="C323" s="92" t="inlineStr">
        <is>
          <t>PF01</t>
        </is>
      </c>
      <c r="D323" s="92" t="inlineStr">
        <is>
          <t>보장성</t>
        </is>
      </c>
      <c r="E323" s="92" t="inlineStr">
        <is>
          <t>GMM</t>
        </is>
      </c>
      <c r="F323" s="92" t="inlineStr">
        <is>
          <t>F99</t>
        </is>
      </c>
      <c r="G323" s="92" t="inlineStr">
        <is>
          <t>기말잔액</t>
        </is>
      </c>
      <c r="H323" s="93" t="n">
        <v>1049689050000</v>
      </c>
      <c r="I323" s="93" t="n">
        <v>72104760000</v>
      </c>
      <c r="J323" s="93" t="n">
        <v>240773549000</v>
      </c>
      <c r="L323" s="9">
        <f>IF($A323="","",VALUE($A323&amp;"")*12+VALUE($B323&amp;""))</f>
        <v/>
      </c>
      <c r="M323" s="94">
        <f>IF($A323="",0,$H323*설정!$C$23)</f>
        <v/>
      </c>
      <c r="N323" s="94">
        <f>IF($A323="",0,$I323*설정!$C$23)</f>
        <v/>
      </c>
      <c r="O323" s="94">
        <f>IF($A323="",0,$J323*설정!$C$23)</f>
        <v/>
      </c>
      <c r="P323" s="64">
        <f>IF($A323="","",IFERROR(INDEX(입력옵션!$C$58:$C$68,MATCH($F323&amp;"",입력옵션!$E$58:$E$68,0)),IFERROR(INDEX(입력옵션!$C$58:$C$68,MATCH($G323&amp;"",입력옵션!$F$58:$F$68,0)),$F323&amp;"")))</f>
        <v/>
      </c>
    </row>
    <row r="324">
      <c r="A324" s="92" t="n">
        <v>2025</v>
      </c>
      <c r="B324" s="92" t="n">
        <v>8</v>
      </c>
      <c r="C324" s="92" t="inlineStr">
        <is>
          <t>PF02</t>
        </is>
      </c>
      <c r="D324" s="92" t="inlineStr">
        <is>
          <t>저축성</t>
        </is>
      </c>
      <c r="E324" s="92" t="inlineStr">
        <is>
          <t>GMM</t>
        </is>
      </c>
      <c r="F324" s="92" t="inlineStr">
        <is>
          <t>F00</t>
        </is>
      </c>
      <c r="G324" s="92" t="inlineStr">
        <is>
          <t>기초잔액</t>
        </is>
      </c>
      <c r="H324" s="93" t="n">
        <v>692207637000</v>
      </c>
      <c r="I324" s="93" t="n">
        <v>29888100000</v>
      </c>
      <c r="J324" s="93" t="n">
        <v>96377289000</v>
      </c>
      <c r="L324" s="9">
        <f>IF($A324="","",VALUE($A324&amp;"")*12+VALUE($B324&amp;""))</f>
        <v/>
      </c>
      <c r="M324" s="94">
        <f>IF($A324="",0,$H324*설정!$C$23)</f>
        <v/>
      </c>
      <c r="N324" s="94">
        <f>IF($A324="",0,$I324*설정!$C$23)</f>
        <v/>
      </c>
      <c r="O324" s="94">
        <f>IF($A324="",0,$J324*설정!$C$23)</f>
        <v/>
      </c>
      <c r="P324" s="64">
        <f>IF($A324="","",IFERROR(INDEX(입력옵션!$C$58:$C$68,MATCH($F324&amp;"",입력옵션!$E$58:$E$68,0)),IFERROR(INDEX(입력옵션!$C$58:$C$68,MATCH($G324&amp;"",입력옵션!$F$58:$F$68,0)),$F324&amp;"")))</f>
        <v/>
      </c>
    </row>
    <row r="325">
      <c r="A325" s="92" t="n">
        <v>2025</v>
      </c>
      <c r="B325" s="92" t="n">
        <v>8</v>
      </c>
      <c r="C325" s="92" t="inlineStr">
        <is>
          <t>PF02</t>
        </is>
      </c>
      <c r="D325" s="92" t="inlineStr">
        <is>
          <t>저축성</t>
        </is>
      </c>
      <c r="E325" s="92" t="inlineStr">
        <is>
          <t>GMM</t>
        </is>
      </c>
      <c r="F325" s="92" t="inlineStr">
        <is>
          <t>F10</t>
        </is>
      </c>
      <c r="G325" s="92" t="inlineStr">
        <is>
          <t>신계약 효과</t>
        </is>
      </c>
      <c r="H325" s="93" t="n">
        <v>-1481040000</v>
      </c>
      <c r="I325" s="93" t="n">
        <v>296208000</v>
      </c>
      <c r="J325" s="93" t="n">
        <v>1184832000</v>
      </c>
      <c r="L325" s="9">
        <f>IF($A325="","",VALUE($A325&amp;"")*12+VALUE($B325&amp;""))</f>
        <v/>
      </c>
      <c r="M325" s="94">
        <f>IF($A325="",0,$H325*설정!$C$23)</f>
        <v/>
      </c>
      <c r="N325" s="94">
        <f>IF($A325="",0,$I325*설정!$C$23)</f>
        <v/>
      </c>
      <c r="O325" s="94">
        <f>IF($A325="",0,$J325*설정!$C$23)</f>
        <v/>
      </c>
      <c r="P325" s="64">
        <f>IF($A325="","",IFERROR(INDEX(입력옵션!$C$58:$C$68,MATCH($F325&amp;"",입력옵션!$E$58:$E$68,0)),IFERROR(INDEX(입력옵션!$C$58:$C$68,MATCH($G325&amp;"",입력옵션!$F$58:$F$68,0)),$F325&amp;"")))</f>
        <v/>
      </c>
    </row>
    <row r="326">
      <c r="A326" s="92" t="n">
        <v>2025</v>
      </c>
      <c r="B326" s="92" t="n">
        <v>8</v>
      </c>
      <c r="C326" s="92" t="inlineStr">
        <is>
          <t>PF02</t>
        </is>
      </c>
      <c r="D326" s="92" t="inlineStr">
        <is>
          <t>저축성</t>
        </is>
      </c>
      <c r="E326" s="92" t="inlineStr">
        <is>
          <t>GMM</t>
        </is>
      </c>
      <c r="F326" s="92" t="inlineStr">
        <is>
          <t>F21</t>
        </is>
      </c>
      <c r="G326" s="92" t="inlineStr">
        <is>
          <t>가정변경-사업비</t>
        </is>
      </c>
      <c r="H326" s="93" t="n">
        <v>0</v>
      </c>
      <c r="I326" s="93" t="n">
        <v>0</v>
      </c>
      <c r="J326" s="93" t="n">
        <v>0</v>
      </c>
      <c r="L326" s="9">
        <f>IF($A326="","",VALUE($A326&amp;"")*12+VALUE($B326&amp;""))</f>
        <v/>
      </c>
      <c r="M326" s="94">
        <f>IF($A326="",0,$H326*설정!$C$23)</f>
        <v/>
      </c>
      <c r="N326" s="94">
        <f>IF($A326="",0,$I326*설정!$C$23)</f>
        <v/>
      </c>
      <c r="O326" s="94">
        <f>IF($A326="",0,$J326*설정!$C$23)</f>
        <v/>
      </c>
      <c r="P326" s="64">
        <f>IF($A326="","",IFERROR(INDEX(입력옵션!$C$58:$C$68,MATCH($F326&amp;"",입력옵션!$E$58:$E$68,0)),IFERROR(INDEX(입력옵션!$C$58:$C$68,MATCH($G326&amp;"",입력옵션!$F$58:$F$68,0)),$F326&amp;"")))</f>
        <v/>
      </c>
    </row>
    <row r="327">
      <c r="A327" s="92" t="n">
        <v>2025</v>
      </c>
      <c r="B327" s="92" t="n">
        <v>8</v>
      </c>
      <c r="C327" s="92" t="inlineStr">
        <is>
          <t>PF02</t>
        </is>
      </c>
      <c r="D327" s="92" t="inlineStr">
        <is>
          <t>저축성</t>
        </is>
      </c>
      <c r="E327" s="92" t="inlineStr">
        <is>
          <t>GMM</t>
        </is>
      </c>
      <c r="F327" s="92" t="inlineStr">
        <is>
          <t>F22</t>
        </is>
      </c>
      <c r="G327" s="92" t="inlineStr">
        <is>
          <t>가정변경-기타</t>
        </is>
      </c>
      <c r="H327" s="93" t="n">
        <v>0</v>
      </c>
      <c r="I327" s="93" t="n">
        <v>0</v>
      </c>
      <c r="J327" s="93" t="n">
        <v>0</v>
      </c>
      <c r="L327" s="9">
        <f>IF($A327="","",VALUE($A327&amp;"")*12+VALUE($B327&amp;""))</f>
        <v/>
      </c>
      <c r="M327" s="94">
        <f>IF($A327="",0,$H327*설정!$C$23)</f>
        <v/>
      </c>
      <c r="N327" s="94">
        <f>IF($A327="",0,$I327*설정!$C$23)</f>
        <v/>
      </c>
      <c r="O327" s="94">
        <f>IF($A327="",0,$J327*설정!$C$23)</f>
        <v/>
      </c>
      <c r="P327" s="64">
        <f>IF($A327="","",IFERROR(INDEX(입력옵션!$C$58:$C$68,MATCH($F327&amp;"",입력옵션!$E$58:$E$68,0)),IFERROR(INDEX(입력옵션!$C$58:$C$68,MATCH($G327&amp;"",입력옵션!$F$58:$F$68,0)),$F327&amp;"")))</f>
        <v/>
      </c>
    </row>
    <row r="328">
      <c r="A328" s="92" t="n">
        <v>2025</v>
      </c>
      <c r="B328" s="92" t="n">
        <v>8</v>
      </c>
      <c r="C328" s="92" t="inlineStr">
        <is>
          <t>PF02</t>
        </is>
      </c>
      <c r="D328" s="92" t="inlineStr">
        <is>
          <t>저축성</t>
        </is>
      </c>
      <c r="E328" s="92" t="inlineStr">
        <is>
          <t>GMM</t>
        </is>
      </c>
      <c r="F328" s="92" t="inlineStr">
        <is>
          <t>F31</t>
        </is>
      </c>
      <c r="G328" s="92" t="inlineStr">
        <is>
          <t>경험조정-취득현금흐름</t>
        </is>
      </c>
      <c r="H328" s="93" t="n">
        <v>0</v>
      </c>
      <c r="I328" s="93" t="n">
        <v>0</v>
      </c>
      <c r="J328" s="93" t="n">
        <v>2293000</v>
      </c>
      <c r="L328" s="9">
        <f>IF($A328="","",VALUE($A328&amp;"")*12+VALUE($B328&amp;""))</f>
        <v/>
      </c>
      <c r="M328" s="94">
        <f>IF($A328="",0,$H328*설정!$C$23)</f>
        <v/>
      </c>
      <c r="N328" s="94">
        <f>IF($A328="",0,$I328*설정!$C$23)</f>
        <v/>
      </c>
      <c r="O328" s="94">
        <f>IF($A328="",0,$J328*설정!$C$23)</f>
        <v/>
      </c>
      <c r="P328" s="64">
        <f>IF($A328="","",IFERROR(INDEX(입력옵션!$C$58:$C$68,MATCH($F328&amp;"",입력옵션!$E$58:$E$68,0)),IFERROR(INDEX(입력옵션!$C$58:$C$68,MATCH($G328&amp;"",입력옵션!$F$58:$F$68,0)),$F328&amp;"")))</f>
        <v/>
      </c>
    </row>
    <row r="329">
      <c r="A329" s="92" t="n">
        <v>2025</v>
      </c>
      <c r="B329" s="92" t="n">
        <v>8</v>
      </c>
      <c r="C329" s="92" t="inlineStr">
        <is>
          <t>PF02</t>
        </is>
      </c>
      <c r="D329" s="92" t="inlineStr">
        <is>
          <t>저축성</t>
        </is>
      </c>
      <c r="E329" s="92" t="inlineStr">
        <is>
          <t>GMM</t>
        </is>
      </c>
      <c r="F329" s="92" t="inlineStr">
        <is>
          <t>F32</t>
        </is>
      </c>
      <c r="G329" s="92" t="inlineStr">
        <is>
          <t>경험조정-보험료 등</t>
        </is>
      </c>
      <c r="H329" s="93" t="n">
        <v>0</v>
      </c>
      <c r="I329" s="93" t="n">
        <v>0</v>
      </c>
      <c r="J329" s="93" t="n">
        <v>-36345000</v>
      </c>
      <c r="L329" s="9">
        <f>IF($A329="","",VALUE($A329&amp;"")*12+VALUE($B329&amp;""))</f>
        <v/>
      </c>
      <c r="M329" s="94">
        <f>IF($A329="",0,$H329*설정!$C$23)</f>
        <v/>
      </c>
      <c r="N329" s="94">
        <f>IF($A329="",0,$I329*설정!$C$23)</f>
        <v/>
      </c>
      <c r="O329" s="94">
        <f>IF($A329="",0,$J329*설정!$C$23)</f>
        <v/>
      </c>
      <c r="P329" s="64">
        <f>IF($A329="","",IFERROR(INDEX(입력옵션!$C$58:$C$68,MATCH($F329&amp;"",입력옵션!$E$58:$E$68,0)),IFERROR(INDEX(입력옵션!$C$58:$C$68,MATCH($G329&amp;"",입력옵션!$F$58:$F$68,0)),$F329&amp;"")))</f>
        <v/>
      </c>
    </row>
    <row r="330">
      <c r="A330" s="92" t="n">
        <v>2025</v>
      </c>
      <c r="B330" s="92" t="n">
        <v>8</v>
      </c>
      <c r="C330" s="92" t="inlineStr">
        <is>
          <t>PF02</t>
        </is>
      </c>
      <c r="D330" s="92" t="inlineStr">
        <is>
          <t>저축성</t>
        </is>
      </c>
      <c r="E330" s="92" t="inlineStr">
        <is>
          <t>GMM</t>
        </is>
      </c>
      <c r="F330" s="92" t="inlineStr">
        <is>
          <t>F40</t>
        </is>
      </c>
      <c r="G330" s="92" t="inlineStr">
        <is>
          <t>보험금융비용(이자부리)</t>
        </is>
      </c>
      <c r="H330" s="93" t="n">
        <v>1730519000</v>
      </c>
      <c r="I330" s="93" t="n">
        <v>59776000</v>
      </c>
      <c r="J330" s="93" t="n">
        <v>240943000</v>
      </c>
      <c r="L330" s="9">
        <f>IF($A330="","",VALUE($A330&amp;"")*12+VALUE($B330&amp;""))</f>
        <v/>
      </c>
      <c r="M330" s="94">
        <f>IF($A330="",0,$H330*설정!$C$23)</f>
        <v/>
      </c>
      <c r="N330" s="94">
        <f>IF($A330="",0,$I330*설정!$C$23)</f>
        <v/>
      </c>
      <c r="O330" s="94">
        <f>IF($A330="",0,$J330*설정!$C$23)</f>
        <v/>
      </c>
      <c r="P330" s="64">
        <f>IF($A330="","",IFERROR(INDEX(입력옵션!$C$58:$C$68,MATCH($F330&amp;"",입력옵션!$E$58:$E$68,0)),IFERROR(INDEX(입력옵션!$C$58:$C$68,MATCH($G330&amp;"",입력옵션!$F$58:$F$68,0)),$F330&amp;"")))</f>
        <v/>
      </c>
    </row>
    <row r="331">
      <c r="A331" s="92" t="n">
        <v>2025</v>
      </c>
      <c r="B331" s="92" t="n">
        <v>8</v>
      </c>
      <c r="C331" s="92" t="inlineStr">
        <is>
          <t>PF02</t>
        </is>
      </c>
      <c r="D331" s="92" t="inlineStr">
        <is>
          <t>저축성</t>
        </is>
      </c>
      <c r="E331" s="92" t="inlineStr">
        <is>
          <t>GMM</t>
        </is>
      </c>
      <c r="F331" s="92" t="inlineStr">
        <is>
          <t>F51</t>
        </is>
      </c>
      <c r="G331" s="92" t="inlineStr">
        <is>
          <t>CSM 상각</t>
        </is>
      </c>
      <c r="H331" s="93" t="n">
        <v>0</v>
      </c>
      <c r="I331" s="93" t="n">
        <v>0</v>
      </c>
      <c r="J331" s="93" t="n">
        <v>-867396000</v>
      </c>
      <c r="L331" s="9">
        <f>IF($A331="","",VALUE($A331&amp;"")*12+VALUE($B331&amp;""))</f>
        <v/>
      </c>
      <c r="M331" s="94">
        <f>IF($A331="",0,$H331*설정!$C$23)</f>
        <v/>
      </c>
      <c r="N331" s="94">
        <f>IF($A331="",0,$I331*설정!$C$23)</f>
        <v/>
      </c>
      <c r="O331" s="94">
        <f>IF($A331="",0,$J331*설정!$C$23)</f>
        <v/>
      </c>
      <c r="P331" s="64">
        <f>IF($A331="","",IFERROR(INDEX(입력옵션!$C$58:$C$68,MATCH($F331&amp;"",입력옵션!$E$58:$E$68,0)),IFERROR(INDEX(입력옵션!$C$58:$C$68,MATCH($G331&amp;"",입력옵션!$F$58:$F$68,0)),$F331&amp;"")))</f>
        <v/>
      </c>
    </row>
    <row r="332">
      <c r="A332" s="92" t="n">
        <v>2025</v>
      </c>
      <c r="B332" s="92" t="n">
        <v>8</v>
      </c>
      <c r="C332" s="92" t="inlineStr">
        <is>
          <t>PF02</t>
        </is>
      </c>
      <c r="D332" s="92" t="inlineStr">
        <is>
          <t>저축성</t>
        </is>
      </c>
      <c r="E332" s="92" t="inlineStr">
        <is>
          <t>GMM</t>
        </is>
      </c>
      <c r="F332" s="92" t="inlineStr">
        <is>
          <t>F52</t>
        </is>
      </c>
      <c r="G332" s="92" t="inlineStr">
        <is>
          <t>RA 해제</t>
        </is>
      </c>
      <c r="H332" s="93" t="n">
        <v>0</v>
      </c>
      <c r="I332" s="93" t="n">
        <v>-179329000</v>
      </c>
      <c r="J332" s="93" t="n">
        <v>0</v>
      </c>
      <c r="L332" s="9">
        <f>IF($A332="","",VALUE($A332&amp;"")*12+VALUE($B332&amp;""))</f>
        <v/>
      </c>
      <c r="M332" s="94">
        <f>IF($A332="",0,$H332*설정!$C$23)</f>
        <v/>
      </c>
      <c r="N332" s="94">
        <f>IF($A332="",0,$I332*설정!$C$23)</f>
        <v/>
      </c>
      <c r="O332" s="94">
        <f>IF($A332="",0,$J332*설정!$C$23)</f>
        <v/>
      </c>
      <c r="P332" s="64">
        <f>IF($A332="","",IFERROR(INDEX(입력옵션!$C$58:$C$68,MATCH($F332&amp;"",입력옵션!$E$58:$E$68,0)),IFERROR(INDEX(입력옵션!$C$58:$C$68,MATCH($G332&amp;"",입력옵션!$F$58:$F$68,0)),$F332&amp;"")))</f>
        <v/>
      </c>
    </row>
    <row r="333">
      <c r="A333" s="92" t="n">
        <v>2025</v>
      </c>
      <c r="B333" s="92" t="n">
        <v>8</v>
      </c>
      <c r="C333" s="92" t="inlineStr">
        <is>
          <t>PF02</t>
        </is>
      </c>
      <c r="D333" s="92" t="inlineStr">
        <is>
          <t>저축성</t>
        </is>
      </c>
      <c r="E333" s="92" t="inlineStr">
        <is>
          <t>GMM</t>
        </is>
      </c>
      <c r="F333" s="92" t="inlineStr">
        <is>
          <t>F60</t>
        </is>
      </c>
      <c r="G333" s="92" t="inlineStr">
        <is>
          <t>현금흐름 및 기타</t>
        </is>
      </c>
      <c r="H333" s="93" t="n">
        <v>337656000</v>
      </c>
      <c r="I333" s="93" t="n">
        <v>-21106000</v>
      </c>
      <c r="J333" s="93" t="n">
        <v>0</v>
      </c>
      <c r="L333" s="9">
        <f>IF($A333="","",VALUE($A333&amp;"")*12+VALUE($B333&amp;""))</f>
        <v/>
      </c>
      <c r="M333" s="94">
        <f>IF($A333="",0,$H333*설정!$C$23)</f>
        <v/>
      </c>
      <c r="N333" s="94">
        <f>IF($A333="",0,$I333*설정!$C$23)</f>
        <v/>
      </c>
      <c r="O333" s="94">
        <f>IF($A333="",0,$J333*설정!$C$23)</f>
        <v/>
      </c>
      <c r="P333" s="64">
        <f>IF($A333="","",IFERROR(INDEX(입력옵션!$C$58:$C$68,MATCH($F333&amp;"",입력옵션!$E$58:$E$68,0)),IFERROR(INDEX(입력옵션!$C$58:$C$68,MATCH($G333&amp;"",입력옵션!$F$58:$F$68,0)),$F333&amp;"")))</f>
        <v/>
      </c>
    </row>
    <row r="334">
      <c r="A334" s="92" t="n">
        <v>2025</v>
      </c>
      <c r="B334" s="92" t="n">
        <v>8</v>
      </c>
      <c r="C334" s="92" t="inlineStr">
        <is>
          <t>PF02</t>
        </is>
      </c>
      <c r="D334" s="92" t="inlineStr">
        <is>
          <t>저축성</t>
        </is>
      </c>
      <c r="E334" s="92" t="inlineStr">
        <is>
          <t>GMM</t>
        </is>
      </c>
      <c r="F334" s="92" t="inlineStr">
        <is>
          <t>F99</t>
        </is>
      </c>
      <c r="G334" s="92" t="inlineStr">
        <is>
          <t>기말잔액</t>
        </is>
      </c>
      <c r="H334" s="93" t="n">
        <v>692794773000</v>
      </c>
      <c r="I334" s="93" t="n">
        <v>30043650000</v>
      </c>
      <c r="J334" s="93" t="n">
        <v>96901617000</v>
      </c>
      <c r="L334" s="9">
        <f>IF($A334="","",VALUE($A334&amp;"")*12+VALUE($B334&amp;""))</f>
        <v/>
      </c>
      <c r="M334" s="94">
        <f>IF($A334="",0,$H334*설정!$C$23)</f>
        <v/>
      </c>
      <c r="N334" s="94">
        <f>IF($A334="",0,$I334*설정!$C$23)</f>
        <v/>
      </c>
      <c r="O334" s="94">
        <f>IF($A334="",0,$J334*설정!$C$23)</f>
        <v/>
      </c>
      <c r="P334" s="64">
        <f>IF($A334="","",IFERROR(INDEX(입력옵션!$C$58:$C$68,MATCH($F334&amp;"",입력옵션!$E$58:$E$68,0)),IFERROR(INDEX(입력옵션!$C$58:$C$68,MATCH($G334&amp;"",입력옵션!$F$58:$F$68,0)),$F334&amp;"")))</f>
        <v/>
      </c>
    </row>
    <row r="335">
      <c r="A335" s="92" t="n">
        <v>2025</v>
      </c>
      <c r="B335" s="92" t="n">
        <v>8</v>
      </c>
      <c r="C335" s="92" t="inlineStr">
        <is>
          <t>PF03</t>
        </is>
      </c>
      <c r="D335" s="92" t="inlineStr">
        <is>
          <t>단체(단기)</t>
        </is>
      </c>
      <c r="E335" s="92" t="inlineStr">
        <is>
          <t>PAA</t>
        </is>
      </c>
      <c r="F335" s="92" t="inlineStr">
        <is>
          <t>F00</t>
        </is>
      </c>
      <c r="G335" s="92" t="inlineStr">
        <is>
          <t>기초잔액</t>
        </is>
      </c>
      <c r="H335" s="93" t="n">
        <v>41951978000</v>
      </c>
      <c r="I335" s="93" t="n">
        <v>2391048000</v>
      </c>
      <c r="J335" s="93" t="n">
        <v>0</v>
      </c>
      <c r="L335" s="9">
        <f>IF($A335="","",VALUE($A335&amp;"")*12+VALUE($B335&amp;""))</f>
        <v/>
      </c>
      <c r="M335" s="94">
        <f>IF($A335="",0,$H335*설정!$C$23)</f>
        <v/>
      </c>
      <c r="N335" s="94">
        <f>IF($A335="",0,$I335*설정!$C$23)</f>
        <v/>
      </c>
      <c r="O335" s="94">
        <f>IF($A335="",0,$J335*설정!$C$23)</f>
        <v/>
      </c>
      <c r="P335" s="64">
        <f>IF($A335="","",IFERROR(INDEX(입력옵션!$C$58:$C$68,MATCH($F335&amp;"",입력옵션!$E$58:$E$68,0)),IFERROR(INDEX(입력옵션!$C$58:$C$68,MATCH($G335&amp;"",입력옵션!$F$58:$F$68,0)),$F335&amp;"")))</f>
        <v/>
      </c>
    </row>
    <row r="336">
      <c r="A336" s="92" t="n">
        <v>2025</v>
      </c>
      <c r="B336" s="92" t="n">
        <v>8</v>
      </c>
      <c r="C336" s="92" t="inlineStr">
        <is>
          <t>PF03</t>
        </is>
      </c>
      <c r="D336" s="92" t="inlineStr">
        <is>
          <t>단체(단기)</t>
        </is>
      </c>
      <c r="E336" s="92" t="inlineStr">
        <is>
          <t>PAA</t>
        </is>
      </c>
      <c r="F336" s="92" t="inlineStr">
        <is>
          <t>F10</t>
        </is>
      </c>
      <c r="G336" s="92" t="inlineStr">
        <is>
          <t>신계약 효과</t>
        </is>
      </c>
      <c r="H336" s="93" t="n">
        <v>0</v>
      </c>
      <c r="I336" s="93" t="n">
        <v>0</v>
      </c>
      <c r="J336" s="93" t="n">
        <v>0</v>
      </c>
      <c r="L336" s="9">
        <f>IF($A336="","",VALUE($A336&amp;"")*12+VALUE($B336&amp;""))</f>
        <v/>
      </c>
      <c r="M336" s="94">
        <f>IF($A336="",0,$H336*설정!$C$23)</f>
        <v/>
      </c>
      <c r="N336" s="94">
        <f>IF($A336="",0,$I336*설정!$C$23)</f>
        <v/>
      </c>
      <c r="O336" s="94">
        <f>IF($A336="",0,$J336*설정!$C$23)</f>
        <v/>
      </c>
      <c r="P336" s="64">
        <f>IF($A336="","",IFERROR(INDEX(입력옵션!$C$58:$C$68,MATCH($F336&amp;"",입력옵션!$E$58:$E$68,0)),IFERROR(INDEX(입력옵션!$C$58:$C$68,MATCH($G336&amp;"",입력옵션!$F$58:$F$68,0)),$F336&amp;"")))</f>
        <v/>
      </c>
    </row>
    <row r="337">
      <c r="A337" s="92" t="n">
        <v>2025</v>
      </c>
      <c r="B337" s="92" t="n">
        <v>8</v>
      </c>
      <c r="C337" s="92" t="inlineStr">
        <is>
          <t>PF03</t>
        </is>
      </c>
      <c r="D337" s="92" t="inlineStr">
        <is>
          <t>단체(단기)</t>
        </is>
      </c>
      <c r="E337" s="92" t="inlineStr">
        <is>
          <t>PAA</t>
        </is>
      </c>
      <c r="F337" s="92" t="inlineStr">
        <is>
          <t>F21</t>
        </is>
      </c>
      <c r="G337" s="92" t="inlineStr">
        <is>
          <t>가정변경-사업비</t>
        </is>
      </c>
      <c r="H337" s="93" t="n">
        <v>0</v>
      </c>
      <c r="I337" s="93" t="n">
        <v>0</v>
      </c>
      <c r="J337" s="93" t="n">
        <v>0</v>
      </c>
      <c r="L337" s="9">
        <f>IF($A337="","",VALUE($A337&amp;"")*12+VALUE($B337&amp;""))</f>
        <v/>
      </c>
      <c r="M337" s="94">
        <f>IF($A337="",0,$H337*설정!$C$23)</f>
        <v/>
      </c>
      <c r="N337" s="94">
        <f>IF($A337="",0,$I337*설정!$C$23)</f>
        <v/>
      </c>
      <c r="O337" s="94">
        <f>IF($A337="",0,$J337*설정!$C$23)</f>
        <v/>
      </c>
      <c r="P337" s="64">
        <f>IF($A337="","",IFERROR(INDEX(입력옵션!$C$58:$C$68,MATCH($F337&amp;"",입력옵션!$E$58:$E$68,0)),IFERROR(INDEX(입력옵션!$C$58:$C$68,MATCH($G337&amp;"",입력옵션!$F$58:$F$68,0)),$F337&amp;"")))</f>
        <v/>
      </c>
    </row>
    <row r="338">
      <c r="A338" s="92" t="n">
        <v>2025</v>
      </c>
      <c r="B338" s="92" t="n">
        <v>8</v>
      </c>
      <c r="C338" s="92" t="inlineStr">
        <is>
          <t>PF03</t>
        </is>
      </c>
      <c r="D338" s="92" t="inlineStr">
        <is>
          <t>단체(단기)</t>
        </is>
      </c>
      <c r="E338" s="92" t="inlineStr">
        <is>
          <t>PAA</t>
        </is>
      </c>
      <c r="F338" s="92" t="inlineStr">
        <is>
          <t>F22</t>
        </is>
      </c>
      <c r="G338" s="92" t="inlineStr">
        <is>
          <t>가정변경-기타</t>
        </is>
      </c>
      <c r="H338" s="93" t="n">
        <v>0</v>
      </c>
      <c r="I338" s="93" t="n">
        <v>0</v>
      </c>
      <c r="J338" s="93" t="n">
        <v>0</v>
      </c>
      <c r="L338" s="9">
        <f>IF($A338="","",VALUE($A338&amp;"")*12+VALUE($B338&amp;""))</f>
        <v/>
      </c>
      <c r="M338" s="94">
        <f>IF($A338="",0,$H338*설정!$C$23)</f>
        <v/>
      </c>
      <c r="N338" s="94">
        <f>IF($A338="",0,$I338*설정!$C$23)</f>
        <v/>
      </c>
      <c r="O338" s="94">
        <f>IF($A338="",0,$J338*설정!$C$23)</f>
        <v/>
      </c>
      <c r="P338" s="64">
        <f>IF($A338="","",IFERROR(INDEX(입력옵션!$C$58:$C$68,MATCH($F338&amp;"",입력옵션!$E$58:$E$68,0)),IFERROR(INDEX(입력옵션!$C$58:$C$68,MATCH($G338&amp;"",입력옵션!$F$58:$F$68,0)),$F338&amp;"")))</f>
        <v/>
      </c>
    </row>
    <row r="339">
      <c r="A339" s="92" t="n">
        <v>2025</v>
      </c>
      <c r="B339" s="92" t="n">
        <v>8</v>
      </c>
      <c r="C339" s="92" t="inlineStr">
        <is>
          <t>PF03</t>
        </is>
      </c>
      <c r="D339" s="92" t="inlineStr">
        <is>
          <t>단체(단기)</t>
        </is>
      </c>
      <c r="E339" s="92" t="inlineStr">
        <is>
          <t>PAA</t>
        </is>
      </c>
      <c r="F339" s="92" t="inlineStr">
        <is>
          <t>F31</t>
        </is>
      </c>
      <c r="G339" s="92" t="inlineStr">
        <is>
          <t>경험조정-취득현금흐름</t>
        </is>
      </c>
      <c r="H339" s="93" t="n">
        <v>0</v>
      </c>
      <c r="I339" s="93" t="n">
        <v>0</v>
      </c>
      <c r="J339" s="93" t="n">
        <v>0</v>
      </c>
      <c r="L339" s="9">
        <f>IF($A339="","",VALUE($A339&amp;"")*12+VALUE($B339&amp;""))</f>
        <v/>
      </c>
      <c r="M339" s="94">
        <f>IF($A339="",0,$H339*설정!$C$23)</f>
        <v/>
      </c>
      <c r="N339" s="94">
        <f>IF($A339="",0,$I339*설정!$C$23)</f>
        <v/>
      </c>
      <c r="O339" s="94">
        <f>IF($A339="",0,$J339*설정!$C$23)</f>
        <v/>
      </c>
      <c r="P339" s="64">
        <f>IF($A339="","",IFERROR(INDEX(입력옵션!$C$58:$C$68,MATCH($F339&amp;"",입력옵션!$E$58:$E$68,0)),IFERROR(INDEX(입력옵션!$C$58:$C$68,MATCH($G339&amp;"",입력옵션!$F$58:$F$68,0)),$F339&amp;"")))</f>
        <v/>
      </c>
    </row>
    <row r="340">
      <c r="A340" s="92" t="n">
        <v>2025</v>
      </c>
      <c r="B340" s="92" t="n">
        <v>8</v>
      </c>
      <c r="C340" s="92" t="inlineStr">
        <is>
          <t>PF03</t>
        </is>
      </c>
      <c r="D340" s="92" t="inlineStr">
        <is>
          <t>단체(단기)</t>
        </is>
      </c>
      <c r="E340" s="92" t="inlineStr">
        <is>
          <t>PAA</t>
        </is>
      </c>
      <c r="F340" s="92" t="inlineStr">
        <is>
          <t>F32</t>
        </is>
      </c>
      <c r="G340" s="92" t="inlineStr">
        <is>
          <t>경험조정-보험료 등</t>
        </is>
      </c>
      <c r="H340" s="93" t="n">
        <v>0</v>
      </c>
      <c r="I340" s="93" t="n">
        <v>0</v>
      </c>
      <c r="J340" s="93" t="n">
        <v>0</v>
      </c>
      <c r="L340" s="9">
        <f>IF($A340="","",VALUE($A340&amp;"")*12+VALUE($B340&amp;""))</f>
        <v/>
      </c>
      <c r="M340" s="94">
        <f>IF($A340="",0,$H340*설정!$C$23)</f>
        <v/>
      </c>
      <c r="N340" s="94">
        <f>IF($A340="",0,$I340*설정!$C$23)</f>
        <v/>
      </c>
      <c r="O340" s="94">
        <f>IF($A340="",0,$J340*설정!$C$23)</f>
        <v/>
      </c>
      <c r="P340" s="64">
        <f>IF($A340="","",IFERROR(INDEX(입력옵션!$C$58:$C$68,MATCH($F340&amp;"",입력옵션!$E$58:$E$68,0)),IFERROR(INDEX(입력옵션!$C$58:$C$68,MATCH($G340&amp;"",입력옵션!$F$58:$F$68,0)),$F340&amp;"")))</f>
        <v/>
      </c>
    </row>
    <row r="341">
      <c r="A341" s="92" t="n">
        <v>2025</v>
      </c>
      <c r="B341" s="92" t="n">
        <v>8</v>
      </c>
      <c r="C341" s="92" t="inlineStr">
        <is>
          <t>PF03</t>
        </is>
      </c>
      <c r="D341" s="92" t="inlineStr">
        <is>
          <t>단체(단기)</t>
        </is>
      </c>
      <c r="E341" s="92" t="inlineStr">
        <is>
          <t>PAA</t>
        </is>
      </c>
      <c r="F341" s="92" t="inlineStr">
        <is>
          <t>F40</t>
        </is>
      </c>
      <c r="G341" s="92" t="inlineStr">
        <is>
          <t>보험금융비용(이자부리)</t>
        </is>
      </c>
      <c r="H341" s="93" t="n">
        <v>0</v>
      </c>
      <c r="I341" s="93" t="n">
        <v>0</v>
      </c>
      <c r="J341" s="93" t="n">
        <v>0</v>
      </c>
      <c r="L341" s="9">
        <f>IF($A341="","",VALUE($A341&amp;"")*12+VALUE($B341&amp;""))</f>
        <v/>
      </c>
      <c r="M341" s="94">
        <f>IF($A341="",0,$H341*설정!$C$23)</f>
        <v/>
      </c>
      <c r="N341" s="94">
        <f>IF($A341="",0,$I341*설정!$C$23)</f>
        <v/>
      </c>
      <c r="O341" s="94">
        <f>IF($A341="",0,$J341*설정!$C$23)</f>
        <v/>
      </c>
      <c r="P341" s="64">
        <f>IF($A341="","",IFERROR(INDEX(입력옵션!$C$58:$C$68,MATCH($F341&amp;"",입력옵션!$E$58:$E$68,0)),IFERROR(INDEX(입력옵션!$C$58:$C$68,MATCH($G341&amp;"",입력옵션!$F$58:$F$68,0)),$F341&amp;"")))</f>
        <v/>
      </c>
    </row>
    <row r="342">
      <c r="A342" s="92" t="n">
        <v>2025</v>
      </c>
      <c r="B342" s="92" t="n">
        <v>8</v>
      </c>
      <c r="C342" s="92" t="inlineStr">
        <is>
          <t>PF03</t>
        </is>
      </c>
      <c r="D342" s="92" t="inlineStr">
        <is>
          <t>단체(단기)</t>
        </is>
      </c>
      <c r="E342" s="92" t="inlineStr">
        <is>
          <t>PAA</t>
        </is>
      </c>
      <c r="F342" s="92" t="inlineStr">
        <is>
          <t>F51</t>
        </is>
      </c>
      <c r="G342" s="92" t="inlineStr">
        <is>
          <t>CSM 상각</t>
        </is>
      </c>
      <c r="H342" s="93" t="n">
        <v>0</v>
      </c>
      <c r="I342" s="93" t="n">
        <v>0</v>
      </c>
      <c r="J342" s="93" t="n">
        <v>0</v>
      </c>
      <c r="L342" s="9">
        <f>IF($A342="","",VALUE($A342&amp;"")*12+VALUE($B342&amp;""))</f>
        <v/>
      </c>
      <c r="M342" s="94">
        <f>IF($A342="",0,$H342*설정!$C$23)</f>
        <v/>
      </c>
      <c r="N342" s="94">
        <f>IF($A342="",0,$I342*설정!$C$23)</f>
        <v/>
      </c>
      <c r="O342" s="94">
        <f>IF($A342="",0,$J342*설정!$C$23)</f>
        <v/>
      </c>
      <c r="P342" s="64">
        <f>IF($A342="","",IFERROR(INDEX(입력옵션!$C$58:$C$68,MATCH($F342&amp;"",입력옵션!$E$58:$E$68,0)),IFERROR(INDEX(입력옵션!$C$58:$C$68,MATCH($G342&amp;"",입력옵션!$F$58:$F$68,0)),$F342&amp;"")))</f>
        <v/>
      </c>
    </row>
    <row r="343">
      <c r="A343" s="92" t="n">
        <v>2025</v>
      </c>
      <c r="B343" s="92" t="n">
        <v>8</v>
      </c>
      <c r="C343" s="92" t="inlineStr">
        <is>
          <t>PF03</t>
        </is>
      </c>
      <c r="D343" s="92" t="inlineStr">
        <is>
          <t>단체(단기)</t>
        </is>
      </c>
      <c r="E343" s="92" t="inlineStr">
        <is>
          <t>PAA</t>
        </is>
      </c>
      <c r="F343" s="92" t="inlineStr">
        <is>
          <t>F52</t>
        </is>
      </c>
      <c r="G343" s="92" t="inlineStr">
        <is>
          <t>RA 해제</t>
        </is>
      </c>
      <c r="H343" s="93" t="n">
        <v>0</v>
      </c>
      <c r="I343" s="93" t="n">
        <v>-14346000</v>
      </c>
      <c r="J343" s="93" t="n">
        <v>0</v>
      </c>
      <c r="L343" s="9">
        <f>IF($A343="","",VALUE($A343&amp;"")*12+VALUE($B343&amp;""))</f>
        <v/>
      </c>
      <c r="M343" s="94">
        <f>IF($A343="",0,$H343*설정!$C$23)</f>
        <v/>
      </c>
      <c r="N343" s="94">
        <f>IF($A343="",0,$I343*설정!$C$23)</f>
        <v/>
      </c>
      <c r="O343" s="94">
        <f>IF($A343="",0,$J343*설정!$C$23)</f>
        <v/>
      </c>
      <c r="P343" s="64">
        <f>IF($A343="","",IFERROR(INDEX(입력옵션!$C$58:$C$68,MATCH($F343&amp;"",입력옵션!$E$58:$E$68,0)),IFERROR(INDEX(입력옵션!$C$58:$C$68,MATCH($G343&amp;"",입력옵션!$F$58:$F$68,0)),$F343&amp;"")))</f>
        <v/>
      </c>
    </row>
    <row r="344">
      <c r="A344" s="92" t="n">
        <v>2025</v>
      </c>
      <c r="B344" s="92" t="n">
        <v>8</v>
      </c>
      <c r="C344" s="92" t="inlineStr">
        <is>
          <t>PF03</t>
        </is>
      </c>
      <c r="D344" s="92" t="inlineStr">
        <is>
          <t>단체(단기)</t>
        </is>
      </c>
      <c r="E344" s="92" t="inlineStr">
        <is>
          <t>PAA</t>
        </is>
      </c>
      <c r="F344" s="92" t="inlineStr">
        <is>
          <t>F60</t>
        </is>
      </c>
      <c r="G344" s="92" t="inlineStr">
        <is>
          <t>현금흐름 및 기타</t>
        </is>
      </c>
      <c r="H344" s="93" t="n">
        <v>35584000</v>
      </c>
      <c r="I344" s="93" t="n">
        <v>26790000</v>
      </c>
      <c r="J344" s="93" t="n">
        <v>0</v>
      </c>
      <c r="L344" s="9">
        <f>IF($A344="","",VALUE($A344&amp;"")*12+VALUE($B344&amp;""))</f>
        <v/>
      </c>
      <c r="M344" s="94">
        <f>IF($A344="",0,$H344*설정!$C$23)</f>
        <v/>
      </c>
      <c r="N344" s="94">
        <f>IF($A344="",0,$I344*설정!$C$23)</f>
        <v/>
      </c>
      <c r="O344" s="94">
        <f>IF($A344="",0,$J344*설정!$C$23)</f>
        <v/>
      </c>
      <c r="P344" s="64">
        <f>IF($A344="","",IFERROR(INDEX(입력옵션!$C$58:$C$68,MATCH($F344&amp;"",입력옵션!$E$58:$E$68,0)),IFERROR(INDEX(입력옵션!$C$58:$C$68,MATCH($G344&amp;"",입력옵션!$F$58:$F$68,0)),$F344&amp;"")))</f>
        <v/>
      </c>
    </row>
    <row r="345">
      <c r="A345" s="92" t="n">
        <v>2025</v>
      </c>
      <c r="B345" s="92" t="n">
        <v>8</v>
      </c>
      <c r="C345" s="92" t="inlineStr">
        <is>
          <t>PF03</t>
        </is>
      </c>
      <c r="D345" s="92" t="inlineStr">
        <is>
          <t>단체(단기)</t>
        </is>
      </c>
      <c r="E345" s="92" t="inlineStr">
        <is>
          <t>PAA</t>
        </is>
      </c>
      <c r="F345" s="92" t="inlineStr">
        <is>
          <t>F99</t>
        </is>
      </c>
      <c r="G345" s="92" t="inlineStr">
        <is>
          <t>기말잔액</t>
        </is>
      </c>
      <c r="H345" s="93" t="n">
        <v>41987562000</v>
      </c>
      <c r="I345" s="93" t="n">
        <v>2403492000</v>
      </c>
      <c r="J345" s="93" t="n">
        <v>0</v>
      </c>
      <c r="L345" s="9">
        <f>IF($A345="","",VALUE($A345&amp;"")*12+VALUE($B345&amp;""))</f>
        <v/>
      </c>
      <c r="M345" s="94">
        <f>IF($A345="",0,$H345*설정!$C$23)</f>
        <v/>
      </c>
      <c r="N345" s="94">
        <f>IF($A345="",0,$I345*설정!$C$23)</f>
        <v/>
      </c>
      <c r="O345" s="94">
        <f>IF($A345="",0,$J345*설정!$C$23)</f>
        <v/>
      </c>
      <c r="P345" s="64">
        <f>IF($A345="","",IFERROR(INDEX(입력옵션!$C$58:$C$68,MATCH($F345&amp;"",입력옵션!$E$58:$E$68,0)),IFERROR(INDEX(입력옵션!$C$58:$C$68,MATCH($G345&amp;"",입력옵션!$F$58:$F$68,0)),$F345&amp;"")))</f>
        <v/>
      </c>
    </row>
    <row r="346">
      <c r="A346" s="92" t="n">
        <v>2025</v>
      </c>
      <c r="B346" s="92" t="n">
        <v>8</v>
      </c>
      <c r="C346" s="92" t="inlineStr">
        <is>
          <t>PF04</t>
        </is>
      </c>
      <c r="D346" s="92" t="inlineStr">
        <is>
          <t>변액</t>
        </is>
      </c>
      <c r="E346" s="92" t="inlineStr">
        <is>
          <t>VFA</t>
        </is>
      </c>
      <c r="F346" s="92" t="inlineStr">
        <is>
          <t>F00</t>
        </is>
      </c>
      <c r="G346" s="92" t="inlineStr">
        <is>
          <t>기초잔액</t>
        </is>
      </c>
      <c r="H346" s="93" t="n">
        <v>314639835000</v>
      </c>
      <c r="I346" s="93" t="n">
        <v>15541812000</v>
      </c>
      <c r="J346" s="93" t="n">
        <v>50279440000</v>
      </c>
      <c r="L346" s="9">
        <f>IF($A346="","",VALUE($A346&amp;"")*12+VALUE($B346&amp;""))</f>
        <v/>
      </c>
      <c r="M346" s="94">
        <f>IF($A346="",0,$H346*설정!$C$23)</f>
        <v/>
      </c>
      <c r="N346" s="94">
        <f>IF($A346="",0,$I346*설정!$C$23)</f>
        <v/>
      </c>
      <c r="O346" s="94">
        <f>IF($A346="",0,$J346*설정!$C$23)</f>
        <v/>
      </c>
      <c r="P346" s="64">
        <f>IF($A346="","",IFERROR(INDEX(입력옵션!$C$58:$C$68,MATCH($F346&amp;"",입력옵션!$E$58:$E$68,0)),IFERROR(INDEX(입력옵션!$C$58:$C$68,MATCH($G346&amp;"",입력옵션!$F$58:$F$68,0)),$F346&amp;"")))</f>
        <v/>
      </c>
    </row>
    <row r="347">
      <c r="A347" s="92" t="n">
        <v>2025</v>
      </c>
      <c r="B347" s="92" t="n">
        <v>8</v>
      </c>
      <c r="C347" s="92" t="inlineStr">
        <is>
          <t>PF04</t>
        </is>
      </c>
      <c r="D347" s="92" t="inlineStr">
        <is>
          <t>변액</t>
        </is>
      </c>
      <c r="E347" s="92" t="inlineStr">
        <is>
          <t>VFA</t>
        </is>
      </c>
      <c r="F347" s="92" t="inlineStr">
        <is>
          <t>F10</t>
        </is>
      </c>
      <c r="G347" s="92" t="inlineStr">
        <is>
          <t>신계약 효과</t>
        </is>
      </c>
      <c r="H347" s="93" t="n">
        <v>-770141000</v>
      </c>
      <c r="I347" s="93" t="n">
        <v>154028000</v>
      </c>
      <c r="J347" s="93" t="n">
        <v>616112000</v>
      </c>
      <c r="L347" s="9">
        <f>IF($A347="","",VALUE($A347&amp;"")*12+VALUE($B347&amp;""))</f>
        <v/>
      </c>
      <c r="M347" s="94">
        <f>IF($A347="",0,$H347*설정!$C$23)</f>
        <v/>
      </c>
      <c r="N347" s="94">
        <f>IF($A347="",0,$I347*설정!$C$23)</f>
        <v/>
      </c>
      <c r="O347" s="94">
        <f>IF($A347="",0,$J347*설정!$C$23)</f>
        <v/>
      </c>
      <c r="P347" s="64">
        <f>IF($A347="","",IFERROR(INDEX(입력옵션!$C$58:$C$68,MATCH($F347&amp;"",입력옵션!$E$58:$E$68,0)),IFERROR(INDEX(입력옵션!$C$58:$C$68,MATCH($G347&amp;"",입력옵션!$F$58:$F$68,0)),$F347&amp;"")))</f>
        <v/>
      </c>
    </row>
    <row r="348">
      <c r="A348" s="92" t="n">
        <v>2025</v>
      </c>
      <c r="B348" s="92" t="n">
        <v>8</v>
      </c>
      <c r="C348" s="92" t="inlineStr">
        <is>
          <t>PF04</t>
        </is>
      </c>
      <c r="D348" s="92" t="inlineStr">
        <is>
          <t>변액</t>
        </is>
      </c>
      <c r="E348" s="92" t="inlineStr">
        <is>
          <t>VFA</t>
        </is>
      </c>
      <c r="F348" s="92" t="inlineStr">
        <is>
          <t>F21</t>
        </is>
      </c>
      <c r="G348" s="92" t="inlineStr">
        <is>
          <t>가정변경-사업비</t>
        </is>
      </c>
      <c r="H348" s="93" t="n">
        <v>0</v>
      </c>
      <c r="I348" s="93" t="n">
        <v>0</v>
      </c>
      <c r="J348" s="93" t="n">
        <v>0</v>
      </c>
      <c r="L348" s="9">
        <f>IF($A348="","",VALUE($A348&amp;"")*12+VALUE($B348&amp;""))</f>
        <v/>
      </c>
      <c r="M348" s="94">
        <f>IF($A348="",0,$H348*설정!$C$23)</f>
        <v/>
      </c>
      <c r="N348" s="94">
        <f>IF($A348="",0,$I348*설정!$C$23)</f>
        <v/>
      </c>
      <c r="O348" s="94">
        <f>IF($A348="",0,$J348*설정!$C$23)</f>
        <v/>
      </c>
      <c r="P348" s="64">
        <f>IF($A348="","",IFERROR(INDEX(입력옵션!$C$58:$C$68,MATCH($F348&amp;"",입력옵션!$E$58:$E$68,0)),IFERROR(INDEX(입력옵션!$C$58:$C$68,MATCH($G348&amp;"",입력옵션!$F$58:$F$68,0)),$F348&amp;"")))</f>
        <v/>
      </c>
    </row>
    <row r="349">
      <c r="A349" s="92" t="n">
        <v>2025</v>
      </c>
      <c r="B349" s="92" t="n">
        <v>8</v>
      </c>
      <c r="C349" s="92" t="inlineStr">
        <is>
          <t>PF04</t>
        </is>
      </c>
      <c r="D349" s="92" t="inlineStr">
        <is>
          <t>변액</t>
        </is>
      </c>
      <c r="E349" s="92" t="inlineStr">
        <is>
          <t>VFA</t>
        </is>
      </c>
      <c r="F349" s="92" t="inlineStr">
        <is>
          <t>F22</t>
        </is>
      </c>
      <c r="G349" s="92" t="inlineStr">
        <is>
          <t>가정변경-기타</t>
        </is>
      </c>
      <c r="H349" s="93" t="n">
        <v>0</v>
      </c>
      <c r="I349" s="93" t="n">
        <v>0</v>
      </c>
      <c r="J349" s="93" t="n">
        <v>0</v>
      </c>
      <c r="L349" s="9">
        <f>IF($A349="","",VALUE($A349&amp;"")*12+VALUE($B349&amp;""))</f>
        <v/>
      </c>
      <c r="M349" s="94">
        <f>IF($A349="",0,$H349*설정!$C$23)</f>
        <v/>
      </c>
      <c r="N349" s="94">
        <f>IF($A349="",0,$I349*설정!$C$23)</f>
        <v/>
      </c>
      <c r="O349" s="94">
        <f>IF($A349="",0,$J349*설정!$C$23)</f>
        <v/>
      </c>
      <c r="P349" s="64">
        <f>IF($A349="","",IFERROR(INDEX(입력옵션!$C$58:$C$68,MATCH($F349&amp;"",입력옵션!$E$58:$E$68,0)),IFERROR(INDEX(입력옵션!$C$58:$C$68,MATCH($G349&amp;"",입력옵션!$F$58:$F$68,0)),$F349&amp;"")))</f>
        <v/>
      </c>
    </row>
    <row r="350">
      <c r="A350" s="92" t="n">
        <v>2025</v>
      </c>
      <c r="B350" s="92" t="n">
        <v>8</v>
      </c>
      <c r="C350" s="92" t="inlineStr">
        <is>
          <t>PF04</t>
        </is>
      </c>
      <c r="D350" s="92" t="inlineStr">
        <is>
          <t>변액</t>
        </is>
      </c>
      <c r="E350" s="92" t="inlineStr">
        <is>
          <t>VFA</t>
        </is>
      </c>
      <c r="F350" s="92" t="inlineStr">
        <is>
          <t>F31</t>
        </is>
      </c>
      <c r="G350" s="92" t="inlineStr">
        <is>
          <t>경험조정-취득현금흐름</t>
        </is>
      </c>
      <c r="H350" s="93" t="n">
        <v>0</v>
      </c>
      <c r="I350" s="93" t="n">
        <v>0</v>
      </c>
      <c r="J350" s="93" t="n">
        <v>-3144000</v>
      </c>
      <c r="L350" s="9">
        <f>IF($A350="","",VALUE($A350&amp;"")*12+VALUE($B350&amp;""))</f>
        <v/>
      </c>
      <c r="M350" s="94">
        <f>IF($A350="",0,$H350*설정!$C$23)</f>
        <v/>
      </c>
      <c r="N350" s="94">
        <f>IF($A350="",0,$I350*설정!$C$23)</f>
        <v/>
      </c>
      <c r="O350" s="94">
        <f>IF($A350="",0,$J350*설정!$C$23)</f>
        <v/>
      </c>
      <c r="P350" s="64">
        <f>IF($A350="","",IFERROR(INDEX(입력옵션!$C$58:$C$68,MATCH($F350&amp;"",입력옵션!$E$58:$E$68,0)),IFERROR(INDEX(입력옵션!$C$58:$C$68,MATCH($G350&amp;"",입력옵션!$F$58:$F$68,0)),$F350&amp;"")))</f>
        <v/>
      </c>
    </row>
    <row r="351">
      <c r="A351" s="92" t="n">
        <v>2025</v>
      </c>
      <c r="B351" s="92" t="n">
        <v>8</v>
      </c>
      <c r="C351" s="92" t="inlineStr">
        <is>
          <t>PF04</t>
        </is>
      </c>
      <c r="D351" s="92" t="inlineStr">
        <is>
          <t>변액</t>
        </is>
      </c>
      <c r="E351" s="92" t="inlineStr">
        <is>
          <t>VFA</t>
        </is>
      </c>
      <c r="F351" s="92" t="inlineStr">
        <is>
          <t>F32</t>
        </is>
      </c>
      <c r="G351" s="92" t="inlineStr">
        <is>
          <t>경험조정-보험료 등</t>
        </is>
      </c>
      <c r="H351" s="93" t="n">
        <v>0</v>
      </c>
      <c r="I351" s="93" t="n">
        <v>0</v>
      </c>
      <c r="J351" s="93" t="n">
        <v>-151722000</v>
      </c>
      <c r="L351" s="9">
        <f>IF($A351="","",VALUE($A351&amp;"")*12+VALUE($B351&amp;""))</f>
        <v/>
      </c>
      <c r="M351" s="94">
        <f>IF($A351="",0,$H351*설정!$C$23)</f>
        <v/>
      </c>
      <c r="N351" s="94">
        <f>IF($A351="",0,$I351*설정!$C$23)</f>
        <v/>
      </c>
      <c r="O351" s="94">
        <f>IF($A351="",0,$J351*설정!$C$23)</f>
        <v/>
      </c>
      <c r="P351" s="64">
        <f>IF($A351="","",IFERROR(INDEX(입력옵션!$C$58:$C$68,MATCH($F351&amp;"",입력옵션!$E$58:$E$68,0)),IFERROR(INDEX(입력옵션!$C$58:$C$68,MATCH($G351&amp;"",입력옵션!$F$58:$F$68,0)),$F351&amp;"")))</f>
        <v/>
      </c>
    </row>
    <row r="352">
      <c r="A352" s="92" t="n">
        <v>2025</v>
      </c>
      <c r="B352" s="92" t="n">
        <v>8</v>
      </c>
      <c r="C352" s="92" t="inlineStr">
        <is>
          <t>PF04</t>
        </is>
      </c>
      <c r="D352" s="92" t="inlineStr">
        <is>
          <t>변액</t>
        </is>
      </c>
      <c r="E352" s="92" t="inlineStr">
        <is>
          <t>VFA</t>
        </is>
      </c>
      <c r="F352" s="92" t="inlineStr">
        <is>
          <t>F40</t>
        </is>
      </c>
      <c r="G352" s="92" t="inlineStr">
        <is>
          <t>보험금융비용(이자부리)</t>
        </is>
      </c>
      <c r="H352" s="93" t="n">
        <v>786600000</v>
      </c>
      <c r="I352" s="93" t="n">
        <v>31084000</v>
      </c>
      <c r="J352" s="93" t="n">
        <v>125699000</v>
      </c>
      <c r="L352" s="9">
        <f>IF($A352="","",VALUE($A352&amp;"")*12+VALUE($B352&amp;""))</f>
        <v/>
      </c>
      <c r="M352" s="94">
        <f>IF($A352="",0,$H352*설정!$C$23)</f>
        <v/>
      </c>
      <c r="N352" s="94">
        <f>IF($A352="",0,$I352*설정!$C$23)</f>
        <v/>
      </c>
      <c r="O352" s="94">
        <f>IF($A352="",0,$J352*설정!$C$23)</f>
        <v/>
      </c>
      <c r="P352" s="64">
        <f>IF($A352="","",IFERROR(INDEX(입력옵션!$C$58:$C$68,MATCH($F352&amp;"",입력옵션!$E$58:$E$68,0)),IFERROR(INDEX(입력옵션!$C$58:$C$68,MATCH($G352&amp;"",입력옵션!$F$58:$F$68,0)),$F352&amp;"")))</f>
        <v/>
      </c>
    </row>
    <row r="353">
      <c r="A353" s="92" t="n">
        <v>2025</v>
      </c>
      <c r="B353" s="92" t="n">
        <v>8</v>
      </c>
      <c r="C353" s="92" t="inlineStr">
        <is>
          <t>PF04</t>
        </is>
      </c>
      <c r="D353" s="92" t="inlineStr">
        <is>
          <t>변액</t>
        </is>
      </c>
      <c r="E353" s="92" t="inlineStr">
        <is>
          <t>VFA</t>
        </is>
      </c>
      <c r="F353" s="92" t="inlineStr">
        <is>
          <t>F51</t>
        </is>
      </c>
      <c r="G353" s="92" t="inlineStr">
        <is>
          <t>CSM 상각</t>
        </is>
      </c>
      <c r="H353" s="93" t="n">
        <v>0</v>
      </c>
      <c r="I353" s="93" t="n">
        <v>0</v>
      </c>
      <c r="J353" s="93" t="n">
        <v>-452515000</v>
      </c>
      <c r="L353" s="9">
        <f>IF($A353="","",VALUE($A353&amp;"")*12+VALUE($B353&amp;""))</f>
        <v/>
      </c>
      <c r="M353" s="94">
        <f>IF($A353="",0,$H353*설정!$C$23)</f>
        <v/>
      </c>
      <c r="N353" s="94">
        <f>IF($A353="",0,$I353*설정!$C$23)</f>
        <v/>
      </c>
      <c r="O353" s="94">
        <f>IF($A353="",0,$J353*설정!$C$23)</f>
        <v/>
      </c>
      <c r="P353" s="64">
        <f>IF($A353="","",IFERROR(INDEX(입력옵션!$C$58:$C$68,MATCH($F353&amp;"",입력옵션!$E$58:$E$68,0)),IFERROR(INDEX(입력옵션!$C$58:$C$68,MATCH($G353&amp;"",입력옵션!$F$58:$F$68,0)),$F353&amp;"")))</f>
        <v/>
      </c>
    </row>
    <row r="354">
      <c r="A354" s="92" t="n">
        <v>2025</v>
      </c>
      <c r="B354" s="92" t="n">
        <v>8</v>
      </c>
      <c r="C354" s="92" t="inlineStr">
        <is>
          <t>PF04</t>
        </is>
      </c>
      <c r="D354" s="92" t="inlineStr">
        <is>
          <t>변액</t>
        </is>
      </c>
      <c r="E354" s="92" t="inlineStr">
        <is>
          <t>VFA</t>
        </is>
      </c>
      <c r="F354" s="92" t="inlineStr">
        <is>
          <t>F52</t>
        </is>
      </c>
      <c r="G354" s="92" t="inlineStr">
        <is>
          <t>RA 해제</t>
        </is>
      </c>
      <c r="H354" s="93" t="n">
        <v>0</v>
      </c>
      <c r="I354" s="93" t="n">
        <v>-93251000</v>
      </c>
      <c r="J354" s="93" t="n">
        <v>0</v>
      </c>
      <c r="L354" s="9">
        <f>IF($A354="","",VALUE($A354&amp;"")*12+VALUE($B354&amp;""))</f>
        <v/>
      </c>
      <c r="M354" s="94">
        <f>IF($A354="",0,$H354*설정!$C$23)</f>
        <v/>
      </c>
      <c r="N354" s="94">
        <f>IF($A354="",0,$I354*설정!$C$23)</f>
        <v/>
      </c>
      <c r="O354" s="94">
        <f>IF($A354="",0,$J354*설정!$C$23)</f>
        <v/>
      </c>
      <c r="P354" s="64">
        <f>IF($A354="","",IFERROR(INDEX(입력옵션!$C$58:$C$68,MATCH($F354&amp;"",입력옵션!$E$58:$E$68,0)),IFERROR(INDEX(입력옵션!$C$58:$C$68,MATCH($G354&amp;"",입력옵션!$F$58:$F$68,0)),$F354&amp;"")))</f>
        <v/>
      </c>
    </row>
    <row r="355">
      <c r="A355" s="92" t="n">
        <v>2025</v>
      </c>
      <c r="B355" s="92" t="n">
        <v>8</v>
      </c>
      <c r="C355" s="92" t="inlineStr">
        <is>
          <t>PF04</t>
        </is>
      </c>
      <c r="D355" s="92" t="inlineStr">
        <is>
          <t>변액</t>
        </is>
      </c>
      <c r="E355" s="92" t="inlineStr">
        <is>
          <t>VFA</t>
        </is>
      </c>
      <c r="F355" s="92" t="inlineStr">
        <is>
          <t>F60</t>
        </is>
      </c>
      <c r="G355" s="92" t="inlineStr">
        <is>
          <t>현금흐름 및 기타</t>
        </is>
      </c>
      <c r="H355" s="93" t="n">
        <v>250421000</v>
      </c>
      <c r="I355" s="93" t="n">
        <v>-10975000</v>
      </c>
      <c r="J355" s="93" t="n">
        <v>0</v>
      </c>
      <c r="L355" s="9">
        <f>IF($A355="","",VALUE($A355&amp;"")*12+VALUE($B355&amp;""))</f>
        <v/>
      </c>
      <c r="M355" s="94">
        <f>IF($A355="",0,$H355*설정!$C$23)</f>
        <v/>
      </c>
      <c r="N355" s="94">
        <f>IF($A355="",0,$I355*설정!$C$23)</f>
        <v/>
      </c>
      <c r="O355" s="94">
        <f>IF($A355="",0,$J355*설정!$C$23)</f>
        <v/>
      </c>
      <c r="P355" s="64">
        <f>IF($A355="","",IFERROR(INDEX(입력옵션!$C$58:$C$68,MATCH($F355&amp;"",입력옵션!$E$58:$E$68,0)),IFERROR(INDEX(입력옵션!$C$58:$C$68,MATCH($G355&amp;"",입력옵션!$F$58:$F$68,0)),$F355&amp;"")))</f>
        <v/>
      </c>
    </row>
    <row r="356">
      <c r="A356" s="92" t="n">
        <v>2025</v>
      </c>
      <c r="B356" s="92" t="n">
        <v>8</v>
      </c>
      <c r="C356" s="92" t="inlineStr">
        <is>
          <t>PF04</t>
        </is>
      </c>
      <c r="D356" s="92" t="inlineStr">
        <is>
          <t>변액</t>
        </is>
      </c>
      <c r="E356" s="92" t="inlineStr">
        <is>
          <t>VFA</t>
        </is>
      </c>
      <c r="F356" s="92" t="inlineStr">
        <is>
          <t>F99</t>
        </is>
      </c>
      <c r="G356" s="92" t="inlineStr">
        <is>
          <t>기말잔액</t>
        </is>
      </c>
      <c r="H356" s="93" t="n">
        <v>314906715000</v>
      </c>
      <c r="I356" s="93" t="n">
        <v>15622698000</v>
      </c>
      <c r="J356" s="93" t="n">
        <v>50413870000</v>
      </c>
      <c r="L356" s="9">
        <f>IF($A356="","",VALUE($A356&amp;"")*12+VALUE($B356&amp;""))</f>
        <v/>
      </c>
      <c r="M356" s="94">
        <f>IF($A356="",0,$H356*설정!$C$23)</f>
        <v/>
      </c>
      <c r="N356" s="94">
        <f>IF($A356="",0,$I356*설정!$C$23)</f>
        <v/>
      </c>
      <c r="O356" s="94">
        <f>IF($A356="",0,$J356*설정!$C$23)</f>
        <v/>
      </c>
      <c r="P356" s="64">
        <f>IF($A356="","",IFERROR(INDEX(입력옵션!$C$58:$C$68,MATCH($F356&amp;"",입력옵션!$E$58:$E$68,0)),IFERROR(INDEX(입력옵션!$C$58:$C$68,MATCH($G356&amp;"",입력옵션!$F$58:$F$68,0)),$F356&amp;"")))</f>
        <v/>
      </c>
    </row>
    <row r="357">
      <c r="A357" s="92" t="n">
        <v>2025</v>
      </c>
      <c r="B357" s="92" t="n">
        <v>9</v>
      </c>
      <c r="C357" s="92" t="inlineStr">
        <is>
          <t>PF01</t>
        </is>
      </c>
      <c r="D357" s="92" t="inlineStr">
        <is>
          <t>보장성</t>
        </is>
      </c>
      <c r="E357" s="92" t="inlineStr">
        <is>
          <t>GMM</t>
        </is>
      </c>
      <c r="F357" s="92" t="inlineStr">
        <is>
          <t>F00</t>
        </is>
      </c>
      <c r="G357" s="92" t="inlineStr">
        <is>
          <t>기초잔액</t>
        </is>
      </c>
      <c r="H357" s="93" t="n">
        <v>1049689050000</v>
      </c>
      <c r="I357" s="93" t="n">
        <v>72104760000</v>
      </c>
      <c r="J357" s="93" t="n">
        <v>240773549000</v>
      </c>
      <c r="L357" s="9">
        <f>IF($A357="","",VALUE($A357&amp;"")*12+VALUE($B357&amp;""))</f>
        <v/>
      </c>
      <c r="M357" s="94">
        <f>IF($A357="",0,$H357*설정!$C$23)</f>
        <v/>
      </c>
      <c r="N357" s="94">
        <f>IF($A357="",0,$I357*설정!$C$23)</f>
        <v/>
      </c>
      <c r="O357" s="94">
        <f>IF($A357="",0,$J357*설정!$C$23)</f>
        <v/>
      </c>
      <c r="P357" s="64">
        <f>IF($A357="","",IFERROR(INDEX(입력옵션!$C$58:$C$68,MATCH($F357&amp;"",입력옵션!$E$58:$E$68,0)),IFERROR(INDEX(입력옵션!$C$58:$C$68,MATCH($G357&amp;"",입력옵션!$F$58:$F$68,0)),$F357&amp;"")))</f>
        <v/>
      </c>
    </row>
    <row r="358">
      <c r="A358" s="92" t="n">
        <v>2025</v>
      </c>
      <c r="B358" s="92" t="n">
        <v>9</v>
      </c>
      <c r="C358" s="92" t="inlineStr">
        <is>
          <t>PF01</t>
        </is>
      </c>
      <c r="D358" s="92" t="inlineStr">
        <is>
          <t>보장성</t>
        </is>
      </c>
      <c r="E358" s="92" t="inlineStr">
        <is>
          <t>GMM</t>
        </is>
      </c>
      <c r="F358" s="92" t="inlineStr">
        <is>
          <t>F10</t>
        </is>
      </c>
      <c r="G358" s="92" t="inlineStr">
        <is>
          <t>신계약 효과</t>
        </is>
      </c>
      <c r="H358" s="93" t="n">
        <v>-3777332000</v>
      </c>
      <c r="I358" s="93" t="n">
        <v>755466000</v>
      </c>
      <c r="J358" s="93" t="n">
        <v>3021865000</v>
      </c>
      <c r="L358" s="9">
        <f>IF($A358="","",VALUE($A358&amp;"")*12+VALUE($B358&amp;""))</f>
        <v/>
      </c>
      <c r="M358" s="94">
        <f>IF($A358="",0,$H358*설정!$C$23)</f>
        <v/>
      </c>
      <c r="N358" s="94">
        <f>IF($A358="",0,$I358*설정!$C$23)</f>
        <v/>
      </c>
      <c r="O358" s="94">
        <f>IF($A358="",0,$J358*설정!$C$23)</f>
        <v/>
      </c>
      <c r="P358" s="64">
        <f>IF($A358="","",IFERROR(INDEX(입력옵션!$C$58:$C$68,MATCH($F358&amp;"",입력옵션!$E$58:$E$68,0)),IFERROR(INDEX(입력옵션!$C$58:$C$68,MATCH($G358&amp;"",입력옵션!$F$58:$F$68,0)),$F358&amp;"")))</f>
        <v/>
      </c>
    </row>
    <row r="359">
      <c r="A359" s="92" t="n">
        <v>2025</v>
      </c>
      <c r="B359" s="92" t="n">
        <v>9</v>
      </c>
      <c r="C359" s="92" t="inlineStr">
        <is>
          <t>PF01</t>
        </is>
      </c>
      <c r="D359" s="92" t="inlineStr">
        <is>
          <t>보장성</t>
        </is>
      </c>
      <c r="E359" s="92" t="inlineStr">
        <is>
          <t>GMM</t>
        </is>
      </c>
      <c r="F359" s="92" t="inlineStr">
        <is>
          <t>F21</t>
        </is>
      </c>
      <c r="G359" s="92" t="inlineStr">
        <is>
          <t>가정변경-사업비</t>
        </is>
      </c>
      <c r="H359" s="93" t="n">
        <v>0</v>
      </c>
      <c r="I359" s="93" t="n">
        <v>0</v>
      </c>
      <c r="J359" s="93" t="n">
        <v>0</v>
      </c>
      <c r="L359" s="9">
        <f>IF($A359="","",VALUE($A359&amp;"")*12+VALUE($B359&amp;""))</f>
        <v/>
      </c>
      <c r="M359" s="94">
        <f>IF($A359="",0,$H359*설정!$C$23)</f>
        <v/>
      </c>
      <c r="N359" s="94">
        <f>IF($A359="",0,$I359*설정!$C$23)</f>
        <v/>
      </c>
      <c r="O359" s="94">
        <f>IF($A359="",0,$J359*설정!$C$23)</f>
        <v/>
      </c>
      <c r="P359" s="64">
        <f>IF($A359="","",IFERROR(INDEX(입력옵션!$C$58:$C$68,MATCH($F359&amp;"",입력옵션!$E$58:$E$68,0)),IFERROR(INDEX(입력옵션!$C$58:$C$68,MATCH($G359&amp;"",입력옵션!$F$58:$F$68,0)),$F359&amp;"")))</f>
        <v/>
      </c>
    </row>
    <row r="360">
      <c r="A360" s="92" t="n">
        <v>2025</v>
      </c>
      <c r="B360" s="92" t="n">
        <v>9</v>
      </c>
      <c r="C360" s="92" t="inlineStr">
        <is>
          <t>PF01</t>
        </is>
      </c>
      <c r="D360" s="92" t="inlineStr">
        <is>
          <t>보장성</t>
        </is>
      </c>
      <c r="E360" s="92" t="inlineStr">
        <is>
          <t>GMM</t>
        </is>
      </c>
      <c r="F360" s="92" t="inlineStr">
        <is>
          <t>F22</t>
        </is>
      </c>
      <c r="G360" s="92" t="inlineStr">
        <is>
          <t>가정변경-기타</t>
        </is>
      </c>
      <c r="H360" s="93" t="n">
        <v>0</v>
      </c>
      <c r="I360" s="93" t="n">
        <v>0</v>
      </c>
      <c r="J360" s="93" t="n">
        <v>0</v>
      </c>
      <c r="L360" s="9">
        <f>IF($A360="","",VALUE($A360&amp;"")*12+VALUE($B360&amp;""))</f>
        <v/>
      </c>
      <c r="M360" s="94">
        <f>IF($A360="",0,$H360*설정!$C$23)</f>
        <v/>
      </c>
      <c r="N360" s="94">
        <f>IF($A360="",0,$I360*설정!$C$23)</f>
        <v/>
      </c>
      <c r="O360" s="94">
        <f>IF($A360="",0,$J360*설정!$C$23)</f>
        <v/>
      </c>
      <c r="P360" s="64">
        <f>IF($A360="","",IFERROR(INDEX(입력옵션!$C$58:$C$68,MATCH($F360&amp;"",입력옵션!$E$58:$E$68,0)),IFERROR(INDEX(입력옵션!$C$58:$C$68,MATCH($G360&amp;"",입력옵션!$F$58:$F$68,0)),$F360&amp;"")))</f>
        <v/>
      </c>
    </row>
    <row r="361">
      <c r="A361" s="92" t="n">
        <v>2025</v>
      </c>
      <c r="B361" s="92" t="n">
        <v>9</v>
      </c>
      <c r="C361" s="92" t="inlineStr">
        <is>
          <t>PF01</t>
        </is>
      </c>
      <c r="D361" s="92" t="inlineStr">
        <is>
          <t>보장성</t>
        </is>
      </c>
      <c r="E361" s="92" t="inlineStr">
        <is>
          <t>GMM</t>
        </is>
      </c>
      <c r="F361" s="92" t="inlineStr">
        <is>
          <t>F31</t>
        </is>
      </c>
      <c r="G361" s="92" t="inlineStr">
        <is>
          <t>경험조정-취득현금흐름</t>
        </is>
      </c>
      <c r="H361" s="93" t="n">
        <v>0</v>
      </c>
      <c r="I361" s="93" t="n">
        <v>0</v>
      </c>
      <c r="J361" s="93" t="n">
        <v>-1670000</v>
      </c>
      <c r="L361" s="9">
        <f>IF($A361="","",VALUE($A361&amp;"")*12+VALUE($B361&amp;""))</f>
        <v/>
      </c>
      <c r="M361" s="94">
        <f>IF($A361="",0,$H361*설정!$C$23)</f>
        <v/>
      </c>
      <c r="N361" s="94">
        <f>IF($A361="",0,$I361*설정!$C$23)</f>
        <v/>
      </c>
      <c r="O361" s="94">
        <f>IF($A361="",0,$J361*설정!$C$23)</f>
        <v/>
      </c>
      <c r="P361" s="64">
        <f>IF($A361="","",IFERROR(INDEX(입력옵션!$C$58:$C$68,MATCH($F361&amp;"",입력옵션!$E$58:$E$68,0)),IFERROR(INDEX(입력옵션!$C$58:$C$68,MATCH($G361&amp;"",입력옵션!$F$58:$F$68,0)),$F361&amp;"")))</f>
        <v/>
      </c>
    </row>
    <row r="362">
      <c r="A362" s="92" t="n">
        <v>2025</v>
      </c>
      <c r="B362" s="92" t="n">
        <v>9</v>
      </c>
      <c r="C362" s="92" t="inlineStr">
        <is>
          <t>PF01</t>
        </is>
      </c>
      <c r="D362" s="92" t="inlineStr">
        <is>
          <t>보장성</t>
        </is>
      </c>
      <c r="E362" s="92" t="inlineStr">
        <is>
          <t>GMM</t>
        </is>
      </c>
      <c r="F362" s="92" t="inlineStr">
        <is>
          <t>F32</t>
        </is>
      </c>
      <c r="G362" s="92" t="inlineStr">
        <is>
          <t>경험조정-보험료 등</t>
        </is>
      </c>
      <c r="H362" s="93" t="n">
        <v>0</v>
      </c>
      <c r="I362" s="93" t="n">
        <v>0</v>
      </c>
      <c r="J362" s="93" t="n">
        <v>155344000</v>
      </c>
      <c r="L362" s="9">
        <f>IF($A362="","",VALUE($A362&amp;"")*12+VALUE($B362&amp;""))</f>
        <v/>
      </c>
      <c r="M362" s="94">
        <f>IF($A362="",0,$H362*설정!$C$23)</f>
        <v/>
      </c>
      <c r="N362" s="94">
        <f>IF($A362="",0,$I362*설정!$C$23)</f>
        <v/>
      </c>
      <c r="O362" s="94">
        <f>IF($A362="",0,$J362*설정!$C$23)</f>
        <v/>
      </c>
      <c r="P362" s="64">
        <f>IF($A362="","",IFERROR(INDEX(입력옵션!$C$58:$C$68,MATCH($F362&amp;"",입력옵션!$E$58:$E$68,0)),IFERROR(INDEX(입력옵션!$C$58:$C$68,MATCH($G362&amp;"",입력옵션!$F$58:$F$68,0)),$F362&amp;"")))</f>
        <v/>
      </c>
    </row>
    <row r="363">
      <c r="A363" s="92" t="n">
        <v>2025</v>
      </c>
      <c r="B363" s="92" t="n">
        <v>9</v>
      </c>
      <c r="C363" s="92" t="inlineStr">
        <is>
          <t>PF01</t>
        </is>
      </c>
      <c r="D363" s="92" t="inlineStr">
        <is>
          <t>보장성</t>
        </is>
      </c>
      <c r="E363" s="92" t="inlineStr">
        <is>
          <t>GMM</t>
        </is>
      </c>
      <c r="F363" s="92" t="inlineStr">
        <is>
          <t>F40</t>
        </is>
      </c>
      <c r="G363" s="92" t="inlineStr">
        <is>
          <t>보험금융비용(이자부리)</t>
        </is>
      </c>
      <c r="H363" s="93" t="n">
        <v>2624223000</v>
      </c>
      <c r="I363" s="93" t="n">
        <v>144210000</v>
      </c>
      <c r="J363" s="93" t="n">
        <v>601934000</v>
      </c>
      <c r="L363" s="9">
        <f>IF($A363="","",VALUE($A363&amp;"")*12+VALUE($B363&amp;""))</f>
        <v/>
      </c>
      <c r="M363" s="94">
        <f>IF($A363="",0,$H363*설정!$C$23)</f>
        <v/>
      </c>
      <c r="N363" s="94">
        <f>IF($A363="",0,$I363*설정!$C$23)</f>
        <v/>
      </c>
      <c r="O363" s="94">
        <f>IF($A363="",0,$J363*설정!$C$23)</f>
        <v/>
      </c>
      <c r="P363" s="64">
        <f>IF($A363="","",IFERROR(INDEX(입력옵션!$C$58:$C$68,MATCH($F363&amp;"",입력옵션!$E$58:$E$68,0)),IFERROR(INDEX(입력옵션!$C$58:$C$68,MATCH($G363&amp;"",입력옵션!$F$58:$F$68,0)),$F363&amp;"")))</f>
        <v/>
      </c>
    </row>
    <row r="364">
      <c r="A364" s="92" t="n">
        <v>2025</v>
      </c>
      <c r="B364" s="92" t="n">
        <v>9</v>
      </c>
      <c r="C364" s="92" t="inlineStr">
        <is>
          <t>PF01</t>
        </is>
      </c>
      <c r="D364" s="92" t="inlineStr">
        <is>
          <t>보장성</t>
        </is>
      </c>
      <c r="E364" s="92" t="inlineStr">
        <is>
          <t>GMM</t>
        </is>
      </c>
      <c r="F364" s="92" t="inlineStr">
        <is>
          <t>F51</t>
        </is>
      </c>
      <c r="G364" s="92" t="inlineStr">
        <is>
          <t>CSM 상각</t>
        </is>
      </c>
      <c r="H364" s="93" t="n">
        <v>0</v>
      </c>
      <c r="I364" s="93" t="n">
        <v>0</v>
      </c>
      <c r="J364" s="93" t="n">
        <v>-2166962000</v>
      </c>
      <c r="L364" s="9">
        <f>IF($A364="","",VALUE($A364&amp;"")*12+VALUE($B364&amp;""))</f>
        <v/>
      </c>
      <c r="M364" s="94">
        <f>IF($A364="",0,$H364*설정!$C$23)</f>
        <v/>
      </c>
      <c r="N364" s="94">
        <f>IF($A364="",0,$I364*설정!$C$23)</f>
        <v/>
      </c>
      <c r="O364" s="94">
        <f>IF($A364="",0,$J364*설정!$C$23)</f>
        <v/>
      </c>
      <c r="P364" s="64">
        <f>IF($A364="","",IFERROR(INDEX(입력옵션!$C$58:$C$68,MATCH($F364&amp;"",입력옵션!$E$58:$E$68,0)),IFERROR(INDEX(입력옵션!$C$58:$C$68,MATCH($G364&amp;"",입력옵션!$F$58:$F$68,0)),$F364&amp;"")))</f>
        <v/>
      </c>
    </row>
    <row r="365">
      <c r="A365" s="92" t="n">
        <v>2025</v>
      </c>
      <c r="B365" s="92" t="n">
        <v>9</v>
      </c>
      <c r="C365" s="92" t="inlineStr">
        <is>
          <t>PF01</t>
        </is>
      </c>
      <c r="D365" s="92" t="inlineStr">
        <is>
          <t>보장성</t>
        </is>
      </c>
      <c r="E365" s="92" t="inlineStr">
        <is>
          <t>GMM</t>
        </is>
      </c>
      <c r="F365" s="92" t="inlineStr">
        <is>
          <t>F52</t>
        </is>
      </c>
      <c r="G365" s="92" t="inlineStr">
        <is>
          <t>RA 해제</t>
        </is>
      </c>
      <c r="H365" s="93" t="n">
        <v>0</v>
      </c>
      <c r="I365" s="93" t="n">
        <v>-432629000</v>
      </c>
      <c r="J365" s="93" t="n">
        <v>0</v>
      </c>
      <c r="L365" s="9">
        <f>IF($A365="","",VALUE($A365&amp;"")*12+VALUE($B365&amp;""))</f>
        <v/>
      </c>
      <c r="M365" s="94">
        <f>IF($A365="",0,$H365*설정!$C$23)</f>
        <v/>
      </c>
      <c r="N365" s="94">
        <f>IF($A365="",0,$I365*설정!$C$23)</f>
        <v/>
      </c>
      <c r="O365" s="94">
        <f>IF($A365="",0,$J365*설정!$C$23)</f>
        <v/>
      </c>
      <c r="P365" s="64">
        <f>IF($A365="","",IFERROR(INDEX(입력옵션!$C$58:$C$68,MATCH($F365&amp;"",입력옵션!$E$58:$E$68,0)),IFERROR(INDEX(입력옵션!$C$58:$C$68,MATCH($G365&amp;"",입력옵션!$F$58:$F$68,0)),$F365&amp;"")))</f>
        <v/>
      </c>
    </row>
    <row r="366">
      <c r="A366" s="92" t="n">
        <v>2025</v>
      </c>
      <c r="B366" s="92" t="n">
        <v>9</v>
      </c>
      <c r="C366" s="92" t="inlineStr">
        <is>
          <t>PF01</t>
        </is>
      </c>
      <c r="D366" s="92" t="inlineStr">
        <is>
          <t>보장성</t>
        </is>
      </c>
      <c r="E366" s="92" t="inlineStr">
        <is>
          <t>GMM</t>
        </is>
      </c>
      <c r="F366" s="92" t="inlineStr">
        <is>
          <t>F60</t>
        </is>
      </c>
      <c r="G366" s="92" t="inlineStr">
        <is>
          <t>현금흐름 및 기타</t>
        </is>
      </c>
      <c r="H366" s="93" t="n">
        <v>5635009000</v>
      </c>
      <c r="I366" s="93" t="n">
        <v>-601447000</v>
      </c>
      <c r="J366" s="93" t="n">
        <v>0</v>
      </c>
      <c r="L366" s="9">
        <f>IF($A366="","",VALUE($A366&amp;"")*12+VALUE($B366&amp;""))</f>
        <v/>
      </c>
      <c r="M366" s="94">
        <f>IF($A366="",0,$H366*설정!$C$23)</f>
        <v/>
      </c>
      <c r="N366" s="94">
        <f>IF($A366="",0,$I366*설정!$C$23)</f>
        <v/>
      </c>
      <c r="O366" s="94">
        <f>IF($A366="",0,$J366*설정!$C$23)</f>
        <v/>
      </c>
      <c r="P366" s="64">
        <f>IF($A366="","",IFERROR(INDEX(입력옵션!$C$58:$C$68,MATCH($F366&amp;"",입력옵션!$E$58:$E$68,0)),IFERROR(INDEX(입력옵션!$C$58:$C$68,MATCH($G366&amp;"",입력옵션!$F$58:$F$68,0)),$F366&amp;"")))</f>
        <v/>
      </c>
    </row>
    <row r="367">
      <c r="A367" s="92" t="n">
        <v>2025</v>
      </c>
      <c r="B367" s="92" t="n">
        <v>9</v>
      </c>
      <c r="C367" s="92" t="inlineStr">
        <is>
          <t>PF01</t>
        </is>
      </c>
      <c r="D367" s="92" t="inlineStr">
        <is>
          <t>보장성</t>
        </is>
      </c>
      <c r="E367" s="92" t="inlineStr">
        <is>
          <t>GMM</t>
        </is>
      </c>
      <c r="F367" s="92" t="inlineStr">
        <is>
          <t>F99</t>
        </is>
      </c>
      <c r="G367" s="92" t="inlineStr">
        <is>
          <t>기말잔액</t>
        </is>
      </c>
      <c r="H367" s="93" t="n">
        <v>1054170950000</v>
      </c>
      <c r="I367" s="93" t="n">
        <v>71970360000</v>
      </c>
      <c r="J367" s="93" t="n">
        <v>242384060000</v>
      </c>
      <c r="L367" s="9">
        <f>IF($A367="","",VALUE($A367&amp;"")*12+VALUE($B367&amp;""))</f>
        <v/>
      </c>
      <c r="M367" s="94">
        <f>IF($A367="",0,$H367*설정!$C$23)</f>
        <v/>
      </c>
      <c r="N367" s="94">
        <f>IF($A367="",0,$I367*설정!$C$23)</f>
        <v/>
      </c>
      <c r="O367" s="94">
        <f>IF($A367="",0,$J367*설정!$C$23)</f>
        <v/>
      </c>
      <c r="P367" s="64">
        <f>IF($A367="","",IFERROR(INDEX(입력옵션!$C$58:$C$68,MATCH($F367&amp;"",입력옵션!$E$58:$E$68,0)),IFERROR(INDEX(입력옵션!$C$58:$C$68,MATCH($G367&amp;"",입력옵션!$F$58:$F$68,0)),$F367&amp;"")))</f>
        <v/>
      </c>
    </row>
    <row r="368">
      <c r="A368" s="92" t="n">
        <v>2025</v>
      </c>
      <c r="B368" s="92" t="n">
        <v>9</v>
      </c>
      <c r="C368" s="92" t="inlineStr">
        <is>
          <t>PF02</t>
        </is>
      </c>
      <c r="D368" s="92" t="inlineStr">
        <is>
          <t>저축성</t>
        </is>
      </c>
      <c r="E368" s="92" t="inlineStr">
        <is>
          <t>GMM</t>
        </is>
      </c>
      <c r="F368" s="92" t="inlineStr">
        <is>
          <t>F00</t>
        </is>
      </c>
      <c r="G368" s="92" t="inlineStr">
        <is>
          <t>기초잔액</t>
        </is>
      </c>
      <c r="H368" s="93" t="n">
        <v>692794773000</v>
      </c>
      <c r="I368" s="93" t="n">
        <v>30043650000</v>
      </c>
      <c r="J368" s="93" t="n">
        <v>96901617000</v>
      </c>
      <c r="L368" s="9">
        <f>IF($A368="","",VALUE($A368&amp;"")*12+VALUE($B368&amp;""))</f>
        <v/>
      </c>
      <c r="M368" s="94">
        <f>IF($A368="",0,$H368*설정!$C$23)</f>
        <v/>
      </c>
      <c r="N368" s="94">
        <f>IF($A368="",0,$I368*설정!$C$23)</f>
        <v/>
      </c>
      <c r="O368" s="94">
        <f>IF($A368="",0,$J368*설정!$C$23)</f>
        <v/>
      </c>
      <c r="P368" s="64">
        <f>IF($A368="","",IFERROR(INDEX(입력옵션!$C$58:$C$68,MATCH($F368&amp;"",입력옵션!$E$58:$E$68,0)),IFERROR(INDEX(입력옵션!$C$58:$C$68,MATCH($G368&amp;"",입력옵션!$F$58:$F$68,0)),$F368&amp;"")))</f>
        <v/>
      </c>
    </row>
    <row r="369">
      <c r="A369" s="92" t="n">
        <v>2025</v>
      </c>
      <c r="B369" s="92" t="n">
        <v>9</v>
      </c>
      <c r="C369" s="92" t="inlineStr">
        <is>
          <t>PF02</t>
        </is>
      </c>
      <c r="D369" s="92" t="inlineStr">
        <is>
          <t>저축성</t>
        </is>
      </c>
      <c r="E369" s="92" t="inlineStr">
        <is>
          <t>GMM</t>
        </is>
      </c>
      <c r="F369" s="92" t="inlineStr">
        <is>
          <t>F10</t>
        </is>
      </c>
      <c r="G369" s="92" t="inlineStr">
        <is>
          <t>신계약 효과</t>
        </is>
      </c>
      <c r="H369" s="93" t="n">
        <v>-1523118000</v>
      </c>
      <c r="I369" s="93" t="n">
        <v>304624000</v>
      </c>
      <c r="J369" s="93" t="n">
        <v>1218494000</v>
      </c>
      <c r="L369" s="9">
        <f>IF($A369="","",VALUE($A369&amp;"")*12+VALUE($B369&amp;""))</f>
        <v/>
      </c>
      <c r="M369" s="94">
        <f>IF($A369="",0,$H369*설정!$C$23)</f>
        <v/>
      </c>
      <c r="N369" s="94">
        <f>IF($A369="",0,$I369*설정!$C$23)</f>
        <v/>
      </c>
      <c r="O369" s="94">
        <f>IF($A369="",0,$J369*설정!$C$23)</f>
        <v/>
      </c>
      <c r="P369" s="64">
        <f>IF($A369="","",IFERROR(INDEX(입력옵션!$C$58:$C$68,MATCH($F369&amp;"",입력옵션!$E$58:$E$68,0)),IFERROR(INDEX(입력옵션!$C$58:$C$68,MATCH($G369&amp;"",입력옵션!$F$58:$F$68,0)),$F369&amp;"")))</f>
        <v/>
      </c>
    </row>
    <row r="370">
      <c r="A370" s="92" t="n">
        <v>2025</v>
      </c>
      <c r="B370" s="92" t="n">
        <v>9</v>
      </c>
      <c r="C370" s="92" t="inlineStr">
        <is>
          <t>PF02</t>
        </is>
      </c>
      <c r="D370" s="92" t="inlineStr">
        <is>
          <t>저축성</t>
        </is>
      </c>
      <c r="E370" s="92" t="inlineStr">
        <is>
          <t>GMM</t>
        </is>
      </c>
      <c r="F370" s="92" t="inlineStr">
        <is>
          <t>F21</t>
        </is>
      </c>
      <c r="G370" s="92" t="inlineStr">
        <is>
          <t>가정변경-사업비</t>
        </is>
      </c>
      <c r="H370" s="93" t="n">
        <v>0</v>
      </c>
      <c r="I370" s="93" t="n">
        <v>0</v>
      </c>
      <c r="J370" s="93" t="n">
        <v>0</v>
      </c>
      <c r="L370" s="9">
        <f>IF($A370="","",VALUE($A370&amp;"")*12+VALUE($B370&amp;""))</f>
        <v/>
      </c>
      <c r="M370" s="94">
        <f>IF($A370="",0,$H370*설정!$C$23)</f>
        <v/>
      </c>
      <c r="N370" s="94">
        <f>IF($A370="",0,$I370*설정!$C$23)</f>
        <v/>
      </c>
      <c r="O370" s="94">
        <f>IF($A370="",0,$J370*설정!$C$23)</f>
        <v/>
      </c>
      <c r="P370" s="64">
        <f>IF($A370="","",IFERROR(INDEX(입력옵션!$C$58:$C$68,MATCH($F370&amp;"",입력옵션!$E$58:$E$68,0)),IFERROR(INDEX(입력옵션!$C$58:$C$68,MATCH($G370&amp;"",입력옵션!$F$58:$F$68,0)),$F370&amp;"")))</f>
        <v/>
      </c>
    </row>
    <row r="371">
      <c r="A371" s="92" t="n">
        <v>2025</v>
      </c>
      <c r="B371" s="92" t="n">
        <v>9</v>
      </c>
      <c r="C371" s="92" t="inlineStr">
        <is>
          <t>PF02</t>
        </is>
      </c>
      <c r="D371" s="92" t="inlineStr">
        <is>
          <t>저축성</t>
        </is>
      </c>
      <c r="E371" s="92" t="inlineStr">
        <is>
          <t>GMM</t>
        </is>
      </c>
      <c r="F371" s="92" t="inlineStr">
        <is>
          <t>F22</t>
        </is>
      </c>
      <c r="G371" s="92" t="inlineStr">
        <is>
          <t>가정변경-기타</t>
        </is>
      </c>
      <c r="H371" s="93" t="n">
        <v>0</v>
      </c>
      <c r="I371" s="93" t="n">
        <v>0</v>
      </c>
      <c r="J371" s="93" t="n">
        <v>0</v>
      </c>
      <c r="L371" s="9">
        <f>IF($A371="","",VALUE($A371&amp;"")*12+VALUE($B371&amp;""))</f>
        <v/>
      </c>
      <c r="M371" s="94">
        <f>IF($A371="",0,$H371*설정!$C$23)</f>
        <v/>
      </c>
      <c r="N371" s="94">
        <f>IF($A371="",0,$I371*설정!$C$23)</f>
        <v/>
      </c>
      <c r="O371" s="94">
        <f>IF($A371="",0,$J371*설정!$C$23)</f>
        <v/>
      </c>
      <c r="P371" s="64">
        <f>IF($A371="","",IFERROR(INDEX(입력옵션!$C$58:$C$68,MATCH($F371&amp;"",입력옵션!$E$58:$E$68,0)),IFERROR(INDEX(입력옵션!$C$58:$C$68,MATCH($G371&amp;"",입력옵션!$F$58:$F$68,0)),$F371&amp;"")))</f>
        <v/>
      </c>
    </row>
    <row r="372">
      <c r="A372" s="92" t="n">
        <v>2025</v>
      </c>
      <c r="B372" s="92" t="n">
        <v>9</v>
      </c>
      <c r="C372" s="92" t="inlineStr">
        <is>
          <t>PF02</t>
        </is>
      </c>
      <c r="D372" s="92" t="inlineStr">
        <is>
          <t>저축성</t>
        </is>
      </c>
      <c r="E372" s="92" t="inlineStr">
        <is>
          <t>GMM</t>
        </is>
      </c>
      <c r="F372" s="92" t="inlineStr">
        <is>
          <t>F31</t>
        </is>
      </c>
      <c r="G372" s="92" t="inlineStr">
        <is>
          <t>경험조정-취득현금흐름</t>
        </is>
      </c>
      <c r="H372" s="93" t="n">
        <v>0</v>
      </c>
      <c r="I372" s="93" t="n">
        <v>0</v>
      </c>
      <c r="J372" s="93" t="n">
        <v>-1457000</v>
      </c>
      <c r="L372" s="9">
        <f>IF($A372="","",VALUE($A372&amp;"")*12+VALUE($B372&amp;""))</f>
        <v/>
      </c>
      <c r="M372" s="94">
        <f>IF($A372="",0,$H372*설정!$C$23)</f>
        <v/>
      </c>
      <c r="N372" s="94">
        <f>IF($A372="",0,$I372*설정!$C$23)</f>
        <v/>
      </c>
      <c r="O372" s="94">
        <f>IF($A372="",0,$J372*설정!$C$23)</f>
        <v/>
      </c>
      <c r="P372" s="64">
        <f>IF($A372="","",IFERROR(INDEX(입력옵션!$C$58:$C$68,MATCH($F372&amp;"",입력옵션!$E$58:$E$68,0)),IFERROR(INDEX(입력옵션!$C$58:$C$68,MATCH($G372&amp;"",입력옵션!$F$58:$F$68,0)),$F372&amp;"")))</f>
        <v/>
      </c>
    </row>
    <row r="373">
      <c r="A373" s="92" t="n">
        <v>2025</v>
      </c>
      <c r="B373" s="92" t="n">
        <v>9</v>
      </c>
      <c r="C373" s="92" t="inlineStr">
        <is>
          <t>PF02</t>
        </is>
      </c>
      <c r="D373" s="92" t="inlineStr">
        <is>
          <t>저축성</t>
        </is>
      </c>
      <c r="E373" s="92" t="inlineStr">
        <is>
          <t>GMM</t>
        </is>
      </c>
      <c r="F373" s="92" t="inlineStr">
        <is>
          <t>F32</t>
        </is>
      </c>
      <c r="G373" s="92" t="inlineStr">
        <is>
          <t>경험조정-보험료 등</t>
        </is>
      </c>
      <c r="H373" s="93" t="n">
        <v>0</v>
      </c>
      <c r="I373" s="93" t="n">
        <v>0</v>
      </c>
      <c r="J373" s="93" t="n">
        <v>-31562000</v>
      </c>
      <c r="L373" s="9">
        <f>IF($A373="","",VALUE($A373&amp;"")*12+VALUE($B373&amp;""))</f>
        <v/>
      </c>
      <c r="M373" s="94">
        <f>IF($A373="",0,$H373*설정!$C$23)</f>
        <v/>
      </c>
      <c r="N373" s="94">
        <f>IF($A373="",0,$I373*설정!$C$23)</f>
        <v/>
      </c>
      <c r="O373" s="94">
        <f>IF($A373="",0,$J373*설정!$C$23)</f>
        <v/>
      </c>
      <c r="P373" s="64">
        <f>IF($A373="","",IFERROR(INDEX(입력옵션!$C$58:$C$68,MATCH($F373&amp;"",입력옵션!$E$58:$E$68,0)),IFERROR(INDEX(입력옵션!$C$58:$C$68,MATCH($G373&amp;"",입력옵션!$F$58:$F$68,0)),$F373&amp;"")))</f>
        <v/>
      </c>
    </row>
    <row r="374">
      <c r="A374" s="92" t="n">
        <v>2025</v>
      </c>
      <c r="B374" s="92" t="n">
        <v>9</v>
      </c>
      <c r="C374" s="92" t="inlineStr">
        <is>
          <t>PF02</t>
        </is>
      </c>
      <c r="D374" s="92" t="inlineStr">
        <is>
          <t>저축성</t>
        </is>
      </c>
      <c r="E374" s="92" t="inlineStr">
        <is>
          <t>GMM</t>
        </is>
      </c>
      <c r="F374" s="92" t="inlineStr">
        <is>
          <t>F40</t>
        </is>
      </c>
      <c r="G374" s="92" t="inlineStr">
        <is>
          <t>보험금융비용(이자부리)</t>
        </is>
      </c>
      <c r="H374" s="93" t="n">
        <v>1731987000</v>
      </c>
      <c r="I374" s="93" t="n">
        <v>60087000</v>
      </c>
      <c r="J374" s="93" t="n">
        <v>242254000</v>
      </c>
      <c r="L374" s="9">
        <f>IF($A374="","",VALUE($A374&amp;"")*12+VALUE($B374&amp;""))</f>
        <v/>
      </c>
      <c r="M374" s="94">
        <f>IF($A374="",0,$H374*설정!$C$23)</f>
        <v/>
      </c>
      <c r="N374" s="94">
        <f>IF($A374="",0,$I374*설정!$C$23)</f>
        <v/>
      </c>
      <c r="O374" s="94">
        <f>IF($A374="",0,$J374*설정!$C$23)</f>
        <v/>
      </c>
      <c r="P374" s="64">
        <f>IF($A374="","",IFERROR(INDEX(입력옵션!$C$58:$C$68,MATCH($F374&amp;"",입력옵션!$E$58:$E$68,0)),IFERROR(INDEX(입력옵션!$C$58:$C$68,MATCH($G374&amp;"",입력옵션!$F$58:$F$68,0)),$F374&amp;"")))</f>
        <v/>
      </c>
    </row>
    <row r="375">
      <c r="A375" s="92" t="n">
        <v>2025</v>
      </c>
      <c r="B375" s="92" t="n">
        <v>9</v>
      </c>
      <c r="C375" s="92" t="inlineStr">
        <is>
          <t>PF02</t>
        </is>
      </c>
      <c r="D375" s="92" t="inlineStr">
        <is>
          <t>저축성</t>
        </is>
      </c>
      <c r="E375" s="92" t="inlineStr">
        <is>
          <t>GMM</t>
        </is>
      </c>
      <c r="F375" s="92" t="inlineStr">
        <is>
          <t>F51</t>
        </is>
      </c>
      <c r="G375" s="92" t="inlineStr">
        <is>
          <t>CSM 상각</t>
        </is>
      </c>
      <c r="H375" s="93" t="n">
        <v>0</v>
      </c>
      <c r="I375" s="93" t="n">
        <v>0</v>
      </c>
      <c r="J375" s="93" t="n">
        <v>-872115000</v>
      </c>
      <c r="L375" s="9">
        <f>IF($A375="","",VALUE($A375&amp;"")*12+VALUE($B375&amp;""))</f>
        <v/>
      </c>
      <c r="M375" s="94">
        <f>IF($A375="",0,$H375*설정!$C$23)</f>
        <v/>
      </c>
      <c r="N375" s="94">
        <f>IF($A375="",0,$I375*설정!$C$23)</f>
        <v/>
      </c>
      <c r="O375" s="94">
        <f>IF($A375="",0,$J375*설정!$C$23)</f>
        <v/>
      </c>
      <c r="P375" s="64">
        <f>IF($A375="","",IFERROR(INDEX(입력옵션!$C$58:$C$68,MATCH($F375&amp;"",입력옵션!$E$58:$E$68,0)),IFERROR(INDEX(입력옵션!$C$58:$C$68,MATCH($G375&amp;"",입력옵션!$F$58:$F$68,0)),$F375&amp;"")))</f>
        <v/>
      </c>
    </row>
    <row r="376">
      <c r="A376" s="92" t="n">
        <v>2025</v>
      </c>
      <c r="B376" s="92" t="n">
        <v>9</v>
      </c>
      <c r="C376" s="92" t="inlineStr">
        <is>
          <t>PF02</t>
        </is>
      </c>
      <c r="D376" s="92" t="inlineStr">
        <is>
          <t>저축성</t>
        </is>
      </c>
      <c r="E376" s="92" t="inlineStr">
        <is>
          <t>GMM</t>
        </is>
      </c>
      <c r="F376" s="92" t="inlineStr">
        <is>
          <t>F52</t>
        </is>
      </c>
      <c r="G376" s="92" t="inlineStr">
        <is>
          <t>RA 해제</t>
        </is>
      </c>
      <c r="H376" s="93" t="n">
        <v>0</v>
      </c>
      <c r="I376" s="93" t="n">
        <v>-180262000</v>
      </c>
      <c r="J376" s="93" t="n">
        <v>0</v>
      </c>
      <c r="L376" s="9">
        <f>IF($A376="","",VALUE($A376&amp;"")*12+VALUE($B376&amp;""))</f>
        <v/>
      </c>
      <c r="M376" s="94">
        <f>IF($A376="",0,$H376*설정!$C$23)</f>
        <v/>
      </c>
      <c r="N376" s="94">
        <f>IF($A376="",0,$I376*설정!$C$23)</f>
        <v/>
      </c>
      <c r="O376" s="94">
        <f>IF($A376="",0,$J376*설정!$C$23)</f>
        <v/>
      </c>
      <c r="P376" s="64">
        <f>IF($A376="","",IFERROR(INDEX(입력옵션!$C$58:$C$68,MATCH($F376&amp;"",입력옵션!$E$58:$E$68,0)),IFERROR(INDEX(입력옵션!$C$58:$C$68,MATCH($G376&amp;"",입력옵션!$F$58:$F$68,0)),$F376&amp;"")))</f>
        <v/>
      </c>
    </row>
    <row r="377">
      <c r="A377" s="92" t="n">
        <v>2025</v>
      </c>
      <c r="B377" s="92" t="n">
        <v>9</v>
      </c>
      <c r="C377" s="92" t="inlineStr">
        <is>
          <t>PF02</t>
        </is>
      </c>
      <c r="D377" s="92" t="inlineStr">
        <is>
          <t>저축성</t>
        </is>
      </c>
      <c r="E377" s="92" t="inlineStr">
        <is>
          <t>GMM</t>
        </is>
      </c>
      <c r="F377" s="92" t="inlineStr">
        <is>
          <t>F60</t>
        </is>
      </c>
      <c r="G377" s="92" t="inlineStr">
        <is>
          <t>현금흐름 및 기타</t>
        </is>
      </c>
      <c r="H377" s="93" t="n">
        <v>2749185000</v>
      </c>
      <c r="I377" s="93" t="n">
        <v>-240449000</v>
      </c>
      <c r="J377" s="93" t="n">
        <v>0</v>
      </c>
      <c r="L377" s="9">
        <f>IF($A377="","",VALUE($A377&amp;"")*12+VALUE($B377&amp;""))</f>
        <v/>
      </c>
      <c r="M377" s="94">
        <f>IF($A377="",0,$H377*설정!$C$23)</f>
        <v/>
      </c>
      <c r="N377" s="94">
        <f>IF($A377="",0,$I377*설정!$C$23)</f>
        <v/>
      </c>
      <c r="O377" s="94">
        <f>IF($A377="",0,$J377*설정!$C$23)</f>
        <v/>
      </c>
      <c r="P377" s="64">
        <f>IF($A377="","",IFERROR(INDEX(입력옵션!$C$58:$C$68,MATCH($F377&amp;"",입력옵션!$E$58:$E$68,0)),IFERROR(INDEX(입력옵션!$C$58:$C$68,MATCH($G377&amp;"",입력옵션!$F$58:$F$68,0)),$F377&amp;"")))</f>
        <v/>
      </c>
    </row>
    <row r="378">
      <c r="A378" s="92" t="n">
        <v>2025</v>
      </c>
      <c r="B378" s="92" t="n">
        <v>9</v>
      </c>
      <c r="C378" s="92" t="inlineStr">
        <is>
          <t>PF02</t>
        </is>
      </c>
      <c r="D378" s="92" t="inlineStr">
        <is>
          <t>저축성</t>
        </is>
      </c>
      <c r="E378" s="92" t="inlineStr">
        <is>
          <t>GMM</t>
        </is>
      </c>
      <c r="F378" s="92" t="inlineStr">
        <is>
          <t>F99</t>
        </is>
      </c>
      <c r="G378" s="92" t="inlineStr">
        <is>
          <t>기말잔액</t>
        </is>
      </c>
      <c r="H378" s="93" t="n">
        <v>695752827000</v>
      </c>
      <c r="I378" s="93" t="n">
        <v>29987650000</v>
      </c>
      <c r="J378" s="93" t="n">
        <v>97457232000</v>
      </c>
      <c r="L378" s="9">
        <f>IF($A378="","",VALUE($A378&amp;"")*12+VALUE($B378&amp;""))</f>
        <v/>
      </c>
      <c r="M378" s="94">
        <f>IF($A378="",0,$H378*설정!$C$23)</f>
        <v/>
      </c>
      <c r="N378" s="94">
        <f>IF($A378="",0,$I378*설정!$C$23)</f>
        <v/>
      </c>
      <c r="O378" s="94">
        <f>IF($A378="",0,$J378*설정!$C$23)</f>
        <v/>
      </c>
      <c r="P378" s="64">
        <f>IF($A378="","",IFERROR(INDEX(입력옵션!$C$58:$C$68,MATCH($F378&amp;"",입력옵션!$E$58:$E$68,0)),IFERROR(INDEX(입력옵션!$C$58:$C$68,MATCH($G378&amp;"",입력옵션!$F$58:$F$68,0)),$F378&amp;"")))</f>
        <v/>
      </c>
    </row>
    <row r="379">
      <c r="A379" s="92" t="n">
        <v>2025</v>
      </c>
      <c r="B379" s="92" t="n">
        <v>9</v>
      </c>
      <c r="C379" s="92" t="inlineStr">
        <is>
          <t>PF03</t>
        </is>
      </c>
      <c r="D379" s="92" t="inlineStr">
        <is>
          <t>단체(단기)</t>
        </is>
      </c>
      <c r="E379" s="92" t="inlineStr">
        <is>
          <t>PAA</t>
        </is>
      </c>
      <c r="F379" s="92" t="inlineStr">
        <is>
          <t>F00</t>
        </is>
      </c>
      <c r="G379" s="92" t="inlineStr">
        <is>
          <t>기초잔액</t>
        </is>
      </c>
      <c r="H379" s="93" t="n">
        <v>41987562000</v>
      </c>
      <c r="I379" s="93" t="n">
        <v>2403492000</v>
      </c>
      <c r="J379" s="93" t="n">
        <v>0</v>
      </c>
      <c r="L379" s="9">
        <f>IF($A379="","",VALUE($A379&amp;"")*12+VALUE($B379&amp;""))</f>
        <v/>
      </c>
      <c r="M379" s="94">
        <f>IF($A379="",0,$H379*설정!$C$23)</f>
        <v/>
      </c>
      <c r="N379" s="94">
        <f>IF($A379="",0,$I379*설정!$C$23)</f>
        <v/>
      </c>
      <c r="O379" s="94">
        <f>IF($A379="",0,$J379*설정!$C$23)</f>
        <v/>
      </c>
      <c r="P379" s="64">
        <f>IF($A379="","",IFERROR(INDEX(입력옵션!$C$58:$C$68,MATCH($F379&amp;"",입력옵션!$E$58:$E$68,0)),IFERROR(INDEX(입력옵션!$C$58:$C$68,MATCH($G379&amp;"",입력옵션!$F$58:$F$68,0)),$F379&amp;"")))</f>
        <v/>
      </c>
    </row>
    <row r="380">
      <c r="A380" s="92" t="n">
        <v>2025</v>
      </c>
      <c r="B380" s="92" t="n">
        <v>9</v>
      </c>
      <c r="C380" s="92" t="inlineStr">
        <is>
          <t>PF03</t>
        </is>
      </c>
      <c r="D380" s="92" t="inlineStr">
        <is>
          <t>단체(단기)</t>
        </is>
      </c>
      <c r="E380" s="92" t="inlineStr">
        <is>
          <t>PAA</t>
        </is>
      </c>
      <c r="F380" s="92" t="inlineStr">
        <is>
          <t>F10</t>
        </is>
      </c>
      <c r="G380" s="92" t="inlineStr">
        <is>
          <t>신계약 효과</t>
        </is>
      </c>
      <c r="H380" s="93" t="n">
        <v>0</v>
      </c>
      <c r="I380" s="93" t="n">
        <v>0</v>
      </c>
      <c r="J380" s="93" t="n">
        <v>0</v>
      </c>
      <c r="L380" s="9">
        <f>IF($A380="","",VALUE($A380&amp;"")*12+VALUE($B380&amp;""))</f>
        <v/>
      </c>
      <c r="M380" s="94">
        <f>IF($A380="",0,$H380*설정!$C$23)</f>
        <v/>
      </c>
      <c r="N380" s="94">
        <f>IF($A380="",0,$I380*설정!$C$23)</f>
        <v/>
      </c>
      <c r="O380" s="94">
        <f>IF($A380="",0,$J380*설정!$C$23)</f>
        <v/>
      </c>
      <c r="P380" s="64">
        <f>IF($A380="","",IFERROR(INDEX(입력옵션!$C$58:$C$68,MATCH($F380&amp;"",입력옵션!$E$58:$E$68,0)),IFERROR(INDEX(입력옵션!$C$58:$C$68,MATCH($G380&amp;"",입력옵션!$F$58:$F$68,0)),$F380&amp;"")))</f>
        <v/>
      </c>
    </row>
    <row r="381">
      <c r="A381" s="92" t="n">
        <v>2025</v>
      </c>
      <c r="B381" s="92" t="n">
        <v>9</v>
      </c>
      <c r="C381" s="92" t="inlineStr">
        <is>
          <t>PF03</t>
        </is>
      </c>
      <c r="D381" s="92" t="inlineStr">
        <is>
          <t>단체(단기)</t>
        </is>
      </c>
      <c r="E381" s="92" t="inlineStr">
        <is>
          <t>PAA</t>
        </is>
      </c>
      <c r="F381" s="92" t="inlineStr">
        <is>
          <t>F21</t>
        </is>
      </c>
      <c r="G381" s="92" t="inlineStr">
        <is>
          <t>가정변경-사업비</t>
        </is>
      </c>
      <c r="H381" s="93" t="n">
        <v>0</v>
      </c>
      <c r="I381" s="93" t="n">
        <v>0</v>
      </c>
      <c r="J381" s="93" t="n">
        <v>0</v>
      </c>
      <c r="L381" s="9">
        <f>IF($A381="","",VALUE($A381&amp;"")*12+VALUE($B381&amp;""))</f>
        <v/>
      </c>
      <c r="M381" s="94">
        <f>IF($A381="",0,$H381*설정!$C$23)</f>
        <v/>
      </c>
      <c r="N381" s="94">
        <f>IF($A381="",0,$I381*설정!$C$23)</f>
        <v/>
      </c>
      <c r="O381" s="94">
        <f>IF($A381="",0,$J381*설정!$C$23)</f>
        <v/>
      </c>
      <c r="P381" s="64">
        <f>IF($A381="","",IFERROR(INDEX(입력옵션!$C$58:$C$68,MATCH($F381&amp;"",입력옵션!$E$58:$E$68,0)),IFERROR(INDEX(입력옵션!$C$58:$C$68,MATCH($G381&amp;"",입력옵션!$F$58:$F$68,0)),$F381&amp;"")))</f>
        <v/>
      </c>
    </row>
    <row r="382">
      <c r="A382" s="92" t="n">
        <v>2025</v>
      </c>
      <c r="B382" s="92" t="n">
        <v>9</v>
      </c>
      <c r="C382" s="92" t="inlineStr">
        <is>
          <t>PF03</t>
        </is>
      </c>
      <c r="D382" s="92" t="inlineStr">
        <is>
          <t>단체(단기)</t>
        </is>
      </c>
      <c r="E382" s="92" t="inlineStr">
        <is>
          <t>PAA</t>
        </is>
      </c>
      <c r="F382" s="92" t="inlineStr">
        <is>
          <t>F22</t>
        </is>
      </c>
      <c r="G382" s="92" t="inlineStr">
        <is>
          <t>가정변경-기타</t>
        </is>
      </c>
      <c r="H382" s="93" t="n">
        <v>0</v>
      </c>
      <c r="I382" s="93" t="n">
        <v>0</v>
      </c>
      <c r="J382" s="93" t="n">
        <v>0</v>
      </c>
      <c r="L382" s="9">
        <f>IF($A382="","",VALUE($A382&amp;"")*12+VALUE($B382&amp;""))</f>
        <v/>
      </c>
      <c r="M382" s="94">
        <f>IF($A382="",0,$H382*설정!$C$23)</f>
        <v/>
      </c>
      <c r="N382" s="94">
        <f>IF($A382="",0,$I382*설정!$C$23)</f>
        <v/>
      </c>
      <c r="O382" s="94">
        <f>IF($A382="",0,$J382*설정!$C$23)</f>
        <v/>
      </c>
      <c r="P382" s="64">
        <f>IF($A382="","",IFERROR(INDEX(입력옵션!$C$58:$C$68,MATCH($F382&amp;"",입력옵션!$E$58:$E$68,0)),IFERROR(INDEX(입력옵션!$C$58:$C$68,MATCH($G382&amp;"",입력옵션!$F$58:$F$68,0)),$F382&amp;"")))</f>
        <v/>
      </c>
    </row>
    <row r="383">
      <c r="A383" s="92" t="n">
        <v>2025</v>
      </c>
      <c r="B383" s="92" t="n">
        <v>9</v>
      </c>
      <c r="C383" s="92" t="inlineStr">
        <is>
          <t>PF03</t>
        </is>
      </c>
      <c r="D383" s="92" t="inlineStr">
        <is>
          <t>단체(단기)</t>
        </is>
      </c>
      <c r="E383" s="92" t="inlineStr">
        <is>
          <t>PAA</t>
        </is>
      </c>
      <c r="F383" s="92" t="inlineStr">
        <is>
          <t>F31</t>
        </is>
      </c>
      <c r="G383" s="92" t="inlineStr">
        <is>
          <t>경험조정-취득현금흐름</t>
        </is>
      </c>
      <c r="H383" s="93" t="n">
        <v>0</v>
      </c>
      <c r="I383" s="93" t="n">
        <v>0</v>
      </c>
      <c r="J383" s="93" t="n">
        <v>0</v>
      </c>
      <c r="L383" s="9">
        <f>IF($A383="","",VALUE($A383&amp;"")*12+VALUE($B383&amp;""))</f>
        <v/>
      </c>
      <c r="M383" s="94">
        <f>IF($A383="",0,$H383*설정!$C$23)</f>
        <v/>
      </c>
      <c r="N383" s="94">
        <f>IF($A383="",0,$I383*설정!$C$23)</f>
        <v/>
      </c>
      <c r="O383" s="94">
        <f>IF($A383="",0,$J383*설정!$C$23)</f>
        <v/>
      </c>
      <c r="P383" s="64">
        <f>IF($A383="","",IFERROR(INDEX(입력옵션!$C$58:$C$68,MATCH($F383&amp;"",입력옵션!$E$58:$E$68,0)),IFERROR(INDEX(입력옵션!$C$58:$C$68,MATCH($G383&amp;"",입력옵션!$F$58:$F$68,0)),$F383&amp;"")))</f>
        <v/>
      </c>
    </row>
    <row r="384">
      <c r="A384" s="92" t="n">
        <v>2025</v>
      </c>
      <c r="B384" s="92" t="n">
        <v>9</v>
      </c>
      <c r="C384" s="92" t="inlineStr">
        <is>
          <t>PF03</t>
        </is>
      </c>
      <c r="D384" s="92" t="inlineStr">
        <is>
          <t>단체(단기)</t>
        </is>
      </c>
      <c r="E384" s="92" t="inlineStr">
        <is>
          <t>PAA</t>
        </is>
      </c>
      <c r="F384" s="92" t="inlineStr">
        <is>
          <t>F32</t>
        </is>
      </c>
      <c r="G384" s="92" t="inlineStr">
        <is>
          <t>경험조정-보험료 등</t>
        </is>
      </c>
      <c r="H384" s="93" t="n">
        <v>0</v>
      </c>
      <c r="I384" s="93" t="n">
        <v>0</v>
      </c>
      <c r="J384" s="93" t="n">
        <v>0</v>
      </c>
      <c r="L384" s="9">
        <f>IF($A384="","",VALUE($A384&amp;"")*12+VALUE($B384&amp;""))</f>
        <v/>
      </c>
      <c r="M384" s="94">
        <f>IF($A384="",0,$H384*설정!$C$23)</f>
        <v/>
      </c>
      <c r="N384" s="94">
        <f>IF($A384="",0,$I384*설정!$C$23)</f>
        <v/>
      </c>
      <c r="O384" s="94">
        <f>IF($A384="",0,$J384*설정!$C$23)</f>
        <v/>
      </c>
      <c r="P384" s="64">
        <f>IF($A384="","",IFERROR(INDEX(입력옵션!$C$58:$C$68,MATCH($F384&amp;"",입력옵션!$E$58:$E$68,0)),IFERROR(INDEX(입력옵션!$C$58:$C$68,MATCH($G384&amp;"",입력옵션!$F$58:$F$68,0)),$F384&amp;"")))</f>
        <v/>
      </c>
    </row>
    <row r="385">
      <c r="A385" s="92" t="n">
        <v>2025</v>
      </c>
      <c r="B385" s="92" t="n">
        <v>9</v>
      </c>
      <c r="C385" s="92" t="inlineStr">
        <is>
          <t>PF03</t>
        </is>
      </c>
      <c r="D385" s="92" t="inlineStr">
        <is>
          <t>단체(단기)</t>
        </is>
      </c>
      <c r="E385" s="92" t="inlineStr">
        <is>
          <t>PAA</t>
        </is>
      </c>
      <c r="F385" s="92" t="inlineStr">
        <is>
          <t>F40</t>
        </is>
      </c>
      <c r="G385" s="92" t="inlineStr">
        <is>
          <t>보험금융비용(이자부리)</t>
        </is>
      </c>
      <c r="H385" s="93" t="n">
        <v>0</v>
      </c>
      <c r="I385" s="93" t="n">
        <v>0</v>
      </c>
      <c r="J385" s="93" t="n">
        <v>0</v>
      </c>
      <c r="L385" s="9">
        <f>IF($A385="","",VALUE($A385&amp;"")*12+VALUE($B385&amp;""))</f>
        <v/>
      </c>
      <c r="M385" s="94">
        <f>IF($A385="",0,$H385*설정!$C$23)</f>
        <v/>
      </c>
      <c r="N385" s="94">
        <f>IF($A385="",0,$I385*설정!$C$23)</f>
        <v/>
      </c>
      <c r="O385" s="94">
        <f>IF($A385="",0,$J385*설정!$C$23)</f>
        <v/>
      </c>
      <c r="P385" s="64">
        <f>IF($A385="","",IFERROR(INDEX(입력옵션!$C$58:$C$68,MATCH($F385&amp;"",입력옵션!$E$58:$E$68,0)),IFERROR(INDEX(입력옵션!$C$58:$C$68,MATCH($G385&amp;"",입력옵션!$F$58:$F$68,0)),$F385&amp;"")))</f>
        <v/>
      </c>
    </row>
    <row r="386">
      <c r="A386" s="92" t="n">
        <v>2025</v>
      </c>
      <c r="B386" s="92" t="n">
        <v>9</v>
      </c>
      <c r="C386" s="92" t="inlineStr">
        <is>
          <t>PF03</t>
        </is>
      </c>
      <c r="D386" s="92" t="inlineStr">
        <is>
          <t>단체(단기)</t>
        </is>
      </c>
      <c r="E386" s="92" t="inlineStr">
        <is>
          <t>PAA</t>
        </is>
      </c>
      <c r="F386" s="92" t="inlineStr">
        <is>
          <t>F51</t>
        </is>
      </c>
      <c r="G386" s="92" t="inlineStr">
        <is>
          <t>CSM 상각</t>
        </is>
      </c>
      <c r="H386" s="93" t="n">
        <v>0</v>
      </c>
      <c r="I386" s="93" t="n">
        <v>0</v>
      </c>
      <c r="J386" s="93" t="n">
        <v>0</v>
      </c>
      <c r="L386" s="9">
        <f>IF($A386="","",VALUE($A386&amp;"")*12+VALUE($B386&amp;""))</f>
        <v/>
      </c>
      <c r="M386" s="94">
        <f>IF($A386="",0,$H386*설정!$C$23)</f>
        <v/>
      </c>
      <c r="N386" s="94">
        <f>IF($A386="",0,$I386*설정!$C$23)</f>
        <v/>
      </c>
      <c r="O386" s="94">
        <f>IF($A386="",0,$J386*설정!$C$23)</f>
        <v/>
      </c>
      <c r="P386" s="64">
        <f>IF($A386="","",IFERROR(INDEX(입력옵션!$C$58:$C$68,MATCH($F386&amp;"",입력옵션!$E$58:$E$68,0)),IFERROR(INDEX(입력옵션!$C$58:$C$68,MATCH($G386&amp;"",입력옵션!$F$58:$F$68,0)),$F386&amp;"")))</f>
        <v/>
      </c>
    </row>
    <row r="387">
      <c r="A387" s="92" t="n">
        <v>2025</v>
      </c>
      <c r="B387" s="92" t="n">
        <v>9</v>
      </c>
      <c r="C387" s="92" t="inlineStr">
        <is>
          <t>PF03</t>
        </is>
      </c>
      <c r="D387" s="92" t="inlineStr">
        <is>
          <t>단체(단기)</t>
        </is>
      </c>
      <c r="E387" s="92" t="inlineStr">
        <is>
          <t>PAA</t>
        </is>
      </c>
      <c r="F387" s="92" t="inlineStr">
        <is>
          <t>F52</t>
        </is>
      </c>
      <c r="G387" s="92" t="inlineStr">
        <is>
          <t>RA 해제</t>
        </is>
      </c>
      <c r="H387" s="93" t="n">
        <v>0</v>
      </c>
      <c r="I387" s="93" t="n">
        <v>-14421000</v>
      </c>
      <c r="J387" s="93" t="n">
        <v>0</v>
      </c>
      <c r="L387" s="9">
        <f>IF($A387="","",VALUE($A387&amp;"")*12+VALUE($B387&amp;""))</f>
        <v/>
      </c>
      <c r="M387" s="94">
        <f>IF($A387="",0,$H387*설정!$C$23)</f>
        <v/>
      </c>
      <c r="N387" s="94">
        <f>IF($A387="",0,$I387*설정!$C$23)</f>
        <v/>
      </c>
      <c r="O387" s="94">
        <f>IF($A387="",0,$J387*설정!$C$23)</f>
        <v/>
      </c>
      <c r="P387" s="64">
        <f>IF($A387="","",IFERROR(INDEX(입력옵션!$C$58:$C$68,MATCH($F387&amp;"",입력옵션!$E$58:$E$68,0)),IFERROR(INDEX(입력옵션!$C$58:$C$68,MATCH($G387&amp;"",입력옵션!$F$58:$F$68,0)),$F387&amp;"")))</f>
        <v/>
      </c>
    </row>
    <row r="388">
      <c r="A388" s="92" t="n">
        <v>2025</v>
      </c>
      <c r="B388" s="92" t="n">
        <v>9</v>
      </c>
      <c r="C388" s="92" t="inlineStr">
        <is>
          <t>PF03</t>
        </is>
      </c>
      <c r="D388" s="92" t="inlineStr">
        <is>
          <t>단체(단기)</t>
        </is>
      </c>
      <c r="E388" s="92" t="inlineStr">
        <is>
          <t>PAA</t>
        </is>
      </c>
      <c r="F388" s="92" t="inlineStr">
        <is>
          <t>F60</t>
        </is>
      </c>
      <c r="G388" s="92" t="inlineStr">
        <is>
          <t>현금흐름 및 기타</t>
        </is>
      </c>
      <c r="H388" s="93" t="n">
        <v>179276000</v>
      </c>
      <c r="I388" s="93" t="n">
        <v>9941000</v>
      </c>
      <c r="J388" s="93" t="n">
        <v>0</v>
      </c>
      <c r="L388" s="9">
        <f>IF($A388="","",VALUE($A388&amp;"")*12+VALUE($B388&amp;""))</f>
        <v/>
      </c>
      <c r="M388" s="94">
        <f>IF($A388="",0,$H388*설정!$C$23)</f>
        <v/>
      </c>
      <c r="N388" s="94">
        <f>IF($A388="",0,$I388*설정!$C$23)</f>
        <v/>
      </c>
      <c r="O388" s="94">
        <f>IF($A388="",0,$J388*설정!$C$23)</f>
        <v/>
      </c>
      <c r="P388" s="64">
        <f>IF($A388="","",IFERROR(INDEX(입력옵션!$C$58:$C$68,MATCH($F388&amp;"",입력옵션!$E$58:$E$68,0)),IFERROR(INDEX(입력옵션!$C$58:$C$68,MATCH($G388&amp;"",입력옵션!$F$58:$F$68,0)),$F388&amp;"")))</f>
        <v/>
      </c>
    </row>
    <row r="389">
      <c r="A389" s="92" t="n">
        <v>2025</v>
      </c>
      <c r="B389" s="92" t="n">
        <v>9</v>
      </c>
      <c r="C389" s="92" t="inlineStr">
        <is>
          <t>PF03</t>
        </is>
      </c>
      <c r="D389" s="92" t="inlineStr">
        <is>
          <t>단체(단기)</t>
        </is>
      </c>
      <c r="E389" s="92" t="inlineStr">
        <is>
          <t>PAA</t>
        </is>
      </c>
      <c r="F389" s="92" t="inlineStr">
        <is>
          <t>F99</t>
        </is>
      </c>
      <c r="G389" s="92" t="inlineStr">
        <is>
          <t>기말잔액</t>
        </is>
      </c>
      <c r="H389" s="93" t="n">
        <v>42166838000</v>
      </c>
      <c r="I389" s="93" t="n">
        <v>2399012000</v>
      </c>
      <c r="J389" s="93" t="n">
        <v>0</v>
      </c>
      <c r="L389" s="9">
        <f>IF($A389="","",VALUE($A389&amp;"")*12+VALUE($B389&amp;""))</f>
        <v/>
      </c>
      <c r="M389" s="94">
        <f>IF($A389="",0,$H389*설정!$C$23)</f>
        <v/>
      </c>
      <c r="N389" s="94">
        <f>IF($A389="",0,$I389*설정!$C$23)</f>
        <v/>
      </c>
      <c r="O389" s="94">
        <f>IF($A389="",0,$J389*설정!$C$23)</f>
        <v/>
      </c>
      <c r="P389" s="64">
        <f>IF($A389="","",IFERROR(INDEX(입력옵션!$C$58:$C$68,MATCH($F389&amp;"",입력옵션!$E$58:$E$68,0)),IFERROR(INDEX(입력옵션!$C$58:$C$68,MATCH($G389&amp;"",입력옵션!$F$58:$F$68,0)),$F389&amp;"")))</f>
        <v/>
      </c>
    </row>
    <row r="390">
      <c r="A390" s="92" t="n">
        <v>2025</v>
      </c>
      <c r="B390" s="92" t="n">
        <v>9</v>
      </c>
      <c r="C390" s="92" t="inlineStr">
        <is>
          <t>PF04</t>
        </is>
      </c>
      <c r="D390" s="92" t="inlineStr">
        <is>
          <t>변액</t>
        </is>
      </c>
      <c r="E390" s="92" t="inlineStr">
        <is>
          <t>VFA</t>
        </is>
      </c>
      <c r="F390" s="92" t="inlineStr">
        <is>
          <t>F00</t>
        </is>
      </c>
      <c r="G390" s="92" t="inlineStr">
        <is>
          <t>기초잔액</t>
        </is>
      </c>
      <c r="H390" s="93" t="n">
        <v>314906715000</v>
      </c>
      <c r="I390" s="93" t="n">
        <v>15622698000</v>
      </c>
      <c r="J390" s="93" t="n">
        <v>50413870000</v>
      </c>
      <c r="L390" s="9">
        <f>IF($A390="","",VALUE($A390&amp;"")*12+VALUE($B390&amp;""))</f>
        <v/>
      </c>
      <c r="M390" s="94">
        <f>IF($A390="",0,$H390*설정!$C$23)</f>
        <v/>
      </c>
      <c r="N390" s="94">
        <f>IF($A390="",0,$I390*설정!$C$23)</f>
        <v/>
      </c>
      <c r="O390" s="94">
        <f>IF($A390="",0,$J390*설정!$C$23)</f>
        <v/>
      </c>
      <c r="P390" s="64">
        <f>IF($A390="","",IFERROR(INDEX(입력옵션!$C$58:$C$68,MATCH($F390&amp;"",입력옵션!$E$58:$E$68,0)),IFERROR(INDEX(입력옵션!$C$58:$C$68,MATCH($G390&amp;"",입력옵션!$F$58:$F$68,0)),$F390&amp;"")))</f>
        <v/>
      </c>
    </row>
    <row r="391">
      <c r="A391" s="92" t="n">
        <v>2025</v>
      </c>
      <c r="B391" s="92" t="n">
        <v>9</v>
      </c>
      <c r="C391" s="92" t="inlineStr">
        <is>
          <t>PF04</t>
        </is>
      </c>
      <c r="D391" s="92" t="inlineStr">
        <is>
          <t>변액</t>
        </is>
      </c>
      <c r="E391" s="92" t="inlineStr">
        <is>
          <t>VFA</t>
        </is>
      </c>
      <c r="F391" s="92" t="inlineStr">
        <is>
          <t>F10</t>
        </is>
      </c>
      <c r="G391" s="92" t="inlineStr">
        <is>
          <t>신계약 효과</t>
        </is>
      </c>
      <c r="H391" s="93" t="n">
        <v>-792021000</v>
      </c>
      <c r="I391" s="93" t="n">
        <v>158404000</v>
      </c>
      <c r="J391" s="93" t="n">
        <v>633617000</v>
      </c>
      <c r="L391" s="9">
        <f>IF($A391="","",VALUE($A391&amp;"")*12+VALUE($B391&amp;""))</f>
        <v/>
      </c>
      <c r="M391" s="94">
        <f>IF($A391="",0,$H391*설정!$C$23)</f>
        <v/>
      </c>
      <c r="N391" s="94">
        <f>IF($A391="",0,$I391*설정!$C$23)</f>
        <v/>
      </c>
      <c r="O391" s="94">
        <f>IF($A391="",0,$J391*설정!$C$23)</f>
        <v/>
      </c>
      <c r="P391" s="64">
        <f>IF($A391="","",IFERROR(INDEX(입력옵션!$C$58:$C$68,MATCH($F391&amp;"",입력옵션!$E$58:$E$68,0)),IFERROR(INDEX(입력옵션!$C$58:$C$68,MATCH($G391&amp;"",입력옵션!$F$58:$F$68,0)),$F391&amp;"")))</f>
        <v/>
      </c>
    </row>
    <row r="392">
      <c r="A392" s="92" t="n">
        <v>2025</v>
      </c>
      <c r="B392" s="92" t="n">
        <v>9</v>
      </c>
      <c r="C392" s="92" t="inlineStr">
        <is>
          <t>PF04</t>
        </is>
      </c>
      <c r="D392" s="92" t="inlineStr">
        <is>
          <t>변액</t>
        </is>
      </c>
      <c r="E392" s="92" t="inlineStr">
        <is>
          <t>VFA</t>
        </is>
      </c>
      <c r="F392" s="92" t="inlineStr">
        <is>
          <t>F21</t>
        </is>
      </c>
      <c r="G392" s="92" t="inlineStr">
        <is>
          <t>가정변경-사업비</t>
        </is>
      </c>
      <c r="H392" s="93" t="n">
        <v>0</v>
      </c>
      <c r="I392" s="93" t="n">
        <v>0</v>
      </c>
      <c r="J392" s="93" t="n">
        <v>0</v>
      </c>
      <c r="L392" s="9">
        <f>IF($A392="","",VALUE($A392&amp;"")*12+VALUE($B392&amp;""))</f>
        <v/>
      </c>
      <c r="M392" s="94">
        <f>IF($A392="",0,$H392*설정!$C$23)</f>
        <v/>
      </c>
      <c r="N392" s="94">
        <f>IF($A392="",0,$I392*설정!$C$23)</f>
        <v/>
      </c>
      <c r="O392" s="94">
        <f>IF($A392="",0,$J392*설정!$C$23)</f>
        <v/>
      </c>
      <c r="P392" s="64">
        <f>IF($A392="","",IFERROR(INDEX(입력옵션!$C$58:$C$68,MATCH($F392&amp;"",입력옵션!$E$58:$E$68,0)),IFERROR(INDEX(입력옵션!$C$58:$C$68,MATCH($G392&amp;"",입력옵션!$F$58:$F$68,0)),$F392&amp;"")))</f>
        <v/>
      </c>
    </row>
    <row r="393">
      <c r="A393" s="92" t="n">
        <v>2025</v>
      </c>
      <c r="B393" s="92" t="n">
        <v>9</v>
      </c>
      <c r="C393" s="92" t="inlineStr">
        <is>
          <t>PF04</t>
        </is>
      </c>
      <c r="D393" s="92" t="inlineStr">
        <is>
          <t>변액</t>
        </is>
      </c>
      <c r="E393" s="92" t="inlineStr">
        <is>
          <t>VFA</t>
        </is>
      </c>
      <c r="F393" s="92" t="inlineStr">
        <is>
          <t>F22</t>
        </is>
      </c>
      <c r="G393" s="92" t="inlineStr">
        <is>
          <t>가정변경-기타</t>
        </is>
      </c>
      <c r="H393" s="93" t="n">
        <v>0</v>
      </c>
      <c r="I393" s="93" t="n">
        <v>0</v>
      </c>
      <c r="J393" s="93" t="n">
        <v>0</v>
      </c>
      <c r="L393" s="9">
        <f>IF($A393="","",VALUE($A393&amp;"")*12+VALUE($B393&amp;""))</f>
        <v/>
      </c>
      <c r="M393" s="94">
        <f>IF($A393="",0,$H393*설정!$C$23)</f>
        <v/>
      </c>
      <c r="N393" s="94">
        <f>IF($A393="",0,$I393*설정!$C$23)</f>
        <v/>
      </c>
      <c r="O393" s="94">
        <f>IF($A393="",0,$J393*설정!$C$23)</f>
        <v/>
      </c>
      <c r="P393" s="64">
        <f>IF($A393="","",IFERROR(INDEX(입력옵션!$C$58:$C$68,MATCH($F393&amp;"",입력옵션!$E$58:$E$68,0)),IFERROR(INDEX(입력옵션!$C$58:$C$68,MATCH($G393&amp;"",입력옵션!$F$58:$F$68,0)),$F393&amp;"")))</f>
        <v/>
      </c>
    </row>
    <row r="394">
      <c r="A394" s="92" t="n">
        <v>2025</v>
      </c>
      <c r="B394" s="92" t="n">
        <v>9</v>
      </c>
      <c r="C394" s="92" t="inlineStr">
        <is>
          <t>PF04</t>
        </is>
      </c>
      <c r="D394" s="92" t="inlineStr">
        <is>
          <t>변액</t>
        </is>
      </c>
      <c r="E394" s="92" t="inlineStr">
        <is>
          <t>VFA</t>
        </is>
      </c>
      <c r="F394" s="92" t="inlineStr">
        <is>
          <t>F31</t>
        </is>
      </c>
      <c r="G394" s="92" t="inlineStr">
        <is>
          <t>경험조정-취득현금흐름</t>
        </is>
      </c>
      <c r="H394" s="93" t="n">
        <v>0</v>
      </c>
      <c r="I394" s="93" t="n">
        <v>0</v>
      </c>
      <c r="J394" s="93" t="n">
        <v>1663000</v>
      </c>
      <c r="L394" s="9">
        <f>IF($A394="","",VALUE($A394&amp;"")*12+VALUE($B394&amp;""))</f>
        <v/>
      </c>
      <c r="M394" s="94">
        <f>IF($A394="",0,$H394*설정!$C$23)</f>
        <v/>
      </c>
      <c r="N394" s="94">
        <f>IF($A394="",0,$I394*설정!$C$23)</f>
        <v/>
      </c>
      <c r="O394" s="94">
        <f>IF($A394="",0,$J394*설정!$C$23)</f>
        <v/>
      </c>
      <c r="P394" s="64">
        <f>IF($A394="","",IFERROR(INDEX(입력옵션!$C$58:$C$68,MATCH($F394&amp;"",입력옵션!$E$58:$E$68,0)),IFERROR(INDEX(입력옵션!$C$58:$C$68,MATCH($G394&amp;"",입력옵션!$F$58:$F$68,0)),$F394&amp;"")))</f>
        <v/>
      </c>
    </row>
    <row r="395">
      <c r="A395" s="92" t="n">
        <v>2025</v>
      </c>
      <c r="B395" s="92" t="n">
        <v>9</v>
      </c>
      <c r="C395" s="92" t="inlineStr">
        <is>
          <t>PF04</t>
        </is>
      </c>
      <c r="D395" s="92" t="inlineStr">
        <is>
          <t>변액</t>
        </is>
      </c>
      <c r="E395" s="92" t="inlineStr">
        <is>
          <t>VFA</t>
        </is>
      </c>
      <c r="F395" s="92" t="inlineStr">
        <is>
          <t>F32</t>
        </is>
      </c>
      <c r="G395" s="92" t="inlineStr">
        <is>
          <t>경험조정-보험료 등</t>
        </is>
      </c>
      <c r="H395" s="93" t="n">
        <v>0</v>
      </c>
      <c r="I395" s="93" t="n">
        <v>0</v>
      </c>
      <c r="J395" s="93" t="n">
        <v>194959000</v>
      </c>
      <c r="L395" s="9">
        <f>IF($A395="","",VALUE($A395&amp;"")*12+VALUE($B395&amp;""))</f>
        <v/>
      </c>
      <c r="M395" s="94">
        <f>IF($A395="",0,$H395*설정!$C$23)</f>
        <v/>
      </c>
      <c r="N395" s="94">
        <f>IF($A395="",0,$I395*설정!$C$23)</f>
        <v/>
      </c>
      <c r="O395" s="94">
        <f>IF($A395="",0,$J395*설정!$C$23)</f>
        <v/>
      </c>
      <c r="P395" s="64">
        <f>IF($A395="","",IFERROR(INDEX(입력옵션!$C$58:$C$68,MATCH($F395&amp;"",입력옵션!$E$58:$E$68,0)),IFERROR(INDEX(입력옵션!$C$58:$C$68,MATCH($G395&amp;"",입력옵션!$F$58:$F$68,0)),$F395&amp;"")))</f>
        <v/>
      </c>
    </row>
    <row r="396">
      <c r="A396" s="92" t="n">
        <v>2025</v>
      </c>
      <c r="B396" s="92" t="n">
        <v>9</v>
      </c>
      <c r="C396" s="92" t="inlineStr">
        <is>
          <t>PF04</t>
        </is>
      </c>
      <c r="D396" s="92" t="inlineStr">
        <is>
          <t>변액</t>
        </is>
      </c>
      <c r="E396" s="92" t="inlineStr">
        <is>
          <t>VFA</t>
        </is>
      </c>
      <c r="F396" s="92" t="inlineStr">
        <is>
          <t>F40</t>
        </is>
      </c>
      <c r="G396" s="92" t="inlineStr">
        <is>
          <t>보험금융비용(이자부리)</t>
        </is>
      </c>
      <c r="H396" s="93" t="n">
        <v>787267000</v>
      </c>
      <c r="I396" s="93" t="n">
        <v>31245000</v>
      </c>
      <c r="J396" s="93" t="n">
        <v>126035000</v>
      </c>
      <c r="L396" s="9">
        <f>IF($A396="","",VALUE($A396&amp;"")*12+VALUE($B396&amp;""))</f>
        <v/>
      </c>
      <c r="M396" s="94">
        <f>IF($A396="",0,$H396*설정!$C$23)</f>
        <v/>
      </c>
      <c r="N396" s="94">
        <f>IF($A396="",0,$I396*설정!$C$23)</f>
        <v/>
      </c>
      <c r="O396" s="94">
        <f>IF($A396="",0,$J396*설정!$C$23)</f>
        <v/>
      </c>
      <c r="P396" s="64">
        <f>IF($A396="","",IFERROR(INDEX(입력옵션!$C$58:$C$68,MATCH($F396&amp;"",입력옵션!$E$58:$E$68,0)),IFERROR(INDEX(입력옵션!$C$58:$C$68,MATCH($G396&amp;"",입력옵션!$F$58:$F$68,0)),$F396&amp;"")))</f>
        <v/>
      </c>
    </row>
    <row r="397">
      <c r="A397" s="92" t="n">
        <v>2025</v>
      </c>
      <c r="B397" s="92" t="n">
        <v>9</v>
      </c>
      <c r="C397" s="92" t="inlineStr">
        <is>
          <t>PF04</t>
        </is>
      </c>
      <c r="D397" s="92" t="inlineStr">
        <is>
          <t>변액</t>
        </is>
      </c>
      <c r="E397" s="92" t="inlineStr">
        <is>
          <t>VFA</t>
        </is>
      </c>
      <c r="F397" s="92" t="inlineStr">
        <is>
          <t>F51</t>
        </is>
      </c>
      <c r="G397" s="92" t="inlineStr">
        <is>
          <t>CSM 상각</t>
        </is>
      </c>
      <c r="H397" s="93" t="n">
        <v>0</v>
      </c>
      <c r="I397" s="93" t="n">
        <v>0</v>
      </c>
      <c r="J397" s="93" t="n">
        <v>-453725000</v>
      </c>
      <c r="L397" s="9">
        <f>IF($A397="","",VALUE($A397&amp;"")*12+VALUE($B397&amp;""))</f>
        <v/>
      </c>
      <c r="M397" s="94">
        <f>IF($A397="",0,$H397*설정!$C$23)</f>
        <v/>
      </c>
      <c r="N397" s="94">
        <f>IF($A397="",0,$I397*설정!$C$23)</f>
        <v/>
      </c>
      <c r="O397" s="94">
        <f>IF($A397="",0,$J397*설정!$C$23)</f>
        <v/>
      </c>
      <c r="P397" s="64">
        <f>IF($A397="","",IFERROR(INDEX(입력옵션!$C$58:$C$68,MATCH($F397&amp;"",입력옵션!$E$58:$E$68,0)),IFERROR(INDEX(입력옵션!$C$58:$C$68,MATCH($G397&amp;"",입력옵션!$F$58:$F$68,0)),$F397&amp;"")))</f>
        <v/>
      </c>
    </row>
    <row r="398">
      <c r="A398" s="92" t="n">
        <v>2025</v>
      </c>
      <c r="B398" s="92" t="n">
        <v>9</v>
      </c>
      <c r="C398" s="92" t="inlineStr">
        <is>
          <t>PF04</t>
        </is>
      </c>
      <c r="D398" s="92" t="inlineStr">
        <is>
          <t>변액</t>
        </is>
      </c>
      <c r="E398" s="92" t="inlineStr">
        <is>
          <t>VFA</t>
        </is>
      </c>
      <c r="F398" s="92" t="inlineStr">
        <is>
          <t>F52</t>
        </is>
      </c>
      <c r="G398" s="92" t="inlineStr">
        <is>
          <t>RA 해제</t>
        </is>
      </c>
      <c r="H398" s="93" t="n">
        <v>0</v>
      </c>
      <c r="I398" s="93" t="n">
        <v>-93736000</v>
      </c>
      <c r="J398" s="93" t="n">
        <v>0</v>
      </c>
      <c r="L398" s="9">
        <f>IF($A398="","",VALUE($A398&amp;"")*12+VALUE($B398&amp;""))</f>
        <v/>
      </c>
      <c r="M398" s="94">
        <f>IF($A398="",0,$H398*설정!$C$23)</f>
        <v/>
      </c>
      <c r="N398" s="94">
        <f>IF($A398="",0,$I398*설정!$C$23)</f>
        <v/>
      </c>
      <c r="O398" s="94">
        <f>IF($A398="",0,$J398*설정!$C$23)</f>
        <v/>
      </c>
      <c r="P398" s="64">
        <f>IF($A398="","",IFERROR(INDEX(입력옵션!$C$58:$C$68,MATCH($F398&amp;"",입력옵션!$E$58:$E$68,0)),IFERROR(INDEX(입력옵션!$C$58:$C$68,MATCH($G398&amp;"",입력옵션!$F$58:$F$68,0)),$F398&amp;"")))</f>
        <v/>
      </c>
    </row>
    <row r="399">
      <c r="A399" s="92" t="n">
        <v>2025</v>
      </c>
      <c r="B399" s="92" t="n">
        <v>9</v>
      </c>
      <c r="C399" s="92" t="inlineStr">
        <is>
          <t>PF04</t>
        </is>
      </c>
      <c r="D399" s="92" t="inlineStr">
        <is>
          <t>변액</t>
        </is>
      </c>
      <c r="E399" s="92" t="inlineStr">
        <is>
          <t>VFA</t>
        </is>
      </c>
      <c r="F399" s="92" t="inlineStr">
        <is>
          <t>F60</t>
        </is>
      </c>
      <c r="G399" s="92" t="inlineStr">
        <is>
          <t>현금흐름 및 기타</t>
        </is>
      </c>
      <c r="H399" s="93" t="n">
        <v>1349324000</v>
      </c>
      <c r="I399" s="93" t="n">
        <v>-125033000</v>
      </c>
      <c r="J399" s="93" t="n">
        <v>0</v>
      </c>
      <c r="L399" s="9">
        <f>IF($A399="","",VALUE($A399&amp;"")*12+VALUE($B399&amp;""))</f>
        <v/>
      </c>
      <c r="M399" s="94">
        <f>IF($A399="",0,$H399*설정!$C$23)</f>
        <v/>
      </c>
      <c r="N399" s="94">
        <f>IF($A399="",0,$I399*설정!$C$23)</f>
        <v/>
      </c>
      <c r="O399" s="94">
        <f>IF($A399="",0,$J399*설정!$C$23)</f>
        <v/>
      </c>
      <c r="P399" s="64">
        <f>IF($A399="","",IFERROR(INDEX(입력옵션!$C$58:$C$68,MATCH($F399&amp;"",입력옵션!$E$58:$E$68,0)),IFERROR(INDEX(입력옵션!$C$58:$C$68,MATCH($G399&amp;"",입력옵션!$F$58:$F$68,0)),$F399&amp;"")))</f>
        <v/>
      </c>
    </row>
    <row r="400">
      <c r="A400" s="92" t="n">
        <v>2025</v>
      </c>
      <c r="B400" s="92" t="n">
        <v>9</v>
      </c>
      <c r="C400" s="92" t="inlineStr">
        <is>
          <t>PF04</t>
        </is>
      </c>
      <c r="D400" s="92" t="inlineStr">
        <is>
          <t>변액</t>
        </is>
      </c>
      <c r="E400" s="92" t="inlineStr">
        <is>
          <t>VFA</t>
        </is>
      </c>
      <c r="F400" s="92" t="inlineStr">
        <is>
          <t>F99</t>
        </is>
      </c>
      <c r="G400" s="92" t="inlineStr">
        <is>
          <t>기말잔액</t>
        </is>
      </c>
      <c r="H400" s="93" t="n">
        <v>316251285000</v>
      </c>
      <c r="I400" s="93" t="n">
        <v>15593578000</v>
      </c>
      <c r="J400" s="93" t="n">
        <v>50916419000</v>
      </c>
      <c r="L400" s="9">
        <f>IF($A400="","",VALUE($A400&amp;"")*12+VALUE($B400&amp;""))</f>
        <v/>
      </c>
      <c r="M400" s="94">
        <f>IF($A400="",0,$H400*설정!$C$23)</f>
        <v/>
      </c>
      <c r="N400" s="94">
        <f>IF($A400="",0,$I400*설정!$C$23)</f>
        <v/>
      </c>
      <c r="O400" s="94">
        <f>IF($A400="",0,$J400*설정!$C$23)</f>
        <v/>
      </c>
      <c r="P400" s="64">
        <f>IF($A400="","",IFERROR(INDEX(입력옵션!$C$58:$C$68,MATCH($F400&amp;"",입력옵션!$E$58:$E$68,0)),IFERROR(INDEX(입력옵션!$C$58:$C$68,MATCH($G400&amp;"",입력옵션!$F$58:$F$68,0)),$F400&amp;"")))</f>
        <v/>
      </c>
    </row>
    <row r="401">
      <c r="A401" s="92" t="n">
        <v>2025</v>
      </c>
      <c r="B401" s="92" t="n">
        <v>10</v>
      </c>
      <c r="C401" s="92" t="inlineStr">
        <is>
          <t>PF01</t>
        </is>
      </c>
      <c r="D401" s="92" t="inlineStr">
        <is>
          <t>보장성</t>
        </is>
      </c>
      <c r="E401" s="92" t="inlineStr">
        <is>
          <t>GMM</t>
        </is>
      </c>
      <c r="F401" s="92" t="inlineStr">
        <is>
          <t>F00</t>
        </is>
      </c>
      <c r="G401" s="92" t="inlineStr">
        <is>
          <t>기초잔액</t>
        </is>
      </c>
      <c r="H401" s="93" t="n">
        <v>1054170950000</v>
      </c>
      <c r="I401" s="93" t="n">
        <v>71970360000</v>
      </c>
      <c r="J401" s="93" t="n">
        <v>242384060000</v>
      </c>
      <c r="L401" s="9">
        <f>IF($A401="","",VALUE($A401&amp;"")*12+VALUE($B401&amp;""))</f>
        <v/>
      </c>
      <c r="M401" s="94">
        <f>IF($A401="",0,$H401*설정!$C$23)</f>
        <v/>
      </c>
      <c r="N401" s="94">
        <f>IF($A401="",0,$I401*설정!$C$23)</f>
        <v/>
      </c>
      <c r="O401" s="94">
        <f>IF($A401="",0,$J401*설정!$C$23)</f>
        <v/>
      </c>
      <c r="P401" s="64">
        <f>IF($A401="","",IFERROR(INDEX(입력옵션!$C$58:$C$68,MATCH($F401&amp;"",입력옵션!$E$58:$E$68,0)),IFERROR(INDEX(입력옵션!$C$58:$C$68,MATCH($G401&amp;"",입력옵션!$F$58:$F$68,0)),$F401&amp;"")))</f>
        <v/>
      </c>
    </row>
    <row r="402">
      <c r="A402" s="92" t="n">
        <v>2025</v>
      </c>
      <c r="B402" s="92" t="n">
        <v>10</v>
      </c>
      <c r="C402" s="92" t="inlineStr">
        <is>
          <t>PF01</t>
        </is>
      </c>
      <c r="D402" s="92" t="inlineStr">
        <is>
          <t>보장성</t>
        </is>
      </c>
      <c r="E402" s="92" t="inlineStr">
        <is>
          <t>GMM</t>
        </is>
      </c>
      <c r="F402" s="92" t="inlineStr">
        <is>
          <t>F10</t>
        </is>
      </c>
      <c r="G402" s="92" t="inlineStr">
        <is>
          <t>신계약 효과</t>
        </is>
      </c>
      <c r="H402" s="93" t="n">
        <v>-3206212000</v>
      </c>
      <c r="I402" s="93" t="n">
        <v>641242000</v>
      </c>
      <c r="J402" s="93" t="n">
        <v>2564969000</v>
      </c>
      <c r="L402" s="9">
        <f>IF($A402="","",VALUE($A402&amp;"")*12+VALUE($B402&amp;""))</f>
        <v/>
      </c>
      <c r="M402" s="94">
        <f>IF($A402="",0,$H402*설정!$C$23)</f>
        <v/>
      </c>
      <c r="N402" s="94">
        <f>IF($A402="",0,$I402*설정!$C$23)</f>
        <v/>
      </c>
      <c r="O402" s="94">
        <f>IF($A402="",0,$J402*설정!$C$23)</f>
        <v/>
      </c>
      <c r="P402" s="64">
        <f>IF($A402="","",IFERROR(INDEX(입력옵션!$C$58:$C$68,MATCH($F402&amp;"",입력옵션!$E$58:$E$68,0)),IFERROR(INDEX(입력옵션!$C$58:$C$68,MATCH($G402&amp;"",입력옵션!$F$58:$F$68,0)),$F402&amp;"")))</f>
        <v/>
      </c>
    </row>
    <row r="403">
      <c r="A403" s="92" t="n">
        <v>2025</v>
      </c>
      <c r="B403" s="92" t="n">
        <v>10</v>
      </c>
      <c r="C403" s="92" t="inlineStr">
        <is>
          <t>PF01</t>
        </is>
      </c>
      <c r="D403" s="92" t="inlineStr">
        <is>
          <t>보장성</t>
        </is>
      </c>
      <c r="E403" s="92" t="inlineStr">
        <is>
          <t>GMM</t>
        </is>
      </c>
      <c r="F403" s="92" t="inlineStr">
        <is>
          <t>F21</t>
        </is>
      </c>
      <c r="G403" s="92" t="inlineStr">
        <is>
          <t>가정변경-사업비</t>
        </is>
      </c>
      <c r="H403" s="93" t="n">
        <v>0</v>
      </c>
      <c r="I403" s="93" t="n">
        <v>0</v>
      </c>
      <c r="J403" s="93" t="n">
        <v>0</v>
      </c>
      <c r="L403" s="9">
        <f>IF($A403="","",VALUE($A403&amp;"")*12+VALUE($B403&amp;""))</f>
        <v/>
      </c>
      <c r="M403" s="94">
        <f>IF($A403="",0,$H403*설정!$C$23)</f>
        <v/>
      </c>
      <c r="N403" s="94">
        <f>IF($A403="",0,$I403*설정!$C$23)</f>
        <v/>
      </c>
      <c r="O403" s="94">
        <f>IF($A403="",0,$J403*설정!$C$23)</f>
        <v/>
      </c>
      <c r="P403" s="64">
        <f>IF($A403="","",IFERROR(INDEX(입력옵션!$C$58:$C$68,MATCH($F403&amp;"",입력옵션!$E$58:$E$68,0)),IFERROR(INDEX(입력옵션!$C$58:$C$68,MATCH($G403&amp;"",입력옵션!$F$58:$F$68,0)),$F403&amp;"")))</f>
        <v/>
      </c>
    </row>
    <row r="404">
      <c r="A404" s="92" t="n">
        <v>2025</v>
      </c>
      <c r="B404" s="92" t="n">
        <v>10</v>
      </c>
      <c r="C404" s="92" t="inlineStr">
        <is>
          <t>PF01</t>
        </is>
      </c>
      <c r="D404" s="92" t="inlineStr">
        <is>
          <t>보장성</t>
        </is>
      </c>
      <c r="E404" s="92" t="inlineStr">
        <is>
          <t>GMM</t>
        </is>
      </c>
      <c r="F404" s="92" t="inlineStr">
        <is>
          <t>F22</t>
        </is>
      </c>
      <c r="G404" s="92" t="inlineStr">
        <is>
          <t>가정변경-기타</t>
        </is>
      </c>
      <c r="H404" s="93" t="n">
        <v>0</v>
      </c>
      <c r="I404" s="93" t="n">
        <v>0</v>
      </c>
      <c r="J404" s="93" t="n">
        <v>0</v>
      </c>
      <c r="L404" s="9">
        <f>IF($A404="","",VALUE($A404&amp;"")*12+VALUE($B404&amp;""))</f>
        <v/>
      </c>
      <c r="M404" s="94">
        <f>IF($A404="",0,$H404*설정!$C$23)</f>
        <v/>
      </c>
      <c r="N404" s="94">
        <f>IF($A404="",0,$I404*설정!$C$23)</f>
        <v/>
      </c>
      <c r="O404" s="94">
        <f>IF($A404="",0,$J404*설정!$C$23)</f>
        <v/>
      </c>
      <c r="P404" s="64">
        <f>IF($A404="","",IFERROR(INDEX(입력옵션!$C$58:$C$68,MATCH($F404&amp;"",입력옵션!$E$58:$E$68,0)),IFERROR(INDEX(입력옵션!$C$58:$C$68,MATCH($G404&amp;"",입력옵션!$F$58:$F$68,0)),$F404&amp;"")))</f>
        <v/>
      </c>
    </row>
    <row r="405">
      <c r="A405" s="92" t="n">
        <v>2025</v>
      </c>
      <c r="B405" s="92" t="n">
        <v>10</v>
      </c>
      <c r="C405" s="92" t="inlineStr">
        <is>
          <t>PF01</t>
        </is>
      </c>
      <c r="D405" s="92" t="inlineStr">
        <is>
          <t>보장성</t>
        </is>
      </c>
      <c r="E405" s="92" t="inlineStr">
        <is>
          <t>GMM</t>
        </is>
      </c>
      <c r="F405" s="92" t="inlineStr">
        <is>
          <t>F31</t>
        </is>
      </c>
      <c r="G405" s="92" t="inlineStr">
        <is>
          <t>경험조정-취득현금흐름</t>
        </is>
      </c>
      <c r="H405" s="93" t="n">
        <v>0</v>
      </c>
      <c r="I405" s="93" t="n">
        <v>0</v>
      </c>
      <c r="J405" s="93" t="n">
        <v>-1840000</v>
      </c>
      <c r="L405" s="9">
        <f>IF($A405="","",VALUE($A405&amp;"")*12+VALUE($B405&amp;""))</f>
        <v/>
      </c>
      <c r="M405" s="94">
        <f>IF($A405="",0,$H405*설정!$C$23)</f>
        <v/>
      </c>
      <c r="N405" s="94">
        <f>IF($A405="",0,$I405*설정!$C$23)</f>
        <v/>
      </c>
      <c r="O405" s="94">
        <f>IF($A405="",0,$J405*설정!$C$23)</f>
        <v/>
      </c>
      <c r="P405" s="64">
        <f>IF($A405="","",IFERROR(INDEX(입력옵션!$C$58:$C$68,MATCH($F405&amp;"",입력옵션!$E$58:$E$68,0)),IFERROR(INDEX(입력옵션!$C$58:$C$68,MATCH($G405&amp;"",입력옵션!$F$58:$F$68,0)),$F405&amp;"")))</f>
        <v/>
      </c>
    </row>
    <row r="406">
      <c r="A406" s="92" t="n">
        <v>2025</v>
      </c>
      <c r="B406" s="92" t="n">
        <v>10</v>
      </c>
      <c r="C406" s="92" t="inlineStr">
        <is>
          <t>PF01</t>
        </is>
      </c>
      <c r="D406" s="92" t="inlineStr">
        <is>
          <t>보장성</t>
        </is>
      </c>
      <c r="E406" s="92" t="inlineStr">
        <is>
          <t>GMM</t>
        </is>
      </c>
      <c r="F406" s="92" t="inlineStr">
        <is>
          <t>F32</t>
        </is>
      </c>
      <c r="G406" s="92" t="inlineStr">
        <is>
          <t>경험조정-보험료 등</t>
        </is>
      </c>
      <c r="H406" s="93" t="n">
        <v>0</v>
      </c>
      <c r="I406" s="93" t="n">
        <v>0</v>
      </c>
      <c r="J406" s="93" t="n">
        <v>-93471000</v>
      </c>
      <c r="L406" s="9">
        <f>IF($A406="","",VALUE($A406&amp;"")*12+VALUE($B406&amp;""))</f>
        <v/>
      </c>
      <c r="M406" s="94">
        <f>IF($A406="",0,$H406*설정!$C$23)</f>
        <v/>
      </c>
      <c r="N406" s="94">
        <f>IF($A406="",0,$I406*설정!$C$23)</f>
        <v/>
      </c>
      <c r="O406" s="94">
        <f>IF($A406="",0,$J406*설정!$C$23)</f>
        <v/>
      </c>
      <c r="P406" s="64">
        <f>IF($A406="","",IFERROR(INDEX(입력옵션!$C$58:$C$68,MATCH($F406&amp;"",입력옵션!$E$58:$E$68,0)),IFERROR(INDEX(입력옵션!$C$58:$C$68,MATCH($G406&amp;"",입력옵션!$F$58:$F$68,0)),$F406&amp;"")))</f>
        <v/>
      </c>
    </row>
    <row r="407">
      <c r="A407" s="92" t="n">
        <v>2025</v>
      </c>
      <c r="B407" s="92" t="n">
        <v>10</v>
      </c>
      <c r="C407" s="92" t="inlineStr">
        <is>
          <t>PF01</t>
        </is>
      </c>
      <c r="D407" s="92" t="inlineStr">
        <is>
          <t>보장성</t>
        </is>
      </c>
      <c r="E407" s="92" t="inlineStr">
        <is>
          <t>GMM</t>
        </is>
      </c>
      <c r="F407" s="92" t="inlineStr">
        <is>
          <t>F40</t>
        </is>
      </c>
      <c r="G407" s="92" t="inlineStr">
        <is>
          <t>보험금융비용(이자부리)</t>
        </is>
      </c>
      <c r="H407" s="93" t="n">
        <v>2635427000</v>
      </c>
      <c r="I407" s="93" t="n">
        <v>143941000</v>
      </c>
      <c r="J407" s="93" t="n">
        <v>605960000</v>
      </c>
      <c r="L407" s="9">
        <f>IF($A407="","",VALUE($A407&amp;"")*12+VALUE($B407&amp;""))</f>
        <v/>
      </c>
      <c r="M407" s="94">
        <f>IF($A407="",0,$H407*설정!$C$23)</f>
        <v/>
      </c>
      <c r="N407" s="94">
        <f>IF($A407="",0,$I407*설정!$C$23)</f>
        <v/>
      </c>
      <c r="O407" s="94">
        <f>IF($A407="",0,$J407*설정!$C$23)</f>
        <v/>
      </c>
      <c r="P407" s="64">
        <f>IF($A407="","",IFERROR(INDEX(입력옵션!$C$58:$C$68,MATCH($F407&amp;"",입력옵션!$E$58:$E$68,0)),IFERROR(INDEX(입력옵션!$C$58:$C$68,MATCH($G407&amp;"",입력옵션!$F$58:$F$68,0)),$F407&amp;"")))</f>
        <v/>
      </c>
    </row>
    <row r="408">
      <c r="A408" s="92" t="n">
        <v>2025</v>
      </c>
      <c r="B408" s="92" t="n">
        <v>10</v>
      </c>
      <c r="C408" s="92" t="inlineStr">
        <is>
          <t>PF01</t>
        </is>
      </c>
      <c r="D408" s="92" t="inlineStr">
        <is>
          <t>보장성</t>
        </is>
      </c>
      <c r="E408" s="92" t="inlineStr">
        <is>
          <t>GMM</t>
        </is>
      </c>
      <c r="F408" s="92" t="inlineStr">
        <is>
          <t>F51</t>
        </is>
      </c>
      <c r="G408" s="92" t="inlineStr">
        <is>
          <t>CSM 상각</t>
        </is>
      </c>
      <c r="H408" s="93" t="n">
        <v>0</v>
      </c>
      <c r="I408" s="93" t="n">
        <v>0</v>
      </c>
      <c r="J408" s="93" t="n">
        <v>-2181457000</v>
      </c>
      <c r="L408" s="9">
        <f>IF($A408="","",VALUE($A408&amp;"")*12+VALUE($B408&amp;""))</f>
        <v/>
      </c>
      <c r="M408" s="94">
        <f>IF($A408="",0,$H408*설정!$C$23)</f>
        <v/>
      </c>
      <c r="N408" s="94">
        <f>IF($A408="",0,$I408*설정!$C$23)</f>
        <v/>
      </c>
      <c r="O408" s="94">
        <f>IF($A408="",0,$J408*설정!$C$23)</f>
        <v/>
      </c>
      <c r="P408" s="64">
        <f>IF($A408="","",IFERROR(INDEX(입력옵션!$C$58:$C$68,MATCH($F408&amp;"",입력옵션!$E$58:$E$68,0)),IFERROR(INDEX(입력옵션!$C$58:$C$68,MATCH($G408&amp;"",입력옵션!$F$58:$F$68,0)),$F408&amp;"")))</f>
        <v/>
      </c>
    </row>
    <row r="409">
      <c r="A409" s="92" t="n">
        <v>2025</v>
      </c>
      <c r="B409" s="92" t="n">
        <v>10</v>
      </c>
      <c r="C409" s="92" t="inlineStr">
        <is>
          <t>PF01</t>
        </is>
      </c>
      <c r="D409" s="92" t="inlineStr">
        <is>
          <t>보장성</t>
        </is>
      </c>
      <c r="E409" s="92" t="inlineStr">
        <is>
          <t>GMM</t>
        </is>
      </c>
      <c r="F409" s="92" t="inlineStr">
        <is>
          <t>F52</t>
        </is>
      </c>
      <c r="G409" s="92" t="inlineStr">
        <is>
          <t>RA 해제</t>
        </is>
      </c>
      <c r="H409" s="93" t="n">
        <v>0</v>
      </c>
      <c r="I409" s="93" t="n">
        <v>-431822000</v>
      </c>
      <c r="J409" s="93" t="n">
        <v>0</v>
      </c>
      <c r="L409" s="9">
        <f>IF($A409="","",VALUE($A409&amp;"")*12+VALUE($B409&amp;""))</f>
        <v/>
      </c>
      <c r="M409" s="94">
        <f>IF($A409="",0,$H409*설정!$C$23)</f>
        <v/>
      </c>
      <c r="N409" s="94">
        <f>IF($A409="",0,$I409*설정!$C$23)</f>
        <v/>
      </c>
      <c r="O409" s="94">
        <f>IF($A409="",0,$J409*설정!$C$23)</f>
        <v/>
      </c>
      <c r="P409" s="64">
        <f>IF($A409="","",IFERROR(INDEX(입력옵션!$C$58:$C$68,MATCH($F409&amp;"",입력옵션!$E$58:$E$68,0)),IFERROR(INDEX(입력옵션!$C$58:$C$68,MATCH($G409&amp;"",입력옵션!$F$58:$F$68,0)),$F409&amp;"")))</f>
        <v/>
      </c>
    </row>
    <row r="410">
      <c r="A410" s="92" t="n">
        <v>2025</v>
      </c>
      <c r="B410" s="92" t="n">
        <v>10</v>
      </c>
      <c r="C410" s="92" t="inlineStr">
        <is>
          <t>PF01</t>
        </is>
      </c>
      <c r="D410" s="92" t="inlineStr">
        <is>
          <t>보장성</t>
        </is>
      </c>
      <c r="E410" s="92" t="inlineStr">
        <is>
          <t>GMM</t>
        </is>
      </c>
      <c r="F410" s="92" t="inlineStr">
        <is>
          <t>F60</t>
        </is>
      </c>
      <c r="G410" s="92" t="inlineStr">
        <is>
          <t>현금흐름 및 기타</t>
        </is>
      </c>
      <c r="H410" s="93" t="n">
        <v>2736184000</v>
      </c>
      <c r="I410" s="93" t="n">
        <v>-365301000</v>
      </c>
      <c r="J410" s="93" t="n">
        <v>0</v>
      </c>
      <c r="L410" s="9">
        <f>IF($A410="","",VALUE($A410&amp;"")*12+VALUE($B410&amp;""))</f>
        <v/>
      </c>
      <c r="M410" s="94">
        <f>IF($A410="",0,$H410*설정!$C$23)</f>
        <v/>
      </c>
      <c r="N410" s="94">
        <f>IF($A410="",0,$I410*설정!$C$23)</f>
        <v/>
      </c>
      <c r="O410" s="94">
        <f>IF($A410="",0,$J410*설정!$C$23)</f>
        <v/>
      </c>
      <c r="P410" s="64">
        <f>IF($A410="","",IFERROR(INDEX(입력옵션!$C$58:$C$68,MATCH($F410&amp;"",입력옵션!$E$58:$E$68,0)),IFERROR(INDEX(입력옵션!$C$58:$C$68,MATCH($G410&amp;"",입력옵션!$F$58:$F$68,0)),$F410&amp;"")))</f>
        <v/>
      </c>
    </row>
    <row r="411">
      <c r="A411" s="92" t="n">
        <v>2025</v>
      </c>
      <c r="B411" s="92" t="n">
        <v>10</v>
      </c>
      <c r="C411" s="92" t="inlineStr">
        <is>
          <t>PF01</t>
        </is>
      </c>
      <c r="D411" s="92" t="inlineStr">
        <is>
          <t>보장성</t>
        </is>
      </c>
      <c r="E411" s="92" t="inlineStr">
        <is>
          <t>GMM</t>
        </is>
      </c>
      <c r="F411" s="92" t="inlineStr">
        <is>
          <t>F99</t>
        </is>
      </c>
      <c r="G411" s="92" t="inlineStr">
        <is>
          <t>기말잔액</t>
        </is>
      </c>
      <c r="H411" s="93" t="n">
        <v>1056336350000</v>
      </c>
      <c r="I411" s="93" t="n">
        <v>71958420000</v>
      </c>
      <c r="J411" s="93" t="n">
        <v>243278223000</v>
      </c>
      <c r="L411" s="9">
        <f>IF($A411="","",VALUE($A411&amp;"")*12+VALUE($B411&amp;""))</f>
        <v/>
      </c>
      <c r="M411" s="94">
        <f>IF($A411="",0,$H411*설정!$C$23)</f>
        <v/>
      </c>
      <c r="N411" s="94">
        <f>IF($A411="",0,$I411*설정!$C$23)</f>
        <v/>
      </c>
      <c r="O411" s="94">
        <f>IF($A411="",0,$J411*설정!$C$23)</f>
        <v/>
      </c>
      <c r="P411" s="64">
        <f>IF($A411="","",IFERROR(INDEX(입력옵션!$C$58:$C$68,MATCH($F411&amp;"",입력옵션!$E$58:$E$68,0)),IFERROR(INDEX(입력옵션!$C$58:$C$68,MATCH($G411&amp;"",입력옵션!$F$58:$F$68,0)),$F411&amp;"")))</f>
        <v/>
      </c>
    </row>
    <row r="412">
      <c r="A412" s="92" t="n">
        <v>2025</v>
      </c>
      <c r="B412" s="92" t="n">
        <v>10</v>
      </c>
      <c r="C412" s="92" t="inlineStr">
        <is>
          <t>PF02</t>
        </is>
      </c>
      <c r="D412" s="92" t="inlineStr">
        <is>
          <t>저축성</t>
        </is>
      </c>
      <c r="E412" s="92" t="inlineStr">
        <is>
          <t>GMM</t>
        </is>
      </c>
      <c r="F412" s="92" t="inlineStr">
        <is>
          <t>F00</t>
        </is>
      </c>
      <c r="G412" s="92" t="inlineStr">
        <is>
          <t>기초잔액</t>
        </is>
      </c>
      <c r="H412" s="93" t="n">
        <v>695752827000</v>
      </c>
      <c r="I412" s="93" t="n">
        <v>29987650000</v>
      </c>
      <c r="J412" s="93" t="n">
        <v>97457232000</v>
      </c>
      <c r="L412" s="9">
        <f>IF($A412="","",VALUE($A412&amp;"")*12+VALUE($B412&amp;""))</f>
        <v/>
      </c>
      <c r="M412" s="94">
        <f>IF($A412="",0,$H412*설정!$C$23)</f>
        <v/>
      </c>
      <c r="N412" s="94">
        <f>IF($A412="",0,$I412*설정!$C$23)</f>
        <v/>
      </c>
      <c r="O412" s="94">
        <f>IF($A412="",0,$J412*설정!$C$23)</f>
        <v/>
      </c>
      <c r="P412" s="64">
        <f>IF($A412="","",IFERROR(INDEX(입력옵션!$C$58:$C$68,MATCH($F412&amp;"",입력옵션!$E$58:$E$68,0)),IFERROR(INDEX(입력옵션!$C$58:$C$68,MATCH($G412&amp;"",입력옵션!$F$58:$F$68,0)),$F412&amp;"")))</f>
        <v/>
      </c>
    </row>
    <row r="413">
      <c r="A413" s="92" t="n">
        <v>2025</v>
      </c>
      <c r="B413" s="92" t="n">
        <v>10</v>
      </c>
      <c r="C413" s="92" t="inlineStr">
        <is>
          <t>PF02</t>
        </is>
      </c>
      <c r="D413" s="92" t="inlineStr">
        <is>
          <t>저축성</t>
        </is>
      </c>
      <c r="E413" s="92" t="inlineStr">
        <is>
          <t>GMM</t>
        </is>
      </c>
      <c r="F413" s="92" t="inlineStr">
        <is>
          <t>F10</t>
        </is>
      </c>
      <c r="G413" s="92" t="inlineStr">
        <is>
          <t>신계약 효과</t>
        </is>
      </c>
      <c r="H413" s="93" t="n">
        <v>-1292827000</v>
      </c>
      <c r="I413" s="93" t="n">
        <v>258565000</v>
      </c>
      <c r="J413" s="93" t="n">
        <v>1034262000</v>
      </c>
      <c r="L413" s="9">
        <f>IF($A413="","",VALUE($A413&amp;"")*12+VALUE($B413&amp;""))</f>
        <v/>
      </c>
      <c r="M413" s="94">
        <f>IF($A413="",0,$H413*설정!$C$23)</f>
        <v/>
      </c>
      <c r="N413" s="94">
        <f>IF($A413="",0,$I413*설정!$C$23)</f>
        <v/>
      </c>
      <c r="O413" s="94">
        <f>IF($A413="",0,$J413*설정!$C$23)</f>
        <v/>
      </c>
      <c r="P413" s="64">
        <f>IF($A413="","",IFERROR(INDEX(입력옵션!$C$58:$C$68,MATCH($F413&amp;"",입력옵션!$E$58:$E$68,0)),IFERROR(INDEX(입력옵션!$C$58:$C$68,MATCH($G413&amp;"",입력옵션!$F$58:$F$68,0)),$F413&amp;"")))</f>
        <v/>
      </c>
    </row>
    <row r="414">
      <c r="A414" s="92" t="n">
        <v>2025</v>
      </c>
      <c r="B414" s="92" t="n">
        <v>10</v>
      </c>
      <c r="C414" s="92" t="inlineStr">
        <is>
          <t>PF02</t>
        </is>
      </c>
      <c r="D414" s="92" t="inlineStr">
        <is>
          <t>저축성</t>
        </is>
      </c>
      <c r="E414" s="92" t="inlineStr">
        <is>
          <t>GMM</t>
        </is>
      </c>
      <c r="F414" s="92" t="inlineStr">
        <is>
          <t>F21</t>
        </is>
      </c>
      <c r="G414" s="92" t="inlineStr">
        <is>
          <t>가정변경-사업비</t>
        </is>
      </c>
      <c r="H414" s="93" t="n">
        <v>0</v>
      </c>
      <c r="I414" s="93" t="n">
        <v>0</v>
      </c>
      <c r="J414" s="93" t="n">
        <v>0</v>
      </c>
      <c r="L414" s="9">
        <f>IF($A414="","",VALUE($A414&amp;"")*12+VALUE($B414&amp;""))</f>
        <v/>
      </c>
      <c r="M414" s="94">
        <f>IF($A414="",0,$H414*설정!$C$23)</f>
        <v/>
      </c>
      <c r="N414" s="94">
        <f>IF($A414="",0,$I414*설정!$C$23)</f>
        <v/>
      </c>
      <c r="O414" s="94">
        <f>IF($A414="",0,$J414*설정!$C$23)</f>
        <v/>
      </c>
      <c r="P414" s="64">
        <f>IF($A414="","",IFERROR(INDEX(입력옵션!$C$58:$C$68,MATCH($F414&amp;"",입력옵션!$E$58:$E$68,0)),IFERROR(INDEX(입력옵션!$C$58:$C$68,MATCH($G414&amp;"",입력옵션!$F$58:$F$68,0)),$F414&amp;"")))</f>
        <v/>
      </c>
    </row>
    <row r="415">
      <c r="A415" s="92" t="n">
        <v>2025</v>
      </c>
      <c r="B415" s="92" t="n">
        <v>10</v>
      </c>
      <c r="C415" s="92" t="inlineStr">
        <is>
          <t>PF02</t>
        </is>
      </c>
      <c r="D415" s="92" t="inlineStr">
        <is>
          <t>저축성</t>
        </is>
      </c>
      <c r="E415" s="92" t="inlineStr">
        <is>
          <t>GMM</t>
        </is>
      </c>
      <c r="F415" s="92" t="inlineStr">
        <is>
          <t>F22</t>
        </is>
      </c>
      <c r="G415" s="92" t="inlineStr">
        <is>
          <t>가정변경-기타</t>
        </is>
      </c>
      <c r="H415" s="93" t="n">
        <v>0</v>
      </c>
      <c r="I415" s="93" t="n">
        <v>0</v>
      </c>
      <c r="J415" s="93" t="n">
        <v>0</v>
      </c>
      <c r="L415" s="9">
        <f>IF($A415="","",VALUE($A415&amp;"")*12+VALUE($B415&amp;""))</f>
        <v/>
      </c>
      <c r="M415" s="94">
        <f>IF($A415="",0,$H415*설정!$C$23)</f>
        <v/>
      </c>
      <c r="N415" s="94">
        <f>IF($A415="",0,$I415*설정!$C$23)</f>
        <v/>
      </c>
      <c r="O415" s="94">
        <f>IF($A415="",0,$J415*설정!$C$23)</f>
        <v/>
      </c>
      <c r="P415" s="64">
        <f>IF($A415="","",IFERROR(INDEX(입력옵션!$C$58:$C$68,MATCH($F415&amp;"",입력옵션!$E$58:$E$68,0)),IFERROR(INDEX(입력옵션!$C$58:$C$68,MATCH($G415&amp;"",입력옵션!$F$58:$F$68,0)),$F415&amp;"")))</f>
        <v/>
      </c>
    </row>
    <row r="416">
      <c r="A416" s="92" t="n">
        <v>2025</v>
      </c>
      <c r="B416" s="92" t="n">
        <v>10</v>
      </c>
      <c r="C416" s="92" t="inlineStr">
        <is>
          <t>PF02</t>
        </is>
      </c>
      <c r="D416" s="92" t="inlineStr">
        <is>
          <t>저축성</t>
        </is>
      </c>
      <c r="E416" s="92" t="inlineStr">
        <is>
          <t>GMM</t>
        </is>
      </c>
      <c r="F416" s="92" t="inlineStr">
        <is>
          <t>F31</t>
        </is>
      </c>
      <c r="G416" s="92" t="inlineStr">
        <is>
          <t>경험조정-취득현금흐름</t>
        </is>
      </c>
      <c r="H416" s="93" t="n">
        <v>0</v>
      </c>
      <c r="I416" s="93" t="n">
        <v>0</v>
      </c>
      <c r="J416" s="93" t="n">
        <v>2246000</v>
      </c>
      <c r="L416" s="9">
        <f>IF($A416="","",VALUE($A416&amp;"")*12+VALUE($B416&amp;""))</f>
        <v/>
      </c>
      <c r="M416" s="94">
        <f>IF($A416="",0,$H416*설정!$C$23)</f>
        <v/>
      </c>
      <c r="N416" s="94">
        <f>IF($A416="",0,$I416*설정!$C$23)</f>
        <v/>
      </c>
      <c r="O416" s="94">
        <f>IF($A416="",0,$J416*설정!$C$23)</f>
        <v/>
      </c>
      <c r="P416" s="64">
        <f>IF($A416="","",IFERROR(INDEX(입력옵션!$C$58:$C$68,MATCH($F416&amp;"",입력옵션!$E$58:$E$68,0)),IFERROR(INDEX(입력옵션!$C$58:$C$68,MATCH($G416&amp;"",입력옵션!$F$58:$F$68,0)),$F416&amp;"")))</f>
        <v/>
      </c>
    </row>
    <row r="417">
      <c r="A417" s="92" t="n">
        <v>2025</v>
      </c>
      <c r="B417" s="92" t="n">
        <v>10</v>
      </c>
      <c r="C417" s="92" t="inlineStr">
        <is>
          <t>PF02</t>
        </is>
      </c>
      <c r="D417" s="92" t="inlineStr">
        <is>
          <t>저축성</t>
        </is>
      </c>
      <c r="E417" s="92" t="inlineStr">
        <is>
          <t>GMM</t>
        </is>
      </c>
      <c r="F417" s="92" t="inlineStr">
        <is>
          <t>F32</t>
        </is>
      </c>
      <c r="G417" s="92" t="inlineStr">
        <is>
          <t>경험조정-보험료 등</t>
        </is>
      </c>
      <c r="H417" s="93" t="n">
        <v>0</v>
      </c>
      <c r="I417" s="93" t="n">
        <v>0</v>
      </c>
      <c r="J417" s="93" t="n">
        <v>274648000</v>
      </c>
      <c r="L417" s="9">
        <f>IF($A417="","",VALUE($A417&amp;"")*12+VALUE($B417&amp;""))</f>
        <v/>
      </c>
      <c r="M417" s="94">
        <f>IF($A417="",0,$H417*설정!$C$23)</f>
        <v/>
      </c>
      <c r="N417" s="94">
        <f>IF($A417="",0,$I417*설정!$C$23)</f>
        <v/>
      </c>
      <c r="O417" s="94">
        <f>IF($A417="",0,$J417*설정!$C$23)</f>
        <v/>
      </c>
      <c r="P417" s="64">
        <f>IF($A417="","",IFERROR(INDEX(입력옵션!$C$58:$C$68,MATCH($F417&amp;"",입력옵션!$E$58:$E$68,0)),IFERROR(INDEX(입력옵션!$C$58:$C$68,MATCH($G417&amp;"",입력옵션!$F$58:$F$68,0)),$F417&amp;"")))</f>
        <v/>
      </c>
    </row>
    <row r="418">
      <c r="A418" s="92" t="n">
        <v>2025</v>
      </c>
      <c r="B418" s="92" t="n">
        <v>10</v>
      </c>
      <c r="C418" s="92" t="inlineStr">
        <is>
          <t>PF02</t>
        </is>
      </c>
      <c r="D418" s="92" t="inlineStr">
        <is>
          <t>저축성</t>
        </is>
      </c>
      <c r="E418" s="92" t="inlineStr">
        <is>
          <t>GMM</t>
        </is>
      </c>
      <c r="F418" s="92" t="inlineStr">
        <is>
          <t>F40</t>
        </is>
      </c>
      <c r="G418" s="92" t="inlineStr">
        <is>
          <t>보험금융비용(이자부리)</t>
        </is>
      </c>
      <c r="H418" s="93" t="n">
        <v>1739382000</v>
      </c>
      <c r="I418" s="93" t="n">
        <v>59975000</v>
      </c>
      <c r="J418" s="93" t="n">
        <v>243643000</v>
      </c>
      <c r="L418" s="9">
        <f>IF($A418="","",VALUE($A418&amp;"")*12+VALUE($B418&amp;""))</f>
        <v/>
      </c>
      <c r="M418" s="94">
        <f>IF($A418="",0,$H418*설정!$C$23)</f>
        <v/>
      </c>
      <c r="N418" s="94">
        <f>IF($A418="",0,$I418*설정!$C$23)</f>
        <v/>
      </c>
      <c r="O418" s="94">
        <f>IF($A418="",0,$J418*설정!$C$23)</f>
        <v/>
      </c>
      <c r="P418" s="64">
        <f>IF($A418="","",IFERROR(INDEX(입력옵션!$C$58:$C$68,MATCH($F418&amp;"",입력옵션!$E$58:$E$68,0)),IFERROR(INDEX(입력옵션!$C$58:$C$68,MATCH($G418&amp;"",입력옵션!$F$58:$F$68,0)),$F418&amp;"")))</f>
        <v/>
      </c>
    </row>
    <row r="419">
      <c r="A419" s="92" t="n">
        <v>2025</v>
      </c>
      <c r="B419" s="92" t="n">
        <v>10</v>
      </c>
      <c r="C419" s="92" t="inlineStr">
        <is>
          <t>PF02</t>
        </is>
      </c>
      <c r="D419" s="92" t="inlineStr">
        <is>
          <t>저축성</t>
        </is>
      </c>
      <c r="E419" s="92" t="inlineStr">
        <is>
          <t>GMM</t>
        </is>
      </c>
      <c r="F419" s="92" t="inlineStr">
        <is>
          <t>F51</t>
        </is>
      </c>
      <c r="G419" s="92" t="inlineStr">
        <is>
          <t>CSM 상각</t>
        </is>
      </c>
      <c r="H419" s="93" t="n">
        <v>0</v>
      </c>
      <c r="I419" s="93" t="n">
        <v>0</v>
      </c>
      <c r="J419" s="93" t="n">
        <v>-877115000</v>
      </c>
      <c r="L419" s="9">
        <f>IF($A419="","",VALUE($A419&amp;"")*12+VALUE($B419&amp;""))</f>
        <v/>
      </c>
      <c r="M419" s="94">
        <f>IF($A419="",0,$H419*설정!$C$23)</f>
        <v/>
      </c>
      <c r="N419" s="94">
        <f>IF($A419="",0,$I419*설정!$C$23)</f>
        <v/>
      </c>
      <c r="O419" s="94">
        <f>IF($A419="",0,$J419*설정!$C$23)</f>
        <v/>
      </c>
      <c r="P419" s="64">
        <f>IF($A419="","",IFERROR(INDEX(입력옵션!$C$58:$C$68,MATCH($F419&amp;"",입력옵션!$E$58:$E$68,0)),IFERROR(INDEX(입력옵션!$C$58:$C$68,MATCH($G419&amp;"",입력옵션!$F$58:$F$68,0)),$F419&amp;"")))</f>
        <v/>
      </c>
    </row>
    <row r="420">
      <c r="A420" s="92" t="n">
        <v>2025</v>
      </c>
      <c r="B420" s="92" t="n">
        <v>10</v>
      </c>
      <c r="C420" s="92" t="inlineStr">
        <is>
          <t>PF02</t>
        </is>
      </c>
      <c r="D420" s="92" t="inlineStr">
        <is>
          <t>저축성</t>
        </is>
      </c>
      <c r="E420" s="92" t="inlineStr">
        <is>
          <t>GMM</t>
        </is>
      </c>
      <c r="F420" s="92" t="inlineStr">
        <is>
          <t>F52</t>
        </is>
      </c>
      <c r="G420" s="92" t="inlineStr">
        <is>
          <t>RA 해제</t>
        </is>
      </c>
      <c r="H420" s="93" t="n">
        <v>0</v>
      </c>
      <c r="I420" s="93" t="n">
        <v>-179926000</v>
      </c>
      <c r="J420" s="93" t="n">
        <v>0</v>
      </c>
      <c r="L420" s="9">
        <f>IF($A420="","",VALUE($A420&amp;"")*12+VALUE($B420&amp;""))</f>
        <v/>
      </c>
      <c r="M420" s="94">
        <f>IF($A420="",0,$H420*설정!$C$23)</f>
        <v/>
      </c>
      <c r="N420" s="94">
        <f>IF($A420="",0,$I420*설정!$C$23)</f>
        <v/>
      </c>
      <c r="O420" s="94">
        <f>IF($A420="",0,$J420*설정!$C$23)</f>
        <v/>
      </c>
      <c r="P420" s="64">
        <f>IF($A420="","",IFERROR(INDEX(입력옵션!$C$58:$C$68,MATCH($F420&amp;"",입력옵션!$E$58:$E$68,0)),IFERROR(INDEX(입력옵션!$C$58:$C$68,MATCH($G420&amp;"",입력옵션!$F$58:$F$68,0)),$F420&amp;"")))</f>
        <v/>
      </c>
    </row>
    <row r="421">
      <c r="A421" s="92" t="n">
        <v>2025</v>
      </c>
      <c r="B421" s="92" t="n">
        <v>10</v>
      </c>
      <c r="C421" s="92" t="inlineStr">
        <is>
          <t>PF02</t>
        </is>
      </c>
      <c r="D421" s="92" t="inlineStr">
        <is>
          <t>저축성</t>
        </is>
      </c>
      <c r="E421" s="92" t="inlineStr">
        <is>
          <t>GMM</t>
        </is>
      </c>
      <c r="F421" s="92" t="inlineStr">
        <is>
          <t>F60</t>
        </is>
      </c>
      <c r="G421" s="92" t="inlineStr">
        <is>
          <t>현금흐름 및 기타</t>
        </is>
      </c>
      <c r="H421" s="93" t="n">
        <v>982609000</v>
      </c>
      <c r="I421" s="93" t="n">
        <v>-143590000</v>
      </c>
      <c r="J421" s="93" t="n">
        <v>0</v>
      </c>
      <c r="L421" s="9">
        <f>IF($A421="","",VALUE($A421&amp;"")*12+VALUE($B421&amp;""))</f>
        <v/>
      </c>
      <c r="M421" s="94">
        <f>IF($A421="",0,$H421*설정!$C$23)</f>
        <v/>
      </c>
      <c r="N421" s="94">
        <f>IF($A421="",0,$I421*설정!$C$23)</f>
        <v/>
      </c>
      <c r="O421" s="94">
        <f>IF($A421="",0,$J421*설정!$C$23)</f>
        <v/>
      </c>
      <c r="P421" s="64">
        <f>IF($A421="","",IFERROR(INDEX(입력옵션!$C$58:$C$68,MATCH($F421&amp;"",입력옵션!$E$58:$E$68,0)),IFERROR(INDEX(입력옵션!$C$58:$C$68,MATCH($G421&amp;"",입력옵션!$F$58:$F$68,0)),$F421&amp;"")))</f>
        <v/>
      </c>
    </row>
    <row r="422">
      <c r="A422" s="92" t="n">
        <v>2025</v>
      </c>
      <c r="B422" s="92" t="n">
        <v>10</v>
      </c>
      <c r="C422" s="92" t="inlineStr">
        <is>
          <t>PF02</t>
        </is>
      </c>
      <c r="D422" s="92" t="inlineStr">
        <is>
          <t>저축성</t>
        </is>
      </c>
      <c r="E422" s="92" t="inlineStr">
        <is>
          <t>GMM</t>
        </is>
      </c>
      <c r="F422" s="92" t="inlineStr">
        <is>
          <t>F99</t>
        </is>
      </c>
      <c r="G422" s="92" t="inlineStr">
        <is>
          <t>기말잔액</t>
        </is>
      </c>
      <c r="H422" s="93" t="n">
        <v>697181991000</v>
      </c>
      <c r="I422" s="93" t="n">
        <v>29982675000</v>
      </c>
      <c r="J422" s="93" t="n">
        <v>98134915000</v>
      </c>
      <c r="L422" s="9">
        <f>IF($A422="","",VALUE($A422&amp;"")*12+VALUE($B422&amp;""))</f>
        <v/>
      </c>
      <c r="M422" s="94">
        <f>IF($A422="",0,$H422*설정!$C$23)</f>
        <v/>
      </c>
      <c r="N422" s="94">
        <f>IF($A422="",0,$I422*설정!$C$23)</f>
        <v/>
      </c>
      <c r="O422" s="94">
        <f>IF($A422="",0,$J422*설정!$C$23)</f>
        <v/>
      </c>
      <c r="P422" s="64">
        <f>IF($A422="","",IFERROR(INDEX(입력옵션!$C$58:$C$68,MATCH($F422&amp;"",입력옵션!$E$58:$E$68,0)),IFERROR(INDEX(입력옵션!$C$58:$C$68,MATCH($G422&amp;"",입력옵션!$F$58:$F$68,0)),$F422&amp;"")))</f>
        <v/>
      </c>
    </row>
    <row r="423">
      <c r="A423" s="92" t="n">
        <v>2025</v>
      </c>
      <c r="B423" s="92" t="n">
        <v>10</v>
      </c>
      <c r="C423" s="92" t="inlineStr">
        <is>
          <t>PF03</t>
        </is>
      </c>
      <c r="D423" s="92" t="inlineStr">
        <is>
          <t>단체(단기)</t>
        </is>
      </c>
      <c r="E423" s="92" t="inlineStr">
        <is>
          <t>PAA</t>
        </is>
      </c>
      <c r="F423" s="92" t="inlineStr">
        <is>
          <t>F00</t>
        </is>
      </c>
      <c r="G423" s="92" t="inlineStr">
        <is>
          <t>기초잔액</t>
        </is>
      </c>
      <c r="H423" s="93" t="n">
        <v>42166838000</v>
      </c>
      <c r="I423" s="93" t="n">
        <v>2399012000</v>
      </c>
      <c r="J423" s="93" t="n">
        <v>0</v>
      </c>
      <c r="L423" s="9">
        <f>IF($A423="","",VALUE($A423&amp;"")*12+VALUE($B423&amp;""))</f>
        <v/>
      </c>
      <c r="M423" s="94">
        <f>IF($A423="",0,$H423*설정!$C$23)</f>
        <v/>
      </c>
      <c r="N423" s="94">
        <f>IF($A423="",0,$I423*설정!$C$23)</f>
        <v/>
      </c>
      <c r="O423" s="94">
        <f>IF($A423="",0,$J423*설정!$C$23)</f>
        <v/>
      </c>
      <c r="P423" s="64">
        <f>IF($A423="","",IFERROR(INDEX(입력옵션!$C$58:$C$68,MATCH($F423&amp;"",입력옵션!$E$58:$E$68,0)),IFERROR(INDEX(입력옵션!$C$58:$C$68,MATCH($G423&amp;"",입력옵션!$F$58:$F$68,0)),$F423&amp;"")))</f>
        <v/>
      </c>
    </row>
    <row r="424">
      <c r="A424" s="92" t="n">
        <v>2025</v>
      </c>
      <c r="B424" s="92" t="n">
        <v>10</v>
      </c>
      <c r="C424" s="92" t="inlineStr">
        <is>
          <t>PF03</t>
        </is>
      </c>
      <c r="D424" s="92" t="inlineStr">
        <is>
          <t>단체(단기)</t>
        </is>
      </c>
      <c r="E424" s="92" t="inlineStr">
        <is>
          <t>PAA</t>
        </is>
      </c>
      <c r="F424" s="92" t="inlineStr">
        <is>
          <t>F10</t>
        </is>
      </c>
      <c r="G424" s="92" t="inlineStr">
        <is>
          <t>신계약 효과</t>
        </is>
      </c>
      <c r="H424" s="93" t="n">
        <v>0</v>
      </c>
      <c r="I424" s="93" t="n">
        <v>0</v>
      </c>
      <c r="J424" s="93" t="n">
        <v>0</v>
      </c>
      <c r="L424" s="9">
        <f>IF($A424="","",VALUE($A424&amp;"")*12+VALUE($B424&amp;""))</f>
        <v/>
      </c>
      <c r="M424" s="94">
        <f>IF($A424="",0,$H424*설정!$C$23)</f>
        <v/>
      </c>
      <c r="N424" s="94">
        <f>IF($A424="",0,$I424*설정!$C$23)</f>
        <v/>
      </c>
      <c r="O424" s="94">
        <f>IF($A424="",0,$J424*설정!$C$23)</f>
        <v/>
      </c>
      <c r="P424" s="64">
        <f>IF($A424="","",IFERROR(INDEX(입력옵션!$C$58:$C$68,MATCH($F424&amp;"",입력옵션!$E$58:$E$68,0)),IFERROR(INDEX(입력옵션!$C$58:$C$68,MATCH($G424&amp;"",입력옵션!$F$58:$F$68,0)),$F424&amp;"")))</f>
        <v/>
      </c>
    </row>
    <row r="425">
      <c r="A425" s="92" t="n">
        <v>2025</v>
      </c>
      <c r="B425" s="92" t="n">
        <v>10</v>
      </c>
      <c r="C425" s="92" t="inlineStr">
        <is>
          <t>PF03</t>
        </is>
      </c>
      <c r="D425" s="92" t="inlineStr">
        <is>
          <t>단체(단기)</t>
        </is>
      </c>
      <c r="E425" s="92" t="inlineStr">
        <is>
          <t>PAA</t>
        </is>
      </c>
      <c r="F425" s="92" t="inlineStr">
        <is>
          <t>F21</t>
        </is>
      </c>
      <c r="G425" s="92" t="inlineStr">
        <is>
          <t>가정변경-사업비</t>
        </is>
      </c>
      <c r="H425" s="93" t="n">
        <v>0</v>
      </c>
      <c r="I425" s="93" t="n">
        <v>0</v>
      </c>
      <c r="J425" s="93" t="n">
        <v>0</v>
      </c>
      <c r="L425" s="9">
        <f>IF($A425="","",VALUE($A425&amp;"")*12+VALUE($B425&amp;""))</f>
        <v/>
      </c>
      <c r="M425" s="94">
        <f>IF($A425="",0,$H425*설정!$C$23)</f>
        <v/>
      </c>
      <c r="N425" s="94">
        <f>IF($A425="",0,$I425*설정!$C$23)</f>
        <v/>
      </c>
      <c r="O425" s="94">
        <f>IF($A425="",0,$J425*설정!$C$23)</f>
        <v/>
      </c>
      <c r="P425" s="64">
        <f>IF($A425="","",IFERROR(INDEX(입력옵션!$C$58:$C$68,MATCH($F425&amp;"",입력옵션!$E$58:$E$68,0)),IFERROR(INDEX(입력옵션!$C$58:$C$68,MATCH($G425&amp;"",입력옵션!$F$58:$F$68,0)),$F425&amp;"")))</f>
        <v/>
      </c>
    </row>
    <row r="426">
      <c r="A426" s="92" t="n">
        <v>2025</v>
      </c>
      <c r="B426" s="92" t="n">
        <v>10</v>
      </c>
      <c r="C426" s="92" t="inlineStr">
        <is>
          <t>PF03</t>
        </is>
      </c>
      <c r="D426" s="92" t="inlineStr">
        <is>
          <t>단체(단기)</t>
        </is>
      </c>
      <c r="E426" s="92" t="inlineStr">
        <is>
          <t>PAA</t>
        </is>
      </c>
      <c r="F426" s="92" t="inlineStr">
        <is>
          <t>F22</t>
        </is>
      </c>
      <c r="G426" s="92" t="inlineStr">
        <is>
          <t>가정변경-기타</t>
        </is>
      </c>
      <c r="H426" s="93" t="n">
        <v>0</v>
      </c>
      <c r="I426" s="93" t="n">
        <v>0</v>
      </c>
      <c r="J426" s="93" t="n">
        <v>0</v>
      </c>
      <c r="L426" s="9">
        <f>IF($A426="","",VALUE($A426&amp;"")*12+VALUE($B426&amp;""))</f>
        <v/>
      </c>
      <c r="M426" s="94">
        <f>IF($A426="",0,$H426*설정!$C$23)</f>
        <v/>
      </c>
      <c r="N426" s="94">
        <f>IF($A426="",0,$I426*설정!$C$23)</f>
        <v/>
      </c>
      <c r="O426" s="94">
        <f>IF($A426="",0,$J426*설정!$C$23)</f>
        <v/>
      </c>
      <c r="P426" s="64">
        <f>IF($A426="","",IFERROR(INDEX(입력옵션!$C$58:$C$68,MATCH($F426&amp;"",입력옵션!$E$58:$E$68,0)),IFERROR(INDEX(입력옵션!$C$58:$C$68,MATCH($G426&amp;"",입력옵션!$F$58:$F$68,0)),$F426&amp;"")))</f>
        <v/>
      </c>
    </row>
    <row r="427">
      <c r="A427" s="92" t="n">
        <v>2025</v>
      </c>
      <c r="B427" s="92" t="n">
        <v>10</v>
      </c>
      <c r="C427" s="92" t="inlineStr">
        <is>
          <t>PF03</t>
        </is>
      </c>
      <c r="D427" s="92" t="inlineStr">
        <is>
          <t>단체(단기)</t>
        </is>
      </c>
      <c r="E427" s="92" t="inlineStr">
        <is>
          <t>PAA</t>
        </is>
      </c>
      <c r="F427" s="92" t="inlineStr">
        <is>
          <t>F31</t>
        </is>
      </c>
      <c r="G427" s="92" t="inlineStr">
        <is>
          <t>경험조정-취득현금흐름</t>
        </is>
      </c>
      <c r="H427" s="93" t="n">
        <v>0</v>
      </c>
      <c r="I427" s="93" t="n">
        <v>0</v>
      </c>
      <c r="J427" s="93" t="n">
        <v>0</v>
      </c>
      <c r="L427" s="9">
        <f>IF($A427="","",VALUE($A427&amp;"")*12+VALUE($B427&amp;""))</f>
        <v/>
      </c>
      <c r="M427" s="94">
        <f>IF($A427="",0,$H427*설정!$C$23)</f>
        <v/>
      </c>
      <c r="N427" s="94">
        <f>IF($A427="",0,$I427*설정!$C$23)</f>
        <v/>
      </c>
      <c r="O427" s="94">
        <f>IF($A427="",0,$J427*설정!$C$23)</f>
        <v/>
      </c>
      <c r="P427" s="64">
        <f>IF($A427="","",IFERROR(INDEX(입력옵션!$C$58:$C$68,MATCH($F427&amp;"",입력옵션!$E$58:$E$68,0)),IFERROR(INDEX(입력옵션!$C$58:$C$68,MATCH($G427&amp;"",입력옵션!$F$58:$F$68,0)),$F427&amp;"")))</f>
        <v/>
      </c>
    </row>
    <row r="428">
      <c r="A428" s="92" t="n">
        <v>2025</v>
      </c>
      <c r="B428" s="92" t="n">
        <v>10</v>
      </c>
      <c r="C428" s="92" t="inlineStr">
        <is>
          <t>PF03</t>
        </is>
      </c>
      <c r="D428" s="92" t="inlineStr">
        <is>
          <t>단체(단기)</t>
        </is>
      </c>
      <c r="E428" s="92" t="inlineStr">
        <is>
          <t>PAA</t>
        </is>
      </c>
      <c r="F428" s="92" t="inlineStr">
        <is>
          <t>F32</t>
        </is>
      </c>
      <c r="G428" s="92" t="inlineStr">
        <is>
          <t>경험조정-보험료 등</t>
        </is>
      </c>
      <c r="H428" s="93" t="n">
        <v>0</v>
      </c>
      <c r="I428" s="93" t="n">
        <v>0</v>
      </c>
      <c r="J428" s="93" t="n">
        <v>0</v>
      </c>
      <c r="L428" s="9">
        <f>IF($A428="","",VALUE($A428&amp;"")*12+VALUE($B428&amp;""))</f>
        <v/>
      </c>
      <c r="M428" s="94">
        <f>IF($A428="",0,$H428*설정!$C$23)</f>
        <v/>
      </c>
      <c r="N428" s="94">
        <f>IF($A428="",0,$I428*설정!$C$23)</f>
        <v/>
      </c>
      <c r="O428" s="94">
        <f>IF($A428="",0,$J428*설정!$C$23)</f>
        <v/>
      </c>
      <c r="P428" s="64">
        <f>IF($A428="","",IFERROR(INDEX(입력옵션!$C$58:$C$68,MATCH($F428&amp;"",입력옵션!$E$58:$E$68,0)),IFERROR(INDEX(입력옵션!$C$58:$C$68,MATCH($G428&amp;"",입력옵션!$F$58:$F$68,0)),$F428&amp;"")))</f>
        <v/>
      </c>
    </row>
    <row r="429">
      <c r="A429" s="92" t="n">
        <v>2025</v>
      </c>
      <c r="B429" s="92" t="n">
        <v>10</v>
      </c>
      <c r="C429" s="92" t="inlineStr">
        <is>
          <t>PF03</t>
        </is>
      </c>
      <c r="D429" s="92" t="inlineStr">
        <is>
          <t>단체(단기)</t>
        </is>
      </c>
      <c r="E429" s="92" t="inlineStr">
        <is>
          <t>PAA</t>
        </is>
      </c>
      <c r="F429" s="92" t="inlineStr">
        <is>
          <t>F40</t>
        </is>
      </c>
      <c r="G429" s="92" t="inlineStr">
        <is>
          <t>보험금융비용(이자부리)</t>
        </is>
      </c>
      <c r="H429" s="93" t="n">
        <v>0</v>
      </c>
      <c r="I429" s="93" t="n">
        <v>0</v>
      </c>
      <c r="J429" s="93" t="n">
        <v>0</v>
      </c>
      <c r="L429" s="9">
        <f>IF($A429="","",VALUE($A429&amp;"")*12+VALUE($B429&amp;""))</f>
        <v/>
      </c>
      <c r="M429" s="94">
        <f>IF($A429="",0,$H429*설정!$C$23)</f>
        <v/>
      </c>
      <c r="N429" s="94">
        <f>IF($A429="",0,$I429*설정!$C$23)</f>
        <v/>
      </c>
      <c r="O429" s="94">
        <f>IF($A429="",0,$J429*설정!$C$23)</f>
        <v/>
      </c>
      <c r="P429" s="64">
        <f>IF($A429="","",IFERROR(INDEX(입력옵션!$C$58:$C$68,MATCH($F429&amp;"",입력옵션!$E$58:$E$68,0)),IFERROR(INDEX(입력옵션!$C$58:$C$68,MATCH($G429&amp;"",입력옵션!$F$58:$F$68,0)),$F429&amp;"")))</f>
        <v/>
      </c>
    </row>
    <row r="430">
      <c r="A430" s="92" t="n">
        <v>2025</v>
      </c>
      <c r="B430" s="92" t="n">
        <v>10</v>
      </c>
      <c r="C430" s="92" t="inlineStr">
        <is>
          <t>PF03</t>
        </is>
      </c>
      <c r="D430" s="92" t="inlineStr">
        <is>
          <t>단체(단기)</t>
        </is>
      </c>
      <c r="E430" s="92" t="inlineStr">
        <is>
          <t>PAA</t>
        </is>
      </c>
      <c r="F430" s="92" t="inlineStr">
        <is>
          <t>F51</t>
        </is>
      </c>
      <c r="G430" s="92" t="inlineStr">
        <is>
          <t>CSM 상각</t>
        </is>
      </c>
      <c r="H430" s="93" t="n">
        <v>0</v>
      </c>
      <c r="I430" s="93" t="n">
        <v>0</v>
      </c>
      <c r="J430" s="93" t="n">
        <v>0</v>
      </c>
      <c r="L430" s="9">
        <f>IF($A430="","",VALUE($A430&amp;"")*12+VALUE($B430&amp;""))</f>
        <v/>
      </c>
      <c r="M430" s="94">
        <f>IF($A430="",0,$H430*설정!$C$23)</f>
        <v/>
      </c>
      <c r="N430" s="94">
        <f>IF($A430="",0,$I430*설정!$C$23)</f>
        <v/>
      </c>
      <c r="O430" s="94">
        <f>IF($A430="",0,$J430*설정!$C$23)</f>
        <v/>
      </c>
      <c r="P430" s="64">
        <f>IF($A430="","",IFERROR(INDEX(입력옵션!$C$58:$C$68,MATCH($F430&amp;"",입력옵션!$E$58:$E$68,0)),IFERROR(INDEX(입력옵션!$C$58:$C$68,MATCH($G430&amp;"",입력옵션!$F$58:$F$68,0)),$F430&amp;"")))</f>
        <v/>
      </c>
    </row>
    <row r="431">
      <c r="A431" s="92" t="n">
        <v>2025</v>
      </c>
      <c r="B431" s="92" t="n">
        <v>10</v>
      </c>
      <c r="C431" s="92" t="inlineStr">
        <is>
          <t>PF03</t>
        </is>
      </c>
      <c r="D431" s="92" t="inlineStr">
        <is>
          <t>단체(단기)</t>
        </is>
      </c>
      <c r="E431" s="92" t="inlineStr">
        <is>
          <t>PAA</t>
        </is>
      </c>
      <c r="F431" s="92" t="inlineStr">
        <is>
          <t>F52</t>
        </is>
      </c>
      <c r="G431" s="92" t="inlineStr">
        <is>
          <t>RA 해제</t>
        </is>
      </c>
      <c r="H431" s="93" t="n">
        <v>0</v>
      </c>
      <c r="I431" s="93" t="n">
        <v>-14394000</v>
      </c>
      <c r="J431" s="93" t="n">
        <v>0</v>
      </c>
      <c r="L431" s="9">
        <f>IF($A431="","",VALUE($A431&amp;"")*12+VALUE($B431&amp;""))</f>
        <v/>
      </c>
      <c r="M431" s="94">
        <f>IF($A431="",0,$H431*설정!$C$23)</f>
        <v/>
      </c>
      <c r="N431" s="94">
        <f>IF($A431="",0,$I431*설정!$C$23)</f>
        <v/>
      </c>
      <c r="O431" s="94">
        <f>IF($A431="",0,$J431*설정!$C$23)</f>
        <v/>
      </c>
      <c r="P431" s="64">
        <f>IF($A431="","",IFERROR(INDEX(입력옵션!$C$58:$C$68,MATCH($F431&amp;"",입력옵션!$E$58:$E$68,0)),IFERROR(INDEX(입력옵션!$C$58:$C$68,MATCH($G431&amp;"",입력옵션!$F$58:$F$68,0)),$F431&amp;"")))</f>
        <v/>
      </c>
    </row>
    <row r="432">
      <c r="A432" s="92" t="n">
        <v>2025</v>
      </c>
      <c r="B432" s="92" t="n">
        <v>10</v>
      </c>
      <c r="C432" s="92" t="inlineStr">
        <is>
          <t>PF03</t>
        </is>
      </c>
      <c r="D432" s="92" t="inlineStr">
        <is>
          <t>단체(단기)</t>
        </is>
      </c>
      <c r="E432" s="92" t="inlineStr">
        <is>
          <t>PAA</t>
        </is>
      </c>
      <c r="F432" s="92" t="inlineStr">
        <is>
          <t>F60</t>
        </is>
      </c>
      <c r="G432" s="92" t="inlineStr">
        <is>
          <t>현금흐름 및 기타</t>
        </is>
      </c>
      <c r="H432" s="93" t="n">
        <v>86616000</v>
      </c>
      <c r="I432" s="93" t="n">
        <v>13996000</v>
      </c>
      <c r="J432" s="93" t="n">
        <v>0</v>
      </c>
      <c r="L432" s="9">
        <f>IF($A432="","",VALUE($A432&amp;"")*12+VALUE($B432&amp;""))</f>
        <v/>
      </c>
      <c r="M432" s="94">
        <f>IF($A432="",0,$H432*설정!$C$23)</f>
        <v/>
      </c>
      <c r="N432" s="94">
        <f>IF($A432="",0,$I432*설정!$C$23)</f>
        <v/>
      </c>
      <c r="O432" s="94">
        <f>IF($A432="",0,$J432*설정!$C$23)</f>
        <v/>
      </c>
      <c r="P432" s="64">
        <f>IF($A432="","",IFERROR(INDEX(입력옵션!$C$58:$C$68,MATCH($F432&amp;"",입력옵션!$E$58:$E$68,0)),IFERROR(INDEX(입력옵션!$C$58:$C$68,MATCH($G432&amp;"",입력옵션!$F$58:$F$68,0)),$F432&amp;"")))</f>
        <v/>
      </c>
    </row>
    <row r="433">
      <c r="A433" s="92" t="n">
        <v>2025</v>
      </c>
      <c r="B433" s="92" t="n">
        <v>10</v>
      </c>
      <c r="C433" s="92" t="inlineStr">
        <is>
          <t>PF03</t>
        </is>
      </c>
      <c r="D433" s="92" t="inlineStr">
        <is>
          <t>단체(단기)</t>
        </is>
      </c>
      <c r="E433" s="92" t="inlineStr">
        <is>
          <t>PAA</t>
        </is>
      </c>
      <c r="F433" s="92" t="inlineStr">
        <is>
          <t>F99</t>
        </is>
      </c>
      <c r="G433" s="92" t="inlineStr">
        <is>
          <t>기말잔액</t>
        </is>
      </c>
      <c r="H433" s="93" t="n">
        <v>42253454000</v>
      </c>
      <c r="I433" s="93" t="n">
        <v>2398614000</v>
      </c>
      <c r="J433" s="93" t="n">
        <v>0</v>
      </c>
      <c r="L433" s="9">
        <f>IF($A433="","",VALUE($A433&amp;"")*12+VALUE($B433&amp;""))</f>
        <v/>
      </c>
      <c r="M433" s="94">
        <f>IF($A433="",0,$H433*설정!$C$23)</f>
        <v/>
      </c>
      <c r="N433" s="94">
        <f>IF($A433="",0,$I433*설정!$C$23)</f>
        <v/>
      </c>
      <c r="O433" s="94">
        <f>IF($A433="",0,$J433*설정!$C$23)</f>
        <v/>
      </c>
      <c r="P433" s="64">
        <f>IF($A433="","",IFERROR(INDEX(입력옵션!$C$58:$C$68,MATCH($F433&amp;"",입력옵션!$E$58:$E$68,0)),IFERROR(INDEX(입력옵션!$C$58:$C$68,MATCH($G433&amp;"",입력옵션!$F$58:$F$68,0)),$F433&amp;"")))</f>
        <v/>
      </c>
    </row>
    <row r="434">
      <c r="A434" s="92" t="n">
        <v>2025</v>
      </c>
      <c r="B434" s="92" t="n">
        <v>10</v>
      </c>
      <c r="C434" s="92" t="inlineStr">
        <is>
          <t>PF04</t>
        </is>
      </c>
      <c r="D434" s="92" t="inlineStr">
        <is>
          <t>변액</t>
        </is>
      </c>
      <c r="E434" s="92" t="inlineStr">
        <is>
          <t>VFA</t>
        </is>
      </c>
      <c r="F434" s="92" t="inlineStr">
        <is>
          <t>F00</t>
        </is>
      </c>
      <c r="G434" s="92" t="inlineStr">
        <is>
          <t>기초잔액</t>
        </is>
      </c>
      <c r="H434" s="93" t="n">
        <v>316251285000</v>
      </c>
      <c r="I434" s="93" t="n">
        <v>15593578000</v>
      </c>
      <c r="J434" s="93" t="n">
        <v>50916419000</v>
      </c>
      <c r="L434" s="9">
        <f>IF($A434="","",VALUE($A434&amp;"")*12+VALUE($B434&amp;""))</f>
        <v/>
      </c>
      <c r="M434" s="94">
        <f>IF($A434="",0,$H434*설정!$C$23)</f>
        <v/>
      </c>
      <c r="N434" s="94">
        <f>IF($A434="",0,$I434*설정!$C$23)</f>
        <v/>
      </c>
      <c r="O434" s="94">
        <f>IF($A434="",0,$J434*설정!$C$23)</f>
        <v/>
      </c>
      <c r="P434" s="64">
        <f>IF($A434="","",IFERROR(INDEX(입력옵션!$C$58:$C$68,MATCH($F434&amp;"",입력옵션!$E$58:$E$68,0)),IFERROR(INDEX(입력옵션!$C$58:$C$68,MATCH($G434&amp;"",입력옵션!$F$58:$F$68,0)),$F434&amp;"")))</f>
        <v/>
      </c>
    </row>
    <row r="435">
      <c r="A435" s="92" t="n">
        <v>2025</v>
      </c>
      <c r="B435" s="92" t="n">
        <v>10</v>
      </c>
      <c r="C435" s="92" t="inlineStr">
        <is>
          <t>PF04</t>
        </is>
      </c>
      <c r="D435" s="92" t="inlineStr">
        <is>
          <t>변액</t>
        </is>
      </c>
      <c r="E435" s="92" t="inlineStr">
        <is>
          <t>VFA</t>
        </is>
      </c>
      <c r="F435" s="92" t="inlineStr">
        <is>
          <t>F10</t>
        </is>
      </c>
      <c r="G435" s="92" t="inlineStr">
        <is>
          <t>신계약 효과</t>
        </is>
      </c>
      <c r="H435" s="93" t="n">
        <v>-672270000</v>
      </c>
      <c r="I435" s="93" t="n">
        <v>134454000</v>
      </c>
      <c r="J435" s="93" t="n">
        <v>537816000</v>
      </c>
      <c r="L435" s="9">
        <f>IF($A435="","",VALUE($A435&amp;"")*12+VALUE($B435&amp;""))</f>
        <v/>
      </c>
      <c r="M435" s="94">
        <f>IF($A435="",0,$H435*설정!$C$23)</f>
        <v/>
      </c>
      <c r="N435" s="94">
        <f>IF($A435="",0,$I435*설정!$C$23)</f>
        <v/>
      </c>
      <c r="O435" s="94">
        <f>IF($A435="",0,$J435*설정!$C$23)</f>
        <v/>
      </c>
      <c r="P435" s="64">
        <f>IF($A435="","",IFERROR(INDEX(입력옵션!$C$58:$C$68,MATCH($F435&amp;"",입력옵션!$E$58:$E$68,0)),IFERROR(INDEX(입력옵션!$C$58:$C$68,MATCH($G435&amp;"",입력옵션!$F$58:$F$68,0)),$F435&amp;"")))</f>
        <v/>
      </c>
    </row>
    <row r="436">
      <c r="A436" s="92" t="n">
        <v>2025</v>
      </c>
      <c r="B436" s="92" t="n">
        <v>10</v>
      </c>
      <c r="C436" s="92" t="inlineStr">
        <is>
          <t>PF04</t>
        </is>
      </c>
      <c r="D436" s="92" t="inlineStr">
        <is>
          <t>변액</t>
        </is>
      </c>
      <c r="E436" s="92" t="inlineStr">
        <is>
          <t>VFA</t>
        </is>
      </c>
      <c r="F436" s="92" t="inlineStr">
        <is>
          <t>F21</t>
        </is>
      </c>
      <c r="G436" s="92" t="inlineStr">
        <is>
          <t>가정변경-사업비</t>
        </is>
      </c>
      <c r="H436" s="93" t="n">
        <v>0</v>
      </c>
      <c r="I436" s="93" t="n">
        <v>0</v>
      </c>
      <c r="J436" s="93" t="n">
        <v>0</v>
      </c>
      <c r="L436" s="9">
        <f>IF($A436="","",VALUE($A436&amp;"")*12+VALUE($B436&amp;""))</f>
        <v/>
      </c>
      <c r="M436" s="94">
        <f>IF($A436="",0,$H436*설정!$C$23)</f>
        <v/>
      </c>
      <c r="N436" s="94">
        <f>IF($A436="",0,$I436*설정!$C$23)</f>
        <v/>
      </c>
      <c r="O436" s="94">
        <f>IF($A436="",0,$J436*설정!$C$23)</f>
        <v/>
      </c>
      <c r="P436" s="64">
        <f>IF($A436="","",IFERROR(INDEX(입력옵션!$C$58:$C$68,MATCH($F436&amp;"",입력옵션!$E$58:$E$68,0)),IFERROR(INDEX(입력옵션!$C$58:$C$68,MATCH($G436&amp;"",입력옵션!$F$58:$F$68,0)),$F436&amp;"")))</f>
        <v/>
      </c>
    </row>
    <row r="437">
      <c r="A437" s="92" t="n">
        <v>2025</v>
      </c>
      <c r="B437" s="92" t="n">
        <v>10</v>
      </c>
      <c r="C437" s="92" t="inlineStr">
        <is>
          <t>PF04</t>
        </is>
      </c>
      <c r="D437" s="92" t="inlineStr">
        <is>
          <t>변액</t>
        </is>
      </c>
      <c r="E437" s="92" t="inlineStr">
        <is>
          <t>VFA</t>
        </is>
      </c>
      <c r="F437" s="92" t="inlineStr">
        <is>
          <t>F22</t>
        </is>
      </c>
      <c r="G437" s="92" t="inlineStr">
        <is>
          <t>가정변경-기타</t>
        </is>
      </c>
      <c r="H437" s="93" t="n">
        <v>0</v>
      </c>
      <c r="I437" s="93" t="n">
        <v>0</v>
      </c>
      <c r="J437" s="93" t="n">
        <v>0</v>
      </c>
      <c r="L437" s="9">
        <f>IF($A437="","",VALUE($A437&amp;"")*12+VALUE($B437&amp;""))</f>
        <v/>
      </c>
      <c r="M437" s="94">
        <f>IF($A437="",0,$H437*설정!$C$23)</f>
        <v/>
      </c>
      <c r="N437" s="94">
        <f>IF($A437="",0,$I437*설정!$C$23)</f>
        <v/>
      </c>
      <c r="O437" s="94">
        <f>IF($A437="",0,$J437*설정!$C$23)</f>
        <v/>
      </c>
      <c r="P437" s="64">
        <f>IF($A437="","",IFERROR(INDEX(입력옵션!$C$58:$C$68,MATCH($F437&amp;"",입력옵션!$E$58:$E$68,0)),IFERROR(INDEX(입력옵션!$C$58:$C$68,MATCH($G437&amp;"",입력옵션!$F$58:$F$68,0)),$F437&amp;"")))</f>
        <v/>
      </c>
    </row>
    <row r="438">
      <c r="A438" s="92" t="n">
        <v>2025</v>
      </c>
      <c r="B438" s="92" t="n">
        <v>10</v>
      </c>
      <c r="C438" s="92" t="inlineStr">
        <is>
          <t>PF04</t>
        </is>
      </c>
      <c r="D438" s="92" t="inlineStr">
        <is>
          <t>변액</t>
        </is>
      </c>
      <c r="E438" s="92" t="inlineStr">
        <is>
          <t>VFA</t>
        </is>
      </c>
      <c r="F438" s="92" t="inlineStr">
        <is>
          <t>F31</t>
        </is>
      </c>
      <c r="G438" s="92" t="inlineStr">
        <is>
          <t>경험조정-취득현금흐름</t>
        </is>
      </c>
      <c r="H438" s="93" t="n">
        <v>0</v>
      </c>
      <c r="I438" s="93" t="n">
        <v>0</v>
      </c>
      <c r="J438" s="93" t="n">
        <v>-756000</v>
      </c>
      <c r="L438" s="9">
        <f>IF($A438="","",VALUE($A438&amp;"")*12+VALUE($B438&amp;""))</f>
        <v/>
      </c>
      <c r="M438" s="94">
        <f>IF($A438="",0,$H438*설정!$C$23)</f>
        <v/>
      </c>
      <c r="N438" s="94">
        <f>IF($A438="",0,$I438*설정!$C$23)</f>
        <v/>
      </c>
      <c r="O438" s="94">
        <f>IF($A438="",0,$J438*설정!$C$23)</f>
        <v/>
      </c>
      <c r="P438" s="64">
        <f>IF($A438="","",IFERROR(INDEX(입력옵션!$C$58:$C$68,MATCH($F438&amp;"",입력옵션!$E$58:$E$68,0)),IFERROR(INDEX(입력옵션!$C$58:$C$68,MATCH($G438&amp;"",입력옵션!$F$58:$F$68,0)),$F438&amp;"")))</f>
        <v/>
      </c>
    </row>
    <row r="439">
      <c r="A439" s="92" t="n">
        <v>2025</v>
      </c>
      <c r="B439" s="92" t="n">
        <v>10</v>
      </c>
      <c r="C439" s="92" t="inlineStr">
        <is>
          <t>PF04</t>
        </is>
      </c>
      <c r="D439" s="92" t="inlineStr">
        <is>
          <t>변액</t>
        </is>
      </c>
      <c r="E439" s="92" t="inlineStr">
        <is>
          <t>VFA</t>
        </is>
      </c>
      <c r="F439" s="92" t="inlineStr">
        <is>
          <t>F32</t>
        </is>
      </c>
      <c r="G439" s="92" t="inlineStr">
        <is>
          <t>경험조정-보험료 등</t>
        </is>
      </c>
      <c r="H439" s="93" t="n">
        <v>0</v>
      </c>
      <c r="I439" s="93" t="n">
        <v>0</v>
      </c>
      <c r="J439" s="93" t="n">
        <v>-163132000</v>
      </c>
      <c r="L439" s="9">
        <f>IF($A439="","",VALUE($A439&amp;"")*12+VALUE($B439&amp;""))</f>
        <v/>
      </c>
      <c r="M439" s="94">
        <f>IF($A439="",0,$H439*설정!$C$23)</f>
        <v/>
      </c>
      <c r="N439" s="94">
        <f>IF($A439="",0,$I439*설정!$C$23)</f>
        <v/>
      </c>
      <c r="O439" s="94">
        <f>IF($A439="",0,$J439*설정!$C$23)</f>
        <v/>
      </c>
      <c r="P439" s="64">
        <f>IF($A439="","",IFERROR(INDEX(입력옵션!$C$58:$C$68,MATCH($F439&amp;"",입력옵션!$E$58:$E$68,0)),IFERROR(INDEX(입력옵션!$C$58:$C$68,MATCH($G439&amp;"",입력옵션!$F$58:$F$68,0)),$F439&amp;"")))</f>
        <v/>
      </c>
    </row>
    <row r="440">
      <c r="A440" s="92" t="n">
        <v>2025</v>
      </c>
      <c r="B440" s="92" t="n">
        <v>10</v>
      </c>
      <c r="C440" s="92" t="inlineStr">
        <is>
          <t>PF04</t>
        </is>
      </c>
      <c r="D440" s="92" t="inlineStr">
        <is>
          <t>변액</t>
        </is>
      </c>
      <c r="E440" s="92" t="inlineStr">
        <is>
          <t>VFA</t>
        </is>
      </c>
      <c r="F440" s="92" t="inlineStr">
        <is>
          <t>F40</t>
        </is>
      </c>
      <c r="G440" s="92" t="inlineStr">
        <is>
          <t>보험금융비용(이자부리)</t>
        </is>
      </c>
      <c r="H440" s="93" t="n">
        <v>790628000</v>
      </c>
      <c r="I440" s="93" t="n">
        <v>31187000</v>
      </c>
      <c r="J440" s="93" t="n">
        <v>127291000</v>
      </c>
      <c r="L440" s="9">
        <f>IF($A440="","",VALUE($A440&amp;"")*12+VALUE($B440&amp;""))</f>
        <v/>
      </c>
      <c r="M440" s="94">
        <f>IF($A440="",0,$H440*설정!$C$23)</f>
        <v/>
      </c>
      <c r="N440" s="94">
        <f>IF($A440="",0,$I440*설정!$C$23)</f>
        <v/>
      </c>
      <c r="O440" s="94">
        <f>IF($A440="",0,$J440*설정!$C$23)</f>
        <v/>
      </c>
      <c r="P440" s="64">
        <f>IF($A440="","",IFERROR(INDEX(입력옵션!$C$58:$C$68,MATCH($F440&amp;"",입력옵션!$E$58:$E$68,0)),IFERROR(INDEX(입력옵션!$C$58:$C$68,MATCH($G440&amp;"",입력옵션!$F$58:$F$68,0)),$F440&amp;"")))</f>
        <v/>
      </c>
    </row>
    <row r="441">
      <c r="A441" s="92" t="n">
        <v>2025</v>
      </c>
      <c r="B441" s="92" t="n">
        <v>10</v>
      </c>
      <c r="C441" s="92" t="inlineStr">
        <is>
          <t>PF04</t>
        </is>
      </c>
      <c r="D441" s="92" t="inlineStr">
        <is>
          <t>변액</t>
        </is>
      </c>
      <c r="E441" s="92" t="inlineStr">
        <is>
          <t>VFA</t>
        </is>
      </c>
      <c r="F441" s="92" t="inlineStr">
        <is>
          <t>F51</t>
        </is>
      </c>
      <c r="G441" s="92" t="inlineStr">
        <is>
          <t>CSM 상각</t>
        </is>
      </c>
      <c r="H441" s="93" t="n">
        <v>0</v>
      </c>
      <c r="I441" s="93" t="n">
        <v>0</v>
      </c>
      <c r="J441" s="93" t="n">
        <v>-458248000</v>
      </c>
      <c r="L441" s="9">
        <f>IF($A441="","",VALUE($A441&amp;"")*12+VALUE($B441&amp;""))</f>
        <v/>
      </c>
      <c r="M441" s="94">
        <f>IF($A441="",0,$H441*설정!$C$23)</f>
        <v/>
      </c>
      <c r="N441" s="94">
        <f>IF($A441="",0,$I441*설정!$C$23)</f>
        <v/>
      </c>
      <c r="O441" s="94">
        <f>IF($A441="",0,$J441*설정!$C$23)</f>
        <v/>
      </c>
      <c r="P441" s="64">
        <f>IF($A441="","",IFERROR(INDEX(입력옵션!$C$58:$C$68,MATCH($F441&amp;"",입력옵션!$E$58:$E$68,0)),IFERROR(INDEX(입력옵션!$C$58:$C$68,MATCH($G441&amp;"",입력옵션!$F$58:$F$68,0)),$F441&amp;"")))</f>
        <v/>
      </c>
    </row>
    <row r="442">
      <c r="A442" s="92" t="n">
        <v>2025</v>
      </c>
      <c r="B442" s="92" t="n">
        <v>10</v>
      </c>
      <c r="C442" s="92" t="inlineStr">
        <is>
          <t>PF04</t>
        </is>
      </c>
      <c r="D442" s="92" t="inlineStr">
        <is>
          <t>변액</t>
        </is>
      </c>
      <c r="E442" s="92" t="inlineStr">
        <is>
          <t>VFA</t>
        </is>
      </c>
      <c r="F442" s="92" t="inlineStr">
        <is>
          <t>F52</t>
        </is>
      </c>
      <c r="G442" s="92" t="inlineStr">
        <is>
          <t>RA 해제</t>
        </is>
      </c>
      <c r="H442" s="93" t="n">
        <v>0</v>
      </c>
      <c r="I442" s="93" t="n">
        <v>-93561000</v>
      </c>
      <c r="J442" s="93" t="n">
        <v>0</v>
      </c>
      <c r="L442" s="9">
        <f>IF($A442="","",VALUE($A442&amp;"")*12+VALUE($B442&amp;""))</f>
        <v/>
      </c>
      <c r="M442" s="94">
        <f>IF($A442="",0,$H442*설정!$C$23)</f>
        <v/>
      </c>
      <c r="N442" s="94">
        <f>IF($A442="",0,$I442*설정!$C$23)</f>
        <v/>
      </c>
      <c r="O442" s="94">
        <f>IF($A442="",0,$J442*설정!$C$23)</f>
        <v/>
      </c>
      <c r="P442" s="64">
        <f>IF($A442="","",IFERROR(INDEX(입력옵션!$C$58:$C$68,MATCH($F442&amp;"",입력옵션!$E$58:$E$68,0)),IFERROR(INDEX(입력옵션!$C$58:$C$68,MATCH($G442&amp;"",입력옵션!$F$58:$F$68,0)),$F442&amp;"")))</f>
        <v/>
      </c>
    </row>
    <row r="443">
      <c r="A443" s="92" t="n">
        <v>2025</v>
      </c>
      <c r="B443" s="92" t="n">
        <v>10</v>
      </c>
      <c r="C443" s="92" t="inlineStr">
        <is>
          <t>PF04</t>
        </is>
      </c>
      <c r="D443" s="92" t="inlineStr">
        <is>
          <t>변액</t>
        </is>
      </c>
      <c r="E443" s="92" t="inlineStr">
        <is>
          <t>VFA</t>
        </is>
      </c>
      <c r="F443" s="92" t="inlineStr">
        <is>
          <t>F60</t>
        </is>
      </c>
      <c r="G443" s="92" t="inlineStr">
        <is>
          <t>현금흐름 및 기타</t>
        </is>
      </c>
      <c r="H443" s="93" t="n">
        <v>531262000</v>
      </c>
      <c r="I443" s="93" t="n">
        <v>-74667000</v>
      </c>
      <c r="J443" s="93" t="n">
        <v>0</v>
      </c>
      <c r="L443" s="9">
        <f>IF($A443="","",VALUE($A443&amp;"")*12+VALUE($B443&amp;""))</f>
        <v/>
      </c>
      <c r="M443" s="94">
        <f>IF($A443="",0,$H443*설정!$C$23)</f>
        <v/>
      </c>
      <c r="N443" s="94">
        <f>IF($A443="",0,$I443*설정!$C$23)</f>
        <v/>
      </c>
      <c r="O443" s="94">
        <f>IF($A443="",0,$J443*설정!$C$23)</f>
        <v/>
      </c>
      <c r="P443" s="64">
        <f>IF($A443="","",IFERROR(INDEX(입력옵션!$C$58:$C$68,MATCH($F443&amp;"",입력옵션!$E$58:$E$68,0)),IFERROR(INDEX(입력옵션!$C$58:$C$68,MATCH($G443&amp;"",입력옵션!$F$58:$F$68,0)),$F443&amp;"")))</f>
        <v/>
      </c>
    </row>
    <row r="444">
      <c r="A444" s="92" t="n">
        <v>2025</v>
      </c>
      <c r="B444" s="92" t="n">
        <v>10</v>
      </c>
      <c r="C444" s="92" t="inlineStr">
        <is>
          <t>PF04</t>
        </is>
      </c>
      <c r="D444" s="92" t="inlineStr">
        <is>
          <t>변액</t>
        </is>
      </c>
      <c r="E444" s="92" t="inlineStr">
        <is>
          <t>VFA</t>
        </is>
      </c>
      <c r="F444" s="92" t="inlineStr">
        <is>
          <t>F99</t>
        </is>
      </c>
      <c r="G444" s="92" t="inlineStr">
        <is>
          <t>기말잔액</t>
        </is>
      </c>
      <c r="H444" s="93" t="n">
        <v>316900905000</v>
      </c>
      <c r="I444" s="93" t="n">
        <v>15590991000</v>
      </c>
      <c r="J444" s="93" t="n">
        <v>50959390000</v>
      </c>
      <c r="L444" s="9">
        <f>IF($A444="","",VALUE($A444&amp;"")*12+VALUE($B444&amp;""))</f>
        <v/>
      </c>
      <c r="M444" s="94">
        <f>IF($A444="",0,$H444*설정!$C$23)</f>
        <v/>
      </c>
      <c r="N444" s="94">
        <f>IF($A444="",0,$I444*설정!$C$23)</f>
        <v/>
      </c>
      <c r="O444" s="94">
        <f>IF($A444="",0,$J444*설정!$C$23)</f>
        <v/>
      </c>
      <c r="P444" s="64">
        <f>IF($A444="","",IFERROR(INDEX(입력옵션!$C$58:$C$68,MATCH($F444&amp;"",입력옵션!$E$58:$E$68,0)),IFERROR(INDEX(입력옵션!$C$58:$C$68,MATCH($G444&amp;"",입력옵션!$F$58:$F$68,0)),$F444&amp;"")))</f>
        <v/>
      </c>
    </row>
    <row r="445">
      <c r="A445" s="92" t="n">
        <v>2025</v>
      </c>
      <c r="B445" s="92" t="n">
        <v>11</v>
      </c>
      <c r="C445" s="92" t="inlineStr">
        <is>
          <t>PF01</t>
        </is>
      </c>
      <c r="D445" s="92" t="inlineStr">
        <is>
          <t>보장성</t>
        </is>
      </c>
      <c r="E445" s="92" t="inlineStr">
        <is>
          <t>GMM</t>
        </is>
      </c>
      <c r="F445" s="92" t="inlineStr">
        <is>
          <t>F00</t>
        </is>
      </c>
      <c r="G445" s="92" t="inlineStr">
        <is>
          <t>기초잔액</t>
        </is>
      </c>
      <c r="H445" s="93" t="n">
        <v>1056336350000</v>
      </c>
      <c r="I445" s="93" t="n">
        <v>71958420000</v>
      </c>
      <c r="J445" s="93" t="n">
        <v>243278223000</v>
      </c>
      <c r="L445" s="9">
        <f>IF($A445="","",VALUE($A445&amp;"")*12+VALUE($B445&amp;""))</f>
        <v/>
      </c>
      <c r="M445" s="94">
        <f>IF($A445="",0,$H445*설정!$C$23)</f>
        <v/>
      </c>
      <c r="N445" s="94">
        <f>IF($A445="",0,$I445*설정!$C$23)</f>
        <v/>
      </c>
      <c r="O445" s="94">
        <f>IF($A445="",0,$J445*설정!$C$23)</f>
        <v/>
      </c>
      <c r="P445" s="64">
        <f>IF($A445="","",IFERROR(INDEX(입력옵션!$C$58:$C$68,MATCH($F445&amp;"",입력옵션!$E$58:$E$68,0)),IFERROR(INDEX(입력옵션!$C$58:$C$68,MATCH($G445&amp;"",입력옵션!$F$58:$F$68,0)),$F445&amp;"")))</f>
        <v/>
      </c>
    </row>
    <row r="446">
      <c r="A446" s="92" t="n">
        <v>2025</v>
      </c>
      <c r="B446" s="92" t="n">
        <v>11</v>
      </c>
      <c r="C446" s="92" t="inlineStr">
        <is>
          <t>PF01</t>
        </is>
      </c>
      <c r="D446" s="92" t="inlineStr">
        <is>
          <t>보장성</t>
        </is>
      </c>
      <c r="E446" s="92" t="inlineStr">
        <is>
          <t>GMM</t>
        </is>
      </c>
      <c r="F446" s="92" t="inlineStr">
        <is>
          <t>F10</t>
        </is>
      </c>
      <c r="G446" s="92" t="inlineStr">
        <is>
          <t>신계약 효과</t>
        </is>
      </c>
      <c r="H446" s="93" t="n">
        <v>-3115052000</v>
      </c>
      <c r="I446" s="93" t="n">
        <v>623010000</v>
      </c>
      <c r="J446" s="93" t="n">
        <v>2492042000</v>
      </c>
      <c r="L446" s="9">
        <f>IF($A446="","",VALUE($A446&amp;"")*12+VALUE($B446&amp;""))</f>
        <v/>
      </c>
      <c r="M446" s="94">
        <f>IF($A446="",0,$H446*설정!$C$23)</f>
        <v/>
      </c>
      <c r="N446" s="94">
        <f>IF($A446="",0,$I446*설정!$C$23)</f>
        <v/>
      </c>
      <c r="O446" s="94">
        <f>IF($A446="",0,$J446*설정!$C$23)</f>
        <v/>
      </c>
      <c r="P446" s="64">
        <f>IF($A446="","",IFERROR(INDEX(입력옵션!$C$58:$C$68,MATCH($F446&amp;"",입력옵션!$E$58:$E$68,0)),IFERROR(INDEX(입력옵션!$C$58:$C$68,MATCH($G446&amp;"",입력옵션!$F$58:$F$68,0)),$F446&amp;"")))</f>
        <v/>
      </c>
    </row>
    <row r="447">
      <c r="A447" s="92" t="n">
        <v>2025</v>
      </c>
      <c r="B447" s="92" t="n">
        <v>11</v>
      </c>
      <c r="C447" s="92" t="inlineStr">
        <is>
          <t>PF01</t>
        </is>
      </c>
      <c r="D447" s="92" t="inlineStr">
        <is>
          <t>보장성</t>
        </is>
      </c>
      <c r="E447" s="92" t="inlineStr">
        <is>
          <t>GMM</t>
        </is>
      </c>
      <c r="F447" s="92" t="inlineStr">
        <is>
          <t>F21</t>
        </is>
      </c>
      <c r="G447" s="92" t="inlineStr">
        <is>
          <t>가정변경-사업비</t>
        </is>
      </c>
      <c r="H447" s="93" t="n">
        <v>0</v>
      </c>
      <c r="I447" s="93" t="n">
        <v>0</v>
      </c>
      <c r="J447" s="93" t="n">
        <v>0</v>
      </c>
      <c r="L447" s="9">
        <f>IF($A447="","",VALUE($A447&amp;"")*12+VALUE($B447&amp;""))</f>
        <v/>
      </c>
      <c r="M447" s="94">
        <f>IF($A447="",0,$H447*설정!$C$23)</f>
        <v/>
      </c>
      <c r="N447" s="94">
        <f>IF($A447="",0,$I447*설정!$C$23)</f>
        <v/>
      </c>
      <c r="O447" s="94">
        <f>IF($A447="",0,$J447*설정!$C$23)</f>
        <v/>
      </c>
      <c r="P447" s="64">
        <f>IF($A447="","",IFERROR(INDEX(입력옵션!$C$58:$C$68,MATCH($F447&amp;"",입력옵션!$E$58:$E$68,0)),IFERROR(INDEX(입력옵션!$C$58:$C$68,MATCH($G447&amp;"",입력옵션!$F$58:$F$68,0)),$F447&amp;"")))</f>
        <v/>
      </c>
    </row>
    <row r="448">
      <c r="A448" s="92" t="n">
        <v>2025</v>
      </c>
      <c r="B448" s="92" t="n">
        <v>11</v>
      </c>
      <c r="C448" s="92" t="inlineStr">
        <is>
          <t>PF01</t>
        </is>
      </c>
      <c r="D448" s="92" t="inlineStr">
        <is>
          <t>보장성</t>
        </is>
      </c>
      <c r="E448" s="92" t="inlineStr">
        <is>
          <t>GMM</t>
        </is>
      </c>
      <c r="F448" s="92" t="inlineStr">
        <is>
          <t>F22</t>
        </is>
      </c>
      <c r="G448" s="92" t="inlineStr">
        <is>
          <t>가정변경-기타</t>
        </is>
      </c>
      <c r="H448" s="93" t="n">
        <v>0</v>
      </c>
      <c r="I448" s="93" t="n">
        <v>0</v>
      </c>
      <c r="J448" s="93" t="n">
        <v>0</v>
      </c>
      <c r="L448" s="9">
        <f>IF($A448="","",VALUE($A448&amp;"")*12+VALUE($B448&amp;""))</f>
        <v/>
      </c>
      <c r="M448" s="94">
        <f>IF($A448="",0,$H448*설정!$C$23)</f>
        <v/>
      </c>
      <c r="N448" s="94">
        <f>IF($A448="",0,$I448*설정!$C$23)</f>
        <v/>
      </c>
      <c r="O448" s="94">
        <f>IF($A448="",0,$J448*설정!$C$23)</f>
        <v/>
      </c>
      <c r="P448" s="64">
        <f>IF($A448="","",IFERROR(INDEX(입력옵션!$C$58:$C$68,MATCH($F448&amp;"",입력옵션!$E$58:$E$68,0)),IFERROR(INDEX(입력옵션!$C$58:$C$68,MATCH($G448&amp;"",입력옵션!$F$58:$F$68,0)),$F448&amp;"")))</f>
        <v/>
      </c>
    </row>
    <row r="449">
      <c r="A449" s="92" t="n">
        <v>2025</v>
      </c>
      <c r="B449" s="92" t="n">
        <v>11</v>
      </c>
      <c r="C449" s="92" t="inlineStr">
        <is>
          <t>PF01</t>
        </is>
      </c>
      <c r="D449" s="92" t="inlineStr">
        <is>
          <t>보장성</t>
        </is>
      </c>
      <c r="E449" s="92" t="inlineStr">
        <is>
          <t>GMM</t>
        </is>
      </c>
      <c r="F449" s="92" t="inlineStr">
        <is>
          <t>F31</t>
        </is>
      </c>
      <c r="G449" s="92" t="inlineStr">
        <is>
          <t>경험조정-취득현금흐름</t>
        </is>
      </c>
      <c r="H449" s="93" t="n">
        <v>0</v>
      </c>
      <c r="I449" s="93" t="n">
        <v>0</v>
      </c>
      <c r="J449" s="93" t="n">
        <v>-109000</v>
      </c>
      <c r="L449" s="9">
        <f>IF($A449="","",VALUE($A449&amp;"")*12+VALUE($B449&amp;""))</f>
        <v/>
      </c>
      <c r="M449" s="94">
        <f>IF($A449="",0,$H449*설정!$C$23)</f>
        <v/>
      </c>
      <c r="N449" s="94">
        <f>IF($A449="",0,$I449*설정!$C$23)</f>
        <v/>
      </c>
      <c r="O449" s="94">
        <f>IF($A449="",0,$J449*설정!$C$23)</f>
        <v/>
      </c>
      <c r="P449" s="64">
        <f>IF($A449="","",IFERROR(INDEX(입력옵션!$C$58:$C$68,MATCH($F449&amp;"",입력옵션!$E$58:$E$68,0)),IFERROR(INDEX(입력옵션!$C$58:$C$68,MATCH($G449&amp;"",입력옵션!$F$58:$F$68,0)),$F449&amp;"")))</f>
        <v/>
      </c>
    </row>
    <row r="450">
      <c r="A450" s="92" t="n">
        <v>2025</v>
      </c>
      <c r="B450" s="92" t="n">
        <v>11</v>
      </c>
      <c r="C450" s="92" t="inlineStr">
        <is>
          <t>PF01</t>
        </is>
      </c>
      <c r="D450" s="92" t="inlineStr">
        <is>
          <t>보장성</t>
        </is>
      </c>
      <c r="E450" s="92" t="inlineStr">
        <is>
          <t>GMM</t>
        </is>
      </c>
      <c r="F450" s="92" t="inlineStr">
        <is>
          <t>F32</t>
        </is>
      </c>
      <c r="G450" s="92" t="inlineStr">
        <is>
          <t>경험조정-보험료 등</t>
        </is>
      </c>
      <c r="H450" s="93" t="n">
        <v>0</v>
      </c>
      <c r="I450" s="93" t="n">
        <v>0</v>
      </c>
      <c r="J450" s="93" t="n">
        <v>-280720000</v>
      </c>
      <c r="L450" s="9">
        <f>IF($A450="","",VALUE($A450&amp;"")*12+VALUE($B450&amp;""))</f>
        <v/>
      </c>
      <c r="M450" s="94">
        <f>IF($A450="",0,$H450*설정!$C$23)</f>
        <v/>
      </c>
      <c r="N450" s="94">
        <f>IF($A450="",0,$I450*설정!$C$23)</f>
        <v/>
      </c>
      <c r="O450" s="94">
        <f>IF($A450="",0,$J450*설정!$C$23)</f>
        <v/>
      </c>
      <c r="P450" s="64">
        <f>IF($A450="","",IFERROR(INDEX(입력옵션!$C$58:$C$68,MATCH($F450&amp;"",입력옵션!$E$58:$E$68,0)),IFERROR(INDEX(입력옵션!$C$58:$C$68,MATCH($G450&amp;"",입력옵션!$F$58:$F$68,0)),$F450&amp;"")))</f>
        <v/>
      </c>
    </row>
    <row r="451">
      <c r="A451" s="92" t="n">
        <v>2025</v>
      </c>
      <c r="B451" s="92" t="n">
        <v>11</v>
      </c>
      <c r="C451" s="92" t="inlineStr">
        <is>
          <t>PF01</t>
        </is>
      </c>
      <c r="D451" s="92" t="inlineStr">
        <is>
          <t>보장성</t>
        </is>
      </c>
      <c r="E451" s="92" t="inlineStr">
        <is>
          <t>GMM</t>
        </is>
      </c>
      <c r="F451" s="92" t="inlineStr">
        <is>
          <t>F40</t>
        </is>
      </c>
      <c r="G451" s="92" t="inlineStr">
        <is>
          <t>보험금융비용(이자부리)</t>
        </is>
      </c>
      <c r="H451" s="93" t="n">
        <v>2640841000</v>
      </c>
      <c r="I451" s="93" t="n">
        <v>143917000</v>
      </c>
      <c r="J451" s="93" t="n">
        <v>608196000</v>
      </c>
      <c r="L451" s="9">
        <f>IF($A451="","",VALUE($A451&amp;"")*12+VALUE($B451&amp;""))</f>
        <v/>
      </c>
      <c r="M451" s="94">
        <f>IF($A451="",0,$H451*설정!$C$23)</f>
        <v/>
      </c>
      <c r="N451" s="94">
        <f>IF($A451="",0,$I451*설정!$C$23)</f>
        <v/>
      </c>
      <c r="O451" s="94">
        <f>IF($A451="",0,$J451*설정!$C$23)</f>
        <v/>
      </c>
      <c r="P451" s="64">
        <f>IF($A451="","",IFERROR(INDEX(입력옵션!$C$58:$C$68,MATCH($F451&amp;"",입력옵션!$E$58:$E$68,0)),IFERROR(INDEX(입력옵션!$C$58:$C$68,MATCH($G451&amp;"",입력옵션!$F$58:$F$68,0)),$F451&amp;"")))</f>
        <v/>
      </c>
    </row>
    <row r="452">
      <c r="A452" s="92" t="n">
        <v>2025</v>
      </c>
      <c r="B452" s="92" t="n">
        <v>11</v>
      </c>
      <c r="C452" s="92" t="inlineStr">
        <is>
          <t>PF01</t>
        </is>
      </c>
      <c r="D452" s="92" t="inlineStr">
        <is>
          <t>보장성</t>
        </is>
      </c>
      <c r="E452" s="92" t="inlineStr">
        <is>
          <t>GMM</t>
        </is>
      </c>
      <c r="F452" s="92" t="inlineStr">
        <is>
          <t>F51</t>
        </is>
      </c>
      <c r="G452" s="92" t="inlineStr">
        <is>
          <t>CSM 상각</t>
        </is>
      </c>
      <c r="H452" s="93" t="n">
        <v>0</v>
      </c>
      <c r="I452" s="93" t="n">
        <v>0</v>
      </c>
      <c r="J452" s="93" t="n">
        <v>-2189504000</v>
      </c>
      <c r="L452" s="9">
        <f>IF($A452="","",VALUE($A452&amp;"")*12+VALUE($B452&amp;""))</f>
        <v/>
      </c>
      <c r="M452" s="94">
        <f>IF($A452="",0,$H452*설정!$C$23)</f>
        <v/>
      </c>
      <c r="N452" s="94">
        <f>IF($A452="",0,$I452*설정!$C$23)</f>
        <v/>
      </c>
      <c r="O452" s="94">
        <f>IF($A452="",0,$J452*설정!$C$23)</f>
        <v/>
      </c>
      <c r="P452" s="64">
        <f>IF($A452="","",IFERROR(INDEX(입력옵션!$C$58:$C$68,MATCH($F452&amp;"",입력옵션!$E$58:$E$68,0)),IFERROR(INDEX(입력옵션!$C$58:$C$68,MATCH($G452&amp;"",입력옵션!$F$58:$F$68,0)),$F452&amp;"")))</f>
        <v/>
      </c>
    </row>
    <row r="453">
      <c r="A453" s="92" t="n">
        <v>2025</v>
      </c>
      <c r="B453" s="92" t="n">
        <v>11</v>
      </c>
      <c r="C453" s="92" t="inlineStr">
        <is>
          <t>PF01</t>
        </is>
      </c>
      <c r="D453" s="92" t="inlineStr">
        <is>
          <t>보장성</t>
        </is>
      </c>
      <c r="E453" s="92" t="inlineStr">
        <is>
          <t>GMM</t>
        </is>
      </c>
      <c r="F453" s="92" t="inlineStr">
        <is>
          <t>F52</t>
        </is>
      </c>
      <c r="G453" s="92" t="inlineStr">
        <is>
          <t>RA 해제</t>
        </is>
      </c>
      <c r="H453" s="93" t="n">
        <v>0</v>
      </c>
      <c r="I453" s="93" t="n">
        <v>-431751000</v>
      </c>
      <c r="J453" s="93" t="n">
        <v>0</v>
      </c>
      <c r="L453" s="9">
        <f>IF($A453="","",VALUE($A453&amp;"")*12+VALUE($B453&amp;""))</f>
        <v/>
      </c>
      <c r="M453" s="94">
        <f>IF($A453="",0,$H453*설정!$C$23)</f>
        <v/>
      </c>
      <c r="N453" s="94">
        <f>IF($A453="",0,$I453*설정!$C$23)</f>
        <v/>
      </c>
      <c r="O453" s="94">
        <f>IF($A453="",0,$J453*설정!$C$23)</f>
        <v/>
      </c>
      <c r="P453" s="64">
        <f>IF($A453="","",IFERROR(INDEX(입력옵션!$C$58:$C$68,MATCH($F453&amp;"",입력옵션!$E$58:$E$68,0)),IFERROR(INDEX(입력옵션!$C$58:$C$68,MATCH($G453&amp;"",입력옵션!$F$58:$F$68,0)),$F453&amp;"")))</f>
        <v/>
      </c>
    </row>
    <row r="454">
      <c r="A454" s="92" t="n">
        <v>2025</v>
      </c>
      <c r="B454" s="92" t="n">
        <v>11</v>
      </c>
      <c r="C454" s="92" t="inlineStr">
        <is>
          <t>PF01</t>
        </is>
      </c>
      <c r="D454" s="92" t="inlineStr">
        <is>
          <t>보장성</t>
        </is>
      </c>
      <c r="E454" s="92" t="inlineStr">
        <is>
          <t>GMM</t>
        </is>
      </c>
      <c r="F454" s="92" t="inlineStr">
        <is>
          <t>F60</t>
        </is>
      </c>
      <c r="G454" s="92" t="inlineStr">
        <is>
          <t>현금흐름 및 기타</t>
        </is>
      </c>
      <c r="H454" s="93" t="n">
        <v>8053611000</v>
      </c>
      <c r="I454" s="93" t="n">
        <v>-425297000</v>
      </c>
      <c r="J454" s="93" t="n">
        <v>0</v>
      </c>
      <c r="L454" s="9">
        <f>IF($A454="","",VALUE($A454&amp;"")*12+VALUE($B454&amp;""))</f>
        <v/>
      </c>
      <c r="M454" s="94">
        <f>IF($A454="",0,$H454*설정!$C$23)</f>
        <v/>
      </c>
      <c r="N454" s="94">
        <f>IF($A454="",0,$I454*설정!$C$23)</f>
        <v/>
      </c>
      <c r="O454" s="94">
        <f>IF($A454="",0,$J454*설정!$C$23)</f>
        <v/>
      </c>
      <c r="P454" s="64">
        <f>IF($A454="","",IFERROR(INDEX(입력옵션!$C$58:$C$68,MATCH($F454&amp;"",입력옵션!$E$58:$E$68,0)),IFERROR(INDEX(입력옵션!$C$58:$C$68,MATCH($G454&amp;"",입력옵션!$F$58:$F$68,0)),$F454&amp;"")))</f>
        <v/>
      </c>
    </row>
    <row r="455">
      <c r="A455" s="92" t="n">
        <v>2025</v>
      </c>
      <c r="B455" s="92" t="n">
        <v>11</v>
      </c>
      <c r="C455" s="92" t="inlineStr">
        <is>
          <t>PF01</t>
        </is>
      </c>
      <c r="D455" s="92" t="inlineStr">
        <is>
          <t>보장성</t>
        </is>
      </c>
      <c r="E455" s="92" t="inlineStr">
        <is>
          <t>GMM</t>
        </is>
      </c>
      <c r="F455" s="92" t="inlineStr">
        <is>
          <t>F99</t>
        </is>
      </c>
      <c r="G455" s="92" t="inlineStr">
        <is>
          <t>기말잔액</t>
        </is>
      </c>
      <c r="H455" s="93" t="n">
        <v>1063915750000</v>
      </c>
      <c r="I455" s="93" t="n">
        <v>71868300000</v>
      </c>
      <c r="J455" s="93" t="n">
        <v>243908127000</v>
      </c>
      <c r="L455" s="9">
        <f>IF($A455="","",VALUE($A455&amp;"")*12+VALUE($B455&amp;""))</f>
        <v/>
      </c>
      <c r="M455" s="94">
        <f>IF($A455="",0,$H455*설정!$C$23)</f>
        <v/>
      </c>
      <c r="N455" s="94">
        <f>IF($A455="",0,$I455*설정!$C$23)</f>
        <v/>
      </c>
      <c r="O455" s="94">
        <f>IF($A455="",0,$J455*설정!$C$23)</f>
        <v/>
      </c>
      <c r="P455" s="64">
        <f>IF($A455="","",IFERROR(INDEX(입력옵션!$C$58:$C$68,MATCH($F455&amp;"",입력옵션!$E$58:$E$68,0)),IFERROR(INDEX(입력옵션!$C$58:$C$68,MATCH($G455&amp;"",입력옵션!$F$58:$F$68,0)),$F455&amp;"")))</f>
        <v/>
      </c>
    </row>
    <row r="456">
      <c r="A456" s="92" t="n">
        <v>2025</v>
      </c>
      <c r="B456" s="92" t="n">
        <v>11</v>
      </c>
      <c r="C456" s="92" t="inlineStr">
        <is>
          <t>PF02</t>
        </is>
      </c>
      <c r="D456" s="92" t="inlineStr">
        <is>
          <t>저축성</t>
        </is>
      </c>
      <c r="E456" s="92" t="inlineStr">
        <is>
          <t>GMM</t>
        </is>
      </c>
      <c r="F456" s="92" t="inlineStr">
        <is>
          <t>F00</t>
        </is>
      </c>
      <c r="G456" s="92" t="inlineStr">
        <is>
          <t>기초잔액</t>
        </is>
      </c>
      <c r="H456" s="93" t="n">
        <v>697181991000</v>
      </c>
      <c r="I456" s="93" t="n">
        <v>29982675000</v>
      </c>
      <c r="J456" s="93" t="n">
        <v>98134915000</v>
      </c>
      <c r="L456" s="9">
        <f>IF($A456="","",VALUE($A456&amp;"")*12+VALUE($B456&amp;""))</f>
        <v/>
      </c>
      <c r="M456" s="94">
        <f>IF($A456="",0,$H456*설정!$C$23)</f>
        <v/>
      </c>
      <c r="N456" s="94">
        <f>IF($A456="",0,$I456*설정!$C$23)</f>
        <v/>
      </c>
      <c r="O456" s="94">
        <f>IF($A456="",0,$J456*설정!$C$23)</f>
        <v/>
      </c>
      <c r="P456" s="64">
        <f>IF($A456="","",IFERROR(INDEX(입력옵션!$C$58:$C$68,MATCH($F456&amp;"",입력옵션!$E$58:$E$68,0)),IFERROR(INDEX(입력옵션!$C$58:$C$68,MATCH($G456&amp;"",입력옵션!$F$58:$F$68,0)),$F456&amp;"")))</f>
        <v/>
      </c>
    </row>
    <row r="457">
      <c r="A457" s="92" t="n">
        <v>2025</v>
      </c>
      <c r="B457" s="92" t="n">
        <v>11</v>
      </c>
      <c r="C457" s="92" t="inlineStr">
        <is>
          <t>PF02</t>
        </is>
      </c>
      <c r="D457" s="92" t="inlineStr">
        <is>
          <t>저축성</t>
        </is>
      </c>
      <c r="E457" s="92" t="inlineStr">
        <is>
          <t>GMM</t>
        </is>
      </c>
      <c r="F457" s="92" t="inlineStr">
        <is>
          <t>F10</t>
        </is>
      </c>
      <c r="G457" s="92" t="inlineStr">
        <is>
          <t>신계약 효과</t>
        </is>
      </c>
      <c r="H457" s="93" t="n">
        <v>-1256069000</v>
      </c>
      <c r="I457" s="93" t="n">
        <v>251214000</v>
      </c>
      <c r="J457" s="93" t="n">
        <v>1004856000</v>
      </c>
      <c r="L457" s="9">
        <f>IF($A457="","",VALUE($A457&amp;"")*12+VALUE($B457&amp;""))</f>
        <v/>
      </c>
      <c r="M457" s="94">
        <f>IF($A457="",0,$H457*설정!$C$23)</f>
        <v/>
      </c>
      <c r="N457" s="94">
        <f>IF($A457="",0,$I457*설정!$C$23)</f>
        <v/>
      </c>
      <c r="O457" s="94">
        <f>IF($A457="",0,$J457*설정!$C$23)</f>
        <v/>
      </c>
      <c r="P457" s="64">
        <f>IF($A457="","",IFERROR(INDEX(입력옵션!$C$58:$C$68,MATCH($F457&amp;"",입력옵션!$E$58:$E$68,0)),IFERROR(INDEX(입력옵션!$C$58:$C$68,MATCH($G457&amp;"",입력옵션!$F$58:$F$68,0)),$F457&amp;"")))</f>
        <v/>
      </c>
    </row>
    <row r="458">
      <c r="A458" s="92" t="n">
        <v>2025</v>
      </c>
      <c r="B458" s="92" t="n">
        <v>11</v>
      </c>
      <c r="C458" s="92" t="inlineStr">
        <is>
          <t>PF02</t>
        </is>
      </c>
      <c r="D458" s="92" t="inlineStr">
        <is>
          <t>저축성</t>
        </is>
      </c>
      <c r="E458" s="92" t="inlineStr">
        <is>
          <t>GMM</t>
        </is>
      </c>
      <c r="F458" s="92" t="inlineStr">
        <is>
          <t>F21</t>
        </is>
      </c>
      <c r="G458" s="92" t="inlineStr">
        <is>
          <t>가정변경-사업비</t>
        </is>
      </c>
      <c r="H458" s="93" t="n">
        <v>0</v>
      </c>
      <c r="I458" s="93" t="n">
        <v>0</v>
      </c>
      <c r="J458" s="93" t="n">
        <v>0</v>
      </c>
      <c r="L458" s="9">
        <f>IF($A458="","",VALUE($A458&amp;"")*12+VALUE($B458&amp;""))</f>
        <v/>
      </c>
      <c r="M458" s="94">
        <f>IF($A458="",0,$H458*설정!$C$23)</f>
        <v/>
      </c>
      <c r="N458" s="94">
        <f>IF($A458="",0,$I458*설정!$C$23)</f>
        <v/>
      </c>
      <c r="O458" s="94">
        <f>IF($A458="",0,$J458*설정!$C$23)</f>
        <v/>
      </c>
      <c r="P458" s="64">
        <f>IF($A458="","",IFERROR(INDEX(입력옵션!$C$58:$C$68,MATCH($F458&amp;"",입력옵션!$E$58:$E$68,0)),IFERROR(INDEX(입력옵션!$C$58:$C$68,MATCH($G458&amp;"",입력옵션!$F$58:$F$68,0)),$F458&amp;"")))</f>
        <v/>
      </c>
    </row>
    <row r="459">
      <c r="A459" s="92" t="n">
        <v>2025</v>
      </c>
      <c r="B459" s="92" t="n">
        <v>11</v>
      </c>
      <c r="C459" s="92" t="inlineStr">
        <is>
          <t>PF02</t>
        </is>
      </c>
      <c r="D459" s="92" t="inlineStr">
        <is>
          <t>저축성</t>
        </is>
      </c>
      <c r="E459" s="92" t="inlineStr">
        <is>
          <t>GMM</t>
        </is>
      </c>
      <c r="F459" s="92" t="inlineStr">
        <is>
          <t>F22</t>
        </is>
      </c>
      <c r="G459" s="92" t="inlineStr">
        <is>
          <t>가정변경-기타</t>
        </is>
      </c>
      <c r="H459" s="93" t="n">
        <v>0</v>
      </c>
      <c r="I459" s="93" t="n">
        <v>0</v>
      </c>
      <c r="J459" s="93" t="n">
        <v>0</v>
      </c>
      <c r="L459" s="9">
        <f>IF($A459="","",VALUE($A459&amp;"")*12+VALUE($B459&amp;""))</f>
        <v/>
      </c>
      <c r="M459" s="94">
        <f>IF($A459="",0,$H459*설정!$C$23)</f>
        <v/>
      </c>
      <c r="N459" s="94">
        <f>IF($A459="",0,$I459*설정!$C$23)</f>
        <v/>
      </c>
      <c r="O459" s="94">
        <f>IF($A459="",0,$J459*설정!$C$23)</f>
        <v/>
      </c>
      <c r="P459" s="64">
        <f>IF($A459="","",IFERROR(INDEX(입력옵션!$C$58:$C$68,MATCH($F459&amp;"",입력옵션!$E$58:$E$68,0)),IFERROR(INDEX(입력옵션!$C$58:$C$68,MATCH($G459&amp;"",입력옵션!$F$58:$F$68,0)),$F459&amp;"")))</f>
        <v/>
      </c>
    </row>
    <row r="460">
      <c r="A460" s="92" t="n">
        <v>2025</v>
      </c>
      <c r="B460" s="92" t="n">
        <v>11</v>
      </c>
      <c r="C460" s="92" t="inlineStr">
        <is>
          <t>PF02</t>
        </is>
      </c>
      <c r="D460" s="92" t="inlineStr">
        <is>
          <t>저축성</t>
        </is>
      </c>
      <c r="E460" s="92" t="inlineStr">
        <is>
          <t>GMM</t>
        </is>
      </c>
      <c r="F460" s="92" t="inlineStr">
        <is>
          <t>F31</t>
        </is>
      </c>
      <c r="G460" s="92" t="inlineStr">
        <is>
          <t>경험조정-취득현금흐름</t>
        </is>
      </c>
      <c r="H460" s="93" t="n">
        <v>0</v>
      </c>
      <c r="I460" s="93" t="n">
        <v>0</v>
      </c>
      <c r="J460" s="93" t="n">
        <v>-1903000</v>
      </c>
      <c r="L460" s="9">
        <f>IF($A460="","",VALUE($A460&amp;"")*12+VALUE($B460&amp;""))</f>
        <v/>
      </c>
      <c r="M460" s="94">
        <f>IF($A460="",0,$H460*설정!$C$23)</f>
        <v/>
      </c>
      <c r="N460" s="94">
        <f>IF($A460="",0,$I460*설정!$C$23)</f>
        <v/>
      </c>
      <c r="O460" s="94">
        <f>IF($A460="",0,$J460*설정!$C$23)</f>
        <v/>
      </c>
      <c r="P460" s="64">
        <f>IF($A460="","",IFERROR(INDEX(입력옵션!$C$58:$C$68,MATCH($F460&amp;"",입력옵션!$E$58:$E$68,0)),IFERROR(INDEX(입력옵션!$C$58:$C$68,MATCH($G460&amp;"",입력옵션!$F$58:$F$68,0)),$F460&amp;"")))</f>
        <v/>
      </c>
    </row>
    <row r="461">
      <c r="A461" s="92" t="n">
        <v>2025</v>
      </c>
      <c r="B461" s="92" t="n">
        <v>11</v>
      </c>
      <c r="C461" s="92" t="inlineStr">
        <is>
          <t>PF02</t>
        </is>
      </c>
      <c r="D461" s="92" t="inlineStr">
        <is>
          <t>저축성</t>
        </is>
      </c>
      <c r="E461" s="92" t="inlineStr">
        <is>
          <t>GMM</t>
        </is>
      </c>
      <c r="F461" s="92" t="inlineStr">
        <is>
          <t>F32</t>
        </is>
      </c>
      <c r="G461" s="92" t="inlineStr">
        <is>
          <t>경험조정-보험료 등</t>
        </is>
      </c>
      <c r="H461" s="93" t="n">
        <v>0</v>
      </c>
      <c r="I461" s="93" t="n">
        <v>0</v>
      </c>
      <c r="J461" s="93" t="n">
        <v>103391000</v>
      </c>
      <c r="L461" s="9">
        <f>IF($A461="","",VALUE($A461&amp;"")*12+VALUE($B461&amp;""))</f>
        <v/>
      </c>
      <c r="M461" s="94">
        <f>IF($A461="",0,$H461*설정!$C$23)</f>
        <v/>
      </c>
      <c r="N461" s="94">
        <f>IF($A461="",0,$I461*설정!$C$23)</f>
        <v/>
      </c>
      <c r="O461" s="94">
        <f>IF($A461="",0,$J461*설정!$C$23)</f>
        <v/>
      </c>
      <c r="P461" s="64">
        <f>IF($A461="","",IFERROR(INDEX(입력옵션!$C$58:$C$68,MATCH($F461&amp;"",입력옵션!$E$58:$E$68,0)),IFERROR(INDEX(입력옵션!$C$58:$C$68,MATCH($G461&amp;"",입력옵션!$F$58:$F$68,0)),$F461&amp;"")))</f>
        <v/>
      </c>
    </row>
    <row r="462">
      <c r="A462" s="92" t="n">
        <v>2025</v>
      </c>
      <c r="B462" s="92" t="n">
        <v>11</v>
      </c>
      <c r="C462" s="92" t="inlineStr">
        <is>
          <t>PF02</t>
        </is>
      </c>
      <c r="D462" s="92" t="inlineStr">
        <is>
          <t>저축성</t>
        </is>
      </c>
      <c r="E462" s="92" t="inlineStr">
        <is>
          <t>GMM</t>
        </is>
      </c>
      <c r="F462" s="92" t="inlineStr">
        <is>
          <t>F40</t>
        </is>
      </c>
      <c r="G462" s="92" t="inlineStr">
        <is>
          <t>보험금융비용(이자부리)</t>
        </is>
      </c>
      <c r="H462" s="93" t="n">
        <v>1742955000</v>
      </c>
      <c r="I462" s="93" t="n">
        <v>59965000</v>
      </c>
      <c r="J462" s="93" t="n">
        <v>245337000</v>
      </c>
      <c r="L462" s="9">
        <f>IF($A462="","",VALUE($A462&amp;"")*12+VALUE($B462&amp;""))</f>
        <v/>
      </c>
      <c r="M462" s="94">
        <f>IF($A462="",0,$H462*설정!$C$23)</f>
        <v/>
      </c>
      <c r="N462" s="94">
        <f>IF($A462="",0,$I462*설정!$C$23)</f>
        <v/>
      </c>
      <c r="O462" s="94">
        <f>IF($A462="",0,$J462*설정!$C$23)</f>
        <v/>
      </c>
      <c r="P462" s="64">
        <f>IF($A462="","",IFERROR(INDEX(입력옵션!$C$58:$C$68,MATCH($F462&amp;"",입력옵션!$E$58:$E$68,0)),IFERROR(INDEX(입력옵션!$C$58:$C$68,MATCH($G462&amp;"",입력옵션!$F$58:$F$68,0)),$F462&amp;"")))</f>
        <v/>
      </c>
    </row>
    <row r="463">
      <c r="A463" s="92" t="n">
        <v>2025</v>
      </c>
      <c r="B463" s="92" t="n">
        <v>11</v>
      </c>
      <c r="C463" s="92" t="inlineStr">
        <is>
          <t>PF02</t>
        </is>
      </c>
      <c r="D463" s="92" t="inlineStr">
        <is>
          <t>저축성</t>
        </is>
      </c>
      <c r="E463" s="92" t="inlineStr">
        <is>
          <t>GMM</t>
        </is>
      </c>
      <c r="F463" s="92" t="inlineStr">
        <is>
          <t>F51</t>
        </is>
      </c>
      <c r="G463" s="92" t="inlineStr">
        <is>
          <t>CSM 상각</t>
        </is>
      </c>
      <c r="H463" s="93" t="n">
        <v>0</v>
      </c>
      <c r="I463" s="93" t="n">
        <v>0</v>
      </c>
      <c r="J463" s="93" t="n">
        <v>-883214000</v>
      </c>
      <c r="L463" s="9">
        <f>IF($A463="","",VALUE($A463&amp;"")*12+VALUE($B463&amp;""))</f>
        <v/>
      </c>
      <c r="M463" s="94">
        <f>IF($A463="",0,$H463*설정!$C$23)</f>
        <v/>
      </c>
      <c r="N463" s="94">
        <f>IF($A463="",0,$I463*설정!$C$23)</f>
        <v/>
      </c>
      <c r="O463" s="94">
        <f>IF($A463="",0,$J463*설정!$C$23)</f>
        <v/>
      </c>
      <c r="P463" s="64">
        <f>IF($A463="","",IFERROR(INDEX(입력옵션!$C$58:$C$68,MATCH($F463&amp;"",입력옵션!$E$58:$E$68,0)),IFERROR(INDEX(입력옵션!$C$58:$C$68,MATCH($G463&amp;"",입력옵션!$F$58:$F$68,0)),$F463&amp;"")))</f>
        <v/>
      </c>
    </row>
    <row r="464">
      <c r="A464" s="92" t="n">
        <v>2025</v>
      </c>
      <c r="B464" s="92" t="n">
        <v>11</v>
      </c>
      <c r="C464" s="92" t="inlineStr">
        <is>
          <t>PF02</t>
        </is>
      </c>
      <c r="D464" s="92" t="inlineStr">
        <is>
          <t>저축성</t>
        </is>
      </c>
      <c r="E464" s="92" t="inlineStr">
        <is>
          <t>GMM</t>
        </is>
      </c>
      <c r="F464" s="92" t="inlineStr">
        <is>
          <t>F52</t>
        </is>
      </c>
      <c r="G464" s="92" t="inlineStr">
        <is>
          <t>RA 해제</t>
        </is>
      </c>
      <c r="H464" s="93" t="n">
        <v>0</v>
      </c>
      <c r="I464" s="93" t="n">
        <v>-179896000</v>
      </c>
      <c r="J464" s="93" t="n">
        <v>0</v>
      </c>
      <c r="L464" s="9">
        <f>IF($A464="","",VALUE($A464&amp;"")*12+VALUE($B464&amp;""))</f>
        <v/>
      </c>
      <c r="M464" s="94">
        <f>IF($A464="",0,$H464*설정!$C$23)</f>
        <v/>
      </c>
      <c r="N464" s="94">
        <f>IF($A464="",0,$I464*설정!$C$23)</f>
        <v/>
      </c>
      <c r="O464" s="94">
        <f>IF($A464="",0,$J464*설정!$C$23)</f>
        <v/>
      </c>
      <c r="P464" s="64">
        <f>IF($A464="","",IFERROR(INDEX(입력옵션!$C$58:$C$68,MATCH($F464&amp;"",입력옵션!$E$58:$E$68,0)),IFERROR(INDEX(입력옵션!$C$58:$C$68,MATCH($G464&amp;"",입력옵션!$F$58:$F$68,0)),$F464&amp;"")))</f>
        <v/>
      </c>
    </row>
    <row r="465">
      <c r="A465" s="92" t="n">
        <v>2025</v>
      </c>
      <c r="B465" s="92" t="n">
        <v>11</v>
      </c>
      <c r="C465" s="92" t="inlineStr">
        <is>
          <t>PF02</t>
        </is>
      </c>
      <c r="D465" s="92" t="inlineStr">
        <is>
          <t>저축성</t>
        </is>
      </c>
      <c r="E465" s="92" t="inlineStr">
        <is>
          <t>GMM</t>
        </is>
      </c>
      <c r="F465" s="92" t="inlineStr">
        <is>
          <t>F60</t>
        </is>
      </c>
      <c r="G465" s="92" t="inlineStr">
        <is>
          <t>현금흐름 및 기타</t>
        </is>
      </c>
      <c r="H465" s="93" t="n">
        <v>4515518000</v>
      </c>
      <c r="I465" s="93" t="n">
        <v>-168833000</v>
      </c>
      <c r="J465" s="93" t="n">
        <v>0</v>
      </c>
      <c r="L465" s="9">
        <f>IF($A465="","",VALUE($A465&amp;"")*12+VALUE($B465&amp;""))</f>
        <v/>
      </c>
      <c r="M465" s="94">
        <f>IF($A465="",0,$H465*설정!$C$23)</f>
        <v/>
      </c>
      <c r="N465" s="94">
        <f>IF($A465="",0,$I465*설정!$C$23)</f>
        <v/>
      </c>
      <c r="O465" s="94">
        <f>IF($A465="",0,$J465*설정!$C$23)</f>
        <v/>
      </c>
      <c r="P465" s="64">
        <f>IF($A465="","",IFERROR(INDEX(입력옵션!$C$58:$C$68,MATCH($F465&amp;"",입력옵션!$E$58:$E$68,0)),IFERROR(INDEX(입력옵션!$C$58:$C$68,MATCH($G465&amp;"",입력옵션!$F$58:$F$68,0)),$F465&amp;"")))</f>
        <v/>
      </c>
    </row>
    <row r="466">
      <c r="A466" s="92" t="n">
        <v>2025</v>
      </c>
      <c r="B466" s="92" t="n">
        <v>11</v>
      </c>
      <c r="C466" s="92" t="inlineStr">
        <is>
          <t>PF02</t>
        </is>
      </c>
      <c r="D466" s="92" t="inlineStr">
        <is>
          <t>저축성</t>
        </is>
      </c>
      <c r="E466" s="92" t="inlineStr">
        <is>
          <t>GMM</t>
        </is>
      </c>
      <c r="F466" s="92" t="inlineStr">
        <is>
          <t>F99</t>
        </is>
      </c>
      <c r="G466" s="92" t="inlineStr">
        <is>
          <t>기말잔액</t>
        </is>
      </c>
      <c r="H466" s="93" t="n">
        <v>702184395000</v>
      </c>
      <c r="I466" s="93" t="n">
        <v>29945125000</v>
      </c>
      <c r="J466" s="93" t="n">
        <v>98603382000</v>
      </c>
      <c r="L466" s="9">
        <f>IF($A466="","",VALUE($A466&amp;"")*12+VALUE($B466&amp;""))</f>
        <v/>
      </c>
      <c r="M466" s="94">
        <f>IF($A466="",0,$H466*설정!$C$23)</f>
        <v/>
      </c>
      <c r="N466" s="94">
        <f>IF($A466="",0,$I466*설정!$C$23)</f>
        <v/>
      </c>
      <c r="O466" s="94">
        <f>IF($A466="",0,$J466*설정!$C$23)</f>
        <v/>
      </c>
      <c r="P466" s="64">
        <f>IF($A466="","",IFERROR(INDEX(입력옵션!$C$58:$C$68,MATCH($F466&amp;"",입력옵션!$E$58:$E$68,0)),IFERROR(INDEX(입력옵션!$C$58:$C$68,MATCH($G466&amp;"",입력옵션!$F$58:$F$68,0)),$F466&amp;"")))</f>
        <v/>
      </c>
    </row>
    <row r="467">
      <c r="A467" s="92" t="n">
        <v>2025</v>
      </c>
      <c r="B467" s="92" t="n">
        <v>11</v>
      </c>
      <c r="C467" s="92" t="inlineStr">
        <is>
          <t>PF03</t>
        </is>
      </c>
      <c r="D467" s="92" t="inlineStr">
        <is>
          <t>단체(단기)</t>
        </is>
      </c>
      <c r="E467" s="92" t="inlineStr">
        <is>
          <t>PAA</t>
        </is>
      </c>
      <c r="F467" s="92" t="inlineStr">
        <is>
          <t>F00</t>
        </is>
      </c>
      <c r="G467" s="92" t="inlineStr">
        <is>
          <t>기초잔액</t>
        </is>
      </c>
      <c r="H467" s="93" t="n">
        <v>42253454000</v>
      </c>
      <c r="I467" s="93" t="n">
        <v>2398614000</v>
      </c>
      <c r="J467" s="93" t="n">
        <v>0</v>
      </c>
      <c r="L467" s="9">
        <f>IF($A467="","",VALUE($A467&amp;"")*12+VALUE($B467&amp;""))</f>
        <v/>
      </c>
      <c r="M467" s="94">
        <f>IF($A467="",0,$H467*설정!$C$23)</f>
        <v/>
      </c>
      <c r="N467" s="94">
        <f>IF($A467="",0,$I467*설정!$C$23)</f>
        <v/>
      </c>
      <c r="O467" s="94">
        <f>IF($A467="",0,$J467*설정!$C$23)</f>
        <v/>
      </c>
      <c r="P467" s="64">
        <f>IF($A467="","",IFERROR(INDEX(입력옵션!$C$58:$C$68,MATCH($F467&amp;"",입력옵션!$E$58:$E$68,0)),IFERROR(INDEX(입력옵션!$C$58:$C$68,MATCH($G467&amp;"",입력옵션!$F$58:$F$68,0)),$F467&amp;"")))</f>
        <v/>
      </c>
    </row>
    <row r="468">
      <c r="A468" s="92" t="n">
        <v>2025</v>
      </c>
      <c r="B468" s="92" t="n">
        <v>11</v>
      </c>
      <c r="C468" s="92" t="inlineStr">
        <is>
          <t>PF03</t>
        </is>
      </c>
      <c r="D468" s="92" t="inlineStr">
        <is>
          <t>단체(단기)</t>
        </is>
      </c>
      <c r="E468" s="92" t="inlineStr">
        <is>
          <t>PAA</t>
        </is>
      </c>
      <c r="F468" s="92" t="inlineStr">
        <is>
          <t>F10</t>
        </is>
      </c>
      <c r="G468" s="92" t="inlineStr">
        <is>
          <t>신계약 효과</t>
        </is>
      </c>
      <c r="H468" s="93" t="n">
        <v>0</v>
      </c>
      <c r="I468" s="93" t="n">
        <v>0</v>
      </c>
      <c r="J468" s="93" t="n">
        <v>0</v>
      </c>
      <c r="L468" s="9">
        <f>IF($A468="","",VALUE($A468&amp;"")*12+VALUE($B468&amp;""))</f>
        <v/>
      </c>
      <c r="M468" s="94">
        <f>IF($A468="",0,$H468*설정!$C$23)</f>
        <v/>
      </c>
      <c r="N468" s="94">
        <f>IF($A468="",0,$I468*설정!$C$23)</f>
        <v/>
      </c>
      <c r="O468" s="94">
        <f>IF($A468="",0,$J468*설정!$C$23)</f>
        <v/>
      </c>
      <c r="P468" s="64">
        <f>IF($A468="","",IFERROR(INDEX(입력옵션!$C$58:$C$68,MATCH($F468&amp;"",입력옵션!$E$58:$E$68,0)),IFERROR(INDEX(입력옵션!$C$58:$C$68,MATCH($G468&amp;"",입력옵션!$F$58:$F$68,0)),$F468&amp;"")))</f>
        <v/>
      </c>
    </row>
    <row r="469">
      <c r="A469" s="92" t="n">
        <v>2025</v>
      </c>
      <c r="B469" s="92" t="n">
        <v>11</v>
      </c>
      <c r="C469" s="92" t="inlineStr">
        <is>
          <t>PF03</t>
        </is>
      </c>
      <c r="D469" s="92" t="inlineStr">
        <is>
          <t>단체(단기)</t>
        </is>
      </c>
      <c r="E469" s="92" t="inlineStr">
        <is>
          <t>PAA</t>
        </is>
      </c>
      <c r="F469" s="92" t="inlineStr">
        <is>
          <t>F21</t>
        </is>
      </c>
      <c r="G469" s="92" t="inlineStr">
        <is>
          <t>가정변경-사업비</t>
        </is>
      </c>
      <c r="H469" s="93" t="n">
        <v>0</v>
      </c>
      <c r="I469" s="93" t="n">
        <v>0</v>
      </c>
      <c r="J469" s="93" t="n">
        <v>0</v>
      </c>
      <c r="L469" s="9">
        <f>IF($A469="","",VALUE($A469&amp;"")*12+VALUE($B469&amp;""))</f>
        <v/>
      </c>
      <c r="M469" s="94">
        <f>IF($A469="",0,$H469*설정!$C$23)</f>
        <v/>
      </c>
      <c r="N469" s="94">
        <f>IF($A469="",0,$I469*설정!$C$23)</f>
        <v/>
      </c>
      <c r="O469" s="94">
        <f>IF($A469="",0,$J469*설정!$C$23)</f>
        <v/>
      </c>
      <c r="P469" s="64">
        <f>IF($A469="","",IFERROR(INDEX(입력옵션!$C$58:$C$68,MATCH($F469&amp;"",입력옵션!$E$58:$E$68,0)),IFERROR(INDEX(입력옵션!$C$58:$C$68,MATCH($G469&amp;"",입력옵션!$F$58:$F$68,0)),$F469&amp;"")))</f>
        <v/>
      </c>
    </row>
    <row r="470">
      <c r="A470" s="92" t="n">
        <v>2025</v>
      </c>
      <c r="B470" s="92" t="n">
        <v>11</v>
      </c>
      <c r="C470" s="92" t="inlineStr">
        <is>
          <t>PF03</t>
        </is>
      </c>
      <c r="D470" s="92" t="inlineStr">
        <is>
          <t>단체(단기)</t>
        </is>
      </c>
      <c r="E470" s="92" t="inlineStr">
        <is>
          <t>PAA</t>
        </is>
      </c>
      <c r="F470" s="92" t="inlineStr">
        <is>
          <t>F22</t>
        </is>
      </c>
      <c r="G470" s="92" t="inlineStr">
        <is>
          <t>가정변경-기타</t>
        </is>
      </c>
      <c r="H470" s="93" t="n">
        <v>0</v>
      </c>
      <c r="I470" s="93" t="n">
        <v>0</v>
      </c>
      <c r="J470" s="93" t="n">
        <v>0</v>
      </c>
      <c r="L470" s="9">
        <f>IF($A470="","",VALUE($A470&amp;"")*12+VALUE($B470&amp;""))</f>
        <v/>
      </c>
      <c r="M470" s="94">
        <f>IF($A470="",0,$H470*설정!$C$23)</f>
        <v/>
      </c>
      <c r="N470" s="94">
        <f>IF($A470="",0,$I470*설정!$C$23)</f>
        <v/>
      </c>
      <c r="O470" s="94">
        <f>IF($A470="",0,$J470*설정!$C$23)</f>
        <v/>
      </c>
      <c r="P470" s="64">
        <f>IF($A470="","",IFERROR(INDEX(입력옵션!$C$58:$C$68,MATCH($F470&amp;"",입력옵션!$E$58:$E$68,0)),IFERROR(INDEX(입력옵션!$C$58:$C$68,MATCH($G470&amp;"",입력옵션!$F$58:$F$68,0)),$F470&amp;"")))</f>
        <v/>
      </c>
    </row>
    <row r="471">
      <c r="A471" s="92" t="n">
        <v>2025</v>
      </c>
      <c r="B471" s="92" t="n">
        <v>11</v>
      </c>
      <c r="C471" s="92" t="inlineStr">
        <is>
          <t>PF03</t>
        </is>
      </c>
      <c r="D471" s="92" t="inlineStr">
        <is>
          <t>단체(단기)</t>
        </is>
      </c>
      <c r="E471" s="92" t="inlineStr">
        <is>
          <t>PAA</t>
        </is>
      </c>
      <c r="F471" s="92" t="inlineStr">
        <is>
          <t>F31</t>
        </is>
      </c>
      <c r="G471" s="92" t="inlineStr">
        <is>
          <t>경험조정-취득현금흐름</t>
        </is>
      </c>
      <c r="H471" s="93" t="n">
        <v>0</v>
      </c>
      <c r="I471" s="93" t="n">
        <v>0</v>
      </c>
      <c r="J471" s="93" t="n">
        <v>0</v>
      </c>
      <c r="L471" s="9">
        <f>IF($A471="","",VALUE($A471&amp;"")*12+VALUE($B471&amp;""))</f>
        <v/>
      </c>
      <c r="M471" s="94">
        <f>IF($A471="",0,$H471*설정!$C$23)</f>
        <v/>
      </c>
      <c r="N471" s="94">
        <f>IF($A471="",0,$I471*설정!$C$23)</f>
        <v/>
      </c>
      <c r="O471" s="94">
        <f>IF($A471="",0,$J471*설정!$C$23)</f>
        <v/>
      </c>
      <c r="P471" s="64">
        <f>IF($A471="","",IFERROR(INDEX(입력옵션!$C$58:$C$68,MATCH($F471&amp;"",입력옵션!$E$58:$E$68,0)),IFERROR(INDEX(입력옵션!$C$58:$C$68,MATCH($G471&amp;"",입력옵션!$F$58:$F$68,0)),$F471&amp;"")))</f>
        <v/>
      </c>
    </row>
    <row r="472">
      <c r="A472" s="92" t="n">
        <v>2025</v>
      </c>
      <c r="B472" s="92" t="n">
        <v>11</v>
      </c>
      <c r="C472" s="92" t="inlineStr">
        <is>
          <t>PF03</t>
        </is>
      </c>
      <c r="D472" s="92" t="inlineStr">
        <is>
          <t>단체(단기)</t>
        </is>
      </c>
      <c r="E472" s="92" t="inlineStr">
        <is>
          <t>PAA</t>
        </is>
      </c>
      <c r="F472" s="92" t="inlineStr">
        <is>
          <t>F32</t>
        </is>
      </c>
      <c r="G472" s="92" t="inlineStr">
        <is>
          <t>경험조정-보험료 등</t>
        </is>
      </c>
      <c r="H472" s="93" t="n">
        <v>0</v>
      </c>
      <c r="I472" s="93" t="n">
        <v>0</v>
      </c>
      <c r="J472" s="93" t="n">
        <v>0</v>
      </c>
      <c r="L472" s="9">
        <f>IF($A472="","",VALUE($A472&amp;"")*12+VALUE($B472&amp;""))</f>
        <v/>
      </c>
      <c r="M472" s="94">
        <f>IF($A472="",0,$H472*설정!$C$23)</f>
        <v/>
      </c>
      <c r="N472" s="94">
        <f>IF($A472="",0,$I472*설정!$C$23)</f>
        <v/>
      </c>
      <c r="O472" s="94">
        <f>IF($A472="",0,$J472*설정!$C$23)</f>
        <v/>
      </c>
      <c r="P472" s="64">
        <f>IF($A472="","",IFERROR(INDEX(입력옵션!$C$58:$C$68,MATCH($F472&amp;"",입력옵션!$E$58:$E$68,0)),IFERROR(INDEX(입력옵션!$C$58:$C$68,MATCH($G472&amp;"",입력옵션!$F$58:$F$68,0)),$F472&amp;"")))</f>
        <v/>
      </c>
    </row>
    <row r="473">
      <c r="A473" s="92" t="n">
        <v>2025</v>
      </c>
      <c r="B473" s="92" t="n">
        <v>11</v>
      </c>
      <c r="C473" s="92" t="inlineStr">
        <is>
          <t>PF03</t>
        </is>
      </c>
      <c r="D473" s="92" t="inlineStr">
        <is>
          <t>단체(단기)</t>
        </is>
      </c>
      <c r="E473" s="92" t="inlineStr">
        <is>
          <t>PAA</t>
        </is>
      </c>
      <c r="F473" s="92" t="inlineStr">
        <is>
          <t>F40</t>
        </is>
      </c>
      <c r="G473" s="92" t="inlineStr">
        <is>
          <t>보험금융비용(이자부리)</t>
        </is>
      </c>
      <c r="H473" s="93" t="n">
        <v>0</v>
      </c>
      <c r="I473" s="93" t="n">
        <v>0</v>
      </c>
      <c r="J473" s="93" t="n">
        <v>0</v>
      </c>
      <c r="L473" s="9">
        <f>IF($A473="","",VALUE($A473&amp;"")*12+VALUE($B473&amp;""))</f>
        <v/>
      </c>
      <c r="M473" s="94">
        <f>IF($A473="",0,$H473*설정!$C$23)</f>
        <v/>
      </c>
      <c r="N473" s="94">
        <f>IF($A473="",0,$I473*설정!$C$23)</f>
        <v/>
      </c>
      <c r="O473" s="94">
        <f>IF($A473="",0,$J473*설정!$C$23)</f>
        <v/>
      </c>
      <c r="P473" s="64">
        <f>IF($A473="","",IFERROR(INDEX(입력옵션!$C$58:$C$68,MATCH($F473&amp;"",입력옵션!$E$58:$E$68,0)),IFERROR(INDEX(입력옵션!$C$58:$C$68,MATCH($G473&amp;"",입력옵션!$F$58:$F$68,0)),$F473&amp;"")))</f>
        <v/>
      </c>
    </row>
    <row r="474">
      <c r="A474" s="92" t="n">
        <v>2025</v>
      </c>
      <c r="B474" s="92" t="n">
        <v>11</v>
      </c>
      <c r="C474" s="92" t="inlineStr">
        <is>
          <t>PF03</t>
        </is>
      </c>
      <c r="D474" s="92" t="inlineStr">
        <is>
          <t>단체(단기)</t>
        </is>
      </c>
      <c r="E474" s="92" t="inlineStr">
        <is>
          <t>PAA</t>
        </is>
      </c>
      <c r="F474" s="92" t="inlineStr">
        <is>
          <t>F51</t>
        </is>
      </c>
      <c r="G474" s="92" t="inlineStr">
        <is>
          <t>CSM 상각</t>
        </is>
      </c>
      <c r="H474" s="93" t="n">
        <v>0</v>
      </c>
      <c r="I474" s="93" t="n">
        <v>0</v>
      </c>
      <c r="J474" s="93" t="n">
        <v>0</v>
      </c>
      <c r="L474" s="9">
        <f>IF($A474="","",VALUE($A474&amp;"")*12+VALUE($B474&amp;""))</f>
        <v/>
      </c>
      <c r="M474" s="94">
        <f>IF($A474="",0,$H474*설정!$C$23)</f>
        <v/>
      </c>
      <c r="N474" s="94">
        <f>IF($A474="",0,$I474*설정!$C$23)</f>
        <v/>
      </c>
      <c r="O474" s="94">
        <f>IF($A474="",0,$J474*설정!$C$23)</f>
        <v/>
      </c>
      <c r="P474" s="64">
        <f>IF($A474="","",IFERROR(INDEX(입력옵션!$C$58:$C$68,MATCH($F474&amp;"",입력옵션!$E$58:$E$68,0)),IFERROR(INDEX(입력옵션!$C$58:$C$68,MATCH($G474&amp;"",입력옵션!$F$58:$F$68,0)),$F474&amp;"")))</f>
        <v/>
      </c>
    </row>
    <row r="475">
      <c r="A475" s="92" t="n">
        <v>2025</v>
      </c>
      <c r="B475" s="92" t="n">
        <v>11</v>
      </c>
      <c r="C475" s="92" t="inlineStr">
        <is>
          <t>PF03</t>
        </is>
      </c>
      <c r="D475" s="92" t="inlineStr">
        <is>
          <t>단체(단기)</t>
        </is>
      </c>
      <c r="E475" s="92" t="inlineStr">
        <is>
          <t>PAA</t>
        </is>
      </c>
      <c r="F475" s="92" t="inlineStr">
        <is>
          <t>F52</t>
        </is>
      </c>
      <c r="G475" s="92" t="inlineStr">
        <is>
          <t>RA 해제</t>
        </is>
      </c>
      <c r="H475" s="93" t="n">
        <v>0</v>
      </c>
      <c r="I475" s="93" t="n">
        <v>-14392000</v>
      </c>
      <c r="J475" s="93" t="n">
        <v>0</v>
      </c>
      <c r="L475" s="9">
        <f>IF($A475="","",VALUE($A475&amp;"")*12+VALUE($B475&amp;""))</f>
        <v/>
      </c>
      <c r="M475" s="94">
        <f>IF($A475="",0,$H475*설정!$C$23)</f>
        <v/>
      </c>
      <c r="N475" s="94">
        <f>IF($A475="",0,$I475*설정!$C$23)</f>
        <v/>
      </c>
      <c r="O475" s="94">
        <f>IF($A475="",0,$J475*설정!$C$23)</f>
        <v/>
      </c>
      <c r="P475" s="64">
        <f>IF($A475="","",IFERROR(INDEX(입력옵션!$C$58:$C$68,MATCH($F475&amp;"",입력옵션!$E$58:$E$68,0)),IFERROR(INDEX(입력옵션!$C$58:$C$68,MATCH($G475&amp;"",입력옵션!$F$58:$F$68,0)),$F475&amp;"")))</f>
        <v/>
      </c>
    </row>
    <row r="476">
      <c r="A476" s="92" t="n">
        <v>2025</v>
      </c>
      <c r="B476" s="92" t="n">
        <v>11</v>
      </c>
      <c r="C476" s="92" t="inlineStr">
        <is>
          <t>PF03</t>
        </is>
      </c>
      <c r="D476" s="92" t="inlineStr">
        <is>
          <t>단체(단기)</t>
        </is>
      </c>
      <c r="E476" s="92" t="inlineStr">
        <is>
          <t>PAA</t>
        </is>
      </c>
      <c r="F476" s="92" t="inlineStr">
        <is>
          <t>F60</t>
        </is>
      </c>
      <c r="G476" s="92" t="inlineStr">
        <is>
          <t>현금흐름 및 기타</t>
        </is>
      </c>
      <c r="H476" s="93" t="n">
        <v>303176000</v>
      </c>
      <c r="I476" s="93" t="n">
        <v>11388000</v>
      </c>
      <c r="J476" s="93" t="n">
        <v>0</v>
      </c>
      <c r="L476" s="9">
        <f>IF($A476="","",VALUE($A476&amp;"")*12+VALUE($B476&amp;""))</f>
        <v/>
      </c>
      <c r="M476" s="94">
        <f>IF($A476="",0,$H476*설정!$C$23)</f>
        <v/>
      </c>
      <c r="N476" s="94">
        <f>IF($A476="",0,$I476*설정!$C$23)</f>
        <v/>
      </c>
      <c r="O476" s="94">
        <f>IF($A476="",0,$J476*설정!$C$23)</f>
        <v/>
      </c>
      <c r="P476" s="64">
        <f>IF($A476="","",IFERROR(INDEX(입력옵션!$C$58:$C$68,MATCH($F476&amp;"",입력옵션!$E$58:$E$68,0)),IFERROR(INDEX(입력옵션!$C$58:$C$68,MATCH($G476&amp;"",입력옵션!$F$58:$F$68,0)),$F476&amp;"")))</f>
        <v/>
      </c>
    </row>
    <row r="477">
      <c r="A477" s="92" t="n">
        <v>2025</v>
      </c>
      <c r="B477" s="92" t="n">
        <v>11</v>
      </c>
      <c r="C477" s="92" t="inlineStr">
        <is>
          <t>PF03</t>
        </is>
      </c>
      <c r="D477" s="92" t="inlineStr">
        <is>
          <t>단체(단기)</t>
        </is>
      </c>
      <c r="E477" s="92" t="inlineStr">
        <is>
          <t>PAA</t>
        </is>
      </c>
      <c r="F477" s="92" t="inlineStr">
        <is>
          <t>F99</t>
        </is>
      </c>
      <c r="G477" s="92" t="inlineStr">
        <is>
          <t>기말잔액</t>
        </is>
      </c>
      <c r="H477" s="93" t="n">
        <v>42556630000</v>
      </c>
      <c r="I477" s="93" t="n">
        <v>2395610000</v>
      </c>
      <c r="J477" s="93" t="n">
        <v>0</v>
      </c>
      <c r="L477" s="9">
        <f>IF($A477="","",VALUE($A477&amp;"")*12+VALUE($B477&amp;""))</f>
        <v/>
      </c>
      <c r="M477" s="94">
        <f>IF($A477="",0,$H477*설정!$C$23)</f>
        <v/>
      </c>
      <c r="N477" s="94">
        <f>IF($A477="",0,$I477*설정!$C$23)</f>
        <v/>
      </c>
      <c r="O477" s="94">
        <f>IF($A477="",0,$J477*설정!$C$23)</f>
        <v/>
      </c>
      <c r="P477" s="64">
        <f>IF($A477="","",IFERROR(INDEX(입력옵션!$C$58:$C$68,MATCH($F477&amp;"",입력옵션!$E$58:$E$68,0)),IFERROR(INDEX(입력옵션!$C$58:$C$68,MATCH($G477&amp;"",입력옵션!$F$58:$F$68,0)),$F477&amp;"")))</f>
        <v/>
      </c>
    </row>
    <row r="478">
      <c r="A478" s="92" t="n">
        <v>2025</v>
      </c>
      <c r="B478" s="92" t="n">
        <v>11</v>
      </c>
      <c r="C478" s="92" t="inlineStr">
        <is>
          <t>PF04</t>
        </is>
      </c>
      <c r="D478" s="92" t="inlineStr">
        <is>
          <t>변액</t>
        </is>
      </c>
      <c r="E478" s="92" t="inlineStr">
        <is>
          <t>VFA</t>
        </is>
      </c>
      <c r="F478" s="92" t="inlineStr">
        <is>
          <t>F00</t>
        </is>
      </c>
      <c r="G478" s="92" t="inlineStr">
        <is>
          <t>기초잔액</t>
        </is>
      </c>
      <c r="H478" s="93" t="n">
        <v>316900905000</v>
      </c>
      <c r="I478" s="93" t="n">
        <v>15590991000</v>
      </c>
      <c r="J478" s="93" t="n">
        <v>50959390000</v>
      </c>
      <c r="L478" s="9">
        <f>IF($A478="","",VALUE($A478&amp;"")*12+VALUE($B478&amp;""))</f>
        <v/>
      </c>
      <c r="M478" s="94">
        <f>IF($A478="",0,$H478*설정!$C$23)</f>
        <v/>
      </c>
      <c r="N478" s="94">
        <f>IF($A478="",0,$I478*설정!$C$23)</f>
        <v/>
      </c>
      <c r="O478" s="94">
        <f>IF($A478="",0,$J478*설정!$C$23)</f>
        <v/>
      </c>
      <c r="P478" s="64">
        <f>IF($A478="","",IFERROR(INDEX(입력옵션!$C$58:$C$68,MATCH($F478&amp;"",입력옵션!$E$58:$E$68,0)),IFERROR(INDEX(입력옵션!$C$58:$C$68,MATCH($G478&amp;"",입력옵션!$F$58:$F$68,0)),$F478&amp;"")))</f>
        <v/>
      </c>
    </row>
    <row r="479">
      <c r="A479" s="92" t="n">
        <v>2025</v>
      </c>
      <c r="B479" s="92" t="n">
        <v>11</v>
      </c>
      <c r="C479" s="92" t="inlineStr">
        <is>
          <t>PF04</t>
        </is>
      </c>
      <c r="D479" s="92" t="inlineStr">
        <is>
          <t>변액</t>
        </is>
      </c>
      <c r="E479" s="92" t="inlineStr">
        <is>
          <t>VFA</t>
        </is>
      </c>
      <c r="F479" s="92" t="inlineStr">
        <is>
          <t>F10</t>
        </is>
      </c>
      <c r="G479" s="92" t="inlineStr">
        <is>
          <t>신계약 효과</t>
        </is>
      </c>
      <c r="H479" s="93" t="n">
        <v>-653156000</v>
      </c>
      <c r="I479" s="93" t="n">
        <v>130631000</v>
      </c>
      <c r="J479" s="93" t="n">
        <v>522525000</v>
      </c>
      <c r="L479" s="9">
        <f>IF($A479="","",VALUE($A479&amp;"")*12+VALUE($B479&amp;""))</f>
        <v/>
      </c>
      <c r="M479" s="94">
        <f>IF($A479="",0,$H479*설정!$C$23)</f>
        <v/>
      </c>
      <c r="N479" s="94">
        <f>IF($A479="",0,$I479*설정!$C$23)</f>
        <v/>
      </c>
      <c r="O479" s="94">
        <f>IF($A479="",0,$J479*설정!$C$23)</f>
        <v/>
      </c>
      <c r="P479" s="64">
        <f>IF($A479="","",IFERROR(INDEX(입력옵션!$C$58:$C$68,MATCH($F479&amp;"",입력옵션!$E$58:$E$68,0)),IFERROR(INDEX(입력옵션!$C$58:$C$68,MATCH($G479&amp;"",입력옵션!$F$58:$F$68,0)),$F479&amp;"")))</f>
        <v/>
      </c>
    </row>
    <row r="480">
      <c r="A480" s="92" t="n">
        <v>2025</v>
      </c>
      <c r="B480" s="92" t="n">
        <v>11</v>
      </c>
      <c r="C480" s="92" t="inlineStr">
        <is>
          <t>PF04</t>
        </is>
      </c>
      <c r="D480" s="92" t="inlineStr">
        <is>
          <t>변액</t>
        </is>
      </c>
      <c r="E480" s="92" t="inlineStr">
        <is>
          <t>VFA</t>
        </is>
      </c>
      <c r="F480" s="92" t="inlineStr">
        <is>
          <t>F21</t>
        </is>
      </c>
      <c r="G480" s="92" t="inlineStr">
        <is>
          <t>가정변경-사업비</t>
        </is>
      </c>
      <c r="H480" s="93" t="n">
        <v>0</v>
      </c>
      <c r="I480" s="93" t="n">
        <v>0</v>
      </c>
      <c r="J480" s="93" t="n">
        <v>0</v>
      </c>
      <c r="L480" s="9">
        <f>IF($A480="","",VALUE($A480&amp;"")*12+VALUE($B480&amp;""))</f>
        <v/>
      </c>
      <c r="M480" s="94">
        <f>IF($A480="",0,$H480*설정!$C$23)</f>
        <v/>
      </c>
      <c r="N480" s="94">
        <f>IF($A480="",0,$I480*설정!$C$23)</f>
        <v/>
      </c>
      <c r="O480" s="94">
        <f>IF($A480="",0,$J480*설정!$C$23)</f>
        <v/>
      </c>
      <c r="P480" s="64">
        <f>IF($A480="","",IFERROR(INDEX(입력옵션!$C$58:$C$68,MATCH($F480&amp;"",입력옵션!$E$58:$E$68,0)),IFERROR(INDEX(입력옵션!$C$58:$C$68,MATCH($G480&amp;"",입력옵션!$F$58:$F$68,0)),$F480&amp;"")))</f>
        <v/>
      </c>
    </row>
    <row r="481">
      <c r="A481" s="92" t="n">
        <v>2025</v>
      </c>
      <c r="B481" s="92" t="n">
        <v>11</v>
      </c>
      <c r="C481" s="92" t="inlineStr">
        <is>
          <t>PF04</t>
        </is>
      </c>
      <c r="D481" s="92" t="inlineStr">
        <is>
          <t>변액</t>
        </is>
      </c>
      <c r="E481" s="92" t="inlineStr">
        <is>
          <t>VFA</t>
        </is>
      </c>
      <c r="F481" s="92" t="inlineStr">
        <is>
          <t>F22</t>
        </is>
      </c>
      <c r="G481" s="92" t="inlineStr">
        <is>
          <t>가정변경-기타</t>
        </is>
      </c>
      <c r="H481" s="93" t="n">
        <v>0</v>
      </c>
      <c r="I481" s="93" t="n">
        <v>0</v>
      </c>
      <c r="J481" s="93" t="n">
        <v>0</v>
      </c>
      <c r="L481" s="9">
        <f>IF($A481="","",VALUE($A481&amp;"")*12+VALUE($B481&amp;""))</f>
        <v/>
      </c>
      <c r="M481" s="94">
        <f>IF($A481="",0,$H481*설정!$C$23)</f>
        <v/>
      </c>
      <c r="N481" s="94">
        <f>IF($A481="",0,$I481*설정!$C$23)</f>
        <v/>
      </c>
      <c r="O481" s="94">
        <f>IF($A481="",0,$J481*설정!$C$23)</f>
        <v/>
      </c>
      <c r="P481" s="64">
        <f>IF($A481="","",IFERROR(INDEX(입력옵션!$C$58:$C$68,MATCH($F481&amp;"",입력옵션!$E$58:$E$68,0)),IFERROR(INDEX(입력옵션!$C$58:$C$68,MATCH($G481&amp;"",입력옵션!$F$58:$F$68,0)),$F481&amp;"")))</f>
        <v/>
      </c>
    </row>
    <row r="482">
      <c r="A482" s="92" t="n">
        <v>2025</v>
      </c>
      <c r="B482" s="92" t="n">
        <v>11</v>
      </c>
      <c r="C482" s="92" t="inlineStr">
        <is>
          <t>PF04</t>
        </is>
      </c>
      <c r="D482" s="92" t="inlineStr">
        <is>
          <t>변액</t>
        </is>
      </c>
      <c r="E482" s="92" t="inlineStr">
        <is>
          <t>VFA</t>
        </is>
      </c>
      <c r="F482" s="92" t="inlineStr">
        <is>
          <t>F31</t>
        </is>
      </c>
      <c r="G482" s="92" t="inlineStr">
        <is>
          <t>경험조정-취득현금흐름</t>
        </is>
      </c>
      <c r="H482" s="93" t="n">
        <v>0</v>
      </c>
      <c r="I482" s="93" t="n">
        <v>0</v>
      </c>
      <c r="J482" s="93" t="n">
        <v>-2722000</v>
      </c>
      <c r="L482" s="9">
        <f>IF($A482="","",VALUE($A482&amp;"")*12+VALUE($B482&amp;""))</f>
        <v/>
      </c>
      <c r="M482" s="94">
        <f>IF($A482="",0,$H482*설정!$C$23)</f>
        <v/>
      </c>
      <c r="N482" s="94">
        <f>IF($A482="",0,$I482*설정!$C$23)</f>
        <v/>
      </c>
      <c r="O482" s="94">
        <f>IF($A482="",0,$J482*설정!$C$23)</f>
        <v/>
      </c>
      <c r="P482" s="64">
        <f>IF($A482="","",IFERROR(INDEX(입력옵션!$C$58:$C$68,MATCH($F482&amp;"",입력옵션!$E$58:$E$68,0)),IFERROR(INDEX(입력옵션!$C$58:$C$68,MATCH($G482&amp;"",입력옵션!$F$58:$F$68,0)),$F482&amp;"")))</f>
        <v/>
      </c>
    </row>
    <row r="483">
      <c r="A483" s="92" t="n">
        <v>2025</v>
      </c>
      <c r="B483" s="92" t="n">
        <v>11</v>
      </c>
      <c r="C483" s="92" t="inlineStr">
        <is>
          <t>PF04</t>
        </is>
      </c>
      <c r="D483" s="92" t="inlineStr">
        <is>
          <t>변액</t>
        </is>
      </c>
      <c r="E483" s="92" t="inlineStr">
        <is>
          <t>VFA</t>
        </is>
      </c>
      <c r="F483" s="92" t="inlineStr">
        <is>
          <t>F32</t>
        </is>
      </c>
      <c r="G483" s="92" t="inlineStr">
        <is>
          <t>경험조정-보험료 등</t>
        </is>
      </c>
      <c r="H483" s="93" t="n">
        <v>0</v>
      </c>
      <c r="I483" s="93" t="n">
        <v>0</v>
      </c>
      <c r="J483" s="93" t="n">
        <v>192406000</v>
      </c>
      <c r="L483" s="9">
        <f>IF($A483="","",VALUE($A483&amp;"")*12+VALUE($B483&amp;""))</f>
        <v/>
      </c>
      <c r="M483" s="94">
        <f>IF($A483="",0,$H483*설정!$C$23)</f>
        <v/>
      </c>
      <c r="N483" s="94">
        <f>IF($A483="",0,$I483*설정!$C$23)</f>
        <v/>
      </c>
      <c r="O483" s="94">
        <f>IF($A483="",0,$J483*설정!$C$23)</f>
        <v/>
      </c>
      <c r="P483" s="64">
        <f>IF($A483="","",IFERROR(INDEX(입력옵션!$C$58:$C$68,MATCH($F483&amp;"",입력옵션!$E$58:$E$68,0)),IFERROR(INDEX(입력옵션!$C$58:$C$68,MATCH($G483&amp;"",입력옵션!$F$58:$F$68,0)),$F483&amp;"")))</f>
        <v/>
      </c>
    </row>
    <row r="484">
      <c r="A484" s="92" t="n">
        <v>2025</v>
      </c>
      <c r="B484" s="92" t="n">
        <v>11</v>
      </c>
      <c r="C484" s="92" t="inlineStr">
        <is>
          <t>PF04</t>
        </is>
      </c>
      <c r="D484" s="92" t="inlineStr">
        <is>
          <t>변액</t>
        </is>
      </c>
      <c r="E484" s="92" t="inlineStr">
        <is>
          <t>VFA</t>
        </is>
      </c>
      <c r="F484" s="92" t="inlineStr">
        <is>
          <t>F40</t>
        </is>
      </c>
      <c r="G484" s="92" t="inlineStr">
        <is>
          <t>보험금융비용(이자부리)</t>
        </is>
      </c>
      <c r="H484" s="93" t="n">
        <v>792252000</v>
      </c>
      <c r="I484" s="93" t="n">
        <v>31182000</v>
      </c>
      <c r="J484" s="93" t="n">
        <v>127398000</v>
      </c>
      <c r="L484" s="9">
        <f>IF($A484="","",VALUE($A484&amp;"")*12+VALUE($B484&amp;""))</f>
        <v/>
      </c>
      <c r="M484" s="94">
        <f>IF($A484="",0,$H484*설정!$C$23)</f>
        <v/>
      </c>
      <c r="N484" s="94">
        <f>IF($A484="",0,$I484*설정!$C$23)</f>
        <v/>
      </c>
      <c r="O484" s="94">
        <f>IF($A484="",0,$J484*설정!$C$23)</f>
        <v/>
      </c>
      <c r="P484" s="64">
        <f>IF($A484="","",IFERROR(INDEX(입력옵션!$C$58:$C$68,MATCH($F484&amp;"",입력옵션!$E$58:$E$68,0)),IFERROR(INDEX(입력옵션!$C$58:$C$68,MATCH($G484&amp;"",입력옵션!$F$58:$F$68,0)),$F484&amp;"")))</f>
        <v/>
      </c>
    </row>
    <row r="485">
      <c r="A485" s="92" t="n">
        <v>2025</v>
      </c>
      <c r="B485" s="92" t="n">
        <v>11</v>
      </c>
      <c r="C485" s="92" t="inlineStr">
        <is>
          <t>PF04</t>
        </is>
      </c>
      <c r="D485" s="92" t="inlineStr">
        <is>
          <t>변액</t>
        </is>
      </c>
      <c r="E485" s="92" t="inlineStr">
        <is>
          <t>VFA</t>
        </is>
      </c>
      <c r="F485" s="92" t="inlineStr">
        <is>
          <t>F51</t>
        </is>
      </c>
      <c r="G485" s="92" t="inlineStr">
        <is>
          <t>CSM 상각</t>
        </is>
      </c>
      <c r="H485" s="93" t="n">
        <v>0</v>
      </c>
      <c r="I485" s="93" t="n">
        <v>0</v>
      </c>
      <c r="J485" s="93" t="n">
        <v>-458635000</v>
      </c>
      <c r="L485" s="9">
        <f>IF($A485="","",VALUE($A485&amp;"")*12+VALUE($B485&amp;""))</f>
        <v/>
      </c>
      <c r="M485" s="94">
        <f>IF($A485="",0,$H485*설정!$C$23)</f>
        <v/>
      </c>
      <c r="N485" s="94">
        <f>IF($A485="",0,$I485*설정!$C$23)</f>
        <v/>
      </c>
      <c r="O485" s="94">
        <f>IF($A485="",0,$J485*설정!$C$23)</f>
        <v/>
      </c>
      <c r="P485" s="64">
        <f>IF($A485="","",IFERROR(INDEX(입력옵션!$C$58:$C$68,MATCH($F485&amp;"",입력옵션!$E$58:$E$68,0)),IFERROR(INDEX(입력옵션!$C$58:$C$68,MATCH($G485&amp;"",입력옵션!$F$58:$F$68,0)),$F485&amp;"")))</f>
        <v/>
      </c>
    </row>
    <row r="486">
      <c r="A486" s="92" t="n">
        <v>2025</v>
      </c>
      <c r="B486" s="92" t="n">
        <v>11</v>
      </c>
      <c r="C486" s="92" t="inlineStr">
        <is>
          <t>PF04</t>
        </is>
      </c>
      <c r="D486" s="92" t="inlineStr">
        <is>
          <t>변액</t>
        </is>
      </c>
      <c r="E486" s="92" t="inlineStr">
        <is>
          <t>VFA</t>
        </is>
      </c>
      <c r="F486" s="92" t="inlineStr">
        <is>
          <t>F52</t>
        </is>
      </c>
      <c r="G486" s="92" t="inlineStr">
        <is>
          <t>RA 해제</t>
        </is>
      </c>
      <c r="H486" s="93" t="n">
        <v>0</v>
      </c>
      <c r="I486" s="93" t="n">
        <v>-93546000</v>
      </c>
      <c r="J486" s="93" t="n">
        <v>0</v>
      </c>
      <c r="L486" s="9">
        <f>IF($A486="","",VALUE($A486&amp;"")*12+VALUE($B486&amp;""))</f>
        <v/>
      </c>
      <c r="M486" s="94">
        <f>IF($A486="",0,$H486*설정!$C$23)</f>
        <v/>
      </c>
      <c r="N486" s="94">
        <f>IF($A486="",0,$I486*설정!$C$23)</f>
        <v/>
      </c>
      <c r="O486" s="94">
        <f>IF($A486="",0,$J486*설정!$C$23)</f>
        <v/>
      </c>
      <c r="P486" s="64">
        <f>IF($A486="","",IFERROR(INDEX(입력옵션!$C$58:$C$68,MATCH($F486&amp;"",입력옵션!$E$58:$E$68,0)),IFERROR(INDEX(입력옵션!$C$58:$C$68,MATCH($G486&amp;"",입력옵션!$F$58:$F$68,0)),$F486&amp;"")))</f>
        <v/>
      </c>
    </row>
    <row r="487">
      <c r="A487" s="92" t="n">
        <v>2025</v>
      </c>
      <c r="B487" s="92" t="n">
        <v>11</v>
      </c>
      <c r="C487" s="92" t="inlineStr">
        <is>
          <t>PF04</t>
        </is>
      </c>
      <c r="D487" s="92" t="inlineStr">
        <is>
          <t>변액</t>
        </is>
      </c>
      <c r="E487" s="92" t="inlineStr">
        <is>
          <t>VFA</t>
        </is>
      </c>
      <c r="F487" s="92" t="inlineStr">
        <is>
          <t>F60</t>
        </is>
      </c>
      <c r="G487" s="92" t="inlineStr">
        <is>
          <t>현금흐름 및 기타</t>
        </is>
      </c>
      <c r="H487" s="93" t="n">
        <v>2134724000</v>
      </c>
      <c r="I487" s="93" t="n">
        <v>-87793000</v>
      </c>
      <c r="J487" s="93" t="n">
        <v>0</v>
      </c>
      <c r="L487" s="9">
        <f>IF($A487="","",VALUE($A487&amp;"")*12+VALUE($B487&amp;""))</f>
        <v/>
      </c>
      <c r="M487" s="94">
        <f>IF($A487="",0,$H487*설정!$C$23)</f>
        <v/>
      </c>
      <c r="N487" s="94">
        <f>IF($A487="",0,$I487*설정!$C$23)</f>
        <v/>
      </c>
      <c r="O487" s="94">
        <f>IF($A487="",0,$J487*설정!$C$23)</f>
        <v/>
      </c>
      <c r="P487" s="64">
        <f>IF($A487="","",IFERROR(INDEX(입력옵션!$C$58:$C$68,MATCH($F487&amp;"",입력옵션!$E$58:$E$68,0)),IFERROR(INDEX(입력옵션!$C$58:$C$68,MATCH($G487&amp;"",입력옵션!$F$58:$F$68,0)),$F487&amp;"")))</f>
        <v/>
      </c>
    </row>
    <row r="488">
      <c r="A488" s="92" t="n">
        <v>2025</v>
      </c>
      <c r="B488" s="92" t="n">
        <v>11</v>
      </c>
      <c r="C488" s="92" t="inlineStr">
        <is>
          <t>PF04</t>
        </is>
      </c>
      <c r="D488" s="92" t="inlineStr">
        <is>
          <t>변액</t>
        </is>
      </c>
      <c r="E488" s="92" t="inlineStr">
        <is>
          <t>VFA</t>
        </is>
      </c>
      <c r="F488" s="92" t="inlineStr">
        <is>
          <t>F99</t>
        </is>
      </c>
      <c r="G488" s="92" t="inlineStr">
        <is>
          <t>기말잔액</t>
        </is>
      </c>
      <c r="H488" s="93" t="n">
        <v>319174725000</v>
      </c>
      <c r="I488" s="93" t="n">
        <v>15571465000</v>
      </c>
      <c r="J488" s="93" t="n">
        <v>51340363000</v>
      </c>
      <c r="L488" s="9">
        <f>IF($A488="","",VALUE($A488&amp;"")*12+VALUE($B488&amp;""))</f>
        <v/>
      </c>
      <c r="M488" s="94">
        <f>IF($A488="",0,$H488*설정!$C$23)</f>
        <v/>
      </c>
      <c r="N488" s="94">
        <f>IF($A488="",0,$I488*설정!$C$23)</f>
        <v/>
      </c>
      <c r="O488" s="94">
        <f>IF($A488="",0,$J488*설정!$C$23)</f>
        <v/>
      </c>
      <c r="P488" s="64">
        <f>IF($A488="","",IFERROR(INDEX(입력옵션!$C$58:$C$68,MATCH($F488&amp;"",입력옵션!$E$58:$E$68,0)),IFERROR(INDEX(입력옵션!$C$58:$C$68,MATCH($G488&amp;"",입력옵션!$F$58:$F$68,0)),$F488&amp;"")))</f>
        <v/>
      </c>
    </row>
    <row r="489">
      <c r="A489" s="92" t="n">
        <v>2025</v>
      </c>
      <c r="B489" s="92" t="n">
        <v>12</v>
      </c>
      <c r="C489" s="92" t="inlineStr">
        <is>
          <t>PF01</t>
        </is>
      </c>
      <c r="D489" s="92" t="inlineStr">
        <is>
          <t>보장성</t>
        </is>
      </c>
      <c r="E489" s="92" t="inlineStr">
        <is>
          <t>GMM</t>
        </is>
      </c>
      <c r="F489" s="92" t="inlineStr">
        <is>
          <t>F00</t>
        </is>
      </c>
      <c r="G489" s="92" t="inlineStr">
        <is>
          <t>기초잔액</t>
        </is>
      </c>
      <c r="H489" s="93" t="n">
        <v>1063915750000</v>
      </c>
      <c r="I489" s="93" t="n">
        <v>71868300000</v>
      </c>
      <c r="J489" s="93" t="n">
        <v>243908127000</v>
      </c>
      <c r="L489" s="9">
        <f>IF($A489="","",VALUE($A489&amp;"")*12+VALUE($B489&amp;""))</f>
        <v/>
      </c>
      <c r="M489" s="94">
        <f>IF($A489="",0,$H489*설정!$C$23)</f>
        <v/>
      </c>
      <c r="N489" s="94">
        <f>IF($A489="",0,$I489*설정!$C$23)</f>
        <v/>
      </c>
      <c r="O489" s="94">
        <f>IF($A489="",0,$J489*설정!$C$23)</f>
        <v/>
      </c>
      <c r="P489" s="64">
        <f>IF($A489="","",IFERROR(INDEX(입력옵션!$C$58:$C$68,MATCH($F489&amp;"",입력옵션!$E$58:$E$68,0)),IFERROR(INDEX(입력옵션!$C$58:$C$68,MATCH($G489&amp;"",입력옵션!$F$58:$F$68,0)),$F489&amp;"")))</f>
        <v/>
      </c>
    </row>
    <row r="490">
      <c r="A490" s="92" t="n">
        <v>2025</v>
      </c>
      <c r="B490" s="92" t="n">
        <v>12</v>
      </c>
      <c r="C490" s="92" t="inlineStr">
        <is>
          <t>PF01</t>
        </is>
      </c>
      <c r="D490" s="92" t="inlineStr">
        <is>
          <t>보장성</t>
        </is>
      </c>
      <c r="E490" s="92" t="inlineStr">
        <is>
          <t>GMM</t>
        </is>
      </c>
      <c r="F490" s="92" t="inlineStr">
        <is>
          <t>F10</t>
        </is>
      </c>
      <c r="G490" s="92" t="inlineStr">
        <is>
          <t>신계약 효과</t>
        </is>
      </c>
      <c r="H490" s="93" t="n">
        <v>-3018491000</v>
      </c>
      <c r="I490" s="93" t="n">
        <v>603698000</v>
      </c>
      <c r="J490" s="93" t="n">
        <v>2414792000</v>
      </c>
      <c r="L490" s="9">
        <f>IF($A490="","",VALUE($A490&amp;"")*12+VALUE($B490&amp;""))</f>
        <v/>
      </c>
      <c r="M490" s="94">
        <f>IF($A490="",0,$H490*설정!$C$23)</f>
        <v/>
      </c>
      <c r="N490" s="94">
        <f>IF($A490="",0,$I490*설정!$C$23)</f>
        <v/>
      </c>
      <c r="O490" s="94">
        <f>IF($A490="",0,$J490*설정!$C$23)</f>
        <v/>
      </c>
      <c r="P490" s="64">
        <f>IF($A490="","",IFERROR(INDEX(입력옵션!$C$58:$C$68,MATCH($F490&amp;"",입력옵션!$E$58:$E$68,0)),IFERROR(INDEX(입력옵션!$C$58:$C$68,MATCH($G490&amp;"",입력옵션!$F$58:$F$68,0)),$F490&amp;"")))</f>
        <v/>
      </c>
    </row>
    <row r="491">
      <c r="A491" s="92" t="n">
        <v>2025</v>
      </c>
      <c r="B491" s="92" t="n">
        <v>12</v>
      </c>
      <c r="C491" s="92" t="inlineStr">
        <is>
          <t>PF01</t>
        </is>
      </c>
      <c r="D491" s="92" t="inlineStr">
        <is>
          <t>보장성</t>
        </is>
      </c>
      <c r="E491" s="92" t="inlineStr">
        <is>
          <t>GMM</t>
        </is>
      </c>
      <c r="F491" s="92" t="inlineStr">
        <is>
          <t>F21</t>
        </is>
      </c>
      <c r="G491" s="92" t="inlineStr">
        <is>
          <t>가정변경-사업비</t>
        </is>
      </c>
      <c r="H491" s="93" t="n">
        <v>-400000000</v>
      </c>
      <c r="I491" s="93" t="n">
        <v>0</v>
      </c>
      <c r="J491" s="93" t="n">
        <v>400000000</v>
      </c>
      <c r="L491" s="9">
        <f>IF($A491="","",VALUE($A491&amp;"")*12+VALUE($B491&amp;""))</f>
        <v/>
      </c>
      <c r="M491" s="94">
        <f>IF($A491="",0,$H491*설정!$C$23)</f>
        <v/>
      </c>
      <c r="N491" s="94">
        <f>IF($A491="",0,$I491*설정!$C$23)</f>
        <v/>
      </c>
      <c r="O491" s="94">
        <f>IF($A491="",0,$J491*설정!$C$23)</f>
        <v/>
      </c>
      <c r="P491" s="64">
        <f>IF($A491="","",IFERROR(INDEX(입력옵션!$C$58:$C$68,MATCH($F491&amp;"",입력옵션!$E$58:$E$68,0)),IFERROR(INDEX(입력옵션!$C$58:$C$68,MATCH($G491&amp;"",입력옵션!$F$58:$F$68,0)),$F491&amp;"")))</f>
        <v/>
      </c>
    </row>
    <row r="492">
      <c r="A492" s="92" t="n">
        <v>2025</v>
      </c>
      <c r="B492" s="92" t="n">
        <v>12</v>
      </c>
      <c r="C492" s="92" t="inlineStr">
        <is>
          <t>PF01</t>
        </is>
      </c>
      <c r="D492" s="92" t="inlineStr">
        <is>
          <t>보장성</t>
        </is>
      </c>
      <c r="E492" s="92" t="inlineStr">
        <is>
          <t>GMM</t>
        </is>
      </c>
      <c r="F492" s="92" t="inlineStr">
        <is>
          <t>F22</t>
        </is>
      </c>
      <c r="G492" s="92" t="inlineStr">
        <is>
          <t>가정변경-기타</t>
        </is>
      </c>
      <c r="H492" s="93" t="n">
        <v>0</v>
      </c>
      <c r="I492" s="93" t="n">
        <v>0</v>
      </c>
      <c r="J492" s="93" t="n">
        <v>0</v>
      </c>
      <c r="L492" s="9">
        <f>IF($A492="","",VALUE($A492&amp;"")*12+VALUE($B492&amp;""))</f>
        <v/>
      </c>
      <c r="M492" s="94">
        <f>IF($A492="",0,$H492*설정!$C$23)</f>
        <v/>
      </c>
      <c r="N492" s="94">
        <f>IF($A492="",0,$I492*설정!$C$23)</f>
        <v/>
      </c>
      <c r="O492" s="94">
        <f>IF($A492="",0,$J492*설정!$C$23)</f>
        <v/>
      </c>
      <c r="P492" s="64">
        <f>IF($A492="","",IFERROR(INDEX(입력옵션!$C$58:$C$68,MATCH($F492&amp;"",입력옵션!$E$58:$E$68,0)),IFERROR(INDEX(입력옵션!$C$58:$C$68,MATCH($G492&amp;"",입력옵션!$F$58:$F$68,0)),$F492&amp;"")))</f>
        <v/>
      </c>
    </row>
    <row r="493">
      <c r="A493" s="92" t="n">
        <v>2025</v>
      </c>
      <c r="B493" s="92" t="n">
        <v>12</v>
      </c>
      <c r="C493" s="92" t="inlineStr">
        <is>
          <t>PF01</t>
        </is>
      </c>
      <c r="D493" s="92" t="inlineStr">
        <is>
          <t>보장성</t>
        </is>
      </c>
      <c r="E493" s="92" t="inlineStr">
        <is>
          <t>GMM</t>
        </is>
      </c>
      <c r="F493" s="92" t="inlineStr">
        <is>
          <t>F31</t>
        </is>
      </c>
      <c r="G493" s="92" t="inlineStr">
        <is>
          <t>경험조정-취득현금흐름</t>
        </is>
      </c>
      <c r="H493" s="93" t="n">
        <v>0</v>
      </c>
      <c r="I493" s="93" t="n">
        <v>0</v>
      </c>
      <c r="J493" s="93" t="n">
        <v>4939000</v>
      </c>
      <c r="L493" s="9">
        <f>IF($A493="","",VALUE($A493&amp;"")*12+VALUE($B493&amp;""))</f>
        <v/>
      </c>
      <c r="M493" s="94">
        <f>IF($A493="",0,$H493*설정!$C$23)</f>
        <v/>
      </c>
      <c r="N493" s="94">
        <f>IF($A493="",0,$I493*설정!$C$23)</f>
        <v/>
      </c>
      <c r="O493" s="94">
        <f>IF($A493="",0,$J493*설정!$C$23)</f>
        <v/>
      </c>
      <c r="P493" s="64">
        <f>IF($A493="","",IFERROR(INDEX(입력옵션!$C$58:$C$68,MATCH($F493&amp;"",입력옵션!$E$58:$E$68,0)),IFERROR(INDEX(입력옵션!$C$58:$C$68,MATCH($G493&amp;"",입력옵션!$F$58:$F$68,0)),$F493&amp;"")))</f>
        <v/>
      </c>
    </row>
    <row r="494">
      <c r="A494" s="92" t="n">
        <v>2025</v>
      </c>
      <c r="B494" s="92" t="n">
        <v>12</v>
      </c>
      <c r="C494" s="92" t="inlineStr">
        <is>
          <t>PF01</t>
        </is>
      </c>
      <c r="D494" s="92" t="inlineStr">
        <is>
          <t>보장성</t>
        </is>
      </c>
      <c r="E494" s="92" t="inlineStr">
        <is>
          <t>GMM</t>
        </is>
      </c>
      <c r="F494" s="92" t="inlineStr">
        <is>
          <t>F32</t>
        </is>
      </c>
      <c r="G494" s="92" t="inlineStr">
        <is>
          <t>경험조정-보험료 등</t>
        </is>
      </c>
      <c r="H494" s="93" t="n">
        <v>0</v>
      </c>
      <c r="I494" s="93" t="n">
        <v>0</v>
      </c>
      <c r="J494" s="93" t="n">
        <v>-13085000</v>
      </c>
      <c r="L494" s="9">
        <f>IF($A494="","",VALUE($A494&amp;"")*12+VALUE($B494&amp;""))</f>
        <v/>
      </c>
      <c r="M494" s="94">
        <f>IF($A494="",0,$H494*설정!$C$23)</f>
        <v/>
      </c>
      <c r="N494" s="94">
        <f>IF($A494="",0,$I494*설정!$C$23)</f>
        <v/>
      </c>
      <c r="O494" s="94">
        <f>IF($A494="",0,$J494*설정!$C$23)</f>
        <v/>
      </c>
      <c r="P494" s="64">
        <f>IF($A494="","",IFERROR(INDEX(입력옵션!$C$58:$C$68,MATCH($F494&amp;"",입력옵션!$E$58:$E$68,0)),IFERROR(INDEX(입력옵션!$C$58:$C$68,MATCH($G494&amp;"",입력옵션!$F$58:$F$68,0)),$F494&amp;"")))</f>
        <v/>
      </c>
    </row>
    <row r="495">
      <c r="A495" s="92" t="n">
        <v>2025</v>
      </c>
      <c r="B495" s="92" t="n">
        <v>12</v>
      </c>
      <c r="C495" s="92" t="inlineStr">
        <is>
          <t>PF01</t>
        </is>
      </c>
      <c r="D495" s="92" t="inlineStr">
        <is>
          <t>보장성</t>
        </is>
      </c>
      <c r="E495" s="92" t="inlineStr">
        <is>
          <t>GMM</t>
        </is>
      </c>
      <c r="F495" s="92" t="inlineStr">
        <is>
          <t>F40</t>
        </is>
      </c>
      <c r="G495" s="92" t="inlineStr">
        <is>
          <t>보험금융비용(이자부리)</t>
        </is>
      </c>
      <c r="H495" s="93" t="n">
        <v>2659789000</v>
      </c>
      <c r="I495" s="93" t="n">
        <v>143737000</v>
      </c>
      <c r="J495" s="93" t="n">
        <v>609770000</v>
      </c>
      <c r="L495" s="9">
        <f>IF($A495="","",VALUE($A495&amp;"")*12+VALUE($B495&amp;""))</f>
        <v/>
      </c>
      <c r="M495" s="94">
        <f>IF($A495="",0,$H495*설정!$C$23)</f>
        <v/>
      </c>
      <c r="N495" s="94">
        <f>IF($A495="",0,$I495*설정!$C$23)</f>
        <v/>
      </c>
      <c r="O495" s="94">
        <f>IF($A495="",0,$J495*설정!$C$23)</f>
        <v/>
      </c>
      <c r="P495" s="64">
        <f>IF($A495="","",IFERROR(INDEX(입력옵션!$C$58:$C$68,MATCH($F495&amp;"",입력옵션!$E$58:$E$68,0)),IFERROR(INDEX(입력옵션!$C$58:$C$68,MATCH($G495&amp;"",입력옵션!$F$58:$F$68,0)),$F495&amp;"")))</f>
        <v/>
      </c>
    </row>
    <row r="496">
      <c r="A496" s="92" t="n">
        <v>2025</v>
      </c>
      <c r="B496" s="92" t="n">
        <v>12</v>
      </c>
      <c r="C496" s="92" t="inlineStr">
        <is>
          <t>PF01</t>
        </is>
      </c>
      <c r="D496" s="92" t="inlineStr">
        <is>
          <t>보장성</t>
        </is>
      </c>
      <c r="E496" s="92" t="inlineStr">
        <is>
          <t>GMM</t>
        </is>
      </c>
      <c r="F496" s="92" t="inlineStr">
        <is>
          <t>F51</t>
        </is>
      </c>
      <c r="G496" s="92" t="inlineStr">
        <is>
          <t>CSM 상각</t>
        </is>
      </c>
      <c r="H496" s="93" t="n">
        <v>0</v>
      </c>
      <c r="I496" s="93" t="n">
        <v>0</v>
      </c>
      <c r="J496" s="93" t="n">
        <v>-2195173000</v>
      </c>
      <c r="L496" s="9">
        <f>IF($A496="","",VALUE($A496&amp;"")*12+VALUE($B496&amp;""))</f>
        <v/>
      </c>
      <c r="M496" s="94">
        <f>IF($A496="",0,$H496*설정!$C$23)</f>
        <v/>
      </c>
      <c r="N496" s="94">
        <f>IF($A496="",0,$I496*설정!$C$23)</f>
        <v/>
      </c>
      <c r="O496" s="94">
        <f>IF($A496="",0,$J496*설정!$C$23)</f>
        <v/>
      </c>
      <c r="P496" s="64">
        <f>IF($A496="","",IFERROR(INDEX(입력옵션!$C$58:$C$68,MATCH($F496&amp;"",입력옵션!$E$58:$E$68,0)),IFERROR(INDEX(입력옵션!$C$58:$C$68,MATCH($G496&amp;"",입력옵션!$F$58:$F$68,0)),$F496&amp;"")))</f>
        <v/>
      </c>
    </row>
    <row r="497">
      <c r="A497" s="92" t="n">
        <v>2025</v>
      </c>
      <c r="B497" s="92" t="n">
        <v>12</v>
      </c>
      <c r="C497" s="92" t="inlineStr">
        <is>
          <t>PF01</t>
        </is>
      </c>
      <c r="D497" s="92" t="inlineStr">
        <is>
          <t>보장성</t>
        </is>
      </c>
      <c r="E497" s="92" t="inlineStr">
        <is>
          <t>GMM</t>
        </is>
      </c>
      <c r="F497" s="92" t="inlineStr">
        <is>
          <t>F52</t>
        </is>
      </c>
      <c r="G497" s="92" t="inlineStr">
        <is>
          <t>RA 해제</t>
        </is>
      </c>
      <c r="H497" s="93" t="n">
        <v>0</v>
      </c>
      <c r="I497" s="93" t="n">
        <v>-431210000</v>
      </c>
      <c r="J497" s="93" t="n">
        <v>0</v>
      </c>
      <c r="L497" s="9">
        <f>IF($A497="","",VALUE($A497&amp;"")*12+VALUE($B497&amp;""))</f>
        <v/>
      </c>
      <c r="M497" s="94">
        <f>IF($A497="",0,$H497*설정!$C$23)</f>
        <v/>
      </c>
      <c r="N497" s="94">
        <f>IF($A497="",0,$I497*설정!$C$23)</f>
        <v/>
      </c>
      <c r="O497" s="94">
        <f>IF($A497="",0,$J497*설정!$C$23)</f>
        <v/>
      </c>
      <c r="P497" s="64">
        <f>IF($A497="","",IFERROR(INDEX(입력옵션!$C$58:$C$68,MATCH($F497&amp;"",입력옵션!$E$58:$E$68,0)),IFERROR(INDEX(입력옵션!$C$58:$C$68,MATCH($G497&amp;"",입력옵션!$F$58:$F$68,0)),$F497&amp;"")))</f>
        <v/>
      </c>
    </row>
    <row r="498">
      <c r="A498" s="92" t="n">
        <v>2025</v>
      </c>
      <c r="B498" s="92" t="n">
        <v>12</v>
      </c>
      <c r="C498" s="92" t="inlineStr">
        <is>
          <t>PF01</t>
        </is>
      </c>
      <c r="D498" s="92" t="inlineStr">
        <is>
          <t>보장성</t>
        </is>
      </c>
      <c r="E498" s="92" t="inlineStr">
        <is>
          <t>GMM</t>
        </is>
      </c>
      <c r="F498" s="92" t="inlineStr">
        <is>
          <t>F60</t>
        </is>
      </c>
      <c r="G498" s="92" t="inlineStr">
        <is>
          <t>현금흐름 및 기타</t>
        </is>
      </c>
      <c r="H498" s="93" t="n">
        <v>-2285799000</v>
      </c>
      <c r="I498" s="93" t="n">
        <v>773915000</v>
      </c>
      <c r="J498" s="93" t="n">
        <v>0</v>
      </c>
      <c r="L498" s="9">
        <f>IF($A498="","",VALUE($A498&amp;"")*12+VALUE($B498&amp;""))</f>
        <v/>
      </c>
      <c r="M498" s="94">
        <f>IF($A498="",0,$H498*설정!$C$23)</f>
        <v/>
      </c>
      <c r="N498" s="94">
        <f>IF($A498="",0,$I498*설정!$C$23)</f>
        <v/>
      </c>
      <c r="O498" s="94">
        <f>IF($A498="",0,$J498*설정!$C$23)</f>
        <v/>
      </c>
      <c r="P498" s="64">
        <f>IF($A498="","",IFERROR(INDEX(입력옵션!$C$58:$C$68,MATCH($F498&amp;"",입력옵션!$E$58:$E$68,0)),IFERROR(INDEX(입력옵션!$C$58:$C$68,MATCH($G498&amp;"",입력옵션!$F$58:$F$68,0)),$F498&amp;"")))</f>
        <v/>
      </c>
    </row>
    <row r="499">
      <c r="A499" s="92" t="n">
        <v>2025</v>
      </c>
      <c r="B499" s="92" t="n">
        <v>12</v>
      </c>
      <c r="C499" s="92" t="inlineStr">
        <is>
          <t>PF01</t>
        </is>
      </c>
      <c r="D499" s="92" t="inlineStr">
        <is>
          <t>보장성</t>
        </is>
      </c>
      <c r="E499" s="92" t="inlineStr">
        <is>
          <t>GMM</t>
        </is>
      </c>
      <c r="F499" s="92" t="inlineStr">
        <is>
          <t>F99</t>
        </is>
      </c>
      <c r="G499" s="92" t="inlineStr">
        <is>
          <t>기말잔액</t>
        </is>
      </c>
      <c r="H499" s="93" t="n">
        <v>1060871250000</v>
      </c>
      <c r="I499" s="93" t="n">
        <v>72958440000</v>
      </c>
      <c r="J499" s="93" t="n">
        <v>245129371000</v>
      </c>
      <c r="L499" s="9">
        <f>IF($A499="","",VALUE($A499&amp;"")*12+VALUE($B499&amp;""))</f>
        <v/>
      </c>
      <c r="M499" s="94">
        <f>IF($A499="",0,$H499*설정!$C$23)</f>
        <v/>
      </c>
      <c r="N499" s="94">
        <f>IF($A499="",0,$I499*설정!$C$23)</f>
        <v/>
      </c>
      <c r="O499" s="94">
        <f>IF($A499="",0,$J499*설정!$C$23)</f>
        <v/>
      </c>
      <c r="P499" s="64">
        <f>IF($A499="","",IFERROR(INDEX(입력옵션!$C$58:$C$68,MATCH($F499&amp;"",입력옵션!$E$58:$E$68,0)),IFERROR(INDEX(입력옵션!$C$58:$C$68,MATCH($G499&amp;"",입력옵션!$F$58:$F$68,0)),$F499&amp;"")))</f>
        <v/>
      </c>
    </row>
    <row r="500">
      <c r="A500" s="92" t="n">
        <v>2025</v>
      </c>
      <c r="B500" s="92" t="n">
        <v>12</v>
      </c>
      <c r="C500" s="92" t="inlineStr">
        <is>
          <t>PF02</t>
        </is>
      </c>
      <c r="D500" s="92" t="inlineStr">
        <is>
          <t>저축성</t>
        </is>
      </c>
      <c r="E500" s="92" t="inlineStr">
        <is>
          <t>GMM</t>
        </is>
      </c>
      <c r="F500" s="92" t="inlineStr">
        <is>
          <t>F00</t>
        </is>
      </c>
      <c r="G500" s="92" t="inlineStr">
        <is>
          <t>기초잔액</t>
        </is>
      </c>
      <c r="H500" s="93" t="n">
        <v>702184395000</v>
      </c>
      <c r="I500" s="93" t="n">
        <v>29945125000</v>
      </c>
      <c r="J500" s="93" t="n">
        <v>98603382000</v>
      </c>
      <c r="L500" s="9">
        <f>IF($A500="","",VALUE($A500&amp;"")*12+VALUE($B500&amp;""))</f>
        <v/>
      </c>
      <c r="M500" s="94">
        <f>IF($A500="",0,$H500*설정!$C$23)</f>
        <v/>
      </c>
      <c r="N500" s="94">
        <f>IF($A500="",0,$I500*설정!$C$23)</f>
        <v/>
      </c>
      <c r="O500" s="94">
        <f>IF($A500="",0,$J500*설정!$C$23)</f>
        <v/>
      </c>
      <c r="P500" s="64">
        <f>IF($A500="","",IFERROR(INDEX(입력옵션!$C$58:$C$68,MATCH($F500&amp;"",입력옵션!$E$58:$E$68,0)),IFERROR(INDEX(입력옵션!$C$58:$C$68,MATCH($G500&amp;"",입력옵션!$F$58:$F$68,0)),$F500&amp;"")))</f>
        <v/>
      </c>
    </row>
    <row r="501">
      <c r="A501" s="92" t="n">
        <v>2025</v>
      </c>
      <c r="B501" s="92" t="n">
        <v>12</v>
      </c>
      <c r="C501" s="92" t="inlineStr">
        <is>
          <t>PF02</t>
        </is>
      </c>
      <c r="D501" s="92" t="inlineStr">
        <is>
          <t>저축성</t>
        </is>
      </c>
      <c r="E501" s="92" t="inlineStr">
        <is>
          <t>GMM</t>
        </is>
      </c>
      <c r="F501" s="92" t="inlineStr">
        <is>
          <t>F10</t>
        </is>
      </c>
      <c r="G501" s="92" t="inlineStr">
        <is>
          <t>신계약 효과</t>
        </is>
      </c>
      <c r="H501" s="93" t="n">
        <v>-1217133000</v>
      </c>
      <c r="I501" s="93" t="n">
        <v>243427000</v>
      </c>
      <c r="J501" s="93" t="n">
        <v>973707000</v>
      </c>
      <c r="L501" s="9">
        <f>IF($A501="","",VALUE($A501&amp;"")*12+VALUE($B501&amp;""))</f>
        <v/>
      </c>
      <c r="M501" s="94">
        <f>IF($A501="",0,$H501*설정!$C$23)</f>
        <v/>
      </c>
      <c r="N501" s="94">
        <f>IF($A501="",0,$I501*설정!$C$23)</f>
        <v/>
      </c>
      <c r="O501" s="94">
        <f>IF($A501="",0,$J501*설정!$C$23)</f>
        <v/>
      </c>
      <c r="P501" s="64">
        <f>IF($A501="","",IFERROR(INDEX(입력옵션!$C$58:$C$68,MATCH($F501&amp;"",입력옵션!$E$58:$E$68,0)),IFERROR(INDEX(입력옵션!$C$58:$C$68,MATCH($G501&amp;"",입력옵션!$F$58:$F$68,0)),$F501&amp;"")))</f>
        <v/>
      </c>
    </row>
    <row r="502">
      <c r="A502" s="92" t="n">
        <v>2025</v>
      </c>
      <c r="B502" s="92" t="n">
        <v>12</v>
      </c>
      <c r="C502" s="92" t="inlineStr">
        <is>
          <t>PF02</t>
        </is>
      </c>
      <c r="D502" s="92" t="inlineStr">
        <is>
          <t>저축성</t>
        </is>
      </c>
      <c r="E502" s="92" t="inlineStr">
        <is>
          <t>GMM</t>
        </is>
      </c>
      <c r="F502" s="92" t="inlineStr">
        <is>
          <t>F21</t>
        </is>
      </c>
      <c r="G502" s="92" t="inlineStr">
        <is>
          <t>가정변경-사업비</t>
        </is>
      </c>
      <c r="H502" s="93" t="n">
        <v>250000000</v>
      </c>
      <c r="I502" s="93" t="n">
        <v>0</v>
      </c>
      <c r="J502" s="93" t="n">
        <v>-250000000</v>
      </c>
      <c r="L502" s="9">
        <f>IF($A502="","",VALUE($A502&amp;"")*12+VALUE($B502&amp;""))</f>
        <v/>
      </c>
      <c r="M502" s="94">
        <f>IF($A502="",0,$H502*설정!$C$23)</f>
        <v/>
      </c>
      <c r="N502" s="94">
        <f>IF($A502="",0,$I502*설정!$C$23)</f>
        <v/>
      </c>
      <c r="O502" s="94">
        <f>IF($A502="",0,$J502*설정!$C$23)</f>
        <v/>
      </c>
      <c r="P502" s="64">
        <f>IF($A502="","",IFERROR(INDEX(입력옵션!$C$58:$C$68,MATCH($F502&amp;"",입력옵션!$E$58:$E$68,0)),IFERROR(INDEX(입력옵션!$C$58:$C$68,MATCH($G502&amp;"",입력옵션!$F$58:$F$68,0)),$F502&amp;"")))</f>
        <v/>
      </c>
    </row>
    <row r="503">
      <c r="A503" s="92" t="n">
        <v>2025</v>
      </c>
      <c r="B503" s="92" t="n">
        <v>12</v>
      </c>
      <c r="C503" s="92" t="inlineStr">
        <is>
          <t>PF02</t>
        </is>
      </c>
      <c r="D503" s="92" t="inlineStr">
        <is>
          <t>저축성</t>
        </is>
      </c>
      <c r="E503" s="92" t="inlineStr">
        <is>
          <t>GMM</t>
        </is>
      </c>
      <c r="F503" s="92" t="inlineStr">
        <is>
          <t>F22</t>
        </is>
      </c>
      <c r="G503" s="92" t="inlineStr">
        <is>
          <t>가정변경-기타</t>
        </is>
      </c>
      <c r="H503" s="93" t="n">
        <v>0</v>
      </c>
      <c r="I503" s="93" t="n">
        <v>0</v>
      </c>
      <c r="J503" s="93" t="n">
        <v>0</v>
      </c>
      <c r="L503" s="9">
        <f>IF($A503="","",VALUE($A503&amp;"")*12+VALUE($B503&amp;""))</f>
        <v/>
      </c>
      <c r="M503" s="94">
        <f>IF($A503="",0,$H503*설정!$C$23)</f>
        <v/>
      </c>
      <c r="N503" s="94">
        <f>IF($A503="",0,$I503*설정!$C$23)</f>
        <v/>
      </c>
      <c r="O503" s="94">
        <f>IF($A503="",0,$J503*설정!$C$23)</f>
        <v/>
      </c>
      <c r="P503" s="64">
        <f>IF($A503="","",IFERROR(INDEX(입력옵션!$C$58:$C$68,MATCH($F503&amp;"",입력옵션!$E$58:$E$68,0)),IFERROR(INDEX(입력옵션!$C$58:$C$68,MATCH($G503&amp;"",입력옵션!$F$58:$F$68,0)),$F503&amp;"")))</f>
        <v/>
      </c>
    </row>
    <row r="504">
      <c r="A504" s="92" t="n">
        <v>2025</v>
      </c>
      <c r="B504" s="92" t="n">
        <v>12</v>
      </c>
      <c r="C504" s="92" t="inlineStr">
        <is>
          <t>PF02</t>
        </is>
      </c>
      <c r="D504" s="92" t="inlineStr">
        <is>
          <t>저축성</t>
        </is>
      </c>
      <c r="E504" s="92" t="inlineStr">
        <is>
          <t>GMM</t>
        </is>
      </c>
      <c r="F504" s="92" t="inlineStr">
        <is>
          <t>F31</t>
        </is>
      </c>
      <c r="G504" s="92" t="inlineStr">
        <is>
          <t>경험조정-취득현금흐름</t>
        </is>
      </c>
      <c r="H504" s="93" t="n">
        <v>0</v>
      </c>
      <c r="I504" s="93" t="n">
        <v>0</v>
      </c>
      <c r="J504" s="93" t="n">
        <v>-1049000</v>
      </c>
      <c r="L504" s="9">
        <f>IF($A504="","",VALUE($A504&amp;"")*12+VALUE($B504&amp;""))</f>
        <v/>
      </c>
      <c r="M504" s="94">
        <f>IF($A504="",0,$H504*설정!$C$23)</f>
        <v/>
      </c>
      <c r="N504" s="94">
        <f>IF($A504="",0,$I504*설정!$C$23)</f>
        <v/>
      </c>
      <c r="O504" s="94">
        <f>IF($A504="",0,$J504*설정!$C$23)</f>
        <v/>
      </c>
      <c r="P504" s="64">
        <f>IF($A504="","",IFERROR(INDEX(입력옵션!$C$58:$C$68,MATCH($F504&amp;"",입력옵션!$E$58:$E$68,0)),IFERROR(INDEX(입력옵션!$C$58:$C$68,MATCH($G504&amp;"",입력옵션!$F$58:$F$68,0)),$F504&amp;"")))</f>
        <v/>
      </c>
    </row>
    <row r="505">
      <c r="A505" s="92" t="n">
        <v>2025</v>
      </c>
      <c r="B505" s="92" t="n">
        <v>12</v>
      </c>
      <c r="C505" s="92" t="inlineStr">
        <is>
          <t>PF02</t>
        </is>
      </c>
      <c r="D505" s="92" t="inlineStr">
        <is>
          <t>저축성</t>
        </is>
      </c>
      <c r="E505" s="92" t="inlineStr">
        <is>
          <t>GMM</t>
        </is>
      </c>
      <c r="F505" s="92" t="inlineStr">
        <is>
          <t>F32</t>
        </is>
      </c>
      <c r="G505" s="92" t="inlineStr">
        <is>
          <t>경험조정-보험료 등</t>
        </is>
      </c>
      <c r="H505" s="93" t="n">
        <v>0</v>
      </c>
      <c r="I505" s="93" t="n">
        <v>0</v>
      </c>
      <c r="J505" s="93" t="n">
        <v>-62158000</v>
      </c>
      <c r="L505" s="9">
        <f>IF($A505="","",VALUE($A505&amp;"")*12+VALUE($B505&amp;""))</f>
        <v/>
      </c>
      <c r="M505" s="94">
        <f>IF($A505="",0,$H505*설정!$C$23)</f>
        <v/>
      </c>
      <c r="N505" s="94">
        <f>IF($A505="",0,$I505*설정!$C$23)</f>
        <v/>
      </c>
      <c r="O505" s="94">
        <f>IF($A505="",0,$J505*설정!$C$23)</f>
        <v/>
      </c>
      <c r="P505" s="64">
        <f>IF($A505="","",IFERROR(INDEX(입력옵션!$C$58:$C$68,MATCH($F505&amp;"",입력옵션!$E$58:$E$68,0)),IFERROR(INDEX(입력옵션!$C$58:$C$68,MATCH($G505&amp;"",입력옵션!$F$58:$F$68,0)),$F505&amp;"")))</f>
        <v/>
      </c>
    </row>
    <row r="506">
      <c r="A506" s="92" t="n">
        <v>2025</v>
      </c>
      <c r="B506" s="92" t="n">
        <v>12</v>
      </c>
      <c r="C506" s="92" t="inlineStr">
        <is>
          <t>PF02</t>
        </is>
      </c>
      <c r="D506" s="92" t="inlineStr">
        <is>
          <t>저축성</t>
        </is>
      </c>
      <c r="E506" s="92" t="inlineStr">
        <is>
          <t>GMM</t>
        </is>
      </c>
      <c r="F506" s="92" t="inlineStr">
        <is>
          <t>F40</t>
        </is>
      </c>
      <c r="G506" s="92" t="inlineStr">
        <is>
          <t>보험금융비용(이자부리)</t>
        </is>
      </c>
      <c r="H506" s="93" t="n">
        <v>1755461000</v>
      </c>
      <c r="I506" s="93" t="n">
        <v>59890000</v>
      </c>
      <c r="J506" s="93" t="n">
        <v>246508000</v>
      </c>
      <c r="L506" s="9">
        <f>IF($A506="","",VALUE($A506&amp;"")*12+VALUE($B506&amp;""))</f>
        <v/>
      </c>
      <c r="M506" s="94">
        <f>IF($A506="",0,$H506*설정!$C$23)</f>
        <v/>
      </c>
      <c r="N506" s="94">
        <f>IF($A506="",0,$I506*설정!$C$23)</f>
        <v/>
      </c>
      <c r="O506" s="94">
        <f>IF($A506="",0,$J506*설정!$C$23)</f>
        <v/>
      </c>
      <c r="P506" s="64">
        <f>IF($A506="","",IFERROR(INDEX(입력옵션!$C$58:$C$68,MATCH($F506&amp;"",입력옵션!$E$58:$E$68,0)),IFERROR(INDEX(입력옵션!$C$58:$C$68,MATCH($G506&amp;"",입력옵션!$F$58:$F$68,0)),$F506&amp;"")))</f>
        <v/>
      </c>
    </row>
    <row r="507">
      <c r="A507" s="92" t="n">
        <v>2025</v>
      </c>
      <c r="B507" s="92" t="n">
        <v>12</v>
      </c>
      <c r="C507" s="92" t="inlineStr">
        <is>
          <t>PF02</t>
        </is>
      </c>
      <c r="D507" s="92" t="inlineStr">
        <is>
          <t>저축성</t>
        </is>
      </c>
      <c r="E507" s="92" t="inlineStr">
        <is>
          <t>GMM</t>
        </is>
      </c>
      <c r="F507" s="92" t="inlineStr">
        <is>
          <t>F51</t>
        </is>
      </c>
      <c r="G507" s="92" t="inlineStr">
        <is>
          <t>CSM 상각</t>
        </is>
      </c>
      <c r="H507" s="93" t="n">
        <v>0</v>
      </c>
      <c r="I507" s="93" t="n">
        <v>0</v>
      </c>
      <c r="J507" s="93" t="n">
        <v>-887430000</v>
      </c>
      <c r="L507" s="9">
        <f>IF($A507="","",VALUE($A507&amp;"")*12+VALUE($B507&amp;""))</f>
        <v/>
      </c>
      <c r="M507" s="94">
        <f>IF($A507="",0,$H507*설정!$C$23)</f>
        <v/>
      </c>
      <c r="N507" s="94">
        <f>IF($A507="",0,$I507*설정!$C$23)</f>
        <v/>
      </c>
      <c r="O507" s="94">
        <f>IF($A507="",0,$J507*설정!$C$23)</f>
        <v/>
      </c>
      <c r="P507" s="64">
        <f>IF($A507="","",IFERROR(INDEX(입력옵션!$C$58:$C$68,MATCH($F507&amp;"",입력옵션!$E$58:$E$68,0)),IFERROR(INDEX(입력옵션!$C$58:$C$68,MATCH($G507&amp;"",입력옵션!$F$58:$F$68,0)),$F507&amp;"")))</f>
        <v/>
      </c>
    </row>
    <row r="508">
      <c r="A508" s="92" t="n">
        <v>2025</v>
      </c>
      <c r="B508" s="92" t="n">
        <v>12</v>
      </c>
      <c r="C508" s="92" t="inlineStr">
        <is>
          <t>PF02</t>
        </is>
      </c>
      <c r="D508" s="92" t="inlineStr">
        <is>
          <t>저축성</t>
        </is>
      </c>
      <c r="E508" s="92" t="inlineStr">
        <is>
          <t>GMM</t>
        </is>
      </c>
      <c r="F508" s="92" t="inlineStr">
        <is>
          <t>F52</t>
        </is>
      </c>
      <c r="G508" s="92" t="inlineStr">
        <is>
          <t>RA 해제</t>
        </is>
      </c>
      <c r="H508" s="93" t="n">
        <v>0</v>
      </c>
      <c r="I508" s="93" t="n">
        <v>-179671000</v>
      </c>
      <c r="J508" s="93" t="n">
        <v>0</v>
      </c>
      <c r="L508" s="9">
        <f>IF($A508="","",VALUE($A508&amp;"")*12+VALUE($B508&amp;""))</f>
        <v/>
      </c>
      <c r="M508" s="94">
        <f>IF($A508="",0,$H508*설정!$C$23)</f>
        <v/>
      </c>
      <c r="N508" s="94">
        <f>IF($A508="",0,$I508*설정!$C$23)</f>
        <v/>
      </c>
      <c r="O508" s="94">
        <f>IF($A508="",0,$J508*설정!$C$23)</f>
        <v/>
      </c>
      <c r="P508" s="64">
        <f>IF($A508="","",IFERROR(INDEX(입력옵션!$C$58:$C$68,MATCH($F508&amp;"",입력옵션!$E$58:$E$68,0)),IFERROR(INDEX(입력옵션!$C$58:$C$68,MATCH($G508&amp;"",입력옵션!$F$58:$F$68,0)),$F508&amp;"")))</f>
        <v/>
      </c>
    </row>
    <row r="509">
      <c r="A509" s="92" t="n">
        <v>2025</v>
      </c>
      <c r="B509" s="92" t="n">
        <v>12</v>
      </c>
      <c r="C509" s="92" t="inlineStr">
        <is>
          <t>PF02</t>
        </is>
      </c>
      <c r="D509" s="92" t="inlineStr">
        <is>
          <t>저축성</t>
        </is>
      </c>
      <c r="E509" s="92" t="inlineStr">
        <is>
          <t>GMM</t>
        </is>
      </c>
      <c r="F509" s="92" t="inlineStr">
        <is>
          <t>F60</t>
        </is>
      </c>
      <c r="G509" s="92" t="inlineStr">
        <is>
          <t>현금흐름 및 기타</t>
        </is>
      </c>
      <c r="H509" s="93" t="n">
        <v>-2797698000</v>
      </c>
      <c r="I509" s="93" t="n">
        <v>330579000</v>
      </c>
      <c r="J509" s="93" t="n">
        <v>0</v>
      </c>
      <c r="L509" s="9">
        <f>IF($A509="","",VALUE($A509&amp;"")*12+VALUE($B509&amp;""))</f>
        <v/>
      </c>
      <c r="M509" s="94">
        <f>IF($A509="",0,$H509*설정!$C$23)</f>
        <v/>
      </c>
      <c r="N509" s="94">
        <f>IF($A509="",0,$I509*설정!$C$23)</f>
        <v/>
      </c>
      <c r="O509" s="94">
        <f>IF($A509="",0,$J509*설정!$C$23)</f>
        <v/>
      </c>
      <c r="P509" s="64">
        <f>IF($A509="","",IFERROR(INDEX(입력옵션!$C$58:$C$68,MATCH($F509&amp;"",입력옵션!$E$58:$E$68,0)),IFERROR(INDEX(입력옵션!$C$58:$C$68,MATCH($G509&amp;"",입력옵션!$F$58:$F$68,0)),$F509&amp;"")))</f>
        <v/>
      </c>
    </row>
    <row r="510">
      <c r="A510" s="92" t="n">
        <v>2025</v>
      </c>
      <c r="B510" s="92" t="n">
        <v>12</v>
      </c>
      <c r="C510" s="92" t="inlineStr">
        <is>
          <t>PF02</t>
        </is>
      </c>
      <c r="D510" s="92" t="inlineStr">
        <is>
          <t>저축성</t>
        </is>
      </c>
      <c r="E510" s="92" t="inlineStr">
        <is>
          <t>GMM</t>
        </is>
      </c>
      <c r="F510" s="92" t="inlineStr">
        <is>
          <t>F99</t>
        </is>
      </c>
      <c r="G510" s="92" t="inlineStr">
        <is>
          <t>기말잔액</t>
        </is>
      </c>
      <c r="H510" s="93" t="n">
        <v>700175025000</v>
      </c>
      <c r="I510" s="93" t="n">
        <v>30399350000</v>
      </c>
      <c r="J510" s="93" t="n">
        <v>98622960000</v>
      </c>
      <c r="L510" s="9">
        <f>IF($A510="","",VALUE($A510&amp;"")*12+VALUE($B510&amp;""))</f>
        <v/>
      </c>
      <c r="M510" s="94">
        <f>IF($A510="",0,$H510*설정!$C$23)</f>
        <v/>
      </c>
      <c r="N510" s="94">
        <f>IF($A510="",0,$I510*설정!$C$23)</f>
        <v/>
      </c>
      <c r="O510" s="94">
        <f>IF($A510="",0,$J510*설정!$C$23)</f>
        <v/>
      </c>
      <c r="P510" s="64">
        <f>IF($A510="","",IFERROR(INDEX(입력옵션!$C$58:$C$68,MATCH($F510&amp;"",입력옵션!$E$58:$E$68,0)),IFERROR(INDEX(입력옵션!$C$58:$C$68,MATCH($G510&amp;"",입력옵션!$F$58:$F$68,0)),$F510&amp;"")))</f>
        <v/>
      </c>
    </row>
    <row r="511">
      <c r="A511" s="92" t="n">
        <v>2025</v>
      </c>
      <c r="B511" s="92" t="n">
        <v>12</v>
      </c>
      <c r="C511" s="92" t="inlineStr">
        <is>
          <t>PF03</t>
        </is>
      </c>
      <c r="D511" s="92" t="inlineStr">
        <is>
          <t>단체(단기)</t>
        </is>
      </c>
      <c r="E511" s="92" t="inlineStr">
        <is>
          <t>PAA</t>
        </is>
      </c>
      <c r="F511" s="92" t="inlineStr">
        <is>
          <t>F00</t>
        </is>
      </c>
      <c r="G511" s="92" t="inlineStr">
        <is>
          <t>기초잔액</t>
        </is>
      </c>
      <c r="H511" s="93" t="n">
        <v>42556630000</v>
      </c>
      <c r="I511" s="93" t="n">
        <v>2395610000</v>
      </c>
      <c r="J511" s="93" t="n">
        <v>0</v>
      </c>
      <c r="L511" s="9">
        <f>IF($A511="","",VALUE($A511&amp;"")*12+VALUE($B511&amp;""))</f>
        <v/>
      </c>
      <c r="M511" s="94">
        <f>IF($A511="",0,$H511*설정!$C$23)</f>
        <v/>
      </c>
      <c r="N511" s="94">
        <f>IF($A511="",0,$I511*설정!$C$23)</f>
        <v/>
      </c>
      <c r="O511" s="94">
        <f>IF($A511="",0,$J511*설정!$C$23)</f>
        <v/>
      </c>
      <c r="P511" s="64">
        <f>IF($A511="","",IFERROR(INDEX(입력옵션!$C$58:$C$68,MATCH($F511&amp;"",입력옵션!$E$58:$E$68,0)),IFERROR(INDEX(입력옵션!$C$58:$C$68,MATCH($G511&amp;"",입력옵션!$F$58:$F$68,0)),$F511&amp;"")))</f>
        <v/>
      </c>
    </row>
    <row r="512">
      <c r="A512" s="92" t="n">
        <v>2025</v>
      </c>
      <c r="B512" s="92" t="n">
        <v>12</v>
      </c>
      <c r="C512" s="92" t="inlineStr">
        <is>
          <t>PF03</t>
        </is>
      </c>
      <c r="D512" s="92" t="inlineStr">
        <is>
          <t>단체(단기)</t>
        </is>
      </c>
      <c r="E512" s="92" t="inlineStr">
        <is>
          <t>PAA</t>
        </is>
      </c>
      <c r="F512" s="92" t="inlineStr">
        <is>
          <t>F10</t>
        </is>
      </c>
      <c r="G512" s="92" t="inlineStr">
        <is>
          <t>신계약 효과</t>
        </is>
      </c>
      <c r="H512" s="93" t="n">
        <v>0</v>
      </c>
      <c r="I512" s="93" t="n">
        <v>0</v>
      </c>
      <c r="J512" s="93" t="n">
        <v>0</v>
      </c>
      <c r="L512" s="9">
        <f>IF($A512="","",VALUE($A512&amp;"")*12+VALUE($B512&amp;""))</f>
        <v/>
      </c>
      <c r="M512" s="94">
        <f>IF($A512="",0,$H512*설정!$C$23)</f>
        <v/>
      </c>
      <c r="N512" s="94">
        <f>IF($A512="",0,$I512*설정!$C$23)</f>
        <v/>
      </c>
      <c r="O512" s="94">
        <f>IF($A512="",0,$J512*설정!$C$23)</f>
        <v/>
      </c>
      <c r="P512" s="64">
        <f>IF($A512="","",IFERROR(INDEX(입력옵션!$C$58:$C$68,MATCH($F512&amp;"",입력옵션!$E$58:$E$68,0)),IFERROR(INDEX(입력옵션!$C$58:$C$68,MATCH($G512&amp;"",입력옵션!$F$58:$F$68,0)),$F512&amp;"")))</f>
        <v/>
      </c>
    </row>
    <row r="513">
      <c r="A513" s="92" t="n">
        <v>2025</v>
      </c>
      <c r="B513" s="92" t="n">
        <v>12</v>
      </c>
      <c r="C513" s="92" t="inlineStr">
        <is>
          <t>PF03</t>
        </is>
      </c>
      <c r="D513" s="92" t="inlineStr">
        <is>
          <t>단체(단기)</t>
        </is>
      </c>
      <c r="E513" s="92" t="inlineStr">
        <is>
          <t>PAA</t>
        </is>
      </c>
      <c r="F513" s="92" t="inlineStr">
        <is>
          <t>F21</t>
        </is>
      </c>
      <c r="G513" s="92" t="inlineStr">
        <is>
          <t>가정변경-사업비</t>
        </is>
      </c>
      <c r="H513" s="93" t="n">
        <v>0</v>
      </c>
      <c r="I513" s="93" t="n">
        <v>0</v>
      </c>
      <c r="J513" s="93" t="n">
        <v>0</v>
      </c>
      <c r="L513" s="9">
        <f>IF($A513="","",VALUE($A513&amp;"")*12+VALUE($B513&amp;""))</f>
        <v/>
      </c>
      <c r="M513" s="94">
        <f>IF($A513="",0,$H513*설정!$C$23)</f>
        <v/>
      </c>
      <c r="N513" s="94">
        <f>IF($A513="",0,$I513*설정!$C$23)</f>
        <v/>
      </c>
      <c r="O513" s="94">
        <f>IF($A513="",0,$J513*설정!$C$23)</f>
        <v/>
      </c>
      <c r="P513" s="64">
        <f>IF($A513="","",IFERROR(INDEX(입력옵션!$C$58:$C$68,MATCH($F513&amp;"",입력옵션!$E$58:$E$68,0)),IFERROR(INDEX(입력옵션!$C$58:$C$68,MATCH($G513&amp;"",입력옵션!$F$58:$F$68,0)),$F513&amp;"")))</f>
        <v/>
      </c>
    </row>
    <row r="514">
      <c r="A514" s="92" t="n">
        <v>2025</v>
      </c>
      <c r="B514" s="92" t="n">
        <v>12</v>
      </c>
      <c r="C514" s="92" t="inlineStr">
        <is>
          <t>PF03</t>
        </is>
      </c>
      <c r="D514" s="92" t="inlineStr">
        <is>
          <t>단체(단기)</t>
        </is>
      </c>
      <c r="E514" s="92" t="inlineStr">
        <is>
          <t>PAA</t>
        </is>
      </c>
      <c r="F514" s="92" t="inlineStr">
        <is>
          <t>F22</t>
        </is>
      </c>
      <c r="G514" s="92" t="inlineStr">
        <is>
          <t>가정변경-기타</t>
        </is>
      </c>
      <c r="H514" s="93" t="n">
        <v>0</v>
      </c>
      <c r="I514" s="93" t="n">
        <v>0</v>
      </c>
      <c r="J514" s="93" t="n">
        <v>0</v>
      </c>
      <c r="L514" s="9">
        <f>IF($A514="","",VALUE($A514&amp;"")*12+VALUE($B514&amp;""))</f>
        <v/>
      </c>
      <c r="M514" s="94">
        <f>IF($A514="",0,$H514*설정!$C$23)</f>
        <v/>
      </c>
      <c r="N514" s="94">
        <f>IF($A514="",0,$I514*설정!$C$23)</f>
        <v/>
      </c>
      <c r="O514" s="94">
        <f>IF($A514="",0,$J514*설정!$C$23)</f>
        <v/>
      </c>
      <c r="P514" s="64">
        <f>IF($A514="","",IFERROR(INDEX(입력옵션!$C$58:$C$68,MATCH($F514&amp;"",입력옵션!$E$58:$E$68,0)),IFERROR(INDEX(입력옵션!$C$58:$C$68,MATCH($G514&amp;"",입력옵션!$F$58:$F$68,0)),$F514&amp;"")))</f>
        <v/>
      </c>
    </row>
    <row r="515">
      <c r="A515" s="92" t="n">
        <v>2025</v>
      </c>
      <c r="B515" s="92" t="n">
        <v>12</v>
      </c>
      <c r="C515" s="92" t="inlineStr">
        <is>
          <t>PF03</t>
        </is>
      </c>
      <c r="D515" s="92" t="inlineStr">
        <is>
          <t>단체(단기)</t>
        </is>
      </c>
      <c r="E515" s="92" t="inlineStr">
        <is>
          <t>PAA</t>
        </is>
      </c>
      <c r="F515" s="92" t="inlineStr">
        <is>
          <t>F31</t>
        </is>
      </c>
      <c r="G515" s="92" t="inlineStr">
        <is>
          <t>경험조정-취득현금흐름</t>
        </is>
      </c>
      <c r="H515" s="93" t="n">
        <v>0</v>
      </c>
      <c r="I515" s="93" t="n">
        <v>0</v>
      </c>
      <c r="J515" s="93" t="n">
        <v>0</v>
      </c>
      <c r="L515" s="9">
        <f>IF($A515="","",VALUE($A515&amp;"")*12+VALUE($B515&amp;""))</f>
        <v/>
      </c>
      <c r="M515" s="94">
        <f>IF($A515="",0,$H515*설정!$C$23)</f>
        <v/>
      </c>
      <c r="N515" s="94">
        <f>IF($A515="",0,$I515*설정!$C$23)</f>
        <v/>
      </c>
      <c r="O515" s="94">
        <f>IF($A515="",0,$J515*설정!$C$23)</f>
        <v/>
      </c>
      <c r="P515" s="64">
        <f>IF($A515="","",IFERROR(INDEX(입력옵션!$C$58:$C$68,MATCH($F515&amp;"",입력옵션!$E$58:$E$68,0)),IFERROR(INDEX(입력옵션!$C$58:$C$68,MATCH($G515&amp;"",입력옵션!$F$58:$F$68,0)),$F515&amp;"")))</f>
        <v/>
      </c>
    </row>
    <row r="516">
      <c r="A516" s="92" t="n">
        <v>2025</v>
      </c>
      <c r="B516" s="92" t="n">
        <v>12</v>
      </c>
      <c r="C516" s="92" t="inlineStr">
        <is>
          <t>PF03</t>
        </is>
      </c>
      <c r="D516" s="92" t="inlineStr">
        <is>
          <t>단체(단기)</t>
        </is>
      </c>
      <c r="E516" s="92" t="inlineStr">
        <is>
          <t>PAA</t>
        </is>
      </c>
      <c r="F516" s="92" t="inlineStr">
        <is>
          <t>F32</t>
        </is>
      </c>
      <c r="G516" s="92" t="inlineStr">
        <is>
          <t>경험조정-보험료 등</t>
        </is>
      </c>
      <c r="H516" s="93" t="n">
        <v>0</v>
      </c>
      <c r="I516" s="93" t="n">
        <v>0</v>
      </c>
      <c r="J516" s="93" t="n">
        <v>0</v>
      </c>
      <c r="L516" s="9">
        <f>IF($A516="","",VALUE($A516&amp;"")*12+VALUE($B516&amp;""))</f>
        <v/>
      </c>
      <c r="M516" s="94">
        <f>IF($A516="",0,$H516*설정!$C$23)</f>
        <v/>
      </c>
      <c r="N516" s="94">
        <f>IF($A516="",0,$I516*설정!$C$23)</f>
        <v/>
      </c>
      <c r="O516" s="94">
        <f>IF($A516="",0,$J516*설정!$C$23)</f>
        <v/>
      </c>
      <c r="P516" s="64">
        <f>IF($A516="","",IFERROR(INDEX(입력옵션!$C$58:$C$68,MATCH($F516&amp;"",입력옵션!$E$58:$E$68,0)),IFERROR(INDEX(입력옵션!$C$58:$C$68,MATCH($G516&amp;"",입력옵션!$F$58:$F$68,0)),$F516&amp;"")))</f>
        <v/>
      </c>
    </row>
    <row r="517">
      <c r="A517" s="92" t="n">
        <v>2025</v>
      </c>
      <c r="B517" s="92" t="n">
        <v>12</v>
      </c>
      <c r="C517" s="92" t="inlineStr">
        <is>
          <t>PF03</t>
        </is>
      </c>
      <c r="D517" s="92" t="inlineStr">
        <is>
          <t>단체(단기)</t>
        </is>
      </c>
      <c r="E517" s="92" t="inlineStr">
        <is>
          <t>PAA</t>
        </is>
      </c>
      <c r="F517" s="92" t="inlineStr">
        <is>
          <t>F40</t>
        </is>
      </c>
      <c r="G517" s="92" t="inlineStr">
        <is>
          <t>보험금융비용(이자부리)</t>
        </is>
      </c>
      <c r="H517" s="93" t="n">
        <v>0</v>
      </c>
      <c r="I517" s="93" t="n">
        <v>0</v>
      </c>
      <c r="J517" s="93" t="n">
        <v>0</v>
      </c>
      <c r="L517" s="9">
        <f>IF($A517="","",VALUE($A517&amp;"")*12+VALUE($B517&amp;""))</f>
        <v/>
      </c>
      <c r="M517" s="94">
        <f>IF($A517="",0,$H517*설정!$C$23)</f>
        <v/>
      </c>
      <c r="N517" s="94">
        <f>IF($A517="",0,$I517*설정!$C$23)</f>
        <v/>
      </c>
      <c r="O517" s="94">
        <f>IF($A517="",0,$J517*설정!$C$23)</f>
        <v/>
      </c>
      <c r="P517" s="64">
        <f>IF($A517="","",IFERROR(INDEX(입력옵션!$C$58:$C$68,MATCH($F517&amp;"",입력옵션!$E$58:$E$68,0)),IFERROR(INDEX(입력옵션!$C$58:$C$68,MATCH($G517&amp;"",입력옵션!$F$58:$F$68,0)),$F517&amp;"")))</f>
        <v/>
      </c>
    </row>
    <row r="518">
      <c r="A518" s="92" t="n">
        <v>2025</v>
      </c>
      <c r="B518" s="92" t="n">
        <v>12</v>
      </c>
      <c r="C518" s="92" t="inlineStr">
        <is>
          <t>PF03</t>
        </is>
      </c>
      <c r="D518" s="92" t="inlineStr">
        <is>
          <t>단체(단기)</t>
        </is>
      </c>
      <c r="E518" s="92" t="inlineStr">
        <is>
          <t>PAA</t>
        </is>
      </c>
      <c r="F518" s="92" t="inlineStr">
        <is>
          <t>F51</t>
        </is>
      </c>
      <c r="G518" s="92" t="inlineStr">
        <is>
          <t>CSM 상각</t>
        </is>
      </c>
      <c r="H518" s="93" t="n">
        <v>0</v>
      </c>
      <c r="I518" s="93" t="n">
        <v>0</v>
      </c>
      <c r="J518" s="93" t="n">
        <v>0</v>
      </c>
      <c r="L518" s="9">
        <f>IF($A518="","",VALUE($A518&amp;"")*12+VALUE($B518&amp;""))</f>
        <v/>
      </c>
      <c r="M518" s="94">
        <f>IF($A518="",0,$H518*설정!$C$23)</f>
        <v/>
      </c>
      <c r="N518" s="94">
        <f>IF($A518="",0,$I518*설정!$C$23)</f>
        <v/>
      </c>
      <c r="O518" s="94">
        <f>IF($A518="",0,$J518*설정!$C$23)</f>
        <v/>
      </c>
      <c r="P518" s="64">
        <f>IF($A518="","",IFERROR(INDEX(입력옵션!$C$58:$C$68,MATCH($F518&amp;"",입력옵션!$E$58:$E$68,0)),IFERROR(INDEX(입력옵션!$C$58:$C$68,MATCH($G518&amp;"",입력옵션!$F$58:$F$68,0)),$F518&amp;"")))</f>
        <v/>
      </c>
    </row>
    <row r="519">
      <c r="A519" s="92" t="n">
        <v>2025</v>
      </c>
      <c r="B519" s="92" t="n">
        <v>12</v>
      </c>
      <c r="C519" s="92" t="inlineStr">
        <is>
          <t>PF03</t>
        </is>
      </c>
      <c r="D519" s="92" t="inlineStr">
        <is>
          <t>단체(단기)</t>
        </is>
      </c>
      <c r="E519" s="92" t="inlineStr">
        <is>
          <t>PAA</t>
        </is>
      </c>
      <c r="F519" s="92" t="inlineStr">
        <is>
          <t>F52</t>
        </is>
      </c>
      <c r="G519" s="92" t="inlineStr">
        <is>
          <t>RA 해제</t>
        </is>
      </c>
      <c r="H519" s="93" t="n">
        <v>0</v>
      </c>
      <c r="I519" s="93" t="n">
        <v>-14374000</v>
      </c>
      <c r="J519" s="93" t="n">
        <v>0</v>
      </c>
      <c r="L519" s="9">
        <f>IF($A519="","",VALUE($A519&amp;"")*12+VALUE($B519&amp;""))</f>
        <v/>
      </c>
      <c r="M519" s="94">
        <f>IF($A519="",0,$H519*설정!$C$23)</f>
        <v/>
      </c>
      <c r="N519" s="94">
        <f>IF($A519="",0,$I519*설정!$C$23)</f>
        <v/>
      </c>
      <c r="O519" s="94">
        <f>IF($A519="",0,$J519*설정!$C$23)</f>
        <v/>
      </c>
      <c r="P519" s="64">
        <f>IF($A519="","",IFERROR(INDEX(입력옵션!$C$58:$C$68,MATCH($F519&amp;"",입력옵션!$E$58:$E$68,0)),IFERROR(INDEX(입력옵션!$C$58:$C$68,MATCH($G519&amp;"",입력옵션!$F$58:$F$68,0)),$F519&amp;"")))</f>
        <v/>
      </c>
    </row>
    <row r="520">
      <c r="A520" s="92" t="n">
        <v>2025</v>
      </c>
      <c r="B520" s="92" t="n">
        <v>12</v>
      </c>
      <c r="C520" s="92" t="inlineStr">
        <is>
          <t>PF03</t>
        </is>
      </c>
      <c r="D520" s="92" t="inlineStr">
        <is>
          <t>단체(단기)</t>
        </is>
      </c>
      <c r="E520" s="92" t="inlineStr">
        <is>
          <t>PAA</t>
        </is>
      </c>
      <c r="F520" s="92" t="inlineStr">
        <is>
          <t>F60</t>
        </is>
      </c>
      <c r="G520" s="92" t="inlineStr">
        <is>
          <t>현금흐름 및 기타</t>
        </is>
      </c>
      <c r="H520" s="93" t="n">
        <v>-121780000</v>
      </c>
      <c r="I520" s="93" t="n">
        <v>50712000</v>
      </c>
      <c r="J520" s="93" t="n">
        <v>0</v>
      </c>
      <c r="L520" s="9">
        <f>IF($A520="","",VALUE($A520&amp;"")*12+VALUE($B520&amp;""))</f>
        <v/>
      </c>
      <c r="M520" s="94">
        <f>IF($A520="",0,$H520*설정!$C$23)</f>
        <v/>
      </c>
      <c r="N520" s="94">
        <f>IF($A520="",0,$I520*설정!$C$23)</f>
        <v/>
      </c>
      <c r="O520" s="94">
        <f>IF($A520="",0,$J520*설정!$C$23)</f>
        <v/>
      </c>
      <c r="P520" s="64">
        <f>IF($A520="","",IFERROR(INDEX(입력옵션!$C$58:$C$68,MATCH($F520&amp;"",입력옵션!$E$58:$E$68,0)),IFERROR(INDEX(입력옵션!$C$58:$C$68,MATCH($G520&amp;"",입력옵션!$F$58:$F$68,0)),$F520&amp;"")))</f>
        <v/>
      </c>
    </row>
    <row r="521">
      <c r="A521" s="92" t="n">
        <v>2025</v>
      </c>
      <c r="B521" s="92" t="n">
        <v>12</v>
      </c>
      <c r="C521" s="92" t="inlineStr">
        <is>
          <t>PF03</t>
        </is>
      </c>
      <c r="D521" s="92" t="inlineStr">
        <is>
          <t>단체(단기)</t>
        </is>
      </c>
      <c r="E521" s="92" t="inlineStr">
        <is>
          <t>PAA</t>
        </is>
      </c>
      <c r="F521" s="92" t="inlineStr">
        <is>
          <t>F99</t>
        </is>
      </c>
      <c r="G521" s="92" t="inlineStr">
        <is>
          <t>기말잔액</t>
        </is>
      </c>
      <c r="H521" s="93" t="n">
        <v>42434850000</v>
      </c>
      <c r="I521" s="93" t="n">
        <v>2431948000</v>
      </c>
      <c r="J521" s="93" t="n">
        <v>0</v>
      </c>
      <c r="L521" s="9">
        <f>IF($A521="","",VALUE($A521&amp;"")*12+VALUE($B521&amp;""))</f>
        <v/>
      </c>
      <c r="M521" s="94">
        <f>IF($A521="",0,$H521*설정!$C$23)</f>
        <v/>
      </c>
      <c r="N521" s="94">
        <f>IF($A521="",0,$I521*설정!$C$23)</f>
        <v/>
      </c>
      <c r="O521" s="94">
        <f>IF($A521="",0,$J521*설정!$C$23)</f>
        <v/>
      </c>
      <c r="P521" s="64">
        <f>IF($A521="","",IFERROR(INDEX(입력옵션!$C$58:$C$68,MATCH($F521&amp;"",입력옵션!$E$58:$E$68,0)),IFERROR(INDEX(입력옵션!$C$58:$C$68,MATCH($G521&amp;"",입력옵션!$F$58:$F$68,0)),$F521&amp;"")))</f>
        <v/>
      </c>
    </row>
    <row r="522">
      <c r="A522" s="92" t="n">
        <v>2025</v>
      </c>
      <c r="B522" s="92" t="n">
        <v>12</v>
      </c>
      <c r="C522" s="92" t="inlineStr">
        <is>
          <t>PF04</t>
        </is>
      </c>
      <c r="D522" s="92" t="inlineStr">
        <is>
          <t>변액</t>
        </is>
      </c>
      <c r="E522" s="92" t="inlineStr">
        <is>
          <t>VFA</t>
        </is>
      </c>
      <c r="F522" s="92" t="inlineStr">
        <is>
          <t>F00</t>
        </is>
      </c>
      <c r="G522" s="92" t="inlineStr">
        <is>
          <t>기초잔액</t>
        </is>
      </c>
      <c r="H522" s="93" t="n">
        <v>319174725000</v>
      </c>
      <c r="I522" s="93" t="n">
        <v>15571465000</v>
      </c>
      <c r="J522" s="93" t="n">
        <v>51340363000</v>
      </c>
      <c r="L522" s="9">
        <f>IF($A522="","",VALUE($A522&amp;"")*12+VALUE($B522&amp;""))</f>
        <v/>
      </c>
      <c r="M522" s="94">
        <f>IF($A522="",0,$H522*설정!$C$23)</f>
        <v/>
      </c>
      <c r="N522" s="94">
        <f>IF($A522="",0,$I522*설정!$C$23)</f>
        <v/>
      </c>
      <c r="O522" s="94">
        <f>IF($A522="",0,$J522*설정!$C$23)</f>
        <v/>
      </c>
      <c r="P522" s="64">
        <f>IF($A522="","",IFERROR(INDEX(입력옵션!$C$58:$C$68,MATCH($F522&amp;"",입력옵션!$E$58:$E$68,0)),IFERROR(INDEX(입력옵션!$C$58:$C$68,MATCH($G522&amp;"",입력옵션!$F$58:$F$68,0)),$F522&amp;"")))</f>
        <v/>
      </c>
    </row>
    <row r="523">
      <c r="A523" s="92" t="n">
        <v>2025</v>
      </c>
      <c r="B523" s="92" t="n">
        <v>12</v>
      </c>
      <c r="C523" s="92" t="inlineStr">
        <is>
          <t>PF04</t>
        </is>
      </c>
      <c r="D523" s="92" t="inlineStr">
        <is>
          <t>변액</t>
        </is>
      </c>
      <c r="E523" s="92" t="inlineStr">
        <is>
          <t>VFA</t>
        </is>
      </c>
      <c r="F523" s="92" t="inlineStr">
        <is>
          <t>F10</t>
        </is>
      </c>
      <c r="G523" s="92" t="inlineStr">
        <is>
          <t>신계약 효과</t>
        </is>
      </c>
      <c r="H523" s="93" t="n">
        <v>-632909000</v>
      </c>
      <c r="I523" s="93" t="n">
        <v>126582000</v>
      </c>
      <c r="J523" s="93" t="n">
        <v>506327000</v>
      </c>
      <c r="L523" s="9">
        <f>IF($A523="","",VALUE($A523&amp;"")*12+VALUE($B523&amp;""))</f>
        <v/>
      </c>
      <c r="M523" s="94">
        <f>IF($A523="",0,$H523*설정!$C$23)</f>
        <v/>
      </c>
      <c r="N523" s="94">
        <f>IF($A523="",0,$I523*설정!$C$23)</f>
        <v/>
      </c>
      <c r="O523" s="94">
        <f>IF($A523="",0,$J523*설정!$C$23)</f>
        <v/>
      </c>
      <c r="P523" s="64">
        <f>IF($A523="","",IFERROR(INDEX(입력옵션!$C$58:$C$68,MATCH($F523&amp;"",입력옵션!$E$58:$E$68,0)),IFERROR(INDEX(입력옵션!$C$58:$C$68,MATCH($G523&amp;"",입력옵션!$F$58:$F$68,0)),$F523&amp;"")))</f>
        <v/>
      </c>
    </row>
    <row r="524">
      <c r="A524" s="92" t="n">
        <v>2025</v>
      </c>
      <c r="B524" s="92" t="n">
        <v>12</v>
      </c>
      <c r="C524" s="92" t="inlineStr">
        <is>
          <t>PF04</t>
        </is>
      </c>
      <c r="D524" s="92" t="inlineStr">
        <is>
          <t>변액</t>
        </is>
      </c>
      <c r="E524" s="92" t="inlineStr">
        <is>
          <t>VFA</t>
        </is>
      </c>
      <c r="F524" s="92" t="inlineStr">
        <is>
          <t>F21</t>
        </is>
      </c>
      <c r="G524" s="92" t="inlineStr">
        <is>
          <t>가정변경-사업비</t>
        </is>
      </c>
      <c r="H524" s="93" t="n">
        <v>0</v>
      </c>
      <c r="I524" s="93" t="n">
        <v>0</v>
      </c>
      <c r="J524" s="93" t="n">
        <v>0</v>
      </c>
      <c r="L524" s="9">
        <f>IF($A524="","",VALUE($A524&amp;"")*12+VALUE($B524&amp;""))</f>
        <v/>
      </c>
      <c r="M524" s="94">
        <f>IF($A524="",0,$H524*설정!$C$23)</f>
        <v/>
      </c>
      <c r="N524" s="94">
        <f>IF($A524="",0,$I524*설정!$C$23)</f>
        <v/>
      </c>
      <c r="O524" s="94">
        <f>IF($A524="",0,$J524*설정!$C$23)</f>
        <v/>
      </c>
      <c r="P524" s="64">
        <f>IF($A524="","",IFERROR(INDEX(입력옵션!$C$58:$C$68,MATCH($F524&amp;"",입력옵션!$E$58:$E$68,0)),IFERROR(INDEX(입력옵션!$C$58:$C$68,MATCH($G524&amp;"",입력옵션!$F$58:$F$68,0)),$F524&amp;"")))</f>
        <v/>
      </c>
    </row>
    <row r="525">
      <c r="A525" s="92" t="n">
        <v>2025</v>
      </c>
      <c r="B525" s="92" t="n">
        <v>12</v>
      </c>
      <c r="C525" s="92" t="inlineStr">
        <is>
          <t>PF04</t>
        </is>
      </c>
      <c r="D525" s="92" t="inlineStr">
        <is>
          <t>변액</t>
        </is>
      </c>
      <c r="E525" s="92" t="inlineStr">
        <is>
          <t>VFA</t>
        </is>
      </c>
      <c r="F525" s="92" t="inlineStr">
        <is>
          <t>F22</t>
        </is>
      </c>
      <c r="G525" s="92" t="inlineStr">
        <is>
          <t>가정변경-기타</t>
        </is>
      </c>
      <c r="H525" s="93" t="n">
        <v>0</v>
      </c>
      <c r="I525" s="93" t="n">
        <v>0</v>
      </c>
      <c r="J525" s="93" t="n">
        <v>0</v>
      </c>
      <c r="L525" s="9">
        <f>IF($A525="","",VALUE($A525&amp;"")*12+VALUE($B525&amp;""))</f>
        <v/>
      </c>
      <c r="M525" s="94">
        <f>IF($A525="",0,$H525*설정!$C$23)</f>
        <v/>
      </c>
      <c r="N525" s="94">
        <f>IF($A525="",0,$I525*설정!$C$23)</f>
        <v/>
      </c>
      <c r="O525" s="94">
        <f>IF($A525="",0,$J525*설정!$C$23)</f>
        <v/>
      </c>
      <c r="P525" s="64">
        <f>IF($A525="","",IFERROR(INDEX(입력옵션!$C$58:$C$68,MATCH($F525&amp;"",입력옵션!$E$58:$E$68,0)),IFERROR(INDEX(입력옵션!$C$58:$C$68,MATCH($G525&amp;"",입력옵션!$F$58:$F$68,0)),$F525&amp;"")))</f>
        <v/>
      </c>
    </row>
    <row r="526">
      <c r="A526" s="92" t="n">
        <v>2025</v>
      </c>
      <c r="B526" s="92" t="n">
        <v>12</v>
      </c>
      <c r="C526" s="92" t="inlineStr">
        <is>
          <t>PF04</t>
        </is>
      </c>
      <c r="D526" s="92" t="inlineStr">
        <is>
          <t>변액</t>
        </is>
      </c>
      <c r="E526" s="92" t="inlineStr">
        <is>
          <t>VFA</t>
        </is>
      </c>
      <c r="F526" s="92" t="inlineStr">
        <is>
          <t>F31</t>
        </is>
      </c>
      <c r="G526" s="92" t="inlineStr">
        <is>
          <t>경험조정-취득현금흐름</t>
        </is>
      </c>
      <c r="H526" s="93" t="n">
        <v>0</v>
      </c>
      <c r="I526" s="93" t="n">
        <v>0</v>
      </c>
      <c r="J526" s="93" t="n">
        <v>629000</v>
      </c>
      <c r="L526" s="9">
        <f>IF($A526="","",VALUE($A526&amp;"")*12+VALUE($B526&amp;""))</f>
        <v/>
      </c>
      <c r="M526" s="94">
        <f>IF($A526="",0,$H526*설정!$C$23)</f>
        <v/>
      </c>
      <c r="N526" s="94">
        <f>IF($A526="",0,$I526*설정!$C$23)</f>
        <v/>
      </c>
      <c r="O526" s="94">
        <f>IF($A526="",0,$J526*설정!$C$23)</f>
        <v/>
      </c>
      <c r="P526" s="64">
        <f>IF($A526="","",IFERROR(INDEX(입력옵션!$C$58:$C$68,MATCH($F526&amp;"",입력옵션!$E$58:$E$68,0)),IFERROR(INDEX(입력옵션!$C$58:$C$68,MATCH($G526&amp;"",입력옵션!$F$58:$F$68,0)),$F526&amp;"")))</f>
        <v/>
      </c>
    </row>
    <row r="527">
      <c r="A527" s="92" t="n">
        <v>2025</v>
      </c>
      <c r="B527" s="92" t="n">
        <v>12</v>
      </c>
      <c r="C527" s="92" t="inlineStr">
        <is>
          <t>PF04</t>
        </is>
      </c>
      <c r="D527" s="92" t="inlineStr">
        <is>
          <t>변액</t>
        </is>
      </c>
      <c r="E527" s="92" t="inlineStr">
        <is>
          <t>VFA</t>
        </is>
      </c>
      <c r="F527" s="92" t="inlineStr">
        <is>
          <t>F32</t>
        </is>
      </c>
      <c r="G527" s="92" t="inlineStr">
        <is>
          <t>경험조정-보험료 등</t>
        </is>
      </c>
      <c r="H527" s="93" t="n">
        <v>0</v>
      </c>
      <c r="I527" s="93" t="n">
        <v>0</v>
      </c>
      <c r="J527" s="93" t="n">
        <v>-103281000</v>
      </c>
      <c r="L527" s="9">
        <f>IF($A527="","",VALUE($A527&amp;"")*12+VALUE($B527&amp;""))</f>
        <v/>
      </c>
      <c r="M527" s="94">
        <f>IF($A527="",0,$H527*설정!$C$23)</f>
        <v/>
      </c>
      <c r="N527" s="94">
        <f>IF($A527="",0,$I527*설정!$C$23)</f>
        <v/>
      </c>
      <c r="O527" s="94">
        <f>IF($A527="",0,$J527*설정!$C$23)</f>
        <v/>
      </c>
      <c r="P527" s="64">
        <f>IF($A527="","",IFERROR(INDEX(입력옵션!$C$58:$C$68,MATCH($F527&amp;"",입력옵션!$E$58:$E$68,0)),IFERROR(INDEX(입력옵션!$C$58:$C$68,MATCH($G527&amp;"",입력옵션!$F$58:$F$68,0)),$F527&amp;"")))</f>
        <v/>
      </c>
    </row>
    <row r="528">
      <c r="A528" s="92" t="n">
        <v>2025</v>
      </c>
      <c r="B528" s="92" t="n">
        <v>12</v>
      </c>
      <c r="C528" s="92" t="inlineStr">
        <is>
          <t>PF04</t>
        </is>
      </c>
      <c r="D528" s="92" t="inlineStr">
        <is>
          <t>변액</t>
        </is>
      </c>
      <c r="E528" s="92" t="inlineStr">
        <is>
          <t>VFA</t>
        </is>
      </c>
      <c r="F528" s="92" t="inlineStr">
        <is>
          <t>F40</t>
        </is>
      </c>
      <c r="G528" s="92" t="inlineStr">
        <is>
          <t>보험금융비용(이자부리)</t>
        </is>
      </c>
      <c r="H528" s="93" t="n">
        <v>797937000</v>
      </c>
      <c r="I528" s="93" t="n">
        <v>31143000</v>
      </c>
      <c r="J528" s="93" t="n">
        <v>128351000</v>
      </c>
      <c r="L528" s="9">
        <f>IF($A528="","",VALUE($A528&amp;"")*12+VALUE($B528&amp;""))</f>
        <v/>
      </c>
      <c r="M528" s="94">
        <f>IF($A528="",0,$H528*설정!$C$23)</f>
        <v/>
      </c>
      <c r="N528" s="94">
        <f>IF($A528="",0,$I528*설정!$C$23)</f>
        <v/>
      </c>
      <c r="O528" s="94">
        <f>IF($A528="",0,$J528*설정!$C$23)</f>
        <v/>
      </c>
      <c r="P528" s="64">
        <f>IF($A528="","",IFERROR(INDEX(입력옵션!$C$58:$C$68,MATCH($F528&amp;"",입력옵션!$E$58:$E$68,0)),IFERROR(INDEX(입력옵션!$C$58:$C$68,MATCH($G528&amp;"",입력옵션!$F$58:$F$68,0)),$F528&amp;"")))</f>
        <v/>
      </c>
    </row>
    <row r="529">
      <c r="A529" s="92" t="n">
        <v>2025</v>
      </c>
      <c r="B529" s="92" t="n">
        <v>12</v>
      </c>
      <c r="C529" s="92" t="inlineStr">
        <is>
          <t>PF04</t>
        </is>
      </c>
      <c r="D529" s="92" t="inlineStr">
        <is>
          <t>변액</t>
        </is>
      </c>
      <c r="E529" s="92" t="inlineStr">
        <is>
          <t>VFA</t>
        </is>
      </c>
      <c r="F529" s="92" t="inlineStr">
        <is>
          <t>F51</t>
        </is>
      </c>
      <c r="G529" s="92" t="inlineStr">
        <is>
          <t>CSM 상각</t>
        </is>
      </c>
      <c r="H529" s="93" t="n">
        <v>0</v>
      </c>
      <c r="I529" s="93" t="n">
        <v>0</v>
      </c>
      <c r="J529" s="93" t="n">
        <v>-462063000</v>
      </c>
      <c r="L529" s="9">
        <f>IF($A529="","",VALUE($A529&amp;"")*12+VALUE($B529&amp;""))</f>
        <v/>
      </c>
      <c r="M529" s="94">
        <f>IF($A529="",0,$H529*설정!$C$23)</f>
        <v/>
      </c>
      <c r="N529" s="94">
        <f>IF($A529="",0,$I529*설정!$C$23)</f>
        <v/>
      </c>
      <c r="O529" s="94">
        <f>IF($A529="",0,$J529*설정!$C$23)</f>
        <v/>
      </c>
      <c r="P529" s="64">
        <f>IF($A529="","",IFERROR(INDEX(입력옵션!$C$58:$C$68,MATCH($F529&amp;"",입력옵션!$E$58:$E$68,0)),IFERROR(INDEX(입력옵션!$C$58:$C$68,MATCH($G529&amp;"",입력옵션!$F$58:$F$68,0)),$F529&amp;"")))</f>
        <v/>
      </c>
    </row>
    <row r="530">
      <c r="A530" s="92" t="n">
        <v>2025</v>
      </c>
      <c r="B530" s="92" t="n">
        <v>12</v>
      </c>
      <c r="C530" s="92" t="inlineStr">
        <is>
          <t>PF04</t>
        </is>
      </c>
      <c r="D530" s="92" t="inlineStr">
        <is>
          <t>변액</t>
        </is>
      </c>
      <c r="E530" s="92" t="inlineStr">
        <is>
          <t>VFA</t>
        </is>
      </c>
      <c r="F530" s="92" t="inlineStr">
        <is>
          <t>F52</t>
        </is>
      </c>
      <c r="G530" s="92" t="inlineStr">
        <is>
          <t>RA 해제</t>
        </is>
      </c>
      <c r="H530" s="93" t="n">
        <v>0</v>
      </c>
      <c r="I530" s="93" t="n">
        <v>-93429000</v>
      </c>
      <c r="J530" s="93" t="n">
        <v>0</v>
      </c>
      <c r="L530" s="9">
        <f>IF($A530="","",VALUE($A530&amp;"")*12+VALUE($B530&amp;""))</f>
        <v/>
      </c>
      <c r="M530" s="94">
        <f>IF($A530="",0,$H530*설정!$C$23)</f>
        <v/>
      </c>
      <c r="N530" s="94">
        <f>IF($A530="",0,$I530*설정!$C$23)</f>
        <v/>
      </c>
      <c r="O530" s="94">
        <f>IF($A530="",0,$J530*설정!$C$23)</f>
        <v/>
      </c>
      <c r="P530" s="64">
        <f>IF($A530="","",IFERROR(INDEX(입력옵션!$C$58:$C$68,MATCH($F530&amp;"",입력옵션!$E$58:$E$68,0)),IFERROR(INDEX(입력옵션!$C$58:$C$68,MATCH($G530&amp;"",입력옵션!$F$58:$F$68,0)),$F530&amp;"")))</f>
        <v/>
      </c>
    </row>
    <row r="531">
      <c r="A531" s="92" t="n">
        <v>2025</v>
      </c>
      <c r="B531" s="92" t="n">
        <v>12</v>
      </c>
      <c r="C531" s="92" t="inlineStr">
        <is>
          <t>PF04</t>
        </is>
      </c>
      <c r="D531" s="92" t="inlineStr">
        <is>
          <t>변액</t>
        </is>
      </c>
      <c r="E531" s="92" t="inlineStr">
        <is>
          <t>VFA</t>
        </is>
      </c>
      <c r="F531" s="92" t="inlineStr">
        <is>
          <t>F60</t>
        </is>
      </c>
      <c r="G531" s="92" t="inlineStr">
        <is>
          <t>현금흐름 및 기타</t>
        </is>
      </c>
      <c r="H531" s="93" t="n">
        <v>-1078377000</v>
      </c>
      <c r="I531" s="93" t="n">
        <v>171901000</v>
      </c>
      <c r="J531" s="93" t="n">
        <v>0</v>
      </c>
      <c r="L531" s="9">
        <f>IF($A531="","",VALUE($A531&amp;"")*12+VALUE($B531&amp;""))</f>
        <v/>
      </c>
      <c r="M531" s="94">
        <f>IF($A531="",0,$H531*설정!$C$23)</f>
        <v/>
      </c>
      <c r="N531" s="94">
        <f>IF($A531="",0,$I531*설정!$C$23)</f>
        <v/>
      </c>
      <c r="O531" s="94">
        <f>IF($A531="",0,$J531*설정!$C$23)</f>
        <v/>
      </c>
      <c r="P531" s="64">
        <f>IF($A531="","",IFERROR(INDEX(입력옵션!$C$58:$C$68,MATCH($F531&amp;"",입력옵션!$E$58:$E$68,0)),IFERROR(INDEX(입력옵션!$C$58:$C$68,MATCH($G531&amp;"",입력옵션!$F$58:$F$68,0)),$F531&amp;"")))</f>
        <v/>
      </c>
    </row>
    <row r="532">
      <c r="A532" s="92" t="n">
        <v>2025</v>
      </c>
      <c r="B532" s="92" t="n">
        <v>12</v>
      </c>
      <c r="C532" s="92" t="inlineStr">
        <is>
          <t>PF04</t>
        </is>
      </c>
      <c r="D532" s="92" t="inlineStr">
        <is>
          <t>변액</t>
        </is>
      </c>
      <c r="E532" s="92" t="inlineStr">
        <is>
          <t>VFA</t>
        </is>
      </c>
      <c r="F532" s="92" t="inlineStr">
        <is>
          <t>F99</t>
        </is>
      </c>
      <c r="G532" s="92" t="inlineStr">
        <is>
          <t>기말잔액</t>
        </is>
      </c>
      <c r="H532" s="93" t="n">
        <v>318261375000</v>
      </c>
      <c r="I532" s="93" t="n">
        <v>15807662000</v>
      </c>
      <c r="J532" s="93" t="n">
        <v>51410327000</v>
      </c>
      <c r="L532" s="9">
        <f>IF($A532="","",VALUE($A532&amp;"")*12+VALUE($B532&amp;""))</f>
        <v/>
      </c>
      <c r="M532" s="94">
        <f>IF($A532="",0,$H532*설정!$C$23)</f>
        <v/>
      </c>
      <c r="N532" s="94">
        <f>IF($A532="",0,$I532*설정!$C$23)</f>
        <v/>
      </c>
      <c r="O532" s="94">
        <f>IF($A532="",0,$J532*설정!$C$23)</f>
        <v/>
      </c>
      <c r="P532" s="64">
        <f>IF($A532="","",IFERROR(INDEX(입력옵션!$C$58:$C$68,MATCH($F532&amp;"",입력옵션!$E$58:$E$68,0)),IFERROR(INDEX(입력옵션!$C$58:$C$68,MATCH($G532&amp;"",입력옵션!$F$58:$F$68,0)),$F532&amp;"")))</f>
        <v/>
      </c>
    </row>
    <row r="533">
      <c r="A533" s="92" t="n">
        <v>2026</v>
      </c>
      <c r="B533" s="92" t="n">
        <v>1</v>
      </c>
      <c r="C533" s="92" t="inlineStr">
        <is>
          <t>PF01</t>
        </is>
      </c>
      <c r="D533" s="92" t="inlineStr">
        <is>
          <t>보장성</t>
        </is>
      </c>
      <c r="E533" s="92" t="inlineStr">
        <is>
          <t>GMM</t>
        </is>
      </c>
      <c r="F533" s="92" t="inlineStr">
        <is>
          <t>F00</t>
        </is>
      </c>
      <c r="G533" s="92" t="inlineStr">
        <is>
          <t>기초잔액</t>
        </is>
      </c>
      <c r="H533" s="93" t="n">
        <v>1060871250000</v>
      </c>
      <c r="I533" s="93" t="n">
        <v>72958440000</v>
      </c>
      <c r="J533" s="93" t="n">
        <v>245129371000</v>
      </c>
      <c r="L533" s="9">
        <f>IF($A533="","",VALUE($A533&amp;"")*12+VALUE($B533&amp;""))</f>
        <v/>
      </c>
      <c r="M533" s="94">
        <f>IF($A533="",0,$H533*설정!$C$23)</f>
        <v/>
      </c>
      <c r="N533" s="94">
        <f>IF($A533="",0,$I533*설정!$C$23)</f>
        <v/>
      </c>
      <c r="O533" s="94">
        <f>IF($A533="",0,$J533*설정!$C$23)</f>
        <v/>
      </c>
      <c r="P533" s="64">
        <f>IF($A533="","",IFERROR(INDEX(입력옵션!$C$58:$C$68,MATCH($F533&amp;"",입력옵션!$E$58:$E$68,0)),IFERROR(INDEX(입력옵션!$C$58:$C$68,MATCH($G533&amp;"",입력옵션!$F$58:$F$68,0)),$F533&amp;"")))</f>
        <v/>
      </c>
    </row>
    <row r="534">
      <c r="A534" s="92" t="n">
        <v>2026</v>
      </c>
      <c r="B534" s="92" t="n">
        <v>1</v>
      </c>
      <c r="C534" s="92" t="inlineStr">
        <is>
          <t>PF01</t>
        </is>
      </c>
      <c r="D534" s="92" t="inlineStr">
        <is>
          <t>보장성</t>
        </is>
      </c>
      <c r="E534" s="92" t="inlineStr">
        <is>
          <t>GMM</t>
        </is>
      </c>
      <c r="F534" s="92" t="inlineStr">
        <is>
          <t>F10</t>
        </is>
      </c>
      <c r="G534" s="92" t="inlineStr">
        <is>
          <t>신계약 효과</t>
        </is>
      </c>
      <c r="H534" s="93" t="n">
        <v>-3210133000</v>
      </c>
      <c r="I534" s="93" t="n">
        <v>642027000</v>
      </c>
      <c r="J534" s="93" t="n">
        <v>2568107000</v>
      </c>
      <c r="L534" s="9">
        <f>IF($A534="","",VALUE($A534&amp;"")*12+VALUE($B534&amp;""))</f>
        <v/>
      </c>
      <c r="M534" s="94">
        <f>IF($A534="",0,$H534*설정!$C$23)</f>
        <v/>
      </c>
      <c r="N534" s="94">
        <f>IF($A534="",0,$I534*설정!$C$23)</f>
        <v/>
      </c>
      <c r="O534" s="94">
        <f>IF($A534="",0,$J534*설정!$C$23)</f>
        <v/>
      </c>
      <c r="P534" s="64">
        <f>IF($A534="","",IFERROR(INDEX(입력옵션!$C$58:$C$68,MATCH($F534&amp;"",입력옵션!$E$58:$E$68,0)),IFERROR(INDEX(입력옵션!$C$58:$C$68,MATCH($G534&amp;"",입력옵션!$F$58:$F$68,0)),$F534&amp;"")))</f>
        <v/>
      </c>
    </row>
    <row r="535">
      <c r="A535" s="92" t="n">
        <v>2026</v>
      </c>
      <c r="B535" s="92" t="n">
        <v>1</v>
      </c>
      <c r="C535" s="92" t="inlineStr">
        <is>
          <t>PF01</t>
        </is>
      </c>
      <c r="D535" s="92" t="inlineStr">
        <is>
          <t>보장성</t>
        </is>
      </c>
      <c r="E535" s="92" t="inlineStr">
        <is>
          <t>GMM</t>
        </is>
      </c>
      <c r="F535" s="92" t="inlineStr">
        <is>
          <t>F21</t>
        </is>
      </c>
      <c r="G535" s="92" t="inlineStr">
        <is>
          <t>가정변경-사업비</t>
        </is>
      </c>
      <c r="H535" s="93" t="n">
        <v>0</v>
      </c>
      <c r="I535" s="93" t="n">
        <v>0</v>
      </c>
      <c r="J535" s="93" t="n">
        <v>0</v>
      </c>
      <c r="L535" s="9">
        <f>IF($A535="","",VALUE($A535&amp;"")*12+VALUE($B535&amp;""))</f>
        <v/>
      </c>
      <c r="M535" s="94">
        <f>IF($A535="",0,$H535*설정!$C$23)</f>
        <v/>
      </c>
      <c r="N535" s="94">
        <f>IF($A535="",0,$I535*설정!$C$23)</f>
        <v/>
      </c>
      <c r="O535" s="94">
        <f>IF($A535="",0,$J535*설정!$C$23)</f>
        <v/>
      </c>
      <c r="P535" s="64">
        <f>IF($A535="","",IFERROR(INDEX(입력옵션!$C$58:$C$68,MATCH($F535&amp;"",입력옵션!$E$58:$E$68,0)),IFERROR(INDEX(입력옵션!$C$58:$C$68,MATCH($G535&amp;"",입력옵션!$F$58:$F$68,0)),$F535&amp;"")))</f>
        <v/>
      </c>
    </row>
    <row r="536">
      <c r="A536" s="92" t="n">
        <v>2026</v>
      </c>
      <c r="B536" s="92" t="n">
        <v>1</v>
      </c>
      <c r="C536" s="92" t="inlineStr">
        <is>
          <t>PF01</t>
        </is>
      </c>
      <c r="D536" s="92" t="inlineStr">
        <is>
          <t>보장성</t>
        </is>
      </c>
      <c r="E536" s="92" t="inlineStr">
        <is>
          <t>GMM</t>
        </is>
      </c>
      <c r="F536" s="92" t="inlineStr">
        <is>
          <t>F22</t>
        </is>
      </c>
      <c r="G536" s="92" t="inlineStr">
        <is>
          <t>가정변경-기타</t>
        </is>
      </c>
      <c r="H536" s="93" t="n">
        <v>0</v>
      </c>
      <c r="I536" s="93" t="n">
        <v>0</v>
      </c>
      <c r="J536" s="93" t="n">
        <v>0</v>
      </c>
      <c r="L536" s="9">
        <f>IF($A536="","",VALUE($A536&amp;"")*12+VALUE($B536&amp;""))</f>
        <v/>
      </c>
      <c r="M536" s="94">
        <f>IF($A536="",0,$H536*설정!$C$23)</f>
        <v/>
      </c>
      <c r="N536" s="94">
        <f>IF($A536="",0,$I536*설정!$C$23)</f>
        <v/>
      </c>
      <c r="O536" s="94">
        <f>IF($A536="",0,$J536*설정!$C$23)</f>
        <v/>
      </c>
      <c r="P536" s="64">
        <f>IF($A536="","",IFERROR(INDEX(입력옵션!$C$58:$C$68,MATCH($F536&amp;"",입력옵션!$E$58:$E$68,0)),IFERROR(INDEX(입력옵션!$C$58:$C$68,MATCH($G536&amp;"",입력옵션!$F$58:$F$68,0)),$F536&amp;"")))</f>
        <v/>
      </c>
    </row>
    <row r="537">
      <c r="A537" s="92" t="n">
        <v>2026</v>
      </c>
      <c r="B537" s="92" t="n">
        <v>1</v>
      </c>
      <c r="C537" s="92" t="inlineStr">
        <is>
          <t>PF01</t>
        </is>
      </c>
      <c r="D537" s="92" t="inlineStr">
        <is>
          <t>보장성</t>
        </is>
      </c>
      <c r="E537" s="92" t="inlineStr">
        <is>
          <t>GMM</t>
        </is>
      </c>
      <c r="F537" s="92" t="inlineStr">
        <is>
          <t>F31</t>
        </is>
      </c>
      <c r="G537" s="92" t="inlineStr">
        <is>
          <t>경험조정-취득현금흐름</t>
        </is>
      </c>
      <c r="H537" s="93" t="n">
        <v>0</v>
      </c>
      <c r="I537" s="93" t="n">
        <v>0</v>
      </c>
      <c r="J537" s="93" t="n">
        <v>-41794000</v>
      </c>
      <c r="L537" s="9">
        <f>IF($A537="","",VALUE($A537&amp;"")*12+VALUE($B537&amp;""))</f>
        <v/>
      </c>
      <c r="M537" s="94">
        <f>IF($A537="",0,$H537*설정!$C$23)</f>
        <v/>
      </c>
      <c r="N537" s="94">
        <f>IF($A537="",0,$I537*설정!$C$23)</f>
        <v/>
      </c>
      <c r="O537" s="94">
        <f>IF($A537="",0,$J537*설정!$C$23)</f>
        <v/>
      </c>
      <c r="P537" s="64">
        <f>IF($A537="","",IFERROR(INDEX(입력옵션!$C$58:$C$68,MATCH($F537&amp;"",입력옵션!$E$58:$E$68,0)),IFERROR(INDEX(입력옵션!$C$58:$C$68,MATCH($G537&amp;"",입력옵션!$F$58:$F$68,0)),$F537&amp;"")))</f>
        <v/>
      </c>
    </row>
    <row r="538">
      <c r="A538" s="92" t="n">
        <v>2026</v>
      </c>
      <c r="B538" s="92" t="n">
        <v>1</v>
      </c>
      <c r="C538" s="92" t="inlineStr">
        <is>
          <t>PF01</t>
        </is>
      </c>
      <c r="D538" s="92" t="inlineStr">
        <is>
          <t>보장성</t>
        </is>
      </c>
      <c r="E538" s="92" t="inlineStr">
        <is>
          <t>GMM</t>
        </is>
      </c>
      <c r="F538" s="92" t="inlineStr">
        <is>
          <t>F32</t>
        </is>
      </c>
      <c r="G538" s="92" t="inlineStr">
        <is>
          <t>경험조정-보험료 등</t>
        </is>
      </c>
      <c r="H538" s="93" t="n">
        <v>0</v>
      </c>
      <c r="I538" s="93" t="n">
        <v>0</v>
      </c>
      <c r="J538" s="93" t="n">
        <v>-69385000</v>
      </c>
      <c r="L538" s="9">
        <f>IF($A538="","",VALUE($A538&amp;"")*12+VALUE($B538&amp;""))</f>
        <v/>
      </c>
      <c r="M538" s="94">
        <f>IF($A538="",0,$H538*설정!$C$23)</f>
        <v/>
      </c>
      <c r="N538" s="94">
        <f>IF($A538="",0,$I538*설정!$C$23)</f>
        <v/>
      </c>
      <c r="O538" s="94">
        <f>IF($A538="",0,$J538*설정!$C$23)</f>
        <v/>
      </c>
      <c r="P538" s="64">
        <f>IF($A538="","",IFERROR(INDEX(입력옵션!$C$58:$C$68,MATCH($F538&amp;"",입력옵션!$E$58:$E$68,0)),IFERROR(INDEX(입력옵션!$C$58:$C$68,MATCH($G538&amp;"",입력옵션!$F$58:$F$68,0)),$F538&amp;"")))</f>
        <v/>
      </c>
    </row>
    <row r="539">
      <c r="A539" s="92" t="n">
        <v>2026</v>
      </c>
      <c r="B539" s="92" t="n">
        <v>1</v>
      </c>
      <c r="C539" s="92" t="inlineStr">
        <is>
          <t>PF01</t>
        </is>
      </c>
      <c r="D539" s="92" t="inlineStr">
        <is>
          <t>보장성</t>
        </is>
      </c>
      <c r="E539" s="92" t="inlineStr">
        <is>
          <t>GMM</t>
        </is>
      </c>
      <c r="F539" s="92" t="inlineStr">
        <is>
          <t>F40</t>
        </is>
      </c>
      <c r="G539" s="92" t="inlineStr">
        <is>
          <t>보험금융비용(이자부리)</t>
        </is>
      </c>
      <c r="H539" s="93" t="n">
        <v>2652178000</v>
      </c>
      <c r="I539" s="93" t="n">
        <v>145917000</v>
      </c>
      <c r="J539" s="93" t="n">
        <v>612823000</v>
      </c>
      <c r="L539" s="9">
        <f>IF($A539="","",VALUE($A539&amp;"")*12+VALUE($B539&amp;""))</f>
        <v/>
      </c>
      <c r="M539" s="94">
        <f>IF($A539="",0,$H539*설정!$C$23)</f>
        <v/>
      </c>
      <c r="N539" s="94">
        <f>IF($A539="",0,$I539*설정!$C$23)</f>
        <v/>
      </c>
      <c r="O539" s="94">
        <f>IF($A539="",0,$J539*설정!$C$23)</f>
        <v/>
      </c>
      <c r="P539" s="64">
        <f>IF($A539="","",IFERROR(INDEX(입력옵션!$C$58:$C$68,MATCH($F539&amp;"",입력옵션!$E$58:$E$68,0)),IFERROR(INDEX(입력옵션!$C$58:$C$68,MATCH($G539&amp;"",입력옵션!$F$58:$F$68,0)),$F539&amp;"")))</f>
        <v/>
      </c>
    </row>
    <row r="540">
      <c r="A540" s="92" t="n">
        <v>2026</v>
      </c>
      <c r="B540" s="92" t="n">
        <v>1</v>
      </c>
      <c r="C540" s="92" t="inlineStr">
        <is>
          <t>PF01</t>
        </is>
      </c>
      <c r="D540" s="92" t="inlineStr">
        <is>
          <t>보장성</t>
        </is>
      </c>
      <c r="E540" s="92" t="inlineStr">
        <is>
          <t>GMM</t>
        </is>
      </c>
      <c r="F540" s="92" t="inlineStr">
        <is>
          <t>F51</t>
        </is>
      </c>
      <c r="G540" s="92" t="inlineStr">
        <is>
          <t>CSM 상각</t>
        </is>
      </c>
      <c r="H540" s="93" t="n">
        <v>0</v>
      </c>
      <c r="I540" s="93" t="n">
        <v>0</v>
      </c>
      <c r="J540" s="93" t="n">
        <v>-2206164000</v>
      </c>
      <c r="L540" s="9">
        <f>IF($A540="","",VALUE($A540&amp;"")*12+VALUE($B540&amp;""))</f>
        <v/>
      </c>
      <c r="M540" s="94">
        <f>IF($A540="",0,$H540*설정!$C$23)</f>
        <v/>
      </c>
      <c r="N540" s="94">
        <f>IF($A540="",0,$I540*설정!$C$23)</f>
        <v/>
      </c>
      <c r="O540" s="94">
        <f>IF($A540="",0,$J540*설정!$C$23)</f>
        <v/>
      </c>
      <c r="P540" s="64">
        <f>IF($A540="","",IFERROR(INDEX(입력옵션!$C$58:$C$68,MATCH($F540&amp;"",입력옵션!$E$58:$E$68,0)),IFERROR(INDEX(입력옵션!$C$58:$C$68,MATCH($G540&amp;"",입력옵션!$F$58:$F$68,0)),$F540&amp;"")))</f>
        <v/>
      </c>
    </row>
    <row r="541">
      <c r="A541" s="92" t="n">
        <v>2026</v>
      </c>
      <c r="B541" s="92" t="n">
        <v>1</v>
      </c>
      <c r="C541" s="92" t="inlineStr">
        <is>
          <t>PF01</t>
        </is>
      </c>
      <c r="D541" s="92" t="inlineStr">
        <is>
          <t>보장성</t>
        </is>
      </c>
      <c r="E541" s="92" t="inlineStr">
        <is>
          <t>GMM</t>
        </is>
      </c>
      <c r="F541" s="92" t="inlineStr">
        <is>
          <t>F52</t>
        </is>
      </c>
      <c r="G541" s="92" t="inlineStr">
        <is>
          <t>RA 해제</t>
        </is>
      </c>
      <c r="H541" s="93" t="n">
        <v>0</v>
      </c>
      <c r="I541" s="93" t="n">
        <v>-437751000</v>
      </c>
      <c r="J541" s="93" t="n">
        <v>0</v>
      </c>
      <c r="L541" s="9">
        <f>IF($A541="","",VALUE($A541&amp;"")*12+VALUE($B541&amp;""))</f>
        <v/>
      </c>
      <c r="M541" s="94">
        <f>IF($A541="",0,$H541*설정!$C$23)</f>
        <v/>
      </c>
      <c r="N541" s="94">
        <f>IF($A541="",0,$I541*설정!$C$23)</f>
        <v/>
      </c>
      <c r="O541" s="94">
        <f>IF($A541="",0,$J541*설정!$C$23)</f>
        <v/>
      </c>
      <c r="P541" s="64">
        <f>IF($A541="","",IFERROR(INDEX(입력옵션!$C$58:$C$68,MATCH($F541&amp;"",입력옵션!$E$58:$E$68,0)),IFERROR(INDEX(입력옵션!$C$58:$C$68,MATCH($G541&amp;"",입력옵션!$F$58:$F$68,0)),$F541&amp;"")))</f>
        <v/>
      </c>
    </row>
    <row r="542">
      <c r="A542" s="92" t="n">
        <v>2026</v>
      </c>
      <c r="B542" s="92" t="n">
        <v>1</v>
      </c>
      <c r="C542" s="92" t="inlineStr">
        <is>
          <t>PF01</t>
        </is>
      </c>
      <c r="D542" s="92" t="inlineStr">
        <is>
          <t>보장성</t>
        </is>
      </c>
      <c r="E542" s="92" t="inlineStr">
        <is>
          <t>GMM</t>
        </is>
      </c>
      <c r="F542" s="92" t="inlineStr">
        <is>
          <t>F60</t>
        </is>
      </c>
      <c r="G542" s="92" t="inlineStr">
        <is>
          <t>현금흐름 및 기타</t>
        </is>
      </c>
      <c r="H542" s="93" t="n">
        <v>8517655000</v>
      </c>
      <c r="I542" s="93" t="n">
        <v>-1060473000</v>
      </c>
      <c r="J542" s="93" t="n">
        <v>0</v>
      </c>
      <c r="L542" s="9">
        <f>IF($A542="","",VALUE($A542&amp;"")*12+VALUE($B542&amp;""))</f>
        <v/>
      </c>
      <c r="M542" s="94">
        <f>IF($A542="",0,$H542*설정!$C$23)</f>
        <v/>
      </c>
      <c r="N542" s="94">
        <f>IF($A542="",0,$I542*설정!$C$23)</f>
        <v/>
      </c>
      <c r="O542" s="94">
        <f>IF($A542="",0,$J542*설정!$C$23)</f>
        <v/>
      </c>
      <c r="P542" s="64">
        <f>IF($A542="","",IFERROR(INDEX(입력옵션!$C$58:$C$68,MATCH($F542&amp;"",입력옵션!$E$58:$E$68,0)),IFERROR(INDEX(입력옵션!$C$58:$C$68,MATCH($G542&amp;"",입력옵션!$F$58:$F$68,0)),$F542&amp;"")))</f>
        <v/>
      </c>
    </row>
    <row r="543">
      <c r="A543" s="92" t="n">
        <v>2026</v>
      </c>
      <c r="B543" s="92" t="n">
        <v>1</v>
      </c>
      <c r="C543" s="92" t="inlineStr">
        <is>
          <t>PF01</t>
        </is>
      </c>
      <c r="D543" s="92" t="inlineStr">
        <is>
          <t>보장성</t>
        </is>
      </c>
      <c r="E543" s="92" t="inlineStr">
        <is>
          <t>GMM</t>
        </is>
      </c>
      <c r="F543" s="92" t="inlineStr">
        <is>
          <t>F99</t>
        </is>
      </c>
      <c r="G543" s="92" t="inlineStr">
        <is>
          <t>기말잔액</t>
        </is>
      </c>
      <c r="H543" s="93" t="n">
        <v>1068830950000</v>
      </c>
      <c r="I543" s="93" t="n">
        <v>72248160000</v>
      </c>
      <c r="J543" s="93" t="n">
        <v>245992957000</v>
      </c>
      <c r="L543" s="9">
        <f>IF($A543="","",VALUE($A543&amp;"")*12+VALUE($B543&amp;""))</f>
        <v/>
      </c>
      <c r="M543" s="94">
        <f>IF($A543="",0,$H543*설정!$C$23)</f>
        <v/>
      </c>
      <c r="N543" s="94">
        <f>IF($A543="",0,$I543*설정!$C$23)</f>
        <v/>
      </c>
      <c r="O543" s="94">
        <f>IF($A543="",0,$J543*설정!$C$23)</f>
        <v/>
      </c>
      <c r="P543" s="64">
        <f>IF($A543="","",IFERROR(INDEX(입력옵션!$C$58:$C$68,MATCH($F543&amp;"",입력옵션!$E$58:$E$68,0)),IFERROR(INDEX(입력옵션!$C$58:$C$68,MATCH($G543&amp;"",입력옵션!$F$58:$F$68,0)),$F543&amp;"")))</f>
        <v/>
      </c>
    </row>
    <row r="544">
      <c r="A544" s="92" t="n">
        <v>2026</v>
      </c>
      <c r="B544" s="92" t="n">
        <v>1</v>
      </c>
      <c r="C544" s="92" t="inlineStr">
        <is>
          <t>PF02</t>
        </is>
      </c>
      <c r="D544" s="92" t="inlineStr">
        <is>
          <t>저축성</t>
        </is>
      </c>
      <c r="E544" s="92" t="inlineStr">
        <is>
          <t>GMM</t>
        </is>
      </c>
      <c r="F544" s="92" t="inlineStr">
        <is>
          <t>F00</t>
        </is>
      </c>
      <c r="G544" s="92" t="inlineStr">
        <is>
          <t>기초잔액</t>
        </is>
      </c>
      <c r="H544" s="93" t="n">
        <v>700175025000</v>
      </c>
      <c r="I544" s="93" t="n">
        <v>30399350000</v>
      </c>
      <c r="J544" s="93" t="n">
        <v>98622960000</v>
      </c>
      <c r="L544" s="9">
        <f>IF($A544="","",VALUE($A544&amp;"")*12+VALUE($B544&amp;""))</f>
        <v/>
      </c>
      <c r="M544" s="94">
        <f>IF($A544="",0,$H544*설정!$C$23)</f>
        <v/>
      </c>
      <c r="N544" s="94">
        <f>IF($A544="",0,$I544*설정!$C$23)</f>
        <v/>
      </c>
      <c r="O544" s="94">
        <f>IF($A544="",0,$J544*설정!$C$23)</f>
        <v/>
      </c>
      <c r="P544" s="64">
        <f>IF($A544="","",IFERROR(INDEX(입력옵션!$C$58:$C$68,MATCH($F544&amp;"",입력옵션!$E$58:$E$68,0)),IFERROR(INDEX(입력옵션!$C$58:$C$68,MATCH($G544&amp;"",입력옵션!$F$58:$F$68,0)),$F544&amp;"")))</f>
        <v/>
      </c>
    </row>
    <row r="545">
      <c r="A545" s="92" t="n">
        <v>2026</v>
      </c>
      <c r="B545" s="92" t="n">
        <v>1</v>
      </c>
      <c r="C545" s="92" t="inlineStr">
        <is>
          <t>PF02</t>
        </is>
      </c>
      <c r="D545" s="92" t="inlineStr">
        <is>
          <t>저축성</t>
        </is>
      </c>
      <c r="E545" s="92" t="inlineStr">
        <is>
          <t>GMM</t>
        </is>
      </c>
      <c r="F545" s="92" t="inlineStr">
        <is>
          <t>F10</t>
        </is>
      </c>
      <c r="G545" s="92" t="inlineStr">
        <is>
          <t>신계약 효과</t>
        </is>
      </c>
      <c r="H545" s="93" t="n">
        <v>-1294409000</v>
      </c>
      <c r="I545" s="93" t="n">
        <v>258882000</v>
      </c>
      <c r="J545" s="93" t="n">
        <v>1035527000</v>
      </c>
      <c r="L545" s="9">
        <f>IF($A545="","",VALUE($A545&amp;"")*12+VALUE($B545&amp;""))</f>
        <v/>
      </c>
      <c r="M545" s="94">
        <f>IF($A545="",0,$H545*설정!$C$23)</f>
        <v/>
      </c>
      <c r="N545" s="94">
        <f>IF($A545="",0,$I545*설정!$C$23)</f>
        <v/>
      </c>
      <c r="O545" s="94">
        <f>IF($A545="",0,$J545*설정!$C$23)</f>
        <v/>
      </c>
      <c r="P545" s="64">
        <f>IF($A545="","",IFERROR(INDEX(입력옵션!$C$58:$C$68,MATCH($F545&amp;"",입력옵션!$E$58:$E$68,0)),IFERROR(INDEX(입력옵션!$C$58:$C$68,MATCH($G545&amp;"",입력옵션!$F$58:$F$68,0)),$F545&amp;"")))</f>
        <v/>
      </c>
    </row>
    <row r="546">
      <c r="A546" s="92" t="n">
        <v>2026</v>
      </c>
      <c r="B546" s="92" t="n">
        <v>1</v>
      </c>
      <c r="C546" s="92" t="inlineStr">
        <is>
          <t>PF02</t>
        </is>
      </c>
      <c r="D546" s="92" t="inlineStr">
        <is>
          <t>저축성</t>
        </is>
      </c>
      <c r="E546" s="92" t="inlineStr">
        <is>
          <t>GMM</t>
        </is>
      </c>
      <c r="F546" s="92" t="inlineStr">
        <is>
          <t>F21</t>
        </is>
      </c>
      <c r="G546" s="92" t="inlineStr">
        <is>
          <t>가정변경-사업비</t>
        </is>
      </c>
      <c r="H546" s="93" t="n">
        <v>0</v>
      </c>
      <c r="I546" s="93" t="n">
        <v>0</v>
      </c>
      <c r="J546" s="93" t="n">
        <v>0</v>
      </c>
      <c r="L546" s="9">
        <f>IF($A546="","",VALUE($A546&amp;"")*12+VALUE($B546&amp;""))</f>
        <v/>
      </c>
      <c r="M546" s="94">
        <f>IF($A546="",0,$H546*설정!$C$23)</f>
        <v/>
      </c>
      <c r="N546" s="94">
        <f>IF($A546="",0,$I546*설정!$C$23)</f>
        <v/>
      </c>
      <c r="O546" s="94">
        <f>IF($A546="",0,$J546*설정!$C$23)</f>
        <v/>
      </c>
      <c r="P546" s="64">
        <f>IF($A546="","",IFERROR(INDEX(입력옵션!$C$58:$C$68,MATCH($F546&amp;"",입력옵션!$E$58:$E$68,0)),IFERROR(INDEX(입력옵션!$C$58:$C$68,MATCH($G546&amp;"",입력옵션!$F$58:$F$68,0)),$F546&amp;"")))</f>
        <v/>
      </c>
    </row>
    <row r="547">
      <c r="A547" s="92" t="n">
        <v>2026</v>
      </c>
      <c r="B547" s="92" t="n">
        <v>1</v>
      </c>
      <c r="C547" s="92" t="inlineStr">
        <is>
          <t>PF02</t>
        </is>
      </c>
      <c r="D547" s="92" t="inlineStr">
        <is>
          <t>저축성</t>
        </is>
      </c>
      <c r="E547" s="92" t="inlineStr">
        <is>
          <t>GMM</t>
        </is>
      </c>
      <c r="F547" s="92" t="inlineStr">
        <is>
          <t>F22</t>
        </is>
      </c>
      <c r="G547" s="92" t="inlineStr">
        <is>
          <t>가정변경-기타</t>
        </is>
      </c>
      <c r="H547" s="93" t="n">
        <v>0</v>
      </c>
      <c r="I547" s="93" t="n">
        <v>0</v>
      </c>
      <c r="J547" s="93" t="n">
        <v>0</v>
      </c>
      <c r="L547" s="9">
        <f>IF($A547="","",VALUE($A547&amp;"")*12+VALUE($B547&amp;""))</f>
        <v/>
      </c>
      <c r="M547" s="94">
        <f>IF($A547="",0,$H547*설정!$C$23)</f>
        <v/>
      </c>
      <c r="N547" s="94">
        <f>IF($A547="",0,$I547*설정!$C$23)</f>
        <v/>
      </c>
      <c r="O547" s="94">
        <f>IF($A547="",0,$J547*설정!$C$23)</f>
        <v/>
      </c>
      <c r="P547" s="64">
        <f>IF($A547="","",IFERROR(INDEX(입력옵션!$C$58:$C$68,MATCH($F547&amp;"",입력옵션!$E$58:$E$68,0)),IFERROR(INDEX(입력옵션!$C$58:$C$68,MATCH($G547&amp;"",입력옵션!$F$58:$F$68,0)),$F547&amp;"")))</f>
        <v/>
      </c>
    </row>
    <row r="548">
      <c r="A548" s="92" t="n">
        <v>2026</v>
      </c>
      <c r="B548" s="92" t="n">
        <v>1</v>
      </c>
      <c r="C548" s="92" t="inlineStr">
        <is>
          <t>PF02</t>
        </is>
      </c>
      <c r="D548" s="92" t="inlineStr">
        <is>
          <t>저축성</t>
        </is>
      </c>
      <c r="E548" s="92" t="inlineStr">
        <is>
          <t>GMM</t>
        </is>
      </c>
      <c r="F548" s="92" t="inlineStr">
        <is>
          <t>F31</t>
        </is>
      </c>
      <c r="G548" s="92" t="inlineStr">
        <is>
          <t>경험조정-취득현금흐름</t>
        </is>
      </c>
      <c r="H548" s="93" t="n">
        <v>0</v>
      </c>
      <c r="I548" s="93" t="n">
        <v>0</v>
      </c>
      <c r="J548" s="93" t="n">
        <v>-12524000</v>
      </c>
      <c r="L548" s="9">
        <f>IF($A548="","",VALUE($A548&amp;"")*12+VALUE($B548&amp;""))</f>
        <v/>
      </c>
      <c r="M548" s="94">
        <f>IF($A548="",0,$H548*설정!$C$23)</f>
        <v/>
      </c>
      <c r="N548" s="94">
        <f>IF($A548="",0,$I548*설정!$C$23)</f>
        <v/>
      </c>
      <c r="O548" s="94">
        <f>IF($A548="",0,$J548*설정!$C$23)</f>
        <v/>
      </c>
      <c r="P548" s="64">
        <f>IF($A548="","",IFERROR(INDEX(입력옵션!$C$58:$C$68,MATCH($F548&amp;"",입력옵션!$E$58:$E$68,0)),IFERROR(INDEX(입력옵션!$C$58:$C$68,MATCH($G548&amp;"",입력옵션!$F$58:$F$68,0)),$F548&amp;"")))</f>
        <v/>
      </c>
    </row>
    <row r="549">
      <c r="A549" s="92" t="n">
        <v>2026</v>
      </c>
      <c r="B549" s="92" t="n">
        <v>1</v>
      </c>
      <c r="C549" s="92" t="inlineStr">
        <is>
          <t>PF02</t>
        </is>
      </c>
      <c r="D549" s="92" t="inlineStr">
        <is>
          <t>저축성</t>
        </is>
      </c>
      <c r="E549" s="92" t="inlineStr">
        <is>
          <t>GMM</t>
        </is>
      </c>
      <c r="F549" s="92" t="inlineStr">
        <is>
          <t>F32</t>
        </is>
      </c>
      <c r="G549" s="92" t="inlineStr">
        <is>
          <t>경험조정-보험료 등</t>
        </is>
      </c>
      <c r="H549" s="93" t="n">
        <v>0</v>
      </c>
      <c r="I549" s="93" t="n">
        <v>0</v>
      </c>
      <c r="J549" s="93" t="n">
        <v>-215233000</v>
      </c>
      <c r="L549" s="9">
        <f>IF($A549="","",VALUE($A549&amp;"")*12+VALUE($B549&amp;""))</f>
        <v/>
      </c>
      <c r="M549" s="94">
        <f>IF($A549="",0,$H549*설정!$C$23)</f>
        <v/>
      </c>
      <c r="N549" s="94">
        <f>IF($A549="",0,$I549*설정!$C$23)</f>
        <v/>
      </c>
      <c r="O549" s="94">
        <f>IF($A549="",0,$J549*설정!$C$23)</f>
        <v/>
      </c>
      <c r="P549" s="64">
        <f>IF($A549="","",IFERROR(INDEX(입력옵션!$C$58:$C$68,MATCH($F549&amp;"",입력옵션!$E$58:$E$68,0)),IFERROR(INDEX(입력옵션!$C$58:$C$68,MATCH($G549&amp;"",입력옵션!$F$58:$F$68,0)),$F549&amp;"")))</f>
        <v/>
      </c>
    </row>
    <row r="550">
      <c r="A550" s="92" t="n">
        <v>2026</v>
      </c>
      <c r="B550" s="92" t="n">
        <v>1</v>
      </c>
      <c r="C550" s="92" t="inlineStr">
        <is>
          <t>PF02</t>
        </is>
      </c>
      <c r="D550" s="92" t="inlineStr">
        <is>
          <t>저축성</t>
        </is>
      </c>
      <c r="E550" s="92" t="inlineStr">
        <is>
          <t>GMM</t>
        </is>
      </c>
      <c r="F550" s="92" t="inlineStr">
        <is>
          <t>F40</t>
        </is>
      </c>
      <c r="G550" s="92" t="inlineStr">
        <is>
          <t>보험금융비용(이자부리)</t>
        </is>
      </c>
      <c r="H550" s="93" t="n">
        <v>1750438000</v>
      </c>
      <c r="I550" s="93" t="n">
        <v>60799000</v>
      </c>
      <c r="J550" s="93" t="n">
        <v>246557000</v>
      </c>
      <c r="L550" s="9">
        <f>IF($A550="","",VALUE($A550&amp;"")*12+VALUE($B550&amp;""))</f>
        <v/>
      </c>
      <c r="M550" s="94">
        <f>IF($A550="",0,$H550*설정!$C$23)</f>
        <v/>
      </c>
      <c r="N550" s="94">
        <f>IF($A550="",0,$I550*설정!$C$23)</f>
        <v/>
      </c>
      <c r="O550" s="94">
        <f>IF($A550="",0,$J550*설정!$C$23)</f>
        <v/>
      </c>
      <c r="P550" s="64">
        <f>IF($A550="","",IFERROR(INDEX(입력옵션!$C$58:$C$68,MATCH($F550&amp;"",입력옵션!$E$58:$E$68,0)),IFERROR(INDEX(입력옵션!$C$58:$C$68,MATCH($G550&amp;"",입력옵션!$F$58:$F$68,0)),$F550&amp;"")))</f>
        <v/>
      </c>
    </row>
    <row r="551">
      <c r="A551" s="92" t="n">
        <v>2026</v>
      </c>
      <c r="B551" s="92" t="n">
        <v>1</v>
      </c>
      <c r="C551" s="92" t="inlineStr">
        <is>
          <t>PF02</t>
        </is>
      </c>
      <c r="D551" s="92" t="inlineStr">
        <is>
          <t>저축성</t>
        </is>
      </c>
      <c r="E551" s="92" t="inlineStr">
        <is>
          <t>GMM</t>
        </is>
      </c>
      <c r="F551" s="92" t="inlineStr">
        <is>
          <t>F51</t>
        </is>
      </c>
      <c r="G551" s="92" t="inlineStr">
        <is>
          <t>CSM 상각</t>
        </is>
      </c>
      <c r="H551" s="93" t="n">
        <v>0</v>
      </c>
      <c r="I551" s="93" t="n">
        <v>0</v>
      </c>
      <c r="J551" s="93" t="n">
        <v>-887607000</v>
      </c>
      <c r="L551" s="9">
        <f>IF($A551="","",VALUE($A551&amp;"")*12+VALUE($B551&amp;""))</f>
        <v/>
      </c>
      <c r="M551" s="94">
        <f>IF($A551="",0,$H551*설정!$C$23)</f>
        <v/>
      </c>
      <c r="N551" s="94">
        <f>IF($A551="",0,$I551*설정!$C$23)</f>
        <v/>
      </c>
      <c r="O551" s="94">
        <f>IF($A551="",0,$J551*설정!$C$23)</f>
        <v/>
      </c>
      <c r="P551" s="64">
        <f>IF($A551="","",IFERROR(INDEX(입력옵션!$C$58:$C$68,MATCH($F551&amp;"",입력옵션!$E$58:$E$68,0)),IFERROR(INDEX(입력옵션!$C$58:$C$68,MATCH($G551&amp;"",입력옵션!$F$58:$F$68,0)),$F551&amp;"")))</f>
        <v/>
      </c>
    </row>
    <row r="552">
      <c r="A552" s="92" t="n">
        <v>2026</v>
      </c>
      <c r="B552" s="92" t="n">
        <v>1</v>
      </c>
      <c r="C552" s="92" t="inlineStr">
        <is>
          <t>PF02</t>
        </is>
      </c>
      <c r="D552" s="92" t="inlineStr">
        <is>
          <t>저축성</t>
        </is>
      </c>
      <c r="E552" s="92" t="inlineStr">
        <is>
          <t>GMM</t>
        </is>
      </c>
      <c r="F552" s="92" t="inlineStr">
        <is>
          <t>F52</t>
        </is>
      </c>
      <c r="G552" s="92" t="inlineStr">
        <is>
          <t>RA 해제</t>
        </is>
      </c>
      <c r="H552" s="93" t="n">
        <v>0</v>
      </c>
      <c r="I552" s="93" t="n">
        <v>-182396000</v>
      </c>
      <c r="J552" s="93" t="n">
        <v>0</v>
      </c>
      <c r="L552" s="9">
        <f>IF($A552="","",VALUE($A552&amp;"")*12+VALUE($B552&amp;""))</f>
        <v/>
      </c>
      <c r="M552" s="94">
        <f>IF($A552="",0,$H552*설정!$C$23)</f>
        <v/>
      </c>
      <c r="N552" s="94">
        <f>IF($A552="",0,$I552*설정!$C$23)</f>
        <v/>
      </c>
      <c r="O552" s="94">
        <f>IF($A552="",0,$J552*설정!$C$23)</f>
        <v/>
      </c>
      <c r="P552" s="64">
        <f>IF($A552="","",IFERROR(INDEX(입력옵션!$C$58:$C$68,MATCH($F552&amp;"",입력옵션!$E$58:$E$68,0)),IFERROR(INDEX(입력옵션!$C$58:$C$68,MATCH($G552&amp;"",입력옵션!$F$58:$F$68,0)),$F552&amp;"")))</f>
        <v/>
      </c>
    </row>
    <row r="553">
      <c r="A553" s="92" t="n">
        <v>2026</v>
      </c>
      <c r="B553" s="92" t="n">
        <v>1</v>
      </c>
      <c r="C553" s="92" t="inlineStr">
        <is>
          <t>PF02</t>
        </is>
      </c>
      <c r="D553" s="92" t="inlineStr">
        <is>
          <t>저축성</t>
        </is>
      </c>
      <c r="E553" s="92" t="inlineStr">
        <is>
          <t>GMM</t>
        </is>
      </c>
      <c r="F553" s="92" t="inlineStr">
        <is>
          <t>F60</t>
        </is>
      </c>
      <c r="G553" s="92" t="inlineStr">
        <is>
          <t>현금흐름 및 기타</t>
        </is>
      </c>
      <c r="H553" s="93" t="n">
        <v>4797373000</v>
      </c>
      <c r="I553" s="93" t="n">
        <v>-433234000</v>
      </c>
      <c r="J553" s="93" t="n">
        <v>0</v>
      </c>
      <c r="L553" s="9">
        <f>IF($A553="","",VALUE($A553&amp;"")*12+VALUE($B553&amp;""))</f>
        <v/>
      </c>
      <c r="M553" s="94">
        <f>IF($A553="",0,$H553*설정!$C$23)</f>
        <v/>
      </c>
      <c r="N553" s="94">
        <f>IF($A553="",0,$I553*설정!$C$23)</f>
        <v/>
      </c>
      <c r="O553" s="94">
        <f>IF($A553="",0,$J553*설정!$C$23)</f>
        <v/>
      </c>
      <c r="P553" s="64">
        <f>IF($A553="","",IFERROR(INDEX(입력옵션!$C$58:$C$68,MATCH($F553&amp;"",입력옵션!$E$58:$E$68,0)),IFERROR(INDEX(입력옵션!$C$58:$C$68,MATCH($G553&amp;"",입력옵션!$F$58:$F$68,0)),$F553&amp;"")))</f>
        <v/>
      </c>
    </row>
    <row r="554">
      <c r="A554" s="92" t="n">
        <v>2026</v>
      </c>
      <c r="B554" s="92" t="n">
        <v>1</v>
      </c>
      <c r="C554" s="92" t="inlineStr">
        <is>
          <t>PF02</t>
        </is>
      </c>
      <c r="D554" s="92" t="inlineStr">
        <is>
          <t>저축성</t>
        </is>
      </c>
      <c r="E554" s="92" t="inlineStr">
        <is>
          <t>GMM</t>
        </is>
      </c>
      <c r="F554" s="92" t="inlineStr">
        <is>
          <t>F99</t>
        </is>
      </c>
      <c r="G554" s="92" t="inlineStr">
        <is>
          <t>기말잔액</t>
        </is>
      </c>
      <c r="H554" s="93" t="n">
        <v>705428427000</v>
      </c>
      <c r="I554" s="93" t="n">
        <v>30103400000</v>
      </c>
      <c r="J554" s="93" t="n">
        <v>98789681000</v>
      </c>
      <c r="L554" s="9">
        <f>IF($A554="","",VALUE($A554&amp;"")*12+VALUE($B554&amp;""))</f>
        <v/>
      </c>
      <c r="M554" s="94">
        <f>IF($A554="",0,$H554*설정!$C$23)</f>
        <v/>
      </c>
      <c r="N554" s="94">
        <f>IF($A554="",0,$I554*설정!$C$23)</f>
        <v/>
      </c>
      <c r="O554" s="94">
        <f>IF($A554="",0,$J554*설정!$C$23)</f>
        <v/>
      </c>
      <c r="P554" s="64">
        <f>IF($A554="","",IFERROR(INDEX(입력옵션!$C$58:$C$68,MATCH($F554&amp;"",입력옵션!$E$58:$E$68,0)),IFERROR(INDEX(입력옵션!$C$58:$C$68,MATCH($G554&amp;"",입력옵션!$F$58:$F$68,0)),$F554&amp;"")))</f>
        <v/>
      </c>
    </row>
    <row r="555">
      <c r="A555" s="92" t="n">
        <v>2026</v>
      </c>
      <c r="B555" s="92" t="n">
        <v>1</v>
      </c>
      <c r="C555" s="92" t="inlineStr">
        <is>
          <t>PF03</t>
        </is>
      </c>
      <c r="D555" s="92" t="inlineStr">
        <is>
          <t>단체(단기)</t>
        </is>
      </c>
      <c r="E555" s="92" t="inlineStr">
        <is>
          <t>PAA</t>
        </is>
      </c>
      <c r="F555" s="92" t="inlineStr">
        <is>
          <t>F00</t>
        </is>
      </c>
      <c r="G555" s="92" t="inlineStr">
        <is>
          <t>기초잔액</t>
        </is>
      </c>
      <c r="H555" s="93" t="n">
        <v>42434850000</v>
      </c>
      <c r="I555" s="93" t="n">
        <v>2431948000</v>
      </c>
      <c r="J555" s="93" t="n">
        <v>0</v>
      </c>
      <c r="L555" s="9">
        <f>IF($A555="","",VALUE($A555&amp;"")*12+VALUE($B555&amp;""))</f>
        <v/>
      </c>
      <c r="M555" s="94">
        <f>IF($A555="",0,$H555*설정!$C$23)</f>
        <v/>
      </c>
      <c r="N555" s="94">
        <f>IF($A555="",0,$I555*설정!$C$23)</f>
        <v/>
      </c>
      <c r="O555" s="94">
        <f>IF($A555="",0,$J555*설정!$C$23)</f>
        <v/>
      </c>
      <c r="P555" s="64">
        <f>IF($A555="","",IFERROR(INDEX(입력옵션!$C$58:$C$68,MATCH($F555&amp;"",입력옵션!$E$58:$E$68,0)),IFERROR(INDEX(입력옵션!$C$58:$C$68,MATCH($G555&amp;"",입력옵션!$F$58:$F$68,0)),$F555&amp;"")))</f>
        <v/>
      </c>
    </row>
    <row r="556">
      <c r="A556" s="92" t="n">
        <v>2026</v>
      </c>
      <c r="B556" s="92" t="n">
        <v>1</v>
      </c>
      <c r="C556" s="92" t="inlineStr">
        <is>
          <t>PF03</t>
        </is>
      </c>
      <c r="D556" s="92" t="inlineStr">
        <is>
          <t>단체(단기)</t>
        </is>
      </c>
      <c r="E556" s="92" t="inlineStr">
        <is>
          <t>PAA</t>
        </is>
      </c>
      <c r="F556" s="92" t="inlineStr">
        <is>
          <t>F10</t>
        </is>
      </c>
      <c r="G556" s="92" t="inlineStr">
        <is>
          <t>신계약 효과</t>
        </is>
      </c>
      <c r="H556" s="93" t="n">
        <v>0</v>
      </c>
      <c r="I556" s="93" t="n">
        <v>0</v>
      </c>
      <c r="J556" s="93" t="n">
        <v>0</v>
      </c>
      <c r="L556" s="9">
        <f>IF($A556="","",VALUE($A556&amp;"")*12+VALUE($B556&amp;""))</f>
        <v/>
      </c>
      <c r="M556" s="94">
        <f>IF($A556="",0,$H556*설정!$C$23)</f>
        <v/>
      </c>
      <c r="N556" s="94">
        <f>IF($A556="",0,$I556*설정!$C$23)</f>
        <v/>
      </c>
      <c r="O556" s="94">
        <f>IF($A556="",0,$J556*설정!$C$23)</f>
        <v/>
      </c>
      <c r="P556" s="64">
        <f>IF($A556="","",IFERROR(INDEX(입력옵션!$C$58:$C$68,MATCH($F556&amp;"",입력옵션!$E$58:$E$68,0)),IFERROR(INDEX(입력옵션!$C$58:$C$68,MATCH($G556&amp;"",입력옵션!$F$58:$F$68,0)),$F556&amp;"")))</f>
        <v/>
      </c>
    </row>
    <row r="557">
      <c r="A557" s="92" t="n">
        <v>2026</v>
      </c>
      <c r="B557" s="92" t="n">
        <v>1</v>
      </c>
      <c r="C557" s="92" t="inlineStr">
        <is>
          <t>PF03</t>
        </is>
      </c>
      <c r="D557" s="92" t="inlineStr">
        <is>
          <t>단체(단기)</t>
        </is>
      </c>
      <c r="E557" s="92" t="inlineStr">
        <is>
          <t>PAA</t>
        </is>
      </c>
      <c r="F557" s="92" t="inlineStr">
        <is>
          <t>F21</t>
        </is>
      </c>
      <c r="G557" s="92" t="inlineStr">
        <is>
          <t>가정변경-사업비</t>
        </is>
      </c>
      <c r="H557" s="93" t="n">
        <v>0</v>
      </c>
      <c r="I557" s="93" t="n">
        <v>0</v>
      </c>
      <c r="J557" s="93" t="n">
        <v>0</v>
      </c>
      <c r="L557" s="9">
        <f>IF($A557="","",VALUE($A557&amp;"")*12+VALUE($B557&amp;""))</f>
        <v/>
      </c>
      <c r="M557" s="94">
        <f>IF($A557="",0,$H557*설정!$C$23)</f>
        <v/>
      </c>
      <c r="N557" s="94">
        <f>IF($A557="",0,$I557*설정!$C$23)</f>
        <v/>
      </c>
      <c r="O557" s="94">
        <f>IF($A557="",0,$J557*설정!$C$23)</f>
        <v/>
      </c>
      <c r="P557" s="64">
        <f>IF($A557="","",IFERROR(INDEX(입력옵션!$C$58:$C$68,MATCH($F557&amp;"",입력옵션!$E$58:$E$68,0)),IFERROR(INDEX(입력옵션!$C$58:$C$68,MATCH($G557&amp;"",입력옵션!$F$58:$F$68,0)),$F557&amp;"")))</f>
        <v/>
      </c>
    </row>
    <row r="558">
      <c r="A558" s="92" t="n">
        <v>2026</v>
      </c>
      <c r="B558" s="92" t="n">
        <v>1</v>
      </c>
      <c r="C558" s="92" t="inlineStr">
        <is>
          <t>PF03</t>
        </is>
      </c>
      <c r="D558" s="92" t="inlineStr">
        <is>
          <t>단체(단기)</t>
        </is>
      </c>
      <c r="E558" s="92" t="inlineStr">
        <is>
          <t>PAA</t>
        </is>
      </c>
      <c r="F558" s="92" t="inlineStr">
        <is>
          <t>F22</t>
        </is>
      </c>
      <c r="G558" s="92" t="inlineStr">
        <is>
          <t>가정변경-기타</t>
        </is>
      </c>
      <c r="H558" s="93" t="n">
        <v>0</v>
      </c>
      <c r="I558" s="93" t="n">
        <v>0</v>
      </c>
      <c r="J558" s="93" t="n">
        <v>0</v>
      </c>
      <c r="L558" s="9">
        <f>IF($A558="","",VALUE($A558&amp;"")*12+VALUE($B558&amp;""))</f>
        <v/>
      </c>
      <c r="M558" s="94">
        <f>IF($A558="",0,$H558*설정!$C$23)</f>
        <v/>
      </c>
      <c r="N558" s="94">
        <f>IF($A558="",0,$I558*설정!$C$23)</f>
        <v/>
      </c>
      <c r="O558" s="94">
        <f>IF($A558="",0,$J558*설정!$C$23)</f>
        <v/>
      </c>
      <c r="P558" s="64">
        <f>IF($A558="","",IFERROR(INDEX(입력옵션!$C$58:$C$68,MATCH($F558&amp;"",입력옵션!$E$58:$E$68,0)),IFERROR(INDEX(입력옵션!$C$58:$C$68,MATCH($G558&amp;"",입력옵션!$F$58:$F$68,0)),$F558&amp;"")))</f>
        <v/>
      </c>
    </row>
    <row r="559">
      <c r="A559" s="92" t="n">
        <v>2026</v>
      </c>
      <c r="B559" s="92" t="n">
        <v>1</v>
      </c>
      <c r="C559" s="92" t="inlineStr">
        <is>
          <t>PF03</t>
        </is>
      </c>
      <c r="D559" s="92" t="inlineStr">
        <is>
          <t>단체(단기)</t>
        </is>
      </c>
      <c r="E559" s="92" t="inlineStr">
        <is>
          <t>PAA</t>
        </is>
      </c>
      <c r="F559" s="92" t="inlineStr">
        <is>
          <t>F31</t>
        </is>
      </c>
      <c r="G559" s="92" t="inlineStr">
        <is>
          <t>경험조정-취득현금흐름</t>
        </is>
      </c>
      <c r="H559" s="93" t="n">
        <v>0</v>
      </c>
      <c r="I559" s="93" t="n">
        <v>0</v>
      </c>
      <c r="J559" s="93" t="n">
        <v>0</v>
      </c>
      <c r="L559" s="9">
        <f>IF($A559="","",VALUE($A559&amp;"")*12+VALUE($B559&amp;""))</f>
        <v/>
      </c>
      <c r="M559" s="94">
        <f>IF($A559="",0,$H559*설정!$C$23)</f>
        <v/>
      </c>
      <c r="N559" s="94">
        <f>IF($A559="",0,$I559*설정!$C$23)</f>
        <v/>
      </c>
      <c r="O559" s="94">
        <f>IF($A559="",0,$J559*설정!$C$23)</f>
        <v/>
      </c>
      <c r="P559" s="64">
        <f>IF($A559="","",IFERROR(INDEX(입력옵션!$C$58:$C$68,MATCH($F559&amp;"",입력옵션!$E$58:$E$68,0)),IFERROR(INDEX(입력옵션!$C$58:$C$68,MATCH($G559&amp;"",입력옵션!$F$58:$F$68,0)),$F559&amp;"")))</f>
        <v/>
      </c>
    </row>
    <row r="560">
      <c r="A560" s="92" t="n">
        <v>2026</v>
      </c>
      <c r="B560" s="92" t="n">
        <v>1</v>
      </c>
      <c r="C560" s="92" t="inlineStr">
        <is>
          <t>PF03</t>
        </is>
      </c>
      <c r="D560" s="92" t="inlineStr">
        <is>
          <t>단체(단기)</t>
        </is>
      </c>
      <c r="E560" s="92" t="inlineStr">
        <is>
          <t>PAA</t>
        </is>
      </c>
      <c r="F560" s="92" t="inlineStr">
        <is>
          <t>F32</t>
        </is>
      </c>
      <c r="G560" s="92" t="inlineStr">
        <is>
          <t>경험조정-보험료 등</t>
        </is>
      </c>
      <c r="H560" s="93" t="n">
        <v>0</v>
      </c>
      <c r="I560" s="93" t="n">
        <v>0</v>
      </c>
      <c r="J560" s="93" t="n">
        <v>0</v>
      </c>
      <c r="L560" s="9">
        <f>IF($A560="","",VALUE($A560&amp;"")*12+VALUE($B560&amp;""))</f>
        <v/>
      </c>
      <c r="M560" s="94">
        <f>IF($A560="",0,$H560*설정!$C$23)</f>
        <v/>
      </c>
      <c r="N560" s="94">
        <f>IF($A560="",0,$I560*설정!$C$23)</f>
        <v/>
      </c>
      <c r="O560" s="94">
        <f>IF($A560="",0,$J560*설정!$C$23)</f>
        <v/>
      </c>
      <c r="P560" s="64">
        <f>IF($A560="","",IFERROR(INDEX(입력옵션!$C$58:$C$68,MATCH($F560&amp;"",입력옵션!$E$58:$E$68,0)),IFERROR(INDEX(입력옵션!$C$58:$C$68,MATCH($G560&amp;"",입력옵션!$F$58:$F$68,0)),$F560&amp;"")))</f>
        <v/>
      </c>
    </row>
    <row r="561">
      <c r="A561" s="92" t="n">
        <v>2026</v>
      </c>
      <c r="B561" s="92" t="n">
        <v>1</v>
      </c>
      <c r="C561" s="92" t="inlineStr">
        <is>
          <t>PF03</t>
        </is>
      </c>
      <c r="D561" s="92" t="inlineStr">
        <is>
          <t>단체(단기)</t>
        </is>
      </c>
      <c r="E561" s="92" t="inlineStr">
        <is>
          <t>PAA</t>
        </is>
      </c>
      <c r="F561" s="92" t="inlineStr">
        <is>
          <t>F40</t>
        </is>
      </c>
      <c r="G561" s="92" t="inlineStr">
        <is>
          <t>보험금융비용(이자부리)</t>
        </is>
      </c>
      <c r="H561" s="93" t="n">
        <v>0</v>
      </c>
      <c r="I561" s="93" t="n">
        <v>0</v>
      </c>
      <c r="J561" s="93" t="n">
        <v>0</v>
      </c>
      <c r="L561" s="9">
        <f>IF($A561="","",VALUE($A561&amp;"")*12+VALUE($B561&amp;""))</f>
        <v/>
      </c>
      <c r="M561" s="94">
        <f>IF($A561="",0,$H561*설정!$C$23)</f>
        <v/>
      </c>
      <c r="N561" s="94">
        <f>IF($A561="",0,$I561*설정!$C$23)</f>
        <v/>
      </c>
      <c r="O561" s="94">
        <f>IF($A561="",0,$J561*설정!$C$23)</f>
        <v/>
      </c>
      <c r="P561" s="64">
        <f>IF($A561="","",IFERROR(INDEX(입력옵션!$C$58:$C$68,MATCH($F561&amp;"",입력옵션!$E$58:$E$68,0)),IFERROR(INDEX(입력옵션!$C$58:$C$68,MATCH($G561&amp;"",입력옵션!$F$58:$F$68,0)),$F561&amp;"")))</f>
        <v/>
      </c>
    </row>
    <row r="562">
      <c r="A562" s="92" t="n">
        <v>2026</v>
      </c>
      <c r="B562" s="92" t="n">
        <v>1</v>
      </c>
      <c r="C562" s="92" t="inlineStr">
        <is>
          <t>PF03</t>
        </is>
      </c>
      <c r="D562" s="92" t="inlineStr">
        <is>
          <t>단체(단기)</t>
        </is>
      </c>
      <c r="E562" s="92" t="inlineStr">
        <is>
          <t>PAA</t>
        </is>
      </c>
      <c r="F562" s="92" t="inlineStr">
        <is>
          <t>F51</t>
        </is>
      </c>
      <c r="G562" s="92" t="inlineStr">
        <is>
          <t>CSM 상각</t>
        </is>
      </c>
      <c r="H562" s="93" t="n">
        <v>0</v>
      </c>
      <c r="I562" s="93" t="n">
        <v>0</v>
      </c>
      <c r="J562" s="93" t="n">
        <v>0</v>
      </c>
      <c r="L562" s="9">
        <f>IF($A562="","",VALUE($A562&amp;"")*12+VALUE($B562&amp;""))</f>
        <v/>
      </c>
      <c r="M562" s="94">
        <f>IF($A562="",0,$H562*설정!$C$23)</f>
        <v/>
      </c>
      <c r="N562" s="94">
        <f>IF($A562="",0,$I562*설정!$C$23)</f>
        <v/>
      </c>
      <c r="O562" s="94">
        <f>IF($A562="",0,$J562*설정!$C$23)</f>
        <v/>
      </c>
      <c r="P562" s="64">
        <f>IF($A562="","",IFERROR(INDEX(입력옵션!$C$58:$C$68,MATCH($F562&amp;"",입력옵션!$E$58:$E$68,0)),IFERROR(INDEX(입력옵션!$C$58:$C$68,MATCH($G562&amp;"",입력옵션!$F$58:$F$68,0)),$F562&amp;"")))</f>
        <v/>
      </c>
    </row>
    <row r="563">
      <c r="A563" s="92" t="n">
        <v>2026</v>
      </c>
      <c r="B563" s="92" t="n">
        <v>1</v>
      </c>
      <c r="C563" s="92" t="inlineStr">
        <is>
          <t>PF03</t>
        </is>
      </c>
      <c r="D563" s="92" t="inlineStr">
        <is>
          <t>단체(단기)</t>
        </is>
      </c>
      <c r="E563" s="92" t="inlineStr">
        <is>
          <t>PAA</t>
        </is>
      </c>
      <c r="F563" s="92" t="inlineStr">
        <is>
          <t>F52</t>
        </is>
      </c>
      <c r="G563" s="92" t="inlineStr">
        <is>
          <t>RA 해제</t>
        </is>
      </c>
      <c r="H563" s="93" t="n">
        <v>0</v>
      </c>
      <c r="I563" s="93" t="n">
        <v>-14592000</v>
      </c>
      <c r="J563" s="93" t="n">
        <v>0</v>
      </c>
      <c r="L563" s="9">
        <f>IF($A563="","",VALUE($A563&amp;"")*12+VALUE($B563&amp;""))</f>
        <v/>
      </c>
      <c r="M563" s="94">
        <f>IF($A563="",0,$H563*설정!$C$23)</f>
        <v/>
      </c>
      <c r="N563" s="94">
        <f>IF($A563="",0,$I563*설정!$C$23)</f>
        <v/>
      </c>
      <c r="O563" s="94">
        <f>IF($A563="",0,$J563*설정!$C$23)</f>
        <v/>
      </c>
      <c r="P563" s="64">
        <f>IF($A563="","",IFERROR(INDEX(입력옵션!$C$58:$C$68,MATCH($F563&amp;"",입력옵션!$E$58:$E$68,0)),IFERROR(INDEX(입력옵션!$C$58:$C$68,MATCH($G563&amp;"",입력옵션!$F$58:$F$68,0)),$F563&amp;"")))</f>
        <v/>
      </c>
    </row>
    <row r="564">
      <c r="A564" s="92" t="n">
        <v>2026</v>
      </c>
      <c r="B564" s="92" t="n">
        <v>1</v>
      </c>
      <c r="C564" s="92" t="inlineStr">
        <is>
          <t>PF03</t>
        </is>
      </c>
      <c r="D564" s="92" t="inlineStr">
        <is>
          <t>단체(단기)</t>
        </is>
      </c>
      <c r="E564" s="92" t="inlineStr">
        <is>
          <t>PAA</t>
        </is>
      </c>
      <c r="F564" s="92" t="inlineStr">
        <is>
          <t>F60</t>
        </is>
      </c>
      <c r="G564" s="92" t="inlineStr">
        <is>
          <t>현금흐름 및 기타</t>
        </is>
      </c>
      <c r="H564" s="93" t="n">
        <v>318388000</v>
      </c>
      <c r="I564" s="93" t="n">
        <v>-9084000</v>
      </c>
      <c r="J564" s="93" t="n">
        <v>0</v>
      </c>
      <c r="L564" s="9">
        <f>IF($A564="","",VALUE($A564&amp;"")*12+VALUE($B564&amp;""))</f>
        <v/>
      </c>
      <c r="M564" s="94">
        <f>IF($A564="",0,$H564*설정!$C$23)</f>
        <v/>
      </c>
      <c r="N564" s="94">
        <f>IF($A564="",0,$I564*설정!$C$23)</f>
        <v/>
      </c>
      <c r="O564" s="94">
        <f>IF($A564="",0,$J564*설정!$C$23)</f>
        <v/>
      </c>
      <c r="P564" s="64">
        <f>IF($A564="","",IFERROR(INDEX(입력옵션!$C$58:$C$68,MATCH($F564&amp;"",입력옵션!$E$58:$E$68,0)),IFERROR(INDEX(입력옵션!$C$58:$C$68,MATCH($G564&amp;"",입력옵션!$F$58:$F$68,0)),$F564&amp;"")))</f>
        <v/>
      </c>
    </row>
    <row r="565">
      <c r="A565" s="92" t="n">
        <v>2026</v>
      </c>
      <c r="B565" s="92" t="n">
        <v>1</v>
      </c>
      <c r="C565" s="92" t="inlineStr">
        <is>
          <t>PF03</t>
        </is>
      </c>
      <c r="D565" s="92" t="inlineStr">
        <is>
          <t>단체(단기)</t>
        </is>
      </c>
      <c r="E565" s="92" t="inlineStr">
        <is>
          <t>PAA</t>
        </is>
      </c>
      <c r="F565" s="92" t="inlineStr">
        <is>
          <t>F99</t>
        </is>
      </c>
      <c r="G565" s="92" t="inlineStr">
        <is>
          <t>기말잔액</t>
        </is>
      </c>
      <c r="H565" s="93" t="n">
        <v>42753238000</v>
      </c>
      <c r="I565" s="93" t="n">
        <v>2408272000</v>
      </c>
      <c r="J565" s="93" t="n">
        <v>0</v>
      </c>
      <c r="L565" s="9">
        <f>IF($A565="","",VALUE($A565&amp;"")*12+VALUE($B565&amp;""))</f>
        <v/>
      </c>
      <c r="M565" s="94">
        <f>IF($A565="",0,$H565*설정!$C$23)</f>
        <v/>
      </c>
      <c r="N565" s="94">
        <f>IF($A565="",0,$I565*설정!$C$23)</f>
        <v/>
      </c>
      <c r="O565" s="94">
        <f>IF($A565="",0,$J565*설정!$C$23)</f>
        <v/>
      </c>
      <c r="P565" s="64">
        <f>IF($A565="","",IFERROR(INDEX(입력옵션!$C$58:$C$68,MATCH($F565&amp;"",입력옵션!$E$58:$E$68,0)),IFERROR(INDEX(입력옵션!$C$58:$C$68,MATCH($G565&amp;"",입력옵션!$F$58:$F$68,0)),$F565&amp;"")))</f>
        <v/>
      </c>
    </row>
    <row r="566">
      <c r="A566" s="92" t="n">
        <v>2026</v>
      </c>
      <c r="B566" s="92" t="n">
        <v>1</v>
      </c>
      <c r="C566" s="92" t="inlineStr">
        <is>
          <t>PF04</t>
        </is>
      </c>
      <c r="D566" s="92" t="inlineStr">
        <is>
          <t>변액</t>
        </is>
      </c>
      <c r="E566" s="92" t="inlineStr">
        <is>
          <t>VFA</t>
        </is>
      </c>
      <c r="F566" s="92" t="inlineStr">
        <is>
          <t>F00</t>
        </is>
      </c>
      <c r="G566" s="92" t="inlineStr">
        <is>
          <t>기초잔액</t>
        </is>
      </c>
      <c r="H566" s="93" t="n">
        <v>318261375000</v>
      </c>
      <c r="I566" s="93" t="n">
        <v>15807662000</v>
      </c>
      <c r="J566" s="93" t="n">
        <v>51410327000</v>
      </c>
      <c r="L566" s="9">
        <f>IF($A566="","",VALUE($A566&amp;"")*12+VALUE($B566&amp;""))</f>
        <v/>
      </c>
      <c r="M566" s="94">
        <f>IF($A566="",0,$H566*설정!$C$23)</f>
        <v/>
      </c>
      <c r="N566" s="94">
        <f>IF($A566="",0,$I566*설정!$C$23)</f>
        <v/>
      </c>
      <c r="O566" s="94">
        <f>IF($A566="",0,$J566*설정!$C$23)</f>
        <v/>
      </c>
      <c r="P566" s="64">
        <f>IF($A566="","",IFERROR(INDEX(입력옵션!$C$58:$C$68,MATCH($F566&amp;"",입력옵션!$E$58:$E$68,0)),IFERROR(INDEX(입력옵션!$C$58:$C$68,MATCH($G566&amp;"",입력옵션!$F$58:$F$68,0)),$F566&amp;"")))</f>
        <v/>
      </c>
    </row>
    <row r="567">
      <c r="A567" s="92" t="n">
        <v>2026</v>
      </c>
      <c r="B567" s="92" t="n">
        <v>1</v>
      </c>
      <c r="C567" s="92" t="inlineStr">
        <is>
          <t>PF04</t>
        </is>
      </c>
      <c r="D567" s="92" t="inlineStr">
        <is>
          <t>변액</t>
        </is>
      </c>
      <c r="E567" s="92" t="inlineStr">
        <is>
          <t>VFA</t>
        </is>
      </c>
      <c r="F567" s="92" t="inlineStr">
        <is>
          <t>F10</t>
        </is>
      </c>
      <c r="G567" s="92" t="inlineStr">
        <is>
          <t>신계약 효과</t>
        </is>
      </c>
      <c r="H567" s="93" t="n">
        <v>-673092000</v>
      </c>
      <c r="I567" s="93" t="n">
        <v>134618000</v>
      </c>
      <c r="J567" s="93" t="n">
        <v>538474000</v>
      </c>
      <c r="L567" s="9">
        <f>IF($A567="","",VALUE($A567&amp;"")*12+VALUE($B567&amp;""))</f>
        <v/>
      </c>
      <c r="M567" s="94">
        <f>IF($A567="",0,$H567*설정!$C$23)</f>
        <v/>
      </c>
      <c r="N567" s="94">
        <f>IF($A567="",0,$I567*설정!$C$23)</f>
        <v/>
      </c>
      <c r="O567" s="94">
        <f>IF($A567="",0,$J567*설정!$C$23)</f>
        <v/>
      </c>
      <c r="P567" s="64">
        <f>IF($A567="","",IFERROR(INDEX(입력옵션!$C$58:$C$68,MATCH($F567&amp;"",입력옵션!$E$58:$E$68,0)),IFERROR(INDEX(입력옵션!$C$58:$C$68,MATCH($G567&amp;"",입력옵션!$F$58:$F$68,0)),$F567&amp;"")))</f>
        <v/>
      </c>
    </row>
    <row r="568">
      <c r="A568" s="92" t="n">
        <v>2026</v>
      </c>
      <c r="B568" s="92" t="n">
        <v>1</v>
      </c>
      <c r="C568" s="92" t="inlineStr">
        <is>
          <t>PF04</t>
        </is>
      </c>
      <c r="D568" s="92" t="inlineStr">
        <is>
          <t>변액</t>
        </is>
      </c>
      <c r="E568" s="92" t="inlineStr">
        <is>
          <t>VFA</t>
        </is>
      </c>
      <c r="F568" s="92" t="inlineStr">
        <is>
          <t>F21</t>
        </is>
      </c>
      <c r="G568" s="92" t="inlineStr">
        <is>
          <t>가정변경-사업비</t>
        </is>
      </c>
      <c r="H568" s="93" t="n">
        <v>0</v>
      </c>
      <c r="I568" s="93" t="n">
        <v>0</v>
      </c>
      <c r="J568" s="93" t="n">
        <v>0</v>
      </c>
      <c r="L568" s="9">
        <f>IF($A568="","",VALUE($A568&amp;"")*12+VALUE($B568&amp;""))</f>
        <v/>
      </c>
      <c r="M568" s="94">
        <f>IF($A568="",0,$H568*설정!$C$23)</f>
        <v/>
      </c>
      <c r="N568" s="94">
        <f>IF($A568="",0,$I568*설정!$C$23)</f>
        <v/>
      </c>
      <c r="O568" s="94">
        <f>IF($A568="",0,$J568*설정!$C$23)</f>
        <v/>
      </c>
      <c r="P568" s="64">
        <f>IF($A568="","",IFERROR(INDEX(입력옵션!$C$58:$C$68,MATCH($F568&amp;"",입력옵션!$E$58:$E$68,0)),IFERROR(INDEX(입력옵션!$C$58:$C$68,MATCH($G568&amp;"",입력옵션!$F$58:$F$68,0)),$F568&amp;"")))</f>
        <v/>
      </c>
    </row>
    <row r="569">
      <c r="A569" s="92" t="n">
        <v>2026</v>
      </c>
      <c r="B569" s="92" t="n">
        <v>1</v>
      </c>
      <c r="C569" s="92" t="inlineStr">
        <is>
          <t>PF04</t>
        </is>
      </c>
      <c r="D569" s="92" t="inlineStr">
        <is>
          <t>변액</t>
        </is>
      </c>
      <c r="E569" s="92" t="inlineStr">
        <is>
          <t>VFA</t>
        </is>
      </c>
      <c r="F569" s="92" t="inlineStr">
        <is>
          <t>F22</t>
        </is>
      </c>
      <c r="G569" s="92" t="inlineStr">
        <is>
          <t>가정변경-기타</t>
        </is>
      </c>
      <c r="H569" s="93" t="n">
        <v>0</v>
      </c>
      <c r="I569" s="93" t="n">
        <v>0</v>
      </c>
      <c r="J569" s="93" t="n">
        <v>0</v>
      </c>
      <c r="L569" s="9">
        <f>IF($A569="","",VALUE($A569&amp;"")*12+VALUE($B569&amp;""))</f>
        <v/>
      </c>
      <c r="M569" s="94">
        <f>IF($A569="",0,$H569*설정!$C$23)</f>
        <v/>
      </c>
      <c r="N569" s="94">
        <f>IF($A569="",0,$I569*설정!$C$23)</f>
        <v/>
      </c>
      <c r="O569" s="94">
        <f>IF($A569="",0,$J569*설정!$C$23)</f>
        <v/>
      </c>
      <c r="P569" s="64">
        <f>IF($A569="","",IFERROR(INDEX(입력옵션!$C$58:$C$68,MATCH($F569&amp;"",입력옵션!$E$58:$E$68,0)),IFERROR(INDEX(입력옵션!$C$58:$C$68,MATCH($G569&amp;"",입력옵션!$F$58:$F$68,0)),$F569&amp;"")))</f>
        <v/>
      </c>
    </row>
    <row r="570">
      <c r="A570" s="92" t="n">
        <v>2026</v>
      </c>
      <c r="B570" s="92" t="n">
        <v>1</v>
      </c>
      <c r="C570" s="92" t="inlineStr">
        <is>
          <t>PF04</t>
        </is>
      </c>
      <c r="D570" s="92" t="inlineStr">
        <is>
          <t>변액</t>
        </is>
      </c>
      <c r="E570" s="92" t="inlineStr">
        <is>
          <t>VFA</t>
        </is>
      </c>
      <c r="F570" s="92" t="inlineStr">
        <is>
          <t>F31</t>
        </is>
      </c>
      <c r="G570" s="92" t="inlineStr">
        <is>
          <t>경험조정-취득현금흐름</t>
        </is>
      </c>
      <c r="H570" s="93" t="n">
        <v>0</v>
      </c>
      <c r="I570" s="93" t="n">
        <v>0</v>
      </c>
      <c r="J570" s="93" t="n">
        <v>-8027000</v>
      </c>
      <c r="L570" s="9">
        <f>IF($A570="","",VALUE($A570&amp;"")*12+VALUE($B570&amp;""))</f>
        <v/>
      </c>
      <c r="M570" s="94">
        <f>IF($A570="",0,$H570*설정!$C$23)</f>
        <v/>
      </c>
      <c r="N570" s="94">
        <f>IF($A570="",0,$I570*설정!$C$23)</f>
        <v/>
      </c>
      <c r="O570" s="94">
        <f>IF($A570="",0,$J570*설정!$C$23)</f>
        <v/>
      </c>
      <c r="P570" s="64">
        <f>IF($A570="","",IFERROR(INDEX(입력옵션!$C$58:$C$68,MATCH($F570&amp;"",입력옵션!$E$58:$E$68,0)),IFERROR(INDEX(입력옵션!$C$58:$C$68,MATCH($G570&amp;"",입력옵션!$F$58:$F$68,0)),$F570&amp;"")))</f>
        <v/>
      </c>
    </row>
    <row r="571">
      <c r="A571" s="92" t="n">
        <v>2026</v>
      </c>
      <c r="B571" s="92" t="n">
        <v>1</v>
      </c>
      <c r="C571" s="92" t="inlineStr">
        <is>
          <t>PF04</t>
        </is>
      </c>
      <c r="D571" s="92" t="inlineStr">
        <is>
          <t>변액</t>
        </is>
      </c>
      <c r="E571" s="92" t="inlineStr">
        <is>
          <t>VFA</t>
        </is>
      </c>
      <c r="F571" s="92" t="inlineStr">
        <is>
          <t>F32</t>
        </is>
      </c>
      <c r="G571" s="92" t="inlineStr">
        <is>
          <t>경험조정-보험료 등</t>
        </is>
      </c>
      <c r="H571" s="93" t="n">
        <v>0</v>
      </c>
      <c r="I571" s="93" t="n">
        <v>0</v>
      </c>
      <c r="J571" s="93" t="n">
        <v>253079000</v>
      </c>
      <c r="L571" s="9">
        <f>IF($A571="","",VALUE($A571&amp;"")*12+VALUE($B571&amp;""))</f>
        <v/>
      </c>
      <c r="M571" s="94">
        <f>IF($A571="",0,$H571*설정!$C$23)</f>
        <v/>
      </c>
      <c r="N571" s="94">
        <f>IF($A571="",0,$I571*설정!$C$23)</f>
        <v/>
      </c>
      <c r="O571" s="94">
        <f>IF($A571="",0,$J571*설정!$C$23)</f>
        <v/>
      </c>
      <c r="P571" s="64">
        <f>IF($A571="","",IFERROR(INDEX(입력옵션!$C$58:$C$68,MATCH($F571&amp;"",입력옵션!$E$58:$E$68,0)),IFERROR(INDEX(입력옵션!$C$58:$C$68,MATCH($G571&amp;"",입력옵션!$F$58:$F$68,0)),$F571&amp;"")))</f>
        <v/>
      </c>
    </row>
    <row r="572">
      <c r="A572" s="92" t="n">
        <v>2026</v>
      </c>
      <c r="B572" s="92" t="n">
        <v>1</v>
      </c>
      <c r="C572" s="92" t="inlineStr">
        <is>
          <t>PF04</t>
        </is>
      </c>
      <c r="D572" s="92" t="inlineStr">
        <is>
          <t>변액</t>
        </is>
      </c>
      <c r="E572" s="92" t="inlineStr">
        <is>
          <t>VFA</t>
        </is>
      </c>
      <c r="F572" s="92" t="inlineStr">
        <is>
          <t>F40</t>
        </is>
      </c>
      <c r="G572" s="92" t="inlineStr">
        <is>
          <t>보험금융비용(이자부리)</t>
        </is>
      </c>
      <c r="H572" s="93" t="n">
        <v>795653000</v>
      </c>
      <c r="I572" s="93" t="n">
        <v>31615000</v>
      </c>
      <c r="J572" s="93" t="n">
        <v>128526000</v>
      </c>
      <c r="L572" s="9">
        <f>IF($A572="","",VALUE($A572&amp;"")*12+VALUE($B572&amp;""))</f>
        <v/>
      </c>
      <c r="M572" s="94">
        <f>IF($A572="",0,$H572*설정!$C$23)</f>
        <v/>
      </c>
      <c r="N572" s="94">
        <f>IF($A572="",0,$I572*설정!$C$23)</f>
        <v/>
      </c>
      <c r="O572" s="94">
        <f>IF($A572="",0,$J572*설정!$C$23)</f>
        <v/>
      </c>
      <c r="P572" s="64">
        <f>IF($A572="","",IFERROR(INDEX(입력옵션!$C$58:$C$68,MATCH($F572&amp;"",입력옵션!$E$58:$E$68,0)),IFERROR(INDEX(입력옵션!$C$58:$C$68,MATCH($G572&amp;"",입력옵션!$F$58:$F$68,0)),$F572&amp;"")))</f>
        <v/>
      </c>
    </row>
    <row r="573">
      <c r="A573" s="92" t="n">
        <v>2026</v>
      </c>
      <c r="B573" s="92" t="n">
        <v>1</v>
      </c>
      <c r="C573" s="92" t="inlineStr">
        <is>
          <t>PF04</t>
        </is>
      </c>
      <c r="D573" s="92" t="inlineStr">
        <is>
          <t>변액</t>
        </is>
      </c>
      <c r="E573" s="92" t="inlineStr">
        <is>
          <t>VFA</t>
        </is>
      </c>
      <c r="F573" s="92" t="inlineStr">
        <is>
          <t>F51</t>
        </is>
      </c>
      <c r="G573" s="92" t="inlineStr">
        <is>
          <t>CSM 상각</t>
        </is>
      </c>
      <c r="H573" s="93" t="n">
        <v>0</v>
      </c>
      <c r="I573" s="93" t="n">
        <v>0</v>
      </c>
      <c r="J573" s="93" t="n">
        <v>-462693000</v>
      </c>
      <c r="L573" s="9">
        <f>IF($A573="","",VALUE($A573&amp;"")*12+VALUE($B573&amp;""))</f>
        <v/>
      </c>
      <c r="M573" s="94">
        <f>IF($A573="",0,$H573*설정!$C$23)</f>
        <v/>
      </c>
      <c r="N573" s="94">
        <f>IF($A573="",0,$I573*설정!$C$23)</f>
        <v/>
      </c>
      <c r="O573" s="94">
        <f>IF($A573="",0,$J573*설정!$C$23)</f>
        <v/>
      </c>
      <c r="P573" s="64">
        <f>IF($A573="","",IFERROR(INDEX(입력옵션!$C$58:$C$68,MATCH($F573&amp;"",입력옵션!$E$58:$E$68,0)),IFERROR(INDEX(입력옵션!$C$58:$C$68,MATCH($G573&amp;"",입력옵션!$F$58:$F$68,0)),$F573&amp;"")))</f>
        <v/>
      </c>
    </row>
    <row r="574">
      <c r="A574" s="92" t="n">
        <v>2026</v>
      </c>
      <c r="B574" s="92" t="n">
        <v>1</v>
      </c>
      <c r="C574" s="92" t="inlineStr">
        <is>
          <t>PF04</t>
        </is>
      </c>
      <c r="D574" s="92" t="inlineStr">
        <is>
          <t>변액</t>
        </is>
      </c>
      <c r="E574" s="92" t="inlineStr">
        <is>
          <t>VFA</t>
        </is>
      </c>
      <c r="F574" s="92" t="inlineStr">
        <is>
          <t>F52</t>
        </is>
      </c>
      <c r="G574" s="92" t="inlineStr">
        <is>
          <t>RA 해제</t>
        </is>
      </c>
      <c r="H574" s="93" t="n">
        <v>0</v>
      </c>
      <c r="I574" s="93" t="n">
        <v>-94846000</v>
      </c>
      <c r="J574" s="93" t="n">
        <v>0</v>
      </c>
      <c r="L574" s="9">
        <f>IF($A574="","",VALUE($A574&amp;"")*12+VALUE($B574&amp;""))</f>
        <v/>
      </c>
      <c r="M574" s="94">
        <f>IF($A574="",0,$H574*설정!$C$23)</f>
        <v/>
      </c>
      <c r="N574" s="94">
        <f>IF($A574="",0,$I574*설정!$C$23)</f>
        <v/>
      </c>
      <c r="O574" s="94">
        <f>IF($A574="",0,$J574*설정!$C$23)</f>
        <v/>
      </c>
      <c r="P574" s="64">
        <f>IF($A574="","",IFERROR(INDEX(입력옵션!$C$58:$C$68,MATCH($F574&amp;"",입력옵션!$E$58:$E$68,0)),IFERROR(INDEX(입력옵션!$C$58:$C$68,MATCH($G574&amp;"",입력옵션!$F$58:$F$68,0)),$F574&amp;"")))</f>
        <v/>
      </c>
    </row>
    <row r="575">
      <c r="A575" s="92" t="n">
        <v>2026</v>
      </c>
      <c r="B575" s="92" t="n">
        <v>1</v>
      </c>
      <c r="C575" s="92" t="inlineStr">
        <is>
          <t>PF04</t>
        </is>
      </c>
      <c r="D575" s="92" t="inlineStr">
        <is>
          <t>변액</t>
        </is>
      </c>
      <c r="E575" s="92" t="inlineStr">
        <is>
          <t>VFA</t>
        </is>
      </c>
      <c r="F575" s="92" t="inlineStr">
        <is>
          <t>F60</t>
        </is>
      </c>
      <c r="G575" s="92" t="inlineStr">
        <is>
          <t>현금흐름 및 기타</t>
        </is>
      </c>
      <c r="H575" s="93" t="n">
        <v>2265349000</v>
      </c>
      <c r="I575" s="93" t="n">
        <v>-225282000</v>
      </c>
      <c r="J575" s="93" t="n">
        <v>0</v>
      </c>
      <c r="L575" s="9">
        <f>IF($A575="","",VALUE($A575&amp;"")*12+VALUE($B575&amp;""))</f>
        <v/>
      </c>
      <c r="M575" s="94">
        <f>IF($A575="",0,$H575*설정!$C$23)</f>
        <v/>
      </c>
      <c r="N575" s="94">
        <f>IF($A575="",0,$I575*설정!$C$23)</f>
        <v/>
      </c>
      <c r="O575" s="94">
        <f>IF($A575="",0,$J575*설정!$C$23)</f>
        <v/>
      </c>
      <c r="P575" s="64">
        <f>IF($A575="","",IFERROR(INDEX(입력옵션!$C$58:$C$68,MATCH($F575&amp;"",입력옵션!$E$58:$E$68,0)),IFERROR(INDEX(입력옵션!$C$58:$C$68,MATCH($G575&amp;"",입력옵션!$F$58:$F$68,0)),$F575&amp;"")))</f>
        <v/>
      </c>
    </row>
    <row r="576">
      <c r="A576" s="92" t="n">
        <v>2026</v>
      </c>
      <c r="B576" s="92" t="n">
        <v>1</v>
      </c>
      <c r="C576" s="92" t="inlineStr">
        <is>
          <t>PF04</t>
        </is>
      </c>
      <c r="D576" s="92" t="inlineStr">
        <is>
          <t>변액</t>
        </is>
      </c>
      <c r="E576" s="92" t="inlineStr">
        <is>
          <t>VFA</t>
        </is>
      </c>
      <c r="F576" s="92" t="inlineStr">
        <is>
          <t>F99</t>
        </is>
      </c>
      <c r="G576" s="92" t="inlineStr">
        <is>
          <t>기말잔액</t>
        </is>
      </c>
      <c r="H576" s="93" t="n">
        <v>320649285000</v>
      </c>
      <c r="I576" s="93" t="n">
        <v>15653768000</v>
      </c>
      <c r="J576" s="93" t="n">
        <v>51859685000</v>
      </c>
      <c r="L576" s="9">
        <f>IF($A576="","",VALUE($A576&amp;"")*12+VALUE($B576&amp;""))</f>
        <v/>
      </c>
      <c r="M576" s="94">
        <f>IF($A576="",0,$H576*설정!$C$23)</f>
        <v/>
      </c>
      <c r="N576" s="94">
        <f>IF($A576="",0,$I576*설정!$C$23)</f>
        <v/>
      </c>
      <c r="O576" s="94">
        <f>IF($A576="",0,$J576*설정!$C$23)</f>
        <v/>
      </c>
      <c r="P576" s="64">
        <f>IF($A576="","",IFERROR(INDEX(입력옵션!$C$58:$C$68,MATCH($F576&amp;"",입력옵션!$E$58:$E$68,0)),IFERROR(INDEX(입력옵션!$C$58:$C$68,MATCH($G576&amp;"",입력옵션!$F$58:$F$68,0)),$F576&amp;"")))</f>
        <v/>
      </c>
    </row>
    <row r="577">
      <c r="A577" s="92" t="n">
        <v>2026</v>
      </c>
      <c r="B577" s="92" t="n">
        <v>2</v>
      </c>
      <c r="C577" s="92" t="inlineStr">
        <is>
          <t>PF01</t>
        </is>
      </c>
      <c r="D577" s="92" t="inlineStr">
        <is>
          <t>보장성</t>
        </is>
      </c>
      <c r="E577" s="92" t="inlineStr">
        <is>
          <t>GMM</t>
        </is>
      </c>
      <c r="F577" s="92" t="inlineStr">
        <is>
          <t>F00</t>
        </is>
      </c>
      <c r="G577" s="92" t="inlineStr">
        <is>
          <t>기초잔액</t>
        </is>
      </c>
      <c r="H577" s="93" t="n">
        <v>1068830950000</v>
      </c>
      <c r="I577" s="93" t="n">
        <v>72248160000</v>
      </c>
      <c r="J577" s="93" t="n">
        <v>245992957000</v>
      </c>
      <c r="L577" s="9">
        <f>IF($A577="","",VALUE($A577&amp;"")*12+VALUE($B577&amp;""))</f>
        <v/>
      </c>
      <c r="M577" s="94">
        <f>IF($A577="",0,$H577*설정!$C$23)</f>
        <v/>
      </c>
      <c r="N577" s="94">
        <f>IF($A577="",0,$I577*설정!$C$23)</f>
        <v/>
      </c>
      <c r="O577" s="94">
        <f>IF($A577="",0,$J577*설정!$C$23)</f>
        <v/>
      </c>
      <c r="P577" s="64">
        <f>IF($A577="","",IFERROR(INDEX(입력옵션!$C$58:$C$68,MATCH($F577&amp;"",입력옵션!$E$58:$E$68,0)),IFERROR(INDEX(입력옵션!$C$58:$C$68,MATCH($G577&amp;"",입력옵션!$F$58:$F$68,0)),$F577&amp;"")))</f>
        <v/>
      </c>
    </row>
    <row r="578">
      <c r="A578" s="92" t="n">
        <v>2026</v>
      </c>
      <c r="B578" s="92" t="n">
        <v>2</v>
      </c>
      <c r="C578" s="92" t="inlineStr">
        <is>
          <t>PF01</t>
        </is>
      </c>
      <c r="D578" s="92" t="inlineStr">
        <is>
          <t>보장성</t>
        </is>
      </c>
      <c r="E578" s="92" t="inlineStr">
        <is>
          <t>GMM</t>
        </is>
      </c>
      <c r="F578" s="92" t="inlineStr">
        <is>
          <t>F10</t>
        </is>
      </c>
      <c r="G578" s="92" t="inlineStr">
        <is>
          <t>신계약 효과</t>
        </is>
      </c>
      <c r="H578" s="93" t="n">
        <v>-3172743000</v>
      </c>
      <c r="I578" s="93" t="n">
        <v>634549000</v>
      </c>
      <c r="J578" s="93" t="n">
        <v>2538195000</v>
      </c>
      <c r="L578" s="9">
        <f>IF($A578="","",VALUE($A578&amp;"")*12+VALUE($B578&amp;""))</f>
        <v/>
      </c>
      <c r="M578" s="94">
        <f>IF($A578="",0,$H578*설정!$C$23)</f>
        <v/>
      </c>
      <c r="N578" s="94">
        <f>IF($A578="",0,$I578*설정!$C$23)</f>
        <v/>
      </c>
      <c r="O578" s="94">
        <f>IF($A578="",0,$J578*설정!$C$23)</f>
        <v/>
      </c>
      <c r="P578" s="64">
        <f>IF($A578="","",IFERROR(INDEX(입력옵션!$C$58:$C$68,MATCH($F578&amp;"",입력옵션!$E$58:$E$68,0)),IFERROR(INDEX(입력옵션!$C$58:$C$68,MATCH($G578&amp;"",입력옵션!$F$58:$F$68,0)),$F578&amp;"")))</f>
        <v/>
      </c>
    </row>
    <row r="579">
      <c r="A579" s="92" t="n">
        <v>2026</v>
      </c>
      <c r="B579" s="92" t="n">
        <v>2</v>
      </c>
      <c r="C579" s="92" t="inlineStr">
        <is>
          <t>PF01</t>
        </is>
      </c>
      <c r="D579" s="92" t="inlineStr">
        <is>
          <t>보장성</t>
        </is>
      </c>
      <c r="E579" s="92" t="inlineStr">
        <is>
          <t>GMM</t>
        </is>
      </c>
      <c r="F579" s="92" t="inlineStr">
        <is>
          <t>F21</t>
        </is>
      </c>
      <c r="G579" s="92" t="inlineStr">
        <is>
          <t>가정변경-사업비</t>
        </is>
      </c>
      <c r="H579" s="93" t="n">
        <v>0</v>
      </c>
      <c r="I579" s="93" t="n">
        <v>0</v>
      </c>
      <c r="J579" s="93" t="n">
        <v>0</v>
      </c>
      <c r="L579" s="9">
        <f>IF($A579="","",VALUE($A579&amp;"")*12+VALUE($B579&amp;""))</f>
        <v/>
      </c>
      <c r="M579" s="94">
        <f>IF($A579="",0,$H579*설정!$C$23)</f>
        <v/>
      </c>
      <c r="N579" s="94">
        <f>IF($A579="",0,$I579*설정!$C$23)</f>
        <v/>
      </c>
      <c r="O579" s="94">
        <f>IF($A579="",0,$J579*설정!$C$23)</f>
        <v/>
      </c>
      <c r="P579" s="64">
        <f>IF($A579="","",IFERROR(INDEX(입력옵션!$C$58:$C$68,MATCH($F579&amp;"",입력옵션!$E$58:$E$68,0)),IFERROR(INDEX(입력옵션!$C$58:$C$68,MATCH($G579&amp;"",입력옵션!$F$58:$F$68,0)),$F579&amp;"")))</f>
        <v/>
      </c>
    </row>
    <row r="580">
      <c r="A580" s="92" t="n">
        <v>2026</v>
      </c>
      <c r="B580" s="92" t="n">
        <v>2</v>
      </c>
      <c r="C580" s="92" t="inlineStr">
        <is>
          <t>PF01</t>
        </is>
      </c>
      <c r="D580" s="92" t="inlineStr">
        <is>
          <t>보장성</t>
        </is>
      </c>
      <c r="E580" s="92" t="inlineStr">
        <is>
          <t>GMM</t>
        </is>
      </c>
      <c r="F580" s="92" t="inlineStr">
        <is>
          <t>F22</t>
        </is>
      </c>
      <c r="G580" s="92" t="inlineStr">
        <is>
          <t>가정변경-기타</t>
        </is>
      </c>
      <c r="H580" s="93" t="n">
        <v>0</v>
      </c>
      <c r="I580" s="93" t="n">
        <v>0</v>
      </c>
      <c r="J580" s="93" t="n">
        <v>0</v>
      </c>
      <c r="L580" s="9">
        <f>IF($A580="","",VALUE($A580&amp;"")*12+VALUE($B580&amp;""))</f>
        <v/>
      </c>
      <c r="M580" s="94">
        <f>IF($A580="",0,$H580*설정!$C$23)</f>
        <v/>
      </c>
      <c r="N580" s="94">
        <f>IF($A580="",0,$I580*설정!$C$23)</f>
        <v/>
      </c>
      <c r="O580" s="94">
        <f>IF($A580="",0,$J580*설정!$C$23)</f>
        <v/>
      </c>
      <c r="P580" s="64">
        <f>IF($A580="","",IFERROR(INDEX(입력옵션!$C$58:$C$68,MATCH($F580&amp;"",입력옵션!$E$58:$E$68,0)),IFERROR(INDEX(입력옵션!$C$58:$C$68,MATCH($G580&amp;"",입력옵션!$F$58:$F$68,0)),$F580&amp;"")))</f>
        <v/>
      </c>
    </row>
    <row r="581">
      <c r="A581" s="92" t="n">
        <v>2026</v>
      </c>
      <c r="B581" s="92" t="n">
        <v>2</v>
      </c>
      <c r="C581" s="92" t="inlineStr">
        <is>
          <t>PF01</t>
        </is>
      </c>
      <c r="D581" s="92" t="inlineStr">
        <is>
          <t>보장성</t>
        </is>
      </c>
      <c r="E581" s="92" t="inlineStr">
        <is>
          <t>GMM</t>
        </is>
      </c>
      <c r="F581" s="92" t="inlineStr">
        <is>
          <t>F31</t>
        </is>
      </c>
      <c r="G581" s="92" t="inlineStr">
        <is>
          <t>경험조정-취득현금흐름</t>
        </is>
      </c>
      <c r="H581" s="93" t="n">
        <v>0</v>
      </c>
      <c r="I581" s="93" t="n">
        <v>0</v>
      </c>
      <c r="J581" s="93" t="n">
        <v>-25589000</v>
      </c>
      <c r="L581" s="9">
        <f>IF($A581="","",VALUE($A581&amp;"")*12+VALUE($B581&amp;""))</f>
        <v/>
      </c>
      <c r="M581" s="94">
        <f>IF($A581="",0,$H581*설정!$C$23)</f>
        <v/>
      </c>
      <c r="N581" s="94">
        <f>IF($A581="",0,$I581*설정!$C$23)</f>
        <v/>
      </c>
      <c r="O581" s="94">
        <f>IF($A581="",0,$J581*설정!$C$23)</f>
        <v/>
      </c>
      <c r="P581" s="64">
        <f>IF($A581="","",IFERROR(INDEX(입력옵션!$C$58:$C$68,MATCH($F581&amp;"",입력옵션!$E$58:$E$68,0)),IFERROR(INDEX(입력옵션!$C$58:$C$68,MATCH($G581&amp;"",입력옵션!$F$58:$F$68,0)),$F581&amp;"")))</f>
        <v/>
      </c>
    </row>
    <row r="582">
      <c r="A582" s="92" t="n">
        <v>2026</v>
      </c>
      <c r="B582" s="92" t="n">
        <v>2</v>
      </c>
      <c r="C582" s="92" t="inlineStr">
        <is>
          <t>PF01</t>
        </is>
      </c>
      <c r="D582" s="92" t="inlineStr">
        <is>
          <t>보장성</t>
        </is>
      </c>
      <c r="E582" s="92" t="inlineStr">
        <is>
          <t>GMM</t>
        </is>
      </c>
      <c r="F582" s="92" t="inlineStr">
        <is>
          <t>F32</t>
        </is>
      </c>
      <c r="G582" s="92" t="inlineStr">
        <is>
          <t>경험조정-보험료 등</t>
        </is>
      </c>
      <c r="H582" s="93" t="n">
        <v>0</v>
      </c>
      <c r="I582" s="93" t="n">
        <v>0</v>
      </c>
      <c r="J582" s="93" t="n">
        <v>21104000</v>
      </c>
      <c r="L582" s="9">
        <f>IF($A582="","",VALUE($A582&amp;"")*12+VALUE($B582&amp;""))</f>
        <v/>
      </c>
      <c r="M582" s="94">
        <f>IF($A582="",0,$H582*설정!$C$23)</f>
        <v/>
      </c>
      <c r="N582" s="94">
        <f>IF($A582="",0,$I582*설정!$C$23)</f>
        <v/>
      </c>
      <c r="O582" s="94">
        <f>IF($A582="",0,$J582*설정!$C$23)</f>
        <v/>
      </c>
      <c r="P582" s="64">
        <f>IF($A582="","",IFERROR(INDEX(입력옵션!$C$58:$C$68,MATCH($F582&amp;"",입력옵션!$E$58:$E$68,0)),IFERROR(INDEX(입력옵션!$C$58:$C$68,MATCH($G582&amp;"",입력옵션!$F$58:$F$68,0)),$F582&amp;"")))</f>
        <v/>
      </c>
    </row>
    <row r="583">
      <c r="A583" s="92" t="n">
        <v>2026</v>
      </c>
      <c r="B583" s="92" t="n">
        <v>2</v>
      </c>
      <c r="C583" s="92" t="inlineStr">
        <is>
          <t>PF01</t>
        </is>
      </c>
      <c r="D583" s="92" t="inlineStr">
        <is>
          <t>보장성</t>
        </is>
      </c>
      <c r="E583" s="92" t="inlineStr">
        <is>
          <t>GMM</t>
        </is>
      </c>
      <c r="F583" s="92" t="inlineStr">
        <is>
          <t>F40</t>
        </is>
      </c>
      <c r="G583" s="92" t="inlineStr">
        <is>
          <t>보험금융비용(이자부리)</t>
        </is>
      </c>
      <c r="H583" s="93" t="n">
        <v>2672077000</v>
      </c>
      <c r="I583" s="93" t="n">
        <v>144496000</v>
      </c>
      <c r="J583" s="93" t="n">
        <v>614982000</v>
      </c>
      <c r="L583" s="9">
        <f>IF($A583="","",VALUE($A583&amp;"")*12+VALUE($B583&amp;""))</f>
        <v/>
      </c>
      <c r="M583" s="94">
        <f>IF($A583="",0,$H583*설정!$C$23)</f>
        <v/>
      </c>
      <c r="N583" s="94">
        <f>IF($A583="",0,$I583*설정!$C$23)</f>
        <v/>
      </c>
      <c r="O583" s="94">
        <f>IF($A583="",0,$J583*설정!$C$23)</f>
        <v/>
      </c>
      <c r="P583" s="64">
        <f>IF($A583="","",IFERROR(INDEX(입력옵션!$C$58:$C$68,MATCH($F583&amp;"",입력옵션!$E$58:$E$68,0)),IFERROR(INDEX(입력옵션!$C$58:$C$68,MATCH($G583&amp;"",입력옵션!$F$58:$F$68,0)),$F583&amp;"")))</f>
        <v/>
      </c>
    </row>
    <row r="584">
      <c r="A584" s="92" t="n">
        <v>2026</v>
      </c>
      <c r="B584" s="92" t="n">
        <v>2</v>
      </c>
      <c r="C584" s="92" t="inlineStr">
        <is>
          <t>PF01</t>
        </is>
      </c>
      <c r="D584" s="92" t="inlineStr">
        <is>
          <t>보장성</t>
        </is>
      </c>
      <c r="E584" s="92" t="inlineStr">
        <is>
          <t>GMM</t>
        </is>
      </c>
      <c r="F584" s="92" t="inlineStr">
        <is>
          <t>F51</t>
        </is>
      </c>
      <c r="G584" s="92" t="inlineStr">
        <is>
          <t>CSM 상각</t>
        </is>
      </c>
      <c r="H584" s="93" t="n">
        <v>0</v>
      </c>
      <c r="I584" s="93" t="n">
        <v>0</v>
      </c>
      <c r="J584" s="93" t="n">
        <v>-2213937000</v>
      </c>
      <c r="L584" s="9">
        <f>IF($A584="","",VALUE($A584&amp;"")*12+VALUE($B584&amp;""))</f>
        <v/>
      </c>
      <c r="M584" s="94">
        <f>IF($A584="",0,$H584*설정!$C$23)</f>
        <v/>
      </c>
      <c r="N584" s="94">
        <f>IF($A584="",0,$I584*설정!$C$23)</f>
        <v/>
      </c>
      <c r="O584" s="94">
        <f>IF($A584="",0,$J584*설정!$C$23)</f>
        <v/>
      </c>
      <c r="P584" s="64">
        <f>IF($A584="","",IFERROR(INDEX(입력옵션!$C$58:$C$68,MATCH($F584&amp;"",입력옵션!$E$58:$E$68,0)),IFERROR(INDEX(입력옵션!$C$58:$C$68,MATCH($G584&amp;"",입력옵션!$F$58:$F$68,0)),$F584&amp;"")))</f>
        <v/>
      </c>
    </row>
    <row r="585">
      <c r="A585" s="92" t="n">
        <v>2026</v>
      </c>
      <c r="B585" s="92" t="n">
        <v>2</v>
      </c>
      <c r="C585" s="92" t="inlineStr">
        <is>
          <t>PF01</t>
        </is>
      </c>
      <c r="D585" s="92" t="inlineStr">
        <is>
          <t>보장성</t>
        </is>
      </c>
      <c r="E585" s="92" t="inlineStr">
        <is>
          <t>GMM</t>
        </is>
      </c>
      <c r="F585" s="92" t="inlineStr">
        <is>
          <t>F52</t>
        </is>
      </c>
      <c r="G585" s="92" t="inlineStr">
        <is>
          <t>RA 해제</t>
        </is>
      </c>
      <c r="H585" s="93" t="n">
        <v>0</v>
      </c>
      <c r="I585" s="93" t="n">
        <v>-433489000</v>
      </c>
      <c r="J585" s="93" t="n">
        <v>0</v>
      </c>
      <c r="L585" s="9">
        <f>IF($A585="","",VALUE($A585&amp;"")*12+VALUE($B585&amp;""))</f>
        <v/>
      </c>
      <c r="M585" s="94">
        <f>IF($A585="",0,$H585*설정!$C$23)</f>
        <v/>
      </c>
      <c r="N585" s="94">
        <f>IF($A585="",0,$I585*설정!$C$23)</f>
        <v/>
      </c>
      <c r="O585" s="94">
        <f>IF($A585="",0,$J585*설정!$C$23)</f>
        <v/>
      </c>
      <c r="P585" s="64">
        <f>IF($A585="","",IFERROR(INDEX(입력옵션!$C$58:$C$68,MATCH($F585&amp;"",입력옵션!$E$58:$E$68,0)),IFERROR(INDEX(입력옵션!$C$58:$C$68,MATCH($G585&amp;"",입력옵션!$F$58:$F$68,0)),$F585&amp;"")))</f>
        <v/>
      </c>
    </row>
    <row r="586">
      <c r="A586" s="92" t="n">
        <v>2026</v>
      </c>
      <c r="B586" s="92" t="n">
        <v>2</v>
      </c>
      <c r="C586" s="92" t="inlineStr">
        <is>
          <t>PF01</t>
        </is>
      </c>
      <c r="D586" s="92" t="inlineStr">
        <is>
          <t>보장성</t>
        </is>
      </c>
      <c r="E586" s="92" t="inlineStr">
        <is>
          <t>GMM</t>
        </is>
      </c>
      <c r="F586" s="92" t="inlineStr">
        <is>
          <t>F60</t>
        </is>
      </c>
      <c r="G586" s="92" t="inlineStr">
        <is>
          <t>현금흐름 및 기타</t>
        </is>
      </c>
      <c r="H586" s="93" t="n">
        <v>6620516000</v>
      </c>
      <c r="I586" s="93" t="n">
        <v>746504000</v>
      </c>
      <c r="J586" s="93" t="n">
        <v>0</v>
      </c>
      <c r="L586" s="9">
        <f>IF($A586="","",VALUE($A586&amp;"")*12+VALUE($B586&amp;""))</f>
        <v/>
      </c>
      <c r="M586" s="94">
        <f>IF($A586="",0,$H586*설정!$C$23)</f>
        <v/>
      </c>
      <c r="N586" s="94">
        <f>IF($A586="",0,$I586*설정!$C$23)</f>
        <v/>
      </c>
      <c r="O586" s="94">
        <f>IF($A586="",0,$J586*설정!$C$23)</f>
        <v/>
      </c>
      <c r="P586" s="64">
        <f>IF($A586="","",IFERROR(INDEX(입력옵션!$C$58:$C$68,MATCH($F586&amp;"",입력옵션!$E$58:$E$68,0)),IFERROR(INDEX(입력옵션!$C$58:$C$68,MATCH($G586&amp;"",입력옵션!$F$58:$F$68,0)),$F586&amp;"")))</f>
        <v/>
      </c>
    </row>
    <row r="587">
      <c r="A587" s="92" t="n">
        <v>2026</v>
      </c>
      <c r="B587" s="92" t="n">
        <v>2</v>
      </c>
      <c r="C587" s="92" t="inlineStr">
        <is>
          <t>PF01</t>
        </is>
      </c>
      <c r="D587" s="92" t="inlineStr">
        <is>
          <t>보장성</t>
        </is>
      </c>
      <c r="E587" s="92" t="inlineStr">
        <is>
          <t>GMM</t>
        </is>
      </c>
      <c r="F587" s="92" t="inlineStr">
        <is>
          <t>F99</t>
        </is>
      </c>
      <c r="G587" s="92" t="inlineStr">
        <is>
          <t>기말잔액</t>
        </is>
      </c>
      <c r="H587" s="93" t="n">
        <v>1074950800000</v>
      </c>
      <c r="I587" s="93" t="n">
        <v>73340220000</v>
      </c>
      <c r="J587" s="93" t="n">
        <v>246927712000</v>
      </c>
      <c r="L587" s="9">
        <f>IF($A587="","",VALUE($A587&amp;"")*12+VALUE($B587&amp;""))</f>
        <v/>
      </c>
      <c r="M587" s="94">
        <f>IF($A587="",0,$H587*설정!$C$23)</f>
        <v/>
      </c>
      <c r="N587" s="94">
        <f>IF($A587="",0,$I587*설정!$C$23)</f>
        <v/>
      </c>
      <c r="O587" s="94">
        <f>IF($A587="",0,$J587*설정!$C$23)</f>
        <v/>
      </c>
      <c r="P587" s="64">
        <f>IF($A587="","",IFERROR(INDEX(입력옵션!$C$58:$C$68,MATCH($F587&amp;"",입력옵션!$E$58:$E$68,0)),IFERROR(INDEX(입력옵션!$C$58:$C$68,MATCH($G587&amp;"",입력옵션!$F$58:$F$68,0)),$F587&amp;"")))</f>
        <v/>
      </c>
    </row>
    <row r="588">
      <c r="A588" s="92" t="n">
        <v>2026</v>
      </c>
      <c r="B588" s="92" t="n">
        <v>2</v>
      </c>
      <c r="C588" s="92" t="inlineStr">
        <is>
          <t>PF02</t>
        </is>
      </c>
      <c r="D588" s="92" t="inlineStr">
        <is>
          <t>저축성</t>
        </is>
      </c>
      <c r="E588" s="92" t="inlineStr">
        <is>
          <t>GMM</t>
        </is>
      </c>
      <c r="F588" s="92" t="inlineStr">
        <is>
          <t>F00</t>
        </is>
      </c>
      <c r="G588" s="92" t="inlineStr">
        <is>
          <t>기초잔액</t>
        </is>
      </c>
      <c r="H588" s="93" t="n">
        <v>705428427000</v>
      </c>
      <c r="I588" s="93" t="n">
        <v>30103400000</v>
      </c>
      <c r="J588" s="93" t="n">
        <v>98789681000</v>
      </c>
      <c r="L588" s="9">
        <f>IF($A588="","",VALUE($A588&amp;"")*12+VALUE($B588&amp;""))</f>
        <v/>
      </c>
      <c r="M588" s="94">
        <f>IF($A588="",0,$H588*설정!$C$23)</f>
        <v/>
      </c>
      <c r="N588" s="94">
        <f>IF($A588="",0,$I588*설정!$C$23)</f>
        <v/>
      </c>
      <c r="O588" s="94">
        <f>IF($A588="",0,$J588*설정!$C$23)</f>
        <v/>
      </c>
      <c r="P588" s="64">
        <f>IF($A588="","",IFERROR(INDEX(입력옵션!$C$58:$C$68,MATCH($F588&amp;"",입력옵션!$E$58:$E$68,0)),IFERROR(INDEX(입력옵션!$C$58:$C$68,MATCH($G588&amp;"",입력옵션!$F$58:$F$68,0)),$F588&amp;"")))</f>
        <v/>
      </c>
    </row>
    <row r="589">
      <c r="A589" s="92" t="n">
        <v>2026</v>
      </c>
      <c r="B589" s="92" t="n">
        <v>2</v>
      </c>
      <c r="C589" s="92" t="inlineStr">
        <is>
          <t>PF02</t>
        </is>
      </c>
      <c r="D589" s="92" t="inlineStr">
        <is>
          <t>저축성</t>
        </is>
      </c>
      <c r="E589" s="92" t="inlineStr">
        <is>
          <t>GMM</t>
        </is>
      </c>
      <c r="F589" s="92" t="inlineStr">
        <is>
          <t>F10</t>
        </is>
      </c>
      <c r="G589" s="92" t="inlineStr">
        <is>
          <t>신계약 효과</t>
        </is>
      </c>
      <c r="H589" s="93" t="n">
        <v>-1279332000</v>
      </c>
      <c r="I589" s="93" t="n">
        <v>255866000</v>
      </c>
      <c r="J589" s="93" t="n">
        <v>1023466000</v>
      </c>
      <c r="L589" s="9">
        <f>IF($A589="","",VALUE($A589&amp;"")*12+VALUE($B589&amp;""))</f>
        <v/>
      </c>
      <c r="M589" s="94">
        <f>IF($A589="",0,$H589*설정!$C$23)</f>
        <v/>
      </c>
      <c r="N589" s="94">
        <f>IF($A589="",0,$I589*설정!$C$23)</f>
        <v/>
      </c>
      <c r="O589" s="94">
        <f>IF($A589="",0,$J589*설정!$C$23)</f>
        <v/>
      </c>
      <c r="P589" s="64">
        <f>IF($A589="","",IFERROR(INDEX(입력옵션!$C$58:$C$68,MATCH($F589&amp;"",입력옵션!$E$58:$E$68,0)),IFERROR(INDEX(입력옵션!$C$58:$C$68,MATCH($G589&amp;"",입력옵션!$F$58:$F$68,0)),$F589&amp;"")))</f>
        <v/>
      </c>
    </row>
    <row r="590">
      <c r="A590" s="92" t="n">
        <v>2026</v>
      </c>
      <c r="B590" s="92" t="n">
        <v>2</v>
      </c>
      <c r="C590" s="92" t="inlineStr">
        <is>
          <t>PF02</t>
        </is>
      </c>
      <c r="D590" s="92" t="inlineStr">
        <is>
          <t>저축성</t>
        </is>
      </c>
      <c r="E590" s="92" t="inlineStr">
        <is>
          <t>GMM</t>
        </is>
      </c>
      <c r="F590" s="92" t="inlineStr">
        <is>
          <t>F21</t>
        </is>
      </c>
      <c r="G590" s="92" t="inlineStr">
        <is>
          <t>가정변경-사업비</t>
        </is>
      </c>
      <c r="H590" s="93" t="n">
        <v>0</v>
      </c>
      <c r="I590" s="93" t="n">
        <v>0</v>
      </c>
      <c r="J590" s="93" t="n">
        <v>0</v>
      </c>
      <c r="L590" s="9">
        <f>IF($A590="","",VALUE($A590&amp;"")*12+VALUE($B590&amp;""))</f>
        <v/>
      </c>
      <c r="M590" s="94">
        <f>IF($A590="",0,$H590*설정!$C$23)</f>
        <v/>
      </c>
      <c r="N590" s="94">
        <f>IF($A590="",0,$I590*설정!$C$23)</f>
        <v/>
      </c>
      <c r="O590" s="94">
        <f>IF($A590="",0,$J590*설정!$C$23)</f>
        <v/>
      </c>
      <c r="P590" s="64">
        <f>IF($A590="","",IFERROR(INDEX(입력옵션!$C$58:$C$68,MATCH($F590&amp;"",입력옵션!$E$58:$E$68,0)),IFERROR(INDEX(입력옵션!$C$58:$C$68,MATCH($G590&amp;"",입력옵션!$F$58:$F$68,0)),$F590&amp;"")))</f>
        <v/>
      </c>
    </row>
    <row r="591">
      <c r="A591" s="92" t="n">
        <v>2026</v>
      </c>
      <c r="B591" s="92" t="n">
        <v>2</v>
      </c>
      <c r="C591" s="92" t="inlineStr">
        <is>
          <t>PF02</t>
        </is>
      </c>
      <c r="D591" s="92" t="inlineStr">
        <is>
          <t>저축성</t>
        </is>
      </c>
      <c r="E591" s="92" t="inlineStr">
        <is>
          <t>GMM</t>
        </is>
      </c>
      <c r="F591" s="92" t="inlineStr">
        <is>
          <t>F22</t>
        </is>
      </c>
      <c r="G591" s="92" t="inlineStr">
        <is>
          <t>가정변경-기타</t>
        </is>
      </c>
      <c r="H591" s="93" t="n">
        <v>0</v>
      </c>
      <c r="I591" s="93" t="n">
        <v>0</v>
      </c>
      <c r="J591" s="93" t="n">
        <v>0</v>
      </c>
      <c r="L591" s="9">
        <f>IF($A591="","",VALUE($A591&amp;"")*12+VALUE($B591&amp;""))</f>
        <v/>
      </c>
      <c r="M591" s="94">
        <f>IF($A591="",0,$H591*설정!$C$23)</f>
        <v/>
      </c>
      <c r="N591" s="94">
        <f>IF($A591="",0,$I591*설정!$C$23)</f>
        <v/>
      </c>
      <c r="O591" s="94">
        <f>IF($A591="",0,$J591*설정!$C$23)</f>
        <v/>
      </c>
      <c r="P591" s="64">
        <f>IF($A591="","",IFERROR(INDEX(입력옵션!$C$58:$C$68,MATCH($F591&amp;"",입력옵션!$E$58:$E$68,0)),IFERROR(INDEX(입력옵션!$C$58:$C$68,MATCH($G591&amp;"",입력옵션!$F$58:$F$68,0)),$F591&amp;"")))</f>
        <v/>
      </c>
    </row>
    <row r="592">
      <c r="A592" s="92" t="n">
        <v>2026</v>
      </c>
      <c r="B592" s="92" t="n">
        <v>2</v>
      </c>
      <c r="C592" s="92" t="inlineStr">
        <is>
          <t>PF02</t>
        </is>
      </c>
      <c r="D592" s="92" t="inlineStr">
        <is>
          <t>저축성</t>
        </is>
      </c>
      <c r="E592" s="92" t="inlineStr">
        <is>
          <t>GMM</t>
        </is>
      </c>
      <c r="F592" s="92" t="inlineStr">
        <is>
          <t>F31</t>
        </is>
      </c>
      <c r="G592" s="92" t="inlineStr">
        <is>
          <t>경험조정-취득현금흐름</t>
        </is>
      </c>
      <c r="H592" s="93" t="n">
        <v>0</v>
      </c>
      <c r="I592" s="93" t="n">
        <v>0</v>
      </c>
      <c r="J592" s="93" t="n">
        <v>-7832000</v>
      </c>
      <c r="L592" s="9">
        <f>IF($A592="","",VALUE($A592&amp;"")*12+VALUE($B592&amp;""))</f>
        <v/>
      </c>
      <c r="M592" s="94">
        <f>IF($A592="",0,$H592*설정!$C$23)</f>
        <v/>
      </c>
      <c r="N592" s="94">
        <f>IF($A592="",0,$I592*설정!$C$23)</f>
        <v/>
      </c>
      <c r="O592" s="94">
        <f>IF($A592="",0,$J592*설정!$C$23)</f>
        <v/>
      </c>
      <c r="P592" s="64">
        <f>IF($A592="","",IFERROR(INDEX(입력옵션!$C$58:$C$68,MATCH($F592&amp;"",입력옵션!$E$58:$E$68,0)),IFERROR(INDEX(입력옵션!$C$58:$C$68,MATCH($G592&amp;"",입력옵션!$F$58:$F$68,0)),$F592&amp;"")))</f>
        <v/>
      </c>
    </row>
    <row r="593">
      <c r="A593" s="92" t="n">
        <v>2026</v>
      </c>
      <c r="B593" s="92" t="n">
        <v>2</v>
      </c>
      <c r="C593" s="92" t="inlineStr">
        <is>
          <t>PF02</t>
        </is>
      </c>
      <c r="D593" s="92" t="inlineStr">
        <is>
          <t>저축성</t>
        </is>
      </c>
      <c r="E593" s="92" t="inlineStr">
        <is>
          <t>GMM</t>
        </is>
      </c>
      <c r="F593" s="92" t="inlineStr">
        <is>
          <t>F32</t>
        </is>
      </c>
      <c r="G593" s="92" t="inlineStr">
        <is>
          <t>경험조정-보험료 등</t>
        </is>
      </c>
      <c r="H593" s="93" t="n">
        <v>0</v>
      </c>
      <c r="I593" s="93" t="n">
        <v>0</v>
      </c>
      <c r="J593" s="93" t="n">
        <v>84486000</v>
      </c>
      <c r="L593" s="9">
        <f>IF($A593="","",VALUE($A593&amp;"")*12+VALUE($B593&amp;""))</f>
        <v/>
      </c>
      <c r="M593" s="94">
        <f>IF($A593="",0,$H593*설정!$C$23)</f>
        <v/>
      </c>
      <c r="N593" s="94">
        <f>IF($A593="",0,$I593*설정!$C$23)</f>
        <v/>
      </c>
      <c r="O593" s="94">
        <f>IF($A593="",0,$J593*설정!$C$23)</f>
        <v/>
      </c>
      <c r="P593" s="64">
        <f>IF($A593="","",IFERROR(INDEX(입력옵션!$C$58:$C$68,MATCH($F593&amp;"",입력옵션!$E$58:$E$68,0)),IFERROR(INDEX(입력옵션!$C$58:$C$68,MATCH($G593&amp;"",입력옵션!$F$58:$F$68,0)),$F593&amp;"")))</f>
        <v/>
      </c>
    </row>
    <row r="594">
      <c r="A594" s="92" t="n">
        <v>2026</v>
      </c>
      <c r="B594" s="92" t="n">
        <v>2</v>
      </c>
      <c r="C594" s="92" t="inlineStr">
        <is>
          <t>PF02</t>
        </is>
      </c>
      <c r="D594" s="92" t="inlineStr">
        <is>
          <t>저축성</t>
        </is>
      </c>
      <c r="E594" s="92" t="inlineStr">
        <is>
          <t>GMM</t>
        </is>
      </c>
      <c r="F594" s="92" t="inlineStr">
        <is>
          <t>F40</t>
        </is>
      </c>
      <c r="G594" s="92" t="inlineStr">
        <is>
          <t>보험금융비용(이자부리)</t>
        </is>
      </c>
      <c r="H594" s="93" t="n">
        <v>1763571000</v>
      </c>
      <c r="I594" s="93" t="n">
        <v>60207000</v>
      </c>
      <c r="J594" s="93" t="n">
        <v>246974000</v>
      </c>
      <c r="L594" s="9">
        <f>IF($A594="","",VALUE($A594&amp;"")*12+VALUE($B594&amp;""))</f>
        <v/>
      </c>
      <c r="M594" s="94">
        <f>IF($A594="",0,$H594*설정!$C$23)</f>
        <v/>
      </c>
      <c r="N594" s="94">
        <f>IF($A594="",0,$I594*설정!$C$23)</f>
        <v/>
      </c>
      <c r="O594" s="94">
        <f>IF($A594="",0,$J594*설정!$C$23)</f>
        <v/>
      </c>
      <c r="P594" s="64">
        <f>IF($A594="","",IFERROR(INDEX(입력옵션!$C$58:$C$68,MATCH($F594&amp;"",입력옵션!$E$58:$E$68,0)),IFERROR(INDEX(입력옵션!$C$58:$C$68,MATCH($G594&amp;"",입력옵션!$F$58:$F$68,0)),$F594&amp;"")))</f>
        <v/>
      </c>
    </row>
    <row r="595">
      <c r="A595" s="92" t="n">
        <v>2026</v>
      </c>
      <c r="B595" s="92" t="n">
        <v>2</v>
      </c>
      <c r="C595" s="92" t="inlineStr">
        <is>
          <t>PF02</t>
        </is>
      </c>
      <c r="D595" s="92" t="inlineStr">
        <is>
          <t>저축성</t>
        </is>
      </c>
      <c r="E595" s="92" t="inlineStr">
        <is>
          <t>GMM</t>
        </is>
      </c>
      <c r="F595" s="92" t="inlineStr">
        <is>
          <t>F51</t>
        </is>
      </c>
      <c r="G595" s="92" t="inlineStr">
        <is>
          <t>CSM 상각</t>
        </is>
      </c>
      <c r="H595" s="93" t="n">
        <v>0</v>
      </c>
      <c r="I595" s="93" t="n">
        <v>0</v>
      </c>
      <c r="J595" s="93" t="n">
        <v>-889107000</v>
      </c>
      <c r="L595" s="9">
        <f>IF($A595="","",VALUE($A595&amp;"")*12+VALUE($B595&amp;""))</f>
        <v/>
      </c>
      <c r="M595" s="94">
        <f>IF($A595="",0,$H595*설정!$C$23)</f>
        <v/>
      </c>
      <c r="N595" s="94">
        <f>IF($A595="",0,$I595*설정!$C$23)</f>
        <v/>
      </c>
      <c r="O595" s="94">
        <f>IF($A595="",0,$J595*설정!$C$23)</f>
        <v/>
      </c>
      <c r="P595" s="64">
        <f>IF($A595="","",IFERROR(INDEX(입력옵션!$C$58:$C$68,MATCH($F595&amp;"",입력옵션!$E$58:$E$68,0)),IFERROR(INDEX(입력옵션!$C$58:$C$68,MATCH($G595&amp;"",입력옵션!$F$58:$F$68,0)),$F595&amp;"")))</f>
        <v/>
      </c>
    </row>
    <row r="596">
      <c r="A596" s="92" t="n">
        <v>2026</v>
      </c>
      <c r="B596" s="92" t="n">
        <v>2</v>
      </c>
      <c r="C596" s="92" t="inlineStr">
        <is>
          <t>PF02</t>
        </is>
      </c>
      <c r="D596" s="92" t="inlineStr">
        <is>
          <t>저축성</t>
        </is>
      </c>
      <c r="E596" s="92" t="inlineStr">
        <is>
          <t>GMM</t>
        </is>
      </c>
      <c r="F596" s="92" t="inlineStr">
        <is>
          <t>F52</t>
        </is>
      </c>
      <c r="G596" s="92" t="inlineStr">
        <is>
          <t>RA 해제</t>
        </is>
      </c>
      <c r="H596" s="93" t="n">
        <v>0</v>
      </c>
      <c r="I596" s="93" t="n">
        <v>-180620000</v>
      </c>
      <c r="J596" s="93" t="n">
        <v>0</v>
      </c>
      <c r="L596" s="9">
        <f>IF($A596="","",VALUE($A596&amp;"")*12+VALUE($B596&amp;""))</f>
        <v/>
      </c>
      <c r="M596" s="94">
        <f>IF($A596="",0,$H596*설정!$C$23)</f>
        <v/>
      </c>
      <c r="N596" s="94">
        <f>IF($A596="",0,$I596*설정!$C$23)</f>
        <v/>
      </c>
      <c r="O596" s="94">
        <f>IF($A596="",0,$J596*설정!$C$23)</f>
        <v/>
      </c>
      <c r="P596" s="64">
        <f>IF($A596="","",IFERROR(INDEX(입력옵션!$C$58:$C$68,MATCH($F596&amp;"",입력옵션!$E$58:$E$68,0)),IFERROR(INDEX(입력옵션!$C$58:$C$68,MATCH($G596&amp;"",입력옵션!$F$58:$F$68,0)),$F596&amp;"")))</f>
        <v/>
      </c>
    </row>
    <row r="597">
      <c r="A597" s="92" t="n">
        <v>2026</v>
      </c>
      <c r="B597" s="92" t="n">
        <v>2</v>
      </c>
      <c r="C597" s="92" t="inlineStr">
        <is>
          <t>PF02</t>
        </is>
      </c>
      <c r="D597" s="92" t="inlineStr">
        <is>
          <t>저축성</t>
        </is>
      </c>
      <c r="E597" s="92" t="inlineStr">
        <is>
          <t>GMM</t>
        </is>
      </c>
      <c r="F597" s="92" t="inlineStr">
        <is>
          <t>F60</t>
        </is>
      </c>
      <c r="G597" s="92" t="inlineStr">
        <is>
          <t>현금흐름 및 기타</t>
        </is>
      </c>
      <c r="H597" s="93" t="n">
        <v>3554862000</v>
      </c>
      <c r="I597" s="93" t="n">
        <v>319572000</v>
      </c>
      <c r="J597" s="93" t="n">
        <v>0</v>
      </c>
      <c r="L597" s="9">
        <f>IF($A597="","",VALUE($A597&amp;"")*12+VALUE($B597&amp;""))</f>
        <v/>
      </c>
      <c r="M597" s="94">
        <f>IF($A597="",0,$H597*설정!$C$23)</f>
        <v/>
      </c>
      <c r="N597" s="94">
        <f>IF($A597="",0,$I597*설정!$C$23)</f>
        <v/>
      </c>
      <c r="O597" s="94">
        <f>IF($A597="",0,$J597*설정!$C$23)</f>
        <v/>
      </c>
      <c r="P597" s="64">
        <f>IF($A597="","",IFERROR(INDEX(입력옵션!$C$58:$C$68,MATCH($F597&amp;"",입력옵션!$E$58:$E$68,0)),IFERROR(INDEX(입력옵션!$C$58:$C$68,MATCH($G597&amp;"",입력옵션!$F$58:$F$68,0)),$F597&amp;"")))</f>
        <v/>
      </c>
    </row>
    <row r="598">
      <c r="A598" s="92" t="n">
        <v>2026</v>
      </c>
      <c r="B598" s="92" t="n">
        <v>2</v>
      </c>
      <c r="C598" s="92" t="inlineStr">
        <is>
          <t>PF02</t>
        </is>
      </c>
      <c r="D598" s="92" t="inlineStr">
        <is>
          <t>저축성</t>
        </is>
      </c>
      <c r="E598" s="92" t="inlineStr">
        <is>
          <t>GMM</t>
        </is>
      </c>
      <c r="F598" s="92" t="inlineStr">
        <is>
          <t>F99</t>
        </is>
      </c>
      <c r="G598" s="92" t="inlineStr">
        <is>
          <t>기말잔액</t>
        </is>
      </c>
      <c r="H598" s="93" t="n">
        <v>709467528000</v>
      </c>
      <c r="I598" s="93" t="n">
        <v>30558425000</v>
      </c>
      <c r="J598" s="93" t="n">
        <v>99247668000</v>
      </c>
      <c r="L598" s="9">
        <f>IF($A598="","",VALUE($A598&amp;"")*12+VALUE($B598&amp;""))</f>
        <v/>
      </c>
      <c r="M598" s="94">
        <f>IF($A598="",0,$H598*설정!$C$23)</f>
        <v/>
      </c>
      <c r="N598" s="94">
        <f>IF($A598="",0,$I598*설정!$C$23)</f>
        <v/>
      </c>
      <c r="O598" s="94">
        <f>IF($A598="",0,$J598*설정!$C$23)</f>
        <v/>
      </c>
      <c r="P598" s="64">
        <f>IF($A598="","",IFERROR(INDEX(입력옵션!$C$58:$C$68,MATCH($F598&amp;"",입력옵션!$E$58:$E$68,0)),IFERROR(INDEX(입력옵션!$C$58:$C$68,MATCH($G598&amp;"",입력옵션!$F$58:$F$68,0)),$F598&amp;"")))</f>
        <v/>
      </c>
    </row>
    <row r="599">
      <c r="A599" s="92" t="n">
        <v>2026</v>
      </c>
      <c r="B599" s="92" t="n">
        <v>2</v>
      </c>
      <c r="C599" s="92" t="inlineStr">
        <is>
          <t>PF03</t>
        </is>
      </c>
      <c r="D599" s="92" t="inlineStr">
        <is>
          <t>단체(단기)</t>
        </is>
      </c>
      <c r="E599" s="92" t="inlineStr">
        <is>
          <t>PAA</t>
        </is>
      </c>
      <c r="F599" s="92" t="inlineStr">
        <is>
          <t>F00</t>
        </is>
      </c>
      <c r="G599" s="92" t="inlineStr">
        <is>
          <t>기초잔액</t>
        </is>
      </c>
      <c r="H599" s="93" t="n">
        <v>42753238000</v>
      </c>
      <c r="I599" s="93" t="n">
        <v>2408272000</v>
      </c>
      <c r="J599" s="93" t="n">
        <v>0</v>
      </c>
      <c r="L599" s="9">
        <f>IF($A599="","",VALUE($A599&amp;"")*12+VALUE($B599&amp;""))</f>
        <v/>
      </c>
      <c r="M599" s="94">
        <f>IF($A599="",0,$H599*설정!$C$23)</f>
        <v/>
      </c>
      <c r="N599" s="94">
        <f>IF($A599="",0,$I599*설정!$C$23)</f>
        <v/>
      </c>
      <c r="O599" s="94">
        <f>IF($A599="",0,$J599*설정!$C$23)</f>
        <v/>
      </c>
      <c r="P599" s="64">
        <f>IF($A599="","",IFERROR(INDEX(입력옵션!$C$58:$C$68,MATCH($F599&amp;"",입력옵션!$E$58:$E$68,0)),IFERROR(INDEX(입력옵션!$C$58:$C$68,MATCH($G599&amp;"",입력옵션!$F$58:$F$68,0)),$F599&amp;"")))</f>
        <v/>
      </c>
    </row>
    <row r="600">
      <c r="A600" s="92" t="n">
        <v>2026</v>
      </c>
      <c r="B600" s="92" t="n">
        <v>2</v>
      </c>
      <c r="C600" s="92" t="inlineStr">
        <is>
          <t>PF03</t>
        </is>
      </c>
      <c r="D600" s="92" t="inlineStr">
        <is>
          <t>단체(단기)</t>
        </is>
      </c>
      <c r="E600" s="92" t="inlineStr">
        <is>
          <t>PAA</t>
        </is>
      </c>
      <c r="F600" s="92" t="inlineStr">
        <is>
          <t>F10</t>
        </is>
      </c>
      <c r="G600" s="92" t="inlineStr">
        <is>
          <t>신계약 효과</t>
        </is>
      </c>
      <c r="H600" s="93" t="n">
        <v>0</v>
      </c>
      <c r="I600" s="93" t="n">
        <v>0</v>
      </c>
      <c r="J600" s="93" t="n">
        <v>0</v>
      </c>
      <c r="L600" s="9">
        <f>IF($A600="","",VALUE($A600&amp;"")*12+VALUE($B600&amp;""))</f>
        <v/>
      </c>
      <c r="M600" s="94">
        <f>IF($A600="",0,$H600*설정!$C$23)</f>
        <v/>
      </c>
      <c r="N600" s="94">
        <f>IF($A600="",0,$I600*설정!$C$23)</f>
        <v/>
      </c>
      <c r="O600" s="94">
        <f>IF($A600="",0,$J600*설정!$C$23)</f>
        <v/>
      </c>
      <c r="P600" s="64">
        <f>IF($A600="","",IFERROR(INDEX(입력옵션!$C$58:$C$68,MATCH($F600&amp;"",입력옵션!$E$58:$E$68,0)),IFERROR(INDEX(입력옵션!$C$58:$C$68,MATCH($G600&amp;"",입력옵션!$F$58:$F$68,0)),$F600&amp;"")))</f>
        <v/>
      </c>
    </row>
    <row r="601">
      <c r="A601" s="92" t="n">
        <v>2026</v>
      </c>
      <c r="B601" s="92" t="n">
        <v>2</v>
      </c>
      <c r="C601" s="92" t="inlineStr">
        <is>
          <t>PF03</t>
        </is>
      </c>
      <c r="D601" s="92" t="inlineStr">
        <is>
          <t>단체(단기)</t>
        </is>
      </c>
      <c r="E601" s="92" t="inlineStr">
        <is>
          <t>PAA</t>
        </is>
      </c>
      <c r="F601" s="92" t="inlineStr">
        <is>
          <t>F21</t>
        </is>
      </c>
      <c r="G601" s="92" t="inlineStr">
        <is>
          <t>가정변경-사업비</t>
        </is>
      </c>
      <c r="H601" s="93" t="n">
        <v>0</v>
      </c>
      <c r="I601" s="93" t="n">
        <v>0</v>
      </c>
      <c r="J601" s="93" t="n">
        <v>0</v>
      </c>
      <c r="L601" s="9">
        <f>IF($A601="","",VALUE($A601&amp;"")*12+VALUE($B601&amp;""))</f>
        <v/>
      </c>
      <c r="M601" s="94">
        <f>IF($A601="",0,$H601*설정!$C$23)</f>
        <v/>
      </c>
      <c r="N601" s="94">
        <f>IF($A601="",0,$I601*설정!$C$23)</f>
        <v/>
      </c>
      <c r="O601" s="94">
        <f>IF($A601="",0,$J601*설정!$C$23)</f>
        <v/>
      </c>
      <c r="P601" s="64">
        <f>IF($A601="","",IFERROR(INDEX(입력옵션!$C$58:$C$68,MATCH($F601&amp;"",입력옵션!$E$58:$E$68,0)),IFERROR(INDEX(입력옵션!$C$58:$C$68,MATCH($G601&amp;"",입력옵션!$F$58:$F$68,0)),$F601&amp;"")))</f>
        <v/>
      </c>
    </row>
    <row r="602">
      <c r="A602" s="92" t="n">
        <v>2026</v>
      </c>
      <c r="B602" s="92" t="n">
        <v>2</v>
      </c>
      <c r="C602" s="92" t="inlineStr">
        <is>
          <t>PF03</t>
        </is>
      </c>
      <c r="D602" s="92" t="inlineStr">
        <is>
          <t>단체(단기)</t>
        </is>
      </c>
      <c r="E602" s="92" t="inlineStr">
        <is>
          <t>PAA</t>
        </is>
      </c>
      <c r="F602" s="92" t="inlineStr">
        <is>
          <t>F22</t>
        </is>
      </c>
      <c r="G602" s="92" t="inlineStr">
        <is>
          <t>가정변경-기타</t>
        </is>
      </c>
      <c r="H602" s="93" t="n">
        <v>0</v>
      </c>
      <c r="I602" s="93" t="n">
        <v>0</v>
      </c>
      <c r="J602" s="93" t="n">
        <v>0</v>
      </c>
      <c r="L602" s="9">
        <f>IF($A602="","",VALUE($A602&amp;"")*12+VALUE($B602&amp;""))</f>
        <v/>
      </c>
      <c r="M602" s="94">
        <f>IF($A602="",0,$H602*설정!$C$23)</f>
        <v/>
      </c>
      <c r="N602" s="94">
        <f>IF($A602="",0,$I602*설정!$C$23)</f>
        <v/>
      </c>
      <c r="O602" s="94">
        <f>IF($A602="",0,$J602*설정!$C$23)</f>
        <v/>
      </c>
      <c r="P602" s="64">
        <f>IF($A602="","",IFERROR(INDEX(입력옵션!$C$58:$C$68,MATCH($F602&amp;"",입력옵션!$E$58:$E$68,0)),IFERROR(INDEX(입력옵션!$C$58:$C$68,MATCH($G602&amp;"",입력옵션!$F$58:$F$68,0)),$F602&amp;"")))</f>
        <v/>
      </c>
    </row>
    <row r="603">
      <c r="A603" s="92" t="n">
        <v>2026</v>
      </c>
      <c r="B603" s="92" t="n">
        <v>2</v>
      </c>
      <c r="C603" s="92" t="inlineStr">
        <is>
          <t>PF03</t>
        </is>
      </c>
      <c r="D603" s="92" t="inlineStr">
        <is>
          <t>단체(단기)</t>
        </is>
      </c>
      <c r="E603" s="92" t="inlineStr">
        <is>
          <t>PAA</t>
        </is>
      </c>
      <c r="F603" s="92" t="inlineStr">
        <is>
          <t>F31</t>
        </is>
      </c>
      <c r="G603" s="92" t="inlineStr">
        <is>
          <t>경험조정-취득현금흐름</t>
        </is>
      </c>
      <c r="H603" s="93" t="n">
        <v>0</v>
      </c>
      <c r="I603" s="93" t="n">
        <v>0</v>
      </c>
      <c r="J603" s="93" t="n">
        <v>0</v>
      </c>
      <c r="L603" s="9">
        <f>IF($A603="","",VALUE($A603&amp;"")*12+VALUE($B603&amp;""))</f>
        <v/>
      </c>
      <c r="M603" s="94">
        <f>IF($A603="",0,$H603*설정!$C$23)</f>
        <v/>
      </c>
      <c r="N603" s="94">
        <f>IF($A603="",0,$I603*설정!$C$23)</f>
        <v/>
      </c>
      <c r="O603" s="94">
        <f>IF($A603="",0,$J603*설정!$C$23)</f>
        <v/>
      </c>
      <c r="P603" s="64">
        <f>IF($A603="","",IFERROR(INDEX(입력옵션!$C$58:$C$68,MATCH($F603&amp;"",입력옵션!$E$58:$E$68,0)),IFERROR(INDEX(입력옵션!$C$58:$C$68,MATCH($G603&amp;"",입력옵션!$F$58:$F$68,0)),$F603&amp;"")))</f>
        <v/>
      </c>
    </row>
    <row r="604">
      <c r="A604" s="92" t="n">
        <v>2026</v>
      </c>
      <c r="B604" s="92" t="n">
        <v>2</v>
      </c>
      <c r="C604" s="92" t="inlineStr">
        <is>
          <t>PF03</t>
        </is>
      </c>
      <c r="D604" s="92" t="inlineStr">
        <is>
          <t>단체(단기)</t>
        </is>
      </c>
      <c r="E604" s="92" t="inlineStr">
        <is>
          <t>PAA</t>
        </is>
      </c>
      <c r="F604" s="92" t="inlineStr">
        <is>
          <t>F32</t>
        </is>
      </c>
      <c r="G604" s="92" t="inlineStr">
        <is>
          <t>경험조정-보험료 등</t>
        </is>
      </c>
      <c r="H604" s="93" t="n">
        <v>0</v>
      </c>
      <c r="I604" s="93" t="n">
        <v>0</v>
      </c>
      <c r="J604" s="93" t="n">
        <v>0</v>
      </c>
      <c r="L604" s="9">
        <f>IF($A604="","",VALUE($A604&amp;"")*12+VALUE($B604&amp;""))</f>
        <v/>
      </c>
      <c r="M604" s="94">
        <f>IF($A604="",0,$H604*설정!$C$23)</f>
        <v/>
      </c>
      <c r="N604" s="94">
        <f>IF($A604="",0,$I604*설정!$C$23)</f>
        <v/>
      </c>
      <c r="O604" s="94">
        <f>IF($A604="",0,$J604*설정!$C$23)</f>
        <v/>
      </c>
      <c r="P604" s="64">
        <f>IF($A604="","",IFERROR(INDEX(입력옵션!$C$58:$C$68,MATCH($F604&amp;"",입력옵션!$E$58:$E$68,0)),IFERROR(INDEX(입력옵션!$C$58:$C$68,MATCH($G604&amp;"",입력옵션!$F$58:$F$68,0)),$F604&amp;"")))</f>
        <v/>
      </c>
    </row>
    <row r="605">
      <c r="A605" s="92" t="n">
        <v>2026</v>
      </c>
      <c r="B605" s="92" t="n">
        <v>2</v>
      </c>
      <c r="C605" s="92" t="inlineStr">
        <is>
          <t>PF03</t>
        </is>
      </c>
      <c r="D605" s="92" t="inlineStr">
        <is>
          <t>단체(단기)</t>
        </is>
      </c>
      <c r="E605" s="92" t="inlineStr">
        <is>
          <t>PAA</t>
        </is>
      </c>
      <c r="F605" s="92" t="inlineStr">
        <is>
          <t>F40</t>
        </is>
      </c>
      <c r="G605" s="92" t="inlineStr">
        <is>
          <t>보험금융비용(이자부리)</t>
        </is>
      </c>
      <c r="H605" s="93" t="n">
        <v>0</v>
      </c>
      <c r="I605" s="93" t="n">
        <v>0</v>
      </c>
      <c r="J605" s="93" t="n">
        <v>0</v>
      </c>
      <c r="L605" s="9">
        <f>IF($A605="","",VALUE($A605&amp;"")*12+VALUE($B605&amp;""))</f>
        <v/>
      </c>
      <c r="M605" s="94">
        <f>IF($A605="",0,$H605*설정!$C$23)</f>
        <v/>
      </c>
      <c r="N605" s="94">
        <f>IF($A605="",0,$I605*설정!$C$23)</f>
        <v/>
      </c>
      <c r="O605" s="94">
        <f>IF($A605="",0,$J605*설정!$C$23)</f>
        <v/>
      </c>
      <c r="P605" s="64">
        <f>IF($A605="","",IFERROR(INDEX(입력옵션!$C$58:$C$68,MATCH($F605&amp;"",입력옵션!$E$58:$E$68,0)),IFERROR(INDEX(입력옵션!$C$58:$C$68,MATCH($G605&amp;"",입력옵션!$F$58:$F$68,0)),$F605&amp;"")))</f>
        <v/>
      </c>
    </row>
    <row r="606">
      <c r="A606" s="92" t="n">
        <v>2026</v>
      </c>
      <c r="B606" s="92" t="n">
        <v>2</v>
      </c>
      <c r="C606" s="92" t="inlineStr">
        <is>
          <t>PF03</t>
        </is>
      </c>
      <c r="D606" s="92" t="inlineStr">
        <is>
          <t>단체(단기)</t>
        </is>
      </c>
      <c r="E606" s="92" t="inlineStr">
        <is>
          <t>PAA</t>
        </is>
      </c>
      <c r="F606" s="92" t="inlineStr">
        <is>
          <t>F51</t>
        </is>
      </c>
      <c r="G606" s="92" t="inlineStr">
        <is>
          <t>CSM 상각</t>
        </is>
      </c>
      <c r="H606" s="93" t="n">
        <v>0</v>
      </c>
      <c r="I606" s="93" t="n">
        <v>0</v>
      </c>
      <c r="J606" s="93" t="n">
        <v>0</v>
      </c>
      <c r="L606" s="9">
        <f>IF($A606="","",VALUE($A606&amp;"")*12+VALUE($B606&amp;""))</f>
        <v/>
      </c>
      <c r="M606" s="94">
        <f>IF($A606="",0,$H606*설정!$C$23)</f>
        <v/>
      </c>
      <c r="N606" s="94">
        <f>IF($A606="",0,$I606*설정!$C$23)</f>
        <v/>
      </c>
      <c r="O606" s="94">
        <f>IF($A606="",0,$J606*설정!$C$23)</f>
        <v/>
      </c>
      <c r="P606" s="64">
        <f>IF($A606="","",IFERROR(INDEX(입력옵션!$C$58:$C$68,MATCH($F606&amp;"",입력옵션!$E$58:$E$68,0)),IFERROR(INDEX(입력옵션!$C$58:$C$68,MATCH($G606&amp;"",입력옵션!$F$58:$F$68,0)),$F606&amp;"")))</f>
        <v/>
      </c>
    </row>
    <row r="607">
      <c r="A607" s="92" t="n">
        <v>2026</v>
      </c>
      <c r="B607" s="92" t="n">
        <v>2</v>
      </c>
      <c r="C607" s="92" t="inlineStr">
        <is>
          <t>PF03</t>
        </is>
      </c>
      <c r="D607" s="92" t="inlineStr">
        <is>
          <t>단체(단기)</t>
        </is>
      </c>
      <c r="E607" s="92" t="inlineStr">
        <is>
          <t>PAA</t>
        </is>
      </c>
      <c r="F607" s="92" t="inlineStr">
        <is>
          <t>F52</t>
        </is>
      </c>
      <c r="G607" s="92" t="inlineStr">
        <is>
          <t>RA 해제</t>
        </is>
      </c>
      <c r="H607" s="93" t="n">
        <v>0</v>
      </c>
      <c r="I607" s="93" t="n">
        <v>-14450000</v>
      </c>
      <c r="J607" s="93" t="n">
        <v>0</v>
      </c>
      <c r="L607" s="9">
        <f>IF($A607="","",VALUE($A607&amp;"")*12+VALUE($B607&amp;""))</f>
        <v/>
      </c>
      <c r="M607" s="94">
        <f>IF($A607="",0,$H607*설정!$C$23)</f>
        <v/>
      </c>
      <c r="N607" s="94">
        <f>IF($A607="",0,$I607*설정!$C$23)</f>
        <v/>
      </c>
      <c r="O607" s="94">
        <f>IF($A607="",0,$J607*설정!$C$23)</f>
        <v/>
      </c>
      <c r="P607" s="64">
        <f>IF($A607="","",IFERROR(INDEX(입력옵션!$C$58:$C$68,MATCH($F607&amp;"",입력옵션!$E$58:$E$68,0)),IFERROR(INDEX(입력옵션!$C$58:$C$68,MATCH($G607&amp;"",입력옵션!$F$58:$F$68,0)),$F607&amp;"")))</f>
        <v/>
      </c>
    </row>
    <row r="608">
      <c r="A608" s="92" t="n">
        <v>2026</v>
      </c>
      <c r="B608" s="92" t="n">
        <v>2</v>
      </c>
      <c r="C608" s="92" t="inlineStr">
        <is>
          <t>PF03</t>
        </is>
      </c>
      <c r="D608" s="92" t="inlineStr">
        <is>
          <t>단체(단기)</t>
        </is>
      </c>
      <c r="E608" s="92" t="inlineStr">
        <is>
          <t>PAA</t>
        </is>
      </c>
      <c r="F608" s="92" t="inlineStr">
        <is>
          <t>F60</t>
        </is>
      </c>
      <c r="G608" s="92" t="inlineStr">
        <is>
          <t>현금흐름 및 기타</t>
        </is>
      </c>
      <c r="H608" s="93" t="n">
        <v>244794000</v>
      </c>
      <c r="I608" s="93" t="n">
        <v>50852000</v>
      </c>
      <c r="J608" s="93" t="n">
        <v>0</v>
      </c>
      <c r="L608" s="9">
        <f>IF($A608="","",VALUE($A608&amp;"")*12+VALUE($B608&amp;""))</f>
        <v/>
      </c>
      <c r="M608" s="94">
        <f>IF($A608="",0,$H608*설정!$C$23)</f>
        <v/>
      </c>
      <c r="N608" s="94">
        <f>IF($A608="",0,$I608*설정!$C$23)</f>
        <v/>
      </c>
      <c r="O608" s="94">
        <f>IF($A608="",0,$J608*설정!$C$23)</f>
        <v/>
      </c>
      <c r="P608" s="64">
        <f>IF($A608="","",IFERROR(INDEX(입력옵션!$C$58:$C$68,MATCH($F608&amp;"",입력옵션!$E$58:$E$68,0)),IFERROR(INDEX(입력옵션!$C$58:$C$68,MATCH($G608&amp;"",입력옵션!$F$58:$F$68,0)),$F608&amp;"")))</f>
        <v/>
      </c>
    </row>
    <row r="609">
      <c r="A609" s="92" t="n">
        <v>2026</v>
      </c>
      <c r="B609" s="92" t="n">
        <v>2</v>
      </c>
      <c r="C609" s="92" t="inlineStr">
        <is>
          <t>PF03</t>
        </is>
      </c>
      <c r="D609" s="92" t="inlineStr">
        <is>
          <t>단체(단기)</t>
        </is>
      </c>
      <c r="E609" s="92" t="inlineStr">
        <is>
          <t>PAA</t>
        </is>
      </c>
      <c r="F609" s="92" t="inlineStr">
        <is>
          <t>F99</t>
        </is>
      </c>
      <c r="G609" s="92" t="inlineStr">
        <is>
          <t>기말잔액</t>
        </is>
      </c>
      <c r="H609" s="93" t="n">
        <v>42998032000</v>
      </c>
      <c r="I609" s="93" t="n">
        <v>2444674000</v>
      </c>
      <c r="J609" s="93" t="n">
        <v>0</v>
      </c>
      <c r="L609" s="9">
        <f>IF($A609="","",VALUE($A609&amp;"")*12+VALUE($B609&amp;""))</f>
        <v/>
      </c>
      <c r="M609" s="94">
        <f>IF($A609="",0,$H609*설정!$C$23)</f>
        <v/>
      </c>
      <c r="N609" s="94">
        <f>IF($A609="",0,$I609*설정!$C$23)</f>
        <v/>
      </c>
      <c r="O609" s="94">
        <f>IF($A609="",0,$J609*설정!$C$23)</f>
        <v/>
      </c>
      <c r="P609" s="64">
        <f>IF($A609="","",IFERROR(INDEX(입력옵션!$C$58:$C$68,MATCH($F609&amp;"",입력옵션!$E$58:$E$68,0)),IFERROR(INDEX(입력옵션!$C$58:$C$68,MATCH($G609&amp;"",입력옵션!$F$58:$F$68,0)),$F609&amp;"")))</f>
        <v/>
      </c>
    </row>
    <row r="610">
      <c r="A610" s="92" t="n">
        <v>2026</v>
      </c>
      <c r="B610" s="92" t="n">
        <v>2</v>
      </c>
      <c r="C610" s="92" t="inlineStr">
        <is>
          <t>PF04</t>
        </is>
      </c>
      <c r="D610" s="92" t="inlineStr">
        <is>
          <t>변액</t>
        </is>
      </c>
      <c r="E610" s="92" t="inlineStr">
        <is>
          <t>VFA</t>
        </is>
      </c>
      <c r="F610" s="92" t="inlineStr">
        <is>
          <t>F00</t>
        </is>
      </c>
      <c r="G610" s="92" t="inlineStr">
        <is>
          <t>기초잔액</t>
        </is>
      </c>
      <c r="H610" s="93" t="n">
        <v>320649285000</v>
      </c>
      <c r="I610" s="93" t="n">
        <v>15653768000</v>
      </c>
      <c r="J610" s="93" t="n">
        <v>51859685000</v>
      </c>
      <c r="L610" s="9">
        <f>IF($A610="","",VALUE($A610&amp;"")*12+VALUE($B610&amp;""))</f>
        <v/>
      </c>
      <c r="M610" s="94">
        <f>IF($A610="",0,$H610*설정!$C$23)</f>
        <v/>
      </c>
      <c r="N610" s="94">
        <f>IF($A610="",0,$I610*설정!$C$23)</f>
        <v/>
      </c>
      <c r="O610" s="94">
        <f>IF($A610="",0,$J610*설정!$C$23)</f>
        <v/>
      </c>
      <c r="P610" s="64">
        <f>IF($A610="","",IFERROR(INDEX(입력옵션!$C$58:$C$68,MATCH($F610&amp;"",입력옵션!$E$58:$E$68,0)),IFERROR(INDEX(입력옵션!$C$58:$C$68,MATCH($G610&amp;"",입력옵션!$F$58:$F$68,0)),$F610&amp;"")))</f>
        <v/>
      </c>
    </row>
    <row r="611">
      <c r="A611" s="92" t="n">
        <v>2026</v>
      </c>
      <c r="B611" s="92" t="n">
        <v>2</v>
      </c>
      <c r="C611" s="92" t="inlineStr">
        <is>
          <t>PF04</t>
        </is>
      </c>
      <c r="D611" s="92" t="inlineStr">
        <is>
          <t>변액</t>
        </is>
      </c>
      <c r="E611" s="92" t="inlineStr">
        <is>
          <t>VFA</t>
        </is>
      </c>
      <c r="F611" s="92" t="inlineStr">
        <is>
          <t>F10</t>
        </is>
      </c>
      <c r="G611" s="92" t="inlineStr">
        <is>
          <t>신계약 효과</t>
        </is>
      </c>
      <c r="H611" s="93" t="n">
        <v>-665253000</v>
      </c>
      <c r="I611" s="93" t="n">
        <v>133051000</v>
      </c>
      <c r="J611" s="93" t="n">
        <v>532202000</v>
      </c>
      <c r="L611" s="9">
        <f>IF($A611="","",VALUE($A611&amp;"")*12+VALUE($B611&amp;""))</f>
        <v/>
      </c>
      <c r="M611" s="94">
        <f>IF($A611="",0,$H611*설정!$C$23)</f>
        <v/>
      </c>
      <c r="N611" s="94">
        <f>IF($A611="",0,$I611*설정!$C$23)</f>
        <v/>
      </c>
      <c r="O611" s="94">
        <f>IF($A611="",0,$J611*설정!$C$23)</f>
        <v/>
      </c>
      <c r="P611" s="64">
        <f>IF($A611="","",IFERROR(INDEX(입력옵션!$C$58:$C$68,MATCH($F611&amp;"",입력옵션!$E$58:$E$68,0)),IFERROR(INDEX(입력옵션!$C$58:$C$68,MATCH($G611&amp;"",입력옵션!$F$58:$F$68,0)),$F611&amp;"")))</f>
        <v/>
      </c>
    </row>
    <row r="612">
      <c r="A612" s="92" t="n">
        <v>2026</v>
      </c>
      <c r="B612" s="92" t="n">
        <v>2</v>
      </c>
      <c r="C612" s="92" t="inlineStr">
        <is>
          <t>PF04</t>
        </is>
      </c>
      <c r="D612" s="92" t="inlineStr">
        <is>
          <t>변액</t>
        </is>
      </c>
      <c r="E612" s="92" t="inlineStr">
        <is>
          <t>VFA</t>
        </is>
      </c>
      <c r="F612" s="92" t="inlineStr">
        <is>
          <t>F21</t>
        </is>
      </c>
      <c r="G612" s="92" t="inlineStr">
        <is>
          <t>가정변경-사업비</t>
        </is>
      </c>
      <c r="H612" s="93" t="n">
        <v>0</v>
      </c>
      <c r="I612" s="93" t="n">
        <v>0</v>
      </c>
      <c r="J612" s="93" t="n">
        <v>0</v>
      </c>
      <c r="L612" s="9">
        <f>IF($A612="","",VALUE($A612&amp;"")*12+VALUE($B612&amp;""))</f>
        <v/>
      </c>
      <c r="M612" s="94">
        <f>IF($A612="",0,$H612*설정!$C$23)</f>
        <v/>
      </c>
      <c r="N612" s="94">
        <f>IF($A612="",0,$I612*설정!$C$23)</f>
        <v/>
      </c>
      <c r="O612" s="94">
        <f>IF($A612="",0,$J612*설정!$C$23)</f>
        <v/>
      </c>
      <c r="P612" s="64">
        <f>IF($A612="","",IFERROR(INDEX(입력옵션!$C$58:$C$68,MATCH($F612&amp;"",입력옵션!$E$58:$E$68,0)),IFERROR(INDEX(입력옵션!$C$58:$C$68,MATCH($G612&amp;"",입력옵션!$F$58:$F$68,0)),$F612&amp;"")))</f>
        <v/>
      </c>
    </row>
    <row r="613">
      <c r="A613" s="92" t="n">
        <v>2026</v>
      </c>
      <c r="B613" s="92" t="n">
        <v>2</v>
      </c>
      <c r="C613" s="92" t="inlineStr">
        <is>
          <t>PF04</t>
        </is>
      </c>
      <c r="D613" s="92" t="inlineStr">
        <is>
          <t>변액</t>
        </is>
      </c>
      <c r="E613" s="92" t="inlineStr">
        <is>
          <t>VFA</t>
        </is>
      </c>
      <c r="F613" s="92" t="inlineStr">
        <is>
          <t>F22</t>
        </is>
      </c>
      <c r="G613" s="92" t="inlineStr">
        <is>
          <t>가정변경-기타</t>
        </is>
      </c>
      <c r="H613" s="93" t="n">
        <v>0</v>
      </c>
      <c r="I613" s="93" t="n">
        <v>0</v>
      </c>
      <c r="J613" s="93" t="n">
        <v>0</v>
      </c>
      <c r="L613" s="9">
        <f>IF($A613="","",VALUE($A613&amp;"")*12+VALUE($B613&amp;""))</f>
        <v/>
      </c>
      <c r="M613" s="94">
        <f>IF($A613="",0,$H613*설정!$C$23)</f>
        <v/>
      </c>
      <c r="N613" s="94">
        <f>IF($A613="",0,$I613*설정!$C$23)</f>
        <v/>
      </c>
      <c r="O613" s="94">
        <f>IF($A613="",0,$J613*설정!$C$23)</f>
        <v/>
      </c>
      <c r="P613" s="64">
        <f>IF($A613="","",IFERROR(INDEX(입력옵션!$C$58:$C$68,MATCH($F613&amp;"",입력옵션!$E$58:$E$68,0)),IFERROR(INDEX(입력옵션!$C$58:$C$68,MATCH($G613&amp;"",입력옵션!$F$58:$F$68,0)),$F613&amp;"")))</f>
        <v/>
      </c>
    </row>
    <row r="614">
      <c r="A614" s="92" t="n">
        <v>2026</v>
      </c>
      <c r="B614" s="92" t="n">
        <v>2</v>
      </c>
      <c r="C614" s="92" t="inlineStr">
        <is>
          <t>PF04</t>
        </is>
      </c>
      <c r="D614" s="92" t="inlineStr">
        <is>
          <t>변액</t>
        </is>
      </c>
      <c r="E614" s="92" t="inlineStr">
        <is>
          <t>VFA</t>
        </is>
      </c>
      <c r="F614" s="92" t="inlineStr">
        <is>
          <t>F31</t>
        </is>
      </c>
      <c r="G614" s="92" t="inlineStr">
        <is>
          <t>경험조정-취득현금흐름</t>
        </is>
      </c>
      <c r="H614" s="93" t="n">
        <v>0</v>
      </c>
      <c r="I614" s="93" t="n">
        <v>0</v>
      </c>
      <c r="J614" s="93" t="n">
        <v>-7282000</v>
      </c>
      <c r="L614" s="9">
        <f>IF($A614="","",VALUE($A614&amp;"")*12+VALUE($B614&amp;""))</f>
        <v/>
      </c>
      <c r="M614" s="94">
        <f>IF($A614="",0,$H614*설정!$C$23)</f>
        <v/>
      </c>
      <c r="N614" s="94">
        <f>IF($A614="",0,$I614*설정!$C$23)</f>
        <v/>
      </c>
      <c r="O614" s="94">
        <f>IF($A614="",0,$J614*설정!$C$23)</f>
        <v/>
      </c>
      <c r="P614" s="64">
        <f>IF($A614="","",IFERROR(INDEX(입력옵션!$C$58:$C$68,MATCH($F614&amp;"",입력옵션!$E$58:$E$68,0)),IFERROR(INDEX(입력옵션!$C$58:$C$68,MATCH($G614&amp;"",입력옵션!$F$58:$F$68,0)),$F614&amp;"")))</f>
        <v/>
      </c>
    </row>
    <row r="615">
      <c r="A615" s="92" t="n">
        <v>2026</v>
      </c>
      <c r="B615" s="92" t="n">
        <v>2</v>
      </c>
      <c r="C615" s="92" t="inlineStr">
        <is>
          <t>PF04</t>
        </is>
      </c>
      <c r="D615" s="92" t="inlineStr">
        <is>
          <t>변액</t>
        </is>
      </c>
      <c r="E615" s="92" t="inlineStr">
        <is>
          <t>VFA</t>
        </is>
      </c>
      <c r="F615" s="92" t="inlineStr">
        <is>
          <t>F32</t>
        </is>
      </c>
      <c r="G615" s="92" t="inlineStr">
        <is>
          <t>경험조정-보험료 등</t>
        </is>
      </c>
      <c r="H615" s="93" t="n">
        <v>0</v>
      </c>
      <c r="I615" s="93" t="n">
        <v>0</v>
      </c>
      <c r="J615" s="93" t="n">
        <v>94457000</v>
      </c>
      <c r="L615" s="9">
        <f>IF($A615="","",VALUE($A615&amp;"")*12+VALUE($B615&amp;""))</f>
        <v/>
      </c>
      <c r="M615" s="94">
        <f>IF($A615="",0,$H615*설정!$C$23)</f>
        <v/>
      </c>
      <c r="N615" s="94">
        <f>IF($A615="",0,$I615*설정!$C$23)</f>
        <v/>
      </c>
      <c r="O615" s="94">
        <f>IF($A615="",0,$J615*설정!$C$23)</f>
        <v/>
      </c>
      <c r="P615" s="64">
        <f>IF($A615="","",IFERROR(INDEX(입력옵션!$C$58:$C$68,MATCH($F615&amp;"",입력옵션!$E$58:$E$68,0)),IFERROR(INDEX(입력옵션!$C$58:$C$68,MATCH($G615&amp;"",입력옵션!$F$58:$F$68,0)),$F615&amp;"")))</f>
        <v/>
      </c>
    </row>
    <row r="616">
      <c r="A616" s="92" t="n">
        <v>2026</v>
      </c>
      <c r="B616" s="92" t="n">
        <v>2</v>
      </c>
      <c r="C616" s="92" t="inlineStr">
        <is>
          <t>PF04</t>
        </is>
      </c>
      <c r="D616" s="92" t="inlineStr">
        <is>
          <t>변액</t>
        </is>
      </c>
      <c r="E616" s="92" t="inlineStr">
        <is>
          <t>VFA</t>
        </is>
      </c>
      <c r="F616" s="92" t="inlineStr">
        <is>
          <t>F40</t>
        </is>
      </c>
      <c r="G616" s="92" t="inlineStr">
        <is>
          <t>보험금융비용(이자부리)</t>
        </is>
      </c>
      <c r="H616" s="93" t="n">
        <v>801623000</v>
      </c>
      <c r="I616" s="93" t="n">
        <v>31308000</v>
      </c>
      <c r="J616" s="93" t="n">
        <v>129649000</v>
      </c>
      <c r="L616" s="9">
        <f>IF($A616="","",VALUE($A616&amp;"")*12+VALUE($B616&amp;""))</f>
        <v/>
      </c>
      <c r="M616" s="94">
        <f>IF($A616="",0,$H616*설정!$C$23)</f>
        <v/>
      </c>
      <c r="N616" s="94">
        <f>IF($A616="",0,$I616*설정!$C$23)</f>
        <v/>
      </c>
      <c r="O616" s="94">
        <f>IF($A616="",0,$J616*설정!$C$23)</f>
        <v/>
      </c>
      <c r="P616" s="64">
        <f>IF($A616="","",IFERROR(INDEX(입력옵션!$C$58:$C$68,MATCH($F616&amp;"",입력옵션!$E$58:$E$68,0)),IFERROR(INDEX(입력옵션!$C$58:$C$68,MATCH($G616&amp;"",입력옵션!$F$58:$F$68,0)),$F616&amp;"")))</f>
        <v/>
      </c>
    </row>
    <row r="617">
      <c r="A617" s="92" t="n">
        <v>2026</v>
      </c>
      <c r="B617" s="92" t="n">
        <v>2</v>
      </c>
      <c r="C617" s="92" t="inlineStr">
        <is>
          <t>PF04</t>
        </is>
      </c>
      <c r="D617" s="92" t="inlineStr">
        <is>
          <t>변액</t>
        </is>
      </c>
      <c r="E617" s="92" t="inlineStr">
        <is>
          <t>VFA</t>
        </is>
      </c>
      <c r="F617" s="92" t="inlineStr">
        <is>
          <t>F51</t>
        </is>
      </c>
      <c r="G617" s="92" t="inlineStr">
        <is>
          <t>CSM 상각</t>
        </is>
      </c>
      <c r="H617" s="93" t="n">
        <v>0</v>
      </c>
      <c r="I617" s="93" t="n">
        <v>0</v>
      </c>
      <c r="J617" s="93" t="n">
        <v>-466737000</v>
      </c>
      <c r="L617" s="9">
        <f>IF($A617="","",VALUE($A617&amp;"")*12+VALUE($B617&amp;""))</f>
        <v/>
      </c>
      <c r="M617" s="94">
        <f>IF($A617="",0,$H617*설정!$C$23)</f>
        <v/>
      </c>
      <c r="N617" s="94">
        <f>IF($A617="",0,$I617*설정!$C$23)</f>
        <v/>
      </c>
      <c r="O617" s="94">
        <f>IF($A617="",0,$J617*설정!$C$23)</f>
        <v/>
      </c>
      <c r="P617" s="64">
        <f>IF($A617="","",IFERROR(INDEX(입력옵션!$C$58:$C$68,MATCH($F617&amp;"",입력옵션!$E$58:$E$68,0)),IFERROR(INDEX(입력옵션!$C$58:$C$68,MATCH($G617&amp;"",입력옵션!$F$58:$F$68,0)),$F617&amp;"")))</f>
        <v/>
      </c>
    </row>
    <row r="618">
      <c r="A618" s="92" t="n">
        <v>2026</v>
      </c>
      <c r="B618" s="92" t="n">
        <v>2</v>
      </c>
      <c r="C618" s="92" t="inlineStr">
        <is>
          <t>PF04</t>
        </is>
      </c>
      <c r="D618" s="92" t="inlineStr">
        <is>
          <t>변액</t>
        </is>
      </c>
      <c r="E618" s="92" t="inlineStr">
        <is>
          <t>VFA</t>
        </is>
      </c>
      <c r="F618" s="92" t="inlineStr">
        <is>
          <t>F52</t>
        </is>
      </c>
      <c r="G618" s="92" t="inlineStr">
        <is>
          <t>RA 해제</t>
        </is>
      </c>
      <c r="H618" s="93" t="n">
        <v>0</v>
      </c>
      <c r="I618" s="93" t="n">
        <v>-93923000</v>
      </c>
      <c r="J618" s="93" t="n">
        <v>0</v>
      </c>
      <c r="L618" s="9">
        <f>IF($A618="","",VALUE($A618&amp;"")*12+VALUE($B618&amp;""))</f>
        <v/>
      </c>
      <c r="M618" s="94">
        <f>IF($A618="",0,$H618*설정!$C$23)</f>
        <v/>
      </c>
      <c r="N618" s="94">
        <f>IF($A618="",0,$I618*설정!$C$23)</f>
        <v/>
      </c>
      <c r="O618" s="94">
        <f>IF($A618="",0,$J618*설정!$C$23)</f>
        <v/>
      </c>
      <c r="P618" s="64">
        <f>IF($A618="","",IFERROR(INDEX(입력옵션!$C$58:$C$68,MATCH($F618&amp;"",입력옵션!$E$58:$E$68,0)),IFERROR(INDEX(입력옵션!$C$58:$C$68,MATCH($G618&amp;"",입력옵션!$F$58:$F$68,0)),$F618&amp;"")))</f>
        <v/>
      </c>
    </row>
    <row r="619">
      <c r="A619" s="92" t="n">
        <v>2026</v>
      </c>
      <c r="B619" s="92" t="n">
        <v>2</v>
      </c>
      <c r="C619" s="92" t="inlineStr">
        <is>
          <t>PF04</t>
        </is>
      </c>
      <c r="D619" s="92" t="inlineStr">
        <is>
          <t>변액</t>
        </is>
      </c>
      <c r="E619" s="92" t="inlineStr">
        <is>
          <t>VFA</t>
        </is>
      </c>
      <c r="F619" s="92" t="inlineStr">
        <is>
          <t>F60</t>
        </is>
      </c>
      <c r="G619" s="92" t="inlineStr">
        <is>
          <t>현금흐름 및 기타</t>
        </is>
      </c>
      <c r="H619" s="93" t="n">
        <v>1699584000</v>
      </c>
      <c r="I619" s="93" t="n">
        <v>166178000</v>
      </c>
      <c r="J619" s="93" t="n">
        <v>0</v>
      </c>
      <c r="L619" s="9">
        <f>IF($A619="","",VALUE($A619&amp;"")*12+VALUE($B619&amp;""))</f>
        <v/>
      </c>
      <c r="M619" s="94">
        <f>IF($A619="",0,$H619*설정!$C$23)</f>
        <v/>
      </c>
      <c r="N619" s="94">
        <f>IF($A619="",0,$I619*설정!$C$23)</f>
        <v/>
      </c>
      <c r="O619" s="94">
        <f>IF($A619="",0,$J619*설정!$C$23)</f>
        <v/>
      </c>
      <c r="P619" s="64">
        <f>IF($A619="","",IFERROR(INDEX(입력옵션!$C$58:$C$68,MATCH($F619&amp;"",입력옵션!$E$58:$E$68,0)),IFERROR(INDEX(입력옵션!$C$58:$C$68,MATCH($G619&amp;"",입력옵션!$F$58:$F$68,0)),$F619&amp;"")))</f>
        <v/>
      </c>
    </row>
    <row r="620">
      <c r="A620" s="92" t="n">
        <v>2026</v>
      </c>
      <c r="B620" s="92" t="n">
        <v>2</v>
      </c>
      <c r="C620" s="92" t="inlineStr">
        <is>
          <t>PF04</t>
        </is>
      </c>
      <c r="D620" s="92" t="inlineStr">
        <is>
          <t>변액</t>
        </is>
      </c>
      <c r="E620" s="92" t="inlineStr">
        <is>
          <t>VFA</t>
        </is>
      </c>
      <c r="F620" s="92" t="inlineStr">
        <is>
          <t>F99</t>
        </is>
      </c>
      <c r="G620" s="92" t="inlineStr">
        <is>
          <t>기말잔액</t>
        </is>
      </c>
      <c r="H620" s="93" t="n">
        <v>322485240000</v>
      </c>
      <c r="I620" s="93" t="n">
        <v>15890381000</v>
      </c>
      <c r="J620" s="93" t="n">
        <v>52141975000</v>
      </c>
      <c r="L620" s="9">
        <f>IF($A620="","",VALUE($A620&amp;"")*12+VALUE($B620&amp;""))</f>
        <v/>
      </c>
      <c r="M620" s="94">
        <f>IF($A620="",0,$H620*설정!$C$23)</f>
        <v/>
      </c>
      <c r="N620" s="94">
        <f>IF($A620="",0,$I620*설정!$C$23)</f>
        <v/>
      </c>
      <c r="O620" s="94">
        <f>IF($A620="",0,$J620*설정!$C$23)</f>
        <v/>
      </c>
      <c r="P620" s="64">
        <f>IF($A620="","",IFERROR(INDEX(입력옵션!$C$58:$C$68,MATCH($F620&amp;"",입력옵션!$E$58:$E$68,0)),IFERROR(INDEX(입력옵션!$C$58:$C$68,MATCH($G620&amp;"",입력옵션!$F$58:$F$68,0)),$F620&amp;"")))</f>
        <v/>
      </c>
    </row>
    <row r="621">
      <c r="A621" s="92" t="n">
        <v>2026</v>
      </c>
      <c r="B621" s="92" t="n">
        <v>3</v>
      </c>
      <c r="C621" s="92" t="inlineStr">
        <is>
          <t>PF01</t>
        </is>
      </c>
      <c r="D621" s="92" t="inlineStr">
        <is>
          <t>보장성</t>
        </is>
      </c>
      <c r="E621" s="92" t="inlineStr">
        <is>
          <t>GMM</t>
        </is>
      </c>
      <c r="F621" s="92" t="inlineStr">
        <is>
          <t>F00</t>
        </is>
      </c>
      <c r="G621" s="92" t="inlineStr">
        <is>
          <t>기초잔액</t>
        </is>
      </c>
      <c r="H621" s="93" t="n">
        <v>1074950800000</v>
      </c>
      <c r="I621" s="93" t="n">
        <v>73340220000</v>
      </c>
      <c r="J621" s="93" t="n">
        <v>246927712000</v>
      </c>
      <c r="L621" s="9">
        <f>IF($A621="","",VALUE($A621&amp;"")*12+VALUE($B621&amp;""))</f>
        <v/>
      </c>
      <c r="M621" s="94">
        <f>IF($A621="",0,$H621*설정!$C$23)</f>
        <v/>
      </c>
      <c r="N621" s="94">
        <f>IF($A621="",0,$I621*설정!$C$23)</f>
        <v/>
      </c>
      <c r="O621" s="94">
        <f>IF($A621="",0,$J621*설정!$C$23)</f>
        <v/>
      </c>
      <c r="P621" s="64">
        <f>IF($A621="","",IFERROR(INDEX(입력옵션!$C$58:$C$68,MATCH($F621&amp;"",입력옵션!$E$58:$E$68,0)),IFERROR(INDEX(입력옵션!$C$58:$C$68,MATCH($G621&amp;"",입력옵션!$F$58:$F$68,0)),$F621&amp;"")))</f>
        <v/>
      </c>
    </row>
    <row r="622">
      <c r="A622" s="92" t="n">
        <v>2026</v>
      </c>
      <c r="B622" s="92" t="n">
        <v>3</v>
      </c>
      <c r="C622" s="92" t="inlineStr">
        <is>
          <t>PF01</t>
        </is>
      </c>
      <c r="D622" s="92" t="inlineStr">
        <is>
          <t>보장성</t>
        </is>
      </c>
      <c r="E622" s="92" t="inlineStr">
        <is>
          <t>GMM</t>
        </is>
      </c>
      <c r="F622" s="92" t="inlineStr">
        <is>
          <t>F10</t>
        </is>
      </c>
      <c r="G622" s="92" t="inlineStr">
        <is>
          <t>신계약 효과</t>
        </is>
      </c>
      <c r="H622" s="93" t="n">
        <v>-3460622000</v>
      </c>
      <c r="I622" s="93" t="n">
        <v>692124000</v>
      </c>
      <c r="J622" s="93" t="n">
        <v>2768497000</v>
      </c>
      <c r="L622" s="9">
        <f>IF($A622="","",VALUE($A622&amp;"")*12+VALUE($B622&amp;""))</f>
        <v/>
      </c>
      <c r="M622" s="94">
        <f>IF($A622="",0,$H622*설정!$C$23)</f>
        <v/>
      </c>
      <c r="N622" s="94">
        <f>IF($A622="",0,$I622*설정!$C$23)</f>
        <v/>
      </c>
      <c r="O622" s="94">
        <f>IF($A622="",0,$J622*설정!$C$23)</f>
        <v/>
      </c>
      <c r="P622" s="64">
        <f>IF($A622="","",IFERROR(INDEX(입력옵션!$C$58:$C$68,MATCH($F622&amp;"",입력옵션!$E$58:$E$68,0)),IFERROR(INDEX(입력옵션!$C$58:$C$68,MATCH($G622&amp;"",입력옵션!$F$58:$F$68,0)),$F622&amp;"")))</f>
        <v/>
      </c>
    </row>
    <row r="623">
      <c r="A623" s="92" t="n">
        <v>2026</v>
      </c>
      <c r="B623" s="92" t="n">
        <v>3</v>
      </c>
      <c r="C623" s="92" t="inlineStr">
        <is>
          <t>PF01</t>
        </is>
      </c>
      <c r="D623" s="92" t="inlineStr">
        <is>
          <t>보장성</t>
        </is>
      </c>
      <c r="E623" s="92" t="inlineStr">
        <is>
          <t>GMM</t>
        </is>
      </c>
      <c r="F623" s="92" t="inlineStr">
        <is>
          <t>F21</t>
        </is>
      </c>
      <c r="G623" s="92" t="inlineStr">
        <is>
          <t>가정변경-사업비</t>
        </is>
      </c>
      <c r="H623" s="93" t="n">
        <v>0</v>
      </c>
      <c r="I623" s="93" t="n">
        <v>0</v>
      </c>
      <c r="J623" s="93" t="n">
        <v>0</v>
      </c>
      <c r="L623" s="9">
        <f>IF($A623="","",VALUE($A623&amp;"")*12+VALUE($B623&amp;""))</f>
        <v/>
      </c>
      <c r="M623" s="94">
        <f>IF($A623="",0,$H623*설정!$C$23)</f>
        <v/>
      </c>
      <c r="N623" s="94">
        <f>IF($A623="",0,$I623*설정!$C$23)</f>
        <v/>
      </c>
      <c r="O623" s="94">
        <f>IF($A623="",0,$J623*설정!$C$23)</f>
        <v/>
      </c>
      <c r="P623" s="64">
        <f>IF($A623="","",IFERROR(INDEX(입력옵션!$C$58:$C$68,MATCH($F623&amp;"",입력옵션!$E$58:$E$68,0)),IFERROR(INDEX(입력옵션!$C$58:$C$68,MATCH($G623&amp;"",입력옵션!$F$58:$F$68,0)),$F623&amp;"")))</f>
        <v/>
      </c>
    </row>
    <row r="624">
      <c r="A624" s="92" t="n">
        <v>2026</v>
      </c>
      <c r="B624" s="92" t="n">
        <v>3</v>
      </c>
      <c r="C624" s="92" t="inlineStr">
        <is>
          <t>PF01</t>
        </is>
      </c>
      <c r="D624" s="92" t="inlineStr">
        <is>
          <t>보장성</t>
        </is>
      </c>
      <c r="E624" s="92" t="inlineStr">
        <is>
          <t>GMM</t>
        </is>
      </c>
      <c r="F624" s="92" t="inlineStr">
        <is>
          <t>F22</t>
        </is>
      </c>
      <c r="G624" s="92" t="inlineStr">
        <is>
          <t>가정변경-기타</t>
        </is>
      </c>
      <c r="H624" s="93" t="n">
        <v>0</v>
      </c>
      <c r="I624" s="93" t="n">
        <v>0</v>
      </c>
      <c r="J624" s="93" t="n">
        <v>0</v>
      </c>
      <c r="L624" s="9">
        <f>IF($A624="","",VALUE($A624&amp;"")*12+VALUE($B624&amp;""))</f>
        <v/>
      </c>
      <c r="M624" s="94">
        <f>IF($A624="",0,$H624*설정!$C$23)</f>
        <v/>
      </c>
      <c r="N624" s="94">
        <f>IF($A624="",0,$I624*설정!$C$23)</f>
        <v/>
      </c>
      <c r="O624" s="94">
        <f>IF($A624="",0,$J624*설정!$C$23)</f>
        <v/>
      </c>
      <c r="P624" s="64">
        <f>IF($A624="","",IFERROR(INDEX(입력옵션!$C$58:$C$68,MATCH($F624&amp;"",입력옵션!$E$58:$E$68,0)),IFERROR(INDEX(입력옵션!$C$58:$C$68,MATCH($G624&amp;"",입력옵션!$F$58:$F$68,0)),$F624&amp;"")))</f>
        <v/>
      </c>
    </row>
    <row r="625">
      <c r="A625" s="92" t="n">
        <v>2026</v>
      </c>
      <c r="B625" s="92" t="n">
        <v>3</v>
      </c>
      <c r="C625" s="92" t="inlineStr">
        <is>
          <t>PF01</t>
        </is>
      </c>
      <c r="D625" s="92" t="inlineStr">
        <is>
          <t>보장성</t>
        </is>
      </c>
      <c r="E625" s="92" t="inlineStr">
        <is>
          <t>GMM</t>
        </is>
      </c>
      <c r="F625" s="92" t="inlineStr">
        <is>
          <t>F31</t>
        </is>
      </c>
      <c r="G625" s="92" t="inlineStr">
        <is>
          <t>경험조정-취득현금흐름</t>
        </is>
      </c>
      <c r="H625" s="93" t="n">
        <v>0</v>
      </c>
      <c r="I625" s="93" t="n">
        <v>0</v>
      </c>
      <c r="J625" s="93" t="n">
        <v>-26721000</v>
      </c>
      <c r="L625" s="9">
        <f>IF($A625="","",VALUE($A625&amp;"")*12+VALUE($B625&amp;""))</f>
        <v/>
      </c>
      <c r="M625" s="94">
        <f>IF($A625="",0,$H625*설정!$C$23)</f>
        <v/>
      </c>
      <c r="N625" s="94">
        <f>IF($A625="",0,$I625*설정!$C$23)</f>
        <v/>
      </c>
      <c r="O625" s="94">
        <f>IF($A625="",0,$J625*설정!$C$23)</f>
        <v/>
      </c>
      <c r="P625" s="64">
        <f>IF($A625="","",IFERROR(INDEX(입력옵션!$C$58:$C$68,MATCH($F625&amp;"",입력옵션!$E$58:$E$68,0)),IFERROR(INDEX(입력옵션!$C$58:$C$68,MATCH($G625&amp;"",입력옵션!$F$58:$F$68,0)),$F625&amp;"")))</f>
        <v/>
      </c>
    </row>
    <row r="626">
      <c r="A626" s="92" t="n">
        <v>2026</v>
      </c>
      <c r="B626" s="92" t="n">
        <v>3</v>
      </c>
      <c r="C626" s="92" t="inlineStr">
        <is>
          <t>PF01</t>
        </is>
      </c>
      <c r="D626" s="92" t="inlineStr">
        <is>
          <t>보장성</t>
        </is>
      </c>
      <c r="E626" s="92" t="inlineStr">
        <is>
          <t>GMM</t>
        </is>
      </c>
      <c r="F626" s="92" t="inlineStr">
        <is>
          <t>F32</t>
        </is>
      </c>
      <c r="G626" s="92" t="inlineStr">
        <is>
          <t>경험조정-보험료 등</t>
        </is>
      </c>
      <c r="H626" s="93" t="n">
        <v>0</v>
      </c>
      <c r="I626" s="93" t="n">
        <v>0</v>
      </c>
      <c r="J626" s="93" t="n">
        <v>13863000</v>
      </c>
      <c r="L626" s="9">
        <f>IF($A626="","",VALUE($A626&amp;"")*12+VALUE($B626&amp;""))</f>
        <v/>
      </c>
      <c r="M626" s="94">
        <f>IF($A626="",0,$H626*설정!$C$23)</f>
        <v/>
      </c>
      <c r="N626" s="94">
        <f>IF($A626="",0,$I626*설정!$C$23)</f>
        <v/>
      </c>
      <c r="O626" s="94">
        <f>IF($A626="",0,$J626*설정!$C$23)</f>
        <v/>
      </c>
      <c r="P626" s="64">
        <f>IF($A626="","",IFERROR(INDEX(입력옵션!$C$58:$C$68,MATCH($F626&amp;"",입력옵션!$E$58:$E$68,0)),IFERROR(INDEX(입력옵션!$C$58:$C$68,MATCH($G626&amp;"",입력옵션!$F$58:$F$68,0)),$F626&amp;"")))</f>
        <v/>
      </c>
    </row>
    <row r="627">
      <c r="A627" s="92" t="n">
        <v>2026</v>
      </c>
      <c r="B627" s="92" t="n">
        <v>3</v>
      </c>
      <c r="C627" s="92" t="inlineStr">
        <is>
          <t>PF01</t>
        </is>
      </c>
      <c r="D627" s="92" t="inlineStr">
        <is>
          <t>보장성</t>
        </is>
      </c>
      <c r="E627" s="92" t="inlineStr">
        <is>
          <t>GMM</t>
        </is>
      </c>
      <c r="F627" s="92" t="inlineStr">
        <is>
          <t>F40</t>
        </is>
      </c>
      <c r="G627" s="92" t="inlineStr">
        <is>
          <t>보험금융비용(이자부리)</t>
        </is>
      </c>
      <c r="H627" s="93" t="n">
        <v>2687377000</v>
      </c>
      <c r="I627" s="93" t="n">
        <v>146680000</v>
      </c>
      <c r="J627" s="93" t="n">
        <v>617319000</v>
      </c>
      <c r="L627" s="9">
        <f>IF($A627="","",VALUE($A627&amp;"")*12+VALUE($B627&amp;""))</f>
        <v/>
      </c>
      <c r="M627" s="94">
        <f>IF($A627="",0,$H627*설정!$C$23)</f>
        <v/>
      </c>
      <c r="N627" s="94">
        <f>IF($A627="",0,$I627*설정!$C$23)</f>
        <v/>
      </c>
      <c r="O627" s="94">
        <f>IF($A627="",0,$J627*설정!$C$23)</f>
        <v/>
      </c>
      <c r="P627" s="64">
        <f>IF($A627="","",IFERROR(INDEX(입력옵션!$C$58:$C$68,MATCH($F627&amp;"",입력옵션!$E$58:$E$68,0)),IFERROR(INDEX(입력옵션!$C$58:$C$68,MATCH($G627&amp;"",입력옵션!$F$58:$F$68,0)),$F627&amp;"")))</f>
        <v/>
      </c>
    </row>
    <row r="628">
      <c r="A628" s="92" t="n">
        <v>2026</v>
      </c>
      <c r="B628" s="92" t="n">
        <v>3</v>
      </c>
      <c r="C628" s="92" t="inlineStr">
        <is>
          <t>PF01</t>
        </is>
      </c>
      <c r="D628" s="92" t="inlineStr">
        <is>
          <t>보장성</t>
        </is>
      </c>
      <c r="E628" s="92" t="inlineStr">
        <is>
          <t>GMM</t>
        </is>
      </c>
      <c r="F628" s="92" t="inlineStr">
        <is>
          <t>F51</t>
        </is>
      </c>
      <c r="G628" s="92" t="inlineStr">
        <is>
          <t>CSM 상각</t>
        </is>
      </c>
      <c r="H628" s="93" t="n">
        <v>0</v>
      </c>
      <c r="I628" s="93" t="n">
        <v>0</v>
      </c>
      <c r="J628" s="93" t="n">
        <v>-2222349000</v>
      </c>
      <c r="L628" s="9">
        <f>IF($A628="","",VALUE($A628&amp;"")*12+VALUE($B628&amp;""))</f>
        <v/>
      </c>
      <c r="M628" s="94">
        <f>IF($A628="",0,$H628*설정!$C$23)</f>
        <v/>
      </c>
      <c r="N628" s="94">
        <f>IF($A628="",0,$I628*설정!$C$23)</f>
        <v/>
      </c>
      <c r="O628" s="94">
        <f>IF($A628="",0,$J628*설정!$C$23)</f>
        <v/>
      </c>
      <c r="P628" s="64">
        <f>IF($A628="","",IFERROR(INDEX(입력옵션!$C$58:$C$68,MATCH($F628&amp;"",입력옵션!$E$58:$E$68,0)),IFERROR(INDEX(입력옵션!$C$58:$C$68,MATCH($G628&amp;"",입력옵션!$F$58:$F$68,0)),$F628&amp;"")))</f>
        <v/>
      </c>
    </row>
    <row r="629">
      <c r="A629" s="92" t="n">
        <v>2026</v>
      </c>
      <c r="B629" s="92" t="n">
        <v>3</v>
      </c>
      <c r="C629" s="92" t="inlineStr">
        <is>
          <t>PF01</t>
        </is>
      </c>
      <c r="D629" s="92" t="inlineStr">
        <is>
          <t>보장성</t>
        </is>
      </c>
      <c r="E629" s="92" t="inlineStr">
        <is>
          <t>GMM</t>
        </is>
      </c>
      <c r="F629" s="92" t="inlineStr">
        <is>
          <t>F52</t>
        </is>
      </c>
      <c r="G629" s="92" t="inlineStr">
        <is>
          <t>RA 해제</t>
        </is>
      </c>
      <c r="H629" s="93" t="n">
        <v>0</v>
      </c>
      <c r="I629" s="93" t="n">
        <v>-440041000</v>
      </c>
      <c r="J629" s="93" t="n">
        <v>0</v>
      </c>
      <c r="L629" s="9">
        <f>IF($A629="","",VALUE($A629&amp;"")*12+VALUE($B629&amp;""))</f>
        <v/>
      </c>
      <c r="M629" s="94">
        <f>IF($A629="",0,$H629*설정!$C$23)</f>
        <v/>
      </c>
      <c r="N629" s="94">
        <f>IF($A629="",0,$I629*설정!$C$23)</f>
        <v/>
      </c>
      <c r="O629" s="94">
        <f>IF($A629="",0,$J629*설정!$C$23)</f>
        <v/>
      </c>
      <c r="P629" s="64">
        <f>IF($A629="","",IFERROR(INDEX(입력옵션!$C$58:$C$68,MATCH($F629&amp;"",입력옵션!$E$58:$E$68,0)),IFERROR(INDEX(입력옵션!$C$58:$C$68,MATCH($G629&amp;"",입력옵션!$F$58:$F$68,0)),$F629&amp;"")))</f>
        <v/>
      </c>
    </row>
    <row r="630">
      <c r="A630" s="92" t="n">
        <v>2026</v>
      </c>
      <c r="B630" s="92" t="n">
        <v>3</v>
      </c>
      <c r="C630" s="92" t="inlineStr">
        <is>
          <t>PF01</t>
        </is>
      </c>
      <c r="D630" s="92" t="inlineStr">
        <is>
          <t>보장성</t>
        </is>
      </c>
      <c r="E630" s="92" t="inlineStr">
        <is>
          <t>GMM</t>
        </is>
      </c>
      <c r="F630" s="92" t="inlineStr">
        <is>
          <t>F60</t>
        </is>
      </c>
      <c r="G630" s="92" t="inlineStr">
        <is>
          <t>현금흐름 및 기타</t>
        </is>
      </c>
      <c r="H630" s="93" t="n">
        <v>3825295000</v>
      </c>
      <c r="I630" s="93" t="n">
        <v>-826563000</v>
      </c>
      <c r="J630" s="93" t="n">
        <v>0</v>
      </c>
      <c r="L630" s="9">
        <f>IF($A630="","",VALUE($A630&amp;"")*12+VALUE($B630&amp;""))</f>
        <v/>
      </c>
      <c r="M630" s="94">
        <f>IF($A630="",0,$H630*설정!$C$23)</f>
        <v/>
      </c>
      <c r="N630" s="94">
        <f>IF($A630="",0,$I630*설정!$C$23)</f>
        <v/>
      </c>
      <c r="O630" s="94">
        <f>IF($A630="",0,$J630*설정!$C$23)</f>
        <v/>
      </c>
      <c r="P630" s="64">
        <f>IF($A630="","",IFERROR(INDEX(입력옵션!$C$58:$C$68,MATCH($F630&amp;"",입력옵션!$E$58:$E$68,0)),IFERROR(INDEX(입력옵션!$C$58:$C$68,MATCH($G630&amp;"",입력옵션!$F$58:$F$68,0)),$F630&amp;"")))</f>
        <v/>
      </c>
    </row>
    <row r="631">
      <c r="A631" s="92" t="n">
        <v>2026</v>
      </c>
      <c r="B631" s="92" t="n">
        <v>3</v>
      </c>
      <c r="C631" s="92" t="inlineStr">
        <is>
          <t>PF01</t>
        </is>
      </c>
      <c r="D631" s="92" t="inlineStr">
        <is>
          <t>보장성</t>
        </is>
      </c>
      <c r="E631" s="92" t="inlineStr">
        <is>
          <t>GMM</t>
        </is>
      </c>
      <c r="F631" s="92" t="inlineStr">
        <is>
          <t>F99</t>
        </is>
      </c>
      <c r="G631" s="92" t="inlineStr">
        <is>
          <t>기말잔액</t>
        </is>
      </c>
      <c r="H631" s="93" t="n">
        <v>1078002850000</v>
      </c>
      <c r="I631" s="93" t="n">
        <v>72912420000</v>
      </c>
      <c r="J631" s="93" t="n">
        <v>248078321000</v>
      </c>
      <c r="L631" s="9">
        <f>IF($A631="","",VALUE($A631&amp;"")*12+VALUE($B631&amp;""))</f>
        <v/>
      </c>
      <c r="M631" s="94">
        <f>IF($A631="",0,$H631*설정!$C$23)</f>
        <v/>
      </c>
      <c r="N631" s="94">
        <f>IF($A631="",0,$I631*설정!$C$23)</f>
        <v/>
      </c>
      <c r="O631" s="94">
        <f>IF($A631="",0,$J631*설정!$C$23)</f>
        <v/>
      </c>
      <c r="P631" s="64">
        <f>IF($A631="","",IFERROR(INDEX(입력옵션!$C$58:$C$68,MATCH($F631&amp;"",입력옵션!$E$58:$E$68,0)),IFERROR(INDEX(입력옵션!$C$58:$C$68,MATCH($G631&amp;"",입력옵션!$F$58:$F$68,0)),$F631&amp;"")))</f>
        <v/>
      </c>
    </row>
    <row r="632">
      <c r="A632" s="92" t="n">
        <v>2026</v>
      </c>
      <c r="B632" s="92" t="n">
        <v>3</v>
      </c>
      <c r="C632" s="92" t="inlineStr">
        <is>
          <t>PF02</t>
        </is>
      </c>
      <c r="D632" s="92" t="inlineStr">
        <is>
          <t>저축성</t>
        </is>
      </c>
      <c r="E632" s="92" t="inlineStr">
        <is>
          <t>GMM</t>
        </is>
      </c>
      <c r="F632" s="92" t="inlineStr">
        <is>
          <t>F00</t>
        </is>
      </c>
      <c r="G632" s="92" t="inlineStr">
        <is>
          <t>기초잔액</t>
        </is>
      </c>
      <c r="H632" s="93" t="n">
        <v>709467528000</v>
      </c>
      <c r="I632" s="93" t="n">
        <v>30558425000</v>
      </c>
      <c r="J632" s="93" t="n">
        <v>99247668000</v>
      </c>
      <c r="L632" s="9">
        <f>IF($A632="","",VALUE($A632&amp;"")*12+VALUE($B632&amp;""))</f>
        <v/>
      </c>
      <c r="M632" s="94">
        <f>IF($A632="",0,$H632*설정!$C$23)</f>
        <v/>
      </c>
      <c r="N632" s="94">
        <f>IF($A632="",0,$I632*설정!$C$23)</f>
        <v/>
      </c>
      <c r="O632" s="94">
        <f>IF($A632="",0,$J632*설정!$C$23)</f>
        <v/>
      </c>
      <c r="P632" s="64">
        <f>IF($A632="","",IFERROR(INDEX(입력옵션!$C$58:$C$68,MATCH($F632&amp;"",입력옵션!$E$58:$E$68,0)),IFERROR(INDEX(입력옵션!$C$58:$C$68,MATCH($G632&amp;"",입력옵션!$F$58:$F$68,0)),$F632&amp;"")))</f>
        <v/>
      </c>
    </row>
    <row r="633">
      <c r="A633" s="92" t="n">
        <v>2026</v>
      </c>
      <c r="B633" s="92" t="n">
        <v>3</v>
      </c>
      <c r="C633" s="92" t="inlineStr">
        <is>
          <t>PF02</t>
        </is>
      </c>
      <c r="D633" s="92" t="inlineStr">
        <is>
          <t>저축성</t>
        </is>
      </c>
      <c r="E633" s="92" t="inlineStr">
        <is>
          <t>GMM</t>
        </is>
      </c>
      <c r="F633" s="92" t="inlineStr">
        <is>
          <t>F10</t>
        </is>
      </c>
      <c r="G633" s="92" t="inlineStr">
        <is>
          <t>신계약 효과</t>
        </is>
      </c>
      <c r="H633" s="93" t="n">
        <v>-1395412000</v>
      </c>
      <c r="I633" s="93" t="n">
        <v>279082000</v>
      </c>
      <c r="J633" s="93" t="n">
        <v>1116330000</v>
      </c>
      <c r="L633" s="9">
        <f>IF($A633="","",VALUE($A633&amp;"")*12+VALUE($B633&amp;""))</f>
        <v/>
      </c>
      <c r="M633" s="94">
        <f>IF($A633="",0,$H633*설정!$C$23)</f>
        <v/>
      </c>
      <c r="N633" s="94">
        <f>IF($A633="",0,$I633*설정!$C$23)</f>
        <v/>
      </c>
      <c r="O633" s="94">
        <f>IF($A633="",0,$J633*설정!$C$23)</f>
        <v/>
      </c>
      <c r="P633" s="64">
        <f>IF($A633="","",IFERROR(INDEX(입력옵션!$C$58:$C$68,MATCH($F633&amp;"",입력옵션!$E$58:$E$68,0)),IFERROR(INDEX(입력옵션!$C$58:$C$68,MATCH($G633&amp;"",입력옵션!$F$58:$F$68,0)),$F633&amp;"")))</f>
        <v/>
      </c>
    </row>
    <row r="634">
      <c r="A634" s="92" t="n">
        <v>2026</v>
      </c>
      <c r="B634" s="92" t="n">
        <v>3</v>
      </c>
      <c r="C634" s="92" t="inlineStr">
        <is>
          <t>PF02</t>
        </is>
      </c>
      <c r="D634" s="92" t="inlineStr">
        <is>
          <t>저축성</t>
        </is>
      </c>
      <c r="E634" s="92" t="inlineStr">
        <is>
          <t>GMM</t>
        </is>
      </c>
      <c r="F634" s="92" t="inlineStr">
        <is>
          <t>F21</t>
        </is>
      </c>
      <c r="G634" s="92" t="inlineStr">
        <is>
          <t>가정변경-사업비</t>
        </is>
      </c>
      <c r="H634" s="93" t="n">
        <v>0</v>
      </c>
      <c r="I634" s="93" t="n">
        <v>0</v>
      </c>
      <c r="J634" s="93" t="n">
        <v>0</v>
      </c>
      <c r="L634" s="9">
        <f>IF($A634="","",VALUE($A634&amp;"")*12+VALUE($B634&amp;""))</f>
        <v/>
      </c>
      <c r="M634" s="94">
        <f>IF($A634="",0,$H634*설정!$C$23)</f>
        <v/>
      </c>
      <c r="N634" s="94">
        <f>IF($A634="",0,$I634*설정!$C$23)</f>
        <v/>
      </c>
      <c r="O634" s="94">
        <f>IF($A634="",0,$J634*설정!$C$23)</f>
        <v/>
      </c>
      <c r="P634" s="64">
        <f>IF($A634="","",IFERROR(INDEX(입력옵션!$C$58:$C$68,MATCH($F634&amp;"",입력옵션!$E$58:$E$68,0)),IFERROR(INDEX(입력옵션!$C$58:$C$68,MATCH($G634&amp;"",입력옵션!$F$58:$F$68,0)),$F634&amp;"")))</f>
        <v/>
      </c>
    </row>
    <row r="635">
      <c r="A635" s="92" t="n">
        <v>2026</v>
      </c>
      <c r="B635" s="92" t="n">
        <v>3</v>
      </c>
      <c r="C635" s="92" t="inlineStr">
        <is>
          <t>PF02</t>
        </is>
      </c>
      <c r="D635" s="92" t="inlineStr">
        <is>
          <t>저축성</t>
        </is>
      </c>
      <c r="E635" s="92" t="inlineStr">
        <is>
          <t>GMM</t>
        </is>
      </c>
      <c r="F635" s="92" t="inlineStr">
        <is>
          <t>F22</t>
        </is>
      </c>
      <c r="G635" s="92" t="inlineStr">
        <is>
          <t>가정변경-기타</t>
        </is>
      </c>
      <c r="H635" s="93" t="n">
        <v>0</v>
      </c>
      <c r="I635" s="93" t="n">
        <v>0</v>
      </c>
      <c r="J635" s="93" t="n">
        <v>0</v>
      </c>
      <c r="L635" s="9">
        <f>IF($A635="","",VALUE($A635&amp;"")*12+VALUE($B635&amp;""))</f>
        <v/>
      </c>
      <c r="M635" s="94">
        <f>IF($A635="",0,$H635*설정!$C$23)</f>
        <v/>
      </c>
      <c r="N635" s="94">
        <f>IF($A635="",0,$I635*설정!$C$23)</f>
        <v/>
      </c>
      <c r="O635" s="94">
        <f>IF($A635="",0,$J635*설정!$C$23)</f>
        <v/>
      </c>
      <c r="P635" s="64">
        <f>IF($A635="","",IFERROR(INDEX(입력옵션!$C$58:$C$68,MATCH($F635&amp;"",입력옵션!$E$58:$E$68,0)),IFERROR(INDEX(입력옵션!$C$58:$C$68,MATCH($G635&amp;"",입력옵션!$F$58:$F$68,0)),$F635&amp;"")))</f>
        <v/>
      </c>
    </row>
    <row r="636">
      <c r="A636" s="92" t="n">
        <v>2026</v>
      </c>
      <c r="B636" s="92" t="n">
        <v>3</v>
      </c>
      <c r="C636" s="92" t="inlineStr">
        <is>
          <t>PF02</t>
        </is>
      </c>
      <c r="D636" s="92" t="inlineStr">
        <is>
          <t>저축성</t>
        </is>
      </c>
      <c r="E636" s="92" t="inlineStr">
        <is>
          <t>GMM</t>
        </is>
      </c>
      <c r="F636" s="92" t="inlineStr">
        <is>
          <t>F31</t>
        </is>
      </c>
      <c r="G636" s="92" t="inlineStr">
        <is>
          <t>경험조정-취득현금흐름</t>
        </is>
      </c>
      <c r="H636" s="93" t="n">
        <v>0</v>
      </c>
      <c r="I636" s="93" t="n">
        <v>0</v>
      </c>
      <c r="J636" s="93" t="n">
        <v>-9744000</v>
      </c>
      <c r="L636" s="9">
        <f>IF($A636="","",VALUE($A636&amp;"")*12+VALUE($B636&amp;""))</f>
        <v/>
      </c>
      <c r="M636" s="94">
        <f>IF($A636="",0,$H636*설정!$C$23)</f>
        <v/>
      </c>
      <c r="N636" s="94">
        <f>IF($A636="",0,$I636*설정!$C$23)</f>
        <v/>
      </c>
      <c r="O636" s="94">
        <f>IF($A636="",0,$J636*설정!$C$23)</f>
        <v/>
      </c>
      <c r="P636" s="64">
        <f>IF($A636="","",IFERROR(INDEX(입력옵션!$C$58:$C$68,MATCH($F636&amp;"",입력옵션!$E$58:$E$68,0)),IFERROR(INDEX(입력옵션!$C$58:$C$68,MATCH($G636&amp;"",입력옵션!$F$58:$F$68,0)),$F636&amp;"")))</f>
        <v/>
      </c>
    </row>
    <row r="637">
      <c r="A637" s="92" t="n">
        <v>2026</v>
      </c>
      <c r="B637" s="92" t="n">
        <v>3</v>
      </c>
      <c r="C637" s="92" t="inlineStr">
        <is>
          <t>PF02</t>
        </is>
      </c>
      <c r="D637" s="92" t="inlineStr">
        <is>
          <t>저축성</t>
        </is>
      </c>
      <c r="E637" s="92" t="inlineStr">
        <is>
          <t>GMM</t>
        </is>
      </c>
      <c r="F637" s="92" t="inlineStr">
        <is>
          <t>F32</t>
        </is>
      </c>
      <c r="G637" s="92" t="inlineStr">
        <is>
          <t>경험조정-보험료 등</t>
        </is>
      </c>
      <c r="H637" s="93" t="n">
        <v>0</v>
      </c>
      <c r="I637" s="93" t="n">
        <v>0</v>
      </c>
      <c r="J637" s="93" t="n">
        <v>261826000</v>
      </c>
      <c r="L637" s="9">
        <f>IF($A637="","",VALUE($A637&amp;"")*12+VALUE($B637&amp;""))</f>
        <v/>
      </c>
      <c r="M637" s="94">
        <f>IF($A637="",0,$H637*설정!$C$23)</f>
        <v/>
      </c>
      <c r="N637" s="94">
        <f>IF($A637="",0,$I637*설정!$C$23)</f>
        <v/>
      </c>
      <c r="O637" s="94">
        <f>IF($A637="",0,$J637*설정!$C$23)</f>
        <v/>
      </c>
      <c r="P637" s="64">
        <f>IF($A637="","",IFERROR(INDEX(입력옵션!$C$58:$C$68,MATCH($F637&amp;"",입력옵션!$E$58:$E$68,0)),IFERROR(INDEX(입력옵션!$C$58:$C$68,MATCH($G637&amp;"",입력옵션!$F$58:$F$68,0)),$F637&amp;"")))</f>
        <v/>
      </c>
    </row>
    <row r="638">
      <c r="A638" s="92" t="n">
        <v>2026</v>
      </c>
      <c r="B638" s="92" t="n">
        <v>3</v>
      </c>
      <c r="C638" s="92" t="inlineStr">
        <is>
          <t>PF02</t>
        </is>
      </c>
      <c r="D638" s="92" t="inlineStr">
        <is>
          <t>저축성</t>
        </is>
      </c>
      <c r="E638" s="92" t="inlineStr">
        <is>
          <t>GMM</t>
        </is>
      </c>
      <c r="F638" s="92" t="inlineStr">
        <is>
          <t>F40</t>
        </is>
      </c>
      <c r="G638" s="92" t="inlineStr">
        <is>
          <t>보험금융비용(이자부리)</t>
        </is>
      </c>
      <c r="H638" s="93" t="n">
        <v>1773669000</v>
      </c>
      <c r="I638" s="93" t="n">
        <v>61117000</v>
      </c>
      <c r="J638" s="93" t="n">
        <v>248119000</v>
      </c>
      <c r="L638" s="9">
        <f>IF($A638="","",VALUE($A638&amp;"")*12+VALUE($B638&amp;""))</f>
        <v/>
      </c>
      <c r="M638" s="94">
        <f>IF($A638="",0,$H638*설정!$C$23)</f>
        <v/>
      </c>
      <c r="N638" s="94">
        <f>IF($A638="",0,$I638*설정!$C$23)</f>
        <v/>
      </c>
      <c r="O638" s="94">
        <f>IF($A638="",0,$J638*설정!$C$23)</f>
        <v/>
      </c>
      <c r="P638" s="64">
        <f>IF($A638="","",IFERROR(INDEX(입력옵션!$C$58:$C$68,MATCH($F638&amp;"",입력옵션!$E$58:$E$68,0)),IFERROR(INDEX(입력옵션!$C$58:$C$68,MATCH($G638&amp;"",입력옵션!$F$58:$F$68,0)),$F638&amp;"")))</f>
        <v/>
      </c>
    </row>
    <row r="639">
      <c r="A639" s="92" t="n">
        <v>2026</v>
      </c>
      <c r="B639" s="92" t="n">
        <v>3</v>
      </c>
      <c r="C639" s="92" t="inlineStr">
        <is>
          <t>PF02</t>
        </is>
      </c>
      <c r="D639" s="92" t="inlineStr">
        <is>
          <t>저축성</t>
        </is>
      </c>
      <c r="E639" s="92" t="inlineStr">
        <is>
          <t>GMM</t>
        </is>
      </c>
      <c r="F639" s="92" t="inlineStr">
        <is>
          <t>F51</t>
        </is>
      </c>
      <c r="G639" s="92" t="inlineStr">
        <is>
          <t>CSM 상각</t>
        </is>
      </c>
      <c r="H639" s="93" t="n">
        <v>0</v>
      </c>
      <c r="I639" s="93" t="n">
        <v>0</v>
      </c>
      <c r="J639" s="93" t="n">
        <v>-893229000</v>
      </c>
      <c r="L639" s="9">
        <f>IF($A639="","",VALUE($A639&amp;"")*12+VALUE($B639&amp;""))</f>
        <v/>
      </c>
      <c r="M639" s="94">
        <f>IF($A639="",0,$H639*설정!$C$23)</f>
        <v/>
      </c>
      <c r="N639" s="94">
        <f>IF($A639="",0,$I639*설정!$C$23)</f>
        <v/>
      </c>
      <c r="O639" s="94">
        <f>IF($A639="",0,$J639*설정!$C$23)</f>
        <v/>
      </c>
      <c r="P639" s="64">
        <f>IF($A639="","",IFERROR(INDEX(입력옵션!$C$58:$C$68,MATCH($F639&amp;"",입력옵션!$E$58:$E$68,0)),IFERROR(INDEX(입력옵션!$C$58:$C$68,MATCH($G639&amp;"",입력옵션!$F$58:$F$68,0)),$F639&amp;"")))</f>
        <v/>
      </c>
    </row>
    <row r="640">
      <c r="A640" s="92" t="n">
        <v>2026</v>
      </c>
      <c r="B640" s="92" t="n">
        <v>3</v>
      </c>
      <c r="C640" s="92" t="inlineStr">
        <is>
          <t>PF02</t>
        </is>
      </c>
      <c r="D640" s="92" t="inlineStr">
        <is>
          <t>저축성</t>
        </is>
      </c>
      <c r="E640" s="92" t="inlineStr">
        <is>
          <t>GMM</t>
        </is>
      </c>
      <c r="F640" s="92" t="inlineStr">
        <is>
          <t>F52</t>
        </is>
      </c>
      <c r="G640" s="92" t="inlineStr">
        <is>
          <t>RA 해제</t>
        </is>
      </c>
      <c r="H640" s="93" t="n">
        <v>0</v>
      </c>
      <c r="I640" s="93" t="n">
        <v>-183351000</v>
      </c>
      <c r="J640" s="93" t="n">
        <v>0</v>
      </c>
      <c r="L640" s="9">
        <f>IF($A640="","",VALUE($A640&amp;"")*12+VALUE($B640&amp;""))</f>
        <v/>
      </c>
      <c r="M640" s="94">
        <f>IF($A640="",0,$H640*설정!$C$23)</f>
        <v/>
      </c>
      <c r="N640" s="94">
        <f>IF($A640="",0,$I640*설정!$C$23)</f>
        <v/>
      </c>
      <c r="O640" s="94">
        <f>IF($A640="",0,$J640*설정!$C$23)</f>
        <v/>
      </c>
      <c r="P640" s="64">
        <f>IF($A640="","",IFERROR(INDEX(입력옵션!$C$58:$C$68,MATCH($F640&amp;"",입력옵션!$E$58:$E$68,0)),IFERROR(INDEX(입력옵션!$C$58:$C$68,MATCH($G640&amp;"",입력옵션!$F$58:$F$68,0)),$F640&amp;"")))</f>
        <v/>
      </c>
    </row>
    <row r="641">
      <c r="A641" s="92" t="n">
        <v>2026</v>
      </c>
      <c r="B641" s="92" t="n">
        <v>3</v>
      </c>
      <c r="C641" s="92" t="inlineStr">
        <is>
          <t>PF02</t>
        </is>
      </c>
      <c r="D641" s="92" t="inlineStr">
        <is>
          <t>저축성</t>
        </is>
      </c>
      <c r="E641" s="92" t="inlineStr">
        <is>
          <t>GMM</t>
        </is>
      </c>
      <c r="F641" s="92" t="inlineStr">
        <is>
          <t>F60</t>
        </is>
      </c>
      <c r="G641" s="92" t="inlineStr">
        <is>
          <t>현금흐름 및 기타</t>
        </is>
      </c>
      <c r="H641" s="93" t="n">
        <v>1636096000</v>
      </c>
      <c r="I641" s="93" t="n">
        <v>-335099000</v>
      </c>
      <c r="J641" s="93" t="n">
        <v>0</v>
      </c>
      <c r="L641" s="9">
        <f>IF($A641="","",VALUE($A641&amp;"")*12+VALUE($B641&amp;""))</f>
        <v/>
      </c>
      <c r="M641" s="94">
        <f>IF($A641="",0,$H641*설정!$C$23)</f>
        <v/>
      </c>
      <c r="N641" s="94">
        <f>IF($A641="",0,$I641*설정!$C$23)</f>
        <v/>
      </c>
      <c r="O641" s="94">
        <f>IF($A641="",0,$J641*설정!$C$23)</f>
        <v/>
      </c>
      <c r="P641" s="64">
        <f>IF($A641="","",IFERROR(INDEX(입력옵션!$C$58:$C$68,MATCH($F641&amp;"",입력옵션!$E$58:$E$68,0)),IFERROR(INDEX(입력옵션!$C$58:$C$68,MATCH($G641&amp;"",입력옵션!$F$58:$F$68,0)),$F641&amp;"")))</f>
        <v/>
      </c>
    </row>
    <row r="642">
      <c r="A642" s="92" t="n">
        <v>2026</v>
      </c>
      <c r="B642" s="92" t="n">
        <v>3</v>
      </c>
      <c r="C642" s="92" t="inlineStr">
        <is>
          <t>PF02</t>
        </is>
      </c>
      <c r="D642" s="92" t="inlineStr">
        <is>
          <t>저축성</t>
        </is>
      </c>
      <c r="E642" s="92" t="inlineStr">
        <is>
          <t>GMM</t>
        </is>
      </c>
      <c r="F642" s="92" t="inlineStr">
        <is>
          <t>F99</t>
        </is>
      </c>
      <c r="G642" s="92" t="inlineStr">
        <is>
          <t>기말잔액</t>
        </is>
      </c>
      <c r="H642" s="93" t="n">
        <v>711481881000</v>
      </c>
      <c r="I642" s="93" t="n">
        <v>30380175000</v>
      </c>
      <c r="J642" s="93" t="n">
        <v>99970969000</v>
      </c>
      <c r="L642" s="9">
        <f>IF($A642="","",VALUE($A642&amp;"")*12+VALUE($B642&amp;""))</f>
        <v/>
      </c>
      <c r="M642" s="94">
        <f>IF($A642="",0,$H642*설정!$C$23)</f>
        <v/>
      </c>
      <c r="N642" s="94">
        <f>IF($A642="",0,$I642*설정!$C$23)</f>
        <v/>
      </c>
      <c r="O642" s="94">
        <f>IF($A642="",0,$J642*설정!$C$23)</f>
        <v/>
      </c>
      <c r="P642" s="64">
        <f>IF($A642="","",IFERROR(INDEX(입력옵션!$C$58:$C$68,MATCH($F642&amp;"",입력옵션!$E$58:$E$68,0)),IFERROR(INDEX(입력옵션!$C$58:$C$68,MATCH($G642&amp;"",입력옵션!$F$58:$F$68,0)),$F642&amp;"")))</f>
        <v/>
      </c>
    </row>
    <row r="643">
      <c r="A643" s="92" t="n">
        <v>2026</v>
      </c>
      <c r="B643" s="92" t="n">
        <v>3</v>
      </c>
      <c r="C643" s="92" t="inlineStr">
        <is>
          <t>PF03</t>
        </is>
      </c>
      <c r="D643" s="92" t="inlineStr">
        <is>
          <t>단체(단기)</t>
        </is>
      </c>
      <c r="E643" s="92" t="inlineStr">
        <is>
          <t>PAA</t>
        </is>
      </c>
      <c r="F643" s="92" t="inlineStr">
        <is>
          <t>F00</t>
        </is>
      </c>
      <c r="G643" s="92" t="inlineStr">
        <is>
          <t>기초잔액</t>
        </is>
      </c>
      <c r="H643" s="93" t="n">
        <v>42998032000</v>
      </c>
      <c r="I643" s="93" t="n">
        <v>2444674000</v>
      </c>
      <c r="J643" s="93" t="n">
        <v>0</v>
      </c>
      <c r="L643" s="9">
        <f>IF($A643="","",VALUE($A643&amp;"")*12+VALUE($B643&amp;""))</f>
        <v/>
      </c>
      <c r="M643" s="94">
        <f>IF($A643="",0,$H643*설정!$C$23)</f>
        <v/>
      </c>
      <c r="N643" s="94">
        <f>IF($A643="",0,$I643*설정!$C$23)</f>
        <v/>
      </c>
      <c r="O643" s="94">
        <f>IF($A643="",0,$J643*설정!$C$23)</f>
        <v/>
      </c>
      <c r="P643" s="64">
        <f>IF($A643="","",IFERROR(INDEX(입력옵션!$C$58:$C$68,MATCH($F643&amp;"",입력옵션!$E$58:$E$68,0)),IFERROR(INDEX(입력옵션!$C$58:$C$68,MATCH($G643&amp;"",입력옵션!$F$58:$F$68,0)),$F643&amp;"")))</f>
        <v/>
      </c>
    </row>
    <row r="644">
      <c r="A644" s="92" t="n">
        <v>2026</v>
      </c>
      <c r="B644" s="92" t="n">
        <v>3</v>
      </c>
      <c r="C644" s="92" t="inlineStr">
        <is>
          <t>PF03</t>
        </is>
      </c>
      <c r="D644" s="92" t="inlineStr">
        <is>
          <t>단체(단기)</t>
        </is>
      </c>
      <c r="E644" s="92" t="inlineStr">
        <is>
          <t>PAA</t>
        </is>
      </c>
      <c r="F644" s="92" t="inlineStr">
        <is>
          <t>F10</t>
        </is>
      </c>
      <c r="G644" s="92" t="inlineStr">
        <is>
          <t>신계약 효과</t>
        </is>
      </c>
      <c r="H644" s="93" t="n">
        <v>0</v>
      </c>
      <c r="I644" s="93" t="n">
        <v>0</v>
      </c>
      <c r="J644" s="93" t="n">
        <v>0</v>
      </c>
      <c r="L644" s="9">
        <f>IF($A644="","",VALUE($A644&amp;"")*12+VALUE($B644&amp;""))</f>
        <v/>
      </c>
      <c r="M644" s="94">
        <f>IF($A644="",0,$H644*설정!$C$23)</f>
        <v/>
      </c>
      <c r="N644" s="94">
        <f>IF($A644="",0,$I644*설정!$C$23)</f>
        <v/>
      </c>
      <c r="O644" s="94">
        <f>IF($A644="",0,$J644*설정!$C$23)</f>
        <v/>
      </c>
      <c r="P644" s="64">
        <f>IF($A644="","",IFERROR(INDEX(입력옵션!$C$58:$C$68,MATCH($F644&amp;"",입력옵션!$E$58:$E$68,0)),IFERROR(INDEX(입력옵션!$C$58:$C$68,MATCH($G644&amp;"",입력옵션!$F$58:$F$68,0)),$F644&amp;"")))</f>
        <v/>
      </c>
    </row>
    <row r="645">
      <c r="A645" s="92" t="n">
        <v>2026</v>
      </c>
      <c r="B645" s="92" t="n">
        <v>3</v>
      </c>
      <c r="C645" s="92" t="inlineStr">
        <is>
          <t>PF03</t>
        </is>
      </c>
      <c r="D645" s="92" t="inlineStr">
        <is>
          <t>단체(단기)</t>
        </is>
      </c>
      <c r="E645" s="92" t="inlineStr">
        <is>
          <t>PAA</t>
        </is>
      </c>
      <c r="F645" s="92" t="inlineStr">
        <is>
          <t>F21</t>
        </is>
      </c>
      <c r="G645" s="92" t="inlineStr">
        <is>
          <t>가정변경-사업비</t>
        </is>
      </c>
      <c r="H645" s="93" t="n">
        <v>0</v>
      </c>
      <c r="I645" s="93" t="n">
        <v>0</v>
      </c>
      <c r="J645" s="93" t="n">
        <v>0</v>
      </c>
      <c r="L645" s="9">
        <f>IF($A645="","",VALUE($A645&amp;"")*12+VALUE($B645&amp;""))</f>
        <v/>
      </c>
      <c r="M645" s="94">
        <f>IF($A645="",0,$H645*설정!$C$23)</f>
        <v/>
      </c>
      <c r="N645" s="94">
        <f>IF($A645="",0,$I645*설정!$C$23)</f>
        <v/>
      </c>
      <c r="O645" s="94">
        <f>IF($A645="",0,$J645*설정!$C$23)</f>
        <v/>
      </c>
      <c r="P645" s="64">
        <f>IF($A645="","",IFERROR(INDEX(입력옵션!$C$58:$C$68,MATCH($F645&amp;"",입력옵션!$E$58:$E$68,0)),IFERROR(INDEX(입력옵션!$C$58:$C$68,MATCH($G645&amp;"",입력옵션!$F$58:$F$68,0)),$F645&amp;"")))</f>
        <v/>
      </c>
    </row>
    <row r="646">
      <c r="A646" s="92" t="n">
        <v>2026</v>
      </c>
      <c r="B646" s="92" t="n">
        <v>3</v>
      </c>
      <c r="C646" s="92" t="inlineStr">
        <is>
          <t>PF03</t>
        </is>
      </c>
      <c r="D646" s="92" t="inlineStr">
        <is>
          <t>단체(단기)</t>
        </is>
      </c>
      <c r="E646" s="92" t="inlineStr">
        <is>
          <t>PAA</t>
        </is>
      </c>
      <c r="F646" s="92" t="inlineStr">
        <is>
          <t>F22</t>
        </is>
      </c>
      <c r="G646" s="92" t="inlineStr">
        <is>
          <t>가정변경-기타</t>
        </is>
      </c>
      <c r="H646" s="93" t="n">
        <v>0</v>
      </c>
      <c r="I646" s="93" t="n">
        <v>0</v>
      </c>
      <c r="J646" s="93" t="n">
        <v>0</v>
      </c>
      <c r="L646" s="9">
        <f>IF($A646="","",VALUE($A646&amp;"")*12+VALUE($B646&amp;""))</f>
        <v/>
      </c>
      <c r="M646" s="94">
        <f>IF($A646="",0,$H646*설정!$C$23)</f>
        <v/>
      </c>
      <c r="N646" s="94">
        <f>IF($A646="",0,$I646*설정!$C$23)</f>
        <v/>
      </c>
      <c r="O646" s="94">
        <f>IF($A646="",0,$J646*설정!$C$23)</f>
        <v/>
      </c>
      <c r="P646" s="64">
        <f>IF($A646="","",IFERROR(INDEX(입력옵션!$C$58:$C$68,MATCH($F646&amp;"",입력옵션!$E$58:$E$68,0)),IFERROR(INDEX(입력옵션!$C$58:$C$68,MATCH($G646&amp;"",입력옵션!$F$58:$F$68,0)),$F646&amp;"")))</f>
        <v/>
      </c>
    </row>
    <row r="647">
      <c r="A647" s="92" t="n">
        <v>2026</v>
      </c>
      <c r="B647" s="92" t="n">
        <v>3</v>
      </c>
      <c r="C647" s="92" t="inlineStr">
        <is>
          <t>PF03</t>
        </is>
      </c>
      <c r="D647" s="92" t="inlineStr">
        <is>
          <t>단체(단기)</t>
        </is>
      </c>
      <c r="E647" s="92" t="inlineStr">
        <is>
          <t>PAA</t>
        </is>
      </c>
      <c r="F647" s="92" t="inlineStr">
        <is>
          <t>F31</t>
        </is>
      </c>
      <c r="G647" s="92" t="inlineStr">
        <is>
          <t>경험조정-취득현금흐름</t>
        </is>
      </c>
      <c r="H647" s="93" t="n">
        <v>0</v>
      </c>
      <c r="I647" s="93" t="n">
        <v>0</v>
      </c>
      <c r="J647" s="93" t="n">
        <v>0</v>
      </c>
      <c r="L647" s="9">
        <f>IF($A647="","",VALUE($A647&amp;"")*12+VALUE($B647&amp;""))</f>
        <v/>
      </c>
      <c r="M647" s="94">
        <f>IF($A647="",0,$H647*설정!$C$23)</f>
        <v/>
      </c>
      <c r="N647" s="94">
        <f>IF($A647="",0,$I647*설정!$C$23)</f>
        <v/>
      </c>
      <c r="O647" s="94">
        <f>IF($A647="",0,$J647*설정!$C$23)</f>
        <v/>
      </c>
      <c r="P647" s="64">
        <f>IF($A647="","",IFERROR(INDEX(입력옵션!$C$58:$C$68,MATCH($F647&amp;"",입력옵션!$E$58:$E$68,0)),IFERROR(INDEX(입력옵션!$C$58:$C$68,MATCH($G647&amp;"",입력옵션!$F$58:$F$68,0)),$F647&amp;"")))</f>
        <v/>
      </c>
    </row>
    <row r="648">
      <c r="A648" s="92" t="n">
        <v>2026</v>
      </c>
      <c r="B648" s="92" t="n">
        <v>3</v>
      </c>
      <c r="C648" s="92" t="inlineStr">
        <is>
          <t>PF03</t>
        </is>
      </c>
      <c r="D648" s="92" t="inlineStr">
        <is>
          <t>단체(단기)</t>
        </is>
      </c>
      <c r="E648" s="92" t="inlineStr">
        <is>
          <t>PAA</t>
        </is>
      </c>
      <c r="F648" s="92" t="inlineStr">
        <is>
          <t>F32</t>
        </is>
      </c>
      <c r="G648" s="92" t="inlineStr">
        <is>
          <t>경험조정-보험료 등</t>
        </is>
      </c>
      <c r="H648" s="93" t="n">
        <v>0</v>
      </c>
      <c r="I648" s="93" t="n">
        <v>0</v>
      </c>
      <c r="J648" s="93" t="n">
        <v>0</v>
      </c>
      <c r="L648" s="9">
        <f>IF($A648="","",VALUE($A648&amp;"")*12+VALUE($B648&amp;""))</f>
        <v/>
      </c>
      <c r="M648" s="94">
        <f>IF($A648="",0,$H648*설정!$C$23)</f>
        <v/>
      </c>
      <c r="N648" s="94">
        <f>IF($A648="",0,$I648*설정!$C$23)</f>
        <v/>
      </c>
      <c r="O648" s="94">
        <f>IF($A648="",0,$J648*설정!$C$23)</f>
        <v/>
      </c>
      <c r="P648" s="64">
        <f>IF($A648="","",IFERROR(INDEX(입력옵션!$C$58:$C$68,MATCH($F648&amp;"",입력옵션!$E$58:$E$68,0)),IFERROR(INDEX(입력옵션!$C$58:$C$68,MATCH($G648&amp;"",입력옵션!$F$58:$F$68,0)),$F648&amp;"")))</f>
        <v/>
      </c>
    </row>
    <row r="649">
      <c r="A649" s="92" t="n">
        <v>2026</v>
      </c>
      <c r="B649" s="92" t="n">
        <v>3</v>
      </c>
      <c r="C649" s="92" t="inlineStr">
        <is>
          <t>PF03</t>
        </is>
      </c>
      <c r="D649" s="92" t="inlineStr">
        <is>
          <t>단체(단기)</t>
        </is>
      </c>
      <c r="E649" s="92" t="inlineStr">
        <is>
          <t>PAA</t>
        </is>
      </c>
      <c r="F649" s="92" t="inlineStr">
        <is>
          <t>F40</t>
        </is>
      </c>
      <c r="G649" s="92" t="inlineStr">
        <is>
          <t>보험금융비용(이자부리)</t>
        </is>
      </c>
      <c r="H649" s="93" t="n">
        <v>0</v>
      </c>
      <c r="I649" s="93" t="n">
        <v>0</v>
      </c>
      <c r="J649" s="93" t="n">
        <v>0</v>
      </c>
      <c r="L649" s="9">
        <f>IF($A649="","",VALUE($A649&amp;"")*12+VALUE($B649&amp;""))</f>
        <v/>
      </c>
      <c r="M649" s="94">
        <f>IF($A649="",0,$H649*설정!$C$23)</f>
        <v/>
      </c>
      <c r="N649" s="94">
        <f>IF($A649="",0,$I649*설정!$C$23)</f>
        <v/>
      </c>
      <c r="O649" s="94">
        <f>IF($A649="",0,$J649*설정!$C$23)</f>
        <v/>
      </c>
      <c r="P649" s="64">
        <f>IF($A649="","",IFERROR(INDEX(입력옵션!$C$58:$C$68,MATCH($F649&amp;"",입력옵션!$E$58:$E$68,0)),IFERROR(INDEX(입력옵션!$C$58:$C$68,MATCH($G649&amp;"",입력옵션!$F$58:$F$68,0)),$F649&amp;"")))</f>
        <v/>
      </c>
    </row>
    <row r="650">
      <c r="A650" s="92" t="n">
        <v>2026</v>
      </c>
      <c r="B650" s="92" t="n">
        <v>3</v>
      </c>
      <c r="C650" s="92" t="inlineStr">
        <is>
          <t>PF03</t>
        </is>
      </c>
      <c r="D650" s="92" t="inlineStr">
        <is>
          <t>단체(단기)</t>
        </is>
      </c>
      <c r="E650" s="92" t="inlineStr">
        <is>
          <t>PAA</t>
        </is>
      </c>
      <c r="F650" s="92" t="inlineStr">
        <is>
          <t>F51</t>
        </is>
      </c>
      <c r="G650" s="92" t="inlineStr">
        <is>
          <t>CSM 상각</t>
        </is>
      </c>
      <c r="H650" s="93" t="n">
        <v>0</v>
      </c>
      <c r="I650" s="93" t="n">
        <v>0</v>
      </c>
      <c r="J650" s="93" t="n">
        <v>0</v>
      </c>
      <c r="L650" s="9">
        <f>IF($A650="","",VALUE($A650&amp;"")*12+VALUE($B650&amp;""))</f>
        <v/>
      </c>
      <c r="M650" s="94">
        <f>IF($A650="",0,$H650*설정!$C$23)</f>
        <v/>
      </c>
      <c r="N650" s="94">
        <f>IF($A650="",0,$I650*설정!$C$23)</f>
        <v/>
      </c>
      <c r="O650" s="94">
        <f>IF($A650="",0,$J650*설정!$C$23)</f>
        <v/>
      </c>
      <c r="P650" s="64">
        <f>IF($A650="","",IFERROR(INDEX(입력옵션!$C$58:$C$68,MATCH($F650&amp;"",입력옵션!$E$58:$E$68,0)),IFERROR(INDEX(입력옵션!$C$58:$C$68,MATCH($G650&amp;"",입력옵션!$F$58:$F$68,0)),$F650&amp;"")))</f>
        <v/>
      </c>
    </row>
    <row r="651">
      <c r="A651" s="92" t="n">
        <v>2026</v>
      </c>
      <c r="B651" s="92" t="n">
        <v>3</v>
      </c>
      <c r="C651" s="92" t="inlineStr">
        <is>
          <t>PF03</t>
        </is>
      </c>
      <c r="D651" s="92" t="inlineStr">
        <is>
          <t>단체(단기)</t>
        </is>
      </c>
      <c r="E651" s="92" t="inlineStr">
        <is>
          <t>PAA</t>
        </is>
      </c>
      <c r="F651" s="92" t="inlineStr">
        <is>
          <t>F52</t>
        </is>
      </c>
      <c r="G651" s="92" t="inlineStr">
        <is>
          <t>RA 해제</t>
        </is>
      </c>
      <c r="H651" s="93" t="n">
        <v>0</v>
      </c>
      <c r="I651" s="93" t="n">
        <v>-14668000</v>
      </c>
      <c r="J651" s="93" t="n">
        <v>0</v>
      </c>
      <c r="L651" s="9">
        <f>IF($A651="","",VALUE($A651&amp;"")*12+VALUE($B651&amp;""))</f>
        <v/>
      </c>
      <c r="M651" s="94">
        <f>IF($A651="",0,$H651*설정!$C$23)</f>
        <v/>
      </c>
      <c r="N651" s="94">
        <f>IF($A651="",0,$I651*설정!$C$23)</f>
        <v/>
      </c>
      <c r="O651" s="94">
        <f>IF($A651="",0,$J651*설정!$C$23)</f>
        <v/>
      </c>
      <c r="P651" s="64">
        <f>IF($A651="","",IFERROR(INDEX(입력옵션!$C$58:$C$68,MATCH($F651&amp;"",입력옵션!$E$58:$E$68,0)),IFERROR(INDEX(입력옵션!$C$58:$C$68,MATCH($G651&amp;"",입력옵션!$F$58:$F$68,0)),$F651&amp;"")))</f>
        <v/>
      </c>
    </row>
    <row r="652">
      <c r="A652" s="92" t="n">
        <v>2026</v>
      </c>
      <c r="B652" s="92" t="n">
        <v>3</v>
      </c>
      <c r="C652" s="92" t="inlineStr">
        <is>
          <t>PF03</t>
        </is>
      </c>
      <c r="D652" s="92" t="inlineStr">
        <is>
          <t>단체(단기)</t>
        </is>
      </c>
      <c r="E652" s="92" t="inlineStr">
        <is>
          <t>PAA</t>
        </is>
      </c>
      <c r="F652" s="92" t="inlineStr">
        <is>
          <t>F60</t>
        </is>
      </c>
      <c r="G652" s="92" t="inlineStr">
        <is>
          <t>현금흐름 및 기타</t>
        </is>
      </c>
      <c r="H652" s="93" t="n">
        <v>122082000</v>
      </c>
      <c r="I652" s="93" t="n">
        <v>408000</v>
      </c>
      <c r="J652" s="93" t="n">
        <v>0</v>
      </c>
      <c r="L652" s="9">
        <f>IF($A652="","",VALUE($A652&amp;"")*12+VALUE($B652&amp;""))</f>
        <v/>
      </c>
      <c r="M652" s="94">
        <f>IF($A652="",0,$H652*설정!$C$23)</f>
        <v/>
      </c>
      <c r="N652" s="94">
        <f>IF($A652="",0,$I652*설정!$C$23)</f>
        <v/>
      </c>
      <c r="O652" s="94">
        <f>IF($A652="",0,$J652*설정!$C$23)</f>
        <v/>
      </c>
      <c r="P652" s="64">
        <f>IF($A652="","",IFERROR(INDEX(입력옵션!$C$58:$C$68,MATCH($F652&amp;"",입력옵션!$E$58:$E$68,0)),IFERROR(INDEX(입력옵션!$C$58:$C$68,MATCH($G652&amp;"",입력옵션!$F$58:$F$68,0)),$F652&amp;"")))</f>
        <v/>
      </c>
    </row>
    <row r="653">
      <c r="A653" s="92" t="n">
        <v>2026</v>
      </c>
      <c r="B653" s="92" t="n">
        <v>3</v>
      </c>
      <c r="C653" s="92" t="inlineStr">
        <is>
          <t>PF03</t>
        </is>
      </c>
      <c r="D653" s="92" t="inlineStr">
        <is>
          <t>단체(단기)</t>
        </is>
      </c>
      <c r="E653" s="92" t="inlineStr">
        <is>
          <t>PAA</t>
        </is>
      </c>
      <c r="F653" s="92" t="inlineStr">
        <is>
          <t>F99</t>
        </is>
      </c>
      <c r="G653" s="92" t="inlineStr">
        <is>
          <t>기말잔액</t>
        </is>
      </c>
      <c r="H653" s="93" t="n">
        <v>43120114000</v>
      </c>
      <c r="I653" s="93" t="n">
        <v>2430414000</v>
      </c>
      <c r="J653" s="93" t="n">
        <v>0</v>
      </c>
      <c r="L653" s="9">
        <f>IF($A653="","",VALUE($A653&amp;"")*12+VALUE($B653&amp;""))</f>
        <v/>
      </c>
      <c r="M653" s="94">
        <f>IF($A653="",0,$H653*설정!$C$23)</f>
        <v/>
      </c>
      <c r="N653" s="94">
        <f>IF($A653="",0,$I653*설정!$C$23)</f>
        <v/>
      </c>
      <c r="O653" s="94">
        <f>IF($A653="",0,$J653*설정!$C$23)</f>
        <v/>
      </c>
      <c r="P653" s="64">
        <f>IF($A653="","",IFERROR(INDEX(입력옵션!$C$58:$C$68,MATCH($F653&amp;"",입력옵션!$E$58:$E$68,0)),IFERROR(INDEX(입력옵션!$C$58:$C$68,MATCH($G653&amp;"",입력옵션!$F$58:$F$68,0)),$F653&amp;"")))</f>
        <v/>
      </c>
    </row>
    <row r="654">
      <c r="A654" s="92" t="n">
        <v>2026</v>
      </c>
      <c r="B654" s="92" t="n">
        <v>3</v>
      </c>
      <c r="C654" s="92" t="inlineStr">
        <is>
          <t>PF04</t>
        </is>
      </c>
      <c r="D654" s="92" t="inlineStr">
        <is>
          <t>변액</t>
        </is>
      </c>
      <c r="E654" s="92" t="inlineStr">
        <is>
          <t>VFA</t>
        </is>
      </c>
      <c r="F654" s="92" t="inlineStr">
        <is>
          <t>F00</t>
        </is>
      </c>
      <c r="G654" s="92" t="inlineStr">
        <is>
          <t>기초잔액</t>
        </is>
      </c>
      <c r="H654" s="93" t="n">
        <v>322485240000</v>
      </c>
      <c r="I654" s="93" t="n">
        <v>15890381000</v>
      </c>
      <c r="J654" s="93" t="n">
        <v>52141975000</v>
      </c>
      <c r="L654" s="9">
        <f>IF($A654="","",VALUE($A654&amp;"")*12+VALUE($B654&amp;""))</f>
        <v/>
      </c>
      <c r="M654" s="94">
        <f>IF($A654="",0,$H654*설정!$C$23)</f>
        <v/>
      </c>
      <c r="N654" s="94">
        <f>IF($A654="",0,$I654*설정!$C$23)</f>
        <v/>
      </c>
      <c r="O654" s="94">
        <f>IF($A654="",0,$J654*설정!$C$23)</f>
        <v/>
      </c>
      <c r="P654" s="64">
        <f>IF($A654="","",IFERROR(INDEX(입력옵션!$C$58:$C$68,MATCH($F654&amp;"",입력옵션!$E$58:$E$68,0)),IFERROR(INDEX(입력옵션!$C$58:$C$68,MATCH($G654&amp;"",입력옵션!$F$58:$F$68,0)),$F654&amp;"")))</f>
        <v/>
      </c>
    </row>
    <row r="655">
      <c r="A655" s="92" t="n">
        <v>2026</v>
      </c>
      <c r="B655" s="92" t="n">
        <v>3</v>
      </c>
      <c r="C655" s="92" t="inlineStr">
        <is>
          <t>PF04</t>
        </is>
      </c>
      <c r="D655" s="92" t="inlineStr">
        <is>
          <t>변액</t>
        </is>
      </c>
      <c r="E655" s="92" t="inlineStr">
        <is>
          <t>VFA</t>
        </is>
      </c>
      <c r="F655" s="92" t="inlineStr">
        <is>
          <t>F10</t>
        </is>
      </c>
      <c r="G655" s="92" t="inlineStr">
        <is>
          <t>신계약 효과</t>
        </is>
      </c>
      <c r="H655" s="93" t="n">
        <v>-725614000</v>
      </c>
      <c r="I655" s="93" t="n">
        <v>145123000</v>
      </c>
      <c r="J655" s="93" t="n">
        <v>580491000</v>
      </c>
      <c r="L655" s="9">
        <f>IF($A655="","",VALUE($A655&amp;"")*12+VALUE($B655&amp;""))</f>
        <v/>
      </c>
      <c r="M655" s="94">
        <f>IF($A655="",0,$H655*설정!$C$23)</f>
        <v/>
      </c>
      <c r="N655" s="94">
        <f>IF($A655="",0,$I655*설정!$C$23)</f>
        <v/>
      </c>
      <c r="O655" s="94">
        <f>IF($A655="",0,$J655*설정!$C$23)</f>
        <v/>
      </c>
      <c r="P655" s="64">
        <f>IF($A655="","",IFERROR(INDEX(입력옵션!$C$58:$C$68,MATCH($F655&amp;"",입력옵션!$E$58:$E$68,0)),IFERROR(INDEX(입력옵션!$C$58:$C$68,MATCH($G655&amp;"",입력옵션!$F$58:$F$68,0)),$F655&amp;"")))</f>
        <v/>
      </c>
    </row>
    <row r="656">
      <c r="A656" s="92" t="n">
        <v>2026</v>
      </c>
      <c r="B656" s="92" t="n">
        <v>3</v>
      </c>
      <c r="C656" s="92" t="inlineStr">
        <is>
          <t>PF04</t>
        </is>
      </c>
      <c r="D656" s="92" t="inlineStr">
        <is>
          <t>변액</t>
        </is>
      </c>
      <c r="E656" s="92" t="inlineStr">
        <is>
          <t>VFA</t>
        </is>
      </c>
      <c r="F656" s="92" t="inlineStr">
        <is>
          <t>F21</t>
        </is>
      </c>
      <c r="G656" s="92" t="inlineStr">
        <is>
          <t>가정변경-사업비</t>
        </is>
      </c>
      <c r="H656" s="93" t="n">
        <v>0</v>
      </c>
      <c r="I656" s="93" t="n">
        <v>0</v>
      </c>
      <c r="J656" s="93" t="n">
        <v>0</v>
      </c>
      <c r="L656" s="9">
        <f>IF($A656="","",VALUE($A656&amp;"")*12+VALUE($B656&amp;""))</f>
        <v/>
      </c>
      <c r="M656" s="94">
        <f>IF($A656="",0,$H656*설정!$C$23)</f>
        <v/>
      </c>
      <c r="N656" s="94">
        <f>IF($A656="",0,$I656*설정!$C$23)</f>
        <v/>
      </c>
      <c r="O656" s="94">
        <f>IF($A656="",0,$J656*설정!$C$23)</f>
        <v/>
      </c>
      <c r="P656" s="64">
        <f>IF($A656="","",IFERROR(INDEX(입력옵션!$C$58:$C$68,MATCH($F656&amp;"",입력옵션!$E$58:$E$68,0)),IFERROR(INDEX(입력옵션!$C$58:$C$68,MATCH($G656&amp;"",입력옵션!$F$58:$F$68,0)),$F656&amp;"")))</f>
        <v/>
      </c>
    </row>
    <row r="657">
      <c r="A657" s="92" t="n">
        <v>2026</v>
      </c>
      <c r="B657" s="92" t="n">
        <v>3</v>
      </c>
      <c r="C657" s="92" t="inlineStr">
        <is>
          <t>PF04</t>
        </is>
      </c>
      <c r="D657" s="92" t="inlineStr">
        <is>
          <t>변액</t>
        </is>
      </c>
      <c r="E657" s="92" t="inlineStr">
        <is>
          <t>VFA</t>
        </is>
      </c>
      <c r="F657" s="92" t="inlineStr">
        <is>
          <t>F22</t>
        </is>
      </c>
      <c r="G657" s="92" t="inlineStr">
        <is>
          <t>가정변경-기타</t>
        </is>
      </c>
      <c r="H657" s="93" t="n">
        <v>0</v>
      </c>
      <c r="I657" s="93" t="n">
        <v>0</v>
      </c>
      <c r="J657" s="93" t="n">
        <v>0</v>
      </c>
      <c r="L657" s="9">
        <f>IF($A657="","",VALUE($A657&amp;"")*12+VALUE($B657&amp;""))</f>
        <v/>
      </c>
      <c r="M657" s="94">
        <f>IF($A657="",0,$H657*설정!$C$23)</f>
        <v/>
      </c>
      <c r="N657" s="94">
        <f>IF($A657="",0,$I657*설정!$C$23)</f>
        <v/>
      </c>
      <c r="O657" s="94">
        <f>IF($A657="",0,$J657*설정!$C$23)</f>
        <v/>
      </c>
      <c r="P657" s="64">
        <f>IF($A657="","",IFERROR(INDEX(입력옵션!$C$58:$C$68,MATCH($F657&amp;"",입력옵션!$E$58:$E$68,0)),IFERROR(INDEX(입력옵션!$C$58:$C$68,MATCH($G657&amp;"",입력옵션!$F$58:$F$68,0)),$F657&amp;"")))</f>
        <v/>
      </c>
    </row>
    <row r="658">
      <c r="A658" s="92" t="n">
        <v>2026</v>
      </c>
      <c r="B658" s="92" t="n">
        <v>3</v>
      </c>
      <c r="C658" s="92" t="inlineStr">
        <is>
          <t>PF04</t>
        </is>
      </c>
      <c r="D658" s="92" t="inlineStr">
        <is>
          <t>변액</t>
        </is>
      </c>
      <c r="E658" s="92" t="inlineStr">
        <is>
          <t>VFA</t>
        </is>
      </c>
      <c r="F658" s="92" t="inlineStr">
        <is>
          <t>F31</t>
        </is>
      </c>
      <c r="G658" s="92" t="inlineStr">
        <is>
          <t>경험조정-취득현금흐름</t>
        </is>
      </c>
      <c r="H658" s="93" t="n">
        <v>0</v>
      </c>
      <c r="I658" s="93" t="n">
        <v>0</v>
      </c>
      <c r="J658" s="93" t="n">
        <v>-3667000</v>
      </c>
      <c r="L658" s="9">
        <f>IF($A658="","",VALUE($A658&amp;"")*12+VALUE($B658&amp;""))</f>
        <v/>
      </c>
      <c r="M658" s="94">
        <f>IF($A658="",0,$H658*설정!$C$23)</f>
        <v/>
      </c>
      <c r="N658" s="94">
        <f>IF($A658="",0,$I658*설정!$C$23)</f>
        <v/>
      </c>
      <c r="O658" s="94">
        <f>IF($A658="",0,$J658*설정!$C$23)</f>
        <v/>
      </c>
      <c r="P658" s="64">
        <f>IF($A658="","",IFERROR(INDEX(입력옵션!$C$58:$C$68,MATCH($F658&amp;"",입력옵션!$E$58:$E$68,0)),IFERROR(INDEX(입력옵션!$C$58:$C$68,MATCH($G658&amp;"",입력옵션!$F$58:$F$68,0)),$F658&amp;"")))</f>
        <v/>
      </c>
    </row>
    <row r="659">
      <c r="A659" s="92" t="n">
        <v>2026</v>
      </c>
      <c r="B659" s="92" t="n">
        <v>3</v>
      </c>
      <c r="C659" s="92" t="inlineStr">
        <is>
          <t>PF04</t>
        </is>
      </c>
      <c r="D659" s="92" t="inlineStr">
        <is>
          <t>변액</t>
        </is>
      </c>
      <c r="E659" s="92" t="inlineStr">
        <is>
          <t>VFA</t>
        </is>
      </c>
      <c r="F659" s="92" t="inlineStr">
        <is>
          <t>F32</t>
        </is>
      </c>
      <c r="G659" s="92" t="inlineStr">
        <is>
          <t>경험조정-보험료 등</t>
        </is>
      </c>
      <c r="H659" s="93" t="n">
        <v>0</v>
      </c>
      <c r="I659" s="93" t="n">
        <v>0</v>
      </c>
      <c r="J659" s="93" t="n">
        <v>-195877000</v>
      </c>
      <c r="L659" s="9">
        <f>IF($A659="","",VALUE($A659&amp;"")*12+VALUE($B659&amp;""))</f>
        <v/>
      </c>
      <c r="M659" s="94">
        <f>IF($A659="",0,$H659*설정!$C$23)</f>
        <v/>
      </c>
      <c r="N659" s="94">
        <f>IF($A659="",0,$I659*설정!$C$23)</f>
        <v/>
      </c>
      <c r="O659" s="94">
        <f>IF($A659="",0,$J659*설정!$C$23)</f>
        <v/>
      </c>
      <c r="P659" s="64">
        <f>IF($A659="","",IFERROR(INDEX(입력옵션!$C$58:$C$68,MATCH($F659&amp;"",입력옵션!$E$58:$E$68,0)),IFERROR(INDEX(입력옵션!$C$58:$C$68,MATCH($G659&amp;"",입력옵션!$F$58:$F$68,0)),$F659&amp;"")))</f>
        <v/>
      </c>
    </row>
    <row r="660">
      <c r="A660" s="92" t="n">
        <v>2026</v>
      </c>
      <c r="B660" s="92" t="n">
        <v>3</v>
      </c>
      <c r="C660" s="92" t="inlineStr">
        <is>
          <t>PF04</t>
        </is>
      </c>
      <c r="D660" s="92" t="inlineStr">
        <is>
          <t>변액</t>
        </is>
      </c>
      <c r="E660" s="92" t="inlineStr">
        <is>
          <t>VFA</t>
        </is>
      </c>
      <c r="F660" s="92" t="inlineStr">
        <is>
          <t>F40</t>
        </is>
      </c>
      <c r="G660" s="92" t="inlineStr">
        <is>
          <t>보험금융비용(이자부리)</t>
        </is>
      </c>
      <c r="H660" s="93" t="n">
        <v>806213000</v>
      </c>
      <c r="I660" s="93" t="n">
        <v>31781000</v>
      </c>
      <c r="J660" s="93" t="n">
        <v>130355000</v>
      </c>
      <c r="L660" s="9">
        <f>IF($A660="","",VALUE($A660&amp;"")*12+VALUE($B660&amp;""))</f>
        <v/>
      </c>
      <c r="M660" s="94">
        <f>IF($A660="",0,$H660*설정!$C$23)</f>
        <v/>
      </c>
      <c r="N660" s="94">
        <f>IF($A660="",0,$I660*설정!$C$23)</f>
        <v/>
      </c>
      <c r="O660" s="94">
        <f>IF($A660="",0,$J660*설정!$C$23)</f>
        <v/>
      </c>
      <c r="P660" s="64">
        <f>IF($A660="","",IFERROR(INDEX(입력옵션!$C$58:$C$68,MATCH($F660&amp;"",입력옵션!$E$58:$E$68,0)),IFERROR(INDEX(입력옵션!$C$58:$C$68,MATCH($G660&amp;"",입력옵션!$F$58:$F$68,0)),$F660&amp;"")))</f>
        <v/>
      </c>
    </row>
    <row r="661">
      <c r="A661" s="92" t="n">
        <v>2026</v>
      </c>
      <c r="B661" s="92" t="n">
        <v>3</v>
      </c>
      <c r="C661" s="92" t="inlineStr">
        <is>
          <t>PF04</t>
        </is>
      </c>
      <c r="D661" s="92" t="inlineStr">
        <is>
          <t>변액</t>
        </is>
      </c>
      <c r="E661" s="92" t="inlineStr">
        <is>
          <t>VFA</t>
        </is>
      </c>
      <c r="F661" s="92" t="inlineStr">
        <is>
          <t>F51</t>
        </is>
      </c>
      <c r="G661" s="92" t="inlineStr">
        <is>
          <t>CSM 상각</t>
        </is>
      </c>
      <c r="H661" s="93" t="n">
        <v>0</v>
      </c>
      <c r="I661" s="93" t="n">
        <v>0</v>
      </c>
      <c r="J661" s="93" t="n">
        <v>-469278000</v>
      </c>
      <c r="L661" s="9">
        <f>IF($A661="","",VALUE($A661&amp;"")*12+VALUE($B661&amp;""))</f>
        <v/>
      </c>
      <c r="M661" s="94">
        <f>IF($A661="",0,$H661*설정!$C$23)</f>
        <v/>
      </c>
      <c r="N661" s="94">
        <f>IF($A661="",0,$I661*설정!$C$23)</f>
        <v/>
      </c>
      <c r="O661" s="94">
        <f>IF($A661="",0,$J661*설정!$C$23)</f>
        <v/>
      </c>
      <c r="P661" s="64">
        <f>IF($A661="","",IFERROR(INDEX(입력옵션!$C$58:$C$68,MATCH($F661&amp;"",입력옵션!$E$58:$E$68,0)),IFERROR(INDEX(입력옵션!$C$58:$C$68,MATCH($G661&amp;"",입력옵션!$F$58:$F$68,0)),$F661&amp;"")))</f>
        <v/>
      </c>
    </row>
    <row r="662">
      <c r="A662" s="92" t="n">
        <v>2026</v>
      </c>
      <c r="B662" s="92" t="n">
        <v>3</v>
      </c>
      <c r="C662" s="92" t="inlineStr">
        <is>
          <t>PF04</t>
        </is>
      </c>
      <c r="D662" s="92" t="inlineStr">
        <is>
          <t>변액</t>
        </is>
      </c>
      <c r="E662" s="92" t="inlineStr">
        <is>
          <t>VFA</t>
        </is>
      </c>
      <c r="F662" s="92" t="inlineStr">
        <is>
          <t>F52</t>
        </is>
      </c>
      <c r="G662" s="92" t="inlineStr">
        <is>
          <t>RA 해제</t>
        </is>
      </c>
      <c r="H662" s="93" t="n">
        <v>0</v>
      </c>
      <c r="I662" s="93" t="n">
        <v>-95342000</v>
      </c>
      <c r="J662" s="93" t="n">
        <v>0</v>
      </c>
      <c r="L662" s="9">
        <f>IF($A662="","",VALUE($A662&amp;"")*12+VALUE($B662&amp;""))</f>
        <v/>
      </c>
      <c r="M662" s="94">
        <f>IF($A662="",0,$H662*설정!$C$23)</f>
        <v/>
      </c>
      <c r="N662" s="94">
        <f>IF($A662="",0,$I662*설정!$C$23)</f>
        <v/>
      </c>
      <c r="O662" s="94">
        <f>IF($A662="",0,$J662*설정!$C$23)</f>
        <v/>
      </c>
      <c r="P662" s="64">
        <f>IF($A662="","",IFERROR(INDEX(입력옵션!$C$58:$C$68,MATCH($F662&amp;"",입력옵션!$E$58:$E$68,0)),IFERROR(INDEX(입력옵션!$C$58:$C$68,MATCH($G662&amp;"",입력옵션!$F$58:$F$68,0)),$F662&amp;"")))</f>
        <v/>
      </c>
    </row>
    <row r="663">
      <c r="A663" s="92" t="n">
        <v>2026</v>
      </c>
      <c r="B663" s="92" t="n">
        <v>3</v>
      </c>
      <c r="C663" s="92" t="inlineStr">
        <is>
          <t>PF04</t>
        </is>
      </c>
      <c r="D663" s="92" t="inlineStr">
        <is>
          <t>변액</t>
        </is>
      </c>
      <c r="E663" s="92" t="inlineStr">
        <is>
          <t>VFA</t>
        </is>
      </c>
      <c r="F663" s="92" t="inlineStr">
        <is>
          <t>F60</t>
        </is>
      </c>
      <c r="G663" s="92" t="inlineStr">
        <is>
          <t>현금흐름 및 기타</t>
        </is>
      </c>
      <c r="H663" s="93" t="n">
        <v>835016000</v>
      </c>
      <c r="I663" s="93" t="n">
        <v>-174251000</v>
      </c>
      <c r="J663" s="93" t="n">
        <v>0</v>
      </c>
      <c r="L663" s="9">
        <f>IF($A663="","",VALUE($A663&amp;"")*12+VALUE($B663&amp;""))</f>
        <v/>
      </c>
      <c r="M663" s="94">
        <f>IF($A663="",0,$H663*설정!$C$23)</f>
        <v/>
      </c>
      <c r="N663" s="94">
        <f>IF($A663="",0,$I663*설정!$C$23)</f>
        <v/>
      </c>
      <c r="O663" s="94">
        <f>IF($A663="",0,$J663*설정!$C$23)</f>
        <v/>
      </c>
      <c r="P663" s="64">
        <f>IF($A663="","",IFERROR(INDEX(입력옵션!$C$58:$C$68,MATCH($F663&amp;"",입력옵션!$E$58:$E$68,0)),IFERROR(INDEX(입력옵션!$C$58:$C$68,MATCH($G663&amp;"",입력옵션!$F$58:$F$68,0)),$F663&amp;"")))</f>
        <v/>
      </c>
    </row>
    <row r="664">
      <c r="A664" s="92" t="n">
        <v>2026</v>
      </c>
      <c r="B664" s="92" t="n">
        <v>3</v>
      </c>
      <c r="C664" s="92" t="inlineStr">
        <is>
          <t>PF04</t>
        </is>
      </c>
      <c r="D664" s="92" t="inlineStr">
        <is>
          <t>변액</t>
        </is>
      </c>
      <c r="E664" s="92" t="inlineStr">
        <is>
          <t>VFA</t>
        </is>
      </c>
      <c r="F664" s="92" t="inlineStr">
        <is>
          <t>F99</t>
        </is>
      </c>
      <c r="G664" s="92" t="inlineStr">
        <is>
          <t>기말잔액</t>
        </is>
      </c>
      <c r="H664" s="93" t="n">
        <v>323400855000</v>
      </c>
      <c r="I664" s="93" t="n">
        <v>15797691000</v>
      </c>
      <c r="J664" s="93" t="n">
        <v>52183999000</v>
      </c>
      <c r="L664" s="9">
        <f>IF($A664="","",VALUE($A664&amp;"")*12+VALUE($B664&amp;""))</f>
        <v/>
      </c>
      <c r="M664" s="94">
        <f>IF($A664="",0,$H664*설정!$C$23)</f>
        <v/>
      </c>
      <c r="N664" s="94">
        <f>IF($A664="",0,$I664*설정!$C$23)</f>
        <v/>
      </c>
      <c r="O664" s="94">
        <f>IF($A664="",0,$J664*설정!$C$23)</f>
        <v/>
      </c>
      <c r="P664" s="64">
        <f>IF($A664="","",IFERROR(INDEX(입력옵션!$C$58:$C$68,MATCH($F664&amp;"",입력옵션!$E$58:$E$68,0)),IFERROR(INDEX(입력옵션!$C$58:$C$68,MATCH($G664&amp;"",입력옵션!$F$58:$F$68,0)),$F664&amp;"")))</f>
        <v/>
      </c>
    </row>
    <row r="665">
      <c r="A665" s="92" t="n">
        <v>2026</v>
      </c>
      <c r="B665" s="92" t="n">
        <v>4</v>
      </c>
      <c r="C665" s="92" t="inlineStr">
        <is>
          <t>PF01</t>
        </is>
      </c>
      <c r="D665" s="92" t="inlineStr">
        <is>
          <t>보장성</t>
        </is>
      </c>
      <c r="E665" s="92" t="inlineStr">
        <is>
          <t>GMM</t>
        </is>
      </c>
      <c r="F665" s="92" t="inlineStr">
        <is>
          <t>F00</t>
        </is>
      </c>
      <c r="G665" s="92" t="inlineStr">
        <is>
          <t>기초잔액</t>
        </is>
      </c>
      <c r="H665" s="93" t="n">
        <v>1078002850000</v>
      </c>
      <c r="I665" s="93" t="n">
        <v>72912420000</v>
      </c>
      <c r="J665" s="93" t="n">
        <v>248078321000</v>
      </c>
      <c r="L665" s="9">
        <f>IF($A665="","",VALUE($A665&amp;"")*12+VALUE($B665&amp;""))</f>
        <v/>
      </c>
      <c r="M665" s="94">
        <f>IF($A665="",0,$H665*설정!$C$23)</f>
        <v/>
      </c>
      <c r="N665" s="94">
        <f>IF($A665="",0,$I665*설정!$C$23)</f>
        <v/>
      </c>
      <c r="O665" s="94">
        <f>IF($A665="",0,$J665*설정!$C$23)</f>
        <v/>
      </c>
      <c r="P665" s="64">
        <f>IF($A665="","",IFERROR(INDEX(입력옵션!$C$58:$C$68,MATCH($F665&amp;"",입력옵션!$E$58:$E$68,0)),IFERROR(INDEX(입력옵션!$C$58:$C$68,MATCH($G665&amp;"",입력옵션!$F$58:$F$68,0)),$F665&amp;"")))</f>
        <v/>
      </c>
    </row>
    <row r="666">
      <c r="A666" s="92" t="n">
        <v>2026</v>
      </c>
      <c r="B666" s="92" t="n">
        <v>4</v>
      </c>
      <c r="C666" s="92" t="inlineStr">
        <is>
          <t>PF01</t>
        </is>
      </c>
      <c r="D666" s="92" t="inlineStr">
        <is>
          <t>보장성</t>
        </is>
      </c>
      <c r="E666" s="92" t="inlineStr">
        <is>
          <t>GMM</t>
        </is>
      </c>
      <c r="F666" s="92" t="inlineStr">
        <is>
          <t>F10</t>
        </is>
      </c>
      <c r="G666" s="92" t="inlineStr">
        <is>
          <t>신계약 효과</t>
        </is>
      </c>
      <c r="H666" s="93" t="n">
        <v>-3174243000</v>
      </c>
      <c r="I666" s="93" t="n">
        <v>634849000</v>
      </c>
      <c r="J666" s="93" t="n">
        <v>2539395000</v>
      </c>
      <c r="L666" s="9">
        <f>IF($A666="","",VALUE($A666&amp;"")*12+VALUE($B666&amp;""))</f>
        <v/>
      </c>
      <c r="M666" s="94">
        <f>IF($A666="",0,$H666*설정!$C$23)</f>
        <v/>
      </c>
      <c r="N666" s="94">
        <f>IF($A666="",0,$I666*설정!$C$23)</f>
        <v/>
      </c>
      <c r="O666" s="94">
        <f>IF($A666="",0,$J666*설정!$C$23)</f>
        <v/>
      </c>
      <c r="P666" s="64">
        <f>IF($A666="","",IFERROR(INDEX(입력옵션!$C$58:$C$68,MATCH($F666&amp;"",입력옵션!$E$58:$E$68,0)),IFERROR(INDEX(입력옵션!$C$58:$C$68,MATCH($G666&amp;"",입력옵션!$F$58:$F$68,0)),$F666&amp;"")))</f>
        <v/>
      </c>
    </row>
    <row r="667">
      <c r="A667" s="92" t="n">
        <v>2026</v>
      </c>
      <c r="B667" s="92" t="n">
        <v>4</v>
      </c>
      <c r="C667" s="92" t="inlineStr">
        <is>
          <t>PF01</t>
        </is>
      </c>
      <c r="D667" s="92" t="inlineStr">
        <is>
          <t>보장성</t>
        </is>
      </c>
      <c r="E667" s="92" t="inlineStr">
        <is>
          <t>GMM</t>
        </is>
      </c>
      <c r="F667" s="92" t="inlineStr">
        <is>
          <t>F21</t>
        </is>
      </c>
      <c r="G667" s="92" t="inlineStr">
        <is>
          <t>가정변경-사업비</t>
        </is>
      </c>
      <c r="H667" s="93" t="n">
        <v>0</v>
      </c>
      <c r="I667" s="93" t="n">
        <v>0</v>
      </c>
      <c r="J667" s="93" t="n">
        <v>0</v>
      </c>
      <c r="L667" s="9">
        <f>IF($A667="","",VALUE($A667&amp;"")*12+VALUE($B667&amp;""))</f>
        <v/>
      </c>
      <c r="M667" s="94">
        <f>IF($A667="",0,$H667*설정!$C$23)</f>
        <v/>
      </c>
      <c r="N667" s="94">
        <f>IF($A667="",0,$I667*설정!$C$23)</f>
        <v/>
      </c>
      <c r="O667" s="94">
        <f>IF($A667="",0,$J667*설정!$C$23)</f>
        <v/>
      </c>
      <c r="P667" s="64">
        <f>IF($A667="","",IFERROR(INDEX(입력옵션!$C$58:$C$68,MATCH($F667&amp;"",입력옵션!$E$58:$E$68,0)),IFERROR(INDEX(입력옵션!$C$58:$C$68,MATCH($G667&amp;"",입력옵션!$F$58:$F$68,0)),$F667&amp;"")))</f>
        <v/>
      </c>
    </row>
    <row r="668">
      <c r="A668" s="92" t="n">
        <v>2026</v>
      </c>
      <c r="B668" s="92" t="n">
        <v>4</v>
      </c>
      <c r="C668" s="92" t="inlineStr">
        <is>
          <t>PF01</t>
        </is>
      </c>
      <c r="D668" s="92" t="inlineStr">
        <is>
          <t>보장성</t>
        </is>
      </c>
      <c r="E668" s="92" t="inlineStr">
        <is>
          <t>GMM</t>
        </is>
      </c>
      <c r="F668" s="92" t="inlineStr">
        <is>
          <t>F22</t>
        </is>
      </c>
      <c r="G668" s="92" t="inlineStr">
        <is>
          <t>가정변경-기타</t>
        </is>
      </c>
      <c r="H668" s="93" t="n">
        <v>0</v>
      </c>
      <c r="I668" s="93" t="n">
        <v>0</v>
      </c>
      <c r="J668" s="93" t="n">
        <v>0</v>
      </c>
      <c r="L668" s="9">
        <f>IF($A668="","",VALUE($A668&amp;"")*12+VALUE($B668&amp;""))</f>
        <v/>
      </c>
      <c r="M668" s="94">
        <f>IF($A668="",0,$H668*설정!$C$23)</f>
        <v/>
      </c>
      <c r="N668" s="94">
        <f>IF($A668="",0,$I668*설정!$C$23)</f>
        <v/>
      </c>
      <c r="O668" s="94">
        <f>IF($A668="",0,$J668*설정!$C$23)</f>
        <v/>
      </c>
      <c r="P668" s="64">
        <f>IF($A668="","",IFERROR(INDEX(입력옵션!$C$58:$C$68,MATCH($F668&amp;"",입력옵션!$E$58:$E$68,0)),IFERROR(INDEX(입력옵션!$C$58:$C$68,MATCH($G668&amp;"",입력옵션!$F$58:$F$68,0)),$F668&amp;"")))</f>
        <v/>
      </c>
    </row>
    <row r="669">
      <c r="A669" s="92" t="n">
        <v>2026</v>
      </c>
      <c r="B669" s="92" t="n">
        <v>4</v>
      </c>
      <c r="C669" s="92" t="inlineStr">
        <is>
          <t>PF01</t>
        </is>
      </c>
      <c r="D669" s="92" t="inlineStr">
        <is>
          <t>보장성</t>
        </is>
      </c>
      <c r="E669" s="92" t="inlineStr">
        <is>
          <t>GMM</t>
        </is>
      </c>
      <c r="F669" s="92" t="inlineStr">
        <is>
          <t>F31</t>
        </is>
      </c>
      <c r="G669" s="92" t="inlineStr">
        <is>
          <t>경험조정-취득현금흐름</t>
        </is>
      </c>
      <c r="H669" s="93" t="n">
        <v>0</v>
      </c>
      <c r="I669" s="93" t="n">
        <v>0</v>
      </c>
      <c r="J669" s="93" t="n">
        <v>-10927000</v>
      </c>
      <c r="L669" s="9">
        <f>IF($A669="","",VALUE($A669&amp;"")*12+VALUE($B669&amp;""))</f>
        <v/>
      </c>
      <c r="M669" s="94">
        <f>IF($A669="",0,$H669*설정!$C$23)</f>
        <v/>
      </c>
      <c r="N669" s="94">
        <f>IF($A669="",0,$I669*설정!$C$23)</f>
        <v/>
      </c>
      <c r="O669" s="94">
        <f>IF($A669="",0,$J669*설정!$C$23)</f>
        <v/>
      </c>
      <c r="P669" s="64">
        <f>IF($A669="","",IFERROR(INDEX(입력옵션!$C$58:$C$68,MATCH($F669&amp;"",입력옵션!$E$58:$E$68,0)),IFERROR(INDEX(입력옵션!$C$58:$C$68,MATCH($G669&amp;"",입력옵션!$F$58:$F$68,0)),$F669&amp;"")))</f>
        <v/>
      </c>
    </row>
    <row r="670">
      <c r="A670" s="92" t="n">
        <v>2026</v>
      </c>
      <c r="B670" s="92" t="n">
        <v>4</v>
      </c>
      <c r="C670" s="92" t="inlineStr">
        <is>
          <t>PF01</t>
        </is>
      </c>
      <c r="D670" s="92" t="inlineStr">
        <is>
          <t>보장성</t>
        </is>
      </c>
      <c r="E670" s="92" t="inlineStr">
        <is>
          <t>GMM</t>
        </is>
      </c>
      <c r="F670" s="92" t="inlineStr">
        <is>
          <t>F32</t>
        </is>
      </c>
      <c r="G670" s="92" t="inlineStr">
        <is>
          <t>경험조정-보험료 등</t>
        </is>
      </c>
      <c r="H670" s="93" t="n">
        <v>0</v>
      </c>
      <c r="I670" s="93" t="n">
        <v>0</v>
      </c>
      <c r="J670" s="93" t="n">
        <v>-118724000</v>
      </c>
      <c r="L670" s="9">
        <f>IF($A670="","",VALUE($A670&amp;"")*12+VALUE($B670&amp;""))</f>
        <v/>
      </c>
      <c r="M670" s="94">
        <f>IF($A670="",0,$H670*설정!$C$23)</f>
        <v/>
      </c>
      <c r="N670" s="94">
        <f>IF($A670="",0,$I670*설정!$C$23)</f>
        <v/>
      </c>
      <c r="O670" s="94">
        <f>IF($A670="",0,$J670*설정!$C$23)</f>
        <v/>
      </c>
      <c r="P670" s="64">
        <f>IF($A670="","",IFERROR(INDEX(입력옵션!$C$58:$C$68,MATCH($F670&amp;"",입력옵션!$E$58:$E$68,0)),IFERROR(INDEX(입력옵션!$C$58:$C$68,MATCH($G670&amp;"",입력옵션!$F$58:$F$68,0)),$F670&amp;"")))</f>
        <v/>
      </c>
    </row>
    <row r="671">
      <c r="A671" s="92" t="n">
        <v>2026</v>
      </c>
      <c r="B671" s="92" t="n">
        <v>4</v>
      </c>
      <c r="C671" s="92" t="inlineStr">
        <is>
          <t>PF01</t>
        </is>
      </c>
      <c r="D671" s="92" t="inlineStr">
        <is>
          <t>보장성</t>
        </is>
      </c>
      <c r="E671" s="92" t="inlineStr">
        <is>
          <t>GMM</t>
        </is>
      </c>
      <c r="F671" s="92" t="inlineStr">
        <is>
          <t>F40</t>
        </is>
      </c>
      <c r="G671" s="92" t="inlineStr">
        <is>
          <t>보험금융비용(이자부리)</t>
        </is>
      </c>
      <c r="H671" s="93" t="n">
        <v>2695007000</v>
      </c>
      <c r="I671" s="93" t="n">
        <v>145825000</v>
      </c>
      <c r="J671" s="93" t="n">
        <v>620196000</v>
      </c>
      <c r="L671" s="9">
        <f>IF($A671="","",VALUE($A671&amp;"")*12+VALUE($B671&amp;""))</f>
        <v/>
      </c>
      <c r="M671" s="94">
        <f>IF($A671="",0,$H671*설정!$C$23)</f>
        <v/>
      </c>
      <c r="N671" s="94">
        <f>IF($A671="",0,$I671*설정!$C$23)</f>
        <v/>
      </c>
      <c r="O671" s="94">
        <f>IF($A671="",0,$J671*설정!$C$23)</f>
        <v/>
      </c>
      <c r="P671" s="64">
        <f>IF($A671="","",IFERROR(INDEX(입력옵션!$C$58:$C$68,MATCH($F671&amp;"",입력옵션!$E$58:$E$68,0)),IFERROR(INDEX(입력옵션!$C$58:$C$68,MATCH($G671&amp;"",입력옵션!$F$58:$F$68,0)),$F671&amp;"")))</f>
        <v/>
      </c>
    </row>
    <row r="672">
      <c r="A672" s="92" t="n">
        <v>2026</v>
      </c>
      <c r="B672" s="92" t="n">
        <v>4</v>
      </c>
      <c r="C672" s="92" t="inlineStr">
        <is>
          <t>PF01</t>
        </is>
      </c>
      <c r="D672" s="92" t="inlineStr">
        <is>
          <t>보장성</t>
        </is>
      </c>
      <c r="E672" s="92" t="inlineStr">
        <is>
          <t>GMM</t>
        </is>
      </c>
      <c r="F672" s="92" t="inlineStr">
        <is>
          <t>F51</t>
        </is>
      </c>
      <c r="G672" s="92" t="inlineStr">
        <is>
          <t>CSM 상각</t>
        </is>
      </c>
      <c r="H672" s="93" t="n">
        <v>0</v>
      </c>
      <c r="I672" s="93" t="n">
        <v>0</v>
      </c>
      <c r="J672" s="93" t="n">
        <v>-2232705000</v>
      </c>
      <c r="L672" s="9">
        <f>IF($A672="","",VALUE($A672&amp;"")*12+VALUE($B672&amp;""))</f>
        <v/>
      </c>
      <c r="M672" s="94">
        <f>IF($A672="",0,$H672*설정!$C$23)</f>
        <v/>
      </c>
      <c r="N672" s="94">
        <f>IF($A672="",0,$I672*설정!$C$23)</f>
        <v/>
      </c>
      <c r="O672" s="94">
        <f>IF($A672="",0,$J672*설정!$C$23)</f>
        <v/>
      </c>
      <c r="P672" s="64">
        <f>IF($A672="","",IFERROR(INDEX(입력옵션!$C$58:$C$68,MATCH($F672&amp;"",입력옵션!$E$58:$E$68,0)),IFERROR(INDEX(입력옵션!$C$58:$C$68,MATCH($G672&amp;"",입력옵션!$F$58:$F$68,0)),$F672&amp;"")))</f>
        <v/>
      </c>
    </row>
    <row r="673">
      <c r="A673" s="92" t="n">
        <v>2026</v>
      </c>
      <c r="B673" s="92" t="n">
        <v>4</v>
      </c>
      <c r="C673" s="92" t="inlineStr">
        <is>
          <t>PF01</t>
        </is>
      </c>
      <c r="D673" s="92" t="inlineStr">
        <is>
          <t>보장성</t>
        </is>
      </c>
      <c r="E673" s="92" t="inlineStr">
        <is>
          <t>GMM</t>
        </is>
      </c>
      <c r="F673" s="92" t="inlineStr">
        <is>
          <t>F52</t>
        </is>
      </c>
      <c r="G673" s="92" t="inlineStr">
        <is>
          <t>RA 해제</t>
        </is>
      </c>
      <c r="H673" s="93" t="n">
        <v>0</v>
      </c>
      <c r="I673" s="93" t="n">
        <v>-437475000</v>
      </c>
      <c r="J673" s="93" t="n">
        <v>0</v>
      </c>
      <c r="L673" s="9">
        <f>IF($A673="","",VALUE($A673&amp;"")*12+VALUE($B673&amp;""))</f>
        <v/>
      </c>
      <c r="M673" s="94">
        <f>IF($A673="",0,$H673*설정!$C$23)</f>
        <v/>
      </c>
      <c r="N673" s="94">
        <f>IF($A673="",0,$I673*설정!$C$23)</f>
        <v/>
      </c>
      <c r="O673" s="94">
        <f>IF($A673="",0,$J673*설정!$C$23)</f>
        <v/>
      </c>
      <c r="P673" s="64">
        <f>IF($A673="","",IFERROR(INDEX(입력옵션!$C$58:$C$68,MATCH($F673&amp;"",입력옵션!$E$58:$E$68,0)),IFERROR(INDEX(입력옵션!$C$58:$C$68,MATCH($G673&amp;"",입력옵션!$F$58:$F$68,0)),$F673&amp;"")))</f>
        <v/>
      </c>
    </row>
    <row r="674">
      <c r="A674" s="92" t="n">
        <v>2026</v>
      </c>
      <c r="B674" s="92" t="n">
        <v>4</v>
      </c>
      <c r="C674" s="92" t="inlineStr">
        <is>
          <t>PF01</t>
        </is>
      </c>
      <c r="D674" s="92" t="inlineStr">
        <is>
          <t>보장성</t>
        </is>
      </c>
      <c r="E674" s="92" t="inlineStr">
        <is>
          <t>GMM</t>
        </is>
      </c>
      <c r="F674" s="92" t="inlineStr">
        <is>
          <t>F60</t>
        </is>
      </c>
      <c r="G674" s="92" t="inlineStr">
        <is>
          <t>현금흐름 및 기타</t>
        </is>
      </c>
      <c r="H674" s="93" t="n">
        <v>2677986000</v>
      </c>
      <c r="I674" s="93" t="n">
        <v>-433379000</v>
      </c>
      <c r="J674" s="93" t="n">
        <v>0</v>
      </c>
      <c r="L674" s="9">
        <f>IF($A674="","",VALUE($A674&amp;"")*12+VALUE($B674&amp;""))</f>
        <v/>
      </c>
      <c r="M674" s="94">
        <f>IF($A674="",0,$H674*설정!$C$23)</f>
        <v/>
      </c>
      <c r="N674" s="94">
        <f>IF($A674="",0,$I674*설정!$C$23)</f>
        <v/>
      </c>
      <c r="O674" s="94">
        <f>IF($A674="",0,$J674*설정!$C$23)</f>
        <v/>
      </c>
      <c r="P674" s="64">
        <f>IF($A674="","",IFERROR(INDEX(입력옵션!$C$58:$C$68,MATCH($F674&amp;"",입력옵션!$E$58:$E$68,0)),IFERROR(INDEX(입력옵션!$C$58:$C$68,MATCH($G674&amp;"",입력옵션!$F$58:$F$68,0)),$F674&amp;"")))</f>
        <v/>
      </c>
    </row>
    <row r="675">
      <c r="A675" s="92" t="n">
        <v>2026</v>
      </c>
      <c r="B675" s="92" t="n">
        <v>4</v>
      </c>
      <c r="C675" s="92" t="inlineStr">
        <is>
          <t>PF01</t>
        </is>
      </c>
      <c r="D675" s="92" t="inlineStr">
        <is>
          <t>보장성</t>
        </is>
      </c>
      <c r="E675" s="92" t="inlineStr">
        <is>
          <t>GMM</t>
        </is>
      </c>
      <c r="F675" s="92" t="inlineStr">
        <is>
          <t>F99</t>
        </is>
      </c>
      <c r="G675" s="92" t="inlineStr">
        <is>
          <t>기말잔액</t>
        </is>
      </c>
      <c r="H675" s="93" t="n">
        <v>1080201600000</v>
      </c>
      <c r="I675" s="93" t="n">
        <v>72822240000</v>
      </c>
      <c r="J675" s="93" t="n">
        <v>248875556000</v>
      </c>
      <c r="L675" s="9">
        <f>IF($A675="","",VALUE($A675&amp;"")*12+VALUE($B675&amp;""))</f>
        <v/>
      </c>
      <c r="M675" s="94">
        <f>IF($A675="",0,$H675*설정!$C$23)</f>
        <v/>
      </c>
      <c r="N675" s="94">
        <f>IF($A675="",0,$I675*설정!$C$23)</f>
        <v/>
      </c>
      <c r="O675" s="94">
        <f>IF($A675="",0,$J675*설정!$C$23)</f>
        <v/>
      </c>
      <c r="P675" s="64">
        <f>IF($A675="","",IFERROR(INDEX(입력옵션!$C$58:$C$68,MATCH($F675&amp;"",입력옵션!$E$58:$E$68,0)),IFERROR(INDEX(입력옵션!$C$58:$C$68,MATCH($G675&amp;"",입력옵션!$F$58:$F$68,0)),$F675&amp;"")))</f>
        <v/>
      </c>
    </row>
    <row r="676">
      <c r="A676" s="92" t="n">
        <v>2026</v>
      </c>
      <c r="B676" s="92" t="n">
        <v>4</v>
      </c>
      <c r="C676" s="92" t="inlineStr">
        <is>
          <t>PF02</t>
        </is>
      </c>
      <c r="D676" s="92" t="inlineStr">
        <is>
          <t>저축성</t>
        </is>
      </c>
      <c r="E676" s="92" t="inlineStr">
        <is>
          <t>GMM</t>
        </is>
      </c>
      <c r="F676" s="92" t="inlineStr">
        <is>
          <t>F00</t>
        </is>
      </c>
      <c r="G676" s="92" t="inlineStr">
        <is>
          <t>기초잔액</t>
        </is>
      </c>
      <c r="H676" s="93" t="n">
        <v>711481881000</v>
      </c>
      <c r="I676" s="93" t="n">
        <v>30380175000</v>
      </c>
      <c r="J676" s="93" t="n">
        <v>99970969000</v>
      </c>
      <c r="L676" s="9">
        <f>IF($A676="","",VALUE($A676&amp;"")*12+VALUE($B676&amp;""))</f>
        <v/>
      </c>
      <c r="M676" s="94">
        <f>IF($A676="",0,$H676*설정!$C$23)</f>
        <v/>
      </c>
      <c r="N676" s="94">
        <f>IF($A676="",0,$I676*설정!$C$23)</f>
        <v/>
      </c>
      <c r="O676" s="94">
        <f>IF($A676="",0,$J676*설정!$C$23)</f>
        <v/>
      </c>
      <c r="P676" s="64">
        <f>IF($A676="","",IFERROR(INDEX(입력옵션!$C$58:$C$68,MATCH($F676&amp;"",입력옵션!$E$58:$E$68,0)),IFERROR(INDEX(입력옵션!$C$58:$C$68,MATCH($G676&amp;"",입력옵션!$F$58:$F$68,0)),$F676&amp;"")))</f>
        <v/>
      </c>
    </row>
    <row r="677">
      <c r="A677" s="92" t="n">
        <v>2026</v>
      </c>
      <c r="B677" s="92" t="n">
        <v>4</v>
      </c>
      <c r="C677" s="92" t="inlineStr">
        <is>
          <t>PF02</t>
        </is>
      </c>
      <c r="D677" s="92" t="inlineStr">
        <is>
          <t>저축성</t>
        </is>
      </c>
      <c r="E677" s="92" t="inlineStr">
        <is>
          <t>GMM</t>
        </is>
      </c>
      <c r="F677" s="92" t="inlineStr">
        <is>
          <t>F10</t>
        </is>
      </c>
      <c r="G677" s="92" t="inlineStr">
        <is>
          <t>신계약 효과</t>
        </is>
      </c>
      <c r="H677" s="93" t="n">
        <v>-1279937000</v>
      </c>
      <c r="I677" s="93" t="n">
        <v>255987000</v>
      </c>
      <c r="J677" s="93" t="n">
        <v>1023950000</v>
      </c>
      <c r="L677" s="9">
        <f>IF($A677="","",VALUE($A677&amp;"")*12+VALUE($B677&amp;""))</f>
        <v/>
      </c>
      <c r="M677" s="94">
        <f>IF($A677="",0,$H677*설정!$C$23)</f>
        <v/>
      </c>
      <c r="N677" s="94">
        <f>IF($A677="",0,$I677*설정!$C$23)</f>
        <v/>
      </c>
      <c r="O677" s="94">
        <f>IF($A677="",0,$J677*설정!$C$23)</f>
        <v/>
      </c>
      <c r="P677" s="64">
        <f>IF($A677="","",IFERROR(INDEX(입력옵션!$C$58:$C$68,MATCH($F677&amp;"",입력옵션!$E$58:$E$68,0)),IFERROR(INDEX(입력옵션!$C$58:$C$68,MATCH($G677&amp;"",입력옵션!$F$58:$F$68,0)),$F677&amp;"")))</f>
        <v/>
      </c>
    </row>
    <row r="678">
      <c r="A678" s="92" t="n">
        <v>2026</v>
      </c>
      <c r="B678" s="92" t="n">
        <v>4</v>
      </c>
      <c r="C678" s="92" t="inlineStr">
        <is>
          <t>PF02</t>
        </is>
      </c>
      <c r="D678" s="92" t="inlineStr">
        <is>
          <t>저축성</t>
        </is>
      </c>
      <c r="E678" s="92" t="inlineStr">
        <is>
          <t>GMM</t>
        </is>
      </c>
      <c r="F678" s="92" t="inlineStr">
        <is>
          <t>F21</t>
        </is>
      </c>
      <c r="G678" s="92" t="inlineStr">
        <is>
          <t>가정변경-사업비</t>
        </is>
      </c>
      <c r="H678" s="93" t="n">
        <v>0</v>
      </c>
      <c r="I678" s="93" t="n">
        <v>0</v>
      </c>
      <c r="J678" s="93" t="n">
        <v>0</v>
      </c>
      <c r="L678" s="9">
        <f>IF($A678="","",VALUE($A678&amp;"")*12+VALUE($B678&amp;""))</f>
        <v/>
      </c>
      <c r="M678" s="94">
        <f>IF($A678="",0,$H678*설정!$C$23)</f>
        <v/>
      </c>
      <c r="N678" s="94">
        <f>IF($A678="",0,$I678*설정!$C$23)</f>
        <v/>
      </c>
      <c r="O678" s="94">
        <f>IF($A678="",0,$J678*설정!$C$23)</f>
        <v/>
      </c>
      <c r="P678" s="64">
        <f>IF($A678="","",IFERROR(INDEX(입력옵션!$C$58:$C$68,MATCH($F678&amp;"",입력옵션!$E$58:$E$68,0)),IFERROR(INDEX(입력옵션!$C$58:$C$68,MATCH($G678&amp;"",입력옵션!$F$58:$F$68,0)),$F678&amp;"")))</f>
        <v/>
      </c>
    </row>
    <row r="679">
      <c r="A679" s="92" t="n">
        <v>2026</v>
      </c>
      <c r="B679" s="92" t="n">
        <v>4</v>
      </c>
      <c r="C679" s="92" t="inlineStr">
        <is>
          <t>PF02</t>
        </is>
      </c>
      <c r="D679" s="92" t="inlineStr">
        <is>
          <t>저축성</t>
        </is>
      </c>
      <c r="E679" s="92" t="inlineStr">
        <is>
          <t>GMM</t>
        </is>
      </c>
      <c r="F679" s="92" t="inlineStr">
        <is>
          <t>F22</t>
        </is>
      </c>
      <c r="G679" s="92" t="inlineStr">
        <is>
          <t>가정변경-기타</t>
        </is>
      </c>
      <c r="H679" s="93" t="n">
        <v>0</v>
      </c>
      <c r="I679" s="93" t="n">
        <v>0</v>
      </c>
      <c r="J679" s="93" t="n">
        <v>0</v>
      </c>
      <c r="L679" s="9">
        <f>IF($A679="","",VALUE($A679&amp;"")*12+VALUE($B679&amp;""))</f>
        <v/>
      </c>
      <c r="M679" s="94">
        <f>IF($A679="",0,$H679*설정!$C$23)</f>
        <v/>
      </c>
      <c r="N679" s="94">
        <f>IF($A679="",0,$I679*설정!$C$23)</f>
        <v/>
      </c>
      <c r="O679" s="94">
        <f>IF($A679="",0,$J679*설정!$C$23)</f>
        <v/>
      </c>
      <c r="P679" s="64">
        <f>IF($A679="","",IFERROR(INDEX(입력옵션!$C$58:$C$68,MATCH($F679&amp;"",입력옵션!$E$58:$E$68,0)),IFERROR(INDEX(입력옵션!$C$58:$C$68,MATCH($G679&amp;"",입력옵션!$F$58:$F$68,0)),$F679&amp;"")))</f>
        <v/>
      </c>
    </row>
    <row r="680">
      <c r="A680" s="92" t="n">
        <v>2026</v>
      </c>
      <c r="B680" s="92" t="n">
        <v>4</v>
      </c>
      <c r="C680" s="92" t="inlineStr">
        <is>
          <t>PF02</t>
        </is>
      </c>
      <c r="D680" s="92" t="inlineStr">
        <is>
          <t>저축성</t>
        </is>
      </c>
      <c r="E680" s="92" t="inlineStr">
        <is>
          <t>GMM</t>
        </is>
      </c>
      <c r="F680" s="92" t="inlineStr">
        <is>
          <t>F31</t>
        </is>
      </c>
      <c r="G680" s="92" t="inlineStr">
        <is>
          <t>경험조정-취득현금흐름</t>
        </is>
      </c>
      <c r="H680" s="93" t="n">
        <v>0</v>
      </c>
      <c r="I680" s="93" t="n">
        <v>0</v>
      </c>
      <c r="J680" s="93" t="n">
        <v>-7327000</v>
      </c>
      <c r="L680" s="9">
        <f>IF($A680="","",VALUE($A680&amp;"")*12+VALUE($B680&amp;""))</f>
        <v/>
      </c>
      <c r="M680" s="94">
        <f>IF($A680="",0,$H680*설정!$C$23)</f>
        <v/>
      </c>
      <c r="N680" s="94">
        <f>IF($A680="",0,$I680*설정!$C$23)</f>
        <v/>
      </c>
      <c r="O680" s="94">
        <f>IF($A680="",0,$J680*설정!$C$23)</f>
        <v/>
      </c>
      <c r="P680" s="64">
        <f>IF($A680="","",IFERROR(INDEX(입력옵션!$C$58:$C$68,MATCH($F680&amp;"",입력옵션!$E$58:$E$68,0)),IFERROR(INDEX(입력옵션!$C$58:$C$68,MATCH($G680&amp;"",입력옵션!$F$58:$F$68,0)),$F680&amp;"")))</f>
        <v/>
      </c>
    </row>
    <row r="681">
      <c r="A681" s="92" t="n">
        <v>2026</v>
      </c>
      <c r="B681" s="92" t="n">
        <v>4</v>
      </c>
      <c r="C681" s="92" t="inlineStr">
        <is>
          <t>PF02</t>
        </is>
      </c>
      <c r="D681" s="92" t="inlineStr">
        <is>
          <t>저축성</t>
        </is>
      </c>
      <c r="E681" s="92" t="inlineStr">
        <is>
          <t>GMM</t>
        </is>
      </c>
      <c r="F681" s="92" t="inlineStr">
        <is>
          <t>F32</t>
        </is>
      </c>
      <c r="G681" s="92" t="inlineStr">
        <is>
          <t>경험조정-보험료 등</t>
        </is>
      </c>
      <c r="H681" s="93" t="n">
        <v>0</v>
      </c>
      <c r="I681" s="93" t="n">
        <v>0</v>
      </c>
      <c r="J681" s="93" t="n">
        <v>144133000</v>
      </c>
      <c r="L681" s="9">
        <f>IF($A681="","",VALUE($A681&amp;"")*12+VALUE($B681&amp;""))</f>
        <v/>
      </c>
      <c r="M681" s="94">
        <f>IF($A681="",0,$H681*설정!$C$23)</f>
        <v/>
      </c>
      <c r="N681" s="94">
        <f>IF($A681="",0,$I681*설정!$C$23)</f>
        <v/>
      </c>
      <c r="O681" s="94">
        <f>IF($A681="",0,$J681*설정!$C$23)</f>
        <v/>
      </c>
      <c r="P681" s="64">
        <f>IF($A681="","",IFERROR(INDEX(입력옵션!$C$58:$C$68,MATCH($F681&amp;"",입력옵션!$E$58:$E$68,0)),IFERROR(INDEX(입력옵션!$C$58:$C$68,MATCH($G681&amp;"",입력옵션!$F$58:$F$68,0)),$F681&amp;"")))</f>
        <v/>
      </c>
    </row>
    <row r="682">
      <c r="A682" s="92" t="n">
        <v>2026</v>
      </c>
      <c r="B682" s="92" t="n">
        <v>4</v>
      </c>
      <c r="C682" s="92" t="inlineStr">
        <is>
          <t>PF02</t>
        </is>
      </c>
      <c r="D682" s="92" t="inlineStr">
        <is>
          <t>저축성</t>
        </is>
      </c>
      <c r="E682" s="92" t="inlineStr">
        <is>
          <t>GMM</t>
        </is>
      </c>
      <c r="F682" s="92" t="inlineStr">
        <is>
          <t>F40</t>
        </is>
      </c>
      <c r="G682" s="92" t="inlineStr">
        <is>
          <t>보험금융비용(이자부리)</t>
        </is>
      </c>
      <c r="H682" s="93" t="n">
        <v>1778705000</v>
      </c>
      <c r="I682" s="93" t="n">
        <v>60760000</v>
      </c>
      <c r="J682" s="93" t="n">
        <v>249927000</v>
      </c>
      <c r="L682" s="9">
        <f>IF($A682="","",VALUE($A682&amp;"")*12+VALUE($B682&amp;""))</f>
        <v/>
      </c>
      <c r="M682" s="94">
        <f>IF($A682="",0,$H682*설정!$C$23)</f>
        <v/>
      </c>
      <c r="N682" s="94">
        <f>IF($A682="",0,$I682*설정!$C$23)</f>
        <v/>
      </c>
      <c r="O682" s="94">
        <f>IF($A682="",0,$J682*설정!$C$23)</f>
        <v/>
      </c>
      <c r="P682" s="64">
        <f>IF($A682="","",IFERROR(INDEX(입력옵션!$C$58:$C$68,MATCH($F682&amp;"",입력옵션!$E$58:$E$68,0)),IFERROR(INDEX(입력옵션!$C$58:$C$68,MATCH($G682&amp;"",입력옵션!$F$58:$F$68,0)),$F682&amp;"")))</f>
        <v/>
      </c>
    </row>
    <row r="683">
      <c r="A683" s="92" t="n">
        <v>2026</v>
      </c>
      <c r="B683" s="92" t="n">
        <v>4</v>
      </c>
      <c r="C683" s="92" t="inlineStr">
        <is>
          <t>PF02</t>
        </is>
      </c>
      <c r="D683" s="92" t="inlineStr">
        <is>
          <t>저축성</t>
        </is>
      </c>
      <c r="E683" s="92" t="inlineStr">
        <is>
          <t>GMM</t>
        </is>
      </c>
      <c r="F683" s="92" t="inlineStr">
        <is>
          <t>F51</t>
        </is>
      </c>
      <c r="G683" s="92" t="inlineStr">
        <is>
          <t>CSM 상각</t>
        </is>
      </c>
      <c r="H683" s="93" t="n">
        <v>0</v>
      </c>
      <c r="I683" s="93" t="n">
        <v>0</v>
      </c>
      <c r="J683" s="93" t="n">
        <v>-899739000</v>
      </c>
      <c r="L683" s="9">
        <f>IF($A683="","",VALUE($A683&amp;"")*12+VALUE($B683&amp;""))</f>
        <v/>
      </c>
      <c r="M683" s="94">
        <f>IF($A683="",0,$H683*설정!$C$23)</f>
        <v/>
      </c>
      <c r="N683" s="94">
        <f>IF($A683="",0,$I683*설정!$C$23)</f>
        <v/>
      </c>
      <c r="O683" s="94">
        <f>IF($A683="",0,$J683*설정!$C$23)</f>
        <v/>
      </c>
      <c r="P683" s="64">
        <f>IF($A683="","",IFERROR(INDEX(입력옵션!$C$58:$C$68,MATCH($F683&amp;"",입력옵션!$E$58:$E$68,0)),IFERROR(INDEX(입력옵션!$C$58:$C$68,MATCH($G683&amp;"",입력옵션!$F$58:$F$68,0)),$F683&amp;"")))</f>
        <v/>
      </c>
    </row>
    <row r="684">
      <c r="A684" s="92" t="n">
        <v>2026</v>
      </c>
      <c r="B684" s="92" t="n">
        <v>4</v>
      </c>
      <c r="C684" s="92" t="inlineStr">
        <is>
          <t>PF02</t>
        </is>
      </c>
      <c r="D684" s="92" t="inlineStr">
        <is>
          <t>저축성</t>
        </is>
      </c>
      <c r="E684" s="92" t="inlineStr">
        <is>
          <t>GMM</t>
        </is>
      </c>
      <c r="F684" s="92" t="inlineStr">
        <is>
          <t>F52</t>
        </is>
      </c>
      <c r="G684" s="92" t="inlineStr">
        <is>
          <t>RA 해제</t>
        </is>
      </c>
      <c r="H684" s="93" t="n">
        <v>0</v>
      </c>
      <c r="I684" s="93" t="n">
        <v>-182281000</v>
      </c>
      <c r="J684" s="93" t="n">
        <v>0</v>
      </c>
      <c r="L684" s="9">
        <f>IF($A684="","",VALUE($A684&amp;"")*12+VALUE($B684&amp;""))</f>
        <v/>
      </c>
      <c r="M684" s="94">
        <f>IF($A684="",0,$H684*설정!$C$23)</f>
        <v/>
      </c>
      <c r="N684" s="94">
        <f>IF($A684="",0,$I684*설정!$C$23)</f>
        <v/>
      </c>
      <c r="O684" s="94">
        <f>IF($A684="",0,$J684*설정!$C$23)</f>
        <v/>
      </c>
      <c r="P684" s="64">
        <f>IF($A684="","",IFERROR(INDEX(입력옵션!$C$58:$C$68,MATCH($F684&amp;"",입력옵션!$E$58:$E$68,0)),IFERROR(INDEX(입력옵션!$C$58:$C$68,MATCH($G684&amp;"",입력옵션!$F$58:$F$68,0)),$F684&amp;"")))</f>
        <v/>
      </c>
    </row>
    <row r="685">
      <c r="A685" s="92" t="n">
        <v>2026</v>
      </c>
      <c r="B685" s="92" t="n">
        <v>4</v>
      </c>
      <c r="C685" s="92" t="inlineStr">
        <is>
          <t>PF02</t>
        </is>
      </c>
      <c r="D685" s="92" t="inlineStr">
        <is>
          <t>저축성</t>
        </is>
      </c>
      <c r="E685" s="92" t="inlineStr">
        <is>
          <t>GMM</t>
        </is>
      </c>
      <c r="F685" s="92" t="inlineStr">
        <is>
          <t>F60</t>
        </is>
      </c>
      <c r="G685" s="92" t="inlineStr">
        <is>
          <t>현금흐름 및 기타</t>
        </is>
      </c>
      <c r="H685" s="93" t="n">
        <v>952407000</v>
      </c>
      <c r="I685" s="93" t="n">
        <v>-172042000</v>
      </c>
      <c r="J685" s="93" t="n">
        <v>0</v>
      </c>
      <c r="L685" s="9">
        <f>IF($A685="","",VALUE($A685&amp;"")*12+VALUE($B685&amp;""))</f>
        <v/>
      </c>
      <c r="M685" s="94">
        <f>IF($A685="",0,$H685*설정!$C$23)</f>
        <v/>
      </c>
      <c r="N685" s="94">
        <f>IF($A685="",0,$I685*설정!$C$23)</f>
        <v/>
      </c>
      <c r="O685" s="94">
        <f>IF($A685="",0,$J685*설정!$C$23)</f>
        <v/>
      </c>
      <c r="P685" s="64">
        <f>IF($A685="","",IFERROR(INDEX(입력옵션!$C$58:$C$68,MATCH($F685&amp;"",입력옵션!$E$58:$E$68,0)),IFERROR(INDEX(입력옵션!$C$58:$C$68,MATCH($G685&amp;"",입력옵션!$F$58:$F$68,0)),$F685&amp;"")))</f>
        <v/>
      </c>
    </row>
    <row r="686">
      <c r="A686" s="92" t="n">
        <v>2026</v>
      </c>
      <c r="B686" s="92" t="n">
        <v>4</v>
      </c>
      <c r="C686" s="92" t="inlineStr">
        <is>
          <t>PF02</t>
        </is>
      </c>
      <c r="D686" s="92" t="inlineStr">
        <is>
          <t>저축성</t>
        </is>
      </c>
      <c r="E686" s="92" t="inlineStr">
        <is>
          <t>GMM</t>
        </is>
      </c>
      <c r="F686" s="92" t="inlineStr">
        <is>
          <t>F99</t>
        </is>
      </c>
      <c r="G686" s="92" t="inlineStr">
        <is>
          <t>기말잔액</t>
        </is>
      </c>
      <c r="H686" s="93" t="n">
        <v>712933056000</v>
      </c>
      <c r="I686" s="93" t="n">
        <v>30342600000</v>
      </c>
      <c r="J686" s="93" t="n">
        <v>100481914000</v>
      </c>
      <c r="L686" s="9">
        <f>IF($A686="","",VALUE($A686&amp;"")*12+VALUE($B686&amp;""))</f>
        <v/>
      </c>
      <c r="M686" s="94">
        <f>IF($A686="",0,$H686*설정!$C$23)</f>
        <v/>
      </c>
      <c r="N686" s="94">
        <f>IF($A686="",0,$I686*설정!$C$23)</f>
        <v/>
      </c>
      <c r="O686" s="94">
        <f>IF($A686="",0,$J686*설정!$C$23)</f>
        <v/>
      </c>
      <c r="P686" s="64">
        <f>IF($A686="","",IFERROR(INDEX(입력옵션!$C$58:$C$68,MATCH($F686&amp;"",입력옵션!$E$58:$E$68,0)),IFERROR(INDEX(입력옵션!$C$58:$C$68,MATCH($G686&amp;"",입력옵션!$F$58:$F$68,0)),$F686&amp;"")))</f>
        <v/>
      </c>
    </row>
    <row r="687">
      <c r="A687" s="92" t="n">
        <v>2026</v>
      </c>
      <c r="B687" s="92" t="n">
        <v>4</v>
      </c>
      <c r="C687" s="92" t="inlineStr">
        <is>
          <t>PF03</t>
        </is>
      </c>
      <c r="D687" s="92" t="inlineStr">
        <is>
          <t>단체(단기)</t>
        </is>
      </c>
      <c r="E687" s="92" t="inlineStr">
        <is>
          <t>PAA</t>
        </is>
      </c>
      <c r="F687" s="92" t="inlineStr">
        <is>
          <t>F00</t>
        </is>
      </c>
      <c r="G687" s="92" t="inlineStr">
        <is>
          <t>기초잔액</t>
        </is>
      </c>
      <c r="H687" s="93" t="n">
        <v>43120114000</v>
      </c>
      <c r="I687" s="93" t="n">
        <v>2430414000</v>
      </c>
      <c r="J687" s="93" t="n">
        <v>0</v>
      </c>
      <c r="L687" s="9">
        <f>IF($A687="","",VALUE($A687&amp;"")*12+VALUE($B687&amp;""))</f>
        <v/>
      </c>
      <c r="M687" s="94">
        <f>IF($A687="",0,$H687*설정!$C$23)</f>
        <v/>
      </c>
      <c r="N687" s="94">
        <f>IF($A687="",0,$I687*설정!$C$23)</f>
        <v/>
      </c>
      <c r="O687" s="94">
        <f>IF($A687="",0,$J687*설정!$C$23)</f>
        <v/>
      </c>
      <c r="P687" s="64">
        <f>IF($A687="","",IFERROR(INDEX(입력옵션!$C$58:$C$68,MATCH($F687&amp;"",입력옵션!$E$58:$E$68,0)),IFERROR(INDEX(입력옵션!$C$58:$C$68,MATCH($G687&amp;"",입력옵션!$F$58:$F$68,0)),$F687&amp;"")))</f>
        <v/>
      </c>
    </row>
    <row r="688">
      <c r="A688" s="92" t="n">
        <v>2026</v>
      </c>
      <c r="B688" s="92" t="n">
        <v>4</v>
      </c>
      <c r="C688" s="92" t="inlineStr">
        <is>
          <t>PF03</t>
        </is>
      </c>
      <c r="D688" s="92" t="inlineStr">
        <is>
          <t>단체(단기)</t>
        </is>
      </c>
      <c r="E688" s="92" t="inlineStr">
        <is>
          <t>PAA</t>
        </is>
      </c>
      <c r="F688" s="92" t="inlineStr">
        <is>
          <t>F10</t>
        </is>
      </c>
      <c r="G688" s="92" t="inlineStr">
        <is>
          <t>신계약 효과</t>
        </is>
      </c>
      <c r="H688" s="93" t="n">
        <v>0</v>
      </c>
      <c r="I688" s="93" t="n">
        <v>0</v>
      </c>
      <c r="J688" s="93" t="n">
        <v>0</v>
      </c>
      <c r="L688" s="9">
        <f>IF($A688="","",VALUE($A688&amp;"")*12+VALUE($B688&amp;""))</f>
        <v/>
      </c>
      <c r="M688" s="94">
        <f>IF($A688="",0,$H688*설정!$C$23)</f>
        <v/>
      </c>
      <c r="N688" s="94">
        <f>IF($A688="",0,$I688*설정!$C$23)</f>
        <v/>
      </c>
      <c r="O688" s="94">
        <f>IF($A688="",0,$J688*설정!$C$23)</f>
        <v/>
      </c>
      <c r="P688" s="64">
        <f>IF($A688="","",IFERROR(INDEX(입력옵션!$C$58:$C$68,MATCH($F688&amp;"",입력옵션!$E$58:$E$68,0)),IFERROR(INDEX(입력옵션!$C$58:$C$68,MATCH($G688&amp;"",입력옵션!$F$58:$F$68,0)),$F688&amp;"")))</f>
        <v/>
      </c>
    </row>
    <row r="689">
      <c r="A689" s="92" t="n">
        <v>2026</v>
      </c>
      <c r="B689" s="92" t="n">
        <v>4</v>
      </c>
      <c r="C689" s="92" t="inlineStr">
        <is>
          <t>PF03</t>
        </is>
      </c>
      <c r="D689" s="92" t="inlineStr">
        <is>
          <t>단체(단기)</t>
        </is>
      </c>
      <c r="E689" s="92" t="inlineStr">
        <is>
          <t>PAA</t>
        </is>
      </c>
      <c r="F689" s="92" t="inlineStr">
        <is>
          <t>F21</t>
        </is>
      </c>
      <c r="G689" s="92" t="inlineStr">
        <is>
          <t>가정변경-사업비</t>
        </is>
      </c>
      <c r="H689" s="93" t="n">
        <v>0</v>
      </c>
      <c r="I689" s="93" t="n">
        <v>0</v>
      </c>
      <c r="J689" s="93" t="n">
        <v>0</v>
      </c>
      <c r="L689" s="9">
        <f>IF($A689="","",VALUE($A689&amp;"")*12+VALUE($B689&amp;""))</f>
        <v/>
      </c>
      <c r="M689" s="94">
        <f>IF($A689="",0,$H689*설정!$C$23)</f>
        <v/>
      </c>
      <c r="N689" s="94">
        <f>IF($A689="",0,$I689*설정!$C$23)</f>
        <v/>
      </c>
      <c r="O689" s="94">
        <f>IF($A689="",0,$J689*설정!$C$23)</f>
        <v/>
      </c>
      <c r="P689" s="64">
        <f>IF($A689="","",IFERROR(INDEX(입력옵션!$C$58:$C$68,MATCH($F689&amp;"",입력옵션!$E$58:$E$68,0)),IFERROR(INDEX(입력옵션!$C$58:$C$68,MATCH($G689&amp;"",입력옵션!$F$58:$F$68,0)),$F689&amp;"")))</f>
        <v/>
      </c>
    </row>
    <row r="690">
      <c r="A690" s="92" t="n">
        <v>2026</v>
      </c>
      <c r="B690" s="92" t="n">
        <v>4</v>
      </c>
      <c r="C690" s="92" t="inlineStr">
        <is>
          <t>PF03</t>
        </is>
      </c>
      <c r="D690" s="92" t="inlineStr">
        <is>
          <t>단체(단기)</t>
        </is>
      </c>
      <c r="E690" s="92" t="inlineStr">
        <is>
          <t>PAA</t>
        </is>
      </c>
      <c r="F690" s="92" t="inlineStr">
        <is>
          <t>F22</t>
        </is>
      </c>
      <c r="G690" s="92" t="inlineStr">
        <is>
          <t>가정변경-기타</t>
        </is>
      </c>
      <c r="H690" s="93" t="n">
        <v>0</v>
      </c>
      <c r="I690" s="93" t="n">
        <v>0</v>
      </c>
      <c r="J690" s="93" t="n">
        <v>0</v>
      </c>
      <c r="L690" s="9">
        <f>IF($A690="","",VALUE($A690&amp;"")*12+VALUE($B690&amp;""))</f>
        <v/>
      </c>
      <c r="M690" s="94">
        <f>IF($A690="",0,$H690*설정!$C$23)</f>
        <v/>
      </c>
      <c r="N690" s="94">
        <f>IF($A690="",0,$I690*설정!$C$23)</f>
        <v/>
      </c>
      <c r="O690" s="94">
        <f>IF($A690="",0,$J690*설정!$C$23)</f>
        <v/>
      </c>
      <c r="P690" s="64">
        <f>IF($A690="","",IFERROR(INDEX(입력옵션!$C$58:$C$68,MATCH($F690&amp;"",입력옵션!$E$58:$E$68,0)),IFERROR(INDEX(입력옵션!$C$58:$C$68,MATCH($G690&amp;"",입력옵션!$F$58:$F$68,0)),$F690&amp;"")))</f>
        <v/>
      </c>
    </row>
    <row r="691">
      <c r="A691" s="92" t="n">
        <v>2026</v>
      </c>
      <c r="B691" s="92" t="n">
        <v>4</v>
      </c>
      <c r="C691" s="92" t="inlineStr">
        <is>
          <t>PF03</t>
        </is>
      </c>
      <c r="D691" s="92" t="inlineStr">
        <is>
          <t>단체(단기)</t>
        </is>
      </c>
      <c r="E691" s="92" t="inlineStr">
        <is>
          <t>PAA</t>
        </is>
      </c>
      <c r="F691" s="92" t="inlineStr">
        <is>
          <t>F31</t>
        </is>
      </c>
      <c r="G691" s="92" t="inlineStr">
        <is>
          <t>경험조정-취득현금흐름</t>
        </is>
      </c>
      <c r="H691" s="93" t="n">
        <v>0</v>
      </c>
      <c r="I691" s="93" t="n">
        <v>0</v>
      </c>
      <c r="J691" s="93" t="n">
        <v>0</v>
      </c>
      <c r="L691" s="9">
        <f>IF($A691="","",VALUE($A691&amp;"")*12+VALUE($B691&amp;""))</f>
        <v/>
      </c>
      <c r="M691" s="94">
        <f>IF($A691="",0,$H691*설정!$C$23)</f>
        <v/>
      </c>
      <c r="N691" s="94">
        <f>IF($A691="",0,$I691*설정!$C$23)</f>
        <v/>
      </c>
      <c r="O691" s="94">
        <f>IF($A691="",0,$J691*설정!$C$23)</f>
        <v/>
      </c>
      <c r="P691" s="64">
        <f>IF($A691="","",IFERROR(INDEX(입력옵션!$C$58:$C$68,MATCH($F691&amp;"",입력옵션!$E$58:$E$68,0)),IFERROR(INDEX(입력옵션!$C$58:$C$68,MATCH($G691&amp;"",입력옵션!$F$58:$F$68,0)),$F691&amp;"")))</f>
        <v/>
      </c>
    </row>
    <row r="692">
      <c r="A692" s="92" t="n">
        <v>2026</v>
      </c>
      <c r="B692" s="92" t="n">
        <v>4</v>
      </c>
      <c r="C692" s="92" t="inlineStr">
        <is>
          <t>PF03</t>
        </is>
      </c>
      <c r="D692" s="92" t="inlineStr">
        <is>
          <t>단체(단기)</t>
        </is>
      </c>
      <c r="E692" s="92" t="inlineStr">
        <is>
          <t>PAA</t>
        </is>
      </c>
      <c r="F692" s="92" t="inlineStr">
        <is>
          <t>F32</t>
        </is>
      </c>
      <c r="G692" s="92" t="inlineStr">
        <is>
          <t>경험조정-보험료 등</t>
        </is>
      </c>
      <c r="H692" s="93" t="n">
        <v>0</v>
      </c>
      <c r="I692" s="93" t="n">
        <v>0</v>
      </c>
      <c r="J692" s="93" t="n">
        <v>0</v>
      </c>
      <c r="L692" s="9">
        <f>IF($A692="","",VALUE($A692&amp;"")*12+VALUE($B692&amp;""))</f>
        <v/>
      </c>
      <c r="M692" s="94">
        <f>IF($A692="",0,$H692*설정!$C$23)</f>
        <v/>
      </c>
      <c r="N692" s="94">
        <f>IF($A692="",0,$I692*설정!$C$23)</f>
        <v/>
      </c>
      <c r="O692" s="94">
        <f>IF($A692="",0,$J692*설정!$C$23)</f>
        <v/>
      </c>
      <c r="P692" s="64">
        <f>IF($A692="","",IFERROR(INDEX(입력옵션!$C$58:$C$68,MATCH($F692&amp;"",입력옵션!$E$58:$E$68,0)),IFERROR(INDEX(입력옵션!$C$58:$C$68,MATCH($G692&amp;"",입력옵션!$F$58:$F$68,0)),$F692&amp;"")))</f>
        <v/>
      </c>
    </row>
    <row r="693">
      <c r="A693" s="92" t="n">
        <v>2026</v>
      </c>
      <c r="B693" s="92" t="n">
        <v>4</v>
      </c>
      <c r="C693" s="92" t="inlineStr">
        <is>
          <t>PF03</t>
        </is>
      </c>
      <c r="D693" s="92" t="inlineStr">
        <is>
          <t>단체(단기)</t>
        </is>
      </c>
      <c r="E693" s="92" t="inlineStr">
        <is>
          <t>PAA</t>
        </is>
      </c>
      <c r="F693" s="92" t="inlineStr">
        <is>
          <t>F40</t>
        </is>
      </c>
      <c r="G693" s="92" t="inlineStr">
        <is>
          <t>보험금융비용(이자부리)</t>
        </is>
      </c>
      <c r="H693" s="93" t="n">
        <v>0</v>
      </c>
      <c r="I693" s="93" t="n">
        <v>0</v>
      </c>
      <c r="J693" s="93" t="n">
        <v>0</v>
      </c>
      <c r="L693" s="9">
        <f>IF($A693="","",VALUE($A693&amp;"")*12+VALUE($B693&amp;""))</f>
        <v/>
      </c>
      <c r="M693" s="94">
        <f>IF($A693="",0,$H693*설정!$C$23)</f>
        <v/>
      </c>
      <c r="N693" s="94">
        <f>IF($A693="",0,$I693*설정!$C$23)</f>
        <v/>
      </c>
      <c r="O693" s="94">
        <f>IF($A693="",0,$J693*설정!$C$23)</f>
        <v/>
      </c>
      <c r="P693" s="64">
        <f>IF($A693="","",IFERROR(INDEX(입력옵션!$C$58:$C$68,MATCH($F693&amp;"",입력옵션!$E$58:$E$68,0)),IFERROR(INDEX(입력옵션!$C$58:$C$68,MATCH($G693&amp;"",입력옵션!$F$58:$F$68,0)),$F693&amp;"")))</f>
        <v/>
      </c>
    </row>
    <row r="694">
      <c r="A694" s="92" t="n">
        <v>2026</v>
      </c>
      <c r="B694" s="92" t="n">
        <v>4</v>
      </c>
      <c r="C694" s="92" t="inlineStr">
        <is>
          <t>PF03</t>
        </is>
      </c>
      <c r="D694" s="92" t="inlineStr">
        <is>
          <t>단체(단기)</t>
        </is>
      </c>
      <c r="E694" s="92" t="inlineStr">
        <is>
          <t>PAA</t>
        </is>
      </c>
      <c r="F694" s="92" t="inlineStr">
        <is>
          <t>F51</t>
        </is>
      </c>
      <c r="G694" s="92" t="inlineStr">
        <is>
          <t>CSM 상각</t>
        </is>
      </c>
      <c r="H694" s="93" t="n">
        <v>0</v>
      </c>
      <c r="I694" s="93" t="n">
        <v>0</v>
      </c>
      <c r="J694" s="93" t="n">
        <v>0</v>
      </c>
      <c r="L694" s="9">
        <f>IF($A694="","",VALUE($A694&amp;"")*12+VALUE($B694&amp;""))</f>
        <v/>
      </c>
      <c r="M694" s="94">
        <f>IF($A694="",0,$H694*설정!$C$23)</f>
        <v/>
      </c>
      <c r="N694" s="94">
        <f>IF($A694="",0,$I694*설정!$C$23)</f>
        <v/>
      </c>
      <c r="O694" s="94">
        <f>IF($A694="",0,$J694*설정!$C$23)</f>
        <v/>
      </c>
      <c r="P694" s="64">
        <f>IF($A694="","",IFERROR(INDEX(입력옵션!$C$58:$C$68,MATCH($F694&amp;"",입력옵션!$E$58:$E$68,0)),IFERROR(INDEX(입력옵션!$C$58:$C$68,MATCH($G694&amp;"",입력옵션!$F$58:$F$68,0)),$F694&amp;"")))</f>
        <v/>
      </c>
    </row>
    <row r="695">
      <c r="A695" s="92" t="n">
        <v>2026</v>
      </c>
      <c r="B695" s="92" t="n">
        <v>4</v>
      </c>
      <c r="C695" s="92" t="inlineStr">
        <is>
          <t>PF03</t>
        </is>
      </c>
      <c r="D695" s="92" t="inlineStr">
        <is>
          <t>단체(단기)</t>
        </is>
      </c>
      <c r="E695" s="92" t="inlineStr">
        <is>
          <t>PAA</t>
        </is>
      </c>
      <c r="F695" s="92" t="inlineStr">
        <is>
          <t>F52</t>
        </is>
      </c>
      <c r="G695" s="92" t="inlineStr">
        <is>
          <t>RA 해제</t>
        </is>
      </c>
      <c r="H695" s="93" t="n">
        <v>0</v>
      </c>
      <c r="I695" s="93" t="n">
        <v>-14582000</v>
      </c>
      <c r="J695" s="93" t="n">
        <v>0</v>
      </c>
      <c r="L695" s="9">
        <f>IF($A695="","",VALUE($A695&amp;"")*12+VALUE($B695&amp;""))</f>
        <v/>
      </c>
      <c r="M695" s="94">
        <f>IF($A695="",0,$H695*설정!$C$23)</f>
        <v/>
      </c>
      <c r="N695" s="94">
        <f>IF($A695="",0,$I695*설정!$C$23)</f>
        <v/>
      </c>
      <c r="O695" s="94">
        <f>IF($A695="",0,$J695*설정!$C$23)</f>
        <v/>
      </c>
      <c r="P695" s="64">
        <f>IF($A695="","",IFERROR(INDEX(입력옵션!$C$58:$C$68,MATCH($F695&amp;"",입력옵션!$E$58:$E$68,0)),IFERROR(INDEX(입력옵션!$C$58:$C$68,MATCH($G695&amp;"",입력옵션!$F$58:$F$68,0)),$F695&amp;"")))</f>
        <v/>
      </c>
    </row>
    <row r="696">
      <c r="A696" s="92" t="n">
        <v>2026</v>
      </c>
      <c r="B696" s="92" t="n">
        <v>4</v>
      </c>
      <c r="C696" s="92" t="inlineStr">
        <is>
          <t>PF03</t>
        </is>
      </c>
      <c r="D696" s="92" t="inlineStr">
        <is>
          <t>단체(단기)</t>
        </is>
      </c>
      <c r="E696" s="92" t="inlineStr">
        <is>
          <t>PAA</t>
        </is>
      </c>
      <c r="F696" s="92" t="inlineStr">
        <is>
          <t>F60</t>
        </is>
      </c>
      <c r="G696" s="92" t="inlineStr">
        <is>
          <t>현금흐름 및 기타</t>
        </is>
      </c>
      <c r="H696" s="93" t="n">
        <v>87950000</v>
      </c>
      <c r="I696" s="93" t="n">
        <v>11576000</v>
      </c>
      <c r="J696" s="93" t="n">
        <v>0</v>
      </c>
      <c r="L696" s="9">
        <f>IF($A696="","",VALUE($A696&amp;"")*12+VALUE($B696&amp;""))</f>
        <v/>
      </c>
      <c r="M696" s="94">
        <f>IF($A696="",0,$H696*설정!$C$23)</f>
        <v/>
      </c>
      <c r="N696" s="94">
        <f>IF($A696="",0,$I696*설정!$C$23)</f>
        <v/>
      </c>
      <c r="O696" s="94">
        <f>IF($A696="",0,$J696*설정!$C$23)</f>
        <v/>
      </c>
      <c r="P696" s="64">
        <f>IF($A696="","",IFERROR(INDEX(입력옵션!$C$58:$C$68,MATCH($F696&amp;"",입력옵션!$E$58:$E$68,0)),IFERROR(INDEX(입력옵션!$C$58:$C$68,MATCH($G696&amp;"",입력옵션!$F$58:$F$68,0)),$F696&amp;"")))</f>
        <v/>
      </c>
    </row>
    <row r="697">
      <c r="A697" s="92" t="n">
        <v>2026</v>
      </c>
      <c r="B697" s="92" t="n">
        <v>4</v>
      </c>
      <c r="C697" s="92" t="inlineStr">
        <is>
          <t>PF03</t>
        </is>
      </c>
      <c r="D697" s="92" t="inlineStr">
        <is>
          <t>단체(단기)</t>
        </is>
      </c>
      <c r="E697" s="92" t="inlineStr">
        <is>
          <t>PAA</t>
        </is>
      </c>
      <c r="F697" s="92" t="inlineStr">
        <is>
          <t>F99</t>
        </is>
      </c>
      <c r="G697" s="92" t="inlineStr">
        <is>
          <t>기말잔액</t>
        </is>
      </c>
      <c r="H697" s="93" t="n">
        <v>43208064000</v>
      </c>
      <c r="I697" s="93" t="n">
        <v>2427408000</v>
      </c>
      <c r="J697" s="93" t="n">
        <v>0</v>
      </c>
      <c r="L697" s="9">
        <f>IF($A697="","",VALUE($A697&amp;"")*12+VALUE($B697&amp;""))</f>
        <v/>
      </c>
      <c r="M697" s="94">
        <f>IF($A697="",0,$H697*설정!$C$23)</f>
        <v/>
      </c>
      <c r="N697" s="94">
        <f>IF($A697="",0,$I697*설정!$C$23)</f>
        <v/>
      </c>
      <c r="O697" s="94">
        <f>IF($A697="",0,$J697*설정!$C$23)</f>
        <v/>
      </c>
      <c r="P697" s="64">
        <f>IF($A697="","",IFERROR(INDEX(입력옵션!$C$58:$C$68,MATCH($F697&amp;"",입력옵션!$E$58:$E$68,0)),IFERROR(INDEX(입력옵션!$C$58:$C$68,MATCH($G697&amp;"",입력옵션!$F$58:$F$68,0)),$F697&amp;"")))</f>
        <v/>
      </c>
    </row>
    <row r="698">
      <c r="A698" s="92" t="n">
        <v>2026</v>
      </c>
      <c r="B698" s="92" t="n">
        <v>4</v>
      </c>
      <c r="C698" s="92" t="inlineStr">
        <is>
          <t>PF04</t>
        </is>
      </c>
      <c r="D698" s="92" t="inlineStr">
        <is>
          <t>변액</t>
        </is>
      </c>
      <c r="E698" s="92" t="inlineStr">
        <is>
          <t>VFA</t>
        </is>
      </c>
      <c r="F698" s="92" t="inlineStr">
        <is>
          <t>F00</t>
        </is>
      </c>
      <c r="G698" s="92" t="inlineStr">
        <is>
          <t>기초잔액</t>
        </is>
      </c>
      <c r="H698" s="93" t="n">
        <v>323400855000</v>
      </c>
      <c r="I698" s="93" t="n">
        <v>15797691000</v>
      </c>
      <c r="J698" s="93" t="n">
        <v>52183999000</v>
      </c>
      <c r="L698" s="9">
        <f>IF($A698="","",VALUE($A698&amp;"")*12+VALUE($B698&amp;""))</f>
        <v/>
      </c>
      <c r="M698" s="94">
        <f>IF($A698="",0,$H698*설정!$C$23)</f>
        <v/>
      </c>
      <c r="N698" s="94">
        <f>IF($A698="",0,$I698*설정!$C$23)</f>
        <v/>
      </c>
      <c r="O698" s="94">
        <f>IF($A698="",0,$J698*설정!$C$23)</f>
        <v/>
      </c>
      <c r="P698" s="64">
        <f>IF($A698="","",IFERROR(INDEX(입력옵션!$C$58:$C$68,MATCH($F698&amp;"",입력옵션!$E$58:$E$68,0)),IFERROR(INDEX(입력옵션!$C$58:$C$68,MATCH($G698&amp;"",입력옵션!$F$58:$F$68,0)),$F698&amp;"")))</f>
        <v/>
      </c>
    </row>
    <row r="699">
      <c r="A699" s="92" t="n">
        <v>2026</v>
      </c>
      <c r="B699" s="92" t="n">
        <v>4</v>
      </c>
      <c r="C699" s="92" t="inlineStr">
        <is>
          <t>PF04</t>
        </is>
      </c>
      <c r="D699" s="92" t="inlineStr">
        <is>
          <t>변액</t>
        </is>
      </c>
      <c r="E699" s="92" t="inlineStr">
        <is>
          <t>VFA</t>
        </is>
      </c>
      <c r="F699" s="92" t="inlineStr">
        <is>
          <t>F10</t>
        </is>
      </c>
      <c r="G699" s="92" t="inlineStr">
        <is>
          <t>신계약 효과</t>
        </is>
      </c>
      <c r="H699" s="93" t="n">
        <v>-665567000</v>
      </c>
      <c r="I699" s="93" t="n">
        <v>133113000</v>
      </c>
      <c r="J699" s="93" t="n">
        <v>532454000</v>
      </c>
      <c r="L699" s="9">
        <f>IF($A699="","",VALUE($A699&amp;"")*12+VALUE($B699&amp;""))</f>
        <v/>
      </c>
      <c r="M699" s="94">
        <f>IF($A699="",0,$H699*설정!$C$23)</f>
        <v/>
      </c>
      <c r="N699" s="94">
        <f>IF($A699="",0,$I699*설정!$C$23)</f>
        <v/>
      </c>
      <c r="O699" s="94">
        <f>IF($A699="",0,$J699*설정!$C$23)</f>
        <v/>
      </c>
      <c r="P699" s="64">
        <f>IF($A699="","",IFERROR(INDEX(입력옵션!$C$58:$C$68,MATCH($F699&amp;"",입력옵션!$E$58:$E$68,0)),IFERROR(INDEX(입력옵션!$C$58:$C$68,MATCH($G699&amp;"",입력옵션!$F$58:$F$68,0)),$F699&amp;"")))</f>
        <v/>
      </c>
    </row>
    <row r="700">
      <c r="A700" s="92" t="n">
        <v>2026</v>
      </c>
      <c r="B700" s="92" t="n">
        <v>4</v>
      </c>
      <c r="C700" s="92" t="inlineStr">
        <is>
          <t>PF04</t>
        </is>
      </c>
      <c r="D700" s="92" t="inlineStr">
        <is>
          <t>변액</t>
        </is>
      </c>
      <c r="E700" s="92" t="inlineStr">
        <is>
          <t>VFA</t>
        </is>
      </c>
      <c r="F700" s="92" t="inlineStr">
        <is>
          <t>F21</t>
        </is>
      </c>
      <c r="G700" s="92" t="inlineStr">
        <is>
          <t>가정변경-사업비</t>
        </is>
      </c>
      <c r="H700" s="93" t="n">
        <v>0</v>
      </c>
      <c r="I700" s="93" t="n">
        <v>0</v>
      </c>
      <c r="J700" s="93" t="n">
        <v>0</v>
      </c>
      <c r="L700" s="9">
        <f>IF($A700="","",VALUE($A700&amp;"")*12+VALUE($B700&amp;""))</f>
        <v/>
      </c>
      <c r="M700" s="94">
        <f>IF($A700="",0,$H700*설정!$C$23)</f>
        <v/>
      </c>
      <c r="N700" s="94">
        <f>IF($A700="",0,$I700*설정!$C$23)</f>
        <v/>
      </c>
      <c r="O700" s="94">
        <f>IF($A700="",0,$J700*설정!$C$23)</f>
        <v/>
      </c>
      <c r="P700" s="64">
        <f>IF($A700="","",IFERROR(INDEX(입력옵션!$C$58:$C$68,MATCH($F700&amp;"",입력옵션!$E$58:$E$68,0)),IFERROR(INDEX(입력옵션!$C$58:$C$68,MATCH($G700&amp;"",입력옵션!$F$58:$F$68,0)),$F700&amp;"")))</f>
        <v/>
      </c>
    </row>
    <row r="701">
      <c r="A701" s="92" t="n">
        <v>2026</v>
      </c>
      <c r="B701" s="92" t="n">
        <v>4</v>
      </c>
      <c r="C701" s="92" t="inlineStr">
        <is>
          <t>PF04</t>
        </is>
      </c>
      <c r="D701" s="92" t="inlineStr">
        <is>
          <t>변액</t>
        </is>
      </c>
      <c r="E701" s="92" t="inlineStr">
        <is>
          <t>VFA</t>
        </is>
      </c>
      <c r="F701" s="92" t="inlineStr">
        <is>
          <t>F22</t>
        </is>
      </c>
      <c r="G701" s="92" t="inlineStr">
        <is>
          <t>가정변경-기타</t>
        </is>
      </c>
      <c r="H701" s="93" t="n">
        <v>0</v>
      </c>
      <c r="I701" s="93" t="n">
        <v>0</v>
      </c>
      <c r="J701" s="93" t="n">
        <v>0</v>
      </c>
      <c r="L701" s="9">
        <f>IF($A701="","",VALUE($A701&amp;"")*12+VALUE($B701&amp;""))</f>
        <v/>
      </c>
      <c r="M701" s="94">
        <f>IF($A701="",0,$H701*설정!$C$23)</f>
        <v/>
      </c>
      <c r="N701" s="94">
        <f>IF($A701="",0,$I701*설정!$C$23)</f>
        <v/>
      </c>
      <c r="O701" s="94">
        <f>IF($A701="",0,$J701*설정!$C$23)</f>
        <v/>
      </c>
      <c r="P701" s="64">
        <f>IF($A701="","",IFERROR(INDEX(입력옵션!$C$58:$C$68,MATCH($F701&amp;"",입력옵션!$E$58:$E$68,0)),IFERROR(INDEX(입력옵션!$C$58:$C$68,MATCH($G701&amp;"",입력옵션!$F$58:$F$68,0)),$F701&amp;"")))</f>
        <v/>
      </c>
    </row>
    <row r="702">
      <c r="A702" s="92" t="n">
        <v>2026</v>
      </c>
      <c r="B702" s="92" t="n">
        <v>4</v>
      </c>
      <c r="C702" s="92" t="inlineStr">
        <is>
          <t>PF04</t>
        </is>
      </c>
      <c r="D702" s="92" t="inlineStr">
        <is>
          <t>변액</t>
        </is>
      </c>
      <c r="E702" s="92" t="inlineStr">
        <is>
          <t>VFA</t>
        </is>
      </c>
      <c r="F702" s="92" t="inlineStr">
        <is>
          <t>F31</t>
        </is>
      </c>
      <c r="G702" s="92" t="inlineStr">
        <is>
          <t>경험조정-취득현금흐름</t>
        </is>
      </c>
      <c r="H702" s="93" t="n">
        <v>0</v>
      </c>
      <c r="I702" s="93" t="n">
        <v>0</v>
      </c>
      <c r="J702" s="93" t="n">
        <v>-2033000</v>
      </c>
      <c r="L702" s="9">
        <f>IF($A702="","",VALUE($A702&amp;"")*12+VALUE($B702&amp;""))</f>
        <v/>
      </c>
      <c r="M702" s="94">
        <f>IF($A702="",0,$H702*설정!$C$23)</f>
        <v/>
      </c>
      <c r="N702" s="94">
        <f>IF($A702="",0,$I702*설정!$C$23)</f>
        <v/>
      </c>
      <c r="O702" s="94">
        <f>IF($A702="",0,$J702*설정!$C$23)</f>
        <v/>
      </c>
      <c r="P702" s="64">
        <f>IF($A702="","",IFERROR(INDEX(입력옵션!$C$58:$C$68,MATCH($F702&amp;"",입력옵션!$E$58:$E$68,0)),IFERROR(INDEX(입력옵션!$C$58:$C$68,MATCH($G702&amp;"",입력옵션!$F$58:$F$68,0)),$F702&amp;"")))</f>
        <v/>
      </c>
    </row>
    <row r="703">
      <c r="A703" s="92" t="n">
        <v>2026</v>
      </c>
      <c r="B703" s="92" t="n">
        <v>4</v>
      </c>
      <c r="C703" s="92" t="inlineStr">
        <is>
          <t>PF04</t>
        </is>
      </c>
      <c r="D703" s="92" t="inlineStr">
        <is>
          <t>변액</t>
        </is>
      </c>
      <c r="E703" s="92" t="inlineStr">
        <is>
          <t>VFA</t>
        </is>
      </c>
      <c r="F703" s="92" t="inlineStr">
        <is>
          <t>F32</t>
        </is>
      </c>
      <c r="G703" s="92" t="inlineStr">
        <is>
          <t>경험조정-보험료 등</t>
        </is>
      </c>
      <c r="H703" s="93" t="n">
        <v>0</v>
      </c>
      <c r="I703" s="93" t="n">
        <v>0</v>
      </c>
      <c r="J703" s="93" t="n">
        <v>-45873000</v>
      </c>
      <c r="L703" s="9">
        <f>IF($A703="","",VALUE($A703&amp;"")*12+VALUE($B703&amp;""))</f>
        <v/>
      </c>
      <c r="M703" s="94">
        <f>IF($A703="",0,$H703*설정!$C$23)</f>
        <v/>
      </c>
      <c r="N703" s="94">
        <f>IF($A703="",0,$I703*설정!$C$23)</f>
        <v/>
      </c>
      <c r="O703" s="94">
        <f>IF($A703="",0,$J703*설정!$C$23)</f>
        <v/>
      </c>
      <c r="P703" s="64">
        <f>IF($A703="","",IFERROR(INDEX(입력옵션!$C$58:$C$68,MATCH($F703&amp;"",입력옵션!$E$58:$E$68,0)),IFERROR(INDEX(입력옵션!$C$58:$C$68,MATCH($G703&amp;"",입력옵션!$F$58:$F$68,0)),$F703&amp;"")))</f>
        <v/>
      </c>
    </row>
    <row r="704">
      <c r="A704" s="92" t="n">
        <v>2026</v>
      </c>
      <c r="B704" s="92" t="n">
        <v>4</v>
      </c>
      <c r="C704" s="92" t="inlineStr">
        <is>
          <t>PF04</t>
        </is>
      </c>
      <c r="D704" s="92" t="inlineStr">
        <is>
          <t>변액</t>
        </is>
      </c>
      <c r="E704" s="92" t="inlineStr">
        <is>
          <t>VFA</t>
        </is>
      </c>
      <c r="F704" s="92" t="inlineStr">
        <is>
          <t>F40</t>
        </is>
      </c>
      <c r="G704" s="92" t="inlineStr">
        <is>
          <t>보험금융비용(이자부리)</t>
        </is>
      </c>
      <c r="H704" s="93" t="n">
        <v>808502000</v>
      </c>
      <c r="I704" s="93" t="n">
        <v>31595000</v>
      </c>
      <c r="J704" s="93" t="n">
        <v>130460000</v>
      </c>
      <c r="L704" s="9">
        <f>IF($A704="","",VALUE($A704&amp;"")*12+VALUE($B704&amp;""))</f>
        <v/>
      </c>
      <c r="M704" s="94">
        <f>IF($A704="",0,$H704*설정!$C$23)</f>
        <v/>
      </c>
      <c r="N704" s="94">
        <f>IF($A704="",0,$I704*설정!$C$23)</f>
        <v/>
      </c>
      <c r="O704" s="94">
        <f>IF($A704="",0,$J704*설정!$C$23)</f>
        <v/>
      </c>
      <c r="P704" s="64">
        <f>IF($A704="","",IFERROR(INDEX(입력옵션!$C$58:$C$68,MATCH($F704&amp;"",입력옵션!$E$58:$E$68,0)),IFERROR(INDEX(입력옵션!$C$58:$C$68,MATCH($G704&amp;"",입력옵션!$F$58:$F$68,0)),$F704&amp;"")))</f>
        <v/>
      </c>
    </row>
    <row r="705">
      <c r="A705" s="92" t="n">
        <v>2026</v>
      </c>
      <c r="B705" s="92" t="n">
        <v>4</v>
      </c>
      <c r="C705" s="92" t="inlineStr">
        <is>
          <t>PF04</t>
        </is>
      </c>
      <c r="D705" s="92" t="inlineStr">
        <is>
          <t>변액</t>
        </is>
      </c>
      <c r="E705" s="92" t="inlineStr">
        <is>
          <t>VFA</t>
        </is>
      </c>
      <c r="F705" s="92" t="inlineStr">
        <is>
          <t>F51</t>
        </is>
      </c>
      <c r="G705" s="92" t="inlineStr">
        <is>
          <t>CSM 상각</t>
        </is>
      </c>
      <c r="H705" s="93" t="n">
        <v>0</v>
      </c>
      <c r="I705" s="93" t="n">
        <v>0</v>
      </c>
      <c r="J705" s="93" t="n">
        <v>-469656000</v>
      </c>
      <c r="L705" s="9">
        <f>IF($A705="","",VALUE($A705&amp;"")*12+VALUE($B705&amp;""))</f>
        <v/>
      </c>
      <c r="M705" s="94">
        <f>IF($A705="",0,$H705*설정!$C$23)</f>
        <v/>
      </c>
      <c r="N705" s="94">
        <f>IF($A705="",0,$I705*설정!$C$23)</f>
        <v/>
      </c>
      <c r="O705" s="94">
        <f>IF($A705="",0,$J705*설정!$C$23)</f>
        <v/>
      </c>
      <c r="P705" s="64">
        <f>IF($A705="","",IFERROR(INDEX(입력옵션!$C$58:$C$68,MATCH($F705&amp;"",입력옵션!$E$58:$E$68,0)),IFERROR(INDEX(입력옵션!$C$58:$C$68,MATCH($G705&amp;"",입력옵션!$F$58:$F$68,0)),$F705&amp;"")))</f>
        <v/>
      </c>
    </row>
    <row r="706">
      <c r="A706" s="92" t="n">
        <v>2026</v>
      </c>
      <c r="B706" s="92" t="n">
        <v>4</v>
      </c>
      <c r="C706" s="92" t="inlineStr">
        <is>
          <t>PF04</t>
        </is>
      </c>
      <c r="D706" s="92" t="inlineStr">
        <is>
          <t>변액</t>
        </is>
      </c>
      <c r="E706" s="92" t="inlineStr">
        <is>
          <t>VFA</t>
        </is>
      </c>
      <c r="F706" s="92" t="inlineStr">
        <is>
          <t>F52</t>
        </is>
      </c>
      <c r="G706" s="92" t="inlineStr">
        <is>
          <t>RA 해제</t>
        </is>
      </c>
      <c r="H706" s="93" t="n">
        <v>0</v>
      </c>
      <c r="I706" s="93" t="n">
        <v>-94786000</v>
      </c>
      <c r="J706" s="93" t="n">
        <v>0</v>
      </c>
      <c r="L706" s="9">
        <f>IF($A706="","",VALUE($A706&amp;"")*12+VALUE($B706&amp;""))</f>
        <v/>
      </c>
      <c r="M706" s="94">
        <f>IF($A706="",0,$H706*설정!$C$23)</f>
        <v/>
      </c>
      <c r="N706" s="94">
        <f>IF($A706="",0,$I706*설정!$C$23)</f>
        <v/>
      </c>
      <c r="O706" s="94">
        <f>IF($A706="",0,$J706*설정!$C$23)</f>
        <v/>
      </c>
      <c r="P706" s="64">
        <f>IF($A706="","",IFERROR(INDEX(입력옵션!$C$58:$C$68,MATCH($F706&amp;"",입력옵션!$E$58:$E$68,0)),IFERROR(INDEX(입력옵션!$C$58:$C$68,MATCH($G706&amp;"",입력옵션!$F$58:$F$68,0)),$F706&amp;"")))</f>
        <v/>
      </c>
    </row>
    <row r="707">
      <c r="A707" s="92" t="n">
        <v>2026</v>
      </c>
      <c r="B707" s="92" t="n">
        <v>4</v>
      </c>
      <c r="C707" s="92" t="inlineStr">
        <is>
          <t>PF04</t>
        </is>
      </c>
      <c r="D707" s="92" t="inlineStr">
        <is>
          <t>변액</t>
        </is>
      </c>
      <c r="E707" s="92" t="inlineStr">
        <is>
          <t>VFA</t>
        </is>
      </c>
      <c r="F707" s="92" t="inlineStr">
        <is>
          <t>F60</t>
        </is>
      </c>
      <c r="G707" s="92" t="inlineStr">
        <is>
          <t>현금흐름 및 기타</t>
        </is>
      </c>
      <c r="H707" s="93" t="n">
        <v>516690000</v>
      </c>
      <c r="I707" s="93" t="n">
        <v>-89462000</v>
      </c>
      <c r="J707" s="93" t="n">
        <v>0</v>
      </c>
      <c r="L707" s="9">
        <f>IF($A707="","",VALUE($A707&amp;"")*12+VALUE($B707&amp;""))</f>
        <v/>
      </c>
      <c r="M707" s="94">
        <f>IF($A707="",0,$H707*설정!$C$23)</f>
        <v/>
      </c>
      <c r="N707" s="94">
        <f>IF($A707="",0,$I707*설정!$C$23)</f>
        <v/>
      </c>
      <c r="O707" s="94">
        <f>IF($A707="",0,$J707*설정!$C$23)</f>
        <v/>
      </c>
      <c r="P707" s="64">
        <f>IF($A707="","",IFERROR(INDEX(입력옵션!$C$58:$C$68,MATCH($F707&amp;"",입력옵션!$E$58:$E$68,0)),IFERROR(INDEX(입력옵션!$C$58:$C$68,MATCH($G707&amp;"",입력옵션!$F$58:$F$68,0)),$F707&amp;"")))</f>
        <v/>
      </c>
    </row>
    <row r="708">
      <c r="A708" s="92" t="n">
        <v>2026</v>
      </c>
      <c r="B708" s="92" t="n">
        <v>4</v>
      </c>
      <c r="C708" s="92" t="inlineStr">
        <is>
          <t>PF04</t>
        </is>
      </c>
      <c r="D708" s="92" t="inlineStr">
        <is>
          <t>변액</t>
        </is>
      </c>
      <c r="E708" s="92" t="inlineStr">
        <is>
          <t>VFA</t>
        </is>
      </c>
      <c r="F708" s="92" t="inlineStr">
        <is>
          <t>F99</t>
        </is>
      </c>
      <c r="G708" s="92" t="inlineStr">
        <is>
          <t>기말잔액</t>
        </is>
      </c>
      <c r="H708" s="93" t="n">
        <v>324060480000</v>
      </c>
      <c r="I708" s="93" t="n">
        <v>15778152000</v>
      </c>
      <c r="J708" s="93" t="n">
        <v>52329351000</v>
      </c>
      <c r="L708" s="9">
        <f>IF($A708="","",VALUE($A708&amp;"")*12+VALUE($B708&amp;""))</f>
        <v/>
      </c>
      <c r="M708" s="94">
        <f>IF($A708="",0,$H708*설정!$C$23)</f>
        <v/>
      </c>
      <c r="N708" s="94">
        <f>IF($A708="",0,$I708*설정!$C$23)</f>
        <v/>
      </c>
      <c r="O708" s="94">
        <f>IF($A708="",0,$J708*설정!$C$23)</f>
        <v/>
      </c>
      <c r="P708" s="64">
        <f>IF($A708="","",IFERROR(INDEX(입력옵션!$C$58:$C$68,MATCH($F708&amp;"",입력옵션!$E$58:$E$68,0)),IFERROR(INDEX(입력옵션!$C$58:$C$68,MATCH($G708&amp;"",입력옵션!$F$58:$F$68,0)),$F708&amp;"")))</f>
        <v/>
      </c>
    </row>
    <row r="709">
      <c r="A709" s="92" t="n">
        <v>2026</v>
      </c>
      <c r="B709" s="92" t="n">
        <v>5</v>
      </c>
      <c r="C709" s="92" t="inlineStr">
        <is>
          <t>PF01</t>
        </is>
      </c>
      <c r="D709" s="92" t="inlineStr">
        <is>
          <t>보장성</t>
        </is>
      </c>
      <c r="E709" s="92" t="inlineStr">
        <is>
          <t>GMM</t>
        </is>
      </c>
      <c r="F709" s="92" t="inlineStr">
        <is>
          <t>F00</t>
        </is>
      </c>
      <c r="G709" s="92" t="inlineStr">
        <is>
          <t>기초잔액</t>
        </is>
      </c>
      <c r="H709" s="93" t="n">
        <v>1080201600000</v>
      </c>
      <c r="I709" s="93" t="n">
        <v>72822240000</v>
      </c>
      <c r="J709" s="93" t="n">
        <v>248875556000</v>
      </c>
      <c r="L709" s="9">
        <f>IF($A709="","",VALUE($A709&amp;"")*12+VALUE($B709&amp;""))</f>
        <v/>
      </c>
      <c r="M709" s="94">
        <f>IF($A709="",0,$H709*설정!$C$23)</f>
        <v/>
      </c>
      <c r="N709" s="94">
        <f>IF($A709="",0,$I709*설정!$C$23)</f>
        <v/>
      </c>
      <c r="O709" s="94">
        <f>IF($A709="",0,$J709*설정!$C$23)</f>
        <v/>
      </c>
      <c r="P709" s="64">
        <f>IF($A709="","",IFERROR(INDEX(입력옵션!$C$58:$C$68,MATCH($F709&amp;"",입력옵션!$E$58:$E$68,0)),IFERROR(INDEX(입력옵션!$C$58:$C$68,MATCH($G709&amp;"",입력옵션!$F$58:$F$68,0)),$F709&amp;"")))</f>
        <v/>
      </c>
    </row>
    <row r="710">
      <c r="A710" s="92" t="n">
        <v>2026</v>
      </c>
      <c r="B710" s="92" t="n">
        <v>5</v>
      </c>
      <c r="C710" s="92" t="inlineStr">
        <is>
          <t>PF01</t>
        </is>
      </c>
      <c r="D710" s="92" t="inlineStr">
        <is>
          <t>보장성</t>
        </is>
      </c>
      <c r="E710" s="92" t="inlineStr">
        <is>
          <t>GMM</t>
        </is>
      </c>
      <c r="F710" s="92" t="inlineStr">
        <is>
          <t>F10</t>
        </is>
      </c>
      <c r="G710" s="92" t="inlineStr">
        <is>
          <t>신계약 효과</t>
        </is>
      </c>
      <c r="H710" s="93" t="n">
        <v>-3372255000</v>
      </c>
      <c r="I710" s="93" t="n">
        <v>674451000</v>
      </c>
      <c r="J710" s="93" t="n">
        <v>2697804000</v>
      </c>
      <c r="L710" s="9">
        <f>IF($A710="","",VALUE($A710&amp;"")*12+VALUE($B710&amp;""))</f>
        <v/>
      </c>
      <c r="M710" s="94">
        <f>IF($A710="",0,$H710*설정!$C$23)</f>
        <v/>
      </c>
      <c r="N710" s="94">
        <f>IF($A710="",0,$I710*설정!$C$23)</f>
        <v/>
      </c>
      <c r="O710" s="94">
        <f>IF($A710="",0,$J710*설정!$C$23)</f>
        <v/>
      </c>
      <c r="P710" s="64">
        <f>IF($A710="","",IFERROR(INDEX(입력옵션!$C$58:$C$68,MATCH($F710&amp;"",입력옵션!$E$58:$E$68,0)),IFERROR(INDEX(입력옵션!$C$58:$C$68,MATCH($G710&amp;"",입력옵션!$F$58:$F$68,0)),$F710&amp;"")))</f>
        <v/>
      </c>
    </row>
    <row r="711">
      <c r="A711" s="92" t="n">
        <v>2026</v>
      </c>
      <c r="B711" s="92" t="n">
        <v>5</v>
      </c>
      <c r="C711" s="92" t="inlineStr">
        <is>
          <t>PF01</t>
        </is>
      </c>
      <c r="D711" s="92" t="inlineStr">
        <is>
          <t>보장성</t>
        </is>
      </c>
      <c r="E711" s="92" t="inlineStr">
        <is>
          <t>GMM</t>
        </is>
      </c>
      <c r="F711" s="92" t="inlineStr">
        <is>
          <t>F21</t>
        </is>
      </c>
      <c r="G711" s="92" t="inlineStr">
        <is>
          <t>가정변경-사업비</t>
        </is>
      </c>
      <c r="H711" s="93" t="n">
        <v>0</v>
      </c>
      <c r="I711" s="93" t="n">
        <v>0</v>
      </c>
      <c r="J711" s="93" t="n">
        <v>0</v>
      </c>
      <c r="L711" s="9">
        <f>IF($A711="","",VALUE($A711&amp;"")*12+VALUE($B711&amp;""))</f>
        <v/>
      </c>
      <c r="M711" s="94">
        <f>IF($A711="",0,$H711*설정!$C$23)</f>
        <v/>
      </c>
      <c r="N711" s="94">
        <f>IF($A711="",0,$I711*설정!$C$23)</f>
        <v/>
      </c>
      <c r="O711" s="94">
        <f>IF($A711="",0,$J711*설정!$C$23)</f>
        <v/>
      </c>
      <c r="P711" s="64">
        <f>IF($A711="","",IFERROR(INDEX(입력옵션!$C$58:$C$68,MATCH($F711&amp;"",입력옵션!$E$58:$E$68,0)),IFERROR(INDEX(입력옵션!$C$58:$C$68,MATCH($G711&amp;"",입력옵션!$F$58:$F$68,0)),$F711&amp;"")))</f>
        <v/>
      </c>
    </row>
    <row r="712">
      <c r="A712" s="92" t="n">
        <v>2026</v>
      </c>
      <c r="B712" s="92" t="n">
        <v>5</v>
      </c>
      <c r="C712" s="92" t="inlineStr">
        <is>
          <t>PF01</t>
        </is>
      </c>
      <c r="D712" s="92" t="inlineStr">
        <is>
          <t>보장성</t>
        </is>
      </c>
      <c r="E712" s="92" t="inlineStr">
        <is>
          <t>GMM</t>
        </is>
      </c>
      <c r="F712" s="92" t="inlineStr">
        <is>
          <t>F22</t>
        </is>
      </c>
      <c r="G712" s="92" t="inlineStr">
        <is>
          <t>가정변경-기타</t>
        </is>
      </c>
      <c r="H712" s="93" t="n">
        <v>0</v>
      </c>
      <c r="I712" s="93" t="n">
        <v>0</v>
      </c>
      <c r="J712" s="93" t="n">
        <v>0</v>
      </c>
      <c r="L712" s="9">
        <f>IF($A712="","",VALUE($A712&amp;"")*12+VALUE($B712&amp;""))</f>
        <v/>
      </c>
      <c r="M712" s="94">
        <f>IF($A712="",0,$H712*설정!$C$23)</f>
        <v/>
      </c>
      <c r="N712" s="94">
        <f>IF($A712="",0,$I712*설정!$C$23)</f>
        <v/>
      </c>
      <c r="O712" s="94">
        <f>IF($A712="",0,$J712*설정!$C$23)</f>
        <v/>
      </c>
      <c r="P712" s="64">
        <f>IF($A712="","",IFERROR(INDEX(입력옵션!$C$58:$C$68,MATCH($F712&amp;"",입력옵션!$E$58:$E$68,0)),IFERROR(INDEX(입력옵션!$C$58:$C$68,MATCH($G712&amp;"",입력옵션!$F$58:$F$68,0)),$F712&amp;"")))</f>
        <v/>
      </c>
    </row>
    <row r="713">
      <c r="A713" s="92" t="n">
        <v>2026</v>
      </c>
      <c r="B713" s="92" t="n">
        <v>5</v>
      </c>
      <c r="C713" s="92" t="inlineStr">
        <is>
          <t>PF01</t>
        </is>
      </c>
      <c r="D713" s="92" t="inlineStr">
        <is>
          <t>보장성</t>
        </is>
      </c>
      <c r="E713" s="92" t="inlineStr">
        <is>
          <t>GMM</t>
        </is>
      </c>
      <c r="F713" s="92" t="inlineStr">
        <is>
          <t>F31</t>
        </is>
      </c>
      <c r="G713" s="92" t="inlineStr">
        <is>
          <t>경험조정-취득현금흐름</t>
        </is>
      </c>
      <c r="H713" s="93" t="n">
        <v>0</v>
      </c>
      <c r="I713" s="93" t="n">
        <v>0</v>
      </c>
      <c r="J713" s="93" t="n">
        <v>-23737000</v>
      </c>
      <c r="L713" s="9">
        <f>IF($A713="","",VALUE($A713&amp;"")*12+VALUE($B713&amp;""))</f>
        <v/>
      </c>
      <c r="M713" s="94">
        <f>IF($A713="",0,$H713*설정!$C$23)</f>
        <v/>
      </c>
      <c r="N713" s="94">
        <f>IF($A713="",0,$I713*설정!$C$23)</f>
        <v/>
      </c>
      <c r="O713" s="94">
        <f>IF($A713="",0,$J713*설정!$C$23)</f>
        <v/>
      </c>
      <c r="P713" s="64">
        <f>IF($A713="","",IFERROR(INDEX(입력옵션!$C$58:$C$68,MATCH($F713&amp;"",입력옵션!$E$58:$E$68,0)),IFERROR(INDEX(입력옵션!$C$58:$C$68,MATCH($G713&amp;"",입력옵션!$F$58:$F$68,0)),$F713&amp;"")))</f>
        <v/>
      </c>
    </row>
    <row r="714">
      <c r="A714" s="92" t="n">
        <v>2026</v>
      </c>
      <c r="B714" s="92" t="n">
        <v>5</v>
      </c>
      <c r="C714" s="92" t="inlineStr">
        <is>
          <t>PF01</t>
        </is>
      </c>
      <c r="D714" s="92" t="inlineStr">
        <is>
          <t>보장성</t>
        </is>
      </c>
      <c r="E714" s="92" t="inlineStr">
        <is>
          <t>GMM</t>
        </is>
      </c>
      <c r="F714" s="92" t="inlineStr">
        <is>
          <t>F32</t>
        </is>
      </c>
      <c r="G714" s="92" t="inlineStr">
        <is>
          <t>경험조정-보험료 등</t>
        </is>
      </c>
      <c r="H714" s="93" t="n">
        <v>0</v>
      </c>
      <c r="I714" s="93" t="n">
        <v>0</v>
      </c>
      <c r="J714" s="93" t="n">
        <v>-253522000</v>
      </c>
      <c r="L714" s="9">
        <f>IF($A714="","",VALUE($A714&amp;"")*12+VALUE($B714&amp;""))</f>
        <v/>
      </c>
      <c r="M714" s="94">
        <f>IF($A714="",0,$H714*설정!$C$23)</f>
        <v/>
      </c>
      <c r="N714" s="94">
        <f>IF($A714="",0,$I714*설정!$C$23)</f>
        <v/>
      </c>
      <c r="O714" s="94">
        <f>IF($A714="",0,$J714*설정!$C$23)</f>
        <v/>
      </c>
      <c r="P714" s="64">
        <f>IF($A714="","",IFERROR(INDEX(입력옵션!$C$58:$C$68,MATCH($F714&amp;"",입력옵션!$E$58:$E$68,0)),IFERROR(INDEX(입력옵션!$C$58:$C$68,MATCH($G714&amp;"",입력옵션!$F$58:$F$68,0)),$F714&amp;"")))</f>
        <v/>
      </c>
    </row>
    <row r="715">
      <c r="A715" s="92" t="n">
        <v>2026</v>
      </c>
      <c r="B715" s="92" t="n">
        <v>5</v>
      </c>
      <c r="C715" s="92" t="inlineStr">
        <is>
          <t>PF01</t>
        </is>
      </c>
      <c r="D715" s="92" t="inlineStr">
        <is>
          <t>보장성</t>
        </is>
      </c>
      <c r="E715" s="92" t="inlineStr">
        <is>
          <t>GMM</t>
        </is>
      </c>
      <c r="F715" s="92" t="inlineStr">
        <is>
          <t>F40</t>
        </is>
      </c>
      <c r="G715" s="92" t="inlineStr">
        <is>
          <t>보험금융비용(이자부리)</t>
        </is>
      </c>
      <c r="H715" s="93" t="n">
        <v>2700504000</v>
      </c>
      <c r="I715" s="93" t="n">
        <v>145644000</v>
      </c>
      <c r="J715" s="93" t="n">
        <v>622189000</v>
      </c>
      <c r="L715" s="9">
        <f>IF($A715="","",VALUE($A715&amp;"")*12+VALUE($B715&amp;""))</f>
        <v/>
      </c>
      <c r="M715" s="94">
        <f>IF($A715="",0,$H715*설정!$C$23)</f>
        <v/>
      </c>
      <c r="N715" s="94">
        <f>IF($A715="",0,$I715*설정!$C$23)</f>
        <v/>
      </c>
      <c r="O715" s="94">
        <f>IF($A715="",0,$J715*설정!$C$23)</f>
        <v/>
      </c>
      <c r="P715" s="64">
        <f>IF($A715="","",IFERROR(INDEX(입력옵션!$C$58:$C$68,MATCH($F715&amp;"",입력옵션!$E$58:$E$68,0)),IFERROR(INDEX(입력옵션!$C$58:$C$68,MATCH($G715&amp;"",입력옵션!$F$58:$F$68,0)),$F715&amp;"")))</f>
        <v/>
      </c>
    </row>
    <row r="716">
      <c r="A716" s="92" t="n">
        <v>2026</v>
      </c>
      <c r="B716" s="92" t="n">
        <v>5</v>
      </c>
      <c r="C716" s="92" t="inlineStr">
        <is>
          <t>PF01</t>
        </is>
      </c>
      <c r="D716" s="92" t="inlineStr">
        <is>
          <t>보장성</t>
        </is>
      </c>
      <c r="E716" s="92" t="inlineStr">
        <is>
          <t>GMM</t>
        </is>
      </c>
      <c r="F716" s="92" t="inlineStr">
        <is>
          <t>F51</t>
        </is>
      </c>
      <c r="G716" s="92" t="inlineStr">
        <is>
          <t>CSM 상각</t>
        </is>
      </c>
      <c r="H716" s="93" t="n">
        <v>0</v>
      </c>
      <c r="I716" s="93" t="n">
        <v>0</v>
      </c>
      <c r="J716" s="93" t="n">
        <v>-2239880000</v>
      </c>
      <c r="L716" s="9">
        <f>IF($A716="","",VALUE($A716&amp;"")*12+VALUE($B716&amp;""))</f>
        <v/>
      </c>
      <c r="M716" s="94">
        <f>IF($A716="",0,$H716*설정!$C$23)</f>
        <v/>
      </c>
      <c r="N716" s="94">
        <f>IF($A716="",0,$I716*설정!$C$23)</f>
        <v/>
      </c>
      <c r="O716" s="94">
        <f>IF($A716="",0,$J716*설정!$C$23)</f>
        <v/>
      </c>
      <c r="P716" s="64">
        <f>IF($A716="","",IFERROR(INDEX(입력옵션!$C$58:$C$68,MATCH($F716&amp;"",입력옵션!$E$58:$E$68,0)),IFERROR(INDEX(입력옵션!$C$58:$C$68,MATCH($G716&amp;"",입력옵션!$F$58:$F$68,0)),$F716&amp;"")))</f>
        <v/>
      </c>
    </row>
    <row r="717">
      <c r="A717" s="92" t="n">
        <v>2026</v>
      </c>
      <c r="B717" s="92" t="n">
        <v>5</v>
      </c>
      <c r="C717" s="92" t="inlineStr">
        <is>
          <t>PF01</t>
        </is>
      </c>
      <c r="D717" s="92" t="inlineStr">
        <is>
          <t>보장성</t>
        </is>
      </c>
      <c r="E717" s="92" t="inlineStr">
        <is>
          <t>GMM</t>
        </is>
      </c>
      <c r="F717" s="92" t="inlineStr">
        <is>
          <t>F52</t>
        </is>
      </c>
      <c r="G717" s="92" t="inlineStr">
        <is>
          <t>RA 해제</t>
        </is>
      </c>
      <c r="H717" s="93" t="n">
        <v>0</v>
      </c>
      <c r="I717" s="93" t="n">
        <v>-436933000</v>
      </c>
      <c r="J717" s="93" t="n">
        <v>0</v>
      </c>
      <c r="L717" s="9">
        <f>IF($A717="","",VALUE($A717&amp;"")*12+VALUE($B717&amp;""))</f>
        <v/>
      </c>
      <c r="M717" s="94">
        <f>IF($A717="",0,$H717*설정!$C$23)</f>
        <v/>
      </c>
      <c r="N717" s="94">
        <f>IF($A717="",0,$I717*설정!$C$23)</f>
        <v/>
      </c>
      <c r="O717" s="94">
        <f>IF($A717="",0,$J717*설정!$C$23)</f>
        <v/>
      </c>
      <c r="P717" s="64">
        <f>IF($A717="","",IFERROR(INDEX(입력옵션!$C$58:$C$68,MATCH($F717&amp;"",입력옵션!$E$58:$E$68,0)),IFERROR(INDEX(입력옵션!$C$58:$C$68,MATCH($G717&amp;"",입력옵션!$F$58:$F$68,0)),$F717&amp;"")))</f>
        <v/>
      </c>
    </row>
    <row r="718">
      <c r="A718" s="92" t="n">
        <v>2026</v>
      </c>
      <c r="B718" s="92" t="n">
        <v>5</v>
      </c>
      <c r="C718" s="92" t="inlineStr">
        <is>
          <t>PF01</t>
        </is>
      </c>
      <c r="D718" s="92" t="inlineStr">
        <is>
          <t>보장성</t>
        </is>
      </c>
      <c r="E718" s="92" t="inlineStr">
        <is>
          <t>GMM</t>
        </is>
      </c>
      <c r="F718" s="92" t="inlineStr">
        <is>
          <t>F60</t>
        </is>
      </c>
      <c r="G718" s="92" t="inlineStr">
        <is>
          <t>현금흐름 및 기타</t>
        </is>
      </c>
      <c r="H718" s="93" t="n">
        <v>3632801000</v>
      </c>
      <c r="I718" s="93" t="n">
        <v>-118622000</v>
      </c>
      <c r="J718" s="93" t="n">
        <v>0</v>
      </c>
      <c r="L718" s="9">
        <f>IF($A718="","",VALUE($A718&amp;"")*12+VALUE($B718&amp;""))</f>
        <v/>
      </c>
      <c r="M718" s="94">
        <f>IF($A718="",0,$H718*설정!$C$23)</f>
        <v/>
      </c>
      <c r="N718" s="94">
        <f>IF($A718="",0,$I718*설정!$C$23)</f>
        <v/>
      </c>
      <c r="O718" s="94">
        <f>IF($A718="",0,$J718*설정!$C$23)</f>
        <v/>
      </c>
      <c r="P718" s="64">
        <f>IF($A718="","",IFERROR(INDEX(입력옵션!$C$58:$C$68,MATCH($F718&amp;"",입력옵션!$E$58:$E$68,0)),IFERROR(INDEX(입력옵션!$C$58:$C$68,MATCH($G718&amp;"",입력옵션!$F$58:$F$68,0)),$F718&amp;"")))</f>
        <v/>
      </c>
    </row>
    <row r="719">
      <c r="A719" s="92" t="n">
        <v>2026</v>
      </c>
      <c r="B719" s="92" t="n">
        <v>5</v>
      </c>
      <c r="C719" s="92" t="inlineStr">
        <is>
          <t>PF01</t>
        </is>
      </c>
      <c r="D719" s="92" t="inlineStr">
        <is>
          <t>보장성</t>
        </is>
      </c>
      <c r="E719" s="92" t="inlineStr">
        <is>
          <t>GMM</t>
        </is>
      </c>
      <c r="F719" s="92" t="inlineStr">
        <is>
          <t>F99</t>
        </is>
      </c>
      <c r="G719" s="92" t="inlineStr">
        <is>
          <t>기말잔액</t>
        </is>
      </c>
      <c r="H719" s="93" t="n">
        <v>1083162650000</v>
      </c>
      <c r="I719" s="93" t="n">
        <v>73086780000</v>
      </c>
      <c r="J719" s="93" t="n">
        <v>249678410000</v>
      </c>
      <c r="L719" s="9">
        <f>IF($A719="","",VALUE($A719&amp;"")*12+VALUE($B719&amp;""))</f>
        <v/>
      </c>
      <c r="M719" s="94">
        <f>IF($A719="",0,$H719*설정!$C$23)</f>
        <v/>
      </c>
      <c r="N719" s="94">
        <f>IF($A719="",0,$I719*설정!$C$23)</f>
        <v/>
      </c>
      <c r="O719" s="94">
        <f>IF($A719="",0,$J719*설정!$C$23)</f>
        <v/>
      </c>
      <c r="P719" s="64">
        <f>IF($A719="","",IFERROR(INDEX(입력옵션!$C$58:$C$68,MATCH($F719&amp;"",입력옵션!$E$58:$E$68,0)),IFERROR(INDEX(입력옵션!$C$58:$C$68,MATCH($G719&amp;"",입력옵션!$F$58:$F$68,0)),$F719&amp;"")))</f>
        <v/>
      </c>
    </row>
    <row r="720">
      <c r="A720" s="92" t="n">
        <v>2026</v>
      </c>
      <c r="B720" s="92" t="n">
        <v>5</v>
      </c>
      <c r="C720" s="92" t="inlineStr">
        <is>
          <t>PF02</t>
        </is>
      </c>
      <c r="D720" s="92" t="inlineStr">
        <is>
          <t>저축성</t>
        </is>
      </c>
      <c r="E720" s="92" t="inlineStr">
        <is>
          <t>GMM</t>
        </is>
      </c>
      <c r="F720" s="92" t="inlineStr">
        <is>
          <t>F00</t>
        </is>
      </c>
      <c r="G720" s="92" t="inlineStr">
        <is>
          <t>기초잔액</t>
        </is>
      </c>
      <c r="H720" s="93" t="n">
        <v>712933056000</v>
      </c>
      <c r="I720" s="93" t="n">
        <v>30342600000</v>
      </c>
      <c r="J720" s="93" t="n">
        <v>100481914000</v>
      </c>
      <c r="L720" s="9">
        <f>IF($A720="","",VALUE($A720&amp;"")*12+VALUE($B720&amp;""))</f>
        <v/>
      </c>
      <c r="M720" s="94">
        <f>IF($A720="",0,$H720*설정!$C$23)</f>
        <v/>
      </c>
      <c r="N720" s="94">
        <f>IF($A720="",0,$I720*설정!$C$23)</f>
        <v/>
      </c>
      <c r="O720" s="94">
        <f>IF($A720="",0,$J720*설정!$C$23)</f>
        <v/>
      </c>
      <c r="P720" s="64">
        <f>IF($A720="","",IFERROR(INDEX(입력옵션!$C$58:$C$68,MATCH($F720&amp;"",입력옵션!$E$58:$E$68,0)),IFERROR(INDEX(입력옵션!$C$58:$C$68,MATCH($G720&amp;"",입력옵션!$F$58:$F$68,0)),$F720&amp;"")))</f>
        <v/>
      </c>
    </row>
    <row r="721">
      <c r="A721" s="92" t="n">
        <v>2026</v>
      </c>
      <c r="B721" s="92" t="n">
        <v>5</v>
      </c>
      <c r="C721" s="92" t="inlineStr">
        <is>
          <t>PF02</t>
        </is>
      </c>
      <c r="D721" s="92" t="inlineStr">
        <is>
          <t>저축성</t>
        </is>
      </c>
      <c r="E721" s="92" t="inlineStr">
        <is>
          <t>GMM</t>
        </is>
      </c>
      <c r="F721" s="92" t="inlineStr">
        <is>
          <t>F10</t>
        </is>
      </c>
      <c r="G721" s="92" t="inlineStr">
        <is>
          <t>신계약 효과</t>
        </is>
      </c>
      <c r="H721" s="93" t="n">
        <v>-1359780000</v>
      </c>
      <c r="I721" s="93" t="n">
        <v>271956000</v>
      </c>
      <c r="J721" s="93" t="n">
        <v>1087824000</v>
      </c>
      <c r="L721" s="9">
        <f>IF($A721="","",VALUE($A721&amp;"")*12+VALUE($B721&amp;""))</f>
        <v/>
      </c>
      <c r="M721" s="94">
        <f>IF($A721="",0,$H721*설정!$C$23)</f>
        <v/>
      </c>
      <c r="N721" s="94">
        <f>IF($A721="",0,$I721*설정!$C$23)</f>
        <v/>
      </c>
      <c r="O721" s="94">
        <f>IF($A721="",0,$J721*설정!$C$23)</f>
        <v/>
      </c>
      <c r="P721" s="64">
        <f>IF($A721="","",IFERROR(INDEX(입력옵션!$C$58:$C$68,MATCH($F721&amp;"",입력옵션!$E$58:$E$68,0)),IFERROR(INDEX(입력옵션!$C$58:$C$68,MATCH($G721&amp;"",입력옵션!$F$58:$F$68,0)),$F721&amp;"")))</f>
        <v/>
      </c>
    </row>
    <row r="722">
      <c r="A722" s="92" t="n">
        <v>2026</v>
      </c>
      <c r="B722" s="92" t="n">
        <v>5</v>
      </c>
      <c r="C722" s="92" t="inlineStr">
        <is>
          <t>PF02</t>
        </is>
      </c>
      <c r="D722" s="92" t="inlineStr">
        <is>
          <t>저축성</t>
        </is>
      </c>
      <c r="E722" s="92" t="inlineStr">
        <is>
          <t>GMM</t>
        </is>
      </c>
      <c r="F722" s="92" t="inlineStr">
        <is>
          <t>F21</t>
        </is>
      </c>
      <c r="G722" s="92" t="inlineStr">
        <is>
          <t>가정변경-사업비</t>
        </is>
      </c>
      <c r="H722" s="93" t="n">
        <v>0</v>
      </c>
      <c r="I722" s="93" t="n">
        <v>0</v>
      </c>
      <c r="J722" s="93" t="n">
        <v>0</v>
      </c>
      <c r="L722" s="9">
        <f>IF($A722="","",VALUE($A722&amp;"")*12+VALUE($B722&amp;""))</f>
        <v/>
      </c>
      <c r="M722" s="94">
        <f>IF($A722="",0,$H722*설정!$C$23)</f>
        <v/>
      </c>
      <c r="N722" s="94">
        <f>IF($A722="",0,$I722*설정!$C$23)</f>
        <v/>
      </c>
      <c r="O722" s="94">
        <f>IF($A722="",0,$J722*설정!$C$23)</f>
        <v/>
      </c>
      <c r="P722" s="64">
        <f>IF($A722="","",IFERROR(INDEX(입력옵션!$C$58:$C$68,MATCH($F722&amp;"",입력옵션!$E$58:$E$68,0)),IFERROR(INDEX(입력옵션!$C$58:$C$68,MATCH($G722&amp;"",입력옵션!$F$58:$F$68,0)),$F722&amp;"")))</f>
        <v/>
      </c>
    </row>
    <row r="723">
      <c r="A723" s="92" t="n">
        <v>2026</v>
      </c>
      <c r="B723" s="92" t="n">
        <v>5</v>
      </c>
      <c r="C723" s="92" t="inlineStr">
        <is>
          <t>PF02</t>
        </is>
      </c>
      <c r="D723" s="92" t="inlineStr">
        <is>
          <t>저축성</t>
        </is>
      </c>
      <c r="E723" s="92" t="inlineStr">
        <is>
          <t>GMM</t>
        </is>
      </c>
      <c r="F723" s="92" t="inlineStr">
        <is>
          <t>F22</t>
        </is>
      </c>
      <c r="G723" s="92" t="inlineStr">
        <is>
          <t>가정변경-기타</t>
        </is>
      </c>
      <c r="H723" s="93" t="n">
        <v>0</v>
      </c>
      <c r="I723" s="93" t="n">
        <v>0</v>
      </c>
      <c r="J723" s="93" t="n">
        <v>0</v>
      </c>
      <c r="L723" s="9">
        <f>IF($A723="","",VALUE($A723&amp;"")*12+VALUE($B723&amp;""))</f>
        <v/>
      </c>
      <c r="M723" s="94">
        <f>IF($A723="",0,$H723*설정!$C$23)</f>
        <v/>
      </c>
      <c r="N723" s="94">
        <f>IF($A723="",0,$I723*설정!$C$23)</f>
        <v/>
      </c>
      <c r="O723" s="94">
        <f>IF($A723="",0,$J723*설정!$C$23)</f>
        <v/>
      </c>
      <c r="P723" s="64">
        <f>IF($A723="","",IFERROR(INDEX(입력옵션!$C$58:$C$68,MATCH($F723&amp;"",입력옵션!$E$58:$E$68,0)),IFERROR(INDEX(입력옵션!$C$58:$C$68,MATCH($G723&amp;"",입력옵션!$F$58:$F$68,0)),$F723&amp;"")))</f>
        <v/>
      </c>
    </row>
    <row r="724">
      <c r="A724" s="92" t="n">
        <v>2026</v>
      </c>
      <c r="B724" s="92" t="n">
        <v>5</v>
      </c>
      <c r="C724" s="92" t="inlineStr">
        <is>
          <t>PF02</t>
        </is>
      </c>
      <c r="D724" s="92" t="inlineStr">
        <is>
          <t>저축성</t>
        </is>
      </c>
      <c r="E724" s="92" t="inlineStr">
        <is>
          <t>GMM</t>
        </is>
      </c>
      <c r="F724" s="92" t="inlineStr">
        <is>
          <t>F31</t>
        </is>
      </c>
      <c r="G724" s="92" t="inlineStr">
        <is>
          <t>경험조정-취득현금흐름</t>
        </is>
      </c>
      <c r="H724" s="93" t="n">
        <v>0</v>
      </c>
      <c r="I724" s="93" t="n">
        <v>0</v>
      </c>
      <c r="J724" s="93" t="n">
        <v>-3394000</v>
      </c>
      <c r="L724" s="9">
        <f>IF($A724="","",VALUE($A724&amp;"")*12+VALUE($B724&amp;""))</f>
        <v/>
      </c>
      <c r="M724" s="94">
        <f>IF($A724="",0,$H724*설정!$C$23)</f>
        <v/>
      </c>
      <c r="N724" s="94">
        <f>IF($A724="",0,$I724*설정!$C$23)</f>
        <v/>
      </c>
      <c r="O724" s="94">
        <f>IF($A724="",0,$J724*설정!$C$23)</f>
        <v/>
      </c>
      <c r="P724" s="64">
        <f>IF($A724="","",IFERROR(INDEX(입력옵션!$C$58:$C$68,MATCH($F724&amp;"",입력옵션!$E$58:$E$68,0)),IFERROR(INDEX(입력옵션!$C$58:$C$68,MATCH($G724&amp;"",입력옵션!$F$58:$F$68,0)),$F724&amp;"")))</f>
        <v/>
      </c>
    </row>
    <row r="725">
      <c r="A725" s="92" t="n">
        <v>2026</v>
      </c>
      <c r="B725" s="92" t="n">
        <v>5</v>
      </c>
      <c r="C725" s="92" t="inlineStr">
        <is>
          <t>PF02</t>
        </is>
      </c>
      <c r="D725" s="92" t="inlineStr">
        <is>
          <t>저축성</t>
        </is>
      </c>
      <c r="E725" s="92" t="inlineStr">
        <is>
          <t>GMM</t>
        </is>
      </c>
      <c r="F725" s="92" t="inlineStr">
        <is>
          <t>F32</t>
        </is>
      </c>
      <c r="G725" s="92" t="inlineStr">
        <is>
          <t>경험조정-보험료 등</t>
        </is>
      </c>
      <c r="H725" s="93" t="n">
        <v>0</v>
      </c>
      <c r="I725" s="93" t="n">
        <v>0</v>
      </c>
      <c r="J725" s="93" t="n">
        <v>-224263000</v>
      </c>
      <c r="L725" s="9">
        <f>IF($A725="","",VALUE($A725&amp;"")*12+VALUE($B725&amp;""))</f>
        <v/>
      </c>
      <c r="M725" s="94">
        <f>IF($A725="",0,$H725*설정!$C$23)</f>
        <v/>
      </c>
      <c r="N725" s="94">
        <f>IF($A725="",0,$I725*설정!$C$23)</f>
        <v/>
      </c>
      <c r="O725" s="94">
        <f>IF($A725="",0,$J725*설정!$C$23)</f>
        <v/>
      </c>
      <c r="P725" s="64">
        <f>IF($A725="","",IFERROR(INDEX(입력옵션!$C$58:$C$68,MATCH($F725&amp;"",입력옵션!$E$58:$E$68,0)),IFERROR(INDEX(입력옵션!$C$58:$C$68,MATCH($G725&amp;"",입력옵션!$F$58:$F$68,0)),$F725&amp;"")))</f>
        <v/>
      </c>
    </row>
    <row r="726">
      <c r="A726" s="92" t="n">
        <v>2026</v>
      </c>
      <c r="B726" s="92" t="n">
        <v>5</v>
      </c>
      <c r="C726" s="92" t="inlineStr">
        <is>
          <t>PF02</t>
        </is>
      </c>
      <c r="D726" s="92" t="inlineStr">
        <is>
          <t>저축성</t>
        </is>
      </c>
      <c r="E726" s="92" t="inlineStr">
        <is>
          <t>GMM</t>
        </is>
      </c>
      <c r="F726" s="92" t="inlineStr">
        <is>
          <t>F40</t>
        </is>
      </c>
      <c r="G726" s="92" t="inlineStr">
        <is>
          <t>보험금융비용(이자부리)</t>
        </is>
      </c>
      <c r="H726" s="93" t="n">
        <v>1782333000</v>
      </c>
      <c r="I726" s="93" t="n">
        <v>60685000</v>
      </c>
      <c r="J726" s="93" t="n">
        <v>251205000</v>
      </c>
      <c r="L726" s="9">
        <f>IF($A726="","",VALUE($A726&amp;"")*12+VALUE($B726&amp;""))</f>
        <v/>
      </c>
      <c r="M726" s="94">
        <f>IF($A726="",0,$H726*설정!$C$23)</f>
        <v/>
      </c>
      <c r="N726" s="94">
        <f>IF($A726="",0,$I726*설정!$C$23)</f>
        <v/>
      </c>
      <c r="O726" s="94">
        <f>IF($A726="",0,$J726*설정!$C$23)</f>
        <v/>
      </c>
      <c r="P726" s="64">
        <f>IF($A726="","",IFERROR(INDEX(입력옵션!$C$58:$C$68,MATCH($F726&amp;"",입력옵션!$E$58:$E$68,0)),IFERROR(INDEX(입력옵션!$C$58:$C$68,MATCH($G726&amp;"",입력옵션!$F$58:$F$68,0)),$F726&amp;"")))</f>
        <v/>
      </c>
    </row>
    <row r="727">
      <c r="A727" s="92" t="n">
        <v>2026</v>
      </c>
      <c r="B727" s="92" t="n">
        <v>5</v>
      </c>
      <c r="C727" s="92" t="inlineStr">
        <is>
          <t>PF02</t>
        </is>
      </c>
      <c r="D727" s="92" t="inlineStr">
        <is>
          <t>저축성</t>
        </is>
      </c>
      <c r="E727" s="92" t="inlineStr">
        <is>
          <t>GMM</t>
        </is>
      </c>
      <c r="F727" s="92" t="inlineStr">
        <is>
          <t>F51</t>
        </is>
      </c>
      <c r="G727" s="92" t="inlineStr">
        <is>
          <t>CSM 상각</t>
        </is>
      </c>
      <c r="H727" s="93" t="n">
        <v>0</v>
      </c>
      <c r="I727" s="93" t="n">
        <v>0</v>
      </c>
      <c r="J727" s="93" t="n">
        <v>-904337000</v>
      </c>
      <c r="L727" s="9">
        <f>IF($A727="","",VALUE($A727&amp;"")*12+VALUE($B727&amp;""))</f>
        <v/>
      </c>
      <c r="M727" s="94">
        <f>IF($A727="",0,$H727*설정!$C$23)</f>
        <v/>
      </c>
      <c r="N727" s="94">
        <f>IF($A727="",0,$I727*설정!$C$23)</f>
        <v/>
      </c>
      <c r="O727" s="94">
        <f>IF($A727="",0,$J727*설정!$C$23)</f>
        <v/>
      </c>
      <c r="P727" s="64">
        <f>IF($A727="","",IFERROR(INDEX(입력옵션!$C$58:$C$68,MATCH($F727&amp;"",입력옵션!$E$58:$E$68,0)),IFERROR(INDEX(입력옵션!$C$58:$C$68,MATCH($G727&amp;"",입력옵션!$F$58:$F$68,0)),$F727&amp;"")))</f>
        <v/>
      </c>
    </row>
    <row r="728">
      <c r="A728" s="92" t="n">
        <v>2026</v>
      </c>
      <c r="B728" s="92" t="n">
        <v>5</v>
      </c>
      <c r="C728" s="92" t="inlineStr">
        <is>
          <t>PF02</t>
        </is>
      </c>
      <c r="D728" s="92" t="inlineStr">
        <is>
          <t>저축성</t>
        </is>
      </c>
      <c r="E728" s="92" t="inlineStr">
        <is>
          <t>GMM</t>
        </is>
      </c>
      <c r="F728" s="92" t="inlineStr">
        <is>
          <t>F52</t>
        </is>
      </c>
      <c r="G728" s="92" t="inlineStr">
        <is>
          <t>RA 해제</t>
        </is>
      </c>
      <c r="H728" s="93" t="n">
        <v>0</v>
      </c>
      <c r="I728" s="93" t="n">
        <v>-182056000</v>
      </c>
      <c r="J728" s="93" t="n">
        <v>0</v>
      </c>
      <c r="L728" s="9">
        <f>IF($A728="","",VALUE($A728&amp;"")*12+VALUE($B728&amp;""))</f>
        <v/>
      </c>
      <c r="M728" s="94">
        <f>IF($A728="",0,$H728*설정!$C$23)</f>
        <v/>
      </c>
      <c r="N728" s="94">
        <f>IF($A728="",0,$I728*설정!$C$23)</f>
        <v/>
      </c>
      <c r="O728" s="94">
        <f>IF($A728="",0,$J728*설정!$C$23)</f>
        <v/>
      </c>
      <c r="P728" s="64">
        <f>IF($A728="","",IFERROR(INDEX(입력옵션!$C$58:$C$68,MATCH($F728&amp;"",입력옵션!$E$58:$E$68,0)),IFERROR(INDEX(입력옵션!$C$58:$C$68,MATCH($G728&amp;"",입력옵션!$F$58:$F$68,0)),$F728&amp;"")))</f>
        <v/>
      </c>
    </row>
    <row r="729">
      <c r="A729" s="92" t="n">
        <v>2026</v>
      </c>
      <c r="B729" s="92" t="n">
        <v>5</v>
      </c>
      <c r="C729" s="92" t="inlineStr">
        <is>
          <t>PF02</t>
        </is>
      </c>
      <c r="D729" s="92" t="inlineStr">
        <is>
          <t>저축성</t>
        </is>
      </c>
      <c r="E729" s="92" t="inlineStr">
        <is>
          <t>GMM</t>
        </is>
      </c>
      <c r="F729" s="92" t="inlineStr">
        <is>
          <t>F60</t>
        </is>
      </c>
      <c r="G729" s="92" t="inlineStr">
        <is>
          <t>현금흐름 및 기타</t>
        </is>
      </c>
      <c r="H729" s="93" t="n">
        <v>1531740000</v>
      </c>
      <c r="I729" s="93" t="n">
        <v>-40361000</v>
      </c>
      <c r="J729" s="93" t="n">
        <v>0</v>
      </c>
      <c r="L729" s="9">
        <f>IF($A729="","",VALUE($A729&amp;"")*12+VALUE($B729&amp;""))</f>
        <v/>
      </c>
      <c r="M729" s="94">
        <f>IF($A729="",0,$H729*설정!$C$23)</f>
        <v/>
      </c>
      <c r="N729" s="94">
        <f>IF($A729="",0,$I729*설정!$C$23)</f>
        <v/>
      </c>
      <c r="O729" s="94">
        <f>IF($A729="",0,$J729*설정!$C$23)</f>
        <v/>
      </c>
      <c r="P729" s="64">
        <f>IF($A729="","",IFERROR(INDEX(입력옵션!$C$58:$C$68,MATCH($F729&amp;"",입력옵션!$E$58:$E$68,0)),IFERROR(INDEX(입력옵션!$C$58:$C$68,MATCH($G729&amp;"",입력옵션!$F$58:$F$68,0)),$F729&amp;"")))</f>
        <v/>
      </c>
    </row>
    <row r="730">
      <c r="A730" s="92" t="n">
        <v>2026</v>
      </c>
      <c r="B730" s="92" t="n">
        <v>5</v>
      </c>
      <c r="C730" s="92" t="inlineStr">
        <is>
          <t>PF02</t>
        </is>
      </c>
      <c r="D730" s="92" t="inlineStr">
        <is>
          <t>저축성</t>
        </is>
      </c>
      <c r="E730" s="92" t="inlineStr">
        <is>
          <t>GMM</t>
        </is>
      </c>
      <c r="F730" s="92" t="inlineStr">
        <is>
          <t>F99</t>
        </is>
      </c>
      <c r="G730" s="92" t="inlineStr">
        <is>
          <t>기말잔액</t>
        </is>
      </c>
      <c r="H730" s="93" t="n">
        <v>714887349000</v>
      </c>
      <c r="I730" s="93" t="n">
        <v>30452825000</v>
      </c>
      <c r="J730" s="93" t="n">
        <v>100688949000</v>
      </c>
      <c r="L730" s="9">
        <f>IF($A730="","",VALUE($A730&amp;"")*12+VALUE($B730&amp;""))</f>
        <v/>
      </c>
      <c r="M730" s="94">
        <f>IF($A730="",0,$H730*설정!$C$23)</f>
        <v/>
      </c>
      <c r="N730" s="94">
        <f>IF($A730="",0,$I730*설정!$C$23)</f>
        <v/>
      </c>
      <c r="O730" s="94">
        <f>IF($A730="",0,$J730*설정!$C$23)</f>
        <v/>
      </c>
      <c r="P730" s="64">
        <f>IF($A730="","",IFERROR(INDEX(입력옵션!$C$58:$C$68,MATCH($F730&amp;"",입력옵션!$E$58:$E$68,0)),IFERROR(INDEX(입력옵션!$C$58:$C$68,MATCH($G730&amp;"",입력옵션!$F$58:$F$68,0)),$F730&amp;"")))</f>
        <v/>
      </c>
    </row>
    <row r="731">
      <c r="A731" s="92" t="n">
        <v>2026</v>
      </c>
      <c r="B731" s="92" t="n">
        <v>5</v>
      </c>
      <c r="C731" s="92" t="inlineStr">
        <is>
          <t>PF03</t>
        </is>
      </c>
      <c r="D731" s="92" t="inlineStr">
        <is>
          <t>단체(단기)</t>
        </is>
      </c>
      <c r="E731" s="92" t="inlineStr">
        <is>
          <t>PAA</t>
        </is>
      </c>
      <c r="F731" s="92" t="inlineStr">
        <is>
          <t>F00</t>
        </is>
      </c>
      <c r="G731" s="92" t="inlineStr">
        <is>
          <t>기초잔액</t>
        </is>
      </c>
      <c r="H731" s="93" t="n">
        <v>43208064000</v>
      </c>
      <c r="I731" s="93" t="n">
        <v>2427408000</v>
      </c>
      <c r="J731" s="93" t="n">
        <v>0</v>
      </c>
      <c r="L731" s="9">
        <f>IF($A731="","",VALUE($A731&amp;"")*12+VALUE($B731&amp;""))</f>
        <v/>
      </c>
      <c r="M731" s="94">
        <f>IF($A731="",0,$H731*설정!$C$23)</f>
        <v/>
      </c>
      <c r="N731" s="94">
        <f>IF($A731="",0,$I731*설정!$C$23)</f>
        <v/>
      </c>
      <c r="O731" s="94">
        <f>IF($A731="",0,$J731*설정!$C$23)</f>
        <v/>
      </c>
      <c r="P731" s="64">
        <f>IF($A731="","",IFERROR(INDEX(입력옵션!$C$58:$C$68,MATCH($F731&amp;"",입력옵션!$E$58:$E$68,0)),IFERROR(INDEX(입력옵션!$C$58:$C$68,MATCH($G731&amp;"",입력옵션!$F$58:$F$68,0)),$F731&amp;"")))</f>
        <v/>
      </c>
    </row>
    <row r="732">
      <c r="A732" s="92" t="n">
        <v>2026</v>
      </c>
      <c r="B732" s="92" t="n">
        <v>5</v>
      </c>
      <c r="C732" s="92" t="inlineStr">
        <is>
          <t>PF03</t>
        </is>
      </c>
      <c r="D732" s="92" t="inlineStr">
        <is>
          <t>단체(단기)</t>
        </is>
      </c>
      <c r="E732" s="92" t="inlineStr">
        <is>
          <t>PAA</t>
        </is>
      </c>
      <c r="F732" s="92" t="inlineStr">
        <is>
          <t>F10</t>
        </is>
      </c>
      <c r="G732" s="92" t="inlineStr">
        <is>
          <t>신계약 효과</t>
        </is>
      </c>
      <c r="H732" s="93" t="n">
        <v>0</v>
      </c>
      <c r="I732" s="93" t="n">
        <v>0</v>
      </c>
      <c r="J732" s="93" t="n">
        <v>0</v>
      </c>
      <c r="L732" s="9">
        <f>IF($A732="","",VALUE($A732&amp;"")*12+VALUE($B732&amp;""))</f>
        <v/>
      </c>
      <c r="M732" s="94">
        <f>IF($A732="",0,$H732*설정!$C$23)</f>
        <v/>
      </c>
      <c r="N732" s="94">
        <f>IF($A732="",0,$I732*설정!$C$23)</f>
        <v/>
      </c>
      <c r="O732" s="94">
        <f>IF($A732="",0,$J732*설정!$C$23)</f>
        <v/>
      </c>
      <c r="P732" s="64">
        <f>IF($A732="","",IFERROR(INDEX(입력옵션!$C$58:$C$68,MATCH($F732&amp;"",입력옵션!$E$58:$E$68,0)),IFERROR(INDEX(입력옵션!$C$58:$C$68,MATCH($G732&amp;"",입력옵션!$F$58:$F$68,0)),$F732&amp;"")))</f>
        <v/>
      </c>
    </row>
    <row r="733">
      <c r="A733" s="92" t="n">
        <v>2026</v>
      </c>
      <c r="B733" s="92" t="n">
        <v>5</v>
      </c>
      <c r="C733" s="92" t="inlineStr">
        <is>
          <t>PF03</t>
        </is>
      </c>
      <c r="D733" s="92" t="inlineStr">
        <is>
          <t>단체(단기)</t>
        </is>
      </c>
      <c r="E733" s="92" t="inlineStr">
        <is>
          <t>PAA</t>
        </is>
      </c>
      <c r="F733" s="92" t="inlineStr">
        <is>
          <t>F21</t>
        </is>
      </c>
      <c r="G733" s="92" t="inlineStr">
        <is>
          <t>가정변경-사업비</t>
        </is>
      </c>
      <c r="H733" s="93" t="n">
        <v>0</v>
      </c>
      <c r="I733" s="93" t="n">
        <v>0</v>
      </c>
      <c r="J733" s="93" t="n">
        <v>0</v>
      </c>
      <c r="L733" s="9">
        <f>IF($A733="","",VALUE($A733&amp;"")*12+VALUE($B733&amp;""))</f>
        <v/>
      </c>
      <c r="M733" s="94">
        <f>IF($A733="",0,$H733*설정!$C$23)</f>
        <v/>
      </c>
      <c r="N733" s="94">
        <f>IF($A733="",0,$I733*설정!$C$23)</f>
        <v/>
      </c>
      <c r="O733" s="94">
        <f>IF($A733="",0,$J733*설정!$C$23)</f>
        <v/>
      </c>
      <c r="P733" s="64">
        <f>IF($A733="","",IFERROR(INDEX(입력옵션!$C$58:$C$68,MATCH($F733&amp;"",입력옵션!$E$58:$E$68,0)),IFERROR(INDEX(입력옵션!$C$58:$C$68,MATCH($G733&amp;"",입력옵션!$F$58:$F$68,0)),$F733&amp;"")))</f>
        <v/>
      </c>
    </row>
    <row r="734">
      <c r="A734" s="92" t="n">
        <v>2026</v>
      </c>
      <c r="B734" s="92" t="n">
        <v>5</v>
      </c>
      <c r="C734" s="92" t="inlineStr">
        <is>
          <t>PF03</t>
        </is>
      </c>
      <c r="D734" s="92" t="inlineStr">
        <is>
          <t>단체(단기)</t>
        </is>
      </c>
      <c r="E734" s="92" t="inlineStr">
        <is>
          <t>PAA</t>
        </is>
      </c>
      <c r="F734" s="92" t="inlineStr">
        <is>
          <t>F22</t>
        </is>
      </c>
      <c r="G734" s="92" t="inlineStr">
        <is>
          <t>가정변경-기타</t>
        </is>
      </c>
      <c r="H734" s="93" t="n">
        <v>0</v>
      </c>
      <c r="I734" s="93" t="n">
        <v>0</v>
      </c>
      <c r="J734" s="93" t="n">
        <v>0</v>
      </c>
      <c r="L734" s="9">
        <f>IF($A734="","",VALUE($A734&amp;"")*12+VALUE($B734&amp;""))</f>
        <v/>
      </c>
      <c r="M734" s="94">
        <f>IF($A734="",0,$H734*설정!$C$23)</f>
        <v/>
      </c>
      <c r="N734" s="94">
        <f>IF($A734="",0,$I734*설정!$C$23)</f>
        <v/>
      </c>
      <c r="O734" s="94">
        <f>IF($A734="",0,$J734*설정!$C$23)</f>
        <v/>
      </c>
      <c r="P734" s="64">
        <f>IF($A734="","",IFERROR(INDEX(입력옵션!$C$58:$C$68,MATCH($F734&amp;"",입력옵션!$E$58:$E$68,0)),IFERROR(INDEX(입력옵션!$C$58:$C$68,MATCH($G734&amp;"",입력옵션!$F$58:$F$68,0)),$F734&amp;"")))</f>
        <v/>
      </c>
    </row>
    <row r="735">
      <c r="A735" s="92" t="n">
        <v>2026</v>
      </c>
      <c r="B735" s="92" t="n">
        <v>5</v>
      </c>
      <c r="C735" s="92" t="inlineStr">
        <is>
          <t>PF03</t>
        </is>
      </c>
      <c r="D735" s="92" t="inlineStr">
        <is>
          <t>단체(단기)</t>
        </is>
      </c>
      <c r="E735" s="92" t="inlineStr">
        <is>
          <t>PAA</t>
        </is>
      </c>
      <c r="F735" s="92" t="inlineStr">
        <is>
          <t>F31</t>
        </is>
      </c>
      <c r="G735" s="92" t="inlineStr">
        <is>
          <t>경험조정-취득현금흐름</t>
        </is>
      </c>
      <c r="H735" s="93" t="n">
        <v>0</v>
      </c>
      <c r="I735" s="93" t="n">
        <v>0</v>
      </c>
      <c r="J735" s="93" t="n">
        <v>0</v>
      </c>
      <c r="L735" s="9">
        <f>IF($A735="","",VALUE($A735&amp;"")*12+VALUE($B735&amp;""))</f>
        <v/>
      </c>
      <c r="M735" s="94">
        <f>IF($A735="",0,$H735*설정!$C$23)</f>
        <v/>
      </c>
      <c r="N735" s="94">
        <f>IF($A735="",0,$I735*설정!$C$23)</f>
        <v/>
      </c>
      <c r="O735" s="94">
        <f>IF($A735="",0,$J735*설정!$C$23)</f>
        <v/>
      </c>
      <c r="P735" s="64">
        <f>IF($A735="","",IFERROR(INDEX(입력옵션!$C$58:$C$68,MATCH($F735&amp;"",입력옵션!$E$58:$E$68,0)),IFERROR(INDEX(입력옵션!$C$58:$C$68,MATCH($G735&amp;"",입력옵션!$F$58:$F$68,0)),$F735&amp;"")))</f>
        <v/>
      </c>
    </row>
    <row r="736">
      <c r="A736" s="92" t="n">
        <v>2026</v>
      </c>
      <c r="B736" s="92" t="n">
        <v>5</v>
      </c>
      <c r="C736" s="92" t="inlineStr">
        <is>
          <t>PF03</t>
        </is>
      </c>
      <c r="D736" s="92" t="inlineStr">
        <is>
          <t>단체(단기)</t>
        </is>
      </c>
      <c r="E736" s="92" t="inlineStr">
        <is>
          <t>PAA</t>
        </is>
      </c>
      <c r="F736" s="92" t="inlineStr">
        <is>
          <t>F32</t>
        </is>
      </c>
      <c r="G736" s="92" t="inlineStr">
        <is>
          <t>경험조정-보험료 등</t>
        </is>
      </c>
      <c r="H736" s="93" t="n">
        <v>0</v>
      </c>
      <c r="I736" s="93" t="n">
        <v>0</v>
      </c>
      <c r="J736" s="93" t="n">
        <v>0</v>
      </c>
      <c r="L736" s="9">
        <f>IF($A736="","",VALUE($A736&amp;"")*12+VALUE($B736&amp;""))</f>
        <v/>
      </c>
      <c r="M736" s="94">
        <f>IF($A736="",0,$H736*설정!$C$23)</f>
        <v/>
      </c>
      <c r="N736" s="94">
        <f>IF($A736="",0,$I736*설정!$C$23)</f>
        <v/>
      </c>
      <c r="O736" s="94">
        <f>IF($A736="",0,$J736*설정!$C$23)</f>
        <v/>
      </c>
      <c r="P736" s="64">
        <f>IF($A736="","",IFERROR(INDEX(입력옵션!$C$58:$C$68,MATCH($F736&amp;"",입력옵션!$E$58:$E$68,0)),IFERROR(INDEX(입력옵션!$C$58:$C$68,MATCH($G736&amp;"",입력옵션!$F$58:$F$68,0)),$F736&amp;"")))</f>
        <v/>
      </c>
    </row>
    <row r="737">
      <c r="A737" s="92" t="n">
        <v>2026</v>
      </c>
      <c r="B737" s="92" t="n">
        <v>5</v>
      </c>
      <c r="C737" s="92" t="inlineStr">
        <is>
          <t>PF03</t>
        </is>
      </c>
      <c r="D737" s="92" t="inlineStr">
        <is>
          <t>단체(단기)</t>
        </is>
      </c>
      <c r="E737" s="92" t="inlineStr">
        <is>
          <t>PAA</t>
        </is>
      </c>
      <c r="F737" s="92" t="inlineStr">
        <is>
          <t>F40</t>
        </is>
      </c>
      <c r="G737" s="92" t="inlineStr">
        <is>
          <t>보험금융비용(이자부리)</t>
        </is>
      </c>
      <c r="H737" s="93" t="n">
        <v>0</v>
      </c>
      <c r="I737" s="93" t="n">
        <v>0</v>
      </c>
      <c r="J737" s="93" t="n">
        <v>0</v>
      </c>
      <c r="L737" s="9">
        <f>IF($A737="","",VALUE($A737&amp;"")*12+VALUE($B737&amp;""))</f>
        <v/>
      </c>
      <c r="M737" s="94">
        <f>IF($A737="",0,$H737*설정!$C$23)</f>
        <v/>
      </c>
      <c r="N737" s="94">
        <f>IF($A737="",0,$I737*설정!$C$23)</f>
        <v/>
      </c>
      <c r="O737" s="94">
        <f>IF($A737="",0,$J737*설정!$C$23)</f>
        <v/>
      </c>
      <c r="P737" s="64">
        <f>IF($A737="","",IFERROR(INDEX(입력옵션!$C$58:$C$68,MATCH($F737&amp;"",입력옵션!$E$58:$E$68,0)),IFERROR(INDEX(입력옵션!$C$58:$C$68,MATCH($G737&amp;"",입력옵션!$F$58:$F$68,0)),$F737&amp;"")))</f>
        <v/>
      </c>
    </row>
    <row r="738">
      <c r="A738" s="92" t="n">
        <v>2026</v>
      </c>
      <c r="B738" s="92" t="n">
        <v>5</v>
      </c>
      <c r="C738" s="92" t="inlineStr">
        <is>
          <t>PF03</t>
        </is>
      </c>
      <c r="D738" s="92" t="inlineStr">
        <is>
          <t>단체(단기)</t>
        </is>
      </c>
      <c r="E738" s="92" t="inlineStr">
        <is>
          <t>PAA</t>
        </is>
      </c>
      <c r="F738" s="92" t="inlineStr">
        <is>
          <t>F51</t>
        </is>
      </c>
      <c r="G738" s="92" t="inlineStr">
        <is>
          <t>CSM 상각</t>
        </is>
      </c>
      <c r="H738" s="93" t="n">
        <v>0</v>
      </c>
      <c r="I738" s="93" t="n">
        <v>0</v>
      </c>
      <c r="J738" s="93" t="n">
        <v>0</v>
      </c>
      <c r="L738" s="9">
        <f>IF($A738="","",VALUE($A738&amp;"")*12+VALUE($B738&amp;""))</f>
        <v/>
      </c>
      <c r="M738" s="94">
        <f>IF($A738="",0,$H738*설정!$C$23)</f>
        <v/>
      </c>
      <c r="N738" s="94">
        <f>IF($A738="",0,$I738*설정!$C$23)</f>
        <v/>
      </c>
      <c r="O738" s="94">
        <f>IF($A738="",0,$J738*설정!$C$23)</f>
        <v/>
      </c>
      <c r="P738" s="64">
        <f>IF($A738="","",IFERROR(INDEX(입력옵션!$C$58:$C$68,MATCH($F738&amp;"",입력옵션!$E$58:$E$68,0)),IFERROR(INDEX(입력옵션!$C$58:$C$68,MATCH($G738&amp;"",입력옵션!$F$58:$F$68,0)),$F738&amp;"")))</f>
        <v/>
      </c>
    </row>
    <row r="739">
      <c r="A739" s="92" t="n">
        <v>2026</v>
      </c>
      <c r="B739" s="92" t="n">
        <v>5</v>
      </c>
      <c r="C739" s="92" t="inlineStr">
        <is>
          <t>PF03</t>
        </is>
      </c>
      <c r="D739" s="92" t="inlineStr">
        <is>
          <t>단체(단기)</t>
        </is>
      </c>
      <c r="E739" s="92" t="inlineStr">
        <is>
          <t>PAA</t>
        </is>
      </c>
      <c r="F739" s="92" t="inlineStr">
        <is>
          <t>F52</t>
        </is>
      </c>
      <c r="G739" s="92" t="inlineStr">
        <is>
          <t>RA 해제</t>
        </is>
      </c>
      <c r="H739" s="93" t="n">
        <v>0</v>
      </c>
      <c r="I739" s="93" t="n">
        <v>-14564000</v>
      </c>
      <c r="J739" s="93" t="n">
        <v>0</v>
      </c>
      <c r="L739" s="9">
        <f>IF($A739="","",VALUE($A739&amp;"")*12+VALUE($B739&amp;""))</f>
        <v/>
      </c>
      <c r="M739" s="94">
        <f>IF($A739="",0,$H739*설정!$C$23)</f>
        <v/>
      </c>
      <c r="N739" s="94">
        <f>IF($A739="",0,$I739*설정!$C$23)</f>
        <v/>
      </c>
      <c r="O739" s="94">
        <f>IF($A739="",0,$J739*설정!$C$23)</f>
        <v/>
      </c>
      <c r="P739" s="64">
        <f>IF($A739="","",IFERROR(INDEX(입력옵션!$C$58:$C$68,MATCH($F739&amp;"",입력옵션!$E$58:$E$68,0)),IFERROR(INDEX(입력옵션!$C$58:$C$68,MATCH($G739&amp;"",입력옵션!$F$58:$F$68,0)),$F739&amp;"")))</f>
        <v/>
      </c>
    </row>
    <row r="740">
      <c r="A740" s="92" t="n">
        <v>2026</v>
      </c>
      <c r="B740" s="92" t="n">
        <v>5</v>
      </c>
      <c r="C740" s="92" t="inlineStr">
        <is>
          <t>PF03</t>
        </is>
      </c>
      <c r="D740" s="92" t="inlineStr">
        <is>
          <t>단체(단기)</t>
        </is>
      </c>
      <c r="E740" s="92" t="inlineStr">
        <is>
          <t>PAA</t>
        </is>
      </c>
      <c r="F740" s="92" t="inlineStr">
        <is>
          <t>F60</t>
        </is>
      </c>
      <c r="G740" s="92" t="inlineStr">
        <is>
          <t>현금흐름 및 기타</t>
        </is>
      </c>
      <c r="H740" s="93" t="n">
        <v>118442000</v>
      </c>
      <c r="I740" s="93" t="n">
        <v>23382000</v>
      </c>
      <c r="J740" s="93" t="n">
        <v>0</v>
      </c>
      <c r="L740" s="9">
        <f>IF($A740="","",VALUE($A740&amp;"")*12+VALUE($B740&amp;""))</f>
        <v/>
      </c>
      <c r="M740" s="94">
        <f>IF($A740="",0,$H740*설정!$C$23)</f>
        <v/>
      </c>
      <c r="N740" s="94">
        <f>IF($A740="",0,$I740*설정!$C$23)</f>
        <v/>
      </c>
      <c r="O740" s="94">
        <f>IF($A740="",0,$J740*설정!$C$23)</f>
        <v/>
      </c>
      <c r="P740" s="64">
        <f>IF($A740="","",IFERROR(INDEX(입력옵션!$C$58:$C$68,MATCH($F740&amp;"",입력옵션!$E$58:$E$68,0)),IFERROR(INDEX(입력옵션!$C$58:$C$68,MATCH($G740&amp;"",입력옵션!$F$58:$F$68,0)),$F740&amp;"")))</f>
        <v/>
      </c>
    </row>
    <row r="741">
      <c r="A741" s="92" t="n">
        <v>2026</v>
      </c>
      <c r="B741" s="92" t="n">
        <v>5</v>
      </c>
      <c r="C741" s="92" t="inlineStr">
        <is>
          <t>PF03</t>
        </is>
      </c>
      <c r="D741" s="92" t="inlineStr">
        <is>
          <t>단체(단기)</t>
        </is>
      </c>
      <c r="E741" s="92" t="inlineStr">
        <is>
          <t>PAA</t>
        </is>
      </c>
      <c r="F741" s="92" t="inlineStr">
        <is>
          <t>F99</t>
        </is>
      </c>
      <c r="G741" s="92" t="inlineStr">
        <is>
          <t>기말잔액</t>
        </is>
      </c>
      <c r="H741" s="93" t="n">
        <v>43326506000</v>
      </c>
      <c r="I741" s="93" t="n">
        <v>2436226000</v>
      </c>
      <c r="J741" s="93" t="n">
        <v>0</v>
      </c>
      <c r="L741" s="9">
        <f>IF($A741="","",VALUE($A741&amp;"")*12+VALUE($B741&amp;""))</f>
        <v/>
      </c>
      <c r="M741" s="94">
        <f>IF($A741="",0,$H741*설정!$C$23)</f>
        <v/>
      </c>
      <c r="N741" s="94">
        <f>IF($A741="",0,$I741*설정!$C$23)</f>
        <v/>
      </c>
      <c r="O741" s="94">
        <f>IF($A741="",0,$J741*설정!$C$23)</f>
        <v/>
      </c>
      <c r="P741" s="64">
        <f>IF($A741="","",IFERROR(INDEX(입력옵션!$C$58:$C$68,MATCH($F741&amp;"",입력옵션!$E$58:$E$68,0)),IFERROR(INDEX(입력옵션!$C$58:$C$68,MATCH($G741&amp;"",입력옵션!$F$58:$F$68,0)),$F741&amp;"")))</f>
        <v/>
      </c>
    </row>
    <row r="742">
      <c r="A742" s="92" t="n">
        <v>2026</v>
      </c>
      <c r="B742" s="92" t="n">
        <v>5</v>
      </c>
      <c r="C742" s="92" t="inlineStr">
        <is>
          <t>PF04</t>
        </is>
      </c>
      <c r="D742" s="92" t="inlineStr">
        <is>
          <t>변액</t>
        </is>
      </c>
      <c r="E742" s="92" t="inlineStr">
        <is>
          <t>VFA</t>
        </is>
      </c>
      <c r="F742" s="92" t="inlineStr">
        <is>
          <t>F00</t>
        </is>
      </c>
      <c r="G742" s="92" t="inlineStr">
        <is>
          <t>기초잔액</t>
        </is>
      </c>
      <c r="H742" s="93" t="n">
        <v>324060480000</v>
      </c>
      <c r="I742" s="93" t="n">
        <v>15778152000</v>
      </c>
      <c r="J742" s="93" t="n">
        <v>52329351000</v>
      </c>
      <c r="L742" s="9">
        <f>IF($A742="","",VALUE($A742&amp;"")*12+VALUE($B742&amp;""))</f>
        <v/>
      </c>
      <c r="M742" s="94">
        <f>IF($A742="",0,$H742*설정!$C$23)</f>
        <v/>
      </c>
      <c r="N742" s="94">
        <f>IF($A742="",0,$I742*설정!$C$23)</f>
        <v/>
      </c>
      <c r="O742" s="94">
        <f>IF($A742="",0,$J742*설정!$C$23)</f>
        <v/>
      </c>
      <c r="P742" s="64">
        <f>IF($A742="","",IFERROR(INDEX(입력옵션!$C$58:$C$68,MATCH($F742&amp;"",입력옵션!$E$58:$E$68,0)),IFERROR(INDEX(입력옵션!$C$58:$C$68,MATCH($G742&amp;"",입력옵션!$F$58:$F$68,0)),$F742&amp;"")))</f>
        <v/>
      </c>
    </row>
    <row r="743">
      <c r="A743" s="92" t="n">
        <v>2026</v>
      </c>
      <c r="B743" s="92" t="n">
        <v>5</v>
      </c>
      <c r="C743" s="92" t="inlineStr">
        <is>
          <t>PF04</t>
        </is>
      </c>
      <c r="D743" s="92" t="inlineStr">
        <is>
          <t>변액</t>
        </is>
      </c>
      <c r="E743" s="92" t="inlineStr">
        <is>
          <t>VFA</t>
        </is>
      </c>
      <c r="F743" s="92" t="inlineStr">
        <is>
          <t>F10</t>
        </is>
      </c>
      <c r="G743" s="92" t="inlineStr">
        <is>
          <t>신계약 효과</t>
        </is>
      </c>
      <c r="H743" s="93" t="n">
        <v>-707086000</v>
      </c>
      <c r="I743" s="93" t="n">
        <v>141417000</v>
      </c>
      <c r="J743" s="93" t="n">
        <v>565668000</v>
      </c>
      <c r="L743" s="9">
        <f>IF($A743="","",VALUE($A743&amp;"")*12+VALUE($B743&amp;""))</f>
        <v/>
      </c>
      <c r="M743" s="94">
        <f>IF($A743="",0,$H743*설정!$C$23)</f>
        <v/>
      </c>
      <c r="N743" s="94">
        <f>IF($A743="",0,$I743*설정!$C$23)</f>
        <v/>
      </c>
      <c r="O743" s="94">
        <f>IF($A743="",0,$J743*설정!$C$23)</f>
        <v/>
      </c>
      <c r="P743" s="64">
        <f>IF($A743="","",IFERROR(INDEX(입력옵션!$C$58:$C$68,MATCH($F743&amp;"",입력옵션!$E$58:$E$68,0)),IFERROR(INDEX(입력옵션!$C$58:$C$68,MATCH($G743&amp;"",입력옵션!$F$58:$F$68,0)),$F743&amp;"")))</f>
        <v/>
      </c>
    </row>
    <row r="744">
      <c r="A744" s="92" t="n">
        <v>2026</v>
      </c>
      <c r="B744" s="92" t="n">
        <v>5</v>
      </c>
      <c r="C744" s="92" t="inlineStr">
        <is>
          <t>PF04</t>
        </is>
      </c>
      <c r="D744" s="92" t="inlineStr">
        <is>
          <t>변액</t>
        </is>
      </c>
      <c r="E744" s="92" t="inlineStr">
        <is>
          <t>VFA</t>
        </is>
      </c>
      <c r="F744" s="92" t="inlineStr">
        <is>
          <t>F21</t>
        </is>
      </c>
      <c r="G744" s="92" t="inlineStr">
        <is>
          <t>가정변경-사업비</t>
        </is>
      </c>
      <c r="H744" s="93" t="n">
        <v>0</v>
      </c>
      <c r="I744" s="93" t="n">
        <v>0</v>
      </c>
      <c r="J744" s="93" t="n">
        <v>0</v>
      </c>
      <c r="L744" s="9">
        <f>IF($A744="","",VALUE($A744&amp;"")*12+VALUE($B744&amp;""))</f>
        <v/>
      </c>
      <c r="M744" s="94">
        <f>IF($A744="",0,$H744*설정!$C$23)</f>
        <v/>
      </c>
      <c r="N744" s="94">
        <f>IF($A744="",0,$I744*설정!$C$23)</f>
        <v/>
      </c>
      <c r="O744" s="94">
        <f>IF($A744="",0,$J744*설정!$C$23)</f>
        <v/>
      </c>
      <c r="P744" s="64">
        <f>IF($A744="","",IFERROR(INDEX(입력옵션!$C$58:$C$68,MATCH($F744&amp;"",입력옵션!$E$58:$E$68,0)),IFERROR(INDEX(입력옵션!$C$58:$C$68,MATCH($G744&amp;"",입력옵션!$F$58:$F$68,0)),$F744&amp;"")))</f>
        <v/>
      </c>
    </row>
    <row r="745">
      <c r="A745" s="92" t="n">
        <v>2026</v>
      </c>
      <c r="B745" s="92" t="n">
        <v>5</v>
      </c>
      <c r="C745" s="92" t="inlineStr">
        <is>
          <t>PF04</t>
        </is>
      </c>
      <c r="D745" s="92" t="inlineStr">
        <is>
          <t>변액</t>
        </is>
      </c>
      <c r="E745" s="92" t="inlineStr">
        <is>
          <t>VFA</t>
        </is>
      </c>
      <c r="F745" s="92" t="inlineStr">
        <is>
          <t>F22</t>
        </is>
      </c>
      <c r="G745" s="92" t="inlineStr">
        <is>
          <t>가정변경-기타</t>
        </is>
      </c>
      <c r="H745" s="93" t="n">
        <v>0</v>
      </c>
      <c r="I745" s="93" t="n">
        <v>0</v>
      </c>
      <c r="J745" s="93" t="n">
        <v>0</v>
      </c>
      <c r="L745" s="9">
        <f>IF($A745="","",VALUE($A745&amp;"")*12+VALUE($B745&amp;""))</f>
        <v/>
      </c>
      <c r="M745" s="94">
        <f>IF($A745="",0,$H745*설정!$C$23)</f>
        <v/>
      </c>
      <c r="N745" s="94">
        <f>IF($A745="",0,$I745*설정!$C$23)</f>
        <v/>
      </c>
      <c r="O745" s="94">
        <f>IF($A745="",0,$J745*설정!$C$23)</f>
        <v/>
      </c>
      <c r="P745" s="64">
        <f>IF($A745="","",IFERROR(INDEX(입력옵션!$C$58:$C$68,MATCH($F745&amp;"",입력옵션!$E$58:$E$68,0)),IFERROR(INDEX(입력옵션!$C$58:$C$68,MATCH($G745&amp;"",입력옵션!$F$58:$F$68,0)),$F745&amp;"")))</f>
        <v/>
      </c>
    </row>
    <row r="746">
      <c r="A746" s="92" t="n">
        <v>2026</v>
      </c>
      <c r="B746" s="92" t="n">
        <v>5</v>
      </c>
      <c r="C746" s="92" t="inlineStr">
        <is>
          <t>PF04</t>
        </is>
      </c>
      <c r="D746" s="92" t="inlineStr">
        <is>
          <t>변액</t>
        </is>
      </c>
      <c r="E746" s="92" t="inlineStr">
        <is>
          <t>VFA</t>
        </is>
      </c>
      <c r="F746" s="92" t="inlineStr">
        <is>
          <t>F31</t>
        </is>
      </c>
      <c r="G746" s="92" t="inlineStr">
        <is>
          <t>경험조정-취득현금흐름</t>
        </is>
      </c>
      <c r="H746" s="93" t="n">
        <v>0</v>
      </c>
      <c r="I746" s="93" t="n">
        <v>0</v>
      </c>
      <c r="J746" s="93" t="n">
        <v>-4623000</v>
      </c>
      <c r="L746" s="9">
        <f>IF($A746="","",VALUE($A746&amp;"")*12+VALUE($B746&amp;""))</f>
        <v/>
      </c>
      <c r="M746" s="94">
        <f>IF($A746="",0,$H746*설정!$C$23)</f>
        <v/>
      </c>
      <c r="N746" s="94">
        <f>IF($A746="",0,$I746*설정!$C$23)</f>
        <v/>
      </c>
      <c r="O746" s="94">
        <f>IF($A746="",0,$J746*설정!$C$23)</f>
        <v/>
      </c>
      <c r="P746" s="64">
        <f>IF($A746="","",IFERROR(INDEX(입력옵션!$C$58:$C$68,MATCH($F746&amp;"",입력옵션!$E$58:$E$68,0)),IFERROR(INDEX(입력옵션!$C$58:$C$68,MATCH($G746&amp;"",입력옵션!$F$58:$F$68,0)),$F746&amp;"")))</f>
        <v/>
      </c>
    </row>
    <row r="747">
      <c r="A747" s="92" t="n">
        <v>2026</v>
      </c>
      <c r="B747" s="92" t="n">
        <v>5</v>
      </c>
      <c r="C747" s="92" t="inlineStr">
        <is>
          <t>PF04</t>
        </is>
      </c>
      <c r="D747" s="92" t="inlineStr">
        <is>
          <t>변액</t>
        </is>
      </c>
      <c r="E747" s="92" t="inlineStr">
        <is>
          <t>VFA</t>
        </is>
      </c>
      <c r="F747" s="92" t="inlineStr">
        <is>
          <t>F32</t>
        </is>
      </c>
      <c r="G747" s="92" t="inlineStr">
        <is>
          <t>경험조정-보험료 등</t>
        </is>
      </c>
      <c r="H747" s="93" t="n">
        <v>0</v>
      </c>
      <c r="I747" s="93" t="n">
        <v>0</v>
      </c>
      <c r="J747" s="93" t="n">
        <v>90944000</v>
      </c>
      <c r="L747" s="9">
        <f>IF($A747="","",VALUE($A747&amp;"")*12+VALUE($B747&amp;""))</f>
        <v/>
      </c>
      <c r="M747" s="94">
        <f>IF($A747="",0,$H747*설정!$C$23)</f>
        <v/>
      </c>
      <c r="N747" s="94">
        <f>IF($A747="",0,$I747*설정!$C$23)</f>
        <v/>
      </c>
      <c r="O747" s="94">
        <f>IF($A747="",0,$J747*설정!$C$23)</f>
        <v/>
      </c>
      <c r="P747" s="64">
        <f>IF($A747="","",IFERROR(INDEX(입력옵션!$C$58:$C$68,MATCH($F747&amp;"",입력옵션!$E$58:$E$68,0)),IFERROR(INDEX(입력옵션!$C$58:$C$68,MATCH($G747&amp;"",입력옵션!$F$58:$F$68,0)),$F747&amp;"")))</f>
        <v/>
      </c>
    </row>
    <row r="748">
      <c r="A748" s="92" t="n">
        <v>2026</v>
      </c>
      <c r="B748" s="92" t="n">
        <v>5</v>
      </c>
      <c r="C748" s="92" t="inlineStr">
        <is>
          <t>PF04</t>
        </is>
      </c>
      <c r="D748" s="92" t="inlineStr">
        <is>
          <t>변액</t>
        </is>
      </c>
      <c r="E748" s="92" t="inlineStr">
        <is>
          <t>VFA</t>
        </is>
      </c>
      <c r="F748" s="92" t="inlineStr">
        <is>
          <t>F40</t>
        </is>
      </c>
      <c r="G748" s="92" t="inlineStr">
        <is>
          <t>보험금융비용(이자부리)</t>
        </is>
      </c>
      <c r="H748" s="93" t="n">
        <v>810151000</v>
      </c>
      <c r="I748" s="93" t="n">
        <v>31556000</v>
      </c>
      <c r="J748" s="93" t="n">
        <v>130823000</v>
      </c>
      <c r="L748" s="9">
        <f>IF($A748="","",VALUE($A748&amp;"")*12+VALUE($B748&amp;""))</f>
        <v/>
      </c>
      <c r="M748" s="94">
        <f>IF($A748="",0,$H748*설정!$C$23)</f>
        <v/>
      </c>
      <c r="N748" s="94">
        <f>IF($A748="",0,$I748*설정!$C$23)</f>
        <v/>
      </c>
      <c r="O748" s="94">
        <f>IF($A748="",0,$J748*설정!$C$23)</f>
        <v/>
      </c>
      <c r="P748" s="64">
        <f>IF($A748="","",IFERROR(INDEX(입력옵션!$C$58:$C$68,MATCH($F748&amp;"",입력옵션!$E$58:$E$68,0)),IFERROR(INDEX(입력옵션!$C$58:$C$68,MATCH($G748&amp;"",입력옵션!$F$58:$F$68,0)),$F748&amp;"")))</f>
        <v/>
      </c>
    </row>
    <row r="749">
      <c r="A749" s="92" t="n">
        <v>2026</v>
      </c>
      <c r="B749" s="92" t="n">
        <v>5</v>
      </c>
      <c r="C749" s="92" t="inlineStr">
        <is>
          <t>PF04</t>
        </is>
      </c>
      <c r="D749" s="92" t="inlineStr">
        <is>
          <t>변액</t>
        </is>
      </c>
      <c r="E749" s="92" t="inlineStr">
        <is>
          <t>VFA</t>
        </is>
      </c>
      <c r="F749" s="92" t="inlineStr">
        <is>
          <t>F51</t>
        </is>
      </c>
      <c r="G749" s="92" t="inlineStr">
        <is>
          <t>CSM 상각</t>
        </is>
      </c>
      <c r="H749" s="93" t="n">
        <v>0</v>
      </c>
      <c r="I749" s="93" t="n">
        <v>0</v>
      </c>
      <c r="J749" s="93" t="n">
        <v>-470964000</v>
      </c>
      <c r="L749" s="9">
        <f>IF($A749="","",VALUE($A749&amp;"")*12+VALUE($B749&amp;""))</f>
        <v/>
      </c>
      <c r="M749" s="94">
        <f>IF($A749="",0,$H749*설정!$C$23)</f>
        <v/>
      </c>
      <c r="N749" s="94">
        <f>IF($A749="",0,$I749*설정!$C$23)</f>
        <v/>
      </c>
      <c r="O749" s="94">
        <f>IF($A749="",0,$J749*설정!$C$23)</f>
        <v/>
      </c>
      <c r="P749" s="64">
        <f>IF($A749="","",IFERROR(INDEX(입력옵션!$C$58:$C$68,MATCH($F749&amp;"",입력옵션!$E$58:$E$68,0)),IFERROR(INDEX(입력옵션!$C$58:$C$68,MATCH($G749&amp;"",입력옵션!$F$58:$F$68,0)),$F749&amp;"")))</f>
        <v/>
      </c>
    </row>
    <row r="750">
      <c r="A750" s="92" t="n">
        <v>2026</v>
      </c>
      <c r="B750" s="92" t="n">
        <v>5</v>
      </c>
      <c r="C750" s="92" t="inlineStr">
        <is>
          <t>PF04</t>
        </is>
      </c>
      <c r="D750" s="92" t="inlineStr">
        <is>
          <t>변액</t>
        </is>
      </c>
      <c r="E750" s="92" t="inlineStr">
        <is>
          <t>VFA</t>
        </is>
      </c>
      <c r="F750" s="92" t="inlineStr">
        <is>
          <t>F52</t>
        </is>
      </c>
      <c r="G750" s="92" t="inlineStr">
        <is>
          <t>RA 해제</t>
        </is>
      </c>
      <c r="H750" s="93" t="n">
        <v>0</v>
      </c>
      <c r="I750" s="93" t="n">
        <v>-94669000</v>
      </c>
      <c r="J750" s="93" t="n">
        <v>0</v>
      </c>
      <c r="L750" s="9">
        <f>IF($A750="","",VALUE($A750&amp;"")*12+VALUE($B750&amp;""))</f>
        <v/>
      </c>
      <c r="M750" s="94">
        <f>IF($A750="",0,$H750*설정!$C$23)</f>
        <v/>
      </c>
      <c r="N750" s="94">
        <f>IF($A750="",0,$I750*설정!$C$23)</f>
        <v/>
      </c>
      <c r="O750" s="94">
        <f>IF($A750="",0,$J750*설정!$C$23)</f>
        <v/>
      </c>
      <c r="P750" s="64">
        <f>IF($A750="","",IFERROR(INDEX(입력옵션!$C$58:$C$68,MATCH($F750&amp;"",입력옵션!$E$58:$E$68,0)),IFERROR(INDEX(입력옵션!$C$58:$C$68,MATCH($G750&amp;"",입력옵션!$F$58:$F$68,0)),$F750&amp;"")))</f>
        <v/>
      </c>
    </row>
    <row r="751">
      <c r="A751" s="92" t="n">
        <v>2026</v>
      </c>
      <c r="B751" s="92" t="n">
        <v>5</v>
      </c>
      <c r="C751" s="92" t="inlineStr">
        <is>
          <t>PF04</t>
        </is>
      </c>
      <c r="D751" s="92" t="inlineStr">
        <is>
          <t>변액</t>
        </is>
      </c>
      <c r="E751" s="92" t="inlineStr">
        <is>
          <t>VFA</t>
        </is>
      </c>
      <c r="F751" s="92" t="inlineStr">
        <is>
          <t>F60</t>
        </is>
      </c>
      <c r="G751" s="92" t="inlineStr">
        <is>
          <t>현금흐름 및 기타</t>
        </is>
      </c>
      <c r="H751" s="93" t="n">
        <v>785249000</v>
      </c>
      <c r="I751" s="93" t="n">
        <v>-20988000</v>
      </c>
      <c r="J751" s="93" t="n">
        <v>0</v>
      </c>
      <c r="L751" s="9">
        <f>IF($A751="","",VALUE($A751&amp;"")*12+VALUE($B751&amp;""))</f>
        <v/>
      </c>
      <c r="M751" s="94">
        <f>IF($A751="",0,$H751*설정!$C$23)</f>
        <v/>
      </c>
      <c r="N751" s="94">
        <f>IF($A751="",0,$I751*설정!$C$23)</f>
        <v/>
      </c>
      <c r="O751" s="94">
        <f>IF($A751="",0,$J751*설정!$C$23)</f>
        <v/>
      </c>
      <c r="P751" s="64">
        <f>IF($A751="","",IFERROR(INDEX(입력옵션!$C$58:$C$68,MATCH($F751&amp;"",입력옵션!$E$58:$E$68,0)),IFERROR(INDEX(입력옵션!$C$58:$C$68,MATCH($G751&amp;"",입력옵션!$F$58:$F$68,0)),$F751&amp;"")))</f>
        <v/>
      </c>
    </row>
    <row r="752">
      <c r="A752" s="92" t="n">
        <v>2026</v>
      </c>
      <c r="B752" s="92" t="n">
        <v>5</v>
      </c>
      <c r="C752" s="92" t="inlineStr">
        <is>
          <t>PF04</t>
        </is>
      </c>
      <c r="D752" s="92" t="inlineStr">
        <is>
          <t>변액</t>
        </is>
      </c>
      <c r="E752" s="92" t="inlineStr">
        <is>
          <t>VFA</t>
        </is>
      </c>
      <c r="F752" s="92" t="inlineStr">
        <is>
          <t>F99</t>
        </is>
      </c>
      <c r="G752" s="92" t="inlineStr">
        <is>
          <t>기말잔액</t>
        </is>
      </c>
      <c r="H752" s="93" t="n">
        <v>324948795000</v>
      </c>
      <c r="I752" s="93" t="n">
        <v>15835469000</v>
      </c>
      <c r="J752" s="93" t="n">
        <v>52641199000</v>
      </c>
      <c r="L752" s="9">
        <f>IF($A752="","",VALUE($A752&amp;"")*12+VALUE($B752&amp;""))</f>
        <v/>
      </c>
      <c r="M752" s="94">
        <f>IF($A752="",0,$H752*설정!$C$23)</f>
        <v/>
      </c>
      <c r="N752" s="94">
        <f>IF($A752="",0,$I752*설정!$C$23)</f>
        <v/>
      </c>
      <c r="O752" s="94">
        <f>IF($A752="",0,$J752*설정!$C$23)</f>
        <v/>
      </c>
      <c r="P752" s="64">
        <f>IF($A752="","",IFERROR(INDEX(입력옵션!$C$58:$C$68,MATCH($F752&amp;"",입력옵션!$E$58:$E$68,0)),IFERROR(INDEX(입력옵션!$C$58:$C$68,MATCH($G752&amp;"",입력옵션!$F$58:$F$68,0)),$F752&amp;"")))</f>
        <v/>
      </c>
    </row>
    <row r="753">
      <c r="A753" s="92" t="n">
        <v>2026</v>
      </c>
      <c r="B753" s="92" t="n">
        <v>6</v>
      </c>
      <c r="C753" s="92" t="inlineStr">
        <is>
          <t>PF01</t>
        </is>
      </c>
      <c r="D753" s="92" t="inlineStr">
        <is>
          <t>보장성</t>
        </is>
      </c>
      <c r="E753" s="92" t="inlineStr">
        <is>
          <t>GMM</t>
        </is>
      </c>
      <c r="F753" s="92" t="inlineStr">
        <is>
          <t>F00</t>
        </is>
      </c>
      <c r="G753" s="92" t="inlineStr">
        <is>
          <t>기초잔액</t>
        </is>
      </c>
      <c r="H753" s="93" t="n">
        <v>1083162650000</v>
      </c>
      <c r="I753" s="93" t="n">
        <v>73086780000</v>
      </c>
      <c r="J753" s="93" t="n">
        <v>249678410000</v>
      </c>
      <c r="L753" s="9">
        <f>IF($A753="","",VALUE($A753&amp;"")*12+VALUE($B753&amp;""))</f>
        <v/>
      </c>
      <c r="M753" s="94">
        <f>IF($A753="",0,$H753*설정!$C$23)</f>
        <v/>
      </c>
      <c r="N753" s="94">
        <f>IF($A753="",0,$I753*설정!$C$23)</f>
        <v/>
      </c>
      <c r="O753" s="94">
        <f>IF($A753="",0,$J753*설정!$C$23)</f>
        <v/>
      </c>
      <c r="P753" s="64">
        <f>IF($A753="","",IFERROR(INDEX(입력옵션!$C$58:$C$68,MATCH($F753&amp;"",입력옵션!$E$58:$E$68,0)),IFERROR(INDEX(입력옵션!$C$58:$C$68,MATCH($G753&amp;"",입력옵션!$F$58:$F$68,0)),$F753&amp;"")))</f>
        <v/>
      </c>
    </row>
    <row r="754">
      <c r="A754" s="92" t="n">
        <v>2026</v>
      </c>
      <c r="B754" s="92" t="n">
        <v>6</v>
      </c>
      <c r="C754" s="92" t="inlineStr">
        <is>
          <t>PF01</t>
        </is>
      </c>
      <c r="D754" s="92" t="inlineStr">
        <is>
          <t>보장성</t>
        </is>
      </c>
      <c r="E754" s="92" t="inlineStr">
        <is>
          <t>GMM</t>
        </is>
      </c>
      <c r="F754" s="92" t="inlineStr">
        <is>
          <t>F10</t>
        </is>
      </c>
      <c r="G754" s="92" t="inlineStr">
        <is>
          <t>신계약 효과</t>
        </is>
      </c>
      <c r="H754" s="93" t="n">
        <v>-3203866000</v>
      </c>
      <c r="I754" s="93" t="n">
        <v>640773000</v>
      </c>
      <c r="J754" s="93" t="n">
        <v>2563092000</v>
      </c>
      <c r="L754" s="9">
        <f>IF($A754="","",VALUE($A754&amp;"")*12+VALUE($B754&amp;""))</f>
        <v/>
      </c>
      <c r="M754" s="94">
        <f>IF($A754="",0,$H754*설정!$C$23)</f>
        <v/>
      </c>
      <c r="N754" s="94">
        <f>IF($A754="",0,$I754*설정!$C$23)</f>
        <v/>
      </c>
      <c r="O754" s="94">
        <f>IF($A754="",0,$J754*설정!$C$23)</f>
        <v/>
      </c>
      <c r="P754" s="64">
        <f>IF($A754="","",IFERROR(INDEX(입력옵션!$C$58:$C$68,MATCH($F754&amp;"",입력옵션!$E$58:$E$68,0)),IFERROR(INDEX(입력옵션!$C$58:$C$68,MATCH($G754&amp;"",입력옵션!$F$58:$F$68,0)),$F754&amp;"")))</f>
        <v/>
      </c>
    </row>
    <row r="755">
      <c r="A755" s="92" t="n">
        <v>2026</v>
      </c>
      <c r="B755" s="92" t="n">
        <v>6</v>
      </c>
      <c r="C755" s="92" t="inlineStr">
        <is>
          <t>PF01</t>
        </is>
      </c>
      <c r="D755" s="92" t="inlineStr">
        <is>
          <t>보장성</t>
        </is>
      </c>
      <c r="E755" s="92" t="inlineStr">
        <is>
          <t>GMM</t>
        </is>
      </c>
      <c r="F755" s="92" t="inlineStr">
        <is>
          <t>F21</t>
        </is>
      </c>
      <c r="G755" s="92" t="inlineStr">
        <is>
          <t>가정변경-사업비</t>
        </is>
      </c>
      <c r="H755" s="93" t="n">
        <v>0</v>
      </c>
      <c r="I755" s="93" t="n">
        <v>0</v>
      </c>
      <c r="J755" s="93" t="n">
        <v>0</v>
      </c>
      <c r="L755" s="9">
        <f>IF($A755="","",VALUE($A755&amp;"")*12+VALUE($B755&amp;""))</f>
        <v/>
      </c>
      <c r="M755" s="94">
        <f>IF($A755="",0,$H755*설정!$C$23)</f>
        <v/>
      </c>
      <c r="N755" s="94">
        <f>IF($A755="",0,$I755*설정!$C$23)</f>
        <v/>
      </c>
      <c r="O755" s="94">
        <f>IF($A755="",0,$J755*설정!$C$23)</f>
        <v/>
      </c>
      <c r="P755" s="64">
        <f>IF($A755="","",IFERROR(INDEX(입력옵션!$C$58:$C$68,MATCH($F755&amp;"",입력옵션!$E$58:$E$68,0)),IFERROR(INDEX(입력옵션!$C$58:$C$68,MATCH($G755&amp;"",입력옵션!$F$58:$F$68,0)),$F755&amp;"")))</f>
        <v/>
      </c>
    </row>
    <row r="756">
      <c r="A756" s="92" t="n">
        <v>2026</v>
      </c>
      <c r="B756" s="92" t="n">
        <v>6</v>
      </c>
      <c r="C756" s="92" t="inlineStr">
        <is>
          <t>PF01</t>
        </is>
      </c>
      <c r="D756" s="92" t="inlineStr">
        <is>
          <t>보장성</t>
        </is>
      </c>
      <c r="E756" s="92" t="inlineStr">
        <is>
          <t>GMM</t>
        </is>
      </c>
      <c r="F756" s="92" t="inlineStr">
        <is>
          <t>F22</t>
        </is>
      </c>
      <c r="G756" s="92" t="inlineStr">
        <is>
          <t>가정변경-기타</t>
        </is>
      </c>
      <c r="H756" s="93" t="n">
        <v>0</v>
      </c>
      <c r="I756" s="93" t="n">
        <v>0</v>
      </c>
      <c r="J756" s="93" t="n">
        <v>0</v>
      </c>
      <c r="L756" s="9">
        <f>IF($A756="","",VALUE($A756&amp;"")*12+VALUE($B756&amp;""))</f>
        <v/>
      </c>
      <c r="M756" s="94">
        <f>IF($A756="",0,$H756*설정!$C$23)</f>
        <v/>
      </c>
      <c r="N756" s="94">
        <f>IF($A756="",0,$I756*설정!$C$23)</f>
        <v/>
      </c>
      <c r="O756" s="94">
        <f>IF($A756="",0,$J756*설정!$C$23)</f>
        <v/>
      </c>
      <c r="P756" s="64">
        <f>IF($A756="","",IFERROR(INDEX(입력옵션!$C$58:$C$68,MATCH($F756&amp;"",입력옵션!$E$58:$E$68,0)),IFERROR(INDEX(입력옵션!$C$58:$C$68,MATCH($G756&amp;"",입력옵션!$F$58:$F$68,0)),$F756&amp;"")))</f>
        <v/>
      </c>
    </row>
    <row r="757">
      <c r="A757" s="92" t="n">
        <v>2026</v>
      </c>
      <c r="B757" s="92" t="n">
        <v>6</v>
      </c>
      <c r="C757" s="92" t="inlineStr">
        <is>
          <t>PF01</t>
        </is>
      </c>
      <c r="D757" s="92" t="inlineStr">
        <is>
          <t>보장성</t>
        </is>
      </c>
      <c r="E757" s="92" t="inlineStr">
        <is>
          <t>GMM</t>
        </is>
      </c>
      <c r="F757" s="92" t="inlineStr">
        <is>
          <t>F31</t>
        </is>
      </c>
      <c r="G757" s="92" t="inlineStr">
        <is>
          <t>경험조정-취득현금흐름</t>
        </is>
      </c>
      <c r="H757" s="93" t="n">
        <v>0</v>
      </c>
      <c r="I757" s="93" t="n">
        <v>0</v>
      </c>
      <c r="J757" s="93" t="n">
        <v>-18142000</v>
      </c>
      <c r="L757" s="9">
        <f>IF($A757="","",VALUE($A757&amp;"")*12+VALUE($B757&amp;""))</f>
        <v/>
      </c>
      <c r="M757" s="94">
        <f>IF($A757="",0,$H757*설정!$C$23)</f>
        <v/>
      </c>
      <c r="N757" s="94">
        <f>IF($A757="",0,$I757*설정!$C$23)</f>
        <v/>
      </c>
      <c r="O757" s="94">
        <f>IF($A757="",0,$J757*설정!$C$23)</f>
        <v/>
      </c>
      <c r="P757" s="64">
        <f>IF($A757="","",IFERROR(INDEX(입력옵션!$C$58:$C$68,MATCH($F757&amp;"",입력옵션!$E$58:$E$68,0)),IFERROR(INDEX(입력옵션!$C$58:$C$68,MATCH($G757&amp;"",입력옵션!$F$58:$F$68,0)),$F757&amp;"")))</f>
        <v/>
      </c>
    </row>
    <row r="758">
      <c r="A758" s="92" t="n">
        <v>2026</v>
      </c>
      <c r="B758" s="92" t="n">
        <v>6</v>
      </c>
      <c r="C758" s="92" t="inlineStr">
        <is>
          <t>PF01</t>
        </is>
      </c>
      <c r="D758" s="92" t="inlineStr">
        <is>
          <t>보장성</t>
        </is>
      </c>
      <c r="E758" s="92" t="inlineStr">
        <is>
          <t>GMM</t>
        </is>
      </c>
      <c r="F758" s="92" t="inlineStr">
        <is>
          <t>F32</t>
        </is>
      </c>
      <c r="G758" s="92" t="inlineStr">
        <is>
          <t>경험조정-보험료 등</t>
        </is>
      </c>
      <c r="H758" s="93" t="n">
        <v>0</v>
      </c>
      <c r="I758" s="93" t="n">
        <v>0</v>
      </c>
      <c r="J758" s="93" t="n">
        <v>-23698000</v>
      </c>
      <c r="L758" s="9">
        <f>IF($A758="","",VALUE($A758&amp;"")*12+VALUE($B758&amp;""))</f>
        <v/>
      </c>
      <c r="M758" s="94">
        <f>IF($A758="",0,$H758*설정!$C$23)</f>
        <v/>
      </c>
      <c r="N758" s="94">
        <f>IF($A758="",0,$I758*설정!$C$23)</f>
        <v/>
      </c>
      <c r="O758" s="94">
        <f>IF($A758="",0,$J758*설정!$C$23)</f>
        <v/>
      </c>
      <c r="P758" s="64">
        <f>IF($A758="","",IFERROR(INDEX(입력옵션!$C$58:$C$68,MATCH($F758&amp;"",입력옵션!$E$58:$E$68,0)),IFERROR(INDEX(입력옵션!$C$58:$C$68,MATCH($G758&amp;"",입력옵션!$F$58:$F$68,0)),$F758&amp;"")))</f>
        <v/>
      </c>
    </row>
    <row r="759">
      <c r="A759" s="92" t="n">
        <v>2026</v>
      </c>
      <c r="B759" s="92" t="n">
        <v>6</v>
      </c>
      <c r="C759" s="92" t="inlineStr">
        <is>
          <t>PF01</t>
        </is>
      </c>
      <c r="D759" s="92" t="inlineStr">
        <is>
          <t>보장성</t>
        </is>
      </c>
      <c r="E759" s="92" t="inlineStr">
        <is>
          <t>GMM</t>
        </is>
      </c>
      <c r="F759" s="92" t="inlineStr">
        <is>
          <t>F40</t>
        </is>
      </c>
      <c r="G759" s="92" t="inlineStr">
        <is>
          <t>보험금융비용(이자부리)</t>
        </is>
      </c>
      <c r="H759" s="93" t="n">
        <v>2707907000</v>
      </c>
      <c r="I759" s="93" t="n">
        <v>146174000</v>
      </c>
      <c r="J759" s="93" t="n">
        <v>624196000</v>
      </c>
      <c r="L759" s="9">
        <f>IF($A759="","",VALUE($A759&amp;"")*12+VALUE($B759&amp;""))</f>
        <v/>
      </c>
      <c r="M759" s="94">
        <f>IF($A759="",0,$H759*설정!$C$23)</f>
        <v/>
      </c>
      <c r="N759" s="94">
        <f>IF($A759="",0,$I759*설정!$C$23)</f>
        <v/>
      </c>
      <c r="O759" s="94">
        <f>IF($A759="",0,$J759*설정!$C$23)</f>
        <v/>
      </c>
      <c r="P759" s="64">
        <f>IF($A759="","",IFERROR(INDEX(입력옵션!$C$58:$C$68,MATCH($F759&amp;"",입력옵션!$E$58:$E$68,0)),IFERROR(INDEX(입력옵션!$C$58:$C$68,MATCH($G759&amp;"",입력옵션!$F$58:$F$68,0)),$F759&amp;"")))</f>
        <v/>
      </c>
    </row>
    <row r="760">
      <c r="A760" s="92" t="n">
        <v>2026</v>
      </c>
      <c r="B760" s="92" t="n">
        <v>6</v>
      </c>
      <c r="C760" s="92" t="inlineStr">
        <is>
          <t>PF01</t>
        </is>
      </c>
      <c r="D760" s="92" t="inlineStr">
        <is>
          <t>보장성</t>
        </is>
      </c>
      <c r="E760" s="92" t="inlineStr">
        <is>
          <t>GMM</t>
        </is>
      </c>
      <c r="F760" s="92" t="inlineStr">
        <is>
          <t>F51</t>
        </is>
      </c>
      <c r="G760" s="92" t="inlineStr">
        <is>
          <t>CSM 상각</t>
        </is>
      </c>
      <c r="H760" s="93" t="n">
        <v>0</v>
      </c>
      <c r="I760" s="93" t="n">
        <v>0</v>
      </c>
      <c r="J760" s="93" t="n">
        <v>-2247106000</v>
      </c>
      <c r="L760" s="9">
        <f>IF($A760="","",VALUE($A760&amp;"")*12+VALUE($B760&amp;""))</f>
        <v/>
      </c>
      <c r="M760" s="94">
        <f>IF($A760="",0,$H760*설정!$C$23)</f>
        <v/>
      </c>
      <c r="N760" s="94">
        <f>IF($A760="",0,$I760*설정!$C$23)</f>
        <v/>
      </c>
      <c r="O760" s="94">
        <f>IF($A760="",0,$J760*설정!$C$23)</f>
        <v/>
      </c>
      <c r="P760" s="64">
        <f>IF($A760="","",IFERROR(INDEX(입력옵션!$C$58:$C$68,MATCH($F760&amp;"",입력옵션!$E$58:$E$68,0)),IFERROR(INDEX(입력옵션!$C$58:$C$68,MATCH($G760&amp;"",입력옵션!$F$58:$F$68,0)),$F760&amp;"")))</f>
        <v/>
      </c>
    </row>
    <row r="761">
      <c r="A761" s="92" t="n">
        <v>2026</v>
      </c>
      <c r="B761" s="92" t="n">
        <v>6</v>
      </c>
      <c r="C761" s="92" t="inlineStr">
        <is>
          <t>PF01</t>
        </is>
      </c>
      <c r="D761" s="92" t="inlineStr">
        <is>
          <t>보장성</t>
        </is>
      </c>
      <c r="E761" s="92" t="inlineStr">
        <is>
          <t>GMM</t>
        </is>
      </c>
      <c r="F761" s="92" t="inlineStr">
        <is>
          <t>F52</t>
        </is>
      </c>
      <c r="G761" s="92" t="inlineStr">
        <is>
          <t>RA 해제</t>
        </is>
      </c>
      <c r="H761" s="93" t="n">
        <v>0</v>
      </c>
      <c r="I761" s="93" t="n">
        <v>-438521000</v>
      </c>
      <c r="J761" s="93" t="n">
        <v>0</v>
      </c>
      <c r="L761" s="9">
        <f>IF($A761="","",VALUE($A761&amp;"")*12+VALUE($B761&amp;""))</f>
        <v/>
      </c>
      <c r="M761" s="94">
        <f>IF($A761="",0,$H761*설정!$C$23)</f>
        <v/>
      </c>
      <c r="N761" s="94">
        <f>IF($A761="",0,$I761*설정!$C$23)</f>
        <v/>
      </c>
      <c r="O761" s="94">
        <f>IF($A761="",0,$J761*설정!$C$23)</f>
        <v/>
      </c>
      <c r="P761" s="64">
        <f>IF($A761="","",IFERROR(INDEX(입력옵션!$C$58:$C$68,MATCH($F761&amp;"",입력옵션!$E$58:$E$68,0)),IFERROR(INDEX(입력옵션!$C$58:$C$68,MATCH($G761&amp;"",입력옵션!$F$58:$F$68,0)),$F761&amp;"")))</f>
        <v/>
      </c>
    </row>
    <row r="762">
      <c r="A762" s="92" t="n">
        <v>2026</v>
      </c>
      <c r="B762" s="92" t="n">
        <v>6</v>
      </c>
      <c r="C762" s="92" t="inlineStr">
        <is>
          <t>PF01</t>
        </is>
      </c>
      <c r="D762" s="92" t="inlineStr">
        <is>
          <t>보장성</t>
        </is>
      </c>
      <c r="E762" s="92" t="inlineStr">
        <is>
          <t>GMM</t>
        </is>
      </c>
      <c r="F762" s="92" t="inlineStr">
        <is>
          <t>F60</t>
        </is>
      </c>
      <c r="G762" s="92" t="inlineStr">
        <is>
          <t>현금흐름 및 기타</t>
        </is>
      </c>
      <c r="H762" s="93" t="n">
        <v>1447059000</v>
      </c>
      <c r="I762" s="93" t="n">
        <v>-237846000</v>
      </c>
      <c r="J762" s="93" t="n">
        <v>0</v>
      </c>
      <c r="L762" s="9">
        <f>IF($A762="","",VALUE($A762&amp;"")*12+VALUE($B762&amp;""))</f>
        <v/>
      </c>
      <c r="M762" s="94">
        <f>IF($A762="",0,$H762*설정!$C$23)</f>
        <v/>
      </c>
      <c r="N762" s="94">
        <f>IF($A762="",0,$I762*설정!$C$23)</f>
        <v/>
      </c>
      <c r="O762" s="94">
        <f>IF($A762="",0,$J762*설정!$C$23)</f>
        <v/>
      </c>
      <c r="P762" s="64">
        <f>IF($A762="","",IFERROR(INDEX(입력옵션!$C$58:$C$68,MATCH($F762&amp;"",입력옵션!$E$58:$E$68,0)),IFERROR(INDEX(입력옵션!$C$58:$C$68,MATCH($G762&amp;"",입력옵션!$F$58:$F$68,0)),$F762&amp;"")))</f>
        <v/>
      </c>
    </row>
    <row r="763">
      <c r="A763" s="92" t="n">
        <v>2026</v>
      </c>
      <c r="B763" s="92" t="n">
        <v>6</v>
      </c>
      <c r="C763" s="92" t="inlineStr">
        <is>
          <t>PF01</t>
        </is>
      </c>
      <c r="D763" s="92" t="inlineStr">
        <is>
          <t>보장성</t>
        </is>
      </c>
      <c r="E763" s="92" t="inlineStr">
        <is>
          <t>GMM</t>
        </is>
      </c>
      <c r="F763" s="92" t="inlineStr">
        <is>
          <t>F99</t>
        </is>
      </c>
      <c r="G763" s="92" t="inlineStr">
        <is>
          <t>기말잔액</t>
        </is>
      </c>
      <c r="H763" s="93" t="n">
        <v>1084113750000</v>
      </c>
      <c r="I763" s="93" t="n">
        <v>73197360000</v>
      </c>
      <c r="J763" s="93" t="n">
        <v>250576753000</v>
      </c>
      <c r="L763" s="9">
        <f>IF($A763="","",VALUE($A763&amp;"")*12+VALUE($B763&amp;""))</f>
        <v/>
      </c>
      <c r="M763" s="94">
        <f>IF($A763="",0,$H763*설정!$C$23)</f>
        <v/>
      </c>
      <c r="N763" s="94">
        <f>IF($A763="",0,$I763*설정!$C$23)</f>
        <v/>
      </c>
      <c r="O763" s="94">
        <f>IF($A763="",0,$J763*설정!$C$23)</f>
        <v/>
      </c>
      <c r="P763" s="64">
        <f>IF($A763="","",IFERROR(INDEX(입력옵션!$C$58:$C$68,MATCH($F763&amp;"",입력옵션!$E$58:$E$68,0)),IFERROR(INDEX(입력옵션!$C$58:$C$68,MATCH($G763&amp;"",입력옵션!$F$58:$F$68,0)),$F763&amp;"")))</f>
        <v/>
      </c>
    </row>
    <row r="764">
      <c r="A764" s="92" t="n">
        <v>2026</v>
      </c>
      <c r="B764" s="92" t="n">
        <v>6</v>
      </c>
      <c r="C764" s="92" t="inlineStr">
        <is>
          <t>PF02</t>
        </is>
      </c>
      <c r="D764" s="92" t="inlineStr">
        <is>
          <t>저축성</t>
        </is>
      </c>
      <c r="E764" s="92" t="inlineStr">
        <is>
          <t>GMM</t>
        </is>
      </c>
      <c r="F764" s="92" t="inlineStr">
        <is>
          <t>F00</t>
        </is>
      </c>
      <c r="G764" s="92" t="inlineStr">
        <is>
          <t>기초잔액</t>
        </is>
      </c>
      <c r="H764" s="93" t="n">
        <v>714887349000</v>
      </c>
      <c r="I764" s="93" t="n">
        <v>30452825000</v>
      </c>
      <c r="J764" s="93" t="n">
        <v>100688949000</v>
      </c>
      <c r="L764" s="9">
        <f>IF($A764="","",VALUE($A764&amp;"")*12+VALUE($B764&amp;""))</f>
        <v/>
      </c>
      <c r="M764" s="94">
        <f>IF($A764="",0,$H764*설정!$C$23)</f>
        <v/>
      </c>
      <c r="N764" s="94">
        <f>IF($A764="",0,$I764*설정!$C$23)</f>
        <v/>
      </c>
      <c r="O764" s="94">
        <f>IF($A764="",0,$J764*설정!$C$23)</f>
        <v/>
      </c>
      <c r="P764" s="64">
        <f>IF($A764="","",IFERROR(INDEX(입력옵션!$C$58:$C$68,MATCH($F764&amp;"",입력옵션!$E$58:$E$68,0)),IFERROR(INDEX(입력옵션!$C$58:$C$68,MATCH($G764&amp;"",입력옵션!$F$58:$F$68,0)),$F764&amp;"")))</f>
        <v/>
      </c>
    </row>
    <row r="765">
      <c r="A765" s="92" t="n">
        <v>2026</v>
      </c>
      <c r="B765" s="92" t="n">
        <v>6</v>
      </c>
      <c r="C765" s="92" t="inlineStr">
        <is>
          <t>PF02</t>
        </is>
      </c>
      <c r="D765" s="92" t="inlineStr">
        <is>
          <t>저축성</t>
        </is>
      </c>
      <c r="E765" s="92" t="inlineStr">
        <is>
          <t>GMM</t>
        </is>
      </c>
      <c r="F765" s="92" t="inlineStr">
        <is>
          <t>F10</t>
        </is>
      </c>
      <c r="G765" s="92" t="inlineStr">
        <is>
          <t>신계약 효과</t>
        </is>
      </c>
      <c r="H765" s="93" t="n">
        <v>-1291881000</v>
      </c>
      <c r="I765" s="93" t="n">
        <v>258376000</v>
      </c>
      <c r="J765" s="93" t="n">
        <v>1033505000</v>
      </c>
      <c r="L765" s="9">
        <f>IF($A765="","",VALUE($A765&amp;"")*12+VALUE($B765&amp;""))</f>
        <v/>
      </c>
      <c r="M765" s="94">
        <f>IF($A765="",0,$H765*설정!$C$23)</f>
        <v/>
      </c>
      <c r="N765" s="94">
        <f>IF($A765="",0,$I765*설정!$C$23)</f>
        <v/>
      </c>
      <c r="O765" s="94">
        <f>IF($A765="",0,$J765*설정!$C$23)</f>
        <v/>
      </c>
      <c r="P765" s="64">
        <f>IF($A765="","",IFERROR(INDEX(입력옵션!$C$58:$C$68,MATCH($F765&amp;"",입력옵션!$E$58:$E$68,0)),IFERROR(INDEX(입력옵션!$C$58:$C$68,MATCH($G765&amp;"",입력옵션!$F$58:$F$68,0)),$F765&amp;"")))</f>
        <v/>
      </c>
    </row>
    <row r="766">
      <c r="A766" s="92" t="n">
        <v>2026</v>
      </c>
      <c r="B766" s="92" t="n">
        <v>6</v>
      </c>
      <c r="C766" s="92" t="inlineStr">
        <is>
          <t>PF02</t>
        </is>
      </c>
      <c r="D766" s="92" t="inlineStr">
        <is>
          <t>저축성</t>
        </is>
      </c>
      <c r="E766" s="92" t="inlineStr">
        <is>
          <t>GMM</t>
        </is>
      </c>
      <c r="F766" s="92" t="inlineStr">
        <is>
          <t>F21</t>
        </is>
      </c>
      <c r="G766" s="92" t="inlineStr">
        <is>
          <t>가정변경-사업비</t>
        </is>
      </c>
      <c r="H766" s="93" t="n">
        <v>0</v>
      </c>
      <c r="I766" s="93" t="n">
        <v>0</v>
      </c>
      <c r="J766" s="93" t="n">
        <v>0</v>
      </c>
      <c r="L766" s="9">
        <f>IF($A766="","",VALUE($A766&amp;"")*12+VALUE($B766&amp;""))</f>
        <v/>
      </c>
      <c r="M766" s="94">
        <f>IF($A766="",0,$H766*설정!$C$23)</f>
        <v/>
      </c>
      <c r="N766" s="94">
        <f>IF($A766="",0,$I766*설정!$C$23)</f>
        <v/>
      </c>
      <c r="O766" s="94">
        <f>IF($A766="",0,$J766*설정!$C$23)</f>
        <v/>
      </c>
      <c r="P766" s="64">
        <f>IF($A766="","",IFERROR(INDEX(입력옵션!$C$58:$C$68,MATCH($F766&amp;"",입력옵션!$E$58:$E$68,0)),IFERROR(INDEX(입력옵션!$C$58:$C$68,MATCH($G766&amp;"",입력옵션!$F$58:$F$68,0)),$F766&amp;"")))</f>
        <v/>
      </c>
    </row>
    <row r="767">
      <c r="A767" s="92" t="n">
        <v>2026</v>
      </c>
      <c r="B767" s="92" t="n">
        <v>6</v>
      </c>
      <c r="C767" s="92" t="inlineStr">
        <is>
          <t>PF02</t>
        </is>
      </c>
      <c r="D767" s="92" t="inlineStr">
        <is>
          <t>저축성</t>
        </is>
      </c>
      <c r="E767" s="92" t="inlineStr">
        <is>
          <t>GMM</t>
        </is>
      </c>
      <c r="F767" s="92" t="inlineStr">
        <is>
          <t>F22</t>
        </is>
      </c>
      <c r="G767" s="92" t="inlineStr">
        <is>
          <t>가정변경-기타</t>
        </is>
      </c>
      <c r="H767" s="93" t="n">
        <v>0</v>
      </c>
      <c r="I767" s="93" t="n">
        <v>0</v>
      </c>
      <c r="J767" s="93" t="n">
        <v>0</v>
      </c>
      <c r="L767" s="9">
        <f>IF($A767="","",VALUE($A767&amp;"")*12+VALUE($B767&amp;""))</f>
        <v/>
      </c>
      <c r="M767" s="94">
        <f>IF($A767="",0,$H767*설정!$C$23)</f>
        <v/>
      </c>
      <c r="N767" s="94">
        <f>IF($A767="",0,$I767*설정!$C$23)</f>
        <v/>
      </c>
      <c r="O767" s="94">
        <f>IF($A767="",0,$J767*설정!$C$23)</f>
        <v/>
      </c>
      <c r="P767" s="64">
        <f>IF($A767="","",IFERROR(INDEX(입력옵션!$C$58:$C$68,MATCH($F767&amp;"",입력옵션!$E$58:$E$68,0)),IFERROR(INDEX(입력옵션!$C$58:$C$68,MATCH($G767&amp;"",입력옵션!$F$58:$F$68,0)),$F767&amp;"")))</f>
        <v/>
      </c>
    </row>
    <row r="768">
      <c r="A768" s="92" t="n">
        <v>2026</v>
      </c>
      <c r="B768" s="92" t="n">
        <v>6</v>
      </c>
      <c r="C768" s="92" t="inlineStr">
        <is>
          <t>PF02</t>
        </is>
      </c>
      <c r="D768" s="92" t="inlineStr">
        <is>
          <t>저축성</t>
        </is>
      </c>
      <c r="E768" s="92" t="inlineStr">
        <is>
          <t>GMM</t>
        </is>
      </c>
      <c r="F768" s="92" t="inlineStr">
        <is>
          <t>F31</t>
        </is>
      </c>
      <c r="G768" s="92" t="inlineStr">
        <is>
          <t>경험조정-취득현금흐름</t>
        </is>
      </c>
      <c r="H768" s="93" t="n">
        <v>0</v>
      </c>
      <c r="I768" s="93" t="n">
        <v>0</v>
      </c>
      <c r="J768" s="93" t="n">
        <v>-5236000</v>
      </c>
      <c r="L768" s="9">
        <f>IF($A768="","",VALUE($A768&amp;"")*12+VALUE($B768&amp;""))</f>
        <v/>
      </c>
      <c r="M768" s="94">
        <f>IF($A768="",0,$H768*설정!$C$23)</f>
        <v/>
      </c>
      <c r="N768" s="94">
        <f>IF($A768="",0,$I768*설정!$C$23)</f>
        <v/>
      </c>
      <c r="O768" s="94">
        <f>IF($A768="",0,$J768*설정!$C$23)</f>
        <v/>
      </c>
      <c r="P768" s="64">
        <f>IF($A768="","",IFERROR(INDEX(입력옵션!$C$58:$C$68,MATCH($F768&amp;"",입력옵션!$E$58:$E$68,0)),IFERROR(INDEX(입력옵션!$C$58:$C$68,MATCH($G768&amp;"",입력옵션!$F$58:$F$68,0)),$F768&amp;"")))</f>
        <v/>
      </c>
    </row>
    <row r="769">
      <c r="A769" s="92" t="n">
        <v>2026</v>
      </c>
      <c r="B769" s="92" t="n">
        <v>6</v>
      </c>
      <c r="C769" s="92" t="inlineStr">
        <is>
          <t>PF02</t>
        </is>
      </c>
      <c r="D769" s="92" t="inlineStr">
        <is>
          <t>저축성</t>
        </is>
      </c>
      <c r="E769" s="92" t="inlineStr">
        <is>
          <t>GMM</t>
        </is>
      </c>
      <c r="F769" s="92" t="inlineStr">
        <is>
          <t>F32</t>
        </is>
      </c>
      <c r="G769" s="92" t="inlineStr">
        <is>
          <t>경험조정-보험료 등</t>
        </is>
      </c>
      <c r="H769" s="93" t="n">
        <v>0</v>
      </c>
      <c r="I769" s="93" t="n">
        <v>0</v>
      </c>
      <c r="J769" s="93" t="n">
        <v>-157386000</v>
      </c>
      <c r="L769" s="9">
        <f>IF($A769="","",VALUE($A769&amp;"")*12+VALUE($B769&amp;""))</f>
        <v/>
      </c>
      <c r="M769" s="94">
        <f>IF($A769="",0,$H769*설정!$C$23)</f>
        <v/>
      </c>
      <c r="N769" s="94">
        <f>IF($A769="",0,$I769*설정!$C$23)</f>
        <v/>
      </c>
      <c r="O769" s="94">
        <f>IF($A769="",0,$J769*설정!$C$23)</f>
        <v/>
      </c>
      <c r="P769" s="64">
        <f>IF($A769="","",IFERROR(INDEX(입력옵션!$C$58:$C$68,MATCH($F769&amp;"",입력옵션!$E$58:$E$68,0)),IFERROR(INDEX(입력옵션!$C$58:$C$68,MATCH($G769&amp;"",입력옵션!$F$58:$F$68,0)),$F769&amp;"")))</f>
        <v/>
      </c>
    </row>
    <row r="770">
      <c r="A770" s="92" t="n">
        <v>2026</v>
      </c>
      <c r="B770" s="92" t="n">
        <v>6</v>
      </c>
      <c r="C770" s="92" t="inlineStr">
        <is>
          <t>PF02</t>
        </is>
      </c>
      <c r="D770" s="92" t="inlineStr">
        <is>
          <t>저축성</t>
        </is>
      </c>
      <c r="E770" s="92" t="inlineStr">
        <is>
          <t>GMM</t>
        </is>
      </c>
      <c r="F770" s="92" t="inlineStr">
        <is>
          <t>F40</t>
        </is>
      </c>
      <c r="G770" s="92" t="inlineStr">
        <is>
          <t>보험금융비용(이자부리)</t>
        </is>
      </c>
      <c r="H770" s="93" t="n">
        <v>1787218000</v>
      </c>
      <c r="I770" s="93" t="n">
        <v>60906000</v>
      </c>
      <c r="J770" s="93" t="n">
        <v>251722000</v>
      </c>
      <c r="L770" s="9">
        <f>IF($A770="","",VALUE($A770&amp;"")*12+VALUE($B770&amp;""))</f>
        <v/>
      </c>
      <c r="M770" s="94">
        <f>IF($A770="",0,$H770*설정!$C$23)</f>
        <v/>
      </c>
      <c r="N770" s="94">
        <f>IF($A770="",0,$I770*설정!$C$23)</f>
        <v/>
      </c>
      <c r="O770" s="94">
        <f>IF($A770="",0,$J770*설정!$C$23)</f>
        <v/>
      </c>
      <c r="P770" s="64">
        <f>IF($A770="","",IFERROR(INDEX(입력옵션!$C$58:$C$68,MATCH($F770&amp;"",입력옵션!$E$58:$E$68,0)),IFERROR(INDEX(입력옵션!$C$58:$C$68,MATCH($G770&amp;"",입력옵션!$F$58:$F$68,0)),$F770&amp;"")))</f>
        <v/>
      </c>
    </row>
    <row r="771">
      <c r="A771" s="92" t="n">
        <v>2026</v>
      </c>
      <c r="B771" s="92" t="n">
        <v>6</v>
      </c>
      <c r="C771" s="92" t="inlineStr">
        <is>
          <t>PF02</t>
        </is>
      </c>
      <c r="D771" s="92" t="inlineStr">
        <is>
          <t>저축성</t>
        </is>
      </c>
      <c r="E771" s="92" t="inlineStr">
        <is>
          <t>GMM</t>
        </is>
      </c>
      <c r="F771" s="92" t="inlineStr">
        <is>
          <t>F51</t>
        </is>
      </c>
      <c r="G771" s="92" t="inlineStr">
        <is>
          <t>CSM 상각</t>
        </is>
      </c>
      <c r="H771" s="93" t="n">
        <v>0</v>
      </c>
      <c r="I771" s="93" t="n">
        <v>0</v>
      </c>
      <c r="J771" s="93" t="n">
        <v>-906201000</v>
      </c>
      <c r="L771" s="9">
        <f>IF($A771="","",VALUE($A771&amp;"")*12+VALUE($B771&amp;""))</f>
        <v/>
      </c>
      <c r="M771" s="94">
        <f>IF($A771="",0,$H771*설정!$C$23)</f>
        <v/>
      </c>
      <c r="N771" s="94">
        <f>IF($A771="",0,$I771*설정!$C$23)</f>
        <v/>
      </c>
      <c r="O771" s="94">
        <f>IF($A771="",0,$J771*설정!$C$23)</f>
        <v/>
      </c>
      <c r="P771" s="64">
        <f>IF($A771="","",IFERROR(INDEX(입력옵션!$C$58:$C$68,MATCH($F771&amp;"",입력옵션!$E$58:$E$68,0)),IFERROR(INDEX(입력옵션!$C$58:$C$68,MATCH($G771&amp;"",입력옵션!$F$58:$F$68,0)),$F771&amp;"")))</f>
        <v/>
      </c>
    </row>
    <row r="772">
      <c r="A772" s="92" t="n">
        <v>2026</v>
      </c>
      <c r="B772" s="92" t="n">
        <v>6</v>
      </c>
      <c r="C772" s="92" t="inlineStr">
        <is>
          <t>PF02</t>
        </is>
      </c>
      <c r="D772" s="92" t="inlineStr">
        <is>
          <t>저축성</t>
        </is>
      </c>
      <c r="E772" s="92" t="inlineStr">
        <is>
          <t>GMM</t>
        </is>
      </c>
      <c r="F772" s="92" t="inlineStr">
        <is>
          <t>F52</t>
        </is>
      </c>
      <c r="G772" s="92" t="inlineStr">
        <is>
          <t>RA 해제</t>
        </is>
      </c>
      <c r="H772" s="93" t="n">
        <v>0</v>
      </c>
      <c r="I772" s="93" t="n">
        <v>-182717000</v>
      </c>
      <c r="J772" s="93" t="n">
        <v>0</v>
      </c>
      <c r="L772" s="9">
        <f>IF($A772="","",VALUE($A772&amp;"")*12+VALUE($B772&amp;""))</f>
        <v/>
      </c>
      <c r="M772" s="94">
        <f>IF($A772="",0,$H772*설정!$C$23)</f>
        <v/>
      </c>
      <c r="N772" s="94">
        <f>IF($A772="",0,$I772*설정!$C$23)</f>
        <v/>
      </c>
      <c r="O772" s="94">
        <f>IF($A772="",0,$J772*설정!$C$23)</f>
        <v/>
      </c>
      <c r="P772" s="64">
        <f>IF($A772="","",IFERROR(INDEX(입력옵션!$C$58:$C$68,MATCH($F772&amp;"",입력옵션!$E$58:$E$68,0)),IFERROR(INDEX(입력옵션!$C$58:$C$68,MATCH($G772&amp;"",입력옵션!$F$58:$F$68,0)),$F772&amp;"")))</f>
        <v/>
      </c>
    </row>
    <row r="773">
      <c r="A773" s="92" t="n">
        <v>2026</v>
      </c>
      <c r="B773" s="92" t="n">
        <v>6</v>
      </c>
      <c r="C773" s="92" t="inlineStr">
        <is>
          <t>PF02</t>
        </is>
      </c>
      <c r="D773" s="92" t="inlineStr">
        <is>
          <t>저축성</t>
        </is>
      </c>
      <c r="E773" s="92" t="inlineStr">
        <is>
          <t>GMM</t>
        </is>
      </c>
      <c r="F773" s="92" t="inlineStr">
        <is>
          <t>F60</t>
        </is>
      </c>
      <c r="G773" s="92" t="inlineStr">
        <is>
          <t>현금흐름 및 기타</t>
        </is>
      </c>
      <c r="H773" s="93" t="n">
        <v>132389000</v>
      </c>
      <c r="I773" s="93" t="n">
        <v>-90490000</v>
      </c>
      <c r="J773" s="93" t="n">
        <v>0</v>
      </c>
      <c r="L773" s="9">
        <f>IF($A773="","",VALUE($A773&amp;"")*12+VALUE($B773&amp;""))</f>
        <v/>
      </c>
      <c r="M773" s="94">
        <f>IF($A773="",0,$H773*설정!$C$23)</f>
        <v/>
      </c>
      <c r="N773" s="94">
        <f>IF($A773="",0,$I773*설정!$C$23)</f>
        <v/>
      </c>
      <c r="O773" s="94">
        <f>IF($A773="",0,$J773*설정!$C$23)</f>
        <v/>
      </c>
      <c r="P773" s="64">
        <f>IF($A773="","",IFERROR(INDEX(입력옵션!$C$58:$C$68,MATCH($F773&amp;"",입력옵션!$E$58:$E$68,0)),IFERROR(INDEX(입력옵션!$C$58:$C$68,MATCH($G773&amp;"",입력옵션!$F$58:$F$68,0)),$F773&amp;"")))</f>
        <v/>
      </c>
    </row>
    <row r="774">
      <c r="A774" s="92" t="n">
        <v>2026</v>
      </c>
      <c r="B774" s="92" t="n">
        <v>6</v>
      </c>
      <c r="C774" s="92" t="inlineStr">
        <is>
          <t>PF02</t>
        </is>
      </c>
      <c r="D774" s="92" t="inlineStr">
        <is>
          <t>저축성</t>
        </is>
      </c>
      <c r="E774" s="92" t="inlineStr">
        <is>
          <t>GMM</t>
        </is>
      </c>
      <c r="F774" s="92" t="inlineStr">
        <is>
          <t>F99</t>
        </is>
      </c>
      <c r="G774" s="92" t="inlineStr">
        <is>
          <t>기말잔액</t>
        </is>
      </c>
      <c r="H774" s="93" t="n">
        <v>715515075000</v>
      </c>
      <c r="I774" s="93" t="n">
        <v>30498900000</v>
      </c>
      <c r="J774" s="93" t="n">
        <v>100905354000</v>
      </c>
      <c r="L774" s="9">
        <f>IF($A774="","",VALUE($A774&amp;"")*12+VALUE($B774&amp;""))</f>
        <v/>
      </c>
      <c r="M774" s="94">
        <f>IF($A774="",0,$H774*설정!$C$23)</f>
        <v/>
      </c>
      <c r="N774" s="94">
        <f>IF($A774="",0,$I774*설정!$C$23)</f>
        <v/>
      </c>
      <c r="O774" s="94">
        <f>IF($A774="",0,$J774*설정!$C$23)</f>
        <v/>
      </c>
      <c r="P774" s="64">
        <f>IF($A774="","",IFERROR(INDEX(입력옵션!$C$58:$C$68,MATCH($F774&amp;"",입력옵션!$E$58:$E$68,0)),IFERROR(INDEX(입력옵션!$C$58:$C$68,MATCH($G774&amp;"",입력옵션!$F$58:$F$68,0)),$F774&amp;"")))</f>
        <v/>
      </c>
    </row>
    <row r="775">
      <c r="A775" s="92" t="n">
        <v>2026</v>
      </c>
      <c r="B775" s="92" t="n">
        <v>6</v>
      </c>
      <c r="C775" s="92" t="inlineStr">
        <is>
          <t>PF03</t>
        </is>
      </c>
      <c r="D775" s="92" t="inlineStr">
        <is>
          <t>단체(단기)</t>
        </is>
      </c>
      <c r="E775" s="92" t="inlineStr">
        <is>
          <t>PAA</t>
        </is>
      </c>
      <c r="F775" s="92" t="inlineStr">
        <is>
          <t>F00</t>
        </is>
      </c>
      <c r="G775" s="92" t="inlineStr">
        <is>
          <t>기초잔액</t>
        </is>
      </c>
      <c r="H775" s="93" t="n">
        <v>43326506000</v>
      </c>
      <c r="I775" s="93" t="n">
        <v>2436226000</v>
      </c>
      <c r="J775" s="93" t="n">
        <v>0</v>
      </c>
      <c r="L775" s="9">
        <f>IF($A775="","",VALUE($A775&amp;"")*12+VALUE($B775&amp;""))</f>
        <v/>
      </c>
      <c r="M775" s="94">
        <f>IF($A775="",0,$H775*설정!$C$23)</f>
        <v/>
      </c>
      <c r="N775" s="94">
        <f>IF($A775="",0,$I775*설정!$C$23)</f>
        <v/>
      </c>
      <c r="O775" s="94">
        <f>IF($A775="",0,$J775*설정!$C$23)</f>
        <v/>
      </c>
      <c r="P775" s="64">
        <f>IF($A775="","",IFERROR(INDEX(입력옵션!$C$58:$C$68,MATCH($F775&amp;"",입력옵션!$E$58:$E$68,0)),IFERROR(INDEX(입력옵션!$C$58:$C$68,MATCH($G775&amp;"",입력옵션!$F$58:$F$68,0)),$F775&amp;"")))</f>
        <v/>
      </c>
    </row>
    <row r="776">
      <c r="A776" s="92" t="n">
        <v>2026</v>
      </c>
      <c r="B776" s="92" t="n">
        <v>6</v>
      </c>
      <c r="C776" s="92" t="inlineStr">
        <is>
          <t>PF03</t>
        </is>
      </c>
      <c r="D776" s="92" t="inlineStr">
        <is>
          <t>단체(단기)</t>
        </is>
      </c>
      <c r="E776" s="92" t="inlineStr">
        <is>
          <t>PAA</t>
        </is>
      </c>
      <c r="F776" s="92" t="inlineStr">
        <is>
          <t>F10</t>
        </is>
      </c>
      <c r="G776" s="92" t="inlineStr">
        <is>
          <t>신계약 효과</t>
        </is>
      </c>
      <c r="H776" s="93" t="n">
        <v>0</v>
      </c>
      <c r="I776" s="93" t="n">
        <v>0</v>
      </c>
      <c r="J776" s="93" t="n">
        <v>0</v>
      </c>
      <c r="L776" s="9">
        <f>IF($A776="","",VALUE($A776&amp;"")*12+VALUE($B776&amp;""))</f>
        <v/>
      </c>
      <c r="M776" s="94">
        <f>IF($A776="",0,$H776*설정!$C$23)</f>
        <v/>
      </c>
      <c r="N776" s="94">
        <f>IF($A776="",0,$I776*설정!$C$23)</f>
        <v/>
      </c>
      <c r="O776" s="94">
        <f>IF($A776="",0,$J776*설정!$C$23)</f>
        <v/>
      </c>
      <c r="P776" s="64">
        <f>IF($A776="","",IFERROR(INDEX(입력옵션!$C$58:$C$68,MATCH($F776&amp;"",입력옵션!$E$58:$E$68,0)),IFERROR(INDEX(입력옵션!$C$58:$C$68,MATCH($G776&amp;"",입력옵션!$F$58:$F$68,0)),$F776&amp;"")))</f>
        <v/>
      </c>
    </row>
    <row r="777">
      <c r="A777" s="92" t="n">
        <v>2026</v>
      </c>
      <c r="B777" s="92" t="n">
        <v>6</v>
      </c>
      <c r="C777" s="92" t="inlineStr">
        <is>
          <t>PF03</t>
        </is>
      </c>
      <c r="D777" s="92" t="inlineStr">
        <is>
          <t>단체(단기)</t>
        </is>
      </c>
      <c r="E777" s="92" t="inlineStr">
        <is>
          <t>PAA</t>
        </is>
      </c>
      <c r="F777" s="92" t="inlineStr">
        <is>
          <t>F21</t>
        </is>
      </c>
      <c r="G777" s="92" t="inlineStr">
        <is>
          <t>가정변경-사업비</t>
        </is>
      </c>
      <c r="H777" s="93" t="n">
        <v>0</v>
      </c>
      <c r="I777" s="93" t="n">
        <v>0</v>
      </c>
      <c r="J777" s="93" t="n">
        <v>0</v>
      </c>
      <c r="L777" s="9">
        <f>IF($A777="","",VALUE($A777&amp;"")*12+VALUE($B777&amp;""))</f>
        <v/>
      </c>
      <c r="M777" s="94">
        <f>IF($A777="",0,$H777*설정!$C$23)</f>
        <v/>
      </c>
      <c r="N777" s="94">
        <f>IF($A777="",0,$I777*설정!$C$23)</f>
        <v/>
      </c>
      <c r="O777" s="94">
        <f>IF($A777="",0,$J777*설정!$C$23)</f>
        <v/>
      </c>
      <c r="P777" s="64">
        <f>IF($A777="","",IFERROR(INDEX(입력옵션!$C$58:$C$68,MATCH($F777&amp;"",입력옵션!$E$58:$E$68,0)),IFERROR(INDEX(입력옵션!$C$58:$C$68,MATCH($G777&amp;"",입력옵션!$F$58:$F$68,0)),$F777&amp;"")))</f>
        <v/>
      </c>
    </row>
    <row r="778">
      <c r="A778" s="92" t="n">
        <v>2026</v>
      </c>
      <c r="B778" s="92" t="n">
        <v>6</v>
      </c>
      <c r="C778" s="92" t="inlineStr">
        <is>
          <t>PF03</t>
        </is>
      </c>
      <c r="D778" s="92" t="inlineStr">
        <is>
          <t>단체(단기)</t>
        </is>
      </c>
      <c r="E778" s="92" t="inlineStr">
        <is>
          <t>PAA</t>
        </is>
      </c>
      <c r="F778" s="92" t="inlineStr">
        <is>
          <t>F22</t>
        </is>
      </c>
      <c r="G778" s="92" t="inlineStr">
        <is>
          <t>가정변경-기타</t>
        </is>
      </c>
      <c r="H778" s="93" t="n">
        <v>0</v>
      </c>
      <c r="I778" s="93" t="n">
        <v>0</v>
      </c>
      <c r="J778" s="93" t="n">
        <v>0</v>
      </c>
      <c r="L778" s="9">
        <f>IF($A778="","",VALUE($A778&amp;"")*12+VALUE($B778&amp;""))</f>
        <v/>
      </c>
      <c r="M778" s="94">
        <f>IF($A778="",0,$H778*설정!$C$23)</f>
        <v/>
      </c>
      <c r="N778" s="94">
        <f>IF($A778="",0,$I778*설정!$C$23)</f>
        <v/>
      </c>
      <c r="O778" s="94">
        <f>IF($A778="",0,$J778*설정!$C$23)</f>
        <v/>
      </c>
      <c r="P778" s="64">
        <f>IF($A778="","",IFERROR(INDEX(입력옵션!$C$58:$C$68,MATCH($F778&amp;"",입력옵션!$E$58:$E$68,0)),IFERROR(INDEX(입력옵션!$C$58:$C$68,MATCH($G778&amp;"",입력옵션!$F$58:$F$68,0)),$F778&amp;"")))</f>
        <v/>
      </c>
    </row>
    <row r="779">
      <c r="A779" s="92" t="n">
        <v>2026</v>
      </c>
      <c r="B779" s="92" t="n">
        <v>6</v>
      </c>
      <c r="C779" s="92" t="inlineStr">
        <is>
          <t>PF03</t>
        </is>
      </c>
      <c r="D779" s="92" t="inlineStr">
        <is>
          <t>단체(단기)</t>
        </is>
      </c>
      <c r="E779" s="92" t="inlineStr">
        <is>
          <t>PAA</t>
        </is>
      </c>
      <c r="F779" s="92" t="inlineStr">
        <is>
          <t>F31</t>
        </is>
      </c>
      <c r="G779" s="92" t="inlineStr">
        <is>
          <t>경험조정-취득현금흐름</t>
        </is>
      </c>
      <c r="H779" s="93" t="n">
        <v>0</v>
      </c>
      <c r="I779" s="93" t="n">
        <v>0</v>
      </c>
      <c r="J779" s="93" t="n">
        <v>0</v>
      </c>
      <c r="L779" s="9">
        <f>IF($A779="","",VALUE($A779&amp;"")*12+VALUE($B779&amp;""))</f>
        <v/>
      </c>
      <c r="M779" s="94">
        <f>IF($A779="",0,$H779*설정!$C$23)</f>
        <v/>
      </c>
      <c r="N779" s="94">
        <f>IF($A779="",0,$I779*설정!$C$23)</f>
        <v/>
      </c>
      <c r="O779" s="94">
        <f>IF($A779="",0,$J779*설정!$C$23)</f>
        <v/>
      </c>
      <c r="P779" s="64">
        <f>IF($A779="","",IFERROR(INDEX(입력옵션!$C$58:$C$68,MATCH($F779&amp;"",입력옵션!$E$58:$E$68,0)),IFERROR(INDEX(입력옵션!$C$58:$C$68,MATCH($G779&amp;"",입력옵션!$F$58:$F$68,0)),$F779&amp;"")))</f>
        <v/>
      </c>
    </row>
    <row r="780">
      <c r="A780" s="92" t="n">
        <v>2026</v>
      </c>
      <c r="B780" s="92" t="n">
        <v>6</v>
      </c>
      <c r="C780" s="92" t="inlineStr">
        <is>
          <t>PF03</t>
        </is>
      </c>
      <c r="D780" s="92" t="inlineStr">
        <is>
          <t>단체(단기)</t>
        </is>
      </c>
      <c r="E780" s="92" t="inlineStr">
        <is>
          <t>PAA</t>
        </is>
      </c>
      <c r="F780" s="92" t="inlineStr">
        <is>
          <t>F32</t>
        </is>
      </c>
      <c r="G780" s="92" t="inlineStr">
        <is>
          <t>경험조정-보험료 등</t>
        </is>
      </c>
      <c r="H780" s="93" t="n">
        <v>0</v>
      </c>
      <c r="I780" s="93" t="n">
        <v>0</v>
      </c>
      <c r="J780" s="93" t="n">
        <v>0</v>
      </c>
      <c r="L780" s="9">
        <f>IF($A780="","",VALUE($A780&amp;"")*12+VALUE($B780&amp;""))</f>
        <v/>
      </c>
      <c r="M780" s="94">
        <f>IF($A780="",0,$H780*설정!$C$23)</f>
        <v/>
      </c>
      <c r="N780" s="94">
        <f>IF($A780="",0,$I780*설정!$C$23)</f>
        <v/>
      </c>
      <c r="O780" s="94">
        <f>IF($A780="",0,$J780*설정!$C$23)</f>
        <v/>
      </c>
      <c r="P780" s="64">
        <f>IF($A780="","",IFERROR(INDEX(입력옵션!$C$58:$C$68,MATCH($F780&amp;"",입력옵션!$E$58:$E$68,0)),IFERROR(INDEX(입력옵션!$C$58:$C$68,MATCH($G780&amp;"",입력옵션!$F$58:$F$68,0)),$F780&amp;"")))</f>
        <v/>
      </c>
    </row>
    <row r="781">
      <c r="A781" s="92" t="n">
        <v>2026</v>
      </c>
      <c r="B781" s="92" t="n">
        <v>6</v>
      </c>
      <c r="C781" s="92" t="inlineStr">
        <is>
          <t>PF03</t>
        </is>
      </c>
      <c r="D781" s="92" t="inlineStr">
        <is>
          <t>단체(단기)</t>
        </is>
      </c>
      <c r="E781" s="92" t="inlineStr">
        <is>
          <t>PAA</t>
        </is>
      </c>
      <c r="F781" s="92" t="inlineStr">
        <is>
          <t>F40</t>
        </is>
      </c>
      <c r="G781" s="92" t="inlineStr">
        <is>
          <t>보험금융비용(이자부리)</t>
        </is>
      </c>
      <c r="H781" s="93" t="n">
        <v>0</v>
      </c>
      <c r="I781" s="93" t="n">
        <v>0</v>
      </c>
      <c r="J781" s="93" t="n">
        <v>0</v>
      </c>
      <c r="L781" s="9">
        <f>IF($A781="","",VALUE($A781&amp;"")*12+VALUE($B781&amp;""))</f>
        <v/>
      </c>
      <c r="M781" s="94">
        <f>IF($A781="",0,$H781*설정!$C$23)</f>
        <v/>
      </c>
      <c r="N781" s="94">
        <f>IF($A781="",0,$I781*설정!$C$23)</f>
        <v/>
      </c>
      <c r="O781" s="94">
        <f>IF($A781="",0,$J781*설정!$C$23)</f>
        <v/>
      </c>
      <c r="P781" s="64">
        <f>IF($A781="","",IFERROR(INDEX(입력옵션!$C$58:$C$68,MATCH($F781&amp;"",입력옵션!$E$58:$E$68,0)),IFERROR(INDEX(입력옵션!$C$58:$C$68,MATCH($G781&amp;"",입력옵션!$F$58:$F$68,0)),$F781&amp;"")))</f>
        <v/>
      </c>
    </row>
    <row r="782">
      <c r="A782" s="92" t="n">
        <v>2026</v>
      </c>
      <c r="B782" s="92" t="n">
        <v>6</v>
      </c>
      <c r="C782" s="92" t="inlineStr">
        <is>
          <t>PF03</t>
        </is>
      </c>
      <c r="D782" s="92" t="inlineStr">
        <is>
          <t>단체(단기)</t>
        </is>
      </c>
      <c r="E782" s="92" t="inlineStr">
        <is>
          <t>PAA</t>
        </is>
      </c>
      <c r="F782" s="92" t="inlineStr">
        <is>
          <t>F51</t>
        </is>
      </c>
      <c r="G782" s="92" t="inlineStr">
        <is>
          <t>CSM 상각</t>
        </is>
      </c>
      <c r="H782" s="93" t="n">
        <v>0</v>
      </c>
      <c r="I782" s="93" t="n">
        <v>0</v>
      </c>
      <c r="J782" s="93" t="n">
        <v>0</v>
      </c>
      <c r="L782" s="9">
        <f>IF($A782="","",VALUE($A782&amp;"")*12+VALUE($B782&amp;""))</f>
        <v/>
      </c>
      <c r="M782" s="94">
        <f>IF($A782="",0,$H782*설정!$C$23)</f>
        <v/>
      </c>
      <c r="N782" s="94">
        <f>IF($A782="",0,$I782*설정!$C$23)</f>
        <v/>
      </c>
      <c r="O782" s="94">
        <f>IF($A782="",0,$J782*설정!$C$23)</f>
        <v/>
      </c>
      <c r="P782" s="64">
        <f>IF($A782="","",IFERROR(INDEX(입력옵션!$C$58:$C$68,MATCH($F782&amp;"",입력옵션!$E$58:$E$68,0)),IFERROR(INDEX(입력옵션!$C$58:$C$68,MATCH($G782&amp;"",입력옵션!$F$58:$F$68,0)),$F782&amp;"")))</f>
        <v/>
      </c>
    </row>
    <row r="783">
      <c r="A783" s="92" t="n">
        <v>2026</v>
      </c>
      <c r="B783" s="92" t="n">
        <v>6</v>
      </c>
      <c r="C783" s="92" t="inlineStr">
        <is>
          <t>PF03</t>
        </is>
      </c>
      <c r="D783" s="92" t="inlineStr">
        <is>
          <t>단체(단기)</t>
        </is>
      </c>
      <c r="E783" s="92" t="inlineStr">
        <is>
          <t>PAA</t>
        </is>
      </c>
      <c r="F783" s="92" t="inlineStr">
        <is>
          <t>F52</t>
        </is>
      </c>
      <c r="G783" s="92" t="inlineStr">
        <is>
          <t>RA 해제</t>
        </is>
      </c>
      <c r="H783" s="93" t="n">
        <v>0</v>
      </c>
      <c r="I783" s="93" t="n">
        <v>-14617000</v>
      </c>
      <c r="J783" s="93" t="n">
        <v>0</v>
      </c>
      <c r="L783" s="9">
        <f>IF($A783="","",VALUE($A783&amp;"")*12+VALUE($B783&amp;""))</f>
        <v/>
      </c>
      <c r="M783" s="94">
        <f>IF($A783="",0,$H783*설정!$C$23)</f>
        <v/>
      </c>
      <c r="N783" s="94">
        <f>IF($A783="",0,$I783*설정!$C$23)</f>
        <v/>
      </c>
      <c r="O783" s="94">
        <f>IF($A783="",0,$J783*설정!$C$23)</f>
        <v/>
      </c>
      <c r="P783" s="64">
        <f>IF($A783="","",IFERROR(INDEX(입력옵션!$C$58:$C$68,MATCH($F783&amp;"",입력옵션!$E$58:$E$68,0)),IFERROR(INDEX(입력옵션!$C$58:$C$68,MATCH($G783&amp;"",입력옵션!$F$58:$F$68,0)),$F783&amp;"")))</f>
        <v/>
      </c>
    </row>
    <row r="784">
      <c r="A784" s="92" t="n">
        <v>2026</v>
      </c>
      <c r="B784" s="92" t="n">
        <v>6</v>
      </c>
      <c r="C784" s="92" t="inlineStr">
        <is>
          <t>PF03</t>
        </is>
      </c>
      <c r="D784" s="92" t="inlineStr">
        <is>
          <t>단체(단기)</t>
        </is>
      </c>
      <c r="E784" s="92" t="inlineStr">
        <is>
          <t>PAA</t>
        </is>
      </c>
      <c r="F784" s="92" t="inlineStr">
        <is>
          <t>F60</t>
        </is>
      </c>
      <c r="G784" s="92" t="inlineStr">
        <is>
          <t>현금흐름 및 기타</t>
        </is>
      </c>
      <c r="H784" s="93" t="n">
        <v>38044000</v>
      </c>
      <c r="I784" s="93" t="n">
        <v>18303000</v>
      </c>
      <c r="J784" s="93" t="n">
        <v>0</v>
      </c>
      <c r="L784" s="9">
        <f>IF($A784="","",VALUE($A784&amp;"")*12+VALUE($B784&amp;""))</f>
        <v/>
      </c>
      <c r="M784" s="94">
        <f>IF($A784="",0,$H784*설정!$C$23)</f>
        <v/>
      </c>
      <c r="N784" s="94">
        <f>IF($A784="",0,$I784*설정!$C$23)</f>
        <v/>
      </c>
      <c r="O784" s="94">
        <f>IF($A784="",0,$J784*설정!$C$23)</f>
        <v/>
      </c>
      <c r="P784" s="64">
        <f>IF($A784="","",IFERROR(INDEX(입력옵션!$C$58:$C$68,MATCH($F784&amp;"",입력옵션!$E$58:$E$68,0)),IFERROR(INDEX(입력옵션!$C$58:$C$68,MATCH($G784&amp;"",입력옵션!$F$58:$F$68,0)),$F784&amp;"")))</f>
        <v/>
      </c>
    </row>
    <row r="785">
      <c r="A785" s="92" t="n">
        <v>2026</v>
      </c>
      <c r="B785" s="92" t="n">
        <v>6</v>
      </c>
      <c r="C785" s="92" t="inlineStr">
        <is>
          <t>PF03</t>
        </is>
      </c>
      <c r="D785" s="92" t="inlineStr">
        <is>
          <t>단체(단기)</t>
        </is>
      </c>
      <c r="E785" s="92" t="inlineStr">
        <is>
          <t>PAA</t>
        </is>
      </c>
      <c r="F785" s="92" t="inlineStr">
        <is>
          <t>F99</t>
        </is>
      </c>
      <c r="G785" s="92" t="inlineStr">
        <is>
          <t>기말잔액</t>
        </is>
      </c>
      <c r="H785" s="93" t="n">
        <v>43364550000</v>
      </c>
      <c r="I785" s="93" t="n">
        <v>2439912000</v>
      </c>
      <c r="J785" s="93" t="n">
        <v>0</v>
      </c>
      <c r="L785" s="9">
        <f>IF($A785="","",VALUE($A785&amp;"")*12+VALUE($B785&amp;""))</f>
        <v/>
      </c>
      <c r="M785" s="94">
        <f>IF($A785="",0,$H785*설정!$C$23)</f>
        <v/>
      </c>
      <c r="N785" s="94">
        <f>IF($A785="",0,$I785*설정!$C$23)</f>
        <v/>
      </c>
      <c r="O785" s="94">
        <f>IF($A785="",0,$J785*설정!$C$23)</f>
        <v/>
      </c>
      <c r="P785" s="64">
        <f>IF($A785="","",IFERROR(INDEX(입력옵션!$C$58:$C$68,MATCH($F785&amp;"",입력옵션!$E$58:$E$68,0)),IFERROR(INDEX(입력옵션!$C$58:$C$68,MATCH($G785&amp;"",입력옵션!$F$58:$F$68,0)),$F785&amp;"")))</f>
        <v/>
      </c>
    </row>
    <row r="786">
      <c r="A786" s="92" t="n">
        <v>2026</v>
      </c>
      <c r="B786" s="92" t="n">
        <v>6</v>
      </c>
      <c r="C786" s="92" t="inlineStr">
        <is>
          <t>PF04</t>
        </is>
      </c>
      <c r="D786" s="92" t="inlineStr">
        <is>
          <t>변액</t>
        </is>
      </c>
      <c r="E786" s="92" t="inlineStr">
        <is>
          <t>VFA</t>
        </is>
      </c>
      <c r="F786" s="92" t="inlineStr">
        <is>
          <t>F00</t>
        </is>
      </c>
      <c r="G786" s="92" t="inlineStr">
        <is>
          <t>기초잔액</t>
        </is>
      </c>
      <c r="H786" s="93" t="n">
        <v>324948795000</v>
      </c>
      <c r="I786" s="93" t="n">
        <v>15835469000</v>
      </c>
      <c r="J786" s="93" t="n">
        <v>52641199000</v>
      </c>
      <c r="L786" s="9">
        <f>IF($A786="","",VALUE($A786&amp;"")*12+VALUE($B786&amp;""))</f>
        <v/>
      </c>
      <c r="M786" s="94">
        <f>IF($A786="",0,$H786*설정!$C$23)</f>
        <v/>
      </c>
      <c r="N786" s="94">
        <f>IF($A786="",0,$I786*설정!$C$23)</f>
        <v/>
      </c>
      <c r="O786" s="94">
        <f>IF($A786="",0,$J786*설정!$C$23)</f>
        <v/>
      </c>
      <c r="P786" s="64">
        <f>IF($A786="","",IFERROR(INDEX(입력옵션!$C$58:$C$68,MATCH($F786&amp;"",입력옵션!$E$58:$E$68,0)),IFERROR(INDEX(입력옵션!$C$58:$C$68,MATCH($G786&amp;"",입력옵션!$F$58:$F$68,0)),$F786&amp;"")))</f>
        <v/>
      </c>
    </row>
    <row r="787">
      <c r="A787" s="92" t="n">
        <v>2026</v>
      </c>
      <c r="B787" s="92" t="n">
        <v>6</v>
      </c>
      <c r="C787" s="92" t="inlineStr">
        <is>
          <t>PF04</t>
        </is>
      </c>
      <c r="D787" s="92" t="inlineStr">
        <is>
          <t>변액</t>
        </is>
      </c>
      <c r="E787" s="92" t="inlineStr">
        <is>
          <t>VFA</t>
        </is>
      </c>
      <c r="F787" s="92" t="inlineStr">
        <is>
          <t>F10</t>
        </is>
      </c>
      <c r="G787" s="92" t="inlineStr">
        <is>
          <t>신계약 효과</t>
        </is>
      </c>
      <c r="H787" s="93" t="n">
        <v>-671778000</v>
      </c>
      <c r="I787" s="93" t="n">
        <v>134356000</v>
      </c>
      <c r="J787" s="93" t="n">
        <v>537423000</v>
      </c>
      <c r="L787" s="9">
        <f>IF($A787="","",VALUE($A787&amp;"")*12+VALUE($B787&amp;""))</f>
        <v/>
      </c>
      <c r="M787" s="94">
        <f>IF($A787="",0,$H787*설정!$C$23)</f>
        <v/>
      </c>
      <c r="N787" s="94">
        <f>IF($A787="",0,$I787*설정!$C$23)</f>
        <v/>
      </c>
      <c r="O787" s="94">
        <f>IF($A787="",0,$J787*설정!$C$23)</f>
        <v/>
      </c>
      <c r="P787" s="64">
        <f>IF($A787="","",IFERROR(INDEX(입력옵션!$C$58:$C$68,MATCH($F787&amp;"",입력옵션!$E$58:$E$68,0)),IFERROR(INDEX(입력옵션!$C$58:$C$68,MATCH($G787&amp;"",입력옵션!$F$58:$F$68,0)),$F787&amp;"")))</f>
        <v/>
      </c>
    </row>
    <row r="788">
      <c r="A788" s="92" t="n">
        <v>2026</v>
      </c>
      <c r="B788" s="92" t="n">
        <v>6</v>
      </c>
      <c r="C788" s="92" t="inlineStr">
        <is>
          <t>PF04</t>
        </is>
      </c>
      <c r="D788" s="92" t="inlineStr">
        <is>
          <t>변액</t>
        </is>
      </c>
      <c r="E788" s="92" t="inlineStr">
        <is>
          <t>VFA</t>
        </is>
      </c>
      <c r="F788" s="92" t="inlineStr">
        <is>
          <t>F21</t>
        </is>
      </c>
      <c r="G788" s="92" t="inlineStr">
        <is>
          <t>가정변경-사업비</t>
        </is>
      </c>
      <c r="H788" s="93" t="n">
        <v>0</v>
      </c>
      <c r="I788" s="93" t="n">
        <v>0</v>
      </c>
      <c r="J788" s="93" t="n">
        <v>0</v>
      </c>
      <c r="L788" s="9">
        <f>IF($A788="","",VALUE($A788&amp;"")*12+VALUE($B788&amp;""))</f>
        <v/>
      </c>
      <c r="M788" s="94">
        <f>IF($A788="",0,$H788*설정!$C$23)</f>
        <v/>
      </c>
      <c r="N788" s="94">
        <f>IF($A788="",0,$I788*설정!$C$23)</f>
        <v/>
      </c>
      <c r="O788" s="94">
        <f>IF($A788="",0,$J788*설정!$C$23)</f>
        <v/>
      </c>
      <c r="P788" s="64">
        <f>IF($A788="","",IFERROR(INDEX(입력옵션!$C$58:$C$68,MATCH($F788&amp;"",입력옵션!$E$58:$E$68,0)),IFERROR(INDEX(입력옵션!$C$58:$C$68,MATCH($G788&amp;"",입력옵션!$F$58:$F$68,0)),$F788&amp;"")))</f>
        <v/>
      </c>
    </row>
    <row r="789">
      <c r="A789" s="92" t="n">
        <v>2026</v>
      </c>
      <c r="B789" s="92" t="n">
        <v>6</v>
      </c>
      <c r="C789" s="92" t="inlineStr">
        <is>
          <t>PF04</t>
        </is>
      </c>
      <c r="D789" s="92" t="inlineStr">
        <is>
          <t>변액</t>
        </is>
      </c>
      <c r="E789" s="92" t="inlineStr">
        <is>
          <t>VFA</t>
        </is>
      </c>
      <c r="F789" s="92" t="inlineStr">
        <is>
          <t>F22</t>
        </is>
      </c>
      <c r="G789" s="92" t="inlineStr">
        <is>
          <t>가정변경-기타</t>
        </is>
      </c>
      <c r="H789" s="93" t="n">
        <v>0</v>
      </c>
      <c r="I789" s="93" t="n">
        <v>0</v>
      </c>
      <c r="J789" s="93" t="n">
        <v>0</v>
      </c>
      <c r="L789" s="9">
        <f>IF($A789="","",VALUE($A789&amp;"")*12+VALUE($B789&amp;""))</f>
        <v/>
      </c>
      <c r="M789" s="94">
        <f>IF($A789="",0,$H789*설정!$C$23)</f>
        <v/>
      </c>
      <c r="N789" s="94">
        <f>IF($A789="",0,$I789*설정!$C$23)</f>
        <v/>
      </c>
      <c r="O789" s="94">
        <f>IF($A789="",0,$J789*설정!$C$23)</f>
        <v/>
      </c>
      <c r="P789" s="64">
        <f>IF($A789="","",IFERROR(INDEX(입력옵션!$C$58:$C$68,MATCH($F789&amp;"",입력옵션!$E$58:$E$68,0)),IFERROR(INDEX(입력옵션!$C$58:$C$68,MATCH($G789&amp;"",입력옵션!$F$58:$F$68,0)),$F789&amp;"")))</f>
        <v/>
      </c>
    </row>
    <row r="790">
      <c r="A790" s="92" t="n">
        <v>2026</v>
      </c>
      <c r="B790" s="92" t="n">
        <v>6</v>
      </c>
      <c r="C790" s="92" t="inlineStr">
        <is>
          <t>PF04</t>
        </is>
      </c>
      <c r="D790" s="92" t="inlineStr">
        <is>
          <t>변액</t>
        </is>
      </c>
      <c r="E790" s="92" t="inlineStr">
        <is>
          <t>VFA</t>
        </is>
      </c>
      <c r="F790" s="92" t="inlineStr">
        <is>
          <t>F31</t>
        </is>
      </c>
      <c r="G790" s="92" t="inlineStr">
        <is>
          <t>경험조정-취득현금흐름</t>
        </is>
      </c>
      <c r="H790" s="93" t="n">
        <v>0</v>
      </c>
      <c r="I790" s="93" t="n">
        <v>0</v>
      </c>
      <c r="J790" s="93" t="n">
        <v>372000</v>
      </c>
      <c r="L790" s="9">
        <f>IF($A790="","",VALUE($A790&amp;"")*12+VALUE($B790&amp;""))</f>
        <v/>
      </c>
      <c r="M790" s="94">
        <f>IF($A790="",0,$H790*설정!$C$23)</f>
        <v/>
      </c>
      <c r="N790" s="94">
        <f>IF($A790="",0,$I790*설정!$C$23)</f>
        <v/>
      </c>
      <c r="O790" s="94">
        <f>IF($A790="",0,$J790*설정!$C$23)</f>
        <v/>
      </c>
      <c r="P790" s="64">
        <f>IF($A790="","",IFERROR(INDEX(입력옵션!$C$58:$C$68,MATCH($F790&amp;"",입력옵션!$E$58:$E$68,0)),IFERROR(INDEX(입력옵션!$C$58:$C$68,MATCH($G790&amp;"",입력옵션!$F$58:$F$68,0)),$F790&amp;"")))</f>
        <v/>
      </c>
    </row>
    <row r="791">
      <c r="A791" s="92" t="n">
        <v>2026</v>
      </c>
      <c r="B791" s="92" t="n">
        <v>6</v>
      </c>
      <c r="C791" s="92" t="inlineStr">
        <is>
          <t>PF04</t>
        </is>
      </c>
      <c r="D791" s="92" t="inlineStr">
        <is>
          <t>변액</t>
        </is>
      </c>
      <c r="E791" s="92" t="inlineStr">
        <is>
          <t>VFA</t>
        </is>
      </c>
      <c r="F791" s="92" t="inlineStr">
        <is>
          <t>F32</t>
        </is>
      </c>
      <c r="G791" s="92" t="inlineStr">
        <is>
          <t>경험조정-보험료 등</t>
        </is>
      </c>
      <c r="H791" s="93" t="n">
        <v>0</v>
      </c>
      <c r="I791" s="93" t="n">
        <v>0</v>
      </c>
      <c r="J791" s="93" t="n">
        <v>-113341000</v>
      </c>
      <c r="L791" s="9">
        <f>IF($A791="","",VALUE($A791&amp;"")*12+VALUE($B791&amp;""))</f>
        <v/>
      </c>
      <c r="M791" s="94">
        <f>IF($A791="",0,$H791*설정!$C$23)</f>
        <v/>
      </c>
      <c r="N791" s="94">
        <f>IF($A791="",0,$I791*설정!$C$23)</f>
        <v/>
      </c>
      <c r="O791" s="94">
        <f>IF($A791="",0,$J791*설정!$C$23)</f>
        <v/>
      </c>
      <c r="P791" s="64">
        <f>IF($A791="","",IFERROR(INDEX(입력옵션!$C$58:$C$68,MATCH($F791&amp;"",입력옵션!$E$58:$E$68,0)),IFERROR(INDEX(입력옵션!$C$58:$C$68,MATCH($G791&amp;"",입력옵션!$F$58:$F$68,0)),$F791&amp;"")))</f>
        <v/>
      </c>
    </row>
    <row r="792">
      <c r="A792" s="92" t="n">
        <v>2026</v>
      </c>
      <c r="B792" s="92" t="n">
        <v>6</v>
      </c>
      <c r="C792" s="92" t="inlineStr">
        <is>
          <t>PF04</t>
        </is>
      </c>
      <c r="D792" s="92" t="inlineStr">
        <is>
          <t>변액</t>
        </is>
      </c>
      <c r="E792" s="92" t="inlineStr">
        <is>
          <t>VFA</t>
        </is>
      </c>
      <c r="F792" s="92" t="inlineStr">
        <is>
          <t>F40</t>
        </is>
      </c>
      <c r="G792" s="92" t="inlineStr">
        <is>
          <t>보험금융비용(이자부리)</t>
        </is>
      </c>
      <c r="H792" s="93" t="n">
        <v>812372000</v>
      </c>
      <c r="I792" s="93" t="n">
        <v>31671000</v>
      </c>
      <c r="J792" s="93" t="n">
        <v>131603000</v>
      </c>
      <c r="L792" s="9">
        <f>IF($A792="","",VALUE($A792&amp;"")*12+VALUE($B792&amp;""))</f>
        <v/>
      </c>
      <c r="M792" s="94">
        <f>IF($A792="",0,$H792*설정!$C$23)</f>
        <v/>
      </c>
      <c r="N792" s="94">
        <f>IF($A792="",0,$I792*설정!$C$23)</f>
        <v/>
      </c>
      <c r="O792" s="94">
        <f>IF($A792="",0,$J792*설정!$C$23)</f>
        <v/>
      </c>
      <c r="P792" s="64">
        <f>IF($A792="","",IFERROR(INDEX(입력옵션!$C$58:$C$68,MATCH($F792&amp;"",입력옵션!$E$58:$E$68,0)),IFERROR(INDEX(입력옵션!$C$58:$C$68,MATCH($G792&amp;"",입력옵션!$F$58:$F$68,0)),$F792&amp;"")))</f>
        <v/>
      </c>
    </row>
    <row r="793">
      <c r="A793" s="92" t="n">
        <v>2026</v>
      </c>
      <c r="B793" s="92" t="n">
        <v>6</v>
      </c>
      <c r="C793" s="92" t="inlineStr">
        <is>
          <t>PF04</t>
        </is>
      </c>
      <c r="D793" s="92" t="inlineStr">
        <is>
          <t>변액</t>
        </is>
      </c>
      <c r="E793" s="92" t="inlineStr">
        <is>
          <t>VFA</t>
        </is>
      </c>
      <c r="F793" s="92" t="inlineStr">
        <is>
          <t>F51</t>
        </is>
      </c>
      <c r="G793" s="92" t="inlineStr">
        <is>
          <t>CSM 상각</t>
        </is>
      </c>
      <c r="H793" s="93" t="n">
        <v>0</v>
      </c>
      <c r="I793" s="93" t="n">
        <v>0</v>
      </c>
      <c r="J793" s="93" t="n">
        <v>-473771000</v>
      </c>
      <c r="L793" s="9">
        <f>IF($A793="","",VALUE($A793&amp;"")*12+VALUE($B793&amp;""))</f>
        <v/>
      </c>
      <c r="M793" s="94">
        <f>IF($A793="",0,$H793*설정!$C$23)</f>
        <v/>
      </c>
      <c r="N793" s="94">
        <f>IF($A793="",0,$I793*설정!$C$23)</f>
        <v/>
      </c>
      <c r="O793" s="94">
        <f>IF($A793="",0,$J793*설정!$C$23)</f>
        <v/>
      </c>
      <c r="P793" s="64">
        <f>IF($A793="","",IFERROR(INDEX(입력옵션!$C$58:$C$68,MATCH($F793&amp;"",입력옵션!$E$58:$E$68,0)),IFERROR(INDEX(입력옵션!$C$58:$C$68,MATCH($G793&amp;"",입력옵션!$F$58:$F$68,0)),$F793&amp;"")))</f>
        <v/>
      </c>
    </row>
    <row r="794">
      <c r="A794" s="92" t="n">
        <v>2026</v>
      </c>
      <c r="B794" s="92" t="n">
        <v>6</v>
      </c>
      <c r="C794" s="92" t="inlineStr">
        <is>
          <t>PF04</t>
        </is>
      </c>
      <c r="D794" s="92" t="inlineStr">
        <is>
          <t>변액</t>
        </is>
      </c>
      <c r="E794" s="92" t="inlineStr">
        <is>
          <t>VFA</t>
        </is>
      </c>
      <c r="F794" s="92" t="inlineStr">
        <is>
          <t>F52</t>
        </is>
      </c>
      <c r="G794" s="92" t="inlineStr">
        <is>
          <t>RA 해제</t>
        </is>
      </c>
      <c r="H794" s="93" t="n">
        <v>0</v>
      </c>
      <c r="I794" s="93" t="n">
        <v>-95013000</v>
      </c>
      <c r="J794" s="93" t="n">
        <v>0</v>
      </c>
      <c r="L794" s="9">
        <f>IF($A794="","",VALUE($A794&amp;"")*12+VALUE($B794&amp;""))</f>
        <v/>
      </c>
      <c r="M794" s="94">
        <f>IF($A794="",0,$H794*설정!$C$23)</f>
        <v/>
      </c>
      <c r="N794" s="94">
        <f>IF($A794="",0,$I794*설정!$C$23)</f>
        <v/>
      </c>
      <c r="O794" s="94">
        <f>IF($A794="",0,$J794*설정!$C$23)</f>
        <v/>
      </c>
      <c r="P794" s="64">
        <f>IF($A794="","",IFERROR(INDEX(입력옵션!$C$58:$C$68,MATCH($F794&amp;"",입력옵션!$E$58:$E$68,0)),IFERROR(INDEX(입력옵션!$C$58:$C$68,MATCH($G794&amp;"",입력옵션!$F$58:$F$68,0)),$F794&amp;"")))</f>
        <v/>
      </c>
    </row>
    <row r="795">
      <c r="A795" s="92" t="n">
        <v>2026</v>
      </c>
      <c r="B795" s="92" t="n">
        <v>6</v>
      </c>
      <c r="C795" s="92" t="inlineStr">
        <is>
          <t>PF04</t>
        </is>
      </c>
      <c r="D795" s="92" t="inlineStr">
        <is>
          <t>변액</t>
        </is>
      </c>
      <c r="E795" s="92" t="inlineStr">
        <is>
          <t>VFA</t>
        </is>
      </c>
      <c r="F795" s="92" t="inlineStr">
        <is>
          <t>F60</t>
        </is>
      </c>
      <c r="G795" s="92" t="inlineStr">
        <is>
          <t>현금흐름 및 기타</t>
        </is>
      </c>
      <c r="H795" s="93" t="n">
        <v>144736000</v>
      </c>
      <c r="I795" s="93" t="n">
        <v>-47055000</v>
      </c>
      <c r="J795" s="93" t="n">
        <v>0</v>
      </c>
      <c r="L795" s="9">
        <f>IF($A795="","",VALUE($A795&amp;"")*12+VALUE($B795&amp;""))</f>
        <v/>
      </c>
      <c r="M795" s="94">
        <f>IF($A795="",0,$H795*설정!$C$23)</f>
        <v/>
      </c>
      <c r="N795" s="94">
        <f>IF($A795="",0,$I795*설정!$C$23)</f>
        <v/>
      </c>
      <c r="O795" s="94">
        <f>IF($A795="",0,$J795*설정!$C$23)</f>
        <v/>
      </c>
      <c r="P795" s="64">
        <f>IF($A795="","",IFERROR(INDEX(입력옵션!$C$58:$C$68,MATCH($F795&amp;"",입력옵션!$E$58:$E$68,0)),IFERROR(INDEX(입력옵션!$C$58:$C$68,MATCH($G795&amp;"",입력옵션!$F$58:$F$68,0)),$F795&amp;"")))</f>
        <v/>
      </c>
    </row>
    <row r="796">
      <c r="A796" s="92" t="n">
        <v>2026</v>
      </c>
      <c r="B796" s="92" t="n">
        <v>6</v>
      </c>
      <c r="C796" s="92" t="inlineStr">
        <is>
          <t>PF04</t>
        </is>
      </c>
      <c r="D796" s="92" t="inlineStr">
        <is>
          <t>변액</t>
        </is>
      </c>
      <c r="E796" s="92" t="inlineStr">
        <is>
          <t>VFA</t>
        </is>
      </c>
      <c r="F796" s="92" t="inlineStr">
        <is>
          <t>F99</t>
        </is>
      </c>
      <c r="G796" s="92" t="inlineStr">
        <is>
          <t>기말잔액</t>
        </is>
      </c>
      <c r="H796" s="93" t="n">
        <v>325234125000</v>
      </c>
      <c r="I796" s="93" t="n">
        <v>15859428000</v>
      </c>
      <c r="J796" s="93" t="n">
        <v>52723485000</v>
      </c>
      <c r="L796" s="9">
        <f>IF($A796="","",VALUE($A796&amp;"")*12+VALUE($B796&amp;""))</f>
        <v/>
      </c>
      <c r="M796" s="94">
        <f>IF($A796="",0,$H796*설정!$C$23)</f>
        <v/>
      </c>
      <c r="N796" s="94">
        <f>IF($A796="",0,$I796*설정!$C$23)</f>
        <v/>
      </c>
      <c r="O796" s="94">
        <f>IF($A796="",0,$J796*설정!$C$23)</f>
        <v/>
      </c>
      <c r="P796" s="64">
        <f>IF($A796="","",IFERROR(INDEX(입력옵션!$C$58:$C$68,MATCH($F796&amp;"",입력옵션!$E$58:$E$68,0)),IFERROR(INDEX(입력옵션!$C$58:$C$68,MATCH($G796&amp;"",입력옵션!$F$58:$F$68,0)),$F796&amp;"")))</f>
        <v/>
      </c>
    </row>
    <row r="797">
      <c r="A797" s="92" t="n">
        <v>2026</v>
      </c>
      <c r="B797" s="92" t="n">
        <v>7</v>
      </c>
      <c r="C797" s="92" t="inlineStr">
        <is>
          <t>PF01</t>
        </is>
      </c>
      <c r="D797" s="92" t="inlineStr">
        <is>
          <t>보장성</t>
        </is>
      </c>
      <c r="E797" s="92" t="inlineStr">
        <is>
          <t>GMM</t>
        </is>
      </c>
      <c r="F797" s="92" t="inlineStr">
        <is>
          <t>F00</t>
        </is>
      </c>
      <c r="G797" s="92" t="inlineStr">
        <is>
          <t>기초잔액</t>
        </is>
      </c>
      <c r="H797" s="93" t="n">
        <v>1084113750000</v>
      </c>
      <c r="I797" s="93" t="n">
        <v>73197360000</v>
      </c>
      <c r="J797" s="93" t="n">
        <v>250576753000</v>
      </c>
      <c r="L797" s="9">
        <f>IF($A797="","",VALUE($A797&amp;"")*12+VALUE($B797&amp;""))</f>
        <v/>
      </c>
      <c r="M797" s="94">
        <f>IF($A797="",0,$H797*설정!$C$23)</f>
        <v/>
      </c>
      <c r="N797" s="94">
        <f>IF($A797="",0,$I797*설정!$C$23)</f>
        <v/>
      </c>
      <c r="O797" s="94">
        <f>IF($A797="",0,$J797*설정!$C$23)</f>
        <v/>
      </c>
      <c r="P797" s="64">
        <f>IF($A797="","",IFERROR(INDEX(입력옵션!$C$58:$C$68,MATCH($F797&amp;"",입력옵션!$E$58:$E$68,0)),IFERROR(INDEX(입력옵션!$C$58:$C$68,MATCH($G797&amp;"",입력옵션!$F$58:$F$68,0)),$F797&amp;"")))</f>
        <v/>
      </c>
    </row>
    <row r="798">
      <c r="A798" s="92" t="n">
        <v>2026</v>
      </c>
      <c r="B798" s="92" t="n">
        <v>7</v>
      </c>
      <c r="C798" s="92" t="inlineStr">
        <is>
          <t>PF01</t>
        </is>
      </c>
      <c r="D798" s="92" t="inlineStr">
        <is>
          <t>보장성</t>
        </is>
      </c>
      <c r="E798" s="92" t="inlineStr">
        <is>
          <t>GMM</t>
        </is>
      </c>
      <c r="F798" s="92" t="inlineStr">
        <is>
          <t>F10</t>
        </is>
      </c>
      <c r="G798" s="92" t="inlineStr">
        <is>
          <t>신계약 효과</t>
        </is>
      </c>
      <c r="H798" s="93" t="n">
        <v>-3164598000</v>
      </c>
      <c r="I798" s="93" t="n">
        <v>632920000</v>
      </c>
      <c r="J798" s="93" t="n">
        <v>2531679000</v>
      </c>
      <c r="L798" s="9">
        <f>IF($A798="","",VALUE($A798&amp;"")*12+VALUE($B798&amp;""))</f>
        <v/>
      </c>
      <c r="M798" s="94">
        <f>IF($A798="",0,$H798*설정!$C$23)</f>
        <v/>
      </c>
      <c r="N798" s="94">
        <f>IF($A798="",0,$I798*설정!$C$23)</f>
        <v/>
      </c>
      <c r="O798" s="94">
        <f>IF($A798="",0,$J798*설정!$C$23)</f>
        <v/>
      </c>
      <c r="P798" s="64">
        <f>IF($A798="","",IFERROR(INDEX(입력옵션!$C$58:$C$68,MATCH($F798&amp;"",입력옵션!$E$58:$E$68,0)),IFERROR(INDEX(입력옵션!$C$58:$C$68,MATCH($G798&amp;"",입력옵션!$F$58:$F$68,0)),$F798&amp;"")))</f>
        <v/>
      </c>
    </row>
    <row r="799">
      <c r="A799" s="92" t="n">
        <v>2026</v>
      </c>
      <c r="B799" s="92" t="n">
        <v>7</v>
      </c>
      <c r="C799" s="92" t="inlineStr">
        <is>
          <t>PF01</t>
        </is>
      </c>
      <c r="D799" s="92" t="inlineStr">
        <is>
          <t>보장성</t>
        </is>
      </c>
      <c r="E799" s="92" t="inlineStr">
        <is>
          <t>GMM</t>
        </is>
      </c>
      <c r="F799" s="92" t="inlineStr">
        <is>
          <t>F21</t>
        </is>
      </c>
      <c r="G799" s="92" t="inlineStr">
        <is>
          <t>가정변경-사업비</t>
        </is>
      </c>
      <c r="H799" s="93" t="n">
        <v>0</v>
      </c>
      <c r="I799" s="93" t="n">
        <v>0</v>
      </c>
      <c r="J799" s="93" t="n">
        <v>0</v>
      </c>
      <c r="L799" s="9">
        <f>IF($A799="","",VALUE($A799&amp;"")*12+VALUE($B799&amp;""))</f>
        <v/>
      </c>
      <c r="M799" s="94">
        <f>IF($A799="",0,$H799*설정!$C$23)</f>
        <v/>
      </c>
      <c r="N799" s="94">
        <f>IF($A799="",0,$I799*설정!$C$23)</f>
        <v/>
      </c>
      <c r="O799" s="94">
        <f>IF($A799="",0,$J799*설정!$C$23)</f>
        <v/>
      </c>
      <c r="P799" s="64">
        <f>IF($A799="","",IFERROR(INDEX(입력옵션!$C$58:$C$68,MATCH($F799&amp;"",입력옵션!$E$58:$E$68,0)),IFERROR(INDEX(입력옵션!$C$58:$C$68,MATCH($G799&amp;"",입력옵션!$F$58:$F$68,0)),$F799&amp;"")))</f>
        <v/>
      </c>
    </row>
    <row r="800">
      <c r="A800" s="92" t="n">
        <v>2026</v>
      </c>
      <c r="B800" s="92" t="n">
        <v>7</v>
      </c>
      <c r="C800" s="92" t="inlineStr">
        <is>
          <t>PF01</t>
        </is>
      </c>
      <c r="D800" s="92" t="inlineStr">
        <is>
          <t>보장성</t>
        </is>
      </c>
      <c r="E800" s="92" t="inlineStr">
        <is>
          <t>GMM</t>
        </is>
      </c>
      <c r="F800" s="92" t="inlineStr">
        <is>
          <t>F22</t>
        </is>
      </c>
      <c r="G800" s="92" t="inlineStr">
        <is>
          <t>가정변경-기타</t>
        </is>
      </c>
      <c r="H800" s="93" t="n">
        <v>0</v>
      </c>
      <c r="I800" s="93" t="n">
        <v>0</v>
      </c>
      <c r="J800" s="93" t="n">
        <v>0</v>
      </c>
      <c r="L800" s="9">
        <f>IF($A800="","",VALUE($A800&amp;"")*12+VALUE($B800&amp;""))</f>
        <v/>
      </c>
      <c r="M800" s="94">
        <f>IF($A800="",0,$H800*설정!$C$23)</f>
        <v/>
      </c>
      <c r="N800" s="94">
        <f>IF($A800="",0,$I800*설정!$C$23)</f>
        <v/>
      </c>
      <c r="O800" s="94">
        <f>IF($A800="",0,$J800*설정!$C$23)</f>
        <v/>
      </c>
      <c r="P800" s="64">
        <f>IF($A800="","",IFERROR(INDEX(입력옵션!$C$58:$C$68,MATCH($F800&amp;"",입력옵션!$E$58:$E$68,0)),IFERROR(INDEX(입력옵션!$C$58:$C$68,MATCH($G800&amp;"",입력옵션!$F$58:$F$68,0)),$F800&amp;"")))</f>
        <v/>
      </c>
    </row>
    <row r="801">
      <c r="A801" s="92" t="n">
        <v>2026</v>
      </c>
      <c r="B801" s="92" t="n">
        <v>7</v>
      </c>
      <c r="C801" s="92" t="inlineStr">
        <is>
          <t>PF01</t>
        </is>
      </c>
      <c r="D801" s="92" t="inlineStr">
        <is>
          <t>보장성</t>
        </is>
      </c>
      <c r="E801" s="92" t="inlineStr">
        <is>
          <t>GMM</t>
        </is>
      </c>
      <c r="F801" s="92" t="inlineStr">
        <is>
          <t>F31</t>
        </is>
      </c>
      <c r="G801" s="92" t="inlineStr">
        <is>
          <t>경험조정-취득현금흐름</t>
        </is>
      </c>
      <c r="H801" s="93" t="n">
        <v>0</v>
      </c>
      <c r="I801" s="93" t="n">
        <v>0</v>
      </c>
      <c r="J801" s="93" t="n">
        <v>-10466000</v>
      </c>
      <c r="L801" s="9">
        <f>IF($A801="","",VALUE($A801&amp;"")*12+VALUE($B801&amp;""))</f>
        <v/>
      </c>
      <c r="M801" s="94">
        <f>IF($A801="",0,$H801*설정!$C$23)</f>
        <v/>
      </c>
      <c r="N801" s="94">
        <f>IF($A801="",0,$I801*설정!$C$23)</f>
        <v/>
      </c>
      <c r="O801" s="94">
        <f>IF($A801="",0,$J801*설정!$C$23)</f>
        <v/>
      </c>
      <c r="P801" s="64">
        <f>IF($A801="","",IFERROR(INDEX(입력옵션!$C$58:$C$68,MATCH($F801&amp;"",입력옵션!$E$58:$E$68,0)),IFERROR(INDEX(입력옵션!$C$58:$C$68,MATCH($G801&amp;"",입력옵션!$F$58:$F$68,0)),$F801&amp;"")))</f>
        <v/>
      </c>
    </row>
    <row r="802">
      <c r="A802" s="92" t="n">
        <v>2026</v>
      </c>
      <c r="B802" s="92" t="n">
        <v>7</v>
      </c>
      <c r="C802" s="92" t="inlineStr">
        <is>
          <t>PF01</t>
        </is>
      </c>
      <c r="D802" s="92" t="inlineStr">
        <is>
          <t>보장성</t>
        </is>
      </c>
      <c r="E802" s="92" t="inlineStr">
        <is>
          <t>GMM</t>
        </is>
      </c>
      <c r="F802" s="92" t="inlineStr">
        <is>
          <t>F32</t>
        </is>
      </c>
      <c r="G802" s="92" t="inlineStr">
        <is>
          <t>경험조정-보험료 등</t>
        </is>
      </c>
      <c r="H802" s="93" t="n">
        <v>0</v>
      </c>
      <c r="I802" s="93" t="n">
        <v>0</v>
      </c>
      <c r="J802" s="93" t="n">
        <v>244774000</v>
      </c>
      <c r="L802" s="9">
        <f>IF($A802="","",VALUE($A802&amp;"")*12+VALUE($B802&amp;""))</f>
        <v/>
      </c>
      <c r="M802" s="94">
        <f>IF($A802="",0,$H802*설정!$C$23)</f>
        <v/>
      </c>
      <c r="N802" s="94">
        <f>IF($A802="",0,$I802*설정!$C$23)</f>
        <v/>
      </c>
      <c r="O802" s="94">
        <f>IF($A802="",0,$J802*설정!$C$23)</f>
        <v/>
      </c>
      <c r="P802" s="64">
        <f>IF($A802="","",IFERROR(INDEX(입력옵션!$C$58:$C$68,MATCH($F802&amp;"",입력옵션!$E$58:$E$68,0)),IFERROR(INDEX(입력옵션!$C$58:$C$68,MATCH($G802&amp;"",입력옵션!$F$58:$F$68,0)),$F802&amp;"")))</f>
        <v/>
      </c>
    </row>
    <row r="803">
      <c r="A803" s="92" t="n">
        <v>2026</v>
      </c>
      <c r="B803" s="92" t="n">
        <v>7</v>
      </c>
      <c r="C803" s="92" t="inlineStr">
        <is>
          <t>PF01</t>
        </is>
      </c>
      <c r="D803" s="92" t="inlineStr">
        <is>
          <t>보장성</t>
        </is>
      </c>
      <c r="E803" s="92" t="inlineStr">
        <is>
          <t>GMM</t>
        </is>
      </c>
      <c r="F803" s="92" t="inlineStr">
        <is>
          <t>F40</t>
        </is>
      </c>
      <c r="G803" s="92" t="inlineStr">
        <is>
          <t>보험금융비용(이자부리)</t>
        </is>
      </c>
      <c r="H803" s="93" t="n">
        <v>2710284000</v>
      </c>
      <c r="I803" s="93" t="n">
        <v>146395000</v>
      </c>
      <c r="J803" s="93" t="n">
        <v>626442000</v>
      </c>
      <c r="L803" s="9">
        <f>IF($A803="","",VALUE($A803&amp;"")*12+VALUE($B803&amp;""))</f>
        <v/>
      </c>
      <c r="M803" s="94">
        <f>IF($A803="",0,$H803*설정!$C$23)</f>
        <v/>
      </c>
      <c r="N803" s="94">
        <f>IF($A803="",0,$I803*설정!$C$23)</f>
        <v/>
      </c>
      <c r="O803" s="94">
        <f>IF($A803="",0,$J803*설정!$C$23)</f>
        <v/>
      </c>
      <c r="P803" s="64">
        <f>IF($A803="","",IFERROR(INDEX(입력옵션!$C$58:$C$68,MATCH($F803&amp;"",입력옵션!$E$58:$E$68,0)),IFERROR(INDEX(입력옵션!$C$58:$C$68,MATCH($G803&amp;"",입력옵션!$F$58:$F$68,0)),$F803&amp;"")))</f>
        <v/>
      </c>
    </row>
    <row r="804">
      <c r="A804" s="92" t="n">
        <v>2026</v>
      </c>
      <c r="B804" s="92" t="n">
        <v>7</v>
      </c>
      <c r="C804" s="92" t="inlineStr">
        <is>
          <t>PF01</t>
        </is>
      </c>
      <c r="D804" s="92" t="inlineStr">
        <is>
          <t>보장성</t>
        </is>
      </c>
      <c r="E804" s="92" t="inlineStr">
        <is>
          <t>GMM</t>
        </is>
      </c>
      <c r="F804" s="92" t="inlineStr">
        <is>
          <t>F51</t>
        </is>
      </c>
      <c r="G804" s="92" t="inlineStr">
        <is>
          <t>CSM 상각</t>
        </is>
      </c>
      <c r="H804" s="93" t="n">
        <v>0</v>
      </c>
      <c r="I804" s="93" t="n">
        <v>0</v>
      </c>
      <c r="J804" s="93" t="n">
        <v>-2255191000</v>
      </c>
      <c r="L804" s="9">
        <f>IF($A804="","",VALUE($A804&amp;"")*12+VALUE($B804&amp;""))</f>
        <v/>
      </c>
      <c r="M804" s="94">
        <f>IF($A804="",0,$H804*설정!$C$23)</f>
        <v/>
      </c>
      <c r="N804" s="94">
        <f>IF($A804="",0,$I804*설정!$C$23)</f>
        <v/>
      </c>
      <c r="O804" s="94">
        <f>IF($A804="",0,$J804*설정!$C$23)</f>
        <v/>
      </c>
      <c r="P804" s="64">
        <f>IF($A804="","",IFERROR(INDEX(입력옵션!$C$58:$C$68,MATCH($F804&amp;"",입력옵션!$E$58:$E$68,0)),IFERROR(INDEX(입력옵션!$C$58:$C$68,MATCH($G804&amp;"",입력옵션!$F$58:$F$68,0)),$F804&amp;"")))</f>
        <v/>
      </c>
    </row>
    <row r="805">
      <c r="A805" s="92" t="n">
        <v>2026</v>
      </c>
      <c r="B805" s="92" t="n">
        <v>7</v>
      </c>
      <c r="C805" s="92" t="inlineStr">
        <is>
          <t>PF01</t>
        </is>
      </c>
      <c r="D805" s="92" t="inlineStr">
        <is>
          <t>보장성</t>
        </is>
      </c>
      <c r="E805" s="92" t="inlineStr">
        <is>
          <t>GMM</t>
        </is>
      </c>
      <c r="F805" s="92" t="inlineStr">
        <is>
          <t>F52</t>
        </is>
      </c>
      <c r="G805" s="92" t="inlineStr">
        <is>
          <t>RA 해제</t>
        </is>
      </c>
      <c r="H805" s="93" t="n">
        <v>0</v>
      </c>
      <c r="I805" s="93" t="n">
        <v>-439184000</v>
      </c>
      <c r="J805" s="93" t="n">
        <v>0</v>
      </c>
      <c r="L805" s="9">
        <f>IF($A805="","",VALUE($A805&amp;"")*12+VALUE($B805&amp;""))</f>
        <v/>
      </c>
      <c r="M805" s="94">
        <f>IF($A805="",0,$H805*설정!$C$23)</f>
        <v/>
      </c>
      <c r="N805" s="94">
        <f>IF($A805="",0,$I805*설정!$C$23)</f>
        <v/>
      </c>
      <c r="O805" s="94">
        <f>IF($A805="",0,$J805*설정!$C$23)</f>
        <v/>
      </c>
      <c r="P805" s="64">
        <f>IF($A805="","",IFERROR(INDEX(입력옵션!$C$58:$C$68,MATCH($F805&amp;"",입력옵션!$E$58:$E$68,0)),IFERROR(INDEX(입력옵션!$C$58:$C$68,MATCH($G805&amp;"",입력옵션!$F$58:$F$68,0)),$F805&amp;"")))</f>
        <v/>
      </c>
    </row>
    <row r="806">
      <c r="A806" s="92" t="n">
        <v>2026</v>
      </c>
      <c r="B806" s="92" t="n">
        <v>7</v>
      </c>
      <c r="C806" s="92" t="inlineStr">
        <is>
          <t>PF01</t>
        </is>
      </c>
      <c r="D806" s="92" t="inlineStr">
        <is>
          <t>보장성</t>
        </is>
      </c>
      <c r="E806" s="92" t="inlineStr">
        <is>
          <t>GMM</t>
        </is>
      </c>
      <c r="F806" s="92" t="inlineStr">
        <is>
          <t>F60</t>
        </is>
      </c>
      <c r="G806" s="92" t="inlineStr">
        <is>
          <t>현금흐름 및 기타</t>
        </is>
      </c>
      <c r="H806" s="93" t="n">
        <v>2523114000</v>
      </c>
      <c r="I806" s="93" t="n">
        <v>291430000</v>
      </c>
      <c r="J806" s="93" t="n">
        <v>0</v>
      </c>
      <c r="L806" s="9">
        <f>IF($A806="","",VALUE($A806&amp;"")*12+VALUE($B806&amp;""))</f>
        <v/>
      </c>
      <c r="M806" s="94">
        <f>IF($A806="",0,$H806*설정!$C$23)</f>
        <v/>
      </c>
      <c r="N806" s="94">
        <f>IF($A806="",0,$I806*설정!$C$23)</f>
        <v/>
      </c>
      <c r="O806" s="94">
        <f>IF($A806="",0,$J806*설정!$C$23)</f>
        <v/>
      </c>
      <c r="P806" s="64">
        <f>IF($A806="","",IFERROR(INDEX(입력옵션!$C$58:$C$68,MATCH($F806&amp;"",입력옵션!$E$58:$E$68,0)),IFERROR(INDEX(입력옵션!$C$58:$C$68,MATCH($G806&amp;"",입력옵션!$F$58:$F$68,0)),$F806&amp;"")))</f>
        <v/>
      </c>
    </row>
    <row r="807">
      <c r="A807" s="92" t="n">
        <v>2026</v>
      </c>
      <c r="B807" s="92" t="n">
        <v>7</v>
      </c>
      <c r="C807" s="92" t="inlineStr">
        <is>
          <t>PF01</t>
        </is>
      </c>
      <c r="D807" s="92" t="inlineStr">
        <is>
          <t>보장성</t>
        </is>
      </c>
      <c r="E807" s="92" t="inlineStr">
        <is>
          <t>GMM</t>
        </is>
      </c>
      <c r="F807" s="92" t="inlineStr">
        <is>
          <t>F99</t>
        </is>
      </c>
      <c r="G807" s="92" t="inlineStr">
        <is>
          <t>기말잔액</t>
        </is>
      </c>
      <c r="H807" s="93" t="n">
        <v>1086182550000</v>
      </c>
      <c r="I807" s="93" t="n">
        <v>73828920000</v>
      </c>
      <c r="J807" s="93" t="n">
        <v>251713992000</v>
      </c>
      <c r="L807" s="9">
        <f>IF($A807="","",VALUE($A807&amp;"")*12+VALUE($B807&amp;""))</f>
        <v/>
      </c>
      <c r="M807" s="94">
        <f>IF($A807="",0,$H807*설정!$C$23)</f>
        <v/>
      </c>
      <c r="N807" s="94">
        <f>IF($A807="",0,$I807*설정!$C$23)</f>
        <v/>
      </c>
      <c r="O807" s="94">
        <f>IF($A807="",0,$J807*설정!$C$23)</f>
        <v/>
      </c>
      <c r="P807" s="64">
        <f>IF($A807="","",IFERROR(INDEX(입력옵션!$C$58:$C$68,MATCH($F807&amp;"",입력옵션!$E$58:$E$68,0)),IFERROR(INDEX(입력옵션!$C$58:$C$68,MATCH($G807&amp;"",입력옵션!$F$58:$F$68,0)),$F807&amp;"")))</f>
        <v/>
      </c>
    </row>
    <row r="808">
      <c r="A808" s="92" t="n">
        <v>2026</v>
      </c>
      <c r="B808" s="92" t="n">
        <v>7</v>
      </c>
      <c r="C808" s="92" t="inlineStr">
        <is>
          <t>PF02</t>
        </is>
      </c>
      <c r="D808" s="92" t="inlineStr">
        <is>
          <t>저축성</t>
        </is>
      </c>
      <c r="E808" s="92" t="inlineStr">
        <is>
          <t>GMM</t>
        </is>
      </c>
      <c r="F808" s="92" t="inlineStr">
        <is>
          <t>F00</t>
        </is>
      </c>
      <c r="G808" s="92" t="inlineStr">
        <is>
          <t>기초잔액</t>
        </is>
      </c>
      <c r="H808" s="93" t="n">
        <v>715515075000</v>
      </c>
      <c r="I808" s="93" t="n">
        <v>30498900000</v>
      </c>
      <c r="J808" s="93" t="n">
        <v>100905354000</v>
      </c>
      <c r="L808" s="9">
        <f>IF($A808="","",VALUE($A808&amp;"")*12+VALUE($B808&amp;""))</f>
        <v/>
      </c>
      <c r="M808" s="94">
        <f>IF($A808="",0,$H808*설정!$C$23)</f>
        <v/>
      </c>
      <c r="N808" s="94">
        <f>IF($A808="",0,$I808*설정!$C$23)</f>
        <v/>
      </c>
      <c r="O808" s="94">
        <f>IF($A808="",0,$J808*설정!$C$23)</f>
        <v/>
      </c>
      <c r="P808" s="64">
        <f>IF($A808="","",IFERROR(INDEX(입력옵션!$C$58:$C$68,MATCH($F808&amp;"",입력옵션!$E$58:$E$68,0)),IFERROR(INDEX(입력옵션!$C$58:$C$68,MATCH($G808&amp;"",입력옵션!$F$58:$F$68,0)),$F808&amp;"")))</f>
        <v/>
      </c>
    </row>
    <row r="809">
      <c r="A809" s="92" t="n">
        <v>2026</v>
      </c>
      <c r="B809" s="92" t="n">
        <v>7</v>
      </c>
      <c r="C809" s="92" t="inlineStr">
        <is>
          <t>PF02</t>
        </is>
      </c>
      <c r="D809" s="92" t="inlineStr">
        <is>
          <t>저축성</t>
        </is>
      </c>
      <c r="E809" s="92" t="inlineStr">
        <is>
          <t>GMM</t>
        </is>
      </c>
      <c r="F809" s="92" t="inlineStr">
        <is>
          <t>F10</t>
        </is>
      </c>
      <c r="G809" s="92" t="inlineStr">
        <is>
          <t>신계약 효과</t>
        </is>
      </c>
      <c r="H809" s="93" t="n">
        <v>-1276048000</v>
      </c>
      <c r="I809" s="93" t="n">
        <v>255210000</v>
      </c>
      <c r="J809" s="93" t="n">
        <v>1020838000</v>
      </c>
      <c r="L809" s="9">
        <f>IF($A809="","",VALUE($A809&amp;"")*12+VALUE($B809&amp;""))</f>
        <v/>
      </c>
      <c r="M809" s="94">
        <f>IF($A809="",0,$H809*설정!$C$23)</f>
        <v/>
      </c>
      <c r="N809" s="94">
        <f>IF($A809="",0,$I809*설정!$C$23)</f>
        <v/>
      </c>
      <c r="O809" s="94">
        <f>IF($A809="",0,$J809*설정!$C$23)</f>
        <v/>
      </c>
      <c r="P809" s="64">
        <f>IF($A809="","",IFERROR(INDEX(입력옵션!$C$58:$C$68,MATCH($F809&amp;"",입력옵션!$E$58:$E$68,0)),IFERROR(INDEX(입력옵션!$C$58:$C$68,MATCH($G809&amp;"",입력옵션!$F$58:$F$68,0)),$F809&amp;"")))</f>
        <v/>
      </c>
    </row>
    <row r="810">
      <c r="A810" s="92" t="n">
        <v>2026</v>
      </c>
      <c r="B810" s="92" t="n">
        <v>7</v>
      </c>
      <c r="C810" s="92" t="inlineStr">
        <is>
          <t>PF02</t>
        </is>
      </c>
      <c r="D810" s="92" t="inlineStr">
        <is>
          <t>저축성</t>
        </is>
      </c>
      <c r="E810" s="92" t="inlineStr">
        <is>
          <t>GMM</t>
        </is>
      </c>
      <c r="F810" s="92" t="inlineStr">
        <is>
          <t>F21</t>
        </is>
      </c>
      <c r="G810" s="92" t="inlineStr">
        <is>
          <t>가정변경-사업비</t>
        </is>
      </c>
      <c r="H810" s="93" t="n">
        <v>0</v>
      </c>
      <c r="I810" s="93" t="n">
        <v>0</v>
      </c>
      <c r="J810" s="93" t="n">
        <v>0</v>
      </c>
      <c r="L810" s="9">
        <f>IF($A810="","",VALUE($A810&amp;"")*12+VALUE($B810&amp;""))</f>
        <v/>
      </c>
      <c r="M810" s="94">
        <f>IF($A810="",0,$H810*설정!$C$23)</f>
        <v/>
      </c>
      <c r="N810" s="94">
        <f>IF($A810="",0,$I810*설정!$C$23)</f>
        <v/>
      </c>
      <c r="O810" s="94">
        <f>IF($A810="",0,$J810*설정!$C$23)</f>
        <v/>
      </c>
      <c r="P810" s="64">
        <f>IF($A810="","",IFERROR(INDEX(입력옵션!$C$58:$C$68,MATCH($F810&amp;"",입력옵션!$E$58:$E$68,0)),IFERROR(INDEX(입력옵션!$C$58:$C$68,MATCH($G810&amp;"",입력옵션!$F$58:$F$68,0)),$F810&amp;"")))</f>
        <v/>
      </c>
    </row>
    <row r="811">
      <c r="A811" s="92" t="n">
        <v>2026</v>
      </c>
      <c r="B811" s="92" t="n">
        <v>7</v>
      </c>
      <c r="C811" s="92" t="inlineStr">
        <is>
          <t>PF02</t>
        </is>
      </c>
      <c r="D811" s="92" t="inlineStr">
        <is>
          <t>저축성</t>
        </is>
      </c>
      <c r="E811" s="92" t="inlineStr">
        <is>
          <t>GMM</t>
        </is>
      </c>
      <c r="F811" s="92" t="inlineStr">
        <is>
          <t>F22</t>
        </is>
      </c>
      <c r="G811" s="92" t="inlineStr">
        <is>
          <t>가정변경-기타</t>
        </is>
      </c>
      <c r="H811" s="93" t="n">
        <v>0</v>
      </c>
      <c r="I811" s="93" t="n">
        <v>0</v>
      </c>
      <c r="J811" s="93" t="n">
        <v>0</v>
      </c>
      <c r="L811" s="9">
        <f>IF($A811="","",VALUE($A811&amp;"")*12+VALUE($B811&amp;""))</f>
        <v/>
      </c>
      <c r="M811" s="94">
        <f>IF($A811="",0,$H811*설정!$C$23)</f>
        <v/>
      </c>
      <c r="N811" s="94">
        <f>IF($A811="",0,$I811*설정!$C$23)</f>
        <v/>
      </c>
      <c r="O811" s="94">
        <f>IF($A811="",0,$J811*설정!$C$23)</f>
        <v/>
      </c>
      <c r="P811" s="64">
        <f>IF($A811="","",IFERROR(INDEX(입력옵션!$C$58:$C$68,MATCH($F811&amp;"",입력옵션!$E$58:$E$68,0)),IFERROR(INDEX(입력옵션!$C$58:$C$68,MATCH($G811&amp;"",입력옵션!$F$58:$F$68,0)),$F811&amp;"")))</f>
        <v/>
      </c>
    </row>
    <row r="812">
      <c r="A812" s="92" t="n">
        <v>2026</v>
      </c>
      <c r="B812" s="92" t="n">
        <v>7</v>
      </c>
      <c r="C812" s="92" t="inlineStr">
        <is>
          <t>PF02</t>
        </is>
      </c>
      <c r="D812" s="92" t="inlineStr">
        <is>
          <t>저축성</t>
        </is>
      </c>
      <c r="E812" s="92" t="inlineStr">
        <is>
          <t>GMM</t>
        </is>
      </c>
      <c r="F812" s="92" t="inlineStr">
        <is>
          <t>F31</t>
        </is>
      </c>
      <c r="G812" s="92" t="inlineStr">
        <is>
          <t>경험조정-취득현금흐름</t>
        </is>
      </c>
      <c r="H812" s="93" t="n">
        <v>0</v>
      </c>
      <c r="I812" s="93" t="n">
        <v>0</v>
      </c>
      <c r="J812" s="93" t="n">
        <v>-9231000</v>
      </c>
      <c r="L812" s="9">
        <f>IF($A812="","",VALUE($A812&amp;"")*12+VALUE($B812&amp;""))</f>
        <v/>
      </c>
      <c r="M812" s="94">
        <f>IF($A812="",0,$H812*설정!$C$23)</f>
        <v/>
      </c>
      <c r="N812" s="94">
        <f>IF($A812="",0,$I812*설정!$C$23)</f>
        <v/>
      </c>
      <c r="O812" s="94">
        <f>IF($A812="",0,$J812*설정!$C$23)</f>
        <v/>
      </c>
      <c r="P812" s="64">
        <f>IF($A812="","",IFERROR(INDEX(입력옵션!$C$58:$C$68,MATCH($F812&amp;"",입력옵션!$E$58:$E$68,0)),IFERROR(INDEX(입력옵션!$C$58:$C$68,MATCH($G812&amp;"",입력옵션!$F$58:$F$68,0)),$F812&amp;"")))</f>
        <v/>
      </c>
    </row>
    <row r="813">
      <c r="A813" s="92" t="n">
        <v>2026</v>
      </c>
      <c r="B813" s="92" t="n">
        <v>7</v>
      </c>
      <c r="C813" s="92" t="inlineStr">
        <is>
          <t>PF02</t>
        </is>
      </c>
      <c r="D813" s="92" t="inlineStr">
        <is>
          <t>저축성</t>
        </is>
      </c>
      <c r="E813" s="92" t="inlineStr">
        <is>
          <t>GMM</t>
        </is>
      </c>
      <c r="F813" s="92" t="inlineStr">
        <is>
          <t>F32</t>
        </is>
      </c>
      <c r="G813" s="92" t="inlineStr">
        <is>
          <t>경험조정-보험료 등</t>
        </is>
      </c>
      <c r="H813" s="93" t="n">
        <v>0</v>
      </c>
      <c r="I813" s="93" t="n">
        <v>0</v>
      </c>
      <c r="J813" s="93" t="n">
        <v>74386000</v>
      </c>
      <c r="L813" s="9">
        <f>IF($A813="","",VALUE($A813&amp;"")*12+VALUE($B813&amp;""))</f>
        <v/>
      </c>
      <c r="M813" s="94">
        <f>IF($A813="",0,$H813*설정!$C$23)</f>
        <v/>
      </c>
      <c r="N813" s="94">
        <f>IF($A813="",0,$I813*설정!$C$23)</f>
        <v/>
      </c>
      <c r="O813" s="94">
        <f>IF($A813="",0,$J813*설정!$C$23)</f>
        <v/>
      </c>
      <c r="P813" s="64">
        <f>IF($A813="","",IFERROR(INDEX(입력옵션!$C$58:$C$68,MATCH($F813&amp;"",입력옵션!$E$58:$E$68,0)),IFERROR(INDEX(입력옵션!$C$58:$C$68,MATCH($G813&amp;"",입력옵션!$F$58:$F$68,0)),$F813&amp;"")))</f>
        <v/>
      </c>
    </row>
    <row r="814">
      <c r="A814" s="92" t="n">
        <v>2026</v>
      </c>
      <c r="B814" s="92" t="n">
        <v>7</v>
      </c>
      <c r="C814" s="92" t="inlineStr">
        <is>
          <t>PF02</t>
        </is>
      </c>
      <c r="D814" s="92" t="inlineStr">
        <is>
          <t>저축성</t>
        </is>
      </c>
      <c r="E814" s="92" t="inlineStr">
        <is>
          <t>GMM</t>
        </is>
      </c>
      <c r="F814" s="92" t="inlineStr">
        <is>
          <t>F40</t>
        </is>
      </c>
      <c r="G814" s="92" t="inlineStr">
        <is>
          <t>보험금융비용(이자부리)</t>
        </is>
      </c>
      <c r="H814" s="93" t="n">
        <v>1788788000</v>
      </c>
      <c r="I814" s="93" t="n">
        <v>60998000</v>
      </c>
      <c r="J814" s="93" t="n">
        <v>252263000</v>
      </c>
      <c r="L814" s="9">
        <f>IF($A814="","",VALUE($A814&amp;"")*12+VALUE($B814&amp;""))</f>
        <v/>
      </c>
      <c r="M814" s="94">
        <f>IF($A814="",0,$H814*설정!$C$23)</f>
        <v/>
      </c>
      <c r="N814" s="94">
        <f>IF($A814="",0,$I814*설정!$C$23)</f>
        <v/>
      </c>
      <c r="O814" s="94">
        <f>IF($A814="",0,$J814*설정!$C$23)</f>
        <v/>
      </c>
      <c r="P814" s="64">
        <f>IF($A814="","",IFERROR(INDEX(입력옵션!$C$58:$C$68,MATCH($F814&amp;"",입력옵션!$E$58:$E$68,0)),IFERROR(INDEX(입력옵션!$C$58:$C$68,MATCH($G814&amp;"",입력옵션!$F$58:$F$68,0)),$F814&amp;"")))</f>
        <v/>
      </c>
    </row>
    <row r="815">
      <c r="A815" s="92" t="n">
        <v>2026</v>
      </c>
      <c r="B815" s="92" t="n">
        <v>7</v>
      </c>
      <c r="C815" s="92" t="inlineStr">
        <is>
          <t>PF02</t>
        </is>
      </c>
      <c r="D815" s="92" t="inlineStr">
        <is>
          <t>저축성</t>
        </is>
      </c>
      <c r="E815" s="92" t="inlineStr">
        <is>
          <t>GMM</t>
        </is>
      </c>
      <c r="F815" s="92" t="inlineStr">
        <is>
          <t>F51</t>
        </is>
      </c>
      <c r="G815" s="92" t="inlineStr">
        <is>
          <t>CSM 상각</t>
        </is>
      </c>
      <c r="H815" s="93" t="n">
        <v>0</v>
      </c>
      <c r="I815" s="93" t="n">
        <v>0</v>
      </c>
      <c r="J815" s="93" t="n">
        <v>-908148000</v>
      </c>
      <c r="L815" s="9">
        <f>IF($A815="","",VALUE($A815&amp;"")*12+VALUE($B815&amp;""))</f>
        <v/>
      </c>
      <c r="M815" s="94">
        <f>IF($A815="",0,$H815*설정!$C$23)</f>
        <v/>
      </c>
      <c r="N815" s="94">
        <f>IF($A815="",0,$I815*설정!$C$23)</f>
        <v/>
      </c>
      <c r="O815" s="94">
        <f>IF($A815="",0,$J815*설정!$C$23)</f>
        <v/>
      </c>
      <c r="P815" s="64">
        <f>IF($A815="","",IFERROR(INDEX(입력옵션!$C$58:$C$68,MATCH($F815&amp;"",입력옵션!$E$58:$E$68,0)),IFERROR(INDEX(입력옵션!$C$58:$C$68,MATCH($G815&amp;"",입력옵션!$F$58:$F$68,0)),$F815&amp;"")))</f>
        <v/>
      </c>
    </row>
    <row r="816">
      <c r="A816" s="92" t="n">
        <v>2026</v>
      </c>
      <c r="B816" s="92" t="n">
        <v>7</v>
      </c>
      <c r="C816" s="92" t="inlineStr">
        <is>
          <t>PF02</t>
        </is>
      </c>
      <c r="D816" s="92" t="inlineStr">
        <is>
          <t>저축성</t>
        </is>
      </c>
      <c r="E816" s="92" t="inlineStr">
        <is>
          <t>GMM</t>
        </is>
      </c>
      <c r="F816" s="92" t="inlineStr">
        <is>
          <t>F52</t>
        </is>
      </c>
      <c r="G816" s="92" t="inlineStr">
        <is>
          <t>RA 해제</t>
        </is>
      </c>
      <c r="H816" s="93" t="n">
        <v>0</v>
      </c>
      <c r="I816" s="93" t="n">
        <v>-182993000</v>
      </c>
      <c r="J816" s="93" t="n">
        <v>0</v>
      </c>
      <c r="L816" s="9">
        <f>IF($A816="","",VALUE($A816&amp;"")*12+VALUE($B816&amp;""))</f>
        <v/>
      </c>
      <c r="M816" s="94">
        <f>IF($A816="",0,$H816*설정!$C$23)</f>
        <v/>
      </c>
      <c r="N816" s="94">
        <f>IF($A816="",0,$I816*설정!$C$23)</f>
        <v/>
      </c>
      <c r="O816" s="94">
        <f>IF($A816="",0,$J816*설정!$C$23)</f>
        <v/>
      </c>
      <c r="P816" s="64">
        <f>IF($A816="","",IFERROR(INDEX(입력옵션!$C$58:$C$68,MATCH($F816&amp;"",입력옵션!$E$58:$E$68,0)),IFERROR(INDEX(입력옵션!$C$58:$C$68,MATCH($G816&amp;"",입력옵션!$F$58:$F$68,0)),$F816&amp;"")))</f>
        <v/>
      </c>
    </row>
    <row r="817">
      <c r="A817" s="92" t="n">
        <v>2026</v>
      </c>
      <c r="B817" s="92" t="n">
        <v>7</v>
      </c>
      <c r="C817" s="92" t="inlineStr">
        <is>
          <t>PF02</t>
        </is>
      </c>
      <c r="D817" s="92" t="inlineStr">
        <is>
          <t>저축성</t>
        </is>
      </c>
      <c r="E817" s="92" t="inlineStr">
        <is>
          <t>GMM</t>
        </is>
      </c>
      <c r="F817" s="92" t="inlineStr">
        <is>
          <t>F60</t>
        </is>
      </c>
      <c r="G817" s="92" t="inlineStr">
        <is>
          <t>현금흐름 및 기타</t>
        </is>
      </c>
      <c r="H817" s="93" t="n">
        <v>852668000</v>
      </c>
      <c r="I817" s="93" t="n">
        <v>129936000</v>
      </c>
      <c r="J817" s="93" t="n">
        <v>0</v>
      </c>
      <c r="L817" s="9">
        <f>IF($A817="","",VALUE($A817&amp;"")*12+VALUE($B817&amp;""))</f>
        <v/>
      </c>
      <c r="M817" s="94">
        <f>IF($A817="",0,$H817*설정!$C$23)</f>
        <v/>
      </c>
      <c r="N817" s="94">
        <f>IF($A817="",0,$I817*설정!$C$23)</f>
        <v/>
      </c>
      <c r="O817" s="94">
        <f>IF($A817="",0,$J817*설정!$C$23)</f>
        <v/>
      </c>
      <c r="P817" s="64">
        <f>IF($A817="","",IFERROR(INDEX(입력옵션!$C$58:$C$68,MATCH($F817&amp;"",입력옵션!$E$58:$E$68,0)),IFERROR(INDEX(입력옵션!$C$58:$C$68,MATCH($G817&amp;"",입력옵션!$F$58:$F$68,0)),$F817&amp;"")))</f>
        <v/>
      </c>
    </row>
    <row r="818">
      <c r="A818" s="92" t="n">
        <v>2026</v>
      </c>
      <c r="B818" s="92" t="n">
        <v>7</v>
      </c>
      <c r="C818" s="92" t="inlineStr">
        <is>
          <t>PF02</t>
        </is>
      </c>
      <c r="D818" s="92" t="inlineStr">
        <is>
          <t>저축성</t>
        </is>
      </c>
      <c r="E818" s="92" t="inlineStr">
        <is>
          <t>GMM</t>
        </is>
      </c>
      <c r="F818" s="92" t="inlineStr">
        <is>
          <t>F99</t>
        </is>
      </c>
      <c r="G818" s="92" t="inlineStr">
        <is>
          <t>기말잔액</t>
        </is>
      </c>
      <c r="H818" s="93" t="n">
        <v>716880483000</v>
      </c>
      <c r="I818" s="93" t="n">
        <v>30762050000</v>
      </c>
      <c r="J818" s="93" t="n">
        <v>101335462000</v>
      </c>
      <c r="L818" s="9">
        <f>IF($A818="","",VALUE($A818&amp;"")*12+VALUE($B818&amp;""))</f>
        <v/>
      </c>
      <c r="M818" s="94">
        <f>IF($A818="",0,$H818*설정!$C$23)</f>
        <v/>
      </c>
      <c r="N818" s="94">
        <f>IF($A818="",0,$I818*설정!$C$23)</f>
        <v/>
      </c>
      <c r="O818" s="94">
        <f>IF($A818="",0,$J818*설정!$C$23)</f>
        <v/>
      </c>
      <c r="P818" s="64">
        <f>IF($A818="","",IFERROR(INDEX(입력옵션!$C$58:$C$68,MATCH($F818&amp;"",입력옵션!$E$58:$E$68,0)),IFERROR(INDEX(입력옵션!$C$58:$C$68,MATCH($G818&amp;"",입력옵션!$F$58:$F$68,0)),$F818&amp;"")))</f>
        <v/>
      </c>
    </row>
    <row r="819">
      <c r="A819" s="92" t="n">
        <v>2026</v>
      </c>
      <c r="B819" s="92" t="n">
        <v>7</v>
      </c>
      <c r="C819" s="92" t="inlineStr">
        <is>
          <t>PF03</t>
        </is>
      </c>
      <c r="D819" s="92" t="inlineStr">
        <is>
          <t>단체(단기)</t>
        </is>
      </c>
      <c r="E819" s="92" t="inlineStr">
        <is>
          <t>PAA</t>
        </is>
      </c>
      <c r="F819" s="92" t="inlineStr">
        <is>
          <t>F00</t>
        </is>
      </c>
      <c r="G819" s="92" t="inlineStr">
        <is>
          <t>기초잔액</t>
        </is>
      </c>
      <c r="H819" s="93" t="n">
        <v>43364550000</v>
      </c>
      <c r="I819" s="93" t="n">
        <v>2439912000</v>
      </c>
      <c r="J819" s="93" t="n">
        <v>0</v>
      </c>
      <c r="L819" s="9">
        <f>IF($A819="","",VALUE($A819&amp;"")*12+VALUE($B819&amp;""))</f>
        <v/>
      </c>
      <c r="M819" s="94">
        <f>IF($A819="",0,$H819*설정!$C$23)</f>
        <v/>
      </c>
      <c r="N819" s="94">
        <f>IF($A819="",0,$I819*설정!$C$23)</f>
        <v/>
      </c>
      <c r="O819" s="94">
        <f>IF($A819="",0,$J819*설정!$C$23)</f>
        <v/>
      </c>
      <c r="P819" s="64">
        <f>IF($A819="","",IFERROR(INDEX(입력옵션!$C$58:$C$68,MATCH($F819&amp;"",입력옵션!$E$58:$E$68,0)),IFERROR(INDEX(입력옵션!$C$58:$C$68,MATCH($G819&amp;"",입력옵션!$F$58:$F$68,0)),$F819&amp;"")))</f>
        <v/>
      </c>
    </row>
    <row r="820">
      <c r="A820" s="92" t="n">
        <v>2026</v>
      </c>
      <c r="B820" s="92" t="n">
        <v>7</v>
      </c>
      <c r="C820" s="92" t="inlineStr">
        <is>
          <t>PF03</t>
        </is>
      </c>
      <c r="D820" s="92" t="inlineStr">
        <is>
          <t>단체(단기)</t>
        </is>
      </c>
      <c r="E820" s="92" t="inlineStr">
        <is>
          <t>PAA</t>
        </is>
      </c>
      <c r="F820" s="92" t="inlineStr">
        <is>
          <t>F10</t>
        </is>
      </c>
      <c r="G820" s="92" t="inlineStr">
        <is>
          <t>신계약 효과</t>
        </is>
      </c>
      <c r="H820" s="93" t="n">
        <v>0</v>
      </c>
      <c r="I820" s="93" t="n">
        <v>0</v>
      </c>
      <c r="J820" s="93" t="n">
        <v>0</v>
      </c>
      <c r="L820" s="9">
        <f>IF($A820="","",VALUE($A820&amp;"")*12+VALUE($B820&amp;""))</f>
        <v/>
      </c>
      <c r="M820" s="94">
        <f>IF($A820="",0,$H820*설정!$C$23)</f>
        <v/>
      </c>
      <c r="N820" s="94">
        <f>IF($A820="",0,$I820*설정!$C$23)</f>
        <v/>
      </c>
      <c r="O820" s="94">
        <f>IF($A820="",0,$J820*설정!$C$23)</f>
        <v/>
      </c>
      <c r="P820" s="64">
        <f>IF($A820="","",IFERROR(INDEX(입력옵션!$C$58:$C$68,MATCH($F820&amp;"",입력옵션!$E$58:$E$68,0)),IFERROR(INDEX(입력옵션!$C$58:$C$68,MATCH($G820&amp;"",입력옵션!$F$58:$F$68,0)),$F820&amp;"")))</f>
        <v/>
      </c>
    </row>
    <row r="821">
      <c r="A821" s="92" t="n">
        <v>2026</v>
      </c>
      <c r="B821" s="92" t="n">
        <v>7</v>
      </c>
      <c r="C821" s="92" t="inlineStr">
        <is>
          <t>PF03</t>
        </is>
      </c>
      <c r="D821" s="92" t="inlineStr">
        <is>
          <t>단체(단기)</t>
        </is>
      </c>
      <c r="E821" s="92" t="inlineStr">
        <is>
          <t>PAA</t>
        </is>
      </c>
      <c r="F821" s="92" t="inlineStr">
        <is>
          <t>F21</t>
        </is>
      </c>
      <c r="G821" s="92" t="inlineStr">
        <is>
          <t>가정변경-사업비</t>
        </is>
      </c>
      <c r="H821" s="93" t="n">
        <v>0</v>
      </c>
      <c r="I821" s="93" t="n">
        <v>0</v>
      </c>
      <c r="J821" s="93" t="n">
        <v>0</v>
      </c>
      <c r="L821" s="9">
        <f>IF($A821="","",VALUE($A821&amp;"")*12+VALUE($B821&amp;""))</f>
        <v/>
      </c>
      <c r="M821" s="94">
        <f>IF($A821="",0,$H821*설정!$C$23)</f>
        <v/>
      </c>
      <c r="N821" s="94">
        <f>IF($A821="",0,$I821*설정!$C$23)</f>
        <v/>
      </c>
      <c r="O821" s="94">
        <f>IF($A821="",0,$J821*설정!$C$23)</f>
        <v/>
      </c>
      <c r="P821" s="64">
        <f>IF($A821="","",IFERROR(INDEX(입력옵션!$C$58:$C$68,MATCH($F821&amp;"",입력옵션!$E$58:$E$68,0)),IFERROR(INDEX(입력옵션!$C$58:$C$68,MATCH($G821&amp;"",입력옵션!$F$58:$F$68,0)),$F821&amp;"")))</f>
        <v/>
      </c>
    </row>
    <row r="822">
      <c r="A822" s="92" t="n">
        <v>2026</v>
      </c>
      <c r="B822" s="92" t="n">
        <v>7</v>
      </c>
      <c r="C822" s="92" t="inlineStr">
        <is>
          <t>PF03</t>
        </is>
      </c>
      <c r="D822" s="92" t="inlineStr">
        <is>
          <t>단체(단기)</t>
        </is>
      </c>
      <c r="E822" s="92" t="inlineStr">
        <is>
          <t>PAA</t>
        </is>
      </c>
      <c r="F822" s="92" t="inlineStr">
        <is>
          <t>F22</t>
        </is>
      </c>
      <c r="G822" s="92" t="inlineStr">
        <is>
          <t>가정변경-기타</t>
        </is>
      </c>
      <c r="H822" s="93" t="n">
        <v>0</v>
      </c>
      <c r="I822" s="93" t="n">
        <v>0</v>
      </c>
      <c r="J822" s="93" t="n">
        <v>0</v>
      </c>
      <c r="L822" s="9">
        <f>IF($A822="","",VALUE($A822&amp;"")*12+VALUE($B822&amp;""))</f>
        <v/>
      </c>
      <c r="M822" s="94">
        <f>IF($A822="",0,$H822*설정!$C$23)</f>
        <v/>
      </c>
      <c r="N822" s="94">
        <f>IF($A822="",0,$I822*설정!$C$23)</f>
        <v/>
      </c>
      <c r="O822" s="94">
        <f>IF($A822="",0,$J822*설정!$C$23)</f>
        <v/>
      </c>
      <c r="P822" s="64">
        <f>IF($A822="","",IFERROR(INDEX(입력옵션!$C$58:$C$68,MATCH($F822&amp;"",입력옵션!$E$58:$E$68,0)),IFERROR(INDEX(입력옵션!$C$58:$C$68,MATCH($G822&amp;"",입력옵션!$F$58:$F$68,0)),$F822&amp;"")))</f>
        <v/>
      </c>
    </row>
    <row r="823">
      <c r="A823" s="92" t="n">
        <v>2026</v>
      </c>
      <c r="B823" s="92" t="n">
        <v>7</v>
      </c>
      <c r="C823" s="92" t="inlineStr">
        <is>
          <t>PF03</t>
        </is>
      </c>
      <c r="D823" s="92" t="inlineStr">
        <is>
          <t>단체(단기)</t>
        </is>
      </c>
      <c r="E823" s="92" t="inlineStr">
        <is>
          <t>PAA</t>
        </is>
      </c>
      <c r="F823" s="92" t="inlineStr">
        <is>
          <t>F31</t>
        </is>
      </c>
      <c r="G823" s="92" t="inlineStr">
        <is>
          <t>경험조정-취득현금흐름</t>
        </is>
      </c>
      <c r="H823" s="93" t="n">
        <v>0</v>
      </c>
      <c r="I823" s="93" t="n">
        <v>0</v>
      </c>
      <c r="J823" s="93" t="n">
        <v>0</v>
      </c>
      <c r="L823" s="9">
        <f>IF($A823="","",VALUE($A823&amp;"")*12+VALUE($B823&amp;""))</f>
        <v/>
      </c>
      <c r="M823" s="94">
        <f>IF($A823="",0,$H823*설정!$C$23)</f>
        <v/>
      </c>
      <c r="N823" s="94">
        <f>IF($A823="",0,$I823*설정!$C$23)</f>
        <v/>
      </c>
      <c r="O823" s="94">
        <f>IF($A823="",0,$J823*설정!$C$23)</f>
        <v/>
      </c>
      <c r="P823" s="64">
        <f>IF($A823="","",IFERROR(INDEX(입력옵션!$C$58:$C$68,MATCH($F823&amp;"",입력옵션!$E$58:$E$68,0)),IFERROR(INDEX(입력옵션!$C$58:$C$68,MATCH($G823&amp;"",입력옵션!$F$58:$F$68,0)),$F823&amp;"")))</f>
        <v/>
      </c>
    </row>
    <row r="824">
      <c r="A824" s="92" t="n">
        <v>2026</v>
      </c>
      <c r="B824" s="92" t="n">
        <v>7</v>
      </c>
      <c r="C824" s="92" t="inlineStr">
        <is>
          <t>PF03</t>
        </is>
      </c>
      <c r="D824" s="92" t="inlineStr">
        <is>
          <t>단체(단기)</t>
        </is>
      </c>
      <c r="E824" s="92" t="inlineStr">
        <is>
          <t>PAA</t>
        </is>
      </c>
      <c r="F824" s="92" t="inlineStr">
        <is>
          <t>F32</t>
        </is>
      </c>
      <c r="G824" s="92" t="inlineStr">
        <is>
          <t>경험조정-보험료 등</t>
        </is>
      </c>
      <c r="H824" s="93" t="n">
        <v>0</v>
      </c>
      <c r="I824" s="93" t="n">
        <v>0</v>
      </c>
      <c r="J824" s="93" t="n">
        <v>0</v>
      </c>
      <c r="L824" s="9">
        <f>IF($A824="","",VALUE($A824&amp;"")*12+VALUE($B824&amp;""))</f>
        <v/>
      </c>
      <c r="M824" s="94">
        <f>IF($A824="",0,$H824*설정!$C$23)</f>
        <v/>
      </c>
      <c r="N824" s="94">
        <f>IF($A824="",0,$I824*설정!$C$23)</f>
        <v/>
      </c>
      <c r="O824" s="94">
        <f>IF($A824="",0,$J824*설정!$C$23)</f>
        <v/>
      </c>
      <c r="P824" s="64">
        <f>IF($A824="","",IFERROR(INDEX(입력옵션!$C$58:$C$68,MATCH($F824&amp;"",입력옵션!$E$58:$E$68,0)),IFERROR(INDEX(입력옵션!$C$58:$C$68,MATCH($G824&amp;"",입력옵션!$F$58:$F$68,0)),$F824&amp;"")))</f>
        <v/>
      </c>
    </row>
    <row r="825">
      <c r="A825" s="92" t="n">
        <v>2026</v>
      </c>
      <c r="B825" s="92" t="n">
        <v>7</v>
      </c>
      <c r="C825" s="92" t="inlineStr">
        <is>
          <t>PF03</t>
        </is>
      </c>
      <c r="D825" s="92" t="inlineStr">
        <is>
          <t>단체(단기)</t>
        </is>
      </c>
      <c r="E825" s="92" t="inlineStr">
        <is>
          <t>PAA</t>
        </is>
      </c>
      <c r="F825" s="92" t="inlineStr">
        <is>
          <t>F40</t>
        </is>
      </c>
      <c r="G825" s="92" t="inlineStr">
        <is>
          <t>보험금융비용(이자부리)</t>
        </is>
      </c>
      <c r="H825" s="93" t="n">
        <v>0</v>
      </c>
      <c r="I825" s="93" t="n">
        <v>0</v>
      </c>
      <c r="J825" s="93" t="n">
        <v>0</v>
      </c>
      <c r="L825" s="9">
        <f>IF($A825="","",VALUE($A825&amp;"")*12+VALUE($B825&amp;""))</f>
        <v/>
      </c>
      <c r="M825" s="94">
        <f>IF($A825="",0,$H825*설정!$C$23)</f>
        <v/>
      </c>
      <c r="N825" s="94">
        <f>IF($A825="",0,$I825*설정!$C$23)</f>
        <v/>
      </c>
      <c r="O825" s="94">
        <f>IF($A825="",0,$J825*설정!$C$23)</f>
        <v/>
      </c>
      <c r="P825" s="64">
        <f>IF($A825="","",IFERROR(INDEX(입력옵션!$C$58:$C$68,MATCH($F825&amp;"",입력옵션!$E$58:$E$68,0)),IFERROR(INDEX(입력옵션!$C$58:$C$68,MATCH($G825&amp;"",입력옵션!$F$58:$F$68,0)),$F825&amp;"")))</f>
        <v/>
      </c>
    </row>
    <row r="826">
      <c r="A826" s="92" t="n">
        <v>2026</v>
      </c>
      <c r="B826" s="92" t="n">
        <v>7</v>
      </c>
      <c r="C826" s="92" t="inlineStr">
        <is>
          <t>PF03</t>
        </is>
      </c>
      <c r="D826" s="92" t="inlineStr">
        <is>
          <t>단체(단기)</t>
        </is>
      </c>
      <c r="E826" s="92" t="inlineStr">
        <is>
          <t>PAA</t>
        </is>
      </c>
      <c r="F826" s="92" t="inlineStr">
        <is>
          <t>F51</t>
        </is>
      </c>
      <c r="G826" s="92" t="inlineStr">
        <is>
          <t>CSM 상각</t>
        </is>
      </c>
      <c r="H826" s="93" t="n">
        <v>0</v>
      </c>
      <c r="I826" s="93" t="n">
        <v>0</v>
      </c>
      <c r="J826" s="93" t="n">
        <v>0</v>
      </c>
      <c r="L826" s="9">
        <f>IF($A826="","",VALUE($A826&amp;"")*12+VALUE($B826&amp;""))</f>
        <v/>
      </c>
      <c r="M826" s="94">
        <f>IF($A826="",0,$H826*설정!$C$23)</f>
        <v/>
      </c>
      <c r="N826" s="94">
        <f>IF($A826="",0,$I826*설정!$C$23)</f>
        <v/>
      </c>
      <c r="O826" s="94">
        <f>IF($A826="",0,$J826*설정!$C$23)</f>
        <v/>
      </c>
      <c r="P826" s="64">
        <f>IF($A826="","",IFERROR(INDEX(입력옵션!$C$58:$C$68,MATCH($F826&amp;"",입력옵션!$E$58:$E$68,0)),IFERROR(INDEX(입력옵션!$C$58:$C$68,MATCH($G826&amp;"",입력옵션!$F$58:$F$68,0)),$F826&amp;"")))</f>
        <v/>
      </c>
    </row>
    <row r="827">
      <c r="A827" s="92" t="n">
        <v>2026</v>
      </c>
      <c r="B827" s="92" t="n">
        <v>7</v>
      </c>
      <c r="C827" s="92" t="inlineStr">
        <is>
          <t>PF03</t>
        </is>
      </c>
      <c r="D827" s="92" t="inlineStr">
        <is>
          <t>단체(단기)</t>
        </is>
      </c>
      <c r="E827" s="92" t="inlineStr">
        <is>
          <t>PAA</t>
        </is>
      </c>
      <c r="F827" s="92" t="inlineStr">
        <is>
          <t>F52</t>
        </is>
      </c>
      <c r="G827" s="92" t="inlineStr">
        <is>
          <t>RA 해제</t>
        </is>
      </c>
      <c r="H827" s="93" t="n">
        <v>0</v>
      </c>
      <c r="I827" s="93" t="n">
        <v>-14639000</v>
      </c>
      <c r="J827" s="93" t="n">
        <v>0</v>
      </c>
      <c r="L827" s="9">
        <f>IF($A827="","",VALUE($A827&amp;"")*12+VALUE($B827&amp;""))</f>
        <v/>
      </c>
      <c r="M827" s="94">
        <f>IF($A827="",0,$H827*설정!$C$23)</f>
        <v/>
      </c>
      <c r="N827" s="94">
        <f>IF($A827="",0,$I827*설정!$C$23)</f>
        <v/>
      </c>
      <c r="O827" s="94">
        <f>IF($A827="",0,$J827*설정!$C$23)</f>
        <v/>
      </c>
      <c r="P827" s="64">
        <f>IF($A827="","",IFERROR(INDEX(입력옵션!$C$58:$C$68,MATCH($F827&amp;"",입력옵션!$E$58:$E$68,0)),IFERROR(INDEX(입력옵션!$C$58:$C$68,MATCH($G827&amp;"",입력옵션!$F$58:$F$68,0)),$F827&amp;"")))</f>
        <v/>
      </c>
    </row>
    <row r="828">
      <c r="A828" s="92" t="n">
        <v>2026</v>
      </c>
      <c r="B828" s="92" t="n">
        <v>7</v>
      </c>
      <c r="C828" s="92" t="inlineStr">
        <is>
          <t>PF03</t>
        </is>
      </c>
      <c r="D828" s="92" t="inlineStr">
        <is>
          <t>단체(단기)</t>
        </is>
      </c>
      <c r="E828" s="92" t="inlineStr">
        <is>
          <t>PAA</t>
        </is>
      </c>
      <c r="F828" s="92" t="inlineStr">
        <is>
          <t>F60</t>
        </is>
      </c>
      <c r="G828" s="92" t="inlineStr">
        <is>
          <t>현금흐름 및 기타</t>
        </is>
      </c>
      <c r="H828" s="93" t="n">
        <v>82752000</v>
      </c>
      <c r="I828" s="93" t="n">
        <v>35691000</v>
      </c>
      <c r="J828" s="93" t="n">
        <v>0</v>
      </c>
      <c r="L828" s="9">
        <f>IF($A828="","",VALUE($A828&amp;"")*12+VALUE($B828&amp;""))</f>
        <v/>
      </c>
      <c r="M828" s="94">
        <f>IF($A828="",0,$H828*설정!$C$23)</f>
        <v/>
      </c>
      <c r="N828" s="94">
        <f>IF($A828="",0,$I828*설정!$C$23)</f>
        <v/>
      </c>
      <c r="O828" s="94">
        <f>IF($A828="",0,$J828*설정!$C$23)</f>
        <v/>
      </c>
      <c r="P828" s="64">
        <f>IF($A828="","",IFERROR(INDEX(입력옵션!$C$58:$C$68,MATCH($F828&amp;"",입력옵션!$E$58:$E$68,0)),IFERROR(INDEX(입력옵션!$C$58:$C$68,MATCH($G828&amp;"",입력옵션!$F$58:$F$68,0)),$F828&amp;"")))</f>
        <v/>
      </c>
    </row>
    <row r="829">
      <c r="A829" s="92" t="n">
        <v>2026</v>
      </c>
      <c r="B829" s="92" t="n">
        <v>7</v>
      </c>
      <c r="C829" s="92" t="inlineStr">
        <is>
          <t>PF03</t>
        </is>
      </c>
      <c r="D829" s="92" t="inlineStr">
        <is>
          <t>단체(단기)</t>
        </is>
      </c>
      <c r="E829" s="92" t="inlineStr">
        <is>
          <t>PAA</t>
        </is>
      </c>
      <c r="F829" s="92" t="inlineStr">
        <is>
          <t>F99</t>
        </is>
      </c>
      <c r="G829" s="92" t="inlineStr">
        <is>
          <t>기말잔액</t>
        </is>
      </c>
      <c r="H829" s="93" t="n">
        <v>43447302000</v>
      </c>
      <c r="I829" s="93" t="n">
        <v>2460964000</v>
      </c>
      <c r="J829" s="93" t="n">
        <v>0</v>
      </c>
      <c r="L829" s="9">
        <f>IF($A829="","",VALUE($A829&amp;"")*12+VALUE($B829&amp;""))</f>
        <v/>
      </c>
      <c r="M829" s="94">
        <f>IF($A829="",0,$H829*설정!$C$23)</f>
        <v/>
      </c>
      <c r="N829" s="94">
        <f>IF($A829="",0,$I829*설정!$C$23)</f>
        <v/>
      </c>
      <c r="O829" s="94">
        <f>IF($A829="",0,$J829*설정!$C$23)</f>
        <v/>
      </c>
      <c r="P829" s="64">
        <f>IF($A829="","",IFERROR(INDEX(입력옵션!$C$58:$C$68,MATCH($F829&amp;"",입력옵션!$E$58:$E$68,0)),IFERROR(INDEX(입력옵션!$C$58:$C$68,MATCH($G829&amp;"",입력옵션!$F$58:$F$68,0)),$F829&amp;"")))</f>
        <v/>
      </c>
    </row>
    <row r="830">
      <c r="A830" s="92" t="n">
        <v>2026</v>
      </c>
      <c r="B830" s="92" t="n">
        <v>7</v>
      </c>
      <c r="C830" s="92" t="inlineStr">
        <is>
          <t>PF04</t>
        </is>
      </c>
      <c r="D830" s="92" t="inlineStr">
        <is>
          <t>변액</t>
        </is>
      </c>
      <c r="E830" s="92" t="inlineStr">
        <is>
          <t>VFA</t>
        </is>
      </c>
      <c r="F830" s="92" t="inlineStr">
        <is>
          <t>F00</t>
        </is>
      </c>
      <c r="G830" s="92" t="inlineStr">
        <is>
          <t>기초잔액</t>
        </is>
      </c>
      <c r="H830" s="93" t="n">
        <v>325234125000</v>
      </c>
      <c r="I830" s="93" t="n">
        <v>15859428000</v>
      </c>
      <c r="J830" s="93" t="n">
        <v>52723485000</v>
      </c>
      <c r="L830" s="9">
        <f>IF($A830="","",VALUE($A830&amp;"")*12+VALUE($B830&amp;""))</f>
        <v/>
      </c>
      <c r="M830" s="94">
        <f>IF($A830="",0,$H830*설정!$C$23)</f>
        <v/>
      </c>
      <c r="N830" s="94">
        <f>IF($A830="",0,$I830*설정!$C$23)</f>
        <v/>
      </c>
      <c r="O830" s="94">
        <f>IF($A830="",0,$J830*설정!$C$23)</f>
        <v/>
      </c>
      <c r="P830" s="64">
        <f>IF($A830="","",IFERROR(INDEX(입력옵션!$C$58:$C$68,MATCH($F830&amp;"",입력옵션!$E$58:$E$68,0)),IFERROR(INDEX(입력옵션!$C$58:$C$68,MATCH($G830&amp;"",입력옵션!$F$58:$F$68,0)),$F830&amp;"")))</f>
        <v/>
      </c>
    </row>
    <row r="831">
      <c r="A831" s="92" t="n">
        <v>2026</v>
      </c>
      <c r="B831" s="92" t="n">
        <v>7</v>
      </c>
      <c r="C831" s="92" t="inlineStr">
        <is>
          <t>PF04</t>
        </is>
      </c>
      <c r="D831" s="92" t="inlineStr">
        <is>
          <t>변액</t>
        </is>
      </c>
      <c r="E831" s="92" t="inlineStr">
        <is>
          <t>VFA</t>
        </is>
      </c>
      <c r="F831" s="92" t="inlineStr">
        <is>
          <t>F10</t>
        </is>
      </c>
      <c r="G831" s="92" t="inlineStr">
        <is>
          <t>신계약 효과</t>
        </is>
      </c>
      <c r="H831" s="93" t="n">
        <v>-663545000</v>
      </c>
      <c r="I831" s="93" t="n">
        <v>132709000</v>
      </c>
      <c r="J831" s="93" t="n">
        <v>530836000</v>
      </c>
      <c r="L831" s="9">
        <f>IF($A831="","",VALUE($A831&amp;"")*12+VALUE($B831&amp;""))</f>
        <v/>
      </c>
      <c r="M831" s="94">
        <f>IF($A831="",0,$H831*설정!$C$23)</f>
        <v/>
      </c>
      <c r="N831" s="94">
        <f>IF($A831="",0,$I831*설정!$C$23)</f>
        <v/>
      </c>
      <c r="O831" s="94">
        <f>IF($A831="",0,$J831*설정!$C$23)</f>
        <v/>
      </c>
      <c r="P831" s="64">
        <f>IF($A831="","",IFERROR(INDEX(입력옵션!$C$58:$C$68,MATCH($F831&amp;"",입력옵션!$E$58:$E$68,0)),IFERROR(INDEX(입력옵션!$C$58:$C$68,MATCH($G831&amp;"",입력옵션!$F$58:$F$68,0)),$F831&amp;"")))</f>
        <v/>
      </c>
    </row>
    <row r="832">
      <c r="A832" s="92" t="n">
        <v>2026</v>
      </c>
      <c r="B832" s="92" t="n">
        <v>7</v>
      </c>
      <c r="C832" s="92" t="inlineStr">
        <is>
          <t>PF04</t>
        </is>
      </c>
      <c r="D832" s="92" t="inlineStr">
        <is>
          <t>변액</t>
        </is>
      </c>
      <c r="E832" s="92" t="inlineStr">
        <is>
          <t>VFA</t>
        </is>
      </c>
      <c r="F832" s="92" t="inlineStr">
        <is>
          <t>F21</t>
        </is>
      </c>
      <c r="G832" s="92" t="inlineStr">
        <is>
          <t>가정변경-사업비</t>
        </is>
      </c>
      <c r="H832" s="93" t="n">
        <v>0</v>
      </c>
      <c r="I832" s="93" t="n">
        <v>0</v>
      </c>
      <c r="J832" s="93" t="n">
        <v>0</v>
      </c>
      <c r="L832" s="9">
        <f>IF($A832="","",VALUE($A832&amp;"")*12+VALUE($B832&amp;""))</f>
        <v/>
      </c>
      <c r="M832" s="94">
        <f>IF($A832="",0,$H832*설정!$C$23)</f>
        <v/>
      </c>
      <c r="N832" s="94">
        <f>IF($A832="",0,$I832*설정!$C$23)</f>
        <v/>
      </c>
      <c r="O832" s="94">
        <f>IF($A832="",0,$J832*설정!$C$23)</f>
        <v/>
      </c>
      <c r="P832" s="64">
        <f>IF($A832="","",IFERROR(INDEX(입력옵션!$C$58:$C$68,MATCH($F832&amp;"",입력옵션!$E$58:$E$68,0)),IFERROR(INDEX(입력옵션!$C$58:$C$68,MATCH($G832&amp;"",입력옵션!$F$58:$F$68,0)),$F832&amp;"")))</f>
        <v/>
      </c>
    </row>
    <row r="833">
      <c r="A833" s="92" t="n">
        <v>2026</v>
      </c>
      <c r="B833" s="92" t="n">
        <v>7</v>
      </c>
      <c r="C833" s="92" t="inlineStr">
        <is>
          <t>PF04</t>
        </is>
      </c>
      <c r="D833" s="92" t="inlineStr">
        <is>
          <t>변액</t>
        </is>
      </c>
      <c r="E833" s="92" t="inlineStr">
        <is>
          <t>VFA</t>
        </is>
      </c>
      <c r="F833" s="92" t="inlineStr">
        <is>
          <t>F22</t>
        </is>
      </c>
      <c r="G833" s="92" t="inlineStr">
        <is>
          <t>가정변경-기타</t>
        </is>
      </c>
      <c r="H833" s="93" t="n">
        <v>0</v>
      </c>
      <c r="I833" s="93" t="n">
        <v>0</v>
      </c>
      <c r="J833" s="93" t="n">
        <v>0</v>
      </c>
      <c r="L833" s="9">
        <f>IF($A833="","",VALUE($A833&amp;"")*12+VALUE($B833&amp;""))</f>
        <v/>
      </c>
      <c r="M833" s="94">
        <f>IF($A833="",0,$H833*설정!$C$23)</f>
        <v/>
      </c>
      <c r="N833" s="94">
        <f>IF($A833="",0,$I833*설정!$C$23)</f>
        <v/>
      </c>
      <c r="O833" s="94">
        <f>IF($A833="",0,$J833*설정!$C$23)</f>
        <v/>
      </c>
      <c r="P833" s="64">
        <f>IF($A833="","",IFERROR(INDEX(입력옵션!$C$58:$C$68,MATCH($F833&amp;"",입력옵션!$E$58:$E$68,0)),IFERROR(INDEX(입력옵션!$C$58:$C$68,MATCH($G833&amp;"",입력옵션!$F$58:$F$68,0)),$F833&amp;"")))</f>
        <v/>
      </c>
    </row>
    <row r="834">
      <c r="A834" s="92" t="n">
        <v>2026</v>
      </c>
      <c r="B834" s="92" t="n">
        <v>7</v>
      </c>
      <c r="C834" s="92" t="inlineStr">
        <is>
          <t>PF04</t>
        </is>
      </c>
      <c r="D834" s="92" t="inlineStr">
        <is>
          <t>변액</t>
        </is>
      </c>
      <c r="E834" s="92" t="inlineStr">
        <is>
          <t>VFA</t>
        </is>
      </c>
      <c r="F834" s="92" t="inlineStr">
        <is>
          <t>F31</t>
        </is>
      </c>
      <c r="G834" s="92" t="inlineStr">
        <is>
          <t>경험조정-취득현금흐름</t>
        </is>
      </c>
      <c r="H834" s="93" t="n">
        <v>0</v>
      </c>
      <c r="I834" s="93" t="n">
        <v>0</v>
      </c>
      <c r="J834" s="93" t="n">
        <v>-5633000</v>
      </c>
      <c r="L834" s="9">
        <f>IF($A834="","",VALUE($A834&amp;"")*12+VALUE($B834&amp;""))</f>
        <v/>
      </c>
      <c r="M834" s="94">
        <f>IF($A834="",0,$H834*설정!$C$23)</f>
        <v/>
      </c>
      <c r="N834" s="94">
        <f>IF($A834="",0,$I834*설정!$C$23)</f>
        <v/>
      </c>
      <c r="O834" s="94">
        <f>IF($A834="",0,$J834*설정!$C$23)</f>
        <v/>
      </c>
      <c r="P834" s="64">
        <f>IF($A834="","",IFERROR(INDEX(입력옵션!$C$58:$C$68,MATCH($F834&amp;"",입력옵션!$E$58:$E$68,0)),IFERROR(INDEX(입력옵션!$C$58:$C$68,MATCH($G834&amp;"",입력옵션!$F$58:$F$68,0)),$F834&amp;"")))</f>
        <v/>
      </c>
    </row>
    <row r="835">
      <c r="A835" s="92" t="n">
        <v>2026</v>
      </c>
      <c r="B835" s="92" t="n">
        <v>7</v>
      </c>
      <c r="C835" s="92" t="inlineStr">
        <is>
          <t>PF04</t>
        </is>
      </c>
      <c r="D835" s="92" t="inlineStr">
        <is>
          <t>변액</t>
        </is>
      </c>
      <c r="E835" s="92" t="inlineStr">
        <is>
          <t>VFA</t>
        </is>
      </c>
      <c r="F835" s="92" t="inlineStr">
        <is>
          <t>F32</t>
        </is>
      </c>
      <c r="G835" s="92" t="inlineStr">
        <is>
          <t>경험조정-보험료 등</t>
        </is>
      </c>
      <c r="H835" s="93" t="n">
        <v>0</v>
      </c>
      <c r="I835" s="93" t="n">
        <v>0</v>
      </c>
      <c r="J835" s="93" t="n">
        <v>-7999000</v>
      </c>
      <c r="L835" s="9">
        <f>IF($A835="","",VALUE($A835&amp;"")*12+VALUE($B835&amp;""))</f>
        <v/>
      </c>
      <c r="M835" s="94">
        <f>IF($A835="",0,$H835*설정!$C$23)</f>
        <v/>
      </c>
      <c r="N835" s="94">
        <f>IF($A835="",0,$I835*설정!$C$23)</f>
        <v/>
      </c>
      <c r="O835" s="94">
        <f>IF($A835="",0,$J835*설정!$C$23)</f>
        <v/>
      </c>
      <c r="P835" s="64">
        <f>IF($A835="","",IFERROR(INDEX(입력옵션!$C$58:$C$68,MATCH($F835&amp;"",입력옵션!$E$58:$E$68,0)),IFERROR(INDEX(입력옵션!$C$58:$C$68,MATCH($G835&amp;"",입력옵션!$F$58:$F$68,0)),$F835&amp;"")))</f>
        <v/>
      </c>
    </row>
    <row r="836">
      <c r="A836" s="92" t="n">
        <v>2026</v>
      </c>
      <c r="B836" s="92" t="n">
        <v>7</v>
      </c>
      <c r="C836" s="92" t="inlineStr">
        <is>
          <t>PF04</t>
        </is>
      </c>
      <c r="D836" s="92" t="inlineStr">
        <is>
          <t>변액</t>
        </is>
      </c>
      <c r="E836" s="92" t="inlineStr">
        <is>
          <t>VFA</t>
        </is>
      </c>
      <c r="F836" s="92" t="inlineStr">
        <is>
          <t>F40</t>
        </is>
      </c>
      <c r="G836" s="92" t="inlineStr">
        <is>
          <t>보험금융비용(이자부리)</t>
        </is>
      </c>
      <c r="H836" s="93" t="n">
        <v>813085000</v>
      </c>
      <c r="I836" s="93" t="n">
        <v>31719000</v>
      </c>
      <c r="J836" s="93" t="n">
        <v>131809000</v>
      </c>
      <c r="L836" s="9">
        <f>IF($A836="","",VALUE($A836&amp;"")*12+VALUE($B836&amp;""))</f>
        <v/>
      </c>
      <c r="M836" s="94">
        <f>IF($A836="",0,$H836*설정!$C$23)</f>
        <v/>
      </c>
      <c r="N836" s="94">
        <f>IF($A836="",0,$I836*설정!$C$23)</f>
        <v/>
      </c>
      <c r="O836" s="94">
        <f>IF($A836="",0,$J836*설정!$C$23)</f>
        <v/>
      </c>
      <c r="P836" s="64">
        <f>IF($A836="","",IFERROR(INDEX(입력옵션!$C$58:$C$68,MATCH($F836&amp;"",입력옵션!$E$58:$E$68,0)),IFERROR(INDEX(입력옵션!$C$58:$C$68,MATCH($G836&amp;"",입력옵션!$F$58:$F$68,0)),$F836&amp;"")))</f>
        <v/>
      </c>
    </row>
    <row r="837">
      <c r="A837" s="92" t="n">
        <v>2026</v>
      </c>
      <c r="B837" s="92" t="n">
        <v>7</v>
      </c>
      <c r="C837" s="92" t="inlineStr">
        <is>
          <t>PF04</t>
        </is>
      </c>
      <c r="D837" s="92" t="inlineStr">
        <is>
          <t>변액</t>
        </is>
      </c>
      <c r="E837" s="92" t="inlineStr">
        <is>
          <t>VFA</t>
        </is>
      </c>
      <c r="F837" s="92" t="inlineStr">
        <is>
          <t>F51</t>
        </is>
      </c>
      <c r="G837" s="92" t="inlineStr">
        <is>
          <t>CSM 상각</t>
        </is>
      </c>
      <c r="H837" s="93" t="n">
        <v>0</v>
      </c>
      <c r="I837" s="93" t="n">
        <v>0</v>
      </c>
      <c r="J837" s="93" t="n">
        <v>-474511000</v>
      </c>
      <c r="L837" s="9">
        <f>IF($A837="","",VALUE($A837&amp;"")*12+VALUE($B837&amp;""))</f>
        <v/>
      </c>
      <c r="M837" s="94">
        <f>IF($A837="",0,$H837*설정!$C$23)</f>
        <v/>
      </c>
      <c r="N837" s="94">
        <f>IF($A837="",0,$I837*설정!$C$23)</f>
        <v/>
      </c>
      <c r="O837" s="94">
        <f>IF($A837="",0,$J837*설정!$C$23)</f>
        <v/>
      </c>
      <c r="P837" s="64">
        <f>IF($A837="","",IFERROR(INDEX(입력옵션!$C$58:$C$68,MATCH($F837&amp;"",입력옵션!$E$58:$E$68,0)),IFERROR(INDEX(입력옵션!$C$58:$C$68,MATCH($G837&amp;"",입력옵션!$F$58:$F$68,0)),$F837&amp;"")))</f>
        <v/>
      </c>
    </row>
    <row r="838">
      <c r="A838" s="92" t="n">
        <v>2026</v>
      </c>
      <c r="B838" s="92" t="n">
        <v>7</v>
      </c>
      <c r="C838" s="92" t="inlineStr">
        <is>
          <t>PF04</t>
        </is>
      </c>
      <c r="D838" s="92" t="inlineStr">
        <is>
          <t>변액</t>
        </is>
      </c>
      <c r="E838" s="92" t="inlineStr">
        <is>
          <t>VFA</t>
        </is>
      </c>
      <c r="F838" s="92" t="inlineStr">
        <is>
          <t>F52</t>
        </is>
      </c>
      <c r="G838" s="92" t="inlineStr">
        <is>
          <t>RA 해제</t>
        </is>
      </c>
      <c r="H838" s="93" t="n">
        <v>0</v>
      </c>
      <c r="I838" s="93" t="n">
        <v>-95157000</v>
      </c>
      <c r="J838" s="93" t="n">
        <v>0</v>
      </c>
      <c r="L838" s="9">
        <f>IF($A838="","",VALUE($A838&amp;"")*12+VALUE($B838&amp;""))</f>
        <v/>
      </c>
      <c r="M838" s="94">
        <f>IF($A838="",0,$H838*설정!$C$23)</f>
        <v/>
      </c>
      <c r="N838" s="94">
        <f>IF($A838="",0,$I838*설정!$C$23)</f>
        <v/>
      </c>
      <c r="O838" s="94">
        <f>IF($A838="",0,$J838*설정!$C$23)</f>
        <v/>
      </c>
      <c r="P838" s="64">
        <f>IF($A838="","",IFERROR(INDEX(입력옵션!$C$58:$C$68,MATCH($F838&amp;"",입력옵션!$E$58:$E$68,0)),IFERROR(INDEX(입력옵션!$C$58:$C$68,MATCH($G838&amp;"",입력옵션!$F$58:$F$68,0)),$F838&amp;"")))</f>
        <v/>
      </c>
    </row>
    <row r="839">
      <c r="A839" s="92" t="n">
        <v>2026</v>
      </c>
      <c r="B839" s="92" t="n">
        <v>7</v>
      </c>
      <c r="C839" s="92" t="inlineStr">
        <is>
          <t>PF04</t>
        </is>
      </c>
      <c r="D839" s="92" t="inlineStr">
        <is>
          <t>변액</t>
        </is>
      </c>
      <c r="E839" s="92" t="inlineStr">
        <is>
          <t>VFA</t>
        </is>
      </c>
      <c r="F839" s="92" t="inlineStr">
        <is>
          <t>F60</t>
        </is>
      </c>
      <c r="G839" s="92" t="inlineStr">
        <is>
          <t>현금흐름 및 기타</t>
        </is>
      </c>
      <c r="H839" s="93" t="n">
        <v>471099000</v>
      </c>
      <c r="I839" s="93" t="n">
        <v>67567000</v>
      </c>
      <c r="J839" s="93" t="n">
        <v>0</v>
      </c>
      <c r="L839" s="9">
        <f>IF($A839="","",VALUE($A839&amp;"")*12+VALUE($B839&amp;""))</f>
        <v/>
      </c>
      <c r="M839" s="94">
        <f>IF($A839="",0,$H839*설정!$C$23)</f>
        <v/>
      </c>
      <c r="N839" s="94">
        <f>IF($A839="",0,$I839*설정!$C$23)</f>
        <v/>
      </c>
      <c r="O839" s="94">
        <f>IF($A839="",0,$J839*설정!$C$23)</f>
        <v/>
      </c>
      <c r="P839" s="64">
        <f>IF($A839="","",IFERROR(INDEX(입력옵션!$C$58:$C$68,MATCH($F839&amp;"",입력옵션!$E$58:$E$68,0)),IFERROR(INDEX(입력옵션!$C$58:$C$68,MATCH($G839&amp;"",입력옵션!$F$58:$F$68,0)),$F839&amp;"")))</f>
        <v/>
      </c>
    </row>
    <row r="840">
      <c r="A840" s="92" t="n">
        <v>2026</v>
      </c>
      <c r="B840" s="92" t="n">
        <v>7</v>
      </c>
      <c r="C840" s="92" t="inlineStr">
        <is>
          <t>PF04</t>
        </is>
      </c>
      <c r="D840" s="92" t="inlineStr">
        <is>
          <t>변액</t>
        </is>
      </c>
      <c r="E840" s="92" t="inlineStr">
        <is>
          <t>VFA</t>
        </is>
      </c>
      <c r="F840" s="92" t="inlineStr">
        <is>
          <t>F99</t>
        </is>
      </c>
      <c r="G840" s="92" t="inlineStr">
        <is>
          <t>기말잔액</t>
        </is>
      </c>
      <c r="H840" s="93" t="n">
        <v>325854765000</v>
      </c>
      <c r="I840" s="93" t="n">
        <v>15996266000</v>
      </c>
      <c r="J840" s="93" t="n">
        <v>52897987000</v>
      </c>
      <c r="L840" s="9">
        <f>IF($A840="","",VALUE($A840&amp;"")*12+VALUE($B840&amp;""))</f>
        <v/>
      </c>
      <c r="M840" s="94">
        <f>IF($A840="",0,$H840*설정!$C$23)</f>
        <v/>
      </c>
      <c r="N840" s="94">
        <f>IF($A840="",0,$I840*설정!$C$23)</f>
        <v/>
      </c>
      <c r="O840" s="94">
        <f>IF($A840="",0,$J840*설정!$C$23)</f>
        <v/>
      </c>
      <c r="P840" s="64">
        <f>IF($A840="","",IFERROR(INDEX(입력옵션!$C$58:$C$68,MATCH($F840&amp;"",입력옵션!$E$58:$E$68,0)),IFERROR(INDEX(입력옵션!$C$58:$C$68,MATCH($G840&amp;"",입력옵션!$F$58:$F$68,0)),$F840&amp;"")))</f>
        <v/>
      </c>
    </row>
    <row r="841">
      <c r="A841" s="92" t="n">
        <v>2026</v>
      </c>
      <c r="B841" s="92" t="n">
        <v>8</v>
      </c>
      <c r="C841" s="92" t="inlineStr">
        <is>
          <t>PF01</t>
        </is>
      </c>
      <c r="D841" s="92" t="inlineStr">
        <is>
          <t>보장성</t>
        </is>
      </c>
      <c r="E841" s="92" t="inlineStr">
        <is>
          <t>GMM</t>
        </is>
      </c>
      <c r="F841" s="92" t="inlineStr">
        <is>
          <t>F00</t>
        </is>
      </c>
      <c r="G841" s="92" t="inlineStr">
        <is>
          <t>기초잔액</t>
        </is>
      </c>
      <c r="H841" s="93" t="n">
        <v>1086182550000</v>
      </c>
      <c r="I841" s="93" t="n">
        <v>73828920000</v>
      </c>
      <c r="J841" s="93" t="n">
        <v>251713992000</v>
      </c>
      <c r="L841" s="9">
        <f>IF($A841="","",VALUE($A841&amp;"")*12+VALUE($B841&amp;""))</f>
        <v/>
      </c>
      <c r="M841" s="94">
        <f>IF($A841="",0,$H841*설정!$C$23)</f>
        <v/>
      </c>
      <c r="N841" s="94">
        <f>IF($A841="",0,$I841*설정!$C$23)</f>
        <v/>
      </c>
      <c r="O841" s="94">
        <f>IF($A841="",0,$J841*설정!$C$23)</f>
        <v/>
      </c>
      <c r="P841" s="64">
        <f>IF($A841="","",IFERROR(INDEX(입력옵션!$C$58:$C$68,MATCH($F841&amp;"",입력옵션!$E$58:$E$68,0)),IFERROR(INDEX(입력옵션!$C$58:$C$68,MATCH($G841&amp;"",입력옵션!$F$58:$F$68,0)),$F841&amp;"")))</f>
        <v/>
      </c>
    </row>
    <row r="842">
      <c r="A842" s="92" t="n">
        <v>2026</v>
      </c>
      <c r="B842" s="92" t="n">
        <v>8</v>
      </c>
      <c r="C842" s="92" t="inlineStr">
        <is>
          <t>PF01</t>
        </is>
      </c>
      <c r="D842" s="92" t="inlineStr">
        <is>
          <t>보장성</t>
        </is>
      </c>
      <c r="E842" s="92" t="inlineStr">
        <is>
          <t>GMM</t>
        </is>
      </c>
      <c r="F842" s="92" t="inlineStr">
        <is>
          <t>F10</t>
        </is>
      </c>
      <c r="G842" s="92" t="inlineStr">
        <is>
          <t>신계약 효과</t>
        </is>
      </c>
      <c r="H842" s="93" t="n">
        <v>-3203916000</v>
      </c>
      <c r="I842" s="93" t="n">
        <v>640783000</v>
      </c>
      <c r="J842" s="93" t="n">
        <v>2563133000</v>
      </c>
      <c r="L842" s="9">
        <f>IF($A842="","",VALUE($A842&amp;"")*12+VALUE($B842&amp;""))</f>
        <v/>
      </c>
      <c r="M842" s="94">
        <f>IF($A842="",0,$H842*설정!$C$23)</f>
        <v/>
      </c>
      <c r="N842" s="94">
        <f>IF($A842="",0,$I842*설정!$C$23)</f>
        <v/>
      </c>
      <c r="O842" s="94">
        <f>IF($A842="",0,$J842*설정!$C$23)</f>
        <v/>
      </c>
      <c r="P842" s="64">
        <f>IF($A842="","",IFERROR(INDEX(입력옵션!$C$58:$C$68,MATCH($F842&amp;"",입력옵션!$E$58:$E$68,0)),IFERROR(INDEX(입력옵션!$C$58:$C$68,MATCH($G842&amp;"",입력옵션!$F$58:$F$68,0)),$F842&amp;"")))</f>
        <v/>
      </c>
    </row>
    <row r="843">
      <c r="A843" s="92" t="n">
        <v>2026</v>
      </c>
      <c r="B843" s="92" t="n">
        <v>8</v>
      </c>
      <c r="C843" s="92" t="inlineStr">
        <is>
          <t>PF01</t>
        </is>
      </c>
      <c r="D843" s="92" t="inlineStr">
        <is>
          <t>보장성</t>
        </is>
      </c>
      <c r="E843" s="92" t="inlineStr">
        <is>
          <t>GMM</t>
        </is>
      </c>
      <c r="F843" s="92" t="inlineStr">
        <is>
          <t>F21</t>
        </is>
      </c>
      <c r="G843" s="92" t="inlineStr">
        <is>
          <t>가정변경-사업비</t>
        </is>
      </c>
      <c r="H843" s="93" t="n">
        <v>0</v>
      </c>
      <c r="I843" s="93" t="n">
        <v>0</v>
      </c>
      <c r="J843" s="93" t="n">
        <v>0</v>
      </c>
      <c r="L843" s="9">
        <f>IF($A843="","",VALUE($A843&amp;"")*12+VALUE($B843&amp;""))</f>
        <v/>
      </c>
      <c r="M843" s="94">
        <f>IF($A843="",0,$H843*설정!$C$23)</f>
        <v/>
      </c>
      <c r="N843" s="94">
        <f>IF($A843="",0,$I843*설정!$C$23)</f>
        <v/>
      </c>
      <c r="O843" s="94">
        <f>IF($A843="",0,$J843*설정!$C$23)</f>
        <v/>
      </c>
      <c r="P843" s="64">
        <f>IF($A843="","",IFERROR(INDEX(입력옵션!$C$58:$C$68,MATCH($F843&amp;"",입력옵션!$E$58:$E$68,0)),IFERROR(INDEX(입력옵션!$C$58:$C$68,MATCH($G843&amp;"",입력옵션!$F$58:$F$68,0)),$F843&amp;"")))</f>
        <v/>
      </c>
    </row>
    <row r="844">
      <c r="A844" s="92" t="n">
        <v>2026</v>
      </c>
      <c r="B844" s="92" t="n">
        <v>8</v>
      </c>
      <c r="C844" s="92" t="inlineStr">
        <is>
          <t>PF01</t>
        </is>
      </c>
      <c r="D844" s="92" t="inlineStr">
        <is>
          <t>보장성</t>
        </is>
      </c>
      <c r="E844" s="92" t="inlineStr">
        <is>
          <t>GMM</t>
        </is>
      </c>
      <c r="F844" s="92" t="inlineStr">
        <is>
          <t>F22</t>
        </is>
      </c>
      <c r="G844" s="92" t="inlineStr">
        <is>
          <t>가정변경-기타</t>
        </is>
      </c>
      <c r="H844" s="93" t="n">
        <v>0</v>
      </c>
      <c r="I844" s="93" t="n">
        <v>0</v>
      </c>
      <c r="J844" s="93" t="n">
        <v>0</v>
      </c>
      <c r="L844" s="9">
        <f>IF($A844="","",VALUE($A844&amp;"")*12+VALUE($B844&amp;""))</f>
        <v/>
      </c>
      <c r="M844" s="94">
        <f>IF($A844="",0,$H844*설정!$C$23)</f>
        <v/>
      </c>
      <c r="N844" s="94">
        <f>IF($A844="",0,$I844*설정!$C$23)</f>
        <v/>
      </c>
      <c r="O844" s="94">
        <f>IF($A844="",0,$J844*설정!$C$23)</f>
        <v/>
      </c>
      <c r="P844" s="64">
        <f>IF($A844="","",IFERROR(INDEX(입력옵션!$C$58:$C$68,MATCH($F844&amp;"",입력옵션!$E$58:$E$68,0)),IFERROR(INDEX(입력옵션!$C$58:$C$68,MATCH($G844&amp;"",입력옵션!$F$58:$F$68,0)),$F844&amp;"")))</f>
        <v/>
      </c>
    </row>
    <row r="845">
      <c r="A845" s="92" t="n">
        <v>2026</v>
      </c>
      <c r="B845" s="92" t="n">
        <v>8</v>
      </c>
      <c r="C845" s="92" t="inlineStr">
        <is>
          <t>PF01</t>
        </is>
      </c>
      <c r="D845" s="92" t="inlineStr">
        <is>
          <t>보장성</t>
        </is>
      </c>
      <c r="E845" s="92" t="inlineStr">
        <is>
          <t>GMM</t>
        </is>
      </c>
      <c r="F845" s="92" t="inlineStr">
        <is>
          <t>F31</t>
        </is>
      </c>
      <c r="G845" s="92" t="inlineStr">
        <is>
          <t>경험조정-취득현금흐름</t>
        </is>
      </c>
      <c r="H845" s="93" t="n">
        <v>0</v>
      </c>
      <c r="I845" s="93" t="n">
        <v>0</v>
      </c>
      <c r="J845" s="93" t="n">
        <v>-9190000</v>
      </c>
      <c r="L845" s="9">
        <f>IF($A845="","",VALUE($A845&amp;"")*12+VALUE($B845&amp;""))</f>
        <v/>
      </c>
      <c r="M845" s="94">
        <f>IF($A845="",0,$H845*설정!$C$23)</f>
        <v/>
      </c>
      <c r="N845" s="94">
        <f>IF($A845="",0,$I845*설정!$C$23)</f>
        <v/>
      </c>
      <c r="O845" s="94">
        <f>IF($A845="",0,$J845*설정!$C$23)</f>
        <v/>
      </c>
      <c r="P845" s="64">
        <f>IF($A845="","",IFERROR(INDEX(입력옵션!$C$58:$C$68,MATCH($F845&amp;"",입력옵션!$E$58:$E$68,0)),IFERROR(INDEX(입력옵션!$C$58:$C$68,MATCH($G845&amp;"",입력옵션!$F$58:$F$68,0)),$F845&amp;"")))</f>
        <v/>
      </c>
    </row>
    <row r="846">
      <c r="A846" s="92" t="n">
        <v>2026</v>
      </c>
      <c r="B846" s="92" t="n">
        <v>8</v>
      </c>
      <c r="C846" s="92" t="inlineStr">
        <is>
          <t>PF01</t>
        </is>
      </c>
      <c r="D846" s="92" t="inlineStr">
        <is>
          <t>보장성</t>
        </is>
      </c>
      <c r="E846" s="92" t="inlineStr">
        <is>
          <t>GMM</t>
        </is>
      </c>
      <c r="F846" s="92" t="inlineStr">
        <is>
          <t>F32</t>
        </is>
      </c>
      <c r="G846" s="92" t="inlineStr">
        <is>
          <t>경험조정-보험료 등</t>
        </is>
      </c>
      <c r="H846" s="93" t="n">
        <v>0</v>
      </c>
      <c r="I846" s="93" t="n">
        <v>0</v>
      </c>
      <c r="J846" s="93" t="n">
        <v>201961000</v>
      </c>
      <c r="L846" s="9">
        <f>IF($A846="","",VALUE($A846&amp;"")*12+VALUE($B846&amp;""))</f>
        <v/>
      </c>
      <c r="M846" s="94">
        <f>IF($A846="",0,$H846*설정!$C$23)</f>
        <v/>
      </c>
      <c r="N846" s="94">
        <f>IF($A846="",0,$I846*설정!$C$23)</f>
        <v/>
      </c>
      <c r="O846" s="94">
        <f>IF($A846="",0,$J846*설정!$C$23)</f>
        <v/>
      </c>
      <c r="P846" s="64">
        <f>IF($A846="","",IFERROR(INDEX(입력옵션!$C$58:$C$68,MATCH($F846&amp;"",입력옵션!$E$58:$E$68,0)),IFERROR(INDEX(입력옵션!$C$58:$C$68,MATCH($G846&amp;"",입력옵션!$F$58:$F$68,0)),$F846&amp;"")))</f>
        <v/>
      </c>
    </row>
    <row r="847">
      <c r="A847" s="92" t="n">
        <v>2026</v>
      </c>
      <c r="B847" s="92" t="n">
        <v>8</v>
      </c>
      <c r="C847" s="92" t="inlineStr">
        <is>
          <t>PF01</t>
        </is>
      </c>
      <c r="D847" s="92" t="inlineStr">
        <is>
          <t>보장성</t>
        </is>
      </c>
      <c r="E847" s="92" t="inlineStr">
        <is>
          <t>GMM</t>
        </is>
      </c>
      <c r="F847" s="92" t="inlineStr">
        <is>
          <t>F40</t>
        </is>
      </c>
      <c r="G847" s="92" t="inlineStr">
        <is>
          <t>보험금융비용(이자부리)</t>
        </is>
      </c>
      <c r="H847" s="93" t="n">
        <v>2715456000</v>
      </c>
      <c r="I847" s="93" t="n">
        <v>147658000</v>
      </c>
      <c r="J847" s="93" t="n">
        <v>629285000</v>
      </c>
      <c r="L847" s="9">
        <f>IF($A847="","",VALUE($A847&amp;"")*12+VALUE($B847&amp;""))</f>
        <v/>
      </c>
      <c r="M847" s="94">
        <f>IF($A847="",0,$H847*설정!$C$23)</f>
        <v/>
      </c>
      <c r="N847" s="94">
        <f>IF($A847="",0,$I847*설정!$C$23)</f>
        <v/>
      </c>
      <c r="O847" s="94">
        <f>IF($A847="",0,$J847*설정!$C$23)</f>
        <v/>
      </c>
      <c r="P847" s="64">
        <f>IF($A847="","",IFERROR(INDEX(입력옵션!$C$58:$C$68,MATCH($F847&amp;"",입력옵션!$E$58:$E$68,0)),IFERROR(INDEX(입력옵션!$C$58:$C$68,MATCH($G847&amp;"",입력옵션!$F$58:$F$68,0)),$F847&amp;"")))</f>
        <v/>
      </c>
    </row>
    <row r="848">
      <c r="A848" s="92" t="n">
        <v>2026</v>
      </c>
      <c r="B848" s="92" t="n">
        <v>8</v>
      </c>
      <c r="C848" s="92" t="inlineStr">
        <is>
          <t>PF01</t>
        </is>
      </c>
      <c r="D848" s="92" t="inlineStr">
        <is>
          <t>보장성</t>
        </is>
      </c>
      <c r="E848" s="92" t="inlineStr">
        <is>
          <t>GMM</t>
        </is>
      </c>
      <c r="F848" s="92" t="inlineStr">
        <is>
          <t>F51</t>
        </is>
      </c>
      <c r="G848" s="92" t="inlineStr">
        <is>
          <t>CSM 상각</t>
        </is>
      </c>
      <c r="H848" s="93" t="n">
        <v>0</v>
      </c>
      <c r="I848" s="93" t="n">
        <v>0</v>
      </c>
      <c r="J848" s="93" t="n">
        <v>-2265426000</v>
      </c>
      <c r="L848" s="9">
        <f>IF($A848="","",VALUE($A848&amp;"")*12+VALUE($B848&amp;""))</f>
        <v/>
      </c>
      <c r="M848" s="94">
        <f>IF($A848="",0,$H848*설정!$C$23)</f>
        <v/>
      </c>
      <c r="N848" s="94">
        <f>IF($A848="",0,$I848*설정!$C$23)</f>
        <v/>
      </c>
      <c r="O848" s="94">
        <f>IF($A848="",0,$J848*설정!$C$23)</f>
        <v/>
      </c>
      <c r="P848" s="64">
        <f>IF($A848="","",IFERROR(INDEX(입력옵션!$C$58:$C$68,MATCH($F848&amp;"",입력옵션!$E$58:$E$68,0)),IFERROR(INDEX(입력옵션!$C$58:$C$68,MATCH($G848&amp;"",입력옵션!$F$58:$F$68,0)),$F848&amp;"")))</f>
        <v/>
      </c>
    </row>
    <row r="849">
      <c r="A849" s="92" t="n">
        <v>2026</v>
      </c>
      <c r="B849" s="92" t="n">
        <v>8</v>
      </c>
      <c r="C849" s="92" t="inlineStr">
        <is>
          <t>PF01</t>
        </is>
      </c>
      <c r="D849" s="92" t="inlineStr">
        <is>
          <t>보장성</t>
        </is>
      </c>
      <c r="E849" s="92" t="inlineStr">
        <is>
          <t>GMM</t>
        </is>
      </c>
      <c r="F849" s="92" t="inlineStr">
        <is>
          <t>F52</t>
        </is>
      </c>
      <c r="G849" s="92" t="inlineStr">
        <is>
          <t>RA 해제</t>
        </is>
      </c>
      <c r="H849" s="93" t="n">
        <v>0</v>
      </c>
      <c r="I849" s="93" t="n">
        <v>-442974000</v>
      </c>
      <c r="J849" s="93" t="n">
        <v>0</v>
      </c>
      <c r="L849" s="9">
        <f>IF($A849="","",VALUE($A849&amp;"")*12+VALUE($B849&amp;""))</f>
        <v/>
      </c>
      <c r="M849" s="94">
        <f>IF($A849="",0,$H849*설정!$C$23)</f>
        <v/>
      </c>
      <c r="N849" s="94">
        <f>IF($A849="",0,$I849*설정!$C$23)</f>
        <v/>
      </c>
      <c r="O849" s="94">
        <f>IF($A849="",0,$J849*설정!$C$23)</f>
        <v/>
      </c>
      <c r="P849" s="64">
        <f>IF($A849="","",IFERROR(INDEX(입력옵션!$C$58:$C$68,MATCH($F849&amp;"",입력옵션!$E$58:$E$68,0)),IFERROR(INDEX(입력옵션!$C$58:$C$68,MATCH($G849&amp;"",입력옵션!$F$58:$F$68,0)),$F849&amp;"")))</f>
        <v/>
      </c>
    </row>
    <row r="850">
      <c r="A850" s="92" t="n">
        <v>2026</v>
      </c>
      <c r="B850" s="92" t="n">
        <v>8</v>
      </c>
      <c r="C850" s="92" t="inlineStr">
        <is>
          <t>PF01</t>
        </is>
      </c>
      <c r="D850" s="92" t="inlineStr">
        <is>
          <t>보장성</t>
        </is>
      </c>
      <c r="E850" s="92" t="inlineStr">
        <is>
          <t>GMM</t>
        </is>
      </c>
      <c r="F850" s="92" t="inlineStr">
        <is>
          <t>F60</t>
        </is>
      </c>
      <c r="G850" s="92" t="inlineStr">
        <is>
          <t>현금흐름 및 기타</t>
        </is>
      </c>
      <c r="H850" s="93" t="n">
        <v>3715410000</v>
      </c>
      <c r="I850" s="93" t="n">
        <v>-213348000</v>
      </c>
      <c r="J850" s="93" t="n">
        <v>0</v>
      </c>
      <c r="L850" s="9">
        <f>IF($A850="","",VALUE($A850&amp;"")*12+VALUE($B850&amp;""))</f>
        <v/>
      </c>
      <c r="M850" s="94">
        <f>IF($A850="",0,$H850*설정!$C$23)</f>
        <v/>
      </c>
      <c r="N850" s="94">
        <f>IF($A850="",0,$I850*설정!$C$23)</f>
        <v/>
      </c>
      <c r="O850" s="94">
        <f>IF($A850="",0,$J850*설정!$C$23)</f>
        <v/>
      </c>
      <c r="P850" s="64">
        <f>IF($A850="","",IFERROR(INDEX(입력옵션!$C$58:$C$68,MATCH($F850&amp;"",입력옵션!$E$58:$E$68,0)),IFERROR(INDEX(입력옵션!$C$58:$C$68,MATCH($G850&amp;"",입력옵션!$F$58:$F$68,0)),$F850&amp;"")))</f>
        <v/>
      </c>
    </row>
    <row r="851">
      <c r="A851" s="92" t="n">
        <v>2026</v>
      </c>
      <c r="B851" s="92" t="n">
        <v>8</v>
      </c>
      <c r="C851" s="92" t="inlineStr">
        <is>
          <t>PF01</t>
        </is>
      </c>
      <c r="D851" s="92" t="inlineStr">
        <is>
          <t>보장성</t>
        </is>
      </c>
      <c r="E851" s="92" t="inlineStr">
        <is>
          <t>GMM</t>
        </is>
      </c>
      <c r="F851" s="92" t="inlineStr">
        <is>
          <t>F99</t>
        </is>
      </c>
      <c r="G851" s="92" t="inlineStr">
        <is>
          <t>기말잔액</t>
        </is>
      </c>
      <c r="H851" s="93" t="n">
        <v>1089409500000</v>
      </c>
      <c r="I851" s="93" t="n">
        <v>73961040000</v>
      </c>
      <c r="J851" s="93" t="n">
        <v>252833754000</v>
      </c>
      <c r="L851" s="9">
        <f>IF($A851="","",VALUE($A851&amp;"")*12+VALUE($B851&amp;""))</f>
        <v/>
      </c>
      <c r="M851" s="94">
        <f>IF($A851="",0,$H851*설정!$C$23)</f>
        <v/>
      </c>
      <c r="N851" s="94">
        <f>IF($A851="",0,$I851*설정!$C$23)</f>
        <v/>
      </c>
      <c r="O851" s="94">
        <f>IF($A851="",0,$J851*설정!$C$23)</f>
        <v/>
      </c>
      <c r="P851" s="64">
        <f>IF($A851="","",IFERROR(INDEX(입력옵션!$C$58:$C$68,MATCH($F851&amp;"",입력옵션!$E$58:$E$68,0)),IFERROR(INDEX(입력옵션!$C$58:$C$68,MATCH($G851&amp;"",입력옵션!$F$58:$F$68,0)),$F851&amp;"")))</f>
        <v/>
      </c>
    </row>
    <row r="852">
      <c r="A852" s="92" t="n">
        <v>2026</v>
      </c>
      <c r="B852" s="92" t="n">
        <v>8</v>
      </c>
      <c r="C852" s="92" t="inlineStr">
        <is>
          <t>PF02</t>
        </is>
      </c>
      <c r="D852" s="92" t="inlineStr">
        <is>
          <t>저축성</t>
        </is>
      </c>
      <c r="E852" s="92" t="inlineStr">
        <is>
          <t>GMM</t>
        </is>
      </c>
      <c r="F852" s="92" t="inlineStr">
        <is>
          <t>F00</t>
        </is>
      </c>
      <c r="G852" s="92" t="inlineStr">
        <is>
          <t>기초잔액</t>
        </is>
      </c>
      <c r="H852" s="93" t="n">
        <v>716880483000</v>
      </c>
      <c r="I852" s="93" t="n">
        <v>30762050000</v>
      </c>
      <c r="J852" s="93" t="n">
        <v>101335462000</v>
      </c>
      <c r="L852" s="9">
        <f>IF($A852="","",VALUE($A852&amp;"")*12+VALUE($B852&amp;""))</f>
        <v/>
      </c>
      <c r="M852" s="94">
        <f>IF($A852="",0,$H852*설정!$C$23)</f>
        <v/>
      </c>
      <c r="N852" s="94">
        <f>IF($A852="",0,$I852*설정!$C$23)</f>
        <v/>
      </c>
      <c r="O852" s="94">
        <f>IF($A852="",0,$J852*설정!$C$23)</f>
        <v/>
      </c>
      <c r="P852" s="64">
        <f>IF($A852="","",IFERROR(INDEX(입력옵션!$C$58:$C$68,MATCH($F852&amp;"",입력옵션!$E$58:$E$68,0)),IFERROR(INDEX(입력옵션!$C$58:$C$68,MATCH($G852&amp;"",입력옵션!$F$58:$F$68,0)),$F852&amp;"")))</f>
        <v/>
      </c>
    </row>
    <row r="853">
      <c r="A853" s="92" t="n">
        <v>2026</v>
      </c>
      <c r="B853" s="92" t="n">
        <v>8</v>
      </c>
      <c r="C853" s="92" t="inlineStr">
        <is>
          <t>PF02</t>
        </is>
      </c>
      <c r="D853" s="92" t="inlineStr">
        <is>
          <t>저축성</t>
        </is>
      </c>
      <c r="E853" s="92" t="inlineStr">
        <is>
          <t>GMM</t>
        </is>
      </c>
      <c r="F853" s="92" t="inlineStr">
        <is>
          <t>F10</t>
        </is>
      </c>
      <c r="G853" s="92" t="inlineStr">
        <is>
          <t>신계약 효과</t>
        </is>
      </c>
      <c r="H853" s="93" t="n">
        <v>-1291902000</v>
      </c>
      <c r="I853" s="93" t="n">
        <v>258380000</v>
      </c>
      <c r="J853" s="93" t="n">
        <v>1033521000</v>
      </c>
      <c r="L853" s="9">
        <f>IF($A853="","",VALUE($A853&amp;"")*12+VALUE($B853&amp;""))</f>
        <v/>
      </c>
      <c r="M853" s="94">
        <f>IF($A853="",0,$H853*설정!$C$23)</f>
        <v/>
      </c>
      <c r="N853" s="94">
        <f>IF($A853="",0,$I853*설정!$C$23)</f>
        <v/>
      </c>
      <c r="O853" s="94">
        <f>IF($A853="",0,$J853*설정!$C$23)</f>
        <v/>
      </c>
      <c r="P853" s="64">
        <f>IF($A853="","",IFERROR(INDEX(입력옵션!$C$58:$C$68,MATCH($F853&amp;"",입력옵션!$E$58:$E$68,0)),IFERROR(INDEX(입력옵션!$C$58:$C$68,MATCH($G853&amp;"",입력옵션!$F$58:$F$68,0)),$F853&amp;"")))</f>
        <v/>
      </c>
    </row>
    <row r="854">
      <c r="A854" s="92" t="n">
        <v>2026</v>
      </c>
      <c r="B854" s="92" t="n">
        <v>8</v>
      </c>
      <c r="C854" s="92" t="inlineStr">
        <is>
          <t>PF02</t>
        </is>
      </c>
      <c r="D854" s="92" t="inlineStr">
        <is>
          <t>저축성</t>
        </is>
      </c>
      <c r="E854" s="92" t="inlineStr">
        <is>
          <t>GMM</t>
        </is>
      </c>
      <c r="F854" s="92" t="inlineStr">
        <is>
          <t>F21</t>
        </is>
      </c>
      <c r="G854" s="92" t="inlineStr">
        <is>
          <t>가정변경-사업비</t>
        </is>
      </c>
      <c r="H854" s="93" t="n">
        <v>0</v>
      </c>
      <c r="I854" s="93" t="n">
        <v>0</v>
      </c>
      <c r="J854" s="93" t="n">
        <v>0</v>
      </c>
      <c r="L854" s="9">
        <f>IF($A854="","",VALUE($A854&amp;"")*12+VALUE($B854&amp;""))</f>
        <v/>
      </c>
      <c r="M854" s="94">
        <f>IF($A854="",0,$H854*설정!$C$23)</f>
        <v/>
      </c>
      <c r="N854" s="94">
        <f>IF($A854="",0,$I854*설정!$C$23)</f>
        <v/>
      </c>
      <c r="O854" s="94">
        <f>IF($A854="",0,$J854*설정!$C$23)</f>
        <v/>
      </c>
      <c r="P854" s="64">
        <f>IF($A854="","",IFERROR(INDEX(입력옵션!$C$58:$C$68,MATCH($F854&amp;"",입력옵션!$E$58:$E$68,0)),IFERROR(INDEX(입력옵션!$C$58:$C$68,MATCH($G854&amp;"",입력옵션!$F$58:$F$68,0)),$F854&amp;"")))</f>
        <v/>
      </c>
    </row>
    <row r="855">
      <c r="A855" s="92" t="n">
        <v>2026</v>
      </c>
      <c r="B855" s="92" t="n">
        <v>8</v>
      </c>
      <c r="C855" s="92" t="inlineStr">
        <is>
          <t>PF02</t>
        </is>
      </c>
      <c r="D855" s="92" t="inlineStr">
        <is>
          <t>저축성</t>
        </is>
      </c>
      <c r="E855" s="92" t="inlineStr">
        <is>
          <t>GMM</t>
        </is>
      </c>
      <c r="F855" s="92" t="inlineStr">
        <is>
          <t>F22</t>
        </is>
      </c>
      <c r="G855" s="92" t="inlineStr">
        <is>
          <t>가정변경-기타</t>
        </is>
      </c>
      <c r="H855" s="93" t="n">
        <v>0</v>
      </c>
      <c r="I855" s="93" t="n">
        <v>0</v>
      </c>
      <c r="J855" s="93" t="n">
        <v>0</v>
      </c>
      <c r="L855" s="9">
        <f>IF($A855="","",VALUE($A855&amp;"")*12+VALUE($B855&amp;""))</f>
        <v/>
      </c>
      <c r="M855" s="94">
        <f>IF($A855="",0,$H855*설정!$C$23)</f>
        <v/>
      </c>
      <c r="N855" s="94">
        <f>IF($A855="",0,$I855*설정!$C$23)</f>
        <v/>
      </c>
      <c r="O855" s="94">
        <f>IF($A855="",0,$J855*설정!$C$23)</f>
        <v/>
      </c>
      <c r="P855" s="64">
        <f>IF($A855="","",IFERROR(INDEX(입력옵션!$C$58:$C$68,MATCH($F855&amp;"",입력옵션!$E$58:$E$68,0)),IFERROR(INDEX(입력옵션!$C$58:$C$68,MATCH($G855&amp;"",입력옵션!$F$58:$F$68,0)),$F855&amp;"")))</f>
        <v/>
      </c>
    </row>
    <row r="856">
      <c r="A856" s="92" t="n">
        <v>2026</v>
      </c>
      <c r="B856" s="92" t="n">
        <v>8</v>
      </c>
      <c r="C856" s="92" t="inlineStr">
        <is>
          <t>PF02</t>
        </is>
      </c>
      <c r="D856" s="92" t="inlineStr">
        <is>
          <t>저축성</t>
        </is>
      </c>
      <c r="E856" s="92" t="inlineStr">
        <is>
          <t>GMM</t>
        </is>
      </c>
      <c r="F856" s="92" t="inlineStr">
        <is>
          <t>F31</t>
        </is>
      </c>
      <c r="G856" s="92" t="inlineStr">
        <is>
          <t>경험조정-취득현금흐름</t>
        </is>
      </c>
      <c r="H856" s="93" t="n">
        <v>0</v>
      </c>
      <c r="I856" s="93" t="n">
        <v>0</v>
      </c>
      <c r="J856" s="93" t="n">
        <v>-2916000</v>
      </c>
      <c r="L856" s="9">
        <f>IF($A856="","",VALUE($A856&amp;"")*12+VALUE($B856&amp;""))</f>
        <v/>
      </c>
      <c r="M856" s="94">
        <f>IF($A856="",0,$H856*설정!$C$23)</f>
        <v/>
      </c>
      <c r="N856" s="94">
        <f>IF($A856="",0,$I856*설정!$C$23)</f>
        <v/>
      </c>
      <c r="O856" s="94">
        <f>IF($A856="",0,$J856*설정!$C$23)</f>
        <v/>
      </c>
      <c r="P856" s="64">
        <f>IF($A856="","",IFERROR(INDEX(입력옵션!$C$58:$C$68,MATCH($F856&amp;"",입력옵션!$E$58:$E$68,0)),IFERROR(INDEX(입력옵션!$C$58:$C$68,MATCH($G856&amp;"",입력옵션!$F$58:$F$68,0)),$F856&amp;"")))</f>
        <v/>
      </c>
    </row>
    <row r="857">
      <c r="A857" s="92" t="n">
        <v>2026</v>
      </c>
      <c r="B857" s="92" t="n">
        <v>8</v>
      </c>
      <c r="C857" s="92" t="inlineStr">
        <is>
          <t>PF02</t>
        </is>
      </c>
      <c r="D857" s="92" t="inlineStr">
        <is>
          <t>저축성</t>
        </is>
      </c>
      <c r="E857" s="92" t="inlineStr">
        <is>
          <t>GMM</t>
        </is>
      </c>
      <c r="F857" s="92" t="inlineStr">
        <is>
          <t>F32</t>
        </is>
      </c>
      <c r="G857" s="92" t="inlineStr">
        <is>
          <t>경험조정-보험료 등</t>
        </is>
      </c>
      <c r="H857" s="93" t="n">
        <v>0</v>
      </c>
      <c r="I857" s="93" t="n">
        <v>0</v>
      </c>
      <c r="J857" s="93" t="n">
        <v>36866000</v>
      </c>
      <c r="L857" s="9">
        <f>IF($A857="","",VALUE($A857&amp;"")*12+VALUE($B857&amp;""))</f>
        <v/>
      </c>
      <c r="M857" s="94">
        <f>IF($A857="",0,$H857*설정!$C$23)</f>
        <v/>
      </c>
      <c r="N857" s="94">
        <f>IF($A857="",0,$I857*설정!$C$23)</f>
        <v/>
      </c>
      <c r="O857" s="94">
        <f>IF($A857="",0,$J857*설정!$C$23)</f>
        <v/>
      </c>
      <c r="P857" s="64">
        <f>IF($A857="","",IFERROR(INDEX(입력옵션!$C$58:$C$68,MATCH($F857&amp;"",입력옵션!$E$58:$E$68,0)),IFERROR(INDEX(입력옵션!$C$58:$C$68,MATCH($G857&amp;"",입력옵션!$F$58:$F$68,0)),$F857&amp;"")))</f>
        <v/>
      </c>
    </row>
    <row r="858">
      <c r="A858" s="92" t="n">
        <v>2026</v>
      </c>
      <c r="B858" s="92" t="n">
        <v>8</v>
      </c>
      <c r="C858" s="92" t="inlineStr">
        <is>
          <t>PF02</t>
        </is>
      </c>
      <c r="D858" s="92" t="inlineStr">
        <is>
          <t>저축성</t>
        </is>
      </c>
      <c r="E858" s="92" t="inlineStr">
        <is>
          <t>GMM</t>
        </is>
      </c>
      <c r="F858" s="92" t="inlineStr">
        <is>
          <t>F40</t>
        </is>
      </c>
      <c r="G858" s="92" t="inlineStr">
        <is>
          <t>보험금융비용(이자부리)</t>
        </is>
      </c>
      <c r="H858" s="93" t="n">
        <v>1792201000</v>
      </c>
      <c r="I858" s="93" t="n">
        <v>61524000</v>
      </c>
      <c r="J858" s="93" t="n">
        <v>253339000</v>
      </c>
      <c r="L858" s="9">
        <f>IF($A858="","",VALUE($A858&amp;"")*12+VALUE($B858&amp;""))</f>
        <v/>
      </c>
      <c r="M858" s="94">
        <f>IF($A858="",0,$H858*설정!$C$23)</f>
        <v/>
      </c>
      <c r="N858" s="94">
        <f>IF($A858="",0,$I858*설정!$C$23)</f>
        <v/>
      </c>
      <c r="O858" s="94">
        <f>IF($A858="",0,$J858*설정!$C$23)</f>
        <v/>
      </c>
      <c r="P858" s="64">
        <f>IF($A858="","",IFERROR(INDEX(입력옵션!$C$58:$C$68,MATCH($F858&amp;"",입력옵션!$E$58:$E$68,0)),IFERROR(INDEX(입력옵션!$C$58:$C$68,MATCH($G858&amp;"",입력옵션!$F$58:$F$68,0)),$F858&amp;"")))</f>
        <v/>
      </c>
    </row>
    <row r="859">
      <c r="A859" s="92" t="n">
        <v>2026</v>
      </c>
      <c r="B859" s="92" t="n">
        <v>8</v>
      </c>
      <c r="C859" s="92" t="inlineStr">
        <is>
          <t>PF02</t>
        </is>
      </c>
      <c r="D859" s="92" t="inlineStr">
        <is>
          <t>저축성</t>
        </is>
      </c>
      <c r="E859" s="92" t="inlineStr">
        <is>
          <t>GMM</t>
        </is>
      </c>
      <c r="F859" s="92" t="inlineStr">
        <is>
          <t>F51</t>
        </is>
      </c>
      <c r="G859" s="92" t="inlineStr">
        <is>
          <t>CSM 상각</t>
        </is>
      </c>
      <c r="H859" s="93" t="n">
        <v>0</v>
      </c>
      <c r="I859" s="93" t="n">
        <v>0</v>
      </c>
      <c r="J859" s="93" t="n">
        <v>-912019000</v>
      </c>
      <c r="L859" s="9">
        <f>IF($A859="","",VALUE($A859&amp;"")*12+VALUE($B859&amp;""))</f>
        <v/>
      </c>
      <c r="M859" s="94">
        <f>IF($A859="",0,$H859*설정!$C$23)</f>
        <v/>
      </c>
      <c r="N859" s="94">
        <f>IF($A859="",0,$I859*설정!$C$23)</f>
        <v/>
      </c>
      <c r="O859" s="94">
        <f>IF($A859="",0,$J859*설정!$C$23)</f>
        <v/>
      </c>
      <c r="P859" s="64">
        <f>IF($A859="","",IFERROR(INDEX(입력옵션!$C$58:$C$68,MATCH($F859&amp;"",입력옵션!$E$58:$E$68,0)),IFERROR(INDEX(입력옵션!$C$58:$C$68,MATCH($G859&amp;"",입력옵션!$F$58:$F$68,0)),$F859&amp;"")))</f>
        <v/>
      </c>
    </row>
    <row r="860">
      <c r="A860" s="92" t="n">
        <v>2026</v>
      </c>
      <c r="B860" s="92" t="n">
        <v>8</v>
      </c>
      <c r="C860" s="92" t="inlineStr">
        <is>
          <t>PF02</t>
        </is>
      </c>
      <c r="D860" s="92" t="inlineStr">
        <is>
          <t>저축성</t>
        </is>
      </c>
      <c r="E860" s="92" t="inlineStr">
        <is>
          <t>GMM</t>
        </is>
      </c>
      <c r="F860" s="92" t="inlineStr">
        <is>
          <t>F52</t>
        </is>
      </c>
      <c r="G860" s="92" t="inlineStr">
        <is>
          <t>RA 해제</t>
        </is>
      </c>
      <c r="H860" s="93" t="n">
        <v>0</v>
      </c>
      <c r="I860" s="93" t="n">
        <v>-184572000</v>
      </c>
      <c r="J860" s="93" t="n">
        <v>0</v>
      </c>
      <c r="L860" s="9">
        <f>IF($A860="","",VALUE($A860&amp;"")*12+VALUE($B860&amp;""))</f>
        <v/>
      </c>
      <c r="M860" s="94">
        <f>IF($A860="",0,$H860*설정!$C$23)</f>
        <v/>
      </c>
      <c r="N860" s="94">
        <f>IF($A860="",0,$I860*설정!$C$23)</f>
        <v/>
      </c>
      <c r="O860" s="94">
        <f>IF($A860="",0,$J860*설정!$C$23)</f>
        <v/>
      </c>
      <c r="P860" s="64">
        <f>IF($A860="","",IFERROR(INDEX(입력옵션!$C$58:$C$68,MATCH($F860&amp;"",입력옵션!$E$58:$E$68,0)),IFERROR(INDEX(입력옵션!$C$58:$C$68,MATCH($G860&amp;"",입력옵션!$F$58:$F$68,0)),$F860&amp;"")))</f>
        <v/>
      </c>
    </row>
    <row r="861">
      <c r="A861" s="92" t="n">
        <v>2026</v>
      </c>
      <c r="B861" s="92" t="n">
        <v>8</v>
      </c>
      <c r="C861" s="92" t="inlineStr">
        <is>
          <t>PF02</t>
        </is>
      </c>
      <c r="D861" s="92" t="inlineStr">
        <is>
          <t>저축성</t>
        </is>
      </c>
      <c r="E861" s="92" t="inlineStr">
        <is>
          <t>GMM</t>
        </is>
      </c>
      <c r="F861" s="92" t="inlineStr">
        <is>
          <t>F60</t>
        </is>
      </c>
      <c r="G861" s="92" t="inlineStr">
        <is>
          <t>현금흐름 및 기타</t>
        </is>
      </c>
      <c r="H861" s="93" t="n">
        <v>1629488000</v>
      </c>
      <c r="I861" s="93" t="n">
        <v>-80282000</v>
      </c>
      <c r="J861" s="93" t="n">
        <v>0</v>
      </c>
      <c r="L861" s="9">
        <f>IF($A861="","",VALUE($A861&amp;"")*12+VALUE($B861&amp;""))</f>
        <v/>
      </c>
      <c r="M861" s="94">
        <f>IF($A861="",0,$H861*설정!$C$23)</f>
        <v/>
      </c>
      <c r="N861" s="94">
        <f>IF($A861="",0,$I861*설정!$C$23)</f>
        <v/>
      </c>
      <c r="O861" s="94">
        <f>IF($A861="",0,$J861*설정!$C$23)</f>
        <v/>
      </c>
      <c r="P861" s="64">
        <f>IF($A861="","",IFERROR(INDEX(입력옵션!$C$58:$C$68,MATCH($F861&amp;"",입력옵션!$E$58:$E$68,0)),IFERROR(INDEX(입력옵션!$C$58:$C$68,MATCH($G861&amp;"",입력옵션!$F$58:$F$68,0)),$F861&amp;"")))</f>
        <v/>
      </c>
    </row>
    <row r="862">
      <c r="A862" s="92" t="n">
        <v>2026</v>
      </c>
      <c r="B862" s="92" t="n">
        <v>8</v>
      </c>
      <c r="C862" s="92" t="inlineStr">
        <is>
          <t>PF02</t>
        </is>
      </c>
      <c r="D862" s="92" t="inlineStr">
        <is>
          <t>저축성</t>
        </is>
      </c>
      <c r="E862" s="92" t="inlineStr">
        <is>
          <t>GMM</t>
        </is>
      </c>
      <c r="F862" s="92" t="inlineStr">
        <is>
          <t>F99</t>
        </is>
      </c>
      <c r="G862" s="92" t="inlineStr">
        <is>
          <t>기말잔액</t>
        </is>
      </c>
      <c r="H862" s="93" t="n">
        <v>719010270000</v>
      </c>
      <c r="I862" s="93" t="n">
        <v>30817100000</v>
      </c>
      <c r="J862" s="93" t="n">
        <v>101744253000</v>
      </c>
      <c r="L862" s="9">
        <f>IF($A862="","",VALUE($A862&amp;"")*12+VALUE($B862&amp;""))</f>
        <v/>
      </c>
      <c r="M862" s="94">
        <f>IF($A862="",0,$H862*설정!$C$23)</f>
        <v/>
      </c>
      <c r="N862" s="94">
        <f>IF($A862="",0,$I862*설정!$C$23)</f>
        <v/>
      </c>
      <c r="O862" s="94">
        <f>IF($A862="",0,$J862*설정!$C$23)</f>
        <v/>
      </c>
      <c r="P862" s="64">
        <f>IF($A862="","",IFERROR(INDEX(입력옵션!$C$58:$C$68,MATCH($F862&amp;"",입력옵션!$E$58:$E$68,0)),IFERROR(INDEX(입력옵션!$C$58:$C$68,MATCH($G862&amp;"",입력옵션!$F$58:$F$68,0)),$F862&amp;"")))</f>
        <v/>
      </c>
    </row>
    <row r="863">
      <c r="A863" s="92" t="n">
        <v>2026</v>
      </c>
      <c r="B863" s="92" t="n">
        <v>8</v>
      </c>
      <c r="C863" s="92" t="inlineStr">
        <is>
          <t>PF03</t>
        </is>
      </c>
      <c r="D863" s="92" t="inlineStr">
        <is>
          <t>단체(단기)</t>
        </is>
      </c>
      <c r="E863" s="92" t="inlineStr">
        <is>
          <t>PAA</t>
        </is>
      </c>
      <c r="F863" s="92" t="inlineStr">
        <is>
          <t>F00</t>
        </is>
      </c>
      <c r="G863" s="92" t="inlineStr">
        <is>
          <t>기초잔액</t>
        </is>
      </c>
      <c r="H863" s="93" t="n">
        <v>43447302000</v>
      </c>
      <c r="I863" s="93" t="n">
        <v>2460964000</v>
      </c>
      <c r="J863" s="93" t="n">
        <v>0</v>
      </c>
      <c r="L863" s="9">
        <f>IF($A863="","",VALUE($A863&amp;"")*12+VALUE($B863&amp;""))</f>
        <v/>
      </c>
      <c r="M863" s="94">
        <f>IF($A863="",0,$H863*설정!$C$23)</f>
        <v/>
      </c>
      <c r="N863" s="94">
        <f>IF($A863="",0,$I863*설정!$C$23)</f>
        <v/>
      </c>
      <c r="O863" s="94">
        <f>IF($A863="",0,$J863*설정!$C$23)</f>
        <v/>
      </c>
      <c r="P863" s="64">
        <f>IF($A863="","",IFERROR(INDEX(입력옵션!$C$58:$C$68,MATCH($F863&amp;"",입력옵션!$E$58:$E$68,0)),IFERROR(INDEX(입력옵션!$C$58:$C$68,MATCH($G863&amp;"",입력옵션!$F$58:$F$68,0)),$F863&amp;"")))</f>
        <v/>
      </c>
    </row>
    <row r="864">
      <c r="A864" s="92" t="n">
        <v>2026</v>
      </c>
      <c r="B864" s="92" t="n">
        <v>8</v>
      </c>
      <c r="C864" s="92" t="inlineStr">
        <is>
          <t>PF03</t>
        </is>
      </c>
      <c r="D864" s="92" t="inlineStr">
        <is>
          <t>단체(단기)</t>
        </is>
      </c>
      <c r="E864" s="92" t="inlineStr">
        <is>
          <t>PAA</t>
        </is>
      </c>
      <c r="F864" s="92" t="inlineStr">
        <is>
          <t>F10</t>
        </is>
      </c>
      <c r="G864" s="92" t="inlineStr">
        <is>
          <t>신계약 효과</t>
        </is>
      </c>
      <c r="H864" s="93" t="n">
        <v>0</v>
      </c>
      <c r="I864" s="93" t="n">
        <v>0</v>
      </c>
      <c r="J864" s="93" t="n">
        <v>0</v>
      </c>
      <c r="L864" s="9">
        <f>IF($A864="","",VALUE($A864&amp;"")*12+VALUE($B864&amp;""))</f>
        <v/>
      </c>
      <c r="M864" s="94">
        <f>IF($A864="",0,$H864*설정!$C$23)</f>
        <v/>
      </c>
      <c r="N864" s="94">
        <f>IF($A864="",0,$I864*설정!$C$23)</f>
        <v/>
      </c>
      <c r="O864" s="94">
        <f>IF($A864="",0,$J864*설정!$C$23)</f>
        <v/>
      </c>
      <c r="P864" s="64">
        <f>IF($A864="","",IFERROR(INDEX(입력옵션!$C$58:$C$68,MATCH($F864&amp;"",입력옵션!$E$58:$E$68,0)),IFERROR(INDEX(입력옵션!$C$58:$C$68,MATCH($G864&amp;"",입력옵션!$F$58:$F$68,0)),$F864&amp;"")))</f>
        <v/>
      </c>
    </row>
    <row r="865">
      <c r="A865" s="92" t="n">
        <v>2026</v>
      </c>
      <c r="B865" s="92" t="n">
        <v>8</v>
      </c>
      <c r="C865" s="92" t="inlineStr">
        <is>
          <t>PF03</t>
        </is>
      </c>
      <c r="D865" s="92" t="inlineStr">
        <is>
          <t>단체(단기)</t>
        </is>
      </c>
      <c r="E865" s="92" t="inlineStr">
        <is>
          <t>PAA</t>
        </is>
      </c>
      <c r="F865" s="92" t="inlineStr">
        <is>
          <t>F21</t>
        </is>
      </c>
      <c r="G865" s="92" t="inlineStr">
        <is>
          <t>가정변경-사업비</t>
        </is>
      </c>
      <c r="H865" s="93" t="n">
        <v>0</v>
      </c>
      <c r="I865" s="93" t="n">
        <v>0</v>
      </c>
      <c r="J865" s="93" t="n">
        <v>0</v>
      </c>
      <c r="L865" s="9">
        <f>IF($A865="","",VALUE($A865&amp;"")*12+VALUE($B865&amp;""))</f>
        <v/>
      </c>
      <c r="M865" s="94">
        <f>IF($A865="",0,$H865*설정!$C$23)</f>
        <v/>
      </c>
      <c r="N865" s="94">
        <f>IF($A865="",0,$I865*설정!$C$23)</f>
        <v/>
      </c>
      <c r="O865" s="94">
        <f>IF($A865="",0,$J865*설정!$C$23)</f>
        <v/>
      </c>
      <c r="P865" s="64">
        <f>IF($A865="","",IFERROR(INDEX(입력옵션!$C$58:$C$68,MATCH($F865&amp;"",입력옵션!$E$58:$E$68,0)),IFERROR(INDEX(입력옵션!$C$58:$C$68,MATCH($G865&amp;"",입력옵션!$F$58:$F$68,0)),$F865&amp;"")))</f>
        <v/>
      </c>
    </row>
    <row r="866">
      <c r="A866" s="92" t="n">
        <v>2026</v>
      </c>
      <c r="B866" s="92" t="n">
        <v>8</v>
      </c>
      <c r="C866" s="92" t="inlineStr">
        <is>
          <t>PF03</t>
        </is>
      </c>
      <c r="D866" s="92" t="inlineStr">
        <is>
          <t>단체(단기)</t>
        </is>
      </c>
      <c r="E866" s="92" t="inlineStr">
        <is>
          <t>PAA</t>
        </is>
      </c>
      <c r="F866" s="92" t="inlineStr">
        <is>
          <t>F22</t>
        </is>
      </c>
      <c r="G866" s="92" t="inlineStr">
        <is>
          <t>가정변경-기타</t>
        </is>
      </c>
      <c r="H866" s="93" t="n">
        <v>0</v>
      </c>
      <c r="I866" s="93" t="n">
        <v>0</v>
      </c>
      <c r="J866" s="93" t="n">
        <v>0</v>
      </c>
      <c r="L866" s="9">
        <f>IF($A866="","",VALUE($A866&amp;"")*12+VALUE($B866&amp;""))</f>
        <v/>
      </c>
      <c r="M866" s="94">
        <f>IF($A866="",0,$H866*설정!$C$23)</f>
        <v/>
      </c>
      <c r="N866" s="94">
        <f>IF($A866="",0,$I866*설정!$C$23)</f>
        <v/>
      </c>
      <c r="O866" s="94">
        <f>IF($A866="",0,$J866*설정!$C$23)</f>
        <v/>
      </c>
      <c r="P866" s="64">
        <f>IF($A866="","",IFERROR(INDEX(입력옵션!$C$58:$C$68,MATCH($F866&amp;"",입력옵션!$E$58:$E$68,0)),IFERROR(INDEX(입력옵션!$C$58:$C$68,MATCH($G866&amp;"",입력옵션!$F$58:$F$68,0)),$F866&amp;"")))</f>
        <v/>
      </c>
    </row>
    <row r="867">
      <c r="A867" s="92" t="n">
        <v>2026</v>
      </c>
      <c r="B867" s="92" t="n">
        <v>8</v>
      </c>
      <c r="C867" s="92" t="inlineStr">
        <is>
          <t>PF03</t>
        </is>
      </c>
      <c r="D867" s="92" t="inlineStr">
        <is>
          <t>단체(단기)</t>
        </is>
      </c>
      <c r="E867" s="92" t="inlineStr">
        <is>
          <t>PAA</t>
        </is>
      </c>
      <c r="F867" s="92" t="inlineStr">
        <is>
          <t>F31</t>
        </is>
      </c>
      <c r="G867" s="92" t="inlineStr">
        <is>
          <t>경험조정-취득현금흐름</t>
        </is>
      </c>
      <c r="H867" s="93" t="n">
        <v>0</v>
      </c>
      <c r="I867" s="93" t="n">
        <v>0</v>
      </c>
      <c r="J867" s="93" t="n">
        <v>0</v>
      </c>
      <c r="L867" s="9">
        <f>IF($A867="","",VALUE($A867&amp;"")*12+VALUE($B867&amp;""))</f>
        <v/>
      </c>
      <c r="M867" s="94">
        <f>IF($A867="",0,$H867*설정!$C$23)</f>
        <v/>
      </c>
      <c r="N867" s="94">
        <f>IF($A867="",0,$I867*설정!$C$23)</f>
        <v/>
      </c>
      <c r="O867" s="94">
        <f>IF($A867="",0,$J867*설정!$C$23)</f>
        <v/>
      </c>
      <c r="P867" s="64">
        <f>IF($A867="","",IFERROR(INDEX(입력옵션!$C$58:$C$68,MATCH($F867&amp;"",입력옵션!$E$58:$E$68,0)),IFERROR(INDEX(입력옵션!$C$58:$C$68,MATCH($G867&amp;"",입력옵션!$F$58:$F$68,0)),$F867&amp;"")))</f>
        <v/>
      </c>
    </row>
    <row r="868">
      <c r="A868" s="92" t="n">
        <v>2026</v>
      </c>
      <c r="B868" s="92" t="n">
        <v>8</v>
      </c>
      <c r="C868" s="92" t="inlineStr">
        <is>
          <t>PF03</t>
        </is>
      </c>
      <c r="D868" s="92" t="inlineStr">
        <is>
          <t>단체(단기)</t>
        </is>
      </c>
      <c r="E868" s="92" t="inlineStr">
        <is>
          <t>PAA</t>
        </is>
      </c>
      <c r="F868" s="92" t="inlineStr">
        <is>
          <t>F32</t>
        </is>
      </c>
      <c r="G868" s="92" t="inlineStr">
        <is>
          <t>경험조정-보험료 등</t>
        </is>
      </c>
      <c r="H868" s="93" t="n">
        <v>0</v>
      </c>
      <c r="I868" s="93" t="n">
        <v>0</v>
      </c>
      <c r="J868" s="93" t="n">
        <v>0</v>
      </c>
      <c r="L868" s="9">
        <f>IF($A868="","",VALUE($A868&amp;"")*12+VALUE($B868&amp;""))</f>
        <v/>
      </c>
      <c r="M868" s="94">
        <f>IF($A868="",0,$H868*설정!$C$23)</f>
        <v/>
      </c>
      <c r="N868" s="94">
        <f>IF($A868="",0,$I868*설정!$C$23)</f>
        <v/>
      </c>
      <c r="O868" s="94">
        <f>IF($A868="",0,$J868*설정!$C$23)</f>
        <v/>
      </c>
      <c r="P868" s="64">
        <f>IF($A868="","",IFERROR(INDEX(입력옵션!$C$58:$C$68,MATCH($F868&amp;"",입력옵션!$E$58:$E$68,0)),IFERROR(INDEX(입력옵션!$C$58:$C$68,MATCH($G868&amp;"",입력옵션!$F$58:$F$68,0)),$F868&amp;"")))</f>
        <v/>
      </c>
    </row>
    <row r="869">
      <c r="A869" s="92" t="n">
        <v>2026</v>
      </c>
      <c r="B869" s="92" t="n">
        <v>8</v>
      </c>
      <c r="C869" s="92" t="inlineStr">
        <is>
          <t>PF03</t>
        </is>
      </c>
      <c r="D869" s="92" t="inlineStr">
        <is>
          <t>단체(단기)</t>
        </is>
      </c>
      <c r="E869" s="92" t="inlineStr">
        <is>
          <t>PAA</t>
        </is>
      </c>
      <c r="F869" s="92" t="inlineStr">
        <is>
          <t>F40</t>
        </is>
      </c>
      <c r="G869" s="92" t="inlineStr">
        <is>
          <t>보험금융비용(이자부리)</t>
        </is>
      </c>
      <c r="H869" s="93" t="n">
        <v>0</v>
      </c>
      <c r="I869" s="93" t="n">
        <v>0</v>
      </c>
      <c r="J869" s="93" t="n">
        <v>0</v>
      </c>
      <c r="L869" s="9">
        <f>IF($A869="","",VALUE($A869&amp;"")*12+VALUE($B869&amp;""))</f>
        <v/>
      </c>
      <c r="M869" s="94">
        <f>IF($A869="",0,$H869*설정!$C$23)</f>
        <v/>
      </c>
      <c r="N869" s="94">
        <f>IF($A869="",0,$I869*설정!$C$23)</f>
        <v/>
      </c>
      <c r="O869" s="94">
        <f>IF($A869="",0,$J869*설정!$C$23)</f>
        <v/>
      </c>
      <c r="P869" s="64">
        <f>IF($A869="","",IFERROR(INDEX(입력옵션!$C$58:$C$68,MATCH($F869&amp;"",입력옵션!$E$58:$E$68,0)),IFERROR(INDEX(입력옵션!$C$58:$C$68,MATCH($G869&amp;"",입력옵션!$F$58:$F$68,0)),$F869&amp;"")))</f>
        <v/>
      </c>
    </row>
    <row r="870">
      <c r="A870" s="92" t="n">
        <v>2026</v>
      </c>
      <c r="B870" s="92" t="n">
        <v>8</v>
      </c>
      <c r="C870" s="92" t="inlineStr">
        <is>
          <t>PF03</t>
        </is>
      </c>
      <c r="D870" s="92" t="inlineStr">
        <is>
          <t>단체(단기)</t>
        </is>
      </c>
      <c r="E870" s="92" t="inlineStr">
        <is>
          <t>PAA</t>
        </is>
      </c>
      <c r="F870" s="92" t="inlineStr">
        <is>
          <t>F51</t>
        </is>
      </c>
      <c r="G870" s="92" t="inlineStr">
        <is>
          <t>CSM 상각</t>
        </is>
      </c>
      <c r="H870" s="93" t="n">
        <v>0</v>
      </c>
      <c r="I870" s="93" t="n">
        <v>0</v>
      </c>
      <c r="J870" s="93" t="n">
        <v>0</v>
      </c>
      <c r="L870" s="9">
        <f>IF($A870="","",VALUE($A870&amp;"")*12+VALUE($B870&amp;""))</f>
        <v/>
      </c>
      <c r="M870" s="94">
        <f>IF($A870="",0,$H870*설정!$C$23)</f>
        <v/>
      </c>
      <c r="N870" s="94">
        <f>IF($A870="",0,$I870*설정!$C$23)</f>
        <v/>
      </c>
      <c r="O870" s="94">
        <f>IF($A870="",0,$J870*설정!$C$23)</f>
        <v/>
      </c>
      <c r="P870" s="64">
        <f>IF($A870="","",IFERROR(INDEX(입력옵션!$C$58:$C$68,MATCH($F870&amp;"",입력옵션!$E$58:$E$68,0)),IFERROR(INDEX(입력옵션!$C$58:$C$68,MATCH($G870&amp;"",입력옵션!$F$58:$F$68,0)),$F870&amp;"")))</f>
        <v/>
      </c>
    </row>
    <row r="871">
      <c r="A871" s="92" t="n">
        <v>2026</v>
      </c>
      <c r="B871" s="92" t="n">
        <v>8</v>
      </c>
      <c r="C871" s="92" t="inlineStr">
        <is>
          <t>PF03</t>
        </is>
      </c>
      <c r="D871" s="92" t="inlineStr">
        <is>
          <t>단체(단기)</t>
        </is>
      </c>
      <c r="E871" s="92" t="inlineStr">
        <is>
          <t>PAA</t>
        </is>
      </c>
      <c r="F871" s="92" t="inlineStr">
        <is>
          <t>F52</t>
        </is>
      </c>
      <c r="G871" s="92" t="inlineStr">
        <is>
          <t>RA 해제</t>
        </is>
      </c>
      <c r="H871" s="93" t="n">
        <v>0</v>
      </c>
      <c r="I871" s="93" t="n">
        <v>-14766000</v>
      </c>
      <c r="J871" s="93" t="n">
        <v>0</v>
      </c>
      <c r="L871" s="9">
        <f>IF($A871="","",VALUE($A871&amp;"")*12+VALUE($B871&amp;""))</f>
        <v/>
      </c>
      <c r="M871" s="94">
        <f>IF($A871="",0,$H871*설정!$C$23)</f>
        <v/>
      </c>
      <c r="N871" s="94">
        <f>IF($A871="",0,$I871*설정!$C$23)</f>
        <v/>
      </c>
      <c r="O871" s="94">
        <f>IF($A871="",0,$J871*설정!$C$23)</f>
        <v/>
      </c>
      <c r="P871" s="64">
        <f>IF($A871="","",IFERROR(INDEX(입력옵션!$C$58:$C$68,MATCH($F871&amp;"",입력옵션!$E$58:$E$68,0)),IFERROR(INDEX(입력옵션!$C$58:$C$68,MATCH($G871&amp;"",입력옵션!$F$58:$F$68,0)),$F871&amp;"")))</f>
        <v/>
      </c>
    </row>
    <row r="872">
      <c r="A872" s="92" t="n">
        <v>2026</v>
      </c>
      <c r="B872" s="92" t="n">
        <v>8</v>
      </c>
      <c r="C872" s="92" t="inlineStr">
        <is>
          <t>PF03</t>
        </is>
      </c>
      <c r="D872" s="92" t="inlineStr">
        <is>
          <t>단체(단기)</t>
        </is>
      </c>
      <c r="E872" s="92" t="inlineStr">
        <is>
          <t>PAA</t>
        </is>
      </c>
      <c r="F872" s="92" t="inlineStr">
        <is>
          <t>F60</t>
        </is>
      </c>
      <c r="G872" s="92" t="inlineStr">
        <is>
          <t>현금흐름 및 기타</t>
        </is>
      </c>
      <c r="H872" s="93" t="n">
        <v>129078000</v>
      </c>
      <c r="I872" s="93" t="n">
        <v>19170000</v>
      </c>
      <c r="J872" s="93" t="n">
        <v>0</v>
      </c>
      <c r="L872" s="9">
        <f>IF($A872="","",VALUE($A872&amp;"")*12+VALUE($B872&amp;""))</f>
        <v/>
      </c>
      <c r="M872" s="94">
        <f>IF($A872="",0,$H872*설정!$C$23)</f>
        <v/>
      </c>
      <c r="N872" s="94">
        <f>IF($A872="",0,$I872*설정!$C$23)</f>
        <v/>
      </c>
      <c r="O872" s="94">
        <f>IF($A872="",0,$J872*설정!$C$23)</f>
        <v/>
      </c>
      <c r="P872" s="64">
        <f>IF($A872="","",IFERROR(INDEX(입력옵션!$C$58:$C$68,MATCH($F872&amp;"",입력옵션!$E$58:$E$68,0)),IFERROR(INDEX(입력옵션!$C$58:$C$68,MATCH($G872&amp;"",입력옵션!$F$58:$F$68,0)),$F872&amp;"")))</f>
        <v/>
      </c>
    </row>
    <row r="873">
      <c r="A873" s="92" t="n">
        <v>2026</v>
      </c>
      <c r="B873" s="92" t="n">
        <v>8</v>
      </c>
      <c r="C873" s="92" t="inlineStr">
        <is>
          <t>PF03</t>
        </is>
      </c>
      <c r="D873" s="92" t="inlineStr">
        <is>
          <t>단체(단기)</t>
        </is>
      </c>
      <c r="E873" s="92" t="inlineStr">
        <is>
          <t>PAA</t>
        </is>
      </c>
      <c r="F873" s="92" t="inlineStr">
        <is>
          <t>F99</t>
        </is>
      </c>
      <c r="G873" s="92" t="inlineStr">
        <is>
          <t>기말잔액</t>
        </is>
      </c>
      <c r="H873" s="93" t="n">
        <v>43576380000</v>
      </c>
      <c r="I873" s="93" t="n">
        <v>2465368000</v>
      </c>
      <c r="J873" s="93" t="n">
        <v>0</v>
      </c>
      <c r="L873" s="9">
        <f>IF($A873="","",VALUE($A873&amp;"")*12+VALUE($B873&amp;""))</f>
        <v/>
      </c>
      <c r="M873" s="94">
        <f>IF($A873="",0,$H873*설정!$C$23)</f>
        <v/>
      </c>
      <c r="N873" s="94">
        <f>IF($A873="",0,$I873*설정!$C$23)</f>
        <v/>
      </c>
      <c r="O873" s="94">
        <f>IF($A873="",0,$J873*설정!$C$23)</f>
        <v/>
      </c>
      <c r="P873" s="64">
        <f>IF($A873="","",IFERROR(INDEX(입력옵션!$C$58:$C$68,MATCH($F873&amp;"",입력옵션!$E$58:$E$68,0)),IFERROR(INDEX(입력옵션!$C$58:$C$68,MATCH($G873&amp;"",입력옵션!$F$58:$F$68,0)),$F873&amp;"")))</f>
        <v/>
      </c>
    </row>
    <row r="874">
      <c r="A874" s="92" t="n">
        <v>2026</v>
      </c>
      <c r="B874" s="92" t="n">
        <v>8</v>
      </c>
      <c r="C874" s="92" t="inlineStr">
        <is>
          <t>PF04</t>
        </is>
      </c>
      <c r="D874" s="92" t="inlineStr">
        <is>
          <t>변액</t>
        </is>
      </c>
      <c r="E874" s="92" t="inlineStr">
        <is>
          <t>VFA</t>
        </is>
      </c>
      <c r="F874" s="92" t="inlineStr">
        <is>
          <t>F00</t>
        </is>
      </c>
      <c r="G874" s="92" t="inlineStr">
        <is>
          <t>기초잔액</t>
        </is>
      </c>
      <c r="H874" s="93" t="n">
        <v>325854765000</v>
      </c>
      <c r="I874" s="93" t="n">
        <v>15996266000</v>
      </c>
      <c r="J874" s="93" t="n">
        <v>52897987000</v>
      </c>
      <c r="L874" s="9">
        <f>IF($A874="","",VALUE($A874&amp;"")*12+VALUE($B874&amp;""))</f>
        <v/>
      </c>
      <c r="M874" s="94">
        <f>IF($A874="",0,$H874*설정!$C$23)</f>
        <v/>
      </c>
      <c r="N874" s="94">
        <f>IF($A874="",0,$I874*설정!$C$23)</f>
        <v/>
      </c>
      <c r="O874" s="94">
        <f>IF($A874="",0,$J874*설정!$C$23)</f>
        <v/>
      </c>
      <c r="P874" s="64">
        <f>IF($A874="","",IFERROR(INDEX(입력옵션!$C$58:$C$68,MATCH($F874&amp;"",입력옵션!$E$58:$E$68,0)),IFERROR(INDEX(입력옵션!$C$58:$C$68,MATCH($G874&amp;"",입력옵션!$F$58:$F$68,0)),$F874&amp;"")))</f>
        <v/>
      </c>
    </row>
    <row r="875">
      <c r="A875" s="92" t="n">
        <v>2026</v>
      </c>
      <c r="B875" s="92" t="n">
        <v>8</v>
      </c>
      <c r="C875" s="92" t="inlineStr">
        <is>
          <t>PF04</t>
        </is>
      </c>
      <c r="D875" s="92" t="inlineStr">
        <is>
          <t>변액</t>
        </is>
      </c>
      <c r="E875" s="92" t="inlineStr">
        <is>
          <t>VFA</t>
        </is>
      </c>
      <c r="F875" s="92" t="inlineStr">
        <is>
          <t>F10</t>
        </is>
      </c>
      <c r="G875" s="92" t="inlineStr">
        <is>
          <t>신계약 효과</t>
        </is>
      </c>
      <c r="H875" s="93" t="n">
        <v>-671789000</v>
      </c>
      <c r="I875" s="93" t="n">
        <v>134358000</v>
      </c>
      <c r="J875" s="93" t="n">
        <v>537431000</v>
      </c>
      <c r="L875" s="9">
        <f>IF($A875="","",VALUE($A875&amp;"")*12+VALUE($B875&amp;""))</f>
        <v/>
      </c>
      <c r="M875" s="94">
        <f>IF($A875="",0,$H875*설정!$C$23)</f>
        <v/>
      </c>
      <c r="N875" s="94">
        <f>IF($A875="",0,$I875*설정!$C$23)</f>
        <v/>
      </c>
      <c r="O875" s="94">
        <f>IF($A875="",0,$J875*설정!$C$23)</f>
        <v/>
      </c>
      <c r="P875" s="64">
        <f>IF($A875="","",IFERROR(INDEX(입력옵션!$C$58:$C$68,MATCH($F875&amp;"",입력옵션!$E$58:$E$68,0)),IFERROR(INDEX(입력옵션!$C$58:$C$68,MATCH($G875&amp;"",입력옵션!$F$58:$F$68,0)),$F875&amp;"")))</f>
        <v/>
      </c>
    </row>
    <row r="876">
      <c r="A876" s="92" t="n">
        <v>2026</v>
      </c>
      <c r="B876" s="92" t="n">
        <v>8</v>
      </c>
      <c r="C876" s="92" t="inlineStr">
        <is>
          <t>PF04</t>
        </is>
      </c>
      <c r="D876" s="92" t="inlineStr">
        <is>
          <t>변액</t>
        </is>
      </c>
      <c r="E876" s="92" t="inlineStr">
        <is>
          <t>VFA</t>
        </is>
      </c>
      <c r="F876" s="92" t="inlineStr">
        <is>
          <t>F21</t>
        </is>
      </c>
      <c r="G876" s="92" t="inlineStr">
        <is>
          <t>가정변경-사업비</t>
        </is>
      </c>
      <c r="H876" s="93" t="n">
        <v>0</v>
      </c>
      <c r="I876" s="93" t="n">
        <v>0</v>
      </c>
      <c r="J876" s="93" t="n">
        <v>0</v>
      </c>
      <c r="L876" s="9">
        <f>IF($A876="","",VALUE($A876&amp;"")*12+VALUE($B876&amp;""))</f>
        <v/>
      </c>
      <c r="M876" s="94">
        <f>IF($A876="",0,$H876*설정!$C$23)</f>
        <v/>
      </c>
      <c r="N876" s="94">
        <f>IF($A876="",0,$I876*설정!$C$23)</f>
        <v/>
      </c>
      <c r="O876" s="94">
        <f>IF($A876="",0,$J876*설정!$C$23)</f>
        <v/>
      </c>
      <c r="P876" s="64">
        <f>IF($A876="","",IFERROR(INDEX(입력옵션!$C$58:$C$68,MATCH($F876&amp;"",입력옵션!$E$58:$E$68,0)),IFERROR(INDEX(입력옵션!$C$58:$C$68,MATCH($G876&amp;"",입력옵션!$F$58:$F$68,0)),$F876&amp;"")))</f>
        <v/>
      </c>
    </row>
    <row r="877">
      <c r="A877" s="92" t="n">
        <v>2026</v>
      </c>
      <c r="B877" s="92" t="n">
        <v>8</v>
      </c>
      <c r="C877" s="92" t="inlineStr">
        <is>
          <t>PF04</t>
        </is>
      </c>
      <c r="D877" s="92" t="inlineStr">
        <is>
          <t>변액</t>
        </is>
      </c>
      <c r="E877" s="92" t="inlineStr">
        <is>
          <t>VFA</t>
        </is>
      </c>
      <c r="F877" s="92" t="inlineStr">
        <is>
          <t>F22</t>
        </is>
      </c>
      <c r="G877" s="92" t="inlineStr">
        <is>
          <t>가정변경-기타</t>
        </is>
      </c>
      <c r="H877" s="93" t="n">
        <v>0</v>
      </c>
      <c r="I877" s="93" t="n">
        <v>0</v>
      </c>
      <c r="J877" s="93" t="n">
        <v>0</v>
      </c>
      <c r="L877" s="9">
        <f>IF($A877="","",VALUE($A877&amp;"")*12+VALUE($B877&amp;""))</f>
        <v/>
      </c>
      <c r="M877" s="94">
        <f>IF($A877="",0,$H877*설정!$C$23)</f>
        <v/>
      </c>
      <c r="N877" s="94">
        <f>IF($A877="",0,$I877*설정!$C$23)</f>
        <v/>
      </c>
      <c r="O877" s="94">
        <f>IF($A877="",0,$J877*설정!$C$23)</f>
        <v/>
      </c>
      <c r="P877" s="64">
        <f>IF($A877="","",IFERROR(INDEX(입력옵션!$C$58:$C$68,MATCH($F877&amp;"",입력옵션!$E$58:$E$68,0)),IFERROR(INDEX(입력옵션!$C$58:$C$68,MATCH($G877&amp;"",입력옵션!$F$58:$F$68,0)),$F877&amp;"")))</f>
        <v/>
      </c>
    </row>
    <row r="878">
      <c r="A878" s="92" t="n">
        <v>2026</v>
      </c>
      <c r="B878" s="92" t="n">
        <v>8</v>
      </c>
      <c r="C878" s="92" t="inlineStr">
        <is>
          <t>PF04</t>
        </is>
      </c>
      <c r="D878" s="92" t="inlineStr">
        <is>
          <t>변액</t>
        </is>
      </c>
      <c r="E878" s="92" t="inlineStr">
        <is>
          <t>VFA</t>
        </is>
      </c>
      <c r="F878" s="92" t="inlineStr">
        <is>
          <t>F31</t>
        </is>
      </c>
      <c r="G878" s="92" t="inlineStr">
        <is>
          <t>경험조정-취득현금흐름</t>
        </is>
      </c>
      <c r="H878" s="93" t="n">
        <v>0</v>
      </c>
      <c r="I878" s="93" t="n">
        <v>0</v>
      </c>
      <c r="J878" s="93" t="n">
        <v>-730000</v>
      </c>
      <c r="L878" s="9">
        <f>IF($A878="","",VALUE($A878&amp;"")*12+VALUE($B878&amp;""))</f>
        <v/>
      </c>
      <c r="M878" s="94">
        <f>IF($A878="",0,$H878*설정!$C$23)</f>
        <v/>
      </c>
      <c r="N878" s="94">
        <f>IF($A878="",0,$I878*설정!$C$23)</f>
        <v/>
      </c>
      <c r="O878" s="94">
        <f>IF($A878="",0,$J878*설정!$C$23)</f>
        <v/>
      </c>
      <c r="P878" s="64">
        <f>IF($A878="","",IFERROR(INDEX(입력옵션!$C$58:$C$68,MATCH($F878&amp;"",입력옵션!$E$58:$E$68,0)),IFERROR(INDEX(입력옵션!$C$58:$C$68,MATCH($G878&amp;"",입력옵션!$F$58:$F$68,0)),$F878&amp;"")))</f>
        <v/>
      </c>
    </row>
    <row r="879">
      <c r="A879" s="92" t="n">
        <v>2026</v>
      </c>
      <c r="B879" s="92" t="n">
        <v>8</v>
      </c>
      <c r="C879" s="92" t="inlineStr">
        <is>
          <t>PF04</t>
        </is>
      </c>
      <c r="D879" s="92" t="inlineStr">
        <is>
          <t>변액</t>
        </is>
      </c>
      <c r="E879" s="92" t="inlineStr">
        <is>
          <t>VFA</t>
        </is>
      </c>
      <c r="F879" s="92" t="inlineStr">
        <is>
          <t>F32</t>
        </is>
      </c>
      <c r="G879" s="92" t="inlineStr">
        <is>
          <t>경험조정-보험료 등</t>
        </is>
      </c>
      <c r="H879" s="93" t="n">
        <v>0</v>
      </c>
      <c r="I879" s="93" t="n">
        <v>0</v>
      </c>
      <c r="J879" s="93" t="n">
        <v>-219715000</v>
      </c>
      <c r="L879" s="9">
        <f>IF($A879="","",VALUE($A879&amp;"")*12+VALUE($B879&amp;""))</f>
        <v/>
      </c>
      <c r="M879" s="94">
        <f>IF($A879="",0,$H879*설정!$C$23)</f>
        <v/>
      </c>
      <c r="N879" s="94">
        <f>IF($A879="",0,$I879*설정!$C$23)</f>
        <v/>
      </c>
      <c r="O879" s="94">
        <f>IF($A879="",0,$J879*설정!$C$23)</f>
        <v/>
      </c>
      <c r="P879" s="64">
        <f>IF($A879="","",IFERROR(INDEX(입력옵션!$C$58:$C$68,MATCH($F879&amp;"",입력옵션!$E$58:$E$68,0)),IFERROR(INDEX(입력옵션!$C$58:$C$68,MATCH($G879&amp;"",입력옵션!$F$58:$F$68,0)),$F879&amp;"")))</f>
        <v/>
      </c>
    </row>
    <row r="880">
      <c r="A880" s="92" t="n">
        <v>2026</v>
      </c>
      <c r="B880" s="92" t="n">
        <v>8</v>
      </c>
      <c r="C880" s="92" t="inlineStr">
        <is>
          <t>PF04</t>
        </is>
      </c>
      <c r="D880" s="92" t="inlineStr">
        <is>
          <t>변액</t>
        </is>
      </c>
      <c r="E880" s="92" t="inlineStr">
        <is>
          <t>VFA</t>
        </is>
      </c>
      <c r="F880" s="92" t="inlineStr">
        <is>
          <t>F40</t>
        </is>
      </c>
      <c r="G880" s="92" t="inlineStr">
        <is>
          <t>보험금융비용(이자부리)</t>
        </is>
      </c>
      <c r="H880" s="93" t="n">
        <v>814637000</v>
      </c>
      <c r="I880" s="93" t="n">
        <v>31993000</v>
      </c>
      <c r="J880" s="93" t="n">
        <v>132245000</v>
      </c>
      <c r="L880" s="9">
        <f>IF($A880="","",VALUE($A880&amp;"")*12+VALUE($B880&amp;""))</f>
        <v/>
      </c>
      <c r="M880" s="94">
        <f>IF($A880="",0,$H880*설정!$C$23)</f>
        <v/>
      </c>
      <c r="N880" s="94">
        <f>IF($A880="",0,$I880*설정!$C$23)</f>
        <v/>
      </c>
      <c r="O880" s="94">
        <f>IF($A880="",0,$J880*설정!$C$23)</f>
        <v/>
      </c>
      <c r="P880" s="64">
        <f>IF($A880="","",IFERROR(INDEX(입력옵션!$C$58:$C$68,MATCH($F880&amp;"",입력옵션!$E$58:$E$68,0)),IFERROR(INDEX(입력옵션!$C$58:$C$68,MATCH($G880&amp;"",입력옵션!$F$58:$F$68,0)),$F880&amp;"")))</f>
        <v/>
      </c>
    </row>
    <row r="881">
      <c r="A881" s="92" t="n">
        <v>2026</v>
      </c>
      <c r="B881" s="92" t="n">
        <v>8</v>
      </c>
      <c r="C881" s="92" t="inlineStr">
        <is>
          <t>PF04</t>
        </is>
      </c>
      <c r="D881" s="92" t="inlineStr">
        <is>
          <t>변액</t>
        </is>
      </c>
      <c r="E881" s="92" t="inlineStr">
        <is>
          <t>VFA</t>
        </is>
      </c>
      <c r="F881" s="92" t="inlineStr">
        <is>
          <t>F51</t>
        </is>
      </c>
      <c r="G881" s="92" t="inlineStr">
        <is>
          <t>CSM 상각</t>
        </is>
      </c>
      <c r="H881" s="93" t="n">
        <v>0</v>
      </c>
      <c r="I881" s="93" t="n">
        <v>0</v>
      </c>
      <c r="J881" s="93" t="n">
        <v>-476082000</v>
      </c>
      <c r="L881" s="9">
        <f>IF($A881="","",VALUE($A881&amp;"")*12+VALUE($B881&amp;""))</f>
        <v/>
      </c>
      <c r="M881" s="94">
        <f>IF($A881="",0,$H881*설정!$C$23)</f>
        <v/>
      </c>
      <c r="N881" s="94">
        <f>IF($A881="",0,$I881*설정!$C$23)</f>
        <v/>
      </c>
      <c r="O881" s="94">
        <f>IF($A881="",0,$J881*설정!$C$23)</f>
        <v/>
      </c>
      <c r="P881" s="64">
        <f>IF($A881="","",IFERROR(INDEX(입력옵션!$C$58:$C$68,MATCH($F881&amp;"",입력옵션!$E$58:$E$68,0)),IFERROR(INDEX(입력옵션!$C$58:$C$68,MATCH($G881&amp;"",입력옵션!$F$58:$F$68,0)),$F881&amp;"")))</f>
        <v/>
      </c>
    </row>
    <row r="882">
      <c r="A882" s="92" t="n">
        <v>2026</v>
      </c>
      <c r="B882" s="92" t="n">
        <v>8</v>
      </c>
      <c r="C882" s="92" t="inlineStr">
        <is>
          <t>PF04</t>
        </is>
      </c>
      <c r="D882" s="92" t="inlineStr">
        <is>
          <t>변액</t>
        </is>
      </c>
      <c r="E882" s="92" t="inlineStr">
        <is>
          <t>VFA</t>
        </is>
      </c>
      <c r="F882" s="92" t="inlineStr">
        <is>
          <t>F52</t>
        </is>
      </c>
      <c r="G882" s="92" t="inlineStr">
        <is>
          <t>RA 해제</t>
        </is>
      </c>
      <c r="H882" s="93" t="n">
        <v>0</v>
      </c>
      <c r="I882" s="93" t="n">
        <v>-95978000</v>
      </c>
      <c r="J882" s="93" t="n">
        <v>0</v>
      </c>
      <c r="L882" s="9">
        <f>IF($A882="","",VALUE($A882&amp;"")*12+VALUE($B882&amp;""))</f>
        <v/>
      </c>
      <c r="M882" s="94">
        <f>IF($A882="",0,$H882*설정!$C$23)</f>
        <v/>
      </c>
      <c r="N882" s="94">
        <f>IF($A882="",0,$I882*설정!$C$23)</f>
        <v/>
      </c>
      <c r="O882" s="94">
        <f>IF($A882="",0,$J882*설정!$C$23)</f>
        <v/>
      </c>
      <c r="P882" s="64">
        <f>IF($A882="","",IFERROR(INDEX(입력옵션!$C$58:$C$68,MATCH($F882&amp;"",입력옵션!$E$58:$E$68,0)),IFERROR(INDEX(입력옵션!$C$58:$C$68,MATCH($G882&amp;"",입력옵션!$F$58:$F$68,0)),$F882&amp;"")))</f>
        <v/>
      </c>
    </row>
    <row r="883">
      <c r="A883" s="92" t="n">
        <v>2026</v>
      </c>
      <c r="B883" s="92" t="n">
        <v>8</v>
      </c>
      <c r="C883" s="92" t="inlineStr">
        <is>
          <t>PF04</t>
        </is>
      </c>
      <c r="D883" s="92" t="inlineStr">
        <is>
          <t>변액</t>
        </is>
      </c>
      <c r="E883" s="92" t="inlineStr">
        <is>
          <t>VFA</t>
        </is>
      </c>
      <c r="F883" s="92" t="inlineStr">
        <is>
          <t>F60</t>
        </is>
      </c>
      <c r="G883" s="92" t="inlineStr">
        <is>
          <t>현금흐름 및 기타</t>
        </is>
      </c>
      <c r="H883" s="93" t="n">
        <v>825237000</v>
      </c>
      <c r="I883" s="93" t="n">
        <v>-41747000</v>
      </c>
      <c r="J883" s="93" t="n">
        <v>0</v>
      </c>
      <c r="L883" s="9">
        <f>IF($A883="","",VALUE($A883&amp;"")*12+VALUE($B883&amp;""))</f>
        <v/>
      </c>
      <c r="M883" s="94">
        <f>IF($A883="",0,$H883*설정!$C$23)</f>
        <v/>
      </c>
      <c r="N883" s="94">
        <f>IF($A883="",0,$I883*설정!$C$23)</f>
        <v/>
      </c>
      <c r="O883" s="94">
        <f>IF($A883="",0,$J883*설정!$C$23)</f>
        <v/>
      </c>
      <c r="P883" s="64">
        <f>IF($A883="","",IFERROR(INDEX(입력옵션!$C$58:$C$68,MATCH($F883&amp;"",입력옵션!$E$58:$E$68,0)),IFERROR(INDEX(입력옵션!$C$58:$C$68,MATCH($G883&amp;"",입력옵션!$F$58:$F$68,0)),$F883&amp;"")))</f>
        <v/>
      </c>
    </row>
    <row r="884">
      <c r="A884" s="92" t="n">
        <v>2026</v>
      </c>
      <c r="B884" s="92" t="n">
        <v>8</v>
      </c>
      <c r="C884" s="92" t="inlineStr">
        <is>
          <t>PF04</t>
        </is>
      </c>
      <c r="D884" s="92" t="inlineStr">
        <is>
          <t>변액</t>
        </is>
      </c>
      <c r="E884" s="92" t="inlineStr">
        <is>
          <t>VFA</t>
        </is>
      </c>
      <c r="F884" s="92" t="inlineStr">
        <is>
          <t>F99</t>
        </is>
      </c>
      <c r="G884" s="92" t="inlineStr">
        <is>
          <t>기말잔액</t>
        </is>
      </c>
      <c r="H884" s="93" t="n">
        <v>326822850000</v>
      </c>
      <c r="I884" s="93" t="n">
        <v>16024892000</v>
      </c>
      <c r="J884" s="93" t="n">
        <v>52871136000</v>
      </c>
      <c r="L884" s="9">
        <f>IF($A884="","",VALUE($A884&amp;"")*12+VALUE($B884&amp;""))</f>
        <v/>
      </c>
      <c r="M884" s="94">
        <f>IF($A884="",0,$H884*설정!$C$23)</f>
        <v/>
      </c>
      <c r="N884" s="94">
        <f>IF($A884="",0,$I884*설정!$C$23)</f>
        <v/>
      </c>
      <c r="O884" s="94">
        <f>IF($A884="",0,$J884*설정!$C$23)</f>
        <v/>
      </c>
      <c r="P884" s="64">
        <f>IF($A884="","",IFERROR(INDEX(입력옵션!$C$58:$C$68,MATCH($F884&amp;"",입력옵션!$E$58:$E$68,0)),IFERROR(INDEX(입력옵션!$C$58:$C$68,MATCH($G884&amp;"",입력옵션!$F$58:$F$68,0)),$F884&amp;"")))</f>
        <v/>
      </c>
    </row>
    <row r="885">
      <c r="A885" s="92" t="n">
        <v>2026</v>
      </c>
      <c r="B885" s="92" t="n">
        <v>9</v>
      </c>
      <c r="C885" s="92" t="inlineStr">
        <is>
          <t>PF01</t>
        </is>
      </c>
      <c r="D885" s="92" t="inlineStr">
        <is>
          <t>보장성</t>
        </is>
      </c>
      <c r="E885" s="92" t="inlineStr">
        <is>
          <t>GMM</t>
        </is>
      </c>
      <c r="F885" s="92" t="inlineStr">
        <is>
          <t>F00</t>
        </is>
      </c>
      <c r="G885" s="92" t="inlineStr">
        <is>
          <t>기초잔액</t>
        </is>
      </c>
      <c r="H885" s="93" t="n">
        <v>1089409500000</v>
      </c>
      <c r="I885" s="93" t="n">
        <v>73961040000</v>
      </c>
      <c r="J885" s="93" t="n">
        <v>252833754000</v>
      </c>
      <c r="L885" s="9">
        <f>IF($A885="","",VALUE($A885&amp;"")*12+VALUE($B885&amp;""))</f>
        <v/>
      </c>
      <c r="M885" s="94">
        <f>IF($A885="",0,$H885*설정!$C$23)</f>
        <v/>
      </c>
      <c r="N885" s="94">
        <f>IF($A885="",0,$I885*설정!$C$23)</f>
        <v/>
      </c>
      <c r="O885" s="94">
        <f>IF($A885="",0,$J885*설정!$C$23)</f>
        <v/>
      </c>
      <c r="P885" s="64">
        <f>IF($A885="","",IFERROR(INDEX(입력옵션!$C$58:$C$68,MATCH($F885&amp;"",입력옵션!$E$58:$E$68,0)),IFERROR(INDEX(입력옵션!$C$58:$C$68,MATCH($G885&amp;"",입력옵션!$F$58:$F$68,0)),$F885&amp;"")))</f>
        <v/>
      </c>
    </row>
    <row r="886">
      <c r="A886" s="92" t="n">
        <v>2026</v>
      </c>
      <c r="B886" s="92" t="n">
        <v>9</v>
      </c>
      <c r="C886" s="92" t="inlineStr">
        <is>
          <t>PF01</t>
        </is>
      </c>
      <c r="D886" s="92" t="inlineStr">
        <is>
          <t>보장성</t>
        </is>
      </c>
      <c r="E886" s="92" t="inlineStr">
        <is>
          <t>GMM</t>
        </is>
      </c>
      <c r="F886" s="92" t="inlineStr">
        <is>
          <t>F10</t>
        </is>
      </c>
      <c r="G886" s="92" t="inlineStr">
        <is>
          <t>신계약 효과</t>
        </is>
      </c>
      <c r="H886" s="93" t="n">
        <v>-3153347000</v>
      </c>
      <c r="I886" s="93" t="n">
        <v>630669000</v>
      </c>
      <c r="J886" s="93" t="n">
        <v>2522678000</v>
      </c>
      <c r="L886" s="9">
        <f>IF($A886="","",VALUE($A886&amp;"")*12+VALUE($B886&amp;""))</f>
        <v/>
      </c>
      <c r="M886" s="94">
        <f>IF($A886="",0,$H886*설정!$C$23)</f>
        <v/>
      </c>
      <c r="N886" s="94">
        <f>IF($A886="",0,$I886*설정!$C$23)</f>
        <v/>
      </c>
      <c r="O886" s="94">
        <f>IF($A886="",0,$J886*설정!$C$23)</f>
        <v/>
      </c>
      <c r="P886" s="64">
        <f>IF($A886="","",IFERROR(INDEX(입력옵션!$C$58:$C$68,MATCH($F886&amp;"",입력옵션!$E$58:$E$68,0)),IFERROR(INDEX(입력옵션!$C$58:$C$68,MATCH($G886&amp;"",입력옵션!$F$58:$F$68,0)),$F886&amp;"")))</f>
        <v/>
      </c>
    </row>
    <row r="887">
      <c r="A887" s="92" t="n">
        <v>2026</v>
      </c>
      <c r="B887" s="92" t="n">
        <v>9</v>
      </c>
      <c r="C887" s="92" t="inlineStr">
        <is>
          <t>PF01</t>
        </is>
      </c>
      <c r="D887" s="92" t="inlineStr">
        <is>
          <t>보장성</t>
        </is>
      </c>
      <c r="E887" s="92" t="inlineStr">
        <is>
          <t>GMM</t>
        </is>
      </c>
      <c r="F887" s="92" t="inlineStr">
        <is>
          <t>F21</t>
        </is>
      </c>
      <c r="G887" s="92" t="inlineStr">
        <is>
          <t>가정변경-사업비</t>
        </is>
      </c>
      <c r="H887" s="93" t="n">
        <v>1200000000</v>
      </c>
      <c r="I887" s="93" t="n">
        <v>0</v>
      </c>
      <c r="J887" s="93" t="n">
        <v>-1200000000</v>
      </c>
      <c r="L887" s="9">
        <f>IF($A887="","",VALUE($A887&amp;"")*12+VALUE($B887&amp;""))</f>
        <v/>
      </c>
      <c r="M887" s="94">
        <f>IF($A887="",0,$H887*설정!$C$23)</f>
        <v/>
      </c>
      <c r="N887" s="94">
        <f>IF($A887="",0,$I887*설정!$C$23)</f>
        <v/>
      </c>
      <c r="O887" s="94">
        <f>IF($A887="",0,$J887*설정!$C$23)</f>
        <v/>
      </c>
      <c r="P887" s="64">
        <f>IF($A887="","",IFERROR(INDEX(입력옵션!$C$58:$C$68,MATCH($F887&amp;"",입력옵션!$E$58:$E$68,0)),IFERROR(INDEX(입력옵션!$C$58:$C$68,MATCH($G887&amp;"",입력옵션!$F$58:$F$68,0)),$F887&amp;"")))</f>
        <v/>
      </c>
    </row>
    <row r="888">
      <c r="A888" s="92" t="n">
        <v>2026</v>
      </c>
      <c r="B888" s="92" t="n">
        <v>9</v>
      </c>
      <c r="C888" s="92" t="inlineStr">
        <is>
          <t>PF01</t>
        </is>
      </c>
      <c r="D888" s="92" t="inlineStr">
        <is>
          <t>보장성</t>
        </is>
      </c>
      <c r="E888" s="92" t="inlineStr">
        <is>
          <t>GMM</t>
        </is>
      </c>
      <c r="F888" s="92" t="inlineStr">
        <is>
          <t>F22</t>
        </is>
      </c>
      <c r="G888" s="92" t="inlineStr">
        <is>
          <t>가정변경-기타</t>
        </is>
      </c>
      <c r="H888" s="93" t="n">
        <v>0</v>
      </c>
      <c r="I888" s="93" t="n">
        <v>0</v>
      </c>
      <c r="J888" s="93" t="n">
        <v>0</v>
      </c>
      <c r="L888" s="9">
        <f>IF($A888="","",VALUE($A888&amp;"")*12+VALUE($B888&amp;""))</f>
        <v/>
      </c>
      <c r="M888" s="94">
        <f>IF($A888="",0,$H888*설정!$C$23)</f>
        <v/>
      </c>
      <c r="N888" s="94">
        <f>IF($A888="",0,$I888*설정!$C$23)</f>
        <v/>
      </c>
      <c r="O888" s="94">
        <f>IF($A888="",0,$J888*설정!$C$23)</f>
        <v/>
      </c>
      <c r="P888" s="64">
        <f>IF($A888="","",IFERROR(INDEX(입력옵션!$C$58:$C$68,MATCH($F888&amp;"",입력옵션!$E$58:$E$68,0)),IFERROR(INDEX(입력옵션!$C$58:$C$68,MATCH($G888&amp;"",입력옵션!$F$58:$F$68,0)),$F888&amp;"")))</f>
        <v/>
      </c>
    </row>
    <row r="889">
      <c r="A889" s="92" t="n">
        <v>2026</v>
      </c>
      <c r="B889" s="92" t="n">
        <v>9</v>
      </c>
      <c r="C889" s="92" t="inlineStr">
        <is>
          <t>PF01</t>
        </is>
      </c>
      <c r="D889" s="92" t="inlineStr">
        <is>
          <t>보장성</t>
        </is>
      </c>
      <c r="E889" s="92" t="inlineStr">
        <is>
          <t>GMM</t>
        </is>
      </c>
      <c r="F889" s="92" t="inlineStr">
        <is>
          <t>F31</t>
        </is>
      </c>
      <c r="G889" s="92" t="inlineStr">
        <is>
          <t>경험조정-취득현금흐름</t>
        </is>
      </c>
      <c r="H889" s="93" t="n">
        <v>0</v>
      </c>
      <c r="I889" s="93" t="n">
        <v>0</v>
      </c>
      <c r="J889" s="93" t="n">
        <v>-225297000</v>
      </c>
      <c r="L889" s="9">
        <f>IF($A889="","",VALUE($A889&amp;"")*12+VALUE($B889&amp;""))</f>
        <v/>
      </c>
      <c r="M889" s="94">
        <f>IF($A889="",0,$H889*설정!$C$23)</f>
        <v/>
      </c>
      <c r="N889" s="94">
        <f>IF($A889="",0,$I889*설정!$C$23)</f>
        <v/>
      </c>
      <c r="O889" s="94">
        <f>IF($A889="",0,$J889*설정!$C$23)</f>
        <v/>
      </c>
      <c r="P889" s="64">
        <f>IF($A889="","",IFERROR(INDEX(입력옵션!$C$58:$C$68,MATCH($F889&amp;"",입력옵션!$E$58:$E$68,0)),IFERROR(INDEX(입력옵션!$C$58:$C$68,MATCH($G889&amp;"",입력옵션!$F$58:$F$68,0)),$F889&amp;"")))</f>
        <v/>
      </c>
    </row>
    <row r="890">
      <c r="A890" s="92" t="n">
        <v>2026</v>
      </c>
      <c r="B890" s="92" t="n">
        <v>9</v>
      </c>
      <c r="C890" s="92" t="inlineStr">
        <is>
          <t>PF01</t>
        </is>
      </c>
      <c r="D890" s="92" t="inlineStr">
        <is>
          <t>보장성</t>
        </is>
      </c>
      <c r="E890" s="92" t="inlineStr">
        <is>
          <t>GMM</t>
        </is>
      </c>
      <c r="F890" s="92" t="inlineStr">
        <is>
          <t>F32</t>
        </is>
      </c>
      <c r="G890" s="92" t="inlineStr">
        <is>
          <t>경험조정-보험료 등</t>
        </is>
      </c>
      <c r="H890" s="93" t="n">
        <v>0</v>
      </c>
      <c r="I890" s="93" t="n">
        <v>0</v>
      </c>
      <c r="J890" s="93" t="n">
        <v>270034000</v>
      </c>
      <c r="L890" s="9">
        <f>IF($A890="","",VALUE($A890&amp;"")*12+VALUE($B890&amp;""))</f>
        <v/>
      </c>
      <c r="M890" s="94">
        <f>IF($A890="",0,$H890*설정!$C$23)</f>
        <v/>
      </c>
      <c r="N890" s="94">
        <f>IF($A890="",0,$I890*설정!$C$23)</f>
        <v/>
      </c>
      <c r="O890" s="94">
        <f>IF($A890="",0,$J890*설정!$C$23)</f>
        <v/>
      </c>
      <c r="P890" s="64">
        <f>IF($A890="","",IFERROR(INDEX(입력옵션!$C$58:$C$68,MATCH($F890&amp;"",입력옵션!$E$58:$E$68,0)),IFERROR(INDEX(입력옵션!$C$58:$C$68,MATCH($G890&amp;"",입력옵션!$F$58:$F$68,0)),$F890&amp;"")))</f>
        <v/>
      </c>
    </row>
    <row r="891">
      <c r="A891" s="92" t="n">
        <v>2026</v>
      </c>
      <c r="B891" s="92" t="n">
        <v>9</v>
      </c>
      <c r="C891" s="92" t="inlineStr">
        <is>
          <t>PF01</t>
        </is>
      </c>
      <c r="D891" s="92" t="inlineStr">
        <is>
          <t>보장성</t>
        </is>
      </c>
      <c r="E891" s="92" t="inlineStr">
        <is>
          <t>GMM</t>
        </is>
      </c>
      <c r="F891" s="92" t="inlineStr">
        <is>
          <t>F40</t>
        </is>
      </c>
      <c r="G891" s="92" t="inlineStr">
        <is>
          <t>보험금융비용(이자부리)</t>
        </is>
      </c>
      <c r="H891" s="93" t="n">
        <v>2723524000</v>
      </c>
      <c r="I891" s="93" t="n">
        <v>147922000</v>
      </c>
      <c r="J891" s="93" t="n">
        <v>632084000</v>
      </c>
      <c r="L891" s="9">
        <f>IF($A891="","",VALUE($A891&amp;"")*12+VALUE($B891&amp;""))</f>
        <v/>
      </c>
      <c r="M891" s="94">
        <f>IF($A891="",0,$H891*설정!$C$23)</f>
        <v/>
      </c>
      <c r="N891" s="94">
        <f>IF($A891="",0,$I891*설정!$C$23)</f>
        <v/>
      </c>
      <c r="O891" s="94">
        <f>IF($A891="",0,$J891*설정!$C$23)</f>
        <v/>
      </c>
      <c r="P891" s="64">
        <f>IF($A891="","",IFERROR(INDEX(입력옵션!$C$58:$C$68,MATCH($F891&amp;"",입력옵션!$E$58:$E$68,0)),IFERROR(INDEX(입력옵션!$C$58:$C$68,MATCH($G891&amp;"",입력옵션!$F$58:$F$68,0)),$F891&amp;"")))</f>
        <v/>
      </c>
    </row>
    <row r="892">
      <c r="A892" s="92" t="n">
        <v>2026</v>
      </c>
      <c r="B892" s="92" t="n">
        <v>9</v>
      </c>
      <c r="C892" s="92" t="inlineStr">
        <is>
          <t>PF01</t>
        </is>
      </c>
      <c r="D892" s="92" t="inlineStr">
        <is>
          <t>보장성</t>
        </is>
      </c>
      <c r="E892" s="92" t="inlineStr">
        <is>
          <t>GMM</t>
        </is>
      </c>
      <c r="F892" s="92" t="inlineStr">
        <is>
          <t>F51</t>
        </is>
      </c>
      <c r="G892" s="92" t="inlineStr">
        <is>
          <t>CSM 상각</t>
        </is>
      </c>
      <c r="H892" s="93" t="n">
        <v>0</v>
      </c>
      <c r="I892" s="93" t="n">
        <v>0</v>
      </c>
      <c r="J892" s="93" t="n">
        <v>-2275504000</v>
      </c>
      <c r="L892" s="9">
        <f>IF($A892="","",VALUE($A892&amp;"")*12+VALUE($B892&amp;""))</f>
        <v/>
      </c>
      <c r="M892" s="94">
        <f>IF($A892="",0,$H892*설정!$C$23)</f>
        <v/>
      </c>
      <c r="N892" s="94">
        <f>IF($A892="",0,$I892*설정!$C$23)</f>
        <v/>
      </c>
      <c r="O892" s="94">
        <f>IF($A892="",0,$J892*설정!$C$23)</f>
        <v/>
      </c>
      <c r="P892" s="64">
        <f>IF($A892="","",IFERROR(INDEX(입력옵션!$C$58:$C$68,MATCH($F892&amp;"",입력옵션!$E$58:$E$68,0)),IFERROR(INDEX(입력옵션!$C$58:$C$68,MATCH($G892&amp;"",입력옵션!$F$58:$F$68,0)),$F892&amp;"")))</f>
        <v/>
      </c>
    </row>
    <row r="893">
      <c r="A893" s="92" t="n">
        <v>2026</v>
      </c>
      <c r="B893" s="92" t="n">
        <v>9</v>
      </c>
      <c r="C893" s="92" t="inlineStr">
        <is>
          <t>PF01</t>
        </is>
      </c>
      <c r="D893" s="92" t="inlineStr">
        <is>
          <t>보장성</t>
        </is>
      </c>
      <c r="E893" s="92" t="inlineStr">
        <is>
          <t>GMM</t>
        </is>
      </c>
      <c r="F893" s="92" t="inlineStr">
        <is>
          <t>F52</t>
        </is>
      </c>
      <c r="G893" s="92" t="inlineStr">
        <is>
          <t>RA 해제</t>
        </is>
      </c>
      <c r="H893" s="93" t="n">
        <v>0</v>
      </c>
      <c r="I893" s="93" t="n">
        <v>-443766000</v>
      </c>
      <c r="J893" s="93" t="n">
        <v>0</v>
      </c>
      <c r="L893" s="9">
        <f>IF($A893="","",VALUE($A893&amp;"")*12+VALUE($B893&amp;""))</f>
        <v/>
      </c>
      <c r="M893" s="94">
        <f>IF($A893="",0,$H893*설정!$C$23)</f>
        <v/>
      </c>
      <c r="N893" s="94">
        <f>IF($A893="",0,$I893*설정!$C$23)</f>
        <v/>
      </c>
      <c r="O893" s="94">
        <f>IF($A893="",0,$J893*설정!$C$23)</f>
        <v/>
      </c>
      <c r="P893" s="64">
        <f>IF($A893="","",IFERROR(INDEX(입력옵션!$C$58:$C$68,MATCH($F893&amp;"",입력옵션!$E$58:$E$68,0)),IFERROR(INDEX(입력옵션!$C$58:$C$68,MATCH($G893&amp;"",입력옵션!$F$58:$F$68,0)),$F893&amp;"")))</f>
        <v/>
      </c>
    </row>
    <row r="894">
      <c r="A894" s="92" t="n">
        <v>2026</v>
      </c>
      <c r="B894" s="92" t="n">
        <v>9</v>
      </c>
      <c r="C894" s="92" t="inlineStr">
        <is>
          <t>PF01</t>
        </is>
      </c>
      <c r="D894" s="92" t="inlineStr">
        <is>
          <t>보장성</t>
        </is>
      </c>
      <c r="E894" s="92" t="inlineStr">
        <is>
          <t>GMM</t>
        </is>
      </c>
      <c r="F894" s="92" t="inlineStr">
        <is>
          <t>F60</t>
        </is>
      </c>
      <c r="G894" s="92" t="inlineStr">
        <is>
          <t>현금흐름 및 기타</t>
        </is>
      </c>
      <c r="H894" s="93" t="n">
        <v>5288274000</v>
      </c>
      <c r="I894" s="93" t="n">
        <v>-540505000</v>
      </c>
      <c r="J894" s="93" t="n">
        <v>0</v>
      </c>
      <c r="L894" s="9">
        <f>IF($A894="","",VALUE($A894&amp;"")*12+VALUE($B894&amp;""))</f>
        <v/>
      </c>
      <c r="M894" s="94">
        <f>IF($A894="",0,$H894*설정!$C$23)</f>
        <v/>
      </c>
      <c r="N894" s="94">
        <f>IF($A894="",0,$I894*설정!$C$23)</f>
        <v/>
      </c>
      <c r="O894" s="94">
        <f>IF($A894="",0,$J894*설정!$C$23)</f>
        <v/>
      </c>
      <c r="P894" s="64">
        <f>IF($A894="","",IFERROR(INDEX(입력옵션!$C$58:$C$68,MATCH($F894&amp;"",입력옵션!$E$58:$E$68,0)),IFERROR(INDEX(입력옵션!$C$58:$C$68,MATCH($G894&amp;"",입력옵션!$F$58:$F$68,0)),$F894&amp;"")))</f>
        <v/>
      </c>
    </row>
    <row r="895">
      <c r="A895" s="92" t="n">
        <v>2026</v>
      </c>
      <c r="B895" s="92" t="n">
        <v>9</v>
      </c>
      <c r="C895" s="92" t="inlineStr">
        <is>
          <t>PF01</t>
        </is>
      </c>
      <c r="D895" s="92" t="inlineStr">
        <is>
          <t>보장성</t>
        </is>
      </c>
      <c r="E895" s="92" t="inlineStr">
        <is>
          <t>GMM</t>
        </is>
      </c>
      <c r="F895" s="92" t="inlineStr">
        <is>
          <t>F99</t>
        </is>
      </c>
      <c r="G895" s="92" t="inlineStr">
        <is>
          <t>기말잔액</t>
        </is>
      </c>
      <c r="H895" s="93" t="n">
        <v>1095467950000</v>
      </c>
      <c r="I895" s="93" t="n">
        <v>73755360000</v>
      </c>
      <c r="J895" s="93" t="n">
        <v>252557749000</v>
      </c>
      <c r="L895" s="9">
        <f>IF($A895="","",VALUE($A895&amp;"")*12+VALUE($B895&amp;""))</f>
        <v/>
      </c>
      <c r="M895" s="94">
        <f>IF($A895="",0,$H895*설정!$C$23)</f>
        <v/>
      </c>
      <c r="N895" s="94">
        <f>IF($A895="",0,$I895*설정!$C$23)</f>
        <v/>
      </c>
      <c r="O895" s="94">
        <f>IF($A895="",0,$J895*설정!$C$23)</f>
        <v/>
      </c>
      <c r="P895" s="64">
        <f>IF($A895="","",IFERROR(INDEX(입력옵션!$C$58:$C$68,MATCH($F895&amp;"",입력옵션!$E$58:$E$68,0)),IFERROR(INDEX(입력옵션!$C$58:$C$68,MATCH($G895&amp;"",입력옵션!$F$58:$F$68,0)),$F895&amp;"")))</f>
        <v/>
      </c>
    </row>
    <row r="896">
      <c r="A896" s="92" t="n">
        <v>2026</v>
      </c>
      <c r="B896" s="92" t="n">
        <v>9</v>
      </c>
      <c r="C896" s="92" t="inlineStr">
        <is>
          <t>PF02</t>
        </is>
      </c>
      <c r="D896" s="92" t="inlineStr">
        <is>
          <t>저축성</t>
        </is>
      </c>
      <c r="E896" s="92" t="inlineStr">
        <is>
          <t>GMM</t>
        </is>
      </c>
      <c r="F896" s="92" t="inlineStr">
        <is>
          <t>F00</t>
        </is>
      </c>
      <c r="G896" s="92" t="inlineStr">
        <is>
          <t>기초잔액</t>
        </is>
      </c>
      <c r="H896" s="93" t="n">
        <v>719010270000</v>
      </c>
      <c r="I896" s="93" t="n">
        <v>30817100000</v>
      </c>
      <c r="J896" s="93" t="n">
        <v>101744253000</v>
      </c>
      <c r="L896" s="9">
        <f>IF($A896="","",VALUE($A896&amp;"")*12+VALUE($B896&amp;""))</f>
        <v/>
      </c>
      <c r="M896" s="94">
        <f>IF($A896="",0,$H896*설정!$C$23)</f>
        <v/>
      </c>
      <c r="N896" s="94">
        <f>IF($A896="",0,$I896*설정!$C$23)</f>
        <v/>
      </c>
      <c r="O896" s="94">
        <f>IF($A896="",0,$J896*설정!$C$23)</f>
        <v/>
      </c>
      <c r="P896" s="64">
        <f>IF($A896="","",IFERROR(INDEX(입력옵션!$C$58:$C$68,MATCH($F896&amp;"",입력옵션!$E$58:$E$68,0)),IFERROR(INDEX(입력옵션!$C$58:$C$68,MATCH($G896&amp;"",입력옵션!$F$58:$F$68,0)),$F896&amp;"")))</f>
        <v/>
      </c>
    </row>
    <row r="897">
      <c r="A897" s="92" t="n">
        <v>2026</v>
      </c>
      <c r="B897" s="92" t="n">
        <v>9</v>
      </c>
      <c r="C897" s="92" t="inlineStr">
        <is>
          <t>PF02</t>
        </is>
      </c>
      <c r="D897" s="92" t="inlineStr">
        <is>
          <t>저축성</t>
        </is>
      </c>
      <c r="E897" s="92" t="inlineStr">
        <is>
          <t>GMM</t>
        </is>
      </c>
      <c r="F897" s="92" t="inlineStr">
        <is>
          <t>F10</t>
        </is>
      </c>
      <c r="G897" s="92" t="inlineStr">
        <is>
          <t>신계약 효과</t>
        </is>
      </c>
      <c r="H897" s="93" t="n">
        <v>-1271511000</v>
      </c>
      <c r="I897" s="93" t="n">
        <v>254302000</v>
      </c>
      <c r="J897" s="93" t="n">
        <v>1017209000</v>
      </c>
      <c r="L897" s="9">
        <f>IF($A897="","",VALUE($A897&amp;"")*12+VALUE($B897&amp;""))</f>
        <v/>
      </c>
      <c r="M897" s="94">
        <f>IF($A897="",0,$H897*설정!$C$23)</f>
        <v/>
      </c>
      <c r="N897" s="94">
        <f>IF($A897="",0,$I897*설정!$C$23)</f>
        <v/>
      </c>
      <c r="O897" s="94">
        <f>IF($A897="",0,$J897*설정!$C$23)</f>
        <v/>
      </c>
      <c r="P897" s="64">
        <f>IF($A897="","",IFERROR(INDEX(입력옵션!$C$58:$C$68,MATCH($F897&amp;"",입력옵션!$E$58:$E$68,0)),IFERROR(INDEX(입력옵션!$C$58:$C$68,MATCH($G897&amp;"",입력옵션!$F$58:$F$68,0)),$F897&amp;"")))</f>
        <v/>
      </c>
    </row>
    <row r="898">
      <c r="A898" s="92" t="n">
        <v>2026</v>
      </c>
      <c r="B898" s="92" t="n">
        <v>9</v>
      </c>
      <c r="C898" s="92" t="inlineStr">
        <is>
          <t>PF02</t>
        </is>
      </c>
      <c r="D898" s="92" t="inlineStr">
        <is>
          <t>저축성</t>
        </is>
      </c>
      <c r="E898" s="92" t="inlineStr">
        <is>
          <t>GMM</t>
        </is>
      </c>
      <c r="F898" s="92" t="inlineStr">
        <is>
          <t>F21</t>
        </is>
      </c>
      <c r="G898" s="92" t="inlineStr">
        <is>
          <t>가정변경-사업비</t>
        </is>
      </c>
      <c r="H898" s="93" t="n">
        <v>0</v>
      </c>
      <c r="I898" s="93" t="n">
        <v>0</v>
      </c>
      <c r="J898" s="93" t="n">
        <v>0</v>
      </c>
      <c r="L898" s="9">
        <f>IF($A898="","",VALUE($A898&amp;"")*12+VALUE($B898&amp;""))</f>
        <v/>
      </c>
      <c r="M898" s="94">
        <f>IF($A898="",0,$H898*설정!$C$23)</f>
        <v/>
      </c>
      <c r="N898" s="94">
        <f>IF($A898="",0,$I898*설정!$C$23)</f>
        <v/>
      </c>
      <c r="O898" s="94">
        <f>IF($A898="",0,$J898*설정!$C$23)</f>
        <v/>
      </c>
      <c r="P898" s="64">
        <f>IF($A898="","",IFERROR(INDEX(입력옵션!$C$58:$C$68,MATCH($F898&amp;"",입력옵션!$E$58:$E$68,0)),IFERROR(INDEX(입력옵션!$C$58:$C$68,MATCH($G898&amp;"",입력옵션!$F$58:$F$68,0)),$F898&amp;"")))</f>
        <v/>
      </c>
    </row>
    <row r="899">
      <c r="A899" s="92" t="n">
        <v>2026</v>
      </c>
      <c r="B899" s="92" t="n">
        <v>9</v>
      </c>
      <c r="C899" s="92" t="inlineStr">
        <is>
          <t>PF02</t>
        </is>
      </c>
      <c r="D899" s="92" t="inlineStr">
        <is>
          <t>저축성</t>
        </is>
      </c>
      <c r="E899" s="92" t="inlineStr">
        <is>
          <t>GMM</t>
        </is>
      </c>
      <c r="F899" s="92" t="inlineStr">
        <is>
          <t>F22</t>
        </is>
      </c>
      <c r="G899" s="92" t="inlineStr">
        <is>
          <t>가정변경-기타</t>
        </is>
      </c>
      <c r="H899" s="93" t="n">
        <v>0</v>
      </c>
      <c r="I899" s="93" t="n">
        <v>0</v>
      </c>
      <c r="J899" s="93" t="n">
        <v>0</v>
      </c>
      <c r="L899" s="9">
        <f>IF($A899="","",VALUE($A899&amp;"")*12+VALUE($B899&amp;""))</f>
        <v/>
      </c>
      <c r="M899" s="94">
        <f>IF($A899="",0,$H899*설정!$C$23)</f>
        <v/>
      </c>
      <c r="N899" s="94">
        <f>IF($A899="",0,$I899*설정!$C$23)</f>
        <v/>
      </c>
      <c r="O899" s="94">
        <f>IF($A899="",0,$J899*설정!$C$23)</f>
        <v/>
      </c>
      <c r="P899" s="64">
        <f>IF($A899="","",IFERROR(INDEX(입력옵션!$C$58:$C$68,MATCH($F899&amp;"",입력옵션!$E$58:$E$68,0)),IFERROR(INDEX(입력옵션!$C$58:$C$68,MATCH($G899&amp;"",입력옵션!$F$58:$F$68,0)),$F899&amp;"")))</f>
        <v/>
      </c>
    </row>
    <row r="900">
      <c r="A900" s="92" t="n">
        <v>2026</v>
      </c>
      <c r="B900" s="92" t="n">
        <v>9</v>
      </c>
      <c r="C900" s="92" t="inlineStr">
        <is>
          <t>PF02</t>
        </is>
      </c>
      <c r="D900" s="92" t="inlineStr">
        <is>
          <t>저축성</t>
        </is>
      </c>
      <c r="E900" s="92" t="inlineStr">
        <is>
          <t>GMM</t>
        </is>
      </c>
      <c r="F900" s="92" t="inlineStr">
        <is>
          <t>F31</t>
        </is>
      </c>
      <c r="G900" s="92" t="inlineStr">
        <is>
          <t>경험조정-취득현금흐름</t>
        </is>
      </c>
      <c r="H900" s="93" t="n">
        <v>0</v>
      </c>
      <c r="I900" s="93" t="n">
        <v>0</v>
      </c>
      <c r="J900" s="93" t="n">
        <v>-80267000</v>
      </c>
      <c r="L900" s="9">
        <f>IF($A900="","",VALUE($A900&amp;"")*12+VALUE($B900&amp;""))</f>
        <v/>
      </c>
      <c r="M900" s="94">
        <f>IF($A900="",0,$H900*설정!$C$23)</f>
        <v/>
      </c>
      <c r="N900" s="94">
        <f>IF($A900="",0,$I900*설정!$C$23)</f>
        <v/>
      </c>
      <c r="O900" s="94">
        <f>IF($A900="",0,$J900*설정!$C$23)</f>
        <v/>
      </c>
      <c r="P900" s="64">
        <f>IF($A900="","",IFERROR(INDEX(입력옵션!$C$58:$C$68,MATCH($F900&amp;"",입력옵션!$E$58:$E$68,0)),IFERROR(INDEX(입력옵션!$C$58:$C$68,MATCH($G900&amp;"",입력옵션!$F$58:$F$68,0)),$F900&amp;"")))</f>
        <v/>
      </c>
    </row>
    <row r="901">
      <c r="A901" s="92" t="n">
        <v>2026</v>
      </c>
      <c r="B901" s="92" t="n">
        <v>9</v>
      </c>
      <c r="C901" s="92" t="inlineStr">
        <is>
          <t>PF02</t>
        </is>
      </c>
      <c r="D901" s="92" t="inlineStr">
        <is>
          <t>저축성</t>
        </is>
      </c>
      <c r="E901" s="92" t="inlineStr">
        <is>
          <t>GMM</t>
        </is>
      </c>
      <c r="F901" s="92" t="inlineStr">
        <is>
          <t>F32</t>
        </is>
      </c>
      <c r="G901" s="92" t="inlineStr">
        <is>
          <t>경험조정-보험료 등</t>
        </is>
      </c>
      <c r="H901" s="93" t="n">
        <v>0</v>
      </c>
      <c r="I901" s="93" t="n">
        <v>0</v>
      </c>
      <c r="J901" s="93" t="n">
        <v>-106861000</v>
      </c>
      <c r="L901" s="9">
        <f>IF($A901="","",VALUE($A901&amp;"")*12+VALUE($B901&amp;""))</f>
        <v/>
      </c>
      <c r="M901" s="94">
        <f>IF($A901="",0,$H901*설정!$C$23)</f>
        <v/>
      </c>
      <c r="N901" s="94">
        <f>IF($A901="",0,$I901*설정!$C$23)</f>
        <v/>
      </c>
      <c r="O901" s="94">
        <f>IF($A901="",0,$J901*설정!$C$23)</f>
        <v/>
      </c>
      <c r="P901" s="64">
        <f>IF($A901="","",IFERROR(INDEX(입력옵션!$C$58:$C$68,MATCH($F901&amp;"",입력옵션!$E$58:$E$68,0)),IFERROR(INDEX(입력옵션!$C$58:$C$68,MATCH($G901&amp;"",입력옵션!$F$58:$F$68,0)),$F901&amp;"")))</f>
        <v/>
      </c>
    </row>
    <row r="902">
      <c r="A902" s="92" t="n">
        <v>2026</v>
      </c>
      <c r="B902" s="92" t="n">
        <v>9</v>
      </c>
      <c r="C902" s="92" t="inlineStr">
        <is>
          <t>PF02</t>
        </is>
      </c>
      <c r="D902" s="92" t="inlineStr">
        <is>
          <t>저축성</t>
        </is>
      </c>
      <c r="E902" s="92" t="inlineStr">
        <is>
          <t>GMM</t>
        </is>
      </c>
      <c r="F902" s="92" t="inlineStr">
        <is>
          <t>F40</t>
        </is>
      </c>
      <c r="G902" s="92" t="inlineStr">
        <is>
          <t>보험금융비용(이자부리)</t>
        </is>
      </c>
      <c r="H902" s="93" t="n">
        <v>1797526000</v>
      </c>
      <c r="I902" s="93" t="n">
        <v>61634000</v>
      </c>
      <c r="J902" s="93" t="n">
        <v>254361000</v>
      </c>
      <c r="L902" s="9">
        <f>IF($A902="","",VALUE($A902&amp;"")*12+VALUE($B902&amp;""))</f>
        <v/>
      </c>
      <c r="M902" s="94">
        <f>IF($A902="",0,$H902*설정!$C$23)</f>
        <v/>
      </c>
      <c r="N902" s="94">
        <f>IF($A902="",0,$I902*설정!$C$23)</f>
        <v/>
      </c>
      <c r="O902" s="94">
        <f>IF($A902="",0,$J902*설정!$C$23)</f>
        <v/>
      </c>
      <c r="P902" s="64">
        <f>IF($A902="","",IFERROR(INDEX(입력옵션!$C$58:$C$68,MATCH($F902&amp;"",입력옵션!$E$58:$E$68,0)),IFERROR(INDEX(입력옵션!$C$58:$C$68,MATCH($G902&amp;"",입력옵션!$F$58:$F$68,0)),$F902&amp;"")))</f>
        <v/>
      </c>
    </row>
    <row r="903">
      <c r="A903" s="92" t="n">
        <v>2026</v>
      </c>
      <c r="B903" s="92" t="n">
        <v>9</v>
      </c>
      <c r="C903" s="92" t="inlineStr">
        <is>
          <t>PF02</t>
        </is>
      </c>
      <c r="D903" s="92" t="inlineStr">
        <is>
          <t>저축성</t>
        </is>
      </c>
      <c r="E903" s="92" t="inlineStr">
        <is>
          <t>GMM</t>
        </is>
      </c>
      <c r="F903" s="92" t="inlineStr">
        <is>
          <t>F51</t>
        </is>
      </c>
      <c r="G903" s="92" t="inlineStr">
        <is>
          <t>CSM 상각</t>
        </is>
      </c>
      <c r="H903" s="93" t="n">
        <v>0</v>
      </c>
      <c r="I903" s="93" t="n">
        <v>0</v>
      </c>
      <c r="J903" s="93" t="n">
        <v>-915698000</v>
      </c>
      <c r="L903" s="9">
        <f>IF($A903="","",VALUE($A903&amp;"")*12+VALUE($B903&amp;""))</f>
        <v/>
      </c>
      <c r="M903" s="94">
        <f>IF($A903="",0,$H903*설정!$C$23)</f>
        <v/>
      </c>
      <c r="N903" s="94">
        <f>IF($A903="",0,$I903*설정!$C$23)</f>
        <v/>
      </c>
      <c r="O903" s="94">
        <f>IF($A903="",0,$J903*설정!$C$23)</f>
        <v/>
      </c>
      <c r="P903" s="64">
        <f>IF($A903="","",IFERROR(INDEX(입력옵션!$C$58:$C$68,MATCH($F903&amp;"",입력옵션!$E$58:$E$68,0)),IFERROR(INDEX(입력옵션!$C$58:$C$68,MATCH($G903&amp;"",입력옵션!$F$58:$F$68,0)),$F903&amp;"")))</f>
        <v/>
      </c>
    </row>
    <row r="904">
      <c r="A904" s="92" t="n">
        <v>2026</v>
      </c>
      <c r="B904" s="92" t="n">
        <v>9</v>
      </c>
      <c r="C904" s="92" t="inlineStr">
        <is>
          <t>PF02</t>
        </is>
      </c>
      <c r="D904" s="92" t="inlineStr">
        <is>
          <t>저축성</t>
        </is>
      </c>
      <c r="E904" s="92" t="inlineStr">
        <is>
          <t>GMM</t>
        </is>
      </c>
      <c r="F904" s="92" t="inlineStr">
        <is>
          <t>F52</t>
        </is>
      </c>
      <c r="G904" s="92" t="inlineStr">
        <is>
          <t>RA 해제</t>
        </is>
      </c>
      <c r="H904" s="93" t="n">
        <v>0</v>
      </c>
      <c r="I904" s="93" t="n">
        <v>-184903000</v>
      </c>
      <c r="J904" s="93" t="n">
        <v>0</v>
      </c>
      <c r="L904" s="9">
        <f>IF($A904="","",VALUE($A904&amp;"")*12+VALUE($B904&amp;""))</f>
        <v/>
      </c>
      <c r="M904" s="94">
        <f>IF($A904="",0,$H904*설정!$C$23)</f>
        <v/>
      </c>
      <c r="N904" s="94">
        <f>IF($A904="",0,$I904*설정!$C$23)</f>
        <v/>
      </c>
      <c r="O904" s="94">
        <f>IF($A904="",0,$J904*설정!$C$23)</f>
        <v/>
      </c>
      <c r="P904" s="64">
        <f>IF($A904="","",IFERROR(INDEX(입력옵션!$C$58:$C$68,MATCH($F904&amp;"",입력옵션!$E$58:$E$68,0)),IFERROR(INDEX(입력옵션!$C$58:$C$68,MATCH($G904&amp;"",입력옵션!$F$58:$F$68,0)),$F904&amp;"")))</f>
        <v/>
      </c>
    </row>
    <row r="905">
      <c r="A905" s="92" t="n">
        <v>2026</v>
      </c>
      <c r="B905" s="92" t="n">
        <v>9</v>
      </c>
      <c r="C905" s="92" t="inlineStr">
        <is>
          <t>PF02</t>
        </is>
      </c>
      <c r="D905" s="92" t="inlineStr">
        <is>
          <t>저축성</t>
        </is>
      </c>
      <c r="E905" s="92" t="inlineStr">
        <is>
          <t>GMM</t>
        </is>
      </c>
      <c r="F905" s="92" t="inlineStr">
        <is>
          <t>F60</t>
        </is>
      </c>
      <c r="G905" s="92" t="inlineStr">
        <is>
          <t>현금흐름 및 기타</t>
        </is>
      </c>
      <c r="H905" s="93" t="n">
        <v>3472562000</v>
      </c>
      <c r="I905" s="93" t="n">
        <v>-216734000</v>
      </c>
      <c r="J905" s="93" t="n">
        <v>0</v>
      </c>
      <c r="L905" s="9">
        <f>IF($A905="","",VALUE($A905&amp;"")*12+VALUE($B905&amp;""))</f>
        <v/>
      </c>
      <c r="M905" s="94">
        <f>IF($A905="",0,$H905*설정!$C$23)</f>
        <v/>
      </c>
      <c r="N905" s="94">
        <f>IF($A905="",0,$I905*설정!$C$23)</f>
        <v/>
      </c>
      <c r="O905" s="94">
        <f>IF($A905="",0,$J905*설정!$C$23)</f>
        <v/>
      </c>
      <c r="P905" s="64">
        <f>IF($A905="","",IFERROR(INDEX(입력옵션!$C$58:$C$68,MATCH($F905&amp;"",입력옵션!$E$58:$E$68,0)),IFERROR(INDEX(입력옵션!$C$58:$C$68,MATCH($G905&amp;"",입력옵션!$F$58:$F$68,0)),$F905&amp;"")))</f>
        <v/>
      </c>
    </row>
    <row r="906">
      <c r="A906" s="92" t="n">
        <v>2026</v>
      </c>
      <c r="B906" s="92" t="n">
        <v>9</v>
      </c>
      <c r="C906" s="92" t="inlineStr">
        <is>
          <t>PF02</t>
        </is>
      </c>
      <c r="D906" s="92" t="inlineStr">
        <is>
          <t>저축성</t>
        </is>
      </c>
      <c r="E906" s="92" t="inlineStr">
        <is>
          <t>GMM</t>
        </is>
      </c>
      <c r="F906" s="92" t="inlineStr">
        <is>
          <t>F99</t>
        </is>
      </c>
      <c r="G906" s="92" t="inlineStr">
        <is>
          <t>기말잔액</t>
        </is>
      </c>
      <c r="H906" s="93" t="n">
        <v>723008847000</v>
      </c>
      <c r="I906" s="93" t="n">
        <v>30731400000</v>
      </c>
      <c r="J906" s="93" t="n">
        <v>101912996000</v>
      </c>
      <c r="L906" s="9">
        <f>IF($A906="","",VALUE($A906&amp;"")*12+VALUE($B906&amp;""))</f>
        <v/>
      </c>
      <c r="M906" s="94">
        <f>IF($A906="",0,$H906*설정!$C$23)</f>
        <v/>
      </c>
      <c r="N906" s="94">
        <f>IF($A906="",0,$I906*설정!$C$23)</f>
        <v/>
      </c>
      <c r="O906" s="94">
        <f>IF($A906="",0,$J906*설정!$C$23)</f>
        <v/>
      </c>
      <c r="P906" s="64">
        <f>IF($A906="","",IFERROR(INDEX(입력옵션!$C$58:$C$68,MATCH($F906&amp;"",입력옵션!$E$58:$E$68,0)),IFERROR(INDEX(입력옵션!$C$58:$C$68,MATCH($G906&amp;"",입력옵션!$F$58:$F$68,0)),$F906&amp;"")))</f>
        <v/>
      </c>
    </row>
    <row r="907">
      <c r="A907" s="92" t="n">
        <v>2026</v>
      </c>
      <c r="B907" s="92" t="n">
        <v>9</v>
      </c>
      <c r="C907" s="92" t="inlineStr">
        <is>
          <t>PF03</t>
        </is>
      </c>
      <c r="D907" s="92" t="inlineStr">
        <is>
          <t>단체(단기)</t>
        </is>
      </c>
      <c r="E907" s="92" t="inlineStr">
        <is>
          <t>PAA</t>
        </is>
      </c>
      <c r="F907" s="92" t="inlineStr">
        <is>
          <t>F00</t>
        </is>
      </c>
      <c r="G907" s="92" t="inlineStr">
        <is>
          <t>기초잔액</t>
        </is>
      </c>
      <c r="H907" s="93" t="n">
        <v>43576380000</v>
      </c>
      <c r="I907" s="93" t="n">
        <v>2465368000</v>
      </c>
      <c r="J907" s="93" t="n">
        <v>0</v>
      </c>
      <c r="L907" s="9">
        <f>IF($A907="","",VALUE($A907&amp;"")*12+VALUE($B907&amp;""))</f>
        <v/>
      </c>
      <c r="M907" s="94">
        <f>IF($A907="",0,$H907*설정!$C$23)</f>
        <v/>
      </c>
      <c r="N907" s="94">
        <f>IF($A907="",0,$I907*설정!$C$23)</f>
        <v/>
      </c>
      <c r="O907" s="94">
        <f>IF($A907="",0,$J907*설정!$C$23)</f>
        <v/>
      </c>
      <c r="P907" s="64">
        <f>IF($A907="","",IFERROR(INDEX(입력옵션!$C$58:$C$68,MATCH($F907&amp;"",입력옵션!$E$58:$E$68,0)),IFERROR(INDEX(입력옵션!$C$58:$C$68,MATCH($G907&amp;"",입력옵션!$F$58:$F$68,0)),$F907&amp;"")))</f>
        <v/>
      </c>
    </row>
    <row r="908">
      <c r="A908" s="92" t="n">
        <v>2026</v>
      </c>
      <c r="B908" s="92" t="n">
        <v>9</v>
      </c>
      <c r="C908" s="92" t="inlineStr">
        <is>
          <t>PF03</t>
        </is>
      </c>
      <c r="D908" s="92" t="inlineStr">
        <is>
          <t>단체(단기)</t>
        </is>
      </c>
      <c r="E908" s="92" t="inlineStr">
        <is>
          <t>PAA</t>
        </is>
      </c>
      <c r="F908" s="92" t="inlineStr">
        <is>
          <t>F10</t>
        </is>
      </c>
      <c r="G908" s="92" t="inlineStr">
        <is>
          <t>신계약 효과</t>
        </is>
      </c>
      <c r="H908" s="93" t="n">
        <v>0</v>
      </c>
      <c r="I908" s="93" t="n">
        <v>0</v>
      </c>
      <c r="J908" s="93" t="n">
        <v>0</v>
      </c>
      <c r="L908" s="9">
        <f>IF($A908="","",VALUE($A908&amp;"")*12+VALUE($B908&amp;""))</f>
        <v/>
      </c>
      <c r="M908" s="94">
        <f>IF($A908="",0,$H908*설정!$C$23)</f>
        <v/>
      </c>
      <c r="N908" s="94">
        <f>IF($A908="",0,$I908*설정!$C$23)</f>
        <v/>
      </c>
      <c r="O908" s="94">
        <f>IF($A908="",0,$J908*설정!$C$23)</f>
        <v/>
      </c>
      <c r="P908" s="64">
        <f>IF($A908="","",IFERROR(INDEX(입력옵션!$C$58:$C$68,MATCH($F908&amp;"",입력옵션!$E$58:$E$68,0)),IFERROR(INDEX(입력옵션!$C$58:$C$68,MATCH($G908&amp;"",입력옵션!$F$58:$F$68,0)),$F908&amp;"")))</f>
        <v/>
      </c>
    </row>
    <row r="909">
      <c r="A909" s="92" t="n">
        <v>2026</v>
      </c>
      <c r="B909" s="92" t="n">
        <v>9</v>
      </c>
      <c r="C909" s="92" t="inlineStr">
        <is>
          <t>PF03</t>
        </is>
      </c>
      <c r="D909" s="92" t="inlineStr">
        <is>
          <t>단체(단기)</t>
        </is>
      </c>
      <c r="E909" s="92" t="inlineStr">
        <is>
          <t>PAA</t>
        </is>
      </c>
      <c r="F909" s="92" t="inlineStr">
        <is>
          <t>F21</t>
        </is>
      </c>
      <c r="G909" s="92" t="inlineStr">
        <is>
          <t>가정변경-사업비</t>
        </is>
      </c>
      <c r="H909" s="93" t="n">
        <v>0</v>
      </c>
      <c r="I909" s="93" t="n">
        <v>0</v>
      </c>
      <c r="J909" s="93" t="n">
        <v>0</v>
      </c>
      <c r="L909" s="9">
        <f>IF($A909="","",VALUE($A909&amp;"")*12+VALUE($B909&amp;""))</f>
        <v/>
      </c>
      <c r="M909" s="94">
        <f>IF($A909="",0,$H909*설정!$C$23)</f>
        <v/>
      </c>
      <c r="N909" s="94">
        <f>IF($A909="",0,$I909*설정!$C$23)</f>
        <v/>
      </c>
      <c r="O909" s="94">
        <f>IF($A909="",0,$J909*설정!$C$23)</f>
        <v/>
      </c>
      <c r="P909" s="64">
        <f>IF($A909="","",IFERROR(INDEX(입력옵션!$C$58:$C$68,MATCH($F909&amp;"",입력옵션!$E$58:$E$68,0)),IFERROR(INDEX(입력옵션!$C$58:$C$68,MATCH($G909&amp;"",입력옵션!$F$58:$F$68,0)),$F909&amp;"")))</f>
        <v/>
      </c>
    </row>
    <row r="910">
      <c r="A910" s="92" t="n">
        <v>2026</v>
      </c>
      <c r="B910" s="92" t="n">
        <v>9</v>
      </c>
      <c r="C910" s="92" t="inlineStr">
        <is>
          <t>PF03</t>
        </is>
      </c>
      <c r="D910" s="92" t="inlineStr">
        <is>
          <t>단체(단기)</t>
        </is>
      </c>
      <c r="E910" s="92" t="inlineStr">
        <is>
          <t>PAA</t>
        </is>
      </c>
      <c r="F910" s="92" t="inlineStr">
        <is>
          <t>F22</t>
        </is>
      </c>
      <c r="G910" s="92" t="inlineStr">
        <is>
          <t>가정변경-기타</t>
        </is>
      </c>
      <c r="H910" s="93" t="n">
        <v>0</v>
      </c>
      <c r="I910" s="93" t="n">
        <v>0</v>
      </c>
      <c r="J910" s="93" t="n">
        <v>0</v>
      </c>
      <c r="L910" s="9">
        <f>IF($A910="","",VALUE($A910&amp;"")*12+VALUE($B910&amp;""))</f>
        <v/>
      </c>
      <c r="M910" s="94">
        <f>IF($A910="",0,$H910*설정!$C$23)</f>
        <v/>
      </c>
      <c r="N910" s="94">
        <f>IF($A910="",0,$I910*설정!$C$23)</f>
        <v/>
      </c>
      <c r="O910" s="94">
        <f>IF($A910="",0,$J910*설정!$C$23)</f>
        <v/>
      </c>
      <c r="P910" s="64">
        <f>IF($A910="","",IFERROR(INDEX(입력옵션!$C$58:$C$68,MATCH($F910&amp;"",입력옵션!$E$58:$E$68,0)),IFERROR(INDEX(입력옵션!$C$58:$C$68,MATCH($G910&amp;"",입력옵션!$F$58:$F$68,0)),$F910&amp;"")))</f>
        <v/>
      </c>
    </row>
    <row r="911">
      <c r="A911" s="92" t="n">
        <v>2026</v>
      </c>
      <c r="B911" s="92" t="n">
        <v>9</v>
      </c>
      <c r="C911" s="92" t="inlineStr">
        <is>
          <t>PF03</t>
        </is>
      </c>
      <c r="D911" s="92" t="inlineStr">
        <is>
          <t>단체(단기)</t>
        </is>
      </c>
      <c r="E911" s="92" t="inlineStr">
        <is>
          <t>PAA</t>
        </is>
      </c>
      <c r="F911" s="92" t="inlineStr">
        <is>
          <t>F31</t>
        </is>
      </c>
      <c r="G911" s="92" t="inlineStr">
        <is>
          <t>경험조정-취득현금흐름</t>
        </is>
      </c>
      <c r="H911" s="93" t="n">
        <v>0</v>
      </c>
      <c r="I911" s="93" t="n">
        <v>0</v>
      </c>
      <c r="J911" s="93" t="n">
        <v>0</v>
      </c>
      <c r="L911" s="9">
        <f>IF($A911="","",VALUE($A911&amp;"")*12+VALUE($B911&amp;""))</f>
        <v/>
      </c>
      <c r="M911" s="94">
        <f>IF($A911="",0,$H911*설정!$C$23)</f>
        <v/>
      </c>
      <c r="N911" s="94">
        <f>IF($A911="",0,$I911*설정!$C$23)</f>
        <v/>
      </c>
      <c r="O911" s="94">
        <f>IF($A911="",0,$J911*설정!$C$23)</f>
        <v/>
      </c>
      <c r="P911" s="64">
        <f>IF($A911="","",IFERROR(INDEX(입력옵션!$C$58:$C$68,MATCH($F911&amp;"",입력옵션!$E$58:$E$68,0)),IFERROR(INDEX(입력옵션!$C$58:$C$68,MATCH($G911&amp;"",입력옵션!$F$58:$F$68,0)),$F911&amp;"")))</f>
        <v/>
      </c>
    </row>
    <row r="912">
      <c r="A912" s="92" t="n">
        <v>2026</v>
      </c>
      <c r="B912" s="92" t="n">
        <v>9</v>
      </c>
      <c r="C912" s="92" t="inlineStr">
        <is>
          <t>PF03</t>
        </is>
      </c>
      <c r="D912" s="92" t="inlineStr">
        <is>
          <t>단체(단기)</t>
        </is>
      </c>
      <c r="E912" s="92" t="inlineStr">
        <is>
          <t>PAA</t>
        </is>
      </c>
      <c r="F912" s="92" t="inlineStr">
        <is>
          <t>F32</t>
        </is>
      </c>
      <c r="G912" s="92" t="inlineStr">
        <is>
          <t>경험조정-보험료 등</t>
        </is>
      </c>
      <c r="H912" s="93" t="n">
        <v>0</v>
      </c>
      <c r="I912" s="93" t="n">
        <v>0</v>
      </c>
      <c r="J912" s="93" t="n">
        <v>0</v>
      </c>
      <c r="L912" s="9">
        <f>IF($A912="","",VALUE($A912&amp;"")*12+VALUE($B912&amp;""))</f>
        <v/>
      </c>
      <c r="M912" s="94">
        <f>IF($A912="",0,$H912*설정!$C$23)</f>
        <v/>
      </c>
      <c r="N912" s="94">
        <f>IF($A912="",0,$I912*설정!$C$23)</f>
        <v/>
      </c>
      <c r="O912" s="94">
        <f>IF($A912="",0,$J912*설정!$C$23)</f>
        <v/>
      </c>
      <c r="P912" s="64">
        <f>IF($A912="","",IFERROR(INDEX(입력옵션!$C$58:$C$68,MATCH($F912&amp;"",입력옵션!$E$58:$E$68,0)),IFERROR(INDEX(입력옵션!$C$58:$C$68,MATCH($G912&amp;"",입력옵션!$F$58:$F$68,0)),$F912&amp;"")))</f>
        <v/>
      </c>
    </row>
    <row r="913">
      <c r="A913" s="92" t="n">
        <v>2026</v>
      </c>
      <c r="B913" s="92" t="n">
        <v>9</v>
      </c>
      <c r="C913" s="92" t="inlineStr">
        <is>
          <t>PF03</t>
        </is>
      </c>
      <c r="D913" s="92" t="inlineStr">
        <is>
          <t>단체(단기)</t>
        </is>
      </c>
      <c r="E913" s="92" t="inlineStr">
        <is>
          <t>PAA</t>
        </is>
      </c>
      <c r="F913" s="92" t="inlineStr">
        <is>
          <t>F40</t>
        </is>
      </c>
      <c r="G913" s="92" t="inlineStr">
        <is>
          <t>보험금융비용(이자부리)</t>
        </is>
      </c>
      <c r="H913" s="93" t="n">
        <v>0</v>
      </c>
      <c r="I913" s="93" t="n">
        <v>0</v>
      </c>
      <c r="J913" s="93" t="n">
        <v>0</v>
      </c>
      <c r="L913" s="9">
        <f>IF($A913="","",VALUE($A913&amp;"")*12+VALUE($B913&amp;""))</f>
        <v/>
      </c>
      <c r="M913" s="94">
        <f>IF($A913="",0,$H913*설정!$C$23)</f>
        <v/>
      </c>
      <c r="N913" s="94">
        <f>IF($A913="",0,$I913*설정!$C$23)</f>
        <v/>
      </c>
      <c r="O913" s="94">
        <f>IF($A913="",0,$J913*설정!$C$23)</f>
        <v/>
      </c>
      <c r="P913" s="64">
        <f>IF($A913="","",IFERROR(INDEX(입력옵션!$C$58:$C$68,MATCH($F913&amp;"",입력옵션!$E$58:$E$68,0)),IFERROR(INDEX(입력옵션!$C$58:$C$68,MATCH($G913&amp;"",입력옵션!$F$58:$F$68,0)),$F913&amp;"")))</f>
        <v/>
      </c>
    </row>
    <row r="914">
      <c r="A914" s="92" t="n">
        <v>2026</v>
      </c>
      <c r="B914" s="92" t="n">
        <v>9</v>
      </c>
      <c r="C914" s="92" t="inlineStr">
        <is>
          <t>PF03</t>
        </is>
      </c>
      <c r="D914" s="92" t="inlineStr">
        <is>
          <t>단체(단기)</t>
        </is>
      </c>
      <c r="E914" s="92" t="inlineStr">
        <is>
          <t>PAA</t>
        </is>
      </c>
      <c r="F914" s="92" t="inlineStr">
        <is>
          <t>F51</t>
        </is>
      </c>
      <c r="G914" s="92" t="inlineStr">
        <is>
          <t>CSM 상각</t>
        </is>
      </c>
      <c r="H914" s="93" t="n">
        <v>0</v>
      </c>
      <c r="I914" s="93" t="n">
        <v>0</v>
      </c>
      <c r="J914" s="93" t="n">
        <v>0</v>
      </c>
      <c r="L914" s="9">
        <f>IF($A914="","",VALUE($A914&amp;"")*12+VALUE($B914&amp;""))</f>
        <v/>
      </c>
      <c r="M914" s="94">
        <f>IF($A914="",0,$H914*설정!$C$23)</f>
        <v/>
      </c>
      <c r="N914" s="94">
        <f>IF($A914="",0,$I914*설정!$C$23)</f>
        <v/>
      </c>
      <c r="O914" s="94">
        <f>IF($A914="",0,$J914*설정!$C$23)</f>
        <v/>
      </c>
      <c r="P914" s="64">
        <f>IF($A914="","",IFERROR(INDEX(입력옵션!$C$58:$C$68,MATCH($F914&amp;"",입력옵션!$E$58:$E$68,0)),IFERROR(INDEX(입력옵션!$C$58:$C$68,MATCH($G914&amp;"",입력옵션!$F$58:$F$68,0)),$F914&amp;"")))</f>
        <v/>
      </c>
    </row>
    <row r="915">
      <c r="A915" s="92" t="n">
        <v>2026</v>
      </c>
      <c r="B915" s="92" t="n">
        <v>9</v>
      </c>
      <c r="C915" s="92" t="inlineStr">
        <is>
          <t>PF03</t>
        </is>
      </c>
      <c r="D915" s="92" t="inlineStr">
        <is>
          <t>단체(단기)</t>
        </is>
      </c>
      <c r="E915" s="92" t="inlineStr">
        <is>
          <t>PAA</t>
        </is>
      </c>
      <c r="F915" s="92" t="inlineStr">
        <is>
          <t>F52</t>
        </is>
      </c>
      <c r="G915" s="92" t="inlineStr">
        <is>
          <t>RA 해제</t>
        </is>
      </c>
      <c r="H915" s="93" t="n">
        <v>0</v>
      </c>
      <c r="I915" s="93" t="n">
        <v>-14792000</v>
      </c>
      <c r="J915" s="93" t="n">
        <v>0</v>
      </c>
      <c r="L915" s="9">
        <f>IF($A915="","",VALUE($A915&amp;"")*12+VALUE($B915&amp;""))</f>
        <v/>
      </c>
      <c r="M915" s="94">
        <f>IF($A915="",0,$H915*설정!$C$23)</f>
        <v/>
      </c>
      <c r="N915" s="94">
        <f>IF($A915="",0,$I915*설정!$C$23)</f>
        <v/>
      </c>
      <c r="O915" s="94">
        <f>IF($A915="",0,$J915*설정!$C$23)</f>
        <v/>
      </c>
      <c r="P915" s="64">
        <f>IF($A915="","",IFERROR(INDEX(입력옵션!$C$58:$C$68,MATCH($F915&amp;"",입력옵션!$E$58:$E$68,0)),IFERROR(INDEX(입력옵션!$C$58:$C$68,MATCH($G915&amp;"",입력옵션!$F$58:$F$68,0)),$F915&amp;"")))</f>
        <v/>
      </c>
    </row>
    <row r="916">
      <c r="A916" s="92" t="n">
        <v>2026</v>
      </c>
      <c r="B916" s="92" t="n">
        <v>9</v>
      </c>
      <c r="C916" s="92" t="inlineStr">
        <is>
          <t>PF03</t>
        </is>
      </c>
      <c r="D916" s="92" t="inlineStr">
        <is>
          <t>단체(단기)</t>
        </is>
      </c>
      <c r="E916" s="92" t="inlineStr">
        <is>
          <t>PAA</t>
        </is>
      </c>
      <c r="F916" s="92" t="inlineStr">
        <is>
          <t>F60</t>
        </is>
      </c>
      <c r="G916" s="92" t="inlineStr">
        <is>
          <t>현금흐름 및 기타</t>
        </is>
      </c>
      <c r="H916" s="93" t="n">
        <v>242338000</v>
      </c>
      <c r="I916" s="93" t="n">
        <v>7936000</v>
      </c>
      <c r="J916" s="93" t="n">
        <v>0</v>
      </c>
      <c r="L916" s="9">
        <f>IF($A916="","",VALUE($A916&amp;"")*12+VALUE($B916&amp;""))</f>
        <v/>
      </c>
      <c r="M916" s="94">
        <f>IF($A916="",0,$H916*설정!$C$23)</f>
        <v/>
      </c>
      <c r="N916" s="94">
        <f>IF($A916="",0,$I916*설정!$C$23)</f>
        <v/>
      </c>
      <c r="O916" s="94">
        <f>IF($A916="",0,$J916*설정!$C$23)</f>
        <v/>
      </c>
      <c r="P916" s="64">
        <f>IF($A916="","",IFERROR(INDEX(입력옵션!$C$58:$C$68,MATCH($F916&amp;"",입력옵션!$E$58:$E$68,0)),IFERROR(INDEX(입력옵션!$C$58:$C$68,MATCH($G916&amp;"",입력옵션!$F$58:$F$68,0)),$F916&amp;"")))</f>
        <v/>
      </c>
    </row>
    <row r="917">
      <c r="A917" s="92" t="n">
        <v>2026</v>
      </c>
      <c r="B917" s="92" t="n">
        <v>9</v>
      </c>
      <c r="C917" s="92" t="inlineStr">
        <is>
          <t>PF03</t>
        </is>
      </c>
      <c r="D917" s="92" t="inlineStr">
        <is>
          <t>단체(단기)</t>
        </is>
      </c>
      <c r="E917" s="92" t="inlineStr">
        <is>
          <t>PAA</t>
        </is>
      </c>
      <c r="F917" s="92" t="inlineStr">
        <is>
          <t>F99</t>
        </is>
      </c>
      <c r="G917" s="92" t="inlineStr">
        <is>
          <t>기말잔액</t>
        </is>
      </c>
      <c r="H917" s="93" t="n">
        <v>43818718000</v>
      </c>
      <c r="I917" s="93" t="n">
        <v>2458512000</v>
      </c>
      <c r="J917" s="93" t="n">
        <v>0</v>
      </c>
      <c r="L917" s="9">
        <f>IF($A917="","",VALUE($A917&amp;"")*12+VALUE($B917&amp;""))</f>
        <v/>
      </c>
      <c r="M917" s="94">
        <f>IF($A917="",0,$H917*설정!$C$23)</f>
        <v/>
      </c>
      <c r="N917" s="94">
        <f>IF($A917="",0,$I917*설정!$C$23)</f>
        <v/>
      </c>
      <c r="O917" s="94">
        <f>IF($A917="",0,$J917*설정!$C$23)</f>
        <v/>
      </c>
      <c r="P917" s="64">
        <f>IF($A917="","",IFERROR(INDEX(입력옵션!$C$58:$C$68,MATCH($F917&amp;"",입력옵션!$E$58:$E$68,0)),IFERROR(INDEX(입력옵션!$C$58:$C$68,MATCH($G917&amp;"",입력옵션!$F$58:$F$68,0)),$F917&amp;"")))</f>
        <v/>
      </c>
    </row>
    <row r="918">
      <c r="A918" s="92" t="n">
        <v>2026</v>
      </c>
      <c r="B918" s="92" t="n">
        <v>9</v>
      </c>
      <c r="C918" s="92" t="inlineStr">
        <is>
          <t>PF04</t>
        </is>
      </c>
      <c r="D918" s="92" t="inlineStr">
        <is>
          <t>변액</t>
        </is>
      </c>
      <c r="E918" s="92" t="inlineStr">
        <is>
          <t>VFA</t>
        </is>
      </c>
      <c r="F918" s="92" t="inlineStr">
        <is>
          <t>F00</t>
        </is>
      </c>
      <c r="G918" s="92" t="inlineStr">
        <is>
          <t>기초잔액</t>
        </is>
      </c>
      <c r="H918" s="93" t="n">
        <v>326822850000</v>
      </c>
      <c r="I918" s="93" t="n">
        <v>16024892000</v>
      </c>
      <c r="J918" s="93" t="n">
        <v>52871136000</v>
      </c>
      <c r="L918" s="9">
        <f>IF($A918="","",VALUE($A918&amp;"")*12+VALUE($B918&amp;""))</f>
        <v/>
      </c>
      <c r="M918" s="94">
        <f>IF($A918="",0,$H918*설정!$C$23)</f>
        <v/>
      </c>
      <c r="N918" s="94">
        <f>IF($A918="",0,$I918*설정!$C$23)</f>
        <v/>
      </c>
      <c r="O918" s="94">
        <f>IF($A918="",0,$J918*설정!$C$23)</f>
        <v/>
      </c>
      <c r="P918" s="64">
        <f>IF($A918="","",IFERROR(INDEX(입력옵션!$C$58:$C$68,MATCH($F918&amp;"",입력옵션!$E$58:$E$68,0)),IFERROR(INDEX(입력옵션!$C$58:$C$68,MATCH($G918&amp;"",입력옵션!$F$58:$F$68,0)),$F918&amp;"")))</f>
        <v/>
      </c>
    </row>
    <row r="919">
      <c r="A919" s="92" t="n">
        <v>2026</v>
      </c>
      <c r="B919" s="92" t="n">
        <v>9</v>
      </c>
      <c r="C919" s="92" t="inlineStr">
        <is>
          <t>PF04</t>
        </is>
      </c>
      <c r="D919" s="92" t="inlineStr">
        <is>
          <t>변액</t>
        </is>
      </c>
      <c r="E919" s="92" t="inlineStr">
        <is>
          <t>VFA</t>
        </is>
      </c>
      <c r="F919" s="92" t="inlineStr">
        <is>
          <t>F10</t>
        </is>
      </c>
      <c r="G919" s="92" t="inlineStr">
        <is>
          <t>신계약 효과</t>
        </is>
      </c>
      <c r="H919" s="93" t="n">
        <v>-661186000</v>
      </c>
      <c r="I919" s="93" t="n">
        <v>132237000</v>
      </c>
      <c r="J919" s="93" t="n">
        <v>528949000</v>
      </c>
      <c r="L919" s="9">
        <f>IF($A919="","",VALUE($A919&amp;"")*12+VALUE($B919&amp;""))</f>
        <v/>
      </c>
      <c r="M919" s="94">
        <f>IF($A919="",0,$H919*설정!$C$23)</f>
        <v/>
      </c>
      <c r="N919" s="94">
        <f>IF($A919="",0,$I919*설정!$C$23)</f>
        <v/>
      </c>
      <c r="O919" s="94">
        <f>IF($A919="",0,$J919*설정!$C$23)</f>
        <v/>
      </c>
      <c r="P919" s="64">
        <f>IF($A919="","",IFERROR(INDEX(입력옵션!$C$58:$C$68,MATCH($F919&amp;"",입력옵션!$E$58:$E$68,0)),IFERROR(INDEX(입력옵션!$C$58:$C$68,MATCH($G919&amp;"",입력옵션!$F$58:$F$68,0)),$F919&amp;"")))</f>
        <v/>
      </c>
    </row>
    <row r="920">
      <c r="A920" s="92" t="n">
        <v>2026</v>
      </c>
      <c r="B920" s="92" t="n">
        <v>9</v>
      </c>
      <c r="C920" s="92" t="inlineStr">
        <is>
          <t>PF04</t>
        </is>
      </c>
      <c r="D920" s="92" t="inlineStr">
        <is>
          <t>변액</t>
        </is>
      </c>
      <c r="E920" s="92" t="inlineStr">
        <is>
          <t>VFA</t>
        </is>
      </c>
      <c r="F920" s="92" t="inlineStr">
        <is>
          <t>F21</t>
        </is>
      </c>
      <c r="G920" s="92" t="inlineStr">
        <is>
          <t>가정변경-사업비</t>
        </is>
      </c>
      <c r="H920" s="93" t="n">
        <v>0</v>
      </c>
      <c r="I920" s="93" t="n">
        <v>0</v>
      </c>
      <c r="J920" s="93" t="n">
        <v>0</v>
      </c>
      <c r="L920" s="9">
        <f>IF($A920="","",VALUE($A920&amp;"")*12+VALUE($B920&amp;""))</f>
        <v/>
      </c>
      <c r="M920" s="94">
        <f>IF($A920="",0,$H920*설정!$C$23)</f>
        <v/>
      </c>
      <c r="N920" s="94">
        <f>IF($A920="",0,$I920*설정!$C$23)</f>
        <v/>
      </c>
      <c r="O920" s="94">
        <f>IF($A920="",0,$J920*설정!$C$23)</f>
        <v/>
      </c>
      <c r="P920" s="64">
        <f>IF($A920="","",IFERROR(INDEX(입력옵션!$C$58:$C$68,MATCH($F920&amp;"",입력옵션!$E$58:$E$68,0)),IFERROR(INDEX(입력옵션!$C$58:$C$68,MATCH($G920&amp;"",입력옵션!$F$58:$F$68,0)),$F920&amp;"")))</f>
        <v/>
      </c>
    </row>
    <row r="921">
      <c r="A921" s="92" t="n">
        <v>2026</v>
      </c>
      <c r="B921" s="92" t="n">
        <v>9</v>
      </c>
      <c r="C921" s="92" t="inlineStr">
        <is>
          <t>PF04</t>
        </is>
      </c>
      <c r="D921" s="92" t="inlineStr">
        <is>
          <t>변액</t>
        </is>
      </c>
      <c r="E921" s="92" t="inlineStr">
        <is>
          <t>VFA</t>
        </is>
      </c>
      <c r="F921" s="92" t="inlineStr">
        <is>
          <t>F22</t>
        </is>
      </c>
      <c r="G921" s="92" t="inlineStr">
        <is>
          <t>가정변경-기타</t>
        </is>
      </c>
      <c r="H921" s="93" t="n">
        <v>0</v>
      </c>
      <c r="I921" s="93" t="n">
        <v>0</v>
      </c>
      <c r="J921" s="93" t="n">
        <v>0</v>
      </c>
      <c r="L921" s="9">
        <f>IF($A921="","",VALUE($A921&amp;"")*12+VALUE($B921&amp;""))</f>
        <v/>
      </c>
      <c r="M921" s="94">
        <f>IF($A921="",0,$H921*설정!$C$23)</f>
        <v/>
      </c>
      <c r="N921" s="94">
        <f>IF($A921="",0,$I921*설정!$C$23)</f>
        <v/>
      </c>
      <c r="O921" s="94">
        <f>IF($A921="",0,$J921*설정!$C$23)</f>
        <v/>
      </c>
      <c r="P921" s="64">
        <f>IF($A921="","",IFERROR(INDEX(입력옵션!$C$58:$C$68,MATCH($F921&amp;"",입력옵션!$E$58:$E$68,0)),IFERROR(INDEX(입력옵션!$C$58:$C$68,MATCH($G921&amp;"",입력옵션!$F$58:$F$68,0)),$F921&amp;"")))</f>
        <v/>
      </c>
    </row>
    <row r="922">
      <c r="A922" s="92" t="n">
        <v>2026</v>
      </c>
      <c r="B922" s="92" t="n">
        <v>9</v>
      </c>
      <c r="C922" s="92" t="inlineStr">
        <is>
          <t>PF04</t>
        </is>
      </c>
      <c r="D922" s="92" t="inlineStr">
        <is>
          <t>변액</t>
        </is>
      </c>
      <c r="E922" s="92" t="inlineStr">
        <is>
          <t>VFA</t>
        </is>
      </c>
      <c r="F922" s="92" t="inlineStr">
        <is>
          <t>F31</t>
        </is>
      </c>
      <c r="G922" s="92" t="inlineStr">
        <is>
          <t>경험조정-취득현금흐름</t>
        </is>
      </c>
      <c r="H922" s="93" t="n">
        <v>0</v>
      </c>
      <c r="I922" s="93" t="n">
        <v>0</v>
      </c>
      <c r="J922" s="93" t="n">
        <v>-63161000</v>
      </c>
      <c r="L922" s="9">
        <f>IF($A922="","",VALUE($A922&amp;"")*12+VALUE($B922&amp;""))</f>
        <v/>
      </c>
      <c r="M922" s="94">
        <f>IF($A922="",0,$H922*설정!$C$23)</f>
        <v/>
      </c>
      <c r="N922" s="94">
        <f>IF($A922="",0,$I922*설정!$C$23)</f>
        <v/>
      </c>
      <c r="O922" s="94">
        <f>IF($A922="",0,$J922*설정!$C$23)</f>
        <v/>
      </c>
      <c r="P922" s="64">
        <f>IF($A922="","",IFERROR(INDEX(입력옵션!$C$58:$C$68,MATCH($F922&amp;"",입력옵션!$E$58:$E$68,0)),IFERROR(INDEX(입력옵션!$C$58:$C$68,MATCH($G922&amp;"",입력옵션!$F$58:$F$68,0)),$F922&amp;"")))</f>
        <v/>
      </c>
    </row>
    <row r="923">
      <c r="A923" s="92" t="n">
        <v>2026</v>
      </c>
      <c r="B923" s="92" t="n">
        <v>9</v>
      </c>
      <c r="C923" s="92" t="inlineStr">
        <is>
          <t>PF04</t>
        </is>
      </c>
      <c r="D923" s="92" t="inlineStr">
        <is>
          <t>변액</t>
        </is>
      </c>
      <c r="E923" s="92" t="inlineStr">
        <is>
          <t>VFA</t>
        </is>
      </c>
      <c r="F923" s="92" t="inlineStr">
        <is>
          <t>F32</t>
        </is>
      </c>
      <c r="G923" s="92" t="inlineStr">
        <is>
          <t>경험조정-보험료 등</t>
        </is>
      </c>
      <c r="H923" s="93" t="n">
        <v>0</v>
      </c>
      <c r="I923" s="93" t="n">
        <v>0</v>
      </c>
      <c r="J923" s="93" t="n">
        <v>-53490000</v>
      </c>
      <c r="L923" s="9">
        <f>IF($A923="","",VALUE($A923&amp;"")*12+VALUE($B923&amp;""))</f>
        <v/>
      </c>
      <c r="M923" s="94">
        <f>IF($A923="",0,$H923*설정!$C$23)</f>
        <v/>
      </c>
      <c r="N923" s="94">
        <f>IF($A923="",0,$I923*설정!$C$23)</f>
        <v/>
      </c>
      <c r="O923" s="94">
        <f>IF($A923="",0,$J923*설정!$C$23)</f>
        <v/>
      </c>
      <c r="P923" s="64">
        <f>IF($A923="","",IFERROR(INDEX(입력옵션!$C$58:$C$68,MATCH($F923&amp;"",입력옵션!$E$58:$E$68,0)),IFERROR(INDEX(입력옵션!$C$58:$C$68,MATCH($G923&amp;"",입력옵션!$F$58:$F$68,0)),$F923&amp;"")))</f>
        <v/>
      </c>
    </row>
    <row r="924">
      <c r="A924" s="92" t="n">
        <v>2026</v>
      </c>
      <c r="B924" s="92" t="n">
        <v>9</v>
      </c>
      <c r="C924" s="92" t="inlineStr">
        <is>
          <t>PF04</t>
        </is>
      </c>
      <c r="D924" s="92" t="inlineStr">
        <is>
          <t>변액</t>
        </is>
      </c>
      <c r="E924" s="92" t="inlineStr">
        <is>
          <t>VFA</t>
        </is>
      </c>
      <c r="F924" s="92" t="inlineStr">
        <is>
          <t>F40</t>
        </is>
      </c>
      <c r="G924" s="92" t="inlineStr">
        <is>
          <t>보험금융비용(이자부리)</t>
        </is>
      </c>
      <c r="H924" s="93" t="n">
        <v>817057000</v>
      </c>
      <c r="I924" s="93" t="n">
        <v>32050000</v>
      </c>
      <c r="J924" s="93" t="n">
        <v>132178000</v>
      </c>
      <c r="L924" s="9">
        <f>IF($A924="","",VALUE($A924&amp;"")*12+VALUE($B924&amp;""))</f>
        <v/>
      </c>
      <c r="M924" s="94">
        <f>IF($A924="",0,$H924*설정!$C$23)</f>
        <v/>
      </c>
      <c r="N924" s="94">
        <f>IF($A924="",0,$I924*설정!$C$23)</f>
        <v/>
      </c>
      <c r="O924" s="94">
        <f>IF($A924="",0,$J924*설정!$C$23)</f>
        <v/>
      </c>
      <c r="P924" s="64">
        <f>IF($A924="","",IFERROR(INDEX(입력옵션!$C$58:$C$68,MATCH($F924&amp;"",입력옵션!$E$58:$E$68,0)),IFERROR(INDEX(입력옵션!$C$58:$C$68,MATCH($G924&amp;"",입력옵션!$F$58:$F$68,0)),$F924&amp;"")))</f>
        <v/>
      </c>
    </row>
    <row r="925">
      <c r="A925" s="92" t="n">
        <v>2026</v>
      </c>
      <c r="B925" s="92" t="n">
        <v>9</v>
      </c>
      <c r="C925" s="92" t="inlineStr">
        <is>
          <t>PF04</t>
        </is>
      </c>
      <c r="D925" s="92" t="inlineStr">
        <is>
          <t>변액</t>
        </is>
      </c>
      <c r="E925" s="92" t="inlineStr">
        <is>
          <t>VFA</t>
        </is>
      </c>
      <c r="F925" s="92" t="inlineStr">
        <is>
          <t>F51</t>
        </is>
      </c>
      <c r="G925" s="92" t="inlineStr">
        <is>
          <t>CSM 상각</t>
        </is>
      </c>
      <c r="H925" s="93" t="n">
        <v>0</v>
      </c>
      <c r="I925" s="93" t="n">
        <v>0</v>
      </c>
      <c r="J925" s="93" t="n">
        <v>-475840000</v>
      </c>
      <c r="L925" s="9">
        <f>IF($A925="","",VALUE($A925&amp;"")*12+VALUE($B925&amp;""))</f>
        <v/>
      </c>
      <c r="M925" s="94">
        <f>IF($A925="",0,$H925*설정!$C$23)</f>
        <v/>
      </c>
      <c r="N925" s="94">
        <f>IF($A925="",0,$I925*설정!$C$23)</f>
        <v/>
      </c>
      <c r="O925" s="94">
        <f>IF($A925="",0,$J925*설정!$C$23)</f>
        <v/>
      </c>
      <c r="P925" s="64">
        <f>IF($A925="","",IFERROR(INDEX(입력옵션!$C$58:$C$68,MATCH($F925&amp;"",입력옵션!$E$58:$E$68,0)),IFERROR(INDEX(입력옵션!$C$58:$C$68,MATCH($G925&amp;"",입력옵션!$F$58:$F$68,0)),$F925&amp;"")))</f>
        <v/>
      </c>
    </row>
    <row r="926">
      <c r="A926" s="92" t="n">
        <v>2026</v>
      </c>
      <c r="B926" s="92" t="n">
        <v>9</v>
      </c>
      <c r="C926" s="92" t="inlineStr">
        <is>
          <t>PF04</t>
        </is>
      </c>
      <c r="D926" s="92" t="inlineStr">
        <is>
          <t>변액</t>
        </is>
      </c>
      <c r="E926" s="92" t="inlineStr">
        <is>
          <t>VFA</t>
        </is>
      </c>
      <c r="F926" s="92" t="inlineStr">
        <is>
          <t>F52</t>
        </is>
      </c>
      <c r="G926" s="92" t="inlineStr">
        <is>
          <t>RA 해제</t>
        </is>
      </c>
      <c r="H926" s="93" t="n">
        <v>0</v>
      </c>
      <c r="I926" s="93" t="n">
        <v>-96149000</v>
      </c>
      <c r="J926" s="93" t="n">
        <v>0</v>
      </c>
      <c r="L926" s="9">
        <f>IF($A926="","",VALUE($A926&amp;"")*12+VALUE($B926&amp;""))</f>
        <v/>
      </c>
      <c r="M926" s="94">
        <f>IF($A926="",0,$H926*설정!$C$23)</f>
        <v/>
      </c>
      <c r="N926" s="94">
        <f>IF($A926="",0,$I926*설정!$C$23)</f>
        <v/>
      </c>
      <c r="O926" s="94">
        <f>IF($A926="",0,$J926*설정!$C$23)</f>
        <v/>
      </c>
      <c r="P926" s="64">
        <f>IF($A926="","",IFERROR(INDEX(입력옵션!$C$58:$C$68,MATCH($F926&amp;"",입력옵션!$E$58:$E$68,0)),IFERROR(INDEX(입력옵션!$C$58:$C$68,MATCH($G926&amp;"",입력옵션!$F$58:$F$68,0)),$F926&amp;"")))</f>
        <v/>
      </c>
    </row>
    <row r="927">
      <c r="A927" s="92" t="n">
        <v>2026</v>
      </c>
      <c r="B927" s="92" t="n">
        <v>9</v>
      </c>
      <c r="C927" s="92" t="inlineStr">
        <is>
          <t>PF04</t>
        </is>
      </c>
      <c r="D927" s="92" t="inlineStr">
        <is>
          <t>변액</t>
        </is>
      </c>
      <c r="E927" s="92" t="inlineStr">
        <is>
          <t>VFA</t>
        </is>
      </c>
      <c r="F927" s="92" t="inlineStr">
        <is>
          <t>F60</t>
        </is>
      </c>
      <c r="G927" s="92" t="inlineStr">
        <is>
          <t>현금흐름 및 기타</t>
        </is>
      </c>
      <c r="H927" s="93" t="n">
        <v>1661664000</v>
      </c>
      <c r="I927" s="93" t="n">
        <v>-112702000</v>
      </c>
      <c r="J927" s="93" t="n">
        <v>0</v>
      </c>
      <c r="L927" s="9">
        <f>IF($A927="","",VALUE($A927&amp;"")*12+VALUE($B927&amp;""))</f>
        <v/>
      </c>
      <c r="M927" s="94">
        <f>IF($A927="",0,$H927*설정!$C$23)</f>
        <v/>
      </c>
      <c r="N927" s="94">
        <f>IF($A927="",0,$I927*설정!$C$23)</f>
        <v/>
      </c>
      <c r="O927" s="94">
        <f>IF($A927="",0,$J927*설정!$C$23)</f>
        <v/>
      </c>
      <c r="P927" s="64">
        <f>IF($A927="","",IFERROR(INDEX(입력옵션!$C$58:$C$68,MATCH($F927&amp;"",입력옵션!$E$58:$E$68,0)),IFERROR(INDEX(입력옵션!$C$58:$C$68,MATCH($G927&amp;"",입력옵션!$F$58:$F$68,0)),$F927&amp;"")))</f>
        <v/>
      </c>
    </row>
    <row r="928">
      <c r="A928" s="92" t="n">
        <v>2026</v>
      </c>
      <c r="B928" s="92" t="n">
        <v>9</v>
      </c>
      <c r="C928" s="92" t="inlineStr">
        <is>
          <t>PF04</t>
        </is>
      </c>
      <c r="D928" s="92" t="inlineStr">
        <is>
          <t>변액</t>
        </is>
      </c>
      <c r="E928" s="92" t="inlineStr">
        <is>
          <t>VFA</t>
        </is>
      </c>
      <c r="F928" s="92" t="inlineStr">
        <is>
          <t>F99</t>
        </is>
      </c>
      <c r="G928" s="92" t="inlineStr">
        <is>
          <t>기말잔액</t>
        </is>
      </c>
      <c r="H928" s="93" t="n">
        <v>328640385000</v>
      </c>
      <c r="I928" s="93" t="n">
        <v>15980328000</v>
      </c>
      <c r="J928" s="93" t="n">
        <v>52939771000</v>
      </c>
      <c r="L928" s="9">
        <f>IF($A928="","",VALUE($A928&amp;"")*12+VALUE($B928&amp;""))</f>
        <v/>
      </c>
      <c r="M928" s="94">
        <f>IF($A928="",0,$H928*설정!$C$23)</f>
        <v/>
      </c>
      <c r="N928" s="94">
        <f>IF($A928="",0,$I928*설정!$C$23)</f>
        <v/>
      </c>
      <c r="O928" s="94">
        <f>IF($A928="",0,$J928*설정!$C$23)</f>
        <v/>
      </c>
      <c r="P928" s="64">
        <f>IF($A928="","",IFERROR(INDEX(입력옵션!$C$58:$C$68,MATCH($F928&amp;"",입력옵션!$E$58:$E$68,0)),IFERROR(INDEX(입력옵션!$C$58:$C$68,MATCH($G928&amp;"",입력옵션!$F$58:$F$68,0)),$F928&amp;"")))</f>
        <v/>
      </c>
    </row>
  </sheetData>
  <autoFilter ref="A4:P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B9BD5"/>
    <outlinePr summaryBelow="1" summaryRight="1"/>
    <pageSetUpPr/>
  </sheetPr>
  <dimension ref="A1:L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2" customWidth="1" min="8" max="8"/>
    <col width="8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TRACE · 예정사업비 (계리 · BEL 예상현금흐름의 사업비)</t>
        </is>
      </c>
    </row>
    <row r="2">
      <c r="A2" s="2" t="inlineStr">
        <is>
          <t>A~G: 붙여넣기 · I~L: 보조수식 · 포트폴리오 × 월 · 금액은 원본 단위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포트폴리오</t>
        </is>
      </c>
      <c r="D4" s="4" t="inlineStr">
        <is>
          <t>포트폴리오명</t>
        </is>
      </c>
      <c r="E4" s="4" t="inlineStr">
        <is>
          <t>신계약비</t>
        </is>
      </c>
      <c r="F4" s="4" t="inlineStr">
        <is>
          <t>유지비</t>
        </is>
      </c>
      <c r="G4" s="4" t="inlineStr">
        <is>
          <t>수금비</t>
        </is>
      </c>
      <c r="I4" s="39" t="inlineStr">
        <is>
          <t>기간번호</t>
        </is>
      </c>
      <c r="J4" s="39" t="inlineStr">
        <is>
          <t>신계약비
(보고단위)</t>
        </is>
      </c>
      <c r="K4" s="39" t="inlineStr">
        <is>
          <t>유지비
(보고단위)</t>
        </is>
      </c>
      <c r="L4" s="39" t="inlineStr">
        <is>
          <t>수금비
(보고단위)</t>
        </is>
      </c>
    </row>
    <row r="5">
      <c r="A5" s="92" t="n">
        <v>2025</v>
      </c>
      <c r="B5" s="92" t="n">
        <v>1</v>
      </c>
      <c r="C5" s="92" t="inlineStr">
        <is>
          <t>PF01</t>
        </is>
      </c>
      <c r="D5" s="92" t="inlineStr">
        <is>
          <t>보장성</t>
        </is>
      </c>
      <c r="E5" s="93" t="n">
        <v>975365000</v>
      </c>
      <c r="F5" s="93" t="n">
        <v>83885000</v>
      </c>
      <c r="G5" s="93" t="n">
        <v>232751000</v>
      </c>
      <c r="I5" s="9">
        <f>IF($A5="","",VALUE($A5&amp;"")*12+VALUE($B5&amp;""))</f>
        <v/>
      </c>
      <c r="J5" s="94">
        <f>IF($A5="",0,$E5*설정!$C$23)</f>
        <v/>
      </c>
      <c r="K5" s="94">
        <f>IF($A5="",0,$F5*설정!$C$23)</f>
        <v/>
      </c>
      <c r="L5" s="94">
        <f>IF($A5="",0,$G5*설정!$C$23)</f>
        <v/>
      </c>
    </row>
    <row r="6">
      <c r="A6" s="92" t="n">
        <v>2025</v>
      </c>
      <c r="B6" s="92" t="n">
        <v>1</v>
      </c>
      <c r="C6" s="92" t="inlineStr">
        <is>
          <t>PF02</t>
        </is>
      </c>
      <c r="D6" s="92" t="inlineStr">
        <is>
          <t>저축성</t>
        </is>
      </c>
      <c r="E6" s="93" t="n">
        <v>362274000</v>
      </c>
      <c r="F6" s="93" t="n">
        <v>51038000</v>
      </c>
      <c r="G6" s="93" t="n">
        <v>142618000</v>
      </c>
      <c r="I6" s="9">
        <f>IF($A6="","",VALUE($A6&amp;"")*12+VALUE($B6&amp;""))</f>
        <v/>
      </c>
      <c r="J6" s="94">
        <f>IF($A6="",0,$E6*설정!$C$23)</f>
        <v/>
      </c>
      <c r="K6" s="94">
        <f>IF($A6="",0,$F6*설정!$C$23)</f>
        <v/>
      </c>
      <c r="L6" s="94">
        <f>IF($A6="",0,$G6*설정!$C$23)</f>
        <v/>
      </c>
    </row>
    <row r="7">
      <c r="A7" s="92" t="n">
        <v>2025</v>
      </c>
      <c r="B7" s="92" t="n">
        <v>1</v>
      </c>
      <c r="C7" s="92" t="inlineStr">
        <is>
          <t>PF03</t>
        </is>
      </c>
      <c r="D7" s="92" t="inlineStr">
        <is>
          <t>단체(단기)</t>
        </is>
      </c>
      <c r="E7" s="93" t="n">
        <v>178565000</v>
      </c>
      <c r="F7" s="93" t="n">
        <v>13505000</v>
      </c>
      <c r="G7" s="93" t="n">
        <v>38094000</v>
      </c>
      <c r="I7" s="9">
        <f>IF($A7="","",VALUE($A7&amp;"")*12+VALUE($B7&amp;""))</f>
        <v/>
      </c>
      <c r="J7" s="94">
        <f>IF($A7="",0,$E7*설정!$C$23)</f>
        <v/>
      </c>
      <c r="K7" s="94">
        <f>IF($A7="",0,$F7*설정!$C$23)</f>
        <v/>
      </c>
      <c r="L7" s="94">
        <f>IF($A7="",0,$G7*설정!$C$23)</f>
        <v/>
      </c>
    </row>
    <row r="8">
      <c r="A8" s="92" t="n">
        <v>2025</v>
      </c>
      <c r="B8" s="92" t="n">
        <v>1</v>
      </c>
      <c r="C8" s="92" t="inlineStr">
        <is>
          <t>PF04</t>
        </is>
      </c>
      <c r="D8" s="92" t="inlineStr">
        <is>
          <t>변액</t>
        </is>
      </c>
      <c r="E8" s="93" t="n">
        <v>268098000</v>
      </c>
      <c r="F8" s="93" t="n">
        <v>20581000</v>
      </c>
      <c r="G8" s="93" t="n">
        <v>56982000</v>
      </c>
      <c r="I8" s="9">
        <f>IF($A8="","",VALUE($A8&amp;"")*12+VALUE($B8&amp;""))</f>
        <v/>
      </c>
      <c r="J8" s="94">
        <f>IF($A8="",0,$E8*설정!$C$23)</f>
        <v/>
      </c>
      <c r="K8" s="94">
        <f>IF($A8="",0,$F8*설정!$C$23)</f>
        <v/>
      </c>
      <c r="L8" s="94">
        <f>IF($A8="",0,$G8*설정!$C$23)</f>
        <v/>
      </c>
    </row>
    <row r="9">
      <c r="A9" s="92" t="n">
        <v>2025</v>
      </c>
      <c r="B9" s="92" t="n">
        <v>2</v>
      </c>
      <c r="C9" s="92" t="inlineStr">
        <is>
          <t>PF01</t>
        </is>
      </c>
      <c r="D9" s="92" t="inlineStr">
        <is>
          <t>보장성</t>
        </is>
      </c>
      <c r="E9" s="93" t="n">
        <v>979422000</v>
      </c>
      <c r="F9" s="93" t="n">
        <v>82926000</v>
      </c>
      <c r="G9" s="93" t="n">
        <v>231121000</v>
      </c>
      <c r="I9" s="9">
        <f>IF($A9="","",VALUE($A9&amp;"")*12+VALUE($B9&amp;""))</f>
        <v/>
      </c>
      <c r="J9" s="94">
        <f>IF($A9="",0,$E9*설정!$C$23)</f>
        <v/>
      </c>
      <c r="K9" s="94">
        <f>IF($A9="",0,$F9*설정!$C$23)</f>
        <v/>
      </c>
      <c r="L9" s="94">
        <f>IF($A9="",0,$G9*설정!$C$23)</f>
        <v/>
      </c>
    </row>
    <row r="10">
      <c r="A10" s="92" t="n">
        <v>2025</v>
      </c>
      <c r="B10" s="92" t="n">
        <v>2</v>
      </c>
      <c r="C10" s="92" t="inlineStr">
        <is>
          <t>PF02</t>
        </is>
      </c>
      <c r="D10" s="92" t="inlineStr">
        <is>
          <t>저축성</t>
        </is>
      </c>
      <c r="E10" s="93" t="n">
        <v>346463000</v>
      </c>
      <c r="F10" s="93" t="n">
        <v>50322000</v>
      </c>
      <c r="G10" s="93" t="n">
        <v>138743000</v>
      </c>
      <c r="I10" s="9">
        <f>IF($A10="","",VALUE($A10&amp;"")*12+VALUE($B10&amp;""))</f>
        <v/>
      </c>
      <c r="J10" s="94">
        <f>IF($A10="",0,$E10*설정!$C$23)</f>
        <v/>
      </c>
      <c r="K10" s="94">
        <f>IF($A10="",0,$F10*설정!$C$23)</f>
        <v/>
      </c>
      <c r="L10" s="94">
        <f>IF($A10="",0,$G10*설정!$C$23)</f>
        <v/>
      </c>
    </row>
    <row r="11">
      <c r="A11" s="92" t="n">
        <v>2025</v>
      </c>
      <c r="B11" s="92" t="n">
        <v>2</v>
      </c>
      <c r="C11" s="92" t="inlineStr">
        <is>
          <t>PF03</t>
        </is>
      </c>
      <c r="D11" s="92" t="inlineStr">
        <is>
          <t>단체(단기)</t>
        </is>
      </c>
      <c r="E11" s="93" t="n">
        <v>176779000</v>
      </c>
      <c r="F11" s="93" t="n">
        <v>13365000</v>
      </c>
      <c r="G11" s="93" t="n">
        <v>36836000</v>
      </c>
      <c r="I11" s="9">
        <f>IF($A11="","",VALUE($A11&amp;"")*12+VALUE($B11&amp;""))</f>
        <v/>
      </c>
      <c r="J11" s="94">
        <f>IF($A11="",0,$E11*설정!$C$23)</f>
        <v/>
      </c>
      <c r="K11" s="94">
        <f>IF($A11="",0,$F11*설정!$C$23)</f>
        <v/>
      </c>
      <c r="L11" s="94">
        <f>IF($A11="",0,$G11*설정!$C$23)</f>
        <v/>
      </c>
    </row>
    <row r="12">
      <c r="A12" s="92" t="n">
        <v>2025</v>
      </c>
      <c r="B12" s="92" t="n">
        <v>2</v>
      </c>
      <c r="C12" s="92" t="inlineStr">
        <is>
          <t>PF04</t>
        </is>
      </c>
      <c r="D12" s="92" t="inlineStr">
        <is>
          <t>변액</t>
        </is>
      </c>
      <c r="E12" s="93" t="n">
        <v>266535000</v>
      </c>
      <c r="F12" s="93" t="n">
        <v>19578000</v>
      </c>
      <c r="G12" s="93" t="n">
        <v>57071000</v>
      </c>
      <c r="I12" s="9">
        <f>IF($A12="","",VALUE($A12&amp;"")*12+VALUE($B12&amp;""))</f>
        <v/>
      </c>
      <c r="J12" s="94">
        <f>IF($A12="",0,$E12*설정!$C$23)</f>
        <v/>
      </c>
      <c r="K12" s="94">
        <f>IF($A12="",0,$F12*설정!$C$23)</f>
        <v/>
      </c>
      <c r="L12" s="94">
        <f>IF($A12="",0,$G12*설정!$C$23)</f>
        <v/>
      </c>
    </row>
    <row r="13">
      <c r="A13" s="92" t="n">
        <v>2025</v>
      </c>
      <c r="B13" s="92" t="n">
        <v>3</v>
      </c>
      <c r="C13" s="92" t="inlineStr">
        <is>
          <t>PF01</t>
        </is>
      </c>
      <c r="D13" s="92" t="inlineStr">
        <is>
          <t>보장성</t>
        </is>
      </c>
      <c r="E13" s="93" t="n">
        <v>987838000</v>
      </c>
      <c r="F13" s="93" t="n">
        <v>82345000</v>
      </c>
      <c r="G13" s="93" t="n">
        <v>236230000</v>
      </c>
      <c r="I13" s="9">
        <f>IF($A13="","",VALUE($A13&amp;"")*12+VALUE($B13&amp;""))</f>
        <v/>
      </c>
      <c r="J13" s="94">
        <f>IF($A13="",0,$E13*설정!$C$23)</f>
        <v/>
      </c>
      <c r="K13" s="94">
        <f>IF($A13="",0,$F13*설정!$C$23)</f>
        <v/>
      </c>
      <c r="L13" s="94">
        <f>IF($A13="",0,$G13*설정!$C$23)</f>
        <v/>
      </c>
    </row>
    <row r="14">
      <c r="A14" s="92" t="n">
        <v>2025</v>
      </c>
      <c r="B14" s="92" t="n">
        <v>3</v>
      </c>
      <c r="C14" s="92" t="inlineStr">
        <is>
          <t>PF02</t>
        </is>
      </c>
      <c r="D14" s="92" t="inlineStr">
        <is>
          <t>저축성</t>
        </is>
      </c>
      <c r="E14" s="93" t="n">
        <v>357673000</v>
      </c>
      <c r="F14" s="93" t="n">
        <v>49225000</v>
      </c>
      <c r="G14" s="93" t="n">
        <v>141422000</v>
      </c>
      <c r="I14" s="9">
        <f>IF($A14="","",VALUE($A14&amp;"")*12+VALUE($B14&amp;""))</f>
        <v/>
      </c>
      <c r="J14" s="94">
        <f>IF($A14="",0,$E14*설정!$C$23)</f>
        <v/>
      </c>
      <c r="K14" s="94">
        <f>IF($A14="",0,$F14*설정!$C$23)</f>
        <v/>
      </c>
      <c r="L14" s="94">
        <f>IF($A14="",0,$G14*설정!$C$23)</f>
        <v/>
      </c>
    </row>
    <row r="15">
      <c r="A15" s="92" t="n">
        <v>2025</v>
      </c>
      <c r="B15" s="92" t="n">
        <v>3</v>
      </c>
      <c r="C15" s="92" t="inlineStr">
        <is>
          <t>PF03</t>
        </is>
      </c>
      <c r="D15" s="92" t="inlineStr">
        <is>
          <t>단체(단기)</t>
        </is>
      </c>
      <c r="E15" s="93" t="n">
        <v>174523000</v>
      </c>
      <c r="F15" s="93" t="n">
        <v>13547000</v>
      </c>
      <c r="G15" s="93" t="n">
        <v>37741000</v>
      </c>
      <c r="I15" s="9">
        <f>IF($A15="","",VALUE($A15&amp;"")*12+VALUE($B15&amp;""))</f>
        <v/>
      </c>
      <c r="J15" s="94">
        <f>IF($A15="",0,$E15*설정!$C$23)</f>
        <v/>
      </c>
      <c r="K15" s="94">
        <f>IF($A15="",0,$F15*설정!$C$23)</f>
        <v/>
      </c>
      <c r="L15" s="94">
        <f>IF($A15="",0,$G15*설정!$C$23)</f>
        <v/>
      </c>
    </row>
    <row r="16">
      <c r="A16" s="92" t="n">
        <v>2025</v>
      </c>
      <c r="B16" s="92" t="n">
        <v>3</v>
      </c>
      <c r="C16" s="92" t="inlineStr">
        <is>
          <t>PF04</t>
        </is>
      </c>
      <c r="D16" s="92" t="inlineStr">
        <is>
          <t>변액</t>
        </is>
      </c>
      <c r="E16" s="93" t="n">
        <v>270888000</v>
      </c>
      <c r="F16" s="93" t="n">
        <v>19633000</v>
      </c>
      <c r="G16" s="93" t="n">
        <v>55777000</v>
      </c>
      <c r="I16" s="9">
        <f>IF($A16="","",VALUE($A16&amp;"")*12+VALUE($B16&amp;""))</f>
        <v/>
      </c>
      <c r="J16" s="94">
        <f>IF($A16="",0,$E16*설정!$C$23)</f>
        <v/>
      </c>
      <c r="K16" s="94">
        <f>IF($A16="",0,$F16*설정!$C$23)</f>
        <v/>
      </c>
      <c r="L16" s="94">
        <f>IF($A16="",0,$G16*설정!$C$23)</f>
        <v/>
      </c>
    </row>
    <row r="17">
      <c r="A17" s="92" t="n">
        <v>2025</v>
      </c>
      <c r="B17" s="92" t="n">
        <v>4</v>
      </c>
      <c r="C17" s="92" t="inlineStr">
        <is>
          <t>PF01</t>
        </is>
      </c>
      <c r="D17" s="92" t="inlineStr">
        <is>
          <t>보장성</t>
        </is>
      </c>
      <c r="E17" s="93" t="n">
        <v>978590000</v>
      </c>
      <c r="F17" s="93" t="n">
        <v>84239000</v>
      </c>
      <c r="G17" s="93" t="n">
        <v>233086000</v>
      </c>
      <c r="I17" s="9">
        <f>IF($A17="","",VALUE($A17&amp;"")*12+VALUE($B17&amp;""))</f>
        <v/>
      </c>
      <c r="J17" s="94">
        <f>IF($A17="",0,$E17*설정!$C$23)</f>
        <v/>
      </c>
      <c r="K17" s="94">
        <f>IF($A17="",0,$F17*설정!$C$23)</f>
        <v/>
      </c>
      <c r="L17" s="94">
        <f>IF($A17="",0,$G17*설정!$C$23)</f>
        <v/>
      </c>
    </row>
    <row r="18">
      <c r="A18" s="92" t="n">
        <v>2025</v>
      </c>
      <c r="B18" s="92" t="n">
        <v>4</v>
      </c>
      <c r="C18" s="92" t="inlineStr">
        <is>
          <t>PF02</t>
        </is>
      </c>
      <c r="D18" s="92" t="inlineStr">
        <is>
          <t>저축성</t>
        </is>
      </c>
      <c r="E18" s="93" t="n">
        <v>359646000</v>
      </c>
      <c r="F18" s="93" t="n">
        <v>51023000</v>
      </c>
      <c r="G18" s="93" t="n">
        <v>140528000</v>
      </c>
      <c r="I18" s="9">
        <f>IF($A18="","",VALUE($A18&amp;"")*12+VALUE($B18&amp;""))</f>
        <v/>
      </c>
      <c r="J18" s="94">
        <f>IF($A18="",0,$E18*설정!$C$23)</f>
        <v/>
      </c>
      <c r="K18" s="94">
        <f>IF($A18="",0,$F18*설정!$C$23)</f>
        <v/>
      </c>
      <c r="L18" s="94">
        <f>IF($A18="",0,$G18*설정!$C$23)</f>
        <v/>
      </c>
    </row>
    <row r="19">
      <c r="A19" s="92" t="n">
        <v>2025</v>
      </c>
      <c r="B19" s="92" t="n">
        <v>4</v>
      </c>
      <c r="C19" s="92" t="inlineStr">
        <is>
          <t>PF03</t>
        </is>
      </c>
      <c r="D19" s="92" t="inlineStr">
        <is>
          <t>단체(단기)</t>
        </is>
      </c>
      <c r="E19" s="93" t="n">
        <v>174568000</v>
      </c>
      <c r="F19" s="93" t="n">
        <v>13510000</v>
      </c>
      <c r="G19" s="93" t="n">
        <v>37634000</v>
      </c>
      <c r="I19" s="9">
        <f>IF($A19="","",VALUE($A19&amp;"")*12+VALUE($B19&amp;""))</f>
        <v/>
      </c>
      <c r="J19" s="94">
        <f>IF($A19="",0,$E19*설정!$C$23)</f>
        <v/>
      </c>
      <c r="K19" s="94">
        <f>IF($A19="",0,$F19*설정!$C$23)</f>
        <v/>
      </c>
      <c r="L19" s="94">
        <f>IF($A19="",0,$G19*설정!$C$23)</f>
        <v/>
      </c>
    </row>
    <row r="20">
      <c r="A20" s="92" t="n">
        <v>2025</v>
      </c>
      <c r="B20" s="92" t="n">
        <v>4</v>
      </c>
      <c r="C20" s="92" t="inlineStr">
        <is>
          <t>PF04</t>
        </is>
      </c>
      <c r="D20" s="92" t="inlineStr">
        <is>
          <t>변액</t>
        </is>
      </c>
      <c r="E20" s="93" t="n">
        <v>267350000</v>
      </c>
      <c r="F20" s="93" t="n">
        <v>20125000</v>
      </c>
      <c r="G20" s="93" t="n">
        <v>56423000</v>
      </c>
      <c r="I20" s="9">
        <f>IF($A20="","",VALUE($A20&amp;"")*12+VALUE($B20&amp;""))</f>
        <v/>
      </c>
      <c r="J20" s="94">
        <f>IF($A20="",0,$E20*설정!$C$23)</f>
        <v/>
      </c>
      <c r="K20" s="94">
        <f>IF($A20="",0,$F20*설정!$C$23)</f>
        <v/>
      </c>
      <c r="L20" s="94">
        <f>IF($A20="",0,$G20*설정!$C$23)</f>
        <v/>
      </c>
    </row>
    <row r="21">
      <c r="A21" s="92" t="n">
        <v>2025</v>
      </c>
      <c r="B21" s="92" t="n">
        <v>5</v>
      </c>
      <c r="C21" s="92" t="inlineStr">
        <is>
          <t>PF01</t>
        </is>
      </c>
      <c r="D21" s="92" t="inlineStr">
        <is>
          <t>보장성</t>
        </is>
      </c>
      <c r="E21" s="93" t="n">
        <v>955222000</v>
      </c>
      <c r="F21" s="93" t="n">
        <v>82981000</v>
      </c>
      <c r="G21" s="93" t="n">
        <v>235179000</v>
      </c>
      <c r="I21" s="9">
        <f>IF($A21="","",VALUE($A21&amp;"")*12+VALUE($B21&amp;""))</f>
        <v/>
      </c>
      <c r="J21" s="94">
        <f>IF($A21="",0,$E21*설정!$C$23)</f>
        <v/>
      </c>
      <c r="K21" s="94">
        <f>IF($A21="",0,$F21*설정!$C$23)</f>
        <v/>
      </c>
      <c r="L21" s="94">
        <f>IF($A21="",0,$G21*설정!$C$23)</f>
        <v/>
      </c>
    </row>
    <row r="22">
      <c r="A22" s="92" t="n">
        <v>2025</v>
      </c>
      <c r="B22" s="92" t="n">
        <v>5</v>
      </c>
      <c r="C22" s="92" t="inlineStr">
        <is>
          <t>PF02</t>
        </is>
      </c>
      <c r="D22" s="92" t="inlineStr">
        <is>
          <t>저축성</t>
        </is>
      </c>
      <c r="E22" s="93" t="n">
        <v>357362000</v>
      </c>
      <c r="F22" s="93" t="n">
        <v>50376000</v>
      </c>
      <c r="G22" s="93" t="n">
        <v>142724000</v>
      </c>
      <c r="I22" s="9">
        <f>IF($A22="","",VALUE($A22&amp;"")*12+VALUE($B22&amp;""))</f>
        <v/>
      </c>
      <c r="J22" s="94">
        <f>IF($A22="",0,$E22*설정!$C$23)</f>
        <v/>
      </c>
      <c r="K22" s="94">
        <f>IF($A22="",0,$F22*설정!$C$23)</f>
        <v/>
      </c>
      <c r="L22" s="94">
        <f>IF($A22="",0,$G22*설정!$C$23)</f>
        <v/>
      </c>
    </row>
    <row r="23">
      <c r="A23" s="92" t="n">
        <v>2025</v>
      </c>
      <c r="B23" s="92" t="n">
        <v>5</v>
      </c>
      <c r="C23" s="92" t="inlineStr">
        <is>
          <t>PF03</t>
        </is>
      </c>
      <c r="D23" s="92" t="inlineStr">
        <is>
          <t>단체(단기)</t>
        </is>
      </c>
      <c r="E23" s="93" t="n">
        <v>177346000</v>
      </c>
      <c r="F23" s="93" t="n">
        <v>13679000</v>
      </c>
      <c r="G23" s="93" t="n">
        <v>37925000</v>
      </c>
      <c r="I23" s="9">
        <f>IF($A23="","",VALUE($A23&amp;"")*12+VALUE($B23&amp;""))</f>
        <v/>
      </c>
      <c r="J23" s="94">
        <f>IF($A23="",0,$E23*설정!$C$23)</f>
        <v/>
      </c>
      <c r="K23" s="94">
        <f>IF($A23="",0,$F23*설정!$C$23)</f>
        <v/>
      </c>
      <c r="L23" s="94">
        <f>IF($A23="",0,$G23*설정!$C$23)</f>
        <v/>
      </c>
    </row>
    <row r="24">
      <c r="A24" s="92" t="n">
        <v>2025</v>
      </c>
      <c r="B24" s="92" t="n">
        <v>5</v>
      </c>
      <c r="C24" s="92" t="inlineStr">
        <is>
          <t>PF04</t>
        </is>
      </c>
      <c r="D24" s="92" t="inlineStr">
        <is>
          <t>변액</t>
        </is>
      </c>
      <c r="E24" s="93" t="n">
        <v>263704000</v>
      </c>
      <c r="F24" s="93" t="n">
        <v>19919000</v>
      </c>
      <c r="G24" s="93" t="n">
        <v>55555000</v>
      </c>
      <c r="I24" s="9">
        <f>IF($A24="","",VALUE($A24&amp;"")*12+VALUE($B24&amp;""))</f>
        <v/>
      </c>
      <c r="J24" s="94">
        <f>IF($A24="",0,$E24*설정!$C$23)</f>
        <v/>
      </c>
      <c r="K24" s="94">
        <f>IF($A24="",0,$F24*설정!$C$23)</f>
        <v/>
      </c>
      <c r="L24" s="94">
        <f>IF($A24="",0,$G24*설정!$C$23)</f>
        <v/>
      </c>
    </row>
    <row r="25">
      <c r="A25" s="92" t="n">
        <v>2025</v>
      </c>
      <c r="B25" s="92" t="n">
        <v>6</v>
      </c>
      <c r="C25" s="92" t="inlineStr">
        <is>
          <t>PF01</t>
        </is>
      </c>
      <c r="D25" s="92" t="inlineStr">
        <is>
          <t>보장성</t>
        </is>
      </c>
      <c r="E25" s="93" t="n">
        <v>959468000</v>
      </c>
      <c r="F25" s="93" t="n">
        <v>85558000</v>
      </c>
      <c r="G25" s="93" t="n">
        <v>238740000</v>
      </c>
      <c r="I25" s="9">
        <f>IF($A25="","",VALUE($A25&amp;"")*12+VALUE($B25&amp;""))</f>
        <v/>
      </c>
      <c r="J25" s="94">
        <f>IF($A25="",0,$E25*설정!$C$23)</f>
        <v/>
      </c>
      <c r="K25" s="94">
        <f>IF($A25="",0,$F25*설정!$C$23)</f>
        <v/>
      </c>
      <c r="L25" s="94">
        <f>IF($A25="",0,$G25*설정!$C$23)</f>
        <v/>
      </c>
    </row>
    <row r="26">
      <c r="A26" s="92" t="n">
        <v>2025</v>
      </c>
      <c r="B26" s="92" t="n">
        <v>6</v>
      </c>
      <c r="C26" s="92" t="inlineStr">
        <is>
          <t>PF02</t>
        </is>
      </c>
      <c r="D26" s="92" t="inlineStr">
        <is>
          <t>저축성</t>
        </is>
      </c>
      <c r="E26" s="93" t="n">
        <v>359017000</v>
      </c>
      <c r="F26" s="93" t="n">
        <v>49810000</v>
      </c>
      <c r="G26" s="93" t="n">
        <v>142036000</v>
      </c>
      <c r="I26" s="9">
        <f>IF($A26="","",VALUE($A26&amp;"")*12+VALUE($B26&amp;""))</f>
        <v/>
      </c>
      <c r="J26" s="94">
        <f>IF($A26="",0,$E26*설정!$C$23)</f>
        <v/>
      </c>
      <c r="K26" s="94">
        <f>IF($A26="",0,$F26*설정!$C$23)</f>
        <v/>
      </c>
      <c r="L26" s="94">
        <f>IF($A26="",0,$G26*설정!$C$23)</f>
        <v/>
      </c>
    </row>
    <row r="27">
      <c r="A27" s="92" t="n">
        <v>2025</v>
      </c>
      <c r="B27" s="92" t="n">
        <v>6</v>
      </c>
      <c r="C27" s="92" t="inlineStr">
        <is>
          <t>PF03</t>
        </is>
      </c>
      <c r="D27" s="92" t="inlineStr">
        <is>
          <t>단체(단기)</t>
        </is>
      </c>
      <c r="E27" s="93" t="n">
        <v>175075000</v>
      </c>
      <c r="F27" s="93" t="n">
        <v>13704000</v>
      </c>
      <c r="G27" s="93" t="n">
        <v>37869000</v>
      </c>
      <c r="I27" s="9">
        <f>IF($A27="","",VALUE($A27&amp;"")*12+VALUE($B27&amp;""))</f>
        <v/>
      </c>
      <c r="J27" s="94">
        <f>IF($A27="",0,$E27*설정!$C$23)</f>
        <v/>
      </c>
      <c r="K27" s="94">
        <f>IF($A27="",0,$F27*설정!$C$23)</f>
        <v/>
      </c>
      <c r="L27" s="94">
        <f>IF($A27="",0,$G27*설정!$C$23)</f>
        <v/>
      </c>
    </row>
    <row r="28">
      <c r="A28" s="92" t="n">
        <v>2025</v>
      </c>
      <c r="B28" s="92" t="n">
        <v>6</v>
      </c>
      <c r="C28" s="92" t="inlineStr">
        <is>
          <t>PF04</t>
        </is>
      </c>
      <c r="D28" s="92" t="inlineStr">
        <is>
          <t>변액</t>
        </is>
      </c>
      <c r="E28" s="93" t="n">
        <v>269244000</v>
      </c>
      <c r="F28" s="93" t="n">
        <v>20329000</v>
      </c>
      <c r="G28" s="93" t="n">
        <v>56268000</v>
      </c>
      <c r="I28" s="9">
        <f>IF($A28="","",VALUE($A28&amp;"")*12+VALUE($B28&amp;""))</f>
        <v/>
      </c>
      <c r="J28" s="94">
        <f>IF($A28="",0,$E28*설정!$C$23)</f>
        <v/>
      </c>
      <c r="K28" s="94">
        <f>IF($A28="",0,$F28*설정!$C$23)</f>
        <v/>
      </c>
      <c r="L28" s="94">
        <f>IF($A28="",0,$G28*설정!$C$23)</f>
        <v/>
      </c>
    </row>
    <row r="29">
      <c r="A29" s="92" t="n">
        <v>2025</v>
      </c>
      <c r="B29" s="92" t="n">
        <v>7</v>
      </c>
      <c r="C29" s="92" t="inlineStr">
        <is>
          <t>PF01</t>
        </is>
      </c>
      <c r="D29" s="92" t="inlineStr">
        <is>
          <t>보장성</t>
        </is>
      </c>
      <c r="E29" s="93" t="n">
        <v>990323000</v>
      </c>
      <c r="F29" s="93" t="n">
        <v>85720000</v>
      </c>
      <c r="G29" s="93" t="n">
        <v>233317000</v>
      </c>
      <c r="I29" s="9">
        <f>IF($A29="","",VALUE($A29&amp;"")*12+VALUE($B29&amp;""))</f>
        <v/>
      </c>
      <c r="J29" s="94">
        <f>IF($A29="",0,$E29*설정!$C$23)</f>
        <v/>
      </c>
      <c r="K29" s="94">
        <f>IF($A29="",0,$F29*설정!$C$23)</f>
        <v/>
      </c>
      <c r="L29" s="94">
        <f>IF($A29="",0,$G29*설정!$C$23)</f>
        <v/>
      </c>
    </row>
    <row r="30">
      <c r="A30" s="92" t="n">
        <v>2025</v>
      </c>
      <c r="B30" s="92" t="n">
        <v>7</v>
      </c>
      <c r="C30" s="92" t="inlineStr">
        <is>
          <t>PF02</t>
        </is>
      </c>
      <c r="D30" s="92" t="inlineStr">
        <is>
          <t>저축성</t>
        </is>
      </c>
      <c r="E30" s="93" t="n">
        <v>354278000</v>
      </c>
      <c r="F30" s="93" t="n">
        <v>50971000</v>
      </c>
      <c r="G30" s="93" t="n">
        <v>142470000</v>
      </c>
      <c r="I30" s="9">
        <f>IF($A30="","",VALUE($A30&amp;"")*12+VALUE($B30&amp;""))</f>
        <v/>
      </c>
      <c r="J30" s="94">
        <f>IF($A30="",0,$E30*설정!$C$23)</f>
        <v/>
      </c>
      <c r="K30" s="94">
        <f>IF($A30="",0,$F30*설정!$C$23)</f>
        <v/>
      </c>
      <c r="L30" s="94">
        <f>IF($A30="",0,$G30*설정!$C$23)</f>
        <v/>
      </c>
    </row>
    <row r="31">
      <c r="A31" s="92" t="n">
        <v>2025</v>
      </c>
      <c r="B31" s="92" t="n">
        <v>7</v>
      </c>
      <c r="C31" s="92" t="inlineStr">
        <is>
          <t>PF03</t>
        </is>
      </c>
      <c r="D31" s="92" t="inlineStr">
        <is>
          <t>단체(단기)</t>
        </is>
      </c>
      <c r="E31" s="93" t="n">
        <v>176949000</v>
      </c>
      <c r="F31" s="93" t="n">
        <v>13440000</v>
      </c>
      <c r="G31" s="93" t="n">
        <v>38426000</v>
      </c>
      <c r="I31" s="9">
        <f>IF($A31="","",VALUE($A31&amp;"")*12+VALUE($B31&amp;""))</f>
        <v/>
      </c>
      <c r="J31" s="94">
        <f>IF($A31="",0,$E31*설정!$C$23)</f>
        <v/>
      </c>
      <c r="K31" s="94">
        <f>IF($A31="",0,$F31*설정!$C$23)</f>
        <v/>
      </c>
      <c r="L31" s="94">
        <f>IF($A31="",0,$G31*설정!$C$23)</f>
        <v/>
      </c>
    </row>
    <row r="32">
      <c r="A32" s="92" t="n">
        <v>2025</v>
      </c>
      <c r="B32" s="92" t="n">
        <v>7</v>
      </c>
      <c r="C32" s="92" t="inlineStr">
        <is>
          <t>PF04</t>
        </is>
      </c>
      <c r="D32" s="92" t="inlineStr">
        <is>
          <t>변액</t>
        </is>
      </c>
      <c r="E32" s="93" t="n">
        <v>263988000</v>
      </c>
      <c r="F32" s="93" t="n">
        <v>19967000</v>
      </c>
      <c r="G32" s="93" t="n">
        <v>57002000</v>
      </c>
      <c r="I32" s="9">
        <f>IF($A32="","",VALUE($A32&amp;"")*12+VALUE($B32&amp;""))</f>
        <v/>
      </c>
      <c r="J32" s="94">
        <f>IF($A32="",0,$E32*설정!$C$23)</f>
        <v/>
      </c>
      <c r="K32" s="94">
        <f>IF($A32="",0,$F32*설정!$C$23)</f>
        <v/>
      </c>
      <c r="L32" s="94">
        <f>IF($A32="",0,$G32*설정!$C$23)</f>
        <v/>
      </c>
    </row>
    <row r="33">
      <c r="A33" s="92" t="n">
        <v>2025</v>
      </c>
      <c r="B33" s="92" t="n">
        <v>8</v>
      </c>
      <c r="C33" s="92" t="inlineStr">
        <is>
          <t>PF01</t>
        </is>
      </c>
      <c r="D33" s="92" t="inlineStr">
        <is>
          <t>보장성</t>
        </is>
      </c>
      <c r="E33" s="93" t="n">
        <v>968497000</v>
      </c>
      <c r="F33" s="93" t="n">
        <v>85618000</v>
      </c>
      <c r="G33" s="93" t="n">
        <v>234057000</v>
      </c>
      <c r="I33" s="9">
        <f>IF($A33="","",VALUE($A33&amp;"")*12+VALUE($B33&amp;""))</f>
        <v/>
      </c>
      <c r="J33" s="94">
        <f>IF($A33="",0,$E33*설정!$C$23)</f>
        <v/>
      </c>
      <c r="K33" s="94">
        <f>IF($A33="",0,$F33*설정!$C$23)</f>
        <v/>
      </c>
      <c r="L33" s="94">
        <f>IF($A33="",0,$G33*설정!$C$23)</f>
        <v/>
      </c>
    </row>
    <row r="34">
      <c r="A34" s="92" t="n">
        <v>2025</v>
      </c>
      <c r="B34" s="92" t="n">
        <v>8</v>
      </c>
      <c r="C34" s="92" t="inlineStr">
        <is>
          <t>PF02</t>
        </is>
      </c>
      <c r="D34" s="92" t="inlineStr">
        <is>
          <t>저축성</t>
        </is>
      </c>
      <c r="E34" s="93" t="n">
        <v>361387000</v>
      </c>
      <c r="F34" s="93" t="n">
        <v>50324000</v>
      </c>
      <c r="G34" s="93" t="n">
        <v>143599000</v>
      </c>
      <c r="I34" s="9">
        <f>IF($A34="","",VALUE($A34&amp;"")*12+VALUE($B34&amp;""))</f>
        <v/>
      </c>
      <c r="J34" s="94">
        <f>IF($A34="",0,$E34*설정!$C$23)</f>
        <v/>
      </c>
      <c r="K34" s="94">
        <f>IF($A34="",0,$F34*설정!$C$23)</f>
        <v/>
      </c>
      <c r="L34" s="94">
        <f>IF($A34="",0,$G34*설정!$C$23)</f>
        <v/>
      </c>
    </row>
    <row r="35">
      <c r="A35" s="92" t="n">
        <v>2025</v>
      </c>
      <c r="B35" s="92" t="n">
        <v>8</v>
      </c>
      <c r="C35" s="92" t="inlineStr">
        <is>
          <t>PF03</t>
        </is>
      </c>
      <c r="D35" s="92" t="inlineStr">
        <is>
          <t>단체(단기)</t>
        </is>
      </c>
      <c r="E35" s="93" t="n">
        <v>179460000</v>
      </c>
      <c r="F35" s="93" t="n">
        <v>13610000</v>
      </c>
      <c r="G35" s="93" t="n">
        <v>37281000</v>
      </c>
      <c r="I35" s="9">
        <f>IF($A35="","",VALUE($A35&amp;"")*12+VALUE($B35&amp;""))</f>
        <v/>
      </c>
      <c r="J35" s="94">
        <f>IF($A35="",0,$E35*설정!$C$23)</f>
        <v/>
      </c>
      <c r="K35" s="94">
        <f>IF($A35="",0,$F35*설정!$C$23)</f>
        <v/>
      </c>
      <c r="L35" s="94">
        <f>IF($A35="",0,$G35*설정!$C$23)</f>
        <v/>
      </c>
    </row>
    <row r="36">
      <c r="A36" s="92" t="n">
        <v>2025</v>
      </c>
      <c r="B36" s="92" t="n">
        <v>8</v>
      </c>
      <c r="C36" s="92" t="inlineStr">
        <is>
          <t>PF04</t>
        </is>
      </c>
      <c r="D36" s="92" t="inlineStr">
        <is>
          <t>변액</t>
        </is>
      </c>
      <c r="E36" s="93" t="n">
        <v>262934000</v>
      </c>
      <c r="F36" s="93" t="n">
        <v>19847000</v>
      </c>
      <c r="G36" s="93" t="n">
        <v>55845000</v>
      </c>
      <c r="I36" s="9">
        <f>IF($A36="","",VALUE($A36&amp;"")*12+VALUE($B36&amp;""))</f>
        <v/>
      </c>
      <c r="J36" s="94">
        <f>IF($A36="",0,$E36*설정!$C$23)</f>
        <v/>
      </c>
      <c r="K36" s="94">
        <f>IF($A36="",0,$F36*설정!$C$23)</f>
        <v/>
      </c>
      <c r="L36" s="94">
        <f>IF($A36="",0,$G36*설정!$C$23)</f>
        <v/>
      </c>
    </row>
    <row r="37">
      <c r="A37" s="92" t="n">
        <v>2025</v>
      </c>
      <c r="B37" s="92" t="n">
        <v>9</v>
      </c>
      <c r="C37" s="92" t="inlineStr">
        <is>
          <t>PF01</t>
        </is>
      </c>
      <c r="D37" s="92" t="inlineStr">
        <is>
          <t>보장성</t>
        </is>
      </c>
      <c r="E37" s="93" t="n">
        <v>984492000</v>
      </c>
      <c r="F37" s="93" t="n">
        <v>82787000</v>
      </c>
      <c r="G37" s="93" t="n">
        <v>232994000</v>
      </c>
      <c r="I37" s="9">
        <f>IF($A37="","",VALUE($A37&amp;"")*12+VALUE($B37&amp;""))</f>
        <v/>
      </c>
      <c r="J37" s="94">
        <f>IF($A37="",0,$E37*설정!$C$23)</f>
        <v/>
      </c>
      <c r="K37" s="94">
        <f>IF($A37="",0,$F37*설정!$C$23)</f>
        <v/>
      </c>
      <c r="L37" s="94">
        <f>IF($A37="",0,$G37*설정!$C$23)</f>
        <v/>
      </c>
    </row>
    <row r="38">
      <c r="A38" s="92" t="n">
        <v>2025</v>
      </c>
      <c r="B38" s="92" t="n">
        <v>9</v>
      </c>
      <c r="C38" s="92" t="inlineStr">
        <is>
          <t>PF02</t>
        </is>
      </c>
      <c r="D38" s="92" t="inlineStr">
        <is>
          <t>저축성</t>
        </is>
      </c>
      <c r="E38" s="93" t="n">
        <v>356581000</v>
      </c>
      <c r="F38" s="93" t="n">
        <v>49856000</v>
      </c>
      <c r="G38" s="93" t="n">
        <v>140315000</v>
      </c>
      <c r="I38" s="9">
        <f>IF($A38="","",VALUE($A38&amp;"")*12+VALUE($B38&amp;""))</f>
        <v/>
      </c>
      <c r="J38" s="94">
        <f>IF($A38="",0,$E38*설정!$C$23)</f>
        <v/>
      </c>
      <c r="K38" s="94">
        <f>IF($A38="",0,$F38*설정!$C$23)</f>
        <v/>
      </c>
      <c r="L38" s="94">
        <f>IF($A38="",0,$G38*설정!$C$23)</f>
        <v/>
      </c>
    </row>
    <row r="39">
      <c r="A39" s="92" t="n">
        <v>2025</v>
      </c>
      <c r="B39" s="92" t="n">
        <v>9</v>
      </c>
      <c r="C39" s="92" t="inlineStr">
        <is>
          <t>PF03</t>
        </is>
      </c>
      <c r="D39" s="92" t="inlineStr">
        <is>
          <t>단체(단기)</t>
        </is>
      </c>
      <c r="E39" s="93" t="n">
        <v>175882000</v>
      </c>
      <c r="F39" s="93" t="n">
        <v>13576000</v>
      </c>
      <c r="G39" s="93" t="n">
        <v>37100000</v>
      </c>
      <c r="I39" s="9">
        <f>IF($A39="","",VALUE($A39&amp;"")*12+VALUE($B39&amp;""))</f>
        <v/>
      </c>
      <c r="J39" s="94">
        <f>IF($A39="",0,$E39*설정!$C$23)</f>
        <v/>
      </c>
      <c r="K39" s="94">
        <f>IF($A39="",0,$F39*설정!$C$23)</f>
        <v/>
      </c>
      <c r="L39" s="94">
        <f>IF($A39="",0,$G39*설정!$C$23)</f>
        <v/>
      </c>
    </row>
    <row r="40">
      <c r="A40" s="92" t="n">
        <v>2025</v>
      </c>
      <c r="B40" s="92" t="n">
        <v>9</v>
      </c>
      <c r="C40" s="92" t="inlineStr">
        <is>
          <t>PF04</t>
        </is>
      </c>
      <c r="D40" s="92" t="inlineStr">
        <is>
          <t>변액</t>
        </is>
      </c>
      <c r="E40" s="93" t="n">
        <v>272029000</v>
      </c>
      <c r="F40" s="93" t="n">
        <v>20301000</v>
      </c>
      <c r="G40" s="93" t="n">
        <v>56994000</v>
      </c>
      <c r="I40" s="9">
        <f>IF($A40="","",VALUE($A40&amp;"")*12+VALUE($B40&amp;""))</f>
        <v/>
      </c>
      <c r="J40" s="94">
        <f>IF($A40="",0,$E40*설정!$C$23)</f>
        <v/>
      </c>
      <c r="K40" s="94">
        <f>IF($A40="",0,$F40*설정!$C$23)</f>
        <v/>
      </c>
      <c r="L40" s="94">
        <f>IF($A40="",0,$G40*설정!$C$23)</f>
        <v/>
      </c>
    </row>
    <row r="41">
      <c r="A41" s="92" t="n">
        <v>2025</v>
      </c>
      <c r="B41" s="92" t="n">
        <v>10</v>
      </c>
      <c r="C41" s="92" t="inlineStr">
        <is>
          <t>PF01</t>
        </is>
      </c>
      <c r="D41" s="92" t="inlineStr">
        <is>
          <t>보장성</t>
        </is>
      </c>
      <c r="E41" s="93" t="n">
        <v>981068000</v>
      </c>
      <c r="F41" s="93" t="n">
        <v>84481000</v>
      </c>
      <c r="G41" s="93" t="n">
        <v>240399000</v>
      </c>
      <c r="I41" s="9">
        <f>IF($A41="","",VALUE($A41&amp;"")*12+VALUE($B41&amp;""))</f>
        <v/>
      </c>
      <c r="J41" s="94">
        <f>IF($A41="",0,$E41*설정!$C$23)</f>
        <v/>
      </c>
      <c r="K41" s="94">
        <f>IF($A41="",0,$F41*설정!$C$23)</f>
        <v/>
      </c>
      <c r="L41" s="94">
        <f>IF($A41="",0,$G41*설정!$C$23)</f>
        <v/>
      </c>
    </row>
    <row r="42">
      <c r="A42" s="92" t="n">
        <v>2025</v>
      </c>
      <c r="B42" s="92" t="n">
        <v>10</v>
      </c>
      <c r="C42" s="92" t="inlineStr">
        <is>
          <t>PF02</t>
        </is>
      </c>
      <c r="D42" s="92" t="inlineStr">
        <is>
          <t>저축성</t>
        </is>
      </c>
      <c r="E42" s="93" t="n">
        <v>361610000</v>
      </c>
      <c r="F42" s="93" t="n">
        <v>51346000</v>
      </c>
      <c r="G42" s="93" t="n">
        <v>138912000</v>
      </c>
      <c r="I42" s="9">
        <f>IF($A42="","",VALUE($A42&amp;"")*12+VALUE($B42&amp;""))</f>
        <v/>
      </c>
      <c r="J42" s="94">
        <f>IF($A42="",0,$E42*설정!$C$23)</f>
        <v/>
      </c>
      <c r="K42" s="94">
        <f>IF($A42="",0,$F42*설정!$C$23)</f>
        <v/>
      </c>
      <c r="L42" s="94">
        <f>IF($A42="",0,$G42*설정!$C$23)</f>
        <v/>
      </c>
    </row>
    <row r="43">
      <c r="A43" s="92" t="n">
        <v>2025</v>
      </c>
      <c r="B43" s="92" t="n">
        <v>10</v>
      </c>
      <c r="C43" s="92" t="inlineStr">
        <is>
          <t>PF03</t>
        </is>
      </c>
      <c r="D43" s="92" t="inlineStr">
        <is>
          <t>단체(단기)</t>
        </is>
      </c>
      <c r="E43" s="93" t="n">
        <v>178639000</v>
      </c>
      <c r="F43" s="93" t="n">
        <v>13757000</v>
      </c>
      <c r="G43" s="93" t="n">
        <v>37962000</v>
      </c>
      <c r="I43" s="9">
        <f>IF($A43="","",VALUE($A43&amp;"")*12+VALUE($B43&amp;""))</f>
        <v/>
      </c>
      <c r="J43" s="94">
        <f>IF($A43="",0,$E43*설정!$C$23)</f>
        <v/>
      </c>
      <c r="K43" s="94">
        <f>IF($A43="",0,$F43*설정!$C$23)</f>
        <v/>
      </c>
      <c r="L43" s="94">
        <f>IF($A43="",0,$G43*설정!$C$23)</f>
        <v/>
      </c>
    </row>
    <row r="44">
      <c r="A44" s="92" t="n">
        <v>2025</v>
      </c>
      <c r="B44" s="92" t="n">
        <v>10</v>
      </c>
      <c r="C44" s="92" t="inlineStr">
        <is>
          <t>PF04</t>
        </is>
      </c>
      <c r="D44" s="92" t="inlineStr">
        <is>
          <t>변액</t>
        </is>
      </c>
      <c r="E44" s="93" t="n">
        <v>267141000</v>
      </c>
      <c r="F44" s="93" t="n">
        <v>20399000</v>
      </c>
      <c r="G44" s="93" t="n">
        <v>55898000</v>
      </c>
      <c r="I44" s="9">
        <f>IF($A44="","",VALUE($A44&amp;"")*12+VALUE($B44&amp;""))</f>
        <v/>
      </c>
      <c r="J44" s="94">
        <f>IF($A44="",0,$E44*설정!$C$23)</f>
        <v/>
      </c>
      <c r="K44" s="94">
        <f>IF($A44="",0,$F44*설정!$C$23)</f>
        <v/>
      </c>
      <c r="L44" s="94">
        <f>IF($A44="",0,$G44*설정!$C$23)</f>
        <v/>
      </c>
    </row>
    <row r="45">
      <c r="A45" s="92" t="n">
        <v>2025</v>
      </c>
      <c r="B45" s="92" t="n">
        <v>11</v>
      </c>
      <c r="C45" s="92" t="inlineStr">
        <is>
          <t>PF01</t>
        </is>
      </c>
      <c r="D45" s="92" t="inlineStr">
        <is>
          <t>보장성</t>
        </is>
      </c>
      <c r="E45" s="93" t="n">
        <v>988443000</v>
      </c>
      <c r="F45" s="93" t="n">
        <v>85836000</v>
      </c>
      <c r="G45" s="93" t="n">
        <v>232102000</v>
      </c>
      <c r="I45" s="9">
        <f>IF($A45="","",VALUE($A45&amp;"")*12+VALUE($B45&amp;""))</f>
        <v/>
      </c>
      <c r="J45" s="94">
        <f>IF($A45="",0,$E45*설정!$C$23)</f>
        <v/>
      </c>
      <c r="K45" s="94">
        <f>IF($A45="",0,$F45*설정!$C$23)</f>
        <v/>
      </c>
      <c r="L45" s="94">
        <f>IF($A45="",0,$G45*설정!$C$23)</f>
        <v/>
      </c>
    </row>
    <row r="46">
      <c r="A46" s="92" t="n">
        <v>2025</v>
      </c>
      <c r="B46" s="92" t="n">
        <v>11</v>
      </c>
      <c r="C46" s="92" t="inlineStr">
        <is>
          <t>PF02</t>
        </is>
      </c>
      <c r="D46" s="92" t="inlineStr">
        <is>
          <t>저축성</t>
        </is>
      </c>
      <c r="E46" s="93" t="n">
        <v>356329000</v>
      </c>
      <c r="F46" s="93" t="n">
        <v>51118000</v>
      </c>
      <c r="G46" s="93" t="n">
        <v>140850000</v>
      </c>
      <c r="I46" s="9">
        <f>IF($A46="","",VALUE($A46&amp;"")*12+VALUE($B46&amp;""))</f>
        <v/>
      </c>
      <c r="J46" s="94">
        <f>IF($A46="",0,$E46*설정!$C$23)</f>
        <v/>
      </c>
      <c r="K46" s="94">
        <f>IF($A46="",0,$F46*설정!$C$23)</f>
        <v/>
      </c>
      <c r="L46" s="94">
        <f>IF($A46="",0,$G46*설정!$C$23)</f>
        <v/>
      </c>
    </row>
    <row r="47">
      <c r="A47" s="92" t="n">
        <v>2025</v>
      </c>
      <c r="B47" s="92" t="n">
        <v>11</v>
      </c>
      <c r="C47" s="92" t="inlineStr">
        <is>
          <t>PF03</t>
        </is>
      </c>
      <c r="D47" s="92" t="inlineStr">
        <is>
          <t>단체(단기)</t>
        </is>
      </c>
      <c r="E47" s="93" t="n">
        <v>179389000</v>
      </c>
      <c r="F47" s="93" t="n">
        <v>13809000</v>
      </c>
      <c r="G47" s="93" t="n">
        <v>38397000</v>
      </c>
      <c r="I47" s="9">
        <f>IF($A47="","",VALUE($A47&amp;"")*12+VALUE($B47&amp;""))</f>
        <v/>
      </c>
      <c r="J47" s="94">
        <f>IF($A47="",0,$E47*설정!$C$23)</f>
        <v/>
      </c>
      <c r="K47" s="94">
        <f>IF($A47="",0,$F47*설정!$C$23)</f>
        <v/>
      </c>
      <c r="L47" s="94">
        <f>IF($A47="",0,$G47*설정!$C$23)</f>
        <v/>
      </c>
    </row>
    <row r="48">
      <c r="A48" s="92" t="n">
        <v>2025</v>
      </c>
      <c r="B48" s="92" t="n">
        <v>11</v>
      </c>
      <c r="C48" s="92" t="inlineStr">
        <is>
          <t>PF04</t>
        </is>
      </c>
      <c r="D48" s="92" t="inlineStr">
        <is>
          <t>변액</t>
        </is>
      </c>
      <c r="E48" s="93" t="n">
        <v>265088000</v>
      </c>
      <c r="F48" s="93" t="n">
        <v>20086000</v>
      </c>
      <c r="G48" s="93" t="n">
        <v>57478000</v>
      </c>
      <c r="I48" s="9">
        <f>IF($A48="","",VALUE($A48&amp;"")*12+VALUE($B48&amp;""))</f>
        <v/>
      </c>
      <c r="J48" s="94">
        <f>IF($A48="",0,$E48*설정!$C$23)</f>
        <v/>
      </c>
      <c r="K48" s="94">
        <f>IF($A48="",0,$F48*설정!$C$23)</f>
        <v/>
      </c>
      <c r="L48" s="94">
        <f>IF($A48="",0,$G48*설정!$C$23)</f>
        <v/>
      </c>
    </row>
    <row r="49">
      <c r="A49" s="92" t="n">
        <v>2025</v>
      </c>
      <c r="B49" s="92" t="n">
        <v>12</v>
      </c>
      <c r="C49" s="92" t="inlineStr">
        <is>
          <t>PF01</t>
        </is>
      </c>
      <c r="D49" s="92" t="inlineStr">
        <is>
          <t>보장성</t>
        </is>
      </c>
      <c r="E49" s="93" t="n">
        <v>984740000</v>
      </c>
      <c r="F49" s="93" t="n">
        <v>86047000</v>
      </c>
      <c r="G49" s="93" t="n">
        <v>239639000</v>
      </c>
      <c r="I49" s="9">
        <f>IF($A49="","",VALUE($A49&amp;"")*12+VALUE($B49&amp;""))</f>
        <v/>
      </c>
      <c r="J49" s="94">
        <f>IF($A49="",0,$E49*설정!$C$23)</f>
        <v/>
      </c>
      <c r="K49" s="94">
        <f>IF($A49="",0,$F49*설정!$C$23)</f>
        <v/>
      </c>
      <c r="L49" s="94">
        <f>IF($A49="",0,$G49*설정!$C$23)</f>
        <v/>
      </c>
    </row>
    <row r="50">
      <c r="A50" s="92" t="n">
        <v>2025</v>
      </c>
      <c r="B50" s="92" t="n">
        <v>12</v>
      </c>
      <c r="C50" s="92" t="inlineStr">
        <is>
          <t>PF02</t>
        </is>
      </c>
      <c r="D50" s="92" t="inlineStr">
        <is>
          <t>저축성</t>
        </is>
      </c>
      <c r="E50" s="93" t="n">
        <v>353346000</v>
      </c>
      <c r="F50" s="93" t="n">
        <v>51135000</v>
      </c>
      <c r="G50" s="93" t="n">
        <v>140577000</v>
      </c>
      <c r="I50" s="9">
        <f>IF($A50="","",VALUE($A50&amp;"")*12+VALUE($B50&amp;""))</f>
        <v/>
      </c>
      <c r="J50" s="94">
        <f>IF($A50="",0,$E50*설정!$C$23)</f>
        <v/>
      </c>
      <c r="K50" s="94">
        <f>IF($A50="",0,$F50*설정!$C$23)</f>
        <v/>
      </c>
      <c r="L50" s="94">
        <f>IF($A50="",0,$G50*설정!$C$23)</f>
        <v/>
      </c>
    </row>
    <row r="51">
      <c r="A51" s="92" t="n">
        <v>2025</v>
      </c>
      <c r="B51" s="92" t="n">
        <v>12</v>
      </c>
      <c r="C51" s="92" t="inlineStr">
        <is>
          <t>PF03</t>
        </is>
      </c>
      <c r="D51" s="92" t="inlineStr">
        <is>
          <t>단체(단기)</t>
        </is>
      </c>
      <c r="E51" s="93" t="n">
        <v>180366000</v>
      </c>
      <c r="F51" s="93" t="n">
        <v>13693000</v>
      </c>
      <c r="G51" s="93" t="n">
        <v>37390000</v>
      </c>
      <c r="I51" s="9">
        <f>IF($A51="","",VALUE($A51&amp;"")*12+VALUE($B51&amp;""))</f>
        <v/>
      </c>
      <c r="J51" s="94">
        <f>IF($A51="",0,$E51*설정!$C$23)</f>
        <v/>
      </c>
      <c r="K51" s="94">
        <f>IF($A51="",0,$F51*설정!$C$23)</f>
        <v/>
      </c>
      <c r="L51" s="94">
        <f>IF($A51="",0,$G51*설정!$C$23)</f>
        <v/>
      </c>
    </row>
    <row r="52">
      <c r="A52" s="92" t="n">
        <v>2025</v>
      </c>
      <c r="B52" s="92" t="n">
        <v>12</v>
      </c>
      <c r="C52" s="92" t="inlineStr">
        <is>
          <t>PF04</t>
        </is>
      </c>
      <c r="D52" s="92" t="inlineStr">
        <is>
          <t>변액</t>
        </is>
      </c>
      <c r="E52" s="93" t="n">
        <v>267369000</v>
      </c>
      <c r="F52" s="93" t="n">
        <v>20459000</v>
      </c>
      <c r="G52" s="93" t="n">
        <v>56072000</v>
      </c>
      <c r="I52" s="9">
        <f>IF($A52="","",VALUE($A52&amp;"")*12+VALUE($B52&amp;""))</f>
        <v/>
      </c>
      <c r="J52" s="94">
        <f>IF($A52="",0,$E52*설정!$C$23)</f>
        <v/>
      </c>
      <c r="K52" s="94">
        <f>IF($A52="",0,$F52*설정!$C$23)</f>
        <v/>
      </c>
      <c r="L52" s="94">
        <f>IF($A52="",0,$G52*설정!$C$23)</f>
        <v/>
      </c>
    </row>
    <row r="53">
      <c r="A53" s="92" t="n">
        <v>2026</v>
      </c>
      <c r="B53" s="92" t="n">
        <v>1</v>
      </c>
      <c r="C53" s="92" t="inlineStr">
        <is>
          <t>PF01</t>
        </is>
      </c>
      <c r="D53" s="92" t="inlineStr">
        <is>
          <t>보장성</t>
        </is>
      </c>
      <c r="E53" s="93" t="n">
        <v>967583000</v>
      </c>
      <c r="F53" s="93" t="n">
        <v>84711000</v>
      </c>
      <c r="G53" s="93" t="n">
        <v>231864000</v>
      </c>
      <c r="I53" s="9">
        <f>IF($A53="","",VALUE($A53&amp;"")*12+VALUE($B53&amp;""))</f>
        <v/>
      </c>
      <c r="J53" s="94">
        <f>IF($A53="",0,$E53*설정!$C$23)</f>
        <v/>
      </c>
      <c r="K53" s="94">
        <f>IF($A53="",0,$F53*설정!$C$23)</f>
        <v/>
      </c>
      <c r="L53" s="94">
        <f>IF($A53="",0,$G53*설정!$C$23)</f>
        <v/>
      </c>
    </row>
    <row r="54">
      <c r="A54" s="92" t="n">
        <v>2026</v>
      </c>
      <c r="B54" s="92" t="n">
        <v>1</v>
      </c>
      <c r="C54" s="92" t="inlineStr">
        <is>
          <t>PF02</t>
        </is>
      </c>
      <c r="D54" s="92" t="inlineStr">
        <is>
          <t>저축성</t>
        </is>
      </c>
      <c r="E54" s="93" t="n">
        <v>356305000</v>
      </c>
      <c r="F54" s="93" t="n">
        <v>51775000</v>
      </c>
      <c r="G54" s="93" t="n">
        <v>143387000</v>
      </c>
      <c r="I54" s="9">
        <f>IF($A54="","",VALUE($A54&amp;"")*12+VALUE($B54&amp;""))</f>
        <v/>
      </c>
      <c r="J54" s="94">
        <f>IF($A54="",0,$E54*설정!$C$23)</f>
        <v/>
      </c>
      <c r="K54" s="94">
        <f>IF($A54="",0,$F54*설정!$C$23)</f>
        <v/>
      </c>
      <c r="L54" s="94">
        <f>IF($A54="",0,$G54*설정!$C$23)</f>
        <v/>
      </c>
    </row>
    <row r="55">
      <c r="A55" s="92" t="n">
        <v>2026</v>
      </c>
      <c r="B55" s="92" t="n">
        <v>1</v>
      </c>
      <c r="C55" s="92" t="inlineStr">
        <is>
          <t>PF03</t>
        </is>
      </c>
      <c r="D55" s="92" t="inlineStr">
        <is>
          <t>단체(단기)</t>
        </is>
      </c>
      <c r="E55" s="93" t="n">
        <v>175011000</v>
      </c>
      <c r="F55" s="93" t="n">
        <v>13745000</v>
      </c>
      <c r="G55" s="93" t="n">
        <v>38071000</v>
      </c>
      <c r="I55" s="9">
        <f>IF($A55="","",VALUE($A55&amp;"")*12+VALUE($B55&amp;""))</f>
        <v/>
      </c>
      <c r="J55" s="94">
        <f>IF($A55="",0,$E55*설정!$C$23)</f>
        <v/>
      </c>
      <c r="K55" s="94">
        <f>IF($A55="",0,$F55*설정!$C$23)</f>
        <v/>
      </c>
      <c r="L55" s="94">
        <f>IF($A55="",0,$G55*설정!$C$23)</f>
        <v/>
      </c>
    </row>
    <row r="56">
      <c r="A56" s="92" t="n">
        <v>2026</v>
      </c>
      <c r="B56" s="92" t="n">
        <v>1</v>
      </c>
      <c r="C56" s="92" t="inlineStr">
        <is>
          <t>PF04</t>
        </is>
      </c>
      <c r="D56" s="92" t="inlineStr">
        <is>
          <t>변액</t>
        </is>
      </c>
      <c r="E56" s="93" t="n">
        <v>269506000</v>
      </c>
      <c r="F56" s="93" t="n">
        <v>19966000</v>
      </c>
      <c r="G56" s="93" t="n">
        <v>57205000</v>
      </c>
      <c r="I56" s="9">
        <f>IF($A56="","",VALUE($A56&amp;"")*12+VALUE($B56&amp;""))</f>
        <v/>
      </c>
      <c r="J56" s="94">
        <f>IF($A56="",0,$E56*설정!$C$23)</f>
        <v/>
      </c>
      <c r="K56" s="94">
        <f>IF($A56="",0,$F56*설정!$C$23)</f>
        <v/>
      </c>
      <c r="L56" s="94">
        <f>IF($A56="",0,$G56*설정!$C$23)</f>
        <v/>
      </c>
    </row>
    <row r="57">
      <c r="A57" s="92" t="n">
        <v>2026</v>
      </c>
      <c r="B57" s="92" t="n">
        <v>2</v>
      </c>
      <c r="C57" s="92" t="inlineStr">
        <is>
          <t>PF01</t>
        </is>
      </c>
      <c r="D57" s="92" t="inlineStr">
        <is>
          <t>보장성</t>
        </is>
      </c>
      <c r="E57" s="93" t="n">
        <v>973929000</v>
      </c>
      <c r="F57" s="93" t="n">
        <v>86318000</v>
      </c>
      <c r="G57" s="93" t="n">
        <v>235434000</v>
      </c>
      <c r="I57" s="9">
        <f>IF($A57="","",VALUE($A57&amp;"")*12+VALUE($B57&amp;""))</f>
        <v/>
      </c>
      <c r="J57" s="94">
        <f>IF($A57="",0,$E57*설정!$C$23)</f>
        <v/>
      </c>
      <c r="K57" s="94">
        <f>IF($A57="",0,$F57*설정!$C$23)</f>
        <v/>
      </c>
      <c r="L57" s="94">
        <f>IF($A57="",0,$G57*설정!$C$23)</f>
        <v/>
      </c>
    </row>
    <row r="58">
      <c r="A58" s="92" t="n">
        <v>2026</v>
      </c>
      <c r="B58" s="92" t="n">
        <v>2</v>
      </c>
      <c r="C58" s="92" t="inlineStr">
        <is>
          <t>PF02</t>
        </is>
      </c>
      <c r="D58" s="92" t="inlineStr">
        <is>
          <t>저축성</t>
        </is>
      </c>
      <c r="E58" s="93" t="n">
        <v>356611000</v>
      </c>
      <c r="F58" s="93" t="n">
        <v>50500000</v>
      </c>
      <c r="G58" s="93" t="n">
        <v>144363000</v>
      </c>
      <c r="I58" s="9">
        <f>IF($A58="","",VALUE($A58&amp;"")*12+VALUE($B58&amp;""))</f>
        <v/>
      </c>
      <c r="J58" s="94">
        <f>IF($A58="",0,$E58*설정!$C$23)</f>
        <v/>
      </c>
      <c r="K58" s="94">
        <f>IF($A58="",0,$F58*설정!$C$23)</f>
        <v/>
      </c>
      <c r="L58" s="94">
        <f>IF($A58="",0,$G58*설정!$C$23)</f>
        <v/>
      </c>
    </row>
    <row r="59">
      <c r="A59" s="92" t="n">
        <v>2026</v>
      </c>
      <c r="B59" s="92" t="n">
        <v>2</v>
      </c>
      <c r="C59" s="92" t="inlineStr">
        <is>
          <t>PF03</t>
        </is>
      </c>
      <c r="D59" s="92" t="inlineStr">
        <is>
          <t>단체(단기)</t>
        </is>
      </c>
      <c r="E59" s="93" t="n">
        <v>177267000</v>
      </c>
      <c r="F59" s="93" t="n">
        <v>13849000</v>
      </c>
      <c r="G59" s="93" t="n">
        <v>37960000</v>
      </c>
      <c r="I59" s="9">
        <f>IF($A59="","",VALUE($A59&amp;"")*12+VALUE($B59&amp;""))</f>
        <v/>
      </c>
      <c r="J59" s="94">
        <f>IF($A59="",0,$E59*설정!$C$23)</f>
        <v/>
      </c>
      <c r="K59" s="94">
        <f>IF($A59="",0,$F59*설정!$C$23)</f>
        <v/>
      </c>
      <c r="L59" s="94">
        <f>IF($A59="",0,$G59*설정!$C$23)</f>
        <v/>
      </c>
    </row>
    <row r="60">
      <c r="A60" s="92" t="n">
        <v>2026</v>
      </c>
      <c r="B60" s="92" t="n">
        <v>2</v>
      </c>
      <c r="C60" s="92" t="inlineStr">
        <is>
          <t>PF04</t>
        </is>
      </c>
      <c r="D60" s="92" t="inlineStr">
        <is>
          <t>변액</t>
        </is>
      </c>
      <c r="E60" s="93" t="n">
        <v>265112000</v>
      </c>
      <c r="F60" s="93" t="n">
        <v>20595000</v>
      </c>
      <c r="G60" s="93" t="n">
        <v>56979000</v>
      </c>
      <c r="I60" s="9">
        <f>IF($A60="","",VALUE($A60&amp;"")*12+VALUE($B60&amp;""))</f>
        <v/>
      </c>
      <c r="J60" s="94">
        <f>IF($A60="",0,$E60*설정!$C$23)</f>
        <v/>
      </c>
      <c r="K60" s="94">
        <f>IF($A60="",0,$F60*설정!$C$23)</f>
        <v/>
      </c>
      <c r="L60" s="94">
        <f>IF($A60="",0,$G60*설정!$C$23)</f>
        <v/>
      </c>
    </row>
    <row r="61">
      <c r="A61" s="92" t="n">
        <v>2026</v>
      </c>
      <c r="B61" s="92" t="n">
        <v>3</v>
      </c>
      <c r="C61" s="92" t="inlineStr">
        <is>
          <t>PF01</t>
        </is>
      </c>
      <c r="D61" s="92" t="inlineStr">
        <is>
          <t>보장성</t>
        </is>
      </c>
      <c r="E61" s="93" t="n">
        <v>970051000</v>
      </c>
      <c r="F61" s="93" t="n">
        <v>86856000</v>
      </c>
      <c r="G61" s="93" t="n">
        <v>235877000</v>
      </c>
      <c r="I61" s="9">
        <f>IF($A61="","",VALUE($A61&amp;"")*12+VALUE($B61&amp;""))</f>
        <v/>
      </c>
      <c r="J61" s="94">
        <f>IF($A61="",0,$E61*설정!$C$23)</f>
        <v/>
      </c>
      <c r="K61" s="94">
        <f>IF($A61="",0,$F61*설정!$C$23)</f>
        <v/>
      </c>
      <c r="L61" s="94">
        <f>IF($A61="",0,$G61*설정!$C$23)</f>
        <v/>
      </c>
    </row>
    <row r="62">
      <c r="A62" s="92" t="n">
        <v>2026</v>
      </c>
      <c r="B62" s="92" t="n">
        <v>3</v>
      </c>
      <c r="C62" s="92" t="inlineStr">
        <is>
          <t>PF02</t>
        </is>
      </c>
      <c r="D62" s="92" t="inlineStr">
        <is>
          <t>저축성</t>
        </is>
      </c>
      <c r="E62" s="93" t="n">
        <v>352700000</v>
      </c>
      <c r="F62" s="93" t="n">
        <v>51996000</v>
      </c>
      <c r="G62" s="93" t="n">
        <v>144132000</v>
      </c>
      <c r="I62" s="9">
        <f>IF($A62="","",VALUE($A62&amp;"")*12+VALUE($B62&amp;""))</f>
        <v/>
      </c>
      <c r="J62" s="94">
        <f>IF($A62="",0,$E62*설정!$C$23)</f>
        <v/>
      </c>
      <c r="K62" s="94">
        <f>IF($A62="",0,$F62*설정!$C$23)</f>
        <v/>
      </c>
      <c r="L62" s="94">
        <f>IF($A62="",0,$G62*설정!$C$23)</f>
        <v/>
      </c>
    </row>
    <row r="63">
      <c r="A63" s="92" t="n">
        <v>2026</v>
      </c>
      <c r="B63" s="92" t="n">
        <v>3</v>
      </c>
      <c r="C63" s="92" t="inlineStr">
        <is>
          <t>PF03</t>
        </is>
      </c>
      <c r="D63" s="92" t="inlineStr">
        <is>
          <t>단체(단기)</t>
        </is>
      </c>
      <c r="E63" s="93" t="n">
        <v>178953000</v>
      </c>
      <c r="F63" s="93" t="n">
        <v>13547000</v>
      </c>
      <c r="G63" s="93" t="n">
        <v>38130000</v>
      </c>
      <c r="I63" s="9">
        <f>IF($A63="","",VALUE($A63&amp;"")*12+VALUE($B63&amp;""))</f>
        <v/>
      </c>
      <c r="J63" s="94">
        <f>IF($A63="",0,$E63*설정!$C$23)</f>
        <v/>
      </c>
      <c r="K63" s="94">
        <f>IF($A63="",0,$F63*설정!$C$23)</f>
        <v/>
      </c>
      <c r="L63" s="94">
        <f>IF($A63="",0,$G63*설정!$C$23)</f>
        <v/>
      </c>
    </row>
    <row r="64">
      <c r="A64" s="92" t="n">
        <v>2026</v>
      </c>
      <c r="B64" s="92" t="n">
        <v>3</v>
      </c>
      <c r="C64" s="92" t="inlineStr">
        <is>
          <t>PF04</t>
        </is>
      </c>
      <c r="D64" s="92" t="inlineStr">
        <is>
          <t>변액</t>
        </is>
      </c>
      <c r="E64" s="93" t="n">
        <v>270593000</v>
      </c>
      <c r="F64" s="93" t="n">
        <v>20735000</v>
      </c>
      <c r="G64" s="93" t="n">
        <v>57110000</v>
      </c>
      <c r="I64" s="9">
        <f>IF($A64="","",VALUE($A64&amp;"")*12+VALUE($B64&amp;""))</f>
        <v/>
      </c>
      <c r="J64" s="94">
        <f>IF($A64="",0,$E64*설정!$C$23)</f>
        <v/>
      </c>
      <c r="K64" s="94">
        <f>IF($A64="",0,$F64*설정!$C$23)</f>
        <v/>
      </c>
      <c r="L64" s="94">
        <f>IF($A64="",0,$G64*설정!$C$23)</f>
        <v/>
      </c>
    </row>
    <row r="65">
      <c r="A65" s="92" t="n">
        <v>2026</v>
      </c>
      <c r="B65" s="92" t="n">
        <v>4</v>
      </c>
      <c r="C65" s="92" t="inlineStr">
        <is>
          <t>PF01</t>
        </is>
      </c>
      <c r="D65" s="92" t="inlineStr">
        <is>
          <t>보장성</t>
        </is>
      </c>
      <c r="E65" s="93" t="n">
        <v>994943000</v>
      </c>
      <c r="F65" s="93" t="n">
        <v>86922000</v>
      </c>
      <c r="G65" s="93" t="n">
        <v>235505000</v>
      </c>
      <c r="I65" s="9">
        <f>IF($A65="","",VALUE($A65&amp;"")*12+VALUE($B65&amp;""))</f>
        <v/>
      </c>
      <c r="J65" s="94">
        <f>IF($A65="",0,$E65*설정!$C$23)</f>
        <v/>
      </c>
      <c r="K65" s="94">
        <f>IF($A65="",0,$F65*설정!$C$23)</f>
        <v/>
      </c>
      <c r="L65" s="94">
        <f>IF($A65="",0,$G65*설정!$C$23)</f>
        <v/>
      </c>
    </row>
    <row r="66">
      <c r="A66" s="92" t="n">
        <v>2026</v>
      </c>
      <c r="B66" s="92" t="n">
        <v>4</v>
      </c>
      <c r="C66" s="92" t="inlineStr">
        <is>
          <t>PF02</t>
        </is>
      </c>
      <c r="D66" s="92" t="inlineStr">
        <is>
          <t>저축성</t>
        </is>
      </c>
      <c r="E66" s="93" t="n">
        <v>356208000</v>
      </c>
      <c r="F66" s="93" t="n">
        <v>51664000</v>
      </c>
      <c r="G66" s="93" t="n">
        <v>144533000</v>
      </c>
      <c r="I66" s="9">
        <f>IF($A66="","",VALUE($A66&amp;"")*12+VALUE($B66&amp;""))</f>
        <v/>
      </c>
      <c r="J66" s="94">
        <f>IF($A66="",0,$E66*설정!$C$23)</f>
        <v/>
      </c>
      <c r="K66" s="94">
        <f>IF($A66="",0,$F66*설정!$C$23)</f>
        <v/>
      </c>
      <c r="L66" s="94">
        <f>IF($A66="",0,$G66*설정!$C$23)</f>
        <v/>
      </c>
    </row>
    <row r="67">
      <c r="A67" s="92" t="n">
        <v>2026</v>
      </c>
      <c r="B67" s="92" t="n">
        <v>4</v>
      </c>
      <c r="C67" s="92" t="inlineStr">
        <is>
          <t>PF03</t>
        </is>
      </c>
      <c r="D67" s="92" t="inlineStr">
        <is>
          <t>단체(단기)</t>
        </is>
      </c>
      <c r="E67" s="93" t="n">
        <v>182594000</v>
      </c>
      <c r="F67" s="93" t="n">
        <v>13981000</v>
      </c>
      <c r="G67" s="93" t="n">
        <v>38061000</v>
      </c>
      <c r="I67" s="9">
        <f>IF($A67="","",VALUE($A67&amp;"")*12+VALUE($B67&amp;""))</f>
        <v/>
      </c>
      <c r="J67" s="94">
        <f>IF($A67="",0,$E67*설정!$C$23)</f>
        <v/>
      </c>
      <c r="K67" s="94">
        <f>IF($A67="",0,$F67*설정!$C$23)</f>
        <v/>
      </c>
      <c r="L67" s="94">
        <f>IF($A67="",0,$G67*설정!$C$23)</f>
        <v/>
      </c>
    </row>
    <row r="68">
      <c r="A68" s="92" t="n">
        <v>2026</v>
      </c>
      <c r="B68" s="92" t="n">
        <v>4</v>
      </c>
      <c r="C68" s="92" t="inlineStr">
        <is>
          <t>PF04</t>
        </is>
      </c>
      <c r="D68" s="92" t="inlineStr">
        <is>
          <t>변액</t>
        </is>
      </c>
      <c r="E68" s="93" t="n">
        <v>272927000</v>
      </c>
      <c r="F68" s="93" t="n">
        <v>20353000</v>
      </c>
      <c r="G68" s="93" t="n">
        <v>56977000</v>
      </c>
      <c r="I68" s="9">
        <f>IF($A68="","",VALUE($A68&amp;"")*12+VALUE($B68&amp;""))</f>
        <v/>
      </c>
      <c r="J68" s="94">
        <f>IF($A68="",0,$E68*설정!$C$23)</f>
        <v/>
      </c>
      <c r="K68" s="94">
        <f>IF($A68="",0,$F68*설정!$C$23)</f>
        <v/>
      </c>
      <c r="L68" s="94">
        <f>IF($A68="",0,$G68*설정!$C$23)</f>
        <v/>
      </c>
    </row>
    <row r="69">
      <c r="A69" s="92" t="n">
        <v>2026</v>
      </c>
      <c r="B69" s="92" t="n">
        <v>5</v>
      </c>
      <c r="C69" s="92" t="inlineStr">
        <is>
          <t>PF01</t>
        </is>
      </c>
      <c r="D69" s="92" t="inlineStr">
        <is>
          <t>보장성</t>
        </is>
      </c>
      <c r="E69" s="93" t="n">
        <v>978290000</v>
      </c>
      <c r="F69" s="93" t="n">
        <v>87482000</v>
      </c>
      <c r="G69" s="93" t="n">
        <v>244250000</v>
      </c>
      <c r="I69" s="9">
        <f>IF($A69="","",VALUE($A69&amp;"")*12+VALUE($B69&amp;""))</f>
        <v/>
      </c>
      <c r="J69" s="94">
        <f>IF($A69="",0,$E69*설정!$C$23)</f>
        <v/>
      </c>
      <c r="K69" s="94">
        <f>IF($A69="",0,$F69*설정!$C$23)</f>
        <v/>
      </c>
      <c r="L69" s="94">
        <f>IF($A69="",0,$G69*설정!$C$23)</f>
        <v/>
      </c>
    </row>
    <row r="70">
      <c r="A70" s="92" t="n">
        <v>2026</v>
      </c>
      <c r="B70" s="92" t="n">
        <v>5</v>
      </c>
      <c r="C70" s="92" t="inlineStr">
        <is>
          <t>PF02</t>
        </is>
      </c>
      <c r="D70" s="92" t="inlineStr">
        <is>
          <t>저축성</t>
        </is>
      </c>
      <c r="E70" s="93" t="n">
        <v>364472000</v>
      </c>
      <c r="F70" s="93" t="n">
        <v>52318000</v>
      </c>
      <c r="G70" s="93" t="n">
        <v>142944000</v>
      </c>
      <c r="I70" s="9">
        <f>IF($A70="","",VALUE($A70&amp;"")*12+VALUE($B70&amp;""))</f>
        <v/>
      </c>
      <c r="J70" s="94">
        <f>IF($A70="",0,$E70*설정!$C$23)</f>
        <v/>
      </c>
      <c r="K70" s="94">
        <f>IF($A70="",0,$F70*설정!$C$23)</f>
        <v/>
      </c>
      <c r="L70" s="94">
        <f>IF($A70="",0,$G70*설정!$C$23)</f>
        <v/>
      </c>
    </row>
    <row r="71">
      <c r="A71" s="92" t="n">
        <v>2026</v>
      </c>
      <c r="B71" s="92" t="n">
        <v>5</v>
      </c>
      <c r="C71" s="92" t="inlineStr">
        <is>
          <t>PF03</t>
        </is>
      </c>
      <c r="D71" s="92" t="inlineStr">
        <is>
          <t>단체(단기)</t>
        </is>
      </c>
      <c r="E71" s="93" t="n">
        <v>183143000</v>
      </c>
      <c r="F71" s="93" t="n">
        <v>13583000</v>
      </c>
      <c r="G71" s="93" t="n">
        <v>38116000</v>
      </c>
      <c r="I71" s="9">
        <f>IF($A71="","",VALUE($A71&amp;"")*12+VALUE($B71&amp;""))</f>
        <v/>
      </c>
      <c r="J71" s="94">
        <f>IF($A71="",0,$E71*설정!$C$23)</f>
        <v/>
      </c>
      <c r="K71" s="94">
        <f>IF($A71="",0,$F71*설정!$C$23)</f>
        <v/>
      </c>
      <c r="L71" s="94">
        <f>IF($A71="",0,$G71*설정!$C$23)</f>
        <v/>
      </c>
    </row>
    <row r="72">
      <c r="A72" s="92" t="n">
        <v>2026</v>
      </c>
      <c r="B72" s="92" t="n">
        <v>5</v>
      </c>
      <c r="C72" s="92" t="inlineStr">
        <is>
          <t>PF04</t>
        </is>
      </c>
      <c r="D72" s="92" t="inlineStr">
        <is>
          <t>변액</t>
        </is>
      </c>
      <c r="E72" s="93" t="n">
        <v>269891000</v>
      </c>
      <c r="F72" s="93" t="n">
        <v>21019000</v>
      </c>
      <c r="G72" s="93" t="n">
        <v>56719000</v>
      </c>
      <c r="I72" s="9">
        <f>IF($A72="","",VALUE($A72&amp;"")*12+VALUE($B72&amp;""))</f>
        <v/>
      </c>
      <c r="J72" s="94">
        <f>IF($A72="",0,$E72*설정!$C$23)</f>
        <v/>
      </c>
      <c r="K72" s="94">
        <f>IF($A72="",0,$F72*설정!$C$23)</f>
        <v/>
      </c>
      <c r="L72" s="94">
        <f>IF($A72="",0,$G72*설정!$C$23)</f>
        <v/>
      </c>
    </row>
    <row r="73">
      <c r="A73" s="92" t="n">
        <v>2026</v>
      </c>
      <c r="B73" s="92" t="n">
        <v>6</v>
      </c>
      <c r="C73" s="92" t="inlineStr">
        <is>
          <t>PF01</t>
        </is>
      </c>
      <c r="D73" s="92" t="inlineStr">
        <is>
          <t>보장성</t>
        </is>
      </c>
      <c r="E73" s="93" t="n">
        <v>984098000</v>
      </c>
      <c r="F73" s="93" t="n">
        <v>85182000</v>
      </c>
      <c r="G73" s="93" t="n">
        <v>243924000</v>
      </c>
      <c r="I73" s="9">
        <f>IF($A73="","",VALUE($A73&amp;"")*12+VALUE($B73&amp;""))</f>
        <v/>
      </c>
      <c r="J73" s="94">
        <f>IF($A73="",0,$E73*설정!$C$23)</f>
        <v/>
      </c>
      <c r="K73" s="94">
        <f>IF($A73="",0,$F73*설정!$C$23)</f>
        <v/>
      </c>
      <c r="L73" s="94">
        <f>IF($A73="",0,$G73*설정!$C$23)</f>
        <v/>
      </c>
    </row>
    <row r="74">
      <c r="A74" s="92" t="n">
        <v>2026</v>
      </c>
      <c r="B74" s="92" t="n">
        <v>6</v>
      </c>
      <c r="C74" s="92" t="inlineStr">
        <is>
          <t>PF02</t>
        </is>
      </c>
      <c r="D74" s="92" t="inlineStr">
        <is>
          <t>저축성</t>
        </is>
      </c>
      <c r="E74" s="93" t="n">
        <v>360122000</v>
      </c>
      <c r="F74" s="93" t="n">
        <v>52801000</v>
      </c>
      <c r="G74" s="93" t="n">
        <v>143294000</v>
      </c>
      <c r="I74" s="9">
        <f>IF($A74="","",VALUE($A74&amp;"")*12+VALUE($B74&amp;""))</f>
        <v/>
      </c>
      <c r="J74" s="94">
        <f>IF($A74="",0,$E74*설정!$C$23)</f>
        <v/>
      </c>
      <c r="K74" s="94">
        <f>IF($A74="",0,$F74*설정!$C$23)</f>
        <v/>
      </c>
      <c r="L74" s="94">
        <f>IF($A74="",0,$G74*설정!$C$23)</f>
        <v/>
      </c>
    </row>
    <row r="75">
      <c r="A75" s="92" t="n">
        <v>2026</v>
      </c>
      <c r="B75" s="92" t="n">
        <v>6</v>
      </c>
      <c r="C75" s="92" t="inlineStr">
        <is>
          <t>PF03</t>
        </is>
      </c>
      <c r="D75" s="92" t="inlineStr">
        <is>
          <t>단체(단기)</t>
        </is>
      </c>
      <c r="E75" s="93" t="n">
        <v>183843000</v>
      </c>
      <c r="F75" s="93" t="n">
        <v>13688000</v>
      </c>
      <c r="G75" s="93" t="n">
        <v>39120000</v>
      </c>
      <c r="I75" s="9">
        <f>IF($A75="","",VALUE($A75&amp;"")*12+VALUE($B75&amp;""))</f>
        <v/>
      </c>
      <c r="J75" s="94">
        <f>IF($A75="",0,$E75*설정!$C$23)</f>
        <v/>
      </c>
      <c r="K75" s="94">
        <f>IF($A75="",0,$F75*설정!$C$23)</f>
        <v/>
      </c>
      <c r="L75" s="94">
        <f>IF($A75="",0,$G75*설정!$C$23)</f>
        <v/>
      </c>
    </row>
    <row r="76">
      <c r="A76" s="92" t="n">
        <v>2026</v>
      </c>
      <c r="B76" s="92" t="n">
        <v>6</v>
      </c>
      <c r="C76" s="92" t="inlineStr">
        <is>
          <t>PF04</t>
        </is>
      </c>
      <c r="D76" s="92" t="inlineStr">
        <is>
          <t>변액</t>
        </is>
      </c>
      <c r="E76" s="93" t="n">
        <v>277256000</v>
      </c>
      <c r="F76" s="93" t="n">
        <v>21100000</v>
      </c>
      <c r="G76" s="93" t="n">
        <v>58193000</v>
      </c>
      <c r="I76" s="9">
        <f>IF($A76="","",VALUE($A76&amp;"")*12+VALUE($B76&amp;""))</f>
        <v/>
      </c>
      <c r="J76" s="94">
        <f>IF($A76="",0,$E76*설정!$C$23)</f>
        <v/>
      </c>
      <c r="K76" s="94">
        <f>IF($A76="",0,$F76*설정!$C$23)</f>
        <v/>
      </c>
      <c r="L76" s="94">
        <f>IF($A76="",0,$G76*설정!$C$23)</f>
        <v/>
      </c>
    </row>
    <row r="77">
      <c r="A77" s="92" t="n">
        <v>2026</v>
      </c>
      <c r="B77" s="92" t="n">
        <v>7</v>
      </c>
      <c r="C77" s="92" t="inlineStr">
        <is>
          <t>PF01</t>
        </is>
      </c>
      <c r="D77" s="92" t="inlineStr">
        <is>
          <t>보장성</t>
        </is>
      </c>
      <c r="E77" s="93" t="n">
        <v>1017025000</v>
      </c>
      <c r="F77" s="93" t="n">
        <v>88537000</v>
      </c>
      <c r="G77" s="93" t="n">
        <v>245961000</v>
      </c>
      <c r="I77" s="9">
        <f>IF($A77="","",VALUE($A77&amp;"")*12+VALUE($B77&amp;""))</f>
        <v/>
      </c>
      <c r="J77" s="94">
        <f>IF($A77="",0,$E77*설정!$C$23)</f>
        <v/>
      </c>
      <c r="K77" s="94">
        <f>IF($A77="",0,$F77*설정!$C$23)</f>
        <v/>
      </c>
      <c r="L77" s="94">
        <f>IF($A77="",0,$G77*설정!$C$23)</f>
        <v/>
      </c>
    </row>
    <row r="78">
      <c r="A78" s="92" t="n">
        <v>2026</v>
      </c>
      <c r="B78" s="92" t="n">
        <v>7</v>
      </c>
      <c r="C78" s="92" t="inlineStr">
        <is>
          <t>PF02</t>
        </is>
      </c>
      <c r="D78" s="92" t="inlineStr">
        <is>
          <t>저축성</t>
        </is>
      </c>
      <c r="E78" s="93" t="n">
        <v>360785000</v>
      </c>
      <c r="F78" s="93" t="n">
        <v>52988000</v>
      </c>
      <c r="G78" s="93" t="n">
        <v>146510000</v>
      </c>
      <c r="I78" s="9">
        <f>IF($A78="","",VALUE($A78&amp;"")*12+VALUE($B78&amp;""))</f>
        <v/>
      </c>
      <c r="J78" s="94">
        <f>IF($A78="",0,$E78*설정!$C$23)</f>
        <v/>
      </c>
      <c r="K78" s="94">
        <f>IF($A78="",0,$F78*설정!$C$23)</f>
        <v/>
      </c>
      <c r="L78" s="94">
        <f>IF($A78="",0,$G78*설정!$C$23)</f>
        <v/>
      </c>
    </row>
    <row r="79">
      <c r="A79" s="92" t="n">
        <v>2026</v>
      </c>
      <c r="B79" s="92" t="n">
        <v>7</v>
      </c>
      <c r="C79" s="92" t="inlineStr">
        <is>
          <t>PF03</t>
        </is>
      </c>
      <c r="D79" s="92" t="inlineStr">
        <is>
          <t>단체(단기)</t>
        </is>
      </c>
      <c r="E79" s="93" t="n">
        <v>180906000</v>
      </c>
      <c r="F79" s="93" t="n">
        <v>13750000</v>
      </c>
      <c r="G79" s="93" t="n">
        <v>39255000</v>
      </c>
      <c r="I79" s="9">
        <f>IF($A79="","",VALUE($A79&amp;"")*12+VALUE($B79&amp;""))</f>
        <v/>
      </c>
      <c r="J79" s="94">
        <f>IF($A79="",0,$E79*설정!$C$23)</f>
        <v/>
      </c>
      <c r="K79" s="94">
        <f>IF($A79="",0,$F79*설정!$C$23)</f>
        <v/>
      </c>
      <c r="L79" s="94">
        <f>IF($A79="",0,$G79*설정!$C$23)</f>
        <v/>
      </c>
    </row>
    <row r="80">
      <c r="A80" s="92" t="n">
        <v>2026</v>
      </c>
      <c r="B80" s="92" t="n">
        <v>7</v>
      </c>
      <c r="C80" s="92" t="inlineStr">
        <is>
          <t>PF04</t>
        </is>
      </c>
      <c r="D80" s="92" t="inlineStr">
        <is>
          <t>변액</t>
        </is>
      </c>
      <c r="E80" s="93" t="n">
        <v>272740000</v>
      </c>
      <c r="F80" s="93" t="n">
        <v>20928000</v>
      </c>
      <c r="G80" s="93" t="n">
        <v>58852000</v>
      </c>
      <c r="I80" s="9">
        <f>IF($A80="","",VALUE($A80&amp;"")*12+VALUE($B80&amp;""))</f>
        <v/>
      </c>
      <c r="J80" s="94">
        <f>IF($A80="",0,$E80*설정!$C$23)</f>
        <v/>
      </c>
      <c r="K80" s="94">
        <f>IF($A80="",0,$F80*설정!$C$23)</f>
        <v/>
      </c>
      <c r="L80" s="94">
        <f>IF($A80="",0,$G80*설정!$C$23)</f>
        <v/>
      </c>
    </row>
    <row r="81">
      <c r="A81" s="92" t="n">
        <v>2026</v>
      </c>
      <c r="B81" s="92" t="n">
        <v>8</v>
      </c>
      <c r="C81" s="92" t="inlineStr">
        <is>
          <t>PF01</t>
        </is>
      </c>
      <c r="D81" s="92" t="inlineStr">
        <is>
          <t>보장성</t>
        </is>
      </c>
      <c r="E81" s="93" t="n">
        <v>1005022000</v>
      </c>
      <c r="F81" s="93" t="n">
        <v>86701000</v>
      </c>
      <c r="G81" s="93" t="n">
        <v>244339000</v>
      </c>
      <c r="I81" s="9">
        <f>IF($A81="","",VALUE($A81&amp;"")*12+VALUE($B81&amp;""))</f>
        <v/>
      </c>
      <c r="J81" s="94">
        <f>IF($A81="",0,$E81*설정!$C$23)</f>
        <v/>
      </c>
      <c r="K81" s="94">
        <f>IF($A81="",0,$F81*설정!$C$23)</f>
        <v/>
      </c>
      <c r="L81" s="94">
        <f>IF($A81="",0,$G81*설정!$C$23)</f>
        <v/>
      </c>
    </row>
    <row r="82">
      <c r="A82" s="92" t="n">
        <v>2026</v>
      </c>
      <c r="B82" s="92" t="n">
        <v>8</v>
      </c>
      <c r="C82" s="92" t="inlineStr">
        <is>
          <t>PF02</t>
        </is>
      </c>
      <c r="D82" s="92" t="inlineStr">
        <is>
          <t>저축성</t>
        </is>
      </c>
      <c r="E82" s="93" t="n">
        <v>366172000</v>
      </c>
      <c r="F82" s="93" t="n">
        <v>52062000</v>
      </c>
      <c r="G82" s="93" t="n">
        <v>146639000</v>
      </c>
      <c r="I82" s="9">
        <f>IF($A82="","",VALUE($A82&amp;"")*12+VALUE($B82&amp;""))</f>
        <v/>
      </c>
      <c r="J82" s="94">
        <f>IF($A82="",0,$E82*설정!$C$23)</f>
        <v/>
      </c>
      <c r="K82" s="94">
        <f>IF($A82="",0,$F82*설정!$C$23)</f>
        <v/>
      </c>
      <c r="L82" s="94">
        <f>IF($A82="",0,$G82*설정!$C$23)</f>
        <v/>
      </c>
    </row>
    <row r="83">
      <c r="A83" s="92" t="n">
        <v>2026</v>
      </c>
      <c r="B83" s="92" t="n">
        <v>8</v>
      </c>
      <c r="C83" s="92" t="inlineStr">
        <is>
          <t>PF03</t>
        </is>
      </c>
      <c r="D83" s="92" t="inlineStr">
        <is>
          <t>단체(단기)</t>
        </is>
      </c>
      <c r="E83" s="93" t="n">
        <v>185804000</v>
      </c>
      <c r="F83" s="93" t="n">
        <v>13868000</v>
      </c>
      <c r="G83" s="93" t="n">
        <v>39291000</v>
      </c>
      <c r="I83" s="9">
        <f>IF($A83="","",VALUE($A83&amp;"")*12+VALUE($B83&amp;""))</f>
        <v/>
      </c>
      <c r="J83" s="94">
        <f>IF($A83="",0,$E83*설정!$C$23)</f>
        <v/>
      </c>
      <c r="K83" s="94">
        <f>IF($A83="",0,$F83*설정!$C$23)</f>
        <v/>
      </c>
      <c r="L83" s="94">
        <f>IF($A83="",0,$G83*설정!$C$23)</f>
        <v/>
      </c>
    </row>
    <row r="84">
      <c r="A84" s="92" t="n">
        <v>2026</v>
      </c>
      <c r="B84" s="92" t="n">
        <v>8</v>
      </c>
      <c r="C84" s="92" t="inlineStr">
        <is>
          <t>PF04</t>
        </is>
      </c>
      <c r="D84" s="92" t="inlineStr">
        <is>
          <t>변액</t>
        </is>
      </c>
      <c r="E84" s="93" t="n">
        <v>277057000</v>
      </c>
      <c r="F84" s="93" t="n">
        <v>21035000</v>
      </c>
      <c r="G84" s="93" t="n">
        <v>57494000</v>
      </c>
      <c r="I84" s="9">
        <f>IF($A84="","",VALUE($A84&amp;"")*12+VALUE($B84&amp;""))</f>
        <v/>
      </c>
      <c r="J84" s="94">
        <f>IF($A84="",0,$E84*설정!$C$23)</f>
        <v/>
      </c>
      <c r="K84" s="94">
        <f>IF($A84="",0,$F84*설정!$C$23)</f>
        <v/>
      </c>
      <c r="L84" s="94">
        <f>IF($A84="",0,$G84*설정!$C$23)</f>
        <v/>
      </c>
    </row>
    <row r="85">
      <c r="A85" s="92" t="n">
        <v>2026</v>
      </c>
      <c r="B85" s="92" t="n">
        <v>9</v>
      </c>
      <c r="C85" s="92" t="inlineStr">
        <is>
          <t>PF01</t>
        </is>
      </c>
      <c r="D85" s="92" t="inlineStr">
        <is>
          <t>보장성</t>
        </is>
      </c>
      <c r="E85" s="93" t="n">
        <v>1015413000</v>
      </c>
      <c r="F85" s="93" t="n">
        <v>87568000</v>
      </c>
      <c r="G85" s="93" t="n">
        <v>241307000</v>
      </c>
      <c r="I85" s="9">
        <f>IF($A85="","",VALUE($A85&amp;"")*12+VALUE($B85&amp;""))</f>
        <v/>
      </c>
      <c r="J85" s="94">
        <f>IF($A85="",0,$E85*설정!$C$23)</f>
        <v/>
      </c>
      <c r="K85" s="94">
        <f>IF($A85="",0,$F85*설정!$C$23)</f>
        <v/>
      </c>
      <c r="L85" s="94">
        <f>IF($A85="",0,$G85*설정!$C$23)</f>
        <v/>
      </c>
    </row>
    <row r="86">
      <c r="A86" s="92" t="n">
        <v>2026</v>
      </c>
      <c r="B86" s="92" t="n">
        <v>9</v>
      </c>
      <c r="C86" s="92" t="inlineStr">
        <is>
          <t>PF02</t>
        </is>
      </c>
      <c r="D86" s="92" t="inlineStr">
        <is>
          <t>저축성</t>
        </is>
      </c>
      <c r="E86" s="93" t="n">
        <v>372007000</v>
      </c>
      <c r="F86" s="93" t="n">
        <v>52518000</v>
      </c>
      <c r="G86" s="93" t="n">
        <v>143858000</v>
      </c>
      <c r="I86" s="9">
        <f>IF($A86="","",VALUE($A86&amp;"")*12+VALUE($B86&amp;""))</f>
        <v/>
      </c>
      <c r="J86" s="94">
        <f>IF($A86="",0,$E86*설정!$C$23)</f>
        <v/>
      </c>
      <c r="K86" s="94">
        <f>IF($A86="",0,$F86*설정!$C$23)</f>
        <v/>
      </c>
      <c r="L86" s="94">
        <f>IF($A86="",0,$G86*설정!$C$23)</f>
        <v/>
      </c>
    </row>
    <row r="87">
      <c r="A87" s="92" t="n">
        <v>2026</v>
      </c>
      <c r="B87" s="92" t="n">
        <v>9</v>
      </c>
      <c r="C87" s="92" t="inlineStr">
        <is>
          <t>PF03</t>
        </is>
      </c>
      <c r="D87" s="92" t="inlineStr">
        <is>
          <t>단체(단기)</t>
        </is>
      </c>
      <c r="E87" s="93" t="n">
        <v>185945000</v>
      </c>
      <c r="F87" s="93" t="n">
        <v>14414000</v>
      </c>
      <c r="G87" s="93" t="n">
        <v>38694000</v>
      </c>
      <c r="I87" s="9">
        <f>IF($A87="","",VALUE($A87&amp;"")*12+VALUE($B87&amp;""))</f>
        <v/>
      </c>
      <c r="J87" s="94">
        <f>IF($A87="",0,$E87*설정!$C$23)</f>
        <v/>
      </c>
      <c r="K87" s="94">
        <f>IF($A87="",0,$F87*설정!$C$23)</f>
        <v/>
      </c>
      <c r="L87" s="94">
        <f>IF($A87="",0,$G87*설정!$C$23)</f>
        <v/>
      </c>
    </row>
    <row r="88">
      <c r="A88" s="92" t="n">
        <v>2026</v>
      </c>
      <c r="B88" s="92" t="n">
        <v>9</v>
      </c>
      <c r="C88" s="92" t="inlineStr">
        <is>
          <t>PF04</t>
        </is>
      </c>
      <c r="D88" s="92" t="inlineStr">
        <is>
          <t>변액</t>
        </is>
      </c>
      <c r="E88" s="93" t="n">
        <v>274070000</v>
      </c>
      <c r="F88" s="93" t="n">
        <v>21239000</v>
      </c>
      <c r="G88" s="93" t="n">
        <v>59089000</v>
      </c>
      <c r="I88" s="9">
        <f>IF($A88="","",VALUE($A88&amp;"")*12+VALUE($B88&amp;""))</f>
        <v/>
      </c>
      <c r="J88" s="94">
        <f>IF($A88="",0,$E88*설정!$C$23)</f>
        <v/>
      </c>
      <c r="K88" s="94">
        <f>IF($A88="",0,$F88*설정!$C$23)</f>
        <v/>
      </c>
      <c r="L88" s="94">
        <f>IF($A88="",0,$G88*설정!$C$23)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2" customWidth="1" min="4" max="4"/>
    <col width="14" customWidth="1" min="5" max="5"/>
    <col width="12" customWidth="1" min="6" max="6"/>
    <col width="34" customWidth="1" min="7" max="7"/>
    <col width="12" customWidth="1" min="8" max="8"/>
    <col width="9" customWidth="1" min="9" max="9"/>
  </cols>
  <sheetData>
    <row r="1">
      <c r="A1" s="1" t="inlineStr">
        <is>
          <t>TRACE · 계정대체기준 (IFRS 4·9 → IFRS 17)</t>
        </is>
      </c>
    </row>
    <row r="2">
      <c r="A2" s="2" t="inlineStr">
        <is>
          <t>① 직접대체 계정은 계정매핑 시트에서 지정 · ② 투자관련부서의 유지비 성격 공통비 → 재산관리비 · ③ 남은 공통비 → 부서별 비율</t>
        </is>
      </c>
    </row>
    <row r="4">
      <c r="A4" s="3" t="inlineStr">
        <is>
          <t>1. 재산관리비 대체 (투자관련부서가 쓴 유지비 성격 공통비)</t>
        </is>
      </c>
    </row>
    <row r="5" ht="20" customHeight="1">
      <c r="A5" s="4" t="inlineStr">
        <is>
          <t>투자관련부서</t>
        </is>
      </c>
      <c r="B5" s="4" t="inlineStr">
        <is>
          <t>부서명</t>
        </is>
      </c>
      <c r="D5" s="4" t="inlineStr">
        <is>
          <t>적용연도</t>
        </is>
      </c>
      <c r="E5" s="4" t="inlineStr">
        <is>
          <t>재산관리비 비율</t>
        </is>
      </c>
    </row>
    <row r="6">
      <c r="A6" s="12" t="inlineStr">
        <is>
          <t>D950</t>
        </is>
      </c>
      <c r="B6" s="21" t="inlineStr">
        <is>
          <t>자산운용팀</t>
        </is>
      </c>
      <c r="D6" s="98" t="n">
        <v>2025</v>
      </c>
      <c r="E6" s="99" t="n">
        <v>0.65</v>
      </c>
    </row>
    <row r="7">
      <c r="A7" s="12" t="n"/>
      <c r="B7" s="21" t="n"/>
      <c r="D7" s="98" t="n">
        <v>2026</v>
      </c>
      <c r="E7" s="99" t="n">
        <v>0.7</v>
      </c>
    </row>
    <row r="8">
      <c r="A8" s="12" t="n"/>
      <c r="B8" s="21" t="n"/>
      <c r="D8" s="98" t="n"/>
      <c r="E8" s="100" t="n"/>
    </row>
    <row r="9">
      <c r="A9" s="12" t="n"/>
      <c r="B9" s="21" t="n"/>
      <c r="D9" s="98" t="n"/>
      <c r="E9" s="100" t="n"/>
    </row>
    <row r="10">
      <c r="A10" s="12" t="n"/>
      <c r="B10" s="21" t="n"/>
      <c r="D10" s="98" t="n"/>
      <c r="E10" s="100" t="n"/>
    </row>
    <row r="11">
      <c r="A11" s="12" t="n"/>
      <c r="B11" s="21" t="n"/>
      <c r="D11" s="98" t="n"/>
      <c r="E11" s="100" t="n"/>
    </row>
    <row r="12">
      <c r="A12" s="12" t="n"/>
      <c r="B12" s="21" t="n"/>
      <c r="D12" s="98" t="n"/>
      <c r="E12" s="100" t="n"/>
    </row>
    <row r="13">
      <c r="A13" s="12" t="n"/>
      <c r="B13" s="21" t="n"/>
      <c r="D13" s="98" t="n"/>
      <c r="E13" s="100" t="n"/>
    </row>
    <row r="14">
      <c r="A14" s="12" t="n"/>
      <c r="B14" s="21" t="n"/>
      <c r="D14" s="98" t="n"/>
      <c r="E14" s="100" t="n"/>
    </row>
    <row r="15">
      <c r="A15" s="12" t="n"/>
      <c r="B15" s="21" t="n"/>
      <c r="D15" s="98" t="n"/>
      <c r="E15" s="100" t="n"/>
    </row>
    <row r="16">
      <c r="A16" s="2" t="inlineStr">
        <is>
          <t>비율은 1년에 한 번 바뀝니다. 새 연도는 아래 행에 추가하세요. 전표의 회계연도에 맞는 비율을 씁니다.</t>
        </is>
      </c>
    </row>
    <row r="18">
      <c r="A18" s="3" t="inlineStr">
        <is>
          <t>2. 부서별 공통비 대체비율 (재산관리비로 넘긴 뒤 남은 공통비)</t>
        </is>
      </c>
    </row>
    <row r="19" ht="20" customHeight="1">
      <c r="A19" s="4" t="inlineStr">
        <is>
          <t>부서코드</t>
        </is>
      </c>
      <c r="B19" s="4" t="inlineStr">
        <is>
          <t>부서명</t>
        </is>
      </c>
      <c r="C19" s="4" t="inlineStr">
        <is>
          <t>신계약비</t>
        </is>
      </c>
      <c r="D19" s="4" t="inlineStr">
        <is>
          <t>유지비</t>
        </is>
      </c>
      <c r="E19" s="4" t="inlineStr">
        <is>
          <t>수금비</t>
        </is>
      </c>
      <c r="F19" s="4" t="inlineStr">
        <is>
          <t>비귀속</t>
        </is>
      </c>
      <c r="G19" s="4" t="inlineStr">
        <is>
          <t>합계</t>
        </is>
      </c>
    </row>
    <row r="20">
      <c r="A20" s="12" t="inlineStr">
        <is>
          <t>D100</t>
        </is>
      </c>
      <c r="B20" s="21" t="inlineStr">
        <is>
          <t>경영기획팀</t>
        </is>
      </c>
      <c r="C20" s="99" t="n">
        <v>0</v>
      </c>
      <c r="D20" s="99" t="n">
        <v>0.1</v>
      </c>
      <c r="E20" s="99" t="n">
        <v>0</v>
      </c>
      <c r="F20" s="99" t="n">
        <v>0.9</v>
      </c>
      <c r="G20" s="73">
        <f>IF($A20="",0,SUM(C20:F20))</f>
        <v/>
      </c>
    </row>
    <row r="21">
      <c r="A21" s="12" t="inlineStr">
        <is>
          <t>D200</t>
        </is>
      </c>
      <c r="B21" s="21" t="inlineStr">
        <is>
          <t>재무회계팀</t>
        </is>
      </c>
      <c r="C21" s="99" t="n">
        <v>0</v>
      </c>
      <c r="D21" s="99" t="n">
        <v>0.2</v>
      </c>
      <c r="E21" s="99" t="n">
        <v>0.1</v>
      </c>
      <c r="F21" s="99" t="n">
        <v>0.7</v>
      </c>
      <c r="G21" s="73">
        <f>IF($A21="",0,SUM(C21:F21))</f>
        <v/>
      </c>
    </row>
    <row r="22">
      <c r="A22" s="12" t="inlineStr">
        <is>
          <t>D300</t>
        </is>
      </c>
      <c r="B22" s="21" t="inlineStr">
        <is>
          <t>인사팀</t>
        </is>
      </c>
      <c r="C22" s="99" t="n">
        <v>0.05</v>
      </c>
      <c r="D22" s="99" t="n">
        <v>0.15</v>
      </c>
      <c r="E22" s="99" t="n">
        <v>0</v>
      </c>
      <c r="F22" s="99" t="n">
        <v>0.8</v>
      </c>
      <c r="G22" s="73">
        <f>IF($A22="",0,SUM(C22:F22))</f>
        <v/>
      </c>
    </row>
    <row r="23">
      <c r="A23" s="12" t="inlineStr">
        <is>
          <t>D400</t>
        </is>
      </c>
      <c r="B23" s="21" t="inlineStr">
        <is>
          <t>상품개발팀</t>
        </is>
      </c>
      <c r="C23" s="99" t="n">
        <v>0.5</v>
      </c>
      <c r="D23" s="99" t="n">
        <v>0.1</v>
      </c>
      <c r="E23" s="99" t="n">
        <v>0</v>
      </c>
      <c r="F23" s="99" t="n">
        <v>0.4</v>
      </c>
      <c r="G23" s="73">
        <f>IF($A23="",0,SUM(C23:F23))</f>
        <v/>
      </c>
    </row>
    <row r="24">
      <c r="A24" s="12" t="inlineStr">
        <is>
          <t>D500</t>
        </is>
      </c>
      <c r="B24" s="21" t="inlineStr">
        <is>
          <t>마케팅팀</t>
        </is>
      </c>
      <c r="C24" s="99" t="n">
        <v>0.15</v>
      </c>
      <c r="D24" s="99" t="n">
        <v>0</v>
      </c>
      <c r="E24" s="99" t="n">
        <v>0</v>
      </c>
      <c r="F24" s="99" t="n">
        <v>0.85</v>
      </c>
      <c r="G24" s="73">
        <f>IF($A24="",0,SUM(C24:F24))</f>
        <v/>
      </c>
    </row>
    <row r="25">
      <c r="A25" s="12" t="inlineStr">
        <is>
          <t>D600</t>
        </is>
      </c>
      <c r="B25" s="21" t="inlineStr">
        <is>
          <t>영업지원팀</t>
        </is>
      </c>
      <c r="C25" s="99" t="n">
        <v>0.75</v>
      </c>
      <c r="D25" s="99" t="n">
        <v>0.1</v>
      </c>
      <c r="E25" s="99" t="n">
        <v>0</v>
      </c>
      <c r="F25" s="99" t="n">
        <v>0.15</v>
      </c>
      <c r="G25" s="73">
        <f>IF($A25="",0,SUM(C25:F25))</f>
        <v/>
      </c>
    </row>
    <row r="26">
      <c r="A26" s="12" t="inlineStr">
        <is>
          <t>D700</t>
        </is>
      </c>
      <c r="B26" s="21" t="inlineStr">
        <is>
          <t>IT운영팀</t>
        </is>
      </c>
      <c r="C26" s="99" t="n">
        <v>0.1</v>
      </c>
      <c r="D26" s="99" t="n">
        <v>0.4</v>
      </c>
      <c r="E26" s="99" t="n">
        <v>0.1</v>
      </c>
      <c r="F26" s="99" t="n">
        <v>0.4</v>
      </c>
      <c r="G26" s="73">
        <f>IF($A26="",0,SUM(C26:F26))</f>
        <v/>
      </c>
    </row>
    <row r="27">
      <c r="A27" s="12" t="inlineStr">
        <is>
          <t>D800</t>
        </is>
      </c>
      <c r="B27" s="21" t="inlineStr">
        <is>
          <t>고객서비스팀</t>
        </is>
      </c>
      <c r="C27" s="99" t="n">
        <v>0</v>
      </c>
      <c r="D27" s="99" t="n">
        <v>0.6</v>
      </c>
      <c r="E27" s="99" t="n">
        <v>0.3</v>
      </c>
      <c r="F27" s="99" t="n">
        <v>0.1</v>
      </c>
      <c r="G27" s="73">
        <f>IF($A27="",0,SUM(C27:F27))</f>
        <v/>
      </c>
    </row>
    <row r="28">
      <c r="A28" s="12" t="inlineStr">
        <is>
          <t>D900</t>
        </is>
      </c>
      <c r="B28" s="21" t="inlineStr">
        <is>
          <t>영업채널팀</t>
        </is>
      </c>
      <c r="C28" s="99" t="n">
        <v>0.9</v>
      </c>
      <c r="D28" s="99" t="n">
        <v>0.05</v>
      </c>
      <c r="E28" s="99" t="n">
        <v>0.05</v>
      </c>
      <c r="F28" s="99" t="n">
        <v>0</v>
      </c>
      <c r="G28" s="73">
        <f>IF($A28="",0,SUM(C28:F28))</f>
        <v/>
      </c>
    </row>
    <row r="29">
      <c r="A29" s="12" t="inlineStr">
        <is>
          <t>D950</t>
        </is>
      </c>
      <c r="B29" s="21" t="inlineStr">
        <is>
          <t>자산운용팀</t>
        </is>
      </c>
      <c r="C29" s="99" t="n">
        <v>0</v>
      </c>
      <c r="D29" s="99" t="n">
        <v>0.3</v>
      </c>
      <c r="E29" s="99" t="n">
        <v>0</v>
      </c>
      <c r="F29" s="99" t="n">
        <v>0.7</v>
      </c>
      <c r="G29" s="73">
        <f>IF($A29="",0,SUM(C29:F29))</f>
        <v/>
      </c>
    </row>
    <row r="30">
      <c r="A30" s="21" t="n"/>
      <c r="B30" s="21" t="n"/>
      <c r="C30" s="100" t="n"/>
      <c r="D30" s="100" t="n"/>
      <c r="E30" s="100" t="n"/>
      <c r="F30" s="100" t="n"/>
      <c r="G30" s="73">
        <f>IF($A30="",0,SUM(C30:F30))</f>
        <v/>
      </c>
    </row>
    <row r="31">
      <c r="A31" s="21" t="n"/>
      <c r="B31" s="21" t="n"/>
      <c r="C31" s="100" t="n"/>
      <c r="D31" s="100" t="n"/>
      <c r="E31" s="100" t="n"/>
      <c r="F31" s="100" t="n"/>
      <c r="G31" s="73">
        <f>IF($A31="",0,SUM(C31:F31))</f>
        <v/>
      </c>
    </row>
    <row r="32">
      <c r="A32" s="21" t="n"/>
      <c r="B32" s="21" t="n"/>
      <c r="C32" s="100" t="n"/>
      <c r="D32" s="100" t="n"/>
      <c r="E32" s="100" t="n"/>
      <c r="F32" s="100" t="n"/>
      <c r="G32" s="73">
        <f>IF($A32="",0,SUM(C32:F32))</f>
        <v/>
      </c>
    </row>
    <row r="33">
      <c r="A33" s="21" t="n"/>
      <c r="B33" s="21" t="n"/>
      <c r="C33" s="100" t="n"/>
      <c r="D33" s="100" t="n"/>
      <c r="E33" s="100" t="n"/>
      <c r="F33" s="100" t="n"/>
      <c r="G33" s="73">
        <f>IF($A33="",0,SUM(C33:F33))</f>
        <v/>
      </c>
    </row>
    <row r="34">
      <c r="A34" s="21" t="n"/>
      <c r="B34" s="21" t="n"/>
      <c r="C34" s="100" t="n"/>
      <c r="D34" s="100" t="n"/>
      <c r="E34" s="100" t="n"/>
      <c r="F34" s="100" t="n"/>
      <c r="G34" s="73">
        <f>IF($A34="",0,SUM(C34:F34))</f>
        <v/>
      </c>
    </row>
    <row r="35">
      <c r="A35" s="21" t="n"/>
      <c r="B35" s="21" t="n"/>
      <c r="C35" s="100" t="n"/>
      <c r="D35" s="100" t="n"/>
      <c r="E35" s="100" t="n"/>
      <c r="F35" s="100" t="n"/>
      <c r="G35" s="73">
        <f>IF($A35="",0,SUM(C35:F35))</f>
        <v/>
      </c>
    </row>
    <row r="36">
      <c r="A36" s="21" t="n"/>
      <c r="B36" s="21" t="n"/>
      <c r="C36" s="100" t="n"/>
      <c r="D36" s="100" t="n"/>
      <c r="E36" s="100" t="n"/>
      <c r="F36" s="100" t="n"/>
      <c r="G36" s="73">
        <f>IF($A36="",0,SUM(C36:F36))</f>
        <v/>
      </c>
    </row>
    <row r="37">
      <c r="A37" s="21" t="n"/>
      <c r="B37" s="21" t="n"/>
      <c r="C37" s="100" t="n"/>
      <c r="D37" s="100" t="n"/>
      <c r="E37" s="100" t="n"/>
      <c r="F37" s="100" t="n"/>
      <c r="G37" s="73">
        <f>IF($A37="",0,SUM(C37:F37))</f>
        <v/>
      </c>
    </row>
    <row r="38">
      <c r="A38" s="21" t="n"/>
      <c r="B38" s="21" t="n"/>
      <c r="C38" s="100" t="n"/>
      <c r="D38" s="100" t="n"/>
      <c r="E38" s="100" t="n"/>
      <c r="F38" s="100" t="n"/>
      <c r="G38" s="73">
        <f>IF($A38="",0,SUM(C38:F38))</f>
        <v/>
      </c>
    </row>
    <row r="39">
      <c r="A39" s="21" t="n"/>
      <c r="B39" s="21" t="n"/>
      <c r="C39" s="100" t="n"/>
      <c r="D39" s="100" t="n"/>
      <c r="E39" s="100" t="n"/>
      <c r="F39" s="100" t="n"/>
      <c r="G39" s="73">
        <f>IF($A39="",0,SUM(C39:F39))</f>
        <v/>
      </c>
    </row>
    <row r="40">
      <c r="A40" s="21" t="n"/>
      <c r="B40" s="21" t="n"/>
      <c r="C40" s="100" t="n"/>
      <c r="D40" s="100" t="n"/>
      <c r="E40" s="100" t="n"/>
      <c r="F40" s="100" t="n"/>
      <c r="G40" s="73">
        <f>IF($A40="",0,SUM(C40:F40))</f>
        <v/>
      </c>
    </row>
    <row r="41">
      <c r="A41" s="21" t="n"/>
      <c r="B41" s="21" t="n"/>
      <c r="C41" s="100" t="n"/>
      <c r="D41" s="100" t="n"/>
      <c r="E41" s="100" t="n"/>
      <c r="F41" s="100" t="n"/>
      <c r="G41" s="73">
        <f>IF($A41="",0,SUM(C41:F41))</f>
        <v/>
      </c>
    </row>
    <row r="42">
      <c r="A42" s="21" t="n"/>
      <c r="B42" s="21" t="n"/>
      <c r="C42" s="100" t="n"/>
      <c r="D42" s="100" t="n"/>
      <c r="E42" s="100" t="n"/>
      <c r="F42" s="100" t="n"/>
      <c r="G42" s="73">
        <f>IF($A42="",0,SUM(C42:F42))</f>
        <v/>
      </c>
    </row>
    <row r="43">
      <c r="A43" s="21" t="n"/>
      <c r="B43" s="21" t="n"/>
      <c r="C43" s="100" t="n"/>
      <c r="D43" s="100" t="n"/>
      <c r="E43" s="100" t="n"/>
      <c r="F43" s="100" t="n"/>
      <c r="G43" s="73">
        <f>IF($A43="",0,SUM(C43:F43))</f>
        <v/>
      </c>
    </row>
    <row r="44">
      <c r="A44" s="21" t="n"/>
      <c r="B44" s="21" t="n"/>
      <c r="C44" s="100" t="n"/>
      <c r="D44" s="100" t="n"/>
      <c r="E44" s="100" t="n"/>
      <c r="F44" s="100" t="n"/>
      <c r="G44" s="73">
        <f>IF($A44="",0,SUM(C44:F44))</f>
        <v/>
      </c>
    </row>
    <row r="45">
      <c r="A45" s="21" t="n"/>
      <c r="B45" s="21" t="n"/>
      <c r="C45" s="100" t="n"/>
      <c r="D45" s="100" t="n"/>
      <c r="E45" s="100" t="n"/>
      <c r="F45" s="100" t="n"/>
      <c r="G45" s="73">
        <f>IF($A45="",0,SUM(C45:F45))</f>
        <v/>
      </c>
    </row>
    <row r="46">
      <c r="A46" s="21" t="n"/>
      <c r="B46" s="21" t="n"/>
      <c r="C46" s="100" t="n"/>
      <c r="D46" s="100" t="n"/>
      <c r="E46" s="100" t="n"/>
      <c r="F46" s="100" t="n"/>
      <c r="G46" s="73">
        <f>IF($A46="",0,SUM(C46:F46))</f>
        <v/>
      </c>
    </row>
    <row r="47">
      <c r="A47" s="21" t="n"/>
      <c r="B47" s="21" t="n"/>
      <c r="C47" s="100" t="n"/>
      <c r="D47" s="100" t="n"/>
      <c r="E47" s="100" t="n"/>
      <c r="F47" s="100" t="n"/>
      <c r="G47" s="73">
        <f>IF($A47="",0,SUM(C47:F47))</f>
        <v/>
      </c>
    </row>
    <row r="48">
      <c r="A48" s="21" t="n"/>
      <c r="B48" s="21" t="n"/>
      <c r="C48" s="100" t="n"/>
      <c r="D48" s="100" t="n"/>
      <c r="E48" s="100" t="n"/>
      <c r="F48" s="100" t="n"/>
      <c r="G48" s="73">
        <f>IF($A48="",0,SUM(C48:F48))</f>
        <v/>
      </c>
    </row>
    <row r="49">
      <c r="A49" s="21" t="n"/>
      <c r="B49" s="21" t="n"/>
      <c r="C49" s="100" t="n"/>
      <c r="D49" s="100" t="n"/>
      <c r="E49" s="100" t="n"/>
      <c r="F49" s="100" t="n"/>
      <c r="G49" s="73">
        <f>IF($A49="",0,SUM(C49:F49))</f>
        <v/>
      </c>
    </row>
    <row r="50">
      <c r="A50" s="2" t="inlineStr">
        <is>
          <t>표에 없는 부서의 공통비는 전액 비귀속으로 처리하고 자가진단이 알려줍니다.</t>
        </is>
      </c>
    </row>
    <row r="52">
      <c r="A52" s="3" t="inlineStr">
        <is>
          <t>3. 상품·계약집단 귀속 드라이버 (상품·증권번호별 귀속 결과를 받기 전까지 포트폴리오 비율로 대신)</t>
        </is>
      </c>
    </row>
    <row r="53" ht="32" customHeight="1">
      <c r="A53" s="4" t="inlineStr">
        <is>
          <t>포트폴리오</t>
        </is>
      </c>
      <c r="B53" s="4" t="inlineStr">
        <is>
          <t>포트폴리오명</t>
        </is>
      </c>
      <c r="C53" s="4" t="inlineStr">
        <is>
          <t>측정모형</t>
        </is>
      </c>
      <c r="D53" s="4" t="inlineStr">
        <is>
          <t>신계약비
(신계약 건수)</t>
        </is>
      </c>
      <c r="E53" s="4" t="inlineStr">
        <is>
          <t>유지비
(보유계약)</t>
        </is>
      </c>
      <c r="F53" s="4" t="inlineStr">
        <is>
          <t>수금비
(수입보험료)</t>
        </is>
      </c>
      <c r="G53" s="4" t="inlineStr">
        <is>
          <t>비고</t>
        </is>
      </c>
      <c r="H53" s="4" t="inlineStr">
        <is>
          <t>보험료 연동
비율(신계약비)</t>
        </is>
      </c>
      <c r="I53" s="4" t="inlineStr">
        <is>
          <t>손실부담
(Y/N)</t>
        </is>
      </c>
    </row>
    <row r="54">
      <c r="A54" s="12" t="inlineStr">
        <is>
          <t>PF01</t>
        </is>
      </c>
      <c r="B54" s="21" t="inlineStr">
        <is>
          <t>보장성</t>
        </is>
      </c>
      <c r="C54" s="12" t="inlineStr">
        <is>
          <t>GMM</t>
        </is>
      </c>
      <c r="D54" s="99" t="n">
        <v>0.55</v>
      </c>
      <c r="E54" s="99" t="n">
        <v>0.5</v>
      </c>
      <c r="F54" s="99" t="n">
        <v>0.5</v>
      </c>
      <c r="G54" s="7" t="inlineStr">
        <is>
          <t>분석 대상</t>
        </is>
      </c>
      <c r="H54" s="99" t="n">
        <v>0.6</v>
      </c>
      <c r="I54" s="11" t="inlineStr">
        <is>
          <t>N</t>
        </is>
      </c>
    </row>
    <row r="55">
      <c r="A55" s="12" t="inlineStr">
        <is>
          <t>PF02</t>
        </is>
      </c>
      <c r="B55" s="21" t="inlineStr">
        <is>
          <t>저축성</t>
        </is>
      </c>
      <c r="C55" s="12" t="inlineStr">
        <is>
          <t>GMM</t>
        </is>
      </c>
      <c r="D55" s="99" t="n">
        <v>0.2</v>
      </c>
      <c r="E55" s="99" t="n">
        <v>0.3</v>
      </c>
      <c r="F55" s="99" t="n">
        <v>0.3</v>
      </c>
      <c r="G55" s="7" t="inlineStr">
        <is>
          <t>분석 대상</t>
        </is>
      </c>
      <c r="H55" s="99" t="n">
        <v>0.6</v>
      </c>
      <c r="I55" s="11" t="inlineStr">
        <is>
          <t>N</t>
        </is>
      </c>
    </row>
    <row r="56">
      <c r="A56" s="12" t="inlineStr">
        <is>
          <t>PF03</t>
        </is>
      </c>
      <c r="B56" s="21" t="inlineStr">
        <is>
          <t>단체(단기)</t>
        </is>
      </c>
      <c r="C56" s="12" t="inlineStr">
        <is>
          <t>PAA</t>
        </is>
      </c>
      <c r="D56" s="99" t="n">
        <v>0.1</v>
      </c>
      <c r="E56" s="99" t="n">
        <v>0.08</v>
      </c>
      <c r="F56" s="99" t="n">
        <v>0.08</v>
      </c>
      <c r="G56" s="7" t="inlineStr">
        <is>
          <t>CSM 없음 · 손익 반영</t>
        </is>
      </c>
      <c r="H56" s="99" t="n">
        <v>0</v>
      </c>
      <c r="I56" s="11" t="inlineStr">
        <is>
          <t>N</t>
        </is>
      </c>
    </row>
    <row r="57">
      <c r="A57" s="12" t="inlineStr">
        <is>
          <t>PF04</t>
        </is>
      </c>
      <c r="B57" s="21" t="inlineStr">
        <is>
          <t>변액</t>
        </is>
      </c>
      <c r="C57" s="12" t="inlineStr">
        <is>
          <t>VFA</t>
        </is>
      </c>
      <c r="D57" s="99" t="n">
        <v>0.15</v>
      </c>
      <c r="E57" s="99" t="n">
        <v>0.12</v>
      </c>
      <c r="F57" s="99" t="n">
        <v>0.12</v>
      </c>
      <c r="G57" s="7" t="inlineStr">
        <is>
          <t>변액 · 특별계정 (CSM 조정 · 손익 영향 분석 포함)</t>
        </is>
      </c>
      <c r="H57" s="99" t="n">
        <v>0.6</v>
      </c>
      <c r="I57" s="11" t="inlineStr">
        <is>
          <t>N</t>
        </is>
      </c>
    </row>
    <row r="58">
      <c r="A58" s="21" t="n"/>
      <c r="B58" s="21" t="n"/>
      <c r="C58" s="21" t="n"/>
      <c r="D58" s="100" t="n"/>
      <c r="E58" s="100" t="n"/>
      <c r="F58" s="100" t="n"/>
      <c r="G58" s="21" t="n"/>
      <c r="H58" s="100" t="n"/>
      <c r="I58" s="21" t="n"/>
    </row>
    <row r="59">
      <c r="A59" s="21" t="n"/>
      <c r="B59" s="21" t="n"/>
      <c r="C59" s="21" t="n"/>
      <c r="D59" s="100" t="n"/>
      <c r="E59" s="100" t="n"/>
      <c r="F59" s="100" t="n"/>
      <c r="G59" s="21" t="n"/>
      <c r="H59" s="100" t="n"/>
      <c r="I59" s="21" t="n"/>
    </row>
    <row r="60">
      <c r="A60" s="21" t="n"/>
      <c r="B60" s="21" t="n"/>
      <c r="C60" s="21" t="n"/>
      <c r="D60" s="100" t="n"/>
      <c r="E60" s="100" t="n"/>
      <c r="F60" s="100" t="n"/>
      <c r="G60" s="21" t="n"/>
      <c r="H60" s="100" t="n"/>
      <c r="I60" s="21" t="n"/>
    </row>
    <row r="61">
      <c r="A61" s="21" t="n"/>
      <c r="B61" s="21" t="n"/>
      <c r="C61" s="21" t="n"/>
      <c r="D61" s="100" t="n"/>
      <c r="E61" s="100" t="n"/>
      <c r="F61" s="100" t="n"/>
      <c r="G61" s="21" t="n"/>
      <c r="H61" s="100" t="n"/>
      <c r="I61" s="21" t="n"/>
    </row>
    <row r="62">
      <c r="A62" s="21" t="n"/>
      <c r="B62" s="21" t="n"/>
      <c r="C62" s="21" t="n"/>
      <c r="D62" s="100" t="n"/>
      <c r="E62" s="100" t="n"/>
      <c r="F62" s="100" t="n"/>
      <c r="G62" s="21" t="n"/>
      <c r="H62" s="100" t="n"/>
      <c r="I62" s="21" t="n"/>
    </row>
    <row r="63">
      <c r="A63" s="21" t="n"/>
      <c r="B63" s="21" t="n"/>
      <c r="C63" s="21" t="n"/>
      <c r="D63" s="100" t="n"/>
      <c r="E63" s="100" t="n"/>
      <c r="F63" s="100" t="n"/>
      <c r="G63" s="21" t="n"/>
      <c r="H63" s="100" t="n"/>
      <c r="I63" s="21" t="n"/>
    </row>
    <row r="64">
      <c r="C64" s="43" t="inlineStr">
        <is>
          <t>합계</t>
        </is>
      </c>
      <c r="D64" s="88">
        <f>SUM(D54:D63)</f>
        <v/>
      </c>
      <c r="E64" s="88">
        <f>SUM(E54:E63)</f>
        <v/>
      </c>
      <c r="F64" s="88">
        <f>SUM(F54:F63)</f>
        <v/>
      </c>
    </row>
    <row r="66">
      <c r="A66" s="3" t="inlineStr">
        <is>
          <t>4. IFRS 17 반영 정책 (회사 회계정책에 맞춰 고름 · K-IFRS 1117)</t>
        </is>
      </c>
    </row>
    <row r="67">
      <c r="A67" s="10" t="inlineStr">
        <is>
          <t>신계약비 예실차 반영처</t>
        </is>
      </c>
      <c r="B67" s="33" t="n"/>
      <c r="C67" s="11" t="inlineStr">
        <is>
          <t>보험료연동분만 CSM</t>
        </is>
      </c>
      <c r="D67" s="33" t="n"/>
      <c r="E67" s="7" t="inlineStr">
        <is>
          <t>B96(a): 당기 보험료 중 미래 서비스 관련분과 연동된 취득현금흐름(예: 보험료 비례 수수료)의 예실차만 CSM. 나머지 경험조정은 B97(c)로 당기손익. 비율은 3번 표 H열</t>
        </is>
      </c>
      <c r="F67" s="32" t="n"/>
      <c r="G67" s="32" t="n"/>
      <c r="H67" s="32" t="n"/>
      <c r="I67" s="33" t="n"/>
    </row>
    <row r="68">
      <c r="A68" s="10" t="inlineStr">
        <is>
          <t>PAA 보험취득현금흐름</t>
        </is>
      </c>
      <c r="B68" s="33" t="n"/>
      <c r="C68" s="11" t="inlineStr">
        <is>
          <t>발생 즉시 비용</t>
        </is>
      </c>
      <c r="D68" s="33" t="n"/>
      <c r="E68" s="7" t="inlineStr">
        <is>
          <t>59(a): 보장기간 1년 이하면 발생 즉시 비용 선택 가능. 이연이면 잔여보장부채에서 상각(경험차이도 당기에 바로 손익이 되지 않음)</t>
        </is>
      </c>
      <c r="F68" s="32" t="n"/>
      <c r="G68" s="32" t="n"/>
      <c r="H68" s="32" t="n"/>
      <c r="I68" s="33" t="n"/>
    </row>
    <row r="70">
      <c r="A70" s="2" t="inlineStr">
        <is>
          <t>· 당기 신계약의 취득현금흐름은 경험조정이 아니라 최초 측정(38항, 신계약 효과 F10)에 들어갑니다. 변동표 F31과 대사할 때 회사 변동표의 정의를 확인하세요.</t>
        </is>
      </c>
    </row>
    <row r="71">
      <c r="A71" s="2" t="inlineStr">
        <is>
          <t>· 손실부담 집단(Y)은 미래 서비스 관련 변동도 CSM이 아닌 손실요소·당기손익으로 갑니다 (44(c), 48·50항).</t>
        </is>
      </c>
    </row>
    <row r="72">
      <c r="A72" s="2" t="inlineStr">
        <is>
          <t>· 집단 인식 전에 지급한 취득현금흐름은 '보험취득현금흐름 자산'(28B~28F)으로 따로 관리하며 TRACE 범위 밖입니다.</t>
        </is>
      </c>
    </row>
    <row r="73">
      <c r="A73" s="2" t="inlineStr">
        <is>
          <t>· VFA의 투자 관련 서비스 원가, GMM의 투자수익 서비스 원가는 이행현금흐름에 포함될 수 있습니다 (B65(ka)). 1번 표 재산관리비 대체 대상인지 확인하세요.</t>
        </is>
      </c>
    </row>
    <row r="75">
      <c r="A75" s="3" t="inlineStr">
        <is>
          <t>5. 재산관리비 약관대출(약대) 구분 — 아래 부서 또는 계정에서 나온 재산관리비는 '재산관리비-약대', 나머지는 '재산관리비-기타' (재무 요약 사업비 구성)</t>
        </is>
      </c>
    </row>
    <row r="76" ht="20" customHeight="1">
      <c r="A76" s="4" t="inlineStr">
        <is>
          <t>약대 부서코드</t>
        </is>
      </c>
      <c r="B76" s="4" t="inlineStr">
        <is>
          <t>부서명</t>
        </is>
      </c>
      <c r="D76" s="4" t="inlineStr">
        <is>
          <t>약대 G/L 계정</t>
        </is>
      </c>
      <c r="E76" s="4" t="inlineStr">
        <is>
          <t>계정명</t>
        </is>
      </c>
    </row>
    <row r="77">
      <c r="A77" s="79" t="n"/>
      <c r="B77" s="21" t="n"/>
      <c r="D77" s="79" t="inlineStr">
        <is>
          <t>63001000</t>
        </is>
      </c>
      <c r="E77" s="21" t="inlineStr">
        <is>
          <t>전산운영비-SW유지보수</t>
        </is>
      </c>
    </row>
    <row r="78">
      <c r="A78" s="79" t="n"/>
      <c r="B78" s="21" t="n"/>
      <c r="D78" s="79" t="n"/>
      <c r="E78" s="21" t="n"/>
    </row>
    <row r="79">
      <c r="A79" s="79" t="n"/>
      <c r="B79" s="21" t="n"/>
      <c r="D79" s="79" t="n"/>
      <c r="E79" s="21" t="n"/>
    </row>
    <row r="80">
      <c r="A80" s="79" t="n"/>
      <c r="B80" s="21" t="n"/>
      <c r="D80" s="79" t="n"/>
      <c r="E80" s="21" t="n"/>
    </row>
    <row r="81">
      <c r="A81" s="79" t="n"/>
      <c r="B81" s="21" t="n"/>
      <c r="D81" s="79" t="n"/>
      <c r="E81" s="21" t="n"/>
    </row>
    <row r="82">
      <c r="A82" s="79" t="n"/>
      <c r="B82" s="21" t="n"/>
      <c r="D82" s="79" t="n"/>
      <c r="E82" s="21" t="n"/>
    </row>
    <row r="83">
      <c r="A83" s="79" t="n"/>
      <c r="B83" s="21" t="n"/>
      <c r="D83" s="79" t="n"/>
      <c r="E83" s="21" t="n"/>
    </row>
    <row r="84">
      <c r="A84" s="79" t="n"/>
      <c r="B84" s="21" t="n"/>
      <c r="D84" s="79" t="n"/>
      <c r="E84" s="21" t="n"/>
    </row>
    <row r="85">
      <c r="A85" s="79" t="n"/>
      <c r="B85" s="21" t="n"/>
      <c r="D85" s="79" t="n"/>
      <c r="E85" s="21" t="n"/>
    </row>
    <row r="86">
      <c r="A86" s="79" t="n"/>
      <c r="B86" s="21" t="n"/>
      <c r="D86" s="79" t="n"/>
      <c r="E86" s="21" t="n"/>
    </row>
    <row r="87">
      <c r="A87" s="2" t="inlineStr">
        <is>
          <t>코드는 텍스트로 입력. 예시값(전산운영비-SW유지보수 = 약관대출 시스템)은 가상입니다. 회사 기준(약관대출 담당 부서·전용 계정)으로 바꾸세요.</t>
        </is>
      </c>
    </row>
  </sheetData>
  <mergeCells count="6">
    <mergeCell ref="C68:D68"/>
    <mergeCell ref="E68:I68"/>
    <mergeCell ref="C67:D67"/>
    <mergeCell ref="A68:B68"/>
    <mergeCell ref="E67:I67"/>
    <mergeCell ref="A67:B67"/>
  </mergeCells>
  <dataValidations count="4">
    <dataValidation sqref="C54:C63" showDropDown="0" showInputMessage="0" showErrorMessage="0" allowBlank="0" type="list">
      <formula1>"GMM,PAA,VFA"</formula1>
    </dataValidation>
    <dataValidation sqref="I54:I63" showDropDown="0" showInputMessage="0" showErrorMessage="0" allowBlank="0" type="list">
      <formula1>"Y,N"</formula1>
    </dataValidation>
    <dataValidation sqref="C67" showDropDown="0" showInputMessage="0" showErrorMessage="0" allowBlank="0" type="list">
      <formula1>"보험료연동분만 CSM,전액 CSM,전액 당기손익"</formula1>
    </dataValidation>
    <dataValidation sqref="C68" showDropDown="0" showInputMessage="0" showErrorMessage="0" allowBlank="0" type="list">
      <formula1>"발생 즉시 비용,이연 후 상각"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1" customWidth="1" min="4" max="4"/>
    <col width="11" customWidth="1" min="5" max="5"/>
    <col width="13" customWidth="1" min="6" max="6"/>
    <col width="10" customWidth="1" min="7" max="7"/>
  </cols>
  <sheetData>
    <row r="1">
      <c r="A1" s="1" t="inlineStr">
        <is>
          <t>TRACE · 계정 매핑</t>
        </is>
      </c>
    </row>
    <row r="2">
      <c r="A2" s="2" t="inlineStr">
        <is>
          <t>사업비 여부가 Y인 계정만 분석 · 코드 칸은 텍스트</t>
        </is>
      </c>
    </row>
    <row r="4" ht="32" customHeight="1">
      <c r="A4" s="4" t="inlineStr">
        <is>
          <t>G/L 계정</t>
        </is>
      </c>
      <c r="B4" s="4" t="inlineStr">
        <is>
          <t>계정명</t>
        </is>
      </c>
      <c r="C4" s="4" t="inlineStr">
        <is>
          <t>사업비 항목</t>
        </is>
      </c>
      <c r="D4" s="4" t="inlineStr">
        <is>
          <t>사업비 여부</t>
        </is>
      </c>
      <c r="E4" s="4" t="inlineStr">
        <is>
          <t>IFRS17
대체구분</t>
        </is>
      </c>
      <c r="F4" s="4" t="inlineStr">
        <is>
          <t>직접대체
IFRS17 계정</t>
        </is>
      </c>
      <c r="G4" s="4" t="inlineStr">
        <is>
          <t>공통비
성격</t>
        </is>
      </c>
    </row>
    <row r="5">
      <c r="A5" s="79" t="inlineStr">
        <is>
          <t>62101000</t>
        </is>
      </c>
      <c r="B5" s="21" t="inlineStr">
        <is>
          <t>여비교통비-국내</t>
        </is>
      </c>
      <c r="C5" s="21" t="inlineStr">
        <is>
          <t>여비교통비</t>
        </is>
      </c>
      <c r="D5" s="12" t="inlineStr">
        <is>
          <t>Y</t>
        </is>
      </c>
      <c r="E5" s="12" t="inlineStr">
        <is>
          <t>공통비</t>
        </is>
      </c>
      <c r="F5" s="12" t="n"/>
      <c r="G5" s="12" t="inlineStr">
        <is>
          <t>유지비</t>
        </is>
      </c>
    </row>
    <row r="6">
      <c r="A6" s="79" t="inlineStr">
        <is>
          <t>62102000</t>
        </is>
      </c>
      <c r="B6" s="21" t="inlineStr">
        <is>
          <t>여비교통비-해외</t>
        </is>
      </c>
      <c r="C6" s="21" t="inlineStr">
        <is>
          <t>여비교통비</t>
        </is>
      </c>
      <c r="D6" s="12" t="inlineStr">
        <is>
          <t>Y</t>
        </is>
      </c>
      <c r="E6" s="12" t="inlineStr">
        <is>
          <t>공통비</t>
        </is>
      </c>
      <c r="F6" s="12" t="n"/>
      <c r="G6" s="12" t="inlineStr">
        <is>
          <t>유지비</t>
        </is>
      </c>
    </row>
    <row r="7">
      <c r="A7" s="79" t="inlineStr">
        <is>
          <t>62201000</t>
        </is>
      </c>
      <c r="B7" s="21" t="inlineStr">
        <is>
          <t>통신비</t>
        </is>
      </c>
      <c r="C7" s="21" t="inlineStr">
        <is>
          <t>통신비</t>
        </is>
      </c>
      <c r="D7" s="12" t="inlineStr">
        <is>
          <t>Y</t>
        </is>
      </c>
      <c r="E7" s="12" t="inlineStr">
        <is>
          <t>공통비</t>
        </is>
      </c>
      <c r="F7" s="12" t="n"/>
      <c r="G7" s="12" t="inlineStr">
        <is>
          <t>유지비</t>
        </is>
      </c>
    </row>
    <row r="8">
      <c r="A8" s="79" t="inlineStr">
        <is>
          <t>62301000</t>
        </is>
      </c>
      <c r="B8" s="21" t="inlineStr">
        <is>
          <t>소모품비</t>
        </is>
      </c>
      <c r="C8" s="21" t="inlineStr">
        <is>
          <t>소모품비</t>
        </is>
      </c>
      <c r="D8" s="12" t="inlineStr">
        <is>
          <t>Y</t>
        </is>
      </c>
      <c r="E8" s="12" t="inlineStr">
        <is>
          <t>공통비</t>
        </is>
      </c>
      <c r="F8" s="12" t="n"/>
      <c r="G8" s="12" t="inlineStr">
        <is>
          <t>유지비</t>
        </is>
      </c>
    </row>
    <row r="9">
      <c r="A9" s="79" t="inlineStr">
        <is>
          <t>62401000</t>
        </is>
      </c>
      <c r="B9" s="21" t="inlineStr">
        <is>
          <t>도서인쇄비</t>
        </is>
      </c>
      <c r="C9" s="21" t="inlineStr">
        <is>
          <t>도서인쇄비</t>
        </is>
      </c>
      <c r="D9" s="12" t="inlineStr">
        <is>
          <t>Y</t>
        </is>
      </c>
      <c r="E9" s="12" t="inlineStr">
        <is>
          <t>공통비</t>
        </is>
      </c>
      <c r="F9" s="12" t="n"/>
      <c r="G9" s="12" t="inlineStr">
        <is>
          <t>유지비</t>
        </is>
      </c>
    </row>
    <row r="10">
      <c r="A10" s="79" t="inlineStr">
        <is>
          <t>62501000</t>
        </is>
      </c>
      <c r="B10" s="21" t="inlineStr">
        <is>
          <t>회의비</t>
        </is>
      </c>
      <c r="C10" s="21" t="inlineStr">
        <is>
          <t>회의비</t>
        </is>
      </c>
      <c r="D10" s="12" t="inlineStr">
        <is>
          <t>Y</t>
        </is>
      </c>
      <c r="E10" s="12" t="inlineStr">
        <is>
          <t>공통비</t>
        </is>
      </c>
      <c r="F10" s="12" t="n"/>
      <c r="G10" s="12" t="inlineStr">
        <is>
          <t>유지비</t>
        </is>
      </c>
    </row>
    <row r="11">
      <c r="A11" s="79" t="inlineStr">
        <is>
          <t>62601000</t>
        </is>
      </c>
      <c r="B11" s="21" t="inlineStr">
        <is>
          <t>업무추진비</t>
        </is>
      </c>
      <c r="C11" s="21" t="inlineStr">
        <is>
          <t>업무추진비</t>
        </is>
      </c>
      <c r="D11" s="12" t="inlineStr">
        <is>
          <t>Y</t>
        </is>
      </c>
      <c r="E11" s="12" t="inlineStr">
        <is>
          <t>공통비</t>
        </is>
      </c>
      <c r="F11" s="12" t="n"/>
      <c r="G11" s="12" t="inlineStr">
        <is>
          <t>기타</t>
        </is>
      </c>
    </row>
    <row r="12">
      <c r="A12" s="79" t="inlineStr">
        <is>
          <t>62701000</t>
        </is>
      </c>
      <c r="B12" s="21" t="inlineStr">
        <is>
          <t>광고선전비</t>
        </is>
      </c>
      <c r="C12" s="21" t="inlineStr">
        <is>
          <t>광고선전비</t>
        </is>
      </c>
      <c r="D12" s="12" t="inlineStr">
        <is>
          <t>Y</t>
        </is>
      </c>
      <c r="E12" s="12" t="inlineStr">
        <is>
          <t>직접</t>
        </is>
      </c>
      <c r="F12" s="12" t="inlineStr">
        <is>
          <t>비귀속</t>
        </is>
      </c>
      <c r="G12" s="12" t="n"/>
    </row>
    <row r="13">
      <c r="A13" s="79" t="inlineStr">
        <is>
          <t>62801000</t>
        </is>
      </c>
      <c r="B13" s="21" t="inlineStr">
        <is>
          <t>교육훈련비-사내</t>
        </is>
      </c>
      <c r="C13" s="21" t="inlineStr">
        <is>
          <t>교육훈련비</t>
        </is>
      </c>
      <c r="D13" s="12" t="inlineStr">
        <is>
          <t>Y</t>
        </is>
      </c>
      <c r="E13" s="12" t="inlineStr">
        <is>
          <t>공통비</t>
        </is>
      </c>
      <c r="F13" s="12" t="n"/>
      <c r="G13" s="12" t="inlineStr">
        <is>
          <t>기타</t>
        </is>
      </c>
    </row>
    <row r="14">
      <c r="A14" s="79" t="inlineStr">
        <is>
          <t>62802000</t>
        </is>
      </c>
      <c r="B14" s="21" t="inlineStr">
        <is>
          <t>교육훈련비-외부위탁</t>
        </is>
      </c>
      <c r="C14" s="21" t="inlineStr">
        <is>
          <t>교육훈련비</t>
        </is>
      </c>
      <c r="D14" s="12" t="inlineStr">
        <is>
          <t>Y</t>
        </is>
      </c>
      <c r="E14" s="12" t="inlineStr">
        <is>
          <t>공통비</t>
        </is>
      </c>
      <c r="F14" s="12" t="n"/>
      <c r="G14" s="12" t="inlineStr">
        <is>
          <t>기타</t>
        </is>
      </c>
    </row>
    <row r="15">
      <c r="A15" s="79" t="inlineStr">
        <is>
          <t>62901000</t>
        </is>
      </c>
      <c r="B15" s="21" t="inlineStr">
        <is>
          <t>지급수수료-컨설팅</t>
        </is>
      </c>
      <c r="C15" s="21" t="inlineStr">
        <is>
          <t>지급수수료</t>
        </is>
      </c>
      <c r="D15" s="12" t="inlineStr">
        <is>
          <t>Y</t>
        </is>
      </c>
      <c r="E15" s="12" t="inlineStr">
        <is>
          <t>공통비</t>
        </is>
      </c>
      <c r="F15" s="12" t="n"/>
      <c r="G15" s="12" t="inlineStr">
        <is>
          <t>유지비</t>
        </is>
      </c>
    </row>
    <row r="16">
      <c r="A16" s="79" t="inlineStr">
        <is>
          <t>62902000</t>
        </is>
      </c>
      <c r="B16" s="21" t="inlineStr">
        <is>
          <t>지급수수료-기타</t>
        </is>
      </c>
      <c r="C16" s="21" t="inlineStr">
        <is>
          <t>지급수수료</t>
        </is>
      </c>
      <c r="D16" s="12" t="inlineStr">
        <is>
          <t>Y</t>
        </is>
      </c>
      <c r="E16" s="12" t="inlineStr">
        <is>
          <t>공통비</t>
        </is>
      </c>
      <c r="F16" s="12" t="n"/>
      <c r="G16" s="12" t="inlineStr">
        <is>
          <t>유지비</t>
        </is>
      </c>
    </row>
    <row r="17">
      <c r="A17" s="79" t="inlineStr">
        <is>
          <t>63001000</t>
        </is>
      </c>
      <c r="B17" s="21" t="inlineStr">
        <is>
          <t>전산운영비-SW유지보수</t>
        </is>
      </c>
      <c r="C17" s="21" t="inlineStr">
        <is>
          <t>전산운영비</t>
        </is>
      </c>
      <c r="D17" s="12" t="inlineStr">
        <is>
          <t>Y</t>
        </is>
      </c>
      <c r="E17" s="12" t="inlineStr">
        <is>
          <t>공통비</t>
        </is>
      </c>
      <c r="F17" s="12" t="n"/>
      <c r="G17" s="12" t="inlineStr">
        <is>
          <t>유지비</t>
        </is>
      </c>
    </row>
    <row r="18">
      <c r="A18" s="79" t="inlineStr">
        <is>
          <t>63002000</t>
        </is>
      </c>
      <c r="B18" s="21" t="inlineStr">
        <is>
          <t>전산운영비-클라우드</t>
        </is>
      </c>
      <c r="C18" s="21" t="inlineStr">
        <is>
          <t>전산운영비</t>
        </is>
      </c>
      <c r="D18" s="12" t="inlineStr">
        <is>
          <t>Y</t>
        </is>
      </c>
      <c r="E18" s="12" t="inlineStr">
        <is>
          <t>공통비</t>
        </is>
      </c>
      <c r="F18" s="12" t="n"/>
      <c r="G18" s="12" t="inlineStr">
        <is>
          <t>유지비</t>
        </is>
      </c>
    </row>
    <row r="19">
      <c r="A19" s="79" t="inlineStr">
        <is>
          <t>63101000</t>
        </is>
      </c>
      <c r="B19" s="21" t="inlineStr">
        <is>
          <t>임차료</t>
        </is>
      </c>
      <c r="C19" s="21" t="inlineStr">
        <is>
          <t>임차료</t>
        </is>
      </c>
      <c r="D19" s="12" t="inlineStr">
        <is>
          <t>Y</t>
        </is>
      </c>
      <c r="E19" s="12" t="inlineStr">
        <is>
          <t>공통비</t>
        </is>
      </c>
      <c r="F19" s="12" t="n"/>
      <c r="G19" s="12" t="inlineStr">
        <is>
          <t>유지비</t>
        </is>
      </c>
    </row>
    <row r="20">
      <c r="A20" s="79" t="inlineStr">
        <is>
          <t>63201000</t>
        </is>
      </c>
      <c r="B20" s="21" t="inlineStr">
        <is>
          <t>차량유지비</t>
        </is>
      </c>
      <c r="C20" s="21" t="inlineStr">
        <is>
          <t>차량유지비</t>
        </is>
      </c>
      <c r="D20" s="12" t="inlineStr">
        <is>
          <t>Y</t>
        </is>
      </c>
      <c r="E20" s="12" t="inlineStr">
        <is>
          <t>공통비</t>
        </is>
      </c>
      <c r="F20" s="12" t="n"/>
      <c r="G20" s="12" t="inlineStr">
        <is>
          <t>유지비</t>
        </is>
      </c>
    </row>
    <row r="21">
      <c r="A21" s="79" t="inlineStr">
        <is>
          <t>63501000</t>
        </is>
      </c>
      <c r="B21" s="21" t="inlineStr">
        <is>
          <t>모집수수료</t>
        </is>
      </c>
      <c r="C21" s="21" t="inlineStr">
        <is>
          <t>판매수수료</t>
        </is>
      </c>
      <c r="D21" s="12" t="inlineStr">
        <is>
          <t>Y</t>
        </is>
      </c>
      <c r="E21" s="12" t="inlineStr">
        <is>
          <t>직접</t>
        </is>
      </c>
      <c r="F21" s="12" t="inlineStr">
        <is>
          <t>신계약비</t>
        </is>
      </c>
      <c r="G21" s="12" t="n"/>
    </row>
    <row r="22">
      <c r="A22" s="79" t="inlineStr">
        <is>
          <t>63502000</t>
        </is>
      </c>
      <c r="B22" s="21" t="inlineStr">
        <is>
          <t>유지수수료</t>
        </is>
      </c>
      <c r="C22" s="21" t="inlineStr">
        <is>
          <t>판매수수료</t>
        </is>
      </c>
      <c r="D22" s="12" t="inlineStr">
        <is>
          <t>Y</t>
        </is>
      </c>
      <c r="E22" s="12" t="inlineStr">
        <is>
          <t>직접</t>
        </is>
      </c>
      <c r="F22" s="12" t="inlineStr">
        <is>
          <t>수금비</t>
        </is>
      </c>
      <c r="G22" s="12" t="n"/>
    </row>
    <row r="23">
      <c r="A23" s="79" t="inlineStr">
        <is>
          <t>63601000</t>
        </is>
      </c>
      <c r="B23" s="21" t="inlineStr">
        <is>
          <t>손해조사비</t>
        </is>
      </c>
      <c r="C23" s="21" t="inlineStr">
        <is>
          <t>손해조사비</t>
        </is>
      </c>
      <c r="D23" s="12" t="inlineStr">
        <is>
          <t>Y</t>
        </is>
      </c>
      <c r="E23" s="12" t="inlineStr">
        <is>
          <t>직접</t>
        </is>
      </c>
      <c r="F23" s="12" t="inlineStr">
        <is>
          <t>손해조사비</t>
        </is>
      </c>
      <c r="G23" s="12" t="n"/>
    </row>
    <row r="24">
      <c r="A24" s="79" t="inlineStr">
        <is>
          <t>61101000</t>
        </is>
      </c>
      <c r="B24" s="21" t="inlineStr">
        <is>
          <t>급여</t>
        </is>
      </c>
      <c r="C24" s="21" t="inlineStr">
        <is>
          <t>인건비</t>
        </is>
      </c>
      <c r="D24" s="12" t="inlineStr">
        <is>
          <t>제외</t>
        </is>
      </c>
      <c r="E24" s="12" t="n"/>
      <c r="F24" s="12" t="n"/>
      <c r="G24" s="12" t="n"/>
    </row>
    <row r="25">
      <c r="A25" s="79" t="inlineStr">
        <is>
          <t>61201000</t>
        </is>
      </c>
      <c r="B25" s="21" t="inlineStr">
        <is>
          <t>복리후생비</t>
        </is>
      </c>
      <c r="C25" s="21" t="inlineStr">
        <is>
          <t>인건비</t>
        </is>
      </c>
      <c r="D25" s="12" t="inlineStr">
        <is>
          <t>제외</t>
        </is>
      </c>
      <c r="E25" s="12" t="n"/>
      <c r="F25" s="12" t="n"/>
      <c r="G25" s="12" t="n"/>
    </row>
  </sheetData>
  <dataValidations count="3">
    <dataValidation sqref="E5:E504" showDropDown="0" showInputMessage="0" showErrorMessage="0" allowBlank="1" type="list">
      <formula1>"직접,공통비"</formula1>
    </dataValidation>
    <dataValidation sqref="F5:F504" showDropDown="0" showInputMessage="0" showErrorMessage="0" allowBlank="1" type="list">
      <formula1>"신계약비,유지비,수금비,손해조사비,비귀속"</formula1>
    </dataValidation>
    <dataValidation sqref="G5:G504" showDropDown="0" showInputMessage="0" showErrorMessage="0" allowBlank="1" type="list">
      <formula1>"유지비,기타"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</cols>
  <sheetData>
    <row r="1">
      <c r="A1" s="1" t="inlineStr">
        <is>
          <t>TRACE · 부서 매핑</t>
        </is>
      </c>
    </row>
    <row r="2">
      <c r="A2" s="2" t="inlineStr">
        <is>
          <t>코스트센터 → 부서 · 코드 칸은 텍스트</t>
        </is>
      </c>
    </row>
    <row r="4" ht="30" customHeight="1">
      <c r="A4" s="4" t="inlineStr">
        <is>
          <t>코스트센터</t>
        </is>
      </c>
      <c r="B4" s="4" t="inlineStr">
        <is>
          <t>코스트센터명</t>
        </is>
      </c>
      <c r="C4" s="4" t="inlineStr">
        <is>
          <t>부서코드</t>
        </is>
      </c>
      <c r="D4" s="4" t="inlineStr">
        <is>
          <t>부서명</t>
        </is>
      </c>
    </row>
    <row r="5">
      <c r="A5" s="79" t="inlineStr">
        <is>
          <t>1101</t>
        </is>
      </c>
      <c r="B5" s="21" t="inlineStr">
        <is>
          <t>경영기획</t>
        </is>
      </c>
      <c r="C5" s="79" t="inlineStr">
        <is>
          <t>D100</t>
        </is>
      </c>
      <c r="D5" s="21" t="inlineStr">
        <is>
          <t>경영기획팀</t>
        </is>
      </c>
    </row>
    <row r="6">
      <c r="A6" s="79" t="inlineStr">
        <is>
          <t>1201</t>
        </is>
      </c>
      <c r="B6" s="21" t="inlineStr">
        <is>
          <t>재무회계</t>
        </is>
      </c>
      <c r="C6" s="79" t="inlineStr">
        <is>
          <t>D200</t>
        </is>
      </c>
      <c r="D6" s="21" t="inlineStr">
        <is>
          <t>재무회계팀</t>
        </is>
      </c>
    </row>
    <row r="7">
      <c r="A7" s="79" t="inlineStr">
        <is>
          <t>1301</t>
        </is>
      </c>
      <c r="B7" s="21" t="inlineStr">
        <is>
          <t>인사</t>
        </is>
      </c>
      <c r="C7" s="79" t="inlineStr">
        <is>
          <t>D300</t>
        </is>
      </c>
      <c r="D7" s="21" t="inlineStr">
        <is>
          <t>인사팀</t>
        </is>
      </c>
    </row>
    <row r="8">
      <c r="A8" s="79" t="inlineStr">
        <is>
          <t>1401</t>
        </is>
      </c>
      <c r="B8" s="21" t="inlineStr">
        <is>
          <t>상품개발</t>
        </is>
      </c>
      <c r="C8" s="79" t="inlineStr">
        <is>
          <t>D400</t>
        </is>
      </c>
      <c r="D8" s="21" t="inlineStr">
        <is>
          <t>상품개발팀</t>
        </is>
      </c>
    </row>
    <row r="9">
      <c r="A9" s="79" t="inlineStr">
        <is>
          <t>1501</t>
        </is>
      </c>
      <c r="B9" s="21" t="inlineStr">
        <is>
          <t>마케팅전략</t>
        </is>
      </c>
      <c r="C9" s="79" t="inlineStr">
        <is>
          <t>D500</t>
        </is>
      </c>
      <c r="D9" s="21" t="inlineStr">
        <is>
          <t>마케팅팀</t>
        </is>
      </c>
    </row>
    <row r="10">
      <c r="A10" s="79" t="inlineStr">
        <is>
          <t>1502</t>
        </is>
      </c>
      <c r="B10" s="21" t="inlineStr">
        <is>
          <t>디지털마케팅</t>
        </is>
      </c>
      <c r="C10" s="79" t="inlineStr">
        <is>
          <t>D500</t>
        </is>
      </c>
      <c r="D10" s="21" t="inlineStr">
        <is>
          <t>마케팅팀</t>
        </is>
      </c>
    </row>
    <row r="11">
      <c r="A11" s="79" t="inlineStr">
        <is>
          <t>1601</t>
        </is>
      </c>
      <c r="B11" s="21" t="inlineStr">
        <is>
          <t>영업지원-본사</t>
        </is>
      </c>
      <c r="C11" s="79" t="inlineStr">
        <is>
          <t>D600</t>
        </is>
      </c>
      <c r="D11" s="21" t="inlineStr">
        <is>
          <t>영업지원팀</t>
        </is>
      </c>
    </row>
    <row r="12">
      <c r="A12" s="79" t="inlineStr">
        <is>
          <t>1602</t>
        </is>
      </c>
      <c r="B12" s="21" t="inlineStr">
        <is>
          <t>영업지원-지역본부</t>
        </is>
      </c>
      <c r="C12" s="79" t="inlineStr">
        <is>
          <t>D600</t>
        </is>
      </c>
      <c r="D12" s="21" t="inlineStr">
        <is>
          <t>영업지원팀</t>
        </is>
      </c>
    </row>
    <row r="13">
      <c r="A13" s="79" t="inlineStr">
        <is>
          <t>1701</t>
        </is>
      </c>
      <c r="B13" s="21" t="inlineStr">
        <is>
          <t>IT운영</t>
        </is>
      </c>
      <c r="C13" s="79" t="inlineStr">
        <is>
          <t>D700</t>
        </is>
      </c>
      <c r="D13" s="21" t="inlineStr">
        <is>
          <t>IT운영팀</t>
        </is>
      </c>
    </row>
    <row r="14">
      <c r="A14" s="79" t="inlineStr">
        <is>
          <t>1801</t>
        </is>
      </c>
      <c r="B14" s="21" t="inlineStr">
        <is>
          <t>고객서비스</t>
        </is>
      </c>
      <c r="C14" s="79" t="inlineStr">
        <is>
          <t>D800</t>
        </is>
      </c>
      <c r="D14" s="21" t="inlineStr">
        <is>
          <t>고객서비스팀</t>
        </is>
      </c>
    </row>
    <row r="15">
      <c r="A15" s="79" t="inlineStr">
        <is>
          <t>1901</t>
        </is>
      </c>
      <c r="B15" s="21" t="inlineStr">
        <is>
          <t>GA채널</t>
        </is>
      </c>
      <c r="C15" s="79" t="inlineStr">
        <is>
          <t>D900</t>
        </is>
      </c>
      <c r="D15" s="21" t="inlineStr">
        <is>
          <t>영업채널팀</t>
        </is>
      </c>
    </row>
    <row r="16">
      <c r="A16" s="79" t="inlineStr">
        <is>
          <t>1902</t>
        </is>
      </c>
      <c r="B16" s="21" t="inlineStr">
        <is>
          <t>전속채널</t>
        </is>
      </c>
      <c r="C16" s="79" t="inlineStr">
        <is>
          <t>D900</t>
        </is>
      </c>
      <c r="D16" s="21" t="inlineStr">
        <is>
          <t>영업채널팀</t>
        </is>
      </c>
    </row>
    <row r="17">
      <c r="A17" s="79" t="inlineStr">
        <is>
          <t>1951</t>
        </is>
      </c>
      <c r="B17" s="21" t="inlineStr">
        <is>
          <t>자산운용</t>
        </is>
      </c>
      <c r="C17" s="79" t="inlineStr">
        <is>
          <t>D950</t>
        </is>
      </c>
      <c r="D17" s="21" t="inlineStr">
        <is>
          <t>자산운용팀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TRACE_DATA</t>
        </is>
      </c>
      <c r="B1" t="n">
        <v>4</v>
      </c>
      <c r="C1" t="inlineStr">
        <is>
          <t>예시 데이터</t>
        </is>
      </c>
    </row>
    <row r="2">
      <c r="A2" s="101" t="inlineStr">
        <is>
          <t xml:space="preserve">window.TRACE_DATA = {
 "meta": {
  "company": "예시보험㈜",
  "period": "2026-09",
  "unit": "백만원",
  "burnMethod": "연내누적",
  "check": "전체 정상 (참고 1건)",
  "recon": "전체 일치",
  "generated": "2026-10-14 (예시 데이터)"
 },
 "kpi": [
  {
   "label": "총자산",
   "value": 3180083.3,
   "compare": 3061186.2,
   "rate": 0.0388,
   "basis": "전년동월말"
  },
  {
   "label": "자본총계",
   "value": 357224.684,
   "compare": 342422.389,
   "rate": 0.0432,
   "basis": "전년동월말"
  },
  {
   "label": "보험계약마진(CSM)",
   "value": 407410.516,
   "compare": 390757.711,
   "rate": 0.0426,
   "basis": "전년동월말"
  },
  {
   "label": "당기순이익 누계",
   "value": 83645.5733,
   "compare": 88448.0503,
   "rate": -0.0543,
   "basis": "전년 누계"
  },
  {
   "label": "사업비 누계",
   "value": 27162.306,
   "compare": 25111.915,
   "rate": 0.0817,
   "basis": "전년 누계"
  },
  {
   "label": "사업비 당월",
   "value": 3808.323,
   "compare": 2889.164,
   "rate": 0.3181,
   "basis": "전월"
  },
  {
   "label": "사업비 당분기",
   "value": 9673.479,
   "compare": 8639.535,
   "rate": 0.1197,
   "basis": "전분기"
  },
  {
   "label": "분기 한도 초과(예상)",
   "value": 6,
   "compare": 18,
   "rate": null,
   "basis": "주의 건수"
  }
 ],
 "monthly": [
  {
   "month": "1월",
   "cur": 2979.448,
   "prev": 2756.898,
   "budget": 3234.4
  },
  {
   "month": "2월",
   "cur": 2930.928,
   "prev": 2774.431,
   "budget": 3234.4
  },
  {
   "month": "3월",
   "cur": 2938.916,
   "prev": 2795.104,
   "budget": 3234.4
  },
  {
   "month": "4월",
   "cur": 2873.325,
   "prev": 2776.406,
   "budget": 3244.4
  },
  {
   "month": "5월",
   "cur": 2878.772,
   "prev": 2795.225,
   "budget": 3244.4
  },
  {
   "month": "6월",
   "cur": 2887.438,
   "prev": 2777.003,
   "budget": 3244.4
  },
  {
   "month": "7월",
   "cur": 2975.992,
   "prev": 2796.499,
   "budget": 3249.4
  },
  {
   "month": "8월",
   "cur": 2889.164,
   "prev": 2793.906,
   "budget": 3249.4
  },
  {
   "month": "9월",
   "cur": 3808.323,
   "prev": 2846.443,
   "budget": 3249.4
  },
  {
   "month": "10월",
   "cur": 0,
   "prev": 2849.751,
   "budget": 3259.4
  },
  {
   "month": "11월",
   "cur": 0,
   "prev": 2858.047,
   "budget": 3259.4
  },
  {
   "month": "12월",
   "cur": 0,
   "prev": 2827.151,
   "budget": 3259.4
  }
 ],
 "depts": [
  {
   "code": "D100",
   "name": "경영기획팀",
   "avail": 87.9,
   "ytd": 50.352,
   "forecast": 50.352,
   "rate": 0.5728,
   "status": "여유"
  },
  {
   "code": "D200",
   "name": "재무회계팀",
   "avail": 114.6,
   "ytd": 126.536,
   "forecast": 126.536,
   "rate": 1.1042,
   "status": "한도 초과"
  },
  {
   "code": "D300",
   "name": "인사팀",
   "avail": 118.9,
   "ytd": 155.91,
   "forecast": 155.91,
   "rate": 1.3113,
   "status": "한도 초과"
  },
  {
   "code": "D400",
   "name": "상품개발팀",
   "avail": 105.3,
   "ytd": 90.841,
   "forecast": 90.841,
   "rate": 0.8627,
   "status": "여유"
  },
  {
   "code": "D500",
   "name": "마케팅팀",
   "avail": 484.5,
   "ytd": 643.244,
   "forecast": 643.244,
   "rate": 1.3276,
   "status": "한도 초과"
  },
  {
   "code": "D600",
   "name": "영업지원팀",
   "avail": 127.2,
   "ytd": 109.257,
   "forecast": 109.257,
   "rate": 0.8589,
   "status": "여유"
  },
  {
   "code": "D700",
   "name": "IT운영팀",
   "avail": 702.8,
   "ytd": 606.443,
   "forecast": 606.443,
   "rate": 0.8629,
   "status": "여유"
  },
  {
   "code": "D800",
   "name": "고객서비스팀",
   "avail": 348.0,
   "ytd": 337.441,
   "forecast": 337.441,
   "rate": 0.9697,
   "status": "주의"
  },
  {
   "code": "D900",
   "name": "영업채널팀",
   "avail": 7500.0,
   "ytd": 7413.654,
   "forecast": 7413.654,
   "rate": 0.9885,
   "status": "주의"
  },
  {
   "code": "D950",
   "name": "자산운용팀",
   "avail": 159.0,
   "ytd": 139.801,
   "forecast": 139.801,
   "rate": 0.8793,
   "status": "여유"
  }
 ],
 "status": [
  {
   "status": "여유",
   "count": 48
  },
  {
   "status": "주의",
   "count": 18
  },
  {
   "status": "초과 예상",
   "count": 0
  },
  {
   "status": "한도 초과",
   "count": 6
  },
  {
   "status": "무예산",
   "count": 1
  }
 ],
 "accounts": [
  {
   "gl": "62101000",
   "name": "여비교통비-국내",
   "cur": 17.522,
   "prevYear": 17.201,
   "diff": 0.321,
   "prevMonth": 18.991,
   "qCur": 53.994,
   "qPrev": 54.991,
   "ytd": 163.133,
   "ytdPrev": 158.814
  },
  {
   "gl": "62102000",
   "name": "여비교통비-해외",
   "cur": 3.156,
   "prevYear": 3.147,
   "diff": 0.009,
   "prevMonth": 3.17,
   "qCur": 9.564,
   "qPrev": 9.422,
   "ytd": 28.672,
   "ytdPrev": 28.694
  },
  {
   "gl": "62201000",
   "name": "통신비",
   "cur": 36.22,
   "prevYear": 37.39,
   "diff": -1.17,
   "prevMonth": 36.238,
   "qCur": 109.043,
   "qPrev": 108.665,
   "ytd": 325.722,
   "ytdPrev": 320.676
  },
  {
   "gl": "62301000",
   "name": "소모품비",
   "cur": 6.023,
   "prevYear": 6.173,
   "diff": -0.15,
   "prevMonth": 5.862,
   "qCur": 17.843,
   "qPrev": 17.726,
   "ytd": 52.887,
   "ytdPrev": 54.532
  },
  {
   "gl": "62401000",
   "name": "도서인쇄비",
   "cur": 13.76,
   "prevYear": 14.242,
   "diff": -0.482,
   "prevMonth": 13.67,
   "qCur": 41.884,
   "qPrev": 38.602,
   "ytd": 119.037,
   "ytdPrev": 123.949
  },
  {
   "gl": "62501000",
   "name": "회의비",
   "cur": 5.484,
   "prevYear": 5.399,
   "diff": 0.085,
   "prevMonth": 5.443,
   "qCur": 16.716,
   "qPrev": 16.755,
   "ytd": 49.997,
   "ytdPrev": 49.212
  },
  {
   "gl": "62601000",
   "name": "업무추진비",
   "cur": 11.706,
   "prevYear": 10.559,
   "diff": 1.147,
   "prevMonth": 11.09,
   "qCur": 33.399,
   "qPrev": 33.562,
   "ytd": 99.974,
   "ytdPrev": 95.216
  },
  {
   "gl": "62701000",
   "name": "광고선전비",
   "cur": 295.5,
   "prevYear": 180.0,
   "diff": 115.5,
   "prevMonth": 120.0,
   "qCur": 605.501,
   "qPrev": 413.2,
   "ytd": 1593.501,
   "ytdPrev": 1380.001
  },
  {
   "gl": "62801000",
   "name": "교육훈련비-사내",
   "cur": 13.369,
   "prevYear": 13.131,
   "diff": 0.238,
   "prevMonth": 12.679,
   "qCur": 40.264,
   "qPrev": 44.575,
   "ytd": 127.133,
   "ytdPrev": 113.843
  },
  {
   "gl": "62802000",
   "name": "교육훈련비-외부위탁",
   "cur": 69.908,
   "prevYear": 14.063,
   "diff": 55.845,
   "prevMonth": 11.475,
   "qCur": 93.47,
   "qPrev": 34.487,
   "ytd": 160.035,
   "ytdPrev": 126.303
  },
  {
   "gl": "62901000",
   "name": "지급수수료-컨설팅",
   "cur": 103.634,
   "prevYear": 94.844,
   "diff": 8.79,
   "prevMonth": 100.255,
   "qCur": 306.156,
   "qPrev": 297.693,
   "ytd": 906.769,
   "ytdPrev": 871.168
  },
  {
   "gl": "62902000",
   "name": "지급수수료-기타",
   "cur": 58.335,
   "prevYear": 49.447,
   "diff": 8.888,
   "prevMonth": 49.784,
   "qCur": 158.366,
   "qPrev": 154.271,
   "ytd": 469.547,
   "ytdPrev": 441.704
  },
  {
   "gl": "63001000",
   "name": "전산운영비-SW유지보수",
   "cur": 98.344,
   "prevYear": 103.811,
   "diff": -5.467,
   "prevMonth": 111.391,
   "qCur": 310.384,
   "qPrev": 304.072,
   "ytd": 935.708,
   "ytdPrev": 903.292
  },
  {
   "gl": "63002000",
   "name": "전산운영비-클라우드",
   "cur": 109.115,
   "prevYear": 77.422,
   "diff": 31.693,
   "prevMonth": 101.107,
   "qCur": 304.51,
   "qPrev": 262.668,
   "ytd": 826.357,
   "ytdPrev": 672.517
  },
  {
   "gl": "63101000",
   "name": "임차료",
   "cur": 14.848,
   "prevYear": 15.47,
   "diff": -0.622,
   "prevMonth": 15.294,
   "qCur": 44.685,
   "qPrev": 46.937,
   "ytd": 138.307,
   "ytdPrev": 139.605
  },
  {
   "gl": "63201000",
   "name": "차량유지비",
   "cur": 14.315,
   "prevYear": 7.172,
   "diff": 7.143,
   "prevMonth": 2.004,
   "qCur": 24.122,
   "qPrev": 23.621,
   "ytd": 71.738,
   "ytdPrev": 65.281
  },
  {
   "gl": "63501000",
   "name": "모집수수료",
   "cur": 2454.582,
   "prevYear": 1730.816,
   "diff": 723.766,
   "prevMonth": 1791.019,
   "qCur": 6062.923,
   "qPrev": 5338.965,
   "ytd": 16781.771,
   "ytdPrev": 15446.729
  },
  {
   "gl": "63502000",
   "name": "유지수수료",
   "cur": 453.742,
   "prevYear": 435.861,
   "diff": 17.881,
   "prevMonth": 448.443,
   "qCur": 1350.731,
   "qPrev": 1348.877,
   "ytd": 4040.031,
   "ytdPrev": 3858.274
  },
  {
   "gl": "63601000",
   "name": "손해조사비",
   "cur": 28.76,
   "prevYear": 30.295,
   "diff": -1.535,
   "prevMonth": 31.249,
   "qCur": 89.924,
   "qPrev": 90.446,
   "ytd": 271.987,
   "ytdPrev": 262.105
  }
 ],
 "bs": [
  {
   "p": 24310,
   "period": "2025-10",
   "assets": 3070423.0,
   "liabilities": 2727067.228,
   "equity": 343355.772,
   "csm": 392372.528,
   "invested": 2857546.5
  },
  {
   "p": 24311,
   "period": "2025-11",
   "assets": 3076478.5,
   "liabilities": 2745843.172,
   "equity": 330635.328,
   "csm": 393851.872,
   "invested": 2863784.3
  },
  {
   "p": 24312,
   "period": "2025-12",
   "assets": 3088482.7,
   "liabilities": 2742792.258,
   "equity": 345690.442,
   "csm": 395162.658,
   "invested": 2876183.7
  },
  {
   "p": 24313,
   "period": "2026-01",
   "assets": 3110168.1,
   "liabilities": 2758275.323,
   "equity": 351892.777,
   "csm": 396642.323,
   "invested": 2895158.9
  },
  {
   "p": 24314,
   "period": "2026-02",
   "assets": 3110127.1,
   "liabilities": 2771317.155,
   "equity": 338809.945,
   "csm": 398317.355,
   "invested": 2896797.8
  },
  {
   "p": 24315,
   "period": "2026-03",
   "assets": 3112873.5,
   "liabilities": 2778333.989,
   "equity": 334539.511,
   "csm": 400233.289,
   "invested": 2900600.5
  },
  {
   "p": 24316,
   "period": "2026-04",
   "assets": 3136227.0,
   "liabilities": 2784872.821,
   "equity": 351354.179,
   "csm": 401686.821,
   "invested": 2918704.6
  },
  {
   "p": 24317,
   "period": "2026-05",
   "assets": 3138689.6,
   "liabilities": 2790222.958,
   "equity": 348466.642,
   "csm": 403008.558,
   "invested": 2928053.9
  },
  {
   "p": 24318,
   "period": "2026-06",
   "assets": 3145390.3,
   "liabilities": 2795259.292,
   "equity": 350131.008,
   "csm": 404205.592,
   "invested": 2932560.7
  },
  {
   "p": 24319,
   "period": "2026-07",
   "assets": 3172182.7,
   "liabilities": 2804559.641,
   "equity": 367623.059,
   "csm": 405947.441,
   "invested": 2955201.3
  },
  {
   "p": 24320,
   "period": "2026-08",
   "assets": 3175927.6,
   "liabilities": 2808643.243,
   "equity": 367284.357,
   "csm": 407449.143,
   "invested": 2960635.6
  },
  {
   "p": 24321,
   "period": "2026-09",
   "assets": 3180083.3,
   "liabilities": 2822858.616,
   "equity": 357224.684,
   "csm": 407410.516,
   "invested": 2964803.2
  }
 ],
 "pl": [
  {
   "month": "1월",
   "niCur": 9743.8291,
   "niPrev": 9204.8234,
   "insCur": 11345.822,
   "invCur": 1531.5272,
   "expCur": 385.2601,
   "insPrev": 10389.609
  },
  {
   "month": "2월",
   "niCur": 12064.4967,
   "niPrev": 10169.8712,
   "insCur": 14018.876,
   "invCur": 1829.8667,
   "expCur": 381.439,
   "insPrev": 11619.874
  },
  {
   "month": "3월",
   "niCur": 10373.7147,
   "niPrev": 8357.7924,
   "insCur": 12176.321,
   "invCur": 1514.6175,
   "expCur": 391.3048,
   "insPrev": 9370.593
  },
  {
   "month": "4월",
   "niCur": 10106.5729,
   "niPrev": 11338.5257,
   "insCur": 11118.854,
   "invCur": 2170.3407,
   "expCur": 332.0498,
   "insPrev": 13721.921
  },
  {
   "month": "5월",
   "niCur": 7938.6252,
   "niPrev": 9331.6733,
   "insCur": 8895.159,
   "invCur": 1607.1799,
   "expCur": 324.6147,
   "insPrev": 11103.838
  },
  {
   "month": "6월",
   "niCur": 7627.7689,
   "niPrev": 9874.1138,
   "insCur": 7913.541,
   "invCur": 2200.264,
   "expCur": 334.6141,
   "insPrev": 10925.34
  },
  {
   "month": "7월",
   "niCur": 10107.6197,
   "niPrev": 8369.497,
   "insCur": 12256.481,
   "invCur": 1087.0897,
   "expCur": 385.084,
   "insPrev": 9862.722
  },
  {
   "month": "8월",
   "niCur": 6958.2934,
   "niPrev": 11092.4876,
   "insCur": 7417.653,
   "invCur": 1821.0736,
   "expCur": 317.8382,
   "insPrev": 13331.986
  },
  {
   "month": "9월",
   "niCur": 8724.6526,
   "niPrev": 10709.2659,
   "insCur": 10253.623,
   "invCur": 1474.797,
   "expCur": 542.9674,
   "insPrev": 12180.389
  },
  {
   "month": "10월",
   "niCur": 0,
   "niPrev": 9572.4237,
   "insCur": 0,
   "invCur": 0,
   "expCur": 0,
   "insPrev": 11454.439
  },
  {
   "month": "11월",
   "niCur": 0,
   "niPrev": 6849.0926,
   "insCur": 0,
   "invCur": 0,
   "expCur": 0,
   "insPrev": 7624.77
  },
  {
   "month": "12월",
   "niCur": 0,
   "niPrev": 9531.9033,
   "insCur": 0,
   "invCur": 0,
   "expCur": 0,
   "insPrev": 11611.166
  }
 ],
 "expcat": [
  {
   "cat": "직접신계약비-무관",
   "m1": 190.0,
   "m2": 190.0,
   "m3": 194.8,
   "m4": 143.2,
   "m5": 130.001,
   "m6": 139.999,
   "m7": 190.001,
   "m8": 120.0,
   "m9": 295.5,
   "m10": 0.0,
   "m11": 0.0,
   "m12": 0.0,
   "ytd": 1593.501,
   "share": 0.0587,
   "py": 1380.001,
   "diff": 213.5,
   "rate": 0.1547
  },
  {
   "cat": "직접신계약비-유관(CSM)",
   "m1": 1817.923,
   "m2": 1783.13,
   "m3": 1778.83,
   "m4": 1777.139,
   "m5": 1783.917,
   "m6": 1777.909,
   "m7": 1817.322,
   "m8": 1791.019,
   "m9": 2454.582,
   "m10": 0.0,
   "m11": 0.0,
   "m12": 0.0,
   "ytd": 16781.771,
   "share": 0.6178,
   "py": 15446.729,
   "diff": 1335.042,
   "rate": 0.0864
  },
  {
   "cat": "직접유지비",
   "m1": 452.397,
   "m2": 444.171,
   "m3": 443.855,
   "m4": 447.602,
   "m5": 449.604,
   "m6": 451.671,
   "m7": 448.546,
   "m8": 448.443,
   "m9": 453.742,
   "m10": 0.0,
   "m11": 0.0,
   "m12": 0.0,
   "ytd": 4040.031,
   "share": 0.1487,
   "py": 3858.274,
   "diff": 181.757,
   "rate": 0.0471
  },
  {
   "cat": "직접손해조사비",
   "m1": 30.089,
   "m2": 30.361,
   "m3": 31.167,
   "m4": 30.935,
   "m5": 29.305,
   "m6": 30.206,
   "m7": 29.915,
   "m8": 31.249,
   "m9": 28.76,
   "m10": 0.0,
   "m11": 0.0,
   "m12": 0.0,
   "ytd": 271.987,
   "share": 0.01,
   "py": 262.105,
   "diff": 9.882,
   "rate": 0.0377
  },
  {
   "cat": "재산관리비-약대",
   "m1": 6.6479,
   "m2": 6.7179,
   "m3": 6.8138,
   "m4": 6.5919,
   "m5": 6.4491,
   "m6": 6.7893,
   "m7": 6.482,
   "m8": 7.1106,
   "m9": 6.461,
   "m10": 0.0,
   "m11": 0.0,
   "m12": 0.0,
   "ytd": 60.0635,
   "share": 0.0022,
   "py": 53.8434,
   "diff": 6.2201,
   "rate": 0.1155
  },
  {
   "cat": "재산관리비-기타",
   "m1": 25.8349,
   "m2": 26.1534,
   "m3": 26.2087,
   "m4": 26.2304,
   "m5": 25.235,
   "m6": 25.9637,
   "m7": 26.2283,
   "m8": 25.7628,
   "m9": 25.816,
   "m10": 0.0,
   "m11": 0.0,
   "m12": 0.0,
   "ytd": 233.4332,
   "share": 0.0086,
   "py": 208.5726,
   "diff": 24.8606,
   "rate": 0.1192
  },
  {
   "cat": "간접비",
   "m1": 456.5562,
   "m2": 450.3947,
   "m3": 457.2415,
   "m4": 441.6267,
   "m5": 454.2609,
   "m6": 454.9,
   "m7": 457.4977,
   "m8": 465.5796,
   "m9": 543.462,
   "m10": 0.0,
   "m11": 0.0,
   "m12": 0.0,
   "ytd": 4181.5193,
   "share": 0.1539,
   "py": 3902.39,
   "diff": 279.1293,
   "rate": 0.0715
  },
  {
   "cat": "합계",
   "m1": 2979.448,
   "m2": 2930.928,
   "m3": 2938.916,
   "m4": 2873.325,
   "m5": 2878.772,
   "m6": 2887.438,
   "m7": 2975.992,
   "m8": 2889.164,
   "m9": 3808.323,
   "m10": 0.0,
   "m11": 0.0,
   "m12": 0.0,
   "ytd": 27162.306,
   "share": 1.0,
   "py": 25111.915,
   "diff": 2050.391,
   "rate": 0.0817
  }
 ],
 "burn": [
  {
   "rank": "전사",
   "dept": "전사",
   "account": "사업비 합계",
   "budget": 38962.8,
   "ytd": 27162.306,
   "slope": 2961.5278,
   "icpt": -73.5695,
   "yearEnd": 35464.7644,
   "tstar": 13.1812,
   "date": "2027-02-05",
   "status": "연내 여유",
   "qdate": "분기 내 여유",
   "c1": 2979.448,
   "c2": 5910.376,
   "c3": 8849.292,
   "c4": 11722.617,
   "c5": 14601.389,
   "c6": 17488.827,
   "c7": 20464.819,
   "c8": 23353.983,
   "c9": 27162.306,
   "c10": 0,
   "c11": 0,
   "c12": 0,
   "pySlope": 2844.983
  },
  {
   "rank": 1,
   "dept": "고객서비스팀",
   "account": "지급수수료-기타",
   "budget": 180.0,
   "ytd": 196.038,
   "slope": 21.386,
   "icpt": -0.9872,
   "yearEnd": 255.645,
   "tstar": "",
   "date": "소진됨",
   "status": "이미 소진",
   "qdate": "한도 소진",
   "c1": 21.014,
   "c2": 42.113,
   "c3": 63.093,
   "c4": 83.96,
   "c5": 104.976,
   "c6": 126.17,
   "c7": 147.089,
   "c8": 168.046,
   "c9": 196.038,
   "c10": 0,
   "c11": 0,
   "c12": 0,
   "pySlope": 19.2027
  },
  {
   "rank": 2,
   "dept": "마케팅팀",
   "account": "광고선전비",
   "budget": 1800.0,
   "ytd": 1580.001,
   "slope": 165.0304,
   "icpt": 28.3634,
   "yearEnd": 2008.7287,
   "tstar": 10.7352,
   "date": "2026-11-23",
   "status": "연내 고갈",
   "qdate": "한도 소진",
   "c1": 190.0,
   "c2": 380.0,
   "c3": 570.0,
   "c4": 710.0,
   "c5": 840.001,
   "c6": 980.0,
   "c7": 1170.001,
   "c8": 1290.001,
   "c9": 1580.001,
   "c10": 0,
   "c11": 0,
   "c12": 0,
   "pySlope": 197.133
  }
 ],
 "top10": [
  {
   "rank": 1,
   "dept": "마케팅팀",
   "account": "광고선전비",
   "cur": 290.0,
   "mom": 1.4167,
   "yoy": 0.6111,
   "status": "한도 초과",
   "qrate": 1.3793,
   "annual": "부족 예상",
   "signal": "단건71% 이상치",
   "score": 100,
   "comment": "3분기 신상품 TV캠페인 집행을 앞당김. 4분기 집행분에서 조정 예정",
   "qcur": 600.001,
   "qoq": 0.4634,
   "ytd": 1580.001,
   "ytdRate": 0.1449,
   "momAmt": 170.0,
   "qoqAmt": 190.001,
   "ytdAmt": 200.0,
   "burn": {
    "dept": "마케팅팀",
    "account": "광고선전비",
    "ytd": 1580.001,
    "budget": 1800.0,
    "slope": 165.0304,
    "icpt": 28.3634,
    "yearEnd": 2008.7287,
    "tstar": 10.7352,
    "date": "2026-11-23",
    "status": "연내 고갈",
    "qdate": "한도 소진",
    "pySlope": 197.133,
    "c1": 190.0,
    "c2": 380.0,
    "c3": 570.0,
    "c4": 710.0,
    "c5": 840.001,
    "c6": 980.0,
    "c7": 1170.001,
    "c8": 1290.001,
    "c9": 1580.001,
    "c10": 0,
    "c11": 0,
    "c12": 0
   },
   "cause": {
    "basis": "전월",
    "summary": "마케팅팀 · 광고선전비 전월 대비 +170.0 (+142%). 전표 5100001994 (9/18, A광고대행사, 적요 '3분기 TV캠페인 집행분') 120.0이 증가분의 71% (거래처 평소 월평균 0.0). 일회성 지출 가능성. 분기 한도: 한도 초과, 연간 208.7 부족 예상 (2026-11-23 고갈).",
    "curTotal": 290.0,
    "cmpTotal": 120.0,
    "diff": 170.0,
    "candidates": [
     {
      "pattern": "일회성 대형 지출",
      "strength": "높음",
      "text": "전표 5100001994 (9/18, A광고대행사, 적요 '3분기 TV캠페인 집행분') 120.0이 증가분의 71% (거래처 평소 월평균 0.0). 일회성 지출 가능성"
     },
     {
      "pattern": "신규 거래처",
      "strength": "중간",
      "text": "최근 12개월 거래가 없던 거래처(A광고대행사 등 2곳)가 증가분의 88%. 신규 계약·거래 개시 가능성"
     },
     {
      "pattern": "적요 키워드",
      "strength": "중간",
      "text": "캠페인·행사: 적요에 '캠페인·행사·이벤트' 등이 있는 전표 120.0 (증가분의 71%). 일회성 캠페인·행사 비용일 가능성"
     },
     {
      "pattern": "물량 vs 단가",
      "strength": "참고",
      "text": "건수 3→6 (+100%), 건당 40.0→48.3. 건수(물량) 증가 영향이 더 큼"
     }
    ],
    "vendors": [
     {
      "name": "A광고대행사",
      "cur": 120.0,
      "cmp": 0,
      "diff": 120.0,
      "share": 0.7059,
      "isNew": "Y"
     },
     {
      "name": "B디지털",
      "cur": 30.0,
      "cmp": 0,
      "diff": 30.0,
      "share": 0.1765,
      "isNew": "Y"
     },
     {
      "name": "F애드",
      "cur": 61.631,
      "cmp": 40.084,
      "diff": 21.547,
      "share": 0.1267,
      "isNew": "N"
     },
     {
      "name": "E미디어",
      "cur": 78.369,
      "cmp": 79.916,
      "diff": -1.547,
      "share": -0.0091,
      "isNew": "N"
     }
    ],
    "evidence": [
     {
      "date": "2026-09-18",
      "doc": "5100001994",
      "type": "KR",
      "vendor": "A광고대행사",
      "text": "3분기 TV캠페인 집행분",
      "amt": 120.0
     },
     {
      "date": "2026-09-09",
      "doc": "5100001902",
      "type": "KR",
      "vendor": "E미디어",
      "text": "9월 광고 집행 - E미디어",
      "amt": 46.136
     },
     {
      "date": "2026-09-15",
      "doc": "5100001970",
      "type": "KR",
      "vendor": "F애드",
      "text": "9월 광고 집행 - F애드",
      "amt": 32.348
     },
     {
      "date": "2026-09-18",
      "doc": "5100001993",
      "type": "KR",
      "vendor": "E미디어",
      "text": "9월 광고 집행 - E미디어",
      "amt": 32.233
     },
     {
      "date": "2026-09-25",
      "doc": "5100002054",
      "type": "KR",
      "vendor": "B디지털",
      "text": "디지털 퍼포먼스 광고 9월",
      "amt": 30.0
     },
     {
      "date": "2026-09-11",
      "doc": "5100001927",
      "type": "KR",
      "vendor": "F애드",
      "text": "9월 광고 집행 - F애드",
      "amt": 29.283
     }
    ]
   },
   "causes": {
    "전분기": {
     "basis": "전분기",
     "summary": "마케팅팀 · 광고선전비 전분기 대비 +190.0 (+46%). 전표 5100001994 (9/18, A광고대행사, 적요 '3분기 TV캠페인 집행분') 120.0이 증가분의 63% (거래처 평소 월평균 0.0). 일회성 지출 가능성. 분기 한도: 한도 초과, 연간 208.7 부족 예상 (2026-11-23 고갈).",
     "curTotal": 600.001,
     "cmpTotal": 410.0,
     "diff": 190.001,
     "candidates": [
      {
       "pattern": "일회성 대형 지출",
       "strength": "높음",
       "text": "전표 5100001994 (9/18, A광고대행사, 적요 '3분기 TV캠페인 집행분') 120.0이 증가분의 63% (거래처 평소 월평균 0.0). 일회성 지출 가능성"
      },
      {
       "pattern": "신규 거래처",
       "strength": "중간",
       "text": "최근 12개월 거래가 없던 거래처(A광고대행사 등 2곳)가 증가분의 79%. 신규 계약·거래 개시 가능성"
      },
      {
       "pattern": "적요 키워드",
       "strength": "중간",
       "text": "캠페인·행사: 적요에 '캠페인·행사·이벤트' 등이 있는 전표 120.0 (증가분의 63%). 일회성 캠페인·행사 비용일 가능성"
      },
      {
       "pattern": "물량 vs 단가",
       "strength": "참고",
       "text": "건수 9→13 (+44%), 건당 45.6→46.2. 건수(물량) 증가 영향이 더 큼"
      }
     ],
     "vendors": [
      {
       "name": "A광고대행사",
       "cur": 120.0,
       "cmp": 0,
       "diff": 120.0,
       "share": 0.6316,
       "isNew": "Y"
      },
      {
       "name": "E미디어",
       "cur": 246.908,
       "cmp": 184.622,
       "diff": 62.286,
       "share": 0.3278,
       "isNew": "N"
      },
      {
       "name": "B디지털",
       "cur": 30.0,
       "cmp": 0,
       "diff": 30.0,
       "share": 0.1579,
       "isNew": "Y"
      },
      {
       "name": "F애드",
       "cur": 203.093,
       "cmp": 225.378,
       "diff": -22.285,
       "share": -0.1173,
       "isNew": "N"
      }
     ],
     "evidence": [
      {
       "date": "2026-09-18",
       "doc": "5100001994",
       "type": "KR",
       "vendor": "A광고대행사",
       "text": "3분기 TV캠페인 집행분",
       "amt": 120.0
      },
      {
       "date": "2026-07-26",
       "doc": "5100001579",
       "type": "KR",
       "vendor": "F애드",
       "text": "7월 광고 집행 - F애드",
       "amt": 56.434
      },
      {
       "date": "2026-07-25",
       "doc": "5100001568",
       "type": "KR",
       "vendor": "E미디어",
       "text": "7월 광고 집행 - E미디어",
       "amt": 51.206
      },
      {
       "date": "2026-08-04",
       "doc": "5100001619",
       "type": "KR",
       "vendor": "E미디어",
       "text": "8월 광고 집행 - E미디어",
       "amt": 50.178
      },
      {
       "date": "2026-09-09",
       "doc": "5100001902",
       "type": "KR",
       "vendor": "E미디어",
       "text": "9월 광고 집행 - E미디어",
       "amt": 46.136
      },
      {
       "date": "2026-07-20",
       "doc": "5100001528",
       "type": "KR",
       "vendor": "F애드",
       "text": "7월 광고 집행 - F애드",
       "amt": 44.944
      },
      {
       "date": "2026-08-06",
       "doc": "5100001642",
       "type": "KR",
       "vendor": "F애드",
       "text": "8월 광고 집행 - F애드",
       "amt": 40.084
      },
      {
       "date": "2026-07-05",
       "doc": "5100001398",
       "type": "KR",
       "vendor": "E미디어",
       "text": "7월 광고 집행 - E미디어",
       "amt": 37.417
      },
      {
       "date": "2026-09-15",
       "doc": "5100001970",
       "type": "KR",
       "vendor": "F애드",
       "text": "9월 광고 집행 - F애드",
       "amt": 32.348
      },
      {
       "date": "2026-09-18",
       "doc": "5100001993",
       "type": "KR",
       "vendor": "E미디어",
       "text": "9월 광고 집행 - E미디어",
       "amt": 32.233
      },
      {
       "date": "2026-09-25",
       "doc": "5100002054",
       "type": "KR",
       "vendor": "B디지털",
       "text": "디지털 퍼포먼스 광고 9월",
       "amt": 30.0
      },
      {
       "date": "2026-08-14",
       "doc": "5100001709",
       "type": "KR",
       "vendor": "E미디어",
       "text": "8월 광고 집행 - E미디어",
       "amt": 29.738
      },
      {
       "date": "2026-09-11",
       "doc": "5100001927",
       "type": "KR",
       "vendor": "F애드",
       "text": "9월 광고 집행 - F애드",
       "amt": 29.283
      }
     ]
    },
    "전년동기누적": {
     "basis": "전년동기누적",
     "summary": "마케팅팀 · 광고선전비 전년동기누적 대비 +200.0 (+14%). 전표 5100001994 (9/18, A광고대행사, 적요 '3분기 TV캠페인 집행분') 120.0이 증가분의 60% (거래처 평소 월평균 0.0). 일회성 지출 가능성. 분기 한도: 한도 초과, 연간 208.7 부족 예상 (2026-11-23 고갈).",
     "curTotal": 1580.001,
     "cmpTotal": 1380.001,
     "diff": 200.0,
     "candidates": [
      {
       "pattern": "일회성 대형 지출",
       "strength": "높음",
       "text": "전표 5100001994 (9/18, A광고대행사, 적요 '3분기 TV캠페인 집행분') 120.0이 증가분의 60% (거래처 평소 월평균 0.0). 일회성 지출 가능성"
      },
      {
       "pattern": "신규 거래처",
       "strength": "중간",
       "text": "최근 12개월 거래가 없던 거래처(A광고대행사 등 2곳)가 증가분의 75%. 신규 계약·거래 개시 가능성"
      },
      {
       "pattern": "적요 키워드",
       "strength": "중간",
       "text": "캠페인·행사: 적요에 '캠페인·행사·이벤트' 등이 있는 전표 120.0 (증가분의 60%). 일회성 캠페인·행사 비용일 가능성"
      },
      {
       "pattern": "물량 vs 단가",
       "strength": "참고",
       "text": "건수 25→32 (+28%), 건당 55.2→49.4. 건수(물량) 증가 영향이 더 큼"
      }
     ],
     "vendors": [
      {
       "name": "A광고대행사",
       "cur": 120.0,
       "cmp": 0,
       "diff": 120.0,
       "share": 0.6,
       "isNew": "Y"
      },
      {
       "name": "E미디어",
       "cur": 712.942,
       "cmp": 674.26,
       "diff": 38.682,
       "share": 0.1934,
       "isNew": "N"
      },
      {
       "name": "B디지털",
       "cur": 30.0,
       "cmp": 0,
       "diff": 30.0,
       "share": 0.15,
       "isNew": "Y"
      },
      {
       "name": "F애드",
       "cur": 717.059,
       "cmp": 705.741,
       "diff": 11.318,
       "share": 0.0566,
       "isNew": "N"
      }
     ],
     "evidence": [
      {
       "date": "2026-09-18",
       "doc": "5100001994",
       "type": "KR",
       "vendor": "A광고대행사",
       "text": "3분기 TV캠페인 집행분",
       "amt": 120.0
      },
      {
       "date": "2026-01-21",
       "doc": "5100000162",
       "type": "KR",
       "vendor": "E미디어",
       "text": "1월 광고 집행 - E미디어",
       "amt": 105.511
      },
      {
       "date": "2026-01-07",
       "doc": "5100000047",
       "type": "KR",
       "vendor": "F애드",
       "text": "1월 광고 집행 - F애드",
       "amt": 84.489
      },
      {
       "date": "2026-04-27",
       "doc": "5100000917",
       "type": "KR",
       "vendor": "E미디어",
       "text": "4월 광고 집행 - E미디어",
       "amt": 76.643
      },
      {
       "date": "2026-04-15",
       "doc": "5100000808",
       "type": "KR",
       "vendor": "F애드",
       "text": "4월 광고 집행 - F애드",
       "amt": 63.357
      },
      {
       "date": "2026-02-13",
       "doc": "5100000335",
       "type": "KR",
       "vendor": "F애드",
       "text": "2월 광고 집행 - F애드",
       "amt": 60.742
      },
      {
       "date": "2026-05-14",
       "doc": "5100001030",
       "type": "KR",
       "vendor": "F애드",
       "text": "5월 광고 집행 - F애드",
       "amt": 58.7
      },
      {
       "date": "2026-07-26",
       "doc": "5100001579",
       "type": "KR",
       "vendor": "F애드",
       "text": "7월 광고 집행 - F애드",
       "amt": 56.434
      },
      {
       "date": "2026-03-15",
       "doc": "5100000580",
       "type": "KR",
       "vendor": "E미디어",
       "text": "3월 광고 집행 - E미디어",
       "amt": 54.706
      },
      {
       "date": "2026-02-21",
       "doc": "5100000413",
       "type": "KR",
       "vendor": "F애드",
       "text": "2월 광고 집행 - F애드",
       "amt": 51.821
      },
      {
       "date": "2026-07-25",
       "doc": "5100001568",
       "type": "KR",
       "vendor": "E미디어",
       "text": "7월 광고 집행 - E미디어",
       "amt": 51.206
      },
      {
       "date": "2026-03-04",
       "doc": "5100000477",
       "type": "KR",
       "vendor": "F애드",
       "text": "3월 광고 집행 - F애드",
       "amt": 50.734
      },
      {
       "date": "2026-08-04",
       "doc": "5100001619",
       "type": "KR",
       "vendor": "E미디어",
       "text": "8월 광고 집행 - E미디어",
       "amt": 50.178
      },
      {
       "date": "2026-09-09",
       "doc": "5100001902",
       "type": "KR",
       "vendor": "E미디어",
       "text": "9월 광고 집행 - E미디어",
       "amt": 46.136
      },
      {
       "date": "2026-07-20",
       "doc": "5100001528",
       "type": "KR",
       "vendor": "F애드",
       "text": "7월 광고 집행 - F애드",
       "amt": 44.944
      }
     ]
    }
   }
  },
  {
   "rank": 2,
   "dept": "인사팀",
   "account": "교육훈련비-외부위탁",
   "cur": 69.908,
   "mom": 5.0922,
   "yoy": 3.9711,
   "status": "한도 초과",
   "qrate": 1.7975,
   "annual": "주의",
   "signal": "단건100% 이상치",
   "score": 100,
   "comment": "(미확인)",
   "qcur": 93.47,
   "qoq": 1.7103,
   "ytd": 160.035,
   "ytdRate": 0.2671,
   "momAmt": 58.433,
   "qoqAmt": 58.983,
   "ytdAmt": 33.732,
   "burn": {
    "dept": "인사팀",
    "account": "교육훈련비-외부위탁",
    "ytd": 160.035,
    "budget": 268.0,
    "slope": 14.5022,
    "icpt": -9.2423,
    "yearEnd": 164.7843,
    "tstar": 19.1172,
    "date": "2027-08-04",
    "status": "연내 여유",
    "qdate": "한도 소진",
    "pySlope": 14.1147,
    "c1": 10.807,
    "c2": 22.171,
    "c3": 32.078,
    "c4": 44.149,
    "c5": 55.593,
    "c6": 66.565,
    "c7": 78.652,
    "c8": 90.127,
    "c9": 160.035,
    "c10": 0,
    "c11": 0,
    "c12": 0
   },
   "cause": {
    "basis": "전월",
    "summary": "인사팀 · 교육훈련비-외부위탁 전월 대비 +58.4 (+509%). 전표 5100001971 (9/15, I교육원, 적요 '2026 하반기 위탁교육 연간계약 일시 지급') 60.0이 증가분의 100% (거래처 평소 월평균 6.6). 일회성 지출 가능성. 분기 한도: 한도 초과.",
    "curTotal": 69.908,
    "cmpTotal": 11.475,
    "diff": 58.433,
    "candidates": [
     {
      "pattern": "일회성 대형 지출",
      "strength": "높음",
      "text": "전표 5100001971 (9/15, I교육원, 적요 '2026 하반기 위탁교육 연간계약 일시 지급') 60.0이 증가분의 100% (거래처 평소 월평균 6.6). 일회성 지출 가능성"
     },
     {
      "pattern": "적요 키워드",
      "strength": "중간",
      "text": "연간 일괄 계상: 적요에 '연간·일시·선급' 등이 있는 전표 60.0 (증가분의 103%). 연간·반기 계약을 한 번에 계상했을 가능성. 월할 안분 대상인지 확인"
     },
     {
      "pattern": "물량 vs 단가",
      "strength": "참고",
      "text": "건수 3→3 (0%), 건당 3.8→23.3. 건당 금액(단가) 상승 영향이 더 큼"
     }
    ],
    "vendors": [
     {
      "name": "I교육원",
      "cur": 64.78,
      "cmp": 8.592,
      "diff": 56.188,
      "share": 0.9616,
      "isNew": "N"
     },
     {
      "name": "V아카데미",
      "cur": 5.128,
      "cmp": 2.883,
      "diff": 2.245,
      "share": 0.0384,
      "isNew": "N"
     }
    ],
    "evidence": [
     {
      "date": "2026-09-15",
      "doc": "5100001971",
      "type": "KR",
      "vendor": "I교육원",
      "text": "2026 하반기 위탁교육 연간계약 일시 지급",
      "amt": 60.0
     },
     {
      "date": "2026-09-27",
</t>
        </is>
      </c>
    </row>
    <row r="3">
      <c r="A3" s="101" t="inlineStr">
        <is>
          <t xml:space="preserve">      "doc": "5100002067",
      "type": "KR",
      "vendor": "V아카데미",
      "text": "9월 위탁교육 - V아카데미",
      "amt": 5.128
     },
     {
      "date": "2026-09-10",
      "doc": "5100001913",
      "type": "KR",
      "vendor": "I교육원",
      "text": "9월 위탁교육 - I교육원",
      "amt": 4.78
     }
    ]
   },
   "causes": {
    "전분기": {
     "basis": "전분기",
     "summary": "인사팀 · 교육훈련비-외부위탁 전분기 대비 +59.0 (+171%). 전표 5100001971 (9/15, I교육원, 적요 '2026 하반기 위탁교육 연간계약 일시 지급') 60.0이 증가분의 100% (거래처 평소 월평균 7.0). 일회성 지출 가능성. 분기 한도: 한도 초과.",
     "curTotal": 93.47,
     "cmpTotal": 34.487,
     "diff": 58.983,
     "candidates": [
      {
       "pattern": "일회성 대형 지출",
       "strength": "높음",
       "text": "전표 5100001971 (9/15, I교육원, 적요 '2026 하반기 위탁교육 연간계약 일시 지급') 60.0이 증가분의 100% (거래처 평소 월평균 7.0). 일회성 지출 가능성"
      },
      {
       "pattern": "적요 키워드",
       "strength": "중간",
       "text": "연간 일괄 계상: 적요에 '연간·일시·선급' 등이 있는 전표 60.0 (증가분의 102%). 연간·반기 계약을 한 번에 계상했을 가능성. 월할 안분 대상인지 확인"
      },
      {
       "pattern": "물량 vs 단가",
       "strength": "참고",
       "text": "건수 7→8 (+14%), 건당 4.9→11.7. 건당 금액(단가) 상승 영향이 더 큼"
      }
     ],
     "vendors": [
      {
       "name": "I교육원",
       "cur": 78.876,
       "cmp": 13.881,
       "diff": 64.995,
       "share": 1.1019,
       "isNew": "N"
      },
      {
       "name": "V아카데미",
       "cur": 14.594,
       "cmp": 20.606,
       "diff": -6.012,
       "share": -0.1019,
       "isNew": "N"
      }
     ],
     "evidence": [
      {
       "date": "2026-09-15",
       "doc": "5100001971",
       "type": "KR",
       "vendor": "I교육원",
       "text": "2026 하반기 위탁교육 연간계약 일시 지급",
       "amt": 60.0
      },
      {
       "date": "2026-07-25",
       "doc": "5100001569",
       "type": "KR",
       "vendor": "V아카데미",
       "text": "7월 위탁교육 - V아카데미",
       "amt": 6.583
      },
      {
       "date": "2026-07-27",
       "doc": "5100001590",
       "type": "KR",
       "vendor": "I교육원",
       "text": "7월 위탁교육 - I교육원",
       "amt": 5.504
      },
      {
       "date": "2026-09-27",
       "doc": "5100002067",
       "type": "KR",
       "vendor": "V아카데미",
       "text": "9월 위탁교육 - V아카데미",
       "amt": 5.128
      },
      {
       "date": "2026-08-22",
       "doc": "5100001785",
       "type": "KR",
       "vendor": "I교육원",
       "text": "8월 위탁교육 - I교육원",
       "amt": 4.975
      },
      {
       "date": "2026-09-10",
       "doc": "5100001913",
       "type": "KR",
       "vendor": "I교육원",
       "text": "9월 위탁교육 - I교육원",
       "amt": 4.78
      },
      {
       "date": "2026-08-26",
       "doc": "5100001825",
       "type": "KR",
       "vendor": "I교육원",
       "text": "8월 위탁교육 - I교육원",
       "amt": 3.617
      },
      {
       "date": "2026-08-03",
       "doc": "5100001609",
       "type": "KR",
       "vendor": "V아카데미",
       "text": "8월 위탁교육 - V아카데미",
       "amt": 2.883
      }
     ]
    },
    "전년동기누적": {
     "basis": "전년동기누적",
     "summary": "인사팀 · 교육훈련비-외부위탁 전년동기누적 대비 +33.7 (+27%). 전표 5100001971 (9/15, I교육원, 적요 '2026 하반기 위탁교육 연간계약 일시 지급') 60.0이 증가분의 100% (거래처 평소 월평균 8.0). 일회성 지출 가능성. 분기 한도: 한도 초과.",
     "curTotal": 160.035,
     "cmpTotal": 126.303,
     "diff": 33.732,
     "candidates": [
      {
       "pattern": "일회성 대형 지출",
       "strength": "높음",
       "text": "전표 5100001971 (9/15, I교육원, 적요 '2026 하반기 위탁교육 연간계약 일시 지급') 60.0이 증가분의 100% (거래처 평소 월평균 8.0). 일회성 지출 가능성"
      },
      {
       "pattern": "적요 키워드",
       "strength": "중간",
       "text": "연간 일괄 계상: 적요에 '연간·일시·선급' 등이 있는 전표 60.0 (증가분의 178%). 연간·반기 계약을 한 번에 계상했을 가능성. 월할 안분 대상인지 확인"
      },
      {
       "pattern": "물량 vs 단가",
       "strength": "참고",
       "text": "건수 24→26 (+8%), 건당 5.3→6.2. 건당 금액(단가) 상승 영향이 더 큼"
      }
     ],
     "vendors": [
      {
       "name": "I교육원",
       "cur": 111.07,
       "cmp": 71.175,
       "diff": 39.895,
       "share": 1.1827,
       "isNew": "N"
      },
      {
       "name": "V아카데미",
       "cur": 48.965,
       "cmp": 55.128,
       "diff": -6.163,
       "share": -0.1827,
       "isNew": "N"
      }
     ],
     "evidence": [
      {
       "date": "2026-09-15",
       "doc": "5100001971",
       "type": "KR",
       "vendor": "I교육원",
       "text": "2026 하반기 위탁교육 연간계약 일시 지급",
       "amt": 60.0
      },
      {
       "date": "2026-06-05",
       "doc": "5100001177",
       "type": "KR",
       "vendor": "V아카데미",
       "text": "6월 위탁교육 - V아카데미",
       "amt": 6.701
      },
      {
       "date": "2026-04-04",
       "doc": "5100000710",
       "type": "KR",
       "vendor": "V아카데미",
       "text": "4월 위탁교육 - V아카데미",
       "amt": 6.609
      },
      {
       "date": "2026-07-25",
       "doc": "5100001569",
       "type": "KR",
       "vendor": "V아카데미",
       "text": "7월 위탁교육 - V아카데미",
       "amt": 6.583
      },
      {
       "date": "2026-07-27",
       "doc": "5100001590",
       "type": "KR",
       "vendor": "I교육원",
       "text": "7월 위탁교육 - I교육원",
       "amt": 5.504
      },
      {
       "date": "2026-04-11",
       "doc": "5100000771",
       "type": "KR",
       "vendor": "I교육원",
       "text": "4월 위탁교육 - I교육원",
       "amt": 5.462
      },
      {
       "date": "2026-09-27",
       "doc": "5100002067",
       "type": "KR",
       "vendor": "V아카데미",
       "text": "9월 위탁교육 - V아카데미",
       "amt": 5.128
      },
      {
       "date": "2026-08-22",
       "doc": "5100001785",
       "type": "KR",
       "vendor": "I교육원",
       "text": "8월 위탁교육 - I교육원",
       "amt": 4.975
      },
      {
       "date": "2026-09-10",
       "doc": "5100001913",
       "type": "KR",
       "vendor": "I교육원",
       "text": "9월 위탁교육 - I교육원",
       "amt": 4.78
      },
      {
       "date": "2026-06-13",
       "doc": "5100001241",
       "type": "KR",
       "vendor": "I교육원",
       "text": "6월 위탁교육 - I교육원",
       "amt": 4.271
      },
      {
       "date": "2026-05-07",
       "doc": "5100000962",
       "type": "KR",
       "vendor": "V아카데미",
       "text": "5월 위탁교육 - V아카데미",
       "amt": 4.242
      },
      {
       "date": "2026-05-07",
       "doc": "5100000961",
       "type": "KR",
       "vendor": "I교육원",
       "text": "5월 위탁교육 - I교육원",
       "amt": 4.148
      },
      {
       "date": "2026-02-14",
       "doc": "5100000349",
       "type": "KR",
       "vendor": "V아카데미",
       "text": "2월 위탁교육 - V아카데미",
       "amt": 3.995
      },
      {
       "date": "2026-02-11",
       "doc": "5100000317",
       "type": "KR",
       "vendor": "I교육원",
       "text": "2월 위탁교육 - I교육원",
       "amt": 3.784
      },
      {
       "date": "2026-08-26",
       "doc": "5100001825",
       "type": "KR",
       "vendor": "I교육원",
       "text": "8월 위탁교육 - I교육원",
       "amt": 3.617
      }
     ]
    }
   }
  },
  {
   "rank": 3,
   "dept": "재무회계팀",
   "account": "지급수수료-컨설팅",
   "cur": 51.55,
   "mom": 1.6435,
   "yoy": 1.7236,
   "status": "한도 초과",
   "qrate": 1.2371,
   "annual": "부족 예상",
   "signal": "단건77% SA대체 역분개1건 이상치",
   "score": 89.6,
   "comment": "8월 경영기획팀에 잘못 귀속된 회계자문료를 재분류. 실제 증가 아님",
   "qcur": 90.925,
   "qoq": 0.5012,
   "ytd": 213.557,
   "ytdRate": 0.2603,
   "momAmt": 32.049,
   "qoqAmt": 30.358,
   "ytdAmt": 44.11,
   "burn": {
    "dept": "재무회계팀",
    "account": "지급수수료-컨설팅",
    "ytd": 213.557,
    "budget": 294.0,
    "slope": 21.9282,
    "icpt": -3.7441,
    "yearEnd": 259.3941,
    "tstar": 13.5781,
    "date": "2027-02-17",
    "status": "연내 여유",
    "qdate": "한도 소진",
    "pySlope": 19.0437,
    "c1": 21.472,
    "c2": 40.818,
    "c3": 62.065,
    "c4": 81.009,
    "c5": 103.261,
    "c6": 122.632,
    "c7": 142.506,
    "c8": 162.007,
    "c9": 213.557,
    "c10": 0,
    "c11": 0,
    "c12": 0
   },
   "cause": {
    "basis": "전월",
    "summary": "재무회계팀 · 지급수수료-컨설팅 전월 대비 +32.0 (+164%). 수기 대체전표(SA) 순증 25.0이 증가분의 78%. 다른 부서·계정에서 이관됐을 가능성 (적요: '경영기획팀 회계자문료 재분류 (8월분)'). 분기 한도: 한도 초과.",
    "curTotal": 51.55,
    "cmpTotal": 19.501,
    "diff": 32.049,
    "candidates": [
     {
      "pattern": "재분류 (수기 대체)",
      "strength": "높음",
      "text": "수기 대체전표(SA) 순증 25.0이 증가분의 78%. 다른 부서·계정에서 이관됐을 가능성 (적요: '경영기획팀 회계자문료 재분류 (8월분)')"
     },
     {
      "pattern": "정정 · 역분개",
      "strength": "높음",
      "text": "음수(정정·역분개) 전표 1건, 합계 -8.0. 정정 전후 순액 기준으로 다시 확인"
     },
     {
      "pattern": "적요 키워드",
      "strength": "중간",
      "text": "이관·재분류: 적요에 '재분류·이관·대체' 등이 있는 전표 25.0 (증가분의 78%). 다른 부서·계정에서 넘어온 금액일 가능성"
     },
     {
      "pattern": "물량 vs 단가",
      "strength": "참고",
      "text": "건수 2→5 (+150%), 건당 9.8→11.9. 건수(물량) 증가 영향이 더 큼"
     }
    ],
    "vendors": [
     {
      "name": "(내부대체)",
      "cur": 25.0,
      "cmp": 0,
      "diff": 25.0,
      "share": 0.7801,
      "isNew": "N"
     },
     {
      "name": "K회계법인",
      "cur": 17.325,
      "cmp": 8.923,
      "diff": 8.402,
      "share": 0.2622,
      "isNew": "N"
     },
     {
      "name": "W컨설팅",
      "cur": 9.225,
      "cmp": 10.578,
      "diff": -1.353,
      "share": -0.0422,
      "isNew": "N"
     }
    ],
    "evidence": [
     {
      "date": "2026-09-28",
      "doc": "100002072",
      "type": "SA",
      "vendor": "(내부대체)",
      "text": "경영기획팀 회계자문료 재분류 (8월분)",
      "amt": 25.0
     },
     {
      "date": "2026-09-14",
      "doc": "5100001959",
      "type": "KR",
      "vendor": "W컨설팅",
      "text": "9월 자문 수수료 - W컨설팅",
      "amt": 9.225
     },
     {
      "date": "2026-09-04",
      "doc": "5100001860",
      "type": "KR",
      "vendor": "K회계법인",
      "text": "9월 자문 수수료 - K회계법인",
      "amt": 8.825
     },
     {
      "date": "2026-09-12",
      "doc": "5100001943",
      "type": "KR",
      "vendor": "K회계법인",
      "text": "K회계법인 자문료 9월 (정정분)",
      "amt": 8.5
     },
     {
      "date": "2026-09-12",
      "doc": "5100001942",
      "type": "KR",
      "vendor": "K회계법인",
      "text": "K회계법인 자문료 9월 정정(역분개)",
      "amt": -8.0
     },
     {
      "date": "2026-09-10",
      "doc": "5100001914",
      "type": "KR",
      "vendor": "K회계법인",
      "text": "K회계법인 자문료 9월",
      "amt": 8.0
     }
    ]
   },
   "causes": {
    "전분기": {
     "basis": "전분기",
     "summary": "재무회계팀 · 지급수수료-컨설팅 전분기 대비 +30.4 (+50%). 수기 대체전표(SA) 순증 25.0이 증가분의 82%. 다른 부서·계정에서 이관됐을 가능성 (적요: '경영기획팀 회계자문료 재분류 (8월분)'). 분기 한도: 한도 초과.",
     "curTotal": 90.925,
     "cmpTotal": 60.567,
     "diff": 30.358,
     "candidates": [
      {
       "pattern": "재분류 (수기 대체)",
       "strength": "높음",
       "text": "수기 대체전표(SA) 순증 25.0이 증가분의 82%. 다른 부서·계정에서 이관됐을 가능성 (적요: '경영기획팀 회계자문료 재분류 (8월분)')"
      },
      {
       "pattern": "정정 · 역분개",
       "strength": "높음",
       "text": "음수(정정·역분개) 전표 1건, 합계 -8.0. 정정 전후 순액 기준으로 다시 확인"
      },
      {
       "pattern": "적요 키워드",
       "strength": "중간",
       "text": "이관·재분류: 적요에 '재분류·이관·대체' 등이 있는 전표 25.0 (증가분의 82%). 다른 부서·계정에서 넘어온 금액일 가능성"
      },
      {
       "pattern": "물량 vs 단가",
       "strength": "참고",
       "text": "건수 10→10 (0%), 건당 6.1→9.9. 건당 금액(단가) 상승 영향이 더 큼"
      }
     ],
     "vendors": [
      {
       "name": "(내부대체)",
       "cur": 25.0,
       "cmp": 0,
       "diff": 25.0,
       "share": 0.8235,
       "isNew": "N"
      },
      {
       "name": "K회계법인",
       "cur": 39.661,
       "cmp": 36.25,
       "diff": 3.411,
       "share": 0.1124,
       "isNew": "N"
      },
      {
       "name": "W컨설팅",
       "cur": 26.264,
       "cmp": 24.317,
       "diff": 1.947,
       "share": 0.0641,
       "isNew": "N"
      }
     ],
     "evidence": [
      {
       "date": "2026-09-28",
       "doc": "100002072",
       "type": "SA",
       "vendor": "(내부대체)",
       "text": "경영기획팀 회계자문료 재분류 (8월분)",
       "amt": 25.0
      },
      {
       "date": "2026-08-07",
       "doc": "5100001652",
       "type": "KR",
       "vendor": "W컨설팅",
       "text": "8월 자문 수수료 - W컨설팅",
       "amt": 10.578
      },
      {
       "date": "2026-09-14",
       "doc": "5100001959",
       "type": "KR",
       "vendor": "W컨설팅",
       "text": "9월 자문 수수료 - W컨설팅",
       "amt": 9.225
      },
      {
       "date": "2026-08-14",
       "doc": "5100001710",
       "type": "KR",
       "vendor": "K회계법인",
       "text": "8월 자문 수수료 - K회계법인",
       "amt": 8.923
      },
      {
       "date": "2026-09-04",
       "doc": "5100001860",
       "type": "KR",
       "vendor": "K회계법인",
       "text": "9월 자문 수수료 - K회계법인",
       "amt": 8.825
      },
      {
       "date": "2026-09-12",
       "doc": "5100001943",
       "type": "KR",
       "vendor": "K회계법인",
       "text": "K회계법인 자문료 9월 (정정분)",
       "amt": 8.5
      },
      {
       "date": "2026-09-12",
       "doc": "5100001942",
       "type": "KR",
       "vendor": "K회계법인",
       "text": "K회계법인 자문료 9월 정정(역분개)",
       "amt": -8.0
      },
      {
       "date": "2026-09-10",
       "doc": "5100001914",
       "type": "KR",
       "vendor": "K회계법인",
       "text": "K회계법인 자문료 9월",
       "amt": 8.0
      },
      {
       "date": "2026-07-02",
       "doc": "5100001377",
       "type": "KR",
       "vendor": "K회계법인",
       "text": "7월 자문 수수료 - K회계법인",
       "amt": 7.492
      },
      {
       "date": "2026-07-09",
       "doc": "5100001437",
       "type": "KR",
       "vendor": "W컨설팅",
       "text": "7월 자문 수수료 - W컨설팅",
       "amt": 6.461
      },
      {
       "date": "2026-07-09",
       "doc": "5100001436",
       "type": "KR",
       "vendor": "K회계법인",
       "text": "7월 자문 수수료 - K회계법인",
       "amt": 5.921
      }
     ]
    },
    "전년동기누적": {
     "basis": "전년동기누적",
     "summary": "재무회계팀 · 지급수수료-컨설팅 전년동기누적 대비 +44.1 (+26%). 수기 대체전표(SA) 순증 25.0이 증가분의 57%. 다른 부서·계정에서 이관됐을 가능성 (적요: '경영기획팀 회계자문료 재분류 (8월분)'). 분기 한도: 한도 초과.",
     "curTotal": 213.557,
     "cmpTotal": 169.447,
     "diff": 44.11,
     "candidates": [
      {
       "pattern": "재분류 (수기 대체)",
       "strength": "높음",
       "text": "수기 대체전표(SA) 순증 25.0이 증가분의 57%. 다른 부서·계정에서 이관됐을 가능성 (적요: '경영기획팀 회계자문료 재분류 (8월분)')"
      },
      {
       "pattern": "정정 · 역분개",
       "strength": "높음",
       "text": "음수(정정·역분개) 전표 1건, 합계 -8.0. 정정 전후 순액 기준으로 다시 확인"
      },
      {
       "pattern": "적요 키워드",
       "strength": "중간",
       "text": "이관·재분류: 적요에 '재분류·이관·대체' 등이 있는 전표 25.0 (증가분의 57%). 다른 부서·계정에서 넘어온 금액일 가능성"
      },
      {
       "pattern": "물량 vs 단가",
       "strength": "참고",
       "text": "건수 30→29 (-3%), 건당 5.6→7.6. 건당 금액(단가) 상승 영향이 더 큼"
      }
     ],
     "vendors": [
      {
       "name": "K회계법인",
       "cur": 111.86,
       "cmp": 73.152,
       "diff": 38.708,
       "share": 0.8775,
       "isNew": "N"
      },
      {
       "name": "(내부대체)",
       "cur": 25.0,
       "cmp": 0,
       "diff": 25.0,
       "share": 0.5668,
       "isNew": "N"
      },
      {
       "name": "W컨설팅",
       "cur": 76.697,
       "cmp": 96.295,
       "diff": -19.598,
       "share": -0.4443,
       "isNew": "N"
      }
     ],
     "evidence": [
      {
       "date": "2026-09-28",
       "doc": "100002072",
       "type": "SA",
       "vendor": "(내부대체)",
       "text": "경영기획팀 회계자문료 재분류 (8월분)",
       "amt": 25.0
      },
      {
       "date": "2026-08-07",
       "doc": "5100001652",
       "type": "KR",
       "vendor": "W컨설팅",
       "text": "8월 자문 수수료 - W컨설팅",
       "amt": 10.578
      },
      {
       "date": "2026-09-14",
       "doc": "5100001959",
       "type": "KR",
       "vendor": "W컨설팅",
       "text": "9월 자문 수수료 - W컨설팅",
       "amt": 9.225
      },
      {
       "date": "2026-08-14",
       "doc": "5100001710",
       "type": "KR",
       "vendor": "K회계법인",
       "text": "8월 자문 수수료 - K회계법인",
       "amt": 8.923
      },
      {
       "date": "2026-09-04",
       "doc": "5100001860",
       "type": "KR",
       "vendor": "K회계법인",
       "text": "9월 자문 수수료 - K회계법인",
       "amt": 8.825
      },
      {
       "date": "2026-09-12",
       "doc": "5100001943",
       "type": "KR",
       "vendor": "K회계법인",
       "text": "K회계법인 자문료 9월 (정정분)",
       "amt": 8.5
      },
      {
       "date": "2026-05-04",
       "doc": "5100000938",
       "type": "KR",
       "vendor": "K회계법인",
       "text": "5월 자문 수수료 - K회계법인",
       "amt": 8.42
      },
      {
       "date": "2026-03-23",
       "doc": "5100000647",
       "type": "KR",
       "vendor": "W컨설팅",
       "text": "3월 자문 수수료 - W컨설팅",
       "amt": 8.151
      },
      {
       "date": "2026-09-12",
       "doc": "5100001942",
       "type": "KR",
       "vendor": "K회계법인",
       "text": "K회계법인 자문료 9월 정정(역분개)",
       "amt": -8.0
      },
      {
       "date": "2026-09-10",
       "doc": "5100001914",
       "type": "KR",
       "vendor": "K회계법인",
       "text": "K회계법인 자문료 9월",
       "amt": 8.0
      },
      {
       "date": "2026-04-22",
       "doc": "5100000870",
       "type": "KR",
       "vendor": "K회계법인",
       "text": "4월 자문 수수료 - K회계법인",
       "amt": 7.953
      },
      {
       "date": "2026-02-19",
       "doc": "5100000395",
       "type": "KR",
       "vendor": "K회계법인",
       "text": "2월 자문 수수료 - K회계법인",
       "amt": 7.914
      },
      {
       "date": "2026-02-08",
       "doc": "5100000286",
       "type": "KR",
       "vendor": "K회계법인",
       "text": "2월 자문 수수료 - K회계법인",
       "amt": 7.706
      },
      {
       "date": "2026-07-02",
       "doc": "5100001377",
       "type": "KR",
       "vendor": "K회계법인",
       "text": "7월 자문 수수료 - K회계법인",
       "amt": 7.492
      },
      {
       "date": "2026-01-07",
       "doc": "5100000048",
       "type": "KR",
       "vendor": "W컨설팅",
       "text": "1월 자문 수수료 - W컨설팅",
       "amt": 7.402
      }
     ]
    }
   }
  },
  {
   "rank": 4,
   "dept": "영업채널팀",
   "account": "모집수수료",
   "cur": 2454.582,
   "mom": 0.3705,
   "yoy": 0.4182,
   "status": "한도 초과",
   "qrate": 1.0105,
   "annual": "주의",
   "signal": "단건90% 이상치",
   "score": 88.4,
   "comment": "(미확인)",
   "qcur": 6062.923,
   "qoq": 0.1356,
   "ytd": 16781.771,
   "ytdRate": 0.0864,
   "momAmt": 663.563,
   "qoqAmt": 723.958,
   "ytdAmt": 1335.042,
   "burn": {
    "dept": "영업채널팀",
    "account": "모집수수료",
    "ytd": 16781.771,
    "budget": 24000.0,
    "slope": 1824.7103,
    "icpt": -85.1165,
    "yearEnd": 21811.407,
    "tstar": 13.1994,
    "date": "2027-02-05",
    "status": "연내 여유",
    "qdate": "한도 소진",
    "pySlope": 1723.106,
    "c1": 1817.923,
    "c2": 3601.053,
    "c3": 5379.883,
    "c4": 7157.022,
    "c5": 8940.939,
    "c6": 10718.848,
    "c7": 12536.17,
    "c8": 14327.189,
    "c9": 16781.771,
    "c10": 0,
    "c11": 0,
    "c12": 0
   },
   "cause": {
    "basis": "전월",
    "summary": "영업채널팀 · 모집수수료 전월 대비 +663.6 (+37%). 판매시책·추가수수료: 적요에 '시책·추가 수수료·인센티브' 등이 있는 전표 650.0 (증가분의 98%). 판매 시책비·추가 수수료. 신계약비 경험차이로 GMM CSM에 영향 가능. 분기 한도: 한도 초과.",
    "curTotal": 2454.582,
    "cmpTotal": 1791.019,
    "diff": 663.563,
    "candidates": [
     {
      "pattern": "적요 키워드",
      "strength": "중간",
      "text": "판매시책·추가수수료: 적요에 '시책·추가 수수료·인센티브' 등이 있는 전표 650.0 (증가분의 98%). 판매 시책비·추가 수수료. 신계약비 경험차이로 GMM CSM에 영향 가능"
     },
     {
      "pattern": "물량 vs 단가",
      "strength": "참고",
      "text": "건수 6→5 (-17%), 건당 298.5→490.9. 건당 금액(단가) 상승 영향이 더 큼"
     }
    ],
    "vendors": [
     {
      "name": "AA보험대리점",
      "cur": 1077.302,
      "cmp": 558.837,
      "diff": 518.465,
      "share": 0.7813,
      "isNew": "N"
     },
     {
      "name": "BB에셋",
      "cur": 950.781,
      "cmp": 513.689,
      "diff": 437.092,
      "share": 0.6587,
      "isNew": "N"
     },
     {
      "name": "(전속설계사)",
      "cur": 426.499,
      "cmp": 718.493,
      "diff": -291.994,
      "share": -0.44,
      "isNew": "N"
     }
    ],
    "evidence": [
     {
      "date": "2026-09-26",
      "doc": "5100002063",
      "type": "KR",
      "vendor": "AA보험대리점",
      "text": "9월 신상품 GA 판매시책비 (추가 수수료)",
      "amt": 650.0
     },
     {
      "date": "2026-09-10",
      "doc": "5100001918",
      "type": "KR",
      "vendor": "BB에셋",
      "text": "9월 모집수수료 - BB에셋",
      "amt": 507.133
     },
     {
      "date": "2026-09-22",
      "doc": "5100002025",
      "type": "KR",
      "vendor": "BB에셋",
      "text": "9월 모집수수료 - BB에셋",
      "amt": 443.648
     },
     {
      "date": "2026-09-21",
      "doc": "5100002019",
      "type": "KR",
      "vendor": "AA보험대리점",
      "text": "9월 모집수수료 - AA보험대리점",
      "amt": 427.302
     },
     {
      "date": "2026-09-06",
      "doc": "5100001879",
      "type": "KR",
      "vendor": "(전속설계사)",
      "text": "9월 모집수수료 - (전속설계사)",
      "amt": 426.499
     }
    ]
   },
   "causes": {
    "전분기": {
     "basis": "전분기",
     "summary": "영업채널팀 · 모집수수료 전분기 대비 +724.0 (+14%). 판매시책·추가수수료: 적요에 '시책·추가 수수료·인센티브' 등이 있는 전표 650.0 (증가분의 90%). 판매 시책비·추가 수수료. 신계약비 경험차이로 GMM CSM에 영향 가능. 분기 한도: 한도 초과.",
     "curTotal": 6062.923,
     "cmpTotal": 5338.965,
     "diff": 723.958,
     "candidates": [
      {
       "pattern": "적요 키워드",
       "strength": "중간",
       "text": "판매시책·추가수수료: 적요에 '시책·추가 수수료·인센티브' 등이 있는 전표 650.0 (증가분의 90%). 판매 시책비·추가 수수료. 신계약비 경험차이로 GMM CSM에 영향 가능"
      },
      {
       "pattern": "물량 vs 단가",
       "strength": "참고",
       "text": "건수 14→16 (+14%), 건당 381.4→378.9. 건수(물량) 증가 영향이 더 큼"
      }
     ],
     "vendors": [
      {
       "name": "AA보험대리점",
       "cur": 2268.263,
       "cmp": 1425.976,
       "diff": 842.287,
       "share": 1.1634,
       "isNew": "N"
      },
      {
       "name": "BB에셋",
       "cur": 2345.754,
       "cmp": 1611.297,
       "diff": 734.457,
       "share": 1.0145,
       "isNew": "N"
      },
      {
       "name": "(전속설계사)",
       "cur": 1448.906,
       "cmp": 2301.692,
       "diff": -852.786,
       "share": -1.1779,
       "isNew": "N"
      }
     ],
     "evidence": [
      {
       "date": "2026-09-26",
       "doc": "5100002063",
       "type": "KR",
       "vendor": "AA보험대리점",
       "text": "9월 신상품 GA 판매시책비 (추가 수수료)",
       "amt": 650.0
      },
      {
       "date": "2026-07-16",
       "doc": "5100001500",
       "type": "KR",
       "vendor": "BB에셋",
       "text": "7월 모집수수료 - BB에셋",
       "amt": 547.456
      },
      {
       "date": "2026-09-10",
       "doc": "5100001918",
       "type": "KR",
       "vendor": "BB에셋",
       "text": "9월 모집수수료 - BB에셋",
       "amt": 507.133
      },
      {
       "date": "2026-09-22",
       "doc": "5100002025",
       "type": "KR",
       "vendor": "BB에셋",
       "text": "9월 모집수수료 - BB에셋",
       "amt": 443.648
      },
      {
       "date": "2026-08-19",
       "doc": "5100001761",
       "type": "KR",
       "vendor": "(전속설계사)",
       "text": "8월 모집수수료 - (전속설계사)",
       "amt": 430.519
      },
      {
       "date": "2026-09-21",
       "doc": "5100002019",
       "type": "KR",
       "vendor": "AA보험대리점",
       "text": "9월 모집수수료 - AA보험대리점",
       "amt": 427.302
      },
      {
       "date": "2026-09-06",
       "doc": "5100001879",
       "type": "KR",
       "vendor": "(전속설계사)",
       "text": "9월 모집수수료 - (전속설계사)",
       "amt": 426.499
      },
      {
       "date": "2026-07-10",
       "doc": "5100001447",
       "type": "KR",
       "vendor": "BB에셋",
       "text": "7월 모집수수료 - BB에셋",
       "amt": 333.828
      },
      {
       "date": "2026-07-24",
       "doc": "5100001561",
       "type": "KR",
       "vendor": "AA보험대리점",
       "text": "7월 모집수수료 - AA보험대리점",
       "amt": 322.646
      },
      {
       "date": "2026-08-26",
       "doc": "5100001828",
       "type": "KR",
       "vendor": "AA보험대리점",
       "text": "8월 모집수수료 - AA보험대리점",
       "amt": 318.767
      },
      {
       "date": "2026-07-26",
       "doc": "5100001584",
       "type": "KR",
       "vendor": "AA보험대리점",
       "text": "7월 모집수수료 - AA보험대리점",
       "amt": 309.478
      },
      {
       "date": "2026-07-04",
       "doc": "5100001390",
       "type": "KR",
       "vendor": "(전속설계사)",
       "text": "7월 모집수수료 - (전속설계사)",
       "amt": 303.914
      },
      {
       "date": "2026-08-24",
       "doc": "5100001809",
       "type": "KR",
       "vendor": "(전속설계사)",
       "text": "8월 모집수수료 - (전속설계사)",
       "amt": 287.974
      },
      {
       "date": "2026-08-21",
       "doc": "5100001775",
       "type": "KR",
       "vendor": "BB에셋",
       "text": "8월 모집수수료 - BB에셋",
       "amt": 270.262
      },
      {
       "date": "2026-08-24",
       "doc": "5100001808",
       "type": "KR",
       "vendor": "BB에셋",
       "text": "8월 모집수수료 - BB에셋",
       "amt": 243.427
      }
     ]
    },
    "전년동기누적": {
     "basis": "전년동기누적",
     "summary": "영업채널팀 · 모집수수료 전년동기누적 대비 +1,335.0 (+9%). 판매시책·추가수수료: 적요에 '시책·추가 수수료·인센티브' 등이 있는 전표 650.0 (증가분의 49%). 판매 시책비·추가 수수료. 신계약비 경험차이로 GMM CSM에 영향 가능. 분기 한도: 한도 초과.",
     "curTotal": 16781.771,
     "cmpTotal": 15446.729,
     "diff": 1335.042,
     "candidates": [
      {
       "pattern": "적요 키워드",
       "strength": "중간",
       "text": "판매시책·추가수수료: 적요에 '시책·추가 수수료·인센티브' 등이 있는 전표 650.0 (증가분의 49%). 판매 시책비·추가 수수료. 신계약비 경험차이로 GMM CSM에 영향 가능"
      },
      {
       "pattern": "물량 vs 단가",
       "strength": "참고",
       "text": "건수 37→45 (+22%), 건당 417.5→372.9. 건수(물량) 증가 영향이 더 큼"
      }
     ],
     "vendors": [
      {
       "name": "BB에셋",
       "cur": 6243.779,
       "cmp": 4832.638,
       "diff": 1411.141,
       "share": 1.057,
       "isNew": "N"
      },
      {
       "name": "(전속설계사)",
       "cur": 5451.505,
       "cmp": 5002.394,
       "diff": 449.111,
       "share": 0.3364,
       "isNew": "N"
      },
      {
       "name": "AA보험대리점",
       "cur": 5086.487,
       "cmp": 5611.697,
       "diff": -525.21,
       "share": -0.3934,
       "isNew": "N"
      }
     ],
     "evidence": [
      {
       "date": "2026-09-26",
       "doc": "5100002063",
       "type": "KR",
       "vendor": "AA보험대리점",
       "text": "9월 신상품 GA 판매시책비 (추가 수수료)",
       "amt": 650.0
      },
      {
       "date": "2026-05-25",
       "doc": "5100001131",
       "type": "KR",
       "vendor": "BB에셋",
       "text": "5월 모집수수료 - BB에셋",
       "amt": 571.411
      },
      {
       "date": "2026-06-09",
       "doc": "5100001207",
       "type": "KR",
       "vendor": "AA보험대리점",
       "text": "6월 모집수수료 - AA보험대리점",
       "amt": 549.23
      },
      {
       "date": "2026-06-12",
       "doc": "5100001236",
       "type": "KR",
       "vendor": "BB에셋",
       "text": "6월 모집수수료 - BB에셋",
       "amt": 549.007
      },
      {
       "date": "2026-07-16",
       "doc": "5100001500",
       "type": "KR",
       "vendor": "BB에셋",
       "text": "7월 모집수수료 - BB에셋",
       "amt": 547.456
      },
      {
       "date": "2026-01-22",
       "doc": "5100000176",
       "type": "KR",
       "vendor": "BB에셋",
       "text": "1월 모집수수료 - BB에셋",
       "amt": 518.323
      },
      {
       "date": "2026-09-10",
       "doc": "5100001918",
       "type": "KR",
       "vendor": "BB에셋",
       "text": "9월 모집수수료 - BB에셋",
       "amt": 507.133
      },
      {
       "date": "2026-03-16",
       "doc": "5100000590",
       "type": "KR",
       "vendor": "(전속설계사)",
       "text": "3월 모집수수료 - (전속설계사)",
       "amt": 474.488
      },
      {
       "date": "2026-03-03",
       "doc": "5100000466",
       "type": "KR",
       "vendor": "BB에셋",
       "text": "3월 모집수수료 - BB에셋",
       "amt": 472.705
      },
      {
       "date": "2026-05-12",
       "doc": "5100001013",
       "type": "KR",
       "vendor": "(전속설계사)",
       "text": "5월 모집수수료 - (전속설계사)",
       "amt": 463.562
      },
      {
       "date": "2026-03-11",
       "doc": "5100000546",
       "type": "KR",
       "vendor": "AA보험대리점",
       "text": "3월 모집수수료 - AA보험대리점",
       "amt": 463.057
      },
      {
       "date": "2026-05-19",
       "doc": "5100001082",
       "type": "KR",
       "vendor": "(전속설계사)",
       "text": "5월 모집수수료 - (전속설계사)",
       "amt": 444.459
      },
      {
       "date": "2026-09-22",
       "doc": "5100002025",
       "type": "KR",
       "vendor": "BB에셋",
       "text": "9월 모집수수료 - BB에셋",
       "amt": 443.648
      },
      {
       "date": "2026-08-19",
       "doc": "5100001761",
       "type": "KR",
       "vendor": "(전속설계사)",
       "text": "8월 모집수수료 - (전속설계사)",
       "amt": 430.519
      },
      {
       "date": "2026-09-21",
       "doc": "5100002019",
       "type": "KR",
       "vendor": "AA보험대리점",
       "text": "9월 모집수수료 - AA보험대리점",
       "amt": 427.302
      }
     ]
    }
   }
  },
  {
   "rank": 5,
   "dept": "영업지원팀",
   "account": "차량유지비",
   "cur": 14.315,
   "mom": 6.1432,
   "yoy": 0.996,
   "status": "한도 초과",
   "qrate": 1.0051,
   "annual": "부족 예상",
   "signal": "단건100% 이상치",
   "score": 77.4,
   "comment": "(미확인)",
   "qcur": 24.122,
   "qoq": 0.0212,
   "ytd": 71.738,
   "ytdRate": 0.0989,
   "momAmt": 12.311,
   "qoqAmt": 0.501,
   "ytdAmt": 6.457,
   "burn": {
    "dept": "영업지원팀",
    "account": "차량유지비",
    "ytd": 71.738,
    "budget": 96.0,
    "slope": 7.671,
    "icpt": 0.6637,
    "yearEnd": 92.7159,
    "tstar": 12.4281,
    "date": "2027-01-13",
    "status": "연내 여유",
    "qdate": "한도 소진",
    "pySlope": 7.418,
    "c1": 8.257,
    "c2": 15.95,
    "c3": 23.995,
    "c4": 31.865,
    "c5": 39.57,
    "c6": 47.616,
    "c7": 55.419,
    "c8": 57.423,
    "c9": 71.738,
    "c10": 0,
    "c11": 0,
    "c12": 0
   },
   "cause": {
    "basis": "전월",
    "summary": "영업지원팀 · 차량유지비 전월 대비 +12.3 (+614%). 전월 2.0 (직전 3개월 평균 7.9) → 당월 14.3. 전월에 계상될 금액이 당월로 넘어왔을 가능성. 분기 한도: 한도 초과.",
    "curTotal": 14.315,
    "cmpTotal": 2.004,
    "diff": 12.311,
    "candidates": [
     {
      "pattern": "계상 시점 이동",
      "strength": "중간",
      "text": "전월 2.0 (직전 3개월 평균 7.9) → 당월 14.3. 전월에 계상될 금액이 당월로 넘어왔을 가능성"
     },
     {
      "pattern": "물량 vs 단가",
      "strength": "참고",
      "text": "건수 1→2 (+100%), 건당 2.0→7.2. 건당 금액(단가) 상승 영향이 더 큼"
     }
    ],
    "vendors": [
     {
      "name": "D정비",
      "cur": 12.4,
      "cmp": 0,
      "diff": 12.4,
      "share": 1.0072,
      "isNew": "N"
     },
     {
      "name": "H에너지",
      "cur": 1.915,
      "cmp": 2.004,
      "diff": -0.089,
      "share": -0.0072,
      "isNew": "N"
     }
    ],
    "evidence": [
     {
      "date": "2026-09-20",
      "doc": "5100002009",
      "type": "KR",
      "vendor": "D정비",
      "text": "8~9월분 업무차량 정비비",
      "amt": 12.4
     },
     {
      "date": "2026-09-16",
      "doc": "5100001980",
 </t>
        </is>
      </c>
    </row>
    <row r="4">
      <c r="A4" s="101" t="inlineStr">
        <is>
          <t xml:space="preserve">     "type": "KR",
      "vendor": "H에너지",
      "text": "9월 차량 유지 - H에너지",
      "amt": 1.915
     }
    ]
   },
   "causes": {
    "전분기": {
     "basis": "전분기",
     "summary": "영업지원팀 · 차량유지비 전분기 대비 +0.5 (+2%). 전월 2.0 (직전 3개월 평균 7.9) → 당월 14.3. 전월에 계상될 금액이 당월로 넘어왔을 가능성. 분기 한도: 한도 초과.",
     "curTotal": 24.122,
     "cmpTotal": 23.621,
     "diff": 0.501,
     "candidates": [
      {
       "pattern": "계상 시점 이동",
       "strength": "중간",
       "text": "전월 2.0 (직전 3개월 평균 7.9) → 당월 14.3. 전월에 계상될 금액이 당월로 넘어왔을 가능성"
      },
      {
       "pattern": "물량 vs 단가",
       "strength": "참고",
       "text": "건수 6→5 (-17%), 건당 3.9→4.8. 건당 금액(단가) 상승 영향이 더 큼"
      }
     ],
     "vendors": [
      {
       "name": "D정비",
       "cur": 18.29,
       "cmp": 17.556,
       "diff": 0.734,
       "share": 1.4651,
       "isNew": "N"
      },
      {
       "name": "H에너지",
       "cur": 5.832,
       "cmp": 6.065,
       "diff": -0.233,
       "share": -0.4651,
       "isNew": "N"
      }
     ],
     "evidence": [
      {
       "date": "2026-09-20",
       "doc": "5100002009",
       "type": "KR",
       "vendor": "D정비",
       "text": "8~9월분 업무차량 정비비",
       "amt": 12.4
      },
      {
       "date": "2026-07-20",
       "doc": "5100001530",
       "type": "KR",
       "vendor": "D정비",
       "text": "7월 차량 유지 - D정비",
       "amt": 5.89
      },
      {
       "date": "2026-08-15",
       "doc": "5100001723",
       "type": "KR",
       "vendor": "H에너지",
       "text": "8월 차량 유지 - H에너지",
       "amt": 2.004
      },
      {
       "date": "2026-09-16",
       "doc": "5100001980",
       "type": "KR",
       "vendor": "H에너지",
       "text": "9월 차량 유지 - H에너지",
       "amt": 1.915
      },
      {
       "date": "2026-07-11",
       "doc": "5100001459",
       "type": "KR",
       "vendor": "H에너지",
       "text": "7월 차량 유지 - H에너지",
       "amt": 1.913
      }
     ]
    },
    "전년동기누적": {
     "basis": "전년동기누적",
     "summary": "영업지원팀 · 차량유지비 전년동기누적 대비 +6.5 (+10%). 전월 2.0 (직전 3개월 평균 7.9) → 당월 14.3. 전월에 계상될 금액이 당월로 넘어왔을 가능성. 분기 한도: 한도 초과.",
     "curTotal": 71.738,
     "cmpTotal": 65.281,
     "diff": 6.457,
     "candidates": [
      {
       "pattern": "계상 시점 이동",
       "strength": "중간",
       "text": "전월 2.0 (직전 3개월 평균 7.9) → 당월 14.3. 전월에 계상될 금액이 당월로 넘어왔을 가능성"
      },
      {
       "pattern": "물량 vs 단가",
       "strength": "참고",
       "text": "건수 18→17 (-6%), 건당 3.6→4.2. 건당 금액(단가) 상승 영향이 더 큼"
      }
     ],
     "vendors": [
      {
       "name": "D정비",
       "cur": 53.935,
       "cmp": 49.158,
       "diff": 4.777,
       "share": 0.7398,
       "isNew": "N"
      },
      {
       "name": "H에너지",
       "cur": 17.803,
       "cmp": 16.123,
       "diff": 1.68,
       "share": 0.2602,
       "isNew": "N"
      }
     ],
     "evidence": [
      {
       "date": "2026-09-20",
       "doc": "5100002009",
       "type": "KR",
       "vendor": "D정비",
       "text": "8~9월분 업무차량 정비비",
       "amt": 12.4
      },
      {
       "date": "2026-01-26",
       "doc": "5100000211",
       "type": "KR",
       "vendor": "D정비",
       "text": "1월 차량 유지 - D정비",
       "amt": 6.221
      },
      {
       "date": "2026-03-17",
       "doc": "5100000598",
       "type": "KR",
       "vendor": "D정비",
       "text": "3월 차량 유지 - D정비",
       "amt": 6.142
      },
      {
       "date": "2026-06-18",
       "doc": "5100001278",
       "type": "KR",
       "vendor": "D정비",
       "text": "6월 차량 유지 - D정비",
       "amt": 5.982
      },
      {
       "date": "2026-07-20",
       "doc": "5100001530",
       "type": "KR",
       "vendor": "D정비",
       "text": "7월 차량 유지 - D정비",
       "amt": 5.89
      },
      {
       "date": "2026-04-05",
       "doc": "5100000721",
       "type": "KR",
       "vendor": "D정비",
       "text": "4월 차량 유지 - D정비",
       "amt": 5.823
      },
      {
       "date": "2026-05-24",
       "doc": "5100001123",
       "type": "KR",
       "vendor": "D정비",
       "text": "5월 차량 유지 - D정비",
       "amt": 5.751
      },
      {
       "date": "2026-02-12",
       "doc": "5100000325",
       "type": "KR",
       "vendor": "D정비",
       "text": "2월 차량 유지 - D정비",
       "amt": 5.726
      },
      {
       "date": "2026-06-24",
       "doc": "5100001337",
       "type": "KR",
       "vendor": "H에너지",
       "text": "6월 차량 유지 - H에너지",
       "amt": 2.064
      },
      {
       "date": "2026-04-14",
       "doc": "5100000799",
       "type": "KR",
       "vendor": "H에너지",
       "text": "4월 차량 유지 - H에너지",
       "amt": 2.047
      },
      {
       "date": "2026-01-26",
       "doc": "5100000212",
       "type": "KR",
       "vendor": "H에너지",
       "text": "1월 차량 유지 - H에너지",
       "amt": 2.036
      },
      {
       "date": "2026-08-15",
       "doc": "5100001723",
       "type": "KR",
       "vendor": "H에너지",
       "text": "8월 차량 유지 - H에너지",
       "amt": 2.004
      },
      {
       "date": "2026-02-14",
       "doc": "5100000352",
       "type": "KR",
       "vendor": "H에너지",
       "text": "2월 차량 유지 - H에너지",
       "amt": 1.967
      },
      {
       "date": "2026-05-27",
       "doc": "5100001147",
       "type": "KR",
       "vendor": "H에너지",
       "text": "5월 차량 유지 - H에너지",
       "amt": 1.954
      },
      {
       "date": "2026-09-16",
       "doc": "5100001980",
       "type": "KR",
       "vendor": "H에너지",
       "text": "9월 차량 유지 - H에너지",
       "amt": 1.915
      }
     ]
    }
   }
  },
  {
   "rank": 6,
   "dept": "IT운영팀",
   "account": "전산운영비-클라우드",
   "cur": 101.0,
   "mom": 0.086,
   "yoy": 0.4429,
   "status": "여유",
   "qrate": 0.875,
   "annual": "주의",
   "signal": "단건100% 이상치",
   "score": 67.5,
   "comment": "(미확인)",
   "qcur": 280.0,
   "qoq": 0.1715,
   "ytd": 754.0,
   "ytdRate": 0.2504,
   "momAmt": 8.0,
   "qoqAmt": 41.0,
   "ytdAmt": 151.0,
   "burn": {
    "dept": "IT운영팀",
    "account": "전산운영비-클라우드",
    "ytd": 754.0,
    "budget": 1130.0,
    "slope": 82.5576,
    "icpt": -9.5091,
    "yearEnd": 981.1818,
    "tstar": 13.8026,
    "date": "2027-02-24",
    "status": "연내 여유",
    "qdate": "분기 내 여유",
    "pySlope": 71.0,
    "c1": 78.0,
    "c2": 157.0,
    "c3": 235.0,
    "c4": 315.0,
    "c5": 394.0,
    "c6": 474.0,
    "c7": 560.0,
    "c8": 653.0,
    "c9": 754.0,
    "c10": 0,
    "c11": 0,
    "c12": 0
   },
   "cause": {
    "basis": "전월",
    "summary": "IT운영팀 · 전산운영비-클라우드 전월 대비 +8.0 (+9%). 같은 건수(1건)로 C클라우드 금액이 9% 상승. 단가·계약 조건 변경 가능성 (최근 몇 달 추이 확인). 분기 한도: 여유.",
    "curTotal": 101.0,
    "cmpTotal": 93.0,
    "diff": 8.0,
    "candidates": [
     {
      "pattern": "단가 인상",
      "strength": "중간",
      "text": "같은 건수(1건)로 C클라우드 금액이 9% 상승. 단가·계약 조건 변경 가능성 (최근 몇 달 추이 확인)"
     },
     {
      "pattern": "물량 vs 단가",
      "strength": "참고",
      "text": "건수 1→1 (0%), 건당 93.0→101.0. 건당 금액(단가) 상승 영향이 더 큼"
     }
    ],
    "vendors": [
     {
      "name": "C클라우드",
      "cur": 101.0,
      "cmp": 93.0,
      "diff": 8.0,
      "share": 1.0,
      "isNew": "N"
     }
    ],
    "evidence": [
     {
      "date": "2026-09-25",
      "doc": "5100002057",
      "type": "KR",
      "vendor": "C클라우드",
      "text": "9월 클라우드 사용료 - C클라우드",
      "amt": 101.0
     }
    ]
   },
   "causes": {
    "전분기": {
     "basis": "전분기",
     "summary": "IT운영팀 · 전산운영비-클라우드 전분기 대비 +41.0 (+17%). 같은 건수(3건)로 C클라우드 금액이 17% 상승. 단가·계약 조건 변경 가능성 (최근 몇 달 추이 확인). 분기 한도: 여유.",
     "curTotal": 280.0,
     "cmpTotal": 239.0,
     "diff": 41.0,
     "candidates": [
      {
       "pattern": "단가 인상",
       "strength": "중간",
       "text": "같은 건수(3건)로 C클라우드 금액이 17% 상승. 단가·계약 조건 변경 가능성 (최근 몇 달 추이 확인)"
      },
      {
       "pattern": "물량 vs 단가",
       "strength": "참고",
       "text": "건수 3→3 (0%), 건당 79.7→93.3. 건당 금액(단가) 상승 영향이 더 큼"
      }
     ],
     "vendors": [
      {
       "name": "C클라우드",
       "cur": 280.0,
       "cmp": 239.0,
       "diff": 41.0,
       "share": 1.0,
       "isNew": "N"
      }
     ],
     "evidence": [
      {
       "date": "2026-09-25",
       "doc": "5100002057",
       "type": "KR",
       "vendor": "C클라우드",
       "text": "9월 클라우드 사용료 - C클라우드",
       "amt": 101.0
      },
      {
       "date": "2026-08-25",
       "doc": "5100001819",
       "type": "KR",
       "vendor": "C클라우드",
       "text": "8월 클라우드 사용료 - C클라우드",
       "amt": 93.0
      },
      {
       "date": "2026-07-25",
       "doc": "5100001572",
       "type": "KR",
       "vendor": "C클라우드",
       "text": "7월 클라우드 사용료 - C클라우드",
       "amt": 86.0
      }
     ]
    },
    "전년동기누적": {
     "basis": "전년동기누적",
     "summary": "IT운영팀 · 전산운영비-클라우드 전년동기누적 대비 +151.0 (+25%). 같은 건수(9건)로 C클라우드 금액이 25% 상승. 단가·계약 조건 변경 가능성 (최근 몇 달 추이 확인). 분기 한도: 여유.",
     "curTotal": 754.0,
     "cmpTotal": 603.0,
     "diff": 151.0,
     "candidates": [
      {
       "pattern": "단가 인상",
       "strength": "중간",
       "text": "같은 건수(9건)로 C클라우드 금액이 25% 상승. 단가·계약 조건 변경 가능성 (최근 몇 달 추이 확인)"
      },
      {
       "pattern": "물량 vs 단가",
       "strength": "참고",
       "text": "건수 9→9 (0%), 건당 67.0→83.8. 건당 금액(단가) 상승 영향이 더 큼"
      }
     ],
     "vendors": [
      {
       "name": "C클라우드",
       "cur": 754.0,
       "cmp": 603.0,
       "diff": 151.0,
       "share": 1.0,
       "isNew": "N"
      }
     ],
     "evidence": [
      {
       "date": "2026-09-25",
       "doc": "5100002057",
       "type": "KR",
       "vendor": "C클라우드",
       "text": "9월 클라우드 사용료 - C클라우드",
       "amt": 101.0
      },
      {
       "date": "2026-08-25",
       "doc": "5100001819",
       "type": "KR",
       "vendor": "C클라우드",
       "text": "8월 클라우드 사용료 - C클라우드",
       "amt": 93.0
      },
      {
       "date": "2026-07-25",
       "doc": "5100001572",
       "type": "KR",
       "vendor": "C클라우드",
       "text": "7월 클라우드 사용료 - C클라우드",
       "amt": 86.0
      },
      {
       "date": "2026-06-25",
       "doc": "5100001345",
       "type": "KR",
       "vendor": "C클라우드",
       "text": "6월 클라우드 사용료 - C클라우드",
       "amt": 80.0
      },
      {
       "date": "2026-04-25",
       "doc": "5100000900",
       "type": "KR",
       "vendor": "C클라우드",
       "text": "4월 클라우드 사용료 - C클라우드",
       "amt": 80.0
      },
      {
       "date": "2026-05-25",
       "doc": "5100001130",
       "type": "KR",
       "vendor": "C클라우드",
       "text": "5월 클라우드 사용료 - C클라우드",
       "amt": 79.0
      },
      {
       "date": "2026-02-25",
       "doc": "5100000442",
       "type": "KR",
       "vendor": "C클라우드",
       "text": "2월 클라우드 사용료 - C클라우드",
       "amt": 79.0
      },
      {
       "date": "2026-03-25",
       "doc": "5100000663",
       "type": "KR",
       "vendor": "C클라우드",
       "text": "3월 클라우드 사용료 - C클라우드",
       "amt": 78.0
      },
      {
       "date": "2026-01-25",
       "doc": "5100000199",
       "type": "KR",
       "vendor": "C클라우드",
       "text": "1월 클라우드 사용료 - C클라우드",
       "amt": 78.0
      }
     ]
    }
   }
  },
  {
   "rank": 7,
   "dept": "고객서비스팀",
   "account": "지급수수료-기타",
   "cur": 27.992,
   "mom": 0.3357,
   "yoy": 0.4565,
   "status": "한도 초과",
   "qrate": 1.5526,
   "annual": "부족 예상",
   "signal": "이상치",
   "score": 64.4,
   "comment": "(미확인)",
   "qcur": 69.868,
   "qoq": 0.1077,
   "ytd": 196.038,
   "ytdRate": 0.1329,
   "momAmt": 7.035,
   "qoqAmt": 6.791,
   "ytdAmt": 23.001,
   "burn": {
    "dept": "고객서비스팀",
    "account": "지급수수료-기타",
    "ytd": 196.038,
    "budget": 180.0,
    "slope": 21.386,
    "icpt": -0.9872,
    "yearEnd": 255.645,
    "tstar": "",
    "date": "소진됨",
    "status": "이미 소진",
    "qdate": "한도 소진",
    "pySlope": 19.2027,
    "c1": 21.014,
    "c2": 42.113,
    "c3": 63.093,
    "c4": 83.96,
    "c5": 104.976,
    "c6": 126.17,
    "c7": 147.089,
    "c8": 168.046,
    "c9": 196.038,
    "c10": 0,
    "c11": 0,
    "c12": 0
   },
   "cause": {
    "basis": "전월",
    "summary": "고객서비스팀 · 지급수수료-기타 전월 대비 +7.0 (+34%). 건수 11→15 (+36%), 건당 1.9→1.9. 건수(물량) 증가 영향이 더 큼. 분기 한도: 한도 초과, 연간 예산 이미 소진.",
    "curTotal": 27.992,
    "cmpTotal": 20.957,
    "diff": 7.035,
    "candidates": [
     {
      "pattern": "물량 vs 단가",
      "strength": "참고",
      "text": "건수 11→15 (+36%), 건당 1.9→1.9. 건수(물량) 증가 영향이 더 큼"
     }
    ],
    "vendors": [
     {
      "name": "J콜센터",
      "cur": 24.992,
      "cmp": 17.957,
      "diff": 7.035,
      "share": 1.0,
      "isNew": "N"
     },
     {
      "name": "X서비스",
      "cur": 3.0,
      "cmp": 3.0,
      "diff": 0.0,
      "share": 0.0,
      "isNew": "N"
     }
    ],
    "evidence": [
     {
      "date": "2026-09-11",
      "doc": "5100001928",
      "type": "KR",
      "vendor": "X서비스",
      "text": "9월 업무 위탁 수수료 - X서비스",
      "amt": 3.0
     },
     {
      "date": "2026-09-13",
      "doc": "5100001953",
      "type": "KR",
      "vendor": "J콜센터",
      "text": "9월 콜 위탁 수수료(건별)",
      "amt": 1.851
     },
     {
      "date": "2026-09-10",
      "doc": "5100001915",
      "type": "KR",
      "vendor": "J콜센터",
      "text": "9월 콜 위탁 수수료(건별)",
      "amt": 1.827
     },
     {
      "date": "2026-09-15",
      "doc": "5100001972",
      "type": "KR",
      "vendor": "J콜센터",
      "text": "9월 콜 위탁 수수료(건별)",
      "amt": 1.807
     },
     {
      "date": "2026-09-04",
      "doc": "5100001864",
      "type": "KR",
      "vendor": "J콜센터",
      "text": "9월 콜 위탁 수수료(건별)",
      "amt": 1.793
     },
     {
      "date": "2026-09-14",
      "doc": "5100001961",
      "type": "KR",
      "vendor": "J콜센터",
      "text": "9월 콜 위탁 수수료(건별)",
      "amt": 1.792
     },
     {
      "date": "2026-09-25",
      "doc": "5100002056",
      "type": "KR",
      "vendor": "J콜센터",
      "text": "9월 콜 위탁 수수료(건별)",
      "amt": 1.791
     },
     {
      "date": "2026-09-16",
      "doc": "5100001979",
      "type": "KR",
      "vendor": "J콜센터",
      "text": "9월 콜 위탁 수수료(건별)",
      "amt": 1.787
     },
     {
      "date": "2026-09-20",
      "doc": "5100002008",
      "type": "KR",
      "vendor": "J콜센터",
      "text": "9월 콜 위탁 수수료(건별)",
      "amt": 1.778
     },
     {
      "date": "2026-09-27",
      "doc": "5100002069",
      "type": "KR",
      "vendor": "J콜센터",
      "text": "9월 콜 위탁 수수료(건별)",
      "amt": 1.777
     },
     {
      "date": "2026-09-25",
      "doc": "5100002055",
      "type": "KR",
      "vendor": "J콜센터",
      "text": "9월 콜 위탁 수수료(건별)",
      "amt": 1.765
     },
     {
      "date": "2026-09-12",
      "doc": "5100001944",
      "type": "KR",
      "vendor": "J콜센터",
      "text": "9월 콜 위탁 수수료(건별)",
      "amt": 1.763
     },
     {
      "date": "2026-09-22",
      "doc": "5100002024",
      "type": "KR",
      "vendor": "J콜센터",
      "text": "9월 콜 위탁 수수료(건별)",
      "amt": 1.755
     },
     {
      "date": "2026-09-02",
      "doc": "5100001840",
      "type": "KR",
      "vendor": "J콜센터",
      "text": "9월 콜 위탁 수수료(건별)",
      "amt": 1.754
     },
     {
      "date": "2026-09-21",
      "doc": "5100002018",
      "type": "KR",
      "vendor": "J콜센터",
      "text": "9월 콜 위탁 수수료(건별)",
      "amt": 1.752
     }
    ]
   },
   "causes": {
    "전분기": {
     "basis": "전분기",
     "summary": "고객서비스팀 · 지급수수료-기타 전분기 대비 +6.8 (+11%). 건수 33→37 (+12%), 건당 1.9→1.9. 건수(물량) 증가 영향이 더 큼. 분기 한도: 한도 초과, 연간 예산 이미 소진.",
     "curTotal": 69.868,
     "cmpTotal": 63.077,
     "diff": 6.791,
     "candidates": [
      {
       "pattern": "물량 vs 단가",
       "strength": "참고",
       "text": "건수 33→37 (+12%), 건당 1.9→1.9. 건수(물량) 증가 영향이 더 큼"
      }
     ],
     "vendors": [
      {
       "name": "J콜센터",
       "cur": 60.868,
       "cmp": 54.077,
       "diff": 6.791,
       "share": 1.0,
       "isNew": "N"
      },
      {
       "name": "X서비스",
       "cur": 9.0,
       "cmp": 9.0,
       "diff": 0.0,
       "share": 0.0,
       "isNew": "N"
      }
     ],
     "evidence": [
      {
       "date": "2026-09-11",
       "doc": "5100001928",
       "type": "KR",
       "vendor": "X서비스",
       "text": "9월 업무 위탁 수수료 - X서비스",
       "amt": 3.0
      },
      {
       "date": "2026-08-20",
       "doc": "5100001767",
       "type": "KR",
       "vendor": "X서비스",
       "text": "8월 업무 위탁 수수료 - X서비스",
       "amt": 3.0
      },
      {
       "date": "2026-07-08",
       "doc": "5100001429",
       "type": "KR",
       "vendor": "X서비스",
       "text": "7월 업무 위탁 수수료 - X서비스",
       "amt": 3.0
      },
      {
       "date": "2026-09-13",
       "doc": "5100001953",
       "type": "KR",
       "vendor": "J콜센터",
       "text": "9월 콜 위탁 수수료(건별)",
       "amt": 1.851
      },
      {
       "date": "2026-08-13",
       "doc": "5100001705",
       "type": "KR",
       "vendor": "J콜센터",
       "text": "8월 콜 위탁 수수료(건별)",
       "amt": 1.847
      },
      {
       "date": "2026-07-26",
       "doc": "5100001582",
       "type": "KR",
       "vendor": "J콜센터",
       "text": "7월 콜 위탁 수수료(건별)",
       "amt": 1.84
      },
      {
       "date": "2026-08-06",
       "doc": "5100001643",
       "type": "KR",
       "vendor": "J콜센터",
       "text": "8월 콜 위탁 수수료(건별)",
       "amt": 1.834
      },
      {
       "date": "2026-09-10",
       "doc": "5100001915",
       "type": "KR",
       "vendor": "J콜센터",
       "text": "9월 콜 위탁 수수료(건별)",
       "amt": 1.827
      },
      {
       "date": "2026-07-10",
       "doc": "5100001446",
       "type": "KR",
       "vendor": "J콜센터",
       "text": "7월 콜 위탁 수수료(건별)",
       "amt": 1.821
      },
      {
       "date": "2026-08-19",
       "doc": "5100001759",
       "type": "KR",
       "vendor": "J콜센터",
       "text": "8월 콜 위탁 수수료(건별)",
       "amt": 1.812
      },
      {
       "date": "2026-07-23",
       "doc": "5100001553",
       "type": "KR",
       "vendor": "J콜센터",
       "text": "7월 콜 위탁 수수료(건별)",
       "amt": 1.812
      },
      {
       "date": "2026-09-15",
       "doc": "5100001972",
       "type": "KR",
       "vendor": "J콜센터",
       "text": "9월 콜 위탁 수수료(건별)",
       "amt": 1.807
      },
      {
       "date": "2026-08-09",
       "doc": "5100001677",
       "type": "KR",
       "vendor": "J콜센터",
       "text": "8월 콜 위탁 수수료(건별)",
       "amt": 1.802
      },
      {
       "date": "2026-07-08",
       "doc": "5100001427",
       "type": "KR",
       "vendor": "J콜센터",
       "text": "7월 콜 위탁 수수료(건별)",
       "amt": 1.801
      },
      {
       "date": "2026-07-08",
       "doc": "5100001428",
       "type": "KR",
       "vendor": "J콜센터",
       "text": "7월 콜 위탁 수수료(건별)",
       "amt": 1.796
      }
     ]
    },
    "전년동기누적": {
     "basis": "전년동기누적",
     "summary": "고객서비스팀 · 지급수수료-기타 전년동기누적 대비 +23.0 (+13%). 건수 90→103 (+14%), 건당 1.9→1.9. 건수(물량) 증가 영향이 더 큼. 분기 한도: 한도 초과, 연간 예산 이미 소진.",
     "curTotal": 196.038,
     "cmpTotal": 173.037,
     "diff": 23.001,
     "candidates": [
      {
       "pattern": "물량 vs 단가",
       "strength": "참고",
       "text": "건수 90→103 (+14%), 건당 1.9→1.9. 건수(물량) 증가 영향이 더 큼"
      }
     ],
     "vendors": [
      {
       "name": "J콜센터",
       "cur": 169.038,
       "cmp": 146.037,
       "diff": 23.001,
       "share": 1.0,
       "isNew": "N"
      },
      {
       "name": "X서비스",
       "cur": 27.0,
       "cmp": 27.0,
       "diff": 0.0,
       "share": 0.0,
       "isNew": "N"
      }
     ],
     "evidence": [
      {
       "date": "2026-09-11",
       "doc": "5100001928",
       "type": "KR",
       "vendor": "X서비스",
       "text": "9월 업무 위탁 수수료 - X서비스",
       "amt": 3.0
      },
      {
       "date": "2026-08-20",
       "doc": "5100001767",
       "type": "KR",
       "vendor": "X서비스",
       "text": "8월 업무 위탁 수수료 - X서비스",
       "amt": 3.0
      },
      {
       "date": "2026-07-08",
       "doc": "5100001429",
       "type": "KR",
       "vendor": "X서비스",
       "text": "7월 업무 위탁 수수료 - X서비스",
       "amt": 3.0
      },
      {
       "date": "2026-06-03",
       "doc": "5100001163",
       "type": "KR",
       "vendor": "X서비스",
       "text": "6월 업무 위탁 수수료 - X서비스",
       "amt": 3.0
      },
      {
       "date": "2026-05-04",
       "doc": "5100000940",
       "type": "KR",
       "vendor": "X서비스",
       "text": "5월 업무 위탁 수수료 - X서비스",
       "amt": 3.0
      },
      {
       "date": "2026-04-14",
       "doc": "5100000798",
       "type": "KR",
       "vendor": "X서비스",
       "text": "4월 업무 위탁 수수료 - X서비스",
       "amt": 3.0
      },
      {
       "date": "2026-03-23",
       "doc": "5100000649",
       "type": "KR",
       "vendor": "X서비스",
       "text": "3월 업무 위탁 수수료 - X서비스",
       "amt": 3.0
      },
      {
       "date": "2026-02-11",
       "doc": "5100000318",
       "type": "KR",
       "vendor": "X서비스",
       "text": "2월 업무 위탁 수수료 - X서비스",
       "amt": 3.0
      },
      {
       "date": "2026-01-10",
       "doc": "5100000079",
       "type": "KR",
       "vendor": "X서비스",
       "text": "1월 업무 위탁 수수료 - X서비스",
       "amt": 3.0
      },
      {
       "date": "2026-03-17",
       "doc": "5100000596",
       "type": "KR",
       "vendor": "J콜센터",
       "text": "3월 콜 위탁 수수료(건별)",
       "amt": 1.853
      },
      {
       "date": "2026-01-15",
       "doc": "5100000110",
       "type": "KR",
       "vendor": "J콜센터",
       "text": "1월 콜 위탁 수수료(건별)",
       "amt": 1.853
      },
      {
       "date": "2026-02-08",
       "doc": "5100000287",
       "type": "KR",
       "vendor": "J콜센터",
       "text": "2월 콜 위탁 수수료(건별)",
       "amt": 1.852
      },
      {
       "date": "2026-01-03",
       "doc": "5100000017",
       "type": "KR",
       "vendor": "J콜센터",
       "text": "1월 콜 위탁 수수료(건별)",
       "amt": 1.852
      },
      {
       "date": "2026-09-13",
       "doc": "5100001953",
       "type": "KR",
       "vendor": "J콜센터",
       "text": "9월 콜 위탁 수수료(건별)",
       "amt": 1.851
      },
      {
       "date": "2026-06-12",
       "doc": "5100001234",
       "type": "KR",
       "vendor": "J콜센터",
       "text": "6월 콜 위탁 수수료(건별)",
       "amt": 1.851
      }
     ]
    }
   }
  },
  {
   "rank": 8,
   "dept": "영업채널팀",
   "account": "유지수수료",
   "cur": 453.742,
   "mom": 0.0118,
   "yoy": 0.041,
   "status": "주의",
   "qrate": 0.9005,
   "annual": "여유",
   "signal": "단건100%",
   "score": 36.5,
   "comment": "(미확인)",
   "qcur": 1350.731,
   "qoq": 0.0014,
   "ytd": 4040.031,
   "ytdRate": 0.0471,
   "momAmt": 5.299,
   "qoqAmt": 1.854,
   "ytdAmt": 181.757,
   "burn": {
    "dept": "영업채널팀",
    "account": "유지수수료",
    "ytd": 4040.031,
    "budget": 6000.0,
    "slope": 448.4857,
    "icpt": -1.3351,
    "yearEnd": 5380.4939,
    "tstar": 13.3813,
    "date": "2027-02-11",
    "status": "연내 여유",
    "qdate": "분기 내 여유",
    "pySlope": 427.845,
    "c1": 452.397,
    "c2": 896.568,
    "c3": 1340.423,
    "c4": 1788.025,
    "c5": 2237.629,
    "c6": 2689.3,
    "c7": 3137.846,
    "c8": 3586.289,
    "c9": 4040.031,
    "c10": 0,
    "c11": 0,
    "c12": 0
   },
   "cause": {
    "basis": "전월",
    "summary": "영업채널팀 · 유지수수료 전월 대비 +5.3 (+1%). 건수 2→3 (+50%), 건당 224.2→151.2. 건수(물량) 증가 영향이 더 큼. 분기 한도: 주의.",
    "curTotal": 453.742,
    "cmpTotal": 448.443,
    "diff": 5.299,
    "candidates": [
     {
      "pattern": "물량 vs 단가",
      "strength": "참고",
      "text": "건수 2→3 (+50%), 건당 224.2→151.2. 건수(물량) 증가 영향이 더 큼"
     }
    ],
    "vendors": [
     {
      "name": "(전속설계사)",
      "cur": 280.589,
      "cmp": 179.803,
      "diff": 100.786,
      "share": 19.0198,
      "isNew": "N"
     },
     {
      "name": "CC금융서비스",
      "cur": 173.153,
      "cmp": 268.64,
      "diff": -95.487,
      "share": -18.0198,
      "isNew": "N"
     }
    ],
    "evidence": [
     {
      "date": "2026-09-27",
      "doc": "5100002070",
      "type": "KR",
      "vendor": "CC금융서비스",
      "text": "9월 유지수수료 - CC금융서비스",
      "amt": 173.153
     },
     {
      "date": "2026-09-10",
      "doc": "5100001919",
      "type": "KR",
      "vendor": "(전속설계사)",
      "text": "9월 유지수수료 - (전속설계사)",
      "amt": 160.25
     },
     {
      "date": "2026-09-14",
      "doc": "5100001962",
      "type": "KR",
      "vendor": "(전속설계사)",
      "text": "9월 유지수수료 - (전속설계사)",
      "amt": 120.339
     }
    ]
   },
   "causes": {
    "전분기": {
     "basis": "전분기",
     "summary": "영업채널팀 · 유지수수료 전분기 대비 +1.9 (0%). 건수 8→8 (0%), 건당 168.6→168.8. 건당 금액(단가) 상승 영향이 더 큼. 분기 한도: 주의.",
     "curTotal": 1350.731,
     "cmpTotal": 1348.877,
     "diff": 1.854,
     "candidates": [
      {
       "pattern": "물량 vs 단가",
       "strength": "참고",
       "text": "건수 8→8 (0%), 건당 168.6→168.8. 건당 금액(단가) 상승 영향이 더 큼"
      }
     ],
     "vendors": [
      {
       "name": "(전속설계사)",
       "cur": 766.089,
       "cmp": 680.338,
       "diff": 85.751,
       "share": 46.2519,
       "isNew": "N"
      },
      {
       "name": "CC금융서비스",
       "cur": 584.642,
       "cmp": 668.539,
       "diff": -83.897,
       "share": -45.2519,
       "isNew": "N"
      }
     ],
     "evidence": [
      {
       "date": "2026-08-17",
       "doc": "5100001737",
       "type": "KR",
       "vendor": "CC금융서비스",
       "text": "8월 유지수수료 - CC금융서비스",
       "amt": 268.64
      },
      {
       "date": "2026-08-26",
       "doc": "5100001829",
       "type": "KR",
       "vendor": "(전속설계사)",
       "text": "8월 유지수수료 - (전속설계사)",
       "amt": 179.803
      },
      {
       "date": "2026-09-27",
       "doc": "5100002070",
       "type": "KR",
       "vendor": "CC금융서비스",
       "text": "9월 유지수수료 - CC금융서비스",
       "amt": 173.153
      },
      {
       "date": "2026-07-11",
       "doc": "5100001460",
       "type": "KR",
       "vendor": "(전속설계사)",
       "text": "7월 유지수수료 - (전속설계사)",
       "amt": 168.074
      },
      {
       "date": "2026-09-10",
       "doc": "5100001919",
       "type": "KR",
       "vendor": "(전속설계사)",
       "text": "9월 유지수수료 - (전속설계사)",
       "amt": 160.25
      },
      {
       "date": "2026-07-18",
       "doc": "5100001516",
       "type": "KR",
       "vendor": "CC금융서비스",
       "text": "7월 유지수수료 - CC금융서비스",
       "amt": 142.849
      },
      {
       "date": "2026-07-21",
       "doc": "5100001538",
       "type": "KR",
       "vendor": "(전속설계사)",
       "text": "7월 유지수수료 - (전속설계사)",
       "amt": 137.623
      },
      {
       "date": "2026-09-14",
       "doc": "5100001962",
       "type": "KR",
       "vendor": "(전속설계사)",
       "text": "9월 유지수수료 - (전속설계사)",
       "amt": 120.339
      }
     ]
    },
    "전년동기누적": {
     "basis": "전년동기누적",
     "summary": "영업채널팀 · 유지수수료 전년동기누적 대비 +181.8 (+5%). 건수 27→24 (-11%), 건당 142.9→168.3. 건당 금액(단가) 상승 영향이 더 큼. 분기 한도: 주의.",
     "curTotal": 4040.031,
     "cmpTotal": 3858.274,
     "diff": 181.757,
     "candidates": [
      {
       "pattern": "물량 vs 단가",
       "strength": "참고",
       "text": "건수 27→24 (-11%), 건당 142.9→168.3. 건당 금액(단가) 상승 영향이 더 큼"
      }
     ],
     "vendors": [
      {
       "name": "CC금융서비스",
       "cur": 1967.431,
       "cmp": 1805.178,
       "diff": 162.253,
       "share": 0.8927,
       "isNew": "N"
      },
      {
       "name": "(전속설계사)",
       "cur": 2072.6,
       "cmp": 2053.096,
       "diff": 19.504,
       "share": 0.1073,
       "isNew": "N"
      }
     ],
     "evidence": [
      {
       "date": "2026-08-17",
       "doc": "5100001737",
       "type": "KR",
       "vendor": "CC금융서비스",
       "text": "8월 유지수수료 - CC금융서비스",
       "amt": 268.64
      },
      {
       "date": "2026-06-20",
       "doc": "5100001294",
       "type": "KR",
       "vendor": "(전속설계사)",
       "text": "6월 유지수수료 - (전속설계사)",
       "amt": 259.088
      },
      {
       "date": "2026-03-04",
       "doc": "5100000479",
       "type": "KR",
       "vendor": "CC금융서비스",
       "text": "3월 유지수수료 - CC금융서비스",
       "amt": 241.039
      },
      {
       "date": "2026-05-13",
       "doc": "5100001023",
       "type": "KR",
       "vendor": "(전속설계사)",
       "text": "5월 유지수수료 - (전속설계사)",
       "amt": 233.682
      },
      {
       "date": "2026-05-21",
       "doc": "5100001100",
       "type": "KR",
       "vendor": "CC금융서비스",
       "text": "5월 유지수수료 - CC금융서비스",
       "amt": 215.922
      },
      {
       "date": "2026-03-04",
       "doc": "5100000478",
       "type": "KR",
       "vendor": "(전속설계사)",
       "text": "3월 유지수수료 - (전속설계사)",
       "amt": 202.816
      },
      {
       "date": "2026-06-05",
       "doc": "5100001179",
       "type": "KR",
       "vendor": "CC금융서비스",
       "text": "6월 유지수수료 - CC금융서비스",
       "amt": 192.583
      },
      {
       "date": "2026-02-26",
       "doc": "5100000453",
       "type": "KR",
       "vendor": "CC금융서비스",
       "text": "2월 유지수수료 - CC금융서비스",
       "amt": 188.287
      },
      {
       "date": "2026-08-26",
       "doc": "5100001829",
       "type": "KR",
       "vendor": "(전속설계사)",
       "text": "8월 유지수수료 - (전속설계사)",
       "amt": 179.803
      },
      {
       "date": "2026-01-06",
       "doc": "5100000040",
       "type": "KR",
       "vendor": "(전속설계사)",
       "text": "1월 유지수수료 - (전속설계사)",
       "amt": 177.63
      },
      {
       "date": "2026-09-27",
       "doc": "5100002070",
       "type": "KR",
       "vendor": "CC금융서비스",
       "text": "9월 유지수수료 - CC금융서비스",
       "amt": 173.153
      },
      {
       "date": "2026-07-11",
       "doc": "5100001460",
       "type": "KR",
       "vendor": "(전속설계사)",
       "text": "7월 유지수수료 - (전속설계사)",
       "amt": 168.074
      },
      {
       "date": "2026-09-10",
       "doc": "5100001919",
       "type": "KR",
       "vendor": "(전속설계사)",
       "text": "9월 유지수수료 - (전속설계사)",
       "amt": 160.25
      },
      {
       "date": "2026-01-10",
       "doc": "5100000080",
       "type": "KR",
       "vendor": "CC금융서비스",
       "text": "1월 유지수수료 - CC금융서비스",
       "amt": 144.529
      },
      {
       "date": "2026-07-18",
       "doc": "5100001516",
       "type": "KR",
       "vendor": "CC금융서비스",
       "text": "7월 유지수수료 - CC금융서비스",
       "amt": 142.849
      }
     ]
    }
   }
  },
  {
   "rank": 9,
   "dept": "인사팀",
   "account": "광고선전비",
   "cur": 5.5,
   "mom": 1,
   "yoy": 1,
   "status": "무예산",
   "qrate": 0,
   "annual": "무예산",
   "signal": "이상치 신규지출",
   "score": 22.0,
   "comment": "(미확인)",
   "qcur": 5.5,
   "qoq": 0.7188,
   "ytd": 13.5,
   "ytdRate": 1,
   "momAmt": 5.5,
   "qoqAmt": 2.3,
   "ytdAmt": 13.5,
   "burn": {
    "dept": "인사팀",
    "account": "광고선전비",
    "ytd": 13.5,
    "budget": 0.0,
    "slope": 1.3764,
    "icpt":</t>
        </is>
      </c>
    </row>
    <row r="5">
      <c r="A5" s="101" t="inlineStr">
        <is>
          <t xml:space="preserve"> -0.3636,
    "yearEnd": 16.1527,
    "tstar": "",
    "date": "",
    "status": "무예산",
    "qdate": "",
    "pySlope": 0.0,
    "c1": 0,
    "c2": 0,
    "c3": 4.8,
    "c4": 8.0,
    "c5": 8.0,
    "c6": 8.0,
    "c7": 8.0,
    "c8": 8.0,
    "c9": 13.5,
    "c10": 0,
    "c11": 0,
    "c12": 0
   },
   "cause": {
    "basis": "전월",
    "summary": "인사팀 · 광고선전비 전월 대비 +5.5 (+100%). 전표 5100001958 (9/14, LL채용, 적요 '경력직 채용공고') 5.5이 증가분의 100% (거래처 평소 월평균 0.7). 일회성 지출 가능성. 분기 한도: 무예산.",
    "curTotal": 5.5,
    "cmpTotal": 0,
    "diff": 5.5,
    "candidates": [
     {
      "pattern": "일회성 대형 지출",
      "strength": "높음",
      "text": "전표 5100001958 (9/14, LL채용, 적요 '경력직 채용공고') 5.5이 증가분의 100% (거래처 평소 월평균 0.7). 일회성 지출 가능성"
     }
    ],
    "vendors": [
     {
      "name": "LL채용",
      "cur": 5.5,
      "cmp": 0,
      "diff": 5.5,
      "share": 1.0,
      "isNew": "N"
     }
    ],
    "evidence": [
     {
      "date": "2026-09-14",
      "doc": "5100001958",
      "type": "KR",
      "vendor": "LL채용",
      "text": "경력직 채용공고",
      "amt": 5.5
     }
    ]
   },
   "causes": {
    "전분기": {
     "basis": "전분기",
     "summary": "인사팀 · 광고선전비 전분기 대비 +2.3 (+72%). 전표 5100001958 (9/14, LL채용, 적요 '경력직 채용공고') 5.5이 증가분의 100% (거래처 평소 월평균 0.7). 일회성 지출 가능성. 분기 한도: 무예산.",
     "curTotal": 5.5,
     "cmpTotal": 3.2,
     "diff": 2.3,
     "candidates": [
      {
       "pattern": "일회성 대형 지출",
       "strength": "높음",
       "text": "전표 5100001958 (9/14, LL채용, 적요 '경력직 채용공고') 5.5이 증가분의 100% (거래처 평소 월평균 0.7). 일회성 지출 가능성"
      },
      {
       "pattern": "물량 vs 단가",
       "strength": "참고",
       "text": "건수 1→1 (0%), 건당 3.2→5.5. 건당 금액(단가) 상승 영향이 더 큼"
      }
     ],
     "vendors": [
      {
       "name": "LL채용",
       "cur": 5.5,
       "cmp": 3.2,
       "diff": 2.3,
       "share": 1.0,
       "isNew": "N"
      }
     ],
     "evidence": [
      {
       "date": "2026-09-14",
       "doc": "5100001958",
       "type": "KR",
       "vendor": "LL채용",
       "text": "경력직 채용공고",
       "amt": 5.5
      }
     ]
    },
    "전년동기누적": {
     "basis": "전년동기누적",
     "summary": "인사팀 · 광고선전비 전년동기누적 대비 +13.5 (+100%). 최근 12개월 거래가 없던 거래처(LL채용)가 증가분의 100%. 신규 계약·거래 개시 가능성. 분기 한도: 무예산.",
     "curTotal": 13.5,
     "cmpTotal": 0,
     "diff": 13.5,
     "candidates": [
      {
       "pattern": "신규 거래처",
       "strength": "중간",
       "text": "최근 12개월 거래가 없던 거래처(LL채용)가 증가분의 100%. 신규 계약·거래 개시 가능성"
      }
     ],
     "vendors": [
      {
       "name": "LL채용",
       "cur": 13.5,
       "cmp": 0,
       "diff": 13.5,
       "share": 1.0,
       "isNew": "Y"
      }
     ],
     "evidence": [
      {
       "date": "2026-09-14",
       "doc": "5100001958",
       "type": "KR",
       "vendor": "LL채용",
       "text": "경력직 채용공고",
       "amt": 5.5
      },
      {
       "date": "2026-03-14",
       "doc": "5100000572",
       "type": "KR",
       "vendor": "LL채용",
       "text": "경력직 채용공고",
       "amt": 4.8
      },
      {
       "date": "2026-04-14",
       "doc": "5100000796",
       "type": "KR",
       "vendor": "LL채용",
       "text": "경력직 채용공고",
       "amt": 3.2
      }
     ]
    }
   }
  },
  {
   "rank": 10,
   "dept": "고객서비스팀",
   "account": "지급수수료-컨설팅",
   "cur": 28.515,
   "mom": -0.1191,
   "yoy": 0.0203,
   "status": "주의",
   "qrate": 0.9111,
   "annual": "주의",
   "signal": null,
   "score": 15.7,
   "comment": "(미확인)",
   "qcur": 95.668,
   "qoq": 0.0262,
   "ytd": 283.65,
   "ytdRate": 0.0419,
   "momAmt": -3.857,
   "qoqAmt": 2.439,
   "ytdAmt": 11.406,
   "burn": {
    "dept": "고객서비스팀",
    "account": "지급수수료-컨설팅",
    "ytd": 283.65,
    "budget": 420.0,
    "slope": 31.7749,
    "icpt": -1.0831,
    "yearEnd": 380.2158,
    "tstar": 13.2521,
    "date": "2027-02-07",
    "status": "연내 여유",
    "qdate": "분기 내 여유",
    "pySlope": 29.9877,
    "c1": 28.942,
    "c2": 63.717,
    "c3": 94.753,
    "c4": 125.178,
    "c5": 156.92,
    "c6": 187.982,
    "c7": 222.763,
    "c8": 255.135,
    "c9": 283.65,
    "c10": 0,
    "c11": 0,
    "c12": 0
   },
   "cause": {
    "basis": "전월",
    "summary": "고객서비스팀 · 지급수수료-컨설팅 전월 대비 -3.9 (-12%). 감소 또는 변동 없음 - 원인 후보는 증가 항목에만 만듭니다. 분기 한도: 주의.",
    "curTotal": 28.515,
    "cmpTotal": 32.372,
    "diff": -3.857,
    "candidates": [
     {
      "pattern": "뚜렷한 패턴 없음",
      "strength": null,
      "text": "근거 전표 목록을 직접 확인하세요"
     }
    ],
    "vendors": [
     {
      "name": "W컨설팅",
      "cur": 20.741,
      "cmp": 19.021,
      "diff": 1.72,
      "share": null,
      "isNew": "N"
     },
     {
      "name": "K회계법인",
      "cur": 7.774,
      "cmp": 13.351,
      "diff": -5.577,
      "share": null,
      "isNew": "N"
     }
    ],
    "evidence": [
     {
      "date": "2026-09-21",
      "doc": "5100002016",
      "type": "KR",
      "vendor": "W컨설팅",
      "text": "9월 자문 수수료 - W컨설팅",
      "amt": 11.78
     },
     {
      "date": "2026-09-06",
      "doc": "5100001877",
      "type": "KR",
      "vendor": "W컨설팅",
      "text": "9월 자문 수수료 - W컨설팅",
      "amt": 8.961
     },
     {
      "date": "2026-09-03",
      "doc": "5100001852",
      "type": "KR",
      "vendor": "K회계법인",
      "text": "9월 자문 수수료 - K회계법인",
      "amt": 7.774
     }
    ]
   },
   "causes": {
    "전분기": {
     "basis": "전분기",
     "summary": "고객서비스팀 · 지급수수료-컨설팅 전분기 대비 +2.4 (+3%). 건수 9→10 (+11%), 건당 10.4→9.6. 건수(물량) 증가 영향이 더 큼. 분기 한도: 주의.",
     "curTotal": 95.668,
     "cmpTotal": 93.229,
     "diff": 2.439,
     "candidates": [
      {
       "pattern": "물량 vs 단가",
       "strength": "참고",
       "text": "건수 9→10 (+11%), 건당 10.4→9.6. 건수(물량) 증가 영향이 더 큼"
      }
     ],
     "vendors": [
      {
       "name": "W컨설팅",
       "cur": 50.631,
       "cmp": 45.008,
       "diff": 5.623,
       "share": 2.3055,
       "isNew": "N"
      },
      {
       "name": "K회계법인",
       "cur": 45.037,
       "cmp": 48.221,
       "diff": -3.184,
       "share": -1.3055,
       "isNew": "N"
      }
     ],
     "evidence": [
      {
       "date": "2026-07-15",
       "doc": "5100001493",
       "type": "KR",
       "vendor": "K회계법인",
       "text": "7월 자문 수수료 - K회계법인",
       "amt": 13.672
      },
      {
       "date": "2026-09-21",
       "doc": "5100002016",
       "type": "KR",
       "vendor": "W컨설팅",
       "text": "9월 자문 수수료 - W컨설팅",
       "amt": 11.78
      },
      {
       "date": "2026-07-18",
       "doc": "5100001515",
       "type": "KR",
       "vendor": "W컨설팅",
       "text": "7월 자문 수수료 - W컨설팅",
       "amt": 10.869
      },
      {
       "date": "2026-07-20",
       "doc": "5100001529",
       "type": "KR",
       "vendor": "K회계법인",
       "text": "7월 자문 수수료 - K회계법인",
       "amt": 10.24
      },
      {
       "date": "2026-08-12",
       "doc": "5100001699",
       "type": "KR",
       "vendor": "W컨설팅",
       "text": "8월 자문 수수료 - W컨설팅",
       "amt": 9.534
      },
      {
       "date": "2026-08-12",
       "doc": "5100001698",
       "type": "KR",
       "vendor": "W컨설팅",
       "text": "8월 자문 수수료 - W컨설팅",
       "amt": 9.487
      },
      {
       "date": "2026-09-06",
       "doc": "5100001877",
       "type": "KR",
       "vendor": "W컨설팅",
       "text": "9월 자문 수수료 - W컨설팅",
       "amt": 8.961
      },
      {
       "date": "2026-08-24",
       "doc": "5100001807",
       "type": "KR",
       "vendor": "K회계법인",
       "text": "8월 자문 수수료 - K회계법인",
       "amt": 8.164
      },
      {
       "date": "2026-09-03",
       "doc": "5100001852",
       "type": "KR",
       "vendor": "K회계법인",
       "text": "9월 자문 수수료 - K회계법인",
       "amt": 7.774
      },
      {
       "date": "2026-08-23",
       "doc": "5100001796",
       "type": "KR",
       "vendor": "K회계법인",
       "text": "8월 자문 수수료 - K회계법인",
       "amt": 5.187
      }
     ]
    },
    "전년동기누적": {
     "basis": "전년동기누적",
     "summary": "고객서비스팀 · 지급수수료-컨설팅 전년동기누적 대비 +11.4 (+4%). 건수 28→27 (-4%), 건당 9.7→10.5. 건당 금액(단가) 상승 영향이 더 큼. 분기 한도: 주의.",
     "curTotal": 283.65,
     "cmpTotal": 272.244,
     "diff": 11.406,
     "candidates": [
      {
       "pattern": "물량 vs 단가",
       "strength": "참고",
       "text": "건수 28→27 (-4%), 건당 9.7→10.5. 건당 금액(단가) 상승 영향이 더 큼"
      }
     ],
     "vendors": [
      {
       "name": "W컨설팅",
       "cur": 158.62,
       "cmp": 146.68,
       "diff": 11.94,
       "share": 1.0468,
       "isNew": "N"
      },
      {
       "name": "K회계법인",
       "cur": 125.03,
       "cmp": 125.564,
       "diff": -0.534,
       "share": -0.0468,
       "isNew": "N"
      }
     ],
     "evidence": [
      {
       "date": "2026-03-08",
       "doc": "5100000519",
       "type": "KR",
       "vendor": "W컨설팅",
       "text": "3월 자문 수수료 - W컨설팅",
       "amt": 18.571
      },
      {
       "date": "2026-06-17",
       "doc": "5100001274",
       "type": "KR",
       "vendor": "W컨설팅",
       "text": "6월 자문 수수료 - W컨설팅",
       "amt": 16.054
      },
      {
       "date": "2026-06-23",
       "doc": "5100001323",
       "type": "KR",
       "vendor": "K회계법인",
       "text": "6월 자문 수수료 - K회계법인",
       "amt": 15.008
      },
      {
       "date": "2026-02-03",
       "doc": "5100000246",
       "type": "KR",
       "vendor": "W컨설팅",
       "text": "2월 자문 수수료 - W컨설팅",
       "amt": 14.197
      },
      {
       "date": "2026-07-15",
       "doc": "5100001493",
       "type": "KR",
       "vendor": "K회계법인",
       "text": "7월 자문 수수료 - K회계법인",
       "amt": 13.672
      },
      {
       "date": "2026-04-18",
       "doc": "5100000840",
       "type": "KR",
       "vendor": "W컨설팅",
       "text": "4월 자문 수수료 - W컨설팅",
       "amt": 13.208
      },
      {
       "date": "2026-03-08",
       "doc": "5100000518",
       "type": "KR",
       "vendor": "K회계법인",
       "text": "3월 자문 수수료 - K회계법인",
       "amt": 12.465
      },
      {
       "date": "2026-09-21",
       "doc": "5100002016",
       "type": "KR",
       "vendor": "W컨설팅",
       "text": "9월 자문 수수료 - W컨설팅",
       "amt": 11.78
      },
      {
       "date": "2026-02-25",
       "doc": "5100000440",
       "type": "KR",
       "vendor": "W컨설팅",
       "text": "2월 자문 수수료 - W컨설팅",
       "amt": 11.596
      },
      {
       "date": "2026-07-18",
       "doc": "5100001515",
       "type": "KR",
       "vendor": "W컨설팅",
       "text": "7월 자문 수수료 - W컨설팅",
       "amt": 10.869
      },
      {
       "date": "2026-01-26",
       "doc": "5100000207",
       "type": "KR",
       "vendor": "K회계법인",
       "text": "1월 자문 수수료 - K회계법인",
       "amt": 10.325
      },
      {
       "date": "2026-07-20",
       "doc": "5100001529",
       "type": "KR",
       "vendor": "K회계법인",
       "text": "7월 자문 수수료 - K회계법인",
       "amt": 10.24
      },
      {
       "date": "2026-01-22",
       "doc": "5100000174",
       "type": "KR",
       "vendor": "W컨설팅",
       "text": "1월 자문 수수료 - W컨설팅",
       "amt": 9.765
      },
      {
       "date": "2026-08-12",
       "doc": "5100001699",
       "type": "KR",
       "vendor": "W컨설팅",
       "text": "8월 자문 수수료 - W컨설팅",
       "amt": 9.534
      },
      {
       "date": "2026-08-12",
       "doc": "5100001698",
       "type": "KR",
       "vendor": "W컨설팅",
       "text": "8월 자문 수수료 - W컨설팅",
       "amt": 9.487
      }
     ]
    }
   }
  }
 ],
 "ifrs17": {
  "summary": "GMM CSM 당월 변동 -107 중 사업비 관련 -1,505.6 (취득현금흐름 경험조정 -305.6, 사업비 가정변경 -1,200.0). 신계약비 실제가 예정보다 681.5 많았고, 증가 기여 1위는 영업채널팀 모집수수료 (+663.6), 대표 전표는 AA보험대리점 '9월 신상품 GA 판매시책비 (추가 수수료)' 650.0. 당기손익 반영 경험차이 -358.2. VFA(변액) CSM 당월 변동 +69 중 사업비 관련 -63.2.",
  "alloc": [
   {
    "cat": "비귀속",
    "cur": 542.9674,
    "prev": 317.8382,
    "ytd": 3395.172,
    "share": 0.1426
   },
   {
    "cat": "신계약비",
    "cur": 2528.9244,
    "prev": 1855.1626,
    "ytd": 17380.8383,
    "share": 0.6641
   },
   {
    "cat": "유지비",
    "cur": 198.4915,
    "prev": 186.7357,
    "ytd": 1631.5856,
    "share": 0.0521
   },
   {
    "cat": "수금비",
    "cur": 505.6627,
    "prev": 496.5541,
    "ytd": 4461.2133,
    "share": 0.1328
   },
   {
    "cat": "재산관리비",
    "cur": 32.277,
    "prev": 32.8734,
    "ytd": 293.4967,
    "share": 0.0085
   }
  ],
  "pf": [
   {
    "pf": "PF01",
    "name": "보장성",
    "model": "GMM",
    "cat": "신계약비",
    "actual": 1390.9084,
    "expected": 1015.413,
    "diff": -375.4954,
    "target": "CSM 60% (GMM) · 나머지 손익",
    "csm": -225.2973,
    "pl": -150.1982
   },
   {
    "pf": "PF01",
    "name": "보장성",
    "model": "GMM",
    "cat": "유지비",
    "actual": 99.2457,
    "expected": 87.568,
    "diff": -11.6777,
    "target": "당기손익(보험서비스결과)",
    "csm": 0.0,
    "pl": -11.6777
   },
   {
    "pf": "PF01",
    "name": "보장성",
    "model": "GMM",
    "cat": "수금비",
    "actual": 252.8313,
    "expected": 241.307,
    "diff": -11.5243,
    "target": "당기손익(보험서비스결과)",
    "csm": 0.0,
    "pl": -11.5243
   },
   {
    "pf": "PF02",
    "name": "저축성",
    "model": "GMM",
    "cat": "신계약비",
    "actual": 505.7849,
    "expected": 372.007,
    "diff": -133.7779,
    "target": "CSM 60% (GMM) · 나머지 손익",
    "csm": -80.2667,
    "pl": -53.5112
   },
   {
    "pf": "PF02",
    "name": "저축성",
    "model": "GMM",
    "cat": "유지비",
    "actual": 59.5474,
    "expected": 52.518,
    "diff": -7.0294,
    "target": "당기손익(보험서비스결과)",
    "csm": 0.0,
    "pl": -7.0294
   },
   {
    "pf": "PF02",
    "name": "저축성",
    "model": "GMM",
    "cat": "수금비",
    "actual": 151.6988,
    "expected": 143.858,
    "diff": -7.8408,
    "target": "당기손익(보험서비스결과)",
    "csm": 0.0,
    "pl": -7.8408
   },
   {
    "pf": "PF03",
    "name": "단체(단기)",
    "model": "PAA",
    "cat": "신계약비",
    "actual": 252.8924,
    "expected": 185.945,
    "diff": -66.9474,
    "target": "당기손익",
    "csm": 0.0,
    "pl": -66.9474
   },
   {
    "pf": "PF03",
    "name": "단체(단기)",
    "model": "PAA",
    "cat": "유지비",
    "actual": 15.8793,
    "expected": 14.414,
    "diff": -1.4653,
    "target": "당기손익(보험서비스결과)",
    "csm": 0.0,
    "pl": -1.4653
   },
   {
    "pf": "PF03",
    "name": "단체(단기)",
    "model": "PAA",
    "cat": "수금비",
    "actual": 40.453,
    "expected": 38.694,
    "diff": -1.759,
    "target": "당기손익(보험서비스결과)",
    "csm": 0.0,
    "pl": -1.759
   },
   {
    "pf": "PF04",
    "name": "변액",
    "model": "VFA",
    "cat": "신계약비",
    "actual": 379.3387,
    "expected": 274.07,
    "diff": -105.2687,
    "target": "CSM 60% (VFA) · 나머지 손익",
    "csm": -63.1612,
    "pl": -42.1075
   },
   {
    "pf": "PF04",
    "name": "변액",
    "model": "VFA",
    "cat": "유지비",
    "actual": 23.819,
    "expected": 21.239,
    "diff": -2.58,
    "target": "당기손익(보험서비스결과)",
    "csm": 0.0,
    "pl": -2.58
   },
   {
    "pf": "PF04",
    "name": "변액",
    "model": "VFA",
    "cat": "수금비",
    "actual": 60.6795,
    "expected": 59.089,
    "diff": -1.5905,
    "target": "당기손익(보험서비스결과)",
    "csm": 0.0,
    "pl": -1.5905
   }
  ],
  "totals": {
   "csm": -305.564,
   "csmVfa": -63.1612,
   "pl": -358.2314
  },
  "recon": [
   {
    "pf": "PF01",
    "model": "GMM",
    "actuary": -225.297,
    "trace": -225.2973,
    "diff": 0.0003,
    "status": "일치"
   },
   {
    "pf": "PF02",
    "model": "GMM",
    "actuary": -80.267,
    "trace": -80.2667,
    "diff": -0.0003,
    "status": "일치"
   },
   {
    "pf": "PF03",
    "model": "PAA",
    "actuary": 0.0,
    "trace": 0,
    "diff": 0.0,
    "status": "해당없음 (CSM 없음)"
   },
   {
    "pf": "PF04",
    "model": "VFA",
    "actuary": -63.161,
    "trace": -63.1612,
    "diff": 0.0002,
    "status": "일치"
   }
  ],
  "bridge": [
   {
    "code": "F00",
    "name": "기초잔액",
    "bel": 1808419.77,
    "ra": 104778.14,
    "csm": 354578.007,
    "expense": false
   },
   {
    "code": "F10",
    "name": "신계약 효과",
    "bel": -4424.858,
    "ra": 884.971,
    "csm": 3539.887,
    "expense": false
   },
   {
    "code": "F21",
    "name": "가정변경-사업비",
    "bel": 1200.0,
    "ra": 0.0,
    "csm": -1200.0,
    "expense": true
   },
   {
    "code": "F22",
    "name": "가정변경-기타",
    "bel": 0.0,
    "ra": 0.0,
    "csm": 0.0,
    "expense": false
   },
   {
    "code": "F31",
    "name": "경험조정-취득현금흐름",
    "bel": 0.0,
    "ra": 0.0,
    "csm": -305.564,
    "expense": true
   },
   {
    "code": "F32",
    "name": "경험조정-보험료 등",
    "bel": 0.0,
    "ra": 0.0,
    "csm": 163.173,
    "expense": false
   },
   {
    "code": "F40",
    "name": "보험금융비용(이자부리)",
    "bel": 4521.05,
    "ra": 209.556,
    "csm": 886.445,
    "expense": false
   },
   {
    "code": "F51",
    "name": "CSM 상각",
    "bel": 0.0,
    "ra": 0.0,
    "csm": -3191.202,
    "expense": false
   },
   {
    "code": "F52",
    "name": "RA 해제",
    "bel": 0.0,
    "ra": -628.669,
    "csm": 0.0,
    "expense": false
   },
   {
    "code": "F60",
    "name": "현금흐름 및 기타",
    "bel": 8760.836,
    "ra": -757.239,
    "csm": 0.0,
    "expense": false
   },
   {
    "code": "F99",
    "name": "기말잔액",
    "bel": 1818476.797,
    "ra": 104486.76,
    "csm": 354470.745,
    "expense": false
   }
  ],
  "bridgeVfa": [
   {
    "code": "F00",
    "name": "기초잔액",
    "bel": 326822.85,
    "ra": 16024.892,
    "csm": 52871.136,
    "expense": false
   },
   {
    "code": "F10",
    "name": "신계약 효과",
    "bel": -661.186,
    "ra": 132.237,
    "csm": 528.949,
    "expense": false
   },
   {
    "code": "F21",
    "name": "가정변경-사업비",
    "bel": 0.0,
    "ra": 0.0,
    "csm": 0.0,
    "expense": true
   },
   {
    "code": "F22",
    "name": "가정변경-기타",
    "bel": 0.0,
    "ra": 0.0,
    "csm": 0.0,
    "expense": false
   },
   {
    "code": "F31",
    "name": "경험조정-취득현금흐름",
    "bel": 0.0,
    "ra": 0.0,
    "csm": -63.161,
    "expense": true
   },
   {
    "code": "F32",
    "name": "경험조정-보험료 등",
    "bel": 0.0,
    "ra": 0.0,
    "csm": -53.49,
    "expense": false
   },
   {
    "code": "F40",
    "name": "보험금융비용(이자부리)",
    "bel": 817.057,
    "ra": 32.05,
    "csm": 132.178,
    "expense": false
   },
   {
    "code": "F51",
    "name": "CSM 상각",
    "bel": 0.0,
    "ra": 0.0,
    "csm": -475.84,
    "expense": false
   },
   {
    "code": "F52",
    "name": "RA 해제",
    "bel": 0.0,
    "ra": -96.149,
    "csm": 0.0,
    "expense": false
   },
   {
    "code": "F60",
    "name": "현금흐름 및 기타",
    "bel": 1661.664,
    "ra": -112.702,
    "csm": 0.0,
    "expense": false
   },
   {
    "code": "F99",
    "name": "기말잔액",
    "bel": 328640.385,
    "ra": 15980.328,
    "csm": 52939.771,
    "expense": false
   }
  ],
  "csmChange": -107.262,
  "csmExpense": -1505.564,
  "csmChangeVfa": 68.635,
  "csmExpenseVfa": -63.161,
  "drivers": [
   {
    "dept": "영업채널팀",
    "account": "모집수수료",
    "cur": 2454.582,
    "prev": 1791.019,
    "diff": 663.563
   },
   {
    "dept": "영업지원팀",
    "account": "차량유지비",
    "cur": 10.7363,
    "prev": 1.503,
    "diff": 9.2332
   },
   {
    "dept": "인사팀",
    "account": "교육훈련비-외부위탁",
    "cur": 3.4954,
    "prev": 0.5737,
    "diff": 2.9217
   },
   {
    "dept": "IT운영팀",
    "account": "전산운영비-클라우드",
    "cur": 10.1,
    "prev": 9.3,
    "diff": 0.8
   },
   {
    "dept": "마케팅팀",
    "account": "도서인쇄비",
    "cur": 0.8889,
    "prev": 0.8113,
    "diff": 0.0776
   }
  ],
  "evidence": [
   {
    "date": "2026-09-26",
    "doc": "5100002063",
    "cc": "1901",
    "gl": "63501000",
    "vendor": "AA보험대리점",
    "text": "9월 신상품 GA 판매시책비 (추가 수수료)",
    "amt": 650.0,
    "nb": 650.0
   },
   {
    "date": "2026-09-10",
    "doc": "5100001918",
    "cc": "1902",
    "gl": "63501000",
    "vendor": "BB에셋",
    "text": "9월 모집수수료 - BB에셋",
    "amt": 507.133,
    "nb": 507.133
   },
   {
    "date": "2026-09-22",
    "doc": "5100002025",
    "cc": "1902",
    "gl": "63501000",
    "vendor": "BB에셋",
    "text": "9월 모집수수료 - BB에셋",
    "amt": 443.648,
    "nb": 443.648
   },
   {
    "date": "2026-09-21",
    "doc": "5100002019",
    "cc": "1902",
    "gl": "63501000",
    "vendor": "AA보험대리점",
    "text": "9월 모집수수료 - AA보험대리점",
    "amt": 427.302,
    "nb": 427.302
   },
   {
    "date": "2026-09-06",
    "doc": "5100001879",
    "cc": "1902",
    "gl": "63501000",
    "vendor": "(전속설계사)",
    "text": "9월 모집수수료 - (전속설계사)",
    "amt": 426.499,
    "nb": 426.499
   },
   {
    "date": "2026-09-25",
    "doc": "5100002057",
    "cc": "1701",
    "gl": "63002000",
    "vendor": "C클라우드",
    "text": "9월 클라우드 사용료 - C클라우드",
    "amt": 101.0,
    "nb": 10.1
   },
   {
    "date": "2026-09-20",
    "doc": "5100002009",
    "cc": "1602",
    "gl": "63201000",
    "vendor": "D정비",
    "text": "8~9월분 업무차량 정비비",
    "amt": 12.4,
    "nb": 9.3
   },
   {
    "date": "2026-09-03",
    "doc": "5100001854",
    "cc": "1701",
    "gl": "63001000",
    "vendor": "Y소프트",
    "text": "9월 SW 유지보수 - Y소프트",
    "amt": 59.195,
    "nb": 5.9195
   },
   {
    "date": "2026-09-18",
    "doc": "5100001995",
    "cc": "1602",
    "gl": "63101000",
    "vendor": "BB부동산",
    "text": "9월 사무실 임차료 - BB부동산",
    "amt": 6.052,
    "nb": 4.539
   },
   {
    "date": "2026-09-10",
    "doc": "5100001917",
    "cc": "1602",
    "gl": "63101000",
    "vendor": "BB부동산",
    "text": "9월 사무실 임차료 - BB부동산",
    "amt": 5.662,
    "nb": 4.2465
   }
  ]
 }
};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2026-10-14T07:56:42Z</dcterms:created>
  <dcterms:modified xmlns:dcterms="http://purl.org/dc/terms/" xmlns:xsi="http://www.w3.org/2001/XMLSchema-instance" xsi:type="dcterms:W3CDTF">2026-10-14T07:56:52Z</dcterms:modified>
</cp:coreProperties>
</file>